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ijo\Desktop\Automation\Base RMC Documents\01 Jan\Base RMC Input Files\"/>
    </mc:Choice>
  </mc:AlternateContent>
  <xr:revisionPtr revIDLastSave="0" documentId="13_ncr:1_{D72E8E17-026E-4513-88A7-BCE19FCFAFB8}" xr6:coauthVersionLast="47" xr6:coauthVersionMax="47" xr10:uidLastSave="{00000000-0000-0000-0000-000000000000}"/>
  <bookViews>
    <workbookView xWindow="-120" yWindow="-120" windowWidth="29040" windowHeight="15720" tabRatio="826" xr2:uid="{00000000-000D-0000-FFFF-FFFF00000000}"/>
  </bookViews>
  <sheets>
    <sheet name="Summary" sheetId="23" r:id="rId1"/>
    <sheet name="Calculation" sheetId="24" r:id="rId2"/>
    <sheet name="Jan-2026" sheetId="2" r:id="rId3"/>
    <sheet name="Sheet4" sheetId="41" state="hidden" r:id="rId4"/>
    <sheet name="Jan-2026 rates" sheetId="15" r:id="rId5"/>
    <sheet name="Dispensed Ink Rates" sheetId="42" r:id="rId6"/>
    <sheet name="Ink And Solvnt" sheetId="27" r:id="rId7"/>
    <sheet name="Ptd_Mtr" sheetId="26" r:id="rId8"/>
    <sheet name="Sheet3" sheetId="34" state="hidden" r:id="rId9"/>
    <sheet name="Sheet2" sheetId="31" state="hidden" r:id="rId10"/>
    <sheet name="Sheet1" sheetId="28" state="hidden" r:id="rId11"/>
    <sheet name="Ptd_Mtr (2)" sheetId="40" state="hidden" r:id="rId12"/>
  </sheets>
  <definedNames>
    <definedName name="_1">'Jan-2026'!$J$9</definedName>
    <definedName name="_2">'Jan-2026'!$AU$9</definedName>
    <definedName name="_3">'Jan-2026'!$CF$9</definedName>
    <definedName name="_4">'Jan-2026'!$DQ$9</definedName>
    <definedName name="_5">'Jan-2026'!$FB$9</definedName>
    <definedName name="_6">'Jan-2026'!$GM$9</definedName>
    <definedName name="_7">'Jan-2026'!$HX$9</definedName>
    <definedName name="_8">'Jan-2026'!$JI$9</definedName>
    <definedName name="_xlnm._FilterDatabase" localSheetId="1" hidden="1">Calculation!$A$399:$BR$438</definedName>
    <definedName name="_xlnm._FilterDatabase" localSheetId="5" hidden="1">'Dispensed Ink Rates'!$A$6:$CS$620</definedName>
    <definedName name="_xlnm._FilterDatabase" localSheetId="6" hidden="1">'Ink And Solvnt'!$H$3:$H$715</definedName>
    <definedName name="_xlnm._FilterDatabase" localSheetId="2" hidden="1">'Jan-2026'!$A$9:$MT$403</definedName>
    <definedName name="_xlnm._FilterDatabase" localSheetId="4" hidden="1">'Jan-2026 rates'!$A$4:$AD$324</definedName>
    <definedName name="_xlnm._FilterDatabase" localSheetId="7" hidden="1">Ptd_Mtr!$A$4:$W$559</definedName>
    <definedName name="_xlnm._FilterDatabase" localSheetId="11" hidden="1">'Ptd_Mtr (2)'!$A$4:$I$524</definedName>
    <definedName name="_xlnm._FilterDatabase" localSheetId="0" hidden="1">Summary!$B$3:$J$455</definedName>
    <definedName name="D">'Jan-2026'!$A:$A</definedName>
    <definedName name="L">'Jan-2026'!$MC$9</definedName>
    <definedName name="_xlnm.Print_Area" localSheetId="11">'Ptd_Mtr (2)'!#REF!</definedName>
    <definedName name="S">'Jan-2026'!$KT:$KT</definedName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'Jan-2026'!#REF!</definedName>
    <definedName name="solver_typ" localSheetId="2" hidden="1">1</definedName>
    <definedName name="solver_val" localSheetId="2" hidden="1">0</definedName>
    <definedName name="solver_ver" localSheetId="2" hidden="1">3</definedName>
    <definedName name="T">'Jan-2026'!$MM:$MM</definedName>
  </definedNames>
  <calcPr calcId="191029"/>
  <pivotCaches>
    <pivotCache cacheId="0" r:id="rId13"/>
    <pivotCache cacheId="1" r:id="rId14"/>
    <pivotCache cacheId="12" r:id="rId15"/>
    <pivotCache cacheId="25" r:id="rId16"/>
    <pivotCache cacheId="36" r:id="rId17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02" i="24" l="1"/>
  <c r="G403" i="24"/>
  <c r="G404" i="24"/>
  <c r="G405" i="24"/>
  <c r="G406" i="24"/>
  <c r="G407" i="24"/>
  <c r="G408" i="24"/>
  <c r="G409" i="24"/>
  <c r="G410" i="24"/>
  <c r="G411" i="24"/>
  <c r="G412" i="24"/>
  <c r="G413" i="24"/>
  <c r="G414" i="24"/>
  <c r="G415" i="24"/>
  <c r="G416" i="24"/>
  <c r="G417" i="24"/>
  <c r="G418" i="24"/>
  <c r="G419" i="24"/>
  <c r="G420" i="24"/>
  <c r="G421" i="24"/>
  <c r="G422" i="24"/>
  <c r="G423" i="24"/>
  <c r="G424" i="24"/>
  <c r="G425" i="24"/>
  <c r="G426" i="24"/>
  <c r="G427" i="24"/>
  <c r="G428" i="24"/>
  <c r="G429" i="24"/>
  <c r="G430" i="24"/>
  <c r="G431" i="24"/>
  <c r="G432" i="24"/>
  <c r="G433" i="24"/>
  <c r="G434" i="24"/>
  <c r="G435" i="24"/>
  <c r="G436" i="24"/>
  <c r="G437" i="24"/>
  <c r="G438" i="24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5" i="26"/>
  <c r="L36" i="26"/>
  <c r="L37" i="26"/>
  <c r="L38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62" i="26"/>
  <c r="L63" i="26"/>
  <c r="L64" i="26"/>
  <c r="L65" i="26"/>
  <c r="L66" i="26"/>
  <c r="L67" i="26"/>
  <c r="L68" i="26"/>
  <c r="L69" i="26"/>
  <c r="L70" i="26"/>
  <c r="L71" i="26"/>
  <c r="L72" i="26"/>
  <c r="L73" i="26"/>
  <c r="L74" i="26"/>
  <c r="L75" i="26"/>
  <c r="L76" i="26"/>
  <c r="L77" i="26"/>
  <c r="L78" i="26"/>
  <c r="L79" i="26"/>
  <c r="L80" i="26"/>
  <c r="L81" i="26"/>
  <c r="L82" i="26"/>
  <c r="L83" i="26"/>
  <c r="L84" i="26"/>
  <c r="L85" i="26"/>
  <c r="L86" i="26"/>
  <c r="L87" i="26"/>
  <c r="L88" i="26"/>
  <c r="L89" i="26"/>
  <c r="L90" i="26"/>
  <c r="L91" i="26"/>
  <c r="L92" i="26"/>
  <c r="L93" i="26"/>
  <c r="L94" i="26"/>
  <c r="L95" i="26"/>
  <c r="L96" i="26"/>
  <c r="L97" i="26"/>
  <c r="L98" i="26"/>
  <c r="L99" i="26"/>
  <c r="L100" i="26"/>
  <c r="L101" i="26"/>
  <c r="L102" i="26"/>
  <c r="L103" i="26"/>
  <c r="L104" i="26"/>
  <c r="L105" i="26"/>
  <c r="L106" i="26"/>
  <c r="L107" i="26"/>
  <c r="L108" i="26"/>
  <c r="L109" i="26"/>
  <c r="L110" i="26"/>
  <c r="L111" i="26"/>
  <c r="L112" i="26"/>
  <c r="L113" i="26"/>
  <c r="L114" i="26"/>
  <c r="L115" i="26"/>
  <c r="L116" i="26"/>
  <c r="L117" i="26"/>
  <c r="L118" i="26"/>
  <c r="L119" i="26"/>
  <c r="L120" i="26"/>
  <c r="L121" i="26"/>
  <c r="L122" i="26"/>
  <c r="L123" i="26"/>
  <c r="L124" i="26"/>
  <c r="L125" i="26"/>
  <c r="L126" i="26"/>
  <c r="L127" i="26"/>
  <c r="L128" i="26"/>
  <c r="L129" i="26"/>
  <c r="L130" i="26"/>
  <c r="L131" i="26"/>
  <c r="L132" i="26"/>
  <c r="L133" i="26"/>
  <c r="L134" i="26"/>
  <c r="L135" i="26"/>
  <c r="L136" i="26"/>
  <c r="L137" i="26"/>
  <c r="L138" i="26"/>
  <c r="L139" i="26"/>
  <c r="L140" i="26"/>
  <c r="L141" i="26"/>
  <c r="L142" i="26"/>
  <c r="L143" i="26"/>
  <c r="L144" i="26"/>
  <c r="L145" i="26"/>
  <c r="L146" i="26"/>
  <c r="L147" i="26"/>
  <c r="L148" i="26"/>
  <c r="L149" i="26"/>
  <c r="L150" i="26"/>
  <c r="L151" i="26"/>
  <c r="L152" i="26"/>
  <c r="L153" i="26"/>
  <c r="L154" i="26"/>
  <c r="L155" i="26"/>
  <c r="L156" i="26"/>
  <c r="L157" i="26"/>
  <c r="L158" i="26"/>
  <c r="L159" i="26"/>
  <c r="L160" i="26"/>
  <c r="L161" i="26"/>
  <c r="L162" i="26"/>
  <c r="L163" i="26"/>
  <c r="L164" i="26"/>
  <c r="L165" i="26"/>
  <c r="L166" i="26"/>
  <c r="L167" i="26"/>
  <c r="L168" i="26"/>
  <c r="L169" i="26"/>
  <c r="L170" i="26"/>
  <c r="L171" i="26"/>
  <c r="L172" i="26"/>
  <c r="L173" i="26"/>
  <c r="L174" i="26"/>
  <c r="L175" i="26"/>
  <c r="L176" i="26"/>
  <c r="L177" i="26"/>
  <c r="L178" i="26"/>
  <c r="L179" i="26"/>
  <c r="L180" i="26"/>
  <c r="L181" i="26"/>
  <c r="L182" i="26"/>
  <c r="L183" i="26"/>
  <c r="L184" i="26"/>
  <c r="L185" i="26"/>
  <c r="L186" i="26"/>
  <c r="L187" i="26"/>
  <c r="L188" i="26"/>
  <c r="L189" i="26"/>
  <c r="L190" i="26"/>
  <c r="L191" i="26"/>
  <c r="L192" i="26"/>
  <c r="L193" i="26"/>
  <c r="L194" i="26"/>
  <c r="L195" i="26"/>
  <c r="L196" i="26"/>
  <c r="L197" i="26"/>
  <c r="L198" i="26"/>
  <c r="L199" i="26"/>
  <c r="L200" i="26"/>
  <c r="L201" i="26"/>
  <c r="L202" i="26"/>
  <c r="L203" i="26"/>
  <c r="L204" i="26"/>
  <c r="L205" i="26"/>
  <c r="L206" i="26"/>
  <c r="L207" i="26"/>
  <c r="L208" i="26"/>
  <c r="L209" i="26"/>
  <c r="L210" i="26"/>
  <c r="L211" i="26"/>
  <c r="L212" i="26"/>
  <c r="L213" i="26"/>
  <c r="L214" i="26"/>
  <c r="L215" i="26"/>
  <c r="L216" i="26"/>
  <c r="L217" i="26"/>
  <c r="L218" i="26"/>
  <c r="L219" i="26"/>
  <c r="L220" i="26"/>
  <c r="L221" i="26"/>
  <c r="L222" i="26"/>
  <c r="L223" i="26"/>
  <c r="L224" i="26"/>
  <c r="L225" i="26"/>
  <c r="L226" i="26"/>
  <c r="L227" i="26"/>
  <c r="L228" i="26"/>
  <c r="L229" i="26"/>
  <c r="L230" i="26"/>
  <c r="L231" i="26"/>
  <c r="L232" i="26"/>
  <c r="L233" i="26"/>
  <c r="L234" i="26"/>
  <c r="L235" i="26"/>
  <c r="L236" i="26"/>
  <c r="L237" i="26"/>
  <c r="L238" i="26"/>
  <c r="L239" i="26"/>
  <c r="L240" i="26"/>
  <c r="L241" i="26"/>
  <c r="L242" i="26"/>
  <c r="L243" i="26"/>
  <c r="L244" i="26"/>
  <c r="L245" i="26"/>
  <c r="L246" i="26"/>
  <c r="L247" i="26"/>
  <c r="L248" i="26"/>
  <c r="L249" i="26"/>
  <c r="L250" i="26"/>
  <c r="L251" i="26"/>
  <c r="L252" i="26"/>
  <c r="L253" i="26"/>
  <c r="L254" i="26"/>
  <c r="L255" i="26"/>
  <c r="L256" i="26"/>
  <c r="L257" i="26"/>
  <c r="L258" i="26"/>
  <c r="L259" i="26"/>
  <c r="L260" i="26"/>
  <c r="L261" i="26"/>
  <c r="L262" i="26"/>
  <c r="L263" i="26"/>
  <c r="L264" i="26"/>
  <c r="L265" i="26"/>
  <c r="L266" i="26"/>
  <c r="L267" i="26"/>
  <c r="L268" i="26"/>
  <c r="L269" i="26"/>
  <c r="L270" i="26"/>
  <c r="L271" i="26"/>
  <c r="L272" i="26"/>
  <c r="L273" i="26"/>
  <c r="L274" i="26"/>
  <c r="L275" i="26"/>
  <c r="L276" i="26"/>
  <c r="L277" i="26"/>
  <c r="L278" i="26"/>
  <c r="L279" i="26"/>
  <c r="L280" i="26"/>
  <c r="L281" i="26"/>
  <c r="L282" i="26"/>
  <c r="L283" i="26"/>
  <c r="L284" i="26"/>
  <c r="L285" i="26"/>
  <c r="L286" i="26"/>
  <c r="L287" i="26"/>
  <c r="L288" i="26"/>
  <c r="L289" i="26"/>
  <c r="L290" i="26"/>
  <c r="L291" i="26"/>
  <c r="L292" i="26"/>
  <c r="L293" i="26"/>
  <c r="L294" i="26"/>
  <c r="L295" i="26"/>
  <c r="L296" i="26"/>
  <c r="L297" i="26"/>
  <c r="L298" i="26"/>
  <c r="L299" i="26"/>
  <c r="L300" i="26"/>
  <c r="L301" i="26"/>
  <c r="L302" i="26"/>
  <c r="L303" i="26"/>
  <c r="L304" i="26"/>
  <c r="L305" i="26"/>
  <c r="L306" i="26"/>
  <c r="L307" i="26"/>
  <c r="L308" i="26"/>
  <c r="L309" i="26"/>
  <c r="L310" i="26"/>
  <c r="L311" i="26"/>
  <c r="L312" i="26"/>
  <c r="L313" i="26"/>
  <c r="L314" i="26"/>
  <c r="L315" i="26"/>
  <c r="L316" i="26"/>
  <c r="L317" i="26"/>
  <c r="L318" i="26"/>
  <c r="L319" i="26"/>
  <c r="L320" i="26"/>
  <c r="L321" i="26"/>
  <c r="L322" i="26"/>
  <c r="L323" i="26"/>
  <c r="L324" i="26"/>
  <c r="L325" i="26"/>
  <c r="L326" i="26"/>
  <c r="L327" i="26"/>
  <c r="L328" i="26"/>
  <c r="L329" i="26"/>
  <c r="L330" i="26"/>
  <c r="L331" i="26"/>
  <c r="L332" i="26"/>
  <c r="L333" i="26"/>
  <c r="L334" i="26"/>
  <c r="L335" i="26"/>
  <c r="L336" i="26"/>
  <c r="L337" i="26"/>
  <c r="L338" i="26"/>
  <c r="L339" i="26"/>
  <c r="L340" i="26"/>
  <c r="L341" i="26"/>
  <c r="L342" i="26"/>
  <c r="L343" i="26"/>
  <c r="L344" i="26"/>
  <c r="L345" i="26"/>
  <c r="L346" i="26"/>
  <c r="L347" i="26"/>
  <c r="L348" i="26"/>
  <c r="L349" i="26"/>
  <c r="L350" i="26"/>
  <c r="L351" i="26"/>
  <c r="L352" i="26"/>
  <c r="L353" i="26"/>
  <c r="L354" i="26"/>
  <c r="L355" i="26"/>
  <c r="L356" i="26"/>
  <c r="L357" i="26"/>
  <c r="L358" i="26"/>
  <c r="L359" i="26"/>
  <c r="L360" i="26"/>
  <c r="L361" i="26"/>
  <c r="L362" i="26"/>
  <c r="L363" i="26"/>
  <c r="L364" i="26"/>
  <c r="L365" i="26"/>
  <c r="L366" i="26"/>
  <c r="L367" i="26"/>
  <c r="L368" i="26"/>
  <c r="L369" i="26"/>
  <c r="L370" i="26"/>
  <c r="L371" i="26"/>
  <c r="L372" i="26"/>
  <c r="L373" i="26"/>
  <c r="L374" i="26"/>
  <c r="L375" i="26"/>
  <c r="L376" i="26"/>
  <c r="L377" i="26"/>
  <c r="L378" i="26"/>
  <c r="L379" i="26"/>
  <c r="L380" i="26"/>
  <c r="L381" i="26"/>
  <c r="L382" i="26"/>
  <c r="L383" i="26"/>
  <c r="L384" i="26"/>
  <c r="L385" i="26"/>
  <c r="L386" i="26"/>
  <c r="L387" i="26"/>
  <c r="L388" i="26"/>
  <c r="L389" i="26"/>
  <c r="L390" i="26"/>
  <c r="L391" i="26"/>
  <c r="L392" i="26"/>
  <c r="L393" i="26"/>
  <c r="L394" i="26"/>
  <c r="L395" i="26"/>
  <c r="L396" i="26"/>
  <c r="L397" i="26"/>
  <c r="L398" i="26"/>
  <c r="L399" i="26"/>
  <c r="L400" i="26"/>
  <c r="L401" i="26"/>
  <c r="L402" i="26"/>
  <c r="L403" i="26"/>
  <c r="L404" i="26"/>
  <c r="L405" i="26"/>
  <c r="L406" i="26"/>
  <c r="L407" i="26"/>
  <c r="L408" i="26"/>
  <c r="L409" i="26"/>
  <c r="L410" i="26"/>
  <c r="L411" i="26"/>
  <c r="L412" i="26"/>
  <c r="L413" i="26"/>
  <c r="L414" i="26"/>
  <c r="L415" i="26"/>
  <c r="L416" i="26"/>
  <c r="L417" i="26"/>
  <c r="L418" i="26"/>
  <c r="L419" i="26"/>
  <c r="L420" i="26"/>
  <c r="L421" i="26"/>
  <c r="L422" i="26"/>
  <c r="L423" i="26"/>
  <c r="L424" i="26"/>
  <c r="L425" i="26"/>
  <c r="L426" i="26"/>
  <c r="L427" i="26"/>
  <c r="L428" i="26"/>
  <c r="L429" i="26"/>
  <c r="L430" i="26"/>
  <c r="L431" i="26"/>
  <c r="L432" i="26"/>
  <c r="L433" i="26"/>
  <c r="L434" i="26"/>
  <c r="L435" i="26"/>
  <c r="L436" i="26"/>
  <c r="L437" i="26"/>
  <c r="L438" i="26"/>
  <c r="L439" i="26"/>
  <c r="L440" i="26"/>
  <c r="L441" i="26"/>
  <c r="L442" i="26"/>
  <c r="L443" i="26"/>
  <c r="L444" i="26"/>
  <c r="L445" i="26"/>
  <c r="L446" i="26"/>
  <c r="G400" i="24"/>
  <c r="G401" i="24"/>
  <c r="M6" i="26" l="1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32" i="26"/>
  <c r="M33" i="26"/>
  <c r="M34" i="26"/>
  <c r="M35" i="26"/>
  <c r="M36" i="26"/>
  <c r="M37" i="26"/>
  <c r="M38" i="26"/>
  <c r="M39" i="26"/>
  <c r="M40" i="26"/>
  <c r="M41" i="26"/>
  <c r="M42" i="26"/>
  <c r="M43" i="26"/>
  <c r="M44" i="26"/>
  <c r="M45" i="26"/>
  <c r="M46" i="26"/>
  <c r="M47" i="26"/>
  <c r="M48" i="26"/>
  <c r="M49" i="26"/>
  <c r="M50" i="26"/>
  <c r="M51" i="26"/>
  <c r="M52" i="26"/>
  <c r="M53" i="26"/>
  <c r="M54" i="26"/>
  <c r="M55" i="26"/>
  <c r="M56" i="26"/>
  <c r="M57" i="26"/>
  <c r="M58" i="26"/>
  <c r="M59" i="26"/>
  <c r="M60" i="26"/>
  <c r="M61" i="26"/>
  <c r="M62" i="26"/>
  <c r="M63" i="26"/>
  <c r="M64" i="26"/>
  <c r="M65" i="26"/>
  <c r="M66" i="26"/>
  <c r="M67" i="26"/>
  <c r="M68" i="26"/>
  <c r="M69" i="26"/>
  <c r="M70" i="26"/>
  <c r="M71" i="26"/>
  <c r="M72" i="26"/>
  <c r="M73" i="26"/>
  <c r="M74" i="26"/>
  <c r="M75" i="26"/>
  <c r="M76" i="26"/>
  <c r="M77" i="26"/>
  <c r="M78" i="26"/>
  <c r="M79" i="26"/>
  <c r="M80" i="26"/>
  <c r="M81" i="26"/>
  <c r="M82" i="26"/>
  <c r="M83" i="26"/>
  <c r="M84" i="26"/>
  <c r="M85" i="26"/>
  <c r="M86" i="26"/>
  <c r="M87" i="26"/>
  <c r="M88" i="26"/>
  <c r="M89" i="26"/>
  <c r="M90" i="26"/>
  <c r="M91" i="26"/>
  <c r="M92" i="26"/>
  <c r="M93" i="26"/>
  <c r="M94" i="26"/>
  <c r="M95" i="26"/>
  <c r="M96" i="26"/>
  <c r="M97" i="26"/>
  <c r="M98" i="26"/>
  <c r="M99" i="26"/>
  <c r="M100" i="26"/>
  <c r="M101" i="26"/>
  <c r="M102" i="26"/>
  <c r="M103" i="26"/>
  <c r="M104" i="26"/>
  <c r="M105" i="26"/>
  <c r="M106" i="26"/>
  <c r="M107" i="26"/>
  <c r="M108" i="26"/>
  <c r="M109" i="26"/>
  <c r="M110" i="26"/>
  <c r="M111" i="26"/>
  <c r="M112" i="26"/>
  <c r="M113" i="26"/>
  <c r="M114" i="26"/>
  <c r="M115" i="26"/>
  <c r="M116" i="26"/>
  <c r="M117" i="26"/>
  <c r="M118" i="26"/>
  <c r="M119" i="26"/>
  <c r="M120" i="26"/>
  <c r="M121" i="26"/>
  <c r="M122" i="26"/>
  <c r="M123" i="26"/>
  <c r="M124" i="26"/>
  <c r="M125" i="26"/>
  <c r="M126" i="26"/>
  <c r="M127" i="26"/>
  <c r="M128" i="26"/>
  <c r="M129" i="26"/>
  <c r="M130" i="26"/>
  <c r="M131" i="26"/>
  <c r="M132" i="26"/>
  <c r="M133" i="26"/>
  <c r="M134" i="26"/>
  <c r="M135" i="26"/>
  <c r="M136" i="26"/>
  <c r="M137" i="26"/>
  <c r="M138" i="26"/>
  <c r="M139" i="26"/>
  <c r="M140" i="26"/>
  <c r="M141" i="26"/>
  <c r="M142" i="26"/>
  <c r="M143" i="26"/>
  <c r="M144" i="26"/>
  <c r="M145" i="26"/>
  <c r="M146" i="26"/>
  <c r="M147" i="26"/>
  <c r="M148" i="26"/>
  <c r="M149" i="26"/>
  <c r="M150" i="26"/>
  <c r="M151" i="26"/>
  <c r="M152" i="26"/>
  <c r="M153" i="26"/>
  <c r="M154" i="26"/>
  <c r="M155" i="26"/>
  <c r="M156" i="26"/>
  <c r="M157" i="26"/>
  <c r="M158" i="26"/>
  <c r="M159" i="26"/>
  <c r="M160" i="26"/>
  <c r="M161" i="26"/>
  <c r="M162" i="26"/>
  <c r="M163" i="26"/>
  <c r="M164" i="26"/>
  <c r="M165" i="26"/>
  <c r="M166" i="26"/>
  <c r="M167" i="26"/>
  <c r="M168" i="26"/>
  <c r="M169" i="26"/>
  <c r="M170" i="26"/>
  <c r="M171" i="26"/>
  <c r="M172" i="26"/>
  <c r="M173" i="26"/>
  <c r="M174" i="26"/>
  <c r="M175" i="26"/>
  <c r="M176" i="26"/>
  <c r="M177" i="26"/>
  <c r="M178" i="26"/>
  <c r="M179" i="26"/>
  <c r="M180" i="26"/>
  <c r="M181" i="26"/>
  <c r="M182" i="26"/>
  <c r="M183" i="26"/>
  <c r="M184" i="26"/>
  <c r="M185" i="26"/>
  <c r="M186" i="26"/>
  <c r="M187" i="26"/>
  <c r="M188" i="26"/>
  <c r="M189" i="26"/>
  <c r="M190" i="26"/>
  <c r="M191" i="26"/>
  <c r="M192" i="26"/>
  <c r="M193" i="26"/>
  <c r="M194" i="26"/>
  <c r="M195" i="26"/>
  <c r="M196" i="26"/>
  <c r="M197" i="26"/>
  <c r="M198" i="26"/>
  <c r="M199" i="26"/>
  <c r="M200" i="26"/>
  <c r="M201" i="26"/>
  <c r="M202" i="26"/>
  <c r="M203" i="26"/>
  <c r="M204" i="26"/>
  <c r="M205" i="26"/>
  <c r="M206" i="26"/>
  <c r="M207" i="26"/>
  <c r="M208" i="26"/>
  <c r="M209" i="26"/>
  <c r="M210" i="26"/>
  <c r="M211" i="26"/>
  <c r="M212" i="26"/>
  <c r="M213" i="26"/>
  <c r="M214" i="26"/>
  <c r="M215" i="26"/>
  <c r="M216" i="26"/>
  <c r="M217" i="26"/>
  <c r="M218" i="26"/>
  <c r="M219" i="26"/>
  <c r="M220" i="26"/>
  <c r="M221" i="26"/>
  <c r="M222" i="26"/>
  <c r="M223" i="26"/>
  <c r="M224" i="26"/>
  <c r="M225" i="26"/>
  <c r="M226" i="26"/>
  <c r="M227" i="26"/>
  <c r="M228" i="26"/>
  <c r="M229" i="26"/>
  <c r="M230" i="26"/>
  <c r="M231" i="26"/>
  <c r="M232" i="26"/>
  <c r="M233" i="26"/>
  <c r="M234" i="26"/>
  <c r="M235" i="26"/>
  <c r="M236" i="26"/>
  <c r="M237" i="26"/>
  <c r="M238" i="26"/>
  <c r="M239" i="26"/>
  <c r="M240" i="26"/>
  <c r="M241" i="26"/>
  <c r="M242" i="26"/>
  <c r="M243" i="26"/>
  <c r="M244" i="26"/>
  <c r="M245" i="26"/>
  <c r="M246" i="26"/>
  <c r="M247" i="26"/>
  <c r="M248" i="26"/>
  <c r="M249" i="26"/>
  <c r="M250" i="26"/>
  <c r="M251" i="26"/>
  <c r="M252" i="26"/>
  <c r="M253" i="26"/>
  <c r="M254" i="26"/>
  <c r="M255" i="26"/>
  <c r="M256" i="26"/>
  <c r="M257" i="26"/>
  <c r="M258" i="26"/>
  <c r="M259" i="26"/>
  <c r="M260" i="26"/>
  <c r="M261" i="26"/>
  <c r="M262" i="26"/>
  <c r="M263" i="26"/>
  <c r="M264" i="26"/>
  <c r="M265" i="26"/>
  <c r="M266" i="26"/>
  <c r="M267" i="26"/>
  <c r="M268" i="26"/>
  <c r="M269" i="26"/>
  <c r="M270" i="26"/>
  <c r="M271" i="26"/>
  <c r="M272" i="26"/>
  <c r="M273" i="26"/>
  <c r="M274" i="26"/>
  <c r="M275" i="26"/>
  <c r="M276" i="26"/>
  <c r="M277" i="26"/>
  <c r="M278" i="26"/>
  <c r="M279" i="26"/>
  <c r="M280" i="26"/>
  <c r="M281" i="26"/>
  <c r="M282" i="26"/>
  <c r="M283" i="26"/>
  <c r="M284" i="26"/>
  <c r="M285" i="26"/>
  <c r="M286" i="26"/>
  <c r="M287" i="26"/>
  <c r="M288" i="26"/>
  <c r="M289" i="26"/>
  <c r="M290" i="26"/>
  <c r="M291" i="26"/>
  <c r="M292" i="26"/>
  <c r="M293" i="26"/>
  <c r="M294" i="26"/>
  <c r="M295" i="26"/>
  <c r="M296" i="26"/>
  <c r="M297" i="26"/>
  <c r="M298" i="26"/>
  <c r="M299" i="26"/>
  <c r="M300" i="26"/>
  <c r="M301" i="26"/>
  <c r="M302" i="26"/>
  <c r="M303" i="26"/>
  <c r="M304" i="26"/>
  <c r="M305" i="26"/>
  <c r="M306" i="26"/>
  <c r="M307" i="26"/>
  <c r="M308" i="26"/>
  <c r="M309" i="26"/>
  <c r="M310" i="26"/>
  <c r="M311" i="26"/>
  <c r="M312" i="26"/>
  <c r="M313" i="26"/>
  <c r="M314" i="26"/>
  <c r="M315" i="26"/>
  <c r="M316" i="26"/>
  <c r="M317" i="26"/>
  <c r="M318" i="26"/>
  <c r="M319" i="26"/>
  <c r="M320" i="26"/>
  <c r="M321" i="26"/>
  <c r="M322" i="26"/>
  <c r="M323" i="26"/>
  <c r="M324" i="26"/>
  <c r="M325" i="26"/>
  <c r="M326" i="26"/>
  <c r="M327" i="26"/>
  <c r="M328" i="26"/>
  <c r="M329" i="26"/>
  <c r="M330" i="26"/>
  <c r="M331" i="26"/>
  <c r="M332" i="26"/>
  <c r="M333" i="26"/>
  <c r="M334" i="26"/>
  <c r="M335" i="26"/>
  <c r="M336" i="26"/>
  <c r="M337" i="26"/>
  <c r="M338" i="26"/>
  <c r="M339" i="26"/>
  <c r="M340" i="26"/>
  <c r="M341" i="26"/>
  <c r="M342" i="26"/>
  <c r="M343" i="26"/>
  <c r="M344" i="26"/>
  <c r="M345" i="26"/>
  <c r="M346" i="26"/>
  <c r="M347" i="26"/>
  <c r="M348" i="26"/>
  <c r="M349" i="26"/>
  <c r="M350" i="26"/>
  <c r="M351" i="26"/>
  <c r="M352" i="26"/>
  <c r="M353" i="26"/>
  <c r="M354" i="26"/>
  <c r="M355" i="26"/>
  <c r="M356" i="26"/>
  <c r="M357" i="26"/>
  <c r="M358" i="26"/>
  <c r="M359" i="26"/>
  <c r="M360" i="26"/>
  <c r="M361" i="26"/>
  <c r="M362" i="26"/>
  <c r="M363" i="26"/>
  <c r="M364" i="26"/>
  <c r="M365" i="26"/>
  <c r="M366" i="26"/>
  <c r="M367" i="26"/>
  <c r="M368" i="26"/>
  <c r="M369" i="26"/>
  <c r="M370" i="26"/>
  <c r="M371" i="26"/>
  <c r="M372" i="26"/>
  <c r="M373" i="26"/>
  <c r="M374" i="26"/>
  <c r="M375" i="26"/>
  <c r="M376" i="26"/>
  <c r="M377" i="26"/>
  <c r="M378" i="26"/>
  <c r="M379" i="26"/>
  <c r="M380" i="26"/>
  <c r="M381" i="26"/>
  <c r="M382" i="26"/>
  <c r="M383" i="26"/>
  <c r="M384" i="26"/>
  <c r="M385" i="26"/>
  <c r="M386" i="26"/>
  <c r="M387" i="26"/>
  <c r="M388" i="26"/>
  <c r="M389" i="26"/>
  <c r="M390" i="26"/>
  <c r="M391" i="26"/>
  <c r="M392" i="26"/>
  <c r="M393" i="26"/>
  <c r="M394" i="26"/>
  <c r="M395" i="26"/>
  <c r="M396" i="26"/>
  <c r="M397" i="26"/>
  <c r="M398" i="26"/>
  <c r="M399" i="26"/>
  <c r="M400" i="26"/>
  <c r="M401" i="26"/>
  <c r="M402" i="26"/>
  <c r="M403" i="26"/>
  <c r="M404" i="26"/>
  <c r="M405" i="26"/>
  <c r="M406" i="26"/>
  <c r="M407" i="26"/>
  <c r="M408" i="26"/>
  <c r="M409" i="26"/>
  <c r="M410" i="26"/>
  <c r="M411" i="26"/>
  <c r="M412" i="26"/>
  <c r="M413" i="26"/>
  <c r="M414" i="26"/>
  <c r="M415" i="26"/>
  <c r="M416" i="26"/>
  <c r="M417" i="26"/>
  <c r="M418" i="26"/>
  <c r="M419" i="26"/>
  <c r="M420" i="26"/>
  <c r="M421" i="26"/>
  <c r="M422" i="26"/>
  <c r="M423" i="26"/>
  <c r="M424" i="26"/>
  <c r="M425" i="26"/>
  <c r="M426" i="26"/>
  <c r="M427" i="26"/>
  <c r="M428" i="26"/>
  <c r="M429" i="26"/>
  <c r="M430" i="26"/>
  <c r="M431" i="26"/>
  <c r="M432" i="26"/>
  <c r="M433" i="26"/>
  <c r="M434" i="26"/>
  <c r="M435" i="26"/>
  <c r="M436" i="26"/>
  <c r="M437" i="26"/>
  <c r="M438" i="26"/>
  <c r="M439" i="26"/>
  <c r="M440" i="26"/>
  <c r="M441" i="26"/>
  <c r="M442" i="26"/>
  <c r="M443" i="26"/>
  <c r="M444" i="26"/>
  <c r="M445" i="26"/>
  <c r="M446" i="26"/>
  <c r="M5" i="26"/>
  <c r="BR401" i="24"/>
  <c r="BR402" i="24"/>
  <c r="BR403" i="24"/>
  <c r="BR404" i="24"/>
  <c r="BR405" i="24"/>
  <c r="BR406" i="24"/>
  <c r="BR407" i="24"/>
  <c r="BR408" i="24"/>
  <c r="BR409" i="24"/>
  <c r="BR410" i="24"/>
  <c r="BR411" i="24"/>
  <c r="BR412" i="24"/>
  <c r="BR413" i="24"/>
  <c r="BR414" i="24"/>
  <c r="BR415" i="24"/>
  <c r="BR416" i="24"/>
  <c r="BR417" i="24"/>
  <c r="BR418" i="24"/>
  <c r="BR419" i="24"/>
  <c r="BR420" i="24"/>
  <c r="BR421" i="24"/>
  <c r="BR422" i="24"/>
  <c r="BR423" i="24"/>
  <c r="BR424" i="24"/>
  <c r="BR425" i="24"/>
  <c r="BR426" i="24"/>
  <c r="BR427" i="24"/>
  <c r="BR428" i="24"/>
  <c r="BR429" i="24"/>
  <c r="BR430" i="24"/>
  <c r="BR431" i="24"/>
  <c r="BR432" i="24"/>
  <c r="BR433" i="24"/>
  <c r="BR434" i="24"/>
  <c r="BR435" i="24"/>
  <c r="BR436" i="24"/>
  <c r="BR437" i="24"/>
  <c r="BR438" i="24"/>
  <c r="F1" i="26"/>
  <c r="F4" i="2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BO20" i="42" l="1"/>
  <c r="BP20" i="42"/>
  <c r="BQ20" i="42"/>
  <c r="BR20" i="42"/>
  <c r="BS20" i="42"/>
  <c r="BT20" i="42"/>
  <c r="BU20" i="42"/>
  <c r="BV20" i="42"/>
  <c r="BW20" i="42"/>
  <c r="BX20" i="42"/>
  <c r="BY20" i="42"/>
  <c r="BZ20" i="42"/>
  <c r="CA20" i="42"/>
  <c r="CB20" i="42"/>
  <c r="CC20" i="42"/>
  <c r="CD20" i="42"/>
  <c r="CE20" i="42"/>
  <c r="CF20" i="42"/>
  <c r="CG20" i="42"/>
  <c r="CH20" i="42"/>
  <c r="CI20" i="42"/>
  <c r="CJ20" i="42"/>
  <c r="CK20" i="42"/>
  <c r="CL20" i="42"/>
  <c r="CM20" i="42"/>
  <c r="CN20" i="42"/>
  <c r="CO20" i="42"/>
  <c r="CP20" i="42"/>
  <c r="BO21" i="42"/>
  <c r="BP21" i="42"/>
  <c r="BQ21" i="42"/>
  <c r="BR21" i="42"/>
  <c r="BS21" i="42"/>
  <c r="BT21" i="42"/>
  <c r="BU21" i="42"/>
  <c r="BV21" i="42"/>
  <c r="BW21" i="42"/>
  <c r="BX21" i="42"/>
  <c r="BY21" i="42"/>
  <c r="BZ21" i="42"/>
  <c r="CA21" i="42"/>
  <c r="CB21" i="42"/>
  <c r="CC21" i="42"/>
  <c r="CD21" i="42"/>
  <c r="CE21" i="42"/>
  <c r="CF21" i="42"/>
  <c r="CG21" i="42"/>
  <c r="CH21" i="42"/>
  <c r="CI21" i="42"/>
  <c r="CJ21" i="42"/>
  <c r="CK21" i="42"/>
  <c r="CL21" i="42"/>
  <c r="CM21" i="42"/>
  <c r="CN21" i="42"/>
  <c r="CO21" i="42"/>
  <c r="CP21" i="42"/>
  <c r="BO22" i="42"/>
  <c r="BP22" i="42"/>
  <c r="BQ22" i="42"/>
  <c r="BR22" i="42"/>
  <c r="BS22" i="42"/>
  <c r="BT22" i="42"/>
  <c r="BU22" i="42"/>
  <c r="BV22" i="42"/>
  <c r="BW22" i="42"/>
  <c r="BX22" i="42"/>
  <c r="BY22" i="42"/>
  <c r="BZ22" i="42"/>
  <c r="CA22" i="42"/>
  <c r="CB22" i="42"/>
  <c r="CC22" i="42"/>
  <c r="CD22" i="42"/>
  <c r="CE22" i="42"/>
  <c r="CF22" i="42"/>
  <c r="CG22" i="42"/>
  <c r="CH22" i="42"/>
  <c r="CI22" i="42"/>
  <c r="CJ22" i="42"/>
  <c r="CK22" i="42"/>
  <c r="CL22" i="42"/>
  <c r="CM22" i="42"/>
  <c r="CN22" i="42"/>
  <c r="CO22" i="42"/>
  <c r="CP22" i="42"/>
  <c r="BO23" i="42"/>
  <c r="BP23" i="42"/>
  <c r="BQ23" i="42"/>
  <c r="BR23" i="42"/>
  <c r="BS23" i="42"/>
  <c r="BT23" i="42"/>
  <c r="BU23" i="42"/>
  <c r="BV23" i="42"/>
  <c r="BW23" i="42"/>
  <c r="BX23" i="42"/>
  <c r="BY23" i="42"/>
  <c r="BZ23" i="42"/>
  <c r="CA23" i="42"/>
  <c r="CB23" i="42"/>
  <c r="CC23" i="42"/>
  <c r="CD23" i="42"/>
  <c r="CE23" i="42"/>
  <c r="CF23" i="42"/>
  <c r="CG23" i="42"/>
  <c r="CH23" i="42"/>
  <c r="CI23" i="42"/>
  <c r="CJ23" i="42"/>
  <c r="CK23" i="42"/>
  <c r="CL23" i="42"/>
  <c r="CM23" i="42"/>
  <c r="CN23" i="42"/>
  <c r="CO23" i="42"/>
  <c r="CP23" i="42"/>
  <c r="BO24" i="42"/>
  <c r="BP24" i="42"/>
  <c r="BQ24" i="42"/>
  <c r="BR24" i="42"/>
  <c r="BS24" i="42"/>
  <c r="BT24" i="42"/>
  <c r="BU24" i="42"/>
  <c r="BV24" i="42"/>
  <c r="BW24" i="42"/>
  <c r="BX24" i="42"/>
  <c r="BY24" i="42"/>
  <c r="BZ24" i="42"/>
  <c r="CA24" i="42"/>
  <c r="CB24" i="42"/>
  <c r="CC24" i="42"/>
  <c r="CD24" i="42"/>
  <c r="CE24" i="42"/>
  <c r="CF24" i="42"/>
  <c r="CG24" i="42"/>
  <c r="CH24" i="42"/>
  <c r="CI24" i="42"/>
  <c r="CJ24" i="42"/>
  <c r="CK24" i="42"/>
  <c r="CL24" i="42"/>
  <c r="CM24" i="42"/>
  <c r="CN24" i="42"/>
  <c r="CO24" i="42"/>
  <c r="CP24" i="42"/>
  <c r="BO25" i="42"/>
  <c r="BP25" i="42"/>
  <c r="BQ25" i="42"/>
  <c r="BR25" i="42"/>
  <c r="BS25" i="42"/>
  <c r="BT25" i="42"/>
  <c r="BU25" i="42"/>
  <c r="BV25" i="42"/>
  <c r="BW25" i="42"/>
  <c r="BX25" i="42"/>
  <c r="BY25" i="42"/>
  <c r="BZ25" i="42"/>
  <c r="CA25" i="42"/>
  <c r="CB25" i="42"/>
  <c r="CC25" i="42"/>
  <c r="CD25" i="42"/>
  <c r="CE25" i="42"/>
  <c r="CF25" i="42"/>
  <c r="CG25" i="42"/>
  <c r="CH25" i="42"/>
  <c r="CI25" i="42"/>
  <c r="CJ25" i="42"/>
  <c r="CK25" i="42"/>
  <c r="CL25" i="42"/>
  <c r="CM25" i="42"/>
  <c r="CN25" i="42"/>
  <c r="CO25" i="42"/>
  <c r="CP25" i="42"/>
  <c r="BO26" i="42"/>
  <c r="BP26" i="42"/>
  <c r="BQ26" i="42"/>
  <c r="BR26" i="42"/>
  <c r="BS26" i="42"/>
  <c r="BT26" i="42"/>
  <c r="BU26" i="42"/>
  <c r="BV26" i="42"/>
  <c r="BW26" i="42"/>
  <c r="BX26" i="42"/>
  <c r="BY26" i="42"/>
  <c r="BZ26" i="42"/>
  <c r="CA26" i="42"/>
  <c r="CB26" i="42"/>
  <c r="CC26" i="42"/>
  <c r="CD26" i="42"/>
  <c r="CE26" i="42"/>
  <c r="CF26" i="42"/>
  <c r="CG26" i="42"/>
  <c r="CH26" i="42"/>
  <c r="CI26" i="42"/>
  <c r="CJ26" i="42"/>
  <c r="CK26" i="42"/>
  <c r="CL26" i="42"/>
  <c r="CM26" i="42"/>
  <c r="CN26" i="42"/>
  <c r="CO26" i="42"/>
  <c r="CP26" i="42"/>
  <c r="BO27" i="42"/>
  <c r="BP27" i="42"/>
  <c r="BQ27" i="42"/>
  <c r="BR27" i="42"/>
  <c r="BS27" i="42"/>
  <c r="BT27" i="42"/>
  <c r="BU27" i="42"/>
  <c r="BV27" i="42"/>
  <c r="BW27" i="42"/>
  <c r="BX27" i="42"/>
  <c r="BY27" i="42"/>
  <c r="BZ27" i="42"/>
  <c r="CA27" i="42"/>
  <c r="CB27" i="42"/>
  <c r="CC27" i="42"/>
  <c r="CD27" i="42"/>
  <c r="CE27" i="42"/>
  <c r="CF27" i="42"/>
  <c r="CG27" i="42"/>
  <c r="CH27" i="42"/>
  <c r="CI27" i="42"/>
  <c r="CJ27" i="42"/>
  <c r="CK27" i="42"/>
  <c r="CL27" i="42"/>
  <c r="CM27" i="42"/>
  <c r="CN27" i="42"/>
  <c r="CO27" i="42"/>
  <c r="CP27" i="42"/>
  <c r="BO28" i="42"/>
  <c r="BP28" i="42"/>
  <c r="BQ28" i="42"/>
  <c r="BR28" i="42"/>
  <c r="BS28" i="42"/>
  <c r="BT28" i="42"/>
  <c r="BU28" i="42"/>
  <c r="BV28" i="42"/>
  <c r="BW28" i="42"/>
  <c r="BX28" i="42"/>
  <c r="BY28" i="42"/>
  <c r="BZ28" i="42"/>
  <c r="CA28" i="42"/>
  <c r="CB28" i="42"/>
  <c r="CC28" i="42"/>
  <c r="CD28" i="42"/>
  <c r="CE28" i="42"/>
  <c r="CF28" i="42"/>
  <c r="CG28" i="42"/>
  <c r="CH28" i="42"/>
  <c r="CI28" i="42"/>
  <c r="CJ28" i="42"/>
  <c r="CK28" i="42"/>
  <c r="CL28" i="42"/>
  <c r="CM28" i="42"/>
  <c r="CN28" i="42"/>
  <c r="CO28" i="42"/>
  <c r="CP28" i="42"/>
  <c r="BO29" i="42"/>
  <c r="BP29" i="42"/>
  <c r="BQ29" i="42"/>
  <c r="BR29" i="42"/>
  <c r="BS29" i="42"/>
  <c r="BT29" i="42"/>
  <c r="BU29" i="42"/>
  <c r="BV29" i="42"/>
  <c r="BW29" i="42"/>
  <c r="BX29" i="42"/>
  <c r="BY29" i="42"/>
  <c r="BZ29" i="42"/>
  <c r="CA29" i="42"/>
  <c r="CB29" i="42"/>
  <c r="CC29" i="42"/>
  <c r="CD29" i="42"/>
  <c r="CE29" i="42"/>
  <c r="CF29" i="42"/>
  <c r="CG29" i="42"/>
  <c r="CH29" i="42"/>
  <c r="CI29" i="42"/>
  <c r="CJ29" i="42"/>
  <c r="CK29" i="42"/>
  <c r="CL29" i="42"/>
  <c r="CM29" i="42"/>
  <c r="CN29" i="42"/>
  <c r="CO29" i="42"/>
  <c r="CP29" i="42"/>
  <c r="BO30" i="42"/>
  <c r="BP30" i="42"/>
  <c r="BQ30" i="42"/>
  <c r="BR30" i="42"/>
  <c r="BS30" i="42"/>
  <c r="BT30" i="42"/>
  <c r="BU30" i="42"/>
  <c r="BV30" i="42"/>
  <c r="BW30" i="42"/>
  <c r="BX30" i="42"/>
  <c r="BY30" i="42"/>
  <c r="BZ30" i="42"/>
  <c r="CA30" i="42"/>
  <c r="CB30" i="42"/>
  <c r="CC30" i="42"/>
  <c r="CD30" i="42"/>
  <c r="CE30" i="42"/>
  <c r="CF30" i="42"/>
  <c r="CG30" i="42"/>
  <c r="CH30" i="42"/>
  <c r="CI30" i="42"/>
  <c r="CJ30" i="42"/>
  <c r="CK30" i="42"/>
  <c r="CL30" i="42"/>
  <c r="CM30" i="42"/>
  <c r="CN30" i="42"/>
  <c r="CO30" i="42"/>
  <c r="CP30" i="42"/>
  <c r="BO31" i="42"/>
  <c r="BP31" i="42"/>
  <c r="BQ31" i="42"/>
  <c r="BR31" i="42"/>
  <c r="BS31" i="42"/>
  <c r="BT31" i="42"/>
  <c r="BU31" i="42"/>
  <c r="BV31" i="42"/>
  <c r="BW31" i="42"/>
  <c r="BX31" i="42"/>
  <c r="BY31" i="42"/>
  <c r="BZ31" i="42"/>
  <c r="CA31" i="42"/>
  <c r="CB31" i="42"/>
  <c r="CC31" i="42"/>
  <c r="CD31" i="42"/>
  <c r="CE31" i="42"/>
  <c r="CF31" i="42"/>
  <c r="CG31" i="42"/>
  <c r="CH31" i="42"/>
  <c r="CI31" i="42"/>
  <c r="CJ31" i="42"/>
  <c r="CK31" i="42"/>
  <c r="CL31" i="42"/>
  <c r="CM31" i="42"/>
  <c r="CN31" i="42"/>
  <c r="CO31" i="42"/>
  <c r="CP31" i="42"/>
  <c r="BO32" i="42"/>
  <c r="BP32" i="42"/>
  <c r="BQ32" i="42"/>
  <c r="BR32" i="42"/>
  <c r="BS32" i="42"/>
  <c r="BT32" i="42"/>
  <c r="BU32" i="42"/>
  <c r="BV32" i="42"/>
  <c r="BW32" i="42"/>
  <c r="BX32" i="42"/>
  <c r="BY32" i="42"/>
  <c r="BZ32" i="42"/>
  <c r="CA32" i="42"/>
  <c r="CB32" i="42"/>
  <c r="CC32" i="42"/>
  <c r="CD32" i="42"/>
  <c r="CE32" i="42"/>
  <c r="CF32" i="42"/>
  <c r="CG32" i="42"/>
  <c r="CH32" i="42"/>
  <c r="CI32" i="42"/>
  <c r="CJ32" i="42"/>
  <c r="CK32" i="42"/>
  <c r="CL32" i="42"/>
  <c r="CM32" i="42"/>
  <c r="CN32" i="42"/>
  <c r="CO32" i="42"/>
  <c r="CP32" i="42"/>
  <c r="BO33" i="42"/>
  <c r="BP33" i="42"/>
  <c r="BQ33" i="42"/>
  <c r="BR33" i="42"/>
  <c r="BS33" i="42"/>
  <c r="BT33" i="42"/>
  <c r="BU33" i="42"/>
  <c r="BV33" i="42"/>
  <c r="BW33" i="42"/>
  <c r="BX33" i="42"/>
  <c r="BY33" i="42"/>
  <c r="BZ33" i="42"/>
  <c r="CA33" i="42"/>
  <c r="CB33" i="42"/>
  <c r="CC33" i="42"/>
  <c r="CD33" i="42"/>
  <c r="CE33" i="42"/>
  <c r="CF33" i="42"/>
  <c r="CG33" i="42"/>
  <c r="CH33" i="42"/>
  <c r="CI33" i="42"/>
  <c r="CJ33" i="42"/>
  <c r="CK33" i="42"/>
  <c r="CL33" i="42"/>
  <c r="CM33" i="42"/>
  <c r="CN33" i="42"/>
  <c r="CO33" i="42"/>
  <c r="CP33" i="42"/>
  <c r="BO34" i="42"/>
  <c r="BP34" i="42"/>
  <c r="BQ34" i="42"/>
  <c r="BR34" i="42"/>
  <c r="BS34" i="42"/>
  <c r="BT34" i="42"/>
  <c r="BU34" i="42"/>
  <c r="BV34" i="42"/>
  <c r="BW34" i="42"/>
  <c r="BX34" i="42"/>
  <c r="BY34" i="42"/>
  <c r="BZ34" i="42"/>
  <c r="CA34" i="42"/>
  <c r="CB34" i="42"/>
  <c r="CC34" i="42"/>
  <c r="CD34" i="42"/>
  <c r="CE34" i="42"/>
  <c r="CF34" i="42"/>
  <c r="CG34" i="42"/>
  <c r="CH34" i="42"/>
  <c r="CI34" i="42"/>
  <c r="CJ34" i="42"/>
  <c r="CK34" i="42"/>
  <c r="CL34" i="42"/>
  <c r="CM34" i="42"/>
  <c r="CN34" i="42"/>
  <c r="CO34" i="42"/>
  <c r="CP34" i="42"/>
  <c r="BO35" i="42"/>
  <c r="BP35" i="42"/>
  <c r="BQ35" i="42"/>
  <c r="BR35" i="42"/>
  <c r="BS35" i="42"/>
  <c r="BT35" i="42"/>
  <c r="BU35" i="42"/>
  <c r="BV35" i="42"/>
  <c r="BW35" i="42"/>
  <c r="BX35" i="42"/>
  <c r="BY35" i="42"/>
  <c r="BZ35" i="42"/>
  <c r="CA35" i="42"/>
  <c r="CB35" i="42"/>
  <c r="CC35" i="42"/>
  <c r="CD35" i="42"/>
  <c r="CE35" i="42"/>
  <c r="CF35" i="42"/>
  <c r="CG35" i="42"/>
  <c r="CH35" i="42"/>
  <c r="CI35" i="42"/>
  <c r="CJ35" i="42"/>
  <c r="CK35" i="42"/>
  <c r="CL35" i="42"/>
  <c r="CM35" i="42"/>
  <c r="CN35" i="42"/>
  <c r="CO35" i="42"/>
  <c r="CP35" i="42"/>
  <c r="BO36" i="42"/>
  <c r="BP36" i="42"/>
  <c r="BQ36" i="42"/>
  <c r="BR36" i="42"/>
  <c r="BS36" i="42"/>
  <c r="BT36" i="42"/>
  <c r="BU36" i="42"/>
  <c r="BV36" i="42"/>
  <c r="BW36" i="42"/>
  <c r="BX36" i="42"/>
  <c r="BY36" i="42"/>
  <c r="BZ36" i="42"/>
  <c r="CA36" i="42"/>
  <c r="CB36" i="42"/>
  <c r="CC36" i="42"/>
  <c r="CD36" i="42"/>
  <c r="CE36" i="42"/>
  <c r="CF36" i="42"/>
  <c r="CG36" i="42"/>
  <c r="CH36" i="42"/>
  <c r="CI36" i="42"/>
  <c r="CJ36" i="42"/>
  <c r="CK36" i="42"/>
  <c r="CL36" i="42"/>
  <c r="CM36" i="42"/>
  <c r="CN36" i="42"/>
  <c r="CO36" i="42"/>
  <c r="CP36" i="42"/>
  <c r="BO37" i="42"/>
  <c r="BP37" i="42"/>
  <c r="BQ37" i="42"/>
  <c r="BR37" i="42"/>
  <c r="BS37" i="42"/>
  <c r="BT37" i="42"/>
  <c r="BU37" i="42"/>
  <c r="BV37" i="42"/>
  <c r="BW37" i="42"/>
  <c r="BX37" i="42"/>
  <c r="BY37" i="42"/>
  <c r="BZ37" i="42"/>
  <c r="CA37" i="42"/>
  <c r="CB37" i="42"/>
  <c r="CC37" i="42"/>
  <c r="CD37" i="42"/>
  <c r="CE37" i="42"/>
  <c r="CF37" i="42"/>
  <c r="CG37" i="42"/>
  <c r="CH37" i="42"/>
  <c r="CI37" i="42"/>
  <c r="CJ37" i="42"/>
  <c r="CK37" i="42"/>
  <c r="CL37" i="42"/>
  <c r="CM37" i="42"/>
  <c r="CN37" i="42"/>
  <c r="CO37" i="42"/>
  <c r="CP37" i="42"/>
  <c r="BO38" i="42"/>
  <c r="BP38" i="42"/>
  <c r="BQ38" i="42"/>
  <c r="BR38" i="42"/>
  <c r="BS38" i="42"/>
  <c r="BT38" i="42"/>
  <c r="BU38" i="42"/>
  <c r="BV38" i="42"/>
  <c r="BW38" i="42"/>
  <c r="BX38" i="42"/>
  <c r="BY38" i="42"/>
  <c r="BZ38" i="42"/>
  <c r="CA38" i="42"/>
  <c r="CB38" i="42"/>
  <c r="CC38" i="42"/>
  <c r="CD38" i="42"/>
  <c r="CE38" i="42"/>
  <c r="CF38" i="42"/>
  <c r="CG38" i="42"/>
  <c r="CH38" i="42"/>
  <c r="CI38" i="42"/>
  <c r="CJ38" i="42"/>
  <c r="CK38" i="42"/>
  <c r="CL38" i="42"/>
  <c r="CM38" i="42"/>
  <c r="CN38" i="42"/>
  <c r="CO38" i="42"/>
  <c r="CP38" i="42"/>
  <c r="BO39" i="42"/>
  <c r="BP39" i="42"/>
  <c r="BQ39" i="42"/>
  <c r="BR39" i="42"/>
  <c r="BS39" i="42"/>
  <c r="BT39" i="42"/>
  <c r="BU39" i="42"/>
  <c r="BV39" i="42"/>
  <c r="BW39" i="42"/>
  <c r="BX39" i="42"/>
  <c r="BY39" i="42"/>
  <c r="BZ39" i="42"/>
  <c r="CA39" i="42"/>
  <c r="CB39" i="42"/>
  <c r="CC39" i="42"/>
  <c r="CD39" i="42"/>
  <c r="CE39" i="42"/>
  <c r="CF39" i="42"/>
  <c r="CG39" i="42"/>
  <c r="CH39" i="42"/>
  <c r="CI39" i="42"/>
  <c r="CJ39" i="42"/>
  <c r="CK39" i="42"/>
  <c r="CL39" i="42"/>
  <c r="CM39" i="42"/>
  <c r="CN39" i="42"/>
  <c r="CO39" i="42"/>
  <c r="CP39" i="42"/>
  <c r="BO40" i="42"/>
  <c r="BP40" i="42"/>
  <c r="BQ40" i="42"/>
  <c r="BR40" i="42"/>
  <c r="BS40" i="42"/>
  <c r="BT40" i="42"/>
  <c r="BU40" i="42"/>
  <c r="BV40" i="42"/>
  <c r="BW40" i="42"/>
  <c r="BX40" i="42"/>
  <c r="BY40" i="42"/>
  <c r="BZ40" i="42"/>
  <c r="CA40" i="42"/>
  <c r="CB40" i="42"/>
  <c r="CC40" i="42"/>
  <c r="CD40" i="42"/>
  <c r="CE40" i="42"/>
  <c r="CF40" i="42"/>
  <c r="CG40" i="42"/>
  <c r="CH40" i="42"/>
  <c r="CI40" i="42"/>
  <c r="CJ40" i="42"/>
  <c r="CK40" i="42"/>
  <c r="CL40" i="42"/>
  <c r="CM40" i="42"/>
  <c r="CN40" i="42"/>
  <c r="CO40" i="42"/>
  <c r="CP40" i="42"/>
  <c r="BO41" i="42"/>
  <c r="BP41" i="42"/>
  <c r="BQ41" i="42"/>
  <c r="BR41" i="42"/>
  <c r="BS41" i="42"/>
  <c r="BT41" i="42"/>
  <c r="BU41" i="42"/>
  <c r="BV41" i="42"/>
  <c r="BW41" i="42"/>
  <c r="BX41" i="42"/>
  <c r="BY41" i="42"/>
  <c r="BZ41" i="42"/>
  <c r="CA41" i="42"/>
  <c r="CB41" i="42"/>
  <c r="CC41" i="42"/>
  <c r="CD41" i="42"/>
  <c r="CE41" i="42"/>
  <c r="CF41" i="42"/>
  <c r="CG41" i="42"/>
  <c r="CH41" i="42"/>
  <c r="CI41" i="42"/>
  <c r="CJ41" i="42"/>
  <c r="CK41" i="42"/>
  <c r="CL41" i="42"/>
  <c r="CM41" i="42"/>
  <c r="CN41" i="42"/>
  <c r="CO41" i="42"/>
  <c r="CP41" i="42"/>
  <c r="BO42" i="42"/>
  <c r="BP42" i="42"/>
  <c r="BQ42" i="42"/>
  <c r="BR42" i="42"/>
  <c r="BS42" i="42"/>
  <c r="BT42" i="42"/>
  <c r="BU42" i="42"/>
  <c r="BV42" i="42"/>
  <c r="BW42" i="42"/>
  <c r="BX42" i="42"/>
  <c r="BY42" i="42"/>
  <c r="BZ42" i="42"/>
  <c r="CA42" i="42"/>
  <c r="CB42" i="42"/>
  <c r="CC42" i="42"/>
  <c r="CD42" i="42"/>
  <c r="CE42" i="42"/>
  <c r="CF42" i="42"/>
  <c r="CG42" i="42"/>
  <c r="CH42" i="42"/>
  <c r="CI42" i="42"/>
  <c r="CJ42" i="42"/>
  <c r="CK42" i="42"/>
  <c r="CL42" i="42"/>
  <c r="CM42" i="42"/>
  <c r="CN42" i="42"/>
  <c r="CO42" i="42"/>
  <c r="CP42" i="42"/>
  <c r="BO43" i="42"/>
  <c r="BP43" i="42"/>
  <c r="BQ43" i="42"/>
  <c r="BR43" i="42"/>
  <c r="BS43" i="42"/>
  <c r="BT43" i="42"/>
  <c r="BU43" i="42"/>
  <c r="BV43" i="42"/>
  <c r="BW43" i="42"/>
  <c r="BX43" i="42"/>
  <c r="BY43" i="42"/>
  <c r="BZ43" i="42"/>
  <c r="CA43" i="42"/>
  <c r="CB43" i="42"/>
  <c r="CC43" i="42"/>
  <c r="CD43" i="42"/>
  <c r="CE43" i="42"/>
  <c r="CF43" i="42"/>
  <c r="CG43" i="42"/>
  <c r="CH43" i="42"/>
  <c r="CI43" i="42"/>
  <c r="CJ43" i="42"/>
  <c r="CK43" i="42"/>
  <c r="CL43" i="42"/>
  <c r="CM43" i="42"/>
  <c r="CN43" i="42"/>
  <c r="CO43" i="42"/>
  <c r="CP43" i="42"/>
  <c r="BO44" i="42"/>
  <c r="BP44" i="42"/>
  <c r="BQ44" i="42"/>
  <c r="BR44" i="42"/>
  <c r="BS44" i="42"/>
  <c r="BT44" i="42"/>
  <c r="BU44" i="42"/>
  <c r="BV44" i="42"/>
  <c r="BW44" i="42"/>
  <c r="BX44" i="42"/>
  <c r="BY44" i="42"/>
  <c r="BZ44" i="42"/>
  <c r="CA44" i="42"/>
  <c r="CB44" i="42"/>
  <c r="CC44" i="42"/>
  <c r="CD44" i="42"/>
  <c r="CE44" i="42"/>
  <c r="CF44" i="42"/>
  <c r="CG44" i="42"/>
  <c r="CH44" i="42"/>
  <c r="CI44" i="42"/>
  <c r="CJ44" i="42"/>
  <c r="CK44" i="42"/>
  <c r="CL44" i="42"/>
  <c r="CM44" i="42"/>
  <c r="CN44" i="42"/>
  <c r="CO44" i="42"/>
  <c r="CP44" i="42"/>
  <c r="BO45" i="42"/>
  <c r="BP45" i="42"/>
  <c r="BQ45" i="42"/>
  <c r="BR45" i="42"/>
  <c r="BS45" i="42"/>
  <c r="BT45" i="42"/>
  <c r="BU45" i="42"/>
  <c r="BV45" i="42"/>
  <c r="BW45" i="42"/>
  <c r="BX45" i="42"/>
  <c r="BY45" i="42"/>
  <c r="BZ45" i="42"/>
  <c r="CA45" i="42"/>
  <c r="CB45" i="42"/>
  <c r="CC45" i="42"/>
  <c r="CD45" i="42"/>
  <c r="CE45" i="42"/>
  <c r="CF45" i="42"/>
  <c r="CG45" i="42"/>
  <c r="CH45" i="42"/>
  <c r="CI45" i="42"/>
  <c r="CJ45" i="42"/>
  <c r="CK45" i="42"/>
  <c r="CL45" i="42"/>
  <c r="CM45" i="42"/>
  <c r="CN45" i="42"/>
  <c r="CO45" i="42"/>
  <c r="CP45" i="42"/>
  <c r="BO46" i="42"/>
  <c r="BP46" i="42"/>
  <c r="BQ46" i="42"/>
  <c r="BR46" i="42"/>
  <c r="BS46" i="42"/>
  <c r="BT46" i="42"/>
  <c r="BU46" i="42"/>
  <c r="BV46" i="42"/>
  <c r="BW46" i="42"/>
  <c r="BX46" i="42"/>
  <c r="BY46" i="42"/>
  <c r="BZ46" i="42"/>
  <c r="CA46" i="42"/>
  <c r="CB46" i="42"/>
  <c r="CC46" i="42"/>
  <c r="CD46" i="42"/>
  <c r="CE46" i="42"/>
  <c r="CF46" i="42"/>
  <c r="CG46" i="42"/>
  <c r="CH46" i="42"/>
  <c r="CI46" i="42"/>
  <c r="CJ46" i="42"/>
  <c r="CK46" i="42"/>
  <c r="CL46" i="42"/>
  <c r="CM46" i="42"/>
  <c r="CN46" i="42"/>
  <c r="CO46" i="42"/>
  <c r="CP46" i="42"/>
  <c r="BO47" i="42"/>
  <c r="BP47" i="42"/>
  <c r="BQ47" i="42"/>
  <c r="BR47" i="42"/>
  <c r="BS47" i="42"/>
  <c r="BT47" i="42"/>
  <c r="BU47" i="42"/>
  <c r="BV47" i="42"/>
  <c r="BW47" i="42"/>
  <c r="BX47" i="42"/>
  <c r="BY47" i="42"/>
  <c r="BZ47" i="42"/>
  <c r="CA47" i="42"/>
  <c r="CB47" i="42"/>
  <c r="CC47" i="42"/>
  <c r="CD47" i="42"/>
  <c r="CE47" i="42"/>
  <c r="CF47" i="42"/>
  <c r="CG47" i="42"/>
  <c r="CH47" i="42"/>
  <c r="CI47" i="42"/>
  <c r="CJ47" i="42"/>
  <c r="CK47" i="42"/>
  <c r="CL47" i="42"/>
  <c r="CM47" i="42"/>
  <c r="CN47" i="42"/>
  <c r="CO47" i="42"/>
  <c r="CP47" i="42"/>
  <c r="BO48" i="42"/>
  <c r="BP48" i="42"/>
  <c r="BQ48" i="42"/>
  <c r="BR48" i="42"/>
  <c r="BS48" i="42"/>
  <c r="BT48" i="42"/>
  <c r="BU48" i="42"/>
  <c r="BV48" i="42"/>
  <c r="BW48" i="42"/>
  <c r="BX48" i="42"/>
  <c r="BY48" i="42"/>
  <c r="BZ48" i="42"/>
  <c r="CA48" i="42"/>
  <c r="CB48" i="42"/>
  <c r="CC48" i="42"/>
  <c r="CD48" i="42"/>
  <c r="CE48" i="42"/>
  <c r="CF48" i="42"/>
  <c r="CG48" i="42"/>
  <c r="CH48" i="42"/>
  <c r="CI48" i="42"/>
  <c r="CJ48" i="42"/>
  <c r="CK48" i="42"/>
  <c r="CL48" i="42"/>
  <c r="CM48" i="42"/>
  <c r="CN48" i="42"/>
  <c r="CO48" i="42"/>
  <c r="CP48" i="42"/>
  <c r="BO49" i="42"/>
  <c r="BP49" i="42"/>
  <c r="BQ49" i="42"/>
  <c r="BR49" i="42"/>
  <c r="BS49" i="42"/>
  <c r="BT49" i="42"/>
  <c r="BU49" i="42"/>
  <c r="BV49" i="42"/>
  <c r="BW49" i="42"/>
  <c r="BX49" i="42"/>
  <c r="BY49" i="42"/>
  <c r="BZ49" i="42"/>
  <c r="CA49" i="42"/>
  <c r="CB49" i="42"/>
  <c r="CC49" i="42"/>
  <c r="CD49" i="42"/>
  <c r="CE49" i="42"/>
  <c r="CF49" i="42"/>
  <c r="CG49" i="42"/>
  <c r="CH49" i="42"/>
  <c r="CI49" i="42"/>
  <c r="CJ49" i="42"/>
  <c r="CK49" i="42"/>
  <c r="CL49" i="42"/>
  <c r="CM49" i="42"/>
  <c r="CN49" i="42"/>
  <c r="CO49" i="42"/>
  <c r="CP49" i="42"/>
  <c r="BO50" i="42"/>
  <c r="BP50" i="42"/>
  <c r="BQ50" i="42"/>
  <c r="BR50" i="42"/>
  <c r="BS50" i="42"/>
  <c r="BT50" i="42"/>
  <c r="BU50" i="42"/>
  <c r="BV50" i="42"/>
  <c r="BW50" i="42"/>
  <c r="BX50" i="42"/>
  <c r="BY50" i="42"/>
  <c r="BZ50" i="42"/>
  <c r="CA50" i="42"/>
  <c r="CB50" i="42"/>
  <c r="CC50" i="42"/>
  <c r="CD50" i="42"/>
  <c r="CE50" i="42"/>
  <c r="CF50" i="42"/>
  <c r="CG50" i="42"/>
  <c r="CH50" i="42"/>
  <c r="CI50" i="42"/>
  <c r="CJ50" i="42"/>
  <c r="CK50" i="42"/>
  <c r="CL50" i="42"/>
  <c r="CM50" i="42"/>
  <c r="CN50" i="42"/>
  <c r="CO50" i="42"/>
  <c r="CP50" i="42"/>
  <c r="BO51" i="42"/>
  <c r="BP51" i="42"/>
  <c r="BQ51" i="42"/>
  <c r="BR51" i="42"/>
  <c r="BS51" i="42"/>
  <c r="BT51" i="42"/>
  <c r="BU51" i="42"/>
  <c r="BV51" i="42"/>
  <c r="BW51" i="42"/>
  <c r="BX51" i="42"/>
  <c r="BY51" i="42"/>
  <c r="BZ51" i="42"/>
  <c r="CA51" i="42"/>
  <c r="CB51" i="42"/>
  <c r="CC51" i="42"/>
  <c r="CD51" i="42"/>
  <c r="CE51" i="42"/>
  <c r="CF51" i="42"/>
  <c r="CG51" i="42"/>
  <c r="CH51" i="42"/>
  <c r="CI51" i="42"/>
  <c r="CJ51" i="42"/>
  <c r="CK51" i="42"/>
  <c r="CL51" i="42"/>
  <c r="CM51" i="42"/>
  <c r="CN51" i="42"/>
  <c r="CO51" i="42"/>
  <c r="CP51" i="42"/>
  <c r="BO52" i="42"/>
  <c r="BP52" i="42"/>
  <c r="BQ52" i="42"/>
  <c r="BR52" i="42"/>
  <c r="BS52" i="42"/>
  <c r="BT52" i="42"/>
  <c r="BU52" i="42"/>
  <c r="BV52" i="42"/>
  <c r="BW52" i="42"/>
  <c r="BX52" i="42"/>
  <c r="BY52" i="42"/>
  <c r="BZ52" i="42"/>
  <c r="CA52" i="42"/>
  <c r="CB52" i="42"/>
  <c r="CC52" i="42"/>
  <c r="CD52" i="42"/>
  <c r="CE52" i="42"/>
  <c r="CF52" i="42"/>
  <c r="CG52" i="42"/>
  <c r="CH52" i="42"/>
  <c r="CI52" i="42"/>
  <c r="CJ52" i="42"/>
  <c r="CK52" i="42"/>
  <c r="CL52" i="42"/>
  <c r="CM52" i="42"/>
  <c r="CN52" i="42"/>
  <c r="CO52" i="42"/>
  <c r="CP52" i="42"/>
  <c r="BO53" i="42"/>
  <c r="BP53" i="42"/>
  <c r="BQ53" i="42"/>
  <c r="BR53" i="42"/>
  <c r="BS53" i="42"/>
  <c r="BT53" i="42"/>
  <c r="BU53" i="42"/>
  <c r="BV53" i="42"/>
  <c r="BW53" i="42"/>
  <c r="BX53" i="42"/>
  <c r="BY53" i="42"/>
  <c r="BZ53" i="42"/>
  <c r="CA53" i="42"/>
  <c r="CB53" i="42"/>
  <c r="CC53" i="42"/>
  <c r="CD53" i="42"/>
  <c r="CE53" i="42"/>
  <c r="CF53" i="42"/>
  <c r="CG53" i="42"/>
  <c r="CH53" i="42"/>
  <c r="CI53" i="42"/>
  <c r="CJ53" i="42"/>
  <c r="CK53" i="42"/>
  <c r="CL53" i="42"/>
  <c r="CM53" i="42"/>
  <c r="CN53" i="42"/>
  <c r="CO53" i="42"/>
  <c r="CP53" i="42"/>
  <c r="BO54" i="42"/>
  <c r="BP54" i="42"/>
  <c r="BQ54" i="42"/>
  <c r="BR54" i="42"/>
  <c r="BS54" i="42"/>
  <c r="BT54" i="42"/>
  <c r="BU54" i="42"/>
  <c r="BV54" i="42"/>
  <c r="BW54" i="42"/>
  <c r="BX54" i="42"/>
  <c r="BY54" i="42"/>
  <c r="BZ54" i="42"/>
  <c r="CA54" i="42"/>
  <c r="CB54" i="42"/>
  <c r="CC54" i="42"/>
  <c r="CD54" i="42"/>
  <c r="CE54" i="42"/>
  <c r="CF54" i="42"/>
  <c r="CG54" i="42"/>
  <c r="CH54" i="42"/>
  <c r="CI54" i="42"/>
  <c r="CJ54" i="42"/>
  <c r="CK54" i="42"/>
  <c r="CL54" i="42"/>
  <c r="CM54" i="42"/>
  <c r="CN54" i="42"/>
  <c r="CO54" i="42"/>
  <c r="CP54" i="42"/>
  <c r="BO55" i="42"/>
  <c r="BP55" i="42"/>
  <c r="BQ55" i="42"/>
  <c r="BR55" i="42"/>
  <c r="BS55" i="42"/>
  <c r="BT55" i="42"/>
  <c r="BU55" i="42"/>
  <c r="BV55" i="42"/>
  <c r="BW55" i="42"/>
  <c r="BX55" i="42"/>
  <c r="BY55" i="42"/>
  <c r="BZ55" i="42"/>
  <c r="CA55" i="42"/>
  <c r="CB55" i="42"/>
  <c r="CC55" i="42"/>
  <c r="CD55" i="42"/>
  <c r="CE55" i="42"/>
  <c r="CF55" i="42"/>
  <c r="CG55" i="42"/>
  <c r="CH55" i="42"/>
  <c r="CI55" i="42"/>
  <c r="CJ55" i="42"/>
  <c r="CK55" i="42"/>
  <c r="CL55" i="42"/>
  <c r="CM55" i="42"/>
  <c r="CN55" i="42"/>
  <c r="CO55" i="42"/>
  <c r="CP55" i="42"/>
  <c r="BO56" i="42"/>
  <c r="BP56" i="42"/>
  <c r="BQ56" i="42"/>
  <c r="BR56" i="42"/>
  <c r="BS56" i="42"/>
  <c r="BT56" i="42"/>
  <c r="BU56" i="42"/>
  <c r="BV56" i="42"/>
  <c r="BW56" i="42"/>
  <c r="BX56" i="42"/>
  <c r="BY56" i="42"/>
  <c r="BZ56" i="42"/>
  <c r="CA56" i="42"/>
  <c r="CB56" i="42"/>
  <c r="CC56" i="42"/>
  <c r="CD56" i="42"/>
  <c r="CE56" i="42"/>
  <c r="CF56" i="42"/>
  <c r="CG56" i="42"/>
  <c r="CH56" i="42"/>
  <c r="CI56" i="42"/>
  <c r="CJ56" i="42"/>
  <c r="CK56" i="42"/>
  <c r="CL56" i="42"/>
  <c r="CM56" i="42"/>
  <c r="CN56" i="42"/>
  <c r="CO56" i="42"/>
  <c r="CP56" i="42"/>
  <c r="BO57" i="42"/>
  <c r="BP57" i="42"/>
  <c r="BQ57" i="42"/>
  <c r="BR57" i="42"/>
  <c r="BS57" i="42"/>
  <c r="BT57" i="42"/>
  <c r="BU57" i="42"/>
  <c r="BV57" i="42"/>
  <c r="BW57" i="42"/>
  <c r="BX57" i="42"/>
  <c r="BY57" i="42"/>
  <c r="BZ57" i="42"/>
  <c r="CA57" i="42"/>
  <c r="CB57" i="42"/>
  <c r="CC57" i="42"/>
  <c r="CD57" i="42"/>
  <c r="CE57" i="42"/>
  <c r="CF57" i="42"/>
  <c r="CG57" i="42"/>
  <c r="CH57" i="42"/>
  <c r="CI57" i="42"/>
  <c r="CJ57" i="42"/>
  <c r="CK57" i="42"/>
  <c r="CL57" i="42"/>
  <c r="CM57" i="42"/>
  <c r="CN57" i="42"/>
  <c r="CO57" i="42"/>
  <c r="CP57" i="42"/>
  <c r="BO58" i="42"/>
  <c r="BP58" i="42"/>
  <c r="BQ58" i="42"/>
  <c r="BR58" i="42"/>
  <c r="BS58" i="42"/>
  <c r="BT58" i="42"/>
  <c r="BU58" i="42"/>
  <c r="BV58" i="42"/>
  <c r="BW58" i="42"/>
  <c r="BX58" i="42"/>
  <c r="BY58" i="42"/>
  <c r="BZ58" i="42"/>
  <c r="CA58" i="42"/>
  <c r="CB58" i="42"/>
  <c r="CC58" i="42"/>
  <c r="CD58" i="42"/>
  <c r="CE58" i="42"/>
  <c r="CF58" i="42"/>
  <c r="CG58" i="42"/>
  <c r="CH58" i="42"/>
  <c r="CI58" i="42"/>
  <c r="CJ58" i="42"/>
  <c r="CK58" i="42"/>
  <c r="CL58" i="42"/>
  <c r="CM58" i="42"/>
  <c r="CN58" i="42"/>
  <c r="CO58" i="42"/>
  <c r="CP58" i="42"/>
  <c r="BO59" i="42"/>
  <c r="BP59" i="42"/>
  <c r="BQ59" i="42"/>
  <c r="BR59" i="42"/>
  <c r="BS59" i="42"/>
  <c r="BT59" i="42"/>
  <c r="BU59" i="42"/>
  <c r="BV59" i="42"/>
  <c r="BW59" i="42"/>
  <c r="BX59" i="42"/>
  <c r="BY59" i="42"/>
  <c r="BZ59" i="42"/>
  <c r="CA59" i="42"/>
  <c r="CB59" i="42"/>
  <c r="CC59" i="42"/>
  <c r="CD59" i="42"/>
  <c r="CE59" i="42"/>
  <c r="CF59" i="42"/>
  <c r="CG59" i="42"/>
  <c r="CH59" i="42"/>
  <c r="CI59" i="42"/>
  <c r="CJ59" i="42"/>
  <c r="CK59" i="42"/>
  <c r="CL59" i="42"/>
  <c r="CM59" i="42"/>
  <c r="CN59" i="42"/>
  <c r="CO59" i="42"/>
  <c r="CP59" i="42"/>
  <c r="BO60" i="42"/>
  <c r="BP60" i="42"/>
  <c r="BQ60" i="42"/>
  <c r="BR60" i="42"/>
  <c r="BS60" i="42"/>
  <c r="BT60" i="42"/>
  <c r="BU60" i="42"/>
  <c r="BV60" i="42"/>
  <c r="BW60" i="42"/>
  <c r="BX60" i="42"/>
  <c r="BY60" i="42"/>
  <c r="BZ60" i="42"/>
  <c r="CA60" i="42"/>
  <c r="CB60" i="42"/>
  <c r="CC60" i="42"/>
  <c r="CD60" i="42"/>
  <c r="CE60" i="42"/>
  <c r="CF60" i="42"/>
  <c r="CG60" i="42"/>
  <c r="CH60" i="42"/>
  <c r="CI60" i="42"/>
  <c r="CJ60" i="42"/>
  <c r="CK60" i="42"/>
  <c r="CL60" i="42"/>
  <c r="CM60" i="42"/>
  <c r="CN60" i="42"/>
  <c r="CO60" i="42"/>
  <c r="CP60" i="42"/>
  <c r="BO61" i="42"/>
  <c r="BP61" i="42"/>
  <c r="BQ61" i="42"/>
  <c r="BR61" i="42"/>
  <c r="BS61" i="42"/>
  <c r="BT61" i="42"/>
  <c r="BU61" i="42"/>
  <c r="BV61" i="42"/>
  <c r="BW61" i="42"/>
  <c r="BX61" i="42"/>
  <c r="BY61" i="42"/>
  <c r="BZ61" i="42"/>
  <c r="CA61" i="42"/>
  <c r="CB61" i="42"/>
  <c r="CC61" i="42"/>
  <c r="CD61" i="42"/>
  <c r="CE61" i="42"/>
  <c r="CF61" i="42"/>
  <c r="CG61" i="42"/>
  <c r="CH61" i="42"/>
  <c r="CI61" i="42"/>
  <c r="CJ61" i="42"/>
  <c r="CK61" i="42"/>
  <c r="CL61" i="42"/>
  <c r="CM61" i="42"/>
  <c r="CN61" i="42"/>
  <c r="CO61" i="42"/>
  <c r="CP61" i="42"/>
  <c r="BO62" i="42"/>
  <c r="BP62" i="42"/>
  <c r="BQ62" i="42"/>
  <c r="BR62" i="42"/>
  <c r="BS62" i="42"/>
  <c r="BT62" i="42"/>
  <c r="BU62" i="42"/>
  <c r="BV62" i="42"/>
  <c r="BW62" i="42"/>
  <c r="BX62" i="42"/>
  <c r="BY62" i="42"/>
  <c r="BZ62" i="42"/>
  <c r="CA62" i="42"/>
  <c r="CB62" i="42"/>
  <c r="CC62" i="42"/>
  <c r="CD62" i="42"/>
  <c r="CE62" i="42"/>
  <c r="CF62" i="42"/>
  <c r="CG62" i="42"/>
  <c r="CH62" i="42"/>
  <c r="CI62" i="42"/>
  <c r="CJ62" i="42"/>
  <c r="CK62" i="42"/>
  <c r="CL62" i="42"/>
  <c r="CM62" i="42"/>
  <c r="CN62" i="42"/>
  <c r="CO62" i="42"/>
  <c r="CP62" i="42"/>
  <c r="BO63" i="42"/>
  <c r="BP63" i="42"/>
  <c r="BQ63" i="42"/>
  <c r="BR63" i="42"/>
  <c r="BS63" i="42"/>
  <c r="BT63" i="42"/>
  <c r="BU63" i="42"/>
  <c r="BV63" i="42"/>
  <c r="BW63" i="42"/>
  <c r="BX63" i="42"/>
  <c r="BY63" i="42"/>
  <c r="BZ63" i="42"/>
  <c r="CA63" i="42"/>
  <c r="CB63" i="42"/>
  <c r="CC63" i="42"/>
  <c r="CD63" i="42"/>
  <c r="CE63" i="42"/>
  <c r="CF63" i="42"/>
  <c r="CG63" i="42"/>
  <c r="CH63" i="42"/>
  <c r="CI63" i="42"/>
  <c r="CJ63" i="42"/>
  <c r="CK63" i="42"/>
  <c r="CL63" i="42"/>
  <c r="CM63" i="42"/>
  <c r="CN63" i="42"/>
  <c r="CO63" i="42"/>
  <c r="CP63" i="42"/>
  <c r="BO64" i="42"/>
  <c r="BP64" i="42"/>
  <c r="BQ64" i="42"/>
  <c r="BR64" i="42"/>
  <c r="BS64" i="42"/>
  <c r="BT64" i="42"/>
  <c r="BU64" i="42"/>
  <c r="BV64" i="42"/>
  <c r="BW64" i="42"/>
  <c r="BX64" i="42"/>
  <c r="BY64" i="42"/>
  <c r="BZ64" i="42"/>
  <c r="CA64" i="42"/>
  <c r="CB64" i="42"/>
  <c r="CC64" i="42"/>
  <c r="CD64" i="42"/>
  <c r="CE64" i="42"/>
  <c r="CF64" i="42"/>
  <c r="CG64" i="42"/>
  <c r="CH64" i="42"/>
  <c r="CI64" i="42"/>
  <c r="CJ64" i="42"/>
  <c r="CK64" i="42"/>
  <c r="CL64" i="42"/>
  <c r="CM64" i="42"/>
  <c r="CN64" i="42"/>
  <c r="CO64" i="42"/>
  <c r="CP64" i="42"/>
  <c r="BO65" i="42"/>
  <c r="BP65" i="42"/>
  <c r="BQ65" i="42"/>
  <c r="BR65" i="42"/>
  <c r="BS65" i="42"/>
  <c r="BT65" i="42"/>
  <c r="BU65" i="42"/>
  <c r="BV65" i="42"/>
  <c r="BW65" i="42"/>
  <c r="BX65" i="42"/>
  <c r="BY65" i="42"/>
  <c r="BZ65" i="42"/>
  <c r="CA65" i="42"/>
  <c r="CB65" i="42"/>
  <c r="CC65" i="42"/>
  <c r="CD65" i="42"/>
  <c r="CE65" i="42"/>
  <c r="CF65" i="42"/>
  <c r="CG65" i="42"/>
  <c r="CH65" i="42"/>
  <c r="CI65" i="42"/>
  <c r="CJ65" i="42"/>
  <c r="CK65" i="42"/>
  <c r="CL65" i="42"/>
  <c r="CM65" i="42"/>
  <c r="CN65" i="42"/>
  <c r="CO65" i="42"/>
  <c r="CP65" i="42"/>
  <c r="BO66" i="42"/>
  <c r="BP66" i="42"/>
  <c r="BQ66" i="42"/>
  <c r="BR66" i="42"/>
  <c r="BS66" i="42"/>
  <c r="BT66" i="42"/>
  <c r="BU66" i="42"/>
  <c r="BV66" i="42"/>
  <c r="BW66" i="42"/>
  <c r="BX66" i="42"/>
  <c r="BY66" i="42"/>
  <c r="BZ66" i="42"/>
  <c r="CA66" i="42"/>
  <c r="CB66" i="42"/>
  <c r="CC66" i="42"/>
  <c r="CD66" i="42"/>
  <c r="CE66" i="42"/>
  <c r="CF66" i="42"/>
  <c r="CG66" i="42"/>
  <c r="CH66" i="42"/>
  <c r="CI66" i="42"/>
  <c r="CJ66" i="42"/>
  <c r="CK66" i="42"/>
  <c r="CL66" i="42"/>
  <c r="CM66" i="42"/>
  <c r="CN66" i="42"/>
  <c r="CO66" i="42"/>
  <c r="CP66" i="42"/>
  <c r="BO67" i="42"/>
  <c r="BP67" i="42"/>
  <c r="BQ67" i="42"/>
  <c r="BR67" i="42"/>
  <c r="BS67" i="42"/>
  <c r="BT67" i="42"/>
  <c r="BU67" i="42"/>
  <c r="BV67" i="42"/>
  <c r="BW67" i="42"/>
  <c r="BX67" i="42"/>
  <c r="BY67" i="42"/>
  <c r="BZ67" i="42"/>
  <c r="CA67" i="42"/>
  <c r="CB67" i="42"/>
  <c r="CC67" i="42"/>
  <c r="CD67" i="42"/>
  <c r="CE67" i="42"/>
  <c r="CF67" i="42"/>
  <c r="CG67" i="42"/>
  <c r="CH67" i="42"/>
  <c r="CI67" i="42"/>
  <c r="CJ67" i="42"/>
  <c r="CK67" i="42"/>
  <c r="CL67" i="42"/>
  <c r="CM67" i="42"/>
  <c r="CN67" i="42"/>
  <c r="CO67" i="42"/>
  <c r="CP67" i="42"/>
  <c r="BO68" i="42"/>
  <c r="BP68" i="42"/>
  <c r="BQ68" i="42"/>
  <c r="BR68" i="42"/>
  <c r="BS68" i="42"/>
  <c r="BT68" i="42"/>
  <c r="BU68" i="42"/>
  <c r="BV68" i="42"/>
  <c r="BW68" i="42"/>
  <c r="BX68" i="42"/>
  <c r="BY68" i="42"/>
  <c r="BZ68" i="42"/>
  <c r="CA68" i="42"/>
  <c r="CB68" i="42"/>
  <c r="CC68" i="42"/>
  <c r="CD68" i="42"/>
  <c r="CE68" i="42"/>
  <c r="CF68" i="42"/>
  <c r="CG68" i="42"/>
  <c r="CH68" i="42"/>
  <c r="CI68" i="42"/>
  <c r="CJ68" i="42"/>
  <c r="CK68" i="42"/>
  <c r="CL68" i="42"/>
  <c r="CM68" i="42"/>
  <c r="CN68" i="42"/>
  <c r="CO68" i="42"/>
  <c r="CP68" i="42"/>
  <c r="BO69" i="42"/>
  <c r="BP69" i="42"/>
  <c r="BQ69" i="42"/>
  <c r="BR69" i="42"/>
  <c r="BS69" i="42"/>
  <c r="BT69" i="42"/>
  <c r="BU69" i="42"/>
  <c r="BV69" i="42"/>
  <c r="BW69" i="42"/>
  <c r="BX69" i="42"/>
  <c r="BY69" i="42"/>
  <c r="BZ69" i="42"/>
  <c r="CA69" i="42"/>
  <c r="CB69" i="42"/>
  <c r="CC69" i="42"/>
  <c r="CD69" i="42"/>
  <c r="CE69" i="42"/>
  <c r="CF69" i="42"/>
  <c r="CG69" i="42"/>
  <c r="CH69" i="42"/>
  <c r="CI69" i="42"/>
  <c r="CJ69" i="42"/>
  <c r="CK69" i="42"/>
  <c r="CL69" i="42"/>
  <c r="CM69" i="42"/>
  <c r="CN69" i="42"/>
  <c r="CO69" i="42"/>
  <c r="CP69" i="42"/>
  <c r="BO70" i="42"/>
  <c r="BP70" i="42"/>
  <c r="BQ70" i="42"/>
  <c r="BR70" i="42"/>
  <c r="BS70" i="42"/>
  <c r="BT70" i="42"/>
  <c r="BU70" i="42"/>
  <c r="BV70" i="42"/>
  <c r="BW70" i="42"/>
  <c r="BX70" i="42"/>
  <c r="BY70" i="42"/>
  <c r="BZ70" i="42"/>
  <c r="CA70" i="42"/>
  <c r="CB70" i="42"/>
  <c r="CC70" i="42"/>
  <c r="CD70" i="42"/>
  <c r="CE70" i="42"/>
  <c r="CF70" i="42"/>
  <c r="CG70" i="42"/>
  <c r="CH70" i="42"/>
  <c r="CI70" i="42"/>
  <c r="CJ70" i="42"/>
  <c r="CK70" i="42"/>
  <c r="CL70" i="42"/>
  <c r="CM70" i="42"/>
  <c r="CN70" i="42"/>
  <c r="CO70" i="42"/>
  <c r="CP70" i="42"/>
  <c r="BO71" i="42"/>
  <c r="BP71" i="42"/>
  <c r="BQ71" i="42"/>
  <c r="BR71" i="42"/>
  <c r="BS71" i="42"/>
  <c r="BT71" i="42"/>
  <c r="BU71" i="42"/>
  <c r="BV71" i="42"/>
  <c r="BW71" i="42"/>
  <c r="BX71" i="42"/>
  <c r="BY71" i="42"/>
  <c r="BZ71" i="42"/>
  <c r="CA71" i="42"/>
  <c r="CB71" i="42"/>
  <c r="CC71" i="42"/>
  <c r="CD71" i="42"/>
  <c r="CE71" i="42"/>
  <c r="CF71" i="42"/>
  <c r="CG71" i="42"/>
  <c r="CH71" i="42"/>
  <c r="CI71" i="42"/>
  <c r="CJ71" i="42"/>
  <c r="CK71" i="42"/>
  <c r="CL71" i="42"/>
  <c r="CM71" i="42"/>
  <c r="CN71" i="42"/>
  <c r="CO71" i="42"/>
  <c r="CP71" i="42"/>
  <c r="BO72" i="42"/>
  <c r="BP72" i="42"/>
  <c r="BQ72" i="42"/>
  <c r="BR72" i="42"/>
  <c r="BS72" i="42"/>
  <c r="BT72" i="42"/>
  <c r="BU72" i="42"/>
  <c r="BV72" i="42"/>
  <c r="BW72" i="42"/>
  <c r="BX72" i="42"/>
  <c r="BY72" i="42"/>
  <c r="BZ72" i="42"/>
  <c r="CA72" i="42"/>
  <c r="CB72" i="42"/>
  <c r="CC72" i="42"/>
  <c r="CD72" i="42"/>
  <c r="CE72" i="42"/>
  <c r="CF72" i="42"/>
  <c r="CG72" i="42"/>
  <c r="CH72" i="42"/>
  <c r="CI72" i="42"/>
  <c r="CJ72" i="42"/>
  <c r="CK72" i="42"/>
  <c r="CL72" i="42"/>
  <c r="CM72" i="42"/>
  <c r="CN72" i="42"/>
  <c r="CO72" i="42"/>
  <c r="CP72" i="42"/>
  <c r="BO73" i="42"/>
  <c r="BP73" i="42"/>
  <c r="BQ73" i="42"/>
  <c r="BR73" i="42"/>
  <c r="BS73" i="42"/>
  <c r="BT73" i="42"/>
  <c r="BU73" i="42"/>
  <c r="BV73" i="42"/>
  <c r="BW73" i="42"/>
  <c r="BX73" i="42"/>
  <c r="BY73" i="42"/>
  <c r="BZ73" i="42"/>
  <c r="CA73" i="42"/>
  <c r="CB73" i="42"/>
  <c r="CC73" i="42"/>
  <c r="CD73" i="42"/>
  <c r="CE73" i="42"/>
  <c r="CF73" i="42"/>
  <c r="CG73" i="42"/>
  <c r="CH73" i="42"/>
  <c r="CI73" i="42"/>
  <c r="CJ73" i="42"/>
  <c r="CK73" i="42"/>
  <c r="CL73" i="42"/>
  <c r="CM73" i="42"/>
  <c r="CN73" i="42"/>
  <c r="CO73" i="42"/>
  <c r="CP73" i="42"/>
  <c r="BO74" i="42"/>
  <c r="BP74" i="42"/>
  <c r="BQ74" i="42"/>
  <c r="BR74" i="42"/>
  <c r="BS74" i="42"/>
  <c r="BT74" i="42"/>
  <c r="BU74" i="42"/>
  <c r="BV74" i="42"/>
  <c r="BW74" i="42"/>
  <c r="BX74" i="42"/>
  <c r="BY74" i="42"/>
  <c r="BZ74" i="42"/>
  <c r="CA74" i="42"/>
  <c r="CB74" i="42"/>
  <c r="CC74" i="42"/>
  <c r="CD74" i="42"/>
  <c r="CE74" i="42"/>
  <c r="CF74" i="42"/>
  <c r="CG74" i="42"/>
  <c r="CH74" i="42"/>
  <c r="CI74" i="42"/>
  <c r="CJ74" i="42"/>
  <c r="CK74" i="42"/>
  <c r="CL74" i="42"/>
  <c r="CM74" i="42"/>
  <c r="CN74" i="42"/>
  <c r="CO74" i="42"/>
  <c r="CP74" i="42"/>
  <c r="BO75" i="42"/>
  <c r="BP75" i="42"/>
  <c r="BQ75" i="42"/>
  <c r="BR75" i="42"/>
  <c r="BS75" i="42"/>
  <c r="BT75" i="42"/>
  <c r="BU75" i="42"/>
  <c r="BV75" i="42"/>
  <c r="BW75" i="42"/>
  <c r="BX75" i="42"/>
  <c r="BY75" i="42"/>
  <c r="BZ75" i="42"/>
  <c r="CA75" i="42"/>
  <c r="CB75" i="42"/>
  <c r="CC75" i="42"/>
  <c r="CD75" i="42"/>
  <c r="CE75" i="42"/>
  <c r="CF75" i="42"/>
  <c r="CG75" i="42"/>
  <c r="CH75" i="42"/>
  <c r="CI75" i="42"/>
  <c r="CJ75" i="42"/>
  <c r="CK75" i="42"/>
  <c r="CL75" i="42"/>
  <c r="CM75" i="42"/>
  <c r="CN75" i="42"/>
  <c r="CO75" i="42"/>
  <c r="CP75" i="42"/>
  <c r="BO76" i="42"/>
  <c r="BP76" i="42"/>
  <c r="BQ76" i="42"/>
  <c r="BR76" i="42"/>
  <c r="BS76" i="42"/>
  <c r="BT76" i="42"/>
  <c r="BU76" i="42"/>
  <c r="BV76" i="42"/>
  <c r="BW76" i="42"/>
  <c r="BX76" i="42"/>
  <c r="BY76" i="42"/>
  <c r="BZ76" i="42"/>
  <c r="CA76" i="42"/>
  <c r="CB76" i="42"/>
  <c r="CC76" i="42"/>
  <c r="CD76" i="42"/>
  <c r="CE76" i="42"/>
  <c r="CF76" i="42"/>
  <c r="CG76" i="42"/>
  <c r="CH76" i="42"/>
  <c r="CI76" i="42"/>
  <c r="CJ76" i="42"/>
  <c r="CK76" i="42"/>
  <c r="CL76" i="42"/>
  <c r="CM76" i="42"/>
  <c r="CN76" i="42"/>
  <c r="CO76" i="42"/>
  <c r="CP76" i="42"/>
  <c r="BO77" i="42"/>
  <c r="BP77" i="42"/>
  <c r="BQ77" i="42"/>
  <c r="BR77" i="42"/>
  <c r="BS77" i="42"/>
  <c r="BT77" i="42"/>
  <c r="BU77" i="42"/>
  <c r="BV77" i="42"/>
  <c r="BW77" i="42"/>
  <c r="BX77" i="42"/>
  <c r="BY77" i="42"/>
  <c r="BZ77" i="42"/>
  <c r="CA77" i="42"/>
  <c r="CB77" i="42"/>
  <c r="CC77" i="42"/>
  <c r="CD77" i="42"/>
  <c r="CE77" i="42"/>
  <c r="CF77" i="42"/>
  <c r="CG77" i="42"/>
  <c r="CH77" i="42"/>
  <c r="CI77" i="42"/>
  <c r="CJ77" i="42"/>
  <c r="CK77" i="42"/>
  <c r="CL77" i="42"/>
  <c r="CM77" i="42"/>
  <c r="CN77" i="42"/>
  <c r="CO77" i="42"/>
  <c r="CP77" i="42"/>
  <c r="BO78" i="42"/>
  <c r="BP78" i="42"/>
  <c r="BQ78" i="42"/>
  <c r="BR78" i="42"/>
  <c r="BS78" i="42"/>
  <c r="BT78" i="42"/>
  <c r="BU78" i="42"/>
  <c r="BV78" i="42"/>
  <c r="BW78" i="42"/>
  <c r="BX78" i="42"/>
  <c r="BY78" i="42"/>
  <c r="BZ78" i="42"/>
  <c r="CA78" i="42"/>
  <c r="CB78" i="42"/>
  <c r="CC78" i="42"/>
  <c r="CD78" i="42"/>
  <c r="CE78" i="42"/>
  <c r="CF78" i="42"/>
  <c r="CG78" i="42"/>
  <c r="CH78" i="42"/>
  <c r="CI78" i="42"/>
  <c r="CJ78" i="42"/>
  <c r="CK78" i="42"/>
  <c r="CL78" i="42"/>
  <c r="CM78" i="42"/>
  <c r="CN78" i="42"/>
  <c r="CO78" i="42"/>
  <c r="CP78" i="42"/>
  <c r="BO79" i="42"/>
  <c r="BP79" i="42"/>
  <c r="BQ79" i="42"/>
  <c r="BR79" i="42"/>
  <c r="BS79" i="42"/>
  <c r="BT79" i="42"/>
  <c r="BU79" i="42"/>
  <c r="BV79" i="42"/>
  <c r="BW79" i="42"/>
  <c r="BX79" i="42"/>
  <c r="BY79" i="42"/>
  <c r="BZ79" i="42"/>
  <c r="CA79" i="42"/>
  <c r="CB79" i="42"/>
  <c r="CC79" i="42"/>
  <c r="CD79" i="42"/>
  <c r="CE79" i="42"/>
  <c r="CF79" i="42"/>
  <c r="CG79" i="42"/>
  <c r="CH79" i="42"/>
  <c r="CI79" i="42"/>
  <c r="CJ79" i="42"/>
  <c r="CK79" i="42"/>
  <c r="CL79" i="42"/>
  <c r="CM79" i="42"/>
  <c r="CN79" i="42"/>
  <c r="CO79" i="42"/>
  <c r="CP79" i="42"/>
  <c r="BO80" i="42"/>
  <c r="BP80" i="42"/>
  <c r="BQ80" i="42"/>
  <c r="BR80" i="42"/>
  <c r="BS80" i="42"/>
  <c r="BT80" i="42"/>
  <c r="BU80" i="42"/>
  <c r="BV80" i="42"/>
  <c r="BW80" i="42"/>
  <c r="BX80" i="42"/>
  <c r="BY80" i="42"/>
  <c r="BZ80" i="42"/>
  <c r="CA80" i="42"/>
  <c r="CB80" i="42"/>
  <c r="CC80" i="42"/>
  <c r="CD80" i="42"/>
  <c r="CE80" i="42"/>
  <c r="CF80" i="42"/>
  <c r="CG80" i="42"/>
  <c r="CH80" i="42"/>
  <c r="CI80" i="42"/>
  <c r="CJ80" i="42"/>
  <c r="CK80" i="42"/>
  <c r="CL80" i="42"/>
  <c r="CM80" i="42"/>
  <c r="CN80" i="42"/>
  <c r="CO80" i="42"/>
  <c r="CP80" i="42"/>
  <c r="BO81" i="42"/>
  <c r="BP81" i="42"/>
  <c r="BQ81" i="42"/>
  <c r="BR81" i="42"/>
  <c r="BS81" i="42"/>
  <c r="BT81" i="42"/>
  <c r="BU81" i="42"/>
  <c r="BV81" i="42"/>
  <c r="BW81" i="42"/>
  <c r="BX81" i="42"/>
  <c r="BY81" i="42"/>
  <c r="BZ81" i="42"/>
  <c r="CA81" i="42"/>
  <c r="CB81" i="42"/>
  <c r="CC81" i="42"/>
  <c r="CD81" i="42"/>
  <c r="CE81" i="42"/>
  <c r="CF81" i="42"/>
  <c r="CG81" i="42"/>
  <c r="CH81" i="42"/>
  <c r="CI81" i="42"/>
  <c r="CJ81" i="42"/>
  <c r="CK81" i="42"/>
  <c r="CL81" i="42"/>
  <c r="CM81" i="42"/>
  <c r="CN81" i="42"/>
  <c r="CO81" i="42"/>
  <c r="CP81" i="42"/>
  <c r="BO82" i="42"/>
  <c r="BP82" i="42"/>
  <c r="BQ82" i="42"/>
  <c r="BR82" i="42"/>
  <c r="BS82" i="42"/>
  <c r="BT82" i="42"/>
  <c r="BU82" i="42"/>
  <c r="BV82" i="42"/>
  <c r="BW82" i="42"/>
  <c r="BX82" i="42"/>
  <c r="BY82" i="42"/>
  <c r="BZ82" i="42"/>
  <c r="CA82" i="42"/>
  <c r="CB82" i="42"/>
  <c r="CC82" i="42"/>
  <c r="CD82" i="42"/>
  <c r="CE82" i="42"/>
  <c r="CF82" i="42"/>
  <c r="CG82" i="42"/>
  <c r="CH82" i="42"/>
  <c r="CI82" i="42"/>
  <c r="CJ82" i="42"/>
  <c r="CK82" i="42"/>
  <c r="CL82" i="42"/>
  <c r="CM82" i="42"/>
  <c r="CN82" i="42"/>
  <c r="CO82" i="42"/>
  <c r="CP82" i="42"/>
  <c r="BO83" i="42"/>
  <c r="BP83" i="42"/>
  <c r="BQ83" i="42"/>
  <c r="BR83" i="42"/>
  <c r="BS83" i="42"/>
  <c r="BT83" i="42"/>
  <c r="BU83" i="42"/>
  <c r="BV83" i="42"/>
  <c r="BW83" i="42"/>
  <c r="BX83" i="42"/>
  <c r="BY83" i="42"/>
  <c r="BZ83" i="42"/>
  <c r="CA83" i="42"/>
  <c r="CB83" i="42"/>
  <c r="CC83" i="42"/>
  <c r="CD83" i="42"/>
  <c r="CE83" i="42"/>
  <c r="CF83" i="42"/>
  <c r="CG83" i="42"/>
  <c r="CH83" i="42"/>
  <c r="CI83" i="42"/>
  <c r="CJ83" i="42"/>
  <c r="CK83" i="42"/>
  <c r="CL83" i="42"/>
  <c r="CM83" i="42"/>
  <c r="CN83" i="42"/>
  <c r="CO83" i="42"/>
  <c r="CP83" i="42"/>
  <c r="BO84" i="42"/>
  <c r="BP84" i="42"/>
  <c r="BQ84" i="42"/>
  <c r="BR84" i="42"/>
  <c r="BS84" i="42"/>
  <c r="BT84" i="42"/>
  <c r="BU84" i="42"/>
  <c r="BV84" i="42"/>
  <c r="BW84" i="42"/>
  <c r="BX84" i="42"/>
  <c r="BY84" i="42"/>
  <c r="BZ84" i="42"/>
  <c r="CA84" i="42"/>
  <c r="CB84" i="42"/>
  <c r="CC84" i="42"/>
  <c r="CD84" i="42"/>
  <c r="CE84" i="42"/>
  <c r="CF84" i="42"/>
  <c r="CG84" i="42"/>
  <c r="CH84" i="42"/>
  <c r="CI84" i="42"/>
  <c r="CJ84" i="42"/>
  <c r="CK84" i="42"/>
  <c r="CL84" i="42"/>
  <c r="CM84" i="42"/>
  <c r="CN84" i="42"/>
  <c r="CO84" i="42"/>
  <c r="CP84" i="42"/>
  <c r="BO85" i="42"/>
  <c r="BP85" i="42"/>
  <c r="BQ85" i="42"/>
  <c r="BR85" i="42"/>
  <c r="BS85" i="42"/>
  <c r="BT85" i="42"/>
  <c r="BU85" i="42"/>
  <c r="BV85" i="42"/>
  <c r="BW85" i="42"/>
  <c r="BX85" i="42"/>
  <c r="BY85" i="42"/>
  <c r="BZ85" i="42"/>
  <c r="CA85" i="42"/>
  <c r="CB85" i="42"/>
  <c r="CC85" i="42"/>
  <c r="CD85" i="42"/>
  <c r="CE85" i="42"/>
  <c r="CF85" i="42"/>
  <c r="CG85" i="42"/>
  <c r="CH85" i="42"/>
  <c r="CI85" i="42"/>
  <c r="CJ85" i="42"/>
  <c r="CK85" i="42"/>
  <c r="CL85" i="42"/>
  <c r="CM85" i="42"/>
  <c r="CN85" i="42"/>
  <c r="CO85" i="42"/>
  <c r="CP85" i="42"/>
  <c r="BO86" i="42"/>
  <c r="BP86" i="42"/>
  <c r="BQ86" i="42"/>
  <c r="BR86" i="42"/>
  <c r="BS86" i="42"/>
  <c r="BT86" i="42"/>
  <c r="BU86" i="42"/>
  <c r="BV86" i="42"/>
  <c r="BW86" i="42"/>
  <c r="BX86" i="42"/>
  <c r="BY86" i="42"/>
  <c r="BZ86" i="42"/>
  <c r="CA86" i="42"/>
  <c r="CB86" i="42"/>
  <c r="CC86" i="42"/>
  <c r="CD86" i="42"/>
  <c r="CE86" i="42"/>
  <c r="CF86" i="42"/>
  <c r="CG86" i="42"/>
  <c r="CH86" i="42"/>
  <c r="CI86" i="42"/>
  <c r="CJ86" i="42"/>
  <c r="CK86" i="42"/>
  <c r="CL86" i="42"/>
  <c r="CM86" i="42"/>
  <c r="CN86" i="42"/>
  <c r="CO86" i="42"/>
  <c r="CP86" i="42"/>
  <c r="BO87" i="42"/>
  <c r="BP87" i="42"/>
  <c r="BQ87" i="42"/>
  <c r="BR87" i="42"/>
  <c r="BS87" i="42"/>
  <c r="BT87" i="42"/>
  <c r="BU87" i="42"/>
  <c r="BV87" i="42"/>
  <c r="BW87" i="42"/>
  <c r="BX87" i="42"/>
  <c r="BY87" i="42"/>
  <c r="BZ87" i="42"/>
  <c r="CA87" i="42"/>
  <c r="CB87" i="42"/>
  <c r="CC87" i="42"/>
  <c r="CD87" i="42"/>
  <c r="CE87" i="42"/>
  <c r="CF87" i="42"/>
  <c r="CG87" i="42"/>
  <c r="CH87" i="42"/>
  <c r="CI87" i="42"/>
  <c r="CJ87" i="42"/>
  <c r="CK87" i="42"/>
  <c r="CL87" i="42"/>
  <c r="CM87" i="42"/>
  <c r="CN87" i="42"/>
  <c r="CO87" i="42"/>
  <c r="CP87" i="42"/>
  <c r="BO88" i="42"/>
  <c r="BP88" i="42"/>
  <c r="BQ88" i="42"/>
  <c r="BR88" i="42"/>
  <c r="BS88" i="42"/>
  <c r="BT88" i="42"/>
  <c r="BU88" i="42"/>
  <c r="BV88" i="42"/>
  <c r="BW88" i="42"/>
  <c r="BX88" i="42"/>
  <c r="BY88" i="42"/>
  <c r="BZ88" i="42"/>
  <c r="CA88" i="42"/>
  <c r="CB88" i="42"/>
  <c r="CC88" i="42"/>
  <c r="CD88" i="42"/>
  <c r="CE88" i="42"/>
  <c r="CF88" i="42"/>
  <c r="CG88" i="42"/>
  <c r="CH88" i="42"/>
  <c r="CI88" i="42"/>
  <c r="CJ88" i="42"/>
  <c r="CK88" i="42"/>
  <c r="CL88" i="42"/>
  <c r="CM88" i="42"/>
  <c r="CN88" i="42"/>
  <c r="CO88" i="42"/>
  <c r="CP88" i="42"/>
  <c r="BO89" i="42"/>
  <c r="BP89" i="42"/>
  <c r="BQ89" i="42"/>
  <c r="BR89" i="42"/>
  <c r="BS89" i="42"/>
  <c r="BT89" i="42"/>
  <c r="BU89" i="42"/>
  <c r="BV89" i="42"/>
  <c r="BW89" i="42"/>
  <c r="BX89" i="42"/>
  <c r="BY89" i="42"/>
  <c r="BZ89" i="42"/>
  <c r="CA89" i="42"/>
  <c r="CB89" i="42"/>
  <c r="CC89" i="42"/>
  <c r="CD89" i="42"/>
  <c r="CE89" i="42"/>
  <c r="CF89" i="42"/>
  <c r="CG89" i="42"/>
  <c r="CH89" i="42"/>
  <c r="CI89" i="42"/>
  <c r="CJ89" i="42"/>
  <c r="CK89" i="42"/>
  <c r="CL89" i="42"/>
  <c r="CM89" i="42"/>
  <c r="CN89" i="42"/>
  <c r="CO89" i="42"/>
  <c r="CP89" i="42"/>
  <c r="BO90" i="42"/>
  <c r="BP90" i="42"/>
  <c r="BQ90" i="42"/>
  <c r="BR90" i="42"/>
  <c r="BS90" i="42"/>
  <c r="BT90" i="42"/>
  <c r="BU90" i="42"/>
  <c r="BV90" i="42"/>
  <c r="BW90" i="42"/>
  <c r="BX90" i="42"/>
  <c r="BY90" i="42"/>
  <c r="BZ90" i="42"/>
  <c r="CA90" i="42"/>
  <c r="CB90" i="42"/>
  <c r="CC90" i="42"/>
  <c r="CD90" i="42"/>
  <c r="CE90" i="42"/>
  <c r="CF90" i="42"/>
  <c r="CG90" i="42"/>
  <c r="CH90" i="42"/>
  <c r="CI90" i="42"/>
  <c r="CJ90" i="42"/>
  <c r="CK90" i="42"/>
  <c r="CL90" i="42"/>
  <c r="CM90" i="42"/>
  <c r="CN90" i="42"/>
  <c r="CO90" i="42"/>
  <c r="CP90" i="42"/>
  <c r="BO91" i="42"/>
  <c r="BP91" i="42"/>
  <c r="BQ91" i="42"/>
  <c r="BR91" i="42"/>
  <c r="BS91" i="42"/>
  <c r="BT91" i="42"/>
  <c r="BU91" i="42"/>
  <c r="BV91" i="42"/>
  <c r="BW91" i="42"/>
  <c r="BX91" i="42"/>
  <c r="BY91" i="42"/>
  <c r="BZ91" i="42"/>
  <c r="CA91" i="42"/>
  <c r="CB91" i="42"/>
  <c r="CC91" i="42"/>
  <c r="CD91" i="42"/>
  <c r="CE91" i="42"/>
  <c r="CF91" i="42"/>
  <c r="CG91" i="42"/>
  <c r="CH91" i="42"/>
  <c r="CI91" i="42"/>
  <c r="CJ91" i="42"/>
  <c r="CK91" i="42"/>
  <c r="CL91" i="42"/>
  <c r="CM91" i="42"/>
  <c r="CN91" i="42"/>
  <c r="CO91" i="42"/>
  <c r="CP91" i="42"/>
  <c r="BO92" i="42"/>
  <c r="BP92" i="42"/>
  <c r="BQ92" i="42"/>
  <c r="BR92" i="42"/>
  <c r="BS92" i="42"/>
  <c r="BT92" i="42"/>
  <c r="BU92" i="42"/>
  <c r="BV92" i="42"/>
  <c r="BW92" i="42"/>
  <c r="BX92" i="42"/>
  <c r="BY92" i="42"/>
  <c r="BZ92" i="42"/>
  <c r="CA92" i="42"/>
  <c r="CB92" i="42"/>
  <c r="CC92" i="42"/>
  <c r="CD92" i="42"/>
  <c r="CE92" i="42"/>
  <c r="CF92" i="42"/>
  <c r="CG92" i="42"/>
  <c r="CH92" i="42"/>
  <c r="CI92" i="42"/>
  <c r="CJ92" i="42"/>
  <c r="CK92" i="42"/>
  <c r="CL92" i="42"/>
  <c r="CM92" i="42"/>
  <c r="CN92" i="42"/>
  <c r="CO92" i="42"/>
  <c r="CP92" i="42"/>
  <c r="BO93" i="42"/>
  <c r="BP93" i="42"/>
  <c r="BQ93" i="42"/>
  <c r="BR93" i="42"/>
  <c r="BS93" i="42"/>
  <c r="BT93" i="42"/>
  <c r="BU93" i="42"/>
  <c r="BV93" i="42"/>
  <c r="BW93" i="42"/>
  <c r="BX93" i="42"/>
  <c r="BY93" i="42"/>
  <c r="BZ93" i="42"/>
  <c r="CA93" i="42"/>
  <c r="CB93" i="42"/>
  <c r="CC93" i="42"/>
  <c r="CD93" i="42"/>
  <c r="CE93" i="42"/>
  <c r="CF93" i="42"/>
  <c r="CG93" i="42"/>
  <c r="CH93" i="42"/>
  <c r="CI93" i="42"/>
  <c r="CJ93" i="42"/>
  <c r="CK93" i="42"/>
  <c r="CL93" i="42"/>
  <c r="CM93" i="42"/>
  <c r="CN93" i="42"/>
  <c r="CO93" i="42"/>
  <c r="CP93" i="42"/>
  <c r="BO94" i="42"/>
  <c r="BP94" i="42"/>
  <c r="BQ94" i="42"/>
  <c r="BR94" i="42"/>
  <c r="BS94" i="42"/>
  <c r="BT94" i="42"/>
  <c r="BU94" i="42"/>
  <c r="BV94" i="42"/>
  <c r="BW94" i="42"/>
  <c r="BX94" i="42"/>
  <c r="BY94" i="42"/>
  <c r="BZ94" i="42"/>
  <c r="CA94" i="42"/>
  <c r="CB94" i="42"/>
  <c r="CC94" i="42"/>
  <c r="CD94" i="42"/>
  <c r="CE94" i="42"/>
  <c r="CF94" i="42"/>
  <c r="CG94" i="42"/>
  <c r="CH94" i="42"/>
  <c r="CI94" i="42"/>
  <c r="CJ94" i="42"/>
  <c r="CK94" i="42"/>
  <c r="CL94" i="42"/>
  <c r="CM94" i="42"/>
  <c r="CN94" i="42"/>
  <c r="CO94" i="42"/>
  <c r="CP94" i="42"/>
  <c r="BO95" i="42"/>
  <c r="BP95" i="42"/>
  <c r="BQ95" i="42"/>
  <c r="BR95" i="42"/>
  <c r="BS95" i="42"/>
  <c r="BT95" i="42"/>
  <c r="BU95" i="42"/>
  <c r="BV95" i="42"/>
  <c r="BW95" i="42"/>
  <c r="BX95" i="42"/>
  <c r="BY95" i="42"/>
  <c r="BZ95" i="42"/>
  <c r="CA95" i="42"/>
  <c r="CB95" i="42"/>
  <c r="CC95" i="42"/>
  <c r="CD95" i="42"/>
  <c r="CE95" i="42"/>
  <c r="CF95" i="42"/>
  <c r="CG95" i="42"/>
  <c r="CH95" i="42"/>
  <c r="CI95" i="42"/>
  <c r="CJ95" i="42"/>
  <c r="CK95" i="42"/>
  <c r="CL95" i="42"/>
  <c r="CM95" i="42"/>
  <c r="CN95" i="42"/>
  <c r="CO95" i="42"/>
  <c r="CP95" i="42"/>
  <c r="BO96" i="42"/>
  <c r="BP96" i="42"/>
  <c r="BQ96" i="42"/>
  <c r="BR96" i="42"/>
  <c r="BS96" i="42"/>
  <c r="BT96" i="42"/>
  <c r="BU96" i="42"/>
  <c r="BV96" i="42"/>
  <c r="BW96" i="42"/>
  <c r="BX96" i="42"/>
  <c r="BY96" i="42"/>
  <c r="BZ96" i="42"/>
  <c r="CA96" i="42"/>
  <c r="CB96" i="42"/>
  <c r="CC96" i="42"/>
  <c r="CD96" i="42"/>
  <c r="CE96" i="42"/>
  <c r="CF96" i="42"/>
  <c r="CG96" i="42"/>
  <c r="CH96" i="42"/>
  <c r="CI96" i="42"/>
  <c r="CJ96" i="42"/>
  <c r="CK96" i="42"/>
  <c r="CL96" i="42"/>
  <c r="CM96" i="42"/>
  <c r="CN96" i="42"/>
  <c r="CO96" i="42"/>
  <c r="CP96" i="42"/>
  <c r="BO97" i="42"/>
  <c r="BP97" i="42"/>
  <c r="BQ97" i="42"/>
  <c r="BR97" i="42"/>
  <c r="BS97" i="42"/>
  <c r="BT97" i="42"/>
  <c r="BU97" i="42"/>
  <c r="BV97" i="42"/>
  <c r="BW97" i="42"/>
  <c r="BX97" i="42"/>
  <c r="BY97" i="42"/>
  <c r="BZ97" i="42"/>
  <c r="CA97" i="42"/>
  <c r="CB97" i="42"/>
  <c r="CC97" i="42"/>
  <c r="CD97" i="42"/>
  <c r="CE97" i="42"/>
  <c r="CF97" i="42"/>
  <c r="CG97" i="42"/>
  <c r="CH97" i="42"/>
  <c r="CI97" i="42"/>
  <c r="CJ97" i="42"/>
  <c r="CK97" i="42"/>
  <c r="CL97" i="42"/>
  <c r="CM97" i="42"/>
  <c r="CN97" i="42"/>
  <c r="CO97" i="42"/>
  <c r="CP97" i="42"/>
  <c r="BO98" i="42"/>
  <c r="BP98" i="42"/>
  <c r="BQ98" i="42"/>
  <c r="BR98" i="42"/>
  <c r="BS98" i="42"/>
  <c r="BT98" i="42"/>
  <c r="BU98" i="42"/>
  <c r="BV98" i="42"/>
  <c r="BW98" i="42"/>
  <c r="BX98" i="42"/>
  <c r="BY98" i="42"/>
  <c r="BZ98" i="42"/>
  <c r="CA98" i="42"/>
  <c r="CB98" i="42"/>
  <c r="CC98" i="42"/>
  <c r="CD98" i="42"/>
  <c r="CE98" i="42"/>
  <c r="CF98" i="42"/>
  <c r="CG98" i="42"/>
  <c r="CH98" i="42"/>
  <c r="CI98" i="42"/>
  <c r="CJ98" i="42"/>
  <c r="CK98" i="42"/>
  <c r="CL98" i="42"/>
  <c r="CM98" i="42"/>
  <c r="CN98" i="42"/>
  <c r="CO98" i="42"/>
  <c r="CP98" i="42"/>
  <c r="BO99" i="42"/>
  <c r="BP99" i="42"/>
  <c r="BQ99" i="42"/>
  <c r="BR99" i="42"/>
  <c r="BS99" i="42"/>
  <c r="BT99" i="42"/>
  <c r="BU99" i="42"/>
  <c r="BV99" i="42"/>
  <c r="BW99" i="42"/>
  <c r="BX99" i="42"/>
  <c r="BY99" i="42"/>
  <c r="BZ99" i="42"/>
  <c r="CA99" i="42"/>
  <c r="CB99" i="42"/>
  <c r="CC99" i="42"/>
  <c r="CD99" i="42"/>
  <c r="CE99" i="42"/>
  <c r="CF99" i="42"/>
  <c r="CG99" i="42"/>
  <c r="CH99" i="42"/>
  <c r="CI99" i="42"/>
  <c r="CJ99" i="42"/>
  <c r="CK99" i="42"/>
  <c r="CL99" i="42"/>
  <c r="CM99" i="42"/>
  <c r="CN99" i="42"/>
  <c r="CO99" i="42"/>
  <c r="CP99" i="42"/>
  <c r="BO100" i="42"/>
  <c r="BP100" i="42"/>
  <c r="BQ100" i="42"/>
  <c r="BR100" i="42"/>
  <c r="BS100" i="42"/>
  <c r="BT100" i="42"/>
  <c r="BU100" i="42"/>
  <c r="BV100" i="42"/>
  <c r="BW100" i="42"/>
  <c r="BX100" i="42"/>
  <c r="BY100" i="42"/>
  <c r="BZ100" i="42"/>
  <c r="CA100" i="42"/>
  <c r="CB100" i="42"/>
  <c r="CC100" i="42"/>
  <c r="CD100" i="42"/>
  <c r="CE100" i="42"/>
  <c r="CF100" i="42"/>
  <c r="CG100" i="42"/>
  <c r="CH100" i="42"/>
  <c r="CI100" i="42"/>
  <c r="CJ100" i="42"/>
  <c r="CK100" i="42"/>
  <c r="CL100" i="42"/>
  <c r="CM100" i="42"/>
  <c r="CN100" i="42"/>
  <c r="CO100" i="42"/>
  <c r="CP100" i="42"/>
  <c r="BO101" i="42"/>
  <c r="BP101" i="42"/>
  <c r="BQ101" i="42"/>
  <c r="BR101" i="42"/>
  <c r="BS101" i="42"/>
  <c r="BT101" i="42"/>
  <c r="BU101" i="42"/>
  <c r="BV101" i="42"/>
  <c r="BW101" i="42"/>
  <c r="BX101" i="42"/>
  <c r="BY101" i="42"/>
  <c r="BZ101" i="42"/>
  <c r="CA101" i="42"/>
  <c r="CB101" i="42"/>
  <c r="CC101" i="42"/>
  <c r="CD101" i="42"/>
  <c r="CE101" i="42"/>
  <c r="CF101" i="42"/>
  <c r="CG101" i="42"/>
  <c r="CH101" i="42"/>
  <c r="CI101" i="42"/>
  <c r="CJ101" i="42"/>
  <c r="CK101" i="42"/>
  <c r="CL101" i="42"/>
  <c r="CM101" i="42"/>
  <c r="CN101" i="42"/>
  <c r="CO101" i="42"/>
  <c r="CP101" i="42"/>
  <c r="BO102" i="42"/>
  <c r="BP102" i="42"/>
  <c r="BQ102" i="42"/>
  <c r="BR102" i="42"/>
  <c r="BS102" i="42"/>
  <c r="BT102" i="42"/>
  <c r="BU102" i="42"/>
  <c r="BV102" i="42"/>
  <c r="BW102" i="42"/>
  <c r="BX102" i="42"/>
  <c r="BY102" i="42"/>
  <c r="BZ102" i="42"/>
  <c r="CA102" i="42"/>
  <c r="CB102" i="42"/>
  <c r="CC102" i="42"/>
  <c r="CD102" i="42"/>
  <c r="CE102" i="42"/>
  <c r="CF102" i="42"/>
  <c r="CG102" i="42"/>
  <c r="CH102" i="42"/>
  <c r="CI102" i="42"/>
  <c r="CJ102" i="42"/>
  <c r="CK102" i="42"/>
  <c r="CL102" i="42"/>
  <c r="CM102" i="42"/>
  <c r="CN102" i="42"/>
  <c r="CO102" i="42"/>
  <c r="CP102" i="42"/>
  <c r="BO103" i="42"/>
  <c r="BP103" i="42"/>
  <c r="BQ103" i="42"/>
  <c r="BR103" i="42"/>
  <c r="BS103" i="42"/>
  <c r="BT103" i="42"/>
  <c r="BU103" i="42"/>
  <c r="BV103" i="42"/>
  <c r="BW103" i="42"/>
  <c r="BX103" i="42"/>
  <c r="BY103" i="42"/>
  <c r="BZ103" i="42"/>
  <c r="CA103" i="42"/>
  <c r="CB103" i="42"/>
  <c r="CC103" i="42"/>
  <c r="CD103" i="42"/>
  <c r="CE103" i="42"/>
  <c r="CF103" i="42"/>
  <c r="CG103" i="42"/>
  <c r="CH103" i="42"/>
  <c r="CI103" i="42"/>
  <c r="CJ103" i="42"/>
  <c r="CK103" i="42"/>
  <c r="CL103" i="42"/>
  <c r="CM103" i="42"/>
  <c r="CN103" i="42"/>
  <c r="CO103" i="42"/>
  <c r="CP103" i="42"/>
  <c r="BO104" i="42"/>
  <c r="BP104" i="42"/>
  <c r="BQ104" i="42"/>
  <c r="BR104" i="42"/>
  <c r="BS104" i="42"/>
  <c r="BT104" i="42"/>
  <c r="BU104" i="42"/>
  <c r="BV104" i="42"/>
  <c r="BW104" i="42"/>
  <c r="BX104" i="42"/>
  <c r="BY104" i="42"/>
  <c r="BZ104" i="42"/>
  <c r="CA104" i="42"/>
  <c r="CB104" i="42"/>
  <c r="CC104" i="42"/>
  <c r="CD104" i="42"/>
  <c r="CE104" i="42"/>
  <c r="CF104" i="42"/>
  <c r="CG104" i="42"/>
  <c r="CH104" i="42"/>
  <c r="CI104" i="42"/>
  <c r="CJ104" i="42"/>
  <c r="CK104" i="42"/>
  <c r="CL104" i="42"/>
  <c r="CM104" i="42"/>
  <c r="CN104" i="42"/>
  <c r="CO104" i="42"/>
  <c r="CP104" i="42"/>
  <c r="BO105" i="42"/>
  <c r="BP105" i="42"/>
  <c r="BQ105" i="42"/>
  <c r="BR105" i="42"/>
  <c r="BS105" i="42"/>
  <c r="BT105" i="42"/>
  <c r="BU105" i="42"/>
  <c r="BV105" i="42"/>
  <c r="BW105" i="42"/>
  <c r="BX105" i="42"/>
  <c r="BY105" i="42"/>
  <c r="BZ105" i="42"/>
  <c r="CA105" i="42"/>
  <c r="CB105" i="42"/>
  <c r="CC105" i="42"/>
  <c r="CD105" i="42"/>
  <c r="CE105" i="42"/>
  <c r="CF105" i="42"/>
  <c r="CG105" i="42"/>
  <c r="CH105" i="42"/>
  <c r="CI105" i="42"/>
  <c r="CJ105" i="42"/>
  <c r="CK105" i="42"/>
  <c r="CL105" i="42"/>
  <c r="CM105" i="42"/>
  <c r="CN105" i="42"/>
  <c r="CO105" i="42"/>
  <c r="CP105" i="42"/>
  <c r="BO106" i="42"/>
  <c r="BP106" i="42"/>
  <c r="BQ106" i="42"/>
  <c r="BR106" i="42"/>
  <c r="BS106" i="42"/>
  <c r="BT106" i="42"/>
  <c r="BU106" i="42"/>
  <c r="BV106" i="42"/>
  <c r="BW106" i="42"/>
  <c r="BX106" i="42"/>
  <c r="BY106" i="42"/>
  <c r="BZ106" i="42"/>
  <c r="CA106" i="42"/>
  <c r="CB106" i="42"/>
  <c r="CC106" i="42"/>
  <c r="CD106" i="42"/>
  <c r="CE106" i="42"/>
  <c r="CF106" i="42"/>
  <c r="CG106" i="42"/>
  <c r="CH106" i="42"/>
  <c r="CI106" i="42"/>
  <c r="CJ106" i="42"/>
  <c r="CK106" i="42"/>
  <c r="CL106" i="42"/>
  <c r="CM106" i="42"/>
  <c r="CN106" i="42"/>
  <c r="CO106" i="42"/>
  <c r="CP106" i="42"/>
  <c r="BO107" i="42"/>
  <c r="BP107" i="42"/>
  <c r="BQ107" i="42"/>
  <c r="BR107" i="42"/>
  <c r="BS107" i="42"/>
  <c r="BT107" i="42"/>
  <c r="BU107" i="42"/>
  <c r="BV107" i="42"/>
  <c r="BW107" i="42"/>
  <c r="BX107" i="42"/>
  <c r="BY107" i="42"/>
  <c r="BZ107" i="42"/>
  <c r="CA107" i="42"/>
  <c r="CB107" i="42"/>
  <c r="CC107" i="42"/>
  <c r="CD107" i="42"/>
  <c r="CE107" i="42"/>
  <c r="CF107" i="42"/>
  <c r="CG107" i="42"/>
  <c r="CH107" i="42"/>
  <c r="CI107" i="42"/>
  <c r="CJ107" i="42"/>
  <c r="CK107" i="42"/>
  <c r="CL107" i="42"/>
  <c r="CM107" i="42"/>
  <c r="CN107" i="42"/>
  <c r="CO107" i="42"/>
  <c r="CP107" i="42"/>
  <c r="BO108" i="42"/>
  <c r="BP108" i="42"/>
  <c r="BQ108" i="42"/>
  <c r="BR108" i="42"/>
  <c r="BS108" i="42"/>
  <c r="BT108" i="42"/>
  <c r="BU108" i="42"/>
  <c r="BV108" i="42"/>
  <c r="BW108" i="42"/>
  <c r="BX108" i="42"/>
  <c r="BY108" i="42"/>
  <c r="BZ108" i="42"/>
  <c r="CA108" i="42"/>
  <c r="CB108" i="42"/>
  <c r="CC108" i="42"/>
  <c r="CD108" i="42"/>
  <c r="CE108" i="42"/>
  <c r="CF108" i="42"/>
  <c r="CG108" i="42"/>
  <c r="CH108" i="42"/>
  <c r="CI108" i="42"/>
  <c r="CJ108" i="42"/>
  <c r="CK108" i="42"/>
  <c r="CL108" i="42"/>
  <c r="CM108" i="42"/>
  <c r="CN108" i="42"/>
  <c r="CO108" i="42"/>
  <c r="CP108" i="42"/>
  <c r="BO109" i="42"/>
  <c r="BP109" i="42"/>
  <c r="BQ109" i="42"/>
  <c r="BR109" i="42"/>
  <c r="BS109" i="42"/>
  <c r="BT109" i="42"/>
  <c r="BU109" i="42"/>
  <c r="BV109" i="42"/>
  <c r="BW109" i="42"/>
  <c r="BX109" i="42"/>
  <c r="BY109" i="42"/>
  <c r="BZ109" i="42"/>
  <c r="CA109" i="42"/>
  <c r="CB109" i="42"/>
  <c r="CC109" i="42"/>
  <c r="CD109" i="42"/>
  <c r="CE109" i="42"/>
  <c r="CF109" i="42"/>
  <c r="CG109" i="42"/>
  <c r="CH109" i="42"/>
  <c r="CI109" i="42"/>
  <c r="CJ109" i="42"/>
  <c r="CK109" i="42"/>
  <c r="CL109" i="42"/>
  <c r="CM109" i="42"/>
  <c r="CN109" i="42"/>
  <c r="CO109" i="42"/>
  <c r="CP109" i="42"/>
  <c r="BO110" i="42"/>
  <c r="BP110" i="42"/>
  <c r="BQ110" i="42"/>
  <c r="BR110" i="42"/>
  <c r="BS110" i="42"/>
  <c r="BT110" i="42"/>
  <c r="BU110" i="42"/>
  <c r="BV110" i="42"/>
  <c r="BW110" i="42"/>
  <c r="BX110" i="42"/>
  <c r="BY110" i="42"/>
  <c r="BZ110" i="42"/>
  <c r="CA110" i="42"/>
  <c r="CB110" i="42"/>
  <c r="CC110" i="42"/>
  <c r="CD110" i="42"/>
  <c r="CE110" i="42"/>
  <c r="CF110" i="42"/>
  <c r="CG110" i="42"/>
  <c r="CH110" i="42"/>
  <c r="CI110" i="42"/>
  <c r="CJ110" i="42"/>
  <c r="CK110" i="42"/>
  <c r="CL110" i="42"/>
  <c r="CM110" i="42"/>
  <c r="CN110" i="42"/>
  <c r="CO110" i="42"/>
  <c r="CP110" i="42"/>
  <c r="BO111" i="42"/>
  <c r="BP111" i="42"/>
  <c r="BQ111" i="42"/>
  <c r="BR111" i="42"/>
  <c r="BS111" i="42"/>
  <c r="BT111" i="42"/>
  <c r="BU111" i="42"/>
  <c r="BV111" i="42"/>
  <c r="BW111" i="42"/>
  <c r="BX111" i="42"/>
  <c r="BY111" i="42"/>
  <c r="BZ111" i="42"/>
  <c r="CA111" i="42"/>
  <c r="CB111" i="42"/>
  <c r="CC111" i="42"/>
  <c r="CD111" i="42"/>
  <c r="CE111" i="42"/>
  <c r="CF111" i="42"/>
  <c r="CG111" i="42"/>
  <c r="CH111" i="42"/>
  <c r="CI111" i="42"/>
  <c r="CJ111" i="42"/>
  <c r="CK111" i="42"/>
  <c r="CL111" i="42"/>
  <c r="CM111" i="42"/>
  <c r="CN111" i="42"/>
  <c r="CO111" i="42"/>
  <c r="CP111" i="42"/>
  <c r="BO112" i="42"/>
  <c r="BP112" i="42"/>
  <c r="BQ112" i="42"/>
  <c r="BR112" i="42"/>
  <c r="BS112" i="42"/>
  <c r="BT112" i="42"/>
  <c r="BU112" i="42"/>
  <c r="BV112" i="42"/>
  <c r="BW112" i="42"/>
  <c r="BX112" i="42"/>
  <c r="BY112" i="42"/>
  <c r="BZ112" i="42"/>
  <c r="CA112" i="42"/>
  <c r="CB112" i="42"/>
  <c r="CC112" i="42"/>
  <c r="CD112" i="42"/>
  <c r="CE112" i="42"/>
  <c r="CF112" i="42"/>
  <c r="CG112" i="42"/>
  <c r="CH112" i="42"/>
  <c r="CI112" i="42"/>
  <c r="CJ112" i="42"/>
  <c r="CK112" i="42"/>
  <c r="CL112" i="42"/>
  <c r="CM112" i="42"/>
  <c r="CN112" i="42"/>
  <c r="CO112" i="42"/>
  <c r="CP112" i="42"/>
  <c r="BO113" i="42"/>
  <c r="BP113" i="42"/>
  <c r="BQ113" i="42"/>
  <c r="BR113" i="42"/>
  <c r="BS113" i="42"/>
  <c r="BT113" i="42"/>
  <c r="BU113" i="42"/>
  <c r="BV113" i="42"/>
  <c r="BW113" i="42"/>
  <c r="BX113" i="42"/>
  <c r="BY113" i="42"/>
  <c r="BZ113" i="42"/>
  <c r="CA113" i="42"/>
  <c r="CB113" i="42"/>
  <c r="CC113" i="42"/>
  <c r="CD113" i="42"/>
  <c r="CE113" i="42"/>
  <c r="CF113" i="42"/>
  <c r="CG113" i="42"/>
  <c r="CH113" i="42"/>
  <c r="CI113" i="42"/>
  <c r="CJ113" i="42"/>
  <c r="CK113" i="42"/>
  <c r="CL113" i="42"/>
  <c r="CM113" i="42"/>
  <c r="CN113" i="42"/>
  <c r="CO113" i="42"/>
  <c r="CP113" i="42"/>
  <c r="BO114" i="42"/>
  <c r="BP114" i="42"/>
  <c r="BQ114" i="42"/>
  <c r="BR114" i="42"/>
  <c r="BS114" i="42"/>
  <c r="BT114" i="42"/>
  <c r="BU114" i="42"/>
  <c r="BV114" i="42"/>
  <c r="BW114" i="42"/>
  <c r="BX114" i="42"/>
  <c r="BY114" i="42"/>
  <c r="BZ114" i="42"/>
  <c r="CA114" i="42"/>
  <c r="CB114" i="42"/>
  <c r="CC114" i="42"/>
  <c r="CD114" i="42"/>
  <c r="CE114" i="42"/>
  <c r="CF114" i="42"/>
  <c r="CG114" i="42"/>
  <c r="CH114" i="42"/>
  <c r="CI114" i="42"/>
  <c r="CJ114" i="42"/>
  <c r="CK114" i="42"/>
  <c r="CL114" i="42"/>
  <c r="CM114" i="42"/>
  <c r="CN114" i="42"/>
  <c r="CO114" i="42"/>
  <c r="CP114" i="42"/>
  <c r="BO115" i="42"/>
  <c r="BP115" i="42"/>
  <c r="BQ115" i="42"/>
  <c r="BR115" i="42"/>
  <c r="BS115" i="42"/>
  <c r="BT115" i="42"/>
  <c r="BU115" i="42"/>
  <c r="BV115" i="42"/>
  <c r="BW115" i="42"/>
  <c r="BX115" i="42"/>
  <c r="BY115" i="42"/>
  <c r="BZ115" i="42"/>
  <c r="CA115" i="42"/>
  <c r="CB115" i="42"/>
  <c r="CC115" i="42"/>
  <c r="CD115" i="42"/>
  <c r="CE115" i="42"/>
  <c r="CF115" i="42"/>
  <c r="CG115" i="42"/>
  <c r="CH115" i="42"/>
  <c r="CI115" i="42"/>
  <c r="CJ115" i="42"/>
  <c r="CK115" i="42"/>
  <c r="CL115" i="42"/>
  <c r="CM115" i="42"/>
  <c r="CN115" i="42"/>
  <c r="CO115" i="42"/>
  <c r="CP115" i="42"/>
  <c r="BO116" i="42"/>
  <c r="BP116" i="42"/>
  <c r="BQ116" i="42"/>
  <c r="BR116" i="42"/>
  <c r="BS116" i="42"/>
  <c r="BT116" i="42"/>
  <c r="BU116" i="42"/>
  <c r="BV116" i="42"/>
  <c r="BW116" i="42"/>
  <c r="BX116" i="42"/>
  <c r="BY116" i="42"/>
  <c r="BZ116" i="42"/>
  <c r="CA116" i="42"/>
  <c r="CB116" i="42"/>
  <c r="CC116" i="42"/>
  <c r="CD116" i="42"/>
  <c r="CE116" i="42"/>
  <c r="CF116" i="42"/>
  <c r="CG116" i="42"/>
  <c r="CH116" i="42"/>
  <c r="CI116" i="42"/>
  <c r="CJ116" i="42"/>
  <c r="CK116" i="42"/>
  <c r="CL116" i="42"/>
  <c r="CM116" i="42"/>
  <c r="CN116" i="42"/>
  <c r="CO116" i="42"/>
  <c r="CP116" i="42"/>
  <c r="BO117" i="42"/>
  <c r="BP117" i="42"/>
  <c r="BQ117" i="42"/>
  <c r="BR117" i="42"/>
  <c r="BS117" i="42"/>
  <c r="BT117" i="42"/>
  <c r="BU117" i="42"/>
  <c r="BV117" i="42"/>
  <c r="BW117" i="42"/>
  <c r="BX117" i="42"/>
  <c r="BY117" i="42"/>
  <c r="BZ117" i="42"/>
  <c r="CA117" i="42"/>
  <c r="CB117" i="42"/>
  <c r="CC117" i="42"/>
  <c r="CD117" i="42"/>
  <c r="CE117" i="42"/>
  <c r="CF117" i="42"/>
  <c r="CG117" i="42"/>
  <c r="CH117" i="42"/>
  <c r="CI117" i="42"/>
  <c r="CJ117" i="42"/>
  <c r="CK117" i="42"/>
  <c r="CL117" i="42"/>
  <c r="CM117" i="42"/>
  <c r="CN117" i="42"/>
  <c r="CO117" i="42"/>
  <c r="CP117" i="42"/>
  <c r="BO118" i="42"/>
  <c r="BP118" i="42"/>
  <c r="BQ118" i="42"/>
  <c r="BR118" i="42"/>
  <c r="BS118" i="42"/>
  <c r="BT118" i="42"/>
  <c r="BU118" i="42"/>
  <c r="BV118" i="42"/>
  <c r="BW118" i="42"/>
  <c r="BX118" i="42"/>
  <c r="BY118" i="42"/>
  <c r="BZ118" i="42"/>
  <c r="CA118" i="42"/>
  <c r="CB118" i="42"/>
  <c r="CC118" i="42"/>
  <c r="CD118" i="42"/>
  <c r="CE118" i="42"/>
  <c r="CF118" i="42"/>
  <c r="CG118" i="42"/>
  <c r="CH118" i="42"/>
  <c r="CI118" i="42"/>
  <c r="CJ118" i="42"/>
  <c r="CK118" i="42"/>
  <c r="CL118" i="42"/>
  <c r="CM118" i="42"/>
  <c r="CN118" i="42"/>
  <c r="CO118" i="42"/>
  <c r="CP118" i="42"/>
  <c r="BO119" i="42"/>
  <c r="BP119" i="42"/>
  <c r="BQ119" i="42"/>
  <c r="BR119" i="42"/>
  <c r="BS119" i="42"/>
  <c r="BT119" i="42"/>
  <c r="BU119" i="42"/>
  <c r="BV119" i="42"/>
  <c r="BW119" i="42"/>
  <c r="BX119" i="42"/>
  <c r="BY119" i="42"/>
  <c r="BZ119" i="42"/>
  <c r="CA119" i="42"/>
  <c r="CB119" i="42"/>
  <c r="CC119" i="42"/>
  <c r="CD119" i="42"/>
  <c r="CE119" i="42"/>
  <c r="CF119" i="42"/>
  <c r="CG119" i="42"/>
  <c r="CH119" i="42"/>
  <c r="CI119" i="42"/>
  <c r="CJ119" i="42"/>
  <c r="CK119" i="42"/>
  <c r="CL119" i="42"/>
  <c r="CM119" i="42"/>
  <c r="CN119" i="42"/>
  <c r="CO119" i="42"/>
  <c r="CP119" i="42"/>
  <c r="BO120" i="42"/>
  <c r="BP120" i="42"/>
  <c r="BQ120" i="42"/>
  <c r="BR120" i="42"/>
  <c r="BS120" i="42"/>
  <c r="BT120" i="42"/>
  <c r="BU120" i="42"/>
  <c r="BV120" i="42"/>
  <c r="BW120" i="42"/>
  <c r="BX120" i="42"/>
  <c r="BY120" i="42"/>
  <c r="BZ120" i="42"/>
  <c r="CA120" i="42"/>
  <c r="CB120" i="42"/>
  <c r="CC120" i="42"/>
  <c r="CD120" i="42"/>
  <c r="CE120" i="42"/>
  <c r="CF120" i="42"/>
  <c r="CG120" i="42"/>
  <c r="CH120" i="42"/>
  <c r="CI120" i="42"/>
  <c r="CJ120" i="42"/>
  <c r="CK120" i="42"/>
  <c r="CL120" i="42"/>
  <c r="CM120" i="42"/>
  <c r="CN120" i="42"/>
  <c r="CO120" i="42"/>
  <c r="CP120" i="42"/>
  <c r="BO121" i="42"/>
  <c r="BP121" i="42"/>
  <c r="BQ121" i="42"/>
  <c r="BR121" i="42"/>
  <c r="BS121" i="42"/>
  <c r="BT121" i="42"/>
  <c r="BU121" i="42"/>
  <c r="BV121" i="42"/>
  <c r="BW121" i="42"/>
  <c r="BX121" i="42"/>
  <c r="BY121" i="42"/>
  <c r="BZ121" i="42"/>
  <c r="CA121" i="42"/>
  <c r="CB121" i="42"/>
  <c r="CC121" i="42"/>
  <c r="CD121" i="42"/>
  <c r="CE121" i="42"/>
  <c r="CF121" i="42"/>
  <c r="CG121" i="42"/>
  <c r="CH121" i="42"/>
  <c r="CI121" i="42"/>
  <c r="CJ121" i="42"/>
  <c r="CK121" i="42"/>
  <c r="CL121" i="42"/>
  <c r="CM121" i="42"/>
  <c r="CN121" i="42"/>
  <c r="CO121" i="42"/>
  <c r="CP121" i="42"/>
  <c r="BO122" i="42"/>
  <c r="BP122" i="42"/>
  <c r="BQ122" i="42"/>
  <c r="BR122" i="42"/>
  <c r="BS122" i="42"/>
  <c r="BT122" i="42"/>
  <c r="BU122" i="42"/>
  <c r="BV122" i="42"/>
  <c r="BW122" i="42"/>
  <c r="BX122" i="42"/>
  <c r="BY122" i="42"/>
  <c r="BZ122" i="42"/>
  <c r="CA122" i="42"/>
  <c r="CB122" i="42"/>
  <c r="CC122" i="42"/>
  <c r="CD122" i="42"/>
  <c r="CE122" i="42"/>
  <c r="CF122" i="42"/>
  <c r="CG122" i="42"/>
  <c r="CH122" i="42"/>
  <c r="CI122" i="42"/>
  <c r="CJ122" i="42"/>
  <c r="CK122" i="42"/>
  <c r="CL122" i="42"/>
  <c r="CM122" i="42"/>
  <c r="CN122" i="42"/>
  <c r="CO122" i="42"/>
  <c r="CP122" i="42"/>
  <c r="BO123" i="42"/>
  <c r="BP123" i="42"/>
  <c r="BQ123" i="42"/>
  <c r="BR123" i="42"/>
  <c r="BS123" i="42"/>
  <c r="BT123" i="42"/>
  <c r="BU123" i="42"/>
  <c r="BV123" i="42"/>
  <c r="BW123" i="42"/>
  <c r="BX123" i="42"/>
  <c r="BY123" i="42"/>
  <c r="BZ123" i="42"/>
  <c r="CA123" i="42"/>
  <c r="CB123" i="42"/>
  <c r="CC123" i="42"/>
  <c r="CD123" i="42"/>
  <c r="CE123" i="42"/>
  <c r="CF123" i="42"/>
  <c r="CG123" i="42"/>
  <c r="CH123" i="42"/>
  <c r="CI123" i="42"/>
  <c r="CJ123" i="42"/>
  <c r="CK123" i="42"/>
  <c r="CL123" i="42"/>
  <c r="CM123" i="42"/>
  <c r="CN123" i="42"/>
  <c r="CO123" i="42"/>
  <c r="CP123" i="42"/>
  <c r="BO124" i="42"/>
  <c r="BP124" i="42"/>
  <c r="BQ124" i="42"/>
  <c r="BR124" i="42"/>
  <c r="BS124" i="42"/>
  <c r="BT124" i="42"/>
  <c r="BU124" i="42"/>
  <c r="BV124" i="42"/>
  <c r="BW124" i="42"/>
  <c r="BX124" i="42"/>
  <c r="BY124" i="42"/>
  <c r="BZ124" i="42"/>
  <c r="CA124" i="42"/>
  <c r="CB124" i="42"/>
  <c r="CC124" i="42"/>
  <c r="CD124" i="42"/>
  <c r="CE124" i="42"/>
  <c r="CF124" i="42"/>
  <c r="CG124" i="42"/>
  <c r="CH124" i="42"/>
  <c r="CI124" i="42"/>
  <c r="CJ124" i="42"/>
  <c r="CK124" i="42"/>
  <c r="CL124" i="42"/>
  <c r="CM124" i="42"/>
  <c r="CN124" i="42"/>
  <c r="CO124" i="42"/>
  <c r="CP124" i="42"/>
  <c r="BO125" i="42"/>
  <c r="BP125" i="42"/>
  <c r="BQ125" i="42"/>
  <c r="BR125" i="42"/>
  <c r="BS125" i="42"/>
  <c r="BT125" i="42"/>
  <c r="BU125" i="42"/>
  <c r="BV125" i="42"/>
  <c r="BW125" i="42"/>
  <c r="BX125" i="42"/>
  <c r="BY125" i="42"/>
  <c r="BZ125" i="42"/>
  <c r="CA125" i="42"/>
  <c r="CB125" i="42"/>
  <c r="CC125" i="42"/>
  <c r="CD125" i="42"/>
  <c r="CE125" i="42"/>
  <c r="CF125" i="42"/>
  <c r="CG125" i="42"/>
  <c r="CH125" i="42"/>
  <c r="CI125" i="42"/>
  <c r="CJ125" i="42"/>
  <c r="CK125" i="42"/>
  <c r="CL125" i="42"/>
  <c r="CM125" i="42"/>
  <c r="CN125" i="42"/>
  <c r="CO125" i="42"/>
  <c r="CP125" i="42"/>
  <c r="BO126" i="42"/>
  <c r="BP126" i="42"/>
  <c r="BQ126" i="42"/>
  <c r="BR126" i="42"/>
  <c r="BS126" i="42"/>
  <c r="BT126" i="42"/>
  <c r="BU126" i="42"/>
  <c r="BV126" i="42"/>
  <c r="BW126" i="42"/>
  <c r="BX126" i="42"/>
  <c r="BY126" i="42"/>
  <c r="BZ126" i="42"/>
  <c r="CA126" i="42"/>
  <c r="CB126" i="42"/>
  <c r="CC126" i="42"/>
  <c r="CD126" i="42"/>
  <c r="CE126" i="42"/>
  <c r="CF126" i="42"/>
  <c r="CG126" i="42"/>
  <c r="CH126" i="42"/>
  <c r="CI126" i="42"/>
  <c r="CJ126" i="42"/>
  <c r="CK126" i="42"/>
  <c r="CL126" i="42"/>
  <c r="CM126" i="42"/>
  <c r="CN126" i="42"/>
  <c r="CO126" i="42"/>
  <c r="CP126" i="42"/>
  <c r="BO127" i="42"/>
  <c r="BP127" i="42"/>
  <c r="BQ127" i="42"/>
  <c r="BR127" i="42"/>
  <c r="BS127" i="42"/>
  <c r="BT127" i="42"/>
  <c r="BU127" i="42"/>
  <c r="BV127" i="42"/>
  <c r="BW127" i="42"/>
  <c r="BX127" i="42"/>
  <c r="BY127" i="42"/>
  <c r="BZ127" i="42"/>
  <c r="CA127" i="42"/>
  <c r="CB127" i="42"/>
  <c r="CC127" i="42"/>
  <c r="CD127" i="42"/>
  <c r="CE127" i="42"/>
  <c r="CF127" i="42"/>
  <c r="CG127" i="42"/>
  <c r="CH127" i="42"/>
  <c r="CI127" i="42"/>
  <c r="CJ127" i="42"/>
  <c r="CK127" i="42"/>
  <c r="CL127" i="42"/>
  <c r="CM127" i="42"/>
  <c r="CN127" i="42"/>
  <c r="CO127" i="42"/>
  <c r="CP127" i="42"/>
  <c r="BO128" i="42"/>
  <c r="BP128" i="42"/>
  <c r="BQ128" i="42"/>
  <c r="BR128" i="42"/>
  <c r="BS128" i="42"/>
  <c r="BT128" i="42"/>
  <c r="BU128" i="42"/>
  <c r="BV128" i="42"/>
  <c r="BW128" i="42"/>
  <c r="BX128" i="42"/>
  <c r="BY128" i="42"/>
  <c r="BZ128" i="42"/>
  <c r="CA128" i="42"/>
  <c r="CB128" i="42"/>
  <c r="CC128" i="42"/>
  <c r="CD128" i="42"/>
  <c r="CE128" i="42"/>
  <c r="CF128" i="42"/>
  <c r="CG128" i="42"/>
  <c r="CH128" i="42"/>
  <c r="CI128" i="42"/>
  <c r="CJ128" i="42"/>
  <c r="CK128" i="42"/>
  <c r="CL128" i="42"/>
  <c r="CM128" i="42"/>
  <c r="CN128" i="42"/>
  <c r="CO128" i="42"/>
  <c r="CP128" i="42"/>
  <c r="BO129" i="42"/>
  <c r="BP129" i="42"/>
  <c r="BQ129" i="42"/>
  <c r="BR129" i="42"/>
  <c r="BS129" i="42"/>
  <c r="BT129" i="42"/>
  <c r="BU129" i="42"/>
  <c r="BV129" i="42"/>
  <c r="BW129" i="42"/>
  <c r="BX129" i="42"/>
  <c r="BY129" i="42"/>
  <c r="BZ129" i="42"/>
  <c r="CA129" i="42"/>
  <c r="CB129" i="42"/>
  <c r="CC129" i="42"/>
  <c r="CD129" i="42"/>
  <c r="CE129" i="42"/>
  <c r="CF129" i="42"/>
  <c r="CG129" i="42"/>
  <c r="CH129" i="42"/>
  <c r="CI129" i="42"/>
  <c r="CJ129" i="42"/>
  <c r="CK129" i="42"/>
  <c r="CL129" i="42"/>
  <c r="CM129" i="42"/>
  <c r="CN129" i="42"/>
  <c r="CO129" i="42"/>
  <c r="CP129" i="42"/>
  <c r="BO130" i="42"/>
  <c r="BP130" i="42"/>
  <c r="BQ130" i="42"/>
  <c r="BR130" i="42"/>
  <c r="BS130" i="42"/>
  <c r="BT130" i="42"/>
  <c r="BU130" i="42"/>
  <c r="BV130" i="42"/>
  <c r="BW130" i="42"/>
  <c r="BX130" i="42"/>
  <c r="BY130" i="42"/>
  <c r="BZ130" i="42"/>
  <c r="CA130" i="42"/>
  <c r="CB130" i="42"/>
  <c r="CC130" i="42"/>
  <c r="CD130" i="42"/>
  <c r="CE130" i="42"/>
  <c r="CF130" i="42"/>
  <c r="CG130" i="42"/>
  <c r="CH130" i="42"/>
  <c r="CI130" i="42"/>
  <c r="CJ130" i="42"/>
  <c r="CK130" i="42"/>
  <c r="CL130" i="42"/>
  <c r="CM130" i="42"/>
  <c r="CN130" i="42"/>
  <c r="CO130" i="42"/>
  <c r="CP130" i="42"/>
  <c r="BO131" i="42"/>
  <c r="BP131" i="42"/>
  <c r="BQ131" i="42"/>
  <c r="BR131" i="42"/>
  <c r="BS131" i="42"/>
  <c r="BT131" i="42"/>
  <c r="BU131" i="42"/>
  <c r="BV131" i="42"/>
  <c r="BW131" i="42"/>
  <c r="BX131" i="42"/>
  <c r="BY131" i="42"/>
  <c r="BZ131" i="42"/>
  <c r="CA131" i="42"/>
  <c r="CB131" i="42"/>
  <c r="CC131" i="42"/>
  <c r="CD131" i="42"/>
  <c r="CE131" i="42"/>
  <c r="CF131" i="42"/>
  <c r="CG131" i="42"/>
  <c r="CH131" i="42"/>
  <c r="CI131" i="42"/>
  <c r="CJ131" i="42"/>
  <c r="CK131" i="42"/>
  <c r="CL131" i="42"/>
  <c r="CM131" i="42"/>
  <c r="CN131" i="42"/>
  <c r="CO131" i="42"/>
  <c r="CP131" i="42"/>
  <c r="BO132" i="42"/>
  <c r="BP132" i="42"/>
  <c r="BQ132" i="42"/>
  <c r="BR132" i="42"/>
  <c r="BS132" i="42"/>
  <c r="BT132" i="42"/>
  <c r="BU132" i="42"/>
  <c r="BV132" i="42"/>
  <c r="BW132" i="42"/>
  <c r="BX132" i="42"/>
  <c r="BY132" i="42"/>
  <c r="BZ132" i="42"/>
  <c r="CA132" i="42"/>
  <c r="CB132" i="42"/>
  <c r="CC132" i="42"/>
  <c r="CD132" i="42"/>
  <c r="CE132" i="42"/>
  <c r="CF132" i="42"/>
  <c r="CG132" i="42"/>
  <c r="CH132" i="42"/>
  <c r="CI132" i="42"/>
  <c r="CJ132" i="42"/>
  <c r="CK132" i="42"/>
  <c r="CL132" i="42"/>
  <c r="CM132" i="42"/>
  <c r="CN132" i="42"/>
  <c r="CO132" i="42"/>
  <c r="CP132" i="42"/>
  <c r="BO133" i="42"/>
  <c r="BP133" i="42"/>
  <c r="BQ133" i="42"/>
  <c r="BR133" i="42"/>
  <c r="BS133" i="42"/>
  <c r="BT133" i="42"/>
  <c r="BU133" i="42"/>
  <c r="BV133" i="42"/>
  <c r="BW133" i="42"/>
  <c r="BX133" i="42"/>
  <c r="BY133" i="42"/>
  <c r="BZ133" i="42"/>
  <c r="CA133" i="42"/>
  <c r="CB133" i="42"/>
  <c r="CC133" i="42"/>
  <c r="CD133" i="42"/>
  <c r="CE133" i="42"/>
  <c r="CF133" i="42"/>
  <c r="CG133" i="42"/>
  <c r="CH133" i="42"/>
  <c r="CI133" i="42"/>
  <c r="CJ133" i="42"/>
  <c r="CK133" i="42"/>
  <c r="CL133" i="42"/>
  <c r="CM133" i="42"/>
  <c r="CN133" i="42"/>
  <c r="CO133" i="42"/>
  <c r="CP133" i="42"/>
  <c r="BO134" i="42"/>
  <c r="BP134" i="42"/>
  <c r="BQ134" i="42"/>
  <c r="BR134" i="42"/>
  <c r="BS134" i="42"/>
  <c r="BT134" i="42"/>
  <c r="BU134" i="42"/>
  <c r="BV134" i="42"/>
  <c r="BW134" i="42"/>
  <c r="BX134" i="42"/>
  <c r="BY134" i="42"/>
  <c r="BZ134" i="42"/>
  <c r="CA134" i="42"/>
  <c r="CB134" i="42"/>
  <c r="CC134" i="42"/>
  <c r="CD134" i="42"/>
  <c r="CE134" i="42"/>
  <c r="CF134" i="42"/>
  <c r="CG134" i="42"/>
  <c r="CH134" i="42"/>
  <c r="CI134" i="42"/>
  <c r="CJ134" i="42"/>
  <c r="CK134" i="42"/>
  <c r="CL134" i="42"/>
  <c r="CM134" i="42"/>
  <c r="CN134" i="42"/>
  <c r="CO134" i="42"/>
  <c r="CP134" i="42"/>
  <c r="BO135" i="42"/>
  <c r="BP135" i="42"/>
  <c r="BQ135" i="42"/>
  <c r="BR135" i="42"/>
  <c r="BS135" i="42"/>
  <c r="BT135" i="42"/>
  <c r="BU135" i="42"/>
  <c r="BV135" i="42"/>
  <c r="BW135" i="42"/>
  <c r="BX135" i="42"/>
  <c r="BY135" i="42"/>
  <c r="BZ135" i="42"/>
  <c r="CA135" i="42"/>
  <c r="CB135" i="42"/>
  <c r="CC135" i="42"/>
  <c r="CD135" i="42"/>
  <c r="CE135" i="42"/>
  <c r="CF135" i="42"/>
  <c r="CG135" i="42"/>
  <c r="CH135" i="42"/>
  <c r="CI135" i="42"/>
  <c r="CJ135" i="42"/>
  <c r="CK135" i="42"/>
  <c r="CL135" i="42"/>
  <c r="CM135" i="42"/>
  <c r="CN135" i="42"/>
  <c r="CO135" i="42"/>
  <c r="CP135" i="42"/>
  <c r="BO136" i="42"/>
  <c r="BP136" i="42"/>
  <c r="BQ136" i="42"/>
  <c r="BR136" i="42"/>
  <c r="BS136" i="42"/>
  <c r="BT136" i="42"/>
  <c r="BU136" i="42"/>
  <c r="BV136" i="42"/>
  <c r="BW136" i="42"/>
  <c r="BX136" i="42"/>
  <c r="BY136" i="42"/>
  <c r="BZ136" i="42"/>
  <c r="CA136" i="42"/>
  <c r="CB136" i="42"/>
  <c r="CC136" i="42"/>
  <c r="CD136" i="42"/>
  <c r="CE136" i="42"/>
  <c r="CF136" i="42"/>
  <c r="CG136" i="42"/>
  <c r="CH136" i="42"/>
  <c r="CI136" i="42"/>
  <c r="CJ136" i="42"/>
  <c r="CK136" i="42"/>
  <c r="CL136" i="42"/>
  <c r="CM136" i="42"/>
  <c r="CN136" i="42"/>
  <c r="CO136" i="42"/>
  <c r="CP136" i="42"/>
  <c r="BO137" i="42"/>
  <c r="BP137" i="42"/>
  <c r="BQ137" i="42"/>
  <c r="BR137" i="42"/>
  <c r="BS137" i="42"/>
  <c r="BT137" i="42"/>
  <c r="BU137" i="42"/>
  <c r="BV137" i="42"/>
  <c r="BW137" i="42"/>
  <c r="BX137" i="42"/>
  <c r="BY137" i="42"/>
  <c r="BZ137" i="42"/>
  <c r="CA137" i="42"/>
  <c r="CB137" i="42"/>
  <c r="CC137" i="42"/>
  <c r="CD137" i="42"/>
  <c r="CE137" i="42"/>
  <c r="CF137" i="42"/>
  <c r="CG137" i="42"/>
  <c r="CH137" i="42"/>
  <c r="CI137" i="42"/>
  <c r="CJ137" i="42"/>
  <c r="CK137" i="42"/>
  <c r="CL137" i="42"/>
  <c r="CM137" i="42"/>
  <c r="CN137" i="42"/>
  <c r="CO137" i="42"/>
  <c r="CP137" i="42"/>
  <c r="BO138" i="42"/>
  <c r="BP138" i="42"/>
  <c r="BQ138" i="42"/>
  <c r="BR138" i="42"/>
  <c r="BS138" i="42"/>
  <c r="BT138" i="42"/>
  <c r="BU138" i="42"/>
  <c r="BV138" i="42"/>
  <c r="BW138" i="42"/>
  <c r="BX138" i="42"/>
  <c r="BY138" i="42"/>
  <c r="BZ138" i="42"/>
  <c r="CA138" i="42"/>
  <c r="CB138" i="42"/>
  <c r="CC138" i="42"/>
  <c r="CD138" i="42"/>
  <c r="CE138" i="42"/>
  <c r="CF138" i="42"/>
  <c r="CG138" i="42"/>
  <c r="CH138" i="42"/>
  <c r="CI138" i="42"/>
  <c r="CJ138" i="42"/>
  <c r="CK138" i="42"/>
  <c r="CL138" i="42"/>
  <c r="CM138" i="42"/>
  <c r="CN138" i="42"/>
  <c r="CO138" i="42"/>
  <c r="CP138" i="42"/>
  <c r="BO139" i="42"/>
  <c r="BP139" i="42"/>
  <c r="BQ139" i="42"/>
  <c r="BR139" i="42"/>
  <c r="BS139" i="42"/>
  <c r="BT139" i="42"/>
  <c r="BU139" i="42"/>
  <c r="BV139" i="42"/>
  <c r="BW139" i="42"/>
  <c r="BX139" i="42"/>
  <c r="BY139" i="42"/>
  <c r="BZ139" i="42"/>
  <c r="CA139" i="42"/>
  <c r="CB139" i="42"/>
  <c r="CC139" i="42"/>
  <c r="CD139" i="42"/>
  <c r="CE139" i="42"/>
  <c r="CF139" i="42"/>
  <c r="CG139" i="42"/>
  <c r="CH139" i="42"/>
  <c r="CI139" i="42"/>
  <c r="CJ139" i="42"/>
  <c r="CK139" i="42"/>
  <c r="CL139" i="42"/>
  <c r="CM139" i="42"/>
  <c r="CN139" i="42"/>
  <c r="CO139" i="42"/>
  <c r="CP139" i="42"/>
  <c r="BO140" i="42"/>
  <c r="BP140" i="42"/>
  <c r="BQ140" i="42"/>
  <c r="BR140" i="42"/>
  <c r="BS140" i="42"/>
  <c r="BT140" i="42"/>
  <c r="BU140" i="42"/>
  <c r="BV140" i="42"/>
  <c r="BW140" i="42"/>
  <c r="BX140" i="42"/>
  <c r="BY140" i="42"/>
  <c r="BZ140" i="42"/>
  <c r="CA140" i="42"/>
  <c r="CB140" i="42"/>
  <c r="CC140" i="42"/>
  <c r="CD140" i="42"/>
  <c r="CE140" i="42"/>
  <c r="CF140" i="42"/>
  <c r="CG140" i="42"/>
  <c r="CH140" i="42"/>
  <c r="CI140" i="42"/>
  <c r="CJ140" i="42"/>
  <c r="CK140" i="42"/>
  <c r="CL140" i="42"/>
  <c r="CM140" i="42"/>
  <c r="CN140" i="42"/>
  <c r="CO140" i="42"/>
  <c r="CP140" i="42"/>
  <c r="BO141" i="42"/>
  <c r="BP141" i="42"/>
  <c r="BQ141" i="42"/>
  <c r="BR141" i="42"/>
  <c r="BS141" i="42"/>
  <c r="BT141" i="42"/>
  <c r="BU141" i="42"/>
  <c r="BV141" i="42"/>
  <c r="BW141" i="42"/>
  <c r="BX141" i="42"/>
  <c r="BY141" i="42"/>
  <c r="BZ141" i="42"/>
  <c r="CA141" i="42"/>
  <c r="CB141" i="42"/>
  <c r="CC141" i="42"/>
  <c r="CD141" i="42"/>
  <c r="CE141" i="42"/>
  <c r="CF141" i="42"/>
  <c r="CG141" i="42"/>
  <c r="CH141" i="42"/>
  <c r="CI141" i="42"/>
  <c r="CJ141" i="42"/>
  <c r="CK141" i="42"/>
  <c r="CL141" i="42"/>
  <c r="CM141" i="42"/>
  <c r="CN141" i="42"/>
  <c r="CO141" i="42"/>
  <c r="CP141" i="42"/>
  <c r="BO142" i="42"/>
  <c r="BP142" i="42"/>
  <c r="BQ142" i="42"/>
  <c r="BR142" i="42"/>
  <c r="BS142" i="42"/>
  <c r="BT142" i="42"/>
  <c r="BU142" i="42"/>
  <c r="BV142" i="42"/>
  <c r="BW142" i="42"/>
  <c r="BX142" i="42"/>
  <c r="BY142" i="42"/>
  <c r="BZ142" i="42"/>
  <c r="CA142" i="42"/>
  <c r="CB142" i="42"/>
  <c r="CC142" i="42"/>
  <c r="CD142" i="42"/>
  <c r="CE142" i="42"/>
  <c r="CF142" i="42"/>
  <c r="CG142" i="42"/>
  <c r="CH142" i="42"/>
  <c r="CI142" i="42"/>
  <c r="CJ142" i="42"/>
  <c r="CK142" i="42"/>
  <c r="CL142" i="42"/>
  <c r="CM142" i="42"/>
  <c r="CN142" i="42"/>
  <c r="CO142" i="42"/>
  <c r="CP142" i="42"/>
  <c r="BO143" i="42"/>
  <c r="BP143" i="42"/>
  <c r="BQ143" i="42"/>
  <c r="BR143" i="42"/>
  <c r="BS143" i="42"/>
  <c r="BT143" i="42"/>
  <c r="BU143" i="42"/>
  <c r="BV143" i="42"/>
  <c r="BW143" i="42"/>
  <c r="BX143" i="42"/>
  <c r="BY143" i="42"/>
  <c r="BZ143" i="42"/>
  <c r="CA143" i="42"/>
  <c r="CB143" i="42"/>
  <c r="CC143" i="42"/>
  <c r="CD143" i="42"/>
  <c r="CE143" i="42"/>
  <c r="CF143" i="42"/>
  <c r="CG143" i="42"/>
  <c r="CH143" i="42"/>
  <c r="CI143" i="42"/>
  <c r="CJ143" i="42"/>
  <c r="CK143" i="42"/>
  <c r="CL143" i="42"/>
  <c r="CM143" i="42"/>
  <c r="CN143" i="42"/>
  <c r="CO143" i="42"/>
  <c r="CP143" i="42"/>
  <c r="BO144" i="42"/>
  <c r="BP144" i="42"/>
  <c r="BQ144" i="42"/>
  <c r="BR144" i="42"/>
  <c r="BS144" i="42"/>
  <c r="BT144" i="42"/>
  <c r="BU144" i="42"/>
  <c r="BV144" i="42"/>
  <c r="BW144" i="42"/>
  <c r="BX144" i="42"/>
  <c r="BY144" i="42"/>
  <c r="BZ144" i="42"/>
  <c r="CA144" i="42"/>
  <c r="CB144" i="42"/>
  <c r="CC144" i="42"/>
  <c r="CD144" i="42"/>
  <c r="CE144" i="42"/>
  <c r="CF144" i="42"/>
  <c r="CG144" i="42"/>
  <c r="CH144" i="42"/>
  <c r="CI144" i="42"/>
  <c r="CJ144" i="42"/>
  <c r="CK144" i="42"/>
  <c r="CL144" i="42"/>
  <c r="CM144" i="42"/>
  <c r="CN144" i="42"/>
  <c r="CO144" i="42"/>
  <c r="CP144" i="42"/>
  <c r="BO145" i="42"/>
  <c r="BP145" i="42"/>
  <c r="BQ145" i="42"/>
  <c r="BR145" i="42"/>
  <c r="BS145" i="42"/>
  <c r="BT145" i="42"/>
  <c r="BU145" i="42"/>
  <c r="BV145" i="42"/>
  <c r="BW145" i="42"/>
  <c r="BX145" i="42"/>
  <c r="BY145" i="42"/>
  <c r="BZ145" i="42"/>
  <c r="CA145" i="42"/>
  <c r="CB145" i="42"/>
  <c r="CC145" i="42"/>
  <c r="CD145" i="42"/>
  <c r="CE145" i="42"/>
  <c r="CF145" i="42"/>
  <c r="CG145" i="42"/>
  <c r="CH145" i="42"/>
  <c r="CI145" i="42"/>
  <c r="CJ145" i="42"/>
  <c r="CK145" i="42"/>
  <c r="CL145" i="42"/>
  <c r="CM145" i="42"/>
  <c r="CN145" i="42"/>
  <c r="CO145" i="42"/>
  <c r="CP145" i="42"/>
  <c r="BO146" i="42"/>
  <c r="BP146" i="42"/>
  <c r="BQ146" i="42"/>
  <c r="BR146" i="42"/>
  <c r="BS146" i="42"/>
  <c r="BT146" i="42"/>
  <c r="BU146" i="42"/>
  <c r="BV146" i="42"/>
  <c r="BW146" i="42"/>
  <c r="BX146" i="42"/>
  <c r="BY146" i="42"/>
  <c r="BZ146" i="42"/>
  <c r="CA146" i="42"/>
  <c r="CB146" i="42"/>
  <c r="CC146" i="42"/>
  <c r="CD146" i="42"/>
  <c r="CE146" i="42"/>
  <c r="CF146" i="42"/>
  <c r="CG146" i="42"/>
  <c r="CH146" i="42"/>
  <c r="CI146" i="42"/>
  <c r="CJ146" i="42"/>
  <c r="CK146" i="42"/>
  <c r="CL146" i="42"/>
  <c r="CM146" i="42"/>
  <c r="CN146" i="42"/>
  <c r="CO146" i="42"/>
  <c r="CP146" i="42"/>
  <c r="BO147" i="42"/>
  <c r="BP147" i="42"/>
  <c r="BQ147" i="42"/>
  <c r="BR147" i="42"/>
  <c r="BS147" i="42"/>
  <c r="BT147" i="42"/>
  <c r="BU147" i="42"/>
  <c r="BV147" i="42"/>
  <c r="BW147" i="42"/>
  <c r="BX147" i="42"/>
  <c r="BY147" i="42"/>
  <c r="BZ147" i="42"/>
  <c r="CA147" i="42"/>
  <c r="CB147" i="42"/>
  <c r="CC147" i="42"/>
  <c r="CD147" i="42"/>
  <c r="CE147" i="42"/>
  <c r="CF147" i="42"/>
  <c r="CG147" i="42"/>
  <c r="CH147" i="42"/>
  <c r="CI147" i="42"/>
  <c r="CJ147" i="42"/>
  <c r="CK147" i="42"/>
  <c r="CL147" i="42"/>
  <c r="CM147" i="42"/>
  <c r="CN147" i="42"/>
  <c r="CO147" i="42"/>
  <c r="CP147" i="42"/>
  <c r="BO148" i="42"/>
  <c r="BP148" i="42"/>
  <c r="BQ148" i="42"/>
  <c r="BR148" i="42"/>
  <c r="BS148" i="42"/>
  <c r="BT148" i="42"/>
  <c r="BU148" i="42"/>
  <c r="BV148" i="42"/>
  <c r="BW148" i="42"/>
  <c r="BX148" i="42"/>
  <c r="BY148" i="42"/>
  <c r="BZ148" i="42"/>
  <c r="CA148" i="42"/>
  <c r="CB148" i="42"/>
  <c r="CC148" i="42"/>
  <c r="CD148" i="42"/>
  <c r="CE148" i="42"/>
  <c r="CF148" i="42"/>
  <c r="CG148" i="42"/>
  <c r="CH148" i="42"/>
  <c r="CI148" i="42"/>
  <c r="CJ148" i="42"/>
  <c r="CK148" i="42"/>
  <c r="CL148" i="42"/>
  <c r="CM148" i="42"/>
  <c r="CN148" i="42"/>
  <c r="CO148" i="42"/>
  <c r="CP148" i="42"/>
  <c r="BO149" i="42"/>
  <c r="BP149" i="42"/>
  <c r="BQ149" i="42"/>
  <c r="BR149" i="42"/>
  <c r="BS149" i="42"/>
  <c r="BT149" i="42"/>
  <c r="BU149" i="42"/>
  <c r="BV149" i="42"/>
  <c r="BW149" i="42"/>
  <c r="BX149" i="42"/>
  <c r="BY149" i="42"/>
  <c r="BZ149" i="42"/>
  <c r="CA149" i="42"/>
  <c r="CB149" i="42"/>
  <c r="CC149" i="42"/>
  <c r="CD149" i="42"/>
  <c r="CE149" i="42"/>
  <c r="CF149" i="42"/>
  <c r="CG149" i="42"/>
  <c r="CH149" i="42"/>
  <c r="CI149" i="42"/>
  <c r="CJ149" i="42"/>
  <c r="CK149" i="42"/>
  <c r="CL149" i="42"/>
  <c r="CM149" i="42"/>
  <c r="CN149" i="42"/>
  <c r="CO149" i="42"/>
  <c r="CP149" i="42"/>
  <c r="BO150" i="42"/>
  <c r="BP150" i="42"/>
  <c r="BQ150" i="42"/>
  <c r="BR150" i="42"/>
  <c r="BS150" i="42"/>
  <c r="BT150" i="42"/>
  <c r="BU150" i="42"/>
  <c r="BV150" i="42"/>
  <c r="BW150" i="42"/>
  <c r="BX150" i="42"/>
  <c r="BY150" i="42"/>
  <c r="BZ150" i="42"/>
  <c r="CA150" i="42"/>
  <c r="CB150" i="42"/>
  <c r="CC150" i="42"/>
  <c r="CD150" i="42"/>
  <c r="CE150" i="42"/>
  <c r="CF150" i="42"/>
  <c r="CG150" i="42"/>
  <c r="CH150" i="42"/>
  <c r="CI150" i="42"/>
  <c r="CJ150" i="42"/>
  <c r="CK150" i="42"/>
  <c r="CL150" i="42"/>
  <c r="CM150" i="42"/>
  <c r="CN150" i="42"/>
  <c r="CO150" i="42"/>
  <c r="CP150" i="42"/>
  <c r="BO151" i="42"/>
  <c r="BP151" i="42"/>
  <c r="BQ151" i="42"/>
  <c r="BR151" i="42"/>
  <c r="BS151" i="42"/>
  <c r="BT151" i="42"/>
  <c r="BU151" i="42"/>
  <c r="BV151" i="42"/>
  <c r="BW151" i="42"/>
  <c r="BX151" i="42"/>
  <c r="BY151" i="42"/>
  <c r="BZ151" i="42"/>
  <c r="CA151" i="42"/>
  <c r="CB151" i="42"/>
  <c r="CC151" i="42"/>
  <c r="CD151" i="42"/>
  <c r="CE151" i="42"/>
  <c r="CF151" i="42"/>
  <c r="CG151" i="42"/>
  <c r="CH151" i="42"/>
  <c r="CI151" i="42"/>
  <c r="CJ151" i="42"/>
  <c r="CK151" i="42"/>
  <c r="CL151" i="42"/>
  <c r="CM151" i="42"/>
  <c r="CN151" i="42"/>
  <c r="CO151" i="42"/>
  <c r="CP151" i="42"/>
  <c r="BO152" i="42"/>
  <c r="BP152" i="42"/>
  <c r="BQ152" i="42"/>
  <c r="BR152" i="42"/>
  <c r="BS152" i="42"/>
  <c r="BT152" i="42"/>
  <c r="BU152" i="42"/>
  <c r="BV152" i="42"/>
  <c r="BW152" i="42"/>
  <c r="BX152" i="42"/>
  <c r="BY152" i="42"/>
  <c r="BZ152" i="42"/>
  <c r="CA152" i="42"/>
  <c r="CB152" i="42"/>
  <c r="CC152" i="42"/>
  <c r="CD152" i="42"/>
  <c r="CE152" i="42"/>
  <c r="CF152" i="42"/>
  <c r="CG152" i="42"/>
  <c r="CH152" i="42"/>
  <c r="CI152" i="42"/>
  <c r="CJ152" i="42"/>
  <c r="CK152" i="42"/>
  <c r="CL152" i="42"/>
  <c r="CM152" i="42"/>
  <c r="CN152" i="42"/>
  <c r="CO152" i="42"/>
  <c r="CP152" i="42"/>
  <c r="BO153" i="42"/>
  <c r="BP153" i="42"/>
  <c r="BQ153" i="42"/>
  <c r="BR153" i="42"/>
  <c r="BS153" i="42"/>
  <c r="BT153" i="42"/>
  <c r="BU153" i="42"/>
  <c r="BV153" i="42"/>
  <c r="BW153" i="42"/>
  <c r="BX153" i="42"/>
  <c r="BY153" i="42"/>
  <c r="BZ153" i="42"/>
  <c r="CA153" i="42"/>
  <c r="CB153" i="42"/>
  <c r="CC153" i="42"/>
  <c r="CD153" i="42"/>
  <c r="CE153" i="42"/>
  <c r="CF153" i="42"/>
  <c r="CG153" i="42"/>
  <c r="CH153" i="42"/>
  <c r="CI153" i="42"/>
  <c r="CJ153" i="42"/>
  <c r="CK153" i="42"/>
  <c r="CL153" i="42"/>
  <c r="CM153" i="42"/>
  <c r="CN153" i="42"/>
  <c r="CO153" i="42"/>
  <c r="CP153" i="42"/>
  <c r="BO154" i="42"/>
  <c r="BP154" i="42"/>
  <c r="BQ154" i="42"/>
  <c r="BR154" i="42"/>
  <c r="BS154" i="42"/>
  <c r="BT154" i="42"/>
  <c r="BU154" i="42"/>
  <c r="BV154" i="42"/>
  <c r="BW154" i="42"/>
  <c r="BX154" i="42"/>
  <c r="BY154" i="42"/>
  <c r="BZ154" i="42"/>
  <c r="CA154" i="42"/>
  <c r="CB154" i="42"/>
  <c r="CC154" i="42"/>
  <c r="CD154" i="42"/>
  <c r="CE154" i="42"/>
  <c r="CF154" i="42"/>
  <c r="CG154" i="42"/>
  <c r="CH154" i="42"/>
  <c r="CI154" i="42"/>
  <c r="CJ154" i="42"/>
  <c r="CK154" i="42"/>
  <c r="CL154" i="42"/>
  <c r="CM154" i="42"/>
  <c r="CN154" i="42"/>
  <c r="CO154" i="42"/>
  <c r="CP154" i="42"/>
  <c r="BO155" i="42"/>
  <c r="BP155" i="42"/>
  <c r="BQ155" i="42"/>
  <c r="BR155" i="42"/>
  <c r="BS155" i="42"/>
  <c r="BT155" i="42"/>
  <c r="BU155" i="42"/>
  <c r="BV155" i="42"/>
  <c r="BW155" i="42"/>
  <c r="BX155" i="42"/>
  <c r="BY155" i="42"/>
  <c r="BZ155" i="42"/>
  <c r="CA155" i="42"/>
  <c r="CB155" i="42"/>
  <c r="CC155" i="42"/>
  <c r="CD155" i="42"/>
  <c r="CE155" i="42"/>
  <c r="CF155" i="42"/>
  <c r="CG155" i="42"/>
  <c r="CH155" i="42"/>
  <c r="CI155" i="42"/>
  <c r="CJ155" i="42"/>
  <c r="CK155" i="42"/>
  <c r="CL155" i="42"/>
  <c r="CM155" i="42"/>
  <c r="CN155" i="42"/>
  <c r="CO155" i="42"/>
  <c r="CP155" i="42"/>
  <c r="BO156" i="42"/>
  <c r="BP156" i="42"/>
  <c r="BQ156" i="42"/>
  <c r="BR156" i="42"/>
  <c r="BS156" i="42"/>
  <c r="BT156" i="42"/>
  <c r="BU156" i="42"/>
  <c r="BV156" i="42"/>
  <c r="BW156" i="42"/>
  <c r="BX156" i="42"/>
  <c r="BY156" i="42"/>
  <c r="BZ156" i="42"/>
  <c r="CA156" i="42"/>
  <c r="CB156" i="42"/>
  <c r="CC156" i="42"/>
  <c r="CD156" i="42"/>
  <c r="CE156" i="42"/>
  <c r="CF156" i="42"/>
  <c r="CG156" i="42"/>
  <c r="CH156" i="42"/>
  <c r="CI156" i="42"/>
  <c r="CJ156" i="42"/>
  <c r="CK156" i="42"/>
  <c r="CL156" i="42"/>
  <c r="CM156" i="42"/>
  <c r="CN156" i="42"/>
  <c r="CO156" i="42"/>
  <c r="CP156" i="42"/>
  <c r="BO157" i="42"/>
  <c r="BP157" i="42"/>
  <c r="BQ157" i="42"/>
  <c r="BR157" i="42"/>
  <c r="BS157" i="42"/>
  <c r="BT157" i="42"/>
  <c r="BU157" i="42"/>
  <c r="BV157" i="42"/>
  <c r="BW157" i="42"/>
  <c r="BX157" i="42"/>
  <c r="BY157" i="42"/>
  <c r="BZ157" i="42"/>
  <c r="CA157" i="42"/>
  <c r="CB157" i="42"/>
  <c r="CC157" i="42"/>
  <c r="CD157" i="42"/>
  <c r="CE157" i="42"/>
  <c r="CF157" i="42"/>
  <c r="CG157" i="42"/>
  <c r="CH157" i="42"/>
  <c r="CI157" i="42"/>
  <c r="CJ157" i="42"/>
  <c r="CK157" i="42"/>
  <c r="CL157" i="42"/>
  <c r="CM157" i="42"/>
  <c r="CN157" i="42"/>
  <c r="CO157" i="42"/>
  <c r="CP157" i="42"/>
  <c r="BO158" i="42"/>
  <c r="BP158" i="42"/>
  <c r="BQ158" i="42"/>
  <c r="BR158" i="42"/>
  <c r="BS158" i="42"/>
  <c r="BT158" i="42"/>
  <c r="BU158" i="42"/>
  <c r="BV158" i="42"/>
  <c r="BW158" i="42"/>
  <c r="BX158" i="42"/>
  <c r="BY158" i="42"/>
  <c r="BZ158" i="42"/>
  <c r="CA158" i="42"/>
  <c r="CB158" i="42"/>
  <c r="CC158" i="42"/>
  <c r="CD158" i="42"/>
  <c r="CE158" i="42"/>
  <c r="CF158" i="42"/>
  <c r="CG158" i="42"/>
  <c r="CH158" i="42"/>
  <c r="CI158" i="42"/>
  <c r="CJ158" i="42"/>
  <c r="CK158" i="42"/>
  <c r="CL158" i="42"/>
  <c r="CM158" i="42"/>
  <c r="CN158" i="42"/>
  <c r="CO158" i="42"/>
  <c r="CP158" i="42"/>
  <c r="BO159" i="42"/>
  <c r="BP159" i="42"/>
  <c r="BQ159" i="42"/>
  <c r="BR159" i="42"/>
  <c r="BS159" i="42"/>
  <c r="BT159" i="42"/>
  <c r="BU159" i="42"/>
  <c r="BV159" i="42"/>
  <c r="BW159" i="42"/>
  <c r="BX159" i="42"/>
  <c r="BY159" i="42"/>
  <c r="BZ159" i="42"/>
  <c r="CA159" i="42"/>
  <c r="CB159" i="42"/>
  <c r="CC159" i="42"/>
  <c r="CD159" i="42"/>
  <c r="CE159" i="42"/>
  <c r="CF159" i="42"/>
  <c r="CG159" i="42"/>
  <c r="CH159" i="42"/>
  <c r="CI159" i="42"/>
  <c r="CJ159" i="42"/>
  <c r="CK159" i="42"/>
  <c r="CL159" i="42"/>
  <c r="CM159" i="42"/>
  <c r="CN159" i="42"/>
  <c r="CO159" i="42"/>
  <c r="CP159" i="42"/>
  <c r="BO160" i="42"/>
  <c r="BP160" i="42"/>
  <c r="BQ160" i="42"/>
  <c r="BR160" i="42"/>
  <c r="BS160" i="42"/>
  <c r="BT160" i="42"/>
  <c r="BU160" i="42"/>
  <c r="BV160" i="42"/>
  <c r="BW160" i="42"/>
  <c r="BX160" i="42"/>
  <c r="BY160" i="42"/>
  <c r="BZ160" i="42"/>
  <c r="CA160" i="42"/>
  <c r="CB160" i="42"/>
  <c r="CC160" i="42"/>
  <c r="CD160" i="42"/>
  <c r="CE160" i="42"/>
  <c r="CF160" i="42"/>
  <c r="CG160" i="42"/>
  <c r="CH160" i="42"/>
  <c r="CI160" i="42"/>
  <c r="CJ160" i="42"/>
  <c r="CK160" i="42"/>
  <c r="CL160" i="42"/>
  <c r="CM160" i="42"/>
  <c r="CN160" i="42"/>
  <c r="CO160" i="42"/>
  <c r="CP160" i="42"/>
  <c r="BO161" i="42"/>
  <c r="BP161" i="42"/>
  <c r="BQ161" i="42"/>
  <c r="BR161" i="42"/>
  <c r="BS161" i="42"/>
  <c r="BT161" i="42"/>
  <c r="BU161" i="42"/>
  <c r="BV161" i="42"/>
  <c r="BW161" i="42"/>
  <c r="BX161" i="42"/>
  <c r="BY161" i="42"/>
  <c r="BZ161" i="42"/>
  <c r="CA161" i="42"/>
  <c r="CB161" i="42"/>
  <c r="CC161" i="42"/>
  <c r="CD161" i="42"/>
  <c r="CE161" i="42"/>
  <c r="CF161" i="42"/>
  <c r="CG161" i="42"/>
  <c r="CH161" i="42"/>
  <c r="CI161" i="42"/>
  <c r="CJ161" i="42"/>
  <c r="CK161" i="42"/>
  <c r="CL161" i="42"/>
  <c r="CM161" i="42"/>
  <c r="CN161" i="42"/>
  <c r="CO161" i="42"/>
  <c r="CP161" i="42"/>
  <c r="BO162" i="42"/>
  <c r="BP162" i="42"/>
  <c r="BQ162" i="42"/>
  <c r="BR162" i="42"/>
  <c r="BS162" i="42"/>
  <c r="BT162" i="42"/>
  <c r="BU162" i="42"/>
  <c r="BV162" i="42"/>
  <c r="BW162" i="42"/>
  <c r="BX162" i="42"/>
  <c r="BY162" i="42"/>
  <c r="BZ162" i="42"/>
  <c r="CA162" i="42"/>
  <c r="CB162" i="42"/>
  <c r="CC162" i="42"/>
  <c r="CD162" i="42"/>
  <c r="CE162" i="42"/>
  <c r="CF162" i="42"/>
  <c r="CG162" i="42"/>
  <c r="CH162" i="42"/>
  <c r="CI162" i="42"/>
  <c r="CJ162" i="42"/>
  <c r="CK162" i="42"/>
  <c r="CL162" i="42"/>
  <c r="CM162" i="42"/>
  <c r="CN162" i="42"/>
  <c r="CO162" i="42"/>
  <c r="CP162" i="42"/>
  <c r="BO163" i="42"/>
  <c r="BP163" i="42"/>
  <c r="BQ163" i="42"/>
  <c r="BR163" i="42"/>
  <c r="BS163" i="42"/>
  <c r="BT163" i="42"/>
  <c r="BU163" i="42"/>
  <c r="BV163" i="42"/>
  <c r="BW163" i="42"/>
  <c r="BX163" i="42"/>
  <c r="BY163" i="42"/>
  <c r="BZ163" i="42"/>
  <c r="CA163" i="42"/>
  <c r="CB163" i="42"/>
  <c r="CC163" i="42"/>
  <c r="CD163" i="42"/>
  <c r="CE163" i="42"/>
  <c r="CF163" i="42"/>
  <c r="CG163" i="42"/>
  <c r="CH163" i="42"/>
  <c r="CI163" i="42"/>
  <c r="CJ163" i="42"/>
  <c r="CK163" i="42"/>
  <c r="CL163" i="42"/>
  <c r="CM163" i="42"/>
  <c r="CN163" i="42"/>
  <c r="CO163" i="42"/>
  <c r="CP163" i="42"/>
  <c r="BO164" i="42"/>
  <c r="BP164" i="42"/>
  <c r="BQ164" i="42"/>
  <c r="BR164" i="42"/>
  <c r="BS164" i="42"/>
  <c r="BT164" i="42"/>
  <c r="BU164" i="42"/>
  <c r="BV164" i="42"/>
  <c r="BW164" i="42"/>
  <c r="BX164" i="42"/>
  <c r="BY164" i="42"/>
  <c r="BZ164" i="42"/>
  <c r="CA164" i="42"/>
  <c r="CB164" i="42"/>
  <c r="CC164" i="42"/>
  <c r="CD164" i="42"/>
  <c r="CE164" i="42"/>
  <c r="CF164" i="42"/>
  <c r="CG164" i="42"/>
  <c r="CH164" i="42"/>
  <c r="CI164" i="42"/>
  <c r="CJ164" i="42"/>
  <c r="CK164" i="42"/>
  <c r="CL164" i="42"/>
  <c r="CM164" i="42"/>
  <c r="CN164" i="42"/>
  <c r="CO164" i="42"/>
  <c r="CP164" i="42"/>
  <c r="BO165" i="42"/>
  <c r="BP165" i="42"/>
  <c r="BQ165" i="42"/>
  <c r="BR165" i="42"/>
  <c r="BS165" i="42"/>
  <c r="BT165" i="42"/>
  <c r="BU165" i="42"/>
  <c r="BV165" i="42"/>
  <c r="BW165" i="42"/>
  <c r="BX165" i="42"/>
  <c r="BY165" i="42"/>
  <c r="BZ165" i="42"/>
  <c r="CA165" i="42"/>
  <c r="CB165" i="42"/>
  <c r="CC165" i="42"/>
  <c r="CD165" i="42"/>
  <c r="CE165" i="42"/>
  <c r="CF165" i="42"/>
  <c r="CG165" i="42"/>
  <c r="CH165" i="42"/>
  <c r="CI165" i="42"/>
  <c r="CJ165" i="42"/>
  <c r="CK165" i="42"/>
  <c r="CL165" i="42"/>
  <c r="CM165" i="42"/>
  <c r="CN165" i="42"/>
  <c r="CO165" i="42"/>
  <c r="CP165" i="42"/>
  <c r="BO166" i="42"/>
  <c r="BP166" i="42"/>
  <c r="BQ166" i="42"/>
  <c r="BR166" i="42"/>
  <c r="BS166" i="42"/>
  <c r="BT166" i="42"/>
  <c r="BU166" i="42"/>
  <c r="BV166" i="42"/>
  <c r="BW166" i="42"/>
  <c r="BX166" i="42"/>
  <c r="BY166" i="42"/>
  <c r="BZ166" i="42"/>
  <c r="CA166" i="42"/>
  <c r="CB166" i="42"/>
  <c r="CC166" i="42"/>
  <c r="CD166" i="42"/>
  <c r="CE166" i="42"/>
  <c r="CF166" i="42"/>
  <c r="CG166" i="42"/>
  <c r="CH166" i="42"/>
  <c r="CI166" i="42"/>
  <c r="CJ166" i="42"/>
  <c r="CK166" i="42"/>
  <c r="CL166" i="42"/>
  <c r="CM166" i="42"/>
  <c r="CN166" i="42"/>
  <c r="CO166" i="42"/>
  <c r="CP166" i="42"/>
  <c r="BO167" i="42"/>
  <c r="BP167" i="42"/>
  <c r="BQ167" i="42"/>
  <c r="BR167" i="42"/>
  <c r="BS167" i="42"/>
  <c r="BT167" i="42"/>
  <c r="BU167" i="42"/>
  <c r="BV167" i="42"/>
  <c r="BW167" i="42"/>
  <c r="BX167" i="42"/>
  <c r="BY167" i="42"/>
  <c r="BZ167" i="42"/>
  <c r="CA167" i="42"/>
  <c r="CB167" i="42"/>
  <c r="CC167" i="42"/>
  <c r="CD167" i="42"/>
  <c r="CE167" i="42"/>
  <c r="CF167" i="42"/>
  <c r="CG167" i="42"/>
  <c r="CH167" i="42"/>
  <c r="CI167" i="42"/>
  <c r="CJ167" i="42"/>
  <c r="CK167" i="42"/>
  <c r="CL167" i="42"/>
  <c r="CM167" i="42"/>
  <c r="CN167" i="42"/>
  <c r="CO167" i="42"/>
  <c r="CP167" i="42"/>
  <c r="BO168" i="42"/>
  <c r="BP168" i="42"/>
  <c r="BQ168" i="42"/>
  <c r="BR168" i="42"/>
  <c r="BS168" i="42"/>
  <c r="BT168" i="42"/>
  <c r="BU168" i="42"/>
  <c r="BV168" i="42"/>
  <c r="BW168" i="42"/>
  <c r="BX168" i="42"/>
  <c r="BY168" i="42"/>
  <c r="BZ168" i="42"/>
  <c r="CA168" i="42"/>
  <c r="CB168" i="42"/>
  <c r="CC168" i="42"/>
  <c r="CD168" i="42"/>
  <c r="CE168" i="42"/>
  <c r="CF168" i="42"/>
  <c r="CG168" i="42"/>
  <c r="CH168" i="42"/>
  <c r="CI168" i="42"/>
  <c r="CJ168" i="42"/>
  <c r="CK168" i="42"/>
  <c r="CL168" i="42"/>
  <c r="CM168" i="42"/>
  <c r="CN168" i="42"/>
  <c r="CO168" i="42"/>
  <c r="CP168" i="42"/>
  <c r="BO169" i="42"/>
  <c r="BP169" i="42"/>
  <c r="BQ169" i="42"/>
  <c r="BR169" i="42"/>
  <c r="BS169" i="42"/>
  <c r="BT169" i="42"/>
  <c r="BU169" i="42"/>
  <c r="BV169" i="42"/>
  <c r="BW169" i="42"/>
  <c r="BX169" i="42"/>
  <c r="BY169" i="42"/>
  <c r="BZ169" i="42"/>
  <c r="CA169" i="42"/>
  <c r="CB169" i="42"/>
  <c r="CC169" i="42"/>
  <c r="CD169" i="42"/>
  <c r="CE169" i="42"/>
  <c r="CF169" i="42"/>
  <c r="CG169" i="42"/>
  <c r="CH169" i="42"/>
  <c r="CI169" i="42"/>
  <c r="CJ169" i="42"/>
  <c r="CK169" i="42"/>
  <c r="CL169" i="42"/>
  <c r="CM169" i="42"/>
  <c r="CN169" i="42"/>
  <c r="CO169" i="42"/>
  <c r="CP169" i="42"/>
  <c r="BO170" i="42"/>
  <c r="BP170" i="42"/>
  <c r="BQ170" i="42"/>
  <c r="BR170" i="42"/>
  <c r="BS170" i="42"/>
  <c r="BT170" i="42"/>
  <c r="BU170" i="42"/>
  <c r="BV170" i="42"/>
  <c r="BW170" i="42"/>
  <c r="BX170" i="42"/>
  <c r="BY170" i="42"/>
  <c r="BZ170" i="42"/>
  <c r="CA170" i="42"/>
  <c r="CB170" i="42"/>
  <c r="CC170" i="42"/>
  <c r="CD170" i="42"/>
  <c r="CE170" i="42"/>
  <c r="CF170" i="42"/>
  <c r="CG170" i="42"/>
  <c r="CH170" i="42"/>
  <c r="CI170" i="42"/>
  <c r="CJ170" i="42"/>
  <c r="CK170" i="42"/>
  <c r="CL170" i="42"/>
  <c r="CM170" i="42"/>
  <c r="CN170" i="42"/>
  <c r="CO170" i="42"/>
  <c r="CP170" i="42"/>
  <c r="BO171" i="42"/>
  <c r="BP171" i="42"/>
  <c r="BQ171" i="42"/>
  <c r="BR171" i="42"/>
  <c r="BS171" i="42"/>
  <c r="BT171" i="42"/>
  <c r="BU171" i="42"/>
  <c r="BV171" i="42"/>
  <c r="BW171" i="42"/>
  <c r="BX171" i="42"/>
  <c r="BY171" i="42"/>
  <c r="BZ171" i="42"/>
  <c r="CA171" i="42"/>
  <c r="CB171" i="42"/>
  <c r="CC171" i="42"/>
  <c r="CD171" i="42"/>
  <c r="CE171" i="42"/>
  <c r="CF171" i="42"/>
  <c r="CG171" i="42"/>
  <c r="CH171" i="42"/>
  <c r="CI171" i="42"/>
  <c r="CJ171" i="42"/>
  <c r="CK171" i="42"/>
  <c r="CL171" i="42"/>
  <c r="CM171" i="42"/>
  <c r="CN171" i="42"/>
  <c r="CO171" i="42"/>
  <c r="CP171" i="42"/>
  <c r="BO172" i="42"/>
  <c r="BP172" i="42"/>
  <c r="BQ172" i="42"/>
  <c r="BR172" i="42"/>
  <c r="BS172" i="42"/>
  <c r="BT172" i="42"/>
  <c r="BU172" i="42"/>
  <c r="BV172" i="42"/>
  <c r="BW172" i="42"/>
  <c r="BX172" i="42"/>
  <c r="BY172" i="42"/>
  <c r="BZ172" i="42"/>
  <c r="CA172" i="42"/>
  <c r="CB172" i="42"/>
  <c r="CC172" i="42"/>
  <c r="CD172" i="42"/>
  <c r="CE172" i="42"/>
  <c r="CF172" i="42"/>
  <c r="CG172" i="42"/>
  <c r="CH172" i="42"/>
  <c r="CI172" i="42"/>
  <c r="CJ172" i="42"/>
  <c r="CK172" i="42"/>
  <c r="CL172" i="42"/>
  <c r="CM172" i="42"/>
  <c r="CN172" i="42"/>
  <c r="CO172" i="42"/>
  <c r="CP172" i="42"/>
  <c r="BO173" i="42"/>
  <c r="BP173" i="42"/>
  <c r="BQ173" i="42"/>
  <c r="BR173" i="42"/>
  <c r="BS173" i="42"/>
  <c r="BT173" i="42"/>
  <c r="BU173" i="42"/>
  <c r="BV173" i="42"/>
  <c r="BW173" i="42"/>
  <c r="BX173" i="42"/>
  <c r="BY173" i="42"/>
  <c r="BZ173" i="42"/>
  <c r="CA173" i="42"/>
  <c r="CB173" i="42"/>
  <c r="CC173" i="42"/>
  <c r="CD173" i="42"/>
  <c r="CE173" i="42"/>
  <c r="CF173" i="42"/>
  <c r="CG173" i="42"/>
  <c r="CH173" i="42"/>
  <c r="CI173" i="42"/>
  <c r="CJ173" i="42"/>
  <c r="CK173" i="42"/>
  <c r="CL173" i="42"/>
  <c r="CM173" i="42"/>
  <c r="CN173" i="42"/>
  <c r="CO173" i="42"/>
  <c r="CP173" i="42"/>
  <c r="BO174" i="42"/>
  <c r="BP174" i="42"/>
  <c r="BQ174" i="42"/>
  <c r="BR174" i="42"/>
  <c r="BS174" i="42"/>
  <c r="BT174" i="42"/>
  <c r="BU174" i="42"/>
  <c r="BV174" i="42"/>
  <c r="BW174" i="42"/>
  <c r="BX174" i="42"/>
  <c r="BY174" i="42"/>
  <c r="BZ174" i="42"/>
  <c r="CA174" i="42"/>
  <c r="CB174" i="42"/>
  <c r="CC174" i="42"/>
  <c r="CD174" i="42"/>
  <c r="CE174" i="42"/>
  <c r="CF174" i="42"/>
  <c r="CG174" i="42"/>
  <c r="CH174" i="42"/>
  <c r="CI174" i="42"/>
  <c r="CJ174" i="42"/>
  <c r="CK174" i="42"/>
  <c r="CL174" i="42"/>
  <c r="CM174" i="42"/>
  <c r="CN174" i="42"/>
  <c r="CO174" i="42"/>
  <c r="CP174" i="42"/>
  <c r="BO175" i="42"/>
  <c r="BP175" i="42"/>
  <c r="BQ175" i="42"/>
  <c r="BR175" i="42"/>
  <c r="BS175" i="42"/>
  <c r="BT175" i="42"/>
  <c r="BU175" i="42"/>
  <c r="BV175" i="42"/>
  <c r="BW175" i="42"/>
  <c r="BX175" i="42"/>
  <c r="BY175" i="42"/>
  <c r="BZ175" i="42"/>
  <c r="CA175" i="42"/>
  <c r="CB175" i="42"/>
  <c r="CC175" i="42"/>
  <c r="CD175" i="42"/>
  <c r="CE175" i="42"/>
  <c r="CF175" i="42"/>
  <c r="CG175" i="42"/>
  <c r="CH175" i="42"/>
  <c r="CI175" i="42"/>
  <c r="CJ175" i="42"/>
  <c r="CK175" i="42"/>
  <c r="CL175" i="42"/>
  <c r="CM175" i="42"/>
  <c r="CN175" i="42"/>
  <c r="CO175" i="42"/>
  <c r="CP175" i="42"/>
  <c r="BO176" i="42"/>
  <c r="BP176" i="42"/>
  <c r="BQ176" i="42"/>
  <c r="BR176" i="42"/>
  <c r="BS176" i="42"/>
  <c r="BT176" i="42"/>
  <c r="BU176" i="42"/>
  <c r="BV176" i="42"/>
  <c r="BW176" i="42"/>
  <c r="BX176" i="42"/>
  <c r="BY176" i="42"/>
  <c r="BZ176" i="42"/>
  <c r="CA176" i="42"/>
  <c r="CB176" i="42"/>
  <c r="CC176" i="42"/>
  <c r="CD176" i="42"/>
  <c r="CE176" i="42"/>
  <c r="CF176" i="42"/>
  <c r="CG176" i="42"/>
  <c r="CH176" i="42"/>
  <c r="CI176" i="42"/>
  <c r="CJ176" i="42"/>
  <c r="CK176" i="42"/>
  <c r="CL176" i="42"/>
  <c r="CM176" i="42"/>
  <c r="CN176" i="42"/>
  <c r="CO176" i="42"/>
  <c r="CP176" i="42"/>
  <c r="BO177" i="42"/>
  <c r="BP177" i="42"/>
  <c r="BQ177" i="42"/>
  <c r="BR177" i="42"/>
  <c r="BS177" i="42"/>
  <c r="BT177" i="42"/>
  <c r="BU177" i="42"/>
  <c r="BV177" i="42"/>
  <c r="BW177" i="42"/>
  <c r="BX177" i="42"/>
  <c r="BY177" i="42"/>
  <c r="BZ177" i="42"/>
  <c r="CA177" i="42"/>
  <c r="CB177" i="42"/>
  <c r="CC177" i="42"/>
  <c r="CD177" i="42"/>
  <c r="CE177" i="42"/>
  <c r="CF177" i="42"/>
  <c r="CG177" i="42"/>
  <c r="CH177" i="42"/>
  <c r="CI177" i="42"/>
  <c r="CJ177" i="42"/>
  <c r="CK177" i="42"/>
  <c r="CL177" i="42"/>
  <c r="CM177" i="42"/>
  <c r="CN177" i="42"/>
  <c r="CO177" i="42"/>
  <c r="CP177" i="42"/>
  <c r="BO178" i="42"/>
  <c r="BP178" i="42"/>
  <c r="BQ178" i="42"/>
  <c r="BR178" i="42"/>
  <c r="BS178" i="42"/>
  <c r="BT178" i="42"/>
  <c r="BU178" i="42"/>
  <c r="BV178" i="42"/>
  <c r="BW178" i="42"/>
  <c r="BX178" i="42"/>
  <c r="BY178" i="42"/>
  <c r="BZ178" i="42"/>
  <c r="CA178" i="42"/>
  <c r="CB178" i="42"/>
  <c r="CC178" i="42"/>
  <c r="CD178" i="42"/>
  <c r="CE178" i="42"/>
  <c r="CF178" i="42"/>
  <c r="CG178" i="42"/>
  <c r="CH178" i="42"/>
  <c r="CI178" i="42"/>
  <c r="CJ178" i="42"/>
  <c r="CK178" i="42"/>
  <c r="CL178" i="42"/>
  <c r="CM178" i="42"/>
  <c r="CN178" i="42"/>
  <c r="CO178" i="42"/>
  <c r="CP178" i="42"/>
  <c r="BO179" i="42"/>
  <c r="BP179" i="42"/>
  <c r="BQ179" i="42"/>
  <c r="BR179" i="42"/>
  <c r="BS179" i="42"/>
  <c r="BT179" i="42"/>
  <c r="BU179" i="42"/>
  <c r="BV179" i="42"/>
  <c r="BW179" i="42"/>
  <c r="BX179" i="42"/>
  <c r="BY179" i="42"/>
  <c r="BZ179" i="42"/>
  <c r="CA179" i="42"/>
  <c r="CB179" i="42"/>
  <c r="CC179" i="42"/>
  <c r="CD179" i="42"/>
  <c r="CE179" i="42"/>
  <c r="CF179" i="42"/>
  <c r="CG179" i="42"/>
  <c r="CH179" i="42"/>
  <c r="CI179" i="42"/>
  <c r="CJ179" i="42"/>
  <c r="CK179" i="42"/>
  <c r="CL179" i="42"/>
  <c r="CM179" i="42"/>
  <c r="CN179" i="42"/>
  <c r="CO179" i="42"/>
  <c r="CP179" i="42"/>
  <c r="BO180" i="42"/>
  <c r="BP180" i="42"/>
  <c r="BQ180" i="42"/>
  <c r="BR180" i="42"/>
  <c r="BS180" i="42"/>
  <c r="BT180" i="42"/>
  <c r="BU180" i="42"/>
  <c r="BV180" i="42"/>
  <c r="BW180" i="42"/>
  <c r="BX180" i="42"/>
  <c r="BY180" i="42"/>
  <c r="BZ180" i="42"/>
  <c r="CA180" i="42"/>
  <c r="CB180" i="42"/>
  <c r="CC180" i="42"/>
  <c r="CD180" i="42"/>
  <c r="CE180" i="42"/>
  <c r="CF180" i="42"/>
  <c r="CG180" i="42"/>
  <c r="CH180" i="42"/>
  <c r="CI180" i="42"/>
  <c r="CJ180" i="42"/>
  <c r="CK180" i="42"/>
  <c r="CL180" i="42"/>
  <c r="CM180" i="42"/>
  <c r="CN180" i="42"/>
  <c r="CO180" i="42"/>
  <c r="CP180" i="42"/>
  <c r="BO181" i="42"/>
  <c r="BP181" i="42"/>
  <c r="BQ181" i="42"/>
  <c r="BR181" i="42"/>
  <c r="BS181" i="42"/>
  <c r="BT181" i="42"/>
  <c r="BU181" i="42"/>
  <c r="BV181" i="42"/>
  <c r="BW181" i="42"/>
  <c r="BX181" i="42"/>
  <c r="BY181" i="42"/>
  <c r="BZ181" i="42"/>
  <c r="CA181" i="42"/>
  <c r="CB181" i="42"/>
  <c r="CC181" i="42"/>
  <c r="CD181" i="42"/>
  <c r="CE181" i="42"/>
  <c r="CF181" i="42"/>
  <c r="CG181" i="42"/>
  <c r="CH181" i="42"/>
  <c r="CI181" i="42"/>
  <c r="CJ181" i="42"/>
  <c r="CK181" i="42"/>
  <c r="CL181" i="42"/>
  <c r="CM181" i="42"/>
  <c r="CN181" i="42"/>
  <c r="CO181" i="42"/>
  <c r="CP181" i="42"/>
  <c r="BO182" i="42"/>
  <c r="BP182" i="42"/>
  <c r="BQ182" i="42"/>
  <c r="BR182" i="42"/>
  <c r="BS182" i="42"/>
  <c r="BT182" i="42"/>
  <c r="BU182" i="42"/>
  <c r="BV182" i="42"/>
  <c r="BW182" i="42"/>
  <c r="BX182" i="42"/>
  <c r="BY182" i="42"/>
  <c r="BZ182" i="42"/>
  <c r="CA182" i="42"/>
  <c r="CB182" i="42"/>
  <c r="CC182" i="42"/>
  <c r="CD182" i="42"/>
  <c r="CE182" i="42"/>
  <c r="CF182" i="42"/>
  <c r="CG182" i="42"/>
  <c r="CH182" i="42"/>
  <c r="CI182" i="42"/>
  <c r="CJ182" i="42"/>
  <c r="CK182" i="42"/>
  <c r="CL182" i="42"/>
  <c r="CM182" i="42"/>
  <c r="CN182" i="42"/>
  <c r="CO182" i="42"/>
  <c r="CP182" i="42"/>
  <c r="BO183" i="42"/>
  <c r="BP183" i="42"/>
  <c r="BQ183" i="42"/>
  <c r="BR183" i="42"/>
  <c r="BS183" i="42"/>
  <c r="BT183" i="42"/>
  <c r="BU183" i="42"/>
  <c r="BV183" i="42"/>
  <c r="BW183" i="42"/>
  <c r="BX183" i="42"/>
  <c r="BY183" i="42"/>
  <c r="BZ183" i="42"/>
  <c r="CA183" i="42"/>
  <c r="CB183" i="42"/>
  <c r="CC183" i="42"/>
  <c r="CD183" i="42"/>
  <c r="CE183" i="42"/>
  <c r="CF183" i="42"/>
  <c r="CG183" i="42"/>
  <c r="CH183" i="42"/>
  <c r="CI183" i="42"/>
  <c r="CJ183" i="42"/>
  <c r="CK183" i="42"/>
  <c r="CL183" i="42"/>
  <c r="CM183" i="42"/>
  <c r="CN183" i="42"/>
  <c r="CO183" i="42"/>
  <c r="CP183" i="42"/>
  <c r="BO184" i="42"/>
  <c r="BP184" i="42"/>
  <c r="BQ184" i="42"/>
  <c r="BR184" i="42"/>
  <c r="BS184" i="42"/>
  <c r="BT184" i="42"/>
  <c r="BU184" i="42"/>
  <c r="BV184" i="42"/>
  <c r="BW184" i="42"/>
  <c r="BX184" i="42"/>
  <c r="BY184" i="42"/>
  <c r="BZ184" i="42"/>
  <c r="CA184" i="42"/>
  <c r="CB184" i="42"/>
  <c r="CC184" i="42"/>
  <c r="CD184" i="42"/>
  <c r="CE184" i="42"/>
  <c r="CF184" i="42"/>
  <c r="CG184" i="42"/>
  <c r="CH184" i="42"/>
  <c r="CI184" i="42"/>
  <c r="CJ184" i="42"/>
  <c r="CK184" i="42"/>
  <c r="CL184" i="42"/>
  <c r="CM184" i="42"/>
  <c r="CN184" i="42"/>
  <c r="CO184" i="42"/>
  <c r="CP184" i="42"/>
  <c r="BO185" i="42"/>
  <c r="BP185" i="42"/>
  <c r="BQ185" i="42"/>
  <c r="BR185" i="42"/>
  <c r="BS185" i="42"/>
  <c r="BT185" i="42"/>
  <c r="BU185" i="42"/>
  <c r="BV185" i="42"/>
  <c r="BW185" i="42"/>
  <c r="BX185" i="42"/>
  <c r="BY185" i="42"/>
  <c r="BZ185" i="42"/>
  <c r="CA185" i="42"/>
  <c r="CB185" i="42"/>
  <c r="CC185" i="42"/>
  <c r="CD185" i="42"/>
  <c r="CE185" i="42"/>
  <c r="CF185" i="42"/>
  <c r="CG185" i="42"/>
  <c r="CH185" i="42"/>
  <c r="CI185" i="42"/>
  <c r="CJ185" i="42"/>
  <c r="CK185" i="42"/>
  <c r="CL185" i="42"/>
  <c r="CM185" i="42"/>
  <c r="CN185" i="42"/>
  <c r="CO185" i="42"/>
  <c r="CP185" i="42"/>
  <c r="BO186" i="42"/>
  <c r="BP186" i="42"/>
  <c r="BQ186" i="42"/>
  <c r="BR186" i="42"/>
  <c r="BS186" i="42"/>
  <c r="BT186" i="42"/>
  <c r="BU186" i="42"/>
  <c r="BV186" i="42"/>
  <c r="BW186" i="42"/>
  <c r="BX186" i="42"/>
  <c r="BY186" i="42"/>
  <c r="BZ186" i="42"/>
  <c r="CA186" i="42"/>
  <c r="CB186" i="42"/>
  <c r="CC186" i="42"/>
  <c r="CD186" i="42"/>
  <c r="CE186" i="42"/>
  <c r="CF186" i="42"/>
  <c r="CG186" i="42"/>
  <c r="CH186" i="42"/>
  <c r="CI186" i="42"/>
  <c r="CJ186" i="42"/>
  <c r="CK186" i="42"/>
  <c r="CL186" i="42"/>
  <c r="CM186" i="42"/>
  <c r="CN186" i="42"/>
  <c r="CO186" i="42"/>
  <c r="CP186" i="42"/>
  <c r="BO187" i="42"/>
  <c r="BP187" i="42"/>
  <c r="BQ187" i="42"/>
  <c r="BR187" i="42"/>
  <c r="BS187" i="42"/>
  <c r="BT187" i="42"/>
  <c r="BU187" i="42"/>
  <c r="BV187" i="42"/>
  <c r="BW187" i="42"/>
  <c r="BX187" i="42"/>
  <c r="BY187" i="42"/>
  <c r="BZ187" i="42"/>
  <c r="CA187" i="42"/>
  <c r="CB187" i="42"/>
  <c r="CC187" i="42"/>
  <c r="CD187" i="42"/>
  <c r="CE187" i="42"/>
  <c r="CF187" i="42"/>
  <c r="CG187" i="42"/>
  <c r="CH187" i="42"/>
  <c r="CI187" i="42"/>
  <c r="CJ187" i="42"/>
  <c r="CK187" i="42"/>
  <c r="CL187" i="42"/>
  <c r="CM187" i="42"/>
  <c r="CN187" i="42"/>
  <c r="CO187" i="42"/>
  <c r="CP187" i="42"/>
  <c r="BO188" i="42"/>
  <c r="BP188" i="42"/>
  <c r="BQ188" i="42"/>
  <c r="BR188" i="42"/>
  <c r="BS188" i="42"/>
  <c r="BT188" i="42"/>
  <c r="BU188" i="42"/>
  <c r="BV188" i="42"/>
  <c r="BW188" i="42"/>
  <c r="BX188" i="42"/>
  <c r="BY188" i="42"/>
  <c r="BZ188" i="42"/>
  <c r="CA188" i="42"/>
  <c r="CB188" i="42"/>
  <c r="CC188" i="42"/>
  <c r="CD188" i="42"/>
  <c r="CE188" i="42"/>
  <c r="CF188" i="42"/>
  <c r="CG188" i="42"/>
  <c r="CH188" i="42"/>
  <c r="CI188" i="42"/>
  <c r="CJ188" i="42"/>
  <c r="CK188" i="42"/>
  <c r="CL188" i="42"/>
  <c r="CM188" i="42"/>
  <c r="CN188" i="42"/>
  <c r="CO188" i="42"/>
  <c r="CP188" i="42"/>
  <c r="BO189" i="42"/>
  <c r="BP189" i="42"/>
  <c r="BQ189" i="42"/>
  <c r="BR189" i="42"/>
  <c r="BS189" i="42"/>
  <c r="BT189" i="42"/>
  <c r="BU189" i="42"/>
  <c r="BV189" i="42"/>
  <c r="BW189" i="42"/>
  <c r="BX189" i="42"/>
  <c r="BY189" i="42"/>
  <c r="BZ189" i="42"/>
  <c r="CA189" i="42"/>
  <c r="CB189" i="42"/>
  <c r="CC189" i="42"/>
  <c r="CD189" i="42"/>
  <c r="CE189" i="42"/>
  <c r="CF189" i="42"/>
  <c r="CG189" i="42"/>
  <c r="CH189" i="42"/>
  <c r="CI189" i="42"/>
  <c r="CJ189" i="42"/>
  <c r="CK189" i="42"/>
  <c r="CL189" i="42"/>
  <c r="CM189" i="42"/>
  <c r="CN189" i="42"/>
  <c r="CO189" i="42"/>
  <c r="CP189" i="42"/>
  <c r="BO190" i="42"/>
  <c r="BP190" i="42"/>
  <c r="BQ190" i="42"/>
  <c r="BR190" i="42"/>
  <c r="BS190" i="42"/>
  <c r="BT190" i="42"/>
  <c r="BU190" i="42"/>
  <c r="BV190" i="42"/>
  <c r="BW190" i="42"/>
  <c r="BX190" i="42"/>
  <c r="BY190" i="42"/>
  <c r="BZ190" i="42"/>
  <c r="CA190" i="42"/>
  <c r="CB190" i="42"/>
  <c r="CC190" i="42"/>
  <c r="CD190" i="42"/>
  <c r="CE190" i="42"/>
  <c r="CF190" i="42"/>
  <c r="CG190" i="42"/>
  <c r="CH190" i="42"/>
  <c r="CI190" i="42"/>
  <c r="CJ190" i="42"/>
  <c r="CK190" i="42"/>
  <c r="CL190" i="42"/>
  <c r="CM190" i="42"/>
  <c r="CN190" i="42"/>
  <c r="CO190" i="42"/>
  <c r="CP190" i="42"/>
  <c r="BO191" i="42"/>
  <c r="BP191" i="42"/>
  <c r="BQ191" i="42"/>
  <c r="BR191" i="42"/>
  <c r="BS191" i="42"/>
  <c r="BT191" i="42"/>
  <c r="BU191" i="42"/>
  <c r="BV191" i="42"/>
  <c r="BW191" i="42"/>
  <c r="BX191" i="42"/>
  <c r="BY191" i="42"/>
  <c r="BZ191" i="42"/>
  <c r="CA191" i="42"/>
  <c r="CB191" i="42"/>
  <c r="CC191" i="42"/>
  <c r="CD191" i="42"/>
  <c r="CE191" i="42"/>
  <c r="CF191" i="42"/>
  <c r="CG191" i="42"/>
  <c r="CH191" i="42"/>
  <c r="CI191" i="42"/>
  <c r="CJ191" i="42"/>
  <c r="CK191" i="42"/>
  <c r="CL191" i="42"/>
  <c r="CM191" i="42"/>
  <c r="CN191" i="42"/>
  <c r="CO191" i="42"/>
  <c r="CP191" i="42"/>
  <c r="BO192" i="42"/>
  <c r="BP192" i="42"/>
  <c r="BQ192" i="42"/>
  <c r="BR192" i="42"/>
  <c r="BS192" i="42"/>
  <c r="BT192" i="42"/>
  <c r="BU192" i="42"/>
  <c r="BV192" i="42"/>
  <c r="BW192" i="42"/>
  <c r="BX192" i="42"/>
  <c r="BY192" i="42"/>
  <c r="BZ192" i="42"/>
  <c r="CA192" i="42"/>
  <c r="CB192" i="42"/>
  <c r="CC192" i="42"/>
  <c r="CD192" i="42"/>
  <c r="CE192" i="42"/>
  <c r="CF192" i="42"/>
  <c r="CG192" i="42"/>
  <c r="CH192" i="42"/>
  <c r="CI192" i="42"/>
  <c r="CJ192" i="42"/>
  <c r="CK192" i="42"/>
  <c r="CL192" i="42"/>
  <c r="CM192" i="42"/>
  <c r="CN192" i="42"/>
  <c r="CO192" i="42"/>
  <c r="CP192" i="42"/>
  <c r="BO193" i="42"/>
  <c r="BP193" i="42"/>
  <c r="BQ193" i="42"/>
  <c r="BR193" i="42"/>
  <c r="BS193" i="42"/>
  <c r="BT193" i="42"/>
  <c r="BU193" i="42"/>
  <c r="BV193" i="42"/>
  <c r="BW193" i="42"/>
  <c r="BX193" i="42"/>
  <c r="BY193" i="42"/>
  <c r="BZ193" i="42"/>
  <c r="CA193" i="42"/>
  <c r="CB193" i="42"/>
  <c r="CC193" i="42"/>
  <c r="CD193" i="42"/>
  <c r="CE193" i="42"/>
  <c r="CF193" i="42"/>
  <c r="CG193" i="42"/>
  <c r="CH193" i="42"/>
  <c r="CI193" i="42"/>
  <c r="CJ193" i="42"/>
  <c r="CK193" i="42"/>
  <c r="CL193" i="42"/>
  <c r="CM193" i="42"/>
  <c r="CN193" i="42"/>
  <c r="CO193" i="42"/>
  <c r="CP193" i="42"/>
  <c r="BO194" i="42"/>
  <c r="BP194" i="42"/>
  <c r="BQ194" i="42"/>
  <c r="BR194" i="42"/>
  <c r="BS194" i="42"/>
  <c r="BT194" i="42"/>
  <c r="BU194" i="42"/>
  <c r="BV194" i="42"/>
  <c r="BW194" i="42"/>
  <c r="BX194" i="42"/>
  <c r="BY194" i="42"/>
  <c r="BZ194" i="42"/>
  <c r="CA194" i="42"/>
  <c r="CB194" i="42"/>
  <c r="CC194" i="42"/>
  <c r="CD194" i="42"/>
  <c r="CE194" i="42"/>
  <c r="CF194" i="42"/>
  <c r="CG194" i="42"/>
  <c r="CH194" i="42"/>
  <c r="CI194" i="42"/>
  <c r="CJ194" i="42"/>
  <c r="CK194" i="42"/>
  <c r="CL194" i="42"/>
  <c r="CM194" i="42"/>
  <c r="CN194" i="42"/>
  <c r="CO194" i="42"/>
  <c r="CP194" i="42"/>
  <c r="BO195" i="42"/>
  <c r="BP195" i="42"/>
  <c r="BQ195" i="42"/>
  <c r="BR195" i="42"/>
  <c r="BS195" i="42"/>
  <c r="BT195" i="42"/>
  <c r="BU195" i="42"/>
  <c r="BV195" i="42"/>
  <c r="BW195" i="42"/>
  <c r="BX195" i="42"/>
  <c r="BY195" i="42"/>
  <c r="BZ195" i="42"/>
  <c r="CA195" i="42"/>
  <c r="CB195" i="42"/>
  <c r="CC195" i="42"/>
  <c r="CD195" i="42"/>
  <c r="CE195" i="42"/>
  <c r="CF195" i="42"/>
  <c r="CG195" i="42"/>
  <c r="CH195" i="42"/>
  <c r="CI195" i="42"/>
  <c r="CJ195" i="42"/>
  <c r="CK195" i="42"/>
  <c r="CL195" i="42"/>
  <c r="CM195" i="42"/>
  <c r="CN195" i="42"/>
  <c r="CO195" i="42"/>
  <c r="CP195" i="42"/>
  <c r="BO196" i="42"/>
  <c r="BP196" i="42"/>
  <c r="BQ196" i="42"/>
  <c r="BR196" i="42"/>
  <c r="BS196" i="42"/>
  <c r="BT196" i="42"/>
  <c r="BU196" i="42"/>
  <c r="BV196" i="42"/>
  <c r="BW196" i="42"/>
  <c r="BX196" i="42"/>
  <c r="BY196" i="42"/>
  <c r="BZ196" i="42"/>
  <c r="CA196" i="42"/>
  <c r="CB196" i="42"/>
  <c r="CC196" i="42"/>
  <c r="CD196" i="42"/>
  <c r="CE196" i="42"/>
  <c r="CF196" i="42"/>
  <c r="CG196" i="42"/>
  <c r="CH196" i="42"/>
  <c r="CI196" i="42"/>
  <c r="CJ196" i="42"/>
  <c r="CK196" i="42"/>
  <c r="CL196" i="42"/>
  <c r="CM196" i="42"/>
  <c r="CN196" i="42"/>
  <c r="CO196" i="42"/>
  <c r="CP196" i="42"/>
  <c r="BO197" i="42"/>
  <c r="BP197" i="42"/>
  <c r="BQ197" i="42"/>
  <c r="BR197" i="42"/>
  <c r="BS197" i="42"/>
  <c r="BT197" i="42"/>
  <c r="BU197" i="42"/>
  <c r="BV197" i="42"/>
  <c r="BW197" i="42"/>
  <c r="BX197" i="42"/>
  <c r="BY197" i="42"/>
  <c r="BZ197" i="42"/>
  <c r="CA197" i="42"/>
  <c r="CB197" i="42"/>
  <c r="CC197" i="42"/>
  <c r="CD197" i="42"/>
  <c r="CE197" i="42"/>
  <c r="CF197" i="42"/>
  <c r="CG197" i="42"/>
  <c r="CH197" i="42"/>
  <c r="CI197" i="42"/>
  <c r="CJ197" i="42"/>
  <c r="CK197" i="42"/>
  <c r="CL197" i="42"/>
  <c r="CM197" i="42"/>
  <c r="CN197" i="42"/>
  <c r="CO197" i="42"/>
  <c r="CP197" i="42"/>
  <c r="BO198" i="42"/>
  <c r="BP198" i="42"/>
  <c r="BQ198" i="42"/>
  <c r="BR198" i="42"/>
  <c r="BS198" i="42"/>
  <c r="BT198" i="42"/>
  <c r="BU198" i="42"/>
  <c r="BV198" i="42"/>
  <c r="BW198" i="42"/>
  <c r="BX198" i="42"/>
  <c r="BY198" i="42"/>
  <c r="BZ198" i="42"/>
  <c r="CA198" i="42"/>
  <c r="CB198" i="42"/>
  <c r="CC198" i="42"/>
  <c r="CD198" i="42"/>
  <c r="CE198" i="42"/>
  <c r="CF198" i="42"/>
  <c r="CG198" i="42"/>
  <c r="CH198" i="42"/>
  <c r="CI198" i="42"/>
  <c r="CJ198" i="42"/>
  <c r="CK198" i="42"/>
  <c r="CL198" i="42"/>
  <c r="CM198" i="42"/>
  <c r="CN198" i="42"/>
  <c r="CO198" i="42"/>
  <c r="CP198" i="42"/>
  <c r="BO199" i="42"/>
  <c r="BP199" i="42"/>
  <c r="BQ199" i="42"/>
  <c r="BR199" i="42"/>
  <c r="BS199" i="42"/>
  <c r="BT199" i="42"/>
  <c r="BU199" i="42"/>
  <c r="BV199" i="42"/>
  <c r="BW199" i="42"/>
  <c r="BX199" i="42"/>
  <c r="BY199" i="42"/>
  <c r="BZ199" i="42"/>
  <c r="CA199" i="42"/>
  <c r="CB199" i="42"/>
  <c r="CC199" i="42"/>
  <c r="CD199" i="42"/>
  <c r="CE199" i="42"/>
  <c r="CF199" i="42"/>
  <c r="CG199" i="42"/>
  <c r="CH199" i="42"/>
  <c r="CI199" i="42"/>
  <c r="CJ199" i="42"/>
  <c r="CK199" i="42"/>
  <c r="CL199" i="42"/>
  <c r="CM199" i="42"/>
  <c r="CN199" i="42"/>
  <c r="CO199" i="42"/>
  <c r="CP199" i="42"/>
  <c r="BO200" i="42"/>
  <c r="BP200" i="42"/>
  <c r="BQ200" i="42"/>
  <c r="BR200" i="42"/>
  <c r="BS200" i="42"/>
  <c r="BT200" i="42"/>
  <c r="BU200" i="42"/>
  <c r="BV200" i="42"/>
  <c r="BW200" i="42"/>
  <c r="BX200" i="42"/>
  <c r="BY200" i="42"/>
  <c r="BZ200" i="42"/>
  <c r="CA200" i="42"/>
  <c r="CB200" i="42"/>
  <c r="CC200" i="42"/>
  <c r="CD200" i="42"/>
  <c r="CE200" i="42"/>
  <c r="CF200" i="42"/>
  <c r="CG200" i="42"/>
  <c r="CH200" i="42"/>
  <c r="CI200" i="42"/>
  <c r="CJ200" i="42"/>
  <c r="CK200" i="42"/>
  <c r="CL200" i="42"/>
  <c r="CM200" i="42"/>
  <c r="CN200" i="42"/>
  <c r="CO200" i="42"/>
  <c r="CP200" i="42"/>
  <c r="BO201" i="42"/>
  <c r="BP201" i="42"/>
  <c r="BQ201" i="42"/>
  <c r="BR201" i="42"/>
  <c r="BS201" i="42"/>
  <c r="BT201" i="42"/>
  <c r="BU201" i="42"/>
  <c r="BV201" i="42"/>
  <c r="BW201" i="42"/>
  <c r="BX201" i="42"/>
  <c r="BY201" i="42"/>
  <c r="BZ201" i="42"/>
  <c r="CA201" i="42"/>
  <c r="CB201" i="42"/>
  <c r="CC201" i="42"/>
  <c r="CD201" i="42"/>
  <c r="CE201" i="42"/>
  <c r="CF201" i="42"/>
  <c r="CG201" i="42"/>
  <c r="CH201" i="42"/>
  <c r="CI201" i="42"/>
  <c r="CJ201" i="42"/>
  <c r="CK201" i="42"/>
  <c r="CL201" i="42"/>
  <c r="CM201" i="42"/>
  <c r="CN201" i="42"/>
  <c r="CO201" i="42"/>
  <c r="CP201" i="42"/>
  <c r="BO202" i="42"/>
  <c r="BP202" i="42"/>
  <c r="BQ202" i="42"/>
  <c r="BR202" i="42"/>
  <c r="BS202" i="42"/>
  <c r="BT202" i="42"/>
  <c r="BU202" i="42"/>
  <c r="BV202" i="42"/>
  <c r="BW202" i="42"/>
  <c r="BX202" i="42"/>
  <c r="BY202" i="42"/>
  <c r="BZ202" i="42"/>
  <c r="CA202" i="42"/>
  <c r="CB202" i="42"/>
  <c r="CC202" i="42"/>
  <c r="CD202" i="42"/>
  <c r="CE202" i="42"/>
  <c r="CF202" i="42"/>
  <c r="CG202" i="42"/>
  <c r="CH202" i="42"/>
  <c r="CI202" i="42"/>
  <c r="CJ202" i="42"/>
  <c r="CK202" i="42"/>
  <c r="CL202" i="42"/>
  <c r="CM202" i="42"/>
  <c r="CN202" i="42"/>
  <c r="CO202" i="42"/>
  <c r="CP202" i="42"/>
  <c r="BO203" i="42"/>
  <c r="BP203" i="42"/>
  <c r="BQ203" i="42"/>
  <c r="BR203" i="42"/>
  <c r="BS203" i="42"/>
  <c r="BT203" i="42"/>
  <c r="BU203" i="42"/>
  <c r="BV203" i="42"/>
  <c r="BW203" i="42"/>
  <c r="BX203" i="42"/>
  <c r="BY203" i="42"/>
  <c r="BZ203" i="42"/>
  <c r="CA203" i="42"/>
  <c r="CB203" i="42"/>
  <c r="CC203" i="42"/>
  <c r="CD203" i="42"/>
  <c r="CE203" i="42"/>
  <c r="CF203" i="42"/>
  <c r="CG203" i="42"/>
  <c r="CH203" i="42"/>
  <c r="CI203" i="42"/>
  <c r="CJ203" i="42"/>
  <c r="CK203" i="42"/>
  <c r="CL203" i="42"/>
  <c r="CM203" i="42"/>
  <c r="CN203" i="42"/>
  <c r="CO203" i="42"/>
  <c r="CP203" i="42"/>
  <c r="BO204" i="42"/>
  <c r="BP204" i="42"/>
  <c r="BQ204" i="42"/>
  <c r="BR204" i="42"/>
  <c r="BS204" i="42"/>
  <c r="BT204" i="42"/>
  <c r="BU204" i="42"/>
  <c r="BV204" i="42"/>
  <c r="BW204" i="42"/>
  <c r="BX204" i="42"/>
  <c r="BY204" i="42"/>
  <c r="BZ204" i="42"/>
  <c r="CA204" i="42"/>
  <c r="CB204" i="42"/>
  <c r="CC204" i="42"/>
  <c r="CD204" i="42"/>
  <c r="CE204" i="42"/>
  <c r="CF204" i="42"/>
  <c r="CG204" i="42"/>
  <c r="CH204" i="42"/>
  <c r="CI204" i="42"/>
  <c r="CJ204" i="42"/>
  <c r="CK204" i="42"/>
  <c r="CL204" i="42"/>
  <c r="CM204" i="42"/>
  <c r="CN204" i="42"/>
  <c r="CO204" i="42"/>
  <c r="CP204" i="42"/>
  <c r="BO205" i="42"/>
  <c r="BP205" i="42"/>
  <c r="BQ205" i="42"/>
  <c r="BR205" i="42"/>
  <c r="BS205" i="42"/>
  <c r="BT205" i="42"/>
  <c r="BU205" i="42"/>
  <c r="BV205" i="42"/>
  <c r="BW205" i="42"/>
  <c r="BX205" i="42"/>
  <c r="BY205" i="42"/>
  <c r="BZ205" i="42"/>
  <c r="CA205" i="42"/>
  <c r="CB205" i="42"/>
  <c r="CC205" i="42"/>
  <c r="CD205" i="42"/>
  <c r="CE205" i="42"/>
  <c r="CF205" i="42"/>
  <c r="CG205" i="42"/>
  <c r="CH205" i="42"/>
  <c r="CI205" i="42"/>
  <c r="CJ205" i="42"/>
  <c r="CK205" i="42"/>
  <c r="CL205" i="42"/>
  <c r="CM205" i="42"/>
  <c r="CN205" i="42"/>
  <c r="CO205" i="42"/>
  <c r="CP205" i="42"/>
  <c r="BO206" i="42"/>
  <c r="BP206" i="42"/>
  <c r="BQ206" i="42"/>
  <c r="BR206" i="42"/>
  <c r="BS206" i="42"/>
  <c r="BT206" i="42"/>
  <c r="BU206" i="42"/>
  <c r="BV206" i="42"/>
  <c r="BW206" i="42"/>
  <c r="BX206" i="42"/>
  <c r="BY206" i="42"/>
  <c r="BZ206" i="42"/>
  <c r="CA206" i="42"/>
  <c r="CB206" i="42"/>
  <c r="CC206" i="42"/>
  <c r="CD206" i="42"/>
  <c r="CE206" i="42"/>
  <c r="CF206" i="42"/>
  <c r="CG206" i="42"/>
  <c r="CH206" i="42"/>
  <c r="CI206" i="42"/>
  <c r="CJ206" i="42"/>
  <c r="CK206" i="42"/>
  <c r="CL206" i="42"/>
  <c r="CM206" i="42"/>
  <c r="CN206" i="42"/>
  <c r="CO206" i="42"/>
  <c r="CP206" i="42"/>
  <c r="BO207" i="42"/>
  <c r="BP207" i="42"/>
  <c r="BQ207" i="42"/>
  <c r="BR207" i="42"/>
  <c r="BS207" i="42"/>
  <c r="BT207" i="42"/>
  <c r="BU207" i="42"/>
  <c r="BV207" i="42"/>
  <c r="BW207" i="42"/>
  <c r="BX207" i="42"/>
  <c r="BY207" i="42"/>
  <c r="BZ207" i="42"/>
  <c r="CA207" i="42"/>
  <c r="CB207" i="42"/>
  <c r="CC207" i="42"/>
  <c r="CD207" i="42"/>
  <c r="CE207" i="42"/>
  <c r="CF207" i="42"/>
  <c r="CG207" i="42"/>
  <c r="CH207" i="42"/>
  <c r="CI207" i="42"/>
  <c r="CJ207" i="42"/>
  <c r="CK207" i="42"/>
  <c r="CL207" i="42"/>
  <c r="CM207" i="42"/>
  <c r="CN207" i="42"/>
  <c r="CO207" i="42"/>
  <c r="CP207" i="42"/>
  <c r="BO208" i="42"/>
  <c r="BP208" i="42"/>
  <c r="BQ208" i="42"/>
  <c r="BR208" i="42"/>
  <c r="BS208" i="42"/>
  <c r="BT208" i="42"/>
  <c r="BU208" i="42"/>
  <c r="BV208" i="42"/>
  <c r="BW208" i="42"/>
  <c r="BX208" i="42"/>
  <c r="BY208" i="42"/>
  <c r="BZ208" i="42"/>
  <c r="CA208" i="42"/>
  <c r="CB208" i="42"/>
  <c r="CC208" i="42"/>
  <c r="CD208" i="42"/>
  <c r="CE208" i="42"/>
  <c r="CF208" i="42"/>
  <c r="CG208" i="42"/>
  <c r="CH208" i="42"/>
  <c r="CI208" i="42"/>
  <c r="CJ208" i="42"/>
  <c r="CK208" i="42"/>
  <c r="CL208" i="42"/>
  <c r="CM208" i="42"/>
  <c r="CN208" i="42"/>
  <c r="CO208" i="42"/>
  <c r="CP208" i="42"/>
  <c r="BO209" i="42"/>
  <c r="BP209" i="42"/>
  <c r="BQ209" i="42"/>
  <c r="BR209" i="42"/>
  <c r="BS209" i="42"/>
  <c r="BT209" i="42"/>
  <c r="BU209" i="42"/>
  <c r="BV209" i="42"/>
  <c r="BW209" i="42"/>
  <c r="BX209" i="42"/>
  <c r="BY209" i="42"/>
  <c r="BZ209" i="42"/>
  <c r="CA209" i="42"/>
  <c r="CB209" i="42"/>
  <c r="CC209" i="42"/>
  <c r="CD209" i="42"/>
  <c r="CE209" i="42"/>
  <c r="CF209" i="42"/>
  <c r="CG209" i="42"/>
  <c r="CH209" i="42"/>
  <c r="CI209" i="42"/>
  <c r="CJ209" i="42"/>
  <c r="CK209" i="42"/>
  <c r="CL209" i="42"/>
  <c r="CM209" i="42"/>
  <c r="CN209" i="42"/>
  <c r="CO209" i="42"/>
  <c r="CP209" i="42"/>
  <c r="BO210" i="42"/>
  <c r="BP210" i="42"/>
  <c r="BQ210" i="42"/>
  <c r="BR210" i="42"/>
  <c r="BS210" i="42"/>
  <c r="BT210" i="42"/>
  <c r="BU210" i="42"/>
  <c r="BV210" i="42"/>
  <c r="BW210" i="42"/>
  <c r="BX210" i="42"/>
  <c r="BY210" i="42"/>
  <c r="BZ210" i="42"/>
  <c r="CA210" i="42"/>
  <c r="CB210" i="42"/>
  <c r="CC210" i="42"/>
  <c r="CD210" i="42"/>
  <c r="CE210" i="42"/>
  <c r="CF210" i="42"/>
  <c r="CG210" i="42"/>
  <c r="CH210" i="42"/>
  <c r="CI210" i="42"/>
  <c r="CJ210" i="42"/>
  <c r="CK210" i="42"/>
  <c r="CL210" i="42"/>
  <c r="CM210" i="42"/>
  <c r="CN210" i="42"/>
  <c r="CO210" i="42"/>
  <c r="CP210" i="42"/>
  <c r="BO211" i="42"/>
  <c r="BP211" i="42"/>
  <c r="BQ211" i="42"/>
  <c r="BR211" i="42"/>
  <c r="BS211" i="42"/>
  <c r="BT211" i="42"/>
  <c r="BU211" i="42"/>
  <c r="BV211" i="42"/>
  <c r="BW211" i="42"/>
  <c r="BX211" i="42"/>
  <c r="BY211" i="42"/>
  <c r="BZ211" i="42"/>
  <c r="CA211" i="42"/>
  <c r="CB211" i="42"/>
  <c r="CC211" i="42"/>
  <c r="CD211" i="42"/>
  <c r="CE211" i="42"/>
  <c r="CF211" i="42"/>
  <c r="CG211" i="42"/>
  <c r="CH211" i="42"/>
  <c r="CI211" i="42"/>
  <c r="CJ211" i="42"/>
  <c r="CK211" i="42"/>
  <c r="CL211" i="42"/>
  <c r="CM211" i="42"/>
  <c r="CN211" i="42"/>
  <c r="CO211" i="42"/>
  <c r="CP211" i="42"/>
  <c r="BO212" i="42"/>
  <c r="BP212" i="42"/>
  <c r="BQ212" i="42"/>
  <c r="BR212" i="42"/>
  <c r="BS212" i="42"/>
  <c r="BT212" i="42"/>
  <c r="BU212" i="42"/>
  <c r="BV212" i="42"/>
  <c r="BW212" i="42"/>
  <c r="BX212" i="42"/>
  <c r="BY212" i="42"/>
  <c r="BZ212" i="42"/>
  <c r="CA212" i="42"/>
  <c r="CB212" i="42"/>
  <c r="CC212" i="42"/>
  <c r="CD212" i="42"/>
  <c r="CE212" i="42"/>
  <c r="CF212" i="42"/>
  <c r="CG212" i="42"/>
  <c r="CH212" i="42"/>
  <c r="CI212" i="42"/>
  <c r="CJ212" i="42"/>
  <c r="CK212" i="42"/>
  <c r="CL212" i="42"/>
  <c r="CM212" i="42"/>
  <c r="CN212" i="42"/>
  <c r="CO212" i="42"/>
  <c r="CP212" i="42"/>
  <c r="BO213" i="42"/>
  <c r="BP213" i="42"/>
  <c r="BQ213" i="42"/>
  <c r="BR213" i="42"/>
  <c r="BS213" i="42"/>
  <c r="BT213" i="42"/>
  <c r="BU213" i="42"/>
  <c r="BV213" i="42"/>
  <c r="BW213" i="42"/>
  <c r="BX213" i="42"/>
  <c r="BY213" i="42"/>
  <c r="BZ213" i="42"/>
  <c r="CA213" i="42"/>
  <c r="CB213" i="42"/>
  <c r="CC213" i="42"/>
  <c r="CD213" i="42"/>
  <c r="CE213" i="42"/>
  <c r="CF213" i="42"/>
  <c r="CG213" i="42"/>
  <c r="CH213" i="42"/>
  <c r="CI213" i="42"/>
  <c r="CJ213" i="42"/>
  <c r="CK213" i="42"/>
  <c r="CL213" i="42"/>
  <c r="CM213" i="42"/>
  <c r="CN213" i="42"/>
  <c r="CO213" i="42"/>
  <c r="CP213" i="42"/>
  <c r="BO214" i="42"/>
  <c r="BP214" i="42"/>
  <c r="BQ214" i="42"/>
  <c r="BR214" i="42"/>
  <c r="BS214" i="42"/>
  <c r="BT214" i="42"/>
  <c r="BU214" i="42"/>
  <c r="BV214" i="42"/>
  <c r="BW214" i="42"/>
  <c r="BX214" i="42"/>
  <c r="BY214" i="42"/>
  <c r="BZ214" i="42"/>
  <c r="CA214" i="42"/>
  <c r="CB214" i="42"/>
  <c r="CC214" i="42"/>
  <c r="CD214" i="42"/>
  <c r="CE214" i="42"/>
  <c r="CF214" i="42"/>
  <c r="CG214" i="42"/>
  <c r="CH214" i="42"/>
  <c r="CI214" i="42"/>
  <c r="CJ214" i="42"/>
  <c r="CK214" i="42"/>
  <c r="CL214" i="42"/>
  <c r="CM214" i="42"/>
  <c r="CN214" i="42"/>
  <c r="CO214" i="42"/>
  <c r="CP214" i="42"/>
  <c r="BO215" i="42"/>
  <c r="BP215" i="42"/>
  <c r="BQ215" i="42"/>
  <c r="BR215" i="42"/>
  <c r="BS215" i="42"/>
  <c r="BT215" i="42"/>
  <c r="BU215" i="42"/>
  <c r="BV215" i="42"/>
  <c r="BW215" i="42"/>
  <c r="BX215" i="42"/>
  <c r="BY215" i="42"/>
  <c r="BZ215" i="42"/>
  <c r="CA215" i="42"/>
  <c r="CB215" i="42"/>
  <c r="CC215" i="42"/>
  <c r="CD215" i="42"/>
  <c r="CE215" i="42"/>
  <c r="CF215" i="42"/>
  <c r="CG215" i="42"/>
  <c r="CH215" i="42"/>
  <c r="CI215" i="42"/>
  <c r="CJ215" i="42"/>
  <c r="CK215" i="42"/>
  <c r="CL215" i="42"/>
  <c r="CM215" i="42"/>
  <c r="CN215" i="42"/>
  <c r="CO215" i="42"/>
  <c r="CP215" i="42"/>
  <c r="BO216" i="42"/>
  <c r="BP216" i="42"/>
  <c r="BQ216" i="42"/>
  <c r="BR216" i="42"/>
  <c r="BS216" i="42"/>
  <c r="BT216" i="42"/>
  <c r="BU216" i="42"/>
  <c r="BV216" i="42"/>
  <c r="BW216" i="42"/>
  <c r="BX216" i="42"/>
  <c r="BY216" i="42"/>
  <c r="BZ216" i="42"/>
  <c r="CA216" i="42"/>
  <c r="CB216" i="42"/>
  <c r="CC216" i="42"/>
  <c r="CD216" i="42"/>
  <c r="CE216" i="42"/>
  <c r="CF216" i="42"/>
  <c r="CG216" i="42"/>
  <c r="CH216" i="42"/>
  <c r="CI216" i="42"/>
  <c r="CJ216" i="42"/>
  <c r="CK216" i="42"/>
  <c r="CL216" i="42"/>
  <c r="CM216" i="42"/>
  <c r="CN216" i="42"/>
  <c r="CO216" i="42"/>
  <c r="CP216" i="42"/>
  <c r="BO217" i="42"/>
  <c r="BP217" i="42"/>
  <c r="BQ217" i="42"/>
  <c r="BR217" i="42"/>
  <c r="BS217" i="42"/>
  <c r="BT217" i="42"/>
  <c r="BU217" i="42"/>
  <c r="BV217" i="42"/>
  <c r="BW217" i="42"/>
  <c r="BX217" i="42"/>
  <c r="BY217" i="42"/>
  <c r="BZ217" i="42"/>
  <c r="CA217" i="42"/>
  <c r="CB217" i="42"/>
  <c r="CC217" i="42"/>
  <c r="CD217" i="42"/>
  <c r="CE217" i="42"/>
  <c r="CF217" i="42"/>
  <c r="CG217" i="42"/>
  <c r="CH217" i="42"/>
  <c r="CI217" i="42"/>
  <c r="CJ217" i="42"/>
  <c r="CK217" i="42"/>
  <c r="CL217" i="42"/>
  <c r="CM217" i="42"/>
  <c r="CN217" i="42"/>
  <c r="CO217" i="42"/>
  <c r="CP217" i="42"/>
  <c r="BO218" i="42"/>
  <c r="BP218" i="42"/>
  <c r="BQ218" i="42"/>
  <c r="BR218" i="42"/>
  <c r="BS218" i="42"/>
  <c r="BT218" i="42"/>
  <c r="BU218" i="42"/>
  <c r="BV218" i="42"/>
  <c r="BW218" i="42"/>
  <c r="BX218" i="42"/>
  <c r="BY218" i="42"/>
  <c r="BZ218" i="42"/>
  <c r="CA218" i="42"/>
  <c r="CB218" i="42"/>
  <c r="CC218" i="42"/>
  <c r="CD218" i="42"/>
  <c r="CE218" i="42"/>
  <c r="CF218" i="42"/>
  <c r="CG218" i="42"/>
  <c r="CH218" i="42"/>
  <c r="CI218" i="42"/>
  <c r="CJ218" i="42"/>
  <c r="CK218" i="42"/>
  <c r="CL218" i="42"/>
  <c r="CM218" i="42"/>
  <c r="CN218" i="42"/>
  <c r="CO218" i="42"/>
  <c r="CP218" i="42"/>
  <c r="BO219" i="42"/>
  <c r="BP219" i="42"/>
  <c r="BQ219" i="42"/>
  <c r="BR219" i="42"/>
  <c r="BS219" i="42"/>
  <c r="BT219" i="42"/>
  <c r="BU219" i="42"/>
  <c r="BV219" i="42"/>
  <c r="BW219" i="42"/>
  <c r="BX219" i="42"/>
  <c r="BY219" i="42"/>
  <c r="BZ219" i="42"/>
  <c r="CA219" i="42"/>
  <c r="CB219" i="42"/>
  <c r="CC219" i="42"/>
  <c r="CD219" i="42"/>
  <c r="CE219" i="42"/>
  <c r="CF219" i="42"/>
  <c r="CG219" i="42"/>
  <c r="CH219" i="42"/>
  <c r="CI219" i="42"/>
  <c r="CJ219" i="42"/>
  <c r="CK219" i="42"/>
  <c r="CL219" i="42"/>
  <c r="CM219" i="42"/>
  <c r="CN219" i="42"/>
  <c r="CO219" i="42"/>
  <c r="CP219" i="42"/>
  <c r="BO220" i="42"/>
  <c r="BP220" i="42"/>
  <c r="BQ220" i="42"/>
  <c r="BR220" i="42"/>
  <c r="BS220" i="42"/>
  <c r="BT220" i="42"/>
  <c r="BU220" i="42"/>
  <c r="BV220" i="42"/>
  <c r="BW220" i="42"/>
  <c r="BX220" i="42"/>
  <c r="BY220" i="42"/>
  <c r="BZ220" i="42"/>
  <c r="CA220" i="42"/>
  <c r="CB220" i="42"/>
  <c r="CC220" i="42"/>
  <c r="CD220" i="42"/>
  <c r="CE220" i="42"/>
  <c r="CF220" i="42"/>
  <c r="CG220" i="42"/>
  <c r="CH220" i="42"/>
  <c r="CI220" i="42"/>
  <c r="CJ220" i="42"/>
  <c r="CK220" i="42"/>
  <c r="CL220" i="42"/>
  <c r="CM220" i="42"/>
  <c r="CN220" i="42"/>
  <c r="CO220" i="42"/>
  <c r="CP220" i="42"/>
  <c r="BO221" i="42"/>
  <c r="BP221" i="42"/>
  <c r="BQ221" i="42"/>
  <c r="BR221" i="42"/>
  <c r="BS221" i="42"/>
  <c r="BT221" i="42"/>
  <c r="BU221" i="42"/>
  <c r="BV221" i="42"/>
  <c r="BW221" i="42"/>
  <c r="BX221" i="42"/>
  <c r="BY221" i="42"/>
  <c r="BZ221" i="42"/>
  <c r="CA221" i="42"/>
  <c r="CB221" i="42"/>
  <c r="CC221" i="42"/>
  <c r="CD221" i="42"/>
  <c r="CE221" i="42"/>
  <c r="CF221" i="42"/>
  <c r="CG221" i="42"/>
  <c r="CH221" i="42"/>
  <c r="CI221" i="42"/>
  <c r="CJ221" i="42"/>
  <c r="CK221" i="42"/>
  <c r="CL221" i="42"/>
  <c r="CM221" i="42"/>
  <c r="CN221" i="42"/>
  <c r="CO221" i="42"/>
  <c r="CP221" i="42"/>
  <c r="BO222" i="42"/>
  <c r="BP222" i="42"/>
  <c r="BQ222" i="42"/>
  <c r="BR222" i="42"/>
  <c r="BS222" i="42"/>
  <c r="BT222" i="42"/>
  <c r="BU222" i="42"/>
  <c r="BV222" i="42"/>
  <c r="BW222" i="42"/>
  <c r="BX222" i="42"/>
  <c r="BY222" i="42"/>
  <c r="BZ222" i="42"/>
  <c r="CA222" i="42"/>
  <c r="CB222" i="42"/>
  <c r="CC222" i="42"/>
  <c r="CD222" i="42"/>
  <c r="CE222" i="42"/>
  <c r="CF222" i="42"/>
  <c r="CG222" i="42"/>
  <c r="CH222" i="42"/>
  <c r="CI222" i="42"/>
  <c r="CJ222" i="42"/>
  <c r="CK222" i="42"/>
  <c r="CL222" i="42"/>
  <c r="CM222" i="42"/>
  <c r="CN222" i="42"/>
  <c r="CO222" i="42"/>
  <c r="CP222" i="42"/>
  <c r="BO223" i="42"/>
  <c r="BP223" i="42"/>
  <c r="BQ223" i="42"/>
  <c r="BR223" i="42"/>
  <c r="BS223" i="42"/>
  <c r="BT223" i="42"/>
  <c r="BU223" i="42"/>
  <c r="BV223" i="42"/>
  <c r="BW223" i="42"/>
  <c r="BX223" i="42"/>
  <c r="BY223" i="42"/>
  <c r="BZ223" i="42"/>
  <c r="CA223" i="42"/>
  <c r="CB223" i="42"/>
  <c r="CC223" i="42"/>
  <c r="CD223" i="42"/>
  <c r="CE223" i="42"/>
  <c r="CF223" i="42"/>
  <c r="CG223" i="42"/>
  <c r="CH223" i="42"/>
  <c r="CI223" i="42"/>
  <c r="CJ223" i="42"/>
  <c r="CK223" i="42"/>
  <c r="CL223" i="42"/>
  <c r="CM223" i="42"/>
  <c r="CN223" i="42"/>
  <c r="CO223" i="42"/>
  <c r="CP223" i="42"/>
  <c r="BO224" i="42"/>
  <c r="BP224" i="42"/>
  <c r="BQ224" i="42"/>
  <c r="BR224" i="42"/>
  <c r="BS224" i="42"/>
  <c r="BT224" i="42"/>
  <c r="BU224" i="42"/>
  <c r="BV224" i="42"/>
  <c r="BW224" i="42"/>
  <c r="BX224" i="42"/>
  <c r="BY224" i="42"/>
  <c r="BZ224" i="42"/>
  <c r="CA224" i="42"/>
  <c r="CB224" i="42"/>
  <c r="CC224" i="42"/>
  <c r="CD224" i="42"/>
  <c r="CE224" i="42"/>
  <c r="CF224" i="42"/>
  <c r="CG224" i="42"/>
  <c r="CH224" i="42"/>
  <c r="CI224" i="42"/>
  <c r="CJ224" i="42"/>
  <c r="CK224" i="42"/>
  <c r="CL224" i="42"/>
  <c r="CM224" i="42"/>
  <c r="CN224" i="42"/>
  <c r="CO224" i="42"/>
  <c r="CP224" i="42"/>
  <c r="BO225" i="42"/>
  <c r="BP225" i="42"/>
  <c r="BQ225" i="42"/>
  <c r="BR225" i="42"/>
  <c r="BS225" i="42"/>
  <c r="BT225" i="42"/>
  <c r="BU225" i="42"/>
  <c r="BV225" i="42"/>
  <c r="BW225" i="42"/>
  <c r="BX225" i="42"/>
  <c r="BY225" i="42"/>
  <c r="BZ225" i="42"/>
  <c r="CA225" i="42"/>
  <c r="CB225" i="42"/>
  <c r="CC225" i="42"/>
  <c r="CD225" i="42"/>
  <c r="CE225" i="42"/>
  <c r="CF225" i="42"/>
  <c r="CG225" i="42"/>
  <c r="CH225" i="42"/>
  <c r="CI225" i="42"/>
  <c r="CJ225" i="42"/>
  <c r="CK225" i="42"/>
  <c r="CL225" i="42"/>
  <c r="CM225" i="42"/>
  <c r="CN225" i="42"/>
  <c r="CO225" i="42"/>
  <c r="CP225" i="42"/>
  <c r="BO226" i="42"/>
  <c r="BP226" i="42"/>
  <c r="BQ226" i="42"/>
  <c r="BR226" i="42"/>
  <c r="BS226" i="42"/>
  <c r="BT226" i="42"/>
  <c r="BU226" i="42"/>
  <c r="BV226" i="42"/>
  <c r="BW226" i="42"/>
  <c r="BX226" i="42"/>
  <c r="BY226" i="42"/>
  <c r="BZ226" i="42"/>
  <c r="CA226" i="42"/>
  <c r="CB226" i="42"/>
  <c r="CC226" i="42"/>
  <c r="CD226" i="42"/>
  <c r="CE226" i="42"/>
  <c r="CF226" i="42"/>
  <c r="CG226" i="42"/>
  <c r="CH226" i="42"/>
  <c r="CI226" i="42"/>
  <c r="CJ226" i="42"/>
  <c r="CK226" i="42"/>
  <c r="CL226" i="42"/>
  <c r="CM226" i="42"/>
  <c r="CN226" i="42"/>
  <c r="CO226" i="42"/>
  <c r="CP226" i="42"/>
  <c r="BO227" i="42"/>
  <c r="BP227" i="42"/>
  <c r="BQ227" i="42"/>
  <c r="BR227" i="42"/>
  <c r="BS227" i="42"/>
  <c r="BT227" i="42"/>
  <c r="BU227" i="42"/>
  <c r="BV227" i="42"/>
  <c r="BW227" i="42"/>
  <c r="BX227" i="42"/>
  <c r="BY227" i="42"/>
  <c r="BZ227" i="42"/>
  <c r="CA227" i="42"/>
  <c r="CB227" i="42"/>
  <c r="CC227" i="42"/>
  <c r="CD227" i="42"/>
  <c r="CE227" i="42"/>
  <c r="CF227" i="42"/>
  <c r="CG227" i="42"/>
  <c r="CH227" i="42"/>
  <c r="CI227" i="42"/>
  <c r="CJ227" i="42"/>
  <c r="CK227" i="42"/>
  <c r="CL227" i="42"/>
  <c r="CM227" i="42"/>
  <c r="CN227" i="42"/>
  <c r="CO227" i="42"/>
  <c r="CP227" i="42"/>
  <c r="BO228" i="42"/>
  <c r="BP228" i="42"/>
  <c r="BQ228" i="42"/>
  <c r="BR228" i="42"/>
  <c r="BS228" i="42"/>
  <c r="BT228" i="42"/>
  <c r="BU228" i="42"/>
  <c r="BV228" i="42"/>
  <c r="BW228" i="42"/>
  <c r="BX228" i="42"/>
  <c r="BY228" i="42"/>
  <c r="BZ228" i="42"/>
  <c r="CA228" i="42"/>
  <c r="CB228" i="42"/>
  <c r="CC228" i="42"/>
  <c r="CD228" i="42"/>
  <c r="CE228" i="42"/>
  <c r="CF228" i="42"/>
  <c r="CG228" i="42"/>
  <c r="CH228" i="42"/>
  <c r="CI228" i="42"/>
  <c r="CJ228" i="42"/>
  <c r="CK228" i="42"/>
  <c r="CL228" i="42"/>
  <c r="CM228" i="42"/>
  <c r="CN228" i="42"/>
  <c r="CO228" i="42"/>
  <c r="CP228" i="42"/>
  <c r="BO229" i="42"/>
  <c r="BP229" i="42"/>
  <c r="BQ229" i="42"/>
  <c r="BR229" i="42"/>
  <c r="BS229" i="42"/>
  <c r="BT229" i="42"/>
  <c r="BU229" i="42"/>
  <c r="BV229" i="42"/>
  <c r="BW229" i="42"/>
  <c r="BX229" i="42"/>
  <c r="BY229" i="42"/>
  <c r="BZ229" i="42"/>
  <c r="CA229" i="42"/>
  <c r="CB229" i="42"/>
  <c r="CC229" i="42"/>
  <c r="CD229" i="42"/>
  <c r="CE229" i="42"/>
  <c r="CF229" i="42"/>
  <c r="CG229" i="42"/>
  <c r="CH229" i="42"/>
  <c r="CI229" i="42"/>
  <c r="CJ229" i="42"/>
  <c r="CK229" i="42"/>
  <c r="CL229" i="42"/>
  <c r="CM229" i="42"/>
  <c r="CN229" i="42"/>
  <c r="CO229" i="42"/>
  <c r="CP229" i="42"/>
  <c r="BO230" i="42"/>
  <c r="BP230" i="42"/>
  <c r="BQ230" i="42"/>
  <c r="BR230" i="42"/>
  <c r="BS230" i="42"/>
  <c r="BT230" i="42"/>
  <c r="BU230" i="42"/>
  <c r="BV230" i="42"/>
  <c r="BW230" i="42"/>
  <c r="BX230" i="42"/>
  <c r="BY230" i="42"/>
  <c r="BZ230" i="42"/>
  <c r="CA230" i="42"/>
  <c r="CB230" i="42"/>
  <c r="CC230" i="42"/>
  <c r="CD230" i="42"/>
  <c r="CE230" i="42"/>
  <c r="CF230" i="42"/>
  <c r="CG230" i="42"/>
  <c r="CH230" i="42"/>
  <c r="CI230" i="42"/>
  <c r="CJ230" i="42"/>
  <c r="CK230" i="42"/>
  <c r="CL230" i="42"/>
  <c r="CM230" i="42"/>
  <c r="CN230" i="42"/>
  <c r="CO230" i="42"/>
  <c r="CP230" i="42"/>
  <c r="BO231" i="42"/>
  <c r="BP231" i="42"/>
  <c r="BQ231" i="42"/>
  <c r="BR231" i="42"/>
  <c r="BS231" i="42"/>
  <c r="BT231" i="42"/>
  <c r="BU231" i="42"/>
  <c r="BV231" i="42"/>
  <c r="BW231" i="42"/>
  <c r="BX231" i="42"/>
  <c r="BY231" i="42"/>
  <c r="BZ231" i="42"/>
  <c r="CA231" i="42"/>
  <c r="CB231" i="42"/>
  <c r="CC231" i="42"/>
  <c r="CD231" i="42"/>
  <c r="CE231" i="42"/>
  <c r="CF231" i="42"/>
  <c r="CG231" i="42"/>
  <c r="CH231" i="42"/>
  <c r="CI231" i="42"/>
  <c r="CJ231" i="42"/>
  <c r="CK231" i="42"/>
  <c r="CL231" i="42"/>
  <c r="CM231" i="42"/>
  <c r="CN231" i="42"/>
  <c r="CO231" i="42"/>
  <c r="CP231" i="42"/>
  <c r="BO232" i="42"/>
  <c r="BP232" i="42"/>
  <c r="BQ232" i="42"/>
  <c r="BR232" i="42"/>
  <c r="BS232" i="42"/>
  <c r="BT232" i="42"/>
  <c r="BU232" i="42"/>
  <c r="BV232" i="42"/>
  <c r="BW232" i="42"/>
  <c r="BX232" i="42"/>
  <c r="BY232" i="42"/>
  <c r="BZ232" i="42"/>
  <c r="CA232" i="42"/>
  <c r="CB232" i="42"/>
  <c r="CC232" i="42"/>
  <c r="CD232" i="42"/>
  <c r="CE232" i="42"/>
  <c r="CF232" i="42"/>
  <c r="CG232" i="42"/>
  <c r="CH232" i="42"/>
  <c r="CI232" i="42"/>
  <c r="CJ232" i="42"/>
  <c r="CK232" i="42"/>
  <c r="CL232" i="42"/>
  <c r="CM232" i="42"/>
  <c r="CN232" i="42"/>
  <c r="CO232" i="42"/>
  <c r="CP232" i="42"/>
  <c r="BO233" i="42"/>
  <c r="BP233" i="42"/>
  <c r="BQ233" i="42"/>
  <c r="BR233" i="42"/>
  <c r="BS233" i="42"/>
  <c r="BT233" i="42"/>
  <c r="BU233" i="42"/>
  <c r="BV233" i="42"/>
  <c r="BW233" i="42"/>
  <c r="BX233" i="42"/>
  <c r="BY233" i="42"/>
  <c r="BZ233" i="42"/>
  <c r="CA233" i="42"/>
  <c r="CB233" i="42"/>
  <c r="CC233" i="42"/>
  <c r="CD233" i="42"/>
  <c r="CE233" i="42"/>
  <c r="CF233" i="42"/>
  <c r="CG233" i="42"/>
  <c r="CH233" i="42"/>
  <c r="CI233" i="42"/>
  <c r="CJ233" i="42"/>
  <c r="CK233" i="42"/>
  <c r="CL233" i="42"/>
  <c r="CM233" i="42"/>
  <c r="CN233" i="42"/>
  <c r="CO233" i="42"/>
  <c r="CP233" i="42"/>
  <c r="BO234" i="42"/>
  <c r="BP234" i="42"/>
  <c r="BQ234" i="42"/>
  <c r="BR234" i="42"/>
  <c r="BS234" i="42"/>
  <c r="BT234" i="42"/>
  <c r="BU234" i="42"/>
  <c r="BV234" i="42"/>
  <c r="BW234" i="42"/>
  <c r="BX234" i="42"/>
  <c r="BY234" i="42"/>
  <c r="BZ234" i="42"/>
  <c r="CA234" i="42"/>
  <c r="CB234" i="42"/>
  <c r="CC234" i="42"/>
  <c r="CD234" i="42"/>
  <c r="CE234" i="42"/>
  <c r="CF234" i="42"/>
  <c r="CG234" i="42"/>
  <c r="CH234" i="42"/>
  <c r="CI234" i="42"/>
  <c r="CJ234" i="42"/>
  <c r="CK234" i="42"/>
  <c r="CL234" i="42"/>
  <c r="CM234" i="42"/>
  <c r="CN234" i="42"/>
  <c r="CO234" i="42"/>
  <c r="CP234" i="42"/>
  <c r="BO235" i="42"/>
  <c r="BP235" i="42"/>
  <c r="BQ235" i="42"/>
  <c r="BR235" i="42"/>
  <c r="BS235" i="42"/>
  <c r="BT235" i="42"/>
  <c r="BU235" i="42"/>
  <c r="BV235" i="42"/>
  <c r="BW235" i="42"/>
  <c r="BX235" i="42"/>
  <c r="BY235" i="42"/>
  <c r="BZ235" i="42"/>
  <c r="CA235" i="42"/>
  <c r="CB235" i="42"/>
  <c r="CC235" i="42"/>
  <c r="CD235" i="42"/>
  <c r="CE235" i="42"/>
  <c r="CF235" i="42"/>
  <c r="CG235" i="42"/>
  <c r="CH235" i="42"/>
  <c r="CI235" i="42"/>
  <c r="CJ235" i="42"/>
  <c r="CK235" i="42"/>
  <c r="CL235" i="42"/>
  <c r="CM235" i="42"/>
  <c r="CN235" i="42"/>
  <c r="CO235" i="42"/>
  <c r="CP235" i="42"/>
  <c r="BO236" i="42"/>
  <c r="BP236" i="42"/>
  <c r="BQ236" i="42"/>
  <c r="BR236" i="42"/>
  <c r="BS236" i="42"/>
  <c r="BT236" i="42"/>
  <c r="BU236" i="42"/>
  <c r="BV236" i="42"/>
  <c r="BW236" i="42"/>
  <c r="BX236" i="42"/>
  <c r="BY236" i="42"/>
  <c r="BZ236" i="42"/>
  <c r="CA236" i="42"/>
  <c r="CB236" i="42"/>
  <c r="CC236" i="42"/>
  <c r="CD236" i="42"/>
  <c r="CE236" i="42"/>
  <c r="CF236" i="42"/>
  <c r="CG236" i="42"/>
  <c r="CH236" i="42"/>
  <c r="CI236" i="42"/>
  <c r="CJ236" i="42"/>
  <c r="CK236" i="42"/>
  <c r="CL236" i="42"/>
  <c r="CM236" i="42"/>
  <c r="CN236" i="42"/>
  <c r="CO236" i="42"/>
  <c r="CP236" i="42"/>
  <c r="BO237" i="42"/>
  <c r="BP237" i="42"/>
  <c r="BQ237" i="42"/>
  <c r="BR237" i="42"/>
  <c r="BS237" i="42"/>
  <c r="BT237" i="42"/>
  <c r="BU237" i="42"/>
  <c r="BV237" i="42"/>
  <c r="BW237" i="42"/>
  <c r="BX237" i="42"/>
  <c r="BY237" i="42"/>
  <c r="BZ237" i="42"/>
  <c r="CA237" i="42"/>
  <c r="CB237" i="42"/>
  <c r="CC237" i="42"/>
  <c r="CD237" i="42"/>
  <c r="CE237" i="42"/>
  <c r="CF237" i="42"/>
  <c r="CG237" i="42"/>
  <c r="CH237" i="42"/>
  <c r="CI237" i="42"/>
  <c r="CJ237" i="42"/>
  <c r="CK237" i="42"/>
  <c r="CL237" i="42"/>
  <c r="CM237" i="42"/>
  <c r="CN237" i="42"/>
  <c r="CO237" i="42"/>
  <c r="CP237" i="42"/>
  <c r="BO238" i="42"/>
  <c r="BP238" i="42"/>
  <c r="BQ238" i="42"/>
  <c r="BR238" i="42"/>
  <c r="BS238" i="42"/>
  <c r="BT238" i="42"/>
  <c r="BU238" i="42"/>
  <c r="BV238" i="42"/>
  <c r="BW238" i="42"/>
  <c r="BX238" i="42"/>
  <c r="BY238" i="42"/>
  <c r="BZ238" i="42"/>
  <c r="CA238" i="42"/>
  <c r="CB238" i="42"/>
  <c r="CC238" i="42"/>
  <c r="CD238" i="42"/>
  <c r="CE238" i="42"/>
  <c r="CF238" i="42"/>
  <c r="CG238" i="42"/>
  <c r="CH238" i="42"/>
  <c r="CI238" i="42"/>
  <c r="CJ238" i="42"/>
  <c r="CK238" i="42"/>
  <c r="CL238" i="42"/>
  <c r="CM238" i="42"/>
  <c r="CN238" i="42"/>
  <c r="CO238" i="42"/>
  <c r="CP238" i="42"/>
  <c r="BO239" i="42"/>
  <c r="BP239" i="42"/>
  <c r="BQ239" i="42"/>
  <c r="BR239" i="42"/>
  <c r="BS239" i="42"/>
  <c r="BT239" i="42"/>
  <c r="BU239" i="42"/>
  <c r="BV239" i="42"/>
  <c r="BW239" i="42"/>
  <c r="BX239" i="42"/>
  <c r="BY239" i="42"/>
  <c r="BZ239" i="42"/>
  <c r="CA239" i="42"/>
  <c r="CB239" i="42"/>
  <c r="CC239" i="42"/>
  <c r="CD239" i="42"/>
  <c r="CE239" i="42"/>
  <c r="CF239" i="42"/>
  <c r="CG239" i="42"/>
  <c r="CH239" i="42"/>
  <c r="CI239" i="42"/>
  <c r="CJ239" i="42"/>
  <c r="CK239" i="42"/>
  <c r="CL239" i="42"/>
  <c r="CM239" i="42"/>
  <c r="CN239" i="42"/>
  <c r="CO239" i="42"/>
  <c r="CP239" i="42"/>
  <c r="BO240" i="42"/>
  <c r="BP240" i="42"/>
  <c r="BQ240" i="42"/>
  <c r="BR240" i="42"/>
  <c r="BS240" i="42"/>
  <c r="BT240" i="42"/>
  <c r="BU240" i="42"/>
  <c r="BV240" i="42"/>
  <c r="BW240" i="42"/>
  <c r="BX240" i="42"/>
  <c r="BY240" i="42"/>
  <c r="BZ240" i="42"/>
  <c r="CA240" i="42"/>
  <c r="CB240" i="42"/>
  <c r="CC240" i="42"/>
  <c r="CD240" i="42"/>
  <c r="CE240" i="42"/>
  <c r="CF240" i="42"/>
  <c r="CG240" i="42"/>
  <c r="CH240" i="42"/>
  <c r="CI240" i="42"/>
  <c r="CJ240" i="42"/>
  <c r="CK240" i="42"/>
  <c r="CL240" i="42"/>
  <c r="CM240" i="42"/>
  <c r="CN240" i="42"/>
  <c r="CO240" i="42"/>
  <c r="CP240" i="42"/>
  <c r="BO241" i="42"/>
  <c r="BP241" i="42"/>
  <c r="BQ241" i="42"/>
  <c r="BR241" i="42"/>
  <c r="BS241" i="42"/>
  <c r="BT241" i="42"/>
  <c r="BU241" i="42"/>
  <c r="BV241" i="42"/>
  <c r="BW241" i="42"/>
  <c r="BX241" i="42"/>
  <c r="BY241" i="42"/>
  <c r="BZ241" i="42"/>
  <c r="CA241" i="42"/>
  <c r="CB241" i="42"/>
  <c r="CC241" i="42"/>
  <c r="CD241" i="42"/>
  <c r="CE241" i="42"/>
  <c r="CF241" i="42"/>
  <c r="CG241" i="42"/>
  <c r="CH241" i="42"/>
  <c r="CI241" i="42"/>
  <c r="CJ241" i="42"/>
  <c r="CK241" i="42"/>
  <c r="CL241" i="42"/>
  <c r="CM241" i="42"/>
  <c r="CN241" i="42"/>
  <c r="CO241" i="42"/>
  <c r="CP241" i="42"/>
  <c r="BO242" i="42"/>
  <c r="BP242" i="42"/>
  <c r="BQ242" i="42"/>
  <c r="BR242" i="42"/>
  <c r="BS242" i="42"/>
  <c r="BT242" i="42"/>
  <c r="BU242" i="42"/>
  <c r="BV242" i="42"/>
  <c r="BW242" i="42"/>
  <c r="BX242" i="42"/>
  <c r="BY242" i="42"/>
  <c r="BZ242" i="42"/>
  <c r="CA242" i="42"/>
  <c r="CB242" i="42"/>
  <c r="CC242" i="42"/>
  <c r="CD242" i="42"/>
  <c r="CE242" i="42"/>
  <c r="CF242" i="42"/>
  <c r="CG242" i="42"/>
  <c r="CH242" i="42"/>
  <c r="CI242" i="42"/>
  <c r="CJ242" i="42"/>
  <c r="CK242" i="42"/>
  <c r="CL242" i="42"/>
  <c r="CM242" i="42"/>
  <c r="CN242" i="42"/>
  <c r="CO242" i="42"/>
  <c r="CP242" i="42"/>
  <c r="BO243" i="42"/>
  <c r="BP243" i="42"/>
  <c r="BQ243" i="42"/>
  <c r="BR243" i="42"/>
  <c r="BS243" i="42"/>
  <c r="BT243" i="42"/>
  <c r="BU243" i="42"/>
  <c r="BV243" i="42"/>
  <c r="BW243" i="42"/>
  <c r="BX243" i="42"/>
  <c r="BY243" i="42"/>
  <c r="BZ243" i="42"/>
  <c r="CA243" i="42"/>
  <c r="CB243" i="42"/>
  <c r="CC243" i="42"/>
  <c r="CD243" i="42"/>
  <c r="CE243" i="42"/>
  <c r="CF243" i="42"/>
  <c r="CG243" i="42"/>
  <c r="CH243" i="42"/>
  <c r="CI243" i="42"/>
  <c r="CJ243" i="42"/>
  <c r="CK243" i="42"/>
  <c r="CL243" i="42"/>
  <c r="CM243" i="42"/>
  <c r="CN243" i="42"/>
  <c r="CO243" i="42"/>
  <c r="CP243" i="42"/>
  <c r="BO244" i="42"/>
  <c r="BP244" i="42"/>
  <c r="BQ244" i="42"/>
  <c r="BR244" i="42"/>
  <c r="BS244" i="42"/>
  <c r="BT244" i="42"/>
  <c r="BU244" i="42"/>
  <c r="BV244" i="42"/>
  <c r="BW244" i="42"/>
  <c r="BX244" i="42"/>
  <c r="BY244" i="42"/>
  <c r="BZ244" i="42"/>
  <c r="CA244" i="42"/>
  <c r="CB244" i="42"/>
  <c r="CC244" i="42"/>
  <c r="CD244" i="42"/>
  <c r="CE244" i="42"/>
  <c r="CF244" i="42"/>
  <c r="CG244" i="42"/>
  <c r="CH244" i="42"/>
  <c r="CI244" i="42"/>
  <c r="CJ244" i="42"/>
  <c r="CK244" i="42"/>
  <c r="CL244" i="42"/>
  <c r="CM244" i="42"/>
  <c r="CN244" i="42"/>
  <c r="CO244" i="42"/>
  <c r="CP244" i="42"/>
  <c r="BO245" i="42"/>
  <c r="BP245" i="42"/>
  <c r="BQ245" i="42"/>
  <c r="BR245" i="42"/>
  <c r="BS245" i="42"/>
  <c r="BT245" i="42"/>
  <c r="BU245" i="42"/>
  <c r="BV245" i="42"/>
  <c r="BW245" i="42"/>
  <c r="BX245" i="42"/>
  <c r="BY245" i="42"/>
  <c r="BZ245" i="42"/>
  <c r="CA245" i="42"/>
  <c r="CB245" i="42"/>
  <c r="CC245" i="42"/>
  <c r="CD245" i="42"/>
  <c r="CE245" i="42"/>
  <c r="CF245" i="42"/>
  <c r="CG245" i="42"/>
  <c r="CH245" i="42"/>
  <c r="CI245" i="42"/>
  <c r="CJ245" i="42"/>
  <c r="CK245" i="42"/>
  <c r="CL245" i="42"/>
  <c r="CM245" i="42"/>
  <c r="CN245" i="42"/>
  <c r="CO245" i="42"/>
  <c r="CP245" i="42"/>
  <c r="BO246" i="42"/>
  <c r="BP246" i="42"/>
  <c r="BQ246" i="42"/>
  <c r="BR246" i="42"/>
  <c r="BS246" i="42"/>
  <c r="BT246" i="42"/>
  <c r="BU246" i="42"/>
  <c r="BV246" i="42"/>
  <c r="BW246" i="42"/>
  <c r="BX246" i="42"/>
  <c r="BY246" i="42"/>
  <c r="BZ246" i="42"/>
  <c r="CA246" i="42"/>
  <c r="CB246" i="42"/>
  <c r="CC246" i="42"/>
  <c r="CD246" i="42"/>
  <c r="CE246" i="42"/>
  <c r="CF246" i="42"/>
  <c r="CG246" i="42"/>
  <c r="CH246" i="42"/>
  <c r="CI246" i="42"/>
  <c r="CJ246" i="42"/>
  <c r="CK246" i="42"/>
  <c r="CL246" i="42"/>
  <c r="CM246" i="42"/>
  <c r="CN246" i="42"/>
  <c r="CO246" i="42"/>
  <c r="CP246" i="42"/>
  <c r="BO247" i="42"/>
  <c r="BP247" i="42"/>
  <c r="BQ247" i="42"/>
  <c r="BR247" i="42"/>
  <c r="BS247" i="42"/>
  <c r="BT247" i="42"/>
  <c r="BU247" i="42"/>
  <c r="BV247" i="42"/>
  <c r="BW247" i="42"/>
  <c r="BX247" i="42"/>
  <c r="BY247" i="42"/>
  <c r="BZ247" i="42"/>
  <c r="CA247" i="42"/>
  <c r="CB247" i="42"/>
  <c r="CC247" i="42"/>
  <c r="CD247" i="42"/>
  <c r="CE247" i="42"/>
  <c r="CF247" i="42"/>
  <c r="CG247" i="42"/>
  <c r="CH247" i="42"/>
  <c r="CI247" i="42"/>
  <c r="CJ247" i="42"/>
  <c r="CK247" i="42"/>
  <c r="CL247" i="42"/>
  <c r="CM247" i="42"/>
  <c r="CN247" i="42"/>
  <c r="CO247" i="42"/>
  <c r="CP247" i="42"/>
  <c r="BO248" i="42"/>
  <c r="BP248" i="42"/>
  <c r="BQ248" i="42"/>
  <c r="BR248" i="42"/>
  <c r="BS248" i="42"/>
  <c r="BT248" i="42"/>
  <c r="BU248" i="42"/>
  <c r="BV248" i="42"/>
  <c r="BW248" i="42"/>
  <c r="BX248" i="42"/>
  <c r="BY248" i="42"/>
  <c r="BZ248" i="42"/>
  <c r="CA248" i="42"/>
  <c r="CB248" i="42"/>
  <c r="CC248" i="42"/>
  <c r="CD248" i="42"/>
  <c r="CE248" i="42"/>
  <c r="CF248" i="42"/>
  <c r="CG248" i="42"/>
  <c r="CH248" i="42"/>
  <c r="CI248" i="42"/>
  <c r="CJ248" i="42"/>
  <c r="CK248" i="42"/>
  <c r="CL248" i="42"/>
  <c r="CM248" i="42"/>
  <c r="CN248" i="42"/>
  <c r="CO248" i="42"/>
  <c r="CP248" i="42"/>
  <c r="BO249" i="42"/>
  <c r="BP249" i="42"/>
  <c r="BQ249" i="42"/>
  <c r="BR249" i="42"/>
  <c r="BS249" i="42"/>
  <c r="BT249" i="42"/>
  <c r="BU249" i="42"/>
  <c r="BV249" i="42"/>
  <c r="BW249" i="42"/>
  <c r="BX249" i="42"/>
  <c r="BY249" i="42"/>
  <c r="BZ249" i="42"/>
  <c r="CA249" i="42"/>
  <c r="CB249" i="42"/>
  <c r="CC249" i="42"/>
  <c r="CD249" i="42"/>
  <c r="CE249" i="42"/>
  <c r="CF249" i="42"/>
  <c r="CG249" i="42"/>
  <c r="CH249" i="42"/>
  <c r="CI249" i="42"/>
  <c r="CJ249" i="42"/>
  <c r="CK249" i="42"/>
  <c r="CL249" i="42"/>
  <c r="CM249" i="42"/>
  <c r="CN249" i="42"/>
  <c r="CO249" i="42"/>
  <c r="CP249" i="42"/>
  <c r="BO250" i="42"/>
  <c r="BP250" i="42"/>
  <c r="BQ250" i="42"/>
  <c r="BR250" i="42"/>
  <c r="BS250" i="42"/>
  <c r="BT250" i="42"/>
  <c r="BU250" i="42"/>
  <c r="BV250" i="42"/>
  <c r="BW250" i="42"/>
  <c r="BX250" i="42"/>
  <c r="BY250" i="42"/>
  <c r="BZ250" i="42"/>
  <c r="CA250" i="42"/>
  <c r="CB250" i="42"/>
  <c r="CC250" i="42"/>
  <c r="CD250" i="42"/>
  <c r="CE250" i="42"/>
  <c r="CF250" i="42"/>
  <c r="CG250" i="42"/>
  <c r="CH250" i="42"/>
  <c r="CI250" i="42"/>
  <c r="CJ250" i="42"/>
  <c r="CK250" i="42"/>
  <c r="CL250" i="42"/>
  <c r="CM250" i="42"/>
  <c r="CN250" i="42"/>
  <c r="CO250" i="42"/>
  <c r="CP250" i="42"/>
  <c r="BO251" i="42"/>
  <c r="BP251" i="42"/>
  <c r="BQ251" i="42"/>
  <c r="BR251" i="42"/>
  <c r="BS251" i="42"/>
  <c r="BT251" i="42"/>
  <c r="BU251" i="42"/>
  <c r="BV251" i="42"/>
  <c r="BW251" i="42"/>
  <c r="BX251" i="42"/>
  <c r="BY251" i="42"/>
  <c r="BZ251" i="42"/>
  <c r="CA251" i="42"/>
  <c r="CB251" i="42"/>
  <c r="CC251" i="42"/>
  <c r="CD251" i="42"/>
  <c r="CE251" i="42"/>
  <c r="CF251" i="42"/>
  <c r="CG251" i="42"/>
  <c r="CH251" i="42"/>
  <c r="CI251" i="42"/>
  <c r="CJ251" i="42"/>
  <c r="CK251" i="42"/>
  <c r="CL251" i="42"/>
  <c r="CM251" i="42"/>
  <c r="CN251" i="42"/>
  <c r="CO251" i="42"/>
  <c r="CP251" i="42"/>
  <c r="BO252" i="42"/>
  <c r="BP252" i="42"/>
  <c r="BQ252" i="42"/>
  <c r="BR252" i="42"/>
  <c r="BS252" i="42"/>
  <c r="BT252" i="42"/>
  <c r="BU252" i="42"/>
  <c r="BV252" i="42"/>
  <c r="BW252" i="42"/>
  <c r="BX252" i="42"/>
  <c r="BY252" i="42"/>
  <c r="BZ252" i="42"/>
  <c r="CA252" i="42"/>
  <c r="CB252" i="42"/>
  <c r="CC252" i="42"/>
  <c r="CD252" i="42"/>
  <c r="CE252" i="42"/>
  <c r="CF252" i="42"/>
  <c r="CG252" i="42"/>
  <c r="CH252" i="42"/>
  <c r="CI252" i="42"/>
  <c r="CJ252" i="42"/>
  <c r="CK252" i="42"/>
  <c r="CL252" i="42"/>
  <c r="CM252" i="42"/>
  <c r="CN252" i="42"/>
  <c r="CO252" i="42"/>
  <c r="CP252" i="42"/>
  <c r="BO253" i="42"/>
  <c r="BP253" i="42"/>
  <c r="BQ253" i="42"/>
  <c r="BR253" i="42"/>
  <c r="BS253" i="42"/>
  <c r="BT253" i="42"/>
  <c r="BU253" i="42"/>
  <c r="BV253" i="42"/>
  <c r="BW253" i="42"/>
  <c r="BX253" i="42"/>
  <c r="BY253" i="42"/>
  <c r="BZ253" i="42"/>
  <c r="CA253" i="42"/>
  <c r="CB253" i="42"/>
  <c r="CC253" i="42"/>
  <c r="CD253" i="42"/>
  <c r="CE253" i="42"/>
  <c r="CF253" i="42"/>
  <c r="CG253" i="42"/>
  <c r="CH253" i="42"/>
  <c r="CI253" i="42"/>
  <c r="CJ253" i="42"/>
  <c r="CK253" i="42"/>
  <c r="CL253" i="42"/>
  <c r="CM253" i="42"/>
  <c r="CN253" i="42"/>
  <c r="CO253" i="42"/>
  <c r="CP253" i="42"/>
  <c r="BO254" i="42"/>
  <c r="BP254" i="42"/>
  <c r="BQ254" i="42"/>
  <c r="BR254" i="42"/>
  <c r="BS254" i="42"/>
  <c r="BT254" i="42"/>
  <c r="BU254" i="42"/>
  <c r="BV254" i="42"/>
  <c r="BW254" i="42"/>
  <c r="BX254" i="42"/>
  <c r="BY254" i="42"/>
  <c r="BZ254" i="42"/>
  <c r="CA254" i="42"/>
  <c r="CB254" i="42"/>
  <c r="CC254" i="42"/>
  <c r="CD254" i="42"/>
  <c r="CE254" i="42"/>
  <c r="CF254" i="42"/>
  <c r="CG254" i="42"/>
  <c r="CH254" i="42"/>
  <c r="CI254" i="42"/>
  <c r="CJ254" i="42"/>
  <c r="CK254" i="42"/>
  <c r="CL254" i="42"/>
  <c r="CM254" i="42"/>
  <c r="CN254" i="42"/>
  <c r="CO254" i="42"/>
  <c r="CP254" i="42"/>
  <c r="BO255" i="42"/>
  <c r="BP255" i="42"/>
  <c r="BQ255" i="42"/>
  <c r="BR255" i="42"/>
  <c r="BS255" i="42"/>
  <c r="BT255" i="42"/>
  <c r="BU255" i="42"/>
  <c r="BV255" i="42"/>
  <c r="BW255" i="42"/>
  <c r="BX255" i="42"/>
  <c r="BY255" i="42"/>
  <c r="BZ255" i="42"/>
  <c r="CA255" i="42"/>
  <c r="CB255" i="42"/>
  <c r="CC255" i="42"/>
  <c r="CD255" i="42"/>
  <c r="CE255" i="42"/>
  <c r="CF255" i="42"/>
  <c r="CG255" i="42"/>
  <c r="CH255" i="42"/>
  <c r="CI255" i="42"/>
  <c r="CJ255" i="42"/>
  <c r="CK255" i="42"/>
  <c r="CL255" i="42"/>
  <c r="CM255" i="42"/>
  <c r="CN255" i="42"/>
  <c r="CO255" i="42"/>
  <c r="CP255" i="42"/>
  <c r="BO256" i="42"/>
  <c r="BP256" i="42"/>
  <c r="BQ256" i="42"/>
  <c r="BR256" i="42"/>
  <c r="BS256" i="42"/>
  <c r="BT256" i="42"/>
  <c r="BU256" i="42"/>
  <c r="BV256" i="42"/>
  <c r="BW256" i="42"/>
  <c r="BX256" i="42"/>
  <c r="BY256" i="42"/>
  <c r="BZ256" i="42"/>
  <c r="CA256" i="42"/>
  <c r="CB256" i="42"/>
  <c r="CC256" i="42"/>
  <c r="CD256" i="42"/>
  <c r="CE256" i="42"/>
  <c r="CF256" i="42"/>
  <c r="CG256" i="42"/>
  <c r="CH256" i="42"/>
  <c r="CI256" i="42"/>
  <c r="CJ256" i="42"/>
  <c r="CK256" i="42"/>
  <c r="CL256" i="42"/>
  <c r="CM256" i="42"/>
  <c r="CN256" i="42"/>
  <c r="CO256" i="42"/>
  <c r="CP256" i="42"/>
  <c r="BO257" i="42"/>
  <c r="BP257" i="42"/>
  <c r="BQ257" i="42"/>
  <c r="BR257" i="42"/>
  <c r="BS257" i="42"/>
  <c r="BT257" i="42"/>
  <c r="BU257" i="42"/>
  <c r="BV257" i="42"/>
  <c r="BW257" i="42"/>
  <c r="BX257" i="42"/>
  <c r="BY257" i="42"/>
  <c r="BZ257" i="42"/>
  <c r="CA257" i="42"/>
  <c r="CB257" i="42"/>
  <c r="CC257" i="42"/>
  <c r="CD257" i="42"/>
  <c r="CE257" i="42"/>
  <c r="CF257" i="42"/>
  <c r="CG257" i="42"/>
  <c r="CH257" i="42"/>
  <c r="CI257" i="42"/>
  <c r="CJ257" i="42"/>
  <c r="CK257" i="42"/>
  <c r="CL257" i="42"/>
  <c r="CM257" i="42"/>
  <c r="CN257" i="42"/>
  <c r="CO257" i="42"/>
  <c r="CP257" i="42"/>
  <c r="BO258" i="42"/>
  <c r="BP258" i="42"/>
  <c r="BQ258" i="42"/>
  <c r="BR258" i="42"/>
  <c r="BS258" i="42"/>
  <c r="BT258" i="42"/>
  <c r="BU258" i="42"/>
  <c r="BV258" i="42"/>
  <c r="BW258" i="42"/>
  <c r="BX258" i="42"/>
  <c r="BY258" i="42"/>
  <c r="BZ258" i="42"/>
  <c r="CA258" i="42"/>
  <c r="CB258" i="42"/>
  <c r="CC258" i="42"/>
  <c r="CD258" i="42"/>
  <c r="CE258" i="42"/>
  <c r="CF258" i="42"/>
  <c r="CG258" i="42"/>
  <c r="CH258" i="42"/>
  <c r="CI258" i="42"/>
  <c r="CJ258" i="42"/>
  <c r="CK258" i="42"/>
  <c r="CL258" i="42"/>
  <c r="CM258" i="42"/>
  <c r="CN258" i="42"/>
  <c r="CO258" i="42"/>
  <c r="CP258" i="42"/>
  <c r="BO259" i="42"/>
  <c r="BP259" i="42"/>
  <c r="BQ259" i="42"/>
  <c r="BR259" i="42"/>
  <c r="BS259" i="42"/>
  <c r="BT259" i="42"/>
  <c r="BU259" i="42"/>
  <c r="BV259" i="42"/>
  <c r="BW259" i="42"/>
  <c r="BX259" i="42"/>
  <c r="BY259" i="42"/>
  <c r="BZ259" i="42"/>
  <c r="CA259" i="42"/>
  <c r="CB259" i="42"/>
  <c r="CC259" i="42"/>
  <c r="CD259" i="42"/>
  <c r="CE259" i="42"/>
  <c r="CF259" i="42"/>
  <c r="CG259" i="42"/>
  <c r="CH259" i="42"/>
  <c r="CI259" i="42"/>
  <c r="CJ259" i="42"/>
  <c r="CK259" i="42"/>
  <c r="CL259" i="42"/>
  <c r="CM259" i="42"/>
  <c r="CN259" i="42"/>
  <c r="CO259" i="42"/>
  <c r="CP259" i="42"/>
  <c r="BO260" i="42"/>
  <c r="BP260" i="42"/>
  <c r="BQ260" i="42"/>
  <c r="BR260" i="42"/>
  <c r="BS260" i="42"/>
  <c r="BT260" i="42"/>
  <c r="BU260" i="42"/>
  <c r="BV260" i="42"/>
  <c r="BW260" i="42"/>
  <c r="BX260" i="42"/>
  <c r="BY260" i="42"/>
  <c r="BZ260" i="42"/>
  <c r="CA260" i="42"/>
  <c r="CB260" i="42"/>
  <c r="CC260" i="42"/>
  <c r="CD260" i="42"/>
  <c r="CE260" i="42"/>
  <c r="CF260" i="42"/>
  <c r="CG260" i="42"/>
  <c r="CH260" i="42"/>
  <c r="CI260" i="42"/>
  <c r="CJ260" i="42"/>
  <c r="CK260" i="42"/>
  <c r="CL260" i="42"/>
  <c r="CM260" i="42"/>
  <c r="CN260" i="42"/>
  <c r="CO260" i="42"/>
  <c r="CP260" i="42"/>
  <c r="BO261" i="42"/>
  <c r="BP261" i="42"/>
  <c r="BQ261" i="42"/>
  <c r="BR261" i="42"/>
  <c r="BS261" i="42"/>
  <c r="BT261" i="42"/>
  <c r="BU261" i="42"/>
  <c r="BV261" i="42"/>
  <c r="BW261" i="42"/>
  <c r="BX261" i="42"/>
  <c r="BY261" i="42"/>
  <c r="BZ261" i="42"/>
  <c r="CA261" i="42"/>
  <c r="CB261" i="42"/>
  <c r="CC261" i="42"/>
  <c r="CD261" i="42"/>
  <c r="CE261" i="42"/>
  <c r="CF261" i="42"/>
  <c r="CG261" i="42"/>
  <c r="CH261" i="42"/>
  <c r="CI261" i="42"/>
  <c r="CJ261" i="42"/>
  <c r="CK261" i="42"/>
  <c r="CL261" i="42"/>
  <c r="CM261" i="42"/>
  <c r="CN261" i="42"/>
  <c r="CO261" i="42"/>
  <c r="CP261" i="42"/>
  <c r="BO262" i="42"/>
  <c r="BP262" i="42"/>
  <c r="BQ262" i="42"/>
  <c r="BR262" i="42"/>
  <c r="BS262" i="42"/>
  <c r="BT262" i="42"/>
  <c r="BU262" i="42"/>
  <c r="BV262" i="42"/>
  <c r="BW262" i="42"/>
  <c r="BX262" i="42"/>
  <c r="BY262" i="42"/>
  <c r="BZ262" i="42"/>
  <c r="CA262" i="42"/>
  <c r="CB262" i="42"/>
  <c r="CC262" i="42"/>
  <c r="CD262" i="42"/>
  <c r="CE262" i="42"/>
  <c r="CF262" i="42"/>
  <c r="CG262" i="42"/>
  <c r="CH262" i="42"/>
  <c r="CI262" i="42"/>
  <c r="CJ262" i="42"/>
  <c r="CK262" i="42"/>
  <c r="CL262" i="42"/>
  <c r="CM262" i="42"/>
  <c r="CN262" i="42"/>
  <c r="CO262" i="42"/>
  <c r="CP262" i="42"/>
  <c r="BO263" i="42"/>
  <c r="BP263" i="42"/>
  <c r="BQ263" i="42"/>
  <c r="BR263" i="42"/>
  <c r="BS263" i="42"/>
  <c r="BT263" i="42"/>
  <c r="BU263" i="42"/>
  <c r="BV263" i="42"/>
  <c r="BW263" i="42"/>
  <c r="BX263" i="42"/>
  <c r="BY263" i="42"/>
  <c r="BZ263" i="42"/>
  <c r="CA263" i="42"/>
  <c r="CB263" i="42"/>
  <c r="CC263" i="42"/>
  <c r="CD263" i="42"/>
  <c r="CE263" i="42"/>
  <c r="CF263" i="42"/>
  <c r="CG263" i="42"/>
  <c r="CH263" i="42"/>
  <c r="CI263" i="42"/>
  <c r="CJ263" i="42"/>
  <c r="CK263" i="42"/>
  <c r="CL263" i="42"/>
  <c r="CM263" i="42"/>
  <c r="CN263" i="42"/>
  <c r="CO263" i="42"/>
  <c r="CP263" i="42"/>
  <c r="BO264" i="42"/>
  <c r="BP264" i="42"/>
  <c r="BQ264" i="42"/>
  <c r="BR264" i="42"/>
  <c r="BS264" i="42"/>
  <c r="BT264" i="42"/>
  <c r="BU264" i="42"/>
  <c r="BV264" i="42"/>
  <c r="BW264" i="42"/>
  <c r="BX264" i="42"/>
  <c r="BY264" i="42"/>
  <c r="BZ264" i="42"/>
  <c r="CA264" i="42"/>
  <c r="CB264" i="42"/>
  <c r="CC264" i="42"/>
  <c r="CD264" i="42"/>
  <c r="CE264" i="42"/>
  <c r="CF264" i="42"/>
  <c r="CG264" i="42"/>
  <c r="CH264" i="42"/>
  <c r="CI264" i="42"/>
  <c r="CJ264" i="42"/>
  <c r="CK264" i="42"/>
  <c r="CL264" i="42"/>
  <c r="CM264" i="42"/>
  <c r="CN264" i="42"/>
  <c r="CO264" i="42"/>
  <c r="CP264" i="42"/>
  <c r="BO265" i="42"/>
  <c r="BP265" i="42"/>
  <c r="BQ265" i="42"/>
  <c r="BR265" i="42"/>
  <c r="BS265" i="42"/>
  <c r="BT265" i="42"/>
  <c r="BU265" i="42"/>
  <c r="BV265" i="42"/>
  <c r="BW265" i="42"/>
  <c r="BX265" i="42"/>
  <c r="BY265" i="42"/>
  <c r="BZ265" i="42"/>
  <c r="CA265" i="42"/>
  <c r="CB265" i="42"/>
  <c r="CC265" i="42"/>
  <c r="CD265" i="42"/>
  <c r="CE265" i="42"/>
  <c r="CF265" i="42"/>
  <c r="CG265" i="42"/>
  <c r="CH265" i="42"/>
  <c r="CI265" i="42"/>
  <c r="CJ265" i="42"/>
  <c r="CK265" i="42"/>
  <c r="CL265" i="42"/>
  <c r="CM265" i="42"/>
  <c r="CN265" i="42"/>
  <c r="CO265" i="42"/>
  <c r="CP265" i="42"/>
  <c r="BO266" i="42"/>
  <c r="BP266" i="42"/>
  <c r="BQ266" i="42"/>
  <c r="BR266" i="42"/>
  <c r="BS266" i="42"/>
  <c r="BT266" i="42"/>
  <c r="BU266" i="42"/>
  <c r="BV266" i="42"/>
  <c r="BW266" i="42"/>
  <c r="BX266" i="42"/>
  <c r="BY266" i="42"/>
  <c r="BZ266" i="42"/>
  <c r="CA266" i="42"/>
  <c r="CB266" i="42"/>
  <c r="CC266" i="42"/>
  <c r="CD266" i="42"/>
  <c r="CE266" i="42"/>
  <c r="CF266" i="42"/>
  <c r="CG266" i="42"/>
  <c r="CH266" i="42"/>
  <c r="CI266" i="42"/>
  <c r="CJ266" i="42"/>
  <c r="CK266" i="42"/>
  <c r="CL266" i="42"/>
  <c r="CM266" i="42"/>
  <c r="CN266" i="42"/>
  <c r="CO266" i="42"/>
  <c r="CP266" i="42"/>
  <c r="BO267" i="42"/>
  <c r="BP267" i="42"/>
  <c r="BQ267" i="42"/>
  <c r="BR267" i="42"/>
  <c r="BS267" i="42"/>
  <c r="BT267" i="42"/>
  <c r="BU267" i="42"/>
  <c r="BV267" i="42"/>
  <c r="BW267" i="42"/>
  <c r="BX267" i="42"/>
  <c r="BY267" i="42"/>
  <c r="BZ267" i="42"/>
  <c r="CA267" i="42"/>
  <c r="CB267" i="42"/>
  <c r="CC267" i="42"/>
  <c r="CD267" i="42"/>
  <c r="CE267" i="42"/>
  <c r="CF267" i="42"/>
  <c r="CG267" i="42"/>
  <c r="CH267" i="42"/>
  <c r="CI267" i="42"/>
  <c r="CJ267" i="42"/>
  <c r="CK267" i="42"/>
  <c r="CL267" i="42"/>
  <c r="CM267" i="42"/>
  <c r="CN267" i="42"/>
  <c r="CO267" i="42"/>
  <c r="CP267" i="42"/>
  <c r="BO268" i="42"/>
  <c r="BP268" i="42"/>
  <c r="BQ268" i="42"/>
  <c r="BR268" i="42"/>
  <c r="BS268" i="42"/>
  <c r="BT268" i="42"/>
  <c r="BU268" i="42"/>
  <c r="BV268" i="42"/>
  <c r="BW268" i="42"/>
  <c r="BX268" i="42"/>
  <c r="BY268" i="42"/>
  <c r="BZ268" i="42"/>
  <c r="CA268" i="42"/>
  <c r="CB268" i="42"/>
  <c r="CC268" i="42"/>
  <c r="CD268" i="42"/>
  <c r="CE268" i="42"/>
  <c r="CF268" i="42"/>
  <c r="CG268" i="42"/>
  <c r="CH268" i="42"/>
  <c r="CI268" i="42"/>
  <c r="CJ268" i="42"/>
  <c r="CK268" i="42"/>
  <c r="CL268" i="42"/>
  <c r="CM268" i="42"/>
  <c r="CN268" i="42"/>
  <c r="CO268" i="42"/>
  <c r="CP268" i="42"/>
  <c r="BO269" i="42"/>
  <c r="BP269" i="42"/>
  <c r="BQ269" i="42"/>
  <c r="BR269" i="42"/>
  <c r="BS269" i="42"/>
  <c r="BT269" i="42"/>
  <c r="BU269" i="42"/>
  <c r="BV269" i="42"/>
  <c r="BW269" i="42"/>
  <c r="BX269" i="42"/>
  <c r="BY269" i="42"/>
  <c r="BZ269" i="42"/>
  <c r="CA269" i="42"/>
  <c r="CB269" i="42"/>
  <c r="CC269" i="42"/>
  <c r="CD269" i="42"/>
  <c r="CE269" i="42"/>
  <c r="CF269" i="42"/>
  <c r="CG269" i="42"/>
  <c r="CH269" i="42"/>
  <c r="CI269" i="42"/>
  <c r="CJ269" i="42"/>
  <c r="CK269" i="42"/>
  <c r="CL269" i="42"/>
  <c r="CM269" i="42"/>
  <c r="CN269" i="42"/>
  <c r="CO269" i="42"/>
  <c r="CP269" i="42"/>
  <c r="BO270" i="42"/>
  <c r="BP270" i="42"/>
  <c r="BQ270" i="42"/>
  <c r="BR270" i="42"/>
  <c r="BS270" i="42"/>
  <c r="BT270" i="42"/>
  <c r="BU270" i="42"/>
  <c r="BV270" i="42"/>
  <c r="BW270" i="42"/>
  <c r="BX270" i="42"/>
  <c r="BY270" i="42"/>
  <c r="BZ270" i="42"/>
  <c r="CA270" i="42"/>
  <c r="CB270" i="42"/>
  <c r="CC270" i="42"/>
  <c r="CD270" i="42"/>
  <c r="CE270" i="42"/>
  <c r="CF270" i="42"/>
  <c r="CG270" i="42"/>
  <c r="CH270" i="42"/>
  <c r="CI270" i="42"/>
  <c r="CJ270" i="42"/>
  <c r="CK270" i="42"/>
  <c r="CL270" i="42"/>
  <c r="CM270" i="42"/>
  <c r="CN270" i="42"/>
  <c r="CO270" i="42"/>
  <c r="CP270" i="42"/>
  <c r="BO271" i="42"/>
  <c r="BP271" i="42"/>
  <c r="BQ271" i="42"/>
  <c r="BR271" i="42"/>
  <c r="BS271" i="42"/>
  <c r="BT271" i="42"/>
  <c r="BU271" i="42"/>
  <c r="BV271" i="42"/>
  <c r="BW271" i="42"/>
  <c r="BX271" i="42"/>
  <c r="BY271" i="42"/>
  <c r="BZ271" i="42"/>
  <c r="CA271" i="42"/>
  <c r="CB271" i="42"/>
  <c r="CC271" i="42"/>
  <c r="CD271" i="42"/>
  <c r="CE271" i="42"/>
  <c r="CF271" i="42"/>
  <c r="CG271" i="42"/>
  <c r="CH271" i="42"/>
  <c r="CI271" i="42"/>
  <c r="CJ271" i="42"/>
  <c r="CK271" i="42"/>
  <c r="CL271" i="42"/>
  <c r="CM271" i="42"/>
  <c r="CN271" i="42"/>
  <c r="CO271" i="42"/>
  <c r="CP271" i="42"/>
  <c r="BO272" i="42"/>
  <c r="BP272" i="42"/>
  <c r="BQ272" i="42"/>
  <c r="BR272" i="42"/>
  <c r="BS272" i="42"/>
  <c r="BT272" i="42"/>
  <c r="BU272" i="42"/>
  <c r="BV272" i="42"/>
  <c r="BW272" i="42"/>
  <c r="BX272" i="42"/>
  <c r="BY272" i="42"/>
  <c r="BZ272" i="42"/>
  <c r="CA272" i="42"/>
  <c r="CB272" i="42"/>
  <c r="CC272" i="42"/>
  <c r="CD272" i="42"/>
  <c r="CE272" i="42"/>
  <c r="CF272" i="42"/>
  <c r="CG272" i="42"/>
  <c r="CH272" i="42"/>
  <c r="CI272" i="42"/>
  <c r="CJ272" i="42"/>
  <c r="CK272" i="42"/>
  <c r="CL272" i="42"/>
  <c r="CM272" i="42"/>
  <c r="CN272" i="42"/>
  <c r="CO272" i="42"/>
  <c r="CP272" i="42"/>
  <c r="BO273" i="42"/>
  <c r="BP273" i="42"/>
  <c r="BQ273" i="42"/>
  <c r="BR273" i="42"/>
  <c r="BS273" i="42"/>
  <c r="BT273" i="42"/>
  <c r="BU273" i="42"/>
  <c r="BV273" i="42"/>
  <c r="BW273" i="42"/>
  <c r="BX273" i="42"/>
  <c r="BY273" i="42"/>
  <c r="BZ273" i="42"/>
  <c r="CA273" i="42"/>
  <c r="CB273" i="42"/>
  <c r="CC273" i="42"/>
  <c r="CD273" i="42"/>
  <c r="CE273" i="42"/>
  <c r="CF273" i="42"/>
  <c r="CG273" i="42"/>
  <c r="CH273" i="42"/>
  <c r="CI273" i="42"/>
  <c r="CJ273" i="42"/>
  <c r="CK273" i="42"/>
  <c r="CL273" i="42"/>
  <c r="CM273" i="42"/>
  <c r="CN273" i="42"/>
  <c r="CO273" i="42"/>
  <c r="CP273" i="42"/>
  <c r="BO274" i="42"/>
  <c r="BP274" i="42"/>
  <c r="BQ274" i="42"/>
  <c r="BR274" i="42"/>
  <c r="BS274" i="42"/>
  <c r="BT274" i="42"/>
  <c r="BU274" i="42"/>
  <c r="BV274" i="42"/>
  <c r="BW274" i="42"/>
  <c r="BX274" i="42"/>
  <c r="BY274" i="42"/>
  <c r="BZ274" i="42"/>
  <c r="CA274" i="42"/>
  <c r="CB274" i="42"/>
  <c r="CC274" i="42"/>
  <c r="CD274" i="42"/>
  <c r="CE274" i="42"/>
  <c r="CF274" i="42"/>
  <c r="CG274" i="42"/>
  <c r="CH274" i="42"/>
  <c r="CI274" i="42"/>
  <c r="CJ274" i="42"/>
  <c r="CK274" i="42"/>
  <c r="CL274" i="42"/>
  <c r="CM274" i="42"/>
  <c r="CN274" i="42"/>
  <c r="CO274" i="42"/>
  <c r="CP274" i="42"/>
  <c r="BO275" i="42"/>
  <c r="BP275" i="42"/>
  <c r="BQ275" i="42"/>
  <c r="BR275" i="42"/>
  <c r="BS275" i="42"/>
  <c r="BT275" i="42"/>
  <c r="BU275" i="42"/>
  <c r="BV275" i="42"/>
  <c r="BW275" i="42"/>
  <c r="BX275" i="42"/>
  <c r="BY275" i="42"/>
  <c r="BZ275" i="42"/>
  <c r="CA275" i="42"/>
  <c r="CB275" i="42"/>
  <c r="CC275" i="42"/>
  <c r="CD275" i="42"/>
  <c r="CE275" i="42"/>
  <c r="CF275" i="42"/>
  <c r="CG275" i="42"/>
  <c r="CH275" i="42"/>
  <c r="CI275" i="42"/>
  <c r="CJ275" i="42"/>
  <c r="CK275" i="42"/>
  <c r="CL275" i="42"/>
  <c r="CM275" i="42"/>
  <c r="CN275" i="42"/>
  <c r="CO275" i="42"/>
  <c r="CP275" i="42"/>
  <c r="BO276" i="42"/>
  <c r="BP276" i="42"/>
  <c r="BQ276" i="42"/>
  <c r="BR276" i="42"/>
  <c r="BS276" i="42"/>
  <c r="BT276" i="42"/>
  <c r="BU276" i="42"/>
  <c r="BV276" i="42"/>
  <c r="BW276" i="42"/>
  <c r="BX276" i="42"/>
  <c r="BY276" i="42"/>
  <c r="BZ276" i="42"/>
  <c r="CA276" i="42"/>
  <c r="CB276" i="42"/>
  <c r="CC276" i="42"/>
  <c r="CD276" i="42"/>
  <c r="CE276" i="42"/>
  <c r="CF276" i="42"/>
  <c r="CG276" i="42"/>
  <c r="CH276" i="42"/>
  <c r="CI276" i="42"/>
  <c r="CJ276" i="42"/>
  <c r="CK276" i="42"/>
  <c r="CL276" i="42"/>
  <c r="CM276" i="42"/>
  <c r="CN276" i="42"/>
  <c r="CO276" i="42"/>
  <c r="CP276" i="42"/>
  <c r="BO277" i="42"/>
  <c r="BP277" i="42"/>
  <c r="BQ277" i="42"/>
  <c r="BR277" i="42"/>
  <c r="BS277" i="42"/>
  <c r="BT277" i="42"/>
  <c r="BU277" i="42"/>
  <c r="BV277" i="42"/>
  <c r="BW277" i="42"/>
  <c r="BX277" i="42"/>
  <c r="BY277" i="42"/>
  <c r="BZ277" i="42"/>
  <c r="CA277" i="42"/>
  <c r="CB277" i="42"/>
  <c r="CC277" i="42"/>
  <c r="CD277" i="42"/>
  <c r="CE277" i="42"/>
  <c r="CF277" i="42"/>
  <c r="CG277" i="42"/>
  <c r="CH277" i="42"/>
  <c r="CI277" i="42"/>
  <c r="CJ277" i="42"/>
  <c r="CK277" i="42"/>
  <c r="CL277" i="42"/>
  <c r="CM277" i="42"/>
  <c r="CN277" i="42"/>
  <c r="CO277" i="42"/>
  <c r="CP277" i="42"/>
  <c r="BO278" i="42"/>
  <c r="BP278" i="42"/>
  <c r="BQ278" i="42"/>
  <c r="BR278" i="42"/>
  <c r="BS278" i="42"/>
  <c r="BT278" i="42"/>
  <c r="BU278" i="42"/>
  <c r="BV278" i="42"/>
  <c r="BW278" i="42"/>
  <c r="BX278" i="42"/>
  <c r="BY278" i="42"/>
  <c r="BZ278" i="42"/>
  <c r="CA278" i="42"/>
  <c r="CB278" i="42"/>
  <c r="CC278" i="42"/>
  <c r="CD278" i="42"/>
  <c r="CE278" i="42"/>
  <c r="CF278" i="42"/>
  <c r="CG278" i="42"/>
  <c r="CH278" i="42"/>
  <c r="CI278" i="42"/>
  <c r="CJ278" i="42"/>
  <c r="CK278" i="42"/>
  <c r="CL278" i="42"/>
  <c r="CM278" i="42"/>
  <c r="CN278" i="42"/>
  <c r="CO278" i="42"/>
  <c r="CP278" i="42"/>
  <c r="BO279" i="42"/>
  <c r="BP279" i="42"/>
  <c r="BQ279" i="42"/>
  <c r="BR279" i="42"/>
  <c r="BS279" i="42"/>
  <c r="BT279" i="42"/>
  <c r="BU279" i="42"/>
  <c r="BV279" i="42"/>
  <c r="BW279" i="42"/>
  <c r="BX279" i="42"/>
  <c r="BY279" i="42"/>
  <c r="BZ279" i="42"/>
  <c r="CA279" i="42"/>
  <c r="CB279" i="42"/>
  <c r="CC279" i="42"/>
  <c r="CD279" i="42"/>
  <c r="CE279" i="42"/>
  <c r="CF279" i="42"/>
  <c r="CG279" i="42"/>
  <c r="CH279" i="42"/>
  <c r="CI279" i="42"/>
  <c r="CJ279" i="42"/>
  <c r="CK279" i="42"/>
  <c r="CL279" i="42"/>
  <c r="CM279" i="42"/>
  <c r="CN279" i="42"/>
  <c r="CO279" i="42"/>
  <c r="CP279" i="42"/>
  <c r="BO280" i="42"/>
  <c r="BP280" i="42"/>
  <c r="BQ280" i="42"/>
  <c r="BR280" i="42"/>
  <c r="BS280" i="42"/>
  <c r="BT280" i="42"/>
  <c r="BU280" i="42"/>
  <c r="BV280" i="42"/>
  <c r="BW280" i="42"/>
  <c r="BX280" i="42"/>
  <c r="BY280" i="42"/>
  <c r="BZ280" i="42"/>
  <c r="CA280" i="42"/>
  <c r="CB280" i="42"/>
  <c r="CC280" i="42"/>
  <c r="CD280" i="42"/>
  <c r="CE280" i="42"/>
  <c r="CF280" i="42"/>
  <c r="CG280" i="42"/>
  <c r="CH280" i="42"/>
  <c r="CI280" i="42"/>
  <c r="CJ280" i="42"/>
  <c r="CK280" i="42"/>
  <c r="CL280" i="42"/>
  <c r="CM280" i="42"/>
  <c r="CN280" i="42"/>
  <c r="CO280" i="42"/>
  <c r="CP280" i="42"/>
  <c r="BO281" i="42"/>
  <c r="BP281" i="42"/>
  <c r="BQ281" i="42"/>
  <c r="BR281" i="42"/>
  <c r="BS281" i="42"/>
  <c r="BT281" i="42"/>
  <c r="BU281" i="42"/>
  <c r="BV281" i="42"/>
  <c r="BW281" i="42"/>
  <c r="BX281" i="42"/>
  <c r="BY281" i="42"/>
  <c r="BZ281" i="42"/>
  <c r="CA281" i="42"/>
  <c r="CB281" i="42"/>
  <c r="CC281" i="42"/>
  <c r="CD281" i="42"/>
  <c r="CE281" i="42"/>
  <c r="CF281" i="42"/>
  <c r="CG281" i="42"/>
  <c r="CH281" i="42"/>
  <c r="CI281" i="42"/>
  <c r="CJ281" i="42"/>
  <c r="CK281" i="42"/>
  <c r="CL281" i="42"/>
  <c r="CM281" i="42"/>
  <c r="CN281" i="42"/>
  <c r="CO281" i="42"/>
  <c r="CP281" i="42"/>
  <c r="BO282" i="42"/>
  <c r="BP282" i="42"/>
  <c r="BQ282" i="42"/>
  <c r="BR282" i="42"/>
  <c r="BS282" i="42"/>
  <c r="BT282" i="42"/>
  <c r="BU282" i="42"/>
  <c r="BV282" i="42"/>
  <c r="BW282" i="42"/>
  <c r="BX282" i="42"/>
  <c r="BY282" i="42"/>
  <c r="BZ282" i="42"/>
  <c r="CA282" i="42"/>
  <c r="CB282" i="42"/>
  <c r="CC282" i="42"/>
  <c r="CD282" i="42"/>
  <c r="CE282" i="42"/>
  <c r="CF282" i="42"/>
  <c r="CG282" i="42"/>
  <c r="CH282" i="42"/>
  <c r="CI282" i="42"/>
  <c r="CJ282" i="42"/>
  <c r="CK282" i="42"/>
  <c r="CL282" i="42"/>
  <c r="CM282" i="42"/>
  <c r="CN282" i="42"/>
  <c r="CO282" i="42"/>
  <c r="CP282" i="42"/>
  <c r="BO283" i="42"/>
  <c r="BP283" i="42"/>
  <c r="BQ283" i="42"/>
  <c r="BR283" i="42"/>
  <c r="BS283" i="42"/>
  <c r="BT283" i="42"/>
  <c r="BU283" i="42"/>
  <c r="BV283" i="42"/>
  <c r="BW283" i="42"/>
  <c r="BX283" i="42"/>
  <c r="BY283" i="42"/>
  <c r="BZ283" i="42"/>
  <c r="CA283" i="42"/>
  <c r="CB283" i="42"/>
  <c r="CC283" i="42"/>
  <c r="CD283" i="42"/>
  <c r="CE283" i="42"/>
  <c r="CF283" i="42"/>
  <c r="CG283" i="42"/>
  <c r="CH283" i="42"/>
  <c r="CI283" i="42"/>
  <c r="CJ283" i="42"/>
  <c r="CK283" i="42"/>
  <c r="CL283" i="42"/>
  <c r="CM283" i="42"/>
  <c r="CN283" i="42"/>
  <c r="CO283" i="42"/>
  <c r="CP283" i="42"/>
  <c r="BO284" i="42"/>
  <c r="BP284" i="42"/>
  <c r="BQ284" i="42"/>
  <c r="BR284" i="42"/>
  <c r="BS284" i="42"/>
  <c r="BT284" i="42"/>
  <c r="BU284" i="42"/>
  <c r="BV284" i="42"/>
  <c r="BW284" i="42"/>
  <c r="BX284" i="42"/>
  <c r="BY284" i="42"/>
  <c r="BZ284" i="42"/>
  <c r="CA284" i="42"/>
  <c r="CB284" i="42"/>
  <c r="CC284" i="42"/>
  <c r="CD284" i="42"/>
  <c r="CE284" i="42"/>
  <c r="CF284" i="42"/>
  <c r="CG284" i="42"/>
  <c r="CH284" i="42"/>
  <c r="CI284" i="42"/>
  <c r="CJ284" i="42"/>
  <c r="CK284" i="42"/>
  <c r="CL284" i="42"/>
  <c r="CM284" i="42"/>
  <c r="CN284" i="42"/>
  <c r="CO284" i="42"/>
  <c r="CP284" i="42"/>
  <c r="BO285" i="42"/>
  <c r="BP285" i="42"/>
  <c r="BQ285" i="42"/>
  <c r="BR285" i="42"/>
  <c r="BS285" i="42"/>
  <c r="BT285" i="42"/>
  <c r="BU285" i="42"/>
  <c r="BV285" i="42"/>
  <c r="BW285" i="42"/>
  <c r="BX285" i="42"/>
  <c r="BY285" i="42"/>
  <c r="BZ285" i="42"/>
  <c r="CA285" i="42"/>
  <c r="CB285" i="42"/>
  <c r="CC285" i="42"/>
  <c r="CD285" i="42"/>
  <c r="CE285" i="42"/>
  <c r="CF285" i="42"/>
  <c r="CG285" i="42"/>
  <c r="CH285" i="42"/>
  <c r="CI285" i="42"/>
  <c r="CJ285" i="42"/>
  <c r="CK285" i="42"/>
  <c r="CL285" i="42"/>
  <c r="CM285" i="42"/>
  <c r="CN285" i="42"/>
  <c r="CO285" i="42"/>
  <c r="CP285" i="42"/>
  <c r="BO286" i="42"/>
  <c r="BP286" i="42"/>
  <c r="BQ286" i="42"/>
  <c r="BR286" i="42"/>
  <c r="BS286" i="42"/>
  <c r="BT286" i="42"/>
  <c r="BU286" i="42"/>
  <c r="BV286" i="42"/>
  <c r="BW286" i="42"/>
  <c r="BX286" i="42"/>
  <c r="BY286" i="42"/>
  <c r="BZ286" i="42"/>
  <c r="CA286" i="42"/>
  <c r="CB286" i="42"/>
  <c r="CC286" i="42"/>
  <c r="CD286" i="42"/>
  <c r="CE286" i="42"/>
  <c r="CF286" i="42"/>
  <c r="CG286" i="42"/>
  <c r="CH286" i="42"/>
  <c r="CI286" i="42"/>
  <c r="CJ286" i="42"/>
  <c r="CK286" i="42"/>
  <c r="CL286" i="42"/>
  <c r="CM286" i="42"/>
  <c r="CN286" i="42"/>
  <c r="CO286" i="42"/>
  <c r="CP286" i="42"/>
  <c r="BO287" i="42"/>
  <c r="BP287" i="42"/>
  <c r="BQ287" i="42"/>
  <c r="BR287" i="42"/>
  <c r="BS287" i="42"/>
  <c r="BT287" i="42"/>
  <c r="BU287" i="42"/>
  <c r="BV287" i="42"/>
  <c r="BW287" i="42"/>
  <c r="BX287" i="42"/>
  <c r="BY287" i="42"/>
  <c r="BZ287" i="42"/>
  <c r="CA287" i="42"/>
  <c r="CB287" i="42"/>
  <c r="CC287" i="42"/>
  <c r="CD287" i="42"/>
  <c r="CE287" i="42"/>
  <c r="CF287" i="42"/>
  <c r="CG287" i="42"/>
  <c r="CH287" i="42"/>
  <c r="CI287" i="42"/>
  <c r="CJ287" i="42"/>
  <c r="CK287" i="42"/>
  <c r="CL287" i="42"/>
  <c r="CM287" i="42"/>
  <c r="CN287" i="42"/>
  <c r="CO287" i="42"/>
  <c r="CP287" i="42"/>
  <c r="BO288" i="42"/>
  <c r="BP288" i="42"/>
  <c r="BQ288" i="42"/>
  <c r="BR288" i="42"/>
  <c r="BS288" i="42"/>
  <c r="BT288" i="42"/>
  <c r="BU288" i="42"/>
  <c r="BV288" i="42"/>
  <c r="BW288" i="42"/>
  <c r="BX288" i="42"/>
  <c r="BY288" i="42"/>
  <c r="BZ288" i="42"/>
  <c r="CA288" i="42"/>
  <c r="CB288" i="42"/>
  <c r="CC288" i="42"/>
  <c r="CD288" i="42"/>
  <c r="CE288" i="42"/>
  <c r="CF288" i="42"/>
  <c r="CG288" i="42"/>
  <c r="CH288" i="42"/>
  <c r="CI288" i="42"/>
  <c r="CJ288" i="42"/>
  <c r="CK288" i="42"/>
  <c r="CL288" i="42"/>
  <c r="CM288" i="42"/>
  <c r="CN288" i="42"/>
  <c r="CO288" i="42"/>
  <c r="CP288" i="42"/>
  <c r="BO289" i="42"/>
  <c r="BP289" i="42"/>
  <c r="BQ289" i="42"/>
  <c r="BR289" i="42"/>
  <c r="BS289" i="42"/>
  <c r="BT289" i="42"/>
  <c r="BU289" i="42"/>
  <c r="BV289" i="42"/>
  <c r="BW289" i="42"/>
  <c r="BX289" i="42"/>
  <c r="BY289" i="42"/>
  <c r="BZ289" i="42"/>
  <c r="CA289" i="42"/>
  <c r="CB289" i="42"/>
  <c r="CC289" i="42"/>
  <c r="CD289" i="42"/>
  <c r="CE289" i="42"/>
  <c r="CF289" i="42"/>
  <c r="CG289" i="42"/>
  <c r="CH289" i="42"/>
  <c r="CI289" i="42"/>
  <c r="CJ289" i="42"/>
  <c r="CK289" i="42"/>
  <c r="CL289" i="42"/>
  <c r="CM289" i="42"/>
  <c r="CN289" i="42"/>
  <c r="CO289" i="42"/>
  <c r="CP289" i="42"/>
  <c r="BO290" i="42"/>
  <c r="BP290" i="42"/>
  <c r="BQ290" i="42"/>
  <c r="BR290" i="42"/>
  <c r="BS290" i="42"/>
  <c r="BT290" i="42"/>
  <c r="BU290" i="42"/>
  <c r="BV290" i="42"/>
  <c r="BW290" i="42"/>
  <c r="BX290" i="42"/>
  <c r="BY290" i="42"/>
  <c r="BZ290" i="42"/>
  <c r="CA290" i="42"/>
  <c r="CB290" i="42"/>
  <c r="CC290" i="42"/>
  <c r="CD290" i="42"/>
  <c r="CE290" i="42"/>
  <c r="CF290" i="42"/>
  <c r="CG290" i="42"/>
  <c r="CH290" i="42"/>
  <c r="CI290" i="42"/>
  <c r="CJ290" i="42"/>
  <c r="CK290" i="42"/>
  <c r="CL290" i="42"/>
  <c r="CM290" i="42"/>
  <c r="CN290" i="42"/>
  <c r="CO290" i="42"/>
  <c r="CP290" i="42"/>
  <c r="BO291" i="42"/>
  <c r="BP291" i="42"/>
  <c r="BQ291" i="42"/>
  <c r="BR291" i="42"/>
  <c r="BS291" i="42"/>
  <c r="BT291" i="42"/>
  <c r="BU291" i="42"/>
  <c r="BV291" i="42"/>
  <c r="BW291" i="42"/>
  <c r="BX291" i="42"/>
  <c r="BY291" i="42"/>
  <c r="BZ291" i="42"/>
  <c r="CA291" i="42"/>
  <c r="CB291" i="42"/>
  <c r="CC291" i="42"/>
  <c r="CD291" i="42"/>
  <c r="CE291" i="42"/>
  <c r="CF291" i="42"/>
  <c r="CG291" i="42"/>
  <c r="CH291" i="42"/>
  <c r="CI291" i="42"/>
  <c r="CJ291" i="42"/>
  <c r="CK291" i="42"/>
  <c r="CL291" i="42"/>
  <c r="CM291" i="42"/>
  <c r="CN291" i="42"/>
  <c r="CO291" i="42"/>
  <c r="CP291" i="42"/>
  <c r="BO292" i="42"/>
  <c r="BP292" i="42"/>
  <c r="BQ292" i="42"/>
  <c r="BR292" i="42"/>
  <c r="BS292" i="42"/>
  <c r="BT292" i="42"/>
  <c r="BU292" i="42"/>
  <c r="BV292" i="42"/>
  <c r="BW292" i="42"/>
  <c r="BX292" i="42"/>
  <c r="BY292" i="42"/>
  <c r="BZ292" i="42"/>
  <c r="CA292" i="42"/>
  <c r="CB292" i="42"/>
  <c r="CC292" i="42"/>
  <c r="CD292" i="42"/>
  <c r="CE292" i="42"/>
  <c r="CF292" i="42"/>
  <c r="CG292" i="42"/>
  <c r="CH292" i="42"/>
  <c r="CI292" i="42"/>
  <c r="CJ292" i="42"/>
  <c r="CK292" i="42"/>
  <c r="CL292" i="42"/>
  <c r="CM292" i="42"/>
  <c r="CN292" i="42"/>
  <c r="CO292" i="42"/>
  <c r="CP292" i="42"/>
  <c r="BO293" i="42"/>
  <c r="BP293" i="42"/>
  <c r="BQ293" i="42"/>
  <c r="BR293" i="42"/>
  <c r="BS293" i="42"/>
  <c r="BT293" i="42"/>
  <c r="BU293" i="42"/>
  <c r="BV293" i="42"/>
  <c r="BW293" i="42"/>
  <c r="BX293" i="42"/>
  <c r="BY293" i="42"/>
  <c r="BZ293" i="42"/>
  <c r="CA293" i="42"/>
  <c r="CB293" i="42"/>
  <c r="CC293" i="42"/>
  <c r="CD293" i="42"/>
  <c r="CE293" i="42"/>
  <c r="CF293" i="42"/>
  <c r="CG293" i="42"/>
  <c r="CH293" i="42"/>
  <c r="CI293" i="42"/>
  <c r="CJ293" i="42"/>
  <c r="CK293" i="42"/>
  <c r="CL293" i="42"/>
  <c r="CM293" i="42"/>
  <c r="CN293" i="42"/>
  <c r="CO293" i="42"/>
  <c r="CP293" i="42"/>
  <c r="BO294" i="42"/>
  <c r="BP294" i="42"/>
  <c r="BQ294" i="42"/>
  <c r="BR294" i="42"/>
  <c r="BS294" i="42"/>
  <c r="BT294" i="42"/>
  <c r="BU294" i="42"/>
  <c r="BV294" i="42"/>
  <c r="BW294" i="42"/>
  <c r="BX294" i="42"/>
  <c r="BY294" i="42"/>
  <c r="BZ294" i="42"/>
  <c r="CA294" i="42"/>
  <c r="CB294" i="42"/>
  <c r="CC294" i="42"/>
  <c r="CD294" i="42"/>
  <c r="CE294" i="42"/>
  <c r="CF294" i="42"/>
  <c r="CG294" i="42"/>
  <c r="CH294" i="42"/>
  <c r="CI294" i="42"/>
  <c r="CJ294" i="42"/>
  <c r="CK294" i="42"/>
  <c r="CL294" i="42"/>
  <c r="CM294" i="42"/>
  <c r="CN294" i="42"/>
  <c r="CO294" i="42"/>
  <c r="CP294" i="42"/>
  <c r="BO295" i="42"/>
  <c r="BP295" i="42"/>
  <c r="BQ295" i="42"/>
  <c r="BR295" i="42"/>
  <c r="BS295" i="42"/>
  <c r="BT295" i="42"/>
  <c r="BU295" i="42"/>
  <c r="BV295" i="42"/>
  <c r="BW295" i="42"/>
  <c r="BX295" i="42"/>
  <c r="BY295" i="42"/>
  <c r="BZ295" i="42"/>
  <c r="CA295" i="42"/>
  <c r="CB295" i="42"/>
  <c r="CC295" i="42"/>
  <c r="CD295" i="42"/>
  <c r="CE295" i="42"/>
  <c r="CF295" i="42"/>
  <c r="CG295" i="42"/>
  <c r="CH295" i="42"/>
  <c r="CI295" i="42"/>
  <c r="CJ295" i="42"/>
  <c r="CK295" i="42"/>
  <c r="CL295" i="42"/>
  <c r="CM295" i="42"/>
  <c r="CN295" i="42"/>
  <c r="CO295" i="42"/>
  <c r="CP295" i="42"/>
  <c r="BO296" i="42"/>
  <c r="BP296" i="42"/>
  <c r="BQ296" i="42"/>
  <c r="BR296" i="42"/>
  <c r="BS296" i="42"/>
  <c r="BT296" i="42"/>
  <c r="BU296" i="42"/>
  <c r="BV296" i="42"/>
  <c r="BW296" i="42"/>
  <c r="BX296" i="42"/>
  <c r="BY296" i="42"/>
  <c r="BZ296" i="42"/>
  <c r="CA296" i="42"/>
  <c r="CB296" i="42"/>
  <c r="CC296" i="42"/>
  <c r="CD296" i="42"/>
  <c r="CE296" i="42"/>
  <c r="CF296" i="42"/>
  <c r="CG296" i="42"/>
  <c r="CH296" i="42"/>
  <c r="CI296" i="42"/>
  <c r="CJ296" i="42"/>
  <c r="CK296" i="42"/>
  <c r="CL296" i="42"/>
  <c r="CM296" i="42"/>
  <c r="CN296" i="42"/>
  <c r="CO296" i="42"/>
  <c r="CP296" i="42"/>
  <c r="BO297" i="42"/>
  <c r="BP297" i="42"/>
  <c r="BQ297" i="42"/>
  <c r="BR297" i="42"/>
  <c r="BS297" i="42"/>
  <c r="BT297" i="42"/>
  <c r="BU297" i="42"/>
  <c r="BV297" i="42"/>
  <c r="BW297" i="42"/>
  <c r="BX297" i="42"/>
  <c r="BY297" i="42"/>
  <c r="BZ297" i="42"/>
  <c r="CA297" i="42"/>
  <c r="CB297" i="42"/>
  <c r="CC297" i="42"/>
  <c r="CD297" i="42"/>
  <c r="CE297" i="42"/>
  <c r="CF297" i="42"/>
  <c r="CG297" i="42"/>
  <c r="CH297" i="42"/>
  <c r="CI297" i="42"/>
  <c r="CJ297" i="42"/>
  <c r="CK297" i="42"/>
  <c r="CL297" i="42"/>
  <c r="CM297" i="42"/>
  <c r="CN297" i="42"/>
  <c r="CO297" i="42"/>
  <c r="CP297" i="42"/>
  <c r="BO298" i="42"/>
  <c r="BP298" i="42"/>
  <c r="BQ298" i="42"/>
  <c r="BR298" i="42"/>
  <c r="BS298" i="42"/>
  <c r="BT298" i="42"/>
  <c r="BU298" i="42"/>
  <c r="BV298" i="42"/>
  <c r="BW298" i="42"/>
  <c r="BX298" i="42"/>
  <c r="BY298" i="42"/>
  <c r="BZ298" i="42"/>
  <c r="CA298" i="42"/>
  <c r="CB298" i="42"/>
  <c r="CC298" i="42"/>
  <c r="CD298" i="42"/>
  <c r="CE298" i="42"/>
  <c r="CF298" i="42"/>
  <c r="CG298" i="42"/>
  <c r="CH298" i="42"/>
  <c r="CI298" i="42"/>
  <c r="CJ298" i="42"/>
  <c r="CK298" i="42"/>
  <c r="CL298" i="42"/>
  <c r="CM298" i="42"/>
  <c r="CN298" i="42"/>
  <c r="CO298" i="42"/>
  <c r="CP298" i="42"/>
  <c r="BO299" i="42"/>
  <c r="BP299" i="42"/>
  <c r="BQ299" i="42"/>
  <c r="BR299" i="42"/>
  <c r="BS299" i="42"/>
  <c r="BT299" i="42"/>
  <c r="BU299" i="42"/>
  <c r="BV299" i="42"/>
  <c r="BW299" i="42"/>
  <c r="BX299" i="42"/>
  <c r="BY299" i="42"/>
  <c r="BZ299" i="42"/>
  <c r="CA299" i="42"/>
  <c r="CB299" i="42"/>
  <c r="CC299" i="42"/>
  <c r="CD299" i="42"/>
  <c r="CE299" i="42"/>
  <c r="CF299" i="42"/>
  <c r="CG299" i="42"/>
  <c r="CH299" i="42"/>
  <c r="CI299" i="42"/>
  <c r="CJ299" i="42"/>
  <c r="CK299" i="42"/>
  <c r="CL299" i="42"/>
  <c r="CM299" i="42"/>
  <c r="CN299" i="42"/>
  <c r="CO299" i="42"/>
  <c r="CP299" i="42"/>
  <c r="BO300" i="42"/>
  <c r="BP300" i="42"/>
  <c r="BQ300" i="42"/>
  <c r="BR300" i="42"/>
  <c r="BS300" i="42"/>
  <c r="BT300" i="42"/>
  <c r="BU300" i="42"/>
  <c r="BV300" i="42"/>
  <c r="BW300" i="42"/>
  <c r="BX300" i="42"/>
  <c r="BY300" i="42"/>
  <c r="BZ300" i="42"/>
  <c r="CA300" i="42"/>
  <c r="CB300" i="42"/>
  <c r="CC300" i="42"/>
  <c r="CD300" i="42"/>
  <c r="CE300" i="42"/>
  <c r="CF300" i="42"/>
  <c r="CG300" i="42"/>
  <c r="CH300" i="42"/>
  <c r="CI300" i="42"/>
  <c r="CJ300" i="42"/>
  <c r="CK300" i="42"/>
  <c r="CL300" i="42"/>
  <c r="CM300" i="42"/>
  <c r="CN300" i="42"/>
  <c r="CO300" i="42"/>
  <c r="CP300" i="42"/>
  <c r="BO301" i="42"/>
  <c r="BP301" i="42"/>
  <c r="BQ301" i="42"/>
  <c r="BR301" i="42"/>
  <c r="BS301" i="42"/>
  <c r="BT301" i="42"/>
  <c r="BU301" i="42"/>
  <c r="BV301" i="42"/>
  <c r="BW301" i="42"/>
  <c r="BX301" i="42"/>
  <c r="BY301" i="42"/>
  <c r="BZ301" i="42"/>
  <c r="CA301" i="42"/>
  <c r="CB301" i="42"/>
  <c r="CC301" i="42"/>
  <c r="CD301" i="42"/>
  <c r="CE301" i="42"/>
  <c r="CF301" i="42"/>
  <c r="CG301" i="42"/>
  <c r="CH301" i="42"/>
  <c r="CI301" i="42"/>
  <c r="CJ301" i="42"/>
  <c r="CK301" i="42"/>
  <c r="CL301" i="42"/>
  <c r="CM301" i="42"/>
  <c r="CN301" i="42"/>
  <c r="CO301" i="42"/>
  <c r="CP301" i="42"/>
  <c r="BO302" i="42"/>
  <c r="BP302" i="42"/>
  <c r="BQ302" i="42"/>
  <c r="BR302" i="42"/>
  <c r="BS302" i="42"/>
  <c r="BT302" i="42"/>
  <c r="BU302" i="42"/>
  <c r="BV302" i="42"/>
  <c r="BW302" i="42"/>
  <c r="BX302" i="42"/>
  <c r="BY302" i="42"/>
  <c r="BZ302" i="42"/>
  <c r="CA302" i="42"/>
  <c r="CB302" i="42"/>
  <c r="CC302" i="42"/>
  <c r="CD302" i="42"/>
  <c r="CE302" i="42"/>
  <c r="CF302" i="42"/>
  <c r="CG302" i="42"/>
  <c r="CH302" i="42"/>
  <c r="CI302" i="42"/>
  <c r="CJ302" i="42"/>
  <c r="CK302" i="42"/>
  <c r="CL302" i="42"/>
  <c r="CM302" i="42"/>
  <c r="CN302" i="42"/>
  <c r="CO302" i="42"/>
  <c r="CP302" i="42"/>
  <c r="BO303" i="42"/>
  <c r="BP303" i="42"/>
  <c r="BQ303" i="42"/>
  <c r="BR303" i="42"/>
  <c r="BS303" i="42"/>
  <c r="BT303" i="42"/>
  <c r="BU303" i="42"/>
  <c r="BV303" i="42"/>
  <c r="BW303" i="42"/>
  <c r="BX303" i="42"/>
  <c r="BY303" i="42"/>
  <c r="BZ303" i="42"/>
  <c r="CA303" i="42"/>
  <c r="CB303" i="42"/>
  <c r="CC303" i="42"/>
  <c r="CD303" i="42"/>
  <c r="CE303" i="42"/>
  <c r="CF303" i="42"/>
  <c r="CG303" i="42"/>
  <c r="CH303" i="42"/>
  <c r="CI303" i="42"/>
  <c r="CJ303" i="42"/>
  <c r="CK303" i="42"/>
  <c r="CL303" i="42"/>
  <c r="CM303" i="42"/>
  <c r="CN303" i="42"/>
  <c r="CO303" i="42"/>
  <c r="CP303" i="42"/>
  <c r="BO304" i="42"/>
  <c r="BP304" i="42"/>
  <c r="BQ304" i="42"/>
  <c r="BR304" i="42"/>
  <c r="BS304" i="42"/>
  <c r="BT304" i="42"/>
  <c r="BU304" i="42"/>
  <c r="BV304" i="42"/>
  <c r="BW304" i="42"/>
  <c r="BX304" i="42"/>
  <c r="BY304" i="42"/>
  <c r="BZ304" i="42"/>
  <c r="CA304" i="42"/>
  <c r="CB304" i="42"/>
  <c r="CC304" i="42"/>
  <c r="CD304" i="42"/>
  <c r="CE304" i="42"/>
  <c r="CF304" i="42"/>
  <c r="CG304" i="42"/>
  <c r="CH304" i="42"/>
  <c r="CI304" i="42"/>
  <c r="CJ304" i="42"/>
  <c r="CK304" i="42"/>
  <c r="CL304" i="42"/>
  <c r="CM304" i="42"/>
  <c r="CN304" i="42"/>
  <c r="CO304" i="42"/>
  <c r="CP304" i="42"/>
  <c r="BO305" i="42"/>
  <c r="BP305" i="42"/>
  <c r="BQ305" i="42"/>
  <c r="BR305" i="42"/>
  <c r="BS305" i="42"/>
  <c r="BT305" i="42"/>
  <c r="BU305" i="42"/>
  <c r="BV305" i="42"/>
  <c r="BW305" i="42"/>
  <c r="BX305" i="42"/>
  <c r="BY305" i="42"/>
  <c r="BZ305" i="42"/>
  <c r="CA305" i="42"/>
  <c r="CB305" i="42"/>
  <c r="CC305" i="42"/>
  <c r="CD305" i="42"/>
  <c r="CE305" i="42"/>
  <c r="CF305" i="42"/>
  <c r="CG305" i="42"/>
  <c r="CH305" i="42"/>
  <c r="CI305" i="42"/>
  <c r="CJ305" i="42"/>
  <c r="CK305" i="42"/>
  <c r="CL305" i="42"/>
  <c r="CM305" i="42"/>
  <c r="CN305" i="42"/>
  <c r="CO305" i="42"/>
  <c r="CP305" i="42"/>
  <c r="BO306" i="42"/>
  <c r="BP306" i="42"/>
  <c r="BQ306" i="42"/>
  <c r="BR306" i="42"/>
  <c r="BS306" i="42"/>
  <c r="BT306" i="42"/>
  <c r="BU306" i="42"/>
  <c r="BV306" i="42"/>
  <c r="BW306" i="42"/>
  <c r="BX306" i="42"/>
  <c r="BY306" i="42"/>
  <c r="BZ306" i="42"/>
  <c r="CA306" i="42"/>
  <c r="CB306" i="42"/>
  <c r="CC306" i="42"/>
  <c r="CD306" i="42"/>
  <c r="CE306" i="42"/>
  <c r="CF306" i="42"/>
  <c r="CG306" i="42"/>
  <c r="CH306" i="42"/>
  <c r="CI306" i="42"/>
  <c r="CJ306" i="42"/>
  <c r="CK306" i="42"/>
  <c r="CL306" i="42"/>
  <c r="CM306" i="42"/>
  <c r="CN306" i="42"/>
  <c r="CO306" i="42"/>
  <c r="CP306" i="42"/>
  <c r="BO307" i="42"/>
  <c r="BP307" i="42"/>
  <c r="BQ307" i="42"/>
  <c r="BR307" i="42"/>
  <c r="BS307" i="42"/>
  <c r="BT307" i="42"/>
  <c r="BU307" i="42"/>
  <c r="BV307" i="42"/>
  <c r="BW307" i="42"/>
  <c r="BX307" i="42"/>
  <c r="BY307" i="42"/>
  <c r="BZ307" i="42"/>
  <c r="CA307" i="42"/>
  <c r="CB307" i="42"/>
  <c r="CC307" i="42"/>
  <c r="CD307" i="42"/>
  <c r="CE307" i="42"/>
  <c r="CF307" i="42"/>
  <c r="CG307" i="42"/>
  <c r="CH307" i="42"/>
  <c r="CI307" i="42"/>
  <c r="CJ307" i="42"/>
  <c r="CK307" i="42"/>
  <c r="CL307" i="42"/>
  <c r="CM307" i="42"/>
  <c r="CN307" i="42"/>
  <c r="CO307" i="42"/>
  <c r="CP307" i="42"/>
  <c r="BO308" i="42"/>
  <c r="BP308" i="42"/>
  <c r="BQ308" i="42"/>
  <c r="BR308" i="42"/>
  <c r="BS308" i="42"/>
  <c r="BT308" i="42"/>
  <c r="BU308" i="42"/>
  <c r="BV308" i="42"/>
  <c r="BW308" i="42"/>
  <c r="BX308" i="42"/>
  <c r="BY308" i="42"/>
  <c r="BZ308" i="42"/>
  <c r="CA308" i="42"/>
  <c r="CB308" i="42"/>
  <c r="CC308" i="42"/>
  <c r="CD308" i="42"/>
  <c r="CE308" i="42"/>
  <c r="CF308" i="42"/>
  <c r="CG308" i="42"/>
  <c r="CH308" i="42"/>
  <c r="CI308" i="42"/>
  <c r="CJ308" i="42"/>
  <c r="CK308" i="42"/>
  <c r="CL308" i="42"/>
  <c r="CM308" i="42"/>
  <c r="CN308" i="42"/>
  <c r="CO308" i="42"/>
  <c r="CP308" i="42"/>
  <c r="BO309" i="42"/>
  <c r="BP309" i="42"/>
  <c r="BQ309" i="42"/>
  <c r="BR309" i="42"/>
  <c r="BS309" i="42"/>
  <c r="BT309" i="42"/>
  <c r="BU309" i="42"/>
  <c r="BV309" i="42"/>
  <c r="BW309" i="42"/>
  <c r="BX309" i="42"/>
  <c r="BY309" i="42"/>
  <c r="BZ309" i="42"/>
  <c r="CA309" i="42"/>
  <c r="CB309" i="42"/>
  <c r="CC309" i="42"/>
  <c r="CD309" i="42"/>
  <c r="CE309" i="42"/>
  <c r="CF309" i="42"/>
  <c r="CG309" i="42"/>
  <c r="CH309" i="42"/>
  <c r="CI309" i="42"/>
  <c r="CJ309" i="42"/>
  <c r="CK309" i="42"/>
  <c r="CL309" i="42"/>
  <c r="CM309" i="42"/>
  <c r="CN309" i="42"/>
  <c r="CO309" i="42"/>
  <c r="CP309" i="42"/>
  <c r="BO310" i="42"/>
  <c r="BP310" i="42"/>
  <c r="BQ310" i="42"/>
  <c r="BR310" i="42"/>
  <c r="BS310" i="42"/>
  <c r="BT310" i="42"/>
  <c r="BU310" i="42"/>
  <c r="BV310" i="42"/>
  <c r="BW310" i="42"/>
  <c r="BX310" i="42"/>
  <c r="BY310" i="42"/>
  <c r="BZ310" i="42"/>
  <c r="CA310" i="42"/>
  <c r="CB310" i="42"/>
  <c r="CC310" i="42"/>
  <c r="CD310" i="42"/>
  <c r="CE310" i="42"/>
  <c r="CF310" i="42"/>
  <c r="CG310" i="42"/>
  <c r="CH310" i="42"/>
  <c r="CI310" i="42"/>
  <c r="CJ310" i="42"/>
  <c r="CK310" i="42"/>
  <c r="CL310" i="42"/>
  <c r="CM310" i="42"/>
  <c r="CN310" i="42"/>
  <c r="CO310" i="42"/>
  <c r="CP310" i="42"/>
  <c r="BO311" i="42"/>
  <c r="BP311" i="42"/>
  <c r="BQ311" i="42"/>
  <c r="BR311" i="42"/>
  <c r="BS311" i="42"/>
  <c r="BT311" i="42"/>
  <c r="BU311" i="42"/>
  <c r="BV311" i="42"/>
  <c r="BW311" i="42"/>
  <c r="BX311" i="42"/>
  <c r="BY311" i="42"/>
  <c r="BZ311" i="42"/>
  <c r="CA311" i="42"/>
  <c r="CB311" i="42"/>
  <c r="CC311" i="42"/>
  <c r="CD311" i="42"/>
  <c r="CE311" i="42"/>
  <c r="CF311" i="42"/>
  <c r="CG311" i="42"/>
  <c r="CH311" i="42"/>
  <c r="CI311" i="42"/>
  <c r="CJ311" i="42"/>
  <c r="CK311" i="42"/>
  <c r="CL311" i="42"/>
  <c r="CM311" i="42"/>
  <c r="CN311" i="42"/>
  <c r="CO311" i="42"/>
  <c r="CP311" i="42"/>
  <c r="BO312" i="42"/>
  <c r="BP312" i="42"/>
  <c r="BQ312" i="42"/>
  <c r="BR312" i="42"/>
  <c r="BS312" i="42"/>
  <c r="BT312" i="42"/>
  <c r="BU312" i="42"/>
  <c r="BV312" i="42"/>
  <c r="BW312" i="42"/>
  <c r="BX312" i="42"/>
  <c r="BY312" i="42"/>
  <c r="BZ312" i="42"/>
  <c r="CA312" i="42"/>
  <c r="CB312" i="42"/>
  <c r="CC312" i="42"/>
  <c r="CD312" i="42"/>
  <c r="CE312" i="42"/>
  <c r="CF312" i="42"/>
  <c r="CG312" i="42"/>
  <c r="CH312" i="42"/>
  <c r="CI312" i="42"/>
  <c r="CJ312" i="42"/>
  <c r="CK312" i="42"/>
  <c r="CL312" i="42"/>
  <c r="CM312" i="42"/>
  <c r="CN312" i="42"/>
  <c r="CO312" i="42"/>
  <c r="CP312" i="42"/>
  <c r="BO313" i="42"/>
  <c r="BP313" i="42"/>
  <c r="BQ313" i="42"/>
  <c r="BR313" i="42"/>
  <c r="BS313" i="42"/>
  <c r="BT313" i="42"/>
  <c r="BU313" i="42"/>
  <c r="BV313" i="42"/>
  <c r="BW313" i="42"/>
  <c r="BX313" i="42"/>
  <c r="BY313" i="42"/>
  <c r="BZ313" i="42"/>
  <c r="CA313" i="42"/>
  <c r="CB313" i="42"/>
  <c r="CC313" i="42"/>
  <c r="CD313" i="42"/>
  <c r="CE313" i="42"/>
  <c r="CF313" i="42"/>
  <c r="CG313" i="42"/>
  <c r="CH313" i="42"/>
  <c r="CI313" i="42"/>
  <c r="CJ313" i="42"/>
  <c r="CK313" i="42"/>
  <c r="CL313" i="42"/>
  <c r="CM313" i="42"/>
  <c r="CN313" i="42"/>
  <c r="CO313" i="42"/>
  <c r="CP313" i="42"/>
  <c r="BO314" i="42"/>
  <c r="BP314" i="42"/>
  <c r="BQ314" i="42"/>
  <c r="BR314" i="42"/>
  <c r="BS314" i="42"/>
  <c r="BT314" i="42"/>
  <c r="BU314" i="42"/>
  <c r="BV314" i="42"/>
  <c r="BW314" i="42"/>
  <c r="BX314" i="42"/>
  <c r="BY314" i="42"/>
  <c r="BZ314" i="42"/>
  <c r="CA314" i="42"/>
  <c r="CB314" i="42"/>
  <c r="CC314" i="42"/>
  <c r="CD314" i="42"/>
  <c r="CE314" i="42"/>
  <c r="CF314" i="42"/>
  <c r="CG314" i="42"/>
  <c r="CH314" i="42"/>
  <c r="CI314" i="42"/>
  <c r="CJ314" i="42"/>
  <c r="CK314" i="42"/>
  <c r="CL314" i="42"/>
  <c r="CM314" i="42"/>
  <c r="CN314" i="42"/>
  <c r="CO314" i="42"/>
  <c r="CP314" i="42"/>
  <c r="BO315" i="42"/>
  <c r="BP315" i="42"/>
  <c r="BQ315" i="42"/>
  <c r="BR315" i="42"/>
  <c r="BS315" i="42"/>
  <c r="BT315" i="42"/>
  <c r="BU315" i="42"/>
  <c r="BV315" i="42"/>
  <c r="BW315" i="42"/>
  <c r="BX315" i="42"/>
  <c r="BY315" i="42"/>
  <c r="BZ315" i="42"/>
  <c r="CA315" i="42"/>
  <c r="CB315" i="42"/>
  <c r="CC315" i="42"/>
  <c r="CD315" i="42"/>
  <c r="CE315" i="42"/>
  <c r="CF315" i="42"/>
  <c r="CG315" i="42"/>
  <c r="CH315" i="42"/>
  <c r="CI315" i="42"/>
  <c r="CJ315" i="42"/>
  <c r="CK315" i="42"/>
  <c r="CL315" i="42"/>
  <c r="CM315" i="42"/>
  <c r="CN315" i="42"/>
  <c r="CO315" i="42"/>
  <c r="CP315" i="42"/>
  <c r="BO316" i="42"/>
  <c r="BP316" i="42"/>
  <c r="BQ316" i="42"/>
  <c r="BR316" i="42"/>
  <c r="BS316" i="42"/>
  <c r="BT316" i="42"/>
  <c r="BU316" i="42"/>
  <c r="BV316" i="42"/>
  <c r="BW316" i="42"/>
  <c r="BX316" i="42"/>
  <c r="BY316" i="42"/>
  <c r="BZ316" i="42"/>
  <c r="CA316" i="42"/>
  <c r="CB316" i="42"/>
  <c r="CC316" i="42"/>
  <c r="CD316" i="42"/>
  <c r="CE316" i="42"/>
  <c r="CF316" i="42"/>
  <c r="CG316" i="42"/>
  <c r="CH316" i="42"/>
  <c r="CI316" i="42"/>
  <c r="CJ316" i="42"/>
  <c r="CK316" i="42"/>
  <c r="CL316" i="42"/>
  <c r="CM316" i="42"/>
  <c r="CN316" i="42"/>
  <c r="CO316" i="42"/>
  <c r="CP316" i="42"/>
  <c r="BO317" i="42"/>
  <c r="BP317" i="42"/>
  <c r="BQ317" i="42"/>
  <c r="BR317" i="42"/>
  <c r="BS317" i="42"/>
  <c r="BT317" i="42"/>
  <c r="BU317" i="42"/>
  <c r="BV317" i="42"/>
  <c r="BW317" i="42"/>
  <c r="BX317" i="42"/>
  <c r="BY317" i="42"/>
  <c r="BZ317" i="42"/>
  <c r="CA317" i="42"/>
  <c r="CB317" i="42"/>
  <c r="CC317" i="42"/>
  <c r="CD317" i="42"/>
  <c r="CE317" i="42"/>
  <c r="CF317" i="42"/>
  <c r="CG317" i="42"/>
  <c r="CH317" i="42"/>
  <c r="CI317" i="42"/>
  <c r="CJ317" i="42"/>
  <c r="CK317" i="42"/>
  <c r="CL317" i="42"/>
  <c r="CM317" i="42"/>
  <c r="CN317" i="42"/>
  <c r="CO317" i="42"/>
  <c r="CP317" i="42"/>
  <c r="BO318" i="42"/>
  <c r="BP318" i="42"/>
  <c r="BQ318" i="42"/>
  <c r="BR318" i="42"/>
  <c r="BS318" i="42"/>
  <c r="BT318" i="42"/>
  <c r="BU318" i="42"/>
  <c r="BV318" i="42"/>
  <c r="BW318" i="42"/>
  <c r="BX318" i="42"/>
  <c r="BY318" i="42"/>
  <c r="BZ318" i="42"/>
  <c r="CA318" i="42"/>
  <c r="CB318" i="42"/>
  <c r="CC318" i="42"/>
  <c r="CD318" i="42"/>
  <c r="CE318" i="42"/>
  <c r="CF318" i="42"/>
  <c r="CG318" i="42"/>
  <c r="CH318" i="42"/>
  <c r="CI318" i="42"/>
  <c r="CJ318" i="42"/>
  <c r="CK318" i="42"/>
  <c r="CL318" i="42"/>
  <c r="CM318" i="42"/>
  <c r="CN318" i="42"/>
  <c r="CO318" i="42"/>
  <c r="CP318" i="42"/>
  <c r="BO319" i="42"/>
  <c r="BP319" i="42"/>
  <c r="BQ319" i="42"/>
  <c r="BR319" i="42"/>
  <c r="BS319" i="42"/>
  <c r="BT319" i="42"/>
  <c r="BU319" i="42"/>
  <c r="BV319" i="42"/>
  <c r="BW319" i="42"/>
  <c r="BX319" i="42"/>
  <c r="BY319" i="42"/>
  <c r="BZ319" i="42"/>
  <c r="CA319" i="42"/>
  <c r="CB319" i="42"/>
  <c r="CC319" i="42"/>
  <c r="CD319" i="42"/>
  <c r="CE319" i="42"/>
  <c r="CF319" i="42"/>
  <c r="CG319" i="42"/>
  <c r="CH319" i="42"/>
  <c r="CI319" i="42"/>
  <c r="CJ319" i="42"/>
  <c r="CK319" i="42"/>
  <c r="CL319" i="42"/>
  <c r="CM319" i="42"/>
  <c r="CN319" i="42"/>
  <c r="CO319" i="42"/>
  <c r="CP319" i="42"/>
  <c r="BO320" i="42"/>
  <c r="BP320" i="42"/>
  <c r="BQ320" i="42"/>
  <c r="BR320" i="42"/>
  <c r="BS320" i="42"/>
  <c r="BT320" i="42"/>
  <c r="BU320" i="42"/>
  <c r="BV320" i="42"/>
  <c r="BW320" i="42"/>
  <c r="BX320" i="42"/>
  <c r="BY320" i="42"/>
  <c r="BZ320" i="42"/>
  <c r="CA320" i="42"/>
  <c r="CB320" i="42"/>
  <c r="CC320" i="42"/>
  <c r="CD320" i="42"/>
  <c r="CE320" i="42"/>
  <c r="CF320" i="42"/>
  <c r="CG320" i="42"/>
  <c r="CH320" i="42"/>
  <c r="CI320" i="42"/>
  <c r="CJ320" i="42"/>
  <c r="CK320" i="42"/>
  <c r="CL320" i="42"/>
  <c r="CM320" i="42"/>
  <c r="CN320" i="42"/>
  <c r="CO320" i="42"/>
  <c r="CP320" i="42"/>
  <c r="BO321" i="42"/>
  <c r="BP321" i="42"/>
  <c r="BQ321" i="42"/>
  <c r="BR321" i="42"/>
  <c r="BS321" i="42"/>
  <c r="BT321" i="42"/>
  <c r="BU321" i="42"/>
  <c r="BV321" i="42"/>
  <c r="BW321" i="42"/>
  <c r="BX321" i="42"/>
  <c r="BY321" i="42"/>
  <c r="BZ321" i="42"/>
  <c r="CA321" i="42"/>
  <c r="CB321" i="42"/>
  <c r="CC321" i="42"/>
  <c r="CD321" i="42"/>
  <c r="CE321" i="42"/>
  <c r="CF321" i="42"/>
  <c r="CG321" i="42"/>
  <c r="CH321" i="42"/>
  <c r="CI321" i="42"/>
  <c r="CJ321" i="42"/>
  <c r="CK321" i="42"/>
  <c r="CL321" i="42"/>
  <c r="CM321" i="42"/>
  <c r="CN321" i="42"/>
  <c r="CO321" i="42"/>
  <c r="CP321" i="42"/>
  <c r="BO322" i="42"/>
  <c r="BP322" i="42"/>
  <c r="BQ322" i="42"/>
  <c r="BR322" i="42"/>
  <c r="BS322" i="42"/>
  <c r="BT322" i="42"/>
  <c r="BU322" i="42"/>
  <c r="BV322" i="42"/>
  <c r="BW322" i="42"/>
  <c r="BX322" i="42"/>
  <c r="BY322" i="42"/>
  <c r="BZ322" i="42"/>
  <c r="CA322" i="42"/>
  <c r="CB322" i="42"/>
  <c r="CC322" i="42"/>
  <c r="CD322" i="42"/>
  <c r="CE322" i="42"/>
  <c r="CF322" i="42"/>
  <c r="CG322" i="42"/>
  <c r="CH322" i="42"/>
  <c r="CI322" i="42"/>
  <c r="CJ322" i="42"/>
  <c r="CK322" i="42"/>
  <c r="CL322" i="42"/>
  <c r="CM322" i="42"/>
  <c r="CN322" i="42"/>
  <c r="CO322" i="42"/>
  <c r="CP322" i="42"/>
  <c r="BO323" i="42"/>
  <c r="BP323" i="42"/>
  <c r="BQ323" i="42"/>
  <c r="BR323" i="42"/>
  <c r="BS323" i="42"/>
  <c r="BT323" i="42"/>
  <c r="BU323" i="42"/>
  <c r="BV323" i="42"/>
  <c r="BW323" i="42"/>
  <c r="BX323" i="42"/>
  <c r="BY323" i="42"/>
  <c r="BZ323" i="42"/>
  <c r="CA323" i="42"/>
  <c r="CB323" i="42"/>
  <c r="CC323" i="42"/>
  <c r="CD323" i="42"/>
  <c r="CE323" i="42"/>
  <c r="CF323" i="42"/>
  <c r="CG323" i="42"/>
  <c r="CH323" i="42"/>
  <c r="CI323" i="42"/>
  <c r="CJ323" i="42"/>
  <c r="CK323" i="42"/>
  <c r="CL323" i="42"/>
  <c r="CM323" i="42"/>
  <c r="CN323" i="42"/>
  <c r="CO323" i="42"/>
  <c r="CP323" i="42"/>
  <c r="BO324" i="42"/>
  <c r="BP324" i="42"/>
  <c r="BQ324" i="42"/>
  <c r="BR324" i="42"/>
  <c r="BS324" i="42"/>
  <c r="BT324" i="42"/>
  <c r="BU324" i="42"/>
  <c r="BV324" i="42"/>
  <c r="BW324" i="42"/>
  <c r="BX324" i="42"/>
  <c r="BY324" i="42"/>
  <c r="BZ324" i="42"/>
  <c r="CA324" i="42"/>
  <c r="CB324" i="42"/>
  <c r="CC324" i="42"/>
  <c r="CD324" i="42"/>
  <c r="CE324" i="42"/>
  <c r="CF324" i="42"/>
  <c r="CG324" i="42"/>
  <c r="CH324" i="42"/>
  <c r="CI324" i="42"/>
  <c r="CJ324" i="42"/>
  <c r="CK324" i="42"/>
  <c r="CL324" i="42"/>
  <c r="CM324" i="42"/>
  <c r="CN324" i="42"/>
  <c r="CO324" i="42"/>
  <c r="CP324" i="42"/>
  <c r="BO325" i="42"/>
  <c r="BP325" i="42"/>
  <c r="BQ325" i="42"/>
  <c r="BR325" i="42"/>
  <c r="BS325" i="42"/>
  <c r="BT325" i="42"/>
  <c r="BU325" i="42"/>
  <c r="BV325" i="42"/>
  <c r="BW325" i="42"/>
  <c r="BX325" i="42"/>
  <c r="BY325" i="42"/>
  <c r="BZ325" i="42"/>
  <c r="CA325" i="42"/>
  <c r="CB325" i="42"/>
  <c r="CC325" i="42"/>
  <c r="CD325" i="42"/>
  <c r="CE325" i="42"/>
  <c r="CF325" i="42"/>
  <c r="CG325" i="42"/>
  <c r="CH325" i="42"/>
  <c r="CI325" i="42"/>
  <c r="CJ325" i="42"/>
  <c r="CK325" i="42"/>
  <c r="CL325" i="42"/>
  <c r="CM325" i="42"/>
  <c r="CN325" i="42"/>
  <c r="CO325" i="42"/>
  <c r="CP325" i="42"/>
  <c r="BO326" i="42"/>
  <c r="BP326" i="42"/>
  <c r="BQ326" i="42"/>
  <c r="BR326" i="42"/>
  <c r="BS326" i="42"/>
  <c r="BT326" i="42"/>
  <c r="BU326" i="42"/>
  <c r="BV326" i="42"/>
  <c r="BW326" i="42"/>
  <c r="BX326" i="42"/>
  <c r="BY326" i="42"/>
  <c r="BZ326" i="42"/>
  <c r="CA326" i="42"/>
  <c r="CB326" i="42"/>
  <c r="CC326" i="42"/>
  <c r="CD326" i="42"/>
  <c r="CE326" i="42"/>
  <c r="CF326" i="42"/>
  <c r="CG326" i="42"/>
  <c r="CH326" i="42"/>
  <c r="CI326" i="42"/>
  <c r="CJ326" i="42"/>
  <c r="CK326" i="42"/>
  <c r="CL326" i="42"/>
  <c r="CM326" i="42"/>
  <c r="CN326" i="42"/>
  <c r="CO326" i="42"/>
  <c r="CP326" i="42"/>
  <c r="BO327" i="42"/>
  <c r="BP327" i="42"/>
  <c r="BQ327" i="42"/>
  <c r="BR327" i="42"/>
  <c r="BS327" i="42"/>
  <c r="BT327" i="42"/>
  <c r="BU327" i="42"/>
  <c r="BV327" i="42"/>
  <c r="BW327" i="42"/>
  <c r="BX327" i="42"/>
  <c r="BY327" i="42"/>
  <c r="BZ327" i="42"/>
  <c r="CA327" i="42"/>
  <c r="CB327" i="42"/>
  <c r="CC327" i="42"/>
  <c r="CD327" i="42"/>
  <c r="CE327" i="42"/>
  <c r="CF327" i="42"/>
  <c r="CG327" i="42"/>
  <c r="CH327" i="42"/>
  <c r="CI327" i="42"/>
  <c r="CJ327" i="42"/>
  <c r="CK327" i="42"/>
  <c r="CL327" i="42"/>
  <c r="CM327" i="42"/>
  <c r="CN327" i="42"/>
  <c r="CO327" i="42"/>
  <c r="CP327" i="42"/>
  <c r="BO328" i="42"/>
  <c r="BP328" i="42"/>
  <c r="BQ328" i="42"/>
  <c r="BR328" i="42"/>
  <c r="BS328" i="42"/>
  <c r="BT328" i="42"/>
  <c r="BU328" i="42"/>
  <c r="BV328" i="42"/>
  <c r="BW328" i="42"/>
  <c r="BX328" i="42"/>
  <c r="BY328" i="42"/>
  <c r="BZ328" i="42"/>
  <c r="CA328" i="42"/>
  <c r="CB328" i="42"/>
  <c r="CC328" i="42"/>
  <c r="CD328" i="42"/>
  <c r="CE328" i="42"/>
  <c r="CF328" i="42"/>
  <c r="CG328" i="42"/>
  <c r="CH328" i="42"/>
  <c r="CI328" i="42"/>
  <c r="CJ328" i="42"/>
  <c r="CK328" i="42"/>
  <c r="CL328" i="42"/>
  <c r="CM328" i="42"/>
  <c r="CN328" i="42"/>
  <c r="CO328" i="42"/>
  <c r="CP328" i="42"/>
  <c r="BO329" i="42"/>
  <c r="BP329" i="42"/>
  <c r="BQ329" i="42"/>
  <c r="BR329" i="42"/>
  <c r="BS329" i="42"/>
  <c r="BT329" i="42"/>
  <c r="BU329" i="42"/>
  <c r="BV329" i="42"/>
  <c r="BW329" i="42"/>
  <c r="BX329" i="42"/>
  <c r="BY329" i="42"/>
  <c r="BZ329" i="42"/>
  <c r="CA329" i="42"/>
  <c r="CB329" i="42"/>
  <c r="CC329" i="42"/>
  <c r="CD329" i="42"/>
  <c r="CE329" i="42"/>
  <c r="CF329" i="42"/>
  <c r="CG329" i="42"/>
  <c r="CH329" i="42"/>
  <c r="CI329" i="42"/>
  <c r="CJ329" i="42"/>
  <c r="CK329" i="42"/>
  <c r="CL329" i="42"/>
  <c r="CM329" i="42"/>
  <c r="CN329" i="42"/>
  <c r="CO329" i="42"/>
  <c r="CP329" i="42"/>
  <c r="BO330" i="42"/>
  <c r="BP330" i="42"/>
  <c r="BQ330" i="42"/>
  <c r="BR330" i="42"/>
  <c r="BS330" i="42"/>
  <c r="BT330" i="42"/>
  <c r="BU330" i="42"/>
  <c r="BV330" i="42"/>
  <c r="BW330" i="42"/>
  <c r="BX330" i="42"/>
  <c r="BY330" i="42"/>
  <c r="BZ330" i="42"/>
  <c r="CA330" i="42"/>
  <c r="CB330" i="42"/>
  <c r="CC330" i="42"/>
  <c r="CD330" i="42"/>
  <c r="CE330" i="42"/>
  <c r="CF330" i="42"/>
  <c r="CG330" i="42"/>
  <c r="CH330" i="42"/>
  <c r="CI330" i="42"/>
  <c r="CJ330" i="42"/>
  <c r="CK330" i="42"/>
  <c r="CL330" i="42"/>
  <c r="CM330" i="42"/>
  <c r="CN330" i="42"/>
  <c r="CO330" i="42"/>
  <c r="CP330" i="42"/>
  <c r="BO331" i="42"/>
  <c r="BP331" i="42"/>
  <c r="BQ331" i="42"/>
  <c r="BR331" i="42"/>
  <c r="BS331" i="42"/>
  <c r="BT331" i="42"/>
  <c r="BU331" i="42"/>
  <c r="BV331" i="42"/>
  <c r="BW331" i="42"/>
  <c r="BX331" i="42"/>
  <c r="BY331" i="42"/>
  <c r="BZ331" i="42"/>
  <c r="CA331" i="42"/>
  <c r="CB331" i="42"/>
  <c r="CC331" i="42"/>
  <c r="CD331" i="42"/>
  <c r="CE331" i="42"/>
  <c r="CF331" i="42"/>
  <c r="CG331" i="42"/>
  <c r="CH331" i="42"/>
  <c r="CI331" i="42"/>
  <c r="CJ331" i="42"/>
  <c r="CK331" i="42"/>
  <c r="CL331" i="42"/>
  <c r="CM331" i="42"/>
  <c r="CN331" i="42"/>
  <c r="CO331" i="42"/>
  <c r="CP331" i="42"/>
  <c r="BO332" i="42"/>
  <c r="BP332" i="42"/>
  <c r="BQ332" i="42"/>
  <c r="BR332" i="42"/>
  <c r="BS332" i="42"/>
  <c r="BT332" i="42"/>
  <c r="BU332" i="42"/>
  <c r="BV332" i="42"/>
  <c r="BW332" i="42"/>
  <c r="BX332" i="42"/>
  <c r="BY332" i="42"/>
  <c r="BZ332" i="42"/>
  <c r="CA332" i="42"/>
  <c r="CB332" i="42"/>
  <c r="CC332" i="42"/>
  <c r="CD332" i="42"/>
  <c r="CE332" i="42"/>
  <c r="CF332" i="42"/>
  <c r="CG332" i="42"/>
  <c r="CH332" i="42"/>
  <c r="CI332" i="42"/>
  <c r="CJ332" i="42"/>
  <c r="CK332" i="42"/>
  <c r="CL332" i="42"/>
  <c r="CM332" i="42"/>
  <c r="CN332" i="42"/>
  <c r="CO332" i="42"/>
  <c r="CP332" i="42"/>
  <c r="BO333" i="42"/>
  <c r="BP333" i="42"/>
  <c r="BQ333" i="42"/>
  <c r="BR333" i="42"/>
  <c r="BS333" i="42"/>
  <c r="BT333" i="42"/>
  <c r="BU333" i="42"/>
  <c r="BV333" i="42"/>
  <c r="BW333" i="42"/>
  <c r="BX333" i="42"/>
  <c r="BY333" i="42"/>
  <c r="BZ333" i="42"/>
  <c r="CA333" i="42"/>
  <c r="CB333" i="42"/>
  <c r="CC333" i="42"/>
  <c r="CD333" i="42"/>
  <c r="CE333" i="42"/>
  <c r="CF333" i="42"/>
  <c r="CG333" i="42"/>
  <c r="CH333" i="42"/>
  <c r="CI333" i="42"/>
  <c r="CJ333" i="42"/>
  <c r="CK333" i="42"/>
  <c r="CL333" i="42"/>
  <c r="CM333" i="42"/>
  <c r="CN333" i="42"/>
  <c r="CO333" i="42"/>
  <c r="CP333" i="42"/>
  <c r="BO334" i="42"/>
  <c r="BP334" i="42"/>
  <c r="BQ334" i="42"/>
  <c r="BR334" i="42"/>
  <c r="BS334" i="42"/>
  <c r="BT334" i="42"/>
  <c r="BU334" i="42"/>
  <c r="BV334" i="42"/>
  <c r="BW334" i="42"/>
  <c r="BX334" i="42"/>
  <c r="BY334" i="42"/>
  <c r="BZ334" i="42"/>
  <c r="CA334" i="42"/>
  <c r="CB334" i="42"/>
  <c r="CC334" i="42"/>
  <c r="CD334" i="42"/>
  <c r="CE334" i="42"/>
  <c r="CF334" i="42"/>
  <c r="CG334" i="42"/>
  <c r="CH334" i="42"/>
  <c r="CI334" i="42"/>
  <c r="CJ334" i="42"/>
  <c r="CK334" i="42"/>
  <c r="CL334" i="42"/>
  <c r="CM334" i="42"/>
  <c r="CN334" i="42"/>
  <c r="CO334" i="42"/>
  <c r="CP334" i="42"/>
  <c r="BO335" i="42"/>
  <c r="BP335" i="42"/>
  <c r="BQ335" i="42"/>
  <c r="BR335" i="42"/>
  <c r="BS335" i="42"/>
  <c r="BT335" i="42"/>
  <c r="BU335" i="42"/>
  <c r="BV335" i="42"/>
  <c r="BW335" i="42"/>
  <c r="BX335" i="42"/>
  <c r="BY335" i="42"/>
  <c r="BZ335" i="42"/>
  <c r="CA335" i="42"/>
  <c r="CB335" i="42"/>
  <c r="CC335" i="42"/>
  <c r="CD335" i="42"/>
  <c r="CE335" i="42"/>
  <c r="CF335" i="42"/>
  <c r="CG335" i="42"/>
  <c r="CH335" i="42"/>
  <c r="CI335" i="42"/>
  <c r="CJ335" i="42"/>
  <c r="CK335" i="42"/>
  <c r="CL335" i="42"/>
  <c r="CM335" i="42"/>
  <c r="CN335" i="42"/>
  <c r="CO335" i="42"/>
  <c r="CP335" i="42"/>
  <c r="BO336" i="42"/>
  <c r="BP336" i="42"/>
  <c r="BQ336" i="42"/>
  <c r="BR336" i="42"/>
  <c r="BS336" i="42"/>
  <c r="BT336" i="42"/>
  <c r="BU336" i="42"/>
  <c r="BV336" i="42"/>
  <c r="BW336" i="42"/>
  <c r="BX336" i="42"/>
  <c r="BY336" i="42"/>
  <c r="BZ336" i="42"/>
  <c r="CA336" i="42"/>
  <c r="CB336" i="42"/>
  <c r="CC336" i="42"/>
  <c r="CD336" i="42"/>
  <c r="CE336" i="42"/>
  <c r="CF336" i="42"/>
  <c r="CG336" i="42"/>
  <c r="CH336" i="42"/>
  <c r="CI336" i="42"/>
  <c r="CJ336" i="42"/>
  <c r="CK336" i="42"/>
  <c r="CL336" i="42"/>
  <c r="CM336" i="42"/>
  <c r="CN336" i="42"/>
  <c r="CO336" i="42"/>
  <c r="CP336" i="42"/>
  <c r="BO337" i="42"/>
  <c r="BP337" i="42"/>
  <c r="BQ337" i="42"/>
  <c r="BR337" i="42"/>
  <c r="BS337" i="42"/>
  <c r="BT337" i="42"/>
  <c r="BU337" i="42"/>
  <c r="BV337" i="42"/>
  <c r="BW337" i="42"/>
  <c r="BX337" i="42"/>
  <c r="BY337" i="42"/>
  <c r="BZ337" i="42"/>
  <c r="CA337" i="42"/>
  <c r="CB337" i="42"/>
  <c r="CC337" i="42"/>
  <c r="CD337" i="42"/>
  <c r="CE337" i="42"/>
  <c r="CF337" i="42"/>
  <c r="CG337" i="42"/>
  <c r="CH337" i="42"/>
  <c r="CI337" i="42"/>
  <c r="CJ337" i="42"/>
  <c r="CK337" i="42"/>
  <c r="CL337" i="42"/>
  <c r="CM337" i="42"/>
  <c r="CN337" i="42"/>
  <c r="CO337" i="42"/>
  <c r="CP337" i="42"/>
  <c r="BO338" i="42"/>
  <c r="BP338" i="42"/>
  <c r="BQ338" i="42"/>
  <c r="BR338" i="42"/>
  <c r="BS338" i="42"/>
  <c r="BT338" i="42"/>
  <c r="BU338" i="42"/>
  <c r="BV338" i="42"/>
  <c r="BW338" i="42"/>
  <c r="BX338" i="42"/>
  <c r="BY338" i="42"/>
  <c r="BZ338" i="42"/>
  <c r="CA338" i="42"/>
  <c r="CB338" i="42"/>
  <c r="CC338" i="42"/>
  <c r="CD338" i="42"/>
  <c r="CE338" i="42"/>
  <c r="CF338" i="42"/>
  <c r="CG338" i="42"/>
  <c r="CH338" i="42"/>
  <c r="CI338" i="42"/>
  <c r="CJ338" i="42"/>
  <c r="CK338" i="42"/>
  <c r="CL338" i="42"/>
  <c r="CM338" i="42"/>
  <c r="CN338" i="42"/>
  <c r="CO338" i="42"/>
  <c r="CP338" i="42"/>
  <c r="BO339" i="42"/>
  <c r="BP339" i="42"/>
  <c r="BQ339" i="42"/>
  <c r="BR339" i="42"/>
  <c r="BS339" i="42"/>
  <c r="BT339" i="42"/>
  <c r="BU339" i="42"/>
  <c r="BV339" i="42"/>
  <c r="BW339" i="42"/>
  <c r="BX339" i="42"/>
  <c r="BY339" i="42"/>
  <c r="BZ339" i="42"/>
  <c r="CA339" i="42"/>
  <c r="CB339" i="42"/>
  <c r="CC339" i="42"/>
  <c r="CD339" i="42"/>
  <c r="CE339" i="42"/>
  <c r="CF339" i="42"/>
  <c r="CG339" i="42"/>
  <c r="CH339" i="42"/>
  <c r="CI339" i="42"/>
  <c r="CJ339" i="42"/>
  <c r="CK339" i="42"/>
  <c r="CL339" i="42"/>
  <c r="CM339" i="42"/>
  <c r="CN339" i="42"/>
  <c r="CO339" i="42"/>
  <c r="CP339" i="42"/>
  <c r="BO340" i="42"/>
  <c r="BP340" i="42"/>
  <c r="BQ340" i="42"/>
  <c r="BR340" i="42"/>
  <c r="BS340" i="42"/>
  <c r="BT340" i="42"/>
  <c r="BU340" i="42"/>
  <c r="BV340" i="42"/>
  <c r="BW340" i="42"/>
  <c r="BX340" i="42"/>
  <c r="BY340" i="42"/>
  <c r="BZ340" i="42"/>
  <c r="CA340" i="42"/>
  <c r="CB340" i="42"/>
  <c r="CC340" i="42"/>
  <c r="CD340" i="42"/>
  <c r="CE340" i="42"/>
  <c r="CF340" i="42"/>
  <c r="CG340" i="42"/>
  <c r="CH340" i="42"/>
  <c r="CI340" i="42"/>
  <c r="CJ340" i="42"/>
  <c r="CK340" i="42"/>
  <c r="CL340" i="42"/>
  <c r="CM340" i="42"/>
  <c r="CN340" i="42"/>
  <c r="CO340" i="42"/>
  <c r="CP340" i="42"/>
  <c r="BO341" i="42"/>
  <c r="BP341" i="42"/>
  <c r="BQ341" i="42"/>
  <c r="BR341" i="42"/>
  <c r="BS341" i="42"/>
  <c r="BT341" i="42"/>
  <c r="BU341" i="42"/>
  <c r="BV341" i="42"/>
  <c r="BW341" i="42"/>
  <c r="BX341" i="42"/>
  <c r="BY341" i="42"/>
  <c r="BZ341" i="42"/>
  <c r="CA341" i="42"/>
  <c r="CB341" i="42"/>
  <c r="CC341" i="42"/>
  <c r="CD341" i="42"/>
  <c r="CE341" i="42"/>
  <c r="CF341" i="42"/>
  <c r="CG341" i="42"/>
  <c r="CH341" i="42"/>
  <c r="CI341" i="42"/>
  <c r="CJ341" i="42"/>
  <c r="CK341" i="42"/>
  <c r="CL341" i="42"/>
  <c r="CM341" i="42"/>
  <c r="CN341" i="42"/>
  <c r="CO341" i="42"/>
  <c r="CP341" i="42"/>
  <c r="BO342" i="42"/>
  <c r="BP342" i="42"/>
  <c r="BQ342" i="42"/>
  <c r="BR342" i="42"/>
  <c r="BS342" i="42"/>
  <c r="BT342" i="42"/>
  <c r="BU342" i="42"/>
  <c r="BV342" i="42"/>
  <c r="BW342" i="42"/>
  <c r="BX342" i="42"/>
  <c r="BY342" i="42"/>
  <c r="BZ342" i="42"/>
  <c r="CA342" i="42"/>
  <c r="CB342" i="42"/>
  <c r="CC342" i="42"/>
  <c r="CD342" i="42"/>
  <c r="CE342" i="42"/>
  <c r="CF342" i="42"/>
  <c r="CG342" i="42"/>
  <c r="CH342" i="42"/>
  <c r="CI342" i="42"/>
  <c r="CJ342" i="42"/>
  <c r="CK342" i="42"/>
  <c r="CL342" i="42"/>
  <c r="CM342" i="42"/>
  <c r="CN342" i="42"/>
  <c r="CO342" i="42"/>
  <c r="CP342" i="42"/>
  <c r="BO343" i="42"/>
  <c r="BP343" i="42"/>
  <c r="BQ343" i="42"/>
  <c r="BR343" i="42"/>
  <c r="BS343" i="42"/>
  <c r="BT343" i="42"/>
  <c r="BU343" i="42"/>
  <c r="BV343" i="42"/>
  <c r="BW343" i="42"/>
  <c r="BX343" i="42"/>
  <c r="BY343" i="42"/>
  <c r="BZ343" i="42"/>
  <c r="CA343" i="42"/>
  <c r="CB343" i="42"/>
  <c r="CC343" i="42"/>
  <c r="CD343" i="42"/>
  <c r="CE343" i="42"/>
  <c r="CF343" i="42"/>
  <c r="CG343" i="42"/>
  <c r="CH343" i="42"/>
  <c r="CI343" i="42"/>
  <c r="CJ343" i="42"/>
  <c r="CK343" i="42"/>
  <c r="CL343" i="42"/>
  <c r="CM343" i="42"/>
  <c r="CN343" i="42"/>
  <c r="CO343" i="42"/>
  <c r="CP343" i="42"/>
  <c r="BO344" i="42"/>
  <c r="BP344" i="42"/>
  <c r="BQ344" i="42"/>
  <c r="BR344" i="42"/>
  <c r="BS344" i="42"/>
  <c r="BT344" i="42"/>
  <c r="BU344" i="42"/>
  <c r="BV344" i="42"/>
  <c r="BW344" i="42"/>
  <c r="BX344" i="42"/>
  <c r="BY344" i="42"/>
  <c r="BZ344" i="42"/>
  <c r="CA344" i="42"/>
  <c r="CB344" i="42"/>
  <c r="CC344" i="42"/>
  <c r="CD344" i="42"/>
  <c r="CE344" i="42"/>
  <c r="CF344" i="42"/>
  <c r="CG344" i="42"/>
  <c r="CH344" i="42"/>
  <c r="CI344" i="42"/>
  <c r="CJ344" i="42"/>
  <c r="CK344" i="42"/>
  <c r="CL344" i="42"/>
  <c r="CM344" i="42"/>
  <c r="CN344" i="42"/>
  <c r="CO344" i="42"/>
  <c r="CP344" i="42"/>
  <c r="BO345" i="42"/>
  <c r="BP345" i="42"/>
  <c r="BQ345" i="42"/>
  <c r="BR345" i="42"/>
  <c r="BS345" i="42"/>
  <c r="BT345" i="42"/>
  <c r="BU345" i="42"/>
  <c r="BV345" i="42"/>
  <c r="BW345" i="42"/>
  <c r="BX345" i="42"/>
  <c r="BY345" i="42"/>
  <c r="BZ345" i="42"/>
  <c r="CA345" i="42"/>
  <c r="CB345" i="42"/>
  <c r="CC345" i="42"/>
  <c r="CD345" i="42"/>
  <c r="CE345" i="42"/>
  <c r="CF345" i="42"/>
  <c r="CG345" i="42"/>
  <c r="CH345" i="42"/>
  <c r="CI345" i="42"/>
  <c r="CJ345" i="42"/>
  <c r="CK345" i="42"/>
  <c r="CL345" i="42"/>
  <c r="CM345" i="42"/>
  <c r="CN345" i="42"/>
  <c r="CO345" i="42"/>
  <c r="CP345" i="42"/>
  <c r="BO346" i="42"/>
  <c r="BP346" i="42"/>
  <c r="BQ346" i="42"/>
  <c r="BR346" i="42"/>
  <c r="BS346" i="42"/>
  <c r="BT346" i="42"/>
  <c r="BU346" i="42"/>
  <c r="BV346" i="42"/>
  <c r="BW346" i="42"/>
  <c r="BX346" i="42"/>
  <c r="BY346" i="42"/>
  <c r="BZ346" i="42"/>
  <c r="CA346" i="42"/>
  <c r="CB346" i="42"/>
  <c r="CC346" i="42"/>
  <c r="CD346" i="42"/>
  <c r="CE346" i="42"/>
  <c r="CF346" i="42"/>
  <c r="CG346" i="42"/>
  <c r="CH346" i="42"/>
  <c r="CI346" i="42"/>
  <c r="CJ346" i="42"/>
  <c r="CK346" i="42"/>
  <c r="CL346" i="42"/>
  <c r="CM346" i="42"/>
  <c r="CN346" i="42"/>
  <c r="CO346" i="42"/>
  <c r="CP346" i="42"/>
  <c r="BO347" i="42"/>
  <c r="BP347" i="42"/>
  <c r="BQ347" i="42"/>
  <c r="BR347" i="42"/>
  <c r="BS347" i="42"/>
  <c r="BT347" i="42"/>
  <c r="BU347" i="42"/>
  <c r="BV347" i="42"/>
  <c r="BW347" i="42"/>
  <c r="BX347" i="42"/>
  <c r="BY347" i="42"/>
  <c r="BZ347" i="42"/>
  <c r="CA347" i="42"/>
  <c r="CB347" i="42"/>
  <c r="CC347" i="42"/>
  <c r="CD347" i="42"/>
  <c r="CE347" i="42"/>
  <c r="CF347" i="42"/>
  <c r="CG347" i="42"/>
  <c r="CH347" i="42"/>
  <c r="CI347" i="42"/>
  <c r="CJ347" i="42"/>
  <c r="CK347" i="42"/>
  <c r="CL347" i="42"/>
  <c r="CM347" i="42"/>
  <c r="CN347" i="42"/>
  <c r="CO347" i="42"/>
  <c r="CP347" i="42"/>
  <c r="BO348" i="42"/>
  <c r="BP348" i="42"/>
  <c r="BQ348" i="42"/>
  <c r="BR348" i="42"/>
  <c r="BS348" i="42"/>
  <c r="BT348" i="42"/>
  <c r="BU348" i="42"/>
  <c r="BV348" i="42"/>
  <c r="BW348" i="42"/>
  <c r="BX348" i="42"/>
  <c r="BY348" i="42"/>
  <c r="BZ348" i="42"/>
  <c r="CA348" i="42"/>
  <c r="CB348" i="42"/>
  <c r="CC348" i="42"/>
  <c r="CD348" i="42"/>
  <c r="CE348" i="42"/>
  <c r="CF348" i="42"/>
  <c r="CG348" i="42"/>
  <c r="CH348" i="42"/>
  <c r="CI348" i="42"/>
  <c r="CJ348" i="42"/>
  <c r="CK348" i="42"/>
  <c r="CL348" i="42"/>
  <c r="CM348" i="42"/>
  <c r="CN348" i="42"/>
  <c r="CO348" i="42"/>
  <c r="CP348" i="42"/>
  <c r="BO349" i="42"/>
  <c r="BP349" i="42"/>
  <c r="BQ349" i="42"/>
  <c r="BR349" i="42"/>
  <c r="BS349" i="42"/>
  <c r="BT349" i="42"/>
  <c r="BU349" i="42"/>
  <c r="BV349" i="42"/>
  <c r="BW349" i="42"/>
  <c r="BX349" i="42"/>
  <c r="BY349" i="42"/>
  <c r="BZ349" i="42"/>
  <c r="CA349" i="42"/>
  <c r="CB349" i="42"/>
  <c r="CC349" i="42"/>
  <c r="CD349" i="42"/>
  <c r="CE349" i="42"/>
  <c r="CF349" i="42"/>
  <c r="CG349" i="42"/>
  <c r="CH349" i="42"/>
  <c r="CI349" i="42"/>
  <c r="CJ349" i="42"/>
  <c r="CK349" i="42"/>
  <c r="CL349" i="42"/>
  <c r="CM349" i="42"/>
  <c r="CN349" i="42"/>
  <c r="CO349" i="42"/>
  <c r="CP349" i="42"/>
  <c r="BO350" i="42"/>
  <c r="BP350" i="42"/>
  <c r="BQ350" i="42"/>
  <c r="BR350" i="42"/>
  <c r="BS350" i="42"/>
  <c r="BT350" i="42"/>
  <c r="BU350" i="42"/>
  <c r="BV350" i="42"/>
  <c r="BW350" i="42"/>
  <c r="BX350" i="42"/>
  <c r="BY350" i="42"/>
  <c r="BZ350" i="42"/>
  <c r="CA350" i="42"/>
  <c r="CB350" i="42"/>
  <c r="CC350" i="42"/>
  <c r="CD350" i="42"/>
  <c r="CE350" i="42"/>
  <c r="CF350" i="42"/>
  <c r="CG350" i="42"/>
  <c r="CH350" i="42"/>
  <c r="CI350" i="42"/>
  <c r="CJ350" i="42"/>
  <c r="CK350" i="42"/>
  <c r="CL350" i="42"/>
  <c r="CM350" i="42"/>
  <c r="CN350" i="42"/>
  <c r="CO350" i="42"/>
  <c r="CP350" i="42"/>
  <c r="BO351" i="42"/>
  <c r="BP351" i="42"/>
  <c r="BQ351" i="42"/>
  <c r="BR351" i="42"/>
  <c r="BS351" i="42"/>
  <c r="BT351" i="42"/>
  <c r="BU351" i="42"/>
  <c r="BV351" i="42"/>
  <c r="BW351" i="42"/>
  <c r="BX351" i="42"/>
  <c r="BY351" i="42"/>
  <c r="BZ351" i="42"/>
  <c r="CA351" i="42"/>
  <c r="CB351" i="42"/>
  <c r="CC351" i="42"/>
  <c r="CD351" i="42"/>
  <c r="CE351" i="42"/>
  <c r="CF351" i="42"/>
  <c r="CG351" i="42"/>
  <c r="CH351" i="42"/>
  <c r="CI351" i="42"/>
  <c r="CJ351" i="42"/>
  <c r="CK351" i="42"/>
  <c r="CL351" i="42"/>
  <c r="CM351" i="42"/>
  <c r="CN351" i="42"/>
  <c r="CO351" i="42"/>
  <c r="CP351" i="42"/>
  <c r="BO352" i="42"/>
  <c r="BP352" i="42"/>
  <c r="BQ352" i="42"/>
  <c r="BR352" i="42"/>
  <c r="BS352" i="42"/>
  <c r="BT352" i="42"/>
  <c r="BU352" i="42"/>
  <c r="BV352" i="42"/>
  <c r="BW352" i="42"/>
  <c r="BX352" i="42"/>
  <c r="BY352" i="42"/>
  <c r="BZ352" i="42"/>
  <c r="CA352" i="42"/>
  <c r="CB352" i="42"/>
  <c r="CC352" i="42"/>
  <c r="CD352" i="42"/>
  <c r="CE352" i="42"/>
  <c r="CF352" i="42"/>
  <c r="CG352" i="42"/>
  <c r="CH352" i="42"/>
  <c r="CI352" i="42"/>
  <c r="CJ352" i="42"/>
  <c r="CK352" i="42"/>
  <c r="CL352" i="42"/>
  <c r="CM352" i="42"/>
  <c r="CN352" i="42"/>
  <c r="CO352" i="42"/>
  <c r="CP352" i="42"/>
  <c r="BO353" i="42"/>
  <c r="BP353" i="42"/>
  <c r="BQ353" i="42"/>
  <c r="BR353" i="42"/>
  <c r="BS353" i="42"/>
  <c r="BT353" i="42"/>
  <c r="BU353" i="42"/>
  <c r="BV353" i="42"/>
  <c r="BW353" i="42"/>
  <c r="BX353" i="42"/>
  <c r="BY353" i="42"/>
  <c r="BZ353" i="42"/>
  <c r="CA353" i="42"/>
  <c r="CB353" i="42"/>
  <c r="CC353" i="42"/>
  <c r="CD353" i="42"/>
  <c r="CE353" i="42"/>
  <c r="CF353" i="42"/>
  <c r="CG353" i="42"/>
  <c r="CH353" i="42"/>
  <c r="CI353" i="42"/>
  <c r="CJ353" i="42"/>
  <c r="CK353" i="42"/>
  <c r="CL353" i="42"/>
  <c r="CM353" i="42"/>
  <c r="CN353" i="42"/>
  <c r="CO353" i="42"/>
  <c r="CP353" i="42"/>
  <c r="BO354" i="42"/>
  <c r="BP354" i="42"/>
  <c r="BQ354" i="42"/>
  <c r="BR354" i="42"/>
  <c r="BS354" i="42"/>
  <c r="BT354" i="42"/>
  <c r="BU354" i="42"/>
  <c r="BV354" i="42"/>
  <c r="BW354" i="42"/>
  <c r="BX354" i="42"/>
  <c r="BY354" i="42"/>
  <c r="BZ354" i="42"/>
  <c r="CA354" i="42"/>
  <c r="CB354" i="42"/>
  <c r="CC354" i="42"/>
  <c r="CD354" i="42"/>
  <c r="CE354" i="42"/>
  <c r="CF354" i="42"/>
  <c r="CG354" i="42"/>
  <c r="CH354" i="42"/>
  <c r="CI354" i="42"/>
  <c r="CJ354" i="42"/>
  <c r="CK354" i="42"/>
  <c r="CL354" i="42"/>
  <c r="CM354" i="42"/>
  <c r="CN354" i="42"/>
  <c r="CO354" i="42"/>
  <c r="CP354" i="42"/>
  <c r="BO355" i="42"/>
  <c r="BP355" i="42"/>
  <c r="BQ355" i="42"/>
  <c r="BR355" i="42"/>
  <c r="BS355" i="42"/>
  <c r="BT355" i="42"/>
  <c r="BU355" i="42"/>
  <c r="BV355" i="42"/>
  <c r="BW355" i="42"/>
  <c r="BX355" i="42"/>
  <c r="BY355" i="42"/>
  <c r="BZ355" i="42"/>
  <c r="CA355" i="42"/>
  <c r="CB355" i="42"/>
  <c r="CC355" i="42"/>
  <c r="CD355" i="42"/>
  <c r="CE355" i="42"/>
  <c r="CF355" i="42"/>
  <c r="CG355" i="42"/>
  <c r="CH355" i="42"/>
  <c r="CI355" i="42"/>
  <c r="CJ355" i="42"/>
  <c r="CK355" i="42"/>
  <c r="CL355" i="42"/>
  <c r="CM355" i="42"/>
  <c r="CN355" i="42"/>
  <c r="CO355" i="42"/>
  <c r="CP355" i="42"/>
  <c r="BO356" i="42"/>
  <c r="BP356" i="42"/>
  <c r="BQ356" i="42"/>
  <c r="BR356" i="42"/>
  <c r="BS356" i="42"/>
  <c r="BT356" i="42"/>
  <c r="BU356" i="42"/>
  <c r="BV356" i="42"/>
  <c r="BW356" i="42"/>
  <c r="BX356" i="42"/>
  <c r="BY356" i="42"/>
  <c r="BZ356" i="42"/>
  <c r="CA356" i="42"/>
  <c r="CB356" i="42"/>
  <c r="CC356" i="42"/>
  <c r="CD356" i="42"/>
  <c r="CE356" i="42"/>
  <c r="CF356" i="42"/>
  <c r="CG356" i="42"/>
  <c r="CH356" i="42"/>
  <c r="CI356" i="42"/>
  <c r="CJ356" i="42"/>
  <c r="CK356" i="42"/>
  <c r="CL356" i="42"/>
  <c r="CM356" i="42"/>
  <c r="CN356" i="42"/>
  <c r="CO356" i="42"/>
  <c r="CP356" i="42"/>
  <c r="BO357" i="42"/>
  <c r="BP357" i="42"/>
  <c r="BQ357" i="42"/>
  <c r="BR357" i="42"/>
  <c r="BS357" i="42"/>
  <c r="BT357" i="42"/>
  <c r="BU357" i="42"/>
  <c r="BV357" i="42"/>
  <c r="BW357" i="42"/>
  <c r="BX357" i="42"/>
  <c r="BY357" i="42"/>
  <c r="BZ357" i="42"/>
  <c r="CA357" i="42"/>
  <c r="CB357" i="42"/>
  <c r="CC357" i="42"/>
  <c r="CD357" i="42"/>
  <c r="CE357" i="42"/>
  <c r="CF357" i="42"/>
  <c r="CG357" i="42"/>
  <c r="CH357" i="42"/>
  <c r="CI357" i="42"/>
  <c r="CJ357" i="42"/>
  <c r="CK357" i="42"/>
  <c r="CL357" i="42"/>
  <c r="CM357" i="42"/>
  <c r="CN357" i="42"/>
  <c r="CO357" i="42"/>
  <c r="CP357" i="42"/>
  <c r="BO358" i="42"/>
  <c r="BP358" i="42"/>
  <c r="BQ358" i="42"/>
  <c r="BR358" i="42"/>
  <c r="BS358" i="42"/>
  <c r="BT358" i="42"/>
  <c r="BU358" i="42"/>
  <c r="BV358" i="42"/>
  <c r="BW358" i="42"/>
  <c r="BX358" i="42"/>
  <c r="BY358" i="42"/>
  <c r="BZ358" i="42"/>
  <c r="CA358" i="42"/>
  <c r="CB358" i="42"/>
  <c r="CC358" i="42"/>
  <c r="CD358" i="42"/>
  <c r="CE358" i="42"/>
  <c r="CF358" i="42"/>
  <c r="CG358" i="42"/>
  <c r="CH358" i="42"/>
  <c r="CI358" i="42"/>
  <c r="CJ358" i="42"/>
  <c r="CK358" i="42"/>
  <c r="CL358" i="42"/>
  <c r="CM358" i="42"/>
  <c r="CN358" i="42"/>
  <c r="CO358" i="42"/>
  <c r="CP358" i="42"/>
  <c r="BO359" i="42"/>
  <c r="BP359" i="42"/>
  <c r="BQ359" i="42"/>
  <c r="BR359" i="42"/>
  <c r="BS359" i="42"/>
  <c r="BT359" i="42"/>
  <c r="BU359" i="42"/>
  <c r="BV359" i="42"/>
  <c r="BW359" i="42"/>
  <c r="BX359" i="42"/>
  <c r="BY359" i="42"/>
  <c r="BZ359" i="42"/>
  <c r="CA359" i="42"/>
  <c r="CB359" i="42"/>
  <c r="CC359" i="42"/>
  <c r="CD359" i="42"/>
  <c r="CE359" i="42"/>
  <c r="CF359" i="42"/>
  <c r="CG359" i="42"/>
  <c r="CH359" i="42"/>
  <c r="CI359" i="42"/>
  <c r="CJ359" i="42"/>
  <c r="CK359" i="42"/>
  <c r="CL359" i="42"/>
  <c r="CM359" i="42"/>
  <c r="CN359" i="42"/>
  <c r="CO359" i="42"/>
  <c r="CP359" i="42"/>
  <c r="BO360" i="42"/>
  <c r="BP360" i="42"/>
  <c r="BQ360" i="42"/>
  <c r="BR360" i="42"/>
  <c r="BS360" i="42"/>
  <c r="BT360" i="42"/>
  <c r="BU360" i="42"/>
  <c r="BV360" i="42"/>
  <c r="BW360" i="42"/>
  <c r="BX360" i="42"/>
  <c r="BY360" i="42"/>
  <c r="BZ360" i="42"/>
  <c r="CA360" i="42"/>
  <c r="CB360" i="42"/>
  <c r="CC360" i="42"/>
  <c r="CD360" i="42"/>
  <c r="CE360" i="42"/>
  <c r="CF360" i="42"/>
  <c r="CG360" i="42"/>
  <c r="CH360" i="42"/>
  <c r="CI360" i="42"/>
  <c r="CJ360" i="42"/>
  <c r="CK360" i="42"/>
  <c r="CL360" i="42"/>
  <c r="CM360" i="42"/>
  <c r="CN360" i="42"/>
  <c r="CO360" i="42"/>
  <c r="CP360" i="42"/>
  <c r="BO361" i="42"/>
  <c r="BP361" i="42"/>
  <c r="BQ361" i="42"/>
  <c r="BR361" i="42"/>
  <c r="BS361" i="42"/>
  <c r="BT361" i="42"/>
  <c r="BU361" i="42"/>
  <c r="BV361" i="42"/>
  <c r="BW361" i="42"/>
  <c r="BX361" i="42"/>
  <c r="BY361" i="42"/>
  <c r="BZ361" i="42"/>
  <c r="CA361" i="42"/>
  <c r="CB361" i="42"/>
  <c r="CC361" i="42"/>
  <c r="CD361" i="42"/>
  <c r="CE361" i="42"/>
  <c r="CF361" i="42"/>
  <c r="CG361" i="42"/>
  <c r="CH361" i="42"/>
  <c r="CI361" i="42"/>
  <c r="CJ361" i="42"/>
  <c r="CK361" i="42"/>
  <c r="CL361" i="42"/>
  <c r="CM361" i="42"/>
  <c r="CN361" i="42"/>
  <c r="CO361" i="42"/>
  <c r="CP361" i="42"/>
  <c r="BO362" i="42"/>
  <c r="BP362" i="42"/>
  <c r="BQ362" i="42"/>
  <c r="BR362" i="42"/>
  <c r="BS362" i="42"/>
  <c r="BT362" i="42"/>
  <c r="BU362" i="42"/>
  <c r="BV362" i="42"/>
  <c r="BW362" i="42"/>
  <c r="BX362" i="42"/>
  <c r="BY362" i="42"/>
  <c r="BZ362" i="42"/>
  <c r="CA362" i="42"/>
  <c r="CB362" i="42"/>
  <c r="CC362" i="42"/>
  <c r="CD362" i="42"/>
  <c r="CE362" i="42"/>
  <c r="CF362" i="42"/>
  <c r="CG362" i="42"/>
  <c r="CH362" i="42"/>
  <c r="CI362" i="42"/>
  <c r="CJ362" i="42"/>
  <c r="CK362" i="42"/>
  <c r="CL362" i="42"/>
  <c r="CM362" i="42"/>
  <c r="CN362" i="42"/>
  <c r="CO362" i="42"/>
  <c r="CP362" i="42"/>
  <c r="BO363" i="42"/>
  <c r="BP363" i="42"/>
  <c r="BQ363" i="42"/>
  <c r="BR363" i="42"/>
  <c r="BS363" i="42"/>
  <c r="BT363" i="42"/>
  <c r="BU363" i="42"/>
  <c r="BV363" i="42"/>
  <c r="BW363" i="42"/>
  <c r="BX363" i="42"/>
  <c r="BY363" i="42"/>
  <c r="BZ363" i="42"/>
  <c r="CA363" i="42"/>
  <c r="CB363" i="42"/>
  <c r="CC363" i="42"/>
  <c r="CD363" i="42"/>
  <c r="CE363" i="42"/>
  <c r="CF363" i="42"/>
  <c r="CG363" i="42"/>
  <c r="CH363" i="42"/>
  <c r="CI363" i="42"/>
  <c r="CJ363" i="42"/>
  <c r="CK363" i="42"/>
  <c r="CL363" i="42"/>
  <c r="CM363" i="42"/>
  <c r="CN363" i="42"/>
  <c r="CO363" i="42"/>
  <c r="CP363" i="42"/>
  <c r="BO364" i="42"/>
  <c r="BP364" i="42"/>
  <c r="BQ364" i="42"/>
  <c r="BR364" i="42"/>
  <c r="BS364" i="42"/>
  <c r="BT364" i="42"/>
  <c r="BU364" i="42"/>
  <c r="BV364" i="42"/>
  <c r="BW364" i="42"/>
  <c r="BX364" i="42"/>
  <c r="BY364" i="42"/>
  <c r="BZ364" i="42"/>
  <c r="CA364" i="42"/>
  <c r="CB364" i="42"/>
  <c r="CC364" i="42"/>
  <c r="CD364" i="42"/>
  <c r="CE364" i="42"/>
  <c r="CF364" i="42"/>
  <c r="CG364" i="42"/>
  <c r="CH364" i="42"/>
  <c r="CI364" i="42"/>
  <c r="CJ364" i="42"/>
  <c r="CK364" i="42"/>
  <c r="CL364" i="42"/>
  <c r="CM364" i="42"/>
  <c r="CN364" i="42"/>
  <c r="CO364" i="42"/>
  <c r="CP364" i="42"/>
  <c r="BO365" i="42"/>
  <c r="BP365" i="42"/>
  <c r="BQ365" i="42"/>
  <c r="BR365" i="42"/>
  <c r="BS365" i="42"/>
  <c r="BT365" i="42"/>
  <c r="BU365" i="42"/>
  <c r="BV365" i="42"/>
  <c r="BW365" i="42"/>
  <c r="BX365" i="42"/>
  <c r="BY365" i="42"/>
  <c r="BZ365" i="42"/>
  <c r="CA365" i="42"/>
  <c r="CB365" i="42"/>
  <c r="CC365" i="42"/>
  <c r="CD365" i="42"/>
  <c r="CE365" i="42"/>
  <c r="CF365" i="42"/>
  <c r="CG365" i="42"/>
  <c r="CH365" i="42"/>
  <c r="CI365" i="42"/>
  <c r="CJ365" i="42"/>
  <c r="CK365" i="42"/>
  <c r="CL365" i="42"/>
  <c r="CM365" i="42"/>
  <c r="CN365" i="42"/>
  <c r="CO365" i="42"/>
  <c r="CP365" i="42"/>
  <c r="BO366" i="42"/>
  <c r="BP366" i="42"/>
  <c r="BQ366" i="42"/>
  <c r="BR366" i="42"/>
  <c r="BS366" i="42"/>
  <c r="BT366" i="42"/>
  <c r="BU366" i="42"/>
  <c r="BV366" i="42"/>
  <c r="BW366" i="42"/>
  <c r="BX366" i="42"/>
  <c r="BY366" i="42"/>
  <c r="BZ366" i="42"/>
  <c r="CA366" i="42"/>
  <c r="CB366" i="42"/>
  <c r="CC366" i="42"/>
  <c r="CD366" i="42"/>
  <c r="CE366" i="42"/>
  <c r="CF366" i="42"/>
  <c r="CG366" i="42"/>
  <c r="CH366" i="42"/>
  <c r="CI366" i="42"/>
  <c r="CJ366" i="42"/>
  <c r="CK366" i="42"/>
  <c r="CL366" i="42"/>
  <c r="CM366" i="42"/>
  <c r="CN366" i="42"/>
  <c r="CO366" i="42"/>
  <c r="CP366" i="42"/>
  <c r="BO367" i="42"/>
  <c r="BP367" i="42"/>
  <c r="BQ367" i="42"/>
  <c r="BR367" i="42"/>
  <c r="BS367" i="42"/>
  <c r="BT367" i="42"/>
  <c r="BU367" i="42"/>
  <c r="BV367" i="42"/>
  <c r="BW367" i="42"/>
  <c r="BX367" i="42"/>
  <c r="BY367" i="42"/>
  <c r="BZ367" i="42"/>
  <c r="CA367" i="42"/>
  <c r="CB367" i="42"/>
  <c r="CC367" i="42"/>
  <c r="CD367" i="42"/>
  <c r="CE367" i="42"/>
  <c r="CF367" i="42"/>
  <c r="CG367" i="42"/>
  <c r="CH367" i="42"/>
  <c r="CI367" i="42"/>
  <c r="CJ367" i="42"/>
  <c r="CK367" i="42"/>
  <c r="CL367" i="42"/>
  <c r="CM367" i="42"/>
  <c r="CN367" i="42"/>
  <c r="CO367" i="42"/>
  <c r="CP367" i="42"/>
  <c r="BO368" i="42"/>
  <c r="BP368" i="42"/>
  <c r="BQ368" i="42"/>
  <c r="BR368" i="42"/>
  <c r="BS368" i="42"/>
  <c r="BT368" i="42"/>
  <c r="BU368" i="42"/>
  <c r="BV368" i="42"/>
  <c r="BW368" i="42"/>
  <c r="BX368" i="42"/>
  <c r="BY368" i="42"/>
  <c r="BZ368" i="42"/>
  <c r="CA368" i="42"/>
  <c r="CB368" i="42"/>
  <c r="CC368" i="42"/>
  <c r="CD368" i="42"/>
  <c r="CE368" i="42"/>
  <c r="CF368" i="42"/>
  <c r="CG368" i="42"/>
  <c r="CH368" i="42"/>
  <c r="CI368" i="42"/>
  <c r="CJ368" i="42"/>
  <c r="CK368" i="42"/>
  <c r="CL368" i="42"/>
  <c r="CM368" i="42"/>
  <c r="CN368" i="42"/>
  <c r="CO368" i="42"/>
  <c r="CP368" i="42"/>
  <c r="BO369" i="42"/>
  <c r="BP369" i="42"/>
  <c r="BQ369" i="42"/>
  <c r="BR369" i="42"/>
  <c r="BS369" i="42"/>
  <c r="BT369" i="42"/>
  <c r="BU369" i="42"/>
  <c r="BV369" i="42"/>
  <c r="BW369" i="42"/>
  <c r="BX369" i="42"/>
  <c r="BY369" i="42"/>
  <c r="BZ369" i="42"/>
  <c r="CA369" i="42"/>
  <c r="CB369" i="42"/>
  <c r="CC369" i="42"/>
  <c r="CD369" i="42"/>
  <c r="CE369" i="42"/>
  <c r="CF369" i="42"/>
  <c r="CG369" i="42"/>
  <c r="CH369" i="42"/>
  <c r="CI369" i="42"/>
  <c r="CJ369" i="42"/>
  <c r="CK369" i="42"/>
  <c r="CL369" i="42"/>
  <c r="CM369" i="42"/>
  <c r="CN369" i="42"/>
  <c r="CO369" i="42"/>
  <c r="CP369" i="42"/>
  <c r="BO370" i="42"/>
  <c r="BP370" i="42"/>
  <c r="BQ370" i="42"/>
  <c r="BR370" i="42"/>
  <c r="BS370" i="42"/>
  <c r="BT370" i="42"/>
  <c r="BU370" i="42"/>
  <c r="BV370" i="42"/>
  <c r="BW370" i="42"/>
  <c r="BX370" i="42"/>
  <c r="BY370" i="42"/>
  <c r="BZ370" i="42"/>
  <c r="CA370" i="42"/>
  <c r="CB370" i="42"/>
  <c r="CC370" i="42"/>
  <c r="CD370" i="42"/>
  <c r="CE370" i="42"/>
  <c r="CF370" i="42"/>
  <c r="CG370" i="42"/>
  <c r="CH370" i="42"/>
  <c r="CI370" i="42"/>
  <c r="CJ370" i="42"/>
  <c r="CK370" i="42"/>
  <c r="CL370" i="42"/>
  <c r="CM370" i="42"/>
  <c r="CN370" i="42"/>
  <c r="CO370" i="42"/>
  <c r="CP370" i="42"/>
  <c r="BO371" i="42"/>
  <c r="BP371" i="42"/>
  <c r="BQ371" i="42"/>
  <c r="BR371" i="42"/>
  <c r="BS371" i="42"/>
  <c r="BT371" i="42"/>
  <c r="BU371" i="42"/>
  <c r="BV371" i="42"/>
  <c r="BW371" i="42"/>
  <c r="BX371" i="42"/>
  <c r="BY371" i="42"/>
  <c r="BZ371" i="42"/>
  <c r="CA371" i="42"/>
  <c r="CB371" i="42"/>
  <c r="CC371" i="42"/>
  <c r="CD371" i="42"/>
  <c r="CE371" i="42"/>
  <c r="CF371" i="42"/>
  <c r="CG371" i="42"/>
  <c r="CH371" i="42"/>
  <c r="CI371" i="42"/>
  <c r="CJ371" i="42"/>
  <c r="CK371" i="42"/>
  <c r="CL371" i="42"/>
  <c r="CM371" i="42"/>
  <c r="CN371" i="42"/>
  <c r="CO371" i="42"/>
  <c r="CP371" i="42"/>
  <c r="BO372" i="42"/>
  <c r="BP372" i="42"/>
  <c r="BQ372" i="42"/>
  <c r="BR372" i="42"/>
  <c r="BS372" i="42"/>
  <c r="BT372" i="42"/>
  <c r="BU372" i="42"/>
  <c r="BV372" i="42"/>
  <c r="BW372" i="42"/>
  <c r="BX372" i="42"/>
  <c r="BY372" i="42"/>
  <c r="BZ372" i="42"/>
  <c r="CA372" i="42"/>
  <c r="CB372" i="42"/>
  <c r="CC372" i="42"/>
  <c r="CD372" i="42"/>
  <c r="CE372" i="42"/>
  <c r="CF372" i="42"/>
  <c r="CG372" i="42"/>
  <c r="CH372" i="42"/>
  <c r="CI372" i="42"/>
  <c r="CJ372" i="42"/>
  <c r="CK372" i="42"/>
  <c r="CL372" i="42"/>
  <c r="CM372" i="42"/>
  <c r="CN372" i="42"/>
  <c r="CO372" i="42"/>
  <c r="CP372" i="42"/>
  <c r="BO373" i="42"/>
  <c r="BP373" i="42"/>
  <c r="BQ373" i="42"/>
  <c r="BR373" i="42"/>
  <c r="BS373" i="42"/>
  <c r="BT373" i="42"/>
  <c r="BU373" i="42"/>
  <c r="BV373" i="42"/>
  <c r="BW373" i="42"/>
  <c r="BX373" i="42"/>
  <c r="BY373" i="42"/>
  <c r="BZ373" i="42"/>
  <c r="CA373" i="42"/>
  <c r="CB373" i="42"/>
  <c r="CC373" i="42"/>
  <c r="CD373" i="42"/>
  <c r="CE373" i="42"/>
  <c r="CF373" i="42"/>
  <c r="CG373" i="42"/>
  <c r="CH373" i="42"/>
  <c r="CI373" i="42"/>
  <c r="CJ373" i="42"/>
  <c r="CK373" i="42"/>
  <c r="CL373" i="42"/>
  <c r="CM373" i="42"/>
  <c r="CN373" i="42"/>
  <c r="CO373" i="42"/>
  <c r="CP373" i="42"/>
  <c r="BO374" i="42"/>
  <c r="BP374" i="42"/>
  <c r="BQ374" i="42"/>
  <c r="BR374" i="42"/>
  <c r="BS374" i="42"/>
  <c r="BT374" i="42"/>
  <c r="BU374" i="42"/>
  <c r="BV374" i="42"/>
  <c r="BW374" i="42"/>
  <c r="BX374" i="42"/>
  <c r="BY374" i="42"/>
  <c r="BZ374" i="42"/>
  <c r="CA374" i="42"/>
  <c r="CB374" i="42"/>
  <c r="CC374" i="42"/>
  <c r="CD374" i="42"/>
  <c r="CE374" i="42"/>
  <c r="CF374" i="42"/>
  <c r="CG374" i="42"/>
  <c r="CH374" i="42"/>
  <c r="CI374" i="42"/>
  <c r="CJ374" i="42"/>
  <c r="CK374" i="42"/>
  <c r="CL374" i="42"/>
  <c r="CM374" i="42"/>
  <c r="CN374" i="42"/>
  <c r="CO374" i="42"/>
  <c r="CP374" i="42"/>
  <c r="BO375" i="42"/>
  <c r="BP375" i="42"/>
  <c r="BQ375" i="42"/>
  <c r="BR375" i="42"/>
  <c r="BS375" i="42"/>
  <c r="BT375" i="42"/>
  <c r="BU375" i="42"/>
  <c r="BV375" i="42"/>
  <c r="BW375" i="42"/>
  <c r="BX375" i="42"/>
  <c r="BY375" i="42"/>
  <c r="BZ375" i="42"/>
  <c r="CA375" i="42"/>
  <c r="CB375" i="42"/>
  <c r="CC375" i="42"/>
  <c r="CD375" i="42"/>
  <c r="CE375" i="42"/>
  <c r="CF375" i="42"/>
  <c r="CG375" i="42"/>
  <c r="CH375" i="42"/>
  <c r="CI375" i="42"/>
  <c r="CJ375" i="42"/>
  <c r="CK375" i="42"/>
  <c r="CL375" i="42"/>
  <c r="CM375" i="42"/>
  <c r="CN375" i="42"/>
  <c r="CO375" i="42"/>
  <c r="CP375" i="42"/>
  <c r="BO376" i="42"/>
  <c r="BP376" i="42"/>
  <c r="BQ376" i="42"/>
  <c r="BR376" i="42"/>
  <c r="BS376" i="42"/>
  <c r="BT376" i="42"/>
  <c r="BU376" i="42"/>
  <c r="BV376" i="42"/>
  <c r="BW376" i="42"/>
  <c r="BX376" i="42"/>
  <c r="BY376" i="42"/>
  <c r="BZ376" i="42"/>
  <c r="CA376" i="42"/>
  <c r="CB376" i="42"/>
  <c r="CC376" i="42"/>
  <c r="CD376" i="42"/>
  <c r="CE376" i="42"/>
  <c r="CF376" i="42"/>
  <c r="CG376" i="42"/>
  <c r="CH376" i="42"/>
  <c r="CI376" i="42"/>
  <c r="CJ376" i="42"/>
  <c r="CK376" i="42"/>
  <c r="CL376" i="42"/>
  <c r="CM376" i="42"/>
  <c r="CN376" i="42"/>
  <c r="CO376" i="42"/>
  <c r="CP376" i="42"/>
  <c r="BO377" i="42"/>
  <c r="BP377" i="42"/>
  <c r="BQ377" i="42"/>
  <c r="BR377" i="42"/>
  <c r="BS377" i="42"/>
  <c r="BT377" i="42"/>
  <c r="BU377" i="42"/>
  <c r="BV377" i="42"/>
  <c r="BW377" i="42"/>
  <c r="BX377" i="42"/>
  <c r="BY377" i="42"/>
  <c r="BZ377" i="42"/>
  <c r="CA377" i="42"/>
  <c r="CB377" i="42"/>
  <c r="CC377" i="42"/>
  <c r="CD377" i="42"/>
  <c r="CE377" i="42"/>
  <c r="CF377" i="42"/>
  <c r="CG377" i="42"/>
  <c r="CH377" i="42"/>
  <c r="CI377" i="42"/>
  <c r="CJ377" i="42"/>
  <c r="CK377" i="42"/>
  <c r="CL377" i="42"/>
  <c r="CM377" i="42"/>
  <c r="CN377" i="42"/>
  <c r="CO377" i="42"/>
  <c r="CP377" i="42"/>
  <c r="BO378" i="42"/>
  <c r="BP378" i="42"/>
  <c r="BQ378" i="42"/>
  <c r="BR378" i="42"/>
  <c r="BS378" i="42"/>
  <c r="BT378" i="42"/>
  <c r="BU378" i="42"/>
  <c r="BV378" i="42"/>
  <c r="BW378" i="42"/>
  <c r="BX378" i="42"/>
  <c r="BY378" i="42"/>
  <c r="BZ378" i="42"/>
  <c r="CA378" i="42"/>
  <c r="CB378" i="42"/>
  <c r="CC378" i="42"/>
  <c r="CD378" i="42"/>
  <c r="CE378" i="42"/>
  <c r="CF378" i="42"/>
  <c r="CG378" i="42"/>
  <c r="CH378" i="42"/>
  <c r="CI378" i="42"/>
  <c r="CJ378" i="42"/>
  <c r="CK378" i="42"/>
  <c r="CL378" i="42"/>
  <c r="CM378" i="42"/>
  <c r="CN378" i="42"/>
  <c r="CO378" i="42"/>
  <c r="CP378" i="42"/>
  <c r="BO379" i="42"/>
  <c r="BP379" i="42"/>
  <c r="BQ379" i="42"/>
  <c r="BR379" i="42"/>
  <c r="BS379" i="42"/>
  <c r="BT379" i="42"/>
  <c r="BU379" i="42"/>
  <c r="BV379" i="42"/>
  <c r="BW379" i="42"/>
  <c r="BX379" i="42"/>
  <c r="BY379" i="42"/>
  <c r="BZ379" i="42"/>
  <c r="CA379" i="42"/>
  <c r="CB379" i="42"/>
  <c r="CC379" i="42"/>
  <c r="CD379" i="42"/>
  <c r="CE379" i="42"/>
  <c r="CF379" i="42"/>
  <c r="CG379" i="42"/>
  <c r="CH379" i="42"/>
  <c r="CI379" i="42"/>
  <c r="CJ379" i="42"/>
  <c r="CK379" i="42"/>
  <c r="CL379" i="42"/>
  <c r="CM379" i="42"/>
  <c r="CN379" i="42"/>
  <c r="CO379" i="42"/>
  <c r="CP379" i="42"/>
  <c r="BO380" i="42"/>
  <c r="BP380" i="42"/>
  <c r="BQ380" i="42"/>
  <c r="BR380" i="42"/>
  <c r="BS380" i="42"/>
  <c r="BT380" i="42"/>
  <c r="BU380" i="42"/>
  <c r="BV380" i="42"/>
  <c r="BW380" i="42"/>
  <c r="BX380" i="42"/>
  <c r="BY380" i="42"/>
  <c r="BZ380" i="42"/>
  <c r="CA380" i="42"/>
  <c r="CB380" i="42"/>
  <c r="CC380" i="42"/>
  <c r="CD380" i="42"/>
  <c r="CE380" i="42"/>
  <c r="CF380" i="42"/>
  <c r="CG380" i="42"/>
  <c r="CH380" i="42"/>
  <c r="CI380" i="42"/>
  <c r="CJ380" i="42"/>
  <c r="CK380" i="42"/>
  <c r="CL380" i="42"/>
  <c r="CM380" i="42"/>
  <c r="CN380" i="42"/>
  <c r="CO380" i="42"/>
  <c r="CP380" i="42"/>
  <c r="BO381" i="42"/>
  <c r="BP381" i="42"/>
  <c r="BQ381" i="42"/>
  <c r="BR381" i="42"/>
  <c r="BS381" i="42"/>
  <c r="BT381" i="42"/>
  <c r="BU381" i="42"/>
  <c r="BV381" i="42"/>
  <c r="BW381" i="42"/>
  <c r="BX381" i="42"/>
  <c r="BY381" i="42"/>
  <c r="BZ381" i="42"/>
  <c r="CA381" i="42"/>
  <c r="CB381" i="42"/>
  <c r="CC381" i="42"/>
  <c r="CD381" i="42"/>
  <c r="CE381" i="42"/>
  <c r="CF381" i="42"/>
  <c r="CG381" i="42"/>
  <c r="CH381" i="42"/>
  <c r="CI381" i="42"/>
  <c r="CJ381" i="42"/>
  <c r="CK381" i="42"/>
  <c r="CL381" i="42"/>
  <c r="CM381" i="42"/>
  <c r="CN381" i="42"/>
  <c r="CO381" i="42"/>
  <c r="CP381" i="42"/>
  <c r="BO382" i="42"/>
  <c r="BP382" i="42"/>
  <c r="BQ382" i="42"/>
  <c r="BR382" i="42"/>
  <c r="BS382" i="42"/>
  <c r="BT382" i="42"/>
  <c r="BU382" i="42"/>
  <c r="BV382" i="42"/>
  <c r="BW382" i="42"/>
  <c r="BX382" i="42"/>
  <c r="BY382" i="42"/>
  <c r="BZ382" i="42"/>
  <c r="CA382" i="42"/>
  <c r="CB382" i="42"/>
  <c r="CC382" i="42"/>
  <c r="CD382" i="42"/>
  <c r="CE382" i="42"/>
  <c r="CF382" i="42"/>
  <c r="CG382" i="42"/>
  <c r="CH382" i="42"/>
  <c r="CI382" i="42"/>
  <c r="CJ382" i="42"/>
  <c r="CK382" i="42"/>
  <c r="CL382" i="42"/>
  <c r="CM382" i="42"/>
  <c r="CN382" i="42"/>
  <c r="CO382" i="42"/>
  <c r="CP382" i="42"/>
  <c r="BO383" i="42"/>
  <c r="BP383" i="42"/>
  <c r="BQ383" i="42"/>
  <c r="BR383" i="42"/>
  <c r="BS383" i="42"/>
  <c r="BT383" i="42"/>
  <c r="BU383" i="42"/>
  <c r="BV383" i="42"/>
  <c r="BW383" i="42"/>
  <c r="BX383" i="42"/>
  <c r="BY383" i="42"/>
  <c r="BZ383" i="42"/>
  <c r="CA383" i="42"/>
  <c r="CB383" i="42"/>
  <c r="CC383" i="42"/>
  <c r="CD383" i="42"/>
  <c r="CE383" i="42"/>
  <c r="CF383" i="42"/>
  <c r="CG383" i="42"/>
  <c r="CH383" i="42"/>
  <c r="CI383" i="42"/>
  <c r="CJ383" i="42"/>
  <c r="CK383" i="42"/>
  <c r="CL383" i="42"/>
  <c r="CM383" i="42"/>
  <c r="CN383" i="42"/>
  <c r="CO383" i="42"/>
  <c r="CP383" i="42"/>
  <c r="BO384" i="42"/>
  <c r="BP384" i="42"/>
  <c r="BQ384" i="42"/>
  <c r="BR384" i="42"/>
  <c r="BS384" i="42"/>
  <c r="BT384" i="42"/>
  <c r="BU384" i="42"/>
  <c r="BV384" i="42"/>
  <c r="BW384" i="42"/>
  <c r="BX384" i="42"/>
  <c r="BY384" i="42"/>
  <c r="BZ384" i="42"/>
  <c r="CA384" i="42"/>
  <c r="CB384" i="42"/>
  <c r="CC384" i="42"/>
  <c r="CD384" i="42"/>
  <c r="CE384" i="42"/>
  <c r="CF384" i="42"/>
  <c r="CG384" i="42"/>
  <c r="CH384" i="42"/>
  <c r="CI384" i="42"/>
  <c r="CJ384" i="42"/>
  <c r="CK384" i="42"/>
  <c r="CL384" i="42"/>
  <c r="CM384" i="42"/>
  <c r="CN384" i="42"/>
  <c r="CO384" i="42"/>
  <c r="CP384" i="42"/>
  <c r="BO385" i="42"/>
  <c r="BP385" i="42"/>
  <c r="BQ385" i="42"/>
  <c r="BR385" i="42"/>
  <c r="BS385" i="42"/>
  <c r="BT385" i="42"/>
  <c r="BU385" i="42"/>
  <c r="BV385" i="42"/>
  <c r="BW385" i="42"/>
  <c r="BX385" i="42"/>
  <c r="BY385" i="42"/>
  <c r="BZ385" i="42"/>
  <c r="CA385" i="42"/>
  <c r="CB385" i="42"/>
  <c r="CC385" i="42"/>
  <c r="CD385" i="42"/>
  <c r="CE385" i="42"/>
  <c r="CF385" i="42"/>
  <c r="CG385" i="42"/>
  <c r="CH385" i="42"/>
  <c r="CI385" i="42"/>
  <c r="CJ385" i="42"/>
  <c r="CK385" i="42"/>
  <c r="CL385" i="42"/>
  <c r="CM385" i="42"/>
  <c r="CN385" i="42"/>
  <c r="CO385" i="42"/>
  <c r="CP385" i="42"/>
  <c r="BO386" i="42"/>
  <c r="BP386" i="42"/>
  <c r="BQ386" i="42"/>
  <c r="BR386" i="42"/>
  <c r="BS386" i="42"/>
  <c r="BT386" i="42"/>
  <c r="BU386" i="42"/>
  <c r="BV386" i="42"/>
  <c r="BW386" i="42"/>
  <c r="BX386" i="42"/>
  <c r="BY386" i="42"/>
  <c r="BZ386" i="42"/>
  <c r="CA386" i="42"/>
  <c r="CB386" i="42"/>
  <c r="CC386" i="42"/>
  <c r="CD386" i="42"/>
  <c r="CE386" i="42"/>
  <c r="CF386" i="42"/>
  <c r="CG386" i="42"/>
  <c r="CH386" i="42"/>
  <c r="CI386" i="42"/>
  <c r="CJ386" i="42"/>
  <c r="CK386" i="42"/>
  <c r="CL386" i="42"/>
  <c r="CM386" i="42"/>
  <c r="CN386" i="42"/>
  <c r="CO386" i="42"/>
  <c r="CP386" i="42"/>
  <c r="BO387" i="42"/>
  <c r="BP387" i="42"/>
  <c r="BQ387" i="42"/>
  <c r="BR387" i="42"/>
  <c r="BS387" i="42"/>
  <c r="BT387" i="42"/>
  <c r="BU387" i="42"/>
  <c r="BV387" i="42"/>
  <c r="BW387" i="42"/>
  <c r="BX387" i="42"/>
  <c r="BY387" i="42"/>
  <c r="BZ387" i="42"/>
  <c r="CA387" i="42"/>
  <c r="CB387" i="42"/>
  <c r="CC387" i="42"/>
  <c r="CD387" i="42"/>
  <c r="CE387" i="42"/>
  <c r="CF387" i="42"/>
  <c r="CG387" i="42"/>
  <c r="CH387" i="42"/>
  <c r="CI387" i="42"/>
  <c r="CJ387" i="42"/>
  <c r="CK387" i="42"/>
  <c r="CL387" i="42"/>
  <c r="CM387" i="42"/>
  <c r="CN387" i="42"/>
  <c r="CO387" i="42"/>
  <c r="CP387" i="42"/>
  <c r="BO388" i="42"/>
  <c r="BP388" i="42"/>
  <c r="BQ388" i="42"/>
  <c r="BR388" i="42"/>
  <c r="BS388" i="42"/>
  <c r="BT388" i="42"/>
  <c r="BU388" i="42"/>
  <c r="BV388" i="42"/>
  <c r="BW388" i="42"/>
  <c r="BX388" i="42"/>
  <c r="BY388" i="42"/>
  <c r="BZ388" i="42"/>
  <c r="CA388" i="42"/>
  <c r="CB388" i="42"/>
  <c r="CC388" i="42"/>
  <c r="CD388" i="42"/>
  <c r="CE388" i="42"/>
  <c r="CF388" i="42"/>
  <c r="CG388" i="42"/>
  <c r="CH388" i="42"/>
  <c r="CI388" i="42"/>
  <c r="CJ388" i="42"/>
  <c r="CK388" i="42"/>
  <c r="CL388" i="42"/>
  <c r="CM388" i="42"/>
  <c r="CN388" i="42"/>
  <c r="CO388" i="42"/>
  <c r="CP388" i="42"/>
  <c r="BO389" i="42"/>
  <c r="BP389" i="42"/>
  <c r="BQ389" i="42"/>
  <c r="BR389" i="42"/>
  <c r="BS389" i="42"/>
  <c r="BT389" i="42"/>
  <c r="BU389" i="42"/>
  <c r="BV389" i="42"/>
  <c r="BW389" i="42"/>
  <c r="BX389" i="42"/>
  <c r="BY389" i="42"/>
  <c r="BZ389" i="42"/>
  <c r="CA389" i="42"/>
  <c r="CB389" i="42"/>
  <c r="CC389" i="42"/>
  <c r="CD389" i="42"/>
  <c r="CE389" i="42"/>
  <c r="CF389" i="42"/>
  <c r="CG389" i="42"/>
  <c r="CH389" i="42"/>
  <c r="CI389" i="42"/>
  <c r="CJ389" i="42"/>
  <c r="CK389" i="42"/>
  <c r="CL389" i="42"/>
  <c r="CM389" i="42"/>
  <c r="CN389" i="42"/>
  <c r="CO389" i="42"/>
  <c r="CP389" i="42"/>
  <c r="BO390" i="42"/>
  <c r="BP390" i="42"/>
  <c r="BQ390" i="42"/>
  <c r="BR390" i="42"/>
  <c r="BS390" i="42"/>
  <c r="BT390" i="42"/>
  <c r="BU390" i="42"/>
  <c r="BV390" i="42"/>
  <c r="BW390" i="42"/>
  <c r="BX390" i="42"/>
  <c r="BY390" i="42"/>
  <c r="BZ390" i="42"/>
  <c r="CA390" i="42"/>
  <c r="CB390" i="42"/>
  <c r="CC390" i="42"/>
  <c r="CD390" i="42"/>
  <c r="CE390" i="42"/>
  <c r="CF390" i="42"/>
  <c r="CG390" i="42"/>
  <c r="CH390" i="42"/>
  <c r="CI390" i="42"/>
  <c r="CJ390" i="42"/>
  <c r="CK390" i="42"/>
  <c r="CL390" i="42"/>
  <c r="CM390" i="42"/>
  <c r="CN390" i="42"/>
  <c r="CO390" i="42"/>
  <c r="CP390" i="42"/>
  <c r="BO391" i="42"/>
  <c r="BP391" i="42"/>
  <c r="BQ391" i="42"/>
  <c r="BR391" i="42"/>
  <c r="BS391" i="42"/>
  <c r="BT391" i="42"/>
  <c r="BU391" i="42"/>
  <c r="BV391" i="42"/>
  <c r="BW391" i="42"/>
  <c r="BX391" i="42"/>
  <c r="BY391" i="42"/>
  <c r="BZ391" i="42"/>
  <c r="CA391" i="42"/>
  <c r="CB391" i="42"/>
  <c r="CC391" i="42"/>
  <c r="CD391" i="42"/>
  <c r="CE391" i="42"/>
  <c r="CF391" i="42"/>
  <c r="CG391" i="42"/>
  <c r="CH391" i="42"/>
  <c r="CI391" i="42"/>
  <c r="CJ391" i="42"/>
  <c r="CK391" i="42"/>
  <c r="CL391" i="42"/>
  <c r="CM391" i="42"/>
  <c r="CN391" i="42"/>
  <c r="CO391" i="42"/>
  <c r="CP391" i="42"/>
  <c r="BO392" i="42"/>
  <c r="BP392" i="42"/>
  <c r="BQ392" i="42"/>
  <c r="BR392" i="42"/>
  <c r="BS392" i="42"/>
  <c r="BT392" i="42"/>
  <c r="BU392" i="42"/>
  <c r="BV392" i="42"/>
  <c r="BW392" i="42"/>
  <c r="BX392" i="42"/>
  <c r="BY392" i="42"/>
  <c r="BZ392" i="42"/>
  <c r="CA392" i="42"/>
  <c r="CB392" i="42"/>
  <c r="CC392" i="42"/>
  <c r="CD392" i="42"/>
  <c r="CE392" i="42"/>
  <c r="CF392" i="42"/>
  <c r="CG392" i="42"/>
  <c r="CH392" i="42"/>
  <c r="CI392" i="42"/>
  <c r="CJ392" i="42"/>
  <c r="CK392" i="42"/>
  <c r="CL392" i="42"/>
  <c r="CM392" i="42"/>
  <c r="CN392" i="42"/>
  <c r="CO392" i="42"/>
  <c r="CP392" i="42"/>
  <c r="BO393" i="42"/>
  <c r="BP393" i="42"/>
  <c r="BQ393" i="42"/>
  <c r="BR393" i="42"/>
  <c r="BS393" i="42"/>
  <c r="BT393" i="42"/>
  <c r="BU393" i="42"/>
  <c r="BV393" i="42"/>
  <c r="BW393" i="42"/>
  <c r="BX393" i="42"/>
  <c r="BY393" i="42"/>
  <c r="BZ393" i="42"/>
  <c r="CA393" i="42"/>
  <c r="CB393" i="42"/>
  <c r="CC393" i="42"/>
  <c r="CD393" i="42"/>
  <c r="CE393" i="42"/>
  <c r="CF393" i="42"/>
  <c r="CG393" i="42"/>
  <c r="CH393" i="42"/>
  <c r="CI393" i="42"/>
  <c r="CJ393" i="42"/>
  <c r="CK393" i="42"/>
  <c r="CL393" i="42"/>
  <c r="CM393" i="42"/>
  <c r="CN393" i="42"/>
  <c r="CO393" i="42"/>
  <c r="CP393" i="42"/>
  <c r="BO394" i="42"/>
  <c r="BP394" i="42"/>
  <c r="BQ394" i="42"/>
  <c r="BR394" i="42"/>
  <c r="BS394" i="42"/>
  <c r="BT394" i="42"/>
  <c r="BU394" i="42"/>
  <c r="BV394" i="42"/>
  <c r="BW394" i="42"/>
  <c r="BX394" i="42"/>
  <c r="BY394" i="42"/>
  <c r="BZ394" i="42"/>
  <c r="CA394" i="42"/>
  <c r="CB394" i="42"/>
  <c r="CC394" i="42"/>
  <c r="CD394" i="42"/>
  <c r="CE394" i="42"/>
  <c r="CF394" i="42"/>
  <c r="CG394" i="42"/>
  <c r="CH394" i="42"/>
  <c r="CI394" i="42"/>
  <c r="CJ394" i="42"/>
  <c r="CK394" i="42"/>
  <c r="CL394" i="42"/>
  <c r="CM394" i="42"/>
  <c r="CN394" i="42"/>
  <c r="CO394" i="42"/>
  <c r="CP394" i="42"/>
  <c r="BO395" i="42"/>
  <c r="BP395" i="42"/>
  <c r="BQ395" i="42"/>
  <c r="BR395" i="42"/>
  <c r="BS395" i="42"/>
  <c r="BT395" i="42"/>
  <c r="BU395" i="42"/>
  <c r="BV395" i="42"/>
  <c r="BW395" i="42"/>
  <c r="BX395" i="42"/>
  <c r="BY395" i="42"/>
  <c r="BZ395" i="42"/>
  <c r="CA395" i="42"/>
  <c r="CB395" i="42"/>
  <c r="CC395" i="42"/>
  <c r="CD395" i="42"/>
  <c r="CE395" i="42"/>
  <c r="CF395" i="42"/>
  <c r="CG395" i="42"/>
  <c r="CH395" i="42"/>
  <c r="CI395" i="42"/>
  <c r="CJ395" i="42"/>
  <c r="CK395" i="42"/>
  <c r="CL395" i="42"/>
  <c r="CM395" i="42"/>
  <c r="CN395" i="42"/>
  <c r="CO395" i="42"/>
  <c r="CP395" i="42"/>
  <c r="BO396" i="42"/>
  <c r="BP396" i="42"/>
  <c r="BQ396" i="42"/>
  <c r="BR396" i="42"/>
  <c r="BS396" i="42"/>
  <c r="BT396" i="42"/>
  <c r="BU396" i="42"/>
  <c r="BV396" i="42"/>
  <c r="BW396" i="42"/>
  <c r="BX396" i="42"/>
  <c r="BY396" i="42"/>
  <c r="BZ396" i="42"/>
  <c r="CA396" i="42"/>
  <c r="CB396" i="42"/>
  <c r="CC396" i="42"/>
  <c r="CD396" i="42"/>
  <c r="CE396" i="42"/>
  <c r="CF396" i="42"/>
  <c r="CG396" i="42"/>
  <c r="CH396" i="42"/>
  <c r="CI396" i="42"/>
  <c r="CJ396" i="42"/>
  <c r="CK396" i="42"/>
  <c r="CL396" i="42"/>
  <c r="CM396" i="42"/>
  <c r="CN396" i="42"/>
  <c r="CO396" i="42"/>
  <c r="CP396" i="42"/>
  <c r="BO397" i="42"/>
  <c r="BP397" i="42"/>
  <c r="BQ397" i="42"/>
  <c r="BR397" i="42"/>
  <c r="BS397" i="42"/>
  <c r="BT397" i="42"/>
  <c r="BU397" i="42"/>
  <c r="BV397" i="42"/>
  <c r="BW397" i="42"/>
  <c r="BX397" i="42"/>
  <c r="BY397" i="42"/>
  <c r="BZ397" i="42"/>
  <c r="CA397" i="42"/>
  <c r="CB397" i="42"/>
  <c r="CC397" i="42"/>
  <c r="CD397" i="42"/>
  <c r="CE397" i="42"/>
  <c r="CF397" i="42"/>
  <c r="CG397" i="42"/>
  <c r="CH397" i="42"/>
  <c r="CI397" i="42"/>
  <c r="CJ397" i="42"/>
  <c r="CK397" i="42"/>
  <c r="CL397" i="42"/>
  <c r="CM397" i="42"/>
  <c r="CN397" i="42"/>
  <c r="CO397" i="42"/>
  <c r="CP397" i="42"/>
  <c r="BO398" i="42"/>
  <c r="BP398" i="42"/>
  <c r="BQ398" i="42"/>
  <c r="BR398" i="42"/>
  <c r="BS398" i="42"/>
  <c r="BT398" i="42"/>
  <c r="BU398" i="42"/>
  <c r="BV398" i="42"/>
  <c r="BW398" i="42"/>
  <c r="BX398" i="42"/>
  <c r="BY398" i="42"/>
  <c r="BZ398" i="42"/>
  <c r="CA398" i="42"/>
  <c r="CB398" i="42"/>
  <c r="CC398" i="42"/>
  <c r="CD398" i="42"/>
  <c r="CE398" i="42"/>
  <c r="CF398" i="42"/>
  <c r="CG398" i="42"/>
  <c r="CH398" i="42"/>
  <c r="CI398" i="42"/>
  <c r="CJ398" i="42"/>
  <c r="CK398" i="42"/>
  <c r="CL398" i="42"/>
  <c r="CM398" i="42"/>
  <c r="CN398" i="42"/>
  <c r="CO398" i="42"/>
  <c r="CP398" i="42"/>
  <c r="BO399" i="42"/>
  <c r="BP399" i="42"/>
  <c r="BQ399" i="42"/>
  <c r="BR399" i="42"/>
  <c r="BS399" i="42"/>
  <c r="BT399" i="42"/>
  <c r="BU399" i="42"/>
  <c r="BV399" i="42"/>
  <c r="BW399" i="42"/>
  <c r="BX399" i="42"/>
  <c r="BY399" i="42"/>
  <c r="BZ399" i="42"/>
  <c r="CA399" i="42"/>
  <c r="CB399" i="42"/>
  <c r="CC399" i="42"/>
  <c r="CD399" i="42"/>
  <c r="CE399" i="42"/>
  <c r="CF399" i="42"/>
  <c r="CG399" i="42"/>
  <c r="CH399" i="42"/>
  <c r="CI399" i="42"/>
  <c r="CJ399" i="42"/>
  <c r="CK399" i="42"/>
  <c r="CL399" i="42"/>
  <c r="CM399" i="42"/>
  <c r="CN399" i="42"/>
  <c r="CO399" i="42"/>
  <c r="CP399" i="42"/>
  <c r="BO400" i="42"/>
  <c r="BP400" i="42"/>
  <c r="BQ400" i="42"/>
  <c r="BR400" i="42"/>
  <c r="BS400" i="42"/>
  <c r="BT400" i="42"/>
  <c r="BU400" i="42"/>
  <c r="BV400" i="42"/>
  <c r="BW400" i="42"/>
  <c r="BX400" i="42"/>
  <c r="BY400" i="42"/>
  <c r="BZ400" i="42"/>
  <c r="CA400" i="42"/>
  <c r="CB400" i="42"/>
  <c r="CC400" i="42"/>
  <c r="CD400" i="42"/>
  <c r="CE400" i="42"/>
  <c r="CF400" i="42"/>
  <c r="CG400" i="42"/>
  <c r="CH400" i="42"/>
  <c r="CI400" i="42"/>
  <c r="CJ400" i="42"/>
  <c r="CK400" i="42"/>
  <c r="CL400" i="42"/>
  <c r="CM400" i="42"/>
  <c r="CN400" i="42"/>
  <c r="CO400" i="42"/>
  <c r="CP400" i="42"/>
  <c r="BO401" i="42"/>
  <c r="BP401" i="42"/>
  <c r="BQ401" i="42"/>
  <c r="BR401" i="42"/>
  <c r="BS401" i="42"/>
  <c r="BT401" i="42"/>
  <c r="BU401" i="42"/>
  <c r="BV401" i="42"/>
  <c r="BW401" i="42"/>
  <c r="BX401" i="42"/>
  <c r="BY401" i="42"/>
  <c r="BZ401" i="42"/>
  <c r="CA401" i="42"/>
  <c r="CB401" i="42"/>
  <c r="CC401" i="42"/>
  <c r="CD401" i="42"/>
  <c r="CE401" i="42"/>
  <c r="CF401" i="42"/>
  <c r="CG401" i="42"/>
  <c r="CH401" i="42"/>
  <c r="CI401" i="42"/>
  <c r="CJ401" i="42"/>
  <c r="CK401" i="42"/>
  <c r="CL401" i="42"/>
  <c r="CM401" i="42"/>
  <c r="CN401" i="42"/>
  <c r="CO401" i="42"/>
  <c r="CP401" i="42"/>
  <c r="BO402" i="42"/>
  <c r="BP402" i="42"/>
  <c r="BQ402" i="42"/>
  <c r="BR402" i="42"/>
  <c r="BS402" i="42"/>
  <c r="BT402" i="42"/>
  <c r="BU402" i="42"/>
  <c r="BV402" i="42"/>
  <c r="BW402" i="42"/>
  <c r="BX402" i="42"/>
  <c r="BY402" i="42"/>
  <c r="BZ402" i="42"/>
  <c r="CA402" i="42"/>
  <c r="CB402" i="42"/>
  <c r="CC402" i="42"/>
  <c r="CD402" i="42"/>
  <c r="CE402" i="42"/>
  <c r="CF402" i="42"/>
  <c r="CG402" i="42"/>
  <c r="CH402" i="42"/>
  <c r="CI402" i="42"/>
  <c r="CJ402" i="42"/>
  <c r="CK402" i="42"/>
  <c r="CL402" i="42"/>
  <c r="CM402" i="42"/>
  <c r="CN402" i="42"/>
  <c r="CO402" i="42"/>
  <c r="CP402" i="42"/>
  <c r="BO403" i="42"/>
  <c r="BP403" i="42"/>
  <c r="BQ403" i="42"/>
  <c r="BR403" i="42"/>
  <c r="BS403" i="42"/>
  <c r="BT403" i="42"/>
  <c r="BU403" i="42"/>
  <c r="BV403" i="42"/>
  <c r="BW403" i="42"/>
  <c r="BX403" i="42"/>
  <c r="BY403" i="42"/>
  <c r="BZ403" i="42"/>
  <c r="CA403" i="42"/>
  <c r="CB403" i="42"/>
  <c r="CC403" i="42"/>
  <c r="CD403" i="42"/>
  <c r="CE403" i="42"/>
  <c r="CF403" i="42"/>
  <c r="CG403" i="42"/>
  <c r="CH403" i="42"/>
  <c r="CI403" i="42"/>
  <c r="CJ403" i="42"/>
  <c r="CK403" i="42"/>
  <c r="CL403" i="42"/>
  <c r="CM403" i="42"/>
  <c r="CN403" i="42"/>
  <c r="CO403" i="42"/>
  <c r="CP403" i="42"/>
  <c r="BO404" i="42"/>
  <c r="BP404" i="42"/>
  <c r="BQ404" i="42"/>
  <c r="BR404" i="42"/>
  <c r="BS404" i="42"/>
  <c r="BT404" i="42"/>
  <c r="BU404" i="42"/>
  <c r="BV404" i="42"/>
  <c r="BW404" i="42"/>
  <c r="BX404" i="42"/>
  <c r="BY404" i="42"/>
  <c r="BZ404" i="42"/>
  <c r="CA404" i="42"/>
  <c r="CB404" i="42"/>
  <c r="CC404" i="42"/>
  <c r="CD404" i="42"/>
  <c r="CE404" i="42"/>
  <c r="CF404" i="42"/>
  <c r="CG404" i="42"/>
  <c r="CH404" i="42"/>
  <c r="CI404" i="42"/>
  <c r="CJ404" i="42"/>
  <c r="CK404" i="42"/>
  <c r="CL404" i="42"/>
  <c r="CM404" i="42"/>
  <c r="CN404" i="42"/>
  <c r="CO404" i="42"/>
  <c r="CP404" i="42"/>
  <c r="BO405" i="42"/>
  <c r="BP405" i="42"/>
  <c r="BQ405" i="42"/>
  <c r="BR405" i="42"/>
  <c r="BS405" i="42"/>
  <c r="BT405" i="42"/>
  <c r="BU405" i="42"/>
  <c r="BV405" i="42"/>
  <c r="BW405" i="42"/>
  <c r="BX405" i="42"/>
  <c r="BY405" i="42"/>
  <c r="BZ405" i="42"/>
  <c r="CA405" i="42"/>
  <c r="CB405" i="42"/>
  <c r="CC405" i="42"/>
  <c r="CD405" i="42"/>
  <c r="CE405" i="42"/>
  <c r="CF405" i="42"/>
  <c r="CG405" i="42"/>
  <c r="CH405" i="42"/>
  <c r="CI405" i="42"/>
  <c r="CJ405" i="42"/>
  <c r="CK405" i="42"/>
  <c r="CL405" i="42"/>
  <c r="CM405" i="42"/>
  <c r="CN405" i="42"/>
  <c r="CO405" i="42"/>
  <c r="CP405" i="42"/>
  <c r="BO406" i="42"/>
  <c r="BP406" i="42"/>
  <c r="BQ406" i="42"/>
  <c r="BR406" i="42"/>
  <c r="BS406" i="42"/>
  <c r="BT406" i="42"/>
  <c r="BU406" i="42"/>
  <c r="BV406" i="42"/>
  <c r="BW406" i="42"/>
  <c r="BX406" i="42"/>
  <c r="BY406" i="42"/>
  <c r="BZ406" i="42"/>
  <c r="CA406" i="42"/>
  <c r="CB406" i="42"/>
  <c r="CC406" i="42"/>
  <c r="CD406" i="42"/>
  <c r="CE406" i="42"/>
  <c r="CF406" i="42"/>
  <c r="CG406" i="42"/>
  <c r="CH406" i="42"/>
  <c r="CI406" i="42"/>
  <c r="CJ406" i="42"/>
  <c r="CK406" i="42"/>
  <c r="CL406" i="42"/>
  <c r="CM406" i="42"/>
  <c r="CN406" i="42"/>
  <c r="CO406" i="42"/>
  <c r="CP406" i="42"/>
  <c r="BO407" i="42"/>
  <c r="BP407" i="42"/>
  <c r="BQ407" i="42"/>
  <c r="BR407" i="42"/>
  <c r="BS407" i="42"/>
  <c r="BT407" i="42"/>
  <c r="BU407" i="42"/>
  <c r="BV407" i="42"/>
  <c r="BW407" i="42"/>
  <c r="BX407" i="42"/>
  <c r="BY407" i="42"/>
  <c r="BZ407" i="42"/>
  <c r="CA407" i="42"/>
  <c r="CB407" i="42"/>
  <c r="CC407" i="42"/>
  <c r="CD407" i="42"/>
  <c r="CE407" i="42"/>
  <c r="CF407" i="42"/>
  <c r="CG407" i="42"/>
  <c r="CH407" i="42"/>
  <c r="CI407" i="42"/>
  <c r="CJ407" i="42"/>
  <c r="CK407" i="42"/>
  <c r="CL407" i="42"/>
  <c r="CM407" i="42"/>
  <c r="CN407" i="42"/>
  <c r="CO407" i="42"/>
  <c r="CP407" i="42"/>
  <c r="BO408" i="42"/>
  <c r="BP408" i="42"/>
  <c r="BQ408" i="42"/>
  <c r="BR408" i="42"/>
  <c r="BS408" i="42"/>
  <c r="BT408" i="42"/>
  <c r="BU408" i="42"/>
  <c r="BV408" i="42"/>
  <c r="BW408" i="42"/>
  <c r="BX408" i="42"/>
  <c r="BY408" i="42"/>
  <c r="BZ408" i="42"/>
  <c r="CA408" i="42"/>
  <c r="CB408" i="42"/>
  <c r="CC408" i="42"/>
  <c r="CD408" i="42"/>
  <c r="CE408" i="42"/>
  <c r="CF408" i="42"/>
  <c r="CG408" i="42"/>
  <c r="CH408" i="42"/>
  <c r="CI408" i="42"/>
  <c r="CJ408" i="42"/>
  <c r="CK408" i="42"/>
  <c r="CL408" i="42"/>
  <c r="CM408" i="42"/>
  <c r="CN408" i="42"/>
  <c r="CO408" i="42"/>
  <c r="CP408" i="42"/>
  <c r="BO409" i="42"/>
  <c r="BP409" i="42"/>
  <c r="BQ409" i="42"/>
  <c r="BR409" i="42"/>
  <c r="BS409" i="42"/>
  <c r="BT409" i="42"/>
  <c r="BU409" i="42"/>
  <c r="BV409" i="42"/>
  <c r="BW409" i="42"/>
  <c r="BX409" i="42"/>
  <c r="BY409" i="42"/>
  <c r="BZ409" i="42"/>
  <c r="CA409" i="42"/>
  <c r="CB409" i="42"/>
  <c r="CC409" i="42"/>
  <c r="CD409" i="42"/>
  <c r="CE409" i="42"/>
  <c r="CF409" i="42"/>
  <c r="CG409" i="42"/>
  <c r="CH409" i="42"/>
  <c r="CI409" i="42"/>
  <c r="CJ409" i="42"/>
  <c r="CK409" i="42"/>
  <c r="CL409" i="42"/>
  <c r="CM409" i="42"/>
  <c r="CN409" i="42"/>
  <c r="CO409" i="42"/>
  <c r="CP409" i="42"/>
  <c r="BO410" i="42"/>
  <c r="BP410" i="42"/>
  <c r="BQ410" i="42"/>
  <c r="BR410" i="42"/>
  <c r="BS410" i="42"/>
  <c r="BT410" i="42"/>
  <c r="BU410" i="42"/>
  <c r="BV410" i="42"/>
  <c r="BW410" i="42"/>
  <c r="BX410" i="42"/>
  <c r="BY410" i="42"/>
  <c r="BZ410" i="42"/>
  <c r="CA410" i="42"/>
  <c r="CB410" i="42"/>
  <c r="CC410" i="42"/>
  <c r="CD410" i="42"/>
  <c r="CE410" i="42"/>
  <c r="CF410" i="42"/>
  <c r="CG410" i="42"/>
  <c r="CH410" i="42"/>
  <c r="CI410" i="42"/>
  <c r="CJ410" i="42"/>
  <c r="CK410" i="42"/>
  <c r="CL410" i="42"/>
  <c r="CM410" i="42"/>
  <c r="CN410" i="42"/>
  <c r="CO410" i="42"/>
  <c r="CP410" i="42"/>
  <c r="BO411" i="42"/>
  <c r="BP411" i="42"/>
  <c r="BQ411" i="42"/>
  <c r="BR411" i="42"/>
  <c r="BS411" i="42"/>
  <c r="BT411" i="42"/>
  <c r="BU411" i="42"/>
  <c r="BV411" i="42"/>
  <c r="BW411" i="42"/>
  <c r="BX411" i="42"/>
  <c r="BY411" i="42"/>
  <c r="BZ411" i="42"/>
  <c r="CA411" i="42"/>
  <c r="CB411" i="42"/>
  <c r="CC411" i="42"/>
  <c r="CD411" i="42"/>
  <c r="CE411" i="42"/>
  <c r="CF411" i="42"/>
  <c r="CG411" i="42"/>
  <c r="CH411" i="42"/>
  <c r="CI411" i="42"/>
  <c r="CJ411" i="42"/>
  <c r="CK411" i="42"/>
  <c r="CL411" i="42"/>
  <c r="CM411" i="42"/>
  <c r="CN411" i="42"/>
  <c r="CO411" i="42"/>
  <c r="CP411" i="42"/>
  <c r="BO412" i="42"/>
  <c r="BP412" i="42"/>
  <c r="BQ412" i="42"/>
  <c r="BR412" i="42"/>
  <c r="BS412" i="42"/>
  <c r="BT412" i="42"/>
  <c r="BU412" i="42"/>
  <c r="BV412" i="42"/>
  <c r="BW412" i="42"/>
  <c r="BX412" i="42"/>
  <c r="BY412" i="42"/>
  <c r="BZ412" i="42"/>
  <c r="CA412" i="42"/>
  <c r="CB412" i="42"/>
  <c r="CC412" i="42"/>
  <c r="CD412" i="42"/>
  <c r="CE412" i="42"/>
  <c r="CF412" i="42"/>
  <c r="CG412" i="42"/>
  <c r="CH412" i="42"/>
  <c r="CI412" i="42"/>
  <c r="CJ412" i="42"/>
  <c r="CK412" i="42"/>
  <c r="CL412" i="42"/>
  <c r="CM412" i="42"/>
  <c r="CN412" i="42"/>
  <c r="CO412" i="42"/>
  <c r="CP412" i="42"/>
  <c r="BO413" i="42"/>
  <c r="BP413" i="42"/>
  <c r="BQ413" i="42"/>
  <c r="BR413" i="42"/>
  <c r="BS413" i="42"/>
  <c r="BT413" i="42"/>
  <c r="BU413" i="42"/>
  <c r="BV413" i="42"/>
  <c r="BW413" i="42"/>
  <c r="BX413" i="42"/>
  <c r="BY413" i="42"/>
  <c r="BZ413" i="42"/>
  <c r="CA413" i="42"/>
  <c r="CB413" i="42"/>
  <c r="CC413" i="42"/>
  <c r="CD413" i="42"/>
  <c r="CE413" i="42"/>
  <c r="CF413" i="42"/>
  <c r="CG413" i="42"/>
  <c r="CH413" i="42"/>
  <c r="CI413" i="42"/>
  <c r="CJ413" i="42"/>
  <c r="CK413" i="42"/>
  <c r="CL413" i="42"/>
  <c r="CM413" i="42"/>
  <c r="CN413" i="42"/>
  <c r="CO413" i="42"/>
  <c r="CP413" i="42"/>
  <c r="BO414" i="42"/>
  <c r="BP414" i="42"/>
  <c r="BQ414" i="42"/>
  <c r="BR414" i="42"/>
  <c r="BS414" i="42"/>
  <c r="BT414" i="42"/>
  <c r="BU414" i="42"/>
  <c r="BV414" i="42"/>
  <c r="BW414" i="42"/>
  <c r="BX414" i="42"/>
  <c r="BY414" i="42"/>
  <c r="BZ414" i="42"/>
  <c r="CA414" i="42"/>
  <c r="CB414" i="42"/>
  <c r="CC414" i="42"/>
  <c r="CD414" i="42"/>
  <c r="CE414" i="42"/>
  <c r="CF414" i="42"/>
  <c r="CG414" i="42"/>
  <c r="CH414" i="42"/>
  <c r="CI414" i="42"/>
  <c r="CJ414" i="42"/>
  <c r="CK414" i="42"/>
  <c r="CL414" i="42"/>
  <c r="CM414" i="42"/>
  <c r="CN414" i="42"/>
  <c r="CO414" i="42"/>
  <c r="CP414" i="42"/>
  <c r="BO415" i="42"/>
  <c r="BP415" i="42"/>
  <c r="BQ415" i="42"/>
  <c r="BR415" i="42"/>
  <c r="BS415" i="42"/>
  <c r="BT415" i="42"/>
  <c r="BU415" i="42"/>
  <c r="BV415" i="42"/>
  <c r="BW415" i="42"/>
  <c r="BX415" i="42"/>
  <c r="BY415" i="42"/>
  <c r="BZ415" i="42"/>
  <c r="CA415" i="42"/>
  <c r="CB415" i="42"/>
  <c r="CC415" i="42"/>
  <c r="CD415" i="42"/>
  <c r="CE415" i="42"/>
  <c r="CF415" i="42"/>
  <c r="CG415" i="42"/>
  <c r="CH415" i="42"/>
  <c r="CI415" i="42"/>
  <c r="CJ415" i="42"/>
  <c r="CK415" i="42"/>
  <c r="CL415" i="42"/>
  <c r="CM415" i="42"/>
  <c r="CN415" i="42"/>
  <c r="CO415" i="42"/>
  <c r="CP415" i="42"/>
  <c r="BO416" i="42"/>
  <c r="BP416" i="42"/>
  <c r="BQ416" i="42"/>
  <c r="BR416" i="42"/>
  <c r="BS416" i="42"/>
  <c r="BT416" i="42"/>
  <c r="BU416" i="42"/>
  <c r="BV416" i="42"/>
  <c r="BW416" i="42"/>
  <c r="BX416" i="42"/>
  <c r="BY416" i="42"/>
  <c r="BZ416" i="42"/>
  <c r="CA416" i="42"/>
  <c r="CB416" i="42"/>
  <c r="CC416" i="42"/>
  <c r="CD416" i="42"/>
  <c r="CE416" i="42"/>
  <c r="CF416" i="42"/>
  <c r="CG416" i="42"/>
  <c r="CH416" i="42"/>
  <c r="CI416" i="42"/>
  <c r="CJ416" i="42"/>
  <c r="CK416" i="42"/>
  <c r="CL416" i="42"/>
  <c r="CM416" i="42"/>
  <c r="CN416" i="42"/>
  <c r="CO416" i="42"/>
  <c r="CP416" i="42"/>
  <c r="BO417" i="42"/>
  <c r="BP417" i="42"/>
  <c r="BQ417" i="42"/>
  <c r="BR417" i="42"/>
  <c r="BS417" i="42"/>
  <c r="BT417" i="42"/>
  <c r="BU417" i="42"/>
  <c r="BV417" i="42"/>
  <c r="BW417" i="42"/>
  <c r="BX417" i="42"/>
  <c r="BY417" i="42"/>
  <c r="BZ417" i="42"/>
  <c r="CA417" i="42"/>
  <c r="CB417" i="42"/>
  <c r="CC417" i="42"/>
  <c r="CD417" i="42"/>
  <c r="CE417" i="42"/>
  <c r="CF417" i="42"/>
  <c r="CG417" i="42"/>
  <c r="CH417" i="42"/>
  <c r="CI417" i="42"/>
  <c r="CJ417" i="42"/>
  <c r="CK417" i="42"/>
  <c r="CL417" i="42"/>
  <c r="CM417" i="42"/>
  <c r="CN417" i="42"/>
  <c r="CO417" i="42"/>
  <c r="CP417" i="42"/>
  <c r="BO418" i="42"/>
  <c r="BP418" i="42"/>
  <c r="BQ418" i="42"/>
  <c r="BR418" i="42"/>
  <c r="BS418" i="42"/>
  <c r="BT418" i="42"/>
  <c r="BU418" i="42"/>
  <c r="BV418" i="42"/>
  <c r="BW418" i="42"/>
  <c r="BX418" i="42"/>
  <c r="BY418" i="42"/>
  <c r="BZ418" i="42"/>
  <c r="CA418" i="42"/>
  <c r="CB418" i="42"/>
  <c r="CC418" i="42"/>
  <c r="CD418" i="42"/>
  <c r="CE418" i="42"/>
  <c r="CF418" i="42"/>
  <c r="CG418" i="42"/>
  <c r="CH418" i="42"/>
  <c r="CI418" i="42"/>
  <c r="CJ418" i="42"/>
  <c r="CK418" i="42"/>
  <c r="CL418" i="42"/>
  <c r="CM418" i="42"/>
  <c r="CN418" i="42"/>
  <c r="CO418" i="42"/>
  <c r="CP418" i="42"/>
  <c r="BO419" i="42"/>
  <c r="BP419" i="42"/>
  <c r="BQ419" i="42"/>
  <c r="BR419" i="42"/>
  <c r="BS419" i="42"/>
  <c r="BT419" i="42"/>
  <c r="BU419" i="42"/>
  <c r="BV419" i="42"/>
  <c r="BW419" i="42"/>
  <c r="BX419" i="42"/>
  <c r="BY419" i="42"/>
  <c r="BZ419" i="42"/>
  <c r="CA419" i="42"/>
  <c r="CB419" i="42"/>
  <c r="CC419" i="42"/>
  <c r="CD419" i="42"/>
  <c r="CE419" i="42"/>
  <c r="CF419" i="42"/>
  <c r="CG419" i="42"/>
  <c r="CH419" i="42"/>
  <c r="CI419" i="42"/>
  <c r="CJ419" i="42"/>
  <c r="CK419" i="42"/>
  <c r="CL419" i="42"/>
  <c r="CM419" i="42"/>
  <c r="CN419" i="42"/>
  <c r="CO419" i="42"/>
  <c r="CP419" i="42"/>
  <c r="BO420" i="42"/>
  <c r="BP420" i="42"/>
  <c r="BQ420" i="42"/>
  <c r="BR420" i="42"/>
  <c r="BS420" i="42"/>
  <c r="BT420" i="42"/>
  <c r="BU420" i="42"/>
  <c r="BV420" i="42"/>
  <c r="BW420" i="42"/>
  <c r="BX420" i="42"/>
  <c r="BY420" i="42"/>
  <c r="BZ420" i="42"/>
  <c r="CA420" i="42"/>
  <c r="CB420" i="42"/>
  <c r="CC420" i="42"/>
  <c r="CD420" i="42"/>
  <c r="CE420" i="42"/>
  <c r="CF420" i="42"/>
  <c r="CG420" i="42"/>
  <c r="CH420" i="42"/>
  <c r="CI420" i="42"/>
  <c r="CJ420" i="42"/>
  <c r="CK420" i="42"/>
  <c r="CL420" i="42"/>
  <c r="CM420" i="42"/>
  <c r="CN420" i="42"/>
  <c r="CO420" i="42"/>
  <c r="CP420" i="42"/>
  <c r="BO421" i="42"/>
  <c r="BP421" i="42"/>
  <c r="BQ421" i="42"/>
  <c r="BR421" i="42"/>
  <c r="BS421" i="42"/>
  <c r="BT421" i="42"/>
  <c r="BU421" i="42"/>
  <c r="BV421" i="42"/>
  <c r="BW421" i="42"/>
  <c r="BX421" i="42"/>
  <c r="BY421" i="42"/>
  <c r="BZ421" i="42"/>
  <c r="CA421" i="42"/>
  <c r="CB421" i="42"/>
  <c r="CC421" i="42"/>
  <c r="CD421" i="42"/>
  <c r="CE421" i="42"/>
  <c r="CF421" i="42"/>
  <c r="CG421" i="42"/>
  <c r="CH421" i="42"/>
  <c r="CI421" i="42"/>
  <c r="CJ421" i="42"/>
  <c r="CK421" i="42"/>
  <c r="CL421" i="42"/>
  <c r="CM421" i="42"/>
  <c r="CN421" i="42"/>
  <c r="CO421" i="42"/>
  <c r="CP421" i="42"/>
  <c r="BO422" i="42"/>
  <c r="BP422" i="42"/>
  <c r="BQ422" i="42"/>
  <c r="BR422" i="42"/>
  <c r="BS422" i="42"/>
  <c r="BT422" i="42"/>
  <c r="BU422" i="42"/>
  <c r="BV422" i="42"/>
  <c r="BW422" i="42"/>
  <c r="BX422" i="42"/>
  <c r="BY422" i="42"/>
  <c r="BZ422" i="42"/>
  <c r="CA422" i="42"/>
  <c r="CB422" i="42"/>
  <c r="CC422" i="42"/>
  <c r="CD422" i="42"/>
  <c r="CE422" i="42"/>
  <c r="CF422" i="42"/>
  <c r="CG422" i="42"/>
  <c r="CH422" i="42"/>
  <c r="CI422" i="42"/>
  <c r="CJ422" i="42"/>
  <c r="CK422" i="42"/>
  <c r="CL422" i="42"/>
  <c r="CM422" i="42"/>
  <c r="CN422" i="42"/>
  <c r="CO422" i="42"/>
  <c r="CP422" i="42"/>
  <c r="BO423" i="42"/>
  <c r="BP423" i="42"/>
  <c r="BQ423" i="42"/>
  <c r="BR423" i="42"/>
  <c r="BS423" i="42"/>
  <c r="BT423" i="42"/>
  <c r="BU423" i="42"/>
  <c r="BV423" i="42"/>
  <c r="BW423" i="42"/>
  <c r="BX423" i="42"/>
  <c r="BY423" i="42"/>
  <c r="BZ423" i="42"/>
  <c r="CA423" i="42"/>
  <c r="CB423" i="42"/>
  <c r="CC423" i="42"/>
  <c r="CD423" i="42"/>
  <c r="CE423" i="42"/>
  <c r="CF423" i="42"/>
  <c r="CG423" i="42"/>
  <c r="CH423" i="42"/>
  <c r="CI423" i="42"/>
  <c r="CJ423" i="42"/>
  <c r="CK423" i="42"/>
  <c r="CL423" i="42"/>
  <c r="CM423" i="42"/>
  <c r="CN423" i="42"/>
  <c r="CO423" i="42"/>
  <c r="CP423" i="42"/>
  <c r="BO424" i="42"/>
  <c r="BP424" i="42"/>
  <c r="BQ424" i="42"/>
  <c r="BR424" i="42"/>
  <c r="BS424" i="42"/>
  <c r="BT424" i="42"/>
  <c r="BU424" i="42"/>
  <c r="BV424" i="42"/>
  <c r="BW424" i="42"/>
  <c r="BX424" i="42"/>
  <c r="BY424" i="42"/>
  <c r="BZ424" i="42"/>
  <c r="CA424" i="42"/>
  <c r="CB424" i="42"/>
  <c r="CC424" i="42"/>
  <c r="CD424" i="42"/>
  <c r="CE424" i="42"/>
  <c r="CF424" i="42"/>
  <c r="CG424" i="42"/>
  <c r="CH424" i="42"/>
  <c r="CI424" i="42"/>
  <c r="CJ424" i="42"/>
  <c r="CK424" i="42"/>
  <c r="CL424" i="42"/>
  <c r="CM424" i="42"/>
  <c r="CN424" i="42"/>
  <c r="CO424" i="42"/>
  <c r="CP424" i="42"/>
  <c r="BO425" i="42"/>
  <c r="BP425" i="42"/>
  <c r="BQ425" i="42"/>
  <c r="BR425" i="42"/>
  <c r="BS425" i="42"/>
  <c r="BT425" i="42"/>
  <c r="BU425" i="42"/>
  <c r="BV425" i="42"/>
  <c r="BW425" i="42"/>
  <c r="BX425" i="42"/>
  <c r="BY425" i="42"/>
  <c r="BZ425" i="42"/>
  <c r="CA425" i="42"/>
  <c r="CB425" i="42"/>
  <c r="CC425" i="42"/>
  <c r="CD425" i="42"/>
  <c r="CE425" i="42"/>
  <c r="CF425" i="42"/>
  <c r="CG425" i="42"/>
  <c r="CH425" i="42"/>
  <c r="CI425" i="42"/>
  <c r="CJ425" i="42"/>
  <c r="CK425" i="42"/>
  <c r="CL425" i="42"/>
  <c r="CM425" i="42"/>
  <c r="CN425" i="42"/>
  <c r="CO425" i="42"/>
  <c r="CP425" i="42"/>
  <c r="BO426" i="42"/>
  <c r="BP426" i="42"/>
  <c r="BQ426" i="42"/>
  <c r="BR426" i="42"/>
  <c r="BS426" i="42"/>
  <c r="BT426" i="42"/>
  <c r="BU426" i="42"/>
  <c r="BV426" i="42"/>
  <c r="BW426" i="42"/>
  <c r="BX426" i="42"/>
  <c r="BY426" i="42"/>
  <c r="BZ426" i="42"/>
  <c r="CA426" i="42"/>
  <c r="CB426" i="42"/>
  <c r="CC426" i="42"/>
  <c r="CD426" i="42"/>
  <c r="CE426" i="42"/>
  <c r="CF426" i="42"/>
  <c r="CG426" i="42"/>
  <c r="CH426" i="42"/>
  <c r="CI426" i="42"/>
  <c r="CJ426" i="42"/>
  <c r="CK426" i="42"/>
  <c r="CL426" i="42"/>
  <c r="CM426" i="42"/>
  <c r="CN426" i="42"/>
  <c r="CO426" i="42"/>
  <c r="CP426" i="42"/>
  <c r="BO427" i="42"/>
  <c r="BP427" i="42"/>
  <c r="BQ427" i="42"/>
  <c r="BR427" i="42"/>
  <c r="BS427" i="42"/>
  <c r="BT427" i="42"/>
  <c r="BU427" i="42"/>
  <c r="BV427" i="42"/>
  <c r="BW427" i="42"/>
  <c r="BX427" i="42"/>
  <c r="BY427" i="42"/>
  <c r="BZ427" i="42"/>
  <c r="CA427" i="42"/>
  <c r="CB427" i="42"/>
  <c r="CC427" i="42"/>
  <c r="CD427" i="42"/>
  <c r="CE427" i="42"/>
  <c r="CF427" i="42"/>
  <c r="CG427" i="42"/>
  <c r="CH427" i="42"/>
  <c r="CI427" i="42"/>
  <c r="CJ427" i="42"/>
  <c r="CK427" i="42"/>
  <c r="CL427" i="42"/>
  <c r="CM427" i="42"/>
  <c r="CN427" i="42"/>
  <c r="CO427" i="42"/>
  <c r="CP427" i="42"/>
  <c r="BO428" i="42"/>
  <c r="BP428" i="42"/>
  <c r="BQ428" i="42"/>
  <c r="BR428" i="42"/>
  <c r="BS428" i="42"/>
  <c r="BT428" i="42"/>
  <c r="BU428" i="42"/>
  <c r="BV428" i="42"/>
  <c r="BW428" i="42"/>
  <c r="BX428" i="42"/>
  <c r="BY428" i="42"/>
  <c r="BZ428" i="42"/>
  <c r="CA428" i="42"/>
  <c r="CB428" i="42"/>
  <c r="CC428" i="42"/>
  <c r="CD428" i="42"/>
  <c r="CE428" i="42"/>
  <c r="CF428" i="42"/>
  <c r="CG428" i="42"/>
  <c r="CH428" i="42"/>
  <c r="CI428" i="42"/>
  <c r="CJ428" i="42"/>
  <c r="CK428" i="42"/>
  <c r="CL428" i="42"/>
  <c r="CM428" i="42"/>
  <c r="CN428" i="42"/>
  <c r="CO428" i="42"/>
  <c r="CP428" i="42"/>
  <c r="BO429" i="42"/>
  <c r="BP429" i="42"/>
  <c r="BQ429" i="42"/>
  <c r="BR429" i="42"/>
  <c r="BS429" i="42"/>
  <c r="BT429" i="42"/>
  <c r="BU429" i="42"/>
  <c r="BV429" i="42"/>
  <c r="BW429" i="42"/>
  <c r="BX429" i="42"/>
  <c r="BY429" i="42"/>
  <c r="BZ429" i="42"/>
  <c r="CA429" i="42"/>
  <c r="CB429" i="42"/>
  <c r="CC429" i="42"/>
  <c r="CD429" i="42"/>
  <c r="CE429" i="42"/>
  <c r="CF429" i="42"/>
  <c r="CG429" i="42"/>
  <c r="CH429" i="42"/>
  <c r="CI429" i="42"/>
  <c r="CJ429" i="42"/>
  <c r="CK429" i="42"/>
  <c r="CL429" i="42"/>
  <c r="CM429" i="42"/>
  <c r="CN429" i="42"/>
  <c r="CO429" i="42"/>
  <c r="CP429" i="42"/>
  <c r="BO430" i="42"/>
  <c r="BP430" i="42"/>
  <c r="BQ430" i="42"/>
  <c r="BR430" i="42"/>
  <c r="BS430" i="42"/>
  <c r="BT430" i="42"/>
  <c r="BU430" i="42"/>
  <c r="BV430" i="42"/>
  <c r="BW430" i="42"/>
  <c r="BX430" i="42"/>
  <c r="BY430" i="42"/>
  <c r="BZ430" i="42"/>
  <c r="CA430" i="42"/>
  <c r="CB430" i="42"/>
  <c r="CC430" i="42"/>
  <c r="CD430" i="42"/>
  <c r="CE430" i="42"/>
  <c r="CF430" i="42"/>
  <c r="CG430" i="42"/>
  <c r="CH430" i="42"/>
  <c r="CI430" i="42"/>
  <c r="CJ430" i="42"/>
  <c r="CK430" i="42"/>
  <c r="CL430" i="42"/>
  <c r="CM430" i="42"/>
  <c r="CN430" i="42"/>
  <c r="CO430" i="42"/>
  <c r="CP430" i="42"/>
  <c r="BO431" i="42"/>
  <c r="BP431" i="42"/>
  <c r="BQ431" i="42"/>
  <c r="BR431" i="42"/>
  <c r="BS431" i="42"/>
  <c r="BT431" i="42"/>
  <c r="BU431" i="42"/>
  <c r="BV431" i="42"/>
  <c r="BW431" i="42"/>
  <c r="BX431" i="42"/>
  <c r="BY431" i="42"/>
  <c r="BZ431" i="42"/>
  <c r="CA431" i="42"/>
  <c r="CB431" i="42"/>
  <c r="CC431" i="42"/>
  <c r="CD431" i="42"/>
  <c r="CE431" i="42"/>
  <c r="CF431" i="42"/>
  <c r="CG431" i="42"/>
  <c r="CH431" i="42"/>
  <c r="CI431" i="42"/>
  <c r="CJ431" i="42"/>
  <c r="CK431" i="42"/>
  <c r="CL431" i="42"/>
  <c r="CM431" i="42"/>
  <c r="CN431" i="42"/>
  <c r="CO431" i="42"/>
  <c r="CP431" i="42"/>
  <c r="BO432" i="42"/>
  <c r="BP432" i="42"/>
  <c r="BQ432" i="42"/>
  <c r="BR432" i="42"/>
  <c r="BS432" i="42"/>
  <c r="BT432" i="42"/>
  <c r="BU432" i="42"/>
  <c r="BV432" i="42"/>
  <c r="BW432" i="42"/>
  <c r="BX432" i="42"/>
  <c r="BY432" i="42"/>
  <c r="BZ432" i="42"/>
  <c r="CA432" i="42"/>
  <c r="CB432" i="42"/>
  <c r="CC432" i="42"/>
  <c r="CD432" i="42"/>
  <c r="CE432" i="42"/>
  <c r="CF432" i="42"/>
  <c r="CG432" i="42"/>
  <c r="CH432" i="42"/>
  <c r="CI432" i="42"/>
  <c r="CJ432" i="42"/>
  <c r="CK432" i="42"/>
  <c r="CL432" i="42"/>
  <c r="CM432" i="42"/>
  <c r="CN432" i="42"/>
  <c r="CO432" i="42"/>
  <c r="CP432" i="42"/>
  <c r="BO433" i="42"/>
  <c r="BP433" i="42"/>
  <c r="BQ433" i="42"/>
  <c r="BR433" i="42"/>
  <c r="BS433" i="42"/>
  <c r="BT433" i="42"/>
  <c r="BU433" i="42"/>
  <c r="BV433" i="42"/>
  <c r="BW433" i="42"/>
  <c r="BX433" i="42"/>
  <c r="BY433" i="42"/>
  <c r="BZ433" i="42"/>
  <c r="CA433" i="42"/>
  <c r="CB433" i="42"/>
  <c r="CC433" i="42"/>
  <c r="CD433" i="42"/>
  <c r="CE433" i="42"/>
  <c r="CF433" i="42"/>
  <c r="CG433" i="42"/>
  <c r="CH433" i="42"/>
  <c r="CI433" i="42"/>
  <c r="CJ433" i="42"/>
  <c r="CK433" i="42"/>
  <c r="CL433" i="42"/>
  <c r="CM433" i="42"/>
  <c r="CN433" i="42"/>
  <c r="CO433" i="42"/>
  <c r="CP433" i="42"/>
  <c r="BO434" i="42"/>
  <c r="BP434" i="42"/>
  <c r="BQ434" i="42"/>
  <c r="BR434" i="42"/>
  <c r="BS434" i="42"/>
  <c r="BT434" i="42"/>
  <c r="BU434" i="42"/>
  <c r="BV434" i="42"/>
  <c r="BW434" i="42"/>
  <c r="BX434" i="42"/>
  <c r="BY434" i="42"/>
  <c r="BZ434" i="42"/>
  <c r="CA434" i="42"/>
  <c r="CB434" i="42"/>
  <c r="CC434" i="42"/>
  <c r="CD434" i="42"/>
  <c r="CE434" i="42"/>
  <c r="CF434" i="42"/>
  <c r="CG434" i="42"/>
  <c r="CH434" i="42"/>
  <c r="CI434" i="42"/>
  <c r="CJ434" i="42"/>
  <c r="CK434" i="42"/>
  <c r="CL434" i="42"/>
  <c r="CM434" i="42"/>
  <c r="CN434" i="42"/>
  <c r="CO434" i="42"/>
  <c r="CP434" i="42"/>
  <c r="BO435" i="42"/>
  <c r="BP435" i="42"/>
  <c r="BQ435" i="42"/>
  <c r="BR435" i="42"/>
  <c r="BS435" i="42"/>
  <c r="BT435" i="42"/>
  <c r="BU435" i="42"/>
  <c r="BV435" i="42"/>
  <c r="BW435" i="42"/>
  <c r="BX435" i="42"/>
  <c r="BY435" i="42"/>
  <c r="BZ435" i="42"/>
  <c r="CA435" i="42"/>
  <c r="CB435" i="42"/>
  <c r="CC435" i="42"/>
  <c r="CD435" i="42"/>
  <c r="CE435" i="42"/>
  <c r="CF435" i="42"/>
  <c r="CG435" i="42"/>
  <c r="CH435" i="42"/>
  <c r="CI435" i="42"/>
  <c r="CJ435" i="42"/>
  <c r="CK435" i="42"/>
  <c r="CL435" i="42"/>
  <c r="CM435" i="42"/>
  <c r="CN435" i="42"/>
  <c r="CO435" i="42"/>
  <c r="CP435" i="42"/>
  <c r="BO436" i="42"/>
  <c r="BP436" i="42"/>
  <c r="BQ436" i="42"/>
  <c r="BR436" i="42"/>
  <c r="BS436" i="42"/>
  <c r="BT436" i="42"/>
  <c r="BU436" i="42"/>
  <c r="BV436" i="42"/>
  <c r="BW436" i="42"/>
  <c r="BX436" i="42"/>
  <c r="BY436" i="42"/>
  <c r="BZ436" i="42"/>
  <c r="CA436" i="42"/>
  <c r="CB436" i="42"/>
  <c r="CC436" i="42"/>
  <c r="CD436" i="42"/>
  <c r="CE436" i="42"/>
  <c r="CF436" i="42"/>
  <c r="CG436" i="42"/>
  <c r="CH436" i="42"/>
  <c r="CI436" i="42"/>
  <c r="CJ436" i="42"/>
  <c r="CK436" i="42"/>
  <c r="CL436" i="42"/>
  <c r="CM436" i="42"/>
  <c r="CN436" i="42"/>
  <c r="CO436" i="42"/>
  <c r="CP436" i="42"/>
  <c r="BO437" i="42"/>
  <c r="BP437" i="42"/>
  <c r="BQ437" i="42"/>
  <c r="BR437" i="42"/>
  <c r="BS437" i="42"/>
  <c r="BT437" i="42"/>
  <c r="BU437" i="42"/>
  <c r="BV437" i="42"/>
  <c r="BW437" i="42"/>
  <c r="BX437" i="42"/>
  <c r="BY437" i="42"/>
  <c r="BZ437" i="42"/>
  <c r="CA437" i="42"/>
  <c r="CB437" i="42"/>
  <c r="CC437" i="42"/>
  <c r="CD437" i="42"/>
  <c r="CE437" i="42"/>
  <c r="CF437" i="42"/>
  <c r="CG437" i="42"/>
  <c r="CH437" i="42"/>
  <c r="CI437" i="42"/>
  <c r="CJ437" i="42"/>
  <c r="CK437" i="42"/>
  <c r="CL437" i="42"/>
  <c r="CM437" i="42"/>
  <c r="CN437" i="42"/>
  <c r="CO437" i="42"/>
  <c r="CP437" i="42"/>
  <c r="BO438" i="42"/>
  <c r="BP438" i="42"/>
  <c r="BQ438" i="42"/>
  <c r="BR438" i="42"/>
  <c r="BS438" i="42"/>
  <c r="BT438" i="42"/>
  <c r="BU438" i="42"/>
  <c r="BV438" i="42"/>
  <c r="BW438" i="42"/>
  <c r="BX438" i="42"/>
  <c r="BY438" i="42"/>
  <c r="BZ438" i="42"/>
  <c r="CA438" i="42"/>
  <c r="CB438" i="42"/>
  <c r="CC438" i="42"/>
  <c r="CD438" i="42"/>
  <c r="CE438" i="42"/>
  <c r="CF438" i="42"/>
  <c r="CG438" i="42"/>
  <c r="CH438" i="42"/>
  <c r="CI438" i="42"/>
  <c r="CJ438" i="42"/>
  <c r="CK438" i="42"/>
  <c r="CL438" i="42"/>
  <c r="CM438" i="42"/>
  <c r="CN438" i="42"/>
  <c r="CO438" i="42"/>
  <c r="CP438" i="42"/>
  <c r="BO439" i="42"/>
  <c r="BP439" i="42"/>
  <c r="BQ439" i="42"/>
  <c r="BR439" i="42"/>
  <c r="BS439" i="42"/>
  <c r="BT439" i="42"/>
  <c r="BU439" i="42"/>
  <c r="BV439" i="42"/>
  <c r="BW439" i="42"/>
  <c r="BX439" i="42"/>
  <c r="BY439" i="42"/>
  <c r="BZ439" i="42"/>
  <c r="CA439" i="42"/>
  <c r="CB439" i="42"/>
  <c r="CC439" i="42"/>
  <c r="CD439" i="42"/>
  <c r="CE439" i="42"/>
  <c r="CF439" i="42"/>
  <c r="CG439" i="42"/>
  <c r="CH439" i="42"/>
  <c r="CI439" i="42"/>
  <c r="CJ439" i="42"/>
  <c r="CK439" i="42"/>
  <c r="CL439" i="42"/>
  <c r="CM439" i="42"/>
  <c r="CN439" i="42"/>
  <c r="CO439" i="42"/>
  <c r="CP439" i="42"/>
  <c r="BO440" i="42"/>
  <c r="BP440" i="42"/>
  <c r="BQ440" i="42"/>
  <c r="BR440" i="42"/>
  <c r="BS440" i="42"/>
  <c r="BT440" i="42"/>
  <c r="BU440" i="42"/>
  <c r="BV440" i="42"/>
  <c r="BW440" i="42"/>
  <c r="BX440" i="42"/>
  <c r="BY440" i="42"/>
  <c r="BZ440" i="42"/>
  <c r="CA440" i="42"/>
  <c r="CB440" i="42"/>
  <c r="CC440" i="42"/>
  <c r="CD440" i="42"/>
  <c r="CE440" i="42"/>
  <c r="CF440" i="42"/>
  <c r="CG440" i="42"/>
  <c r="CH440" i="42"/>
  <c r="CI440" i="42"/>
  <c r="CJ440" i="42"/>
  <c r="CK440" i="42"/>
  <c r="CL440" i="42"/>
  <c r="CM440" i="42"/>
  <c r="CN440" i="42"/>
  <c r="CO440" i="42"/>
  <c r="CP440" i="42"/>
  <c r="BO441" i="42"/>
  <c r="BP441" i="42"/>
  <c r="BQ441" i="42"/>
  <c r="BR441" i="42"/>
  <c r="BS441" i="42"/>
  <c r="BT441" i="42"/>
  <c r="BU441" i="42"/>
  <c r="BV441" i="42"/>
  <c r="BW441" i="42"/>
  <c r="BX441" i="42"/>
  <c r="BY441" i="42"/>
  <c r="BZ441" i="42"/>
  <c r="CA441" i="42"/>
  <c r="CB441" i="42"/>
  <c r="CC441" i="42"/>
  <c r="CD441" i="42"/>
  <c r="CE441" i="42"/>
  <c r="CF441" i="42"/>
  <c r="CG441" i="42"/>
  <c r="CH441" i="42"/>
  <c r="CI441" i="42"/>
  <c r="CJ441" i="42"/>
  <c r="CK441" i="42"/>
  <c r="CL441" i="42"/>
  <c r="CM441" i="42"/>
  <c r="CN441" i="42"/>
  <c r="CO441" i="42"/>
  <c r="CP441" i="42"/>
  <c r="BO442" i="42"/>
  <c r="BP442" i="42"/>
  <c r="BQ442" i="42"/>
  <c r="BR442" i="42"/>
  <c r="BS442" i="42"/>
  <c r="BT442" i="42"/>
  <c r="BU442" i="42"/>
  <c r="BV442" i="42"/>
  <c r="BW442" i="42"/>
  <c r="BX442" i="42"/>
  <c r="BY442" i="42"/>
  <c r="BZ442" i="42"/>
  <c r="CA442" i="42"/>
  <c r="CB442" i="42"/>
  <c r="CC442" i="42"/>
  <c r="CD442" i="42"/>
  <c r="CE442" i="42"/>
  <c r="CF442" i="42"/>
  <c r="CG442" i="42"/>
  <c r="CH442" i="42"/>
  <c r="CI442" i="42"/>
  <c r="CJ442" i="42"/>
  <c r="CK442" i="42"/>
  <c r="CL442" i="42"/>
  <c r="CM442" i="42"/>
  <c r="CN442" i="42"/>
  <c r="CO442" i="42"/>
  <c r="CP442" i="42"/>
  <c r="BO443" i="42"/>
  <c r="BP443" i="42"/>
  <c r="BQ443" i="42"/>
  <c r="BR443" i="42"/>
  <c r="BS443" i="42"/>
  <c r="BT443" i="42"/>
  <c r="BU443" i="42"/>
  <c r="BV443" i="42"/>
  <c r="BW443" i="42"/>
  <c r="BX443" i="42"/>
  <c r="BY443" i="42"/>
  <c r="BZ443" i="42"/>
  <c r="CA443" i="42"/>
  <c r="CB443" i="42"/>
  <c r="CC443" i="42"/>
  <c r="CD443" i="42"/>
  <c r="CE443" i="42"/>
  <c r="CF443" i="42"/>
  <c r="CG443" i="42"/>
  <c r="CH443" i="42"/>
  <c r="CI443" i="42"/>
  <c r="CJ443" i="42"/>
  <c r="CK443" i="42"/>
  <c r="CL443" i="42"/>
  <c r="CM443" i="42"/>
  <c r="CN443" i="42"/>
  <c r="CO443" i="42"/>
  <c r="CP443" i="42"/>
  <c r="BO444" i="42"/>
  <c r="BP444" i="42"/>
  <c r="BQ444" i="42"/>
  <c r="BR444" i="42"/>
  <c r="BS444" i="42"/>
  <c r="BT444" i="42"/>
  <c r="BU444" i="42"/>
  <c r="BV444" i="42"/>
  <c r="BW444" i="42"/>
  <c r="BX444" i="42"/>
  <c r="BY444" i="42"/>
  <c r="BZ444" i="42"/>
  <c r="CA444" i="42"/>
  <c r="CB444" i="42"/>
  <c r="CC444" i="42"/>
  <c r="CD444" i="42"/>
  <c r="CE444" i="42"/>
  <c r="CF444" i="42"/>
  <c r="CG444" i="42"/>
  <c r="CH444" i="42"/>
  <c r="CI444" i="42"/>
  <c r="CJ444" i="42"/>
  <c r="CK444" i="42"/>
  <c r="CL444" i="42"/>
  <c r="CM444" i="42"/>
  <c r="CN444" i="42"/>
  <c r="CO444" i="42"/>
  <c r="CP444" i="42"/>
  <c r="BO445" i="42"/>
  <c r="BP445" i="42"/>
  <c r="BQ445" i="42"/>
  <c r="BR445" i="42"/>
  <c r="BS445" i="42"/>
  <c r="BT445" i="42"/>
  <c r="BU445" i="42"/>
  <c r="BV445" i="42"/>
  <c r="BW445" i="42"/>
  <c r="BX445" i="42"/>
  <c r="BY445" i="42"/>
  <c r="BZ445" i="42"/>
  <c r="CA445" i="42"/>
  <c r="CB445" i="42"/>
  <c r="CC445" i="42"/>
  <c r="CD445" i="42"/>
  <c r="CE445" i="42"/>
  <c r="CF445" i="42"/>
  <c r="CG445" i="42"/>
  <c r="CH445" i="42"/>
  <c r="CI445" i="42"/>
  <c r="CJ445" i="42"/>
  <c r="CK445" i="42"/>
  <c r="CL445" i="42"/>
  <c r="CM445" i="42"/>
  <c r="CN445" i="42"/>
  <c r="CO445" i="42"/>
  <c r="CP445" i="42"/>
  <c r="BO446" i="42"/>
  <c r="BP446" i="42"/>
  <c r="BQ446" i="42"/>
  <c r="BR446" i="42"/>
  <c r="BS446" i="42"/>
  <c r="BT446" i="42"/>
  <c r="BU446" i="42"/>
  <c r="BV446" i="42"/>
  <c r="BW446" i="42"/>
  <c r="BX446" i="42"/>
  <c r="BY446" i="42"/>
  <c r="BZ446" i="42"/>
  <c r="CA446" i="42"/>
  <c r="CB446" i="42"/>
  <c r="CC446" i="42"/>
  <c r="CD446" i="42"/>
  <c r="CE446" i="42"/>
  <c r="CF446" i="42"/>
  <c r="CG446" i="42"/>
  <c r="CH446" i="42"/>
  <c r="CI446" i="42"/>
  <c r="CJ446" i="42"/>
  <c r="CK446" i="42"/>
  <c r="CL446" i="42"/>
  <c r="CM446" i="42"/>
  <c r="CN446" i="42"/>
  <c r="CO446" i="42"/>
  <c r="CP446" i="42"/>
  <c r="BO447" i="42"/>
  <c r="BP447" i="42"/>
  <c r="BQ447" i="42"/>
  <c r="BR447" i="42"/>
  <c r="BS447" i="42"/>
  <c r="BT447" i="42"/>
  <c r="BU447" i="42"/>
  <c r="BV447" i="42"/>
  <c r="BW447" i="42"/>
  <c r="BX447" i="42"/>
  <c r="BY447" i="42"/>
  <c r="BZ447" i="42"/>
  <c r="CA447" i="42"/>
  <c r="CB447" i="42"/>
  <c r="CC447" i="42"/>
  <c r="CD447" i="42"/>
  <c r="CE447" i="42"/>
  <c r="CF447" i="42"/>
  <c r="CG447" i="42"/>
  <c r="CH447" i="42"/>
  <c r="CI447" i="42"/>
  <c r="CJ447" i="42"/>
  <c r="CK447" i="42"/>
  <c r="CL447" i="42"/>
  <c r="CM447" i="42"/>
  <c r="CN447" i="42"/>
  <c r="CO447" i="42"/>
  <c r="CP447" i="42"/>
  <c r="BO448" i="42"/>
  <c r="BP448" i="42"/>
  <c r="BQ448" i="42"/>
  <c r="BR448" i="42"/>
  <c r="BS448" i="42"/>
  <c r="BT448" i="42"/>
  <c r="BU448" i="42"/>
  <c r="BV448" i="42"/>
  <c r="BW448" i="42"/>
  <c r="BX448" i="42"/>
  <c r="BY448" i="42"/>
  <c r="BZ448" i="42"/>
  <c r="CA448" i="42"/>
  <c r="CB448" i="42"/>
  <c r="CC448" i="42"/>
  <c r="CD448" i="42"/>
  <c r="CE448" i="42"/>
  <c r="CF448" i="42"/>
  <c r="CG448" i="42"/>
  <c r="CH448" i="42"/>
  <c r="CI448" i="42"/>
  <c r="CJ448" i="42"/>
  <c r="CK448" i="42"/>
  <c r="CL448" i="42"/>
  <c r="CM448" i="42"/>
  <c r="CN448" i="42"/>
  <c r="CO448" i="42"/>
  <c r="CP448" i="42"/>
  <c r="BO449" i="42"/>
  <c r="BP449" i="42"/>
  <c r="BQ449" i="42"/>
  <c r="BR449" i="42"/>
  <c r="BS449" i="42"/>
  <c r="BT449" i="42"/>
  <c r="BU449" i="42"/>
  <c r="BV449" i="42"/>
  <c r="BW449" i="42"/>
  <c r="BX449" i="42"/>
  <c r="BY449" i="42"/>
  <c r="BZ449" i="42"/>
  <c r="CA449" i="42"/>
  <c r="CB449" i="42"/>
  <c r="CC449" i="42"/>
  <c r="CD449" i="42"/>
  <c r="CE449" i="42"/>
  <c r="CF449" i="42"/>
  <c r="CG449" i="42"/>
  <c r="CH449" i="42"/>
  <c r="CI449" i="42"/>
  <c r="CJ449" i="42"/>
  <c r="CK449" i="42"/>
  <c r="CL449" i="42"/>
  <c r="CM449" i="42"/>
  <c r="CN449" i="42"/>
  <c r="CO449" i="42"/>
  <c r="CP449" i="42"/>
  <c r="BO450" i="42"/>
  <c r="BP450" i="42"/>
  <c r="BQ450" i="42"/>
  <c r="BR450" i="42"/>
  <c r="BS450" i="42"/>
  <c r="BT450" i="42"/>
  <c r="BU450" i="42"/>
  <c r="BV450" i="42"/>
  <c r="BW450" i="42"/>
  <c r="BX450" i="42"/>
  <c r="BY450" i="42"/>
  <c r="BZ450" i="42"/>
  <c r="CA450" i="42"/>
  <c r="CB450" i="42"/>
  <c r="CC450" i="42"/>
  <c r="CD450" i="42"/>
  <c r="CE450" i="42"/>
  <c r="CF450" i="42"/>
  <c r="CG450" i="42"/>
  <c r="CH450" i="42"/>
  <c r="CI450" i="42"/>
  <c r="CJ450" i="42"/>
  <c r="CK450" i="42"/>
  <c r="CL450" i="42"/>
  <c r="CM450" i="42"/>
  <c r="CN450" i="42"/>
  <c r="CO450" i="42"/>
  <c r="CP450" i="42"/>
  <c r="BO451" i="42"/>
  <c r="BP451" i="42"/>
  <c r="BQ451" i="42"/>
  <c r="BR451" i="42"/>
  <c r="BS451" i="42"/>
  <c r="BT451" i="42"/>
  <c r="BU451" i="42"/>
  <c r="BV451" i="42"/>
  <c r="BW451" i="42"/>
  <c r="BX451" i="42"/>
  <c r="BY451" i="42"/>
  <c r="BZ451" i="42"/>
  <c r="CA451" i="42"/>
  <c r="CB451" i="42"/>
  <c r="CC451" i="42"/>
  <c r="CD451" i="42"/>
  <c r="CE451" i="42"/>
  <c r="CF451" i="42"/>
  <c r="CG451" i="42"/>
  <c r="CH451" i="42"/>
  <c r="CI451" i="42"/>
  <c r="CJ451" i="42"/>
  <c r="CK451" i="42"/>
  <c r="CL451" i="42"/>
  <c r="CM451" i="42"/>
  <c r="CN451" i="42"/>
  <c r="CO451" i="42"/>
  <c r="CP451" i="42"/>
  <c r="BO452" i="42"/>
  <c r="BP452" i="42"/>
  <c r="BQ452" i="42"/>
  <c r="BR452" i="42"/>
  <c r="BS452" i="42"/>
  <c r="BT452" i="42"/>
  <c r="BU452" i="42"/>
  <c r="BV452" i="42"/>
  <c r="BW452" i="42"/>
  <c r="BX452" i="42"/>
  <c r="BY452" i="42"/>
  <c r="BZ452" i="42"/>
  <c r="CA452" i="42"/>
  <c r="CB452" i="42"/>
  <c r="CC452" i="42"/>
  <c r="CD452" i="42"/>
  <c r="CE452" i="42"/>
  <c r="CF452" i="42"/>
  <c r="CG452" i="42"/>
  <c r="CH452" i="42"/>
  <c r="CI452" i="42"/>
  <c r="CJ452" i="42"/>
  <c r="CK452" i="42"/>
  <c r="CL452" i="42"/>
  <c r="CM452" i="42"/>
  <c r="CN452" i="42"/>
  <c r="CO452" i="42"/>
  <c r="CP452" i="42"/>
  <c r="BO453" i="42"/>
  <c r="BP453" i="42"/>
  <c r="BQ453" i="42"/>
  <c r="BR453" i="42"/>
  <c r="BS453" i="42"/>
  <c r="BT453" i="42"/>
  <c r="BU453" i="42"/>
  <c r="BV453" i="42"/>
  <c r="BW453" i="42"/>
  <c r="BX453" i="42"/>
  <c r="BY453" i="42"/>
  <c r="BZ453" i="42"/>
  <c r="CA453" i="42"/>
  <c r="CB453" i="42"/>
  <c r="CC453" i="42"/>
  <c r="CD453" i="42"/>
  <c r="CE453" i="42"/>
  <c r="CF453" i="42"/>
  <c r="CG453" i="42"/>
  <c r="CH453" i="42"/>
  <c r="CI453" i="42"/>
  <c r="CJ453" i="42"/>
  <c r="CK453" i="42"/>
  <c r="CL453" i="42"/>
  <c r="CM453" i="42"/>
  <c r="CN453" i="42"/>
  <c r="CO453" i="42"/>
  <c r="CP453" i="42"/>
  <c r="BO454" i="42"/>
  <c r="BP454" i="42"/>
  <c r="BQ454" i="42"/>
  <c r="BR454" i="42"/>
  <c r="BS454" i="42"/>
  <c r="BT454" i="42"/>
  <c r="BU454" i="42"/>
  <c r="BV454" i="42"/>
  <c r="BW454" i="42"/>
  <c r="BX454" i="42"/>
  <c r="BY454" i="42"/>
  <c r="BZ454" i="42"/>
  <c r="CA454" i="42"/>
  <c r="CB454" i="42"/>
  <c r="CC454" i="42"/>
  <c r="CD454" i="42"/>
  <c r="CE454" i="42"/>
  <c r="CF454" i="42"/>
  <c r="CG454" i="42"/>
  <c r="CH454" i="42"/>
  <c r="CI454" i="42"/>
  <c r="CJ454" i="42"/>
  <c r="CK454" i="42"/>
  <c r="CL454" i="42"/>
  <c r="CM454" i="42"/>
  <c r="CN454" i="42"/>
  <c r="CO454" i="42"/>
  <c r="CP454" i="42"/>
  <c r="BO455" i="42"/>
  <c r="BP455" i="42"/>
  <c r="BQ455" i="42"/>
  <c r="BR455" i="42"/>
  <c r="BS455" i="42"/>
  <c r="BT455" i="42"/>
  <c r="BU455" i="42"/>
  <c r="BV455" i="42"/>
  <c r="BW455" i="42"/>
  <c r="BX455" i="42"/>
  <c r="BY455" i="42"/>
  <c r="BZ455" i="42"/>
  <c r="CA455" i="42"/>
  <c r="CB455" i="42"/>
  <c r="CC455" i="42"/>
  <c r="CD455" i="42"/>
  <c r="CE455" i="42"/>
  <c r="CF455" i="42"/>
  <c r="CG455" i="42"/>
  <c r="CH455" i="42"/>
  <c r="CI455" i="42"/>
  <c r="CJ455" i="42"/>
  <c r="CK455" i="42"/>
  <c r="CL455" i="42"/>
  <c r="CM455" i="42"/>
  <c r="CN455" i="42"/>
  <c r="CO455" i="42"/>
  <c r="CP455" i="42"/>
  <c r="BO456" i="42"/>
  <c r="BP456" i="42"/>
  <c r="BQ456" i="42"/>
  <c r="BR456" i="42"/>
  <c r="BS456" i="42"/>
  <c r="BT456" i="42"/>
  <c r="BU456" i="42"/>
  <c r="BV456" i="42"/>
  <c r="BW456" i="42"/>
  <c r="BX456" i="42"/>
  <c r="BY456" i="42"/>
  <c r="BZ456" i="42"/>
  <c r="CA456" i="42"/>
  <c r="CB456" i="42"/>
  <c r="CC456" i="42"/>
  <c r="CD456" i="42"/>
  <c r="CE456" i="42"/>
  <c r="CF456" i="42"/>
  <c r="CG456" i="42"/>
  <c r="CH456" i="42"/>
  <c r="CI456" i="42"/>
  <c r="CJ456" i="42"/>
  <c r="CK456" i="42"/>
  <c r="CL456" i="42"/>
  <c r="CM456" i="42"/>
  <c r="CN456" i="42"/>
  <c r="CO456" i="42"/>
  <c r="CP456" i="42"/>
  <c r="BO457" i="42"/>
  <c r="BP457" i="42"/>
  <c r="BQ457" i="42"/>
  <c r="BR457" i="42"/>
  <c r="BS457" i="42"/>
  <c r="BT457" i="42"/>
  <c r="BU457" i="42"/>
  <c r="BV457" i="42"/>
  <c r="BW457" i="42"/>
  <c r="BX457" i="42"/>
  <c r="BY457" i="42"/>
  <c r="BZ457" i="42"/>
  <c r="CA457" i="42"/>
  <c r="CB457" i="42"/>
  <c r="CC457" i="42"/>
  <c r="CD457" i="42"/>
  <c r="CE457" i="42"/>
  <c r="CF457" i="42"/>
  <c r="CG457" i="42"/>
  <c r="CH457" i="42"/>
  <c r="CI457" i="42"/>
  <c r="CJ457" i="42"/>
  <c r="CK457" i="42"/>
  <c r="CL457" i="42"/>
  <c r="CM457" i="42"/>
  <c r="CN457" i="42"/>
  <c r="CO457" i="42"/>
  <c r="CP457" i="42"/>
  <c r="BO458" i="42"/>
  <c r="BP458" i="42"/>
  <c r="BQ458" i="42"/>
  <c r="BR458" i="42"/>
  <c r="BS458" i="42"/>
  <c r="BT458" i="42"/>
  <c r="BU458" i="42"/>
  <c r="BV458" i="42"/>
  <c r="BW458" i="42"/>
  <c r="BX458" i="42"/>
  <c r="BY458" i="42"/>
  <c r="BZ458" i="42"/>
  <c r="CA458" i="42"/>
  <c r="CB458" i="42"/>
  <c r="CC458" i="42"/>
  <c r="CD458" i="42"/>
  <c r="CE458" i="42"/>
  <c r="CF458" i="42"/>
  <c r="CG458" i="42"/>
  <c r="CH458" i="42"/>
  <c r="CI458" i="42"/>
  <c r="CJ458" i="42"/>
  <c r="CK458" i="42"/>
  <c r="CL458" i="42"/>
  <c r="CM458" i="42"/>
  <c r="CN458" i="42"/>
  <c r="CO458" i="42"/>
  <c r="CP458" i="42"/>
  <c r="BO459" i="42"/>
  <c r="BP459" i="42"/>
  <c r="BQ459" i="42"/>
  <c r="BR459" i="42"/>
  <c r="BS459" i="42"/>
  <c r="BT459" i="42"/>
  <c r="BU459" i="42"/>
  <c r="BV459" i="42"/>
  <c r="BW459" i="42"/>
  <c r="BX459" i="42"/>
  <c r="BY459" i="42"/>
  <c r="BZ459" i="42"/>
  <c r="CA459" i="42"/>
  <c r="CB459" i="42"/>
  <c r="CC459" i="42"/>
  <c r="CD459" i="42"/>
  <c r="CE459" i="42"/>
  <c r="CF459" i="42"/>
  <c r="CG459" i="42"/>
  <c r="CH459" i="42"/>
  <c r="CI459" i="42"/>
  <c r="CJ459" i="42"/>
  <c r="CK459" i="42"/>
  <c r="CL459" i="42"/>
  <c r="CM459" i="42"/>
  <c r="CN459" i="42"/>
  <c r="CO459" i="42"/>
  <c r="CP459" i="42"/>
  <c r="BO460" i="42"/>
  <c r="BP460" i="42"/>
  <c r="BQ460" i="42"/>
  <c r="BR460" i="42"/>
  <c r="BS460" i="42"/>
  <c r="BT460" i="42"/>
  <c r="BU460" i="42"/>
  <c r="BV460" i="42"/>
  <c r="BW460" i="42"/>
  <c r="BX460" i="42"/>
  <c r="BY460" i="42"/>
  <c r="BZ460" i="42"/>
  <c r="CA460" i="42"/>
  <c r="CB460" i="42"/>
  <c r="CC460" i="42"/>
  <c r="CD460" i="42"/>
  <c r="CE460" i="42"/>
  <c r="CF460" i="42"/>
  <c r="CG460" i="42"/>
  <c r="CH460" i="42"/>
  <c r="CI460" i="42"/>
  <c r="CJ460" i="42"/>
  <c r="CK460" i="42"/>
  <c r="CL460" i="42"/>
  <c r="CM460" i="42"/>
  <c r="CN460" i="42"/>
  <c r="CO460" i="42"/>
  <c r="CP460" i="42"/>
  <c r="BO461" i="42"/>
  <c r="BP461" i="42"/>
  <c r="BQ461" i="42"/>
  <c r="BR461" i="42"/>
  <c r="BS461" i="42"/>
  <c r="BT461" i="42"/>
  <c r="BU461" i="42"/>
  <c r="BV461" i="42"/>
  <c r="BW461" i="42"/>
  <c r="BX461" i="42"/>
  <c r="BY461" i="42"/>
  <c r="BZ461" i="42"/>
  <c r="CA461" i="42"/>
  <c r="CB461" i="42"/>
  <c r="CC461" i="42"/>
  <c r="CD461" i="42"/>
  <c r="CE461" i="42"/>
  <c r="CF461" i="42"/>
  <c r="CG461" i="42"/>
  <c r="CH461" i="42"/>
  <c r="CI461" i="42"/>
  <c r="CJ461" i="42"/>
  <c r="CK461" i="42"/>
  <c r="CL461" i="42"/>
  <c r="CM461" i="42"/>
  <c r="CN461" i="42"/>
  <c r="CO461" i="42"/>
  <c r="CP461" i="42"/>
  <c r="BO462" i="42"/>
  <c r="BP462" i="42"/>
  <c r="BQ462" i="42"/>
  <c r="BR462" i="42"/>
  <c r="BS462" i="42"/>
  <c r="BT462" i="42"/>
  <c r="BU462" i="42"/>
  <c r="BV462" i="42"/>
  <c r="BW462" i="42"/>
  <c r="BX462" i="42"/>
  <c r="BY462" i="42"/>
  <c r="BZ462" i="42"/>
  <c r="CA462" i="42"/>
  <c r="CB462" i="42"/>
  <c r="CC462" i="42"/>
  <c r="CD462" i="42"/>
  <c r="CE462" i="42"/>
  <c r="CF462" i="42"/>
  <c r="CG462" i="42"/>
  <c r="CH462" i="42"/>
  <c r="CI462" i="42"/>
  <c r="CJ462" i="42"/>
  <c r="CK462" i="42"/>
  <c r="CL462" i="42"/>
  <c r="CM462" i="42"/>
  <c r="CN462" i="42"/>
  <c r="CO462" i="42"/>
  <c r="CP462" i="42"/>
  <c r="BO463" i="42"/>
  <c r="BP463" i="42"/>
  <c r="BQ463" i="42"/>
  <c r="BR463" i="42"/>
  <c r="BS463" i="42"/>
  <c r="BT463" i="42"/>
  <c r="BU463" i="42"/>
  <c r="BV463" i="42"/>
  <c r="BW463" i="42"/>
  <c r="BX463" i="42"/>
  <c r="BY463" i="42"/>
  <c r="BZ463" i="42"/>
  <c r="CA463" i="42"/>
  <c r="CB463" i="42"/>
  <c r="CC463" i="42"/>
  <c r="CD463" i="42"/>
  <c r="CE463" i="42"/>
  <c r="CF463" i="42"/>
  <c r="CG463" i="42"/>
  <c r="CH463" i="42"/>
  <c r="CI463" i="42"/>
  <c r="CJ463" i="42"/>
  <c r="CK463" i="42"/>
  <c r="CL463" i="42"/>
  <c r="CM463" i="42"/>
  <c r="CN463" i="42"/>
  <c r="CO463" i="42"/>
  <c r="CP463" i="42"/>
  <c r="BO464" i="42"/>
  <c r="BP464" i="42"/>
  <c r="BQ464" i="42"/>
  <c r="BR464" i="42"/>
  <c r="BS464" i="42"/>
  <c r="BT464" i="42"/>
  <c r="BU464" i="42"/>
  <c r="BV464" i="42"/>
  <c r="BW464" i="42"/>
  <c r="BX464" i="42"/>
  <c r="BY464" i="42"/>
  <c r="BZ464" i="42"/>
  <c r="CA464" i="42"/>
  <c r="CB464" i="42"/>
  <c r="CC464" i="42"/>
  <c r="CD464" i="42"/>
  <c r="CE464" i="42"/>
  <c r="CF464" i="42"/>
  <c r="CG464" i="42"/>
  <c r="CH464" i="42"/>
  <c r="CI464" i="42"/>
  <c r="CJ464" i="42"/>
  <c r="CK464" i="42"/>
  <c r="CL464" i="42"/>
  <c r="CM464" i="42"/>
  <c r="CN464" i="42"/>
  <c r="CO464" i="42"/>
  <c r="CP464" i="42"/>
  <c r="BO465" i="42"/>
  <c r="BP465" i="42"/>
  <c r="BQ465" i="42"/>
  <c r="BR465" i="42"/>
  <c r="BS465" i="42"/>
  <c r="BT465" i="42"/>
  <c r="BU465" i="42"/>
  <c r="BV465" i="42"/>
  <c r="BW465" i="42"/>
  <c r="BX465" i="42"/>
  <c r="BY465" i="42"/>
  <c r="BZ465" i="42"/>
  <c r="CA465" i="42"/>
  <c r="CB465" i="42"/>
  <c r="CC465" i="42"/>
  <c r="CD465" i="42"/>
  <c r="CE465" i="42"/>
  <c r="CF465" i="42"/>
  <c r="CG465" i="42"/>
  <c r="CH465" i="42"/>
  <c r="CI465" i="42"/>
  <c r="CJ465" i="42"/>
  <c r="CK465" i="42"/>
  <c r="CL465" i="42"/>
  <c r="CM465" i="42"/>
  <c r="CN465" i="42"/>
  <c r="CO465" i="42"/>
  <c r="CP465" i="42"/>
  <c r="BO466" i="42"/>
  <c r="BP466" i="42"/>
  <c r="BQ466" i="42"/>
  <c r="BR466" i="42"/>
  <c r="BS466" i="42"/>
  <c r="BT466" i="42"/>
  <c r="BU466" i="42"/>
  <c r="BV466" i="42"/>
  <c r="BW466" i="42"/>
  <c r="BX466" i="42"/>
  <c r="BY466" i="42"/>
  <c r="BZ466" i="42"/>
  <c r="CA466" i="42"/>
  <c r="CB466" i="42"/>
  <c r="CC466" i="42"/>
  <c r="CD466" i="42"/>
  <c r="CE466" i="42"/>
  <c r="CF466" i="42"/>
  <c r="CG466" i="42"/>
  <c r="CH466" i="42"/>
  <c r="CI466" i="42"/>
  <c r="CJ466" i="42"/>
  <c r="CK466" i="42"/>
  <c r="CL466" i="42"/>
  <c r="CM466" i="42"/>
  <c r="CN466" i="42"/>
  <c r="CO466" i="42"/>
  <c r="CP466" i="42"/>
  <c r="BO467" i="42"/>
  <c r="BP467" i="42"/>
  <c r="BQ467" i="42"/>
  <c r="BR467" i="42"/>
  <c r="BS467" i="42"/>
  <c r="BT467" i="42"/>
  <c r="BU467" i="42"/>
  <c r="BV467" i="42"/>
  <c r="BW467" i="42"/>
  <c r="BX467" i="42"/>
  <c r="BY467" i="42"/>
  <c r="BZ467" i="42"/>
  <c r="CA467" i="42"/>
  <c r="CB467" i="42"/>
  <c r="CC467" i="42"/>
  <c r="CD467" i="42"/>
  <c r="CE467" i="42"/>
  <c r="CF467" i="42"/>
  <c r="CG467" i="42"/>
  <c r="CH467" i="42"/>
  <c r="CI467" i="42"/>
  <c r="CJ467" i="42"/>
  <c r="CK467" i="42"/>
  <c r="CL467" i="42"/>
  <c r="CM467" i="42"/>
  <c r="CN467" i="42"/>
  <c r="CO467" i="42"/>
  <c r="CP467" i="42"/>
  <c r="BO468" i="42"/>
  <c r="BP468" i="42"/>
  <c r="BQ468" i="42"/>
  <c r="BR468" i="42"/>
  <c r="BS468" i="42"/>
  <c r="BT468" i="42"/>
  <c r="BU468" i="42"/>
  <c r="BV468" i="42"/>
  <c r="BW468" i="42"/>
  <c r="BX468" i="42"/>
  <c r="BY468" i="42"/>
  <c r="BZ468" i="42"/>
  <c r="CA468" i="42"/>
  <c r="CB468" i="42"/>
  <c r="CC468" i="42"/>
  <c r="CD468" i="42"/>
  <c r="CE468" i="42"/>
  <c r="CF468" i="42"/>
  <c r="CG468" i="42"/>
  <c r="CH468" i="42"/>
  <c r="CI468" i="42"/>
  <c r="CJ468" i="42"/>
  <c r="CK468" i="42"/>
  <c r="CL468" i="42"/>
  <c r="CM468" i="42"/>
  <c r="CN468" i="42"/>
  <c r="CO468" i="42"/>
  <c r="CP468" i="42"/>
  <c r="BO469" i="42"/>
  <c r="BP469" i="42"/>
  <c r="BQ469" i="42"/>
  <c r="BR469" i="42"/>
  <c r="BS469" i="42"/>
  <c r="BT469" i="42"/>
  <c r="BU469" i="42"/>
  <c r="BV469" i="42"/>
  <c r="BW469" i="42"/>
  <c r="BX469" i="42"/>
  <c r="BY469" i="42"/>
  <c r="BZ469" i="42"/>
  <c r="CA469" i="42"/>
  <c r="CB469" i="42"/>
  <c r="CC469" i="42"/>
  <c r="CD469" i="42"/>
  <c r="CE469" i="42"/>
  <c r="CF469" i="42"/>
  <c r="CG469" i="42"/>
  <c r="CH469" i="42"/>
  <c r="CI469" i="42"/>
  <c r="CJ469" i="42"/>
  <c r="CK469" i="42"/>
  <c r="CL469" i="42"/>
  <c r="CM469" i="42"/>
  <c r="CN469" i="42"/>
  <c r="CO469" i="42"/>
  <c r="CP469" i="42"/>
  <c r="BO470" i="42"/>
  <c r="BP470" i="42"/>
  <c r="BQ470" i="42"/>
  <c r="BR470" i="42"/>
  <c r="BS470" i="42"/>
  <c r="BT470" i="42"/>
  <c r="BU470" i="42"/>
  <c r="BV470" i="42"/>
  <c r="BW470" i="42"/>
  <c r="BX470" i="42"/>
  <c r="BY470" i="42"/>
  <c r="BZ470" i="42"/>
  <c r="CA470" i="42"/>
  <c r="CB470" i="42"/>
  <c r="CC470" i="42"/>
  <c r="CD470" i="42"/>
  <c r="CE470" i="42"/>
  <c r="CF470" i="42"/>
  <c r="CG470" i="42"/>
  <c r="CH470" i="42"/>
  <c r="CI470" i="42"/>
  <c r="CJ470" i="42"/>
  <c r="CK470" i="42"/>
  <c r="CL470" i="42"/>
  <c r="CM470" i="42"/>
  <c r="CN470" i="42"/>
  <c r="CO470" i="42"/>
  <c r="CP470" i="42"/>
  <c r="BO471" i="42"/>
  <c r="BP471" i="42"/>
  <c r="BQ471" i="42"/>
  <c r="BR471" i="42"/>
  <c r="BS471" i="42"/>
  <c r="BT471" i="42"/>
  <c r="BU471" i="42"/>
  <c r="BV471" i="42"/>
  <c r="BW471" i="42"/>
  <c r="BX471" i="42"/>
  <c r="BY471" i="42"/>
  <c r="BZ471" i="42"/>
  <c r="CA471" i="42"/>
  <c r="CB471" i="42"/>
  <c r="CC471" i="42"/>
  <c r="CD471" i="42"/>
  <c r="CE471" i="42"/>
  <c r="CF471" i="42"/>
  <c r="CG471" i="42"/>
  <c r="CH471" i="42"/>
  <c r="CI471" i="42"/>
  <c r="CJ471" i="42"/>
  <c r="CK471" i="42"/>
  <c r="CL471" i="42"/>
  <c r="CM471" i="42"/>
  <c r="CN471" i="42"/>
  <c r="CO471" i="42"/>
  <c r="CP471" i="42"/>
  <c r="BO472" i="42"/>
  <c r="BP472" i="42"/>
  <c r="BQ472" i="42"/>
  <c r="BR472" i="42"/>
  <c r="BS472" i="42"/>
  <c r="BT472" i="42"/>
  <c r="BU472" i="42"/>
  <c r="BV472" i="42"/>
  <c r="BW472" i="42"/>
  <c r="BX472" i="42"/>
  <c r="BY472" i="42"/>
  <c r="BZ472" i="42"/>
  <c r="CA472" i="42"/>
  <c r="CB472" i="42"/>
  <c r="CC472" i="42"/>
  <c r="CD472" i="42"/>
  <c r="CE472" i="42"/>
  <c r="CF472" i="42"/>
  <c r="CG472" i="42"/>
  <c r="CH472" i="42"/>
  <c r="CI472" i="42"/>
  <c r="CJ472" i="42"/>
  <c r="CK472" i="42"/>
  <c r="CL472" i="42"/>
  <c r="CM472" i="42"/>
  <c r="CN472" i="42"/>
  <c r="CO472" i="42"/>
  <c r="CP472" i="42"/>
  <c r="BO473" i="42"/>
  <c r="BP473" i="42"/>
  <c r="BQ473" i="42"/>
  <c r="BR473" i="42"/>
  <c r="BS473" i="42"/>
  <c r="BT473" i="42"/>
  <c r="BU473" i="42"/>
  <c r="BV473" i="42"/>
  <c r="BW473" i="42"/>
  <c r="BX473" i="42"/>
  <c r="BY473" i="42"/>
  <c r="BZ473" i="42"/>
  <c r="CA473" i="42"/>
  <c r="CB473" i="42"/>
  <c r="CC473" i="42"/>
  <c r="CD473" i="42"/>
  <c r="CE473" i="42"/>
  <c r="CF473" i="42"/>
  <c r="CG473" i="42"/>
  <c r="CH473" i="42"/>
  <c r="CI473" i="42"/>
  <c r="CJ473" i="42"/>
  <c r="CK473" i="42"/>
  <c r="CL473" i="42"/>
  <c r="CM473" i="42"/>
  <c r="CN473" i="42"/>
  <c r="CO473" i="42"/>
  <c r="CP473" i="42"/>
  <c r="BO474" i="42"/>
  <c r="BP474" i="42"/>
  <c r="BQ474" i="42"/>
  <c r="BR474" i="42"/>
  <c r="BS474" i="42"/>
  <c r="BT474" i="42"/>
  <c r="BU474" i="42"/>
  <c r="BV474" i="42"/>
  <c r="BW474" i="42"/>
  <c r="BX474" i="42"/>
  <c r="BY474" i="42"/>
  <c r="BZ474" i="42"/>
  <c r="CA474" i="42"/>
  <c r="CB474" i="42"/>
  <c r="CC474" i="42"/>
  <c r="CD474" i="42"/>
  <c r="CE474" i="42"/>
  <c r="CF474" i="42"/>
  <c r="CG474" i="42"/>
  <c r="CH474" i="42"/>
  <c r="CI474" i="42"/>
  <c r="CJ474" i="42"/>
  <c r="CK474" i="42"/>
  <c r="CL474" i="42"/>
  <c r="CM474" i="42"/>
  <c r="CN474" i="42"/>
  <c r="CO474" i="42"/>
  <c r="CP474" i="42"/>
  <c r="BO475" i="42"/>
  <c r="BP475" i="42"/>
  <c r="BQ475" i="42"/>
  <c r="BR475" i="42"/>
  <c r="BS475" i="42"/>
  <c r="BT475" i="42"/>
  <c r="BU475" i="42"/>
  <c r="BV475" i="42"/>
  <c r="BW475" i="42"/>
  <c r="BX475" i="42"/>
  <c r="BY475" i="42"/>
  <c r="BZ475" i="42"/>
  <c r="CA475" i="42"/>
  <c r="CB475" i="42"/>
  <c r="CC475" i="42"/>
  <c r="CD475" i="42"/>
  <c r="CE475" i="42"/>
  <c r="CF475" i="42"/>
  <c r="CG475" i="42"/>
  <c r="CH475" i="42"/>
  <c r="CI475" i="42"/>
  <c r="CJ475" i="42"/>
  <c r="CK475" i="42"/>
  <c r="CL475" i="42"/>
  <c r="CM475" i="42"/>
  <c r="CN475" i="42"/>
  <c r="CO475" i="42"/>
  <c r="CP475" i="42"/>
  <c r="BO476" i="42"/>
  <c r="BP476" i="42"/>
  <c r="BQ476" i="42"/>
  <c r="BR476" i="42"/>
  <c r="BS476" i="42"/>
  <c r="BT476" i="42"/>
  <c r="BU476" i="42"/>
  <c r="BV476" i="42"/>
  <c r="BW476" i="42"/>
  <c r="BX476" i="42"/>
  <c r="BY476" i="42"/>
  <c r="BZ476" i="42"/>
  <c r="CA476" i="42"/>
  <c r="CB476" i="42"/>
  <c r="CC476" i="42"/>
  <c r="CD476" i="42"/>
  <c r="CE476" i="42"/>
  <c r="CF476" i="42"/>
  <c r="CG476" i="42"/>
  <c r="CH476" i="42"/>
  <c r="CI476" i="42"/>
  <c r="CJ476" i="42"/>
  <c r="CK476" i="42"/>
  <c r="CL476" i="42"/>
  <c r="CM476" i="42"/>
  <c r="CN476" i="42"/>
  <c r="CO476" i="42"/>
  <c r="CP476" i="42"/>
  <c r="BO477" i="42"/>
  <c r="BP477" i="42"/>
  <c r="BQ477" i="42"/>
  <c r="BR477" i="42"/>
  <c r="BS477" i="42"/>
  <c r="BT477" i="42"/>
  <c r="BU477" i="42"/>
  <c r="BV477" i="42"/>
  <c r="BW477" i="42"/>
  <c r="BX477" i="42"/>
  <c r="BY477" i="42"/>
  <c r="BZ477" i="42"/>
  <c r="CA477" i="42"/>
  <c r="CB477" i="42"/>
  <c r="CC477" i="42"/>
  <c r="CD477" i="42"/>
  <c r="CE477" i="42"/>
  <c r="CF477" i="42"/>
  <c r="CG477" i="42"/>
  <c r="CH477" i="42"/>
  <c r="CI477" i="42"/>
  <c r="CJ477" i="42"/>
  <c r="CK477" i="42"/>
  <c r="CL477" i="42"/>
  <c r="CM477" i="42"/>
  <c r="CN477" i="42"/>
  <c r="CO477" i="42"/>
  <c r="CP477" i="42"/>
  <c r="BO478" i="42"/>
  <c r="BP478" i="42"/>
  <c r="BQ478" i="42"/>
  <c r="BR478" i="42"/>
  <c r="BS478" i="42"/>
  <c r="BT478" i="42"/>
  <c r="BU478" i="42"/>
  <c r="BV478" i="42"/>
  <c r="BW478" i="42"/>
  <c r="BX478" i="42"/>
  <c r="BY478" i="42"/>
  <c r="BZ478" i="42"/>
  <c r="CA478" i="42"/>
  <c r="CB478" i="42"/>
  <c r="CC478" i="42"/>
  <c r="CD478" i="42"/>
  <c r="CE478" i="42"/>
  <c r="CF478" i="42"/>
  <c r="CG478" i="42"/>
  <c r="CH478" i="42"/>
  <c r="CI478" i="42"/>
  <c r="CJ478" i="42"/>
  <c r="CK478" i="42"/>
  <c r="CL478" i="42"/>
  <c r="CM478" i="42"/>
  <c r="CN478" i="42"/>
  <c r="CO478" i="42"/>
  <c r="CP478" i="42"/>
  <c r="BO479" i="42"/>
  <c r="BP479" i="42"/>
  <c r="BQ479" i="42"/>
  <c r="BR479" i="42"/>
  <c r="BS479" i="42"/>
  <c r="BT479" i="42"/>
  <c r="BU479" i="42"/>
  <c r="BV479" i="42"/>
  <c r="BW479" i="42"/>
  <c r="BX479" i="42"/>
  <c r="BY479" i="42"/>
  <c r="BZ479" i="42"/>
  <c r="CA479" i="42"/>
  <c r="CB479" i="42"/>
  <c r="CC479" i="42"/>
  <c r="CD479" i="42"/>
  <c r="CE479" i="42"/>
  <c r="CF479" i="42"/>
  <c r="CG479" i="42"/>
  <c r="CH479" i="42"/>
  <c r="CI479" i="42"/>
  <c r="CJ479" i="42"/>
  <c r="CK479" i="42"/>
  <c r="CL479" i="42"/>
  <c r="CM479" i="42"/>
  <c r="CN479" i="42"/>
  <c r="CO479" i="42"/>
  <c r="CP479" i="42"/>
  <c r="BO480" i="42"/>
  <c r="BP480" i="42"/>
  <c r="BQ480" i="42"/>
  <c r="BR480" i="42"/>
  <c r="BS480" i="42"/>
  <c r="BT480" i="42"/>
  <c r="BU480" i="42"/>
  <c r="BV480" i="42"/>
  <c r="BW480" i="42"/>
  <c r="BX480" i="42"/>
  <c r="BY480" i="42"/>
  <c r="BZ480" i="42"/>
  <c r="CA480" i="42"/>
  <c r="CB480" i="42"/>
  <c r="CC480" i="42"/>
  <c r="CD480" i="42"/>
  <c r="CE480" i="42"/>
  <c r="CF480" i="42"/>
  <c r="CG480" i="42"/>
  <c r="CH480" i="42"/>
  <c r="CI480" i="42"/>
  <c r="CJ480" i="42"/>
  <c r="CK480" i="42"/>
  <c r="CL480" i="42"/>
  <c r="CM480" i="42"/>
  <c r="CN480" i="42"/>
  <c r="CO480" i="42"/>
  <c r="CP480" i="42"/>
  <c r="BO481" i="42"/>
  <c r="BP481" i="42"/>
  <c r="BQ481" i="42"/>
  <c r="BR481" i="42"/>
  <c r="BS481" i="42"/>
  <c r="BT481" i="42"/>
  <c r="BU481" i="42"/>
  <c r="BV481" i="42"/>
  <c r="BW481" i="42"/>
  <c r="BX481" i="42"/>
  <c r="BY481" i="42"/>
  <c r="BZ481" i="42"/>
  <c r="CA481" i="42"/>
  <c r="CB481" i="42"/>
  <c r="CC481" i="42"/>
  <c r="CD481" i="42"/>
  <c r="CE481" i="42"/>
  <c r="CF481" i="42"/>
  <c r="CG481" i="42"/>
  <c r="CH481" i="42"/>
  <c r="CI481" i="42"/>
  <c r="CJ481" i="42"/>
  <c r="CK481" i="42"/>
  <c r="CL481" i="42"/>
  <c r="CM481" i="42"/>
  <c r="CN481" i="42"/>
  <c r="CO481" i="42"/>
  <c r="CP481" i="42"/>
  <c r="BO482" i="42"/>
  <c r="BP482" i="42"/>
  <c r="BQ482" i="42"/>
  <c r="BR482" i="42"/>
  <c r="BS482" i="42"/>
  <c r="BT482" i="42"/>
  <c r="BU482" i="42"/>
  <c r="BV482" i="42"/>
  <c r="BW482" i="42"/>
  <c r="BX482" i="42"/>
  <c r="BY482" i="42"/>
  <c r="BZ482" i="42"/>
  <c r="CA482" i="42"/>
  <c r="CB482" i="42"/>
  <c r="CC482" i="42"/>
  <c r="CD482" i="42"/>
  <c r="CE482" i="42"/>
  <c r="CF482" i="42"/>
  <c r="CG482" i="42"/>
  <c r="CH482" i="42"/>
  <c r="CI482" i="42"/>
  <c r="CJ482" i="42"/>
  <c r="CK482" i="42"/>
  <c r="CL482" i="42"/>
  <c r="CM482" i="42"/>
  <c r="CN482" i="42"/>
  <c r="CO482" i="42"/>
  <c r="CP482" i="42"/>
  <c r="BO483" i="42"/>
  <c r="BP483" i="42"/>
  <c r="BQ483" i="42"/>
  <c r="BR483" i="42"/>
  <c r="BS483" i="42"/>
  <c r="BT483" i="42"/>
  <c r="BU483" i="42"/>
  <c r="BV483" i="42"/>
  <c r="BW483" i="42"/>
  <c r="BX483" i="42"/>
  <c r="BY483" i="42"/>
  <c r="BZ483" i="42"/>
  <c r="CA483" i="42"/>
  <c r="CB483" i="42"/>
  <c r="CC483" i="42"/>
  <c r="CD483" i="42"/>
  <c r="CE483" i="42"/>
  <c r="CF483" i="42"/>
  <c r="CG483" i="42"/>
  <c r="CH483" i="42"/>
  <c r="CI483" i="42"/>
  <c r="CJ483" i="42"/>
  <c r="CK483" i="42"/>
  <c r="CL483" i="42"/>
  <c r="CM483" i="42"/>
  <c r="CN483" i="42"/>
  <c r="CO483" i="42"/>
  <c r="CP483" i="42"/>
  <c r="BO484" i="42"/>
  <c r="BP484" i="42"/>
  <c r="BQ484" i="42"/>
  <c r="BR484" i="42"/>
  <c r="BS484" i="42"/>
  <c r="BT484" i="42"/>
  <c r="BU484" i="42"/>
  <c r="BV484" i="42"/>
  <c r="BW484" i="42"/>
  <c r="BX484" i="42"/>
  <c r="BY484" i="42"/>
  <c r="BZ484" i="42"/>
  <c r="CA484" i="42"/>
  <c r="CB484" i="42"/>
  <c r="CC484" i="42"/>
  <c r="CD484" i="42"/>
  <c r="CE484" i="42"/>
  <c r="CF484" i="42"/>
  <c r="CG484" i="42"/>
  <c r="CH484" i="42"/>
  <c r="CI484" i="42"/>
  <c r="CJ484" i="42"/>
  <c r="CK484" i="42"/>
  <c r="CL484" i="42"/>
  <c r="CM484" i="42"/>
  <c r="CN484" i="42"/>
  <c r="CO484" i="42"/>
  <c r="CP484" i="42"/>
  <c r="BO485" i="42"/>
  <c r="BP485" i="42"/>
  <c r="BQ485" i="42"/>
  <c r="BR485" i="42"/>
  <c r="BS485" i="42"/>
  <c r="BT485" i="42"/>
  <c r="BU485" i="42"/>
  <c r="BV485" i="42"/>
  <c r="BW485" i="42"/>
  <c r="BX485" i="42"/>
  <c r="BY485" i="42"/>
  <c r="BZ485" i="42"/>
  <c r="CA485" i="42"/>
  <c r="CB485" i="42"/>
  <c r="CC485" i="42"/>
  <c r="CD485" i="42"/>
  <c r="CE485" i="42"/>
  <c r="CF485" i="42"/>
  <c r="CG485" i="42"/>
  <c r="CH485" i="42"/>
  <c r="CI485" i="42"/>
  <c r="CJ485" i="42"/>
  <c r="CK485" i="42"/>
  <c r="CL485" i="42"/>
  <c r="CM485" i="42"/>
  <c r="CN485" i="42"/>
  <c r="CO485" i="42"/>
  <c r="CP485" i="42"/>
  <c r="BO486" i="42"/>
  <c r="BP486" i="42"/>
  <c r="BQ486" i="42"/>
  <c r="BR486" i="42"/>
  <c r="BS486" i="42"/>
  <c r="BT486" i="42"/>
  <c r="BU486" i="42"/>
  <c r="BV486" i="42"/>
  <c r="BW486" i="42"/>
  <c r="BX486" i="42"/>
  <c r="BY486" i="42"/>
  <c r="BZ486" i="42"/>
  <c r="CA486" i="42"/>
  <c r="CB486" i="42"/>
  <c r="CC486" i="42"/>
  <c r="CD486" i="42"/>
  <c r="CE486" i="42"/>
  <c r="CF486" i="42"/>
  <c r="CG486" i="42"/>
  <c r="CH486" i="42"/>
  <c r="CI486" i="42"/>
  <c r="CJ486" i="42"/>
  <c r="CK486" i="42"/>
  <c r="CL486" i="42"/>
  <c r="CM486" i="42"/>
  <c r="CN486" i="42"/>
  <c r="CO486" i="42"/>
  <c r="CP486" i="42"/>
  <c r="BO487" i="42"/>
  <c r="BP487" i="42"/>
  <c r="BQ487" i="42"/>
  <c r="BR487" i="42"/>
  <c r="BS487" i="42"/>
  <c r="BT487" i="42"/>
  <c r="BU487" i="42"/>
  <c r="BV487" i="42"/>
  <c r="BW487" i="42"/>
  <c r="BX487" i="42"/>
  <c r="BY487" i="42"/>
  <c r="BZ487" i="42"/>
  <c r="CA487" i="42"/>
  <c r="CB487" i="42"/>
  <c r="CC487" i="42"/>
  <c r="CD487" i="42"/>
  <c r="CE487" i="42"/>
  <c r="CF487" i="42"/>
  <c r="CG487" i="42"/>
  <c r="CH487" i="42"/>
  <c r="CI487" i="42"/>
  <c r="CJ487" i="42"/>
  <c r="CK487" i="42"/>
  <c r="CL487" i="42"/>
  <c r="CM487" i="42"/>
  <c r="CN487" i="42"/>
  <c r="CO487" i="42"/>
  <c r="CP487" i="42"/>
  <c r="BO488" i="42"/>
  <c r="BP488" i="42"/>
  <c r="BQ488" i="42"/>
  <c r="BR488" i="42"/>
  <c r="BS488" i="42"/>
  <c r="BT488" i="42"/>
  <c r="BU488" i="42"/>
  <c r="BV488" i="42"/>
  <c r="BW488" i="42"/>
  <c r="BX488" i="42"/>
  <c r="BY488" i="42"/>
  <c r="BZ488" i="42"/>
  <c r="CA488" i="42"/>
  <c r="CB488" i="42"/>
  <c r="CC488" i="42"/>
  <c r="CD488" i="42"/>
  <c r="CE488" i="42"/>
  <c r="CF488" i="42"/>
  <c r="CG488" i="42"/>
  <c r="CH488" i="42"/>
  <c r="CI488" i="42"/>
  <c r="CJ488" i="42"/>
  <c r="CK488" i="42"/>
  <c r="CL488" i="42"/>
  <c r="CM488" i="42"/>
  <c r="CN488" i="42"/>
  <c r="CO488" i="42"/>
  <c r="CP488" i="42"/>
  <c r="BO489" i="42"/>
  <c r="BP489" i="42"/>
  <c r="BQ489" i="42"/>
  <c r="BR489" i="42"/>
  <c r="BS489" i="42"/>
  <c r="BT489" i="42"/>
  <c r="BU489" i="42"/>
  <c r="BV489" i="42"/>
  <c r="BW489" i="42"/>
  <c r="BX489" i="42"/>
  <c r="BY489" i="42"/>
  <c r="BZ489" i="42"/>
  <c r="CA489" i="42"/>
  <c r="CB489" i="42"/>
  <c r="CC489" i="42"/>
  <c r="CD489" i="42"/>
  <c r="CE489" i="42"/>
  <c r="CF489" i="42"/>
  <c r="CG489" i="42"/>
  <c r="CH489" i="42"/>
  <c r="CI489" i="42"/>
  <c r="CJ489" i="42"/>
  <c r="CK489" i="42"/>
  <c r="CL489" i="42"/>
  <c r="CM489" i="42"/>
  <c r="CN489" i="42"/>
  <c r="CO489" i="42"/>
  <c r="CP489" i="42"/>
  <c r="BO490" i="42"/>
  <c r="BP490" i="42"/>
  <c r="BQ490" i="42"/>
  <c r="BR490" i="42"/>
  <c r="BS490" i="42"/>
  <c r="BT490" i="42"/>
  <c r="BU490" i="42"/>
  <c r="BV490" i="42"/>
  <c r="BW490" i="42"/>
  <c r="BX490" i="42"/>
  <c r="BY490" i="42"/>
  <c r="BZ490" i="42"/>
  <c r="CA490" i="42"/>
  <c r="CB490" i="42"/>
  <c r="CC490" i="42"/>
  <c r="CD490" i="42"/>
  <c r="CE490" i="42"/>
  <c r="CF490" i="42"/>
  <c r="CG490" i="42"/>
  <c r="CH490" i="42"/>
  <c r="CI490" i="42"/>
  <c r="CJ490" i="42"/>
  <c r="CK490" i="42"/>
  <c r="CL490" i="42"/>
  <c r="CM490" i="42"/>
  <c r="CN490" i="42"/>
  <c r="CO490" i="42"/>
  <c r="CP490" i="42"/>
  <c r="BO491" i="42"/>
  <c r="BP491" i="42"/>
  <c r="BQ491" i="42"/>
  <c r="BR491" i="42"/>
  <c r="BS491" i="42"/>
  <c r="BT491" i="42"/>
  <c r="BU491" i="42"/>
  <c r="BV491" i="42"/>
  <c r="BW491" i="42"/>
  <c r="BX491" i="42"/>
  <c r="BY491" i="42"/>
  <c r="BZ491" i="42"/>
  <c r="CA491" i="42"/>
  <c r="CB491" i="42"/>
  <c r="CC491" i="42"/>
  <c r="CD491" i="42"/>
  <c r="CE491" i="42"/>
  <c r="CF491" i="42"/>
  <c r="CG491" i="42"/>
  <c r="CH491" i="42"/>
  <c r="CI491" i="42"/>
  <c r="CJ491" i="42"/>
  <c r="CK491" i="42"/>
  <c r="CL491" i="42"/>
  <c r="CM491" i="42"/>
  <c r="CN491" i="42"/>
  <c r="CO491" i="42"/>
  <c r="CP491" i="42"/>
  <c r="BO492" i="42"/>
  <c r="BP492" i="42"/>
  <c r="BQ492" i="42"/>
  <c r="BR492" i="42"/>
  <c r="BS492" i="42"/>
  <c r="BT492" i="42"/>
  <c r="BU492" i="42"/>
  <c r="BV492" i="42"/>
  <c r="BW492" i="42"/>
  <c r="BX492" i="42"/>
  <c r="BY492" i="42"/>
  <c r="BZ492" i="42"/>
  <c r="CA492" i="42"/>
  <c r="CB492" i="42"/>
  <c r="CC492" i="42"/>
  <c r="CD492" i="42"/>
  <c r="CE492" i="42"/>
  <c r="CF492" i="42"/>
  <c r="CG492" i="42"/>
  <c r="CH492" i="42"/>
  <c r="CI492" i="42"/>
  <c r="CJ492" i="42"/>
  <c r="CK492" i="42"/>
  <c r="CL492" i="42"/>
  <c r="CM492" i="42"/>
  <c r="CN492" i="42"/>
  <c r="CO492" i="42"/>
  <c r="CP492" i="42"/>
  <c r="BO493" i="42"/>
  <c r="BP493" i="42"/>
  <c r="BQ493" i="42"/>
  <c r="BR493" i="42"/>
  <c r="BS493" i="42"/>
  <c r="BT493" i="42"/>
  <c r="BU493" i="42"/>
  <c r="BV493" i="42"/>
  <c r="BW493" i="42"/>
  <c r="BX493" i="42"/>
  <c r="BY493" i="42"/>
  <c r="BZ493" i="42"/>
  <c r="CA493" i="42"/>
  <c r="CB493" i="42"/>
  <c r="CC493" i="42"/>
  <c r="CD493" i="42"/>
  <c r="CE493" i="42"/>
  <c r="CF493" i="42"/>
  <c r="CG493" i="42"/>
  <c r="CH493" i="42"/>
  <c r="CI493" i="42"/>
  <c r="CJ493" i="42"/>
  <c r="CK493" i="42"/>
  <c r="CL493" i="42"/>
  <c r="CM493" i="42"/>
  <c r="CN493" i="42"/>
  <c r="CO493" i="42"/>
  <c r="CP493" i="42"/>
  <c r="BO494" i="42"/>
  <c r="BP494" i="42"/>
  <c r="BQ494" i="42"/>
  <c r="BR494" i="42"/>
  <c r="BS494" i="42"/>
  <c r="BT494" i="42"/>
  <c r="BU494" i="42"/>
  <c r="BV494" i="42"/>
  <c r="BW494" i="42"/>
  <c r="BX494" i="42"/>
  <c r="BY494" i="42"/>
  <c r="BZ494" i="42"/>
  <c r="CA494" i="42"/>
  <c r="CB494" i="42"/>
  <c r="CC494" i="42"/>
  <c r="CD494" i="42"/>
  <c r="CE494" i="42"/>
  <c r="CF494" i="42"/>
  <c r="CG494" i="42"/>
  <c r="CH494" i="42"/>
  <c r="CI494" i="42"/>
  <c r="CJ494" i="42"/>
  <c r="CK494" i="42"/>
  <c r="CL494" i="42"/>
  <c r="CM494" i="42"/>
  <c r="CN494" i="42"/>
  <c r="CO494" i="42"/>
  <c r="CP494" i="42"/>
  <c r="BO495" i="42"/>
  <c r="BP495" i="42"/>
  <c r="BQ495" i="42"/>
  <c r="BR495" i="42"/>
  <c r="BS495" i="42"/>
  <c r="BT495" i="42"/>
  <c r="BU495" i="42"/>
  <c r="BV495" i="42"/>
  <c r="BW495" i="42"/>
  <c r="BX495" i="42"/>
  <c r="BY495" i="42"/>
  <c r="BZ495" i="42"/>
  <c r="CA495" i="42"/>
  <c r="CB495" i="42"/>
  <c r="CC495" i="42"/>
  <c r="CD495" i="42"/>
  <c r="CE495" i="42"/>
  <c r="CF495" i="42"/>
  <c r="CG495" i="42"/>
  <c r="CH495" i="42"/>
  <c r="CI495" i="42"/>
  <c r="CJ495" i="42"/>
  <c r="CK495" i="42"/>
  <c r="CL495" i="42"/>
  <c r="CM495" i="42"/>
  <c r="CN495" i="42"/>
  <c r="CO495" i="42"/>
  <c r="CP495" i="42"/>
  <c r="BO496" i="42"/>
  <c r="BP496" i="42"/>
  <c r="BQ496" i="42"/>
  <c r="BR496" i="42"/>
  <c r="BS496" i="42"/>
  <c r="BT496" i="42"/>
  <c r="BU496" i="42"/>
  <c r="BV496" i="42"/>
  <c r="BW496" i="42"/>
  <c r="BX496" i="42"/>
  <c r="BY496" i="42"/>
  <c r="BZ496" i="42"/>
  <c r="CA496" i="42"/>
  <c r="CB496" i="42"/>
  <c r="CC496" i="42"/>
  <c r="CD496" i="42"/>
  <c r="CE496" i="42"/>
  <c r="CF496" i="42"/>
  <c r="CG496" i="42"/>
  <c r="CH496" i="42"/>
  <c r="CI496" i="42"/>
  <c r="CJ496" i="42"/>
  <c r="CK496" i="42"/>
  <c r="CL496" i="42"/>
  <c r="CM496" i="42"/>
  <c r="CN496" i="42"/>
  <c r="CO496" i="42"/>
  <c r="CP496" i="42"/>
  <c r="BO497" i="42"/>
  <c r="BP497" i="42"/>
  <c r="BQ497" i="42"/>
  <c r="BR497" i="42"/>
  <c r="BS497" i="42"/>
  <c r="BT497" i="42"/>
  <c r="BU497" i="42"/>
  <c r="BV497" i="42"/>
  <c r="BW497" i="42"/>
  <c r="BX497" i="42"/>
  <c r="BY497" i="42"/>
  <c r="BZ497" i="42"/>
  <c r="CA497" i="42"/>
  <c r="CB497" i="42"/>
  <c r="CC497" i="42"/>
  <c r="CD497" i="42"/>
  <c r="CE497" i="42"/>
  <c r="CF497" i="42"/>
  <c r="CG497" i="42"/>
  <c r="CH497" i="42"/>
  <c r="CI497" i="42"/>
  <c r="CJ497" i="42"/>
  <c r="CK497" i="42"/>
  <c r="CL497" i="42"/>
  <c r="CM497" i="42"/>
  <c r="CN497" i="42"/>
  <c r="CO497" i="42"/>
  <c r="CP497" i="42"/>
  <c r="BO498" i="42"/>
  <c r="BP498" i="42"/>
  <c r="BQ498" i="42"/>
  <c r="BR498" i="42"/>
  <c r="BS498" i="42"/>
  <c r="BT498" i="42"/>
  <c r="BU498" i="42"/>
  <c r="BV498" i="42"/>
  <c r="BW498" i="42"/>
  <c r="BX498" i="42"/>
  <c r="BY498" i="42"/>
  <c r="BZ498" i="42"/>
  <c r="CA498" i="42"/>
  <c r="CB498" i="42"/>
  <c r="CC498" i="42"/>
  <c r="CD498" i="42"/>
  <c r="CE498" i="42"/>
  <c r="CF498" i="42"/>
  <c r="CG498" i="42"/>
  <c r="CH498" i="42"/>
  <c r="CI498" i="42"/>
  <c r="CJ498" i="42"/>
  <c r="CK498" i="42"/>
  <c r="CL498" i="42"/>
  <c r="CM498" i="42"/>
  <c r="CN498" i="42"/>
  <c r="CO498" i="42"/>
  <c r="CP498" i="42"/>
  <c r="BO499" i="42"/>
  <c r="BP499" i="42"/>
  <c r="BQ499" i="42"/>
  <c r="BR499" i="42"/>
  <c r="BS499" i="42"/>
  <c r="BT499" i="42"/>
  <c r="BU499" i="42"/>
  <c r="BV499" i="42"/>
  <c r="BW499" i="42"/>
  <c r="BX499" i="42"/>
  <c r="BY499" i="42"/>
  <c r="BZ499" i="42"/>
  <c r="CA499" i="42"/>
  <c r="CB499" i="42"/>
  <c r="CC499" i="42"/>
  <c r="CD499" i="42"/>
  <c r="CE499" i="42"/>
  <c r="CF499" i="42"/>
  <c r="CG499" i="42"/>
  <c r="CH499" i="42"/>
  <c r="CI499" i="42"/>
  <c r="CJ499" i="42"/>
  <c r="CK499" i="42"/>
  <c r="CL499" i="42"/>
  <c r="CM499" i="42"/>
  <c r="CN499" i="42"/>
  <c r="CO499" i="42"/>
  <c r="CP499" i="42"/>
  <c r="BO500" i="42"/>
  <c r="BP500" i="42"/>
  <c r="BQ500" i="42"/>
  <c r="BR500" i="42"/>
  <c r="BS500" i="42"/>
  <c r="BT500" i="42"/>
  <c r="BU500" i="42"/>
  <c r="BV500" i="42"/>
  <c r="BW500" i="42"/>
  <c r="BX500" i="42"/>
  <c r="BY500" i="42"/>
  <c r="BZ500" i="42"/>
  <c r="CA500" i="42"/>
  <c r="CB500" i="42"/>
  <c r="CC500" i="42"/>
  <c r="CD500" i="42"/>
  <c r="CE500" i="42"/>
  <c r="CF500" i="42"/>
  <c r="CG500" i="42"/>
  <c r="CH500" i="42"/>
  <c r="CI500" i="42"/>
  <c r="CJ500" i="42"/>
  <c r="CK500" i="42"/>
  <c r="CL500" i="42"/>
  <c r="CM500" i="42"/>
  <c r="CN500" i="42"/>
  <c r="CO500" i="42"/>
  <c r="CP500" i="42"/>
  <c r="BO501" i="42"/>
  <c r="BP501" i="42"/>
  <c r="BQ501" i="42"/>
  <c r="BR501" i="42"/>
  <c r="BS501" i="42"/>
  <c r="BT501" i="42"/>
  <c r="BU501" i="42"/>
  <c r="BV501" i="42"/>
  <c r="BW501" i="42"/>
  <c r="BX501" i="42"/>
  <c r="BY501" i="42"/>
  <c r="BZ501" i="42"/>
  <c r="CA501" i="42"/>
  <c r="CB501" i="42"/>
  <c r="CC501" i="42"/>
  <c r="CD501" i="42"/>
  <c r="CE501" i="42"/>
  <c r="CF501" i="42"/>
  <c r="CG501" i="42"/>
  <c r="CH501" i="42"/>
  <c r="CI501" i="42"/>
  <c r="CJ501" i="42"/>
  <c r="CK501" i="42"/>
  <c r="CL501" i="42"/>
  <c r="CM501" i="42"/>
  <c r="CN501" i="42"/>
  <c r="CO501" i="42"/>
  <c r="CP501" i="42"/>
  <c r="BO502" i="42"/>
  <c r="BP502" i="42"/>
  <c r="BQ502" i="42"/>
  <c r="BR502" i="42"/>
  <c r="BS502" i="42"/>
  <c r="BT502" i="42"/>
  <c r="BU502" i="42"/>
  <c r="BV502" i="42"/>
  <c r="BW502" i="42"/>
  <c r="BX502" i="42"/>
  <c r="BY502" i="42"/>
  <c r="BZ502" i="42"/>
  <c r="CA502" i="42"/>
  <c r="CB502" i="42"/>
  <c r="CC502" i="42"/>
  <c r="CD502" i="42"/>
  <c r="CE502" i="42"/>
  <c r="CF502" i="42"/>
  <c r="CG502" i="42"/>
  <c r="CH502" i="42"/>
  <c r="CI502" i="42"/>
  <c r="CJ502" i="42"/>
  <c r="CK502" i="42"/>
  <c r="CL502" i="42"/>
  <c r="CM502" i="42"/>
  <c r="CN502" i="42"/>
  <c r="CO502" i="42"/>
  <c r="CP502" i="42"/>
  <c r="BO503" i="42"/>
  <c r="BP503" i="42"/>
  <c r="BQ503" i="42"/>
  <c r="BR503" i="42"/>
  <c r="BS503" i="42"/>
  <c r="BT503" i="42"/>
  <c r="BU503" i="42"/>
  <c r="BV503" i="42"/>
  <c r="BW503" i="42"/>
  <c r="BX503" i="42"/>
  <c r="BY503" i="42"/>
  <c r="BZ503" i="42"/>
  <c r="CA503" i="42"/>
  <c r="CB503" i="42"/>
  <c r="CC503" i="42"/>
  <c r="CD503" i="42"/>
  <c r="CE503" i="42"/>
  <c r="CF503" i="42"/>
  <c r="CG503" i="42"/>
  <c r="CH503" i="42"/>
  <c r="CI503" i="42"/>
  <c r="CJ503" i="42"/>
  <c r="CK503" i="42"/>
  <c r="CL503" i="42"/>
  <c r="CM503" i="42"/>
  <c r="CN503" i="42"/>
  <c r="CO503" i="42"/>
  <c r="CP503" i="42"/>
  <c r="BO504" i="42"/>
  <c r="BP504" i="42"/>
  <c r="BQ504" i="42"/>
  <c r="BR504" i="42"/>
  <c r="BS504" i="42"/>
  <c r="BT504" i="42"/>
  <c r="BU504" i="42"/>
  <c r="BV504" i="42"/>
  <c r="BW504" i="42"/>
  <c r="BX504" i="42"/>
  <c r="BY504" i="42"/>
  <c r="BZ504" i="42"/>
  <c r="CA504" i="42"/>
  <c r="CB504" i="42"/>
  <c r="CC504" i="42"/>
  <c r="CD504" i="42"/>
  <c r="CE504" i="42"/>
  <c r="CF504" i="42"/>
  <c r="CG504" i="42"/>
  <c r="CH504" i="42"/>
  <c r="CI504" i="42"/>
  <c r="CJ504" i="42"/>
  <c r="CK504" i="42"/>
  <c r="CL504" i="42"/>
  <c r="CM504" i="42"/>
  <c r="CN504" i="42"/>
  <c r="CO504" i="42"/>
  <c r="CP504" i="42"/>
  <c r="BO505" i="42"/>
  <c r="BP505" i="42"/>
  <c r="BQ505" i="42"/>
  <c r="BR505" i="42"/>
  <c r="BS505" i="42"/>
  <c r="BT505" i="42"/>
  <c r="BU505" i="42"/>
  <c r="BV505" i="42"/>
  <c r="BW505" i="42"/>
  <c r="BX505" i="42"/>
  <c r="BY505" i="42"/>
  <c r="BZ505" i="42"/>
  <c r="CA505" i="42"/>
  <c r="CB505" i="42"/>
  <c r="CC505" i="42"/>
  <c r="CD505" i="42"/>
  <c r="CE505" i="42"/>
  <c r="CF505" i="42"/>
  <c r="CG505" i="42"/>
  <c r="CH505" i="42"/>
  <c r="CI505" i="42"/>
  <c r="CJ505" i="42"/>
  <c r="CK505" i="42"/>
  <c r="CL505" i="42"/>
  <c r="CM505" i="42"/>
  <c r="CN505" i="42"/>
  <c r="CO505" i="42"/>
  <c r="CP505" i="42"/>
  <c r="BO506" i="42"/>
  <c r="BP506" i="42"/>
  <c r="BQ506" i="42"/>
  <c r="BR506" i="42"/>
  <c r="BS506" i="42"/>
  <c r="BT506" i="42"/>
  <c r="BU506" i="42"/>
  <c r="BV506" i="42"/>
  <c r="BW506" i="42"/>
  <c r="BX506" i="42"/>
  <c r="BY506" i="42"/>
  <c r="BZ506" i="42"/>
  <c r="CA506" i="42"/>
  <c r="CB506" i="42"/>
  <c r="CC506" i="42"/>
  <c r="CD506" i="42"/>
  <c r="CE506" i="42"/>
  <c r="CF506" i="42"/>
  <c r="CG506" i="42"/>
  <c r="CH506" i="42"/>
  <c r="CI506" i="42"/>
  <c r="CJ506" i="42"/>
  <c r="CK506" i="42"/>
  <c r="CL506" i="42"/>
  <c r="CM506" i="42"/>
  <c r="CN506" i="42"/>
  <c r="CO506" i="42"/>
  <c r="CP506" i="42"/>
  <c r="BO507" i="42"/>
  <c r="BP507" i="42"/>
  <c r="BQ507" i="42"/>
  <c r="BR507" i="42"/>
  <c r="BS507" i="42"/>
  <c r="BT507" i="42"/>
  <c r="BU507" i="42"/>
  <c r="BV507" i="42"/>
  <c r="BW507" i="42"/>
  <c r="BX507" i="42"/>
  <c r="BY507" i="42"/>
  <c r="BZ507" i="42"/>
  <c r="CA507" i="42"/>
  <c r="CB507" i="42"/>
  <c r="CC507" i="42"/>
  <c r="CD507" i="42"/>
  <c r="CE507" i="42"/>
  <c r="CF507" i="42"/>
  <c r="CG507" i="42"/>
  <c r="CH507" i="42"/>
  <c r="CI507" i="42"/>
  <c r="CJ507" i="42"/>
  <c r="CK507" i="42"/>
  <c r="CL507" i="42"/>
  <c r="CM507" i="42"/>
  <c r="CN507" i="42"/>
  <c r="CO507" i="42"/>
  <c r="CP507" i="42"/>
  <c r="BO508" i="42"/>
  <c r="BP508" i="42"/>
  <c r="BQ508" i="42"/>
  <c r="BR508" i="42"/>
  <c r="BS508" i="42"/>
  <c r="BT508" i="42"/>
  <c r="BU508" i="42"/>
  <c r="BV508" i="42"/>
  <c r="BW508" i="42"/>
  <c r="BX508" i="42"/>
  <c r="BY508" i="42"/>
  <c r="BZ508" i="42"/>
  <c r="CA508" i="42"/>
  <c r="CB508" i="42"/>
  <c r="CC508" i="42"/>
  <c r="CD508" i="42"/>
  <c r="CE508" i="42"/>
  <c r="CF508" i="42"/>
  <c r="CG508" i="42"/>
  <c r="CH508" i="42"/>
  <c r="CI508" i="42"/>
  <c r="CJ508" i="42"/>
  <c r="CK508" i="42"/>
  <c r="CL508" i="42"/>
  <c r="CM508" i="42"/>
  <c r="CN508" i="42"/>
  <c r="CO508" i="42"/>
  <c r="CP508" i="42"/>
  <c r="BO509" i="42"/>
  <c r="BP509" i="42"/>
  <c r="BQ509" i="42"/>
  <c r="BR509" i="42"/>
  <c r="BS509" i="42"/>
  <c r="BT509" i="42"/>
  <c r="BU509" i="42"/>
  <c r="BV509" i="42"/>
  <c r="BW509" i="42"/>
  <c r="BX509" i="42"/>
  <c r="BY509" i="42"/>
  <c r="BZ509" i="42"/>
  <c r="CA509" i="42"/>
  <c r="CB509" i="42"/>
  <c r="CC509" i="42"/>
  <c r="CD509" i="42"/>
  <c r="CE509" i="42"/>
  <c r="CF509" i="42"/>
  <c r="CG509" i="42"/>
  <c r="CH509" i="42"/>
  <c r="CI509" i="42"/>
  <c r="CJ509" i="42"/>
  <c r="CK509" i="42"/>
  <c r="CL509" i="42"/>
  <c r="CM509" i="42"/>
  <c r="CN509" i="42"/>
  <c r="CO509" i="42"/>
  <c r="CP509" i="42"/>
  <c r="BO510" i="42"/>
  <c r="BP510" i="42"/>
  <c r="BQ510" i="42"/>
  <c r="BR510" i="42"/>
  <c r="BS510" i="42"/>
  <c r="BT510" i="42"/>
  <c r="BU510" i="42"/>
  <c r="BV510" i="42"/>
  <c r="BW510" i="42"/>
  <c r="BX510" i="42"/>
  <c r="BY510" i="42"/>
  <c r="BZ510" i="42"/>
  <c r="CA510" i="42"/>
  <c r="CB510" i="42"/>
  <c r="CC510" i="42"/>
  <c r="CD510" i="42"/>
  <c r="CE510" i="42"/>
  <c r="CF510" i="42"/>
  <c r="CG510" i="42"/>
  <c r="CH510" i="42"/>
  <c r="CI510" i="42"/>
  <c r="CJ510" i="42"/>
  <c r="CK510" i="42"/>
  <c r="CL510" i="42"/>
  <c r="CM510" i="42"/>
  <c r="CN510" i="42"/>
  <c r="CO510" i="42"/>
  <c r="CP510" i="42"/>
  <c r="BO511" i="42"/>
  <c r="BP511" i="42"/>
  <c r="BQ511" i="42"/>
  <c r="BR511" i="42"/>
  <c r="BS511" i="42"/>
  <c r="BT511" i="42"/>
  <c r="BU511" i="42"/>
  <c r="BV511" i="42"/>
  <c r="BW511" i="42"/>
  <c r="BX511" i="42"/>
  <c r="BY511" i="42"/>
  <c r="BZ511" i="42"/>
  <c r="CA511" i="42"/>
  <c r="CB511" i="42"/>
  <c r="CC511" i="42"/>
  <c r="CD511" i="42"/>
  <c r="CE511" i="42"/>
  <c r="CF511" i="42"/>
  <c r="CG511" i="42"/>
  <c r="CH511" i="42"/>
  <c r="CI511" i="42"/>
  <c r="CJ511" i="42"/>
  <c r="CK511" i="42"/>
  <c r="CL511" i="42"/>
  <c r="CM511" i="42"/>
  <c r="CN511" i="42"/>
  <c r="CO511" i="42"/>
  <c r="CP511" i="42"/>
  <c r="BO512" i="42"/>
  <c r="BP512" i="42"/>
  <c r="BQ512" i="42"/>
  <c r="BR512" i="42"/>
  <c r="BS512" i="42"/>
  <c r="BT512" i="42"/>
  <c r="BU512" i="42"/>
  <c r="BV512" i="42"/>
  <c r="BW512" i="42"/>
  <c r="BX512" i="42"/>
  <c r="BY512" i="42"/>
  <c r="BZ512" i="42"/>
  <c r="CA512" i="42"/>
  <c r="CB512" i="42"/>
  <c r="CC512" i="42"/>
  <c r="CD512" i="42"/>
  <c r="CE512" i="42"/>
  <c r="CF512" i="42"/>
  <c r="CG512" i="42"/>
  <c r="CH512" i="42"/>
  <c r="CI512" i="42"/>
  <c r="CJ512" i="42"/>
  <c r="CK512" i="42"/>
  <c r="CL512" i="42"/>
  <c r="CM512" i="42"/>
  <c r="CN512" i="42"/>
  <c r="CO512" i="42"/>
  <c r="CP512" i="42"/>
  <c r="BO513" i="42"/>
  <c r="BP513" i="42"/>
  <c r="BQ513" i="42"/>
  <c r="BR513" i="42"/>
  <c r="BS513" i="42"/>
  <c r="BT513" i="42"/>
  <c r="BU513" i="42"/>
  <c r="BV513" i="42"/>
  <c r="BW513" i="42"/>
  <c r="BX513" i="42"/>
  <c r="BY513" i="42"/>
  <c r="BZ513" i="42"/>
  <c r="CA513" i="42"/>
  <c r="CB513" i="42"/>
  <c r="CC513" i="42"/>
  <c r="CD513" i="42"/>
  <c r="CE513" i="42"/>
  <c r="CF513" i="42"/>
  <c r="CG513" i="42"/>
  <c r="CH513" i="42"/>
  <c r="CI513" i="42"/>
  <c r="CJ513" i="42"/>
  <c r="CK513" i="42"/>
  <c r="CL513" i="42"/>
  <c r="CM513" i="42"/>
  <c r="CN513" i="42"/>
  <c r="CO513" i="42"/>
  <c r="CP513" i="42"/>
  <c r="BO514" i="42"/>
  <c r="BP514" i="42"/>
  <c r="BQ514" i="42"/>
  <c r="BR514" i="42"/>
  <c r="BS514" i="42"/>
  <c r="BT514" i="42"/>
  <c r="BU514" i="42"/>
  <c r="BV514" i="42"/>
  <c r="BW514" i="42"/>
  <c r="BX514" i="42"/>
  <c r="BY514" i="42"/>
  <c r="BZ514" i="42"/>
  <c r="CA514" i="42"/>
  <c r="CB514" i="42"/>
  <c r="CC514" i="42"/>
  <c r="CD514" i="42"/>
  <c r="CE514" i="42"/>
  <c r="CF514" i="42"/>
  <c r="CG514" i="42"/>
  <c r="CH514" i="42"/>
  <c r="CI514" i="42"/>
  <c r="CJ514" i="42"/>
  <c r="CK514" i="42"/>
  <c r="CL514" i="42"/>
  <c r="CM514" i="42"/>
  <c r="CN514" i="42"/>
  <c r="CO514" i="42"/>
  <c r="CP514" i="42"/>
  <c r="BO515" i="42"/>
  <c r="BP515" i="42"/>
  <c r="BQ515" i="42"/>
  <c r="BR515" i="42"/>
  <c r="BS515" i="42"/>
  <c r="BT515" i="42"/>
  <c r="BU515" i="42"/>
  <c r="BV515" i="42"/>
  <c r="BW515" i="42"/>
  <c r="BX515" i="42"/>
  <c r="BY515" i="42"/>
  <c r="BZ515" i="42"/>
  <c r="CA515" i="42"/>
  <c r="CB515" i="42"/>
  <c r="CC515" i="42"/>
  <c r="CD515" i="42"/>
  <c r="CE515" i="42"/>
  <c r="CF515" i="42"/>
  <c r="CG515" i="42"/>
  <c r="CH515" i="42"/>
  <c r="CI515" i="42"/>
  <c r="CJ515" i="42"/>
  <c r="CK515" i="42"/>
  <c r="CL515" i="42"/>
  <c r="CM515" i="42"/>
  <c r="CN515" i="42"/>
  <c r="CO515" i="42"/>
  <c r="CP515" i="42"/>
  <c r="BO516" i="42"/>
  <c r="BP516" i="42"/>
  <c r="BQ516" i="42"/>
  <c r="BR516" i="42"/>
  <c r="BS516" i="42"/>
  <c r="BT516" i="42"/>
  <c r="BU516" i="42"/>
  <c r="BV516" i="42"/>
  <c r="BW516" i="42"/>
  <c r="BX516" i="42"/>
  <c r="BY516" i="42"/>
  <c r="BZ516" i="42"/>
  <c r="CA516" i="42"/>
  <c r="CB516" i="42"/>
  <c r="CC516" i="42"/>
  <c r="CD516" i="42"/>
  <c r="CE516" i="42"/>
  <c r="CF516" i="42"/>
  <c r="CG516" i="42"/>
  <c r="CH516" i="42"/>
  <c r="CI516" i="42"/>
  <c r="CJ516" i="42"/>
  <c r="CK516" i="42"/>
  <c r="CL516" i="42"/>
  <c r="CM516" i="42"/>
  <c r="CN516" i="42"/>
  <c r="CO516" i="42"/>
  <c r="CP516" i="42"/>
  <c r="BO517" i="42"/>
  <c r="BP517" i="42"/>
  <c r="BQ517" i="42"/>
  <c r="BR517" i="42"/>
  <c r="BS517" i="42"/>
  <c r="BT517" i="42"/>
  <c r="BU517" i="42"/>
  <c r="BV517" i="42"/>
  <c r="BW517" i="42"/>
  <c r="BX517" i="42"/>
  <c r="BY517" i="42"/>
  <c r="BZ517" i="42"/>
  <c r="CA517" i="42"/>
  <c r="CB517" i="42"/>
  <c r="CC517" i="42"/>
  <c r="CD517" i="42"/>
  <c r="CE517" i="42"/>
  <c r="CF517" i="42"/>
  <c r="CG517" i="42"/>
  <c r="CH517" i="42"/>
  <c r="CI517" i="42"/>
  <c r="CJ517" i="42"/>
  <c r="CK517" i="42"/>
  <c r="CL517" i="42"/>
  <c r="CM517" i="42"/>
  <c r="CN517" i="42"/>
  <c r="CO517" i="42"/>
  <c r="CP517" i="42"/>
  <c r="BO518" i="42"/>
  <c r="BP518" i="42"/>
  <c r="BQ518" i="42"/>
  <c r="BR518" i="42"/>
  <c r="BS518" i="42"/>
  <c r="BT518" i="42"/>
  <c r="BU518" i="42"/>
  <c r="BV518" i="42"/>
  <c r="BW518" i="42"/>
  <c r="BX518" i="42"/>
  <c r="BY518" i="42"/>
  <c r="BZ518" i="42"/>
  <c r="CA518" i="42"/>
  <c r="CB518" i="42"/>
  <c r="CC518" i="42"/>
  <c r="CD518" i="42"/>
  <c r="CE518" i="42"/>
  <c r="CF518" i="42"/>
  <c r="CG518" i="42"/>
  <c r="CH518" i="42"/>
  <c r="CI518" i="42"/>
  <c r="CJ518" i="42"/>
  <c r="CK518" i="42"/>
  <c r="CL518" i="42"/>
  <c r="CM518" i="42"/>
  <c r="CN518" i="42"/>
  <c r="CO518" i="42"/>
  <c r="CP518" i="42"/>
  <c r="BO519" i="42"/>
  <c r="BP519" i="42"/>
  <c r="BQ519" i="42"/>
  <c r="BR519" i="42"/>
  <c r="BS519" i="42"/>
  <c r="BT519" i="42"/>
  <c r="BU519" i="42"/>
  <c r="BV519" i="42"/>
  <c r="BW519" i="42"/>
  <c r="BX519" i="42"/>
  <c r="BY519" i="42"/>
  <c r="BZ519" i="42"/>
  <c r="CA519" i="42"/>
  <c r="CB519" i="42"/>
  <c r="CC519" i="42"/>
  <c r="CD519" i="42"/>
  <c r="CE519" i="42"/>
  <c r="CF519" i="42"/>
  <c r="CG519" i="42"/>
  <c r="CH519" i="42"/>
  <c r="CI519" i="42"/>
  <c r="CJ519" i="42"/>
  <c r="CK519" i="42"/>
  <c r="CL519" i="42"/>
  <c r="CM519" i="42"/>
  <c r="CN519" i="42"/>
  <c r="CO519" i="42"/>
  <c r="CP519" i="42"/>
  <c r="BO520" i="42"/>
  <c r="BP520" i="42"/>
  <c r="BQ520" i="42"/>
  <c r="BR520" i="42"/>
  <c r="BS520" i="42"/>
  <c r="BT520" i="42"/>
  <c r="BU520" i="42"/>
  <c r="BV520" i="42"/>
  <c r="BW520" i="42"/>
  <c r="BX520" i="42"/>
  <c r="BY520" i="42"/>
  <c r="BZ520" i="42"/>
  <c r="CA520" i="42"/>
  <c r="CB520" i="42"/>
  <c r="CC520" i="42"/>
  <c r="CD520" i="42"/>
  <c r="CE520" i="42"/>
  <c r="CF520" i="42"/>
  <c r="CG520" i="42"/>
  <c r="CH520" i="42"/>
  <c r="CI520" i="42"/>
  <c r="CJ520" i="42"/>
  <c r="CK520" i="42"/>
  <c r="CL520" i="42"/>
  <c r="CM520" i="42"/>
  <c r="CN520" i="42"/>
  <c r="CO520" i="42"/>
  <c r="CP520" i="42"/>
  <c r="BO521" i="42"/>
  <c r="BP521" i="42"/>
  <c r="BQ521" i="42"/>
  <c r="BR521" i="42"/>
  <c r="BS521" i="42"/>
  <c r="BT521" i="42"/>
  <c r="BU521" i="42"/>
  <c r="BV521" i="42"/>
  <c r="BW521" i="42"/>
  <c r="BX521" i="42"/>
  <c r="BY521" i="42"/>
  <c r="BZ521" i="42"/>
  <c r="CA521" i="42"/>
  <c r="CB521" i="42"/>
  <c r="CC521" i="42"/>
  <c r="CD521" i="42"/>
  <c r="CE521" i="42"/>
  <c r="CF521" i="42"/>
  <c r="CG521" i="42"/>
  <c r="CH521" i="42"/>
  <c r="CI521" i="42"/>
  <c r="CJ521" i="42"/>
  <c r="CK521" i="42"/>
  <c r="CL521" i="42"/>
  <c r="CM521" i="42"/>
  <c r="CN521" i="42"/>
  <c r="CO521" i="42"/>
  <c r="CP521" i="42"/>
  <c r="BO522" i="42"/>
  <c r="BP522" i="42"/>
  <c r="BQ522" i="42"/>
  <c r="BR522" i="42"/>
  <c r="BS522" i="42"/>
  <c r="BT522" i="42"/>
  <c r="BU522" i="42"/>
  <c r="BV522" i="42"/>
  <c r="BW522" i="42"/>
  <c r="BX522" i="42"/>
  <c r="BY522" i="42"/>
  <c r="BZ522" i="42"/>
  <c r="CA522" i="42"/>
  <c r="CB522" i="42"/>
  <c r="CC522" i="42"/>
  <c r="CD522" i="42"/>
  <c r="CE522" i="42"/>
  <c r="CF522" i="42"/>
  <c r="CG522" i="42"/>
  <c r="CH522" i="42"/>
  <c r="CI522" i="42"/>
  <c r="CJ522" i="42"/>
  <c r="CK522" i="42"/>
  <c r="CL522" i="42"/>
  <c r="CM522" i="42"/>
  <c r="CN522" i="42"/>
  <c r="CO522" i="42"/>
  <c r="CP522" i="42"/>
  <c r="BO523" i="42"/>
  <c r="BP523" i="42"/>
  <c r="BQ523" i="42"/>
  <c r="BR523" i="42"/>
  <c r="BS523" i="42"/>
  <c r="BT523" i="42"/>
  <c r="BU523" i="42"/>
  <c r="BV523" i="42"/>
  <c r="BW523" i="42"/>
  <c r="BX523" i="42"/>
  <c r="BY523" i="42"/>
  <c r="BZ523" i="42"/>
  <c r="CA523" i="42"/>
  <c r="CB523" i="42"/>
  <c r="CC523" i="42"/>
  <c r="CD523" i="42"/>
  <c r="CE523" i="42"/>
  <c r="CF523" i="42"/>
  <c r="CG523" i="42"/>
  <c r="CH523" i="42"/>
  <c r="CI523" i="42"/>
  <c r="CJ523" i="42"/>
  <c r="CK523" i="42"/>
  <c r="CL523" i="42"/>
  <c r="CM523" i="42"/>
  <c r="CN523" i="42"/>
  <c r="CO523" i="42"/>
  <c r="CP523" i="42"/>
  <c r="BO524" i="42"/>
  <c r="BP524" i="42"/>
  <c r="BQ524" i="42"/>
  <c r="BR524" i="42"/>
  <c r="BS524" i="42"/>
  <c r="BT524" i="42"/>
  <c r="BU524" i="42"/>
  <c r="BV524" i="42"/>
  <c r="BW524" i="42"/>
  <c r="BX524" i="42"/>
  <c r="BY524" i="42"/>
  <c r="BZ524" i="42"/>
  <c r="CA524" i="42"/>
  <c r="CB524" i="42"/>
  <c r="CC524" i="42"/>
  <c r="CD524" i="42"/>
  <c r="CE524" i="42"/>
  <c r="CF524" i="42"/>
  <c r="CG524" i="42"/>
  <c r="CH524" i="42"/>
  <c r="CI524" i="42"/>
  <c r="CJ524" i="42"/>
  <c r="CK524" i="42"/>
  <c r="CL524" i="42"/>
  <c r="CM524" i="42"/>
  <c r="CN524" i="42"/>
  <c r="CO524" i="42"/>
  <c r="CP524" i="42"/>
  <c r="BO525" i="42"/>
  <c r="BP525" i="42"/>
  <c r="BQ525" i="42"/>
  <c r="BR525" i="42"/>
  <c r="BS525" i="42"/>
  <c r="BT525" i="42"/>
  <c r="BU525" i="42"/>
  <c r="BV525" i="42"/>
  <c r="BW525" i="42"/>
  <c r="BX525" i="42"/>
  <c r="BY525" i="42"/>
  <c r="BZ525" i="42"/>
  <c r="CA525" i="42"/>
  <c r="CB525" i="42"/>
  <c r="CC525" i="42"/>
  <c r="CD525" i="42"/>
  <c r="CE525" i="42"/>
  <c r="CF525" i="42"/>
  <c r="CG525" i="42"/>
  <c r="CH525" i="42"/>
  <c r="CI525" i="42"/>
  <c r="CJ525" i="42"/>
  <c r="CK525" i="42"/>
  <c r="CL525" i="42"/>
  <c r="CM525" i="42"/>
  <c r="CN525" i="42"/>
  <c r="CO525" i="42"/>
  <c r="CP525" i="42"/>
  <c r="BO526" i="42"/>
  <c r="BP526" i="42"/>
  <c r="BQ526" i="42"/>
  <c r="BR526" i="42"/>
  <c r="BS526" i="42"/>
  <c r="BT526" i="42"/>
  <c r="BU526" i="42"/>
  <c r="BV526" i="42"/>
  <c r="BW526" i="42"/>
  <c r="BX526" i="42"/>
  <c r="BY526" i="42"/>
  <c r="BZ526" i="42"/>
  <c r="CA526" i="42"/>
  <c r="CB526" i="42"/>
  <c r="CC526" i="42"/>
  <c r="CD526" i="42"/>
  <c r="CE526" i="42"/>
  <c r="CF526" i="42"/>
  <c r="CG526" i="42"/>
  <c r="CH526" i="42"/>
  <c r="CI526" i="42"/>
  <c r="CJ526" i="42"/>
  <c r="CK526" i="42"/>
  <c r="CL526" i="42"/>
  <c r="CM526" i="42"/>
  <c r="CN526" i="42"/>
  <c r="CO526" i="42"/>
  <c r="CP526" i="42"/>
  <c r="BO527" i="42"/>
  <c r="BP527" i="42"/>
  <c r="BQ527" i="42"/>
  <c r="BR527" i="42"/>
  <c r="BS527" i="42"/>
  <c r="BT527" i="42"/>
  <c r="BU527" i="42"/>
  <c r="BV527" i="42"/>
  <c r="BW527" i="42"/>
  <c r="BX527" i="42"/>
  <c r="BY527" i="42"/>
  <c r="BZ527" i="42"/>
  <c r="CA527" i="42"/>
  <c r="CB527" i="42"/>
  <c r="CC527" i="42"/>
  <c r="CD527" i="42"/>
  <c r="CE527" i="42"/>
  <c r="CF527" i="42"/>
  <c r="CG527" i="42"/>
  <c r="CH527" i="42"/>
  <c r="CI527" i="42"/>
  <c r="CJ527" i="42"/>
  <c r="CK527" i="42"/>
  <c r="CL527" i="42"/>
  <c r="CM527" i="42"/>
  <c r="CN527" i="42"/>
  <c r="CO527" i="42"/>
  <c r="CP527" i="42"/>
  <c r="BO528" i="42"/>
  <c r="BP528" i="42"/>
  <c r="BQ528" i="42"/>
  <c r="BR528" i="42"/>
  <c r="BS528" i="42"/>
  <c r="BT528" i="42"/>
  <c r="BU528" i="42"/>
  <c r="BV528" i="42"/>
  <c r="BW528" i="42"/>
  <c r="BX528" i="42"/>
  <c r="BY528" i="42"/>
  <c r="BZ528" i="42"/>
  <c r="CA528" i="42"/>
  <c r="CB528" i="42"/>
  <c r="CC528" i="42"/>
  <c r="CD528" i="42"/>
  <c r="CE528" i="42"/>
  <c r="CF528" i="42"/>
  <c r="CG528" i="42"/>
  <c r="CH528" i="42"/>
  <c r="CI528" i="42"/>
  <c r="CJ528" i="42"/>
  <c r="CK528" i="42"/>
  <c r="CL528" i="42"/>
  <c r="CM528" i="42"/>
  <c r="CN528" i="42"/>
  <c r="CO528" i="42"/>
  <c r="CP528" i="42"/>
  <c r="BO529" i="42"/>
  <c r="BP529" i="42"/>
  <c r="BQ529" i="42"/>
  <c r="BR529" i="42"/>
  <c r="BS529" i="42"/>
  <c r="BT529" i="42"/>
  <c r="BU529" i="42"/>
  <c r="BV529" i="42"/>
  <c r="BW529" i="42"/>
  <c r="BX529" i="42"/>
  <c r="BY529" i="42"/>
  <c r="BZ529" i="42"/>
  <c r="CA529" i="42"/>
  <c r="CB529" i="42"/>
  <c r="CC529" i="42"/>
  <c r="CD529" i="42"/>
  <c r="CE529" i="42"/>
  <c r="CF529" i="42"/>
  <c r="CG529" i="42"/>
  <c r="CH529" i="42"/>
  <c r="CI529" i="42"/>
  <c r="CJ529" i="42"/>
  <c r="CK529" i="42"/>
  <c r="CL529" i="42"/>
  <c r="CM529" i="42"/>
  <c r="CN529" i="42"/>
  <c r="CO529" i="42"/>
  <c r="CP529" i="42"/>
  <c r="BO530" i="42"/>
  <c r="BP530" i="42"/>
  <c r="BQ530" i="42"/>
  <c r="BR530" i="42"/>
  <c r="BS530" i="42"/>
  <c r="BT530" i="42"/>
  <c r="BU530" i="42"/>
  <c r="BV530" i="42"/>
  <c r="BW530" i="42"/>
  <c r="BX530" i="42"/>
  <c r="BY530" i="42"/>
  <c r="BZ530" i="42"/>
  <c r="CA530" i="42"/>
  <c r="CB530" i="42"/>
  <c r="CC530" i="42"/>
  <c r="CD530" i="42"/>
  <c r="CE530" i="42"/>
  <c r="CF530" i="42"/>
  <c r="CG530" i="42"/>
  <c r="CH530" i="42"/>
  <c r="CI530" i="42"/>
  <c r="CJ530" i="42"/>
  <c r="CK530" i="42"/>
  <c r="CL530" i="42"/>
  <c r="CM530" i="42"/>
  <c r="CN530" i="42"/>
  <c r="CO530" i="42"/>
  <c r="CP530" i="42"/>
  <c r="BO531" i="42"/>
  <c r="BP531" i="42"/>
  <c r="BQ531" i="42"/>
  <c r="BR531" i="42"/>
  <c r="BS531" i="42"/>
  <c r="BT531" i="42"/>
  <c r="BU531" i="42"/>
  <c r="BV531" i="42"/>
  <c r="BW531" i="42"/>
  <c r="BX531" i="42"/>
  <c r="BY531" i="42"/>
  <c r="BZ531" i="42"/>
  <c r="CA531" i="42"/>
  <c r="CB531" i="42"/>
  <c r="CC531" i="42"/>
  <c r="CD531" i="42"/>
  <c r="CE531" i="42"/>
  <c r="CF531" i="42"/>
  <c r="CG531" i="42"/>
  <c r="CH531" i="42"/>
  <c r="CI531" i="42"/>
  <c r="CJ531" i="42"/>
  <c r="CK531" i="42"/>
  <c r="CL531" i="42"/>
  <c r="CM531" i="42"/>
  <c r="CN531" i="42"/>
  <c r="CO531" i="42"/>
  <c r="CP531" i="42"/>
  <c r="BO532" i="42"/>
  <c r="BP532" i="42"/>
  <c r="BQ532" i="42"/>
  <c r="BR532" i="42"/>
  <c r="BS532" i="42"/>
  <c r="BT532" i="42"/>
  <c r="BU532" i="42"/>
  <c r="BV532" i="42"/>
  <c r="BW532" i="42"/>
  <c r="BX532" i="42"/>
  <c r="BY532" i="42"/>
  <c r="BZ532" i="42"/>
  <c r="CA532" i="42"/>
  <c r="CB532" i="42"/>
  <c r="CC532" i="42"/>
  <c r="CD532" i="42"/>
  <c r="CE532" i="42"/>
  <c r="CF532" i="42"/>
  <c r="CG532" i="42"/>
  <c r="CH532" i="42"/>
  <c r="CI532" i="42"/>
  <c r="CJ532" i="42"/>
  <c r="CK532" i="42"/>
  <c r="CL532" i="42"/>
  <c r="CM532" i="42"/>
  <c r="CN532" i="42"/>
  <c r="CO532" i="42"/>
  <c r="CP532" i="42"/>
  <c r="BO533" i="42"/>
  <c r="BP533" i="42"/>
  <c r="BQ533" i="42"/>
  <c r="BR533" i="42"/>
  <c r="BS533" i="42"/>
  <c r="BT533" i="42"/>
  <c r="BU533" i="42"/>
  <c r="BV533" i="42"/>
  <c r="BW533" i="42"/>
  <c r="BX533" i="42"/>
  <c r="BY533" i="42"/>
  <c r="BZ533" i="42"/>
  <c r="CA533" i="42"/>
  <c r="CB533" i="42"/>
  <c r="CC533" i="42"/>
  <c r="CD533" i="42"/>
  <c r="CE533" i="42"/>
  <c r="CF533" i="42"/>
  <c r="CG533" i="42"/>
  <c r="CH533" i="42"/>
  <c r="CI533" i="42"/>
  <c r="CJ533" i="42"/>
  <c r="CK533" i="42"/>
  <c r="CL533" i="42"/>
  <c r="CM533" i="42"/>
  <c r="CN533" i="42"/>
  <c r="CO533" i="42"/>
  <c r="CP533" i="42"/>
  <c r="BO534" i="42"/>
  <c r="BP534" i="42"/>
  <c r="BQ534" i="42"/>
  <c r="BR534" i="42"/>
  <c r="BS534" i="42"/>
  <c r="BT534" i="42"/>
  <c r="BU534" i="42"/>
  <c r="BV534" i="42"/>
  <c r="BW534" i="42"/>
  <c r="BX534" i="42"/>
  <c r="BY534" i="42"/>
  <c r="BZ534" i="42"/>
  <c r="CA534" i="42"/>
  <c r="CB534" i="42"/>
  <c r="CC534" i="42"/>
  <c r="CD534" i="42"/>
  <c r="CE534" i="42"/>
  <c r="CF534" i="42"/>
  <c r="CG534" i="42"/>
  <c r="CH534" i="42"/>
  <c r="CI534" i="42"/>
  <c r="CJ534" i="42"/>
  <c r="CK534" i="42"/>
  <c r="CL534" i="42"/>
  <c r="CM534" i="42"/>
  <c r="CN534" i="42"/>
  <c r="CO534" i="42"/>
  <c r="CP534" i="42"/>
  <c r="BO535" i="42"/>
  <c r="BP535" i="42"/>
  <c r="BQ535" i="42"/>
  <c r="BR535" i="42"/>
  <c r="BS535" i="42"/>
  <c r="BT535" i="42"/>
  <c r="BU535" i="42"/>
  <c r="BV535" i="42"/>
  <c r="BW535" i="42"/>
  <c r="BX535" i="42"/>
  <c r="BY535" i="42"/>
  <c r="BZ535" i="42"/>
  <c r="CA535" i="42"/>
  <c r="CB535" i="42"/>
  <c r="CC535" i="42"/>
  <c r="CD535" i="42"/>
  <c r="CE535" i="42"/>
  <c r="CF535" i="42"/>
  <c r="CG535" i="42"/>
  <c r="CH535" i="42"/>
  <c r="CI535" i="42"/>
  <c r="CJ535" i="42"/>
  <c r="CK535" i="42"/>
  <c r="CL535" i="42"/>
  <c r="CM535" i="42"/>
  <c r="CN535" i="42"/>
  <c r="CO535" i="42"/>
  <c r="CP535" i="42"/>
  <c r="BO536" i="42"/>
  <c r="BP536" i="42"/>
  <c r="BQ536" i="42"/>
  <c r="BR536" i="42"/>
  <c r="BS536" i="42"/>
  <c r="BT536" i="42"/>
  <c r="BU536" i="42"/>
  <c r="BV536" i="42"/>
  <c r="BW536" i="42"/>
  <c r="BX536" i="42"/>
  <c r="BY536" i="42"/>
  <c r="BZ536" i="42"/>
  <c r="CA536" i="42"/>
  <c r="CB536" i="42"/>
  <c r="CC536" i="42"/>
  <c r="CD536" i="42"/>
  <c r="CE536" i="42"/>
  <c r="CF536" i="42"/>
  <c r="CG536" i="42"/>
  <c r="CH536" i="42"/>
  <c r="CI536" i="42"/>
  <c r="CJ536" i="42"/>
  <c r="CK536" i="42"/>
  <c r="CL536" i="42"/>
  <c r="CM536" i="42"/>
  <c r="CN536" i="42"/>
  <c r="CO536" i="42"/>
  <c r="CP536" i="42"/>
  <c r="BO537" i="42"/>
  <c r="BP537" i="42"/>
  <c r="BQ537" i="42"/>
  <c r="BR537" i="42"/>
  <c r="BS537" i="42"/>
  <c r="BT537" i="42"/>
  <c r="BU537" i="42"/>
  <c r="BV537" i="42"/>
  <c r="BW537" i="42"/>
  <c r="BX537" i="42"/>
  <c r="BY537" i="42"/>
  <c r="BZ537" i="42"/>
  <c r="CA537" i="42"/>
  <c r="CB537" i="42"/>
  <c r="CC537" i="42"/>
  <c r="CD537" i="42"/>
  <c r="CE537" i="42"/>
  <c r="CF537" i="42"/>
  <c r="CG537" i="42"/>
  <c r="CH537" i="42"/>
  <c r="CI537" i="42"/>
  <c r="CJ537" i="42"/>
  <c r="CK537" i="42"/>
  <c r="CL537" i="42"/>
  <c r="CM537" i="42"/>
  <c r="CN537" i="42"/>
  <c r="CO537" i="42"/>
  <c r="CP537" i="42"/>
  <c r="BO538" i="42"/>
  <c r="BP538" i="42"/>
  <c r="BQ538" i="42"/>
  <c r="BR538" i="42"/>
  <c r="BS538" i="42"/>
  <c r="BT538" i="42"/>
  <c r="BU538" i="42"/>
  <c r="BV538" i="42"/>
  <c r="BW538" i="42"/>
  <c r="BX538" i="42"/>
  <c r="BY538" i="42"/>
  <c r="BZ538" i="42"/>
  <c r="CA538" i="42"/>
  <c r="CB538" i="42"/>
  <c r="CC538" i="42"/>
  <c r="CD538" i="42"/>
  <c r="CE538" i="42"/>
  <c r="CF538" i="42"/>
  <c r="CG538" i="42"/>
  <c r="CH538" i="42"/>
  <c r="CI538" i="42"/>
  <c r="CJ538" i="42"/>
  <c r="CK538" i="42"/>
  <c r="CL538" i="42"/>
  <c r="CM538" i="42"/>
  <c r="CN538" i="42"/>
  <c r="CO538" i="42"/>
  <c r="CP538" i="42"/>
  <c r="BO539" i="42"/>
  <c r="BP539" i="42"/>
  <c r="BQ539" i="42"/>
  <c r="BR539" i="42"/>
  <c r="BS539" i="42"/>
  <c r="BT539" i="42"/>
  <c r="BU539" i="42"/>
  <c r="BV539" i="42"/>
  <c r="BW539" i="42"/>
  <c r="BX539" i="42"/>
  <c r="BY539" i="42"/>
  <c r="BZ539" i="42"/>
  <c r="CA539" i="42"/>
  <c r="CB539" i="42"/>
  <c r="CC539" i="42"/>
  <c r="CD539" i="42"/>
  <c r="CE539" i="42"/>
  <c r="CF539" i="42"/>
  <c r="CG539" i="42"/>
  <c r="CH539" i="42"/>
  <c r="CI539" i="42"/>
  <c r="CJ539" i="42"/>
  <c r="CK539" i="42"/>
  <c r="CL539" i="42"/>
  <c r="CM539" i="42"/>
  <c r="CN539" i="42"/>
  <c r="CO539" i="42"/>
  <c r="CP539" i="42"/>
  <c r="BO540" i="42"/>
  <c r="BP540" i="42"/>
  <c r="BQ540" i="42"/>
  <c r="BR540" i="42"/>
  <c r="BS540" i="42"/>
  <c r="BT540" i="42"/>
  <c r="BU540" i="42"/>
  <c r="BV540" i="42"/>
  <c r="BW540" i="42"/>
  <c r="BX540" i="42"/>
  <c r="BY540" i="42"/>
  <c r="BZ540" i="42"/>
  <c r="CA540" i="42"/>
  <c r="CB540" i="42"/>
  <c r="CC540" i="42"/>
  <c r="CD540" i="42"/>
  <c r="CE540" i="42"/>
  <c r="CF540" i="42"/>
  <c r="CG540" i="42"/>
  <c r="CH540" i="42"/>
  <c r="CI540" i="42"/>
  <c r="CJ540" i="42"/>
  <c r="CK540" i="42"/>
  <c r="CL540" i="42"/>
  <c r="CM540" i="42"/>
  <c r="CN540" i="42"/>
  <c r="CO540" i="42"/>
  <c r="CP540" i="42"/>
  <c r="BO541" i="42"/>
  <c r="BP541" i="42"/>
  <c r="BQ541" i="42"/>
  <c r="BR541" i="42"/>
  <c r="BS541" i="42"/>
  <c r="BT541" i="42"/>
  <c r="BU541" i="42"/>
  <c r="BV541" i="42"/>
  <c r="BW541" i="42"/>
  <c r="BX541" i="42"/>
  <c r="BY541" i="42"/>
  <c r="BZ541" i="42"/>
  <c r="CA541" i="42"/>
  <c r="CB541" i="42"/>
  <c r="CC541" i="42"/>
  <c r="CD541" i="42"/>
  <c r="CE541" i="42"/>
  <c r="CF541" i="42"/>
  <c r="CG541" i="42"/>
  <c r="CH541" i="42"/>
  <c r="CI541" i="42"/>
  <c r="CJ541" i="42"/>
  <c r="CK541" i="42"/>
  <c r="CL541" i="42"/>
  <c r="CM541" i="42"/>
  <c r="CN541" i="42"/>
  <c r="CO541" i="42"/>
  <c r="CP541" i="42"/>
  <c r="BO542" i="42"/>
  <c r="BP542" i="42"/>
  <c r="BQ542" i="42"/>
  <c r="BR542" i="42"/>
  <c r="BS542" i="42"/>
  <c r="BT542" i="42"/>
  <c r="BU542" i="42"/>
  <c r="BV542" i="42"/>
  <c r="BW542" i="42"/>
  <c r="BX542" i="42"/>
  <c r="BY542" i="42"/>
  <c r="BZ542" i="42"/>
  <c r="CA542" i="42"/>
  <c r="CB542" i="42"/>
  <c r="CC542" i="42"/>
  <c r="CD542" i="42"/>
  <c r="CE542" i="42"/>
  <c r="CF542" i="42"/>
  <c r="CG542" i="42"/>
  <c r="CH542" i="42"/>
  <c r="CI542" i="42"/>
  <c r="CJ542" i="42"/>
  <c r="CK542" i="42"/>
  <c r="CL542" i="42"/>
  <c r="CM542" i="42"/>
  <c r="CN542" i="42"/>
  <c r="CO542" i="42"/>
  <c r="CP542" i="42"/>
  <c r="BO543" i="42"/>
  <c r="BP543" i="42"/>
  <c r="BQ543" i="42"/>
  <c r="BR543" i="42"/>
  <c r="BS543" i="42"/>
  <c r="BT543" i="42"/>
  <c r="BU543" i="42"/>
  <c r="BV543" i="42"/>
  <c r="BW543" i="42"/>
  <c r="BX543" i="42"/>
  <c r="BY543" i="42"/>
  <c r="BZ543" i="42"/>
  <c r="CA543" i="42"/>
  <c r="CB543" i="42"/>
  <c r="CC543" i="42"/>
  <c r="CD543" i="42"/>
  <c r="CE543" i="42"/>
  <c r="CF543" i="42"/>
  <c r="CG543" i="42"/>
  <c r="CH543" i="42"/>
  <c r="CI543" i="42"/>
  <c r="CJ543" i="42"/>
  <c r="CK543" i="42"/>
  <c r="CL543" i="42"/>
  <c r="CM543" i="42"/>
  <c r="CN543" i="42"/>
  <c r="CO543" i="42"/>
  <c r="CP543" i="42"/>
  <c r="BO544" i="42"/>
  <c r="BP544" i="42"/>
  <c r="BQ544" i="42"/>
  <c r="BR544" i="42"/>
  <c r="BS544" i="42"/>
  <c r="BT544" i="42"/>
  <c r="BU544" i="42"/>
  <c r="BV544" i="42"/>
  <c r="BW544" i="42"/>
  <c r="BX544" i="42"/>
  <c r="BY544" i="42"/>
  <c r="BZ544" i="42"/>
  <c r="CA544" i="42"/>
  <c r="CB544" i="42"/>
  <c r="CC544" i="42"/>
  <c r="CD544" i="42"/>
  <c r="CE544" i="42"/>
  <c r="CF544" i="42"/>
  <c r="CG544" i="42"/>
  <c r="CH544" i="42"/>
  <c r="CI544" i="42"/>
  <c r="CJ544" i="42"/>
  <c r="CK544" i="42"/>
  <c r="CL544" i="42"/>
  <c r="CM544" i="42"/>
  <c r="CN544" i="42"/>
  <c r="CO544" i="42"/>
  <c r="CP544" i="42"/>
  <c r="BO545" i="42"/>
  <c r="BP545" i="42"/>
  <c r="BQ545" i="42"/>
  <c r="BR545" i="42"/>
  <c r="BS545" i="42"/>
  <c r="BT545" i="42"/>
  <c r="BU545" i="42"/>
  <c r="BV545" i="42"/>
  <c r="BW545" i="42"/>
  <c r="BX545" i="42"/>
  <c r="BY545" i="42"/>
  <c r="BZ545" i="42"/>
  <c r="CA545" i="42"/>
  <c r="CB545" i="42"/>
  <c r="CC545" i="42"/>
  <c r="CD545" i="42"/>
  <c r="CE545" i="42"/>
  <c r="CF545" i="42"/>
  <c r="CG545" i="42"/>
  <c r="CH545" i="42"/>
  <c r="CI545" i="42"/>
  <c r="CJ545" i="42"/>
  <c r="CK545" i="42"/>
  <c r="CL545" i="42"/>
  <c r="CM545" i="42"/>
  <c r="CN545" i="42"/>
  <c r="CO545" i="42"/>
  <c r="CP545" i="42"/>
  <c r="BO546" i="42"/>
  <c r="BP546" i="42"/>
  <c r="BQ546" i="42"/>
  <c r="BR546" i="42"/>
  <c r="BS546" i="42"/>
  <c r="BT546" i="42"/>
  <c r="BU546" i="42"/>
  <c r="BV546" i="42"/>
  <c r="BW546" i="42"/>
  <c r="BX546" i="42"/>
  <c r="BY546" i="42"/>
  <c r="BZ546" i="42"/>
  <c r="CA546" i="42"/>
  <c r="CB546" i="42"/>
  <c r="CC546" i="42"/>
  <c r="CD546" i="42"/>
  <c r="CE546" i="42"/>
  <c r="CF546" i="42"/>
  <c r="CG546" i="42"/>
  <c r="CH546" i="42"/>
  <c r="CI546" i="42"/>
  <c r="CJ546" i="42"/>
  <c r="CK546" i="42"/>
  <c r="CL546" i="42"/>
  <c r="CM546" i="42"/>
  <c r="CN546" i="42"/>
  <c r="CO546" i="42"/>
  <c r="CP546" i="42"/>
  <c r="BO547" i="42"/>
  <c r="BP547" i="42"/>
  <c r="BQ547" i="42"/>
  <c r="BR547" i="42"/>
  <c r="BS547" i="42"/>
  <c r="BT547" i="42"/>
  <c r="BU547" i="42"/>
  <c r="BV547" i="42"/>
  <c r="BW547" i="42"/>
  <c r="BX547" i="42"/>
  <c r="BY547" i="42"/>
  <c r="BZ547" i="42"/>
  <c r="CA547" i="42"/>
  <c r="CB547" i="42"/>
  <c r="CC547" i="42"/>
  <c r="CD547" i="42"/>
  <c r="CE547" i="42"/>
  <c r="CF547" i="42"/>
  <c r="CG547" i="42"/>
  <c r="CH547" i="42"/>
  <c r="CI547" i="42"/>
  <c r="CJ547" i="42"/>
  <c r="CK547" i="42"/>
  <c r="CL547" i="42"/>
  <c r="CM547" i="42"/>
  <c r="CN547" i="42"/>
  <c r="CO547" i="42"/>
  <c r="CP547" i="42"/>
  <c r="BO548" i="42"/>
  <c r="BP548" i="42"/>
  <c r="BQ548" i="42"/>
  <c r="BR548" i="42"/>
  <c r="BS548" i="42"/>
  <c r="BT548" i="42"/>
  <c r="BU548" i="42"/>
  <c r="BV548" i="42"/>
  <c r="BW548" i="42"/>
  <c r="BX548" i="42"/>
  <c r="BY548" i="42"/>
  <c r="BZ548" i="42"/>
  <c r="CA548" i="42"/>
  <c r="CB548" i="42"/>
  <c r="CC548" i="42"/>
  <c r="CD548" i="42"/>
  <c r="CE548" i="42"/>
  <c r="CF548" i="42"/>
  <c r="CG548" i="42"/>
  <c r="CH548" i="42"/>
  <c r="CI548" i="42"/>
  <c r="CJ548" i="42"/>
  <c r="CK548" i="42"/>
  <c r="CL548" i="42"/>
  <c r="CM548" i="42"/>
  <c r="CN548" i="42"/>
  <c r="CO548" i="42"/>
  <c r="CP548" i="42"/>
  <c r="BO549" i="42"/>
  <c r="BP549" i="42"/>
  <c r="BQ549" i="42"/>
  <c r="BR549" i="42"/>
  <c r="BS549" i="42"/>
  <c r="BT549" i="42"/>
  <c r="BU549" i="42"/>
  <c r="BV549" i="42"/>
  <c r="BW549" i="42"/>
  <c r="BX549" i="42"/>
  <c r="BY549" i="42"/>
  <c r="BZ549" i="42"/>
  <c r="CA549" i="42"/>
  <c r="CB549" i="42"/>
  <c r="CC549" i="42"/>
  <c r="CD549" i="42"/>
  <c r="CE549" i="42"/>
  <c r="CF549" i="42"/>
  <c r="CG549" i="42"/>
  <c r="CH549" i="42"/>
  <c r="CI549" i="42"/>
  <c r="CJ549" i="42"/>
  <c r="CK549" i="42"/>
  <c r="CL549" i="42"/>
  <c r="CM549" i="42"/>
  <c r="CN549" i="42"/>
  <c r="CO549" i="42"/>
  <c r="CP549" i="42"/>
  <c r="BO550" i="42"/>
  <c r="BP550" i="42"/>
  <c r="BQ550" i="42"/>
  <c r="BR550" i="42"/>
  <c r="BS550" i="42"/>
  <c r="BT550" i="42"/>
  <c r="BU550" i="42"/>
  <c r="BV550" i="42"/>
  <c r="BW550" i="42"/>
  <c r="BX550" i="42"/>
  <c r="BY550" i="42"/>
  <c r="BZ550" i="42"/>
  <c r="CA550" i="42"/>
  <c r="CB550" i="42"/>
  <c r="CC550" i="42"/>
  <c r="CD550" i="42"/>
  <c r="CE550" i="42"/>
  <c r="CF550" i="42"/>
  <c r="CG550" i="42"/>
  <c r="CH550" i="42"/>
  <c r="CI550" i="42"/>
  <c r="CJ550" i="42"/>
  <c r="CK550" i="42"/>
  <c r="CL550" i="42"/>
  <c r="CM550" i="42"/>
  <c r="CN550" i="42"/>
  <c r="CO550" i="42"/>
  <c r="CP550" i="42"/>
  <c r="BO551" i="42"/>
  <c r="BP551" i="42"/>
  <c r="BQ551" i="42"/>
  <c r="BR551" i="42"/>
  <c r="BS551" i="42"/>
  <c r="BT551" i="42"/>
  <c r="BU551" i="42"/>
  <c r="BV551" i="42"/>
  <c r="BW551" i="42"/>
  <c r="BX551" i="42"/>
  <c r="BY551" i="42"/>
  <c r="BZ551" i="42"/>
  <c r="CA551" i="42"/>
  <c r="CB551" i="42"/>
  <c r="CC551" i="42"/>
  <c r="CD551" i="42"/>
  <c r="CE551" i="42"/>
  <c r="CF551" i="42"/>
  <c r="CG551" i="42"/>
  <c r="CH551" i="42"/>
  <c r="CI551" i="42"/>
  <c r="CJ551" i="42"/>
  <c r="CK551" i="42"/>
  <c r="CL551" i="42"/>
  <c r="CM551" i="42"/>
  <c r="CN551" i="42"/>
  <c r="CO551" i="42"/>
  <c r="CP551" i="42"/>
  <c r="BO552" i="42"/>
  <c r="BP552" i="42"/>
  <c r="BQ552" i="42"/>
  <c r="BR552" i="42"/>
  <c r="BS552" i="42"/>
  <c r="BT552" i="42"/>
  <c r="BU552" i="42"/>
  <c r="BV552" i="42"/>
  <c r="BW552" i="42"/>
  <c r="BX552" i="42"/>
  <c r="BY552" i="42"/>
  <c r="BZ552" i="42"/>
  <c r="CA552" i="42"/>
  <c r="CB552" i="42"/>
  <c r="CC552" i="42"/>
  <c r="CD552" i="42"/>
  <c r="CE552" i="42"/>
  <c r="CF552" i="42"/>
  <c r="CG552" i="42"/>
  <c r="CH552" i="42"/>
  <c r="CI552" i="42"/>
  <c r="CJ552" i="42"/>
  <c r="CK552" i="42"/>
  <c r="CL552" i="42"/>
  <c r="CM552" i="42"/>
  <c r="CN552" i="42"/>
  <c r="CO552" i="42"/>
  <c r="CP552" i="42"/>
  <c r="BO553" i="42"/>
  <c r="BP553" i="42"/>
  <c r="BQ553" i="42"/>
  <c r="BR553" i="42"/>
  <c r="BS553" i="42"/>
  <c r="BT553" i="42"/>
  <c r="BU553" i="42"/>
  <c r="BV553" i="42"/>
  <c r="BW553" i="42"/>
  <c r="BX553" i="42"/>
  <c r="BY553" i="42"/>
  <c r="BZ553" i="42"/>
  <c r="CA553" i="42"/>
  <c r="CB553" i="42"/>
  <c r="CC553" i="42"/>
  <c r="CD553" i="42"/>
  <c r="CE553" i="42"/>
  <c r="CF553" i="42"/>
  <c r="CG553" i="42"/>
  <c r="CH553" i="42"/>
  <c r="CI553" i="42"/>
  <c r="CJ553" i="42"/>
  <c r="CK553" i="42"/>
  <c r="CL553" i="42"/>
  <c r="CM553" i="42"/>
  <c r="CN553" i="42"/>
  <c r="CO553" i="42"/>
  <c r="CP553" i="42"/>
  <c r="BO554" i="42"/>
  <c r="BP554" i="42"/>
  <c r="BQ554" i="42"/>
  <c r="BR554" i="42"/>
  <c r="BS554" i="42"/>
  <c r="BT554" i="42"/>
  <c r="BU554" i="42"/>
  <c r="BV554" i="42"/>
  <c r="BW554" i="42"/>
  <c r="BX554" i="42"/>
  <c r="BY554" i="42"/>
  <c r="BZ554" i="42"/>
  <c r="CA554" i="42"/>
  <c r="CB554" i="42"/>
  <c r="CC554" i="42"/>
  <c r="CD554" i="42"/>
  <c r="CE554" i="42"/>
  <c r="CF554" i="42"/>
  <c r="CG554" i="42"/>
  <c r="CH554" i="42"/>
  <c r="CI554" i="42"/>
  <c r="CJ554" i="42"/>
  <c r="CK554" i="42"/>
  <c r="CL554" i="42"/>
  <c r="CM554" i="42"/>
  <c r="CN554" i="42"/>
  <c r="CO554" i="42"/>
  <c r="CP554" i="42"/>
  <c r="BO555" i="42"/>
  <c r="BP555" i="42"/>
  <c r="BQ555" i="42"/>
  <c r="BR555" i="42"/>
  <c r="BS555" i="42"/>
  <c r="BT555" i="42"/>
  <c r="BU555" i="42"/>
  <c r="BV555" i="42"/>
  <c r="BW555" i="42"/>
  <c r="BX555" i="42"/>
  <c r="BY555" i="42"/>
  <c r="BZ555" i="42"/>
  <c r="CA555" i="42"/>
  <c r="CB555" i="42"/>
  <c r="CC555" i="42"/>
  <c r="CD555" i="42"/>
  <c r="CE555" i="42"/>
  <c r="CF555" i="42"/>
  <c r="CG555" i="42"/>
  <c r="CH555" i="42"/>
  <c r="CI555" i="42"/>
  <c r="CJ555" i="42"/>
  <c r="CK555" i="42"/>
  <c r="CL555" i="42"/>
  <c r="CM555" i="42"/>
  <c r="CN555" i="42"/>
  <c r="CO555" i="42"/>
  <c r="CP555" i="42"/>
  <c r="BO556" i="42"/>
  <c r="BP556" i="42"/>
  <c r="BQ556" i="42"/>
  <c r="BR556" i="42"/>
  <c r="BS556" i="42"/>
  <c r="BT556" i="42"/>
  <c r="BU556" i="42"/>
  <c r="BV556" i="42"/>
  <c r="BW556" i="42"/>
  <c r="BX556" i="42"/>
  <c r="BY556" i="42"/>
  <c r="BZ556" i="42"/>
  <c r="CA556" i="42"/>
  <c r="CB556" i="42"/>
  <c r="CC556" i="42"/>
  <c r="CD556" i="42"/>
  <c r="CE556" i="42"/>
  <c r="CF556" i="42"/>
  <c r="CG556" i="42"/>
  <c r="CH556" i="42"/>
  <c r="CI556" i="42"/>
  <c r="CJ556" i="42"/>
  <c r="CK556" i="42"/>
  <c r="CL556" i="42"/>
  <c r="CM556" i="42"/>
  <c r="CN556" i="42"/>
  <c r="CO556" i="42"/>
  <c r="CP556" i="42"/>
  <c r="BO557" i="42"/>
  <c r="BP557" i="42"/>
  <c r="BQ557" i="42"/>
  <c r="BR557" i="42"/>
  <c r="BS557" i="42"/>
  <c r="BT557" i="42"/>
  <c r="BU557" i="42"/>
  <c r="BV557" i="42"/>
  <c r="BW557" i="42"/>
  <c r="BX557" i="42"/>
  <c r="BY557" i="42"/>
  <c r="BZ557" i="42"/>
  <c r="CA557" i="42"/>
  <c r="CB557" i="42"/>
  <c r="CC557" i="42"/>
  <c r="CD557" i="42"/>
  <c r="CE557" i="42"/>
  <c r="CF557" i="42"/>
  <c r="CG557" i="42"/>
  <c r="CH557" i="42"/>
  <c r="CI557" i="42"/>
  <c r="CJ557" i="42"/>
  <c r="CK557" i="42"/>
  <c r="CL557" i="42"/>
  <c r="CM557" i="42"/>
  <c r="CN557" i="42"/>
  <c r="CO557" i="42"/>
  <c r="CP557" i="42"/>
  <c r="BO558" i="42"/>
  <c r="BP558" i="42"/>
  <c r="BQ558" i="42"/>
  <c r="BR558" i="42"/>
  <c r="BS558" i="42"/>
  <c r="BT558" i="42"/>
  <c r="BU558" i="42"/>
  <c r="BV558" i="42"/>
  <c r="BW558" i="42"/>
  <c r="BX558" i="42"/>
  <c r="BY558" i="42"/>
  <c r="BZ558" i="42"/>
  <c r="CA558" i="42"/>
  <c r="CB558" i="42"/>
  <c r="CC558" i="42"/>
  <c r="CD558" i="42"/>
  <c r="CE558" i="42"/>
  <c r="CF558" i="42"/>
  <c r="CG558" i="42"/>
  <c r="CH558" i="42"/>
  <c r="CI558" i="42"/>
  <c r="CJ558" i="42"/>
  <c r="CK558" i="42"/>
  <c r="CL558" i="42"/>
  <c r="CM558" i="42"/>
  <c r="CN558" i="42"/>
  <c r="CO558" i="42"/>
  <c r="CP558" i="42"/>
  <c r="BO559" i="42"/>
  <c r="BP559" i="42"/>
  <c r="BQ559" i="42"/>
  <c r="BR559" i="42"/>
  <c r="BS559" i="42"/>
  <c r="BT559" i="42"/>
  <c r="BU559" i="42"/>
  <c r="BV559" i="42"/>
  <c r="BW559" i="42"/>
  <c r="BX559" i="42"/>
  <c r="BY559" i="42"/>
  <c r="BZ559" i="42"/>
  <c r="CA559" i="42"/>
  <c r="CB559" i="42"/>
  <c r="CC559" i="42"/>
  <c r="CD559" i="42"/>
  <c r="CE559" i="42"/>
  <c r="CF559" i="42"/>
  <c r="CG559" i="42"/>
  <c r="CH559" i="42"/>
  <c r="CI559" i="42"/>
  <c r="CJ559" i="42"/>
  <c r="CK559" i="42"/>
  <c r="CL559" i="42"/>
  <c r="CM559" i="42"/>
  <c r="CN559" i="42"/>
  <c r="CO559" i="42"/>
  <c r="CP559" i="42"/>
  <c r="BO560" i="42"/>
  <c r="BP560" i="42"/>
  <c r="BQ560" i="42"/>
  <c r="BR560" i="42"/>
  <c r="BS560" i="42"/>
  <c r="BT560" i="42"/>
  <c r="BU560" i="42"/>
  <c r="BV560" i="42"/>
  <c r="BW560" i="42"/>
  <c r="BX560" i="42"/>
  <c r="BY560" i="42"/>
  <c r="BZ560" i="42"/>
  <c r="CA560" i="42"/>
  <c r="CB560" i="42"/>
  <c r="CC560" i="42"/>
  <c r="CD560" i="42"/>
  <c r="CE560" i="42"/>
  <c r="CF560" i="42"/>
  <c r="CG560" i="42"/>
  <c r="CH560" i="42"/>
  <c r="CI560" i="42"/>
  <c r="CJ560" i="42"/>
  <c r="CK560" i="42"/>
  <c r="CL560" i="42"/>
  <c r="CM560" i="42"/>
  <c r="CN560" i="42"/>
  <c r="CO560" i="42"/>
  <c r="CP560" i="42"/>
  <c r="BO561" i="42"/>
  <c r="BP561" i="42"/>
  <c r="BQ561" i="42"/>
  <c r="BR561" i="42"/>
  <c r="BS561" i="42"/>
  <c r="BT561" i="42"/>
  <c r="BU561" i="42"/>
  <c r="BV561" i="42"/>
  <c r="BW561" i="42"/>
  <c r="BX561" i="42"/>
  <c r="BY561" i="42"/>
  <c r="BZ561" i="42"/>
  <c r="CA561" i="42"/>
  <c r="CB561" i="42"/>
  <c r="CC561" i="42"/>
  <c r="CD561" i="42"/>
  <c r="CE561" i="42"/>
  <c r="CF561" i="42"/>
  <c r="CG561" i="42"/>
  <c r="CH561" i="42"/>
  <c r="CI561" i="42"/>
  <c r="CJ561" i="42"/>
  <c r="CK561" i="42"/>
  <c r="CL561" i="42"/>
  <c r="CM561" i="42"/>
  <c r="CN561" i="42"/>
  <c r="CO561" i="42"/>
  <c r="CP561" i="42"/>
  <c r="BO562" i="42"/>
  <c r="BP562" i="42"/>
  <c r="BQ562" i="42"/>
  <c r="BR562" i="42"/>
  <c r="BS562" i="42"/>
  <c r="BT562" i="42"/>
  <c r="BU562" i="42"/>
  <c r="BV562" i="42"/>
  <c r="BW562" i="42"/>
  <c r="BX562" i="42"/>
  <c r="BY562" i="42"/>
  <c r="BZ562" i="42"/>
  <c r="CA562" i="42"/>
  <c r="CB562" i="42"/>
  <c r="CC562" i="42"/>
  <c r="CD562" i="42"/>
  <c r="CE562" i="42"/>
  <c r="CF562" i="42"/>
  <c r="CG562" i="42"/>
  <c r="CH562" i="42"/>
  <c r="CI562" i="42"/>
  <c r="CJ562" i="42"/>
  <c r="CK562" i="42"/>
  <c r="CL562" i="42"/>
  <c r="CM562" i="42"/>
  <c r="CN562" i="42"/>
  <c r="CO562" i="42"/>
  <c r="CP562" i="42"/>
  <c r="BO563" i="42"/>
  <c r="BP563" i="42"/>
  <c r="BQ563" i="42"/>
  <c r="BR563" i="42"/>
  <c r="BS563" i="42"/>
  <c r="BT563" i="42"/>
  <c r="BU563" i="42"/>
  <c r="BV563" i="42"/>
  <c r="BW563" i="42"/>
  <c r="BX563" i="42"/>
  <c r="BY563" i="42"/>
  <c r="BZ563" i="42"/>
  <c r="CA563" i="42"/>
  <c r="CB563" i="42"/>
  <c r="CC563" i="42"/>
  <c r="CD563" i="42"/>
  <c r="CE563" i="42"/>
  <c r="CF563" i="42"/>
  <c r="CG563" i="42"/>
  <c r="CH563" i="42"/>
  <c r="CI563" i="42"/>
  <c r="CJ563" i="42"/>
  <c r="CK563" i="42"/>
  <c r="CL563" i="42"/>
  <c r="CM563" i="42"/>
  <c r="CN563" i="42"/>
  <c r="CO563" i="42"/>
  <c r="CP563" i="42"/>
  <c r="BO564" i="42"/>
  <c r="BP564" i="42"/>
  <c r="BQ564" i="42"/>
  <c r="BR564" i="42"/>
  <c r="BS564" i="42"/>
  <c r="BT564" i="42"/>
  <c r="BU564" i="42"/>
  <c r="BV564" i="42"/>
  <c r="BW564" i="42"/>
  <c r="BX564" i="42"/>
  <c r="BY564" i="42"/>
  <c r="BZ564" i="42"/>
  <c r="CA564" i="42"/>
  <c r="CB564" i="42"/>
  <c r="CC564" i="42"/>
  <c r="CD564" i="42"/>
  <c r="CE564" i="42"/>
  <c r="CF564" i="42"/>
  <c r="CG564" i="42"/>
  <c r="CH564" i="42"/>
  <c r="CI564" i="42"/>
  <c r="CJ564" i="42"/>
  <c r="CK564" i="42"/>
  <c r="CL564" i="42"/>
  <c r="CM564" i="42"/>
  <c r="CN564" i="42"/>
  <c r="CO564" i="42"/>
  <c r="CP564" i="42"/>
  <c r="BO565" i="42"/>
  <c r="BP565" i="42"/>
  <c r="BQ565" i="42"/>
  <c r="BR565" i="42"/>
  <c r="BS565" i="42"/>
  <c r="BT565" i="42"/>
  <c r="BU565" i="42"/>
  <c r="BV565" i="42"/>
  <c r="BW565" i="42"/>
  <c r="BX565" i="42"/>
  <c r="BY565" i="42"/>
  <c r="BZ565" i="42"/>
  <c r="CA565" i="42"/>
  <c r="CB565" i="42"/>
  <c r="CC565" i="42"/>
  <c r="CD565" i="42"/>
  <c r="CE565" i="42"/>
  <c r="CF565" i="42"/>
  <c r="CG565" i="42"/>
  <c r="CH565" i="42"/>
  <c r="CI565" i="42"/>
  <c r="CJ565" i="42"/>
  <c r="CK565" i="42"/>
  <c r="CL565" i="42"/>
  <c r="CM565" i="42"/>
  <c r="CN565" i="42"/>
  <c r="CO565" i="42"/>
  <c r="CP565" i="42"/>
  <c r="BO566" i="42"/>
  <c r="BP566" i="42"/>
  <c r="BQ566" i="42"/>
  <c r="BR566" i="42"/>
  <c r="BS566" i="42"/>
  <c r="BT566" i="42"/>
  <c r="BU566" i="42"/>
  <c r="BV566" i="42"/>
  <c r="BW566" i="42"/>
  <c r="BX566" i="42"/>
  <c r="BY566" i="42"/>
  <c r="BZ566" i="42"/>
  <c r="CA566" i="42"/>
  <c r="CB566" i="42"/>
  <c r="CC566" i="42"/>
  <c r="CD566" i="42"/>
  <c r="CE566" i="42"/>
  <c r="CF566" i="42"/>
  <c r="CG566" i="42"/>
  <c r="CH566" i="42"/>
  <c r="CI566" i="42"/>
  <c r="CJ566" i="42"/>
  <c r="CK566" i="42"/>
  <c r="CL566" i="42"/>
  <c r="CM566" i="42"/>
  <c r="CN566" i="42"/>
  <c r="CO566" i="42"/>
  <c r="CP566" i="42"/>
  <c r="BO567" i="42"/>
  <c r="BP567" i="42"/>
  <c r="BQ567" i="42"/>
  <c r="BR567" i="42"/>
  <c r="BS567" i="42"/>
  <c r="BT567" i="42"/>
  <c r="BU567" i="42"/>
  <c r="BV567" i="42"/>
  <c r="BW567" i="42"/>
  <c r="BX567" i="42"/>
  <c r="BY567" i="42"/>
  <c r="BZ567" i="42"/>
  <c r="CA567" i="42"/>
  <c r="CB567" i="42"/>
  <c r="CC567" i="42"/>
  <c r="CD567" i="42"/>
  <c r="CE567" i="42"/>
  <c r="CF567" i="42"/>
  <c r="CG567" i="42"/>
  <c r="CH567" i="42"/>
  <c r="CI567" i="42"/>
  <c r="CJ567" i="42"/>
  <c r="CK567" i="42"/>
  <c r="CL567" i="42"/>
  <c r="CM567" i="42"/>
  <c r="CN567" i="42"/>
  <c r="CO567" i="42"/>
  <c r="CP567" i="42"/>
  <c r="BO568" i="42"/>
  <c r="BP568" i="42"/>
  <c r="BQ568" i="42"/>
  <c r="BR568" i="42"/>
  <c r="BS568" i="42"/>
  <c r="BT568" i="42"/>
  <c r="BU568" i="42"/>
  <c r="BV568" i="42"/>
  <c r="BW568" i="42"/>
  <c r="BX568" i="42"/>
  <c r="BY568" i="42"/>
  <c r="BZ568" i="42"/>
  <c r="CA568" i="42"/>
  <c r="CB568" i="42"/>
  <c r="CC568" i="42"/>
  <c r="CD568" i="42"/>
  <c r="CE568" i="42"/>
  <c r="CF568" i="42"/>
  <c r="CG568" i="42"/>
  <c r="CH568" i="42"/>
  <c r="CI568" i="42"/>
  <c r="CJ568" i="42"/>
  <c r="CK568" i="42"/>
  <c r="CL568" i="42"/>
  <c r="CM568" i="42"/>
  <c r="CN568" i="42"/>
  <c r="CO568" i="42"/>
  <c r="CP568" i="42"/>
  <c r="BO569" i="42"/>
  <c r="BP569" i="42"/>
  <c r="BQ569" i="42"/>
  <c r="BR569" i="42"/>
  <c r="BS569" i="42"/>
  <c r="BT569" i="42"/>
  <c r="BU569" i="42"/>
  <c r="BV569" i="42"/>
  <c r="BW569" i="42"/>
  <c r="BX569" i="42"/>
  <c r="BY569" i="42"/>
  <c r="BZ569" i="42"/>
  <c r="CA569" i="42"/>
  <c r="CB569" i="42"/>
  <c r="CC569" i="42"/>
  <c r="CD569" i="42"/>
  <c r="CE569" i="42"/>
  <c r="CF569" i="42"/>
  <c r="CG569" i="42"/>
  <c r="CH569" i="42"/>
  <c r="CI569" i="42"/>
  <c r="CJ569" i="42"/>
  <c r="CK569" i="42"/>
  <c r="CL569" i="42"/>
  <c r="CM569" i="42"/>
  <c r="CN569" i="42"/>
  <c r="CO569" i="42"/>
  <c r="CP569" i="42"/>
  <c r="BO570" i="42"/>
  <c r="BP570" i="42"/>
  <c r="BQ570" i="42"/>
  <c r="BR570" i="42"/>
  <c r="BS570" i="42"/>
  <c r="BT570" i="42"/>
  <c r="BU570" i="42"/>
  <c r="BV570" i="42"/>
  <c r="BW570" i="42"/>
  <c r="BX570" i="42"/>
  <c r="BY570" i="42"/>
  <c r="BZ570" i="42"/>
  <c r="CA570" i="42"/>
  <c r="CB570" i="42"/>
  <c r="CC570" i="42"/>
  <c r="CD570" i="42"/>
  <c r="CE570" i="42"/>
  <c r="CF570" i="42"/>
  <c r="CG570" i="42"/>
  <c r="CH570" i="42"/>
  <c r="CI570" i="42"/>
  <c r="CJ570" i="42"/>
  <c r="CK570" i="42"/>
  <c r="CL570" i="42"/>
  <c r="CM570" i="42"/>
  <c r="CN570" i="42"/>
  <c r="CO570" i="42"/>
  <c r="CP570" i="42"/>
  <c r="BO571" i="42"/>
  <c r="BP571" i="42"/>
  <c r="BQ571" i="42"/>
  <c r="BR571" i="42"/>
  <c r="BS571" i="42"/>
  <c r="BT571" i="42"/>
  <c r="BU571" i="42"/>
  <c r="BV571" i="42"/>
  <c r="BW571" i="42"/>
  <c r="BX571" i="42"/>
  <c r="BY571" i="42"/>
  <c r="BZ571" i="42"/>
  <c r="CA571" i="42"/>
  <c r="CB571" i="42"/>
  <c r="CC571" i="42"/>
  <c r="CD571" i="42"/>
  <c r="CE571" i="42"/>
  <c r="CF571" i="42"/>
  <c r="CG571" i="42"/>
  <c r="CH571" i="42"/>
  <c r="CI571" i="42"/>
  <c r="CJ571" i="42"/>
  <c r="CK571" i="42"/>
  <c r="CL571" i="42"/>
  <c r="CM571" i="42"/>
  <c r="CN571" i="42"/>
  <c r="CO571" i="42"/>
  <c r="CP571" i="42"/>
  <c r="BO572" i="42"/>
  <c r="BP572" i="42"/>
  <c r="BQ572" i="42"/>
  <c r="BR572" i="42"/>
  <c r="BS572" i="42"/>
  <c r="BT572" i="42"/>
  <c r="BU572" i="42"/>
  <c r="BV572" i="42"/>
  <c r="BW572" i="42"/>
  <c r="BX572" i="42"/>
  <c r="BY572" i="42"/>
  <c r="BZ572" i="42"/>
  <c r="CA572" i="42"/>
  <c r="CB572" i="42"/>
  <c r="CC572" i="42"/>
  <c r="CD572" i="42"/>
  <c r="CE572" i="42"/>
  <c r="CF572" i="42"/>
  <c r="CG572" i="42"/>
  <c r="CH572" i="42"/>
  <c r="CI572" i="42"/>
  <c r="CJ572" i="42"/>
  <c r="CK572" i="42"/>
  <c r="CL572" i="42"/>
  <c r="CM572" i="42"/>
  <c r="CN572" i="42"/>
  <c r="CO572" i="42"/>
  <c r="CP572" i="42"/>
  <c r="BO573" i="42"/>
  <c r="BP573" i="42"/>
  <c r="BQ573" i="42"/>
  <c r="BR573" i="42"/>
  <c r="BS573" i="42"/>
  <c r="BT573" i="42"/>
  <c r="BU573" i="42"/>
  <c r="BV573" i="42"/>
  <c r="BW573" i="42"/>
  <c r="BX573" i="42"/>
  <c r="BY573" i="42"/>
  <c r="BZ573" i="42"/>
  <c r="CA573" i="42"/>
  <c r="CB573" i="42"/>
  <c r="CC573" i="42"/>
  <c r="CD573" i="42"/>
  <c r="CE573" i="42"/>
  <c r="CF573" i="42"/>
  <c r="CG573" i="42"/>
  <c r="CH573" i="42"/>
  <c r="CI573" i="42"/>
  <c r="CJ573" i="42"/>
  <c r="CK573" i="42"/>
  <c r="CL573" i="42"/>
  <c r="CM573" i="42"/>
  <c r="CN573" i="42"/>
  <c r="CO573" i="42"/>
  <c r="CP573" i="42"/>
  <c r="BO574" i="42"/>
  <c r="BP574" i="42"/>
  <c r="BQ574" i="42"/>
  <c r="BR574" i="42"/>
  <c r="BS574" i="42"/>
  <c r="BT574" i="42"/>
  <c r="BU574" i="42"/>
  <c r="BV574" i="42"/>
  <c r="BW574" i="42"/>
  <c r="BX574" i="42"/>
  <c r="BY574" i="42"/>
  <c r="BZ574" i="42"/>
  <c r="CA574" i="42"/>
  <c r="CB574" i="42"/>
  <c r="CC574" i="42"/>
  <c r="CD574" i="42"/>
  <c r="CE574" i="42"/>
  <c r="CF574" i="42"/>
  <c r="CG574" i="42"/>
  <c r="CH574" i="42"/>
  <c r="CI574" i="42"/>
  <c r="CJ574" i="42"/>
  <c r="CK574" i="42"/>
  <c r="CL574" i="42"/>
  <c r="CM574" i="42"/>
  <c r="CN574" i="42"/>
  <c r="CO574" i="42"/>
  <c r="CP574" i="42"/>
  <c r="BO575" i="42"/>
  <c r="BP575" i="42"/>
  <c r="BQ575" i="42"/>
  <c r="BR575" i="42"/>
  <c r="BS575" i="42"/>
  <c r="BT575" i="42"/>
  <c r="BU575" i="42"/>
  <c r="BV575" i="42"/>
  <c r="BW575" i="42"/>
  <c r="BX575" i="42"/>
  <c r="BY575" i="42"/>
  <c r="BZ575" i="42"/>
  <c r="CA575" i="42"/>
  <c r="CB575" i="42"/>
  <c r="CC575" i="42"/>
  <c r="CD575" i="42"/>
  <c r="CE575" i="42"/>
  <c r="CF575" i="42"/>
  <c r="CG575" i="42"/>
  <c r="CH575" i="42"/>
  <c r="CI575" i="42"/>
  <c r="CJ575" i="42"/>
  <c r="CK575" i="42"/>
  <c r="CL575" i="42"/>
  <c r="CM575" i="42"/>
  <c r="CN575" i="42"/>
  <c r="CO575" i="42"/>
  <c r="CP575" i="42"/>
  <c r="BO576" i="42"/>
  <c r="BP576" i="42"/>
  <c r="BQ576" i="42"/>
  <c r="BR576" i="42"/>
  <c r="BS576" i="42"/>
  <c r="BT576" i="42"/>
  <c r="BU576" i="42"/>
  <c r="BV576" i="42"/>
  <c r="BW576" i="42"/>
  <c r="BX576" i="42"/>
  <c r="BY576" i="42"/>
  <c r="BZ576" i="42"/>
  <c r="CA576" i="42"/>
  <c r="CB576" i="42"/>
  <c r="CC576" i="42"/>
  <c r="CD576" i="42"/>
  <c r="CE576" i="42"/>
  <c r="CF576" i="42"/>
  <c r="CG576" i="42"/>
  <c r="CH576" i="42"/>
  <c r="CI576" i="42"/>
  <c r="CJ576" i="42"/>
  <c r="CK576" i="42"/>
  <c r="CL576" i="42"/>
  <c r="CM576" i="42"/>
  <c r="CN576" i="42"/>
  <c r="CO576" i="42"/>
  <c r="CP576" i="42"/>
  <c r="BO577" i="42"/>
  <c r="BP577" i="42"/>
  <c r="BQ577" i="42"/>
  <c r="BR577" i="42"/>
  <c r="BS577" i="42"/>
  <c r="BT577" i="42"/>
  <c r="BU577" i="42"/>
  <c r="BV577" i="42"/>
  <c r="BW577" i="42"/>
  <c r="BX577" i="42"/>
  <c r="BY577" i="42"/>
  <c r="BZ577" i="42"/>
  <c r="CA577" i="42"/>
  <c r="CB577" i="42"/>
  <c r="CC577" i="42"/>
  <c r="CD577" i="42"/>
  <c r="CE577" i="42"/>
  <c r="CF577" i="42"/>
  <c r="CG577" i="42"/>
  <c r="CH577" i="42"/>
  <c r="CI577" i="42"/>
  <c r="CJ577" i="42"/>
  <c r="CK577" i="42"/>
  <c r="CL577" i="42"/>
  <c r="CM577" i="42"/>
  <c r="CN577" i="42"/>
  <c r="CO577" i="42"/>
  <c r="CP577" i="42"/>
  <c r="BO578" i="42"/>
  <c r="BP578" i="42"/>
  <c r="BQ578" i="42"/>
  <c r="BR578" i="42"/>
  <c r="BS578" i="42"/>
  <c r="BT578" i="42"/>
  <c r="BU578" i="42"/>
  <c r="BV578" i="42"/>
  <c r="BW578" i="42"/>
  <c r="BX578" i="42"/>
  <c r="BY578" i="42"/>
  <c r="BZ578" i="42"/>
  <c r="CA578" i="42"/>
  <c r="CB578" i="42"/>
  <c r="CC578" i="42"/>
  <c r="CD578" i="42"/>
  <c r="CE578" i="42"/>
  <c r="CF578" i="42"/>
  <c r="CG578" i="42"/>
  <c r="CH578" i="42"/>
  <c r="CI578" i="42"/>
  <c r="CJ578" i="42"/>
  <c r="CK578" i="42"/>
  <c r="CL578" i="42"/>
  <c r="CM578" i="42"/>
  <c r="CN578" i="42"/>
  <c r="CO578" i="42"/>
  <c r="CP578" i="42"/>
  <c r="BO579" i="42"/>
  <c r="BP579" i="42"/>
  <c r="BQ579" i="42"/>
  <c r="BR579" i="42"/>
  <c r="BS579" i="42"/>
  <c r="BT579" i="42"/>
  <c r="BU579" i="42"/>
  <c r="BV579" i="42"/>
  <c r="BW579" i="42"/>
  <c r="BX579" i="42"/>
  <c r="BY579" i="42"/>
  <c r="BZ579" i="42"/>
  <c r="CA579" i="42"/>
  <c r="CB579" i="42"/>
  <c r="CC579" i="42"/>
  <c r="CD579" i="42"/>
  <c r="CE579" i="42"/>
  <c r="CF579" i="42"/>
  <c r="CG579" i="42"/>
  <c r="CH579" i="42"/>
  <c r="CI579" i="42"/>
  <c r="CJ579" i="42"/>
  <c r="CK579" i="42"/>
  <c r="CL579" i="42"/>
  <c r="CM579" i="42"/>
  <c r="CN579" i="42"/>
  <c r="CO579" i="42"/>
  <c r="CP579" i="42"/>
  <c r="BO580" i="42"/>
  <c r="BP580" i="42"/>
  <c r="BQ580" i="42"/>
  <c r="BR580" i="42"/>
  <c r="BS580" i="42"/>
  <c r="BT580" i="42"/>
  <c r="BU580" i="42"/>
  <c r="BV580" i="42"/>
  <c r="BW580" i="42"/>
  <c r="BX580" i="42"/>
  <c r="BY580" i="42"/>
  <c r="BZ580" i="42"/>
  <c r="CA580" i="42"/>
  <c r="CB580" i="42"/>
  <c r="CC580" i="42"/>
  <c r="CD580" i="42"/>
  <c r="CE580" i="42"/>
  <c r="CF580" i="42"/>
  <c r="CG580" i="42"/>
  <c r="CH580" i="42"/>
  <c r="CI580" i="42"/>
  <c r="CJ580" i="42"/>
  <c r="CK580" i="42"/>
  <c r="CL580" i="42"/>
  <c r="CM580" i="42"/>
  <c r="CN580" i="42"/>
  <c r="CO580" i="42"/>
  <c r="CP580" i="42"/>
  <c r="BO581" i="42"/>
  <c r="BP581" i="42"/>
  <c r="BQ581" i="42"/>
  <c r="BR581" i="42"/>
  <c r="BS581" i="42"/>
  <c r="BT581" i="42"/>
  <c r="BU581" i="42"/>
  <c r="BV581" i="42"/>
  <c r="BW581" i="42"/>
  <c r="BX581" i="42"/>
  <c r="BY581" i="42"/>
  <c r="BZ581" i="42"/>
  <c r="CA581" i="42"/>
  <c r="CB581" i="42"/>
  <c r="CC581" i="42"/>
  <c r="CD581" i="42"/>
  <c r="CE581" i="42"/>
  <c r="CF581" i="42"/>
  <c r="CG581" i="42"/>
  <c r="CH581" i="42"/>
  <c r="CI581" i="42"/>
  <c r="CJ581" i="42"/>
  <c r="CK581" i="42"/>
  <c r="CL581" i="42"/>
  <c r="CM581" i="42"/>
  <c r="CN581" i="42"/>
  <c r="CO581" i="42"/>
  <c r="CP581" i="42"/>
  <c r="BO582" i="42"/>
  <c r="BP582" i="42"/>
  <c r="BQ582" i="42"/>
  <c r="BR582" i="42"/>
  <c r="BS582" i="42"/>
  <c r="BT582" i="42"/>
  <c r="BU582" i="42"/>
  <c r="BV582" i="42"/>
  <c r="BW582" i="42"/>
  <c r="BX582" i="42"/>
  <c r="BY582" i="42"/>
  <c r="BZ582" i="42"/>
  <c r="CA582" i="42"/>
  <c r="CB582" i="42"/>
  <c r="CC582" i="42"/>
  <c r="CD582" i="42"/>
  <c r="CE582" i="42"/>
  <c r="CF582" i="42"/>
  <c r="CG582" i="42"/>
  <c r="CH582" i="42"/>
  <c r="CI582" i="42"/>
  <c r="CJ582" i="42"/>
  <c r="CK582" i="42"/>
  <c r="CL582" i="42"/>
  <c r="CM582" i="42"/>
  <c r="CN582" i="42"/>
  <c r="CO582" i="42"/>
  <c r="CP582" i="42"/>
  <c r="BO583" i="42"/>
  <c r="BP583" i="42"/>
  <c r="BQ583" i="42"/>
  <c r="BR583" i="42"/>
  <c r="BS583" i="42"/>
  <c r="BT583" i="42"/>
  <c r="BU583" i="42"/>
  <c r="BV583" i="42"/>
  <c r="BW583" i="42"/>
  <c r="BX583" i="42"/>
  <c r="BY583" i="42"/>
  <c r="BZ583" i="42"/>
  <c r="CA583" i="42"/>
  <c r="CB583" i="42"/>
  <c r="CC583" i="42"/>
  <c r="CD583" i="42"/>
  <c r="CE583" i="42"/>
  <c r="CF583" i="42"/>
  <c r="CG583" i="42"/>
  <c r="CH583" i="42"/>
  <c r="CI583" i="42"/>
  <c r="CJ583" i="42"/>
  <c r="CK583" i="42"/>
  <c r="CL583" i="42"/>
  <c r="CM583" i="42"/>
  <c r="CN583" i="42"/>
  <c r="CO583" i="42"/>
  <c r="CP583" i="42"/>
  <c r="BO584" i="42"/>
  <c r="BP584" i="42"/>
  <c r="BQ584" i="42"/>
  <c r="BR584" i="42"/>
  <c r="BS584" i="42"/>
  <c r="BT584" i="42"/>
  <c r="BU584" i="42"/>
  <c r="BV584" i="42"/>
  <c r="BW584" i="42"/>
  <c r="BX584" i="42"/>
  <c r="BY584" i="42"/>
  <c r="BZ584" i="42"/>
  <c r="CA584" i="42"/>
  <c r="CB584" i="42"/>
  <c r="CC584" i="42"/>
  <c r="CD584" i="42"/>
  <c r="CE584" i="42"/>
  <c r="CF584" i="42"/>
  <c r="CG584" i="42"/>
  <c r="CH584" i="42"/>
  <c r="CI584" i="42"/>
  <c r="CJ584" i="42"/>
  <c r="CK584" i="42"/>
  <c r="CL584" i="42"/>
  <c r="CM584" i="42"/>
  <c r="CN584" i="42"/>
  <c r="CO584" i="42"/>
  <c r="CP584" i="42"/>
  <c r="BO585" i="42"/>
  <c r="BP585" i="42"/>
  <c r="BQ585" i="42"/>
  <c r="BR585" i="42"/>
  <c r="BS585" i="42"/>
  <c r="BT585" i="42"/>
  <c r="BU585" i="42"/>
  <c r="BV585" i="42"/>
  <c r="BW585" i="42"/>
  <c r="BX585" i="42"/>
  <c r="BY585" i="42"/>
  <c r="BZ585" i="42"/>
  <c r="CA585" i="42"/>
  <c r="CB585" i="42"/>
  <c r="CC585" i="42"/>
  <c r="CD585" i="42"/>
  <c r="CE585" i="42"/>
  <c r="CF585" i="42"/>
  <c r="CG585" i="42"/>
  <c r="CH585" i="42"/>
  <c r="CI585" i="42"/>
  <c r="CJ585" i="42"/>
  <c r="CK585" i="42"/>
  <c r="CL585" i="42"/>
  <c r="CM585" i="42"/>
  <c r="CN585" i="42"/>
  <c r="CO585" i="42"/>
  <c r="CP585" i="42"/>
  <c r="BO586" i="42"/>
  <c r="BP586" i="42"/>
  <c r="BQ586" i="42"/>
  <c r="BR586" i="42"/>
  <c r="BS586" i="42"/>
  <c r="BT586" i="42"/>
  <c r="BU586" i="42"/>
  <c r="BV586" i="42"/>
  <c r="BW586" i="42"/>
  <c r="BX586" i="42"/>
  <c r="BY586" i="42"/>
  <c r="BZ586" i="42"/>
  <c r="CA586" i="42"/>
  <c r="CB586" i="42"/>
  <c r="CC586" i="42"/>
  <c r="CD586" i="42"/>
  <c r="CE586" i="42"/>
  <c r="CF586" i="42"/>
  <c r="CG586" i="42"/>
  <c r="CH586" i="42"/>
  <c r="CI586" i="42"/>
  <c r="CJ586" i="42"/>
  <c r="CK586" i="42"/>
  <c r="CL586" i="42"/>
  <c r="CM586" i="42"/>
  <c r="CN586" i="42"/>
  <c r="CO586" i="42"/>
  <c r="CP586" i="42"/>
  <c r="BO587" i="42"/>
  <c r="BP587" i="42"/>
  <c r="BQ587" i="42"/>
  <c r="BR587" i="42"/>
  <c r="BS587" i="42"/>
  <c r="BT587" i="42"/>
  <c r="BU587" i="42"/>
  <c r="BV587" i="42"/>
  <c r="BW587" i="42"/>
  <c r="BX587" i="42"/>
  <c r="BY587" i="42"/>
  <c r="BZ587" i="42"/>
  <c r="CA587" i="42"/>
  <c r="CB587" i="42"/>
  <c r="CC587" i="42"/>
  <c r="CD587" i="42"/>
  <c r="CE587" i="42"/>
  <c r="CF587" i="42"/>
  <c r="CG587" i="42"/>
  <c r="CH587" i="42"/>
  <c r="CI587" i="42"/>
  <c r="CJ587" i="42"/>
  <c r="CK587" i="42"/>
  <c r="CL587" i="42"/>
  <c r="CM587" i="42"/>
  <c r="CN587" i="42"/>
  <c r="CO587" i="42"/>
  <c r="CP587" i="42"/>
  <c r="BO588" i="42"/>
  <c r="BP588" i="42"/>
  <c r="BQ588" i="42"/>
  <c r="BR588" i="42"/>
  <c r="BS588" i="42"/>
  <c r="BT588" i="42"/>
  <c r="BU588" i="42"/>
  <c r="BV588" i="42"/>
  <c r="BW588" i="42"/>
  <c r="BX588" i="42"/>
  <c r="BY588" i="42"/>
  <c r="BZ588" i="42"/>
  <c r="CA588" i="42"/>
  <c r="CB588" i="42"/>
  <c r="CC588" i="42"/>
  <c r="CD588" i="42"/>
  <c r="CE588" i="42"/>
  <c r="CF588" i="42"/>
  <c r="CG588" i="42"/>
  <c r="CH588" i="42"/>
  <c r="CI588" i="42"/>
  <c r="CJ588" i="42"/>
  <c r="CK588" i="42"/>
  <c r="CL588" i="42"/>
  <c r="CM588" i="42"/>
  <c r="CN588" i="42"/>
  <c r="CO588" i="42"/>
  <c r="CP588" i="42"/>
  <c r="BO589" i="42"/>
  <c r="BP589" i="42"/>
  <c r="BQ589" i="42"/>
  <c r="BR589" i="42"/>
  <c r="BS589" i="42"/>
  <c r="BT589" i="42"/>
  <c r="BU589" i="42"/>
  <c r="BV589" i="42"/>
  <c r="BW589" i="42"/>
  <c r="BX589" i="42"/>
  <c r="BY589" i="42"/>
  <c r="BZ589" i="42"/>
  <c r="CA589" i="42"/>
  <c r="CB589" i="42"/>
  <c r="CC589" i="42"/>
  <c r="CD589" i="42"/>
  <c r="CE589" i="42"/>
  <c r="CF589" i="42"/>
  <c r="CG589" i="42"/>
  <c r="CH589" i="42"/>
  <c r="CI589" i="42"/>
  <c r="CJ589" i="42"/>
  <c r="CK589" i="42"/>
  <c r="CL589" i="42"/>
  <c r="CM589" i="42"/>
  <c r="CN589" i="42"/>
  <c r="CO589" i="42"/>
  <c r="CP589" i="42"/>
  <c r="BO590" i="42"/>
  <c r="BP590" i="42"/>
  <c r="BQ590" i="42"/>
  <c r="BR590" i="42"/>
  <c r="BS590" i="42"/>
  <c r="BT590" i="42"/>
  <c r="BU590" i="42"/>
  <c r="BV590" i="42"/>
  <c r="BW590" i="42"/>
  <c r="BX590" i="42"/>
  <c r="BY590" i="42"/>
  <c r="BZ590" i="42"/>
  <c r="CA590" i="42"/>
  <c r="CB590" i="42"/>
  <c r="CC590" i="42"/>
  <c r="CD590" i="42"/>
  <c r="CE590" i="42"/>
  <c r="CF590" i="42"/>
  <c r="CG590" i="42"/>
  <c r="CH590" i="42"/>
  <c r="CI590" i="42"/>
  <c r="CJ590" i="42"/>
  <c r="CK590" i="42"/>
  <c r="CL590" i="42"/>
  <c r="CM590" i="42"/>
  <c r="CN590" i="42"/>
  <c r="CO590" i="42"/>
  <c r="CP590" i="42"/>
  <c r="BO591" i="42"/>
  <c r="BP591" i="42"/>
  <c r="BQ591" i="42"/>
  <c r="BR591" i="42"/>
  <c r="BS591" i="42"/>
  <c r="BT591" i="42"/>
  <c r="BU591" i="42"/>
  <c r="BV591" i="42"/>
  <c r="BW591" i="42"/>
  <c r="BX591" i="42"/>
  <c r="BY591" i="42"/>
  <c r="BZ591" i="42"/>
  <c r="CA591" i="42"/>
  <c r="CB591" i="42"/>
  <c r="CC591" i="42"/>
  <c r="CD591" i="42"/>
  <c r="CE591" i="42"/>
  <c r="CF591" i="42"/>
  <c r="CG591" i="42"/>
  <c r="CH591" i="42"/>
  <c r="CI591" i="42"/>
  <c r="CJ591" i="42"/>
  <c r="CK591" i="42"/>
  <c r="CL591" i="42"/>
  <c r="CM591" i="42"/>
  <c r="CN591" i="42"/>
  <c r="CO591" i="42"/>
  <c r="CP591" i="42"/>
  <c r="BO592" i="42"/>
  <c r="BP592" i="42"/>
  <c r="BQ592" i="42"/>
  <c r="BR592" i="42"/>
  <c r="BS592" i="42"/>
  <c r="BT592" i="42"/>
  <c r="BU592" i="42"/>
  <c r="BV592" i="42"/>
  <c r="BW592" i="42"/>
  <c r="BX592" i="42"/>
  <c r="BY592" i="42"/>
  <c r="BZ592" i="42"/>
  <c r="CA592" i="42"/>
  <c r="CB592" i="42"/>
  <c r="CC592" i="42"/>
  <c r="CD592" i="42"/>
  <c r="CE592" i="42"/>
  <c r="CF592" i="42"/>
  <c r="CG592" i="42"/>
  <c r="CH592" i="42"/>
  <c r="CI592" i="42"/>
  <c r="CJ592" i="42"/>
  <c r="CK592" i="42"/>
  <c r="CL592" i="42"/>
  <c r="CM592" i="42"/>
  <c r="CN592" i="42"/>
  <c r="CO592" i="42"/>
  <c r="CP592" i="42"/>
  <c r="BO593" i="42"/>
  <c r="BP593" i="42"/>
  <c r="BQ593" i="42"/>
  <c r="BR593" i="42"/>
  <c r="BS593" i="42"/>
  <c r="BT593" i="42"/>
  <c r="BU593" i="42"/>
  <c r="BV593" i="42"/>
  <c r="BW593" i="42"/>
  <c r="BX593" i="42"/>
  <c r="BY593" i="42"/>
  <c r="BZ593" i="42"/>
  <c r="CA593" i="42"/>
  <c r="CB593" i="42"/>
  <c r="CC593" i="42"/>
  <c r="CD593" i="42"/>
  <c r="CE593" i="42"/>
  <c r="CF593" i="42"/>
  <c r="CG593" i="42"/>
  <c r="CH593" i="42"/>
  <c r="CI593" i="42"/>
  <c r="CJ593" i="42"/>
  <c r="CK593" i="42"/>
  <c r="CL593" i="42"/>
  <c r="CM593" i="42"/>
  <c r="CN593" i="42"/>
  <c r="CO593" i="42"/>
  <c r="CP593" i="42"/>
  <c r="BO594" i="42"/>
  <c r="BP594" i="42"/>
  <c r="BQ594" i="42"/>
  <c r="BR594" i="42"/>
  <c r="BS594" i="42"/>
  <c r="BT594" i="42"/>
  <c r="BU594" i="42"/>
  <c r="BV594" i="42"/>
  <c r="BW594" i="42"/>
  <c r="BX594" i="42"/>
  <c r="BY594" i="42"/>
  <c r="BZ594" i="42"/>
  <c r="CA594" i="42"/>
  <c r="CB594" i="42"/>
  <c r="CC594" i="42"/>
  <c r="CD594" i="42"/>
  <c r="CE594" i="42"/>
  <c r="CF594" i="42"/>
  <c r="CG594" i="42"/>
  <c r="CH594" i="42"/>
  <c r="CI594" i="42"/>
  <c r="CJ594" i="42"/>
  <c r="CK594" i="42"/>
  <c r="CL594" i="42"/>
  <c r="CM594" i="42"/>
  <c r="CN594" i="42"/>
  <c r="CO594" i="42"/>
  <c r="CP594" i="42"/>
  <c r="BO595" i="42"/>
  <c r="BP595" i="42"/>
  <c r="BQ595" i="42"/>
  <c r="BR595" i="42"/>
  <c r="BS595" i="42"/>
  <c r="BT595" i="42"/>
  <c r="BU595" i="42"/>
  <c r="BV595" i="42"/>
  <c r="BW595" i="42"/>
  <c r="BX595" i="42"/>
  <c r="BY595" i="42"/>
  <c r="BZ595" i="42"/>
  <c r="CA595" i="42"/>
  <c r="CB595" i="42"/>
  <c r="CC595" i="42"/>
  <c r="CD595" i="42"/>
  <c r="CE595" i="42"/>
  <c r="CF595" i="42"/>
  <c r="CG595" i="42"/>
  <c r="CH595" i="42"/>
  <c r="CI595" i="42"/>
  <c r="CJ595" i="42"/>
  <c r="CK595" i="42"/>
  <c r="CL595" i="42"/>
  <c r="CM595" i="42"/>
  <c r="CN595" i="42"/>
  <c r="CO595" i="42"/>
  <c r="CP595" i="42"/>
  <c r="BO596" i="42"/>
  <c r="BP596" i="42"/>
  <c r="BQ596" i="42"/>
  <c r="BR596" i="42"/>
  <c r="BS596" i="42"/>
  <c r="BT596" i="42"/>
  <c r="BU596" i="42"/>
  <c r="BV596" i="42"/>
  <c r="BW596" i="42"/>
  <c r="BX596" i="42"/>
  <c r="BY596" i="42"/>
  <c r="BZ596" i="42"/>
  <c r="CA596" i="42"/>
  <c r="CB596" i="42"/>
  <c r="CC596" i="42"/>
  <c r="CD596" i="42"/>
  <c r="CE596" i="42"/>
  <c r="CF596" i="42"/>
  <c r="CG596" i="42"/>
  <c r="CH596" i="42"/>
  <c r="CI596" i="42"/>
  <c r="CJ596" i="42"/>
  <c r="CK596" i="42"/>
  <c r="CL596" i="42"/>
  <c r="CM596" i="42"/>
  <c r="CN596" i="42"/>
  <c r="CO596" i="42"/>
  <c r="CP596" i="42"/>
  <c r="BO597" i="42"/>
  <c r="BP597" i="42"/>
  <c r="BQ597" i="42"/>
  <c r="BR597" i="42"/>
  <c r="BS597" i="42"/>
  <c r="BT597" i="42"/>
  <c r="BU597" i="42"/>
  <c r="BV597" i="42"/>
  <c r="BW597" i="42"/>
  <c r="BX597" i="42"/>
  <c r="BY597" i="42"/>
  <c r="BZ597" i="42"/>
  <c r="CA597" i="42"/>
  <c r="CB597" i="42"/>
  <c r="CC597" i="42"/>
  <c r="CD597" i="42"/>
  <c r="CE597" i="42"/>
  <c r="CF597" i="42"/>
  <c r="CG597" i="42"/>
  <c r="CH597" i="42"/>
  <c r="CI597" i="42"/>
  <c r="CJ597" i="42"/>
  <c r="CK597" i="42"/>
  <c r="CL597" i="42"/>
  <c r="CM597" i="42"/>
  <c r="CN597" i="42"/>
  <c r="CO597" i="42"/>
  <c r="CP597" i="42"/>
  <c r="BO598" i="42"/>
  <c r="BP598" i="42"/>
  <c r="BQ598" i="42"/>
  <c r="BR598" i="42"/>
  <c r="BS598" i="42"/>
  <c r="BT598" i="42"/>
  <c r="BU598" i="42"/>
  <c r="BV598" i="42"/>
  <c r="BW598" i="42"/>
  <c r="BX598" i="42"/>
  <c r="BY598" i="42"/>
  <c r="BZ598" i="42"/>
  <c r="CA598" i="42"/>
  <c r="CB598" i="42"/>
  <c r="CC598" i="42"/>
  <c r="CD598" i="42"/>
  <c r="CE598" i="42"/>
  <c r="CF598" i="42"/>
  <c r="CG598" i="42"/>
  <c r="CH598" i="42"/>
  <c r="CI598" i="42"/>
  <c r="CJ598" i="42"/>
  <c r="CK598" i="42"/>
  <c r="CL598" i="42"/>
  <c r="CM598" i="42"/>
  <c r="CN598" i="42"/>
  <c r="CO598" i="42"/>
  <c r="CP598" i="42"/>
  <c r="BO599" i="42"/>
  <c r="BP599" i="42"/>
  <c r="BQ599" i="42"/>
  <c r="BR599" i="42"/>
  <c r="BS599" i="42"/>
  <c r="BT599" i="42"/>
  <c r="BU599" i="42"/>
  <c r="BV599" i="42"/>
  <c r="BW599" i="42"/>
  <c r="BX599" i="42"/>
  <c r="BY599" i="42"/>
  <c r="BZ599" i="42"/>
  <c r="CA599" i="42"/>
  <c r="CB599" i="42"/>
  <c r="CC599" i="42"/>
  <c r="CD599" i="42"/>
  <c r="CE599" i="42"/>
  <c r="CF599" i="42"/>
  <c r="CG599" i="42"/>
  <c r="CH599" i="42"/>
  <c r="CI599" i="42"/>
  <c r="CJ599" i="42"/>
  <c r="CK599" i="42"/>
  <c r="CL599" i="42"/>
  <c r="CM599" i="42"/>
  <c r="CN599" i="42"/>
  <c r="CO599" i="42"/>
  <c r="CP599" i="42"/>
  <c r="BO600" i="42"/>
  <c r="BP600" i="42"/>
  <c r="BQ600" i="42"/>
  <c r="BR600" i="42"/>
  <c r="BS600" i="42"/>
  <c r="BT600" i="42"/>
  <c r="BU600" i="42"/>
  <c r="BV600" i="42"/>
  <c r="BW600" i="42"/>
  <c r="BX600" i="42"/>
  <c r="BY600" i="42"/>
  <c r="BZ600" i="42"/>
  <c r="CA600" i="42"/>
  <c r="CB600" i="42"/>
  <c r="CC600" i="42"/>
  <c r="CD600" i="42"/>
  <c r="CE600" i="42"/>
  <c r="CF600" i="42"/>
  <c r="CG600" i="42"/>
  <c r="CH600" i="42"/>
  <c r="CI600" i="42"/>
  <c r="CJ600" i="42"/>
  <c r="CK600" i="42"/>
  <c r="CL600" i="42"/>
  <c r="CM600" i="42"/>
  <c r="CN600" i="42"/>
  <c r="CO600" i="42"/>
  <c r="CP600" i="42"/>
  <c r="BO601" i="42"/>
  <c r="BP601" i="42"/>
  <c r="BQ601" i="42"/>
  <c r="BR601" i="42"/>
  <c r="BS601" i="42"/>
  <c r="BT601" i="42"/>
  <c r="BU601" i="42"/>
  <c r="BV601" i="42"/>
  <c r="BW601" i="42"/>
  <c r="BX601" i="42"/>
  <c r="BY601" i="42"/>
  <c r="BZ601" i="42"/>
  <c r="CA601" i="42"/>
  <c r="CB601" i="42"/>
  <c r="CC601" i="42"/>
  <c r="CD601" i="42"/>
  <c r="CE601" i="42"/>
  <c r="CF601" i="42"/>
  <c r="CG601" i="42"/>
  <c r="CH601" i="42"/>
  <c r="CI601" i="42"/>
  <c r="CJ601" i="42"/>
  <c r="CK601" i="42"/>
  <c r="CL601" i="42"/>
  <c r="CM601" i="42"/>
  <c r="CN601" i="42"/>
  <c r="CO601" i="42"/>
  <c r="CP601" i="42"/>
  <c r="BO602" i="42"/>
  <c r="BP602" i="42"/>
  <c r="BQ602" i="42"/>
  <c r="BR602" i="42"/>
  <c r="BS602" i="42"/>
  <c r="BT602" i="42"/>
  <c r="BU602" i="42"/>
  <c r="BV602" i="42"/>
  <c r="BW602" i="42"/>
  <c r="BX602" i="42"/>
  <c r="BY602" i="42"/>
  <c r="BZ602" i="42"/>
  <c r="CA602" i="42"/>
  <c r="CB602" i="42"/>
  <c r="CC602" i="42"/>
  <c r="CD602" i="42"/>
  <c r="CE602" i="42"/>
  <c r="CF602" i="42"/>
  <c r="CG602" i="42"/>
  <c r="CH602" i="42"/>
  <c r="CI602" i="42"/>
  <c r="CJ602" i="42"/>
  <c r="CK602" i="42"/>
  <c r="CL602" i="42"/>
  <c r="CM602" i="42"/>
  <c r="CN602" i="42"/>
  <c r="CO602" i="42"/>
  <c r="CP602" i="42"/>
  <c r="BO603" i="42"/>
  <c r="BP603" i="42"/>
  <c r="BQ603" i="42"/>
  <c r="BR603" i="42"/>
  <c r="BS603" i="42"/>
  <c r="BT603" i="42"/>
  <c r="BU603" i="42"/>
  <c r="BV603" i="42"/>
  <c r="BW603" i="42"/>
  <c r="BX603" i="42"/>
  <c r="BY603" i="42"/>
  <c r="BZ603" i="42"/>
  <c r="CA603" i="42"/>
  <c r="CB603" i="42"/>
  <c r="CC603" i="42"/>
  <c r="CD603" i="42"/>
  <c r="CE603" i="42"/>
  <c r="CF603" i="42"/>
  <c r="CG603" i="42"/>
  <c r="CH603" i="42"/>
  <c r="CI603" i="42"/>
  <c r="CJ603" i="42"/>
  <c r="CK603" i="42"/>
  <c r="CL603" i="42"/>
  <c r="CM603" i="42"/>
  <c r="CN603" i="42"/>
  <c r="CO603" i="42"/>
  <c r="CP603" i="42"/>
  <c r="BO604" i="42"/>
  <c r="BP604" i="42"/>
  <c r="BQ604" i="42"/>
  <c r="BR604" i="42"/>
  <c r="BS604" i="42"/>
  <c r="BT604" i="42"/>
  <c r="BU604" i="42"/>
  <c r="BV604" i="42"/>
  <c r="BW604" i="42"/>
  <c r="BX604" i="42"/>
  <c r="BY604" i="42"/>
  <c r="BZ604" i="42"/>
  <c r="CA604" i="42"/>
  <c r="CB604" i="42"/>
  <c r="CC604" i="42"/>
  <c r="CD604" i="42"/>
  <c r="CE604" i="42"/>
  <c r="CF604" i="42"/>
  <c r="CG604" i="42"/>
  <c r="CH604" i="42"/>
  <c r="CI604" i="42"/>
  <c r="CJ604" i="42"/>
  <c r="CK604" i="42"/>
  <c r="CL604" i="42"/>
  <c r="CM604" i="42"/>
  <c r="CN604" i="42"/>
  <c r="CO604" i="42"/>
  <c r="CP604" i="42"/>
  <c r="BO605" i="42"/>
  <c r="BP605" i="42"/>
  <c r="BQ605" i="42"/>
  <c r="BR605" i="42"/>
  <c r="BS605" i="42"/>
  <c r="BT605" i="42"/>
  <c r="BU605" i="42"/>
  <c r="BV605" i="42"/>
  <c r="BW605" i="42"/>
  <c r="BX605" i="42"/>
  <c r="BY605" i="42"/>
  <c r="BZ605" i="42"/>
  <c r="CA605" i="42"/>
  <c r="CB605" i="42"/>
  <c r="CC605" i="42"/>
  <c r="CD605" i="42"/>
  <c r="CE605" i="42"/>
  <c r="CF605" i="42"/>
  <c r="CG605" i="42"/>
  <c r="CH605" i="42"/>
  <c r="CI605" i="42"/>
  <c r="CJ605" i="42"/>
  <c r="CK605" i="42"/>
  <c r="CL605" i="42"/>
  <c r="CM605" i="42"/>
  <c r="CN605" i="42"/>
  <c r="CO605" i="42"/>
  <c r="CP605" i="42"/>
  <c r="BO606" i="42"/>
  <c r="BP606" i="42"/>
  <c r="BQ606" i="42"/>
  <c r="BR606" i="42"/>
  <c r="BS606" i="42"/>
  <c r="BT606" i="42"/>
  <c r="BU606" i="42"/>
  <c r="BV606" i="42"/>
  <c r="BW606" i="42"/>
  <c r="BX606" i="42"/>
  <c r="BY606" i="42"/>
  <c r="BZ606" i="42"/>
  <c r="CA606" i="42"/>
  <c r="CB606" i="42"/>
  <c r="CC606" i="42"/>
  <c r="CD606" i="42"/>
  <c r="CE606" i="42"/>
  <c r="CF606" i="42"/>
  <c r="CG606" i="42"/>
  <c r="CH606" i="42"/>
  <c r="CI606" i="42"/>
  <c r="CJ606" i="42"/>
  <c r="CK606" i="42"/>
  <c r="CL606" i="42"/>
  <c r="CM606" i="42"/>
  <c r="CN606" i="42"/>
  <c r="CO606" i="42"/>
  <c r="CP606" i="42"/>
  <c r="BO607" i="42"/>
  <c r="BP607" i="42"/>
  <c r="BQ607" i="42"/>
  <c r="BR607" i="42"/>
  <c r="BS607" i="42"/>
  <c r="BT607" i="42"/>
  <c r="BU607" i="42"/>
  <c r="BV607" i="42"/>
  <c r="BW607" i="42"/>
  <c r="BX607" i="42"/>
  <c r="BY607" i="42"/>
  <c r="BZ607" i="42"/>
  <c r="CA607" i="42"/>
  <c r="CB607" i="42"/>
  <c r="CC607" i="42"/>
  <c r="CD607" i="42"/>
  <c r="CE607" i="42"/>
  <c r="CF607" i="42"/>
  <c r="CG607" i="42"/>
  <c r="CH607" i="42"/>
  <c r="CI607" i="42"/>
  <c r="CJ607" i="42"/>
  <c r="CK607" i="42"/>
  <c r="CL607" i="42"/>
  <c r="CM607" i="42"/>
  <c r="CN607" i="42"/>
  <c r="CO607" i="42"/>
  <c r="CP607" i="42"/>
  <c r="BO608" i="42"/>
  <c r="BP608" i="42"/>
  <c r="BQ608" i="42"/>
  <c r="BR608" i="42"/>
  <c r="BS608" i="42"/>
  <c r="BT608" i="42"/>
  <c r="BU608" i="42"/>
  <c r="BV608" i="42"/>
  <c r="BW608" i="42"/>
  <c r="BX608" i="42"/>
  <c r="BY608" i="42"/>
  <c r="BZ608" i="42"/>
  <c r="CA608" i="42"/>
  <c r="CB608" i="42"/>
  <c r="CC608" i="42"/>
  <c r="CD608" i="42"/>
  <c r="CE608" i="42"/>
  <c r="CF608" i="42"/>
  <c r="CG608" i="42"/>
  <c r="CH608" i="42"/>
  <c r="CI608" i="42"/>
  <c r="CJ608" i="42"/>
  <c r="CK608" i="42"/>
  <c r="CL608" i="42"/>
  <c r="CM608" i="42"/>
  <c r="CN608" i="42"/>
  <c r="CO608" i="42"/>
  <c r="CP608" i="42"/>
  <c r="BO609" i="42"/>
  <c r="BP609" i="42"/>
  <c r="BQ609" i="42"/>
  <c r="BR609" i="42"/>
  <c r="BS609" i="42"/>
  <c r="BT609" i="42"/>
  <c r="BU609" i="42"/>
  <c r="BV609" i="42"/>
  <c r="BW609" i="42"/>
  <c r="BX609" i="42"/>
  <c r="BY609" i="42"/>
  <c r="BZ609" i="42"/>
  <c r="CA609" i="42"/>
  <c r="CB609" i="42"/>
  <c r="CC609" i="42"/>
  <c r="CD609" i="42"/>
  <c r="CE609" i="42"/>
  <c r="CF609" i="42"/>
  <c r="CG609" i="42"/>
  <c r="CH609" i="42"/>
  <c r="CI609" i="42"/>
  <c r="CJ609" i="42"/>
  <c r="CK609" i="42"/>
  <c r="CL609" i="42"/>
  <c r="CM609" i="42"/>
  <c r="CN609" i="42"/>
  <c r="CO609" i="42"/>
  <c r="CP609" i="42"/>
  <c r="BO610" i="42"/>
  <c r="BP610" i="42"/>
  <c r="BQ610" i="42"/>
  <c r="BR610" i="42"/>
  <c r="BS610" i="42"/>
  <c r="BT610" i="42"/>
  <c r="BU610" i="42"/>
  <c r="BV610" i="42"/>
  <c r="BW610" i="42"/>
  <c r="BX610" i="42"/>
  <c r="BY610" i="42"/>
  <c r="BZ610" i="42"/>
  <c r="CA610" i="42"/>
  <c r="CB610" i="42"/>
  <c r="CC610" i="42"/>
  <c r="CD610" i="42"/>
  <c r="CE610" i="42"/>
  <c r="CF610" i="42"/>
  <c r="CG610" i="42"/>
  <c r="CH610" i="42"/>
  <c r="CI610" i="42"/>
  <c r="CJ610" i="42"/>
  <c r="CK610" i="42"/>
  <c r="CL610" i="42"/>
  <c r="CM610" i="42"/>
  <c r="CN610" i="42"/>
  <c r="CO610" i="42"/>
  <c r="CP610" i="42"/>
  <c r="BO611" i="42"/>
  <c r="BP611" i="42"/>
  <c r="BQ611" i="42"/>
  <c r="BR611" i="42"/>
  <c r="BS611" i="42"/>
  <c r="BT611" i="42"/>
  <c r="BU611" i="42"/>
  <c r="BV611" i="42"/>
  <c r="BW611" i="42"/>
  <c r="BX611" i="42"/>
  <c r="BY611" i="42"/>
  <c r="BZ611" i="42"/>
  <c r="CA611" i="42"/>
  <c r="CB611" i="42"/>
  <c r="CC611" i="42"/>
  <c r="CD611" i="42"/>
  <c r="CE611" i="42"/>
  <c r="CF611" i="42"/>
  <c r="CG611" i="42"/>
  <c r="CH611" i="42"/>
  <c r="CI611" i="42"/>
  <c r="CJ611" i="42"/>
  <c r="CK611" i="42"/>
  <c r="CL611" i="42"/>
  <c r="CM611" i="42"/>
  <c r="CN611" i="42"/>
  <c r="CO611" i="42"/>
  <c r="CP611" i="42"/>
  <c r="BO612" i="42"/>
  <c r="BP612" i="42"/>
  <c r="BQ612" i="42"/>
  <c r="BR612" i="42"/>
  <c r="BS612" i="42"/>
  <c r="BT612" i="42"/>
  <c r="BU612" i="42"/>
  <c r="BV612" i="42"/>
  <c r="BW612" i="42"/>
  <c r="BX612" i="42"/>
  <c r="BY612" i="42"/>
  <c r="BZ612" i="42"/>
  <c r="CA612" i="42"/>
  <c r="CB612" i="42"/>
  <c r="CC612" i="42"/>
  <c r="CD612" i="42"/>
  <c r="CE612" i="42"/>
  <c r="CF612" i="42"/>
  <c r="CG612" i="42"/>
  <c r="CH612" i="42"/>
  <c r="CI612" i="42"/>
  <c r="CJ612" i="42"/>
  <c r="CK612" i="42"/>
  <c r="CL612" i="42"/>
  <c r="CM612" i="42"/>
  <c r="CN612" i="42"/>
  <c r="CO612" i="42"/>
  <c r="CP612" i="42"/>
  <c r="BO613" i="42"/>
  <c r="BP613" i="42"/>
  <c r="BQ613" i="42"/>
  <c r="BR613" i="42"/>
  <c r="BS613" i="42"/>
  <c r="BT613" i="42"/>
  <c r="BU613" i="42"/>
  <c r="BV613" i="42"/>
  <c r="BW613" i="42"/>
  <c r="BX613" i="42"/>
  <c r="BY613" i="42"/>
  <c r="BZ613" i="42"/>
  <c r="CA613" i="42"/>
  <c r="CB613" i="42"/>
  <c r="CC613" i="42"/>
  <c r="CD613" i="42"/>
  <c r="CE613" i="42"/>
  <c r="CF613" i="42"/>
  <c r="CG613" i="42"/>
  <c r="CH613" i="42"/>
  <c r="CI613" i="42"/>
  <c r="CJ613" i="42"/>
  <c r="CK613" i="42"/>
  <c r="CL613" i="42"/>
  <c r="CM613" i="42"/>
  <c r="CN613" i="42"/>
  <c r="CO613" i="42"/>
  <c r="CP613" i="42"/>
  <c r="BO614" i="42"/>
  <c r="BP614" i="42"/>
  <c r="BQ614" i="42"/>
  <c r="BR614" i="42"/>
  <c r="BS614" i="42"/>
  <c r="BT614" i="42"/>
  <c r="BU614" i="42"/>
  <c r="BV614" i="42"/>
  <c r="BW614" i="42"/>
  <c r="BX614" i="42"/>
  <c r="BY614" i="42"/>
  <c r="BZ614" i="42"/>
  <c r="CA614" i="42"/>
  <c r="CB614" i="42"/>
  <c r="CC614" i="42"/>
  <c r="CD614" i="42"/>
  <c r="CE614" i="42"/>
  <c r="CF614" i="42"/>
  <c r="CG614" i="42"/>
  <c r="CH614" i="42"/>
  <c r="CI614" i="42"/>
  <c r="CJ614" i="42"/>
  <c r="CK614" i="42"/>
  <c r="CL614" i="42"/>
  <c r="CM614" i="42"/>
  <c r="CN614" i="42"/>
  <c r="CO614" i="42"/>
  <c r="CP614" i="42"/>
  <c r="BO615" i="42"/>
  <c r="BP615" i="42"/>
  <c r="BQ615" i="42"/>
  <c r="BR615" i="42"/>
  <c r="BS615" i="42"/>
  <c r="BT615" i="42"/>
  <c r="BU615" i="42"/>
  <c r="BV615" i="42"/>
  <c r="BW615" i="42"/>
  <c r="BX615" i="42"/>
  <c r="BY615" i="42"/>
  <c r="BZ615" i="42"/>
  <c r="CA615" i="42"/>
  <c r="CB615" i="42"/>
  <c r="CC615" i="42"/>
  <c r="CD615" i="42"/>
  <c r="CE615" i="42"/>
  <c r="CF615" i="42"/>
  <c r="CG615" i="42"/>
  <c r="CH615" i="42"/>
  <c r="CI615" i="42"/>
  <c r="CJ615" i="42"/>
  <c r="CK615" i="42"/>
  <c r="CL615" i="42"/>
  <c r="CM615" i="42"/>
  <c r="CN615" i="42"/>
  <c r="CO615" i="42"/>
  <c r="CP615" i="42"/>
  <c r="BO616" i="42"/>
  <c r="BP616" i="42"/>
  <c r="BQ616" i="42"/>
  <c r="BR616" i="42"/>
  <c r="BS616" i="42"/>
  <c r="BT616" i="42"/>
  <c r="BU616" i="42"/>
  <c r="BV616" i="42"/>
  <c r="BW616" i="42"/>
  <c r="BX616" i="42"/>
  <c r="BY616" i="42"/>
  <c r="BZ616" i="42"/>
  <c r="CA616" i="42"/>
  <c r="CB616" i="42"/>
  <c r="CC616" i="42"/>
  <c r="CD616" i="42"/>
  <c r="CE616" i="42"/>
  <c r="CF616" i="42"/>
  <c r="CG616" i="42"/>
  <c r="CH616" i="42"/>
  <c r="CI616" i="42"/>
  <c r="CJ616" i="42"/>
  <c r="CK616" i="42"/>
  <c r="CL616" i="42"/>
  <c r="CM616" i="42"/>
  <c r="CN616" i="42"/>
  <c r="CO616" i="42"/>
  <c r="CP616" i="42"/>
  <c r="BO617" i="42"/>
  <c r="BP617" i="42"/>
  <c r="BQ617" i="42"/>
  <c r="BR617" i="42"/>
  <c r="BS617" i="42"/>
  <c r="BT617" i="42"/>
  <c r="BU617" i="42"/>
  <c r="BV617" i="42"/>
  <c r="BW617" i="42"/>
  <c r="BX617" i="42"/>
  <c r="BY617" i="42"/>
  <c r="BZ617" i="42"/>
  <c r="CA617" i="42"/>
  <c r="CB617" i="42"/>
  <c r="CC617" i="42"/>
  <c r="CD617" i="42"/>
  <c r="CE617" i="42"/>
  <c r="CF617" i="42"/>
  <c r="CG617" i="42"/>
  <c r="CH617" i="42"/>
  <c r="CI617" i="42"/>
  <c r="CJ617" i="42"/>
  <c r="CK617" i="42"/>
  <c r="CL617" i="42"/>
  <c r="CM617" i="42"/>
  <c r="CN617" i="42"/>
  <c r="CO617" i="42"/>
  <c r="CP617" i="42"/>
  <c r="BO618" i="42"/>
  <c r="BP618" i="42"/>
  <c r="BQ618" i="42"/>
  <c r="BR618" i="42"/>
  <c r="BS618" i="42"/>
  <c r="BT618" i="42"/>
  <c r="BU618" i="42"/>
  <c r="BV618" i="42"/>
  <c r="BW618" i="42"/>
  <c r="BX618" i="42"/>
  <c r="BY618" i="42"/>
  <c r="BZ618" i="42"/>
  <c r="CA618" i="42"/>
  <c r="CB618" i="42"/>
  <c r="CC618" i="42"/>
  <c r="CD618" i="42"/>
  <c r="CE618" i="42"/>
  <c r="CF618" i="42"/>
  <c r="CG618" i="42"/>
  <c r="CH618" i="42"/>
  <c r="CI618" i="42"/>
  <c r="CJ618" i="42"/>
  <c r="CK618" i="42"/>
  <c r="CL618" i="42"/>
  <c r="CM618" i="42"/>
  <c r="CN618" i="42"/>
  <c r="CO618" i="42"/>
  <c r="CP618" i="42"/>
  <c r="BO619" i="42"/>
  <c r="BP619" i="42"/>
  <c r="BQ619" i="42"/>
  <c r="BR619" i="42"/>
  <c r="BS619" i="42"/>
  <c r="BT619" i="42"/>
  <c r="BU619" i="42"/>
  <c r="BV619" i="42"/>
  <c r="BW619" i="42"/>
  <c r="BX619" i="42"/>
  <c r="BY619" i="42"/>
  <c r="BZ619" i="42"/>
  <c r="CA619" i="42"/>
  <c r="CB619" i="42"/>
  <c r="CC619" i="42"/>
  <c r="CD619" i="42"/>
  <c r="CE619" i="42"/>
  <c r="CF619" i="42"/>
  <c r="CG619" i="42"/>
  <c r="CH619" i="42"/>
  <c r="CI619" i="42"/>
  <c r="CJ619" i="42"/>
  <c r="CK619" i="42"/>
  <c r="CL619" i="42"/>
  <c r="CM619" i="42"/>
  <c r="CN619" i="42"/>
  <c r="CO619" i="42"/>
  <c r="CP619" i="42"/>
  <c r="BO620" i="42"/>
  <c r="BP620" i="42"/>
  <c r="BQ620" i="42"/>
  <c r="BR620" i="42"/>
  <c r="BS620" i="42"/>
  <c r="BT620" i="42"/>
  <c r="BU620" i="42"/>
  <c r="BV620" i="42"/>
  <c r="BW620" i="42"/>
  <c r="BX620" i="42"/>
  <c r="BY620" i="42"/>
  <c r="BZ620" i="42"/>
  <c r="CA620" i="42"/>
  <c r="CB620" i="42"/>
  <c r="CC620" i="42"/>
  <c r="CD620" i="42"/>
  <c r="CE620" i="42"/>
  <c r="CF620" i="42"/>
  <c r="CG620" i="42"/>
  <c r="CH620" i="42"/>
  <c r="CI620" i="42"/>
  <c r="CJ620" i="42"/>
  <c r="CK620" i="42"/>
  <c r="CL620" i="42"/>
  <c r="CM620" i="42"/>
  <c r="CN620" i="42"/>
  <c r="CO620" i="42"/>
  <c r="CP620" i="42"/>
  <c r="BP19" i="42"/>
  <c r="BQ19" i="42"/>
  <c r="BR19" i="42"/>
  <c r="BS19" i="42"/>
  <c r="BT19" i="42"/>
  <c r="BU19" i="42"/>
  <c r="BV19" i="42"/>
  <c r="BW19" i="42"/>
  <c r="BX19" i="42"/>
  <c r="BY19" i="42"/>
  <c r="BZ19" i="42"/>
  <c r="CA19" i="42"/>
  <c r="CB19" i="42"/>
  <c r="CC19" i="42"/>
  <c r="CD19" i="42"/>
  <c r="CE19" i="42"/>
  <c r="CF19" i="42"/>
  <c r="CG19" i="42"/>
  <c r="CH19" i="42"/>
  <c r="CI19" i="42"/>
  <c r="CJ19" i="42"/>
  <c r="CK19" i="42"/>
  <c r="CL19" i="42"/>
  <c r="CM19" i="42"/>
  <c r="CN19" i="42"/>
  <c r="CO19" i="42"/>
  <c r="CP19" i="42"/>
  <c r="BO19" i="42"/>
  <c r="BP1" i="42"/>
  <c r="BQ1" i="42"/>
  <c r="BR1" i="42"/>
  <c r="BS1" i="42"/>
  <c r="BT1" i="42"/>
  <c r="BU1" i="42"/>
  <c r="BV1" i="42"/>
  <c r="BW1" i="42"/>
  <c r="BX1" i="42"/>
  <c r="BY1" i="42"/>
  <c r="BZ1" i="42"/>
  <c r="CA1" i="42"/>
  <c r="CB1" i="42"/>
  <c r="CC1" i="42"/>
  <c r="CD1" i="42"/>
  <c r="CE1" i="42"/>
  <c r="CF1" i="42"/>
  <c r="CG1" i="42"/>
  <c r="CH1" i="42"/>
  <c r="CI1" i="42"/>
  <c r="CJ1" i="42"/>
  <c r="CK1" i="42"/>
  <c r="CL1" i="42"/>
  <c r="CM1" i="42"/>
  <c r="CN1" i="42"/>
  <c r="CO1" i="42"/>
  <c r="CP1" i="42"/>
  <c r="CQ1" i="42"/>
  <c r="BO1" i="42"/>
  <c r="BM1" i="42"/>
  <c r="BL1" i="42"/>
  <c r="BK1" i="42"/>
  <c r="BJ1" i="42"/>
  <c r="BI1" i="42"/>
  <c r="BH1" i="42"/>
  <c r="BG1" i="42"/>
  <c r="BF1" i="42"/>
  <c r="BE1" i="42"/>
  <c r="BD1" i="42"/>
  <c r="BC1" i="42"/>
  <c r="BB1" i="42"/>
  <c r="BA1" i="42"/>
  <c r="AZ1" i="42"/>
  <c r="AY1" i="42"/>
  <c r="AX1" i="42"/>
  <c r="AW1" i="42"/>
  <c r="AV1" i="42"/>
  <c r="AU1" i="42"/>
  <c r="AT1" i="42"/>
  <c r="AS1" i="42"/>
  <c r="AR1" i="42"/>
  <c r="AQ1" i="42"/>
  <c r="AP1" i="42"/>
  <c r="AO1" i="42"/>
  <c r="AN1" i="42"/>
  <c r="AM1" i="42"/>
  <c r="AL1" i="42"/>
  <c r="AK1" i="42"/>
  <c r="AF1" i="42"/>
  <c r="AG1" i="42"/>
  <c r="AH1" i="42"/>
  <c r="AI1" i="42"/>
  <c r="CQ551" i="42" l="1"/>
  <c r="CS551" i="42" s="1"/>
  <c r="CQ535" i="42"/>
  <c r="CS535" i="42" s="1"/>
  <c r="CQ423" i="42"/>
  <c r="CQ407" i="42"/>
  <c r="CQ496" i="42"/>
  <c r="CS496" i="42" s="1"/>
  <c r="CQ480" i="42"/>
  <c r="CS480" i="42" s="1"/>
  <c r="CQ464" i="42"/>
  <c r="CS464" i="42" s="1"/>
  <c r="CQ102" i="42"/>
  <c r="CQ471" i="42"/>
  <c r="CS471" i="42" s="1"/>
  <c r="CQ479" i="42"/>
  <c r="CS479" i="42" s="1"/>
  <c r="CQ170" i="42"/>
  <c r="CQ90" i="42"/>
  <c r="CQ343" i="42"/>
  <c r="CQ279" i="42"/>
  <c r="CQ215" i="42"/>
  <c r="CQ151" i="42"/>
  <c r="CQ87" i="42"/>
  <c r="CQ71" i="42"/>
  <c r="CQ55" i="42"/>
  <c r="CQ23" i="42"/>
  <c r="CQ576" i="42"/>
  <c r="CS576" i="42" s="1"/>
  <c r="CQ487" i="42"/>
  <c r="CS487" i="42" s="1"/>
  <c r="CQ231" i="42"/>
  <c r="CQ54" i="42"/>
  <c r="CQ567" i="42"/>
  <c r="CS567" i="42" s="1"/>
  <c r="CQ311" i="42"/>
  <c r="CQ263" i="42"/>
  <c r="CQ167" i="42"/>
  <c r="CQ618" i="42"/>
  <c r="CS618" i="42" s="1"/>
  <c r="CQ26" i="42"/>
  <c r="CQ544" i="42"/>
  <c r="CS544" i="42" s="1"/>
  <c r="CQ486" i="42"/>
  <c r="CS486" i="42" s="1"/>
  <c r="CQ519" i="42"/>
  <c r="CS519" i="42" s="1"/>
  <c r="CQ503" i="42"/>
  <c r="CS503" i="42" s="1"/>
  <c r="CQ455" i="42"/>
  <c r="CS455" i="42" s="1"/>
  <c r="CQ439" i="42"/>
  <c r="CS439" i="42" s="1"/>
  <c r="CQ391" i="42"/>
  <c r="CQ359" i="42"/>
  <c r="CQ327" i="42"/>
  <c r="CQ199" i="42"/>
  <c r="CQ183" i="42"/>
  <c r="CQ135" i="42"/>
  <c r="CQ119" i="42"/>
  <c r="CQ103" i="42"/>
  <c r="CQ448" i="42"/>
  <c r="CS448" i="42" s="1"/>
  <c r="CQ431" i="42"/>
  <c r="CS431" i="42" s="1"/>
  <c r="CQ592" i="42"/>
  <c r="CS592" i="42" s="1"/>
  <c r="CQ512" i="42"/>
  <c r="CS512" i="42" s="1"/>
  <c r="CQ38" i="42"/>
  <c r="CQ620" i="42"/>
  <c r="CS620" i="42" s="1"/>
  <c r="CQ615" i="42"/>
  <c r="CS615" i="42" s="1"/>
  <c r="CQ599" i="42"/>
  <c r="CS599" i="42" s="1"/>
  <c r="CQ588" i="42"/>
  <c r="CS588" i="42" s="1"/>
  <c r="CQ460" i="42"/>
  <c r="CS460" i="42" s="1"/>
  <c r="CQ412" i="42"/>
  <c r="CQ380" i="42"/>
  <c r="CQ364" i="42"/>
  <c r="CQ348" i="42"/>
  <c r="CQ332" i="42"/>
  <c r="CQ527" i="42"/>
  <c r="CS527" i="42" s="1"/>
  <c r="CQ511" i="42"/>
  <c r="CS511" i="42" s="1"/>
  <c r="CQ463" i="42"/>
  <c r="CS463" i="42" s="1"/>
  <c r="CQ432" i="42"/>
  <c r="CS432" i="42" s="1"/>
  <c r="CQ416" i="42"/>
  <c r="CQ400" i="42"/>
  <c r="CQ352" i="42"/>
  <c r="CQ320" i="42"/>
  <c r="CQ304" i="42"/>
  <c r="CQ288" i="42"/>
  <c r="CQ256" i="42"/>
  <c r="CQ240" i="42"/>
  <c r="CQ224" i="42"/>
  <c r="CQ208" i="42"/>
  <c r="CQ192" i="42"/>
  <c r="CQ176" i="42"/>
  <c r="CQ160" i="42"/>
  <c r="CQ144" i="42"/>
  <c r="CQ128" i="42"/>
  <c r="CQ112" i="42"/>
  <c r="CQ96" i="42"/>
  <c r="CQ80" i="42"/>
  <c r="CQ64" i="42"/>
  <c r="CQ48" i="42"/>
  <c r="CQ32" i="42"/>
  <c r="CQ39" i="42"/>
  <c r="CQ317" i="42"/>
  <c r="CQ285" i="42"/>
  <c r="CQ253" i="42"/>
  <c r="CQ237" i="42"/>
  <c r="CQ221" i="42"/>
  <c r="CQ189" i="42"/>
  <c r="CQ173" i="42"/>
  <c r="CQ157" i="42"/>
  <c r="CQ141" i="42"/>
  <c r="CQ125" i="42"/>
  <c r="CQ109" i="42"/>
  <c r="CQ93" i="42"/>
  <c r="CQ77" i="42"/>
  <c r="CQ61" i="42"/>
  <c r="CQ45" i="42"/>
  <c r="CQ275" i="42"/>
  <c r="CQ383" i="42"/>
  <c r="CQ287" i="42"/>
  <c r="CQ271" i="42"/>
  <c r="CQ255" i="42"/>
  <c r="CQ223" i="42"/>
  <c r="CQ127" i="42"/>
  <c r="CQ593" i="42"/>
  <c r="CS593" i="42" s="1"/>
  <c r="CQ577" i="42"/>
  <c r="CS577" i="42" s="1"/>
  <c r="CQ561" i="42"/>
  <c r="CS561" i="42" s="1"/>
  <c r="CQ545" i="42"/>
  <c r="CS545" i="42" s="1"/>
  <c r="CQ481" i="42"/>
  <c r="CS481" i="42" s="1"/>
  <c r="CQ449" i="42"/>
  <c r="CS449" i="42" s="1"/>
  <c r="CQ433" i="42"/>
  <c r="CS433" i="42" s="1"/>
  <c r="CQ385" i="42"/>
  <c r="CQ337" i="42"/>
  <c r="CQ321" i="42"/>
  <c r="CQ305" i="42"/>
  <c r="CQ289" i="42"/>
  <c r="CQ273" i="42"/>
  <c r="CQ257" i="42"/>
  <c r="CQ241" i="42"/>
  <c r="CQ193" i="42"/>
  <c r="CQ129" i="42"/>
  <c r="CQ97" i="42"/>
  <c r="CQ583" i="42"/>
  <c r="CS583" i="42" s="1"/>
  <c r="CQ375" i="42"/>
  <c r="CQ316" i="42"/>
  <c r="CQ300" i="42"/>
  <c r="CQ295" i="42"/>
  <c r="CQ284" i="42"/>
  <c r="CQ268" i="42"/>
  <c r="CQ252" i="42"/>
  <c r="CQ247" i="42"/>
  <c r="CQ236" i="42"/>
  <c r="CQ220" i="42"/>
  <c r="CQ204" i="42"/>
  <c r="CQ188" i="42"/>
  <c r="CQ172" i="42"/>
  <c r="CQ156" i="42"/>
  <c r="CQ140" i="42"/>
  <c r="CQ124" i="42"/>
  <c r="CQ108" i="42"/>
  <c r="CQ92" i="42"/>
  <c r="CQ76" i="42"/>
  <c r="CQ60" i="42"/>
  <c r="CQ44" i="42"/>
  <c r="CQ28" i="42"/>
  <c r="CQ589" i="42"/>
  <c r="CS589" i="42" s="1"/>
  <c r="CQ493" i="42"/>
  <c r="CS493" i="42" s="1"/>
  <c r="CQ461" i="42"/>
  <c r="CS461" i="42" s="1"/>
  <c r="CQ381" i="42"/>
  <c r="CQ29" i="42"/>
  <c r="CQ616" i="42"/>
  <c r="CS616" i="42" s="1"/>
  <c r="CQ584" i="42"/>
  <c r="CS584" i="42" s="1"/>
  <c r="CQ520" i="42"/>
  <c r="CS520" i="42" s="1"/>
  <c r="CQ472" i="42"/>
  <c r="CS472" i="42" s="1"/>
  <c r="CQ440" i="42"/>
  <c r="CS440" i="42" s="1"/>
  <c r="CQ424" i="42"/>
  <c r="CQ408" i="42"/>
  <c r="CQ328" i="42"/>
  <c r="CQ296" i="42"/>
  <c r="CQ264" i="42"/>
  <c r="CQ232" i="42"/>
  <c r="CQ216" i="42"/>
  <c r="CQ200" i="42"/>
  <c r="CQ184" i="42"/>
  <c r="CQ168" i="42"/>
  <c r="CQ152" i="42"/>
  <c r="CQ136" i="42"/>
  <c r="CQ120" i="42"/>
  <c r="CQ104" i="42"/>
  <c r="CQ88" i="42"/>
  <c r="CQ72" i="42"/>
  <c r="CQ56" i="42"/>
  <c r="CQ40" i="42"/>
  <c r="CQ24" i="42"/>
  <c r="CQ563" i="42"/>
  <c r="CS563" i="42" s="1"/>
  <c r="CQ371" i="42"/>
  <c r="CQ494" i="42"/>
  <c r="CS494" i="42" s="1"/>
  <c r="CQ462" i="42"/>
  <c r="CS462" i="42" s="1"/>
  <c r="CQ398" i="42"/>
  <c r="CQ350" i="42"/>
  <c r="CQ334" i="42"/>
  <c r="CQ286" i="42"/>
  <c r="CQ270" i="42"/>
  <c r="CQ254" i="42"/>
  <c r="CQ238" i="42"/>
  <c r="CQ174" i="42"/>
  <c r="CQ19" i="42"/>
  <c r="CQ601" i="42"/>
  <c r="CS601" i="42" s="1"/>
  <c r="CQ585" i="42"/>
  <c r="CS585" i="42" s="1"/>
  <c r="CQ569" i="42"/>
  <c r="CS569" i="42" s="1"/>
  <c r="CQ553" i="42"/>
  <c r="CS553" i="42" s="1"/>
  <c r="CQ537" i="42"/>
  <c r="CS537" i="42" s="1"/>
  <c r="CQ521" i="42"/>
  <c r="CS521" i="42" s="1"/>
  <c r="CQ505" i="42"/>
  <c r="CS505" i="42" s="1"/>
  <c r="CQ489" i="42"/>
  <c r="CS489" i="42" s="1"/>
  <c r="CQ473" i="42"/>
  <c r="CS473" i="42" s="1"/>
  <c r="CQ457" i="42"/>
  <c r="CS457" i="42" s="1"/>
  <c r="CQ441" i="42"/>
  <c r="CS441" i="42" s="1"/>
  <c r="CQ425" i="42"/>
  <c r="CQ393" i="42"/>
  <c r="CQ377" i="42"/>
  <c r="CQ345" i="42"/>
  <c r="CQ329" i="42"/>
  <c r="CQ281" i="42"/>
  <c r="CQ265" i="42"/>
  <c r="CQ233" i="42"/>
  <c r="CQ217" i="42"/>
  <c r="CQ201" i="42"/>
  <c r="CQ185" i="42"/>
  <c r="CQ169" i="42"/>
  <c r="CQ153" i="42"/>
  <c r="CQ137" i="42"/>
  <c r="CQ121" i="42"/>
  <c r="CQ105" i="42"/>
  <c r="CQ89" i="42"/>
  <c r="CQ73" i="42"/>
  <c r="CQ57" i="42"/>
  <c r="CQ41" i="42"/>
  <c r="CQ25" i="42"/>
  <c r="CQ495" i="42"/>
  <c r="CS495" i="42" s="1"/>
  <c r="CQ367" i="42"/>
  <c r="CQ490" i="42"/>
  <c r="CS490" i="42" s="1"/>
  <c r="CQ330" i="42"/>
  <c r="CQ517" i="42"/>
  <c r="CS517" i="42" s="1"/>
  <c r="CQ421" i="42"/>
  <c r="CQ389" i="42"/>
  <c r="CQ325" i="42"/>
  <c r="CQ181" i="42"/>
  <c r="CQ165" i="42"/>
  <c r="CQ117" i="42"/>
  <c r="CQ69" i="42"/>
  <c r="CQ604" i="42"/>
  <c r="CS604" i="42" s="1"/>
  <c r="CQ572" i="42"/>
  <c r="CS572" i="42" s="1"/>
  <c r="CQ556" i="42"/>
  <c r="CS556" i="42" s="1"/>
  <c r="CQ540" i="42"/>
  <c r="CS540" i="42" s="1"/>
  <c r="CQ524" i="42"/>
  <c r="CS524" i="42" s="1"/>
  <c r="CQ508" i="42"/>
  <c r="CS508" i="42" s="1"/>
  <c r="CQ492" i="42"/>
  <c r="CS492" i="42" s="1"/>
  <c r="CQ476" i="42"/>
  <c r="CS476" i="42" s="1"/>
  <c r="CQ444" i="42"/>
  <c r="CS444" i="42" s="1"/>
  <c r="CQ428" i="42"/>
  <c r="CQ396" i="42"/>
  <c r="CQ610" i="42"/>
  <c r="CS610" i="42" s="1"/>
  <c r="CQ594" i="42"/>
  <c r="CS594" i="42" s="1"/>
  <c r="CQ578" i="42"/>
  <c r="CS578" i="42" s="1"/>
  <c r="CQ562" i="42"/>
  <c r="CS562" i="42" s="1"/>
  <c r="CQ546" i="42"/>
  <c r="CS546" i="42" s="1"/>
  <c r="CQ530" i="42"/>
  <c r="CS530" i="42" s="1"/>
  <c r="CQ514" i="42"/>
  <c r="CS514" i="42" s="1"/>
  <c r="CQ498" i="42"/>
  <c r="CS498" i="42" s="1"/>
  <c r="CQ482" i="42"/>
  <c r="CS482" i="42" s="1"/>
  <c r="CQ466" i="42"/>
  <c r="CS466" i="42" s="1"/>
  <c r="CQ450" i="42"/>
  <c r="CS450" i="42" s="1"/>
  <c r="CQ434" i="42"/>
  <c r="CS434" i="42" s="1"/>
  <c r="CQ418" i="42"/>
  <c r="CQ402" i="42"/>
  <c r="CQ386" i="42"/>
  <c r="CQ370" i="42"/>
  <c r="CQ354" i="42"/>
  <c r="CQ338" i="42"/>
  <c r="CQ322" i="42"/>
  <c r="CQ306" i="42"/>
  <c r="CQ290" i="42"/>
  <c r="CQ274" i="42"/>
  <c r="CQ258" i="42"/>
  <c r="CQ242" i="42"/>
  <c r="CQ226" i="42"/>
  <c r="CQ210" i="42"/>
  <c r="CQ194" i="42"/>
  <c r="CQ178" i="42"/>
  <c r="CQ162" i="42"/>
  <c r="CQ146" i="42"/>
  <c r="CQ130" i="42"/>
  <c r="CQ114" i="42"/>
  <c r="CQ98" i="42"/>
  <c r="CQ82" i="42"/>
  <c r="CQ66" i="42"/>
  <c r="CQ50" i="42"/>
  <c r="CQ34" i="42"/>
  <c r="CQ605" i="42"/>
  <c r="CS605" i="42" s="1"/>
  <c r="CQ573" i="42"/>
  <c r="CS573" i="42" s="1"/>
  <c r="CQ557" i="42"/>
  <c r="CS557" i="42" s="1"/>
  <c r="CQ541" i="42"/>
  <c r="CS541" i="42" s="1"/>
  <c r="CQ525" i="42"/>
  <c r="CS525" i="42" s="1"/>
  <c r="CQ509" i="42"/>
  <c r="CS509" i="42" s="1"/>
  <c r="CQ477" i="42"/>
  <c r="CS477" i="42" s="1"/>
  <c r="CQ445" i="42"/>
  <c r="CS445" i="42" s="1"/>
  <c r="CQ429" i="42"/>
  <c r="CQ413" i="42"/>
  <c r="CQ397" i="42"/>
  <c r="CQ365" i="42"/>
  <c r="CQ349" i="42"/>
  <c r="CQ333" i="42"/>
  <c r="CQ301" i="42"/>
  <c r="CQ269" i="42"/>
  <c r="CQ205" i="42"/>
  <c r="CQ600" i="42"/>
  <c r="CS600" i="42" s="1"/>
  <c r="CQ568" i="42"/>
  <c r="CS568" i="42" s="1"/>
  <c r="CQ552" i="42"/>
  <c r="CS552" i="42" s="1"/>
  <c r="CQ536" i="42"/>
  <c r="CS536" i="42" s="1"/>
  <c r="CQ504" i="42"/>
  <c r="CS504" i="42" s="1"/>
  <c r="CQ488" i="42"/>
  <c r="CS488" i="42" s="1"/>
  <c r="CQ456" i="42"/>
  <c r="CS456" i="42" s="1"/>
  <c r="CQ392" i="42"/>
  <c r="CQ376" i="42"/>
  <c r="CQ360" i="42"/>
  <c r="CQ344" i="42"/>
  <c r="CQ312" i="42"/>
  <c r="CQ280" i="42"/>
  <c r="CQ248" i="42"/>
  <c r="CQ611" i="42"/>
  <c r="CS611" i="42" s="1"/>
  <c r="CQ595" i="42"/>
  <c r="CS595" i="42" s="1"/>
  <c r="CQ579" i="42"/>
  <c r="CS579" i="42" s="1"/>
  <c r="CQ547" i="42"/>
  <c r="CS547" i="42" s="1"/>
  <c r="CQ531" i="42"/>
  <c r="CS531" i="42" s="1"/>
  <c r="CQ515" i="42"/>
  <c r="CS515" i="42" s="1"/>
  <c r="CQ499" i="42"/>
  <c r="CS499" i="42" s="1"/>
  <c r="CQ483" i="42"/>
  <c r="CS483" i="42" s="1"/>
  <c r="CQ467" i="42"/>
  <c r="CS467" i="42" s="1"/>
  <c r="CQ451" i="42"/>
  <c r="CS451" i="42" s="1"/>
  <c r="CQ435" i="42"/>
  <c r="CS435" i="42" s="1"/>
  <c r="CQ419" i="42"/>
  <c r="CQ403" i="42"/>
  <c r="CQ387" i="42"/>
  <c r="CQ355" i="42"/>
  <c r="CQ339" i="42"/>
  <c r="CQ323" i="42"/>
  <c r="CQ307" i="42"/>
  <c r="CQ291" i="42"/>
  <c r="CQ259" i="42"/>
  <c r="CQ243" i="42"/>
  <c r="CQ227" i="42"/>
  <c r="CQ211" i="42"/>
  <c r="CQ195" i="42"/>
  <c r="CQ179" i="42"/>
  <c r="CQ163" i="42"/>
  <c r="CQ147" i="42"/>
  <c r="CQ131" i="42"/>
  <c r="CQ115" i="42"/>
  <c r="CQ99" i="42"/>
  <c r="CQ83" i="42"/>
  <c r="CQ67" i="42"/>
  <c r="CQ51" i="42"/>
  <c r="CQ35" i="42"/>
  <c r="CQ606" i="42"/>
  <c r="CS606" i="42" s="1"/>
  <c r="CQ590" i="42"/>
  <c r="CS590" i="42" s="1"/>
  <c r="CQ574" i="42"/>
  <c r="CS574" i="42" s="1"/>
  <c r="CQ558" i="42"/>
  <c r="CS558" i="42" s="1"/>
  <c r="CQ542" i="42"/>
  <c r="CS542" i="42" s="1"/>
  <c r="CQ526" i="42"/>
  <c r="CS526" i="42" s="1"/>
  <c r="CQ510" i="42"/>
  <c r="CS510" i="42" s="1"/>
  <c r="CQ478" i="42"/>
  <c r="CS478" i="42" s="1"/>
  <c r="CQ446" i="42"/>
  <c r="CS446" i="42" s="1"/>
  <c r="CQ430" i="42"/>
  <c r="CS430" i="42" s="1"/>
  <c r="CQ414" i="42"/>
  <c r="CQ382" i="42"/>
  <c r="CQ366" i="42"/>
  <c r="CQ318" i="42"/>
  <c r="CQ302" i="42"/>
  <c r="CQ222" i="42"/>
  <c r="CQ206" i="42"/>
  <c r="CQ190" i="42"/>
  <c r="CQ158" i="42"/>
  <c r="CQ142" i="42"/>
  <c r="CQ126" i="42"/>
  <c r="CQ110" i="42"/>
  <c r="CQ94" i="42"/>
  <c r="CQ78" i="42"/>
  <c r="CQ62" i="42"/>
  <c r="CQ46" i="42"/>
  <c r="CQ30" i="42"/>
  <c r="CQ617" i="42"/>
  <c r="CS617" i="42" s="1"/>
  <c r="CQ409" i="42"/>
  <c r="CQ361" i="42"/>
  <c r="CQ313" i="42"/>
  <c r="CQ297" i="42"/>
  <c r="CQ249" i="42"/>
  <c r="CQ612" i="42"/>
  <c r="CS612" i="42" s="1"/>
  <c r="CQ596" i="42"/>
  <c r="CS596" i="42" s="1"/>
  <c r="CQ580" i="42"/>
  <c r="CS580" i="42" s="1"/>
  <c r="CQ564" i="42"/>
  <c r="CS564" i="42" s="1"/>
  <c r="CQ548" i="42"/>
  <c r="CS548" i="42" s="1"/>
  <c r="CQ532" i="42"/>
  <c r="CS532" i="42" s="1"/>
  <c r="CQ516" i="42"/>
  <c r="CS516" i="42" s="1"/>
  <c r="CQ500" i="42"/>
  <c r="CS500" i="42" s="1"/>
  <c r="CQ484" i="42"/>
  <c r="CS484" i="42" s="1"/>
  <c r="CQ468" i="42"/>
  <c r="CS468" i="42" s="1"/>
  <c r="CQ452" i="42"/>
  <c r="CS452" i="42" s="1"/>
  <c r="CQ436" i="42"/>
  <c r="CS436" i="42" s="1"/>
  <c r="CQ420" i="42"/>
  <c r="CQ404" i="42"/>
  <c r="CQ388" i="42"/>
  <c r="CQ372" i="42"/>
  <c r="CQ356" i="42"/>
  <c r="CQ340" i="42"/>
  <c r="CQ324" i="42"/>
  <c r="CQ308" i="42"/>
  <c r="CQ292" i="42"/>
  <c r="CQ276" i="42"/>
  <c r="CQ260" i="42"/>
  <c r="CQ244" i="42"/>
  <c r="CQ228" i="42"/>
  <c r="CQ212" i="42"/>
  <c r="CQ196" i="42"/>
  <c r="CQ180" i="42"/>
  <c r="CQ164" i="42"/>
  <c r="CQ148" i="42"/>
  <c r="CQ132" i="42"/>
  <c r="CQ116" i="42"/>
  <c r="CQ100" i="42"/>
  <c r="CQ84" i="42"/>
  <c r="CQ68" i="42"/>
  <c r="CQ52" i="42"/>
  <c r="CQ36" i="42"/>
  <c r="CQ20" i="42"/>
  <c r="CQ607" i="42"/>
  <c r="CS607" i="42" s="1"/>
  <c r="CQ591" i="42"/>
  <c r="CS591" i="42" s="1"/>
  <c r="CQ575" i="42"/>
  <c r="CS575" i="42" s="1"/>
  <c r="CQ559" i="42"/>
  <c r="CS559" i="42" s="1"/>
  <c r="CQ543" i="42"/>
  <c r="CS543" i="42" s="1"/>
  <c r="CQ447" i="42"/>
  <c r="CS447" i="42" s="1"/>
  <c r="CQ415" i="42"/>
  <c r="CQ399" i="42"/>
  <c r="CQ351" i="42"/>
  <c r="CQ335" i="42"/>
  <c r="CQ319" i="42"/>
  <c r="CQ303" i="42"/>
  <c r="CQ239" i="42"/>
  <c r="CQ207" i="42"/>
  <c r="CQ191" i="42"/>
  <c r="CQ175" i="42"/>
  <c r="CQ159" i="42"/>
  <c r="CQ143" i="42"/>
  <c r="CQ111" i="42"/>
  <c r="CQ95" i="42"/>
  <c r="CQ79" i="42"/>
  <c r="CQ63" i="42"/>
  <c r="CQ47" i="42"/>
  <c r="CQ31" i="42"/>
  <c r="CQ602" i="42"/>
  <c r="CS602" i="42" s="1"/>
  <c r="CQ586" i="42"/>
  <c r="CS586" i="42" s="1"/>
  <c r="CQ570" i="42"/>
  <c r="CS570" i="42" s="1"/>
  <c r="CQ554" i="42"/>
  <c r="CS554" i="42" s="1"/>
  <c r="CQ538" i="42"/>
  <c r="CS538" i="42" s="1"/>
  <c r="CQ522" i="42"/>
  <c r="CS522" i="42" s="1"/>
  <c r="CQ506" i="42"/>
  <c r="CS506" i="42" s="1"/>
  <c r="CQ474" i="42"/>
  <c r="CS474" i="42" s="1"/>
  <c r="CQ458" i="42"/>
  <c r="CS458" i="42" s="1"/>
  <c r="CQ442" i="42"/>
  <c r="CS442" i="42" s="1"/>
  <c r="CQ426" i="42"/>
  <c r="CQ410" i="42"/>
  <c r="CQ394" i="42"/>
  <c r="CQ378" i="42"/>
  <c r="CQ362" i="42"/>
  <c r="CQ346" i="42"/>
  <c r="CQ314" i="42"/>
  <c r="CQ298" i="42"/>
  <c r="CQ282" i="42"/>
  <c r="CQ266" i="42"/>
  <c r="CQ250" i="42"/>
  <c r="CQ234" i="42"/>
  <c r="CQ218" i="42"/>
  <c r="CQ202" i="42"/>
  <c r="CQ186" i="42"/>
  <c r="CQ154" i="42"/>
  <c r="CQ138" i="42"/>
  <c r="CQ122" i="42"/>
  <c r="CQ106" i="42"/>
  <c r="CQ74" i="42"/>
  <c r="CQ58" i="42"/>
  <c r="CQ42" i="42"/>
  <c r="CQ613" i="42"/>
  <c r="CS613" i="42" s="1"/>
  <c r="CQ597" i="42"/>
  <c r="CS597" i="42" s="1"/>
  <c r="CQ581" i="42"/>
  <c r="CS581" i="42" s="1"/>
  <c r="CQ565" i="42"/>
  <c r="CS565" i="42" s="1"/>
  <c r="CQ549" i="42"/>
  <c r="CS549" i="42" s="1"/>
  <c r="CQ533" i="42"/>
  <c r="CS533" i="42" s="1"/>
  <c r="CQ501" i="42"/>
  <c r="CS501" i="42" s="1"/>
  <c r="CQ485" i="42"/>
  <c r="CS485" i="42" s="1"/>
  <c r="CQ469" i="42"/>
  <c r="CS469" i="42" s="1"/>
  <c r="CQ453" i="42"/>
  <c r="CS453" i="42" s="1"/>
  <c r="CQ437" i="42"/>
  <c r="CS437" i="42" s="1"/>
  <c r="CQ405" i="42"/>
  <c r="CQ373" i="42"/>
  <c r="CQ357" i="42"/>
  <c r="CQ341" i="42"/>
  <c r="CQ309" i="42"/>
  <c r="CQ293" i="42"/>
  <c r="CQ277" i="42"/>
  <c r="CQ261" i="42"/>
  <c r="CQ245" i="42"/>
  <c r="CQ229" i="42"/>
  <c r="CQ213" i="42"/>
  <c r="CQ197" i="42"/>
  <c r="CQ149" i="42"/>
  <c r="CQ133" i="42"/>
  <c r="CQ101" i="42"/>
  <c r="CQ85" i="42"/>
  <c r="CQ53" i="42"/>
  <c r="CQ37" i="42"/>
  <c r="CQ21" i="42"/>
  <c r="CQ608" i="42"/>
  <c r="CS608" i="42" s="1"/>
  <c r="CQ560" i="42"/>
  <c r="CS560" i="42" s="1"/>
  <c r="CQ528" i="42"/>
  <c r="CS528" i="42" s="1"/>
  <c r="CQ384" i="42"/>
  <c r="CQ368" i="42"/>
  <c r="CQ336" i="42"/>
  <c r="CQ272" i="42"/>
  <c r="CQ619" i="42"/>
  <c r="CS619" i="42" s="1"/>
  <c r="CQ603" i="42"/>
  <c r="CS603" i="42" s="1"/>
  <c r="CQ587" i="42"/>
  <c r="CS587" i="42" s="1"/>
  <c r="CQ571" i="42"/>
  <c r="CS571" i="42" s="1"/>
  <c r="CQ555" i="42"/>
  <c r="CS555" i="42" s="1"/>
  <c r="CQ539" i="42"/>
  <c r="CS539" i="42" s="1"/>
  <c r="CQ523" i="42"/>
  <c r="CS523" i="42" s="1"/>
  <c r="CQ507" i="42"/>
  <c r="CS507" i="42" s="1"/>
  <c r="CQ491" i="42"/>
  <c r="CS491" i="42" s="1"/>
  <c r="CQ475" i="42"/>
  <c r="CS475" i="42" s="1"/>
  <c r="CQ459" i="42"/>
  <c r="CS459" i="42" s="1"/>
  <c r="CQ443" i="42"/>
  <c r="CS443" i="42" s="1"/>
  <c r="CQ427" i="42"/>
  <c r="CQ411" i="42"/>
  <c r="CQ395" i="42"/>
  <c r="CQ379" i="42"/>
  <c r="CQ363" i="42"/>
  <c r="CQ347" i="42"/>
  <c r="CQ331" i="42"/>
  <c r="CQ315" i="42"/>
  <c r="CQ299" i="42"/>
  <c r="CQ283" i="42"/>
  <c r="CQ267" i="42"/>
  <c r="CQ251" i="42"/>
  <c r="CQ235" i="42"/>
  <c r="CQ219" i="42"/>
  <c r="CQ203" i="42"/>
  <c r="CQ187" i="42"/>
  <c r="CQ171" i="42"/>
  <c r="CQ155" i="42"/>
  <c r="CQ139" i="42"/>
  <c r="CQ123" i="42"/>
  <c r="CQ107" i="42"/>
  <c r="CQ91" i="42"/>
  <c r="CQ75" i="42"/>
  <c r="CQ59" i="42"/>
  <c r="CQ43" i="42"/>
  <c r="CQ27" i="42"/>
  <c r="CQ614" i="42"/>
  <c r="CS614" i="42" s="1"/>
  <c r="CQ598" i="42"/>
  <c r="CS598" i="42" s="1"/>
  <c r="CQ582" i="42"/>
  <c r="CS582" i="42" s="1"/>
  <c r="CQ566" i="42"/>
  <c r="CS566" i="42" s="1"/>
  <c r="CQ550" i="42"/>
  <c r="CS550" i="42" s="1"/>
  <c r="CQ534" i="42"/>
  <c r="CS534" i="42" s="1"/>
  <c r="CQ518" i="42"/>
  <c r="CS518" i="42" s="1"/>
  <c r="CQ502" i="42"/>
  <c r="CS502" i="42" s="1"/>
  <c r="CQ470" i="42"/>
  <c r="CS470" i="42" s="1"/>
  <c r="CQ454" i="42"/>
  <c r="CS454" i="42" s="1"/>
  <c r="CQ438" i="42"/>
  <c r="CS438" i="42" s="1"/>
  <c r="CQ422" i="42"/>
  <c r="CQ406" i="42"/>
  <c r="CQ390" i="42"/>
  <c r="CQ374" i="42"/>
  <c r="CQ358" i="42"/>
  <c r="CQ342" i="42"/>
  <c r="CQ326" i="42"/>
  <c r="CQ310" i="42"/>
  <c r="CQ294" i="42"/>
  <c r="CQ278" i="42"/>
  <c r="CQ262" i="42"/>
  <c r="CQ246" i="42"/>
  <c r="CQ230" i="42"/>
  <c r="CQ214" i="42"/>
  <c r="CQ198" i="42"/>
  <c r="CQ182" i="42"/>
  <c r="CQ166" i="42"/>
  <c r="CQ150" i="42"/>
  <c r="CQ134" i="42"/>
  <c r="CQ118" i="42"/>
  <c r="CQ86" i="42"/>
  <c r="CQ70" i="42"/>
  <c r="CQ22" i="42"/>
  <c r="CQ609" i="42"/>
  <c r="CS609" i="42" s="1"/>
  <c r="CQ529" i="42"/>
  <c r="CS529" i="42" s="1"/>
  <c r="CQ513" i="42"/>
  <c r="CS513" i="42" s="1"/>
  <c r="CQ497" i="42"/>
  <c r="CS497" i="42" s="1"/>
  <c r="CQ465" i="42"/>
  <c r="CS465" i="42" s="1"/>
  <c r="CQ417" i="42"/>
  <c r="CQ401" i="42"/>
  <c r="CQ369" i="42"/>
  <c r="CQ353" i="42"/>
  <c r="CQ225" i="42"/>
  <c r="CQ209" i="42"/>
  <c r="CQ177" i="42"/>
  <c r="CQ161" i="42"/>
  <c r="CQ145" i="42"/>
  <c r="CQ113" i="42"/>
  <c r="CQ81" i="42"/>
  <c r="CQ65" i="42"/>
  <c r="CQ49" i="42"/>
  <c r="CQ33" i="42"/>
  <c r="AE1" i="42" l="1"/>
  <c r="H1" i="42"/>
  <c r="I1" i="42"/>
  <c r="J1" i="42"/>
  <c r="K1" i="42"/>
  <c r="L1" i="42"/>
  <c r="M1" i="42"/>
  <c r="N1" i="42"/>
  <c r="O1" i="42"/>
  <c r="P1" i="42"/>
  <c r="Q1" i="42"/>
  <c r="R1" i="42"/>
  <c r="S1" i="42"/>
  <c r="T1" i="42"/>
  <c r="U1" i="42"/>
  <c r="V1" i="42"/>
  <c r="W1" i="42"/>
  <c r="X1" i="42"/>
  <c r="Y1" i="42"/>
  <c r="Z1" i="42"/>
  <c r="AA1" i="42"/>
  <c r="AB1" i="42"/>
  <c r="AC1" i="42"/>
  <c r="AD1" i="42"/>
  <c r="G1" i="42"/>
  <c r="LV11" i="2" l="1"/>
  <c r="LV12" i="2"/>
  <c r="LV13" i="2"/>
  <c r="LV14" i="2"/>
  <c r="LV15" i="2"/>
  <c r="LV16" i="2"/>
  <c r="LV17" i="2"/>
  <c r="LV18" i="2"/>
  <c r="LV19" i="2"/>
  <c r="LV20" i="2"/>
  <c r="LV21" i="2"/>
  <c r="LV22" i="2"/>
  <c r="LV23" i="2"/>
  <c r="LV24" i="2"/>
  <c r="LV25" i="2"/>
  <c r="LV26" i="2"/>
  <c r="LV27" i="2"/>
  <c r="LV28" i="2"/>
  <c r="LV29" i="2"/>
  <c r="LV30" i="2"/>
  <c r="LV31" i="2"/>
  <c r="LV32" i="2"/>
  <c r="LV33" i="2"/>
  <c r="LV34" i="2"/>
  <c r="LV35" i="2"/>
  <c r="LV36" i="2"/>
  <c r="LV37" i="2"/>
  <c r="LV38" i="2"/>
  <c r="LV39" i="2"/>
  <c r="LV40" i="2"/>
  <c r="LV41" i="2"/>
  <c r="LV42" i="2"/>
  <c r="LV43" i="2"/>
  <c r="LV44" i="2"/>
  <c r="LV45" i="2"/>
  <c r="LV46" i="2"/>
  <c r="LV47" i="2"/>
  <c r="LV48" i="2"/>
  <c r="LV49" i="2"/>
  <c r="LV50" i="2"/>
  <c r="LV51" i="2"/>
  <c r="LV52" i="2"/>
  <c r="LV53" i="2"/>
  <c r="LV54" i="2"/>
  <c r="LV55" i="2"/>
  <c r="LV56" i="2"/>
  <c r="LV57" i="2"/>
  <c r="LV58" i="2"/>
  <c r="LV59" i="2"/>
  <c r="LV60" i="2"/>
  <c r="LV61" i="2"/>
  <c r="LV62" i="2"/>
  <c r="LV63" i="2"/>
  <c r="LV64" i="2"/>
  <c r="LV65" i="2"/>
  <c r="LV66" i="2"/>
  <c r="LV67" i="2"/>
  <c r="LV68" i="2"/>
  <c r="LV69" i="2"/>
  <c r="LV70" i="2"/>
  <c r="LV71" i="2"/>
  <c r="LV72" i="2"/>
  <c r="LV73" i="2"/>
  <c r="LV74" i="2"/>
  <c r="LV75" i="2"/>
  <c r="LV76" i="2"/>
  <c r="LV77" i="2"/>
  <c r="LV78" i="2"/>
  <c r="LV79" i="2"/>
  <c r="LV80" i="2"/>
  <c r="LV81" i="2"/>
  <c r="LV82" i="2"/>
  <c r="LV83" i="2"/>
  <c r="LV84" i="2"/>
  <c r="LV85" i="2"/>
  <c r="LV86" i="2"/>
  <c r="LV87" i="2"/>
  <c r="LV88" i="2"/>
  <c r="LV89" i="2"/>
  <c r="LV90" i="2"/>
  <c r="LV91" i="2"/>
  <c r="LV92" i="2"/>
  <c r="LV93" i="2"/>
  <c r="LV94" i="2"/>
  <c r="LV95" i="2"/>
  <c r="LV96" i="2"/>
  <c r="LV97" i="2"/>
  <c r="LV98" i="2"/>
  <c r="LV99" i="2"/>
  <c r="LV100" i="2"/>
  <c r="LV101" i="2"/>
  <c r="LV102" i="2"/>
  <c r="LV103" i="2"/>
  <c r="LV104" i="2"/>
  <c r="LV105" i="2"/>
  <c r="LV106" i="2"/>
  <c r="LV107" i="2"/>
  <c r="LV108" i="2"/>
  <c r="LV109" i="2"/>
  <c r="LV110" i="2"/>
  <c r="LV111" i="2"/>
  <c r="LV112" i="2"/>
  <c r="LV113" i="2"/>
  <c r="LV114" i="2"/>
  <c r="LV115" i="2"/>
  <c r="LV116" i="2"/>
  <c r="LV117" i="2"/>
  <c r="LV118" i="2"/>
  <c r="LV119" i="2"/>
  <c r="LV120" i="2"/>
  <c r="LV121" i="2"/>
  <c r="LV122" i="2"/>
  <c r="LV123" i="2"/>
  <c r="LV124" i="2"/>
  <c r="LV125" i="2"/>
  <c r="LV126" i="2"/>
  <c r="LV127" i="2"/>
  <c r="LV128" i="2"/>
  <c r="LV129" i="2"/>
  <c r="LV130" i="2"/>
  <c r="LV131" i="2"/>
  <c r="LV132" i="2"/>
  <c r="LV133" i="2"/>
  <c r="LV134" i="2"/>
  <c r="LV135" i="2"/>
  <c r="LV136" i="2"/>
  <c r="LV137" i="2"/>
  <c r="LV138" i="2"/>
  <c r="LV139" i="2"/>
  <c r="LV140" i="2"/>
  <c r="LV141" i="2"/>
  <c r="LV142" i="2"/>
  <c r="LV143" i="2"/>
  <c r="LV144" i="2"/>
  <c r="LV145" i="2"/>
  <c r="LV146" i="2"/>
  <c r="LV147" i="2"/>
  <c r="LV148" i="2"/>
  <c r="LV149" i="2"/>
  <c r="LV150" i="2"/>
  <c r="LV151" i="2"/>
  <c r="LV152" i="2"/>
  <c r="LV153" i="2"/>
  <c r="LV154" i="2"/>
  <c r="LV155" i="2"/>
  <c r="LV156" i="2"/>
  <c r="LV157" i="2"/>
  <c r="LV158" i="2"/>
  <c r="LV159" i="2"/>
  <c r="LV160" i="2"/>
  <c r="LV161" i="2"/>
  <c r="LV162" i="2"/>
  <c r="LV163" i="2"/>
  <c r="LV164" i="2"/>
  <c r="LV165" i="2"/>
  <c r="LV166" i="2"/>
  <c r="LV167" i="2"/>
  <c r="LV168" i="2"/>
  <c r="LV169" i="2"/>
  <c r="LV170" i="2"/>
  <c r="LV171" i="2"/>
  <c r="LV172" i="2"/>
  <c r="LV173" i="2"/>
  <c r="LV174" i="2"/>
  <c r="LV175" i="2"/>
  <c r="LV176" i="2"/>
  <c r="LV177" i="2"/>
  <c r="LV178" i="2"/>
  <c r="LV179" i="2"/>
  <c r="LV180" i="2"/>
  <c r="LV181" i="2"/>
  <c r="LV182" i="2"/>
  <c r="LV183" i="2"/>
  <c r="LV184" i="2"/>
  <c r="LV185" i="2"/>
  <c r="LV186" i="2"/>
  <c r="LV187" i="2"/>
  <c r="LV188" i="2"/>
  <c r="LV189" i="2"/>
  <c r="LV190" i="2"/>
  <c r="LV191" i="2"/>
  <c r="LV192" i="2"/>
  <c r="LV193" i="2"/>
  <c r="LV194" i="2"/>
  <c r="LV195" i="2"/>
  <c r="LV196" i="2"/>
  <c r="LV197" i="2"/>
  <c r="LV198" i="2"/>
  <c r="LV199" i="2"/>
  <c r="LV200" i="2"/>
  <c r="LV201" i="2"/>
  <c r="LV202" i="2"/>
  <c r="LV203" i="2"/>
  <c r="LV204" i="2"/>
  <c r="LV205" i="2"/>
  <c r="LV206" i="2"/>
  <c r="LV207" i="2"/>
  <c r="LV208" i="2"/>
  <c r="LV209" i="2"/>
  <c r="LV210" i="2"/>
  <c r="LV211" i="2"/>
  <c r="LV212" i="2"/>
  <c r="LV213" i="2"/>
  <c r="LV214" i="2"/>
  <c r="LV215" i="2"/>
  <c r="LV216" i="2"/>
  <c r="LV217" i="2"/>
  <c r="LV218" i="2"/>
  <c r="LV219" i="2"/>
  <c r="LV220" i="2"/>
  <c r="LV221" i="2"/>
  <c r="LV222" i="2"/>
  <c r="LV223" i="2"/>
  <c r="LV224" i="2"/>
  <c r="LV225" i="2"/>
  <c r="LV226" i="2"/>
  <c r="LV227" i="2"/>
  <c r="LV228" i="2"/>
  <c r="LV229" i="2"/>
  <c r="LV230" i="2"/>
  <c r="LV231" i="2"/>
  <c r="LV232" i="2"/>
  <c r="LV233" i="2"/>
  <c r="LV234" i="2"/>
  <c r="LV235" i="2"/>
  <c r="LV236" i="2"/>
  <c r="LV237" i="2"/>
  <c r="LV238" i="2"/>
  <c r="LV239" i="2"/>
  <c r="LV240" i="2"/>
  <c r="LV241" i="2"/>
  <c r="LV242" i="2"/>
  <c r="LV243" i="2"/>
  <c r="LV244" i="2"/>
  <c r="LV245" i="2"/>
  <c r="LV246" i="2"/>
  <c r="LV247" i="2"/>
  <c r="LV248" i="2"/>
  <c r="LV249" i="2"/>
  <c r="LV250" i="2"/>
  <c r="LV251" i="2"/>
  <c r="LV252" i="2"/>
  <c r="LV253" i="2"/>
  <c r="LV254" i="2"/>
  <c r="LV255" i="2"/>
  <c r="LV256" i="2"/>
  <c r="LV257" i="2"/>
  <c r="LV258" i="2"/>
  <c r="LV259" i="2"/>
  <c r="LV260" i="2"/>
  <c r="LV261" i="2"/>
  <c r="LV262" i="2"/>
  <c r="LV263" i="2"/>
  <c r="LV264" i="2"/>
  <c r="LV265" i="2"/>
  <c r="LV266" i="2"/>
  <c r="LV267" i="2"/>
  <c r="LV268" i="2"/>
  <c r="LV269" i="2"/>
  <c r="LV270" i="2"/>
  <c r="LV271" i="2"/>
  <c r="LV272" i="2"/>
  <c r="LV273" i="2"/>
  <c r="LV274" i="2"/>
  <c r="LV275" i="2"/>
  <c r="LV276" i="2"/>
  <c r="LV277" i="2"/>
  <c r="LV278" i="2"/>
  <c r="LV279" i="2"/>
  <c r="LV280" i="2"/>
  <c r="LV281" i="2"/>
  <c r="LV282" i="2"/>
  <c r="LV283" i="2"/>
  <c r="LV284" i="2"/>
  <c r="LV285" i="2"/>
  <c r="LV286" i="2"/>
  <c r="LV287" i="2"/>
  <c r="LV288" i="2"/>
  <c r="LV289" i="2"/>
  <c r="LV290" i="2"/>
  <c r="LV291" i="2"/>
  <c r="LV292" i="2"/>
  <c r="LV293" i="2"/>
  <c r="LV294" i="2"/>
  <c r="LV295" i="2"/>
  <c r="LV296" i="2"/>
  <c r="LV297" i="2"/>
  <c r="LV298" i="2"/>
  <c r="LV299" i="2"/>
  <c r="LV300" i="2"/>
  <c r="LV301" i="2"/>
  <c r="LV302" i="2"/>
  <c r="LV303" i="2"/>
  <c r="LV304" i="2"/>
  <c r="LV305" i="2"/>
  <c r="LV306" i="2"/>
  <c r="LV307" i="2"/>
  <c r="LV308" i="2"/>
  <c r="LV309" i="2"/>
  <c r="LV310" i="2"/>
  <c r="LV311" i="2"/>
  <c r="LV312" i="2"/>
  <c r="LV313" i="2"/>
  <c r="LV314" i="2"/>
  <c r="LV315" i="2"/>
  <c r="LV316" i="2"/>
  <c r="LV317" i="2"/>
  <c r="LV318" i="2"/>
  <c r="LV319" i="2"/>
  <c r="LV320" i="2"/>
  <c r="LV321" i="2"/>
  <c r="LV322" i="2"/>
  <c r="LV323" i="2"/>
  <c r="LV324" i="2"/>
  <c r="LV325" i="2"/>
  <c r="LV326" i="2"/>
  <c r="LV327" i="2"/>
  <c r="LV328" i="2"/>
  <c r="LV329" i="2"/>
  <c r="LV330" i="2"/>
  <c r="LV331" i="2"/>
  <c r="LV332" i="2"/>
  <c r="LV333" i="2"/>
  <c r="LV334" i="2"/>
  <c r="LV335" i="2"/>
  <c r="LV336" i="2"/>
  <c r="LV337" i="2"/>
  <c r="LV338" i="2"/>
  <c r="LV339" i="2"/>
  <c r="LV340" i="2"/>
  <c r="LV341" i="2"/>
  <c r="LV342" i="2"/>
  <c r="LV343" i="2"/>
  <c r="LV344" i="2"/>
  <c r="LV345" i="2"/>
  <c r="LV346" i="2"/>
  <c r="LV347" i="2"/>
  <c r="LV348" i="2"/>
  <c r="LV349" i="2"/>
  <c r="LV350" i="2"/>
  <c r="LV351" i="2"/>
  <c r="LV352" i="2"/>
  <c r="LV353" i="2"/>
  <c r="LV354" i="2"/>
  <c r="LV355" i="2"/>
  <c r="LV356" i="2"/>
  <c r="LV357" i="2"/>
  <c r="LV358" i="2"/>
  <c r="LV359" i="2"/>
  <c r="LV360" i="2"/>
  <c r="LV361" i="2"/>
  <c r="LV362" i="2"/>
  <c r="LV363" i="2"/>
  <c r="LV364" i="2"/>
  <c r="LV365" i="2"/>
  <c r="LV366" i="2"/>
  <c r="LV367" i="2"/>
  <c r="LV368" i="2"/>
  <c r="LV369" i="2"/>
  <c r="LV370" i="2"/>
  <c r="LV371" i="2"/>
  <c r="LV372" i="2"/>
  <c r="LV373" i="2"/>
  <c r="LV374" i="2"/>
  <c r="LV375" i="2"/>
  <c r="LV376" i="2"/>
  <c r="LV377" i="2"/>
  <c r="LV378" i="2"/>
  <c r="LV379" i="2"/>
  <c r="LV380" i="2"/>
  <c r="LV381" i="2"/>
  <c r="LV382" i="2"/>
  <c r="LV383" i="2"/>
  <c r="LV384" i="2"/>
  <c r="LV385" i="2"/>
  <c r="LV386" i="2"/>
  <c r="LV387" i="2"/>
  <c r="LV388" i="2"/>
  <c r="LV389" i="2"/>
  <c r="LV390" i="2"/>
  <c r="LV391" i="2"/>
  <c r="LV392" i="2"/>
  <c r="LV393" i="2"/>
  <c r="LV394" i="2"/>
  <c r="LV395" i="2"/>
  <c r="LV396" i="2"/>
  <c r="LV397" i="2"/>
  <c r="LV398" i="2"/>
  <c r="LV399" i="2"/>
  <c r="LV400" i="2"/>
  <c r="LV401" i="2"/>
  <c r="LV402" i="2"/>
  <c r="LV403" i="2"/>
  <c r="LV10" i="2"/>
  <c r="LT11" i="2"/>
  <c r="LT12" i="2"/>
  <c r="LT13" i="2"/>
  <c r="LT14" i="2"/>
  <c r="LT15" i="2"/>
  <c r="LT16" i="2"/>
  <c r="LT17" i="2"/>
  <c r="LT18" i="2"/>
  <c r="LT19" i="2"/>
  <c r="LT20" i="2"/>
  <c r="LT21" i="2"/>
  <c r="LT22" i="2"/>
  <c r="LT23" i="2"/>
  <c r="LT24" i="2"/>
  <c r="LT25" i="2"/>
  <c r="LT26" i="2"/>
  <c r="LT27" i="2"/>
  <c r="LT28" i="2"/>
  <c r="LT29" i="2"/>
  <c r="LT30" i="2"/>
  <c r="LT31" i="2"/>
  <c r="LT32" i="2"/>
  <c r="LT33" i="2"/>
  <c r="LT34" i="2"/>
  <c r="LT35" i="2"/>
  <c r="LT36" i="2"/>
  <c r="LT37" i="2"/>
  <c r="LT38" i="2"/>
  <c r="LT39" i="2"/>
  <c r="LT40" i="2"/>
  <c r="LT41" i="2"/>
  <c r="LT42" i="2"/>
  <c r="LT43" i="2"/>
  <c r="LT44" i="2"/>
  <c r="LT45" i="2"/>
  <c r="LT46" i="2"/>
  <c r="LT47" i="2"/>
  <c r="LT48" i="2"/>
  <c r="LT49" i="2"/>
  <c r="LT50" i="2"/>
  <c r="LT51" i="2"/>
  <c r="LT52" i="2"/>
  <c r="LT53" i="2"/>
  <c r="LT54" i="2"/>
  <c r="LT55" i="2"/>
  <c r="LT56" i="2"/>
  <c r="LT57" i="2"/>
  <c r="LT58" i="2"/>
  <c r="LT59" i="2"/>
  <c r="LT60" i="2"/>
  <c r="LT61" i="2"/>
  <c r="LT62" i="2"/>
  <c r="LT63" i="2"/>
  <c r="LT64" i="2"/>
  <c r="LT65" i="2"/>
  <c r="LT66" i="2"/>
  <c r="LT67" i="2"/>
  <c r="LT68" i="2"/>
  <c r="LT69" i="2"/>
  <c r="LT70" i="2"/>
  <c r="LT71" i="2"/>
  <c r="LT72" i="2"/>
  <c r="LT73" i="2"/>
  <c r="LT74" i="2"/>
  <c r="LT75" i="2"/>
  <c r="LT76" i="2"/>
  <c r="LT77" i="2"/>
  <c r="LT78" i="2"/>
  <c r="LT79" i="2"/>
  <c r="LT80" i="2"/>
  <c r="LT81" i="2"/>
  <c r="LT82" i="2"/>
  <c r="LT83" i="2"/>
  <c r="LT84" i="2"/>
  <c r="LT85" i="2"/>
  <c r="LT86" i="2"/>
  <c r="LT87" i="2"/>
  <c r="LT88" i="2"/>
  <c r="LT89" i="2"/>
  <c r="LT90" i="2"/>
  <c r="LT91" i="2"/>
  <c r="LT92" i="2"/>
  <c r="LT93" i="2"/>
  <c r="LT94" i="2"/>
  <c r="LT95" i="2"/>
  <c r="LT96" i="2"/>
  <c r="LT97" i="2"/>
  <c r="LT98" i="2"/>
  <c r="LT99" i="2"/>
  <c r="LT100" i="2"/>
  <c r="LT101" i="2"/>
  <c r="LT102" i="2"/>
  <c r="LT103" i="2"/>
  <c r="LT104" i="2"/>
  <c r="LT105" i="2"/>
  <c r="LT106" i="2"/>
  <c r="LT107" i="2"/>
  <c r="LT108" i="2"/>
  <c r="LT109" i="2"/>
  <c r="LT110" i="2"/>
  <c r="LT111" i="2"/>
  <c r="LT112" i="2"/>
  <c r="LT113" i="2"/>
  <c r="LT114" i="2"/>
  <c r="LT115" i="2"/>
  <c r="LT116" i="2"/>
  <c r="LT117" i="2"/>
  <c r="LT118" i="2"/>
  <c r="LT119" i="2"/>
  <c r="LT120" i="2"/>
  <c r="LT121" i="2"/>
  <c r="LT122" i="2"/>
  <c r="LT123" i="2"/>
  <c r="LT124" i="2"/>
  <c r="LT125" i="2"/>
  <c r="LT126" i="2"/>
  <c r="LT127" i="2"/>
  <c r="LT128" i="2"/>
  <c r="LT129" i="2"/>
  <c r="LT130" i="2"/>
  <c r="LT131" i="2"/>
  <c r="LT132" i="2"/>
  <c r="LT133" i="2"/>
  <c r="LT134" i="2"/>
  <c r="LT135" i="2"/>
  <c r="LT136" i="2"/>
  <c r="LT137" i="2"/>
  <c r="LT138" i="2"/>
  <c r="LT139" i="2"/>
  <c r="LT140" i="2"/>
  <c r="LT141" i="2"/>
  <c r="LT142" i="2"/>
  <c r="LT143" i="2"/>
  <c r="LT144" i="2"/>
  <c r="LT145" i="2"/>
  <c r="LT146" i="2"/>
  <c r="LT147" i="2"/>
  <c r="LT148" i="2"/>
  <c r="LT149" i="2"/>
  <c r="LT150" i="2"/>
  <c r="LT151" i="2"/>
  <c r="LT152" i="2"/>
  <c r="LT153" i="2"/>
  <c r="LT154" i="2"/>
  <c r="LT155" i="2"/>
  <c r="LT156" i="2"/>
  <c r="LT157" i="2"/>
  <c r="LT158" i="2"/>
  <c r="LT159" i="2"/>
  <c r="LT160" i="2"/>
  <c r="LT161" i="2"/>
  <c r="LT162" i="2"/>
  <c r="LT163" i="2"/>
  <c r="LT164" i="2"/>
  <c r="LT165" i="2"/>
  <c r="LT166" i="2"/>
  <c r="LT167" i="2"/>
  <c r="LT168" i="2"/>
  <c r="LT169" i="2"/>
  <c r="LT170" i="2"/>
  <c r="LT171" i="2"/>
  <c r="LT172" i="2"/>
  <c r="LT173" i="2"/>
  <c r="LT174" i="2"/>
  <c r="LT175" i="2"/>
  <c r="LT176" i="2"/>
  <c r="LT177" i="2"/>
  <c r="LT178" i="2"/>
  <c r="LT179" i="2"/>
  <c r="LT180" i="2"/>
  <c r="LT181" i="2"/>
  <c r="LT182" i="2"/>
  <c r="LT183" i="2"/>
  <c r="LT184" i="2"/>
  <c r="LT185" i="2"/>
  <c r="LT186" i="2"/>
  <c r="LT187" i="2"/>
  <c r="LT188" i="2"/>
  <c r="LT189" i="2"/>
  <c r="LT190" i="2"/>
  <c r="LT191" i="2"/>
  <c r="LT192" i="2"/>
  <c r="LT193" i="2"/>
  <c r="LT194" i="2"/>
  <c r="LT195" i="2"/>
  <c r="LT196" i="2"/>
  <c r="LT197" i="2"/>
  <c r="LT198" i="2"/>
  <c r="LT199" i="2"/>
  <c r="LT200" i="2"/>
  <c r="LT201" i="2"/>
  <c r="LT202" i="2"/>
  <c r="LT203" i="2"/>
  <c r="LT204" i="2"/>
  <c r="LT205" i="2"/>
  <c r="LT206" i="2"/>
  <c r="LT207" i="2"/>
  <c r="LT208" i="2"/>
  <c r="LT209" i="2"/>
  <c r="LT210" i="2"/>
  <c r="LT211" i="2"/>
  <c r="LT212" i="2"/>
  <c r="LT213" i="2"/>
  <c r="LT214" i="2"/>
  <c r="LT215" i="2"/>
  <c r="LT216" i="2"/>
  <c r="LT217" i="2"/>
  <c r="LT218" i="2"/>
  <c r="LT219" i="2"/>
  <c r="LT220" i="2"/>
  <c r="LT221" i="2"/>
  <c r="LT222" i="2"/>
  <c r="LT223" i="2"/>
  <c r="LT224" i="2"/>
  <c r="LT225" i="2"/>
  <c r="LT226" i="2"/>
  <c r="LT227" i="2"/>
  <c r="LT228" i="2"/>
  <c r="LT229" i="2"/>
  <c r="LT230" i="2"/>
  <c r="LT231" i="2"/>
  <c r="LT232" i="2"/>
  <c r="LT233" i="2"/>
  <c r="LT234" i="2"/>
  <c r="LT235" i="2"/>
  <c r="LT236" i="2"/>
  <c r="LT237" i="2"/>
  <c r="LT238" i="2"/>
  <c r="LT239" i="2"/>
  <c r="LT240" i="2"/>
  <c r="LT241" i="2"/>
  <c r="LT242" i="2"/>
  <c r="LT243" i="2"/>
  <c r="LT244" i="2"/>
  <c r="LT245" i="2"/>
  <c r="LT246" i="2"/>
  <c r="LT247" i="2"/>
  <c r="LT248" i="2"/>
  <c r="LT249" i="2"/>
  <c r="LT250" i="2"/>
  <c r="LT251" i="2"/>
  <c r="LT252" i="2"/>
  <c r="LT253" i="2"/>
  <c r="LT254" i="2"/>
  <c r="LT255" i="2"/>
  <c r="LT256" i="2"/>
  <c r="LT257" i="2"/>
  <c r="LT258" i="2"/>
  <c r="LT259" i="2"/>
  <c r="LT260" i="2"/>
  <c r="LT261" i="2"/>
  <c r="LT262" i="2"/>
  <c r="LT263" i="2"/>
  <c r="LT264" i="2"/>
  <c r="LT265" i="2"/>
  <c r="LT266" i="2"/>
  <c r="LT267" i="2"/>
  <c r="LT268" i="2"/>
  <c r="LT269" i="2"/>
  <c r="LT270" i="2"/>
  <c r="LT271" i="2"/>
  <c r="LT272" i="2"/>
  <c r="LT273" i="2"/>
  <c r="LT274" i="2"/>
  <c r="LT275" i="2"/>
  <c r="LT276" i="2"/>
  <c r="LT277" i="2"/>
  <c r="LT278" i="2"/>
  <c r="LT279" i="2"/>
  <c r="LT280" i="2"/>
  <c r="LT281" i="2"/>
  <c r="LT282" i="2"/>
  <c r="LT283" i="2"/>
  <c r="LT284" i="2"/>
  <c r="LT285" i="2"/>
  <c r="LT286" i="2"/>
  <c r="LT287" i="2"/>
  <c r="LT288" i="2"/>
  <c r="LT289" i="2"/>
  <c r="LT290" i="2"/>
  <c r="LT291" i="2"/>
  <c r="LT292" i="2"/>
  <c r="LT293" i="2"/>
  <c r="LT294" i="2"/>
  <c r="LT295" i="2"/>
  <c r="LT296" i="2"/>
  <c r="LT297" i="2"/>
  <c r="LT298" i="2"/>
  <c r="LT299" i="2"/>
  <c r="LT300" i="2"/>
  <c r="LT301" i="2"/>
  <c r="LT302" i="2"/>
  <c r="LT303" i="2"/>
  <c r="LT304" i="2"/>
  <c r="LT305" i="2"/>
  <c r="LT306" i="2"/>
  <c r="LT307" i="2"/>
  <c r="LT308" i="2"/>
  <c r="LT309" i="2"/>
  <c r="LT310" i="2"/>
  <c r="LT311" i="2"/>
  <c r="LT312" i="2"/>
  <c r="LT313" i="2"/>
  <c r="LT314" i="2"/>
  <c r="LT315" i="2"/>
  <c r="LT316" i="2"/>
  <c r="LT317" i="2"/>
  <c r="LT318" i="2"/>
  <c r="LT319" i="2"/>
  <c r="LT320" i="2"/>
  <c r="LT321" i="2"/>
  <c r="LT322" i="2"/>
  <c r="LT323" i="2"/>
  <c r="LT324" i="2"/>
  <c r="LT325" i="2"/>
  <c r="LT326" i="2"/>
  <c r="LT327" i="2"/>
  <c r="LT328" i="2"/>
  <c r="LT329" i="2"/>
  <c r="LT330" i="2"/>
  <c r="LT331" i="2"/>
  <c r="LT332" i="2"/>
  <c r="LT333" i="2"/>
  <c r="LT334" i="2"/>
  <c r="LT335" i="2"/>
  <c r="LT336" i="2"/>
  <c r="LT337" i="2"/>
  <c r="LT338" i="2"/>
  <c r="LT339" i="2"/>
  <c r="LT340" i="2"/>
  <c r="LT341" i="2"/>
  <c r="LT342" i="2"/>
  <c r="LT343" i="2"/>
  <c r="LT344" i="2"/>
  <c r="LT345" i="2"/>
  <c r="LT346" i="2"/>
  <c r="LT347" i="2"/>
  <c r="LT348" i="2"/>
  <c r="LT349" i="2"/>
  <c r="LT350" i="2"/>
  <c r="LT351" i="2"/>
  <c r="LT352" i="2"/>
  <c r="LT353" i="2"/>
  <c r="LT354" i="2"/>
  <c r="LT355" i="2"/>
  <c r="LT356" i="2"/>
  <c r="LT357" i="2"/>
  <c r="LT358" i="2"/>
  <c r="LT359" i="2"/>
  <c r="LT360" i="2"/>
  <c r="LT361" i="2"/>
  <c r="LT362" i="2"/>
  <c r="LT363" i="2"/>
  <c r="LT364" i="2"/>
  <c r="LT365" i="2"/>
  <c r="LT366" i="2"/>
  <c r="LT367" i="2"/>
  <c r="LT368" i="2"/>
  <c r="LT369" i="2"/>
  <c r="LT370" i="2"/>
  <c r="LT371" i="2"/>
  <c r="LT372" i="2"/>
  <c r="LT373" i="2"/>
  <c r="LT374" i="2"/>
  <c r="LT375" i="2"/>
  <c r="LT376" i="2"/>
  <c r="LT377" i="2"/>
  <c r="LT378" i="2"/>
  <c r="LT379" i="2"/>
  <c r="LT380" i="2"/>
  <c r="LT381" i="2"/>
  <c r="LT382" i="2"/>
  <c r="LT383" i="2"/>
  <c r="LT384" i="2"/>
  <c r="LT385" i="2"/>
  <c r="LT386" i="2"/>
  <c r="LT387" i="2"/>
  <c r="LT388" i="2"/>
  <c r="LT389" i="2"/>
  <c r="LT390" i="2"/>
  <c r="LT391" i="2"/>
  <c r="LT392" i="2"/>
  <c r="LT393" i="2"/>
  <c r="LT394" i="2"/>
  <c r="LT395" i="2"/>
  <c r="LT396" i="2"/>
  <c r="LT397" i="2"/>
  <c r="LT398" i="2"/>
  <c r="LT399" i="2"/>
  <c r="LT400" i="2"/>
  <c r="LT401" i="2"/>
  <c r="LT402" i="2"/>
  <c r="LT403" i="2"/>
  <c r="LT10" i="2"/>
  <c r="LR11" i="2"/>
  <c r="LR12" i="2"/>
  <c r="LR13" i="2"/>
  <c r="LR14" i="2"/>
  <c r="LR15" i="2"/>
  <c r="LR16" i="2"/>
  <c r="LR17" i="2"/>
  <c r="LR18" i="2"/>
  <c r="LR19" i="2"/>
  <c r="LR20" i="2"/>
  <c r="LR21" i="2"/>
  <c r="LR22" i="2"/>
  <c r="LR23" i="2"/>
  <c r="LR24" i="2"/>
  <c r="LR25" i="2"/>
  <c r="LR26" i="2"/>
  <c r="LR27" i="2"/>
  <c r="LR28" i="2"/>
  <c r="LR29" i="2"/>
  <c r="LR30" i="2"/>
  <c r="LR31" i="2"/>
  <c r="LR32" i="2"/>
  <c r="LR33" i="2"/>
  <c r="LR34" i="2"/>
  <c r="LR35" i="2"/>
  <c r="LR36" i="2"/>
  <c r="LR37" i="2"/>
  <c r="LR38" i="2"/>
  <c r="LR39" i="2"/>
  <c r="LR40" i="2"/>
  <c r="LR41" i="2"/>
  <c r="LR42" i="2"/>
  <c r="LR43" i="2"/>
  <c r="LR44" i="2"/>
  <c r="LR45" i="2"/>
  <c r="LR46" i="2"/>
  <c r="LR47" i="2"/>
  <c r="LR48" i="2"/>
  <c r="LR49" i="2"/>
  <c r="LR50" i="2"/>
  <c r="LR51" i="2"/>
  <c r="LR52" i="2"/>
  <c r="LR53" i="2"/>
  <c r="LR54" i="2"/>
  <c r="LR55" i="2"/>
  <c r="LR56" i="2"/>
  <c r="LR57" i="2"/>
  <c r="LR58" i="2"/>
  <c r="LR59" i="2"/>
  <c r="LR60" i="2"/>
  <c r="LR61" i="2"/>
  <c r="LR62" i="2"/>
  <c r="LR63" i="2"/>
  <c r="LR64" i="2"/>
  <c r="LR65" i="2"/>
  <c r="LR66" i="2"/>
  <c r="LR67" i="2"/>
  <c r="LR68" i="2"/>
  <c r="LR69" i="2"/>
  <c r="LR70" i="2"/>
  <c r="LR71" i="2"/>
  <c r="LR72" i="2"/>
  <c r="LR73" i="2"/>
  <c r="LR74" i="2"/>
  <c r="LR75" i="2"/>
  <c r="LR76" i="2"/>
  <c r="LR77" i="2"/>
  <c r="LR78" i="2"/>
  <c r="LR79" i="2"/>
  <c r="LR80" i="2"/>
  <c r="LR81" i="2"/>
  <c r="LR82" i="2"/>
  <c r="LR83" i="2"/>
  <c r="LR84" i="2"/>
  <c r="LR85" i="2"/>
  <c r="LR86" i="2"/>
  <c r="LR87" i="2"/>
  <c r="LR88" i="2"/>
  <c r="LR89" i="2"/>
  <c r="LR90" i="2"/>
  <c r="LR91" i="2"/>
  <c r="LR92" i="2"/>
  <c r="LR93" i="2"/>
  <c r="LR94" i="2"/>
  <c r="LR95" i="2"/>
  <c r="LR96" i="2"/>
  <c r="LR97" i="2"/>
  <c r="LR98" i="2"/>
  <c r="LR99" i="2"/>
  <c r="LR100" i="2"/>
  <c r="LR101" i="2"/>
  <c r="LR102" i="2"/>
  <c r="LR103" i="2"/>
  <c r="LR104" i="2"/>
  <c r="LR105" i="2"/>
  <c r="LR106" i="2"/>
  <c r="LR107" i="2"/>
  <c r="LR108" i="2"/>
  <c r="LR109" i="2"/>
  <c r="LR110" i="2"/>
  <c r="LR111" i="2"/>
  <c r="LR112" i="2"/>
  <c r="LR113" i="2"/>
  <c r="LR114" i="2"/>
  <c r="LR115" i="2"/>
  <c r="LR116" i="2"/>
  <c r="LR117" i="2"/>
  <c r="LR118" i="2"/>
  <c r="LR119" i="2"/>
  <c r="LR120" i="2"/>
  <c r="LR121" i="2"/>
  <c r="LR122" i="2"/>
  <c r="LR123" i="2"/>
  <c r="LR124" i="2"/>
  <c r="LR125" i="2"/>
  <c r="LR126" i="2"/>
  <c r="LR127" i="2"/>
  <c r="LR128" i="2"/>
  <c r="LR129" i="2"/>
  <c r="LR130" i="2"/>
  <c r="LR131" i="2"/>
  <c r="LR132" i="2"/>
  <c r="LR133" i="2"/>
  <c r="LR134" i="2"/>
  <c r="LR135" i="2"/>
  <c r="LR136" i="2"/>
  <c r="LR137" i="2"/>
  <c r="LR138" i="2"/>
  <c r="LR139" i="2"/>
  <c r="LR140" i="2"/>
  <c r="LR141" i="2"/>
  <c r="LR142" i="2"/>
  <c r="LR143" i="2"/>
  <c r="LR144" i="2"/>
  <c r="LR145" i="2"/>
  <c r="LR146" i="2"/>
  <c r="LR147" i="2"/>
  <c r="LR148" i="2"/>
  <c r="LR149" i="2"/>
  <c r="LR150" i="2"/>
  <c r="LR151" i="2"/>
  <c r="LR152" i="2"/>
  <c r="LR153" i="2"/>
  <c r="LR154" i="2"/>
  <c r="LR155" i="2"/>
  <c r="LR156" i="2"/>
  <c r="LR157" i="2"/>
  <c r="LR158" i="2"/>
  <c r="LR159" i="2"/>
  <c r="LR160" i="2"/>
  <c r="LR161" i="2"/>
  <c r="LR162" i="2"/>
  <c r="LR163" i="2"/>
  <c r="LR164" i="2"/>
  <c r="LR165" i="2"/>
  <c r="LR166" i="2"/>
  <c r="LR167" i="2"/>
  <c r="LR168" i="2"/>
  <c r="LR169" i="2"/>
  <c r="LR170" i="2"/>
  <c r="LR171" i="2"/>
  <c r="LR172" i="2"/>
  <c r="LR173" i="2"/>
  <c r="LR174" i="2"/>
  <c r="LR175" i="2"/>
  <c r="LR176" i="2"/>
  <c r="LR177" i="2"/>
  <c r="LR178" i="2"/>
  <c r="LR179" i="2"/>
  <c r="LR180" i="2"/>
  <c r="LR181" i="2"/>
  <c r="LR182" i="2"/>
  <c r="LR183" i="2"/>
  <c r="LR184" i="2"/>
  <c r="LR185" i="2"/>
  <c r="LR186" i="2"/>
  <c r="LR187" i="2"/>
  <c r="LR188" i="2"/>
  <c r="LR189" i="2"/>
  <c r="LR190" i="2"/>
  <c r="LR191" i="2"/>
  <c r="LR192" i="2"/>
  <c r="LR193" i="2"/>
  <c r="LR194" i="2"/>
  <c r="LR195" i="2"/>
  <c r="LR196" i="2"/>
  <c r="LR197" i="2"/>
  <c r="LR198" i="2"/>
  <c r="LR199" i="2"/>
  <c r="LR200" i="2"/>
  <c r="LR201" i="2"/>
  <c r="LR202" i="2"/>
  <c r="LR203" i="2"/>
  <c r="LR204" i="2"/>
  <c r="LR205" i="2"/>
  <c r="LR206" i="2"/>
  <c r="LR207" i="2"/>
  <c r="LR208" i="2"/>
  <c r="LR209" i="2"/>
  <c r="LR210" i="2"/>
  <c r="LR211" i="2"/>
  <c r="LR212" i="2"/>
  <c r="LR213" i="2"/>
  <c r="LR214" i="2"/>
  <c r="LR215" i="2"/>
  <c r="LR216" i="2"/>
  <c r="LR217" i="2"/>
  <c r="LR218" i="2"/>
  <c r="LR219" i="2"/>
  <c r="LR220" i="2"/>
  <c r="LR221" i="2"/>
  <c r="LR222" i="2"/>
  <c r="LR223" i="2"/>
  <c r="LR224" i="2"/>
  <c r="LR225" i="2"/>
  <c r="LR226" i="2"/>
  <c r="LR227" i="2"/>
  <c r="LR228" i="2"/>
  <c r="LR229" i="2"/>
  <c r="LR230" i="2"/>
  <c r="LR231" i="2"/>
  <c r="LR232" i="2"/>
  <c r="LR233" i="2"/>
  <c r="LR234" i="2"/>
  <c r="LR235" i="2"/>
  <c r="LR236" i="2"/>
  <c r="LR237" i="2"/>
  <c r="LR238" i="2"/>
  <c r="LR239" i="2"/>
  <c r="LR240" i="2"/>
  <c r="LR241" i="2"/>
  <c r="LR242" i="2"/>
  <c r="LR243" i="2"/>
  <c r="LR244" i="2"/>
  <c r="LR245" i="2"/>
  <c r="LR246" i="2"/>
  <c r="LR247" i="2"/>
  <c r="LR248" i="2"/>
  <c r="LR249" i="2"/>
  <c r="LR250" i="2"/>
  <c r="LR251" i="2"/>
  <c r="LR252" i="2"/>
  <c r="LR253" i="2"/>
  <c r="LR254" i="2"/>
  <c r="LR255" i="2"/>
  <c r="LR256" i="2"/>
  <c r="LR257" i="2"/>
  <c r="LR258" i="2"/>
  <c r="LR259" i="2"/>
  <c r="LR260" i="2"/>
  <c r="LR261" i="2"/>
  <c r="LR262" i="2"/>
  <c r="LR263" i="2"/>
  <c r="LR264" i="2"/>
  <c r="LR265" i="2"/>
  <c r="LR266" i="2"/>
  <c r="LR267" i="2"/>
  <c r="LR268" i="2"/>
  <c r="LR269" i="2"/>
  <c r="LR270" i="2"/>
  <c r="LR271" i="2"/>
  <c r="LR272" i="2"/>
  <c r="LR273" i="2"/>
  <c r="LR274" i="2"/>
  <c r="LR275" i="2"/>
  <c r="LR276" i="2"/>
  <c r="LR277" i="2"/>
  <c r="LR278" i="2"/>
  <c r="LR279" i="2"/>
  <c r="LR280" i="2"/>
  <c r="LR281" i="2"/>
  <c r="LR282" i="2"/>
  <c r="LR283" i="2"/>
  <c r="LR284" i="2"/>
  <c r="LR285" i="2"/>
  <c r="LR286" i="2"/>
  <c r="LR287" i="2"/>
  <c r="LR288" i="2"/>
  <c r="LR289" i="2"/>
  <c r="LR290" i="2"/>
  <c r="LR291" i="2"/>
  <c r="LR292" i="2"/>
  <c r="LR293" i="2"/>
  <c r="LR294" i="2"/>
  <c r="LR295" i="2"/>
  <c r="LR296" i="2"/>
  <c r="LR297" i="2"/>
  <c r="LR298" i="2"/>
  <c r="LR299" i="2"/>
  <c r="LR300" i="2"/>
  <c r="LR301" i="2"/>
  <c r="LR302" i="2"/>
  <c r="LR303" i="2"/>
  <c r="LR304" i="2"/>
  <c r="LR305" i="2"/>
  <c r="LR306" i="2"/>
  <c r="LR307" i="2"/>
  <c r="LR308" i="2"/>
  <c r="LR309" i="2"/>
  <c r="LR310" i="2"/>
  <c r="LR311" i="2"/>
  <c r="LR312" i="2"/>
  <c r="LR313" i="2"/>
  <c r="LR314" i="2"/>
  <c r="LR315" i="2"/>
  <c r="LR316" i="2"/>
  <c r="LR317" i="2"/>
  <c r="LR318" i="2"/>
  <c r="LR319" i="2"/>
  <c r="LR320" i="2"/>
  <c r="LR321" i="2"/>
  <c r="LR322" i="2"/>
  <c r="LR323" i="2"/>
  <c r="LR324" i="2"/>
  <c r="LR325" i="2"/>
  <c r="LR326" i="2"/>
  <c r="LR327" i="2"/>
  <c r="LR328" i="2"/>
  <c r="LR329" i="2"/>
  <c r="LR330" i="2"/>
  <c r="LR331" i="2"/>
  <c r="LR332" i="2"/>
  <c r="LR333" i="2"/>
  <c r="LR334" i="2"/>
  <c r="LR335" i="2"/>
  <c r="LR336" i="2"/>
  <c r="LR337" i="2"/>
  <c r="LR338" i="2"/>
  <c r="LR339" i="2"/>
  <c r="LR340" i="2"/>
  <c r="LR341" i="2"/>
  <c r="LR342" i="2"/>
  <c r="LR343" i="2"/>
  <c r="LR344" i="2"/>
  <c r="LR345" i="2"/>
  <c r="LR346" i="2"/>
  <c r="LR347" i="2"/>
  <c r="LR348" i="2"/>
  <c r="LR349" i="2"/>
  <c r="LR350" i="2"/>
  <c r="LR351" i="2"/>
  <c r="LR352" i="2"/>
  <c r="LR353" i="2"/>
  <c r="LR354" i="2"/>
  <c r="LR355" i="2"/>
  <c r="LR356" i="2"/>
  <c r="LR357" i="2"/>
  <c r="LR358" i="2"/>
  <c r="LR359" i="2"/>
  <c r="LR360" i="2"/>
  <c r="LR361" i="2"/>
  <c r="LR362" i="2"/>
  <c r="LR363" i="2"/>
  <c r="LR364" i="2"/>
  <c r="LR365" i="2"/>
  <c r="LR366" i="2"/>
  <c r="LR367" i="2"/>
  <c r="LR368" i="2"/>
  <c r="LR369" i="2"/>
  <c r="LR370" i="2"/>
  <c r="LR371" i="2"/>
  <c r="LR372" i="2"/>
  <c r="LR373" i="2"/>
  <c r="LR374" i="2"/>
  <c r="LR375" i="2"/>
  <c r="LR376" i="2"/>
  <c r="LR377" i="2"/>
  <c r="LR378" i="2"/>
  <c r="LR379" i="2"/>
  <c r="LR380" i="2"/>
  <c r="LR381" i="2"/>
  <c r="LR382" i="2"/>
  <c r="LR383" i="2"/>
  <c r="LR384" i="2"/>
  <c r="LR385" i="2"/>
  <c r="LR386" i="2"/>
  <c r="LR387" i="2"/>
  <c r="LR388" i="2"/>
  <c r="LR389" i="2"/>
  <c r="LR390" i="2"/>
  <c r="LR391" i="2"/>
  <c r="LR392" i="2"/>
  <c r="LR393" i="2"/>
  <c r="LR394" i="2"/>
  <c r="LR395" i="2"/>
  <c r="LR396" i="2"/>
  <c r="LR397" i="2"/>
  <c r="LR398" i="2"/>
  <c r="LR399" i="2"/>
  <c r="LR400" i="2"/>
  <c r="LR401" i="2"/>
  <c r="LR402" i="2"/>
  <c r="LR403" i="2"/>
  <c r="LR10" i="2"/>
  <c r="LP11" i="2"/>
  <c r="LP12" i="2"/>
  <c r="LP13" i="2"/>
  <c r="LP14" i="2"/>
  <c r="LP15" i="2"/>
  <c r="LP16" i="2"/>
  <c r="LP17" i="2"/>
  <c r="LP18" i="2"/>
  <c r="LP19" i="2"/>
  <c r="LP20" i="2"/>
  <c r="LP21" i="2"/>
  <c r="LP22" i="2"/>
  <c r="LP23" i="2"/>
  <c r="LP24" i="2"/>
  <c r="LP25" i="2"/>
  <c r="LP26" i="2"/>
  <c r="LP27" i="2"/>
  <c r="LP28" i="2"/>
  <c r="LP29" i="2"/>
  <c r="LP30" i="2"/>
  <c r="LP31" i="2"/>
  <c r="LP32" i="2"/>
  <c r="LP33" i="2"/>
  <c r="LP34" i="2"/>
  <c r="LP35" i="2"/>
  <c r="LP36" i="2"/>
  <c r="LP37" i="2"/>
  <c r="LP38" i="2"/>
  <c r="LP39" i="2"/>
  <c r="LP40" i="2"/>
  <c r="LP41" i="2"/>
  <c r="LP42" i="2"/>
  <c r="LP43" i="2"/>
  <c r="LP44" i="2"/>
  <c r="LP45" i="2"/>
  <c r="LP46" i="2"/>
  <c r="LP47" i="2"/>
  <c r="LP48" i="2"/>
  <c r="LP49" i="2"/>
  <c r="LP50" i="2"/>
  <c r="LP51" i="2"/>
  <c r="LP52" i="2"/>
  <c r="LP53" i="2"/>
  <c r="LP54" i="2"/>
  <c r="LP55" i="2"/>
  <c r="LP56" i="2"/>
  <c r="LP57" i="2"/>
  <c r="LP58" i="2"/>
  <c r="LP59" i="2"/>
  <c r="LP60" i="2"/>
  <c r="LP61" i="2"/>
  <c r="LP62" i="2"/>
  <c r="LP63" i="2"/>
  <c r="LP64" i="2"/>
  <c r="LP65" i="2"/>
  <c r="LP66" i="2"/>
  <c r="LP67" i="2"/>
  <c r="LP68" i="2"/>
  <c r="LP69" i="2"/>
  <c r="LP70" i="2"/>
  <c r="LP71" i="2"/>
  <c r="LP72" i="2"/>
  <c r="LP73" i="2"/>
  <c r="LP74" i="2"/>
  <c r="LP75" i="2"/>
  <c r="LP76" i="2"/>
  <c r="LP77" i="2"/>
  <c r="LP78" i="2"/>
  <c r="LP79" i="2"/>
  <c r="LP80" i="2"/>
  <c r="LP81" i="2"/>
  <c r="LP82" i="2"/>
  <c r="LP83" i="2"/>
  <c r="LP84" i="2"/>
  <c r="LP85" i="2"/>
  <c r="LP86" i="2"/>
  <c r="LP87" i="2"/>
  <c r="LP88" i="2"/>
  <c r="LP89" i="2"/>
  <c r="LP90" i="2"/>
  <c r="LP91" i="2"/>
  <c r="LP92" i="2"/>
  <c r="LP93" i="2"/>
  <c r="LP94" i="2"/>
  <c r="LP95" i="2"/>
  <c r="LP96" i="2"/>
  <c r="LP97" i="2"/>
  <c r="LP98" i="2"/>
  <c r="LP99" i="2"/>
  <c r="LP100" i="2"/>
  <c r="LP101" i="2"/>
  <c r="LP102" i="2"/>
  <c r="LP103" i="2"/>
  <c r="LP104" i="2"/>
  <c r="LP105" i="2"/>
  <c r="LP106" i="2"/>
  <c r="LP107" i="2"/>
  <c r="LP108" i="2"/>
  <c r="LP109" i="2"/>
  <c r="LP110" i="2"/>
  <c r="LP111" i="2"/>
  <c r="LP112" i="2"/>
  <c r="LP113" i="2"/>
  <c r="LP114" i="2"/>
  <c r="LP115" i="2"/>
  <c r="LP116" i="2"/>
  <c r="LP117" i="2"/>
  <c r="LP118" i="2"/>
  <c r="LP119" i="2"/>
  <c r="LP120" i="2"/>
  <c r="LP121" i="2"/>
  <c r="LP122" i="2"/>
  <c r="LP123" i="2"/>
  <c r="LP124" i="2"/>
  <c r="LP125" i="2"/>
  <c r="LP126" i="2"/>
  <c r="LP127" i="2"/>
  <c r="LP128" i="2"/>
  <c r="LP129" i="2"/>
  <c r="LP130" i="2"/>
  <c r="LP131" i="2"/>
  <c r="LP132" i="2"/>
  <c r="LP133" i="2"/>
  <c r="LP134" i="2"/>
  <c r="LP135" i="2"/>
  <c r="LP136" i="2"/>
  <c r="LP137" i="2"/>
  <c r="LP138" i="2"/>
  <c r="LP139" i="2"/>
  <c r="LP140" i="2"/>
  <c r="LP141" i="2"/>
  <c r="LP142" i="2"/>
  <c r="LP143" i="2"/>
  <c r="LP144" i="2"/>
  <c r="LP145" i="2"/>
  <c r="LP146" i="2"/>
  <c r="LP147" i="2"/>
  <c r="LP148" i="2"/>
  <c r="LP149" i="2"/>
  <c r="LP150" i="2"/>
  <c r="LP151" i="2"/>
  <c r="LP152" i="2"/>
  <c r="LP153" i="2"/>
  <c r="LP154" i="2"/>
  <c r="LP155" i="2"/>
  <c r="LP156" i="2"/>
  <c r="LP157" i="2"/>
  <c r="LP158" i="2"/>
  <c r="LP159" i="2"/>
  <c r="LP160" i="2"/>
  <c r="LP161" i="2"/>
  <c r="LP162" i="2"/>
  <c r="LP163" i="2"/>
  <c r="LP164" i="2"/>
  <c r="LP165" i="2"/>
  <c r="LP166" i="2"/>
  <c r="LP167" i="2"/>
  <c r="LP168" i="2"/>
  <c r="LP169" i="2"/>
  <c r="LP170" i="2"/>
  <c r="LP171" i="2"/>
  <c r="LP172" i="2"/>
  <c r="LP173" i="2"/>
  <c r="LP174" i="2"/>
  <c r="LP175" i="2"/>
  <c r="LP176" i="2"/>
  <c r="LP177" i="2"/>
  <c r="LP178" i="2"/>
  <c r="LP179" i="2"/>
  <c r="LP180" i="2"/>
  <c r="LP181" i="2"/>
  <c r="LP182" i="2"/>
  <c r="LP183" i="2"/>
  <c r="LP184" i="2"/>
  <c r="LP185" i="2"/>
  <c r="LP186" i="2"/>
  <c r="LP187" i="2"/>
  <c r="LP188" i="2"/>
  <c r="LP189" i="2"/>
  <c r="LP190" i="2"/>
  <c r="LP191" i="2"/>
  <c r="LP192" i="2"/>
  <c r="LP193" i="2"/>
  <c r="LP194" i="2"/>
  <c r="LP195" i="2"/>
  <c r="LP196" i="2"/>
  <c r="LP197" i="2"/>
  <c r="LP198" i="2"/>
  <c r="LP199" i="2"/>
  <c r="LP200" i="2"/>
  <c r="LP201" i="2"/>
  <c r="LP202" i="2"/>
  <c r="LP203" i="2"/>
  <c r="LP204" i="2"/>
  <c r="LP205" i="2"/>
  <c r="LP206" i="2"/>
  <c r="LP207" i="2"/>
  <c r="LP208" i="2"/>
  <c r="LP209" i="2"/>
  <c r="LP210" i="2"/>
  <c r="LP211" i="2"/>
  <c r="LP212" i="2"/>
  <c r="LP213" i="2"/>
  <c r="LP214" i="2"/>
  <c r="LP215" i="2"/>
  <c r="LP216" i="2"/>
  <c r="LP217" i="2"/>
  <c r="LP218" i="2"/>
  <c r="LP219" i="2"/>
  <c r="LP220" i="2"/>
  <c r="LP221" i="2"/>
  <c r="LP222" i="2"/>
  <c r="LP223" i="2"/>
  <c r="LP224" i="2"/>
  <c r="LP225" i="2"/>
  <c r="LP226" i="2"/>
  <c r="LP227" i="2"/>
  <c r="LP228" i="2"/>
  <c r="LP229" i="2"/>
  <c r="LP230" i="2"/>
  <c r="LP231" i="2"/>
  <c r="LP232" i="2"/>
  <c r="LP233" i="2"/>
  <c r="LP234" i="2"/>
  <c r="LP235" i="2"/>
  <c r="LP236" i="2"/>
  <c r="LP237" i="2"/>
  <c r="LP238" i="2"/>
  <c r="LP239" i="2"/>
  <c r="LP240" i="2"/>
  <c r="LP241" i="2"/>
  <c r="LP242" i="2"/>
  <c r="LP243" i="2"/>
  <c r="LP244" i="2"/>
  <c r="LP245" i="2"/>
  <c r="LP246" i="2"/>
  <c r="LP247" i="2"/>
  <c r="LP248" i="2"/>
  <c r="LP249" i="2"/>
  <c r="LP250" i="2"/>
  <c r="LP251" i="2"/>
  <c r="LP252" i="2"/>
  <c r="LP253" i="2"/>
  <c r="LP254" i="2"/>
  <c r="LP255" i="2"/>
  <c r="LP256" i="2"/>
  <c r="LP257" i="2"/>
  <c r="LP258" i="2"/>
  <c r="LP259" i="2"/>
  <c r="LP260" i="2"/>
  <c r="LP261" i="2"/>
  <c r="LP262" i="2"/>
  <c r="LP263" i="2"/>
  <c r="LP264" i="2"/>
  <c r="LP265" i="2"/>
  <c r="LP266" i="2"/>
  <c r="LP267" i="2"/>
  <c r="LP268" i="2"/>
  <c r="LP269" i="2"/>
  <c r="LP270" i="2"/>
  <c r="LP271" i="2"/>
  <c r="LP272" i="2"/>
  <c r="LP273" i="2"/>
  <c r="LP274" i="2"/>
  <c r="LP275" i="2"/>
  <c r="LP276" i="2"/>
  <c r="LP277" i="2"/>
  <c r="LP278" i="2"/>
  <c r="LP279" i="2"/>
  <c r="LP280" i="2"/>
  <c r="LP281" i="2"/>
  <c r="LP282" i="2"/>
  <c r="LP283" i="2"/>
  <c r="LP284" i="2"/>
  <c r="LP285" i="2"/>
  <c r="LP286" i="2"/>
  <c r="LP287" i="2"/>
  <c r="LP288" i="2"/>
  <c r="LP289" i="2"/>
  <c r="LP290" i="2"/>
  <c r="LP291" i="2"/>
  <c r="LP292" i="2"/>
  <c r="LP293" i="2"/>
  <c r="LP294" i="2"/>
  <c r="LP295" i="2"/>
  <c r="LP296" i="2"/>
  <c r="LP297" i="2"/>
  <c r="LP298" i="2"/>
  <c r="LP299" i="2"/>
  <c r="LP300" i="2"/>
  <c r="LP301" i="2"/>
  <c r="LP302" i="2"/>
  <c r="LP303" i="2"/>
  <c r="LP304" i="2"/>
  <c r="LP305" i="2"/>
  <c r="LP306" i="2"/>
  <c r="LP307" i="2"/>
  <c r="LP308" i="2"/>
  <c r="LP309" i="2"/>
  <c r="LP310" i="2"/>
  <c r="LP311" i="2"/>
  <c r="LP312" i="2"/>
  <c r="LP313" i="2"/>
  <c r="LP314" i="2"/>
  <c r="LP315" i="2"/>
  <c r="LP316" i="2"/>
  <c r="LP317" i="2"/>
  <c r="LP318" i="2"/>
  <c r="LP319" i="2"/>
  <c r="LP320" i="2"/>
  <c r="LP321" i="2"/>
  <c r="LP322" i="2"/>
  <c r="LP323" i="2"/>
  <c r="LP324" i="2"/>
  <c r="LP325" i="2"/>
  <c r="LP326" i="2"/>
  <c r="LP327" i="2"/>
  <c r="LP328" i="2"/>
  <c r="LP329" i="2"/>
  <c r="LP330" i="2"/>
  <c r="LP331" i="2"/>
  <c r="LP332" i="2"/>
  <c r="LP333" i="2"/>
  <c r="LP334" i="2"/>
  <c r="LP335" i="2"/>
  <c r="LP336" i="2"/>
  <c r="LP337" i="2"/>
  <c r="LP338" i="2"/>
  <c r="LP339" i="2"/>
  <c r="LP340" i="2"/>
  <c r="LP341" i="2"/>
  <c r="LP342" i="2"/>
  <c r="LP343" i="2"/>
  <c r="LP344" i="2"/>
  <c r="LP345" i="2"/>
  <c r="LP346" i="2"/>
  <c r="LP347" i="2"/>
  <c r="LP348" i="2"/>
  <c r="LP349" i="2"/>
  <c r="LP350" i="2"/>
  <c r="LP351" i="2"/>
  <c r="LP352" i="2"/>
  <c r="LP353" i="2"/>
  <c r="LP354" i="2"/>
  <c r="LP355" i="2"/>
  <c r="LP356" i="2"/>
  <c r="LP357" i="2"/>
  <c r="LP358" i="2"/>
  <c r="LP359" i="2"/>
  <c r="LP360" i="2"/>
  <c r="LP361" i="2"/>
  <c r="LP362" i="2"/>
  <c r="LP363" i="2"/>
  <c r="LP364" i="2"/>
  <c r="LP365" i="2"/>
  <c r="LP366" i="2"/>
  <c r="LP367" i="2"/>
  <c r="LP368" i="2"/>
  <c r="LP369" i="2"/>
  <c r="LP370" i="2"/>
  <c r="LP371" i="2"/>
  <c r="LP372" i="2"/>
  <c r="LP373" i="2"/>
  <c r="LP374" i="2"/>
  <c r="LP375" i="2"/>
  <c r="LP376" i="2"/>
  <c r="LP377" i="2"/>
  <c r="LP378" i="2"/>
  <c r="LP379" i="2"/>
  <c r="LP380" i="2"/>
  <c r="LP381" i="2"/>
  <c r="LP382" i="2"/>
  <c r="LP383" i="2"/>
  <c r="LP384" i="2"/>
  <c r="LP385" i="2"/>
  <c r="LP386" i="2"/>
  <c r="LP387" i="2"/>
  <c r="LP388" i="2"/>
  <c r="LP389" i="2"/>
  <c r="LP390" i="2"/>
  <c r="LP391" i="2"/>
  <c r="LP392" i="2"/>
  <c r="LP393" i="2"/>
  <c r="LP394" i="2"/>
  <c r="LP395" i="2"/>
  <c r="LP396" i="2"/>
  <c r="LP397" i="2"/>
  <c r="LP398" i="2"/>
  <c r="LP399" i="2"/>
  <c r="LP400" i="2"/>
  <c r="LP401" i="2"/>
  <c r="LP402" i="2"/>
  <c r="LP403" i="2"/>
  <c r="LP10" i="2"/>
  <c r="LN11" i="2"/>
  <c r="LN12" i="2"/>
  <c r="LN13" i="2"/>
  <c r="LN14" i="2"/>
  <c r="LN15" i="2"/>
  <c r="LN16" i="2"/>
  <c r="LN17" i="2"/>
  <c r="LN18" i="2"/>
  <c r="LN19" i="2"/>
  <c r="LN20" i="2"/>
  <c r="LN21" i="2"/>
  <c r="LN22" i="2"/>
  <c r="LN23" i="2"/>
  <c r="LN24" i="2"/>
  <c r="LN25" i="2"/>
  <c r="LN26" i="2"/>
  <c r="LN27" i="2"/>
  <c r="LN28" i="2"/>
  <c r="LN29" i="2"/>
  <c r="LN30" i="2"/>
  <c r="LN31" i="2"/>
  <c r="LN32" i="2"/>
  <c r="LN33" i="2"/>
  <c r="LN34" i="2"/>
  <c r="LN35" i="2"/>
  <c r="LN36" i="2"/>
  <c r="LN37" i="2"/>
  <c r="LN38" i="2"/>
  <c r="LN39" i="2"/>
  <c r="LN40" i="2"/>
  <c r="LN41" i="2"/>
  <c r="LN42" i="2"/>
  <c r="LN43" i="2"/>
  <c r="LN44" i="2"/>
  <c r="LN45" i="2"/>
  <c r="LN46" i="2"/>
  <c r="LN47" i="2"/>
  <c r="LN48" i="2"/>
  <c r="LN49" i="2"/>
  <c r="LN50" i="2"/>
  <c r="LN51" i="2"/>
  <c r="LN52" i="2"/>
  <c r="LN53" i="2"/>
  <c r="LN54" i="2"/>
  <c r="LN55" i="2"/>
  <c r="LN56" i="2"/>
  <c r="LN57" i="2"/>
  <c r="LN58" i="2"/>
  <c r="LN59" i="2"/>
  <c r="LN60" i="2"/>
  <c r="LN61" i="2"/>
  <c r="LN62" i="2"/>
  <c r="LN63" i="2"/>
  <c r="LN64" i="2"/>
  <c r="LN65" i="2"/>
  <c r="LN66" i="2"/>
  <c r="LN67" i="2"/>
  <c r="LN68" i="2"/>
  <c r="LN69" i="2"/>
  <c r="LN70" i="2"/>
  <c r="LN71" i="2"/>
  <c r="LN72" i="2"/>
  <c r="LN73" i="2"/>
  <c r="LN74" i="2"/>
  <c r="LN75" i="2"/>
  <c r="LN76" i="2"/>
  <c r="LN77" i="2"/>
  <c r="LN78" i="2"/>
  <c r="LN79" i="2"/>
  <c r="LN80" i="2"/>
  <c r="LN81" i="2"/>
  <c r="LN82" i="2"/>
  <c r="LN83" i="2"/>
  <c r="LN84" i="2"/>
  <c r="LN85" i="2"/>
  <c r="LN86" i="2"/>
  <c r="LN87" i="2"/>
  <c r="LN88" i="2"/>
  <c r="LN89" i="2"/>
  <c r="LN90" i="2"/>
  <c r="LN91" i="2"/>
  <c r="LN92" i="2"/>
  <c r="LN93" i="2"/>
  <c r="LN94" i="2"/>
  <c r="LN95" i="2"/>
  <c r="LN96" i="2"/>
  <c r="LN97" i="2"/>
  <c r="LN98" i="2"/>
  <c r="LN99" i="2"/>
  <c r="LN100" i="2"/>
  <c r="LN101" i="2"/>
  <c r="LN102" i="2"/>
  <c r="LN103" i="2"/>
  <c r="LN104" i="2"/>
  <c r="LN105" i="2"/>
  <c r="LN106" i="2"/>
  <c r="LN107" i="2"/>
  <c r="LN108" i="2"/>
  <c r="LN109" i="2"/>
  <c r="LN110" i="2"/>
  <c r="LN111" i="2"/>
  <c r="LN112" i="2"/>
  <c r="LN113" i="2"/>
  <c r="LN114" i="2"/>
  <c r="LN115" i="2"/>
  <c r="LN116" i="2"/>
  <c r="LN117" i="2"/>
  <c r="LN118" i="2"/>
  <c r="LN119" i="2"/>
  <c r="LN120" i="2"/>
  <c r="LN121" i="2"/>
  <c r="LN122" i="2"/>
  <c r="LN123" i="2"/>
  <c r="LN124" i="2"/>
  <c r="LN125" i="2"/>
  <c r="LN126" i="2"/>
  <c r="LN127" i="2"/>
  <c r="LN128" i="2"/>
  <c r="LN129" i="2"/>
  <c r="LN130" i="2"/>
  <c r="LN131" i="2"/>
  <c r="LN132" i="2"/>
  <c r="LN133" i="2"/>
  <c r="LN134" i="2"/>
  <c r="LN135" i="2"/>
  <c r="LN136" i="2"/>
  <c r="LN137" i="2"/>
  <c r="LN138" i="2"/>
  <c r="LN139" i="2"/>
  <c r="LN140" i="2"/>
  <c r="LN141" i="2"/>
  <c r="LN142" i="2"/>
  <c r="LN143" i="2"/>
  <c r="LN144" i="2"/>
  <c r="LN145" i="2"/>
  <c r="LN146" i="2"/>
  <c r="LN147" i="2"/>
  <c r="LN148" i="2"/>
  <c r="LN149" i="2"/>
  <c r="LN150" i="2"/>
  <c r="LN151" i="2"/>
  <c r="LN152" i="2"/>
  <c r="LN153" i="2"/>
  <c r="LN154" i="2"/>
  <c r="LN155" i="2"/>
  <c r="LN156" i="2"/>
  <c r="LN157" i="2"/>
  <c r="LN158" i="2"/>
  <c r="LN159" i="2"/>
  <c r="LN160" i="2"/>
  <c r="LN161" i="2"/>
  <c r="LN162" i="2"/>
  <c r="LN163" i="2"/>
  <c r="LN164" i="2"/>
  <c r="LN165" i="2"/>
  <c r="LN166" i="2"/>
  <c r="LN167" i="2"/>
  <c r="LN168" i="2"/>
  <c r="LN169" i="2"/>
  <c r="LN170" i="2"/>
  <c r="LN171" i="2"/>
  <c r="LN172" i="2"/>
  <c r="LN173" i="2"/>
  <c r="LN174" i="2"/>
  <c r="LN175" i="2"/>
  <c r="LN176" i="2"/>
  <c r="LN177" i="2"/>
  <c r="LN178" i="2"/>
  <c r="LN179" i="2"/>
  <c r="LN180" i="2"/>
  <c r="LN181" i="2"/>
  <c r="LN182" i="2"/>
  <c r="LN183" i="2"/>
  <c r="LN184" i="2"/>
  <c r="LN185" i="2"/>
  <c r="LN186" i="2"/>
  <c r="LN187" i="2"/>
  <c r="LN188" i="2"/>
  <c r="LN189" i="2"/>
  <c r="LN190" i="2"/>
  <c r="LN191" i="2"/>
  <c r="LN192" i="2"/>
  <c r="LN193" i="2"/>
  <c r="LN194" i="2"/>
  <c r="LN195" i="2"/>
  <c r="LN196" i="2"/>
  <c r="LN197" i="2"/>
  <c r="LN198" i="2"/>
  <c r="LN199" i="2"/>
  <c r="LN200" i="2"/>
  <c r="LN201" i="2"/>
  <c r="LN202" i="2"/>
  <c r="LN203" i="2"/>
  <c r="LN204" i="2"/>
  <c r="LN205" i="2"/>
  <c r="LN206" i="2"/>
  <c r="LN207" i="2"/>
  <c r="LN208" i="2"/>
  <c r="LN209" i="2"/>
  <c r="LN210" i="2"/>
  <c r="LN211" i="2"/>
  <c r="LN212" i="2"/>
  <c r="LN213" i="2"/>
  <c r="LN214" i="2"/>
  <c r="LN215" i="2"/>
  <c r="LN216" i="2"/>
  <c r="LN217" i="2"/>
  <c r="LN218" i="2"/>
  <c r="LN219" i="2"/>
  <c r="LN220" i="2"/>
  <c r="LN221" i="2"/>
  <c r="LN222" i="2"/>
  <c r="LN223" i="2"/>
  <c r="LN224" i="2"/>
  <c r="LN225" i="2"/>
  <c r="LN226" i="2"/>
  <c r="LN227" i="2"/>
  <c r="LN228" i="2"/>
  <c r="LN229" i="2"/>
  <c r="LN230" i="2"/>
  <c r="LN231" i="2"/>
  <c r="LN232" i="2"/>
  <c r="LN233" i="2"/>
  <c r="LN234" i="2"/>
  <c r="LN235" i="2"/>
  <c r="LN236" i="2"/>
  <c r="LN237" i="2"/>
  <c r="LN238" i="2"/>
  <c r="LN239" i="2"/>
  <c r="LN240" i="2"/>
  <c r="LN241" i="2"/>
  <c r="LN242" i="2"/>
  <c r="LN243" i="2"/>
  <c r="LN244" i="2"/>
  <c r="LN245" i="2"/>
  <c r="LN246" i="2"/>
  <c r="LN247" i="2"/>
  <c r="LN248" i="2"/>
  <c r="LN249" i="2"/>
  <c r="LN250" i="2"/>
  <c r="LN251" i="2"/>
  <c r="LN252" i="2"/>
  <c r="LN253" i="2"/>
  <c r="LN254" i="2"/>
  <c r="LN255" i="2"/>
  <c r="LN256" i="2"/>
  <c r="LN257" i="2"/>
  <c r="LN258" i="2"/>
  <c r="LN259" i="2"/>
  <c r="LN260" i="2"/>
  <c r="LN261" i="2"/>
  <c r="LN262" i="2"/>
  <c r="LN263" i="2"/>
  <c r="LN264" i="2"/>
  <c r="LN265" i="2"/>
  <c r="LN266" i="2"/>
  <c r="LN267" i="2"/>
  <c r="LN268" i="2"/>
  <c r="LN269" i="2"/>
  <c r="LN270" i="2"/>
  <c r="LN271" i="2"/>
  <c r="LN272" i="2"/>
  <c r="LN273" i="2"/>
  <c r="LN274" i="2"/>
  <c r="LN275" i="2"/>
  <c r="LN276" i="2"/>
  <c r="LN277" i="2"/>
  <c r="LN278" i="2"/>
  <c r="LN279" i="2"/>
  <c r="LN280" i="2"/>
  <c r="LN281" i="2"/>
  <c r="LN282" i="2"/>
  <c r="LN283" i="2"/>
  <c r="LN284" i="2"/>
  <c r="LN285" i="2"/>
  <c r="LN286" i="2"/>
  <c r="LN287" i="2"/>
  <c r="LN288" i="2"/>
  <c r="LN289" i="2"/>
  <c r="LN290" i="2"/>
  <c r="LN291" i="2"/>
  <c r="LN292" i="2"/>
  <c r="LN293" i="2"/>
  <c r="LN294" i="2"/>
  <c r="LN295" i="2"/>
  <c r="LN296" i="2"/>
  <c r="LN297" i="2"/>
  <c r="LN298" i="2"/>
  <c r="LN299" i="2"/>
  <c r="LN300" i="2"/>
  <c r="LN301" i="2"/>
  <c r="LN302" i="2"/>
  <c r="LN303" i="2"/>
  <c r="LN304" i="2"/>
  <c r="LN305" i="2"/>
  <c r="LN306" i="2"/>
  <c r="LN307" i="2"/>
  <c r="LN308" i="2"/>
  <c r="LN309" i="2"/>
  <c r="LN310" i="2"/>
  <c r="LN311" i="2"/>
  <c r="LN312" i="2"/>
  <c r="LN313" i="2"/>
  <c r="LN314" i="2"/>
  <c r="LN315" i="2"/>
  <c r="LN316" i="2"/>
  <c r="LN317" i="2"/>
  <c r="LN318" i="2"/>
  <c r="LN319" i="2"/>
  <c r="LN320" i="2"/>
  <c r="LN321" i="2"/>
  <c r="LN322" i="2"/>
  <c r="LN323" i="2"/>
  <c r="LN324" i="2"/>
  <c r="LN325" i="2"/>
  <c r="LN326" i="2"/>
  <c r="LN327" i="2"/>
  <c r="LN328" i="2"/>
  <c r="LN329" i="2"/>
  <c r="LN330" i="2"/>
  <c r="LN331" i="2"/>
  <c r="LN332" i="2"/>
  <c r="LN333" i="2"/>
  <c r="LN334" i="2"/>
  <c r="LN335" i="2"/>
  <c r="LN336" i="2"/>
  <c r="LN337" i="2"/>
  <c r="LN338" i="2"/>
  <c r="LN339" i="2"/>
  <c r="LN340" i="2"/>
  <c r="LN341" i="2"/>
  <c r="LN342" i="2"/>
  <c r="LN343" i="2"/>
  <c r="LN344" i="2"/>
  <c r="LN345" i="2"/>
  <c r="LN346" i="2"/>
  <c r="LN347" i="2"/>
  <c r="LN348" i="2"/>
  <c r="LN349" i="2"/>
  <c r="LN350" i="2"/>
  <c r="LN351" i="2"/>
  <c r="LN352" i="2"/>
  <c r="LN353" i="2"/>
  <c r="LN354" i="2"/>
  <c r="LN355" i="2"/>
  <c r="LN356" i="2"/>
  <c r="LN357" i="2"/>
  <c r="LN358" i="2"/>
  <c r="LN359" i="2"/>
  <c r="LN360" i="2"/>
  <c r="LN361" i="2"/>
  <c r="LN362" i="2"/>
  <c r="LN363" i="2"/>
  <c r="LN364" i="2"/>
  <c r="LN365" i="2"/>
  <c r="LN366" i="2"/>
  <c r="LN367" i="2"/>
  <c r="LN368" i="2"/>
  <c r="LN369" i="2"/>
  <c r="LN370" i="2"/>
  <c r="LN371" i="2"/>
  <c r="LN372" i="2"/>
  <c r="LN373" i="2"/>
  <c r="LN374" i="2"/>
  <c r="LN375" i="2"/>
  <c r="LN376" i="2"/>
  <c r="LN377" i="2"/>
  <c r="LN378" i="2"/>
  <c r="LN379" i="2"/>
  <c r="LN380" i="2"/>
  <c r="LN381" i="2"/>
  <c r="LN382" i="2"/>
  <c r="LN383" i="2"/>
  <c r="LN384" i="2"/>
  <c r="LN385" i="2"/>
  <c r="LN386" i="2"/>
  <c r="LN387" i="2"/>
  <c r="LN388" i="2"/>
  <c r="LN389" i="2"/>
  <c r="LN390" i="2"/>
  <c r="LN391" i="2"/>
  <c r="LN392" i="2"/>
  <c r="LN393" i="2"/>
  <c r="LN394" i="2"/>
  <c r="LN395" i="2"/>
  <c r="LN396" i="2"/>
  <c r="LN397" i="2"/>
  <c r="LN398" i="2"/>
  <c r="LN399" i="2"/>
  <c r="LN400" i="2"/>
  <c r="LN401" i="2"/>
  <c r="LN402" i="2"/>
  <c r="LN403" i="2"/>
  <c r="LN10" i="2"/>
  <c r="BK290" i="2" l="1"/>
  <c r="GI70" i="2" l="1"/>
  <c r="IP228" i="2"/>
  <c r="AG377" i="2"/>
  <c r="Z376" i="2"/>
  <c r="LH403" i="2" l="1"/>
  <c r="KT403" i="2"/>
  <c r="AQ403" i="2"/>
  <c r="Z403" i="2"/>
  <c r="LH402" i="2"/>
  <c r="BK402" i="2"/>
  <c r="LH401" i="2"/>
  <c r="LH400" i="2"/>
  <c r="JE400" i="2"/>
  <c r="GI400" i="2"/>
  <c r="LH399" i="2"/>
  <c r="KU399" i="2"/>
  <c r="BK399" i="2"/>
  <c r="LH398" i="2"/>
  <c r="KZ398" i="2"/>
  <c r="KV398" i="2"/>
  <c r="KU398" i="2"/>
  <c r="IN398" i="2"/>
  <c r="FE398" i="2"/>
  <c r="DM398" i="2"/>
  <c r="DB398" i="2"/>
  <c r="CZ398" i="2"/>
  <c r="CX398" i="2"/>
  <c r="CV398" i="2"/>
  <c r="CB398" i="2"/>
  <c r="BK398" i="2"/>
  <c r="LH397" i="2"/>
  <c r="LA397" i="2"/>
  <c r="KX397" i="2"/>
  <c r="KV397" i="2"/>
  <c r="KU397" i="2"/>
  <c r="JY397" i="2"/>
  <c r="IN397" i="2"/>
  <c r="FV397" i="2"/>
  <c r="FT397" i="2"/>
  <c r="FR397" i="2"/>
  <c r="EX397" i="2"/>
  <c r="CX397" i="2"/>
  <c r="CV397" i="2"/>
  <c r="CB397" i="2"/>
  <c r="BQ397" i="2"/>
  <c r="BO397" i="2"/>
  <c r="LH396" i="2"/>
  <c r="JE396" i="2"/>
  <c r="GP396" i="2"/>
  <c r="GI396" i="2"/>
  <c r="FE396" i="2"/>
  <c r="EX396" i="2"/>
  <c r="DT396" i="2"/>
  <c r="LH395" i="2"/>
  <c r="KZ395" i="2"/>
  <c r="KW395" i="2"/>
  <c r="IN395" i="2"/>
  <c r="HC395" i="2"/>
  <c r="EG395" i="2"/>
  <c r="BK395" i="2"/>
  <c r="LH394" i="2"/>
  <c r="KY394" i="2"/>
  <c r="IN394" i="2"/>
  <c r="LH393" i="2"/>
  <c r="LH392" i="2"/>
  <c r="LH391" i="2"/>
  <c r="LA391" i="2"/>
  <c r="JY391" i="2"/>
  <c r="LH390" i="2"/>
  <c r="LA390" i="2"/>
  <c r="CV390" i="2"/>
  <c r="LH389" i="2"/>
  <c r="LA389" i="2"/>
  <c r="KW389" i="2"/>
  <c r="JY389" i="2"/>
  <c r="IN389" i="2"/>
  <c r="HE389" i="2"/>
  <c r="HC389" i="2"/>
  <c r="EK389" i="2"/>
  <c r="EI389" i="2"/>
  <c r="EG389" i="2"/>
  <c r="CX389" i="2"/>
  <c r="BK389" i="2"/>
  <c r="LH388" i="2"/>
  <c r="LH387" i="2"/>
  <c r="CV387" i="2"/>
  <c r="LH386" i="2"/>
  <c r="KZ386" i="2"/>
  <c r="LH385" i="2"/>
  <c r="CV385" i="2"/>
  <c r="LH384" i="2"/>
  <c r="IP384" i="2"/>
  <c r="FR384" i="2"/>
  <c r="Z384" i="2"/>
  <c r="LH383" i="2"/>
  <c r="HC383" i="2"/>
  <c r="LH382" i="2"/>
  <c r="KU382" i="2"/>
  <c r="FR382" i="2"/>
  <c r="DB382" i="2"/>
  <c r="DC382" i="2" s="1"/>
  <c r="CZ382" i="2"/>
  <c r="CX382" i="2"/>
  <c r="CV382" i="2"/>
  <c r="BM382" i="2"/>
  <c r="BK382" i="2"/>
  <c r="LH381" i="2"/>
  <c r="IR381" i="2"/>
  <c r="IP381" i="2"/>
  <c r="LH380" i="2"/>
  <c r="AB380" i="2"/>
  <c r="Z380" i="2"/>
  <c r="I380" i="2"/>
  <c r="LH379" i="2"/>
  <c r="LH378" i="2"/>
  <c r="BK378" i="2"/>
  <c r="LH376" i="2"/>
  <c r="LA376" i="2"/>
  <c r="KZ376" i="2"/>
  <c r="KW376" i="2"/>
  <c r="KV376" i="2"/>
  <c r="KX376" i="2"/>
  <c r="KT376" i="2"/>
  <c r="JY376" i="2"/>
  <c r="IP376" i="2"/>
  <c r="IN376" i="2"/>
  <c r="HC376" i="2"/>
  <c r="AF353" i="2"/>
  <c r="MA353" i="2" s="1"/>
  <c r="ML353" i="2"/>
  <c r="MK353" i="2"/>
  <c r="MJ353" i="2"/>
  <c r="MI353" i="2"/>
  <c r="MH353" i="2"/>
  <c r="MG353" i="2"/>
  <c r="MF353" i="2"/>
  <c r="MD353" i="2"/>
  <c r="LK353" i="2"/>
  <c r="LL353" i="2" s="1"/>
  <c r="KN353" i="2"/>
  <c r="KL353" i="2"/>
  <c r="KJ353" i="2"/>
  <c r="KH353" i="2"/>
  <c r="KF353" i="2"/>
  <c r="KD353" i="2"/>
  <c r="KB353" i="2"/>
  <c r="JZ353" i="2"/>
  <c r="JP353" i="2"/>
  <c r="JM353" i="2"/>
  <c r="JK353" i="2"/>
  <c r="JC353" i="2"/>
  <c r="JA353" i="2"/>
  <c r="IY353" i="2"/>
  <c r="IW353" i="2"/>
  <c r="IU353" i="2"/>
  <c r="IS353" i="2"/>
  <c r="IQ353" i="2"/>
  <c r="IO353" i="2"/>
  <c r="IE353" i="2"/>
  <c r="IB353" i="2"/>
  <c r="HZ353" i="2"/>
  <c r="HR353" i="2"/>
  <c r="HP353" i="2"/>
  <c r="HN353" i="2"/>
  <c r="HL353" i="2"/>
  <c r="HJ353" i="2"/>
  <c r="HH353" i="2"/>
  <c r="HF353" i="2"/>
  <c r="HD353" i="2"/>
  <c r="GT353" i="2"/>
  <c r="GQ353" i="2"/>
  <c r="GO353" i="2"/>
  <c r="GG353" i="2"/>
  <c r="GE353" i="2"/>
  <c r="GC353" i="2"/>
  <c r="GA353" i="2"/>
  <c r="FY353" i="2"/>
  <c r="FW353" i="2"/>
  <c r="FU353" i="2"/>
  <c r="FS353" i="2"/>
  <c r="FI353" i="2"/>
  <c r="FF353" i="2"/>
  <c r="FD353" i="2"/>
  <c r="EV353" i="2"/>
  <c r="ET353" i="2"/>
  <c r="ER353" i="2"/>
  <c r="EP353" i="2"/>
  <c r="EN353" i="2"/>
  <c r="EL353" i="2"/>
  <c r="EJ353" i="2"/>
  <c r="EH353" i="2"/>
  <c r="DX353" i="2"/>
  <c r="DU353" i="2"/>
  <c r="DS353" i="2"/>
  <c r="DK353" i="2"/>
  <c r="DI353" i="2"/>
  <c r="DG353" i="2"/>
  <c r="DE353" i="2"/>
  <c r="DC353" i="2"/>
  <c r="DA353" i="2"/>
  <c r="CY353" i="2"/>
  <c r="CW353" i="2"/>
  <c r="CM353" i="2"/>
  <c r="CJ353" i="2"/>
  <c r="CH353" i="2"/>
  <c r="BZ353" i="2"/>
  <c r="BX353" i="2"/>
  <c r="BV353" i="2"/>
  <c r="BT353" i="2"/>
  <c r="BR353" i="2"/>
  <c r="BP353" i="2"/>
  <c r="BN353" i="2"/>
  <c r="BL353" i="2"/>
  <c r="BB353" i="2"/>
  <c r="AY353" i="2"/>
  <c r="AW353" i="2"/>
  <c r="AO353" i="2"/>
  <c r="AM353" i="2"/>
  <c r="AK353" i="2"/>
  <c r="AI353" i="2"/>
  <c r="AE353" i="2"/>
  <c r="AC353" i="2"/>
  <c r="AA353" i="2"/>
  <c r="Q353" i="2"/>
  <c r="N353" i="2"/>
  <c r="L353" i="2"/>
  <c r="BM377" i="2"/>
  <c r="FR376" i="2"/>
  <c r="EQ376" i="2"/>
  <c r="DW376" i="2"/>
  <c r="CL376" i="2"/>
  <c r="DB376" i="2"/>
  <c r="LH375" i="2"/>
  <c r="JY375" i="2"/>
  <c r="FR375" i="2"/>
  <c r="CX375" i="2"/>
  <c r="LH374" i="2"/>
  <c r="LA374" i="2"/>
  <c r="JY374" i="2"/>
  <c r="FR374" i="2"/>
  <c r="LH373" i="2"/>
  <c r="CV373" i="2"/>
  <c r="BM373" i="2"/>
  <c r="LH372" i="2"/>
  <c r="CX372" i="2"/>
  <c r="LH371" i="2"/>
  <c r="KZ371" i="2"/>
  <c r="KY371" i="2"/>
  <c r="IN371" i="2"/>
  <c r="GS371" i="2"/>
  <c r="HO371" i="2"/>
  <c r="HM371" i="2"/>
  <c r="HG371" i="2"/>
  <c r="LH370" i="2"/>
  <c r="KZ370" i="2"/>
  <c r="IN370" i="2"/>
  <c r="HC370" i="2"/>
  <c r="LH369" i="2"/>
  <c r="LH368" i="2"/>
  <c r="HG368" i="2"/>
  <c r="LH367" i="2"/>
  <c r="LH366" i="2"/>
  <c r="EG366" i="2"/>
  <c r="LH365" i="2"/>
  <c r="KZ365" i="2"/>
  <c r="KY365" i="2"/>
  <c r="KW365" i="2"/>
  <c r="KV365" i="2"/>
  <c r="KT365" i="2"/>
  <c r="IN365" i="2"/>
  <c r="HE365" i="2"/>
  <c r="HC365" i="2"/>
  <c r="FR365" i="2"/>
  <c r="EG365" i="2"/>
  <c r="CX365" i="2"/>
  <c r="CV365" i="2"/>
  <c r="BM365" i="2"/>
  <c r="BK365" i="2"/>
  <c r="Z365" i="2"/>
  <c r="LH364" i="2"/>
  <c r="LA364" i="2"/>
  <c r="KZ364" i="2"/>
  <c r="JY364" i="2"/>
  <c r="IN364" i="2"/>
  <c r="DT364" i="2"/>
  <c r="Z364" i="2"/>
  <c r="LH363" i="2"/>
  <c r="LA363" i="2"/>
  <c r="KZ363" i="2"/>
  <c r="KX363" i="2"/>
  <c r="KW363" i="2"/>
  <c r="JY363" i="2"/>
  <c r="IP363" i="2"/>
  <c r="IN363" i="2"/>
  <c r="FT363" i="2"/>
  <c r="MA363" i="2" s="1"/>
  <c r="FR363" i="2"/>
  <c r="EI363" i="2"/>
  <c r="EG363" i="2"/>
  <c r="CV363" i="2"/>
  <c r="LH362" i="2"/>
  <c r="HT362" i="2"/>
  <c r="FH362" i="2"/>
  <c r="DW362" i="2"/>
  <c r="LH361" i="2"/>
  <c r="LA361" i="2"/>
  <c r="JY361" i="2"/>
  <c r="CV361" i="2"/>
  <c r="LH360" i="2"/>
  <c r="KZ360" i="2"/>
  <c r="LH359" i="2"/>
  <c r="LA359" i="2"/>
  <c r="JY359" i="2"/>
  <c r="BK359" i="2"/>
  <c r="LH358" i="2"/>
  <c r="LA358" i="2"/>
  <c r="JY358" i="2"/>
  <c r="LH357" i="2"/>
  <c r="KZ357" i="2"/>
  <c r="IP357" i="2"/>
  <c r="IN357" i="2"/>
  <c r="FR357" i="2"/>
  <c r="LH356" i="2"/>
  <c r="EG356" i="2"/>
  <c r="LH355" i="2"/>
  <c r="DC355" i="2"/>
  <c r="HI354" i="2"/>
  <c r="HG354" i="2"/>
  <c r="MA354" i="2" s="1"/>
  <c r="LH354" i="2"/>
  <c r="LA354" i="2"/>
  <c r="KZ354" i="2"/>
  <c r="JY354" i="2"/>
  <c r="IP354" i="2"/>
  <c r="IN354" i="2"/>
  <c r="FT354" i="2"/>
  <c r="Z354" i="2"/>
  <c r="LH352" i="2"/>
  <c r="LA352" i="2"/>
  <c r="KY352" i="2"/>
  <c r="KU352" i="2"/>
  <c r="KT352" i="2"/>
  <c r="JY352" i="2"/>
  <c r="IP352" i="2"/>
  <c r="HE352" i="2"/>
  <c r="HF352" i="2" s="1"/>
  <c r="HC352" i="2"/>
  <c r="DF352" i="2"/>
  <c r="DD352" i="2"/>
  <c r="BM352" i="2"/>
  <c r="BK352" i="2"/>
  <c r="LH351" i="2"/>
  <c r="LA351" i="2"/>
  <c r="JY351" i="2"/>
  <c r="LH350" i="2"/>
  <c r="IN350" i="2"/>
  <c r="LH349" i="2"/>
  <c r="FR349" i="2"/>
  <c r="LH348" i="2"/>
  <c r="LH347" i="2"/>
  <c r="KZ347" i="2"/>
  <c r="IN347" i="2"/>
  <c r="BP347" i="2"/>
  <c r="LH346" i="2"/>
  <c r="LH345" i="2"/>
  <c r="EG345" i="2"/>
  <c r="LH344" i="2"/>
  <c r="LA344" i="2"/>
  <c r="JY344" i="2"/>
  <c r="HC344" i="2"/>
  <c r="EG344" i="2"/>
  <c r="Z344" i="2"/>
  <c r="LH343" i="2"/>
  <c r="LA343" i="2"/>
  <c r="KZ343" i="2"/>
  <c r="KY343" i="2"/>
  <c r="KW343" i="2"/>
  <c r="KV343" i="2"/>
  <c r="KU343" i="2"/>
  <c r="JY343" i="2"/>
  <c r="JE343" i="2"/>
  <c r="IP343" i="2"/>
  <c r="IN343" i="2"/>
  <c r="HT343" i="2"/>
  <c r="HE343" i="2"/>
  <c r="HC343" i="2"/>
  <c r="GI343" i="2"/>
  <c r="EX343" i="2"/>
  <c r="EM343" i="2"/>
  <c r="EI343" i="2"/>
  <c r="EG343" i="2"/>
  <c r="DM343" i="2"/>
  <c r="CX343" i="2"/>
  <c r="CV343" i="2"/>
  <c r="CB343" i="2"/>
  <c r="BO343" i="2"/>
  <c r="BM343" i="2"/>
  <c r="BK343" i="2"/>
  <c r="AQ343" i="2"/>
  <c r="LH342" i="2"/>
  <c r="DM342" i="2"/>
  <c r="LH341" i="2"/>
  <c r="CB341" i="2"/>
  <c r="AQ341" i="2"/>
  <c r="LH340" i="2"/>
  <c r="KX340" i="2"/>
  <c r="FR340" i="2"/>
  <c r="EG340" i="2"/>
  <c r="CB340" i="2"/>
  <c r="BK340" i="2"/>
  <c r="AQ340" i="2"/>
  <c r="LH339" i="2"/>
  <c r="DM339" i="2"/>
  <c r="CI339" i="2"/>
  <c r="AQ339" i="2"/>
  <c r="LH338" i="2"/>
  <c r="CB338" i="2"/>
  <c r="LH337" i="2"/>
  <c r="HT337" i="2"/>
  <c r="CB337" i="2"/>
  <c r="BK337" i="2"/>
  <c r="BA337" i="2"/>
  <c r="LH336" i="2"/>
  <c r="KZ336" i="2"/>
  <c r="IN336" i="2"/>
  <c r="BA336" i="2"/>
  <c r="LH335" i="2"/>
  <c r="IN335" i="2"/>
  <c r="GP335" i="2"/>
  <c r="FE335" i="2"/>
  <c r="DT335" i="2"/>
  <c r="CI335" i="2"/>
  <c r="CB335" i="2"/>
  <c r="BA335" i="2"/>
  <c r="M335" i="2"/>
  <c r="LH334" i="2"/>
  <c r="KZ334" i="2"/>
  <c r="KY334" i="2"/>
  <c r="KW334" i="2"/>
  <c r="KV334" i="2"/>
  <c r="KU334" i="2"/>
  <c r="KT334" i="2"/>
  <c r="IN334" i="2"/>
  <c r="HT334" i="2"/>
  <c r="HC334" i="2"/>
  <c r="GI334" i="2"/>
  <c r="FE334" i="2"/>
  <c r="EX334" i="2"/>
  <c r="EG334" i="2"/>
  <c r="DM334" i="2"/>
  <c r="CX334" i="2"/>
  <c r="CV334" i="2"/>
  <c r="CB334" i="2"/>
  <c r="BK334" i="2"/>
  <c r="BA334" i="2"/>
  <c r="AQ334" i="2"/>
  <c r="Z334" i="2"/>
  <c r="LH333" i="2"/>
  <c r="LH332" i="2"/>
  <c r="LA332" i="2"/>
  <c r="JY332" i="2"/>
  <c r="JE332" i="2"/>
  <c r="HT332" i="2"/>
  <c r="GI332" i="2"/>
  <c r="EX332" i="2"/>
  <c r="CB332" i="2"/>
  <c r="LH331" i="2"/>
  <c r="GI331" i="2"/>
  <c r="FR331" i="2"/>
  <c r="LH330" i="2"/>
  <c r="LA330" i="2"/>
  <c r="KP330" i="2"/>
  <c r="JY330" i="2"/>
  <c r="EX330" i="2"/>
  <c r="DW330" i="2"/>
  <c r="CB330" i="2"/>
  <c r="LH329" i="2"/>
  <c r="CV329" i="2"/>
  <c r="LH328" i="2"/>
  <c r="EX328" i="2"/>
  <c r="AX328" i="2"/>
  <c r="LH327" i="2"/>
  <c r="CB327" i="2"/>
  <c r="BA327" i="2"/>
  <c r="AQ327" i="2"/>
  <c r="LH326" i="2"/>
  <c r="KW326" i="2"/>
  <c r="KU326" i="2"/>
  <c r="EG326" i="2"/>
  <c r="DM326" i="2"/>
  <c r="CB326" i="2"/>
  <c r="BM326" i="2"/>
  <c r="BK326" i="2"/>
  <c r="LH325" i="2"/>
  <c r="LK325" i="2" s="1"/>
  <c r="LL325" i="2" s="1"/>
  <c r="LU325" i="2" s="1"/>
  <c r="LH324" i="2"/>
  <c r="LH323" i="2"/>
  <c r="KX323" i="2"/>
  <c r="KV323" i="2"/>
  <c r="FR323" i="2"/>
  <c r="EG323" i="2"/>
  <c r="CX323" i="2"/>
  <c r="CV323" i="2"/>
  <c r="CI323" i="2"/>
  <c r="LH322" i="2"/>
  <c r="LH321" i="2"/>
  <c r="CB321" i="2"/>
  <c r="LH319" i="2"/>
  <c r="LK319" i="2" s="1"/>
  <c r="LL319" i="2" s="1"/>
  <c r="KU319" i="2"/>
  <c r="BK319" i="2"/>
  <c r="ML319" i="2"/>
  <c r="MK319" i="2"/>
  <c r="MJ319" i="2"/>
  <c r="MI319" i="2"/>
  <c r="MH319" i="2"/>
  <c r="MG319" i="2"/>
  <c r="MD319" i="2"/>
  <c r="KN319" i="2"/>
  <c r="KL319" i="2"/>
  <c r="KJ319" i="2"/>
  <c r="KH319" i="2"/>
  <c r="KF319" i="2"/>
  <c r="KD319" i="2"/>
  <c r="KB319" i="2"/>
  <c r="JZ319" i="2"/>
  <c r="JP319" i="2"/>
  <c r="JM319" i="2"/>
  <c r="JK319" i="2"/>
  <c r="JC319" i="2"/>
  <c r="JA319" i="2"/>
  <c r="IY319" i="2"/>
  <c r="IW319" i="2"/>
  <c r="IU319" i="2"/>
  <c r="IS319" i="2"/>
  <c r="IQ319" i="2"/>
  <c r="IO319" i="2"/>
  <c r="IE319" i="2"/>
  <c r="IB319" i="2"/>
  <c r="HZ319" i="2"/>
  <c r="HR319" i="2"/>
  <c r="HP319" i="2"/>
  <c r="HN319" i="2"/>
  <c r="HL319" i="2"/>
  <c r="HJ319" i="2"/>
  <c r="HH319" i="2"/>
  <c r="HF319" i="2"/>
  <c r="HD319" i="2"/>
  <c r="GT319" i="2"/>
  <c r="GQ319" i="2"/>
  <c r="GO319" i="2"/>
  <c r="GG319" i="2"/>
  <c r="GE319" i="2"/>
  <c r="GC319" i="2"/>
  <c r="GA319" i="2"/>
  <c r="FY319" i="2"/>
  <c r="FW319" i="2"/>
  <c r="FU319" i="2"/>
  <c r="FS319" i="2"/>
  <c r="FI319" i="2"/>
  <c r="FF319" i="2"/>
  <c r="FD319" i="2"/>
  <c r="EV319" i="2"/>
  <c r="ET319" i="2"/>
  <c r="ER319" i="2"/>
  <c r="EP319" i="2"/>
  <c r="EN319" i="2"/>
  <c r="EL319" i="2"/>
  <c r="EJ319" i="2"/>
  <c r="EH319" i="2"/>
  <c r="DX319" i="2"/>
  <c r="DU319" i="2"/>
  <c r="DS319" i="2"/>
  <c r="DK319" i="2"/>
  <c r="DI319" i="2"/>
  <c r="DG319" i="2"/>
  <c r="DE319" i="2"/>
  <c r="DC319" i="2"/>
  <c r="DA319" i="2"/>
  <c r="CY319" i="2"/>
  <c r="CW319" i="2"/>
  <c r="CM319" i="2"/>
  <c r="CJ319" i="2"/>
  <c r="CH319" i="2"/>
  <c r="BZ319" i="2"/>
  <c r="BX319" i="2"/>
  <c r="BV319" i="2"/>
  <c r="BT319" i="2"/>
  <c r="BR319" i="2"/>
  <c r="BP319" i="2"/>
  <c r="BN319" i="2"/>
  <c r="BB319" i="2"/>
  <c r="AW319" i="2"/>
  <c r="AO319" i="2"/>
  <c r="AM319" i="2"/>
  <c r="AK319" i="2"/>
  <c r="AI319" i="2"/>
  <c r="AG319" i="2"/>
  <c r="AE319" i="2"/>
  <c r="AC319" i="2"/>
  <c r="AA319" i="2"/>
  <c r="Q319" i="2"/>
  <c r="L319" i="2"/>
  <c r="LH320" i="2"/>
  <c r="CB320" i="2"/>
  <c r="LH318" i="2"/>
  <c r="LH317" i="2"/>
  <c r="LA317" i="2"/>
  <c r="KZ317" i="2"/>
  <c r="KX317" i="2"/>
  <c r="KU317" i="2"/>
  <c r="JY317" i="2"/>
  <c r="IN317" i="2"/>
  <c r="HT317" i="2"/>
  <c r="GI317" i="2"/>
  <c r="FX317" i="2"/>
  <c r="FV317" i="2"/>
  <c r="FT317" i="2"/>
  <c r="FR317" i="2"/>
  <c r="FH317" i="2"/>
  <c r="EI317" i="2"/>
  <c r="EG317" i="2"/>
  <c r="DM317" i="2"/>
  <c r="CI317" i="2"/>
  <c r="CB317" i="2"/>
  <c r="BQ317" i="2"/>
  <c r="BO317" i="2"/>
  <c r="BM317" i="2"/>
  <c r="BK317" i="2"/>
  <c r="BA317" i="2"/>
  <c r="F317" i="2"/>
  <c r="E317" i="2"/>
  <c r="LH316" i="2"/>
  <c r="DM316" i="2"/>
  <c r="DB316" i="2"/>
  <c r="CV316" i="2"/>
  <c r="I316" i="2"/>
  <c r="LH315" i="2"/>
  <c r="I315" i="2"/>
  <c r="LH314" i="2"/>
  <c r="KT314" i="2"/>
  <c r="CB314" i="2"/>
  <c r="AX314" i="2"/>
  <c r="I314" i="2"/>
  <c r="LH313" i="2"/>
  <c r="DM313" i="2"/>
  <c r="CX313" i="2"/>
  <c r="CV313" i="2"/>
  <c r="I313" i="2"/>
  <c r="LH312" i="2"/>
  <c r="GI312" i="2"/>
  <c r="DM312" i="2"/>
  <c r="AQ312" i="2"/>
  <c r="I312" i="2"/>
  <c r="LH311" i="2"/>
  <c r="DM311" i="2"/>
  <c r="I311" i="2"/>
  <c r="LH310" i="2"/>
  <c r="KU310" i="2"/>
  <c r="CB310" i="2"/>
  <c r="BM310" i="2"/>
  <c r="BK310" i="2"/>
  <c r="LH309" i="2"/>
  <c r="KZ309" i="2"/>
  <c r="KY309" i="2"/>
  <c r="JE309" i="2"/>
  <c r="IP309" i="2"/>
  <c r="IN309" i="2"/>
  <c r="HT309" i="2"/>
  <c r="HE309" i="2"/>
  <c r="HC309" i="2"/>
  <c r="DM309" i="2"/>
  <c r="AQ309" i="2"/>
  <c r="LH308" i="2"/>
  <c r="JY308" i="2"/>
  <c r="DM308" i="2"/>
  <c r="CZ308" i="2"/>
  <c r="CI308" i="2"/>
  <c r="CB308" i="2"/>
  <c r="LH307" i="2"/>
  <c r="JE307" i="2"/>
  <c r="HT307" i="2"/>
  <c r="GS307" i="2"/>
  <c r="CB307" i="2"/>
  <c r="AX307" i="2"/>
  <c r="LH306" i="2"/>
  <c r="CB306" i="2"/>
  <c r="AX306" i="2"/>
  <c r="LH305" i="2"/>
  <c r="LA305" i="2"/>
  <c r="KX305" i="2"/>
  <c r="KU305" i="2"/>
  <c r="JY305" i="2"/>
  <c r="IN305" i="2"/>
  <c r="HC305" i="2"/>
  <c r="FR305" i="2"/>
  <c r="DT305" i="2"/>
  <c r="BO305" i="2"/>
  <c r="BM305" i="2"/>
  <c r="BK305" i="2"/>
  <c r="Z305" i="2"/>
  <c r="LH304" i="2"/>
  <c r="KT304" i="2"/>
  <c r="DM304" i="2"/>
  <c r="Z304" i="2"/>
  <c r="LH303" i="2"/>
  <c r="EX303" i="2"/>
  <c r="CB303" i="2"/>
  <c r="LH302" i="2"/>
  <c r="JY302" i="2"/>
  <c r="EG302" i="2"/>
  <c r="DT302" i="2"/>
  <c r="DM302" i="2"/>
  <c r="CB302" i="2"/>
  <c r="LH301" i="2"/>
  <c r="LA301" i="2"/>
  <c r="JY301" i="2"/>
  <c r="EX301" i="2"/>
  <c r="DM301" i="2"/>
  <c r="CB301" i="2"/>
  <c r="AX301" i="2"/>
  <c r="AQ301" i="2"/>
  <c r="Z301" i="2"/>
  <c r="P301" i="2"/>
  <c r="I301" i="2"/>
  <c r="LH300" i="2"/>
  <c r="CB300" i="2"/>
  <c r="AX300" i="2"/>
  <c r="I300" i="2"/>
  <c r="LH299" i="2"/>
  <c r="DT299" i="2"/>
  <c r="CB299" i="2"/>
  <c r="I299" i="2"/>
  <c r="LH298" i="2"/>
  <c r="LK298" i="2" s="1"/>
  <c r="LL298" i="2" s="1"/>
  <c r="BA298" i="2"/>
  <c r="I298" i="2"/>
  <c r="LH297" i="2"/>
  <c r="EX297" i="2"/>
  <c r="LH296" i="2"/>
  <c r="KY296" i="2"/>
  <c r="HZ296" i="2"/>
  <c r="HT296" i="2"/>
  <c r="HE296" i="2"/>
  <c r="CI296" i="2"/>
  <c r="CB296" i="2"/>
  <c r="LH295" i="2"/>
  <c r="JE295" i="2"/>
  <c r="HT295" i="2"/>
  <c r="GI295" i="2"/>
  <c r="DT295" i="2"/>
  <c r="CB295" i="2"/>
  <c r="BL295" i="2"/>
  <c r="L295" i="2"/>
  <c r="LH294" i="2"/>
  <c r="KU294" i="2"/>
  <c r="BK294" i="2"/>
  <c r="AQ294" i="2"/>
  <c r="M294" i="2"/>
  <c r="ML403" i="2"/>
  <c r="MK403" i="2"/>
  <c r="MJ403" i="2"/>
  <c r="MI403" i="2"/>
  <c r="MH403" i="2"/>
  <c r="MG403" i="2"/>
  <c r="MD403" i="2"/>
  <c r="MA403" i="2"/>
  <c r="LK403" i="2"/>
  <c r="LL403" i="2" s="1"/>
  <c r="KN403" i="2"/>
  <c r="KL403" i="2"/>
  <c r="KJ403" i="2"/>
  <c r="KH403" i="2"/>
  <c r="KF403" i="2"/>
  <c r="KD403" i="2"/>
  <c r="KB403" i="2"/>
  <c r="JZ403" i="2"/>
  <c r="JP403" i="2"/>
  <c r="JM403" i="2"/>
  <c r="JK403" i="2"/>
  <c r="JC403" i="2"/>
  <c r="JA403" i="2"/>
  <c r="IY403" i="2"/>
  <c r="IW403" i="2"/>
  <c r="IU403" i="2"/>
  <c r="IS403" i="2"/>
  <c r="IQ403" i="2"/>
  <c r="IO403" i="2"/>
  <c r="IE403" i="2"/>
  <c r="IB403" i="2"/>
  <c r="HZ403" i="2"/>
  <c r="HR403" i="2"/>
  <c r="HP403" i="2"/>
  <c r="HN403" i="2"/>
  <c r="HL403" i="2"/>
  <c r="HJ403" i="2"/>
  <c r="HH403" i="2"/>
  <c r="HF403" i="2"/>
  <c r="HD403" i="2"/>
  <c r="GT403" i="2"/>
  <c r="GQ403" i="2"/>
  <c r="GO403" i="2"/>
  <c r="GG403" i="2"/>
  <c r="GE403" i="2"/>
  <c r="GC403" i="2"/>
  <c r="GA403" i="2"/>
  <c r="FY403" i="2"/>
  <c r="FW403" i="2"/>
  <c r="FU403" i="2"/>
  <c r="FS403" i="2"/>
  <c r="FI403" i="2"/>
  <c r="FF403" i="2"/>
  <c r="FD403" i="2"/>
  <c r="EV403" i="2"/>
  <c r="ET403" i="2"/>
  <c r="ER403" i="2"/>
  <c r="EP403" i="2"/>
  <c r="EN403" i="2"/>
  <c r="EL403" i="2"/>
  <c r="EJ403" i="2"/>
  <c r="EH403" i="2"/>
  <c r="DX403" i="2"/>
  <c r="DU403" i="2"/>
  <c r="DS403" i="2"/>
  <c r="DK403" i="2"/>
  <c r="DI403" i="2"/>
  <c r="DG403" i="2"/>
  <c r="DE403" i="2"/>
  <c r="DC403" i="2"/>
  <c r="DA403" i="2"/>
  <c r="CY403" i="2"/>
  <c r="CW403" i="2"/>
  <c r="CM403" i="2"/>
  <c r="CJ403" i="2"/>
  <c r="CH403" i="2"/>
  <c r="BZ403" i="2"/>
  <c r="BX403" i="2"/>
  <c r="BV403" i="2"/>
  <c r="BT403" i="2"/>
  <c r="BR403" i="2"/>
  <c r="BP403" i="2"/>
  <c r="BN403" i="2"/>
  <c r="BL403" i="2"/>
  <c r="BB403" i="2"/>
  <c r="AW403" i="2"/>
  <c r="AO403" i="2"/>
  <c r="AM403" i="2"/>
  <c r="AK403" i="2"/>
  <c r="AI403" i="2"/>
  <c r="AG403" i="2"/>
  <c r="AE403" i="2"/>
  <c r="AC403" i="2"/>
  <c r="AA403" i="2"/>
  <c r="Q403" i="2"/>
  <c r="L403" i="2"/>
  <c r="ML402" i="2"/>
  <c r="MK402" i="2"/>
  <c r="MJ402" i="2"/>
  <c r="MI402" i="2"/>
  <c r="MH402" i="2"/>
  <c r="MG402" i="2"/>
  <c r="MD402" i="2"/>
  <c r="MA402" i="2"/>
  <c r="LK402" i="2"/>
  <c r="LL402" i="2" s="1"/>
  <c r="CD402" i="2" s="1"/>
  <c r="MF402" i="2" s="1"/>
  <c r="KN402" i="2"/>
  <c r="KL402" i="2"/>
  <c r="KJ402" i="2"/>
  <c r="KH402" i="2"/>
  <c r="KF402" i="2"/>
  <c r="KD402" i="2"/>
  <c r="KB402" i="2"/>
  <c r="JZ402" i="2"/>
  <c r="JP402" i="2"/>
  <c r="JM402" i="2"/>
  <c r="JK402" i="2"/>
  <c r="JC402" i="2"/>
  <c r="JA402" i="2"/>
  <c r="IY402" i="2"/>
  <c r="IW402" i="2"/>
  <c r="IU402" i="2"/>
  <c r="IS402" i="2"/>
  <c r="IQ402" i="2"/>
  <c r="IO402" i="2"/>
  <c r="IE402" i="2"/>
  <c r="IB402" i="2"/>
  <c r="HZ402" i="2"/>
  <c r="HR402" i="2"/>
  <c r="HP402" i="2"/>
  <c r="HN402" i="2"/>
  <c r="HL402" i="2"/>
  <c r="HJ402" i="2"/>
  <c r="HH402" i="2"/>
  <c r="HF402" i="2"/>
  <c r="HD402" i="2"/>
  <c r="GT402" i="2"/>
  <c r="GQ402" i="2"/>
  <c r="GO402" i="2"/>
  <c r="GG402" i="2"/>
  <c r="GE402" i="2"/>
  <c r="GC402" i="2"/>
  <c r="GA402" i="2"/>
  <c r="FY402" i="2"/>
  <c r="FW402" i="2"/>
  <c r="FU402" i="2"/>
  <c r="FS402" i="2"/>
  <c r="FI402" i="2"/>
  <c r="FF402" i="2"/>
  <c r="FD402" i="2"/>
  <c r="EV402" i="2"/>
  <c r="ET402" i="2"/>
  <c r="ER402" i="2"/>
  <c r="EP402" i="2"/>
  <c r="EN402" i="2"/>
  <c r="EL402" i="2"/>
  <c r="EJ402" i="2"/>
  <c r="EH402" i="2"/>
  <c r="DX402" i="2"/>
  <c r="DU402" i="2"/>
  <c r="DS402" i="2"/>
  <c r="DK402" i="2"/>
  <c r="DI402" i="2"/>
  <c r="DG402" i="2"/>
  <c r="DE402" i="2"/>
  <c r="DC402" i="2"/>
  <c r="DA402" i="2"/>
  <c r="CY402" i="2"/>
  <c r="CW402" i="2"/>
  <c r="CM402" i="2"/>
  <c r="CJ402" i="2"/>
  <c r="CH402" i="2"/>
  <c r="BZ402" i="2"/>
  <c r="BX402" i="2"/>
  <c r="BV402" i="2"/>
  <c r="BT402" i="2"/>
  <c r="BR402" i="2"/>
  <c r="BP402" i="2"/>
  <c r="BN402" i="2"/>
  <c r="BL402" i="2"/>
  <c r="BB402" i="2"/>
  <c r="AW402" i="2"/>
  <c r="AO402" i="2"/>
  <c r="AM402" i="2"/>
  <c r="AK402" i="2"/>
  <c r="AI402" i="2"/>
  <c r="AG402" i="2"/>
  <c r="AE402" i="2"/>
  <c r="AC402" i="2"/>
  <c r="AA402" i="2"/>
  <c r="Q402" i="2"/>
  <c r="L402" i="2"/>
  <c r="ML401" i="2"/>
  <c r="MK401" i="2"/>
  <c r="MJ401" i="2"/>
  <c r="MI401" i="2"/>
  <c r="MH401" i="2"/>
  <c r="MD401" i="2"/>
  <c r="MA401" i="2"/>
  <c r="LK401" i="2"/>
  <c r="LL401" i="2" s="1"/>
  <c r="KN401" i="2"/>
  <c r="KL401" i="2"/>
  <c r="KJ401" i="2"/>
  <c r="KH401" i="2"/>
  <c r="KF401" i="2"/>
  <c r="KD401" i="2"/>
  <c r="KB401" i="2"/>
  <c r="JZ401" i="2"/>
  <c r="JP401" i="2"/>
  <c r="JM401" i="2"/>
  <c r="JK401" i="2"/>
  <c r="JC401" i="2"/>
  <c r="JA401" i="2"/>
  <c r="IY401" i="2"/>
  <c r="IW401" i="2"/>
  <c r="IU401" i="2"/>
  <c r="IS401" i="2"/>
  <c r="IQ401" i="2"/>
  <c r="IO401" i="2"/>
  <c r="IE401" i="2"/>
  <c r="IB401" i="2"/>
  <c r="HZ401" i="2"/>
  <c r="HR401" i="2"/>
  <c r="HP401" i="2"/>
  <c r="HN401" i="2"/>
  <c r="HL401" i="2"/>
  <c r="HJ401" i="2"/>
  <c r="HH401" i="2"/>
  <c r="HF401" i="2"/>
  <c r="HD401" i="2"/>
  <c r="GT401" i="2"/>
  <c r="GQ401" i="2"/>
  <c r="GO401" i="2"/>
  <c r="GG401" i="2"/>
  <c r="GE401" i="2"/>
  <c r="GC401" i="2"/>
  <c r="GA401" i="2"/>
  <c r="FY401" i="2"/>
  <c r="FW401" i="2"/>
  <c r="FU401" i="2"/>
  <c r="FS401" i="2"/>
  <c r="FI401" i="2"/>
  <c r="FF401" i="2"/>
  <c r="FD401" i="2"/>
  <c r="EV401" i="2"/>
  <c r="ET401" i="2"/>
  <c r="ER401" i="2"/>
  <c r="EP401" i="2"/>
  <c r="EN401" i="2"/>
  <c r="EL401" i="2"/>
  <c r="EJ401" i="2"/>
  <c r="EH401" i="2"/>
  <c r="DX401" i="2"/>
  <c r="DU401" i="2"/>
  <c r="DS401" i="2"/>
  <c r="DK401" i="2"/>
  <c r="DI401" i="2"/>
  <c r="DG401" i="2"/>
  <c r="DE401" i="2"/>
  <c r="DC401" i="2"/>
  <c r="DA401" i="2"/>
  <c r="CY401" i="2"/>
  <c r="CW401" i="2"/>
  <c r="CM401" i="2"/>
  <c r="CH401" i="2"/>
  <c r="BZ401" i="2"/>
  <c r="BX401" i="2"/>
  <c r="BV401" i="2"/>
  <c r="BT401" i="2"/>
  <c r="BR401" i="2"/>
  <c r="BP401" i="2"/>
  <c r="BN401" i="2"/>
  <c r="BL401" i="2"/>
  <c r="BB401" i="2"/>
  <c r="AW401" i="2"/>
  <c r="AO401" i="2"/>
  <c r="AM401" i="2"/>
  <c r="AK401" i="2"/>
  <c r="AI401" i="2"/>
  <c r="AG401" i="2"/>
  <c r="AE401" i="2"/>
  <c r="AC401" i="2"/>
  <c r="AA401" i="2"/>
  <c r="Q401" i="2"/>
  <c r="L401" i="2"/>
  <c r="MD400" i="2"/>
  <c r="MA400" i="2"/>
  <c r="LK400" i="2"/>
  <c r="LL400" i="2" s="1"/>
  <c r="KN400" i="2"/>
  <c r="KL400" i="2"/>
  <c r="KJ400" i="2"/>
  <c r="KH400" i="2"/>
  <c r="KF400" i="2"/>
  <c r="KD400" i="2"/>
  <c r="KB400" i="2"/>
  <c r="JZ400" i="2"/>
  <c r="JP400" i="2"/>
  <c r="JK400" i="2"/>
  <c r="JC400" i="2"/>
  <c r="JA400" i="2"/>
  <c r="IY400" i="2"/>
  <c r="IW400" i="2"/>
  <c r="IU400" i="2"/>
  <c r="IS400" i="2"/>
  <c r="IQ400" i="2"/>
  <c r="IO400" i="2"/>
  <c r="IE400" i="2"/>
  <c r="HZ400" i="2"/>
  <c r="HR400" i="2"/>
  <c r="HP400" i="2"/>
  <c r="HN400" i="2"/>
  <c r="HL400" i="2"/>
  <c r="HJ400" i="2"/>
  <c r="HH400" i="2"/>
  <c r="HF400" i="2"/>
  <c r="HD400" i="2"/>
  <c r="GT400" i="2"/>
  <c r="GO400" i="2"/>
  <c r="GG400" i="2"/>
  <c r="GE400" i="2"/>
  <c r="GC400" i="2"/>
  <c r="GA400" i="2"/>
  <c r="FY400" i="2"/>
  <c r="FW400" i="2"/>
  <c r="FU400" i="2"/>
  <c r="FS400" i="2"/>
  <c r="FI400" i="2"/>
  <c r="FD400" i="2"/>
  <c r="EV400" i="2"/>
  <c r="ET400" i="2"/>
  <c r="ER400" i="2"/>
  <c r="EP400" i="2"/>
  <c r="EN400" i="2"/>
  <c r="EL400" i="2"/>
  <c r="EJ400" i="2"/>
  <c r="EH400" i="2"/>
  <c r="DX400" i="2"/>
  <c r="DS400" i="2"/>
  <c r="DK400" i="2"/>
  <c r="DI400" i="2"/>
  <c r="DG400" i="2"/>
  <c r="DE400" i="2"/>
  <c r="DC400" i="2"/>
  <c r="DA400" i="2"/>
  <c r="CY400" i="2"/>
  <c r="CW400" i="2"/>
  <c r="CM400" i="2"/>
  <c r="CH400" i="2"/>
  <c r="BZ400" i="2"/>
  <c r="BX400" i="2"/>
  <c r="BV400" i="2"/>
  <c r="BT400" i="2"/>
  <c r="BR400" i="2"/>
  <c r="BP400" i="2"/>
  <c r="BN400" i="2"/>
  <c r="BL400" i="2"/>
  <c r="BB400" i="2"/>
  <c r="AW400" i="2"/>
  <c r="AO400" i="2"/>
  <c r="AM400" i="2"/>
  <c r="AK400" i="2"/>
  <c r="AI400" i="2"/>
  <c r="AG400" i="2"/>
  <c r="AE400" i="2"/>
  <c r="AC400" i="2"/>
  <c r="AA400" i="2"/>
  <c r="Q400" i="2"/>
  <c r="L400" i="2"/>
  <c r="MD399" i="2"/>
  <c r="MA399" i="2"/>
  <c r="LK399" i="2"/>
  <c r="LL399" i="2" s="1"/>
  <c r="KN399" i="2"/>
  <c r="KL399" i="2"/>
  <c r="KJ399" i="2"/>
  <c r="KH399" i="2"/>
  <c r="KF399" i="2"/>
  <c r="KD399" i="2"/>
  <c r="KB399" i="2"/>
  <c r="JZ399" i="2"/>
  <c r="JP399" i="2"/>
  <c r="JK399" i="2"/>
  <c r="JC399" i="2"/>
  <c r="JA399" i="2"/>
  <c r="IY399" i="2"/>
  <c r="IW399" i="2"/>
  <c r="IU399" i="2"/>
  <c r="IS399" i="2"/>
  <c r="IQ399" i="2"/>
  <c r="IO399" i="2"/>
  <c r="IE399" i="2"/>
  <c r="HZ399" i="2"/>
  <c r="HR399" i="2"/>
  <c r="HP399" i="2"/>
  <c r="HN399" i="2"/>
  <c r="HL399" i="2"/>
  <c r="HJ399" i="2"/>
  <c r="HH399" i="2"/>
  <c r="HF399" i="2"/>
  <c r="HD399" i="2"/>
  <c r="GT399" i="2"/>
  <c r="GO399" i="2"/>
  <c r="GG399" i="2"/>
  <c r="GE399" i="2"/>
  <c r="GC399" i="2"/>
  <c r="GA399" i="2"/>
  <c r="FY399" i="2"/>
  <c r="FW399" i="2"/>
  <c r="FU399" i="2"/>
  <c r="FS399" i="2"/>
  <c r="FI399" i="2"/>
  <c r="FD399" i="2"/>
  <c r="EV399" i="2"/>
  <c r="ET399" i="2"/>
  <c r="ER399" i="2"/>
  <c r="EP399" i="2"/>
  <c r="EN399" i="2"/>
  <c r="EL399" i="2"/>
  <c r="EJ399" i="2"/>
  <c r="EH399" i="2"/>
  <c r="DX399" i="2"/>
  <c r="DS399" i="2"/>
  <c r="DK399" i="2"/>
  <c r="DI399" i="2"/>
  <c r="DG399" i="2"/>
  <c r="DE399" i="2"/>
  <c r="DC399" i="2"/>
  <c r="DA399" i="2"/>
  <c r="CY399" i="2"/>
  <c r="CW399" i="2"/>
  <c r="CH399" i="2"/>
  <c r="BZ399" i="2"/>
  <c r="BX399" i="2"/>
  <c r="BV399" i="2"/>
  <c r="BT399" i="2"/>
  <c r="BR399" i="2"/>
  <c r="BP399" i="2"/>
  <c r="BN399" i="2"/>
  <c r="BL399" i="2"/>
  <c r="BB399" i="2"/>
  <c r="AW399" i="2"/>
  <c r="AO399" i="2"/>
  <c r="AM399" i="2"/>
  <c r="AK399" i="2"/>
  <c r="AI399" i="2"/>
  <c r="AG399" i="2"/>
  <c r="AE399" i="2"/>
  <c r="AC399" i="2"/>
  <c r="AA399" i="2"/>
  <c r="Q399" i="2"/>
  <c r="L399" i="2"/>
  <c r="ML398" i="2"/>
  <c r="MD398" i="2"/>
  <c r="MA398" i="2"/>
  <c r="LK398" i="2"/>
  <c r="LL398" i="2" s="1"/>
  <c r="KN398" i="2"/>
  <c r="KL398" i="2"/>
  <c r="KJ398" i="2"/>
  <c r="KH398" i="2"/>
  <c r="KF398" i="2"/>
  <c r="KD398" i="2"/>
  <c r="KB398" i="2"/>
  <c r="JZ398" i="2"/>
  <c r="JP398" i="2"/>
  <c r="JM398" i="2"/>
  <c r="JK398" i="2"/>
  <c r="JC398" i="2"/>
  <c r="JA398" i="2"/>
  <c r="IY398" i="2"/>
  <c r="IW398" i="2"/>
  <c r="IU398" i="2"/>
  <c r="IS398" i="2"/>
  <c r="IQ398" i="2"/>
  <c r="IO398" i="2"/>
  <c r="IE398" i="2"/>
  <c r="HZ398" i="2"/>
  <c r="HR398" i="2"/>
  <c r="HP398" i="2"/>
  <c r="HN398" i="2"/>
  <c r="HL398" i="2"/>
  <c r="HJ398" i="2"/>
  <c r="HH398" i="2"/>
  <c r="HF398" i="2"/>
  <c r="HD398" i="2"/>
  <c r="GT398" i="2"/>
  <c r="GO398" i="2"/>
  <c r="GG398" i="2"/>
  <c r="GE398" i="2"/>
  <c r="GC398" i="2"/>
  <c r="GA398" i="2"/>
  <c r="FY398" i="2"/>
  <c r="FW398" i="2"/>
  <c r="FU398" i="2"/>
  <c r="FS398" i="2"/>
  <c r="FI398" i="2"/>
  <c r="FD398" i="2"/>
  <c r="EV398" i="2"/>
  <c r="ET398" i="2"/>
  <c r="ER398" i="2"/>
  <c r="EP398" i="2"/>
  <c r="EN398" i="2"/>
  <c r="EL398" i="2"/>
  <c r="EJ398" i="2"/>
  <c r="EH398" i="2"/>
  <c r="DX398" i="2"/>
  <c r="DS398" i="2"/>
  <c r="DK398" i="2"/>
  <c r="DI398" i="2"/>
  <c r="DG398" i="2"/>
  <c r="DE398" i="2"/>
  <c r="DC398" i="2"/>
  <c r="DA398" i="2"/>
  <c r="CY398" i="2"/>
  <c r="CW398" i="2"/>
  <c r="CM398" i="2"/>
  <c r="CJ398" i="2"/>
  <c r="CH398" i="2"/>
  <c r="BZ398" i="2"/>
  <c r="BX398" i="2"/>
  <c r="BV398" i="2"/>
  <c r="BT398" i="2"/>
  <c r="BR398" i="2"/>
  <c r="BP398" i="2"/>
  <c r="BN398" i="2"/>
  <c r="BL398" i="2"/>
  <c r="BB398" i="2"/>
  <c r="AY398" i="2"/>
  <c r="AW398" i="2"/>
  <c r="AO398" i="2"/>
  <c r="AM398" i="2"/>
  <c r="AK398" i="2"/>
  <c r="AI398" i="2"/>
  <c r="AG398" i="2"/>
  <c r="AE398" i="2"/>
  <c r="AC398" i="2"/>
  <c r="AA398" i="2"/>
  <c r="Q398" i="2"/>
  <c r="L398" i="2"/>
  <c r="MD397" i="2"/>
  <c r="MA397" i="2"/>
  <c r="LK397" i="2"/>
  <c r="LL397" i="2" s="1"/>
  <c r="KN397" i="2"/>
  <c r="KL397" i="2"/>
  <c r="KJ397" i="2"/>
  <c r="KH397" i="2"/>
  <c r="KF397" i="2"/>
  <c r="KD397" i="2"/>
  <c r="KB397" i="2"/>
  <c r="JZ397" i="2"/>
  <c r="JP397" i="2"/>
  <c r="JK397" i="2"/>
  <c r="JC397" i="2"/>
  <c r="JA397" i="2"/>
  <c r="IY397" i="2"/>
  <c r="IW397" i="2"/>
  <c r="IU397" i="2"/>
  <c r="IS397" i="2"/>
  <c r="IQ397" i="2"/>
  <c r="IO397" i="2"/>
  <c r="IE397" i="2"/>
  <c r="HZ397" i="2"/>
  <c r="HR397" i="2"/>
  <c r="HP397" i="2"/>
  <c r="HN397" i="2"/>
  <c r="HL397" i="2"/>
  <c r="HJ397" i="2"/>
  <c r="HH397" i="2"/>
  <c r="HF397" i="2"/>
  <c r="HD397" i="2"/>
  <c r="GT397" i="2"/>
  <c r="GO397" i="2"/>
  <c r="GG397" i="2"/>
  <c r="GE397" i="2"/>
  <c r="GC397" i="2"/>
  <c r="GA397" i="2"/>
  <c r="FY397" i="2"/>
  <c r="FW397" i="2"/>
  <c r="FU397" i="2"/>
  <c r="FS397" i="2"/>
  <c r="FI397" i="2"/>
  <c r="FF397" i="2"/>
  <c r="FD397" i="2"/>
  <c r="EV397" i="2"/>
  <c r="ET397" i="2"/>
  <c r="ER397" i="2"/>
  <c r="EP397" i="2"/>
  <c r="EN397" i="2"/>
  <c r="EL397" i="2"/>
  <c r="EJ397" i="2"/>
  <c r="EH397" i="2"/>
  <c r="DX397" i="2"/>
  <c r="DS397" i="2"/>
  <c r="DK397" i="2"/>
  <c r="DI397" i="2"/>
  <c r="DG397" i="2"/>
  <c r="DE397" i="2"/>
  <c r="DC397" i="2"/>
  <c r="DA397" i="2"/>
  <c r="CY397" i="2"/>
  <c r="CW397" i="2"/>
  <c r="CM397" i="2"/>
  <c r="CH397" i="2"/>
  <c r="BZ397" i="2"/>
  <c r="BX397" i="2"/>
  <c r="BV397" i="2"/>
  <c r="BT397" i="2"/>
  <c r="BR397" i="2"/>
  <c r="BP397" i="2"/>
  <c r="BN397" i="2"/>
  <c r="BL397" i="2"/>
  <c r="BB397" i="2"/>
  <c r="AW397" i="2"/>
  <c r="AO397" i="2"/>
  <c r="AM397" i="2"/>
  <c r="AK397" i="2"/>
  <c r="AI397" i="2"/>
  <c r="AG397" i="2"/>
  <c r="AE397" i="2"/>
  <c r="AC397" i="2"/>
  <c r="AA397" i="2"/>
  <c r="Q397" i="2"/>
  <c r="L397" i="2"/>
  <c r="MD396" i="2"/>
  <c r="MA396" i="2"/>
  <c r="LK396" i="2"/>
  <c r="LL396" i="2" s="1"/>
  <c r="KN396" i="2"/>
  <c r="KL396" i="2"/>
  <c r="KJ396" i="2"/>
  <c r="KH396" i="2"/>
  <c r="KF396" i="2"/>
  <c r="KD396" i="2"/>
  <c r="KB396" i="2"/>
  <c r="JZ396" i="2"/>
  <c r="JP396" i="2"/>
  <c r="JM396" i="2"/>
  <c r="JK396" i="2"/>
  <c r="JC396" i="2"/>
  <c r="JA396" i="2"/>
  <c r="IY396" i="2"/>
  <c r="IW396" i="2"/>
  <c r="IU396" i="2"/>
  <c r="IS396" i="2"/>
  <c r="IQ396" i="2"/>
  <c r="IO396" i="2"/>
  <c r="IE396" i="2"/>
  <c r="HZ396" i="2"/>
  <c r="HR396" i="2"/>
  <c r="HP396" i="2"/>
  <c r="HN396" i="2"/>
  <c r="HL396" i="2"/>
  <c r="HJ396" i="2"/>
  <c r="HH396" i="2"/>
  <c r="HF396" i="2"/>
  <c r="HD396" i="2"/>
  <c r="GT396" i="2"/>
  <c r="GO396" i="2"/>
  <c r="GG396" i="2"/>
  <c r="GE396" i="2"/>
  <c r="GC396" i="2"/>
  <c r="GA396" i="2"/>
  <c r="FY396" i="2"/>
  <c r="FW396" i="2"/>
  <c r="FU396" i="2"/>
  <c r="FS396" i="2"/>
  <c r="FI396" i="2"/>
  <c r="FD396" i="2"/>
  <c r="EV396" i="2"/>
  <c r="ET396" i="2"/>
  <c r="ER396" i="2"/>
  <c r="EP396" i="2"/>
  <c r="EN396" i="2"/>
  <c r="EL396" i="2"/>
  <c r="EJ396" i="2"/>
  <c r="EH396" i="2"/>
  <c r="DX396" i="2"/>
  <c r="DS396" i="2"/>
  <c r="DK396" i="2"/>
  <c r="DI396" i="2"/>
  <c r="DG396" i="2"/>
  <c r="DE396" i="2"/>
  <c r="DC396" i="2"/>
  <c r="DA396" i="2"/>
  <c r="CY396" i="2"/>
  <c r="CW396" i="2"/>
  <c r="CM396" i="2"/>
  <c r="CJ396" i="2"/>
  <c r="CH396" i="2"/>
  <c r="BZ396" i="2"/>
  <c r="BX396" i="2"/>
  <c r="BV396" i="2"/>
  <c r="BT396" i="2"/>
  <c r="BR396" i="2"/>
  <c r="BP396" i="2"/>
  <c r="BN396" i="2"/>
  <c r="BL396" i="2"/>
  <c r="BB396" i="2"/>
  <c r="AW396" i="2"/>
  <c r="AO396" i="2"/>
  <c r="AM396" i="2"/>
  <c r="AK396" i="2"/>
  <c r="AI396" i="2"/>
  <c r="AG396" i="2"/>
  <c r="AE396" i="2"/>
  <c r="AC396" i="2"/>
  <c r="AA396" i="2"/>
  <c r="L396" i="2"/>
  <c r="ML395" i="2"/>
  <c r="MD395" i="2"/>
  <c r="MA395" i="2"/>
  <c r="LK395" i="2"/>
  <c r="LL395" i="2" s="1"/>
  <c r="KN395" i="2"/>
  <c r="KL395" i="2"/>
  <c r="KJ395" i="2"/>
  <c r="KH395" i="2"/>
  <c r="KF395" i="2"/>
  <c r="KD395" i="2"/>
  <c r="KB395" i="2"/>
  <c r="JZ395" i="2"/>
  <c r="JP395" i="2"/>
  <c r="JM395" i="2"/>
  <c r="JK395" i="2"/>
  <c r="JC395" i="2"/>
  <c r="JA395" i="2"/>
  <c r="IY395" i="2"/>
  <c r="IW395" i="2"/>
  <c r="IU395" i="2"/>
  <c r="IS395" i="2"/>
  <c r="IQ395" i="2"/>
  <c r="IO395" i="2"/>
  <c r="IE395" i="2"/>
  <c r="HZ395" i="2"/>
  <c r="HR395" i="2"/>
  <c r="HP395" i="2"/>
  <c r="HN395" i="2"/>
  <c r="HL395" i="2"/>
  <c r="HJ395" i="2"/>
  <c r="HH395" i="2"/>
  <c r="HF395" i="2"/>
  <c r="HD395" i="2"/>
  <c r="GT395" i="2"/>
  <c r="GO395" i="2"/>
  <c r="GG395" i="2"/>
  <c r="GE395" i="2"/>
  <c r="GC395" i="2"/>
  <c r="GA395" i="2"/>
  <c r="FY395" i="2"/>
  <c r="FW395" i="2"/>
  <c r="FU395" i="2"/>
  <c r="FS395" i="2"/>
  <c r="FI395" i="2"/>
  <c r="FD395" i="2"/>
  <c r="EV395" i="2"/>
  <c r="ET395" i="2"/>
  <c r="ER395" i="2"/>
  <c r="EP395" i="2"/>
  <c r="EN395" i="2"/>
  <c r="EL395" i="2"/>
  <c r="EJ395" i="2"/>
  <c r="EH395" i="2"/>
  <c r="DS395" i="2"/>
  <c r="DK395" i="2"/>
  <c r="DI395" i="2"/>
  <c r="DG395" i="2"/>
  <c r="DE395" i="2"/>
  <c r="DC395" i="2"/>
  <c r="DA395" i="2"/>
  <c r="CY395" i="2"/>
  <c r="CW395" i="2"/>
  <c r="CM395" i="2"/>
  <c r="CH395" i="2"/>
  <c r="BZ395" i="2"/>
  <c r="BX395" i="2"/>
  <c r="BV395" i="2"/>
  <c r="BT395" i="2"/>
  <c r="BR395" i="2"/>
  <c r="BP395" i="2"/>
  <c r="BN395" i="2"/>
  <c r="BL395" i="2"/>
  <c r="AW395" i="2"/>
  <c r="AO395" i="2"/>
  <c r="AM395" i="2"/>
  <c r="AK395" i="2"/>
  <c r="AI395" i="2"/>
  <c r="AG395" i="2"/>
  <c r="AE395" i="2"/>
  <c r="AC395" i="2"/>
  <c r="AA395" i="2"/>
  <c r="Q395" i="2"/>
  <c r="L395" i="2"/>
  <c r="ML394" i="2"/>
  <c r="MD394" i="2"/>
  <c r="MA394" i="2"/>
  <c r="LK394" i="2"/>
  <c r="LL394" i="2" s="1"/>
  <c r="KN394" i="2"/>
  <c r="KL394" i="2"/>
  <c r="KJ394" i="2"/>
  <c r="KH394" i="2"/>
  <c r="KF394" i="2"/>
  <c r="KD394" i="2"/>
  <c r="KB394" i="2"/>
  <c r="JZ394" i="2"/>
  <c r="JP394" i="2"/>
  <c r="JM394" i="2"/>
  <c r="JK394" i="2"/>
  <c r="JC394" i="2"/>
  <c r="JA394" i="2"/>
  <c r="IY394" i="2"/>
  <c r="IW394" i="2"/>
  <c r="IU394" i="2"/>
  <c r="IS394" i="2"/>
  <c r="IQ394" i="2"/>
  <c r="IO394" i="2"/>
  <c r="IE394" i="2"/>
  <c r="HZ394" i="2"/>
  <c r="HR394" i="2"/>
  <c r="HP394" i="2"/>
  <c r="HN394" i="2"/>
  <c r="HL394" i="2"/>
  <c r="HJ394" i="2"/>
  <c r="HH394" i="2"/>
  <c r="HF394" i="2"/>
  <c r="HD394" i="2"/>
  <c r="GT394" i="2"/>
  <c r="GO394" i="2"/>
  <c r="GG394" i="2"/>
  <c r="GE394" i="2"/>
  <c r="GC394" i="2"/>
  <c r="GA394" i="2"/>
  <c r="FY394" i="2"/>
  <c r="FW394" i="2"/>
  <c r="FU394" i="2"/>
  <c r="FS394" i="2"/>
  <c r="FI394" i="2"/>
  <c r="FD394" i="2"/>
  <c r="EV394" i="2"/>
  <c r="ET394" i="2"/>
  <c r="ER394" i="2"/>
  <c r="EP394" i="2"/>
  <c r="EN394" i="2"/>
  <c r="EL394" i="2"/>
  <c r="EJ394" i="2"/>
  <c r="EH394" i="2"/>
  <c r="DX394" i="2"/>
  <c r="DS394" i="2"/>
  <c r="DK394" i="2"/>
  <c r="DI394" i="2"/>
  <c r="DG394" i="2"/>
  <c r="DE394" i="2"/>
  <c r="DC394" i="2"/>
  <c r="DA394" i="2"/>
  <c r="CY394" i="2"/>
  <c r="CW394" i="2"/>
  <c r="CM394" i="2"/>
  <c r="CH394" i="2"/>
  <c r="BZ394" i="2"/>
  <c r="BX394" i="2"/>
  <c r="BV394" i="2"/>
  <c r="BT394" i="2"/>
  <c r="BR394" i="2"/>
  <c r="BP394" i="2"/>
  <c r="BN394" i="2"/>
  <c r="BL394" i="2"/>
  <c r="AW394" i="2"/>
  <c r="AO394" i="2"/>
  <c r="AM394" i="2"/>
  <c r="AK394" i="2"/>
  <c r="AI394" i="2"/>
  <c r="AG394" i="2"/>
  <c r="AE394" i="2"/>
  <c r="AC394" i="2"/>
  <c r="AA394" i="2"/>
  <c r="Q394" i="2"/>
  <c r="L394" i="2"/>
  <c r="ML393" i="2"/>
  <c r="MD393" i="2"/>
  <c r="MA393" i="2"/>
  <c r="LK393" i="2"/>
  <c r="LL393" i="2" s="1"/>
  <c r="KN393" i="2"/>
  <c r="KL393" i="2"/>
  <c r="KJ393" i="2"/>
  <c r="KH393" i="2"/>
  <c r="KF393" i="2"/>
  <c r="KD393" i="2"/>
  <c r="KB393" i="2"/>
  <c r="JZ393" i="2"/>
  <c r="JP393" i="2"/>
  <c r="JM393" i="2"/>
  <c r="JK393" i="2"/>
  <c r="JC393" i="2"/>
  <c r="JA393" i="2"/>
  <c r="IY393" i="2"/>
  <c r="IW393" i="2"/>
  <c r="IU393" i="2"/>
  <c r="IS393" i="2"/>
  <c r="IQ393" i="2"/>
  <c r="IO393" i="2"/>
  <c r="IE393" i="2"/>
  <c r="HZ393" i="2"/>
  <c r="HR393" i="2"/>
  <c r="HP393" i="2"/>
  <c r="HN393" i="2"/>
  <c r="HL393" i="2"/>
  <c r="HJ393" i="2"/>
  <c r="HH393" i="2"/>
  <c r="HF393" i="2"/>
  <c r="HD393" i="2"/>
  <c r="GT393" i="2"/>
  <c r="GO393" i="2"/>
  <c r="GG393" i="2"/>
  <c r="GE393" i="2"/>
  <c r="GC393" i="2"/>
  <c r="GA393" i="2"/>
  <c r="FY393" i="2"/>
  <c r="FW393" i="2"/>
  <c r="FU393" i="2"/>
  <c r="FS393" i="2"/>
  <c r="FI393" i="2"/>
  <c r="FF393" i="2"/>
  <c r="FD393" i="2"/>
  <c r="EV393" i="2"/>
  <c r="ET393" i="2"/>
  <c r="ER393" i="2"/>
  <c r="EP393" i="2"/>
  <c r="EN393" i="2"/>
  <c r="EL393" i="2"/>
  <c r="EJ393" i="2"/>
  <c r="EH393" i="2"/>
  <c r="DX393" i="2"/>
  <c r="DS393" i="2"/>
  <c r="DK393" i="2"/>
  <c r="DI393" i="2"/>
  <c r="DG393" i="2"/>
  <c r="DE393" i="2"/>
  <c r="DC393" i="2"/>
  <c r="DA393" i="2"/>
  <c r="CY393" i="2"/>
  <c r="CW393" i="2"/>
  <c r="CM393" i="2"/>
  <c r="CJ393" i="2"/>
  <c r="CH393" i="2"/>
  <c r="BZ393" i="2"/>
  <c r="BX393" i="2"/>
  <c r="BV393" i="2"/>
  <c r="BT393" i="2"/>
  <c r="BR393" i="2"/>
  <c r="BP393" i="2"/>
  <c r="BN393" i="2"/>
  <c r="BL393" i="2"/>
  <c r="BB393" i="2"/>
  <c r="AW393" i="2"/>
  <c r="AO393" i="2"/>
  <c r="AM393" i="2"/>
  <c r="AK393" i="2"/>
  <c r="AI393" i="2"/>
  <c r="AG393" i="2"/>
  <c r="AE393" i="2"/>
  <c r="AC393" i="2"/>
  <c r="AA393" i="2"/>
  <c r="Q393" i="2"/>
  <c r="L393" i="2"/>
  <c r="ML392" i="2"/>
  <c r="MD392" i="2"/>
  <c r="MA392" i="2"/>
  <c r="LK392" i="2"/>
  <c r="LL392" i="2" s="1"/>
  <c r="KN392" i="2"/>
  <c r="KL392" i="2"/>
  <c r="KJ392" i="2"/>
  <c r="KH392" i="2"/>
  <c r="KF392" i="2"/>
  <c r="KD392" i="2"/>
  <c r="KB392" i="2"/>
  <c r="JZ392" i="2"/>
  <c r="JP392" i="2"/>
  <c r="JM392" i="2"/>
  <c r="JK392" i="2"/>
  <c r="JC392" i="2"/>
  <c r="JA392" i="2"/>
  <c r="IY392" i="2"/>
  <c r="IW392" i="2"/>
  <c r="IU392" i="2"/>
  <c r="IS392" i="2"/>
  <c r="IQ392" i="2"/>
  <c r="IO392" i="2"/>
  <c r="IE392" i="2"/>
  <c r="HZ392" i="2"/>
  <c r="HR392" i="2"/>
  <c r="HP392" i="2"/>
  <c r="HN392" i="2"/>
  <c r="HL392" i="2"/>
  <c r="HJ392" i="2"/>
  <c r="HH392" i="2"/>
  <c r="HF392" i="2"/>
  <c r="HD392" i="2"/>
  <c r="GT392" i="2"/>
  <c r="GO392" i="2"/>
  <c r="GG392" i="2"/>
  <c r="GE392" i="2"/>
  <c r="GC392" i="2"/>
  <c r="GA392" i="2"/>
  <c r="FY392" i="2"/>
  <c r="FW392" i="2"/>
  <c r="FU392" i="2"/>
  <c r="FS392" i="2"/>
  <c r="FI392" i="2"/>
  <c r="FD392" i="2"/>
  <c r="EV392" i="2"/>
  <c r="ET392" i="2"/>
  <c r="ER392" i="2"/>
  <c r="EP392" i="2"/>
  <c r="EN392" i="2"/>
  <c r="EL392" i="2"/>
  <c r="EJ392" i="2"/>
  <c r="EH392" i="2"/>
  <c r="DX392" i="2"/>
  <c r="DS392" i="2"/>
  <c r="DK392" i="2"/>
  <c r="DI392" i="2"/>
  <c r="DG392" i="2"/>
  <c r="DE392" i="2"/>
  <c r="DC392" i="2"/>
  <c r="DA392" i="2"/>
  <c r="CY392" i="2"/>
  <c r="CW392" i="2"/>
  <c r="CM392" i="2"/>
  <c r="CJ392" i="2"/>
  <c r="CH392" i="2"/>
  <c r="BZ392" i="2"/>
  <c r="BX392" i="2"/>
  <c r="BV392" i="2"/>
  <c r="BT392" i="2"/>
  <c r="BR392" i="2"/>
  <c r="BP392" i="2"/>
  <c r="BN392" i="2"/>
  <c r="BL392" i="2"/>
  <c r="BB392" i="2"/>
  <c r="AW392" i="2"/>
  <c r="AO392" i="2"/>
  <c r="AM392" i="2"/>
  <c r="AK392" i="2"/>
  <c r="AI392" i="2"/>
  <c r="AG392" i="2"/>
  <c r="AE392" i="2"/>
  <c r="AC392" i="2"/>
  <c r="AA392" i="2"/>
  <c r="Q392" i="2"/>
  <c r="L392" i="2"/>
  <c r="MD391" i="2"/>
  <c r="MA391" i="2"/>
  <c r="LK391" i="2"/>
  <c r="LL391" i="2" s="1"/>
  <c r="KN391" i="2"/>
  <c r="KL391" i="2"/>
  <c r="KJ391" i="2"/>
  <c r="KH391" i="2"/>
  <c r="KF391" i="2"/>
  <c r="KD391" i="2"/>
  <c r="KB391" i="2"/>
  <c r="JZ391" i="2"/>
  <c r="JP391" i="2"/>
  <c r="JK391" i="2"/>
  <c r="JC391" i="2"/>
  <c r="JA391" i="2"/>
  <c r="IY391" i="2"/>
  <c r="IW391" i="2"/>
  <c r="IU391" i="2"/>
  <c r="IS391" i="2"/>
  <c r="IQ391" i="2"/>
  <c r="IO391" i="2"/>
  <c r="IE391" i="2"/>
  <c r="HZ391" i="2"/>
  <c r="HR391" i="2"/>
  <c r="HP391" i="2"/>
  <c r="HN391" i="2"/>
  <c r="HL391" i="2"/>
  <c r="HJ391" i="2"/>
  <c r="HH391" i="2"/>
  <c r="HF391" i="2"/>
  <c r="HD391" i="2"/>
  <c r="GT391" i="2"/>
  <c r="GO391" i="2"/>
  <c r="GG391" i="2"/>
  <c r="GE391" i="2"/>
  <c r="GC391" i="2"/>
  <c r="GA391" i="2"/>
  <c r="FY391" i="2"/>
  <c r="FW391" i="2"/>
  <c r="FU391" i="2"/>
  <c r="FS391" i="2"/>
  <c r="FI391" i="2"/>
  <c r="FD391" i="2"/>
  <c r="EV391" i="2"/>
  <c r="ET391" i="2"/>
  <c r="ER391" i="2"/>
  <c r="EP391" i="2"/>
  <c r="EN391" i="2"/>
  <c r="EL391" i="2"/>
  <c r="EJ391" i="2"/>
  <c r="EH391" i="2"/>
  <c r="DS391" i="2"/>
  <c r="DK391" i="2"/>
  <c r="DI391" i="2"/>
  <c r="DG391" i="2"/>
  <c r="DE391" i="2"/>
  <c r="DC391" i="2"/>
  <c r="DA391" i="2"/>
  <c r="CY391" i="2"/>
  <c r="CW391" i="2"/>
  <c r="CM391" i="2"/>
  <c r="CH391" i="2"/>
  <c r="BZ391" i="2"/>
  <c r="BX391" i="2"/>
  <c r="BV391" i="2"/>
  <c r="BT391" i="2"/>
  <c r="BR391" i="2"/>
  <c r="BP391" i="2"/>
  <c r="BN391" i="2"/>
  <c r="BL391" i="2"/>
  <c r="BB391" i="2"/>
  <c r="AW391" i="2"/>
  <c r="AO391" i="2"/>
  <c r="AM391" i="2"/>
  <c r="AK391" i="2"/>
  <c r="AI391" i="2"/>
  <c r="AG391" i="2"/>
  <c r="AE391" i="2"/>
  <c r="AC391" i="2"/>
  <c r="AA391" i="2"/>
  <c r="Q391" i="2"/>
  <c r="L391" i="2"/>
  <c r="MD390" i="2"/>
  <c r="MA390" i="2"/>
  <c r="LK390" i="2"/>
  <c r="LL390" i="2" s="1"/>
  <c r="LM390" i="2" s="1"/>
  <c r="KN390" i="2"/>
  <c r="KL390" i="2"/>
  <c r="KJ390" i="2"/>
  <c r="KH390" i="2"/>
  <c r="KF390" i="2"/>
  <c r="KD390" i="2"/>
  <c r="KB390" i="2"/>
  <c r="JZ390" i="2"/>
  <c r="JP390" i="2"/>
  <c r="JK390" i="2"/>
  <c r="JC390" i="2"/>
  <c r="JA390" i="2"/>
  <c r="IY390" i="2"/>
  <c r="IW390" i="2"/>
  <c r="IU390" i="2"/>
  <c r="IS390" i="2"/>
  <c r="IQ390" i="2"/>
  <c r="IO390" i="2"/>
  <c r="IE390" i="2"/>
  <c r="HZ390" i="2"/>
  <c r="HR390" i="2"/>
  <c r="HP390" i="2"/>
  <c r="HN390" i="2"/>
  <c r="HL390" i="2"/>
  <c r="HJ390" i="2"/>
  <c r="HH390" i="2"/>
  <c r="HF390" i="2"/>
  <c r="HD390" i="2"/>
  <c r="GT390" i="2"/>
  <c r="GO390" i="2"/>
  <c r="GG390" i="2"/>
  <c r="GE390" i="2"/>
  <c r="GC390" i="2"/>
  <c r="GA390" i="2"/>
  <c r="FY390" i="2"/>
  <c r="FW390" i="2"/>
  <c r="FU390" i="2"/>
  <c r="FS390" i="2"/>
  <c r="FI390" i="2"/>
  <c r="FD390" i="2"/>
  <c r="EV390" i="2"/>
  <c r="ET390" i="2"/>
  <c r="ER390" i="2"/>
  <c r="EP390" i="2"/>
  <c r="EN390" i="2"/>
  <c r="EL390" i="2"/>
  <c r="EJ390" i="2"/>
  <c r="EH390" i="2"/>
  <c r="DX390" i="2"/>
  <c r="DS390" i="2"/>
  <c r="DK390" i="2"/>
  <c r="DI390" i="2"/>
  <c r="DG390" i="2"/>
  <c r="DE390" i="2"/>
  <c r="DC390" i="2"/>
  <c r="DA390" i="2"/>
  <c r="CY390" i="2"/>
  <c r="CW390" i="2"/>
  <c r="CM390" i="2"/>
  <c r="CJ390" i="2"/>
  <c r="CH390" i="2"/>
  <c r="BZ390" i="2"/>
  <c r="BX390" i="2"/>
  <c r="BV390" i="2"/>
  <c r="BT390" i="2"/>
  <c r="BR390" i="2"/>
  <c r="BP390" i="2"/>
  <c r="BN390" i="2"/>
  <c r="BL390" i="2"/>
  <c r="BB390" i="2"/>
  <c r="AW390" i="2"/>
  <c r="AO390" i="2"/>
  <c r="AM390" i="2"/>
  <c r="AK390" i="2"/>
  <c r="AI390" i="2"/>
  <c r="AG390" i="2"/>
  <c r="AE390" i="2"/>
  <c r="AC390" i="2"/>
  <c r="AA390" i="2"/>
  <c r="Q390" i="2"/>
  <c r="L390" i="2"/>
  <c r="MD389" i="2"/>
  <c r="MA389" i="2"/>
  <c r="LK389" i="2"/>
  <c r="LL389" i="2" s="1"/>
  <c r="KN389" i="2"/>
  <c r="KL389" i="2"/>
  <c r="KJ389" i="2"/>
  <c r="KH389" i="2"/>
  <c r="KF389" i="2"/>
  <c r="KD389" i="2"/>
  <c r="KB389" i="2"/>
  <c r="JZ389" i="2"/>
  <c r="JP389" i="2"/>
  <c r="JK389" i="2"/>
  <c r="JC389" i="2"/>
  <c r="JA389" i="2"/>
  <c r="IY389" i="2"/>
  <c r="IW389" i="2"/>
  <c r="IU389" i="2"/>
  <c r="IS389" i="2"/>
  <c r="IQ389" i="2"/>
  <c r="IO389" i="2"/>
  <c r="IE389" i="2"/>
  <c r="HZ389" i="2"/>
  <c r="HR389" i="2"/>
  <c r="HP389" i="2"/>
  <c r="HN389" i="2"/>
  <c r="HL389" i="2"/>
  <c r="HJ389" i="2"/>
  <c r="HH389" i="2"/>
  <c r="HF389" i="2"/>
  <c r="HD389" i="2"/>
  <c r="GT389" i="2"/>
  <c r="GO389" i="2"/>
  <c r="GG389" i="2"/>
  <c r="GE389" i="2"/>
  <c r="GC389" i="2"/>
  <c r="GA389" i="2"/>
  <c r="FY389" i="2"/>
  <c r="FW389" i="2"/>
  <c r="FU389" i="2"/>
  <c r="FS389" i="2"/>
  <c r="FI389" i="2"/>
  <c r="FD389" i="2"/>
  <c r="EV389" i="2"/>
  <c r="ET389" i="2"/>
  <c r="ER389" i="2"/>
  <c r="EP389" i="2"/>
  <c r="EN389" i="2"/>
  <c r="EL389" i="2"/>
  <c r="EJ389" i="2"/>
  <c r="EH389" i="2"/>
  <c r="DX389" i="2"/>
  <c r="DS389" i="2"/>
  <c r="DK389" i="2"/>
  <c r="DI389" i="2"/>
  <c r="DG389" i="2"/>
  <c r="DE389" i="2"/>
  <c r="DC389" i="2"/>
  <c r="DA389" i="2"/>
  <c r="CY389" i="2"/>
  <c r="CW389" i="2"/>
  <c r="CM389" i="2"/>
  <c r="CH389" i="2"/>
  <c r="BZ389" i="2"/>
  <c r="BX389" i="2"/>
  <c r="BV389" i="2"/>
  <c r="BT389" i="2"/>
  <c r="BR389" i="2"/>
  <c r="BP389" i="2"/>
  <c r="BN389" i="2"/>
  <c r="BL389" i="2"/>
  <c r="BB389" i="2"/>
  <c r="AW389" i="2"/>
  <c r="AO389" i="2"/>
  <c r="AM389" i="2"/>
  <c r="AK389" i="2"/>
  <c r="AI389" i="2"/>
  <c r="AG389" i="2"/>
  <c r="AE389" i="2"/>
  <c r="AC389" i="2"/>
  <c r="AA389" i="2"/>
  <c r="Q389" i="2"/>
  <c r="L389" i="2"/>
  <c r="MD388" i="2"/>
  <c r="MA388" i="2"/>
  <c r="LK388" i="2"/>
  <c r="LL388" i="2" s="1"/>
  <c r="KN388" i="2"/>
  <c r="KL388" i="2"/>
  <c r="KJ388" i="2"/>
  <c r="KH388" i="2"/>
  <c r="KF388" i="2"/>
  <c r="KD388" i="2"/>
  <c r="KB388" i="2"/>
  <c r="JZ388" i="2"/>
  <c r="JP388" i="2"/>
  <c r="JK388" i="2"/>
  <c r="JC388" i="2"/>
  <c r="JA388" i="2"/>
  <c r="IY388" i="2"/>
  <c r="IW388" i="2"/>
  <c r="IU388" i="2"/>
  <c r="IS388" i="2"/>
  <c r="IQ388" i="2"/>
  <c r="IO388" i="2"/>
  <c r="IE388" i="2"/>
  <c r="HZ388" i="2"/>
  <c r="HR388" i="2"/>
  <c r="HP388" i="2"/>
  <c r="HN388" i="2"/>
  <c r="HL388" i="2"/>
  <c r="HJ388" i="2"/>
  <c r="HH388" i="2"/>
  <c r="HF388" i="2"/>
  <c r="HD388" i="2"/>
  <c r="GT388" i="2"/>
  <c r="GO388" i="2"/>
  <c r="GG388" i="2"/>
  <c r="GE388" i="2"/>
  <c r="GC388" i="2"/>
  <c r="GA388" i="2"/>
  <c r="FY388" i="2"/>
  <c r="FW388" i="2"/>
  <c r="FU388" i="2"/>
  <c r="FS388" i="2"/>
  <c r="FI388" i="2"/>
  <c r="FD388" i="2"/>
  <c r="EV388" i="2"/>
  <c r="ET388" i="2"/>
  <c r="ER388" i="2"/>
  <c r="EP388" i="2"/>
  <c r="EN388" i="2"/>
  <c r="EL388" i="2"/>
  <c r="EJ388" i="2"/>
  <c r="EH388" i="2"/>
  <c r="DX388" i="2"/>
  <c r="DS388" i="2"/>
  <c r="DK388" i="2"/>
  <c r="DI388" i="2"/>
  <c r="DG388" i="2"/>
  <c r="DE388" i="2"/>
  <c r="DC388" i="2"/>
  <c r="DA388" i="2"/>
  <c r="CY388" i="2"/>
  <c r="CW388" i="2"/>
  <c r="CM388" i="2"/>
  <c r="CJ388" i="2"/>
  <c r="CH388" i="2"/>
  <c r="BZ388" i="2"/>
  <c r="BX388" i="2"/>
  <c r="BV388" i="2"/>
  <c r="BT388" i="2"/>
  <c r="BR388" i="2"/>
  <c r="BP388" i="2"/>
  <c r="BN388" i="2"/>
  <c r="BL388" i="2"/>
  <c r="BB388" i="2"/>
  <c r="AW388" i="2"/>
  <c r="AO388" i="2"/>
  <c r="AM388" i="2"/>
  <c r="AK388" i="2"/>
  <c r="AI388" i="2"/>
  <c r="AG388" i="2"/>
  <c r="AE388" i="2"/>
  <c r="AC388" i="2"/>
  <c r="AA388" i="2"/>
  <c r="Q388" i="2"/>
  <c r="L388" i="2"/>
  <c r="MD387" i="2"/>
  <c r="MA387" i="2"/>
  <c r="LK387" i="2"/>
  <c r="LL387" i="2" s="1"/>
  <c r="KN387" i="2"/>
  <c r="KL387" i="2"/>
  <c r="KJ387" i="2"/>
  <c r="KH387" i="2"/>
  <c r="KF387" i="2"/>
  <c r="KD387" i="2"/>
  <c r="KB387" i="2"/>
  <c r="JZ387" i="2"/>
  <c r="JP387" i="2"/>
  <c r="JK387" i="2"/>
  <c r="JC387" i="2"/>
  <c r="JA387" i="2"/>
  <c r="IY387" i="2"/>
  <c r="IW387" i="2"/>
  <c r="IU387" i="2"/>
  <c r="IS387" i="2"/>
  <c r="IQ387" i="2"/>
  <c r="IO387" i="2"/>
  <c r="IE387" i="2"/>
  <c r="HZ387" i="2"/>
  <c r="HR387" i="2"/>
  <c r="HP387" i="2"/>
  <c r="HN387" i="2"/>
  <c r="HL387" i="2"/>
  <c r="HJ387" i="2"/>
  <c r="HH387" i="2"/>
  <c r="HF387" i="2"/>
  <c r="HD387" i="2"/>
  <c r="GT387" i="2"/>
  <c r="GO387" i="2"/>
  <c r="GG387" i="2"/>
  <c r="GE387" i="2"/>
  <c r="GC387" i="2"/>
  <c r="GA387" i="2"/>
  <c r="FY387" i="2"/>
  <c r="FW387" i="2"/>
  <c r="FU387" i="2"/>
  <c r="FS387" i="2"/>
  <c r="FI387" i="2"/>
  <c r="FD387" i="2"/>
  <c r="EV387" i="2"/>
  <c r="ET387" i="2"/>
  <c r="ER387" i="2"/>
  <c r="EP387" i="2"/>
  <c r="EN387" i="2"/>
  <c r="EL387" i="2"/>
  <c r="EJ387" i="2"/>
  <c r="EH387" i="2"/>
  <c r="DX387" i="2"/>
  <c r="DU387" i="2"/>
  <c r="DS387" i="2"/>
  <c r="DK387" i="2"/>
  <c r="DI387" i="2"/>
  <c r="DG387" i="2"/>
  <c r="DE387" i="2"/>
  <c r="DC387" i="2"/>
  <c r="DA387" i="2"/>
  <c r="CY387" i="2"/>
  <c r="CW387" i="2"/>
  <c r="CM387" i="2"/>
  <c r="CH387" i="2"/>
  <c r="BZ387" i="2"/>
  <c r="BX387" i="2"/>
  <c r="BV387" i="2"/>
  <c r="BT387" i="2"/>
  <c r="BR387" i="2"/>
  <c r="BP387" i="2"/>
  <c r="BN387" i="2"/>
  <c r="BL387" i="2"/>
  <c r="BB387" i="2"/>
  <c r="AW387" i="2"/>
  <c r="AO387" i="2"/>
  <c r="AM387" i="2"/>
  <c r="AK387" i="2"/>
  <c r="AI387" i="2"/>
  <c r="AG387" i="2"/>
  <c r="AE387" i="2"/>
  <c r="AC387" i="2"/>
  <c r="AA387" i="2"/>
  <c r="Q387" i="2"/>
  <c r="L387" i="2"/>
  <c r="ML386" i="2"/>
  <c r="MD386" i="2"/>
  <c r="MA386" i="2"/>
  <c r="LK386" i="2"/>
  <c r="LL386" i="2" s="1"/>
  <c r="KN386" i="2"/>
  <c r="KL386" i="2"/>
  <c r="KJ386" i="2"/>
  <c r="KH386" i="2"/>
  <c r="KF386" i="2"/>
  <c r="KD386" i="2"/>
  <c r="KB386" i="2"/>
  <c r="JZ386" i="2"/>
  <c r="JP386" i="2"/>
  <c r="JM386" i="2"/>
  <c r="JK386" i="2"/>
  <c r="JC386" i="2"/>
  <c r="JA386" i="2"/>
  <c r="IY386" i="2"/>
  <c r="IW386" i="2"/>
  <c r="IU386" i="2"/>
  <c r="IS386" i="2"/>
  <c r="IQ386" i="2"/>
  <c r="IO386" i="2"/>
  <c r="IE386" i="2"/>
  <c r="HZ386" i="2"/>
  <c r="HR386" i="2"/>
  <c r="HP386" i="2"/>
  <c r="HN386" i="2"/>
  <c r="HL386" i="2"/>
  <c r="HJ386" i="2"/>
  <c r="HH386" i="2"/>
  <c r="HF386" i="2"/>
  <c r="HD386" i="2"/>
  <c r="GT386" i="2"/>
  <c r="GO386" i="2"/>
  <c r="GG386" i="2"/>
  <c r="GE386" i="2"/>
  <c r="GC386" i="2"/>
  <c r="GA386" i="2"/>
  <c r="FY386" i="2"/>
  <c r="FW386" i="2"/>
  <c r="FU386" i="2"/>
  <c r="FS386" i="2"/>
  <c r="FI386" i="2"/>
  <c r="FD386" i="2"/>
  <c r="EV386" i="2"/>
  <c r="ET386" i="2"/>
  <c r="ER386" i="2"/>
  <c r="EP386" i="2"/>
  <c r="EN386" i="2"/>
  <c r="EL386" i="2"/>
  <c r="EJ386" i="2"/>
  <c r="EH386" i="2"/>
  <c r="DX386" i="2"/>
  <c r="DS386" i="2"/>
  <c r="DK386" i="2"/>
  <c r="DI386" i="2"/>
  <c r="DG386" i="2"/>
  <c r="DE386" i="2"/>
  <c r="DC386" i="2"/>
  <c r="DA386" i="2"/>
  <c r="CY386" i="2"/>
  <c r="CW386" i="2"/>
  <c r="CM386" i="2"/>
  <c r="CH386" i="2"/>
  <c r="BZ386" i="2"/>
  <c r="BX386" i="2"/>
  <c r="BV386" i="2"/>
  <c r="BT386" i="2"/>
  <c r="BR386" i="2"/>
  <c r="BP386" i="2"/>
  <c r="BN386" i="2"/>
  <c r="BL386" i="2"/>
  <c r="BB386" i="2"/>
  <c r="AY386" i="2"/>
  <c r="AW386" i="2"/>
  <c r="AO386" i="2"/>
  <c r="AM386" i="2"/>
  <c r="AK386" i="2"/>
  <c r="AI386" i="2"/>
  <c r="AG386" i="2"/>
  <c r="AE386" i="2"/>
  <c r="AC386" i="2"/>
  <c r="AA386" i="2"/>
  <c r="Q386" i="2"/>
  <c r="L386" i="2"/>
  <c r="MD385" i="2"/>
  <c r="MA385" i="2"/>
  <c r="LK385" i="2"/>
  <c r="LL385" i="2" s="1"/>
  <c r="KN385" i="2"/>
  <c r="KL385" i="2"/>
  <c r="KJ385" i="2"/>
  <c r="KH385" i="2"/>
  <c r="KF385" i="2"/>
  <c r="KD385" i="2"/>
  <c r="KB385" i="2"/>
  <c r="JZ385" i="2"/>
  <c r="JP385" i="2"/>
  <c r="JK385" i="2"/>
  <c r="JC385" i="2"/>
  <c r="JA385" i="2"/>
  <c r="IY385" i="2"/>
  <c r="IW385" i="2"/>
  <c r="IU385" i="2"/>
  <c r="IS385" i="2"/>
  <c r="IQ385" i="2"/>
  <c r="IO385" i="2"/>
  <c r="IE385" i="2"/>
  <c r="HZ385" i="2"/>
  <c r="HR385" i="2"/>
  <c r="HP385" i="2"/>
  <c r="HN385" i="2"/>
  <c r="HL385" i="2"/>
  <c r="HJ385" i="2"/>
  <c r="HH385" i="2"/>
  <c r="HF385" i="2"/>
  <c r="HD385" i="2"/>
  <c r="GT385" i="2"/>
  <c r="GO385" i="2"/>
  <c r="GG385" i="2"/>
  <c r="GE385" i="2"/>
  <c r="GC385" i="2"/>
  <c r="GA385" i="2"/>
  <c r="FY385" i="2"/>
  <c r="FW385" i="2"/>
  <c r="FU385" i="2"/>
  <c r="FS385" i="2"/>
  <c r="FI385" i="2"/>
  <c r="FD385" i="2"/>
  <c r="EV385" i="2"/>
  <c r="ET385" i="2"/>
  <c r="ER385" i="2"/>
  <c r="EP385" i="2"/>
  <c r="EN385" i="2"/>
  <c r="EL385" i="2"/>
  <c r="EJ385" i="2"/>
  <c r="EH385" i="2"/>
  <c r="DX385" i="2"/>
  <c r="DU385" i="2"/>
  <c r="DS385" i="2"/>
  <c r="DK385" i="2"/>
  <c r="DI385" i="2"/>
  <c r="DG385" i="2"/>
  <c r="DE385" i="2"/>
  <c r="DC385" i="2"/>
  <c r="DA385" i="2"/>
  <c r="CY385" i="2"/>
  <c r="CW385" i="2"/>
  <c r="CM385" i="2"/>
  <c r="CH385" i="2"/>
  <c r="BZ385" i="2"/>
  <c r="BX385" i="2"/>
  <c r="BV385" i="2"/>
  <c r="BT385" i="2"/>
  <c r="BR385" i="2"/>
  <c r="BP385" i="2"/>
  <c r="BN385" i="2"/>
  <c r="BL385" i="2"/>
  <c r="BB385" i="2"/>
  <c r="AW385" i="2"/>
  <c r="AO385" i="2"/>
  <c r="AM385" i="2"/>
  <c r="AK385" i="2"/>
  <c r="AI385" i="2"/>
  <c r="AG385" i="2"/>
  <c r="AE385" i="2"/>
  <c r="AC385" i="2"/>
  <c r="AA385" i="2"/>
  <c r="Q385" i="2"/>
  <c r="L385" i="2"/>
  <c r="MD384" i="2"/>
  <c r="MA384" i="2"/>
  <c r="LK384" i="2"/>
  <c r="LL384" i="2" s="1"/>
  <c r="KN384" i="2"/>
  <c r="KL384" i="2"/>
  <c r="KJ384" i="2"/>
  <c r="KH384" i="2"/>
  <c r="KF384" i="2"/>
  <c r="KD384" i="2"/>
  <c r="KB384" i="2"/>
  <c r="JZ384" i="2"/>
  <c r="JP384" i="2"/>
  <c r="JK384" i="2"/>
  <c r="JC384" i="2"/>
  <c r="JA384" i="2"/>
  <c r="IY384" i="2"/>
  <c r="IW384" i="2"/>
  <c r="IU384" i="2"/>
  <c r="IS384" i="2"/>
  <c r="IQ384" i="2"/>
  <c r="IO384" i="2"/>
  <c r="IE384" i="2"/>
  <c r="IB384" i="2"/>
  <c r="HZ384" i="2"/>
  <c r="HR384" i="2"/>
  <c r="HP384" i="2"/>
  <c r="HN384" i="2"/>
  <c r="HL384" i="2"/>
  <c r="HJ384" i="2"/>
  <c r="HH384" i="2"/>
  <c r="HF384" i="2"/>
  <c r="HD384" i="2"/>
  <c r="GT384" i="2"/>
  <c r="GQ384" i="2"/>
  <c r="GO384" i="2"/>
  <c r="GG384" i="2"/>
  <c r="GE384" i="2"/>
  <c r="GC384" i="2"/>
  <c r="GA384" i="2"/>
  <c r="FY384" i="2"/>
  <c r="FW384" i="2"/>
  <c r="FU384" i="2"/>
  <c r="FS384" i="2"/>
  <c r="FI384" i="2"/>
  <c r="FF384" i="2"/>
  <c r="FD384" i="2"/>
  <c r="EV384" i="2"/>
  <c r="ET384" i="2"/>
  <c r="ER384" i="2"/>
  <c r="EP384" i="2"/>
  <c r="EN384" i="2"/>
  <c r="EL384" i="2"/>
  <c r="EJ384" i="2"/>
  <c r="EH384" i="2"/>
  <c r="DX384" i="2"/>
  <c r="DU384" i="2"/>
  <c r="DS384" i="2"/>
  <c r="DK384" i="2"/>
  <c r="DI384" i="2"/>
  <c r="DG384" i="2"/>
  <c r="DE384" i="2"/>
  <c r="DC384" i="2"/>
  <c r="DA384" i="2"/>
  <c r="CY384" i="2"/>
  <c r="CW384" i="2"/>
  <c r="CM384" i="2"/>
  <c r="CJ384" i="2"/>
  <c r="CH384" i="2"/>
  <c r="BZ384" i="2"/>
  <c r="BX384" i="2"/>
  <c r="BV384" i="2"/>
  <c r="BT384" i="2"/>
  <c r="BR384" i="2"/>
  <c r="BP384" i="2"/>
  <c r="BN384" i="2"/>
  <c r="BL384" i="2"/>
  <c r="BB384" i="2"/>
  <c r="AW384" i="2"/>
  <c r="AO384" i="2"/>
  <c r="AM384" i="2"/>
  <c r="AK384" i="2"/>
  <c r="AI384" i="2"/>
  <c r="AG384" i="2"/>
  <c r="AE384" i="2"/>
  <c r="AC384" i="2"/>
  <c r="AA384" i="2"/>
  <c r="Q384" i="2"/>
  <c r="L384" i="2"/>
  <c r="MD383" i="2"/>
  <c r="MA383" i="2"/>
  <c r="LK383" i="2"/>
  <c r="LL383" i="2" s="1"/>
  <c r="KN383" i="2"/>
  <c r="KL383" i="2"/>
  <c r="KJ383" i="2"/>
  <c r="KH383" i="2"/>
  <c r="KF383" i="2"/>
  <c r="KD383" i="2"/>
  <c r="KB383" i="2"/>
  <c r="JZ383" i="2"/>
  <c r="JP383" i="2"/>
  <c r="JK383" i="2"/>
  <c r="JC383" i="2"/>
  <c r="JA383" i="2"/>
  <c r="IY383" i="2"/>
  <c r="IW383" i="2"/>
  <c r="IU383" i="2"/>
  <c r="IS383" i="2"/>
  <c r="IQ383" i="2"/>
  <c r="IO383" i="2"/>
  <c r="IE383" i="2"/>
  <c r="HZ383" i="2"/>
  <c r="HR383" i="2"/>
  <c r="HP383" i="2"/>
  <c r="HN383" i="2"/>
  <c r="HL383" i="2"/>
  <c r="HJ383" i="2"/>
  <c r="HH383" i="2"/>
  <c r="HF383" i="2"/>
  <c r="HD383" i="2"/>
  <c r="GT383" i="2"/>
  <c r="GO383" i="2"/>
  <c r="GG383" i="2"/>
  <c r="GE383" i="2"/>
  <c r="GC383" i="2"/>
  <c r="GA383" i="2"/>
  <c r="FY383" i="2"/>
  <c r="FW383" i="2"/>
  <c r="FU383" i="2"/>
  <c r="FS383" i="2"/>
  <c r="FI383" i="2"/>
  <c r="FD383" i="2"/>
  <c r="EV383" i="2"/>
  <c r="ET383" i="2"/>
  <c r="ER383" i="2"/>
  <c r="EP383" i="2"/>
  <c r="EN383" i="2"/>
  <c r="EL383" i="2"/>
  <c r="EJ383" i="2"/>
  <c r="EH383" i="2"/>
  <c r="DX383" i="2"/>
  <c r="DU383" i="2"/>
  <c r="DS383" i="2"/>
  <c r="DK383" i="2"/>
  <c r="DI383" i="2"/>
  <c r="DG383" i="2"/>
  <c r="DE383" i="2"/>
  <c r="DC383" i="2"/>
  <c r="DA383" i="2"/>
  <c r="CY383" i="2"/>
  <c r="CW383" i="2"/>
  <c r="CM383" i="2"/>
  <c r="CH383" i="2"/>
  <c r="BZ383" i="2"/>
  <c r="BX383" i="2"/>
  <c r="BV383" i="2"/>
  <c r="BT383" i="2"/>
  <c r="BR383" i="2"/>
  <c r="BP383" i="2"/>
  <c r="BN383" i="2"/>
  <c r="BL383" i="2"/>
  <c r="BB383" i="2"/>
  <c r="AW383" i="2"/>
  <c r="AO383" i="2"/>
  <c r="AM383" i="2"/>
  <c r="AK383" i="2"/>
  <c r="AI383" i="2"/>
  <c r="AG383" i="2"/>
  <c r="AE383" i="2"/>
  <c r="AC383" i="2"/>
  <c r="AA383" i="2"/>
  <c r="Q383" i="2"/>
  <c r="L383" i="2"/>
  <c r="ML382" i="2"/>
  <c r="MK382" i="2"/>
  <c r="MD382" i="2"/>
  <c r="LK382" i="2"/>
  <c r="LL382" i="2" s="1"/>
  <c r="AS382" i="2" s="1"/>
  <c r="ME382" i="2" s="1"/>
  <c r="KN382" i="2"/>
  <c r="KL382" i="2"/>
  <c r="KJ382" i="2"/>
  <c r="KH382" i="2"/>
  <c r="KF382" i="2"/>
  <c r="KD382" i="2"/>
  <c r="KB382" i="2"/>
  <c r="JZ382" i="2"/>
  <c r="JP382" i="2"/>
  <c r="JM382" i="2"/>
  <c r="JK382" i="2"/>
  <c r="JC382" i="2"/>
  <c r="JA382" i="2"/>
  <c r="IY382" i="2"/>
  <c r="IW382" i="2"/>
  <c r="IU382" i="2"/>
  <c r="IS382" i="2"/>
  <c r="IQ382" i="2"/>
  <c r="IO382" i="2"/>
  <c r="IE382" i="2"/>
  <c r="IB382" i="2"/>
  <c r="HZ382" i="2"/>
  <c r="HR382" i="2"/>
  <c r="HP382" i="2"/>
  <c r="HN382" i="2"/>
  <c r="HL382" i="2"/>
  <c r="HJ382" i="2"/>
  <c r="HH382" i="2"/>
  <c r="HF382" i="2"/>
  <c r="HD382" i="2"/>
  <c r="GT382" i="2"/>
  <c r="GO382" i="2"/>
  <c r="GG382" i="2"/>
  <c r="GE382" i="2"/>
  <c r="GC382" i="2"/>
  <c r="GA382" i="2"/>
  <c r="FY382" i="2"/>
  <c r="FW382" i="2"/>
  <c r="FU382" i="2"/>
  <c r="FS382" i="2"/>
  <c r="FI382" i="2"/>
  <c r="FD382" i="2"/>
  <c r="EV382" i="2"/>
  <c r="ET382" i="2"/>
  <c r="ER382" i="2"/>
  <c r="EP382" i="2"/>
  <c r="EN382" i="2"/>
  <c r="EL382" i="2"/>
  <c r="EJ382" i="2"/>
  <c r="EH382" i="2"/>
  <c r="DX382" i="2"/>
  <c r="DS382" i="2"/>
  <c r="DK382" i="2"/>
  <c r="DI382" i="2"/>
  <c r="DG382" i="2"/>
  <c r="DE382" i="2"/>
  <c r="DA382" i="2"/>
  <c r="CY382" i="2"/>
  <c r="CW382" i="2"/>
  <c r="CM382" i="2"/>
  <c r="CJ382" i="2"/>
  <c r="CH382" i="2"/>
  <c r="BZ382" i="2"/>
  <c r="BX382" i="2"/>
  <c r="BV382" i="2"/>
  <c r="BT382" i="2"/>
  <c r="BR382" i="2"/>
  <c r="BP382" i="2"/>
  <c r="BN382" i="2"/>
  <c r="BL382" i="2"/>
  <c r="BB382" i="2"/>
  <c r="AY382" i="2"/>
  <c r="AW382" i="2"/>
  <c r="AO382" i="2"/>
  <c r="AM382" i="2"/>
  <c r="AK382" i="2"/>
  <c r="AI382" i="2"/>
  <c r="AG382" i="2"/>
  <c r="AE382" i="2"/>
  <c r="AC382" i="2"/>
  <c r="AA382" i="2"/>
  <c r="Q382" i="2"/>
  <c r="L382" i="2"/>
  <c r="MD381" i="2"/>
  <c r="MA381" i="2"/>
  <c r="LK381" i="2"/>
  <c r="LL381" i="2" s="1"/>
  <c r="GK381" i="2" s="1"/>
  <c r="MI381" i="2" s="1"/>
  <c r="KN381" i="2"/>
  <c r="KL381" i="2"/>
  <c r="KJ381" i="2"/>
  <c r="KH381" i="2"/>
  <c r="KF381" i="2"/>
  <c r="KD381" i="2"/>
  <c r="KB381" i="2"/>
  <c r="JZ381" i="2"/>
  <c r="JP381" i="2"/>
  <c r="JK381" i="2"/>
  <c r="JC381" i="2"/>
  <c r="JA381" i="2"/>
  <c r="IY381" i="2"/>
  <c r="IW381" i="2"/>
  <c r="IU381" i="2"/>
  <c r="IS381" i="2"/>
  <c r="IQ381" i="2"/>
  <c r="IO381" i="2"/>
  <c r="IE381" i="2"/>
  <c r="IB381" i="2"/>
  <c r="HZ381" i="2"/>
  <c r="HR381" i="2"/>
  <c r="HP381" i="2"/>
  <c r="HN381" i="2"/>
  <c r="HL381" i="2"/>
  <c r="HJ381" i="2"/>
  <c r="HH381" i="2"/>
  <c r="HF381" i="2"/>
  <c r="HD381" i="2"/>
  <c r="GT381" i="2"/>
  <c r="GO381" i="2"/>
  <c r="GG381" i="2"/>
  <c r="GE381" i="2"/>
  <c r="GC381" i="2"/>
  <c r="GA381" i="2"/>
  <c r="FY381" i="2"/>
  <c r="FW381" i="2"/>
  <c r="FU381" i="2"/>
  <c r="FS381" i="2"/>
  <c r="FI381" i="2"/>
  <c r="FD381" i="2"/>
  <c r="EV381" i="2"/>
  <c r="ET381" i="2"/>
  <c r="ER381" i="2"/>
  <c r="EP381" i="2"/>
  <c r="EN381" i="2"/>
  <c r="EL381" i="2"/>
  <c r="EJ381" i="2"/>
  <c r="EH381" i="2"/>
  <c r="DX381" i="2"/>
  <c r="DS381" i="2"/>
  <c r="DK381" i="2"/>
  <c r="DI381" i="2"/>
  <c r="DG381" i="2"/>
  <c r="DE381" i="2"/>
  <c r="DC381" i="2"/>
  <c r="DA381" i="2"/>
  <c r="CY381" i="2"/>
  <c r="CW381" i="2"/>
  <c r="CM381" i="2"/>
  <c r="CH381" i="2"/>
  <c r="BZ381" i="2"/>
  <c r="BX381" i="2"/>
  <c r="BV381" i="2"/>
  <c r="BT381" i="2"/>
  <c r="BR381" i="2"/>
  <c r="BP381" i="2"/>
  <c r="BN381" i="2"/>
  <c r="BL381" i="2"/>
  <c r="BB381" i="2"/>
  <c r="AW381" i="2"/>
  <c r="AO381" i="2"/>
  <c r="AM381" i="2"/>
  <c r="AK381" i="2"/>
  <c r="AI381" i="2"/>
  <c r="AG381" i="2"/>
  <c r="AE381" i="2"/>
  <c r="AC381" i="2"/>
  <c r="AA381" i="2"/>
  <c r="Q381" i="2"/>
  <c r="L381" i="2"/>
  <c r="ML380" i="2"/>
  <c r="MK380" i="2"/>
  <c r="MJ380" i="2"/>
  <c r="MI380" i="2"/>
  <c r="MD380" i="2"/>
  <c r="MA380" i="2"/>
  <c r="LK380" i="2"/>
  <c r="LL380" i="2" s="1"/>
  <c r="KN380" i="2"/>
  <c r="KL380" i="2"/>
  <c r="KJ380" i="2"/>
  <c r="KH380" i="2"/>
  <c r="KF380" i="2"/>
  <c r="KD380" i="2"/>
  <c r="KB380" i="2"/>
  <c r="JZ380" i="2"/>
  <c r="JP380" i="2"/>
  <c r="JM380" i="2"/>
  <c r="JK380" i="2"/>
  <c r="JC380" i="2"/>
  <c r="JA380" i="2"/>
  <c r="IY380" i="2"/>
  <c r="IW380" i="2"/>
  <c r="IU380" i="2"/>
  <c r="IS380" i="2"/>
  <c r="IQ380" i="2"/>
  <c r="IO380" i="2"/>
  <c r="IE380" i="2"/>
  <c r="IB380" i="2"/>
  <c r="HZ380" i="2"/>
  <c r="HR380" i="2"/>
  <c r="HP380" i="2"/>
  <c r="HN380" i="2"/>
  <c r="HL380" i="2"/>
  <c r="HJ380" i="2"/>
  <c r="HH380" i="2"/>
  <c r="HF380" i="2"/>
  <c r="HD380" i="2"/>
  <c r="GT380" i="2"/>
  <c r="GQ380" i="2"/>
  <c r="GO380" i="2"/>
  <c r="GG380" i="2"/>
  <c r="GE380" i="2"/>
  <c r="GC380" i="2"/>
  <c r="GA380" i="2"/>
  <c r="FY380" i="2"/>
  <c r="FW380" i="2"/>
  <c r="FU380" i="2"/>
  <c r="FS380" i="2"/>
  <c r="FI380" i="2"/>
  <c r="FF380" i="2"/>
  <c r="FD380" i="2"/>
  <c r="EV380" i="2"/>
  <c r="ET380" i="2"/>
  <c r="ER380" i="2"/>
  <c r="EP380" i="2"/>
  <c r="EN380" i="2"/>
  <c r="EL380" i="2"/>
  <c r="EJ380" i="2"/>
  <c r="EH380" i="2"/>
  <c r="DX380" i="2"/>
  <c r="DU380" i="2"/>
  <c r="DS380" i="2"/>
  <c r="DK380" i="2"/>
  <c r="DI380" i="2"/>
  <c r="DG380" i="2"/>
  <c r="DE380" i="2"/>
  <c r="DC380" i="2"/>
  <c r="DA380" i="2"/>
  <c r="CY380" i="2"/>
  <c r="CW380" i="2"/>
  <c r="CM380" i="2"/>
  <c r="CH380" i="2"/>
  <c r="BZ380" i="2"/>
  <c r="BX380" i="2"/>
  <c r="BV380" i="2"/>
  <c r="BT380" i="2"/>
  <c r="BR380" i="2"/>
  <c r="BP380" i="2"/>
  <c r="BN380" i="2"/>
  <c r="BL380" i="2"/>
  <c r="BB380" i="2"/>
  <c r="AW380" i="2"/>
  <c r="AO380" i="2"/>
  <c r="AM380" i="2"/>
  <c r="AK380" i="2"/>
  <c r="AI380" i="2"/>
  <c r="AG380" i="2"/>
  <c r="AE380" i="2"/>
  <c r="AC380" i="2"/>
  <c r="AA380" i="2"/>
  <c r="Q380" i="2"/>
  <c r="L380" i="2"/>
  <c r="MD379" i="2"/>
  <c r="MA379" i="2"/>
  <c r="LK379" i="2"/>
  <c r="LL379" i="2" s="1"/>
  <c r="KN379" i="2"/>
  <c r="KL379" i="2"/>
  <c r="KJ379" i="2"/>
  <c r="KH379" i="2"/>
  <c r="KF379" i="2"/>
  <c r="KD379" i="2"/>
  <c r="KB379" i="2"/>
  <c r="JZ379" i="2"/>
  <c r="JP379" i="2"/>
  <c r="JK379" i="2"/>
  <c r="JC379" i="2"/>
  <c r="JA379" i="2"/>
  <c r="IY379" i="2"/>
  <c r="IW379" i="2"/>
  <c r="IU379" i="2"/>
  <c r="IS379" i="2"/>
  <c r="IQ379" i="2"/>
  <c r="IO379" i="2"/>
  <c r="IE379" i="2"/>
  <c r="HZ379" i="2"/>
  <c r="HR379" i="2"/>
  <c r="HP379" i="2"/>
  <c r="HN379" i="2"/>
  <c r="HL379" i="2"/>
  <c r="HJ379" i="2"/>
  <c r="HH379" i="2"/>
  <c r="HF379" i="2"/>
  <c r="HD379" i="2"/>
  <c r="GT379" i="2"/>
  <c r="GO379" i="2"/>
  <c r="GG379" i="2"/>
  <c r="GE379" i="2"/>
  <c r="GC379" i="2"/>
  <c r="GA379" i="2"/>
  <c r="FY379" i="2"/>
  <c r="FW379" i="2"/>
  <c r="FU379" i="2"/>
  <c r="FS379" i="2"/>
  <c r="FI379" i="2"/>
  <c r="FD379" i="2"/>
  <c r="EV379" i="2"/>
  <c r="ET379" i="2"/>
  <c r="ER379" i="2"/>
  <c r="EP379" i="2"/>
  <c r="EN379" i="2"/>
  <c r="EL379" i="2"/>
  <c r="EJ379" i="2"/>
  <c r="EH379" i="2"/>
  <c r="DX379" i="2"/>
  <c r="DS379" i="2"/>
  <c r="DK379" i="2"/>
  <c r="DI379" i="2"/>
  <c r="DG379" i="2"/>
  <c r="DE379" i="2"/>
  <c r="DC379" i="2"/>
  <c r="DA379" i="2"/>
  <c r="CY379" i="2"/>
  <c r="CW379" i="2"/>
  <c r="CM379" i="2"/>
  <c r="CJ379" i="2"/>
  <c r="CH379" i="2"/>
  <c r="BZ379" i="2"/>
  <c r="BX379" i="2"/>
  <c r="BV379" i="2"/>
  <c r="BT379" i="2"/>
  <c r="BR379" i="2"/>
  <c r="BP379" i="2"/>
  <c r="BN379" i="2"/>
  <c r="BL379" i="2"/>
  <c r="BB379" i="2"/>
  <c r="AW379" i="2"/>
  <c r="AO379" i="2"/>
  <c r="AM379" i="2"/>
  <c r="AK379" i="2"/>
  <c r="AI379" i="2"/>
  <c r="AG379" i="2"/>
  <c r="AE379" i="2"/>
  <c r="AC379" i="2"/>
  <c r="AA379" i="2"/>
  <c r="Q379" i="2"/>
  <c r="L379" i="2"/>
  <c r="ML378" i="2"/>
  <c r="MD378" i="2"/>
  <c r="MA378" i="2"/>
  <c r="LK378" i="2"/>
  <c r="LL378" i="2" s="1"/>
  <c r="KN378" i="2"/>
  <c r="KL378" i="2"/>
  <c r="KJ378" i="2"/>
  <c r="KH378" i="2"/>
  <c r="KF378" i="2"/>
  <c r="KD378" i="2"/>
  <c r="KB378" i="2"/>
  <c r="JZ378" i="2"/>
  <c r="JP378" i="2"/>
  <c r="JM378" i="2"/>
  <c r="JK378" i="2"/>
  <c r="JC378" i="2"/>
  <c r="JA378" i="2"/>
  <c r="IY378" i="2"/>
  <c r="IW378" i="2"/>
  <c r="IU378" i="2"/>
  <c r="IS378" i="2"/>
  <c r="IQ378" i="2"/>
  <c r="IO378" i="2"/>
  <c r="IE378" i="2"/>
  <c r="HZ378" i="2"/>
  <c r="HR378" i="2"/>
  <c r="HP378" i="2"/>
  <c r="HN378" i="2"/>
  <c r="HL378" i="2"/>
  <c r="HJ378" i="2"/>
  <c r="HH378" i="2"/>
  <c r="HF378" i="2"/>
  <c r="HD378" i="2"/>
  <c r="GT378" i="2"/>
  <c r="GO378" i="2"/>
  <c r="GG378" i="2"/>
  <c r="GE378" i="2"/>
  <c r="GC378" i="2"/>
  <c r="GA378" i="2"/>
  <c r="FY378" i="2"/>
  <c r="FW378" i="2"/>
  <c r="FU378" i="2"/>
  <c r="FS378" i="2"/>
  <c r="FI378" i="2"/>
  <c r="FD378" i="2"/>
  <c r="EV378" i="2"/>
  <c r="ET378" i="2"/>
  <c r="ER378" i="2"/>
  <c r="EP378" i="2"/>
  <c r="EN378" i="2"/>
  <c r="EL378" i="2"/>
  <c r="EJ378" i="2"/>
  <c r="EH378" i="2"/>
  <c r="DX378" i="2"/>
  <c r="DS378" i="2"/>
  <c r="DK378" i="2"/>
  <c r="DI378" i="2"/>
  <c r="DG378" i="2"/>
  <c r="DE378" i="2"/>
  <c r="DC378" i="2"/>
  <c r="DA378" i="2"/>
  <c r="CY378" i="2"/>
  <c r="CW378" i="2"/>
  <c r="CM378" i="2"/>
  <c r="CH378" i="2"/>
  <c r="BZ378" i="2"/>
  <c r="BX378" i="2"/>
  <c r="BV378" i="2"/>
  <c r="BT378" i="2"/>
  <c r="BR378" i="2"/>
  <c r="BP378" i="2"/>
  <c r="BN378" i="2"/>
  <c r="BL378" i="2"/>
  <c r="BB378" i="2"/>
  <c r="AY378" i="2"/>
  <c r="AW378" i="2"/>
  <c r="AO378" i="2"/>
  <c r="AM378" i="2"/>
  <c r="AK378" i="2"/>
  <c r="AI378" i="2"/>
  <c r="AG378" i="2"/>
  <c r="AE378" i="2"/>
  <c r="AC378" i="2"/>
  <c r="AA378" i="2"/>
  <c r="Q378" i="2"/>
  <c r="L378" i="2"/>
  <c r="ML377" i="2"/>
  <c r="MK377" i="2"/>
  <c r="MJ377" i="2"/>
  <c r="MI377" i="2"/>
  <c r="MD377" i="2"/>
  <c r="MA377" i="2"/>
  <c r="LK377" i="2"/>
  <c r="LL377" i="2" s="1"/>
  <c r="KN377" i="2"/>
  <c r="KL377" i="2"/>
  <c r="KJ377" i="2"/>
  <c r="KH377" i="2"/>
  <c r="KF377" i="2"/>
  <c r="KD377" i="2"/>
  <c r="KB377" i="2"/>
  <c r="JZ377" i="2"/>
  <c r="JP377" i="2"/>
  <c r="JM377" i="2"/>
  <c r="JK377" i="2"/>
  <c r="JC377" i="2"/>
  <c r="JA377" i="2"/>
  <c r="IY377" i="2"/>
  <c r="IW377" i="2"/>
  <c r="IU377" i="2"/>
  <c r="IS377" i="2"/>
  <c r="IQ377" i="2"/>
  <c r="IO377" i="2"/>
  <c r="IE377" i="2"/>
  <c r="IB377" i="2"/>
  <c r="HZ377" i="2"/>
  <c r="HR377" i="2"/>
  <c r="HP377" i="2"/>
  <c r="HN377" i="2"/>
  <c r="HL377" i="2"/>
  <c r="HJ377" i="2"/>
  <c r="HH377" i="2"/>
  <c r="HF377" i="2"/>
  <c r="HD377" i="2"/>
  <c r="GT377" i="2"/>
  <c r="GQ377" i="2"/>
  <c r="GO377" i="2"/>
  <c r="GG377" i="2"/>
  <c r="GE377" i="2"/>
  <c r="GC377" i="2"/>
  <c r="GA377" i="2"/>
  <c r="FY377" i="2"/>
  <c r="FW377" i="2"/>
  <c r="FU377" i="2"/>
  <c r="FS377" i="2"/>
  <c r="FI377" i="2"/>
  <c r="FF377" i="2"/>
  <c r="FD377" i="2"/>
  <c r="EV377" i="2"/>
  <c r="ET377" i="2"/>
  <c r="ER377" i="2"/>
  <c r="EP377" i="2"/>
  <c r="EN377" i="2"/>
  <c r="EL377" i="2"/>
  <c r="EJ377" i="2"/>
  <c r="DX377" i="2"/>
  <c r="DU377" i="2"/>
  <c r="DS377" i="2"/>
  <c r="DK377" i="2"/>
  <c r="DI377" i="2"/>
  <c r="DG377" i="2"/>
  <c r="DE377" i="2"/>
  <c r="DC377" i="2"/>
  <c r="CM377" i="2"/>
  <c r="CJ377" i="2"/>
  <c r="CH377" i="2"/>
  <c r="BV377" i="2"/>
  <c r="BT377" i="2"/>
  <c r="BR377" i="2"/>
  <c r="BP377" i="2"/>
  <c r="BN377" i="2"/>
  <c r="BL377" i="2"/>
  <c r="BB377" i="2"/>
  <c r="AY377" i="2"/>
  <c r="AW377" i="2"/>
  <c r="AI377" i="2"/>
  <c r="AE377" i="2"/>
  <c r="AC377" i="2"/>
  <c r="AA377" i="2"/>
  <c r="Q377" i="2"/>
  <c r="N377" i="2"/>
  <c r="L377" i="2"/>
  <c r="MD376" i="2"/>
  <c r="MA376" i="2"/>
  <c r="LK376" i="2"/>
  <c r="LL376" i="2" s="1"/>
  <c r="LS376" i="2" s="1"/>
  <c r="KN376" i="2"/>
  <c r="KL376" i="2"/>
  <c r="KJ376" i="2"/>
  <c r="KH376" i="2"/>
  <c r="KF376" i="2"/>
  <c r="KD376" i="2"/>
  <c r="KB376" i="2"/>
  <c r="JP376" i="2"/>
  <c r="JK376" i="2"/>
  <c r="IY376" i="2"/>
  <c r="IW376" i="2"/>
  <c r="IU376" i="2"/>
  <c r="IS376" i="2"/>
  <c r="IQ376" i="2"/>
  <c r="IO376" i="2"/>
  <c r="IE376" i="2"/>
  <c r="HZ376" i="2"/>
  <c r="HR376" i="2"/>
  <c r="HP376" i="2"/>
  <c r="HN376" i="2"/>
  <c r="HL376" i="2"/>
  <c r="HJ376" i="2"/>
  <c r="HH376" i="2"/>
  <c r="HF376" i="2"/>
  <c r="HD376" i="2"/>
  <c r="GT376" i="2"/>
  <c r="GO376" i="2"/>
  <c r="GG376" i="2"/>
  <c r="GE376" i="2"/>
  <c r="GC376" i="2"/>
  <c r="GA376" i="2"/>
  <c r="FY376" i="2"/>
  <c r="FW376" i="2"/>
  <c r="FU376" i="2"/>
  <c r="FS376" i="2"/>
  <c r="FI376" i="2"/>
  <c r="FD376" i="2"/>
  <c r="EV376" i="2"/>
  <c r="ET376" i="2"/>
  <c r="ER376" i="2"/>
  <c r="EP376" i="2"/>
  <c r="EN376" i="2"/>
  <c r="EL376" i="2"/>
  <c r="EJ376" i="2"/>
  <c r="EH376" i="2"/>
  <c r="DS376" i="2"/>
  <c r="DK376" i="2"/>
  <c r="DI376" i="2"/>
  <c r="DG376" i="2"/>
  <c r="DE376" i="2"/>
  <c r="DC376" i="2"/>
  <c r="DA376" i="2"/>
  <c r="CY376" i="2"/>
  <c r="CW376" i="2"/>
  <c r="CH376" i="2"/>
  <c r="BZ376" i="2"/>
  <c r="BX376" i="2"/>
  <c r="BV376" i="2"/>
  <c r="BT376" i="2"/>
  <c r="BR376" i="2"/>
  <c r="BP376" i="2"/>
  <c r="BN376" i="2"/>
  <c r="BB376" i="2"/>
  <c r="AW376" i="2"/>
  <c r="AO376" i="2"/>
  <c r="AM376" i="2"/>
  <c r="AK376" i="2"/>
  <c r="AI376" i="2"/>
  <c r="AG376" i="2"/>
  <c r="AE376" i="2"/>
  <c r="AC376" i="2"/>
  <c r="AA376" i="2"/>
  <c r="L376" i="2"/>
  <c r="MD375" i="2"/>
  <c r="MA375" i="2"/>
  <c r="LK375" i="2"/>
  <c r="LL375" i="2" s="1"/>
  <c r="CD375" i="2" s="1"/>
  <c r="MF375" i="2" s="1"/>
  <c r="KN375" i="2"/>
  <c r="KL375" i="2"/>
  <c r="KJ375" i="2"/>
  <c r="KH375" i="2"/>
  <c r="KF375" i="2"/>
  <c r="KD375" i="2"/>
  <c r="KB375" i="2"/>
  <c r="JZ375" i="2"/>
  <c r="JP375" i="2"/>
  <c r="JK375" i="2"/>
  <c r="JC375" i="2"/>
  <c r="JA375" i="2"/>
  <c r="IY375" i="2"/>
  <c r="IW375" i="2"/>
  <c r="IU375" i="2"/>
  <c r="IS375" i="2"/>
  <c r="IQ375" i="2"/>
  <c r="IO375" i="2"/>
  <c r="IE375" i="2"/>
  <c r="HZ375" i="2"/>
  <c r="HR375" i="2"/>
  <c r="HP375" i="2"/>
  <c r="HN375" i="2"/>
  <c r="HL375" i="2"/>
  <c r="HJ375" i="2"/>
  <c r="HH375" i="2"/>
  <c r="HF375" i="2"/>
  <c r="HD375" i="2"/>
  <c r="GT375" i="2"/>
  <c r="GO375" i="2"/>
  <c r="GG375" i="2"/>
  <c r="GE375" i="2"/>
  <c r="GC375" i="2"/>
  <c r="GA375" i="2"/>
  <c r="FY375" i="2"/>
  <c r="FW375" i="2"/>
  <c r="FU375" i="2"/>
  <c r="FS375" i="2"/>
  <c r="FI375" i="2"/>
  <c r="FD375" i="2"/>
  <c r="EV375" i="2"/>
  <c r="ET375" i="2"/>
  <c r="ER375" i="2"/>
  <c r="EP375" i="2"/>
  <c r="EN375" i="2"/>
  <c r="EL375" i="2"/>
  <c r="EJ375" i="2"/>
  <c r="EH375" i="2"/>
  <c r="DX375" i="2"/>
  <c r="DS375" i="2"/>
  <c r="DK375" i="2"/>
  <c r="DI375" i="2"/>
  <c r="DG375" i="2"/>
  <c r="DE375" i="2"/>
  <c r="DC375" i="2"/>
  <c r="DA375" i="2"/>
  <c r="CY375" i="2"/>
  <c r="CW375" i="2"/>
  <c r="CM375" i="2"/>
  <c r="CJ375" i="2"/>
  <c r="CH375" i="2"/>
  <c r="BZ375" i="2"/>
  <c r="BX375" i="2"/>
  <c r="BV375" i="2"/>
  <c r="BT375" i="2"/>
  <c r="BR375" i="2"/>
  <c r="BP375" i="2"/>
  <c r="BN375" i="2"/>
  <c r="BL375" i="2"/>
  <c r="BB375" i="2"/>
  <c r="AY375" i="2"/>
  <c r="AW375" i="2"/>
  <c r="AO375" i="2"/>
  <c r="AM375" i="2"/>
  <c r="AK375" i="2"/>
  <c r="AI375" i="2"/>
  <c r="AG375" i="2"/>
  <c r="AE375" i="2"/>
  <c r="AC375" i="2"/>
  <c r="AA375" i="2"/>
  <c r="Q375" i="2"/>
  <c r="L375" i="2"/>
  <c r="MD374" i="2"/>
  <c r="MA374" i="2"/>
  <c r="LK374" i="2"/>
  <c r="LL374" i="2" s="1"/>
  <c r="LQ374" i="2" s="1"/>
  <c r="KN374" i="2"/>
  <c r="KL374" i="2"/>
  <c r="KJ374" i="2"/>
  <c r="KH374" i="2"/>
  <c r="KF374" i="2"/>
  <c r="KD374" i="2"/>
  <c r="KB374" i="2"/>
  <c r="JZ374" i="2"/>
  <c r="JP374" i="2"/>
  <c r="JK374" i="2"/>
  <c r="JC374" i="2"/>
  <c r="JA374" i="2"/>
  <c r="IY374" i="2"/>
  <c r="IW374" i="2"/>
  <c r="IU374" i="2"/>
  <c r="IS374" i="2"/>
  <c r="IQ374" i="2"/>
  <c r="IO374" i="2"/>
  <c r="IE374" i="2"/>
  <c r="HZ374" i="2"/>
  <c r="HR374" i="2"/>
  <c r="HP374" i="2"/>
  <c r="HN374" i="2"/>
  <c r="HL374" i="2"/>
  <c r="HJ374" i="2"/>
  <c r="HH374" i="2"/>
  <c r="HF374" i="2"/>
  <c r="HD374" i="2"/>
  <c r="GT374" i="2"/>
  <c r="GO374" i="2"/>
  <c r="GG374" i="2"/>
  <c r="GE374" i="2"/>
  <c r="GC374" i="2"/>
  <c r="GA374" i="2"/>
  <c r="FY374" i="2"/>
  <c r="FW374" i="2"/>
  <c r="FU374" i="2"/>
  <c r="FS374" i="2"/>
  <c r="FI374" i="2"/>
  <c r="FD374" i="2"/>
  <c r="EV374" i="2"/>
  <c r="ET374" i="2"/>
  <c r="ER374" i="2"/>
  <c r="EP374" i="2"/>
  <c r="EN374" i="2"/>
  <c r="EL374" i="2"/>
  <c r="EJ374" i="2"/>
  <c r="EH374" i="2"/>
  <c r="DX374" i="2"/>
  <c r="DS374" i="2"/>
  <c r="DK374" i="2"/>
  <c r="DI374" i="2"/>
  <c r="DG374" i="2"/>
  <c r="DE374" i="2"/>
  <c r="DC374" i="2"/>
  <c r="DA374" i="2"/>
  <c r="CY374" i="2"/>
  <c r="CW374" i="2"/>
  <c r="CM374" i="2"/>
  <c r="CJ374" i="2"/>
  <c r="CH374" i="2"/>
  <c r="BZ374" i="2"/>
  <c r="BX374" i="2"/>
  <c r="BV374" i="2"/>
  <c r="BT374" i="2"/>
  <c r="BR374" i="2"/>
  <c r="BP374" i="2"/>
  <c r="BN374" i="2"/>
  <c r="BL374" i="2"/>
  <c r="BB374" i="2"/>
  <c r="AW374" i="2"/>
  <c r="AO374" i="2"/>
  <c r="AM374" i="2"/>
  <c r="AK374" i="2"/>
  <c r="AI374" i="2"/>
  <c r="AG374" i="2"/>
  <c r="AE374" i="2"/>
  <c r="AC374" i="2"/>
  <c r="AA374" i="2"/>
  <c r="Q374" i="2"/>
  <c r="L374" i="2"/>
  <c r="MD373" i="2"/>
  <c r="MA373" i="2"/>
  <c r="LK373" i="2"/>
  <c r="LL373" i="2" s="1"/>
  <c r="KN373" i="2"/>
  <c r="KL373" i="2"/>
  <c r="KJ373" i="2"/>
  <c r="KH373" i="2"/>
  <c r="KF373" i="2"/>
  <c r="KD373" i="2"/>
  <c r="KB373" i="2"/>
  <c r="JZ373" i="2"/>
  <c r="JP373" i="2"/>
  <c r="JK373" i="2"/>
  <c r="JC373" i="2"/>
  <c r="JA373" i="2"/>
  <c r="IY373" i="2"/>
  <c r="IW373" i="2"/>
  <c r="IU373" i="2"/>
  <c r="IS373" i="2"/>
  <c r="IQ373" i="2"/>
  <c r="IO373" i="2"/>
  <c r="IE373" i="2"/>
  <c r="HZ373" i="2"/>
  <c r="HR373" i="2"/>
  <c r="HP373" i="2"/>
  <c r="HN373" i="2"/>
  <c r="HL373" i="2"/>
  <c r="HJ373" i="2"/>
  <c r="HH373" i="2"/>
  <c r="HF373" i="2"/>
  <c r="HD373" i="2"/>
  <c r="GT373" i="2"/>
  <c r="GO373" i="2"/>
  <c r="GG373" i="2"/>
  <c r="GE373" i="2"/>
  <c r="GC373" i="2"/>
  <c r="GA373" i="2"/>
  <c r="FY373" i="2"/>
  <c r="FW373" i="2"/>
  <c r="FU373" i="2"/>
  <c r="FS373" i="2"/>
  <c r="FI373" i="2"/>
  <c r="FF373" i="2"/>
  <c r="FD373" i="2"/>
  <c r="EV373" i="2"/>
  <c r="ET373" i="2"/>
  <c r="ER373" i="2"/>
  <c r="EP373" i="2"/>
  <c r="EN373" i="2"/>
  <c r="EL373" i="2"/>
  <c r="EJ373" i="2"/>
  <c r="EH373" i="2"/>
  <c r="DX373" i="2"/>
  <c r="DU373" i="2"/>
  <c r="DS373" i="2"/>
  <c r="DK373" i="2"/>
  <c r="DI373" i="2"/>
  <c r="DG373" i="2"/>
  <c r="DE373" i="2"/>
  <c r="DC373" i="2"/>
  <c r="DA373" i="2"/>
  <c r="CY373" i="2"/>
  <c r="CW373" i="2"/>
  <c r="CM373" i="2"/>
  <c r="CH373" i="2"/>
  <c r="BZ373" i="2"/>
  <c r="BX373" i="2"/>
  <c r="BV373" i="2"/>
  <c r="BT373" i="2"/>
  <c r="BR373" i="2"/>
  <c r="BP373" i="2"/>
  <c r="BN373" i="2"/>
  <c r="BL373" i="2"/>
  <c r="BB373" i="2"/>
  <c r="AW373" i="2"/>
  <c r="AO373" i="2"/>
  <c r="AM373" i="2"/>
  <c r="AK373" i="2"/>
  <c r="AI373" i="2"/>
  <c r="AG373" i="2"/>
  <c r="AE373" i="2"/>
  <c r="AC373" i="2"/>
  <c r="AA373" i="2"/>
  <c r="Q373" i="2"/>
  <c r="L373" i="2"/>
  <c r="MD372" i="2"/>
  <c r="MA372" i="2"/>
  <c r="LK372" i="2"/>
  <c r="LL372" i="2" s="1"/>
  <c r="KN372" i="2"/>
  <c r="KL372" i="2"/>
  <c r="KJ372" i="2"/>
  <c r="KH372" i="2"/>
  <c r="KF372" i="2"/>
  <c r="KD372" i="2"/>
  <c r="KB372" i="2"/>
  <c r="JZ372" i="2"/>
  <c r="JP372" i="2"/>
  <c r="JK372" i="2"/>
  <c r="JC372" i="2"/>
  <c r="JA372" i="2"/>
  <c r="IY372" i="2"/>
  <c r="IW372" i="2"/>
  <c r="IU372" i="2"/>
  <c r="IS372" i="2"/>
  <c r="IQ372" i="2"/>
  <c r="IO372" i="2"/>
  <c r="IE372" i="2"/>
  <c r="HZ372" i="2"/>
  <c r="HR372" i="2"/>
  <c r="HP372" i="2"/>
  <c r="HN372" i="2"/>
  <c r="HL372" i="2"/>
  <c r="HJ372" i="2"/>
  <c r="HH372" i="2"/>
  <c r="HF372" i="2"/>
  <c r="HD372" i="2"/>
  <c r="GT372" i="2"/>
  <c r="GO372" i="2"/>
  <c r="GG372" i="2"/>
  <c r="GE372" i="2"/>
  <c r="GC372" i="2"/>
  <c r="GA372" i="2"/>
  <c r="FY372" i="2"/>
  <c r="FW372" i="2"/>
  <c r="FU372" i="2"/>
  <c r="FS372" i="2"/>
  <c r="FI372" i="2"/>
  <c r="FF372" i="2"/>
  <c r="FD372" i="2"/>
  <c r="EV372" i="2"/>
  <c r="ET372" i="2"/>
  <c r="ER372" i="2"/>
  <c r="EP372" i="2"/>
  <c r="EN372" i="2"/>
  <c r="EL372" i="2"/>
  <c r="EJ372" i="2"/>
  <c r="EH372" i="2"/>
  <c r="DX372" i="2"/>
  <c r="DS372" i="2"/>
  <c r="DK372" i="2"/>
  <c r="DI372" i="2"/>
  <c r="DG372" i="2"/>
  <c r="DE372" i="2"/>
  <c r="DC372" i="2"/>
  <c r="DA372" i="2"/>
  <c r="CW372" i="2"/>
  <c r="CM372" i="2"/>
  <c r="CH372" i="2"/>
  <c r="BZ372" i="2"/>
  <c r="BX372" i="2"/>
  <c r="BV372" i="2"/>
  <c r="BT372" i="2"/>
  <c r="BR372" i="2"/>
  <c r="BP372" i="2"/>
  <c r="BN372" i="2"/>
  <c r="BL372" i="2"/>
  <c r="BB372" i="2"/>
  <c r="AW372" i="2"/>
  <c r="AO372" i="2"/>
  <c r="AM372" i="2"/>
  <c r="AK372" i="2"/>
  <c r="AI372" i="2"/>
  <c r="AG372" i="2"/>
  <c r="AE372" i="2"/>
  <c r="AC372" i="2"/>
  <c r="AA372" i="2"/>
  <c r="Q372" i="2"/>
  <c r="L372" i="2"/>
  <c r="ML371" i="2"/>
  <c r="MD371" i="2"/>
  <c r="MA371" i="2"/>
  <c r="LK371" i="2"/>
  <c r="LL371" i="2" s="1"/>
  <c r="KN371" i="2"/>
  <c r="KL371" i="2"/>
  <c r="KJ371" i="2"/>
  <c r="KH371" i="2"/>
  <c r="KF371" i="2"/>
  <c r="KD371" i="2"/>
  <c r="KB371" i="2"/>
  <c r="JZ371" i="2"/>
  <c r="JP371" i="2"/>
  <c r="JM371" i="2"/>
  <c r="JK371" i="2"/>
  <c r="JC371" i="2"/>
  <c r="JA371" i="2"/>
  <c r="IY371" i="2"/>
  <c r="IW371" i="2"/>
  <c r="IU371" i="2"/>
  <c r="IS371" i="2"/>
  <c r="IQ371" i="2"/>
  <c r="IO371" i="2"/>
  <c r="HZ371" i="2"/>
  <c r="HR371" i="2"/>
  <c r="HP371" i="2"/>
  <c r="HN371" i="2"/>
  <c r="HL371" i="2"/>
  <c r="HJ371" i="2"/>
  <c r="HH371" i="2"/>
  <c r="HF371" i="2"/>
  <c r="HD371" i="2"/>
  <c r="GO371" i="2"/>
  <c r="GG371" i="2"/>
  <c r="GE371" i="2"/>
  <c r="GC371" i="2"/>
  <c r="GA371" i="2"/>
  <c r="FY371" i="2"/>
  <c r="FW371" i="2"/>
  <c r="FU371" i="2"/>
  <c r="FS371" i="2"/>
  <c r="FI371" i="2"/>
  <c r="FF371" i="2"/>
  <c r="FD371" i="2"/>
  <c r="EV371" i="2"/>
  <c r="ET371" i="2"/>
  <c r="ER371" i="2"/>
  <c r="EP371" i="2"/>
  <c r="EN371" i="2"/>
  <c r="EL371" i="2"/>
  <c r="EJ371" i="2"/>
  <c r="EH371" i="2"/>
  <c r="DX371" i="2"/>
  <c r="DS371" i="2"/>
  <c r="DK371" i="2"/>
  <c r="DI371" i="2"/>
  <c r="DG371" i="2"/>
  <c r="DE371" i="2"/>
  <c r="DC371" i="2"/>
  <c r="DA371" i="2"/>
  <c r="CY371" i="2"/>
  <c r="CW371" i="2"/>
  <c r="CM371" i="2"/>
  <c r="CJ371" i="2"/>
  <c r="CH371" i="2"/>
  <c r="BZ371" i="2"/>
  <c r="BX371" i="2"/>
  <c r="BV371" i="2"/>
  <c r="BT371" i="2"/>
  <c r="BR371" i="2"/>
  <c r="BN371" i="2"/>
  <c r="BL371" i="2"/>
  <c r="BB371" i="2"/>
  <c r="AW371" i="2"/>
  <c r="AO371" i="2"/>
  <c r="AM371" i="2"/>
  <c r="AK371" i="2"/>
  <c r="AI371" i="2"/>
  <c r="AG371" i="2"/>
  <c r="AE371" i="2"/>
  <c r="AC371" i="2"/>
  <c r="Q371" i="2"/>
  <c r="L371" i="2"/>
  <c r="ML370" i="2"/>
  <c r="MD370" i="2"/>
  <c r="MA370" i="2"/>
  <c r="LK370" i="2"/>
  <c r="LL370" i="2" s="1"/>
  <c r="KN370" i="2"/>
  <c r="KL370" i="2"/>
  <c r="KJ370" i="2"/>
  <c r="KH370" i="2"/>
  <c r="KF370" i="2"/>
  <c r="KD370" i="2"/>
  <c r="KB370" i="2"/>
  <c r="JZ370" i="2"/>
  <c r="JP370" i="2"/>
  <c r="JM370" i="2"/>
  <c r="JK370" i="2"/>
  <c r="JC370" i="2"/>
  <c r="JA370" i="2"/>
  <c r="IY370" i="2"/>
  <c r="IW370" i="2"/>
  <c r="IU370" i="2"/>
  <c r="IS370" i="2"/>
  <c r="IQ370" i="2"/>
  <c r="IO370" i="2"/>
  <c r="IE370" i="2"/>
  <c r="HZ370" i="2"/>
  <c r="HR370" i="2"/>
  <c r="HP370" i="2"/>
  <c r="HN370" i="2"/>
  <c r="HL370" i="2"/>
  <c r="HJ370" i="2"/>
  <c r="HH370" i="2"/>
  <c r="HF370" i="2"/>
  <c r="HD370" i="2"/>
  <c r="GT370" i="2"/>
  <c r="GO370" i="2"/>
  <c r="GG370" i="2"/>
  <c r="GE370" i="2"/>
  <c r="GC370" i="2"/>
  <c r="GA370" i="2"/>
  <c r="FY370" i="2"/>
  <c r="FW370" i="2"/>
  <c r="FU370" i="2"/>
  <c r="FS370" i="2"/>
  <c r="FI370" i="2"/>
  <c r="FD370" i="2"/>
  <c r="EV370" i="2"/>
  <c r="ET370" i="2"/>
  <c r="ER370" i="2"/>
  <c r="EP370" i="2"/>
  <c r="EN370" i="2"/>
  <c r="EL370" i="2"/>
  <c r="EJ370" i="2"/>
  <c r="EH370" i="2"/>
  <c r="DX370" i="2"/>
  <c r="DS370" i="2"/>
  <c r="DK370" i="2"/>
  <c r="DI370" i="2"/>
  <c r="DG370" i="2"/>
  <c r="DE370" i="2"/>
  <c r="DC370" i="2"/>
  <c r="DA370" i="2"/>
  <c r="CY370" i="2"/>
  <c r="CW370" i="2"/>
  <c r="CM370" i="2"/>
  <c r="CH370" i="2"/>
  <c r="BZ370" i="2"/>
  <c r="BX370" i="2"/>
  <c r="BV370" i="2"/>
  <c r="BT370" i="2"/>
  <c r="BR370" i="2"/>
  <c r="BP370" i="2"/>
  <c r="BN370" i="2"/>
  <c r="BL370" i="2"/>
  <c r="BB370" i="2"/>
  <c r="AY370" i="2"/>
  <c r="AW370" i="2"/>
  <c r="AO370" i="2"/>
  <c r="AM370" i="2"/>
  <c r="AK370" i="2"/>
  <c r="AI370" i="2"/>
  <c r="AG370" i="2"/>
  <c r="AE370" i="2"/>
  <c r="AC370" i="2"/>
  <c r="Q370" i="2"/>
  <c r="L370" i="2"/>
  <c r="MD369" i="2"/>
  <c r="MA369" i="2"/>
  <c r="LK369" i="2"/>
  <c r="LL369" i="2" s="1"/>
  <c r="KN369" i="2"/>
  <c r="KL369" i="2"/>
  <c r="KJ369" i="2"/>
  <c r="KH369" i="2"/>
  <c r="KF369" i="2"/>
  <c r="KD369" i="2"/>
  <c r="KB369" i="2"/>
  <c r="JZ369" i="2"/>
  <c r="JP369" i="2"/>
  <c r="JK369" i="2"/>
  <c r="JC369" i="2"/>
  <c r="JA369" i="2"/>
  <c r="IY369" i="2"/>
  <c r="IW369" i="2"/>
  <c r="IU369" i="2"/>
  <c r="IS369" i="2"/>
  <c r="IQ369" i="2"/>
  <c r="IO369" i="2"/>
  <c r="IE369" i="2"/>
  <c r="HZ369" i="2"/>
  <c r="HR369" i="2"/>
  <c r="HP369" i="2"/>
  <c r="HN369" i="2"/>
  <c r="HL369" i="2"/>
  <c r="HJ369" i="2"/>
  <c r="HH369" i="2"/>
  <c r="HF369" i="2"/>
  <c r="HD369" i="2"/>
  <c r="GT369" i="2"/>
  <c r="GQ369" i="2"/>
  <c r="GO369" i="2"/>
  <c r="GG369" i="2"/>
  <c r="GE369" i="2"/>
  <c r="GC369" i="2"/>
  <c r="GA369" i="2"/>
  <c r="FY369" i="2"/>
  <c r="FW369" i="2"/>
  <c r="FU369" i="2"/>
  <c r="FS369" i="2"/>
  <c r="FI369" i="2"/>
  <c r="FD369" i="2"/>
  <c r="EV369" i="2"/>
  <c r="ET369" i="2"/>
  <c r="ER369" i="2"/>
  <c r="EP369" i="2"/>
  <c r="EN369" i="2"/>
  <c r="EL369" i="2"/>
  <c r="EJ369" i="2"/>
  <c r="EH369" i="2"/>
  <c r="DX369" i="2"/>
  <c r="DS369" i="2"/>
  <c r="DK369" i="2"/>
  <c r="DI369" i="2"/>
  <c r="DG369" i="2"/>
  <c r="DE369" i="2"/>
  <c r="DC369" i="2"/>
  <c r="DA369" i="2"/>
  <c r="CY369" i="2"/>
  <c r="CM369" i="2"/>
  <c r="CH369" i="2"/>
  <c r="BZ369" i="2"/>
  <c r="BX369" i="2"/>
  <c r="BV369" i="2"/>
  <c r="BT369" i="2"/>
  <c r="BR369" i="2"/>
  <c r="BP369" i="2"/>
  <c r="BN369" i="2"/>
  <c r="BL369" i="2"/>
  <c r="BB369" i="2"/>
  <c r="AW369" i="2"/>
  <c r="AO369" i="2"/>
  <c r="AM369" i="2"/>
  <c r="AK369" i="2"/>
  <c r="AI369" i="2"/>
  <c r="AG369" i="2"/>
  <c r="AE369" i="2"/>
  <c r="AC369" i="2"/>
  <c r="Q369" i="2"/>
  <c r="L369" i="2"/>
  <c r="MD368" i="2"/>
  <c r="MA368" i="2"/>
  <c r="LK368" i="2"/>
  <c r="LL368" i="2" s="1"/>
  <c r="DO368" i="2" s="1"/>
  <c r="MG368" i="2" s="1"/>
  <c r="KN368" i="2"/>
  <c r="KL368" i="2"/>
  <c r="KJ368" i="2"/>
  <c r="KH368" i="2"/>
  <c r="KF368" i="2"/>
  <c r="KD368" i="2"/>
  <c r="KB368" i="2"/>
  <c r="JZ368" i="2"/>
  <c r="JP368" i="2"/>
  <c r="JK368" i="2"/>
  <c r="JC368" i="2"/>
  <c r="JA368" i="2"/>
  <c r="IY368" i="2"/>
  <c r="IW368" i="2"/>
  <c r="IU368" i="2"/>
  <c r="IS368" i="2"/>
  <c r="IQ368" i="2"/>
  <c r="IO368" i="2"/>
  <c r="IE368" i="2"/>
  <c r="HZ368" i="2"/>
  <c r="HR368" i="2"/>
  <c r="HP368" i="2"/>
  <c r="HN368" i="2"/>
  <c r="HL368" i="2"/>
  <c r="HJ368" i="2"/>
  <c r="HH368" i="2"/>
  <c r="HF368" i="2"/>
  <c r="HD368" i="2"/>
  <c r="GT368" i="2"/>
  <c r="GO368" i="2"/>
  <c r="GG368" i="2"/>
  <c r="GE368" i="2"/>
  <c r="GC368" i="2"/>
  <c r="GA368" i="2"/>
  <c r="FY368" i="2"/>
  <c r="FW368" i="2"/>
  <c r="FU368" i="2"/>
  <c r="FS368" i="2"/>
  <c r="FI368" i="2"/>
  <c r="FD368" i="2"/>
  <c r="EV368" i="2"/>
  <c r="ET368" i="2"/>
  <c r="ER368" i="2"/>
  <c r="EP368" i="2"/>
  <c r="EN368" i="2"/>
  <c r="EL368" i="2"/>
  <c r="EJ368" i="2"/>
  <c r="EH368" i="2"/>
  <c r="DX368" i="2"/>
  <c r="DS368" i="2"/>
  <c r="DK368" i="2"/>
  <c r="DI368" i="2"/>
  <c r="DG368" i="2"/>
  <c r="DE368" i="2"/>
  <c r="DC368" i="2"/>
  <c r="DA368" i="2"/>
  <c r="CY368" i="2"/>
  <c r="CW368" i="2"/>
  <c r="CM368" i="2"/>
  <c r="CH368" i="2"/>
  <c r="BZ368" i="2"/>
  <c r="BX368" i="2"/>
  <c r="BV368" i="2"/>
  <c r="BT368" i="2"/>
  <c r="BR368" i="2"/>
  <c r="BP368" i="2"/>
  <c r="BN368" i="2"/>
  <c r="BB368" i="2"/>
  <c r="AW368" i="2"/>
  <c r="AO368" i="2"/>
  <c r="AM368" i="2"/>
  <c r="AK368" i="2"/>
  <c r="AI368" i="2"/>
  <c r="AG368" i="2"/>
  <c r="AE368" i="2"/>
  <c r="AC368" i="2"/>
  <c r="AA368" i="2"/>
  <c r="Q368" i="2"/>
  <c r="L368" i="2"/>
  <c r="MD367" i="2"/>
  <c r="MA367" i="2"/>
  <c r="LK367" i="2"/>
  <c r="LL367" i="2" s="1"/>
  <c r="KN367" i="2"/>
  <c r="KL367" i="2"/>
  <c r="KJ367" i="2"/>
  <c r="KH367" i="2"/>
  <c r="KF367" i="2"/>
  <c r="KD367" i="2"/>
  <c r="KB367" i="2"/>
  <c r="JZ367" i="2"/>
  <c r="JP367" i="2"/>
  <c r="JK367" i="2"/>
  <c r="JC367" i="2"/>
  <c r="JA367" i="2"/>
  <c r="IY367" i="2"/>
  <c r="IW367" i="2"/>
  <c r="IU367" i="2"/>
  <c r="IS367" i="2"/>
  <c r="IQ367" i="2"/>
  <c r="IO367" i="2"/>
  <c r="IE367" i="2"/>
  <c r="HZ367" i="2"/>
  <c r="HR367" i="2"/>
  <c r="HP367" i="2"/>
  <c r="HN367" i="2"/>
  <c r="HL367" i="2"/>
  <c r="HJ367" i="2"/>
  <c r="HH367" i="2"/>
  <c r="HF367" i="2"/>
  <c r="HD367" i="2"/>
  <c r="GT367" i="2"/>
  <c r="GQ367" i="2"/>
  <c r="GO367" i="2"/>
  <c r="GG367" i="2"/>
  <c r="GE367" i="2"/>
  <c r="GC367" i="2"/>
  <c r="GA367" i="2"/>
  <c r="FY367" i="2"/>
  <c r="FW367" i="2"/>
  <c r="FU367" i="2"/>
  <c r="FS367" i="2"/>
  <c r="FI367" i="2"/>
  <c r="FD367" i="2"/>
  <c r="EV367" i="2"/>
  <c r="ET367" i="2"/>
  <c r="ER367" i="2"/>
  <c r="EP367" i="2"/>
  <c r="EN367" i="2"/>
  <c r="EL367" i="2"/>
  <c r="EJ367" i="2"/>
  <c r="EH367" i="2"/>
  <c r="DX367" i="2"/>
  <c r="DS367" i="2"/>
  <c r="DK367" i="2"/>
  <c r="DI367" i="2"/>
  <c r="DG367" i="2"/>
  <c r="DE367" i="2"/>
  <c r="DC367" i="2"/>
  <c r="DA367" i="2"/>
  <c r="CY367" i="2"/>
  <c r="CW367" i="2"/>
  <c r="CM367" i="2"/>
  <c r="CH367" i="2"/>
  <c r="BZ367" i="2"/>
  <c r="BX367" i="2"/>
  <c r="BV367" i="2"/>
  <c r="BT367" i="2"/>
  <c r="BR367" i="2"/>
  <c r="BP367" i="2"/>
  <c r="BN367" i="2"/>
  <c r="BB367" i="2"/>
  <c r="AW367" i="2"/>
  <c r="AO367" i="2"/>
  <c r="AM367" i="2"/>
  <c r="AK367" i="2"/>
  <c r="AI367" i="2"/>
  <c r="AG367" i="2"/>
  <c r="AE367" i="2"/>
  <c r="AC367" i="2"/>
  <c r="AA367" i="2"/>
  <c r="Q367" i="2"/>
  <c r="L367" i="2"/>
  <c r="MD366" i="2"/>
  <c r="MA366" i="2"/>
  <c r="LK366" i="2"/>
  <c r="LL366" i="2" s="1"/>
  <c r="LU366" i="2" s="1"/>
  <c r="KN366" i="2"/>
  <c r="KL366" i="2"/>
  <c r="KJ366" i="2"/>
  <c r="KH366" i="2"/>
  <c r="KF366" i="2"/>
  <c r="KD366" i="2"/>
  <c r="KB366" i="2"/>
  <c r="JZ366" i="2"/>
  <c r="JP366" i="2"/>
  <c r="JK366" i="2"/>
  <c r="JC366" i="2"/>
  <c r="JA366" i="2"/>
  <c r="IY366" i="2"/>
  <c r="IW366" i="2"/>
  <c r="IU366" i="2"/>
  <c r="IS366" i="2"/>
  <c r="IQ366" i="2"/>
  <c r="IO366" i="2"/>
  <c r="IE366" i="2"/>
  <c r="HZ366" i="2"/>
  <c r="HR366" i="2"/>
  <c r="HP366" i="2"/>
  <c r="HN366" i="2"/>
  <c r="HL366" i="2"/>
  <c r="HJ366" i="2"/>
  <c r="HH366" i="2"/>
  <c r="HF366" i="2"/>
  <c r="HD366" i="2"/>
  <c r="GT366" i="2"/>
  <c r="GO366" i="2"/>
  <c r="GG366" i="2"/>
  <c r="GE366" i="2"/>
  <c r="GC366" i="2"/>
  <c r="GA366" i="2"/>
  <c r="FY366" i="2"/>
  <c r="FW366" i="2"/>
  <c r="FU366" i="2"/>
  <c r="FS366" i="2"/>
  <c r="FI366" i="2"/>
  <c r="FD366" i="2"/>
  <c r="EV366" i="2"/>
  <c r="ET366" i="2"/>
  <c r="ER366" i="2"/>
  <c r="EP366" i="2"/>
  <c r="EN366" i="2"/>
  <c r="EL366" i="2"/>
  <c r="EJ366" i="2"/>
  <c r="EH366" i="2"/>
  <c r="DX366" i="2"/>
  <c r="DS366" i="2"/>
  <c r="DK366" i="2"/>
  <c r="DI366" i="2"/>
  <c r="DG366" i="2"/>
  <c r="DE366" i="2"/>
  <c r="DC366" i="2"/>
  <c r="DA366" i="2"/>
  <c r="CY366" i="2"/>
  <c r="CW366" i="2"/>
  <c r="CH366" i="2"/>
  <c r="BZ366" i="2"/>
  <c r="BX366" i="2"/>
  <c r="BV366" i="2"/>
  <c r="BT366" i="2"/>
  <c r="BR366" i="2"/>
  <c r="BP366" i="2"/>
  <c r="BN366" i="2"/>
  <c r="AW366" i="2"/>
  <c r="AO366" i="2"/>
  <c r="AM366" i="2"/>
  <c r="AK366" i="2"/>
  <c r="AI366" i="2"/>
  <c r="AG366" i="2"/>
  <c r="AE366" i="2"/>
  <c r="AC366" i="2"/>
  <c r="AA366" i="2"/>
  <c r="Q366" i="2"/>
  <c r="L366" i="2"/>
  <c r="ML365" i="2"/>
  <c r="MD365" i="2"/>
  <c r="MA365" i="2"/>
  <c r="LK365" i="2"/>
  <c r="LL365" i="2" s="1"/>
  <c r="KN365" i="2"/>
  <c r="KL365" i="2"/>
  <c r="KJ365" i="2"/>
  <c r="KH365" i="2"/>
  <c r="KF365" i="2"/>
  <c r="KD365" i="2"/>
  <c r="KB365" i="2"/>
  <c r="JZ365" i="2"/>
  <c r="JP365" i="2"/>
  <c r="JM365" i="2"/>
  <c r="JK365" i="2"/>
  <c r="JC365" i="2"/>
  <c r="JA365" i="2"/>
  <c r="IY365" i="2"/>
  <c r="IW365" i="2"/>
  <c r="IU365" i="2"/>
  <c r="IS365" i="2"/>
  <c r="IQ365" i="2"/>
  <c r="IO365" i="2"/>
  <c r="IE365" i="2"/>
  <c r="HZ365" i="2"/>
  <c r="HR365" i="2"/>
  <c r="HP365" i="2"/>
  <c r="HN365" i="2"/>
  <c r="HL365" i="2"/>
  <c r="HJ365" i="2"/>
  <c r="HH365" i="2"/>
  <c r="HF365" i="2"/>
  <c r="HD365" i="2"/>
  <c r="GT365" i="2"/>
  <c r="GO365" i="2"/>
  <c r="GG365" i="2"/>
  <c r="GE365" i="2"/>
  <c r="GC365" i="2"/>
  <c r="GA365" i="2"/>
  <c r="FY365" i="2"/>
  <c r="FW365" i="2"/>
  <c r="FU365" i="2"/>
  <c r="FS365" i="2"/>
  <c r="FI365" i="2"/>
  <c r="FD365" i="2"/>
  <c r="EV365" i="2"/>
  <c r="ET365" i="2"/>
  <c r="ER365" i="2"/>
  <c r="EP365" i="2"/>
  <c r="EN365" i="2"/>
  <c r="EL365" i="2"/>
  <c r="EJ365" i="2"/>
  <c r="EH365" i="2"/>
  <c r="DX365" i="2"/>
  <c r="DS365" i="2"/>
  <c r="DK365" i="2"/>
  <c r="DI365" i="2"/>
  <c r="DG365" i="2"/>
  <c r="DE365" i="2"/>
  <c r="DC365" i="2"/>
  <c r="DA365" i="2"/>
  <c r="CY365" i="2"/>
  <c r="CW365" i="2"/>
  <c r="CM365" i="2"/>
  <c r="CJ365" i="2"/>
  <c r="CH365" i="2"/>
  <c r="BZ365" i="2"/>
  <c r="BX365" i="2"/>
  <c r="BV365" i="2"/>
  <c r="BT365" i="2"/>
  <c r="BR365" i="2"/>
  <c r="BP365" i="2"/>
  <c r="BN365" i="2"/>
  <c r="BL365" i="2"/>
  <c r="BB365" i="2"/>
  <c r="AW365" i="2"/>
  <c r="AO365" i="2"/>
  <c r="AM365" i="2"/>
  <c r="AK365" i="2"/>
  <c r="AI365" i="2"/>
  <c r="AG365" i="2"/>
  <c r="AE365" i="2"/>
  <c r="AC365" i="2"/>
  <c r="AA365" i="2"/>
  <c r="Q365" i="2"/>
  <c r="L365" i="2"/>
  <c r="MD364" i="2"/>
  <c r="MA364" i="2"/>
  <c r="LK364" i="2"/>
  <c r="LL364" i="2" s="1"/>
  <c r="KN364" i="2"/>
  <c r="KL364" i="2"/>
  <c r="KJ364" i="2"/>
  <c r="KH364" i="2"/>
  <c r="KF364" i="2"/>
  <c r="KD364" i="2"/>
  <c r="KB364" i="2"/>
  <c r="JZ364" i="2"/>
  <c r="JP364" i="2"/>
  <c r="JK364" i="2"/>
  <c r="JC364" i="2"/>
  <c r="JA364" i="2"/>
  <c r="IY364" i="2"/>
  <c r="IW364" i="2"/>
  <c r="IU364" i="2"/>
  <c r="IS364" i="2"/>
  <c r="IQ364" i="2"/>
  <c r="IO364" i="2"/>
  <c r="IE364" i="2"/>
  <c r="HZ364" i="2"/>
  <c r="HR364" i="2"/>
  <c r="HP364" i="2"/>
  <c r="HN364" i="2"/>
  <c r="HL364" i="2"/>
  <c r="HJ364" i="2"/>
  <c r="HH364" i="2"/>
  <c r="HF364" i="2"/>
  <c r="HD364" i="2"/>
  <c r="GO364" i="2"/>
  <c r="GG364" i="2"/>
  <c r="GE364" i="2"/>
  <c r="GC364" i="2"/>
  <c r="GA364" i="2"/>
  <c r="FY364" i="2"/>
  <c r="FW364" i="2"/>
  <c r="FU364" i="2"/>
  <c r="FS364" i="2"/>
  <c r="FI364" i="2"/>
  <c r="FF364" i="2"/>
  <c r="FD364" i="2"/>
  <c r="EV364" i="2"/>
  <c r="ET364" i="2"/>
  <c r="ER364" i="2"/>
  <c r="EP364" i="2"/>
  <c r="EN364" i="2"/>
  <c r="EL364" i="2"/>
  <c r="EJ364" i="2"/>
  <c r="EH364" i="2"/>
  <c r="DX364" i="2"/>
  <c r="DS364" i="2"/>
  <c r="DK364" i="2"/>
  <c r="DI364" i="2"/>
  <c r="DG364" i="2"/>
  <c r="DE364" i="2"/>
  <c r="DC364" i="2"/>
  <c r="DA364" i="2"/>
  <c r="CY364" i="2"/>
  <c r="CM364" i="2"/>
  <c r="CH364" i="2"/>
  <c r="BZ364" i="2"/>
  <c r="BX364" i="2"/>
  <c r="BV364" i="2"/>
  <c r="BT364" i="2"/>
  <c r="BR364" i="2"/>
  <c r="BP364" i="2"/>
  <c r="BN364" i="2"/>
  <c r="BL364" i="2"/>
  <c r="BB364" i="2"/>
  <c r="AW364" i="2"/>
  <c r="AO364" i="2"/>
  <c r="AM364" i="2"/>
  <c r="AK364" i="2"/>
  <c r="AI364" i="2"/>
  <c r="AG364" i="2"/>
  <c r="AE364" i="2"/>
  <c r="AC364" i="2"/>
  <c r="AA364" i="2"/>
  <c r="Q364" i="2"/>
  <c r="L364" i="2"/>
  <c r="MD363" i="2"/>
  <c r="LK363" i="2"/>
  <c r="LL363" i="2" s="1"/>
  <c r="KN363" i="2"/>
  <c r="KL363" i="2"/>
  <c r="KJ363" i="2"/>
  <c r="KH363" i="2"/>
  <c r="KF363" i="2"/>
  <c r="KD363" i="2"/>
  <c r="KB363" i="2"/>
  <c r="JZ363" i="2"/>
  <c r="JP363" i="2"/>
  <c r="JK363" i="2"/>
  <c r="JC363" i="2"/>
  <c r="JA363" i="2"/>
  <c r="IY363" i="2"/>
  <c r="IW363" i="2"/>
  <c r="IU363" i="2"/>
  <c r="IS363" i="2"/>
  <c r="IQ363" i="2"/>
  <c r="IO363" i="2"/>
  <c r="IE363" i="2"/>
  <c r="HZ363" i="2"/>
  <c r="HR363" i="2"/>
  <c r="HP363" i="2"/>
  <c r="HN363" i="2"/>
  <c r="HL363" i="2"/>
  <c r="HJ363" i="2"/>
  <c r="HH363" i="2"/>
  <c r="HF363" i="2"/>
  <c r="HD363" i="2"/>
  <c r="GO363" i="2"/>
  <c r="GG363" i="2"/>
  <c r="GE363" i="2"/>
  <c r="GC363" i="2"/>
  <c r="GA363" i="2"/>
  <c r="FY363" i="2"/>
  <c r="FW363" i="2"/>
  <c r="FS363" i="2"/>
  <c r="FD363" i="2"/>
  <c r="EV363" i="2"/>
  <c r="ET363" i="2"/>
  <c r="ER363" i="2"/>
  <c r="EP363" i="2"/>
  <c r="EN363" i="2"/>
  <c r="EL363" i="2"/>
  <c r="EJ363" i="2"/>
  <c r="EH363" i="2"/>
  <c r="DX363" i="2"/>
  <c r="DS363" i="2"/>
  <c r="DK363" i="2"/>
  <c r="DI363" i="2"/>
  <c r="DG363" i="2"/>
  <c r="DE363" i="2"/>
  <c r="DC363" i="2"/>
  <c r="DA363" i="2"/>
  <c r="CY363" i="2"/>
  <c r="CW363" i="2"/>
  <c r="CM363" i="2"/>
  <c r="CJ363" i="2"/>
  <c r="CH363" i="2"/>
  <c r="BZ363" i="2"/>
  <c r="BX363" i="2"/>
  <c r="BV363" i="2"/>
  <c r="BT363" i="2"/>
  <c r="BR363" i="2"/>
  <c r="BP363" i="2"/>
  <c r="BL363" i="2"/>
  <c r="BB363" i="2"/>
  <c r="AY363" i="2"/>
  <c r="AW363" i="2"/>
  <c r="AO363" i="2"/>
  <c r="AM363" i="2"/>
  <c r="AK363" i="2"/>
  <c r="AI363" i="2"/>
  <c r="AG363" i="2"/>
  <c r="AE363" i="2"/>
  <c r="AC363" i="2"/>
  <c r="AA363" i="2"/>
  <c r="Q363" i="2"/>
  <c r="L363" i="2"/>
  <c r="ML362" i="2"/>
  <c r="MK362" i="2"/>
  <c r="MD362" i="2"/>
  <c r="MA362" i="2"/>
  <c r="LK362" i="2"/>
  <c r="LL362" i="2" s="1"/>
  <c r="LQ362" i="2" s="1"/>
  <c r="KN362" i="2"/>
  <c r="KL362" i="2"/>
  <c r="KJ362" i="2"/>
  <c r="KH362" i="2"/>
  <c r="KF362" i="2"/>
  <c r="KD362" i="2"/>
  <c r="KB362" i="2"/>
  <c r="JZ362" i="2"/>
  <c r="JP362" i="2"/>
  <c r="JM362" i="2"/>
  <c r="JK362" i="2"/>
  <c r="JC362" i="2"/>
  <c r="JA362" i="2"/>
  <c r="IY362" i="2"/>
  <c r="IW362" i="2"/>
  <c r="IU362" i="2"/>
  <c r="IS362" i="2"/>
  <c r="IQ362" i="2"/>
  <c r="IO362" i="2"/>
  <c r="IE362" i="2"/>
  <c r="IB362" i="2"/>
  <c r="HZ362" i="2"/>
  <c r="HR362" i="2"/>
  <c r="HP362" i="2"/>
  <c r="HN362" i="2"/>
  <c r="HL362" i="2"/>
  <c r="HJ362" i="2"/>
  <c r="HH362" i="2"/>
  <c r="HF362" i="2"/>
  <c r="HD362" i="2"/>
  <c r="GT362" i="2"/>
  <c r="GO362" i="2"/>
  <c r="GG362" i="2"/>
  <c r="GE362" i="2"/>
  <c r="GC362" i="2"/>
  <c r="GA362" i="2"/>
  <c r="FY362" i="2"/>
  <c r="FW362" i="2"/>
  <c r="FS362" i="2"/>
  <c r="FD362" i="2"/>
  <c r="EV362" i="2"/>
  <c r="ET362" i="2"/>
  <c r="ER362" i="2"/>
  <c r="EP362" i="2"/>
  <c r="EN362" i="2"/>
  <c r="EJ362" i="2"/>
  <c r="EH362" i="2"/>
  <c r="DS362" i="2"/>
  <c r="DK362" i="2"/>
  <c r="DI362" i="2"/>
  <c r="DG362" i="2"/>
  <c r="DE362" i="2"/>
  <c r="DC362" i="2"/>
  <c r="DA362" i="2"/>
  <c r="CW362" i="2"/>
  <c r="CM362" i="2"/>
  <c r="CH362" i="2"/>
  <c r="BZ362" i="2"/>
  <c r="BX362" i="2"/>
  <c r="BV362" i="2"/>
  <c r="BT362" i="2"/>
  <c r="BR362" i="2"/>
  <c r="BL362" i="2"/>
  <c r="BB362" i="2"/>
  <c r="AY362" i="2"/>
  <c r="AW362" i="2"/>
  <c r="AO362" i="2"/>
  <c r="AM362" i="2"/>
  <c r="AK362" i="2"/>
  <c r="AI362" i="2"/>
  <c r="AG362" i="2"/>
  <c r="AE362" i="2"/>
  <c r="AC362" i="2"/>
  <c r="AA362" i="2"/>
  <c r="Q362" i="2"/>
  <c r="L362" i="2"/>
  <c r="MD361" i="2"/>
  <c r="MA361" i="2"/>
  <c r="LK361" i="2"/>
  <c r="LL361" i="2" s="1"/>
  <c r="AS361" i="2" s="1"/>
  <c r="ME361" i="2" s="1"/>
  <c r="KN361" i="2"/>
  <c r="KL361" i="2"/>
  <c r="KJ361" i="2"/>
  <c r="KH361" i="2"/>
  <c r="KF361" i="2"/>
  <c r="KD361" i="2"/>
  <c r="KB361" i="2"/>
  <c r="JZ361" i="2"/>
  <c r="JP361" i="2"/>
  <c r="JK361" i="2"/>
  <c r="JC361" i="2"/>
  <c r="JA361" i="2"/>
  <c r="IY361" i="2"/>
  <c r="IW361" i="2"/>
  <c r="IU361" i="2"/>
  <c r="IS361" i="2"/>
  <c r="IQ361" i="2"/>
  <c r="IO361" i="2"/>
  <c r="IE361" i="2"/>
  <c r="HZ361" i="2"/>
  <c r="HR361" i="2"/>
  <c r="HP361" i="2"/>
  <c r="HN361" i="2"/>
  <c r="HL361" i="2"/>
  <c r="HJ361" i="2"/>
  <c r="HH361" i="2"/>
  <c r="HF361" i="2"/>
  <c r="HD361" i="2"/>
  <c r="GT361" i="2"/>
  <c r="GO361" i="2"/>
  <c r="GG361" i="2"/>
  <c r="GE361" i="2"/>
  <c r="GC361" i="2"/>
  <c r="GA361" i="2"/>
  <c r="FY361" i="2"/>
  <c r="FW361" i="2"/>
  <c r="FU361" i="2"/>
  <c r="FI361" i="2"/>
  <c r="FD361" i="2"/>
  <c r="EV361" i="2"/>
  <c r="ET361" i="2"/>
  <c r="ER361" i="2"/>
  <c r="EP361" i="2"/>
  <c r="EN361" i="2"/>
  <c r="EL361" i="2"/>
  <c r="EJ361" i="2"/>
  <c r="EH361" i="2"/>
  <c r="DX361" i="2"/>
  <c r="DS361" i="2"/>
  <c r="DK361" i="2"/>
  <c r="DI361" i="2"/>
  <c r="DG361" i="2"/>
  <c r="DE361" i="2"/>
  <c r="DC361" i="2"/>
  <c r="DA361" i="2"/>
  <c r="CY361" i="2"/>
  <c r="CW361" i="2"/>
  <c r="CM361" i="2"/>
  <c r="CH361" i="2"/>
  <c r="BZ361" i="2"/>
  <c r="BX361" i="2"/>
  <c r="BV361" i="2"/>
  <c r="BT361" i="2"/>
  <c r="BR361" i="2"/>
  <c r="BP361" i="2"/>
  <c r="BN361" i="2"/>
  <c r="BB361" i="2"/>
  <c r="AW361" i="2"/>
  <c r="AO361" i="2"/>
  <c r="AM361" i="2"/>
  <c r="AK361" i="2"/>
  <c r="AI361" i="2"/>
  <c r="AG361" i="2"/>
  <c r="AE361" i="2"/>
  <c r="AC361" i="2"/>
  <c r="AA361" i="2"/>
  <c r="Q361" i="2"/>
  <c r="L361" i="2"/>
  <c r="ML360" i="2"/>
  <c r="MD360" i="2"/>
  <c r="MA360" i="2"/>
  <c r="LK360" i="2"/>
  <c r="LL360" i="2" s="1"/>
  <c r="KN360" i="2"/>
  <c r="KL360" i="2"/>
  <c r="KJ360" i="2"/>
  <c r="KH360" i="2"/>
  <c r="KF360" i="2"/>
  <c r="KD360" i="2"/>
  <c r="KB360" i="2"/>
  <c r="JZ360" i="2"/>
  <c r="JP360" i="2"/>
  <c r="JM360" i="2"/>
  <c r="JK360" i="2"/>
  <c r="JC360" i="2"/>
  <c r="JA360" i="2"/>
  <c r="IY360" i="2"/>
  <c r="IW360" i="2"/>
  <c r="IU360" i="2"/>
  <c r="IS360" i="2"/>
  <c r="IQ360" i="2"/>
  <c r="IO360" i="2"/>
  <c r="IE360" i="2"/>
  <c r="HZ360" i="2"/>
  <c r="HR360" i="2"/>
  <c r="HP360" i="2"/>
  <c r="HN360" i="2"/>
  <c r="HL360" i="2"/>
  <c r="HJ360" i="2"/>
  <c r="HH360" i="2"/>
  <c r="HF360" i="2"/>
  <c r="HD360" i="2"/>
  <c r="GT360" i="2"/>
  <c r="GO360" i="2"/>
  <c r="GG360" i="2"/>
  <c r="GE360" i="2"/>
  <c r="GC360" i="2"/>
  <c r="GA360" i="2"/>
  <c r="FY360" i="2"/>
  <c r="FW360" i="2"/>
  <c r="FU360" i="2"/>
  <c r="FS360" i="2"/>
  <c r="FI360" i="2"/>
  <c r="FD360" i="2"/>
  <c r="EV360" i="2"/>
  <c r="ET360" i="2"/>
  <c r="ER360" i="2"/>
  <c r="EP360" i="2"/>
  <c r="EN360" i="2"/>
  <c r="EL360" i="2"/>
  <c r="EJ360" i="2"/>
  <c r="DX360" i="2"/>
  <c r="DS360" i="2"/>
  <c r="DK360" i="2"/>
  <c r="DI360" i="2"/>
  <c r="DG360" i="2"/>
  <c r="DE360" i="2"/>
  <c r="DC360" i="2"/>
  <c r="DA360" i="2"/>
  <c r="CY360" i="2"/>
  <c r="CW360" i="2"/>
  <c r="CM360" i="2"/>
  <c r="CJ360" i="2"/>
  <c r="CH360" i="2"/>
  <c r="BZ360" i="2"/>
  <c r="BX360" i="2"/>
  <c r="BV360" i="2"/>
  <c r="BT360" i="2"/>
  <c r="BR360" i="2"/>
  <c r="BP360" i="2"/>
  <c r="BN360" i="2"/>
  <c r="BB360" i="2"/>
  <c r="AW360" i="2"/>
  <c r="AO360" i="2"/>
  <c r="AM360" i="2"/>
  <c r="AK360" i="2"/>
  <c r="AI360" i="2"/>
  <c r="AG360" i="2"/>
  <c r="AE360" i="2"/>
  <c r="AC360" i="2"/>
  <c r="AA360" i="2"/>
  <c r="Q360" i="2"/>
  <c r="L360" i="2"/>
  <c r="MD359" i="2"/>
  <c r="MA359" i="2"/>
  <c r="LK359" i="2"/>
  <c r="LL359" i="2" s="1"/>
  <c r="LQ359" i="2" s="1"/>
  <c r="KN359" i="2"/>
  <c r="KL359" i="2"/>
  <c r="KJ359" i="2"/>
  <c r="KH359" i="2"/>
  <c r="KF359" i="2"/>
  <c r="KD359" i="2"/>
  <c r="KB359" i="2"/>
  <c r="JZ359" i="2"/>
  <c r="JP359" i="2"/>
  <c r="JK359" i="2"/>
  <c r="JC359" i="2"/>
  <c r="JA359" i="2"/>
  <c r="IY359" i="2"/>
  <c r="IW359" i="2"/>
  <c r="IU359" i="2"/>
  <c r="IS359" i="2"/>
  <c r="IQ359" i="2"/>
  <c r="IO359" i="2"/>
  <c r="IE359" i="2"/>
  <c r="IB359" i="2"/>
  <c r="HZ359" i="2"/>
  <c r="HR359" i="2"/>
  <c r="HP359" i="2"/>
  <c r="HN359" i="2"/>
  <c r="HL359" i="2"/>
  <c r="HJ359" i="2"/>
  <c r="HH359" i="2"/>
  <c r="HF359" i="2"/>
  <c r="HD359" i="2"/>
  <c r="GT359" i="2"/>
  <c r="GO359" i="2"/>
  <c r="GG359" i="2"/>
  <c r="GE359" i="2"/>
  <c r="GC359" i="2"/>
  <c r="GA359" i="2"/>
  <c r="FY359" i="2"/>
  <c r="FW359" i="2"/>
  <c r="FU359" i="2"/>
  <c r="FS359" i="2"/>
  <c r="FI359" i="2"/>
  <c r="FD359" i="2"/>
  <c r="EV359" i="2"/>
  <c r="ET359" i="2"/>
  <c r="ER359" i="2"/>
  <c r="EP359" i="2"/>
  <c r="EN359" i="2"/>
  <c r="EL359" i="2"/>
  <c r="EJ359" i="2"/>
  <c r="DX359" i="2"/>
  <c r="DS359" i="2"/>
  <c r="DK359" i="2"/>
  <c r="DI359" i="2"/>
  <c r="DG359" i="2"/>
  <c r="DE359" i="2"/>
  <c r="DC359" i="2"/>
  <c r="DA359" i="2"/>
  <c r="CY359" i="2"/>
  <c r="CM359" i="2"/>
  <c r="CH359" i="2"/>
  <c r="BZ359" i="2"/>
  <c r="BX359" i="2"/>
  <c r="BV359" i="2"/>
  <c r="BT359" i="2"/>
  <c r="BR359" i="2"/>
  <c r="BP359" i="2"/>
  <c r="BN359" i="2"/>
  <c r="AW359" i="2"/>
  <c r="AO359" i="2"/>
  <c r="AM359" i="2"/>
  <c r="AK359" i="2"/>
  <c r="AI359" i="2"/>
  <c r="AG359" i="2"/>
  <c r="AE359" i="2"/>
  <c r="AC359" i="2"/>
  <c r="AA359" i="2"/>
  <c r="Q359" i="2"/>
  <c r="L359" i="2"/>
  <c r="MD358" i="2"/>
  <c r="MA358" i="2"/>
  <c r="LK358" i="2"/>
  <c r="LL358" i="2" s="1"/>
  <c r="HV358" i="2" s="1"/>
  <c r="MJ358" i="2" s="1"/>
  <c r="KN358" i="2"/>
  <c r="KL358" i="2"/>
  <c r="KJ358" i="2"/>
  <c r="KH358" i="2"/>
  <c r="KF358" i="2"/>
  <c r="KD358" i="2"/>
  <c r="KB358" i="2"/>
  <c r="JZ358" i="2"/>
  <c r="JP358" i="2"/>
  <c r="JK358" i="2"/>
  <c r="JC358" i="2"/>
  <c r="JA358" i="2"/>
  <c r="IY358" i="2"/>
  <c r="IW358" i="2"/>
  <c r="IU358" i="2"/>
  <c r="IS358" i="2"/>
  <c r="IQ358" i="2"/>
  <c r="IO358" i="2"/>
  <c r="IE358" i="2"/>
  <c r="IB358" i="2"/>
  <c r="HZ358" i="2"/>
  <c r="HR358" i="2"/>
  <c r="HP358" i="2"/>
  <c r="HN358" i="2"/>
  <c r="HL358" i="2"/>
  <c r="HJ358" i="2"/>
  <c r="HH358" i="2"/>
  <c r="HF358" i="2"/>
  <c r="HD358" i="2"/>
  <c r="GT358" i="2"/>
  <c r="GO358" i="2"/>
  <c r="GG358" i="2"/>
  <c r="GE358" i="2"/>
  <c r="GC358" i="2"/>
  <c r="GA358" i="2"/>
  <c r="FY358" i="2"/>
  <c r="FW358" i="2"/>
  <c r="FU358" i="2"/>
  <c r="FS358" i="2"/>
  <c r="FI358" i="2"/>
  <c r="FD358" i="2"/>
  <c r="EV358" i="2"/>
  <c r="ET358" i="2"/>
  <c r="ER358" i="2"/>
  <c r="EP358" i="2"/>
  <c r="EN358" i="2"/>
  <c r="EL358" i="2"/>
  <c r="EJ358" i="2"/>
  <c r="DX358" i="2"/>
  <c r="DS358" i="2"/>
  <c r="DK358" i="2"/>
  <c r="DI358" i="2"/>
  <c r="DG358" i="2"/>
  <c r="DE358" i="2"/>
  <c r="DC358" i="2"/>
  <c r="DA358" i="2"/>
  <c r="CY358" i="2"/>
  <c r="CW358" i="2"/>
  <c r="CM358" i="2"/>
  <c r="CH358" i="2"/>
  <c r="BZ358" i="2"/>
  <c r="BX358" i="2"/>
  <c r="BV358" i="2"/>
  <c r="BT358" i="2"/>
  <c r="BR358" i="2"/>
  <c r="BP358" i="2"/>
  <c r="BN358" i="2"/>
  <c r="BL358" i="2"/>
  <c r="BB358" i="2"/>
  <c r="AW358" i="2"/>
  <c r="AO358" i="2"/>
  <c r="AM358" i="2"/>
  <c r="AK358" i="2"/>
  <c r="AI358" i="2"/>
  <c r="AG358" i="2"/>
  <c r="AE358" i="2"/>
  <c r="AC358" i="2"/>
  <c r="AA358" i="2"/>
  <c r="Q358" i="2"/>
  <c r="L358" i="2"/>
  <c r="ML357" i="2"/>
  <c r="MD357" i="2"/>
  <c r="MA357" i="2"/>
  <c r="LK357" i="2"/>
  <c r="LL357" i="2" s="1"/>
  <c r="KR357" i="2" s="1"/>
  <c r="KN357" i="2"/>
  <c r="KL357" i="2"/>
  <c r="KJ357" i="2"/>
  <c r="KH357" i="2"/>
  <c r="KF357" i="2"/>
  <c r="KD357" i="2"/>
  <c r="KB357" i="2"/>
  <c r="JZ357" i="2"/>
  <c r="JP357" i="2"/>
  <c r="JM357" i="2"/>
  <c r="JK357" i="2"/>
  <c r="JC357" i="2"/>
  <c r="JA357" i="2"/>
  <c r="IY357" i="2"/>
  <c r="IW357" i="2"/>
  <c r="IU357" i="2"/>
  <c r="IS357" i="2"/>
  <c r="IQ357" i="2"/>
  <c r="IO357" i="2"/>
  <c r="IE357" i="2"/>
  <c r="HZ357" i="2"/>
  <c r="HR357" i="2"/>
  <c r="HP357" i="2"/>
  <c r="HN357" i="2"/>
  <c r="HL357" i="2"/>
  <c r="HJ357" i="2"/>
  <c r="HH357" i="2"/>
  <c r="HF357" i="2"/>
  <c r="HD357" i="2"/>
  <c r="GT357" i="2"/>
  <c r="GO357" i="2"/>
  <c r="GG357" i="2"/>
  <c r="GE357" i="2"/>
  <c r="GC357" i="2"/>
  <c r="GA357" i="2"/>
  <c r="FY357" i="2"/>
  <c r="FW357" i="2"/>
  <c r="FU357" i="2"/>
  <c r="FS357" i="2"/>
  <c r="FI357" i="2"/>
  <c r="FD357" i="2"/>
  <c r="EV357" i="2"/>
  <c r="ET357" i="2"/>
  <c r="ER357" i="2"/>
  <c r="EP357" i="2"/>
  <c r="EN357" i="2"/>
  <c r="EL357" i="2"/>
  <c r="EJ357" i="2"/>
  <c r="EH357" i="2"/>
  <c r="DX357" i="2"/>
  <c r="DS357" i="2"/>
  <c r="DK357" i="2"/>
  <c r="DI357" i="2"/>
  <c r="DG357" i="2"/>
  <c r="DE357" i="2"/>
  <c r="DC357" i="2"/>
  <c r="DA357" i="2"/>
  <c r="CY357" i="2"/>
  <c r="CM357" i="2"/>
  <c r="CJ357" i="2"/>
  <c r="CH357" i="2"/>
  <c r="BZ357" i="2"/>
  <c r="BX357" i="2"/>
  <c r="BV357" i="2"/>
  <c r="BT357" i="2"/>
  <c r="BR357" i="2"/>
  <c r="BP357" i="2"/>
  <c r="BN357" i="2"/>
  <c r="BL357" i="2"/>
  <c r="BB357" i="2"/>
  <c r="AW357" i="2"/>
  <c r="AO357" i="2"/>
  <c r="AM357" i="2"/>
  <c r="AK357" i="2"/>
  <c r="AI357" i="2"/>
  <c r="AG357" i="2"/>
  <c r="AE357" i="2"/>
  <c r="AC357" i="2"/>
  <c r="AA357" i="2"/>
  <c r="Q357" i="2"/>
  <c r="L357" i="2"/>
  <c r="MD356" i="2"/>
  <c r="MA356" i="2"/>
  <c r="LK356" i="2"/>
  <c r="LL356" i="2" s="1"/>
  <c r="CD356" i="2" s="1"/>
  <c r="KN356" i="2"/>
  <c r="KL356" i="2"/>
  <c r="KJ356" i="2"/>
  <c r="KH356" i="2"/>
  <c r="KF356" i="2"/>
  <c r="KD356" i="2"/>
  <c r="KB356" i="2"/>
  <c r="JZ356" i="2"/>
  <c r="JP356" i="2"/>
  <c r="JK356" i="2"/>
  <c r="JC356" i="2"/>
  <c r="JA356" i="2"/>
  <c r="IY356" i="2"/>
  <c r="IW356" i="2"/>
  <c r="IU356" i="2"/>
  <c r="IS356" i="2"/>
  <c r="IQ356" i="2"/>
  <c r="IO356" i="2"/>
  <c r="IE356" i="2"/>
  <c r="HZ356" i="2"/>
  <c r="HR356" i="2"/>
  <c r="HP356" i="2"/>
  <c r="HN356" i="2"/>
  <c r="HL356" i="2"/>
  <c r="HJ356" i="2"/>
  <c r="HH356" i="2"/>
  <c r="HF356" i="2"/>
  <c r="HD356" i="2"/>
  <c r="GT356" i="2"/>
  <c r="GO356" i="2"/>
  <c r="GG356" i="2"/>
  <c r="GE356" i="2"/>
  <c r="GC356" i="2"/>
  <c r="GA356" i="2"/>
  <c r="FY356" i="2"/>
  <c r="FW356" i="2"/>
  <c r="FU356" i="2"/>
  <c r="FI356" i="2"/>
  <c r="FD356" i="2"/>
  <c r="EV356" i="2"/>
  <c r="ET356" i="2"/>
  <c r="ER356" i="2"/>
  <c r="EP356" i="2"/>
  <c r="EN356" i="2"/>
  <c r="EL356" i="2"/>
  <c r="EJ356" i="2"/>
  <c r="EH356" i="2"/>
  <c r="DX356" i="2"/>
  <c r="DS356" i="2"/>
  <c r="DK356" i="2"/>
  <c r="DI356" i="2"/>
  <c r="DG356" i="2"/>
  <c r="DE356" i="2"/>
  <c r="DC356" i="2"/>
  <c r="DA356" i="2"/>
  <c r="CY356" i="2"/>
  <c r="CW356" i="2"/>
  <c r="CM356" i="2"/>
  <c r="CH356" i="2"/>
  <c r="BZ356" i="2"/>
  <c r="BX356" i="2"/>
  <c r="BV356" i="2"/>
  <c r="BT356" i="2"/>
  <c r="BR356" i="2"/>
  <c r="BP356" i="2"/>
  <c r="BL356" i="2"/>
  <c r="BB356" i="2"/>
  <c r="AW356" i="2"/>
  <c r="AO356" i="2"/>
  <c r="AM356" i="2"/>
  <c r="AK356" i="2"/>
  <c r="AI356" i="2"/>
  <c r="AG356" i="2"/>
  <c r="AE356" i="2"/>
  <c r="AC356" i="2"/>
  <c r="L356" i="2"/>
  <c r="ML355" i="2"/>
  <c r="MD355" i="2"/>
  <c r="MA355" i="2"/>
  <c r="LK355" i="2"/>
  <c r="LL355" i="2" s="1"/>
  <c r="KR355" i="2" s="1"/>
  <c r="KN355" i="2"/>
  <c r="KL355" i="2"/>
  <c r="KJ355" i="2"/>
  <c r="KH355" i="2"/>
  <c r="KF355" i="2"/>
  <c r="KD355" i="2"/>
  <c r="KB355" i="2"/>
  <c r="JZ355" i="2"/>
  <c r="JP355" i="2"/>
  <c r="JM355" i="2"/>
  <c r="JK355" i="2"/>
  <c r="JC355" i="2"/>
  <c r="JA355" i="2"/>
  <c r="IY355" i="2"/>
  <c r="IW355" i="2"/>
  <c r="IU355" i="2"/>
  <c r="IS355" i="2"/>
  <c r="IQ355" i="2"/>
  <c r="IO355" i="2"/>
  <c r="IE355" i="2"/>
  <c r="IB355" i="2"/>
  <c r="HZ355" i="2"/>
  <c r="HR355" i="2"/>
  <c r="HP355" i="2"/>
  <c r="HN355" i="2"/>
  <c r="HL355" i="2"/>
  <c r="HJ355" i="2"/>
  <c r="HH355" i="2"/>
  <c r="HF355" i="2"/>
  <c r="HD355" i="2"/>
  <c r="GT355" i="2"/>
  <c r="GQ355" i="2"/>
  <c r="GO355" i="2"/>
  <c r="GG355" i="2"/>
  <c r="GE355" i="2"/>
  <c r="GC355" i="2"/>
  <c r="GA355" i="2"/>
  <c r="FY355" i="2"/>
  <c r="FW355" i="2"/>
  <c r="FU355" i="2"/>
  <c r="FS355" i="2"/>
  <c r="FI355" i="2"/>
  <c r="FF355" i="2"/>
  <c r="FD355" i="2"/>
  <c r="EV355" i="2"/>
  <c r="ET355" i="2"/>
  <c r="ER355" i="2"/>
  <c r="EP355" i="2"/>
  <c r="EN355" i="2"/>
  <c r="EL355" i="2"/>
  <c r="EJ355" i="2"/>
  <c r="EH355" i="2"/>
  <c r="DX355" i="2"/>
  <c r="DS355" i="2"/>
  <c r="DK355" i="2"/>
  <c r="DI355" i="2"/>
  <c r="DG355" i="2"/>
  <c r="DE355" i="2"/>
  <c r="DA355" i="2"/>
  <c r="CY355" i="2"/>
  <c r="CW355" i="2"/>
  <c r="CM355" i="2"/>
  <c r="CJ355" i="2"/>
  <c r="CH355" i="2"/>
  <c r="BZ355" i="2"/>
  <c r="BX355" i="2"/>
  <c r="BV355" i="2"/>
  <c r="BT355" i="2"/>
  <c r="BR355" i="2"/>
  <c r="BP355" i="2"/>
  <c r="BN355" i="2"/>
  <c r="BL355" i="2"/>
  <c r="BB355" i="2"/>
  <c r="AY355" i="2"/>
  <c r="AW355" i="2"/>
  <c r="AO355" i="2"/>
  <c r="AM355" i="2"/>
  <c r="AK355" i="2"/>
  <c r="AI355" i="2"/>
  <c r="AG355" i="2"/>
  <c r="AE355" i="2"/>
  <c r="AC355" i="2"/>
  <c r="AA355" i="2"/>
  <c r="Q355" i="2"/>
  <c r="L355" i="2"/>
  <c r="MD354" i="2"/>
  <c r="LK354" i="2"/>
  <c r="LL354" i="2" s="1"/>
  <c r="KN354" i="2"/>
  <c r="KL354" i="2"/>
  <c r="KJ354" i="2"/>
  <c r="KH354" i="2"/>
  <c r="KF354" i="2"/>
  <c r="KD354" i="2"/>
  <c r="KB354" i="2"/>
  <c r="JZ354" i="2"/>
  <c r="JP354" i="2"/>
  <c r="JM354" i="2"/>
  <c r="JK354" i="2"/>
  <c r="JC354" i="2"/>
  <c r="JA354" i="2"/>
  <c r="IY354" i="2"/>
  <c r="IW354" i="2"/>
  <c r="IU354" i="2"/>
  <c r="IS354" i="2"/>
  <c r="IQ354" i="2"/>
  <c r="IO354" i="2"/>
  <c r="IE354" i="2"/>
  <c r="IB354" i="2"/>
  <c r="HZ354" i="2"/>
  <c r="HR354" i="2"/>
  <c r="HP354" i="2"/>
  <c r="HN354" i="2"/>
  <c r="HL354" i="2"/>
  <c r="HJ354" i="2"/>
  <c r="HF354" i="2"/>
  <c r="HD354" i="2"/>
  <c r="GT354" i="2"/>
  <c r="GO354" i="2"/>
  <c r="GG354" i="2"/>
  <c r="GE354" i="2"/>
  <c r="GC354" i="2"/>
  <c r="GA354" i="2"/>
  <c r="FY354" i="2"/>
  <c r="FW354" i="2"/>
  <c r="FU354" i="2"/>
  <c r="FS354" i="2"/>
  <c r="FI354" i="2"/>
  <c r="FF354" i="2"/>
  <c r="FD354" i="2"/>
  <c r="EV354" i="2"/>
  <c r="ET354" i="2"/>
  <c r="ER354" i="2"/>
  <c r="EP354" i="2"/>
  <c r="EN354" i="2"/>
  <c r="EL354" i="2"/>
  <c r="EJ354" i="2"/>
  <c r="EH354" i="2"/>
  <c r="DX354" i="2"/>
  <c r="DU354" i="2"/>
  <c r="DS354" i="2"/>
  <c r="DK354" i="2"/>
  <c r="DI354" i="2"/>
  <c r="DG354" i="2"/>
  <c r="DE354" i="2"/>
  <c r="DC354" i="2"/>
  <c r="DA354" i="2"/>
  <c r="CY354" i="2"/>
  <c r="CW354" i="2"/>
  <c r="CM354" i="2"/>
  <c r="CJ354" i="2"/>
  <c r="CH354" i="2"/>
  <c r="BZ354" i="2"/>
  <c r="BX354" i="2"/>
  <c r="BV354" i="2"/>
  <c r="BT354" i="2"/>
  <c r="BR354" i="2"/>
  <c r="BP354" i="2"/>
  <c r="BN354" i="2"/>
  <c r="BL354" i="2"/>
  <c r="BB354" i="2"/>
  <c r="AW354" i="2"/>
  <c r="AO354" i="2"/>
  <c r="AM354" i="2"/>
  <c r="AK354" i="2"/>
  <c r="AI354" i="2"/>
  <c r="AG354" i="2"/>
  <c r="AE354" i="2"/>
  <c r="AC354" i="2"/>
  <c r="Q354" i="2"/>
  <c r="L354" i="2"/>
  <c r="MD352" i="2"/>
  <c r="MA352" i="2"/>
  <c r="LK352" i="2"/>
  <c r="LL352" i="2" s="1"/>
  <c r="KN352" i="2"/>
  <c r="KL352" i="2"/>
  <c r="KJ352" i="2"/>
  <c r="KH352" i="2"/>
  <c r="KF352" i="2"/>
  <c r="KD352" i="2"/>
  <c r="KB352" i="2"/>
  <c r="JZ352" i="2"/>
  <c r="JP352" i="2"/>
  <c r="JK352" i="2"/>
  <c r="JC352" i="2"/>
  <c r="JA352" i="2"/>
  <c r="IY352" i="2"/>
  <c r="IW352" i="2"/>
  <c r="IU352" i="2"/>
  <c r="IS352" i="2"/>
  <c r="IQ352" i="2"/>
  <c r="IO352" i="2"/>
  <c r="HZ352" i="2"/>
  <c r="HR352" i="2"/>
  <c r="HP352" i="2"/>
  <c r="HN352" i="2"/>
  <c r="HL352" i="2"/>
  <c r="HJ352" i="2"/>
  <c r="HH352" i="2"/>
  <c r="HD352" i="2"/>
  <c r="GT352" i="2"/>
  <c r="GO352" i="2"/>
  <c r="GG352" i="2"/>
  <c r="GE352" i="2"/>
  <c r="GC352" i="2"/>
  <c r="GA352" i="2"/>
  <c r="FY352" i="2"/>
  <c r="FW352" i="2"/>
  <c r="FU352" i="2"/>
  <c r="FD352" i="2"/>
  <c r="EV352" i="2"/>
  <c r="ET352" i="2"/>
  <c r="ER352" i="2"/>
  <c r="EP352" i="2"/>
  <c r="EN352" i="2"/>
  <c r="EL352" i="2"/>
  <c r="EH352" i="2"/>
  <c r="DX352" i="2"/>
  <c r="DS352" i="2"/>
  <c r="DK352" i="2"/>
  <c r="DI352" i="2"/>
  <c r="DG352" i="2"/>
  <c r="DE352" i="2"/>
  <c r="DC352" i="2"/>
  <c r="DA352" i="2"/>
  <c r="CY352" i="2"/>
  <c r="CW352" i="2"/>
  <c r="CM352" i="2"/>
  <c r="CJ352" i="2"/>
  <c r="BZ352" i="2"/>
  <c r="BX352" i="2"/>
  <c r="BV352" i="2"/>
  <c r="BT352" i="2"/>
  <c r="BR352" i="2"/>
  <c r="BP352" i="2"/>
  <c r="BL352" i="2"/>
  <c r="BB352" i="2"/>
  <c r="AW352" i="2"/>
  <c r="AO352" i="2"/>
  <c r="AM352" i="2"/>
  <c r="AK352" i="2"/>
  <c r="AI352" i="2"/>
  <c r="AG352" i="2"/>
  <c r="AE352" i="2"/>
  <c r="AC352" i="2"/>
  <c r="AA352" i="2"/>
  <c r="L352" i="2"/>
  <c r="MD351" i="2"/>
  <c r="MA351" i="2"/>
  <c r="LK351" i="2"/>
  <c r="LL351" i="2" s="1"/>
  <c r="KN351" i="2"/>
  <c r="KL351" i="2"/>
  <c r="KJ351" i="2"/>
  <c r="KH351" i="2"/>
  <c r="KF351" i="2"/>
  <c r="KD351" i="2"/>
  <c r="KB351" i="2"/>
  <c r="JZ351" i="2"/>
  <c r="JP351" i="2"/>
  <c r="JK351" i="2"/>
  <c r="JC351" i="2"/>
  <c r="JA351" i="2"/>
  <c r="IY351" i="2"/>
  <c r="IW351" i="2"/>
  <c r="IU351" i="2"/>
  <c r="IS351" i="2"/>
  <c r="IQ351" i="2"/>
  <c r="IO351" i="2"/>
  <c r="IE351" i="2"/>
  <c r="HZ351" i="2"/>
  <c r="HR351" i="2"/>
  <c r="HP351" i="2"/>
  <c r="HN351" i="2"/>
  <c r="HL351" i="2"/>
  <c r="HJ351" i="2"/>
  <c r="HH351" i="2"/>
  <c r="HF351" i="2"/>
  <c r="HD351" i="2"/>
  <c r="GT351" i="2"/>
  <c r="GO351" i="2"/>
  <c r="GG351" i="2"/>
  <c r="GE351" i="2"/>
  <c r="GC351" i="2"/>
  <c r="GA351" i="2"/>
  <c r="FY351" i="2"/>
  <c r="FW351" i="2"/>
  <c r="FU351" i="2"/>
  <c r="FS351" i="2"/>
  <c r="FI351" i="2"/>
  <c r="FD351" i="2"/>
  <c r="EV351" i="2"/>
  <c r="ET351" i="2"/>
  <c r="ER351" i="2"/>
  <c r="EP351" i="2"/>
  <c r="EN351" i="2"/>
  <c r="EL351" i="2"/>
  <c r="EJ351" i="2"/>
  <c r="DX351" i="2"/>
  <c r="DS351" i="2"/>
  <c r="DK351" i="2"/>
  <c r="DI351" i="2"/>
  <c r="DG351" i="2"/>
  <c r="DE351" i="2"/>
  <c r="DC351" i="2"/>
  <c r="DA351" i="2"/>
  <c r="CY351" i="2"/>
  <c r="CW351" i="2"/>
  <c r="CH351" i="2"/>
  <c r="BZ351" i="2"/>
  <c r="BX351" i="2"/>
  <c r="BV351" i="2"/>
  <c r="BT351" i="2"/>
  <c r="BR351" i="2"/>
  <c r="BP351" i="2"/>
  <c r="BN351" i="2"/>
  <c r="BL351" i="2"/>
  <c r="BB351" i="2"/>
  <c r="AW351" i="2"/>
  <c r="AO351" i="2"/>
  <c r="AM351" i="2"/>
  <c r="AK351" i="2"/>
  <c r="AI351" i="2"/>
  <c r="AG351" i="2"/>
  <c r="AE351" i="2"/>
  <c r="AC351" i="2"/>
  <c r="AA351" i="2"/>
  <c r="Q351" i="2"/>
  <c r="L351" i="2"/>
  <c r="MD350" i="2"/>
  <c r="MA350" i="2"/>
  <c r="LK350" i="2"/>
  <c r="LL350" i="2" s="1"/>
  <c r="KN350" i="2"/>
  <c r="KL350" i="2"/>
  <c r="KJ350" i="2"/>
  <c r="KH350" i="2"/>
  <c r="KF350" i="2"/>
  <c r="KD350" i="2"/>
  <c r="KB350" i="2"/>
  <c r="JZ350" i="2"/>
  <c r="JP350" i="2"/>
  <c r="JK350" i="2"/>
  <c r="JC350" i="2"/>
  <c r="JA350" i="2"/>
  <c r="IY350" i="2"/>
  <c r="IW350" i="2"/>
  <c r="IU350" i="2"/>
  <c r="IS350" i="2"/>
  <c r="IQ350" i="2"/>
  <c r="IO350" i="2"/>
  <c r="IE350" i="2"/>
  <c r="HZ350" i="2"/>
  <c r="HR350" i="2"/>
  <c r="HP350" i="2"/>
  <c r="HN350" i="2"/>
  <c r="HL350" i="2"/>
  <c r="HJ350" i="2"/>
  <c r="HH350" i="2"/>
  <c r="HF350" i="2"/>
  <c r="HD350" i="2"/>
  <c r="GT350" i="2"/>
  <c r="GO350" i="2"/>
  <c r="GG350" i="2"/>
  <c r="GE350" i="2"/>
  <c r="GC350" i="2"/>
  <c r="GA350" i="2"/>
  <c r="FY350" i="2"/>
  <c r="FW350" i="2"/>
  <c r="FU350" i="2"/>
  <c r="FI350" i="2"/>
  <c r="FD350" i="2"/>
  <c r="EV350" i="2"/>
  <c r="ET350" i="2"/>
  <c r="ER350" i="2"/>
  <c r="EP350" i="2"/>
  <c r="EN350" i="2"/>
  <c r="EJ350" i="2"/>
  <c r="EH350" i="2"/>
  <c r="DX350" i="2"/>
  <c r="DU350" i="2"/>
  <c r="DS350" i="2"/>
  <c r="DK350" i="2"/>
  <c r="DI350" i="2"/>
  <c r="DG350" i="2"/>
  <c r="DE350" i="2"/>
  <c r="DC350" i="2"/>
  <c r="DA350" i="2"/>
  <c r="CY350" i="2"/>
  <c r="CW350" i="2"/>
  <c r="CM350" i="2"/>
  <c r="CH350" i="2"/>
  <c r="BZ350" i="2"/>
  <c r="BX350" i="2"/>
  <c r="BV350" i="2"/>
  <c r="BT350" i="2"/>
  <c r="BR350" i="2"/>
  <c r="BP350" i="2"/>
  <c r="BN350" i="2"/>
  <c r="BL350" i="2"/>
  <c r="BB350" i="2"/>
  <c r="AW350" i="2"/>
  <c r="AO350" i="2"/>
  <c r="AM350" i="2"/>
  <c r="AK350" i="2"/>
  <c r="AI350" i="2"/>
  <c r="AG350" i="2"/>
  <c r="AE350" i="2"/>
  <c r="AC350" i="2"/>
  <c r="AA350" i="2"/>
  <c r="Q350" i="2"/>
  <c r="L350" i="2"/>
  <c r="ML349" i="2"/>
  <c r="MD349" i="2"/>
  <c r="MA349" i="2"/>
  <c r="LK349" i="2"/>
  <c r="LL349" i="2" s="1"/>
  <c r="KN349" i="2"/>
  <c r="KL349" i="2"/>
  <c r="KJ349" i="2"/>
  <c r="KH349" i="2"/>
  <c r="KF349" i="2"/>
  <c r="KD349" i="2"/>
  <c r="KB349" i="2"/>
  <c r="JZ349" i="2"/>
  <c r="JP349" i="2"/>
  <c r="JM349" i="2"/>
  <c r="JK349" i="2"/>
  <c r="JC349" i="2"/>
  <c r="JA349" i="2"/>
  <c r="IY349" i="2"/>
  <c r="IW349" i="2"/>
  <c r="IU349" i="2"/>
  <c r="IS349" i="2"/>
  <c r="IQ349" i="2"/>
  <c r="IO349" i="2"/>
  <c r="IE349" i="2"/>
  <c r="HZ349" i="2"/>
  <c r="HR349" i="2"/>
  <c r="HP349" i="2"/>
  <c r="HN349" i="2"/>
  <c r="HL349" i="2"/>
  <c r="HJ349" i="2"/>
  <c r="HH349" i="2"/>
  <c r="HF349" i="2"/>
  <c r="HD349" i="2"/>
  <c r="GT349" i="2"/>
  <c r="GO349" i="2"/>
  <c r="GG349" i="2"/>
  <c r="GE349" i="2"/>
  <c r="GC349" i="2"/>
  <c r="GA349" i="2"/>
  <c r="FY349" i="2"/>
  <c r="FW349" i="2"/>
  <c r="FU349" i="2"/>
  <c r="FS349" i="2"/>
  <c r="FI349" i="2"/>
  <c r="FD349" i="2"/>
  <c r="EV349" i="2"/>
  <c r="ET349" i="2"/>
  <c r="ER349" i="2"/>
  <c r="EP349" i="2"/>
  <c r="EN349" i="2"/>
  <c r="EL349" i="2"/>
  <c r="EJ349" i="2"/>
  <c r="DX349" i="2"/>
  <c r="DS349" i="2"/>
  <c r="DK349" i="2"/>
  <c r="DI349" i="2"/>
  <c r="DG349" i="2"/>
  <c r="DE349" i="2"/>
  <c r="DC349" i="2"/>
  <c r="DA349" i="2"/>
  <c r="CY349" i="2"/>
  <c r="CW349" i="2"/>
  <c r="CM349" i="2"/>
  <c r="CH349" i="2"/>
  <c r="BZ349" i="2"/>
  <c r="BX349" i="2"/>
  <c r="BV349" i="2"/>
  <c r="BT349" i="2"/>
  <c r="BR349" i="2"/>
  <c r="BP349" i="2"/>
  <c r="BN349" i="2"/>
  <c r="BL349" i="2"/>
  <c r="BB349" i="2"/>
  <c r="AW349" i="2"/>
  <c r="AO349" i="2"/>
  <c r="AM349" i="2"/>
  <c r="AK349" i="2"/>
  <c r="AI349" i="2"/>
  <c r="AG349" i="2"/>
  <c r="AE349" i="2"/>
  <c r="AC349" i="2"/>
  <c r="AA349" i="2"/>
  <c r="Q349" i="2"/>
  <c r="L349" i="2"/>
  <c r="ML348" i="2"/>
  <c r="MD348" i="2"/>
  <c r="MA348" i="2"/>
  <c r="LK348" i="2"/>
  <c r="LL348" i="2" s="1"/>
  <c r="LO348" i="2" s="1"/>
  <c r="KN348" i="2"/>
  <c r="KL348" i="2"/>
  <c r="KJ348" i="2"/>
  <c r="KH348" i="2"/>
  <c r="KF348" i="2"/>
  <c r="KD348" i="2"/>
  <c r="KB348" i="2"/>
  <c r="JZ348" i="2"/>
  <c r="JP348" i="2"/>
  <c r="JM348" i="2"/>
  <c r="JK348" i="2"/>
  <c r="JC348" i="2"/>
  <c r="JA348" i="2"/>
  <c r="IY348" i="2"/>
  <c r="IW348" i="2"/>
  <c r="IU348" i="2"/>
  <c r="IS348" i="2"/>
  <c r="IQ348" i="2"/>
  <c r="IO348" i="2"/>
  <c r="IE348" i="2"/>
  <c r="HZ348" i="2"/>
  <c r="HR348" i="2"/>
  <c r="HP348" i="2"/>
  <c r="HN348" i="2"/>
  <c r="HL348" i="2"/>
  <c r="HJ348" i="2"/>
  <c r="HH348" i="2"/>
  <c r="HF348" i="2"/>
  <c r="HD348" i="2"/>
  <c r="GT348" i="2"/>
  <c r="GO348" i="2"/>
  <c r="GG348" i="2"/>
  <c r="GE348" i="2"/>
  <c r="GC348" i="2"/>
  <c r="GA348" i="2"/>
  <c r="FY348" i="2"/>
  <c r="FW348" i="2"/>
  <c r="FU348" i="2"/>
  <c r="FS348" i="2"/>
  <c r="FI348" i="2"/>
  <c r="FD348" i="2"/>
  <c r="EV348" i="2"/>
  <c r="ET348" i="2"/>
  <c r="ER348" i="2"/>
  <c r="EP348" i="2"/>
  <c r="EN348" i="2"/>
  <c r="EL348" i="2"/>
  <c r="EJ348" i="2"/>
  <c r="DX348" i="2"/>
  <c r="DS348" i="2"/>
  <c r="DK348" i="2"/>
  <c r="DI348" i="2"/>
  <c r="DG348" i="2"/>
  <c r="DE348" i="2"/>
  <c r="DC348" i="2"/>
  <c r="DA348" i="2"/>
  <c r="CY348" i="2"/>
  <c r="CW348" i="2"/>
  <c r="CM348" i="2"/>
  <c r="CH348" i="2"/>
  <c r="BZ348" i="2"/>
  <c r="BX348" i="2"/>
  <c r="BV348" i="2"/>
  <c r="BT348" i="2"/>
  <c r="BR348" i="2"/>
  <c r="BP348" i="2"/>
  <c r="BN348" i="2"/>
  <c r="BL348" i="2"/>
  <c r="AW348" i="2"/>
  <c r="AO348" i="2"/>
  <c r="AM348" i="2"/>
  <c r="AK348" i="2"/>
  <c r="AI348" i="2"/>
  <c r="AG348" i="2"/>
  <c r="AE348" i="2"/>
  <c r="AC348" i="2"/>
  <c r="AA348" i="2"/>
  <c r="Q348" i="2"/>
  <c r="L348" i="2"/>
  <c r="ML347" i="2"/>
  <c r="MD347" i="2"/>
  <c r="MA347" i="2"/>
  <c r="LK347" i="2"/>
  <c r="LL347" i="2" s="1"/>
  <c r="KN347" i="2"/>
  <c r="KL347" i="2"/>
  <c r="KJ347" i="2"/>
  <c r="KH347" i="2"/>
  <c r="KF347" i="2"/>
  <c r="KD347" i="2"/>
  <c r="KB347" i="2"/>
  <c r="JZ347" i="2"/>
  <c r="JP347" i="2"/>
  <c r="JM347" i="2"/>
  <c r="JK347" i="2"/>
  <c r="JC347" i="2"/>
  <c r="JA347" i="2"/>
  <c r="IY347" i="2"/>
  <c r="IW347" i="2"/>
  <c r="IU347" i="2"/>
  <c r="IS347" i="2"/>
  <c r="IQ347" i="2"/>
  <c r="IO347" i="2"/>
  <c r="IE347" i="2"/>
  <c r="HZ347" i="2"/>
  <c r="HR347" i="2"/>
  <c r="HP347" i="2"/>
  <c r="HN347" i="2"/>
  <c r="HL347" i="2"/>
  <c r="HJ347" i="2"/>
  <c r="HH347" i="2"/>
  <c r="HF347" i="2"/>
  <c r="HD347" i="2"/>
  <c r="GT347" i="2"/>
  <c r="GO347" i="2"/>
  <c r="GG347" i="2"/>
  <c r="GE347" i="2"/>
  <c r="GC347" i="2"/>
  <c r="GA347" i="2"/>
  <c r="FY347" i="2"/>
  <c r="FW347" i="2"/>
  <c r="FU347" i="2"/>
  <c r="FS347" i="2"/>
  <c r="FI347" i="2"/>
  <c r="FD347" i="2"/>
  <c r="EV347" i="2"/>
  <c r="ET347" i="2"/>
  <c r="ER347" i="2"/>
  <c r="EP347" i="2"/>
  <c r="EN347" i="2"/>
  <c r="EL347" i="2"/>
  <c r="EJ347" i="2"/>
  <c r="EH347" i="2"/>
  <c r="DX347" i="2"/>
  <c r="DS347" i="2"/>
  <c r="DK347" i="2"/>
  <c r="DI347" i="2"/>
  <c r="DG347" i="2"/>
  <c r="DE347" i="2"/>
  <c r="DC347" i="2"/>
  <c r="DA347" i="2"/>
  <c r="CY347" i="2"/>
  <c r="CW347" i="2"/>
  <c r="CH347" i="2"/>
  <c r="BZ347" i="2"/>
  <c r="BX347" i="2"/>
  <c r="BV347" i="2"/>
  <c r="BT347" i="2"/>
  <c r="BR347" i="2"/>
  <c r="BN347" i="2"/>
  <c r="BL347" i="2"/>
  <c r="BB347" i="2"/>
  <c r="AW347" i="2"/>
  <c r="AO347" i="2"/>
  <c r="AM347" i="2"/>
  <c r="AK347" i="2"/>
  <c r="AI347" i="2"/>
  <c r="AG347" i="2"/>
  <c r="AE347" i="2"/>
  <c r="AC347" i="2"/>
  <c r="AA347" i="2"/>
  <c r="Q347" i="2"/>
  <c r="L347" i="2"/>
  <c r="ML346" i="2"/>
  <c r="MD346" i="2"/>
  <c r="MA346" i="2"/>
  <c r="LK346" i="2"/>
  <c r="LL346" i="2" s="1"/>
  <c r="KN346" i="2"/>
  <c r="KL346" i="2"/>
  <c r="KJ346" i="2"/>
  <c r="KH346" i="2"/>
  <c r="KF346" i="2"/>
  <c r="KD346" i="2"/>
  <c r="KB346" i="2"/>
  <c r="JZ346" i="2"/>
  <c r="JP346" i="2"/>
  <c r="JM346" i="2"/>
  <c r="JK346" i="2"/>
  <c r="JC346" i="2"/>
  <c r="JA346" i="2"/>
  <c r="IY346" i="2"/>
  <c r="IW346" i="2"/>
  <c r="IU346" i="2"/>
  <c r="IS346" i="2"/>
  <c r="IQ346" i="2"/>
  <c r="IO346" i="2"/>
  <c r="IE346" i="2"/>
  <c r="HZ346" i="2"/>
  <c r="HR346" i="2"/>
  <c r="HP346" i="2"/>
  <c r="HN346" i="2"/>
  <c r="HL346" i="2"/>
  <c r="HJ346" i="2"/>
  <c r="HH346" i="2"/>
  <c r="HF346" i="2"/>
  <c r="HD346" i="2"/>
  <c r="GT346" i="2"/>
  <c r="GO346" i="2"/>
  <c r="GG346" i="2"/>
  <c r="GE346" i="2"/>
  <c r="GC346" i="2"/>
  <c r="GA346" i="2"/>
  <c r="FY346" i="2"/>
  <c r="FW346" i="2"/>
  <c r="FU346" i="2"/>
  <c r="FS346" i="2"/>
  <c r="FI346" i="2"/>
  <c r="FD346" i="2"/>
  <c r="EV346" i="2"/>
  <c r="ET346" i="2"/>
  <c r="ER346" i="2"/>
  <c r="EP346" i="2"/>
  <c r="EN346" i="2"/>
  <c r="EL346" i="2"/>
  <c r="EJ346" i="2"/>
  <c r="DX346" i="2"/>
  <c r="DS346" i="2"/>
  <c r="DK346" i="2"/>
  <c r="DI346" i="2"/>
  <c r="DG346" i="2"/>
  <c r="DE346" i="2"/>
  <c r="DC346" i="2"/>
  <c r="DA346" i="2"/>
  <c r="CY346" i="2"/>
  <c r="CW346" i="2"/>
  <c r="CM346" i="2"/>
  <c r="CH346" i="2"/>
  <c r="BZ346" i="2"/>
  <c r="BX346" i="2"/>
  <c r="BV346" i="2"/>
  <c r="BT346" i="2"/>
  <c r="BR346" i="2"/>
  <c r="BP346" i="2"/>
  <c r="BN346" i="2"/>
  <c r="BL346" i="2"/>
  <c r="BB346" i="2"/>
  <c r="AY346" i="2"/>
  <c r="AW346" i="2"/>
  <c r="AO346" i="2"/>
  <c r="AM346" i="2"/>
  <c r="AK346" i="2"/>
  <c r="AI346" i="2"/>
  <c r="AG346" i="2"/>
  <c r="AE346" i="2"/>
  <c r="AC346" i="2"/>
  <c r="AA346" i="2"/>
  <c r="Q346" i="2"/>
  <c r="L346" i="2"/>
  <c r="ML345" i="2"/>
  <c r="MD345" i="2"/>
  <c r="MA345" i="2"/>
  <c r="LK345" i="2"/>
  <c r="LL345" i="2" s="1"/>
  <c r="KN345" i="2"/>
  <c r="KL345" i="2"/>
  <c r="KJ345" i="2"/>
  <c r="KH345" i="2"/>
  <c r="KF345" i="2"/>
  <c r="KD345" i="2"/>
  <c r="KB345" i="2"/>
  <c r="JZ345" i="2"/>
  <c r="JP345" i="2"/>
  <c r="JM345" i="2"/>
  <c r="JK345" i="2"/>
  <c r="JC345" i="2"/>
  <c r="JA345" i="2"/>
  <c r="IY345" i="2"/>
  <c r="IW345" i="2"/>
  <c r="IU345" i="2"/>
  <c r="IS345" i="2"/>
  <c r="IQ345" i="2"/>
  <c r="IO345" i="2"/>
  <c r="IE345" i="2"/>
  <c r="HZ345" i="2"/>
  <c r="HR345" i="2"/>
  <c r="HP345" i="2"/>
  <c r="HN345" i="2"/>
  <c r="HL345" i="2"/>
  <c r="HJ345" i="2"/>
  <c r="HH345" i="2"/>
  <c r="HF345" i="2"/>
  <c r="HD345" i="2"/>
  <c r="GT345" i="2"/>
  <c r="GO345" i="2"/>
  <c r="GG345" i="2"/>
  <c r="GE345" i="2"/>
  <c r="GC345" i="2"/>
  <c r="GA345" i="2"/>
  <c r="FY345" i="2"/>
  <c r="FW345" i="2"/>
  <c r="FU345" i="2"/>
  <c r="FS345" i="2"/>
  <c r="FI345" i="2"/>
  <c r="FD345" i="2"/>
  <c r="EV345" i="2"/>
  <c r="ET345" i="2"/>
  <c r="ER345" i="2"/>
  <c r="EP345" i="2"/>
  <c r="EN345" i="2"/>
  <c r="EL345" i="2"/>
  <c r="EJ345" i="2"/>
  <c r="DX345" i="2"/>
  <c r="DS345" i="2"/>
  <c r="DK345" i="2"/>
  <c r="DI345" i="2"/>
  <c r="DG345" i="2"/>
  <c r="DE345" i="2"/>
  <c r="DC345" i="2"/>
  <c r="DA345" i="2"/>
  <c r="CY345" i="2"/>
  <c r="CW345" i="2"/>
  <c r="CM345" i="2"/>
  <c r="CH345" i="2"/>
  <c r="BZ345" i="2"/>
  <c r="BX345" i="2"/>
  <c r="BV345" i="2"/>
  <c r="BT345" i="2"/>
  <c r="BR345" i="2"/>
  <c r="BP345" i="2"/>
  <c r="BN345" i="2"/>
  <c r="BL345" i="2"/>
  <c r="BB345" i="2"/>
  <c r="AW345" i="2"/>
  <c r="AO345" i="2"/>
  <c r="AM345" i="2"/>
  <c r="AK345" i="2"/>
  <c r="AI345" i="2"/>
  <c r="AG345" i="2"/>
  <c r="AE345" i="2"/>
  <c r="AC345" i="2"/>
  <c r="AA345" i="2"/>
  <c r="Q345" i="2"/>
  <c r="L345" i="2"/>
  <c r="MD344" i="2"/>
  <c r="MA344" i="2"/>
  <c r="LK344" i="2"/>
  <c r="LL344" i="2" s="1"/>
  <c r="DO344" i="2" s="1"/>
  <c r="MG344" i="2" s="1"/>
  <c r="KN344" i="2"/>
  <c r="KL344" i="2"/>
  <c r="KJ344" i="2"/>
  <c r="KH344" i="2"/>
  <c r="KF344" i="2"/>
  <c r="KD344" i="2"/>
  <c r="KB344" i="2"/>
  <c r="JZ344" i="2"/>
  <c r="JP344" i="2"/>
  <c r="JK344" i="2"/>
  <c r="JC344" i="2"/>
  <c r="JA344" i="2"/>
  <c r="IY344" i="2"/>
  <c r="IU344" i="2"/>
  <c r="IS344" i="2"/>
  <c r="IQ344" i="2"/>
  <c r="IE344" i="2"/>
  <c r="IB344" i="2"/>
  <c r="HZ344" i="2"/>
  <c r="HR344" i="2"/>
  <c r="HP344" i="2"/>
  <c r="HN344" i="2"/>
  <c r="HL344" i="2"/>
  <c r="HJ344" i="2"/>
  <c r="HH344" i="2"/>
  <c r="HF344" i="2"/>
  <c r="HD344" i="2"/>
  <c r="GT344" i="2"/>
  <c r="GO344" i="2"/>
  <c r="GG344" i="2"/>
  <c r="GE344" i="2"/>
  <c r="GC344" i="2"/>
  <c r="GA344" i="2"/>
  <c r="FY344" i="2"/>
  <c r="FW344" i="2"/>
  <c r="FU344" i="2"/>
  <c r="FS344" i="2"/>
  <c r="FI344" i="2"/>
  <c r="FD344" i="2"/>
  <c r="EV344" i="2"/>
  <c r="ET344" i="2"/>
  <c r="ER344" i="2"/>
  <c r="EP344" i="2"/>
  <c r="EN344" i="2"/>
  <c r="EL344" i="2"/>
  <c r="EJ344" i="2"/>
  <c r="DX344" i="2"/>
  <c r="DS344" i="2"/>
  <c r="DK344" i="2"/>
  <c r="DI344" i="2"/>
  <c r="DG344" i="2"/>
  <c r="DE344" i="2"/>
  <c r="DC344" i="2"/>
  <c r="DA344" i="2"/>
  <c r="CW344" i="2"/>
  <c r="CM344" i="2"/>
  <c r="CJ344" i="2"/>
  <c r="CH344" i="2"/>
  <c r="BZ344" i="2"/>
  <c r="BX344" i="2"/>
  <c r="BV344" i="2"/>
  <c r="BT344" i="2"/>
  <c r="BR344" i="2"/>
  <c r="BP344" i="2"/>
  <c r="BL344" i="2"/>
  <c r="BB344" i="2"/>
  <c r="AY344" i="2"/>
  <c r="AW344" i="2"/>
  <c r="AO344" i="2"/>
  <c r="AM344" i="2"/>
  <c r="AK344" i="2"/>
  <c r="AI344" i="2"/>
  <c r="AG344" i="2"/>
  <c r="AE344" i="2"/>
  <c r="AC344" i="2"/>
  <c r="AA344" i="2"/>
  <c r="Q344" i="2"/>
  <c r="L344" i="2"/>
  <c r="MD343" i="2"/>
  <c r="MA343" i="2"/>
  <c r="LK343" i="2"/>
  <c r="LL343" i="2" s="1"/>
  <c r="KN343" i="2"/>
  <c r="KL343" i="2"/>
  <c r="KJ343" i="2"/>
  <c r="KH343" i="2"/>
  <c r="KF343" i="2"/>
  <c r="KD343" i="2"/>
  <c r="KB343" i="2"/>
  <c r="JZ343" i="2"/>
  <c r="JP343" i="2"/>
  <c r="JM343" i="2"/>
  <c r="JK343" i="2"/>
  <c r="JC343" i="2"/>
  <c r="JA343" i="2"/>
  <c r="IY343" i="2"/>
  <c r="IW343" i="2"/>
  <c r="IU343" i="2"/>
  <c r="IS343" i="2"/>
  <c r="IQ343" i="2"/>
  <c r="IO343" i="2"/>
  <c r="IE343" i="2"/>
  <c r="IB343" i="2"/>
  <c r="HZ343" i="2"/>
  <c r="HR343" i="2"/>
  <c r="HP343" i="2"/>
  <c r="HN343" i="2"/>
  <c r="HL343" i="2"/>
  <c r="HJ343" i="2"/>
  <c r="HH343" i="2"/>
  <c r="HF343" i="2"/>
  <c r="HD343" i="2"/>
  <c r="GT343" i="2"/>
  <c r="GQ343" i="2"/>
  <c r="GO343" i="2"/>
  <c r="GG343" i="2"/>
  <c r="GE343" i="2"/>
  <c r="GC343" i="2"/>
  <c r="GA343" i="2"/>
  <c r="FY343" i="2"/>
  <c r="FW343" i="2"/>
  <c r="FU343" i="2"/>
  <c r="FS343" i="2"/>
  <c r="FI343" i="2"/>
  <c r="FF343" i="2"/>
  <c r="FD343" i="2"/>
  <c r="EV343" i="2"/>
  <c r="ET343" i="2"/>
  <c r="ER343" i="2"/>
  <c r="EP343" i="2"/>
  <c r="EN343" i="2"/>
  <c r="EL343" i="2"/>
  <c r="EJ343" i="2"/>
  <c r="EH343" i="2"/>
  <c r="DX343" i="2"/>
  <c r="DU343" i="2"/>
  <c r="DS343" i="2"/>
  <c r="DK343" i="2"/>
  <c r="DI343" i="2"/>
  <c r="DG343" i="2"/>
  <c r="DE343" i="2"/>
  <c r="DC343" i="2"/>
  <c r="DA343" i="2"/>
  <c r="CY343" i="2"/>
  <c r="CW343" i="2"/>
  <c r="CM343" i="2"/>
  <c r="CJ343" i="2"/>
  <c r="CH343" i="2"/>
  <c r="BZ343" i="2"/>
  <c r="BX343" i="2"/>
  <c r="BV343" i="2"/>
  <c r="BT343" i="2"/>
  <c r="BR343" i="2"/>
  <c r="BP343" i="2"/>
  <c r="BN343" i="2"/>
  <c r="BL343" i="2"/>
  <c r="BB343" i="2"/>
  <c r="AY343" i="2"/>
  <c r="AW343" i="2"/>
  <c r="AO343" i="2"/>
  <c r="AM343" i="2"/>
  <c r="AK343" i="2"/>
  <c r="AI343" i="2"/>
  <c r="AG343" i="2"/>
  <c r="AE343" i="2"/>
  <c r="AC343" i="2"/>
  <c r="AA343" i="2"/>
  <c r="Q343" i="2"/>
  <c r="N343" i="2"/>
  <c r="L343" i="2"/>
  <c r="MD342" i="2"/>
  <c r="MA342" i="2"/>
  <c r="LK342" i="2"/>
  <c r="LL342" i="2" s="1"/>
  <c r="LU342" i="2" s="1"/>
  <c r="KN342" i="2"/>
  <c r="KL342" i="2"/>
  <c r="KJ342" i="2"/>
  <c r="KH342" i="2"/>
  <c r="KF342" i="2"/>
  <c r="KD342" i="2"/>
  <c r="KB342" i="2"/>
  <c r="JZ342" i="2"/>
  <c r="JP342" i="2"/>
  <c r="JK342" i="2"/>
  <c r="JC342" i="2"/>
  <c r="JA342" i="2"/>
  <c r="IY342" i="2"/>
  <c r="IW342" i="2"/>
  <c r="IU342" i="2"/>
  <c r="IS342" i="2"/>
  <c r="IQ342" i="2"/>
  <c r="IO342" i="2"/>
  <c r="IE342" i="2"/>
  <c r="HZ342" i="2"/>
  <c r="HR342" i="2"/>
  <c r="HP342" i="2"/>
  <c r="HN342" i="2"/>
  <c r="HL342" i="2"/>
  <c r="HJ342" i="2"/>
  <c r="HH342" i="2"/>
  <c r="HF342" i="2"/>
  <c r="HD342" i="2"/>
  <c r="GT342" i="2"/>
  <c r="GO342" i="2"/>
  <c r="GG342" i="2"/>
  <c r="GE342" i="2"/>
  <c r="GC342" i="2"/>
  <c r="GA342" i="2"/>
  <c r="FY342" i="2"/>
  <c r="FW342" i="2"/>
  <c r="FU342" i="2"/>
  <c r="FS342" i="2"/>
  <c r="FI342" i="2"/>
  <c r="FD342" i="2"/>
  <c r="EV342" i="2"/>
  <c r="ET342" i="2"/>
  <c r="ER342" i="2"/>
  <c r="EP342" i="2"/>
  <c r="EN342" i="2"/>
  <c r="EL342" i="2"/>
  <c r="EJ342" i="2"/>
  <c r="EH342" i="2"/>
  <c r="DX342" i="2"/>
  <c r="DS342" i="2"/>
  <c r="DK342" i="2"/>
  <c r="DI342" i="2"/>
  <c r="DG342" i="2"/>
  <c r="DE342" i="2"/>
  <c r="DC342" i="2"/>
  <c r="DA342" i="2"/>
  <c r="CY342" i="2"/>
  <c r="CW342" i="2"/>
  <c r="CM342" i="2"/>
  <c r="CJ342" i="2"/>
  <c r="CH342" i="2"/>
  <c r="BZ342" i="2"/>
  <c r="BX342" i="2"/>
  <c r="BV342" i="2"/>
  <c r="BT342" i="2"/>
  <c r="BR342" i="2"/>
  <c r="BP342" i="2"/>
  <c r="BN342" i="2"/>
  <c r="BL342" i="2"/>
  <c r="BB342" i="2"/>
  <c r="AW342" i="2"/>
  <c r="AO342" i="2"/>
  <c r="AM342" i="2"/>
  <c r="AK342" i="2"/>
  <c r="AI342" i="2"/>
  <c r="AG342" i="2"/>
  <c r="AE342" i="2"/>
  <c r="AC342" i="2"/>
  <c r="AA342" i="2"/>
  <c r="Q342" i="2"/>
  <c r="L342" i="2"/>
  <c r="ML341" i="2"/>
  <c r="MK341" i="2"/>
  <c r="MJ341" i="2"/>
  <c r="MI341" i="2"/>
  <c r="MD341" i="2"/>
  <c r="MA341" i="2"/>
  <c r="LK341" i="2"/>
  <c r="LL341" i="2" s="1"/>
  <c r="KN341" i="2"/>
  <c r="KL341" i="2"/>
  <c r="KJ341" i="2"/>
  <c r="KH341" i="2"/>
  <c r="KF341" i="2"/>
  <c r="KD341" i="2"/>
  <c r="KB341" i="2"/>
  <c r="JZ341" i="2"/>
  <c r="JP341" i="2"/>
  <c r="JM341" i="2"/>
  <c r="JK341" i="2"/>
  <c r="JC341" i="2"/>
  <c r="JA341" i="2"/>
  <c r="IY341" i="2"/>
  <c r="IW341" i="2"/>
  <c r="IU341" i="2"/>
  <c r="IS341" i="2"/>
  <c r="IQ341" i="2"/>
  <c r="IO341" i="2"/>
  <c r="IE341" i="2"/>
  <c r="IB341" i="2"/>
  <c r="HZ341" i="2"/>
  <c r="HR341" i="2"/>
  <c r="HP341" i="2"/>
  <c r="HN341" i="2"/>
  <c r="HL341" i="2"/>
  <c r="HJ341" i="2"/>
  <c r="HH341" i="2"/>
  <c r="HF341" i="2"/>
  <c r="HD341" i="2"/>
  <c r="GT341" i="2"/>
  <c r="GQ341" i="2"/>
  <c r="GO341" i="2"/>
  <c r="GG341" i="2"/>
  <c r="GE341" i="2"/>
  <c r="GC341" i="2"/>
  <c r="GA341" i="2"/>
  <c r="FY341" i="2"/>
  <c r="FW341" i="2"/>
  <c r="FU341" i="2"/>
  <c r="FS341" i="2"/>
  <c r="FI341" i="2"/>
  <c r="FF341" i="2"/>
  <c r="FD341" i="2"/>
  <c r="EV341" i="2"/>
  <c r="ET341" i="2"/>
  <c r="ER341" i="2"/>
  <c r="EP341" i="2"/>
  <c r="EN341" i="2"/>
  <c r="EL341" i="2"/>
  <c r="EJ341" i="2"/>
  <c r="EH341" i="2"/>
  <c r="DX341" i="2"/>
  <c r="DS341" i="2"/>
  <c r="DK341" i="2"/>
  <c r="DI341" i="2"/>
  <c r="DG341" i="2"/>
  <c r="DE341" i="2"/>
  <c r="DC341" i="2"/>
  <c r="DA341" i="2"/>
  <c r="CY341" i="2"/>
  <c r="CW341" i="2"/>
  <c r="CM341" i="2"/>
  <c r="CH341" i="2"/>
  <c r="BZ341" i="2"/>
  <c r="BX341" i="2"/>
  <c r="BV341" i="2"/>
  <c r="BT341" i="2"/>
  <c r="BR341" i="2"/>
  <c r="BP341" i="2"/>
  <c r="BN341" i="2"/>
  <c r="BL341" i="2"/>
  <c r="BB341" i="2"/>
  <c r="AW341" i="2"/>
  <c r="AO341" i="2"/>
  <c r="AM341" i="2"/>
  <c r="AK341" i="2"/>
  <c r="AI341" i="2"/>
  <c r="AG341" i="2"/>
  <c r="AE341" i="2"/>
  <c r="AC341" i="2"/>
  <c r="AA341" i="2"/>
  <c r="Q341" i="2"/>
  <c r="L341" i="2"/>
  <c r="ML340" i="2"/>
  <c r="MK340" i="2"/>
  <c r="MJ340" i="2"/>
  <c r="MD340" i="2"/>
  <c r="MA340" i="2"/>
  <c r="LK340" i="2"/>
  <c r="LL340" i="2" s="1"/>
  <c r="KN340" i="2"/>
  <c r="KL340" i="2"/>
  <c r="KJ340" i="2"/>
  <c r="KH340" i="2"/>
  <c r="KF340" i="2"/>
  <c r="KD340" i="2"/>
  <c r="KB340" i="2"/>
  <c r="JZ340" i="2"/>
  <c r="JP340" i="2"/>
  <c r="JM340" i="2"/>
  <c r="JK340" i="2"/>
  <c r="JC340" i="2"/>
  <c r="JA340" i="2"/>
  <c r="IY340" i="2"/>
  <c r="IW340" i="2"/>
  <c r="IU340" i="2"/>
  <c r="IS340" i="2"/>
  <c r="IQ340" i="2"/>
  <c r="IO340" i="2"/>
  <c r="IE340" i="2"/>
  <c r="IB340" i="2"/>
  <c r="HZ340" i="2"/>
  <c r="HR340" i="2"/>
  <c r="HP340" i="2"/>
  <c r="HN340" i="2"/>
  <c r="HL340" i="2"/>
  <c r="HJ340" i="2"/>
  <c r="HH340" i="2"/>
  <c r="HF340" i="2"/>
  <c r="HD340" i="2"/>
  <c r="GT340" i="2"/>
  <c r="GQ340" i="2"/>
  <c r="GO340" i="2"/>
  <c r="GG340" i="2"/>
  <c r="GE340" i="2"/>
  <c r="GC340" i="2"/>
  <c r="GA340" i="2"/>
  <c r="FY340" i="2"/>
  <c r="FW340" i="2"/>
  <c r="FU340" i="2"/>
  <c r="FS340" i="2"/>
  <c r="FI340" i="2"/>
  <c r="FD340" i="2"/>
  <c r="EV340" i="2"/>
  <c r="ET340" i="2"/>
  <c r="ER340" i="2"/>
  <c r="EP340" i="2"/>
  <c r="EN340" i="2"/>
  <c r="EL340" i="2"/>
  <c r="EJ340" i="2"/>
  <c r="EH340" i="2"/>
  <c r="DX340" i="2"/>
  <c r="DS340" i="2"/>
  <c r="DK340" i="2"/>
  <c r="DI340" i="2"/>
  <c r="DG340" i="2"/>
  <c r="DE340" i="2"/>
  <c r="DC340" i="2"/>
  <c r="DA340" i="2"/>
  <c r="CY340" i="2"/>
  <c r="CW340" i="2"/>
  <c r="CM340" i="2"/>
  <c r="CH340" i="2"/>
  <c r="BZ340" i="2"/>
  <c r="BX340" i="2"/>
  <c r="BV340" i="2"/>
  <c r="BT340" i="2"/>
  <c r="BR340" i="2"/>
  <c r="BP340" i="2"/>
  <c r="BN340" i="2"/>
  <c r="BL340" i="2"/>
  <c r="BB340" i="2"/>
  <c r="AW340" i="2"/>
  <c r="AO340" i="2"/>
  <c r="AM340" i="2"/>
  <c r="AK340" i="2"/>
  <c r="AI340" i="2"/>
  <c r="AG340" i="2"/>
  <c r="AE340" i="2"/>
  <c r="AC340" i="2"/>
  <c r="AA340" i="2"/>
  <c r="L340" i="2"/>
  <c r="ML339" i="2"/>
  <c r="MK339" i="2"/>
  <c r="MJ339" i="2"/>
  <c r="MI339" i="2"/>
  <c r="MD339" i="2"/>
  <c r="MA339" i="2"/>
  <c r="LK339" i="2"/>
  <c r="LL339" i="2" s="1"/>
  <c r="KN339" i="2"/>
  <c r="KL339" i="2"/>
  <c r="KJ339" i="2"/>
  <c r="KH339" i="2"/>
  <c r="KF339" i="2"/>
  <c r="KD339" i="2"/>
  <c r="KB339" i="2"/>
  <c r="JZ339" i="2"/>
  <c r="JP339" i="2"/>
  <c r="JM339" i="2"/>
  <c r="JK339" i="2"/>
  <c r="JC339" i="2"/>
  <c r="JA339" i="2"/>
  <c r="IY339" i="2"/>
  <c r="IW339" i="2"/>
  <c r="IU339" i="2"/>
  <c r="IS339" i="2"/>
  <c r="IQ339" i="2"/>
  <c r="IO339" i="2"/>
  <c r="IE339" i="2"/>
  <c r="IB339" i="2"/>
  <c r="HZ339" i="2"/>
  <c r="HR339" i="2"/>
  <c r="HP339" i="2"/>
  <c r="HN339" i="2"/>
  <c r="HL339" i="2"/>
  <c r="HJ339" i="2"/>
  <c r="HH339" i="2"/>
  <c r="HF339" i="2"/>
  <c r="HD339" i="2"/>
  <c r="GT339" i="2"/>
  <c r="GQ339" i="2"/>
  <c r="GO339" i="2"/>
  <c r="GG339" i="2"/>
  <c r="GE339" i="2"/>
  <c r="GC339" i="2"/>
  <c r="GA339" i="2"/>
  <c r="FY339" i="2"/>
  <c r="FW339" i="2"/>
  <c r="FU339" i="2"/>
  <c r="FS339" i="2"/>
  <c r="FI339" i="2"/>
  <c r="FF339" i="2"/>
  <c r="FD339" i="2"/>
  <c r="EV339" i="2"/>
  <c r="ET339" i="2"/>
  <c r="ER339" i="2"/>
  <c r="EP339" i="2"/>
  <c r="EN339" i="2"/>
  <c r="EL339" i="2"/>
  <c r="EJ339" i="2"/>
  <c r="EH339" i="2"/>
  <c r="DX339" i="2"/>
  <c r="DS339" i="2"/>
  <c r="DK339" i="2"/>
  <c r="DI339" i="2"/>
  <c r="DG339" i="2"/>
  <c r="DE339" i="2"/>
  <c r="DC339" i="2"/>
  <c r="DA339" i="2"/>
  <c r="CY339" i="2"/>
  <c r="CW339" i="2"/>
  <c r="CM339" i="2"/>
  <c r="CH339" i="2"/>
  <c r="BZ339" i="2"/>
  <c r="BX339" i="2"/>
  <c r="BV339" i="2"/>
  <c r="BT339" i="2"/>
  <c r="BR339" i="2"/>
  <c r="BP339" i="2"/>
  <c r="BN339" i="2"/>
  <c r="BL339" i="2"/>
  <c r="BB339" i="2"/>
  <c r="AW339" i="2"/>
  <c r="AO339" i="2"/>
  <c r="AM339" i="2"/>
  <c r="AK339" i="2"/>
  <c r="AI339" i="2"/>
  <c r="AG339" i="2"/>
  <c r="AE339" i="2"/>
  <c r="AC339" i="2"/>
  <c r="AA339" i="2"/>
  <c r="L339" i="2"/>
  <c r="MD338" i="2"/>
  <c r="MA338" i="2"/>
  <c r="LK338" i="2"/>
  <c r="LL338" i="2" s="1"/>
  <c r="KN338" i="2"/>
  <c r="KL338" i="2"/>
  <c r="KJ338" i="2"/>
  <c r="KH338" i="2"/>
  <c r="KF338" i="2"/>
  <c r="KD338" i="2"/>
  <c r="KB338" i="2"/>
  <c r="JZ338" i="2"/>
  <c r="JP338" i="2"/>
  <c r="JK338" i="2"/>
  <c r="JC338" i="2"/>
  <c r="JA338" i="2"/>
  <c r="IY338" i="2"/>
  <c r="IW338" i="2"/>
  <c r="IU338" i="2"/>
  <c r="IS338" i="2"/>
  <c r="IQ338" i="2"/>
  <c r="IO338" i="2"/>
  <c r="IE338" i="2"/>
  <c r="HZ338" i="2"/>
  <c r="HR338" i="2"/>
  <c r="HP338" i="2"/>
  <c r="HN338" i="2"/>
  <c r="HL338" i="2"/>
  <c r="HJ338" i="2"/>
  <c r="HH338" i="2"/>
  <c r="HF338" i="2"/>
  <c r="HD338" i="2"/>
  <c r="GT338" i="2"/>
  <c r="GO338" i="2"/>
  <c r="GG338" i="2"/>
  <c r="GE338" i="2"/>
  <c r="GC338" i="2"/>
  <c r="GA338" i="2"/>
  <c r="FY338" i="2"/>
  <c r="FW338" i="2"/>
  <c r="FU338" i="2"/>
  <c r="FS338" i="2"/>
  <c r="FI338" i="2"/>
  <c r="FD338" i="2"/>
  <c r="EV338" i="2"/>
  <c r="ET338" i="2"/>
  <c r="ER338" i="2"/>
  <c r="EP338" i="2"/>
  <c r="EN338" i="2"/>
  <c r="EL338" i="2"/>
  <c r="EJ338" i="2"/>
  <c r="EH338" i="2"/>
  <c r="DX338" i="2"/>
  <c r="DS338" i="2"/>
  <c r="DK338" i="2"/>
  <c r="DI338" i="2"/>
  <c r="DG338" i="2"/>
  <c r="DE338" i="2"/>
  <c r="DC338" i="2"/>
  <c r="DA338" i="2"/>
  <c r="CY338" i="2"/>
  <c r="CW338" i="2"/>
  <c r="CM338" i="2"/>
  <c r="CJ338" i="2"/>
  <c r="CH338" i="2"/>
  <c r="BZ338" i="2"/>
  <c r="BX338" i="2"/>
  <c r="BV338" i="2"/>
  <c r="BT338" i="2"/>
  <c r="BR338" i="2"/>
  <c r="BP338" i="2"/>
  <c r="BN338" i="2"/>
  <c r="BL338" i="2"/>
  <c r="BB338" i="2"/>
  <c r="AW338" i="2"/>
  <c r="AO338" i="2"/>
  <c r="AM338" i="2"/>
  <c r="AK338" i="2"/>
  <c r="AI338" i="2"/>
  <c r="AG338" i="2"/>
  <c r="AE338" i="2"/>
  <c r="AC338" i="2"/>
  <c r="AA338" i="2"/>
  <c r="Q338" i="2"/>
  <c r="L338" i="2"/>
  <c r="ML337" i="2"/>
  <c r="MD337" i="2"/>
  <c r="MA337" i="2"/>
  <c r="LK337" i="2"/>
  <c r="LL337" i="2" s="1"/>
  <c r="KN337" i="2"/>
  <c r="KL337" i="2"/>
  <c r="KJ337" i="2"/>
  <c r="KH337" i="2"/>
  <c r="KF337" i="2"/>
  <c r="KD337" i="2"/>
  <c r="KB337" i="2"/>
  <c r="JZ337" i="2"/>
  <c r="JP337" i="2"/>
  <c r="JM337" i="2"/>
  <c r="JK337" i="2"/>
  <c r="JC337" i="2"/>
  <c r="JA337" i="2"/>
  <c r="IY337" i="2"/>
  <c r="IW337" i="2"/>
  <c r="IU337" i="2"/>
  <c r="IS337" i="2"/>
  <c r="IQ337" i="2"/>
  <c r="IO337" i="2"/>
  <c r="IE337" i="2"/>
  <c r="HZ337" i="2"/>
  <c r="HR337" i="2"/>
  <c r="HP337" i="2"/>
  <c r="HN337" i="2"/>
  <c r="HL337" i="2"/>
  <c r="HJ337" i="2"/>
  <c r="HH337" i="2"/>
  <c r="HF337" i="2"/>
  <c r="HD337" i="2"/>
  <c r="GT337" i="2"/>
  <c r="GO337" i="2"/>
  <c r="GG337" i="2"/>
  <c r="GE337" i="2"/>
  <c r="GC337" i="2"/>
  <c r="GA337" i="2"/>
  <c r="FY337" i="2"/>
  <c r="FW337" i="2"/>
  <c r="FU337" i="2"/>
  <c r="FS337" i="2"/>
  <c r="FI337" i="2"/>
  <c r="FD337" i="2"/>
  <c r="EV337" i="2"/>
  <c r="ET337" i="2"/>
  <c r="ER337" i="2"/>
  <c r="EP337" i="2"/>
  <c r="EN337" i="2"/>
  <c r="EL337" i="2"/>
  <c r="EJ337" i="2"/>
  <c r="EH337" i="2"/>
  <c r="DX337" i="2"/>
  <c r="DS337" i="2"/>
  <c r="DK337" i="2"/>
  <c r="DI337" i="2"/>
  <c r="DG337" i="2"/>
  <c r="DE337" i="2"/>
  <c r="DC337" i="2"/>
  <c r="DA337" i="2"/>
  <c r="CY337" i="2"/>
  <c r="CW337" i="2"/>
  <c r="CM337" i="2"/>
  <c r="CH337" i="2"/>
  <c r="BZ337" i="2"/>
  <c r="BX337" i="2"/>
  <c r="BV337" i="2"/>
  <c r="BT337" i="2"/>
  <c r="BR337" i="2"/>
  <c r="BP337" i="2"/>
  <c r="BN337" i="2"/>
  <c r="BL337" i="2"/>
  <c r="AW337" i="2"/>
  <c r="AO337" i="2"/>
  <c r="AM337" i="2"/>
  <c r="AK337" i="2"/>
  <c r="AI337" i="2"/>
  <c r="AG337" i="2"/>
  <c r="AE337" i="2"/>
  <c r="AC337" i="2"/>
  <c r="AA337" i="2"/>
  <c r="Q337" i="2"/>
  <c r="L337" i="2"/>
  <c r="ML336" i="2"/>
  <c r="MD336" i="2"/>
  <c r="MA336" i="2"/>
  <c r="LK336" i="2"/>
  <c r="LL336" i="2" s="1"/>
  <c r="LO336" i="2" s="1"/>
  <c r="KN336" i="2"/>
  <c r="KL336" i="2"/>
  <c r="KJ336" i="2"/>
  <c r="KH336" i="2"/>
  <c r="KF336" i="2"/>
  <c r="KD336" i="2"/>
  <c r="KB336" i="2"/>
  <c r="JZ336" i="2"/>
  <c r="JP336" i="2"/>
  <c r="JM336" i="2"/>
  <c r="JK336" i="2"/>
  <c r="JC336" i="2"/>
  <c r="JA336" i="2"/>
  <c r="IY336" i="2"/>
  <c r="IW336" i="2"/>
  <c r="IU336" i="2"/>
  <c r="IS336" i="2"/>
  <c r="IQ336" i="2"/>
  <c r="IO336" i="2"/>
  <c r="IE336" i="2"/>
  <c r="HZ336" i="2"/>
  <c r="HR336" i="2"/>
  <c r="HP336" i="2"/>
  <c r="HN336" i="2"/>
  <c r="HL336" i="2"/>
  <c r="HJ336" i="2"/>
  <c r="HH336" i="2"/>
  <c r="HF336" i="2"/>
  <c r="HD336" i="2"/>
  <c r="GT336" i="2"/>
  <c r="GQ336" i="2"/>
  <c r="GO336" i="2"/>
  <c r="GG336" i="2"/>
  <c r="GE336" i="2"/>
  <c r="GC336" i="2"/>
  <c r="GA336" i="2"/>
  <c r="FY336" i="2"/>
  <c r="FW336" i="2"/>
  <c r="FU336" i="2"/>
  <c r="FS336" i="2"/>
  <c r="FI336" i="2"/>
  <c r="FD336" i="2"/>
  <c r="EV336" i="2"/>
  <c r="ET336" i="2"/>
  <c r="ER336" i="2"/>
  <c r="EP336" i="2"/>
  <c r="EN336" i="2"/>
  <c r="EL336" i="2"/>
  <c r="EJ336" i="2"/>
  <c r="EH336" i="2"/>
  <c r="DX336" i="2"/>
  <c r="DS336" i="2"/>
  <c r="DK336" i="2"/>
  <c r="DI336" i="2"/>
  <c r="DG336" i="2"/>
  <c r="DE336" i="2"/>
  <c r="DC336" i="2"/>
  <c r="DA336" i="2"/>
  <c r="CY336" i="2"/>
  <c r="CW336" i="2"/>
  <c r="CM336" i="2"/>
  <c r="CH336" i="2"/>
  <c r="BZ336" i="2"/>
  <c r="BX336" i="2"/>
  <c r="BV336" i="2"/>
  <c r="BT336" i="2"/>
  <c r="BR336" i="2"/>
  <c r="BP336" i="2"/>
  <c r="BN336" i="2"/>
  <c r="BL336" i="2"/>
  <c r="AW336" i="2"/>
  <c r="AO336" i="2"/>
  <c r="AM336" i="2"/>
  <c r="AK336" i="2"/>
  <c r="AI336" i="2"/>
  <c r="AG336" i="2"/>
  <c r="AE336" i="2"/>
  <c r="AC336" i="2"/>
  <c r="AA336" i="2"/>
  <c r="Q336" i="2"/>
  <c r="L336" i="2"/>
  <c r="ML335" i="2"/>
  <c r="MD335" i="2"/>
  <c r="MA335" i="2"/>
  <c r="LK335" i="2"/>
  <c r="LL335" i="2" s="1"/>
  <c r="DO335" i="2" s="1"/>
  <c r="MG335" i="2" s="1"/>
  <c r="KN335" i="2"/>
  <c r="KL335" i="2"/>
  <c r="KJ335" i="2"/>
  <c r="KH335" i="2"/>
  <c r="KF335" i="2"/>
  <c r="KD335" i="2"/>
  <c r="KB335" i="2"/>
  <c r="JZ335" i="2"/>
  <c r="JP335" i="2"/>
  <c r="JM335" i="2"/>
  <c r="JK335" i="2"/>
  <c r="JC335" i="2"/>
  <c r="JA335" i="2"/>
  <c r="IY335" i="2"/>
  <c r="IW335" i="2"/>
  <c r="IU335" i="2"/>
  <c r="IS335" i="2"/>
  <c r="IQ335" i="2"/>
  <c r="IO335" i="2"/>
  <c r="IE335" i="2"/>
  <c r="IB335" i="2"/>
  <c r="HZ335" i="2"/>
  <c r="HR335" i="2"/>
  <c r="HP335" i="2"/>
  <c r="HN335" i="2"/>
  <c r="HL335" i="2"/>
  <c r="HJ335" i="2"/>
  <c r="HH335" i="2"/>
  <c r="HF335" i="2"/>
  <c r="HD335" i="2"/>
  <c r="GT335" i="2"/>
  <c r="GO335" i="2"/>
  <c r="GG335" i="2"/>
  <c r="GE335" i="2"/>
  <c r="GC335" i="2"/>
  <c r="GA335" i="2"/>
  <c r="FY335" i="2"/>
  <c r="FW335" i="2"/>
  <c r="FU335" i="2"/>
  <c r="FS335" i="2"/>
  <c r="FI335" i="2"/>
  <c r="FD335" i="2"/>
  <c r="EV335" i="2"/>
  <c r="ET335" i="2"/>
  <c r="ER335" i="2"/>
  <c r="EP335" i="2"/>
  <c r="EN335" i="2"/>
  <c r="EL335" i="2"/>
  <c r="EJ335" i="2"/>
  <c r="EH335" i="2"/>
  <c r="DX335" i="2"/>
  <c r="DS335" i="2"/>
  <c r="DK335" i="2"/>
  <c r="DI335" i="2"/>
  <c r="DG335" i="2"/>
  <c r="DE335" i="2"/>
  <c r="DC335" i="2"/>
  <c r="DA335" i="2"/>
  <c r="CY335" i="2"/>
  <c r="CW335" i="2"/>
  <c r="CM335" i="2"/>
  <c r="CH335" i="2"/>
  <c r="BZ335" i="2"/>
  <c r="BX335" i="2"/>
  <c r="BV335" i="2"/>
  <c r="BT335" i="2"/>
  <c r="BR335" i="2"/>
  <c r="BP335" i="2"/>
  <c r="BN335" i="2"/>
  <c r="BL335" i="2"/>
  <c r="AW335" i="2"/>
  <c r="AO335" i="2"/>
  <c r="AM335" i="2"/>
  <c r="AK335" i="2"/>
  <c r="AI335" i="2"/>
  <c r="AG335" i="2"/>
  <c r="AE335" i="2"/>
  <c r="AC335" i="2"/>
  <c r="AA335" i="2"/>
  <c r="Q335" i="2"/>
  <c r="L335" i="2"/>
  <c r="ML334" i="2"/>
  <c r="MD334" i="2"/>
  <c r="MA334" i="2"/>
  <c r="LK334" i="2"/>
  <c r="LL334" i="2" s="1"/>
  <c r="KN334" i="2"/>
  <c r="KL334" i="2"/>
  <c r="KJ334" i="2"/>
  <c r="KH334" i="2"/>
  <c r="KF334" i="2"/>
  <c r="KD334" i="2"/>
  <c r="KB334" i="2"/>
  <c r="JZ334" i="2"/>
  <c r="JP334" i="2"/>
  <c r="JM334" i="2"/>
  <c r="JK334" i="2"/>
  <c r="JC334" i="2"/>
  <c r="JA334" i="2"/>
  <c r="IY334" i="2"/>
  <c r="IW334" i="2"/>
  <c r="IU334" i="2"/>
  <c r="IS334" i="2"/>
  <c r="IQ334" i="2"/>
  <c r="IO334" i="2"/>
  <c r="IE334" i="2"/>
  <c r="IB334" i="2"/>
  <c r="HZ334" i="2"/>
  <c r="HR334" i="2"/>
  <c r="HP334" i="2"/>
  <c r="HN334" i="2"/>
  <c r="HL334" i="2"/>
  <c r="HJ334" i="2"/>
  <c r="HH334" i="2"/>
  <c r="HF334" i="2"/>
  <c r="HD334" i="2"/>
  <c r="GT334" i="2"/>
  <c r="GO334" i="2"/>
  <c r="GG334" i="2"/>
  <c r="GE334" i="2"/>
  <c r="GC334" i="2"/>
  <c r="GA334" i="2"/>
  <c r="FY334" i="2"/>
  <c r="FW334" i="2"/>
  <c r="FU334" i="2"/>
  <c r="FS334" i="2"/>
  <c r="FD334" i="2"/>
  <c r="EV334" i="2"/>
  <c r="ET334" i="2"/>
  <c r="ER334" i="2"/>
  <c r="EP334" i="2"/>
  <c r="EN334" i="2"/>
  <c r="EL334" i="2"/>
  <c r="EJ334" i="2"/>
  <c r="EH334" i="2"/>
  <c r="DX334" i="2"/>
  <c r="DS334" i="2"/>
  <c r="DK334" i="2"/>
  <c r="DI334" i="2"/>
  <c r="DG334" i="2"/>
  <c r="DE334" i="2"/>
  <c r="DC334" i="2"/>
  <c r="DA334" i="2"/>
  <c r="CY334" i="2"/>
  <c r="CW334" i="2"/>
  <c r="CH334" i="2"/>
  <c r="BZ334" i="2"/>
  <c r="BX334" i="2"/>
  <c r="BV334" i="2"/>
  <c r="BT334" i="2"/>
  <c r="BR334" i="2"/>
  <c r="BP334" i="2"/>
  <c r="BN334" i="2"/>
  <c r="BL334" i="2"/>
  <c r="AW334" i="2"/>
  <c r="AO334" i="2"/>
  <c r="AM334" i="2"/>
  <c r="AK334" i="2"/>
  <c r="AI334" i="2"/>
  <c r="AG334" i="2"/>
  <c r="AE334" i="2"/>
  <c r="AC334" i="2"/>
  <c r="AA334" i="2"/>
  <c r="Q334" i="2"/>
  <c r="N334" i="2"/>
  <c r="L334" i="2"/>
  <c r="ML333" i="2"/>
  <c r="MK333" i="2"/>
  <c r="MJ333" i="2"/>
  <c r="MI333" i="2"/>
  <c r="MH333" i="2"/>
  <c r="MG333" i="2"/>
  <c r="MD333" i="2"/>
  <c r="MA333" i="2"/>
  <c r="LK333" i="2"/>
  <c r="LL333" i="2" s="1"/>
  <c r="KN333" i="2"/>
  <c r="KL333" i="2"/>
  <c r="KJ333" i="2"/>
  <c r="KH333" i="2"/>
  <c r="KF333" i="2"/>
  <c r="KD333" i="2"/>
  <c r="KB333" i="2"/>
  <c r="JZ333" i="2"/>
  <c r="JP333" i="2"/>
  <c r="JM333" i="2"/>
  <c r="JK333" i="2"/>
  <c r="JC333" i="2"/>
  <c r="JA333" i="2"/>
  <c r="IY333" i="2"/>
  <c r="IW333" i="2"/>
  <c r="IU333" i="2"/>
  <c r="IS333" i="2"/>
  <c r="IQ333" i="2"/>
  <c r="IO333" i="2"/>
  <c r="IE333" i="2"/>
  <c r="IB333" i="2"/>
  <c r="HZ333" i="2"/>
  <c r="HR333" i="2"/>
  <c r="HP333" i="2"/>
  <c r="HN333" i="2"/>
  <c r="HL333" i="2"/>
  <c r="HJ333" i="2"/>
  <c r="HH333" i="2"/>
  <c r="HF333" i="2"/>
  <c r="HD333" i="2"/>
  <c r="GT333" i="2"/>
  <c r="GQ333" i="2"/>
  <c r="GO333" i="2"/>
  <c r="GG333" i="2"/>
  <c r="GE333" i="2"/>
  <c r="GC333" i="2"/>
  <c r="GA333" i="2"/>
  <c r="FY333" i="2"/>
  <c r="FW333" i="2"/>
  <c r="FU333" i="2"/>
  <c r="FS333" i="2"/>
  <c r="FI333" i="2"/>
  <c r="FF333" i="2"/>
  <c r="FD333" i="2"/>
  <c r="EV333" i="2"/>
  <c r="ET333" i="2"/>
  <c r="ER333" i="2"/>
  <c r="EP333" i="2"/>
  <c r="EN333" i="2"/>
  <c r="EL333" i="2"/>
  <c r="EJ333" i="2"/>
  <c r="EH333" i="2"/>
  <c r="DX333" i="2"/>
  <c r="DU333" i="2"/>
  <c r="DS333" i="2"/>
  <c r="DK333" i="2"/>
  <c r="DI333" i="2"/>
  <c r="DG333" i="2"/>
  <c r="DE333" i="2"/>
  <c r="DC333" i="2"/>
  <c r="DA333" i="2"/>
  <c r="CY333" i="2"/>
  <c r="CW333" i="2"/>
  <c r="CM333" i="2"/>
  <c r="CJ333" i="2"/>
  <c r="CH333" i="2"/>
  <c r="BZ333" i="2"/>
  <c r="BX333" i="2"/>
  <c r="BV333" i="2"/>
  <c r="BT333" i="2"/>
  <c r="BR333" i="2"/>
  <c r="BP333" i="2"/>
  <c r="BN333" i="2"/>
  <c r="BL333" i="2"/>
  <c r="BB333" i="2"/>
  <c r="AW333" i="2"/>
  <c r="AO333" i="2"/>
  <c r="AM333" i="2"/>
  <c r="AK333" i="2"/>
  <c r="AI333" i="2"/>
  <c r="AG333" i="2"/>
  <c r="AE333" i="2"/>
  <c r="AC333" i="2"/>
  <c r="AA333" i="2"/>
  <c r="Q333" i="2"/>
  <c r="L333" i="2"/>
  <c r="MD332" i="2"/>
  <c r="MA332" i="2"/>
  <c r="LK332" i="2"/>
  <c r="LL332" i="2" s="1"/>
  <c r="KN332" i="2"/>
  <c r="KL332" i="2"/>
  <c r="KJ332" i="2"/>
  <c r="KH332" i="2"/>
  <c r="KF332" i="2"/>
  <c r="KD332" i="2"/>
  <c r="KB332" i="2"/>
  <c r="JZ332" i="2"/>
  <c r="JP332" i="2"/>
  <c r="JK332" i="2"/>
  <c r="JC332" i="2"/>
  <c r="JA332" i="2"/>
  <c r="IY332" i="2"/>
  <c r="IW332" i="2"/>
  <c r="IU332" i="2"/>
  <c r="IS332" i="2"/>
  <c r="IQ332" i="2"/>
  <c r="IO332" i="2"/>
  <c r="IE332" i="2"/>
  <c r="HZ332" i="2"/>
  <c r="HR332" i="2"/>
  <c r="HP332" i="2"/>
  <c r="HN332" i="2"/>
  <c r="HL332" i="2"/>
  <c r="HJ332" i="2"/>
  <c r="HH332" i="2"/>
  <c r="HF332" i="2"/>
  <c r="HD332" i="2"/>
  <c r="GO332" i="2"/>
  <c r="GG332" i="2"/>
  <c r="GE332" i="2"/>
  <c r="GC332" i="2"/>
  <c r="GA332" i="2"/>
  <c r="FY332" i="2"/>
  <c r="FW332" i="2"/>
  <c r="FU332" i="2"/>
  <c r="FS332" i="2"/>
  <c r="FI332" i="2"/>
  <c r="FD332" i="2"/>
  <c r="EV332" i="2"/>
  <c r="ET332" i="2"/>
  <c r="ER332" i="2"/>
  <c r="EP332" i="2"/>
  <c r="EN332" i="2"/>
  <c r="EL332" i="2"/>
  <c r="EJ332" i="2"/>
  <c r="EH332" i="2"/>
  <c r="DS332" i="2"/>
  <c r="DK332" i="2"/>
  <c r="DI332" i="2"/>
  <c r="DG332" i="2"/>
  <c r="DE332" i="2"/>
  <c r="DC332" i="2"/>
  <c r="DA332" i="2"/>
  <c r="CY332" i="2"/>
  <c r="CW332" i="2"/>
  <c r="CH332" i="2"/>
  <c r="BZ332" i="2"/>
  <c r="BX332" i="2"/>
  <c r="BV332" i="2"/>
  <c r="BT332" i="2"/>
  <c r="BR332" i="2"/>
  <c r="BP332" i="2"/>
  <c r="BN332" i="2"/>
  <c r="BL332" i="2"/>
  <c r="BB332" i="2"/>
  <c r="AW332" i="2"/>
  <c r="AO332" i="2"/>
  <c r="AM332" i="2"/>
  <c r="AK332" i="2"/>
  <c r="AI332" i="2"/>
  <c r="AG332" i="2"/>
  <c r="AE332" i="2"/>
  <c r="AC332" i="2"/>
  <c r="AA332" i="2"/>
  <c r="Q332" i="2"/>
  <c r="L332" i="2"/>
  <c r="MD331" i="2"/>
  <c r="MA331" i="2"/>
  <c r="LK331" i="2"/>
  <c r="LL331" i="2" s="1"/>
  <c r="KR331" i="2" s="1"/>
  <c r="KN331" i="2"/>
  <c r="KL331" i="2"/>
  <c r="KJ331" i="2"/>
  <c r="KH331" i="2"/>
  <c r="KF331" i="2"/>
  <c r="KD331" i="2"/>
  <c r="KB331" i="2"/>
  <c r="JZ331" i="2"/>
  <c r="JP331" i="2"/>
  <c r="JK331" i="2"/>
  <c r="JC331" i="2"/>
  <c r="JA331" i="2"/>
  <c r="IY331" i="2"/>
  <c r="IW331" i="2"/>
  <c r="IU331" i="2"/>
  <c r="IS331" i="2"/>
  <c r="IQ331" i="2"/>
  <c r="IO331" i="2"/>
  <c r="IE331" i="2"/>
  <c r="HZ331" i="2"/>
  <c r="HR331" i="2"/>
  <c r="HP331" i="2"/>
  <c r="HN331" i="2"/>
  <c r="HL331" i="2"/>
  <c r="HJ331" i="2"/>
  <c r="HH331" i="2"/>
  <c r="HF331" i="2"/>
  <c r="HD331" i="2"/>
  <c r="GT331" i="2"/>
  <c r="GO331" i="2"/>
  <c r="GG331" i="2"/>
  <c r="GE331" i="2"/>
  <c r="GC331" i="2"/>
  <c r="GA331" i="2"/>
  <c r="FY331" i="2"/>
  <c r="FW331" i="2"/>
  <c r="FU331" i="2"/>
  <c r="FS331" i="2"/>
  <c r="FI331" i="2"/>
  <c r="FD331" i="2"/>
  <c r="EV331" i="2"/>
  <c r="ET331" i="2"/>
  <c r="ER331" i="2"/>
  <c r="EP331" i="2"/>
  <c r="EN331" i="2"/>
  <c r="EL331" i="2"/>
  <c r="EJ331" i="2"/>
  <c r="EH331" i="2"/>
  <c r="DS331" i="2"/>
  <c r="DK331" i="2"/>
  <c r="DI331" i="2"/>
  <c r="DG331" i="2"/>
  <c r="DE331" i="2"/>
  <c r="DC331" i="2"/>
  <c r="DA331" i="2"/>
  <c r="CY331" i="2"/>
  <c r="CW331" i="2"/>
  <c r="CM331" i="2"/>
  <c r="CH331" i="2"/>
  <c r="BZ331" i="2"/>
  <c r="BX331" i="2"/>
  <c r="BV331" i="2"/>
  <c r="BT331" i="2"/>
  <c r="BR331" i="2"/>
  <c r="BP331" i="2"/>
  <c r="BN331" i="2"/>
  <c r="BL331" i="2"/>
  <c r="BB331" i="2"/>
  <c r="AW331" i="2"/>
  <c r="AO331" i="2"/>
  <c r="AM331" i="2"/>
  <c r="AK331" i="2"/>
  <c r="AI331" i="2"/>
  <c r="AG331" i="2"/>
  <c r="AE331" i="2"/>
  <c r="AC331" i="2"/>
  <c r="AA331" i="2"/>
  <c r="Q331" i="2"/>
  <c r="L331" i="2"/>
  <c r="MD330" i="2"/>
  <c r="MA330" i="2"/>
  <c r="LK330" i="2"/>
  <c r="LL330" i="2" s="1"/>
  <c r="KN330" i="2"/>
  <c r="KL330" i="2"/>
  <c r="KJ330" i="2"/>
  <c r="KH330" i="2"/>
  <c r="KF330" i="2"/>
  <c r="KD330" i="2"/>
  <c r="KB330" i="2"/>
  <c r="JZ330" i="2"/>
  <c r="JP330" i="2"/>
  <c r="JK330" i="2"/>
  <c r="JC330" i="2"/>
  <c r="JA330" i="2"/>
  <c r="IY330" i="2"/>
  <c r="IW330" i="2"/>
  <c r="IU330" i="2"/>
  <c r="IS330" i="2"/>
  <c r="IQ330" i="2"/>
  <c r="IO330" i="2"/>
  <c r="IE330" i="2"/>
  <c r="HZ330" i="2"/>
  <c r="HR330" i="2"/>
  <c r="HP330" i="2"/>
  <c r="HN330" i="2"/>
  <c r="HL330" i="2"/>
  <c r="HJ330" i="2"/>
  <c r="HH330" i="2"/>
  <c r="HF330" i="2"/>
  <c r="HD330" i="2"/>
  <c r="GT330" i="2"/>
  <c r="GQ330" i="2"/>
  <c r="GO330" i="2"/>
  <c r="GG330" i="2"/>
  <c r="GE330" i="2"/>
  <c r="GC330" i="2"/>
  <c r="GA330" i="2"/>
  <c r="FY330" i="2"/>
  <c r="FW330" i="2"/>
  <c r="FU330" i="2"/>
  <c r="FS330" i="2"/>
  <c r="FI330" i="2"/>
  <c r="FF330" i="2"/>
  <c r="FD330" i="2"/>
  <c r="EV330" i="2"/>
  <c r="ET330" i="2"/>
  <c r="ER330" i="2"/>
  <c r="EP330" i="2"/>
  <c r="EN330" i="2"/>
  <c r="EL330" i="2"/>
  <c r="EJ330" i="2"/>
  <c r="EH330" i="2"/>
  <c r="DS330" i="2"/>
  <c r="DK330" i="2"/>
  <c r="DI330" i="2"/>
  <c r="DG330" i="2"/>
  <c r="DE330" i="2"/>
  <c r="DC330" i="2"/>
  <c r="DA330" i="2"/>
  <c r="CY330" i="2"/>
  <c r="CW330" i="2"/>
  <c r="CH330" i="2"/>
  <c r="BZ330" i="2"/>
  <c r="BX330" i="2"/>
  <c r="BV330" i="2"/>
  <c r="BT330" i="2"/>
  <c r="BR330" i="2"/>
  <c r="BP330" i="2"/>
  <c r="BN330" i="2"/>
  <c r="BL330" i="2"/>
  <c r="BB330" i="2"/>
  <c r="AY330" i="2"/>
  <c r="AW330" i="2"/>
  <c r="AO330" i="2"/>
  <c r="AM330" i="2"/>
  <c r="AK330" i="2"/>
  <c r="AI330" i="2"/>
  <c r="AG330" i="2"/>
  <c r="AE330" i="2"/>
  <c r="AC330" i="2"/>
  <c r="AA330" i="2"/>
  <c r="L330" i="2"/>
  <c r="ML329" i="2"/>
  <c r="MK329" i="2"/>
  <c r="MJ329" i="2"/>
  <c r="MI329" i="2"/>
  <c r="MH329" i="2"/>
  <c r="MD329" i="2"/>
  <c r="MA329" i="2"/>
  <c r="LK329" i="2"/>
  <c r="LL329" i="2" s="1"/>
  <c r="KN329" i="2"/>
  <c r="KL329" i="2"/>
  <c r="KJ329" i="2"/>
  <c r="KH329" i="2"/>
  <c r="KF329" i="2"/>
  <c r="KD329" i="2"/>
  <c r="KB329" i="2"/>
  <c r="JZ329" i="2"/>
  <c r="JP329" i="2"/>
  <c r="JM329" i="2"/>
  <c r="JK329" i="2"/>
  <c r="JC329" i="2"/>
  <c r="JA329" i="2"/>
  <c r="IY329" i="2"/>
  <c r="IW329" i="2"/>
  <c r="IU329" i="2"/>
  <c r="IS329" i="2"/>
  <c r="IQ329" i="2"/>
  <c r="IO329" i="2"/>
  <c r="IE329" i="2"/>
  <c r="IB329" i="2"/>
  <c r="HZ329" i="2"/>
  <c r="HR329" i="2"/>
  <c r="HP329" i="2"/>
  <c r="HN329" i="2"/>
  <c r="HL329" i="2"/>
  <c r="HJ329" i="2"/>
  <c r="HH329" i="2"/>
  <c r="HF329" i="2"/>
  <c r="HD329" i="2"/>
  <c r="GT329" i="2"/>
  <c r="GQ329" i="2"/>
  <c r="GO329" i="2"/>
  <c r="GG329" i="2"/>
  <c r="GE329" i="2"/>
  <c r="GC329" i="2"/>
  <c r="GA329" i="2"/>
  <c r="FY329" i="2"/>
  <c r="FW329" i="2"/>
  <c r="FU329" i="2"/>
  <c r="FS329" i="2"/>
  <c r="FI329" i="2"/>
  <c r="FF329" i="2"/>
  <c r="FD329" i="2"/>
  <c r="EV329" i="2"/>
  <c r="ET329" i="2"/>
  <c r="ER329" i="2"/>
  <c r="EP329" i="2"/>
  <c r="EN329" i="2"/>
  <c r="EL329" i="2"/>
  <c r="EJ329" i="2"/>
  <c r="EH329" i="2"/>
  <c r="DX329" i="2"/>
  <c r="DU329" i="2"/>
  <c r="DS329" i="2"/>
  <c r="DK329" i="2"/>
  <c r="DI329" i="2"/>
  <c r="DG329" i="2"/>
  <c r="DE329" i="2"/>
  <c r="DC329" i="2"/>
  <c r="DA329" i="2"/>
  <c r="CY329" i="2"/>
  <c r="CW329" i="2"/>
  <c r="CM329" i="2"/>
  <c r="CH329" i="2"/>
  <c r="BZ329" i="2"/>
  <c r="BX329" i="2"/>
  <c r="BV329" i="2"/>
  <c r="BT329" i="2"/>
  <c r="BR329" i="2"/>
  <c r="BP329" i="2"/>
  <c r="BN329" i="2"/>
  <c r="BL329" i="2"/>
  <c r="BB329" i="2"/>
  <c r="AY329" i="2"/>
  <c r="AW329" i="2"/>
  <c r="AO329" i="2"/>
  <c r="AM329" i="2"/>
  <c r="AK329" i="2"/>
  <c r="AI329" i="2"/>
  <c r="AG329" i="2"/>
  <c r="AE329" i="2"/>
  <c r="AC329" i="2"/>
  <c r="AA329" i="2"/>
  <c r="Q329" i="2"/>
  <c r="N329" i="2"/>
  <c r="L329" i="2"/>
  <c r="ML328" i="2"/>
  <c r="MK328" i="2"/>
  <c r="MD328" i="2"/>
  <c r="MA328" i="2"/>
  <c r="LK328" i="2"/>
  <c r="LL328" i="2" s="1"/>
  <c r="KN328" i="2"/>
  <c r="KL328" i="2"/>
  <c r="KJ328" i="2"/>
  <c r="KH328" i="2"/>
  <c r="KF328" i="2"/>
  <c r="KD328" i="2"/>
  <c r="KB328" i="2"/>
  <c r="JZ328" i="2"/>
  <c r="JP328" i="2"/>
  <c r="JM328" i="2"/>
  <c r="JK328" i="2"/>
  <c r="JC328" i="2"/>
  <c r="JA328" i="2"/>
  <c r="IY328" i="2"/>
  <c r="IW328" i="2"/>
  <c r="IU328" i="2"/>
  <c r="IS328" i="2"/>
  <c r="IQ328" i="2"/>
  <c r="IO328" i="2"/>
  <c r="IE328" i="2"/>
  <c r="IB328" i="2"/>
  <c r="HZ328" i="2"/>
  <c r="HR328" i="2"/>
  <c r="HP328" i="2"/>
  <c r="HN328" i="2"/>
  <c r="HL328" i="2"/>
  <c r="HJ328" i="2"/>
  <c r="HH328" i="2"/>
  <c r="HF328" i="2"/>
  <c r="HD328" i="2"/>
  <c r="GT328" i="2"/>
  <c r="GO328" i="2"/>
  <c r="GG328" i="2"/>
  <c r="GE328" i="2"/>
  <c r="GC328" i="2"/>
  <c r="GA328" i="2"/>
  <c r="FY328" i="2"/>
  <c r="FW328" i="2"/>
  <c r="FU328" i="2"/>
  <c r="FS328" i="2"/>
  <c r="FI328" i="2"/>
  <c r="FD328" i="2"/>
  <c r="EV328" i="2"/>
  <c r="ET328" i="2"/>
  <c r="ER328" i="2"/>
  <c r="EP328" i="2"/>
  <c r="EN328" i="2"/>
  <c r="EL328" i="2"/>
  <c r="EJ328" i="2"/>
  <c r="EH328" i="2"/>
  <c r="DX328" i="2"/>
  <c r="DS328" i="2"/>
  <c r="DK328" i="2"/>
  <c r="DI328" i="2"/>
  <c r="DG328" i="2"/>
  <c r="DE328" i="2"/>
  <c r="DC328" i="2"/>
  <c r="DA328" i="2"/>
  <c r="CY328" i="2"/>
  <c r="CW328" i="2"/>
  <c r="CM328" i="2"/>
  <c r="CJ328" i="2"/>
  <c r="CH328" i="2"/>
  <c r="BZ328" i="2"/>
  <c r="BX328" i="2"/>
  <c r="BV328" i="2"/>
  <c r="BT328" i="2"/>
  <c r="BR328" i="2"/>
  <c r="BP328" i="2"/>
  <c r="BN328" i="2"/>
  <c r="BL328" i="2"/>
  <c r="BB328" i="2"/>
  <c r="AW328" i="2"/>
  <c r="AO328" i="2"/>
  <c r="AM328" i="2"/>
  <c r="AK328" i="2"/>
  <c r="AI328" i="2"/>
  <c r="AG328" i="2"/>
  <c r="AE328" i="2"/>
  <c r="AC328" i="2"/>
  <c r="AA328" i="2"/>
  <c r="Q328" i="2"/>
  <c r="L328" i="2"/>
  <c r="ML327" i="2"/>
  <c r="MK327" i="2"/>
  <c r="MJ327" i="2"/>
  <c r="MI327" i="2"/>
  <c r="MH327" i="2"/>
  <c r="MD327" i="2"/>
  <c r="MA327" i="2"/>
  <c r="LK327" i="2"/>
  <c r="LL327" i="2" s="1"/>
  <c r="KN327" i="2"/>
  <c r="KL327" i="2"/>
  <c r="KJ327" i="2"/>
  <c r="KH327" i="2"/>
  <c r="KF327" i="2"/>
  <c r="KD327" i="2"/>
  <c r="KB327" i="2"/>
  <c r="JZ327" i="2"/>
  <c r="JP327" i="2"/>
  <c r="JM327" i="2"/>
  <c r="JK327" i="2"/>
  <c r="JC327" i="2"/>
  <c r="JA327" i="2"/>
  <c r="IY327" i="2"/>
  <c r="IW327" i="2"/>
  <c r="IU327" i="2"/>
  <c r="IS327" i="2"/>
  <c r="IQ327" i="2"/>
  <c r="IO327" i="2"/>
  <c r="IE327" i="2"/>
  <c r="IB327" i="2"/>
  <c r="HZ327" i="2"/>
  <c r="HR327" i="2"/>
  <c r="HP327" i="2"/>
  <c r="HN327" i="2"/>
  <c r="HL327" i="2"/>
  <c r="HJ327" i="2"/>
  <c r="HH327" i="2"/>
  <c r="HF327" i="2"/>
  <c r="HD327" i="2"/>
  <c r="GT327" i="2"/>
  <c r="GQ327" i="2"/>
  <c r="GO327" i="2"/>
  <c r="GG327" i="2"/>
  <c r="GE327" i="2"/>
  <c r="GC327" i="2"/>
  <c r="GA327" i="2"/>
  <c r="FY327" i="2"/>
  <c r="FW327" i="2"/>
  <c r="FU327" i="2"/>
  <c r="FS327" i="2"/>
  <c r="FI327" i="2"/>
  <c r="FF327" i="2"/>
  <c r="FD327" i="2"/>
  <c r="EV327" i="2"/>
  <c r="ET327" i="2"/>
  <c r="ER327" i="2"/>
  <c r="EP327" i="2"/>
  <c r="EN327" i="2"/>
  <c r="EL327" i="2"/>
  <c r="EJ327" i="2"/>
  <c r="EH327" i="2"/>
  <c r="DX327" i="2"/>
  <c r="DU327" i="2"/>
  <c r="DS327" i="2"/>
  <c r="DK327" i="2"/>
  <c r="DI327" i="2"/>
  <c r="DG327" i="2"/>
  <c r="DE327" i="2"/>
  <c r="DC327" i="2"/>
  <c r="DA327" i="2"/>
  <c r="CY327" i="2"/>
  <c r="CW327" i="2"/>
  <c r="CM327" i="2"/>
  <c r="CH327" i="2"/>
  <c r="BZ327" i="2"/>
  <c r="BX327" i="2"/>
  <c r="BV327" i="2"/>
  <c r="BT327" i="2"/>
  <c r="BR327" i="2"/>
  <c r="BP327" i="2"/>
  <c r="BN327" i="2"/>
  <c r="BL327" i="2"/>
  <c r="AW327" i="2"/>
  <c r="AO327" i="2"/>
  <c r="AM327" i="2"/>
  <c r="AK327" i="2"/>
  <c r="AI327" i="2"/>
  <c r="AG327" i="2"/>
  <c r="AE327" i="2"/>
  <c r="AC327" i="2"/>
  <c r="AA327" i="2"/>
  <c r="L327" i="2"/>
  <c r="ML326" i="2"/>
  <c r="MK326" i="2"/>
  <c r="MJ326" i="2"/>
  <c r="MI326" i="2"/>
  <c r="MD326" i="2"/>
  <c r="MA326" i="2"/>
  <c r="LK326" i="2"/>
  <c r="LL326" i="2" s="1"/>
  <c r="KR326" i="2" s="1"/>
  <c r="KN326" i="2"/>
  <c r="KL326" i="2"/>
  <c r="KJ326" i="2"/>
  <c r="KH326" i="2"/>
  <c r="KF326" i="2"/>
  <c r="KD326" i="2"/>
  <c r="KB326" i="2"/>
  <c r="JZ326" i="2"/>
  <c r="JP326" i="2"/>
  <c r="JM326" i="2"/>
  <c r="JK326" i="2"/>
  <c r="JC326" i="2"/>
  <c r="JA326" i="2"/>
  <c r="IY326" i="2"/>
  <c r="IW326" i="2"/>
  <c r="IU326" i="2"/>
  <c r="IS326" i="2"/>
  <c r="IQ326" i="2"/>
  <c r="IO326" i="2"/>
  <c r="IE326" i="2"/>
  <c r="IB326" i="2"/>
  <c r="HZ326" i="2"/>
  <c r="HR326" i="2"/>
  <c r="HP326" i="2"/>
  <c r="HN326" i="2"/>
  <c r="HL326" i="2"/>
  <c r="HJ326" i="2"/>
  <c r="HH326" i="2"/>
  <c r="HF326" i="2"/>
  <c r="HD326" i="2"/>
  <c r="GT326" i="2"/>
  <c r="GQ326" i="2"/>
  <c r="GO326" i="2"/>
  <c r="GG326" i="2"/>
  <c r="GE326" i="2"/>
  <c r="GC326" i="2"/>
  <c r="GA326" i="2"/>
  <c r="FY326" i="2"/>
  <c r="FW326" i="2"/>
  <c r="FU326" i="2"/>
  <c r="FS326" i="2"/>
  <c r="FI326" i="2"/>
  <c r="FF326" i="2"/>
  <c r="FD326" i="2"/>
  <c r="EV326" i="2"/>
  <c r="ET326" i="2"/>
  <c r="ER326" i="2"/>
  <c r="EP326" i="2"/>
  <c r="EN326" i="2"/>
  <c r="EL326" i="2"/>
  <c r="EJ326" i="2"/>
  <c r="EH326" i="2"/>
  <c r="DX326" i="2"/>
  <c r="DS326" i="2"/>
  <c r="DK326" i="2"/>
  <c r="DI326" i="2"/>
  <c r="DG326" i="2"/>
  <c r="DE326" i="2"/>
  <c r="DC326" i="2"/>
  <c r="DA326" i="2"/>
  <c r="CY326" i="2"/>
  <c r="CW326" i="2"/>
  <c r="CM326" i="2"/>
  <c r="CH326" i="2"/>
  <c r="BZ326" i="2"/>
  <c r="BX326" i="2"/>
  <c r="BV326" i="2"/>
  <c r="BT326" i="2"/>
  <c r="BR326" i="2"/>
  <c r="BP326" i="2"/>
  <c r="BN326" i="2"/>
  <c r="BL326" i="2"/>
  <c r="BB326" i="2"/>
  <c r="AW326" i="2"/>
  <c r="AO326" i="2"/>
  <c r="AM326" i="2"/>
  <c r="AK326" i="2"/>
  <c r="AI326" i="2"/>
  <c r="AG326" i="2"/>
  <c r="AE326" i="2"/>
  <c r="AC326" i="2"/>
  <c r="AA326" i="2"/>
  <c r="Q326" i="2"/>
  <c r="L326" i="2"/>
  <c r="ML325" i="2"/>
  <c r="MK325" i="2"/>
  <c r="MJ325" i="2"/>
  <c r="MD325" i="2"/>
  <c r="MA325" i="2"/>
  <c r="KN325" i="2"/>
  <c r="KL325" i="2"/>
  <c r="KJ325" i="2"/>
  <c r="KH325" i="2"/>
  <c r="KF325" i="2"/>
  <c r="KD325" i="2"/>
  <c r="KB325" i="2"/>
  <c r="JZ325" i="2"/>
  <c r="JP325" i="2"/>
  <c r="JM325" i="2"/>
  <c r="JK325" i="2"/>
  <c r="JC325" i="2"/>
  <c r="JA325" i="2"/>
  <c r="IY325" i="2"/>
  <c r="IW325" i="2"/>
  <c r="IU325" i="2"/>
  <c r="IS325" i="2"/>
  <c r="IQ325" i="2"/>
  <c r="IO325" i="2"/>
  <c r="IE325" i="2"/>
  <c r="IB325" i="2"/>
  <c r="HZ325" i="2"/>
  <c r="HR325" i="2"/>
  <c r="HP325" i="2"/>
  <c r="HN325" i="2"/>
  <c r="HL325" i="2"/>
  <c r="HJ325" i="2"/>
  <c r="HH325" i="2"/>
  <c r="HF325" i="2"/>
  <c r="HD325" i="2"/>
  <c r="GT325" i="2"/>
  <c r="GQ325" i="2"/>
  <c r="GO325" i="2"/>
  <c r="GG325" i="2"/>
  <c r="GE325" i="2"/>
  <c r="GC325" i="2"/>
  <c r="GA325" i="2"/>
  <c r="FY325" i="2"/>
  <c r="FW325" i="2"/>
  <c r="FU325" i="2"/>
  <c r="FS325" i="2"/>
  <c r="FI325" i="2"/>
  <c r="FD325" i="2"/>
  <c r="EV325" i="2"/>
  <c r="ET325" i="2"/>
  <c r="ER325" i="2"/>
  <c r="EP325" i="2"/>
  <c r="EN325" i="2"/>
  <c r="EL325" i="2"/>
  <c r="EJ325" i="2"/>
  <c r="EH325" i="2"/>
  <c r="DX325" i="2"/>
  <c r="DS325" i="2"/>
  <c r="DK325" i="2"/>
  <c r="DI325" i="2"/>
  <c r="DG325" i="2"/>
  <c r="DE325" i="2"/>
  <c r="DC325" i="2"/>
  <c r="DA325" i="2"/>
  <c r="CY325" i="2"/>
  <c r="CW325" i="2"/>
  <c r="CM325" i="2"/>
  <c r="CH325" i="2"/>
  <c r="BZ325" i="2"/>
  <c r="BX325" i="2"/>
  <c r="BV325" i="2"/>
  <c r="BT325" i="2"/>
  <c r="BR325" i="2"/>
  <c r="BP325" i="2"/>
  <c r="BN325" i="2"/>
  <c r="BL325" i="2"/>
  <c r="BB325" i="2"/>
  <c r="AW325" i="2"/>
  <c r="AO325" i="2"/>
  <c r="AM325" i="2"/>
  <c r="AK325" i="2"/>
  <c r="AI325" i="2"/>
  <c r="AG325" i="2"/>
  <c r="AE325" i="2"/>
  <c r="AC325" i="2"/>
  <c r="AA325" i="2"/>
  <c r="Q325" i="2"/>
  <c r="L325" i="2"/>
  <c r="ML324" i="2"/>
  <c r="MK324" i="2"/>
  <c r="MJ324" i="2"/>
  <c r="MI324" i="2"/>
  <c r="MD324" i="2"/>
  <c r="MA324" i="2"/>
  <c r="LK324" i="2"/>
  <c r="LL324" i="2" s="1"/>
  <c r="KN324" i="2"/>
  <c r="KL324" i="2"/>
  <c r="KJ324" i="2"/>
  <c r="KH324" i="2"/>
  <c r="KF324" i="2"/>
  <c r="KD324" i="2"/>
  <c r="KB324" i="2"/>
  <c r="JZ324" i="2"/>
  <c r="JP324" i="2"/>
  <c r="JM324" i="2"/>
  <c r="JK324" i="2"/>
  <c r="JC324" i="2"/>
  <c r="JA324" i="2"/>
  <c r="IY324" i="2"/>
  <c r="IW324" i="2"/>
  <c r="IU324" i="2"/>
  <c r="IS324" i="2"/>
  <c r="IQ324" i="2"/>
  <c r="IO324" i="2"/>
  <c r="IE324" i="2"/>
  <c r="IB324" i="2"/>
  <c r="HZ324" i="2"/>
  <c r="HR324" i="2"/>
  <c r="HP324" i="2"/>
  <c r="HN324" i="2"/>
  <c r="HL324" i="2"/>
  <c r="HJ324" i="2"/>
  <c r="HH324" i="2"/>
  <c r="HF324" i="2"/>
  <c r="HD324" i="2"/>
  <c r="GT324" i="2"/>
  <c r="GQ324" i="2"/>
  <c r="GO324" i="2"/>
  <c r="GG324" i="2"/>
  <c r="GE324" i="2"/>
  <c r="GC324" i="2"/>
  <c r="GA324" i="2"/>
  <c r="FY324" i="2"/>
  <c r="FW324" i="2"/>
  <c r="FU324" i="2"/>
  <c r="FS324" i="2"/>
  <c r="FI324" i="2"/>
  <c r="FF324" i="2"/>
  <c r="FD324" i="2"/>
  <c r="EV324" i="2"/>
  <c r="ET324" i="2"/>
  <c r="ER324" i="2"/>
  <c r="EP324" i="2"/>
  <c r="EN324" i="2"/>
  <c r="EL324" i="2"/>
  <c r="EJ324" i="2"/>
  <c r="EH324" i="2"/>
  <c r="DX324" i="2"/>
  <c r="DS324" i="2"/>
  <c r="DK324" i="2"/>
  <c r="DI324" i="2"/>
  <c r="DG324" i="2"/>
  <c r="DE324" i="2"/>
  <c r="DC324" i="2"/>
  <c r="DA324" i="2"/>
  <c r="CY324" i="2"/>
  <c r="CW324" i="2"/>
  <c r="CM324" i="2"/>
  <c r="CH324" i="2"/>
  <c r="BZ324" i="2"/>
  <c r="BX324" i="2"/>
  <c r="BV324" i="2"/>
  <c r="BT324" i="2"/>
  <c r="BR324" i="2"/>
  <c r="BP324" i="2"/>
  <c r="BN324" i="2"/>
  <c r="BL324" i="2"/>
  <c r="BB324" i="2"/>
  <c r="AW324" i="2"/>
  <c r="AO324" i="2"/>
  <c r="AM324" i="2"/>
  <c r="AK324" i="2"/>
  <c r="AI324" i="2"/>
  <c r="AG324" i="2"/>
  <c r="AE324" i="2"/>
  <c r="AC324" i="2"/>
  <c r="AA324" i="2"/>
  <c r="Q324" i="2"/>
  <c r="L324" i="2"/>
  <c r="ML323" i="2"/>
  <c r="MK323" i="2"/>
  <c r="MJ323" i="2"/>
  <c r="MD323" i="2"/>
  <c r="MA323" i="2"/>
  <c r="LK323" i="2"/>
  <c r="LL323" i="2" s="1"/>
  <c r="KN323" i="2"/>
  <c r="KL323" i="2"/>
  <c r="KJ323" i="2"/>
  <c r="KH323" i="2"/>
  <c r="KF323" i="2"/>
  <c r="KD323" i="2"/>
  <c r="KB323" i="2"/>
  <c r="JZ323" i="2"/>
  <c r="JP323" i="2"/>
  <c r="JM323" i="2"/>
  <c r="JK323" i="2"/>
  <c r="JC323" i="2"/>
  <c r="JA323" i="2"/>
  <c r="IY323" i="2"/>
  <c r="IW323" i="2"/>
  <c r="IU323" i="2"/>
  <c r="IS323" i="2"/>
  <c r="IQ323" i="2"/>
  <c r="IO323" i="2"/>
  <c r="IE323" i="2"/>
  <c r="IB323" i="2"/>
  <c r="HZ323" i="2"/>
  <c r="HR323" i="2"/>
  <c r="HP323" i="2"/>
  <c r="HN323" i="2"/>
  <c r="HL323" i="2"/>
  <c r="HJ323" i="2"/>
  <c r="HH323" i="2"/>
  <c r="HF323" i="2"/>
  <c r="HD323" i="2"/>
  <c r="GT323" i="2"/>
  <c r="GQ323" i="2"/>
  <c r="GO323" i="2"/>
  <c r="GG323" i="2"/>
  <c r="GE323" i="2"/>
  <c r="GC323" i="2"/>
  <c r="GA323" i="2"/>
  <c r="FY323" i="2"/>
  <c r="FW323" i="2"/>
  <c r="FU323" i="2"/>
  <c r="FS323" i="2"/>
  <c r="FI323" i="2"/>
  <c r="FD323" i="2"/>
  <c r="EV323" i="2"/>
  <c r="ET323" i="2"/>
  <c r="ER323" i="2"/>
  <c r="EP323" i="2"/>
  <c r="EN323" i="2"/>
  <c r="EL323" i="2"/>
  <c r="EJ323" i="2"/>
  <c r="EH323" i="2"/>
  <c r="DX323" i="2"/>
  <c r="DS323" i="2"/>
  <c r="DK323" i="2"/>
  <c r="DI323" i="2"/>
  <c r="DG323" i="2"/>
  <c r="DE323" i="2"/>
  <c r="DC323" i="2"/>
  <c r="DA323" i="2"/>
  <c r="CY323" i="2"/>
  <c r="CW323" i="2"/>
  <c r="CM323" i="2"/>
  <c r="CH323" i="2"/>
  <c r="BZ323" i="2"/>
  <c r="BX323" i="2"/>
  <c r="BV323" i="2"/>
  <c r="BT323" i="2"/>
  <c r="BR323" i="2"/>
  <c r="BP323" i="2"/>
  <c r="BN323" i="2"/>
  <c r="BL323" i="2"/>
  <c r="BB323" i="2"/>
  <c r="AW323" i="2"/>
  <c r="AO323" i="2"/>
  <c r="AM323" i="2"/>
  <c r="AK323" i="2"/>
  <c r="AI323" i="2"/>
  <c r="AG323" i="2"/>
  <c r="AE323" i="2"/>
  <c r="AC323" i="2"/>
  <c r="AA323" i="2"/>
  <c r="Q323" i="2"/>
  <c r="L323" i="2"/>
  <c r="ML322" i="2"/>
  <c r="MK322" i="2"/>
  <c r="MJ322" i="2"/>
  <c r="MI322" i="2"/>
  <c r="MH322" i="2"/>
  <c r="MD322" i="2"/>
  <c r="MA322" i="2"/>
  <c r="LK322" i="2"/>
  <c r="LL322" i="2" s="1"/>
  <c r="KN322" i="2"/>
  <c r="KL322" i="2"/>
  <c r="KJ322" i="2"/>
  <c r="KH322" i="2"/>
  <c r="KF322" i="2"/>
  <c r="KD322" i="2"/>
  <c r="KB322" i="2"/>
  <c r="JZ322" i="2"/>
  <c r="JP322" i="2"/>
  <c r="JM322" i="2"/>
  <c r="JK322" i="2"/>
  <c r="JC322" i="2"/>
  <c r="JA322" i="2"/>
  <c r="IY322" i="2"/>
  <c r="IW322" i="2"/>
  <c r="IU322" i="2"/>
  <c r="IS322" i="2"/>
  <c r="IQ322" i="2"/>
  <c r="IO322" i="2"/>
  <c r="IE322" i="2"/>
  <c r="IB322" i="2"/>
  <c r="HZ322" i="2"/>
  <c r="HR322" i="2"/>
  <c r="HP322" i="2"/>
  <c r="HN322" i="2"/>
  <c r="HL322" i="2"/>
  <c r="HJ322" i="2"/>
  <c r="HH322" i="2"/>
  <c r="HF322" i="2"/>
  <c r="HD322" i="2"/>
  <c r="GT322" i="2"/>
  <c r="GQ322" i="2"/>
  <c r="GO322" i="2"/>
  <c r="GG322" i="2"/>
  <c r="GE322" i="2"/>
  <c r="GC322" i="2"/>
  <c r="GA322" i="2"/>
  <c r="FY322" i="2"/>
  <c r="FW322" i="2"/>
  <c r="FU322" i="2"/>
  <c r="FS322" i="2"/>
  <c r="FI322" i="2"/>
  <c r="FF322" i="2"/>
  <c r="FD322" i="2"/>
  <c r="EV322" i="2"/>
  <c r="ET322" i="2"/>
  <c r="ER322" i="2"/>
  <c r="EP322" i="2"/>
  <c r="EN322" i="2"/>
  <c r="EL322" i="2"/>
  <c r="EJ322" i="2"/>
  <c r="EH322" i="2"/>
  <c r="DX322" i="2"/>
  <c r="DU322" i="2"/>
  <c r="DS322" i="2"/>
  <c r="DK322" i="2"/>
  <c r="DI322" i="2"/>
  <c r="DG322" i="2"/>
  <c r="DE322" i="2"/>
  <c r="DC322" i="2"/>
  <c r="DA322" i="2"/>
  <c r="CY322" i="2"/>
  <c r="CW322" i="2"/>
  <c r="CM322" i="2"/>
  <c r="CH322" i="2"/>
  <c r="BZ322" i="2"/>
  <c r="BX322" i="2"/>
  <c r="BV322" i="2"/>
  <c r="BT322" i="2"/>
  <c r="BR322" i="2"/>
  <c r="BP322" i="2"/>
  <c r="BN322" i="2"/>
  <c r="BL322" i="2"/>
  <c r="BB322" i="2"/>
  <c r="AW322" i="2"/>
  <c r="AO322" i="2"/>
  <c r="AM322" i="2"/>
  <c r="AK322" i="2"/>
  <c r="AI322" i="2"/>
  <c r="AG322" i="2"/>
  <c r="AE322" i="2"/>
  <c r="AC322" i="2"/>
  <c r="AA322" i="2"/>
  <c r="Q322" i="2"/>
  <c r="L322" i="2"/>
  <c r="ML321" i="2"/>
  <c r="MK321" i="2"/>
  <c r="MJ321" i="2"/>
  <c r="MI321" i="2"/>
  <c r="MH321" i="2"/>
  <c r="MG321" i="2"/>
  <c r="MD321" i="2"/>
  <c r="MA321" i="2"/>
  <c r="LK321" i="2"/>
  <c r="LL321" i="2" s="1"/>
  <c r="KN321" i="2"/>
  <c r="KL321" i="2"/>
  <c r="KJ321" i="2"/>
  <c r="KH321" i="2"/>
  <c r="KF321" i="2"/>
  <c r="KD321" i="2"/>
  <c r="KB321" i="2"/>
  <c r="JZ321" i="2"/>
  <c r="JP321" i="2"/>
  <c r="JM321" i="2"/>
  <c r="JK321" i="2"/>
  <c r="JC321" i="2"/>
  <c r="JA321" i="2"/>
  <c r="IY321" i="2"/>
  <c r="IW321" i="2"/>
  <c r="IU321" i="2"/>
  <c r="IS321" i="2"/>
  <c r="IQ321" i="2"/>
  <c r="IO321" i="2"/>
  <c r="IE321" i="2"/>
  <c r="IB321" i="2"/>
  <c r="HZ321" i="2"/>
  <c r="HR321" i="2"/>
  <c r="HP321" i="2"/>
  <c r="HN321" i="2"/>
  <c r="HL321" i="2"/>
  <c r="HJ321" i="2"/>
  <c r="HH321" i="2"/>
  <c r="HF321" i="2"/>
  <c r="HD321" i="2"/>
  <c r="GT321" i="2"/>
  <c r="GQ321" i="2"/>
  <c r="GO321" i="2"/>
  <c r="GG321" i="2"/>
  <c r="GE321" i="2"/>
  <c r="GC321" i="2"/>
  <c r="GA321" i="2"/>
  <c r="FY321" i="2"/>
  <c r="FW321" i="2"/>
  <c r="FU321" i="2"/>
  <c r="FS321" i="2"/>
  <c r="FI321" i="2"/>
  <c r="FF321" i="2"/>
  <c r="FD321" i="2"/>
  <c r="EV321" i="2"/>
  <c r="ET321" i="2"/>
  <c r="ER321" i="2"/>
  <c r="EP321" i="2"/>
  <c r="EN321" i="2"/>
  <c r="EL321" i="2"/>
  <c r="EJ321" i="2"/>
  <c r="EH321" i="2"/>
  <c r="DX321" i="2"/>
  <c r="DU321" i="2"/>
  <c r="DS321" i="2"/>
  <c r="DK321" i="2"/>
  <c r="DI321" i="2"/>
  <c r="DG321" i="2"/>
  <c r="DE321" i="2"/>
  <c r="DC321" i="2"/>
  <c r="DA321" i="2"/>
  <c r="CY321" i="2"/>
  <c r="CW321" i="2"/>
  <c r="CM321" i="2"/>
  <c r="CJ321" i="2"/>
  <c r="CH321" i="2"/>
  <c r="BZ321" i="2"/>
  <c r="BX321" i="2"/>
  <c r="BV321" i="2"/>
  <c r="BT321" i="2"/>
  <c r="BR321" i="2"/>
  <c r="BP321" i="2"/>
  <c r="BN321" i="2"/>
  <c r="BL321" i="2"/>
  <c r="BB321" i="2"/>
  <c r="AW321" i="2"/>
  <c r="AO321" i="2"/>
  <c r="AM321" i="2"/>
  <c r="AK321" i="2"/>
  <c r="AI321" i="2"/>
  <c r="AG321" i="2"/>
  <c r="AE321" i="2"/>
  <c r="AC321" i="2"/>
  <c r="AA321" i="2"/>
  <c r="Q321" i="2"/>
  <c r="L321" i="2"/>
  <c r="ML320" i="2"/>
  <c r="MK320" i="2"/>
  <c r="MJ320" i="2"/>
  <c r="MI320" i="2"/>
  <c r="MH320" i="2"/>
  <c r="MG320" i="2"/>
  <c r="MD320" i="2"/>
  <c r="MA320" i="2"/>
  <c r="LK320" i="2"/>
  <c r="LL320" i="2" s="1"/>
  <c r="DO320" i="2" s="1"/>
  <c r="KN320" i="2"/>
  <c r="KL320" i="2"/>
  <c r="KJ320" i="2"/>
  <c r="KH320" i="2"/>
  <c r="KF320" i="2"/>
  <c r="KD320" i="2"/>
  <c r="KB320" i="2"/>
  <c r="JZ320" i="2"/>
  <c r="JP320" i="2"/>
  <c r="JM320" i="2"/>
  <c r="JK320" i="2"/>
  <c r="JC320" i="2"/>
  <c r="JA320" i="2"/>
  <c r="IY320" i="2"/>
  <c r="IW320" i="2"/>
  <c r="IU320" i="2"/>
  <c r="IS320" i="2"/>
  <c r="IQ320" i="2"/>
  <c r="IO320" i="2"/>
  <c r="IE320" i="2"/>
  <c r="IB320" i="2"/>
  <c r="HZ320" i="2"/>
  <c r="HR320" i="2"/>
  <c r="HP320" i="2"/>
  <c r="HN320" i="2"/>
  <c r="HL320" i="2"/>
  <c r="HJ320" i="2"/>
  <c r="HH320" i="2"/>
  <c r="HF320" i="2"/>
  <c r="HD320" i="2"/>
  <c r="GT320" i="2"/>
  <c r="GQ320" i="2"/>
  <c r="GO320" i="2"/>
  <c r="GG320" i="2"/>
  <c r="GE320" i="2"/>
  <c r="GC320" i="2"/>
  <c r="GA320" i="2"/>
  <c r="FY320" i="2"/>
  <c r="FW320" i="2"/>
  <c r="FU320" i="2"/>
  <c r="FS320" i="2"/>
  <c r="FI320" i="2"/>
  <c r="FF320" i="2"/>
  <c r="FD320" i="2"/>
  <c r="EV320" i="2"/>
  <c r="ET320" i="2"/>
  <c r="ER320" i="2"/>
  <c r="EP320" i="2"/>
  <c r="EN320" i="2"/>
  <c r="EL320" i="2"/>
  <c r="EJ320" i="2"/>
  <c r="EH320" i="2"/>
  <c r="DX320" i="2"/>
  <c r="DU320" i="2"/>
  <c r="DS320" i="2"/>
  <c r="DK320" i="2"/>
  <c r="DI320" i="2"/>
  <c r="DG320" i="2"/>
  <c r="DE320" i="2"/>
  <c r="DC320" i="2"/>
  <c r="DA320" i="2"/>
  <c r="CY320" i="2"/>
  <c r="CW320" i="2"/>
  <c r="CM320" i="2"/>
  <c r="CJ320" i="2"/>
  <c r="CH320" i="2"/>
  <c r="BZ320" i="2"/>
  <c r="BX320" i="2"/>
  <c r="BV320" i="2"/>
  <c r="BT320" i="2"/>
  <c r="BR320" i="2"/>
  <c r="BP320" i="2"/>
  <c r="BN320" i="2"/>
  <c r="BL320" i="2"/>
  <c r="BB320" i="2"/>
  <c r="AY320" i="2"/>
  <c r="AW320" i="2"/>
  <c r="AO320" i="2"/>
  <c r="AM320" i="2"/>
  <c r="AK320" i="2"/>
  <c r="AI320" i="2"/>
  <c r="AG320" i="2"/>
  <c r="AE320" i="2"/>
  <c r="AC320" i="2"/>
  <c r="AA320" i="2"/>
  <c r="Q320" i="2"/>
  <c r="L320" i="2"/>
  <c r="ML318" i="2"/>
  <c r="MK318" i="2"/>
  <c r="MJ318" i="2"/>
  <c r="MI318" i="2"/>
  <c r="MH318" i="2"/>
  <c r="MG318" i="2"/>
  <c r="MD318" i="2"/>
  <c r="MA318" i="2"/>
  <c r="LK318" i="2"/>
  <c r="LL318" i="2" s="1"/>
  <c r="LO318" i="2" s="1"/>
  <c r="KN318" i="2"/>
  <c r="KL318" i="2"/>
  <c r="KJ318" i="2"/>
  <c r="KH318" i="2"/>
  <c r="KF318" i="2"/>
  <c r="KD318" i="2"/>
  <c r="KB318" i="2"/>
  <c r="JZ318" i="2"/>
  <c r="JP318" i="2"/>
  <c r="JM318" i="2"/>
  <c r="JK318" i="2"/>
  <c r="JC318" i="2"/>
  <c r="JA318" i="2"/>
  <c r="IY318" i="2"/>
  <c r="IW318" i="2"/>
  <c r="IU318" i="2"/>
  <c r="IS318" i="2"/>
  <c r="IQ318" i="2"/>
  <c r="IO318" i="2"/>
  <c r="IE318" i="2"/>
  <c r="IB318" i="2"/>
  <c r="HZ318" i="2"/>
  <c r="HR318" i="2"/>
  <c r="HP318" i="2"/>
  <c r="HN318" i="2"/>
  <c r="HL318" i="2"/>
  <c r="HJ318" i="2"/>
  <c r="HH318" i="2"/>
  <c r="HF318" i="2"/>
  <c r="HD318" i="2"/>
  <c r="GT318" i="2"/>
  <c r="GQ318" i="2"/>
  <c r="GO318" i="2"/>
  <c r="GG318" i="2"/>
  <c r="GE318" i="2"/>
  <c r="GC318" i="2"/>
  <c r="GA318" i="2"/>
  <c r="FY318" i="2"/>
  <c r="FW318" i="2"/>
  <c r="FU318" i="2"/>
  <c r="FS318" i="2"/>
  <c r="FI318" i="2"/>
  <c r="FF318" i="2"/>
  <c r="FD318" i="2"/>
  <c r="EV318" i="2"/>
  <c r="ET318" i="2"/>
  <c r="ER318" i="2"/>
  <c r="EP318" i="2"/>
  <c r="EN318" i="2"/>
  <c r="EL318" i="2"/>
  <c r="EJ318" i="2"/>
  <c r="EH318" i="2"/>
  <c r="DX318" i="2"/>
  <c r="DU318" i="2"/>
  <c r="DS318" i="2"/>
  <c r="DK318" i="2"/>
  <c r="DI318" i="2"/>
  <c r="DG318" i="2"/>
  <c r="DE318" i="2"/>
  <c r="DC318" i="2"/>
  <c r="DA318" i="2"/>
  <c r="CY318" i="2"/>
  <c r="CW318" i="2"/>
  <c r="CM318" i="2"/>
  <c r="CJ318" i="2"/>
  <c r="CH318" i="2"/>
  <c r="BZ318" i="2"/>
  <c r="BX318" i="2"/>
  <c r="BV318" i="2"/>
  <c r="BT318" i="2"/>
  <c r="BR318" i="2"/>
  <c r="BP318" i="2"/>
  <c r="BN318" i="2"/>
  <c r="BL318" i="2"/>
  <c r="BB318" i="2"/>
  <c r="AW318" i="2"/>
  <c r="AO318" i="2"/>
  <c r="AM318" i="2"/>
  <c r="AK318" i="2"/>
  <c r="AI318" i="2"/>
  <c r="AG318" i="2"/>
  <c r="AE318" i="2"/>
  <c r="AC318" i="2"/>
  <c r="AA318" i="2"/>
  <c r="Q318" i="2"/>
  <c r="L318" i="2"/>
  <c r="MD317" i="2"/>
  <c r="MA317" i="2"/>
  <c r="LK317" i="2"/>
  <c r="LL317" i="2" s="1"/>
  <c r="KN317" i="2"/>
  <c r="KL317" i="2"/>
  <c r="KJ317" i="2"/>
  <c r="KH317" i="2"/>
  <c r="KF317" i="2"/>
  <c r="KD317" i="2"/>
  <c r="KB317" i="2"/>
  <c r="JZ317" i="2"/>
  <c r="JP317" i="2"/>
  <c r="JK317" i="2"/>
  <c r="JC317" i="2"/>
  <c r="JA317" i="2"/>
  <c r="IY317" i="2"/>
  <c r="IW317" i="2"/>
  <c r="IU317" i="2"/>
  <c r="IS317" i="2"/>
  <c r="IQ317" i="2"/>
  <c r="IO317" i="2"/>
  <c r="IE317" i="2"/>
  <c r="HZ317" i="2"/>
  <c r="HR317" i="2"/>
  <c r="HP317" i="2"/>
  <c r="HN317" i="2"/>
  <c r="HL317" i="2"/>
  <c r="HJ317" i="2"/>
  <c r="HH317" i="2"/>
  <c r="HF317" i="2"/>
  <c r="HD317" i="2"/>
  <c r="GT317" i="2"/>
  <c r="GO317" i="2"/>
  <c r="GG317" i="2"/>
  <c r="GE317" i="2"/>
  <c r="GC317" i="2"/>
  <c r="GA317" i="2"/>
  <c r="FY317" i="2"/>
  <c r="FW317" i="2"/>
  <c r="FU317" i="2"/>
  <c r="FS317" i="2"/>
  <c r="FD317" i="2"/>
  <c r="EV317" i="2"/>
  <c r="ET317" i="2"/>
  <c r="ER317" i="2"/>
  <c r="EP317" i="2"/>
  <c r="EN317" i="2"/>
  <c r="EL317" i="2"/>
  <c r="EJ317" i="2"/>
  <c r="EH317" i="2"/>
  <c r="DX317" i="2"/>
  <c r="DU317" i="2"/>
  <c r="DS317" i="2"/>
  <c r="DK317" i="2"/>
  <c r="DI317" i="2"/>
  <c r="DG317" i="2"/>
  <c r="DE317" i="2"/>
  <c r="DC317" i="2"/>
  <c r="DA317" i="2"/>
  <c r="CY317" i="2"/>
  <c r="CW317" i="2"/>
  <c r="CM317" i="2"/>
  <c r="CH317" i="2"/>
  <c r="BZ317" i="2"/>
  <c r="BX317" i="2"/>
  <c r="BV317" i="2"/>
  <c r="BT317" i="2"/>
  <c r="BR317" i="2"/>
  <c r="BP317" i="2"/>
  <c r="BN317" i="2"/>
  <c r="BL317" i="2"/>
  <c r="AW317" i="2"/>
  <c r="AO317" i="2"/>
  <c r="AM317" i="2"/>
  <c r="AK317" i="2"/>
  <c r="AI317" i="2"/>
  <c r="AG317" i="2"/>
  <c r="AE317" i="2"/>
  <c r="AC317" i="2"/>
  <c r="AA317" i="2"/>
  <c r="Q317" i="2"/>
  <c r="L317" i="2"/>
  <c r="MD316" i="2"/>
  <c r="MA316" i="2"/>
  <c r="LK316" i="2"/>
  <c r="LL316" i="2" s="1"/>
  <c r="LM316" i="2" s="1"/>
  <c r="KN316" i="2"/>
  <c r="KL316" i="2"/>
  <c r="KJ316" i="2"/>
  <c r="KH316" i="2"/>
  <c r="KF316" i="2"/>
  <c r="KD316" i="2"/>
  <c r="KB316" i="2"/>
  <c r="JZ316" i="2"/>
  <c r="JP316" i="2"/>
  <c r="JK316" i="2"/>
  <c r="JC316" i="2"/>
  <c r="JA316" i="2"/>
  <c r="IY316" i="2"/>
  <c r="IW316" i="2"/>
  <c r="IU316" i="2"/>
  <c r="IS316" i="2"/>
  <c r="IQ316" i="2"/>
  <c r="IO316" i="2"/>
  <c r="IE316" i="2"/>
  <c r="HZ316" i="2"/>
  <c r="HR316" i="2"/>
  <c r="HP316" i="2"/>
  <c r="HN316" i="2"/>
  <c r="HL316" i="2"/>
  <c r="HJ316" i="2"/>
  <c r="HH316" i="2"/>
  <c r="HF316" i="2"/>
  <c r="HD316" i="2"/>
  <c r="GT316" i="2"/>
  <c r="GO316" i="2"/>
  <c r="GG316" i="2"/>
  <c r="GE316" i="2"/>
  <c r="GC316" i="2"/>
  <c r="GA316" i="2"/>
  <c r="FY316" i="2"/>
  <c r="FW316" i="2"/>
  <c r="FU316" i="2"/>
  <c r="FS316" i="2"/>
  <c r="FI316" i="2"/>
  <c r="FD316" i="2"/>
  <c r="EV316" i="2"/>
  <c r="ET316" i="2"/>
  <c r="ER316" i="2"/>
  <c r="EP316" i="2"/>
  <c r="EN316" i="2"/>
  <c r="EL316" i="2"/>
  <c r="EJ316" i="2"/>
  <c r="EH316" i="2"/>
  <c r="DX316" i="2"/>
  <c r="DS316" i="2"/>
  <c r="DK316" i="2"/>
  <c r="DI316" i="2"/>
  <c r="DG316" i="2"/>
  <c r="DE316" i="2"/>
  <c r="DC316" i="2"/>
  <c r="DA316" i="2"/>
  <c r="CY316" i="2"/>
  <c r="CW316" i="2"/>
  <c r="CM316" i="2"/>
  <c r="CH316" i="2"/>
  <c r="BZ316" i="2"/>
  <c r="BX316" i="2"/>
  <c r="BV316" i="2"/>
  <c r="BT316" i="2"/>
  <c r="BR316" i="2"/>
  <c r="BP316" i="2"/>
  <c r="BN316" i="2"/>
  <c r="BL316" i="2"/>
  <c r="BB316" i="2"/>
  <c r="AW316" i="2"/>
  <c r="AO316" i="2"/>
  <c r="AM316" i="2"/>
  <c r="AK316" i="2"/>
  <c r="AI316" i="2"/>
  <c r="AG316" i="2"/>
  <c r="AE316" i="2"/>
  <c r="AC316" i="2"/>
  <c r="AA316" i="2"/>
  <c r="Q316" i="2"/>
  <c r="L316" i="2"/>
  <c r="ML315" i="2"/>
  <c r="MK315" i="2"/>
  <c r="MJ315" i="2"/>
  <c r="MD315" i="2"/>
  <c r="MA315" i="2"/>
  <c r="LK315" i="2"/>
  <c r="LL315" i="2" s="1"/>
  <c r="KN315" i="2"/>
  <c r="KL315" i="2"/>
  <c r="KJ315" i="2"/>
  <c r="KH315" i="2"/>
  <c r="KF315" i="2"/>
  <c r="KD315" i="2"/>
  <c r="KB315" i="2"/>
  <c r="JZ315" i="2"/>
  <c r="JP315" i="2"/>
  <c r="JM315" i="2"/>
  <c r="JK315" i="2"/>
  <c r="JC315" i="2"/>
  <c r="JA315" i="2"/>
  <c r="IY315" i="2"/>
  <c r="IW315" i="2"/>
  <c r="IU315" i="2"/>
  <c r="IS315" i="2"/>
  <c r="IQ315" i="2"/>
  <c r="IO315" i="2"/>
  <c r="IE315" i="2"/>
  <c r="IB315" i="2"/>
  <c r="HZ315" i="2"/>
  <c r="HR315" i="2"/>
  <c r="HP315" i="2"/>
  <c r="HN315" i="2"/>
  <c r="HL315" i="2"/>
  <c r="HJ315" i="2"/>
  <c r="HH315" i="2"/>
  <c r="HF315" i="2"/>
  <c r="HD315" i="2"/>
  <c r="GT315" i="2"/>
  <c r="GQ315" i="2"/>
  <c r="GO315" i="2"/>
  <c r="GG315" i="2"/>
  <c r="GE315" i="2"/>
  <c r="GC315" i="2"/>
  <c r="GA315" i="2"/>
  <c r="FY315" i="2"/>
  <c r="FW315" i="2"/>
  <c r="FU315" i="2"/>
  <c r="FS315" i="2"/>
  <c r="FI315" i="2"/>
  <c r="FD315" i="2"/>
  <c r="EV315" i="2"/>
  <c r="ET315" i="2"/>
  <c r="ER315" i="2"/>
  <c r="EP315" i="2"/>
  <c r="EN315" i="2"/>
  <c r="EL315" i="2"/>
  <c r="EJ315" i="2"/>
  <c r="EH315" i="2"/>
  <c r="DX315" i="2"/>
  <c r="DS315" i="2"/>
  <c r="DK315" i="2"/>
  <c r="DI315" i="2"/>
  <c r="DG315" i="2"/>
  <c r="DE315" i="2"/>
  <c r="DC315" i="2"/>
  <c r="DA315" i="2"/>
  <c r="CY315" i="2"/>
  <c r="CW315" i="2"/>
  <c r="CM315" i="2"/>
  <c r="CH315" i="2"/>
  <c r="BZ315" i="2"/>
  <c r="BX315" i="2"/>
  <c r="BV315" i="2"/>
  <c r="BT315" i="2"/>
  <c r="BR315" i="2"/>
  <c r="BP315" i="2"/>
  <c r="BN315" i="2"/>
  <c r="BL315" i="2"/>
  <c r="BB315" i="2"/>
  <c r="AW315" i="2"/>
  <c r="AO315" i="2"/>
  <c r="AM315" i="2"/>
  <c r="AK315" i="2"/>
  <c r="AI315" i="2"/>
  <c r="AG315" i="2"/>
  <c r="AE315" i="2"/>
  <c r="AC315" i="2"/>
  <c r="AA315" i="2"/>
  <c r="Q315" i="2"/>
  <c r="L315" i="2"/>
  <c r="MD314" i="2"/>
  <c r="MA314" i="2"/>
  <c r="LK314" i="2"/>
  <c r="LL314" i="2" s="1"/>
  <c r="KN314" i="2"/>
  <c r="KL314" i="2"/>
  <c r="KJ314" i="2"/>
  <c r="KH314" i="2"/>
  <c r="KF314" i="2"/>
  <c r="KD314" i="2"/>
  <c r="KB314" i="2"/>
  <c r="JZ314" i="2"/>
  <c r="JP314" i="2"/>
  <c r="JK314" i="2"/>
  <c r="JC314" i="2"/>
  <c r="JA314" i="2"/>
  <c r="IY314" i="2"/>
  <c r="IW314" i="2"/>
  <c r="IU314" i="2"/>
  <c r="IS314" i="2"/>
  <c r="IQ314" i="2"/>
  <c r="IO314" i="2"/>
  <c r="IE314" i="2"/>
  <c r="IB314" i="2"/>
  <c r="HZ314" i="2"/>
  <c r="HR314" i="2"/>
  <c r="HP314" i="2"/>
  <c r="HN314" i="2"/>
  <c r="HL314" i="2"/>
  <c r="HJ314" i="2"/>
  <c r="HH314" i="2"/>
  <c r="HF314" i="2"/>
  <c r="HD314" i="2"/>
  <c r="GT314" i="2"/>
  <c r="GO314" i="2"/>
  <c r="GG314" i="2"/>
  <c r="GE314" i="2"/>
  <c r="GC314" i="2"/>
  <c r="GA314" i="2"/>
  <c r="FY314" i="2"/>
  <c r="FW314" i="2"/>
  <c r="FU314" i="2"/>
  <c r="FS314" i="2"/>
  <c r="FI314" i="2"/>
  <c r="FD314" i="2"/>
  <c r="EV314" i="2"/>
  <c r="ET314" i="2"/>
  <c r="ER314" i="2"/>
  <c r="EP314" i="2"/>
  <c r="EN314" i="2"/>
  <c r="EL314" i="2"/>
  <c r="EJ314" i="2"/>
  <c r="EH314" i="2"/>
  <c r="DX314" i="2"/>
  <c r="DS314" i="2"/>
  <c r="DK314" i="2"/>
  <c r="DI314" i="2"/>
  <c r="DG314" i="2"/>
  <c r="DE314" i="2"/>
  <c r="DC314" i="2"/>
  <c r="DA314" i="2"/>
  <c r="CY314" i="2"/>
  <c r="CW314" i="2"/>
  <c r="CM314" i="2"/>
  <c r="CH314" i="2"/>
  <c r="BZ314" i="2"/>
  <c r="BX314" i="2"/>
  <c r="BV314" i="2"/>
  <c r="BT314" i="2"/>
  <c r="BR314" i="2"/>
  <c r="BP314" i="2"/>
  <c r="BN314" i="2"/>
  <c r="BL314" i="2"/>
  <c r="BB314" i="2"/>
  <c r="AW314" i="2"/>
  <c r="AO314" i="2"/>
  <c r="AM314" i="2"/>
  <c r="AK314" i="2"/>
  <c r="AI314" i="2"/>
  <c r="AG314" i="2"/>
  <c r="AE314" i="2"/>
  <c r="AC314" i="2"/>
  <c r="AA314" i="2"/>
  <c r="Q314" i="2"/>
  <c r="L314" i="2"/>
  <c r="MD313" i="2"/>
  <c r="MA313" i="2"/>
  <c r="LK313" i="2"/>
  <c r="LL313" i="2" s="1"/>
  <c r="LU313" i="2" s="1"/>
  <c r="KN313" i="2"/>
  <c r="KL313" i="2"/>
  <c r="KJ313" i="2"/>
  <c r="KH313" i="2"/>
  <c r="KF313" i="2"/>
  <c r="KD313" i="2"/>
  <c r="KB313" i="2"/>
  <c r="JZ313" i="2"/>
  <c r="JP313" i="2"/>
  <c r="JK313" i="2"/>
  <c r="JC313" i="2"/>
  <c r="JA313" i="2"/>
  <c r="IY313" i="2"/>
  <c r="IW313" i="2"/>
  <c r="IU313" i="2"/>
  <c r="IS313" i="2"/>
  <c r="IQ313" i="2"/>
  <c r="IO313" i="2"/>
  <c r="IE313" i="2"/>
  <c r="IB313" i="2"/>
  <c r="HZ313" i="2"/>
  <c r="HR313" i="2"/>
  <c r="HP313" i="2"/>
  <c r="HN313" i="2"/>
  <c r="HL313" i="2"/>
  <c r="HJ313" i="2"/>
  <c r="HH313" i="2"/>
  <c r="HF313" i="2"/>
  <c r="HD313" i="2"/>
  <c r="GT313" i="2"/>
  <c r="GQ313" i="2"/>
  <c r="GO313" i="2"/>
  <c r="GG313" i="2"/>
  <c r="GE313" i="2"/>
  <c r="GC313" i="2"/>
  <c r="GA313" i="2"/>
  <c r="FY313" i="2"/>
  <c r="FW313" i="2"/>
  <c r="FU313" i="2"/>
  <c r="FS313" i="2"/>
  <c r="FI313" i="2"/>
  <c r="FD313" i="2"/>
  <c r="EV313" i="2"/>
  <c r="ET313" i="2"/>
  <c r="ER313" i="2"/>
  <c r="EP313" i="2"/>
  <c r="EN313" i="2"/>
  <c r="EL313" i="2"/>
  <c r="EJ313" i="2"/>
  <c r="EH313" i="2"/>
  <c r="DX313" i="2"/>
  <c r="DS313" i="2"/>
  <c r="DK313" i="2"/>
  <c r="DI313" i="2"/>
  <c r="DG313" i="2"/>
  <c r="DE313" i="2"/>
  <c r="DC313" i="2"/>
  <c r="DA313" i="2"/>
  <c r="CY313" i="2"/>
  <c r="CW313" i="2"/>
  <c r="CM313" i="2"/>
  <c r="CH313" i="2"/>
  <c r="BZ313" i="2"/>
  <c r="BX313" i="2"/>
  <c r="BV313" i="2"/>
  <c r="BT313" i="2"/>
  <c r="BR313" i="2"/>
  <c r="BP313" i="2"/>
  <c r="BN313" i="2"/>
  <c r="BL313" i="2"/>
  <c r="BB313" i="2"/>
  <c r="AW313" i="2"/>
  <c r="AO313" i="2"/>
  <c r="AM313" i="2"/>
  <c r="AK313" i="2"/>
  <c r="AI313" i="2"/>
  <c r="AG313" i="2"/>
  <c r="AE313" i="2"/>
  <c r="AC313" i="2"/>
  <c r="AA313" i="2"/>
  <c r="Q313" i="2"/>
  <c r="L313" i="2"/>
  <c r="MD312" i="2"/>
  <c r="MA312" i="2"/>
  <c r="LK312" i="2"/>
  <c r="LL312" i="2" s="1"/>
  <c r="LU312" i="2" s="1"/>
  <c r="KN312" i="2"/>
  <c r="KL312" i="2"/>
  <c r="KJ312" i="2"/>
  <c r="KH312" i="2"/>
  <c r="KF312" i="2"/>
  <c r="KD312" i="2"/>
  <c r="KB312" i="2"/>
  <c r="JZ312" i="2"/>
  <c r="JP312" i="2"/>
  <c r="JK312" i="2"/>
  <c r="JC312" i="2"/>
  <c r="JA312" i="2"/>
  <c r="IY312" i="2"/>
  <c r="IW312" i="2"/>
  <c r="IU312" i="2"/>
  <c r="IS312" i="2"/>
  <c r="IQ312" i="2"/>
  <c r="IO312" i="2"/>
  <c r="IE312" i="2"/>
  <c r="HZ312" i="2"/>
  <c r="HR312" i="2"/>
  <c r="HP312" i="2"/>
  <c r="HN312" i="2"/>
  <c r="HL312" i="2"/>
  <c r="HJ312" i="2"/>
  <c r="HH312" i="2"/>
  <c r="HF312" i="2"/>
  <c r="HD312" i="2"/>
  <c r="GT312" i="2"/>
  <c r="GO312" i="2"/>
  <c r="GG312" i="2"/>
  <c r="GE312" i="2"/>
  <c r="GC312" i="2"/>
  <c r="GA312" i="2"/>
  <c r="FY312" i="2"/>
  <c r="FW312" i="2"/>
  <c r="FU312" i="2"/>
  <c r="FS312" i="2"/>
  <c r="FI312" i="2"/>
  <c r="FD312" i="2"/>
  <c r="EV312" i="2"/>
  <c r="ET312" i="2"/>
  <c r="ER312" i="2"/>
  <c r="EP312" i="2"/>
  <c r="EN312" i="2"/>
  <c r="EL312" i="2"/>
  <c r="EJ312" i="2"/>
  <c r="EH312" i="2"/>
  <c r="DX312" i="2"/>
  <c r="DS312" i="2"/>
  <c r="DK312" i="2"/>
  <c r="DI312" i="2"/>
  <c r="DG312" i="2"/>
  <c r="DE312" i="2"/>
  <c r="DC312" i="2"/>
  <c r="DA312" i="2"/>
  <c r="CY312" i="2"/>
  <c r="CW312" i="2"/>
  <c r="CM312" i="2"/>
  <c r="CH312" i="2"/>
  <c r="BZ312" i="2"/>
  <c r="BX312" i="2"/>
  <c r="BV312" i="2"/>
  <c r="BT312" i="2"/>
  <c r="BR312" i="2"/>
  <c r="BP312" i="2"/>
  <c r="BN312" i="2"/>
  <c r="BL312" i="2"/>
  <c r="BB312" i="2"/>
  <c r="AW312" i="2"/>
  <c r="AO312" i="2"/>
  <c r="AM312" i="2"/>
  <c r="AK312" i="2"/>
  <c r="AI312" i="2"/>
  <c r="AG312" i="2"/>
  <c r="AE312" i="2"/>
  <c r="AC312" i="2"/>
  <c r="AA312" i="2"/>
  <c r="Q312" i="2"/>
  <c r="L312" i="2"/>
  <c r="MD311" i="2"/>
  <c r="MA311" i="2"/>
  <c r="LK311" i="2"/>
  <c r="LL311" i="2" s="1"/>
  <c r="KN311" i="2"/>
  <c r="KL311" i="2"/>
  <c r="KJ311" i="2"/>
  <c r="KH311" i="2"/>
  <c r="KF311" i="2"/>
  <c r="KD311" i="2"/>
  <c r="KB311" i="2"/>
  <c r="JZ311" i="2"/>
  <c r="JP311" i="2"/>
  <c r="JK311" i="2"/>
  <c r="JC311" i="2"/>
  <c r="JA311" i="2"/>
  <c r="IY311" i="2"/>
  <c r="IW311" i="2"/>
  <c r="IU311" i="2"/>
  <c r="IS311" i="2"/>
  <c r="IQ311" i="2"/>
  <c r="IO311" i="2"/>
  <c r="IE311" i="2"/>
  <c r="HZ311" i="2"/>
  <c r="HR311" i="2"/>
  <c r="HP311" i="2"/>
  <c r="HN311" i="2"/>
  <c r="HL311" i="2"/>
  <c r="HJ311" i="2"/>
  <c r="HH311" i="2"/>
  <c r="HF311" i="2"/>
  <c r="HD311" i="2"/>
  <c r="GT311" i="2"/>
  <c r="GO311" i="2"/>
  <c r="GG311" i="2"/>
  <c r="GE311" i="2"/>
  <c r="GC311" i="2"/>
  <c r="GA311" i="2"/>
  <c r="FY311" i="2"/>
  <c r="FW311" i="2"/>
  <c r="FU311" i="2"/>
  <c r="FS311" i="2"/>
  <c r="FI311" i="2"/>
  <c r="FD311" i="2"/>
  <c r="EV311" i="2"/>
  <c r="ET311" i="2"/>
  <c r="ER311" i="2"/>
  <c r="EP311" i="2"/>
  <c r="EN311" i="2"/>
  <c r="EL311" i="2"/>
  <c r="EJ311" i="2"/>
  <c r="EH311" i="2"/>
  <c r="DX311" i="2"/>
  <c r="DS311" i="2"/>
  <c r="DK311" i="2"/>
  <c r="DI311" i="2"/>
  <c r="DG311" i="2"/>
  <c r="DE311" i="2"/>
  <c r="DC311" i="2"/>
  <c r="DA311" i="2"/>
  <c r="CY311" i="2"/>
  <c r="CW311" i="2"/>
  <c r="CH311" i="2"/>
  <c r="BZ311" i="2"/>
  <c r="BX311" i="2"/>
  <c r="BV311" i="2"/>
  <c r="BT311" i="2"/>
  <c r="BR311" i="2"/>
  <c r="BP311" i="2"/>
  <c r="BN311" i="2"/>
  <c r="BL311" i="2"/>
  <c r="AW311" i="2"/>
  <c r="AO311" i="2"/>
  <c r="AM311" i="2"/>
  <c r="AK311" i="2"/>
  <c r="AI311" i="2"/>
  <c r="AG311" i="2"/>
  <c r="AE311" i="2"/>
  <c r="AC311" i="2"/>
  <c r="AA311" i="2"/>
  <c r="Q311" i="2"/>
  <c r="L311" i="2"/>
  <c r="ML310" i="2"/>
  <c r="MK310" i="2"/>
  <c r="MJ310" i="2"/>
  <c r="MD310" i="2"/>
  <c r="MA310" i="2"/>
  <c r="LK310" i="2"/>
  <c r="LL310" i="2" s="1"/>
  <c r="KN310" i="2"/>
  <c r="KL310" i="2"/>
  <c r="KJ310" i="2"/>
  <c r="KH310" i="2"/>
  <c r="KF310" i="2"/>
  <c r="KD310" i="2"/>
  <c r="KB310" i="2"/>
  <c r="JZ310" i="2"/>
  <c r="JP310" i="2"/>
  <c r="JM310" i="2"/>
  <c r="JK310" i="2"/>
  <c r="JC310" i="2"/>
  <c r="JA310" i="2"/>
  <c r="IY310" i="2"/>
  <c r="IW310" i="2"/>
  <c r="IU310" i="2"/>
  <c r="IS310" i="2"/>
  <c r="IQ310" i="2"/>
  <c r="IO310" i="2"/>
  <c r="IE310" i="2"/>
  <c r="IB310" i="2"/>
  <c r="HZ310" i="2"/>
  <c r="HR310" i="2"/>
  <c r="HP310" i="2"/>
  <c r="HN310" i="2"/>
  <c r="HL310" i="2"/>
  <c r="HJ310" i="2"/>
  <c r="HH310" i="2"/>
  <c r="HF310" i="2"/>
  <c r="HD310" i="2"/>
  <c r="GT310" i="2"/>
  <c r="GQ310" i="2"/>
  <c r="GO310" i="2"/>
  <c r="GG310" i="2"/>
  <c r="GE310" i="2"/>
  <c r="GC310" i="2"/>
  <c r="GA310" i="2"/>
  <c r="FY310" i="2"/>
  <c r="FW310" i="2"/>
  <c r="FU310" i="2"/>
  <c r="FS310" i="2"/>
  <c r="FI310" i="2"/>
  <c r="FD310" i="2"/>
  <c r="EV310" i="2"/>
  <c r="ET310" i="2"/>
  <c r="ER310" i="2"/>
  <c r="EP310" i="2"/>
  <c r="EN310" i="2"/>
  <c r="EL310" i="2"/>
  <c r="EJ310" i="2"/>
  <c r="EH310" i="2"/>
  <c r="DX310" i="2"/>
  <c r="DS310" i="2"/>
  <c r="DK310" i="2"/>
  <c r="DI310" i="2"/>
  <c r="DG310" i="2"/>
  <c r="DE310" i="2"/>
  <c r="DC310" i="2"/>
  <c r="DA310" i="2"/>
  <c r="CY310" i="2"/>
  <c r="CW310" i="2"/>
  <c r="CM310" i="2"/>
  <c r="CJ310" i="2"/>
  <c r="CH310" i="2"/>
  <c r="BZ310" i="2"/>
  <c r="BX310" i="2"/>
  <c r="BV310" i="2"/>
  <c r="BT310" i="2"/>
  <c r="BR310" i="2"/>
  <c r="BP310" i="2"/>
  <c r="BN310" i="2"/>
  <c r="BL310" i="2"/>
  <c r="BB310" i="2"/>
  <c r="AY310" i="2"/>
  <c r="AW310" i="2"/>
  <c r="AO310" i="2"/>
  <c r="AM310" i="2"/>
  <c r="AK310" i="2"/>
  <c r="AI310" i="2"/>
  <c r="AG310" i="2"/>
  <c r="AE310" i="2"/>
  <c r="AC310" i="2"/>
  <c r="AA310" i="2"/>
  <c r="Q310" i="2"/>
  <c r="L310" i="2"/>
  <c r="MD309" i="2"/>
  <c r="MA309" i="2"/>
  <c r="LK309" i="2"/>
  <c r="LL309" i="2" s="1"/>
  <c r="KN309" i="2"/>
  <c r="KL309" i="2"/>
  <c r="KJ309" i="2"/>
  <c r="KH309" i="2"/>
  <c r="KF309" i="2"/>
  <c r="KD309" i="2"/>
  <c r="KB309" i="2"/>
  <c r="JZ309" i="2"/>
  <c r="JP309" i="2"/>
  <c r="JK309" i="2"/>
  <c r="JC309" i="2"/>
  <c r="JA309" i="2"/>
  <c r="IY309" i="2"/>
  <c r="IW309" i="2"/>
  <c r="IU309" i="2"/>
  <c r="IS309" i="2"/>
  <c r="IQ309" i="2"/>
  <c r="IO309" i="2"/>
  <c r="IE309" i="2"/>
  <c r="IB309" i="2"/>
  <c r="HZ309" i="2"/>
  <c r="HR309" i="2"/>
  <c r="HP309" i="2"/>
  <c r="HN309" i="2"/>
  <c r="HL309" i="2"/>
  <c r="HJ309" i="2"/>
  <c r="HH309" i="2"/>
  <c r="HF309" i="2"/>
  <c r="HD309" i="2"/>
  <c r="GT309" i="2"/>
  <c r="GQ309" i="2"/>
  <c r="GO309" i="2"/>
  <c r="GG309" i="2"/>
  <c r="GE309" i="2"/>
  <c r="GC309" i="2"/>
  <c r="GA309" i="2"/>
  <c r="FY309" i="2"/>
  <c r="FW309" i="2"/>
  <c r="FU309" i="2"/>
  <c r="FS309" i="2"/>
  <c r="FI309" i="2"/>
  <c r="FD309" i="2"/>
  <c r="EV309" i="2"/>
  <c r="ET309" i="2"/>
  <c r="ER309" i="2"/>
  <c r="EP309" i="2"/>
  <c r="EN309" i="2"/>
  <c r="EL309" i="2"/>
  <c r="EJ309" i="2"/>
  <c r="EH309" i="2"/>
  <c r="DX309" i="2"/>
  <c r="DS309" i="2"/>
  <c r="DK309" i="2"/>
  <c r="DI309" i="2"/>
  <c r="DG309" i="2"/>
  <c r="DE309" i="2"/>
  <c r="DC309" i="2"/>
  <c r="DA309" i="2"/>
  <c r="CY309" i="2"/>
  <c r="CW309" i="2"/>
  <c r="CM309" i="2"/>
  <c r="CJ309" i="2"/>
  <c r="CH309" i="2"/>
  <c r="BZ309" i="2"/>
  <c r="BX309" i="2"/>
  <c r="BV309" i="2"/>
  <c r="BT309" i="2"/>
  <c r="BR309" i="2"/>
  <c r="BP309" i="2"/>
  <c r="BN309" i="2"/>
  <c r="BL309" i="2"/>
  <c r="BB309" i="2"/>
  <c r="AW309" i="2"/>
  <c r="AO309" i="2"/>
  <c r="AM309" i="2"/>
  <c r="AK309" i="2"/>
  <c r="AI309" i="2"/>
  <c r="AG309" i="2"/>
  <c r="AE309" i="2"/>
  <c r="AC309" i="2"/>
  <c r="AA309" i="2"/>
  <c r="Q309" i="2"/>
  <c r="L309" i="2"/>
  <c r="MD308" i="2"/>
  <c r="MA308" i="2"/>
  <c r="LK308" i="2"/>
  <c r="LL308" i="2" s="1"/>
  <c r="KN308" i="2"/>
  <c r="KL308" i="2"/>
  <c r="KJ308" i="2"/>
  <c r="KH308" i="2"/>
  <c r="KF308" i="2"/>
  <c r="KD308" i="2"/>
  <c r="KB308" i="2"/>
  <c r="JZ308" i="2"/>
  <c r="JP308" i="2"/>
  <c r="JK308" i="2"/>
  <c r="JC308" i="2"/>
  <c r="JA308" i="2"/>
  <c r="IY308" i="2"/>
  <c r="IW308" i="2"/>
  <c r="IU308" i="2"/>
  <c r="IS308" i="2"/>
  <c r="IQ308" i="2"/>
  <c r="IO308" i="2"/>
  <c r="IE308" i="2"/>
  <c r="HZ308" i="2"/>
  <c r="HR308" i="2"/>
  <c r="HP308" i="2"/>
  <c r="HN308" i="2"/>
  <c r="HL308" i="2"/>
  <c r="HJ308" i="2"/>
  <c r="HH308" i="2"/>
  <c r="HF308" i="2"/>
  <c r="HD308" i="2"/>
  <c r="GT308" i="2"/>
  <c r="GO308" i="2"/>
  <c r="GG308" i="2"/>
  <c r="GE308" i="2"/>
  <c r="GC308" i="2"/>
  <c r="GA308" i="2"/>
  <c r="FY308" i="2"/>
  <c r="FW308" i="2"/>
  <c r="FU308" i="2"/>
  <c r="FS308" i="2"/>
  <c r="FI308" i="2"/>
  <c r="FD308" i="2"/>
  <c r="EV308" i="2"/>
  <c r="ET308" i="2"/>
  <c r="ER308" i="2"/>
  <c r="EP308" i="2"/>
  <c r="EN308" i="2"/>
  <c r="EL308" i="2"/>
  <c r="EJ308" i="2"/>
  <c r="EH308" i="2"/>
  <c r="DX308" i="2"/>
  <c r="DS308" i="2"/>
  <c r="DK308" i="2"/>
  <c r="DI308" i="2"/>
  <c r="DG308" i="2"/>
  <c r="DE308" i="2"/>
  <c r="DC308" i="2"/>
  <c r="DA308" i="2"/>
  <c r="CY308" i="2"/>
  <c r="CW308" i="2"/>
  <c r="CH308" i="2"/>
  <c r="BZ308" i="2"/>
  <c r="BX308" i="2"/>
  <c r="BV308" i="2"/>
  <c r="BT308" i="2"/>
  <c r="BR308" i="2"/>
  <c r="BP308" i="2"/>
  <c r="BN308" i="2"/>
  <c r="BL308" i="2"/>
  <c r="BB308" i="2"/>
  <c r="AW308" i="2"/>
  <c r="AO308" i="2"/>
  <c r="AM308" i="2"/>
  <c r="AK308" i="2"/>
  <c r="AI308" i="2"/>
  <c r="AG308" i="2"/>
  <c r="AE308" i="2"/>
  <c r="AC308" i="2"/>
  <c r="AA308" i="2"/>
  <c r="Q308" i="2"/>
  <c r="L308" i="2"/>
  <c r="MD307" i="2"/>
  <c r="MA307" i="2"/>
  <c r="LK307" i="2"/>
  <c r="LL307" i="2" s="1"/>
  <c r="DO307" i="2" s="1"/>
  <c r="MG307" i="2" s="1"/>
  <c r="KN307" i="2"/>
  <c r="KL307" i="2"/>
  <c r="KJ307" i="2"/>
  <c r="KH307" i="2"/>
  <c r="KF307" i="2"/>
  <c r="KD307" i="2"/>
  <c r="KB307" i="2"/>
  <c r="JZ307" i="2"/>
  <c r="JP307" i="2"/>
  <c r="JK307" i="2"/>
  <c r="JC307" i="2"/>
  <c r="JA307" i="2"/>
  <c r="IY307" i="2"/>
  <c r="IW307" i="2"/>
  <c r="IU307" i="2"/>
  <c r="IS307" i="2"/>
  <c r="IQ307" i="2"/>
  <c r="IO307" i="2"/>
  <c r="HZ307" i="2"/>
  <c r="HR307" i="2"/>
  <c r="HP307" i="2"/>
  <c r="HN307" i="2"/>
  <c r="HL307" i="2"/>
  <c r="HJ307" i="2"/>
  <c r="HH307" i="2"/>
  <c r="HF307" i="2"/>
  <c r="HD307" i="2"/>
  <c r="GO307" i="2"/>
  <c r="GG307" i="2"/>
  <c r="GE307" i="2"/>
  <c r="GC307" i="2"/>
  <c r="GA307" i="2"/>
  <c r="FY307" i="2"/>
  <c r="FW307" i="2"/>
  <c r="FU307" i="2"/>
  <c r="FS307" i="2"/>
  <c r="FI307" i="2"/>
  <c r="FD307" i="2"/>
  <c r="EV307" i="2"/>
  <c r="ET307" i="2"/>
  <c r="ER307" i="2"/>
  <c r="EP307" i="2"/>
  <c r="EN307" i="2"/>
  <c r="EL307" i="2"/>
  <c r="EJ307" i="2"/>
  <c r="EH307" i="2"/>
  <c r="DX307" i="2"/>
  <c r="DS307" i="2"/>
  <c r="DK307" i="2"/>
  <c r="DI307" i="2"/>
  <c r="DG307" i="2"/>
  <c r="DE307" i="2"/>
  <c r="DC307" i="2"/>
  <c r="DA307" i="2"/>
  <c r="CY307" i="2"/>
  <c r="CW307" i="2"/>
  <c r="CM307" i="2"/>
  <c r="CH307" i="2"/>
  <c r="BZ307" i="2"/>
  <c r="BX307" i="2"/>
  <c r="BV307" i="2"/>
  <c r="BT307" i="2"/>
  <c r="BR307" i="2"/>
  <c r="BP307" i="2"/>
  <c r="BN307" i="2"/>
  <c r="BL307" i="2"/>
  <c r="BB307" i="2"/>
  <c r="AW307" i="2"/>
  <c r="AO307" i="2"/>
  <c r="AM307" i="2"/>
  <c r="AK307" i="2"/>
  <c r="AI307" i="2"/>
  <c r="AG307" i="2"/>
  <c r="AE307" i="2"/>
  <c r="AC307" i="2"/>
  <c r="AA307" i="2"/>
  <c r="Q307" i="2"/>
  <c r="L307" i="2"/>
  <c r="ML306" i="2"/>
  <c r="MK306" i="2"/>
  <c r="MJ306" i="2"/>
  <c r="MD306" i="2"/>
  <c r="MA306" i="2"/>
  <c r="LK306" i="2"/>
  <c r="LL306" i="2" s="1"/>
  <c r="KN306" i="2"/>
  <c r="KL306" i="2"/>
  <c r="KJ306" i="2"/>
  <c r="KH306" i="2"/>
  <c r="KF306" i="2"/>
  <c r="KD306" i="2"/>
  <c r="KB306" i="2"/>
  <c r="JZ306" i="2"/>
  <c r="JP306" i="2"/>
  <c r="JM306" i="2"/>
  <c r="JK306" i="2"/>
  <c r="JC306" i="2"/>
  <c r="JA306" i="2"/>
  <c r="IY306" i="2"/>
  <c r="IW306" i="2"/>
  <c r="IU306" i="2"/>
  <c r="IS306" i="2"/>
  <c r="IQ306" i="2"/>
  <c r="IO306" i="2"/>
  <c r="IE306" i="2"/>
  <c r="IB306" i="2"/>
  <c r="HZ306" i="2"/>
  <c r="HR306" i="2"/>
  <c r="HP306" i="2"/>
  <c r="HN306" i="2"/>
  <c r="HL306" i="2"/>
  <c r="HJ306" i="2"/>
  <c r="HH306" i="2"/>
  <c r="HF306" i="2"/>
  <c r="HD306" i="2"/>
  <c r="GT306" i="2"/>
  <c r="GQ306" i="2"/>
  <c r="GO306" i="2"/>
  <c r="GG306" i="2"/>
  <c r="GE306" i="2"/>
  <c r="GC306" i="2"/>
  <c r="GA306" i="2"/>
  <c r="FY306" i="2"/>
  <c r="FW306" i="2"/>
  <c r="FU306" i="2"/>
  <c r="FS306" i="2"/>
  <c r="FI306" i="2"/>
  <c r="FD306" i="2"/>
  <c r="EV306" i="2"/>
  <c r="ET306" i="2"/>
  <c r="ER306" i="2"/>
  <c r="EP306" i="2"/>
  <c r="EN306" i="2"/>
  <c r="EL306" i="2"/>
  <c r="EJ306" i="2"/>
  <c r="EH306" i="2"/>
  <c r="DX306" i="2"/>
  <c r="DS306" i="2"/>
  <c r="DK306" i="2"/>
  <c r="DI306" i="2"/>
  <c r="DG306" i="2"/>
  <c r="DE306" i="2"/>
  <c r="DC306" i="2"/>
  <c r="DA306" i="2"/>
  <c r="CY306" i="2"/>
  <c r="CW306" i="2"/>
  <c r="CM306" i="2"/>
  <c r="CH306" i="2"/>
  <c r="BZ306" i="2"/>
  <c r="BX306" i="2"/>
  <c r="BV306" i="2"/>
  <c r="BT306" i="2"/>
  <c r="BR306" i="2"/>
  <c r="BP306" i="2"/>
  <c r="BN306" i="2"/>
  <c r="BL306" i="2"/>
  <c r="BB306" i="2"/>
  <c r="AW306" i="2"/>
  <c r="AO306" i="2"/>
  <c r="AM306" i="2"/>
  <c r="AK306" i="2"/>
  <c r="AI306" i="2"/>
  <c r="AG306" i="2"/>
  <c r="AE306" i="2"/>
  <c r="AC306" i="2"/>
  <c r="AA306" i="2"/>
  <c r="Q306" i="2"/>
  <c r="L306" i="2"/>
  <c r="MD305" i="2"/>
  <c r="MA305" i="2"/>
  <c r="LK305" i="2"/>
  <c r="LL305" i="2" s="1"/>
  <c r="HV305" i="2" s="1"/>
  <c r="MJ305" i="2" s="1"/>
  <c r="KN305" i="2"/>
  <c r="KL305" i="2"/>
  <c r="KJ305" i="2"/>
  <c r="KH305" i="2"/>
  <c r="KF305" i="2"/>
  <c r="KD305" i="2"/>
  <c r="KB305" i="2"/>
  <c r="JZ305" i="2"/>
  <c r="JP305" i="2"/>
  <c r="JK305" i="2"/>
  <c r="JC305" i="2"/>
  <c r="JA305" i="2"/>
  <c r="IY305" i="2"/>
  <c r="IW305" i="2"/>
  <c r="IU305" i="2"/>
  <c r="IS305" i="2"/>
  <c r="IQ305" i="2"/>
  <c r="IO305" i="2"/>
  <c r="IE305" i="2"/>
  <c r="HZ305" i="2"/>
  <c r="HR305" i="2"/>
  <c r="HP305" i="2"/>
  <c r="HN305" i="2"/>
  <c r="HL305" i="2"/>
  <c r="HJ305" i="2"/>
  <c r="HH305" i="2"/>
  <c r="HF305" i="2"/>
  <c r="HD305" i="2"/>
  <c r="GT305" i="2"/>
  <c r="GO305" i="2"/>
  <c r="GG305" i="2"/>
  <c r="GE305" i="2"/>
  <c r="GC305" i="2"/>
  <c r="GA305" i="2"/>
  <c r="FY305" i="2"/>
  <c r="FW305" i="2"/>
  <c r="FU305" i="2"/>
  <c r="FS305" i="2"/>
  <c r="FI305" i="2"/>
  <c r="FD305" i="2"/>
  <c r="EV305" i="2"/>
  <c r="ET305" i="2"/>
  <c r="ER305" i="2"/>
  <c r="EP305" i="2"/>
  <c r="EN305" i="2"/>
  <c r="EL305" i="2"/>
  <c r="EJ305" i="2"/>
  <c r="EH305" i="2"/>
  <c r="DS305" i="2"/>
  <c r="DK305" i="2"/>
  <c r="DI305" i="2"/>
  <c r="DG305" i="2"/>
  <c r="DE305" i="2"/>
  <c r="DC305" i="2"/>
  <c r="DA305" i="2"/>
  <c r="CY305" i="2"/>
  <c r="CW305" i="2"/>
  <c r="CH305" i="2"/>
  <c r="BZ305" i="2"/>
  <c r="BX305" i="2"/>
  <c r="BV305" i="2"/>
  <c r="BT305" i="2"/>
  <c r="BR305" i="2"/>
  <c r="BP305" i="2"/>
  <c r="BN305" i="2"/>
  <c r="BL305" i="2"/>
  <c r="AW305" i="2"/>
  <c r="AO305" i="2"/>
  <c r="AM305" i="2"/>
  <c r="AK305" i="2"/>
  <c r="AI305" i="2"/>
  <c r="AG305" i="2"/>
  <c r="AE305" i="2"/>
  <c r="AC305" i="2"/>
  <c r="AA305" i="2"/>
  <c r="Q305" i="2"/>
  <c r="L305" i="2"/>
  <c r="MD304" i="2"/>
  <c r="MA304" i="2"/>
  <c r="LK304" i="2"/>
  <c r="LL304" i="2" s="1"/>
  <c r="HV304" i="2" s="1"/>
  <c r="MJ304" i="2" s="1"/>
  <c r="KN304" i="2"/>
  <c r="KL304" i="2"/>
  <c r="KJ304" i="2"/>
  <c r="KH304" i="2"/>
  <c r="KF304" i="2"/>
  <c r="KD304" i="2"/>
  <c r="KB304" i="2"/>
  <c r="JZ304" i="2"/>
  <c r="JP304" i="2"/>
  <c r="JK304" i="2"/>
  <c r="JC304" i="2"/>
  <c r="JA304" i="2"/>
  <c r="IY304" i="2"/>
  <c r="IW304" i="2"/>
  <c r="IU304" i="2"/>
  <c r="IS304" i="2"/>
  <c r="IQ304" i="2"/>
  <c r="IO304" i="2"/>
  <c r="IE304" i="2"/>
  <c r="HZ304" i="2"/>
  <c r="HR304" i="2"/>
  <c r="HP304" i="2"/>
  <c r="HN304" i="2"/>
  <c r="HL304" i="2"/>
  <c r="HJ304" i="2"/>
  <c r="HH304" i="2"/>
  <c r="HF304" i="2"/>
  <c r="HD304" i="2"/>
  <c r="GT304" i="2"/>
  <c r="GO304" i="2"/>
  <c r="GG304" i="2"/>
  <c r="GE304" i="2"/>
  <c r="GC304" i="2"/>
  <c r="GA304" i="2"/>
  <c r="FY304" i="2"/>
  <c r="FW304" i="2"/>
  <c r="FU304" i="2"/>
  <c r="FS304" i="2"/>
  <c r="FI304" i="2"/>
  <c r="FD304" i="2"/>
  <c r="EV304" i="2"/>
  <c r="ET304" i="2"/>
  <c r="ER304" i="2"/>
  <c r="EP304" i="2"/>
  <c r="EN304" i="2"/>
  <c r="EL304" i="2"/>
  <c r="EJ304" i="2"/>
  <c r="EH304" i="2"/>
  <c r="DX304" i="2"/>
  <c r="DS304" i="2"/>
  <c r="DK304" i="2"/>
  <c r="DI304" i="2"/>
  <c r="DG304" i="2"/>
  <c r="DE304" i="2"/>
  <c r="DC304" i="2"/>
  <c r="DA304" i="2"/>
  <c r="CY304" i="2"/>
  <c r="CW304" i="2"/>
  <c r="CH304" i="2"/>
  <c r="BZ304" i="2"/>
  <c r="BX304" i="2"/>
  <c r="BV304" i="2"/>
  <c r="BT304" i="2"/>
  <c r="BR304" i="2"/>
  <c r="BP304" i="2"/>
  <c r="BN304" i="2"/>
  <c r="BL304" i="2"/>
  <c r="BB304" i="2"/>
  <c r="AW304" i="2"/>
  <c r="AO304" i="2"/>
  <c r="AM304" i="2"/>
  <c r="AK304" i="2"/>
  <c r="AI304" i="2"/>
  <c r="AG304" i="2"/>
  <c r="AE304" i="2"/>
  <c r="AC304" i="2"/>
  <c r="AA304" i="2"/>
  <c r="Q304" i="2"/>
  <c r="L304" i="2"/>
  <c r="ML303" i="2"/>
  <c r="MD303" i="2"/>
  <c r="MA303" i="2"/>
  <c r="LK303" i="2"/>
  <c r="LL303" i="2" s="1"/>
  <c r="HV303" i="2" s="1"/>
  <c r="MJ303" i="2" s="1"/>
  <c r="KN303" i="2"/>
  <c r="KL303" i="2"/>
  <c r="KJ303" i="2"/>
  <c r="KH303" i="2"/>
  <c r="KF303" i="2"/>
  <c r="KD303" i="2"/>
  <c r="KB303" i="2"/>
  <c r="JZ303" i="2"/>
  <c r="JP303" i="2"/>
  <c r="JM303" i="2"/>
  <c r="JK303" i="2"/>
  <c r="JC303" i="2"/>
  <c r="JA303" i="2"/>
  <c r="IY303" i="2"/>
  <c r="IW303" i="2"/>
  <c r="IU303" i="2"/>
  <c r="IS303" i="2"/>
  <c r="IQ303" i="2"/>
  <c r="IO303" i="2"/>
  <c r="IE303" i="2"/>
  <c r="HZ303" i="2"/>
  <c r="HR303" i="2"/>
  <c r="HP303" i="2"/>
  <c r="HN303" i="2"/>
  <c r="HL303" i="2"/>
  <c r="HJ303" i="2"/>
  <c r="HH303" i="2"/>
  <c r="HF303" i="2"/>
  <c r="HD303" i="2"/>
  <c r="GT303" i="2"/>
  <c r="GQ303" i="2"/>
  <c r="GO303" i="2"/>
  <c r="GG303" i="2"/>
  <c r="GE303" i="2"/>
  <c r="GC303" i="2"/>
  <c r="GA303" i="2"/>
  <c r="FY303" i="2"/>
  <c r="FW303" i="2"/>
  <c r="FU303" i="2"/>
  <c r="FS303" i="2"/>
  <c r="FI303" i="2"/>
  <c r="FD303" i="2"/>
  <c r="EV303" i="2"/>
  <c r="ET303" i="2"/>
  <c r="ER303" i="2"/>
  <c r="EP303" i="2"/>
  <c r="EN303" i="2"/>
  <c r="EL303" i="2"/>
  <c r="EJ303" i="2"/>
  <c r="EH303" i="2"/>
  <c r="DX303" i="2"/>
  <c r="DU303" i="2"/>
  <c r="DS303" i="2"/>
  <c r="DK303" i="2"/>
  <c r="DI303" i="2"/>
  <c r="DG303" i="2"/>
  <c r="DE303" i="2"/>
  <c r="DC303" i="2"/>
  <c r="DA303" i="2"/>
  <c r="CY303" i="2"/>
  <c r="CW303" i="2"/>
  <c r="CM303" i="2"/>
  <c r="CH303" i="2"/>
  <c r="BZ303" i="2"/>
  <c r="BX303" i="2"/>
  <c r="BV303" i="2"/>
  <c r="BT303" i="2"/>
  <c r="BR303" i="2"/>
  <c r="BP303" i="2"/>
  <c r="BN303" i="2"/>
  <c r="BL303" i="2"/>
  <c r="BB303" i="2"/>
  <c r="AW303" i="2"/>
  <c r="AO303" i="2"/>
  <c r="AM303" i="2"/>
  <c r="AK303" i="2"/>
  <c r="AI303" i="2"/>
  <c r="AG303" i="2"/>
  <c r="AE303" i="2"/>
  <c r="AC303" i="2"/>
  <c r="AA303" i="2"/>
  <c r="Q303" i="2"/>
  <c r="L303" i="2"/>
  <c r="MD302" i="2"/>
  <c r="MA302" i="2"/>
  <c r="LK302" i="2"/>
  <c r="LL302" i="2" s="1"/>
  <c r="LM302" i="2" s="1"/>
  <c r="KN302" i="2"/>
  <c r="KL302" i="2"/>
  <c r="KJ302" i="2"/>
  <c r="KH302" i="2"/>
  <c r="KF302" i="2"/>
  <c r="KD302" i="2"/>
  <c r="KB302" i="2"/>
  <c r="JZ302" i="2"/>
  <c r="JP302" i="2"/>
  <c r="JK302" i="2"/>
  <c r="JC302" i="2"/>
  <c r="JA302" i="2"/>
  <c r="IY302" i="2"/>
  <c r="IW302" i="2"/>
  <c r="IU302" i="2"/>
  <c r="IS302" i="2"/>
  <c r="IQ302" i="2"/>
  <c r="IO302" i="2"/>
  <c r="IE302" i="2"/>
  <c r="HZ302" i="2"/>
  <c r="HR302" i="2"/>
  <c r="HP302" i="2"/>
  <c r="HN302" i="2"/>
  <c r="HL302" i="2"/>
  <c r="HJ302" i="2"/>
  <c r="HH302" i="2"/>
  <c r="HF302" i="2"/>
  <c r="HD302" i="2"/>
  <c r="GT302" i="2"/>
  <c r="GO302" i="2"/>
  <c r="GG302" i="2"/>
  <c r="GE302" i="2"/>
  <c r="GC302" i="2"/>
  <c r="GA302" i="2"/>
  <c r="FY302" i="2"/>
  <c r="FW302" i="2"/>
  <c r="FU302" i="2"/>
  <c r="FS302" i="2"/>
  <c r="FI302" i="2"/>
  <c r="FD302" i="2"/>
  <c r="EV302" i="2"/>
  <c r="ET302" i="2"/>
  <c r="ER302" i="2"/>
  <c r="EP302" i="2"/>
  <c r="EN302" i="2"/>
  <c r="EL302" i="2"/>
  <c r="EJ302" i="2"/>
  <c r="EH302" i="2"/>
  <c r="DS302" i="2"/>
  <c r="DK302" i="2"/>
  <c r="DI302" i="2"/>
  <c r="DG302" i="2"/>
  <c r="DE302" i="2"/>
  <c r="DC302" i="2"/>
  <c r="DA302" i="2"/>
  <c r="CY302" i="2"/>
  <c r="CW302" i="2"/>
  <c r="CH302" i="2"/>
  <c r="BZ302" i="2"/>
  <c r="BX302" i="2"/>
  <c r="BV302" i="2"/>
  <c r="BT302" i="2"/>
  <c r="BR302" i="2"/>
  <c r="BP302" i="2"/>
  <c r="BN302" i="2"/>
  <c r="BL302" i="2"/>
  <c r="BB302" i="2"/>
  <c r="AW302" i="2"/>
  <c r="AO302" i="2"/>
  <c r="AM302" i="2"/>
  <c r="AK302" i="2"/>
  <c r="AI302" i="2"/>
  <c r="AG302" i="2"/>
  <c r="AE302" i="2"/>
  <c r="AC302" i="2"/>
  <c r="AA302" i="2"/>
  <c r="Q302" i="2"/>
  <c r="L302" i="2"/>
  <c r="MD301" i="2"/>
  <c r="MA301" i="2"/>
  <c r="LK301" i="2"/>
  <c r="LL301" i="2" s="1"/>
  <c r="KR301" i="2" s="1"/>
  <c r="KN301" i="2"/>
  <c r="KL301" i="2"/>
  <c r="KJ301" i="2"/>
  <c r="KH301" i="2"/>
  <c r="KF301" i="2"/>
  <c r="KD301" i="2"/>
  <c r="KB301" i="2"/>
  <c r="JZ301" i="2"/>
  <c r="JP301" i="2"/>
  <c r="JK301" i="2"/>
  <c r="JC301" i="2"/>
  <c r="JA301" i="2"/>
  <c r="IY301" i="2"/>
  <c r="IW301" i="2"/>
  <c r="IU301" i="2"/>
  <c r="IS301" i="2"/>
  <c r="IQ301" i="2"/>
  <c r="IO301" i="2"/>
  <c r="IE301" i="2"/>
  <c r="HZ301" i="2"/>
  <c r="HR301" i="2"/>
  <c r="HP301" i="2"/>
  <c r="HN301" i="2"/>
  <c r="HL301" i="2"/>
  <c r="HJ301" i="2"/>
  <c r="HH301" i="2"/>
  <c r="HF301" i="2"/>
  <c r="HD301" i="2"/>
  <c r="GT301" i="2"/>
  <c r="GO301" i="2"/>
  <c r="GG301" i="2"/>
  <c r="GE301" i="2"/>
  <c r="GC301" i="2"/>
  <c r="GA301" i="2"/>
  <c r="FY301" i="2"/>
  <c r="FW301" i="2"/>
  <c r="FU301" i="2"/>
  <c r="FS301" i="2"/>
  <c r="FI301" i="2"/>
  <c r="FD301" i="2"/>
  <c r="EV301" i="2"/>
  <c r="ET301" i="2"/>
  <c r="ER301" i="2"/>
  <c r="EP301" i="2"/>
  <c r="EN301" i="2"/>
  <c r="EL301" i="2"/>
  <c r="EJ301" i="2"/>
  <c r="EH301" i="2"/>
  <c r="DX301" i="2"/>
  <c r="DS301" i="2"/>
  <c r="DK301" i="2"/>
  <c r="DI301" i="2"/>
  <c r="DG301" i="2"/>
  <c r="DE301" i="2"/>
  <c r="DC301" i="2"/>
  <c r="DA301" i="2"/>
  <c r="CY301" i="2"/>
  <c r="CW301" i="2"/>
  <c r="CM301" i="2"/>
  <c r="CH301" i="2"/>
  <c r="BZ301" i="2"/>
  <c r="BX301" i="2"/>
  <c r="BV301" i="2"/>
  <c r="BT301" i="2"/>
  <c r="BR301" i="2"/>
  <c r="BP301" i="2"/>
  <c r="BN301" i="2"/>
  <c r="BL301" i="2"/>
  <c r="BB301" i="2"/>
  <c r="AW301" i="2"/>
  <c r="AO301" i="2"/>
  <c r="AM301" i="2"/>
  <c r="AK301" i="2"/>
  <c r="AI301" i="2"/>
  <c r="AG301" i="2"/>
  <c r="AE301" i="2"/>
  <c r="AC301" i="2"/>
  <c r="AA301" i="2"/>
  <c r="L301" i="2"/>
  <c r="MD300" i="2"/>
  <c r="MA300" i="2"/>
  <c r="LK300" i="2"/>
  <c r="LL300" i="2" s="1"/>
  <c r="LM300" i="2" s="1"/>
  <c r="KN300" i="2"/>
  <c r="KL300" i="2"/>
  <c r="KJ300" i="2"/>
  <c r="KH300" i="2"/>
  <c r="KF300" i="2"/>
  <c r="KD300" i="2"/>
  <c r="KB300" i="2"/>
  <c r="JZ300" i="2"/>
  <c r="JK300" i="2"/>
  <c r="JC300" i="2"/>
  <c r="JA300" i="2"/>
  <c r="IY300" i="2"/>
  <c r="IW300" i="2"/>
  <c r="IU300" i="2"/>
  <c r="IS300" i="2"/>
  <c r="IQ300" i="2"/>
  <c r="IO300" i="2"/>
  <c r="IE300" i="2"/>
  <c r="HZ300" i="2"/>
  <c r="HR300" i="2"/>
  <c r="HP300" i="2"/>
  <c r="HN300" i="2"/>
  <c r="HL300" i="2"/>
  <c r="HJ300" i="2"/>
  <c r="HH300" i="2"/>
  <c r="HF300" i="2"/>
  <c r="HD300" i="2"/>
  <c r="GT300" i="2"/>
  <c r="GO300" i="2"/>
  <c r="GG300" i="2"/>
  <c r="GE300" i="2"/>
  <c r="GC300" i="2"/>
  <c r="GA300" i="2"/>
  <c r="FY300" i="2"/>
  <c r="FW300" i="2"/>
  <c r="FU300" i="2"/>
  <c r="FS300" i="2"/>
  <c r="FI300" i="2"/>
  <c r="FD300" i="2"/>
  <c r="EV300" i="2"/>
  <c r="ET300" i="2"/>
  <c r="ER300" i="2"/>
  <c r="EP300" i="2"/>
  <c r="EN300" i="2"/>
  <c r="EL300" i="2"/>
  <c r="EJ300" i="2"/>
  <c r="EH300" i="2"/>
  <c r="DX300" i="2"/>
  <c r="DS300" i="2"/>
  <c r="DK300" i="2"/>
  <c r="DI300" i="2"/>
  <c r="DG300" i="2"/>
  <c r="DE300" i="2"/>
  <c r="DC300" i="2"/>
  <c r="DA300" i="2"/>
  <c r="CY300" i="2"/>
  <c r="CW300" i="2"/>
  <c r="CM300" i="2"/>
  <c r="CH300" i="2"/>
  <c r="BZ300" i="2"/>
  <c r="BX300" i="2"/>
  <c r="BV300" i="2"/>
  <c r="BT300" i="2"/>
  <c r="BR300" i="2"/>
  <c r="BP300" i="2"/>
  <c r="BN300" i="2"/>
  <c r="BL300" i="2"/>
  <c r="BB300" i="2"/>
  <c r="AW300" i="2"/>
  <c r="AO300" i="2"/>
  <c r="AM300" i="2"/>
  <c r="AK300" i="2"/>
  <c r="AI300" i="2"/>
  <c r="AG300" i="2"/>
  <c r="AE300" i="2"/>
  <c r="AC300" i="2"/>
  <c r="AA300" i="2"/>
  <c r="Q300" i="2"/>
  <c r="L300" i="2"/>
  <c r="MD299" i="2"/>
  <c r="MA299" i="2"/>
  <c r="LK299" i="2"/>
  <c r="LL299" i="2" s="1"/>
  <c r="CD299" i="2" s="1"/>
  <c r="MF299" i="2" s="1"/>
  <c r="KN299" i="2"/>
  <c r="KL299" i="2"/>
  <c r="KJ299" i="2"/>
  <c r="KH299" i="2"/>
  <c r="KF299" i="2"/>
  <c r="KD299" i="2"/>
  <c r="KB299" i="2"/>
  <c r="JZ299" i="2"/>
  <c r="JP299" i="2"/>
  <c r="JK299" i="2"/>
  <c r="JC299" i="2"/>
  <c r="JA299" i="2"/>
  <c r="IY299" i="2"/>
  <c r="IW299" i="2"/>
  <c r="IU299" i="2"/>
  <c r="IS299" i="2"/>
  <c r="IQ299" i="2"/>
  <c r="IO299" i="2"/>
  <c r="IE299" i="2"/>
  <c r="HZ299" i="2"/>
  <c r="HR299" i="2"/>
  <c r="HP299" i="2"/>
  <c r="HN299" i="2"/>
  <c r="HL299" i="2"/>
  <c r="HJ299" i="2"/>
  <c r="HH299" i="2"/>
  <c r="HF299" i="2"/>
  <c r="HD299" i="2"/>
  <c r="GT299" i="2"/>
  <c r="GO299" i="2"/>
  <c r="GG299" i="2"/>
  <c r="GE299" i="2"/>
  <c r="GC299" i="2"/>
  <c r="GA299" i="2"/>
  <c r="FY299" i="2"/>
  <c r="FW299" i="2"/>
  <c r="FU299" i="2"/>
  <c r="FS299" i="2"/>
  <c r="FD299" i="2"/>
  <c r="EV299" i="2"/>
  <c r="ET299" i="2"/>
  <c r="ER299" i="2"/>
  <c r="EP299" i="2"/>
  <c r="EN299" i="2"/>
  <c r="EL299" i="2"/>
  <c r="EJ299" i="2"/>
  <c r="EH299" i="2"/>
  <c r="DX299" i="2"/>
  <c r="DS299" i="2"/>
  <c r="DK299" i="2"/>
  <c r="DI299" i="2"/>
  <c r="DG299" i="2"/>
  <c r="DE299" i="2"/>
  <c r="DC299" i="2"/>
  <c r="DA299" i="2"/>
  <c r="CY299" i="2"/>
  <c r="CW299" i="2"/>
  <c r="CM299" i="2"/>
  <c r="CH299" i="2"/>
  <c r="BZ299" i="2"/>
  <c r="BX299" i="2"/>
  <c r="BV299" i="2"/>
  <c r="BT299" i="2"/>
  <c r="BR299" i="2"/>
  <c r="BP299" i="2"/>
  <c r="BN299" i="2"/>
  <c r="BL299" i="2"/>
  <c r="BB299" i="2"/>
  <c r="AW299" i="2"/>
  <c r="AO299" i="2"/>
  <c r="AM299" i="2"/>
  <c r="AK299" i="2"/>
  <c r="AI299" i="2"/>
  <c r="AG299" i="2"/>
  <c r="AE299" i="2"/>
  <c r="AC299" i="2"/>
  <c r="AA299" i="2"/>
  <c r="L299" i="2"/>
  <c r="ML298" i="2"/>
  <c r="MK298" i="2"/>
  <c r="MJ298" i="2"/>
  <c r="MI298" i="2"/>
  <c r="MD298" i="2"/>
  <c r="MA298" i="2"/>
  <c r="KN298" i="2"/>
  <c r="KL298" i="2"/>
  <c r="KJ298" i="2"/>
  <c r="KH298" i="2"/>
  <c r="KF298" i="2"/>
  <c r="KD298" i="2"/>
  <c r="KB298" i="2"/>
  <c r="JZ298" i="2"/>
  <c r="JP298" i="2"/>
  <c r="JM298" i="2"/>
  <c r="JK298" i="2"/>
  <c r="JC298" i="2"/>
  <c r="JA298" i="2"/>
  <c r="IY298" i="2"/>
  <c r="IW298" i="2"/>
  <c r="IU298" i="2"/>
  <c r="IS298" i="2"/>
  <c r="IQ298" i="2"/>
  <c r="IO298" i="2"/>
  <c r="IE298" i="2"/>
  <c r="IB298" i="2"/>
  <c r="HZ298" i="2"/>
  <c r="HR298" i="2"/>
  <c r="HP298" i="2"/>
  <c r="HN298" i="2"/>
  <c r="HL298" i="2"/>
  <c r="HJ298" i="2"/>
  <c r="HH298" i="2"/>
  <c r="HF298" i="2"/>
  <c r="HD298" i="2"/>
  <c r="GT298" i="2"/>
  <c r="GQ298" i="2"/>
  <c r="GO298" i="2"/>
  <c r="GG298" i="2"/>
  <c r="GE298" i="2"/>
  <c r="GC298" i="2"/>
  <c r="GA298" i="2"/>
  <c r="FY298" i="2"/>
  <c r="FW298" i="2"/>
  <c r="FU298" i="2"/>
  <c r="FS298" i="2"/>
  <c r="FI298" i="2"/>
  <c r="FF298" i="2"/>
  <c r="FD298" i="2"/>
  <c r="EV298" i="2"/>
  <c r="ET298" i="2"/>
  <c r="ER298" i="2"/>
  <c r="EP298" i="2"/>
  <c r="EN298" i="2"/>
  <c r="EL298" i="2"/>
  <c r="EJ298" i="2"/>
  <c r="EH298" i="2"/>
  <c r="DX298" i="2"/>
  <c r="DS298" i="2"/>
  <c r="DK298" i="2"/>
  <c r="DI298" i="2"/>
  <c r="DG298" i="2"/>
  <c r="DE298" i="2"/>
  <c r="DC298" i="2"/>
  <c r="DA298" i="2"/>
  <c r="CY298" i="2"/>
  <c r="CW298" i="2"/>
  <c r="CM298" i="2"/>
  <c r="CH298" i="2"/>
  <c r="BZ298" i="2"/>
  <c r="BX298" i="2"/>
  <c r="BV298" i="2"/>
  <c r="BT298" i="2"/>
  <c r="BR298" i="2"/>
  <c r="BP298" i="2"/>
  <c r="BN298" i="2"/>
  <c r="BL298" i="2"/>
  <c r="AW298" i="2"/>
  <c r="AO298" i="2"/>
  <c r="AM298" i="2"/>
  <c r="AK298" i="2"/>
  <c r="AI298" i="2"/>
  <c r="AG298" i="2"/>
  <c r="AE298" i="2"/>
  <c r="AC298" i="2"/>
  <c r="AA298" i="2"/>
  <c r="Q298" i="2"/>
  <c r="L298" i="2"/>
  <c r="MD297" i="2"/>
  <c r="MA297" i="2"/>
  <c r="LK297" i="2"/>
  <c r="LL297" i="2" s="1"/>
  <c r="LM297" i="2" s="1"/>
  <c r="KN297" i="2"/>
  <c r="KL297" i="2"/>
  <c r="KJ297" i="2"/>
  <c r="KH297" i="2"/>
  <c r="KF297" i="2"/>
  <c r="KD297" i="2"/>
  <c r="KB297" i="2"/>
  <c r="JZ297" i="2"/>
  <c r="JP297" i="2"/>
  <c r="JK297" i="2"/>
  <c r="JC297" i="2"/>
  <c r="JA297" i="2"/>
  <c r="IY297" i="2"/>
  <c r="IW297" i="2"/>
  <c r="IU297" i="2"/>
  <c r="IS297" i="2"/>
  <c r="IQ297" i="2"/>
  <c r="IO297" i="2"/>
  <c r="IE297" i="2"/>
  <c r="HZ297" i="2"/>
  <c r="HR297" i="2"/>
  <c r="HP297" i="2"/>
  <c r="HN297" i="2"/>
  <c r="HL297" i="2"/>
  <c r="HJ297" i="2"/>
  <c r="HH297" i="2"/>
  <c r="HF297" i="2"/>
  <c r="HD297" i="2"/>
  <c r="GT297" i="2"/>
  <c r="GO297" i="2"/>
  <c r="GG297" i="2"/>
  <c r="GE297" i="2"/>
  <c r="GC297" i="2"/>
  <c r="GA297" i="2"/>
  <c r="FY297" i="2"/>
  <c r="FW297" i="2"/>
  <c r="FU297" i="2"/>
  <c r="FS297" i="2"/>
  <c r="FI297" i="2"/>
  <c r="FD297" i="2"/>
  <c r="EV297" i="2"/>
  <c r="ET297" i="2"/>
  <c r="ER297" i="2"/>
  <c r="EP297" i="2"/>
  <c r="EN297" i="2"/>
  <c r="EL297" i="2"/>
  <c r="EJ297" i="2"/>
  <c r="EH297" i="2"/>
  <c r="DX297" i="2"/>
  <c r="DU297" i="2"/>
  <c r="DS297" i="2"/>
  <c r="DK297" i="2"/>
  <c r="DI297" i="2"/>
  <c r="DG297" i="2"/>
  <c r="DE297" i="2"/>
  <c r="DC297" i="2"/>
  <c r="DA297" i="2"/>
  <c r="CY297" i="2"/>
  <c r="CW297" i="2"/>
  <c r="CM297" i="2"/>
  <c r="CH297" i="2"/>
  <c r="BZ297" i="2"/>
  <c r="BX297" i="2"/>
  <c r="BV297" i="2"/>
  <c r="BT297" i="2"/>
  <c r="BR297" i="2"/>
  <c r="BP297" i="2"/>
  <c r="BN297" i="2"/>
  <c r="BL297" i="2"/>
  <c r="BB297" i="2"/>
  <c r="AW297" i="2"/>
  <c r="AO297" i="2"/>
  <c r="AM297" i="2"/>
  <c r="AK297" i="2"/>
  <c r="AI297" i="2"/>
  <c r="AG297" i="2"/>
  <c r="AE297" i="2"/>
  <c r="AC297" i="2"/>
  <c r="AA297" i="2"/>
  <c r="Q297" i="2"/>
  <c r="L297" i="2"/>
  <c r="ML296" i="2"/>
  <c r="MD296" i="2"/>
  <c r="MA296" i="2"/>
  <c r="LK296" i="2"/>
  <c r="LL296" i="2" s="1"/>
  <c r="LO296" i="2" s="1"/>
  <c r="KN296" i="2"/>
  <c r="KL296" i="2"/>
  <c r="KJ296" i="2"/>
  <c r="KH296" i="2"/>
  <c r="KF296" i="2"/>
  <c r="KD296" i="2"/>
  <c r="KB296" i="2"/>
  <c r="JZ296" i="2"/>
  <c r="JP296" i="2"/>
  <c r="JM296" i="2"/>
  <c r="JK296" i="2"/>
  <c r="JC296" i="2"/>
  <c r="JA296" i="2"/>
  <c r="IY296" i="2"/>
  <c r="IW296" i="2"/>
  <c r="IU296" i="2"/>
  <c r="IS296" i="2"/>
  <c r="IQ296" i="2"/>
  <c r="IO296" i="2"/>
  <c r="IE296" i="2"/>
  <c r="HR296" i="2"/>
  <c r="HP296" i="2"/>
  <c r="HN296" i="2"/>
  <c r="HL296" i="2"/>
  <c r="HJ296" i="2"/>
  <c r="HH296" i="2"/>
  <c r="HF296" i="2"/>
  <c r="HD296" i="2"/>
  <c r="GT296" i="2"/>
  <c r="GQ296" i="2"/>
  <c r="GO296" i="2"/>
  <c r="GG296" i="2"/>
  <c r="GE296" i="2"/>
  <c r="GC296" i="2"/>
  <c r="GA296" i="2"/>
  <c r="FY296" i="2"/>
  <c r="FW296" i="2"/>
  <c r="FU296" i="2"/>
  <c r="FS296" i="2"/>
  <c r="FI296" i="2"/>
  <c r="FD296" i="2"/>
  <c r="EV296" i="2"/>
  <c r="ET296" i="2"/>
  <c r="ER296" i="2"/>
  <c r="EP296" i="2"/>
  <c r="EN296" i="2"/>
  <c r="EL296" i="2"/>
  <c r="EJ296" i="2"/>
  <c r="EH296" i="2"/>
  <c r="DX296" i="2"/>
  <c r="DS296" i="2"/>
  <c r="DK296" i="2"/>
  <c r="DI296" i="2"/>
  <c r="DG296" i="2"/>
  <c r="DE296" i="2"/>
  <c r="DC296" i="2"/>
  <c r="DA296" i="2"/>
  <c r="CY296" i="2"/>
  <c r="CW296" i="2"/>
  <c r="CM296" i="2"/>
  <c r="CH296" i="2"/>
  <c r="BZ296" i="2"/>
  <c r="BX296" i="2"/>
  <c r="BV296" i="2"/>
  <c r="BT296" i="2"/>
  <c r="BR296" i="2"/>
  <c r="BP296" i="2"/>
  <c r="BN296" i="2"/>
  <c r="BL296" i="2"/>
  <c r="AW296" i="2"/>
  <c r="AO296" i="2"/>
  <c r="AM296" i="2"/>
  <c r="AK296" i="2"/>
  <c r="AI296" i="2"/>
  <c r="AG296" i="2"/>
  <c r="AE296" i="2"/>
  <c r="AC296" i="2"/>
  <c r="AA296" i="2"/>
  <c r="Q296" i="2"/>
  <c r="L296" i="2"/>
  <c r="MD295" i="2"/>
  <c r="MA295" i="2"/>
  <c r="LK295" i="2"/>
  <c r="LL295" i="2" s="1"/>
  <c r="KN295" i="2"/>
  <c r="KL295" i="2"/>
  <c r="KJ295" i="2"/>
  <c r="KH295" i="2"/>
  <c r="KF295" i="2"/>
  <c r="KD295" i="2"/>
  <c r="KB295" i="2"/>
  <c r="JZ295" i="2"/>
  <c r="JP295" i="2"/>
  <c r="JM295" i="2"/>
  <c r="JK295" i="2"/>
  <c r="JC295" i="2"/>
  <c r="JA295" i="2"/>
  <c r="IY295" i="2"/>
  <c r="IW295" i="2"/>
  <c r="IU295" i="2"/>
  <c r="IS295" i="2"/>
  <c r="IQ295" i="2"/>
  <c r="IO295" i="2"/>
  <c r="IE295" i="2"/>
  <c r="HZ295" i="2"/>
  <c r="HR295" i="2"/>
  <c r="HP295" i="2"/>
  <c r="HN295" i="2"/>
  <c r="HL295" i="2"/>
  <c r="HJ295" i="2"/>
  <c r="HH295" i="2"/>
  <c r="HF295" i="2"/>
  <c r="HD295" i="2"/>
  <c r="GT295" i="2"/>
  <c r="GQ295" i="2"/>
  <c r="GO295" i="2"/>
  <c r="GG295" i="2"/>
  <c r="GE295" i="2"/>
  <c r="GC295" i="2"/>
  <c r="GA295" i="2"/>
  <c r="FY295" i="2"/>
  <c r="FW295" i="2"/>
  <c r="FU295" i="2"/>
  <c r="FS295" i="2"/>
  <c r="FD295" i="2"/>
  <c r="EV295" i="2"/>
  <c r="ET295" i="2"/>
  <c r="ER295" i="2"/>
  <c r="EP295" i="2"/>
  <c r="EN295" i="2"/>
  <c r="EL295" i="2"/>
  <c r="EJ295" i="2"/>
  <c r="EH295" i="2"/>
  <c r="DX295" i="2"/>
  <c r="DS295" i="2"/>
  <c r="DK295" i="2"/>
  <c r="DI295" i="2"/>
  <c r="DG295" i="2"/>
  <c r="DE295" i="2"/>
  <c r="DC295" i="2"/>
  <c r="DA295" i="2"/>
  <c r="CY295" i="2"/>
  <c r="CW295" i="2"/>
  <c r="CM295" i="2"/>
  <c r="CJ295" i="2"/>
  <c r="CH295" i="2"/>
  <c r="BZ295" i="2"/>
  <c r="BX295" i="2"/>
  <c r="BV295" i="2"/>
  <c r="BT295" i="2"/>
  <c r="BR295" i="2"/>
  <c r="BP295" i="2"/>
  <c r="BN295" i="2"/>
  <c r="AW295" i="2"/>
  <c r="AO295" i="2"/>
  <c r="AM295" i="2"/>
  <c r="AK295" i="2"/>
  <c r="AI295" i="2"/>
  <c r="AG295" i="2"/>
  <c r="AE295" i="2"/>
  <c r="AC295" i="2"/>
  <c r="AA295" i="2"/>
  <c r="ML294" i="2"/>
  <c r="MK294" i="2"/>
  <c r="MJ294" i="2"/>
  <c r="MI294" i="2"/>
  <c r="MH294" i="2"/>
  <c r="MG294" i="2"/>
  <c r="MD294" i="2"/>
  <c r="MA294" i="2"/>
  <c r="LK294" i="2"/>
  <c r="LL294" i="2" s="1"/>
  <c r="LM294" i="2" s="1"/>
  <c r="KN294" i="2"/>
  <c r="KL294" i="2"/>
  <c r="KJ294" i="2"/>
  <c r="KH294" i="2"/>
  <c r="KF294" i="2"/>
  <c r="KD294" i="2"/>
  <c r="KB294" i="2"/>
  <c r="JZ294" i="2"/>
  <c r="JP294" i="2"/>
  <c r="JM294" i="2"/>
  <c r="JK294" i="2"/>
  <c r="JC294" i="2"/>
  <c r="JA294" i="2"/>
  <c r="IY294" i="2"/>
  <c r="IW294" i="2"/>
  <c r="IU294" i="2"/>
  <c r="IS294" i="2"/>
  <c r="IQ294" i="2"/>
  <c r="IO294" i="2"/>
  <c r="IE294" i="2"/>
  <c r="IB294" i="2"/>
  <c r="HZ294" i="2"/>
  <c r="HR294" i="2"/>
  <c r="HP294" i="2"/>
  <c r="HN294" i="2"/>
  <c r="HL294" i="2"/>
  <c r="HJ294" i="2"/>
  <c r="HH294" i="2"/>
  <c r="HF294" i="2"/>
  <c r="HD294" i="2"/>
  <c r="GT294" i="2"/>
  <c r="GQ294" i="2"/>
  <c r="GO294" i="2"/>
  <c r="GG294" i="2"/>
  <c r="GE294" i="2"/>
  <c r="GC294" i="2"/>
  <c r="GA294" i="2"/>
  <c r="FY294" i="2"/>
  <c r="FW294" i="2"/>
  <c r="FU294" i="2"/>
  <c r="FS294" i="2"/>
  <c r="FI294" i="2"/>
  <c r="FF294" i="2"/>
  <c r="FD294" i="2"/>
  <c r="EV294" i="2"/>
  <c r="ET294" i="2"/>
  <c r="ER294" i="2"/>
  <c r="EP294" i="2"/>
  <c r="EN294" i="2"/>
  <c r="EL294" i="2"/>
  <c r="EJ294" i="2"/>
  <c r="EH294" i="2"/>
  <c r="DX294" i="2"/>
  <c r="DU294" i="2"/>
  <c r="DS294" i="2"/>
  <c r="DK294" i="2"/>
  <c r="DI294" i="2"/>
  <c r="DG294" i="2"/>
  <c r="DE294" i="2"/>
  <c r="DC294" i="2"/>
  <c r="DA294" i="2"/>
  <c r="CY294" i="2"/>
  <c r="CW294" i="2"/>
  <c r="CM294" i="2"/>
  <c r="CJ294" i="2"/>
  <c r="CH294" i="2"/>
  <c r="BZ294" i="2"/>
  <c r="BX294" i="2"/>
  <c r="BV294" i="2"/>
  <c r="BT294" i="2"/>
  <c r="BR294" i="2"/>
  <c r="BP294" i="2"/>
  <c r="BN294" i="2"/>
  <c r="BL294" i="2"/>
  <c r="BB294" i="2"/>
  <c r="AY294" i="2"/>
  <c r="AW294" i="2"/>
  <c r="AO294" i="2"/>
  <c r="AM294" i="2"/>
  <c r="AK294" i="2"/>
  <c r="AI294" i="2"/>
  <c r="AG294" i="2"/>
  <c r="AE294" i="2"/>
  <c r="AC294" i="2"/>
  <c r="AA294" i="2"/>
  <c r="Q294" i="2"/>
  <c r="L294" i="2"/>
  <c r="KN293" i="2"/>
  <c r="KN292" i="2"/>
  <c r="KN291" i="2"/>
  <c r="KN290" i="2"/>
  <c r="KN289" i="2"/>
  <c r="KN288" i="2"/>
  <c r="KN287" i="2"/>
  <c r="KN286" i="2"/>
  <c r="KN285" i="2"/>
  <c r="KN284" i="2"/>
  <c r="KN283" i="2"/>
  <c r="KN282" i="2"/>
  <c r="KN281" i="2"/>
  <c r="KN280" i="2"/>
  <c r="KN279" i="2"/>
  <c r="KN278" i="2"/>
  <c r="KN277" i="2"/>
  <c r="KN276" i="2"/>
  <c r="KN275" i="2"/>
  <c r="KN274" i="2"/>
  <c r="KN273" i="2"/>
  <c r="KN272" i="2"/>
  <c r="KN271" i="2"/>
  <c r="KN270" i="2"/>
  <c r="KN269" i="2"/>
  <c r="KN268" i="2"/>
  <c r="KN267" i="2"/>
  <c r="KN266" i="2"/>
  <c r="KN265" i="2"/>
  <c r="KN264" i="2"/>
  <c r="KN263" i="2"/>
  <c r="KN262" i="2"/>
  <c r="KN261" i="2"/>
  <c r="KN260" i="2"/>
  <c r="KN259" i="2"/>
  <c r="KN258" i="2"/>
  <c r="KN257" i="2"/>
  <c r="KN256" i="2"/>
  <c r="KN255" i="2"/>
  <c r="KN254" i="2"/>
  <c r="KN253" i="2"/>
  <c r="KN252" i="2"/>
  <c r="KN251" i="2"/>
  <c r="KN250" i="2"/>
  <c r="KN249" i="2"/>
  <c r="KN248" i="2"/>
  <c r="KN247" i="2"/>
  <c r="KN246" i="2"/>
  <c r="KN245" i="2"/>
  <c r="KN244" i="2"/>
  <c r="KN243" i="2"/>
  <c r="KN242" i="2"/>
  <c r="KN241" i="2"/>
  <c r="KN240" i="2"/>
  <c r="KN239" i="2"/>
  <c r="KN238" i="2"/>
  <c r="KN237" i="2"/>
  <c r="KN236" i="2"/>
  <c r="KN235" i="2"/>
  <c r="KN234" i="2"/>
  <c r="KN233" i="2"/>
  <c r="KN232" i="2"/>
  <c r="KN231" i="2"/>
  <c r="KN230" i="2"/>
  <c r="KN229" i="2"/>
  <c r="KN228" i="2"/>
  <c r="KN227" i="2"/>
  <c r="KN226" i="2"/>
  <c r="KN225" i="2"/>
  <c r="KN224" i="2"/>
  <c r="KN223" i="2"/>
  <c r="KN222" i="2"/>
  <c r="KN221" i="2"/>
  <c r="KN220" i="2"/>
  <c r="KN219" i="2"/>
  <c r="KN218" i="2"/>
  <c r="KN217" i="2"/>
  <c r="KN216" i="2"/>
  <c r="KN215" i="2"/>
  <c r="KN214" i="2"/>
  <c r="KN213" i="2"/>
  <c r="KN212" i="2"/>
  <c r="KN211" i="2"/>
  <c r="KN210" i="2"/>
  <c r="KN209" i="2"/>
  <c r="KN208" i="2"/>
  <c r="KN207" i="2"/>
  <c r="KN206" i="2"/>
  <c r="KN205" i="2"/>
  <c r="KN204" i="2"/>
  <c r="KN203" i="2"/>
  <c r="KN202" i="2"/>
  <c r="KN201" i="2"/>
  <c r="KN200" i="2"/>
  <c r="KN199" i="2"/>
  <c r="KN198" i="2"/>
  <c r="KN197" i="2"/>
  <c r="KN196" i="2"/>
  <c r="KN195" i="2"/>
  <c r="KN194" i="2"/>
  <c r="KN193" i="2"/>
  <c r="KN192" i="2"/>
  <c r="KN191" i="2"/>
  <c r="KN190" i="2"/>
  <c r="KN189" i="2"/>
  <c r="KN188" i="2"/>
  <c r="KN187" i="2"/>
  <c r="KN186" i="2"/>
  <c r="KN185" i="2"/>
  <c r="KN184" i="2"/>
  <c r="KN183" i="2"/>
  <c r="KN182" i="2"/>
  <c r="KN181" i="2"/>
  <c r="KN180" i="2"/>
  <c r="KN179" i="2"/>
  <c r="KN178" i="2"/>
  <c r="KN177" i="2"/>
  <c r="KN176" i="2"/>
  <c r="KN175" i="2"/>
  <c r="KN174" i="2"/>
  <c r="KN173" i="2"/>
  <c r="KN172" i="2"/>
  <c r="KN171" i="2"/>
  <c r="KN170" i="2"/>
  <c r="KN169" i="2"/>
  <c r="KN168" i="2"/>
  <c r="KN167" i="2"/>
  <c r="KN166" i="2"/>
  <c r="KN165" i="2"/>
  <c r="KN164" i="2"/>
  <c r="KN163" i="2"/>
  <c r="KN162" i="2"/>
  <c r="KN161" i="2"/>
  <c r="KN160" i="2"/>
  <c r="KN159" i="2"/>
  <c r="KN158" i="2"/>
  <c r="KN157" i="2"/>
  <c r="KN156" i="2"/>
  <c r="KN155" i="2"/>
  <c r="KN154" i="2"/>
  <c r="KN153" i="2"/>
  <c r="KN152" i="2"/>
  <c r="KN151" i="2"/>
  <c r="KN150" i="2"/>
  <c r="KN149" i="2"/>
  <c r="KN148" i="2"/>
  <c r="KN147" i="2"/>
  <c r="KN146" i="2"/>
  <c r="KN145" i="2"/>
  <c r="KN144" i="2"/>
  <c r="KN143" i="2"/>
  <c r="KN142" i="2"/>
  <c r="KN141" i="2"/>
  <c r="KN140" i="2"/>
  <c r="KN139" i="2"/>
  <c r="KN138" i="2"/>
  <c r="KN137" i="2"/>
  <c r="KN136" i="2"/>
  <c r="KN135" i="2"/>
  <c r="KN134" i="2"/>
  <c r="KN133" i="2"/>
  <c r="KN132" i="2"/>
  <c r="KN131" i="2"/>
  <c r="KN130" i="2"/>
  <c r="KN129" i="2"/>
  <c r="KN128" i="2"/>
  <c r="KN127" i="2"/>
  <c r="KN126" i="2"/>
  <c r="KN125" i="2"/>
  <c r="KN124" i="2"/>
  <c r="KN123" i="2"/>
  <c r="KN122" i="2"/>
  <c r="KN121" i="2"/>
  <c r="KN120" i="2"/>
  <c r="KN119" i="2"/>
  <c r="KN118" i="2"/>
  <c r="KN117" i="2"/>
  <c r="KN116" i="2"/>
  <c r="KN115" i="2"/>
  <c r="KN114" i="2"/>
  <c r="KN113" i="2"/>
  <c r="KN112" i="2"/>
  <c r="KN111" i="2"/>
  <c r="KN110" i="2"/>
  <c r="KN109" i="2"/>
  <c r="KN108" i="2"/>
  <c r="KN107" i="2"/>
  <c r="KN106" i="2"/>
  <c r="KN105" i="2"/>
  <c r="KN104" i="2"/>
  <c r="KN103" i="2"/>
  <c r="KN102" i="2"/>
  <c r="KN101" i="2"/>
  <c r="KN100" i="2"/>
  <c r="KN99" i="2"/>
  <c r="KN98" i="2"/>
  <c r="KN97" i="2"/>
  <c r="KN96" i="2"/>
  <c r="KN95" i="2"/>
  <c r="KN94" i="2"/>
  <c r="KN93" i="2"/>
  <c r="KN92" i="2"/>
  <c r="KN91" i="2"/>
  <c r="KN90" i="2"/>
  <c r="KN89" i="2"/>
  <c r="KN88" i="2"/>
  <c r="KN87" i="2"/>
  <c r="KN86" i="2"/>
  <c r="KN85" i="2"/>
  <c r="KN84" i="2"/>
  <c r="KN83" i="2"/>
  <c r="KN82" i="2"/>
  <c r="KN81" i="2"/>
  <c r="KN80" i="2"/>
  <c r="KN79" i="2"/>
  <c r="KN78" i="2"/>
  <c r="KN77" i="2"/>
  <c r="KN76" i="2"/>
  <c r="KN75" i="2"/>
  <c r="KN74" i="2"/>
  <c r="KN73" i="2"/>
  <c r="KN72" i="2"/>
  <c r="KN71" i="2"/>
  <c r="KN70" i="2"/>
  <c r="KN69" i="2"/>
  <c r="KN68" i="2"/>
  <c r="KN67" i="2"/>
  <c r="KN66" i="2"/>
  <c r="KN65" i="2"/>
  <c r="KN64" i="2"/>
  <c r="KN63" i="2"/>
  <c r="KN62" i="2"/>
  <c r="KN61" i="2"/>
  <c r="KN60" i="2"/>
  <c r="KN59" i="2"/>
  <c r="KN58" i="2"/>
  <c r="KN57" i="2"/>
  <c r="KN56" i="2"/>
  <c r="KN55" i="2"/>
  <c r="KN54" i="2"/>
  <c r="KN53" i="2"/>
  <c r="KN52" i="2"/>
  <c r="KN51" i="2"/>
  <c r="KN50" i="2"/>
  <c r="KN49" i="2"/>
  <c r="KN48" i="2"/>
  <c r="KN47" i="2"/>
  <c r="KN46" i="2"/>
  <c r="KN45" i="2"/>
  <c r="KN44" i="2"/>
  <c r="KN43" i="2"/>
  <c r="KN42" i="2"/>
  <c r="KN41" i="2"/>
  <c r="KN40" i="2"/>
  <c r="KN39" i="2"/>
  <c r="KN38" i="2"/>
  <c r="KN37" i="2"/>
  <c r="KN36" i="2"/>
  <c r="KN35" i="2"/>
  <c r="KN34" i="2"/>
  <c r="KN33" i="2"/>
  <c r="KN32" i="2"/>
  <c r="KN31" i="2"/>
  <c r="KN30" i="2"/>
  <c r="KN29" i="2"/>
  <c r="KN28" i="2"/>
  <c r="KN27" i="2"/>
  <c r="KN26" i="2"/>
  <c r="KN25" i="2"/>
  <c r="KN24" i="2"/>
  <c r="KN23" i="2"/>
  <c r="KN22" i="2"/>
  <c r="KN21" i="2"/>
  <c r="KN20" i="2"/>
  <c r="KN19" i="2"/>
  <c r="KN18" i="2"/>
  <c r="KN17" i="2"/>
  <c r="KN16" i="2"/>
  <c r="KN15" i="2"/>
  <c r="KN14" i="2"/>
  <c r="KN13" i="2"/>
  <c r="KN12" i="2"/>
  <c r="KN11" i="2"/>
  <c r="KN10" i="2"/>
  <c r="KL293" i="2"/>
  <c r="KL292" i="2"/>
  <c r="KL291" i="2"/>
  <c r="KL290" i="2"/>
  <c r="KL289" i="2"/>
  <c r="KL288" i="2"/>
  <c r="KL287" i="2"/>
  <c r="KL286" i="2"/>
  <c r="KL285" i="2"/>
  <c r="KL284" i="2"/>
  <c r="KL283" i="2"/>
  <c r="KL282" i="2"/>
  <c r="KL281" i="2"/>
  <c r="KL280" i="2"/>
  <c r="KL279" i="2"/>
  <c r="KL278" i="2"/>
  <c r="KL277" i="2"/>
  <c r="KL276" i="2"/>
  <c r="KL275" i="2"/>
  <c r="KL274" i="2"/>
  <c r="KL273" i="2"/>
  <c r="KL272" i="2"/>
  <c r="KL271" i="2"/>
  <c r="KL270" i="2"/>
  <c r="KL269" i="2"/>
  <c r="KL268" i="2"/>
  <c r="KL267" i="2"/>
  <c r="KL266" i="2"/>
  <c r="KL265" i="2"/>
  <c r="KL264" i="2"/>
  <c r="KL263" i="2"/>
  <c r="KL262" i="2"/>
  <c r="KL261" i="2"/>
  <c r="KL260" i="2"/>
  <c r="KL259" i="2"/>
  <c r="KL258" i="2"/>
  <c r="KL257" i="2"/>
  <c r="KL256" i="2"/>
  <c r="KL255" i="2"/>
  <c r="KL254" i="2"/>
  <c r="KL253" i="2"/>
  <c r="KL252" i="2"/>
  <c r="KL251" i="2"/>
  <c r="KL250" i="2"/>
  <c r="KL249" i="2"/>
  <c r="KL248" i="2"/>
  <c r="KL247" i="2"/>
  <c r="KL246" i="2"/>
  <c r="KL245" i="2"/>
  <c r="KL244" i="2"/>
  <c r="KL243" i="2"/>
  <c r="KL242" i="2"/>
  <c r="KL241" i="2"/>
  <c r="KL240" i="2"/>
  <c r="KL239" i="2"/>
  <c r="KL238" i="2"/>
  <c r="KL237" i="2"/>
  <c r="KL236" i="2"/>
  <c r="KL235" i="2"/>
  <c r="KL234" i="2"/>
  <c r="KL233" i="2"/>
  <c r="KL232" i="2"/>
  <c r="KL231" i="2"/>
  <c r="KL230" i="2"/>
  <c r="KL229" i="2"/>
  <c r="KL228" i="2"/>
  <c r="KL227" i="2"/>
  <c r="KL226" i="2"/>
  <c r="KL225" i="2"/>
  <c r="KL224" i="2"/>
  <c r="KL223" i="2"/>
  <c r="KL222" i="2"/>
  <c r="KL221" i="2"/>
  <c r="KL220" i="2"/>
  <c r="KL219" i="2"/>
  <c r="KL218" i="2"/>
  <c r="KL217" i="2"/>
  <c r="KL216" i="2"/>
  <c r="KL215" i="2"/>
  <c r="KL214" i="2"/>
  <c r="KL213" i="2"/>
  <c r="KL212" i="2"/>
  <c r="KL211" i="2"/>
  <c r="KL210" i="2"/>
  <c r="KL209" i="2"/>
  <c r="KL208" i="2"/>
  <c r="KL207" i="2"/>
  <c r="KL206" i="2"/>
  <c r="KL205" i="2"/>
  <c r="KL204" i="2"/>
  <c r="KL203" i="2"/>
  <c r="KL202" i="2"/>
  <c r="KL201" i="2"/>
  <c r="KL200" i="2"/>
  <c r="KL199" i="2"/>
  <c r="KL198" i="2"/>
  <c r="KL197" i="2"/>
  <c r="KL196" i="2"/>
  <c r="KL195" i="2"/>
  <c r="KL194" i="2"/>
  <c r="KL193" i="2"/>
  <c r="KL192" i="2"/>
  <c r="KL191" i="2"/>
  <c r="KL190" i="2"/>
  <c r="KL189" i="2"/>
  <c r="KL188" i="2"/>
  <c r="KL187" i="2"/>
  <c r="KL186" i="2"/>
  <c r="KL185" i="2"/>
  <c r="KL184" i="2"/>
  <c r="KL183" i="2"/>
  <c r="KL182" i="2"/>
  <c r="KL181" i="2"/>
  <c r="KL180" i="2"/>
  <c r="KL179" i="2"/>
  <c r="KL178" i="2"/>
  <c r="KL177" i="2"/>
  <c r="KL176" i="2"/>
  <c r="KL175" i="2"/>
  <c r="KL174" i="2"/>
  <c r="KL173" i="2"/>
  <c r="KL172" i="2"/>
  <c r="KL171" i="2"/>
  <c r="KL170" i="2"/>
  <c r="KL169" i="2"/>
  <c r="KL168" i="2"/>
  <c r="KL167" i="2"/>
  <c r="KL166" i="2"/>
  <c r="KL165" i="2"/>
  <c r="KL164" i="2"/>
  <c r="KL163" i="2"/>
  <c r="KL162" i="2"/>
  <c r="KL161" i="2"/>
  <c r="KL160" i="2"/>
  <c r="KL159" i="2"/>
  <c r="KL158" i="2"/>
  <c r="KL157" i="2"/>
  <c r="KL156" i="2"/>
  <c r="KL155" i="2"/>
  <c r="KL154" i="2"/>
  <c r="KL153" i="2"/>
  <c r="KL152" i="2"/>
  <c r="KL151" i="2"/>
  <c r="KL150" i="2"/>
  <c r="KL149" i="2"/>
  <c r="KL148" i="2"/>
  <c r="KL147" i="2"/>
  <c r="KL146" i="2"/>
  <c r="KL145" i="2"/>
  <c r="KL144" i="2"/>
  <c r="KL143" i="2"/>
  <c r="KL142" i="2"/>
  <c r="KL141" i="2"/>
  <c r="KL140" i="2"/>
  <c r="KL139" i="2"/>
  <c r="KL138" i="2"/>
  <c r="KL137" i="2"/>
  <c r="KL136" i="2"/>
  <c r="KL135" i="2"/>
  <c r="KL134" i="2"/>
  <c r="KL133" i="2"/>
  <c r="KL132" i="2"/>
  <c r="KL131" i="2"/>
  <c r="KL130" i="2"/>
  <c r="KL129" i="2"/>
  <c r="KL128" i="2"/>
  <c r="KL127" i="2"/>
  <c r="KL126" i="2"/>
  <c r="KL125" i="2"/>
  <c r="KL124" i="2"/>
  <c r="KL123" i="2"/>
  <c r="KL122" i="2"/>
  <c r="KL121" i="2"/>
  <c r="KL120" i="2"/>
  <c r="KL119" i="2"/>
  <c r="KL118" i="2"/>
  <c r="KL117" i="2"/>
  <c r="KL116" i="2"/>
  <c r="KL115" i="2"/>
  <c r="KL114" i="2"/>
  <c r="KL113" i="2"/>
  <c r="KL112" i="2"/>
  <c r="KL111" i="2"/>
  <c r="KL110" i="2"/>
  <c r="KL109" i="2"/>
  <c r="KL108" i="2"/>
  <c r="KL107" i="2"/>
  <c r="KL106" i="2"/>
  <c r="KL105" i="2"/>
  <c r="KL104" i="2"/>
  <c r="KL103" i="2"/>
  <c r="KL102" i="2"/>
  <c r="KL101" i="2"/>
  <c r="KL100" i="2"/>
  <c r="KL99" i="2"/>
  <c r="KL98" i="2"/>
  <c r="KL97" i="2"/>
  <c r="KL96" i="2"/>
  <c r="KL95" i="2"/>
  <c r="KL94" i="2"/>
  <c r="KL93" i="2"/>
  <c r="KL92" i="2"/>
  <c r="KL91" i="2"/>
  <c r="KL90" i="2"/>
  <c r="KL89" i="2"/>
  <c r="KL88" i="2"/>
  <c r="KL87" i="2"/>
  <c r="KL86" i="2"/>
  <c r="KL85" i="2"/>
  <c r="KL84" i="2"/>
  <c r="KL83" i="2"/>
  <c r="KL82" i="2"/>
  <c r="KL81" i="2"/>
  <c r="KL80" i="2"/>
  <c r="KL79" i="2"/>
  <c r="KL78" i="2"/>
  <c r="KL77" i="2"/>
  <c r="KL76" i="2"/>
  <c r="KL75" i="2"/>
  <c r="KL74" i="2"/>
  <c r="KL73" i="2"/>
  <c r="KL72" i="2"/>
  <c r="KL71" i="2"/>
  <c r="KL70" i="2"/>
  <c r="KL69" i="2"/>
  <c r="KL68" i="2"/>
  <c r="KL67" i="2"/>
  <c r="KL66" i="2"/>
  <c r="KL65" i="2"/>
  <c r="KL64" i="2"/>
  <c r="KL63" i="2"/>
  <c r="KL62" i="2"/>
  <c r="KL61" i="2"/>
  <c r="KL60" i="2"/>
  <c r="KL59" i="2"/>
  <c r="KL58" i="2"/>
  <c r="KL57" i="2"/>
  <c r="KL56" i="2"/>
  <c r="KL55" i="2"/>
  <c r="KL54" i="2"/>
  <c r="KL53" i="2"/>
  <c r="KL52" i="2"/>
  <c r="KL51" i="2"/>
  <c r="KL50" i="2"/>
  <c r="KL49" i="2"/>
  <c r="KL48" i="2"/>
  <c r="KL47" i="2"/>
  <c r="KL46" i="2"/>
  <c r="KL45" i="2"/>
  <c r="KL44" i="2"/>
  <c r="KL43" i="2"/>
  <c r="KL42" i="2"/>
  <c r="KL41" i="2"/>
  <c r="KL40" i="2"/>
  <c r="KL39" i="2"/>
  <c r="KL38" i="2"/>
  <c r="KL37" i="2"/>
  <c r="KL36" i="2"/>
  <c r="KL35" i="2"/>
  <c r="KL34" i="2"/>
  <c r="KL33" i="2"/>
  <c r="KL32" i="2"/>
  <c r="KL31" i="2"/>
  <c r="KL30" i="2"/>
  <c r="KL29" i="2"/>
  <c r="KL28" i="2"/>
  <c r="KL27" i="2"/>
  <c r="KL26" i="2"/>
  <c r="KL25" i="2"/>
  <c r="KL24" i="2"/>
  <c r="KL23" i="2"/>
  <c r="KL22" i="2"/>
  <c r="KL21" i="2"/>
  <c r="KL20" i="2"/>
  <c r="KL19" i="2"/>
  <c r="KL18" i="2"/>
  <c r="KL17" i="2"/>
  <c r="KL16" i="2"/>
  <c r="KL15" i="2"/>
  <c r="KL14" i="2"/>
  <c r="KL13" i="2"/>
  <c r="KL12" i="2"/>
  <c r="KL11" i="2"/>
  <c r="KL10" i="2"/>
  <c r="KJ293" i="2"/>
  <c r="KJ292" i="2"/>
  <c r="KJ291" i="2"/>
  <c r="KJ290" i="2"/>
  <c r="KJ289" i="2"/>
  <c r="KJ288" i="2"/>
  <c r="KJ287" i="2"/>
  <c r="KJ286" i="2"/>
  <c r="KJ285" i="2"/>
  <c r="KJ284" i="2"/>
  <c r="KJ283" i="2"/>
  <c r="KJ282" i="2"/>
  <c r="KJ281" i="2"/>
  <c r="KJ280" i="2"/>
  <c r="KJ279" i="2"/>
  <c r="KJ278" i="2"/>
  <c r="KJ277" i="2"/>
  <c r="KJ276" i="2"/>
  <c r="KJ275" i="2"/>
  <c r="KJ274" i="2"/>
  <c r="KJ273" i="2"/>
  <c r="KJ272" i="2"/>
  <c r="KJ271" i="2"/>
  <c r="KJ270" i="2"/>
  <c r="KJ269" i="2"/>
  <c r="KJ268" i="2"/>
  <c r="KJ267" i="2"/>
  <c r="KJ266" i="2"/>
  <c r="KJ265" i="2"/>
  <c r="KJ264" i="2"/>
  <c r="KJ263" i="2"/>
  <c r="KJ262" i="2"/>
  <c r="KJ261" i="2"/>
  <c r="KJ260" i="2"/>
  <c r="KJ259" i="2"/>
  <c r="KJ258" i="2"/>
  <c r="KJ257" i="2"/>
  <c r="KJ256" i="2"/>
  <c r="KJ255" i="2"/>
  <c r="KJ254" i="2"/>
  <c r="KJ253" i="2"/>
  <c r="KJ252" i="2"/>
  <c r="KJ251" i="2"/>
  <c r="KJ250" i="2"/>
  <c r="KJ249" i="2"/>
  <c r="KJ248" i="2"/>
  <c r="KJ247" i="2"/>
  <c r="KJ246" i="2"/>
  <c r="KJ245" i="2"/>
  <c r="KJ244" i="2"/>
  <c r="KJ243" i="2"/>
  <c r="KJ242" i="2"/>
  <c r="KJ241" i="2"/>
  <c r="KJ240" i="2"/>
  <c r="KJ239" i="2"/>
  <c r="KJ238" i="2"/>
  <c r="KJ237" i="2"/>
  <c r="KJ236" i="2"/>
  <c r="KJ235" i="2"/>
  <c r="KJ234" i="2"/>
  <c r="KJ233" i="2"/>
  <c r="KJ232" i="2"/>
  <c r="KJ231" i="2"/>
  <c r="KJ230" i="2"/>
  <c r="KJ229" i="2"/>
  <c r="KJ228" i="2"/>
  <c r="KJ227" i="2"/>
  <c r="KJ226" i="2"/>
  <c r="KJ225" i="2"/>
  <c r="KJ224" i="2"/>
  <c r="KJ223" i="2"/>
  <c r="KJ222" i="2"/>
  <c r="KJ221" i="2"/>
  <c r="KJ220" i="2"/>
  <c r="KJ219" i="2"/>
  <c r="KJ218" i="2"/>
  <c r="KJ217" i="2"/>
  <c r="KJ216" i="2"/>
  <c r="KJ215" i="2"/>
  <c r="KJ214" i="2"/>
  <c r="KJ213" i="2"/>
  <c r="KJ212" i="2"/>
  <c r="KJ211" i="2"/>
  <c r="KJ210" i="2"/>
  <c r="KJ209" i="2"/>
  <c r="KJ208" i="2"/>
  <c r="KJ207" i="2"/>
  <c r="KJ206" i="2"/>
  <c r="KJ205" i="2"/>
  <c r="KJ204" i="2"/>
  <c r="KJ203" i="2"/>
  <c r="KJ202" i="2"/>
  <c r="KJ201" i="2"/>
  <c r="KJ200" i="2"/>
  <c r="KJ199" i="2"/>
  <c r="KJ198" i="2"/>
  <c r="KJ197" i="2"/>
  <c r="KJ196" i="2"/>
  <c r="KJ195" i="2"/>
  <c r="KJ194" i="2"/>
  <c r="KJ193" i="2"/>
  <c r="KJ192" i="2"/>
  <c r="KJ191" i="2"/>
  <c r="KJ190" i="2"/>
  <c r="KJ189" i="2"/>
  <c r="KJ188" i="2"/>
  <c r="KJ187" i="2"/>
  <c r="KJ186" i="2"/>
  <c r="KJ185" i="2"/>
  <c r="KJ184" i="2"/>
  <c r="KJ183" i="2"/>
  <c r="KJ182" i="2"/>
  <c r="KJ181" i="2"/>
  <c r="KJ180" i="2"/>
  <c r="KJ179" i="2"/>
  <c r="KJ178" i="2"/>
  <c r="KJ177" i="2"/>
  <c r="KJ176" i="2"/>
  <c r="KJ175" i="2"/>
  <c r="KJ174" i="2"/>
  <c r="KJ173" i="2"/>
  <c r="KJ172" i="2"/>
  <c r="KJ171" i="2"/>
  <c r="KJ170" i="2"/>
  <c r="KJ169" i="2"/>
  <c r="KJ168" i="2"/>
  <c r="KJ167" i="2"/>
  <c r="KJ166" i="2"/>
  <c r="KJ165" i="2"/>
  <c r="KJ164" i="2"/>
  <c r="KJ163" i="2"/>
  <c r="KJ162" i="2"/>
  <c r="KJ161" i="2"/>
  <c r="KJ160" i="2"/>
  <c r="KJ159" i="2"/>
  <c r="KJ158" i="2"/>
  <c r="KJ157" i="2"/>
  <c r="KJ156" i="2"/>
  <c r="KJ155" i="2"/>
  <c r="KJ154" i="2"/>
  <c r="KJ153" i="2"/>
  <c r="KJ152" i="2"/>
  <c r="KJ151" i="2"/>
  <c r="KJ150" i="2"/>
  <c r="KJ149" i="2"/>
  <c r="KJ148" i="2"/>
  <c r="KJ147" i="2"/>
  <c r="KJ146" i="2"/>
  <c r="KJ145" i="2"/>
  <c r="KJ144" i="2"/>
  <c r="KJ143" i="2"/>
  <c r="KJ142" i="2"/>
  <c r="KJ141" i="2"/>
  <c r="KJ140" i="2"/>
  <c r="KJ139" i="2"/>
  <c r="KJ138" i="2"/>
  <c r="KJ137" i="2"/>
  <c r="KJ136" i="2"/>
  <c r="KJ135" i="2"/>
  <c r="KJ134" i="2"/>
  <c r="KJ133" i="2"/>
  <c r="KJ132" i="2"/>
  <c r="KJ131" i="2"/>
  <c r="KJ130" i="2"/>
  <c r="KJ129" i="2"/>
  <c r="KJ128" i="2"/>
  <c r="KJ127" i="2"/>
  <c r="KJ126" i="2"/>
  <c r="KJ125" i="2"/>
  <c r="KJ124" i="2"/>
  <c r="KJ123" i="2"/>
  <c r="KJ122" i="2"/>
  <c r="KJ121" i="2"/>
  <c r="KJ120" i="2"/>
  <c r="KJ119" i="2"/>
  <c r="KJ118" i="2"/>
  <c r="KJ117" i="2"/>
  <c r="KJ116" i="2"/>
  <c r="KJ115" i="2"/>
  <c r="KJ114" i="2"/>
  <c r="KJ113" i="2"/>
  <c r="KJ112" i="2"/>
  <c r="KJ111" i="2"/>
  <c r="KJ110" i="2"/>
  <c r="KJ109" i="2"/>
  <c r="KJ108" i="2"/>
  <c r="KJ107" i="2"/>
  <c r="KJ106" i="2"/>
  <c r="KJ105" i="2"/>
  <c r="KJ104" i="2"/>
  <c r="KJ103" i="2"/>
  <c r="KJ102" i="2"/>
  <c r="KJ101" i="2"/>
  <c r="KJ100" i="2"/>
  <c r="KJ99" i="2"/>
  <c r="KJ98" i="2"/>
  <c r="KJ97" i="2"/>
  <c r="KJ96" i="2"/>
  <c r="KJ95" i="2"/>
  <c r="KJ94" i="2"/>
  <c r="KJ93" i="2"/>
  <c r="KJ92" i="2"/>
  <c r="KJ91" i="2"/>
  <c r="KJ90" i="2"/>
  <c r="KJ89" i="2"/>
  <c r="KJ88" i="2"/>
  <c r="KJ87" i="2"/>
  <c r="KJ86" i="2"/>
  <c r="KJ85" i="2"/>
  <c r="KJ84" i="2"/>
  <c r="KJ83" i="2"/>
  <c r="KJ82" i="2"/>
  <c r="KJ81" i="2"/>
  <c r="KJ80" i="2"/>
  <c r="KJ79" i="2"/>
  <c r="KJ78" i="2"/>
  <c r="KJ77" i="2"/>
  <c r="KJ76" i="2"/>
  <c r="KJ75" i="2"/>
  <c r="KJ74" i="2"/>
  <c r="KJ73" i="2"/>
  <c r="KJ72" i="2"/>
  <c r="KJ71" i="2"/>
  <c r="KJ70" i="2"/>
  <c r="KJ69" i="2"/>
  <c r="KJ68" i="2"/>
  <c r="KJ67" i="2"/>
  <c r="KJ66" i="2"/>
  <c r="KJ65" i="2"/>
  <c r="KJ64" i="2"/>
  <c r="KJ63" i="2"/>
  <c r="KJ62" i="2"/>
  <c r="KJ61" i="2"/>
  <c r="KJ60" i="2"/>
  <c r="KJ59" i="2"/>
  <c r="KJ58" i="2"/>
  <c r="KJ57" i="2"/>
  <c r="KJ56" i="2"/>
  <c r="KJ55" i="2"/>
  <c r="KJ54" i="2"/>
  <c r="KJ53" i="2"/>
  <c r="KJ52" i="2"/>
  <c r="KJ51" i="2"/>
  <c r="KJ50" i="2"/>
  <c r="KJ49" i="2"/>
  <c r="KJ48" i="2"/>
  <c r="KJ47" i="2"/>
  <c r="KJ46" i="2"/>
  <c r="KJ45" i="2"/>
  <c r="KJ44" i="2"/>
  <c r="KJ43" i="2"/>
  <c r="KJ42" i="2"/>
  <c r="KJ41" i="2"/>
  <c r="KJ40" i="2"/>
  <c r="KJ39" i="2"/>
  <c r="KJ38" i="2"/>
  <c r="KJ37" i="2"/>
  <c r="KJ36" i="2"/>
  <c r="KJ35" i="2"/>
  <c r="KJ34" i="2"/>
  <c r="KJ33" i="2"/>
  <c r="KJ32" i="2"/>
  <c r="KJ31" i="2"/>
  <c r="KJ30" i="2"/>
  <c r="KJ29" i="2"/>
  <c r="KJ28" i="2"/>
  <c r="KJ27" i="2"/>
  <c r="KJ26" i="2"/>
  <c r="KJ25" i="2"/>
  <c r="KJ24" i="2"/>
  <c r="KJ23" i="2"/>
  <c r="KJ22" i="2"/>
  <c r="KJ21" i="2"/>
  <c r="KJ20" i="2"/>
  <c r="KJ19" i="2"/>
  <c r="KJ18" i="2"/>
  <c r="KJ17" i="2"/>
  <c r="KJ16" i="2"/>
  <c r="KJ15" i="2"/>
  <c r="KJ14" i="2"/>
  <c r="KJ13" i="2"/>
  <c r="KJ12" i="2"/>
  <c r="KJ11" i="2"/>
  <c r="KJ10" i="2"/>
  <c r="KH293" i="2"/>
  <c r="KH292" i="2"/>
  <c r="KH291" i="2"/>
  <c r="KH290" i="2"/>
  <c r="KH289" i="2"/>
  <c r="KH288" i="2"/>
  <c r="KH287" i="2"/>
  <c r="KH286" i="2"/>
  <c r="KH285" i="2"/>
  <c r="KH284" i="2"/>
  <c r="KH283" i="2"/>
  <c r="KH282" i="2"/>
  <c r="KH281" i="2"/>
  <c r="KH280" i="2"/>
  <c r="KH279" i="2"/>
  <c r="KH278" i="2"/>
  <c r="KH277" i="2"/>
  <c r="KH276" i="2"/>
  <c r="KH275" i="2"/>
  <c r="KH274" i="2"/>
  <c r="KH273" i="2"/>
  <c r="KH272" i="2"/>
  <c r="KH271" i="2"/>
  <c r="KH270" i="2"/>
  <c r="KH269" i="2"/>
  <c r="KH268" i="2"/>
  <c r="KH267" i="2"/>
  <c r="KH266" i="2"/>
  <c r="KH265" i="2"/>
  <c r="KH264" i="2"/>
  <c r="KH263" i="2"/>
  <c r="KH262" i="2"/>
  <c r="KH261" i="2"/>
  <c r="KH260" i="2"/>
  <c r="KH259" i="2"/>
  <c r="KH258" i="2"/>
  <c r="KH257" i="2"/>
  <c r="KH256" i="2"/>
  <c r="KH255" i="2"/>
  <c r="KH254" i="2"/>
  <c r="KH253" i="2"/>
  <c r="KH252" i="2"/>
  <c r="KH251" i="2"/>
  <c r="KH250" i="2"/>
  <c r="KH249" i="2"/>
  <c r="KH248" i="2"/>
  <c r="KH247" i="2"/>
  <c r="KH246" i="2"/>
  <c r="KH245" i="2"/>
  <c r="KH244" i="2"/>
  <c r="KH243" i="2"/>
  <c r="KH242" i="2"/>
  <c r="KH241" i="2"/>
  <c r="KH240" i="2"/>
  <c r="KH239" i="2"/>
  <c r="KH238" i="2"/>
  <c r="KH237" i="2"/>
  <c r="KH236" i="2"/>
  <c r="KH235" i="2"/>
  <c r="KH234" i="2"/>
  <c r="KH233" i="2"/>
  <c r="KH232" i="2"/>
  <c r="KH231" i="2"/>
  <c r="KH230" i="2"/>
  <c r="KH229" i="2"/>
  <c r="KH228" i="2"/>
  <c r="KH227" i="2"/>
  <c r="KH226" i="2"/>
  <c r="KH225" i="2"/>
  <c r="KH224" i="2"/>
  <c r="KH223" i="2"/>
  <c r="KH222" i="2"/>
  <c r="KH221" i="2"/>
  <c r="KH220" i="2"/>
  <c r="KH219" i="2"/>
  <c r="KH218" i="2"/>
  <c r="KH217" i="2"/>
  <c r="KH216" i="2"/>
  <c r="KH215" i="2"/>
  <c r="KH214" i="2"/>
  <c r="KH213" i="2"/>
  <c r="KH212" i="2"/>
  <c r="KH211" i="2"/>
  <c r="KH210" i="2"/>
  <c r="KH209" i="2"/>
  <c r="KH208" i="2"/>
  <c r="KH207" i="2"/>
  <c r="KH206" i="2"/>
  <c r="KH205" i="2"/>
  <c r="KH204" i="2"/>
  <c r="KH203" i="2"/>
  <c r="KH202" i="2"/>
  <c r="KH201" i="2"/>
  <c r="KH200" i="2"/>
  <c r="KH199" i="2"/>
  <c r="KH198" i="2"/>
  <c r="KH197" i="2"/>
  <c r="KH196" i="2"/>
  <c r="KH195" i="2"/>
  <c r="KH194" i="2"/>
  <c r="KH193" i="2"/>
  <c r="KH192" i="2"/>
  <c r="KH191" i="2"/>
  <c r="KH190" i="2"/>
  <c r="KH189" i="2"/>
  <c r="KH188" i="2"/>
  <c r="KH187" i="2"/>
  <c r="KH186" i="2"/>
  <c r="KH185" i="2"/>
  <c r="KH184" i="2"/>
  <c r="KH183" i="2"/>
  <c r="KH182" i="2"/>
  <c r="KH181" i="2"/>
  <c r="KH180" i="2"/>
  <c r="KH179" i="2"/>
  <c r="KH178" i="2"/>
  <c r="KH177" i="2"/>
  <c r="KH176" i="2"/>
  <c r="KH175" i="2"/>
  <c r="KH174" i="2"/>
  <c r="KH173" i="2"/>
  <c r="KH172" i="2"/>
  <c r="KH171" i="2"/>
  <c r="KH170" i="2"/>
  <c r="KH169" i="2"/>
  <c r="KH168" i="2"/>
  <c r="KH167" i="2"/>
  <c r="KH166" i="2"/>
  <c r="KH165" i="2"/>
  <c r="KH164" i="2"/>
  <c r="KH163" i="2"/>
  <c r="KH162" i="2"/>
  <c r="KH161" i="2"/>
  <c r="KH160" i="2"/>
  <c r="KH159" i="2"/>
  <c r="KH158" i="2"/>
  <c r="KH157" i="2"/>
  <c r="KH156" i="2"/>
  <c r="KH155" i="2"/>
  <c r="KH154" i="2"/>
  <c r="KH153" i="2"/>
  <c r="KH152" i="2"/>
  <c r="KH151" i="2"/>
  <c r="KH150" i="2"/>
  <c r="KH149" i="2"/>
  <c r="KH148" i="2"/>
  <c r="KH147" i="2"/>
  <c r="KH146" i="2"/>
  <c r="KH145" i="2"/>
  <c r="KH144" i="2"/>
  <c r="KH143" i="2"/>
  <c r="KH142" i="2"/>
  <c r="KH141" i="2"/>
  <c r="KH140" i="2"/>
  <c r="KH139" i="2"/>
  <c r="KH138" i="2"/>
  <c r="KH137" i="2"/>
  <c r="KH136" i="2"/>
  <c r="KH135" i="2"/>
  <c r="KH134" i="2"/>
  <c r="KH133" i="2"/>
  <c r="KH132" i="2"/>
  <c r="KH131" i="2"/>
  <c r="KH130" i="2"/>
  <c r="KH129" i="2"/>
  <c r="KH127" i="2"/>
  <c r="KH126" i="2"/>
  <c r="KH125" i="2"/>
  <c r="KH124" i="2"/>
  <c r="KH123" i="2"/>
  <c r="KH122" i="2"/>
  <c r="KH121" i="2"/>
  <c r="KH120" i="2"/>
  <c r="KH119" i="2"/>
  <c r="KH118" i="2"/>
  <c r="KH117" i="2"/>
  <c r="KH116" i="2"/>
  <c r="KH115" i="2"/>
  <c r="KH114" i="2"/>
  <c r="KH113" i="2"/>
  <c r="KH112" i="2"/>
  <c r="KH111" i="2"/>
  <c r="KH110" i="2"/>
  <c r="KH109" i="2"/>
  <c r="KH108" i="2"/>
  <c r="KH107" i="2"/>
  <c r="KH106" i="2"/>
  <c r="KH105" i="2"/>
  <c r="KH104" i="2"/>
  <c r="KH103" i="2"/>
  <c r="KH102" i="2"/>
  <c r="KH101" i="2"/>
  <c r="KH100" i="2"/>
  <c r="KH99" i="2"/>
  <c r="KH98" i="2"/>
  <c r="KH97" i="2"/>
  <c r="KH96" i="2"/>
  <c r="KH95" i="2"/>
  <c r="KH94" i="2"/>
  <c r="KH93" i="2"/>
  <c r="KH92" i="2"/>
  <c r="KH91" i="2"/>
  <c r="KH90" i="2"/>
  <c r="KH89" i="2"/>
  <c r="KH88" i="2"/>
  <c r="KH87" i="2"/>
  <c r="KH86" i="2"/>
  <c r="KH85" i="2"/>
  <c r="KH84" i="2"/>
  <c r="KH83" i="2"/>
  <c r="KH82" i="2"/>
  <c r="KH81" i="2"/>
  <c r="KH80" i="2"/>
  <c r="KH79" i="2"/>
  <c r="KH78" i="2"/>
  <c r="KH77" i="2"/>
  <c r="KH76" i="2"/>
  <c r="KH75" i="2"/>
  <c r="KH74" i="2"/>
  <c r="KH73" i="2"/>
  <c r="KH72" i="2"/>
  <c r="KH71" i="2"/>
  <c r="KH70" i="2"/>
  <c r="KH69" i="2"/>
  <c r="KH68" i="2"/>
  <c r="KH67" i="2"/>
  <c r="KH66" i="2"/>
  <c r="KH65" i="2"/>
  <c r="KH64" i="2"/>
  <c r="KH63" i="2"/>
  <c r="KH62" i="2"/>
  <c r="KH61" i="2"/>
  <c r="KH60" i="2"/>
  <c r="KH59" i="2"/>
  <c r="KH58" i="2"/>
  <c r="KH57" i="2"/>
  <c r="KH56" i="2"/>
  <c r="KH55" i="2"/>
  <c r="KH54" i="2"/>
  <c r="KH53" i="2"/>
  <c r="KH52" i="2"/>
  <c r="KH51" i="2"/>
  <c r="KH50" i="2"/>
  <c r="KH49" i="2"/>
  <c r="KH48" i="2"/>
  <c r="KH47" i="2"/>
  <c r="KH46" i="2"/>
  <c r="KH45" i="2"/>
  <c r="KH44" i="2"/>
  <c r="KH43" i="2"/>
  <c r="KH42" i="2"/>
  <c r="KH41" i="2"/>
  <c r="KH40" i="2"/>
  <c r="KH39" i="2"/>
  <c r="KH38" i="2"/>
  <c r="KH37" i="2"/>
  <c r="KH36" i="2"/>
  <c r="KH35" i="2"/>
  <c r="KH34" i="2"/>
  <c r="KH33" i="2"/>
  <c r="KH32" i="2"/>
  <c r="KH31" i="2"/>
  <c r="KH30" i="2"/>
  <c r="KH29" i="2"/>
  <c r="KH28" i="2"/>
  <c r="KH27" i="2"/>
  <c r="KH26" i="2"/>
  <c r="KH25" i="2"/>
  <c r="KH24" i="2"/>
  <c r="KH23" i="2"/>
  <c r="KH22" i="2"/>
  <c r="KH21" i="2"/>
  <c r="KH20" i="2"/>
  <c r="KH19" i="2"/>
  <c r="KH18" i="2"/>
  <c r="KH17" i="2"/>
  <c r="KH16" i="2"/>
  <c r="KH15" i="2"/>
  <c r="KH14" i="2"/>
  <c r="KH13" i="2"/>
  <c r="KH12" i="2"/>
  <c r="KH11" i="2"/>
  <c r="KH10" i="2"/>
  <c r="KF293" i="2"/>
  <c r="KF292" i="2"/>
  <c r="KF291" i="2"/>
  <c r="KF290" i="2"/>
  <c r="KF289" i="2"/>
  <c r="KF288" i="2"/>
  <c r="KF287" i="2"/>
  <c r="KF286" i="2"/>
  <c r="KF285" i="2"/>
  <c r="KF284" i="2"/>
  <c r="KF283" i="2"/>
  <c r="KF282" i="2"/>
  <c r="KF281" i="2"/>
  <c r="KF280" i="2"/>
  <c r="KF279" i="2"/>
  <c r="KF278" i="2"/>
  <c r="KF277" i="2"/>
  <c r="KF276" i="2"/>
  <c r="KF275" i="2"/>
  <c r="KF274" i="2"/>
  <c r="KF273" i="2"/>
  <c r="KF272" i="2"/>
  <c r="KF271" i="2"/>
  <c r="KF270" i="2"/>
  <c r="KF269" i="2"/>
  <c r="KF268" i="2"/>
  <c r="KF267" i="2"/>
  <c r="KF266" i="2"/>
  <c r="KF265" i="2"/>
  <c r="KF264" i="2"/>
  <c r="KF263" i="2"/>
  <c r="KF262" i="2"/>
  <c r="KF261" i="2"/>
  <c r="KF260" i="2"/>
  <c r="KF259" i="2"/>
  <c r="KF258" i="2"/>
  <c r="KF257" i="2"/>
  <c r="KF256" i="2"/>
  <c r="KF255" i="2"/>
  <c r="KF254" i="2"/>
  <c r="KF253" i="2"/>
  <c r="KF252" i="2"/>
  <c r="KF251" i="2"/>
  <c r="KF250" i="2"/>
  <c r="KF249" i="2"/>
  <c r="KF248" i="2"/>
  <c r="KF247" i="2"/>
  <c r="KF246" i="2"/>
  <c r="KF245" i="2"/>
  <c r="KF244" i="2"/>
  <c r="KF243" i="2"/>
  <c r="KF242" i="2"/>
  <c r="KF241" i="2"/>
  <c r="KF240" i="2"/>
  <c r="KF239" i="2"/>
  <c r="KF238" i="2"/>
  <c r="KF237" i="2"/>
  <c r="KF236" i="2"/>
  <c r="KF235" i="2"/>
  <c r="KF234" i="2"/>
  <c r="KF233" i="2"/>
  <c r="KF232" i="2"/>
  <c r="KF231" i="2"/>
  <c r="KF230" i="2"/>
  <c r="KF229" i="2"/>
  <c r="KF228" i="2"/>
  <c r="KF227" i="2"/>
  <c r="KF226" i="2"/>
  <c r="KF225" i="2"/>
  <c r="KF224" i="2"/>
  <c r="KF223" i="2"/>
  <c r="KF222" i="2"/>
  <c r="KF221" i="2"/>
  <c r="KF220" i="2"/>
  <c r="KF219" i="2"/>
  <c r="KF218" i="2"/>
  <c r="KF217" i="2"/>
  <c r="KF216" i="2"/>
  <c r="KF215" i="2"/>
  <c r="KF214" i="2"/>
  <c r="KF213" i="2"/>
  <c r="KF212" i="2"/>
  <c r="KF211" i="2"/>
  <c r="KF210" i="2"/>
  <c r="KF209" i="2"/>
  <c r="KF208" i="2"/>
  <c r="KF207" i="2"/>
  <c r="KF206" i="2"/>
  <c r="KF205" i="2"/>
  <c r="KF204" i="2"/>
  <c r="KF203" i="2"/>
  <c r="KF202" i="2"/>
  <c r="KF201" i="2"/>
  <c r="KF200" i="2"/>
  <c r="KF199" i="2"/>
  <c r="KF198" i="2"/>
  <c r="KF197" i="2"/>
  <c r="KF196" i="2"/>
  <c r="KF195" i="2"/>
  <c r="KF194" i="2"/>
  <c r="KF193" i="2"/>
  <c r="KF192" i="2"/>
  <c r="KF191" i="2"/>
  <c r="KF190" i="2"/>
  <c r="KF189" i="2"/>
  <c r="KF188" i="2"/>
  <c r="KF187" i="2"/>
  <c r="KF186" i="2"/>
  <c r="KF185" i="2"/>
  <c r="KF184" i="2"/>
  <c r="KF183" i="2"/>
  <c r="KF182" i="2"/>
  <c r="KF181" i="2"/>
  <c r="KF180" i="2"/>
  <c r="KF179" i="2"/>
  <c r="KF178" i="2"/>
  <c r="KF177" i="2"/>
  <c r="KF176" i="2"/>
  <c r="KF175" i="2"/>
  <c r="KF174" i="2"/>
  <c r="KF173" i="2"/>
  <c r="KF172" i="2"/>
  <c r="KF171" i="2"/>
  <c r="KF170" i="2"/>
  <c r="KF169" i="2"/>
  <c r="KF168" i="2"/>
  <c r="KF167" i="2"/>
  <c r="KF166" i="2"/>
  <c r="KF165" i="2"/>
  <c r="KF164" i="2"/>
  <c r="KF163" i="2"/>
  <c r="KF162" i="2"/>
  <c r="KF161" i="2"/>
  <c r="KF160" i="2"/>
  <c r="KF159" i="2"/>
  <c r="KF158" i="2"/>
  <c r="KF157" i="2"/>
  <c r="KF156" i="2"/>
  <c r="KF155" i="2"/>
  <c r="KF154" i="2"/>
  <c r="KF153" i="2"/>
  <c r="KF152" i="2"/>
  <c r="KF151" i="2"/>
  <c r="KF150" i="2"/>
  <c r="KF149" i="2"/>
  <c r="KF148" i="2"/>
  <c r="KF147" i="2"/>
  <c r="KF146" i="2"/>
  <c r="KF145" i="2"/>
  <c r="KF144" i="2"/>
  <c r="KF143" i="2"/>
  <c r="KF142" i="2"/>
  <c r="KF141" i="2"/>
  <c r="KF140" i="2"/>
  <c r="KF139" i="2"/>
  <c r="KF138" i="2"/>
  <c r="KF137" i="2"/>
  <c r="KF136" i="2"/>
  <c r="KF135" i="2"/>
  <c r="KF134" i="2"/>
  <c r="KF133" i="2"/>
  <c r="KF132" i="2"/>
  <c r="KF131" i="2"/>
  <c r="KF130" i="2"/>
  <c r="KF129" i="2"/>
  <c r="KF127" i="2"/>
  <c r="KF126" i="2"/>
  <c r="KF125" i="2"/>
  <c r="KF124" i="2"/>
  <c r="KF123" i="2"/>
  <c r="KF122" i="2"/>
  <c r="KF121" i="2"/>
  <c r="KF120" i="2"/>
  <c r="KF119" i="2"/>
  <c r="KF118" i="2"/>
  <c r="KF117" i="2"/>
  <c r="KF116" i="2"/>
  <c r="KF115" i="2"/>
  <c r="KF114" i="2"/>
  <c r="KF113" i="2"/>
  <c r="KF112" i="2"/>
  <c r="KF111" i="2"/>
  <c r="KF110" i="2"/>
  <c r="KF109" i="2"/>
  <c r="KF108" i="2"/>
  <c r="KF107" i="2"/>
  <c r="KF106" i="2"/>
  <c r="KF105" i="2"/>
  <c r="KF104" i="2"/>
  <c r="KF103" i="2"/>
  <c r="KF102" i="2"/>
  <c r="KF101" i="2"/>
  <c r="KF100" i="2"/>
  <c r="KF99" i="2"/>
  <c r="KF98" i="2"/>
  <c r="KF97" i="2"/>
  <c r="KF96" i="2"/>
  <c r="KF95" i="2"/>
  <c r="KF94" i="2"/>
  <c r="KF93" i="2"/>
  <c r="KF92" i="2"/>
  <c r="KF91" i="2"/>
  <c r="KF89" i="2"/>
  <c r="KF88" i="2"/>
  <c r="KF87" i="2"/>
  <c r="KF86" i="2"/>
  <c r="KF85" i="2"/>
  <c r="KF84" i="2"/>
  <c r="KF83" i="2"/>
  <c r="KF82" i="2"/>
  <c r="KF81" i="2"/>
  <c r="KF80" i="2"/>
  <c r="KF79" i="2"/>
  <c r="KF78" i="2"/>
  <c r="KF77" i="2"/>
  <c r="KF76" i="2"/>
  <c r="KF75" i="2"/>
  <c r="KF74" i="2"/>
  <c r="KF73" i="2"/>
  <c r="KF72" i="2"/>
  <c r="KF71" i="2"/>
  <c r="KF70" i="2"/>
  <c r="KF69" i="2"/>
  <c r="KF68" i="2"/>
  <c r="KF67" i="2"/>
  <c r="KF66" i="2"/>
  <c r="KF65" i="2"/>
  <c r="KF64" i="2"/>
  <c r="KF63" i="2"/>
  <c r="KF62" i="2"/>
  <c r="KF61" i="2"/>
  <c r="KF60" i="2"/>
  <c r="KF59" i="2"/>
  <c r="KF58" i="2"/>
  <c r="KF57" i="2"/>
  <c r="KF56" i="2"/>
  <c r="KF55" i="2"/>
  <c r="KF54" i="2"/>
  <c r="KF53" i="2"/>
  <c r="KF52" i="2"/>
  <c r="KF51" i="2"/>
  <c r="KF50" i="2"/>
  <c r="KF49" i="2"/>
  <c r="KF48" i="2"/>
  <c r="KF47" i="2"/>
  <c r="KF46" i="2"/>
  <c r="KF45" i="2"/>
  <c r="KF44" i="2"/>
  <c r="KF43" i="2"/>
  <c r="KF42" i="2"/>
  <c r="KF41" i="2"/>
  <c r="KF40" i="2"/>
  <c r="KF39" i="2"/>
  <c r="KF38" i="2"/>
  <c r="KF37" i="2"/>
  <c r="KF36" i="2"/>
  <c r="KF35" i="2"/>
  <c r="KF34" i="2"/>
  <c r="KF33" i="2"/>
  <c r="KF32" i="2"/>
  <c r="KF31" i="2"/>
  <c r="KF30" i="2"/>
  <c r="KF29" i="2"/>
  <c r="KF28" i="2"/>
  <c r="KF27" i="2"/>
  <c r="KF26" i="2"/>
  <c r="KF25" i="2"/>
  <c r="KF24" i="2"/>
  <c r="KF23" i="2"/>
  <c r="KF22" i="2"/>
  <c r="KF21" i="2"/>
  <c r="KF20" i="2"/>
  <c r="KF19" i="2"/>
  <c r="KF18" i="2"/>
  <c r="KF17" i="2"/>
  <c r="KF16" i="2"/>
  <c r="KF15" i="2"/>
  <c r="KF14" i="2"/>
  <c r="KF13" i="2"/>
  <c r="KF12" i="2"/>
  <c r="KF11" i="2"/>
  <c r="KF10" i="2"/>
  <c r="KD293" i="2"/>
  <c r="KD292" i="2"/>
  <c r="KD291" i="2"/>
  <c r="KD290" i="2"/>
  <c r="KD289" i="2"/>
  <c r="KD288" i="2"/>
  <c r="KD287" i="2"/>
  <c r="KD286" i="2"/>
  <c r="KD285" i="2"/>
  <c r="KD284" i="2"/>
  <c r="KD283" i="2"/>
  <c r="KD282" i="2"/>
  <c r="KD281" i="2"/>
  <c r="KD280" i="2"/>
  <c r="KD279" i="2"/>
  <c r="KD278" i="2"/>
  <c r="KD277" i="2"/>
  <c r="KD276" i="2"/>
  <c r="KD275" i="2"/>
  <c r="KD274" i="2"/>
  <c r="KD273" i="2"/>
  <c r="KD272" i="2"/>
  <c r="KD271" i="2"/>
  <c r="KD270" i="2"/>
  <c r="KD269" i="2"/>
  <c r="KD268" i="2"/>
  <c r="KD267" i="2"/>
  <c r="KD266" i="2"/>
  <c r="KD265" i="2"/>
  <c r="KD264" i="2"/>
  <c r="KD263" i="2"/>
  <c r="KD262" i="2"/>
  <c r="KD261" i="2"/>
  <c r="KD260" i="2"/>
  <c r="KD259" i="2"/>
  <c r="KD258" i="2"/>
  <c r="KD257" i="2"/>
  <c r="KD256" i="2"/>
  <c r="KD255" i="2"/>
  <c r="KD254" i="2"/>
  <c r="KD253" i="2"/>
  <c r="KD252" i="2"/>
  <c r="KD251" i="2"/>
  <c r="KD250" i="2"/>
  <c r="KD249" i="2"/>
  <c r="KD248" i="2"/>
  <c r="KD247" i="2"/>
  <c r="KD246" i="2"/>
  <c r="KD245" i="2"/>
  <c r="KD244" i="2"/>
  <c r="KD243" i="2"/>
  <c r="KD242" i="2"/>
  <c r="KD241" i="2"/>
  <c r="KD240" i="2"/>
  <c r="KD239" i="2"/>
  <c r="KD238" i="2"/>
  <c r="KD237" i="2"/>
  <c r="KD236" i="2"/>
  <c r="KD235" i="2"/>
  <c r="KD234" i="2"/>
  <c r="KD233" i="2"/>
  <c r="KD232" i="2"/>
  <c r="KD231" i="2"/>
  <c r="KD230" i="2"/>
  <c r="KD229" i="2"/>
  <c r="KD228" i="2"/>
  <c r="KD227" i="2"/>
  <c r="KD226" i="2"/>
  <c r="KD225" i="2"/>
  <c r="KD224" i="2"/>
  <c r="KD223" i="2"/>
  <c r="KD222" i="2"/>
  <c r="KD221" i="2"/>
  <c r="KD220" i="2"/>
  <c r="KD219" i="2"/>
  <c r="KD218" i="2"/>
  <c r="KD217" i="2"/>
  <c r="KD216" i="2"/>
  <c r="KD215" i="2"/>
  <c r="KD214" i="2"/>
  <c r="KD213" i="2"/>
  <c r="KD212" i="2"/>
  <c r="KD211" i="2"/>
  <c r="KD210" i="2"/>
  <c r="KD209" i="2"/>
  <c r="KD208" i="2"/>
  <c r="KD207" i="2"/>
  <c r="KD206" i="2"/>
  <c r="KD205" i="2"/>
  <c r="KD204" i="2"/>
  <c r="KD203" i="2"/>
  <c r="KD202" i="2"/>
  <c r="KD201" i="2"/>
  <c r="KD200" i="2"/>
  <c r="KD199" i="2"/>
  <c r="KD198" i="2"/>
  <c r="KD197" i="2"/>
  <c r="KD196" i="2"/>
  <c r="KD195" i="2"/>
  <c r="KD194" i="2"/>
  <c r="KD193" i="2"/>
  <c r="KD192" i="2"/>
  <c r="KD191" i="2"/>
  <c r="KD190" i="2"/>
  <c r="KD189" i="2"/>
  <c r="KD188" i="2"/>
  <c r="KD187" i="2"/>
  <c r="KD186" i="2"/>
  <c r="KD185" i="2"/>
  <c r="KD184" i="2"/>
  <c r="KD183" i="2"/>
  <c r="KD182" i="2"/>
  <c r="KD181" i="2"/>
  <c r="KD180" i="2"/>
  <c r="KD179" i="2"/>
  <c r="KD178" i="2"/>
  <c r="KD177" i="2"/>
  <c r="KD176" i="2"/>
  <c r="KD175" i="2"/>
  <c r="KD174" i="2"/>
  <c r="KD173" i="2"/>
  <c r="KD172" i="2"/>
  <c r="KD171" i="2"/>
  <c r="KD170" i="2"/>
  <c r="KD169" i="2"/>
  <c r="KD168" i="2"/>
  <c r="KD167" i="2"/>
  <c r="KD166" i="2"/>
  <c r="KD165" i="2"/>
  <c r="KD164" i="2"/>
  <c r="KD163" i="2"/>
  <c r="KD162" i="2"/>
  <c r="KD161" i="2"/>
  <c r="KD160" i="2"/>
  <c r="KD159" i="2"/>
  <c r="KD158" i="2"/>
  <c r="KD157" i="2"/>
  <c r="KD156" i="2"/>
  <c r="KD155" i="2"/>
  <c r="KD154" i="2"/>
  <c r="KD153" i="2"/>
  <c r="KD152" i="2"/>
  <c r="KD151" i="2"/>
  <c r="KD150" i="2"/>
  <c r="KD149" i="2"/>
  <c r="KD148" i="2"/>
  <c r="KD147" i="2"/>
  <c r="KD146" i="2"/>
  <c r="KD145" i="2"/>
  <c r="KD144" i="2"/>
  <c r="KD143" i="2"/>
  <c r="KD142" i="2"/>
  <c r="KD141" i="2"/>
  <c r="KD140" i="2"/>
  <c r="KD139" i="2"/>
  <c r="KD138" i="2"/>
  <c r="KD137" i="2"/>
  <c r="KD136" i="2"/>
  <c r="KD135" i="2"/>
  <c r="KD134" i="2"/>
  <c r="KD133" i="2"/>
  <c r="KD132" i="2"/>
  <c r="KD131" i="2"/>
  <c r="KD130" i="2"/>
  <c r="KD129" i="2"/>
  <c r="KD127" i="2"/>
  <c r="KD126" i="2"/>
  <c r="KD125" i="2"/>
  <c r="KD124" i="2"/>
  <c r="KD123" i="2"/>
  <c r="KD122" i="2"/>
  <c r="KD121" i="2"/>
  <c r="KD120" i="2"/>
  <c r="KD119" i="2"/>
  <c r="KD118" i="2"/>
  <c r="KD117" i="2"/>
  <c r="KD116" i="2"/>
  <c r="KD115" i="2"/>
  <c r="KD114" i="2"/>
  <c r="KD113" i="2"/>
  <c r="KD112" i="2"/>
  <c r="KD111" i="2"/>
  <c r="KD110" i="2"/>
  <c r="KD109" i="2"/>
  <c r="KD108" i="2"/>
  <c r="KD107" i="2"/>
  <c r="KD106" i="2"/>
  <c r="KD105" i="2"/>
  <c r="KD104" i="2"/>
  <c r="KD103" i="2"/>
  <c r="KD102" i="2"/>
  <c r="KD101" i="2"/>
  <c r="KD100" i="2"/>
  <c r="KD99" i="2"/>
  <c r="KD98" i="2"/>
  <c r="KD97" i="2"/>
  <c r="KD96" i="2"/>
  <c r="KD95" i="2"/>
  <c r="KD94" i="2"/>
  <c r="KD93" i="2"/>
  <c r="KD92" i="2"/>
  <c r="KD91" i="2"/>
  <c r="KD89" i="2"/>
  <c r="KD88" i="2"/>
  <c r="KD87" i="2"/>
  <c r="KD86" i="2"/>
  <c r="KD85" i="2"/>
  <c r="KD84" i="2"/>
  <c r="KD83" i="2"/>
  <c r="KD82" i="2"/>
  <c r="KD81" i="2"/>
  <c r="KD80" i="2"/>
  <c r="KD79" i="2"/>
  <c r="KD78" i="2"/>
  <c r="KD77" i="2"/>
  <c r="KD76" i="2"/>
  <c r="KD75" i="2"/>
  <c r="KD74" i="2"/>
  <c r="KD73" i="2"/>
  <c r="KD72" i="2"/>
  <c r="KD71" i="2"/>
  <c r="KD70" i="2"/>
  <c r="KD69" i="2"/>
  <c r="KD68" i="2"/>
  <c r="KD67" i="2"/>
  <c r="KD66" i="2"/>
  <c r="KD65" i="2"/>
  <c r="KD64" i="2"/>
  <c r="KD63" i="2"/>
  <c r="KD62" i="2"/>
  <c r="KD61" i="2"/>
  <c r="KD60" i="2"/>
  <c r="KD59" i="2"/>
  <c r="KD58" i="2"/>
  <c r="KD57" i="2"/>
  <c r="KD56" i="2"/>
  <c r="KD55" i="2"/>
  <c r="KD54" i="2"/>
  <c r="KD53" i="2"/>
  <c r="KD52" i="2"/>
  <c r="KD51" i="2"/>
  <c r="KD50" i="2"/>
  <c r="KD49" i="2"/>
  <c r="KD48" i="2"/>
  <c r="KD47" i="2"/>
  <c r="KD46" i="2"/>
  <c r="KD45" i="2"/>
  <c r="KD44" i="2"/>
  <c r="KD43" i="2"/>
  <c r="KD42" i="2"/>
  <c r="KD41" i="2"/>
  <c r="KD40" i="2"/>
  <c r="KD39" i="2"/>
  <c r="KD38" i="2"/>
  <c r="KD37" i="2"/>
  <c r="KD36" i="2"/>
  <c r="KD35" i="2"/>
  <c r="KD34" i="2"/>
  <c r="KD33" i="2"/>
  <c r="KD32" i="2"/>
  <c r="KD31" i="2"/>
  <c r="KD30" i="2"/>
  <c r="KD29" i="2"/>
  <c r="KD28" i="2"/>
  <c r="KD27" i="2"/>
  <c r="KD26" i="2"/>
  <c r="KD25" i="2"/>
  <c r="KD24" i="2"/>
  <c r="KD23" i="2"/>
  <c r="KD22" i="2"/>
  <c r="KD21" i="2"/>
  <c r="KD20" i="2"/>
  <c r="KD19" i="2"/>
  <c r="KD18" i="2"/>
  <c r="KD17" i="2"/>
  <c r="KD16" i="2"/>
  <c r="KD15" i="2"/>
  <c r="KD14" i="2"/>
  <c r="KD13" i="2"/>
  <c r="KD12" i="2"/>
  <c r="KD11" i="2"/>
  <c r="KD10" i="2"/>
  <c r="KB293" i="2"/>
  <c r="KB292" i="2"/>
  <c r="KB291" i="2"/>
  <c r="KB290" i="2"/>
  <c r="KB289" i="2"/>
  <c r="KB288" i="2"/>
  <c r="KB287" i="2"/>
  <c r="KB286" i="2"/>
  <c r="KB285" i="2"/>
  <c r="KB284" i="2"/>
  <c r="KB283" i="2"/>
  <c r="KB282" i="2"/>
  <c r="KB281" i="2"/>
  <c r="KB280" i="2"/>
  <c r="KB279" i="2"/>
  <c r="KB278" i="2"/>
  <c r="KB277" i="2"/>
  <c r="KB276" i="2"/>
  <c r="KB275" i="2"/>
  <c r="KB274" i="2"/>
  <c r="KB273" i="2"/>
  <c r="KB272" i="2"/>
  <c r="KB271" i="2"/>
  <c r="KB270" i="2"/>
  <c r="KB269" i="2"/>
  <c r="KB268" i="2"/>
  <c r="KB267" i="2"/>
  <c r="KB266" i="2"/>
  <c r="KB265" i="2"/>
  <c r="KB264" i="2"/>
  <c r="KB263" i="2"/>
  <c r="KB262" i="2"/>
  <c r="KB261" i="2"/>
  <c r="KB260" i="2"/>
  <c r="KB259" i="2"/>
  <c r="KB258" i="2"/>
  <c r="KB257" i="2"/>
  <c r="KB256" i="2"/>
  <c r="KB255" i="2"/>
  <c r="KB254" i="2"/>
  <c r="KB253" i="2"/>
  <c r="KB252" i="2"/>
  <c r="KB251" i="2"/>
  <c r="KB250" i="2"/>
  <c r="KB249" i="2"/>
  <c r="KB248" i="2"/>
  <c r="KB247" i="2"/>
  <c r="KB246" i="2"/>
  <c r="KB245" i="2"/>
  <c r="KB244" i="2"/>
  <c r="KB243" i="2"/>
  <c r="KB242" i="2"/>
  <c r="KB241" i="2"/>
  <c r="KB240" i="2"/>
  <c r="KB239" i="2"/>
  <c r="KB238" i="2"/>
  <c r="KB237" i="2"/>
  <c r="KB236" i="2"/>
  <c r="KB235" i="2"/>
  <c r="KB234" i="2"/>
  <c r="KB233" i="2"/>
  <c r="KB232" i="2"/>
  <c r="KB231" i="2"/>
  <c r="KB230" i="2"/>
  <c r="KB229" i="2"/>
  <c r="KB228" i="2"/>
  <c r="KB227" i="2"/>
  <c r="KB226" i="2"/>
  <c r="KB225" i="2"/>
  <c r="KB224" i="2"/>
  <c r="KB223" i="2"/>
  <c r="KB222" i="2"/>
  <c r="KB221" i="2"/>
  <c r="KB220" i="2"/>
  <c r="KB219" i="2"/>
  <c r="KB218" i="2"/>
  <c r="KB217" i="2"/>
  <c r="KB216" i="2"/>
  <c r="KB215" i="2"/>
  <c r="KB214" i="2"/>
  <c r="KB213" i="2"/>
  <c r="KB212" i="2"/>
  <c r="KB211" i="2"/>
  <c r="KB210" i="2"/>
  <c r="KB209" i="2"/>
  <c r="KB208" i="2"/>
  <c r="KB207" i="2"/>
  <c r="KB206" i="2"/>
  <c r="KB205" i="2"/>
  <c r="KB204" i="2"/>
  <c r="KB203" i="2"/>
  <c r="KB202" i="2"/>
  <c r="KB201" i="2"/>
  <c r="KB200" i="2"/>
  <c r="KB199" i="2"/>
  <c r="KB198" i="2"/>
  <c r="KB197" i="2"/>
  <c r="KB196" i="2"/>
  <c r="KB195" i="2"/>
  <c r="KB194" i="2"/>
  <c r="KB193" i="2"/>
  <c r="KB192" i="2"/>
  <c r="KB191" i="2"/>
  <c r="KB190" i="2"/>
  <c r="KB189" i="2"/>
  <c r="KB188" i="2"/>
  <c r="KB187" i="2"/>
  <c r="KB186" i="2"/>
  <c r="KB185" i="2"/>
  <c r="KB184" i="2"/>
  <c r="KB183" i="2"/>
  <c r="KB182" i="2"/>
  <c r="KB181" i="2"/>
  <c r="KB180" i="2"/>
  <c r="KB179" i="2"/>
  <c r="KB178" i="2"/>
  <c r="KB177" i="2"/>
  <c r="KB176" i="2"/>
  <c r="KB175" i="2"/>
  <c r="KB174" i="2"/>
  <c r="KB173" i="2"/>
  <c r="KB172" i="2"/>
  <c r="KB171" i="2"/>
  <c r="KB170" i="2"/>
  <c r="KB169" i="2"/>
  <c r="KB168" i="2"/>
  <c r="KB167" i="2"/>
  <c r="KB166" i="2"/>
  <c r="KB165" i="2"/>
  <c r="KB164" i="2"/>
  <c r="KB163" i="2"/>
  <c r="KB162" i="2"/>
  <c r="KB161" i="2"/>
  <c r="KB160" i="2"/>
  <c r="KB159" i="2"/>
  <c r="KB158" i="2"/>
  <c r="KB157" i="2"/>
  <c r="KB156" i="2"/>
  <c r="KB155" i="2"/>
  <c r="KB154" i="2"/>
  <c r="KB153" i="2"/>
  <c r="KB152" i="2"/>
  <c r="KB151" i="2"/>
  <c r="KB150" i="2"/>
  <c r="KB149" i="2"/>
  <c r="KB148" i="2"/>
  <c r="KB147" i="2"/>
  <c r="KB146" i="2"/>
  <c r="KB145" i="2"/>
  <c r="KB144" i="2"/>
  <c r="KB143" i="2"/>
  <c r="KB142" i="2"/>
  <c r="KB141" i="2"/>
  <c r="KB140" i="2"/>
  <c r="KB139" i="2"/>
  <c r="KB138" i="2"/>
  <c r="KB137" i="2"/>
  <c r="KB136" i="2"/>
  <c r="KB135" i="2"/>
  <c r="KB134" i="2"/>
  <c r="KB133" i="2"/>
  <c r="KB132" i="2"/>
  <c r="KB131" i="2"/>
  <c r="KB130" i="2"/>
  <c r="KB129" i="2"/>
  <c r="KB127" i="2"/>
  <c r="KB126" i="2"/>
  <c r="KB125" i="2"/>
  <c r="KB124" i="2"/>
  <c r="KB123" i="2"/>
  <c r="KB122" i="2"/>
  <c r="KB121" i="2"/>
  <c r="KB120" i="2"/>
  <c r="KB119" i="2"/>
  <c r="KB118" i="2"/>
  <c r="KB117" i="2"/>
  <c r="KB116" i="2"/>
  <c r="KB115" i="2"/>
  <c r="KB114" i="2"/>
  <c r="KB113" i="2"/>
  <c r="KB112" i="2"/>
  <c r="KB111" i="2"/>
  <c r="KB110" i="2"/>
  <c r="KB109" i="2"/>
  <c r="KB108" i="2"/>
  <c r="KB107" i="2"/>
  <c r="KB106" i="2"/>
  <c r="KB105" i="2"/>
  <c r="KB104" i="2"/>
  <c r="KB103" i="2"/>
  <c r="KB102" i="2"/>
  <c r="KB101" i="2"/>
  <c r="KB100" i="2"/>
  <c r="KB99" i="2"/>
  <c r="KB98" i="2"/>
  <c r="KB97" i="2"/>
  <c r="KB96" i="2"/>
  <c r="KB94" i="2"/>
  <c r="KB93" i="2"/>
  <c r="KB92" i="2"/>
  <c r="KB91" i="2"/>
  <c r="KB89" i="2"/>
  <c r="KB88" i="2"/>
  <c r="KB87" i="2"/>
  <c r="KB86" i="2"/>
  <c r="KB85" i="2"/>
  <c r="KB84" i="2"/>
  <c r="KB83" i="2"/>
  <c r="KB82" i="2"/>
  <c r="KB81" i="2"/>
  <c r="KB80" i="2"/>
  <c r="KB79" i="2"/>
  <c r="KB78" i="2"/>
  <c r="KB77" i="2"/>
  <c r="KB76" i="2"/>
  <c r="KB75" i="2"/>
  <c r="KB74" i="2"/>
  <c r="KB73" i="2"/>
  <c r="KB72" i="2"/>
  <c r="KB71" i="2"/>
  <c r="KB70" i="2"/>
  <c r="KB69" i="2"/>
  <c r="KB68" i="2"/>
  <c r="KB67" i="2"/>
  <c r="KB66" i="2"/>
  <c r="KB65" i="2"/>
  <c r="KB64" i="2"/>
  <c r="KB63" i="2"/>
  <c r="KB62" i="2"/>
  <c r="KB61" i="2"/>
  <c r="KB60" i="2"/>
  <c r="KB59" i="2"/>
  <c r="KB58" i="2"/>
  <c r="KB57" i="2"/>
  <c r="KB56" i="2"/>
  <c r="KB55" i="2"/>
  <c r="KB54" i="2"/>
  <c r="KB53" i="2"/>
  <c r="KB52" i="2"/>
  <c r="KB51" i="2"/>
  <c r="KB50" i="2"/>
  <c r="KB49" i="2"/>
  <c r="KB48" i="2"/>
  <c r="KB47" i="2"/>
  <c r="KB46" i="2"/>
  <c r="KB45" i="2"/>
  <c r="KB44" i="2"/>
  <c r="KB43" i="2"/>
  <c r="KB42" i="2"/>
  <c r="KB41" i="2"/>
  <c r="KB40" i="2"/>
  <c r="KB39" i="2"/>
  <c r="KB38" i="2"/>
  <c r="KB37" i="2"/>
  <c r="KB36" i="2"/>
  <c r="KB35" i="2"/>
  <c r="KB34" i="2"/>
  <c r="KB33" i="2"/>
  <c r="KB32" i="2"/>
  <c r="KB31" i="2"/>
  <c r="KB30" i="2"/>
  <c r="KB29" i="2"/>
  <c r="KB28" i="2"/>
  <c r="KB27" i="2"/>
  <c r="KB26" i="2"/>
  <c r="KB25" i="2"/>
  <c r="KB24" i="2"/>
  <c r="KB23" i="2"/>
  <c r="KB22" i="2"/>
  <c r="KB21" i="2"/>
  <c r="KB20" i="2"/>
  <c r="KB19" i="2"/>
  <c r="KB18" i="2"/>
  <c r="KB17" i="2"/>
  <c r="KB16" i="2"/>
  <c r="KB15" i="2"/>
  <c r="KB14" i="2"/>
  <c r="KB13" i="2"/>
  <c r="KB12" i="2"/>
  <c r="KB11" i="2"/>
  <c r="KB10" i="2"/>
  <c r="JZ293" i="2"/>
  <c r="JZ291" i="2"/>
  <c r="JZ290" i="2"/>
  <c r="JZ289" i="2"/>
  <c r="JZ288" i="2"/>
  <c r="JZ287" i="2"/>
  <c r="JZ286" i="2"/>
  <c r="JZ285" i="2"/>
  <c r="JZ284" i="2"/>
  <c r="JZ283" i="2"/>
  <c r="JZ282" i="2"/>
  <c r="JZ281" i="2"/>
  <c r="JZ280" i="2"/>
  <c r="JZ279" i="2"/>
  <c r="JZ278" i="2"/>
  <c r="JZ277" i="2"/>
  <c r="JZ274" i="2"/>
  <c r="JZ273" i="2"/>
  <c r="JZ272" i="2"/>
  <c r="JZ271" i="2"/>
  <c r="JZ268" i="2"/>
  <c r="JZ267" i="2"/>
  <c r="JZ266" i="2"/>
  <c r="JZ265" i="2"/>
  <c r="JZ264" i="2"/>
  <c r="JZ260" i="2"/>
  <c r="JZ259" i="2"/>
  <c r="JZ258" i="2"/>
  <c r="JZ257" i="2"/>
  <c r="JZ256" i="2"/>
  <c r="JZ255" i="2"/>
  <c r="JZ254" i="2"/>
  <c r="JZ253" i="2"/>
  <c r="JZ250" i="2"/>
  <c r="JZ249" i="2"/>
  <c r="JZ248" i="2"/>
  <c r="JZ246" i="2"/>
  <c r="JZ245" i="2"/>
  <c r="JZ243" i="2"/>
  <c r="JZ242" i="2"/>
  <c r="JZ241" i="2"/>
  <c r="JZ240" i="2"/>
  <c r="JZ239" i="2"/>
  <c r="JZ237" i="2"/>
  <c r="JZ236" i="2"/>
  <c r="JZ234" i="2"/>
  <c r="JZ233" i="2"/>
  <c r="JZ232" i="2"/>
  <c r="JZ230" i="2"/>
  <c r="JZ228" i="2"/>
  <c r="JZ227" i="2"/>
  <c r="JZ226" i="2"/>
  <c r="JZ222" i="2"/>
  <c r="JZ221" i="2"/>
  <c r="JZ220" i="2"/>
  <c r="JZ218" i="2"/>
  <c r="JZ217" i="2"/>
  <c r="JZ216" i="2"/>
  <c r="JZ215" i="2"/>
  <c r="JZ214" i="2"/>
  <c r="JZ213" i="2"/>
  <c r="JZ212" i="2"/>
  <c r="JZ211" i="2"/>
  <c r="JZ210" i="2"/>
  <c r="JZ209" i="2"/>
  <c r="JZ207" i="2"/>
  <c r="JZ204" i="2"/>
  <c r="JZ203" i="2"/>
  <c r="JZ202" i="2"/>
  <c r="JZ200" i="2"/>
  <c r="JZ199" i="2"/>
  <c r="JZ198" i="2"/>
  <c r="JZ197" i="2"/>
  <c r="JZ196" i="2"/>
  <c r="JZ195" i="2"/>
  <c r="JZ194" i="2"/>
  <c r="JZ192" i="2"/>
  <c r="JZ191" i="2"/>
  <c r="JZ190" i="2"/>
  <c r="JZ189" i="2"/>
  <c r="JZ188" i="2"/>
  <c r="JZ187" i="2"/>
  <c r="JZ186" i="2"/>
  <c r="JZ185" i="2"/>
  <c r="JZ183" i="2"/>
  <c r="JZ182" i="2"/>
  <c r="JZ181" i="2"/>
  <c r="JZ180" i="2"/>
  <c r="JZ179" i="2"/>
  <c r="JZ178" i="2"/>
  <c r="JZ177" i="2"/>
  <c r="JZ176" i="2"/>
  <c r="JZ175" i="2"/>
  <c r="JZ174" i="2"/>
  <c r="JZ173" i="2"/>
  <c r="JZ172" i="2"/>
  <c r="JZ171" i="2"/>
  <c r="JZ170" i="2"/>
  <c r="JZ169" i="2"/>
  <c r="JZ168" i="2"/>
  <c r="JZ167" i="2"/>
  <c r="JZ166" i="2"/>
  <c r="JZ165" i="2"/>
  <c r="JZ164" i="2"/>
  <c r="JZ163" i="2"/>
  <c r="JZ162" i="2"/>
  <c r="JZ161" i="2"/>
  <c r="JZ160" i="2"/>
  <c r="JZ159" i="2"/>
  <c r="JZ157" i="2"/>
  <c r="JZ156" i="2"/>
  <c r="JZ155" i="2"/>
  <c r="JZ154" i="2"/>
  <c r="JZ153" i="2"/>
  <c r="JZ151" i="2"/>
  <c r="JZ150" i="2"/>
  <c r="JZ149" i="2"/>
  <c r="JZ148" i="2"/>
  <c r="JZ147" i="2"/>
  <c r="JZ146" i="2"/>
  <c r="JZ145" i="2"/>
  <c r="JZ144" i="2"/>
  <c r="JZ143" i="2"/>
  <c r="JZ142" i="2"/>
  <c r="JZ141" i="2"/>
  <c r="JZ140" i="2"/>
  <c r="JZ139" i="2"/>
  <c r="JZ138" i="2"/>
  <c r="JZ137" i="2"/>
  <c r="JZ136" i="2"/>
  <c r="JZ135" i="2"/>
  <c r="JZ134" i="2"/>
  <c r="JZ133" i="2"/>
  <c r="JZ132" i="2"/>
  <c r="JZ131" i="2"/>
  <c r="JZ130" i="2"/>
  <c r="JZ129" i="2"/>
  <c r="JZ127" i="2"/>
  <c r="JZ126" i="2"/>
  <c r="JZ125" i="2"/>
  <c r="JZ124" i="2"/>
  <c r="JZ123" i="2"/>
  <c r="JZ122" i="2"/>
  <c r="JZ121" i="2"/>
  <c r="JZ118" i="2"/>
  <c r="JZ117" i="2"/>
  <c r="JZ116" i="2"/>
  <c r="JZ115" i="2"/>
  <c r="JZ114" i="2"/>
  <c r="JZ113" i="2"/>
  <c r="JZ112" i="2"/>
  <c r="JZ111" i="2"/>
  <c r="JZ110" i="2"/>
  <c r="JZ109" i="2"/>
  <c r="JZ108" i="2"/>
  <c r="JZ106" i="2"/>
  <c r="JZ105" i="2"/>
  <c r="JZ104" i="2"/>
  <c r="JZ103" i="2"/>
  <c r="JZ102" i="2"/>
  <c r="JZ101" i="2"/>
  <c r="JZ100" i="2"/>
  <c r="JZ97" i="2"/>
  <c r="JZ96" i="2"/>
  <c r="JZ94" i="2"/>
  <c r="JZ93" i="2"/>
  <c r="JZ92" i="2"/>
  <c r="JZ91" i="2"/>
  <c r="JZ89" i="2"/>
  <c r="JZ88" i="2"/>
  <c r="JZ87" i="2"/>
  <c r="JZ85" i="2"/>
  <c r="JZ84" i="2"/>
  <c r="JZ83" i="2"/>
  <c r="JZ82" i="2"/>
  <c r="JZ80" i="2"/>
  <c r="JZ76" i="2"/>
  <c r="JZ75" i="2"/>
  <c r="JZ74" i="2"/>
  <c r="JZ73" i="2"/>
  <c r="JZ72" i="2"/>
  <c r="JZ70" i="2"/>
  <c r="JZ69" i="2"/>
  <c r="JZ68" i="2"/>
  <c r="JZ66" i="2"/>
  <c r="JZ64" i="2"/>
  <c r="JZ63" i="2"/>
  <c r="JZ62" i="2"/>
  <c r="JZ61" i="2"/>
  <c r="JZ58" i="2"/>
  <c r="JZ57" i="2"/>
  <c r="JZ56" i="2"/>
  <c r="JZ53" i="2"/>
  <c r="JZ51" i="2"/>
  <c r="JZ50" i="2"/>
  <c r="JZ49" i="2"/>
  <c r="JZ46" i="2"/>
  <c r="JZ45" i="2"/>
  <c r="JZ44" i="2"/>
  <c r="JZ43" i="2"/>
  <c r="JZ42" i="2"/>
  <c r="JZ40" i="2"/>
  <c r="JZ39" i="2"/>
  <c r="JZ38" i="2"/>
  <c r="JZ37" i="2"/>
  <c r="JZ36" i="2"/>
  <c r="JZ35" i="2"/>
  <c r="JZ34" i="2"/>
  <c r="JZ33" i="2"/>
  <c r="JZ32" i="2"/>
  <c r="JZ31" i="2"/>
  <c r="JZ29" i="2"/>
  <c r="JZ28" i="2"/>
  <c r="JZ27" i="2"/>
  <c r="JZ26" i="2"/>
  <c r="JZ25" i="2"/>
  <c r="JZ24" i="2"/>
  <c r="JZ23" i="2"/>
  <c r="JZ22" i="2"/>
  <c r="JZ21" i="2"/>
  <c r="JZ20" i="2"/>
  <c r="JZ19" i="2"/>
  <c r="JZ18" i="2"/>
  <c r="JZ17" i="2"/>
  <c r="JZ16" i="2"/>
  <c r="JZ15" i="2"/>
  <c r="JZ14" i="2"/>
  <c r="JZ13" i="2"/>
  <c r="JZ12" i="2"/>
  <c r="JZ11" i="2"/>
  <c r="JZ10" i="2"/>
  <c r="JP293" i="2"/>
  <c r="JP292" i="2"/>
  <c r="JP291" i="2"/>
  <c r="JP290" i="2"/>
  <c r="JP289" i="2"/>
  <c r="JP288" i="2"/>
  <c r="JP287" i="2"/>
  <c r="JP286" i="2"/>
  <c r="JP285" i="2"/>
  <c r="JP284" i="2"/>
  <c r="JP283" i="2"/>
  <c r="JP282" i="2"/>
  <c r="JP281" i="2"/>
  <c r="JP280" i="2"/>
  <c r="JP279" i="2"/>
  <c r="JP278" i="2"/>
  <c r="JP277" i="2"/>
  <c r="JP276" i="2"/>
  <c r="JP275" i="2"/>
  <c r="JP274" i="2"/>
  <c r="JP273" i="2"/>
  <c r="JP272" i="2"/>
  <c r="JP271" i="2"/>
  <c r="JP270" i="2"/>
  <c r="JP269" i="2"/>
  <c r="JP268" i="2"/>
  <c r="JP267" i="2"/>
  <c r="JP266" i="2"/>
  <c r="JP265" i="2"/>
  <c r="JP264" i="2"/>
  <c r="JP263" i="2"/>
  <c r="JP262" i="2"/>
  <c r="JP261" i="2"/>
  <c r="JP260" i="2"/>
  <c r="JP259" i="2"/>
  <c r="JP258" i="2"/>
  <c r="JP257" i="2"/>
  <c r="JP256" i="2"/>
  <c r="JP255" i="2"/>
  <c r="JP254" i="2"/>
  <c r="JP253" i="2"/>
  <c r="JP252" i="2"/>
  <c r="JP251" i="2"/>
  <c r="JP250" i="2"/>
  <c r="JP249" i="2"/>
  <c r="JP248" i="2"/>
  <c r="JP247" i="2"/>
  <c r="JP246" i="2"/>
  <c r="JP245" i="2"/>
  <c r="JP244" i="2"/>
  <c r="JP243" i="2"/>
  <c r="JP242" i="2"/>
  <c r="JP241" i="2"/>
  <c r="JP240" i="2"/>
  <c r="JP239" i="2"/>
  <c r="JP238" i="2"/>
  <c r="JP237" i="2"/>
  <c r="JP236" i="2"/>
  <c r="JP235" i="2"/>
  <c r="JP234" i="2"/>
  <c r="JP233" i="2"/>
  <c r="JP232" i="2"/>
  <c r="JP231" i="2"/>
  <c r="JP230" i="2"/>
  <c r="JP229" i="2"/>
  <c r="JP228" i="2"/>
  <c r="JP227" i="2"/>
  <c r="JP226" i="2"/>
  <c r="JP225" i="2"/>
  <c r="JP224" i="2"/>
  <c r="JP223" i="2"/>
  <c r="JP222" i="2"/>
  <c r="JP221" i="2"/>
  <c r="JP220" i="2"/>
  <c r="JP219" i="2"/>
  <c r="JP218" i="2"/>
  <c r="JP217" i="2"/>
  <c r="JP216" i="2"/>
  <c r="JP215" i="2"/>
  <c r="JP214" i="2"/>
  <c r="JP213" i="2"/>
  <c r="JP212" i="2"/>
  <c r="JP211" i="2"/>
  <c r="JP210" i="2"/>
  <c r="JP209" i="2"/>
  <c r="JP208" i="2"/>
  <c r="JP207" i="2"/>
  <c r="JP206" i="2"/>
  <c r="JP205" i="2"/>
  <c r="JP204" i="2"/>
  <c r="JP203" i="2"/>
  <c r="JP202" i="2"/>
  <c r="JP201" i="2"/>
  <c r="JP200" i="2"/>
  <c r="JP199" i="2"/>
  <c r="JP198" i="2"/>
  <c r="JP197" i="2"/>
  <c r="JP196" i="2"/>
  <c r="JP195" i="2"/>
  <c r="JP194" i="2"/>
  <c r="JP193" i="2"/>
  <c r="JP192" i="2"/>
  <c r="JP191" i="2"/>
  <c r="JP190" i="2"/>
  <c r="JP189" i="2"/>
  <c r="JP188" i="2"/>
  <c r="JP187" i="2"/>
  <c r="JP186" i="2"/>
  <c r="JP185" i="2"/>
  <c r="JP184" i="2"/>
  <c r="JP183" i="2"/>
  <c r="JP182" i="2"/>
  <c r="JP181" i="2"/>
  <c r="JP180" i="2"/>
  <c r="JP179" i="2"/>
  <c r="JP178" i="2"/>
  <c r="JP177" i="2"/>
  <c r="JP176" i="2"/>
  <c r="JP175" i="2"/>
  <c r="JP174" i="2"/>
  <c r="JP173" i="2"/>
  <c r="JP172" i="2"/>
  <c r="JP171" i="2"/>
  <c r="JP170" i="2"/>
  <c r="JP169" i="2"/>
  <c r="JP168" i="2"/>
  <c r="JP167" i="2"/>
  <c r="JP166" i="2"/>
  <c r="JP165" i="2"/>
  <c r="JP164" i="2"/>
  <c r="JP163" i="2"/>
  <c r="JP162" i="2"/>
  <c r="JP161" i="2"/>
  <c r="JP160" i="2"/>
  <c r="JP159" i="2"/>
  <c r="JP158" i="2"/>
  <c r="JP157" i="2"/>
  <c r="JP156" i="2"/>
  <c r="JP155" i="2"/>
  <c r="JP154" i="2"/>
  <c r="JP153" i="2"/>
  <c r="JP152" i="2"/>
  <c r="JP151" i="2"/>
  <c r="JP150" i="2"/>
  <c r="JP149" i="2"/>
  <c r="JP148" i="2"/>
  <c r="JP147" i="2"/>
  <c r="JP146" i="2"/>
  <c r="JP145" i="2"/>
  <c r="JP144" i="2"/>
  <c r="JP143" i="2"/>
  <c r="JP142" i="2"/>
  <c r="JP141" i="2"/>
  <c r="JP140" i="2"/>
  <c r="JP139" i="2"/>
  <c r="JP138" i="2"/>
  <c r="JP137" i="2"/>
  <c r="JP136" i="2"/>
  <c r="JP135" i="2"/>
  <c r="JP134" i="2"/>
  <c r="JP133" i="2"/>
  <c r="JP132" i="2"/>
  <c r="JP131" i="2"/>
  <c r="JP130" i="2"/>
  <c r="JP129" i="2"/>
  <c r="JP128" i="2"/>
  <c r="JP127" i="2"/>
  <c r="JP126" i="2"/>
  <c r="JP125" i="2"/>
  <c r="JP124" i="2"/>
  <c r="JP123" i="2"/>
  <c r="JP122" i="2"/>
  <c r="JP121" i="2"/>
  <c r="JP120" i="2"/>
  <c r="JP119" i="2"/>
  <c r="JP118" i="2"/>
  <c r="JP117" i="2"/>
  <c r="JP116" i="2"/>
  <c r="JP115" i="2"/>
  <c r="JP114" i="2"/>
  <c r="JP113" i="2"/>
  <c r="JP112" i="2"/>
  <c r="JP111" i="2"/>
  <c r="JP110" i="2"/>
  <c r="JP109" i="2"/>
  <c r="JP108" i="2"/>
  <c r="JP107" i="2"/>
  <c r="JP106" i="2"/>
  <c r="JP105" i="2"/>
  <c r="JP104" i="2"/>
  <c r="JP103" i="2"/>
  <c r="JP102" i="2"/>
  <c r="JP101" i="2"/>
  <c r="JP100" i="2"/>
  <c r="JP99" i="2"/>
  <c r="JP98" i="2"/>
  <c r="JP97" i="2"/>
  <c r="JP96" i="2"/>
  <c r="JP95" i="2"/>
  <c r="JP94" i="2"/>
  <c r="JP93" i="2"/>
  <c r="JP92" i="2"/>
  <c r="JP91" i="2"/>
  <c r="JP90" i="2"/>
  <c r="JP89" i="2"/>
  <c r="JP88" i="2"/>
  <c r="JP87" i="2"/>
  <c r="JP86" i="2"/>
  <c r="JP85" i="2"/>
  <c r="JP84" i="2"/>
  <c r="JP83" i="2"/>
  <c r="JP82" i="2"/>
  <c r="JP81" i="2"/>
  <c r="JP80" i="2"/>
  <c r="JP79" i="2"/>
  <c r="JP78" i="2"/>
  <c r="JP77" i="2"/>
  <c r="JP76" i="2"/>
  <c r="JP75" i="2"/>
  <c r="JP74" i="2"/>
  <c r="JP73" i="2"/>
  <c r="JP72" i="2"/>
  <c r="JP71" i="2"/>
  <c r="JP70" i="2"/>
  <c r="JP69" i="2"/>
  <c r="JP68" i="2"/>
  <c r="JP67" i="2"/>
  <c r="JP66" i="2"/>
  <c r="JP65" i="2"/>
  <c r="JP64" i="2"/>
  <c r="JP63" i="2"/>
  <c r="JP62" i="2"/>
  <c r="JP61" i="2"/>
  <c r="JP60" i="2"/>
  <c r="JP59" i="2"/>
  <c r="JP58" i="2"/>
  <c r="JP57" i="2"/>
  <c r="JP56" i="2"/>
  <c r="JP55" i="2"/>
  <c r="JP54" i="2"/>
  <c r="JP53" i="2"/>
  <c r="JP52" i="2"/>
  <c r="JP51" i="2"/>
  <c r="JP50" i="2"/>
  <c r="JP49" i="2"/>
  <c r="JP48" i="2"/>
  <c r="JP47" i="2"/>
  <c r="JP46" i="2"/>
  <c r="JP45" i="2"/>
  <c r="JP44" i="2"/>
  <c r="JP43" i="2"/>
  <c r="JP42" i="2"/>
  <c r="JP41" i="2"/>
  <c r="JP40" i="2"/>
  <c r="JP39" i="2"/>
  <c r="JP38" i="2"/>
  <c r="JP37" i="2"/>
  <c r="JP36" i="2"/>
  <c r="JP35" i="2"/>
  <c r="JP34" i="2"/>
  <c r="JP33" i="2"/>
  <c r="JP32" i="2"/>
  <c r="JP31" i="2"/>
  <c r="JP30" i="2"/>
  <c r="JP29" i="2"/>
  <c r="JP28" i="2"/>
  <c r="JP27" i="2"/>
  <c r="JP26" i="2"/>
  <c r="JP25" i="2"/>
  <c r="JP24" i="2"/>
  <c r="JP23" i="2"/>
  <c r="JP22" i="2"/>
  <c r="JP21" i="2"/>
  <c r="JP20" i="2"/>
  <c r="JP19" i="2"/>
  <c r="JP18" i="2"/>
  <c r="JP17" i="2"/>
  <c r="JP16" i="2"/>
  <c r="JP15" i="2"/>
  <c r="JP14" i="2"/>
  <c r="JP13" i="2"/>
  <c r="JP12" i="2"/>
  <c r="JP11" i="2"/>
  <c r="JP10" i="2"/>
  <c r="JM293" i="2"/>
  <c r="JM289" i="2"/>
  <c r="JM288" i="2"/>
  <c r="JM287" i="2"/>
  <c r="JM286" i="2"/>
  <c r="JM285" i="2"/>
  <c r="JM284" i="2"/>
  <c r="JM283" i="2"/>
  <c r="JM282" i="2"/>
  <c r="JM281" i="2"/>
  <c r="JM280" i="2"/>
  <c r="JM274" i="2"/>
  <c r="JM273" i="2"/>
  <c r="JM271" i="2"/>
  <c r="JM268" i="2"/>
  <c r="JM267" i="2"/>
  <c r="JM266" i="2"/>
  <c r="JM260" i="2"/>
  <c r="JM259" i="2"/>
  <c r="JM258" i="2"/>
  <c r="JM257" i="2"/>
  <c r="JM256" i="2"/>
  <c r="JM255" i="2"/>
  <c r="JM253" i="2"/>
  <c r="JM250" i="2"/>
  <c r="JM249" i="2"/>
  <c r="JM248" i="2"/>
  <c r="JM240" i="2"/>
  <c r="JM237" i="2"/>
  <c r="JM232" i="2"/>
  <c r="JM227" i="2"/>
  <c r="JM222" i="2"/>
  <c r="JM218" i="2"/>
  <c r="JM216" i="2"/>
  <c r="JM212" i="2"/>
  <c r="JM211" i="2"/>
  <c r="JM210" i="2"/>
  <c r="JM209" i="2"/>
  <c r="JM204" i="2"/>
  <c r="JM203" i="2"/>
  <c r="JM202" i="2"/>
  <c r="JM200" i="2"/>
  <c r="JM199" i="2"/>
  <c r="JM197" i="2"/>
  <c r="JM196" i="2"/>
  <c r="JM195" i="2"/>
  <c r="JM192" i="2"/>
  <c r="JM191" i="2"/>
  <c r="JM189" i="2"/>
  <c r="JM188" i="2"/>
  <c r="JM186" i="2"/>
  <c r="JM183" i="2"/>
  <c r="JM182" i="2"/>
  <c r="JM180" i="2"/>
  <c r="JM179" i="2"/>
  <c r="JM178" i="2"/>
  <c r="JM177" i="2"/>
  <c r="JM176" i="2"/>
  <c r="JM175" i="2"/>
  <c r="JM174" i="2"/>
  <c r="JM173" i="2"/>
  <c r="JM172" i="2"/>
  <c r="JM171" i="2"/>
  <c r="JM170" i="2"/>
  <c r="JM169" i="2"/>
  <c r="JM168" i="2"/>
  <c r="JM165" i="2"/>
  <c r="JM164" i="2"/>
  <c r="JM163" i="2"/>
  <c r="JM162" i="2"/>
  <c r="JM161" i="2"/>
  <c r="JM160" i="2"/>
  <c r="JM159" i="2"/>
  <c r="JM157" i="2"/>
  <c r="JM154" i="2"/>
  <c r="JM153" i="2"/>
  <c r="JM151" i="2"/>
  <c r="JM150" i="2"/>
  <c r="JM149" i="2"/>
  <c r="JM148" i="2"/>
  <c r="JM147" i="2"/>
  <c r="JM146" i="2"/>
  <c r="JM145" i="2"/>
  <c r="JM144" i="2"/>
  <c r="JM143" i="2"/>
  <c r="JM142" i="2"/>
  <c r="JM141" i="2"/>
  <c r="JM139" i="2"/>
  <c r="JM138" i="2"/>
  <c r="JM137" i="2"/>
  <c r="JM135" i="2"/>
  <c r="JM133" i="2"/>
  <c r="JM132" i="2"/>
  <c r="JM129" i="2"/>
  <c r="JM128" i="2"/>
  <c r="JM127" i="2"/>
  <c r="JM123" i="2"/>
  <c r="JM118" i="2"/>
  <c r="JM117" i="2"/>
  <c r="JM114" i="2"/>
  <c r="JM113" i="2"/>
  <c r="JM111" i="2"/>
  <c r="JM110" i="2"/>
  <c r="JM108" i="2"/>
  <c r="JM106" i="2"/>
  <c r="JM105" i="2"/>
  <c r="JM104" i="2"/>
  <c r="JM103" i="2"/>
  <c r="JM102" i="2"/>
  <c r="JM101" i="2"/>
  <c r="JM100" i="2"/>
  <c r="JM97" i="2"/>
  <c r="JM96" i="2"/>
  <c r="JM93" i="2"/>
  <c r="JM92" i="2"/>
  <c r="JM91" i="2"/>
  <c r="JM90" i="2"/>
  <c r="JM89" i="2"/>
  <c r="JM88" i="2"/>
  <c r="JM87" i="2"/>
  <c r="JM84" i="2"/>
  <c r="JM83" i="2"/>
  <c r="JM82" i="2"/>
  <c r="JM80" i="2"/>
  <c r="JM76" i="2"/>
  <c r="JM75" i="2"/>
  <c r="JM74" i="2"/>
  <c r="JM73" i="2"/>
  <c r="JM72" i="2"/>
  <c r="JM70" i="2"/>
  <c r="JM63" i="2"/>
  <c r="JM61" i="2"/>
  <c r="JM60" i="2"/>
  <c r="JM57" i="2"/>
  <c r="JM56" i="2"/>
  <c r="JM51" i="2"/>
  <c r="JM49" i="2"/>
  <c r="JM46" i="2"/>
  <c r="JM45" i="2"/>
  <c r="JM44" i="2"/>
  <c r="JM43" i="2"/>
  <c r="JM42" i="2"/>
  <c r="JM39" i="2"/>
  <c r="JM38" i="2"/>
  <c r="JM37" i="2"/>
  <c r="JM36" i="2"/>
  <c r="JM35" i="2"/>
  <c r="JM34" i="2"/>
  <c r="JM33" i="2"/>
  <c r="JM31" i="2"/>
  <c r="JM29" i="2"/>
  <c r="JM28" i="2"/>
  <c r="JM27" i="2"/>
  <c r="JM22" i="2"/>
  <c r="JM21" i="2"/>
  <c r="JM20" i="2"/>
  <c r="JM19" i="2"/>
  <c r="JM18" i="2"/>
  <c r="JM12" i="2"/>
  <c r="JM11" i="2"/>
  <c r="JM10" i="2"/>
  <c r="JC293" i="2"/>
  <c r="JC292" i="2"/>
  <c r="JC291" i="2"/>
  <c r="JC290" i="2"/>
  <c r="JC289" i="2"/>
  <c r="JC288" i="2"/>
  <c r="JC287" i="2"/>
  <c r="JC286" i="2"/>
  <c r="JC285" i="2"/>
  <c r="JC284" i="2"/>
  <c r="JC283" i="2"/>
  <c r="JC282" i="2"/>
  <c r="JC281" i="2"/>
  <c r="JC280" i="2"/>
  <c r="JC279" i="2"/>
  <c r="JC278" i="2"/>
  <c r="JC277" i="2"/>
  <c r="JC276" i="2"/>
  <c r="JC275" i="2"/>
  <c r="JC274" i="2"/>
  <c r="JC273" i="2"/>
  <c r="JC272" i="2"/>
  <c r="JC271" i="2"/>
  <c r="JC270" i="2"/>
  <c r="JC269" i="2"/>
  <c r="JC268" i="2"/>
  <c r="JC267" i="2"/>
  <c r="JC266" i="2"/>
  <c r="JC265" i="2"/>
  <c r="JC264" i="2"/>
  <c r="JC263" i="2"/>
  <c r="JC262" i="2"/>
  <c r="JC261" i="2"/>
  <c r="JC260" i="2"/>
  <c r="JC259" i="2"/>
  <c r="JC258" i="2"/>
  <c r="JC257" i="2"/>
  <c r="JC256" i="2"/>
  <c r="JC255" i="2"/>
  <c r="JC254" i="2"/>
  <c r="JC253" i="2"/>
  <c r="JC252" i="2"/>
  <c r="JC251" i="2"/>
  <c r="JC250" i="2"/>
  <c r="JC249" i="2"/>
  <c r="JC248" i="2"/>
  <c r="JC247" i="2"/>
  <c r="JC246" i="2"/>
  <c r="JC245" i="2"/>
  <c r="JC244" i="2"/>
  <c r="JC243" i="2"/>
  <c r="JC242" i="2"/>
  <c r="JC241" i="2"/>
  <c r="JC240" i="2"/>
  <c r="JC239" i="2"/>
  <c r="JC238" i="2"/>
  <c r="JC237" i="2"/>
  <c r="JC236" i="2"/>
  <c r="JC235" i="2"/>
  <c r="JC234" i="2"/>
  <c r="JC233" i="2"/>
  <c r="JC232" i="2"/>
  <c r="JC231" i="2"/>
  <c r="JC230" i="2"/>
  <c r="JC229" i="2"/>
  <c r="JC228" i="2"/>
  <c r="JC227" i="2"/>
  <c r="JC226" i="2"/>
  <c r="JC225" i="2"/>
  <c r="JC224" i="2"/>
  <c r="JC223" i="2"/>
  <c r="JC222" i="2"/>
  <c r="JC221" i="2"/>
  <c r="JC220" i="2"/>
  <c r="JC219" i="2"/>
  <c r="JC218" i="2"/>
  <c r="JC217" i="2"/>
  <c r="JC216" i="2"/>
  <c r="JC215" i="2"/>
  <c r="JC214" i="2"/>
  <c r="JC213" i="2"/>
  <c r="JC212" i="2"/>
  <c r="JC211" i="2"/>
  <c r="JC210" i="2"/>
  <c r="JC209" i="2"/>
  <c r="JC208" i="2"/>
  <c r="JC207" i="2"/>
  <c r="JC206" i="2"/>
  <c r="JC205" i="2"/>
  <c r="JC204" i="2"/>
  <c r="JC203" i="2"/>
  <c r="JC202" i="2"/>
  <c r="JC201" i="2"/>
  <c r="JC200" i="2"/>
  <c r="JC199" i="2"/>
  <c r="JC198" i="2"/>
  <c r="JC197" i="2"/>
  <c r="JC196" i="2"/>
  <c r="JC195" i="2"/>
  <c r="JC194" i="2"/>
  <c r="JC193" i="2"/>
  <c r="JC192" i="2"/>
  <c r="JC191" i="2"/>
  <c r="JC190" i="2"/>
  <c r="JC189" i="2"/>
  <c r="JC188" i="2"/>
  <c r="JC187" i="2"/>
  <c r="JC186" i="2"/>
  <c r="JC185" i="2"/>
  <c r="JC184" i="2"/>
  <c r="JC183" i="2"/>
  <c r="JC182" i="2"/>
  <c r="JC181" i="2"/>
  <c r="JC180" i="2"/>
  <c r="JC179" i="2"/>
  <c r="JC178" i="2"/>
  <c r="JC177" i="2"/>
  <c r="JC176" i="2"/>
  <c r="JC175" i="2"/>
  <c r="JC174" i="2"/>
  <c r="JC173" i="2"/>
  <c r="JC172" i="2"/>
  <c r="JC171" i="2"/>
  <c r="JC170" i="2"/>
  <c r="JC169" i="2"/>
  <c r="JC168" i="2"/>
  <c r="JC167" i="2"/>
  <c r="JC166" i="2"/>
  <c r="JC165" i="2"/>
  <c r="JC164" i="2"/>
  <c r="JC163" i="2"/>
  <c r="JC162" i="2"/>
  <c r="JC161" i="2"/>
  <c r="JC160" i="2"/>
  <c r="JC159" i="2"/>
  <c r="JC158" i="2"/>
  <c r="JC157" i="2"/>
  <c r="JC156" i="2"/>
  <c r="JC155" i="2"/>
  <c r="JC154" i="2"/>
  <c r="JC153" i="2"/>
  <c r="JC152" i="2"/>
  <c r="JC151" i="2"/>
  <c r="JC150" i="2"/>
  <c r="JC149" i="2"/>
  <c r="JC148" i="2"/>
  <c r="JC147" i="2"/>
  <c r="JC146" i="2"/>
  <c r="JC145" i="2"/>
  <c r="JC144" i="2"/>
  <c r="JC143" i="2"/>
  <c r="JC142" i="2"/>
  <c r="JC141" i="2"/>
  <c r="JC140" i="2"/>
  <c r="JC139" i="2"/>
  <c r="JC138" i="2"/>
  <c r="JC137" i="2"/>
  <c r="JC136" i="2"/>
  <c r="JC135" i="2"/>
  <c r="JC134" i="2"/>
  <c r="JC133" i="2"/>
  <c r="JC132" i="2"/>
  <c r="JC131" i="2"/>
  <c r="JC130" i="2"/>
  <c r="JC129" i="2"/>
  <c r="JC128" i="2"/>
  <c r="JC127" i="2"/>
  <c r="JC126" i="2"/>
  <c r="JC125" i="2"/>
  <c r="JC124" i="2"/>
  <c r="JC123" i="2"/>
  <c r="JC122" i="2"/>
  <c r="JC121" i="2"/>
  <c r="JC120" i="2"/>
  <c r="JC119" i="2"/>
  <c r="JC118" i="2"/>
  <c r="JC117" i="2"/>
  <c r="JC116" i="2"/>
  <c r="JC115" i="2"/>
  <c r="JC114" i="2"/>
  <c r="JC113" i="2"/>
  <c r="JC112" i="2"/>
  <c r="JC111" i="2"/>
  <c r="JC110" i="2"/>
  <c r="JC109" i="2"/>
  <c r="JC108" i="2"/>
  <c r="JC107" i="2"/>
  <c r="JC106" i="2"/>
  <c r="JC105" i="2"/>
  <c r="JC104" i="2"/>
  <c r="JC103" i="2"/>
  <c r="JC102" i="2"/>
  <c r="JC101" i="2"/>
  <c r="JC100" i="2"/>
  <c r="JC99" i="2"/>
  <c r="JC98" i="2"/>
  <c r="JC97" i="2"/>
  <c r="JC96" i="2"/>
  <c r="JC95" i="2"/>
  <c r="JC94" i="2"/>
  <c r="JC93" i="2"/>
  <c r="JC92" i="2"/>
  <c r="JC91" i="2"/>
  <c r="JC90" i="2"/>
  <c r="JC89" i="2"/>
  <c r="JC88" i="2"/>
  <c r="JC87" i="2"/>
  <c r="JC86" i="2"/>
  <c r="JC85" i="2"/>
  <c r="JC84" i="2"/>
  <c r="JC83" i="2"/>
  <c r="JC82" i="2"/>
  <c r="JC81" i="2"/>
  <c r="JC80" i="2"/>
  <c r="JC79" i="2"/>
  <c r="JC78" i="2"/>
  <c r="JC77" i="2"/>
  <c r="JC76" i="2"/>
  <c r="JC75" i="2"/>
  <c r="JC74" i="2"/>
  <c r="JC73" i="2"/>
  <c r="JC72" i="2"/>
  <c r="JC71" i="2"/>
  <c r="JC70" i="2"/>
  <c r="JC69" i="2"/>
  <c r="JC68" i="2"/>
  <c r="JC67" i="2"/>
  <c r="JC66" i="2"/>
  <c r="JC65" i="2"/>
  <c r="JC64" i="2"/>
  <c r="JC63" i="2"/>
  <c r="JC62" i="2"/>
  <c r="JC61" i="2"/>
  <c r="JC60" i="2"/>
  <c r="JC59" i="2"/>
  <c r="JC58" i="2"/>
  <c r="JC57" i="2"/>
  <c r="JC56" i="2"/>
  <c r="JC55" i="2"/>
  <c r="JC54" i="2"/>
  <c r="JC53" i="2"/>
  <c r="JC52" i="2"/>
  <c r="JC51" i="2"/>
  <c r="JC50" i="2"/>
  <c r="JC49" i="2"/>
  <c r="JC48" i="2"/>
  <c r="JC47" i="2"/>
  <c r="JC46" i="2"/>
  <c r="JC45" i="2"/>
  <c r="JC44" i="2"/>
  <c r="JC43" i="2"/>
  <c r="JC42" i="2"/>
  <c r="JC41" i="2"/>
  <c r="JC40" i="2"/>
  <c r="JC39" i="2"/>
  <c r="JC38" i="2"/>
  <c r="JC37" i="2"/>
  <c r="JC36" i="2"/>
  <c r="JC35" i="2"/>
  <c r="JC34" i="2"/>
  <c r="JC33" i="2"/>
  <c r="JC32" i="2"/>
  <c r="JC31" i="2"/>
  <c r="JC30" i="2"/>
  <c r="JC29" i="2"/>
  <c r="JC28" i="2"/>
  <c r="JC27" i="2"/>
  <c r="JC26" i="2"/>
  <c r="JC25" i="2"/>
  <c r="JC24" i="2"/>
  <c r="JC23" i="2"/>
  <c r="JC22" i="2"/>
  <c r="JC21" i="2"/>
  <c r="JC20" i="2"/>
  <c r="JC19" i="2"/>
  <c r="JC18" i="2"/>
  <c r="JC17" i="2"/>
  <c r="JC16" i="2"/>
  <c r="JC15" i="2"/>
  <c r="JC14" i="2"/>
  <c r="JC13" i="2"/>
  <c r="JC12" i="2"/>
  <c r="JC11" i="2"/>
  <c r="JC10" i="2"/>
  <c r="JA293" i="2"/>
  <c r="JA292" i="2"/>
  <c r="JA291" i="2"/>
  <c r="JA290" i="2"/>
  <c r="JA289" i="2"/>
  <c r="JA288" i="2"/>
  <c r="JA287" i="2"/>
  <c r="JA286" i="2"/>
  <c r="JA285" i="2"/>
  <c r="JA284" i="2"/>
  <c r="JA283" i="2"/>
  <c r="JA282" i="2"/>
  <c r="JA281" i="2"/>
  <c r="JA280" i="2"/>
  <c r="JA279" i="2"/>
  <c r="JA278" i="2"/>
  <c r="JA277" i="2"/>
  <c r="JA276" i="2"/>
  <c r="JA275" i="2"/>
  <c r="JA274" i="2"/>
  <c r="JA273" i="2"/>
  <c r="JA272" i="2"/>
  <c r="JA271" i="2"/>
  <c r="JA270" i="2"/>
  <c r="JA269" i="2"/>
  <c r="JA268" i="2"/>
  <c r="JA267" i="2"/>
  <c r="JA266" i="2"/>
  <c r="JA265" i="2"/>
  <c r="JA264" i="2"/>
  <c r="JA263" i="2"/>
  <c r="JA262" i="2"/>
  <c r="JA261" i="2"/>
  <c r="JA260" i="2"/>
  <c r="JA259" i="2"/>
  <c r="JA258" i="2"/>
  <c r="JA257" i="2"/>
  <c r="JA256" i="2"/>
  <c r="JA255" i="2"/>
  <c r="JA254" i="2"/>
  <c r="JA253" i="2"/>
  <c r="JA252" i="2"/>
  <c r="JA251" i="2"/>
  <c r="JA250" i="2"/>
  <c r="JA249" i="2"/>
  <c r="JA248" i="2"/>
  <c r="JA247" i="2"/>
  <c r="JA246" i="2"/>
  <c r="JA245" i="2"/>
  <c r="JA244" i="2"/>
  <c r="JA243" i="2"/>
  <c r="JA242" i="2"/>
  <c r="JA241" i="2"/>
  <c r="JA240" i="2"/>
  <c r="JA239" i="2"/>
  <c r="JA238" i="2"/>
  <c r="JA237" i="2"/>
  <c r="JA236" i="2"/>
  <c r="JA235" i="2"/>
  <c r="JA234" i="2"/>
  <c r="JA233" i="2"/>
  <c r="JA232" i="2"/>
  <c r="JA231" i="2"/>
  <c r="JA230" i="2"/>
  <c r="JA229" i="2"/>
  <c r="JA228" i="2"/>
  <c r="JA227" i="2"/>
  <c r="JA226" i="2"/>
  <c r="JA225" i="2"/>
  <c r="JA224" i="2"/>
  <c r="JA223" i="2"/>
  <c r="JA222" i="2"/>
  <c r="JA221" i="2"/>
  <c r="JA220" i="2"/>
  <c r="JA219" i="2"/>
  <c r="JA218" i="2"/>
  <c r="JA217" i="2"/>
  <c r="JA216" i="2"/>
  <c r="JA215" i="2"/>
  <c r="JA214" i="2"/>
  <c r="JA213" i="2"/>
  <c r="JA212" i="2"/>
  <c r="JA211" i="2"/>
  <c r="JA210" i="2"/>
  <c r="JA209" i="2"/>
  <c r="JA208" i="2"/>
  <c r="JA207" i="2"/>
  <c r="JA206" i="2"/>
  <c r="JA205" i="2"/>
  <c r="JA204" i="2"/>
  <c r="JA203" i="2"/>
  <c r="JA202" i="2"/>
  <c r="JA201" i="2"/>
  <c r="JA200" i="2"/>
  <c r="JA199" i="2"/>
  <c r="JA198" i="2"/>
  <c r="JA197" i="2"/>
  <c r="JA196" i="2"/>
  <c r="JA195" i="2"/>
  <c r="JA194" i="2"/>
  <c r="JA193" i="2"/>
  <c r="JA192" i="2"/>
  <c r="JA191" i="2"/>
  <c r="JA190" i="2"/>
  <c r="JA189" i="2"/>
  <c r="JA188" i="2"/>
  <c r="JA187" i="2"/>
  <c r="JA186" i="2"/>
  <c r="JA185" i="2"/>
  <c r="JA184" i="2"/>
  <c r="JA183" i="2"/>
  <c r="JA182" i="2"/>
  <c r="JA181" i="2"/>
  <c r="JA180" i="2"/>
  <c r="JA179" i="2"/>
  <c r="JA178" i="2"/>
  <c r="JA177" i="2"/>
  <c r="JA176" i="2"/>
  <c r="JA175" i="2"/>
  <c r="JA174" i="2"/>
  <c r="JA173" i="2"/>
  <c r="JA172" i="2"/>
  <c r="JA171" i="2"/>
  <c r="JA170" i="2"/>
  <c r="JA169" i="2"/>
  <c r="JA168" i="2"/>
  <c r="JA167" i="2"/>
  <c r="JA166" i="2"/>
  <c r="JA165" i="2"/>
  <c r="JA164" i="2"/>
  <c r="JA163" i="2"/>
  <c r="JA162" i="2"/>
  <c r="JA161" i="2"/>
  <c r="JA160" i="2"/>
  <c r="JA159" i="2"/>
  <c r="JA158" i="2"/>
  <c r="JA157" i="2"/>
  <c r="JA156" i="2"/>
  <c r="JA155" i="2"/>
  <c r="JA154" i="2"/>
  <c r="JA153" i="2"/>
  <c r="JA152" i="2"/>
  <c r="JA151" i="2"/>
  <c r="JA150" i="2"/>
  <c r="JA149" i="2"/>
  <c r="JA148" i="2"/>
  <c r="JA147" i="2"/>
  <c r="JA146" i="2"/>
  <c r="JA145" i="2"/>
  <c r="JA144" i="2"/>
  <c r="JA143" i="2"/>
  <c r="JA142" i="2"/>
  <c r="JA141" i="2"/>
  <c r="JA140" i="2"/>
  <c r="JA139" i="2"/>
  <c r="JA138" i="2"/>
  <c r="JA137" i="2"/>
  <c r="JA136" i="2"/>
  <c r="JA135" i="2"/>
  <c r="JA134" i="2"/>
  <c r="JA133" i="2"/>
  <c r="JA132" i="2"/>
  <c r="JA131" i="2"/>
  <c r="JA130" i="2"/>
  <c r="JA129" i="2"/>
  <c r="JA128" i="2"/>
  <c r="JA127" i="2"/>
  <c r="JA126" i="2"/>
  <c r="JA125" i="2"/>
  <c r="JA124" i="2"/>
  <c r="JA123" i="2"/>
  <c r="JA122" i="2"/>
  <c r="JA121" i="2"/>
  <c r="JA120" i="2"/>
  <c r="JA119" i="2"/>
  <c r="JA118" i="2"/>
  <c r="JA117" i="2"/>
  <c r="JA116" i="2"/>
  <c r="JA115" i="2"/>
  <c r="JA114" i="2"/>
  <c r="JA113" i="2"/>
  <c r="JA112" i="2"/>
  <c r="JA111" i="2"/>
  <c r="JA110" i="2"/>
  <c r="JA109" i="2"/>
  <c r="JA108" i="2"/>
  <c r="JA107" i="2"/>
  <c r="JA106" i="2"/>
  <c r="JA105" i="2"/>
  <c r="JA104" i="2"/>
  <c r="JA103" i="2"/>
  <c r="JA102" i="2"/>
  <c r="JA101" i="2"/>
  <c r="JA100" i="2"/>
  <c r="JA99" i="2"/>
  <c r="JA98" i="2"/>
  <c r="JA97" i="2"/>
  <c r="JA96" i="2"/>
  <c r="JA95" i="2"/>
  <c r="JA94" i="2"/>
  <c r="JA93" i="2"/>
  <c r="JA92" i="2"/>
  <c r="JA91" i="2"/>
  <c r="JA90" i="2"/>
  <c r="JA89" i="2"/>
  <c r="JA88" i="2"/>
  <c r="JA87" i="2"/>
  <c r="JA86" i="2"/>
  <c r="JA85" i="2"/>
  <c r="JA84" i="2"/>
  <c r="JA83" i="2"/>
  <c r="JA82" i="2"/>
  <c r="JA81" i="2"/>
  <c r="JA80" i="2"/>
  <c r="JA79" i="2"/>
  <c r="JA78" i="2"/>
  <c r="JA77" i="2"/>
  <c r="JA76" i="2"/>
  <c r="JA75" i="2"/>
  <c r="JA74" i="2"/>
  <c r="JA73" i="2"/>
  <c r="JA72" i="2"/>
  <c r="JA71" i="2"/>
  <c r="JA70" i="2"/>
  <c r="JA69" i="2"/>
  <c r="JA68" i="2"/>
  <c r="JA67" i="2"/>
  <c r="JA66" i="2"/>
  <c r="JA65" i="2"/>
  <c r="JA64" i="2"/>
  <c r="JA63" i="2"/>
  <c r="JA62" i="2"/>
  <c r="JA61" i="2"/>
  <c r="JA60" i="2"/>
  <c r="JA59" i="2"/>
  <c r="JA58" i="2"/>
  <c r="JA57" i="2"/>
  <c r="JA56" i="2"/>
  <c r="JA55" i="2"/>
  <c r="JA54" i="2"/>
  <c r="JA53" i="2"/>
  <c r="JA52" i="2"/>
  <c r="JA51" i="2"/>
  <c r="JA50" i="2"/>
  <c r="JA49" i="2"/>
  <c r="JA48" i="2"/>
  <c r="JA47" i="2"/>
  <c r="JA46" i="2"/>
  <c r="JA45" i="2"/>
  <c r="JA44" i="2"/>
  <c r="JA43" i="2"/>
  <c r="JA42" i="2"/>
  <c r="JA41" i="2"/>
  <c r="JA40" i="2"/>
  <c r="JA39" i="2"/>
  <c r="JA38" i="2"/>
  <c r="JA37" i="2"/>
  <c r="JA36" i="2"/>
  <c r="JA35" i="2"/>
  <c r="JA34" i="2"/>
  <c r="JA33" i="2"/>
  <c r="JA32" i="2"/>
  <c r="JA31" i="2"/>
  <c r="JA30" i="2"/>
  <c r="JA29" i="2"/>
  <c r="JA28" i="2"/>
  <c r="JA27" i="2"/>
  <c r="JA26" i="2"/>
  <c r="JA25" i="2"/>
  <c r="JA24" i="2"/>
  <c r="JA23" i="2"/>
  <c r="JA22" i="2"/>
  <c r="JA21" i="2"/>
  <c r="JA20" i="2"/>
  <c r="JA19" i="2"/>
  <c r="JA18" i="2"/>
  <c r="JA17" i="2"/>
  <c r="JA16" i="2"/>
  <c r="JA15" i="2"/>
  <c r="JA14" i="2"/>
  <c r="JA13" i="2"/>
  <c r="JA12" i="2"/>
  <c r="JA11" i="2"/>
  <c r="JA10" i="2"/>
  <c r="IY293" i="2"/>
  <c r="IY292" i="2"/>
  <c r="IY291" i="2"/>
  <c r="IY290" i="2"/>
  <c r="IY289" i="2"/>
  <c r="IY288" i="2"/>
  <c r="IY287" i="2"/>
  <c r="IY286" i="2"/>
  <c r="IY285" i="2"/>
  <c r="IY284" i="2"/>
  <c r="IY283" i="2"/>
  <c r="IY282" i="2"/>
  <c r="IY281" i="2"/>
  <c r="IY280" i="2"/>
  <c r="IY279" i="2"/>
  <c r="IY278" i="2"/>
  <c r="IY277" i="2"/>
  <c r="IY276" i="2"/>
  <c r="IY275" i="2"/>
  <c r="IY274" i="2"/>
  <c r="IY273" i="2"/>
  <c r="IY272" i="2"/>
  <c r="IY271" i="2"/>
  <c r="IY270" i="2"/>
  <c r="IY269" i="2"/>
  <c r="IY268" i="2"/>
  <c r="IY267" i="2"/>
  <c r="IY266" i="2"/>
  <c r="IY265" i="2"/>
  <c r="IY264" i="2"/>
  <c r="IY263" i="2"/>
  <c r="IY262" i="2"/>
  <c r="IY261" i="2"/>
  <c r="IY260" i="2"/>
  <c r="IY259" i="2"/>
  <c r="IY258" i="2"/>
  <c r="IY257" i="2"/>
  <c r="IY256" i="2"/>
  <c r="IY255" i="2"/>
  <c r="IY254" i="2"/>
  <c r="IY253" i="2"/>
  <c r="IY252" i="2"/>
  <c r="IY251" i="2"/>
  <c r="IY250" i="2"/>
  <c r="IY249" i="2"/>
  <c r="IY248" i="2"/>
  <c r="IY247" i="2"/>
  <c r="IY246" i="2"/>
  <c r="IY245" i="2"/>
  <c r="IY244" i="2"/>
  <c r="IY243" i="2"/>
  <c r="IY242" i="2"/>
  <c r="IY241" i="2"/>
  <c r="IY240" i="2"/>
  <c r="IY239" i="2"/>
  <c r="IY238" i="2"/>
  <c r="IY237" i="2"/>
  <c r="IY236" i="2"/>
  <c r="IY235" i="2"/>
  <c r="IY234" i="2"/>
  <c r="IY233" i="2"/>
  <c r="IY232" i="2"/>
  <c r="IY230" i="2"/>
  <c r="IY229" i="2"/>
  <c r="IY228" i="2"/>
  <c r="IY227" i="2"/>
  <c r="IY226" i="2"/>
  <c r="IY225" i="2"/>
  <c r="IY224" i="2"/>
  <c r="IY223" i="2"/>
  <c r="IY222" i="2"/>
  <c r="IY221" i="2"/>
  <c r="IY220" i="2"/>
  <c r="IY219" i="2"/>
  <c r="IY218" i="2"/>
  <c r="IY217" i="2"/>
  <c r="IY216" i="2"/>
  <c r="IY215" i="2"/>
  <c r="IY214" i="2"/>
  <c r="IY213" i="2"/>
  <c r="IY212" i="2"/>
  <c r="IY211" i="2"/>
  <c r="IY210" i="2"/>
  <c r="IY209" i="2"/>
  <c r="IY208" i="2"/>
  <c r="IY207" i="2"/>
  <c r="IY205" i="2"/>
  <c r="IY204" i="2"/>
  <c r="IY203" i="2"/>
  <c r="IY202" i="2"/>
  <c r="IY201" i="2"/>
  <c r="IY200" i="2"/>
  <c r="IY199" i="2"/>
  <c r="IY198" i="2"/>
  <c r="IY197" i="2"/>
  <c r="IY196" i="2"/>
  <c r="IY195" i="2"/>
  <c r="IY194" i="2"/>
  <c r="IY193" i="2"/>
  <c r="IY192" i="2"/>
  <c r="IY191" i="2"/>
  <c r="IY190" i="2"/>
  <c r="IY189" i="2"/>
  <c r="IY188" i="2"/>
  <c r="IY187" i="2"/>
  <c r="IY186" i="2"/>
  <c r="IY185" i="2"/>
  <c r="IY184" i="2"/>
  <c r="IY183" i="2"/>
  <c r="IY182" i="2"/>
  <c r="IY181" i="2"/>
  <c r="IY180" i="2"/>
  <c r="IY179" i="2"/>
  <c r="IY178" i="2"/>
  <c r="IY177" i="2"/>
  <c r="IY176" i="2"/>
  <c r="IY175" i="2"/>
  <c r="IY174" i="2"/>
  <c r="IY173" i="2"/>
  <c r="IY172" i="2"/>
  <c r="IY171" i="2"/>
  <c r="IY170" i="2"/>
  <c r="IY169" i="2"/>
  <c r="IY168" i="2"/>
  <c r="IY167" i="2"/>
  <c r="IY166" i="2"/>
  <c r="IY165" i="2"/>
  <c r="IY164" i="2"/>
  <c r="IY163" i="2"/>
  <c r="IY162" i="2"/>
  <c r="IY161" i="2"/>
  <c r="IY160" i="2"/>
  <c r="IY159" i="2"/>
  <c r="IY158" i="2"/>
  <c r="IY157" i="2"/>
  <c r="IY156" i="2"/>
  <c r="IY155" i="2"/>
  <c r="IY154" i="2"/>
  <c r="IY153" i="2"/>
  <c r="IY152" i="2"/>
  <c r="IY151" i="2"/>
  <c r="IY150" i="2"/>
  <c r="IY149" i="2"/>
  <c r="IY148" i="2"/>
  <c r="IY147" i="2"/>
  <c r="IY146" i="2"/>
  <c r="IY145" i="2"/>
  <c r="IY144" i="2"/>
  <c r="IY143" i="2"/>
  <c r="IY142" i="2"/>
  <c r="IY141" i="2"/>
  <c r="IY140" i="2"/>
  <c r="IY139" i="2"/>
  <c r="IY138" i="2"/>
  <c r="IY137" i="2"/>
  <c r="IY136" i="2"/>
  <c r="IY135" i="2"/>
  <c r="IY134" i="2"/>
  <c r="IY133" i="2"/>
  <c r="IY132" i="2"/>
  <c r="IY131" i="2"/>
  <c r="IY130" i="2"/>
  <c r="IY129" i="2"/>
  <c r="IY128" i="2"/>
  <c r="IY127" i="2"/>
  <c r="IY126" i="2"/>
  <c r="IY125" i="2"/>
  <c r="IY124" i="2"/>
  <c r="IY123" i="2"/>
  <c r="IY122" i="2"/>
  <c r="IY121" i="2"/>
  <c r="IY120" i="2"/>
  <c r="IY119" i="2"/>
  <c r="IY118" i="2"/>
  <c r="IY117" i="2"/>
  <c r="IY116" i="2"/>
  <c r="IY115" i="2"/>
  <c r="IY114" i="2"/>
  <c r="IY113" i="2"/>
  <c r="IY112" i="2"/>
  <c r="IY111" i="2"/>
  <c r="IY110" i="2"/>
  <c r="IY109" i="2"/>
  <c r="IY108" i="2"/>
  <c r="IY107" i="2"/>
  <c r="IY106" i="2"/>
  <c r="IY105" i="2"/>
  <c r="IY104" i="2"/>
  <c r="IY103" i="2"/>
  <c r="IY102" i="2"/>
  <c r="IY101" i="2"/>
  <c r="IY100" i="2"/>
  <c r="IY99" i="2"/>
  <c r="IY98" i="2"/>
  <c r="IY97" i="2"/>
  <c r="IY96" i="2"/>
  <c r="IY95" i="2"/>
  <c r="IY94" i="2"/>
  <c r="IY93" i="2"/>
  <c r="IY92" i="2"/>
  <c r="IY91" i="2"/>
  <c r="IY90" i="2"/>
  <c r="IY89" i="2"/>
  <c r="IY88" i="2"/>
  <c r="IY87" i="2"/>
  <c r="IY86" i="2"/>
  <c r="IY85" i="2"/>
  <c r="IY84" i="2"/>
  <c r="IY83" i="2"/>
  <c r="IY82" i="2"/>
  <c r="IY81" i="2"/>
  <c r="IY80" i="2"/>
  <c r="IY79" i="2"/>
  <c r="IY78" i="2"/>
  <c r="IY77" i="2"/>
  <c r="IY76" i="2"/>
  <c r="IY75" i="2"/>
  <c r="IY74" i="2"/>
  <c r="IY73" i="2"/>
  <c r="IY72" i="2"/>
  <c r="IY71" i="2"/>
  <c r="IY70" i="2"/>
  <c r="IY69" i="2"/>
  <c r="IY68" i="2"/>
  <c r="IY67" i="2"/>
  <c r="IY66" i="2"/>
  <c r="IY65" i="2"/>
  <c r="IY64" i="2"/>
  <c r="IY63" i="2"/>
  <c r="IY62" i="2"/>
  <c r="IY61" i="2"/>
  <c r="IY60" i="2"/>
  <c r="IY59" i="2"/>
  <c r="IY58" i="2"/>
  <c r="IY57" i="2"/>
  <c r="IY56" i="2"/>
  <c r="IY55" i="2"/>
  <c r="IY54" i="2"/>
  <c r="IY53" i="2"/>
  <c r="IY52" i="2"/>
  <c r="IY51" i="2"/>
  <c r="IY50" i="2"/>
  <c r="IY49" i="2"/>
  <c r="IY48" i="2"/>
  <c r="IY47" i="2"/>
  <c r="IY46" i="2"/>
  <c r="IY45" i="2"/>
  <c r="IY44" i="2"/>
  <c r="IY43" i="2"/>
  <c r="IY42" i="2"/>
  <c r="IY41" i="2"/>
  <c r="IY40" i="2"/>
  <c r="IY39" i="2"/>
  <c r="IY38" i="2"/>
  <c r="IY37" i="2"/>
  <c r="IY36" i="2"/>
  <c r="IY35" i="2"/>
  <c r="IY34" i="2"/>
  <c r="IY33" i="2"/>
  <c r="IY32" i="2"/>
  <c r="IY31" i="2"/>
  <c r="IY30" i="2"/>
  <c r="IY29" i="2"/>
  <c r="IY28" i="2"/>
  <c r="IY27" i="2"/>
  <c r="IY26" i="2"/>
  <c r="IY25" i="2"/>
  <c r="IY24" i="2"/>
  <c r="IY23" i="2"/>
  <c r="IY22" i="2"/>
  <c r="IY21" i="2"/>
  <c r="IY20" i="2"/>
  <c r="IY19" i="2"/>
  <c r="IY18" i="2"/>
  <c r="IY17" i="2"/>
  <c r="IY16" i="2"/>
  <c r="IY15" i="2"/>
  <c r="IY14" i="2"/>
  <c r="IY13" i="2"/>
  <c r="IY12" i="2"/>
  <c r="IY11" i="2"/>
  <c r="IY10" i="2"/>
  <c r="IW293" i="2"/>
  <c r="IW292" i="2"/>
  <c r="IW291" i="2"/>
  <c r="IW290" i="2"/>
  <c r="IW289" i="2"/>
  <c r="IW288" i="2"/>
  <c r="IW287" i="2"/>
  <c r="IW286" i="2"/>
  <c r="IW285" i="2"/>
  <c r="IW284" i="2"/>
  <c r="IW283" i="2"/>
  <c r="IW282" i="2"/>
  <c r="IW281" i="2"/>
  <c r="IW280" i="2"/>
  <c r="IW279" i="2"/>
  <c r="IW278" i="2"/>
  <c r="IW277" i="2"/>
  <c r="IW276" i="2"/>
  <c r="IW275" i="2"/>
  <c r="IW274" i="2"/>
  <c r="IW273" i="2"/>
  <c r="IW272" i="2"/>
  <c r="IW271" i="2"/>
  <c r="IW270" i="2"/>
  <c r="IW269" i="2"/>
  <c r="IW268" i="2"/>
  <c r="IW267" i="2"/>
  <c r="IW266" i="2"/>
  <c r="IW265" i="2"/>
  <c r="IW264" i="2"/>
  <c r="IW263" i="2"/>
  <c r="IW262" i="2"/>
  <c r="IW261" i="2"/>
  <c r="IW260" i="2"/>
  <c r="IW259" i="2"/>
  <c r="IW258" i="2"/>
  <c r="IW257" i="2"/>
  <c r="IW256" i="2"/>
  <c r="IW255" i="2"/>
  <c r="IW254" i="2"/>
  <c r="IW253" i="2"/>
  <c r="IW252" i="2"/>
  <c r="IW251" i="2"/>
  <c r="IW250" i="2"/>
  <c r="IW249" i="2"/>
  <c r="IW248" i="2"/>
  <c r="IW247" i="2"/>
  <c r="IW246" i="2"/>
  <c r="IW245" i="2"/>
  <c r="IW244" i="2"/>
  <c r="IW243" i="2"/>
  <c r="IW242" i="2"/>
  <c r="IW241" i="2"/>
  <c r="IW240" i="2"/>
  <c r="IW239" i="2"/>
  <c r="IW238" i="2"/>
  <c r="IW237" i="2"/>
  <c r="IW236" i="2"/>
  <c r="IW235" i="2"/>
  <c r="IW234" i="2"/>
  <c r="IW233" i="2"/>
  <c r="IW232" i="2"/>
  <c r="IW230" i="2"/>
  <c r="IW229" i="2"/>
  <c r="IW228" i="2"/>
  <c r="IW226" i="2"/>
  <c r="IW225" i="2"/>
  <c r="IW224" i="2"/>
  <c r="IW223" i="2"/>
  <c r="IW222" i="2"/>
  <c r="IW221" i="2"/>
  <c r="IW220" i="2"/>
  <c r="IW219" i="2"/>
  <c r="IW218" i="2"/>
  <c r="IW217" i="2"/>
  <c r="IW216" i="2"/>
  <c r="IW215" i="2"/>
  <c r="IW214" i="2"/>
  <c r="IW213" i="2"/>
  <c r="IW212" i="2"/>
  <c r="IW211" i="2"/>
  <c r="IW210" i="2"/>
  <c r="IW209" i="2"/>
  <c r="IW208" i="2"/>
  <c r="IW207" i="2"/>
  <c r="IW204" i="2"/>
  <c r="IW203" i="2"/>
  <c r="IW202" i="2"/>
  <c r="IW201" i="2"/>
  <c r="IW200" i="2"/>
  <c r="IW199" i="2"/>
  <c r="IW198" i="2"/>
  <c r="IW197" i="2"/>
  <c r="IW196" i="2"/>
  <c r="IW195" i="2"/>
  <c r="IW194" i="2"/>
  <c r="IW193" i="2"/>
  <c r="IW192" i="2"/>
  <c r="IW191" i="2"/>
  <c r="IW190" i="2"/>
  <c r="IW189" i="2"/>
  <c r="IW188" i="2"/>
  <c r="IW187" i="2"/>
  <c r="IW186" i="2"/>
  <c r="IW185" i="2"/>
  <c r="IW184" i="2"/>
  <c r="IW183" i="2"/>
  <c r="IW182" i="2"/>
  <c r="IW181" i="2"/>
  <c r="IW180" i="2"/>
  <c r="IW179" i="2"/>
  <c r="IW178" i="2"/>
  <c r="IW177" i="2"/>
  <c r="IW176" i="2"/>
  <c r="IW175" i="2"/>
  <c r="IW174" i="2"/>
  <c r="IW173" i="2"/>
  <c r="IW172" i="2"/>
  <c r="IW171" i="2"/>
  <c r="IW170" i="2"/>
  <c r="IW169" i="2"/>
  <c r="IW168" i="2"/>
  <c r="IW167" i="2"/>
  <c r="IW166" i="2"/>
  <c r="IW165" i="2"/>
  <c r="IW164" i="2"/>
  <c r="IW163" i="2"/>
  <c r="IW162" i="2"/>
  <c r="IW161" i="2"/>
  <c r="IW160" i="2"/>
  <c r="IW159" i="2"/>
  <c r="IW158" i="2"/>
  <c r="IW157" i="2"/>
  <c r="IW156" i="2"/>
  <c r="IW155" i="2"/>
  <c r="IW154" i="2"/>
  <c r="IW153" i="2"/>
  <c r="IW152" i="2"/>
  <c r="IW151" i="2"/>
  <c r="IW150" i="2"/>
  <c r="IW149" i="2"/>
  <c r="IW148" i="2"/>
  <c r="IW147" i="2"/>
  <c r="IW146" i="2"/>
  <c r="IW145" i="2"/>
  <c r="IW144" i="2"/>
  <c r="IW143" i="2"/>
  <c r="IW142" i="2"/>
  <c r="IW141" i="2"/>
  <c r="IW140" i="2"/>
  <c r="IW139" i="2"/>
  <c r="IW138" i="2"/>
  <c r="IW137" i="2"/>
  <c r="IW136" i="2"/>
  <c r="IW135" i="2"/>
  <c r="IW134" i="2"/>
  <c r="IW133" i="2"/>
  <c r="IW132" i="2"/>
  <c r="IW131" i="2"/>
  <c r="IW130" i="2"/>
  <c r="IW129" i="2"/>
  <c r="IW128" i="2"/>
  <c r="IW127" i="2"/>
  <c r="IW126" i="2"/>
  <c r="IW125" i="2"/>
  <c r="IW124" i="2"/>
  <c r="IW123" i="2"/>
  <c r="IW122" i="2"/>
  <c r="IW121" i="2"/>
  <c r="IW120" i="2"/>
  <c r="IW119" i="2"/>
  <c r="IW118" i="2"/>
  <c r="IW117" i="2"/>
  <c r="IW116" i="2"/>
  <c r="IW115" i="2"/>
  <c r="IW114" i="2"/>
  <c r="IW113" i="2"/>
  <c r="IW112" i="2"/>
  <c r="IW111" i="2"/>
  <c r="IW110" i="2"/>
  <c r="IW109" i="2"/>
  <c r="IW108" i="2"/>
  <c r="IW107" i="2"/>
  <c r="IW106" i="2"/>
  <c r="IW105" i="2"/>
  <c r="IW104" i="2"/>
  <c r="IW103" i="2"/>
  <c r="IW102" i="2"/>
  <c r="IW101" i="2"/>
  <c r="IW100" i="2"/>
  <c r="IW97" i="2"/>
  <c r="IW96" i="2"/>
  <c r="IW95" i="2"/>
  <c r="IW94" i="2"/>
  <c r="IW93" i="2"/>
  <c r="IW92" i="2"/>
  <c r="IW91" i="2"/>
  <c r="IW90" i="2"/>
  <c r="IW89" i="2"/>
  <c r="IW88" i="2"/>
  <c r="IW87" i="2"/>
  <c r="IW86" i="2"/>
  <c r="IW85" i="2"/>
  <c r="IW84" i="2"/>
  <c r="IW83" i="2"/>
  <c r="IW82" i="2"/>
  <c r="IW81" i="2"/>
  <c r="IW80" i="2"/>
  <c r="IW79" i="2"/>
  <c r="IW78" i="2"/>
  <c r="IW77" i="2"/>
  <c r="IW76" i="2"/>
  <c r="IW75" i="2"/>
  <c r="IW74" i="2"/>
  <c r="IW73" i="2"/>
  <c r="IW72" i="2"/>
  <c r="IW71" i="2"/>
  <c r="IW70" i="2"/>
  <c r="IW69" i="2"/>
  <c r="IW68" i="2"/>
  <c r="IW67" i="2"/>
  <c r="IW66" i="2"/>
  <c r="IW65" i="2"/>
  <c r="IW64" i="2"/>
  <c r="IW63" i="2"/>
  <c r="IW62" i="2"/>
  <c r="IW61" i="2"/>
  <c r="IW60" i="2"/>
  <c r="IW59" i="2"/>
  <c r="IW58" i="2"/>
  <c r="IW57" i="2"/>
  <c r="IW56" i="2"/>
  <c r="IW55" i="2"/>
  <c r="IW54" i="2"/>
  <c r="IW53" i="2"/>
  <c r="IW52" i="2"/>
  <c r="IW51" i="2"/>
  <c r="IW50" i="2"/>
  <c r="IW49" i="2"/>
  <c r="IW48" i="2"/>
  <c r="IW47" i="2"/>
  <c r="IW46" i="2"/>
  <c r="IW45" i="2"/>
  <c r="IW44" i="2"/>
  <c r="IW43" i="2"/>
  <c r="IW42" i="2"/>
  <c r="IW41" i="2"/>
  <c r="IW40" i="2"/>
  <c r="IW39" i="2"/>
  <c r="IW38" i="2"/>
  <c r="IW37" i="2"/>
  <c r="IW36" i="2"/>
  <c r="IW35" i="2"/>
  <c r="IW34" i="2"/>
  <c r="IW33" i="2"/>
  <c r="IW32" i="2"/>
  <c r="IW31" i="2"/>
  <c r="IW30" i="2"/>
  <c r="IW29" i="2"/>
  <c r="IW28" i="2"/>
  <c r="IW27" i="2"/>
  <c r="IW26" i="2"/>
  <c r="IW25" i="2"/>
  <c r="IW24" i="2"/>
  <c r="IW23" i="2"/>
  <c r="IW22" i="2"/>
  <c r="IW21" i="2"/>
  <c r="IW20" i="2"/>
  <c r="IW19" i="2"/>
  <c r="IW18" i="2"/>
  <c r="IW17" i="2"/>
  <c r="IW16" i="2"/>
  <c r="IW15" i="2"/>
  <c r="IW14" i="2"/>
  <c r="IW13" i="2"/>
  <c r="IW12" i="2"/>
  <c r="IW11" i="2"/>
  <c r="IW10" i="2"/>
  <c r="IU293" i="2"/>
  <c r="IU292" i="2"/>
  <c r="IU291" i="2"/>
  <c r="IU290" i="2"/>
  <c r="IU289" i="2"/>
  <c r="IU288" i="2"/>
  <c r="IU287" i="2"/>
  <c r="IU286" i="2"/>
  <c r="IU285" i="2"/>
  <c r="IU284" i="2"/>
  <c r="IU283" i="2"/>
  <c r="IU282" i="2"/>
  <c r="IU281" i="2"/>
  <c r="IU280" i="2"/>
  <c r="IU279" i="2"/>
  <c r="IU278" i="2"/>
  <c r="IU277" i="2"/>
  <c r="IU276" i="2"/>
  <c r="IU275" i="2"/>
  <c r="IU274" i="2"/>
  <c r="IU273" i="2"/>
  <c r="IU272" i="2"/>
  <c r="IU271" i="2"/>
  <c r="IU270" i="2"/>
  <c r="IU269" i="2"/>
  <c r="IU268" i="2"/>
  <c r="IU267" i="2"/>
  <c r="IU266" i="2"/>
  <c r="IU265" i="2"/>
  <c r="IU264" i="2"/>
  <c r="IU263" i="2"/>
  <c r="IU262" i="2"/>
  <c r="IU261" i="2"/>
  <c r="IU260" i="2"/>
  <c r="IU259" i="2"/>
  <c r="IU258" i="2"/>
  <c r="IU257" i="2"/>
  <c r="IU256" i="2"/>
  <c r="IU255" i="2"/>
  <c r="IU254" i="2"/>
  <c r="IU253" i="2"/>
  <c r="IU252" i="2"/>
  <c r="IU251" i="2"/>
  <c r="IU250" i="2"/>
  <c r="IU249" i="2"/>
  <c r="IU248" i="2"/>
  <c r="IU247" i="2"/>
  <c r="IU246" i="2"/>
  <c r="IU245" i="2"/>
  <c r="IU244" i="2"/>
  <c r="IU243" i="2"/>
  <c r="IU242" i="2"/>
  <c r="IU241" i="2"/>
  <c r="IU240" i="2"/>
  <c r="IU239" i="2"/>
  <c r="IU238" i="2"/>
  <c r="IU237" i="2"/>
  <c r="IU236" i="2"/>
  <c r="IU235" i="2"/>
  <c r="IU233" i="2"/>
  <c r="IU232" i="2"/>
  <c r="IU230" i="2"/>
  <c r="IU229" i="2"/>
  <c r="IU228" i="2"/>
  <c r="IU227" i="2"/>
  <c r="IU225" i="2"/>
  <c r="IU224" i="2"/>
  <c r="IU223" i="2"/>
  <c r="IU222" i="2"/>
  <c r="IU221" i="2"/>
  <c r="IU220" i="2"/>
  <c r="IU219" i="2"/>
  <c r="IU218" i="2"/>
  <c r="IU217" i="2"/>
  <c r="IU216" i="2"/>
  <c r="IU215" i="2"/>
  <c r="IU214" i="2"/>
  <c r="IU213" i="2"/>
  <c r="IU212" i="2"/>
  <c r="IU211" i="2"/>
  <c r="IU210" i="2"/>
  <c r="IU209" i="2"/>
  <c r="IU208" i="2"/>
  <c r="IU207" i="2"/>
  <c r="IU204" i="2"/>
  <c r="IU202" i="2"/>
  <c r="IU201" i="2"/>
  <c r="IU200" i="2"/>
  <c r="IU199" i="2"/>
  <c r="IU198" i="2"/>
  <c r="IU197" i="2"/>
  <c r="IU196" i="2"/>
  <c r="IU195" i="2"/>
  <c r="IU194" i="2"/>
  <c r="IU193" i="2"/>
  <c r="IU192" i="2"/>
  <c r="IU191" i="2"/>
  <c r="IU190" i="2"/>
  <c r="IU189" i="2"/>
  <c r="IU188" i="2"/>
  <c r="IU187" i="2"/>
  <c r="IU186" i="2"/>
  <c r="IU185" i="2"/>
  <c r="IU184" i="2"/>
  <c r="IU183" i="2"/>
  <c r="IU182" i="2"/>
  <c r="IU181" i="2"/>
  <c r="IU180" i="2"/>
  <c r="IU179" i="2"/>
  <c r="IU178" i="2"/>
  <c r="IU177" i="2"/>
  <c r="IU176" i="2"/>
  <c r="IU175" i="2"/>
  <c r="IU174" i="2"/>
  <c r="IU173" i="2"/>
  <c r="IU172" i="2"/>
  <c r="IU171" i="2"/>
  <c r="IU170" i="2"/>
  <c r="IU169" i="2"/>
  <c r="IU168" i="2"/>
  <c r="IU167" i="2"/>
  <c r="IU166" i="2"/>
  <c r="IU165" i="2"/>
  <c r="IU164" i="2"/>
  <c r="IU163" i="2"/>
  <c r="IU162" i="2"/>
  <c r="IU161" i="2"/>
  <c r="IU160" i="2"/>
  <c r="IU159" i="2"/>
  <c r="IU158" i="2"/>
  <c r="IU157" i="2"/>
  <c r="IU156" i="2"/>
  <c r="IU155" i="2"/>
  <c r="IU154" i="2"/>
  <c r="IU153" i="2"/>
  <c r="IU152" i="2"/>
  <c r="IU151" i="2"/>
  <c r="IU150" i="2"/>
  <c r="IU149" i="2"/>
  <c r="IU148" i="2"/>
  <c r="IU147" i="2"/>
  <c r="IU146" i="2"/>
  <c r="IU145" i="2"/>
  <c r="IU144" i="2"/>
  <c r="IU143" i="2"/>
  <c r="IU142" i="2"/>
  <c r="IU141" i="2"/>
  <c r="IU140" i="2"/>
  <c r="IU139" i="2"/>
  <c r="IU138" i="2"/>
  <c r="IU137" i="2"/>
  <c r="IU136" i="2"/>
  <c r="IU135" i="2"/>
  <c r="IU134" i="2"/>
  <c r="IU133" i="2"/>
  <c r="IU132" i="2"/>
  <c r="IU131" i="2"/>
  <c r="IU130" i="2"/>
  <c r="IU129" i="2"/>
  <c r="IU128" i="2"/>
  <c r="IU127" i="2"/>
  <c r="IU126" i="2"/>
  <c r="IU125" i="2"/>
  <c r="IU124" i="2"/>
  <c r="IU123" i="2"/>
  <c r="IU122" i="2"/>
  <c r="IU121" i="2"/>
  <c r="IU120" i="2"/>
  <c r="IU119" i="2"/>
  <c r="IU118" i="2"/>
  <c r="IU117" i="2"/>
  <c r="IU116" i="2"/>
  <c r="IU115" i="2"/>
  <c r="IU114" i="2"/>
  <c r="IU113" i="2"/>
  <c r="IU112" i="2"/>
  <c r="IU111" i="2"/>
  <c r="IU110" i="2"/>
  <c r="IU109" i="2"/>
  <c r="IU108" i="2"/>
  <c r="IU107" i="2"/>
  <c r="IU106" i="2"/>
  <c r="IU105" i="2"/>
  <c r="IU104" i="2"/>
  <c r="IU103" i="2"/>
  <c r="IU102" i="2"/>
  <c r="IU101" i="2"/>
  <c r="IU100" i="2"/>
  <c r="IU98" i="2"/>
  <c r="IU97" i="2"/>
  <c r="IU96" i="2"/>
  <c r="IU95" i="2"/>
  <c r="IU94" i="2"/>
  <c r="IU93" i="2"/>
  <c r="IU92" i="2"/>
  <c r="IU91" i="2"/>
  <c r="IU90" i="2"/>
  <c r="IU89" i="2"/>
  <c r="IU88" i="2"/>
  <c r="IU87" i="2"/>
  <c r="IU86" i="2"/>
  <c r="IU85" i="2"/>
  <c r="IU84" i="2"/>
  <c r="IU83" i="2"/>
  <c r="IU82" i="2"/>
  <c r="IU81" i="2"/>
  <c r="IU80" i="2"/>
  <c r="IU79" i="2"/>
  <c r="IU78" i="2"/>
  <c r="IU77" i="2"/>
  <c r="IU76" i="2"/>
  <c r="IU75" i="2"/>
  <c r="IU74" i="2"/>
  <c r="IU73" i="2"/>
  <c r="IU72" i="2"/>
  <c r="IU71" i="2"/>
  <c r="IU70" i="2"/>
  <c r="IU69" i="2"/>
  <c r="IU68" i="2"/>
  <c r="IU67" i="2"/>
  <c r="IU66" i="2"/>
  <c r="IU65" i="2"/>
  <c r="IU64" i="2"/>
  <c r="IU63" i="2"/>
  <c r="IU62" i="2"/>
  <c r="IU61" i="2"/>
  <c r="IU60" i="2"/>
  <c r="IU59" i="2"/>
  <c r="IU58" i="2"/>
  <c r="IU57" i="2"/>
  <c r="IU56" i="2"/>
  <c r="IU55" i="2"/>
  <c r="IU54" i="2"/>
  <c r="IU53" i="2"/>
  <c r="IU52" i="2"/>
  <c r="IU51" i="2"/>
  <c r="IU50" i="2"/>
  <c r="IU49" i="2"/>
  <c r="IU48" i="2"/>
  <c r="IU47" i="2"/>
  <c r="IU46" i="2"/>
  <c r="IU45" i="2"/>
  <c r="IU44" i="2"/>
  <c r="IU43" i="2"/>
  <c r="IU42" i="2"/>
  <c r="IU41" i="2"/>
  <c r="IU40" i="2"/>
  <c r="IU39" i="2"/>
  <c r="IU38" i="2"/>
  <c r="IU37" i="2"/>
  <c r="IU36" i="2"/>
  <c r="IU35" i="2"/>
  <c r="IU34" i="2"/>
  <c r="IU33" i="2"/>
  <c r="IU32" i="2"/>
  <c r="IU31" i="2"/>
  <c r="IU30" i="2"/>
  <c r="IU29" i="2"/>
  <c r="IU28" i="2"/>
  <c r="IU27" i="2"/>
  <c r="IU26" i="2"/>
  <c r="IU25" i="2"/>
  <c r="IU24" i="2"/>
  <c r="IU23" i="2"/>
  <c r="IU22" i="2"/>
  <c r="IU21" i="2"/>
  <c r="IU20" i="2"/>
  <c r="IU19" i="2"/>
  <c r="IU18" i="2"/>
  <c r="IU17" i="2"/>
  <c r="IU16" i="2"/>
  <c r="IU15" i="2"/>
  <c r="IU14" i="2"/>
  <c r="IU13" i="2"/>
  <c r="IU12" i="2"/>
  <c r="IU11" i="2"/>
  <c r="IU10" i="2"/>
  <c r="IS293" i="2"/>
  <c r="IS292" i="2"/>
  <c r="IS291" i="2"/>
  <c r="IS289" i="2"/>
  <c r="IS288" i="2"/>
  <c r="IS287" i="2"/>
  <c r="IS286" i="2"/>
  <c r="IS285" i="2"/>
  <c r="IS284" i="2"/>
  <c r="IS283" i="2"/>
  <c r="IS282" i="2"/>
  <c r="IS281" i="2"/>
  <c r="IS280" i="2"/>
  <c r="IS278" i="2"/>
  <c r="IS277" i="2"/>
  <c r="IS276" i="2"/>
  <c r="IS275" i="2"/>
  <c r="IS274" i="2"/>
  <c r="IS273" i="2"/>
  <c r="IS272" i="2"/>
  <c r="IS271" i="2"/>
  <c r="IS270" i="2"/>
  <c r="IS269" i="2"/>
  <c r="IS268" i="2"/>
  <c r="IS267" i="2"/>
  <c r="IS266" i="2"/>
  <c r="IS265" i="2"/>
  <c r="IS264" i="2"/>
  <c r="IS263" i="2"/>
  <c r="IS262" i="2"/>
  <c r="IS261" i="2"/>
  <c r="IS260" i="2"/>
  <c r="IS259" i="2"/>
  <c r="IS258" i="2"/>
  <c r="IS257" i="2"/>
  <c r="IS256" i="2"/>
  <c r="IS255" i="2"/>
  <c r="IS254" i="2"/>
  <c r="IS253" i="2"/>
  <c r="IS252" i="2"/>
  <c r="IS251" i="2"/>
  <c r="IS250" i="2"/>
  <c r="IS249" i="2"/>
  <c r="IS248" i="2"/>
  <c r="IS247" i="2"/>
  <c r="IS246" i="2"/>
  <c r="IS245" i="2"/>
  <c r="IS244" i="2"/>
  <c r="IS243" i="2"/>
  <c r="IS242" i="2"/>
  <c r="IS241" i="2"/>
  <c r="IS240" i="2"/>
  <c r="IS239" i="2"/>
  <c r="IS238" i="2"/>
  <c r="IS237" i="2"/>
  <c r="IS236" i="2"/>
  <c r="IS235" i="2"/>
  <c r="IS233" i="2"/>
  <c r="IS232" i="2"/>
  <c r="IS230" i="2"/>
  <c r="IS229" i="2"/>
  <c r="IS228" i="2"/>
  <c r="IS225" i="2"/>
  <c r="IS224" i="2"/>
  <c r="IS222" i="2"/>
  <c r="IS221" i="2"/>
  <c r="IS219" i="2"/>
  <c r="IS218" i="2"/>
  <c r="IS217" i="2"/>
  <c r="IS216" i="2"/>
  <c r="IS215" i="2"/>
  <c r="IS214" i="2"/>
  <c r="IS213" i="2"/>
  <c r="IS212" i="2"/>
  <c r="IS211" i="2"/>
  <c r="IS210" i="2"/>
  <c r="IS209" i="2"/>
  <c r="IS208" i="2"/>
  <c r="IS204" i="2"/>
  <c r="IS202" i="2"/>
  <c r="IS201" i="2"/>
  <c r="IS200" i="2"/>
  <c r="IS199" i="2"/>
  <c r="IS198" i="2"/>
  <c r="IS197" i="2"/>
  <c r="IS196" i="2"/>
  <c r="IS195" i="2"/>
  <c r="IS194" i="2"/>
  <c r="IS193" i="2"/>
  <c r="IS192" i="2"/>
  <c r="IS191" i="2"/>
  <c r="IS190" i="2"/>
  <c r="IS189" i="2"/>
  <c r="IS188" i="2"/>
  <c r="IS187" i="2"/>
  <c r="IS186" i="2"/>
  <c r="IS185" i="2"/>
  <c r="IS184" i="2"/>
  <c r="IS183" i="2"/>
  <c r="IS182" i="2"/>
  <c r="IS181" i="2"/>
  <c r="IS180" i="2"/>
  <c r="IS179" i="2"/>
  <c r="IS178" i="2"/>
  <c r="IS177" i="2"/>
  <c r="IS176" i="2"/>
  <c r="IS175" i="2"/>
  <c r="IS174" i="2"/>
  <c r="IS173" i="2"/>
  <c r="IS172" i="2"/>
  <c r="IS171" i="2"/>
  <c r="IS170" i="2"/>
  <c r="IS169" i="2"/>
  <c r="IS168" i="2"/>
  <c r="IS167" i="2"/>
  <c r="IS166" i="2"/>
  <c r="IS165" i="2"/>
  <c r="IS164" i="2"/>
  <c r="IS163" i="2"/>
  <c r="IS162" i="2"/>
  <c r="IS161" i="2"/>
  <c r="IS160" i="2"/>
  <c r="IS159" i="2"/>
  <c r="IS158" i="2"/>
  <c r="IS157" i="2"/>
  <c r="IS156" i="2"/>
  <c r="IS155" i="2"/>
  <c r="IS154" i="2"/>
  <c r="IS153" i="2"/>
  <c r="IS152" i="2"/>
  <c r="IS151" i="2"/>
  <c r="IS150" i="2"/>
  <c r="IS149" i="2"/>
  <c r="IS148" i="2"/>
  <c r="IS147" i="2"/>
  <c r="IS146" i="2"/>
  <c r="IS145" i="2"/>
  <c r="IS144" i="2"/>
  <c r="IS143" i="2"/>
  <c r="IS142" i="2"/>
  <c r="IS141" i="2"/>
  <c r="IS140" i="2"/>
  <c r="IS139" i="2"/>
  <c r="IS138" i="2"/>
  <c r="IS137" i="2"/>
  <c r="IS136" i="2"/>
  <c r="IS135" i="2"/>
  <c r="IS134" i="2"/>
  <c r="IS133" i="2"/>
  <c r="IS132" i="2"/>
  <c r="IS131" i="2"/>
  <c r="IS130" i="2"/>
  <c r="IS129" i="2"/>
  <c r="IS128" i="2"/>
  <c r="IS127" i="2"/>
  <c r="IS126" i="2"/>
  <c r="IS125" i="2"/>
  <c r="IS124" i="2"/>
  <c r="IS123" i="2"/>
  <c r="IS122" i="2"/>
  <c r="IS121" i="2"/>
  <c r="IS120" i="2"/>
  <c r="IS118" i="2"/>
  <c r="IS117" i="2"/>
  <c r="IS116" i="2"/>
  <c r="IS115" i="2"/>
  <c r="IS114" i="2"/>
  <c r="IS113" i="2"/>
  <c r="IS111" i="2"/>
  <c r="IS110" i="2"/>
  <c r="IS109" i="2"/>
  <c r="IS108" i="2"/>
  <c r="IS107" i="2"/>
  <c r="IS106" i="2"/>
  <c r="IS105" i="2"/>
  <c r="IS104" i="2"/>
  <c r="IS102" i="2"/>
  <c r="IS101" i="2"/>
  <c r="IS100" i="2"/>
  <c r="IS98" i="2"/>
  <c r="IS97" i="2"/>
  <c r="IS96" i="2"/>
  <c r="IS95" i="2"/>
  <c r="IS94" i="2"/>
  <c r="IS93" i="2"/>
  <c r="IS92" i="2"/>
  <c r="IS91" i="2"/>
  <c r="IS90" i="2"/>
  <c r="IS89" i="2"/>
  <c r="IS88" i="2"/>
  <c r="IS87" i="2"/>
  <c r="IS86" i="2"/>
  <c r="IS84" i="2"/>
  <c r="IS83" i="2"/>
  <c r="IS82" i="2"/>
  <c r="IS81" i="2"/>
  <c r="IS80" i="2"/>
  <c r="IS79" i="2"/>
  <c r="IS78" i="2"/>
  <c r="IS77" i="2"/>
  <c r="IS76" i="2"/>
  <c r="IS75" i="2"/>
  <c r="IS74" i="2"/>
  <c r="IS73" i="2"/>
  <c r="IS72" i="2"/>
  <c r="IS71" i="2"/>
  <c r="IS70" i="2"/>
  <c r="IS69" i="2"/>
  <c r="IS68" i="2"/>
  <c r="IS67" i="2"/>
  <c r="IS66" i="2"/>
  <c r="IS65" i="2"/>
  <c r="IS64" i="2"/>
  <c r="IS63" i="2"/>
  <c r="IS62" i="2"/>
  <c r="IS61" i="2"/>
  <c r="IS60" i="2"/>
  <c r="IS57" i="2"/>
  <c r="IS56" i="2"/>
  <c r="IS55" i="2"/>
  <c r="IS54" i="2"/>
  <c r="IS53" i="2"/>
  <c r="IS52" i="2"/>
  <c r="IS51" i="2"/>
  <c r="IS49" i="2"/>
  <c r="IS48" i="2"/>
  <c r="IS47" i="2"/>
  <c r="IS46" i="2"/>
  <c r="IS45" i="2"/>
  <c r="IS44" i="2"/>
  <c r="IS43" i="2"/>
  <c r="IS42" i="2"/>
  <c r="IS41" i="2"/>
  <c r="IS40" i="2"/>
  <c r="IS39" i="2"/>
  <c r="IS38" i="2"/>
  <c r="IS37" i="2"/>
  <c r="IS36" i="2"/>
  <c r="IS35" i="2"/>
  <c r="IS34" i="2"/>
  <c r="IS33" i="2"/>
  <c r="IS32" i="2"/>
  <c r="IS31" i="2"/>
  <c r="IS30" i="2"/>
  <c r="IS29" i="2"/>
  <c r="IS28" i="2"/>
  <c r="IS27" i="2"/>
  <c r="IS26" i="2"/>
  <c r="IS25" i="2"/>
  <c r="IS24" i="2"/>
  <c r="IS23" i="2"/>
  <c r="IS22" i="2"/>
  <c r="IS21" i="2"/>
  <c r="IS20" i="2"/>
  <c r="IS19" i="2"/>
  <c r="IS18" i="2"/>
  <c r="IS17" i="2"/>
  <c r="IS16" i="2"/>
  <c r="IS15" i="2"/>
  <c r="IS14" i="2"/>
  <c r="IS13" i="2"/>
  <c r="IS12" i="2"/>
  <c r="IS11" i="2"/>
  <c r="IS10" i="2"/>
  <c r="IQ293" i="2"/>
  <c r="IQ292" i="2"/>
  <c r="IQ291" i="2"/>
  <c r="IQ289" i="2"/>
  <c r="IQ288" i="2"/>
  <c r="IQ287" i="2"/>
  <c r="IQ286" i="2"/>
  <c r="IQ285" i="2"/>
  <c r="IQ284" i="2"/>
  <c r="IQ283" i="2"/>
  <c r="IQ282" i="2"/>
  <c r="IQ281" i="2"/>
  <c r="IQ280" i="2"/>
  <c r="IQ278" i="2"/>
  <c r="IQ277" i="2"/>
  <c r="IQ276" i="2"/>
  <c r="IQ275" i="2"/>
  <c r="IQ274" i="2"/>
  <c r="IQ273" i="2"/>
  <c r="IQ272" i="2"/>
  <c r="IQ271" i="2"/>
  <c r="IQ270" i="2"/>
  <c r="IQ269" i="2"/>
  <c r="IQ268" i="2"/>
  <c r="IQ267" i="2"/>
  <c r="IQ266" i="2"/>
  <c r="IQ265" i="2"/>
  <c r="IQ264" i="2"/>
  <c r="IQ263" i="2"/>
  <c r="IQ262" i="2"/>
  <c r="IQ261" i="2"/>
  <c r="IQ260" i="2"/>
  <c r="IQ259" i="2"/>
  <c r="IQ258" i="2"/>
  <c r="IQ257" i="2"/>
  <c r="IQ256" i="2"/>
  <c r="IQ255" i="2"/>
  <c r="IQ254" i="2"/>
  <c r="IQ253" i="2"/>
  <c r="IQ251" i="2"/>
  <c r="IQ250" i="2"/>
  <c r="IQ249" i="2"/>
  <c r="IQ248" i="2"/>
  <c r="IQ247" i="2"/>
  <c r="IQ246" i="2"/>
  <c r="IQ245" i="2"/>
  <c r="IQ244" i="2"/>
  <c r="IQ243" i="2"/>
  <c r="IQ242" i="2"/>
  <c r="IQ240" i="2"/>
  <c r="IQ239" i="2"/>
  <c r="IQ238" i="2"/>
  <c r="IQ237" i="2"/>
  <c r="IQ236" i="2"/>
  <c r="IQ235" i="2"/>
  <c r="IQ232" i="2"/>
  <c r="IQ230" i="2"/>
  <c r="IQ229" i="2"/>
  <c r="IQ228" i="2"/>
  <c r="IQ225" i="2"/>
  <c r="IQ224" i="2"/>
  <c r="IQ222" i="2"/>
  <c r="IQ221" i="2"/>
  <c r="IQ219" i="2"/>
  <c r="IQ218" i="2"/>
  <c r="IQ217" i="2"/>
  <c r="IQ216" i="2"/>
  <c r="IQ215" i="2"/>
  <c r="IQ214" i="2"/>
  <c r="IQ213" i="2"/>
  <c r="IQ212" i="2"/>
  <c r="IQ211" i="2"/>
  <c r="IQ210" i="2"/>
  <c r="IQ209" i="2"/>
  <c r="IQ208" i="2"/>
  <c r="IQ206" i="2"/>
  <c r="IQ204" i="2"/>
  <c r="IQ202" i="2"/>
  <c r="IQ201" i="2"/>
  <c r="IQ200" i="2"/>
  <c r="IQ199" i="2"/>
  <c r="IQ198" i="2"/>
  <c r="IQ197" i="2"/>
  <c r="IQ196" i="2"/>
  <c r="IQ195" i="2"/>
  <c r="IQ194" i="2"/>
  <c r="IQ193" i="2"/>
  <c r="IQ192" i="2"/>
  <c r="IQ191" i="2"/>
  <c r="IQ190" i="2"/>
  <c r="IQ189" i="2"/>
  <c r="IQ188" i="2"/>
  <c r="IQ187" i="2"/>
  <c r="IQ186" i="2"/>
  <c r="IQ185" i="2"/>
  <c r="IQ184" i="2"/>
  <c r="IQ183" i="2"/>
  <c r="IQ182" i="2"/>
  <c r="IQ181" i="2"/>
  <c r="IQ180" i="2"/>
  <c r="IQ179" i="2"/>
  <c r="IQ178" i="2"/>
  <c r="IQ177" i="2"/>
  <c r="IQ176" i="2"/>
  <c r="IQ175" i="2"/>
  <c r="IQ174" i="2"/>
  <c r="IQ173" i="2"/>
  <c r="IQ172" i="2"/>
  <c r="IQ171" i="2"/>
  <c r="IQ170" i="2"/>
  <c r="IQ169" i="2"/>
  <c r="IQ168" i="2"/>
  <c r="IQ167" i="2"/>
  <c r="IQ166" i="2"/>
  <c r="IQ165" i="2"/>
  <c r="IQ164" i="2"/>
  <c r="IQ163" i="2"/>
  <c r="IQ162" i="2"/>
  <c r="IQ161" i="2"/>
  <c r="IQ160" i="2"/>
  <c r="IQ159" i="2"/>
  <c r="IQ158" i="2"/>
  <c r="IQ157" i="2"/>
  <c r="IQ156" i="2"/>
  <c r="IQ155" i="2"/>
  <c r="IQ154" i="2"/>
  <c r="IQ153" i="2"/>
  <c r="IQ152" i="2"/>
  <c r="IQ151" i="2"/>
  <c r="IQ150" i="2"/>
  <c r="IQ149" i="2"/>
  <c r="IQ148" i="2"/>
  <c r="IQ147" i="2"/>
  <c r="IQ146" i="2"/>
  <c r="IQ145" i="2"/>
  <c r="IQ144" i="2"/>
  <c r="IQ143" i="2"/>
  <c r="IQ142" i="2"/>
  <c r="IQ141" i="2"/>
  <c r="IQ140" i="2"/>
  <c r="IQ139" i="2"/>
  <c r="IQ138" i="2"/>
  <c r="IQ137" i="2"/>
  <c r="IQ136" i="2"/>
  <c r="IQ135" i="2"/>
  <c r="IQ134" i="2"/>
  <c r="IQ133" i="2"/>
  <c r="IQ132" i="2"/>
  <c r="IQ131" i="2"/>
  <c r="IQ130" i="2"/>
  <c r="IQ129" i="2"/>
  <c r="IQ128" i="2"/>
  <c r="IQ127" i="2"/>
  <c r="IQ126" i="2"/>
  <c r="IQ125" i="2"/>
  <c r="IQ123" i="2"/>
  <c r="IQ121" i="2"/>
  <c r="IQ120" i="2"/>
  <c r="IQ119" i="2"/>
  <c r="IQ118" i="2"/>
  <c r="IQ117" i="2"/>
  <c r="IQ116" i="2"/>
  <c r="IQ115" i="2"/>
  <c r="IQ114" i="2"/>
  <c r="IQ113" i="2"/>
  <c r="IQ111" i="2"/>
  <c r="IQ110" i="2"/>
  <c r="IQ109" i="2"/>
  <c r="IQ108" i="2"/>
  <c r="IQ107" i="2"/>
  <c r="IQ106" i="2"/>
  <c r="IQ105" i="2"/>
  <c r="IQ104" i="2"/>
  <c r="IQ102" i="2"/>
  <c r="IQ101" i="2"/>
  <c r="IQ100" i="2"/>
  <c r="IQ97" i="2"/>
  <c r="IQ96" i="2"/>
  <c r="IQ95" i="2"/>
  <c r="IQ94" i="2"/>
  <c r="IQ93" i="2"/>
  <c r="IQ92" i="2"/>
  <c r="IQ91" i="2"/>
  <c r="IQ89" i="2"/>
  <c r="IQ88" i="2"/>
  <c r="IQ87" i="2"/>
  <c r="IQ86" i="2"/>
  <c r="IQ84" i="2"/>
  <c r="IQ83" i="2"/>
  <c r="IQ82" i="2"/>
  <c r="IQ81" i="2"/>
  <c r="IQ80" i="2"/>
  <c r="IQ79" i="2"/>
  <c r="IQ78" i="2"/>
  <c r="IQ77" i="2"/>
  <c r="IQ76" i="2"/>
  <c r="IQ75" i="2"/>
  <c r="IQ74" i="2"/>
  <c r="IQ73" i="2"/>
  <c r="IQ72" i="2"/>
  <c r="IQ71" i="2"/>
  <c r="IQ70" i="2"/>
  <c r="IQ69" i="2"/>
  <c r="IQ68" i="2"/>
  <c r="IQ67" i="2"/>
  <c r="IQ66" i="2"/>
  <c r="IQ65" i="2"/>
  <c r="IQ64" i="2"/>
  <c r="IQ63" i="2"/>
  <c r="IQ61" i="2"/>
  <c r="IQ60" i="2"/>
  <c r="IQ58" i="2"/>
  <c r="IQ57" i="2"/>
  <c r="IQ56" i="2"/>
  <c r="IQ55" i="2"/>
  <c r="IQ54" i="2"/>
  <c r="IQ53" i="2"/>
  <c r="IQ52" i="2"/>
  <c r="IQ51" i="2"/>
  <c r="IQ49" i="2"/>
  <c r="IQ48" i="2"/>
  <c r="IQ47" i="2"/>
  <c r="IQ46" i="2"/>
  <c r="IQ45" i="2"/>
  <c r="IQ44" i="2"/>
  <c r="IQ43" i="2"/>
  <c r="IQ42" i="2"/>
  <c r="IQ41" i="2"/>
  <c r="IQ40" i="2"/>
  <c r="IQ39" i="2"/>
  <c r="IQ38" i="2"/>
  <c r="IQ37" i="2"/>
  <c r="IQ36" i="2"/>
  <c r="IQ35" i="2"/>
  <c r="IQ34" i="2"/>
  <c r="IQ33" i="2"/>
  <c r="IQ32" i="2"/>
  <c r="IQ31" i="2"/>
  <c r="IQ30" i="2"/>
  <c r="IQ29" i="2"/>
  <c r="IQ28" i="2"/>
  <c r="IQ27" i="2"/>
  <c r="IQ26" i="2"/>
  <c r="IQ25" i="2"/>
  <c r="IQ24" i="2"/>
  <c r="IQ23" i="2"/>
  <c r="IQ22" i="2"/>
  <c r="IQ21" i="2"/>
  <c r="IQ20" i="2"/>
  <c r="IQ19" i="2"/>
  <c r="IQ18" i="2"/>
  <c r="IQ17" i="2"/>
  <c r="IQ16" i="2"/>
  <c r="IQ15" i="2"/>
  <c r="IQ14" i="2"/>
  <c r="IQ13" i="2"/>
  <c r="IQ12" i="2"/>
  <c r="IQ11" i="2"/>
  <c r="IQ10" i="2"/>
  <c r="IO293" i="2"/>
  <c r="IO292" i="2"/>
  <c r="IO289" i="2"/>
  <c r="IO288" i="2"/>
  <c r="IO287" i="2"/>
  <c r="IO286" i="2"/>
  <c r="IO284" i="2"/>
  <c r="IO282" i="2"/>
  <c r="IO281" i="2"/>
  <c r="IO280" i="2"/>
  <c r="IO275" i="2"/>
  <c r="IO274" i="2"/>
  <c r="IO273" i="2"/>
  <c r="IO271" i="2"/>
  <c r="IO267" i="2"/>
  <c r="IO266" i="2"/>
  <c r="IO265" i="2"/>
  <c r="IO264" i="2"/>
  <c r="IO263" i="2"/>
  <c r="IO258" i="2"/>
  <c r="IO257" i="2"/>
  <c r="IO256" i="2"/>
  <c r="IO253" i="2"/>
  <c r="IO249" i="2"/>
  <c r="IO248" i="2"/>
  <c r="IO244" i="2"/>
  <c r="IO241" i="2"/>
  <c r="IO237" i="2"/>
  <c r="IO233" i="2"/>
  <c r="IO232" i="2"/>
  <c r="IO230" i="2"/>
  <c r="IO223" i="2"/>
  <c r="IO220" i="2"/>
  <c r="IO219" i="2"/>
  <c r="IO218" i="2"/>
  <c r="IO216" i="2"/>
  <c r="IO215" i="2"/>
  <c r="IO214" i="2"/>
  <c r="IO213" i="2"/>
  <c r="IO212" i="2"/>
  <c r="IO211" i="2"/>
  <c r="IO210" i="2"/>
  <c r="IO209" i="2"/>
  <c r="IO208" i="2"/>
  <c r="IO204" i="2"/>
  <c r="IO202" i="2"/>
  <c r="IO200" i="2"/>
  <c r="IO198" i="2"/>
  <c r="IO197" i="2"/>
  <c r="IO196" i="2"/>
  <c r="IO195" i="2"/>
  <c r="IO194" i="2"/>
  <c r="IO193" i="2"/>
  <c r="IO192" i="2"/>
  <c r="IO191" i="2"/>
  <c r="IO189" i="2"/>
  <c r="IO188" i="2"/>
  <c r="IO187" i="2"/>
  <c r="IO185" i="2"/>
  <c r="IO184" i="2"/>
  <c r="IO183" i="2"/>
  <c r="IO182" i="2"/>
  <c r="IO180" i="2"/>
  <c r="IO179" i="2"/>
  <c r="IO177" i="2"/>
  <c r="IO176" i="2"/>
  <c r="IO175" i="2"/>
  <c r="IO174" i="2"/>
  <c r="IO173" i="2"/>
  <c r="IO172" i="2"/>
  <c r="IO171" i="2"/>
  <c r="IO170" i="2"/>
  <c r="IO169" i="2"/>
  <c r="IO168" i="2"/>
  <c r="IO167" i="2"/>
  <c r="IO165" i="2"/>
  <c r="IO164" i="2"/>
  <c r="IO162" i="2"/>
  <c r="IO161" i="2"/>
  <c r="IO160" i="2"/>
  <c r="IO158" i="2"/>
  <c r="IO157" i="2"/>
  <c r="IO155" i="2"/>
  <c r="IO154" i="2"/>
  <c r="IO153" i="2"/>
  <c r="IO151" i="2"/>
  <c r="IO150" i="2"/>
  <c r="IO149" i="2"/>
  <c r="IO148" i="2"/>
  <c r="IO147" i="2"/>
  <c r="IO146" i="2"/>
  <c r="IO145" i="2"/>
  <c r="IO143" i="2"/>
  <c r="IO142" i="2"/>
  <c r="IO141" i="2"/>
  <c r="IO140" i="2"/>
  <c r="IO139" i="2"/>
  <c r="IO137" i="2"/>
  <c r="IO135" i="2"/>
  <c r="IO133" i="2"/>
  <c r="IO132" i="2"/>
  <c r="IO129" i="2"/>
  <c r="IO127" i="2"/>
  <c r="IO123" i="2"/>
  <c r="IO119" i="2"/>
  <c r="IO118" i="2"/>
  <c r="IO117" i="2"/>
  <c r="IO114" i="2"/>
  <c r="IO113" i="2"/>
  <c r="IO111" i="2"/>
  <c r="IO110" i="2"/>
  <c r="IO108" i="2"/>
  <c r="IO106" i="2"/>
  <c r="IO101" i="2"/>
  <c r="IO93" i="2"/>
  <c r="IO89" i="2"/>
  <c r="IO88" i="2"/>
  <c r="IO85" i="2"/>
  <c r="IO84" i="2"/>
  <c r="IO83" i="2"/>
  <c r="IO82" i="2"/>
  <c r="IO80" i="2"/>
  <c r="IO74" i="2"/>
  <c r="IO61" i="2"/>
  <c r="IO60" i="2"/>
  <c r="IO55" i="2"/>
  <c r="IO52" i="2"/>
  <c r="IO51" i="2"/>
  <c r="IO47" i="2"/>
  <c r="IO46" i="2"/>
  <c r="IO45" i="2"/>
  <c r="IO43" i="2"/>
  <c r="IO42" i="2"/>
  <c r="IO41" i="2"/>
  <c r="IO40" i="2"/>
  <c r="IO39" i="2"/>
  <c r="IO38" i="2"/>
  <c r="IO37" i="2"/>
  <c r="IO36" i="2"/>
  <c r="IO35" i="2"/>
  <c r="IO34" i="2"/>
  <c r="IO33" i="2"/>
  <c r="IO32" i="2"/>
  <c r="IO31" i="2"/>
  <c r="IO30" i="2"/>
  <c r="IO29" i="2"/>
  <c r="IO28" i="2"/>
  <c r="IO27" i="2"/>
  <c r="IO26" i="2"/>
  <c r="IO25" i="2"/>
  <c r="IO24" i="2"/>
  <c r="IO23" i="2"/>
  <c r="IO22" i="2"/>
  <c r="IO20" i="2"/>
  <c r="IO19" i="2"/>
  <c r="IO17" i="2"/>
  <c r="IO16" i="2"/>
  <c r="IO15" i="2"/>
  <c r="IO14" i="2"/>
  <c r="IO13" i="2"/>
  <c r="IO12" i="2"/>
  <c r="IO11" i="2"/>
  <c r="IO10" i="2"/>
  <c r="IE293" i="2"/>
  <c r="IE292" i="2"/>
  <c r="IE291" i="2"/>
  <c r="IE290" i="2"/>
  <c r="IE289" i="2"/>
  <c r="IE288" i="2"/>
  <c r="IE287" i="2"/>
  <c r="IE286" i="2"/>
  <c r="IE285" i="2"/>
  <c r="IE284" i="2"/>
  <c r="IE283" i="2"/>
  <c r="IE282" i="2"/>
  <c r="IE281" i="2"/>
  <c r="IE280" i="2"/>
  <c r="IE279" i="2"/>
  <c r="IE278" i="2"/>
  <c r="IE277" i="2"/>
  <c r="IE276" i="2"/>
  <c r="IE275" i="2"/>
  <c r="IE274" i="2"/>
  <c r="IE273" i="2"/>
  <c r="IE272" i="2"/>
  <c r="IE271" i="2"/>
  <c r="IE270" i="2"/>
  <c r="IE269" i="2"/>
  <c r="IE268" i="2"/>
  <c r="IE267" i="2"/>
  <c r="IE266" i="2"/>
  <c r="IE265" i="2"/>
  <c r="IE264" i="2"/>
  <c r="IE263" i="2"/>
  <c r="IE262" i="2"/>
  <c r="IE261" i="2"/>
  <c r="IE260" i="2"/>
  <c r="IE259" i="2"/>
  <c r="IE258" i="2"/>
  <c r="IE257" i="2"/>
  <c r="IE256" i="2"/>
  <c r="IE255" i="2"/>
  <c r="IE254" i="2"/>
  <c r="IE253" i="2"/>
  <c r="IE252" i="2"/>
  <c r="IE251" i="2"/>
  <c r="IE250" i="2"/>
  <c r="IE249" i="2"/>
  <c r="IE248" i="2"/>
  <c r="IE247" i="2"/>
  <c r="IE246" i="2"/>
  <c r="IE245" i="2"/>
  <c r="IE244" i="2"/>
  <c r="IE243" i="2"/>
  <c r="IE242" i="2"/>
  <c r="IE241" i="2"/>
  <c r="IE240" i="2"/>
  <c r="IE239" i="2"/>
  <c r="IE238" i="2"/>
  <c r="IE237" i="2"/>
  <c r="IE236" i="2"/>
  <c r="IE235" i="2"/>
  <c r="IE234" i="2"/>
  <c r="IE233" i="2"/>
  <c r="IE232" i="2"/>
  <c r="IE231" i="2"/>
  <c r="IE230" i="2"/>
  <c r="IE229" i="2"/>
  <c r="IE228" i="2"/>
  <c r="IE226" i="2"/>
  <c r="IE225" i="2"/>
  <c r="IE224" i="2"/>
  <c r="IE223" i="2"/>
  <c r="IE222" i="2"/>
  <c r="IE221" i="2"/>
  <c r="IE220" i="2"/>
  <c r="IE219" i="2"/>
  <c r="IE218" i="2"/>
  <c r="IE217" i="2"/>
  <c r="IE216" i="2"/>
  <c r="IE215" i="2"/>
  <c r="IE214" i="2"/>
  <c r="IE213" i="2"/>
  <c r="IE212" i="2"/>
  <c r="IE211" i="2"/>
  <c r="IE210" i="2"/>
  <c r="IE209" i="2"/>
  <c r="IE208" i="2"/>
  <c r="IE207" i="2"/>
  <c r="IE206" i="2"/>
  <c r="IE205" i="2"/>
  <c r="IE204" i="2"/>
  <c r="IE203" i="2"/>
  <c r="IE202" i="2"/>
  <c r="IE200" i="2"/>
  <c r="IE199" i="2"/>
  <c r="IE198" i="2"/>
  <c r="IE197" i="2"/>
  <c r="IE196" i="2"/>
  <c r="IE195" i="2"/>
  <c r="IE194" i="2"/>
  <c r="IE193" i="2"/>
  <c r="IE192" i="2"/>
  <c r="IE191" i="2"/>
  <c r="IE190" i="2"/>
  <c r="IE189" i="2"/>
  <c r="IE188" i="2"/>
  <c r="IE187" i="2"/>
  <c r="IE186" i="2"/>
  <c r="IE185" i="2"/>
  <c r="IE184" i="2"/>
  <c r="IE183" i="2"/>
  <c r="IE182" i="2"/>
  <c r="IE181" i="2"/>
  <c r="IE180" i="2"/>
  <c r="IE179" i="2"/>
  <c r="IE178" i="2"/>
  <c r="IE177" i="2"/>
  <c r="IE176" i="2"/>
  <c r="IE175" i="2"/>
  <c r="IE174" i="2"/>
  <c r="IE173" i="2"/>
  <c r="IE172" i="2"/>
  <c r="IE171" i="2"/>
  <c r="IE170" i="2"/>
  <c r="IE169" i="2"/>
  <c r="IE168" i="2"/>
  <c r="IE167" i="2"/>
  <c r="IE166" i="2"/>
  <c r="IE165" i="2"/>
  <c r="IE164" i="2"/>
  <c r="IE163" i="2"/>
  <c r="IE162" i="2"/>
  <c r="IE161" i="2"/>
  <c r="IE160" i="2"/>
  <c r="IE159" i="2"/>
  <c r="IE158" i="2"/>
  <c r="IE157" i="2"/>
  <c r="IE156" i="2"/>
  <c r="IE155" i="2"/>
  <c r="IE154" i="2"/>
  <c r="IE153" i="2"/>
  <c r="IE152" i="2"/>
  <c r="IE151" i="2"/>
  <c r="IE150" i="2"/>
  <c r="IE149" i="2"/>
  <c r="IE148" i="2"/>
  <c r="IE147" i="2"/>
  <c r="IE146" i="2"/>
  <c r="IE145" i="2"/>
  <c r="IE144" i="2"/>
  <c r="IE143" i="2"/>
  <c r="IE142" i="2"/>
  <c r="IE141" i="2"/>
  <c r="IE140" i="2"/>
  <c r="IE139" i="2"/>
  <c r="IE138" i="2"/>
  <c r="IE137" i="2"/>
  <c r="IE136" i="2"/>
  <c r="IE135" i="2"/>
  <c r="IE134" i="2"/>
  <c r="IE133" i="2"/>
  <c r="IE132" i="2"/>
  <c r="IE131" i="2"/>
  <c r="IE130" i="2"/>
  <c r="IE129" i="2"/>
  <c r="IE128" i="2"/>
  <c r="IE127" i="2"/>
  <c r="IE126" i="2"/>
  <c r="IE125" i="2"/>
  <c r="IE124" i="2"/>
  <c r="IE123" i="2"/>
  <c r="IE122" i="2"/>
  <c r="IE121" i="2"/>
  <c r="IE120" i="2"/>
  <c r="IE119" i="2"/>
  <c r="IE118" i="2"/>
  <c r="IE117" i="2"/>
  <c r="IE115" i="2"/>
  <c r="IE114" i="2"/>
  <c r="IE113" i="2"/>
  <c r="IE112" i="2"/>
  <c r="IE111" i="2"/>
  <c r="IE110" i="2"/>
  <c r="IE109" i="2"/>
  <c r="IE108" i="2"/>
  <c r="IE107" i="2"/>
  <c r="IE106" i="2"/>
  <c r="IE105" i="2"/>
  <c r="IE104" i="2"/>
  <c r="IE103" i="2"/>
  <c r="IE102" i="2"/>
  <c r="IE101" i="2"/>
  <c r="IE100" i="2"/>
  <c r="IE99" i="2"/>
  <c r="IE98" i="2"/>
  <c r="IE97" i="2"/>
  <c r="IE96" i="2"/>
  <c r="IE95" i="2"/>
  <c r="IE94" i="2"/>
  <c r="IE93" i="2"/>
  <c r="IE92" i="2"/>
  <c r="IE91" i="2"/>
  <c r="IE90" i="2"/>
  <c r="IE89" i="2"/>
  <c r="IE88" i="2"/>
  <c r="IE87" i="2"/>
  <c r="IE86" i="2"/>
  <c r="IE85" i="2"/>
  <c r="IE84" i="2"/>
  <c r="IE83" i="2"/>
  <c r="IE82" i="2"/>
  <c r="IE81" i="2"/>
  <c r="IE80" i="2"/>
  <c r="IE79" i="2"/>
  <c r="IE78" i="2"/>
  <c r="IE77" i="2"/>
  <c r="IE76" i="2"/>
  <c r="IE75" i="2"/>
  <c r="IE74" i="2"/>
  <c r="IE73" i="2"/>
  <c r="IE72" i="2"/>
  <c r="IE71" i="2"/>
  <c r="IE70" i="2"/>
  <c r="IE69" i="2"/>
  <c r="IE68" i="2"/>
  <c r="IE67" i="2"/>
  <c r="IE66" i="2"/>
  <c r="IE65" i="2"/>
  <c r="IE64" i="2"/>
  <c r="IE63" i="2"/>
  <c r="IE62" i="2"/>
  <c r="IE61" i="2"/>
  <c r="IE60" i="2"/>
  <c r="IE59" i="2"/>
  <c r="IE58" i="2"/>
  <c r="IE57" i="2"/>
  <c r="IE56" i="2"/>
  <c r="IE55" i="2"/>
  <c r="IE54" i="2"/>
  <c r="IE53" i="2"/>
  <c r="IE52" i="2"/>
  <c r="IE51" i="2"/>
  <c r="IE50" i="2"/>
  <c r="IE49" i="2"/>
  <c r="IE48" i="2"/>
  <c r="IE47" i="2"/>
  <c r="IE46" i="2"/>
  <c r="IE45" i="2"/>
  <c r="IE44" i="2"/>
  <c r="IE43" i="2"/>
  <c r="IE42" i="2"/>
  <c r="IE41" i="2"/>
  <c r="IE40" i="2"/>
  <c r="IE39" i="2"/>
  <c r="IE38" i="2"/>
  <c r="IE37" i="2"/>
  <c r="IE36" i="2"/>
  <c r="IE35" i="2"/>
  <c r="IE34" i="2"/>
  <c r="IE33" i="2"/>
  <c r="IE32" i="2"/>
  <c r="IE31" i="2"/>
  <c r="IE30" i="2"/>
  <c r="IE29" i="2"/>
  <c r="IE28" i="2"/>
  <c r="IE27" i="2"/>
  <c r="IE26" i="2"/>
  <c r="IE25" i="2"/>
  <c r="IE24" i="2"/>
  <c r="IE23" i="2"/>
  <c r="IE22" i="2"/>
  <c r="IE21" i="2"/>
  <c r="IE20" i="2"/>
  <c r="IE19" i="2"/>
  <c r="IE18" i="2"/>
  <c r="IE17" i="2"/>
  <c r="IE16" i="2"/>
  <c r="IE15" i="2"/>
  <c r="IE14" i="2"/>
  <c r="IE13" i="2"/>
  <c r="IE12" i="2"/>
  <c r="IE11" i="2"/>
  <c r="IE10" i="2"/>
  <c r="IB290" i="2"/>
  <c r="IB289" i="2"/>
  <c r="IB288" i="2"/>
  <c r="IB274" i="2"/>
  <c r="IB273" i="2"/>
  <c r="IB258" i="2"/>
  <c r="IB257" i="2"/>
  <c r="IB256" i="2"/>
  <c r="IB234" i="2"/>
  <c r="IB231" i="2"/>
  <c r="IB228" i="2"/>
  <c r="IB226" i="2"/>
  <c r="IB216" i="2"/>
  <c r="IB212" i="2"/>
  <c r="IB211" i="2"/>
  <c r="IB210" i="2"/>
  <c r="IB206" i="2"/>
  <c r="IB205" i="2"/>
  <c r="IB204" i="2"/>
  <c r="IB203" i="2"/>
  <c r="IB200" i="2"/>
  <c r="IB197" i="2"/>
  <c r="IB196" i="2"/>
  <c r="IB195" i="2"/>
  <c r="IB192" i="2"/>
  <c r="IB189" i="2"/>
  <c r="IB188" i="2"/>
  <c r="IB183" i="2"/>
  <c r="IB182" i="2"/>
  <c r="IB177" i="2"/>
  <c r="IB176" i="2"/>
  <c r="IB175" i="2"/>
  <c r="IB174" i="2"/>
  <c r="IB173" i="2"/>
  <c r="IB172" i="2"/>
  <c r="IB171" i="2"/>
  <c r="IB170" i="2"/>
  <c r="IB164" i="2"/>
  <c r="IB162" i="2"/>
  <c r="IB161" i="2"/>
  <c r="IB158" i="2"/>
  <c r="IB157" i="2"/>
  <c r="IB154" i="2"/>
  <c r="IB153" i="2"/>
  <c r="IB151" i="2"/>
  <c r="IB150" i="2"/>
  <c r="IB149" i="2"/>
  <c r="IB147" i="2"/>
  <c r="IB146" i="2"/>
  <c r="IB145" i="2"/>
  <c r="IB143" i="2"/>
  <c r="IB142" i="2"/>
  <c r="IB141" i="2"/>
  <c r="IB139" i="2"/>
  <c r="IB137" i="2"/>
  <c r="IB135" i="2"/>
  <c r="IB133" i="2"/>
  <c r="IB132" i="2"/>
  <c r="IB129" i="2"/>
  <c r="IB123" i="2"/>
  <c r="IB119" i="2"/>
  <c r="IB118" i="2"/>
  <c r="IB114" i="2"/>
  <c r="IB113" i="2"/>
  <c r="IB112" i="2"/>
  <c r="IB111" i="2"/>
  <c r="IB108" i="2"/>
  <c r="IB105" i="2"/>
  <c r="IB103" i="2"/>
  <c r="IB101" i="2"/>
  <c r="IB99" i="2"/>
  <c r="IB94" i="2"/>
  <c r="IB93" i="2"/>
  <c r="IB90" i="2"/>
  <c r="IB89" i="2"/>
  <c r="IB83" i="2"/>
  <c r="IB82" i="2"/>
  <c r="IB80" i="2"/>
  <c r="IB61" i="2"/>
  <c r="IB60" i="2"/>
  <c r="IB58" i="2"/>
  <c r="IB51" i="2"/>
  <c r="IB50" i="2"/>
  <c r="IB46" i="2"/>
  <c r="IB43" i="2"/>
  <c r="IB42" i="2"/>
  <c r="IB35" i="2"/>
  <c r="IB34" i="2"/>
  <c r="IB33" i="2"/>
  <c r="IB29" i="2"/>
  <c r="IB28" i="2"/>
  <c r="IB22" i="2"/>
  <c r="IB20" i="2"/>
  <c r="IB19" i="2"/>
  <c r="IB10" i="2"/>
  <c r="HR293" i="2"/>
  <c r="HR292" i="2"/>
  <c r="HR291" i="2"/>
  <c r="HR290" i="2"/>
  <c r="HR289" i="2"/>
  <c r="HR288" i="2"/>
  <c r="HR287" i="2"/>
  <c r="HR286" i="2"/>
  <c r="HR285" i="2"/>
  <c r="HR284" i="2"/>
  <c r="HR283" i="2"/>
  <c r="HR282" i="2"/>
  <c r="HR281" i="2"/>
  <c r="HR280" i="2"/>
  <c r="HR279" i="2"/>
  <c r="HR278" i="2"/>
  <c r="HR277" i="2"/>
  <c r="HR276" i="2"/>
  <c r="HR275" i="2"/>
  <c r="HR274" i="2"/>
  <c r="HR273" i="2"/>
  <c r="HR272" i="2"/>
  <c r="HR271" i="2"/>
  <c r="HR270" i="2"/>
  <c r="HR269" i="2"/>
  <c r="HR268" i="2"/>
  <c r="HR267" i="2"/>
  <c r="HR266" i="2"/>
  <c r="HR265" i="2"/>
  <c r="HR264" i="2"/>
  <c r="HR263" i="2"/>
  <c r="HR262" i="2"/>
  <c r="HR261" i="2"/>
  <c r="HR260" i="2"/>
  <c r="HR259" i="2"/>
  <c r="HR258" i="2"/>
  <c r="HR257" i="2"/>
  <c r="HR256" i="2"/>
  <c r="HR255" i="2"/>
  <c r="HR254" i="2"/>
  <c r="HR253" i="2"/>
  <c r="HR252" i="2"/>
  <c r="HR251" i="2"/>
  <c r="HR250" i="2"/>
  <c r="HR249" i="2"/>
  <c r="HR248" i="2"/>
  <c r="HR247" i="2"/>
  <c r="HR246" i="2"/>
  <c r="HR245" i="2"/>
  <c r="HR244" i="2"/>
  <c r="HR243" i="2"/>
  <c r="HR242" i="2"/>
  <c r="HR241" i="2"/>
  <c r="HR240" i="2"/>
  <c r="HR239" i="2"/>
  <c r="HR238" i="2"/>
  <c r="HR237" i="2"/>
  <c r="HR236" i="2"/>
  <c r="HR235" i="2"/>
  <c r="HR234" i="2"/>
  <c r="HR233" i="2"/>
  <c r="HR232" i="2"/>
  <c r="HR231" i="2"/>
  <c r="HR230" i="2"/>
  <c r="HR229" i="2"/>
  <c r="HR228" i="2"/>
  <c r="HR227" i="2"/>
  <c r="HR226" i="2"/>
  <c r="HR225" i="2"/>
  <c r="HR224" i="2"/>
  <c r="HR223" i="2"/>
  <c r="HR222" i="2"/>
  <c r="HR221" i="2"/>
  <c r="HR220" i="2"/>
  <c r="HR219" i="2"/>
  <c r="HR218" i="2"/>
  <c r="HR217" i="2"/>
  <c r="HR216" i="2"/>
  <c r="HR215" i="2"/>
  <c r="HR214" i="2"/>
  <c r="HR213" i="2"/>
  <c r="HR212" i="2"/>
  <c r="HR211" i="2"/>
  <c r="HR210" i="2"/>
  <c r="HR209" i="2"/>
  <c r="HR208" i="2"/>
  <c r="HR207" i="2"/>
  <c r="HR206" i="2"/>
  <c r="HR205" i="2"/>
  <c r="HR204" i="2"/>
  <c r="HR203" i="2"/>
  <c r="HR202" i="2"/>
  <c r="HR201" i="2"/>
  <c r="HR200" i="2"/>
  <c r="HR199" i="2"/>
  <c r="HR198" i="2"/>
  <c r="HR197" i="2"/>
  <c r="HR196" i="2"/>
  <c r="HR195" i="2"/>
  <c r="HR194" i="2"/>
  <c r="HR193" i="2"/>
  <c r="HR192" i="2"/>
  <c r="HR191" i="2"/>
  <c r="HR190" i="2"/>
  <c r="HR189" i="2"/>
  <c r="HR188" i="2"/>
  <c r="HR187" i="2"/>
  <c r="HR186" i="2"/>
  <c r="HR185" i="2"/>
  <c r="HR184" i="2"/>
  <c r="HR183" i="2"/>
  <c r="HR182" i="2"/>
  <c r="HR181" i="2"/>
  <c r="HR180" i="2"/>
  <c r="HR179" i="2"/>
  <c r="HR178" i="2"/>
  <c r="HR177" i="2"/>
  <c r="HR176" i="2"/>
  <c r="HR175" i="2"/>
  <c r="HR174" i="2"/>
  <c r="HR173" i="2"/>
  <c r="HR172" i="2"/>
  <c r="HR171" i="2"/>
  <c r="HR170" i="2"/>
  <c r="HR169" i="2"/>
  <c r="HR168" i="2"/>
  <c r="HR167" i="2"/>
  <c r="HR166" i="2"/>
  <c r="HR165" i="2"/>
  <c r="HR164" i="2"/>
  <c r="HR163" i="2"/>
  <c r="HR162" i="2"/>
  <c r="HR161" i="2"/>
  <c r="HR160" i="2"/>
  <c r="HR159" i="2"/>
  <c r="HR158" i="2"/>
  <c r="HR157" i="2"/>
  <c r="HR156" i="2"/>
  <c r="HR155" i="2"/>
  <c r="HR154" i="2"/>
  <c r="HR153" i="2"/>
  <c r="HR152" i="2"/>
  <c r="HR151" i="2"/>
  <c r="HR150" i="2"/>
  <c r="HR149" i="2"/>
  <c r="HR148" i="2"/>
  <c r="HR147" i="2"/>
  <c r="HR146" i="2"/>
  <c r="HR145" i="2"/>
  <c r="HR144" i="2"/>
  <c r="HR143" i="2"/>
  <c r="HR142" i="2"/>
  <c r="HR141" i="2"/>
  <c r="HR140" i="2"/>
  <c r="HR139" i="2"/>
  <c r="HR138" i="2"/>
  <c r="HR137" i="2"/>
  <c r="HR136" i="2"/>
  <c r="HR135" i="2"/>
  <c r="HR134" i="2"/>
  <c r="HR133" i="2"/>
  <c r="HR132" i="2"/>
  <c r="HR131" i="2"/>
  <c r="HR130" i="2"/>
  <c r="HR129" i="2"/>
  <c r="HR128" i="2"/>
  <c r="HR127" i="2"/>
  <c r="HR126" i="2"/>
  <c r="HR125" i="2"/>
  <c r="HR124" i="2"/>
  <c r="HR123" i="2"/>
  <c r="HR122" i="2"/>
  <c r="HR121" i="2"/>
  <c r="HR120" i="2"/>
  <c r="HR119" i="2"/>
  <c r="HR118" i="2"/>
  <c r="HR117" i="2"/>
  <c r="HR116" i="2"/>
  <c r="HR115" i="2"/>
  <c r="HR114" i="2"/>
  <c r="HR113" i="2"/>
  <c r="HR112" i="2"/>
  <c r="HR111" i="2"/>
  <c r="HR110" i="2"/>
  <c r="HR109" i="2"/>
  <c r="HR108" i="2"/>
  <c r="HR107" i="2"/>
  <c r="HR106" i="2"/>
  <c r="HR105" i="2"/>
  <c r="HR104" i="2"/>
  <c r="HR103" i="2"/>
  <c r="HR102" i="2"/>
  <c r="HR101" i="2"/>
  <c r="HR100" i="2"/>
  <c r="HR99" i="2"/>
  <c r="HR98" i="2"/>
  <c r="HR97" i="2"/>
  <c r="HR96" i="2"/>
  <c r="HR95" i="2"/>
  <c r="HR94" i="2"/>
  <c r="HR93" i="2"/>
  <c r="HR92" i="2"/>
  <c r="HR91" i="2"/>
  <c r="HR90" i="2"/>
  <c r="HR89" i="2"/>
  <c r="HR88" i="2"/>
  <c r="HR87" i="2"/>
  <c r="HR86" i="2"/>
  <c r="HR85" i="2"/>
  <c r="HR84" i="2"/>
  <c r="HR83" i="2"/>
  <c r="HR82" i="2"/>
  <c r="HR81" i="2"/>
  <c r="HR80" i="2"/>
  <c r="HR79" i="2"/>
  <c r="HR78" i="2"/>
  <c r="HR77" i="2"/>
  <c r="HR76" i="2"/>
  <c r="HR75" i="2"/>
  <c r="HR74" i="2"/>
  <c r="HR73" i="2"/>
  <c r="HR72" i="2"/>
  <c r="HR71" i="2"/>
  <c r="HR70" i="2"/>
  <c r="HR69" i="2"/>
  <c r="HR68" i="2"/>
  <c r="HR67" i="2"/>
  <c r="HR66" i="2"/>
  <c r="HR65" i="2"/>
  <c r="HR64" i="2"/>
  <c r="HR63" i="2"/>
  <c r="HR62" i="2"/>
  <c r="HR61" i="2"/>
  <c r="HR60" i="2"/>
  <c r="HR59" i="2"/>
  <c r="HR58" i="2"/>
  <c r="HR57" i="2"/>
  <c r="HR56" i="2"/>
  <c r="HR55" i="2"/>
  <c r="HR54" i="2"/>
  <c r="HR53" i="2"/>
  <c r="HR52" i="2"/>
  <c r="HR51" i="2"/>
  <c r="HR50" i="2"/>
  <c r="HR49" i="2"/>
  <c r="HR48" i="2"/>
  <c r="HR47" i="2"/>
  <c r="HR46" i="2"/>
  <c r="HR45" i="2"/>
  <c r="HR44" i="2"/>
  <c r="HR43" i="2"/>
  <c r="HR42" i="2"/>
  <c r="HR41" i="2"/>
  <c r="HR40" i="2"/>
  <c r="HR39" i="2"/>
  <c r="HR38" i="2"/>
  <c r="HR37" i="2"/>
  <c r="HR36" i="2"/>
  <c r="HR35" i="2"/>
  <c r="HR34" i="2"/>
  <c r="HR33" i="2"/>
  <c r="HR32" i="2"/>
  <c r="HR31" i="2"/>
  <c r="HR30" i="2"/>
  <c r="HR29" i="2"/>
  <c r="HR28" i="2"/>
  <c r="HR27" i="2"/>
  <c r="HR26" i="2"/>
  <c r="HR25" i="2"/>
  <c r="HR24" i="2"/>
  <c r="HR23" i="2"/>
  <c r="HR22" i="2"/>
  <c r="HR21" i="2"/>
  <c r="HR20" i="2"/>
  <c r="HR19" i="2"/>
  <c r="HR18" i="2"/>
  <c r="HR17" i="2"/>
  <c r="HR16" i="2"/>
  <c r="HR15" i="2"/>
  <c r="HR14" i="2"/>
  <c r="HR13" i="2"/>
  <c r="HR12" i="2"/>
  <c r="HR11" i="2"/>
  <c r="HR10" i="2"/>
  <c r="HP293" i="2"/>
  <c r="HP292" i="2"/>
  <c r="HP291" i="2"/>
  <c r="HP290" i="2"/>
  <c r="HP289" i="2"/>
  <c r="HP288" i="2"/>
  <c r="HP287" i="2"/>
  <c r="HP286" i="2"/>
  <c r="HP285" i="2"/>
  <c r="HP284" i="2"/>
  <c r="HP283" i="2"/>
  <c r="HP282" i="2"/>
  <c r="HP281" i="2"/>
  <c r="HP280" i="2"/>
  <c r="HP279" i="2"/>
  <c r="HP278" i="2"/>
  <c r="HP277" i="2"/>
  <c r="HP276" i="2"/>
  <c r="HP275" i="2"/>
  <c r="HP274" i="2"/>
  <c r="HP273" i="2"/>
  <c r="HP272" i="2"/>
  <c r="HP271" i="2"/>
  <c r="HP270" i="2"/>
  <c r="HP269" i="2"/>
  <c r="HP268" i="2"/>
  <c r="HP267" i="2"/>
  <c r="HP266" i="2"/>
  <c r="HP265" i="2"/>
  <c r="HP264" i="2"/>
  <c r="HP263" i="2"/>
  <c r="HP262" i="2"/>
  <c r="HP261" i="2"/>
  <c r="HP260" i="2"/>
  <c r="HP259" i="2"/>
  <c r="HP258" i="2"/>
  <c r="HP257" i="2"/>
  <c r="HP256" i="2"/>
  <c r="HP255" i="2"/>
  <c r="HP254" i="2"/>
  <c r="HP253" i="2"/>
  <c r="HP252" i="2"/>
  <c r="HP251" i="2"/>
  <c r="HP250" i="2"/>
  <c r="HP249" i="2"/>
  <c r="HP248" i="2"/>
  <c r="HP247" i="2"/>
  <c r="HP246" i="2"/>
  <c r="HP245" i="2"/>
  <c r="HP244" i="2"/>
  <c r="HP243" i="2"/>
  <c r="HP242" i="2"/>
  <c r="HP241" i="2"/>
  <c r="HP240" i="2"/>
  <c r="HP239" i="2"/>
  <c r="HP238" i="2"/>
  <c r="HP237" i="2"/>
  <c r="HP236" i="2"/>
  <c r="HP235" i="2"/>
  <c r="HP234" i="2"/>
  <c r="HP233" i="2"/>
  <c r="HP232" i="2"/>
  <c r="HP231" i="2"/>
  <c r="HP230" i="2"/>
  <c r="HP229" i="2"/>
  <c r="HP228" i="2"/>
  <c r="HP227" i="2"/>
  <c r="HP226" i="2"/>
  <c r="HP225" i="2"/>
  <c r="HP224" i="2"/>
  <c r="HP223" i="2"/>
  <c r="HP222" i="2"/>
  <c r="HP221" i="2"/>
  <c r="HP220" i="2"/>
  <c r="HP219" i="2"/>
  <c r="HP218" i="2"/>
  <c r="HP217" i="2"/>
  <c r="HP216" i="2"/>
  <c r="HP215" i="2"/>
  <c r="HP214" i="2"/>
  <c r="HP213" i="2"/>
  <c r="HP212" i="2"/>
  <c r="HP211" i="2"/>
  <c r="HP210" i="2"/>
  <c r="HP209" i="2"/>
  <c r="HP208" i="2"/>
  <c r="HP207" i="2"/>
  <c r="HP206" i="2"/>
  <c r="HP205" i="2"/>
  <c r="HP204" i="2"/>
  <c r="HP203" i="2"/>
  <c r="HP202" i="2"/>
  <c r="HP201" i="2"/>
  <c r="HP200" i="2"/>
  <c r="HP199" i="2"/>
  <c r="HP198" i="2"/>
  <c r="HP197" i="2"/>
  <c r="HP196" i="2"/>
  <c r="HP195" i="2"/>
  <c r="HP194" i="2"/>
  <c r="HP193" i="2"/>
  <c r="HP192" i="2"/>
  <c r="HP191" i="2"/>
  <c r="HP190" i="2"/>
  <c r="HP189" i="2"/>
  <c r="HP188" i="2"/>
  <c r="HP187" i="2"/>
  <c r="HP186" i="2"/>
  <c r="HP185" i="2"/>
  <c r="HP184" i="2"/>
  <c r="HP183" i="2"/>
  <c r="HP182" i="2"/>
  <c r="HP181" i="2"/>
  <c r="HP180" i="2"/>
  <c r="HP179" i="2"/>
  <c r="HP178" i="2"/>
  <c r="HP177" i="2"/>
  <c r="HP176" i="2"/>
  <c r="HP175" i="2"/>
  <c r="HP174" i="2"/>
  <c r="HP173" i="2"/>
  <c r="HP172" i="2"/>
  <c r="HP171" i="2"/>
  <c r="HP170" i="2"/>
  <c r="HP169" i="2"/>
  <c r="HP168" i="2"/>
  <c r="HP167" i="2"/>
  <c r="HP166" i="2"/>
  <c r="HP165" i="2"/>
  <c r="HP164" i="2"/>
  <c r="HP163" i="2"/>
  <c r="HP162" i="2"/>
  <c r="HP161" i="2"/>
  <c r="HP160" i="2"/>
  <c r="HP159" i="2"/>
  <c r="HP158" i="2"/>
  <c r="HP157" i="2"/>
  <c r="HP156" i="2"/>
  <c r="HP155" i="2"/>
  <c r="HP154" i="2"/>
  <c r="HP153" i="2"/>
  <c r="HP152" i="2"/>
  <c r="HP151" i="2"/>
  <c r="HP150" i="2"/>
  <c r="HP149" i="2"/>
  <c r="HP148" i="2"/>
  <c r="HP147" i="2"/>
  <c r="HP146" i="2"/>
  <c r="HP145" i="2"/>
  <c r="HP144" i="2"/>
  <c r="HP143" i="2"/>
  <c r="HP142" i="2"/>
  <c r="HP141" i="2"/>
  <c r="HP140" i="2"/>
  <c r="HP139" i="2"/>
  <c r="HP138" i="2"/>
  <c r="HP137" i="2"/>
  <c r="HP136" i="2"/>
  <c r="HP135" i="2"/>
  <c r="HP134" i="2"/>
  <c r="HP133" i="2"/>
  <c r="HP132" i="2"/>
  <c r="HP131" i="2"/>
  <c r="HP130" i="2"/>
  <c r="HP129" i="2"/>
  <c r="HP128" i="2"/>
  <c r="HP127" i="2"/>
  <c r="HP126" i="2"/>
  <c r="HP125" i="2"/>
  <c r="HP124" i="2"/>
  <c r="HP123" i="2"/>
  <c r="HP122" i="2"/>
  <c r="HP121" i="2"/>
  <c r="HP120" i="2"/>
  <c r="HP119" i="2"/>
  <c r="HP118" i="2"/>
  <c r="HP117" i="2"/>
  <c r="HP116" i="2"/>
  <c r="HP115" i="2"/>
  <c r="HP114" i="2"/>
  <c r="HP113" i="2"/>
  <c r="HP112" i="2"/>
  <c r="HP111" i="2"/>
  <c r="HP110" i="2"/>
  <c r="HP109" i="2"/>
  <c r="HP108" i="2"/>
  <c r="HP107" i="2"/>
  <c r="HP106" i="2"/>
  <c r="HP105" i="2"/>
  <c r="HP104" i="2"/>
  <c r="HP103" i="2"/>
  <c r="HP102" i="2"/>
  <c r="HP101" i="2"/>
  <c r="HP100" i="2"/>
  <c r="HP99" i="2"/>
  <c r="HP98" i="2"/>
  <c r="HP97" i="2"/>
  <c r="HP96" i="2"/>
  <c r="HP95" i="2"/>
  <c r="HP94" i="2"/>
  <c r="HP93" i="2"/>
  <c r="HP92" i="2"/>
  <c r="HP91" i="2"/>
  <c r="HP90" i="2"/>
  <c r="HP89" i="2"/>
  <c r="HP88" i="2"/>
  <c r="HP87" i="2"/>
  <c r="HP86" i="2"/>
  <c r="HP85" i="2"/>
  <c r="HP84" i="2"/>
  <c r="HP83" i="2"/>
  <c r="HP82" i="2"/>
  <c r="HP81" i="2"/>
  <c r="HP80" i="2"/>
  <c r="HP79" i="2"/>
  <c r="HP78" i="2"/>
  <c r="HP77" i="2"/>
  <c r="HP76" i="2"/>
  <c r="HP75" i="2"/>
  <c r="HP74" i="2"/>
  <c r="HP73" i="2"/>
  <c r="HP72" i="2"/>
  <c r="HP71" i="2"/>
  <c r="HP70" i="2"/>
  <c r="HP69" i="2"/>
  <c r="HP68" i="2"/>
  <c r="HP67" i="2"/>
  <c r="HP66" i="2"/>
  <c r="HP65" i="2"/>
  <c r="HP64" i="2"/>
  <c r="HP63" i="2"/>
  <c r="HP62" i="2"/>
  <c r="HP61" i="2"/>
  <c r="HP60" i="2"/>
  <c r="HP59" i="2"/>
  <c r="HP58" i="2"/>
  <c r="HP57" i="2"/>
  <c r="HP56" i="2"/>
  <c r="HP55" i="2"/>
  <c r="HP54" i="2"/>
  <c r="HP53" i="2"/>
  <c r="HP52" i="2"/>
  <c r="HP51" i="2"/>
  <c r="HP50" i="2"/>
  <c r="HP49" i="2"/>
  <c r="HP48" i="2"/>
  <c r="HP47" i="2"/>
  <c r="HP46" i="2"/>
  <c r="HP45" i="2"/>
  <c r="HP44" i="2"/>
  <c r="HP43" i="2"/>
  <c r="HP42" i="2"/>
  <c r="HP41" i="2"/>
  <c r="HP40" i="2"/>
  <c r="HP39" i="2"/>
  <c r="HP38" i="2"/>
  <c r="HP37" i="2"/>
  <c r="HP36" i="2"/>
  <c r="HP35" i="2"/>
  <c r="HP34" i="2"/>
  <c r="HP33" i="2"/>
  <c r="HP32" i="2"/>
  <c r="HP31" i="2"/>
  <c r="HP30" i="2"/>
  <c r="HP29" i="2"/>
  <c r="HP28" i="2"/>
  <c r="HP27" i="2"/>
  <c r="HP26" i="2"/>
  <c r="HP25" i="2"/>
  <c r="HP24" i="2"/>
  <c r="HP23" i="2"/>
  <c r="HP22" i="2"/>
  <c r="HP21" i="2"/>
  <c r="HP20" i="2"/>
  <c r="HP19" i="2"/>
  <c r="HP18" i="2"/>
  <c r="HP17" i="2"/>
  <c r="HP16" i="2"/>
  <c r="HP15" i="2"/>
  <c r="HP14" i="2"/>
  <c r="HP13" i="2"/>
  <c r="HP12" i="2"/>
  <c r="HP11" i="2"/>
  <c r="HP10" i="2"/>
  <c r="HN293" i="2"/>
  <c r="HN292" i="2"/>
  <c r="HN291" i="2"/>
  <c r="HN290" i="2"/>
  <c r="HN289" i="2"/>
  <c r="HN288" i="2"/>
  <c r="HN287" i="2"/>
  <c r="HN286" i="2"/>
  <c r="HN285" i="2"/>
  <c r="HN284" i="2"/>
  <c r="HN283" i="2"/>
  <c r="HN282" i="2"/>
  <c r="HN281" i="2"/>
  <c r="HN280" i="2"/>
  <c r="HN279" i="2"/>
  <c r="HN278" i="2"/>
  <c r="HN277" i="2"/>
  <c r="HN276" i="2"/>
  <c r="HN275" i="2"/>
  <c r="HN274" i="2"/>
  <c r="HN273" i="2"/>
  <c r="HN272" i="2"/>
  <c r="HN271" i="2"/>
  <c r="HN270" i="2"/>
  <c r="HN269" i="2"/>
  <c r="HN268" i="2"/>
  <c r="HN267" i="2"/>
  <c r="HN266" i="2"/>
  <c r="HN265" i="2"/>
  <c r="HN264" i="2"/>
  <c r="HN263" i="2"/>
  <c r="HN262" i="2"/>
  <c r="HN261" i="2"/>
  <c r="HN260" i="2"/>
  <c r="HN259" i="2"/>
  <c r="HN258" i="2"/>
  <c r="HN257" i="2"/>
  <c r="HN256" i="2"/>
  <c r="HN255" i="2"/>
  <c r="HN254" i="2"/>
  <c r="HN253" i="2"/>
  <c r="HN252" i="2"/>
  <c r="HN251" i="2"/>
  <c r="HN250" i="2"/>
  <c r="HN249" i="2"/>
  <c r="HN248" i="2"/>
  <c r="HN247" i="2"/>
  <c r="HN246" i="2"/>
  <c r="HN245" i="2"/>
  <c r="HN244" i="2"/>
  <c r="HN243" i="2"/>
  <c r="HN242" i="2"/>
  <c r="HN241" i="2"/>
  <c r="HN240" i="2"/>
  <c r="HN239" i="2"/>
  <c r="HN238" i="2"/>
  <c r="HN237" i="2"/>
  <c r="HN236" i="2"/>
  <c r="HN235" i="2"/>
  <c r="HN234" i="2"/>
  <c r="HN233" i="2"/>
  <c r="HN232" i="2"/>
  <c r="HN231" i="2"/>
  <c r="HN230" i="2"/>
  <c r="HN229" i="2"/>
  <c r="HN228" i="2"/>
  <c r="HN227" i="2"/>
  <c r="HN226" i="2"/>
  <c r="HN225" i="2"/>
  <c r="HN224" i="2"/>
  <c r="HN223" i="2"/>
  <c r="HN222" i="2"/>
  <c r="HN221" i="2"/>
  <c r="HN220" i="2"/>
  <c r="HN219" i="2"/>
  <c r="HN218" i="2"/>
  <c r="HN217" i="2"/>
  <c r="HN216" i="2"/>
  <c r="HN215" i="2"/>
  <c r="HN214" i="2"/>
  <c r="HN213" i="2"/>
  <c r="HN212" i="2"/>
  <c r="HN211" i="2"/>
  <c r="HN210" i="2"/>
  <c r="HN209" i="2"/>
  <c r="HN208" i="2"/>
  <c r="HN207" i="2"/>
  <c r="HN206" i="2"/>
  <c r="HN205" i="2"/>
  <c r="HN204" i="2"/>
  <c r="HN203" i="2"/>
  <c r="HN202" i="2"/>
  <c r="HN201" i="2"/>
  <c r="HN200" i="2"/>
  <c r="HN199" i="2"/>
  <c r="HN198" i="2"/>
  <c r="HN197" i="2"/>
  <c r="HN196" i="2"/>
  <c r="HN195" i="2"/>
  <c r="HN194" i="2"/>
  <c r="HN193" i="2"/>
  <c r="HN192" i="2"/>
  <c r="HN191" i="2"/>
  <c r="HN190" i="2"/>
  <c r="HN189" i="2"/>
  <c r="HN188" i="2"/>
  <c r="HN187" i="2"/>
  <c r="HN186" i="2"/>
  <c r="HN185" i="2"/>
  <c r="HN184" i="2"/>
  <c r="HN183" i="2"/>
  <c r="HN182" i="2"/>
  <c r="HN181" i="2"/>
  <c r="HN180" i="2"/>
  <c r="HN179" i="2"/>
  <c r="HN178" i="2"/>
  <c r="HN177" i="2"/>
  <c r="HN176" i="2"/>
  <c r="HN175" i="2"/>
  <c r="HN174" i="2"/>
  <c r="HN173" i="2"/>
  <c r="HN172" i="2"/>
  <c r="HN171" i="2"/>
  <c r="HN170" i="2"/>
  <c r="HN169" i="2"/>
  <c r="HN168" i="2"/>
  <c r="HN167" i="2"/>
  <c r="HN166" i="2"/>
  <c r="HN165" i="2"/>
  <c r="HN164" i="2"/>
  <c r="HN163" i="2"/>
  <c r="HN162" i="2"/>
  <c r="HN161" i="2"/>
  <c r="HN160" i="2"/>
  <c r="HN159" i="2"/>
  <c r="HN158" i="2"/>
  <c r="HN157" i="2"/>
  <c r="HN156" i="2"/>
  <c r="HN155" i="2"/>
  <c r="HN154" i="2"/>
  <c r="HN153" i="2"/>
  <c r="HN152" i="2"/>
  <c r="HN151" i="2"/>
  <c r="HN150" i="2"/>
  <c r="HN149" i="2"/>
  <c r="HN148" i="2"/>
  <c r="HN147" i="2"/>
  <c r="HN146" i="2"/>
  <c r="HN145" i="2"/>
  <c r="HN144" i="2"/>
  <c r="HN143" i="2"/>
  <c r="HN142" i="2"/>
  <c r="HN141" i="2"/>
  <c r="HN140" i="2"/>
  <c r="HN139" i="2"/>
  <c r="HN138" i="2"/>
  <c r="HN137" i="2"/>
  <c r="HN136" i="2"/>
  <c r="HN135" i="2"/>
  <c r="HN134" i="2"/>
  <c r="HN133" i="2"/>
  <c r="HN132" i="2"/>
  <c r="HN131" i="2"/>
  <c r="HN130" i="2"/>
  <c r="HN129" i="2"/>
  <c r="HN128" i="2"/>
  <c r="HN127" i="2"/>
  <c r="HN126" i="2"/>
  <c r="HN125" i="2"/>
  <c r="HN124" i="2"/>
  <c r="HN123" i="2"/>
  <c r="HN122" i="2"/>
  <c r="HN121" i="2"/>
  <c r="HN120" i="2"/>
  <c r="HN119" i="2"/>
  <c r="HN118" i="2"/>
  <c r="HN117" i="2"/>
  <c r="HN116" i="2"/>
  <c r="HN115" i="2"/>
  <c r="HN114" i="2"/>
  <c r="HN113" i="2"/>
  <c r="HN112" i="2"/>
  <c r="HN111" i="2"/>
  <c r="HN110" i="2"/>
  <c r="HN109" i="2"/>
  <c r="HN108" i="2"/>
  <c r="HN107" i="2"/>
  <c r="HN106" i="2"/>
  <c r="HN105" i="2"/>
  <c r="HN104" i="2"/>
  <c r="HN103" i="2"/>
  <c r="HN102" i="2"/>
  <c r="HN101" i="2"/>
  <c r="HN100" i="2"/>
  <c r="HN99" i="2"/>
  <c r="HN98" i="2"/>
  <c r="HN97" i="2"/>
  <c r="HN96" i="2"/>
  <c r="HN95" i="2"/>
  <c r="HN94" i="2"/>
  <c r="HN93" i="2"/>
  <c r="HN92" i="2"/>
  <c r="HN91" i="2"/>
  <c r="HN90" i="2"/>
  <c r="HN89" i="2"/>
  <c r="HN88" i="2"/>
  <c r="HN87" i="2"/>
  <c r="HN86" i="2"/>
  <c r="HN85" i="2"/>
  <c r="HN84" i="2"/>
  <c r="HN83" i="2"/>
  <c r="HN82" i="2"/>
  <c r="HN81" i="2"/>
  <c r="HN80" i="2"/>
  <c r="HN79" i="2"/>
  <c r="HN78" i="2"/>
  <c r="HN77" i="2"/>
  <c r="HN76" i="2"/>
  <c r="HN75" i="2"/>
  <c r="HN74" i="2"/>
  <c r="HN73" i="2"/>
  <c r="HN72" i="2"/>
  <c r="HN71" i="2"/>
  <c r="HN70" i="2"/>
  <c r="HN69" i="2"/>
  <c r="HN68" i="2"/>
  <c r="HN67" i="2"/>
  <c r="HN66" i="2"/>
  <c r="HN65" i="2"/>
  <c r="HN64" i="2"/>
  <c r="HN63" i="2"/>
  <c r="HN62" i="2"/>
  <c r="HN61" i="2"/>
  <c r="HN60" i="2"/>
  <c r="HN59" i="2"/>
  <c r="HN58" i="2"/>
  <c r="HN57" i="2"/>
  <c r="HN56" i="2"/>
  <c r="HN55" i="2"/>
  <c r="HN54" i="2"/>
  <c r="HN53" i="2"/>
  <c r="HN52" i="2"/>
  <c r="HN51" i="2"/>
  <c r="HN50" i="2"/>
  <c r="HN49" i="2"/>
  <c r="HN48" i="2"/>
  <c r="HN47" i="2"/>
  <c r="HN46" i="2"/>
  <c r="HN45" i="2"/>
  <c r="HN44" i="2"/>
  <c r="HN43" i="2"/>
  <c r="HN42" i="2"/>
  <c r="HN41" i="2"/>
  <c r="HN40" i="2"/>
  <c r="HN39" i="2"/>
  <c r="HN38" i="2"/>
  <c r="HN37" i="2"/>
  <c r="HN36" i="2"/>
  <c r="HN35" i="2"/>
  <c r="HN34" i="2"/>
  <c r="HN33" i="2"/>
  <c r="HN32" i="2"/>
  <c r="HN31" i="2"/>
  <c r="HN30" i="2"/>
  <c r="HN29" i="2"/>
  <c r="HN28" i="2"/>
  <c r="HN27" i="2"/>
  <c r="HN26" i="2"/>
  <c r="HN25" i="2"/>
  <c r="HN24" i="2"/>
  <c r="HN23" i="2"/>
  <c r="HN22" i="2"/>
  <c r="HN21" i="2"/>
  <c r="HN20" i="2"/>
  <c r="HN19" i="2"/>
  <c r="HN18" i="2"/>
  <c r="HN17" i="2"/>
  <c r="HN16" i="2"/>
  <c r="HN15" i="2"/>
  <c r="HN14" i="2"/>
  <c r="HN13" i="2"/>
  <c r="HN12" i="2"/>
  <c r="HN11" i="2"/>
  <c r="HN10" i="2"/>
  <c r="HL293" i="2"/>
  <c r="HL292" i="2"/>
  <c r="HL291" i="2"/>
  <c r="HL290" i="2"/>
  <c r="HL289" i="2"/>
  <c r="HL288" i="2"/>
  <c r="HL287" i="2"/>
  <c r="HL286" i="2"/>
  <c r="HL285" i="2"/>
  <c r="HL284" i="2"/>
  <c r="HL283" i="2"/>
  <c r="HL282" i="2"/>
  <c r="HL281" i="2"/>
  <c r="HL280" i="2"/>
  <c r="HL279" i="2"/>
  <c r="HL278" i="2"/>
  <c r="HL277" i="2"/>
  <c r="HL276" i="2"/>
  <c r="HL275" i="2"/>
  <c r="HL274" i="2"/>
  <c r="HL273" i="2"/>
  <c r="HL272" i="2"/>
  <c r="HL271" i="2"/>
  <c r="HL270" i="2"/>
  <c r="HL269" i="2"/>
  <c r="HL268" i="2"/>
  <c r="HL267" i="2"/>
  <c r="HL266" i="2"/>
  <c r="HL265" i="2"/>
  <c r="HL264" i="2"/>
  <c r="HL263" i="2"/>
  <c r="HL262" i="2"/>
  <c r="HL261" i="2"/>
  <c r="HL260" i="2"/>
  <c r="HL259" i="2"/>
  <c r="HL258" i="2"/>
  <c r="HL257" i="2"/>
  <c r="HL256" i="2"/>
  <c r="HL255" i="2"/>
  <c r="HL254" i="2"/>
  <c r="HL253" i="2"/>
  <c r="HL252" i="2"/>
  <c r="HL251" i="2"/>
  <c r="HL250" i="2"/>
  <c r="HL249" i="2"/>
  <c r="HL248" i="2"/>
  <c r="HL247" i="2"/>
  <c r="HL246" i="2"/>
  <c r="HL245" i="2"/>
  <c r="HL244" i="2"/>
  <c r="HL243" i="2"/>
  <c r="HL242" i="2"/>
  <c r="HL241" i="2"/>
  <c r="HL240" i="2"/>
  <c r="HL239" i="2"/>
  <c r="HL238" i="2"/>
  <c r="HL237" i="2"/>
  <c r="HL236" i="2"/>
  <c r="HL235" i="2"/>
  <c r="HL234" i="2"/>
  <c r="HL233" i="2"/>
  <c r="HL232" i="2"/>
  <c r="HL231" i="2"/>
  <c r="HL230" i="2"/>
  <c r="HL229" i="2"/>
  <c r="HL228" i="2"/>
  <c r="HL227" i="2"/>
  <c r="HL226" i="2"/>
  <c r="HL225" i="2"/>
  <c r="HL224" i="2"/>
  <c r="HL223" i="2"/>
  <c r="HL222" i="2"/>
  <c r="HL221" i="2"/>
  <c r="HL220" i="2"/>
  <c r="HL219" i="2"/>
  <c r="HL218" i="2"/>
  <c r="HL217" i="2"/>
  <c r="HL216" i="2"/>
  <c r="HL215" i="2"/>
  <c r="HL214" i="2"/>
  <c r="HL213" i="2"/>
  <c r="HL212" i="2"/>
  <c r="HL211" i="2"/>
  <c r="HL210" i="2"/>
  <c r="HL209" i="2"/>
  <c r="HL208" i="2"/>
  <c r="HL207" i="2"/>
  <c r="HL206" i="2"/>
  <c r="HL205" i="2"/>
  <c r="HL204" i="2"/>
  <c r="HL203" i="2"/>
  <c r="HL202" i="2"/>
  <c r="HL201" i="2"/>
  <c r="HL200" i="2"/>
  <c r="HL199" i="2"/>
  <c r="HL198" i="2"/>
  <c r="HL197" i="2"/>
  <c r="HL196" i="2"/>
  <c r="HL195" i="2"/>
  <c r="HL194" i="2"/>
  <c r="HL193" i="2"/>
  <c r="HL192" i="2"/>
  <c r="HL191" i="2"/>
  <c r="HL190" i="2"/>
  <c r="HL189" i="2"/>
  <c r="HL188" i="2"/>
  <c r="HL187" i="2"/>
  <c r="HL186" i="2"/>
  <c r="HL185" i="2"/>
  <c r="HL184" i="2"/>
  <c r="HL183" i="2"/>
  <c r="HL182" i="2"/>
  <c r="HL181" i="2"/>
  <c r="HL180" i="2"/>
  <c r="HL179" i="2"/>
  <c r="HL178" i="2"/>
  <c r="HL177" i="2"/>
  <c r="HL176" i="2"/>
  <c r="HL175" i="2"/>
  <c r="HL174" i="2"/>
  <c r="HL173" i="2"/>
  <c r="HL172" i="2"/>
  <c r="HL171" i="2"/>
  <c r="HL170" i="2"/>
  <c r="HL169" i="2"/>
  <c r="HL168" i="2"/>
  <c r="HL167" i="2"/>
  <c r="HL166" i="2"/>
  <c r="HL165" i="2"/>
  <c r="HL164" i="2"/>
  <c r="HL163" i="2"/>
  <c r="HL162" i="2"/>
  <c r="HL161" i="2"/>
  <c r="HL160" i="2"/>
  <c r="HL159" i="2"/>
  <c r="HL158" i="2"/>
  <c r="HL157" i="2"/>
  <c r="HL156" i="2"/>
  <c r="HL155" i="2"/>
  <c r="HL154" i="2"/>
  <c r="HL153" i="2"/>
  <c r="HL152" i="2"/>
  <c r="HL151" i="2"/>
  <c r="HL150" i="2"/>
  <c r="HL149" i="2"/>
  <c r="HL148" i="2"/>
  <c r="HL147" i="2"/>
  <c r="HL146" i="2"/>
  <c r="HL145" i="2"/>
  <c r="HL144" i="2"/>
  <c r="HL143" i="2"/>
  <c r="HL142" i="2"/>
  <c r="HL141" i="2"/>
  <c r="HL140" i="2"/>
  <c r="HL139" i="2"/>
  <c r="HL138" i="2"/>
  <c r="HL137" i="2"/>
  <c r="HL136" i="2"/>
  <c r="HL135" i="2"/>
  <c r="HL134" i="2"/>
  <c r="HL133" i="2"/>
  <c r="HL132" i="2"/>
  <c r="HL131" i="2"/>
  <c r="HL130" i="2"/>
  <c r="HL129" i="2"/>
  <c r="HL128" i="2"/>
  <c r="HL127" i="2"/>
  <c r="HL126" i="2"/>
  <c r="HL125" i="2"/>
  <c r="HL124" i="2"/>
  <c r="HL123" i="2"/>
  <c r="HL122" i="2"/>
  <c r="HL121" i="2"/>
  <c r="HL120" i="2"/>
  <c r="HL119" i="2"/>
  <c r="HL118" i="2"/>
  <c r="HL117" i="2"/>
  <c r="HL116" i="2"/>
  <c r="HL115" i="2"/>
  <c r="HL114" i="2"/>
  <c r="HL113" i="2"/>
  <c r="HL112" i="2"/>
  <c r="HL111" i="2"/>
  <c r="HL110" i="2"/>
  <c r="HL109" i="2"/>
  <c r="HL108" i="2"/>
  <c r="HL107" i="2"/>
  <c r="HL106" i="2"/>
  <c r="HL105" i="2"/>
  <c r="HL104" i="2"/>
  <c r="HL103" i="2"/>
  <c r="HL102" i="2"/>
  <c r="HL101" i="2"/>
  <c r="HL100" i="2"/>
  <c r="HL99" i="2"/>
  <c r="HL98" i="2"/>
  <c r="HL97" i="2"/>
  <c r="HL96" i="2"/>
  <c r="HL95" i="2"/>
  <c r="HL94" i="2"/>
  <c r="HL93" i="2"/>
  <c r="HL92" i="2"/>
  <c r="HL91" i="2"/>
  <c r="HL90" i="2"/>
  <c r="HL89" i="2"/>
  <c r="HL88" i="2"/>
  <c r="HL87" i="2"/>
  <c r="HL86" i="2"/>
  <c r="HL85" i="2"/>
  <c r="HL84" i="2"/>
  <c r="HL83" i="2"/>
  <c r="HL82" i="2"/>
  <c r="HL81" i="2"/>
  <c r="HL80" i="2"/>
  <c r="HL79" i="2"/>
  <c r="HL78" i="2"/>
  <c r="HL77" i="2"/>
  <c r="HL76" i="2"/>
  <c r="HL75" i="2"/>
  <c r="HL74" i="2"/>
  <c r="HL73" i="2"/>
  <c r="HL72" i="2"/>
  <c r="HL71" i="2"/>
  <c r="HL70" i="2"/>
  <c r="HL69" i="2"/>
  <c r="HL68" i="2"/>
  <c r="HL67" i="2"/>
  <c r="HL66" i="2"/>
  <c r="HL65" i="2"/>
  <c r="HL64" i="2"/>
  <c r="HL63" i="2"/>
  <c r="HL62" i="2"/>
  <c r="HL61" i="2"/>
  <c r="HL60" i="2"/>
  <c r="HL59" i="2"/>
  <c r="HL58" i="2"/>
  <c r="HL57" i="2"/>
  <c r="HL56" i="2"/>
  <c r="HL55" i="2"/>
  <c r="HL54" i="2"/>
  <c r="HL53" i="2"/>
  <c r="HL52" i="2"/>
  <c r="HL51" i="2"/>
  <c r="HL50" i="2"/>
  <c r="HL49" i="2"/>
  <c r="HL48" i="2"/>
  <c r="HL47" i="2"/>
  <c r="HL46" i="2"/>
  <c r="HL45" i="2"/>
  <c r="HL44" i="2"/>
  <c r="HL43" i="2"/>
  <c r="HL42" i="2"/>
  <c r="HL41" i="2"/>
  <c r="HL40" i="2"/>
  <c r="HL39" i="2"/>
  <c r="HL38" i="2"/>
  <c r="HL37" i="2"/>
  <c r="HL36" i="2"/>
  <c r="HL35" i="2"/>
  <c r="HL34" i="2"/>
  <c r="HL33" i="2"/>
  <c r="HL32" i="2"/>
  <c r="HL31" i="2"/>
  <c r="HL30" i="2"/>
  <c r="HL29" i="2"/>
  <c r="HL28" i="2"/>
  <c r="HL27" i="2"/>
  <c r="HL26" i="2"/>
  <c r="HL25" i="2"/>
  <c r="HL24" i="2"/>
  <c r="HL23" i="2"/>
  <c r="HL22" i="2"/>
  <c r="HL21" i="2"/>
  <c r="HL20" i="2"/>
  <c r="HL19" i="2"/>
  <c r="HL18" i="2"/>
  <c r="HL17" i="2"/>
  <c r="HL16" i="2"/>
  <c r="HL15" i="2"/>
  <c r="HL14" i="2"/>
  <c r="HL13" i="2"/>
  <c r="HL12" i="2"/>
  <c r="HL11" i="2"/>
  <c r="HL10" i="2"/>
  <c r="HJ293" i="2"/>
  <c r="HJ292" i="2"/>
  <c r="HJ291" i="2"/>
  <c r="HJ290" i="2"/>
  <c r="HJ289" i="2"/>
  <c r="HJ288" i="2"/>
  <c r="HJ287" i="2"/>
  <c r="HJ286" i="2"/>
  <c r="HJ285" i="2"/>
  <c r="HJ284" i="2"/>
  <c r="HJ283" i="2"/>
  <c r="HJ282" i="2"/>
  <c r="HJ281" i="2"/>
  <c r="HJ280" i="2"/>
  <c r="HJ279" i="2"/>
  <c r="HJ278" i="2"/>
  <c r="HJ277" i="2"/>
  <c r="HJ276" i="2"/>
  <c r="HJ275" i="2"/>
  <c r="HJ274" i="2"/>
  <c r="HJ273" i="2"/>
  <c r="HJ272" i="2"/>
  <c r="HJ271" i="2"/>
  <c r="HJ270" i="2"/>
  <c r="HJ269" i="2"/>
  <c r="HJ268" i="2"/>
  <c r="HJ267" i="2"/>
  <c r="HJ266" i="2"/>
  <c r="HJ265" i="2"/>
  <c r="HJ264" i="2"/>
  <c r="HJ263" i="2"/>
  <c r="HJ262" i="2"/>
  <c r="HJ261" i="2"/>
  <c r="HJ260" i="2"/>
  <c r="HJ259" i="2"/>
  <c r="HJ258" i="2"/>
  <c r="HJ257" i="2"/>
  <c r="HJ256" i="2"/>
  <c r="HJ255" i="2"/>
  <c r="HJ254" i="2"/>
  <c r="HJ253" i="2"/>
  <c r="HJ252" i="2"/>
  <c r="HJ251" i="2"/>
  <c r="HJ250" i="2"/>
  <c r="HJ249" i="2"/>
  <c r="HJ248" i="2"/>
  <c r="HJ247" i="2"/>
  <c r="HJ246" i="2"/>
  <c r="HJ245" i="2"/>
  <c r="HJ244" i="2"/>
  <c r="HJ243" i="2"/>
  <c r="HJ242" i="2"/>
  <c r="HJ241" i="2"/>
  <c r="HJ240" i="2"/>
  <c r="HJ239" i="2"/>
  <c r="HJ238" i="2"/>
  <c r="HJ237" i="2"/>
  <c r="HJ236" i="2"/>
  <c r="HJ235" i="2"/>
  <c r="HJ234" i="2"/>
  <c r="HJ233" i="2"/>
  <c r="HJ232" i="2"/>
  <c r="HJ231" i="2"/>
  <c r="HJ230" i="2"/>
  <c r="HJ229" i="2"/>
  <c r="HJ227" i="2"/>
  <c r="HJ226" i="2"/>
  <c r="HJ225" i="2"/>
  <c r="HJ224" i="2"/>
  <c r="HJ223" i="2"/>
  <c r="HJ222" i="2"/>
  <c r="HJ221" i="2"/>
  <c r="HJ220" i="2"/>
  <c r="HJ219" i="2"/>
  <c r="HJ218" i="2"/>
  <c r="HJ217" i="2"/>
  <c r="HJ216" i="2"/>
  <c r="HJ215" i="2"/>
  <c r="HJ214" i="2"/>
  <c r="HJ213" i="2"/>
  <c r="HJ212" i="2"/>
  <c r="HJ211" i="2"/>
  <c r="HJ210" i="2"/>
  <c r="HJ209" i="2"/>
  <c r="HJ208" i="2"/>
  <c r="HJ207" i="2"/>
  <c r="HJ206" i="2"/>
  <c r="HJ205" i="2"/>
  <c r="HJ204" i="2"/>
  <c r="HJ203" i="2"/>
  <c r="HJ202" i="2"/>
  <c r="HJ201" i="2"/>
  <c r="HJ200" i="2"/>
  <c r="HJ199" i="2"/>
  <c r="HJ198" i="2"/>
  <c r="HJ197" i="2"/>
  <c r="HJ196" i="2"/>
  <c r="HJ195" i="2"/>
  <c r="HJ194" i="2"/>
  <c r="HJ193" i="2"/>
  <c r="HJ192" i="2"/>
  <c r="HJ191" i="2"/>
  <c r="HJ190" i="2"/>
  <c r="HJ189" i="2"/>
  <c r="HJ188" i="2"/>
  <c r="HJ187" i="2"/>
  <c r="HJ186" i="2"/>
  <c r="HJ185" i="2"/>
  <c r="HJ184" i="2"/>
  <c r="HJ183" i="2"/>
  <c r="HJ182" i="2"/>
  <c r="HJ181" i="2"/>
  <c r="HJ180" i="2"/>
  <c r="HJ179" i="2"/>
  <c r="HJ178" i="2"/>
  <c r="HJ177" i="2"/>
  <c r="HJ176" i="2"/>
  <c r="HJ175" i="2"/>
  <c r="HJ174" i="2"/>
  <c r="HJ173" i="2"/>
  <c r="HJ172" i="2"/>
  <c r="HJ171" i="2"/>
  <c r="HJ170" i="2"/>
  <c r="HJ169" i="2"/>
  <c r="HJ168" i="2"/>
  <c r="HJ167" i="2"/>
  <c r="HJ166" i="2"/>
  <c r="HJ165" i="2"/>
  <c r="HJ164" i="2"/>
  <c r="HJ163" i="2"/>
  <c r="HJ162" i="2"/>
  <c r="HJ161" i="2"/>
  <c r="HJ160" i="2"/>
  <c r="HJ159" i="2"/>
  <c r="HJ158" i="2"/>
  <c r="HJ157" i="2"/>
  <c r="HJ156" i="2"/>
  <c r="HJ155" i="2"/>
  <c r="HJ154" i="2"/>
  <c r="HJ153" i="2"/>
  <c r="HJ152" i="2"/>
  <c r="HJ151" i="2"/>
  <c r="HJ150" i="2"/>
  <c r="HJ149" i="2"/>
  <c r="HJ148" i="2"/>
  <c r="HJ147" i="2"/>
  <c r="HJ146" i="2"/>
  <c r="HJ145" i="2"/>
  <c r="HJ144" i="2"/>
  <c r="HJ143" i="2"/>
  <c r="HJ142" i="2"/>
  <c r="HJ141" i="2"/>
  <c r="HJ140" i="2"/>
  <c r="HJ139" i="2"/>
  <c r="HJ138" i="2"/>
  <c r="HJ137" i="2"/>
  <c r="HJ136" i="2"/>
  <c r="HJ135" i="2"/>
  <c r="HJ134" i="2"/>
  <c r="HJ133" i="2"/>
  <c r="HJ132" i="2"/>
  <c r="HJ131" i="2"/>
  <c r="HJ130" i="2"/>
  <c r="HJ129" i="2"/>
  <c r="HJ128" i="2"/>
  <c r="HJ127" i="2"/>
  <c r="HJ126" i="2"/>
  <c r="HJ125" i="2"/>
  <c r="HJ124" i="2"/>
  <c r="HJ123" i="2"/>
  <c r="HJ122" i="2"/>
  <c r="HJ121" i="2"/>
  <c r="HJ120" i="2"/>
  <c r="HJ119" i="2"/>
  <c r="HJ118" i="2"/>
  <c r="HJ117" i="2"/>
  <c r="HJ116" i="2"/>
  <c r="HJ115" i="2"/>
  <c r="HJ114" i="2"/>
  <c r="HJ113" i="2"/>
  <c r="HJ112" i="2"/>
  <c r="HJ111" i="2"/>
  <c r="HJ110" i="2"/>
  <c r="HJ109" i="2"/>
  <c r="HJ108" i="2"/>
  <c r="HJ107" i="2"/>
  <c r="HJ106" i="2"/>
  <c r="HJ105" i="2"/>
  <c r="HJ104" i="2"/>
  <c r="HJ103" i="2"/>
  <c r="HJ102" i="2"/>
  <c r="HJ101" i="2"/>
  <c r="HJ100" i="2"/>
  <c r="HJ99" i="2"/>
  <c r="HJ98" i="2"/>
  <c r="HJ97" i="2"/>
  <c r="HJ96" i="2"/>
  <c r="HJ95" i="2"/>
  <c r="HJ94" i="2"/>
  <c r="HJ93" i="2"/>
  <c r="HJ92" i="2"/>
  <c r="HJ91" i="2"/>
  <c r="HJ90" i="2"/>
  <c r="HJ89" i="2"/>
  <c r="HJ88" i="2"/>
  <c r="HJ86" i="2"/>
  <c r="HJ85" i="2"/>
  <c r="HJ84" i="2"/>
  <c r="HJ83" i="2"/>
  <c r="HJ82" i="2"/>
  <c r="HJ81" i="2"/>
  <c r="HJ80" i="2"/>
  <c r="HJ79" i="2"/>
  <c r="HJ78" i="2"/>
  <c r="HJ77" i="2"/>
  <c r="HJ76" i="2"/>
  <c r="HJ75" i="2"/>
  <c r="HJ74" i="2"/>
  <c r="HJ73" i="2"/>
  <c r="HJ72" i="2"/>
  <c r="HJ71" i="2"/>
  <c r="HJ70" i="2"/>
  <c r="HJ69" i="2"/>
  <c r="HJ68" i="2"/>
  <c r="HJ67" i="2"/>
  <c r="HJ66" i="2"/>
  <c r="HJ65" i="2"/>
  <c r="HJ64" i="2"/>
  <c r="HJ63" i="2"/>
  <c r="HJ62" i="2"/>
  <c r="HJ61" i="2"/>
  <c r="HJ60" i="2"/>
  <c r="HJ59" i="2"/>
  <c r="HJ58" i="2"/>
  <c r="HJ57" i="2"/>
  <c r="HJ56" i="2"/>
  <c r="HJ55" i="2"/>
  <c r="HJ54" i="2"/>
  <c r="HJ53" i="2"/>
  <c r="HJ52" i="2"/>
  <c r="HJ51" i="2"/>
  <c r="HJ50" i="2"/>
  <c r="HJ49" i="2"/>
  <c r="HJ48" i="2"/>
  <c r="HJ47" i="2"/>
  <c r="HJ46" i="2"/>
  <c r="HJ45" i="2"/>
  <c r="HJ44" i="2"/>
  <c r="HJ43" i="2"/>
  <c r="HJ42" i="2"/>
  <c r="HJ41" i="2"/>
  <c r="HJ40" i="2"/>
  <c r="HJ39" i="2"/>
  <c r="HJ38" i="2"/>
  <c r="HJ37" i="2"/>
  <c r="HJ36" i="2"/>
  <c r="HJ35" i="2"/>
  <c r="HJ34" i="2"/>
  <c r="HJ33" i="2"/>
  <c r="HJ32" i="2"/>
  <c r="HJ31" i="2"/>
  <c r="HJ30" i="2"/>
  <c r="HJ29" i="2"/>
  <c r="HJ28" i="2"/>
  <c r="HJ27" i="2"/>
  <c r="HJ26" i="2"/>
  <c r="HJ25" i="2"/>
  <c r="HJ24" i="2"/>
  <c r="HJ23" i="2"/>
  <c r="HJ22" i="2"/>
  <c r="HJ21" i="2"/>
  <c r="HJ20" i="2"/>
  <c r="HJ19" i="2"/>
  <c r="HJ18" i="2"/>
  <c r="HJ16" i="2"/>
  <c r="HJ15" i="2"/>
  <c r="HJ14" i="2"/>
  <c r="HJ13" i="2"/>
  <c r="HJ12" i="2"/>
  <c r="HJ11" i="2"/>
  <c r="HJ10" i="2"/>
  <c r="HH293" i="2"/>
  <c r="HH292" i="2"/>
  <c r="HH291" i="2"/>
  <c r="HH290" i="2"/>
  <c r="HH289" i="2"/>
  <c r="HH288" i="2"/>
  <c r="HH287" i="2"/>
  <c r="HH286" i="2"/>
  <c r="HH285" i="2"/>
  <c r="HH284" i="2"/>
  <c r="HH283" i="2"/>
  <c r="HH282" i="2"/>
  <c r="HH281" i="2"/>
  <c r="HH280" i="2"/>
  <c r="HH279" i="2"/>
  <c r="HH278" i="2"/>
  <c r="HH277" i="2"/>
  <c r="HH276" i="2"/>
  <c r="HH275" i="2"/>
  <c r="HH274" i="2"/>
  <c r="HH273" i="2"/>
  <c r="HH272" i="2"/>
  <c r="HH271" i="2"/>
  <c r="HH270" i="2"/>
  <c r="HH269" i="2"/>
  <c r="HH268" i="2"/>
  <c r="HH267" i="2"/>
  <c r="HH266" i="2"/>
  <c r="HH265" i="2"/>
  <c r="HH264" i="2"/>
  <c r="HH263" i="2"/>
  <c r="HH262" i="2"/>
  <c r="HH261" i="2"/>
  <c r="HH260" i="2"/>
  <c r="HH258" i="2"/>
  <c r="HH257" i="2"/>
  <c r="HH256" i="2"/>
  <c r="HH255" i="2"/>
  <c r="HH254" i="2"/>
  <c r="HH253" i="2"/>
  <c r="HH252" i="2"/>
  <c r="HH251" i="2"/>
  <c r="HH250" i="2"/>
  <c r="HH249" i="2"/>
  <c r="HH248" i="2"/>
  <c r="HH247" i="2"/>
  <c r="HH246" i="2"/>
  <c r="HH245" i="2"/>
  <c r="HH244" i="2"/>
  <c r="HH243" i="2"/>
  <c r="HH242" i="2"/>
  <c r="HH241" i="2"/>
  <c r="HH240" i="2"/>
  <c r="HH239" i="2"/>
  <c r="HH238" i="2"/>
  <c r="HH237" i="2"/>
  <c r="HH235" i="2"/>
  <c r="HH234" i="2"/>
  <c r="HH233" i="2"/>
  <c r="HH232" i="2"/>
  <c r="HH231" i="2"/>
  <c r="HH230" i="2"/>
  <c r="HH229" i="2"/>
  <c r="HH227" i="2"/>
  <c r="HH226" i="2"/>
  <c r="HH225" i="2"/>
  <c r="HH224" i="2"/>
  <c r="HH223" i="2"/>
  <c r="HH222" i="2"/>
  <c r="HH221" i="2"/>
  <c r="HH220" i="2"/>
  <c r="HH219" i="2"/>
  <c r="HH218" i="2"/>
  <c r="HH217" i="2"/>
  <c r="HH216" i="2"/>
  <c r="HH215" i="2"/>
  <c r="HH212" i="2"/>
  <c r="HH211" i="2"/>
  <c r="HH210" i="2"/>
  <c r="HH209" i="2"/>
  <c r="HH208" i="2"/>
  <c r="HH207" i="2"/>
  <c r="HH206" i="2"/>
  <c r="HH204" i="2"/>
  <c r="HH203" i="2"/>
  <c r="HH202" i="2"/>
  <c r="HH201" i="2"/>
  <c r="HH200" i="2"/>
  <c r="HH199" i="2"/>
  <c r="HH198" i="2"/>
  <c r="HH197" i="2"/>
  <c r="HH196" i="2"/>
  <c r="HH195" i="2"/>
  <c r="HH194" i="2"/>
  <c r="HH193" i="2"/>
  <c r="HH192" i="2"/>
  <c r="HH191" i="2"/>
  <c r="HH190" i="2"/>
  <c r="HH189" i="2"/>
  <c r="HH188" i="2"/>
  <c r="HH187" i="2"/>
  <c r="HH186" i="2"/>
  <c r="HH185" i="2"/>
  <c r="HH184" i="2"/>
  <c r="HH183" i="2"/>
  <c r="HH182" i="2"/>
  <c r="HH181" i="2"/>
  <c r="HH180" i="2"/>
  <c r="HH179" i="2"/>
  <c r="HH178" i="2"/>
  <c r="HH177" i="2"/>
  <c r="HH176" i="2"/>
  <c r="HH175" i="2"/>
  <c r="HH174" i="2"/>
  <c r="HH173" i="2"/>
  <c r="HH172" i="2"/>
  <c r="HH171" i="2"/>
  <c r="HH170" i="2"/>
  <c r="HH169" i="2"/>
  <c r="HH168" i="2"/>
  <c r="HH167" i="2"/>
  <c r="HH166" i="2"/>
  <c r="HH165" i="2"/>
  <c r="HH164" i="2"/>
  <c r="HH163" i="2"/>
  <c r="HH162" i="2"/>
  <c r="HH161" i="2"/>
  <c r="HH160" i="2"/>
  <c r="HH159" i="2"/>
  <c r="HH158" i="2"/>
  <c r="HH157" i="2"/>
  <c r="HH156" i="2"/>
  <c r="HH155" i="2"/>
  <c r="HH154" i="2"/>
  <c r="HH153" i="2"/>
  <c r="HH152" i="2"/>
  <c r="HH151" i="2"/>
  <c r="HH150" i="2"/>
  <c r="HH149" i="2"/>
  <c r="HH148" i="2"/>
  <c r="HH147" i="2"/>
  <c r="HH146" i="2"/>
  <c r="HH145" i="2"/>
  <c r="HH144" i="2"/>
  <c r="HH143" i="2"/>
  <c r="HH142" i="2"/>
  <c r="HH141" i="2"/>
  <c r="HH140" i="2"/>
  <c r="HH139" i="2"/>
  <c r="HH138" i="2"/>
  <c r="HH137" i="2"/>
  <c r="HH136" i="2"/>
  <c r="HH135" i="2"/>
  <c r="HH134" i="2"/>
  <c r="HH133" i="2"/>
  <c r="HH132" i="2"/>
  <c r="HH131" i="2"/>
  <c r="HH130" i="2"/>
  <c r="HH129" i="2"/>
  <c r="HH128" i="2"/>
  <c r="HH126" i="2"/>
  <c r="HH125" i="2"/>
  <c r="HH124" i="2"/>
  <c r="HH123" i="2"/>
  <c r="HH122" i="2"/>
  <c r="HH121" i="2"/>
  <c r="HH120" i="2"/>
  <c r="HH119" i="2"/>
  <c r="HH118" i="2"/>
  <c r="HH117" i="2"/>
  <c r="HH116" i="2"/>
  <c r="HH115" i="2"/>
  <c r="HH114" i="2"/>
  <c r="HH113" i="2"/>
  <c r="HH112" i="2"/>
  <c r="HH111" i="2"/>
  <c r="HH110" i="2"/>
  <c r="HH109" i="2"/>
  <c r="HH108" i="2"/>
  <c r="HH107" i="2"/>
  <c r="HH106" i="2"/>
  <c r="HH105" i="2"/>
  <c r="HH104" i="2"/>
  <c r="HH103" i="2"/>
  <c r="HH102" i="2"/>
  <c r="HH101" i="2"/>
  <c r="HH100" i="2"/>
  <c r="HH99" i="2"/>
  <c r="HH98" i="2"/>
  <c r="HH97" i="2"/>
  <c r="HH96" i="2"/>
  <c r="HH95" i="2"/>
  <c r="HH94" i="2"/>
  <c r="HH93" i="2"/>
  <c r="HH92" i="2"/>
  <c r="HH91" i="2"/>
  <c r="HH90" i="2"/>
  <c r="HH89" i="2"/>
  <c r="HH88" i="2"/>
  <c r="HH86" i="2"/>
  <c r="HH85" i="2"/>
  <c r="HH84" i="2"/>
  <c r="HH83" i="2"/>
  <c r="HH82" i="2"/>
  <c r="HH81" i="2"/>
  <c r="HH80" i="2"/>
  <c r="HH79" i="2"/>
  <c r="HH78" i="2"/>
  <c r="HH77" i="2"/>
  <c r="HH76" i="2"/>
  <c r="HH75" i="2"/>
  <c r="HH74" i="2"/>
  <c r="HH73" i="2"/>
  <c r="HH72" i="2"/>
  <c r="HH71" i="2"/>
  <c r="HH70" i="2"/>
  <c r="HH69" i="2"/>
  <c r="HH68" i="2"/>
  <c r="HH67" i="2"/>
  <c r="HH66" i="2"/>
  <c r="HH65" i="2"/>
  <c r="HH64" i="2"/>
  <c r="HH63" i="2"/>
  <c r="HH62" i="2"/>
  <c r="HH61" i="2"/>
  <c r="HH60" i="2"/>
  <c r="HH59" i="2"/>
  <c r="HH58" i="2"/>
  <c r="HH57" i="2"/>
  <c r="HH56" i="2"/>
  <c r="HH54" i="2"/>
  <c r="HH53" i="2"/>
  <c r="HH52" i="2"/>
  <c r="HH51" i="2"/>
  <c r="HH50" i="2"/>
  <c r="HH49" i="2"/>
  <c r="HH48" i="2"/>
  <c r="HH47" i="2"/>
  <c r="HH46" i="2"/>
  <c r="HH45" i="2"/>
  <c r="HH44" i="2"/>
  <c r="HH43" i="2"/>
  <c r="HH42" i="2"/>
  <c r="HH41" i="2"/>
  <c r="HH40" i="2"/>
  <c r="HH39" i="2"/>
  <c r="HH38" i="2"/>
  <c r="HH37" i="2"/>
  <c r="HH36" i="2"/>
  <c r="HH35" i="2"/>
  <c r="HH34" i="2"/>
  <c r="HH33" i="2"/>
  <c r="HH32" i="2"/>
  <c r="HH31" i="2"/>
  <c r="HH30" i="2"/>
  <c r="HH29" i="2"/>
  <c r="HH28" i="2"/>
  <c r="HH27" i="2"/>
  <c r="HH26" i="2"/>
  <c r="HH25" i="2"/>
  <c r="HH24" i="2"/>
  <c r="HH23" i="2"/>
  <c r="HH22" i="2"/>
  <c r="HH21" i="2"/>
  <c r="HH20" i="2"/>
  <c r="HH19" i="2"/>
  <c r="HH18" i="2"/>
  <c r="HH16" i="2"/>
  <c r="HH15" i="2"/>
  <c r="HH14" i="2"/>
  <c r="HH13" i="2"/>
  <c r="HH12" i="2"/>
  <c r="HH11" i="2"/>
  <c r="HH10" i="2"/>
  <c r="HF293" i="2"/>
  <c r="HF292" i="2"/>
  <c r="HF291" i="2"/>
  <c r="HF290" i="2"/>
  <c r="HF289" i="2"/>
  <c r="HF288" i="2"/>
  <c r="HF287" i="2"/>
  <c r="HF286" i="2"/>
  <c r="HF285" i="2"/>
  <c r="HF284" i="2"/>
  <c r="HF282" i="2"/>
  <c r="HF280" i="2"/>
  <c r="HF279" i="2"/>
  <c r="HF278" i="2"/>
  <c r="HF277" i="2"/>
  <c r="HF276" i="2"/>
  <c r="HF275" i="2"/>
  <c r="HF274" i="2"/>
  <c r="HF273" i="2"/>
  <c r="HF272" i="2"/>
  <c r="HF271" i="2"/>
  <c r="HF270" i="2"/>
  <c r="HF269" i="2"/>
  <c r="HF268" i="2"/>
  <c r="HF267" i="2"/>
  <c r="HF266" i="2"/>
  <c r="HF265" i="2"/>
  <c r="HF263" i="2"/>
  <c r="HF262" i="2"/>
  <c r="HF261" i="2"/>
  <c r="HF258" i="2"/>
  <c r="HF257" i="2"/>
  <c r="HF256" i="2"/>
  <c r="HF255" i="2"/>
  <c r="HF254" i="2"/>
  <c r="HF253" i="2"/>
  <c r="HF252" i="2"/>
  <c r="HF251" i="2"/>
  <c r="HF250" i="2"/>
  <c r="HF249" i="2"/>
  <c r="HF248" i="2"/>
  <c r="HF247" i="2"/>
  <c r="HF246" i="2"/>
  <c r="HF245" i="2"/>
  <c r="HF244" i="2"/>
  <c r="HF243" i="2"/>
  <c r="HF242" i="2"/>
  <c r="HF241" i="2"/>
  <c r="HF240" i="2"/>
  <c r="HF239" i="2"/>
  <c r="HF238" i="2"/>
  <c r="HF235" i="2"/>
  <c r="HF234" i="2"/>
  <c r="HF233" i="2"/>
  <c r="HF232" i="2"/>
  <c r="HF231" i="2"/>
  <c r="HF227" i="2"/>
  <c r="HF226" i="2"/>
  <c r="HF225" i="2"/>
  <c r="HF223" i="2"/>
  <c r="HF222" i="2"/>
  <c r="HF221" i="2"/>
  <c r="HF219" i="2"/>
  <c r="HF218" i="2"/>
  <c r="HF217" i="2"/>
  <c r="HF216" i="2"/>
  <c r="HF212" i="2"/>
  <c r="HF211" i="2"/>
  <c r="HF210" i="2"/>
  <c r="HF209" i="2"/>
  <c r="HF208" i="2"/>
  <c r="HF207" i="2"/>
  <c r="HF206" i="2"/>
  <c r="HF205" i="2"/>
  <c r="HF204" i="2"/>
  <c r="HF203" i="2"/>
  <c r="HF202" i="2"/>
  <c r="HF201" i="2"/>
  <c r="HF200" i="2"/>
  <c r="HF199" i="2"/>
  <c r="HF198" i="2"/>
  <c r="HF197" i="2"/>
  <c r="HF196" i="2"/>
  <c r="HF195" i="2"/>
  <c r="HF194" i="2"/>
  <c r="HF193" i="2"/>
  <c r="HF192" i="2"/>
  <c r="HF191" i="2"/>
  <c r="HF190" i="2"/>
  <c r="HF189" i="2"/>
  <c r="HF188" i="2"/>
  <c r="HF187" i="2"/>
  <c r="HF186" i="2"/>
  <c r="HF185" i="2"/>
  <c r="HF184" i="2"/>
  <c r="HF183" i="2"/>
  <c r="HF182" i="2"/>
  <c r="HF181" i="2"/>
  <c r="HF180" i="2"/>
  <c r="HF179" i="2"/>
  <c r="HF178" i="2"/>
  <c r="HF177" i="2"/>
  <c r="HF176" i="2"/>
  <c r="HF175" i="2"/>
  <c r="HF174" i="2"/>
  <c r="HF173" i="2"/>
  <c r="HF172" i="2"/>
  <c r="HF171" i="2"/>
  <c r="HF170" i="2"/>
  <c r="HF169" i="2"/>
  <c r="HF168" i="2"/>
  <c r="HF167" i="2"/>
  <c r="HF166" i="2"/>
  <c r="HF165" i="2"/>
  <c r="HF164" i="2"/>
  <c r="HF163" i="2"/>
  <c r="HF162" i="2"/>
  <c r="HF161" i="2"/>
  <c r="HF160" i="2"/>
  <c r="HF159" i="2"/>
  <c r="HF158" i="2"/>
  <c r="HF157" i="2"/>
  <c r="HF156" i="2"/>
  <c r="HF155" i="2"/>
  <c r="HF154" i="2"/>
  <c r="HF153" i="2"/>
  <c r="HF151" i="2"/>
  <c r="HF150" i="2"/>
  <c r="HF149" i="2"/>
  <c r="HF148" i="2"/>
  <c r="HF147" i="2"/>
  <c r="HF146" i="2"/>
  <c r="HF145" i="2"/>
  <c r="HF144" i="2"/>
  <c r="HF143" i="2"/>
  <c r="HF142" i="2"/>
  <c r="HF141" i="2"/>
  <c r="HF140" i="2"/>
  <c r="HF139" i="2"/>
  <c r="HF138" i="2"/>
  <c r="HF137" i="2"/>
  <c r="HF136" i="2"/>
  <c r="HF135" i="2"/>
  <c r="HF133" i="2"/>
  <c r="HF132" i="2"/>
  <c r="HF131" i="2"/>
  <c r="HF130" i="2"/>
  <c r="HF129" i="2"/>
  <c r="HF126" i="2"/>
  <c r="HF125" i="2"/>
  <c r="HF124" i="2"/>
  <c r="HF123" i="2"/>
  <c r="HF122" i="2"/>
  <c r="HF121" i="2"/>
  <c r="HF120" i="2"/>
  <c r="HF119" i="2"/>
  <c r="HF118" i="2"/>
  <c r="HF117" i="2"/>
  <c r="HF115" i="2"/>
  <c r="HF114" i="2"/>
  <c r="HF113" i="2"/>
  <c r="HF112" i="2"/>
  <c r="HF111" i="2"/>
  <c r="HF110" i="2"/>
  <c r="HF109" i="2"/>
  <c r="HF108" i="2"/>
  <c r="HF107" i="2"/>
  <c r="HF106" i="2"/>
  <c r="HF105" i="2"/>
  <c r="HF104" i="2"/>
  <c r="HF102" i="2"/>
  <c r="HF101" i="2"/>
  <c r="HF100" i="2"/>
  <c r="HF99" i="2"/>
  <c r="HF98" i="2"/>
  <c r="HF97" i="2"/>
  <c r="HF96" i="2"/>
  <c r="HF95" i="2"/>
  <c r="HF94" i="2"/>
  <c r="HF93" i="2"/>
  <c r="HF92" i="2"/>
  <c r="HF90" i="2"/>
  <c r="HF89" i="2"/>
  <c r="HF88" i="2"/>
  <c r="HF86" i="2"/>
  <c r="HF85" i="2"/>
  <c r="HF84" i="2"/>
  <c r="HF83" i="2"/>
  <c r="HF82" i="2"/>
  <c r="HF81" i="2"/>
  <c r="HF80" i="2"/>
  <c r="HF79" i="2"/>
  <c r="HF78" i="2"/>
  <c r="HF77" i="2"/>
  <c r="HF76" i="2"/>
  <c r="HF75" i="2"/>
  <c r="HF74" i="2"/>
  <c r="HF73" i="2"/>
  <c r="HF72" i="2"/>
  <c r="HF71" i="2"/>
  <c r="HF70" i="2"/>
  <c r="HF69" i="2"/>
  <c r="HF68" i="2"/>
  <c r="HF67" i="2"/>
  <c r="HF66" i="2"/>
  <c r="HF65" i="2"/>
  <c r="HF64" i="2"/>
  <c r="HF63" i="2"/>
  <c r="HF62" i="2"/>
  <c r="HF61" i="2"/>
  <c r="HF60" i="2"/>
  <c r="HF58" i="2"/>
  <c r="HF57" i="2"/>
  <c r="HF56" i="2"/>
  <c r="HF55" i="2"/>
  <c r="HF54" i="2"/>
  <c r="HF53" i="2"/>
  <c r="HF52" i="2"/>
  <c r="HF51" i="2"/>
  <c r="HF50" i="2"/>
  <c r="HF49" i="2"/>
  <c r="HF48" i="2"/>
  <c r="HF47" i="2"/>
  <c r="HF46" i="2"/>
  <c r="HF45" i="2"/>
  <c r="HF44" i="2"/>
  <c r="HF43" i="2"/>
  <c r="HF42" i="2"/>
  <c r="HF41" i="2"/>
  <c r="HF40" i="2"/>
  <c r="HF39" i="2"/>
  <c r="HF38" i="2"/>
  <c r="HF37" i="2"/>
  <c r="HF36" i="2"/>
  <c r="HF35" i="2"/>
  <c r="HF34" i="2"/>
  <c r="HF33" i="2"/>
  <c r="HF32" i="2"/>
  <c r="HF31" i="2"/>
  <c r="HF30" i="2"/>
  <c r="HF29" i="2"/>
  <c r="HF28" i="2"/>
  <c r="HF27" i="2"/>
  <c r="HF26" i="2"/>
  <c r="HF25" i="2"/>
  <c r="HF24" i="2"/>
  <c r="HF23" i="2"/>
  <c r="HF22" i="2"/>
  <c r="HF21" i="2"/>
  <c r="HF20" i="2"/>
  <c r="HF19" i="2"/>
  <c r="HF18" i="2"/>
  <c r="HF17" i="2"/>
  <c r="HF16" i="2"/>
  <c r="HF15" i="2"/>
  <c r="HF14" i="2"/>
  <c r="HF13" i="2"/>
  <c r="HF12" i="2"/>
  <c r="HF11" i="2"/>
  <c r="HF10" i="2"/>
  <c r="HD292" i="2"/>
  <c r="HD291" i="2"/>
  <c r="HD290" i="2"/>
  <c r="HD289" i="2"/>
  <c r="HD288" i="2"/>
  <c r="HD286" i="2"/>
  <c r="HD285" i="2"/>
  <c r="HD276" i="2"/>
  <c r="HD274" i="2"/>
  <c r="HD269" i="2"/>
  <c r="HD264" i="2"/>
  <c r="HD260" i="2"/>
  <c r="HD258" i="2"/>
  <c r="HD257" i="2"/>
  <c r="HD256" i="2"/>
  <c r="HD254" i="2"/>
  <c r="HD251" i="2"/>
  <c r="HD250" i="2"/>
  <c r="HD241" i="2"/>
  <c r="HD240" i="2"/>
  <c r="HD235" i="2"/>
  <c r="HD233" i="2"/>
  <c r="HD227" i="2"/>
  <c r="HD225" i="2"/>
  <c r="HD216" i="2"/>
  <c r="HD215" i="2"/>
  <c r="HD214" i="2"/>
  <c r="HD213" i="2"/>
  <c r="HD211" i="2"/>
  <c r="HD207" i="2"/>
  <c r="HD204" i="2"/>
  <c r="HD201" i="2"/>
  <c r="HD200" i="2"/>
  <c r="HD199" i="2"/>
  <c r="HD198" i="2"/>
  <c r="HD197" i="2"/>
  <c r="HD196" i="2"/>
  <c r="HD195" i="2"/>
  <c r="HD193" i="2"/>
  <c r="HD192" i="2"/>
  <c r="HD190" i="2"/>
  <c r="HD189" i="2"/>
  <c r="HD188" i="2"/>
  <c r="HD187" i="2"/>
  <c r="HD186" i="2"/>
  <c r="HD185" i="2"/>
  <c r="HD184" i="2"/>
  <c r="HD183" i="2"/>
  <c r="HD182" i="2"/>
  <c r="HD181" i="2"/>
  <c r="HD179" i="2"/>
  <c r="HD178" i="2"/>
  <c r="HD177" i="2"/>
  <c r="HD176" i="2"/>
  <c r="HD175" i="2"/>
  <c r="HD174" i="2"/>
  <c r="HD173" i="2"/>
  <c r="HD172" i="2"/>
  <c r="HD171" i="2"/>
  <c r="HD170" i="2"/>
  <c r="HD169" i="2"/>
  <c r="HD168" i="2"/>
  <c r="HD167" i="2"/>
  <c r="HD166" i="2"/>
  <c r="HD165" i="2"/>
  <c r="HD164" i="2"/>
  <c r="HD163" i="2"/>
  <c r="HD162" i="2"/>
  <c r="HD161" i="2"/>
  <c r="HD160" i="2"/>
  <c r="HD159" i="2"/>
  <c r="HD158" i="2"/>
  <c r="HD157" i="2"/>
  <c r="HD156" i="2"/>
  <c r="HD155" i="2"/>
  <c r="HD154" i="2"/>
  <c r="HD153" i="2"/>
  <c r="HD151" i="2"/>
  <c r="HD150" i="2"/>
  <c r="HD148" i="2"/>
  <c r="HD147" i="2"/>
  <c r="HD146" i="2"/>
  <c r="HD145" i="2"/>
  <c r="HD143" i="2"/>
  <c r="HD142" i="2"/>
  <c r="HD141" i="2"/>
  <c r="HD140" i="2"/>
  <c r="HD139" i="2"/>
  <c r="HD137" i="2"/>
  <c r="HD136" i="2"/>
  <c r="HD135" i="2"/>
  <c r="HD133" i="2"/>
  <c r="HD132" i="2"/>
  <c r="HD129" i="2"/>
  <c r="HD118" i="2"/>
  <c r="HD114" i="2"/>
  <c r="HD113" i="2"/>
  <c r="HD111" i="2"/>
  <c r="HD103" i="2"/>
  <c r="HD99" i="2"/>
  <c r="HD96" i="2"/>
  <c r="HD94" i="2"/>
  <c r="HD93" i="2"/>
  <c r="HD91" i="2"/>
  <c r="HD89" i="2"/>
  <c r="HD87" i="2"/>
  <c r="HD80" i="2"/>
  <c r="HD70" i="2"/>
  <c r="HD66" i="2"/>
  <c r="HD61" i="2"/>
  <c r="HD51" i="2"/>
  <c r="HD49" i="2"/>
  <c r="HD45" i="2"/>
  <c r="HD44" i="2"/>
  <c r="HD43" i="2"/>
  <c r="HD42" i="2"/>
  <c r="HD41" i="2"/>
  <c r="HD40" i="2"/>
  <c r="HD39" i="2"/>
  <c r="HD38" i="2"/>
  <c r="HD37" i="2"/>
  <c r="HD35" i="2"/>
  <c r="HD34" i="2"/>
  <c r="HD33" i="2"/>
  <c r="HD32" i="2"/>
  <c r="HD31" i="2"/>
  <c r="HD30" i="2"/>
  <c r="HD29" i="2"/>
  <c r="HD28" i="2"/>
  <c r="HD27" i="2"/>
  <c r="HD26" i="2"/>
  <c r="HD25" i="2"/>
  <c r="HD24" i="2"/>
  <c r="HD23" i="2"/>
  <c r="HD22" i="2"/>
  <c r="HD21" i="2"/>
  <c r="HD20" i="2"/>
  <c r="HD19" i="2"/>
  <c r="HD16" i="2"/>
  <c r="HD15" i="2"/>
  <c r="HD14" i="2"/>
  <c r="HD13" i="2"/>
  <c r="HD12" i="2"/>
  <c r="HD11" i="2"/>
  <c r="HD10" i="2"/>
  <c r="GT293" i="2"/>
  <c r="GT292" i="2"/>
  <c r="GT291" i="2"/>
  <c r="GT290" i="2"/>
  <c r="GT289" i="2"/>
  <c r="GT288" i="2"/>
  <c r="GT287" i="2"/>
  <c r="GT286" i="2"/>
  <c r="GT285" i="2"/>
  <c r="GT284" i="2"/>
  <c r="GT283" i="2"/>
  <c r="GT282" i="2"/>
  <c r="GT281" i="2"/>
  <c r="GT280" i="2"/>
  <c r="GT279" i="2"/>
  <c r="GT278" i="2"/>
  <c r="GT277" i="2"/>
  <c r="GT276" i="2"/>
  <c r="GT275" i="2"/>
  <c r="GT274" i="2"/>
  <c r="GT273" i="2"/>
  <c r="GT272" i="2"/>
  <c r="GT271" i="2"/>
  <c r="GT270" i="2"/>
  <c r="GT269" i="2"/>
  <c r="GT268" i="2"/>
  <c r="GT266" i="2"/>
  <c r="GT265" i="2"/>
  <c r="GT264" i="2"/>
  <c r="GT263" i="2"/>
  <c r="GT262" i="2"/>
  <c r="GT261" i="2"/>
  <c r="GT260" i="2"/>
  <c r="GT258" i="2"/>
  <c r="GT257" i="2"/>
  <c r="GT256" i="2"/>
  <c r="GT255" i="2"/>
  <c r="GT254" i="2"/>
  <c r="GT253" i="2"/>
  <c r="GT252" i="2"/>
  <c r="GT251" i="2"/>
  <c r="GT250" i="2"/>
  <c r="GT249" i="2"/>
  <c r="GT248" i="2"/>
  <c r="GT247" i="2"/>
  <c r="GT246" i="2"/>
  <c r="GT245" i="2"/>
  <c r="GT244" i="2"/>
  <c r="GT243" i="2"/>
  <c r="GT242" i="2"/>
  <c r="GT241" i="2"/>
  <c r="GT240" i="2"/>
  <c r="GT239" i="2"/>
  <c r="GT238" i="2"/>
  <c r="GT237" i="2"/>
  <c r="GT236" i="2"/>
  <c r="GT235" i="2"/>
  <c r="GT234" i="2"/>
  <c r="GT233" i="2"/>
  <c r="GT232" i="2"/>
  <c r="GT231" i="2"/>
  <c r="GT230" i="2"/>
  <c r="GT228" i="2"/>
  <c r="GT227" i="2"/>
  <c r="GT226" i="2"/>
  <c r="GT225" i="2"/>
  <c r="GT224" i="2"/>
  <c r="GT223" i="2"/>
  <c r="GT222" i="2"/>
  <c r="GT221" i="2"/>
  <c r="GT220" i="2"/>
  <c r="GT219" i="2"/>
  <c r="GT218" i="2"/>
  <c r="GT217" i="2"/>
  <c r="GT216" i="2"/>
  <c r="GT215" i="2"/>
  <c r="GT214" i="2"/>
  <c r="GT213" i="2"/>
  <c r="GT212" i="2"/>
  <c r="GT211" i="2"/>
  <c r="GT210" i="2"/>
  <c r="GT209" i="2"/>
  <c r="GT208" i="2"/>
  <c r="GT207" i="2"/>
  <c r="GT206" i="2"/>
  <c r="GT205" i="2"/>
  <c r="GT204" i="2"/>
  <c r="GT203" i="2"/>
  <c r="GT202" i="2"/>
  <c r="GT201" i="2"/>
  <c r="GT200" i="2"/>
  <c r="GT199" i="2"/>
  <c r="GT198" i="2"/>
  <c r="GT197" i="2"/>
  <c r="GT196" i="2"/>
  <c r="GT195" i="2"/>
  <c r="GT194" i="2"/>
  <c r="GT193" i="2"/>
  <c r="GT192" i="2"/>
  <c r="GT191" i="2"/>
  <c r="GT190" i="2"/>
  <c r="GT189" i="2"/>
  <c r="GT188" i="2"/>
  <c r="GT187" i="2"/>
  <c r="GT186" i="2"/>
  <c r="GT185" i="2"/>
  <c r="GT184" i="2"/>
  <c r="GT183" i="2"/>
  <c r="GT182" i="2"/>
  <c r="GT181" i="2"/>
  <c r="GT180" i="2"/>
  <c r="GT179" i="2"/>
  <c r="GT178" i="2"/>
  <c r="GT177" i="2"/>
  <c r="GT176" i="2"/>
  <c r="GT175" i="2"/>
  <c r="GT174" i="2"/>
  <c r="GT173" i="2"/>
  <c r="GT172" i="2"/>
  <c r="GT171" i="2"/>
  <c r="GT170" i="2"/>
  <c r="GT169" i="2"/>
  <c r="GT168" i="2"/>
  <c r="GT167" i="2"/>
  <c r="GT166" i="2"/>
  <c r="GT165" i="2"/>
  <c r="GT164" i="2"/>
  <c r="GT163" i="2"/>
  <c r="GT162" i="2"/>
  <c r="GT161" i="2"/>
  <c r="GT160" i="2"/>
  <c r="GT159" i="2"/>
  <c r="GT158" i="2"/>
  <c r="GT157" i="2"/>
  <c r="GT156" i="2"/>
  <c r="GT155" i="2"/>
  <c r="GT154" i="2"/>
  <c r="GT153" i="2"/>
  <c r="GT152" i="2"/>
  <c r="GT151" i="2"/>
  <c r="GT150" i="2"/>
  <c r="GT149" i="2"/>
  <c r="GT148" i="2"/>
  <c r="GT147" i="2"/>
  <c r="GT146" i="2"/>
  <c r="GT145" i="2"/>
  <c r="GT144" i="2"/>
  <c r="GT143" i="2"/>
  <c r="GT142" i="2"/>
  <c r="GT141" i="2"/>
  <c r="GT140" i="2"/>
  <c r="GT139" i="2"/>
  <c r="GT138" i="2"/>
  <c r="GT137" i="2"/>
  <c r="GT136" i="2"/>
  <c r="GT135" i="2"/>
  <c r="GT134" i="2"/>
  <c r="GT133" i="2"/>
  <c r="GT132" i="2"/>
  <c r="GT131" i="2"/>
  <c r="GT130" i="2"/>
  <c r="GT129" i="2"/>
  <c r="GT128" i="2"/>
  <c r="GT127" i="2"/>
  <c r="GT126" i="2"/>
  <c r="GT125" i="2"/>
  <c r="GT124" i="2"/>
  <c r="GT123" i="2"/>
  <c r="GT122" i="2"/>
  <c r="GT121" i="2"/>
  <c r="GT120" i="2"/>
  <c r="GT119" i="2"/>
  <c r="GT118" i="2"/>
  <c r="GT117" i="2"/>
  <c r="GT116" i="2"/>
  <c r="GT115" i="2"/>
  <c r="GT114" i="2"/>
  <c r="GT113" i="2"/>
  <c r="GT112" i="2"/>
  <c r="GT111" i="2"/>
  <c r="GT110" i="2"/>
  <c r="GT109" i="2"/>
  <c r="GT108" i="2"/>
  <c r="GT107" i="2"/>
  <c r="GT106" i="2"/>
  <c r="GT105" i="2"/>
  <c r="GT104" i="2"/>
  <c r="GT103" i="2"/>
  <c r="GT102" i="2"/>
  <c r="GT101" i="2"/>
  <c r="GT100" i="2"/>
  <c r="GT99" i="2"/>
  <c r="GT97" i="2"/>
  <c r="GT96" i="2"/>
  <c r="GT95" i="2"/>
  <c r="GT94" i="2"/>
  <c r="GT93" i="2"/>
  <c r="GT92" i="2"/>
  <c r="GT91" i="2"/>
  <c r="GT90" i="2"/>
  <c r="GT89" i="2"/>
  <c r="GT88" i="2"/>
  <c r="GT87" i="2"/>
  <c r="GT86" i="2"/>
  <c r="GT85" i="2"/>
  <c r="GT84" i="2"/>
  <c r="GT83" i="2"/>
  <c r="GT82" i="2"/>
  <c r="GT80" i="2"/>
  <c r="GT79" i="2"/>
  <c r="GT78" i="2"/>
  <c r="GT77" i="2"/>
  <c r="GT76" i="2"/>
  <c r="GT75" i="2"/>
  <c r="GT74" i="2"/>
  <c r="GT73" i="2"/>
  <c r="GT72" i="2"/>
  <c r="GT71" i="2"/>
  <c r="GT70" i="2"/>
  <c r="GT69" i="2"/>
  <c r="GT68" i="2"/>
  <c r="GT67" i="2"/>
  <c r="GT66" i="2"/>
  <c r="GT65" i="2"/>
  <c r="GT64" i="2"/>
  <c r="GT63" i="2"/>
  <c r="GT62" i="2"/>
  <c r="GT61" i="2"/>
  <c r="GT60" i="2"/>
  <c r="GT59" i="2"/>
  <c r="GT58" i="2"/>
  <c r="GT57" i="2"/>
  <c r="GT56" i="2"/>
  <c r="GT55" i="2"/>
  <c r="GT54" i="2"/>
  <c r="GT53" i="2"/>
  <c r="GT52" i="2"/>
  <c r="GT51" i="2"/>
  <c r="GT50" i="2"/>
  <c r="GT49" i="2"/>
  <c r="GT48" i="2"/>
  <c r="GT47" i="2"/>
  <c r="GT46" i="2"/>
  <c r="GT45" i="2"/>
  <c r="GT44" i="2"/>
  <c r="GT43" i="2"/>
  <c r="GT42" i="2"/>
  <c r="GT41" i="2"/>
  <c r="GT40" i="2"/>
  <c r="GT39" i="2"/>
  <c r="GT38" i="2"/>
  <c r="GT37" i="2"/>
  <c r="GT36" i="2"/>
  <c r="GT35" i="2"/>
  <c r="GT34" i="2"/>
  <c r="GT33" i="2"/>
  <c r="GT32" i="2"/>
  <c r="GT31" i="2"/>
  <c r="GT30" i="2"/>
  <c r="GT29" i="2"/>
  <c r="GT28" i="2"/>
  <c r="GT27" i="2"/>
  <c r="GT26" i="2"/>
  <c r="GT25" i="2"/>
  <c r="GT24" i="2"/>
  <c r="GT23" i="2"/>
  <c r="GT22" i="2"/>
  <c r="GT21" i="2"/>
  <c r="GT20" i="2"/>
  <c r="GT19" i="2"/>
  <c r="GT18" i="2"/>
  <c r="GT17" i="2"/>
  <c r="GT16" i="2"/>
  <c r="GT15" i="2"/>
  <c r="GT14" i="2"/>
  <c r="GT13" i="2"/>
  <c r="GT12" i="2"/>
  <c r="GT11" i="2"/>
  <c r="GT10" i="2"/>
  <c r="GQ289" i="2"/>
  <c r="GQ288" i="2"/>
  <c r="GQ281" i="2"/>
  <c r="GQ274" i="2"/>
  <c r="GQ258" i="2"/>
  <c r="GQ257" i="2"/>
  <c r="GQ228" i="2"/>
  <c r="GQ216" i="2"/>
  <c r="GQ215" i="2"/>
  <c r="GQ214" i="2"/>
  <c r="GQ213" i="2"/>
  <c r="GQ211" i="2"/>
  <c r="GQ209" i="2"/>
  <c r="GQ204" i="2"/>
  <c r="GQ200" i="2"/>
  <c r="GQ197" i="2"/>
  <c r="GQ196" i="2"/>
  <c r="GQ192" i="2"/>
  <c r="GQ190" i="2"/>
  <c r="GQ189" i="2"/>
  <c r="GQ188" i="2"/>
  <c r="GQ183" i="2"/>
  <c r="GQ182" i="2"/>
  <c r="GQ179" i="2"/>
  <c r="GQ177" i="2"/>
  <c r="GQ176" i="2"/>
  <c r="GQ175" i="2"/>
  <c r="GQ174" i="2"/>
  <c r="GQ173" i="2"/>
  <c r="GQ172" i="2"/>
  <c r="GQ171" i="2"/>
  <c r="GQ170" i="2"/>
  <c r="GQ164" i="2"/>
  <c r="GQ163" i="2"/>
  <c r="GQ162" i="2"/>
  <c r="GQ161" i="2"/>
  <c r="GQ159" i="2"/>
  <c r="GQ154" i="2"/>
  <c r="GQ153" i="2"/>
  <c r="GQ151" i="2"/>
  <c r="GQ150" i="2"/>
  <c r="GQ143" i="2"/>
  <c r="GQ142" i="2"/>
  <c r="GQ141" i="2"/>
  <c r="GQ137" i="2"/>
  <c r="GQ135" i="2"/>
  <c r="GQ134" i="2"/>
  <c r="GQ133" i="2"/>
  <c r="GQ132" i="2"/>
  <c r="GQ129" i="2"/>
  <c r="GQ127" i="2"/>
  <c r="GQ119" i="2"/>
  <c r="GQ118" i="2"/>
  <c r="GQ114" i="2"/>
  <c r="GQ113" i="2"/>
  <c r="GQ111" i="2"/>
  <c r="GQ95" i="2"/>
  <c r="GQ93" i="2"/>
  <c r="GQ90" i="2"/>
  <c r="GQ89" i="2"/>
  <c r="GQ87" i="2"/>
  <c r="GQ80" i="2"/>
  <c r="GQ61" i="2"/>
  <c r="GQ60" i="2"/>
  <c r="GQ58" i="2"/>
  <c r="GQ51" i="2"/>
  <c r="GQ43" i="2"/>
  <c r="GQ42" i="2"/>
  <c r="GQ37" i="2"/>
  <c r="GQ35" i="2"/>
  <c r="GQ34" i="2"/>
  <c r="GQ29" i="2"/>
  <c r="GQ28" i="2"/>
  <c r="GQ27" i="2"/>
  <c r="GQ22" i="2"/>
  <c r="GQ16" i="2"/>
  <c r="GG293" i="2"/>
  <c r="GG292" i="2"/>
  <c r="GG291" i="2"/>
  <c r="GG290" i="2"/>
  <c r="GG289" i="2"/>
  <c r="GG288" i="2"/>
  <c r="GG287" i="2"/>
  <c r="GG286" i="2"/>
  <c r="GG285" i="2"/>
  <c r="GG284" i="2"/>
  <c r="GG283" i="2"/>
  <c r="GG282" i="2"/>
  <c r="GG281" i="2"/>
  <c r="GG280" i="2"/>
  <c r="GG279" i="2"/>
  <c r="GG278" i="2"/>
  <c r="GG277" i="2"/>
  <c r="GG276" i="2"/>
  <c r="GG275" i="2"/>
  <c r="GG274" i="2"/>
  <c r="GG273" i="2"/>
  <c r="GG272" i="2"/>
  <c r="GG271" i="2"/>
  <c r="GG270" i="2"/>
  <c r="GG269" i="2"/>
  <c r="GG268" i="2"/>
  <c r="GG267" i="2"/>
  <c r="GG266" i="2"/>
  <c r="GG265" i="2"/>
  <c r="GG264" i="2"/>
  <c r="GG263" i="2"/>
  <c r="GG262" i="2"/>
  <c r="GG261" i="2"/>
  <c r="GG260" i="2"/>
  <c r="GG259" i="2"/>
  <c r="GG258" i="2"/>
  <c r="GG257" i="2"/>
  <c r="GG256" i="2"/>
  <c r="GG255" i="2"/>
  <c r="GG254" i="2"/>
  <c r="GG253" i="2"/>
  <c r="GG252" i="2"/>
  <c r="GG251" i="2"/>
  <c r="GG250" i="2"/>
  <c r="GG249" i="2"/>
  <c r="GG248" i="2"/>
  <c r="GG247" i="2"/>
  <c r="GG246" i="2"/>
  <c r="GG245" i="2"/>
  <c r="GG244" i="2"/>
  <c r="GG243" i="2"/>
  <c r="GG242" i="2"/>
  <c r="GG241" i="2"/>
  <c r="GG240" i="2"/>
  <c r="GG239" i="2"/>
  <c r="GG238" i="2"/>
  <c r="GG237" i="2"/>
  <c r="GG236" i="2"/>
  <c r="GG235" i="2"/>
  <c r="GG234" i="2"/>
  <c r="GG233" i="2"/>
  <c r="GG232" i="2"/>
  <c r="GG231" i="2"/>
  <c r="GG230" i="2"/>
  <c r="GG229" i="2"/>
  <c r="GG228" i="2"/>
  <c r="GG227" i="2"/>
  <c r="GG226" i="2"/>
  <c r="GG225" i="2"/>
  <c r="GG224" i="2"/>
  <c r="GG223" i="2"/>
  <c r="GG222" i="2"/>
  <c r="GG221" i="2"/>
  <c r="GG220" i="2"/>
  <c r="GG219" i="2"/>
  <c r="GG218" i="2"/>
  <c r="GG217" i="2"/>
  <c r="GG216" i="2"/>
  <c r="GG215" i="2"/>
  <c r="GG214" i="2"/>
  <c r="GG213" i="2"/>
  <c r="GG212" i="2"/>
  <c r="GG211" i="2"/>
  <c r="GG210" i="2"/>
  <c r="GG209" i="2"/>
  <c r="GG208" i="2"/>
  <c r="GG207" i="2"/>
  <c r="GG206" i="2"/>
  <c r="GG205" i="2"/>
  <c r="GG204" i="2"/>
  <c r="GG203" i="2"/>
  <c r="GG202" i="2"/>
  <c r="GG201" i="2"/>
  <c r="GG200" i="2"/>
  <c r="GG199" i="2"/>
  <c r="GG198" i="2"/>
  <c r="GG197" i="2"/>
  <c r="GG196" i="2"/>
  <c r="GG195" i="2"/>
  <c r="GG194" i="2"/>
  <c r="GG193" i="2"/>
  <c r="GG192" i="2"/>
  <c r="GG191" i="2"/>
  <c r="GG190" i="2"/>
  <c r="GG189" i="2"/>
  <c r="GG188" i="2"/>
  <c r="GG187" i="2"/>
  <c r="GG186" i="2"/>
  <c r="GG185" i="2"/>
  <c r="GG184" i="2"/>
  <c r="GG183" i="2"/>
  <c r="GG182" i="2"/>
  <c r="GG181" i="2"/>
  <c r="GG180" i="2"/>
  <c r="GG179" i="2"/>
  <c r="GG178" i="2"/>
  <c r="GG177" i="2"/>
  <c r="GG176" i="2"/>
  <c r="GG175" i="2"/>
  <c r="GG174" i="2"/>
  <c r="GG173" i="2"/>
  <c r="GG172" i="2"/>
  <c r="GG171" i="2"/>
  <c r="GG170" i="2"/>
  <c r="GG169" i="2"/>
  <c r="GG168" i="2"/>
  <c r="GG167" i="2"/>
  <c r="GG166" i="2"/>
  <c r="GG165" i="2"/>
  <c r="GG164" i="2"/>
  <c r="GG163" i="2"/>
  <c r="GG162" i="2"/>
  <c r="GG161" i="2"/>
  <c r="GG160" i="2"/>
  <c r="GG159" i="2"/>
  <c r="GG158" i="2"/>
  <c r="GG157" i="2"/>
  <c r="GG156" i="2"/>
  <c r="GG155" i="2"/>
  <c r="GG154" i="2"/>
  <c r="GG153" i="2"/>
  <c r="GG152" i="2"/>
  <c r="GG151" i="2"/>
  <c r="GG150" i="2"/>
  <c r="GG149" i="2"/>
  <c r="GG148" i="2"/>
  <c r="GG147" i="2"/>
  <c r="GG146" i="2"/>
  <c r="GG145" i="2"/>
  <c r="GG144" i="2"/>
  <c r="GG143" i="2"/>
  <c r="GG142" i="2"/>
  <c r="GG141" i="2"/>
  <c r="GG140" i="2"/>
  <c r="GG139" i="2"/>
  <c r="GG138" i="2"/>
  <c r="GG137" i="2"/>
  <c r="GG136" i="2"/>
  <c r="GG135" i="2"/>
  <c r="GG134" i="2"/>
  <c r="GG133" i="2"/>
  <c r="GG132" i="2"/>
  <c r="GG131" i="2"/>
  <c r="GG130" i="2"/>
  <c r="GG129" i="2"/>
  <c r="GG128" i="2"/>
  <c r="GG127" i="2"/>
  <c r="GG126" i="2"/>
  <c r="GG125" i="2"/>
  <c r="GG124" i="2"/>
  <c r="GG123" i="2"/>
  <c r="GG122" i="2"/>
  <c r="GG121" i="2"/>
  <c r="GG120" i="2"/>
  <c r="GG119" i="2"/>
  <c r="GG118" i="2"/>
  <c r="GG117" i="2"/>
  <c r="GG116" i="2"/>
  <c r="GG115" i="2"/>
  <c r="GG114" i="2"/>
  <c r="GG113" i="2"/>
  <c r="GG112" i="2"/>
  <c r="GG111" i="2"/>
  <c r="GG110" i="2"/>
  <c r="GG109" i="2"/>
  <c r="GG108" i="2"/>
  <c r="GG107" i="2"/>
  <c r="GG106" i="2"/>
  <c r="GG105" i="2"/>
  <c r="GG104" i="2"/>
  <c r="GG103" i="2"/>
  <c r="GG102" i="2"/>
  <c r="GG101" i="2"/>
  <c r="GG100" i="2"/>
  <c r="GG99" i="2"/>
  <c r="GG98" i="2"/>
  <c r="GG97" i="2"/>
  <c r="GG96" i="2"/>
  <c r="GG95" i="2"/>
  <c r="GG94" i="2"/>
  <c r="GG93" i="2"/>
  <c r="GG92" i="2"/>
  <c r="GG91" i="2"/>
  <c r="GG89" i="2"/>
  <c r="GG88" i="2"/>
  <c r="GG87" i="2"/>
  <c r="GG86" i="2"/>
  <c r="GG85" i="2"/>
  <c r="GG84" i="2"/>
  <c r="GG83" i="2"/>
  <c r="GG82" i="2"/>
  <c r="GG81" i="2"/>
  <c r="GG80" i="2"/>
  <c r="GG79" i="2"/>
  <c r="GG78" i="2"/>
  <c r="GG77" i="2"/>
  <c r="GG76" i="2"/>
  <c r="GG75" i="2"/>
  <c r="GG74" i="2"/>
  <c r="GG73" i="2"/>
  <c r="GG72" i="2"/>
  <c r="GG71" i="2"/>
  <c r="GG70" i="2"/>
  <c r="GG69" i="2"/>
  <c r="GG68" i="2"/>
  <c r="GG67" i="2"/>
  <c r="GG66" i="2"/>
  <c r="GG65" i="2"/>
  <c r="GG64" i="2"/>
  <c r="GG63" i="2"/>
  <c r="GG62" i="2"/>
  <c r="GG61" i="2"/>
  <c r="GG60" i="2"/>
  <c r="GG59" i="2"/>
  <c r="GG58" i="2"/>
  <c r="GG57" i="2"/>
  <c r="GG56" i="2"/>
  <c r="GG55" i="2"/>
  <c r="GG54" i="2"/>
  <c r="GG53" i="2"/>
  <c r="GG52" i="2"/>
  <c r="GG51" i="2"/>
  <c r="GG50" i="2"/>
  <c r="GG49" i="2"/>
  <c r="GG48" i="2"/>
  <c r="GG47" i="2"/>
  <c r="GG46" i="2"/>
  <c r="GG45" i="2"/>
  <c r="GG44" i="2"/>
  <c r="GG43" i="2"/>
  <c r="GG42" i="2"/>
  <c r="GG41" i="2"/>
  <c r="GG40" i="2"/>
  <c r="GG39" i="2"/>
  <c r="GG38" i="2"/>
  <c r="GG37" i="2"/>
  <c r="GG36" i="2"/>
  <c r="GG35" i="2"/>
  <c r="GG34" i="2"/>
  <c r="GG33" i="2"/>
  <c r="GG32" i="2"/>
  <c r="GG31" i="2"/>
  <c r="GG30" i="2"/>
  <c r="GG29" i="2"/>
  <c r="GG28" i="2"/>
  <c r="GG27" i="2"/>
  <c r="GG26" i="2"/>
  <c r="GG25" i="2"/>
  <c r="GG24" i="2"/>
  <c r="GG23" i="2"/>
  <c r="GG22" i="2"/>
  <c r="GG21" i="2"/>
  <c r="GG20" i="2"/>
  <c r="GG19" i="2"/>
  <c r="GG18" i="2"/>
  <c r="GG17" i="2"/>
  <c r="GG16" i="2"/>
  <c r="GG15" i="2"/>
  <c r="GG14" i="2"/>
  <c r="GG13" i="2"/>
  <c r="GG12" i="2"/>
  <c r="GG11" i="2"/>
  <c r="GG10" i="2"/>
  <c r="GE293" i="2"/>
  <c r="GE292" i="2"/>
  <c r="GE291" i="2"/>
  <c r="GE290" i="2"/>
  <c r="GE289" i="2"/>
  <c r="GE288" i="2"/>
  <c r="GE287" i="2"/>
  <c r="GE286" i="2"/>
  <c r="GE285" i="2"/>
  <c r="GE284" i="2"/>
  <c r="GE283" i="2"/>
  <c r="GE282" i="2"/>
  <c r="GE281" i="2"/>
  <c r="GE280" i="2"/>
  <c r="GE279" i="2"/>
  <c r="GE278" i="2"/>
  <c r="GE277" i="2"/>
  <c r="GE276" i="2"/>
  <c r="GE275" i="2"/>
  <c r="GE274" i="2"/>
  <c r="GE273" i="2"/>
  <c r="GE272" i="2"/>
  <c r="GE271" i="2"/>
  <c r="GE270" i="2"/>
  <c r="GE269" i="2"/>
  <c r="GE268" i="2"/>
  <c r="GE267" i="2"/>
  <c r="GE266" i="2"/>
  <c r="GE265" i="2"/>
  <c r="GE264" i="2"/>
  <c r="GE263" i="2"/>
  <c r="GE262" i="2"/>
  <c r="GE261" i="2"/>
  <c r="GE260" i="2"/>
  <c r="GE259" i="2"/>
  <c r="GE258" i="2"/>
  <c r="GE257" i="2"/>
  <c r="GE256" i="2"/>
  <c r="GE255" i="2"/>
  <c r="GE254" i="2"/>
  <c r="GE253" i="2"/>
  <c r="GE252" i="2"/>
  <c r="GE251" i="2"/>
  <c r="GE250" i="2"/>
  <c r="GE249" i="2"/>
  <c r="GE248" i="2"/>
  <c r="GE247" i="2"/>
  <c r="GE246" i="2"/>
  <c r="GE245" i="2"/>
  <c r="GE244" i="2"/>
  <c r="GE243" i="2"/>
  <c r="GE242" i="2"/>
  <c r="GE241" i="2"/>
  <c r="GE240" i="2"/>
  <c r="GE239" i="2"/>
  <c r="GE238" i="2"/>
  <c r="GE237" i="2"/>
  <c r="GE236" i="2"/>
  <c r="GE235" i="2"/>
  <c r="GE234" i="2"/>
  <c r="GE233" i="2"/>
  <c r="GE232" i="2"/>
  <c r="GE231" i="2"/>
  <c r="GE230" i="2"/>
  <c r="GE229" i="2"/>
  <c r="GE228" i="2"/>
  <c r="GE227" i="2"/>
  <c r="GE226" i="2"/>
  <c r="GE225" i="2"/>
  <c r="GE224" i="2"/>
  <c r="GE223" i="2"/>
  <c r="GE222" i="2"/>
  <c r="GE221" i="2"/>
  <c r="GE220" i="2"/>
  <c r="GE219" i="2"/>
  <c r="GE218" i="2"/>
  <c r="GE217" i="2"/>
  <c r="GE216" i="2"/>
  <c r="GE215" i="2"/>
  <c r="GE214" i="2"/>
  <c r="GE213" i="2"/>
  <c r="GE212" i="2"/>
  <c r="GE211" i="2"/>
  <c r="GE210" i="2"/>
  <c r="GE209" i="2"/>
  <c r="GE208" i="2"/>
  <c r="GE207" i="2"/>
  <c r="GE206" i="2"/>
  <c r="GE205" i="2"/>
  <c r="GE204" i="2"/>
  <c r="GE203" i="2"/>
  <c r="GE202" i="2"/>
  <c r="GE201" i="2"/>
  <c r="GE200" i="2"/>
  <c r="GE199" i="2"/>
  <c r="GE198" i="2"/>
  <c r="GE197" i="2"/>
  <c r="GE196" i="2"/>
  <c r="GE195" i="2"/>
  <c r="GE194" i="2"/>
  <c r="GE193" i="2"/>
  <c r="GE192" i="2"/>
  <c r="GE191" i="2"/>
  <c r="GE190" i="2"/>
  <c r="GE189" i="2"/>
  <c r="GE188" i="2"/>
  <c r="GE187" i="2"/>
  <c r="GE186" i="2"/>
  <c r="GE185" i="2"/>
  <c r="GE184" i="2"/>
  <c r="GE183" i="2"/>
  <c r="GE182" i="2"/>
  <c r="GE181" i="2"/>
  <c r="GE180" i="2"/>
  <c r="GE179" i="2"/>
  <c r="GE178" i="2"/>
  <c r="GE177" i="2"/>
  <c r="GE176" i="2"/>
  <c r="GE175" i="2"/>
  <c r="GE174" i="2"/>
  <c r="GE173" i="2"/>
  <c r="GE172" i="2"/>
  <c r="GE171" i="2"/>
  <c r="GE170" i="2"/>
  <c r="GE169" i="2"/>
  <c r="GE168" i="2"/>
  <c r="GE167" i="2"/>
  <c r="GE166" i="2"/>
  <c r="GE165" i="2"/>
  <c r="GE164" i="2"/>
  <c r="GE163" i="2"/>
  <c r="GE162" i="2"/>
  <c r="GE161" i="2"/>
  <c r="GE160" i="2"/>
  <c r="GE159" i="2"/>
  <c r="GE158" i="2"/>
  <c r="GE157" i="2"/>
  <c r="GE156" i="2"/>
  <c r="GE155" i="2"/>
  <c r="GE154" i="2"/>
  <c r="GE153" i="2"/>
  <c r="GE152" i="2"/>
  <c r="GE151" i="2"/>
  <c r="GE150" i="2"/>
  <c r="GE149" i="2"/>
  <c r="GE148" i="2"/>
  <c r="GE147" i="2"/>
  <c r="GE146" i="2"/>
  <c r="GE145" i="2"/>
  <c r="GE144" i="2"/>
  <c r="GE143" i="2"/>
  <c r="GE142" i="2"/>
  <c r="GE141" i="2"/>
  <c r="GE140" i="2"/>
  <c r="GE139" i="2"/>
  <c r="GE138" i="2"/>
  <c r="GE137" i="2"/>
  <c r="GE136" i="2"/>
  <c r="GE135" i="2"/>
  <c r="GE134" i="2"/>
  <c r="GE133" i="2"/>
  <c r="GE132" i="2"/>
  <c r="GE131" i="2"/>
  <c r="GE130" i="2"/>
  <c r="GE129" i="2"/>
  <c r="GE128" i="2"/>
  <c r="GE127" i="2"/>
  <c r="GE126" i="2"/>
  <c r="GE125" i="2"/>
  <c r="GE124" i="2"/>
  <c r="GE123" i="2"/>
  <c r="GE122" i="2"/>
  <c r="GE121" i="2"/>
  <c r="GE120" i="2"/>
  <c r="GE119" i="2"/>
  <c r="GE118" i="2"/>
  <c r="GE117" i="2"/>
  <c r="GE116" i="2"/>
  <c r="GE115" i="2"/>
  <c r="GE114" i="2"/>
  <c r="GE113" i="2"/>
  <c r="GE112" i="2"/>
  <c r="GE111" i="2"/>
  <c r="GE110" i="2"/>
  <c r="GE109" i="2"/>
  <c r="GE108" i="2"/>
  <c r="GE107" i="2"/>
  <c r="GE106" i="2"/>
  <c r="GE105" i="2"/>
  <c r="GE104" i="2"/>
  <c r="GE103" i="2"/>
  <c r="GE102" i="2"/>
  <c r="GE101" i="2"/>
  <c r="GE100" i="2"/>
  <c r="GE99" i="2"/>
  <c r="GE98" i="2"/>
  <c r="GE97" i="2"/>
  <c r="GE96" i="2"/>
  <c r="GE95" i="2"/>
  <c r="GE94" i="2"/>
  <c r="GE93" i="2"/>
  <c r="GE92" i="2"/>
  <c r="GE91" i="2"/>
  <c r="GE89" i="2"/>
  <c r="GE88" i="2"/>
  <c r="GE87" i="2"/>
  <c r="GE86" i="2"/>
  <c r="GE85" i="2"/>
  <c r="GE84" i="2"/>
  <c r="GE83" i="2"/>
  <c r="GE82" i="2"/>
  <c r="GE81" i="2"/>
  <c r="GE80" i="2"/>
  <c r="GE79" i="2"/>
  <c r="GE78" i="2"/>
  <c r="GE77" i="2"/>
  <c r="GE76" i="2"/>
  <c r="GE75" i="2"/>
  <c r="GE74" i="2"/>
  <c r="GE73" i="2"/>
  <c r="GE72" i="2"/>
  <c r="GE71" i="2"/>
  <c r="GE70" i="2"/>
  <c r="GE69" i="2"/>
  <c r="GE68" i="2"/>
  <c r="GE67" i="2"/>
  <c r="GE66" i="2"/>
  <c r="GE65" i="2"/>
  <c r="GE64" i="2"/>
  <c r="GE63" i="2"/>
  <c r="GE62" i="2"/>
  <c r="GE61" i="2"/>
  <c r="GE60" i="2"/>
  <c r="GE59" i="2"/>
  <c r="GE58" i="2"/>
  <c r="GE57" i="2"/>
  <c r="GE56" i="2"/>
  <c r="GE55" i="2"/>
  <c r="GE54" i="2"/>
  <c r="GE53" i="2"/>
  <c r="GE52" i="2"/>
  <c r="GE51" i="2"/>
  <c r="GE50" i="2"/>
  <c r="GE49" i="2"/>
  <c r="GE48" i="2"/>
  <c r="GE47" i="2"/>
  <c r="GE46" i="2"/>
  <c r="GE45" i="2"/>
  <c r="GE44" i="2"/>
  <c r="GE43" i="2"/>
  <c r="GE42" i="2"/>
  <c r="GE41" i="2"/>
  <c r="GE40" i="2"/>
  <c r="GE39" i="2"/>
  <c r="GE38" i="2"/>
  <c r="GE37" i="2"/>
  <c r="GE36" i="2"/>
  <c r="GE35" i="2"/>
  <c r="GE34" i="2"/>
  <c r="GE33" i="2"/>
  <c r="GE32" i="2"/>
  <c r="GE31" i="2"/>
  <c r="GE30" i="2"/>
  <c r="GE29" i="2"/>
  <c r="GE28" i="2"/>
  <c r="GE27" i="2"/>
  <c r="GE26" i="2"/>
  <c r="GE25" i="2"/>
  <c r="GE24" i="2"/>
  <c r="GE23" i="2"/>
  <c r="GE22" i="2"/>
  <c r="GE21" i="2"/>
  <c r="GE20" i="2"/>
  <c r="GE19" i="2"/>
  <c r="GE18" i="2"/>
  <c r="GE17" i="2"/>
  <c r="GE16" i="2"/>
  <c r="GE15" i="2"/>
  <c r="GE14" i="2"/>
  <c r="GE13" i="2"/>
  <c r="GE12" i="2"/>
  <c r="GE11" i="2"/>
  <c r="GE10" i="2"/>
  <c r="GC293" i="2"/>
  <c r="GC292" i="2"/>
  <c r="GC291" i="2"/>
  <c r="GC290" i="2"/>
  <c r="GC289" i="2"/>
  <c r="GC288" i="2"/>
  <c r="GC287" i="2"/>
  <c r="GC286" i="2"/>
  <c r="GC285" i="2"/>
  <c r="GC284" i="2"/>
  <c r="GC283" i="2"/>
  <c r="GC282" i="2"/>
  <c r="GC281" i="2"/>
  <c r="GC280" i="2"/>
  <c r="GC279" i="2"/>
  <c r="GC278" i="2"/>
  <c r="GC277" i="2"/>
  <c r="GC276" i="2"/>
  <c r="GC275" i="2"/>
  <c r="GC274" i="2"/>
  <c r="GC273" i="2"/>
  <c r="GC272" i="2"/>
  <c r="GC271" i="2"/>
  <c r="GC270" i="2"/>
  <c r="GC269" i="2"/>
  <c r="GC268" i="2"/>
  <c r="GC267" i="2"/>
  <c r="GC266" i="2"/>
  <c r="GC265" i="2"/>
  <c r="GC264" i="2"/>
  <c r="GC263" i="2"/>
  <c r="GC262" i="2"/>
  <c r="GC261" i="2"/>
  <c r="GC260" i="2"/>
  <c r="GC259" i="2"/>
  <c r="GC258" i="2"/>
  <c r="GC257" i="2"/>
  <c r="GC256" i="2"/>
  <c r="GC255" i="2"/>
  <c r="GC254" i="2"/>
  <c r="GC253" i="2"/>
  <c r="GC252" i="2"/>
  <c r="GC251" i="2"/>
  <c r="GC250" i="2"/>
  <c r="GC249" i="2"/>
  <c r="GC248" i="2"/>
  <c r="GC247" i="2"/>
  <c r="GC246" i="2"/>
  <c r="GC245" i="2"/>
  <c r="GC244" i="2"/>
  <c r="GC243" i="2"/>
  <c r="GC242" i="2"/>
  <c r="GC241" i="2"/>
  <c r="GC240" i="2"/>
  <c r="GC239" i="2"/>
  <c r="GC238" i="2"/>
  <c r="GC237" i="2"/>
  <c r="GC236" i="2"/>
  <c r="GC235" i="2"/>
  <c r="GC234" i="2"/>
  <c r="GC233" i="2"/>
  <c r="GC232" i="2"/>
  <c r="GC231" i="2"/>
  <c r="GC230" i="2"/>
  <c r="GC229" i="2"/>
  <c r="GC228" i="2"/>
  <c r="GC227" i="2"/>
  <c r="GC226" i="2"/>
  <c r="GC225" i="2"/>
  <c r="GC224" i="2"/>
  <c r="GC223" i="2"/>
  <c r="GC222" i="2"/>
  <c r="GC221" i="2"/>
  <c r="GC220" i="2"/>
  <c r="GC219" i="2"/>
  <c r="GC218" i="2"/>
  <c r="GC217" i="2"/>
  <c r="GC216" i="2"/>
  <c r="GC215" i="2"/>
  <c r="GC214" i="2"/>
  <c r="GC213" i="2"/>
  <c r="GC212" i="2"/>
  <c r="GC211" i="2"/>
  <c r="GC210" i="2"/>
  <c r="GC209" i="2"/>
  <c r="GC208" i="2"/>
  <c r="GC207" i="2"/>
  <c r="GC206" i="2"/>
  <c r="GC205" i="2"/>
  <c r="GC204" i="2"/>
  <c r="GC203" i="2"/>
  <c r="GC202" i="2"/>
  <c r="GC201" i="2"/>
  <c r="GC200" i="2"/>
  <c r="GC199" i="2"/>
  <c r="GC198" i="2"/>
  <c r="GC197" i="2"/>
  <c r="GC196" i="2"/>
  <c r="GC195" i="2"/>
  <c r="GC194" i="2"/>
  <c r="GC193" i="2"/>
  <c r="GC192" i="2"/>
  <c r="GC191" i="2"/>
  <c r="GC190" i="2"/>
  <c r="GC189" i="2"/>
  <c r="GC188" i="2"/>
  <c r="GC187" i="2"/>
  <c r="GC186" i="2"/>
  <c r="GC185" i="2"/>
  <c r="GC184" i="2"/>
  <c r="GC183" i="2"/>
  <c r="GC182" i="2"/>
  <c r="GC181" i="2"/>
  <c r="GC180" i="2"/>
  <c r="GC179" i="2"/>
  <c r="GC178" i="2"/>
  <c r="GC177" i="2"/>
  <c r="GC176" i="2"/>
  <c r="GC175" i="2"/>
  <c r="GC174" i="2"/>
  <c r="GC173" i="2"/>
  <c r="GC172" i="2"/>
  <c r="GC171" i="2"/>
  <c r="GC170" i="2"/>
  <c r="GC169" i="2"/>
  <c r="GC168" i="2"/>
  <c r="GC167" i="2"/>
  <c r="GC166" i="2"/>
  <c r="GC165" i="2"/>
  <c r="GC164" i="2"/>
  <c r="GC163" i="2"/>
  <c r="GC162" i="2"/>
  <c r="GC161" i="2"/>
  <c r="GC160" i="2"/>
  <c r="GC159" i="2"/>
  <c r="GC158" i="2"/>
  <c r="GC157" i="2"/>
  <c r="GC156" i="2"/>
  <c r="GC155" i="2"/>
  <c r="GC154" i="2"/>
  <c r="GC153" i="2"/>
  <c r="GC152" i="2"/>
  <c r="GC151" i="2"/>
  <c r="GC150" i="2"/>
  <c r="GC149" i="2"/>
  <c r="GC148" i="2"/>
  <c r="GC147" i="2"/>
  <c r="GC146" i="2"/>
  <c r="GC145" i="2"/>
  <c r="GC144" i="2"/>
  <c r="GC143" i="2"/>
  <c r="GC142" i="2"/>
  <c r="GC141" i="2"/>
  <c r="GC140" i="2"/>
  <c r="GC139" i="2"/>
  <c r="GC138" i="2"/>
  <c r="GC137" i="2"/>
  <c r="GC136" i="2"/>
  <c r="GC135" i="2"/>
  <c r="GC134" i="2"/>
  <c r="GC133" i="2"/>
  <c r="GC132" i="2"/>
  <c r="GC131" i="2"/>
  <c r="GC130" i="2"/>
  <c r="GC129" i="2"/>
  <c r="GC128" i="2"/>
  <c r="GC127" i="2"/>
  <c r="GC126" i="2"/>
  <c r="GC125" i="2"/>
  <c r="GC124" i="2"/>
  <c r="GC123" i="2"/>
  <c r="GC122" i="2"/>
  <c r="GC121" i="2"/>
  <c r="GC120" i="2"/>
  <c r="GC119" i="2"/>
  <c r="GC118" i="2"/>
  <c r="GC117" i="2"/>
  <c r="GC116" i="2"/>
  <c r="GC115" i="2"/>
  <c r="GC114" i="2"/>
  <c r="GC113" i="2"/>
  <c r="GC112" i="2"/>
  <c r="GC111" i="2"/>
  <c r="GC110" i="2"/>
  <c r="GC109" i="2"/>
  <c r="GC108" i="2"/>
  <c r="GC107" i="2"/>
  <c r="GC106" i="2"/>
  <c r="GC105" i="2"/>
  <c r="GC104" i="2"/>
  <c r="GC103" i="2"/>
  <c r="GC102" i="2"/>
  <c r="GC101" i="2"/>
  <c r="GC100" i="2"/>
  <c r="GC99" i="2"/>
  <c r="GC98" i="2"/>
  <c r="GC97" i="2"/>
  <c r="GC96" i="2"/>
  <c r="GC95" i="2"/>
  <c r="GC94" i="2"/>
  <c r="GC93" i="2"/>
  <c r="GC92" i="2"/>
  <c r="GC91" i="2"/>
  <c r="GC89" i="2"/>
  <c r="GC88" i="2"/>
  <c r="GC87" i="2"/>
  <c r="GC86" i="2"/>
  <c r="GC85" i="2"/>
  <c r="GC84" i="2"/>
  <c r="GC83" i="2"/>
  <c r="GC82" i="2"/>
  <c r="GC81" i="2"/>
  <c r="GC80" i="2"/>
  <c r="GC79" i="2"/>
  <c r="GC78" i="2"/>
  <c r="GC77" i="2"/>
  <c r="GC76" i="2"/>
  <c r="GC75" i="2"/>
  <c r="GC74" i="2"/>
  <c r="GC73" i="2"/>
  <c r="GC72" i="2"/>
  <c r="GC71" i="2"/>
  <c r="GC70" i="2"/>
  <c r="GC69" i="2"/>
  <c r="GC68" i="2"/>
  <c r="GC67" i="2"/>
  <c r="GC66" i="2"/>
  <c r="GC65" i="2"/>
  <c r="GC64" i="2"/>
  <c r="GC63" i="2"/>
  <c r="GC62" i="2"/>
  <c r="GC61" i="2"/>
  <c r="GC60" i="2"/>
  <c r="GC59" i="2"/>
  <c r="GC58" i="2"/>
  <c r="GC57" i="2"/>
  <c r="GC56" i="2"/>
  <c r="GC55" i="2"/>
  <c r="GC54" i="2"/>
  <c r="GC53" i="2"/>
  <c r="GC52" i="2"/>
  <c r="GC51" i="2"/>
  <c r="GC50" i="2"/>
  <c r="GC49" i="2"/>
  <c r="GC48" i="2"/>
  <c r="GC47" i="2"/>
  <c r="GC46" i="2"/>
  <c r="GC45" i="2"/>
  <c r="GC44" i="2"/>
  <c r="GC43" i="2"/>
  <c r="GC42" i="2"/>
  <c r="GC41" i="2"/>
  <c r="GC40" i="2"/>
  <c r="GC39" i="2"/>
  <c r="GC38" i="2"/>
  <c r="GC37" i="2"/>
  <c r="GC36" i="2"/>
  <c r="GC35" i="2"/>
  <c r="GC34" i="2"/>
  <c r="GC33" i="2"/>
  <c r="GC32" i="2"/>
  <c r="GC31" i="2"/>
  <c r="GC30" i="2"/>
  <c r="GC29" i="2"/>
  <c r="GC28" i="2"/>
  <c r="GC27" i="2"/>
  <c r="GC26" i="2"/>
  <c r="GC25" i="2"/>
  <c r="GC24" i="2"/>
  <c r="GC23" i="2"/>
  <c r="GC22" i="2"/>
  <c r="GC21" i="2"/>
  <c r="GC20" i="2"/>
  <c r="GC19" i="2"/>
  <c r="GC18" i="2"/>
  <c r="GC17" i="2"/>
  <c r="GC16" i="2"/>
  <c r="GC15" i="2"/>
  <c r="GC14" i="2"/>
  <c r="GC13" i="2"/>
  <c r="GC12" i="2"/>
  <c r="GC11" i="2"/>
  <c r="GC10" i="2"/>
  <c r="GA293" i="2"/>
  <c r="GA292" i="2"/>
  <c r="GA291" i="2"/>
  <c r="GA290" i="2"/>
  <c r="GA289" i="2"/>
  <c r="GA288" i="2"/>
  <c r="GA287" i="2"/>
  <c r="GA286" i="2"/>
  <c r="GA285" i="2"/>
  <c r="GA284" i="2"/>
  <c r="GA283" i="2"/>
  <c r="GA282" i="2"/>
  <c r="GA281" i="2"/>
  <c r="GA280" i="2"/>
  <c r="GA279" i="2"/>
  <c r="GA278" i="2"/>
  <c r="GA277" i="2"/>
  <c r="GA276" i="2"/>
  <c r="GA275" i="2"/>
  <c r="GA274" i="2"/>
  <c r="GA273" i="2"/>
  <c r="GA272" i="2"/>
  <c r="GA271" i="2"/>
  <c r="GA270" i="2"/>
  <c r="GA269" i="2"/>
  <c r="GA268" i="2"/>
  <c r="GA267" i="2"/>
  <c r="GA266" i="2"/>
  <c r="GA265" i="2"/>
  <c r="GA264" i="2"/>
  <c r="GA263" i="2"/>
  <c r="GA262" i="2"/>
  <c r="GA261" i="2"/>
  <c r="GA260" i="2"/>
  <c r="GA259" i="2"/>
  <c r="GA258" i="2"/>
  <c r="GA257" i="2"/>
  <c r="GA256" i="2"/>
  <c r="GA255" i="2"/>
  <c r="GA254" i="2"/>
  <c r="GA253" i="2"/>
  <c r="GA252" i="2"/>
  <c r="GA251" i="2"/>
  <c r="GA250" i="2"/>
  <c r="GA249" i="2"/>
  <c r="GA248" i="2"/>
  <c r="GA247" i="2"/>
  <c r="GA246" i="2"/>
  <c r="GA245" i="2"/>
  <c r="GA244" i="2"/>
  <c r="GA243" i="2"/>
  <c r="GA242" i="2"/>
  <c r="GA241" i="2"/>
  <c r="GA240" i="2"/>
  <c r="GA239" i="2"/>
  <c r="GA238" i="2"/>
  <c r="GA237" i="2"/>
  <c r="GA236" i="2"/>
  <c r="GA235" i="2"/>
  <c r="GA234" i="2"/>
  <c r="GA233" i="2"/>
  <c r="GA232" i="2"/>
  <c r="GA231" i="2"/>
  <c r="GA230" i="2"/>
  <c r="GA229" i="2"/>
  <c r="GA228" i="2"/>
  <c r="GA227" i="2"/>
  <c r="GA226" i="2"/>
  <c r="GA225" i="2"/>
  <c r="GA224" i="2"/>
  <c r="GA223" i="2"/>
  <c r="GA222" i="2"/>
  <c r="GA221" i="2"/>
  <c r="GA220" i="2"/>
  <c r="GA219" i="2"/>
  <c r="GA218" i="2"/>
  <c r="GA217" i="2"/>
  <c r="GA216" i="2"/>
  <c r="GA215" i="2"/>
  <c r="GA214" i="2"/>
  <c r="GA213" i="2"/>
  <c r="GA212" i="2"/>
  <c r="GA211" i="2"/>
  <c r="GA210" i="2"/>
  <c r="GA208" i="2"/>
  <c r="GA207" i="2"/>
  <c r="GA206" i="2"/>
  <c r="GA205" i="2"/>
  <c r="GA204" i="2"/>
  <c r="GA203" i="2"/>
  <c r="GA202" i="2"/>
  <c r="GA201" i="2"/>
  <c r="GA200" i="2"/>
  <c r="GA199" i="2"/>
  <c r="GA198" i="2"/>
  <c r="GA197" i="2"/>
  <c r="GA196" i="2"/>
  <c r="GA195" i="2"/>
  <c r="GA194" i="2"/>
  <c r="GA193" i="2"/>
  <c r="GA192" i="2"/>
  <c r="GA191" i="2"/>
  <c r="GA190" i="2"/>
  <c r="GA189" i="2"/>
  <c r="GA188" i="2"/>
  <c r="GA187" i="2"/>
  <c r="GA186" i="2"/>
  <c r="GA185" i="2"/>
  <c r="GA184" i="2"/>
  <c r="GA183" i="2"/>
  <c r="GA182" i="2"/>
  <c r="GA181" i="2"/>
  <c r="GA180" i="2"/>
  <c r="GA179" i="2"/>
  <c r="GA178" i="2"/>
  <c r="GA177" i="2"/>
  <c r="GA176" i="2"/>
  <c r="GA175" i="2"/>
  <c r="GA174" i="2"/>
  <c r="GA173" i="2"/>
  <c r="GA172" i="2"/>
  <c r="GA171" i="2"/>
  <c r="GA170" i="2"/>
  <c r="GA169" i="2"/>
  <c r="GA168" i="2"/>
  <c r="GA167" i="2"/>
  <c r="GA166" i="2"/>
  <c r="GA165" i="2"/>
  <c r="GA164" i="2"/>
  <c r="GA163" i="2"/>
  <c r="GA162" i="2"/>
  <c r="GA161" i="2"/>
  <c r="GA160" i="2"/>
  <c r="GA159" i="2"/>
  <c r="GA158" i="2"/>
  <c r="GA157" i="2"/>
  <c r="GA156" i="2"/>
  <c r="GA155" i="2"/>
  <c r="GA154" i="2"/>
  <c r="GA153" i="2"/>
  <c r="GA152" i="2"/>
  <c r="GA151" i="2"/>
  <c r="GA150" i="2"/>
  <c r="GA149" i="2"/>
  <c r="GA148" i="2"/>
  <c r="GA147" i="2"/>
  <c r="GA146" i="2"/>
  <c r="GA145" i="2"/>
  <c r="GA144" i="2"/>
  <c r="GA143" i="2"/>
  <c r="GA142" i="2"/>
  <c r="GA141" i="2"/>
  <c r="GA140" i="2"/>
  <c r="GA139" i="2"/>
  <c r="GA138" i="2"/>
  <c r="GA137" i="2"/>
  <c r="GA136" i="2"/>
  <c r="GA135" i="2"/>
  <c r="GA134" i="2"/>
  <c r="GA133" i="2"/>
  <c r="GA132" i="2"/>
  <c r="GA131" i="2"/>
  <c r="GA130" i="2"/>
  <c r="GA129" i="2"/>
  <c r="GA128" i="2"/>
  <c r="GA127" i="2"/>
  <c r="GA126" i="2"/>
  <c r="GA125" i="2"/>
  <c r="GA124" i="2"/>
  <c r="GA123" i="2"/>
  <c r="GA122" i="2"/>
  <c r="GA121" i="2"/>
  <c r="GA120" i="2"/>
  <c r="GA119" i="2"/>
  <c r="GA118" i="2"/>
  <c r="GA117" i="2"/>
  <c r="GA116" i="2"/>
  <c r="GA115" i="2"/>
  <c r="GA114" i="2"/>
  <c r="GA113" i="2"/>
  <c r="GA112" i="2"/>
  <c r="GA111" i="2"/>
  <c r="GA110" i="2"/>
  <c r="GA109" i="2"/>
  <c r="GA108" i="2"/>
  <c r="GA107" i="2"/>
  <c r="GA106" i="2"/>
  <c r="GA105" i="2"/>
  <c r="GA104" i="2"/>
  <c r="GA103" i="2"/>
  <c r="GA102" i="2"/>
  <c r="GA101" i="2"/>
  <c r="GA100" i="2"/>
  <c r="GA99" i="2"/>
  <c r="GA98" i="2"/>
  <c r="GA97" i="2"/>
  <c r="GA96" i="2"/>
  <c r="GA95" i="2"/>
  <c r="GA94" i="2"/>
  <c r="GA93" i="2"/>
  <c r="GA92" i="2"/>
  <c r="GA91" i="2"/>
  <c r="GA89" i="2"/>
  <c r="GA88" i="2"/>
  <c r="GA87" i="2"/>
  <c r="GA86" i="2"/>
  <c r="GA85" i="2"/>
  <c r="GA84" i="2"/>
  <c r="GA83" i="2"/>
  <c r="GA82" i="2"/>
  <c r="GA81" i="2"/>
  <c r="GA80" i="2"/>
  <c r="GA79" i="2"/>
  <c r="GA78" i="2"/>
  <c r="GA77" i="2"/>
  <c r="GA76" i="2"/>
  <c r="GA75" i="2"/>
  <c r="GA74" i="2"/>
  <c r="GA73" i="2"/>
  <c r="GA72" i="2"/>
  <c r="GA71" i="2"/>
  <c r="GA70" i="2"/>
  <c r="GA69" i="2"/>
  <c r="GA68" i="2"/>
  <c r="GA67" i="2"/>
  <c r="GA66" i="2"/>
  <c r="GA65" i="2"/>
  <c r="GA64" i="2"/>
  <c r="GA63" i="2"/>
  <c r="GA62" i="2"/>
  <c r="GA61" i="2"/>
  <c r="GA60" i="2"/>
  <c r="GA59" i="2"/>
  <c r="GA58" i="2"/>
  <c r="GA57" i="2"/>
  <c r="GA56" i="2"/>
  <c r="GA55" i="2"/>
  <c r="GA54" i="2"/>
  <c r="GA53" i="2"/>
  <c r="GA52" i="2"/>
  <c r="GA51" i="2"/>
  <c r="GA50" i="2"/>
  <c r="GA49" i="2"/>
  <c r="GA48" i="2"/>
  <c r="GA46" i="2"/>
  <c r="GA45" i="2"/>
  <c r="GA44" i="2"/>
  <c r="GA43" i="2"/>
  <c r="GA42" i="2"/>
  <c r="GA41" i="2"/>
  <c r="GA40" i="2"/>
  <c r="GA39" i="2"/>
  <c r="GA38" i="2"/>
  <c r="GA37" i="2"/>
  <c r="GA36" i="2"/>
  <c r="GA35" i="2"/>
  <c r="GA34" i="2"/>
  <c r="GA33" i="2"/>
  <c r="GA32" i="2"/>
  <c r="GA31" i="2"/>
  <c r="GA30" i="2"/>
  <c r="GA29" i="2"/>
  <c r="GA28" i="2"/>
  <c r="GA27" i="2"/>
  <c r="GA26" i="2"/>
  <c r="GA25" i="2"/>
  <c r="GA24" i="2"/>
  <c r="GA23" i="2"/>
  <c r="GA22" i="2"/>
  <c r="GA21" i="2"/>
  <c r="GA20" i="2"/>
  <c r="GA19" i="2"/>
  <c r="GA18" i="2"/>
  <c r="GA17" i="2"/>
  <c r="GA16" i="2"/>
  <c r="GA15" i="2"/>
  <c r="GA14" i="2"/>
  <c r="GA13" i="2"/>
  <c r="GA12" i="2"/>
  <c r="GA11" i="2"/>
  <c r="GA10" i="2"/>
  <c r="FY293" i="2"/>
  <c r="FY292" i="2"/>
  <c r="FY291" i="2"/>
  <c r="FY290" i="2"/>
  <c r="FY289" i="2"/>
  <c r="FY288" i="2"/>
  <c r="FY287" i="2"/>
  <c r="FY286" i="2"/>
  <c r="FY285" i="2"/>
  <c r="FY284" i="2"/>
  <c r="FY283" i="2"/>
  <c r="FY282" i="2"/>
  <c r="FY281" i="2"/>
  <c r="FY280" i="2"/>
  <c r="FY279" i="2"/>
  <c r="FY278" i="2"/>
  <c r="FY277" i="2"/>
  <c r="FY276" i="2"/>
  <c r="FY275" i="2"/>
  <c r="FY274" i="2"/>
  <c r="FY273" i="2"/>
  <c r="FY272" i="2"/>
  <c r="FY271" i="2"/>
  <c r="FY270" i="2"/>
  <c r="FY269" i="2"/>
  <c r="FY268" i="2"/>
  <c r="FY267" i="2"/>
  <c r="FY266" i="2"/>
  <c r="FY265" i="2"/>
  <c r="FY264" i="2"/>
  <c r="FY263" i="2"/>
  <c r="FY262" i="2"/>
  <c r="FY261" i="2"/>
  <c r="FY260" i="2"/>
  <c r="FY259" i="2"/>
  <c r="FY258" i="2"/>
  <c r="FY257" i="2"/>
  <c r="FY256" i="2"/>
  <c r="FY255" i="2"/>
  <c r="FY254" i="2"/>
  <c r="FY253" i="2"/>
  <c r="FY252" i="2"/>
  <c r="FY251" i="2"/>
  <c r="FY250" i="2"/>
  <c r="FY249" i="2"/>
  <c r="FY248" i="2"/>
  <c r="FY247" i="2"/>
  <c r="FY246" i="2"/>
  <c r="FY245" i="2"/>
  <c r="FY244" i="2"/>
  <c r="FY243" i="2"/>
  <c r="FY242" i="2"/>
  <c r="FY241" i="2"/>
  <c r="FY240" i="2"/>
  <c r="FY239" i="2"/>
  <c r="FY238" i="2"/>
  <c r="FY237" i="2"/>
  <c r="FY236" i="2"/>
  <c r="FY235" i="2"/>
  <c r="FY234" i="2"/>
  <c r="FY233" i="2"/>
  <c r="FY232" i="2"/>
  <c r="FY231" i="2"/>
  <c r="FY229" i="2"/>
  <c r="FY228" i="2"/>
  <c r="FY227" i="2"/>
  <c r="FY226" i="2"/>
  <c r="FY225" i="2"/>
  <c r="FY224" i="2"/>
  <c r="FY223" i="2"/>
  <c r="FY222" i="2"/>
  <c r="FY221" i="2"/>
  <c r="FY220" i="2"/>
  <c r="FY219" i="2"/>
  <c r="FY218" i="2"/>
  <c r="FY217" i="2"/>
  <c r="FY216" i="2"/>
  <c r="FY215" i="2"/>
  <c r="FY214" i="2"/>
  <c r="FY213" i="2"/>
  <c r="FY212" i="2"/>
  <c r="FY211" i="2"/>
  <c r="FY208" i="2"/>
  <c r="FY207" i="2"/>
  <c r="FY206" i="2"/>
  <c r="FY205" i="2"/>
  <c r="FY204" i="2"/>
  <c r="FY203" i="2"/>
  <c r="FY202" i="2"/>
  <c r="FY201" i="2"/>
  <c r="FY200" i="2"/>
  <c r="FY199" i="2"/>
  <c r="FY198" i="2"/>
  <c r="FY197" i="2"/>
  <c r="FY196" i="2"/>
  <c r="FY195" i="2"/>
  <c r="FY194" i="2"/>
  <c r="FY193" i="2"/>
  <c r="FY192" i="2"/>
  <c r="FY191" i="2"/>
  <c r="FY190" i="2"/>
  <c r="FY189" i="2"/>
  <c r="FY188" i="2"/>
  <c r="FY187" i="2"/>
  <c r="FY186" i="2"/>
  <c r="FY185" i="2"/>
  <c r="FY184" i="2"/>
  <c r="FY183" i="2"/>
  <c r="FY182" i="2"/>
  <c r="FY181" i="2"/>
  <c r="FY180" i="2"/>
  <c r="FY179" i="2"/>
  <c r="FY178" i="2"/>
  <c r="FY177" i="2"/>
  <c r="FY176" i="2"/>
  <c r="FY175" i="2"/>
  <c r="FY174" i="2"/>
  <c r="FY173" i="2"/>
  <c r="FY172" i="2"/>
  <c r="FY171" i="2"/>
  <c r="FY170" i="2"/>
  <c r="FY169" i="2"/>
  <c r="FY168" i="2"/>
  <c r="FY167" i="2"/>
  <c r="FY166" i="2"/>
  <c r="FY165" i="2"/>
  <c r="FY164" i="2"/>
  <c r="FY163" i="2"/>
  <c r="FY162" i="2"/>
  <c r="FY161" i="2"/>
  <c r="FY160" i="2"/>
  <c r="FY159" i="2"/>
  <c r="FY158" i="2"/>
  <c r="FY157" i="2"/>
  <c r="FY156" i="2"/>
  <c r="FY155" i="2"/>
  <c r="FY154" i="2"/>
  <c r="FY153" i="2"/>
  <c r="FY152" i="2"/>
  <c r="FY151" i="2"/>
  <c r="FY150" i="2"/>
  <c r="FY149" i="2"/>
  <c r="FY148" i="2"/>
  <c r="FY147" i="2"/>
  <c r="FY146" i="2"/>
  <c r="FY145" i="2"/>
  <c r="FY144" i="2"/>
  <c r="FY143" i="2"/>
  <c r="FY142" i="2"/>
  <c r="FY141" i="2"/>
  <c r="FY140" i="2"/>
  <c r="FY139" i="2"/>
  <c r="FY138" i="2"/>
  <c r="FY137" i="2"/>
  <c r="FY136" i="2"/>
  <c r="FY135" i="2"/>
  <c r="FY134" i="2"/>
  <c r="FY133" i="2"/>
  <c r="FY132" i="2"/>
  <c r="FY131" i="2"/>
  <c r="FY130" i="2"/>
  <c r="FY129" i="2"/>
  <c r="FY128" i="2"/>
  <c r="FY127" i="2"/>
  <c r="FY126" i="2"/>
  <c r="FY125" i="2"/>
  <c r="FY124" i="2"/>
  <c r="FY123" i="2"/>
  <c r="FY122" i="2"/>
  <c r="FY121" i="2"/>
  <c r="FY120" i="2"/>
  <c r="FY119" i="2"/>
  <c r="FY118" i="2"/>
  <c r="FY117" i="2"/>
  <c r="FY116" i="2"/>
  <c r="FY115" i="2"/>
  <c r="FY114" i="2"/>
  <c r="FY113" i="2"/>
  <c r="FY112" i="2"/>
  <c r="FY111" i="2"/>
  <c r="FY110" i="2"/>
  <c r="FY109" i="2"/>
  <c r="FY108" i="2"/>
  <c r="FY107" i="2"/>
  <c r="FY106" i="2"/>
  <c r="FY105" i="2"/>
  <c r="FY104" i="2"/>
  <c r="FY103" i="2"/>
  <c r="FY102" i="2"/>
  <c r="FY101" i="2"/>
  <c r="FY100" i="2"/>
  <c r="FY99" i="2"/>
  <c r="FY98" i="2"/>
  <c r="FY97" i="2"/>
  <c r="FY96" i="2"/>
  <c r="FY95" i="2"/>
  <c r="FY94" i="2"/>
  <c r="FY93" i="2"/>
  <c r="FY92" i="2"/>
  <c r="FY91" i="2"/>
  <c r="FY89" i="2"/>
  <c r="FY88" i="2"/>
  <c r="FY87" i="2"/>
  <c r="FY86" i="2"/>
  <c r="FY85" i="2"/>
  <c r="FY84" i="2"/>
  <c r="FY83" i="2"/>
  <c r="FY82" i="2"/>
  <c r="FY81" i="2"/>
  <c r="FY80" i="2"/>
  <c r="FY79" i="2"/>
  <c r="FY78" i="2"/>
  <c r="FY77" i="2"/>
  <c r="FY76" i="2"/>
  <c r="FY75" i="2"/>
  <c r="FY74" i="2"/>
  <c r="FY73" i="2"/>
  <c r="FY72" i="2"/>
  <c r="FY71" i="2"/>
  <c r="FY70" i="2"/>
  <c r="FY69" i="2"/>
  <c r="FY68" i="2"/>
  <c r="FY67" i="2"/>
  <c r="FY66" i="2"/>
  <c r="FY65" i="2"/>
  <c r="FY64" i="2"/>
  <c r="FY63" i="2"/>
  <c r="FY62" i="2"/>
  <c r="FY61" i="2"/>
  <c r="FY60" i="2"/>
  <c r="FY59" i="2"/>
  <c r="FY58" i="2"/>
  <c r="FY57" i="2"/>
  <c r="FY56" i="2"/>
  <c r="FY55" i="2"/>
  <c r="FY54" i="2"/>
  <c r="FY53" i="2"/>
  <c r="FY52" i="2"/>
  <c r="FY51" i="2"/>
  <c r="FY50" i="2"/>
  <c r="FY49" i="2"/>
  <c r="FY48" i="2"/>
  <c r="FY46" i="2"/>
  <c r="FY45" i="2"/>
  <c r="FY44" i="2"/>
  <c r="FY43" i="2"/>
  <c r="FY42" i="2"/>
  <c r="FY41" i="2"/>
  <c r="FY40" i="2"/>
  <c r="FY39" i="2"/>
  <c r="FY38" i="2"/>
  <c r="FY37" i="2"/>
  <c r="FY36" i="2"/>
  <c r="FY35" i="2"/>
  <c r="FY34" i="2"/>
  <c r="FY33" i="2"/>
  <c r="FY32" i="2"/>
  <c r="FY31" i="2"/>
  <c r="FY30" i="2"/>
  <c r="FY29" i="2"/>
  <c r="FY28" i="2"/>
  <c r="FY27" i="2"/>
  <c r="FY26" i="2"/>
  <c r="FY25" i="2"/>
  <c r="FY24" i="2"/>
  <c r="FY23" i="2"/>
  <c r="FY22" i="2"/>
  <c r="FY21" i="2"/>
  <c r="FY20" i="2"/>
  <c r="FY19" i="2"/>
  <c r="FY18" i="2"/>
  <c r="FY17" i="2"/>
  <c r="FY16" i="2"/>
  <c r="FY15" i="2"/>
  <c r="FY14" i="2"/>
  <c r="FY13" i="2"/>
  <c r="FY12" i="2"/>
  <c r="FY11" i="2"/>
  <c r="FY10" i="2"/>
  <c r="FW293" i="2"/>
  <c r="FW292" i="2"/>
  <c r="FW291" i="2"/>
  <c r="FW290" i="2"/>
  <c r="FW289" i="2"/>
  <c r="FW288" i="2"/>
  <c r="FW287" i="2"/>
  <c r="FW286" i="2"/>
  <c r="FW285" i="2"/>
  <c r="FW284" i="2"/>
  <c r="FW283" i="2"/>
  <c r="FW282" i="2"/>
  <c r="FW281" i="2"/>
  <c r="FW280" i="2"/>
  <c r="FW279" i="2"/>
  <c r="FW278" i="2"/>
  <c r="FW277" i="2"/>
  <c r="FW276" i="2"/>
  <c r="FW275" i="2"/>
  <c r="FW274" i="2"/>
  <c r="FW273" i="2"/>
  <c r="FW271" i="2"/>
  <c r="FW270" i="2"/>
  <c r="FW269" i="2"/>
  <c r="FW268" i="2"/>
  <c r="FW267" i="2"/>
  <c r="FW266" i="2"/>
  <c r="FW265" i="2"/>
  <c r="FW264" i="2"/>
  <c r="FW263" i="2"/>
  <c r="FW262" i="2"/>
  <c r="FW261" i="2"/>
  <c r="FW260" i="2"/>
  <c r="FW259" i="2"/>
  <c r="FW258" i="2"/>
  <c r="FW257" i="2"/>
  <c r="FW256" i="2"/>
  <c r="FW255" i="2"/>
  <c r="FW254" i="2"/>
  <c r="FW253" i="2"/>
  <c r="FW252" i="2"/>
  <c r="FW251" i="2"/>
  <c r="FW250" i="2"/>
  <c r="FW249" i="2"/>
  <c r="FW248" i="2"/>
  <c r="FW247" i="2"/>
  <c r="FW246" i="2"/>
  <c r="FW245" i="2"/>
  <c r="FW244" i="2"/>
  <c r="FW243" i="2"/>
  <c r="FW242" i="2"/>
  <c r="FW241" i="2"/>
  <c r="FW240" i="2"/>
  <c r="FW239" i="2"/>
  <c r="FW238" i="2"/>
  <c r="FW237" i="2"/>
  <c r="FW236" i="2"/>
  <c r="FW234" i="2"/>
  <c r="FW233" i="2"/>
  <c r="FW232" i="2"/>
  <c r="FW231" i="2"/>
  <c r="FW229" i="2"/>
  <c r="FW228" i="2"/>
  <c r="FW227" i="2"/>
  <c r="FW226" i="2"/>
  <c r="FW225" i="2"/>
  <c r="FW224" i="2"/>
  <c r="FW223" i="2"/>
  <c r="FW222" i="2"/>
  <c r="FW221" i="2"/>
  <c r="FW220" i="2"/>
  <c r="FW219" i="2"/>
  <c r="FW218" i="2"/>
  <c r="FW217" i="2"/>
  <c r="FW216" i="2"/>
  <c r="FW215" i="2"/>
  <c r="FW214" i="2"/>
  <c r="FW213" i="2"/>
  <c r="FW212" i="2"/>
  <c r="FW211" i="2"/>
  <c r="FW210" i="2"/>
  <c r="FW208" i="2"/>
  <c r="FW207" i="2"/>
  <c r="FW206" i="2"/>
  <c r="FW205" i="2"/>
  <c r="FW204" i="2"/>
  <c r="FW203" i="2"/>
  <c r="FW202" i="2"/>
  <c r="FW201" i="2"/>
  <c r="FW200" i="2"/>
  <c r="FW199" i="2"/>
  <c r="FW198" i="2"/>
  <c r="FW197" i="2"/>
  <c r="FW196" i="2"/>
  <c r="FW195" i="2"/>
  <c r="FW194" i="2"/>
  <c r="FW193" i="2"/>
  <c r="FW192" i="2"/>
  <c r="FW191" i="2"/>
  <c r="FW190" i="2"/>
  <c r="FW189" i="2"/>
  <c r="FW188" i="2"/>
  <c r="FW187" i="2"/>
  <c r="FW186" i="2"/>
  <c r="FW185" i="2"/>
  <c r="FW184" i="2"/>
  <c r="FW183" i="2"/>
  <c r="FW182" i="2"/>
  <c r="FW181" i="2"/>
  <c r="FW180" i="2"/>
  <c r="FW179" i="2"/>
  <c r="FW178" i="2"/>
  <c r="FW177" i="2"/>
  <c r="FW176" i="2"/>
  <c r="FW175" i="2"/>
  <c r="FW174" i="2"/>
  <c r="FW173" i="2"/>
  <c r="FW172" i="2"/>
  <c r="FW171" i="2"/>
  <c r="FW170" i="2"/>
  <c r="FW169" i="2"/>
  <c r="FW168" i="2"/>
  <c r="FW167" i="2"/>
  <c r="FW166" i="2"/>
  <c r="FW165" i="2"/>
  <c r="FW164" i="2"/>
  <c r="FW163" i="2"/>
  <c r="FW162" i="2"/>
  <c r="FW161" i="2"/>
  <c r="FW160" i="2"/>
  <c r="FW159" i="2"/>
  <c r="FW158" i="2"/>
  <c r="FW157" i="2"/>
  <c r="FW156" i="2"/>
  <c r="FW155" i="2"/>
  <c r="FW154" i="2"/>
  <c r="FW153" i="2"/>
  <c r="FW152" i="2"/>
  <c r="FW151" i="2"/>
  <c r="FW150" i="2"/>
  <c r="FW149" i="2"/>
  <c r="FW148" i="2"/>
  <c r="FW147" i="2"/>
  <c r="FW146" i="2"/>
  <c r="FW145" i="2"/>
  <c r="FW144" i="2"/>
  <c r="FW143" i="2"/>
  <c r="FW142" i="2"/>
  <c r="FW141" i="2"/>
  <c r="FW140" i="2"/>
  <c r="FW139" i="2"/>
  <c r="FW138" i="2"/>
  <c r="FW137" i="2"/>
  <c r="FW136" i="2"/>
  <c r="FW135" i="2"/>
  <c r="FW133" i="2"/>
  <c r="FW132" i="2"/>
  <c r="FW131" i="2"/>
  <c r="FW130" i="2"/>
  <c r="FW129" i="2"/>
  <c r="FW128" i="2"/>
  <c r="FW126" i="2"/>
  <c r="FW125" i="2"/>
  <c r="FW124" i="2"/>
  <c r="FW123" i="2"/>
  <c r="FW122" i="2"/>
  <c r="FW121" i="2"/>
  <c r="FW120" i="2"/>
  <c r="FW119" i="2"/>
  <c r="FW118" i="2"/>
  <c r="FW117" i="2"/>
  <c r="FW116" i="2"/>
  <c r="FW115" i="2"/>
  <c r="FW114" i="2"/>
  <c r="FW113" i="2"/>
  <c r="FW112" i="2"/>
  <c r="FW111" i="2"/>
  <c r="FW110" i="2"/>
  <c r="FW109" i="2"/>
  <c r="FW108" i="2"/>
  <c r="FW107" i="2"/>
  <c r="FW106" i="2"/>
  <c r="FW105" i="2"/>
  <c r="FW104" i="2"/>
  <c r="FW103" i="2"/>
  <c r="FW102" i="2"/>
  <c r="FW101" i="2"/>
  <c r="FW100" i="2"/>
  <c r="FW99" i="2"/>
  <c r="FW98" i="2"/>
  <c r="FW97" i="2"/>
  <c r="FW96" i="2"/>
  <c r="FW95" i="2"/>
  <c r="FW94" i="2"/>
  <c r="FW93" i="2"/>
  <c r="FW92" i="2"/>
  <c r="FW91" i="2"/>
  <c r="FW89" i="2"/>
  <c r="FW88" i="2"/>
  <c r="FW87" i="2"/>
  <c r="FW86" i="2"/>
  <c r="FW85" i="2"/>
  <c r="FW84" i="2"/>
  <c r="FW83" i="2"/>
  <c r="FW82" i="2"/>
  <c r="FW81" i="2"/>
  <c r="FW80" i="2"/>
  <c r="FW79" i="2"/>
  <c r="FW78" i="2"/>
  <c r="FW77" i="2"/>
  <c r="FW76" i="2"/>
  <c r="FW75" i="2"/>
  <c r="FW74" i="2"/>
  <c r="FW73" i="2"/>
  <c r="FW72" i="2"/>
  <c r="FW71" i="2"/>
  <c r="FW70" i="2"/>
  <c r="FW69" i="2"/>
  <c r="FW68" i="2"/>
  <c r="FW67" i="2"/>
  <c r="FW66" i="2"/>
  <c r="FW65" i="2"/>
  <c r="FW64" i="2"/>
  <c r="FW63" i="2"/>
  <c r="FW62" i="2"/>
  <c r="FW61" i="2"/>
  <c r="FW60" i="2"/>
  <c r="FW59" i="2"/>
  <c r="FW58" i="2"/>
  <c r="FW57" i="2"/>
  <c r="FW56" i="2"/>
  <c r="FW55" i="2"/>
  <c r="FW54" i="2"/>
  <c r="FW53" i="2"/>
  <c r="FW52" i="2"/>
  <c r="FW51" i="2"/>
  <c r="FW50" i="2"/>
  <c r="FW49" i="2"/>
  <c r="FW45" i="2"/>
  <c r="FW44" i="2"/>
  <c r="FW43" i="2"/>
  <c r="FW42" i="2"/>
  <c r="FW41" i="2"/>
  <c r="FW40" i="2"/>
  <c r="FW39" i="2"/>
  <c r="FW38" i="2"/>
  <c r="FW37" i="2"/>
  <c r="FW36" i="2"/>
  <c r="FW35" i="2"/>
  <c r="FW34" i="2"/>
  <c r="FW33" i="2"/>
  <c r="FW32" i="2"/>
  <c r="FW31" i="2"/>
  <c r="FW30" i="2"/>
  <c r="FW29" i="2"/>
  <c r="FW28" i="2"/>
  <c r="FW27" i="2"/>
  <c r="FW26" i="2"/>
  <c r="FW25" i="2"/>
  <c r="FW24" i="2"/>
  <c r="FW23" i="2"/>
  <c r="FW22" i="2"/>
  <c r="FW21" i="2"/>
  <c r="FW20" i="2"/>
  <c r="FW19" i="2"/>
  <c r="FW18" i="2"/>
  <c r="FW17" i="2"/>
  <c r="FW16" i="2"/>
  <c r="FW15" i="2"/>
  <c r="FW14" i="2"/>
  <c r="FW13" i="2"/>
  <c r="FW12" i="2"/>
  <c r="FW11" i="2"/>
  <c r="FW10" i="2"/>
  <c r="FU293" i="2"/>
  <c r="FU292" i="2"/>
  <c r="FU291" i="2"/>
  <c r="FU290" i="2"/>
  <c r="FU289" i="2"/>
  <c r="FU288" i="2"/>
  <c r="FU287" i="2"/>
  <c r="FU286" i="2"/>
  <c r="FU285" i="2"/>
  <c r="FU284" i="2"/>
  <c r="FU283" i="2"/>
  <c r="FU282" i="2"/>
  <c r="FU281" i="2"/>
  <c r="FU280" i="2"/>
  <c r="FU279" i="2"/>
  <c r="FU278" i="2"/>
  <c r="FU277" i="2"/>
  <c r="FU276" i="2"/>
  <c r="FU275" i="2"/>
  <c r="FU274" i="2"/>
  <c r="FU273" i="2"/>
  <c r="FU272" i="2"/>
  <c r="FU270" i="2"/>
  <c r="FU269" i="2"/>
  <c r="FU268" i="2"/>
  <c r="FU267" i="2"/>
  <c r="FU266" i="2"/>
  <c r="FU265" i="2"/>
  <c r="FU264" i="2"/>
  <c r="FU263" i="2"/>
  <c r="FU262" i="2"/>
  <c r="FU261" i="2"/>
  <c r="FU260" i="2"/>
  <c r="FU259" i="2"/>
  <c r="FU258" i="2"/>
  <c r="FU257" i="2"/>
  <c r="FU255" i="2"/>
  <c r="FU254" i="2"/>
  <c r="FU253" i="2"/>
  <c r="FU252" i="2"/>
  <c r="FU251" i="2"/>
  <c r="FU250" i="2"/>
  <c r="FU249" i="2"/>
  <c r="FU248" i="2"/>
  <c r="FU247" i="2"/>
  <c r="FU246" i="2"/>
  <c r="FU245" i="2"/>
  <c r="FU244" i="2"/>
  <c r="FU243" i="2"/>
  <c r="FU242" i="2"/>
  <c r="FU241" i="2"/>
  <c r="FU240" i="2"/>
  <c r="FU239" i="2"/>
  <c r="FU238" i="2"/>
  <c r="FU237" i="2"/>
  <c r="FU236" i="2"/>
  <c r="FU234" i="2"/>
  <c r="FU233" i="2"/>
  <c r="FU232" i="2"/>
  <c r="FU231" i="2"/>
  <c r="FU229" i="2"/>
  <c r="FU228" i="2"/>
  <c r="FU227" i="2"/>
  <c r="FU226" i="2"/>
  <c r="FU225" i="2"/>
  <c r="FU223" i="2"/>
  <c r="FU222" i="2"/>
  <c r="FU221" i="2"/>
  <c r="FU220" i="2"/>
  <c r="FU219" i="2"/>
  <c r="FU218" i="2"/>
  <c r="FU217" i="2"/>
  <c r="FU216" i="2"/>
  <c r="FU215" i="2"/>
  <c r="FU214" i="2"/>
  <c r="FU213" i="2"/>
  <c r="FU212" i="2"/>
  <c r="FU211" i="2"/>
  <c r="FU208" i="2"/>
  <c r="FU207" i="2"/>
  <c r="FU206" i="2"/>
  <c r="FU205" i="2"/>
  <c r="FU204" i="2"/>
  <c r="FU203" i="2"/>
  <c r="FU202" i="2"/>
  <c r="FU201" i="2"/>
  <c r="FU200" i="2"/>
  <c r="FU199" i="2"/>
  <c r="FU198" i="2"/>
  <c r="FU197" i="2"/>
  <c r="FU196" i="2"/>
  <c r="FU195" i="2"/>
  <c r="FU194" i="2"/>
  <c r="FU193" i="2"/>
  <c r="FU192" i="2"/>
  <c r="FU191" i="2"/>
  <c r="FU190" i="2"/>
  <c r="FU189" i="2"/>
  <c r="FU188" i="2"/>
  <c r="FU187" i="2"/>
  <c r="FU186" i="2"/>
  <c r="FU185" i="2"/>
  <c r="FU184" i="2"/>
  <c r="FU183" i="2"/>
  <c r="FU182" i="2"/>
  <c r="FU181" i="2"/>
  <c r="FU180" i="2"/>
  <c r="FU179" i="2"/>
  <c r="FU178" i="2"/>
  <c r="FU177" i="2"/>
  <c r="FU176" i="2"/>
  <c r="FU175" i="2"/>
  <c r="FU174" i="2"/>
  <c r="FU173" i="2"/>
  <c r="FU172" i="2"/>
  <c r="FU171" i="2"/>
  <c r="FU170" i="2"/>
  <c r="FU169" i="2"/>
  <c r="FU168" i="2"/>
  <c r="FU167" i="2"/>
  <c r="FU166" i="2"/>
  <c r="FU165" i="2"/>
  <c r="FU164" i="2"/>
  <c r="FU163" i="2"/>
  <c r="FU162" i="2"/>
  <c r="FU161" i="2"/>
  <c r="FU160" i="2"/>
  <c r="FU159" i="2"/>
  <c r="FU158" i="2"/>
  <c r="FU157" i="2"/>
  <c r="FU156" i="2"/>
  <c r="FU155" i="2"/>
  <c r="FU154" i="2"/>
  <c r="FU153" i="2"/>
  <c r="FU152" i="2"/>
  <c r="FU151" i="2"/>
  <c r="FU150" i="2"/>
  <c r="FU149" i="2"/>
  <c r="FU148" i="2"/>
  <c r="FU147" i="2"/>
  <c r="FU146" i="2"/>
  <c r="FU145" i="2"/>
  <c r="FU144" i="2"/>
  <c r="FU143" i="2"/>
  <c r="FU142" i="2"/>
  <c r="FU141" i="2"/>
  <c r="FU140" i="2"/>
  <c r="FU139" i="2"/>
  <c r="FU138" i="2"/>
  <c r="FU137" i="2"/>
  <c r="FU136" i="2"/>
  <c r="FU135" i="2"/>
  <c r="FU133" i="2"/>
  <c r="FU132" i="2"/>
  <c r="FU131" i="2"/>
  <c r="FU130" i="2"/>
  <c r="FU129" i="2"/>
  <c r="FU128" i="2"/>
  <c r="FU126" i="2"/>
  <c r="FU124" i="2"/>
  <c r="FU123" i="2"/>
  <c r="FU122" i="2"/>
  <c r="FU121" i="2"/>
  <c r="FU120" i="2"/>
  <c r="FU119" i="2"/>
  <c r="FU118" i="2"/>
  <c r="FU117" i="2"/>
  <c r="FU116" i="2"/>
  <c r="FU115" i="2"/>
  <c r="FU114" i="2"/>
  <c r="FU113" i="2"/>
  <c r="FU112" i="2"/>
  <c r="FU111" i="2"/>
  <c r="FU110" i="2"/>
  <c r="FU109" i="2"/>
  <c r="FU108" i="2"/>
  <c r="FU107" i="2"/>
  <c r="FU105" i="2"/>
  <c r="FU104" i="2"/>
  <c r="FU103" i="2"/>
  <c r="FU102" i="2"/>
  <c r="FU101" i="2"/>
  <c r="FU100" i="2"/>
  <c r="FU99" i="2"/>
  <c r="FU98" i="2"/>
  <c r="FU97" i="2"/>
  <c r="FU96" i="2"/>
  <c r="FU95" i="2"/>
  <c r="FU93" i="2"/>
  <c r="FU92" i="2"/>
  <c r="FU91" i="2"/>
  <c r="FU89" i="2"/>
  <c r="FU88" i="2"/>
  <c r="FU86" i="2"/>
  <c r="FU85" i="2"/>
  <c r="FU84" i="2"/>
  <c r="FU83" i="2"/>
  <c r="FU82" i="2"/>
  <c r="FU81" i="2"/>
  <c r="FU80" i="2"/>
  <c r="FU79" i="2"/>
  <c r="FU78" i="2"/>
  <c r="FU77" i="2"/>
  <c r="FU76" i="2"/>
  <c r="FU75" i="2"/>
  <c r="FU74" i="2"/>
  <c r="FU73" i="2"/>
  <c r="FU72" i="2"/>
  <c r="FU71" i="2"/>
  <c r="FU70" i="2"/>
  <c r="FU69" i="2"/>
  <c r="FU68" i="2"/>
  <c r="FU67" i="2"/>
  <c r="FU66" i="2"/>
  <c r="FU65" i="2"/>
  <c r="FU64" i="2"/>
  <c r="FU63" i="2"/>
  <c r="FU62" i="2"/>
  <c r="FU61" i="2"/>
  <c r="FU60" i="2"/>
  <c r="FU59" i="2"/>
  <c r="FU58" i="2"/>
  <c r="FU56" i="2"/>
  <c r="FU55" i="2"/>
  <c r="FU54" i="2"/>
  <c r="FU53" i="2"/>
  <c r="FU52" i="2"/>
  <c r="FU51" i="2"/>
  <c r="FU50" i="2"/>
  <c r="FU49" i="2"/>
  <c r="FU47" i="2"/>
  <c r="FU45" i="2"/>
  <c r="FU44" i="2"/>
  <c r="FU43" i="2"/>
  <c r="FU42" i="2"/>
  <c r="FU41" i="2"/>
  <c r="FU40" i="2"/>
  <c r="FU39" i="2"/>
  <c r="FU38" i="2"/>
  <c r="FU37" i="2"/>
  <c r="FU36" i="2"/>
  <c r="FU35" i="2"/>
  <c r="FU34" i="2"/>
  <c r="FU33" i="2"/>
  <c r="FU32" i="2"/>
  <c r="FU31" i="2"/>
  <c r="FU30" i="2"/>
  <c r="FU29" i="2"/>
  <c r="FU28" i="2"/>
  <c r="FU27" i="2"/>
  <c r="FU26" i="2"/>
  <c r="FU25" i="2"/>
  <c r="FU24" i="2"/>
  <c r="FU23" i="2"/>
  <c r="FU22" i="2"/>
  <c r="FU21" i="2"/>
  <c r="FU20" i="2"/>
  <c r="FU19" i="2"/>
  <c r="FU18" i="2"/>
  <c r="FU17" i="2"/>
  <c r="FU16" i="2"/>
  <c r="FU15" i="2"/>
  <c r="FU14" i="2"/>
  <c r="FU13" i="2"/>
  <c r="FU12" i="2"/>
  <c r="FU11" i="2"/>
  <c r="FU10" i="2"/>
  <c r="FS293" i="2"/>
  <c r="FS292" i="2"/>
  <c r="FS290" i="2"/>
  <c r="FS289" i="2"/>
  <c r="FS288" i="2"/>
  <c r="FS287" i="2"/>
  <c r="FS286" i="2"/>
  <c r="FS284" i="2"/>
  <c r="FS283" i="2"/>
  <c r="FS277" i="2"/>
  <c r="FS276" i="2"/>
  <c r="FS275" i="2"/>
  <c r="FS274" i="2"/>
  <c r="FS271" i="2"/>
  <c r="FS265" i="2"/>
  <c r="FS264" i="2"/>
  <c r="FS261" i="2"/>
  <c r="FS260" i="2"/>
  <c r="FS258" i="2"/>
  <c r="FS257" i="2"/>
  <c r="FS256" i="2"/>
  <c r="FS254" i="2"/>
  <c r="FS253" i="2"/>
  <c r="FS250" i="2"/>
  <c r="FS242" i="2"/>
  <c r="FS240" i="2"/>
  <c r="FS239" i="2"/>
  <c r="FS234" i="2"/>
  <c r="FS233" i="2"/>
  <c r="FS230" i="2"/>
  <c r="FS226" i="2"/>
  <c r="FS220" i="2"/>
  <c r="FS218" i="2"/>
  <c r="FS216" i="2"/>
  <c r="FS211" i="2"/>
  <c r="FS210" i="2"/>
  <c r="FS208" i="2"/>
  <c r="FS207" i="2"/>
  <c r="FS204" i="2"/>
  <c r="FS202" i="2"/>
  <c r="FS201" i="2"/>
  <c r="FS200" i="2"/>
  <c r="FS199" i="2"/>
  <c r="FS198" i="2"/>
  <c r="FS197" i="2"/>
  <c r="FS196" i="2"/>
  <c r="FS195" i="2"/>
  <c r="FS194" i="2"/>
  <c r="FS193" i="2"/>
  <c r="FS191" i="2"/>
  <c r="FS190" i="2"/>
  <c r="FS189" i="2"/>
  <c r="FS188" i="2"/>
  <c r="FS187" i="2"/>
  <c r="FS186" i="2"/>
  <c r="FS185" i="2"/>
  <c r="FS184" i="2"/>
  <c r="FS183" i="2"/>
  <c r="FS182" i="2"/>
  <c r="FS181" i="2"/>
  <c r="FS179" i="2"/>
  <c r="FS178" i="2"/>
  <c r="FS177" i="2"/>
  <c r="FS176" i="2"/>
  <c r="FS175" i="2"/>
  <c r="FS174" i="2"/>
  <c r="FS173" i="2"/>
  <c r="FS172" i="2"/>
  <c r="FS171" i="2"/>
  <c r="FS170" i="2"/>
  <c r="FS169" i="2"/>
  <c r="FS168" i="2"/>
  <c r="FS167" i="2"/>
  <c r="FS166" i="2"/>
  <c r="FS165" i="2"/>
  <c r="FS164" i="2"/>
  <c r="FS163" i="2"/>
  <c r="FS162" i="2"/>
  <c r="FS161" i="2"/>
  <c r="FS160" i="2"/>
  <c r="FS159" i="2"/>
  <c r="FS157" i="2"/>
  <c r="FS156" i="2"/>
  <c r="FS155" i="2"/>
  <c r="FS154" i="2"/>
  <c r="FS153" i="2"/>
  <c r="FS151" i="2"/>
  <c r="FS150" i="2"/>
  <c r="FS149" i="2"/>
  <c r="FS148" i="2"/>
  <c r="FS147" i="2"/>
  <c r="FS146" i="2"/>
  <c r="FS145" i="2"/>
  <c r="FS144" i="2"/>
  <c r="FS143" i="2"/>
  <c r="FS142" i="2"/>
  <c r="FS140" i="2"/>
  <c r="FS139" i="2"/>
  <c r="FS137" i="2"/>
  <c r="FS135" i="2"/>
  <c r="FS133" i="2"/>
  <c r="FS132" i="2"/>
  <c r="FS129" i="2"/>
  <c r="FS118" i="2"/>
  <c r="FS112" i="2"/>
  <c r="FS111" i="2"/>
  <c r="FS110" i="2"/>
  <c r="FS107" i="2"/>
  <c r="FS106" i="2"/>
  <c r="FS105" i="2"/>
  <c r="FS104" i="2"/>
  <c r="FS99" i="2"/>
  <c r="FS94" i="2"/>
  <c r="FS93" i="2"/>
  <c r="FS92" i="2"/>
  <c r="FS91" i="2"/>
  <c r="FS87" i="2"/>
  <c r="FS83" i="2"/>
  <c r="FS80" i="2"/>
  <c r="FS79" i="2"/>
  <c r="FS78" i="2"/>
  <c r="FS77" i="2"/>
  <c r="FS72" i="2"/>
  <c r="FS71" i="2"/>
  <c r="FS65" i="2"/>
  <c r="FS61" i="2"/>
  <c r="FS59" i="2"/>
  <c r="FS58" i="2"/>
  <c r="FS57" i="2"/>
  <c r="FS51" i="2"/>
  <c r="FS45" i="2"/>
  <c r="FS44" i="2"/>
  <c r="FS43" i="2"/>
  <c r="FS41" i="2"/>
  <c r="FS40" i="2"/>
  <c r="FS39" i="2"/>
  <c r="FS38" i="2"/>
  <c r="FS37" i="2"/>
  <c r="FS36" i="2"/>
  <c r="FS35" i="2"/>
  <c r="FS34" i="2"/>
  <c r="FS32" i="2"/>
  <c r="FS31" i="2"/>
  <c r="FS30" i="2"/>
  <c r="FS29" i="2"/>
  <c r="FS28" i="2"/>
  <c r="FS27" i="2"/>
  <c r="FS26" i="2"/>
  <c r="FS25" i="2"/>
  <c r="FS24" i="2"/>
  <c r="FS23" i="2"/>
  <c r="FS22" i="2"/>
  <c r="FS21" i="2"/>
  <c r="FS20" i="2"/>
  <c r="FS19" i="2"/>
  <c r="FS18" i="2"/>
  <c r="FS17" i="2"/>
  <c r="FS16" i="2"/>
  <c r="FS15" i="2"/>
  <c r="FS14" i="2"/>
  <c r="FS13" i="2"/>
  <c r="FS12" i="2"/>
  <c r="FS11" i="2"/>
  <c r="FS10" i="2"/>
  <c r="FI293" i="2"/>
  <c r="FI292" i="2"/>
  <c r="FI291" i="2"/>
  <c r="FI290" i="2"/>
  <c r="FI289" i="2"/>
  <c r="FI288" i="2"/>
  <c r="FI287" i="2"/>
  <c r="FI286" i="2"/>
  <c r="FI285" i="2"/>
  <c r="FI284" i="2"/>
  <c r="FI283" i="2"/>
  <c r="FI282" i="2"/>
  <c r="FI281" i="2"/>
  <c r="FI280" i="2"/>
  <c r="FI279" i="2"/>
  <c r="FI278" i="2"/>
  <c r="FI277" i="2"/>
  <c r="FI276" i="2"/>
  <c r="FI275" i="2"/>
  <c r="FI274" i="2"/>
  <c r="FI273" i="2"/>
  <c r="FI272" i="2"/>
  <c r="FI271" i="2"/>
  <c r="FI270" i="2"/>
  <c r="FI269" i="2"/>
  <c r="FI268" i="2"/>
  <c r="FI267" i="2"/>
  <c r="FI266" i="2"/>
  <c r="FI265" i="2"/>
  <c r="FI264" i="2"/>
  <c r="FI263" i="2"/>
  <c r="FI262" i="2"/>
  <c r="FI261" i="2"/>
  <c r="FI260" i="2"/>
  <c r="FI259" i="2"/>
  <c r="FI258" i="2"/>
  <c r="FI257" i="2"/>
  <c r="FI256" i="2"/>
  <c r="FI255" i="2"/>
  <c r="FI254" i="2"/>
  <c r="FI253" i="2"/>
  <c r="FI252" i="2"/>
  <c r="FI251" i="2"/>
  <c r="FI250" i="2"/>
  <c r="FI249" i="2"/>
  <c r="FI248" i="2"/>
  <c r="FI247" i="2"/>
  <c r="FI246" i="2"/>
  <c r="FI245" i="2"/>
  <c r="FI244" i="2"/>
  <c r="FI243" i="2"/>
  <c r="FI242" i="2"/>
  <c r="FI241" i="2"/>
  <c r="FI240" i="2"/>
  <c r="FI239" i="2"/>
  <c r="FI238" i="2"/>
  <c r="FI237" i="2"/>
  <c r="FI236" i="2"/>
  <c r="FI235" i="2"/>
  <c r="FI234" i="2"/>
  <c r="FI233" i="2"/>
  <c r="FI232" i="2"/>
  <c r="FI231" i="2"/>
  <c r="FI230" i="2"/>
  <c r="FI229" i="2"/>
  <c r="FI228" i="2"/>
  <c r="FI227" i="2"/>
  <c r="FI226" i="2"/>
  <c r="FI225" i="2"/>
  <c r="FI224" i="2"/>
  <c r="FI223" i="2"/>
  <c r="FI222" i="2"/>
  <c r="FI221" i="2"/>
  <c r="FI220" i="2"/>
  <c r="FI219" i="2"/>
  <c r="FI218" i="2"/>
  <c r="FI217" i="2"/>
  <c r="FI216" i="2"/>
  <c r="FI215" i="2"/>
  <c r="FI214" i="2"/>
  <c r="FI213" i="2"/>
  <c r="FI211" i="2"/>
  <c r="FI210" i="2"/>
  <c r="FI209" i="2"/>
  <c r="FI208" i="2"/>
  <c r="FI207" i="2"/>
  <c r="FI206" i="2"/>
  <c r="FI205" i="2"/>
  <c r="FI204" i="2"/>
  <c r="FI203" i="2"/>
  <c r="FI202" i="2"/>
  <c r="FI201" i="2"/>
  <c r="FI200" i="2"/>
  <c r="FI199" i="2"/>
  <c r="FI198" i="2"/>
  <c r="FI197" i="2"/>
  <c r="FI196" i="2"/>
  <c r="FI195" i="2"/>
  <c r="FI194" i="2"/>
  <c r="FI193" i="2"/>
  <c r="FI192" i="2"/>
  <c r="FI191" i="2"/>
  <c r="FI190" i="2"/>
  <c r="FI189" i="2"/>
  <c r="FI188" i="2"/>
  <c r="FI187" i="2"/>
  <c r="FI186" i="2"/>
  <c r="FI185" i="2"/>
  <c r="FI183" i="2"/>
  <c r="FI182" i="2"/>
  <c r="FI181" i="2"/>
  <c r="FI180" i="2"/>
  <c r="FI179" i="2"/>
  <c r="FI177" i="2"/>
  <c r="FI176" i="2"/>
  <c r="FI175" i="2"/>
  <c r="FI174" i="2"/>
  <c r="FI173" i="2"/>
  <c r="FI172" i="2"/>
  <c r="FI171" i="2"/>
  <c r="FI170" i="2"/>
  <c r="FI169" i="2"/>
  <c r="FI168" i="2"/>
  <c r="FI167" i="2"/>
  <c r="FI166" i="2"/>
  <c r="FI165" i="2"/>
  <c r="FI164" i="2"/>
  <c r="FI163" i="2"/>
  <c r="FI162" i="2"/>
  <c r="FI161" i="2"/>
  <c r="FI160" i="2"/>
  <c r="FI159" i="2"/>
  <c r="FI158" i="2"/>
  <c r="FI157" i="2"/>
  <c r="FI156" i="2"/>
  <c r="FI155" i="2"/>
  <c r="FI154" i="2"/>
  <c r="FI153" i="2"/>
  <c r="FI152" i="2"/>
  <c r="FI151" i="2"/>
  <c r="FI150" i="2"/>
  <c r="FI149" i="2"/>
  <c r="FI148" i="2"/>
  <c r="FI147" i="2"/>
  <c r="FI146" i="2"/>
  <c r="FI145" i="2"/>
  <c r="FI144" i="2"/>
  <c r="FI143" i="2"/>
  <c r="FI142" i="2"/>
  <c r="FI141" i="2"/>
  <c r="FI140" i="2"/>
  <c r="FI139" i="2"/>
  <c r="FI138" i="2"/>
  <c r="FI137" i="2"/>
  <c r="FI136" i="2"/>
  <c r="FI135" i="2"/>
  <c r="FI134" i="2"/>
  <c r="FI133" i="2"/>
  <c r="FI132" i="2"/>
  <c r="FI131" i="2"/>
  <c r="FI130" i="2"/>
  <c r="FI129" i="2"/>
  <c r="FI128" i="2"/>
  <c r="FI127" i="2"/>
  <c r="FI126" i="2"/>
  <c r="FI125" i="2"/>
  <c r="FI124" i="2"/>
  <c r="FI123" i="2"/>
  <c r="FI122" i="2"/>
  <c r="FI121" i="2"/>
  <c r="FI120" i="2"/>
  <c r="FI119" i="2"/>
  <c r="FI118" i="2"/>
  <c r="FI117" i="2"/>
  <c r="FI116" i="2"/>
  <c r="FI115" i="2"/>
  <c r="FI114" i="2"/>
  <c r="FI113" i="2"/>
  <c r="FI112" i="2"/>
  <c r="FI111" i="2"/>
  <c r="FI110" i="2"/>
  <c r="FI109" i="2"/>
  <c r="FI108" i="2"/>
  <c r="FI107" i="2"/>
  <c r="FI106" i="2"/>
  <c r="FI105" i="2"/>
  <c r="FI104" i="2"/>
  <c r="FI103" i="2"/>
  <c r="FI102" i="2"/>
  <c r="FI101" i="2"/>
  <c r="FI100" i="2"/>
  <c r="FI99" i="2"/>
  <c r="FI97" i="2"/>
  <c r="FI96" i="2"/>
  <c r="FI95" i="2"/>
  <c r="FI94" i="2"/>
  <c r="FI93" i="2"/>
  <c r="FI92" i="2"/>
  <c r="FI90" i="2"/>
  <c r="FI89" i="2"/>
  <c r="FI88" i="2"/>
  <c r="FI87" i="2"/>
  <c r="FI86" i="2"/>
  <c r="FI85" i="2"/>
  <c r="FI84" i="2"/>
  <c r="FI82" i="2"/>
  <c r="FI81" i="2"/>
  <c r="FI80" i="2"/>
  <c r="FI79" i="2"/>
  <c r="FI77" i="2"/>
  <c r="FI76" i="2"/>
  <c r="FI75" i="2"/>
  <c r="FI74" i="2"/>
  <c r="FI73" i="2"/>
  <c r="FI72" i="2"/>
  <c r="FI71" i="2"/>
  <c r="FI70" i="2"/>
  <c r="FI69" i="2"/>
  <c r="FI68" i="2"/>
  <c r="FI67" i="2"/>
  <c r="FI66" i="2"/>
  <c r="FI65" i="2"/>
  <c r="FI64" i="2"/>
  <c r="FI63" i="2"/>
  <c r="FI62" i="2"/>
  <c r="FI61" i="2"/>
  <c r="FI60" i="2"/>
  <c r="FI59" i="2"/>
  <c r="FI58" i="2"/>
  <c r="FI57" i="2"/>
  <c r="FI56" i="2"/>
  <c r="FI55" i="2"/>
  <c r="FI54" i="2"/>
  <c r="FI53" i="2"/>
  <c r="FI52" i="2"/>
  <c r="FI51" i="2"/>
  <c r="FI50" i="2"/>
  <c r="FI49" i="2"/>
  <c r="FI48" i="2"/>
  <c r="FI47" i="2"/>
  <c r="FI46" i="2"/>
  <c r="FI45" i="2"/>
  <c r="FI44" i="2"/>
  <c r="FI43" i="2"/>
  <c r="FI42" i="2"/>
  <c r="FI41" i="2"/>
  <c r="FI40" i="2"/>
  <c r="FI39" i="2"/>
  <c r="FI38" i="2"/>
  <c r="FI37" i="2"/>
  <c r="FI36" i="2"/>
  <c r="FI35" i="2"/>
  <c r="FI34" i="2"/>
  <c r="FI33" i="2"/>
  <c r="FI32" i="2"/>
  <c r="FI31" i="2"/>
  <c r="FI30" i="2"/>
  <c r="FI29" i="2"/>
  <c r="FI28" i="2"/>
  <c r="FI27" i="2"/>
  <c r="FI26" i="2"/>
  <c r="FI25" i="2"/>
  <c r="FI24" i="2"/>
  <c r="FI23" i="2"/>
  <c r="FI22" i="2"/>
  <c r="FI21" i="2"/>
  <c r="FI20" i="2"/>
  <c r="FI19" i="2"/>
  <c r="FI18" i="2"/>
  <c r="FI17" i="2"/>
  <c r="FI16" i="2"/>
  <c r="FI15" i="2"/>
  <c r="FI14" i="2"/>
  <c r="FI13" i="2"/>
  <c r="FI12" i="2"/>
  <c r="FI11" i="2"/>
  <c r="FI10" i="2"/>
  <c r="FF289" i="2"/>
  <c r="FF288" i="2"/>
  <c r="FF274" i="2"/>
  <c r="FF258" i="2"/>
  <c r="FF216" i="2"/>
  <c r="FF213" i="2"/>
  <c r="FF211" i="2"/>
  <c r="FF209" i="2"/>
  <c r="FF204" i="2"/>
  <c r="FF200" i="2"/>
  <c r="FF197" i="2"/>
  <c r="FF196" i="2"/>
  <c r="FF189" i="2"/>
  <c r="FF188" i="2"/>
  <c r="FF182" i="2"/>
  <c r="FF177" i="2"/>
  <c r="FF176" i="2"/>
  <c r="FF175" i="2"/>
  <c r="FF174" i="2"/>
  <c r="FF173" i="2"/>
  <c r="FF172" i="2"/>
  <c r="FF171" i="2"/>
  <c r="FF164" i="2"/>
  <c r="FF162" i="2"/>
  <c r="FF161" i="2"/>
  <c r="FF154" i="2"/>
  <c r="FF153" i="2"/>
  <c r="FF151" i="2"/>
  <c r="FF150" i="2"/>
  <c r="FF143" i="2"/>
  <c r="FF142" i="2"/>
  <c r="FF141" i="2"/>
  <c r="FF137" i="2"/>
  <c r="FF135" i="2"/>
  <c r="FF134" i="2"/>
  <c r="FF133" i="2"/>
  <c r="FF132" i="2"/>
  <c r="FF129" i="2"/>
  <c r="FF127" i="2"/>
  <c r="FF111" i="2"/>
  <c r="FF95" i="2"/>
  <c r="FF93" i="2"/>
  <c r="FF90" i="2"/>
  <c r="FF61" i="2"/>
  <c r="FF51" i="2"/>
  <c r="FF48" i="2"/>
  <c r="FF47" i="2"/>
  <c r="FF46" i="2"/>
  <c r="FF43" i="2"/>
  <c r="FF34" i="2"/>
  <c r="FF33" i="2"/>
  <c r="FF29" i="2"/>
  <c r="FF28" i="2"/>
  <c r="FF22" i="2"/>
  <c r="EV293" i="2"/>
  <c r="EV292" i="2"/>
  <c r="EV291" i="2"/>
  <c r="EV290" i="2"/>
  <c r="EV289" i="2"/>
  <c r="EV288" i="2"/>
  <c r="EV287" i="2"/>
  <c r="EV286" i="2"/>
  <c r="EV285" i="2"/>
  <c r="EV284" i="2"/>
  <c r="EV283" i="2"/>
  <c r="EV282" i="2"/>
  <c r="EV281" i="2"/>
  <c r="EV280" i="2"/>
  <c r="EV279" i="2"/>
  <c r="EV278" i="2"/>
  <c r="EV277" i="2"/>
  <c r="EV276" i="2"/>
  <c r="EV275" i="2"/>
  <c r="EV274" i="2"/>
  <c r="EV273" i="2"/>
  <c r="EV272" i="2"/>
  <c r="EV271" i="2"/>
  <c r="EV270" i="2"/>
  <c r="EV269" i="2"/>
  <c r="EV268" i="2"/>
  <c r="EV267" i="2"/>
  <c r="EV266" i="2"/>
  <c r="EV265" i="2"/>
  <c r="EV264" i="2"/>
  <c r="EV263" i="2"/>
  <c r="EV262" i="2"/>
  <c r="EV261" i="2"/>
  <c r="EV260" i="2"/>
  <c r="EV259" i="2"/>
  <c r="EV258" i="2"/>
  <c r="EV257" i="2"/>
  <c r="EV256" i="2"/>
  <c r="EV255" i="2"/>
  <c r="EV254" i="2"/>
  <c r="EV253" i="2"/>
  <c r="EV252" i="2"/>
  <c r="EV251" i="2"/>
  <c r="EV250" i="2"/>
  <c r="EV249" i="2"/>
  <c r="EV248" i="2"/>
  <c r="EV247" i="2"/>
  <c r="EV246" i="2"/>
  <c r="EV245" i="2"/>
  <c r="EV244" i="2"/>
  <c r="EV243" i="2"/>
  <c r="EV242" i="2"/>
  <c r="EV241" i="2"/>
  <c r="EV240" i="2"/>
  <c r="EV239" i="2"/>
  <c r="EV238" i="2"/>
  <c r="EV237" i="2"/>
  <c r="EV236" i="2"/>
  <c r="EV235" i="2"/>
  <c r="EV234" i="2"/>
  <c r="EV233" i="2"/>
  <c r="EV232" i="2"/>
  <c r="EV231" i="2"/>
  <c r="EV230" i="2"/>
  <c r="EV229" i="2"/>
  <c r="EV228" i="2"/>
  <c r="EV227" i="2"/>
  <c r="EV226" i="2"/>
  <c r="EV225" i="2"/>
  <c r="EV224" i="2"/>
  <c r="EV223" i="2"/>
  <c r="EV222" i="2"/>
  <c r="EV221" i="2"/>
  <c r="EV220" i="2"/>
  <c r="EV219" i="2"/>
  <c r="EV218" i="2"/>
  <c r="EV217" i="2"/>
  <c r="EV216" i="2"/>
  <c r="EV215" i="2"/>
  <c r="EV214" i="2"/>
  <c r="EV213" i="2"/>
  <c r="EV212" i="2"/>
  <c r="EV211" i="2"/>
  <c r="EV210" i="2"/>
  <c r="EV209" i="2"/>
  <c r="EV208" i="2"/>
  <c r="EV207" i="2"/>
  <c r="EV206" i="2"/>
  <c r="EV205" i="2"/>
  <c r="EV204" i="2"/>
  <c r="EV203" i="2"/>
  <c r="EV202" i="2"/>
  <c r="EV201" i="2"/>
  <c r="EV200" i="2"/>
  <c r="EV199" i="2"/>
  <c r="EV198" i="2"/>
  <c r="EV197" i="2"/>
  <c r="EV196" i="2"/>
  <c r="EV195" i="2"/>
  <c r="EV194" i="2"/>
  <c r="EV193" i="2"/>
  <c r="EV192" i="2"/>
  <c r="EV191" i="2"/>
  <c r="EV190" i="2"/>
  <c r="EV189" i="2"/>
  <c r="EV188" i="2"/>
  <c r="EV187" i="2"/>
  <c r="EV186" i="2"/>
  <c r="EV185" i="2"/>
  <c r="EV184" i="2"/>
  <c r="EV183" i="2"/>
  <c r="EV182" i="2"/>
  <c r="EV181" i="2"/>
  <c r="EV180" i="2"/>
  <c r="EV179" i="2"/>
  <c r="EV178" i="2"/>
  <c r="EV177" i="2"/>
  <c r="EV176" i="2"/>
  <c r="EV175" i="2"/>
  <c r="EV174" i="2"/>
  <c r="EV173" i="2"/>
  <c r="EV172" i="2"/>
  <c r="EV171" i="2"/>
  <c r="EV170" i="2"/>
  <c r="EV169" i="2"/>
  <c r="EV168" i="2"/>
  <c r="EV167" i="2"/>
  <c r="EV166" i="2"/>
  <c r="EV165" i="2"/>
  <c r="EV164" i="2"/>
  <c r="EV163" i="2"/>
  <c r="EV162" i="2"/>
  <c r="EV161" i="2"/>
  <c r="EV160" i="2"/>
  <c r="EV159" i="2"/>
  <c r="EV158" i="2"/>
  <c r="EV157" i="2"/>
  <c r="EV156" i="2"/>
  <c r="EV155" i="2"/>
  <c r="EV154" i="2"/>
  <c r="EV153" i="2"/>
  <c r="EV152" i="2"/>
  <c r="EV151" i="2"/>
  <c r="EV150" i="2"/>
  <c r="EV149" i="2"/>
  <c r="EV148" i="2"/>
  <c r="EV147" i="2"/>
  <c r="EV146" i="2"/>
  <c r="EV145" i="2"/>
  <c r="EV144" i="2"/>
  <c r="EV143" i="2"/>
  <c r="EV142" i="2"/>
  <c r="EV141" i="2"/>
  <c r="EV140" i="2"/>
  <c r="EV139" i="2"/>
  <c r="EV138" i="2"/>
  <c r="EV137" i="2"/>
  <c r="EV136" i="2"/>
  <c r="EV135" i="2"/>
  <c r="EV134" i="2"/>
  <c r="EV133" i="2"/>
  <c r="EV132" i="2"/>
  <c r="EV131" i="2"/>
  <c r="EV130" i="2"/>
  <c r="EV129" i="2"/>
  <c r="EV128" i="2"/>
  <c r="EV127" i="2"/>
  <c r="EV126" i="2"/>
  <c r="EV125" i="2"/>
  <c r="EV124" i="2"/>
  <c r="EV123" i="2"/>
  <c r="EV122" i="2"/>
  <c r="EV121" i="2"/>
  <c r="EV120" i="2"/>
  <c r="EV119" i="2"/>
  <c r="EV118" i="2"/>
  <c r="EV117" i="2"/>
  <c r="EV116" i="2"/>
  <c r="EV115" i="2"/>
  <c r="EV114" i="2"/>
  <c r="EV113" i="2"/>
  <c r="EV112" i="2"/>
  <c r="EV111" i="2"/>
  <c r="EV110" i="2"/>
  <c r="EV109" i="2"/>
  <c r="EV108" i="2"/>
  <c r="EV107" i="2"/>
  <c r="EV106" i="2"/>
  <c r="EV105" i="2"/>
  <c r="EV104" i="2"/>
  <c r="EV103" i="2"/>
  <c r="EV102" i="2"/>
  <c r="EV101" i="2"/>
  <c r="EV100" i="2"/>
  <c r="EV99" i="2"/>
  <c r="EV98" i="2"/>
  <c r="EV97" i="2"/>
  <c r="EV96" i="2"/>
  <c r="EV95" i="2"/>
  <c r="EV94" i="2"/>
  <c r="EV93" i="2"/>
  <c r="EV92" i="2"/>
  <c r="EV91" i="2"/>
  <c r="EV90" i="2"/>
  <c r="EV89" i="2"/>
  <c r="EV88" i="2"/>
  <c r="EV87" i="2"/>
  <c r="EV86" i="2"/>
  <c r="EV85" i="2"/>
  <c r="EV84" i="2"/>
  <c r="EV83" i="2"/>
  <c r="EV82" i="2"/>
  <c r="EV81" i="2"/>
  <c r="EV80" i="2"/>
  <c r="EV79" i="2"/>
  <c r="EV78" i="2"/>
  <c r="EV77" i="2"/>
  <c r="EV76" i="2"/>
  <c r="EV75" i="2"/>
  <c r="EV74" i="2"/>
  <c r="EV73" i="2"/>
  <c r="EV72" i="2"/>
  <c r="EV71" i="2"/>
  <c r="EV70" i="2"/>
  <c r="EV69" i="2"/>
  <c r="EV68" i="2"/>
  <c r="EV67" i="2"/>
  <c r="EV66" i="2"/>
  <c r="EV65" i="2"/>
  <c r="EV64" i="2"/>
  <c r="EV63" i="2"/>
  <c r="EV62" i="2"/>
  <c r="EV61" i="2"/>
  <c r="EV60" i="2"/>
  <c r="EV59" i="2"/>
  <c r="EV58" i="2"/>
  <c r="EV57" i="2"/>
  <c r="EV56" i="2"/>
  <c r="EV55" i="2"/>
  <c r="EV54" i="2"/>
  <c r="EV53" i="2"/>
  <c r="EV52" i="2"/>
  <c r="EV51" i="2"/>
  <c r="EV50" i="2"/>
  <c r="EV49" i="2"/>
  <c r="EV48" i="2"/>
  <c r="EV47" i="2"/>
  <c r="EV46" i="2"/>
  <c r="EV45" i="2"/>
  <c r="EV44" i="2"/>
  <c r="EV43" i="2"/>
  <c r="EV42" i="2"/>
  <c r="EV41" i="2"/>
  <c r="EV40" i="2"/>
  <c r="EV39" i="2"/>
  <c r="EV38" i="2"/>
  <c r="EV37" i="2"/>
  <c r="EV36" i="2"/>
  <c r="EV35" i="2"/>
  <c r="EV34" i="2"/>
  <c r="EV33" i="2"/>
  <c r="EV32" i="2"/>
  <c r="EV31" i="2"/>
  <c r="EV30" i="2"/>
  <c r="EV29" i="2"/>
  <c r="EV28" i="2"/>
  <c r="EV27" i="2"/>
  <c r="EV26" i="2"/>
  <c r="EV25" i="2"/>
  <c r="EV24" i="2"/>
  <c r="EV23" i="2"/>
  <c r="EV22" i="2"/>
  <c r="EV21" i="2"/>
  <c r="EV20" i="2"/>
  <c r="EV19" i="2"/>
  <c r="EV18" i="2"/>
  <c r="EV17" i="2"/>
  <c r="EV16" i="2"/>
  <c r="EV15" i="2"/>
  <c r="EV14" i="2"/>
  <c r="EV13" i="2"/>
  <c r="EV12" i="2"/>
  <c r="EV11" i="2"/>
  <c r="EV10" i="2"/>
  <c r="ET293" i="2"/>
  <c r="ET292" i="2"/>
  <c r="ET291" i="2"/>
  <c r="ET290" i="2"/>
  <c r="ET289" i="2"/>
  <c r="ET288" i="2"/>
  <c r="ET287" i="2"/>
  <c r="ET286" i="2"/>
  <c r="ET285" i="2"/>
  <c r="ET284" i="2"/>
  <c r="ET283" i="2"/>
  <c r="ET282" i="2"/>
  <c r="ET281" i="2"/>
  <c r="ET280" i="2"/>
  <c r="ET279" i="2"/>
  <c r="ET278" i="2"/>
  <c r="ET277" i="2"/>
  <c r="ET276" i="2"/>
  <c r="ET275" i="2"/>
  <c r="ET274" i="2"/>
  <c r="ET273" i="2"/>
  <c r="ET272" i="2"/>
  <c r="ET271" i="2"/>
  <c r="ET270" i="2"/>
  <c r="ET269" i="2"/>
  <c r="ET268" i="2"/>
  <c r="ET267" i="2"/>
  <c r="ET266" i="2"/>
  <c r="ET265" i="2"/>
  <c r="ET264" i="2"/>
  <c r="ET263" i="2"/>
  <c r="ET262" i="2"/>
  <c r="ET261" i="2"/>
  <c r="ET260" i="2"/>
  <c r="ET259" i="2"/>
  <c r="ET258" i="2"/>
  <c r="ET257" i="2"/>
  <c r="ET256" i="2"/>
  <c r="ET255" i="2"/>
  <c r="ET254" i="2"/>
  <c r="ET253" i="2"/>
  <c r="ET252" i="2"/>
  <c r="ET251" i="2"/>
  <c r="ET250" i="2"/>
  <c r="ET249" i="2"/>
  <c r="ET248" i="2"/>
  <c r="ET247" i="2"/>
  <c r="ET246" i="2"/>
  <c r="ET245" i="2"/>
  <c r="ET244" i="2"/>
  <c r="ET243" i="2"/>
  <c r="ET242" i="2"/>
  <c r="ET241" i="2"/>
  <c r="ET240" i="2"/>
  <c r="ET239" i="2"/>
  <c r="ET238" i="2"/>
  <c r="ET237" i="2"/>
  <c r="ET236" i="2"/>
  <c r="ET235" i="2"/>
  <c r="ET234" i="2"/>
  <c r="ET233" i="2"/>
  <c r="ET232" i="2"/>
  <c r="ET231" i="2"/>
  <c r="ET230" i="2"/>
  <c r="ET229" i="2"/>
  <c r="ET228" i="2"/>
  <c r="ET227" i="2"/>
  <c r="ET226" i="2"/>
  <c r="ET225" i="2"/>
  <c r="ET224" i="2"/>
  <c r="ET223" i="2"/>
  <c r="ET222" i="2"/>
  <c r="ET221" i="2"/>
  <c r="ET220" i="2"/>
  <c r="ET219" i="2"/>
  <c r="ET218" i="2"/>
  <c r="ET217" i="2"/>
  <c r="ET216" i="2"/>
  <c r="ET215" i="2"/>
  <c r="ET214" i="2"/>
  <c r="ET213" i="2"/>
  <c r="ET212" i="2"/>
  <c r="ET211" i="2"/>
  <c r="ET210" i="2"/>
  <c r="ET209" i="2"/>
  <c r="ET208" i="2"/>
  <c r="ET207" i="2"/>
  <c r="ET206" i="2"/>
  <c r="ET205" i="2"/>
  <c r="ET204" i="2"/>
  <c r="ET203" i="2"/>
  <c r="ET202" i="2"/>
  <c r="ET201" i="2"/>
  <c r="ET200" i="2"/>
  <c r="ET199" i="2"/>
  <c r="ET198" i="2"/>
  <c r="ET197" i="2"/>
  <c r="ET196" i="2"/>
  <c r="ET195" i="2"/>
  <c r="ET194" i="2"/>
  <c r="ET193" i="2"/>
  <c r="ET192" i="2"/>
  <c r="ET191" i="2"/>
  <c r="ET190" i="2"/>
  <c r="ET189" i="2"/>
  <c r="ET188" i="2"/>
  <c r="ET187" i="2"/>
  <c r="ET186" i="2"/>
  <c r="ET185" i="2"/>
  <c r="ET184" i="2"/>
  <c r="ET183" i="2"/>
  <c r="ET182" i="2"/>
  <c r="ET181" i="2"/>
  <c r="ET180" i="2"/>
  <c r="ET179" i="2"/>
  <c r="ET178" i="2"/>
  <c r="ET177" i="2"/>
  <c r="ET176" i="2"/>
  <c r="ET175" i="2"/>
  <c r="ET174" i="2"/>
  <c r="ET173" i="2"/>
  <c r="ET172" i="2"/>
  <c r="ET171" i="2"/>
  <c r="ET170" i="2"/>
  <c r="ET169" i="2"/>
  <c r="ET168" i="2"/>
  <c r="ET167" i="2"/>
  <c r="ET166" i="2"/>
  <c r="ET165" i="2"/>
  <c r="ET164" i="2"/>
  <c r="ET163" i="2"/>
  <c r="ET162" i="2"/>
  <c r="ET161" i="2"/>
  <c r="ET160" i="2"/>
  <c r="ET159" i="2"/>
  <c r="ET158" i="2"/>
  <c r="ET157" i="2"/>
  <c r="ET156" i="2"/>
  <c r="ET155" i="2"/>
  <c r="ET154" i="2"/>
  <c r="ET153" i="2"/>
  <c r="ET152" i="2"/>
  <c r="ET151" i="2"/>
  <c r="ET150" i="2"/>
  <c r="ET149" i="2"/>
  <c r="ET148" i="2"/>
  <c r="ET147" i="2"/>
  <c r="ET146" i="2"/>
  <c r="ET145" i="2"/>
  <c r="ET144" i="2"/>
  <c r="ET143" i="2"/>
  <c r="ET142" i="2"/>
  <c r="ET141" i="2"/>
  <c r="ET140" i="2"/>
  <c r="ET139" i="2"/>
  <c r="ET138" i="2"/>
  <c r="ET137" i="2"/>
  <c r="ET136" i="2"/>
  <c r="ET135" i="2"/>
  <c r="ET134" i="2"/>
  <c r="ET133" i="2"/>
  <c r="ET132" i="2"/>
  <c r="ET131" i="2"/>
  <c r="ET130" i="2"/>
  <c r="ET129" i="2"/>
  <c r="ET128" i="2"/>
  <c r="ET127" i="2"/>
  <c r="ET126" i="2"/>
  <c r="ET125" i="2"/>
  <c r="ET124" i="2"/>
  <c r="ET123" i="2"/>
  <c r="ET122" i="2"/>
  <c r="ET121" i="2"/>
  <c r="ET120" i="2"/>
  <c r="ET119" i="2"/>
  <c r="ET118" i="2"/>
  <c r="ET117" i="2"/>
  <c r="ET116" i="2"/>
  <c r="ET115" i="2"/>
  <c r="ET114" i="2"/>
  <c r="ET113" i="2"/>
  <c r="ET112" i="2"/>
  <c r="ET111" i="2"/>
  <c r="ET110" i="2"/>
  <c r="ET109" i="2"/>
  <c r="ET108" i="2"/>
  <c r="ET107" i="2"/>
  <c r="ET106" i="2"/>
  <c r="ET105" i="2"/>
  <c r="ET104" i="2"/>
  <c r="ET103" i="2"/>
  <c r="ET102" i="2"/>
  <c r="ET101" i="2"/>
  <c r="ET100" i="2"/>
  <c r="ET99" i="2"/>
  <c r="ET98" i="2"/>
  <c r="ET97" i="2"/>
  <c r="ET96" i="2"/>
  <c r="ET95" i="2"/>
  <c r="ET94" i="2"/>
  <c r="ET93" i="2"/>
  <c r="ET92" i="2"/>
  <c r="ET91" i="2"/>
  <c r="ET90" i="2"/>
  <c r="ET89" i="2"/>
  <c r="ET88" i="2"/>
  <c r="ET87" i="2"/>
  <c r="ET86" i="2"/>
  <c r="ET85" i="2"/>
  <c r="ET84" i="2"/>
  <c r="ET83" i="2"/>
  <c r="ET82" i="2"/>
  <c r="ET81" i="2"/>
  <c r="ET80" i="2"/>
  <c r="ET79" i="2"/>
  <c r="ET78" i="2"/>
  <c r="ET77" i="2"/>
  <c r="ET76" i="2"/>
  <c r="ET75" i="2"/>
  <c r="ET74" i="2"/>
  <c r="ET73" i="2"/>
  <c r="ET72" i="2"/>
  <c r="ET71" i="2"/>
  <c r="ET70" i="2"/>
  <c r="ET69" i="2"/>
  <c r="ET68" i="2"/>
  <c r="ET67" i="2"/>
  <c r="ET66" i="2"/>
  <c r="ET65" i="2"/>
  <c r="ET64" i="2"/>
  <c r="ET63" i="2"/>
  <c r="ET62" i="2"/>
  <c r="ET61" i="2"/>
  <c r="ET60" i="2"/>
  <c r="ET59" i="2"/>
  <c r="ET58" i="2"/>
  <c r="ET57" i="2"/>
  <c r="ET56" i="2"/>
  <c r="ET55" i="2"/>
  <c r="ET54" i="2"/>
  <c r="ET53" i="2"/>
  <c r="ET52" i="2"/>
  <c r="ET51" i="2"/>
  <c r="ET50" i="2"/>
  <c r="ET49" i="2"/>
  <c r="ET48" i="2"/>
  <c r="ET47" i="2"/>
  <c r="ET46" i="2"/>
  <c r="ET45" i="2"/>
  <c r="ET44" i="2"/>
  <c r="ET43" i="2"/>
  <c r="ET42" i="2"/>
  <c r="ET41" i="2"/>
  <c r="ET40" i="2"/>
  <c r="ET39" i="2"/>
  <c r="ET38" i="2"/>
  <c r="ET37" i="2"/>
  <c r="ET36" i="2"/>
  <c r="ET35" i="2"/>
  <c r="ET34" i="2"/>
  <c r="ET33" i="2"/>
  <c r="ET32" i="2"/>
  <c r="ET31" i="2"/>
  <c r="ET30" i="2"/>
  <c r="ET29" i="2"/>
  <c r="ET28" i="2"/>
  <c r="ET27" i="2"/>
  <c r="ET26" i="2"/>
  <c r="ET25" i="2"/>
  <c r="ET24" i="2"/>
  <c r="ET23" i="2"/>
  <c r="ET22" i="2"/>
  <c r="ET21" i="2"/>
  <c r="ET20" i="2"/>
  <c r="ET19" i="2"/>
  <c r="ET18" i="2"/>
  <c r="ET17" i="2"/>
  <c r="ET16" i="2"/>
  <c r="ET15" i="2"/>
  <c r="ET14" i="2"/>
  <c r="ET13" i="2"/>
  <c r="ET12" i="2"/>
  <c r="ET11" i="2"/>
  <c r="ET10" i="2"/>
  <c r="ER293" i="2"/>
  <c r="ER292" i="2"/>
  <c r="ER291" i="2"/>
  <c r="ER290" i="2"/>
  <c r="ER289" i="2"/>
  <c r="ER288" i="2"/>
  <c r="ER287" i="2"/>
  <c r="ER286" i="2"/>
  <c r="ER285" i="2"/>
  <c r="ER284" i="2"/>
  <c r="ER283" i="2"/>
  <c r="ER282" i="2"/>
  <c r="ER281" i="2"/>
  <c r="ER280" i="2"/>
  <c r="ER279" i="2"/>
  <c r="ER278" i="2"/>
  <c r="ER277" i="2"/>
  <c r="ER276" i="2"/>
  <c r="ER275" i="2"/>
  <c r="ER274" i="2"/>
  <c r="ER273" i="2"/>
  <c r="ER272" i="2"/>
  <c r="ER271" i="2"/>
  <c r="ER270" i="2"/>
  <c r="ER269" i="2"/>
  <c r="ER268" i="2"/>
  <c r="ER267" i="2"/>
  <c r="ER266" i="2"/>
  <c r="ER265" i="2"/>
  <c r="ER264" i="2"/>
  <c r="ER263" i="2"/>
  <c r="ER262" i="2"/>
  <c r="ER261" i="2"/>
  <c r="ER260" i="2"/>
  <c r="ER259" i="2"/>
  <c r="ER258" i="2"/>
  <c r="ER257" i="2"/>
  <c r="ER256" i="2"/>
  <c r="ER255" i="2"/>
  <c r="ER254" i="2"/>
  <c r="ER253" i="2"/>
  <c r="ER252" i="2"/>
  <c r="ER251" i="2"/>
  <c r="ER250" i="2"/>
  <c r="ER249" i="2"/>
  <c r="ER248" i="2"/>
  <c r="ER247" i="2"/>
  <c r="ER246" i="2"/>
  <c r="ER245" i="2"/>
  <c r="ER244" i="2"/>
  <c r="ER243" i="2"/>
  <c r="ER242" i="2"/>
  <c r="ER241" i="2"/>
  <c r="ER240" i="2"/>
  <c r="ER239" i="2"/>
  <c r="ER238" i="2"/>
  <c r="ER237" i="2"/>
  <c r="ER236" i="2"/>
  <c r="ER235" i="2"/>
  <c r="ER234" i="2"/>
  <c r="ER233" i="2"/>
  <c r="ER232" i="2"/>
  <c r="ER231" i="2"/>
  <c r="ER230" i="2"/>
  <c r="ER229" i="2"/>
  <c r="ER228" i="2"/>
  <c r="ER227" i="2"/>
  <c r="ER226" i="2"/>
  <c r="ER225" i="2"/>
  <c r="ER224" i="2"/>
  <c r="ER223" i="2"/>
  <c r="ER222" i="2"/>
  <c r="ER221" i="2"/>
  <c r="ER220" i="2"/>
  <c r="ER219" i="2"/>
  <c r="ER218" i="2"/>
  <c r="ER217" i="2"/>
  <c r="ER216" i="2"/>
  <c r="ER215" i="2"/>
  <c r="ER214" i="2"/>
  <c r="ER213" i="2"/>
  <c r="ER212" i="2"/>
  <c r="ER211" i="2"/>
  <c r="ER210" i="2"/>
  <c r="ER209" i="2"/>
  <c r="ER208" i="2"/>
  <c r="ER207" i="2"/>
  <c r="ER206" i="2"/>
  <c r="ER205" i="2"/>
  <c r="ER204" i="2"/>
  <c r="ER203" i="2"/>
  <c r="ER202" i="2"/>
  <c r="ER201" i="2"/>
  <c r="ER200" i="2"/>
  <c r="ER199" i="2"/>
  <c r="ER198" i="2"/>
  <c r="ER197" i="2"/>
  <c r="ER196" i="2"/>
  <c r="ER195" i="2"/>
  <c r="ER194" i="2"/>
  <c r="ER193" i="2"/>
  <c r="ER192" i="2"/>
  <c r="ER191" i="2"/>
  <c r="ER190" i="2"/>
  <c r="ER189" i="2"/>
  <c r="ER188" i="2"/>
  <c r="ER187" i="2"/>
  <c r="ER186" i="2"/>
  <c r="ER185" i="2"/>
  <c r="ER184" i="2"/>
  <c r="ER183" i="2"/>
  <c r="ER182" i="2"/>
  <c r="ER181" i="2"/>
  <c r="ER180" i="2"/>
  <c r="ER179" i="2"/>
  <c r="ER178" i="2"/>
  <c r="ER177" i="2"/>
  <c r="ER176" i="2"/>
  <c r="ER175" i="2"/>
  <c r="ER174" i="2"/>
  <c r="ER173" i="2"/>
  <c r="ER172" i="2"/>
  <c r="ER171" i="2"/>
  <c r="ER170" i="2"/>
  <c r="ER169" i="2"/>
  <c r="ER168" i="2"/>
  <c r="ER167" i="2"/>
  <c r="ER166" i="2"/>
  <c r="ER165" i="2"/>
  <c r="ER164" i="2"/>
  <c r="ER163" i="2"/>
  <c r="ER162" i="2"/>
  <c r="ER161" i="2"/>
  <c r="ER160" i="2"/>
  <c r="ER159" i="2"/>
  <c r="ER158" i="2"/>
  <c r="ER157" i="2"/>
  <c r="ER156" i="2"/>
  <c r="ER155" i="2"/>
  <c r="ER154" i="2"/>
  <c r="ER153" i="2"/>
  <c r="ER152" i="2"/>
  <c r="ER151" i="2"/>
  <c r="ER150" i="2"/>
  <c r="ER149" i="2"/>
  <c r="ER148" i="2"/>
  <c r="ER147" i="2"/>
  <c r="ER146" i="2"/>
  <c r="ER145" i="2"/>
  <c r="ER144" i="2"/>
  <c r="ER143" i="2"/>
  <c r="ER142" i="2"/>
  <c r="ER141" i="2"/>
  <c r="ER140" i="2"/>
  <c r="ER139" i="2"/>
  <c r="ER138" i="2"/>
  <c r="ER137" i="2"/>
  <c r="ER136" i="2"/>
  <c r="ER135" i="2"/>
  <c r="ER134" i="2"/>
  <c r="ER133" i="2"/>
  <c r="ER132" i="2"/>
  <c r="ER131" i="2"/>
  <c r="ER130" i="2"/>
  <c r="ER129" i="2"/>
  <c r="ER128" i="2"/>
  <c r="ER127" i="2"/>
  <c r="ER126" i="2"/>
  <c r="ER125" i="2"/>
  <c r="ER124" i="2"/>
  <c r="ER123" i="2"/>
  <c r="ER122" i="2"/>
  <c r="ER121" i="2"/>
  <c r="ER120" i="2"/>
  <c r="ER119" i="2"/>
  <c r="ER118" i="2"/>
  <c r="ER117" i="2"/>
  <c r="ER116" i="2"/>
  <c r="ER115" i="2"/>
  <c r="ER114" i="2"/>
  <c r="ER113" i="2"/>
  <c r="ER112" i="2"/>
  <c r="ER111" i="2"/>
  <c r="ER110" i="2"/>
  <c r="ER109" i="2"/>
  <c r="ER108" i="2"/>
  <c r="ER107" i="2"/>
  <c r="ER106" i="2"/>
  <c r="ER105" i="2"/>
  <c r="ER104" i="2"/>
  <c r="ER103" i="2"/>
  <c r="ER102" i="2"/>
  <c r="ER101" i="2"/>
  <c r="ER100" i="2"/>
  <c r="ER99" i="2"/>
  <c r="ER98" i="2"/>
  <c r="ER97" i="2"/>
  <c r="ER96" i="2"/>
  <c r="ER95" i="2"/>
  <c r="ER94" i="2"/>
  <c r="ER93" i="2"/>
  <c r="ER92" i="2"/>
  <c r="ER91" i="2"/>
  <c r="ER90" i="2"/>
  <c r="ER89" i="2"/>
  <c r="ER88" i="2"/>
  <c r="ER87" i="2"/>
  <c r="ER86" i="2"/>
  <c r="ER85" i="2"/>
  <c r="ER84" i="2"/>
  <c r="ER83" i="2"/>
  <c r="ER82" i="2"/>
  <c r="ER81" i="2"/>
  <c r="ER80" i="2"/>
  <c r="ER79" i="2"/>
  <c r="ER78" i="2"/>
  <c r="ER77" i="2"/>
  <c r="ER76" i="2"/>
  <c r="ER75" i="2"/>
  <c r="ER74" i="2"/>
  <c r="ER73" i="2"/>
  <c r="ER72" i="2"/>
  <c r="ER71" i="2"/>
  <c r="ER70" i="2"/>
  <c r="ER69" i="2"/>
  <c r="ER68" i="2"/>
  <c r="ER67" i="2"/>
  <c r="ER66" i="2"/>
  <c r="ER65" i="2"/>
  <c r="ER64" i="2"/>
  <c r="ER63" i="2"/>
  <c r="ER62" i="2"/>
  <c r="ER61" i="2"/>
  <c r="ER60" i="2"/>
  <c r="ER59" i="2"/>
  <c r="ER58" i="2"/>
  <c r="ER57" i="2"/>
  <c r="ER56" i="2"/>
  <c r="ER55" i="2"/>
  <c r="ER54" i="2"/>
  <c r="ER53" i="2"/>
  <c r="ER52" i="2"/>
  <c r="ER51" i="2"/>
  <c r="ER50" i="2"/>
  <c r="ER49" i="2"/>
  <c r="ER48" i="2"/>
  <c r="ER47" i="2"/>
  <c r="ER46" i="2"/>
  <c r="ER45" i="2"/>
  <c r="ER44" i="2"/>
  <c r="ER43" i="2"/>
  <c r="ER42" i="2"/>
  <c r="ER41" i="2"/>
  <c r="ER40" i="2"/>
  <c r="ER39" i="2"/>
  <c r="ER38" i="2"/>
  <c r="ER37" i="2"/>
  <c r="ER36" i="2"/>
  <c r="ER35" i="2"/>
  <c r="ER34" i="2"/>
  <c r="ER33" i="2"/>
  <c r="ER32" i="2"/>
  <c r="ER31" i="2"/>
  <c r="ER30" i="2"/>
  <c r="ER29" i="2"/>
  <c r="ER28" i="2"/>
  <c r="ER27" i="2"/>
  <c r="ER26" i="2"/>
  <c r="ER25" i="2"/>
  <c r="ER24" i="2"/>
  <c r="ER23" i="2"/>
  <c r="ER22" i="2"/>
  <c r="ER21" i="2"/>
  <c r="ER20" i="2"/>
  <c r="ER19" i="2"/>
  <c r="ER18" i="2"/>
  <c r="ER17" i="2"/>
  <c r="ER16" i="2"/>
  <c r="ER15" i="2"/>
  <c r="ER14" i="2"/>
  <c r="ER13" i="2"/>
  <c r="ER12" i="2"/>
  <c r="ER11" i="2"/>
  <c r="ER10" i="2"/>
  <c r="EP293" i="2"/>
  <c r="EP292" i="2"/>
  <c r="EP291" i="2"/>
  <c r="EP290" i="2"/>
  <c r="EP289" i="2"/>
  <c r="EP288" i="2"/>
  <c r="EP287" i="2"/>
  <c r="EP286" i="2"/>
  <c r="EP284" i="2"/>
  <c r="EP283" i="2"/>
  <c r="EP282" i="2"/>
  <c r="EP281" i="2"/>
  <c r="EP280" i="2"/>
  <c r="EP279" i="2"/>
  <c r="EP278" i="2"/>
  <c r="EP277" i="2"/>
  <c r="EP276" i="2"/>
  <c r="EP275" i="2"/>
  <c r="EP274" i="2"/>
  <c r="EP273" i="2"/>
  <c r="EP272" i="2"/>
  <c r="EP271" i="2"/>
  <c r="EP270" i="2"/>
  <c r="EP269" i="2"/>
  <c r="EP268" i="2"/>
  <c r="EP267" i="2"/>
  <c r="EP266" i="2"/>
  <c r="EP265" i="2"/>
  <c r="EP264" i="2"/>
  <c r="EP263" i="2"/>
  <c r="EP262" i="2"/>
  <c r="EP261" i="2"/>
  <c r="EP260" i="2"/>
  <c r="EP259" i="2"/>
  <c r="EP258" i="2"/>
  <c r="EP257" i="2"/>
  <c r="EP256" i="2"/>
  <c r="EP255" i="2"/>
  <c r="EP254" i="2"/>
  <c r="EP253" i="2"/>
  <c r="EP252" i="2"/>
  <c r="EP251" i="2"/>
  <c r="EP250" i="2"/>
  <c r="EP249" i="2"/>
  <c r="EP248" i="2"/>
  <c r="EP247" i="2"/>
  <c r="EP246" i="2"/>
  <c r="EP245" i="2"/>
  <c r="EP244" i="2"/>
  <c r="EP243" i="2"/>
  <c r="EP242" i="2"/>
  <c r="EP241" i="2"/>
  <c r="EP240" i="2"/>
  <c r="EP238" i="2"/>
  <c r="EP237" i="2"/>
  <c r="EP236" i="2"/>
  <c r="EP235" i="2"/>
  <c r="EP234" i="2"/>
  <c r="EP233" i="2"/>
  <c r="EP232" i="2"/>
  <c r="EP231" i="2"/>
  <c r="EP230" i="2"/>
  <c r="EP229" i="2"/>
  <c r="EP228" i="2"/>
  <c r="EP227" i="2"/>
  <c r="EP226" i="2"/>
  <c r="EP225" i="2"/>
  <c r="EP224" i="2"/>
  <c r="EP223" i="2"/>
  <c r="EP222" i="2"/>
  <c r="EP221" i="2"/>
  <c r="EP220" i="2"/>
  <c r="EP219" i="2"/>
  <c r="EP218" i="2"/>
  <c r="EP217" i="2"/>
  <c r="EP216" i="2"/>
  <c r="EP215" i="2"/>
  <c r="EP214" i="2"/>
  <c r="EP213" i="2"/>
  <c r="EP212" i="2"/>
  <c r="EP211" i="2"/>
  <c r="EP210" i="2"/>
  <c r="EP209" i="2"/>
  <c r="EP208" i="2"/>
  <c r="EP207" i="2"/>
  <c r="EP206" i="2"/>
  <c r="EP205" i="2"/>
  <c r="EP204" i="2"/>
  <c r="EP203" i="2"/>
  <c r="EP202" i="2"/>
  <c r="EP201" i="2"/>
  <c r="EP200" i="2"/>
  <c r="EP199" i="2"/>
  <c r="EP198" i="2"/>
  <c r="EP197" i="2"/>
  <c r="EP196" i="2"/>
  <c r="EP195" i="2"/>
  <c r="EP194" i="2"/>
  <c r="EP193" i="2"/>
  <c r="EP192" i="2"/>
  <c r="EP191" i="2"/>
  <c r="EP190" i="2"/>
  <c r="EP189" i="2"/>
  <c r="EP188" i="2"/>
  <c r="EP187" i="2"/>
  <c r="EP186" i="2"/>
  <c r="EP185" i="2"/>
  <c r="EP184" i="2"/>
  <c r="EP183" i="2"/>
  <c r="EP182" i="2"/>
  <c r="EP181" i="2"/>
  <c r="EP180" i="2"/>
  <c r="EP179" i="2"/>
  <c r="EP178" i="2"/>
  <c r="EP177" i="2"/>
  <c r="EP176" i="2"/>
  <c r="EP175" i="2"/>
  <c r="EP174" i="2"/>
  <c r="EP173" i="2"/>
  <c r="EP172" i="2"/>
  <c r="EP171" i="2"/>
  <c r="EP170" i="2"/>
  <c r="EP169" i="2"/>
  <c r="EP168" i="2"/>
  <c r="EP167" i="2"/>
  <c r="EP166" i="2"/>
  <c r="EP165" i="2"/>
  <c r="EP164" i="2"/>
  <c r="EP163" i="2"/>
  <c r="EP162" i="2"/>
  <c r="EP161" i="2"/>
  <c r="EP160" i="2"/>
  <c r="EP159" i="2"/>
  <c r="EP158" i="2"/>
  <c r="EP157" i="2"/>
  <c r="EP156" i="2"/>
  <c r="EP155" i="2"/>
  <c r="EP154" i="2"/>
  <c r="EP153" i="2"/>
  <c r="EP151" i="2"/>
  <c r="EP150" i="2"/>
  <c r="EP149" i="2"/>
  <c r="EP148" i="2"/>
  <c r="EP147" i="2"/>
  <c r="EP146" i="2"/>
  <c r="EP145" i="2"/>
  <c r="EP144" i="2"/>
  <c r="EP143" i="2"/>
  <c r="EP142" i="2"/>
  <c r="EP141" i="2"/>
  <c r="EP140" i="2"/>
  <c r="EP139" i="2"/>
  <c r="EP138" i="2"/>
  <c r="EP137" i="2"/>
  <c r="EP136" i="2"/>
  <c r="EP135" i="2"/>
  <c r="EP134" i="2"/>
  <c r="EP133" i="2"/>
  <c r="EP132" i="2"/>
  <c r="EP131" i="2"/>
  <c r="EP130" i="2"/>
  <c r="EP129" i="2"/>
  <c r="EP128" i="2"/>
  <c r="EP127" i="2"/>
  <c r="EP126" i="2"/>
  <c r="EP125" i="2"/>
  <c r="EP124" i="2"/>
  <c r="EP123" i="2"/>
  <c r="EP122" i="2"/>
  <c r="EP121" i="2"/>
  <c r="EP120" i="2"/>
  <c r="EP119" i="2"/>
  <c r="EP118" i="2"/>
  <c r="EP117" i="2"/>
  <c r="EP116" i="2"/>
  <c r="EP115" i="2"/>
  <c r="EP114" i="2"/>
  <c r="EP113" i="2"/>
  <c r="EP112" i="2"/>
  <c r="EP111" i="2"/>
  <c r="EP110" i="2"/>
  <c r="EP109" i="2"/>
  <c r="EP108" i="2"/>
  <c r="EP107" i="2"/>
  <c r="EP106" i="2"/>
  <c r="EP105" i="2"/>
  <c r="EP104" i="2"/>
  <c r="EP103" i="2"/>
  <c r="EP102" i="2"/>
  <c r="EP101" i="2"/>
  <c r="EP100" i="2"/>
  <c r="EP99" i="2"/>
  <c r="EP98" i="2"/>
  <c r="EP97" i="2"/>
  <c r="EP96" i="2"/>
  <c r="EP95" i="2"/>
  <c r="EP94" i="2"/>
  <c r="EP93" i="2"/>
  <c r="EP92" i="2"/>
  <c r="EP91" i="2"/>
  <c r="EP90" i="2"/>
  <c r="EP89" i="2"/>
  <c r="EP88" i="2"/>
  <c r="EP87" i="2"/>
  <c r="EP86" i="2"/>
  <c r="EP85" i="2"/>
  <c r="EP84" i="2"/>
  <c r="EP83" i="2"/>
  <c r="EP82" i="2"/>
  <c r="EP81" i="2"/>
  <c r="EP80" i="2"/>
  <c r="EP79" i="2"/>
  <c r="EP78" i="2"/>
  <c r="EP77" i="2"/>
  <c r="EP76" i="2"/>
  <c r="EP75" i="2"/>
  <c r="EP74" i="2"/>
  <c r="EP73" i="2"/>
  <c r="EP72" i="2"/>
  <c r="EP71" i="2"/>
  <c r="EP70" i="2"/>
  <c r="EP69" i="2"/>
  <c r="EP68" i="2"/>
  <c r="EP67" i="2"/>
  <c r="EP66" i="2"/>
  <c r="EP65" i="2"/>
  <c r="EP64" i="2"/>
  <c r="EP63" i="2"/>
  <c r="EP62" i="2"/>
  <c r="EP61" i="2"/>
  <c r="EP60" i="2"/>
  <c r="EP59" i="2"/>
  <c r="EP58" i="2"/>
  <c r="EP57" i="2"/>
  <c r="EP56" i="2"/>
  <c r="EP55" i="2"/>
  <c r="EP54" i="2"/>
  <c r="EP53" i="2"/>
  <c r="EP52" i="2"/>
  <c r="EP51" i="2"/>
  <c r="EP50" i="2"/>
  <c r="EP49" i="2"/>
  <c r="EP48" i="2"/>
  <c r="EP47" i="2"/>
  <c r="EP46" i="2"/>
  <c r="EP45" i="2"/>
  <c r="EP44" i="2"/>
  <c r="EP43" i="2"/>
  <c r="EP42" i="2"/>
  <c r="EP41" i="2"/>
  <c r="EP40" i="2"/>
  <c r="EP39" i="2"/>
  <c r="EP38" i="2"/>
  <c r="EP37" i="2"/>
  <c r="EP36" i="2"/>
  <c r="EP35" i="2"/>
  <c r="EP34" i="2"/>
  <c r="EP33" i="2"/>
  <c r="EP32" i="2"/>
  <c r="EP31" i="2"/>
  <c r="EP30" i="2"/>
  <c r="EP29" i="2"/>
  <c r="EP28" i="2"/>
  <c r="EP27" i="2"/>
  <c r="EP26" i="2"/>
  <c r="EP25" i="2"/>
  <c r="EP24" i="2"/>
  <c r="EP23" i="2"/>
  <c r="EP22" i="2"/>
  <c r="EP21" i="2"/>
  <c r="EP20" i="2"/>
  <c r="EP19" i="2"/>
  <c r="EP18" i="2"/>
  <c r="EP17" i="2"/>
  <c r="EP16" i="2"/>
  <c r="EP15" i="2"/>
  <c r="EP14" i="2"/>
  <c r="EP13" i="2"/>
  <c r="EP12" i="2"/>
  <c r="EP11" i="2"/>
  <c r="EP10" i="2"/>
  <c r="EN293" i="2"/>
  <c r="EN292" i="2"/>
  <c r="EN291" i="2"/>
  <c r="EN290" i="2"/>
  <c r="EN289" i="2"/>
  <c r="EN288" i="2"/>
  <c r="EN287" i="2"/>
  <c r="EN286" i="2"/>
  <c r="EN284" i="2"/>
  <c r="EN283" i="2"/>
  <c r="EN282" i="2"/>
  <c r="EN281" i="2"/>
  <c r="EN280" i="2"/>
  <c r="EN279" i="2"/>
  <c r="EN278" i="2"/>
  <c r="EN277" i="2"/>
  <c r="EN275" i="2"/>
  <c r="EN274" i="2"/>
  <c r="EN273" i="2"/>
  <c r="EN272" i="2"/>
  <c r="EN271" i="2"/>
  <c r="EN270" i="2"/>
  <c r="EN269" i="2"/>
  <c r="EN268" i="2"/>
  <c r="EN267" i="2"/>
  <c r="EN266" i="2"/>
  <c r="EN265" i="2"/>
  <c r="EN264" i="2"/>
  <c r="EN263" i="2"/>
  <c r="EN262" i="2"/>
  <c r="EN261" i="2"/>
  <c r="EN260" i="2"/>
  <c r="EN259" i="2"/>
  <c r="EN258" i="2"/>
  <c r="EN257" i="2"/>
  <c r="EN256" i="2"/>
  <c r="EN255" i="2"/>
  <c r="EN254" i="2"/>
  <c r="EN253" i="2"/>
  <c r="EN252" i="2"/>
  <c r="EN251" i="2"/>
  <c r="EN250" i="2"/>
  <c r="EN249" i="2"/>
  <c r="EN248" i="2"/>
  <c r="EN247" i="2"/>
  <c r="EN246" i="2"/>
  <c r="EN245" i="2"/>
  <c r="EN244" i="2"/>
  <c r="EN243" i="2"/>
  <c r="EN242" i="2"/>
  <c r="EN241" i="2"/>
  <c r="EN240" i="2"/>
  <c r="EN238" i="2"/>
  <c r="EN237" i="2"/>
  <c r="EN236" i="2"/>
  <c r="EN234" i="2"/>
  <c r="EN233" i="2"/>
  <c r="EN232" i="2"/>
  <c r="EN231" i="2"/>
  <c r="EN229" i="2"/>
  <c r="EN228" i="2"/>
  <c r="EN227" i="2"/>
  <c r="EN226" i="2"/>
  <c r="EN225" i="2"/>
  <c r="EN224" i="2"/>
  <c r="EN223" i="2"/>
  <c r="EN222" i="2"/>
  <c r="EN221" i="2"/>
  <c r="EN220" i="2"/>
  <c r="EN219" i="2"/>
  <c r="EN218" i="2"/>
  <c r="EN217" i="2"/>
  <c r="EN216" i="2"/>
  <c r="EN215" i="2"/>
  <c r="EN214" i="2"/>
  <c r="EN213" i="2"/>
  <c r="EN212" i="2"/>
  <c r="EN211" i="2"/>
  <c r="EN210" i="2"/>
  <c r="EN209" i="2"/>
  <c r="EN208" i="2"/>
  <c r="EN207" i="2"/>
  <c r="EN206" i="2"/>
  <c r="EN205" i="2"/>
  <c r="EN204" i="2"/>
  <c r="EN203" i="2"/>
  <c r="EN202" i="2"/>
  <c r="EN201" i="2"/>
  <c r="EN200" i="2"/>
  <c r="EN199" i="2"/>
  <c r="EN198" i="2"/>
  <c r="EN197" i="2"/>
  <c r="EN196" i="2"/>
  <c r="EN195" i="2"/>
  <c r="EN194" i="2"/>
  <c r="EN193" i="2"/>
  <c r="EN192" i="2"/>
  <c r="EN191" i="2"/>
  <c r="EN190" i="2"/>
  <c r="EN189" i="2"/>
  <c r="EN188" i="2"/>
  <c r="EN187" i="2"/>
  <c r="EN186" i="2"/>
  <c r="EN185" i="2"/>
  <c r="EN184" i="2"/>
  <c r="EN183" i="2"/>
  <c r="EN182" i="2"/>
  <c r="EN181" i="2"/>
  <c r="EN180" i="2"/>
  <c r="EN179" i="2"/>
  <c r="EN178" i="2"/>
  <c r="EN177" i="2"/>
  <c r="EN176" i="2"/>
  <c r="EN175" i="2"/>
  <c r="EN174" i="2"/>
  <c r="EN173" i="2"/>
  <c r="EN172" i="2"/>
  <c r="EN171" i="2"/>
  <c r="EN170" i="2"/>
  <c r="EN169" i="2"/>
  <c r="EN168" i="2"/>
  <c r="EN167" i="2"/>
  <c r="EN166" i="2"/>
  <c r="EN165" i="2"/>
  <c r="EN164" i="2"/>
  <c r="EN163" i="2"/>
  <c r="EN162" i="2"/>
  <c r="EN161" i="2"/>
  <c r="EN160" i="2"/>
  <c r="EN159" i="2"/>
  <c r="EN158" i="2"/>
  <c r="EN157" i="2"/>
  <c r="EN156" i="2"/>
  <c r="EN155" i="2"/>
  <c r="EN154" i="2"/>
  <c r="EN153" i="2"/>
  <c r="EN151" i="2"/>
  <c r="EN150" i="2"/>
  <c r="EN149" i="2"/>
  <c r="EN148" i="2"/>
  <c r="EN147" i="2"/>
  <c r="EN146" i="2"/>
  <c r="EN145" i="2"/>
  <c r="EN144" i="2"/>
  <c r="EN143" i="2"/>
  <c r="EN142" i="2"/>
  <c r="EN141" i="2"/>
  <c r="EN140" i="2"/>
  <c r="EN139" i="2"/>
  <c r="EN138" i="2"/>
  <c r="EN137" i="2"/>
  <c r="EN136" i="2"/>
  <c r="EN135" i="2"/>
  <c r="EN134" i="2"/>
  <c r="EN133" i="2"/>
  <c r="EN132" i="2"/>
  <c r="EN131" i="2"/>
  <c r="EN130" i="2"/>
  <c r="EN129" i="2"/>
  <c r="EN128" i="2"/>
  <c r="EN127" i="2"/>
  <c r="EN126" i="2"/>
  <c r="EN125" i="2"/>
  <c r="EN124" i="2"/>
  <c r="EN123" i="2"/>
  <c r="EN122" i="2"/>
  <c r="EN121" i="2"/>
  <c r="EN120" i="2"/>
  <c r="EN119" i="2"/>
  <c r="EN118" i="2"/>
  <c r="EN117" i="2"/>
  <c r="EN116" i="2"/>
  <c r="EN115" i="2"/>
  <c r="EN114" i="2"/>
  <c r="EN113" i="2"/>
  <c r="EN112" i="2"/>
  <c r="EN111" i="2"/>
  <c r="EN110" i="2"/>
  <c r="EN109" i="2"/>
  <c r="EN108" i="2"/>
  <c r="EN107" i="2"/>
  <c r="EN106" i="2"/>
  <c r="EN105" i="2"/>
  <c r="EN104" i="2"/>
  <c r="EN103" i="2"/>
  <c r="EN101" i="2"/>
  <c r="EN100" i="2"/>
  <c r="EN99" i="2"/>
  <c r="EN98" i="2"/>
  <c r="EN97" i="2"/>
  <c r="EN96" i="2"/>
  <c r="EN95" i="2"/>
  <c r="EN94" i="2"/>
  <c r="EN93" i="2"/>
  <c r="EN92" i="2"/>
  <c r="EN91" i="2"/>
  <c r="EN90" i="2"/>
  <c r="EN89" i="2"/>
  <c r="EN88" i="2"/>
  <c r="EN87" i="2"/>
  <c r="EN86" i="2"/>
  <c r="EN85" i="2"/>
  <c r="EN84" i="2"/>
  <c r="EN83" i="2"/>
  <c r="EN82" i="2"/>
  <c r="EN81" i="2"/>
  <c r="EN80" i="2"/>
  <c r="EN79" i="2"/>
  <c r="EN78" i="2"/>
  <c r="EN77" i="2"/>
  <c r="EN76" i="2"/>
  <c r="EN75" i="2"/>
  <c r="EN74" i="2"/>
  <c r="EN73" i="2"/>
  <c r="EN72" i="2"/>
  <c r="EN71" i="2"/>
  <c r="EN70" i="2"/>
  <c r="EN68" i="2"/>
  <c r="EN67" i="2"/>
  <c r="EN66" i="2"/>
  <c r="EN65" i="2"/>
  <c r="EN64" i="2"/>
  <c r="EN63" i="2"/>
  <c r="EN62" i="2"/>
  <c r="EN61" i="2"/>
  <c r="EN60" i="2"/>
  <c r="EN59" i="2"/>
  <c r="EN58" i="2"/>
  <c r="EN57" i="2"/>
  <c r="EN56" i="2"/>
  <c r="EN55" i="2"/>
  <c r="EN54" i="2"/>
  <c r="EN53" i="2"/>
  <c r="EN52" i="2"/>
  <c r="EN51" i="2"/>
  <c r="EN50" i="2"/>
  <c r="EN49" i="2"/>
  <c r="EN48" i="2"/>
  <c r="EN47" i="2"/>
  <c r="EN46" i="2"/>
  <c r="EN45" i="2"/>
  <c r="EN44" i="2"/>
  <c r="EN43" i="2"/>
  <c r="EN42" i="2"/>
  <c r="EN41" i="2"/>
  <c r="EN40" i="2"/>
  <c r="EN39" i="2"/>
  <c r="EN38" i="2"/>
  <c r="EN37" i="2"/>
  <c r="EN36" i="2"/>
  <c r="EN35" i="2"/>
  <c r="EN34" i="2"/>
  <c r="EN33" i="2"/>
  <c r="EN32" i="2"/>
  <c r="EN31" i="2"/>
  <c r="EN30" i="2"/>
  <c r="EN29" i="2"/>
  <c r="EN28" i="2"/>
  <c r="EN27" i="2"/>
  <c r="EN26" i="2"/>
  <c r="EN25" i="2"/>
  <c r="EN24" i="2"/>
  <c r="EN23" i="2"/>
  <c r="EN22" i="2"/>
  <c r="EN21" i="2"/>
  <c r="EN20" i="2"/>
  <c r="EN19" i="2"/>
  <c r="EN18" i="2"/>
  <c r="EN17" i="2"/>
  <c r="EN16" i="2"/>
  <c r="EN15" i="2"/>
  <c r="EN14" i="2"/>
  <c r="EN13" i="2"/>
  <c r="EN12" i="2"/>
  <c r="EN11" i="2"/>
  <c r="EN10" i="2"/>
  <c r="EL293" i="2"/>
  <c r="EL292" i="2"/>
  <c r="EL291" i="2"/>
  <c r="EL290" i="2"/>
  <c r="EL289" i="2"/>
  <c r="EL288" i="2"/>
  <c r="EL287" i="2"/>
  <c r="EL286" i="2"/>
  <c r="EL285" i="2"/>
  <c r="EL284" i="2"/>
  <c r="EL283" i="2"/>
  <c r="EL282" i="2"/>
  <c r="EL281" i="2"/>
  <c r="EL280" i="2"/>
  <c r="EL279" i="2"/>
  <c r="EL278" i="2"/>
  <c r="EL277" i="2"/>
  <c r="EL275" i="2"/>
  <c r="EL274" i="2"/>
  <c r="EL273" i="2"/>
  <c r="EL272" i="2"/>
  <c r="EL271" i="2"/>
  <c r="EL268" i="2"/>
  <c r="EL267" i="2"/>
  <c r="EL266" i="2"/>
  <c r="EL265" i="2"/>
  <c r="EL264" i="2"/>
  <c r="EL263" i="2"/>
  <c r="EL262" i="2"/>
  <c r="EL261" i="2"/>
  <c r="EL260" i="2"/>
  <c r="EL259" i="2"/>
  <c r="EL258" i="2"/>
  <c r="EL257" i="2"/>
  <c r="EL256" i="2"/>
  <c r="EL255" i="2"/>
  <c r="EL253" i="2"/>
  <c r="EL252" i="2"/>
  <c r="EL251" i="2"/>
  <c r="EL250" i="2"/>
  <c r="EL249" i="2"/>
  <c r="EL248" i="2"/>
  <c r="EL247" i="2"/>
  <c r="EL246" i="2"/>
  <c r="EL244" i="2"/>
  <c r="EL243" i="2"/>
  <c r="EL240" i="2"/>
  <c r="EL238" i="2"/>
  <c r="EL237" i="2"/>
  <c r="EL236" i="2"/>
  <c r="EL234" i="2"/>
  <c r="EL232" i="2"/>
  <c r="EL231" i="2"/>
  <c r="EL229" i="2"/>
  <c r="EL228" i="2"/>
  <c r="EL227" i="2"/>
  <c r="EL226" i="2"/>
  <c r="EL225" i="2"/>
  <c r="EL224" i="2"/>
  <c r="EL223" i="2"/>
  <c r="EL222" i="2"/>
  <c r="EL221" i="2"/>
  <c r="EL220" i="2"/>
  <c r="EL219" i="2"/>
  <c r="EL218" i="2"/>
  <c r="EL217" i="2"/>
  <c r="EL216" i="2"/>
  <c r="EL215" i="2"/>
  <c r="EL214" i="2"/>
  <c r="EL213" i="2"/>
  <c r="EL212" i="2"/>
  <c r="EL211" i="2"/>
  <c r="EL210" i="2"/>
  <c r="EL209" i="2"/>
  <c r="EL208" i="2"/>
  <c r="EL207" i="2"/>
  <c r="EL206" i="2"/>
  <c r="EL205" i="2"/>
  <c r="EL204" i="2"/>
  <c r="EL203" i="2"/>
  <c r="EL202" i="2"/>
  <c r="EL201" i="2"/>
  <c r="EL200" i="2"/>
  <c r="EL199" i="2"/>
  <c r="EL198" i="2"/>
  <c r="EL197" i="2"/>
  <c r="EL196" i="2"/>
  <c r="EL195" i="2"/>
  <c r="EL194" i="2"/>
  <c r="EL193" i="2"/>
  <c r="EL192" i="2"/>
  <c r="EL191" i="2"/>
  <c r="EL190" i="2"/>
  <c r="EL189" i="2"/>
  <c r="EL188" i="2"/>
  <c r="EL187" i="2"/>
  <c r="EL186" i="2"/>
  <c r="EL185" i="2"/>
  <c r="EL184" i="2"/>
  <c r="EL183" i="2"/>
  <c r="EL182" i="2"/>
  <c r="EL181" i="2"/>
  <c r="EL180" i="2"/>
  <c r="EL179" i="2"/>
  <c r="EL178" i="2"/>
  <c r="EL177" i="2"/>
  <c r="EL176" i="2"/>
  <c r="EL175" i="2"/>
  <c r="EL174" i="2"/>
  <c r="EL173" i="2"/>
  <c r="EL172" i="2"/>
  <c r="EL171" i="2"/>
  <c r="EL170" i="2"/>
  <c r="EL169" i="2"/>
  <c r="EL168" i="2"/>
  <c r="EL167" i="2"/>
  <c r="EL166" i="2"/>
  <c r="EL165" i="2"/>
  <c r="EL164" i="2"/>
  <c r="EL163" i="2"/>
  <c r="EL162" i="2"/>
  <c r="EL161" i="2"/>
  <c r="EL160" i="2"/>
  <c r="EL159" i="2"/>
  <c r="EL158" i="2"/>
  <c r="EL157" i="2"/>
  <c r="EL156" i="2"/>
  <c r="EL155" i="2"/>
  <c r="EL154" i="2"/>
  <c r="EL153" i="2"/>
  <c r="EL151" i="2"/>
  <c r="EL150" i="2"/>
  <c r="EL149" i="2"/>
  <c r="EL148" i="2"/>
  <c r="EL147" i="2"/>
  <c r="EL146" i="2"/>
  <c r="EL145" i="2"/>
  <c r="EL144" i="2"/>
  <c r="EL143" i="2"/>
  <c r="EL142" i="2"/>
  <c r="EL141" i="2"/>
  <c r="EL140" i="2"/>
  <c r="EL139" i="2"/>
  <c r="EL137" i="2"/>
  <c r="EL135" i="2"/>
  <c r="EL134" i="2"/>
  <c r="EL133" i="2"/>
  <c r="EL132" i="2"/>
  <c r="EL131" i="2"/>
  <c r="EL130" i="2"/>
  <c r="EL129" i="2"/>
  <c r="EL128" i="2"/>
  <c r="EL127" i="2"/>
  <c r="EL125" i="2"/>
  <c r="EL123" i="2"/>
  <c r="EL122" i="2"/>
  <c r="EL121" i="2"/>
  <c r="EL120" i="2"/>
  <c r="EL119" i="2"/>
  <c r="EL117" i="2"/>
  <c r="EL116" i="2"/>
  <c r="EL115" i="2"/>
  <c r="EL114" i="2"/>
  <c r="EL112" i="2"/>
  <c r="EL111" i="2"/>
  <c r="EL110" i="2"/>
  <c r="EL109" i="2"/>
  <c r="EL108" i="2"/>
  <c r="EL107" i="2"/>
  <c r="EL106" i="2"/>
  <c r="EL105" i="2"/>
  <c r="EL104" i="2"/>
  <c r="EL103" i="2"/>
  <c r="EL101" i="2"/>
  <c r="EL100" i="2"/>
  <c r="EL99" i="2"/>
  <c r="EL97" i="2"/>
  <c r="EL96" i="2"/>
  <c r="EL95" i="2"/>
  <c r="EL94" i="2"/>
  <c r="EL93" i="2"/>
  <c r="EL92" i="2"/>
  <c r="EL91" i="2"/>
  <c r="EL90" i="2"/>
  <c r="EL89" i="2"/>
  <c r="EL87" i="2"/>
  <c r="EL86" i="2"/>
  <c r="EL85" i="2"/>
  <c r="EL84" i="2"/>
  <c r="EL83" i="2"/>
  <c r="EL82" i="2"/>
  <c r="EL81" i="2"/>
  <c r="EL80" i="2"/>
  <c r="EL79" i="2"/>
  <c r="EL78" i="2"/>
  <c r="EL77" i="2"/>
  <c r="EL76" i="2"/>
  <c r="EL75" i="2"/>
  <c r="EL74" i="2"/>
  <c r="EL73" i="2"/>
  <c r="EL72" i="2"/>
  <c r="EL70" i="2"/>
  <c r="EL67" i="2"/>
  <c r="EL65" i="2"/>
  <c r="EL64" i="2"/>
  <c r="EL63" i="2"/>
  <c r="EL62" i="2"/>
  <c r="EL61" i="2"/>
  <c r="EL60" i="2"/>
  <c r="EL59" i="2"/>
  <c r="EL58" i="2"/>
  <c r="EL57" i="2"/>
  <c r="EL56" i="2"/>
  <c r="EL55" i="2"/>
  <c r="EL54" i="2"/>
  <c r="EL53" i="2"/>
  <c r="EL51" i="2"/>
  <c r="EL50" i="2"/>
  <c r="EL49" i="2"/>
  <c r="EL48" i="2"/>
  <c r="EL47" i="2"/>
  <c r="EL46" i="2"/>
  <c r="EL45" i="2"/>
  <c r="EL44" i="2"/>
  <c r="EL43" i="2"/>
  <c r="EL42" i="2"/>
  <c r="EL41" i="2"/>
  <c r="EL40" i="2"/>
  <c r="EL39" i="2"/>
  <c r="EL38" i="2"/>
  <c r="EL37" i="2"/>
  <c r="EL36" i="2"/>
  <c r="EL35" i="2"/>
  <c r="EL34" i="2"/>
  <c r="EL33" i="2"/>
  <c r="EL32" i="2"/>
  <c r="EL31" i="2"/>
  <c r="EL30" i="2"/>
  <c r="EL29" i="2"/>
  <c r="EL28" i="2"/>
  <c r="EL27" i="2"/>
  <c r="EL26" i="2"/>
  <c r="EL25" i="2"/>
  <c r="EL24" i="2"/>
  <c r="EL23" i="2"/>
  <c r="EL22" i="2"/>
  <c r="EL21" i="2"/>
  <c r="EL20" i="2"/>
  <c r="EL19" i="2"/>
  <c r="EL18" i="2"/>
  <c r="EL17" i="2"/>
  <c r="EL16" i="2"/>
  <c r="EL15" i="2"/>
  <c r="EL14" i="2"/>
  <c r="EL13" i="2"/>
  <c r="EL12" i="2"/>
  <c r="EL11" i="2"/>
  <c r="EL10" i="2"/>
  <c r="EJ293" i="2"/>
  <c r="EJ292" i="2"/>
  <c r="EJ291" i="2"/>
  <c r="EJ290" i="2"/>
  <c r="EJ289" i="2"/>
  <c r="EJ288" i="2"/>
  <c r="EJ287" i="2"/>
  <c r="EJ286" i="2"/>
  <c r="EJ283" i="2"/>
  <c r="EJ282" i="2"/>
  <c r="EJ281" i="2"/>
  <c r="EJ280" i="2"/>
  <c r="EJ274" i="2"/>
  <c r="EJ273" i="2"/>
  <c r="EJ271" i="2"/>
  <c r="EJ270" i="2"/>
  <c r="EJ268" i="2"/>
  <c r="EJ267" i="2"/>
  <c r="EJ266" i="2"/>
  <c r="EJ265" i="2"/>
  <c r="EJ264" i="2"/>
  <c r="EJ263" i="2"/>
  <c r="EJ262" i="2"/>
  <c r="EJ261" i="2"/>
  <c r="EJ260" i="2"/>
  <c r="EJ259" i="2"/>
  <c r="EJ258" i="2"/>
  <c r="EJ256" i="2"/>
  <c r="EJ255" i="2"/>
  <c r="EJ253" i="2"/>
  <c r="EJ252" i="2"/>
  <c r="EJ251" i="2"/>
  <c r="EJ250" i="2"/>
  <c r="EJ249" i="2"/>
  <c r="EJ248" i="2"/>
  <c r="EJ244" i="2"/>
  <c r="EJ243" i="2"/>
  <c r="EJ240" i="2"/>
  <c r="EJ237" i="2"/>
  <c r="EJ234" i="2"/>
  <c r="EJ229" i="2"/>
  <c r="EJ228" i="2"/>
  <c r="EJ227" i="2"/>
  <c r="EJ226" i="2"/>
  <c r="EJ225" i="2"/>
  <c r="EJ222" i="2"/>
  <c r="EJ220" i="2"/>
  <c r="EJ219" i="2"/>
  <c r="EJ218" i="2"/>
  <c r="EJ217" i="2"/>
  <c r="EJ216" i="2"/>
  <c r="EJ215" i="2"/>
  <c r="EJ214" i="2"/>
  <c r="EJ213" i="2"/>
  <c r="EJ212" i="2"/>
  <c r="EJ211" i="2"/>
  <c r="EJ210" i="2"/>
  <c r="EJ207" i="2"/>
  <c r="EJ206" i="2"/>
  <c r="EJ205" i="2"/>
  <c r="EJ204" i="2"/>
  <c r="EJ203" i="2"/>
  <c r="EJ200" i="2"/>
  <c r="EJ199" i="2"/>
  <c r="EJ198" i="2"/>
  <c r="EJ197" i="2"/>
  <c r="EJ196" i="2"/>
  <c r="EJ195" i="2"/>
  <c r="EJ194" i="2"/>
  <c r="EJ193" i="2"/>
  <c r="EJ192" i="2"/>
  <c r="EJ191" i="2"/>
  <c r="EJ190" i="2"/>
  <c r="EJ189" i="2"/>
  <c r="EJ188" i="2"/>
  <c r="EJ187" i="2"/>
  <c r="EJ186" i="2"/>
  <c r="EJ185" i="2"/>
  <c r="EJ184" i="2"/>
  <c r="EJ183" i="2"/>
  <c r="EJ182" i="2"/>
  <c r="EJ181" i="2"/>
  <c r="EJ180" i="2"/>
  <c r="EJ179" i="2"/>
  <c r="EJ178" i="2"/>
  <c r="EJ177" i="2"/>
  <c r="EJ176" i="2"/>
  <c r="EJ175" i="2"/>
  <c r="EJ174" i="2"/>
  <c r="EJ173" i="2"/>
  <c r="EJ172" i="2"/>
  <c r="EJ171" i="2"/>
  <c r="EJ170" i="2"/>
  <c r="EJ169" i="2"/>
  <c r="EJ168" i="2"/>
  <c r="EJ167" i="2"/>
  <c r="EJ166" i="2"/>
  <c r="EJ165" i="2"/>
  <c r="EJ164" i="2"/>
  <c r="EJ163" i="2"/>
  <c r="EJ162" i="2"/>
  <c r="EJ161" i="2"/>
  <c r="EJ160" i="2"/>
  <c r="EJ159" i="2"/>
  <c r="EJ158" i="2"/>
  <c r="EJ157" i="2"/>
  <c r="EJ156" i="2"/>
  <c r="EJ155" i="2"/>
  <c r="EJ154" i="2"/>
  <c r="EJ153" i="2"/>
  <c r="EJ151" i="2"/>
  <c r="EJ150" i="2"/>
  <c r="EJ149" i="2"/>
  <c r="EJ148" i="2"/>
  <c r="EJ147" i="2"/>
  <c r="EJ146" i="2"/>
  <c r="EJ145" i="2"/>
  <c r="EJ144" i="2"/>
  <c r="EJ143" i="2"/>
  <c r="EJ142" i="2"/>
  <c r="EJ141" i="2"/>
  <c r="EJ140" i="2"/>
  <c r="EJ139" i="2"/>
  <c r="EJ137" i="2"/>
  <c r="EJ135" i="2"/>
  <c r="EJ133" i="2"/>
  <c r="EJ132" i="2"/>
  <c r="EJ131" i="2"/>
  <c r="EJ129" i="2"/>
  <c r="EJ128" i="2"/>
  <c r="EJ127" i="2"/>
  <c r="EJ125" i="2"/>
  <c r="EJ123" i="2"/>
  <c r="EJ121" i="2"/>
  <c r="EJ119" i="2"/>
  <c r="EJ117" i="2"/>
  <c r="EJ116" i="2"/>
  <c r="EJ112" i="2"/>
  <c r="EJ111" i="2"/>
  <c r="EJ110" i="2"/>
  <c r="EJ108" i="2"/>
  <c r="EJ106" i="2"/>
  <c r="EJ105" i="2"/>
  <c r="EJ103" i="2"/>
  <c r="EJ99" i="2"/>
  <c r="EJ97" i="2"/>
  <c r="EJ96" i="2"/>
  <c r="EJ95" i="2"/>
  <c r="EJ94" i="2"/>
  <c r="EJ93" i="2"/>
  <c r="EJ92" i="2"/>
  <c r="EJ91" i="2"/>
  <c r="EJ89" i="2"/>
  <c r="EJ87" i="2"/>
  <c r="EJ86" i="2"/>
  <c r="EJ85" i="2"/>
  <c r="EJ84" i="2"/>
  <c r="EJ83" i="2"/>
  <c r="EJ82" i="2"/>
  <c r="EJ81" i="2"/>
  <c r="EJ80" i="2"/>
  <c r="EJ79" i="2"/>
  <c r="EJ78" i="2"/>
  <c r="EJ77" i="2"/>
  <c r="EJ76" i="2"/>
  <c r="EJ75" i="2"/>
  <c r="EJ74" i="2"/>
  <c r="EJ73" i="2"/>
  <c r="EJ72" i="2"/>
  <c r="EJ70" i="2"/>
  <c r="EJ67" i="2"/>
  <c r="EJ62" i="2"/>
  <c r="EJ61" i="2"/>
  <c r="EJ59" i="2"/>
  <c r="EJ58" i="2"/>
  <c r="EJ57" i="2"/>
  <c r="EJ56" i="2"/>
  <c r="EJ55" i="2"/>
  <c r="EJ53" i="2"/>
  <c r="EJ51" i="2"/>
  <c r="EJ50" i="2"/>
  <c r="EJ49" i="2"/>
  <c r="EJ48" i="2"/>
  <c r="EJ45" i="2"/>
  <c r="EJ44" i="2"/>
  <c r="EJ43" i="2"/>
  <c r="EJ42" i="2"/>
  <c r="EJ41" i="2"/>
  <c r="EJ40" i="2"/>
  <c r="EJ39" i="2"/>
  <c r="EJ38" i="2"/>
  <c r="EJ37" i="2"/>
  <c r="EJ36" i="2"/>
  <c r="EJ35" i="2"/>
  <c r="EJ34" i="2"/>
  <c r="EJ33" i="2"/>
  <c r="EJ32" i="2"/>
  <c r="EJ31" i="2"/>
  <c r="EJ30" i="2"/>
  <c r="EJ29" i="2"/>
  <c r="EJ28" i="2"/>
  <c r="EJ27" i="2"/>
  <c r="EJ25" i="2"/>
  <c r="EJ24" i="2"/>
  <c r="EJ23" i="2"/>
  <c r="EJ22" i="2"/>
  <c r="EJ21" i="2"/>
  <c r="EJ20" i="2"/>
  <c r="EJ19" i="2"/>
  <c r="EJ18" i="2"/>
  <c r="EJ17" i="2"/>
  <c r="EJ16" i="2"/>
  <c r="EJ15" i="2"/>
  <c r="EJ14" i="2"/>
  <c r="EJ13" i="2"/>
  <c r="EJ12" i="2"/>
  <c r="EJ11" i="2"/>
  <c r="EJ10" i="2"/>
  <c r="EH293" i="2"/>
  <c r="EH292" i="2"/>
  <c r="EH289" i="2"/>
  <c r="EH288" i="2"/>
  <c r="EH286" i="2"/>
  <c r="EH282" i="2"/>
  <c r="EH281" i="2"/>
  <c r="EH280" i="2"/>
  <c r="EH274" i="2"/>
  <c r="EH269" i="2"/>
  <c r="EH267" i="2"/>
  <c r="EH265" i="2"/>
  <c r="EH264" i="2"/>
  <c r="EH260" i="2"/>
  <c r="EH259" i="2"/>
  <c r="EH258" i="2"/>
  <c r="EH256" i="2"/>
  <c r="EH252" i="2"/>
  <c r="EH251" i="2"/>
  <c r="EH249" i="2"/>
  <c r="EH248" i="2"/>
  <c r="EH240" i="2"/>
  <c r="EH236" i="2"/>
  <c r="EH220" i="2"/>
  <c r="EH218" i="2"/>
  <c r="EH216" i="2"/>
  <c r="EH211" i="2"/>
  <c r="EH205" i="2"/>
  <c r="EH203" i="2"/>
  <c r="EH200" i="2"/>
  <c r="EH199" i="2"/>
  <c r="EH198" i="2"/>
  <c r="EH197" i="2"/>
  <c r="EH196" i="2"/>
  <c r="EH195" i="2"/>
  <c r="EH194" i="2"/>
  <c r="EH193" i="2"/>
  <c r="EH192" i="2"/>
  <c r="EH191" i="2"/>
  <c r="EH190" i="2"/>
  <c r="EH189" i="2"/>
  <c r="EH188" i="2"/>
  <c r="EH187" i="2"/>
  <c r="EH186" i="2"/>
  <c r="EH185" i="2"/>
  <c r="EH184" i="2"/>
  <c r="EH183" i="2"/>
  <c r="EH182" i="2"/>
  <c r="EH181" i="2"/>
  <c r="EH180" i="2"/>
  <c r="EH179" i="2"/>
  <c r="EH178" i="2"/>
  <c r="EH177" i="2"/>
  <c r="EH176" i="2"/>
  <c r="EH175" i="2"/>
  <c r="EH174" i="2"/>
  <c r="EH173" i="2"/>
  <c r="EH172" i="2"/>
  <c r="EH171" i="2"/>
  <c r="EH170" i="2"/>
  <c r="EH169" i="2"/>
  <c r="EH168" i="2"/>
  <c r="EH167" i="2"/>
  <c r="EH166" i="2"/>
  <c r="EH165" i="2"/>
  <c r="EH164" i="2"/>
  <c r="EH163" i="2"/>
  <c r="EH162" i="2"/>
  <c r="EH161" i="2"/>
  <c r="EH160" i="2"/>
  <c r="EH159" i="2"/>
  <c r="EH158" i="2"/>
  <c r="EH157" i="2"/>
  <c r="EH156" i="2"/>
  <c r="EH155" i="2"/>
  <c r="EH154" i="2"/>
  <c r="EH153" i="2"/>
  <c r="EH152" i="2"/>
  <c r="EH151" i="2"/>
  <c r="EH150" i="2"/>
  <c r="EH148" i="2"/>
  <c r="EH147" i="2"/>
  <c r="EH146" i="2"/>
  <c r="EH145" i="2"/>
  <c r="EH144" i="2"/>
  <c r="EH143" i="2"/>
  <c r="EH142" i="2"/>
  <c r="EH141" i="2"/>
  <c r="EH140" i="2"/>
  <c r="EH139" i="2"/>
  <c r="EH137" i="2"/>
  <c r="EH135" i="2"/>
  <c r="EH133" i="2"/>
  <c r="EH132" i="2"/>
  <c r="EH129" i="2"/>
  <c r="EH128" i="2"/>
  <c r="EH121" i="2"/>
  <c r="EH111" i="2"/>
  <c r="EH99" i="2"/>
  <c r="EH97" i="2"/>
  <c r="EH94" i="2"/>
  <c r="EH93" i="2"/>
  <c r="EH90" i="2"/>
  <c r="EH89" i="2"/>
  <c r="EH86" i="2"/>
  <c r="EH84" i="2"/>
  <c r="EH74" i="2"/>
  <c r="EH62" i="2"/>
  <c r="EH61" i="2"/>
  <c r="EH59" i="2"/>
  <c r="EH58" i="2"/>
  <c r="EH51" i="2"/>
  <c r="EH45" i="2"/>
  <c r="EH44" i="2"/>
  <c r="EH43" i="2"/>
  <c r="EH42" i="2"/>
  <c r="EH41" i="2"/>
  <c r="EH40" i="2"/>
  <c r="EH39" i="2"/>
  <c r="EH37" i="2"/>
  <c r="EH36" i="2"/>
  <c r="EH35" i="2"/>
  <c r="EH34" i="2"/>
  <c r="EH33" i="2"/>
  <c r="EH32" i="2"/>
  <c r="EH31" i="2"/>
  <c r="EH30" i="2"/>
  <c r="EH29" i="2"/>
  <c r="EH28" i="2"/>
  <c r="EH27" i="2"/>
  <c r="EH25" i="2"/>
  <c r="EH23" i="2"/>
  <c r="EH22" i="2"/>
  <c r="EH21" i="2"/>
  <c r="EH20" i="2"/>
  <c r="EH19" i="2"/>
  <c r="EH18" i="2"/>
  <c r="EH17" i="2"/>
  <c r="EH16" i="2"/>
  <c r="EH15" i="2"/>
  <c r="EH14" i="2"/>
  <c r="EH13" i="2"/>
  <c r="EH12" i="2"/>
  <c r="EH11" i="2"/>
  <c r="EH10" i="2"/>
  <c r="DX293" i="2"/>
  <c r="DX292" i="2"/>
  <c r="DX291" i="2"/>
  <c r="DX290" i="2"/>
  <c r="DX289" i="2"/>
  <c r="DX288" i="2"/>
  <c r="DX287" i="2"/>
  <c r="DX286" i="2"/>
  <c r="DX284" i="2"/>
  <c r="DX283" i="2"/>
  <c r="DX282" i="2"/>
  <c r="DX281" i="2"/>
  <c r="DX280" i="2"/>
  <c r="DX279" i="2"/>
  <c r="DX278" i="2"/>
  <c r="DX277" i="2"/>
  <c r="DX276" i="2"/>
  <c r="DX275" i="2"/>
  <c r="DX274" i="2"/>
  <c r="DX273" i="2"/>
  <c r="DX272" i="2"/>
  <c r="DX271" i="2"/>
  <c r="DX270" i="2"/>
  <c r="DX269" i="2"/>
  <c r="DX268" i="2"/>
  <c r="DX267" i="2"/>
  <c r="DX266" i="2"/>
  <c r="DX265" i="2"/>
  <c r="DX264" i="2"/>
  <c r="DX263" i="2"/>
  <c r="DX262" i="2"/>
  <c r="DX261" i="2"/>
  <c r="DX260" i="2"/>
  <c r="DX259" i="2"/>
  <c r="DX258" i="2"/>
  <c r="DX257" i="2"/>
  <c r="DX256" i="2"/>
  <c r="DX255" i="2"/>
  <c r="DX254" i="2"/>
  <c r="DX253" i="2"/>
  <c r="DX252" i="2"/>
  <c r="DX251" i="2"/>
  <c r="DX250" i="2"/>
  <c r="DX249" i="2"/>
  <c r="DX248" i="2"/>
  <c r="DX247" i="2"/>
  <c r="DX246" i="2"/>
  <c r="DX245" i="2"/>
  <c r="DX244" i="2"/>
  <c r="DX243" i="2"/>
  <c r="DX241" i="2"/>
  <c r="DX240" i="2"/>
  <c r="DX239" i="2"/>
  <c r="DX238" i="2"/>
  <c r="DX237" i="2"/>
  <c r="DX236" i="2"/>
  <c r="DX235" i="2"/>
  <c r="DX234" i="2"/>
  <c r="DX233" i="2"/>
  <c r="DX232" i="2"/>
  <c r="DX231" i="2"/>
  <c r="DX230" i="2"/>
  <c r="DX229" i="2"/>
  <c r="DX228" i="2"/>
  <c r="DX227" i="2"/>
  <c r="DX226" i="2"/>
  <c r="DX225" i="2"/>
  <c r="DX224" i="2"/>
  <c r="DX223" i="2"/>
  <c r="DX222" i="2"/>
  <c r="DX221" i="2"/>
  <c r="DX220" i="2"/>
  <c r="DX218" i="2"/>
  <c r="DX217" i="2"/>
  <c r="DX216" i="2"/>
  <c r="DX215" i="2"/>
  <c r="DX214" i="2"/>
  <c r="DX213" i="2"/>
  <c r="DX212" i="2"/>
  <c r="DX211" i="2"/>
  <c r="DX210" i="2"/>
  <c r="DX209" i="2"/>
  <c r="DX208" i="2"/>
  <c r="DX207" i="2"/>
  <c r="DX206" i="2"/>
  <c r="DX205" i="2"/>
  <c r="DX204" i="2"/>
  <c r="DX203" i="2"/>
  <c r="DX202" i="2"/>
  <c r="DX201" i="2"/>
  <c r="DX200" i="2"/>
  <c r="DX199" i="2"/>
  <c r="DX197" i="2"/>
  <c r="DX196" i="2"/>
  <c r="DX195" i="2"/>
  <c r="DX194" i="2"/>
  <c r="DX193" i="2"/>
  <c r="DX192" i="2"/>
  <c r="DX191" i="2"/>
  <c r="DX190" i="2"/>
  <c r="DX189" i="2"/>
  <c r="DX188" i="2"/>
  <c r="DX187" i="2"/>
  <c r="DX186" i="2"/>
  <c r="DX183" i="2"/>
  <c r="DX182" i="2"/>
  <c r="DX181" i="2"/>
  <c r="DX180" i="2"/>
  <c r="DX179" i="2"/>
  <c r="DX178" i="2"/>
  <c r="DX177" i="2"/>
  <c r="DX176" i="2"/>
  <c r="DX175" i="2"/>
  <c r="DX174" i="2"/>
  <c r="DX173" i="2"/>
  <c r="DX172" i="2"/>
  <c r="DX171" i="2"/>
  <c r="DX170" i="2"/>
  <c r="DX169" i="2"/>
  <c r="DX168" i="2"/>
  <c r="DX167" i="2"/>
  <c r="DX166" i="2"/>
  <c r="DX165" i="2"/>
  <c r="DX164" i="2"/>
  <c r="DX163" i="2"/>
  <c r="DX162" i="2"/>
  <c r="DX161" i="2"/>
  <c r="DX160" i="2"/>
  <c r="DX159" i="2"/>
  <c r="DX158" i="2"/>
  <c r="DX157" i="2"/>
  <c r="DX156" i="2"/>
  <c r="DX155" i="2"/>
  <c r="DX154" i="2"/>
  <c r="DX153" i="2"/>
  <c r="DX151" i="2"/>
  <c r="DX150" i="2"/>
  <c r="DX149" i="2"/>
  <c r="DX148" i="2"/>
  <c r="DX147" i="2"/>
  <c r="DX146" i="2"/>
  <c r="DX145" i="2"/>
  <c r="DX143" i="2"/>
  <c r="DX142" i="2"/>
  <c r="DX141" i="2"/>
  <c r="DX140" i="2"/>
  <c r="DX139" i="2"/>
  <c r="DX138" i="2"/>
  <c r="DX137" i="2"/>
  <c r="DX136" i="2"/>
  <c r="DX135" i="2"/>
  <c r="DX134" i="2"/>
  <c r="DX133" i="2"/>
  <c r="DX132" i="2"/>
  <c r="DX130" i="2"/>
  <c r="DX129" i="2"/>
  <c r="DX128" i="2"/>
  <c r="DX127" i="2"/>
  <c r="DX125" i="2"/>
  <c r="DX124" i="2"/>
  <c r="DX123" i="2"/>
  <c r="DX122" i="2"/>
  <c r="DX121" i="2"/>
  <c r="DX119" i="2"/>
  <c r="DX118" i="2"/>
  <c r="DX117" i="2"/>
  <c r="DX116" i="2"/>
  <c r="DX114" i="2"/>
  <c r="DX113" i="2"/>
  <c r="DX112" i="2"/>
  <c r="DX111" i="2"/>
  <c r="DX110" i="2"/>
  <c r="DX109" i="2"/>
  <c r="DX108" i="2"/>
  <c r="DX107" i="2"/>
  <c r="DX106" i="2"/>
  <c r="DX105" i="2"/>
  <c r="DX103" i="2"/>
  <c r="DX101" i="2"/>
  <c r="DX100" i="2"/>
  <c r="DX99" i="2"/>
  <c r="DX98" i="2"/>
  <c r="DX97" i="2"/>
  <c r="DX96" i="2"/>
  <c r="DX95" i="2"/>
  <c r="DX94" i="2"/>
  <c r="DX93" i="2"/>
  <c r="DX92" i="2"/>
  <c r="DX91" i="2"/>
  <c r="DX90" i="2"/>
  <c r="DX89" i="2"/>
  <c r="DX88" i="2"/>
  <c r="DX87" i="2"/>
  <c r="DX86" i="2"/>
  <c r="DX85" i="2"/>
  <c r="DX84" i="2"/>
  <c r="DX83" i="2"/>
  <c r="DX82" i="2"/>
  <c r="DX80" i="2"/>
  <c r="DX79" i="2"/>
  <c r="DX78" i="2"/>
  <c r="DX77" i="2"/>
  <c r="DX76" i="2"/>
  <c r="DX75" i="2"/>
  <c r="DX74" i="2"/>
  <c r="DX73" i="2"/>
  <c r="DX72" i="2"/>
  <c r="DX71" i="2"/>
  <c r="DX70" i="2"/>
  <c r="DX69" i="2"/>
  <c r="DX68" i="2"/>
  <c r="DX67" i="2"/>
  <c r="DX66" i="2"/>
  <c r="DX64" i="2"/>
  <c r="DX62" i="2"/>
  <c r="DX61" i="2"/>
  <c r="DX60" i="2"/>
  <c r="DX59" i="2"/>
  <c r="DX58" i="2"/>
  <c r="DX57" i="2"/>
  <c r="DX56" i="2"/>
  <c r="DX55" i="2"/>
  <c r="DX54" i="2"/>
  <c r="DX53" i="2"/>
  <c r="DX52" i="2"/>
  <c r="DX51" i="2"/>
  <c r="DX50" i="2"/>
  <c r="DX49" i="2"/>
  <c r="DX48" i="2"/>
  <c r="DX47" i="2"/>
  <c r="DX46" i="2"/>
  <c r="DX45" i="2"/>
  <c r="DX44" i="2"/>
  <c r="DX43" i="2"/>
  <c r="DX41" i="2"/>
  <c r="DX40" i="2"/>
  <c r="DX39" i="2"/>
  <c r="DX38" i="2"/>
  <c r="DX37" i="2"/>
  <c r="DX36" i="2"/>
  <c r="DX35" i="2"/>
  <c r="DX34" i="2"/>
  <c r="DX33" i="2"/>
  <c r="DX32" i="2"/>
  <c r="DX31" i="2"/>
  <c r="DX30" i="2"/>
  <c r="DX29" i="2"/>
  <c r="DX28" i="2"/>
  <c r="DX27" i="2"/>
  <c r="DX26" i="2"/>
  <c r="DX25" i="2"/>
  <c r="DX24" i="2"/>
  <c r="DX23" i="2"/>
  <c r="DX22" i="2"/>
  <c r="DX21" i="2"/>
  <c r="DX20" i="2"/>
  <c r="DX19" i="2"/>
  <c r="DX18" i="2"/>
  <c r="DX17" i="2"/>
  <c r="DX15" i="2"/>
  <c r="DX13" i="2"/>
  <c r="DX12" i="2"/>
  <c r="DX11" i="2"/>
  <c r="DX10" i="2"/>
  <c r="DU289" i="2"/>
  <c r="DU288" i="2"/>
  <c r="DU274" i="2"/>
  <c r="DU271" i="2"/>
  <c r="DU258" i="2"/>
  <c r="DU254" i="2"/>
  <c r="DU245" i="2"/>
  <c r="DU241" i="2"/>
  <c r="DU235" i="2"/>
  <c r="DU232" i="2"/>
  <c r="DU216" i="2"/>
  <c r="DU213" i="2"/>
  <c r="DU209" i="2"/>
  <c r="DU208" i="2"/>
  <c r="DU201" i="2"/>
  <c r="DU200" i="2"/>
  <c r="DU197" i="2"/>
  <c r="DU189" i="2"/>
  <c r="DU188" i="2"/>
  <c r="DU175" i="2"/>
  <c r="DU174" i="2"/>
  <c r="DU173" i="2"/>
  <c r="DU172" i="2"/>
  <c r="DU171" i="2"/>
  <c r="DU164" i="2"/>
  <c r="DU162" i="2"/>
  <c r="DU161" i="2"/>
  <c r="DU154" i="2"/>
  <c r="DU153" i="2"/>
  <c r="DU151" i="2"/>
  <c r="DU150" i="2"/>
  <c r="DU143" i="2"/>
  <c r="DU142" i="2"/>
  <c r="DU137" i="2"/>
  <c r="DU136" i="2"/>
  <c r="DU135" i="2"/>
  <c r="DU133" i="2"/>
  <c r="DU132" i="2"/>
  <c r="DU130" i="2"/>
  <c r="DU129" i="2"/>
  <c r="DU124" i="2"/>
  <c r="DU111" i="2"/>
  <c r="DU109" i="2"/>
  <c r="DU106" i="2"/>
  <c r="DU95" i="2"/>
  <c r="DU93" i="2"/>
  <c r="DU88" i="2"/>
  <c r="DU69" i="2"/>
  <c r="DU67" i="2"/>
  <c r="DU61" i="2"/>
  <c r="DU51" i="2"/>
  <c r="DU46" i="2"/>
  <c r="DU43" i="2"/>
  <c r="DU34" i="2"/>
  <c r="DU30" i="2"/>
  <c r="DU29" i="2"/>
  <c r="DU28" i="2"/>
  <c r="DU25" i="2"/>
  <c r="DU22" i="2"/>
  <c r="DK293" i="2"/>
  <c r="DK292" i="2"/>
  <c r="DK291" i="2"/>
  <c r="DK290" i="2"/>
  <c r="DK289" i="2"/>
  <c r="DK288" i="2"/>
  <c r="DK287" i="2"/>
  <c r="DK286" i="2"/>
  <c r="DK285" i="2"/>
  <c r="DK284" i="2"/>
  <c r="DK283" i="2"/>
  <c r="DK282" i="2"/>
  <c r="DK281" i="2"/>
  <c r="DK280" i="2"/>
  <c r="DK279" i="2"/>
  <c r="DK278" i="2"/>
  <c r="DK277" i="2"/>
  <c r="DK276" i="2"/>
  <c r="DK275" i="2"/>
  <c r="DK274" i="2"/>
  <c r="DK273" i="2"/>
  <c r="DK272" i="2"/>
  <c r="DK271" i="2"/>
  <c r="DK270" i="2"/>
  <c r="DK269" i="2"/>
  <c r="DK268" i="2"/>
  <c r="DK267" i="2"/>
  <c r="DK266" i="2"/>
  <c r="DK265" i="2"/>
  <c r="DK264" i="2"/>
  <c r="DK263" i="2"/>
  <c r="DK262" i="2"/>
  <c r="DK261" i="2"/>
  <c r="DK260" i="2"/>
  <c r="DK259" i="2"/>
  <c r="DK258" i="2"/>
  <c r="DK257" i="2"/>
  <c r="DK256" i="2"/>
  <c r="DK255" i="2"/>
  <c r="DK254" i="2"/>
  <c r="DK253" i="2"/>
  <c r="DK252" i="2"/>
  <c r="DK251" i="2"/>
  <c r="DK250" i="2"/>
  <c r="DK249" i="2"/>
  <c r="DK248" i="2"/>
  <c r="DK247" i="2"/>
  <c r="DK246" i="2"/>
  <c r="DK245" i="2"/>
  <c r="DK244" i="2"/>
  <c r="DK243" i="2"/>
  <c r="DK242" i="2"/>
  <c r="DK241" i="2"/>
  <c r="DK240" i="2"/>
  <c r="DK239" i="2"/>
  <c r="DK238" i="2"/>
  <c r="DK237" i="2"/>
  <c r="DK236" i="2"/>
  <c r="DK235" i="2"/>
  <c r="DK234" i="2"/>
  <c r="DK233" i="2"/>
  <c r="DK232" i="2"/>
  <c r="DK231" i="2"/>
  <c r="DK230" i="2"/>
  <c r="DK229" i="2"/>
  <c r="DK228" i="2"/>
  <c r="DK227" i="2"/>
  <c r="DK226" i="2"/>
  <c r="DK225" i="2"/>
  <c r="DK224" i="2"/>
  <c r="DK223" i="2"/>
  <c r="DK222" i="2"/>
  <c r="DK221" i="2"/>
  <c r="DK220" i="2"/>
  <c r="DK219" i="2"/>
  <c r="DK218" i="2"/>
  <c r="DK217" i="2"/>
  <c r="DK216" i="2"/>
  <c r="DK215" i="2"/>
  <c r="DK214" i="2"/>
  <c r="DK213" i="2"/>
  <c r="DK212" i="2"/>
  <c r="DK211" i="2"/>
  <c r="DK210" i="2"/>
  <c r="DK209" i="2"/>
  <c r="DK208" i="2"/>
  <c r="DK207" i="2"/>
  <c r="DK206" i="2"/>
  <c r="DK205" i="2"/>
  <c r="DK204" i="2"/>
  <c r="DK203" i="2"/>
  <c r="DK202" i="2"/>
  <c r="DK201" i="2"/>
  <c r="DK200" i="2"/>
  <c r="DK199" i="2"/>
  <c r="DK198" i="2"/>
  <c r="DK197" i="2"/>
  <c r="DK196" i="2"/>
  <c r="DK195" i="2"/>
  <c r="DK194" i="2"/>
  <c r="DK193" i="2"/>
  <c r="DK192" i="2"/>
  <c r="DK191" i="2"/>
  <c r="DK190" i="2"/>
  <c r="DK189" i="2"/>
  <c r="DK188" i="2"/>
  <c r="DK187" i="2"/>
  <c r="DK186" i="2"/>
  <c r="DK185" i="2"/>
  <c r="DK184" i="2"/>
  <c r="DK183" i="2"/>
  <c r="DK182" i="2"/>
  <c r="DK181" i="2"/>
  <c r="DK180" i="2"/>
  <c r="DK179" i="2"/>
  <c r="DK178" i="2"/>
  <c r="DK177" i="2"/>
  <c r="DK176" i="2"/>
  <c r="DK175" i="2"/>
  <c r="DK174" i="2"/>
  <c r="DK173" i="2"/>
  <c r="DK172" i="2"/>
  <c r="DK171" i="2"/>
  <c r="DK170" i="2"/>
  <c r="DK169" i="2"/>
  <c r="DK168" i="2"/>
  <c r="DK167" i="2"/>
  <c r="DK166" i="2"/>
  <c r="DK165" i="2"/>
  <c r="DK164" i="2"/>
  <c r="DK163" i="2"/>
  <c r="DK162" i="2"/>
  <c r="DK161" i="2"/>
  <c r="DK160" i="2"/>
  <c r="DK159" i="2"/>
  <c r="DK158" i="2"/>
  <c r="DK157" i="2"/>
  <c r="DK156" i="2"/>
  <c r="DK155" i="2"/>
  <c r="DK154" i="2"/>
  <c r="DK153" i="2"/>
  <c r="DK152" i="2"/>
  <c r="DK151" i="2"/>
  <c r="DK150" i="2"/>
  <c r="DK149" i="2"/>
  <c r="DK148" i="2"/>
  <c r="DK147" i="2"/>
  <c r="DK146" i="2"/>
  <c r="DK145" i="2"/>
  <c r="DK144" i="2"/>
  <c r="DK143" i="2"/>
  <c r="DK142" i="2"/>
  <c r="DK141" i="2"/>
  <c r="DK140" i="2"/>
  <c r="DK139" i="2"/>
  <c r="DK138" i="2"/>
  <c r="DK137" i="2"/>
  <c r="DK136" i="2"/>
  <c r="DK135" i="2"/>
  <c r="DK134" i="2"/>
  <c r="DK133" i="2"/>
  <c r="DK132" i="2"/>
  <c r="DK131" i="2"/>
  <c r="DK130" i="2"/>
  <c r="DK129" i="2"/>
  <c r="DK128" i="2"/>
  <c r="DK127" i="2"/>
  <c r="DK126" i="2"/>
  <c r="DK125" i="2"/>
  <c r="DK124" i="2"/>
  <c r="DK123" i="2"/>
  <c r="DK122" i="2"/>
  <c r="DK121" i="2"/>
  <c r="DK120" i="2"/>
  <c r="DK119" i="2"/>
  <c r="DK118" i="2"/>
  <c r="DK117" i="2"/>
  <c r="DK116" i="2"/>
  <c r="DK115" i="2"/>
  <c r="DK114" i="2"/>
  <c r="DK113" i="2"/>
  <c r="DK112" i="2"/>
  <c r="DK111" i="2"/>
  <c r="DK110" i="2"/>
  <c r="DK109" i="2"/>
  <c r="DK108" i="2"/>
  <c r="DK107" i="2"/>
  <c r="DK106" i="2"/>
  <c r="DK105" i="2"/>
  <c r="DK104" i="2"/>
  <c r="DK103" i="2"/>
  <c r="DK102" i="2"/>
  <c r="DK101" i="2"/>
  <c r="DK100" i="2"/>
  <c r="DK99" i="2"/>
  <c r="DK98" i="2"/>
  <c r="DK97" i="2"/>
  <c r="DK96" i="2"/>
  <c r="DK95" i="2"/>
  <c r="DK94" i="2"/>
  <c r="DK93" i="2"/>
  <c r="DK92" i="2"/>
  <c r="DK91" i="2"/>
  <c r="DK90" i="2"/>
  <c r="DK89" i="2"/>
  <c r="DK88" i="2"/>
  <c r="DK87" i="2"/>
  <c r="DK86" i="2"/>
  <c r="DK85" i="2"/>
  <c r="DK84" i="2"/>
  <c r="DK83" i="2"/>
  <c r="DK82" i="2"/>
  <c r="DK81" i="2"/>
  <c r="DK80" i="2"/>
  <c r="DK79" i="2"/>
  <c r="DK78" i="2"/>
  <c r="DK77" i="2"/>
  <c r="DK76" i="2"/>
  <c r="DK75" i="2"/>
  <c r="DK74" i="2"/>
  <c r="DK73" i="2"/>
  <c r="DK72" i="2"/>
  <c r="DK71" i="2"/>
  <c r="DK70" i="2"/>
  <c r="DK69" i="2"/>
  <c r="DK68" i="2"/>
  <c r="DK67" i="2"/>
  <c r="DK66" i="2"/>
  <c r="DK65" i="2"/>
  <c r="DK64" i="2"/>
  <c r="DK63" i="2"/>
  <c r="DK62" i="2"/>
  <c r="DK61" i="2"/>
  <c r="DK60" i="2"/>
  <c r="DK59" i="2"/>
  <c r="DK58" i="2"/>
  <c r="DK57" i="2"/>
  <c r="DK56" i="2"/>
  <c r="DK55" i="2"/>
  <c r="DK54" i="2"/>
  <c r="DK53" i="2"/>
  <c r="DK52" i="2"/>
  <c r="DK51" i="2"/>
  <c r="DK50" i="2"/>
  <c r="DK49" i="2"/>
  <c r="DK48" i="2"/>
  <c r="DK47" i="2"/>
  <c r="DK46" i="2"/>
  <c r="DK45" i="2"/>
  <c r="DK44" i="2"/>
  <c r="DK43" i="2"/>
  <c r="DK42" i="2"/>
  <c r="DK41" i="2"/>
  <c r="DK40" i="2"/>
  <c r="DK39" i="2"/>
  <c r="DK38" i="2"/>
  <c r="DK37" i="2"/>
  <c r="DK36" i="2"/>
  <c r="DK35" i="2"/>
  <c r="DK34" i="2"/>
  <c r="DK33" i="2"/>
  <c r="DK32" i="2"/>
  <c r="DK31" i="2"/>
  <c r="DK30" i="2"/>
  <c r="DK29" i="2"/>
  <c r="DK28" i="2"/>
  <c r="DK27" i="2"/>
  <c r="DK26" i="2"/>
  <c r="DK25" i="2"/>
  <c r="DK24" i="2"/>
  <c r="DK23" i="2"/>
  <c r="DK22" i="2"/>
  <c r="DK21" i="2"/>
  <c r="DK20" i="2"/>
  <c r="DK19" i="2"/>
  <c r="DK18" i="2"/>
  <c r="DK17" i="2"/>
  <c r="DK16" i="2"/>
  <c r="DK15" i="2"/>
  <c r="DK14" i="2"/>
  <c r="DK13" i="2"/>
  <c r="DK12" i="2"/>
  <c r="DK11" i="2"/>
  <c r="DK10" i="2"/>
  <c r="DI293" i="2"/>
  <c r="DI292" i="2"/>
  <c r="DI291" i="2"/>
  <c r="DI290" i="2"/>
  <c r="DI289" i="2"/>
  <c r="DI288" i="2"/>
  <c r="DI287" i="2"/>
  <c r="DI286" i="2"/>
  <c r="DI285" i="2"/>
  <c r="DI284" i="2"/>
  <c r="DI283" i="2"/>
  <c r="DI282" i="2"/>
  <c r="DI281" i="2"/>
  <c r="DI279" i="2"/>
  <c r="DI278" i="2"/>
  <c r="DI277" i="2"/>
  <c r="DI276" i="2"/>
  <c r="DI275" i="2"/>
  <c r="DI274" i="2"/>
  <c r="DI273" i="2"/>
  <c r="DI272" i="2"/>
  <c r="DI271" i="2"/>
  <c r="DI270" i="2"/>
  <c r="DI269" i="2"/>
  <c r="DI268" i="2"/>
  <c r="DI267" i="2"/>
  <c r="DI266" i="2"/>
  <c r="DI265" i="2"/>
  <c r="DI264" i="2"/>
  <c r="DI263" i="2"/>
  <c r="DI262" i="2"/>
  <c r="DI261" i="2"/>
  <c r="DI260" i="2"/>
  <c r="DI259" i="2"/>
  <c r="DI258" i="2"/>
  <c r="DI257" i="2"/>
  <c r="DI256" i="2"/>
  <c r="DI255" i="2"/>
  <c r="DI254" i="2"/>
  <c r="DI253" i="2"/>
  <c r="DI252" i="2"/>
  <c r="DI251" i="2"/>
  <c r="DI250" i="2"/>
  <c r="DI249" i="2"/>
  <c r="DI248" i="2"/>
  <c r="DI247" i="2"/>
  <c r="DI246" i="2"/>
  <c r="DI245" i="2"/>
  <c r="DI244" i="2"/>
  <c r="DI243" i="2"/>
  <c r="DI242" i="2"/>
  <c r="DI241" i="2"/>
  <c r="DI240" i="2"/>
  <c r="DI239" i="2"/>
  <c r="DI238" i="2"/>
  <c r="DI237" i="2"/>
  <c r="DI236" i="2"/>
  <c r="DI235" i="2"/>
  <c r="DI234" i="2"/>
  <c r="DI233" i="2"/>
  <c r="DI232" i="2"/>
  <c r="DI231" i="2"/>
  <c r="DI230" i="2"/>
  <c r="DI229" i="2"/>
  <c r="DI228" i="2"/>
  <c r="DI227" i="2"/>
  <c r="DI226" i="2"/>
  <c r="DI225" i="2"/>
  <c r="DI224" i="2"/>
  <c r="DI223" i="2"/>
  <c r="DI222" i="2"/>
  <c r="DI221" i="2"/>
  <c r="DI220" i="2"/>
  <c r="DI219" i="2"/>
  <c r="DI218" i="2"/>
  <c r="DI217" i="2"/>
  <c r="DI216" i="2"/>
  <c r="DI215" i="2"/>
  <c r="DI214" i="2"/>
  <c r="DI213" i="2"/>
  <c r="DI212" i="2"/>
  <c r="DI211" i="2"/>
  <c r="DI210" i="2"/>
  <c r="DI209" i="2"/>
  <c r="DI208" i="2"/>
  <c r="DI207" i="2"/>
  <c r="DI206" i="2"/>
  <c r="DI205" i="2"/>
  <c r="DI204" i="2"/>
  <c r="DI203" i="2"/>
  <c r="DI202" i="2"/>
  <c r="DI201" i="2"/>
  <c r="DI200" i="2"/>
  <c r="DI199" i="2"/>
  <c r="DI198" i="2"/>
  <c r="DI197" i="2"/>
  <c r="DI196" i="2"/>
  <c r="DI195" i="2"/>
  <c r="DI194" i="2"/>
  <c r="DI193" i="2"/>
  <c r="DI192" i="2"/>
  <c r="DI191" i="2"/>
  <c r="DI190" i="2"/>
  <c r="DI189" i="2"/>
  <c r="DI188" i="2"/>
  <c r="DI187" i="2"/>
  <c r="DI186" i="2"/>
  <c r="DI185" i="2"/>
  <c r="DI184" i="2"/>
  <c r="DI183" i="2"/>
  <c r="DI182" i="2"/>
  <c r="DI181" i="2"/>
  <c r="DI180" i="2"/>
  <c r="DI179" i="2"/>
  <c r="DI178" i="2"/>
  <c r="DI177" i="2"/>
  <c r="DI176" i="2"/>
  <c r="DI175" i="2"/>
  <c r="DI174" i="2"/>
  <c r="DI173" i="2"/>
  <c r="DI172" i="2"/>
  <c r="DI171" i="2"/>
  <c r="DI170" i="2"/>
  <c r="DI169" i="2"/>
  <c r="DI168" i="2"/>
  <c r="DI167" i="2"/>
  <c r="DI166" i="2"/>
  <c r="DI165" i="2"/>
  <c r="DI164" i="2"/>
  <c r="DI163" i="2"/>
  <c r="DI162" i="2"/>
  <c r="DI161" i="2"/>
  <c r="DI160" i="2"/>
  <c r="DI159" i="2"/>
  <c r="DI158" i="2"/>
  <c r="DI157" i="2"/>
  <c r="DI156" i="2"/>
  <c r="DI155" i="2"/>
  <c r="DI154" i="2"/>
  <c r="DI153" i="2"/>
  <c r="DI152" i="2"/>
  <c r="DI151" i="2"/>
  <c r="DI150" i="2"/>
  <c r="DI149" i="2"/>
  <c r="DI148" i="2"/>
  <c r="DI147" i="2"/>
  <c r="DI146" i="2"/>
  <c r="DI145" i="2"/>
  <c r="DI144" i="2"/>
  <c r="DI143" i="2"/>
  <c r="DI142" i="2"/>
  <c r="DI141" i="2"/>
  <c r="DI140" i="2"/>
  <c r="DI139" i="2"/>
  <c r="DI138" i="2"/>
  <c r="DI137" i="2"/>
  <c r="DI136" i="2"/>
  <c r="DI135" i="2"/>
  <c r="DI134" i="2"/>
  <c r="DI133" i="2"/>
  <c r="DI132" i="2"/>
  <c r="DI131" i="2"/>
  <c r="DI130" i="2"/>
  <c r="DI129" i="2"/>
  <c r="DI128" i="2"/>
  <c r="DI127" i="2"/>
  <c r="DI126" i="2"/>
  <c r="DI125" i="2"/>
  <c r="DI124" i="2"/>
  <c r="DI123" i="2"/>
  <c r="DI122" i="2"/>
  <c r="DI121" i="2"/>
  <c r="DI120" i="2"/>
  <c r="DI119" i="2"/>
  <c r="DI118" i="2"/>
  <c r="DI117" i="2"/>
  <c r="DI116" i="2"/>
  <c r="DI115" i="2"/>
  <c r="DI114" i="2"/>
  <c r="DI113" i="2"/>
  <c r="DI112" i="2"/>
  <c r="DI111" i="2"/>
  <c r="DI110" i="2"/>
  <c r="DI109" i="2"/>
  <c r="DI108" i="2"/>
  <c r="DI107" i="2"/>
  <c r="DI106" i="2"/>
  <c r="DI105" i="2"/>
  <c r="DI104" i="2"/>
  <c r="DI103" i="2"/>
  <c r="DI102" i="2"/>
  <c r="DI101" i="2"/>
  <c r="DI100" i="2"/>
  <c r="DI99" i="2"/>
  <c r="DI98" i="2"/>
  <c r="DI97" i="2"/>
  <c r="DI96" i="2"/>
  <c r="DI95" i="2"/>
  <c r="DI94" i="2"/>
  <c r="DI93" i="2"/>
  <c r="DI92" i="2"/>
  <c r="DI91" i="2"/>
  <c r="DI90" i="2"/>
  <c r="DI89" i="2"/>
  <c r="DI88" i="2"/>
  <c r="DI87" i="2"/>
  <c r="DI86" i="2"/>
  <c r="DI85" i="2"/>
  <c r="DI84" i="2"/>
  <c r="DI83" i="2"/>
  <c r="DI82" i="2"/>
  <c r="DI81" i="2"/>
  <c r="DI80" i="2"/>
  <c r="DI79" i="2"/>
  <c r="DI78" i="2"/>
  <c r="DI77" i="2"/>
  <c r="DI76" i="2"/>
  <c r="DI75" i="2"/>
  <c r="DI74" i="2"/>
  <c r="DI73" i="2"/>
  <c r="DI72" i="2"/>
  <c r="DI71" i="2"/>
  <c r="DI70" i="2"/>
  <c r="DI69" i="2"/>
  <c r="DI68" i="2"/>
  <c r="DI67" i="2"/>
  <c r="DI66" i="2"/>
  <c r="DI65" i="2"/>
  <c r="DI64" i="2"/>
  <c r="DI63" i="2"/>
  <c r="DI62" i="2"/>
  <c r="DI61" i="2"/>
  <c r="DI60" i="2"/>
  <c r="DI59" i="2"/>
  <c r="DI58" i="2"/>
  <c r="DI57" i="2"/>
  <c r="DI56" i="2"/>
  <c r="DI55" i="2"/>
  <c r="DI54" i="2"/>
  <c r="DI53" i="2"/>
  <c r="DI52" i="2"/>
  <c r="DI51" i="2"/>
  <c r="DI50" i="2"/>
  <c r="DI49" i="2"/>
  <c r="DI48" i="2"/>
  <c r="DI47" i="2"/>
  <c r="DI46" i="2"/>
  <c r="DI45" i="2"/>
  <c r="DI44" i="2"/>
  <c r="DI43" i="2"/>
  <c r="DI42" i="2"/>
  <c r="DI41" i="2"/>
  <c r="DI40" i="2"/>
  <c r="DI39" i="2"/>
  <c r="DI38" i="2"/>
  <c r="DI37" i="2"/>
  <c r="DI36" i="2"/>
  <c r="DI35" i="2"/>
  <c r="DI34" i="2"/>
  <c r="DI33" i="2"/>
  <c r="DI32" i="2"/>
  <c r="DI31" i="2"/>
  <c r="DI30" i="2"/>
  <c r="DI29" i="2"/>
  <c r="DI28" i="2"/>
  <c r="DI27" i="2"/>
  <c r="DI26" i="2"/>
  <c r="DI25" i="2"/>
  <c r="DI24" i="2"/>
  <c r="DI23" i="2"/>
  <c r="DI22" i="2"/>
  <c r="DI21" i="2"/>
  <c r="DI20" i="2"/>
  <c r="DI19" i="2"/>
  <c r="DI18" i="2"/>
  <c r="DI17" i="2"/>
  <c r="DI16" i="2"/>
  <c r="DI15" i="2"/>
  <c r="DI14" i="2"/>
  <c r="DI13" i="2"/>
  <c r="DI12" i="2"/>
  <c r="DI11" i="2"/>
  <c r="DI10" i="2"/>
  <c r="DG293" i="2"/>
  <c r="DG292" i="2"/>
  <c r="DG291" i="2"/>
  <c r="DG290" i="2"/>
  <c r="DG289" i="2"/>
  <c r="DG288" i="2"/>
  <c r="DG287" i="2"/>
  <c r="DG286" i="2"/>
  <c r="DG285" i="2"/>
  <c r="DG284" i="2"/>
  <c r="DG283" i="2"/>
  <c r="DG282" i="2"/>
  <c r="DG281" i="2"/>
  <c r="DG279" i="2"/>
  <c r="DG278" i="2"/>
  <c r="DG277" i="2"/>
  <c r="DG276" i="2"/>
  <c r="DG275" i="2"/>
  <c r="DG274" i="2"/>
  <c r="DG273" i="2"/>
  <c r="DG272" i="2"/>
  <c r="DG271" i="2"/>
  <c r="DG270" i="2"/>
  <c r="DG269" i="2"/>
  <c r="DG268" i="2"/>
  <c r="DG267" i="2"/>
  <c r="DG266" i="2"/>
  <c r="DG265" i="2"/>
  <c r="DG264" i="2"/>
  <c r="DG263" i="2"/>
  <c r="DG262" i="2"/>
  <c r="DG261" i="2"/>
  <c r="DG260" i="2"/>
  <c r="DG259" i="2"/>
  <c r="DG258" i="2"/>
  <c r="DG257" i="2"/>
  <c r="DG256" i="2"/>
  <c r="DG255" i="2"/>
  <c r="DG254" i="2"/>
  <c r="DG253" i="2"/>
  <c r="DG252" i="2"/>
  <c r="DG251" i="2"/>
  <c r="DG250" i="2"/>
  <c r="DG249" i="2"/>
  <c r="DG248" i="2"/>
  <c r="DG247" i="2"/>
  <c r="DG246" i="2"/>
  <c r="DG245" i="2"/>
  <c r="DG244" i="2"/>
  <c r="DG243" i="2"/>
  <c r="DG242" i="2"/>
  <c r="DG241" i="2"/>
  <c r="DG240" i="2"/>
  <c r="DG239" i="2"/>
  <c r="DG238" i="2"/>
  <c r="DG237" i="2"/>
  <c r="DG236" i="2"/>
  <c r="DG235" i="2"/>
  <c r="DG234" i="2"/>
  <c r="DG233" i="2"/>
  <c r="DG232" i="2"/>
  <c r="DG231" i="2"/>
  <c r="DG230" i="2"/>
  <c r="DG229" i="2"/>
  <c r="DG228" i="2"/>
  <c r="DG227" i="2"/>
  <c r="DG226" i="2"/>
  <c r="DG225" i="2"/>
  <c r="DG224" i="2"/>
  <c r="DG223" i="2"/>
  <c r="DG222" i="2"/>
  <c r="DG221" i="2"/>
  <c r="DG220" i="2"/>
  <c r="DG219" i="2"/>
  <c r="DG218" i="2"/>
  <c r="DG217" i="2"/>
  <c r="DG216" i="2"/>
  <c r="DG215" i="2"/>
  <c r="DG214" i="2"/>
  <c r="DG213" i="2"/>
  <c r="DG212" i="2"/>
  <c r="DG211" i="2"/>
  <c r="DG210" i="2"/>
  <c r="DG209" i="2"/>
  <c r="DG208" i="2"/>
  <c r="DG207" i="2"/>
  <c r="DG206" i="2"/>
  <c r="DG205" i="2"/>
  <c r="DG204" i="2"/>
  <c r="DG203" i="2"/>
  <c r="DG202" i="2"/>
  <c r="DG201" i="2"/>
  <c r="DG200" i="2"/>
  <c r="DG199" i="2"/>
  <c r="DG198" i="2"/>
  <c r="DG197" i="2"/>
  <c r="DG196" i="2"/>
  <c r="DG195" i="2"/>
  <c r="DG194" i="2"/>
  <c r="DG193" i="2"/>
  <c r="DG192" i="2"/>
  <c r="DG191" i="2"/>
  <c r="DG190" i="2"/>
  <c r="DG189" i="2"/>
  <c r="DG188" i="2"/>
  <c r="DG187" i="2"/>
  <c r="DG186" i="2"/>
  <c r="DG185" i="2"/>
  <c r="DG184" i="2"/>
  <c r="DG183" i="2"/>
  <c r="DG182" i="2"/>
  <c r="DG181" i="2"/>
  <c r="DG180" i="2"/>
  <c r="DG179" i="2"/>
  <c r="DG178" i="2"/>
  <c r="DG177" i="2"/>
  <c r="DG176" i="2"/>
  <c r="DG175" i="2"/>
  <c r="DG174" i="2"/>
  <c r="DG173" i="2"/>
  <c r="DG172" i="2"/>
  <c r="DG171" i="2"/>
  <c r="DG170" i="2"/>
  <c r="DG169" i="2"/>
  <c r="DG168" i="2"/>
  <c r="DG167" i="2"/>
  <c r="DG166" i="2"/>
  <c r="DG165" i="2"/>
  <c r="DG164" i="2"/>
  <c r="DG163" i="2"/>
  <c r="DG162" i="2"/>
  <c r="DG161" i="2"/>
  <c r="DG160" i="2"/>
  <c r="DG159" i="2"/>
  <c r="DG158" i="2"/>
  <c r="DG157" i="2"/>
  <c r="DG156" i="2"/>
  <c r="DG155" i="2"/>
  <c r="DG154" i="2"/>
  <c r="DG153" i="2"/>
  <c r="DG152" i="2"/>
  <c r="DG151" i="2"/>
  <c r="DG150" i="2"/>
  <c r="DG149" i="2"/>
  <c r="DG148" i="2"/>
  <c r="DG147" i="2"/>
  <c r="DG146" i="2"/>
  <c r="DG145" i="2"/>
  <c r="DG144" i="2"/>
  <c r="DG143" i="2"/>
  <c r="DG142" i="2"/>
  <c r="DG141" i="2"/>
  <c r="DG140" i="2"/>
  <c r="DG139" i="2"/>
  <c r="DG138" i="2"/>
  <c r="DG137" i="2"/>
  <c r="DG136" i="2"/>
  <c r="DG135" i="2"/>
  <c r="DG134" i="2"/>
  <c r="DG133" i="2"/>
  <c r="DG132" i="2"/>
  <c r="DG131" i="2"/>
  <c r="DG130" i="2"/>
  <c r="DG129" i="2"/>
  <c r="DG128" i="2"/>
  <c r="DG127" i="2"/>
  <c r="DG126" i="2"/>
  <c r="DG125" i="2"/>
  <c r="DG124" i="2"/>
  <c r="DG123" i="2"/>
  <c r="DG122" i="2"/>
  <c r="DG121" i="2"/>
  <c r="DG120" i="2"/>
  <c r="DG119" i="2"/>
  <c r="DG118" i="2"/>
  <c r="DG117" i="2"/>
  <c r="DG116" i="2"/>
  <c r="DG115" i="2"/>
  <c r="DG114" i="2"/>
  <c r="DG113" i="2"/>
  <c r="DG112" i="2"/>
  <c r="DG111" i="2"/>
  <c r="DG110" i="2"/>
  <c r="DG109" i="2"/>
  <c r="DG108" i="2"/>
  <c r="DG107" i="2"/>
  <c r="DG106" i="2"/>
  <c r="DG105" i="2"/>
  <c r="DG104" i="2"/>
  <c r="DG103" i="2"/>
  <c r="DG102" i="2"/>
  <c r="DG101" i="2"/>
  <c r="DG100" i="2"/>
  <c r="DG99" i="2"/>
  <c r="DG98" i="2"/>
  <c r="DG97" i="2"/>
  <c r="DG96" i="2"/>
  <c r="DG95" i="2"/>
  <c r="DG94" i="2"/>
  <c r="DG93" i="2"/>
  <c r="DG92" i="2"/>
  <c r="DG91" i="2"/>
  <c r="DG90" i="2"/>
  <c r="DG89" i="2"/>
  <c r="DG88" i="2"/>
  <c r="DG87" i="2"/>
  <c r="DG86" i="2"/>
  <c r="DG85" i="2"/>
  <c r="DG84" i="2"/>
  <c r="DG83" i="2"/>
  <c r="DG82" i="2"/>
  <c r="DG81" i="2"/>
  <c r="DG80" i="2"/>
  <c r="DG79" i="2"/>
  <c r="DG78" i="2"/>
  <c r="DG77" i="2"/>
  <c r="DG76" i="2"/>
  <c r="DG75" i="2"/>
  <c r="DG74" i="2"/>
  <c r="DG73" i="2"/>
  <c r="DG72" i="2"/>
  <c r="DG71" i="2"/>
  <c r="DG70" i="2"/>
  <c r="DG69" i="2"/>
  <c r="DG68" i="2"/>
  <c r="DG67" i="2"/>
  <c r="DG66" i="2"/>
  <c r="DG65" i="2"/>
  <c r="DG64" i="2"/>
  <c r="DG63" i="2"/>
  <c r="DG62" i="2"/>
  <c r="DG61" i="2"/>
  <c r="DG60" i="2"/>
  <c r="DG59" i="2"/>
  <c r="DG58" i="2"/>
  <c r="DG57" i="2"/>
  <c r="DG56" i="2"/>
  <c r="DG55" i="2"/>
  <c r="DG54" i="2"/>
  <c r="DG52" i="2"/>
  <c r="DG51" i="2"/>
  <c r="DG50" i="2"/>
  <c r="DG49" i="2"/>
  <c r="DG48" i="2"/>
  <c r="DG47" i="2"/>
  <c r="DG46" i="2"/>
  <c r="DG45" i="2"/>
  <c r="DG44" i="2"/>
  <c r="DG43" i="2"/>
  <c r="DG42" i="2"/>
  <c r="DG41" i="2"/>
  <c r="DG40" i="2"/>
  <c r="DG39" i="2"/>
  <c r="DG38" i="2"/>
  <c r="DG37" i="2"/>
  <c r="DG36" i="2"/>
  <c r="DG35" i="2"/>
  <c r="DG34" i="2"/>
  <c r="DG33" i="2"/>
  <c r="DG32" i="2"/>
  <c r="DG31" i="2"/>
  <c r="DG30" i="2"/>
  <c r="DG29" i="2"/>
  <c r="DG28" i="2"/>
  <c r="DG27" i="2"/>
  <c r="DG26" i="2"/>
  <c r="DG25" i="2"/>
  <c r="DG24" i="2"/>
  <c r="DG23" i="2"/>
  <c r="DG22" i="2"/>
  <c r="DG21" i="2"/>
  <c r="DG20" i="2"/>
  <c r="DG19" i="2"/>
  <c r="DG18" i="2"/>
  <c r="DG17" i="2"/>
  <c r="DG16" i="2"/>
  <c r="DG15" i="2"/>
  <c r="DG14" i="2"/>
  <c r="DG13" i="2"/>
  <c r="DG12" i="2"/>
  <c r="DG11" i="2"/>
  <c r="DG10" i="2"/>
  <c r="DE293" i="2"/>
  <c r="DE291" i="2"/>
  <c r="DE290" i="2"/>
  <c r="DE289" i="2"/>
  <c r="DE288" i="2"/>
  <c r="DE287" i="2"/>
  <c r="DE286" i="2"/>
  <c r="DE285" i="2"/>
  <c r="DE284" i="2"/>
  <c r="DE283" i="2"/>
  <c r="DE282" i="2"/>
  <c r="DE281" i="2"/>
  <c r="DE279" i="2"/>
  <c r="DE278" i="2"/>
  <c r="DE277" i="2"/>
  <c r="DE276" i="2"/>
  <c r="DE275" i="2"/>
  <c r="DE274" i="2"/>
  <c r="DE273" i="2"/>
  <c r="DE272" i="2"/>
  <c r="DE271" i="2"/>
  <c r="DE270" i="2"/>
  <c r="DE269" i="2"/>
  <c r="DE268" i="2"/>
  <c r="DE267" i="2"/>
  <c r="DE266" i="2"/>
  <c r="DE265" i="2"/>
  <c r="DE264" i="2"/>
  <c r="DE263" i="2"/>
  <c r="DE262" i="2"/>
  <c r="DE261" i="2"/>
  <c r="DE260" i="2"/>
  <c r="DE259" i="2"/>
  <c r="DE258" i="2"/>
  <c r="DE257" i="2"/>
  <c r="DE256" i="2"/>
  <c r="DE255" i="2"/>
  <c r="DE254" i="2"/>
  <c r="DE253" i="2"/>
  <c r="DE252" i="2"/>
  <c r="DE251" i="2"/>
  <c r="DE250" i="2"/>
  <c r="DE249" i="2"/>
  <c r="DE248" i="2"/>
  <c r="DE247" i="2"/>
  <c r="DE246" i="2"/>
  <c r="DE245" i="2"/>
  <c r="DE244" i="2"/>
  <c r="DE243" i="2"/>
  <c r="DE242" i="2"/>
  <c r="DE241" i="2"/>
  <c r="DE240" i="2"/>
  <c r="DE239" i="2"/>
  <c r="DE238" i="2"/>
  <c r="DE237" i="2"/>
  <c r="DE236" i="2"/>
  <c r="DE235" i="2"/>
  <c r="DE234" i="2"/>
  <c r="DE232" i="2"/>
  <c r="DE230" i="2"/>
  <c r="DE229" i="2"/>
  <c r="DE228" i="2"/>
  <c r="DE227" i="2"/>
  <c r="DE226" i="2"/>
  <c r="DE225" i="2"/>
  <c r="DE224" i="2"/>
  <c r="DE223" i="2"/>
  <c r="DE222" i="2"/>
  <c r="DE221" i="2"/>
  <c r="DE220" i="2"/>
  <c r="DE219" i="2"/>
  <c r="DE218" i="2"/>
  <c r="DE217" i="2"/>
  <c r="DE216" i="2"/>
  <c r="DE215" i="2"/>
  <c r="DE214" i="2"/>
  <c r="DE213" i="2"/>
  <c r="DE211" i="2"/>
  <c r="DE210" i="2"/>
  <c r="DE209" i="2"/>
  <c r="DE208" i="2"/>
  <c r="DE207" i="2"/>
  <c r="DE206" i="2"/>
  <c r="DE205" i="2"/>
  <c r="DE204" i="2"/>
  <c r="DE203" i="2"/>
  <c r="DE202" i="2"/>
  <c r="DE201" i="2"/>
  <c r="DE200" i="2"/>
  <c r="DE199" i="2"/>
  <c r="DE198" i="2"/>
  <c r="DE197" i="2"/>
  <c r="DE196" i="2"/>
  <c r="DE195" i="2"/>
  <c r="DE194" i="2"/>
  <c r="DE193" i="2"/>
  <c r="DE192" i="2"/>
  <c r="DE191" i="2"/>
  <c r="DE190" i="2"/>
  <c r="DE189" i="2"/>
  <c r="DE188" i="2"/>
  <c r="DE187" i="2"/>
  <c r="DE186" i="2"/>
  <c r="DE185" i="2"/>
  <c r="DE184" i="2"/>
  <c r="DE183" i="2"/>
  <c r="DE182" i="2"/>
  <c r="DE181" i="2"/>
  <c r="DE180" i="2"/>
  <c r="DE179" i="2"/>
  <c r="DE178" i="2"/>
  <c r="DE177" i="2"/>
  <c r="DE176" i="2"/>
  <c r="DE175" i="2"/>
  <c r="DE174" i="2"/>
  <c r="DE173" i="2"/>
  <c r="DE172" i="2"/>
  <c r="DE171" i="2"/>
  <c r="DE170" i="2"/>
  <c r="DE169" i="2"/>
  <c r="DE168" i="2"/>
  <c r="DE167" i="2"/>
  <c r="DE166" i="2"/>
  <c r="DE165" i="2"/>
  <c r="DE164" i="2"/>
  <c r="DE163" i="2"/>
  <c r="DE162" i="2"/>
  <c r="DE161" i="2"/>
  <c r="DE160" i="2"/>
  <c r="DE159" i="2"/>
  <c r="DE158" i="2"/>
  <c r="DE157" i="2"/>
  <c r="DE156" i="2"/>
  <c r="DE155" i="2"/>
  <c r="DE154" i="2"/>
  <c r="DE153" i="2"/>
  <c r="DE152" i="2"/>
  <c r="DE151" i="2"/>
  <c r="DE150" i="2"/>
  <c r="DE149" i="2"/>
  <c r="DE148" i="2"/>
  <c r="DE147" i="2"/>
  <c r="DE146" i="2"/>
  <c r="DE145" i="2"/>
  <c r="DE144" i="2"/>
  <c r="DE143" i="2"/>
  <c r="DE142" i="2"/>
  <c r="DE141" i="2"/>
  <c r="DE140" i="2"/>
  <c r="DE139" i="2"/>
  <c r="DE138" i="2"/>
  <c r="DE137" i="2"/>
  <c r="DE136" i="2"/>
  <c r="DE135" i="2"/>
  <c r="DE134" i="2"/>
  <c r="DE133" i="2"/>
  <c r="DE132" i="2"/>
  <c r="DE131" i="2"/>
  <c r="DE130" i="2"/>
  <c r="DE129" i="2"/>
  <c r="DE128" i="2"/>
  <c r="DE127" i="2"/>
  <c r="DE126" i="2"/>
  <c r="DE125" i="2"/>
  <c r="DE124" i="2"/>
  <c r="DE123" i="2"/>
  <c r="DE122" i="2"/>
  <c r="DE121" i="2"/>
  <c r="DE120" i="2"/>
  <c r="DE119" i="2"/>
  <c r="DE118" i="2"/>
  <c r="DE117" i="2"/>
  <c r="DE116" i="2"/>
  <c r="DE115" i="2"/>
  <c r="DE114" i="2"/>
  <c r="DE113" i="2"/>
  <c r="DE112" i="2"/>
  <c r="DE111" i="2"/>
  <c r="DE110" i="2"/>
  <c r="DE109" i="2"/>
  <c r="DE108" i="2"/>
  <c r="DE107" i="2"/>
  <c r="DE106" i="2"/>
  <c r="DE105" i="2"/>
  <c r="DE104" i="2"/>
  <c r="DE103" i="2"/>
  <c r="DE102" i="2"/>
  <c r="DE101" i="2"/>
  <c r="DE100" i="2"/>
  <c r="DE99" i="2"/>
  <c r="DE98" i="2"/>
  <c r="DE97" i="2"/>
  <c r="DE96" i="2"/>
  <c r="DE94" i="2"/>
  <c r="DE93" i="2"/>
  <c r="DE92" i="2"/>
  <c r="DE91" i="2"/>
  <c r="DE90" i="2"/>
  <c r="DE89" i="2"/>
  <c r="DE88" i="2"/>
  <c r="DE87" i="2"/>
  <c r="DE86" i="2"/>
  <c r="DE85" i="2"/>
  <c r="DE84" i="2"/>
  <c r="DE83" i="2"/>
  <c r="DE82" i="2"/>
  <c r="DE81" i="2"/>
  <c r="DE80" i="2"/>
  <c r="DE79" i="2"/>
  <c r="DE78" i="2"/>
  <c r="DE77" i="2"/>
  <c r="DE76" i="2"/>
  <c r="DE75" i="2"/>
  <c r="DE74" i="2"/>
  <c r="DE73" i="2"/>
  <c r="DE72" i="2"/>
  <c r="DE71" i="2"/>
  <c r="DE70" i="2"/>
  <c r="DE69" i="2"/>
  <c r="DE68" i="2"/>
  <c r="DE67" i="2"/>
  <c r="DE66" i="2"/>
  <c r="DE65" i="2"/>
  <c r="DE64" i="2"/>
  <c r="DE63" i="2"/>
  <c r="DE62" i="2"/>
  <c r="DE61" i="2"/>
  <c r="DE60" i="2"/>
  <c r="DE59" i="2"/>
  <c r="DE58" i="2"/>
  <c r="DE57" i="2"/>
  <c r="DE56" i="2"/>
  <c r="DE54" i="2"/>
  <c r="DE52" i="2"/>
  <c r="DE51" i="2"/>
  <c r="DE50" i="2"/>
  <c r="DE49" i="2"/>
  <c r="DE48" i="2"/>
  <c r="DE47" i="2"/>
  <c r="DE46" i="2"/>
  <c r="DE45" i="2"/>
  <c r="DE44" i="2"/>
  <c r="DE43" i="2"/>
  <c r="DE42" i="2"/>
  <c r="DE41" i="2"/>
  <c r="DE40" i="2"/>
  <c r="DE39" i="2"/>
  <c r="DE38" i="2"/>
  <c r="DE37" i="2"/>
  <c r="DE36" i="2"/>
  <c r="DE35" i="2"/>
  <c r="DE34" i="2"/>
  <c r="DE33" i="2"/>
  <c r="DE32" i="2"/>
  <c r="DE31" i="2"/>
  <c r="DE30" i="2"/>
  <c r="DE29" i="2"/>
  <c r="DE28" i="2"/>
  <c r="DE27" i="2"/>
  <c r="DE26" i="2"/>
  <c r="DE25" i="2"/>
  <c r="DE24" i="2"/>
  <c r="DE23" i="2"/>
  <c r="DE22" i="2"/>
  <c r="DE21" i="2"/>
  <c r="DE20" i="2"/>
  <c r="DE19" i="2"/>
  <c r="DE18" i="2"/>
  <c r="DE17" i="2"/>
  <c r="DE16" i="2"/>
  <c r="DE15" i="2"/>
  <c r="DE14" i="2"/>
  <c r="DE13" i="2"/>
  <c r="DE12" i="2"/>
  <c r="DE11" i="2"/>
  <c r="DE10" i="2"/>
  <c r="DC293" i="2"/>
  <c r="DC291" i="2"/>
  <c r="DC290" i="2"/>
  <c r="DC289" i="2"/>
  <c r="DC288" i="2"/>
  <c r="DC287" i="2"/>
  <c r="DC285" i="2"/>
  <c r="DC284" i="2"/>
  <c r="DC283" i="2"/>
  <c r="DC282" i="2"/>
  <c r="DC281" i="2"/>
  <c r="DC279" i="2"/>
  <c r="DC278" i="2"/>
  <c r="DC277" i="2"/>
  <c r="DC276" i="2"/>
  <c r="DC275" i="2"/>
  <c r="DC274" i="2"/>
  <c r="DC272" i="2"/>
  <c r="DC271" i="2"/>
  <c r="DC270" i="2"/>
  <c r="DC269" i="2"/>
  <c r="DC268" i="2"/>
  <c r="DC267" i="2"/>
  <c r="DC265" i="2"/>
  <c r="DC264" i="2"/>
  <c r="DC263" i="2"/>
  <c r="DC262" i="2"/>
  <c r="DC261" i="2"/>
  <c r="DC260" i="2"/>
  <c r="DC259" i="2"/>
  <c r="DC258" i="2"/>
  <c r="DC257" i="2"/>
  <c r="DC256" i="2"/>
  <c r="DC255" i="2"/>
  <c r="DC254" i="2"/>
  <c r="DC250" i="2"/>
  <c r="DC249" i="2"/>
  <c r="DC247" i="2"/>
  <c r="DC246" i="2"/>
  <c r="DC245" i="2"/>
  <c r="DC244" i="2"/>
  <c r="DC243" i="2"/>
  <c r="DC242" i="2"/>
  <c r="DC241" i="2"/>
  <c r="DC240" i="2"/>
  <c r="DC239" i="2"/>
  <c r="DC237" i="2"/>
  <c r="DC236" i="2"/>
  <c r="DC235" i="2"/>
  <c r="DC234" i="2"/>
  <c r="DC232" i="2"/>
  <c r="DC230" i="2"/>
  <c r="DC229" i="2"/>
  <c r="DC228" i="2"/>
  <c r="DC227" i="2"/>
  <c r="DC226" i="2"/>
  <c r="DC225" i="2"/>
  <c r="DC224" i="2"/>
  <c r="DC223" i="2"/>
  <c r="DC222" i="2"/>
  <c r="DC221" i="2"/>
  <c r="DC220" i="2"/>
  <c r="DC219" i="2"/>
  <c r="DC218" i="2"/>
  <c r="DC217" i="2"/>
  <c r="DC216" i="2"/>
  <c r="DC215" i="2"/>
  <c r="DC214" i="2"/>
  <c r="DC213" i="2"/>
  <c r="DC210" i="2"/>
  <c r="DC207" i="2"/>
  <c r="DC206" i="2"/>
  <c r="DC205" i="2"/>
  <c r="DC204" i="2"/>
  <c r="DC203" i="2"/>
  <c r="DC202" i="2"/>
  <c r="DC201" i="2"/>
  <c r="DC200" i="2"/>
  <c r="DC199" i="2"/>
  <c r="DC198" i="2"/>
  <c r="DC197" i="2"/>
  <c r="DC196" i="2"/>
  <c r="DC195" i="2"/>
  <c r="DC194" i="2"/>
  <c r="DC193" i="2"/>
  <c r="DC192" i="2"/>
  <c r="DC191" i="2"/>
  <c r="DC190" i="2"/>
  <c r="DC189" i="2"/>
  <c r="DC188" i="2"/>
  <c r="DC187" i="2"/>
  <c r="DC186" i="2"/>
  <c r="DC185" i="2"/>
  <c r="DC184" i="2"/>
  <c r="DC183" i="2"/>
  <c r="DC182" i="2"/>
  <c r="DC181" i="2"/>
  <c r="DC180" i="2"/>
  <c r="DC179" i="2"/>
  <c r="DC178" i="2"/>
  <c r="DC177" i="2"/>
  <c r="DC176" i="2"/>
  <c r="DC175" i="2"/>
  <c r="DC174" i="2"/>
  <c r="DC173" i="2"/>
  <c r="DC172" i="2"/>
  <c r="DC171" i="2"/>
  <c r="DC170" i="2"/>
  <c r="DC169" i="2"/>
  <c r="DC168" i="2"/>
  <c r="DC167" i="2"/>
  <c r="DC166" i="2"/>
  <c r="DC165" i="2"/>
  <c r="DC164" i="2"/>
  <c r="DC163" i="2"/>
  <c r="DC162" i="2"/>
  <c r="DC161" i="2"/>
  <c r="DC160" i="2"/>
  <c r="DC159" i="2"/>
  <c r="DC158" i="2"/>
  <c r="DC157" i="2"/>
  <c r="DC156" i="2"/>
  <c r="DC155" i="2"/>
  <c r="DC154" i="2"/>
  <c r="DC153" i="2"/>
  <c r="DC152" i="2"/>
  <c r="DC151" i="2"/>
  <c r="DC150" i="2"/>
  <c r="DC149" i="2"/>
  <c r="DC148" i="2"/>
  <c r="DC147" i="2"/>
  <c r="DC146" i="2"/>
  <c r="DC145" i="2"/>
  <c r="DC144" i="2"/>
  <c r="DC143" i="2"/>
  <c r="DC142" i="2"/>
  <c r="DC141" i="2"/>
  <c r="DC140" i="2"/>
  <c r="DC139" i="2"/>
  <c r="DC138" i="2"/>
  <c r="DC137" i="2"/>
  <c r="DC136" i="2"/>
  <c r="DC135" i="2"/>
  <c r="DC133" i="2"/>
  <c r="DC132" i="2"/>
  <c r="DC131" i="2"/>
  <c r="DC130" i="2"/>
  <c r="DC129" i="2"/>
  <c r="DC128" i="2"/>
  <c r="DC127" i="2"/>
  <c r="DC126" i="2"/>
  <c r="DC124" i="2"/>
  <c r="DC123" i="2"/>
  <c r="DC122" i="2"/>
  <c r="DC121" i="2"/>
  <c r="DC120" i="2"/>
  <c r="DC119" i="2"/>
  <c r="DC118" i="2"/>
  <c r="DC117" i="2"/>
  <c r="DC116" i="2"/>
  <c r="DC115" i="2"/>
  <c r="DC114" i="2"/>
  <c r="DC113" i="2"/>
  <c r="DC112" i="2"/>
  <c r="DC111" i="2"/>
  <c r="DC110" i="2"/>
  <c r="DC109" i="2"/>
  <c r="DC108" i="2"/>
  <c r="DC105" i="2"/>
  <c r="DC104" i="2"/>
  <c r="DC103" i="2"/>
  <c r="DC102" i="2"/>
  <c r="DC100" i="2"/>
  <c r="DC99" i="2"/>
  <c r="DC98" i="2"/>
  <c r="DC97" i="2"/>
  <c r="DC96" i="2"/>
  <c r="DC94" i="2"/>
  <c r="DC93" i="2"/>
  <c r="DC92" i="2"/>
  <c r="DC91" i="2"/>
  <c r="DC90" i="2"/>
  <c r="DC89" i="2"/>
  <c r="DC88" i="2"/>
  <c r="DC87" i="2"/>
  <c r="DC86" i="2"/>
  <c r="DC84" i="2"/>
  <c r="DC83" i="2"/>
  <c r="DC82" i="2"/>
  <c r="DC81" i="2"/>
  <c r="DC80" i="2"/>
  <c r="DC79" i="2"/>
  <c r="DC78" i="2"/>
  <c r="DC77" i="2"/>
  <c r="DC76" i="2"/>
  <c r="DC75" i="2"/>
  <c r="DC74" i="2"/>
  <c r="DC73" i="2"/>
  <c r="DC72" i="2"/>
  <c r="DC71" i="2"/>
  <c r="DC69" i="2"/>
  <c r="DC68" i="2"/>
  <c r="DC67" i="2"/>
  <c r="DC66" i="2"/>
  <c r="DC65" i="2"/>
  <c r="DC64" i="2"/>
  <c r="DC63" i="2"/>
  <c r="DC61" i="2"/>
  <c r="DC60" i="2"/>
  <c r="DC59" i="2"/>
  <c r="DC57" i="2"/>
  <c r="DC56" i="2"/>
  <c r="DC54" i="2"/>
  <c r="DC52" i="2"/>
  <c r="DC51" i="2"/>
  <c r="DC50" i="2"/>
  <c r="DC49" i="2"/>
  <c r="DC48" i="2"/>
  <c r="DC47" i="2"/>
  <c r="DC46" i="2"/>
  <c r="DC45" i="2"/>
  <c r="DC44" i="2"/>
  <c r="DC43" i="2"/>
  <c r="DC42" i="2"/>
  <c r="DC41" i="2"/>
  <c r="DC40" i="2"/>
  <c r="DC39" i="2"/>
  <c r="DC38" i="2"/>
  <c r="DC37" i="2"/>
  <c r="DC36" i="2"/>
  <c r="DC35" i="2"/>
  <c r="DC34" i="2"/>
  <c r="DC33" i="2"/>
  <c r="DC32" i="2"/>
  <c r="DC31" i="2"/>
  <c r="DC30" i="2"/>
  <c r="DC29" i="2"/>
  <c r="DC28" i="2"/>
  <c r="DC27" i="2"/>
  <c r="DC26" i="2"/>
  <c r="DC25" i="2"/>
  <c r="DC24" i="2"/>
  <c r="DC23" i="2"/>
  <c r="DC22" i="2"/>
  <c r="DC21" i="2"/>
  <c r="DC20" i="2"/>
  <c r="DC19" i="2"/>
  <c r="DC18" i="2"/>
  <c r="DC17" i="2"/>
  <c r="DC16" i="2"/>
  <c r="DC15" i="2"/>
  <c r="DC14" i="2"/>
  <c r="DC13" i="2"/>
  <c r="DC12" i="2"/>
  <c r="DC11" i="2"/>
  <c r="DC10" i="2"/>
  <c r="DA293" i="2"/>
  <c r="DA291" i="2"/>
  <c r="DA290" i="2"/>
  <c r="DA289" i="2"/>
  <c r="DA288" i="2"/>
  <c r="DA286" i="2"/>
  <c r="DA285" i="2"/>
  <c r="DA284" i="2"/>
  <c r="DA283" i="2"/>
  <c r="DA281" i="2"/>
  <c r="DA279" i="2"/>
  <c r="DA278" i="2"/>
  <c r="DA275" i="2"/>
  <c r="DA274" i="2"/>
  <c r="DA271" i="2"/>
  <c r="DA270" i="2"/>
  <c r="DA269" i="2"/>
  <c r="DA268" i="2"/>
  <c r="DA265" i="2"/>
  <c r="DA264" i="2"/>
  <c r="DA263" i="2"/>
  <c r="DA262" i="2"/>
  <c r="DA261" i="2"/>
  <c r="DA260" i="2"/>
  <c r="DA259" i="2"/>
  <c r="DA258" i="2"/>
  <c r="DA257" i="2"/>
  <c r="DA256" i="2"/>
  <c r="DA255" i="2"/>
  <c r="DA254" i="2"/>
  <c r="DA251" i="2"/>
  <c r="DA250" i="2"/>
  <c r="DA249" i="2"/>
  <c r="DA247" i="2"/>
  <c r="DA246" i="2"/>
  <c r="DA245" i="2"/>
  <c r="DA244" i="2"/>
  <c r="DA243" i="2"/>
  <c r="DA242" i="2"/>
  <c r="DA241" i="2"/>
  <c r="DA240" i="2"/>
  <c r="DA239" i="2"/>
  <c r="DA237" i="2"/>
  <c r="DA236" i="2"/>
  <c r="DA232" i="2"/>
  <c r="DA229" i="2"/>
  <c r="DA228" i="2"/>
  <c r="DA227" i="2"/>
  <c r="DA226" i="2"/>
  <c r="DA225" i="2"/>
  <c r="DA224" i="2"/>
  <c r="DA223" i="2"/>
  <c r="DA220" i="2"/>
  <c r="DA219" i="2"/>
  <c r="DA218" i="2"/>
  <c r="DA217" i="2"/>
  <c r="DA216" i="2"/>
  <c r="DA215" i="2"/>
  <c r="DA214" i="2"/>
  <c r="DA213" i="2"/>
  <c r="DA210" i="2"/>
  <c r="DA207" i="2"/>
  <c r="DA206" i="2"/>
  <c r="DA205" i="2"/>
  <c r="DA204" i="2"/>
  <c r="DA203" i="2"/>
  <c r="DA201" i="2"/>
  <c r="DA200" i="2"/>
  <c r="DA199" i="2"/>
  <c r="DA198" i="2"/>
  <c r="DA197" i="2"/>
  <c r="DA196" i="2"/>
  <c r="DA195" i="2"/>
  <c r="DA194" i="2"/>
  <c r="DA193" i="2"/>
  <c r="DA192" i="2"/>
  <c r="DA191" i="2"/>
  <c r="DA190" i="2"/>
  <c r="DA189" i="2"/>
  <c r="DA188" i="2"/>
  <c r="DA187" i="2"/>
  <c r="DA186" i="2"/>
  <c r="DA185" i="2"/>
  <c r="DA184" i="2"/>
  <c r="DA183" i="2"/>
  <c r="DA182" i="2"/>
  <c r="DA181" i="2"/>
  <c r="DA180" i="2"/>
  <c r="DA179" i="2"/>
  <c r="DA178" i="2"/>
  <c r="DA177" i="2"/>
  <c r="DA176" i="2"/>
  <c r="DA175" i="2"/>
  <c r="DA174" i="2"/>
  <c r="DA173" i="2"/>
  <c r="DA172" i="2"/>
  <c r="DA171" i="2"/>
  <c r="DA170" i="2"/>
  <c r="DA169" i="2"/>
  <c r="DA168" i="2"/>
  <c r="DA167" i="2"/>
  <c r="DA166" i="2"/>
  <c r="DA165" i="2"/>
  <c r="DA164" i="2"/>
  <c r="DA163" i="2"/>
  <c r="DA162" i="2"/>
  <c r="DA161" i="2"/>
  <c r="DA160" i="2"/>
  <c r="DA159" i="2"/>
  <c r="DA158" i="2"/>
  <c r="DA157" i="2"/>
  <c r="DA156" i="2"/>
  <c r="DA155" i="2"/>
  <c r="DA154" i="2"/>
  <c r="DA153" i="2"/>
  <c r="DA152" i="2"/>
  <c r="DA151" i="2"/>
  <c r="DA150" i="2"/>
  <c r="DA149" i="2"/>
  <c r="DA148" i="2"/>
  <c r="DA147" i="2"/>
  <c r="DA146" i="2"/>
  <c r="DA145" i="2"/>
  <c r="DA144" i="2"/>
  <c r="DA143" i="2"/>
  <c r="DA142" i="2"/>
  <c r="DA141" i="2"/>
  <c r="DA140" i="2"/>
  <c r="DA139" i="2"/>
  <c r="DA137" i="2"/>
  <c r="DA136" i="2"/>
  <c r="DA135" i="2"/>
  <c r="DA133" i="2"/>
  <c r="DA132" i="2"/>
  <c r="DA131" i="2"/>
  <c r="DA130" i="2"/>
  <c r="DA129" i="2"/>
  <c r="DA127" i="2"/>
  <c r="DA126" i="2"/>
  <c r="DA123" i="2"/>
  <c r="DA122" i="2"/>
  <c r="DA120" i="2"/>
  <c r="DA119" i="2"/>
  <c r="DA118" i="2"/>
  <c r="DA117" i="2"/>
  <c r="DA116" i="2"/>
  <c r="DA114" i="2"/>
  <c r="DA113" i="2"/>
  <c r="DA112" i="2"/>
  <c r="DA111" i="2"/>
  <c r="DA110" i="2"/>
  <c r="DA108" i="2"/>
  <c r="DA104" i="2"/>
  <c r="DA103" i="2"/>
  <c r="DA102" i="2"/>
  <c r="DA100" i="2"/>
  <c r="DA99" i="2"/>
  <c r="DA98" i="2"/>
  <c r="DA97" i="2"/>
  <c r="DA94" i="2"/>
  <c r="DA93" i="2"/>
  <c r="DA92" i="2"/>
  <c r="DA91" i="2"/>
  <c r="DA90" i="2"/>
  <c r="DA89" i="2"/>
  <c r="DA87" i="2"/>
  <c r="DA84" i="2"/>
  <c r="DA83" i="2"/>
  <c r="DA82" i="2"/>
  <c r="DA81" i="2"/>
  <c r="DA80" i="2"/>
  <c r="DA79" i="2"/>
  <c r="DA77" i="2"/>
  <c r="DA76" i="2"/>
  <c r="DA73" i="2"/>
  <c r="DA72" i="2"/>
  <c r="DA71" i="2"/>
  <c r="DA69" i="2"/>
  <c r="DA68" i="2"/>
  <c r="DA65" i="2"/>
  <c r="DA64" i="2"/>
  <c r="DA63" i="2"/>
  <c r="DA61" i="2"/>
  <c r="DA59" i="2"/>
  <c r="DA57" i="2"/>
  <c r="DA54" i="2"/>
  <c r="DA52" i="2"/>
  <c r="DA51" i="2"/>
  <c r="DA50" i="2"/>
  <c r="DA48" i="2"/>
  <c r="DA46" i="2"/>
  <c r="DA45" i="2"/>
  <c r="DA44" i="2"/>
  <c r="DA43" i="2"/>
  <c r="DA42" i="2"/>
  <c r="DA41" i="2"/>
  <c r="DA40" i="2"/>
  <c r="DA39" i="2"/>
  <c r="DA38" i="2"/>
  <c r="DA37" i="2"/>
  <c r="DA36" i="2"/>
  <c r="DA35" i="2"/>
  <c r="DA34" i="2"/>
  <c r="DA33" i="2"/>
  <c r="DA32" i="2"/>
  <c r="DA31" i="2"/>
  <c r="DA30" i="2"/>
  <c r="DA29" i="2"/>
  <c r="DA28" i="2"/>
  <c r="DA27" i="2"/>
  <c r="DA26" i="2"/>
  <c r="DA25" i="2"/>
  <c r="DA24" i="2"/>
  <c r="DA23" i="2"/>
  <c r="DA22" i="2"/>
  <c r="DA21" i="2"/>
  <c r="DA20" i="2"/>
  <c r="DA19" i="2"/>
  <c r="DA17" i="2"/>
  <c r="DA16" i="2"/>
  <c r="DA15" i="2"/>
  <c r="DA14" i="2"/>
  <c r="DA13" i="2"/>
  <c r="DA12" i="2"/>
  <c r="DA11" i="2"/>
  <c r="DA10" i="2"/>
  <c r="CY293" i="2"/>
  <c r="CY291" i="2"/>
  <c r="CY290" i="2"/>
  <c r="CY289" i="2"/>
  <c r="CY288" i="2"/>
  <c r="CY287" i="2"/>
  <c r="CY285" i="2"/>
  <c r="CY281" i="2"/>
  <c r="CY279" i="2"/>
  <c r="CY278" i="2"/>
  <c r="CY276" i="2"/>
  <c r="CY275" i="2"/>
  <c r="CY274" i="2"/>
  <c r="CY264" i="2"/>
  <c r="CY259" i="2"/>
  <c r="CY258" i="2"/>
  <c r="CY257" i="2"/>
  <c r="CY256" i="2"/>
  <c r="CY250" i="2"/>
  <c r="CY246" i="2"/>
  <c r="CY245" i="2"/>
  <c r="CY243" i="2"/>
  <c r="CY242" i="2"/>
  <c r="CY241" i="2"/>
  <c r="CY240" i="2"/>
  <c r="CY236" i="2"/>
  <c r="CY229" i="2"/>
  <c r="CY228" i="2"/>
  <c r="CY227" i="2"/>
  <c r="CY226" i="2"/>
  <c r="CY224" i="2"/>
  <c r="CY223" i="2"/>
  <c r="CY220" i="2"/>
  <c r="CY216" i="2"/>
  <c r="CY215" i="2"/>
  <c r="CY214" i="2"/>
  <c r="CY213" i="2"/>
  <c r="CY210" i="2"/>
  <c r="CY207" i="2"/>
  <c r="CY205" i="2"/>
  <c r="CY203" i="2"/>
  <c r="CY201" i="2"/>
  <c r="CY200" i="2"/>
  <c r="CY199" i="2"/>
  <c r="CY198" i="2"/>
  <c r="CY197" i="2"/>
  <c r="CY196" i="2"/>
  <c r="CY195" i="2"/>
  <c r="CY194" i="2"/>
  <c r="CY193" i="2"/>
  <c r="CY192" i="2"/>
  <c r="CY191" i="2"/>
  <c r="CY190" i="2"/>
  <c r="CY189" i="2"/>
  <c r="CY188" i="2"/>
  <c r="CY187" i="2"/>
  <c r="CY186" i="2"/>
  <c r="CY185" i="2"/>
  <c r="CY184" i="2"/>
  <c r="CY183" i="2"/>
  <c r="CY182" i="2"/>
  <c r="CY181" i="2"/>
  <c r="CY180" i="2"/>
  <c r="CY179" i="2"/>
  <c r="CY177" i="2"/>
  <c r="CY176" i="2"/>
  <c r="CY175" i="2"/>
  <c r="CY174" i="2"/>
  <c r="CY173" i="2"/>
  <c r="CY172" i="2"/>
  <c r="CY171" i="2"/>
  <c r="CY170" i="2"/>
  <c r="CY169" i="2"/>
  <c r="CY168" i="2"/>
  <c r="CY167" i="2"/>
  <c r="CY165" i="2"/>
  <c r="CY164" i="2"/>
  <c r="CY163" i="2"/>
  <c r="CY162" i="2"/>
  <c r="CY161" i="2"/>
  <c r="CY160" i="2"/>
  <c r="CY159" i="2"/>
  <c r="CY158" i="2"/>
  <c r="CY157" i="2"/>
  <c r="CY156" i="2"/>
  <c r="CY155" i="2"/>
  <c r="CY154" i="2"/>
  <c r="CY153" i="2"/>
  <c r="CY151" i="2"/>
  <c r="CY150" i="2"/>
  <c r="CY149" i="2"/>
  <c r="CY148" i="2"/>
  <c r="CY146" i="2"/>
  <c r="CY145" i="2"/>
  <c r="CY144" i="2"/>
  <c r="CY143" i="2"/>
  <c r="CY142" i="2"/>
  <c r="CY141" i="2"/>
  <c r="CY140" i="2"/>
  <c r="CY139" i="2"/>
  <c r="CY137" i="2"/>
  <c r="CY135" i="2"/>
  <c r="CY133" i="2"/>
  <c r="CY132" i="2"/>
  <c r="CY131" i="2"/>
  <c r="CY129" i="2"/>
  <c r="CY127" i="2"/>
  <c r="CY122" i="2"/>
  <c r="CY119" i="2"/>
  <c r="CY116" i="2"/>
  <c r="CY114" i="2"/>
  <c r="CY113" i="2"/>
  <c r="CY111" i="2"/>
  <c r="CY108" i="2"/>
  <c r="CY104" i="2"/>
  <c r="CY102" i="2"/>
  <c r="CY99" i="2"/>
  <c r="CY97" i="2"/>
  <c r="CY93" i="2"/>
  <c r="CY89" i="2"/>
  <c r="CY84" i="2"/>
  <c r="CY83" i="2"/>
  <c r="CY82" i="2"/>
  <c r="CY81" i="2"/>
  <c r="CY80" i="2"/>
  <c r="CY77" i="2"/>
  <c r="CY73" i="2"/>
  <c r="CY71" i="2"/>
  <c r="CY69" i="2"/>
  <c r="CY68" i="2"/>
  <c r="CY65" i="2"/>
  <c r="CY61" i="2"/>
  <c r="CY59" i="2"/>
  <c r="CY54" i="2"/>
  <c r="CY51" i="2"/>
  <c r="CY49" i="2"/>
  <c r="CY46" i="2"/>
  <c r="CY45" i="2"/>
  <c r="CY44" i="2"/>
  <c r="CY43" i="2"/>
  <c r="CY42" i="2"/>
  <c r="CY41" i="2"/>
  <c r="CY40" i="2"/>
  <c r="CY39" i="2"/>
  <c r="CY38" i="2"/>
  <c r="CY37" i="2"/>
  <c r="CY36" i="2"/>
  <c r="CY35" i="2"/>
  <c r="CY34" i="2"/>
  <c r="CY33" i="2"/>
  <c r="CY32" i="2"/>
  <c r="CY31" i="2"/>
  <c r="CY30" i="2"/>
  <c r="CY29" i="2"/>
  <c r="CY28" i="2"/>
  <c r="CY27" i="2"/>
  <c r="CY26" i="2"/>
  <c r="CY25" i="2"/>
  <c r="CY24" i="2"/>
  <c r="CY23" i="2"/>
  <c r="CY22" i="2"/>
  <c r="CY21" i="2"/>
  <c r="CY20" i="2"/>
  <c r="CY19" i="2"/>
  <c r="CY17" i="2"/>
  <c r="CY16" i="2"/>
  <c r="CY15" i="2"/>
  <c r="CY14" i="2"/>
  <c r="CY13" i="2"/>
  <c r="CY12" i="2"/>
  <c r="CY11" i="2"/>
  <c r="CY10" i="2"/>
  <c r="CW293" i="2"/>
  <c r="CW291" i="2"/>
  <c r="CW290" i="2"/>
  <c r="CW289" i="2"/>
  <c r="CW288" i="2"/>
  <c r="CW281" i="2"/>
  <c r="CW274" i="2"/>
  <c r="CW269" i="2"/>
  <c r="CW261" i="2"/>
  <c r="CW259" i="2"/>
  <c r="CW258" i="2"/>
  <c r="CW245" i="2"/>
  <c r="CW241" i="2"/>
  <c r="CW240" i="2"/>
  <c r="CW237" i="2"/>
  <c r="CW228" i="2"/>
  <c r="CW211" i="2"/>
  <c r="CW201" i="2"/>
  <c r="CW200" i="2"/>
  <c r="CW199" i="2"/>
  <c r="CW198" i="2"/>
  <c r="CW197" i="2"/>
  <c r="CW196" i="2"/>
  <c r="CW195" i="2"/>
  <c r="CW194" i="2"/>
  <c r="CW193" i="2"/>
  <c r="CW192" i="2"/>
  <c r="CW191" i="2"/>
  <c r="CW190" i="2"/>
  <c r="CW189" i="2"/>
  <c r="CW187" i="2"/>
  <c r="CW186" i="2"/>
  <c r="CW185" i="2"/>
  <c r="CW184" i="2"/>
  <c r="CW183" i="2"/>
  <c r="CW182" i="2"/>
  <c r="CW181" i="2"/>
  <c r="CW180" i="2"/>
  <c r="CW179" i="2"/>
  <c r="CW177" i="2"/>
  <c r="CW176" i="2"/>
  <c r="CW175" i="2"/>
  <c r="CW174" i="2"/>
  <c r="CW173" i="2"/>
  <c r="CW172" i="2"/>
  <c r="CW170" i="2"/>
  <c r="CW169" i="2"/>
  <c r="CW168" i="2"/>
  <c r="CW167" i="2"/>
  <c r="CW165" i="2"/>
  <c r="CW164" i="2"/>
  <c r="CW163" i="2"/>
  <c r="CW162" i="2"/>
  <c r="CW161" i="2"/>
  <c r="CW160" i="2"/>
  <c r="CW159" i="2"/>
  <c r="CW158" i="2"/>
  <c r="CW156" i="2"/>
  <c r="CW155" i="2"/>
  <c r="CW154" i="2"/>
  <c r="CW153" i="2"/>
  <c r="CW151" i="2"/>
  <c r="CW150" i="2"/>
  <c r="CW149" i="2"/>
  <c r="CW148" i="2"/>
  <c r="CW147" i="2"/>
  <c r="CW146" i="2"/>
  <c r="CW145" i="2"/>
  <c r="CW143" i="2"/>
  <c r="CW142" i="2"/>
  <c r="CW141" i="2"/>
  <c r="CW140" i="2"/>
  <c r="CW139" i="2"/>
  <c r="CW137" i="2"/>
  <c r="CW135" i="2"/>
  <c r="CW133" i="2"/>
  <c r="CW132" i="2"/>
  <c r="CW119" i="2"/>
  <c r="CW111" i="2"/>
  <c r="CW108" i="2"/>
  <c r="CW100" i="2"/>
  <c r="CW99" i="2"/>
  <c r="CW93" i="2"/>
  <c r="CW88" i="2"/>
  <c r="CW61" i="2"/>
  <c r="CW51" i="2"/>
  <c r="CW49" i="2"/>
  <c r="CW45" i="2"/>
  <c r="CW43" i="2"/>
  <c r="CW42" i="2"/>
  <c r="CW41" i="2"/>
  <c r="CW40" i="2"/>
  <c r="CW39" i="2"/>
  <c r="CW38" i="2"/>
  <c r="CW37" i="2"/>
  <c r="CW36" i="2"/>
  <c r="CW35" i="2"/>
  <c r="CW34" i="2"/>
  <c r="CW33" i="2"/>
  <c r="CW32" i="2"/>
  <c r="CW31" i="2"/>
  <c r="CW30" i="2"/>
  <c r="CW29" i="2"/>
  <c r="CW28" i="2"/>
  <c r="CW27" i="2"/>
  <c r="CW26" i="2"/>
  <c r="CW25" i="2"/>
  <c r="CW24" i="2"/>
  <c r="CW23" i="2"/>
  <c r="CW22" i="2"/>
  <c r="CW20" i="2"/>
  <c r="CW19" i="2"/>
  <c r="CW17" i="2"/>
  <c r="CW16" i="2"/>
  <c r="CW15" i="2"/>
  <c r="CW14" i="2"/>
  <c r="CW13" i="2"/>
  <c r="CW12" i="2"/>
  <c r="CW11" i="2"/>
  <c r="CW10" i="2"/>
  <c r="CM293" i="2"/>
  <c r="CM292" i="2"/>
  <c r="CM291" i="2"/>
  <c r="CM290" i="2"/>
  <c r="CM289" i="2"/>
  <c r="CM288" i="2"/>
  <c r="CM287" i="2"/>
  <c r="CM286" i="2"/>
  <c r="CM285" i="2"/>
  <c r="CM284" i="2"/>
  <c r="CM283" i="2"/>
  <c r="CM282" i="2"/>
  <c r="CM281" i="2"/>
  <c r="CM280" i="2"/>
  <c r="CM279" i="2"/>
  <c r="CM278" i="2"/>
  <c r="CM277" i="2"/>
  <c r="CM276" i="2"/>
  <c r="CM274" i="2"/>
  <c r="CM273" i="2"/>
  <c r="CM271" i="2"/>
  <c r="CM270" i="2"/>
  <c r="CM269" i="2"/>
  <c r="CM268" i="2"/>
  <c r="CM267" i="2"/>
  <c r="CM266" i="2"/>
  <c r="CM265" i="2"/>
  <c r="CM264" i="2"/>
  <c r="CM262" i="2"/>
  <c r="CM261" i="2"/>
  <c r="CM259" i="2"/>
  <c r="CM258" i="2"/>
  <c r="CM257" i="2"/>
  <c r="CM256" i="2"/>
  <c r="CM255" i="2"/>
  <c r="CM254" i="2"/>
  <c r="CM253" i="2"/>
  <c r="CM251" i="2"/>
  <c r="CM250" i="2"/>
  <c r="CM249" i="2"/>
  <c r="CM248" i="2"/>
  <c r="CM247" i="2"/>
  <c r="CM246" i="2"/>
  <c r="CM245" i="2"/>
  <c r="CM243" i="2"/>
  <c r="CM242" i="2"/>
  <c r="CM241" i="2"/>
  <c r="CM240" i="2"/>
  <c r="CM239" i="2"/>
  <c r="CM238" i="2"/>
  <c r="CM237" i="2"/>
  <c r="CM236" i="2"/>
  <c r="CM235" i="2"/>
  <c r="CM234" i="2"/>
  <c r="CM233" i="2"/>
  <c r="CM232" i="2"/>
  <c r="CM230" i="2"/>
  <c r="CM229" i="2"/>
  <c r="CM228" i="2"/>
  <c r="CM227" i="2"/>
  <c r="CM225" i="2"/>
  <c r="CM224" i="2"/>
  <c r="CM223" i="2"/>
  <c r="CM222" i="2"/>
  <c r="CM221" i="2"/>
  <c r="CM220" i="2"/>
  <c r="CM219" i="2"/>
  <c r="CM217" i="2"/>
  <c r="CM215" i="2"/>
  <c r="CM214" i="2"/>
  <c r="CM213" i="2"/>
  <c r="CM211" i="2"/>
  <c r="CM210" i="2"/>
  <c r="CM209" i="2"/>
  <c r="CM208" i="2"/>
  <c r="CM207" i="2"/>
  <c r="CM206" i="2"/>
  <c r="CM204" i="2"/>
  <c r="CM203" i="2"/>
  <c r="CM200" i="2"/>
  <c r="CM199" i="2"/>
  <c r="CM198" i="2"/>
  <c r="CM197" i="2"/>
  <c r="CM194" i="2"/>
  <c r="CM192" i="2"/>
  <c r="CM191" i="2"/>
  <c r="CM190" i="2"/>
  <c r="CM189" i="2"/>
  <c r="CM188" i="2"/>
  <c r="CM187" i="2"/>
  <c r="CM186" i="2"/>
  <c r="CM185" i="2"/>
  <c r="CM183" i="2"/>
  <c r="CM182" i="2"/>
  <c r="CM181" i="2"/>
  <c r="CM180" i="2"/>
  <c r="CM179" i="2"/>
  <c r="CM177" i="2"/>
  <c r="CM175" i="2"/>
  <c r="CM174" i="2"/>
  <c r="CM173" i="2"/>
  <c r="CM172" i="2"/>
  <c r="CM171" i="2"/>
  <c r="CM170" i="2"/>
  <c r="CM169" i="2"/>
  <c r="CM168" i="2"/>
  <c r="CM167" i="2"/>
  <c r="CM166" i="2"/>
  <c r="CM165" i="2"/>
  <c r="CM164" i="2"/>
  <c r="CM163" i="2"/>
  <c r="CM162" i="2"/>
  <c r="CM161" i="2"/>
  <c r="CM160" i="2"/>
  <c r="CM159" i="2"/>
  <c r="CM158" i="2"/>
  <c r="CM157" i="2"/>
  <c r="CM156" i="2"/>
  <c r="CM154" i="2"/>
  <c r="CM153" i="2"/>
  <c r="CM151" i="2"/>
  <c r="CM150" i="2"/>
  <c r="CM149" i="2"/>
  <c r="CM148" i="2"/>
  <c r="CM147" i="2"/>
  <c r="CM146" i="2"/>
  <c r="CM145" i="2"/>
  <c r="CM144" i="2"/>
  <c r="CM143" i="2"/>
  <c r="CM142" i="2"/>
  <c r="CM141" i="2"/>
  <c r="CM140" i="2"/>
  <c r="CM138" i="2"/>
  <c r="CM137" i="2"/>
  <c r="CM136" i="2"/>
  <c r="CM135" i="2"/>
  <c r="CM134" i="2"/>
  <c r="CM133" i="2"/>
  <c r="CM132" i="2"/>
  <c r="CM131" i="2"/>
  <c r="CM130" i="2"/>
  <c r="CM129" i="2"/>
  <c r="CM127" i="2"/>
  <c r="CM126" i="2"/>
  <c r="CM125" i="2"/>
  <c r="CM124" i="2"/>
  <c r="CM123" i="2"/>
  <c r="CM121" i="2"/>
  <c r="CM119" i="2"/>
  <c r="CM118" i="2"/>
  <c r="CM117" i="2"/>
  <c r="CM115" i="2"/>
  <c r="CM114" i="2"/>
  <c r="CM113" i="2"/>
  <c r="CM112" i="2"/>
  <c r="CM111" i="2"/>
  <c r="CM108" i="2"/>
  <c r="CM107" i="2"/>
  <c r="CM106" i="2"/>
  <c r="CM105" i="2"/>
  <c r="CM104" i="2"/>
  <c r="CM103" i="2"/>
  <c r="CM102" i="2"/>
  <c r="CM101" i="2"/>
  <c r="CM100" i="2"/>
  <c r="CM99" i="2"/>
  <c r="CM97" i="2"/>
  <c r="CM96" i="2"/>
  <c r="CM95" i="2"/>
  <c r="CM94" i="2"/>
  <c r="CM93" i="2"/>
  <c r="CM92" i="2"/>
  <c r="CM91" i="2"/>
  <c r="CM90" i="2"/>
  <c r="CM88" i="2"/>
  <c r="CM87" i="2"/>
  <c r="CM86" i="2"/>
  <c r="CM85" i="2"/>
  <c r="CM83" i="2"/>
  <c r="CM82" i="2"/>
  <c r="CM81" i="2"/>
  <c r="CM80" i="2"/>
  <c r="CM79" i="2"/>
  <c r="CM77" i="2"/>
  <c r="CM76" i="2"/>
  <c r="CM75" i="2"/>
  <c r="CM74" i="2"/>
  <c r="CM72" i="2"/>
  <c r="CM71" i="2"/>
  <c r="CM70" i="2"/>
  <c r="CM69" i="2"/>
  <c r="CM68" i="2"/>
  <c r="CM67" i="2"/>
  <c r="CM66" i="2"/>
  <c r="CM65" i="2"/>
  <c r="CM64" i="2"/>
  <c r="CM63" i="2"/>
  <c r="CM62" i="2"/>
  <c r="CM61" i="2"/>
  <c r="CM60" i="2"/>
  <c r="CM58" i="2"/>
  <c r="CM57" i="2"/>
  <c r="CM56" i="2"/>
  <c r="CM55" i="2"/>
  <c r="CM53" i="2"/>
  <c r="CM52" i="2"/>
  <c r="CM51" i="2"/>
  <c r="CM50" i="2"/>
  <c r="CM48" i="2"/>
  <c r="CM47" i="2"/>
  <c r="CM46" i="2"/>
  <c r="CM45" i="2"/>
  <c r="CM43" i="2"/>
  <c r="CM42" i="2"/>
  <c r="CM41" i="2"/>
  <c r="CM40" i="2"/>
  <c r="CM39" i="2"/>
  <c r="CM38" i="2"/>
  <c r="CM37" i="2"/>
  <c r="CM36" i="2"/>
  <c r="CM35" i="2"/>
  <c r="CM34" i="2"/>
  <c r="CM33" i="2"/>
  <c r="CM32" i="2"/>
  <c r="CM31" i="2"/>
  <c r="CM30" i="2"/>
  <c r="CM29" i="2"/>
  <c r="CM28" i="2"/>
  <c r="CM27" i="2"/>
  <c r="CM25" i="2"/>
  <c r="CM24" i="2"/>
  <c r="CM22" i="2"/>
  <c r="CM21" i="2"/>
  <c r="CM19" i="2"/>
  <c r="CM17" i="2"/>
  <c r="CM16" i="2"/>
  <c r="CM15" i="2"/>
  <c r="CM14" i="2"/>
  <c r="CM13" i="2"/>
  <c r="CM12" i="2"/>
  <c r="CM10" i="2"/>
  <c r="CJ292" i="2"/>
  <c r="CJ289" i="2"/>
  <c r="CJ288" i="2"/>
  <c r="CJ280" i="2"/>
  <c r="CJ274" i="2"/>
  <c r="CJ273" i="2"/>
  <c r="CJ267" i="2"/>
  <c r="CJ266" i="2"/>
  <c r="CJ262" i="2"/>
  <c r="CJ253" i="2"/>
  <c r="CJ251" i="2"/>
  <c r="CJ248" i="2"/>
  <c r="CJ238" i="2"/>
  <c r="CJ213" i="2"/>
  <c r="CJ211" i="2"/>
  <c r="CJ209" i="2"/>
  <c r="CJ208" i="2"/>
  <c r="CJ207" i="2"/>
  <c r="CJ200" i="2"/>
  <c r="CJ198" i="2"/>
  <c r="CJ197" i="2"/>
  <c r="CJ189" i="2"/>
  <c r="CJ172" i="2"/>
  <c r="CJ166" i="2"/>
  <c r="CJ164" i="2"/>
  <c r="CJ162" i="2"/>
  <c r="CJ161" i="2"/>
  <c r="CJ154" i="2"/>
  <c r="CJ151" i="2"/>
  <c r="CJ150" i="2"/>
  <c r="CJ143" i="2"/>
  <c r="CJ141" i="2"/>
  <c r="CJ137" i="2"/>
  <c r="CJ135" i="2"/>
  <c r="CJ132" i="2"/>
  <c r="CJ126" i="2"/>
  <c r="CJ125" i="2"/>
  <c r="CJ124" i="2"/>
  <c r="CJ121" i="2"/>
  <c r="CJ115" i="2"/>
  <c r="CJ111" i="2"/>
  <c r="CJ107" i="2"/>
  <c r="CJ106" i="2"/>
  <c r="CJ101" i="2"/>
  <c r="CJ95" i="2"/>
  <c r="CJ93" i="2"/>
  <c r="CJ90" i="2"/>
  <c r="CJ88" i="2"/>
  <c r="CJ86" i="2"/>
  <c r="CJ85" i="2"/>
  <c r="CJ74" i="2"/>
  <c r="CJ72" i="2"/>
  <c r="CJ70" i="2"/>
  <c r="CJ62" i="2"/>
  <c r="CJ61" i="2"/>
  <c r="CJ58" i="2"/>
  <c r="CJ55" i="2"/>
  <c r="CJ53" i="2"/>
  <c r="CJ51" i="2"/>
  <c r="CJ43" i="2"/>
  <c r="CJ34" i="2"/>
  <c r="CJ29" i="2"/>
  <c r="CJ28" i="2"/>
  <c r="CJ24" i="2"/>
  <c r="CJ22" i="2"/>
  <c r="CJ21" i="2"/>
  <c r="BZ293" i="2"/>
  <c r="BZ292" i="2"/>
  <c r="BZ291" i="2"/>
  <c r="BZ290" i="2"/>
  <c r="BZ289" i="2"/>
  <c r="BZ288" i="2"/>
  <c r="BZ287" i="2"/>
  <c r="BZ286" i="2"/>
  <c r="BZ285" i="2"/>
  <c r="BZ284" i="2"/>
  <c r="BZ283" i="2"/>
  <c r="BZ282" i="2"/>
  <c r="BZ281" i="2"/>
  <c r="BZ280" i="2"/>
  <c r="BZ279" i="2"/>
  <c r="BZ278" i="2"/>
  <c r="BZ277" i="2"/>
  <c r="BZ276" i="2"/>
  <c r="BZ275" i="2"/>
  <c r="BZ274" i="2"/>
  <c r="BZ273" i="2"/>
  <c r="BZ272" i="2"/>
  <c r="BZ271" i="2"/>
  <c r="BZ270" i="2"/>
  <c r="BZ269" i="2"/>
  <c r="BZ268" i="2"/>
  <c r="BZ267" i="2"/>
  <c r="BZ266" i="2"/>
  <c r="BZ265" i="2"/>
  <c r="BZ264" i="2"/>
  <c r="BZ263" i="2"/>
  <c r="BZ262" i="2"/>
  <c r="BZ261" i="2"/>
  <c r="BZ260" i="2"/>
  <c r="BZ259" i="2"/>
  <c r="BZ258" i="2"/>
  <c r="BZ257" i="2"/>
  <c r="BZ256" i="2"/>
  <c r="BZ255" i="2"/>
  <c r="BZ254" i="2"/>
  <c r="BZ253" i="2"/>
  <c r="BZ252" i="2"/>
  <c r="BZ251" i="2"/>
  <c r="BZ250" i="2"/>
  <c r="BZ249" i="2"/>
  <c r="BZ248" i="2"/>
  <c r="BZ247" i="2"/>
  <c r="BZ246" i="2"/>
  <c r="BZ245" i="2"/>
  <c r="BZ244" i="2"/>
  <c r="BZ243" i="2"/>
  <c r="BZ242" i="2"/>
  <c r="BZ241" i="2"/>
  <c r="BZ240" i="2"/>
  <c r="BZ239" i="2"/>
  <c r="BZ238" i="2"/>
  <c r="BZ237" i="2"/>
  <c r="BZ236" i="2"/>
  <c r="BZ235" i="2"/>
  <c r="BZ234" i="2"/>
  <c r="BZ233" i="2"/>
  <c r="BZ232" i="2"/>
  <c r="BZ231" i="2"/>
  <c r="BZ230" i="2"/>
  <c r="BZ229" i="2"/>
  <c r="BZ228" i="2"/>
  <c r="BZ227" i="2"/>
  <c r="BZ226" i="2"/>
  <c r="BZ225" i="2"/>
  <c r="BZ224" i="2"/>
  <c r="BZ223" i="2"/>
  <c r="BZ222" i="2"/>
  <c r="BZ221" i="2"/>
  <c r="BZ220" i="2"/>
  <c r="BZ219" i="2"/>
  <c r="BZ218" i="2"/>
  <c r="BZ217" i="2"/>
  <c r="BZ216" i="2"/>
  <c r="BZ215" i="2"/>
  <c r="BZ214" i="2"/>
  <c r="BZ213" i="2"/>
  <c r="BZ212" i="2"/>
  <c r="BZ211" i="2"/>
  <c r="BZ210" i="2"/>
  <c r="BZ209" i="2"/>
  <c r="BZ208" i="2"/>
  <c r="BZ207" i="2"/>
  <c r="BZ206" i="2"/>
  <c r="BZ205" i="2"/>
  <c r="BZ204" i="2"/>
  <c r="BZ203" i="2"/>
  <c r="BZ202" i="2"/>
  <c r="BZ201" i="2"/>
  <c r="BZ200" i="2"/>
  <c r="BZ199" i="2"/>
  <c r="BZ198" i="2"/>
  <c r="BZ197" i="2"/>
  <c r="BZ196" i="2"/>
  <c r="BZ195" i="2"/>
  <c r="BZ194" i="2"/>
  <c r="BZ193" i="2"/>
  <c r="BZ192" i="2"/>
  <c r="BZ191" i="2"/>
  <c r="BZ190" i="2"/>
  <c r="BZ189" i="2"/>
  <c r="BZ188" i="2"/>
  <c r="BZ187" i="2"/>
  <c r="BZ186" i="2"/>
  <c r="BZ185" i="2"/>
  <c r="BZ184" i="2"/>
  <c r="BZ183" i="2"/>
  <c r="BZ182" i="2"/>
  <c r="BZ181" i="2"/>
  <c r="BZ180" i="2"/>
  <c r="BZ179" i="2"/>
  <c r="BZ178" i="2"/>
  <c r="BZ177" i="2"/>
  <c r="BZ176" i="2"/>
  <c r="BZ175" i="2"/>
  <c r="BZ174" i="2"/>
  <c r="BZ173" i="2"/>
  <c r="BZ172" i="2"/>
  <c r="BZ171" i="2"/>
  <c r="BZ170" i="2"/>
  <c r="BZ169" i="2"/>
  <c r="BZ168" i="2"/>
  <c r="BZ167" i="2"/>
  <c r="BZ166" i="2"/>
  <c r="BZ165" i="2"/>
  <c r="BZ164" i="2"/>
  <c r="BZ163" i="2"/>
  <c r="BZ162" i="2"/>
  <c r="BZ161" i="2"/>
  <c r="BZ160" i="2"/>
  <c r="BZ159" i="2"/>
  <c r="BZ158" i="2"/>
  <c r="BZ157" i="2"/>
  <c r="BZ156" i="2"/>
  <c r="BZ155" i="2"/>
  <c r="BZ154" i="2"/>
  <c r="BZ153" i="2"/>
  <c r="BZ152" i="2"/>
  <c r="BZ151" i="2"/>
  <c r="BZ150" i="2"/>
  <c r="BZ149" i="2"/>
  <c r="BZ148" i="2"/>
  <c r="BZ147" i="2"/>
  <c r="BZ146" i="2"/>
  <c r="BZ145" i="2"/>
  <c r="BZ144" i="2"/>
  <c r="BZ143" i="2"/>
  <c r="BZ142" i="2"/>
  <c r="BZ141" i="2"/>
  <c r="BZ140" i="2"/>
  <c r="BZ139" i="2"/>
  <c r="BZ138" i="2"/>
  <c r="BZ137" i="2"/>
  <c r="BZ136" i="2"/>
  <c r="BZ135" i="2"/>
  <c r="BZ134" i="2"/>
  <c r="BZ133" i="2"/>
  <c r="BZ132" i="2"/>
  <c r="BZ131" i="2"/>
  <c r="BZ130" i="2"/>
  <c r="BZ129" i="2"/>
  <c r="BZ128" i="2"/>
  <c r="BZ127" i="2"/>
  <c r="BZ126" i="2"/>
  <c r="BZ125" i="2"/>
  <c r="BZ124" i="2"/>
  <c r="BZ123" i="2"/>
  <c r="BZ122" i="2"/>
  <c r="BZ121" i="2"/>
  <c r="BZ120" i="2"/>
  <c r="BZ119" i="2"/>
  <c r="BZ118" i="2"/>
  <c r="BZ117" i="2"/>
  <c r="BZ116" i="2"/>
  <c r="BZ115" i="2"/>
  <c r="BZ114" i="2"/>
  <c r="BZ113" i="2"/>
  <c r="BZ112" i="2"/>
  <c r="BZ111" i="2"/>
  <c r="BZ110" i="2"/>
  <c r="BZ109" i="2"/>
  <c r="BZ108" i="2"/>
  <c r="BZ107" i="2"/>
  <c r="BZ106" i="2"/>
  <c r="BZ105" i="2"/>
  <c r="BZ104" i="2"/>
  <c r="BZ103" i="2"/>
  <c r="BZ102" i="2"/>
  <c r="BZ101" i="2"/>
  <c r="BZ100" i="2"/>
  <c r="BZ99" i="2"/>
  <c r="BZ98" i="2"/>
  <c r="BZ97" i="2"/>
  <c r="BZ96" i="2"/>
  <c r="BZ95" i="2"/>
  <c r="BZ94" i="2"/>
  <c r="BZ93" i="2"/>
  <c r="BZ92" i="2"/>
  <c r="BZ91" i="2"/>
  <c r="BZ90" i="2"/>
  <c r="BZ89" i="2"/>
  <c r="BZ88" i="2"/>
  <c r="BZ87" i="2"/>
  <c r="BZ86" i="2"/>
  <c r="BZ85" i="2"/>
  <c r="BZ84" i="2"/>
  <c r="BZ83" i="2"/>
  <c r="BZ82" i="2"/>
  <c r="BZ81" i="2"/>
  <c r="BZ80" i="2"/>
  <c r="BZ79" i="2"/>
  <c r="BZ78" i="2"/>
  <c r="BZ77" i="2"/>
  <c r="BZ76" i="2"/>
  <c r="BZ75" i="2"/>
  <c r="BZ74" i="2"/>
  <c r="BZ73" i="2"/>
  <c r="BZ72" i="2"/>
  <c r="BZ71" i="2"/>
  <c r="BZ70" i="2"/>
  <c r="BZ69" i="2"/>
  <c r="BZ68" i="2"/>
  <c r="BZ67" i="2"/>
  <c r="BZ66" i="2"/>
  <c r="BZ65" i="2"/>
  <c r="BZ64" i="2"/>
  <c r="BZ63" i="2"/>
  <c r="BZ62" i="2"/>
  <c r="BZ61" i="2"/>
  <c r="BZ60" i="2"/>
  <c r="BZ59" i="2"/>
  <c r="BZ58" i="2"/>
  <c r="BZ57" i="2"/>
  <c r="BZ56" i="2"/>
  <c r="BZ55" i="2"/>
  <c r="BZ54" i="2"/>
  <c r="BZ53" i="2"/>
  <c r="BZ52" i="2"/>
  <c r="BZ51" i="2"/>
  <c r="BZ50" i="2"/>
  <c r="BZ49" i="2"/>
  <c r="BZ48" i="2"/>
  <c r="BZ47" i="2"/>
  <c r="BZ46" i="2"/>
  <c r="BZ45" i="2"/>
  <c r="BZ44" i="2"/>
  <c r="BZ43" i="2"/>
  <c r="BZ42" i="2"/>
  <c r="BZ41" i="2"/>
  <c r="BZ40" i="2"/>
  <c r="BZ39" i="2"/>
  <c r="BZ38" i="2"/>
  <c r="BZ37" i="2"/>
  <c r="BZ36" i="2"/>
  <c r="BZ35" i="2"/>
  <c r="BZ34" i="2"/>
  <c r="BZ33" i="2"/>
  <c r="BZ32" i="2"/>
  <c r="BZ31" i="2"/>
  <c r="BZ30" i="2"/>
  <c r="BZ29" i="2"/>
  <c r="BZ28" i="2"/>
  <c r="BZ27" i="2"/>
  <c r="BZ26" i="2"/>
  <c r="BZ25" i="2"/>
  <c r="BZ24" i="2"/>
  <c r="BZ23" i="2"/>
  <c r="BZ22" i="2"/>
  <c r="BZ21" i="2"/>
  <c r="BZ20" i="2"/>
  <c r="BZ19" i="2"/>
  <c r="BZ18" i="2"/>
  <c r="BZ17" i="2"/>
  <c r="BZ16" i="2"/>
  <c r="BZ15" i="2"/>
  <c r="BZ14" i="2"/>
  <c r="BZ13" i="2"/>
  <c r="BZ12" i="2"/>
  <c r="BZ11" i="2"/>
  <c r="BZ10" i="2"/>
  <c r="BX293" i="2"/>
  <c r="BX292" i="2"/>
  <c r="BX291" i="2"/>
  <c r="BX290" i="2"/>
  <c r="BX289" i="2"/>
  <c r="BX288" i="2"/>
  <c r="BX287" i="2"/>
  <c r="BX286" i="2"/>
  <c r="BX285" i="2"/>
  <c r="BX284" i="2"/>
  <c r="BX283" i="2"/>
  <c r="BX282" i="2"/>
  <c r="BX281" i="2"/>
  <c r="BX280" i="2"/>
  <c r="BX279" i="2"/>
  <c r="BX278" i="2"/>
  <c r="BX277" i="2"/>
  <c r="BX276" i="2"/>
  <c r="BX275" i="2"/>
  <c r="BX274" i="2"/>
  <c r="BX273" i="2"/>
  <c r="BX272" i="2"/>
  <c r="BX271" i="2"/>
  <c r="BX270" i="2"/>
  <c r="BX269" i="2"/>
  <c r="BX268" i="2"/>
  <c r="BX267" i="2"/>
  <c r="BX266" i="2"/>
  <c r="BX265" i="2"/>
  <c r="BX264" i="2"/>
  <c r="BX263" i="2"/>
  <c r="BX262" i="2"/>
  <c r="BX261" i="2"/>
  <c r="BX260" i="2"/>
  <c r="BX259" i="2"/>
  <c r="BX258" i="2"/>
  <c r="BX257" i="2"/>
  <c r="BX256" i="2"/>
  <c r="BX255" i="2"/>
  <c r="BX254" i="2"/>
  <c r="BX253" i="2"/>
  <c r="BX252" i="2"/>
  <c r="BX251" i="2"/>
  <c r="BX250" i="2"/>
  <c r="BX249" i="2"/>
  <c r="BX248" i="2"/>
  <c r="BX247" i="2"/>
  <c r="BX246" i="2"/>
  <c r="BX245" i="2"/>
  <c r="BX244" i="2"/>
  <c r="BX243" i="2"/>
  <c r="BX242" i="2"/>
  <c r="BX241" i="2"/>
  <c r="BX240" i="2"/>
  <c r="BX239" i="2"/>
  <c r="BX238" i="2"/>
  <c r="BX237" i="2"/>
  <c r="BX236" i="2"/>
  <c r="BX235" i="2"/>
  <c r="BX234" i="2"/>
  <c r="BX233" i="2"/>
  <c r="BX232" i="2"/>
  <c r="BX231" i="2"/>
  <c r="BX230" i="2"/>
  <c r="BX229" i="2"/>
  <c r="BX228" i="2"/>
  <c r="BX227" i="2"/>
  <c r="BX226" i="2"/>
  <c r="BX225" i="2"/>
  <c r="BX224" i="2"/>
  <c r="BX223" i="2"/>
  <c r="BX222" i="2"/>
  <c r="BX221" i="2"/>
  <c r="BX220" i="2"/>
  <c r="BX219" i="2"/>
  <c r="BX218" i="2"/>
  <c r="BX217" i="2"/>
  <c r="BX216" i="2"/>
  <c r="BX215" i="2"/>
  <c r="BX214" i="2"/>
  <c r="BX213" i="2"/>
  <c r="BX212" i="2"/>
  <c r="BX211" i="2"/>
  <c r="BX210" i="2"/>
  <c r="BX209" i="2"/>
  <c r="BX208" i="2"/>
  <c r="BX207" i="2"/>
  <c r="BX206" i="2"/>
  <c r="BX205" i="2"/>
  <c r="BX204" i="2"/>
  <c r="BX203" i="2"/>
  <c r="BX202" i="2"/>
  <c r="BX201" i="2"/>
  <c r="BX200" i="2"/>
  <c r="BX199" i="2"/>
  <c r="BX198" i="2"/>
  <c r="BX197" i="2"/>
  <c r="BX196" i="2"/>
  <c r="BX195" i="2"/>
  <c r="BX194" i="2"/>
  <c r="BX193" i="2"/>
  <c r="BX192" i="2"/>
  <c r="BX191" i="2"/>
  <c r="BX190" i="2"/>
  <c r="BX189" i="2"/>
  <c r="BX188" i="2"/>
  <c r="BX187" i="2"/>
  <c r="BX186" i="2"/>
  <c r="BX185" i="2"/>
  <c r="BX184" i="2"/>
  <c r="BX183" i="2"/>
  <c r="BX182" i="2"/>
  <c r="BX181" i="2"/>
  <c r="BX180" i="2"/>
  <c r="BX179" i="2"/>
  <c r="BX178" i="2"/>
  <c r="BX177" i="2"/>
  <c r="BX176" i="2"/>
  <c r="BX175" i="2"/>
  <c r="BX174" i="2"/>
  <c r="BX173" i="2"/>
  <c r="BX172" i="2"/>
  <c r="BX171" i="2"/>
  <c r="BX170" i="2"/>
  <c r="BX169" i="2"/>
  <c r="BX168" i="2"/>
  <c r="BX167" i="2"/>
  <c r="BX166" i="2"/>
  <c r="BX165" i="2"/>
  <c r="BX164" i="2"/>
  <c r="BX163" i="2"/>
  <c r="BX162" i="2"/>
  <c r="BX161" i="2"/>
  <c r="BX160" i="2"/>
  <c r="BX159" i="2"/>
  <c r="BX158" i="2"/>
  <c r="BX157" i="2"/>
  <c r="BX156" i="2"/>
  <c r="BX155" i="2"/>
  <c r="BX154" i="2"/>
  <c r="BX153" i="2"/>
  <c r="BX152" i="2"/>
  <c r="BX151" i="2"/>
  <c r="BX150" i="2"/>
  <c r="BX149" i="2"/>
  <c r="BX148" i="2"/>
  <c r="BX147" i="2"/>
  <c r="BX146" i="2"/>
  <c r="BX145" i="2"/>
  <c r="BX144" i="2"/>
  <c r="BX143" i="2"/>
  <c r="BX142" i="2"/>
  <c r="BX141" i="2"/>
  <c r="BX140" i="2"/>
  <c r="BX139" i="2"/>
  <c r="BX138" i="2"/>
  <c r="BX137" i="2"/>
  <c r="BX136" i="2"/>
  <c r="BX135" i="2"/>
  <c r="BX134" i="2"/>
  <c r="BX133" i="2"/>
  <c r="BX132" i="2"/>
  <c r="BX131" i="2"/>
  <c r="BX130" i="2"/>
  <c r="BX129" i="2"/>
  <c r="BX128" i="2"/>
  <c r="BX127" i="2"/>
  <c r="BX126" i="2"/>
  <c r="BX125" i="2"/>
  <c r="BX124" i="2"/>
  <c r="BX123" i="2"/>
  <c r="BX122" i="2"/>
  <c r="BX121" i="2"/>
  <c r="BX120" i="2"/>
  <c r="BX119" i="2"/>
  <c r="BX118" i="2"/>
  <c r="BX117" i="2"/>
  <c r="BX116" i="2"/>
  <c r="BX115" i="2"/>
  <c r="BX114" i="2"/>
  <c r="BX113" i="2"/>
  <c r="BX112" i="2"/>
  <c r="BX111" i="2"/>
  <c r="BX110" i="2"/>
  <c r="BX109" i="2"/>
  <c r="BX108" i="2"/>
  <c r="BX107" i="2"/>
  <c r="BX106" i="2"/>
  <c r="BX105" i="2"/>
  <c r="BX104" i="2"/>
  <c r="BX103" i="2"/>
  <c r="BX102" i="2"/>
  <c r="BX101" i="2"/>
  <c r="BX100" i="2"/>
  <c r="BX99" i="2"/>
  <c r="BX98" i="2"/>
  <c r="BX97" i="2"/>
  <c r="BX96" i="2"/>
  <c r="BX95" i="2"/>
  <c r="BX94" i="2"/>
  <c r="BX93" i="2"/>
  <c r="BX92" i="2"/>
  <c r="BX91" i="2"/>
  <c r="BX90" i="2"/>
  <c r="BX89" i="2"/>
  <c r="BX88" i="2"/>
  <c r="BX87" i="2"/>
  <c r="BX86" i="2"/>
  <c r="BX85" i="2"/>
  <c r="BX84" i="2"/>
  <c r="BX83" i="2"/>
  <c r="BX82" i="2"/>
  <c r="BX81" i="2"/>
  <c r="BX80" i="2"/>
  <c r="BX79" i="2"/>
  <c r="BX78" i="2"/>
  <c r="BX77" i="2"/>
  <c r="BX76" i="2"/>
  <c r="BX75" i="2"/>
  <c r="BX74" i="2"/>
  <c r="BX73" i="2"/>
  <c r="BX72" i="2"/>
  <c r="BX71" i="2"/>
  <c r="BX70" i="2"/>
  <c r="BX69" i="2"/>
  <c r="BX68" i="2"/>
  <c r="BX67" i="2"/>
  <c r="BX66" i="2"/>
  <c r="BX65" i="2"/>
  <c r="BX64" i="2"/>
  <c r="BX63" i="2"/>
  <c r="BX62" i="2"/>
  <c r="BX61" i="2"/>
  <c r="BX60" i="2"/>
  <c r="BX59" i="2"/>
  <c r="BX58" i="2"/>
  <c r="BX57" i="2"/>
  <c r="BX56" i="2"/>
  <c r="BX55" i="2"/>
  <c r="BX54" i="2"/>
  <c r="BX53" i="2"/>
  <c r="BX52" i="2"/>
  <c r="BX51" i="2"/>
  <c r="BX50" i="2"/>
  <c r="BX49" i="2"/>
  <c r="BX48" i="2"/>
  <c r="BX47" i="2"/>
  <c r="BX46" i="2"/>
  <c r="BX45" i="2"/>
  <c r="BX44" i="2"/>
  <c r="BX43" i="2"/>
  <c r="BX42" i="2"/>
  <c r="BX41" i="2"/>
  <c r="BX40" i="2"/>
  <c r="BX39" i="2"/>
  <c r="BX38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V293" i="2"/>
  <c r="BV292" i="2"/>
  <c r="BV291" i="2"/>
  <c r="BV290" i="2"/>
  <c r="BV289" i="2"/>
  <c r="BV288" i="2"/>
  <c r="BV287" i="2"/>
  <c r="BV286" i="2"/>
  <c r="BV285" i="2"/>
  <c r="BV284" i="2"/>
  <c r="BV282" i="2"/>
  <c r="BV281" i="2"/>
  <c r="BV280" i="2"/>
  <c r="BV279" i="2"/>
  <c r="BV278" i="2"/>
  <c r="BV277" i="2"/>
  <c r="BV276" i="2"/>
  <c r="BV275" i="2"/>
  <c r="BV274" i="2"/>
  <c r="BV273" i="2"/>
  <c r="BV272" i="2"/>
  <c r="BV271" i="2"/>
  <c r="BV270" i="2"/>
  <c r="BV269" i="2"/>
  <c r="BV268" i="2"/>
  <c r="BV267" i="2"/>
  <c r="BV266" i="2"/>
  <c r="BV265" i="2"/>
  <c r="BV264" i="2"/>
  <c r="BV263" i="2"/>
  <c r="BV262" i="2"/>
  <c r="BV261" i="2"/>
  <c r="BV260" i="2"/>
  <c r="BV259" i="2"/>
  <c r="BV258" i="2"/>
  <c r="BV257" i="2"/>
  <c r="BV256" i="2"/>
  <c r="BV255" i="2"/>
  <c r="BV254" i="2"/>
  <c r="BV253" i="2"/>
  <c r="BV252" i="2"/>
  <c r="BV251" i="2"/>
  <c r="BV250" i="2"/>
  <c r="BV249" i="2"/>
  <c r="BV248" i="2"/>
  <c r="BV247" i="2"/>
  <c r="BV246" i="2"/>
  <c r="BV245" i="2"/>
  <c r="BV244" i="2"/>
  <c r="BV243" i="2"/>
  <c r="BV242" i="2"/>
  <c r="BV241" i="2"/>
  <c r="BV240" i="2"/>
  <c r="BV239" i="2"/>
  <c r="BV238" i="2"/>
  <c r="BV237" i="2"/>
  <c r="BV236" i="2"/>
  <c r="BV235" i="2"/>
  <c r="BV234" i="2"/>
  <c r="BV233" i="2"/>
  <c r="BV232" i="2"/>
  <c r="BV231" i="2"/>
  <c r="BV230" i="2"/>
  <c r="BV229" i="2"/>
  <c r="BV228" i="2"/>
  <c r="BV227" i="2"/>
  <c r="BV226" i="2"/>
  <c r="BV225" i="2"/>
  <c r="BV224" i="2"/>
  <c r="BV223" i="2"/>
  <c r="BV222" i="2"/>
  <c r="BV221" i="2"/>
  <c r="BV220" i="2"/>
  <c r="BV219" i="2"/>
  <c r="BV218" i="2"/>
  <c r="BV217" i="2"/>
  <c r="BV216" i="2"/>
  <c r="BV215" i="2"/>
  <c r="BV214" i="2"/>
  <c r="BV213" i="2"/>
  <c r="BV212" i="2"/>
  <c r="BV211" i="2"/>
  <c r="BV210" i="2"/>
  <c r="BV209" i="2"/>
  <c r="BV208" i="2"/>
  <c r="BV207" i="2"/>
  <c r="BV206" i="2"/>
  <c r="BV205" i="2"/>
  <c r="BV204" i="2"/>
  <c r="BV203" i="2"/>
  <c r="BV202" i="2"/>
  <c r="BV201" i="2"/>
  <c r="BV200" i="2"/>
  <c r="BV199" i="2"/>
  <c r="BV198" i="2"/>
  <c r="BV197" i="2"/>
  <c r="BV196" i="2"/>
  <c r="BV195" i="2"/>
  <c r="BV194" i="2"/>
  <c r="BV193" i="2"/>
  <c r="BV192" i="2"/>
  <c r="BV191" i="2"/>
  <c r="BV190" i="2"/>
  <c r="BV189" i="2"/>
  <c r="BV188" i="2"/>
  <c r="BV187" i="2"/>
  <c r="BV186" i="2"/>
  <c r="BV185" i="2"/>
  <c r="BV184" i="2"/>
  <c r="BV183" i="2"/>
  <c r="BV182" i="2"/>
  <c r="BV181" i="2"/>
  <c r="BV180" i="2"/>
  <c r="BV179" i="2"/>
  <c r="BV178" i="2"/>
  <c r="BV177" i="2"/>
  <c r="BV176" i="2"/>
  <c r="BV175" i="2"/>
  <c r="BV174" i="2"/>
  <c r="BV173" i="2"/>
  <c r="BV172" i="2"/>
  <c r="BV171" i="2"/>
  <c r="BV170" i="2"/>
  <c r="BV169" i="2"/>
  <c r="BV168" i="2"/>
  <c r="BV167" i="2"/>
  <c r="BV166" i="2"/>
  <c r="BV165" i="2"/>
  <c r="BV164" i="2"/>
  <c r="BV163" i="2"/>
  <c r="BV162" i="2"/>
  <c r="BV161" i="2"/>
  <c r="BV160" i="2"/>
  <c r="BV159" i="2"/>
  <c r="BV158" i="2"/>
  <c r="BV157" i="2"/>
  <c r="BV156" i="2"/>
  <c r="BV155" i="2"/>
  <c r="BV154" i="2"/>
  <c r="BV153" i="2"/>
  <c r="BV151" i="2"/>
  <c r="BV150" i="2"/>
  <c r="BV149" i="2"/>
  <c r="BV148" i="2"/>
  <c r="BV147" i="2"/>
  <c r="BV146" i="2"/>
  <c r="BV145" i="2"/>
  <c r="BV144" i="2"/>
  <c r="BV143" i="2"/>
  <c r="BV142" i="2"/>
  <c r="BV141" i="2"/>
  <c r="BV140" i="2"/>
  <c r="BV139" i="2"/>
  <c r="BV138" i="2"/>
  <c r="BV137" i="2"/>
  <c r="BV136" i="2"/>
  <c r="BV135" i="2"/>
  <c r="BV134" i="2"/>
  <c r="BV133" i="2"/>
  <c r="BV132" i="2"/>
  <c r="BV131" i="2"/>
  <c r="BV130" i="2"/>
  <c r="BV129" i="2"/>
  <c r="BV128" i="2"/>
  <c r="BV127" i="2"/>
  <c r="BV126" i="2"/>
  <c r="BV125" i="2"/>
  <c r="BV124" i="2"/>
  <c r="BV123" i="2"/>
  <c r="BV122" i="2"/>
  <c r="BV121" i="2"/>
  <c r="BV120" i="2"/>
  <c r="BV119" i="2"/>
  <c r="BV118" i="2"/>
  <c r="BV117" i="2"/>
  <c r="BV116" i="2"/>
  <c r="BV115" i="2"/>
  <c r="BV114" i="2"/>
  <c r="BV113" i="2"/>
  <c r="BV112" i="2"/>
  <c r="BV111" i="2"/>
  <c r="BV110" i="2"/>
  <c r="BV109" i="2"/>
  <c r="BV108" i="2"/>
  <c r="BV107" i="2"/>
  <c r="BV106" i="2"/>
  <c r="BV105" i="2"/>
  <c r="BV104" i="2"/>
  <c r="BV103" i="2"/>
  <c r="BV102" i="2"/>
  <c r="BV101" i="2"/>
  <c r="BV100" i="2"/>
  <c r="BV99" i="2"/>
  <c r="BV98" i="2"/>
  <c r="BV97" i="2"/>
  <c r="BV96" i="2"/>
  <c r="BV95" i="2"/>
  <c r="BV94" i="2"/>
  <c r="BV93" i="2"/>
  <c r="BV92" i="2"/>
  <c r="BV91" i="2"/>
  <c r="BV90" i="2"/>
  <c r="BV89" i="2"/>
  <c r="BV88" i="2"/>
  <c r="BV87" i="2"/>
  <c r="BV85" i="2"/>
  <c r="BV84" i="2"/>
  <c r="BV83" i="2"/>
  <c r="BV82" i="2"/>
  <c r="BV81" i="2"/>
  <c r="BV80" i="2"/>
  <c r="BV79" i="2"/>
  <c r="BV78" i="2"/>
  <c r="BV77" i="2"/>
  <c r="BV76" i="2"/>
  <c r="BV75" i="2"/>
  <c r="BV74" i="2"/>
  <c r="BV73" i="2"/>
  <c r="BV72" i="2"/>
  <c r="BV71" i="2"/>
  <c r="BV70" i="2"/>
  <c r="BV69" i="2"/>
  <c r="BV68" i="2"/>
  <c r="BV67" i="2"/>
  <c r="BV66" i="2"/>
  <c r="BV65" i="2"/>
  <c r="BV64" i="2"/>
  <c r="BV63" i="2"/>
  <c r="BV62" i="2"/>
  <c r="BV61" i="2"/>
  <c r="BV60" i="2"/>
  <c r="BV59" i="2"/>
  <c r="BV58" i="2"/>
  <c r="BV57" i="2"/>
  <c r="BV55" i="2"/>
  <c r="BV54" i="2"/>
  <c r="BV53" i="2"/>
  <c r="BV52" i="2"/>
  <c r="BV51" i="2"/>
  <c r="BV50" i="2"/>
  <c r="BV49" i="2"/>
  <c r="BV48" i="2"/>
  <c r="BV47" i="2"/>
  <c r="BV46" i="2"/>
  <c r="BV45" i="2"/>
  <c r="BV44" i="2"/>
  <c r="BV43" i="2"/>
  <c r="BV42" i="2"/>
  <c r="BV41" i="2"/>
  <c r="BV40" i="2"/>
  <c r="BV39" i="2"/>
  <c r="BV38" i="2"/>
  <c r="BV37" i="2"/>
  <c r="BV36" i="2"/>
  <c r="BV35" i="2"/>
  <c r="BV34" i="2"/>
  <c r="BV33" i="2"/>
  <c r="BV32" i="2"/>
  <c r="BV31" i="2"/>
  <c r="BV30" i="2"/>
  <c r="BV29" i="2"/>
  <c r="BV28" i="2"/>
  <c r="BV27" i="2"/>
  <c r="BV26" i="2"/>
  <c r="BV25" i="2"/>
  <c r="BV24" i="2"/>
  <c r="BV23" i="2"/>
  <c r="BV22" i="2"/>
  <c r="BV21" i="2"/>
  <c r="BV20" i="2"/>
  <c r="BV19" i="2"/>
  <c r="BV18" i="2"/>
  <c r="BV17" i="2"/>
  <c r="BV16" i="2"/>
  <c r="BV15" i="2"/>
  <c r="BV14" i="2"/>
  <c r="BV13" i="2"/>
  <c r="BV12" i="2"/>
  <c r="BV11" i="2"/>
  <c r="BV10" i="2"/>
  <c r="BT293" i="2"/>
  <c r="BT292" i="2"/>
  <c r="BT291" i="2"/>
  <c r="BT290" i="2"/>
  <c r="BT289" i="2"/>
  <c r="BT288" i="2"/>
  <c r="BT287" i="2"/>
  <c r="BT286" i="2"/>
  <c r="BT285" i="2"/>
  <c r="BT284" i="2"/>
  <c r="BT282" i="2"/>
  <c r="BT281" i="2"/>
  <c r="BT280" i="2"/>
  <c r="BT279" i="2"/>
  <c r="BT278" i="2"/>
  <c r="BT277" i="2"/>
  <c r="BT275" i="2"/>
  <c r="BT274" i="2"/>
  <c r="BT273" i="2"/>
  <c r="BT272" i="2"/>
  <c r="BT271" i="2"/>
  <c r="BT270" i="2"/>
  <c r="BT269" i="2"/>
  <c r="BT268" i="2"/>
  <c r="BT267" i="2"/>
  <c r="BT266" i="2"/>
  <c r="BT265" i="2"/>
  <c r="BT264" i="2"/>
  <c r="BT263" i="2"/>
  <c r="BT262" i="2"/>
  <c r="BT261" i="2"/>
  <c r="BT260" i="2"/>
  <c r="BT259" i="2"/>
  <c r="BT258" i="2"/>
  <c r="BT257" i="2"/>
  <c r="BT256" i="2"/>
  <c r="BT255" i="2"/>
  <c r="BT254" i="2"/>
  <c r="BT253" i="2"/>
  <c r="BT252" i="2"/>
  <c r="BT251" i="2"/>
  <c r="BT250" i="2"/>
  <c r="BT249" i="2"/>
  <c r="BT248" i="2"/>
  <c r="BT247" i="2"/>
  <c r="BT246" i="2"/>
  <c r="BT245" i="2"/>
  <c r="BT244" i="2"/>
  <c r="BT243" i="2"/>
  <c r="BT242" i="2"/>
  <c r="BT241" i="2"/>
  <c r="BT240" i="2"/>
  <c r="BT239" i="2"/>
  <c r="BT238" i="2"/>
  <c r="BT237" i="2"/>
  <c r="BT235" i="2"/>
  <c r="BT234" i="2"/>
  <c r="BT233" i="2"/>
  <c r="BT232" i="2"/>
  <c r="BT231" i="2"/>
  <c r="BT230" i="2"/>
  <c r="BT229" i="2"/>
  <c r="BT228" i="2"/>
  <c r="BT227" i="2"/>
  <c r="BT226" i="2"/>
  <c r="BT225" i="2"/>
  <c r="BT224" i="2"/>
  <c r="BT223" i="2"/>
  <c r="BT222" i="2"/>
  <c r="BT221" i="2"/>
  <c r="BT220" i="2"/>
  <c r="BT219" i="2"/>
  <c r="BT218" i="2"/>
  <c r="BT217" i="2"/>
  <c r="BT216" i="2"/>
  <c r="BT215" i="2"/>
  <c r="BT214" i="2"/>
  <c r="BT213" i="2"/>
  <c r="BT212" i="2"/>
  <c r="BT211" i="2"/>
  <c r="BT210" i="2"/>
  <c r="BT209" i="2"/>
  <c r="BT208" i="2"/>
  <c r="BT207" i="2"/>
  <c r="BT206" i="2"/>
  <c r="BT205" i="2"/>
  <c r="BT204" i="2"/>
  <c r="BT203" i="2"/>
  <c r="BT202" i="2"/>
  <c r="BT201" i="2"/>
  <c r="BT200" i="2"/>
  <c r="BT199" i="2"/>
  <c r="BT198" i="2"/>
  <c r="BT197" i="2"/>
  <c r="BT196" i="2"/>
  <c r="BT195" i="2"/>
  <c r="BT194" i="2"/>
  <c r="BT193" i="2"/>
  <c r="BT192" i="2"/>
  <c r="BT191" i="2"/>
  <c r="BT190" i="2"/>
  <c r="BT189" i="2"/>
  <c r="BT188" i="2"/>
  <c r="BT187" i="2"/>
  <c r="BT186" i="2"/>
  <c r="BT185" i="2"/>
  <c r="BT184" i="2"/>
  <c r="BT183" i="2"/>
  <c r="BT182" i="2"/>
  <c r="BT181" i="2"/>
  <c r="BT180" i="2"/>
  <c r="BT179" i="2"/>
  <c r="BT178" i="2"/>
  <c r="BT177" i="2"/>
  <c r="BT176" i="2"/>
  <c r="BT175" i="2"/>
  <c r="BT174" i="2"/>
  <c r="BT173" i="2"/>
  <c r="BT172" i="2"/>
  <c r="BT171" i="2"/>
  <c r="BT170" i="2"/>
  <c r="BT169" i="2"/>
  <c r="BT168" i="2"/>
  <c r="BT167" i="2"/>
  <c r="BT166" i="2"/>
  <c r="BT165" i="2"/>
  <c r="BT164" i="2"/>
  <c r="BT163" i="2"/>
  <c r="BT162" i="2"/>
  <c r="BT161" i="2"/>
  <c r="BT160" i="2"/>
  <c r="BT159" i="2"/>
  <c r="BT158" i="2"/>
  <c r="BT157" i="2"/>
  <c r="BT156" i="2"/>
  <c r="BT155" i="2"/>
  <c r="BT154" i="2"/>
  <c r="BT153" i="2"/>
  <c r="BT151" i="2"/>
  <c r="BT150" i="2"/>
  <c r="BT149" i="2"/>
  <c r="BT148" i="2"/>
  <c r="BT147" i="2"/>
  <c r="BT146" i="2"/>
  <c r="BT145" i="2"/>
  <c r="BT144" i="2"/>
  <c r="BT143" i="2"/>
  <c r="BT142" i="2"/>
  <c r="BT141" i="2"/>
  <c r="BT140" i="2"/>
  <c r="BT139" i="2"/>
  <c r="BT138" i="2"/>
  <c r="BT137" i="2"/>
  <c r="BT136" i="2"/>
  <c r="BT135" i="2"/>
  <c r="BT134" i="2"/>
  <c r="BT133" i="2"/>
  <c r="BT132" i="2"/>
  <c r="BT131" i="2"/>
  <c r="BT130" i="2"/>
  <c r="BT129" i="2"/>
  <c r="BT128" i="2"/>
  <c r="BT127" i="2"/>
  <c r="BT126" i="2"/>
  <c r="BT125" i="2"/>
  <c r="BT124" i="2"/>
  <c r="BT123" i="2"/>
  <c r="BT122" i="2"/>
  <c r="BT121" i="2"/>
  <c r="BT120" i="2"/>
  <c r="BT119" i="2"/>
  <c r="BT118" i="2"/>
  <c r="BT117" i="2"/>
  <c r="BT116" i="2"/>
  <c r="BT115" i="2"/>
  <c r="BT114" i="2"/>
  <c r="BT113" i="2"/>
  <c r="BT112" i="2"/>
  <c r="BT111" i="2"/>
  <c r="BT110" i="2"/>
  <c r="BT109" i="2"/>
  <c r="BT108" i="2"/>
  <c r="BT107" i="2"/>
  <c r="BT106" i="2"/>
  <c r="BT105" i="2"/>
  <c r="BT104" i="2"/>
  <c r="BT103" i="2"/>
  <c r="BT102" i="2"/>
  <c r="BT101" i="2"/>
  <c r="BT100" i="2"/>
  <c r="BT99" i="2"/>
  <c r="BT98" i="2"/>
  <c r="BT97" i="2"/>
  <c r="BT96" i="2"/>
  <c r="BT95" i="2"/>
  <c r="BT94" i="2"/>
  <c r="BT93" i="2"/>
  <c r="BT92" i="2"/>
  <c r="BT90" i="2"/>
  <c r="BT89" i="2"/>
  <c r="BT88" i="2"/>
  <c r="BT87" i="2"/>
  <c r="BT85" i="2"/>
  <c r="BT84" i="2"/>
  <c r="BT83" i="2"/>
  <c r="BT82" i="2"/>
  <c r="BT81" i="2"/>
  <c r="BT80" i="2"/>
  <c r="BT79" i="2"/>
  <c r="BT78" i="2"/>
  <c r="BT77" i="2"/>
  <c r="BT76" i="2"/>
  <c r="BT75" i="2"/>
  <c r="BT74" i="2"/>
  <c r="BT73" i="2"/>
  <c r="BT72" i="2"/>
  <c r="BT71" i="2"/>
  <c r="BT70" i="2"/>
  <c r="BT69" i="2"/>
  <c r="BT68" i="2"/>
  <c r="BT67" i="2"/>
  <c r="BT66" i="2"/>
  <c r="BT65" i="2"/>
  <c r="BT64" i="2"/>
  <c r="BT63" i="2"/>
  <c r="BT62" i="2"/>
  <c r="BT61" i="2"/>
  <c r="BT60" i="2"/>
  <c r="BT59" i="2"/>
  <c r="BT58" i="2"/>
  <c r="BT57" i="2"/>
  <c r="BT55" i="2"/>
  <c r="BT54" i="2"/>
  <c r="BT53" i="2"/>
  <c r="BT52" i="2"/>
  <c r="BT51" i="2"/>
  <c r="BT50" i="2"/>
  <c r="BT49" i="2"/>
  <c r="BT48" i="2"/>
  <c r="BT47" i="2"/>
  <c r="BT46" i="2"/>
  <c r="BT45" i="2"/>
  <c r="BT44" i="2"/>
  <c r="BT43" i="2"/>
  <c r="BT42" i="2"/>
  <c r="BT41" i="2"/>
  <c r="BT40" i="2"/>
  <c r="BT39" i="2"/>
  <c r="BT38" i="2"/>
  <c r="BT37" i="2"/>
  <c r="BT36" i="2"/>
  <c r="BT35" i="2"/>
  <c r="BT34" i="2"/>
  <c r="BT33" i="2"/>
  <c r="BT32" i="2"/>
  <c r="BT31" i="2"/>
  <c r="BT30" i="2"/>
  <c r="BT29" i="2"/>
  <c r="BT28" i="2"/>
  <c r="BT27" i="2"/>
  <c r="BT26" i="2"/>
  <c r="BT25" i="2"/>
  <c r="BT24" i="2"/>
  <c r="BT23" i="2"/>
  <c r="BT22" i="2"/>
  <c r="BT21" i="2"/>
  <c r="BT20" i="2"/>
  <c r="BT19" i="2"/>
  <c r="BT18" i="2"/>
  <c r="BT17" i="2"/>
  <c r="BT16" i="2"/>
  <c r="BT15" i="2"/>
  <c r="BT14" i="2"/>
  <c r="BT13" i="2"/>
  <c r="BT12" i="2"/>
  <c r="BT11" i="2"/>
  <c r="BT10" i="2"/>
  <c r="BR293" i="2"/>
  <c r="BR292" i="2"/>
  <c r="BR291" i="2"/>
  <c r="BR290" i="2"/>
  <c r="BR289" i="2"/>
  <c r="BR288" i="2"/>
  <c r="BR286" i="2"/>
  <c r="BR285" i="2"/>
  <c r="BR284" i="2"/>
  <c r="BR282" i="2"/>
  <c r="BR281" i="2"/>
  <c r="BR280" i="2"/>
  <c r="BR279" i="2"/>
  <c r="BR278" i="2"/>
  <c r="BR277" i="2"/>
  <c r="BR275" i="2"/>
  <c r="BR274" i="2"/>
  <c r="BR273" i="2"/>
  <c r="BR272" i="2"/>
  <c r="BR271" i="2"/>
  <c r="BR270" i="2"/>
  <c r="BR269" i="2"/>
  <c r="BR267" i="2"/>
  <c r="BR266" i="2"/>
  <c r="BR265" i="2"/>
  <c r="BR264" i="2"/>
  <c r="BR263" i="2"/>
  <c r="BR262" i="2"/>
  <c r="BR261" i="2"/>
  <c r="BR260" i="2"/>
  <c r="BR259" i="2"/>
  <c r="BR257" i="2"/>
  <c r="BR256" i="2"/>
  <c r="BR255" i="2"/>
  <c r="BR254" i="2"/>
  <c r="BR253" i="2"/>
  <c r="BR252" i="2"/>
  <c r="BR251" i="2"/>
  <c r="BR250" i="2"/>
  <c r="BR249" i="2"/>
  <c r="BR248" i="2"/>
  <c r="BR247" i="2"/>
  <c r="BR246" i="2"/>
  <c r="BR245" i="2"/>
  <c r="BR244" i="2"/>
  <c r="BR243" i="2"/>
  <c r="BR242" i="2"/>
  <c r="BR241" i="2"/>
  <c r="BR240" i="2"/>
  <c r="BR239" i="2"/>
  <c r="BR238" i="2"/>
  <c r="BR237" i="2"/>
  <c r="BR235" i="2"/>
  <c r="BR234" i="2"/>
  <c r="BR233" i="2"/>
  <c r="BR232" i="2"/>
  <c r="BR231" i="2"/>
  <c r="BR230" i="2"/>
  <c r="BR229" i="2"/>
  <c r="BR228" i="2"/>
  <c r="BR227" i="2"/>
  <c r="BR226" i="2"/>
  <c r="BR225" i="2"/>
  <c r="BR224" i="2"/>
  <c r="BR223" i="2"/>
  <c r="BR221" i="2"/>
  <c r="BR220" i="2"/>
  <c r="BR219" i="2"/>
  <c r="BR218" i="2"/>
  <c r="BR217" i="2"/>
  <c r="BR216" i="2"/>
  <c r="BR215" i="2"/>
  <c r="BR214" i="2"/>
  <c r="BR213" i="2"/>
  <c r="BR211" i="2"/>
  <c r="BR210" i="2"/>
  <c r="BR209" i="2"/>
  <c r="BR208" i="2"/>
  <c r="BR204" i="2"/>
  <c r="BR203" i="2"/>
  <c r="BR202" i="2"/>
  <c r="BR201" i="2"/>
  <c r="BR200" i="2"/>
  <c r="BR199" i="2"/>
  <c r="BR198" i="2"/>
  <c r="BR197" i="2"/>
  <c r="BR196" i="2"/>
  <c r="BR195" i="2"/>
  <c r="BR194" i="2"/>
  <c r="BR193" i="2"/>
  <c r="BR192" i="2"/>
  <c r="BR191" i="2"/>
  <c r="BR190" i="2"/>
  <c r="BR189" i="2"/>
  <c r="BR188" i="2"/>
  <c r="BR187" i="2"/>
  <c r="BR186" i="2"/>
  <c r="BR185" i="2"/>
  <c r="BR184" i="2"/>
  <c r="BR183" i="2"/>
  <c r="BR182" i="2"/>
  <c r="BR181" i="2"/>
  <c r="BR180" i="2"/>
  <c r="BR179" i="2"/>
  <c r="BR178" i="2"/>
  <c r="BR177" i="2"/>
  <c r="BR176" i="2"/>
  <c r="BR175" i="2"/>
  <c r="BR174" i="2"/>
  <c r="BR173" i="2"/>
  <c r="BR172" i="2"/>
  <c r="BR171" i="2"/>
  <c r="BR170" i="2"/>
  <c r="BR169" i="2"/>
  <c r="BR168" i="2"/>
  <c r="BR167" i="2"/>
  <c r="BR166" i="2"/>
  <c r="BR165" i="2"/>
  <c r="BR164" i="2"/>
  <c r="BR163" i="2"/>
  <c r="BR162" i="2"/>
  <c r="BR161" i="2"/>
  <c r="BR160" i="2"/>
  <c r="BR159" i="2"/>
  <c r="BR158" i="2"/>
  <c r="BR157" i="2"/>
  <c r="BR156" i="2"/>
  <c r="BR155" i="2"/>
  <c r="BR154" i="2"/>
  <c r="BR153" i="2"/>
  <c r="BR152" i="2"/>
  <c r="BR151" i="2"/>
  <c r="BR150" i="2"/>
  <c r="BR149" i="2"/>
  <c r="BR148" i="2"/>
  <c r="BR147" i="2"/>
  <c r="BR146" i="2"/>
  <c r="BR145" i="2"/>
  <c r="BR144" i="2"/>
  <c r="BR143" i="2"/>
  <c r="BR142" i="2"/>
  <c r="BR141" i="2"/>
  <c r="BR140" i="2"/>
  <c r="BR139" i="2"/>
  <c r="BR138" i="2"/>
  <c r="BR137" i="2"/>
  <c r="BR136" i="2"/>
  <c r="BR135" i="2"/>
  <c r="BR134" i="2"/>
  <c r="BR133" i="2"/>
  <c r="BR132" i="2"/>
  <c r="BR131" i="2"/>
  <c r="BR130" i="2"/>
  <c r="BR128" i="2"/>
  <c r="BR127" i="2"/>
  <c r="BR126" i="2"/>
  <c r="BR125" i="2"/>
  <c r="BR123" i="2"/>
  <c r="BR122" i="2"/>
  <c r="BR121" i="2"/>
  <c r="BR120" i="2"/>
  <c r="BR119" i="2"/>
  <c r="BR118" i="2"/>
  <c r="BR117" i="2"/>
  <c r="BR116" i="2"/>
  <c r="BR115" i="2"/>
  <c r="BR113" i="2"/>
  <c r="BR112" i="2"/>
  <c r="BR111" i="2"/>
  <c r="BR110" i="2"/>
  <c r="BR108" i="2"/>
  <c r="BR107" i="2"/>
  <c r="BR106" i="2"/>
  <c r="BR105" i="2"/>
  <c r="BR104" i="2"/>
  <c r="BR103" i="2"/>
  <c r="BR102" i="2"/>
  <c r="BR101" i="2"/>
  <c r="BR100" i="2"/>
  <c r="BR99" i="2"/>
  <c r="BR98" i="2"/>
  <c r="BR97" i="2"/>
  <c r="BR96" i="2"/>
  <c r="BR95" i="2"/>
  <c r="BR94" i="2"/>
  <c r="BR93" i="2"/>
  <c r="BR92" i="2"/>
  <c r="BR90" i="2"/>
  <c r="BR89" i="2"/>
  <c r="BR88" i="2"/>
  <c r="BR87" i="2"/>
  <c r="BR85" i="2"/>
  <c r="BR84" i="2"/>
  <c r="BR83" i="2"/>
  <c r="BR81" i="2"/>
  <c r="BR80" i="2"/>
  <c r="BR79" i="2"/>
  <c r="BR78" i="2"/>
  <c r="BR77" i="2"/>
  <c r="BR76" i="2"/>
  <c r="BR75" i="2"/>
  <c r="BR74" i="2"/>
  <c r="BR73" i="2"/>
  <c r="BR72" i="2"/>
  <c r="BR71" i="2"/>
  <c r="BR70" i="2"/>
  <c r="BR69" i="2"/>
  <c r="BR68" i="2"/>
  <c r="BR67" i="2"/>
  <c r="BR66" i="2"/>
  <c r="BR65" i="2"/>
  <c r="BR64" i="2"/>
  <c r="BR63" i="2"/>
  <c r="BR62" i="2"/>
  <c r="BR61" i="2"/>
  <c r="BR60" i="2"/>
  <c r="BR59" i="2"/>
  <c r="BR58" i="2"/>
  <c r="BR55" i="2"/>
  <c r="BR54" i="2"/>
  <c r="BR53" i="2"/>
  <c r="BR52" i="2"/>
  <c r="BR51" i="2"/>
  <c r="BR50" i="2"/>
  <c r="BR49" i="2"/>
  <c r="BR48" i="2"/>
  <c r="BR47" i="2"/>
  <c r="BR46" i="2"/>
  <c r="BR45" i="2"/>
  <c r="BR44" i="2"/>
  <c r="BR43" i="2"/>
  <c r="BR42" i="2"/>
  <c r="BR41" i="2"/>
  <c r="BR40" i="2"/>
  <c r="BR39" i="2"/>
  <c r="BR38" i="2"/>
  <c r="BR37" i="2"/>
  <c r="BR36" i="2"/>
  <c r="BR35" i="2"/>
  <c r="BR34" i="2"/>
  <c r="BR33" i="2"/>
  <c r="BR32" i="2"/>
  <c r="BR31" i="2"/>
  <c r="BR30" i="2"/>
  <c r="BR29" i="2"/>
  <c r="BR28" i="2"/>
  <c r="BR27" i="2"/>
  <c r="BR26" i="2"/>
  <c r="BR25" i="2"/>
  <c r="BR24" i="2"/>
  <c r="BR23" i="2"/>
  <c r="BR22" i="2"/>
  <c r="BR20" i="2"/>
  <c r="BR19" i="2"/>
  <c r="BR18" i="2"/>
  <c r="BR17" i="2"/>
  <c r="BR16" i="2"/>
  <c r="BR15" i="2"/>
  <c r="BR14" i="2"/>
  <c r="BR13" i="2"/>
  <c r="BR12" i="2"/>
  <c r="BR11" i="2"/>
  <c r="BR10" i="2"/>
  <c r="BP292" i="2"/>
  <c r="BP290" i="2"/>
  <c r="BP289" i="2"/>
  <c r="BP288" i="2"/>
  <c r="BP286" i="2"/>
  <c r="BP285" i="2"/>
  <c r="BP284" i="2"/>
  <c r="BP282" i="2"/>
  <c r="BP279" i="2"/>
  <c r="BP278" i="2"/>
  <c r="BP277" i="2"/>
  <c r="BP275" i="2"/>
  <c r="BP274" i="2"/>
  <c r="BP273" i="2"/>
  <c r="BP272" i="2"/>
  <c r="BP270" i="2"/>
  <c r="BP269" i="2"/>
  <c r="BP267" i="2"/>
  <c r="BP266" i="2"/>
  <c r="BP265" i="2"/>
  <c r="BP264" i="2"/>
  <c r="BP263" i="2"/>
  <c r="BP262" i="2"/>
  <c r="BP261" i="2"/>
  <c r="BP260" i="2"/>
  <c r="BP259" i="2"/>
  <c r="BP257" i="2"/>
  <c r="BP255" i="2"/>
  <c r="BP254" i="2"/>
  <c r="BP253" i="2"/>
  <c r="BP251" i="2"/>
  <c r="BP248" i="2"/>
  <c r="BP246" i="2"/>
  <c r="BP245" i="2"/>
  <c r="BP244" i="2"/>
  <c r="BP243" i="2"/>
  <c r="BP242" i="2"/>
  <c r="BP241" i="2"/>
  <c r="BP240" i="2"/>
  <c r="BP238" i="2"/>
  <c r="BP237" i="2"/>
  <c r="BP235" i="2"/>
  <c r="BP234" i="2"/>
  <c r="BP233" i="2"/>
  <c r="BP232" i="2"/>
  <c r="BP229" i="2"/>
  <c r="BP227" i="2"/>
  <c r="BP225" i="2"/>
  <c r="BP224" i="2"/>
  <c r="BP223" i="2"/>
  <c r="BP221" i="2"/>
  <c r="BP219" i="2"/>
  <c r="BP216" i="2"/>
  <c r="BP215" i="2"/>
  <c r="BP210" i="2"/>
  <c r="BP209" i="2"/>
  <c r="BP208" i="2"/>
  <c r="BP204" i="2"/>
  <c r="BP203" i="2"/>
  <c r="BP201" i="2"/>
  <c r="BP200" i="2"/>
  <c r="BP199" i="2"/>
  <c r="BP198" i="2"/>
  <c r="BP197" i="2"/>
  <c r="BP196" i="2"/>
  <c r="BP195" i="2"/>
  <c r="BP194" i="2"/>
  <c r="BP193" i="2"/>
  <c r="BP191" i="2"/>
  <c r="BP190" i="2"/>
  <c r="BP189" i="2"/>
  <c r="BP188" i="2"/>
  <c r="BP187" i="2"/>
  <c r="BP186" i="2"/>
  <c r="BP185" i="2"/>
  <c r="BP184" i="2"/>
  <c r="BP183" i="2"/>
  <c r="BP182" i="2"/>
  <c r="BP181" i="2"/>
  <c r="BP180" i="2"/>
  <c r="BP179" i="2"/>
  <c r="BP178" i="2"/>
  <c r="BP177" i="2"/>
  <c r="BP176" i="2"/>
  <c r="BP174" i="2"/>
  <c r="BP173" i="2"/>
  <c r="BP172" i="2"/>
  <c r="BP171" i="2"/>
  <c r="BP170" i="2"/>
  <c r="BP169" i="2"/>
  <c r="BP168" i="2"/>
  <c r="BP167" i="2"/>
  <c r="BP166" i="2"/>
  <c r="BP165" i="2"/>
  <c r="BP164" i="2"/>
  <c r="BP163" i="2"/>
  <c r="BP162" i="2"/>
  <c r="BP161" i="2"/>
  <c r="BP160" i="2"/>
  <c r="BP159" i="2"/>
  <c r="BP158" i="2"/>
  <c r="BP157" i="2"/>
  <c r="BP156" i="2"/>
  <c r="BP155" i="2"/>
  <c r="BP154" i="2"/>
  <c r="BP153" i="2"/>
  <c r="BP151" i="2"/>
  <c r="BP150" i="2"/>
  <c r="BP149" i="2"/>
  <c r="BP148" i="2"/>
  <c r="BP147" i="2"/>
  <c r="BP146" i="2"/>
  <c r="BP145" i="2"/>
  <c r="BP144" i="2"/>
  <c r="BP143" i="2"/>
  <c r="BP142" i="2"/>
  <c r="BP141" i="2"/>
  <c r="BP140" i="2"/>
  <c r="BP139" i="2"/>
  <c r="BP138" i="2"/>
  <c r="BP137" i="2"/>
  <c r="BP136" i="2"/>
  <c r="BP135" i="2"/>
  <c r="BP133" i="2"/>
  <c r="BP132" i="2"/>
  <c r="BP131" i="2"/>
  <c r="BP130" i="2"/>
  <c r="BP129" i="2"/>
  <c r="BP128" i="2"/>
  <c r="BP127" i="2"/>
  <c r="BP125" i="2"/>
  <c r="BP122" i="2"/>
  <c r="BP120" i="2"/>
  <c r="BP119" i="2"/>
  <c r="BP118" i="2"/>
  <c r="BP115" i="2"/>
  <c r="BP111" i="2"/>
  <c r="BP110" i="2"/>
  <c r="BP109" i="2"/>
  <c r="BP108" i="2"/>
  <c r="BP106" i="2"/>
  <c r="BP104" i="2"/>
  <c r="BP103" i="2"/>
  <c r="BP102" i="2"/>
  <c r="BP100" i="2"/>
  <c r="BP99" i="2"/>
  <c r="BP98" i="2"/>
  <c r="BP96" i="2"/>
  <c r="BP95" i="2"/>
  <c r="BP93" i="2"/>
  <c r="BP92" i="2"/>
  <c r="BP90" i="2"/>
  <c r="BP89" i="2"/>
  <c r="BP88" i="2"/>
  <c r="BP87" i="2"/>
  <c r="BP84" i="2"/>
  <c r="BP81" i="2"/>
  <c r="BP79" i="2"/>
  <c r="BP78" i="2"/>
  <c r="BP77" i="2"/>
  <c r="BP76" i="2"/>
  <c r="BP75" i="2"/>
  <c r="BP74" i="2"/>
  <c r="BP73" i="2"/>
  <c r="BP72" i="2"/>
  <c r="BP71" i="2"/>
  <c r="BP70" i="2"/>
  <c r="BP69" i="2"/>
  <c r="BP68" i="2"/>
  <c r="BP67" i="2"/>
  <c r="BP66" i="2"/>
  <c r="BP65" i="2"/>
  <c r="BP64" i="2"/>
  <c r="BP63" i="2"/>
  <c r="BP62" i="2"/>
  <c r="BP61" i="2"/>
  <c r="BP60" i="2"/>
  <c r="BP59" i="2"/>
  <c r="BP58" i="2"/>
  <c r="BP55" i="2"/>
  <c r="BP54" i="2"/>
  <c r="BP53" i="2"/>
  <c r="BP52" i="2"/>
  <c r="BP51" i="2"/>
  <c r="BP50" i="2"/>
  <c r="BP48" i="2"/>
  <c r="BP47" i="2"/>
  <c r="BP45" i="2"/>
  <c r="BP43" i="2"/>
  <c r="BP42" i="2"/>
  <c r="BP40" i="2"/>
  <c r="BP39" i="2"/>
  <c r="BP38" i="2"/>
  <c r="BP37" i="2"/>
  <c r="BP36" i="2"/>
  <c r="BP35" i="2"/>
  <c r="BP34" i="2"/>
  <c r="BP33" i="2"/>
  <c r="BP32" i="2"/>
  <c r="BP31" i="2"/>
  <c r="BP30" i="2"/>
  <c r="BP29" i="2"/>
  <c r="BP28" i="2"/>
  <c r="BP27" i="2"/>
  <c r="BP26" i="2"/>
  <c r="BP25" i="2"/>
  <c r="BP24" i="2"/>
  <c r="BP23" i="2"/>
  <c r="BP22" i="2"/>
  <c r="BP20" i="2"/>
  <c r="BP19" i="2"/>
  <c r="BP18" i="2"/>
  <c r="BP17" i="2"/>
  <c r="BP16" i="2"/>
  <c r="BP15" i="2"/>
  <c r="BP14" i="2"/>
  <c r="BP13" i="2"/>
  <c r="BP12" i="2"/>
  <c r="BP11" i="2"/>
  <c r="BP10" i="2"/>
  <c r="BN293" i="2"/>
  <c r="BN292" i="2"/>
  <c r="BN291" i="2"/>
  <c r="BN290" i="2"/>
  <c r="BN289" i="2"/>
  <c r="BN288" i="2"/>
  <c r="BN286" i="2"/>
  <c r="BN279" i="2"/>
  <c r="BN274" i="2"/>
  <c r="BN273" i="2"/>
  <c r="BN270" i="2"/>
  <c r="BN267" i="2"/>
  <c r="BN266" i="2"/>
  <c r="BN265" i="2"/>
  <c r="BN264" i="2"/>
  <c r="BN263" i="2"/>
  <c r="BN262" i="2"/>
  <c r="BN260" i="2"/>
  <c r="BN258" i="2"/>
  <c r="BN257" i="2"/>
  <c r="BN246" i="2"/>
  <c r="BN245" i="2"/>
  <c r="BN244" i="2"/>
  <c r="BN243" i="2"/>
  <c r="BN242" i="2"/>
  <c r="BN241" i="2"/>
  <c r="BN238" i="2"/>
  <c r="BN235" i="2"/>
  <c r="BN234" i="2"/>
  <c r="BN233" i="2"/>
  <c r="BN232" i="2"/>
  <c r="BN225" i="2"/>
  <c r="BN224" i="2"/>
  <c r="BN223" i="2"/>
  <c r="BN220" i="2"/>
  <c r="BN210" i="2"/>
  <c r="BN209" i="2"/>
  <c r="BN208" i="2"/>
  <c r="BN204" i="2"/>
  <c r="BN203" i="2"/>
  <c r="BN199" i="2"/>
  <c r="BN198" i="2"/>
  <c r="BN197" i="2"/>
  <c r="BN196" i="2"/>
  <c r="BN195" i="2"/>
  <c r="BN194" i="2"/>
  <c r="BN193" i="2"/>
  <c r="BN191" i="2"/>
  <c r="BN190" i="2"/>
  <c r="BN189" i="2"/>
  <c r="BN187" i="2"/>
  <c r="BN186" i="2"/>
  <c r="BN185" i="2"/>
  <c r="BN184" i="2"/>
  <c r="BN183" i="2"/>
  <c r="BN182" i="2"/>
  <c r="BN181" i="2"/>
  <c r="BN180" i="2"/>
  <c r="BN179" i="2"/>
  <c r="BN178" i="2"/>
  <c r="BN177" i="2"/>
  <c r="BN176" i="2"/>
  <c r="BN174" i="2"/>
  <c r="BN173" i="2"/>
  <c r="BN172" i="2"/>
  <c r="BN171" i="2"/>
  <c r="BN170" i="2"/>
  <c r="BN169" i="2"/>
  <c r="BN167" i="2"/>
  <c r="BN166" i="2"/>
  <c r="BN165" i="2"/>
  <c r="BN164" i="2"/>
  <c r="BN163" i="2"/>
  <c r="BN162" i="2"/>
  <c r="BN161" i="2"/>
  <c r="BN160" i="2"/>
  <c r="BN159" i="2"/>
  <c r="BN157" i="2"/>
  <c r="BN155" i="2"/>
  <c r="BN154" i="2"/>
  <c r="BN153" i="2"/>
  <c r="BN151" i="2"/>
  <c r="BN150" i="2"/>
  <c r="BN149" i="2"/>
  <c r="BN148" i="2"/>
  <c r="BN147" i="2"/>
  <c r="BN146" i="2"/>
  <c r="BN145" i="2"/>
  <c r="BN144" i="2"/>
  <c r="BN143" i="2"/>
  <c r="BN142" i="2"/>
  <c r="BN141" i="2"/>
  <c r="BN140" i="2"/>
  <c r="BN139" i="2"/>
  <c r="BN137" i="2"/>
  <c r="BN136" i="2"/>
  <c r="BN135" i="2"/>
  <c r="BN132" i="2"/>
  <c r="BN131" i="2"/>
  <c r="BN130" i="2"/>
  <c r="BN122" i="2"/>
  <c r="BN120" i="2"/>
  <c r="BN116" i="2"/>
  <c r="BN115" i="2"/>
  <c r="BN114" i="2"/>
  <c r="BN111" i="2"/>
  <c r="BN107" i="2"/>
  <c r="BN105" i="2"/>
  <c r="BN104" i="2"/>
  <c r="BN103" i="2"/>
  <c r="BN102" i="2"/>
  <c r="BN99" i="2"/>
  <c r="BN98" i="2"/>
  <c r="BN95" i="2"/>
  <c r="BN94" i="2"/>
  <c r="BN93" i="2"/>
  <c r="BN90" i="2"/>
  <c r="BN89" i="2"/>
  <c r="BN88" i="2"/>
  <c r="BN87" i="2"/>
  <c r="BN84" i="2"/>
  <c r="BN83" i="2"/>
  <c r="BN82" i="2"/>
  <c r="BN78" i="2"/>
  <c r="BN77" i="2"/>
  <c r="BN76" i="2"/>
  <c r="BN75" i="2"/>
  <c r="BN74" i="2"/>
  <c r="BN73" i="2"/>
  <c r="BN72" i="2"/>
  <c r="BN71" i="2"/>
  <c r="BN70" i="2"/>
  <c r="BN68" i="2"/>
  <c r="BN67" i="2"/>
  <c r="BN64" i="2"/>
  <c r="BN61" i="2"/>
  <c r="BN60" i="2"/>
  <c r="BN59" i="2"/>
  <c r="BN55" i="2"/>
  <c r="BN53" i="2"/>
  <c r="BN52" i="2"/>
  <c r="BN51" i="2"/>
  <c r="BN48" i="2"/>
  <c r="BN47" i="2"/>
  <c r="BN45" i="2"/>
  <c r="BN43" i="2"/>
  <c r="BN42" i="2"/>
  <c r="BN40" i="2"/>
  <c r="BN39" i="2"/>
  <c r="BN38" i="2"/>
  <c r="BN37" i="2"/>
  <c r="BN36" i="2"/>
  <c r="BN35" i="2"/>
  <c r="BN34" i="2"/>
  <c r="BN33" i="2"/>
  <c r="BN32" i="2"/>
  <c r="BN30" i="2"/>
  <c r="BN29" i="2"/>
  <c r="BN28" i="2"/>
  <c r="BN27" i="2"/>
  <c r="BN26" i="2"/>
  <c r="BN25" i="2"/>
  <c r="BN24" i="2"/>
  <c r="BN23" i="2"/>
  <c r="BN22" i="2"/>
  <c r="BN20" i="2"/>
  <c r="BN18" i="2"/>
  <c r="BN17" i="2"/>
  <c r="BN16" i="2"/>
  <c r="BN15" i="2"/>
  <c r="BN14" i="2"/>
  <c r="BN13" i="2"/>
  <c r="BN12" i="2"/>
  <c r="BN11" i="2"/>
  <c r="BN10" i="2"/>
  <c r="BL293" i="2"/>
  <c r="BL292" i="2"/>
  <c r="BL291" i="2"/>
  <c r="BL290" i="2"/>
  <c r="BL289" i="2"/>
  <c r="BL288" i="2"/>
  <c r="BL286" i="2"/>
  <c r="BL274" i="2"/>
  <c r="BL271" i="2"/>
  <c r="BL265" i="2"/>
  <c r="BL246" i="2"/>
  <c r="BL245" i="2"/>
  <c r="BL237" i="2"/>
  <c r="BL233" i="2"/>
  <c r="BL213" i="2"/>
  <c r="BL211" i="2"/>
  <c r="BL204" i="2"/>
  <c r="BL198" i="2"/>
  <c r="BL196" i="2"/>
  <c r="BL195" i="2"/>
  <c r="BL194" i="2"/>
  <c r="BL191" i="2"/>
  <c r="BL190" i="2"/>
  <c r="BL189" i="2"/>
  <c r="BL188" i="2"/>
  <c r="BL187" i="2"/>
  <c r="BL186" i="2"/>
  <c r="BL185" i="2"/>
  <c r="BL184" i="2"/>
  <c r="BL183" i="2"/>
  <c r="BL182" i="2"/>
  <c r="BL181" i="2"/>
  <c r="BL180" i="2"/>
  <c r="BL179" i="2"/>
  <c r="BL177" i="2"/>
  <c r="BL176" i="2"/>
  <c r="BL174" i="2"/>
  <c r="BL173" i="2"/>
  <c r="BL171" i="2"/>
  <c r="BL170" i="2"/>
  <c r="BL169" i="2"/>
  <c r="BL167" i="2"/>
  <c r="BL166" i="2"/>
  <c r="BL165" i="2"/>
  <c r="BL164" i="2"/>
  <c r="BL163" i="2"/>
  <c r="BL162" i="2"/>
  <c r="BL161" i="2"/>
  <c r="BL160" i="2"/>
  <c r="BL159" i="2"/>
  <c r="BL157" i="2"/>
  <c r="BL155" i="2"/>
  <c r="BL153" i="2"/>
  <c r="BL151" i="2"/>
  <c r="BL150" i="2"/>
  <c r="BL149" i="2"/>
  <c r="BL148" i="2"/>
  <c r="BL147" i="2"/>
  <c r="BL146" i="2"/>
  <c r="BL145" i="2"/>
  <c r="BL144" i="2"/>
  <c r="BL143" i="2"/>
  <c r="BL142" i="2"/>
  <c r="BL140" i="2"/>
  <c r="BL139" i="2"/>
  <c r="BL137" i="2"/>
  <c r="BL135" i="2"/>
  <c r="BL132" i="2"/>
  <c r="BL115" i="2"/>
  <c r="BL111" i="2"/>
  <c r="BL96" i="2"/>
  <c r="BL93" i="2"/>
  <c r="BL90" i="2"/>
  <c r="BL87" i="2"/>
  <c r="BL85" i="2"/>
  <c r="BL82" i="2"/>
  <c r="BL77" i="2"/>
  <c r="BL72" i="2"/>
  <c r="BL63" i="2"/>
  <c r="BL61" i="2"/>
  <c r="BL60" i="2"/>
  <c r="BL57" i="2"/>
  <c r="BL52" i="2"/>
  <c r="BL51" i="2"/>
  <c r="BL50" i="2"/>
  <c r="BL45" i="2"/>
  <c r="BL44" i="2"/>
  <c r="BL42" i="2"/>
  <c r="BL40" i="2"/>
  <c r="BL39" i="2"/>
  <c r="BL38" i="2"/>
  <c r="BL37" i="2"/>
  <c r="BL36" i="2"/>
  <c r="BL35" i="2"/>
  <c r="BL34" i="2"/>
  <c r="BL33" i="2"/>
  <c r="BL32" i="2"/>
  <c r="BL30" i="2"/>
  <c r="BL29" i="2"/>
  <c r="BL28" i="2"/>
  <c r="BL27" i="2"/>
  <c r="BL26" i="2"/>
  <c r="BL25" i="2"/>
  <c r="BL24" i="2"/>
  <c r="BL23" i="2"/>
  <c r="BL22" i="2"/>
  <c r="BL20" i="2"/>
  <c r="BL17" i="2"/>
  <c r="BL16" i="2"/>
  <c r="BL15" i="2"/>
  <c r="BL14" i="2"/>
  <c r="BL13" i="2"/>
  <c r="BL12" i="2"/>
  <c r="BL11" i="2"/>
  <c r="BL10" i="2"/>
  <c r="BB293" i="2"/>
  <c r="BB292" i="2"/>
  <c r="BB290" i="2"/>
  <c r="BB289" i="2"/>
  <c r="BB288" i="2"/>
  <c r="BB286" i="2"/>
  <c r="BB285" i="2"/>
  <c r="BB284" i="2"/>
  <c r="BB282" i="2"/>
  <c r="BB281" i="2"/>
  <c r="BB280" i="2"/>
  <c r="BB279" i="2"/>
  <c r="BB278" i="2"/>
  <c r="BB277" i="2"/>
  <c r="BB274" i="2"/>
  <c r="BB270" i="2"/>
  <c r="BB269" i="2"/>
  <c r="BB268" i="2"/>
  <c r="BB267" i="2"/>
  <c r="BB266" i="2"/>
  <c r="BB265" i="2"/>
  <c r="BB264" i="2"/>
  <c r="BB263" i="2"/>
  <c r="BB262" i="2"/>
  <c r="BB261" i="2"/>
  <c r="BB260" i="2"/>
  <c r="BB259" i="2"/>
  <c r="BB258" i="2"/>
  <c r="BB257" i="2"/>
  <c r="BB256" i="2"/>
  <c r="BB254" i="2"/>
  <c r="BB253" i="2"/>
  <c r="BB251" i="2"/>
  <c r="BB249" i="2"/>
  <c r="BB248" i="2"/>
  <c r="BB247" i="2"/>
  <c r="BB246" i="2"/>
  <c r="BB245" i="2"/>
  <c r="BB244" i="2"/>
  <c r="BB243" i="2"/>
  <c r="BB242" i="2"/>
  <c r="BB241" i="2"/>
  <c r="BB240" i="2"/>
  <c r="BB239" i="2"/>
  <c r="BB238" i="2"/>
  <c r="BB237" i="2"/>
  <c r="BB236" i="2"/>
  <c r="BB235" i="2"/>
  <c r="BB234" i="2"/>
  <c r="BB233" i="2"/>
  <c r="BB232" i="2"/>
  <c r="BB231" i="2"/>
  <c r="BB230" i="2"/>
  <c r="BB229" i="2"/>
  <c r="BB228" i="2"/>
  <c r="BB227" i="2"/>
  <c r="BB226" i="2"/>
  <c r="BB225" i="2"/>
  <c r="BB224" i="2"/>
  <c r="BB223" i="2"/>
  <c r="BB221" i="2"/>
  <c r="BB219" i="2"/>
  <c r="BB218" i="2"/>
  <c r="BB217" i="2"/>
  <c r="BB215" i="2"/>
  <c r="BB214" i="2"/>
  <c r="BB213" i="2"/>
  <c r="BB212" i="2"/>
  <c r="BB211" i="2"/>
  <c r="BB210" i="2"/>
  <c r="BB209" i="2"/>
  <c r="BB208" i="2"/>
  <c r="BB207" i="2"/>
  <c r="BB206" i="2"/>
  <c r="BB204" i="2"/>
  <c r="BB203" i="2"/>
  <c r="BB202" i="2"/>
  <c r="BB200" i="2"/>
  <c r="BB199" i="2"/>
  <c r="BB198" i="2"/>
  <c r="BB197" i="2"/>
  <c r="BB196" i="2"/>
  <c r="BB194" i="2"/>
  <c r="BB193" i="2"/>
  <c r="BB189" i="2"/>
  <c r="BB188" i="2"/>
  <c r="BB187" i="2"/>
  <c r="BB184" i="2"/>
  <c r="BB183" i="2"/>
  <c r="BB182" i="2"/>
  <c r="BB181" i="2"/>
  <c r="BB178" i="2"/>
  <c r="BB177" i="2"/>
  <c r="BB176" i="2"/>
  <c r="BB175" i="2"/>
  <c r="BB174" i="2"/>
  <c r="BB173" i="2"/>
  <c r="BB172" i="2"/>
  <c r="BB171" i="2"/>
  <c r="BB170" i="2"/>
  <c r="BB169" i="2"/>
  <c r="BB168" i="2"/>
  <c r="BB167" i="2"/>
  <c r="BB166" i="2"/>
  <c r="BB165" i="2"/>
  <c r="BB164" i="2"/>
  <c r="BB162" i="2"/>
  <c r="BB161" i="2"/>
  <c r="BB160" i="2"/>
  <c r="BB158" i="2"/>
  <c r="BB157" i="2"/>
  <c r="BB156" i="2"/>
  <c r="BB154" i="2"/>
  <c r="BB151" i="2"/>
  <c r="BB150" i="2"/>
  <c r="BB149" i="2"/>
  <c r="BB146" i="2"/>
  <c r="BB145" i="2"/>
  <c r="BB143" i="2"/>
  <c r="BB142" i="2"/>
  <c r="BB141" i="2"/>
  <c r="BB140" i="2"/>
  <c r="BB139" i="2"/>
  <c r="BB138" i="2"/>
  <c r="BB137" i="2"/>
  <c r="BB135" i="2"/>
  <c r="BB134" i="2"/>
  <c r="BB133" i="2"/>
  <c r="BB132" i="2"/>
  <c r="BB131" i="2"/>
  <c r="BB130" i="2"/>
  <c r="BB129" i="2"/>
  <c r="BB128" i="2"/>
  <c r="BB127" i="2"/>
  <c r="BB126" i="2"/>
  <c r="BB125" i="2"/>
  <c r="BB124" i="2"/>
  <c r="BB123" i="2"/>
  <c r="BB121" i="2"/>
  <c r="BB119" i="2"/>
  <c r="BB118" i="2"/>
  <c r="BB117" i="2"/>
  <c r="BB116" i="2"/>
  <c r="BB115" i="2"/>
  <c r="BB114" i="2"/>
  <c r="BB113" i="2"/>
  <c r="BB112" i="2"/>
  <c r="BB111" i="2"/>
  <c r="BB110" i="2"/>
  <c r="BB107" i="2"/>
  <c r="BB106" i="2"/>
  <c r="BB105" i="2"/>
  <c r="BB103" i="2"/>
  <c r="BB102" i="2"/>
  <c r="BB101" i="2"/>
  <c r="BB100" i="2"/>
  <c r="BB98" i="2"/>
  <c r="BB97" i="2"/>
  <c r="BB96" i="2"/>
  <c r="BB95" i="2"/>
  <c r="BB94" i="2"/>
  <c r="BB93" i="2"/>
  <c r="BB92" i="2"/>
  <c r="BB90" i="2"/>
  <c r="BB89" i="2"/>
  <c r="BB88" i="2"/>
  <c r="BB86" i="2"/>
  <c r="BB85" i="2"/>
  <c r="BB84" i="2"/>
  <c r="BB83" i="2"/>
  <c r="BB82" i="2"/>
  <c r="BB80" i="2"/>
  <c r="BB78" i="2"/>
  <c r="BB77" i="2"/>
  <c r="BB76" i="2"/>
  <c r="BB75" i="2"/>
  <c r="BB74" i="2"/>
  <c r="BB73" i="2"/>
  <c r="BB72" i="2"/>
  <c r="BB71" i="2"/>
  <c r="BB70" i="2"/>
  <c r="BB69" i="2"/>
  <c r="BB68" i="2"/>
  <c r="BB67" i="2"/>
  <c r="BB66" i="2"/>
  <c r="BB65" i="2"/>
  <c r="BB64" i="2"/>
  <c r="BB63" i="2"/>
  <c r="BB62" i="2"/>
  <c r="BB61" i="2"/>
  <c r="BB60" i="2"/>
  <c r="BB58" i="2"/>
  <c r="BB55" i="2"/>
  <c r="BB54" i="2"/>
  <c r="BB53" i="2"/>
  <c r="BB52" i="2"/>
  <c r="BB51" i="2"/>
  <c r="BB49" i="2"/>
  <c r="BB48" i="2"/>
  <c r="BB47" i="2"/>
  <c r="BB46" i="2"/>
  <c r="BB45" i="2"/>
  <c r="BB43" i="2"/>
  <c r="BB42" i="2"/>
  <c r="BB40" i="2"/>
  <c r="BB38" i="2"/>
  <c r="BB37" i="2"/>
  <c r="BB33" i="2"/>
  <c r="BB32" i="2"/>
  <c r="BB31" i="2"/>
  <c r="BB30" i="2"/>
  <c r="BB29" i="2"/>
  <c r="BB28" i="2"/>
  <c r="BB27" i="2"/>
  <c r="BB26" i="2"/>
  <c r="BB24" i="2"/>
  <c r="BB23" i="2"/>
  <c r="BB22" i="2"/>
  <c r="BB21" i="2"/>
  <c r="BB18" i="2"/>
  <c r="BB17" i="2"/>
  <c r="BB16" i="2"/>
  <c r="BB15" i="2"/>
  <c r="BB14" i="2"/>
  <c r="BB10" i="2"/>
  <c r="AY288" i="2"/>
  <c r="AY281" i="2"/>
  <c r="AY280" i="2"/>
  <c r="AY274" i="2"/>
  <c r="AY268" i="2"/>
  <c r="AY256" i="2"/>
  <c r="AY251" i="2"/>
  <c r="AY240" i="2"/>
  <c r="AY239" i="2"/>
  <c r="AY236" i="2"/>
  <c r="AY232" i="2"/>
  <c r="AY231" i="2"/>
  <c r="AY229" i="2"/>
  <c r="AY226" i="2"/>
  <c r="AY218" i="2"/>
  <c r="AY215" i="2"/>
  <c r="AY214" i="2"/>
  <c r="AY213" i="2"/>
  <c r="AY211" i="2"/>
  <c r="AY204" i="2"/>
  <c r="AY200" i="2"/>
  <c r="AY193" i="2"/>
  <c r="AY188" i="2"/>
  <c r="AY174" i="2"/>
  <c r="AY167" i="2"/>
  <c r="AY166" i="2"/>
  <c r="AY164" i="2"/>
  <c r="AY162" i="2"/>
  <c r="AY161" i="2"/>
  <c r="AY158" i="2"/>
  <c r="AY156" i="2"/>
  <c r="AY142" i="2"/>
  <c r="AY141" i="2"/>
  <c r="AY137" i="2"/>
  <c r="AY135" i="2"/>
  <c r="AY132" i="2"/>
  <c r="AY128" i="2"/>
  <c r="AY124" i="2"/>
  <c r="AY117" i="2"/>
  <c r="AY114" i="2"/>
  <c r="AY112" i="2"/>
  <c r="AY111" i="2"/>
  <c r="AY100" i="2"/>
  <c r="AY97" i="2"/>
  <c r="AY96" i="2"/>
  <c r="AY92" i="2"/>
  <c r="AY90" i="2"/>
  <c r="AY86" i="2"/>
  <c r="AY85" i="2"/>
  <c r="AY83" i="2"/>
  <c r="AY82" i="2"/>
  <c r="AY61" i="2"/>
  <c r="AY60" i="2"/>
  <c r="AY53" i="2"/>
  <c r="AY51" i="2"/>
  <c r="AY42" i="2"/>
  <c r="AY27" i="2"/>
  <c r="AY21" i="2"/>
  <c r="AO293" i="2"/>
  <c r="AO292" i="2"/>
  <c r="AO291" i="2"/>
  <c r="AO290" i="2"/>
  <c r="AO289" i="2"/>
  <c r="AO288" i="2"/>
  <c r="AO287" i="2"/>
  <c r="AO286" i="2"/>
  <c r="AO285" i="2"/>
  <c r="AO284" i="2"/>
  <c r="AO283" i="2"/>
  <c r="AO282" i="2"/>
  <c r="AO281" i="2"/>
  <c r="AO280" i="2"/>
  <c r="AO279" i="2"/>
  <c r="AO278" i="2"/>
  <c r="AO277" i="2"/>
  <c r="AO276" i="2"/>
  <c r="AO275" i="2"/>
  <c r="AO274" i="2"/>
  <c r="AO273" i="2"/>
  <c r="AO272" i="2"/>
  <c r="AO271" i="2"/>
  <c r="AO270" i="2"/>
  <c r="AO269" i="2"/>
  <c r="AO268" i="2"/>
  <c r="AO267" i="2"/>
  <c r="AO266" i="2"/>
  <c r="AO265" i="2"/>
  <c r="AO264" i="2"/>
  <c r="AO263" i="2"/>
  <c r="AO262" i="2"/>
  <c r="AO261" i="2"/>
  <c r="AO260" i="2"/>
  <c r="AO259" i="2"/>
  <c r="AO258" i="2"/>
  <c r="AO257" i="2"/>
  <c r="AO256" i="2"/>
  <c r="AO255" i="2"/>
  <c r="AO254" i="2"/>
  <c r="AO253" i="2"/>
  <c r="AO252" i="2"/>
  <c r="AO251" i="2"/>
  <c r="AO250" i="2"/>
  <c r="AO249" i="2"/>
  <c r="AO248" i="2"/>
  <c r="AO247" i="2"/>
  <c r="AO246" i="2"/>
  <c r="AO245" i="2"/>
  <c r="AO244" i="2"/>
  <c r="AO243" i="2"/>
  <c r="AO242" i="2"/>
  <c r="AO241" i="2"/>
  <c r="AO240" i="2"/>
  <c r="AO239" i="2"/>
  <c r="AO238" i="2"/>
  <c r="AO237" i="2"/>
  <c r="AO236" i="2"/>
  <c r="AO235" i="2"/>
  <c r="AO234" i="2"/>
  <c r="AO233" i="2"/>
  <c r="AO232" i="2"/>
  <c r="AO231" i="2"/>
  <c r="AO230" i="2"/>
  <c r="AO229" i="2"/>
  <c r="AO228" i="2"/>
  <c r="AO227" i="2"/>
  <c r="AO226" i="2"/>
  <c r="AO225" i="2"/>
  <c r="AO224" i="2"/>
  <c r="AO223" i="2"/>
  <c r="AO222" i="2"/>
  <c r="AO221" i="2"/>
  <c r="AO220" i="2"/>
  <c r="AO219" i="2"/>
  <c r="AO218" i="2"/>
  <c r="AO217" i="2"/>
  <c r="AO216" i="2"/>
  <c r="AO215" i="2"/>
  <c r="AO214" i="2"/>
  <c r="AO213" i="2"/>
  <c r="AO212" i="2"/>
  <c r="AO211" i="2"/>
  <c r="AO210" i="2"/>
  <c r="AO209" i="2"/>
  <c r="AO208" i="2"/>
  <c r="AO207" i="2"/>
  <c r="AO206" i="2"/>
  <c r="AO205" i="2"/>
  <c r="AO204" i="2"/>
  <c r="AO203" i="2"/>
  <c r="AO202" i="2"/>
  <c r="AO201" i="2"/>
  <c r="AO200" i="2"/>
  <c r="AO199" i="2"/>
  <c r="AO198" i="2"/>
  <c r="AO197" i="2"/>
  <c r="AO196" i="2"/>
  <c r="AO195" i="2"/>
  <c r="AO194" i="2"/>
  <c r="AO193" i="2"/>
  <c r="AO192" i="2"/>
  <c r="AO191" i="2"/>
  <c r="AO190" i="2"/>
  <c r="AO189" i="2"/>
  <c r="AO188" i="2"/>
  <c r="AO187" i="2"/>
  <c r="AO186" i="2"/>
  <c r="AO185" i="2"/>
  <c r="AO184" i="2"/>
  <c r="AO183" i="2"/>
  <c r="AO182" i="2"/>
  <c r="AO181" i="2"/>
  <c r="AO180" i="2"/>
  <c r="AO179" i="2"/>
  <c r="AO178" i="2"/>
  <c r="AO177" i="2"/>
  <c r="AO176" i="2"/>
  <c r="AO175" i="2"/>
  <c r="AO174" i="2"/>
  <c r="AO173" i="2"/>
  <c r="AO172" i="2"/>
  <c r="AO171" i="2"/>
  <c r="AO170" i="2"/>
  <c r="AO169" i="2"/>
  <c r="AO168" i="2"/>
  <c r="AO167" i="2"/>
  <c r="AO166" i="2"/>
  <c r="AO165" i="2"/>
  <c r="AO164" i="2"/>
  <c r="AO163" i="2"/>
  <c r="AO162" i="2"/>
  <c r="AO161" i="2"/>
  <c r="AO160" i="2"/>
  <c r="AO159" i="2"/>
  <c r="AO158" i="2"/>
  <c r="AO157" i="2"/>
  <c r="AO156" i="2"/>
  <c r="AO155" i="2"/>
  <c r="AO154" i="2"/>
  <c r="AO153" i="2"/>
  <c r="AO152" i="2"/>
  <c r="AO151" i="2"/>
  <c r="AO150" i="2"/>
  <c r="AO149" i="2"/>
  <c r="AO148" i="2"/>
  <c r="AO147" i="2"/>
  <c r="AO146" i="2"/>
  <c r="AO145" i="2"/>
  <c r="AO144" i="2"/>
  <c r="AO143" i="2"/>
  <c r="AO142" i="2"/>
  <c r="AO141" i="2"/>
  <c r="AO140" i="2"/>
  <c r="AO139" i="2"/>
  <c r="AO138" i="2"/>
  <c r="AO137" i="2"/>
  <c r="AO136" i="2"/>
  <c r="AO135" i="2"/>
  <c r="AO134" i="2"/>
  <c r="AO133" i="2"/>
  <c r="AO132" i="2"/>
  <c r="AO131" i="2"/>
  <c r="AO130" i="2"/>
  <c r="AO129" i="2"/>
  <c r="AO128" i="2"/>
  <c r="AO127" i="2"/>
  <c r="AO126" i="2"/>
  <c r="AO125" i="2"/>
  <c r="AO124" i="2"/>
  <c r="AO123" i="2"/>
  <c r="AO122" i="2"/>
  <c r="AO121" i="2"/>
  <c r="AO120" i="2"/>
  <c r="AO119" i="2"/>
  <c r="AO118" i="2"/>
  <c r="AO117" i="2"/>
  <c r="AO116" i="2"/>
  <c r="AO115" i="2"/>
  <c r="AO114" i="2"/>
  <c r="AO113" i="2"/>
  <c r="AO112" i="2"/>
  <c r="AO111" i="2"/>
  <c r="AO110" i="2"/>
  <c r="AO109" i="2"/>
  <c r="AO108" i="2"/>
  <c r="AO107" i="2"/>
  <c r="AO106" i="2"/>
  <c r="AO105" i="2"/>
  <c r="AO104" i="2"/>
  <c r="AO103" i="2"/>
  <c r="AO102" i="2"/>
  <c r="AO101" i="2"/>
  <c r="AO100" i="2"/>
  <c r="AO99" i="2"/>
  <c r="AO98" i="2"/>
  <c r="AO97" i="2"/>
  <c r="AO96" i="2"/>
  <c r="AO95" i="2"/>
  <c r="AO94" i="2"/>
  <c r="AO93" i="2"/>
  <c r="AO92" i="2"/>
  <c r="AO91" i="2"/>
  <c r="AO90" i="2"/>
  <c r="AO89" i="2"/>
  <c r="AO88" i="2"/>
  <c r="AO87" i="2"/>
  <c r="AO86" i="2"/>
  <c r="AO85" i="2"/>
  <c r="AO84" i="2"/>
  <c r="AO83" i="2"/>
  <c r="AO82" i="2"/>
  <c r="AO81" i="2"/>
  <c r="AO80" i="2"/>
  <c r="AO79" i="2"/>
  <c r="AO78" i="2"/>
  <c r="AO77" i="2"/>
  <c r="AO76" i="2"/>
  <c r="AO75" i="2"/>
  <c r="AO74" i="2"/>
  <c r="AO73" i="2"/>
  <c r="AO72" i="2"/>
  <c r="AO71" i="2"/>
  <c r="AO70" i="2"/>
  <c r="AO69" i="2"/>
  <c r="AO68" i="2"/>
  <c r="AO67" i="2"/>
  <c r="AO66" i="2"/>
  <c r="AO65" i="2"/>
  <c r="AO64" i="2"/>
  <c r="AO63" i="2"/>
  <c r="AO62" i="2"/>
  <c r="AO61" i="2"/>
  <c r="AO60" i="2"/>
  <c r="AO59" i="2"/>
  <c r="AO58" i="2"/>
  <c r="AO57" i="2"/>
  <c r="AO56" i="2"/>
  <c r="AO55" i="2"/>
  <c r="AO54" i="2"/>
  <c r="AO53" i="2"/>
  <c r="AO52" i="2"/>
  <c r="AO51" i="2"/>
  <c r="AO50" i="2"/>
  <c r="AO49" i="2"/>
  <c r="AO48" i="2"/>
  <c r="AO47" i="2"/>
  <c r="AO46" i="2"/>
  <c r="AO45" i="2"/>
  <c r="AO44" i="2"/>
  <c r="AO43" i="2"/>
  <c r="AO42" i="2"/>
  <c r="AO41" i="2"/>
  <c r="AO40" i="2"/>
  <c r="AO39" i="2"/>
  <c r="AO38" i="2"/>
  <c r="AO37" i="2"/>
  <c r="AO36" i="2"/>
  <c r="AO35" i="2"/>
  <c r="AO34" i="2"/>
  <c r="AO33" i="2"/>
  <c r="AO32" i="2"/>
  <c r="AO31" i="2"/>
  <c r="AO30" i="2"/>
  <c r="AO29" i="2"/>
  <c r="AO28" i="2"/>
  <c r="AO27" i="2"/>
  <c r="AO26" i="2"/>
  <c r="AO25" i="2"/>
  <c r="AO24" i="2"/>
  <c r="AO23" i="2"/>
  <c r="AO22" i="2"/>
  <c r="AO21" i="2"/>
  <c r="AO20" i="2"/>
  <c r="AO19" i="2"/>
  <c r="AO18" i="2"/>
  <c r="AO17" i="2"/>
  <c r="AO16" i="2"/>
  <c r="AO15" i="2"/>
  <c r="AO14" i="2"/>
  <c r="AO13" i="2"/>
  <c r="AO12" i="2"/>
  <c r="AO11" i="2"/>
  <c r="AO10" i="2"/>
  <c r="AM293" i="2"/>
  <c r="AM292" i="2"/>
  <c r="AM291" i="2"/>
  <c r="AM290" i="2"/>
  <c r="AM289" i="2"/>
  <c r="AM288" i="2"/>
  <c r="AM287" i="2"/>
  <c r="AM286" i="2"/>
  <c r="AM285" i="2"/>
  <c r="AM284" i="2"/>
  <c r="AM283" i="2"/>
  <c r="AM282" i="2"/>
  <c r="AM281" i="2"/>
  <c r="AM280" i="2"/>
  <c r="AM279" i="2"/>
  <c r="AM278" i="2"/>
  <c r="AM277" i="2"/>
  <c r="AM276" i="2"/>
  <c r="AM275" i="2"/>
  <c r="AM274" i="2"/>
  <c r="AM273" i="2"/>
  <c r="AM272" i="2"/>
  <c r="AM271" i="2"/>
  <c r="AM270" i="2"/>
  <c r="AM269" i="2"/>
  <c r="AM268" i="2"/>
  <c r="AM267" i="2"/>
  <c r="AM266" i="2"/>
  <c r="AM265" i="2"/>
  <c r="AM264" i="2"/>
  <c r="AM263" i="2"/>
  <c r="AM262" i="2"/>
  <c r="AM261" i="2"/>
  <c r="AM260" i="2"/>
  <c r="AM259" i="2"/>
  <c r="AM258" i="2"/>
  <c r="AM257" i="2"/>
  <c r="AM256" i="2"/>
  <c r="AM255" i="2"/>
  <c r="AM254" i="2"/>
  <c r="AM253" i="2"/>
  <c r="AM252" i="2"/>
  <c r="AM251" i="2"/>
  <c r="AM250" i="2"/>
  <c r="AM249" i="2"/>
  <c r="AM248" i="2"/>
  <c r="AM247" i="2"/>
  <c r="AM246" i="2"/>
  <c r="AM245" i="2"/>
  <c r="AM244" i="2"/>
  <c r="AM243" i="2"/>
  <c r="AM242" i="2"/>
  <c r="AM241" i="2"/>
  <c r="AM240" i="2"/>
  <c r="AM239" i="2"/>
  <c r="AM238" i="2"/>
  <c r="AM237" i="2"/>
  <c r="AM236" i="2"/>
  <c r="AM235" i="2"/>
  <c r="AM234" i="2"/>
  <c r="AM233" i="2"/>
  <c r="AM232" i="2"/>
  <c r="AM231" i="2"/>
  <c r="AM230" i="2"/>
  <c r="AM229" i="2"/>
  <c r="AM228" i="2"/>
  <c r="AM227" i="2"/>
  <c r="AM226" i="2"/>
  <c r="AM225" i="2"/>
  <c r="AM224" i="2"/>
  <c r="AM223" i="2"/>
  <c r="AM222" i="2"/>
  <c r="AM221" i="2"/>
  <c r="AM220" i="2"/>
  <c r="AM219" i="2"/>
  <c r="AM218" i="2"/>
  <c r="AM217" i="2"/>
  <c r="AM216" i="2"/>
  <c r="AM215" i="2"/>
  <c r="AM214" i="2"/>
  <c r="AM213" i="2"/>
  <c r="AM212" i="2"/>
  <c r="AM211" i="2"/>
  <c r="AM210" i="2"/>
  <c r="AM209" i="2"/>
  <c r="AM208" i="2"/>
  <c r="AM207" i="2"/>
  <c r="AM206" i="2"/>
  <c r="AM205" i="2"/>
  <c r="AM204" i="2"/>
  <c r="AM203" i="2"/>
  <c r="AM202" i="2"/>
  <c r="AM201" i="2"/>
  <c r="AM200" i="2"/>
  <c r="AM199" i="2"/>
  <c r="AM198" i="2"/>
  <c r="AM197" i="2"/>
  <c r="AM196" i="2"/>
  <c r="AM195" i="2"/>
  <c r="AM194" i="2"/>
  <c r="AM193" i="2"/>
  <c r="AM192" i="2"/>
  <c r="AM191" i="2"/>
  <c r="AM190" i="2"/>
  <c r="AM189" i="2"/>
  <c r="AM188" i="2"/>
  <c r="AM187" i="2"/>
  <c r="AM186" i="2"/>
  <c r="AM185" i="2"/>
  <c r="AM184" i="2"/>
  <c r="AM183" i="2"/>
  <c r="AM182" i="2"/>
  <c r="AM181" i="2"/>
  <c r="AM180" i="2"/>
  <c r="AM179" i="2"/>
  <c r="AM178" i="2"/>
  <c r="AM177" i="2"/>
  <c r="AM176" i="2"/>
  <c r="AM175" i="2"/>
  <c r="AM174" i="2"/>
  <c r="AM173" i="2"/>
  <c r="AM172" i="2"/>
  <c r="AM171" i="2"/>
  <c r="AM170" i="2"/>
  <c r="AM169" i="2"/>
  <c r="AM168" i="2"/>
  <c r="AM167" i="2"/>
  <c r="AM166" i="2"/>
  <c r="AM165" i="2"/>
  <c r="AM164" i="2"/>
  <c r="AM163" i="2"/>
  <c r="AM162" i="2"/>
  <c r="AM161" i="2"/>
  <c r="AM160" i="2"/>
  <c r="AM159" i="2"/>
  <c r="AM158" i="2"/>
  <c r="AM157" i="2"/>
  <c r="AM156" i="2"/>
  <c r="AM155" i="2"/>
  <c r="AM154" i="2"/>
  <c r="AM153" i="2"/>
  <c r="AM152" i="2"/>
  <c r="AM151" i="2"/>
  <c r="AM150" i="2"/>
  <c r="AM149" i="2"/>
  <c r="AM148" i="2"/>
  <c r="AM147" i="2"/>
  <c r="AM146" i="2"/>
  <c r="AM145" i="2"/>
  <c r="AM144" i="2"/>
  <c r="AM143" i="2"/>
  <c r="AM142" i="2"/>
  <c r="AM141" i="2"/>
  <c r="AM140" i="2"/>
  <c r="AM139" i="2"/>
  <c r="AM138" i="2"/>
  <c r="AM137" i="2"/>
  <c r="AM136" i="2"/>
  <c r="AM135" i="2"/>
  <c r="AM134" i="2"/>
  <c r="AM133" i="2"/>
  <c r="AM132" i="2"/>
  <c r="AM131" i="2"/>
  <c r="AM130" i="2"/>
  <c r="AM129" i="2"/>
  <c r="AM128" i="2"/>
  <c r="AM127" i="2"/>
  <c r="AM126" i="2"/>
  <c r="AM125" i="2"/>
  <c r="AM124" i="2"/>
  <c r="AM123" i="2"/>
  <c r="AM122" i="2"/>
  <c r="AM121" i="2"/>
  <c r="AM120" i="2"/>
  <c r="AM119" i="2"/>
  <c r="AM118" i="2"/>
  <c r="AM117" i="2"/>
  <c r="AM116" i="2"/>
  <c r="AM115" i="2"/>
  <c r="AM114" i="2"/>
  <c r="AM113" i="2"/>
  <c r="AM112" i="2"/>
  <c r="AM111" i="2"/>
  <c r="AM110" i="2"/>
  <c r="AM109" i="2"/>
  <c r="AM108" i="2"/>
  <c r="AM107" i="2"/>
  <c r="AM106" i="2"/>
  <c r="AM105" i="2"/>
  <c r="AM104" i="2"/>
  <c r="AM103" i="2"/>
  <c r="AM102" i="2"/>
  <c r="AM101" i="2"/>
  <c r="AM100" i="2"/>
  <c r="AM99" i="2"/>
  <c r="AM98" i="2"/>
  <c r="AM97" i="2"/>
  <c r="AM96" i="2"/>
  <c r="AM95" i="2"/>
  <c r="AM94" i="2"/>
  <c r="AM93" i="2"/>
  <c r="AM92" i="2"/>
  <c r="AM91" i="2"/>
  <c r="AM90" i="2"/>
  <c r="AM89" i="2"/>
  <c r="AM88" i="2"/>
  <c r="AM87" i="2"/>
  <c r="AM86" i="2"/>
  <c r="AM85" i="2"/>
  <c r="AM84" i="2"/>
  <c r="AM83" i="2"/>
  <c r="AM82" i="2"/>
  <c r="AM81" i="2"/>
  <c r="AM80" i="2"/>
  <c r="AM79" i="2"/>
  <c r="AM78" i="2"/>
  <c r="AM77" i="2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K293" i="2"/>
  <c r="AK292" i="2"/>
  <c r="AK291" i="2"/>
  <c r="AK290" i="2"/>
  <c r="AK289" i="2"/>
  <c r="AK288" i="2"/>
  <c r="AK287" i="2"/>
  <c r="AK286" i="2"/>
  <c r="AK285" i="2"/>
  <c r="AK284" i="2"/>
  <c r="AK283" i="2"/>
  <c r="AK282" i="2"/>
  <c r="AK281" i="2"/>
  <c r="AK280" i="2"/>
  <c r="AK279" i="2"/>
  <c r="AK278" i="2"/>
  <c r="AK277" i="2"/>
  <c r="AK276" i="2"/>
  <c r="AK275" i="2"/>
  <c r="AK274" i="2"/>
  <c r="AK273" i="2"/>
  <c r="AK272" i="2"/>
  <c r="AK271" i="2"/>
  <c r="AK270" i="2"/>
  <c r="AK269" i="2"/>
  <c r="AK268" i="2"/>
  <c r="AK267" i="2"/>
  <c r="AK266" i="2"/>
  <c r="AK265" i="2"/>
  <c r="AK264" i="2"/>
  <c r="AK263" i="2"/>
  <c r="AK262" i="2"/>
  <c r="AK261" i="2"/>
  <c r="AK260" i="2"/>
  <c r="AK259" i="2"/>
  <c r="AK258" i="2"/>
  <c r="AK257" i="2"/>
  <c r="AK256" i="2"/>
  <c r="AK255" i="2"/>
  <c r="AK254" i="2"/>
  <c r="AK253" i="2"/>
  <c r="AK252" i="2"/>
  <c r="AK251" i="2"/>
  <c r="AK250" i="2"/>
  <c r="AK249" i="2"/>
  <c r="AK248" i="2"/>
  <c r="AK247" i="2"/>
  <c r="AK246" i="2"/>
  <c r="AK245" i="2"/>
  <c r="AK244" i="2"/>
  <c r="AK243" i="2"/>
  <c r="AK242" i="2"/>
  <c r="AK241" i="2"/>
  <c r="AK240" i="2"/>
  <c r="AK239" i="2"/>
  <c r="AK238" i="2"/>
  <c r="AK237" i="2"/>
  <c r="AK236" i="2"/>
  <c r="AK235" i="2"/>
  <c r="AK234" i="2"/>
  <c r="AK233" i="2"/>
  <c r="AK232" i="2"/>
  <c r="AK231" i="2"/>
  <c r="AK230" i="2"/>
  <c r="AK229" i="2"/>
  <c r="AK228" i="2"/>
  <c r="AK227" i="2"/>
  <c r="AK226" i="2"/>
  <c r="AK225" i="2"/>
  <c r="AK224" i="2"/>
  <c r="AK223" i="2"/>
  <c r="AK222" i="2"/>
  <c r="AK221" i="2"/>
  <c r="AK220" i="2"/>
  <c r="AK219" i="2"/>
  <c r="AK218" i="2"/>
  <c r="AK217" i="2"/>
  <c r="AK216" i="2"/>
  <c r="AK215" i="2"/>
  <c r="AK214" i="2"/>
  <c r="AK213" i="2"/>
  <c r="AK212" i="2"/>
  <c r="AK211" i="2"/>
  <c r="AK210" i="2"/>
  <c r="AK209" i="2"/>
  <c r="AK208" i="2"/>
  <c r="AK207" i="2"/>
  <c r="AK206" i="2"/>
  <c r="AK205" i="2"/>
  <c r="AK204" i="2"/>
  <c r="AK203" i="2"/>
  <c r="AK202" i="2"/>
  <c r="AK201" i="2"/>
  <c r="AK200" i="2"/>
  <c r="AK199" i="2"/>
  <c r="AK198" i="2"/>
  <c r="AK197" i="2"/>
  <c r="AK196" i="2"/>
  <c r="AK195" i="2"/>
  <c r="AK194" i="2"/>
  <c r="AK193" i="2"/>
  <c r="AK192" i="2"/>
  <c r="AK191" i="2"/>
  <c r="AK190" i="2"/>
  <c r="AK189" i="2"/>
  <c r="AK188" i="2"/>
  <c r="AK187" i="2"/>
  <c r="AK186" i="2"/>
  <c r="AK185" i="2"/>
  <c r="AK184" i="2"/>
  <c r="AK183" i="2"/>
  <c r="AK182" i="2"/>
  <c r="AK181" i="2"/>
  <c r="AK180" i="2"/>
  <c r="AK179" i="2"/>
  <c r="AK178" i="2"/>
  <c r="AK177" i="2"/>
  <c r="AK176" i="2"/>
  <c r="AK175" i="2"/>
  <c r="AK174" i="2"/>
  <c r="AK173" i="2"/>
  <c r="AK172" i="2"/>
  <c r="AK171" i="2"/>
  <c r="AK170" i="2"/>
  <c r="AK169" i="2"/>
  <c r="AK168" i="2"/>
  <c r="AK167" i="2"/>
  <c r="AK166" i="2"/>
  <c r="AK165" i="2"/>
  <c r="AK164" i="2"/>
  <c r="AK163" i="2"/>
  <c r="AK162" i="2"/>
  <c r="AK161" i="2"/>
  <c r="AK160" i="2"/>
  <c r="AK159" i="2"/>
  <c r="AK158" i="2"/>
  <c r="AK157" i="2"/>
  <c r="AK156" i="2"/>
  <c r="AK155" i="2"/>
  <c r="AK154" i="2"/>
  <c r="AK153" i="2"/>
  <c r="AK152" i="2"/>
  <c r="AK151" i="2"/>
  <c r="AK150" i="2"/>
  <c r="AK149" i="2"/>
  <c r="AK148" i="2"/>
  <c r="AK147" i="2"/>
  <c r="AK146" i="2"/>
  <c r="AK145" i="2"/>
  <c r="AK144" i="2"/>
  <c r="AK143" i="2"/>
  <c r="AK142" i="2"/>
  <c r="AK141" i="2"/>
  <c r="AK140" i="2"/>
  <c r="AK139" i="2"/>
  <c r="AK138" i="2"/>
  <c r="AK137" i="2"/>
  <c r="AK136" i="2"/>
  <c r="AK135" i="2"/>
  <c r="AK134" i="2"/>
  <c r="AK133" i="2"/>
  <c r="AK132" i="2"/>
  <c r="AK131" i="2"/>
  <c r="AK130" i="2"/>
  <c r="AK129" i="2"/>
  <c r="AK128" i="2"/>
  <c r="AK127" i="2"/>
  <c r="AK126" i="2"/>
  <c r="AK125" i="2"/>
  <c r="AK124" i="2"/>
  <c r="AK123" i="2"/>
  <c r="AK122" i="2"/>
  <c r="AK121" i="2"/>
  <c r="AK120" i="2"/>
  <c r="AK119" i="2"/>
  <c r="AK118" i="2"/>
  <c r="AK117" i="2"/>
  <c r="AK116" i="2"/>
  <c r="AK115" i="2"/>
  <c r="AK114" i="2"/>
  <c r="AK113" i="2"/>
  <c r="AK112" i="2"/>
  <c r="AK111" i="2"/>
  <c r="AK110" i="2"/>
  <c r="AK109" i="2"/>
  <c r="AK108" i="2"/>
  <c r="AK107" i="2"/>
  <c r="AK106" i="2"/>
  <c r="AK105" i="2"/>
  <c r="AK104" i="2"/>
  <c r="AK103" i="2"/>
  <c r="AK102" i="2"/>
  <c r="AK101" i="2"/>
  <c r="AK100" i="2"/>
  <c r="AK99" i="2"/>
  <c r="AK98" i="2"/>
  <c r="AK97" i="2"/>
  <c r="AK96" i="2"/>
  <c r="AK95" i="2"/>
  <c r="AK94" i="2"/>
  <c r="AK93" i="2"/>
  <c r="AK92" i="2"/>
  <c r="AK91" i="2"/>
  <c r="AK90" i="2"/>
  <c r="AK89" i="2"/>
  <c r="AK88" i="2"/>
  <c r="AK87" i="2"/>
  <c r="AK86" i="2"/>
  <c r="AK85" i="2"/>
  <c r="AK84" i="2"/>
  <c r="AK83" i="2"/>
  <c r="AK82" i="2"/>
  <c r="AK81" i="2"/>
  <c r="AK80" i="2"/>
  <c r="AK79" i="2"/>
  <c r="AK78" i="2"/>
  <c r="AK77" i="2"/>
  <c r="AK76" i="2"/>
  <c r="AK75" i="2"/>
  <c r="AK74" i="2"/>
  <c r="AK73" i="2"/>
  <c r="AK72" i="2"/>
  <c r="AK71" i="2"/>
  <c r="AK70" i="2"/>
  <c r="AK69" i="2"/>
  <c r="AK68" i="2"/>
  <c r="AK67" i="2"/>
  <c r="AK66" i="2"/>
  <c r="AK65" i="2"/>
  <c r="AK64" i="2"/>
  <c r="AK63" i="2"/>
  <c r="AK62" i="2"/>
  <c r="AK61" i="2"/>
  <c r="AK60" i="2"/>
  <c r="AK59" i="2"/>
  <c r="AK58" i="2"/>
  <c r="AK57" i="2"/>
  <c r="AK56" i="2"/>
  <c r="AK55" i="2"/>
  <c r="AK54" i="2"/>
  <c r="AK53" i="2"/>
  <c r="AK52" i="2"/>
  <c r="AK51" i="2"/>
  <c r="AK50" i="2"/>
  <c r="AK49" i="2"/>
  <c r="AK48" i="2"/>
  <c r="AK47" i="2"/>
  <c r="AK46" i="2"/>
  <c r="AK45" i="2"/>
  <c r="AK44" i="2"/>
  <c r="AK43" i="2"/>
  <c r="AK42" i="2"/>
  <c r="AK41" i="2"/>
  <c r="AK40" i="2"/>
  <c r="AK39" i="2"/>
  <c r="AK38" i="2"/>
  <c r="AK37" i="2"/>
  <c r="AK36" i="2"/>
  <c r="AK35" i="2"/>
  <c r="AK34" i="2"/>
  <c r="AK33" i="2"/>
  <c r="AK32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K10" i="2"/>
  <c r="AI293" i="2"/>
  <c r="AI292" i="2"/>
  <c r="AI291" i="2"/>
  <c r="AI290" i="2"/>
  <c r="AI289" i="2"/>
  <c r="AI288" i="2"/>
  <c r="AI287" i="2"/>
  <c r="AI286" i="2"/>
  <c r="AI285" i="2"/>
  <c r="AI284" i="2"/>
  <c r="AI283" i="2"/>
  <c r="AI282" i="2"/>
  <c r="AI281" i="2"/>
  <c r="AI280" i="2"/>
  <c r="AI279" i="2"/>
  <c r="AI278" i="2"/>
  <c r="AI277" i="2"/>
  <c r="AI276" i="2"/>
  <c r="AI275" i="2"/>
  <c r="AI274" i="2"/>
  <c r="AI273" i="2"/>
  <c r="AI272" i="2"/>
  <c r="AI271" i="2"/>
  <c r="AI270" i="2"/>
  <c r="AI269" i="2"/>
  <c r="AI268" i="2"/>
  <c r="AI267" i="2"/>
  <c r="AI266" i="2"/>
  <c r="AI265" i="2"/>
  <c r="AI264" i="2"/>
  <c r="AI263" i="2"/>
  <c r="AI262" i="2"/>
  <c r="AI261" i="2"/>
  <c r="AI260" i="2"/>
  <c r="AI259" i="2"/>
  <c r="AI258" i="2"/>
  <c r="AI257" i="2"/>
  <c r="AI256" i="2"/>
  <c r="AI255" i="2"/>
  <c r="AI254" i="2"/>
  <c r="AI253" i="2"/>
  <c r="AI252" i="2"/>
  <c r="AI251" i="2"/>
  <c r="AI250" i="2"/>
  <c r="AI249" i="2"/>
  <c r="AI248" i="2"/>
  <c r="AI247" i="2"/>
  <c r="AI246" i="2"/>
  <c r="AI245" i="2"/>
  <c r="AI244" i="2"/>
  <c r="AI243" i="2"/>
  <c r="AI242" i="2"/>
  <c r="AI241" i="2"/>
  <c r="AI240" i="2"/>
  <c r="AI239" i="2"/>
  <c r="AI238" i="2"/>
  <c r="AI237" i="2"/>
  <c r="AI236" i="2"/>
  <c r="AI235" i="2"/>
  <c r="AI234" i="2"/>
  <c r="AI233" i="2"/>
  <c r="AI232" i="2"/>
  <c r="AI231" i="2"/>
  <c r="AI230" i="2"/>
  <c r="AI229" i="2"/>
  <c r="AI228" i="2"/>
  <c r="AI227" i="2"/>
  <c r="AI226" i="2"/>
  <c r="AI225" i="2"/>
  <c r="AI224" i="2"/>
  <c r="AI223" i="2"/>
  <c r="AI222" i="2"/>
  <c r="AI221" i="2"/>
  <c r="AI220" i="2"/>
  <c r="AI219" i="2"/>
  <c r="AI218" i="2"/>
  <c r="AI217" i="2"/>
  <c r="AI216" i="2"/>
  <c r="AI215" i="2"/>
  <c r="AI214" i="2"/>
  <c r="AI213" i="2"/>
  <c r="AI212" i="2"/>
  <c r="AI211" i="2"/>
  <c r="AI210" i="2"/>
  <c r="AI209" i="2"/>
  <c r="AI208" i="2"/>
  <c r="AI207" i="2"/>
  <c r="AI206" i="2"/>
  <c r="AI205" i="2"/>
  <c r="AI204" i="2"/>
  <c r="AI203" i="2"/>
  <c r="AI202" i="2"/>
  <c r="AI201" i="2"/>
  <c r="AI200" i="2"/>
  <c r="AI199" i="2"/>
  <c r="AI198" i="2"/>
  <c r="AI197" i="2"/>
  <c r="AI196" i="2"/>
  <c r="AI195" i="2"/>
  <c r="AI194" i="2"/>
  <c r="AI193" i="2"/>
  <c r="AI192" i="2"/>
  <c r="AI191" i="2"/>
  <c r="AI190" i="2"/>
  <c r="AI189" i="2"/>
  <c r="AI188" i="2"/>
  <c r="AI187" i="2"/>
  <c r="AI186" i="2"/>
  <c r="AI185" i="2"/>
  <c r="AI184" i="2"/>
  <c r="AI183" i="2"/>
  <c r="AI182" i="2"/>
  <c r="AI181" i="2"/>
  <c r="AI180" i="2"/>
  <c r="AI179" i="2"/>
  <c r="AI178" i="2"/>
  <c r="AI177" i="2"/>
  <c r="AI176" i="2"/>
  <c r="AI175" i="2"/>
  <c r="AI174" i="2"/>
  <c r="AI173" i="2"/>
  <c r="AI172" i="2"/>
  <c r="AI171" i="2"/>
  <c r="AI170" i="2"/>
  <c r="AI169" i="2"/>
  <c r="AI168" i="2"/>
  <c r="AI167" i="2"/>
  <c r="AI166" i="2"/>
  <c r="AI165" i="2"/>
  <c r="AI164" i="2"/>
  <c r="AI163" i="2"/>
  <c r="AI162" i="2"/>
  <c r="AI161" i="2"/>
  <c r="AI160" i="2"/>
  <c r="AI159" i="2"/>
  <c r="AI158" i="2"/>
  <c r="AI157" i="2"/>
  <c r="AI156" i="2"/>
  <c r="AI155" i="2"/>
  <c r="AI154" i="2"/>
  <c r="AI153" i="2"/>
  <c r="AI152" i="2"/>
  <c r="AI151" i="2"/>
  <c r="AI150" i="2"/>
  <c r="AI149" i="2"/>
  <c r="AI148" i="2"/>
  <c r="AI147" i="2"/>
  <c r="AI146" i="2"/>
  <c r="AI145" i="2"/>
  <c r="AI144" i="2"/>
  <c r="AI143" i="2"/>
  <c r="AI142" i="2"/>
  <c r="AI141" i="2"/>
  <c r="AI140" i="2"/>
  <c r="AI139" i="2"/>
  <c r="AI138" i="2"/>
  <c r="AI137" i="2"/>
  <c r="AI136" i="2"/>
  <c r="AI135" i="2"/>
  <c r="AI134" i="2"/>
  <c r="AI133" i="2"/>
  <c r="AI132" i="2"/>
  <c r="AI131" i="2"/>
  <c r="AI130" i="2"/>
  <c r="AI129" i="2"/>
  <c r="AI128" i="2"/>
  <c r="AI127" i="2"/>
  <c r="AI126" i="2"/>
  <c r="AI125" i="2"/>
  <c r="AI124" i="2"/>
  <c r="AI123" i="2"/>
  <c r="AI122" i="2"/>
  <c r="AI121" i="2"/>
  <c r="AI120" i="2"/>
  <c r="AI119" i="2"/>
  <c r="AI118" i="2"/>
  <c r="AI117" i="2"/>
  <c r="AI116" i="2"/>
  <c r="AI115" i="2"/>
  <c r="AI114" i="2"/>
  <c r="AI113" i="2"/>
  <c r="AI112" i="2"/>
  <c r="AI111" i="2"/>
  <c r="AI110" i="2"/>
  <c r="AI109" i="2"/>
  <c r="AI108" i="2"/>
  <c r="AI107" i="2"/>
  <c r="AI106" i="2"/>
  <c r="AI105" i="2"/>
  <c r="AI104" i="2"/>
  <c r="AI103" i="2"/>
  <c r="AI102" i="2"/>
  <c r="AI101" i="2"/>
  <c r="AI100" i="2"/>
  <c r="AI99" i="2"/>
  <c r="AI98" i="2"/>
  <c r="AI97" i="2"/>
  <c r="AI96" i="2"/>
  <c r="AI95" i="2"/>
  <c r="AI94" i="2"/>
  <c r="AI92" i="2"/>
  <c r="AI91" i="2"/>
  <c r="AI90" i="2"/>
  <c r="AI89" i="2"/>
  <c r="AI88" i="2"/>
  <c r="AI87" i="2"/>
  <c r="AI86" i="2"/>
  <c r="AI85" i="2"/>
  <c r="AI84" i="2"/>
  <c r="AI83" i="2"/>
  <c r="AI82" i="2"/>
  <c r="AI81" i="2"/>
  <c r="AI80" i="2"/>
  <c r="AI79" i="2"/>
  <c r="AI78" i="2"/>
  <c r="AI77" i="2"/>
  <c r="AI76" i="2"/>
  <c r="AI75" i="2"/>
  <c r="AI74" i="2"/>
  <c r="AI73" i="2"/>
  <c r="AI72" i="2"/>
  <c r="AI71" i="2"/>
  <c r="AI70" i="2"/>
  <c r="AI69" i="2"/>
  <c r="AI68" i="2"/>
  <c r="AI67" i="2"/>
  <c r="AI66" i="2"/>
  <c r="AI65" i="2"/>
  <c r="AI64" i="2"/>
  <c r="AI63" i="2"/>
  <c r="AI62" i="2"/>
  <c r="AI61" i="2"/>
  <c r="AI60" i="2"/>
  <c r="AI59" i="2"/>
  <c r="AI58" i="2"/>
  <c r="AI57" i="2"/>
  <c r="AI56" i="2"/>
  <c r="AI55" i="2"/>
  <c r="AI54" i="2"/>
  <c r="AI53" i="2"/>
  <c r="AI52" i="2"/>
  <c r="AI51" i="2"/>
  <c r="AI50" i="2"/>
  <c r="AI49" i="2"/>
  <c r="AI48" i="2"/>
  <c r="AI47" i="2"/>
  <c r="AI46" i="2"/>
  <c r="AI45" i="2"/>
  <c r="AI44" i="2"/>
  <c r="AI43" i="2"/>
  <c r="AI42" i="2"/>
  <c r="AI41" i="2"/>
  <c r="AI40" i="2"/>
  <c r="AI39" i="2"/>
  <c r="AI38" i="2"/>
  <c r="AI37" i="2"/>
  <c r="AI36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G293" i="2"/>
  <c r="AG292" i="2"/>
  <c r="AG291" i="2"/>
  <c r="AG290" i="2"/>
  <c r="AG289" i="2"/>
  <c r="AG288" i="2"/>
  <c r="AG287" i="2"/>
  <c r="AG286" i="2"/>
  <c r="AG285" i="2"/>
  <c r="AG284" i="2"/>
  <c r="AG283" i="2"/>
  <c r="AG282" i="2"/>
  <c r="AG281" i="2"/>
  <c r="AG280" i="2"/>
  <c r="AG279" i="2"/>
  <c r="AG278" i="2"/>
  <c r="AG277" i="2"/>
  <c r="AG276" i="2"/>
  <c r="AG275" i="2"/>
  <c r="AG274" i="2"/>
  <c r="AG273" i="2"/>
  <c r="AG272" i="2"/>
  <c r="AG271" i="2"/>
  <c r="AG270" i="2"/>
  <c r="AG269" i="2"/>
  <c r="AG268" i="2"/>
  <c r="AG267" i="2"/>
  <c r="AG266" i="2"/>
  <c r="AG265" i="2"/>
  <c r="AG264" i="2"/>
  <c r="AG263" i="2"/>
  <c r="AG262" i="2"/>
  <c r="AG261" i="2"/>
  <c r="AG260" i="2"/>
  <c r="AG259" i="2"/>
  <c r="AG258" i="2"/>
  <c r="AG257" i="2"/>
  <c r="AG256" i="2"/>
  <c r="AG255" i="2"/>
  <c r="AG254" i="2"/>
  <c r="AG253" i="2"/>
  <c r="AG252" i="2"/>
  <c r="AG251" i="2"/>
  <c r="AG250" i="2"/>
  <c r="AG249" i="2"/>
  <c r="AG248" i="2"/>
  <c r="AG247" i="2"/>
  <c r="AG246" i="2"/>
  <c r="AG245" i="2"/>
  <c r="AG244" i="2"/>
  <c r="AG243" i="2"/>
  <c r="AG242" i="2"/>
  <c r="AG241" i="2"/>
  <c r="AG240" i="2"/>
  <c r="AG239" i="2"/>
  <c r="AG238" i="2"/>
  <c r="AG237" i="2"/>
  <c r="AG236" i="2"/>
  <c r="AG235" i="2"/>
  <c r="AG234" i="2"/>
  <c r="AG233" i="2"/>
  <c r="AG232" i="2"/>
  <c r="AG231" i="2"/>
  <c r="AG230" i="2"/>
  <c r="AG229" i="2"/>
  <c r="AG228" i="2"/>
  <c r="AG227" i="2"/>
  <c r="AG226" i="2"/>
  <c r="AG225" i="2"/>
  <c r="AG224" i="2"/>
  <c r="AG223" i="2"/>
  <c r="AG222" i="2"/>
  <c r="AG221" i="2"/>
  <c r="AG220" i="2"/>
  <c r="AG219" i="2"/>
  <c r="AG218" i="2"/>
  <c r="AG217" i="2"/>
  <c r="AG216" i="2"/>
  <c r="AG215" i="2"/>
  <c r="AG214" i="2"/>
  <c r="AG213" i="2"/>
  <c r="AG212" i="2"/>
  <c r="AG211" i="2"/>
  <c r="AG210" i="2"/>
  <c r="AG209" i="2"/>
  <c r="AG208" i="2"/>
  <c r="AG207" i="2"/>
  <c r="AG206" i="2"/>
  <c r="AG205" i="2"/>
  <c r="AG204" i="2"/>
  <c r="AG203" i="2"/>
  <c r="AG202" i="2"/>
  <c r="AG201" i="2"/>
  <c r="AG200" i="2"/>
  <c r="AG199" i="2"/>
  <c r="AG198" i="2"/>
  <c r="AG197" i="2"/>
  <c r="AG196" i="2"/>
  <c r="AG195" i="2"/>
  <c r="AG194" i="2"/>
  <c r="AG193" i="2"/>
  <c r="AG192" i="2"/>
  <c r="AG191" i="2"/>
  <c r="AG190" i="2"/>
  <c r="AG189" i="2"/>
  <c r="AG188" i="2"/>
  <c r="AG187" i="2"/>
  <c r="AG186" i="2"/>
  <c r="AG185" i="2"/>
  <c r="AG184" i="2"/>
  <c r="AG183" i="2"/>
  <c r="AG182" i="2"/>
  <c r="AG181" i="2"/>
  <c r="AG180" i="2"/>
  <c r="AG179" i="2"/>
  <c r="AG178" i="2"/>
  <c r="AG177" i="2"/>
  <c r="AG176" i="2"/>
  <c r="AG175" i="2"/>
  <c r="AG174" i="2"/>
  <c r="AG173" i="2"/>
  <c r="AG172" i="2"/>
  <c r="AG171" i="2"/>
  <c r="AG170" i="2"/>
  <c r="AG169" i="2"/>
  <c r="AG168" i="2"/>
  <c r="AG167" i="2"/>
  <c r="AG166" i="2"/>
  <c r="AG165" i="2"/>
  <c r="AG164" i="2"/>
  <c r="AG163" i="2"/>
  <c r="AG162" i="2"/>
  <c r="AG161" i="2"/>
  <c r="AG160" i="2"/>
  <c r="AG159" i="2"/>
  <c r="AG158" i="2"/>
  <c r="AG157" i="2"/>
  <c r="AG156" i="2"/>
  <c r="AG155" i="2"/>
  <c r="AG154" i="2"/>
  <c r="AG153" i="2"/>
  <c r="AG152" i="2"/>
  <c r="AG151" i="2"/>
  <c r="AG150" i="2"/>
  <c r="AG149" i="2"/>
  <c r="AG148" i="2"/>
  <c r="AG147" i="2"/>
  <c r="AG146" i="2"/>
  <c r="AG145" i="2"/>
  <c r="AG144" i="2"/>
  <c r="AG143" i="2"/>
  <c r="AG142" i="2"/>
  <c r="AG141" i="2"/>
  <c r="AG140" i="2"/>
  <c r="AG139" i="2"/>
  <c r="AG138" i="2"/>
  <c r="AG137" i="2"/>
  <c r="AG136" i="2"/>
  <c r="AG135" i="2"/>
  <c r="AG134" i="2"/>
  <c r="AG133" i="2"/>
  <c r="AG132" i="2"/>
  <c r="AG131" i="2"/>
  <c r="AG130" i="2"/>
  <c r="AG129" i="2"/>
  <c r="AG128" i="2"/>
  <c r="AG127" i="2"/>
  <c r="AG126" i="2"/>
  <c r="AG125" i="2"/>
  <c r="AG124" i="2"/>
  <c r="AG123" i="2"/>
  <c r="AG122" i="2"/>
  <c r="AG121" i="2"/>
  <c r="AG120" i="2"/>
  <c r="AG119" i="2"/>
  <c r="AG118" i="2"/>
  <c r="AG117" i="2"/>
  <c r="AG116" i="2"/>
  <c r="AG115" i="2"/>
  <c r="AG114" i="2"/>
  <c r="AG113" i="2"/>
  <c r="AG112" i="2"/>
  <c r="AG111" i="2"/>
  <c r="AG110" i="2"/>
  <c r="AG109" i="2"/>
  <c r="AG108" i="2"/>
  <c r="AG107" i="2"/>
  <c r="AG106" i="2"/>
  <c r="AG105" i="2"/>
  <c r="AG104" i="2"/>
  <c r="AG103" i="2"/>
  <c r="AG102" i="2"/>
  <c r="AG101" i="2"/>
  <c r="AG100" i="2"/>
  <c r="AG99" i="2"/>
  <c r="AG98" i="2"/>
  <c r="AG97" i="2"/>
  <c r="AG96" i="2"/>
  <c r="AG95" i="2"/>
  <c r="AG94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G80" i="2"/>
  <c r="AG79" i="2"/>
  <c r="AG78" i="2"/>
  <c r="AG77" i="2"/>
  <c r="AG76" i="2"/>
  <c r="AG75" i="2"/>
  <c r="AG74" i="2"/>
  <c r="AG73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E293" i="2"/>
  <c r="AE292" i="2"/>
  <c r="AE291" i="2"/>
  <c r="AE290" i="2"/>
  <c r="AE289" i="2"/>
  <c r="AE287" i="2"/>
  <c r="AE286" i="2"/>
  <c r="AE285" i="2"/>
  <c r="AE284" i="2"/>
  <c r="AE283" i="2"/>
  <c r="AE282" i="2"/>
  <c r="AE281" i="2"/>
  <c r="AE280" i="2"/>
  <c r="AE279" i="2"/>
  <c r="AE278" i="2"/>
  <c r="AE277" i="2"/>
  <c r="AE276" i="2"/>
  <c r="AE275" i="2"/>
  <c r="AE274" i="2"/>
  <c r="AE273" i="2"/>
  <c r="AE272" i="2"/>
  <c r="AE271" i="2"/>
  <c r="AE270" i="2"/>
  <c r="AE269" i="2"/>
  <c r="AE268" i="2"/>
  <c r="AE267" i="2"/>
  <c r="AE266" i="2"/>
  <c r="AE265" i="2"/>
  <c r="AE264" i="2"/>
  <c r="AE263" i="2"/>
  <c r="AE262" i="2"/>
  <c r="AE261" i="2"/>
  <c r="AE260" i="2"/>
  <c r="AE259" i="2"/>
  <c r="AE258" i="2"/>
  <c r="AE257" i="2"/>
  <c r="AE255" i="2"/>
  <c r="AE254" i="2"/>
  <c r="AE253" i="2"/>
  <c r="AE252" i="2"/>
  <c r="AE251" i="2"/>
  <c r="AE250" i="2"/>
  <c r="AE249" i="2"/>
  <c r="AE248" i="2"/>
  <c r="AE247" i="2"/>
  <c r="AE246" i="2"/>
  <c r="AE245" i="2"/>
  <c r="AE244" i="2"/>
  <c r="AE243" i="2"/>
  <c r="AE242" i="2"/>
  <c r="AE241" i="2"/>
  <c r="AE240" i="2"/>
  <c r="AE239" i="2"/>
  <c r="AE238" i="2"/>
  <c r="AE237" i="2"/>
  <c r="AE236" i="2"/>
  <c r="AE235" i="2"/>
  <c r="AE234" i="2"/>
  <c r="AE233" i="2"/>
  <c r="AE232" i="2"/>
  <c r="AE231" i="2"/>
  <c r="AE230" i="2"/>
  <c r="AE229" i="2"/>
  <c r="AE228" i="2"/>
  <c r="AE227" i="2"/>
  <c r="AE226" i="2"/>
  <c r="AE225" i="2"/>
  <c r="AE224" i="2"/>
  <c r="AE223" i="2"/>
  <c r="AE222" i="2"/>
  <c r="AE221" i="2"/>
  <c r="AE220" i="2"/>
  <c r="AE219" i="2"/>
  <c r="AE218" i="2"/>
  <c r="AE217" i="2"/>
  <c r="AE216" i="2"/>
  <c r="AE215" i="2"/>
  <c r="AE214" i="2"/>
  <c r="AE213" i="2"/>
  <c r="AE212" i="2"/>
  <c r="AE211" i="2"/>
  <c r="AE210" i="2"/>
  <c r="AE209" i="2"/>
  <c r="AE208" i="2"/>
  <c r="AE207" i="2"/>
  <c r="AE206" i="2"/>
  <c r="AE205" i="2"/>
  <c r="AE204" i="2"/>
  <c r="AE203" i="2"/>
  <c r="AE202" i="2"/>
  <c r="AE201" i="2"/>
  <c r="AE200" i="2"/>
  <c r="AE199" i="2"/>
  <c r="AE198" i="2"/>
  <c r="AE197" i="2"/>
  <c r="AE196" i="2"/>
  <c r="AE195" i="2"/>
  <c r="AE194" i="2"/>
  <c r="AE193" i="2"/>
  <c r="AE192" i="2"/>
  <c r="AE191" i="2"/>
  <c r="AE190" i="2"/>
  <c r="AE189" i="2"/>
  <c r="AE188" i="2"/>
  <c r="AE187" i="2"/>
  <c r="AE186" i="2"/>
  <c r="AE185" i="2"/>
  <c r="AE184" i="2"/>
  <c r="AE183" i="2"/>
  <c r="AE182" i="2"/>
  <c r="AE181" i="2"/>
  <c r="AE180" i="2"/>
  <c r="AE179" i="2"/>
  <c r="AE178" i="2"/>
  <c r="AE177" i="2"/>
  <c r="AE176" i="2"/>
  <c r="AE175" i="2"/>
  <c r="AE174" i="2"/>
  <c r="AE173" i="2"/>
  <c r="AE172" i="2"/>
  <c r="AE171" i="2"/>
  <c r="AE170" i="2"/>
  <c r="AE169" i="2"/>
  <c r="AE168" i="2"/>
  <c r="AE167" i="2"/>
  <c r="AE166" i="2"/>
  <c r="AE165" i="2"/>
  <c r="AE164" i="2"/>
  <c r="AE163" i="2"/>
  <c r="AE162" i="2"/>
  <c r="AE161" i="2"/>
  <c r="AE160" i="2"/>
  <c r="AE159" i="2"/>
  <c r="AE158" i="2"/>
  <c r="AE157" i="2"/>
  <c r="AE156" i="2"/>
  <c r="AE155" i="2"/>
  <c r="AE153" i="2"/>
  <c r="AE152" i="2"/>
  <c r="AE151" i="2"/>
  <c r="AE150" i="2"/>
  <c r="AE149" i="2"/>
  <c r="AE148" i="2"/>
  <c r="AE147" i="2"/>
  <c r="AE146" i="2"/>
  <c r="AE145" i="2"/>
  <c r="AE144" i="2"/>
  <c r="AE143" i="2"/>
  <c r="AE142" i="2"/>
  <c r="AE141" i="2"/>
  <c r="AE140" i="2"/>
  <c r="AE139" i="2"/>
  <c r="AE138" i="2"/>
  <c r="AE137" i="2"/>
  <c r="AE136" i="2"/>
  <c r="AE134" i="2"/>
  <c r="AE133" i="2"/>
  <c r="AE132" i="2"/>
  <c r="AE131" i="2"/>
  <c r="AE130" i="2"/>
  <c r="AE128" i="2"/>
  <c r="AE127" i="2"/>
  <c r="AE126" i="2"/>
  <c r="AE125" i="2"/>
  <c r="AE124" i="2"/>
  <c r="AE123" i="2"/>
  <c r="AE122" i="2"/>
  <c r="AE121" i="2"/>
  <c r="AE120" i="2"/>
  <c r="AE119" i="2"/>
  <c r="AE118" i="2"/>
  <c r="AE117" i="2"/>
  <c r="AE116" i="2"/>
  <c r="AE115" i="2"/>
  <c r="AE114" i="2"/>
  <c r="AE113" i="2"/>
  <c r="AE112" i="2"/>
  <c r="AE111" i="2"/>
  <c r="AE110" i="2"/>
  <c r="AE109" i="2"/>
  <c r="AE108" i="2"/>
  <c r="AE107" i="2"/>
  <c r="AE106" i="2"/>
  <c r="AE105" i="2"/>
  <c r="AE104" i="2"/>
  <c r="AE103" i="2"/>
  <c r="AE102" i="2"/>
  <c r="AE101" i="2"/>
  <c r="AE100" i="2"/>
  <c r="AE99" i="2"/>
  <c r="AE98" i="2"/>
  <c r="AE97" i="2"/>
  <c r="AE96" i="2"/>
  <c r="AE95" i="2"/>
  <c r="AE94" i="2"/>
  <c r="AE92" i="2"/>
  <c r="AE91" i="2"/>
  <c r="AE90" i="2"/>
  <c r="AE89" i="2"/>
  <c r="AE88" i="2"/>
  <c r="AE87" i="2"/>
  <c r="AE86" i="2"/>
  <c r="AE85" i="2"/>
  <c r="AE84" i="2"/>
  <c r="AE83" i="2"/>
  <c r="AE82" i="2"/>
  <c r="AE81" i="2"/>
  <c r="AE80" i="2"/>
  <c r="AE79" i="2"/>
  <c r="AE78" i="2"/>
  <c r="AE77" i="2"/>
  <c r="AE76" i="2"/>
  <c r="AE75" i="2"/>
  <c r="AE74" i="2"/>
  <c r="AE73" i="2"/>
  <c r="AE72" i="2"/>
  <c r="AE71" i="2"/>
  <c r="AE70" i="2"/>
  <c r="AE69" i="2"/>
  <c r="AE68" i="2"/>
  <c r="AE67" i="2"/>
  <c r="AE66" i="2"/>
  <c r="AE65" i="2"/>
  <c r="AE64" i="2"/>
  <c r="AE63" i="2"/>
  <c r="AE62" i="2"/>
  <c r="AE61" i="2"/>
  <c r="AE60" i="2"/>
  <c r="AE59" i="2"/>
  <c r="AE58" i="2"/>
  <c r="AE57" i="2"/>
  <c r="AE56" i="2"/>
  <c r="AE55" i="2"/>
  <c r="AE53" i="2"/>
  <c r="AE52" i="2"/>
  <c r="AE51" i="2"/>
  <c r="AE50" i="2"/>
  <c r="AE49" i="2"/>
  <c r="AE48" i="2"/>
  <c r="AE47" i="2"/>
  <c r="AE46" i="2"/>
  <c r="AE45" i="2"/>
  <c r="AE44" i="2"/>
  <c r="AE43" i="2"/>
  <c r="AE42" i="2"/>
  <c r="AE41" i="2"/>
  <c r="AE40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AE10" i="2"/>
  <c r="AC293" i="2"/>
  <c r="AC292" i="2"/>
  <c r="AC291" i="2"/>
  <c r="AC290" i="2"/>
  <c r="AC289" i="2"/>
  <c r="AC287" i="2"/>
  <c r="AC286" i="2"/>
  <c r="AC285" i="2"/>
  <c r="AC284" i="2"/>
  <c r="AC283" i="2"/>
  <c r="AC282" i="2"/>
  <c r="AC281" i="2"/>
  <c r="AC280" i="2"/>
  <c r="AC279" i="2"/>
  <c r="AC278" i="2"/>
  <c r="AC277" i="2"/>
  <c r="AC276" i="2"/>
  <c r="AC275" i="2"/>
  <c r="AC274" i="2"/>
  <c r="AC273" i="2"/>
  <c r="AC272" i="2"/>
  <c r="AC271" i="2"/>
  <c r="AC270" i="2"/>
  <c r="AC269" i="2"/>
  <c r="AC268" i="2"/>
  <c r="AC267" i="2"/>
  <c r="AC266" i="2"/>
  <c r="AC265" i="2"/>
  <c r="AC264" i="2"/>
  <c r="AC263" i="2"/>
  <c r="AC262" i="2"/>
  <c r="AC261" i="2"/>
  <c r="AC260" i="2"/>
  <c r="AC259" i="2"/>
  <c r="AC255" i="2"/>
  <c r="AC254" i="2"/>
  <c r="AC253" i="2"/>
  <c r="AC252" i="2"/>
  <c r="AC251" i="2"/>
  <c r="AC250" i="2"/>
  <c r="AC249" i="2"/>
  <c r="AC248" i="2"/>
  <c r="AC247" i="2"/>
  <c r="AC246" i="2"/>
  <c r="AC245" i="2"/>
  <c r="AC244" i="2"/>
  <c r="AC243" i="2"/>
  <c r="AC242" i="2"/>
  <c r="AC241" i="2"/>
  <c r="AC240" i="2"/>
  <c r="AC239" i="2"/>
  <c r="AC238" i="2"/>
  <c r="AC237" i="2"/>
  <c r="AC236" i="2"/>
  <c r="AC235" i="2"/>
  <c r="AC232" i="2"/>
  <c r="AC231" i="2"/>
  <c r="AC230" i="2"/>
  <c r="AC229" i="2"/>
  <c r="AC228" i="2"/>
  <c r="AC227" i="2"/>
  <c r="AC225" i="2"/>
  <c r="AC224" i="2"/>
  <c r="AC223" i="2"/>
  <c r="AC222" i="2"/>
  <c r="AC221" i="2"/>
  <c r="AC220" i="2"/>
  <c r="AC219" i="2"/>
  <c r="AC218" i="2"/>
  <c r="AC217" i="2"/>
  <c r="AC216" i="2"/>
  <c r="AC215" i="2"/>
  <c r="AC214" i="2"/>
  <c r="AC213" i="2"/>
  <c r="AC212" i="2"/>
  <c r="AC211" i="2"/>
  <c r="AC210" i="2"/>
  <c r="AC209" i="2"/>
  <c r="AC208" i="2"/>
  <c r="AC207" i="2"/>
  <c r="AC206" i="2"/>
  <c r="AC205" i="2"/>
  <c r="AC204" i="2"/>
  <c r="AC203" i="2"/>
  <c r="AC202" i="2"/>
  <c r="AC201" i="2"/>
  <c r="AC200" i="2"/>
  <c r="AC199" i="2"/>
  <c r="AC198" i="2"/>
  <c r="AC197" i="2"/>
  <c r="AC196" i="2"/>
  <c r="AC195" i="2"/>
  <c r="AC194" i="2"/>
  <c r="AC193" i="2"/>
  <c r="AC192" i="2"/>
  <c r="AC191" i="2"/>
  <c r="AC190" i="2"/>
  <c r="AC189" i="2"/>
  <c r="AC188" i="2"/>
  <c r="AC187" i="2"/>
  <c r="AC186" i="2"/>
  <c r="AC185" i="2"/>
  <c r="AC184" i="2"/>
  <c r="AC183" i="2"/>
  <c r="AC182" i="2"/>
  <c r="AC181" i="2"/>
  <c r="AC180" i="2"/>
  <c r="AC179" i="2"/>
  <c r="AC177" i="2"/>
  <c r="AC176" i="2"/>
  <c r="AC175" i="2"/>
  <c r="AC174" i="2"/>
  <c r="AC173" i="2"/>
  <c r="AC172" i="2"/>
  <c r="AC171" i="2"/>
  <c r="AC170" i="2"/>
  <c r="AC169" i="2"/>
  <c r="AC168" i="2"/>
  <c r="AC167" i="2"/>
  <c r="AC166" i="2"/>
  <c r="AC165" i="2"/>
  <c r="AC164" i="2"/>
  <c r="AC163" i="2"/>
  <c r="AC162" i="2"/>
  <c r="AC161" i="2"/>
  <c r="AC160" i="2"/>
  <c r="AC159" i="2"/>
  <c r="AC158" i="2"/>
  <c r="AC157" i="2"/>
  <c r="AC156" i="2"/>
  <c r="AC155" i="2"/>
  <c r="AC153" i="2"/>
  <c r="AC152" i="2"/>
  <c r="AC151" i="2"/>
  <c r="AC150" i="2"/>
  <c r="AC149" i="2"/>
  <c r="AC148" i="2"/>
  <c r="AC147" i="2"/>
  <c r="AC146" i="2"/>
  <c r="AC145" i="2"/>
  <c r="AC144" i="2"/>
  <c r="AC143" i="2"/>
  <c r="AC142" i="2"/>
  <c r="AC141" i="2"/>
  <c r="AC140" i="2"/>
  <c r="AC139" i="2"/>
  <c r="AC138" i="2"/>
  <c r="AC137" i="2"/>
  <c r="AC136" i="2"/>
  <c r="AC134" i="2"/>
  <c r="AC132" i="2"/>
  <c r="AC131" i="2"/>
  <c r="AC130" i="2"/>
  <c r="AC128" i="2"/>
  <c r="AC127" i="2"/>
  <c r="AC126" i="2"/>
  <c r="AC125" i="2"/>
  <c r="AC124" i="2"/>
  <c r="AC123" i="2"/>
  <c r="AC122" i="2"/>
  <c r="AC121" i="2"/>
  <c r="AC120" i="2"/>
  <c r="AC119" i="2"/>
  <c r="AC118" i="2"/>
  <c r="AC117" i="2"/>
  <c r="AC116" i="2"/>
  <c r="AC115" i="2"/>
  <c r="AC114" i="2"/>
  <c r="AC113" i="2"/>
  <c r="AC112" i="2"/>
  <c r="AC110" i="2"/>
  <c r="AC109" i="2"/>
  <c r="AC108" i="2"/>
  <c r="AC107" i="2"/>
  <c r="AC106" i="2"/>
  <c r="AC104" i="2"/>
  <c r="AC103" i="2"/>
  <c r="AC102" i="2"/>
  <c r="AC101" i="2"/>
  <c r="AC100" i="2"/>
  <c r="AC99" i="2"/>
  <c r="AC98" i="2"/>
  <c r="AC97" i="2"/>
  <c r="AC96" i="2"/>
  <c r="AC95" i="2"/>
  <c r="AC94" i="2"/>
  <c r="AC93" i="2"/>
  <c r="AC92" i="2"/>
  <c r="AC91" i="2"/>
  <c r="AC90" i="2"/>
  <c r="AC89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3" i="2"/>
  <c r="AC52" i="2"/>
  <c r="AC51" i="2"/>
  <c r="AC50" i="2"/>
  <c r="AC49" i="2"/>
  <c r="AC48" i="2"/>
  <c r="AC47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A291" i="2"/>
  <c r="AA289" i="2"/>
  <c r="AA284" i="2"/>
  <c r="AA283" i="2"/>
  <c r="AA275" i="2"/>
  <c r="AA267" i="2"/>
  <c r="AA266" i="2"/>
  <c r="AA265" i="2"/>
  <c r="AA264" i="2"/>
  <c r="AA263" i="2"/>
  <c r="AA259" i="2"/>
  <c r="AA255" i="2"/>
  <c r="AA252" i="2"/>
  <c r="AA244" i="2"/>
  <c r="AA237" i="2"/>
  <c r="AA236" i="2"/>
  <c r="AA235" i="2"/>
  <c r="AA233" i="2"/>
  <c r="AA226" i="2"/>
  <c r="AA220" i="2"/>
  <c r="AA218" i="2"/>
  <c r="AA211" i="2"/>
  <c r="AA198" i="2"/>
  <c r="AA197" i="2"/>
  <c r="AA196" i="2"/>
  <c r="AA195" i="2"/>
  <c r="AA194" i="2"/>
  <c r="AA193" i="2"/>
  <c r="AA192" i="2"/>
  <c r="AA191" i="2"/>
  <c r="AA190" i="2"/>
  <c r="AA189" i="2"/>
  <c r="AA188" i="2"/>
  <c r="AA187" i="2"/>
  <c r="AA186" i="2"/>
  <c r="AA185" i="2"/>
  <c r="AA184" i="2"/>
  <c r="AA183" i="2"/>
  <c r="AA182" i="2"/>
  <c r="AA181" i="2"/>
  <c r="AA180" i="2"/>
  <c r="AA179" i="2"/>
  <c r="AA177" i="2"/>
  <c r="AA176" i="2"/>
  <c r="AA175" i="2"/>
  <c r="AA174" i="2"/>
  <c r="AA173" i="2"/>
  <c r="AA172" i="2"/>
  <c r="AA171" i="2"/>
  <c r="AA170" i="2"/>
  <c r="AA169" i="2"/>
  <c r="AA168" i="2"/>
  <c r="AA167" i="2"/>
  <c r="AA166" i="2"/>
  <c r="AA165" i="2"/>
  <c r="AA164" i="2"/>
  <c r="AA163" i="2"/>
  <c r="AA162" i="2"/>
  <c r="AA161" i="2"/>
  <c r="AA160" i="2"/>
  <c r="AA158" i="2"/>
  <c r="AA157" i="2"/>
  <c r="AA156" i="2"/>
  <c r="AA155" i="2"/>
  <c r="AA153" i="2"/>
  <c r="AA151" i="2"/>
  <c r="AA150" i="2"/>
  <c r="AA149" i="2"/>
  <c r="AA148" i="2"/>
  <c r="AA147" i="2"/>
  <c r="AA146" i="2"/>
  <c r="AA145" i="2"/>
  <c r="AA144" i="2"/>
  <c r="AA143" i="2"/>
  <c r="AA142" i="2"/>
  <c r="AA141" i="2"/>
  <c r="AA140" i="2"/>
  <c r="AA139" i="2"/>
  <c r="AA138" i="2"/>
  <c r="AA131" i="2"/>
  <c r="AA117" i="2"/>
  <c r="AA113" i="2"/>
  <c r="AA110" i="2"/>
  <c r="AA109" i="2"/>
  <c r="AA106" i="2"/>
  <c r="AA100" i="2"/>
  <c r="AA95" i="2"/>
  <c r="AA92" i="2"/>
  <c r="AA88" i="2"/>
  <c r="AA87" i="2"/>
  <c r="AA84" i="2"/>
  <c r="AA83" i="2"/>
  <c r="AA80" i="2"/>
  <c r="AA77" i="2"/>
  <c r="AA75" i="2"/>
  <c r="AA73" i="2"/>
  <c r="AA71" i="2"/>
  <c r="AA63" i="2"/>
  <c r="AA62" i="2"/>
  <c r="AA58" i="2"/>
  <c r="AA55" i="2"/>
  <c r="AA45" i="2"/>
  <c r="AA44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Q293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1" i="2"/>
  <c r="Q170" i="2"/>
  <c r="Q169" i="2"/>
  <c r="Q168" i="2"/>
  <c r="Q167" i="2"/>
  <c r="Q166" i="2"/>
  <c r="Q165" i="2"/>
  <c r="Q164" i="2"/>
  <c r="Q163" i="2"/>
  <c r="Q159" i="2"/>
  <c r="Q158" i="2"/>
  <c r="Q157" i="2"/>
  <c r="Q156" i="2"/>
  <c r="Q155" i="2"/>
  <c r="Q154" i="2"/>
  <c r="Q153" i="2"/>
  <c r="Q152" i="2"/>
  <c r="Q151" i="2"/>
  <c r="Q150" i="2"/>
  <c r="Q148" i="2"/>
  <c r="Q147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2" i="2"/>
  <c r="Q131" i="2"/>
  <c r="Q130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0" i="2"/>
  <c r="Q69" i="2"/>
  <c r="Q68" i="2"/>
  <c r="Q67" i="2"/>
  <c r="Q66" i="2"/>
  <c r="Q65" i="2"/>
  <c r="Q64" i="2"/>
  <c r="Q63" i="2"/>
  <c r="Q62" i="2"/>
  <c r="Q61" i="2"/>
  <c r="Q60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1" i="2"/>
  <c r="Q19" i="2"/>
  <c r="Q18" i="2"/>
  <c r="Q17" i="2"/>
  <c r="Q16" i="2"/>
  <c r="Q15" i="2"/>
  <c r="Q14" i="2"/>
  <c r="Q13" i="2"/>
  <c r="Q12" i="2"/>
  <c r="Q11" i="2"/>
  <c r="Q10" i="2"/>
  <c r="N290" i="2"/>
  <c r="N288" i="2"/>
  <c r="N256" i="2"/>
  <c r="N236" i="2"/>
  <c r="N233" i="2"/>
  <c r="N209" i="2"/>
  <c r="N178" i="2"/>
  <c r="N164" i="2"/>
  <c r="N154" i="2"/>
  <c r="N141" i="2"/>
  <c r="N132" i="2"/>
  <c r="N111" i="2"/>
  <c r="N90" i="2"/>
  <c r="N60" i="2"/>
  <c r="N54" i="2"/>
  <c r="N18" i="2"/>
  <c r="ML293" i="2"/>
  <c r="MD293" i="2"/>
  <c r="MA293" i="2"/>
  <c r="LH293" i="2"/>
  <c r="LK293" i="2" s="1"/>
  <c r="LL293" i="2" s="1"/>
  <c r="JK293" i="2"/>
  <c r="HZ293" i="2"/>
  <c r="GO293" i="2"/>
  <c r="FD293" i="2"/>
  <c r="DS293" i="2"/>
  <c r="CH293" i="2"/>
  <c r="AW293" i="2"/>
  <c r="L293" i="2"/>
  <c r="MD292" i="2"/>
  <c r="LH292" i="2"/>
  <c r="LK292" i="2" s="1"/>
  <c r="LL292" i="2" s="1"/>
  <c r="LA292" i="2"/>
  <c r="JY292" i="2"/>
  <c r="JK292" i="2"/>
  <c r="HZ292" i="2"/>
  <c r="GO292" i="2"/>
  <c r="FD292" i="2"/>
  <c r="DT292" i="2"/>
  <c r="DS292" i="2"/>
  <c r="CH292" i="2"/>
  <c r="AW292" i="2"/>
  <c r="L292" i="2"/>
  <c r="MD291" i="2"/>
  <c r="MA291" i="2"/>
  <c r="LH291" i="2"/>
  <c r="LK291" i="2" s="1"/>
  <c r="LL291" i="2" s="1"/>
  <c r="JK291" i="2"/>
  <c r="HZ291" i="2"/>
  <c r="GO291" i="2"/>
  <c r="FD291" i="2"/>
  <c r="DT291" i="2"/>
  <c r="DS291" i="2"/>
  <c r="CH291" i="2"/>
  <c r="AW291" i="2"/>
  <c r="AQ291" i="2"/>
  <c r="L291" i="2"/>
  <c r="MD290" i="2"/>
  <c r="LH290" i="2"/>
  <c r="LK290" i="2" s="1"/>
  <c r="LL290" i="2" s="1"/>
  <c r="KT290" i="2"/>
  <c r="JK290" i="2"/>
  <c r="HZ290" i="2"/>
  <c r="GO290" i="2"/>
  <c r="FD290" i="2"/>
  <c r="DS290" i="2"/>
  <c r="CH290" i="2"/>
  <c r="AW290" i="2"/>
  <c r="Z290" i="2"/>
  <c r="L290" i="2"/>
  <c r="ML289" i="2"/>
  <c r="MK289" i="2"/>
  <c r="MJ289" i="2"/>
  <c r="MI289" i="2"/>
  <c r="MH289" i="2"/>
  <c r="MG289" i="2"/>
  <c r="MD289" i="2"/>
  <c r="MA289" i="2"/>
  <c r="LH289" i="2"/>
  <c r="LK289" i="2" s="1"/>
  <c r="LL289" i="2" s="1"/>
  <c r="JK289" i="2"/>
  <c r="HZ289" i="2"/>
  <c r="GO289" i="2"/>
  <c r="FD289" i="2"/>
  <c r="DS289" i="2"/>
  <c r="CH289" i="2"/>
  <c r="AW289" i="2"/>
  <c r="L289" i="2"/>
  <c r="ML288" i="2"/>
  <c r="MK288" i="2"/>
  <c r="MJ288" i="2"/>
  <c r="MI288" i="2"/>
  <c r="MH288" i="2"/>
  <c r="MG288" i="2"/>
  <c r="MF288" i="2"/>
  <c r="MD288" i="2"/>
  <c r="LH288" i="2"/>
  <c r="LK288" i="2" s="1"/>
  <c r="LL288" i="2" s="1"/>
  <c r="KT288" i="2"/>
  <c r="JK288" i="2"/>
  <c r="HZ288" i="2"/>
  <c r="GO288" i="2"/>
  <c r="FD288" i="2"/>
  <c r="DS288" i="2"/>
  <c r="CH288" i="2"/>
  <c r="AW288" i="2"/>
  <c r="Z288" i="2"/>
  <c r="L288" i="2"/>
  <c r="ML287" i="2"/>
  <c r="MD287" i="2"/>
  <c r="MA287" i="2"/>
  <c r="LH287" i="2"/>
  <c r="LK287" i="2" s="1"/>
  <c r="LL287" i="2" s="1"/>
  <c r="JK287" i="2"/>
  <c r="HZ287" i="2"/>
  <c r="GO287" i="2"/>
  <c r="FD287" i="2"/>
  <c r="DS287" i="2"/>
  <c r="CH287" i="2"/>
  <c r="BA287" i="2"/>
  <c r="AW287" i="2"/>
  <c r="L287" i="2"/>
  <c r="ML286" i="2"/>
  <c r="MD286" i="2"/>
  <c r="LH286" i="2"/>
  <c r="LK286" i="2" s="1"/>
  <c r="LL286" i="2" s="1"/>
  <c r="JK286" i="2"/>
  <c r="HZ286" i="2"/>
  <c r="GO286" i="2"/>
  <c r="FD286" i="2"/>
  <c r="DS286" i="2"/>
  <c r="CV286" i="2"/>
  <c r="CH286" i="2"/>
  <c r="AW286" i="2"/>
  <c r="L286" i="2"/>
  <c r="ML285" i="2"/>
  <c r="MD285" i="2"/>
  <c r="LH285" i="2"/>
  <c r="LK285" i="2" s="1"/>
  <c r="LL285" i="2" s="1"/>
  <c r="KZ285" i="2"/>
  <c r="JK285" i="2"/>
  <c r="IN285" i="2"/>
  <c r="HZ285" i="2"/>
  <c r="GO285" i="2"/>
  <c r="FD285" i="2"/>
  <c r="DS285" i="2"/>
  <c r="CH285" i="2"/>
  <c r="AW285" i="2"/>
  <c r="L285" i="2"/>
  <c r="ML284" i="2"/>
  <c r="MD284" i="2"/>
  <c r="MA284" i="2"/>
  <c r="LH284" i="2"/>
  <c r="LK284" i="2" s="1"/>
  <c r="LL284" i="2" s="1"/>
  <c r="AS284" i="2" s="1"/>
  <c r="JK284" i="2"/>
  <c r="HZ284" i="2"/>
  <c r="GO284" i="2"/>
  <c r="FD284" i="2"/>
  <c r="DS284" i="2"/>
  <c r="CH284" i="2"/>
  <c r="AW284" i="2"/>
  <c r="L284" i="2"/>
  <c r="ML283" i="2"/>
  <c r="MD283" i="2"/>
  <c r="LH283" i="2"/>
  <c r="LK283" i="2" s="1"/>
  <c r="LL283" i="2" s="1"/>
  <c r="KZ283" i="2"/>
  <c r="KY283" i="2"/>
  <c r="JK283" i="2"/>
  <c r="IN283" i="2"/>
  <c r="HZ283" i="2"/>
  <c r="HC283" i="2"/>
  <c r="GO283" i="2"/>
  <c r="FD283" i="2"/>
  <c r="DS283" i="2"/>
  <c r="CH283" i="2"/>
  <c r="BA283" i="2"/>
  <c r="AW283" i="2"/>
  <c r="L283" i="2"/>
  <c r="ML282" i="2"/>
  <c r="MD282" i="2"/>
  <c r="LH282" i="2"/>
  <c r="LK282" i="2" s="1"/>
  <c r="LL282" i="2" s="1"/>
  <c r="JK282" i="2"/>
  <c r="HZ282" i="2"/>
  <c r="GO282" i="2"/>
  <c r="FR282" i="2"/>
  <c r="MA282" i="2" s="1"/>
  <c r="FD282" i="2"/>
  <c r="DS282" i="2"/>
  <c r="CH282" i="2"/>
  <c r="AW282" i="2"/>
  <c r="L282" i="2"/>
  <c r="ML281" i="2"/>
  <c r="MD281" i="2"/>
  <c r="LH281" i="2"/>
  <c r="LK281" i="2" s="1"/>
  <c r="LL281" i="2" s="1"/>
  <c r="JK281" i="2"/>
  <c r="HZ281" i="2"/>
  <c r="GO281" i="2"/>
  <c r="FD281" i="2"/>
  <c r="DS281" i="2"/>
  <c r="CH281" i="2"/>
  <c r="BM281" i="2"/>
  <c r="BK281" i="2"/>
  <c r="AW281" i="2"/>
  <c r="L281" i="2"/>
  <c r="ML280" i="2"/>
  <c r="MD280" i="2"/>
  <c r="MA280" i="2"/>
  <c r="LH280" i="2"/>
  <c r="LK280" i="2" s="1"/>
  <c r="LL280" i="2" s="1"/>
  <c r="KV280" i="2"/>
  <c r="JK280" i="2"/>
  <c r="HZ280" i="2"/>
  <c r="GO280" i="2"/>
  <c r="FD280" i="2"/>
  <c r="DS280" i="2"/>
  <c r="CH280" i="2"/>
  <c r="AW280" i="2"/>
  <c r="L280" i="2"/>
  <c r="MD279" i="2"/>
  <c r="MA279" i="2"/>
  <c r="LH279" i="2"/>
  <c r="LK279" i="2" s="1"/>
  <c r="LL279" i="2" s="1"/>
  <c r="LU279" i="2" s="1"/>
  <c r="KT279" i="2"/>
  <c r="JK279" i="2"/>
  <c r="HZ279" i="2"/>
  <c r="GO279" i="2"/>
  <c r="FD279" i="2"/>
  <c r="DS279" i="2"/>
  <c r="CH279" i="2"/>
  <c r="AW279" i="2"/>
  <c r="AQ279" i="2"/>
  <c r="L279" i="2"/>
  <c r="MD278" i="2"/>
  <c r="MA278" i="2"/>
  <c r="LH278" i="2"/>
  <c r="LK278" i="2" s="1"/>
  <c r="LL278" i="2" s="1"/>
  <c r="JK278" i="2"/>
  <c r="HZ278" i="2"/>
  <c r="GO278" i="2"/>
  <c r="FD278" i="2"/>
  <c r="DS278" i="2"/>
  <c r="CH278" i="2"/>
  <c r="AW278" i="2"/>
  <c r="L278" i="2"/>
  <c r="MD277" i="2"/>
  <c r="MA277" i="2"/>
  <c r="LH277" i="2"/>
  <c r="LK277" i="2" s="1"/>
  <c r="LL277" i="2" s="1"/>
  <c r="JK277" i="2"/>
  <c r="HZ277" i="2"/>
  <c r="GO277" i="2"/>
  <c r="FD277" i="2"/>
  <c r="DS277" i="2"/>
  <c r="CH277" i="2"/>
  <c r="AW277" i="2"/>
  <c r="L277" i="2"/>
  <c r="MD276" i="2"/>
  <c r="LH276" i="2"/>
  <c r="LK276" i="2" s="1"/>
  <c r="LL276" i="2" s="1"/>
  <c r="LA276" i="2"/>
  <c r="JY276" i="2"/>
  <c r="JK276" i="2"/>
  <c r="HZ276" i="2"/>
  <c r="GO276" i="2"/>
  <c r="FD276" i="2"/>
  <c r="EM276" i="2"/>
  <c r="DS276" i="2"/>
  <c r="CH276" i="2"/>
  <c r="BA276" i="2"/>
  <c r="AW276" i="2"/>
  <c r="L276" i="2"/>
  <c r="MD275" i="2"/>
  <c r="LH275" i="2"/>
  <c r="LK275" i="2" s="1"/>
  <c r="LL275" i="2" s="1"/>
  <c r="LA275" i="2"/>
  <c r="JY275" i="2"/>
  <c r="JK275" i="2"/>
  <c r="HZ275" i="2"/>
  <c r="GO275" i="2"/>
  <c r="FD275" i="2"/>
  <c r="DS275" i="2"/>
  <c r="CH275" i="2"/>
  <c r="BA275" i="2"/>
  <c r="AW275" i="2"/>
  <c r="L275" i="2"/>
  <c r="ML274" i="2"/>
  <c r="MK274" i="2"/>
  <c r="MJ274" i="2"/>
  <c r="MI274" i="2"/>
  <c r="MH274" i="2"/>
  <c r="MG274" i="2"/>
  <c r="MF274" i="2"/>
  <c r="MD274" i="2"/>
  <c r="LH274" i="2"/>
  <c r="LK274" i="2" s="1"/>
  <c r="LL274" i="2" s="1"/>
  <c r="LU274" i="2" s="1"/>
  <c r="JK274" i="2"/>
  <c r="HZ274" i="2"/>
  <c r="GO274" i="2"/>
  <c r="FD274" i="2"/>
  <c r="DS274" i="2"/>
  <c r="CH274" i="2"/>
  <c r="AW274" i="2"/>
  <c r="Z274" i="2"/>
  <c r="L274" i="2"/>
  <c r="ML273" i="2"/>
  <c r="MK273" i="2"/>
  <c r="MD273" i="2"/>
  <c r="LH273" i="2"/>
  <c r="LK273" i="2" s="1"/>
  <c r="LL273" i="2" s="1"/>
  <c r="JK273" i="2"/>
  <c r="HZ273" i="2"/>
  <c r="GO273" i="2"/>
  <c r="FD273" i="2"/>
  <c r="EG273" i="2"/>
  <c r="DS273" i="2"/>
  <c r="CH273" i="2"/>
  <c r="AW273" i="2"/>
  <c r="L273" i="2"/>
  <c r="MD272" i="2"/>
  <c r="MA272" i="2"/>
  <c r="LH272" i="2"/>
  <c r="LK272" i="2" s="1"/>
  <c r="LL272" i="2" s="1"/>
  <c r="JK272" i="2"/>
  <c r="HZ272" i="2"/>
  <c r="GO272" i="2"/>
  <c r="FD272" i="2"/>
  <c r="DS272" i="2"/>
  <c r="CH272" i="2"/>
  <c r="AW272" i="2"/>
  <c r="L272" i="2"/>
  <c r="ML271" i="2"/>
  <c r="MD271" i="2"/>
  <c r="LH271" i="2"/>
  <c r="LK271" i="2" s="1"/>
  <c r="LL271" i="2" s="1"/>
  <c r="AS271" i="2" s="1"/>
  <c r="JK271" i="2"/>
  <c r="HZ271" i="2"/>
  <c r="HC271" i="2"/>
  <c r="GO271" i="2"/>
  <c r="FD271" i="2"/>
  <c r="DS271" i="2"/>
  <c r="CV271" i="2"/>
  <c r="CH271" i="2"/>
  <c r="BO271" i="2"/>
  <c r="AW271" i="2"/>
  <c r="L271" i="2"/>
  <c r="MD270" i="2"/>
  <c r="LH270" i="2"/>
  <c r="LK270" i="2" s="1"/>
  <c r="LL270" i="2" s="1"/>
  <c r="LA270" i="2"/>
  <c r="JY270" i="2"/>
  <c r="MA270" i="2" s="1"/>
  <c r="JK270" i="2"/>
  <c r="HZ270" i="2"/>
  <c r="GO270" i="2"/>
  <c r="FD270" i="2"/>
  <c r="DS270" i="2"/>
  <c r="CH270" i="2"/>
  <c r="AW270" i="2"/>
  <c r="L270" i="2"/>
  <c r="MD269" i="2"/>
  <c r="LH269" i="2"/>
  <c r="LK269" i="2" s="1"/>
  <c r="LL269" i="2" s="1"/>
  <c r="LA269" i="2"/>
  <c r="KW269" i="2"/>
  <c r="JY269" i="2"/>
  <c r="JK269" i="2"/>
  <c r="HZ269" i="2"/>
  <c r="HT269" i="2"/>
  <c r="GO269" i="2"/>
  <c r="FD269" i="2"/>
  <c r="DS269" i="2"/>
  <c r="CX269" i="2"/>
  <c r="CH269" i="2"/>
  <c r="AW269" i="2"/>
  <c r="L269" i="2"/>
  <c r="ML268" i="2"/>
  <c r="MD268" i="2"/>
  <c r="LH268" i="2"/>
  <c r="LK268" i="2" s="1"/>
  <c r="LL268" i="2" s="1"/>
  <c r="KZ268" i="2"/>
  <c r="KU268" i="2"/>
  <c r="JK268" i="2"/>
  <c r="IN268" i="2"/>
  <c r="HZ268" i="2"/>
  <c r="GO268" i="2"/>
  <c r="FD268" i="2"/>
  <c r="DS268" i="2"/>
  <c r="CH268" i="2"/>
  <c r="CB268" i="2"/>
  <c r="BO268" i="2"/>
  <c r="BM268" i="2"/>
  <c r="BN268" i="2" s="1"/>
  <c r="BK268" i="2"/>
  <c r="AW268" i="2"/>
  <c r="L268" i="2"/>
  <c r="ML267" i="2"/>
  <c r="MD267" i="2"/>
  <c r="LH267" i="2"/>
  <c r="LK267" i="2" s="1"/>
  <c r="LL267" i="2" s="1"/>
  <c r="JK267" i="2"/>
  <c r="HZ267" i="2"/>
  <c r="GO267" i="2"/>
  <c r="FD267" i="2"/>
  <c r="DS267" i="2"/>
  <c r="CX267" i="2"/>
  <c r="CH267" i="2"/>
  <c r="AW267" i="2"/>
  <c r="L267" i="2"/>
  <c r="ML266" i="2"/>
  <c r="MD266" i="2"/>
  <c r="MA266" i="2"/>
  <c r="LH266" i="2"/>
  <c r="LK266" i="2" s="1"/>
  <c r="LL266" i="2" s="1"/>
  <c r="JK266" i="2"/>
  <c r="HZ266" i="2"/>
  <c r="GO266" i="2"/>
  <c r="FD266" i="2"/>
  <c r="DS266" i="2"/>
  <c r="CH266" i="2"/>
  <c r="AW266" i="2"/>
  <c r="L266" i="2"/>
  <c r="MD265" i="2"/>
  <c r="MA265" i="2"/>
  <c r="LH265" i="2"/>
  <c r="LK265" i="2" s="1"/>
  <c r="LL265" i="2" s="1"/>
  <c r="JK265" i="2"/>
  <c r="HZ265" i="2"/>
  <c r="GO265" i="2"/>
  <c r="FD265" i="2"/>
  <c r="DS265" i="2"/>
  <c r="CH265" i="2"/>
  <c r="AW265" i="2"/>
  <c r="L265" i="2"/>
  <c r="MD264" i="2"/>
  <c r="LH264" i="2"/>
  <c r="LK264" i="2" s="1"/>
  <c r="LL264" i="2" s="1"/>
  <c r="JK264" i="2"/>
  <c r="HZ264" i="2"/>
  <c r="HE264" i="2"/>
  <c r="GO264" i="2"/>
  <c r="FD264" i="2"/>
  <c r="DS264" i="2"/>
  <c r="CH264" i="2"/>
  <c r="AW264" i="2"/>
  <c r="L264" i="2"/>
  <c r="MD263" i="2"/>
  <c r="LH263" i="2"/>
  <c r="LK263" i="2" s="1"/>
  <c r="LL263" i="2" s="1"/>
  <c r="LA263" i="2"/>
  <c r="JY263" i="2"/>
  <c r="JK263" i="2"/>
  <c r="HZ263" i="2"/>
  <c r="GO263" i="2"/>
  <c r="FD263" i="2"/>
  <c r="DS263" i="2"/>
  <c r="CH263" i="2"/>
  <c r="AW263" i="2"/>
  <c r="L263" i="2"/>
  <c r="MD262" i="2"/>
  <c r="LH262" i="2"/>
  <c r="LK262" i="2" s="1"/>
  <c r="LL262" i="2" s="1"/>
  <c r="LA262" i="2"/>
  <c r="JY262" i="2"/>
  <c r="JK262" i="2"/>
  <c r="HZ262" i="2"/>
  <c r="GO262" i="2"/>
  <c r="FD262" i="2"/>
  <c r="DS262" i="2"/>
  <c r="CX262" i="2"/>
  <c r="CH262" i="2"/>
  <c r="AW262" i="2"/>
  <c r="L262" i="2"/>
  <c r="MD261" i="2"/>
  <c r="LH261" i="2"/>
  <c r="LK261" i="2" s="1"/>
  <c r="LL261" i="2" s="1"/>
  <c r="LA261" i="2"/>
  <c r="JY261" i="2"/>
  <c r="JK261" i="2"/>
  <c r="IN261" i="2"/>
  <c r="HZ261" i="2"/>
  <c r="GO261" i="2"/>
  <c r="FD261" i="2"/>
  <c r="DS261" i="2"/>
  <c r="CH261" i="2"/>
  <c r="AW261" i="2"/>
  <c r="L261" i="2"/>
  <c r="ML260" i="2"/>
  <c r="MD260" i="2"/>
  <c r="LH260" i="2"/>
  <c r="LK260" i="2" s="1"/>
  <c r="LL260" i="2" s="1"/>
  <c r="KZ260" i="2"/>
  <c r="JK260" i="2"/>
  <c r="IN260" i="2"/>
  <c r="MA260" i="2" s="1"/>
  <c r="HZ260" i="2"/>
  <c r="GO260" i="2"/>
  <c r="FD260" i="2"/>
  <c r="DS260" i="2"/>
  <c r="CL260" i="2"/>
  <c r="CH260" i="2"/>
  <c r="AW260" i="2"/>
  <c r="L260" i="2"/>
  <c r="ML259" i="2"/>
  <c r="MD259" i="2"/>
  <c r="LH259" i="2"/>
  <c r="LK259" i="2" s="1"/>
  <c r="LL259" i="2" s="1"/>
  <c r="LU259" i="2" s="1"/>
  <c r="KZ259" i="2"/>
  <c r="JK259" i="2"/>
  <c r="IN259" i="2"/>
  <c r="HZ259" i="2"/>
  <c r="HC259" i="2"/>
  <c r="GO259" i="2"/>
  <c r="FD259" i="2"/>
  <c r="DS259" i="2"/>
  <c r="CH259" i="2"/>
  <c r="AW259" i="2"/>
  <c r="L259" i="2"/>
  <c r="ML258" i="2"/>
  <c r="MK258" i="2"/>
  <c r="MJ258" i="2"/>
  <c r="MI258" i="2"/>
  <c r="MH258" i="2"/>
  <c r="MD258" i="2"/>
  <c r="MA258" i="2"/>
  <c r="LH258" i="2"/>
  <c r="LK258" i="2" s="1"/>
  <c r="LL258" i="2" s="1"/>
  <c r="JK258" i="2"/>
  <c r="HZ258" i="2"/>
  <c r="GO258" i="2"/>
  <c r="FD258" i="2"/>
  <c r="DS258" i="2"/>
  <c r="CH258" i="2"/>
  <c r="AW258" i="2"/>
  <c r="L258" i="2"/>
  <c r="ML257" i="2"/>
  <c r="MK257" i="2"/>
  <c r="MJ257" i="2"/>
  <c r="MD257" i="2"/>
  <c r="LH257" i="2"/>
  <c r="LK257" i="2" s="1"/>
  <c r="LL257" i="2" s="1"/>
  <c r="JK257" i="2"/>
  <c r="HZ257" i="2"/>
  <c r="GO257" i="2"/>
  <c r="FD257" i="2"/>
  <c r="EG257" i="2"/>
  <c r="DS257" i="2"/>
  <c r="CH257" i="2"/>
  <c r="AW257" i="2"/>
  <c r="L257" i="2"/>
  <c r="ML256" i="2"/>
  <c r="MK256" i="2"/>
  <c r="MD256" i="2"/>
  <c r="LH256" i="2"/>
  <c r="LK256" i="2" s="1"/>
  <c r="LL256" i="2" s="1"/>
  <c r="LU256" i="2" s="1"/>
  <c r="KY256" i="2"/>
  <c r="JK256" i="2"/>
  <c r="HZ256" i="2"/>
  <c r="GO256" i="2"/>
  <c r="FD256" i="2"/>
  <c r="DS256" i="2"/>
  <c r="CH256" i="2"/>
  <c r="AW256" i="2"/>
  <c r="Z256" i="2"/>
  <c r="MA256" i="2" s="1"/>
  <c r="L256" i="2"/>
  <c r="ML255" i="2"/>
  <c r="MD255" i="2"/>
  <c r="LH255" i="2"/>
  <c r="LK255" i="2" s="1"/>
  <c r="LL255" i="2" s="1"/>
  <c r="KZ255" i="2"/>
  <c r="JK255" i="2"/>
  <c r="IN255" i="2"/>
  <c r="HZ255" i="2"/>
  <c r="GO255" i="2"/>
  <c r="FD255" i="2"/>
  <c r="DS255" i="2"/>
  <c r="CX255" i="2"/>
  <c r="CH255" i="2"/>
  <c r="AW255" i="2"/>
  <c r="L255" i="2"/>
  <c r="MD254" i="2"/>
  <c r="LH254" i="2"/>
  <c r="LK254" i="2" s="1"/>
  <c r="LL254" i="2" s="1"/>
  <c r="JK254" i="2"/>
  <c r="HZ254" i="2"/>
  <c r="GO254" i="2"/>
  <c r="FD254" i="2"/>
  <c r="DS254" i="2"/>
  <c r="CV254" i="2"/>
  <c r="CH254" i="2"/>
  <c r="BM254" i="2"/>
  <c r="BK254" i="2"/>
  <c r="AW254" i="2"/>
  <c r="L254" i="2"/>
  <c r="ML253" i="2"/>
  <c r="MD253" i="2"/>
  <c r="MA253" i="2"/>
  <c r="LH253" i="2"/>
  <c r="LK253" i="2" s="1"/>
  <c r="LL253" i="2" s="1"/>
  <c r="AS253" i="2" s="1"/>
  <c r="ME253" i="2" s="1"/>
  <c r="JK253" i="2"/>
  <c r="HZ253" i="2"/>
  <c r="GO253" i="2"/>
  <c r="FD253" i="2"/>
  <c r="DS253" i="2"/>
  <c r="CH253" i="2"/>
  <c r="AW253" i="2"/>
  <c r="L253" i="2"/>
  <c r="MD252" i="2"/>
  <c r="LH252" i="2"/>
  <c r="LK252" i="2" s="1"/>
  <c r="LL252" i="2" s="1"/>
  <c r="LA252" i="2"/>
  <c r="JY252" i="2"/>
  <c r="JK252" i="2"/>
  <c r="HZ252" i="2"/>
  <c r="GO252" i="2"/>
  <c r="FD252" i="2"/>
  <c r="DS252" i="2"/>
  <c r="DB252" i="2"/>
  <c r="CH252" i="2"/>
  <c r="BO252" i="2"/>
  <c r="AW252" i="2"/>
  <c r="L252" i="2"/>
  <c r="MD251" i="2"/>
  <c r="LH251" i="2"/>
  <c r="LK251" i="2" s="1"/>
  <c r="LL251" i="2" s="1"/>
  <c r="JK251" i="2"/>
  <c r="IN251" i="2"/>
  <c r="HZ251" i="2"/>
  <c r="GO251" i="2"/>
  <c r="FD251" i="2"/>
  <c r="DS251" i="2"/>
  <c r="CH251" i="2"/>
  <c r="BM251" i="2"/>
  <c r="AW251" i="2"/>
  <c r="L251" i="2"/>
  <c r="ML250" i="2"/>
  <c r="MD250" i="2"/>
  <c r="LH250" i="2"/>
  <c r="LK250" i="2" s="1"/>
  <c r="LL250" i="2" s="1"/>
  <c r="KZ250" i="2"/>
  <c r="JK250" i="2"/>
  <c r="IN250" i="2"/>
  <c r="HZ250" i="2"/>
  <c r="GO250" i="2"/>
  <c r="FD250" i="2"/>
  <c r="DS250" i="2"/>
  <c r="CH250" i="2"/>
  <c r="BA250" i="2"/>
  <c r="AW250" i="2"/>
  <c r="L250" i="2"/>
  <c r="ML249" i="2"/>
  <c r="MD249" i="2"/>
  <c r="LH249" i="2"/>
  <c r="LK249" i="2" s="1"/>
  <c r="LL249" i="2" s="1"/>
  <c r="JK249" i="2"/>
  <c r="HZ249" i="2"/>
  <c r="HC249" i="2"/>
  <c r="GO249" i="2"/>
  <c r="FD249" i="2"/>
  <c r="DS249" i="2"/>
  <c r="CV249" i="2"/>
  <c r="CH249" i="2"/>
  <c r="AW249" i="2"/>
  <c r="L249" i="2"/>
  <c r="ML248" i="2"/>
  <c r="MD248" i="2"/>
  <c r="MA248" i="2"/>
  <c r="LH248" i="2"/>
  <c r="LK248" i="2" s="1"/>
  <c r="LL248" i="2" s="1"/>
  <c r="JK248" i="2"/>
  <c r="HZ248" i="2"/>
  <c r="GO248" i="2"/>
  <c r="FD248" i="2"/>
  <c r="DS248" i="2"/>
  <c r="CH248" i="2"/>
  <c r="AW248" i="2"/>
  <c r="L248" i="2"/>
  <c r="MD247" i="2"/>
  <c r="LH247" i="2"/>
  <c r="LK247" i="2" s="1"/>
  <c r="LL247" i="2" s="1"/>
  <c r="LA247" i="2"/>
  <c r="KZ247" i="2"/>
  <c r="JY247" i="2"/>
  <c r="JK247" i="2"/>
  <c r="HZ247" i="2"/>
  <c r="GO247" i="2"/>
  <c r="FD247" i="2"/>
  <c r="EI247" i="2"/>
  <c r="DS247" i="2"/>
  <c r="CX247" i="2"/>
  <c r="CH247" i="2"/>
  <c r="BM247" i="2"/>
  <c r="AW247" i="2"/>
  <c r="Z247" i="2"/>
  <c r="L247" i="2"/>
  <c r="MD246" i="2"/>
  <c r="MA246" i="2"/>
  <c r="LH246" i="2"/>
  <c r="LK246" i="2" s="1"/>
  <c r="LL246" i="2" s="1"/>
  <c r="AS246" i="2" s="1"/>
  <c r="JK246" i="2"/>
  <c r="HZ246" i="2"/>
  <c r="GO246" i="2"/>
  <c r="FD246" i="2"/>
  <c r="DS246" i="2"/>
  <c r="CH246" i="2"/>
  <c r="AW246" i="2"/>
  <c r="L246" i="2"/>
  <c r="MD245" i="2"/>
  <c r="MA245" i="2"/>
  <c r="LH245" i="2"/>
  <c r="LK245" i="2" s="1"/>
  <c r="LL245" i="2" s="1"/>
  <c r="LO245" i="2" s="1"/>
  <c r="JK245" i="2"/>
  <c r="HZ245" i="2"/>
  <c r="GO245" i="2"/>
  <c r="FD245" i="2"/>
  <c r="DS245" i="2"/>
  <c r="CH245" i="2"/>
  <c r="AW245" i="2"/>
  <c r="L245" i="2"/>
  <c r="MD244" i="2"/>
  <c r="LH244" i="2"/>
  <c r="LK244" i="2" s="1"/>
  <c r="LL244" i="2" s="1"/>
  <c r="LA244" i="2"/>
  <c r="JY244" i="2"/>
  <c r="JK244" i="2"/>
  <c r="HZ244" i="2"/>
  <c r="GO244" i="2"/>
  <c r="FR244" i="2"/>
  <c r="FD244" i="2"/>
  <c r="EG244" i="2"/>
  <c r="DS244" i="2"/>
  <c r="CH244" i="2"/>
  <c r="AW244" i="2"/>
  <c r="L244" i="2"/>
  <c r="MD243" i="2"/>
  <c r="MA243" i="2"/>
  <c r="LH243" i="2"/>
  <c r="LK243" i="2" s="1"/>
  <c r="LL243" i="2" s="1"/>
  <c r="LQ243" i="2" s="1"/>
  <c r="JK243" i="2"/>
  <c r="HZ243" i="2"/>
  <c r="GO243" i="2"/>
  <c r="FD243" i="2"/>
  <c r="DS243" i="2"/>
  <c r="CH243" i="2"/>
  <c r="AW243" i="2"/>
  <c r="L243" i="2"/>
  <c r="MD242" i="2"/>
  <c r="LH242" i="2"/>
  <c r="LK242" i="2" s="1"/>
  <c r="LL242" i="2" s="1"/>
  <c r="AS242" i="2" s="1"/>
  <c r="JK242" i="2"/>
  <c r="HZ242" i="2"/>
  <c r="GO242" i="2"/>
  <c r="FD242" i="2"/>
  <c r="EK242" i="2"/>
  <c r="DS242" i="2"/>
  <c r="CH242" i="2"/>
  <c r="BK242" i="2"/>
  <c r="AW242" i="2"/>
  <c r="L242" i="2"/>
  <c r="MD241" i="2"/>
  <c r="LH241" i="2"/>
  <c r="LK241" i="2" s="1"/>
  <c r="LL241" i="2" s="1"/>
  <c r="LU241" i="2" s="1"/>
  <c r="KW241" i="2"/>
  <c r="JK241" i="2"/>
  <c r="HZ241" i="2"/>
  <c r="GO241" i="2"/>
  <c r="FD241" i="2"/>
  <c r="EI241" i="2"/>
  <c r="DS241" i="2"/>
  <c r="CH241" i="2"/>
  <c r="AW241" i="2"/>
  <c r="Z241" i="2"/>
  <c r="L241" i="2"/>
  <c r="ML240" i="2"/>
  <c r="MD240" i="2"/>
  <c r="LH240" i="2"/>
  <c r="LK240" i="2" s="1"/>
  <c r="LL240" i="2" s="1"/>
  <c r="KZ240" i="2"/>
  <c r="JK240" i="2"/>
  <c r="IN240" i="2"/>
  <c r="HZ240" i="2"/>
  <c r="GO240" i="2"/>
  <c r="FD240" i="2"/>
  <c r="DS240" i="2"/>
  <c r="CH240" i="2"/>
  <c r="BK240" i="2"/>
  <c r="AW240" i="2"/>
  <c r="L240" i="2"/>
  <c r="MD239" i="2"/>
  <c r="LH239" i="2"/>
  <c r="LK239" i="2" s="1"/>
  <c r="LL239" i="2" s="1"/>
  <c r="JK239" i="2"/>
  <c r="IN239" i="2"/>
  <c r="HZ239" i="2"/>
  <c r="HC239" i="2"/>
  <c r="GO239" i="2"/>
  <c r="FD239" i="2"/>
  <c r="DS239" i="2"/>
  <c r="CH239" i="2"/>
  <c r="BO239" i="2"/>
  <c r="BM239" i="2"/>
  <c r="BK239" i="2"/>
  <c r="AW239" i="2"/>
  <c r="Z239" i="2"/>
  <c r="L239" i="2"/>
  <c r="MD238" i="2"/>
  <c r="LH238" i="2"/>
  <c r="LK238" i="2" s="1"/>
  <c r="LL238" i="2" s="1"/>
  <c r="LA238" i="2"/>
  <c r="JY238" i="2"/>
  <c r="JK238" i="2"/>
  <c r="HZ238" i="2"/>
  <c r="GO238" i="2"/>
  <c r="FD238" i="2"/>
  <c r="DS238" i="2"/>
  <c r="CV238" i="2"/>
  <c r="CH238" i="2"/>
  <c r="AW238" i="2"/>
  <c r="L238" i="2"/>
  <c r="ML237" i="2"/>
  <c r="MD237" i="2"/>
  <c r="MA237" i="2"/>
  <c r="LH237" i="2"/>
  <c r="LK237" i="2" s="1"/>
  <c r="LL237" i="2" s="1"/>
  <c r="JK237" i="2"/>
  <c r="HZ237" i="2"/>
  <c r="GO237" i="2"/>
  <c r="FD237" i="2"/>
  <c r="DS237" i="2"/>
  <c r="CH237" i="2"/>
  <c r="AW237" i="2"/>
  <c r="L237" i="2"/>
  <c r="MD236" i="2"/>
  <c r="LH236" i="2"/>
  <c r="LK236" i="2" s="1"/>
  <c r="LL236" i="2" s="1"/>
  <c r="JK236" i="2"/>
  <c r="HZ236" i="2"/>
  <c r="HE236" i="2"/>
  <c r="MA236" i="2" s="1"/>
  <c r="GO236" i="2"/>
  <c r="FD236" i="2"/>
  <c r="DS236" i="2"/>
  <c r="CH236" i="2"/>
  <c r="AW236" i="2"/>
  <c r="AQ236" i="2"/>
  <c r="L236" i="2"/>
  <c r="MD235" i="2"/>
  <c r="LH235" i="2"/>
  <c r="LK235" i="2" s="1"/>
  <c r="LL235" i="2" s="1"/>
  <c r="LS235" i="2" s="1"/>
  <c r="LA235" i="2"/>
  <c r="KW235" i="2"/>
  <c r="JY235" i="2"/>
  <c r="JK235" i="2"/>
  <c r="HZ235" i="2"/>
  <c r="GO235" i="2"/>
  <c r="FD235" i="2"/>
  <c r="EM235" i="2"/>
  <c r="EK235" i="2"/>
  <c r="EL235" i="2" s="1"/>
  <c r="EI235" i="2"/>
  <c r="DS235" i="2"/>
  <c r="CH235" i="2"/>
  <c r="AW235" i="2"/>
  <c r="L235" i="2"/>
  <c r="MD234" i="2"/>
  <c r="LH234" i="2"/>
  <c r="LK234" i="2" s="1"/>
  <c r="LL234" i="2" s="1"/>
  <c r="JK234" i="2"/>
  <c r="IN234" i="2"/>
  <c r="HZ234" i="2"/>
  <c r="GO234" i="2"/>
  <c r="FD234" i="2"/>
  <c r="EG234" i="2"/>
  <c r="DS234" i="2"/>
  <c r="CH234" i="2"/>
  <c r="AW234" i="2"/>
  <c r="AB234" i="2"/>
  <c r="AC234" i="2" s="1"/>
  <c r="L234" i="2"/>
  <c r="MD233" i="2"/>
  <c r="MA233" i="2"/>
  <c r="LH233" i="2"/>
  <c r="LK233" i="2" s="1"/>
  <c r="LL233" i="2" s="1"/>
  <c r="JK233" i="2"/>
  <c r="HZ233" i="2"/>
  <c r="GO233" i="2"/>
  <c r="FD233" i="2"/>
  <c r="DS233" i="2"/>
  <c r="CH233" i="2"/>
  <c r="AW233" i="2"/>
  <c r="L233" i="2"/>
  <c r="ML232" i="2"/>
  <c r="MD232" i="2"/>
  <c r="LH232" i="2"/>
  <c r="LK232" i="2" s="1"/>
  <c r="LL232" i="2" s="1"/>
  <c r="KV232" i="2"/>
  <c r="JK232" i="2"/>
  <c r="HZ232" i="2"/>
  <c r="HC232" i="2"/>
  <c r="GO232" i="2"/>
  <c r="FR232" i="2"/>
  <c r="FD232" i="2"/>
  <c r="EI232" i="2"/>
  <c r="DS232" i="2"/>
  <c r="CX232" i="2"/>
  <c r="CY232" i="2" s="1"/>
  <c r="CV232" i="2"/>
  <c r="CH232" i="2"/>
  <c r="AW232" i="2"/>
  <c r="Z232" i="2"/>
  <c r="L232" i="2"/>
  <c r="MD231" i="2"/>
  <c r="LH231" i="2"/>
  <c r="LK231" i="2" s="1"/>
  <c r="LL231" i="2" s="1"/>
  <c r="LA231" i="2"/>
  <c r="JY231" i="2"/>
  <c r="MA231" i="2" s="1"/>
  <c r="JK231" i="2"/>
  <c r="HZ231" i="2"/>
  <c r="GO231" i="2"/>
  <c r="FD231" i="2"/>
  <c r="DS231" i="2"/>
  <c r="CL231" i="2"/>
  <c r="CH231" i="2"/>
  <c r="AW231" i="2"/>
  <c r="L231" i="2"/>
  <c r="MD230" i="2"/>
  <c r="LH230" i="2"/>
  <c r="LK230" i="2" s="1"/>
  <c r="LL230" i="2" s="1"/>
  <c r="JK230" i="2"/>
  <c r="HZ230" i="2"/>
  <c r="HC230" i="2"/>
  <c r="GO230" i="2"/>
  <c r="FD230" i="2"/>
  <c r="EI230" i="2"/>
  <c r="EG230" i="2"/>
  <c r="DS230" i="2"/>
  <c r="CV230" i="2"/>
  <c r="CH230" i="2"/>
  <c r="AW230" i="2"/>
  <c r="L230" i="2"/>
  <c r="MD229" i="2"/>
  <c r="LH229" i="2"/>
  <c r="LK229" i="2" s="1"/>
  <c r="LL229" i="2" s="1"/>
  <c r="LO229" i="2" s="1"/>
  <c r="LA229" i="2"/>
  <c r="JY229" i="2"/>
  <c r="JK229" i="2"/>
  <c r="HZ229" i="2"/>
  <c r="HC229" i="2"/>
  <c r="GO229" i="2"/>
  <c r="FD229" i="2"/>
  <c r="DS229" i="2"/>
  <c r="DM229" i="2"/>
  <c r="CV229" i="2"/>
  <c r="CH229" i="2"/>
  <c r="BM229" i="2"/>
  <c r="BK229" i="2"/>
  <c r="AW229" i="2"/>
  <c r="Z229" i="2"/>
  <c r="L229" i="2"/>
  <c r="MD228" i="2"/>
  <c r="MA228" i="2"/>
  <c r="LH228" i="2"/>
  <c r="LK228" i="2" s="1"/>
  <c r="LL228" i="2" s="1"/>
  <c r="JK228" i="2"/>
  <c r="HZ228" i="2"/>
  <c r="GO228" i="2"/>
  <c r="FD228" i="2"/>
  <c r="DS228" i="2"/>
  <c r="CH228" i="2"/>
  <c r="AW228" i="2"/>
  <c r="L228" i="2"/>
  <c r="ML227" i="2"/>
  <c r="MD227" i="2"/>
  <c r="MA227" i="2"/>
  <c r="LH227" i="2"/>
  <c r="LK227" i="2" s="1"/>
  <c r="LL227" i="2" s="1"/>
  <c r="LO227" i="2" s="1"/>
  <c r="JK227" i="2"/>
  <c r="ID227" i="2"/>
  <c r="HZ227" i="2"/>
  <c r="GO227" i="2"/>
  <c r="FD227" i="2"/>
  <c r="DS227" i="2"/>
  <c r="CH227" i="2"/>
  <c r="AW227" i="2"/>
  <c r="L227" i="2"/>
  <c r="MD226" i="2"/>
  <c r="MA226" i="2"/>
  <c r="LH226" i="2"/>
  <c r="LK226" i="2" s="1"/>
  <c r="LL226" i="2" s="1"/>
  <c r="JK226" i="2"/>
  <c r="HZ226" i="2"/>
  <c r="GO226" i="2"/>
  <c r="FD226" i="2"/>
  <c r="DS226" i="2"/>
  <c r="CH226" i="2"/>
  <c r="AW226" i="2"/>
  <c r="L226" i="2"/>
  <c r="MD225" i="2"/>
  <c r="LH225" i="2"/>
  <c r="LK225" i="2" s="1"/>
  <c r="LL225" i="2" s="1"/>
  <c r="LA225" i="2"/>
  <c r="JY225" i="2"/>
  <c r="JK225" i="2"/>
  <c r="HZ225" i="2"/>
  <c r="GO225" i="2"/>
  <c r="FR225" i="2"/>
  <c r="FD225" i="2"/>
  <c r="DS225" i="2"/>
  <c r="CX225" i="2"/>
  <c r="CH225" i="2"/>
  <c r="AW225" i="2"/>
  <c r="L225" i="2"/>
  <c r="MD224" i="2"/>
  <c r="LH224" i="2"/>
  <c r="LK224" i="2" s="1"/>
  <c r="LL224" i="2" s="1"/>
  <c r="KY224" i="2"/>
  <c r="KT224" i="2"/>
  <c r="JY224" i="2"/>
  <c r="JK224" i="2"/>
  <c r="HZ224" i="2"/>
  <c r="HC224" i="2"/>
  <c r="GO224" i="2"/>
  <c r="FR224" i="2"/>
  <c r="FD224" i="2"/>
  <c r="DS224" i="2"/>
  <c r="CH224" i="2"/>
  <c r="AW224" i="2"/>
  <c r="L224" i="2"/>
  <c r="MD223" i="2"/>
  <c r="LH223" i="2"/>
  <c r="LK223" i="2" s="1"/>
  <c r="LL223" i="2" s="1"/>
  <c r="LA223" i="2"/>
  <c r="KZ223" i="2"/>
  <c r="JY223" i="2"/>
  <c r="JK223" i="2"/>
  <c r="IR223" i="2"/>
  <c r="HZ223" i="2"/>
  <c r="GO223" i="2"/>
  <c r="FD223" i="2"/>
  <c r="DS223" i="2"/>
  <c r="CH223" i="2"/>
  <c r="AW223" i="2"/>
  <c r="L223" i="2"/>
  <c r="ML222" i="2"/>
  <c r="MD222" i="2"/>
  <c r="LH222" i="2"/>
  <c r="LK222" i="2" s="1"/>
  <c r="LL222" i="2" s="1"/>
  <c r="KZ222" i="2"/>
  <c r="JK222" i="2"/>
  <c r="IN222" i="2"/>
  <c r="HZ222" i="2"/>
  <c r="GO222" i="2"/>
  <c r="FD222" i="2"/>
  <c r="DS222" i="2"/>
  <c r="CH222" i="2"/>
  <c r="BA222" i="2"/>
  <c r="AW222" i="2"/>
  <c r="L222" i="2"/>
  <c r="MD221" i="2"/>
  <c r="LH221" i="2"/>
  <c r="LK221" i="2" s="1"/>
  <c r="LL221" i="2" s="1"/>
  <c r="JK221" i="2"/>
  <c r="HZ221" i="2"/>
  <c r="GO221" i="2"/>
  <c r="FD221" i="2"/>
  <c r="DS221" i="2"/>
  <c r="CH221" i="2"/>
  <c r="BK221" i="2"/>
  <c r="AW221" i="2"/>
  <c r="L221" i="2"/>
  <c r="MD220" i="2"/>
  <c r="LH220" i="2"/>
  <c r="LK220" i="2" s="1"/>
  <c r="LL220" i="2" s="1"/>
  <c r="JK220" i="2"/>
  <c r="HZ220" i="2"/>
  <c r="HC220" i="2"/>
  <c r="GO220" i="2"/>
  <c r="FD220" i="2"/>
  <c r="DS220" i="2"/>
  <c r="CH220" i="2"/>
  <c r="AW220" i="2"/>
  <c r="L220" i="2"/>
  <c r="MD219" i="2"/>
  <c r="LH219" i="2"/>
  <c r="LK219" i="2" s="1"/>
  <c r="LL219" i="2" s="1"/>
  <c r="JY219" i="2"/>
  <c r="JK219" i="2"/>
  <c r="HZ219" i="2"/>
  <c r="GO219" i="2"/>
  <c r="FD219" i="2"/>
  <c r="DS219" i="2"/>
  <c r="CX219" i="2"/>
  <c r="CH219" i="2"/>
  <c r="AW219" i="2"/>
  <c r="L219" i="2"/>
  <c r="ML218" i="2"/>
  <c r="MD218" i="2"/>
  <c r="MA218" i="2"/>
  <c r="LH218" i="2"/>
  <c r="LK218" i="2" s="1"/>
  <c r="LL218" i="2" s="1"/>
  <c r="AS218" i="2" s="1"/>
  <c r="JK218" i="2"/>
  <c r="HZ218" i="2"/>
  <c r="GO218" i="2"/>
  <c r="FD218" i="2"/>
  <c r="DS218" i="2"/>
  <c r="CH218" i="2"/>
  <c r="AW218" i="2"/>
  <c r="L218" i="2"/>
  <c r="MD217" i="2"/>
  <c r="MA217" i="2"/>
  <c r="LH217" i="2"/>
  <c r="LK217" i="2" s="1"/>
  <c r="LL217" i="2" s="1"/>
  <c r="JK217" i="2"/>
  <c r="HZ217" i="2"/>
  <c r="GO217" i="2"/>
  <c r="FD217" i="2"/>
  <c r="DS217" i="2"/>
  <c r="CH217" i="2"/>
  <c r="AW217" i="2"/>
  <c r="L217" i="2"/>
  <c r="ML216" i="2"/>
  <c r="MK216" i="2"/>
  <c r="MJ216" i="2"/>
  <c r="MI216" i="2"/>
  <c r="MH216" i="2"/>
  <c r="MD216" i="2"/>
  <c r="MA216" i="2"/>
  <c r="LH216" i="2"/>
  <c r="LK216" i="2" s="1"/>
  <c r="LL216" i="2" s="1"/>
  <c r="JK216" i="2"/>
  <c r="HZ216" i="2"/>
  <c r="GO216" i="2"/>
  <c r="FD216" i="2"/>
  <c r="DS216" i="2"/>
  <c r="CH216" i="2"/>
  <c r="AW216" i="2"/>
  <c r="L216" i="2"/>
  <c r="MD215" i="2"/>
  <c r="MA215" i="2"/>
  <c r="LH215" i="2"/>
  <c r="LK215" i="2" s="1"/>
  <c r="LL215" i="2" s="1"/>
  <c r="AS215" i="2" s="1"/>
  <c r="KP215" i="2"/>
  <c r="JK215" i="2"/>
  <c r="HZ215" i="2"/>
  <c r="GO215" i="2"/>
  <c r="FD215" i="2"/>
  <c r="DS215" i="2"/>
  <c r="CH215" i="2"/>
  <c r="AW215" i="2"/>
  <c r="L215" i="2"/>
  <c r="I215" i="2"/>
  <c r="MD214" i="2"/>
  <c r="MA214" i="2"/>
  <c r="LH214" i="2"/>
  <c r="LK214" i="2" s="1"/>
  <c r="LL214" i="2" s="1"/>
  <c r="JK214" i="2"/>
  <c r="HZ214" i="2"/>
  <c r="GO214" i="2"/>
  <c r="FD214" i="2"/>
  <c r="DS214" i="2"/>
  <c r="CH214" i="2"/>
  <c r="AW214" i="2"/>
  <c r="L214" i="2"/>
  <c r="I214" i="2"/>
  <c r="MD213" i="2"/>
  <c r="MA213" i="2"/>
  <c r="LH213" i="2"/>
  <c r="LK213" i="2" s="1"/>
  <c r="LL213" i="2" s="1"/>
  <c r="LS213" i="2" s="1"/>
  <c r="JK213" i="2"/>
  <c r="HZ213" i="2"/>
  <c r="GO213" i="2"/>
  <c r="FD213" i="2"/>
  <c r="DS213" i="2"/>
  <c r="CH213" i="2"/>
  <c r="AW213" i="2"/>
  <c r="L213" i="2"/>
  <c r="I213" i="2"/>
  <c r="ML212" i="2"/>
  <c r="MK212" i="2"/>
  <c r="MD212" i="2"/>
  <c r="LH212" i="2"/>
  <c r="LK212" i="2" s="1"/>
  <c r="LL212" i="2" s="1"/>
  <c r="LO212" i="2" s="1"/>
  <c r="JK212" i="2"/>
  <c r="HZ212" i="2"/>
  <c r="HC212" i="2"/>
  <c r="GO212" i="2"/>
  <c r="FD212" i="2"/>
  <c r="DS212" i="2"/>
  <c r="CL212" i="2"/>
  <c r="CH212" i="2"/>
  <c r="BO212" i="2"/>
  <c r="AW212" i="2"/>
  <c r="L212" i="2"/>
  <c r="ML211" i="2"/>
  <c r="MK211" i="2"/>
  <c r="MJ211" i="2"/>
  <c r="MI211" i="2"/>
  <c r="MD211" i="2"/>
  <c r="MA211" i="2"/>
  <c r="LH211" i="2"/>
  <c r="LK211" i="2" s="1"/>
  <c r="LL211" i="2" s="1"/>
  <c r="LQ211" i="2" s="1"/>
  <c r="JK211" i="2"/>
  <c r="HZ211" i="2"/>
  <c r="GO211" i="2"/>
  <c r="FD211" i="2"/>
  <c r="DS211" i="2"/>
  <c r="CH211" i="2"/>
  <c r="AW211" i="2"/>
  <c r="L211" i="2"/>
  <c r="ML210" i="2"/>
  <c r="MK210" i="2"/>
  <c r="MD210" i="2"/>
  <c r="LH210" i="2"/>
  <c r="LK210" i="2" s="1"/>
  <c r="LL210" i="2" s="1"/>
  <c r="KY210" i="2"/>
  <c r="KX210" i="2"/>
  <c r="JK210" i="2"/>
  <c r="HZ210" i="2"/>
  <c r="HC210" i="2"/>
  <c r="GO210" i="2"/>
  <c r="FT210" i="2"/>
  <c r="FD210" i="2"/>
  <c r="DS210" i="2"/>
  <c r="CH210" i="2"/>
  <c r="AW210" i="2"/>
  <c r="Z210" i="2"/>
  <c r="L210" i="2"/>
  <c r="ML209" i="2"/>
  <c r="MD209" i="2"/>
  <c r="LH209" i="2"/>
  <c r="LK209" i="2" s="1"/>
  <c r="LL209" i="2" s="1"/>
  <c r="KY209" i="2"/>
  <c r="JK209" i="2"/>
  <c r="IA209" i="2"/>
  <c r="HZ209" i="2"/>
  <c r="HC209" i="2"/>
  <c r="GO209" i="2"/>
  <c r="FD209" i="2"/>
  <c r="DS209" i="2"/>
  <c r="CH209" i="2"/>
  <c r="AW209" i="2"/>
  <c r="L209" i="2"/>
  <c r="I209" i="2"/>
  <c r="MD208" i="2"/>
  <c r="LH208" i="2"/>
  <c r="LK208" i="2" s="1"/>
  <c r="LL208" i="2" s="1"/>
  <c r="LA208" i="2"/>
  <c r="JY208" i="2"/>
  <c r="JK208" i="2"/>
  <c r="HZ208" i="2"/>
  <c r="GO208" i="2"/>
  <c r="FD208" i="2"/>
  <c r="DS208" i="2"/>
  <c r="CH208" i="2"/>
  <c r="AW208" i="2"/>
  <c r="L208" i="2"/>
  <c r="MD207" i="2"/>
  <c r="LH207" i="2"/>
  <c r="LK207" i="2" s="1"/>
  <c r="LL207" i="2" s="1"/>
  <c r="KZ207" i="2"/>
  <c r="JK207" i="2"/>
  <c r="IN207" i="2"/>
  <c r="HZ207" i="2"/>
  <c r="GO207" i="2"/>
  <c r="FD207" i="2"/>
  <c r="DS207" i="2"/>
  <c r="CH207" i="2"/>
  <c r="BQ207" i="2"/>
  <c r="AW207" i="2"/>
  <c r="L207" i="2"/>
  <c r="MD206" i="2"/>
  <c r="LH206" i="2"/>
  <c r="LK206" i="2" s="1"/>
  <c r="LL206" i="2" s="1"/>
  <c r="LA206" i="2"/>
  <c r="JY206" i="2"/>
  <c r="MA206" i="2" s="1"/>
  <c r="JK206" i="2"/>
  <c r="HZ206" i="2"/>
  <c r="GO206" i="2"/>
  <c r="FD206" i="2"/>
  <c r="DS206" i="2"/>
  <c r="CH206" i="2"/>
  <c r="AW206" i="2"/>
  <c r="L206" i="2"/>
  <c r="MD205" i="2"/>
  <c r="LH205" i="2"/>
  <c r="LK205" i="2" s="1"/>
  <c r="LL205" i="2" s="1"/>
  <c r="LQ205" i="2" s="1"/>
  <c r="LA205" i="2"/>
  <c r="KU205" i="2"/>
  <c r="JY205" i="2"/>
  <c r="JK205" i="2"/>
  <c r="HZ205" i="2"/>
  <c r="GO205" i="2"/>
  <c r="FD205" i="2"/>
  <c r="DS205" i="2"/>
  <c r="CH205" i="2"/>
  <c r="AW205" i="2"/>
  <c r="L205" i="2"/>
  <c r="ML204" i="2"/>
  <c r="MK204" i="2"/>
  <c r="MJ204" i="2"/>
  <c r="MI204" i="2"/>
  <c r="MD204" i="2"/>
  <c r="LH204" i="2"/>
  <c r="LK204" i="2" s="1"/>
  <c r="LL204" i="2" s="1"/>
  <c r="JK204" i="2"/>
  <c r="HZ204" i="2"/>
  <c r="GO204" i="2"/>
  <c r="FD204" i="2"/>
  <c r="EG204" i="2"/>
  <c r="DS204" i="2"/>
  <c r="CH204" i="2"/>
  <c r="CB204" i="2"/>
  <c r="AW204" i="2"/>
  <c r="L204" i="2"/>
  <c r="ML203" i="2"/>
  <c r="MD203" i="2"/>
  <c r="LH203" i="2"/>
  <c r="LK203" i="2" s="1"/>
  <c r="LL203" i="2" s="1"/>
  <c r="JK203" i="2"/>
  <c r="HZ203" i="2"/>
  <c r="GO203" i="2"/>
  <c r="FD203" i="2"/>
  <c r="DS203" i="2"/>
  <c r="CV203" i="2"/>
  <c r="CH203" i="2"/>
  <c r="AW203" i="2"/>
  <c r="L203" i="2"/>
  <c r="ML202" i="2"/>
  <c r="MD202" i="2"/>
  <c r="LH202" i="2"/>
  <c r="LK202" i="2" s="1"/>
  <c r="LL202" i="2" s="1"/>
  <c r="JK202" i="2"/>
  <c r="HZ202" i="2"/>
  <c r="GO202" i="2"/>
  <c r="FD202" i="2"/>
  <c r="DS202" i="2"/>
  <c r="CH202" i="2"/>
  <c r="BM202" i="2"/>
  <c r="AW202" i="2"/>
  <c r="L202" i="2"/>
  <c r="MD201" i="2"/>
  <c r="LH201" i="2"/>
  <c r="LK201" i="2" s="1"/>
  <c r="LL201" i="2" s="1"/>
  <c r="LA201" i="2"/>
  <c r="JY201" i="2"/>
  <c r="JK201" i="2"/>
  <c r="HZ201" i="2"/>
  <c r="GO201" i="2"/>
  <c r="FD201" i="2"/>
  <c r="EG201" i="2"/>
  <c r="DS201" i="2"/>
  <c r="CH201" i="2"/>
  <c r="AW201" i="2"/>
  <c r="L201" i="2"/>
  <c r="ML200" i="2"/>
  <c r="MK200" i="2"/>
  <c r="MJ200" i="2"/>
  <c r="MI200" i="2"/>
  <c r="MH200" i="2"/>
  <c r="MG200" i="2"/>
  <c r="MD200" i="2"/>
  <c r="LH200" i="2"/>
  <c r="LK200" i="2" s="1"/>
  <c r="LL200" i="2" s="1"/>
  <c r="JK200" i="2"/>
  <c r="HZ200" i="2"/>
  <c r="GO200" i="2"/>
  <c r="FD200" i="2"/>
  <c r="DS200" i="2"/>
  <c r="CH200" i="2"/>
  <c r="BM200" i="2"/>
  <c r="BN200" i="2" s="1"/>
  <c r="BK200" i="2"/>
  <c r="AW200" i="2"/>
  <c r="Z200" i="2"/>
  <c r="L200" i="2"/>
  <c r="ML199" i="2"/>
  <c r="MD199" i="2"/>
  <c r="LH199" i="2"/>
  <c r="LK199" i="2" s="1"/>
  <c r="LL199" i="2" s="1"/>
  <c r="LO199" i="2" s="1"/>
  <c r="JK199" i="2"/>
  <c r="IN199" i="2"/>
  <c r="HZ199" i="2"/>
  <c r="HT199" i="2"/>
  <c r="GO199" i="2"/>
  <c r="GI199" i="2"/>
  <c r="FD199" i="2"/>
  <c r="EX199" i="2"/>
  <c r="DS199" i="2"/>
  <c r="DM199" i="2"/>
  <c r="CH199" i="2"/>
  <c r="CB199" i="2"/>
  <c r="BK199" i="2"/>
  <c r="AW199" i="2"/>
  <c r="AQ199" i="2"/>
  <c r="Z199" i="2"/>
  <c r="L199" i="2"/>
  <c r="MD198" i="2"/>
  <c r="MA198" i="2"/>
  <c r="LH198" i="2"/>
  <c r="LK198" i="2" s="1"/>
  <c r="LL198" i="2" s="1"/>
  <c r="JK198" i="2"/>
  <c r="HZ198" i="2"/>
  <c r="GO198" i="2"/>
  <c r="FD198" i="2"/>
  <c r="EX198" i="2"/>
  <c r="DS198" i="2"/>
  <c r="CH198" i="2"/>
  <c r="AW198" i="2"/>
  <c r="L198" i="2"/>
  <c r="ML197" i="2"/>
  <c r="MK197" i="2"/>
  <c r="MJ197" i="2"/>
  <c r="MI197" i="2"/>
  <c r="MH197" i="2"/>
  <c r="MG197" i="2"/>
  <c r="MD197" i="2"/>
  <c r="LH197" i="2"/>
  <c r="LK197" i="2" s="1"/>
  <c r="LL197" i="2" s="1"/>
  <c r="KU197" i="2"/>
  <c r="JK197" i="2"/>
  <c r="HZ197" i="2"/>
  <c r="GO197" i="2"/>
  <c r="FD197" i="2"/>
  <c r="DS197" i="2"/>
  <c r="CH197" i="2"/>
  <c r="BK197" i="2"/>
  <c r="MA197" i="2" s="1"/>
  <c r="AW197" i="2"/>
  <c r="L197" i="2"/>
  <c r="ML196" i="2"/>
  <c r="MK196" i="2"/>
  <c r="MJ196" i="2"/>
  <c r="MI196" i="2"/>
  <c r="MD196" i="2"/>
  <c r="MA196" i="2"/>
  <c r="LH196" i="2"/>
  <c r="LK196" i="2" s="1"/>
  <c r="LL196" i="2" s="1"/>
  <c r="JK196" i="2"/>
  <c r="HZ196" i="2"/>
  <c r="GO196" i="2"/>
  <c r="FD196" i="2"/>
  <c r="DS196" i="2"/>
  <c r="DM196" i="2"/>
  <c r="CL196" i="2"/>
  <c r="CH196" i="2"/>
  <c r="AW196" i="2"/>
  <c r="L196" i="2"/>
  <c r="ML195" i="2"/>
  <c r="MD195" i="2"/>
  <c r="MA195" i="2"/>
  <c r="LH195" i="2"/>
  <c r="LK195" i="2" s="1"/>
  <c r="LL195" i="2" s="1"/>
  <c r="JK195" i="2"/>
  <c r="HZ195" i="2"/>
  <c r="GP195" i="2"/>
  <c r="GO195" i="2"/>
  <c r="FE195" i="2"/>
  <c r="FD195" i="2"/>
  <c r="DT195" i="2"/>
  <c r="DS195" i="2"/>
  <c r="CH195" i="2"/>
  <c r="BA195" i="2"/>
  <c r="AX195" i="2"/>
  <c r="AW195" i="2"/>
  <c r="L195" i="2"/>
  <c r="MD194" i="2"/>
  <c r="LH194" i="2"/>
  <c r="LK194" i="2" s="1"/>
  <c r="LL194" i="2" s="1"/>
  <c r="KU194" i="2"/>
  <c r="JK194" i="2"/>
  <c r="JE194" i="2"/>
  <c r="HZ194" i="2"/>
  <c r="HT194" i="2"/>
  <c r="HC194" i="2"/>
  <c r="GO194" i="2"/>
  <c r="GI194" i="2"/>
  <c r="FD194" i="2"/>
  <c r="EX194" i="2"/>
  <c r="DS194" i="2"/>
  <c r="DM194" i="2"/>
  <c r="CI194" i="2"/>
  <c r="CH194" i="2"/>
  <c r="CB194" i="2"/>
  <c r="AW194" i="2"/>
  <c r="AQ194" i="2"/>
  <c r="L194" i="2"/>
  <c r="MD193" i="2"/>
  <c r="LH193" i="2"/>
  <c r="LK193" i="2" s="1"/>
  <c r="LL193" i="2" s="1"/>
  <c r="LA193" i="2"/>
  <c r="JY193" i="2"/>
  <c r="JK193" i="2"/>
  <c r="HZ193" i="2"/>
  <c r="GO193" i="2"/>
  <c r="FD193" i="2"/>
  <c r="EX193" i="2"/>
  <c r="DS193" i="2"/>
  <c r="CL193" i="2"/>
  <c r="CH193" i="2"/>
  <c r="BK193" i="2"/>
  <c r="AW193" i="2"/>
  <c r="L193" i="2"/>
  <c r="ML192" i="2"/>
  <c r="MK192" i="2"/>
  <c r="MJ192" i="2"/>
  <c r="MD192" i="2"/>
  <c r="LH192" i="2"/>
  <c r="LK192" i="2" s="1"/>
  <c r="LL192" i="2" s="1"/>
  <c r="KX192" i="2"/>
  <c r="KU192" i="2"/>
  <c r="JK192" i="2"/>
  <c r="HZ192" i="2"/>
  <c r="GO192" i="2"/>
  <c r="FR192" i="2"/>
  <c r="FD192" i="2"/>
  <c r="DS192" i="2"/>
  <c r="CH192" i="2"/>
  <c r="BO192" i="2"/>
  <c r="BP192" i="2" s="1"/>
  <c r="BM192" i="2"/>
  <c r="BN192" i="2" s="1"/>
  <c r="BK192" i="2"/>
  <c r="BA192" i="2"/>
  <c r="AW192" i="2"/>
  <c r="L192" i="2"/>
  <c r="ML191" i="2"/>
  <c r="MD191" i="2"/>
  <c r="LH191" i="2"/>
  <c r="LK191" i="2" s="1"/>
  <c r="LL191" i="2" s="1"/>
  <c r="KY191" i="2"/>
  <c r="JK191" i="2"/>
  <c r="HZ191" i="2"/>
  <c r="HC191" i="2"/>
  <c r="MA191" i="2" s="1"/>
  <c r="GO191" i="2"/>
  <c r="FD191" i="2"/>
  <c r="DS191" i="2"/>
  <c r="CH191" i="2"/>
  <c r="BA191" i="2"/>
  <c r="AW191" i="2"/>
  <c r="L191" i="2"/>
  <c r="I191" i="2"/>
  <c r="MD190" i="2"/>
  <c r="LH190" i="2"/>
  <c r="LK190" i="2" s="1"/>
  <c r="LL190" i="2" s="1"/>
  <c r="KZ190" i="2"/>
  <c r="JK190" i="2"/>
  <c r="IN190" i="2"/>
  <c r="MA190" i="2" s="1"/>
  <c r="HZ190" i="2"/>
  <c r="GO190" i="2"/>
  <c r="FD190" i="2"/>
  <c r="DS190" i="2"/>
  <c r="CH190" i="2"/>
  <c r="AW190" i="2"/>
  <c r="L190" i="2"/>
  <c r="I190" i="2"/>
  <c r="ML189" i="2"/>
  <c r="MK189" i="2"/>
  <c r="MJ189" i="2"/>
  <c r="MI189" i="2"/>
  <c r="MH189" i="2"/>
  <c r="MG189" i="2"/>
  <c r="MD189" i="2"/>
  <c r="MA189" i="2"/>
  <c r="LH189" i="2"/>
  <c r="LK189" i="2" s="1"/>
  <c r="LL189" i="2" s="1"/>
  <c r="JK189" i="2"/>
  <c r="HZ189" i="2"/>
  <c r="GO189" i="2"/>
  <c r="FD189" i="2"/>
  <c r="DS189" i="2"/>
  <c r="CH189" i="2"/>
  <c r="AW189" i="2"/>
  <c r="L189" i="2"/>
  <c r="ML188" i="2"/>
  <c r="MK188" i="2"/>
  <c r="MJ188" i="2"/>
  <c r="MI188" i="2"/>
  <c r="MH188" i="2"/>
  <c r="MD188" i="2"/>
  <c r="LH188" i="2"/>
  <c r="LK188" i="2" s="1"/>
  <c r="LL188" i="2" s="1"/>
  <c r="JK188" i="2"/>
  <c r="HZ188" i="2"/>
  <c r="GO188" i="2"/>
  <c r="FD188" i="2"/>
  <c r="DS188" i="2"/>
  <c r="CV188" i="2"/>
  <c r="CH188" i="2"/>
  <c r="BM188" i="2"/>
  <c r="AW188" i="2"/>
  <c r="L188" i="2"/>
  <c r="MD187" i="2"/>
  <c r="MA187" i="2"/>
  <c r="LH187" i="2"/>
  <c r="LK187" i="2" s="1"/>
  <c r="LL187" i="2" s="1"/>
  <c r="JK187" i="2"/>
  <c r="HZ187" i="2"/>
  <c r="GO187" i="2"/>
  <c r="FD187" i="2"/>
  <c r="DS187" i="2"/>
  <c r="CH187" i="2"/>
  <c r="AW187" i="2"/>
  <c r="L187" i="2"/>
  <c r="I187" i="2"/>
  <c r="ML186" i="2"/>
  <c r="MD186" i="2"/>
  <c r="LH186" i="2"/>
  <c r="LK186" i="2" s="1"/>
  <c r="LL186" i="2" s="1"/>
  <c r="KZ186" i="2"/>
  <c r="JK186" i="2"/>
  <c r="IN186" i="2"/>
  <c r="HZ186" i="2"/>
  <c r="GO186" i="2"/>
  <c r="FD186" i="2"/>
  <c r="DS186" i="2"/>
  <c r="CH186" i="2"/>
  <c r="AW186" i="2"/>
  <c r="L186" i="2"/>
  <c r="I186" i="2"/>
  <c r="MD185" i="2"/>
  <c r="MA185" i="2"/>
  <c r="LH185" i="2"/>
  <c r="LK185" i="2" s="1"/>
  <c r="LL185" i="2" s="1"/>
  <c r="JK185" i="2"/>
  <c r="HZ185" i="2"/>
  <c r="GO185" i="2"/>
  <c r="FD185" i="2"/>
  <c r="DS185" i="2"/>
  <c r="CH185" i="2"/>
  <c r="AX185" i="2"/>
  <c r="AW185" i="2"/>
  <c r="L185" i="2"/>
  <c r="I185" i="2"/>
  <c r="MD184" i="2"/>
  <c r="LH184" i="2"/>
  <c r="LK184" i="2" s="1"/>
  <c r="LL184" i="2" s="1"/>
  <c r="JY184" i="2"/>
  <c r="JL184" i="2"/>
  <c r="JK184" i="2"/>
  <c r="HZ184" i="2"/>
  <c r="HT184" i="2"/>
  <c r="GP184" i="2"/>
  <c r="GO184" i="2"/>
  <c r="GI184" i="2"/>
  <c r="FD184" i="2"/>
  <c r="EX184" i="2"/>
  <c r="DS184" i="2"/>
  <c r="DM184" i="2"/>
  <c r="CH184" i="2"/>
  <c r="AW184" i="2"/>
  <c r="L184" i="2"/>
  <c r="I184" i="2"/>
  <c r="ML183" i="2"/>
  <c r="MK183" i="2"/>
  <c r="MJ183" i="2"/>
  <c r="MD183" i="2"/>
  <c r="MA183" i="2"/>
  <c r="LH183" i="2"/>
  <c r="LK183" i="2" s="1"/>
  <c r="LL183" i="2" s="1"/>
  <c r="JK183" i="2"/>
  <c r="HZ183" i="2"/>
  <c r="GO183" i="2"/>
  <c r="GI183" i="2"/>
  <c r="FD183" i="2"/>
  <c r="DS183" i="2"/>
  <c r="DM183" i="2"/>
  <c r="CH183" i="2"/>
  <c r="CB183" i="2"/>
  <c r="AW183" i="2"/>
  <c r="L183" i="2"/>
  <c r="I183" i="2"/>
  <c r="ML182" i="2"/>
  <c r="MK182" i="2"/>
  <c r="MJ182" i="2"/>
  <c r="MI182" i="2"/>
  <c r="MD182" i="2"/>
  <c r="MA182" i="2"/>
  <c r="LH182" i="2"/>
  <c r="LK182" i="2" s="1"/>
  <c r="LL182" i="2" s="1"/>
  <c r="JK182" i="2"/>
  <c r="HZ182" i="2"/>
  <c r="GO182" i="2"/>
  <c r="FD182" i="2"/>
  <c r="DS182" i="2"/>
  <c r="CH182" i="2"/>
  <c r="CB182" i="2"/>
  <c r="AW182" i="2"/>
  <c r="L182" i="2"/>
  <c r="I182" i="2"/>
  <c r="MD181" i="2"/>
  <c r="LH181" i="2"/>
  <c r="LK181" i="2" s="1"/>
  <c r="LL181" i="2" s="1"/>
  <c r="KZ181" i="2"/>
  <c r="JK181" i="2"/>
  <c r="IN181" i="2"/>
  <c r="HZ181" i="2"/>
  <c r="GO181" i="2"/>
  <c r="FD181" i="2"/>
  <c r="DT181" i="2"/>
  <c r="DS181" i="2"/>
  <c r="CH181" i="2"/>
  <c r="AX181" i="2"/>
  <c r="AW181" i="2"/>
  <c r="L181" i="2"/>
  <c r="I181" i="2"/>
  <c r="ML180" i="2"/>
  <c r="MD180" i="2"/>
  <c r="LH180" i="2"/>
  <c r="LK180" i="2" s="1"/>
  <c r="LL180" i="2" s="1"/>
  <c r="KY180" i="2"/>
  <c r="JK180" i="2"/>
  <c r="HZ180" i="2"/>
  <c r="HC180" i="2"/>
  <c r="GO180" i="2"/>
  <c r="FR180" i="2"/>
  <c r="FD180" i="2"/>
  <c r="DS180" i="2"/>
  <c r="CH180" i="2"/>
  <c r="AW180" i="2"/>
  <c r="L180" i="2"/>
  <c r="I180" i="2"/>
  <c r="ML179" i="2"/>
  <c r="MD179" i="2"/>
  <c r="MA179" i="2"/>
  <c r="LH179" i="2"/>
  <c r="LK179" i="2" s="1"/>
  <c r="LL179" i="2" s="1"/>
  <c r="JK179" i="2"/>
  <c r="HZ179" i="2"/>
  <c r="GO179" i="2"/>
  <c r="FD179" i="2"/>
  <c r="DS179" i="2"/>
  <c r="DM179" i="2"/>
  <c r="CH179" i="2"/>
  <c r="CB179" i="2"/>
  <c r="AW179" i="2"/>
  <c r="L179" i="2"/>
  <c r="ML178" i="2"/>
  <c r="MD178" i="2"/>
  <c r="LH178" i="2"/>
  <c r="LK178" i="2" s="1"/>
  <c r="LL178" i="2" s="1"/>
  <c r="KZ178" i="2"/>
  <c r="KV178" i="2"/>
  <c r="KU178" i="2"/>
  <c r="KT178" i="2"/>
  <c r="JK178" i="2"/>
  <c r="IN178" i="2"/>
  <c r="HZ178" i="2"/>
  <c r="GP178" i="2"/>
  <c r="GO178" i="2"/>
  <c r="FD178" i="2"/>
  <c r="EX178" i="2"/>
  <c r="DS178" i="2"/>
  <c r="CX178" i="2"/>
  <c r="CY178" i="2" s="1"/>
  <c r="CV178" i="2"/>
  <c r="CW178" i="2" s="1"/>
  <c r="CL178" i="2"/>
  <c r="CH178" i="2"/>
  <c r="BK178" i="2"/>
  <c r="AW178" i="2"/>
  <c r="AQ178" i="2"/>
  <c r="AB178" i="2"/>
  <c r="AC178" i="2" s="1"/>
  <c r="Z178" i="2"/>
  <c r="L178" i="2"/>
  <c r="ML177" i="2"/>
  <c r="MK177" i="2"/>
  <c r="MJ177" i="2"/>
  <c r="MI177" i="2"/>
  <c r="MD177" i="2"/>
  <c r="MA177" i="2"/>
  <c r="LH177" i="2"/>
  <c r="LK177" i="2" s="1"/>
  <c r="LL177" i="2" s="1"/>
  <c r="JK177" i="2"/>
  <c r="HZ177" i="2"/>
  <c r="GO177" i="2"/>
  <c r="FD177" i="2"/>
  <c r="DS177" i="2"/>
  <c r="DM177" i="2"/>
  <c r="CH177" i="2"/>
  <c r="CB177" i="2"/>
  <c r="AW177" i="2"/>
  <c r="L177" i="2"/>
  <c r="ML176" i="2"/>
  <c r="MK176" i="2"/>
  <c r="MJ176" i="2"/>
  <c r="MI176" i="2"/>
  <c r="MD176" i="2"/>
  <c r="MA176" i="2"/>
  <c r="LH176" i="2"/>
  <c r="LK176" i="2" s="1"/>
  <c r="LL176" i="2" s="1"/>
  <c r="JK176" i="2"/>
  <c r="HZ176" i="2"/>
  <c r="GO176" i="2"/>
  <c r="FD176" i="2"/>
  <c r="DS176" i="2"/>
  <c r="CL176" i="2"/>
  <c r="CH176" i="2"/>
  <c r="AW176" i="2"/>
  <c r="L176" i="2"/>
  <c r="ML175" i="2"/>
  <c r="MK175" i="2"/>
  <c r="MJ175" i="2"/>
  <c r="MI175" i="2"/>
  <c r="MH175" i="2"/>
  <c r="MD175" i="2"/>
  <c r="LH175" i="2"/>
  <c r="LK175" i="2" s="1"/>
  <c r="LL175" i="2" s="1"/>
  <c r="KV175" i="2"/>
  <c r="KU175" i="2"/>
  <c r="JK175" i="2"/>
  <c r="HZ175" i="2"/>
  <c r="GO175" i="2"/>
  <c r="FD175" i="2"/>
  <c r="DS175" i="2"/>
  <c r="CH175" i="2"/>
  <c r="BO175" i="2"/>
  <c r="BP175" i="2" s="1"/>
  <c r="BM175" i="2"/>
  <c r="BN175" i="2" s="1"/>
  <c r="BK175" i="2"/>
  <c r="AW175" i="2"/>
  <c r="L175" i="2"/>
  <c r="ML174" i="2"/>
  <c r="MK174" i="2"/>
  <c r="MJ174" i="2"/>
  <c r="MI174" i="2"/>
  <c r="MH174" i="2"/>
  <c r="MD174" i="2"/>
  <c r="MA174" i="2"/>
  <c r="LH174" i="2"/>
  <c r="LK174" i="2" s="1"/>
  <c r="LL174" i="2" s="1"/>
  <c r="JK174" i="2"/>
  <c r="HZ174" i="2"/>
  <c r="GO174" i="2"/>
  <c r="FD174" i="2"/>
  <c r="DS174" i="2"/>
  <c r="CH174" i="2"/>
  <c r="AW174" i="2"/>
  <c r="L174" i="2"/>
  <c r="ML173" i="2"/>
  <c r="MK173" i="2"/>
  <c r="MJ173" i="2"/>
  <c r="MI173" i="2"/>
  <c r="MH173" i="2"/>
  <c r="MD173" i="2"/>
  <c r="MA173" i="2"/>
  <c r="LH173" i="2"/>
  <c r="LK173" i="2" s="1"/>
  <c r="LL173" i="2" s="1"/>
  <c r="LU173" i="2" s="1"/>
  <c r="JK173" i="2"/>
  <c r="HZ173" i="2"/>
  <c r="GO173" i="2"/>
  <c r="FD173" i="2"/>
  <c r="DS173" i="2"/>
  <c r="CH173" i="2"/>
  <c r="AW173" i="2"/>
  <c r="L173" i="2"/>
  <c r="ML172" i="2"/>
  <c r="MK172" i="2"/>
  <c r="MJ172" i="2"/>
  <c r="MI172" i="2"/>
  <c r="MH172" i="2"/>
  <c r="MG172" i="2"/>
  <c r="MD172" i="2"/>
  <c r="LH172" i="2"/>
  <c r="LK172" i="2" s="1"/>
  <c r="LL172" i="2" s="1"/>
  <c r="KU172" i="2"/>
  <c r="JK172" i="2"/>
  <c r="HZ172" i="2"/>
  <c r="GO172" i="2"/>
  <c r="FD172" i="2"/>
  <c r="DS172" i="2"/>
  <c r="CH172" i="2"/>
  <c r="BK172" i="2"/>
  <c r="AW172" i="2"/>
  <c r="AQ172" i="2"/>
  <c r="L172" i="2"/>
  <c r="ML171" i="2"/>
  <c r="MK171" i="2"/>
  <c r="MJ171" i="2"/>
  <c r="MI171" i="2"/>
  <c r="MH171" i="2"/>
  <c r="MD171" i="2"/>
  <c r="LH171" i="2"/>
  <c r="LK171" i="2" s="1"/>
  <c r="LL171" i="2" s="1"/>
  <c r="KV171" i="2"/>
  <c r="JK171" i="2"/>
  <c r="HZ171" i="2"/>
  <c r="GO171" i="2"/>
  <c r="FD171" i="2"/>
  <c r="DS171" i="2"/>
  <c r="CV171" i="2"/>
  <c r="MA171" i="2" s="1"/>
  <c r="CH171" i="2"/>
  <c r="AW171" i="2"/>
  <c r="L171" i="2"/>
  <c r="ML170" i="2"/>
  <c r="MK170" i="2"/>
  <c r="MJ170" i="2"/>
  <c r="MD170" i="2"/>
  <c r="MA170" i="2"/>
  <c r="LH170" i="2"/>
  <c r="LK170" i="2" s="1"/>
  <c r="LL170" i="2" s="1"/>
  <c r="JK170" i="2"/>
  <c r="HZ170" i="2"/>
  <c r="GO170" i="2"/>
  <c r="FD170" i="2"/>
  <c r="DS170" i="2"/>
  <c r="CH170" i="2"/>
  <c r="CB170" i="2"/>
  <c r="AW170" i="2"/>
  <c r="L170" i="2"/>
  <c r="ML169" i="2"/>
  <c r="MD169" i="2"/>
  <c r="MA169" i="2"/>
  <c r="LH169" i="2"/>
  <c r="LK169" i="2" s="1"/>
  <c r="LL169" i="2" s="1"/>
  <c r="JK169" i="2"/>
  <c r="HZ169" i="2"/>
  <c r="HT169" i="2"/>
  <c r="GO169" i="2"/>
  <c r="FD169" i="2"/>
  <c r="EX169" i="2"/>
  <c r="DS169" i="2"/>
  <c r="CH169" i="2"/>
  <c r="AW169" i="2"/>
  <c r="L169" i="2"/>
  <c r="ML168" i="2"/>
  <c r="MD168" i="2"/>
  <c r="LH168" i="2"/>
  <c r="LK168" i="2" s="1"/>
  <c r="LL168" i="2" s="1"/>
  <c r="JK168" i="2"/>
  <c r="HZ168" i="2"/>
  <c r="GO168" i="2"/>
  <c r="FD168" i="2"/>
  <c r="DS168" i="2"/>
  <c r="CH168" i="2"/>
  <c r="CB168" i="2"/>
  <c r="BM168" i="2"/>
  <c r="BN168" i="2" s="1"/>
  <c r="BK168" i="2"/>
  <c r="AW168" i="2"/>
  <c r="L168" i="2"/>
  <c r="MD167" i="2"/>
  <c r="MA167" i="2"/>
  <c r="LH167" i="2"/>
  <c r="LK167" i="2" s="1"/>
  <c r="LL167" i="2" s="1"/>
  <c r="JK167" i="2"/>
  <c r="HZ167" i="2"/>
  <c r="GO167" i="2"/>
  <c r="FD167" i="2"/>
  <c r="DS167" i="2"/>
  <c r="CH167" i="2"/>
  <c r="AW167" i="2"/>
  <c r="L167" i="2"/>
  <c r="MD166" i="2"/>
  <c r="LH166" i="2"/>
  <c r="LK166" i="2" s="1"/>
  <c r="LL166" i="2" s="1"/>
  <c r="JK166" i="2"/>
  <c r="JE166" i="2"/>
  <c r="IN166" i="2"/>
  <c r="HZ166" i="2"/>
  <c r="GO166" i="2"/>
  <c r="FD166" i="2"/>
  <c r="DS166" i="2"/>
  <c r="CX166" i="2"/>
  <c r="CY166" i="2" s="1"/>
  <c r="CV166" i="2"/>
  <c r="CH166" i="2"/>
  <c r="AW166" i="2"/>
  <c r="L166" i="2"/>
  <c r="ML165" i="2"/>
  <c r="MD165" i="2"/>
  <c r="MA165" i="2"/>
  <c r="LH165" i="2"/>
  <c r="LK165" i="2" s="1"/>
  <c r="LL165" i="2" s="1"/>
  <c r="JK165" i="2"/>
  <c r="HZ165" i="2"/>
  <c r="GO165" i="2"/>
  <c r="FD165" i="2"/>
  <c r="DS165" i="2"/>
  <c r="CH165" i="2"/>
  <c r="AW165" i="2"/>
  <c r="L165" i="2"/>
  <c r="ML164" i="2"/>
  <c r="MK164" i="2"/>
  <c r="MJ164" i="2"/>
  <c r="MI164" i="2"/>
  <c r="MH164" i="2"/>
  <c r="MG164" i="2"/>
  <c r="MF164" i="2"/>
  <c r="MD164" i="2"/>
  <c r="MA164" i="2"/>
  <c r="LH164" i="2"/>
  <c r="LK164" i="2" s="1"/>
  <c r="LL164" i="2" s="1"/>
  <c r="JK164" i="2"/>
  <c r="HZ164" i="2"/>
  <c r="GO164" i="2"/>
  <c r="FD164" i="2"/>
  <c r="DS164" i="2"/>
  <c r="CH164" i="2"/>
  <c r="AW164" i="2"/>
  <c r="AQ164" i="2"/>
  <c r="L164" i="2"/>
  <c r="ML163" i="2"/>
  <c r="MD163" i="2"/>
  <c r="LH163" i="2"/>
  <c r="LK163" i="2" s="1"/>
  <c r="LL163" i="2" s="1"/>
  <c r="KZ163" i="2"/>
  <c r="JK163" i="2"/>
  <c r="IN163" i="2"/>
  <c r="HZ163" i="2"/>
  <c r="GO163" i="2"/>
  <c r="FD163" i="2"/>
  <c r="DS163" i="2"/>
  <c r="CH163" i="2"/>
  <c r="CB163" i="2"/>
  <c r="AW163" i="2"/>
  <c r="L163" i="2"/>
  <c r="ML162" i="2"/>
  <c r="MK162" i="2"/>
  <c r="MJ162" i="2"/>
  <c r="MI162" i="2"/>
  <c r="MH162" i="2"/>
  <c r="MG162" i="2"/>
  <c r="MF162" i="2"/>
  <c r="MD162" i="2"/>
  <c r="MA162" i="2"/>
  <c r="LH162" i="2"/>
  <c r="LK162" i="2" s="1"/>
  <c r="LL162" i="2" s="1"/>
  <c r="JK162" i="2"/>
  <c r="HZ162" i="2"/>
  <c r="GO162" i="2"/>
  <c r="FD162" i="2"/>
  <c r="DS162" i="2"/>
  <c r="CH162" i="2"/>
  <c r="AW162" i="2"/>
  <c r="AQ162" i="2"/>
  <c r="P162" i="2"/>
  <c r="L162" i="2"/>
  <c r="ML161" i="2"/>
  <c r="MK161" i="2"/>
  <c r="MJ161" i="2"/>
  <c r="MI161" i="2"/>
  <c r="MH161" i="2"/>
  <c r="MG161" i="2"/>
  <c r="MF161" i="2"/>
  <c r="MD161" i="2"/>
  <c r="MA161" i="2"/>
  <c r="LH161" i="2"/>
  <c r="LK161" i="2" s="1"/>
  <c r="LL161" i="2" s="1"/>
  <c r="JK161" i="2"/>
  <c r="HZ161" i="2"/>
  <c r="GO161" i="2"/>
  <c r="FD161" i="2"/>
  <c r="DS161" i="2"/>
  <c r="CH161" i="2"/>
  <c r="AW161" i="2"/>
  <c r="AQ161" i="2"/>
  <c r="P161" i="2"/>
  <c r="L161" i="2"/>
  <c r="MD160" i="2"/>
  <c r="MA160" i="2"/>
  <c r="LH160" i="2"/>
  <c r="LK160" i="2" s="1"/>
  <c r="LL160" i="2" s="1"/>
  <c r="LO160" i="2" s="1"/>
  <c r="JK160" i="2"/>
  <c r="JE160" i="2"/>
  <c r="HZ160" i="2"/>
  <c r="GP160" i="2"/>
  <c r="GO160" i="2"/>
  <c r="FD160" i="2"/>
  <c r="DT160" i="2"/>
  <c r="DS160" i="2"/>
  <c r="CH160" i="2"/>
  <c r="CB160" i="2"/>
  <c r="AW160" i="2"/>
  <c r="P160" i="2"/>
  <c r="L160" i="2"/>
  <c r="ML159" i="2"/>
  <c r="MD159" i="2"/>
  <c r="LH159" i="2"/>
  <c r="LK159" i="2" s="1"/>
  <c r="LL159" i="2" s="1"/>
  <c r="KZ159" i="2"/>
  <c r="KU159" i="2"/>
  <c r="JK159" i="2"/>
  <c r="IN159" i="2"/>
  <c r="HZ159" i="2"/>
  <c r="HT159" i="2"/>
  <c r="GO159" i="2"/>
  <c r="GI159" i="2"/>
  <c r="FD159" i="2"/>
  <c r="EX159" i="2"/>
  <c r="DS159" i="2"/>
  <c r="DM159" i="2"/>
  <c r="CH159" i="2"/>
  <c r="CB159" i="2"/>
  <c r="AW159" i="2"/>
  <c r="AQ159" i="2"/>
  <c r="Z159" i="2"/>
  <c r="L159" i="2"/>
  <c r="MD158" i="2"/>
  <c r="LH158" i="2"/>
  <c r="LK158" i="2" s="1"/>
  <c r="LL158" i="2" s="1"/>
  <c r="JY158" i="2"/>
  <c r="JK158" i="2"/>
  <c r="HZ158" i="2"/>
  <c r="GO158" i="2"/>
  <c r="FR158" i="2"/>
  <c r="FD158" i="2"/>
  <c r="DS158" i="2"/>
  <c r="DM158" i="2"/>
  <c r="CH158" i="2"/>
  <c r="CB158" i="2"/>
  <c r="BM158" i="2"/>
  <c r="BN158" i="2" s="1"/>
  <c r="BK158" i="2"/>
  <c r="AW158" i="2"/>
  <c r="L158" i="2"/>
  <c r="ML157" i="2"/>
  <c r="MK157" i="2"/>
  <c r="MD157" i="2"/>
  <c r="LH157" i="2"/>
  <c r="LK157" i="2" s="1"/>
  <c r="LL157" i="2" s="1"/>
  <c r="LS157" i="2" s="1"/>
  <c r="JK157" i="2"/>
  <c r="HZ157" i="2"/>
  <c r="GO157" i="2"/>
  <c r="FD157" i="2"/>
  <c r="DS157" i="2"/>
  <c r="CV157" i="2"/>
  <c r="MA157" i="2" s="1"/>
  <c r="CH157" i="2"/>
  <c r="CB157" i="2"/>
  <c r="AW157" i="2"/>
  <c r="L157" i="2"/>
  <c r="MD156" i="2"/>
  <c r="LH156" i="2"/>
  <c r="LK156" i="2" s="1"/>
  <c r="LL156" i="2" s="1"/>
  <c r="KZ156" i="2"/>
  <c r="JK156" i="2"/>
  <c r="IN156" i="2"/>
  <c r="HZ156" i="2"/>
  <c r="GO156" i="2"/>
  <c r="GI156" i="2"/>
  <c r="FD156" i="2"/>
  <c r="DS156" i="2"/>
  <c r="CH156" i="2"/>
  <c r="BM156" i="2"/>
  <c r="BN156" i="2" s="1"/>
  <c r="BK156" i="2"/>
  <c r="AW156" i="2"/>
  <c r="L156" i="2"/>
  <c r="MD155" i="2"/>
  <c r="MA155" i="2"/>
  <c r="LH155" i="2"/>
  <c r="LK155" i="2" s="1"/>
  <c r="LL155" i="2" s="1"/>
  <c r="JK155" i="2"/>
  <c r="HZ155" i="2"/>
  <c r="GO155" i="2"/>
  <c r="GI155" i="2"/>
  <c r="FD155" i="2"/>
  <c r="DS155" i="2"/>
  <c r="DM155" i="2"/>
  <c r="CH155" i="2"/>
  <c r="CB155" i="2"/>
  <c r="AW155" i="2"/>
  <c r="L155" i="2"/>
  <c r="ML154" i="2"/>
  <c r="MK154" i="2"/>
  <c r="MJ154" i="2"/>
  <c r="MI154" i="2"/>
  <c r="MH154" i="2"/>
  <c r="MG154" i="2"/>
  <c r="MD154" i="2"/>
  <c r="LH154" i="2"/>
  <c r="LK154" i="2" s="1"/>
  <c r="LL154" i="2" s="1"/>
  <c r="LQ154" i="2" s="1"/>
  <c r="KU154" i="2"/>
  <c r="JK154" i="2"/>
  <c r="HZ154" i="2"/>
  <c r="GO154" i="2"/>
  <c r="FD154" i="2"/>
  <c r="DS154" i="2"/>
  <c r="CH154" i="2"/>
  <c r="BK154" i="2"/>
  <c r="AW154" i="2"/>
  <c r="AQ154" i="2"/>
  <c r="AD154" i="2"/>
  <c r="AB154" i="2"/>
  <c r="AC154" i="2" s="1"/>
  <c r="Z154" i="2"/>
  <c r="L154" i="2"/>
  <c r="ML153" i="2"/>
  <c r="MK153" i="2"/>
  <c r="MJ153" i="2"/>
  <c r="MI153" i="2"/>
  <c r="MD153" i="2"/>
  <c r="MA153" i="2"/>
  <c r="LH153" i="2"/>
  <c r="LK153" i="2" s="1"/>
  <c r="LL153" i="2" s="1"/>
  <c r="JK153" i="2"/>
  <c r="HZ153" i="2"/>
  <c r="GO153" i="2"/>
  <c r="FD153" i="2"/>
  <c r="DS153" i="2"/>
  <c r="CH153" i="2"/>
  <c r="AW153" i="2"/>
  <c r="L153" i="2"/>
  <c r="MD152" i="2"/>
  <c r="LH152" i="2"/>
  <c r="LK152" i="2" s="1"/>
  <c r="LL152" i="2" s="1"/>
  <c r="LA152" i="2"/>
  <c r="KZ152" i="2"/>
  <c r="KY152" i="2"/>
  <c r="KW152" i="2"/>
  <c r="KV152" i="2"/>
  <c r="KU152" i="2"/>
  <c r="KT152" i="2"/>
  <c r="JY152" i="2"/>
  <c r="JK152" i="2"/>
  <c r="JE152" i="2"/>
  <c r="IN152" i="2"/>
  <c r="HZ152" i="2"/>
  <c r="HT152" i="2"/>
  <c r="HE152" i="2"/>
  <c r="HF152" i="2" s="1"/>
  <c r="HC152" i="2"/>
  <c r="GO152" i="2"/>
  <c r="GI152" i="2"/>
  <c r="FR152" i="2"/>
  <c r="FD152" i="2"/>
  <c r="EO152" i="2"/>
  <c r="EP152" i="2" s="1"/>
  <c r="EM152" i="2"/>
  <c r="EN152" i="2" s="1"/>
  <c r="EK152" i="2"/>
  <c r="EL152" i="2" s="1"/>
  <c r="EI152" i="2"/>
  <c r="EJ152" i="2" s="1"/>
  <c r="DW152" i="2"/>
  <c r="DS152" i="2"/>
  <c r="DM152" i="2"/>
  <c r="CX152" i="2"/>
  <c r="CY152" i="2" s="1"/>
  <c r="CV152" i="2"/>
  <c r="CW152" i="2" s="1"/>
  <c r="CL152" i="2"/>
  <c r="CH152" i="2"/>
  <c r="BU152" i="2"/>
  <c r="BV152" i="2" s="1"/>
  <c r="BS152" i="2"/>
  <c r="BT152" i="2" s="1"/>
  <c r="BO152" i="2"/>
  <c r="BP152" i="2" s="1"/>
  <c r="BM152" i="2"/>
  <c r="BN152" i="2" s="1"/>
  <c r="BK152" i="2"/>
  <c r="BL152" i="2" s="1"/>
  <c r="BA152" i="2"/>
  <c r="AW152" i="2"/>
  <c r="Z152" i="2"/>
  <c r="L152" i="2"/>
  <c r="ML151" i="2"/>
  <c r="MK151" i="2"/>
  <c r="MJ151" i="2"/>
  <c r="MI151" i="2"/>
  <c r="MH151" i="2"/>
  <c r="MG151" i="2"/>
  <c r="MD151" i="2"/>
  <c r="MA151" i="2"/>
  <c r="LH151" i="2"/>
  <c r="LK151" i="2" s="1"/>
  <c r="LL151" i="2" s="1"/>
  <c r="JK151" i="2"/>
  <c r="HZ151" i="2"/>
  <c r="GO151" i="2"/>
  <c r="FD151" i="2"/>
  <c r="DS151" i="2"/>
  <c r="CH151" i="2"/>
  <c r="AW151" i="2"/>
  <c r="L151" i="2"/>
  <c r="ML150" i="2"/>
  <c r="MK150" i="2"/>
  <c r="MJ150" i="2"/>
  <c r="MI150" i="2"/>
  <c r="MH150" i="2"/>
  <c r="MG150" i="2"/>
  <c r="MD150" i="2"/>
  <c r="MA150" i="2"/>
  <c r="LH150" i="2"/>
  <c r="LK150" i="2" s="1"/>
  <c r="LL150" i="2" s="1"/>
  <c r="LS150" i="2" s="1"/>
  <c r="JK150" i="2"/>
  <c r="HZ150" i="2"/>
  <c r="GO150" i="2"/>
  <c r="FD150" i="2"/>
  <c r="DS150" i="2"/>
  <c r="CH150" i="2"/>
  <c r="AW150" i="2"/>
  <c r="L150" i="2"/>
  <c r="ML149" i="2"/>
  <c r="MK149" i="2"/>
  <c r="MD149" i="2"/>
  <c r="LH149" i="2"/>
  <c r="LK149" i="2" s="1"/>
  <c r="LL149" i="2" s="1"/>
  <c r="KY149" i="2"/>
  <c r="JK149" i="2"/>
  <c r="HZ149" i="2"/>
  <c r="HC149" i="2"/>
  <c r="GO149" i="2"/>
  <c r="GI149" i="2"/>
  <c r="FE149" i="2"/>
  <c r="FD149" i="2"/>
  <c r="EG149" i="2"/>
  <c r="DS149" i="2"/>
  <c r="CH149" i="2"/>
  <c r="CB149" i="2"/>
  <c r="AX149" i="2"/>
  <c r="AW149" i="2"/>
  <c r="AQ149" i="2"/>
  <c r="M149" i="2"/>
  <c r="L149" i="2"/>
  <c r="ML148" i="2"/>
  <c r="MD148" i="2"/>
  <c r="MA148" i="2"/>
  <c r="LH148" i="2"/>
  <c r="LK148" i="2" s="1"/>
  <c r="LL148" i="2" s="1"/>
  <c r="JK148" i="2"/>
  <c r="HZ148" i="2"/>
  <c r="GO148" i="2"/>
  <c r="FD148" i="2"/>
  <c r="DS148" i="2"/>
  <c r="CH148" i="2"/>
  <c r="CB148" i="2"/>
  <c r="BA148" i="2"/>
  <c r="AW148" i="2"/>
  <c r="M148" i="2"/>
  <c r="L148" i="2"/>
  <c r="ML147" i="2"/>
  <c r="MK147" i="2"/>
  <c r="MD147" i="2"/>
  <c r="LH147" i="2"/>
  <c r="LK147" i="2" s="1"/>
  <c r="LL147" i="2" s="1"/>
  <c r="JK147" i="2"/>
  <c r="HZ147" i="2"/>
  <c r="GO147" i="2"/>
  <c r="FD147" i="2"/>
  <c r="DS147" i="2"/>
  <c r="CX147" i="2"/>
  <c r="CH147" i="2"/>
  <c r="CB147" i="2"/>
  <c r="AX147" i="2"/>
  <c r="AW147" i="2"/>
  <c r="L147" i="2"/>
  <c r="ML146" i="2"/>
  <c r="MK146" i="2"/>
  <c r="MD146" i="2"/>
  <c r="MA146" i="2"/>
  <c r="LH146" i="2"/>
  <c r="LK146" i="2" s="1"/>
  <c r="LL146" i="2" s="1"/>
  <c r="JK146" i="2"/>
  <c r="HZ146" i="2"/>
  <c r="GO146" i="2"/>
  <c r="GI146" i="2"/>
  <c r="FD146" i="2"/>
  <c r="DS146" i="2"/>
  <c r="CH146" i="2"/>
  <c r="CB146" i="2"/>
  <c r="AX146" i="2"/>
  <c r="AW146" i="2"/>
  <c r="AQ146" i="2"/>
  <c r="P146" i="2"/>
  <c r="L146" i="2"/>
  <c r="ML145" i="2"/>
  <c r="MK145" i="2"/>
  <c r="MD145" i="2"/>
  <c r="MA145" i="2"/>
  <c r="LH145" i="2"/>
  <c r="LK145" i="2" s="1"/>
  <c r="LL145" i="2" s="1"/>
  <c r="JK145" i="2"/>
  <c r="HZ145" i="2"/>
  <c r="GO145" i="2"/>
  <c r="FD145" i="2"/>
  <c r="DS145" i="2"/>
  <c r="CH145" i="2"/>
  <c r="CB145" i="2"/>
  <c r="AW145" i="2"/>
  <c r="L145" i="2"/>
  <c r="ML144" i="2"/>
  <c r="MD144" i="2"/>
  <c r="LH144" i="2"/>
  <c r="LK144" i="2" s="1"/>
  <c r="LL144" i="2" s="1"/>
  <c r="KZ144" i="2"/>
  <c r="KV144" i="2"/>
  <c r="JK144" i="2"/>
  <c r="IN144" i="2"/>
  <c r="HZ144" i="2"/>
  <c r="HT144" i="2"/>
  <c r="HC144" i="2"/>
  <c r="GO144" i="2"/>
  <c r="FD144" i="2"/>
  <c r="DS144" i="2"/>
  <c r="CV144" i="2"/>
  <c r="CH144" i="2"/>
  <c r="CB144" i="2"/>
  <c r="BA144" i="2"/>
  <c r="AW144" i="2"/>
  <c r="L144" i="2"/>
  <c r="ML143" i="2"/>
  <c r="MK143" i="2"/>
  <c r="MJ143" i="2"/>
  <c r="MI143" i="2"/>
  <c r="MH143" i="2"/>
  <c r="MG143" i="2"/>
  <c r="MD143" i="2"/>
  <c r="MA143" i="2"/>
  <c r="LH143" i="2"/>
  <c r="LK143" i="2" s="1"/>
  <c r="LL143" i="2" s="1"/>
  <c r="JK143" i="2"/>
  <c r="HZ143" i="2"/>
  <c r="GO143" i="2"/>
  <c r="FD143" i="2"/>
  <c r="DS143" i="2"/>
  <c r="CH143" i="2"/>
  <c r="AW143" i="2"/>
  <c r="L143" i="2"/>
  <c r="ML142" i="2"/>
  <c r="MK142" i="2"/>
  <c r="MJ142" i="2"/>
  <c r="MI142" i="2"/>
  <c r="MH142" i="2"/>
  <c r="MD142" i="2"/>
  <c r="MA142" i="2"/>
  <c r="LH142" i="2"/>
  <c r="LK142" i="2" s="1"/>
  <c r="LL142" i="2" s="1"/>
  <c r="JK142" i="2"/>
  <c r="HZ142" i="2"/>
  <c r="GO142" i="2"/>
  <c r="FD142" i="2"/>
  <c r="DS142" i="2"/>
  <c r="CH142" i="2"/>
  <c r="AW142" i="2"/>
  <c r="L142" i="2"/>
  <c r="MD141" i="2"/>
  <c r="LH141" i="2"/>
  <c r="LK141" i="2" s="1"/>
  <c r="LL141" i="2" s="1"/>
  <c r="JK141" i="2"/>
  <c r="HZ141" i="2"/>
  <c r="GO141" i="2"/>
  <c r="FR141" i="2"/>
  <c r="FD141" i="2"/>
  <c r="EX141" i="2"/>
  <c r="DT141" i="2"/>
  <c r="DS141" i="2"/>
  <c r="DM141" i="2"/>
  <c r="CH141" i="2"/>
  <c r="CB141" i="2"/>
  <c r="BK141" i="2"/>
  <c r="AW141" i="2"/>
  <c r="L141" i="2"/>
  <c r="MD140" i="2"/>
  <c r="MA140" i="2"/>
  <c r="LH140" i="2"/>
  <c r="LK140" i="2" s="1"/>
  <c r="LL140" i="2" s="1"/>
  <c r="JK140" i="2"/>
  <c r="JE140" i="2"/>
  <c r="HZ140" i="2"/>
  <c r="GO140" i="2"/>
  <c r="FD140" i="2"/>
  <c r="DS140" i="2"/>
  <c r="CH140" i="2"/>
  <c r="CB140" i="2"/>
  <c r="AW140" i="2"/>
  <c r="L140" i="2"/>
  <c r="ML139" i="2"/>
  <c r="MD139" i="2"/>
  <c r="MA139" i="2"/>
  <c r="LH139" i="2"/>
  <c r="LK139" i="2" s="1"/>
  <c r="LL139" i="2" s="1"/>
  <c r="JK139" i="2"/>
  <c r="HZ139" i="2"/>
  <c r="GO139" i="2"/>
  <c r="FD139" i="2"/>
  <c r="DS139" i="2"/>
  <c r="CH139" i="2"/>
  <c r="AW139" i="2"/>
  <c r="M139" i="2"/>
  <c r="L139" i="2"/>
  <c r="ML138" i="2"/>
  <c r="MD138" i="2"/>
  <c r="LH138" i="2"/>
  <c r="LK138" i="2" s="1"/>
  <c r="LL138" i="2" s="1"/>
  <c r="KZ138" i="2"/>
  <c r="JK138" i="2"/>
  <c r="IN138" i="2"/>
  <c r="HZ138" i="2"/>
  <c r="GO138" i="2"/>
  <c r="FD138" i="2"/>
  <c r="DS138" i="2"/>
  <c r="CH138" i="2"/>
  <c r="AW138" i="2"/>
  <c r="L138" i="2"/>
  <c r="ML137" i="2"/>
  <c r="MK137" i="2"/>
  <c r="MJ137" i="2"/>
  <c r="MI137" i="2"/>
  <c r="MH137" i="2"/>
  <c r="MG137" i="2"/>
  <c r="MF137" i="2"/>
  <c r="MD137" i="2"/>
  <c r="MA137" i="2"/>
  <c r="LH137" i="2"/>
  <c r="LK137" i="2" s="1"/>
  <c r="LL137" i="2" s="1"/>
  <c r="JK137" i="2"/>
  <c r="HZ137" i="2"/>
  <c r="GO137" i="2"/>
  <c r="FD137" i="2"/>
  <c r="DS137" i="2"/>
  <c r="CH137" i="2"/>
  <c r="AW137" i="2"/>
  <c r="L137" i="2"/>
  <c r="MD136" i="2"/>
  <c r="LH136" i="2"/>
  <c r="LK136" i="2" s="1"/>
  <c r="LL136" i="2" s="1"/>
  <c r="JK136" i="2"/>
  <c r="HZ136" i="2"/>
  <c r="GO136" i="2"/>
  <c r="FD136" i="2"/>
  <c r="DS136" i="2"/>
  <c r="CH136" i="2"/>
  <c r="AW136" i="2"/>
  <c r="Z136" i="2"/>
  <c r="L136" i="2"/>
  <c r="ML135" i="2"/>
  <c r="MK135" i="2"/>
  <c r="MJ135" i="2"/>
  <c r="MI135" i="2"/>
  <c r="MH135" i="2"/>
  <c r="MG135" i="2"/>
  <c r="MF135" i="2"/>
  <c r="MD135" i="2"/>
  <c r="LH135" i="2"/>
  <c r="LK135" i="2" s="1"/>
  <c r="LL135" i="2" s="1"/>
  <c r="JK135" i="2"/>
  <c r="HZ135" i="2"/>
  <c r="GO135" i="2"/>
  <c r="FD135" i="2"/>
  <c r="DS135" i="2"/>
  <c r="CH135" i="2"/>
  <c r="AW135" i="2"/>
  <c r="AD135" i="2"/>
  <c r="AB135" i="2"/>
  <c r="Z135" i="2"/>
  <c r="L135" i="2"/>
  <c r="MD134" i="2"/>
  <c r="LK134" i="2"/>
  <c r="LL134" i="2" s="1"/>
  <c r="LM134" i="2" s="1"/>
  <c r="JK134" i="2"/>
  <c r="IN134" i="2"/>
  <c r="HZ134" i="2"/>
  <c r="GO134" i="2"/>
  <c r="FD134" i="2"/>
  <c r="DS134" i="2"/>
  <c r="CH134" i="2"/>
  <c r="AW134" i="2"/>
  <c r="L134" i="2"/>
  <c r="ML133" i="2"/>
  <c r="MK133" i="2"/>
  <c r="MJ133" i="2"/>
  <c r="MI133" i="2"/>
  <c r="MH133" i="2"/>
  <c r="MD133" i="2"/>
  <c r="LH133" i="2"/>
  <c r="LK133" i="2" s="1"/>
  <c r="LL133" i="2" s="1"/>
  <c r="JK133" i="2"/>
  <c r="HZ133" i="2"/>
  <c r="GO133" i="2"/>
  <c r="FD133" i="2"/>
  <c r="DS133" i="2"/>
  <c r="CH133" i="2"/>
  <c r="BM133" i="2"/>
  <c r="AW133" i="2"/>
  <c r="Z133" i="2"/>
  <c r="L133" i="2"/>
  <c r="ML132" i="2"/>
  <c r="MK132" i="2"/>
  <c r="MJ132" i="2"/>
  <c r="MI132" i="2"/>
  <c r="MH132" i="2"/>
  <c r="MG132" i="2"/>
  <c r="MF132" i="2"/>
  <c r="MD132" i="2"/>
  <c r="LH132" i="2"/>
  <c r="LK132" i="2" s="1"/>
  <c r="LL132" i="2" s="1"/>
  <c r="JK132" i="2"/>
  <c r="HZ132" i="2"/>
  <c r="GO132" i="2"/>
  <c r="FD132" i="2"/>
  <c r="DS132" i="2"/>
  <c r="CH132" i="2"/>
  <c r="AW132" i="2"/>
  <c r="Z132" i="2"/>
  <c r="L132" i="2"/>
  <c r="MD131" i="2"/>
  <c r="MA131" i="2"/>
  <c r="LH131" i="2"/>
  <c r="LK131" i="2" s="1"/>
  <c r="LL131" i="2" s="1"/>
  <c r="LM131" i="2" s="1"/>
  <c r="JK131" i="2"/>
  <c r="HZ131" i="2"/>
  <c r="GO131" i="2"/>
  <c r="FD131" i="2"/>
  <c r="DS131" i="2"/>
  <c r="CH131" i="2"/>
  <c r="AW131" i="2"/>
  <c r="L131" i="2"/>
  <c r="MD130" i="2"/>
  <c r="LH130" i="2"/>
  <c r="LK130" i="2" s="1"/>
  <c r="LL130" i="2" s="1"/>
  <c r="JK130" i="2"/>
  <c r="HZ130" i="2"/>
  <c r="GO130" i="2"/>
  <c r="FD130" i="2"/>
  <c r="DS130" i="2"/>
  <c r="CH130" i="2"/>
  <c r="BK130" i="2"/>
  <c r="AW130" i="2"/>
  <c r="L130" i="2"/>
  <c r="ML129" i="2"/>
  <c r="MK129" i="2"/>
  <c r="MJ129" i="2"/>
  <c r="MI129" i="2"/>
  <c r="MH129" i="2"/>
  <c r="MD129" i="2"/>
  <c r="LH129" i="2"/>
  <c r="LK129" i="2" s="1"/>
  <c r="LL129" i="2" s="1"/>
  <c r="KV129" i="2"/>
  <c r="KU129" i="2"/>
  <c r="JK129" i="2"/>
  <c r="HZ129" i="2"/>
  <c r="GO129" i="2"/>
  <c r="FD129" i="2"/>
  <c r="DS129" i="2"/>
  <c r="CV129" i="2"/>
  <c r="CH129" i="2"/>
  <c r="AW129" i="2"/>
  <c r="L129" i="2"/>
  <c r="MD128" i="2"/>
  <c r="LH128" i="2"/>
  <c r="LK128" i="2" s="1"/>
  <c r="LL128" i="2" s="1"/>
  <c r="KZ128" i="2"/>
  <c r="JK128" i="2"/>
  <c r="IN128" i="2"/>
  <c r="HZ128" i="2"/>
  <c r="HE128" i="2"/>
  <c r="GO128" i="2"/>
  <c r="FD128" i="2"/>
  <c r="DS128" i="2"/>
  <c r="CH128" i="2"/>
  <c r="AW128" i="2"/>
  <c r="AQ128" i="2"/>
  <c r="Z128" i="2"/>
  <c r="L128" i="2"/>
  <c r="ML127" i="2"/>
  <c r="MD127" i="2"/>
  <c r="MA127" i="2"/>
  <c r="LH127" i="2"/>
  <c r="LK127" i="2" s="1"/>
  <c r="LL127" i="2" s="1"/>
  <c r="JK127" i="2"/>
  <c r="HZ127" i="2"/>
  <c r="GO127" i="2"/>
  <c r="FD127" i="2"/>
  <c r="DS127" i="2"/>
  <c r="CH127" i="2"/>
  <c r="AW127" i="2"/>
  <c r="L127" i="2"/>
  <c r="MD126" i="2"/>
  <c r="LH126" i="2"/>
  <c r="LK126" i="2" s="1"/>
  <c r="LL126" i="2" s="1"/>
  <c r="JK126" i="2"/>
  <c r="HZ126" i="2"/>
  <c r="GO126" i="2"/>
  <c r="FD126" i="2"/>
  <c r="EG126" i="2"/>
  <c r="DS126" i="2"/>
  <c r="CH126" i="2"/>
  <c r="BO126" i="2"/>
  <c r="AW126" i="2"/>
  <c r="L126" i="2"/>
  <c r="MD125" i="2"/>
  <c r="MA125" i="2"/>
  <c r="LH125" i="2"/>
  <c r="LK125" i="2" s="1"/>
  <c r="LL125" i="2" s="1"/>
  <c r="JK125" i="2"/>
  <c r="HZ125" i="2"/>
  <c r="GO125" i="2"/>
  <c r="FD125" i="2"/>
  <c r="DS125" i="2"/>
  <c r="CH125" i="2"/>
  <c r="AW125" i="2"/>
  <c r="L125" i="2"/>
  <c r="MD124" i="2"/>
  <c r="LH124" i="2"/>
  <c r="LK124" i="2" s="1"/>
  <c r="LL124" i="2" s="1"/>
  <c r="JK124" i="2"/>
  <c r="HZ124" i="2"/>
  <c r="GO124" i="2"/>
  <c r="FD124" i="2"/>
  <c r="EK124" i="2"/>
  <c r="DS124" i="2"/>
  <c r="CH124" i="2"/>
  <c r="AW124" i="2"/>
  <c r="L124" i="2"/>
  <c r="ML123" i="2"/>
  <c r="MK123" i="2"/>
  <c r="MD123" i="2"/>
  <c r="LH123" i="2"/>
  <c r="LK123" i="2" s="1"/>
  <c r="LL123" i="2" s="1"/>
  <c r="KY123" i="2"/>
  <c r="JK123" i="2"/>
  <c r="HZ123" i="2"/>
  <c r="HC123" i="2"/>
  <c r="MA123" i="2" s="1"/>
  <c r="GO123" i="2"/>
  <c r="FD123" i="2"/>
  <c r="DS123" i="2"/>
  <c r="CH123" i="2"/>
  <c r="AW123" i="2"/>
  <c r="L123" i="2"/>
  <c r="MD122" i="2"/>
  <c r="LH122" i="2"/>
  <c r="LK122" i="2" s="1"/>
  <c r="LL122" i="2" s="1"/>
  <c r="JK122" i="2"/>
  <c r="HZ122" i="2"/>
  <c r="GO122" i="2"/>
  <c r="FD122" i="2"/>
  <c r="EG122" i="2"/>
  <c r="DS122" i="2"/>
  <c r="CH122" i="2"/>
  <c r="AW122" i="2"/>
  <c r="L122" i="2"/>
  <c r="MD121" i="2"/>
  <c r="MA121" i="2"/>
  <c r="LH121" i="2"/>
  <c r="LK121" i="2" s="1"/>
  <c r="LL121" i="2" s="1"/>
  <c r="JK121" i="2"/>
  <c r="HZ121" i="2"/>
  <c r="GO121" i="2"/>
  <c r="FD121" i="2"/>
  <c r="DS121" i="2"/>
  <c r="CH121" i="2"/>
  <c r="AW121" i="2"/>
  <c r="L121" i="2"/>
  <c r="MD120" i="2"/>
  <c r="LH120" i="2"/>
  <c r="LK120" i="2" s="1"/>
  <c r="LL120" i="2" s="1"/>
  <c r="LA120" i="2"/>
  <c r="JY120" i="2"/>
  <c r="JK120" i="2"/>
  <c r="HZ120" i="2"/>
  <c r="GO120" i="2"/>
  <c r="FD120" i="2"/>
  <c r="DW120" i="2"/>
  <c r="DS120" i="2"/>
  <c r="CH120" i="2"/>
  <c r="AW120" i="2"/>
  <c r="L120" i="2"/>
  <c r="MD119" i="2"/>
  <c r="LH119" i="2"/>
  <c r="LK119" i="2" s="1"/>
  <c r="LL119" i="2" s="1"/>
  <c r="LA119" i="2"/>
  <c r="JY119" i="2"/>
  <c r="JK119" i="2"/>
  <c r="HZ119" i="2"/>
  <c r="GO119" i="2"/>
  <c r="FD119" i="2"/>
  <c r="DS119" i="2"/>
  <c r="CH119" i="2"/>
  <c r="AW119" i="2"/>
  <c r="Z119" i="2"/>
  <c r="L119" i="2"/>
  <c r="ML118" i="2"/>
  <c r="MK118" i="2"/>
  <c r="MJ118" i="2"/>
  <c r="MD118" i="2"/>
  <c r="LH118" i="2"/>
  <c r="LK118" i="2" s="1"/>
  <c r="LL118" i="2" s="1"/>
  <c r="JK118" i="2"/>
  <c r="HZ118" i="2"/>
  <c r="GO118" i="2"/>
  <c r="FD118" i="2"/>
  <c r="DS118" i="2"/>
  <c r="CV118" i="2"/>
  <c r="CH118" i="2"/>
  <c r="AW118" i="2"/>
  <c r="L118" i="2"/>
  <c r="ML117" i="2"/>
  <c r="MD117" i="2"/>
  <c r="LH117" i="2"/>
  <c r="LK117" i="2" s="1"/>
  <c r="LL117" i="2" s="1"/>
  <c r="KZ117" i="2"/>
  <c r="JK117" i="2"/>
  <c r="HZ117" i="2"/>
  <c r="HC117" i="2"/>
  <c r="GO117" i="2"/>
  <c r="FD117" i="2"/>
  <c r="DS117" i="2"/>
  <c r="CX117" i="2"/>
  <c r="CH117" i="2"/>
  <c r="AW117" i="2"/>
  <c r="L117" i="2"/>
  <c r="MD116" i="2"/>
  <c r="LH116" i="2"/>
  <c r="LK116" i="2" s="1"/>
  <c r="LL116" i="2" s="1"/>
  <c r="LA116" i="2"/>
  <c r="JK116" i="2"/>
  <c r="HZ116" i="2"/>
  <c r="GO116" i="2"/>
  <c r="FD116" i="2"/>
  <c r="DS116" i="2"/>
  <c r="CH116" i="2"/>
  <c r="BO116" i="2"/>
  <c r="AW116" i="2"/>
  <c r="L116" i="2"/>
  <c r="MD115" i="2"/>
  <c r="LH115" i="2"/>
  <c r="LK115" i="2" s="1"/>
  <c r="LL115" i="2" s="1"/>
  <c r="JK115" i="2"/>
  <c r="IN115" i="2"/>
  <c r="MA115" i="2" s="1"/>
  <c r="HZ115" i="2"/>
  <c r="GO115" i="2"/>
  <c r="FD115" i="2"/>
  <c r="DS115" i="2"/>
  <c r="CH115" i="2"/>
  <c r="AW115" i="2"/>
  <c r="L115" i="2"/>
  <c r="ML114" i="2"/>
  <c r="MK114" i="2"/>
  <c r="MJ114" i="2"/>
  <c r="MD114" i="2"/>
  <c r="LH114" i="2"/>
  <c r="LK114" i="2" s="1"/>
  <c r="LL114" i="2" s="1"/>
  <c r="KT114" i="2"/>
  <c r="JK114" i="2"/>
  <c r="HZ114" i="2"/>
  <c r="GO114" i="2"/>
  <c r="FD114" i="2"/>
  <c r="DS114" i="2"/>
  <c r="CH114" i="2"/>
  <c r="AW114" i="2"/>
  <c r="Z114" i="2"/>
  <c r="MA114" i="2" s="1"/>
  <c r="L114" i="2"/>
  <c r="ML113" i="2"/>
  <c r="MK113" i="2"/>
  <c r="MJ113" i="2"/>
  <c r="MD113" i="2"/>
  <c r="MA113" i="2"/>
  <c r="LH113" i="2"/>
  <c r="LK113" i="2" s="1"/>
  <c r="LL113" i="2" s="1"/>
  <c r="JK113" i="2"/>
  <c r="HZ113" i="2"/>
  <c r="GO113" i="2"/>
  <c r="FD113" i="2"/>
  <c r="DS113" i="2"/>
  <c r="CH113" i="2"/>
  <c r="AW113" i="2"/>
  <c r="L113" i="2"/>
  <c r="MD112" i="2"/>
  <c r="MA112" i="2"/>
  <c r="LH112" i="2"/>
  <c r="LK112" i="2" s="1"/>
  <c r="LL112" i="2" s="1"/>
  <c r="JK112" i="2"/>
  <c r="HZ112" i="2"/>
  <c r="GO112" i="2"/>
  <c r="FD112" i="2"/>
  <c r="DS112" i="2"/>
  <c r="CH112" i="2"/>
  <c r="AW112" i="2"/>
  <c r="L112" i="2"/>
  <c r="ML111" i="2"/>
  <c r="MK111" i="2"/>
  <c r="MJ111" i="2"/>
  <c r="MI111" i="2"/>
  <c r="MH111" i="2"/>
  <c r="MG111" i="2"/>
  <c r="MF111" i="2"/>
  <c r="MD111" i="2"/>
  <c r="LH111" i="2"/>
  <c r="LK111" i="2" s="1"/>
  <c r="LL111" i="2" s="1"/>
  <c r="JK111" i="2"/>
  <c r="HZ111" i="2"/>
  <c r="GO111" i="2"/>
  <c r="FD111" i="2"/>
  <c r="DS111" i="2"/>
  <c r="CH111" i="2"/>
  <c r="AW111" i="2"/>
  <c r="Z111" i="2"/>
  <c r="MA111" i="2" s="1"/>
  <c r="L111" i="2"/>
  <c r="ML110" i="2"/>
  <c r="MD110" i="2"/>
  <c r="MA110" i="2"/>
  <c r="LH110" i="2"/>
  <c r="LK110" i="2" s="1"/>
  <c r="LL110" i="2" s="1"/>
  <c r="LS110" i="2" s="1"/>
  <c r="JK110" i="2"/>
  <c r="HZ110" i="2"/>
  <c r="GO110" i="2"/>
  <c r="FD110" i="2"/>
  <c r="DT110" i="2"/>
  <c r="DS110" i="2"/>
  <c r="CL110" i="2"/>
  <c r="CH110" i="2"/>
  <c r="AW110" i="2"/>
  <c r="L110" i="2"/>
  <c r="MD109" i="2"/>
  <c r="MA109" i="2"/>
  <c r="LH109" i="2"/>
  <c r="LK109" i="2" s="1"/>
  <c r="LL109" i="2" s="1"/>
  <c r="JK109" i="2"/>
  <c r="HZ109" i="2"/>
  <c r="GO109" i="2"/>
  <c r="FD109" i="2"/>
  <c r="DS109" i="2"/>
  <c r="CH109" i="2"/>
  <c r="AW109" i="2"/>
  <c r="L109" i="2"/>
  <c r="ML108" i="2"/>
  <c r="MK108" i="2"/>
  <c r="MD108" i="2"/>
  <c r="LH108" i="2"/>
  <c r="LK108" i="2" s="1"/>
  <c r="LL108" i="2" s="1"/>
  <c r="LS108" i="2" s="1"/>
  <c r="KY108" i="2"/>
  <c r="JK108" i="2"/>
  <c r="HZ108" i="2"/>
  <c r="HC108" i="2"/>
  <c r="GO108" i="2"/>
  <c r="FD108" i="2"/>
  <c r="DS108" i="2"/>
  <c r="CH108" i="2"/>
  <c r="AW108" i="2"/>
  <c r="L108" i="2"/>
  <c r="MD107" i="2"/>
  <c r="LH107" i="2"/>
  <c r="LK107" i="2" s="1"/>
  <c r="LL107" i="2" s="1"/>
  <c r="LA107" i="2"/>
  <c r="JY107" i="2"/>
  <c r="JK107" i="2"/>
  <c r="HZ107" i="2"/>
  <c r="GO107" i="2"/>
  <c r="FD107" i="2"/>
  <c r="EG107" i="2"/>
  <c r="DS107" i="2"/>
  <c r="CH107" i="2"/>
  <c r="AW107" i="2"/>
  <c r="L107" i="2"/>
  <c r="ML106" i="2"/>
  <c r="MD106" i="2"/>
  <c r="LH106" i="2"/>
  <c r="LK106" i="2" s="1"/>
  <c r="LL106" i="2" s="1"/>
  <c r="JK106" i="2"/>
  <c r="HZ106" i="2"/>
  <c r="GO106" i="2"/>
  <c r="FD106" i="2"/>
  <c r="EG106" i="2"/>
  <c r="DS106" i="2"/>
  <c r="CH106" i="2"/>
  <c r="AW106" i="2"/>
  <c r="L106" i="2"/>
  <c r="ML105" i="2"/>
  <c r="MD105" i="2"/>
  <c r="LH105" i="2"/>
  <c r="LK105" i="2" s="1"/>
  <c r="LL105" i="2" s="1"/>
  <c r="KZ105" i="2"/>
  <c r="JK105" i="2"/>
  <c r="IN105" i="2"/>
  <c r="HZ105" i="2"/>
  <c r="GO105" i="2"/>
  <c r="FD105" i="2"/>
  <c r="EG105" i="2"/>
  <c r="DS105" i="2"/>
  <c r="CH105" i="2"/>
  <c r="AW105" i="2"/>
  <c r="L105" i="2"/>
  <c r="ML104" i="2"/>
  <c r="MD104" i="2"/>
  <c r="MA104" i="2"/>
  <c r="LH104" i="2"/>
  <c r="LK104" i="2" s="1"/>
  <c r="LL104" i="2" s="1"/>
  <c r="JK104" i="2"/>
  <c r="HZ104" i="2"/>
  <c r="GO104" i="2"/>
  <c r="FD104" i="2"/>
  <c r="DS104" i="2"/>
  <c r="CH104" i="2"/>
  <c r="AW104" i="2"/>
  <c r="L104" i="2"/>
  <c r="ML103" i="2"/>
  <c r="MD103" i="2"/>
  <c r="MA103" i="2"/>
  <c r="LH103" i="2"/>
  <c r="LK103" i="2" s="1"/>
  <c r="LL103" i="2" s="1"/>
  <c r="JK103" i="2"/>
  <c r="HZ103" i="2"/>
  <c r="GO103" i="2"/>
  <c r="FD103" i="2"/>
  <c r="DS103" i="2"/>
  <c r="CH103" i="2"/>
  <c r="AW103" i="2"/>
  <c r="L103" i="2"/>
  <c r="ML102" i="2"/>
  <c r="MD102" i="2"/>
  <c r="MA102" i="2"/>
  <c r="LH102" i="2"/>
  <c r="LK102" i="2" s="1"/>
  <c r="LL102" i="2" s="1"/>
  <c r="JK102" i="2"/>
  <c r="HZ102" i="2"/>
  <c r="GO102" i="2"/>
  <c r="FD102" i="2"/>
  <c r="DS102" i="2"/>
  <c r="CH102" i="2"/>
  <c r="AW102" i="2"/>
  <c r="L102" i="2"/>
  <c r="ML101" i="2"/>
  <c r="MK101" i="2"/>
  <c r="MD101" i="2"/>
  <c r="LH101" i="2"/>
  <c r="LK101" i="2" s="1"/>
  <c r="LL101" i="2" s="1"/>
  <c r="JK101" i="2"/>
  <c r="HZ101" i="2"/>
  <c r="GO101" i="2"/>
  <c r="FD101" i="2"/>
  <c r="DS101" i="2"/>
  <c r="CH101" i="2"/>
  <c r="AW101" i="2"/>
  <c r="Z101" i="2"/>
  <c r="L101" i="2"/>
  <c r="ML100" i="2"/>
  <c r="MD100" i="2"/>
  <c r="MA100" i="2"/>
  <c r="LH100" i="2"/>
  <c r="LK100" i="2" s="1"/>
  <c r="LL100" i="2" s="1"/>
  <c r="JK100" i="2"/>
  <c r="HZ100" i="2"/>
  <c r="GO100" i="2"/>
  <c r="FD100" i="2"/>
  <c r="DS100" i="2"/>
  <c r="CH100" i="2"/>
  <c r="AW100" i="2"/>
  <c r="AQ100" i="2"/>
  <c r="M100" i="2"/>
  <c r="L100" i="2"/>
  <c r="MD99" i="2"/>
  <c r="LH99" i="2"/>
  <c r="LK99" i="2" s="1"/>
  <c r="LL99" i="2" s="1"/>
  <c r="LA99" i="2"/>
  <c r="JY99" i="2"/>
  <c r="JK99" i="2"/>
  <c r="HZ99" i="2"/>
  <c r="GO99" i="2"/>
  <c r="FD99" i="2"/>
  <c r="DS99" i="2"/>
  <c r="CH99" i="2"/>
  <c r="AW99" i="2"/>
  <c r="L99" i="2"/>
  <c r="MD98" i="2"/>
  <c r="LH98" i="2"/>
  <c r="LK98" i="2" s="1"/>
  <c r="LL98" i="2" s="1"/>
  <c r="LA98" i="2"/>
  <c r="JY98" i="2"/>
  <c r="JK98" i="2"/>
  <c r="HZ98" i="2"/>
  <c r="GO98" i="2"/>
  <c r="FD98" i="2"/>
  <c r="DS98" i="2"/>
  <c r="CH98" i="2"/>
  <c r="AW98" i="2"/>
  <c r="L98" i="2"/>
  <c r="ML97" i="2"/>
  <c r="MD97" i="2"/>
  <c r="LH97" i="2"/>
  <c r="LK97" i="2" s="1"/>
  <c r="LL97" i="2" s="1"/>
  <c r="LQ97" i="2" s="1"/>
  <c r="JK97" i="2"/>
  <c r="IN97" i="2"/>
  <c r="HZ97" i="2"/>
  <c r="GO97" i="2"/>
  <c r="FD97" i="2"/>
  <c r="DS97" i="2"/>
  <c r="CH97" i="2"/>
  <c r="BM97" i="2"/>
  <c r="AW97" i="2"/>
  <c r="L97" i="2"/>
  <c r="ML96" i="2"/>
  <c r="MD96" i="2"/>
  <c r="LH96" i="2"/>
  <c r="LK96" i="2" s="1"/>
  <c r="LL96" i="2" s="1"/>
  <c r="KZ96" i="2"/>
  <c r="KW96" i="2"/>
  <c r="KV96" i="2"/>
  <c r="JK96" i="2"/>
  <c r="IN96" i="2"/>
  <c r="HZ96" i="2"/>
  <c r="GO96" i="2"/>
  <c r="FD96" i="2"/>
  <c r="EG96" i="2"/>
  <c r="DS96" i="2"/>
  <c r="CX96" i="2"/>
  <c r="CY96" i="2" s="1"/>
  <c r="CV96" i="2"/>
  <c r="CH96" i="2"/>
  <c r="AW96" i="2"/>
  <c r="Z96" i="2"/>
  <c r="L96" i="2"/>
  <c r="I96" i="2"/>
  <c r="MD95" i="2"/>
  <c r="LH95" i="2"/>
  <c r="LK95" i="2" s="1"/>
  <c r="LL95" i="2" s="1"/>
  <c r="KZ95" i="2"/>
  <c r="KA95" i="2"/>
  <c r="KB95" i="2" s="1"/>
  <c r="JY95" i="2"/>
  <c r="JK95" i="2"/>
  <c r="IN95" i="2"/>
  <c r="HZ95" i="2"/>
  <c r="GO95" i="2"/>
  <c r="FD95" i="2"/>
  <c r="DS95" i="2"/>
  <c r="CH95" i="2"/>
  <c r="AW95" i="2"/>
  <c r="L95" i="2"/>
  <c r="I95" i="2"/>
  <c r="MD94" i="2"/>
  <c r="MA94" i="2"/>
  <c r="LH94" i="2"/>
  <c r="LK94" i="2" s="1"/>
  <c r="LL94" i="2" s="1"/>
  <c r="KU94" i="2"/>
  <c r="JK94" i="2"/>
  <c r="HZ94" i="2"/>
  <c r="GO94" i="2"/>
  <c r="FD94" i="2"/>
  <c r="DS94" i="2"/>
  <c r="CH94" i="2"/>
  <c r="AW94" i="2"/>
  <c r="L94" i="2"/>
  <c r="ML93" i="2"/>
  <c r="MK93" i="2"/>
  <c r="MJ93" i="2"/>
  <c r="MI93" i="2"/>
  <c r="MH93" i="2"/>
  <c r="MG93" i="2"/>
  <c r="MD93" i="2"/>
  <c r="MA93" i="2"/>
  <c r="LH93" i="2"/>
  <c r="LK93" i="2" s="1"/>
  <c r="LL93" i="2" s="1"/>
  <c r="JK93" i="2"/>
  <c r="HZ93" i="2"/>
  <c r="GO93" i="2"/>
  <c r="FD93" i="2"/>
  <c r="DS93" i="2"/>
  <c r="CH93" i="2"/>
  <c r="AW93" i="2"/>
  <c r="L93" i="2"/>
  <c r="ML92" i="2"/>
  <c r="MD92" i="2"/>
  <c r="LH92" i="2"/>
  <c r="LK92" i="2" s="1"/>
  <c r="LL92" i="2" s="1"/>
  <c r="KZ92" i="2"/>
  <c r="KW92" i="2"/>
  <c r="JK92" i="2"/>
  <c r="IN92" i="2"/>
  <c r="HZ92" i="2"/>
  <c r="GO92" i="2"/>
  <c r="FD92" i="2"/>
  <c r="DS92" i="2"/>
  <c r="CH92" i="2"/>
  <c r="BM92" i="2"/>
  <c r="BK92" i="2"/>
  <c r="AW92" i="2"/>
  <c r="L92" i="2"/>
  <c r="ML91" i="2"/>
  <c r="MD91" i="2"/>
  <c r="LH91" i="2"/>
  <c r="LK91" i="2" s="1"/>
  <c r="LL91" i="2" s="1"/>
  <c r="KZ91" i="2"/>
  <c r="KV91" i="2"/>
  <c r="KT91" i="2"/>
  <c r="JK91" i="2"/>
  <c r="IN91" i="2"/>
  <c r="HZ91" i="2"/>
  <c r="GO91" i="2"/>
  <c r="FD91" i="2"/>
  <c r="DS91" i="2"/>
  <c r="CX91" i="2"/>
  <c r="CV91" i="2"/>
  <c r="CH91" i="2"/>
  <c r="BS91" i="2"/>
  <c r="BQ91" i="2"/>
  <c r="BO91" i="2"/>
  <c r="BM91" i="2"/>
  <c r="BK91" i="2"/>
  <c r="BA91" i="2"/>
  <c r="AW91" i="2"/>
  <c r="Z91" i="2"/>
  <c r="L91" i="2"/>
  <c r="ML90" i="2"/>
  <c r="MD90" i="2"/>
  <c r="LH90" i="2"/>
  <c r="LK90" i="2" s="1"/>
  <c r="LL90" i="2" s="1"/>
  <c r="KZ90" i="2"/>
  <c r="KY90" i="2"/>
  <c r="KT90" i="2"/>
  <c r="JK90" i="2"/>
  <c r="IP90" i="2"/>
  <c r="IQ90" i="2" s="1"/>
  <c r="IN90" i="2"/>
  <c r="HZ90" i="2"/>
  <c r="HC90" i="2"/>
  <c r="GO90" i="2"/>
  <c r="GF90" i="2"/>
  <c r="FD90" i="2"/>
  <c r="DS90" i="2"/>
  <c r="CH90" i="2"/>
  <c r="AW90" i="2"/>
  <c r="Z90" i="2"/>
  <c r="L90" i="2"/>
  <c r="I90" i="2"/>
  <c r="ML89" i="2"/>
  <c r="MK89" i="2"/>
  <c r="MJ89" i="2"/>
  <c r="MD89" i="2"/>
  <c r="LH89" i="2"/>
  <c r="LK89" i="2" s="1"/>
  <c r="LL89" i="2" s="1"/>
  <c r="JK89" i="2"/>
  <c r="HZ89" i="2"/>
  <c r="GO89" i="2"/>
  <c r="FR89" i="2"/>
  <c r="MA89" i="2" s="1"/>
  <c r="FD89" i="2"/>
  <c r="DS89" i="2"/>
  <c r="CH89" i="2"/>
  <c r="AW89" i="2"/>
  <c r="L89" i="2"/>
  <c r="ML88" i="2"/>
  <c r="MD88" i="2"/>
  <c r="LH88" i="2"/>
  <c r="LK88" i="2" s="1"/>
  <c r="LL88" i="2" s="1"/>
  <c r="JK88" i="2"/>
  <c r="HZ88" i="2"/>
  <c r="GO88" i="2"/>
  <c r="FD88" i="2"/>
  <c r="DS88" i="2"/>
  <c r="CX88" i="2"/>
  <c r="MA88" i="2" s="1"/>
  <c r="CH88" i="2"/>
  <c r="AW88" i="2"/>
  <c r="L88" i="2"/>
  <c r="ML87" i="2"/>
  <c r="MD87" i="2"/>
  <c r="LH87" i="2"/>
  <c r="LK87" i="2" s="1"/>
  <c r="LL87" i="2" s="1"/>
  <c r="JK87" i="2"/>
  <c r="IN87" i="2"/>
  <c r="MA87" i="2" s="1"/>
  <c r="HZ87" i="2"/>
  <c r="GO87" i="2"/>
  <c r="FD87" i="2"/>
  <c r="DS87" i="2"/>
  <c r="CH87" i="2"/>
  <c r="AW87" i="2"/>
  <c r="L87" i="2"/>
  <c r="MD86" i="2"/>
  <c r="LH86" i="2"/>
  <c r="LK86" i="2" s="1"/>
  <c r="LL86" i="2" s="1"/>
  <c r="LA86" i="2"/>
  <c r="KZ86" i="2"/>
  <c r="KX86" i="2"/>
  <c r="JY86" i="2"/>
  <c r="JK86" i="2"/>
  <c r="IN86" i="2"/>
  <c r="HZ86" i="2"/>
  <c r="GO86" i="2"/>
  <c r="FR86" i="2"/>
  <c r="FD86" i="2"/>
  <c r="DS86" i="2"/>
  <c r="CH86" i="2"/>
  <c r="AW86" i="2"/>
  <c r="L86" i="2"/>
  <c r="MD85" i="2"/>
  <c r="LH85" i="2"/>
  <c r="LK85" i="2" s="1"/>
  <c r="LL85" i="2" s="1"/>
  <c r="KV85" i="2"/>
  <c r="JK85" i="2"/>
  <c r="HZ85" i="2"/>
  <c r="GO85" i="2"/>
  <c r="FD85" i="2"/>
  <c r="DS85" i="2"/>
  <c r="DM85" i="2"/>
  <c r="DB85" i="2"/>
  <c r="DC85" i="2" s="1"/>
  <c r="CZ85" i="2"/>
  <c r="CH85" i="2"/>
  <c r="BM85" i="2"/>
  <c r="AW85" i="2"/>
  <c r="Z85" i="2"/>
  <c r="L85" i="2"/>
  <c r="ML84" i="2"/>
  <c r="MD84" i="2"/>
  <c r="MA84" i="2"/>
  <c r="LH84" i="2"/>
  <c r="LK84" i="2" s="1"/>
  <c r="LL84" i="2" s="1"/>
  <c r="JK84" i="2"/>
  <c r="HZ84" i="2"/>
  <c r="GO84" i="2"/>
  <c r="FD84" i="2"/>
  <c r="DS84" i="2"/>
  <c r="CH84" i="2"/>
  <c r="AW84" i="2"/>
  <c r="L84" i="2"/>
  <c r="ML83" i="2"/>
  <c r="MK83" i="2"/>
  <c r="MD83" i="2"/>
  <c r="LH83" i="2"/>
  <c r="LK83" i="2" s="1"/>
  <c r="LL83" i="2" s="1"/>
  <c r="KY83" i="2"/>
  <c r="JK83" i="2"/>
  <c r="HZ83" i="2"/>
  <c r="HC83" i="2"/>
  <c r="GO83" i="2"/>
  <c r="FD83" i="2"/>
  <c r="DS83" i="2"/>
  <c r="CH83" i="2"/>
  <c r="AW83" i="2"/>
  <c r="L83" i="2"/>
  <c r="ML82" i="2"/>
  <c r="MK82" i="2"/>
  <c r="MD82" i="2"/>
  <c r="LH82" i="2"/>
  <c r="LK82" i="2" s="1"/>
  <c r="LL82" i="2" s="1"/>
  <c r="KY82" i="2"/>
  <c r="JK82" i="2"/>
  <c r="HZ82" i="2"/>
  <c r="HC82" i="2"/>
  <c r="GO82" i="2"/>
  <c r="FR82" i="2"/>
  <c r="FD82" i="2"/>
  <c r="DS82" i="2"/>
  <c r="CH82" i="2"/>
  <c r="AW82" i="2"/>
  <c r="L82" i="2"/>
  <c r="MD81" i="2"/>
  <c r="LH81" i="2"/>
  <c r="LK81" i="2" s="1"/>
  <c r="LL81" i="2" s="1"/>
  <c r="LA81" i="2"/>
  <c r="JY81" i="2"/>
  <c r="JK81" i="2"/>
  <c r="HZ81" i="2"/>
  <c r="GO81" i="2"/>
  <c r="FD81" i="2"/>
  <c r="DS81" i="2"/>
  <c r="CH81" i="2"/>
  <c r="AW81" i="2"/>
  <c r="L81" i="2"/>
  <c r="ML80" i="2"/>
  <c r="MK80" i="2"/>
  <c r="MJ80" i="2"/>
  <c r="MD80" i="2"/>
  <c r="MA80" i="2"/>
  <c r="LH80" i="2"/>
  <c r="LK80" i="2" s="1"/>
  <c r="LL80" i="2" s="1"/>
  <c r="JK80" i="2"/>
  <c r="HZ80" i="2"/>
  <c r="GO80" i="2"/>
  <c r="FD80" i="2"/>
  <c r="DS80" i="2"/>
  <c r="CH80" i="2"/>
  <c r="AW80" i="2"/>
  <c r="L80" i="2"/>
  <c r="MD79" i="2"/>
  <c r="LH79" i="2"/>
  <c r="LK79" i="2" s="1"/>
  <c r="LL79" i="2" s="1"/>
  <c r="LA79" i="2"/>
  <c r="JY79" i="2"/>
  <c r="MA79" i="2" s="1"/>
  <c r="JK79" i="2"/>
  <c r="HZ79" i="2"/>
  <c r="GO79" i="2"/>
  <c r="FD79" i="2"/>
  <c r="DS79" i="2"/>
  <c r="CH79" i="2"/>
  <c r="AW79" i="2"/>
  <c r="L79" i="2"/>
  <c r="MD78" i="2"/>
  <c r="LH78" i="2"/>
  <c r="LK78" i="2" s="1"/>
  <c r="LL78" i="2" s="1"/>
  <c r="LM78" i="2" s="1"/>
  <c r="KZ78" i="2"/>
  <c r="JK78" i="2"/>
  <c r="IN78" i="2"/>
  <c r="MA78" i="2" s="1"/>
  <c r="HZ78" i="2"/>
  <c r="GO78" i="2"/>
  <c r="FD78" i="2"/>
  <c r="DS78" i="2"/>
  <c r="CL78" i="2"/>
  <c r="CH78" i="2"/>
  <c r="AW78" i="2"/>
  <c r="L78" i="2"/>
  <c r="MD77" i="2"/>
  <c r="LH77" i="2"/>
  <c r="LK77" i="2" s="1"/>
  <c r="LL77" i="2" s="1"/>
  <c r="LM77" i="2" s="1"/>
  <c r="LA77" i="2"/>
  <c r="JY77" i="2"/>
  <c r="JK77" i="2"/>
  <c r="HZ77" i="2"/>
  <c r="GO77" i="2"/>
  <c r="FD77" i="2"/>
  <c r="DS77" i="2"/>
  <c r="CH77" i="2"/>
  <c r="AW77" i="2"/>
  <c r="L77" i="2"/>
  <c r="ML76" i="2"/>
  <c r="MD76" i="2"/>
  <c r="LH76" i="2"/>
  <c r="LK76" i="2" s="1"/>
  <c r="LL76" i="2" s="1"/>
  <c r="LO76" i="2" s="1"/>
  <c r="KZ76" i="2"/>
  <c r="JK76" i="2"/>
  <c r="IN76" i="2"/>
  <c r="HZ76" i="2"/>
  <c r="GO76" i="2"/>
  <c r="FD76" i="2"/>
  <c r="DS76" i="2"/>
  <c r="CH76" i="2"/>
  <c r="AW76" i="2"/>
  <c r="L76" i="2"/>
  <c r="ML75" i="2"/>
  <c r="MD75" i="2"/>
  <c r="LH75" i="2"/>
  <c r="LK75" i="2" s="1"/>
  <c r="LL75" i="2" s="1"/>
  <c r="KZ75" i="2"/>
  <c r="JK75" i="2"/>
  <c r="IN75" i="2"/>
  <c r="HZ75" i="2"/>
  <c r="GO75" i="2"/>
  <c r="FR75" i="2"/>
  <c r="FD75" i="2"/>
  <c r="DS75" i="2"/>
  <c r="CH75" i="2"/>
  <c r="AW75" i="2"/>
  <c r="L75" i="2"/>
  <c r="ML74" i="2"/>
  <c r="MD74" i="2"/>
  <c r="LH74" i="2"/>
  <c r="LK74" i="2" s="1"/>
  <c r="LL74" i="2" s="1"/>
  <c r="JK74" i="2"/>
  <c r="HZ74" i="2"/>
  <c r="GO74" i="2"/>
  <c r="FR74" i="2"/>
  <c r="FD74" i="2"/>
  <c r="DS74" i="2"/>
  <c r="CH74" i="2"/>
  <c r="AW74" i="2"/>
  <c r="L74" i="2"/>
  <c r="ML73" i="2"/>
  <c r="MD73" i="2"/>
  <c r="LH73" i="2"/>
  <c r="LK73" i="2" s="1"/>
  <c r="LL73" i="2" s="1"/>
  <c r="KZ73" i="2"/>
  <c r="JK73" i="2"/>
  <c r="IN73" i="2"/>
  <c r="HZ73" i="2"/>
  <c r="GO73" i="2"/>
  <c r="FD73" i="2"/>
  <c r="DS73" i="2"/>
  <c r="CL73" i="2"/>
  <c r="CH73" i="2"/>
  <c r="AW73" i="2"/>
  <c r="L73" i="2"/>
  <c r="ML72" i="2"/>
  <c r="MD72" i="2"/>
  <c r="LH72" i="2"/>
  <c r="LK72" i="2" s="1"/>
  <c r="LL72" i="2" s="1"/>
  <c r="LM72" i="2" s="1"/>
  <c r="KZ72" i="2"/>
  <c r="JK72" i="2"/>
  <c r="IN72" i="2"/>
  <c r="HZ72" i="2"/>
  <c r="GO72" i="2"/>
  <c r="FD72" i="2"/>
  <c r="DS72" i="2"/>
  <c r="CH72" i="2"/>
  <c r="AW72" i="2"/>
  <c r="L72" i="2"/>
  <c r="MD71" i="2"/>
  <c r="LH71" i="2"/>
  <c r="LK71" i="2" s="1"/>
  <c r="LL71" i="2" s="1"/>
  <c r="LA71" i="2"/>
  <c r="JY71" i="2"/>
  <c r="JK71" i="2"/>
  <c r="HZ71" i="2"/>
  <c r="GO71" i="2"/>
  <c r="FD71" i="2"/>
  <c r="EG71" i="2"/>
  <c r="DS71" i="2"/>
  <c r="CH71" i="2"/>
  <c r="AW71" i="2"/>
  <c r="L71" i="2"/>
  <c r="ML70" i="2"/>
  <c r="MD70" i="2"/>
  <c r="LH70" i="2"/>
  <c r="LK70" i="2" s="1"/>
  <c r="LL70" i="2" s="1"/>
  <c r="KZ70" i="2"/>
  <c r="JK70" i="2"/>
  <c r="IN70" i="2"/>
  <c r="HZ70" i="2"/>
  <c r="GO70" i="2"/>
  <c r="FD70" i="2"/>
  <c r="EG70" i="2"/>
  <c r="DS70" i="2"/>
  <c r="CH70" i="2"/>
  <c r="AW70" i="2"/>
  <c r="L70" i="2"/>
  <c r="MD69" i="2"/>
  <c r="MA69" i="2"/>
  <c r="LH69" i="2"/>
  <c r="LK69" i="2" s="1"/>
  <c r="LL69" i="2" s="1"/>
  <c r="JK69" i="2"/>
  <c r="HZ69" i="2"/>
  <c r="GO69" i="2"/>
  <c r="FD69" i="2"/>
  <c r="DS69" i="2"/>
  <c r="CH69" i="2"/>
  <c r="AW69" i="2"/>
  <c r="L69" i="2"/>
  <c r="MD68" i="2"/>
  <c r="MA68" i="2"/>
  <c r="LH68" i="2"/>
  <c r="LK68" i="2" s="1"/>
  <c r="LL68" i="2" s="1"/>
  <c r="JK68" i="2"/>
  <c r="HZ68" i="2"/>
  <c r="GO68" i="2"/>
  <c r="FD68" i="2"/>
  <c r="DS68" i="2"/>
  <c r="CH68" i="2"/>
  <c r="AW68" i="2"/>
  <c r="L68" i="2"/>
  <c r="MD67" i="2"/>
  <c r="LH67" i="2"/>
  <c r="LK67" i="2" s="1"/>
  <c r="LL67" i="2" s="1"/>
  <c r="LA67" i="2"/>
  <c r="KW67" i="2"/>
  <c r="JY67" i="2"/>
  <c r="JK67" i="2"/>
  <c r="HZ67" i="2"/>
  <c r="GO67" i="2"/>
  <c r="FD67" i="2"/>
  <c r="EG67" i="2"/>
  <c r="DS67" i="2"/>
  <c r="CZ67" i="2"/>
  <c r="CH67" i="2"/>
  <c r="AW67" i="2"/>
  <c r="L67" i="2"/>
  <c r="MD66" i="2"/>
  <c r="LH66" i="2"/>
  <c r="LK66" i="2" s="1"/>
  <c r="LL66" i="2" s="1"/>
  <c r="JK66" i="2"/>
  <c r="HZ66" i="2"/>
  <c r="GO66" i="2"/>
  <c r="FR66" i="2"/>
  <c r="FD66" i="2"/>
  <c r="DS66" i="2"/>
  <c r="CX66" i="2"/>
  <c r="CH66" i="2"/>
  <c r="AW66" i="2"/>
  <c r="L66" i="2"/>
  <c r="MD65" i="2"/>
  <c r="LH65" i="2"/>
  <c r="LK65" i="2" s="1"/>
  <c r="LL65" i="2" s="1"/>
  <c r="LA65" i="2"/>
  <c r="JY65" i="2"/>
  <c r="JK65" i="2"/>
  <c r="IN65" i="2"/>
  <c r="HZ65" i="2"/>
  <c r="GO65" i="2"/>
  <c r="FD65" i="2"/>
  <c r="DS65" i="2"/>
  <c r="CH65" i="2"/>
  <c r="AW65" i="2"/>
  <c r="L65" i="2"/>
  <c r="MD64" i="2"/>
  <c r="MA64" i="2"/>
  <c r="LH64" i="2"/>
  <c r="LK64" i="2" s="1"/>
  <c r="LL64" i="2" s="1"/>
  <c r="JK64" i="2"/>
  <c r="HZ64" i="2"/>
  <c r="GO64" i="2"/>
  <c r="FD64" i="2"/>
  <c r="DS64" i="2"/>
  <c r="CH64" i="2"/>
  <c r="AW64" i="2"/>
  <c r="L64" i="2"/>
  <c r="ML63" i="2"/>
  <c r="MD63" i="2"/>
  <c r="LH63" i="2"/>
  <c r="LK63" i="2" s="1"/>
  <c r="LL63" i="2" s="1"/>
  <c r="KZ63" i="2"/>
  <c r="JK63" i="2"/>
  <c r="IN63" i="2"/>
  <c r="HZ63" i="2"/>
  <c r="HC63" i="2"/>
  <c r="GO63" i="2"/>
  <c r="FR63" i="2"/>
  <c r="FD63" i="2"/>
  <c r="EI63" i="2"/>
  <c r="EJ63" i="2" s="1"/>
  <c r="EG63" i="2"/>
  <c r="DS63" i="2"/>
  <c r="CH63" i="2"/>
  <c r="AW63" i="2"/>
  <c r="L63" i="2"/>
  <c r="MD62" i="2"/>
  <c r="LH62" i="2"/>
  <c r="LK62" i="2" s="1"/>
  <c r="LL62" i="2" s="1"/>
  <c r="JK62" i="2"/>
  <c r="HZ62" i="2"/>
  <c r="GO62" i="2"/>
  <c r="FD62" i="2"/>
  <c r="DS62" i="2"/>
  <c r="CH62" i="2"/>
  <c r="BM62" i="2"/>
  <c r="AW62" i="2"/>
  <c r="L62" i="2"/>
  <c r="ML61" i="2"/>
  <c r="MK61" i="2"/>
  <c r="MJ61" i="2"/>
  <c r="MI61" i="2"/>
  <c r="MH61" i="2"/>
  <c r="MG61" i="2"/>
  <c r="MF61" i="2"/>
  <c r="MD61" i="2"/>
  <c r="MA61" i="2"/>
  <c r="LH61" i="2"/>
  <c r="LK61" i="2" s="1"/>
  <c r="LL61" i="2" s="1"/>
  <c r="JK61" i="2"/>
  <c r="HZ61" i="2"/>
  <c r="GO61" i="2"/>
  <c r="FD61" i="2"/>
  <c r="DS61" i="2"/>
  <c r="CH61" i="2"/>
  <c r="AW61" i="2"/>
  <c r="L61" i="2"/>
  <c r="MD60" i="2"/>
  <c r="LH60" i="2"/>
  <c r="LK60" i="2" s="1"/>
  <c r="LL60" i="2" s="1"/>
  <c r="LA60" i="2"/>
  <c r="JY60" i="2"/>
  <c r="MA60" i="2" s="1"/>
  <c r="JK60" i="2"/>
  <c r="HZ60" i="2"/>
  <c r="GO60" i="2"/>
  <c r="FD60" i="2"/>
  <c r="DS60" i="2"/>
  <c r="CH60" i="2"/>
  <c r="AW60" i="2"/>
  <c r="L60" i="2"/>
  <c r="MD59" i="2"/>
  <c r="LH59" i="2"/>
  <c r="LK59" i="2" s="1"/>
  <c r="LL59" i="2" s="1"/>
  <c r="LA59" i="2"/>
  <c r="KZ59" i="2"/>
  <c r="KY59" i="2"/>
  <c r="JY59" i="2"/>
  <c r="JK59" i="2"/>
  <c r="IR59" i="2"/>
  <c r="IP59" i="2"/>
  <c r="IQ59" i="2" s="1"/>
  <c r="IN59" i="2"/>
  <c r="HZ59" i="2"/>
  <c r="HE59" i="2"/>
  <c r="HF59" i="2" s="1"/>
  <c r="HC59" i="2"/>
  <c r="GO59" i="2"/>
  <c r="FD59" i="2"/>
  <c r="DS59" i="2"/>
  <c r="CH59" i="2"/>
  <c r="AW59" i="2"/>
  <c r="L59" i="2"/>
  <c r="MD58" i="2"/>
  <c r="LH58" i="2"/>
  <c r="LK58" i="2" s="1"/>
  <c r="LL58" i="2" s="1"/>
  <c r="JK58" i="2"/>
  <c r="HZ58" i="2"/>
  <c r="HC58" i="2"/>
  <c r="GO58" i="2"/>
  <c r="FD58" i="2"/>
  <c r="DS58" i="2"/>
  <c r="CH58" i="2"/>
  <c r="AW58" i="2"/>
  <c r="L58" i="2"/>
  <c r="ML57" i="2"/>
  <c r="MD57" i="2"/>
  <c r="LH57" i="2"/>
  <c r="LK57" i="2" s="1"/>
  <c r="LL57" i="2" s="1"/>
  <c r="LA57" i="2"/>
  <c r="JK57" i="2"/>
  <c r="IN57" i="2"/>
  <c r="HZ57" i="2"/>
  <c r="GO57" i="2"/>
  <c r="FD57" i="2"/>
  <c r="DS57" i="2"/>
  <c r="DM57" i="2"/>
  <c r="CH57" i="2"/>
  <c r="AW57" i="2"/>
  <c r="Z57" i="2"/>
  <c r="L57" i="2"/>
  <c r="ML56" i="2"/>
  <c r="MD56" i="2"/>
  <c r="LH56" i="2"/>
  <c r="LK56" i="2" s="1"/>
  <c r="LL56" i="2" s="1"/>
  <c r="KZ56" i="2"/>
  <c r="KX56" i="2"/>
  <c r="JK56" i="2"/>
  <c r="IN56" i="2"/>
  <c r="HZ56" i="2"/>
  <c r="GO56" i="2"/>
  <c r="FD56" i="2"/>
  <c r="DS56" i="2"/>
  <c r="CV56" i="2"/>
  <c r="CH56" i="2"/>
  <c r="BQ56" i="2"/>
  <c r="BO56" i="2"/>
  <c r="AW56" i="2"/>
  <c r="Z56" i="2"/>
  <c r="L56" i="2"/>
  <c r="MD55" i="2"/>
  <c r="LH55" i="2"/>
  <c r="LK55" i="2" s="1"/>
  <c r="LL55" i="2" s="1"/>
  <c r="LA55" i="2"/>
  <c r="KV55" i="2"/>
  <c r="JY55" i="2"/>
  <c r="JK55" i="2"/>
  <c r="HZ55" i="2"/>
  <c r="GO55" i="2"/>
  <c r="FD55" i="2"/>
  <c r="DS55" i="2"/>
  <c r="DD55" i="2"/>
  <c r="DB55" i="2"/>
  <c r="CZ55" i="2"/>
  <c r="CH55" i="2"/>
  <c r="AW55" i="2"/>
  <c r="L55" i="2"/>
  <c r="MD54" i="2"/>
  <c r="LH54" i="2"/>
  <c r="LK54" i="2" s="1"/>
  <c r="LL54" i="2" s="1"/>
  <c r="LA54" i="2"/>
  <c r="JY54" i="2"/>
  <c r="MA54" i="2" s="1"/>
  <c r="JK54" i="2"/>
  <c r="HZ54" i="2"/>
  <c r="GO54" i="2"/>
  <c r="FD54" i="2"/>
  <c r="DS54" i="2"/>
  <c r="CH54" i="2"/>
  <c r="AW54" i="2"/>
  <c r="L54" i="2"/>
  <c r="MD53" i="2"/>
  <c r="MA53" i="2"/>
  <c r="LH53" i="2"/>
  <c r="LK53" i="2" s="1"/>
  <c r="LL53" i="2" s="1"/>
  <c r="JK53" i="2"/>
  <c r="HZ53" i="2"/>
  <c r="GO53" i="2"/>
  <c r="FD53" i="2"/>
  <c r="DS53" i="2"/>
  <c r="CH53" i="2"/>
  <c r="AW53" i="2"/>
  <c r="L53" i="2"/>
  <c r="MD52" i="2"/>
  <c r="LH52" i="2"/>
  <c r="LK52" i="2" s="1"/>
  <c r="LL52" i="2" s="1"/>
  <c r="LA52" i="2"/>
  <c r="JY52" i="2"/>
  <c r="MA52" i="2" s="1"/>
  <c r="JK52" i="2"/>
  <c r="HZ52" i="2"/>
  <c r="GO52" i="2"/>
  <c r="FD52" i="2"/>
  <c r="DS52" i="2"/>
  <c r="CH52" i="2"/>
  <c r="AW52" i="2"/>
  <c r="L52" i="2"/>
  <c r="ML51" i="2"/>
  <c r="MK51" i="2"/>
  <c r="MJ51" i="2"/>
  <c r="MI51" i="2"/>
  <c r="MH51" i="2"/>
  <c r="MG51" i="2"/>
  <c r="MF51" i="2"/>
  <c r="MD51" i="2"/>
  <c r="MA51" i="2"/>
  <c r="LH51" i="2"/>
  <c r="LK51" i="2" s="1"/>
  <c r="LL51" i="2" s="1"/>
  <c r="JK51" i="2"/>
  <c r="HZ51" i="2"/>
  <c r="GO51" i="2"/>
  <c r="FD51" i="2"/>
  <c r="DS51" i="2"/>
  <c r="CH51" i="2"/>
  <c r="AW51" i="2"/>
  <c r="L51" i="2"/>
  <c r="MD50" i="2"/>
  <c r="MA50" i="2"/>
  <c r="LH50" i="2"/>
  <c r="LK50" i="2" s="1"/>
  <c r="LL50" i="2" s="1"/>
  <c r="JK50" i="2"/>
  <c r="HZ50" i="2"/>
  <c r="GO50" i="2"/>
  <c r="FD50" i="2"/>
  <c r="DS50" i="2"/>
  <c r="CH50" i="2"/>
  <c r="AW50" i="2"/>
  <c r="L50" i="2"/>
  <c r="ML49" i="2"/>
  <c r="MD49" i="2"/>
  <c r="LH49" i="2"/>
  <c r="LK49" i="2" s="1"/>
  <c r="LL49" i="2" s="1"/>
  <c r="KZ49" i="2"/>
  <c r="KV49" i="2"/>
  <c r="JK49" i="2"/>
  <c r="IN49" i="2"/>
  <c r="MA49" i="2" s="1"/>
  <c r="HZ49" i="2"/>
  <c r="GO49" i="2"/>
  <c r="FD49" i="2"/>
  <c r="DS49" i="2"/>
  <c r="CH49" i="2"/>
  <c r="AW49" i="2"/>
  <c r="L49" i="2"/>
  <c r="MD48" i="2"/>
  <c r="MA48" i="2"/>
  <c r="LH48" i="2"/>
  <c r="LK48" i="2" s="1"/>
  <c r="LL48" i="2" s="1"/>
  <c r="JK48" i="2"/>
  <c r="HZ48" i="2"/>
  <c r="GO48" i="2"/>
  <c r="FD48" i="2"/>
  <c r="DS48" i="2"/>
  <c r="CH48" i="2"/>
  <c r="AW48" i="2"/>
  <c r="L48" i="2"/>
  <c r="MD47" i="2"/>
  <c r="LH47" i="2"/>
  <c r="LK47" i="2" s="1"/>
  <c r="LL47" i="2" s="1"/>
  <c r="JK47" i="2"/>
  <c r="HZ47" i="2"/>
  <c r="GO47" i="2"/>
  <c r="FR47" i="2"/>
  <c r="MA47" i="2" s="1"/>
  <c r="FD47" i="2"/>
  <c r="DS47" i="2"/>
  <c r="CH47" i="2"/>
  <c r="AW47" i="2"/>
  <c r="L47" i="2"/>
  <c r="ML46" i="2"/>
  <c r="MD46" i="2"/>
  <c r="MA46" i="2"/>
  <c r="LH46" i="2"/>
  <c r="LK46" i="2" s="1"/>
  <c r="LL46" i="2" s="1"/>
  <c r="JK46" i="2"/>
  <c r="HZ46" i="2"/>
  <c r="GO46" i="2"/>
  <c r="FD46" i="2"/>
  <c r="DS46" i="2"/>
  <c r="DM46" i="2"/>
  <c r="CH46" i="2"/>
  <c r="AW46" i="2"/>
  <c r="L46" i="2"/>
  <c r="ML45" i="2"/>
  <c r="MD45" i="2"/>
  <c r="MA45" i="2"/>
  <c r="LH45" i="2"/>
  <c r="LK45" i="2" s="1"/>
  <c r="LL45" i="2" s="1"/>
  <c r="JK45" i="2"/>
  <c r="HZ45" i="2"/>
  <c r="HT45" i="2"/>
  <c r="GO45" i="2"/>
  <c r="GI45" i="2"/>
  <c r="FD45" i="2"/>
  <c r="EX45" i="2"/>
  <c r="DS45" i="2"/>
  <c r="DM45" i="2"/>
  <c r="CH45" i="2"/>
  <c r="CB45" i="2"/>
  <c r="AW45" i="2"/>
  <c r="AQ45" i="2"/>
  <c r="L45" i="2"/>
  <c r="ML44" i="2"/>
  <c r="MD44" i="2"/>
  <c r="LH44" i="2"/>
  <c r="LK44" i="2" s="1"/>
  <c r="LL44" i="2" s="1"/>
  <c r="KZ44" i="2"/>
  <c r="KV44" i="2"/>
  <c r="KU44" i="2"/>
  <c r="JK44" i="2"/>
  <c r="IN44" i="2"/>
  <c r="HZ44" i="2"/>
  <c r="GO44" i="2"/>
  <c r="FD44" i="2"/>
  <c r="EX44" i="2"/>
  <c r="DS44" i="2"/>
  <c r="DM44" i="2"/>
  <c r="CV44" i="2"/>
  <c r="CW44" i="2" s="1"/>
  <c r="CL44" i="2"/>
  <c r="CH44" i="2"/>
  <c r="CB44" i="2"/>
  <c r="BO44" i="2"/>
  <c r="BP44" i="2" s="1"/>
  <c r="BM44" i="2"/>
  <c r="BN44" i="2" s="1"/>
  <c r="BA44" i="2"/>
  <c r="AW44" i="2"/>
  <c r="L44" i="2"/>
  <c r="ML43" i="2"/>
  <c r="MK43" i="2"/>
  <c r="MJ43" i="2"/>
  <c r="MI43" i="2"/>
  <c r="MH43" i="2"/>
  <c r="MG43" i="2"/>
  <c r="MD43" i="2"/>
  <c r="LH43" i="2"/>
  <c r="LK43" i="2" s="1"/>
  <c r="LL43" i="2" s="1"/>
  <c r="JK43" i="2"/>
  <c r="HZ43" i="2"/>
  <c r="GO43" i="2"/>
  <c r="FD43" i="2"/>
  <c r="DS43" i="2"/>
  <c r="CH43" i="2"/>
  <c r="BK43" i="2"/>
  <c r="AW43" i="2"/>
  <c r="Z43" i="2"/>
  <c r="L43" i="2"/>
  <c r="ML42" i="2"/>
  <c r="MK42" i="2"/>
  <c r="MJ42" i="2"/>
  <c r="MD42" i="2"/>
  <c r="LH42" i="2"/>
  <c r="LK42" i="2" s="1"/>
  <c r="LL42" i="2" s="1"/>
  <c r="LQ42" i="2" s="1"/>
  <c r="KW42" i="2"/>
  <c r="JK42" i="2"/>
  <c r="HZ42" i="2"/>
  <c r="GO42" i="2"/>
  <c r="FR42" i="2"/>
  <c r="FD42" i="2"/>
  <c r="EX42" i="2"/>
  <c r="DW42" i="2"/>
  <c r="DS42" i="2"/>
  <c r="DM42" i="2"/>
  <c r="CH42" i="2"/>
  <c r="L42" i="2"/>
  <c r="MD41" i="2"/>
  <c r="LH41" i="2"/>
  <c r="LK41" i="2" s="1"/>
  <c r="LL41" i="2" s="1"/>
  <c r="LA41" i="2"/>
  <c r="JY41" i="2"/>
  <c r="JK41" i="2"/>
  <c r="HZ41" i="2"/>
  <c r="GO41" i="2"/>
  <c r="FD41" i="2"/>
  <c r="DS41" i="2"/>
  <c r="CH41" i="2"/>
  <c r="CB41" i="2"/>
  <c r="BO41" i="2"/>
  <c r="BP41" i="2" s="1"/>
  <c r="BM41" i="2"/>
  <c r="BN41" i="2" s="1"/>
  <c r="BK41" i="2"/>
  <c r="BL41" i="2" s="1"/>
  <c r="BA41" i="2"/>
  <c r="AW41" i="2"/>
  <c r="L41" i="2"/>
  <c r="MD40" i="2"/>
  <c r="MA40" i="2"/>
  <c r="LH40" i="2"/>
  <c r="LK40" i="2" s="1"/>
  <c r="LL40" i="2" s="1"/>
  <c r="JK40" i="2"/>
  <c r="HZ40" i="2"/>
  <c r="GO40" i="2"/>
  <c r="FD40" i="2"/>
  <c r="DS40" i="2"/>
  <c r="CH40" i="2"/>
  <c r="CB40" i="2"/>
  <c r="AW40" i="2"/>
  <c r="L40" i="2"/>
  <c r="ML39" i="2"/>
  <c r="MD39" i="2"/>
  <c r="MA39" i="2"/>
  <c r="LH39" i="2"/>
  <c r="LK39" i="2" s="1"/>
  <c r="LL39" i="2" s="1"/>
  <c r="JK39" i="2"/>
  <c r="HZ39" i="2"/>
  <c r="HT39" i="2"/>
  <c r="GO39" i="2"/>
  <c r="FD39" i="2"/>
  <c r="DS39" i="2"/>
  <c r="CH39" i="2"/>
  <c r="CB39" i="2"/>
  <c r="AW39" i="2"/>
  <c r="L39" i="2"/>
  <c r="ML38" i="2"/>
  <c r="MD38" i="2"/>
  <c r="LH38" i="2"/>
  <c r="LK38" i="2" s="1"/>
  <c r="LL38" i="2" s="1"/>
  <c r="LU38" i="2" s="1"/>
  <c r="JK38" i="2"/>
  <c r="HZ38" i="2"/>
  <c r="HT38" i="2"/>
  <c r="GO38" i="2"/>
  <c r="FD38" i="2"/>
  <c r="EX38" i="2"/>
  <c r="EG38" i="2"/>
  <c r="DS38" i="2"/>
  <c r="CH38" i="2"/>
  <c r="CB38" i="2"/>
  <c r="AW38" i="2"/>
  <c r="L38" i="2"/>
  <c r="ML37" i="2"/>
  <c r="MD37" i="2"/>
  <c r="MA37" i="2"/>
  <c r="LH37" i="2"/>
  <c r="LK37" i="2" s="1"/>
  <c r="LL37" i="2" s="1"/>
  <c r="KY37" i="2"/>
  <c r="JK37" i="2"/>
  <c r="HZ37" i="2"/>
  <c r="HT37" i="2"/>
  <c r="GO37" i="2"/>
  <c r="FD37" i="2"/>
  <c r="DS37" i="2"/>
  <c r="CH37" i="2"/>
  <c r="CB37" i="2"/>
  <c r="AW37" i="2"/>
  <c r="L37" i="2"/>
  <c r="ML36" i="2"/>
  <c r="MD36" i="2"/>
  <c r="LH36" i="2"/>
  <c r="LK36" i="2" s="1"/>
  <c r="LL36" i="2" s="1"/>
  <c r="JK36" i="2"/>
  <c r="HZ36" i="2"/>
  <c r="HT36" i="2"/>
  <c r="HC36" i="2"/>
  <c r="GO36" i="2"/>
  <c r="FD36" i="2"/>
  <c r="DS36" i="2"/>
  <c r="CH36" i="2"/>
  <c r="CB36" i="2"/>
  <c r="BA36" i="2"/>
  <c r="AW36" i="2"/>
  <c r="L36" i="2"/>
  <c r="ML35" i="2"/>
  <c r="MD35" i="2"/>
  <c r="MA35" i="2"/>
  <c r="LH35" i="2"/>
  <c r="LK35" i="2" s="1"/>
  <c r="LL35" i="2" s="1"/>
  <c r="JK35" i="2"/>
  <c r="HZ35" i="2"/>
  <c r="GO35" i="2"/>
  <c r="FE35" i="2"/>
  <c r="FD35" i="2"/>
  <c r="DS35" i="2"/>
  <c r="CI35" i="2"/>
  <c r="CH35" i="2"/>
  <c r="CB35" i="2"/>
  <c r="AW35" i="2"/>
  <c r="M35" i="2"/>
  <c r="L35" i="2"/>
  <c r="ML34" i="2"/>
  <c r="MK34" i="2"/>
  <c r="MJ34" i="2"/>
  <c r="MI34" i="2"/>
  <c r="MH34" i="2"/>
  <c r="MG34" i="2"/>
  <c r="MD34" i="2"/>
  <c r="MA34" i="2"/>
  <c r="LH34" i="2"/>
  <c r="LK34" i="2" s="1"/>
  <c r="LL34" i="2" s="1"/>
  <c r="JK34" i="2"/>
  <c r="HZ34" i="2"/>
  <c r="GO34" i="2"/>
  <c r="FD34" i="2"/>
  <c r="DS34" i="2"/>
  <c r="CH34" i="2"/>
  <c r="AW34" i="2"/>
  <c r="AQ34" i="2"/>
  <c r="L34" i="2"/>
  <c r="ML33" i="2"/>
  <c r="MK33" i="2"/>
  <c r="MD33" i="2"/>
  <c r="LH33" i="2"/>
  <c r="LK33" i="2" s="1"/>
  <c r="LL33" i="2" s="1"/>
  <c r="JK33" i="2"/>
  <c r="HZ33" i="2"/>
  <c r="GO33" i="2"/>
  <c r="GI33" i="2"/>
  <c r="FR33" i="2"/>
  <c r="FD33" i="2"/>
  <c r="EX33" i="2"/>
  <c r="DS33" i="2"/>
  <c r="DM33" i="2"/>
  <c r="CH33" i="2"/>
  <c r="CB33" i="2"/>
  <c r="AW33" i="2"/>
  <c r="AQ33" i="2"/>
  <c r="L33" i="2"/>
  <c r="MD32" i="2"/>
  <c r="MA32" i="2"/>
  <c r="LH32" i="2"/>
  <c r="LK32" i="2" s="1"/>
  <c r="LL32" i="2" s="1"/>
  <c r="JK32" i="2"/>
  <c r="HZ32" i="2"/>
  <c r="GO32" i="2"/>
  <c r="FD32" i="2"/>
  <c r="DS32" i="2"/>
  <c r="DM32" i="2"/>
  <c r="CH32" i="2"/>
  <c r="AW32" i="2"/>
  <c r="L32" i="2"/>
  <c r="ML31" i="2"/>
  <c r="MD31" i="2"/>
  <c r="LH31" i="2"/>
  <c r="LK31" i="2" s="1"/>
  <c r="LL31" i="2" s="1"/>
  <c r="KU31" i="2"/>
  <c r="JK31" i="2"/>
  <c r="HZ31" i="2"/>
  <c r="GO31" i="2"/>
  <c r="FD31" i="2"/>
  <c r="DS31" i="2"/>
  <c r="CH31" i="2"/>
  <c r="CB31" i="2"/>
  <c r="BM31" i="2"/>
  <c r="BN31" i="2" s="1"/>
  <c r="BK31" i="2"/>
  <c r="AW31" i="2"/>
  <c r="L31" i="2"/>
  <c r="MD30" i="2"/>
  <c r="LH30" i="2"/>
  <c r="LK30" i="2" s="1"/>
  <c r="LL30" i="2" s="1"/>
  <c r="JY30" i="2"/>
  <c r="JK30" i="2"/>
  <c r="HZ30" i="2"/>
  <c r="GO30" i="2"/>
  <c r="FD30" i="2"/>
  <c r="DS30" i="2"/>
  <c r="CH30" i="2"/>
  <c r="AW30" i="2"/>
  <c r="L30" i="2"/>
  <c r="ML29" i="2"/>
  <c r="MK29" i="2"/>
  <c r="MJ29" i="2"/>
  <c r="MI29" i="2"/>
  <c r="MH29" i="2"/>
  <c r="MG29" i="2"/>
  <c r="MD29" i="2"/>
  <c r="MA29" i="2"/>
  <c r="LH29" i="2"/>
  <c r="LK29" i="2" s="1"/>
  <c r="LL29" i="2" s="1"/>
  <c r="JK29" i="2"/>
  <c r="HZ29" i="2"/>
  <c r="GO29" i="2"/>
  <c r="FD29" i="2"/>
  <c r="DS29" i="2"/>
  <c r="CH29" i="2"/>
  <c r="AW29" i="2"/>
  <c r="L29" i="2"/>
  <c r="ML28" i="2"/>
  <c r="MK28" i="2"/>
  <c r="MJ28" i="2"/>
  <c r="MI28" i="2"/>
  <c r="MH28" i="2"/>
  <c r="MG28" i="2"/>
  <c r="MD28" i="2"/>
  <c r="MA28" i="2"/>
  <c r="LH28" i="2"/>
  <c r="LK28" i="2" s="1"/>
  <c r="LL28" i="2" s="1"/>
  <c r="JK28" i="2"/>
  <c r="HZ28" i="2"/>
  <c r="GO28" i="2"/>
  <c r="FD28" i="2"/>
  <c r="DS28" i="2"/>
  <c r="CH28" i="2"/>
  <c r="AW28" i="2"/>
  <c r="L28" i="2"/>
  <c r="ML27" i="2"/>
  <c r="MD27" i="2"/>
  <c r="MA27" i="2"/>
  <c r="LH27" i="2"/>
  <c r="LK27" i="2" s="1"/>
  <c r="LL27" i="2" s="1"/>
  <c r="JK27" i="2"/>
  <c r="HZ27" i="2"/>
  <c r="GO27" i="2"/>
  <c r="FD27" i="2"/>
  <c r="DS27" i="2"/>
  <c r="CH27" i="2"/>
  <c r="AW27" i="2"/>
  <c r="L27" i="2"/>
  <c r="MD26" i="2"/>
  <c r="LH26" i="2"/>
  <c r="LK26" i="2" s="1"/>
  <c r="LL26" i="2" s="1"/>
  <c r="KW26" i="2"/>
  <c r="JK26" i="2"/>
  <c r="HZ26" i="2"/>
  <c r="GO26" i="2"/>
  <c r="FD26" i="2"/>
  <c r="EX26" i="2"/>
  <c r="EI26" i="2"/>
  <c r="EJ26" i="2" s="1"/>
  <c r="EG26" i="2"/>
  <c r="DS26" i="2"/>
  <c r="DM26" i="2"/>
  <c r="CH26" i="2"/>
  <c r="AW26" i="2"/>
  <c r="L26" i="2"/>
  <c r="MD25" i="2"/>
  <c r="MA25" i="2"/>
  <c r="LH25" i="2"/>
  <c r="LK25" i="2" s="1"/>
  <c r="LL25" i="2" s="1"/>
  <c r="LU25" i="2" s="1"/>
  <c r="JK25" i="2"/>
  <c r="HZ25" i="2"/>
  <c r="GO25" i="2"/>
  <c r="FD25" i="2"/>
  <c r="EX25" i="2"/>
  <c r="DS25" i="2"/>
  <c r="CH25" i="2"/>
  <c r="CB25" i="2"/>
  <c r="AW25" i="2"/>
  <c r="L25" i="2"/>
  <c r="MD24" i="2"/>
  <c r="LH24" i="2"/>
  <c r="LK24" i="2" s="1"/>
  <c r="LL24" i="2" s="1"/>
  <c r="JK24" i="2"/>
  <c r="HZ24" i="2"/>
  <c r="GO24" i="2"/>
  <c r="FD24" i="2"/>
  <c r="EX24" i="2"/>
  <c r="EG24" i="2"/>
  <c r="DS24" i="2"/>
  <c r="CH24" i="2"/>
  <c r="AW24" i="2"/>
  <c r="L24" i="2"/>
  <c r="MD23" i="2"/>
  <c r="MA23" i="2"/>
  <c r="LH23" i="2"/>
  <c r="LK23" i="2" s="1"/>
  <c r="LL23" i="2" s="1"/>
  <c r="JK23" i="2"/>
  <c r="HZ23" i="2"/>
  <c r="GO23" i="2"/>
  <c r="FD23" i="2"/>
  <c r="DS23" i="2"/>
  <c r="CH23" i="2"/>
  <c r="AW23" i="2"/>
  <c r="L23" i="2"/>
  <c r="ML22" i="2"/>
  <c r="MK22" i="2"/>
  <c r="MJ22" i="2"/>
  <c r="MI22" i="2"/>
  <c r="MH22" i="2"/>
  <c r="MG22" i="2"/>
  <c r="MD22" i="2"/>
  <c r="LH22" i="2"/>
  <c r="LK22" i="2" s="1"/>
  <c r="LL22" i="2" s="1"/>
  <c r="LM22" i="2" s="1"/>
  <c r="JK22" i="2"/>
  <c r="HZ22" i="2"/>
  <c r="GO22" i="2"/>
  <c r="FD22" i="2"/>
  <c r="DS22" i="2"/>
  <c r="CH22" i="2"/>
  <c r="AW22" i="2"/>
  <c r="AQ22" i="2"/>
  <c r="AB22" i="2"/>
  <c r="AC22" i="2" s="1"/>
  <c r="Z22" i="2"/>
  <c r="AA22" i="2" s="1"/>
  <c r="P22" i="2"/>
  <c r="M22" i="2"/>
  <c r="L22" i="2"/>
  <c r="ML21" i="2"/>
  <c r="MD21" i="2"/>
  <c r="LH21" i="2"/>
  <c r="LK21" i="2" s="1"/>
  <c r="LL21" i="2" s="1"/>
  <c r="KZ21" i="2"/>
  <c r="KU21" i="2"/>
  <c r="JK21" i="2"/>
  <c r="IN21" i="2"/>
  <c r="HZ21" i="2"/>
  <c r="GO21" i="2"/>
  <c r="FD21" i="2"/>
  <c r="DS21" i="2"/>
  <c r="CV21" i="2"/>
  <c r="CH21" i="2"/>
  <c r="CB21" i="2"/>
  <c r="BQ21" i="2"/>
  <c r="BR21" i="2" s="1"/>
  <c r="BO21" i="2"/>
  <c r="BP21" i="2" s="1"/>
  <c r="BM21" i="2"/>
  <c r="BN21" i="2" s="1"/>
  <c r="BK21" i="2"/>
  <c r="AW21" i="2"/>
  <c r="L21" i="2"/>
  <c r="ML20" i="2"/>
  <c r="MK20" i="2"/>
  <c r="MD20" i="2"/>
  <c r="MA20" i="2"/>
  <c r="LH20" i="2"/>
  <c r="LK20" i="2" s="1"/>
  <c r="LL20" i="2" s="1"/>
  <c r="JK20" i="2"/>
  <c r="HZ20" i="2"/>
  <c r="GO20" i="2"/>
  <c r="FD20" i="2"/>
  <c r="DS20" i="2"/>
  <c r="DM20" i="2"/>
  <c r="CH20" i="2"/>
  <c r="CB20" i="2"/>
  <c r="AW20" i="2"/>
  <c r="AQ20" i="2"/>
  <c r="L20" i="2"/>
  <c r="ML19" i="2"/>
  <c r="MK19" i="2"/>
  <c r="MD19" i="2"/>
  <c r="LH19" i="2"/>
  <c r="LK19" i="2" s="1"/>
  <c r="LL19" i="2" s="1"/>
  <c r="LU19" i="2" s="1"/>
  <c r="KU19" i="2"/>
  <c r="JK19" i="2"/>
  <c r="HZ19" i="2"/>
  <c r="GO19" i="2"/>
  <c r="FE19" i="2"/>
  <c r="FD19" i="2"/>
  <c r="DT19" i="2"/>
  <c r="DS19" i="2"/>
  <c r="CH19" i="2"/>
  <c r="CB19" i="2"/>
  <c r="BM19" i="2"/>
  <c r="BN19" i="2" s="1"/>
  <c r="BK19" i="2"/>
  <c r="BL19" i="2" s="1"/>
  <c r="BA19" i="2"/>
  <c r="AW19" i="2"/>
  <c r="M19" i="2"/>
  <c r="L19" i="2"/>
  <c r="ML18" i="2"/>
  <c r="MD18" i="2"/>
  <c r="LH18" i="2"/>
  <c r="LK18" i="2" s="1"/>
  <c r="LL18" i="2" s="1"/>
  <c r="KZ18" i="2"/>
  <c r="KY18" i="2"/>
  <c r="KV18" i="2"/>
  <c r="KU18" i="2"/>
  <c r="KT18" i="2"/>
  <c r="JK18" i="2"/>
  <c r="IN18" i="2"/>
  <c r="HZ18" i="2"/>
  <c r="HT18" i="2"/>
  <c r="HC18" i="2"/>
  <c r="GO18" i="2"/>
  <c r="GI18" i="2"/>
  <c r="FD18" i="2"/>
  <c r="EX18" i="2"/>
  <c r="DS18" i="2"/>
  <c r="CZ18" i="2"/>
  <c r="DA18" i="2" s="1"/>
  <c r="CX18" i="2"/>
  <c r="CY18" i="2" s="1"/>
  <c r="CV18" i="2"/>
  <c r="CW18" i="2" s="1"/>
  <c r="CL18" i="2"/>
  <c r="CH18" i="2"/>
  <c r="CB18" i="2"/>
  <c r="BK18" i="2"/>
  <c r="AW18" i="2"/>
  <c r="AQ18" i="2"/>
  <c r="L18" i="2"/>
  <c r="MD17" i="2"/>
  <c r="LH17" i="2"/>
  <c r="LK17" i="2" s="1"/>
  <c r="LL17" i="2" s="1"/>
  <c r="KP17" i="2"/>
  <c r="JK17" i="2"/>
  <c r="HZ17" i="2"/>
  <c r="HI17" i="2"/>
  <c r="HJ17" i="2" s="1"/>
  <c r="HG17" i="2"/>
  <c r="HH17" i="2" s="1"/>
  <c r="HC17" i="2"/>
  <c r="GO17" i="2"/>
  <c r="FD17" i="2"/>
  <c r="DS17" i="2"/>
  <c r="CH17" i="2"/>
  <c r="AW17" i="2"/>
  <c r="L17" i="2"/>
  <c r="I17" i="2"/>
  <c r="MD16" i="2"/>
  <c r="MA16" i="2"/>
  <c r="LH16" i="2"/>
  <c r="LK16" i="2" s="1"/>
  <c r="LL16" i="2" s="1"/>
  <c r="JK16" i="2"/>
  <c r="HZ16" i="2"/>
  <c r="HT16" i="2"/>
  <c r="GO16" i="2"/>
  <c r="FD16" i="2"/>
  <c r="DS16" i="2"/>
  <c r="CH16" i="2"/>
  <c r="AW16" i="2"/>
  <c r="L16" i="2"/>
  <c r="I16" i="2"/>
  <c r="MD15" i="2"/>
  <c r="MA15" i="2"/>
  <c r="LH15" i="2"/>
  <c r="LK15" i="2" s="1"/>
  <c r="LL15" i="2" s="1"/>
  <c r="JK15" i="2"/>
  <c r="HZ15" i="2"/>
  <c r="GO15" i="2"/>
  <c r="FD15" i="2"/>
  <c r="DS15" i="2"/>
  <c r="CH15" i="2"/>
  <c r="CB15" i="2"/>
  <c r="AW15" i="2"/>
  <c r="L15" i="2"/>
  <c r="I15" i="2"/>
  <c r="MD14" i="2"/>
  <c r="MA14" i="2"/>
  <c r="LH14" i="2"/>
  <c r="LK14" i="2" s="1"/>
  <c r="LL14" i="2" s="1"/>
  <c r="JK14" i="2"/>
  <c r="HZ14" i="2"/>
  <c r="GO14" i="2"/>
  <c r="FD14" i="2"/>
  <c r="DS14" i="2"/>
  <c r="CH14" i="2"/>
  <c r="AW14" i="2"/>
  <c r="L14" i="2"/>
  <c r="I14" i="2"/>
  <c r="MD13" i="2"/>
  <c r="MA13" i="2"/>
  <c r="LH13" i="2"/>
  <c r="LK13" i="2" s="1"/>
  <c r="LL13" i="2" s="1"/>
  <c r="JK13" i="2"/>
  <c r="HZ13" i="2"/>
  <c r="GO13" i="2"/>
  <c r="FD13" i="2"/>
  <c r="DS13" i="2"/>
  <c r="CH13" i="2"/>
  <c r="CB13" i="2"/>
  <c r="AW13" i="2"/>
  <c r="L13" i="2"/>
  <c r="I13" i="2"/>
  <c r="MD12" i="2"/>
  <c r="MA12" i="2"/>
  <c r="LH12" i="2"/>
  <c r="LK12" i="2" s="1"/>
  <c r="LL12" i="2" s="1"/>
  <c r="JK12" i="2"/>
  <c r="HZ12" i="2"/>
  <c r="GO12" i="2"/>
  <c r="FD12" i="2"/>
  <c r="DS12" i="2"/>
  <c r="CI12" i="2"/>
  <c r="CH12" i="2"/>
  <c r="AW12" i="2"/>
  <c r="L12" i="2"/>
  <c r="I12" i="2"/>
  <c r="ML11" i="2"/>
  <c r="MD11" i="2"/>
  <c r="MA11" i="2"/>
  <c r="LH11" i="2"/>
  <c r="LK11" i="2" s="1"/>
  <c r="LL11" i="2" s="1"/>
  <c r="JK11" i="2"/>
  <c r="HZ11" i="2"/>
  <c r="GO11" i="2"/>
  <c r="FD11" i="2"/>
  <c r="EX11" i="2"/>
  <c r="DS11" i="2"/>
  <c r="DM11" i="2"/>
  <c r="CH11" i="2"/>
  <c r="CB11" i="2"/>
  <c r="AW11" i="2"/>
  <c r="L11" i="2"/>
  <c r="ML10" i="2"/>
  <c r="MD10" i="2"/>
  <c r="MA10" i="2"/>
  <c r="LH10" i="2"/>
  <c r="LK10" i="2" s="1"/>
  <c r="LL10" i="2" s="1"/>
  <c r="JK10" i="2"/>
  <c r="HZ10" i="2"/>
  <c r="GO10" i="2"/>
  <c r="FD10" i="2"/>
  <c r="DT10" i="2"/>
  <c r="DS10" i="2"/>
  <c r="DM10" i="2"/>
  <c r="CH10" i="2"/>
  <c r="AW10" i="2"/>
  <c r="M10" i="2"/>
  <c r="L10" i="2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C61" i="23"/>
  <c r="C62" i="23"/>
  <c r="C63" i="23"/>
  <c r="C64" i="23"/>
  <c r="C65" i="23"/>
  <c r="C66" i="23"/>
  <c r="C67" i="23"/>
  <c r="C68" i="23"/>
  <c r="C69" i="23"/>
  <c r="C70" i="23"/>
  <c r="C71" i="23"/>
  <c r="C72" i="23"/>
  <c r="C73" i="23"/>
  <c r="C74" i="23"/>
  <c r="C75" i="23"/>
  <c r="C76" i="23"/>
  <c r="C77" i="23"/>
  <c r="C78" i="23"/>
  <c r="C79" i="23"/>
  <c r="C80" i="23"/>
  <c r="C81" i="23"/>
  <c r="C82" i="23"/>
  <c r="C83" i="23"/>
  <c r="C84" i="23"/>
  <c r="C85" i="23"/>
  <c r="C86" i="23"/>
  <c r="C87" i="23"/>
  <c r="C88" i="23"/>
  <c r="C89" i="23"/>
  <c r="C90" i="23"/>
  <c r="C91" i="23"/>
  <c r="C92" i="23"/>
  <c r="C93" i="23"/>
  <c r="C94" i="23"/>
  <c r="C95" i="23"/>
  <c r="C96" i="23"/>
  <c r="C97" i="23"/>
  <c r="C98" i="23"/>
  <c r="C99" i="23"/>
  <c r="C100" i="23"/>
  <c r="C101" i="23"/>
  <c r="C102" i="23"/>
  <c r="C103" i="23"/>
  <c r="C104" i="23"/>
  <c r="C105" i="23"/>
  <c r="C106" i="23"/>
  <c r="C107" i="23"/>
  <c r="C108" i="23"/>
  <c r="C109" i="23"/>
  <c r="C110" i="23"/>
  <c r="C111" i="23"/>
  <c r="C112" i="23"/>
  <c r="C113" i="23"/>
  <c r="C114" i="23"/>
  <c r="C115" i="23"/>
  <c r="C116" i="23"/>
  <c r="C117" i="23"/>
  <c r="C118" i="23"/>
  <c r="C119" i="23"/>
  <c r="C120" i="23"/>
  <c r="C121" i="23"/>
  <c r="C122" i="23"/>
  <c r="C123" i="23"/>
  <c r="C124" i="23"/>
  <c r="C125" i="23"/>
  <c r="C126" i="23"/>
  <c r="C127" i="23"/>
  <c r="C128" i="23"/>
  <c r="C129" i="23"/>
  <c r="C130" i="23"/>
  <c r="C131" i="23"/>
  <c r="C132" i="23"/>
  <c r="C133" i="23"/>
  <c r="C134" i="23"/>
  <c r="C135" i="23"/>
  <c r="C136" i="23"/>
  <c r="C137" i="23"/>
  <c r="C138" i="23"/>
  <c r="C139" i="23"/>
  <c r="C140" i="23"/>
  <c r="C141" i="23"/>
  <c r="C142" i="23"/>
  <c r="C143" i="23"/>
  <c r="C144" i="23"/>
  <c r="C145" i="23"/>
  <c r="C146" i="23"/>
  <c r="C147" i="23"/>
  <c r="C148" i="23"/>
  <c r="C149" i="23"/>
  <c r="C150" i="23"/>
  <c r="C151" i="23"/>
  <c r="C152" i="23"/>
  <c r="C153" i="23"/>
  <c r="C154" i="23"/>
  <c r="C155" i="23"/>
  <c r="C156" i="23"/>
  <c r="C157" i="23"/>
  <c r="C158" i="23"/>
  <c r="C159" i="23"/>
  <c r="C160" i="23"/>
  <c r="C161" i="23"/>
  <c r="C162" i="23"/>
  <c r="C163" i="23"/>
  <c r="C164" i="23"/>
  <c r="C165" i="23"/>
  <c r="C166" i="23"/>
  <c r="C167" i="23"/>
  <c r="C168" i="23"/>
  <c r="C169" i="23"/>
  <c r="C170" i="23"/>
  <c r="C171" i="23"/>
  <c r="C172" i="23"/>
  <c r="C173" i="23"/>
  <c r="C174" i="23"/>
  <c r="C175" i="23"/>
  <c r="C176" i="23"/>
  <c r="C177" i="23"/>
  <c r="C178" i="23"/>
  <c r="C179" i="23"/>
  <c r="C180" i="23"/>
  <c r="C181" i="23"/>
  <c r="C182" i="23"/>
  <c r="C183" i="23"/>
  <c r="C184" i="23"/>
  <c r="C185" i="23"/>
  <c r="C186" i="23"/>
  <c r="C187" i="23"/>
  <c r="C188" i="23"/>
  <c r="C189" i="23"/>
  <c r="C190" i="23"/>
  <c r="C191" i="23"/>
  <c r="C192" i="23"/>
  <c r="C193" i="23"/>
  <c r="C194" i="23"/>
  <c r="C195" i="23"/>
  <c r="C196" i="23"/>
  <c r="C197" i="23"/>
  <c r="C198" i="23"/>
  <c r="C199" i="23"/>
  <c r="C200" i="23"/>
  <c r="C201" i="23"/>
  <c r="C202" i="23"/>
  <c r="C203" i="23"/>
  <c r="C204" i="23"/>
  <c r="C205" i="23"/>
  <c r="C206" i="23"/>
  <c r="C207" i="23"/>
  <c r="C208" i="23"/>
  <c r="C209" i="23"/>
  <c r="C210" i="23"/>
  <c r="C211" i="23"/>
  <c r="C212" i="23"/>
  <c r="C213" i="23"/>
  <c r="C214" i="23"/>
  <c r="C215" i="23"/>
  <c r="C216" i="23"/>
  <c r="C217" i="23"/>
  <c r="C218" i="23"/>
  <c r="C219" i="23"/>
  <c r="C220" i="23"/>
  <c r="C221" i="23"/>
  <c r="C222" i="23"/>
  <c r="C223" i="23"/>
  <c r="C224" i="23"/>
  <c r="C225" i="23"/>
  <c r="C226" i="23"/>
  <c r="C227" i="23"/>
  <c r="C228" i="23"/>
  <c r="C229" i="23"/>
  <c r="C230" i="23"/>
  <c r="C231" i="23"/>
  <c r="C232" i="23"/>
  <c r="C233" i="23"/>
  <c r="C234" i="23"/>
  <c r="C235" i="23"/>
  <c r="C236" i="23"/>
  <c r="C238" i="23"/>
  <c r="C239" i="23"/>
  <c r="C240" i="23"/>
  <c r="C241" i="23"/>
  <c r="C242" i="23"/>
  <c r="C243" i="23"/>
  <c r="C244" i="23"/>
  <c r="C245" i="23"/>
  <c r="C246" i="23"/>
  <c r="C247" i="23"/>
  <c r="C248" i="23"/>
  <c r="C249" i="23"/>
  <c r="C250" i="23"/>
  <c r="C251" i="23"/>
  <c r="C252" i="23"/>
  <c r="C253" i="23"/>
  <c r="C254" i="23"/>
  <c r="C255" i="23"/>
  <c r="C256" i="23"/>
  <c r="C257" i="23"/>
  <c r="C258" i="23"/>
  <c r="C259" i="23"/>
  <c r="C260" i="23"/>
  <c r="C261" i="23"/>
  <c r="C262" i="23"/>
  <c r="C263" i="23"/>
  <c r="C264" i="23"/>
  <c r="C265" i="23"/>
  <c r="C266" i="23"/>
  <c r="C267" i="23"/>
  <c r="C268" i="23"/>
  <c r="C269" i="23"/>
  <c r="C270" i="23"/>
  <c r="C271" i="23"/>
  <c r="C272" i="23"/>
  <c r="C273" i="23"/>
  <c r="C274" i="23"/>
  <c r="C275" i="23"/>
  <c r="C276" i="23"/>
  <c r="C277" i="23"/>
  <c r="C278" i="23"/>
  <c r="C279" i="23"/>
  <c r="C280" i="23"/>
  <c r="C281" i="23"/>
  <c r="C282" i="23"/>
  <c r="C283" i="23"/>
  <c r="C284" i="23"/>
  <c r="C285" i="23"/>
  <c r="C286" i="23"/>
  <c r="C287" i="23"/>
  <c r="C288" i="23"/>
  <c r="C289" i="23"/>
  <c r="C290" i="23"/>
  <c r="C291" i="23"/>
  <c r="C292" i="23"/>
  <c r="C293" i="23"/>
  <c r="C294" i="23"/>
  <c r="C295" i="23"/>
  <c r="C296" i="23"/>
  <c r="C297" i="23"/>
  <c r="C298" i="23"/>
  <c r="C299" i="23"/>
  <c r="C300" i="23"/>
  <c r="C301" i="23"/>
  <c r="C302" i="23"/>
  <c r="C303" i="23"/>
  <c r="C304" i="23"/>
  <c r="C305" i="23"/>
  <c r="C306" i="23"/>
  <c r="C307" i="23"/>
  <c r="C308" i="23"/>
  <c r="C309" i="23"/>
  <c r="C310" i="23"/>
  <c r="C311" i="23"/>
  <c r="C312" i="23"/>
  <c r="C313" i="23"/>
  <c r="C314" i="23"/>
  <c r="C315" i="23"/>
  <c r="C316" i="23"/>
  <c r="C317" i="23"/>
  <c r="C318" i="23"/>
  <c r="C319" i="23"/>
  <c r="C439" i="23"/>
  <c r="C440" i="23"/>
  <c r="C441" i="23"/>
  <c r="C442" i="23"/>
  <c r="C443" i="23"/>
  <c r="C444" i="23"/>
  <c r="C445" i="23"/>
  <c r="C446" i="23"/>
  <c r="C447" i="23"/>
  <c r="C4" i="23"/>
  <c r="MA382" i="2" l="1"/>
  <c r="FU363" i="2"/>
  <c r="AG353" i="2"/>
  <c r="JG331" i="2"/>
  <c r="MK331" i="2" s="1"/>
  <c r="LQ90" i="2"/>
  <c r="CD90" i="2"/>
  <c r="JG361" i="2"/>
  <c r="MK361" i="2" s="1"/>
  <c r="LM402" i="2"/>
  <c r="LM380" i="2"/>
  <c r="HV380" i="2"/>
  <c r="HU380" i="2" s="1"/>
  <c r="LQ376" i="2"/>
  <c r="AS376" i="2"/>
  <c r="ME376" i="2" s="1"/>
  <c r="CD376" i="2"/>
  <c r="MF376" i="2" s="1"/>
  <c r="LO395" i="2"/>
  <c r="LQ395" i="2"/>
  <c r="HV395" i="2"/>
  <c r="DO391" i="2"/>
  <c r="MG391" i="2" s="1"/>
  <c r="LM391" i="2"/>
  <c r="EZ391" i="2"/>
  <c r="HV391" i="2"/>
  <c r="LQ353" i="2"/>
  <c r="HV353" i="2"/>
  <c r="LO353" i="2"/>
  <c r="GK353" i="2"/>
  <c r="LM353" i="2"/>
  <c r="EZ353" i="2"/>
  <c r="DO353" i="2"/>
  <c r="LU353" i="2"/>
  <c r="KR353" i="2"/>
  <c r="CD353" i="2"/>
  <c r="LS353" i="2"/>
  <c r="JG353" i="2"/>
  <c r="AS353" i="2"/>
  <c r="ME353" i="2" s="1"/>
  <c r="MM353" i="2" s="1" a="1"/>
  <c r="MM353" i="2" s="1"/>
  <c r="LS399" i="2"/>
  <c r="LU399" i="2"/>
  <c r="CD399" i="2"/>
  <c r="LO376" i="2"/>
  <c r="EZ382" i="2"/>
  <c r="MH382" i="2" s="1"/>
  <c r="KR376" i="2"/>
  <c r="LU380" i="2"/>
  <c r="HV359" i="2"/>
  <c r="MJ359" i="2" s="1"/>
  <c r="LU359" i="2"/>
  <c r="LU358" i="2"/>
  <c r="LS357" i="2"/>
  <c r="LU356" i="2"/>
  <c r="EZ356" i="2"/>
  <c r="MH356" i="2" s="1"/>
  <c r="MF356" i="2"/>
  <c r="LM351" i="2"/>
  <c r="HV351" i="2"/>
  <c r="MJ351" i="2" s="1"/>
  <c r="GK351" i="2"/>
  <c r="MI351" i="2" s="1"/>
  <c r="LO351" i="2"/>
  <c r="LQ351" i="2"/>
  <c r="LS351" i="2"/>
  <c r="LU351" i="2"/>
  <c r="CD331" i="2"/>
  <c r="MF331" i="2" s="1"/>
  <c r="DO331" i="2"/>
  <c r="MG331" i="2" s="1"/>
  <c r="EZ331" i="2"/>
  <c r="MH331" i="2" s="1"/>
  <c r="LS331" i="2"/>
  <c r="ML331" i="2"/>
  <c r="LQ319" i="2"/>
  <c r="HV319" i="2"/>
  <c r="HW319" i="2" s="1"/>
  <c r="GK319" i="2"/>
  <c r="GL319" i="2" s="1"/>
  <c r="EZ319" i="2"/>
  <c r="FA319" i="2" s="1"/>
  <c r="DO319" i="2"/>
  <c r="DN319" i="2" s="1"/>
  <c r="LU319" i="2"/>
  <c r="AS319" i="2"/>
  <c r="ME319" i="2" s="1"/>
  <c r="JG319" i="2"/>
  <c r="JH319" i="2" s="1"/>
  <c r="LO319" i="2"/>
  <c r="CD319" i="2"/>
  <c r="MF319" i="2" s="1"/>
  <c r="LS319" i="2"/>
  <c r="KR319" i="2"/>
  <c r="KS319" i="2" s="1"/>
  <c r="LM319" i="2"/>
  <c r="BL319" i="2"/>
  <c r="MA319" i="2"/>
  <c r="AS328" i="2"/>
  <c r="ME328" i="2" s="1"/>
  <c r="HV328" i="2"/>
  <c r="GK328" i="2"/>
  <c r="EZ328" i="2"/>
  <c r="DO330" i="2"/>
  <c r="CD330" i="2"/>
  <c r="DO333" i="2"/>
  <c r="DN333" i="2" s="1"/>
  <c r="LO333" i="2"/>
  <c r="LM333" i="2"/>
  <c r="CD333" i="2"/>
  <c r="MF333" i="2" s="1"/>
  <c r="GK333" i="2"/>
  <c r="GJ333" i="2" s="1"/>
  <c r="EZ333" i="2"/>
  <c r="EY333" i="2" s="1"/>
  <c r="KR333" i="2"/>
  <c r="KS333" i="2" s="1"/>
  <c r="LU333" i="2"/>
  <c r="DO334" i="2"/>
  <c r="LM334" i="2"/>
  <c r="HV334" i="2"/>
  <c r="MJ334" i="2" s="1"/>
  <c r="EZ334" i="2"/>
  <c r="MH334" i="2" s="1"/>
  <c r="DO337" i="2"/>
  <c r="MG337" i="2" s="1"/>
  <c r="LU337" i="2"/>
  <c r="KR337" i="2"/>
  <c r="JG337" i="2"/>
  <c r="HV337" i="2"/>
  <c r="MJ337" i="2" s="1"/>
  <c r="LS337" i="2"/>
  <c r="GK337" i="2"/>
  <c r="MI337" i="2" s="1"/>
  <c r="EZ337" i="2"/>
  <c r="CD337" i="2"/>
  <c r="MF337" i="2" s="1"/>
  <c r="LQ337" i="2"/>
  <c r="AS337" i="2"/>
  <c r="ME337" i="2" s="1"/>
  <c r="LO337" i="2"/>
  <c r="LM337" i="2"/>
  <c r="LM339" i="2"/>
  <c r="KR339" i="2"/>
  <c r="KS339" i="2" s="1"/>
  <c r="JG339" i="2"/>
  <c r="CD339" i="2"/>
  <c r="AS339" i="2"/>
  <c r="ME339" i="2" s="1"/>
  <c r="LU339" i="2"/>
  <c r="HV339" i="2"/>
  <c r="GK339" i="2"/>
  <c r="GL339" i="2" s="1"/>
  <c r="LS339" i="2"/>
  <c r="LQ339" i="2"/>
  <c r="LO339" i="2"/>
  <c r="DO345" i="2"/>
  <c r="LM345" i="2"/>
  <c r="CD345" i="2"/>
  <c r="GK345" i="2"/>
  <c r="EZ345" i="2"/>
  <c r="KR345" i="2"/>
  <c r="KS345" i="2" s="1"/>
  <c r="LU345" i="2"/>
  <c r="LO345" i="2"/>
  <c r="DO346" i="2"/>
  <c r="MG346" i="2" s="1"/>
  <c r="LM346" i="2"/>
  <c r="EZ346" i="2"/>
  <c r="DO349" i="2"/>
  <c r="MG349" i="2" s="1"/>
  <c r="JG349" i="2"/>
  <c r="HV349" i="2"/>
  <c r="MJ349" i="2" s="1"/>
  <c r="GK349" i="2"/>
  <c r="MI349" i="2" s="1"/>
  <c r="EZ349" i="2"/>
  <c r="CD349" i="2"/>
  <c r="MF349" i="2" s="1"/>
  <c r="AS349" i="2"/>
  <c r="ME349" i="2" s="1"/>
  <c r="LS349" i="2"/>
  <c r="LQ349" i="2"/>
  <c r="LO349" i="2"/>
  <c r="LM349" i="2"/>
  <c r="LQ352" i="2"/>
  <c r="LS352" i="2"/>
  <c r="LM352" i="2"/>
  <c r="EZ352" i="2"/>
  <c r="DO352" i="2"/>
  <c r="MG352" i="2" s="1"/>
  <c r="JG352" i="2"/>
  <c r="MK352" i="2" s="1"/>
  <c r="AS352" i="2"/>
  <c r="ME352" i="2" s="1"/>
  <c r="DO354" i="2"/>
  <c r="HV354" i="2"/>
  <c r="KS355" i="2"/>
  <c r="KQ355" i="2"/>
  <c r="LS355" i="2"/>
  <c r="GK355" i="2"/>
  <c r="MI355" i="2" s="1"/>
  <c r="EZ355" i="2"/>
  <c r="DO355" i="2"/>
  <c r="CD355" i="2"/>
  <c r="AS355" i="2"/>
  <c r="ME355" i="2" s="1"/>
  <c r="LQ355" i="2"/>
  <c r="LO355" i="2"/>
  <c r="LM355" i="2"/>
  <c r="LU355" i="2"/>
  <c r="JG355" i="2"/>
  <c r="HV355" i="2"/>
  <c r="MJ355" i="2" s="1"/>
  <c r="DO356" i="2"/>
  <c r="MG356" i="2" s="1"/>
  <c r="LS356" i="2"/>
  <c r="LO356" i="2"/>
  <c r="LM356" i="2"/>
  <c r="KR356" i="2"/>
  <c r="ML356" i="2" s="1"/>
  <c r="JG356" i="2"/>
  <c r="GK356" i="2"/>
  <c r="MI356" i="2" s="1"/>
  <c r="AS356" i="2"/>
  <c r="ME356" i="2" s="1"/>
  <c r="LO383" i="2"/>
  <c r="LQ383" i="2"/>
  <c r="HV383" i="2"/>
  <c r="MJ383" i="2" s="1"/>
  <c r="LS384" i="2"/>
  <c r="LM384" i="2"/>
  <c r="KR384" i="2"/>
  <c r="HV384" i="2"/>
  <c r="MJ384" i="2" s="1"/>
  <c r="CD384" i="2"/>
  <c r="GK384" i="2"/>
  <c r="EZ384" i="2"/>
  <c r="LU384" i="2"/>
  <c r="LQ384" i="2"/>
  <c r="LO384" i="2"/>
  <c r="LS387" i="2"/>
  <c r="LU387" i="2"/>
  <c r="CD387" i="2"/>
  <c r="KR387" i="2"/>
  <c r="LO393" i="2"/>
  <c r="GK393" i="2"/>
  <c r="CD401" i="2"/>
  <c r="MF401" i="2" s="1"/>
  <c r="LO401" i="2"/>
  <c r="JG401" i="2"/>
  <c r="JH401" i="2" s="1"/>
  <c r="LO368" i="2"/>
  <c r="AS351" i="2"/>
  <c r="ME351" i="2" s="1"/>
  <c r="CD351" i="2"/>
  <c r="JG351" i="2"/>
  <c r="MK351" i="2" s="1"/>
  <c r="KR351" i="2"/>
  <c r="LQ402" i="2"/>
  <c r="LS368" i="2"/>
  <c r="DO376" i="2"/>
  <c r="MG376" i="2" s="1"/>
  <c r="EZ376" i="2"/>
  <c r="GK376" i="2"/>
  <c r="LM382" i="2"/>
  <c r="KR358" i="2"/>
  <c r="KR359" i="2"/>
  <c r="LU368" i="2"/>
  <c r="CD380" i="2"/>
  <c r="MF380" i="2" s="1"/>
  <c r="DO380" i="2"/>
  <c r="EZ380" i="2"/>
  <c r="KR399" i="2"/>
  <c r="GK357" i="2"/>
  <c r="LO357" i="2"/>
  <c r="AS368" i="2"/>
  <c r="ME368" i="2" s="1"/>
  <c r="GK368" i="2"/>
  <c r="MI368" i="2" s="1"/>
  <c r="JG368" i="2"/>
  <c r="MK368" i="2" s="1"/>
  <c r="AS402" i="2"/>
  <c r="ME402" i="2" s="1"/>
  <c r="MM402" i="2" s="1" a="1"/>
  <c r="DO402" i="2"/>
  <c r="DP402" i="2" s="1"/>
  <c r="EZ402" i="2"/>
  <c r="EY402" i="2" s="1"/>
  <c r="CD359" i="2"/>
  <c r="CD368" i="2"/>
  <c r="MF368" i="2" s="1"/>
  <c r="KR368" i="2"/>
  <c r="ML368" i="2" s="1"/>
  <c r="LQ391" i="2"/>
  <c r="GK402" i="2"/>
  <c r="HV402" i="2"/>
  <c r="HW402" i="2" s="1"/>
  <c r="JG402" i="2"/>
  <c r="JF402" i="2" s="1"/>
  <c r="KR402" i="2"/>
  <c r="CD357" i="2"/>
  <c r="CD358" i="2"/>
  <c r="EZ320" i="2"/>
  <c r="FA320" i="2" s="1"/>
  <c r="GK320" i="2"/>
  <c r="GL320" i="2" s="1"/>
  <c r="JG320" i="2"/>
  <c r="JH320" i="2" s="1"/>
  <c r="AS320" i="2"/>
  <c r="ME320" i="2" s="1"/>
  <c r="LS320" i="2"/>
  <c r="LU320" i="2"/>
  <c r="KR320" i="2"/>
  <c r="CD320" i="2"/>
  <c r="LM320" i="2"/>
  <c r="LO320" i="2"/>
  <c r="DO314" i="2"/>
  <c r="MG314" i="2" s="1"/>
  <c r="HV314" i="2"/>
  <c r="MJ314" i="2" s="1"/>
  <c r="GK314" i="2"/>
  <c r="MI314" i="2" s="1"/>
  <c r="EZ314" i="2"/>
  <c r="MH314" i="2" s="1"/>
  <c r="AS314" i="2"/>
  <c r="ME314" i="2" s="1"/>
  <c r="JG314" i="2"/>
  <c r="MK314" i="2" s="1"/>
  <c r="LS314" i="2"/>
  <c r="LU314" i="2"/>
  <c r="KR314" i="2"/>
  <c r="ML314" i="2" s="1"/>
  <c r="CD314" i="2"/>
  <c r="LM314" i="2"/>
  <c r="LO314" i="2"/>
  <c r="LQ314" i="2"/>
  <c r="EZ313" i="2"/>
  <c r="MH313" i="2" s="1"/>
  <c r="JG313" i="2"/>
  <c r="MK313" i="2" s="1"/>
  <c r="LM313" i="2"/>
  <c r="AS313" i="2"/>
  <c r="ME313" i="2" s="1"/>
  <c r="LS313" i="2"/>
  <c r="JG307" i="2"/>
  <c r="MK307" i="2" s="1"/>
  <c r="EZ307" i="2"/>
  <c r="MH307" i="2" s="1"/>
  <c r="AS307" i="2"/>
  <c r="ME307" i="2" s="1"/>
  <c r="CD307" i="2"/>
  <c r="MF307" i="2" s="1"/>
  <c r="LO307" i="2"/>
  <c r="LS307" i="2"/>
  <c r="LU307" i="2"/>
  <c r="KR307" i="2"/>
  <c r="ML307" i="2" s="1"/>
  <c r="GK307" i="2"/>
  <c r="MI307" i="2" s="1"/>
  <c r="LM307" i="2"/>
  <c r="DO305" i="2"/>
  <c r="MG305" i="2" s="1"/>
  <c r="LM305" i="2"/>
  <c r="LQ305" i="2"/>
  <c r="CD303" i="2"/>
  <c r="MF303" i="2" s="1"/>
  <c r="DO303" i="2"/>
  <c r="MG303" i="2" s="1"/>
  <c r="LQ303" i="2"/>
  <c r="LU303" i="2"/>
  <c r="KR303" i="2"/>
  <c r="KS303" i="2" s="1"/>
  <c r="GK303" i="2"/>
  <c r="MI303" i="2" s="1"/>
  <c r="AS302" i="2"/>
  <c r="ME302" i="2" s="1"/>
  <c r="CD302" i="2"/>
  <c r="MF302" i="2" s="1"/>
  <c r="DO302" i="2"/>
  <c r="MG302" i="2" s="1"/>
  <c r="EZ302" i="2"/>
  <c r="MH302" i="2" s="1"/>
  <c r="GK302" i="2"/>
  <c r="MI302" i="2" s="1"/>
  <c r="HV302" i="2"/>
  <c r="MJ302" i="2" s="1"/>
  <c r="JG302" i="2"/>
  <c r="MK302" i="2" s="1"/>
  <c r="LQ302" i="2"/>
  <c r="LO302" i="2"/>
  <c r="LS302" i="2"/>
  <c r="LU302" i="2"/>
  <c r="KR302" i="2"/>
  <c r="ML302" i="2" s="1"/>
  <c r="AS301" i="2"/>
  <c r="ME301" i="2" s="1"/>
  <c r="CD301" i="2"/>
  <c r="MF301" i="2" s="1"/>
  <c r="EZ301" i="2"/>
  <c r="GK301" i="2"/>
  <c r="MI301" i="2" s="1"/>
  <c r="LM301" i="2"/>
  <c r="LO301" i="2"/>
  <c r="LS301" i="2"/>
  <c r="LU301" i="2"/>
  <c r="JG301" i="2"/>
  <c r="ML301" i="2"/>
  <c r="LS299" i="2"/>
  <c r="DO299" i="2"/>
  <c r="EZ297" i="2"/>
  <c r="GK297" i="2"/>
  <c r="MI297" i="2" s="1"/>
  <c r="KR297" i="2"/>
  <c r="ML297" i="2" s="1"/>
  <c r="LU297" i="2"/>
  <c r="CD297" i="2"/>
  <c r="MF297" i="2" s="1"/>
  <c r="LO297" i="2"/>
  <c r="DO296" i="2"/>
  <c r="LQ298" i="2"/>
  <c r="HV298" i="2"/>
  <c r="LO298" i="2"/>
  <c r="GK298" i="2"/>
  <c r="LM298" i="2"/>
  <c r="EZ298" i="2"/>
  <c r="MH298" i="2" s="1"/>
  <c r="DO298" i="2"/>
  <c r="MG298" i="2" s="1"/>
  <c r="LU298" i="2"/>
  <c r="KR298" i="2"/>
  <c r="CD298" i="2"/>
  <c r="MF298" i="2" s="1"/>
  <c r="LS298" i="2"/>
  <c r="JG298" i="2"/>
  <c r="AS298" i="2"/>
  <c r="ME298" i="2" s="1"/>
  <c r="LM295" i="2"/>
  <c r="EZ295" i="2"/>
  <c r="MH295" i="2" s="1"/>
  <c r="DO295" i="2"/>
  <c r="MG295" i="2" s="1"/>
  <c r="LU295" i="2"/>
  <c r="KR295" i="2"/>
  <c r="ML295" i="2" s="1"/>
  <c r="CD295" i="2"/>
  <c r="MF295" i="2" s="1"/>
  <c r="LS295" i="2"/>
  <c r="JG295" i="2"/>
  <c r="MK295" i="2" s="1"/>
  <c r="AS295" i="2"/>
  <c r="ME295" i="2" s="1"/>
  <c r="LQ295" i="2"/>
  <c r="HV295" i="2"/>
  <c r="MJ295" i="2" s="1"/>
  <c r="LO295" i="2"/>
  <c r="GK295" i="2"/>
  <c r="MI295" i="2" s="1"/>
  <c r="HV297" i="2"/>
  <c r="MJ297" i="2" s="1"/>
  <c r="LQ297" i="2"/>
  <c r="AS299" i="2"/>
  <c r="ME299" i="2" s="1"/>
  <c r="LU299" i="2"/>
  <c r="GK294" i="2"/>
  <c r="LO294" i="2"/>
  <c r="HV296" i="2"/>
  <c r="MJ296" i="2" s="1"/>
  <c r="LQ296" i="2"/>
  <c r="KR299" i="2"/>
  <c r="ML299" i="2" s="1"/>
  <c r="EZ300" i="2"/>
  <c r="MH300" i="2" s="1"/>
  <c r="LO300" i="2"/>
  <c r="EZ305" i="2"/>
  <c r="MH305" i="2" s="1"/>
  <c r="LO306" i="2"/>
  <c r="GK306" i="2"/>
  <c r="MI306" i="2" s="1"/>
  <c r="LM306" i="2"/>
  <c r="EZ306" i="2"/>
  <c r="MH306" i="2" s="1"/>
  <c r="DO306" i="2"/>
  <c r="MG306" i="2" s="1"/>
  <c r="LU306" i="2"/>
  <c r="KR306" i="2"/>
  <c r="CD306" i="2"/>
  <c r="MF306" i="2" s="1"/>
  <c r="LS306" i="2"/>
  <c r="JG306" i="2"/>
  <c r="AS306" i="2"/>
  <c r="ME306" i="2" s="1"/>
  <c r="LQ306" i="2"/>
  <c r="HV306" i="2"/>
  <c r="AS297" i="2"/>
  <c r="ME297" i="2" s="1"/>
  <c r="JG297" i="2"/>
  <c r="MK297" i="2" s="1"/>
  <c r="LS297" i="2"/>
  <c r="LQ322" i="2"/>
  <c r="HV322" i="2"/>
  <c r="LO322" i="2"/>
  <c r="GK322" i="2"/>
  <c r="LM322" i="2"/>
  <c r="EZ322" i="2"/>
  <c r="DO322" i="2"/>
  <c r="MG322" i="2" s="1"/>
  <c r="LU322" i="2"/>
  <c r="KR322" i="2"/>
  <c r="CD322" i="2"/>
  <c r="MF322" i="2" s="1"/>
  <c r="LS322" i="2"/>
  <c r="JG322" i="2"/>
  <c r="AS322" i="2"/>
  <c r="ME322" i="2" s="1"/>
  <c r="HV294" i="2"/>
  <c r="LQ294" i="2"/>
  <c r="AS296" i="2"/>
  <c r="ME296" i="2" s="1"/>
  <c r="JG296" i="2"/>
  <c r="MK296" i="2" s="1"/>
  <c r="LS296" i="2"/>
  <c r="GK300" i="2"/>
  <c r="MI300" i="2" s="1"/>
  <c r="HV300" i="2"/>
  <c r="MJ300" i="2" s="1"/>
  <c r="LQ300" i="2"/>
  <c r="LU305" i="2"/>
  <c r="KR305" i="2"/>
  <c r="ML305" i="2" s="1"/>
  <c r="CD305" i="2"/>
  <c r="MF305" i="2" s="1"/>
  <c r="LS305" i="2"/>
  <c r="JG305" i="2"/>
  <c r="MK305" i="2" s="1"/>
  <c r="AS305" i="2"/>
  <c r="LO305" i="2"/>
  <c r="GK305" i="2"/>
  <c r="MI305" i="2" s="1"/>
  <c r="LQ309" i="2"/>
  <c r="HV309" i="2"/>
  <c r="MJ309" i="2" s="1"/>
  <c r="LO309" i="2"/>
  <c r="GK309" i="2"/>
  <c r="MI309" i="2" s="1"/>
  <c r="LM309" i="2"/>
  <c r="EZ309" i="2"/>
  <c r="MH309" i="2" s="1"/>
  <c r="DO309" i="2"/>
  <c r="MG309" i="2" s="1"/>
  <c r="LU309" i="2"/>
  <c r="KR309" i="2"/>
  <c r="ML309" i="2" s="1"/>
  <c r="CD309" i="2"/>
  <c r="MF309" i="2" s="1"/>
  <c r="LS309" i="2"/>
  <c r="JG309" i="2"/>
  <c r="MK309" i="2" s="1"/>
  <c r="AS309" i="2"/>
  <c r="LO329" i="2"/>
  <c r="GK329" i="2"/>
  <c r="LM329" i="2"/>
  <c r="DO329" i="2"/>
  <c r="MG329" i="2" s="1"/>
  <c r="CD329" i="2"/>
  <c r="MF329" i="2" s="1"/>
  <c r="AS329" i="2"/>
  <c r="ME329" i="2" s="1"/>
  <c r="KR329" i="2"/>
  <c r="LU329" i="2"/>
  <c r="JG329" i="2"/>
  <c r="LS329" i="2"/>
  <c r="HV329" i="2"/>
  <c r="LQ329" i="2"/>
  <c r="EZ329" i="2"/>
  <c r="LO299" i="2"/>
  <c r="GK299" i="2"/>
  <c r="MI299" i="2" s="1"/>
  <c r="LM304" i="2"/>
  <c r="EZ304" i="2"/>
  <c r="MH304" i="2" s="1"/>
  <c r="LU304" i="2"/>
  <c r="KR304" i="2"/>
  <c r="ML304" i="2" s="1"/>
  <c r="CD304" i="2"/>
  <c r="MF304" i="2" s="1"/>
  <c r="LS304" i="2"/>
  <c r="JG304" i="2"/>
  <c r="MK304" i="2" s="1"/>
  <c r="AS304" i="2"/>
  <c r="ME304" i="2" s="1"/>
  <c r="LM317" i="2"/>
  <c r="EZ317" i="2"/>
  <c r="MH317" i="2" s="1"/>
  <c r="DO317" i="2"/>
  <c r="MG317" i="2" s="1"/>
  <c r="LU317" i="2"/>
  <c r="KR317" i="2"/>
  <c r="ML317" i="2" s="1"/>
  <c r="CD317" i="2"/>
  <c r="MF317" i="2" s="1"/>
  <c r="LS317" i="2"/>
  <c r="JG317" i="2"/>
  <c r="MK317" i="2" s="1"/>
  <c r="AS317" i="2"/>
  <c r="ME317" i="2" s="1"/>
  <c r="LQ317" i="2"/>
  <c r="HV317" i="2"/>
  <c r="MJ317" i="2" s="1"/>
  <c r="LO317" i="2"/>
  <c r="GK317" i="2"/>
  <c r="MI317" i="2" s="1"/>
  <c r="AS294" i="2"/>
  <c r="ME294" i="2" s="1"/>
  <c r="JG294" i="2"/>
  <c r="LS294" i="2"/>
  <c r="CD296" i="2"/>
  <c r="MF296" i="2" s="1"/>
  <c r="KR296" i="2"/>
  <c r="LU296" i="2"/>
  <c r="LM299" i="2"/>
  <c r="JG300" i="2"/>
  <c r="MK300" i="2" s="1"/>
  <c r="LS300" i="2"/>
  <c r="DO297" i="2"/>
  <c r="MG297" i="2" s="1"/>
  <c r="EZ299" i="2"/>
  <c r="MH299" i="2" s="1"/>
  <c r="LQ301" i="2"/>
  <c r="HV301" i="2"/>
  <c r="MJ301" i="2" s="1"/>
  <c r="DO301" i="2"/>
  <c r="MG301" i="2" s="1"/>
  <c r="LO304" i="2"/>
  <c r="DP320" i="2"/>
  <c r="DN320" i="2"/>
  <c r="LQ321" i="2"/>
  <c r="HV321" i="2"/>
  <c r="LO321" i="2"/>
  <c r="GK321" i="2"/>
  <c r="LM321" i="2"/>
  <c r="EZ321" i="2"/>
  <c r="DO321" i="2"/>
  <c r="LU321" i="2"/>
  <c r="KR321" i="2"/>
  <c r="CD321" i="2"/>
  <c r="MF321" i="2" s="1"/>
  <c r="LS321" i="2"/>
  <c r="JG321" i="2"/>
  <c r="AS321" i="2"/>
  <c r="ME321" i="2" s="1"/>
  <c r="MM321" i="2" s="1" a="1"/>
  <c r="LS324" i="2"/>
  <c r="JG324" i="2"/>
  <c r="AS324" i="2"/>
  <c r="ME324" i="2" s="1"/>
  <c r="LQ324" i="2"/>
  <c r="HV324" i="2"/>
  <c r="LO324" i="2"/>
  <c r="GK324" i="2"/>
  <c r="LM324" i="2"/>
  <c r="EZ324" i="2"/>
  <c r="MH324" i="2" s="1"/>
  <c r="DO324" i="2"/>
  <c r="MG324" i="2" s="1"/>
  <c r="LU324" i="2"/>
  <c r="KR324" i="2"/>
  <c r="CD324" i="2"/>
  <c r="MF324" i="2" s="1"/>
  <c r="CD294" i="2"/>
  <c r="MF294" i="2" s="1"/>
  <c r="MM294" i="2" s="1" a="1"/>
  <c r="KR294" i="2"/>
  <c r="LU294" i="2"/>
  <c r="AS300" i="2"/>
  <c r="ME300" i="2" s="1"/>
  <c r="KR300" i="2"/>
  <c r="ML300" i="2" s="1"/>
  <c r="LU300" i="2"/>
  <c r="LQ308" i="2"/>
  <c r="HV308" i="2"/>
  <c r="MJ308" i="2" s="1"/>
  <c r="LO308" i="2"/>
  <c r="GK308" i="2"/>
  <c r="MI308" i="2" s="1"/>
  <c r="LM308" i="2"/>
  <c r="EZ308" i="2"/>
  <c r="MH308" i="2" s="1"/>
  <c r="DO308" i="2"/>
  <c r="MG308" i="2" s="1"/>
  <c r="LU308" i="2"/>
  <c r="KR308" i="2"/>
  <c r="ML308" i="2" s="1"/>
  <c r="CD308" i="2"/>
  <c r="MF308" i="2" s="1"/>
  <c r="LS308" i="2"/>
  <c r="JG308" i="2"/>
  <c r="MK308" i="2" s="1"/>
  <c r="AS308" i="2"/>
  <c r="ME308" i="2" s="1"/>
  <c r="LS311" i="2"/>
  <c r="JG311" i="2"/>
  <c r="MK311" i="2" s="1"/>
  <c r="AS311" i="2"/>
  <c r="ME311" i="2" s="1"/>
  <c r="LQ311" i="2"/>
  <c r="HV311" i="2"/>
  <c r="MJ311" i="2" s="1"/>
  <c r="LO311" i="2"/>
  <c r="GK311" i="2"/>
  <c r="MI311" i="2" s="1"/>
  <c r="LM311" i="2"/>
  <c r="EZ311" i="2"/>
  <c r="MH311" i="2" s="1"/>
  <c r="DO311" i="2"/>
  <c r="MG311" i="2" s="1"/>
  <c r="LU311" i="2"/>
  <c r="KR311" i="2"/>
  <c r="ML311" i="2" s="1"/>
  <c r="CD311" i="2"/>
  <c r="MF311" i="2" s="1"/>
  <c r="LM327" i="2"/>
  <c r="EZ327" i="2"/>
  <c r="KR327" i="2"/>
  <c r="JG327" i="2"/>
  <c r="LU327" i="2"/>
  <c r="HV327" i="2"/>
  <c r="LS327" i="2"/>
  <c r="GK327" i="2"/>
  <c r="LQ327" i="2"/>
  <c r="LO327" i="2"/>
  <c r="DO327" i="2"/>
  <c r="MG327" i="2" s="1"/>
  <c r="CD327" i="2"/>
  <c r="MF327" i="2" s="1"/>
  <c r="AS327" i="2"/>
  <c r="ME327" i="2" s="1"/>
  <c r="LQ299" i="2"/>
  <c r="LQ304" i="2"/>
  <c r="DO294" i="2"/>
  <c r="EZ296" i="2"/>
  <c r="MH296" i="2" s="1"/>
  <c r="LM296" i="2"/>
  <c r="HV299" i="2"/>
  <c r="MJ299" i="2" s="1"/>
  <c r="CD300" i="2"/>
  <c r="MF300" i="2" s="1"/>
  <c r="LS303" i="2"/>
  <c r="JG303" i="2"/>
  <c r="MK303" i="2" s="1"/>
  <c r="AS303" i="2"/>
  <c r="ME303" i="2" s="1"/>
  <c r="LM303" i="2"/>
  <c r="EZ303" i="2"/>
  <c r="MH303" i="2" s="1"/>
  <c r="DO304" i="2"/>
  <c r="MG304" i="2" s="1"/>
  <c r="LS323" i="2"/>
  <c r="JG323" i="2"/>
  <c r="AS323" i="2"/>
  <c r="ME323" i="2" s="1"/>
  <c r="LQ323" i="2"/>
  <c r="HV323" i="2"/>
  <c r="LO323" i="2"/>
  <c r="GK323" i="2"/>
  <c r="MI323" i="2" s="1"/>
  <c r="LM323" i="2"/>
  <c r="EZ323" i="2"/>
  <c r="MH323" i="2" s="1"/>
  <c r="DO323" i="2"/>
  <c r="MG323" i="2" s="1"/>
  <c r="LU323" i="2"/>
  <c r="KR323" i="2"/>
  <c r="CD323" i="2"/>
  <c r="MF323" i="2" s="1"/>
  <c r="EZ294" i="2"/>
  <c r="GK296" i="2"/>
  <c r="MI296" i="2" s="1"/>
  <c r="JG299" i="2"/>
  <c r="MK299" i="2" s="1"/>
  <c r="DO300" i="2"/>
  <c r="MG300" i="2" s="1"/>
  <c r="LO303" i="2"/>
  <c r="GK304" i="2"/>
  <c r="MI304" i="2" s="1"/>
  <c r="LS310" i="2"/>
  <c r="JG310" i="2"/>
  <c r="AS310" i="2"/>
  <c r="ME310" i="2" s="1"/>
  <c r="LQ310" i="2"/>
  <c r="HV310" i="2"/>
  <c r="LO310" i="2"/>
  <c r="GK310" i="2"/>
  <c r="MI310" i="2" s="1"/>
  <c r="LM310" i="2"/>
  <c r="EZ310" i="2"/>
  <c r="MH310" i="2" s="1"/>
  <c r="DO310" i="2"/>
  <c r="MG310" i="2" s="1"/>
  <c r="LU310" i="2"/>
  <c r="KR310" i="2"/>
  <c r="CD310" i="2"/>
  <c r="MF310" i="2" s="1"/>
  <c r="DO315" i="2"/>
  <c r="MG315" i="2" s="1"/>
  <c r="LU315" i="2"/>
  <c r="KR315" i="2"/>
  <c r="CD315" i="2"/>
  <c r="MF315" i="2" s="1"/>
  <c r="LS315" i="2"/>
  <c r="JG315" i="2"/>
  <c r="AS315" i="2"/>
  <c r="ME315" i="2" s="1"/>
  <c r="LQ315" i="2"/>
  <c r="HV315" i="2"/>
  <c r="LO315" i="2"/>
  <c r="GK315" i="2"/>
  <c r="MI315" i="2" s="1"/>
  <c r="LM315" i="2"/>
  <c r="EZ315" i="2"/>
  <c r="MH315" i="2" s="1"/>
  <c r="KS326" i="2"/>
  <c r="KQ326" i="2"/>
  <c r="HV307" i="2"/>
  <c r="LQ307" i="2"/>
  <c r="DO313" i="2"/>
  <c r="MG313" i="2" s="1"/>
  <c r="HV320" i="2"/>
  <c r="LQ320" i="2"/>
  <c r="JG328" i="2"/>
  <c r="AS330" i="2"/>
  <c r="ME330" i="2" s="1"/>
  <c r="DO312" i="2"/>
  <c r="MG312" i="2" s="1"/>
  <c r="GK316" i="2"/>
  <c r="MI316" i="2" s="1"/>
  <c r="LO316" i="2"/>
  <c r="HV318" i="2"/>
  <c r="LQ318" i="2"/>
  <c r="JF320" i="2"/>
  <c r="DO325" i="2"/>
  <c r="MG325" i="2" s="1"/>
  <c r="GK326" i="2"/>
  <c r="LQ326" i="2"/>
  <c r="LU332" i="2"/>
  <c r="KR332" i="2"/>
  <c r="ML332" i="2" s="1"/>
  <c r="CD332" i="2"/>
  <c r="MF332" i="2" s="1"/>
  <c r="LS332" i="2"/>
  <c r="JG332" i="2"/>
  <c r="MK332" i="2" s="1"/>
  <c r="AS332" i="2"/>
  <c r="ME332" i="2" s="1"/>
  <c r="LQ332" i="2"/>
  <c r="HV332" i="2"/>
  <c r="MJ332" i="2" s="1"/>
  <c r="LM332" i="2"/>
  <c r="EZ332" i="2"/>
  <c r="MH332" i="2" s="1"/>
  <c r="EZ312" i="2"/>
  <c r="MH312" i="2" s="1"/>
  <c r="LM312" i="2"/>
  <c r="HV316" i="2"/>
  <c r="MJ316" i="2" s="1"/>
  <c r="LQ316" i="2"/>
  <c r="AS318" i="2"/>
  <c r="ME318" i="2" s="1"/>
  <c r="JG318" i="2"/>
  <c r="LS318" i="2"/>
  <c r="EZ325" i="2"/>
  <c r="MH325" i="2" s="1"/>
  <c r="LM325" i="2"/>
  <c r="HV326" i="2"/>
  <c r="LM330" i="2"/>
  <c r="LQ331" i="2"/>
  <c r="HV331" i="2"/>
  <c r="MJ331" i="2" s="1"/>
  <c r="LO332" i="2"/>
  <c r="LQ338" i="2"/>
  <c r="HV338" i="2"/>
  <c r="MJ338" i="2" s="1"/>
  <c r="LO338" i="2"/>
  <c r="GK338" i="2"/>
  <c r="MI338" i="2" s="1"/>
  <c r="LM338" i="2"/>
  <c r="EZ338" i="2"/>
  <c r="MH338" i="2" s="1"/>
  <c r="DO338" i="2"/>
  <c r="MG338" i="2" s="1"/>
  <c r="LU338" i="2"/>
  <c r="KR338" i="2"/>
  <c r="ML338" i="2" s="1"/>
  <c r="CD338" i="2"/>
  <c r="MF338" i="2" s="1"/>
  <c r="LS338" i="2"/>
  <c r="JG338" i="2"/>
  <c r="MK338" i="2" s="1"/>
  <c r="AS338" i="2"/>
  <c r="ME338" i="2" s="1"/>
  <c r="GK313" i="2"/>
  <c r="MI313" i="2" s="1"/>
  <c r="LO313" i="2"/>
  <c r="LU326" i="2"/>
  <c r="LU328" i="2"/>
  <c r="KR328" i="2"/>
  <c r="CD328" i="2"/>
  <c r="MF328" i="2" s="1"/>
  <c r="LM331" i="2"/>
  <c r="GK312" i="2"/>
  <c r="MI312" i="2" s="1"/>
  <c r="LO312" i="2"/>
  <c r="AS316" i="2"/>
  <c r="ME316" i="2" s="1"/>
  <c r="JG316" i="2"/>
  <c r="MK316" i="2" s="1"/>
  <c r="LS316" i="2"/>
  <c r="CD318" i="2"/>
  <c r="MF318" i="2" s="1"/>
  <c r="KR318" i="2"/>
  <c r="LU318" i="2"/>
  <c r="GK325" i="2"/>
  <c r="MI325" i="2" s="1"/>
  <c r="LO325" i="2"/>
  <c r="LM328" i="2"/>
  <c r="EZ330" i="2"/>
  <c r="MH330" i="2" s="1"/>
  <c r="LO330" i="2"/>
  <c r="LO335" i="2"/>
  <c r="GK335" i="2"/>
  <c r="MI335" i="2" s="1"/>
  <c r="LM335" i="2"/>
  <c r="EZ335" i="2"/>
  <c r="MH335" i="2" s="1"/>
  <c r="LU335" i="2"/>
  <c r="KR335" i="2"/>
  <c r="CD335" i="2"/>
  <c r="MF335" i="2" s="1"/>
  <c r="LS335" i="2"/>
  <c r="JG335" i="2"/>
  <c r="MK335" i="2" s="1"/>
  <c r="AS335" i="2"/>
  <c r="ME335" i="2" s="1"/>
  <c r="LQ335" i="2"/>
  <c r="HV335" i="2"/>
  <c r="MJ335" i="2" s="1"/>
  <c r="LU341" i="2"/>
  <c r="KR341" i="2"/>
  <c r="CD341" i="2"/>
  <c r="MF341" i="2" s="1"/>
  <c r="LS341" i="2"/>
  <c r="JG341" i="2"/>
  <c r="AS341" i="2"/>
  <c r="ME341" i="2" s="1"/>
  <c r="LQ341" i="2"/>
  <c r="HV341" i="2"/>
  <c r="LO341" i="2"/>
  <c r="GK341" i="2"/>
  <c r="LM341" i="2"/>
  <c r="EZ341" i="2"/>
  <c r="MH341" i="2" s="1"/>
  <c r="DO341" i="2"/>
  <c r="MG341" i="2" s="1"/>
  <c r="HV313" i="2"/>
  <c r="MJ313" i="2" s="1"/>
  <c r="LQ313" i="2"/>
  <c r="DO328" i="2"/>
  <c r="MG328" i="2" s="1"/>
  <c r="AS331" i="2"/>
  <c r="ME331" i="2" s="1"/>
  <c r="LO331" i="2"/>
  <c r="DO332" i="2"/>
  <c r="MG332" i="2" s="1"/>
  <c r="LO347" i="2"/>
  <c r="GK347" i="2"/>
  <c r="MI347" i="2" s="1"/>
  <c r="LM347" i="2"/>
  <c r="EZ347" i="2"/>
  <c r="MH347" i="2" s="1"/>
  <c r="DO347" i="2"/>
  <c r="MG347" i="2" s="1"/>
  <c r="LU347" i="2"/>
  <c r="KR347" i="2"/>
  <c r="CD347" i="2"/>
  <c r="MF347" i="2" s="1"/>
  <c r="LS347" i="2"/>
  <c r="JG347" i="2"/>
  <c r="MK347" i="2" s="1"/>
  <c r="AS347" i="2"/>
  <c r="ME347" i="2" s="1"/>
  <c r="LQ347" i="2"/>
  <c r="HV347" i="2"/>
  <c r="MJ347" i="2" s="1"/>
  <c r="KS357" i="2"/>
  <c r="KQ357" i="2"/>
  <c r="HV312" i="2"/>
  <c r="MJ312" i="2" s="1"/>
  <c r="LQ312" i="2"/>
  <c r="CD316" i="2"/>
  <c r="MF316" i="2" s="1"/>
  <c r="KR316" i="2"/>
  <c r="ML316" i="2" s="1"/>
  <c r="LU316" i="2"/>
  <c r="DO318" i="2"/>
  <c r="HV325" i="2"/>
  <c r="LQ325" i="2"/>
  <c r="LO328" i="2"/>
  <c r="GK330" i="2"/>
  <c r="MI330" i="2" s="1"/>
  <c r="HV330" i="2"/>
  <c r="MJ330" i="2" s="1"/>
  <c r="LQ330" i="2"/>
  <c r="LS326" i="2"/>
  <c r="JG326" i="2"/>
  <c r="AS326" i="2"/>
  <c r="ME326" i="2" s="1"/>
  <c r="AS312" i="2"/>
  <c r="ME312" i="2" s="1"/>
  <c r="JG312" i="2"/>
  <c r="MK312" i="2" s="1"/>
  <c r="LS312" i="2"/>
  <c r="DO316" i="2"/>
  <c r="MG316" i="2" s="1"/>
  <c r="EZ318" i="2"/>
  <c r="LM318" i="2"/>
  <c r="GJ320" i="2"/>
  <c r="AS325" i="2"/>
  <c r="ME325" i="2" s="1"/>
  <c r="JG325" i="2"/>
  <c r="LS325" i="2"/>
  <c r="CD326" i="2"/>
  <c r="MF326" i="2" s="1"/>
  <c r="LM326" i="2"/>
  <c r="LQ328" i="2"/>
  <c r="JG330" i="2"/>
  <c r="MK330" i="2" s="1"/>
  <c r="LS330" i="2"/>
  <c r="GK332" i="2"/>
  <c r="MI332" i="2" s="1"/>
  <c r="DP333" i="2"/>
  <c r="LS340" i="2"/>
  <c r="JG340" i="2"/>
  <c r="AS340" i="2"/>
  <c r="ME340" i="2" s="1"/>
  <c r="LQ340" i="2"/>
  <c r="HV340" i="2"/>
  <c r="LO340" i="2"/>
  <c r="GK340" i="2"/>
  <c r="MI340" i="2" s="1"/>
  <c r="LM340" i="2"/>
  <c r="EZ340" i="2"/>
  <c r="MH340" i="2" s="1"/>
  <c r="DO340" i="2"/>
  <c r="MG340" i="2" s="1"/>
  <c r="LU340" i="2"/>
  <c r="KR340" i="2"/>
  <c r="CD340" i="2"/>
  <c r="MF340" i="2" s="1"/>
  <c r="CD313" i="2"/>
  <c r="KR313" i="2"/>
  <c r="ML313" i="2" s="1"/>
  <c r="DO343" i="2"/>
  <c r="MG343" i="2" s="1"/>
  <c r="LU343" i="2"/>
  <c r="KR343" i="2"/>
  <c r="ML343" i="2" s="1"/>
  <c r="CD343" i="2"/>
  <c r="MF343" i="2" s="1"/>
  <c r="LS343" i="2"/>
  <c r="JG343" i="2"/>
  <c r="MK343" i="2" s="1"/>
  <c r="AS343" i="2"/>
  <c r="ME343" i="2" s="1"/>
  <c r="LQ343" i="2"/>
  <c r="HV343" i="2"/>
  <c r="MJ343" i="2" s="1"/>
  <c r="LO343" i="2"/>
  <c r="GK343" i="2"/>
  <c r="MI343" i="2" s="1"/>
  <c r="LM343" i="2"/>
  <c r="EZ343" i="2"/>
  <c r="MH343" i="2" s="1"/>
  <c r="CD312" i="2"/>
  <c r="MF312" i="2" s="1"/>
  <c r="KR312" i="2"/>
  <c r="ML312" i="2" s="1"/>
  <c r="EZ316" i="2"/>
  <c r="MH316" i="2" s="1"/>
  <c r="GK318" i="2"/>
  <c r="CD325" i="2"/>
  <c r="MF325" i="2" s="1"/>
  <c r="KR325" i="2"/>
  <c r="DO326" i="2"/>
  <c r="MG326" i="2" s="1"/>
  <c r="EZ326" i="2"/>
  <c r="MH326" i="2" s="1"/>
  <c r="LO326" i="2"/>
  <c r="LS328" i="2"/>
  <c r="KR330" i="2"/>
  <c r="ML330" i="2" s="1"/>
  <c r="LU330" i="2"/>
  <c r="GK331" i="2"/>
  <c r="MI331" i="2" s="1"/>
  <c r="LU331" i="2"/>
  <c r="LQ350" i="2"/>
  <c r="HV350" i="2"/>
  <c r="MJ350" i="2" s="1"/>
  <c r="LO350" i="2"/>
  <c r="GK350" i="2"/>
  <c r="MI350" i="2" s="1"/>
  <c r="LM350" i="2"/>
  <c r="EZ350" i="2"/>
  <c r="MH350" i="2" s="1"/>
  <c r="DO350" i="2"/>
  <c r="MG350" i="2" s="1"/>
  <c r="LU350" i="2"/>
  <c r="KR350" i="2"/>
  <c r="ML350" i="2" s="1"/>
  <c r="CD350" i="2"/>
  <c r="MF350" i="2" s="1"/>
  <c r="LS350" i="2"/>
  <c r="JG350" i="2"/>
  <c r="MK350" i="2" s="1"/>
  <c r="AS350" i="2"/>
  <c r="ME350" i="2" s="1"/>
  <c r="GK334" i="2"/>
  <c r="MI334" i="2" s="1"/>
  <c r="LO334" i="2"/>
  <c r="HV336" i="2"/>
  <c r="MJ336" i="2" s="1"/>
  <c r="LQ336" i="2"/>
  <c r="KQ339" i="2"/>
  <c r="DO342" i="2"/>
  <c r="MG342" i="2" s="1"/>
  <c r="EZ344" i="2"/>
  <c r="MH344" i="2" s="1"/>
  <c r="LM344" i="2"/>
  <c r="GK346" i="2"/>
  <c r="MI346" i="2" s="1"/>
  <c r="LO346" i="2"/>
  <c r="HV348" i="2"/>
  <c r="MJ348" i="2" s="1"/>
  <c r="LQ348" i="2"/>
  <c r="CD352" i="2"/>
  <c r="MF352" i="2" s="1"/>
  <c r="KR352" i="2"/>
  <c r="ML352" i="2" s="1"/>
  <c r="LU352" i="2"/>
  <c r="HV357" i="2"/>
  <c r="MJ357" i="2" s="1"/>
  <c r="JG357" i="2"/>
  <c r="MK357" i="2" s="1"/>
  <c r="LU357" i="2"/>
  <c r="LS361" i="2"/>
  <c r="LU354" i="2"/>
  <c r="KR354" i="2"/>
  <c r="ML354" i="2" s="1"/>
  <c r="LS377" i="2"/>
  <c r="JG377" i="2"/>
  <c r="AS377" i="2"/>
  <c r="ME377" i="2" s="1"/>
  <c r="LM377" i="2"/>
  <c r="EZ377" i="2"/>
  <c r="MH377" i="2" s="1"/>
  <c r="CD377" i="2"/>
  <c r="MF377" i="2" s="1"/>
  <c r="KR377" i="2"/>
  <c r="LU377" i="2"/>
  <c r="HV377" i="2"/>
  <c r="LQ377" i="2"/>
  <c r="GK377" i="2"/>
  <c r="LO377" i="2"/>
  <c r="DO377" i="2"/>
  <c r="MG377" i="2" s="1"/>
  <c r="LQ334" i="2"/>
  <c r="AS336" i="2"/>
  <c r="ME336" i="2" s="1"/>
  <c r="JG336" i="2"/>
  <c r="MK336" i="2" s="1"/>
  <c r="LS336" i="2"/>
  <c r="EZ342" i="2"/>
  <c r="MH342" i="2" s="1"/>
  <c r="LM342" i="2"/>
  <c r="GK344" i="2"/>
  <c r="MI344" i="2" s="1"/>
  <c r="LO344" i="2"/>
  <c r="HV346" i="2"/>
  <c r="MJ346" i="2" s="1"/>
  <c r="LQ346" i="2"/>
  <c r="AS348" i="2"/>
  <c r="ME348" i="2" s="1"/>
  <c r="JG348" i="2"/>
  <c r="MK348" i="2" s="1"/>
  <c r="LS348" i="2"/>
  <c r="LM354" i="2"/>
  <c r="LS364" i="2"/>
  <c r="JG364" i="2"/>
  <c r="MK364" i="2" s="1"/>
  <c r="AS364" i="2"/>
  <c r="ME364" i="2" s="1"/>
  <c r="LQ364" i="2"/>
  <c r="HV364" i="2"/>
  <c r="MJ364" i="2" s="1"/>
  <c r="LO364" i="2"/>
  <c r="GK364" i="2"/>
  <c r="MI364" i="2" s="1"/>
  <c r="LM364" i="2"/>
  <c r="EZ364" i="2"/>
  <c r="MH364" i="2" s="1"/>
  <c r="DO364" i="2"/>
  <c r="MG364" i="2" s="1"/>
  <c r="LU364" i="2"/>
  <c r="KR364" i="2"/>
  <c r="ML364" i="2" s="1"/>
  <c r="CD364" i="2"/>
  <c r="MF364" i="2" s="1"/>
  <c r="LM371" i="2"/>
  <c r="EZ371" i="2"/>
  <c r="MH371" i="2" s="1"/>
  <c r="DO371" i="2"/>
  <c r="MG371" i="2" s="1"/>
  <c r="LU371" i="2"/>
  <c r="KR371" i="2"/>
  <c r="CD371" i="2"/>
  <c r="MF371" i="2" s="1"/>
  <c r="LS371" i="2"/>
  <c r="JG371" i="2"/>
  <c r="MK371" i="2" s="1"/>
  <c r="AS371" i="2"/>
  <c r="ME371" i="2" s="1"/>
  <c r="LQ371" i="2"/>
  <c r="HV371" i="2"/>
  <c r="MJ371" i="2" s="1"/>
  <c r="LO371" i="2"/>
  <c r="GK371" i="2"/>
  <c r="MI371" i="2" s="1"/>
  <c r="HV333" i="2"/>
  <c r="LQ333" i="2"/>
  <c r="DO339" i="2"/>
  <c r="MG339" i="2" s="1"/>
  <c r="HV345" i="2"/>
  <c r="MJ345" i="2" s="1"/>
  <c r="LQ345" i="2"/>
  <c r="KR349" i="2"/>
  <c r="LU349" i="2"/>
  <c r="DO351" i="2"/>
  <c r="MG351" i="2" s="1"/>
  <c r="EZ354" i="2"/>
  <c r="MH354" i="2" s="1"/>
  <c r="LU367" i="2"/>
  <c r="KR367" i="2"/>
  <c r="ML367" i="2" s="1"/>
  <c r="CD367" i="2"/>
  <c r="MF367" i="2" s="1"/>
  <c r="LS367" i="2"/>
  <c r="JG367" i="2"/>
  <c r="MK367" i="2" s="1"/>
  <c r="AS367" i="2"/>
  <c r="ME367" i="2" s="1"/>
  <c r="LQ367" i="2"/>
  <c r="HV367" i="2"/>
  <c r="MJ367" i="2" s="1"/>
  <c r="LO367" i="2"/>
  <c r="GK367" i="2"/>
  <c r="MI367" i="2" s="1"/>
  <c r="LM367" i="2"/>
  <c r="EZ367" i="2"/>
  <c r="MH367" i="2" s="1"/>
  <c r="DO367" i="2"/>
  <c r="MG367" i="2" s="1"/>
  <c r="AS334" i="2"/>
  <c r="ME334" i="2" s="1"/>
  <c r="JG334" i="2"/>
  <c r="MK334" i="2" s="1"/>
  <c r="LS334" i="2"/>
  <c r="CD336" i="2"/>
  <c r="MF336" i="2" s="1"/>
  <c r="KR336" i="2"/>
  <c r="LU336" i="2"/>
  <c r="GK342" i="2"/>
  <c r="MI342" i="2" s="1"/>
  <c r="LO342" i="2"/>
  <c r="HV344" i="2"/>
  <c r="MJ344" i="2" s="1"/>
  <c r="LQ344" i="2"/>
  <c r="AS346" i="2"/>
  <c r="ME346" i="2" s="1"/>
  <c r="JG346" i="2"/>
  <c r="MK346" i="2" s="1"/>
  <c r="LS346" i="2"/>
  <c r="CD348" i="2"/>
  <c r="MF348" i="2" s="1"/>
  <c r="KR348" i="2"/>
  <c r="LU348" i="2"/>
  <c r="LO354" i="2"/>
  <c r="DO357" i="2"/>
  <c r="MG357" i="2" s="1"/>
  <c r="LM357" i="2"/>
  <c r="EZ357" i="2"/>
  <c r="MH357" i="2" s="1"/>
  <c r="AS333" i="2"/>
  <c r="ME333" i="2" s="1"/>
  <c r="MM333" i="2" s="1" a="1"/>
  <c r="JG333" i="2"/>
  <c r="LS333" i="2"/>
  <c r="EZ339" i="2"/>
  <c r="MH339" i="2" s="1"/>
  <c r="AS345" i="2"/>
  <c r="ME345" i="2" s="1"/>
  <c r="JG345" i="2"/>
  <c r="MK345" i="2" s="1"/>
  <c r="LS345" i="2"/>
  <c r="EZ351" i="2"/>
  <c r="MH351" i="2" s="1"/>
  <c r="GK354" i="2"/>
  <c r="MI354" i="2" s="1"/>
  <c r="LM359" i="2"/>
  <c r="EZ359" i="2"/>
  <c r="MH359" i="2" s="1"/>
  <c r="DO359" i="2"/>
  <c r="MG359" i="2" s="1"/>
  <c r="LS359" i="2"/>
  <c r="JG359" i="2"/>
  <c r="MK359" i="2" s="1"/>
  <c r="AS359" i="2"/>
  <c r="ME359" i="2" s="1"/>
  <c r="LO359" i="2"/>
  <c r="GK359" i="2"/>
  <c r="MI359" i="2" s="1"/>
  <c r="LU379" i="2"/>
  <c r="KR379" i="2"/>
  <c r="ML379" i="2" s="1"/>
  <c r="CD379" i="2"/>
  <c r="MF379" i="2" s="1"/>
  <c r="LO379" i="2"/>
  <c r="GK379" i="2"/>
  <c r="MI379" i="2" s="1"/>
  <c r="LQ379" i="2"/>
  <c r="EZ379" i="2"/>
  <c r="MH379" i="2" s="1"/>
  <c r="LM379" i="2"/>
  <c r="DO379" i="2"/>
  <c r="MG379" i="2" s="1"/>
  <c r="AS379" i="2"/>
  <c r="ME379" i="2" s="1"/>
  <c r="JG379" i="2"/>
  <c r="MK379" i="2" s="1"/>
  <c r="LS379" i="2"/>
  <c r="HV379" i="2"/>
  <c r="MJ379" i="2" s="1"/>
  <c r="CD334" i="2"/>
  <c r="MF334" i="2" s="1"/>
  <c r="KR334" i="2"/>
  <c r="LU334" i="2"/>
  <c r="DO336" i="2"/>
  <c r="MG336" i="2" s="1"/>
  <c r="GJ339" i="2"/>
  <c r="HV342" i="2"/>
  <c r="MJ342" i="2" s="1"/>
  <c r="LQ342" i="2"/>
  <c r="AS344" i="2"/>
  <c r="ME344" i="2" s="1"/>
  <c r="JG344" i="2"/>
  <c r="MK344" i="2" s="1"/>
  <c r="LS344" i="2"/>
  <c r="CD346" i="2"/>
  <c r="MF346" i="2" s="1"/>
  <c r="KR346" i="2"/>
  <c r="LU346" i="2"/>
  <c r="DO348" i="2"/>
  <c r="MG348" i="2" s="1"/>
  <c r="GK352" i="2"/>
  <c r="MI352" i="2" s="1"/>
  <c r="LO352" i="2"/>
  <c r="LQ354" i="2"/>
  <c r="LQ363" i="2"/>
  <c r="HV363" i="2"/>
  <c r="MJ363" i="2" s="1"/>
  <c r="LO363" i="2"/>
  <c r="GK363" i="2"/>
  <c r="MI363" i="2" s="1"/>
  <c r="LM363" i="2"/>
  <c r="EZ363" i="2"/>
  <c r="MH363" i="2" s="1"/>
  <c r="DO363" i="2"/>
  <c r="MG363" i="2" s="1"/>
  <c r="LU363" i="2"/>
  <c r="KR363" i="2"/>
  <c r="ML363" i="2" s="1"/>
  <c r="CD363" i="2"/>
  <c r="MF363" i="2" s="1"/>
  <c r="LS363" i="2"/>
  <c r="JG363" i="2"/>
  <c r="MK363" i="2" s="1"/>
  <c r="AS363" i="2"/>
  <c r="ME363" i="2" s="1"/>
  <c r="LM370" i="2"/>
  <c r="EZ370" i="2"/>
  <c r="MH370" i="2" s="1"/>
  <c r="DO370" i="2"/>
  <c r="MG370" i="2" s="1"/>
  <c r="LU370" i="2"/>
  <c r="KR370" i="2"/>
  <c r="CD370" i="2"/>
  <c r="MF370" i="2" s="1"/>
  <c r="LS370" i="2"/>
  <c r="JG370" i="2"/>
  <c r="MK370" i="2" s="1"/>
  <c r="AS370" i="2"/>
  <c r="ME370" i="2" s="1"/>
  <c r="LQ370" i="2"/>
  <c r="HV370" i="2"/>
  <c r="MJ370" i="2" s="1"/>
  <c r="LO370" i="2"/>
  <c r="GK370" i="2"/>
  <c r="MI370" i="2" s="1"/>
  <c r="LO373" i="2"/>
  <c r="GK373" i="2"/>
  <c r="MI373" i="2" s="1"/>
  <c r="LM373" i="2"/>
  <c r="EZ373" i="2"/>
  <c r="MH373" i="2" s="1"/>
  <c r="DO373" i="2"/>
  <c r="MG373" i="2" s="1"/>
  <c r="LU373" i="2"/>
  <c r="KR373" i="2"/>
  <c r="ML373" i="2" s="1"/>
  <c r="CD373" i="2"/>
  <c r="MF373" i="2" s="1"/>
  <c r="LS373" i="2"/>
  <c r="JG373" i="2"/>
  <c r="MK373" i="2" s="1"/>
  <c r="AS373" i="2"/>
  <c r="ME373" i="2" s="1"/>
  <c r="LQ373" i="2"/>
  <c r="HV373" i="2"/>
  <c r="MJ373" i="2" s="1"/>
  <c r="EZ336" i="2"/>
  <c r="MH336" i="2" s="1"/>
  <c r="LM336" i="2"/>
  <c r="AS342" i="2"/>
  <c r="ME342" i="2" s="1"/>
  <c r="JG342" i="2"/>
  <c r="MK342" i="2" s="1"/>
  <c r="LS342" i="2"/>
  <c r="CD344" i="2"/>
  <c r="MF344" i="2" s="1"/>
  <c r="KR344" i="2"/>
  <c r="ML344" i="2" s="1"/>
  <c r="LU344" i="2"/>
  <c r="EZ348" i="2"/>
  <c r="MH348" i="2" s="1"/>
  <c r="LM348" i="2"/>
  <c r="HV352" i="2"/>
  <c r="MJ352" i="2" s="1"/>
  <c r="LS354" i="2"/>
  <c r="AS357" i="2"/>
  <c r="ME357" i="2" s="1"/>
  <c r="LQ357" i="2"/>
  <c r="LM358" i="2"/>
  <c r="EZ358" i="2"/>
  <c r="MH358" i="2" s="1"/>
  <c r="DO358" i="2"/>
  <c r="MG358" i="2" s="1"/>
  <c r="LS358" i="2"/>
  <c r="JG358" i="2"/>
  <c r="MK358" i="2" s="1"/>
  <c r="AS358" i="2"/>
  <c r="ME358" i="2" s="1"/>
  <c r="LO358" i="2"/>
  <c r="GK358" i="2"/>
  <c r="MI358" i="2" s="1"/>
  <c r="LO361" i="2"/>
  <c r="GK361" i="2"/>
  <c r="MI361" i="2" s="1"/>
  <c r="LM361" i="2"/>
  <c r="EZ361" i="2"/>
  <c r="MH361" i="2" s="1"/>
  <c r="DO361" i="2"/>
  <c r="MG361" i="2" s="1"/>
  <c r="LU361" i="2"/>
  <c r="KR361" i="2"/>
  <c r="ML361" i="2" s="1"/>
  <c r="CD361" i="2"/>
  <c r="MF361" i="2" s="1"/>
  <c r="LQ361" i="2"/>
  <c r="HV361" i="2"/>
  <c r="MJ361" i="2" s="1"/>
  <c r="AS354" i="2"/>
  <c r="ME354" i="2" s="1"/>
  <c r="JG354" i="2"/>
  <c r="MK354" i="2" s="1"/>
  <c r="LU378" i="2"/>
  <c r="KR378" i="2"/>
  <c r="JG378" i="2"/>
  <c r="MK378" i="2" s="1"/>
  <c r="LS378" i="2"/>
  <c r="HV378" i="2"/>
  <c r="MJ378" i="2" s="1"/>
  <c r="LQ378" i="2"/>
  <c r="GK378" i="2"/>
  <c r="MI378" i="2" s="1"/>
  <c r="EZ378" i="2"/>
  <c r="MH378" i="2" s="1"/>
  <c r="LO378" i="2"/>
  <c r="DO378" i="2"/>
  <c r="MG378" i="2" s="1"/>
  <c r="LM378" i="2"/>
  <c r="CD378" i="2"/>
  <c r="MF378" i="2" s="1"/>
  <c r="AS378" i="2"/>
  <c r="ME378" i="2" s="1"/>
  <c r="MM378" i="2" s="1" a="1"/>
  <c r="GK336" i="2"/>
  <c r="MI336" i="2" s="1"/>
  <c r="CD342" i="2"/>
  <c r="MF342" i="2" s="1"/>
  <c r="KR342" i="2"/>
  <c r="ML342" i="2" s="1"/>
  <c r="GK348" i="2"/>
  <c r="MI348" i="2" s="1"/>
  <c r="LO360" i="2"/>
  <c r="GK360" i="2"/>
  <c r="MI360" i="2" s="1"/>
  <c r="LM360" i="2"/>
  <c r="EZ360" i="2"/>
  <c r="MH360" i="2" s="1"/>
  <c r="DO360" i="2"/>
  <c r="MG360" i="2" s="1"/>
  <c r="LU360" i="2"/>
  <c r="KR360" i="2"/>
  <c r="CD360" i="2"/>
  <c r="MF360" i="2" s="1"/>
  <c r="LS360" i="2"/>
  <c r="JG360" i="2"/>
  <c r="MK360" i="2" s="1"/>
  <c r="AS360" i="2"/>
  <c r="ME360" i="2" s="1"/>
  <c r="LQ360" i="2"/>
  <c r="HV360" i="2"/>
  <c r="MJ360" i="2" s="1"/>
  <c r="LS365" i="2"/>
  <c r="JG365" i="2"/>
  <c r="MK365" i="2" s="1"/>
  <c r="AS365" i="2"/>
  <c r="ME365" i="2" s="1"/>
  <c r="LQ365" i="2"/>
  <c r="HV365" i="2"/>
  <c r="MJ365" i="2" s="1"/>
  <c r="LO365" i="2"/>
  <c r="GK365" i="2"/>
  <c r="MI365" i="2" s="1"/>
  <c r="LM365" i="2"/>
  <c r="EZ365" i="2"/>
  <c r="MH365" i="2" s="1"/>
  <c r="DO365" i="2"/>
  <c r="MG365" i="2" s="1"/>
  <c r="LU365" i="2"/>
  <c r="KR365" i="2"/>
  <c r="CD365" i="2"/>
  <c r="MF365" i="2" s="1"/>
  <c r="DO369" i="2"/>
  <c r="MG369" i="2" s="1"/>
  <c r="LU369" i="2"/>
  <c r="KR369" i="2"/>
  <c r="ML369" i="2" s="1"/>
  <c r="CD369" i="2"/>
  <c r="MF369" i="2" s="1"/>
  <c r="LS369" i="2"/>
  <c r="JG369" i="2"/>
  <c r="MK369" i="2" s="1"/>
  <c r="AS369" i="2"/>
  <c r="ME369" i="2" s="1"/>
  <c r="LQ369" i="2"/>
  <c r="HV369" i="2"/>
  <c r="MJ369" i="2" s="1"/>
  <c r="LO369" i="2"/>
  <c r="GK369" i="2"/>
  <c r="MI369" i="2" s="1"/>
  <c r="LM369" i="2"/>
  <c r="EZ369" i="2"/>
  <c r="MH369" i="2" s="1"/>
  <c r="LO372" i="2"/>
  <c r="GK372" i="2"/>
  <c r="MI372" i="2" s="1"/>
  <c r="LM372" i="2"/>
  <c r="EZ372" i="2"/>
  <c r="MH372" i="2" s="1"/>
  <c r="DO372" i="2"/>
  <c r="MG372" i="2" s="1"/>
  <c r="LU372" i="2"/>
  <c r="KR372" i="2"/>
  <c r="ML372" i="2" s="1"/>
  <c r="CD372" i="2"/>
  <c r="MF372" i="2" s="1"/>
  <c r="LS372" i="2"/>
  <c r="JG372" i="2"/>
  <c r="MK372" i="2" s="1"/>
  <c r="AS372" i="2"/>
  <c r="ME372" i="2" s="1"/>
  <c r="LQ372" i="2"/>
  <c r="HV372" i="2"/>
  <c r="MJ372" i="2" s="1"/>
  <c r="CD354" i="2"/>
  <c r="MF354" i="2" s="1"/>
  <c r="LQ358" i="2"/>
  <c r="HV376" i="2"/>
  <c r="MJ376" i="2" s="1"/>
  <c r="JG376" i="2"/>
  <c r="MK376" i="2" s="1"/>
  <c r="DO388" i="2"/>
  <c r="MG388" i="2" s="1"/>
  <c r="LU388" i="2"/>
  <c r="KR388" i="2"/>
  <c r="ML388" i="2" s="1"/>
  <c r="CD388" i="2"/>
  <c r="MF388" i="2" s="1"/>
  <c r="LS388" i="2"/>
  <c r="JG388" i="2"/>
  <c r="MK388" i="2" s="1"/>
  <c r="AS388" i="2"/>
  <c r="ME388" i="2" s="1"/>
  <c r="LQ388" i="2"/>
  <c r="HV388" i="2"/>
  <c r="MJ388" i="2" s="1"/>
  <c r="LO388" i="2"/>
  <c r="GK388" i="2"/>
  <c r="MI388" i="2" s="1"/>
  <c r="LM388" i="2"/>
  <c r="EZ388" i="2"/>
  <c r="MH388" i="2" s="1"/>
  <c r="AS362" i="2"/>
  <c r="ME362" i="2" s="1"/>
  <c r="JG362" i="2"/>
  <c r="LS362" i="2"/>
  <c r="DO366" i="2"/>
  <c r="MG366" i="2" s="1"/>
  <c r="EZ368" i="2"/>
  <c r="MH368" i="2" s="1"/>
  <c r="LM368" i="2"/>
  <c r="AS374" i="2"/>
  <c r="ME374" i="2" s="1"/>
  <c r="JG374" i="2"/>
  <c r="MK374" i="2" s="1"/>
  <c r="LS374" i="2"/>
  <c r="LU376" i="2"/>
  <c r="LO380" i="2"/>
  <c r="GK380" i="2"/>
  <c r="LS380" i="2"/>
  <c r="JG380" i="2"/>
  <c r="AS380" i="2"/>
  <c r="ME380" i="2" s="1"/>
  <c r="LQ375" i="2"/>
  <c r="HV375" i="2"/>
  <c r="MJ375" i="2" s="1"/>
  <c r="DO375" i="2"/>
  <c r="MG375" i="2" s="1"/>
  <c r="LS397" i="2"/>
  <c r="JG397" i="2"/>
  <c r="MK397" i="2" s="1"/>
  <c r="AS397" i="2"/>
  <c r="ME397" i="2" s="1"/>
  <c r="LQ397" i="2"/>
  <c r="HV397" i="2"/>
  <c r="MJ397" i="2" s="1"/>
  <c r="LO397" i="2"/>
  <c r="GK397" i="2"/>
  <c r="MI397" i="2" s="1"/>
  <c r="LM397" i="2"/>
  <c r="EZ397" i="2"/>
  <c r="MH397" i="2" s="1"/>
  <c r="DO397" i="2"/>
  <c r="MG397" i="2" s="1"/>
  <c r="LU397" i="2"/>
  <c r="KR397" i="2"/>
  <c r="ML397" i="2" s="1"/>
  <c r="CD397" i="2"/>
  <c r="MF397" i="2" s="1"/>
  <c r="CD362" i="2"/>
  <c r="MF362" i="2" s="1"/>
  <c r="KR362" i="2"/>
  <c r="LU362" i="2"/>
  <c r="EZ366" i="2"/>
  <c r="MH366" i="2" s="1"/>
  <c r="LM366" i="2"/>
  <c r="CD374" i="2"/>
  <c r="MF374" i="2" s="1"/>
  <c r="KR374" i="2"/>
  <c r="ML374" i="2" s="1"/>
  <c r="LU374" i="2"/>
  <c r="LM375" i="2"/>
  <c r="EZ381" i="2"/>
  <c r="MH381" i="2" s="1"/>
  <c r="EZ375" i="2"/>
  <c r="MH375" i="2" s="1"/>
  <c r="LU386" i="2"/>
  <c r="KR386" i="2"/>
  <c r="CD386" i="2"/>
  <c r="MF386" i="2" s="1"/>
  <c r="LS386" i="2"/>
  <c r="JG386" i="2"/>
  <c r="MK386" i="2" s="1"/>
  <c r="AS386" i="2"/>
  <c r="ME386" i="2" s="1"/>
  <c r="MM386" i="2" s="1" a="1"/>
  <c r="LQ386" i="2"/>
  <c r="HV386" i="2"/>
  <c r="MJ386" i="2" s="1"/>
  <c r="LO386" i="2"/>
  <c r="GK386" i="2"/>
  <c r="MI386" i="2" s="1"/>
  <c r="LM386" i="2"/>
  <c r="EZ386" i="2"/>
  <c r="MH386" i="2" s="1"/>
  <c r="DO386" i="2"/>
  <c r="MG386" i="2" s="1"/>
  <c r="LO392" i="2"/>
  <c r="GK392" i="2"/>
  <c r="MI392" i="2" s="1"/>
  <c r="LM392" i="2"/>
  <c r="EZ392" i="2"/>
  <c r="MH392" i="2" s="1"/>
  <c r="DO392" i="2"/>
  <c r="MG392" i="2" s="1"/>
  <c r="LU392" i="2"/>
  <c r="KR392" i="2"/>
  <c r="CD392" i="2"/>
  <c r="MF392" i="2" s="1"/>
  <c r="LS392" i="2"/>
  <c r="JG392" i="2"/>
  <c r="MK392" i="2" s="1"/>
  <c r="AS392" i="2"/>
  <c r="ME392" i="2" s="1"/>
  <c r="LQ392" i="2"/>
  <c r="HV392" i="2"/>
  <c r="MJ392" i="2" s="1"/>
  <c r="HV356" i="2"/>
  <c r="MJ356" i="2" s="1"/>
  <c r="LQ356" i="2"/>
  <c r="LW356" i="2" s="1"/>
  <c r="LX356" i="2" s="1"/>
  <c r="DO362" i="2"/>
  <c r="MG362" i="2" s="1"/>
  <c r="GK366" i="2"/>
  <c r="MI366" i="2" s="1"/>
  <c r="LO366" i="2"/>
  <c r="HV368" i="2"/>
  <c r="MJ368" i="2" s="1"/>
  <c r="LQ368" i="2"/>
  <c r="DO374" i="2"/>
  <c r="MG374" i="2" s="1"/>
  <c r="LO375" i="2"/>
  <c r="LM376" i="2"/>
  <c r="LQ380" i="2"/>
  <c r="GK375" i="2"/>
  <c r="MI375" i="2" s="1"/>
  <c r="LS396" i="2"/>
  <c r="JG396" i="2"/>
  <c r="MK396" i="2" s="1"/>
  <c r="AS396" i="2"/>
  <c r="ME396" i="2" s="1"/>
  <c r="LQ396" i="2"/>
  <c r="HV396" i="2"/>
  <c r="MJ396" i="2" s="1"/>
  <c r="LO396" i="2"/>
  <c r="GK396" i="2"/>
  <c r="MI396" i="2" s="1"/>
  <c r="LM396" i="2"/>
  <c r="EZ396" i="2"/>
  <c r="MH396" i="2" s="1"/>
  <c r="DO396" i="2"/>
  <c r="MG396" i="2" s="1"/>
  <c r="LU396" i="2"/>
  <c r="KR396" i="2"/>
  <c r="ML396" i="2" s="1"/>
  <c r="CD396" i="2"/>
  <c r="MF396" i="2" s="1"/>
  <c r="DO400" i="2"/>
  <c r="MG400" i="2" s="1"/>
  <c r="KR400" i="2"/>
  <c r="ML400" i="2" s="1"/>
  <c r="CD400" i="2"/>
  <c r="MF400" i="2" s="1"/>
  <c r="LU400" i="2"/>
  <c r="JG400" i="2"/>
  <c r="MK400" i="2" s="1"/>
  <c r="AS400" i="2"/>
  <c r="ME400" i="2" s="1"/>
  <c r="LS400" i="2"/>
  <c r="HV400" i="2"/>
  <c r="MJ400" i="2" s="1"/>
  <c r="LQ400" i="2"/>
  <c r="GK400" i="2"/>
  <c r="MI400" i="2" s="1"/>
  <c r="LO400" i="2"/>
  <c r="EZ400" i="2"/>
  <c r="MH400" i="2" s="1"/>
  <c r="LM400" i="2"/>
  <c r="EZ362" i="2"/>
  <c r="MH362" i="2" s="1"/>
  <c r="LM362" i="2"/>
  <c r="HV366" i="2"/>
  <c r="MJ366" i="2" s="1"/>
  <c r="LQ366" i="2"/>
  <c r="EZ374" i="2"/>
  <c r="MH374" i="2" s="1"/>
  <c r="LM374" i="2"/>
  <c r="LM381" i="2"/>
  <c r="DO381" i="2"/>
  <c r="MG381" i="2" s="1"/>
  <c r="LU381" i="2"/>
  <c r="KR381" i="2"/>
  <c r="ML381" i="2" s="1"/>
  <c r="CD381" i="2"/>
  <c r="MF381" i="2" s="1"/>
  <c r="LS381" i="2"/>
  <c r="JG381" i="2"/>
  <c r="MK381" i="2" s="1"/>
  <c r="AS381" i="2"/>
  <c r="ME381" i="2" s="1"/>
  <c r="LQ381" i="2"/>
  <c r="HV381" i="2"/>
  <c r="MJ381" i="2" s="1"/>
  <c r="LS375" i="2"/>
  <c r="LS385" i="2"/>
  <c r="JG385" i="2"/>
  <c r="MK385" i="2" s="1"/>
  <c r="AS385" i="2"/>
  <c r="ME385" i="2" s="1"/>
  <c r="LQ385" i="2"/>
  <c r="HV385" i="2"/>
  <c r="MJ385" i="2" s="1"/>
  <c r="LO385" i="2"/>
  <c r="GK385" i="2"/>
  <c r="MI385" i="2" s="1"/>
  <c r="LM385" i="2"/>
  <c r="EZ385" i="2"/>
  <c r="MH385" i="2" s="1"/>
  <c r="DO385" i="2"/>
  <c r="MG385" i="2" s="1"/>
  <c r="LU385" i="2"/>
  <c r="KR385" i="2"/>
  <c r="ML385" i="2" s="1"/>
  <c r="CD385" i="2"/>
  <c r="MF385" i="2" s="1"/>
  <c r="DO389" i="2"/>
  <c r="MG389" i="2" s="1"/>
  <c r="LU389" i="2"/>
  <c r="KR389" i="2"/>
  <c r="ML389" i="2" s="1"/>
  <c r="CD389" i="2"/>
  <c r="MF389" i="2" s="1"/>
  <c r="LS389" i="2"/>
  <c r="JG389" i="2"/>
  <c r="MK389" i="2" s="1"/>
  <c r="AS389" i="2"/>
  <c r="ME389" i="2" s="1"/>
  <c r="LQ389" i="2"/>
  <c r="HV389" i="2"/>
  <c r="MJ389" i="2" s="1"/>
  <c r="LO389" i="2"/>
  <c r="GK389" i="2"/>
  <c r="MI389" i="2" s="1"/>
  <c r="LM389" i="2"/>
  <c r="EZ389" i="2"/>
  <c r="MH389" i="2" s="1"/>
  <c r="GK362" i="2"/>
  <c r="MI362" i="2" s="1"/>
  <c r="LO362" i="2"/>
  <c r="AS366" i="2"/>
  <c r="ME366" i="2" s="1"/>
  <c r="JG366" i="2"/>
  <c r="MK366" i="2" s="1"/>
  <c r="LS366" i="2"/>
  <c r="GK374" i="2"/>
  <c r="MI374" i="2" s="1"/>
  <c r="LO374" i="2"/>
  <c r="JG375" i="2"/>
  <c r="MK375" i="2" s="1"/>
  <c r="LO381" i="2"/>
  <c r="LM403" i="2"/>
  <c r="EZ403" i="2"/>
  <c r="LS403" i="2"/>
  <c r="JG403" i="2"/>
  <c r="AS403" i="2"/>
  <c r="ME403" i="2" s="1"/>
  <c r="MM403" i="2" s="1" a="1"/>
  <c r="LU403" i="2"/>
  <c r="HV403" i="2"/>
  <c r="LQ403" i="2"/>
  <c r="GK403" i="2"/>
  <c r="LO403" i="2"/>
  <c r="DO403" i="2"/>
  <c r="CD403" i="2"/>
  <c r="MF403" i="2" s="1"/>
  <c r="KR403" i="2"/>
  <c r="LU375" i="2"/>
  <c r="LQ394" i="2"/>
  <c r="HV394" i="2"/>
  <c r="MJ394" i="2" s="1"/>
  <c r="LO394" i="2"/>
  <c r="GK394" i="2"/>
  <c r="MI394" i="2" s="1"/>
  <c r="LM394" i="2"/>
  <c r="EZ394" i="2"/>
  <c r="MH394" i="2" s="1"/>
  <c r="DO394" i="2"/>
  <c r="MG394" i="2" s="1"/>
  <c r="LU394" i="2"/>
  <c r="KR394" i="2"/>
  <c r="CD394" i="2"/>
  <c r="MF394" i="2" s="1"/>
  <c r="LS394" i="2"/>
  <c r="JG394" i="2"/>
  <c r="MK394" i="2" s="1"/>
  <c r="AS394" i="2"/>
  <c r="ME394" i="2" s="1"/>
  <c r="LU398" i="2"/>
  <c r="KR398" i="2"/>
  <c r="CD398" i="2"/>
  <c r="MF398" i="2" s="1"/>
  <c r="LS398" i="2"/>
  <c r="JG398" i="2"/>
  <c r="MK398" i="2" s="1"/>
  <c r="AS398" i="2"/>
  <c r="ME398" i="2" s="1"/>
  <c r="LQ398" i="2"/>
  <c r="HV398" i="2"/>
  <c r="MJ398" i="2" s="1"/>
  <c r="LO398" i="2"/>
  <c r="GK398" i="2"/>
  <c r="MI398" i="2" s="1"/>
  <c r="LM398" i="2"/>
  <c r="EZ398" i="2"/>
  <c r="MH398" i="2" s="1"/>
  <c r="DO398" i="2"/>
  <c r="MG398" i="2" s="1"/>
  <c r="HV362" i="2"/>
  <c r="MJ362" i="2" s="1"/>
  <c r="CD366" i="2"/>
  <c r="MF366" i="2" s="1"/>
  <c r="KR366" i="2"/>
  <c r="ML366" i="2" s="1"/>
  <c r="HV374" i="2"/>
  <c r="MJ374" i="2" s="1"/>
  <c r="AS375" i="2"/>
  <c r="ME375" i="2" s="1"/>
  <c r="KR375" i="2"/>
  <c r="ML375" i="2" s="1"/>
  <c r="KR380" i="2"/>
  <c r="LQ382" i="2"/>
  <c r="HV382" i="2"/>
  <c r="MJ382" i="2" s="1"/>
  <c r="LO382" i="2"/>
  <c r="GK382" i="2"/>
  <c r="MI382" i="2" s="1"/>
  <c r="DO382" i="2"/>
  <c r="MG382" i="2" s="1"/>
  <c r="LU382" i="2"/>
  <c r="KR382" i="2"/>
  <c r="CD382" i="2"/>
  <c r="MF382" i="2" s="1"/>
  <c r="MM382" i="2" s="1" a="1"/>
  <c r="LS382" i="2"/>
  <c r="JG382" i="2"/>
  <c r="AS383" i="2"/>
  <c r="ME383" i="2" s="1"/>
  <c r="JG383" i="2"/>
  <c r="MK383" i="2" s="1"/>
  <c r="LS383" i="2"/>
  <c r="DO387" i="2"/>
  <c r="MG387" i="2" s="1"/>
  <c r="GK391" i="2"/>
  <c r="MI391" i="2" s="1"/>
  <c r="LO391" i="2"/>
  <c r="HV393" i="2"/>
  <c r="MJ393" i="2" s="1"/>
  <c r="LQ393" i="2"/>
  <c r="AS395" i="2"/>
  <c r="ME395" i="2" s="1"/>
  <c r="JG395" i="2"/>
  <c r="MK395" i="2" s="1"/>
  <c r="LS395" i="2"/>
  <c r="DO399" i="2"/>
  <c r="MG399" i="2" s="1"/>
  <c r="LO402" i="2"/>
  <c r="GK390" i="2"/>
  <c r="MI390" i="2" s="1"/>
  <c r="LO390" i="2"/>
  <c r="LS401" i="2"/>
  <c r="CD383" i="2"/>
  <c r="MF383" i="2" s="1"/>
  <c r="KR383" i="2"/>
  <c r="ML383" i="2" s="1"/>
  <c r="LU383" i="2"/>
  <c r="EZ387" i="2"/>
  <c r="MH387" i="2" s="1"/>
  <c r="LM387" i="2"/>
  <c r="AS393" i="2"/>
  <c r="ME393" i="2" s="1"/>
  <c r="JG393" i="2"/>
  <c r="LS393" i="2"/>
  <c r="CD395" i="2"/>
  <c r="MF395" i="2" s="1"/>
  <c r="KR395" i="2"/>
  <c r="LU395" i="2"/>
  <c r="EZ399" i="2"/>
  <c r="MH399" i="2" s="1"/>
  <c r="LM399" i="2"/>
  <c r="DO384" i="2"/>
  <c r="MG384" i="2" s="1"/>
  <c r="HV390" i="2"/>
  <c r="MJ390" i="2" s="1"/>
  <c r="LQ390" i="2"/>
  <c r="LU401" i="2"/>
  <c r="DO383" i="2"/>
  <c r="MG383" i="2" s="1"/>
  <c r="GK387" i="2"/>
  <c r="MI387" i="2" s="1"/>
  <c r="LO387" i="2"/>
  <c r="AS391" i="2"/>
  <c r="ME391" i="2" s="1"/>
  <c r="JG391" i="2"/>
  <c r="MK391" i="2" s="1"/>
  <c r="LS391" i="2"/>
  <c r="CD393" i="2"/>
  <c r="MF393" i="2" s="1"/>
  <c r="KR393" i="2"/>
  <c r="LU393" i="2"/>
  <c r="DO395" i="2"/>
  <c r="MG395" i="2" s="1"/>
  <c r="GK399" i="2"/>
  <c r="MI399" i="2" s="1"/>
  <c r="LO399" i="2"/>
  <c r="AS401" i="2"/>
  <c r="ME401" i="2" s="1"/>
  <c r="KR401" i="2"/>
  <c r="LS402" i="2"/>
  <c r="AS390" i="2"/>
  <c r="ME390" i="2" s="1"/>
  <c r="JG390" i="2"/>
  <c r="MK390" i="2" s="1"/>
  <c r="LS390" i="2"/>
  <c r="EZ383" i="2"/>
  <c r="MH383" i="2" s="1"/>
  <c r="LM383" i="2"/>
  <c r="HV387" i="2"/>
  <c r="MJ387" i="2" s="1"/>
  <c r="LQ387" i="2"/>
  <c r="CD391" i="2"/>
  <c r="MF391" i="2" s="1"/>
  <c r="KR391" i="2"/>
  <c r="ML391" i="2" s="1"/>
  <c r="LU391" i="2"/>
  <c r="DO393" i="2"/>
  <c r="MG393" i="2" s="1"/>
  <c r="EZ395" i="2"/>
  <c r="MH395" i="2" s="1"/>
  <c r="LM395" i="2"/>
  <c r="HV399" i="2"/>
  <c r="MJ399" i="2" s="1"/>
  <c r="LQ399" i="2"/>
  <c r="JH402" i="2"/>
  <c r="LU402" i="2"/>
  <c r="CD390" i="2"/>
  <c r="MF390" i="2" s="1"/>
  <c r="KR390" i="2"/>
  <c r="ML390" i="2" s="1"/>
  <c r="LU390" i="2"/>
  <c r="DO401" i="2"/>
  <c r="MG401" i="2" s="1"/>
  <c r="LQ401" i="2"/>
  <c r="HV401" i="2"/>
  <c r="GK383" i="2"/>
  <c r="MI383" i="2" s="1"/>
  <c r="AS387" i="2"/>
  <c r="ME387" i="2" s="1"/>
  <c r="JG387" i="2"/>
  <c r="MK387" i="2" s="1"/>
  <c r="EZ393" i="2"/>
  <c r="MH393" i="2" s="1"/>
  <c r="LM393" i="2"/>
  <c r="GK395" i="2"/>
  <c r="MI395" i="2" s="1"/>
  <c r="AS399" i="2"/>
  <c r="ME399" i="2" s="1"/>
  <c r="JG399" i="2"/>
  <c r="MK399" i="2" s="1"/>
  <c r="LM401" i="2"/>
  <c r="DO390" i="2"/>
  <c r="MG390" i="2" s="1"/>
  <c r="EZ401" i="2"/>
  <c r="AS384" i="2"/>
  <c r="ME384" i="2" s="1"/>
  <c r="JG384" i="2"/>
  <c r="MK384" i="2" s="1"/>
  <c r="EZ390" i="2"/>
  <c r="MH390" i="2" s="1"/>
  <c r="GK401" i="2"/>
  <c r="LO150" i="2"/>
  <c r="LU150" i="2"/>
  <c r="MA223" i="2"/>
  <c r="CD194" i="2"/>
  <c r="AS239" i="2"/>
  <c r="MA105" i="2"/>
  <c r="AS290" i="2"/>
  <c r="LO72" i="2"/>
  <c r="HV256" i="2"/>
  <c r="MA75" i="2"/>
  <c r="LQ72" i="2"/>
  <c r="LM76" i="2"/>
  <c r="LM150" i="2"/>
  <c r="AS232" i="2"/>
  <c r="MA107" i="2"/>
  <c r="LQ213" i="2"/>
  <c r="AS260" i="2"/>
  <c r="LO55" i="2"/>
  <c r="LM55" i="2"/>
  <c r="LU23" i="2"/>
  <c r="LS23" i="2"/>
  <c r="LU68" i="2"/>
  <c r="LS68" i="2"/>
  <c r="LO68" i="2"/>
  <c r="LM68" i="2"/>
  <c r="LU136" i="2"/>
  <c r="LQ136" i="2"/>
  <c r="LO136" i="2"/>
  <c r="GK56" i="2"/>
  <c r="LS90" i="2"/>
  <c r="LM154" i="2"/>
  <c r="LQ245" i="2"/>
  <c r="LU134" i="2"/>
  <c r="AS274" i="2"/>
  <c r="LS245" i="2"/>
  <c r="LS72" i="2"/>
  <c r="LS154" i="2"/>
  <c r="LU245" i="2"/>
  <c r="EZ269" i="2"/>
  <c r="DO175" i="2"/>
  <c r="LM211" i="2"/>
  <c r="LM245" i="2"/>
  <c r="KR57" i="2"/>
  <c r="CD205" i="2"/>
  <c r="MA288" i="2"/>
  <c r="MA156" i="2"/>
  <c r="KR29" i="2"/>
  <c r="KS29" i="2" s="1"/>
  <c r="JG29" i="2"/>
  <c r="HV29" i="2"/>
  <c r="HW29" i="2" s="1"/>
  <c r="GK29" i="2"/>
  <c r="GL29" i="2" s="1"/>
  <c r="DO29" i="2"/>
  <c r="DP29" i="2" s="1"/>
  <c r="EZ29" i="2"/>
  <c r="FA29" i="2" s="1"/>
  <c r="CD29" i="2"/>
  <c r="AS29" i="2"/>
  <c r="KR53" i="2"/>
  <c r="JG53" i="2"/>
  <c r="HV53" i="2"/>
  <c r="GK53" i="2"/>
  <c r="EZ53" i="2"/>
  <c r="CD53" i="2"/>
  <c r="DO53" i="2"/>
  <c r="AS53" i="2"/>
  <c r="LU53" i="2"/>
  <c r="LO53" i="2"/>
  <c r="JG60" i="2"/>
  <c r="HV60" i="2"/>
  <c r="EZ60" i="2"/>
  <c r="GK60" i="2"/>
  <c r="CD60" i="2"/>
  <c r="DO60" i="2"/>
  <c r="AS60" i="2"/>
  <c r="KR106" i="2"/>
  <c r="JG106" i="2"/>
  <c r="HV106" i="2"/>
  <c r="GK106" i="2"/>
  <c r="DO106" i="2"/>
  <c r="CD106" i="2"/>
  <c r="AS106" i="2"/>
  <c r="KR128" i="2"/>
  <c r="GK128" i="2"/>
  <c r="EZ128" i="2"/>
  <c r="DO128" i="2"/>
  <c r="CD128" i="2"/>
  <c r="KR171" i="2"/>
  <c r="KS171" i="2" s="1"/>
  <c r="JG171" i="2"/>
  <c r="JH171" i="2" s="1"/>
  <c r="HV171" i="2"/>
  <c r="HW171" i="2" s="1"/>
  <c r="GK171" i="2"/>
  <c r="GL171" i="2" s="1"/>
  <c r="EZ171" i="2"/>
  <c r="FA171" i="2" s="1"/>
  <c r="CD171" i="2"/>
  <c r="AS171" i="2"/>
  <c r="KR172" i="2"/>
  <c r="KS172" i="2" s="1"/>
  <c r="JG172" i="2"/>
  <c r="JH172" i="2" s="1"/>
  <c r="HV172" i="2"/>
  <c r="EZ172" i="2"/>
  <c r="GK172" i="2"/>
  <c r="GL172" i="2" s="1"/>
  <c r="DO172" i="2"/>
  <c r="DP172" i="2" s="1"/>
  <c r="AS172" i="2"/>
  <c r="ME172" i="2" s="1"/>
  <c r="KR186" i="2"/>
  <c r="GK186" i="2"/>
  <c r="HV186" i="2"/>
  <c r="EZ186" i="2"/>
  <c r="DO186" i="2"/>
  <c r="CD186" i="2"/>
  <c r="AS186" i="2"/>
  <c r="LQ186" i="2"/>
  <c r="JG224" i="2"/>
  <c r="EZ224" i="2"/>
  <c r="DO224" i="2"/>
  <c r="CD224" i="2"/>
  <c r="LO224" i="2"/>
  <c r="KR75" i="2"/>
  <c r="KS75" i="2" s="1"/>
  <c r="HV75" i="2"/>
  <c r="MJ75" i="2" s="1"/>
  <c r="EZ75" i="2"/>
  <c r="DO75" i="2"/>
  <c r="CD75" i="2"/>
  <c r="AS75" i="2"/>
  <c r="KR102" i="2"/>
  <c r="JG102" i="2"/>
  <c r="HV102" i="2"/>
  <c r="MJ102" i="2" s="1"/>
  <c r="GK102" i="2"/>
  <c r="EZ102" i="2"/>
  <c r="DO102" i="2"/>
  <c r="CD102" i="2"/>
  <c r="AS102" i="2"/>
  <c r="LO102" i="2"/>
  <c r="KR132" i="2"/>
  <c r="KS132" i="2" s="1"/>
  <c r="JG132" i="2"/>
  <c r="JH132" i="2" s="1"/>
  <c r="HV132" i="2"/>
  <c r="EZ132" i="2"/>
  <c r="GK132" i="2"/>
  <c r="GL132" i="2" s="1"/>
  <c r="DO132" i="2"/>
  <c r="DP132" i="2" s="1"/>
  <c r="CD132" i="2"/>
  <c r="LU132" i="2"/>
  <c r="LQ132" i="2"/>
  <c r="LS137" i="2"/>
  <c r="JG137" i="2"/>
  <c r="KR137" i="2"/>
  <c r="KS137" i="2" s="1"/>
  <c r="HV137" i="2"/>
  <c r="HW137" i="2" s="1"/>
  <c r="GK137" i="2"/>
  <c r="GL137" i="2" s="1"/>
  <c r="EZ137" i="2"/>
  <c r="FA137" i="2" s="1"/>
  <c r="DO137" i="2"/>
  <c r="CD137" i="2"/>
  <c r="AS137" i="2"/>
  <c r="ME137" i="2" s="1"/>
  <c r="MM137" i="2" s="1" a="1"/>
  <c r="MM137" i="2" s="1"/>
  <c r="KR161" i="2"/>
  <c r="KS161" i="2" s="1"/>
  <c r="HV161" i="2"/>
  <c r="HW161" i="2" s="1"/>
  <c r="JG161" i="2"/>
  <c r="GK161" i="2"/>
  <c r="GL161" i="2" s="1"/>
  <c r="DO161" i="2"/>
  <c r="DP161" i="2" s="1"/>
  <c r="EZ161" i="2"/>
  <c r="FA161" i="2" s="1"/>
  <c r="CD161" i="2"/>
  <c r="LS161" i="2"/>
  <c r="LO195" i="2"/>
  <c r="KR195" i="2"/>
  <c r="JG195" i="2"/>
  <c r="DO195" i="2"/>
  <c r="AS195" i="2"/>
  <c r="LM92" i="2"/>
  <c r="KR92" i="2"/>
  <c r="KS92" i="2" s="1"/>
  <c r="HV92" i="2"/>
  <c r="GK92" i="2"/>
  <c r="DO92" i="2"/>
  <c r="MG92" i="2" s="1"/>
  <c r="AS92" i="2"/>
  <c r="LS92" i="2"/>
  <c r="LQ92" i="2"/>
  <c r="KR100" i="2"/>
  <c r="JG100" i="2"/>
  <c r="HV100" i="2"/>
  <c r="GK100" i="2"/>
  <c r="EZ100" i="2"/>
  <c r="DO100" i="2"/>
  <c r="CD100" i="2"/>
  <c r="KR124" i="2"/>
  <c r="JG124" i="2"/>
  <c r="HV124" i="2"/>
  <c r="GK124" i="2"/>
  <c r="DO124" i="2"/>
  <c r="CD124" i="2"/>
  <c r="AS124" i="2"/>
  <c r="KR162" i="2"/>
  <c r="JG162" i="2"/>
  <c r="HV162" i="2"/>
  <c r="GK162" i="2"/>
  <c r="EZ162" i="2"/>
  <c r="DO162" i="2"/>
  <c r="CD162" i="2"/>
  <c r="LQ162" i="2"/>
  <c r="LO162" i="2"/>
  <c r="KR178" i="2"/>
  <c r="GK178" i="2"/>
  <c r="MI178" i="2" s="1"/>
  <c r="EZ178" i="2"/>
  <c r="KR210" i="2"/>
  <c r="JG210" i="2"/>
  <c r="DO210" i="2"/>
  <c r="EZ210" i="2"/>
  <c r="CD210" i="2"/>
  <c r="KR126" i="2"/>
  <c r="JG126" i="2"/>
  <c r="HV126" i="2"/>
  <c r="GK126" i="2"/>
  <c r="DO126" i="2"/>
  <c r="AS126" i="2"/>
  <c r="LQ126" i="2"/>
  <c r="LO126" i="2"/>
  <c r="LU126" i="2"/>
  <c r="LS126" i="2"/>
  <c r="KR20" i="2"/>
  <c r="KS20" i="2" s="1"/>
  <c r="JG20" i="2"/>
  <c r="JH20" i="2" s="1"/>
  <c r="HV20" i="2"/>
  <c r="MJ20" i="2" s="1"/>
  <c r="GK20" i="2"/>
  <c r="EZ20" i="2"/>
  <c r="DO20" i="2"/>
  <c r="CD20" i="2"/>
  <c r="AS20" i="2"/>
  <c r="KR151" i="2"/>
  <c r="KS151" i="2" s="1"/>
  <c r="JG151" i="2"/>
  <c r="JH151" i="2" s="1"/>
  <c r="HV151" i="2"/>
  <c r="HW151" i="2" s="1"/>
  <c r="GK151" i="2"/>
  <c r="GL151" i="2" s="1"/>
  <c r="EZ151" i="2"/>
  <c r="FA151" i="2" s="1"/>
  <c r="DO151" i="2"/>
  <c r="DP151" i="2" s="1"/>
  <c r="CD151" i="2"/>
  <c r="AS151" i="2"/>
  <c r="HV223" i="2"/>
  <c r="MJ223" i="2" s="1"/>
  <c r="GK223" i="2"/>
  <c r="MI223" i="2" s="1"/>
  <c r="EZ223" i="2"/>
  <c r="DO223" i="2"/>
  <c r="CD223" i="2"/>
  <c r="AS223" i="2"/>
  <c r="KR18" i="2"/>
  <c r="GK18" i="2"/>
  <c r="EZ18" i="2"/>
  <c r="MH18" i="2" s="1"/>
  <c r="LS31" i="2"/>
  <c r="KR31" i="2"/>
  <c r="KS31" i="2" s="1"/>
  <c r="JG31" i="2"/>
  <c r="HV31" i="2"/>
  <c r="GK31" i="2"/>
  <c r="EZ31" i="2"/>
  <c r="DO31" i="2"/>
  <c r="AS31" i="2"/>
  <c r="LQ31" i="2"/>
  <c r="KR35" i="2"/>
  <c r="KS35" i="2" s="1"/>
  <c r="JG35" i="2"/>
  <c r="HV35" i="2"/>
  <c r="EZ35" i="2"/>
  <c r="CD35" i="2"/>
  <c r="KR61" i="2"/>
  <c r="KS61" i="2" s="1"/>
  <c r="JG61" i="2"/>
  <c r="HV61" i="2"/>
  <c r="HW61" i="2" s="1"/>
  <c r="GK61" i="2"/>
  <c r="GL61" i="2" s="1"/>
  <c r="EZ61" i="2"/>
  <c r="DO61" i="2"/>
  <c r="DP61" i="2" s="1"/>
  <c r="CD61" i="2"/>
  <c r="AS61" i="2"/>
  <c r="JG98" i="2"/>
  <c r="HV98" i="2"/>
  <c r="MJ98" i="2" s="1"/>
  <c r="GK98" i="2"/>
  <c r="EZ98" i="2"/>
  <c r="DO98" i="2"/>
  <c r="AS98" i="2"/>
  <c r="CD98" i="2"/>
  <c r="LU98" i="2"/>
  <c r="LO120" i="2"/>
  <c r="JG120" i="2"/>
  <c r="HV120" i="2"/>
  <c r="GK120" i="2"/>
  <c r="DO120" i="2"/>
  <c r="CD120" i="2"/>
  <c r="MF120" i="2" s="1"/>
  <c r="AS120" i="2"/>
  <c r="KR155" i="2"/>
  <c r="JG155" i="2"/>
  <c r="MK155" i="2" s="1"/>
  <c r="HV155" i="2"/>
  <c r="MJ155" i="2" s="1"/>
  <c r="GK155" i="2"/>
  <c r="MI155" i="2" s="1"/>
  <c r="EZ155" i="2"/>
  <c r="DO155" i="2"/>
  <c r="CD155" i="2"/>
  <c r="AS155" i="2"/>
  <c r="LO155" i="2"/>
  <c r="LS155" i="2"/>
  <c r="LQ155" i="2"/>
  <c r="KR163" i="2"/>
  <c r="KS163" i="2" s="1"/>
  <c r="HV163" i="2"/>
  <c r="EZ163" i="2"/>
  <c r="GK163" i="2"/>
  <c r="MI163" i="2" s="1"/>
  <c r="DO163" i="2"/>
  <c r="CD163" i="2"/>
  <c r="AS163" i="2"/>
  <c r="LQ163" i="2"/>
  <c r="LO163" i="2"/>
  <c r="KR177" i="2"/>
  <c r="KS177" i="2" s="1"/>
  <c r="JG177" i="2"/>
  <c r="HV177" i="2"/>
  <c r="HW177" i="2" s="1"/>
  <c r="EZ177" i="2"/>
  <c r="GK177" i="2"/>
  <c r="GL177" i="2" s="1"/>
  <c r="DO177" i="2"/>
  <c r="CD177" i="2"/>
  <c r="MF177" i="2" s="1"/>
  <c r="AS177" i="2"/>
  <c r="LS177" i="2"/>
  <c r="JG193" i="2"/>
  <c r="HV193" i="2"/>
  <c r="GK193" i="2"/>
  <c r="EZ193" i="2"/>
  <c r="AS193" i="2"/>
  <c r="KR89" i="2"/>
  <c r="KS89" i="2" s="1"/>
  <c r="JG89" i="2"/>
  <c r="HV89" i="2"/>
  <c r="HW89" i="2" s="1"/>
  <c r="EZ89" i="2"/>
  <c r="DO89" i="2"/>
  <c r="CD89" i="2"/>
  <c r="AS89" i="2"/>
  <c r="KR125" i="2"/>
  <c r="JG125" i="2"/>
  <c r="HV125" i="2"/>
  <c r="GK125" i="2"/>
  <c r="EZ125" i="2"/>
  <c r="DO125" i="2"/>
  <c r="CD125" i="2"/>
  <c r="AS125" i="2"/>
  <c r="KR185" i="2"/>
  <c r="JG185" i="2"/>
  <c r="HV185" i="2"/>
  <c r="GK185" i="2"/>
  <c r="EZ185" i="2"/>
  <c r="DO185" i="2"/>
  <c r="AS185" i="2"/>
  <c r="KR209" i="2"/>
  <c r="KS209" i="2" s="1"/>
  <c r="EZ209" i="2"/>
  <c r="GK209" i="2"/>
  <c r="DO209" i="2"/>
  <c r="CD209" i="2"/>
  <c r="AS209" i="2"/>
  <c r="JG71" i="2"/>
  <c r="HV71" i="2"/>
  <c r="GK71" i="2"/>
  <c r="DO71" i="2"/>
  <c r="CD71" i="2"/>
  <c r="AS71" i="2"/>
  <c r="KR103" i="2"/>
  <c r="KS103" i="2" s="1"/>
  <c r="JG103" i="2"/>
  <c r="HV103" i="2"/>
  <c r="GK103" i="2"/>
  <c r="EZ103" i="2"/>
  <c r="DO103" i="2"/>
  <c r="CD103" i="2"/>
  <c r="AS103" i="2"/>
  <c r="KR129" i="2"/>
  <c r="KS129" i="2" s="1"/>
  <c r="JG129" i="2"/>
  <c r="HV129" i="2"/>
  <c r="HW129" i="2" s="1"/>
  <c r="GK129" i="2"/>
  <c r="GL129" i="2" s="1"/>
  <c r="EZ129" i="2"/>
  <c r="FA129" i="2" s="1"/>
  <c r="AS129" i="2"/>
  <c r="LO148" i="2"/>
  <c r="KR148" i="2"/>
  <c r="KS148" i="2" s="1"/>
  <c r="JG148" i="2"/>
  <c r="HV148" i="2"/>
  <c r="GK148" i="2"/>
  <c r="EZ148" i="2"/>
  <c r="DO148" i="2"/>
  <c r="KR197" i="2"/>
  <c r="KS197" i="2" s="1"/>
  <c r="JG197" i="2"/>
  <c r="HV197" i="2"/>
  <c r="HW197" i="2" s="1"/>
  <c r="GK197" i="2"/>
  <c r="GL197" i="2" s="1"/>
  <c r="EZ197" i="2"/>
  <c r="FA197" i="2" s="1"/>
  <c r="DO197" i="2"/>
  <c r="DP197" i="2" s="1"/>
  <c r="AS197" i="2"/>
  <c r="KR149" i="2"/>
  <c r="KS149" i="2" s="1"/>
  <c r="JG149" i="2"/>
  <c r="DO149" i="2"/>
  <c r="LU152" i="2"/>
  <c r="LM152" i="2"/>
  <c r="KR88" i="2"/>
  <c r="JG88" i="2"/>
  <c r="HV88" i="2"/>
  <c r="GK88" i="2"/>
  <c r="EZ88" i="2"/>
  <c r="CD88" i="2"/>
  <c r="AS88" i="2"/>
  <c r="LU88" i="2"/>
  <c r="KR203" i="2"/>
  <c r="KS203" i="2" s="1"/>
  <c r="JG203" i="2"/>
  <c r="MK203" i="2" s="1"/>
  <c r="HV203" i="2"/>
  <c r="GK203" i="2"/>
  <c r="EZ203" i="2"/>
  <c r="CD203" i="2"/>
  <c r="AS203" i="2"/>
  <c r="LO203" i="2"/>
  <c r="LS203" i="2"/>
  <c r="KR32" i="2"/>
  <c r="JG32" i="2"/>
  <c r="HV32" i="2"/>
  <c r="GK32" i="2"/>
  <c r="EZ32" i="2"/>
  <c r="DO32" i="2"/>
  <c r="CD32" i="2"/>
  <c r="AS32" i="2"/>
  <c r="KR37" i="2"/>
  <c r="KS37" i="2" s="1"/>
  <c r="JG37" i="2"/>
  <c r="EZ37" i="2"/>
  <c r="DO37" i="2"/>
  <c r="CD37" i="2"/>
  <c r="MF37" i="2" s="1"/>
  <c r="GK37" i="2"/>
  <c r="AS37" i="2"/>
  <c r="KR47" i="2"/>
  <c r="ML47" i="2" s="1"/>
  <c r="JG47" i="2"/>
  <c r="HV47" i="2"/>
  <c r="MJ47" i="2" s="1"/>
  <c r="EZ47" i="2"/>
  <c r="DO47" i="2"/>
  <c r="AS47" i="2"/>
  <c r="CD47" i="2"/>
  <c r="MF47" i="2" s="1"/>
  <c r="LS47" i="2"/>
  <c r="JG107" i="2"/>
  <c r="HV107" i="2"/>
  <c r="MJ107" i="2" s="1"/>
  <c r="GK107" i="2"/>
  <c r="MI107" i="2" s="1"/>
  <c r="CD107" i="2"/>
  <c r="AS107" i="2"/>
  <c r="KR190" i="2"/>
  <c r="HV190" i="2"/>
  <c r="MJ190" i="2" s="1"/>
  <c r="GK190" i="2"/>
  <c r="EZ190" i="2"/>
  <c r="DO190" i="2"/>
  <c r="CD190" i="2"/>
  <c r="AS190" i="2"/>
  <c r="JG208" i="2"/>
  <c r="MK208" i="2" s="1"/>
  <c r="HV208" i="2"/>
  <c r="EZ208" i="2"/>
  <c r="MH208" i="2" s="1"/>
  <c r="DO208" i="2"/>
  <c r="GK208" i="2"/>
  <c r="CD208" i="2"/>
  <c r="LS208" i="2"/>
  <c r="AS208" i="2"/>
  <c r="LO208" i="2"/>
  <c r="KR51" i="2"/>
  <c r="KS51" i="2" s="1"/>
  <c r="JG51" i="2"/>
  <c r="JH51" i="2" s="1"/>
  <c r="HV51" i="2"/>
  <c r="HW51" i="2" s="1"/>
  <c r="GK51" i="2"/>
  <c r="GL51" i="2" s="1"/>
  <c r="EZ51" i="2"/>
  <c r="FA51" i="2" s="1"/>
  <c r="DO51" i="2"/>
  <c r="DP51" i="2" s="1"/>
  <c r="CD51" i="2"/>
  <c r="AS51" i="2"/>
  <c r="JG12" i="2"/>
  <c r="KR12" i="2"/>
  <c r="HV12" i="2"/>
  <c r="GK12" i="2"/>
  <c r="EZ12" i="2"/>
  <c r="CD12" i="2"/>
  <c r="AS12" i="2"/>
  <c r="AS18" i="2"/>
  <c r="KR26" i="2"/>
  <c r="JG26" i="2"/>
  <c r="HV26" i="2"/>
  <c r="CD26" i="2"/>
  <c r="DO26" i="2"/>
  <c r="GK26" i="2"/>
  <c r="AS26" i="2"/>
  <c r="HV36" i="2"/>
  <c r="HD36" i="2"/>
  <c r="KR39" i="2"/>
  <c r="KS39" i="2" s="1"/>
  <c r="JG39" i="2"/>
  <c r="HV39" i="2"/>
  <c r="GK39" i="2"/>
  <c r="EZ39" i="2"/>
  <c r="DO39" i="2"/>
  <c r="CD39" i="2"/>
  <c r="MF39" i="2" s="1"/>
  <c r="AS39" i="2"/>
  <c r="JG54" i="2"/>
  <c r="HV54" i="2"/>
  <c r="EZ54" i="2"/>
  <c r="DO54" i="2"/>
  <c r="GK54" i="2"/>
  <c r="CD54" i="2"/>
  <c r="AS54" i="2"/>
  <c r="KR56" i="2"/>
  <c r="KS56" i="2" s="1"/>
  <c r="HV56" i="2"/>
  <c r="EZ56" i="2"/>
  <c r="KR59" i="2"/>
  <c r="ML59" i="2" s="1"/>
  <c r="JZ59" i="2"/>
  <c r="KR63" i="2"/>
  <c r="KS63" i="2" s="1"/>
  <c r="DO63" i="2"/>
  <c r="CD63" i="2"/>
  <c r="AS63" i="2"/>
  <c r="HV65" i="2"/>
  <c r="GK65" i="2"/>
  <c r="DO65" i="2"/>
  <c r="EZ65" i="2"/>
  <c r="CD65" i="2"/>
  <c r="AS65" i="2"/>
  <c r="KR78" i="2"/>
  <c r="HV78" i="2"/>
  <c r="MJ78" i="2" s="1"/>
  <c r="GK78" i="2"/>
  <c r="EZ78" i="2"/>
  <c r="CD78" i="2"/>
  <c r="AS78" i="2"/>
  <c r="JZ81" i="2"/>
  <c r="KR81" i="2"/>
  <c r="JG90" i="2"/>
  <c r="IO90" i="2"/>
  <c r="JG95" i="2"/>
  <c r="IO95" i="2"/>
  <c r="JG96" i="2"/>
  <c r="IO96" i="2"/>
  <c r="KR104" i="2"/>
  <c r="KS104" i="2" s="1"/>
  <c r="JG104" i="2"/>
  <c r="HV104" i="2"/>
  <c r="GK104" i="2"/>
  <c r="EZ104" i="2"/>
  <c r="DO104" i="2"/>
  <c r="CD104" i="2"/>
  <c r="AS104" i="2"/>
  <c r="KR107" i="2"/>
  <c r="JZ107" i="2"/>
  <c r="LO108" i="2"/>
  <c r="AS111" i="2"/>
  <c r="JG116" i="2"/>
  <c r="HV116" i="2"/>
  <c r="GK116" i="2"/>
  <c r="EZ116" i="2"/>
  <c r="DO116" i="2"/>
  <c r="AS116" i="2"/>
  <c r="EZ124" i="2"/>
  <c r="CD130" i="2"/>
  <c r="KR131" i="2"/>
  <c r="JG131" i="2"/>
  <c r="HV131" i="2"/>
  <c r="GK131" i="2"/>
  <c r="EZ131" i="2"/>
  <c r="DO131" i="2"/>
  <c r="CD131" i="2"/>
  <c r="AS131" i="2"/>
  <c r="GK141" i="2"/>
  <c r="FS141" i="2"/>
  <c r="DO144" i="2"/>
  <c r="CW144" i="2"/>
  <c r="KR147" i="2"/>
  <c r="KS147" i="2" s="1"/>
  <c r="JG147" i="2"/>
  <c r="JH147" i="2" s="1"/>
  <c r="HV147" i="2"/>
  <c r="GK147" i="2"/>
  <c r="EZ147" i="2"/>
  <c r="AS147" i="2"/>
  <c r="CD148" i="2"/>
  <c r="HV152" i="2"/>
  <c r="MJ152" i="2" s="1"/>
  <c r="HD152" i="2"/>
  <c r="JG158" i="2"/>
  <c r="HV158" i="2"/>
  <c r="DO158" i="2"/>
  <c r="EZ158" i="2"/>
  <c r="AS158" i="2"/>
  <c r="ME158" i="2" s="1"/>
  <c r="AS162" i="2"/>
  <c r="ME162" i="2" s="1"/>
  <c r="MM162" i="2" s="1" a="1"/>
  <c r="MM162" i="2" s="1"/>
  <c r="MA163" i="2"/>
  <c r="JG163" i="2"/>
  <c r="IO163" i="2"/>
  <c r="KR164" i="2"/>
  <c r="KS164" i="2" s="1"/>
  <c r="JG164" i="2"/>
  <c r="JH164" i="2" s="1"/>
  <c r="HV164" i="2"/>
  <c r="GK164" i="2"/>
  <c r="GL164" i="2" s="1"/>
  <c r="EZ164" i="2"/>
  <c r="DO164" i="2"/>
  <c r="DP164" i="2" s="1"/>
  <c r="CD164" i="2"/>
  <c r="AS164" i="2"/>
  <c r="KR167" i="2"/>
  <c r="JG167" i="2"/>
  <c r="MK167" i="2" s="1"/>
  <c r="HV167" i="2"/>
  <c r="MJ167" i="2" s="1"/>
  <c r="GK167" i="2"/>
  <c r="EZ167" i="2"/>
  <c r="DO167" i="2"/>
  <c r="CD167" i="2"/>
  <c r="AS167" i="2"/>
  <c r="BL172" i="2"/>
  <c r="CD172" i="2"/>
  <c r="BL178" i="2"/>
  <c r="CD178" i="2"/>
  <c r="EZ181" i="2"/>
  <c r="HD194" i="2"/>
  <c r="HV194" i="2"/>
  <c r="MJ194" i="2" s="1"/>
  <c r="MA194" i="2"/>
  <c r="HV195" i="2"/>
  <c r="KR196" i="2"/>
  <c r="KS196" i="2" s="1"/>
  <c r="JG196" i="2"/>
  <c r="JH196" i="2" s="1"/>
  <c r="GK196" i="2"/>
  <c r="GL196" i="2" s="1"/>
  <c r="HV196" i="2"/>
  <c r="EZ196" i="2"/>
  <c r="CD196" i="2"/>
  <c r="AS196" i="2"/>
  <c r="KR199" i="2"/>
  <c r="KS199" i="2" s="1"/>
  <c r="HV199" i="2"/>
  <c r="EZ199" i="2"/>
  <c r="MH199" i="2" s="1"/>
  <c r="GK199" i="2"/>
  <c r="DO199" i="2"/>
  <c r="MG199" i="2" s="1"/>
  <c r="CD200" i="2"/>
  <c r="BL200" i="2"/>
  <c r="MA204" i="2"/>
  <c r="EZ204" i="2"/>
  <c r="EH204" i="2"/>
  <c r="JZ205" i="2"/>
  <c r="KR205" i="2"/>
  <c r="GK210" i="2"/>
  <c r="JG219" i="2"/>
  <c r="HV219" i="2"/>
  <c r="GK219" i="2"/>
  <c r="EZ219" i="2"/>
  <c r="CD219" i="2"/>
  <c r="AS219" i="2"/>
  <c r="GK225" i="2"/>
  <c r="JG227" i="2"/>
  <c r="KR248" i="2"/>
  <c r="KS248" i="2" s="1"/>
  <c r="JG248" i="2"/>
  <c r="HV248" i="2"/>
  <c r="GK248" i="2"/>
  <c r="DO248" i="2"/>
  <c r="EZ248" i="2"/>
  <c r="CD248" i="2"/>
  <c r="AS248" i="2"/>
  <c r="LU248" i="2"/>
  <c r="LM42" i="2"/>
  <c r="KR42" i="2"/>
  <c r="JG42" i="2"/>
  <c r="HV42" i="2"/>
  <c r="DO42" i="2"/>
  <c r="MG42" i="2" s="1"/>
  <c r="CD42" i="2"/>
  <c r="MF42" i="2" s="1"/>
  <c r="AS42" i="2"/>
  <c r="KR46" i="2"/>
  <c r="JG46" i="2"/>
  <c r="HV46" i="2"/>
  <c r="GK46" i="2"/>
  <c r="EZ46" i="2"/>
  <c r="DO46" i="2"/>
  <c r="CD46" i="2"/>
  <c r="AS46" i="2"/>
  <c r="MA58" i="2"/>
  <c r="HV58" i="2"/>
  <c r="GK66" i="2"/>
  <c r="KR70" i="2"/>
  <c r="GK70" i="2"/>
  <c r="HV70" i="2"/>
  <c r="DO70" i="2"/>
  <c r="CD70" i="2"/>
  <c r="AS70" i="2"/>
  <c r="KR74" i="2"/>
  <c r="JG74" i="2"/>
  <c r="HV74" i="2"/>
  <c r="EZ74" i="2"/>
  <c r="DO74" i="2"/>
  <c r="CD74" i="2"/>
  <c r="AS74" i="2"/>
  <c r="KR77" i="2"/>
  <c r="JZ77" i="2"/>
  <c r="HV83" i="2"/>
  <c r="HD83" i="2"/>
  <c r="DO85" i="2"/>
  <c r="DA85" i="2"/>
  <c r="MA86" i="2"/>
  <c r="JG86" i="2"/>
  <c r="KR97" i="2"/>
  <c r="KS97" i="2" s="1"/>
  <c r="HV97" i="2"/>
  <c r="MJ97" i="2" s="1"/>
  <c r="GK97" i="2"/>
  <c r="EZ97" i="2"/>
  <c r="DO97" i="2"/>
  <c r="AS97" i="2"/>
  <c r="EZ105" i="2"/>
  <c r="KR110" i="2"/>
  <c r="JG110" i="2"/>
  <c r="HV110" i="2"/>
  <c r="GK110" i="2"/>
  <c r="CD110" i="2"/>
  <c r="AS110" i="2"/>
  <c r="KR118" i="2"/>
  <c r="JG118" i="2"/>
  <c r="HV118" i="2"/>
  <c r="GK118" i="2"/>
  <c r="EZ118" i="2"/>
  <c r="CD118" i="2"/>
  <c r="AS118" i="2"/>
  <c r="AS119" i="2"/>
  <c r="CW129" i="2"/>
  <c r="DO129" i="2"/>
  <c r="AS132" i="2"/>
  <c r="KR133" i="2"/>
  <c r="KS133" i="2" s="1"/>
  <c r="JG133" i="2"/>
  <c r="HV133" i="2"/>
  <c r="HW133" i="2" s="1"/>
  <c r="GK133" i="2"/>
  <c r="GL133" i="2" s="1"/>
  <c r="EZ133" i="2"/>
  <c r="FA133" i="2" s="1"/>
  <c r="DO133" i="2"/>
  <c r="AA152" i="2"/>
  <c r="AS152" i="2"/>
  <c r="KR159" i="2"/>
  <c r="KS159" i="2" s="1"/>
  <c r="HV159" i="2"/>
  <c r="GK159" i="2"/>
  <c r="EZ159" i="2"/>
  <c r="DO159" i="2"/>
  <c r="LS173" i="2"/>
  <c r="DO176" i="2"/>
  <c r="KR179" i="2"/>
  <c r="KS179" i="2" s="1"/>
  <c r="JG179" i="2"/>
  <c r="HV179" i="2"/>
  <c r="GK179" i="2"/>
  <c r="EZ179" i="2"/>
  <c r="DO179" i="2"/>
  <c r="CD179" i="2"/>
  <c r="MF179" i="2" s="1"/>
  <c r="AS179" i="2"/>
  <c r="JG182" i="2"/>
  <c r="KR182" i="2"/>
  <c r="HV182" i="2"/>
  <c r="GK182" i="2"/>
  <c r="EZ182" i="2"/>
  <c r="DO182" i="2"/>
  <c r="CD182" i="2"/>
  <c r="AS182" i="2"/>
  <c r="KR183" i="2"/>
  <c r="JG183" i="2"/>
  <c r="JH183" i="2" s="1"/>
  <c r="HV183" i="2"/>
  <c r="HW183" i="2" s="1"/>
  <c r="GK183" i="2"/>
  <c r="MI183" i="2" s="1"/>
  <c r="EZ183" i="2"/>
  <c r="DO183" i="2"/>
  <c r="MG183" i="2" s="1"/>
  <c r="CD183" i="2"/>
  <c r="AS183" i="2"/>
  <c r="KR187" i="2"/>
  <c r="JG187" i="2"/>
  <c r="HV187" i="2"/>
  <c r="GK187" i="2"/>
  <c r="EZ187" i="2"/>
  <c r="DO187" i="2"/>
  <c r="AS187" i="2"/>
  <c r="CD187" i="2"/>
  <c r="DO188" i="2"/>
  <c r="CW188" i="2"/>
  <c r="MA188" i="2"/>
  <c r="KR193" i="2"/>
  <c r="JZ193" i="2"/>
  <c r="EZ201" i="2"/>
  <c r="KR202" i="2"/>
  <c r="JG202" i="2"/>
  <c r="HV202" i="2"/>
  <c r="GK202" i="2"/>
  <c r="EZ202" i="2"/>
  <c r="DO202" i="2"/>
  <c r="AS202" i="2"/>
  <c r="DO203" i="2"/>
  <c r="JG207" i="2"/>
  <c r="IO207" i="2"/>
  <c r="KR217" i="2"/>
  <c r="JG217" i="2"/>
  <c r="HV217" i="2"/>
  <c r="EZ217" i="2"/>
  <c r="GK217" i="2"/>
  <c r="CD217" i="2"/>
  <c r="DO217" i="2"/>
  <c r="AS217" i="2"/>
  <c r="HV220" i="2"/>
  <c r="HD220" i="2"/>
  <c r="MA220" i="2"/>
  <c r="JG231" i="2"/>
  <c r="HV231" i="2"/>
  <c r="GK231" i="2"/>
  <c r="EZ231" i="2"/>
  <c r="CD231" i="2"/>
  <c r="AS231" i="2"/>
  <c r="DO232" i="2"/>
  <c r="JG281" i="2"/>
  <c r="KR281" i="2"/>
  <c r="KS281" i="2" s="1"/>
  <c r="HV281" i="2"/>
  <c r="GK281" i="2"/>
  <c r="EZ281" i="2"/>
  <c r="DO281" i="2"/>
  <c r="AS281" i="2"/>
  <c r="LM281" i="2"/>
  <c r="GK19" i="2"/>
  <c r="AS43" i="2"/>
  <c r="AA43" i="2"/>
  <c r="CD44" i="2"/>
  <c r="DO56" i="2"/>
  <c r="EZ63" i="2"/>
  <c r="LM67" i="2"/>
  <c r="JG67" i="2"/>
  <c r="HV67" i="2"/>
  <c r="GK67" i="2"/>
  <c r="CD67" i="2"/>
  <c r="AS67" i="2"/>
  <c r="EZ71" i="2"/>
  <c r="JG81" i="2"/>
  <c r="HV81" i="2"/>
  <c r="GK81" i="2"/>
  <c r="EZ81" i="2"/>
  <c r="DO81" i="2"/>
  <c r="CD81" i="2"/>
  <c r="AS81" i="2"/>
  <c r="ME81" i="2" s="1"/>
  <c r="CD92" i="2"/>
  <c r="BL92" i="2"/>
  <c r="KR95" i="2"/>
  <c r="JZ95" i="2"/>
  <c r="MA96" i="2"/>
  <c r="AS96" i="2"/>
  <c r="AS100" i="2"/>
  <c r="AS128" i="2"/>
  <c r="JG138" i="2"/>
  <c r="IO138" i="2"/>
  <c r="AS139" i="2"/>
  <c r="ME139" i="2" s="1"/>
  <c r="CD154" i="2"/>
  <c r="BL154" i="2"/>
  <c r="KR169" i="2"/>
  <c r="KS169" i="2" s="1"/>
  <c r="HV169" i="2"/>
  <c r="JG169" i="2"/>
  <c r="GK169" i="2"/>
  <c r="EZ169" i="2"/>
  <c r="DO169" i="2"/>
  <c r="CD169" i="2"/>
  <c r="AS169" i="2"/>
  <c r="DO178" i="2"/>
  <c r="KR184" i="2"/>
  <c r="CD197" i="2"/>
  <c r="MF197" i="2" s="1"/>
  <c r="BL197" i="2"/>
  <c r="MA201" i="2"/>
  <c r="KR211" i="2"/>
  <c r="KS211" i="2" s="1"/>
  <c r="JG211" i="2"/>
  <c r="JH211" i="2" s="1"/>
  <c r="HV211" i="2"/>
  <c r="HW211" i="2" s="1"/>
  <c r="GK211" i="2"/>
  <c r="GL211" i="2" s="1"/>
  <c r="EZ211" i="2"/>
  <c r="DO211" i="2"/>
  <c r="CD211" i="2"/>
  <c r="AS211" i="2"/>
  <c r="LM241" i="2"/>
  <c r="KR241" i="2"/>
  <c r="JG241" i="2"/>
  <c r="HV241" i="2"/>
  <c r="GK241" i="2"/>
  <c r="MI241" i="2" s="1"/>
  <c r="DO241" i="2"/>
  <c r="MG241" i="2" s="1"/>
  <c r="CD241" i="2"/>
  <c r="LS241" i="2"/>
  <c r="LQ241" i="2"/>
  <c r="KR264" i="2"/>
  <c r="JG264" i="2"/>
  <c r="GK264" i="2"/>
  <c r="DO264" i="2"/>
  <c r="CD264" i="2"/>
  <c r="EZ264" i="2"/>
  <c r="LQ264" i="2"/>
  <c r="AS264" i="2"/>
  <c r="KR268" i="2"/>
  <c r="KS268" i="2" s="1"/>
  <c r="HV268" i="2"/>
  <c r="EZ268" i="2"/>
  <c r="GK268" i="2"/>
  <c r="MI268" i="2" s="1"/>
  <c r="DO268" i="2"/>
  <c r="MG268" i="2" s="1"/>
  <c r="AS268" i="2"/>
  <c r="LU268" i="2"/>
  <c r="LS268" i="2"/>
  <c r="LO268" i="2"/>
  <c r="KR287" i="2"/>
  <c r="KS287" i="2" s="1"/>
  <c r="JG287" i="2"/>
  <c r="HV287" i="2"/>
  <c r="GK287" i="2"/>
  <c r="EZ287" i="2"/>
  <c r="DO287" i="2"/>
  <c r="AS287" i="2"/>
  <c r="KR38" i="2"/>
  <c r="JG38" i="2"/>
  <c r="MK38" i="2" s="1"/>
  <c r="HV38" i="2"/>
  <c r="MJ38" i="2" s="1"/>
  <c r="GK38" i="2"/>
  <c r="DO38" i="2"/>
  <c r="CD38" i="2"/>
  <c r="MF38" i="2" s="1"/>
  <c r="AS38" i="2"/>
  <c r="AS19" i="2"/>
  <c r="MA26" i="2"/>
  <c r="EZ26" i="2"/>
  <c r="EH26" i="2"/>
  <c r="KR27" i="2"/>
  <c r="JG27" i="2"/>
  <c r="HV27" i="2"/>
  <c r="GK27" i="2"/>
  <c r="EZ27" i="2"/>
  <c r="DO27" i="2"/>
  <c r="CD27" i="2"/>
  <c r="AS27" i="2"/>
  <c r="CD31" i="2"/>
  <c r="BL31" i="2"/>
  <c r="MA33" i="2"/>
  <c r="GK33" i="2"/>
  <c r="FS33" i="2"/>
  <c r="KR34" i="2"/>
  <c r="JG34" i="2"/>
  <c r="HV34" i="2"/>
  <c r="GK34" i="2"/>
  <c r="EZ34" i="2"/>
  <c r="DO34" i="2"/>
  <c r="CD34" i="2"/>
  <c r="AS34" i="2"/>
  <c r="LO38" i="2"/>
  <c r="KR41" i="2"/>
  <c r="JZ41" i="2"/>
  <c r="LO42" i="2"/>
  <c r="JG44" i="2"/>
  <c r="IO44" i="2"/>
  <c r="GK47" i="2"/>
  <c r="KR48" i="2"/>
  <c r="JG48" i="2"/>
  <c r="HV48" i="2"/>
  <c r="GK48" i="2"/>
  <c r="EZ48" i="2"/>
  <c r="DO48" i="2"/>
  <c r="CD48" i="2"/>
  <c r="AS48" i="2"/>
  <c r="KR62" i="2"/>
  <c r="JG62" i="2"/>
  <c r="HV62" i="2"/>
  <c r="GK62" i="2"/>
  <c r="EZ62" i="2"/>
  <c r="DO62" i="2"/>
  <c r="MG62" i="2" s="1"/>
  <c r="AS62" i="2"/>
  <c r="MA67" i="2"/>
  <c r="DO67" i="2"/>
  <c r="JG72" i="2"/>
  <c r="MK72" i="2" s="1"/>
  <c r="IO72" i="2"/>
  <c r="JG73" i="2"/>
  <c r="MK73" i="2" s="1"/>
  <c r="IO73" i="2"/>
  <c r="GK75" i="2"/>
  <c r="JG76" i="2"/>
  <c r="IO76" i="2"/>
  <c r="DO78" i="2"/>
  <c r="KR86" i="2"/>
  <c r="JZ86" i="2"/>
  <c r="AS90" i="2"/>
  <c r="CD97" i="2"/>
  <c r="LO97" i="2"/>
  <c r="DO107" i="2"/>
  <c r="JG115" i="2"/>
  <c r="CD116" i="2"/>
  <c r="HV117" i="2"/>
  <c r="KR120" i="2"/>
  <c r="JZ120" i="2"/>
  <c r="LO131" i="2"/>
  <c r="AS146" i="2"/>
  <c r="ME146" i="2" s="1"/>
  <c r="KR146" i="2"/>
  <c r="JG146" i="2"/>
  <c r="HV146" i="2"/>
  <c r="GK146" i="2"/>
  <c r="EZ146" i="2"/>
  <c r="DO146" i="2"/>
  <c r="CD147" i="2"/>
  <c r="MA149" i="2"/>
  <c r="EH149" i="2"/>
  <c r="EZ149" i="2"/>
  <c r="CD152" i="2"/>
  <c r="EZ152" i="2"/>
  <c r="MH152" i="2" s="1"/>
  <c r="MA184" i="2"/>
  <c r="JZ184" i="2"/>
  <c r="CD185" i="2"/>
  <c r="MA186" i="2"/>
  <c r="JG186" i="2"/>
  <c r="IO186" i="2"/>
  <c r="JG190" i="2"/>
  <c r="IO190" i="2"/>
  <c r="KR191" i="2"/>
  <c r="KS191" i="2" s="1"/>
  <c r="JG191" i="2"/>
  <c r="GK191" i="2"/>
  <c r="EZ191" i="2"/>
  <c r="MH191" i="2" s="1"/>
  <c r="DO191" i="2"/>
  <c r="AS191" i="2"/>
  <c r="CD192" i="2"/>
  <c r="JG205" i="2"/>
  <c r="HV205" i="2"/>
  <c r="GK205" i="2"/>
  <c r="DO205" i="2"/>
  <c r="EZ205" i="2"/>
  <c r="AS205" i="2"/>
  <c r="HV209" i="2"/>
  <c r="HD209" i="2"/>
  <c r="MA209" i="2"/>
  <c r="KR222" i="2"/>
  <c r="HV222" i="2"/>
  <c r="GK222" i="2"/>
  <c r="DO222" i="2"/>
  <c r="EZ222" i="2"/>
  <c r="AS222" i="2"/>
  <c r="HV224" i="2"/>
  <c r="HD224" i="2"/>
  <c r="KR227" i="2"/>
  <c r="KS227" i="2" s="1"/>
  <c r="HV227" i="2"/>
  <c r="MJ227" i="2" s="1"/>
  <c r="EZ227" i="2"/>
  <c r="DO227" i="2"/>
  <c r="GK227" i="2"/>
  <c r="AS227" i="2"/>
  <c r="CD227" i="2"/>
  <c r="LM227" i="2"/>
  <c r="LS227" i="2"/>
  <c r="LQ227" i="2"/>
  <c r="KR267" i="2"/>
  <c r="KS267" i="2" s="1"/>
  <c r="JG267" i="2"/>
  <c r="HV267" i="2"/>
  <c r="GK267" i="2"/>
  <c r="EZ267" i="2"/>
  <c r="CD267" i="2"/>
  <c r="AS267" i="2"/>
  <c r="JG63" i="2"/>
  <c r="IO63" i="2"/>
  <c r="KR11" i="2"/>
  <c r="KS11" i="2" s="1"/>
  <c r="JG11" i="2"/>
  <c r="HV11" i="2"/>
  <c r="EZ11" i="2"/>
  <c r="GK11" i="2"/>
  <c r="DO11" i="2"/>
  <c r="CD11" i="2"/>
  <c r="AS11" i="2"/>
  <c r="KR24" i="2"/>
  <c r="ML24" i="2" s="1"/>
  <c r="JG24" i="2"/>
  <c r="HV24" i="2"/>
  <c r="GK24" i="2"/>
  <c r="DO24" i="2"/>
  <c r="MG24" i="2" s="1"/>
  <c r="CD24" i="2"/>
  <c r="AS24" i="2"/>
  <c r="KR36" i="2"/>
  <c r="KS36" i="2" s="1"/>
  <c r="JG36" i="2"/>
  <c r="GK36" i="2"/>
  <c r="EZ36" i="2"/>
  <c r="DO36" i="2"/>
  <c r="AS36" i="2"/>
  <c r="MA38" i="2"/>
  <c r="EH38" i="2"/>
  <c r="EZ38" i="2"/>
  <c r="CD41" i="2"/>
  <c r="MF41" i="2" s="1"/>
  <c r="EZ42" i="2"/>
  <c r="CD43" i="2"/>
  <c r="BL43" i="2"/>
  <c r="JG50" i="2"/>
  <c r="MK50" i="2" s="1"/>
  <c r="KR50" i="2"/>
  <c r="HV50" i="2"/>
  <c r="GK50" i="2"/>
  <c r="EZ50" i="2"/>
  <c r="CD50" i="2"/>
  <c r="DO50" i="2"/>
  <c r="MG50" i="2" s="1"/>
  <c r="AS50" i="2"/>
  <c r="LS56" i="2"/>
  <c r="KR58" i="2"/>
  <c r="JG58" i="2"/>
  <c r="GK58" i="2"/>
  <c r="EZ58" i="2"/>
  <c r="DO58" i="2"/>
  <c r="CD58" i="2"/>
  <c r="AS58" i="2"/>
  <c r="GK59" i="2"/>
  <c r="EZ59" i="2"/>
  <c r="DO59" i="2"/>
  <c r="CD59" i="2"/>
  <c r="AS59" i="2"/>
  <c r="LS63" i="2"/>
  <c r="KR69" i="2"/>
  <c r="JG69" i="2"/>
  <c r="HV69" i="2"/>
  <c r="GK69" i="2"/>
  <c r="EZ69" i="2"/>
  <c r="DO69" i="2"/>
  <c r="CD69" i="2"/>
  <c r="AS69" i="2"/>
  <c r="EZ70" i="2"/>
  <c r="MA71" i="2"/>
  <c r="JG77" i="2"/>
  <c r="HV77" i="2"/>
  <c r="MJ77" i="2" s="1"/>
  <c r="GK77" i="2"/>
  <c r="EZ77" i="2"/>
  <c r="DO77" i="2"/>
  <c r="CD77" i="2"/>
  <c r="AS77" i="2"/>
  <c r="KR80" i="2"/>
  <c r="KS80" i="2" s="1"/>
  <c r="JG80" i="2"/>
  <c r="JH80" i="2" s="1"/>
  <c r="HV80" i="2"/>
  <c r="EZ80" i="2"/>
  <c r="GK80" i="2"/>
  <c r="DO80" i="2"/>
  <c r="CD80" i="2"/>
  <c r="AS80" i="2"/>
  <c r="GK82" i="2"/>
  <c r="KR91" i="2"/>
  <c r="KS91" i="2" s="1"/>
  <c r="HV91" i="2"/>
  <c r="GK91" i="2"/>
  <c r="EZ91" i="2"/>
  <c r="JZ99" i="2"/>
  <c r="KR99" i="2"/>
  <c r="JG127" i="2"/>
  <c r="KR127" i="2"/>
  <c r="KS127" i="2" s="1"/>
  <c r="HV127" i="2"/>
  <c r="GK127" i="2"/>
  <c r="EZ127" i="2"/>
  <c r="DO127" i="2"/>
  <c r="CD127" i="2"/>
  <c r="AS127" i="2"/>
  <c r="AS133" i="2"/>
  <c r="BL141" i="2"/>
  <c r="CD141" i="2"/>
  <c r="KR141" i="2"/>
  <c r="JG141" i="2"/>
  <c r="HV141" i="2"/>
  <c r="DO141" i="2"/>
  <c r="AS141" i="2"/>
  <c r="HD144" i="2"/>
  <c r="HV144" i="2"/>
  <c r="KR145" i="2"/>
  <c r="KS145" i="2" s="1"/>
  <c r="JG145" i="2"/>
  <c r="HV145" i="2"/>
  <c r="GK145" i="2"/>
  <c r="EZ145" i="2"/>
  <c r="DO145" i="2"/>
  <c r="CD145" i="2"/>
  <c r="AS145" i="2"/>
  <c r="JG152" i="2"/>
  <c r="MK152" i="2" s="1"/>
  <c r="IO152" i="2"/>
  <c r="LQ159" i="2"/>
  <c r="EZ160" i="2"/>
  <c r="MA172" i="2"/>
  <c r="GK180" i="2"/>
  <c r="FS180" i="2"/>
  <c r="JG181" i="2"/>
  <c r="MK181" i="2" s="1"/>
  <c r="IO181" i="2"/>
  <c r="JG184" i="2"/>
  <c r="GK184" i="2"/>
  <c r="DO184" i="2"/>
  <c r="EZ184" i="2"/>
  <c r="MH184" i="2" s="1"/>
  <c r="CD184" i="2"/>
  <c r="AS184" i="2"/>
  <c r="MA192" i="2"/>
  <c r="BL192" i="2"/>
  <c r="KR192" i="2"/>
  <c r="KS192" i="2" s="1"/>
  <c r="JG192" i="2"/>
  <c r="JH192" i="2" s="1"/>
  <c r="HV192" i="2"/>
  <c r="EZ192" i="2"/>
  <c r="DO192" i="2"/>
  <c r="AS192" i="2"/>
  <c r="CD193" i="2"/>
  <c r="BL193" i="2"/>
  <c r="CD195" i="2"/>
  <c r="MA203" i="2"/>
  <c r="KR207" i="2"/>
  <c r="HV207" i="2"/>
  <c r="GK207" i="2"/>
  <c r="EZ207" i="2"/>
  <c r="DO207" i="2"/>
  <c r="AS207" i="2"/>
  <c r="KR212" i="2"/>
  <c r="KS212" i="2" s="1"/>
  <c r="JG212" i="2"/>
  <c r="JH212" i="2" s="1"/>
  <c r="EZ212" i="2"/>
  <c r="GK212" i="2"/>
  <c r="AS212" i="2"/>
  <c r="KR216" i="2"/>
  <c r="KS216" i="2" s="1"/>
  <c r="JG216" i="2"/>
  <c r="JH216" i="2" s="1"/>
  <c r="HV216" i="2"/>
  <c r="GK216" i="2"/>
  <c r="GL216" i="2" s="1"/>
  <c r="EZ216" i="2"/>
  <c r="DO216" i="2"/>
  <c r="CD216" i="2"/>
  <c r="AS216" i="2"/>
  <c r="JG233" i="2"/>
  <c r="KR233" i="2"/>
  <c r="HV233" i="2"/>
  <c r="GK233" i="2"/>
  <c r="EZ233" i="2"/>
  <c r="DO233" i="2"/>
  <c r="MG233" i="2" s="1"/>
  <c r="CD233" i="2"/>
  <c r="MF233" i="2" s="1"/>
  <c r="AS233" i="2"/>
  <c r="KR283" i="2"/>
  <c r="KS283" i="2" s="1"/>
  <c r="GK283" i="2"/>
  <c r="DO283" i="2"/>
  <c r="EZ283" i="2"/>
  <c r="AS283" i="2"/>
  <c r="KR33" i="2"/>
  <c r="KS33" i="2" s="1"/>
  <c r="JG33" i="2"/>
  <c r="HV33" i="2"/>
  <c r="EZ33" i="2"/>
  <c r="CD33" i="2"/>
  <c r="DO33" i="2"/>
  <c r="MG33" i="2" s="1"/>
  <c r="AS33" i="2"/>
  <c r="DO21" i="2"/>
  <c r="CW21" i="2"/>
  <c r="HV17" i="2"/>
  <c r="HD17" i="2"/>
  <c r="DO12" i="2"/>
  <c r="CD19" i="2"/>
  <c r="JG41" i="2"/>
  <c r="HV41" i="2"/>
  <c r="GK41" i="2"/>
  <c r="EZ41" i="2"/>
  <c r="DO41" i="2"/>
  <c r="AS41" i="2"/>
  <c r="MA63" i="2"/>
  <c r="GK63" i="2"/>
  <c r="FS63" i="2"/>
  <c r="KR64" i="2"/>
  <c r="JG64" i="2"/>
  <c r="HV64" i="2"/>
  <c r="GK64" i="2"/>
  <c r="EZ64" i="2"/>
  <c r="DO64" i="2"/>
  <c r="CD64" i="2"/>
  <c r="AS64" i="2"/>
  <c r="KR66" i="2"/>
  <c r="JG66" i="2"/>
  <c r="HV66" i="2"/>
  <c r="EZ66" i="2"/>
  <c r="CD66" i="2"/>
  <c r="AS66" i="2"/>
  <c r="EZ67" i="2"/>
  <c r="KR83" i="2"/>
  <c r="KS83" i="2" s="1"/>
  <c r="JG83" i="2"/>
  <c r="JH83" i="2" s="1"/>
  <c r="GK83" i="2"/>
  <c r="EZ83" i="2"/>
  <c r="DO83" i="2"/>
  <c r="CD83" i="2"/>
  <c r="AS83" i="2"/>
  <c r="DO91" i="2"/>
  <c r="HV95" i="2"/>
  <c r="EZ95" i="2"/>
  <c r="GK95" i="2"/>
  <c r="DO95" i="2"/>
  <c r="AS95" i="2"/>
  <c r="CD95" i="2"/>
  <c r="DO96" i="2"/>
  <c r="KR96" i="2"/>
  <c r="KS96" i="2" s="1"/>
  <c r="HV96" i="2"/>
  <c r="GK96" i="2"/>
  <c r="CD96" i="2"/>
  <c r="JG105" i="2"/>
  <c r="IO105" i="2"/>
  <c r="HD108" i="2"/>
  <c r="HV108" i="2"/>
  <c r="MJ108" i="2" s="1"/>
  <c r="KR109" i="2"/>
  <c r="JG109" i="2"/>
  <c r="MK109" i="2" s="1"/>
  <c r="HV109" i="2"/>
  <c r="MJ109" i="2" s="1"/>
  <c r="GK109" i="2"/>
  <c r="EZ109" i="2"/>
  <c r="DO109" i="2"/>
  <c r="CD109" i="2"/>
  <c r="AS109" i="2"/>
  <c r="DO110" i="2"/>
  <c r="KR115" i="2"/>
  <c r="HV115" i="2"/>
  <c r="GK115" i="2"/>
  <c r="EZ115" i="2"/>
  <c r="DO115" i="2"/>
  <c r="AS115" i="2"/>
  <c r="CD115" i="2"/>
  <c r="KR122" i="2"/>
  <c r="JG122" i="2"/>
  <c r="HV122" i="2"/>
  <c r="GK122" i="2"/>
  <c r="DO122" i="2"/>
  <c r="CD122" i="2"/>
  <c r="AS122" i="2"/>
  <c r="KR138" i="2"/>
  <c r="HV138" i="2"/>
  <c r="GK138" i="2"/>
  <c r="EZ138" i="2"/>
  <c r="CD138" i="2"/>
  <c r="DO138" i="2"/>
  <c r="AS138" i="2"/>
  <c r="KR143" i="2"/>
  <c r="KS143" i="2" s="1"/>
  <c r="JG143" i="2"/>
  <c r="JH143" i="2" s="1"/>
  <c r="HV143" i="2"/>
  <c r="HW143" i="2" s="1"/>
  <c r="GK143" i="2"/>
  <c r="EZ143" i="2"/>
  <c r="FA143" i="2" s="1"/>
  <c r="DO143" i="2"/>
  <c r="DP143" i="2" s="1"/>
  <c r="CD143" i="2"/>
  <c r="AS143" i="2"/>
  <c r="GK149" i="2"/>
  <c r="MI149" i="2" s="1"/>
  <c r="JG156" i="2"/>
  <c r="IO156" i="2"/>
  <c r="KR157" i="2"/>
  <c r="KS157" i="2" s="1"/>
  <c r="JG157" i="2"/>
  <c r="HV157" i="2"/>
  <c r="MJ157" i="2" s="1"/>
  <c r="EZ157" i="2"/>
  <c r="GK157" i="2"/>
  <c r="MI157" i="2" s="1"/>
  <c r="CD157" i="2"/>
  <c r="MF157" i="2" s="1"/>
  <c r="AS157" i="2"/>
  <c r="JG166" i="2"/>
  <c r="IO166" i="2"/>
  <c r="KR189" i="2"/>
  <c r="JG189" i="2"/>
  <c r="HV189" i="2"/>
  <c r="HW189" i="2" s="1"/>
  <c r="GK189" i="2"/>
  <c r="GL189" i="2" s="1"/>
  <c r="EZ189" i="2"/>
  <c r="FA189" i="2" s="1"/>
  <c r="DO189" i="2"/>
  <c r="DP189" i="2" s="1"/>
  <c r="CD189" i="2"/>
  <c r="AS189" i="2"/>
  <c r="DO194" i="2"/>
  <c r="DO196" i="2"/>
  <c r="KR204" i="2"/>
  <c r="KS204" i="2" s="1"/>
  <c r="JG204" i="2"/>
  <c r="JH204" i="2" s="1"/>
  <c r="HV204" i="2"/>
  <c r="GK204" i="2"/>
  <c r="GL204" i="2" s="1"/>
  <c r="CD204" i="2"/>
  <c r="DO204" i="2"/>
  <c r="AS204" i="2"/>
  <c r="JG209" i="2"/>
  <c r="KR218" i="2"/>
  <c r="JG218" i="2"/>
  <c r="HV218" i="2"/>
  <c r="GK218" i="2"/>
  <c r="EZ218" i="2"/>
  <c r="DO218" i="2"/>
  <c r="CD218" i="2"/>
  <c r="DO219" i="2"/>
  <c r="JG252" i="2"/>
  <c r="HV252" i="2"/>
  <c r="GK252" i="2"/>
  <c r="EZ252" i="2"/>
  <c r="AS252" i="2"/>
  <c r="LM254" i="2"/>
  <c r="KR254" i="2"/>
  <c r="JG254" i="2"/>
  <c r="HV254" i="2"/>
  <c r="GK254" i="2"/>
  <c r="EZ254" i="2"/>
  <c r="LS254" i="2"/>
  <c r="AS254" i="2"/>
  <c r="LQ254" i="2"/>
  <c r="LO254" i="2"/>
  <c r="LU254" i="2"/>
  <c r="JG262" i="2"/>
  <c r="GK262" i="2"/>
  <c r="HV262" i="2"/>
  <c r="EZ262" i="2"/>
  <c r="AS262" i="2"/>
  <c r="CD262" i="2"/>
  <c r="KR265" i="2"/>
  <c r="HV265" i="2"/>
  <c r="JG265" i="2"/>
  <c r="GK265" i="2"/>
  <c r="MI265" i="2" s="1"/>
  <c r="EZ265" i="2"/>
  <c r="MH265" i="2" s="1"/>
  <c r="DO265" i="2"/>
  <c r="CD265" i="2"/>
  <c r="AS265" i="2"/>
  <c r="ME265" i="2" s="1"/>
  <c r="LQ275" i="2"/>
  <c r="JG275" i="2"/>
  <c r="HV275" i="2"/>
  <c r="MJ275" i="2" s="1"/>
  <c r="GK275" i="2"/>
  <c r="EZ275" i="2"/>
  <c r="MH275" i="2" s="1"/>
  <c r="DO275" i="2"/>
  <c r="AS275" i="2"/>
  <c r="LU275" i="2"/>
  <c r="LM275" i="2"/>
  <c r="KR15" i="2"/>
  <c r="JG15" i="2"/>
  <c r="HV15" i="2"/>
  <c r="GK15" i="2"/>
  <c r="EZ15" i="2"/>
  <c r="DO15" i="2"/>
  <c r="CD15" i="2"/>
  <c r="MF15" i="2" s="1"/>
  <c r="AS15" i="2"/>
  <c r="HV59" i="2"/>
  <c r="KR13" i="2"/>
  <c r="JG13" i="2"/>
  <c r="GK13" i="2"/>
  <c r="HV13" i="2"/>
  <c r="EZ13" i="2"/>
  <c r="DO13" i="2"/>
  <c r="CD13" i="2"/>
  <c r="AS13" i="2"/>
  <c r="JG21" i="2"/>
  <c r="IO21" i="2"/>
  <c r="LO24" i="2"/>
  <c r="JG30" i="2"/>
  <c r="HV30" i="2"/>
  <c r="GK30" i="2"/>
  <c r="EZ30" i="2"/>
  <c r="DO30" i="2"/>
  <c r="CD30" i="2"/>
  <c r="AS30" i="2"/>
  <c r="AS35" i="2"/>
  <c r="CD36" i="2"/>
  <c r="KR40" i="2"/>
  <c r="JG40" i="2"/>
  <c r="HV40" i="2"/>
  <c r="GK40" i="2"/>
  <c r="EZ40" i="2"/>
  <c r="DO40" i="2"/>
  <c r="CD40" i="2"/>
  <c r="MF40" i="2" s="1"/>
  <c r="AS40" i="2"/>
  <c r="KR45" i="2"/>
  <c r="KS45" i="2" s="1"/>
  <c r="JG45" i="2"/>
  <c r="HV45" i="2"/>
  <c r="GK45" i="2"/>
  <c r="EZ45" i="2"/>
  <c r="DO45" i="2"/>
  <c r="CD45" i="2"/>
  <c r="AS45" i="2"/>
  <c r="JG49" i="2"/>
  <c r="IO49" i="2"/>
  <c r="LU56" i="2"/>
  <c r="KR73" i="2"/>
  <c r="KS73" i="2" s="1"/>
  <c r="HV73" i="2"/>
  <c r="GK73" i="2"/>
  <c r="EZ73" i="2"/>
  <c r="CD73" i="2"/>
  <c r="AS73" i="2"/>
  <c r="JG75" i="2"/>
  <c r="IO75" i="2"/>
  <c r="JZ79" i="2"/>
  <c r="KR79" i="2"/>
  <c r="LO80" i="2"/>
  <c r="LS81" i="2"/>
  <c r="HV82" i="2"/>
  <c r="HD82" i="2"/>
  <c r="JG99" i="2"/>
  <c r="HV99" i="2"/>
  <c r="GK99" i="2"/>
  <c r="EZ99" i="2"/>
  <c r="CD99" i="2"/>
  <c r="DO99" i="2"/>
  <c r="AS99" i="2"/>
  <c r="KR101" i="2"/>
  <c r="KS101" i="2" s="1"/>
  <c r="JG101" i="2"/>
  <c r="HV101" i="2"/>
  <c r="GK101" i="2"/>
  <c r="EZ101" i="2"/>
  <c r="DO101" i="2"/>
  <c r="CD101" i="2"/>
  <c r="EZ107" i="2"/>
  <c r="LM109" i="2"/>
  <c r="MA116" i="2"/>
  <c r="JG117" i="2"/>
  <c r="HV123" i="2"/>
  <c r="HD123" i="2"/>
  <c r="LS131" i="2"/>
  <c r="MA132" i="2"/>
  <c r="CD133" i="2"/>
  <c r="KR140" i="2"/>
  <c r="JG140" i="2"/>
  <c r="MK140" i="2" s="1"/>
  <c r="HV140" i="2"/>
  <c r="EZ140" i="2"/>
  <c r="GK140" i="2"/>
  <c r="DO140" i="2"/>
  <c r="CD140" i="2"/>
  <c r="AS140" i="2"/>
  <c r="CD146" i="2"/>
  <c r="MA147" i="2"/>
  <c r="CY147" i="2"/>
  <c r="DO147" i="2"/>
  <c r="LM157" i="2"/>
  <c r="GK158" i="2"/>
  <c r="FS158" i="2"/>
  <c r="HV180" i="2"/>
  <c r="MJ180" i="2" s="1"/>
  <c r="HD180" i="2"/>
  <c r="CD191" i="2"/>
  <c r="DO193" i="2"/>
  <c r="KR194" i="2"/>
  <c r="JG194" i="2"/>
  <c r="GK194" i="2"/>
  <c r="EZ194" i="2"/>
  <c r="AS194" i="2"/>
  <c r="KR201" i="2"/>
  <c r="JZ201" i="2"/>
  <c r="CD202" i="2"/>
  <c r="KR214" i="2"/>
  <c r="JG214" i="2"/>
  <c r="HV214" i="2"/>
  <c r="GK214" i="2"/>
  <c r="EZ214" i="2"/>
  <c r="DO214" i="2"/>
  <c r="CD214" i="2"/>
  <c r="AS214" i="2"/>
  <c r="KR224" i="2"/>
  <c r="JZ224" i="2"/>
  <c r="JG225" i="2"/>
  <c r="HV225" i="2"/>
  <c r="EZ225" i="2"/>
  <c r="MH225" i="2" s="1"/>
  <c r="CD225" i="2"/>
  <c r="AS225" i="2"/>
  <c r="LS230" i="2"/>
  <c r="KR230" i="2"/>
  <c r="JG230" i="2"/>
  <c r="GK230" i="2"/>
  <c r="CD230" i="2"/>
  <c r="LO230" i="2"/>
  <c r="AS230" i="2"/>
  <c r="LO233" i="2"/>
  <c r="EZ234" i="2"/>
  <c r="KR235" i="2"/>
  <c r="JZ235" i="2"/>
  <c r="JG280" i="2"/>
  <c r="KR280" i="2"/>
  <c r="KS280" i="2" s="1"/>
  <c r="HV280" i="2"/>
  <c r="GK280" i="2"/>
  <c r="EZ280" i="2"/>
  <c r="CD280" i="2"/>
  <c r="AS280" i="2"/>
  <c r="AS56" i="2"/>
  <c r="GK35" i="2"/>
  <c r="KR30" i="2"/>
  <c r="ML30" i="2" s="1"/>
  <c r="JZ30" i="2"/>
  <c r="LQ38" i="2"/>
  <c r="KR10" i="2"/>
  <c r="JG10" i="2"/>
  <c r="HV10" i="2"/>
  <c r="GK10" i="2"/>
  <c r="DO10" i="2"/>
  <c r="MG10" i="2" s="1"/>
  <c r="CD10" i="2"/>
  <c r="BL18" i="2"/>
  <c r="CD18" i="2"/>
  <c r="HV18" i="2"/>
  <c r="HD18" i="2"/>
  <c r="BL21" i="2"/>
  <c r="CD21" i="2"/>
  <c r="AS22" i="2"/>
  <c r="ME22" i="2" s="1"/>
  <c r="KR23" i="2"/>
  <c r="JG23" i="2"/>
  <c r="HV23" i="2"/>
  <c r="MJ23" i="2" s="1"/>
  <c r="GK23" i="2"/>
  <c r="MI23" i="2" s="1"/>
  <c r="EZ23" i="2"/>
  <c r="CD23" i="2"/>
  <c r="DO23" i="2"/>
  <c r="AS23" i="2"/>
  <c r="LS38" i="2"/>
  <c r="FS42" i="2"/>
  <c r="GK42" i="2"/>
  <c r="DO44" i="2"/>
  <c r="KR55" i="2"/>
  <c r="JZ55" i="2"/>
  <c r="JG56" i="2"/>
  <c r="IO56" i="2"/>
  <c r="JG57" i="2"/>
  <c r="IO57" i="2"/>
  <c r="KR60" i="2"/>
  <c r="JZ60" i="2"/>
  <c r="HV63" i="2"/>
  <c r="KR68" i="2"/>
  <c r="JG68" i="2"/>
  <c r="MK68" i="2" s="1"/>
  <c r="HV68" i="2"/>
  <c r="EZ68" i="2"/>
  <c r="GK68" i="2"/>
  <c r="DO68" i="2"/>
  <c r="MG68" i="2" s="1"/>
  <c r="CD68" i="2"/>
  <c r="AS68" i="2"/>
  <c r="MA70" i="2"/>
  <c r="KR71" i="2"/>
  <c r="JZ71" i="2"/>
  <c r="LU72" i="2"/>
  <c r="LW72" i="2" s="1"/>
  <c r="LX72" i="2" s="1"/>
  <c r="KR72" i="2"/>
  <c r="KS72" i="2" s="1"/>
  <c r="HV72" i="2"/>
  <c r="GK72" i="2"/>
  <c r="MI72" i="2" s="1"/>
  <c r="EZ72" i="2"/>
  <c r="DO72" i="2"/>
  <c r="CD72" i="2"/>
  <c r="AS72" i="2"/>
  <c r="GK74" i="2"/>
  <c r="MA74" i="2"/>
  <c r="KR76" i="2"/>
  <c r="KS76" i="2" s="1"/>
  <c r="HV76" i="2"/>
  <c r="EZ76" i="2"/>
  <c r="MH76" i="2" s="1"/>
  <c r="GK76" i="2"/>
  <c r="MI76" i="2" s="1"/>
  <c r="DO76" i="2"/>
  <c r="MG76" i="2" s="1"/>
  <c r="CD76" i="2"/>
  <c r="AS76" i="2"/>
  <c r="HV86" i="2"/>
  <c r="EZ86" i="2"/>
  <c r="DO86" i="2"/>
  <c r="CD86" i="2"/>
  <c r="AS86" i="2"/>
  <c r="CD94" i="2"/>
  <c r="LS97" i="2"/>
  <c r="EZ110" i="2"/>
  <c r="KR112" i="2"/>
  <c r="JG112" i="2"/>
  <c r="HV112" i="2"/>
  <c r="GK112" i="2"/>
  <c r="EZ112" i="2"/>
  <c r="DO112" i="2"/>
  <c r="CD112" i="2"/>
  <c r="AS112" i="2"/>
  <c r="DO118" i="2"/>
  <c r="MA118" i="2"/>
  <c r="CD129" i="2"/>
  <c r="MA133" i="2"/>
  <c r="KR142" i="2"/>
  <c r="JG142" i="2"/>
  <c r="HV142" i="2"/>
  <c r="GK142" i="2"/>
  <c r="EZ142" i="2"/>
  <c r="DO142" i="2"/>
  <c r="CD142" i="2"/>
  <c r="AS142" i="2"/>
  <c r="JG144" i="2"/>
  <c r="IO144" i="2"/>
  <c r="KR150" i="2"/>
  <c r="JG150" i="2"/>
  <c r="HV150" i="2"/>
  <c r="EZ150" i="2"/>
  <c r="GK150" i="2"/>
  <c r="DO150" i="2"/>
  <c r="AS150" i="2"/>
  <c r="CD150" i="2"/>
  <c r="KR152" i="2"/>
  <c r="JZ152" i="2"/>
  <c r="HV160" i="2"/>
  <c r="JG168" i="2"/>
  <c r="KR168" i="2"/>
  <c r="KS168" i="2" s="1"/>
  <c r="HV168" i="2"/>
  <c r="GK168" i="2"/>
  <c r="EZ168" i="2"/>
  <c r="DO168" i="2"/>
  <c r="AS168" i="2"/>
  <c r="LU169" i="2"/>
  <c r="KR176" i="2"/>
  <c r="KS176" i="2" s="1"/>
  <c r="JG176" i="2"/>
  <c r="JH176" i="2" s="1"/>
  <c r="HV176" i="2"/>
  <c r="GK176" i="2"/>
  <c r="GL176" i="2" s="1"/>
  <c r="EZ176" i="2"/>
  <c r="CD176" i="2"/>
  <c r="AS176" i="2"/>
  <c r="KR181" i="2"/>
  <c r="HV181" i="2"/>
  <c r="GK181" i="2"/>
  <c r="DO181" i="2"/>
  <c r="AS181" i="2"/>
  <c r="LQ184" i="2"/>
  <c r="KR188" i="2"/>
  <c r="KS188" i="2" s="1"/>
  <c r="JG188" i="2"/>
  <c r="HV188" i="2"/>
  <c r="GK188" i="2"/>
  <c r="GL188" i="2" s="1"/>
  <c r="EZ188" i="2"/>
  <c r="AS188" i="2"/>
  <c r="LS191" i="2"/>
  <c r="KR206" i="2"/>
  <c r="JZ206" i="2"/>
  <c r="MA207" i="2"/>
  <c r="CD207" i="2"/>
  <c r="AS210" i="2"/>
  <c r="CD212" i="2"/>
  <c r="JZ229" i="2"/>
  <c r="KR229" i="2"/>
  <c r="JG237" i="2"/>
  <c r="KR237" i="2"/>
  <c r="KS237" i="2" s="1"/>
  <c r="HV237" i="2"/>
  <c r="MJ237" i="2" s="1"/>
  <c r="GK237" i="2"/>
  <c r="EZ237" i="2"/>
  <c r="DO237" i="2"/>
  <c r="CD237" i="2"/>
  <c r="AS237" i="2"/>
  <c r="KR258" i="2"/>
  <c r="JG258" i="2"/>
  <c r="HV258" i="2"/>
  <c r="EZ258" i="2"/>
  <c r="DO258" i="2"/>
  <c r="GK258" i="2"/>
  <c r="CD258" i="2"/>
  <c r="AS258" i="2"/>
  <c r="KR278" i="2"/>
  <c r="JG278" i="2"/>
  <c r="HV278" i="2"/>
  <c r="GK278" i="2"/>
  <c r="EZ278" i="2"/>
  <c r="DO278" i="2"/>
  <c r="CD278" i="2"/>
  <c r="LM278" i="2"/>
  <c r="AS278" i="2"/>
  <c r="LU278" i="2"/>
  <c r="LQ278" i="2"/>
  <c r="LO278" i="2"/>
  <c r="EZ24" i="2"/>
  <c r="MH24" i="2" s="1"/>
  <c r="EH24" i="2"/>
  <c r="EZ10" i="2"/>
  <c r="KR25" i="2"/>
  <c r="JG25" i="2"/>
  <c r="GK25" i="2"/>
  <c r="HV25" i="2"/>
  <c r="MJ25" i="2" s="1"/>
  <c r="EZ25" i="2"/>
  <c r="DO25" i="2"/>
  <c r="CD25" i="2"/>
  <c r="AS25" i="2"/>
  <c r="MA17" i="2"/>
  <c r="AS10" i="2"/>
  <c r="ME10" i="2" s="1"/>
  <c r="KR17" i="2"/>
  <c r="JG17" i="2"/>
  <c r="GK17" i="2"/>
  <c r="EZ17" i="2"/>
  <c r="DO17" i="2"/>
  <c r="CD17" i="2"/>
  <c r="AS17" i="2"/>
  <c r="KR19" i="2"/>
  <c r="KS19" i="2" s="1"/>
  <c r="JG19" i="2"/>
  <c r="JH19" i="2" s="1"/>
  <c r="HV19" i="2"/>
  <c r="DO19" i="2"/>
  <c r="KR22" i="2"/>
  <c r="JG22" i="2"/>
  <c r="HV22" i="2"/>
  <c r="GK22" i="2"/>
  <c r="EZ22" i="2"/>
  <c r="DO22" i="2"/>
  <c r="CD22" i="2"/>
  <c r="KR28" i="2"/>
  <c r="JG28" i="2"/>
  <c r="JH28" i="2" s="1"/>
  <c r="HV28" i="2"/>
  <c r="GK28" i="2"/>
  <c r="GL28" i="2" s="1"/>
  <c r="EZ28" i="2"/>
  <c r="DO28" i="2"/>
  <c r="DP28" i="2" s="1"/>
  <c r="CD28" i="2"/>
  <c r="AS28" i="2"/>
  <c r="KR44" i="2"/>
  <c r="KS44" i="2" s="1"/>
  <c r="HV44" i="2"/>
  <c r="GK44" i="2"/>
  <c r="EZ44" i="2"/>
  <c r="AS44" i="2"/>
  <c r="DO49" i="2"/>
  <c r="KR52" i="2"/>
  <c r="JZ52" i="2"/>
  <c r="JG59" i="2"/>
  <c r="IO59" i="2"/>
  <c r="MA62" i="2"/>
  <c r="CD62" i="2"/>
  <c r="MF62" i="2" s="1"/>
  <c r="MA65" i="2"/>
  <c r="JG65" i="2"/>
  <c r="JG78" i="2"/>
  <c r="IO78" i="2"/>
  <c r="LU81" i="2"/>
  <c r="GK90" i="2"/>
  <c r="GG90" i="2"/>
  <c r="LM90" i="2"/>
  <c r="KR90" i="2"/>
  <c r="EZ90" i="2"/>
  <c r="DO90" i="2"/>
  <c r="AS91" i="2"/>
  <c r="KR94" i="2"/>
  <c r="JG94" i="2"/>
  <c r="HV94" i="2"/>
  <c r="EZ94" i="2"/>
  <c r="GK94" i="2"/>
  <c r="DO94" i="2"/>
  <c r="AS94" i="2"/>
  <c r="EZ96" i="2"/>
  <c r="KR105" i="2"/>
  <c r="KS105" i="2" s="1"/>
  <c r="HV105" i="2"/>
  <c r="GK105" i="2"/>
  <c r="DO105" i="2"/>
  <c r="CD105" i="2"/>
  <c r="AS105" i="2"/>
  <c r="KR111" i="2"/>
  <c r="KS111" i="2" s="1"/>
  <c r="JG111" i="2"/>
  <c r="JH111" i="2" s="1"/>
  <c r="HV111" i="2"/>
  <c r="HW111" i="2" s="1"/>
  <c r="EZ111" i="2"/>
  <c r="FA111" i="2" s="1"/>
  <c r="GK111" i="2"/>
  <c r="DO111" i="2"/>
  <c r="DP111" i="2" s="1"/>
  <c r="CD111" i="2"/>
  <c r="KR117" i="2"/>
  <c r="KS117" i="2" s="1"/>
  <c r="GK117" i="2"/>
  <c r="EZ117" i="2"/>
  <c r="CD117" i="2"/>
  <c r="AS117" i="2"/>
  <c r="CD126" i="2"/>
  <c r="MF126" i="2" s="1"/>
  <c r="LU131" i="2"/>
  <c r="KR135" i="2"/>
  <c r="KS135" i="2" s="1"/>
  <c r="JG135" i="2"/>
  <c r="JH135" i="2" s="1"/>
  <c r="HV135" i="2"/>
  <c r="HW135" i="2" s="1"/>
  <c r="GK135" i="2"/>
  <c r="GL135" i="2" s="1"/>
  <c r="DO135" i="2"/>
  <c r="DP135" i="2" s="1"/>
  <c r="EZ135" i="2"/>
  <c r="FA135" i="2" s="1"/>
  <c r="CD135" i="2"/>
  <c r="KR136" i="2"/>
  <c r="JG136" i="2"/>
  <c r="HV136" i="2"/>
  <c r="GK136" i="2"/>
  <c r="EZ136" i="2"/>
  <c r="DO136" i="2"/>
  <c r="CD136" i="2"/>
  <c r="AS149" i="2"/>
  <c r="ME149" i="2" s="1"/>
  <c r="HV149" i="2"/>
  <c r="HD149" i="2"/>
  <c r="KR153" i="2"/>
  <c r="KS153" i="2" s="1"/>
  <c r="JG153" i="2"/>
  <c r="HV153" i="2"/>
  <c r="HW153" i="2" s="1"/>
  <c r="GK153" i="2"/>
  <c r="GL153" i="2" s="1"/>
  <c r="EZ153" i="2"/>
  <c r="DO153" i="2"/>
  <c r="AS153" i="2"/>
  <c r="CD153" i="2"/>
  <c r="KR156" i="2"/>
  <c r="HV156" i="2"/>
  <c r="GK156" i="2"/>
  <c r="MI156" i="2" s="1"/>
  <c r="EZ156" i="2"/>
  <c r="DO156" i="2"/>
  <c r="AS156" i="2"/>
  <c r="CW157" i="2"/>
  <c r="DO157" i="2"/>
  <c r="MG157" i="2" s="1"/>
  <c r="LO157" i="2"/>
  <c r="AS159" i="2"/>
  <c r="AA159" i="2"/>
  <c r="KR166" i="2"/>
  <c r="HV166" i="2"/>
  <c r="GK166" i="2"/>
  <c r="EZ166" i="2"/>
  <c r="CD166" i="2"/>
  <c r="AS166" i="2"/>
  <c r="KR174" i="2"/>
  <c r="JG174" i="2"/>
  <c r="HV174" i="2"/>
  <c r="GK174" i="2"/>
  <c r="EZ174" i="2"/>
  <c r="DO174" i="2"/>
  <c r="CD174" i="2"/>
  <c r="AS174" i="2"/>
  <c r="AS178" i="2"/>
  <c r="AA178" i="2"/>
  <c r="EZ195" i="2"/>
  <c r="AA199" i="2"/>
  <c r="AS199" i="2"/>
  <c r="KR200" i="2"/>
  <c r="KS200" i="2" s="1"/>
  <c r="JG200" i="2"/>
  <c r="JH200" i="2" s="1"/>
  <c r="HV200" i="2"/>
  <c r="GK200" i="2"/>
  <c r="GL200" i="2" s="1"/>
  <c r="EZ200" i="2"/>
  <c r="DO200" i="2"/>
  <c r="DP200" i="2" s="1"/>
  <c r="JG201" i="2"/>
  <c r="HV201" i="2"/>
  <c r="GK201" i="2"/>
  <c r="DO201" i="2"/>
  <c r="AS201" i="2"/>
  <c r="CD201" i="2"/>
  <c r="JG221" i="2"/>
  <c r="KR221" i="2"/>
  <c r="HV221" i="2"/>
  <c r="GK221" i="2"/>
  <c r="EZ221" i="2"/>
  <c r="DO221" i="2"/>
  <c r="AS221" i="2"/>
  <c r="CD229" i="2"/>
  <c r="HV232" i="2"/>
  <c r="KR249" i="2"/>
  <c r="KS249" i="2" s="1"/>
  <c r="JG249" i="2"/>
  <c r="GK249" i="2"/>
  <c r="MI249" i="2" s="1"/>
  <c r="EZ249" i="2"/>
  <c r="CD249" i="2"/>
  <c r="AS249" i="2"/>
  <c r="LO273" i="2"/>
  <c r="KR273" i="2"/>
  <c r="KS273" i="2" s="1"/>
  <c r="JG273" i="2"/>
  <c r="HV273" i="2"/>
  <c r="MJ273" i="2" s="1"/>
  <c r="GK273" i="2"/>
  <c r="MI273" i="2" s="1"/>
  <c r="DO273" i="2"/>
  <c r="MG273" i="2" s="1"/>
  <c r="CD273" i="2"/>
  <c r="AS273" i="2"/>
  <c r="LQ273" i="2"/>
  <c r="LM273" i="2"/>
  <c r="JG87" i="2"/>
  <c r="IO87" i="2"/>
  <c r="KR93" i="2"/>
  <c r="KS93" i="2" s="1"/>
  <c r="JG93" i="2"/>
  <c r="HV93" i="2"/>
  <c r="HW93" i="2" s="1"/>
  <c r="GK93" i="2"/>
  <c r="GL93" i="2" s="1"/>
  <c r="EZ93" i="2"/>
  <c r="FA93" i="2" s="1"/>
  <c r="DO93" i="2"/>
  <c r="DP93" i="2" s="1"/>
  <c r="CD93" i="2"/>
  <c r="AS93" i="2"/>
  <c r="KR98" i="2"/>
  <c r="JZ98" i="2"/>
  <c r="EZ106" i="2"/>
  <c r="MA106" i="2"/>
  <c r="JG108" i="2"/>
  <c r="JH108" i="2" s="1"/>
  <c r="KR108" i="2"/>
  <c r="KS108" i="2" s="1"/>
  <c r="GK108" i="2"/>
  <c r="EZ108" i="2"/>
  <c r="DO108" i="2"/>
  <c r="CD108" i="2"/>
  <c r="AS108" i="2"/>
  <c r="KR114" i="2"/>
  <c r="JG114" i="2"/>
  <c r="HV114" i="2"/>
  <c r="GK114" i="2"/>
  <c r="DO114" i="2"/>
  <c r="EZ114" i="2"/>
  <c r="CD114" i="2"/>
  <c r="KR119" i="2"/>
  <c r="JZ119" i="2"/>
  <c r="HV128" i="2"/>
  <c r="MJ128" i="2" s="1"/>
  <c r="KR130" i="2"/>
  <c r="JG130" i="2"/>
  <c r="HV130" i="2"/>
  <c r="EZ130" i="2"/>
  <c r="GK130" i="2"/>
  <c r="DO130" i="2"/>
  <c r="AS130" i="2"/>
  <c r="JG134" i="2"/>
  <c r="MA135" i="2"/>
  <c r="AS135" i="2"/>
  <c r="EZ141" i="2"/>
  <c r="CD144" i="2"/>
  <c r="FS152" i="2"/>
  <c r="GK152" i="2"/>
  <c r="AS154" i="2"/>
  <c r="AA154" i="2"/>
  <c r="CD156" i="2"/>
  <c r="BL156" i="2"/>
  <c r="JG159" i="2"/>
  <c r="IO159" i="2"/>
  <c r="AS161" i="2"/>
  <c r="ME161" i="2" s="1"/>
  <c r="MM161" i="2" s="1" a="1"/>
  <c r="MM161" i="2" s="1"/>
  <c r="KR170" i="2"/>
  <c r="JG170" i="2"/>
  <c r="HV170" i="2"/>
  <c r="GK170" i="2"/>
  <c r="EZ170" i="2"/>
  <c r="DO170" i="2"/>
  <c r="AS170" i="2"/>
  <c r="CD170" i="2"/>
  <c r="KR173" i="2"/>
  <c r="KS173" i="2" s="1"/>
  <c r="JG173" i="2"/>
  <c r="HV173" i="2"/>
  <c r="HW173" i="2" s="1"/>
  <c r="GK173" i="2"/>
  <c r="GL173" i="2" s="1"/>
  <c r="EZ173" i="2"/>
  <c r="FA173" i="2" s="1"/>
  <c r="DO173" i="2"/>
  <c r="CD173" i="2"/>
  <c r="AS173" i="2"/>
  <c r="HV178" i="2"/>
  <c r="CD181" i="2"/>
  <c r="JG206" i="2"/>
  <c r="HV206" i="2"/>
  <c r="EZ206" i="2"/>
  <c r="GK206" i="2"/>
  <c r="DO206" i="2"/>
  <c r="CD206" i="2"/>
  <c r="AS206" i="2"/>
  <c r="MA208" i="2"/>
  <c r="KR208" i="2"/>
  <c r="JZ208" i="2"/>
  <c r="DO212" i="2"/>
  <c r="DO225" i="2"/>
  <c r="KR226" i="2"/>
  <c r="JG226" i="2"/>
  <c r="HV226" i="2"/>
  <c r="GK226" i="2"/>
  <c r="EZ226" i="2"/>
  <c r="DO226" i="2"/>
  <c r="CD226" i="2"/>
  <c r="AS226" i="2"/>
  <c r="KR228" i="2"/>
  <c r="JG228" i="2"/>
  <c r="HV228" i="2"/>
  <c r="EZ228" i="2"/>
  <c r="GK228" i="2"/>
  <c r="DO228" i="2"/>
  <c r="CD228" i="2"/>
  <c r="AS228" i="2"/>
  <c r="LM247" i="2"/>
  <c r="HV247" i="2"/>
  <c r="GK247" i="2"/>
  <c r="LS247" i="2"/>
  <c r="LO247" i="2"/>
  <c r="LU247" i="2"/>
  <c r="LO286" i="2"/>
  <c r="KR286" i="2"/>
  <c r="JG286" i="2"/>
  <c r="HV286" i="2"/>
  <c r="GK286" i="2"/>
  <c r="EZ286" i="2"/>
  <c r="MH286" i="2" s="1"/>
  <c r="CD286" i="2"/>
  <c r="AS286" i="2"/>
  <c r="LU289" i="2"/>
  <c r="KR289" i="2"/>
  <c r="KS289" i="2" s="1"/>
  <c r="JG289" i="2"/>
  <c r="HV289" i="2"/>
  <c r="HW289" i="2" s="1"/>
  <c r="GK289" i="2"/>
  <c r="GL289" i="2" s="1"/>
  <c r="EZ289" i="2"/>
  <c r="FA289" i="2" s="1"/>
  <c r="CD289" i="2"/>
  <c r="DO289" i="2"/>
  <c r="DP289" i="2" s="1"/>
  <c r="AS289" i="2"/>
  <c r="LS289" i="2"/>
  <c r="LM289" i="2"/>
  <c r="JG70" i="2"/>
  <c r="IO70" i="2"/>
  <c r="JG79" i="2"/>
  <c r="HV79" i="2"/>
  <c r="GK79" i="2"/>
  <c r="EZ79" i="2"/>
  <c r="CD79" i="2"/>
  <c r="DO79" i="2"/>
  <c r="AS79" i="2"/>
  <c r="AS85" i="2"/>
  <c r="JG92" i="2"/>
  <c r="IO92" i="2"/>
  <c r="DO18" i="2"/>
  <c r="JG18" i="2"/>
  <c r="IO18" i="2"/>
  <c r="KR21" i="2"/>
  <c r="KS21" i="2" s="1"/>
  <c r="HV21" i="2"/>
  <c r="GK21" i="2"/>
  <c r="EZ21" i="2"/>
  <c r="AS21" i="2"/>
  <c r="DO35" i="2"/>
  <c r="MA36" i="2"/>
  <c r="JG52" i="2"/>
  <c r="HV52" i="2"/>
  <c r="EZ52" i="2"/>
  <c r="GK52" i="2"/>
  <c r="DO52" i="2"/>
  <c r="CD52" i="2"/>
  <c r="AS52" i="2"/>
  <c r="KR54" i="2"/>
  <c r="JZ54" i="2"/>
  <c r="HV57" i="2"/>
  <c r="GK57" i="2"/>
  <c r="EZ57" i="2"/>
  <c r="MH57" i="2" s="1"/>
  <c r="DO57" i="2"/>
  <c r="CD57" i="2"/>
  <c r="KR65" i="2"/>
  <c r="JZ65" i="2"/>
  <c r="MA66" i="2"/>
  <c r="DO66" i="2"/>
  <c r="KR67" i="2"/>
  <c r="ML67" i="2" s="1"/>
  <c r="JZ67" i="2"/>
  <c r="DO73" i="2"/>
  <c r="KR82" i="2"/>
  <c r="JG82" i="2"/>
  <c r="EZ82" i="2"/>
  <c r="DO82" i="2"/>
  <c r="CD82" i="2"/>
  <c r="AS82" i="2"/>
  <c r="KR85" i="2"/>
  <c r="JG85" i="2"/>
  <c r="HV85" i="2"/>
  <c r="GK85" i="2"/>
  <c r="EZ85" i="2"/>
  <c r="GK86" i="2"/>
  <c r="HV90" i="2"/>
  <c r="MJ90" i="2" s="1"/>
  <c r="HD90" i="2"/>
  <c r="CD91" i="2"/>
  <c r="JG97" i="2"/>
  <c r="IO97" i="2"/>
  <c r="MA97" i="2"/>
  <c r="MA101" i="2"/>
  <c r="AS101" i="2"/>
  <c r="LM108" i="2"/>
  <c r="KR116" i="2"/>
  <c r="EZ120" i="2"/>
  <c r="KR123" i="2"/>
  <c r="KS123" i="2" s="1"/>
  <c r="JG123" i="2"/>
  <c r="JH123" i="2" s="1"/>
  <c r="GK123" i="2"/>
  <c r="DO123" i="2"/>
  <c r="EZ123" i="2"/>
  <c r="CD123" i="2"/>
  <c r="AS123" i="2"/>
  <c r="AS148" i="2"/>
  <c r="DO152" i="2"/>
  <c r="MG152" i="2" s="1"/>
  <c r="LQ157" i="2"/>
  <c r="KR158" i="2"/>
  <c r="JZ158" i="2"/>
  <c r="MA168" i="2"/>
  <c r="CD168" i="2"/>
  <c r="BL168" i="2"/>
  <c r="JG175" i="2"/>
  <c r="JH175" i="2" s="1"/>
  <c r="KR175" i="2"/>
  <c r="KS175" i="2" s="1"/>
  <c r="HV175" i="2"/>
  <c r="HW175" i="2" s="1"/>
  <c r="GK175" i="2"/>
  <c r="GL175" i="2" s="1"/>
  <c r="EZ175" i="2"/>
  <c r="FA175" i="2" s="1"/>
  <c r="AS175" i="2"/>
  <c r="KR180" i="2"/>
  <c r="JG180" i="2"/>
  <c r="EZ180" i="2"/>
  <c r="DO180" i="2"/>
  <c r="CD180" i="2"/>
  <c r="AS180" i="2"/>
  <c r="HV184" i="2"/>
  <c r="GK192" i="2"/>
  <c r="FS192" i="2"/>
  <c r="MA193" i="2"/>
  <c r="GK195" i="2"/>
  <c r="JG199" i="2"/>
  <c r="IO199" i="2"/>
  <c r="AS200" i="2"/>
  <c r="AA200" i="2"/>
  <c r="JG229" i="2"/>
  <c r="GK229" i="2"/>
  <c r="MI229" i="2" s="1"/>
  <c r="EZ229" i="2"/>
  <c r="MH229" i="2" s="1"/>
  <c r="LM229" i="2"/>
  <c r="LS229" i="2"/>
  <c r="JG235" i="2"/>
  <c r="HV235" i="2"/>
  <c r="GK235" i="2"/>
  <c r="DO235" i="2"/>
  <c r="CD235" i="2"/>
  <c r="LU235" i="2"/>
  <c r="AS235" i="2"/>
  <c r="CD240" i="2"/>
  <c r="LS251" i="2"/>
  <c r="KR251" i="2"/>
  <c r="HV251" i="2"/>
  <c r="GK251" i="2"/>
  <c r="EZ251" i="2"/>
  <c r="MH251" i="2" s="1"/>
  <c r="DO251" i="2"/>
  <c r="MG251" i="2" s="1"/>
  <c r="AS251" i="2"/>
  <c r="LM251" i="2"/>
  <c r="JG263" i="2"/>
  <c r="MK263" i="2" s="1"/>
  <c r="HV263" i="2"/>
  <c r="MJ263" i="2" s="1"/>
  <c r="GK263" i="2"/>
  <c r="EZ263" i="2"/>
  <c r="DO263" i="2"/>
  <c r="CD263" i="2"/>
  <c r="LQ263" i="2"/>
  <c r="LO263" i="2"/>
  <c r="AS263" i="2"/>
  <c r="LU263" i="2"/>
  <c r="LS263" i="2"/>
  <c r="GK89" i="2"/>
  <c r="FS89" i="2"/>
  <c r="KR14" i="2"/>
  <c r="JG14" i="2"/>
  <c r="HV14" i="2"/>
  <c r="GK14" i="2"/>
  <c r="EZ14" i="2"/>
  <c r="DO14" i="2"/>
  <c r="CD14" i="2"/>
  <c r="AS14" i="2"/>
  <c r="KR16" i="2"/>
  <c r="JG16" i="2"/>
  <c r="GK16" i="2"/>
  <c r="HV16" i="2"/>
  <c r="MJ16" i="2" s="1"/>
  <c r="EZ16" i="2"/>
  <c r="DO16" i="2"/>
  <c r="CD16" i="2"/>
  <c r="AS16" i="2"/>
  <c r="EZ19" i="2"/>
  <c r="MA24" i="2"/>
  <c r="HV37" i="2"/>
  <c r="KR43" i="2"/>
  <c r="KS43" i="2" s="1"/>
  <c r="JG43" i="2"/>
  <c r="JH43" i="2" s="1"/>
  <c r="HV43" i="2"/>
  <c r="HW43" i="2" s="1"/>
  <c r="GK43" i="2"/>
  <c r="GL43" i="2" s="1"/>
  <c r="EZ43" i="2"/>
  <c r="FA43" i="2" s="1"/>
  <c r="DO43" i="2"/>
  <c r="DP43" i="2" s="1"/>
  <c r="KR49" i="2"/>
  <c r="KS49" i="2" s="1"/>
  <c r="HV49" i="2"/>
  <c r="GK49" i="2"/>
  <c r="EZ49" i="2"/>
  <c r="CD49" i="2"/>
  <c r="AS49" i="2"/>
  <c r="ME49" i="2" s="1"/>
  <c r="DO55" i="2"/>
  <c r="JG55" i="2"/>
  <c r="MK55" i="2" s="1"/>
  <c r="HV55" i="2"/>
  <c r="MJ55" i="2" s="1"/>
  <c r="GK55" i="2"/>
  <c r="EZ55" i="2"/>
  <c r="CD55" i="2"/>
  <c r="AS55" i="2"/>
  <c r="BP56" i="2"/>
  <c r="CD56" i="2"/>
  <c r="AS57" i="2"/>
  <c r="LO79" i="2"/>
  <c r="KR84" i="2"/>
  <c r="KS84" i="2" s="1"/>
  <c r="JG84" i="2"/>
  <c r="HV84" i="2"/>
  <c r="EZ84" i="2"/>
  <c r="GK84" i="2"/>
  <c r="DO84" i="2"/>
  <c r="CD84" i="2"/>
  <c r="AS84" i="2"/>
  <c r="CD85" i="2"/>
  <c r="KR87" i="2"/>
  <c r="HV87" i="2"/>
  <c r="GK87" i="2"/>
  <c r="EZ87" i="2"/>
  <c r="DO87" i="2"/>
  <c r="CD87" i="2"/>
  <c r="MF87" i="2" s="1"/>
  <c r="AS87" i="2"/>
  <c r="DO88" i="2"/>
  <c r="JG91" i="2"/>
  <c r="MK91" i="2" s="1"/>
  <c r="IO91" i="2"/>
  <c r="EZ92" i="2"/>
  <c r="KR113" i="2"/>
  <c r="KS113" i="2" s="1"/>
  <c r="JG113" i="2"/>
  <c r="HV113" i="2"/>
  <c r="HW113" i="2" s="1"/>
  <c r="EZ113" i="2"/>
  <c r="GK113" i="2"/>
  <c r="DO113" i="2"/>
  <c r="CD113" i="2"/>
  <c r="AS113" i="2"/>
  <c r="AS114" i="2"/>
  <c r="AA114" i="2"/>
  <c r="DO117" i="2"/>
  <c r="MG117" i="2" s="1"/>
  <c r="JG119" i="2"/>
  <c r="HV119" i="2"/>
  <c r="GK119" i="2"/>
  <c r="EZ119" i="2"/>
  <c r="CD119" i="2"/>
  <c r="DO119" i="2"/>
  <c r="KR121" i="2"/>
  <c r="JG121" i="2"/>
  <c r="HV121" i="2"/>
  <c r="EZ121" i="2"/>
  <c r="GK121" i="2"/>
  <c r="DO121" i="2"/>
  <c r="CD121" i="2"/>
  <c r="AS121" i="2"/>
  <c r="EZ122" i="2"/>
  <c r="EH126" i="2"/>
  <c r="EZ126" i="2"/>
  <c r="MH126" i="2" s="1"/>
  <c r="JG128" i="2"/>
  <c r="IO128" i="2"/>
  <c r="KR134" i="2"/>
  <c r="ML134" i="2" s="1"/>
  <c r="HV134" i="2"/>
  <c r="GK134" i="2"/>
  <c r="EZ134" i="2"/>
  <c r="DO134" i="2"/>
  <c r="CD134" i="2"/>
  <c r="AS134" i="2"/>
  <c r="MA136" i="2"/>
  <c r="AS136" i="2"/>
  <c r="KR139" i="2"/>
  <c r="KS139" i="2" s="1"/>
  <c r="JG139" i="2"/>
  <c r="HV139" i="2"/>
  <c r="GK139" i="2"/>
  <c r="EZ139" i="2"/>
  <c r="DO139" i="2"/>
  <c r="CD139" i="2"/>
  <c r="KR144" i="2"/>
  <c r="KS144" i="2" s="1"/>
  <c r="GK144" i="2"/>
  <c r="EZ144" i="2"/>
  <c r="AS144" i="2"/>
  <c r="CD149" i="2"/>
  <c r="MF149" i="2" s="1"/>
  <c r="MA154" i="2"/>
  <c r="AE154" i="2"/>
  <c r="KR154" i="2"/>
  <c r="JG154" i="2"/>
  <c r="HV154" i="2"/>
  <c r="GK154" i="2"/>
  <c r="EZ154" i="2"/>
  <c r="DO154" i="2"/>
  <c r="CD158" i="2"/>
  <c r="MF158" i="2" s="1"/>
  <c r="BL158" i="2"/>
  <c r="CD159" i="2"/>
  <c r="MF159" i="2" s="1"/>
  <c r="AS160" i="2"/>
  <c r="KR160" i="2"/>
  <c r="JG160" i="2"/>
  <c r="GK160" i="2"/>
  <c r="DO160" i="2"/>
  <c r="CD160" i="2"/>
  <c r="KR165" i="2"/>
  <c r="KS165" i="2" s="1"/>
  <c r="JG165" i="2"/>
  <c r="HV165" i="2"/>
  <c r="GK165" i="2"/>
  <c r="EZ165" i="2"/>
  <c r="DO165" i="2"/>
  <c r="MG165" i="2" s="1"/>
  <c r="CD165" i="2"/>
  <c r="AS165" i="2"/>
  <c r="CW166" i="2"/>
  <c r="DO166" i="2"/>
  <c r="CW171" i="2"/>
  <c r="DO171" i="2"/>
  <c r="CD175" i="2"/>
  <c r="MF175" i="2" s="1"/>
  <c r="BL175" i="2"/>
  <c r="JG178" i="2"/>
  <c r="IO178" i="2"/>
  <c r="CD188" i="2"/>
  <c r="BN188" i="2"/>
  <c r="HV191" i="2"/>
  <c r="HD191" i="2"/>
  <c r="KR198" i="2"/>
  <c r="JG198" i="2"/>
  <c r="HV198" i="2"/>
  <c r="GK198" i="2"/>
  <c r="EZ198" i="2"/>
  <c r="CD198" i="2"/>
  <c r="DO198" i="2"/>
  <c r="AS198" i="2"/>
  <c r="CD199" i="2"/>
  <c r="BL199" i="2"/>
  <c r="JG213" i="2"/>
  <c r="KR213" i="2"/>
  <c r="HV213" i="2"/>
  <c r="GK213" i="2"/>
  <c r="EZ213" i="2"/>
  <c r="DO213" i="2"/>
  <c r="CD213" i="2"/>
  <c r="LO213" i="2"/>
  <c r="AS213" i="2"/>
  <c r="JG222" i="2"/>
  <c r="IO222" i="2"/>
  <c r="CW229" i="2"/>
  <c r="DO229" i="2"/>
  <c r="MG229" i="2" s="1"/>
  <c r="EH230" i="2"/>
  <c r="EZ230" i="2"/>
  <c r="MH230" i="2" s="1"/>
  <c r="MA230" i="2"/>
  <c r="EZ235" i="2"/>
  <c r="MA235" i="2"/>
  <c r="LM255" i="2"/>
  <c r="KR255" i="2"/>
  <c r="KS255" i="2" s="1"/>
  <c r="HV255" i="2"/>
  <c r="MJ255" i="2" s="1"/>
  <c r="GK255" i="2"/>
  <c r="EZ255" i="2"/>
  <c r="MH255" i="2" s="1"/>
  <c r="AS255" i="2"/>
  <c r="CD255" i="2"/>
  <c r="LQ255" i="2"/>
  <c r="LO255" i="2"/>
  <c r="LU255" i="2"/>
  <c r="LS255" i="2"/>
  <c r="KR238" i="2"/>
  <c r="JZ238" i="2"/>
  <c r="KR239" i="2"/>
  <c r="EZ239" i="2"/>
  <c r="DO239" i="2"/>
  <c r="GK239" i="2"/>
  <c r="JG244" i="2"/>
  <c r="HV244" i="2"/>
  <c r="DO244" i="2"/>
  <c r="CD244" i="2"/>
  <c r="AS244" i="2"/>
  <c r="KR257" i="2"/>
  <c r="KS257" i="2" s="1"/>
  <c r="JG257" i="2"/>
  <c r="GK257" i="2"/>
  <c r="HV257" i="2"/>
  <c r="HW257" i="2" s="1"/>
  <c r="DO257" i="2"/>
  <c r="CD257" i="2"/>
  <c r="AS257" i="2"/>
  <c r="JZ261" i="2"/>
  <c r="KR261" i="2"/>
  <c r="HV264" i="2"/>
  <c r="MJ264" i="2" s="1"/>
  <c r="MA264" i="2"/>
  <c r="CD268" i="2"/>
  <c r="MF268" i="2" s="1"/>
  <c r="KR269" i="2"/>
  <c r="JZ269" i="2"/>
  <c r="MA269" i="2"/>
  <c r="CD271" i="2"/>
  <c r="MF271" i="2" s="1"/>
  <c r="JG276" i="2"/>
  <c r="HV276" i="2"/>
  <c r="GK276" i="2"/>
  <c r="DO276" i="2"/>
  <c r="AA274" i="2"/>
  <c r="KR236" i="2"/>
  <c r="ML236" i="2" s="1"/>
  <c r="JG236" i="2"/>
  <c r="GK236" i="2"/>
  <c r="MI236" i="2" s="1"/>
  <c r="EZ236" i="2"/>
  <c r="DO236" i="2"/>
  <c r="CD236" i="2"/>
  <c r="AS236" i="2"/>
  <c r="ME236" i="2" s="1"/>
  <c r="CD239" i="2"/>
  <c r="KR247" i="2"/>
  <c r="ML247" i="2" s="1"/>
  <c r="JZ247" i="2"/>
  <c r="JG251" i="2"/>
  <c r="MK251" i="2" s="1"/>
  <c r="IO251" i="2"/>
  <c r="LQ253" i="2"/>
  <c r="MA262" i="2"/>
  <c r="DO262" i="2"/>
  <c r="JG270" i="2"/>
  <c r="HV270" i="2"/>
  <c r="EZ270" i="2"/>
  <c r="GK270" i="2"/>
  <c r="DO270" i="2"/>
  <c r="CD270" i="2"/>
  <c r="LQ279" i="2"/>
  <c r="KR291" i="2"/>
  <c r="JG291" i="2"/>
  <c r="HV291" i="2"/>
  <c r="GK291" i="2"/>
  <c r="DO291" i="2"/>
  <c r="CD291" i="2"/>
  <c r="EZ292" i="2"/>
  <c r="AS259" i="2"/>
  <c r="AS270" i="2"/>
  <c r="CD221" i="2"/>
  <c r="HV229" i="2"/>
  <c r="MJ229" i="2" s="1"/>
  <c r="HD229" i="2"/>
  <c r="KR231" i="2"/>
  <c r="JZ231" i="2"/>
  <c r="JG247" i="2"/>
  <c r="MK247" i="2" s="1"/>
  <c r="JG255" i="2"/>
  <c r="IO255" i="2"/>
  <c r="HV259" i="2"/>
  <c r="JG260" i="2"/>
  <c r="IO260" i="2"/>
  <c r="DO271" i="2"/>
  <c r="CD275" i="2"/>
  <c r="CD276" i="2"/>
  <c r="LU284" i="2"/>
  <c r="JG284" i="2"/>
  <c r="KR284" i="2"/>
  <c r="KS284" i="2" s="1"/>
  <c r="HV284" i="2"/>
  <c r="GK284" i="2"/>
  <c r="EZ284" i="2"/>
  <c r="DO284" i="2"/>
  <c r="CD284" i="2"/>
  <c r="CD287" i="2"/>
  <c r="AS247" i="2"/>
  <c r="MA229" i="2"/>
  <c r="JG238" i="2"/>
  <c r="MK238" i="2" s="1"/>
  <c r="HV238" i="2"/>
  <c r="GK238" i="2"/>
  <c r="EZ238" i="2"/>
  <c r="CD238" i="2"/>
  <c r="AS238" i="2"/>
  <c r="JG240" i="2"/>
  <c r="IO240" i="2"/>
  <c r="MA241" i="2"/>
  <c r="AS241" i="2"/>
  <c r="CD242" i="2"/>
  <c r="KR243" i="2"/>
  <c r="ML243" i="2" s="1"/>
  <c r="JG243" i="2"/>
  <c r="MK243" i="2" s="1"/>
  <c r="HV243" i="2"/>
  <c r="EZ243" i="2"/>
  <c r="GK243" i="2"/>
  <c r="DO243" i="2"/>
  <c r="CD243" i="2"/>
  <c r="AS243" i="2"/>
  <c r="CD252" i="2"/>
  <c r="LS253" i="2"/>
  <c r="HV261" i="2"/>
  <c r="EZ261" i="2"/>
  <c r="GK261" i="2"/>
  <c r="CD261" i="2"/>
  <c r="DO261" i="2"/>
  <c r="MA263" i="2"/>
  <c r="JZ263" i="2"/>
  <c r="KR263" i="2"/>
  <c r="JG269" i="2"/>
  <c r="HV269" i="2"/>
  <c r="MJ269" i="2" s="1"/>
  <c r="GK269" i="2"/>
  <c r="CD269" i="2"/>
  <c r="AS269" i="2"/>
  <c r="ME269" i="2" s="1"/>
  <c r="LO270" i="2"/>
  <c r="KR272" i="2"/>
  <c r="JG272" i="2"/>
  <c r="MK272" i="2" s="1"/>
  <c r="HV272" i="2"/>
  <c r="GK272" i="2"/>
  <c r="EZ272" i="2"/>
  <c r="DO272" i="2"/>
  <c r="CD272" i="2"/>
  <c r="AS272" i="2"/>
  <c r="ME272" i="2" s="1"/>
  <c r="KR277" i="2"/>
  <c r="JG277" i="2"/>
  <c r="HV277" i="2"/>
  <c r="GK277" i="2"/>
  <c r="EZ277" i="2"/>
  <c r="DO277" i="2"/>
  <c r="AS277" i="2"/>
  <c r="CD277" i="2"/>
  <c r="LS279" i="2"/>
  <c r="MA283" i="2"/>
  <c r="HV283" i="2"/>
  <c r="HD283" i="2"/>
  <c r="KR220" i="2"/>
  <c r="ML220" i="2" s="1"/>
  <c r="JG220" i="2"/>
  <c r="EZ220" i="2"/>
  <c r="GK220" i="2"/>
  <c r="DO220" i="2"/>
  <c r="CD220" i="2"/>
  <c r="AS220" i="2"/>
  <c r="FS224" i="2"/>
  <c r="GK224" i="2"/>
  <c r="HV230" i="2"/>
  <c r="HD230" i="2"/>
  <c r="JG232" i="2"/>
  <c r="KR232" i="2"/>
  <c r="KS232" i="2" s="1"/>
  <c r="CD232" i="2"/>
  <c r="JG234" i="2"/>
  <c r="EZ244" i="2"/>
  <c r="CD247" i="2"/>
  <c r="MF247" i="2" s="1"/>
  <c r="DO249" i="2"/>
  <c r="CD254" i="2"/>
  <c r="KR256" i="2"/>
  <c r="KS256" i="2" s="1"/>
  <c r="JG256" i="2"/>
  <c r="JH256" i="2" s="1"/>
  <c r="EZ256" i="2"/>
  <c r="GK256" i="2"/>
  <c r="DO256" i="2"/>
  <c r="CD256" i="2"/>
  <c r="JG259" i="2"/>
  <c r="MK259" i="2" s="1"/>
  <c r="IO259" i="2"/>
  <c r="LM269" i="2"/>
  <c r="EZ273" i="2"/>
  <c r="AA290" i="2"/>
  <c r="AS261" i="2"/>
  <c r="ME261" i="2" s="1"/>
  <c r="KR246" i="2"/>
  <c r="JG246" i="2"/>
  <c r="HV246" i="2"/>
  <c r="GK246" i="2"/>
  <c r="EZ246" i="2"/>
  <c r="DO246" i="2"/>
  <c r="CD246" i="2"/>
  <c r="JG250" i="2"/>
  <c r="IO250" i="2"/>
  <c r="DO252" i="2"/>
  <c r="LU253" i="2"/>
  <c r="KR260" i="2"/>
  <c r="KS260" i="2" s="1"/>
  <c r="HV260" i="2"/>
  <c r="GK260" i="2"/>
  <c r="EZ260" i="2"/>
  <c r="MH260" i="2" s="1"/>
  <c r="CD260" i="2"/>
  <c r="DO269" i="2"/>
  <c r="MG269" i="2" s="1"/>
  <c r="EZ276" i="2"/>
  <c r="DO280" i="2"/>
  <c r="MG280" i="2" s="1"/>
  <c r="JG283" i="2"/>
  <c r="IO283" i="2"/>
  <c r="KR288" i="2"/>
  <c r="KS288" i="2" s="1"/>
  <c r="JG288" i="2"/>
  <c r="HV288" i="2"/>
  <c r="EZ288" i="2"/>
  <c r="DO288" i="2"/>
  <c r="DP288" i="2" s="1"/>
  <c r="GK288" i="2"/>
  <c r="GL288" i="2" s="1"/>
  <c r="CD288" i="2"/>
  <c r="KR234" i="2"/>
  <c r="GK234" i="2"/>
  <c r="HV234" i="2"/>
  <c r="CD234" i="2"/>
  <c r="DO234" i="2"/>
  <c r="DO238" i="2"/>
  <c r="KR240" i="2"/>
  <c r="KS240" i="2" s="1"/>
  <c r="HV240" i="2"/>
  <c r="GK240" i="2"/>
  <c r="EZ240" i="2"/>
  <c r="DO240" i="2"/>
  <c r="EZ242" i="2"/>
  <c r="GK244" i="2"/>
  <c r="MA244" i="2"/>
  <c r="DO247" i="2"/>
  <c r="MG247" i="2" s="1"/>
  <c r="MA257" i="2"/>
  <c r="EZ257" i="2"/>
  <c r="KR266" i="2"/>
  <c r="JG266" i="2"/>
  <c r="MK266" i="2" s="1"/>
  <c r="HV266" i="2"/>
  <c r="GK266" i="2"/>
  <c r="EZ266" i="2"/>
  <c r="DO266" i="2"/>
  <c r="CD266" i="2"/>
  <c r="DO267" i="2"/>
  <c r="HV271" i="2"/>
  <c r="MA285" i="2"/>
  <c r="JG285" i="2"/>
  <c r="IO285" i="2"/>
  <c r="KR292" i="2"/>
  <c r="JZ292" i="2"/>
  <c r="AS291" i="2"/>
  <c r="CD222" i="2"/>
  <c r="JZ225" i="2"/>
  <c r="KR225" i="2"/>
  <c r="EZ241" i="2"/>
  <c r="MH241" i="2" s="1"/>
  <c r="EJ241" i="2"/>
  <c r="CD251" i="2"/>
  <c r="MF251" i="2" s="1"/>
  <c r="DO254" i="2"/>
  <c r="MG254" i="2" s="1"/>
  <c r="KR259" i="2"/>
  <c r="KS259" i="2" s="1"/>
  <c r="EZ259" i="2"/>
  <c r="GK259" i="2"/>
  <c r="DO259" i="2"/>
  <c r="CD259" i="2"/>
  <c r="LO260" i="2"/>
  <c r="KR262" i="2"/>
  <c r="JZ262" i="2"/>
  <c r="MA267" i="2"/>
  <c r="LQ269" i="2"/>
  <c r="MA273" i="2"/>
  <c r="MA281" i="2"/>
  <c r="CD281" i="2"/>
  <c r="GK282" i="2"/>
  <c r="AS229" i="2"/>
  <c r="AS240" i="2"/>
  <c r="AS276" i="2"/>
  <c r="JG223" i="2"/>
  <c r="DO231" i="2"/>
  <c r="MG231" i="2" s="1"/>
  <c r="EZ232" i="2"/>
  <c r="AS234" i="2"/>
  <c r="HV239" i="2"/>
  <c r="JG245" i="2"/>
  <c r="KR245" i="2"/>
  <c r="ML245" i="2" s="1"/>
  <c r="HV245" i="2"/>
  <c r="MJ245" i="2" s="1"/>
  <c r="GK245" i="2"/>
  <c r="EZ245" i="2"/>
  <c r="CD245" i="2"/>
  <c r="DO245" i="2"/>
  <c r="MG245" i="2" s="1"/>
  <c r="AS245" i="2"/>
  <c r="EZ247" i="2"/>
  <c r="HV249" i="2"/>
  <c r="LM259" i="2"/>
  <c r="LU272" i="2"/>
  <c r="AS279" i="2"/>
  <c r="MA286" i="2"/>
  <c r="DO286" i="2"/>
  <c r="CW286" i="2"/>
  <c r="AS288" i="2"/>
  <c r="JG290" i="2"/>
  <c r="KR290" i="2"/>
  <c r="HV290" i="2"/>
  <c r="GK290" i="2"/>
  <c r="EZ290" i="2"/>
  <c r="DO290" i="2"/>
  <c r="CD290" i="2"/>
  <c r="EZ291" i="2"/>
  <c r="MH291" i="2" s="1"/>
  <c r="JG292" i="2"/>
  <c r="HV292" i="2"/>
  <c r="GK292" i="2"/>
  <c r="DO292" i="2"/>
  <c r="AS292" i="2"/>
  <c r="CD292" i="2"/>
  <c r="AS266" i="2"/>
  <c r="KR250" i="2"/>
  <c r="HV250" i="2"/>
  <c r="GK250" i="2"/>
  <c r="EZ250" i="2"/>
  <c r="DO250" i="2"/>
  <c r="AS250" i="2"/>
  <c r="LM253" i="2"/>
  <c r="JG253" i="2"/>
  <c r="KR253" i="2"/>
  <c r="KS253" i="2" s="1"/>
  <c r="HV253" i="2"/>
  <c r="MJ253" i="2" s="1"/>
  <c r="GK253" i="2"/>
  <c r="EZ253" i="2"/>
  <c r="MH253" i="2" s="1"/>
  <c r="DO253" i="2"/>
  <c r="MG253" i="2" s="1"/>
  <c r="CD253" i="2"/>
  <c r="DO255" i="2"/>
  <c r="DO260" i="2"/>
  <c r="MG260" i="2" s="1"/>
  <c r="JG268" i="2"/>
  <c r="IO268" i="2"/>
  <c r="JG271" i="2"/>
  <c r="MK271" i="2" s="1"/>
  <c r="KR271" i="2"/>
  <c r="KS271" i="2" s="1"/>
  <c r="EZ271" i="2"/>
  <c r="GK271" i="2"/>
  <c r="KR274" i="2"/>
  <c r="HV274" i="2"/>
  <c r="JG274" i="2"/>
  <c r="GK274" i="2"/>
  <c r="EZ274" i="2"/>
  <c r="DO274" i="2"/>
  <c r="CD274" i="2"/>
  <c r="JZ275" i="2"/>
  <c r="KR275" i="2"/>
  <c r="MA275" i="2"/>
  <c r="KR279" i="2"/>
  <c r="JG279" i="2"/>
  <c r="MK279" i="2" s="1"/>
  <c r="HV279" i="2"/>
  <c r="EZ279" i="2"/>
  <c r="GK279" i="2"/>
  <c r="DO279" i="2"/>
  <c r="CD279" i="2"/>
  <c r="KR285" i="2"/>
  <c r="HV285" i="2"/>
  <c r="GK285" i="2"/>
  <c r="EZ285" i="2"/>
  <c r="DO285" i="2"/>
  <c r="CD285" i="2"/>
  <c r="AS285" i="2"/>
  <c r="HV210" i="2"/>
  <c r="MJ210" i="2" s="1"/>
  <c r="HD210" i="2"/>
  <c r="HV212" i="2"/>
  <c r="JZ223" i="2"/>
  <c r="KR223" i="2"/>
  <c r="ML223" i="2" s="1"/>
  <c r="AS224" i="2"/>
  <c r="ME224" i="2" s="1"/>
  <c r="DO230" i="2"/>
  <c r="GK232" i="2"/>
  <c r="HV236" i="2"/>
  <c r="JG239" i="2"/>
  <c r="KR244" i="2"/>
  <c r="JZ244" i="2"/>
  <c r="LO259" i="2"/>
  <c r="JG261" i="2"/>
  <c r="LU269" i="2"/>
  <c r="KR276" i="2"/>
  <c r="JZ276" i="2"/>
  <c r="CD283" i="2"/>
  <c r="KR215" i="2"/>
  <c r="ML215" i="2" s="1"/>
  <c r="JG215" i="2"/>
  <c r="GK215" i="2"/>
  <c r="HV215" i="2"/>
  <c r="EZ215" i="2"/>
  <c r="CD215" i="2"/>
  <c r="DO215" i="2"/>
  <c r="JZ219" i="2"/>
  <c r="KR219" i="2"/>
  <c r="KR242" i="2"/>
  <c r="JG242" i="2"/>
  <c r="HV242" i="2"/>
  <c r="GK242" i="2"/>
  <c r="DO242" i="2"/>
  <c r="CD250" i="2"/>
  <c r="MA251" i="2"/>
  <c r="JZ252" i="2"/>
  <c r="KR252" i="2"/>
  <c r="LO253" i="2"/>
  <c r="KR270" i="2"/>
  <c r="ML270" i="2" s="1"/>
  <c r="JZ270" i="2"/>
  <c r="LO271" i="2"/>
  <c r="LO279" i="2"/>
  <c r="KR282" i="2"/>
  <c r="JG282" i="2"/>
  <c r="HV282" i="2"/>
  <c r="EZ282" i="2"/>
  <c r="DO282" i="2"/>
  <c r="AS282" i="2"/>
  <c r="CD282" i="2"/>
  <c r="KR293" i="2"/>
  <c r="KS293" i="2" s="1"/>
  <c r="JG293" i="2"/>
  <c r="HV293" i="2"/>
  <c r="GK293" i="2"/>
  <c r="EZ293" i="2"/>
  <c r="DO293" i="2"/>
  <c r="AS293" i="2"/>
  <c r="CD293" i="2"/>
  <c r="AS256" i="2"/>
  <c r="KQ11" i="2"/>
  <c r="KQ19" i="2"/>
  <c r="KQ31" i="2"/>
  <c r="KQ63" i="2"/>
  <c r="KQ83" i="2"/>
  <c r="KQ111" i="2"/>
  <c r="KQ127" i="2"/>
  <c r="KQ147" i="2"/>
  <c r="KQ171" i="2"/>
  <c r="KQ175" i="2"/>
  <c r="KQ179" i="2"/>
  <c r="KQ199" i="2"/>
  <c r="KQ203" i="2"/>
  <c r="KQ211" i="2"/>
  <c r="KQ227" i="2"/>
  <c r="KQ267" i="2"/>
  <c r="KQ287" i="2"/>
  <c r="KQ20" i="2"/>
  <c r="KQ36" i="2"/>
  <c r="KQ72" i="2"/>
  <c r="KQ76" i="2"/>
  <c r="KQ80" i="2"/>
  <c r="KQ104" i="2"/>
  <c r="KQ108" i="2"/>
  <c r="KQ164" i="2"/>
  <c r="KQ168" i="2"/>
  <c r="KQ172" i="2"/>
  <c r="KQ192" i="2"/>
  <c r="KQ196" i="2"/>
  <c r="KQ200" i="2"/>
  <c r="KQ204" i="2"/>
  <c r="KQ212" i="2"/>
  <c r="KQ268" i="2"/>
  <c r="KQ21" i="2"/>
  <c r="KQ33" i="2"/>
  <c r="KQ45" i="2"/>
  <c r="KQ49" i="2"/>
  <c r="KQ61" i="2"/>
  <c r="KQ89" i="2"/>
  <c r="KQ101" i="2"/>
  <c r="KQ105" i="2"/>
  <c r="KQ113" i="2"/>
  <c r="KQ129" i="2"/>
  <c r="KQ133" i="2"/>
  <c r="KQ137" i="2"/>
  <c r="KQ145" i="2"/>
  <c r="KQ149" i="2"/>
  <c r="KQ153" i="2"/>
  <c r="KQ169" i="2"/>
  <c r="KQ209" i="2"/>
  <c r="KQ249" i="2"/>
  <c r="KQ273" i="2"/>
  <c r="KQ281" i="2"/>
  <c r="JF83" i="2"/>
  <c r="JF111" i="2"/>
  <c r="JF135" i="2"/>
  <c r="JF147" i="2"/>
  <c r="JF171" i="2"/>
  <c r="JF175" i="2"/>
  <c r="JF183" i="2"/>
  <c r="JF28" i="2"/>
  <c r="JF80" i="2"/>
  <c r="JF172" i="2"/>
  <c r="JF192" i="2"/>
  <c r="JF196" i="2"/>
  <c r="JF200" i="2"/>
  <c r="JF204" i="2"/>
  <c r="JF212" i="2"/>
  <c r="JF216" i="2"/>
  <c r="JF256" i="2"/>
  <c r="HU111" i="2"/>
  <c r="HU135" i="2"/>
  <c r="HU143" i="2"/>
  <c r="HU151" i="2"/>
  <c r="HU211" i="2"/>
  <c r="HU61" i="2"/>
  <c r="HU93" i="2"/>
  <c r="HU133" i="2"/>
  <c r="HU153" i="2"/>
  <c r="HU177" i="2"/>
  <c r="HU189" i="2"/>
  <c r="HU289" i="2"/>
  <c r="GJ135" i="2"/>
  <c r="GJ151" i="2"/>
  <c r="GJ211" i="2"/>
  <c r="GJ28" i="2"/>
  <c r="GJ132" i="2"/>
  <c r="GJ164" i="2"/>
  <c r="GJ176" i="2"/>
  <c r="GJ196" i="2"/>
  <c r="GJ204" i="2"/>
  <c r="GJ216" i="2"/>
  <c r="GJ29" i="2"/>
  <c r="GJ61" i="2"/>
  <c r="GJ93" i="2"/>
  <c r="GJ129" i="2"/>
  <c r="GJ133" i="2"/>
  <c r="GJ137" i="2"/>
  <c r="GJ161" i="2"/>
  <c r="GJ173" i="2"/>
  <c r="GJ177" i="2"/>
  <c r="GJ197" i="2"/>
  <c r="MH47" i="2"/>
  <c r="EY51" i="2"/>
  <c r="EY135" i="2"/>
  <c r="EY143" i="2"/>
  <c r="EY171" i="2"/>
  <c r="EY175" i="2"/>
  <c r="EY29" i="2"/>
  <c r="EY93" i="2"/>
  <c r="EY129" i="2"/>
  <c r="EY137" i="2"/>
  <c r="EY161" i="2"/>
  <c r="EY173" i="2"/>
  <c r="EY197" i="2"/>
  <c r="DN51" i="2"/>
  <c r="DN135" i="2"/>
  <c r="DN143" i="2"/>
  <c r="DN151" i="2"/>
  <c r="DN28" i="2"/>
  <c r="DN132" i="2"/>
  <c r="DN29" i="2"/>
  <c r="DN161" i="2"/>
  <c r="DN289" i="2"/>
  <c r="LM10" i="2"/>
  <c r="LU10" i="2"/>
  <c r="LS10" i="2"/>
  <c r="LQ10" i="2"/>
  <c r="LO10" i="2"/>
  <c r="LQ17" i="2"/>
  <c r="LO17" i="2"/>
  <c r="LM17" i="2"/>
  <c r="LU17" i="2"/>
  <c r="LS17" i="2"/>
  <c r="LS16" i="2"/>
  <c r="LQ16" i="2"/>
  <c r="LO16" i="2"/>
  <c r="LM16" i="2"/>
  <c r="LU16" i="2"/>
  <c r="MG19" i="2"/>
  <c r="LU21" i="2"/>
  <c r="LS21" i="2"/>
  <c r="LQ21" i="2"/>
  <c r="LO21" i="2"/>
  <c r="LM21" i="2"/>
  <c r="LQ14" i="2"/>
  <c r="LU14" i="2"/>
  <c r="LS14" i="2"/>
  <c r="LO14" i="2"/>
  <c r="LM14" i="2"/>
  <c r="LS15" i="2"/>
  <c r="LQ15" i="2"/>
  <c r="LO15" i="2"/>
  <c r="LM15" i="2"/>
  <c r="LU15" i="2"/>
  <c r="MH10" i="2"/>
  <c r="ME18" i="2"/>
  <c r="LO13" i="2"/>
  <c r="LQ13" i="2"/>
  <c r="LM13" i="2"/>
  <c r="LU13" i="2"/>
  <c r="LS13" i="2"/>
  <c r="MF20" i="2"/>
  <c r="LM11" i="2"/>
  <c r="LO11" i="2"/>
  <c r="LS11" i="2"/>
  <c r="LQ11" i="2"/>
  <c r="LU11" i="2"/>
  <c r="LU12" i="2"/>
  <c r="LS12" i="2"/>
  <c r="LQ12" i="2"/>
  <c r="LO12" i="2"/>
  <c r="LM12" i="2"/>
  <c r="LO18" i="2"/>
  <c r="LM18" i="2"/>
  <c r="LS18" i="2"/>
  <c r="LQ18" i="2"/>
  <c r="LU18" i="2"/>
  <c r="ML26" i="2"/>
  <c r="LU34" i="2"/>
  <c r="LS34" i="2"/>
  <c r="LQ34" i="2"/>
  <c r="LO34" i="2"/>
  <c r="LM34" i="2"/>
  <c r="LS46" i="2"/>
  <c r="LO46" i="2"/>
  <c r="LM46" i="2"/>
  <c r="LU46" i="2"/>
  <c r="LQ46" i="2"/>
  <c r="LS20" i="2"/>
  <c r="ME33" i="2"/>
  <c r="LQ40" i="2"/>
  <c r="LO40" i="2"/>
  <c r="LM40" i="2"/>
  <c r="LU40" i="2"/>
  <c r="LS40" i="2"/>
  <c r="LU48" i="2"/>
  <c r="LM48" i="2"/>
  <c r="LS48" i="2"/>
  <c r="LQ48" i="2"/>
  <c r="LO48" i="2"/>
  <c r="LO19" i="2"/>
  <c r="LM19" i="2"/>
  <c r="LQ19" i="2"/>
  <c r="LM27" i="2"/>
  <c r="LU27" i="2"/>
  <c r="LS27" i="2"/>
  <c r="LQ27" i="2"/>
  <c r="LO27" i="2"/>
  <c r="LS29" i="2"/>
  <c r="LQ29" i="2"/>
  <c r="LO29" i="2"/>
  <c r="LM29" i="2"/>
  <c r="LU29" i="2"/>
  <c r="LU20" i="2"/>
  <c r="LS25" i="2"/>
  <c r="LQ25" i="2"/>
  <c r="LO25" i="2"/>
  <c r="LM25" i="2"/>
  <c r="LU26" i="2"/>
  <c r="LQ26" i="2"/>
  <c r="LO26" i="2"/>
  <c r="LM26" i="2"/>
  <c r="ME35" i="2"/>
  <c r="LM41" i="2"/>
  <c r="LO41" i="2"/>
  <c r="LU41" i="2"/>
  <c r="LS41" i="2"/>
  <c r="LQ41" i="2"/>
  <c r="MA18" i="2"/>
  <c r="MG25" i="2"/>
  <c r="MH25" i="2"/>
  <c r="LO39" i="2"/>
  <c r="LM39" i="2"/>
  <c r="LU39" i="2"/>
  <c r="LS39" i="2"/>
  <c r="LQ39" i="2"/>
  <c r="LQ23" i="2"/>
  <c r="LO23" i="2"/>
  <c r="LM23" i="2"/>
  <c r="LO28" i="2"/>
  <c r="LU28" i="2"/>
  <c r="LS28" i="2"/>
  <c r="LQ28" i="2"/>
  <c r="MJ39" i="2"/>
  <c r="LS19" i="2"/>
  <c r="MF22" i="2"/>
  <c r="LM28" i="2"/>
  <c r="LU30" i="2"/>
  <c r="LS30" i="2"/>
  <c r="LQ30" i="2"/>
  <c r="LO30" i="2"/>
  <c r="LM30" i="2"/>
  <c r="LU32" i="2"/>
  <c r="LS32" i="2"/>
  <c r="LQ32" i="2"/>
  <c r="LO32" i="2"/>
  <c r="LM32" i="2"/>
  <c r="LU24" i="2"/>
  <c r="LS24" i="2"/>
  <c r="LQ24" i="2"/>
  <c r="LM24" i="2"/>
  <c r="LS26" i="2"/>
  <c r="LO36" i="2"/>
  <c r="LM36" i="2"/>
  <c r="LU36" i="2"/>
  <c r="LS36" i="2"/>
  <c r="LQ36" i="2"/>
  <c r="MJ50" i="2"/>
  <c r="MF18" i="2"/>
  <c r="MA22" i="2"/>
  <c r="LS22" i="2"/>
  <c r="LQ22" i="2"/>
  <c r="LO22" i="2"/>
  <c r="LU22" i="2"/>
  <c r="MG27" i="2"/>
  <c r="MJ36" i="2"/>
  <c r="LQ43" i="2"/>
  <c r="LM43" i="2"/>
  <c r="LS43" i="2"/>
  <c r="LO43" i="2"/>
  <c r="LU43" i="2"/>
  <c r="LO20" i="2"/>
  <c r="LM20" i="2"/>
  <c r="LQ20" i="2"/>
  <c r="LQ44" i="2"/>
  <c r="LO44" i="2"/>
  <c r="LM44" i="2"/>
  <c r="LU44" i="2"/>
  <c r="LS44" i="2"/>
  <c r="MF44" i="2"/>
  <c r="LQ58" i="2"/>
  <c r="LO58" i="2"/>
  <c r="LM58" i="2"/>
  <c r="LU58" i="2"/>
  <c r="LS58" i="2"/>
  <c r="ML62" i="2"/>
  <c r="MA19" i="2"/>
  <c r="LS33" i="2"/>
  <c r="LQ33" i="2"/>
  <c r="LO33" i="2"/>
  <c r="LM33" i="2"/>
  <c r="LU33" i="2"/>
  <c r="MG37" i="2"/>
  <c r="LQ45" i="2"/>
  <c r="LM45" i="2"/>
  <c r="LS45" i="2"/>
  <c r="LO45" i="2"/>
  <c r="LU45" i="2"/>
  <c r="LS52" i="2"/>
  <c r="LQ52" i="2"/>
  <c r="LO52" i="2"/>
  <c r="LM52" i="2"/>
  <c r="LU52" i="2"/>
  <c r="MJ54" i="2"/>
  <c r="LU31" i="2"/>
  <c r="LU35" i="2"/>
  <c r="MH53" i="2"/>
  <c r="MA55" i="2"/>
  <c r="LQ49" i="2"/>
  <c r="ML50" i="2"/>
  <c r="LO51" i="2"/>
  <c r="ME61" i="2"/>
  <c r="MM61" i="2" s="1" a="1"/>
  <c r="MM61" i="2" s="1"/>
  <c r="MJ63" i="2"/>
  <c r="MG64" i="2"/>
  <c r="MK31" i="2"/>
  <c r="MG46" i="2"/>
  <c r="LO50" i="2"/>
  <c r="LM50" i="2"/>
  <c r="LU50" i="2"/>
  <c r="LS50" i="2"/>
  <c r="LM51" i="2"/>
  <c r="MH70" i="2"/>
  <c r="LO37" i="2"/>
  <c r="LM37" i="2"/>
  <c r="LS49" i="2"/>
  <c r="LU59" i="2"/>
  <c r="LS59" i="2"/>
  <c r="LQ59" i="2"/>
  <c r="LO59" i="2"/>
  <c r="LM59" i="2"/>
  <c r="LU60" i="2"/>
  <c r="LS60" i="2"/>
  <c r="LM60" i="2"/>
  <c r="MA21" i="2"/>
  <c r="MA30" i="2"/>
  <c r="LM31" i="2"/>
  <c r="LM35" i="2"/>
  <c r="LS42" i="2"/>
  <c r="MI55" i="2"/>
  <c r="MI68" i="2"/>
  <c r="MA31" i="2"/>
  <c r="LQ50" i="2"/>
  <c r="LQ51" i="2"/>
  <c r="LS53" i="2"/>
  <c r="MH56" i="2"/>
  <c r="MI56" i="2"/>
  <c r="LO57" i="2"/>
  <c r="LM57" i="2"/>
  <c r="LU57" i="2"/>
  <c r="LS57" i="2"/>
  <c r="LQ57" i="2"/>
  <c r="LO60" i="2"/>
  <c r="ML81" i="2"/>
  <c r="LO31" i="2"/>
  <c r="LO35" i="2"/>
  <c r="LQ37" i="2"/>
  <c r="LM38" i="2"/>
  <c r="LW38" i="2" s="1"/>
  <c r="LX38" i="2" s="1"/>
  <c r="LU42" i="2"/>
  <c r="MH44" i="2"/>
  <c r="LM53" i="2"/>
  <c r="ML55" i="2"/>
  <c r="LS55" i="2"/>
  <c r="LQ55" i="2"/>
  <c r="LU55" i="2"/>
  <c r="LO56" i="2"/>
  <c r="LM56" i="2"/>
  <c r="LQ56" i="2"/>
  <c r="MA44" i="2"/>
  <c r="LS51" i="2"/>
  <c r="LU54" i="2"/>
  <c r="LS54" i="2"/>
  <c r="LQ54" i="2"/>
  <c r="LO54" i="2"/>
  <c r="LM54" i="2"/>
  <c r="LQ60" i="2"/>
  <c r="LQ62" i="2"/>
  <c r="LO62" i="2"/>
  <c r="LM62" i="2"/>
  <c r="LU62" i="2"/>
  <c r="LS62" i="2"/>
  <c r="LQ64" i="2"/>
  <c r="LO64" i="2"/>
  <c r="LM64" i="2"/>
  <c r="LU64" i="2"/>
  <c r="LS64" i="2"/>
  <c r="LS66" i="2"/>
  <c r="LU66" i="2"/>
  <c r="LQ66" i="2"/>
  <c r="LO66" i="2"/>
  <c r="LM66" i="2"/>
  <c r="LQ35" i="2"/>
  <c r="LS37" i="2"/>
  <c r="LU49" i="2"/>
  <c r="MH54" i="2"/>
  <c r="ML54" i="2"/>
  <c r="LM63" i="2"/>
  <c r="LU63" i="2"/>
  <c r="LQ63" i="2"/>
  <c r="LO63" i="2"/>
  <c r="LQ69" i="2"/>
  <c r="LO69" i="2"/>
  <c r="LM69" i="2"/>
  <c r="LU69" i="2"/>
  <c r="LS69" i="2"/>
  <c r="LO71" i="2"/>
  <c r="LM71" i="2"/>
  <c r="LS71" i="2"/>
  <c r="LQ71" i="2"/>
  <c r="LU71" i="2"/>
  <c r="MA42" i="2"/>
  <c r="LM49" i="2"/>
  <c r="LU51" i="2"/>
  <c r="MA59" i="2"/>
  <c r="LS35" i="2"/>
  <c r="LU37" i="2"/>
  <c r="MA41" i="2"/>
  <c r="LQ53" i="2"/>
  <c r="MA56" i="2"/>
  <c r="LQ65" i="2"/>
  <c r="LO65" i="2"/>
  <c r="LM65" i="2"/>
  <c r="LU65" i="2"/>
  <c r="LS65" i="2"/>
  <c r="LO70" i="2"/>
  <c r="LM70" i="2"/>
  <c r="LS70" i="2"/>
  <c r="LU70" i="2"/>
  <c r="LQ70" i="2"/>
  <c r="LM73" i="2"/>
  <c r="LQ73" i="2"/>
  <c r="LO73" i="2"/>
  <c r="LU73" i="2"/>
  <c r="LS73" i="2"/>
  <c r="MA43" i="2"/>
  <c r="LU47" i="2"/>
  <c r="LQ47" i="2"/>
  <c r="LO47" i="2"/>
  <c r="LM47" i="2"/>
  <c r="LO49" i="2"/>
  <c r="LO61" i="2"/>
  <c r="LM61" i="2"/>
  <c r="LU61" i="2"/>
  <c r="LS61" i="2"/>
  <c r="LQ61" i="2"/>
  <c r="MH67" i="2"/>
  <c r="LQ67" i="2"/>
  <c r="LU67" i="2"/>
  <c r="LS67" i="2"/>
  <c r="LO67" i="2"/>
  <c r="ME68" i="2"/>
  <c r="LU79" i="2"/>
  <c r="LS79" i="2"/>
  <c r="LM79" i="2"/>
  <c r="ME80" i="2"/>
  <c r="LO82" i="2"/>
  <c r="LM82" i="2"/>
  <c r="LQ82" i="2"/>
  <c r="LS89" i="2"/>
  <c r="LQ89" i="2"/>
  <c r="LO89" i="2"/>
  <c r="LM89" i="2"/>
  <c r="LU89" i="2"/>
  <c r="LM96" i="2"/>
  <c r="LU96" i="2"/>
  <c r="LS96" i="2"/>
  <c r="LQ96" i="2"/>
  <c r="LO96" i="2"/>
  <c r="LQ104" i="2"/>
  <c r="LM104" i="2"/>
  <c r="LS104" i="2"/>
  <c r="LO104" i="2"/>
  <c r="LU104" i="2"/>
  <c r="LU78" i="2"/>
  <c r="LS78" i="2"/>
  <c r="LQ78" i="2"/>
  <c r="LO78" i="2"/>
  <c r="ML79" i="2"/>
  <c r="LO91" i="2"/>
  <c r="LM91" i="2"/>
  <c r="LU91" i="2"/>
  <c r="LQ91" i="2"/>
  <c r="MH68" i="2"/>
  <c r="LQ74" i="2"/>
  <c r="LO74" i="2"/>
  <c r="LM74" i="2"/>
  <c r="LM86" i="2"/>
  <c r="LU86" i="2"/>
  <c r="LS86" i="2"/>
  <c r="LO86" i="2"/>
  <c r="LO93" i="2"/>
  <c r="LM93" i="2"/>
  <c r="LU93" i="2"/>
  <c r="LS93" i="2"/>
  <c r="LQ93" i="2"/>
  <c r="MH72" i="2"/>
  <c r="LQ75" i="2"/>
  <c r="LO75" i="2"/>
  <c r="LM75" i="2"/>
  <c r="MG75" i="2"/>
  <c r="LQ79" i="2"/>
  <c r="LS82" i="2"/>
  <c r="MI86" i="2"/>
  <c r="MI75" i="2"/>
  <c r="LU77" i="2"/>
  <c r="MK81" i="2"/>
  <c r="LS84" i="2"/>
  <c r="LQ84" i="2"/>
  <c r="LO84" i="2"/>
  <c r="LM84" i="2"/>
  <c r="LU84" i="2"/>
  <c r="LO87" i="2"/>
  <c r="LM87" i="2"/>
  <c r="LU87" i="2"/>
  <c r="LQ87" i="2"/>
  <c r="LS91" i="2"/>
  <c r="LS74" i="2"/>
  <c r="LU82" i="2"/>
  <c r="LO83" i="2"/>
  <c r="LM83" i="2"/>
  <c r="LU83" i="2"/>
  <c r="LS83" i="2"/>
  <c r="LQ83" i="2"/>
  <c r="LQ86" i="2"/>
  <c r="LQ99" i="2"/>
  <c r="LM99" i="2"/>
  <c r="LU99" i="2"/>
  <c r="LS99" i="2"/>
  <c r="LO99" i="2"/>
  <c r="LM103" i="2"/>
  <c r="LQ103" i="2"/>
  <c r="LU103" i="2"/>
  <c r="LS103" i="2"/>
  <c r="LO103" i="2"/>
  <c r="MA73" i="2"/>
  <c r="LU76" i="2"/>
  <c r="LS76" i="2"/>
  <c r="LQ76" i="2"/>
  <c r="LO81" i="2"/>
  <c r="LM81" i="2"/>
  <c r="LQ81" i="2"/>
  <c r="MH92" i="2"/>
  <c r="LQ94" i="2"/>
  <c r="LO94" i="2"/>
  <c r="LM94" i="2"/>
  <c r="LU94" i="2"/>
  <c r="LS94" i="2"/>
  <c r="LS106" i="2"/>
  <c r="LQ106" i="2"/>
  <c r="LO106" i="2"/>
  <c r="LM106" i="2"/>
  <c r="LU106" i="2"/>
  <c r="LU74" i="2"/>
  <c r="LS75" i="2"/>
  <c r="MK76" i="2"/>
  <c r="MA90" i="2"/>
  <c r="LS101" i="2"/>
  <c r="LM101" i="2"/>
  <c r="LU101" i="2"/>
  <c r="LQ101" i="2"/>
  <c r="LO101" i="2"/>
  <c r="MB68" i="2"/>
  <c r="LQ68" i="2"/>
  <c r="MA77" i="2"/>
  <c r="MA81" i="2"/>
  <c r="MG83" i="2"/>
  <c r="LO85" i="2"/>
  <c r="LM85" i="2"/>
  <c r="LU85" i="2"/>
  <c r="LS85" i="2"/>
  <c r="LQ85" i="2"/>
  <c r="LS87" i="2"/>
  <c r="LQ88" i="2"/>
  <c r="LO88" i="2"/>
  <c r="LM88" i="2"/>
  <c r="LS88" i="2"/>
  <c r="MH90" i="2"/>
  <c r="LO95" i="2"/>
  <c r="LM95" i="2"/>
  <c r="LU95" i="2"/>
  <c r="LS95" i="2"/>
  <c r="LQ95" i="2"/>
  <c r="LQ105" i="2"/>
  <c r="LM105" i="2"/>
  <c r="LS105" i="2"/>
  <c r="LU105" i="2"/>
  <c r="LO105" i="2"/>
  <c r="MA57" i="2"/>
  <c r="MA72" i="2"/>
  <c r="LU75" i="2"/>
  <c r="MJ83" i="2"/>
  <c r="ME91" i="2"/>
  <c r="MF92" i="2"/>
  <c r="LS77" i="2"/>
  <c r="LQ77" i="2"/>
  <c r="LO77" i="2"/>
  <c r="LM80" i="2"/>
  <c r="LU80" i="2"/>
  <c r="LS80" i="2"/>
  <c r="LQ80" i="2"/>
  <c r="ML86" i="2"/>
  <c r="MA92" i="2"/>
  <c r="MA95" i="2"/>
  <c r="LU97" i="2"/>
  <c r="LQ98" i="2"/>
  <c r="MH108" i="2"/>
  <c r="LM121" i="2"/>
  <c r="LU121" i="2"/>
  <c r="LS121" i="2"/>
  <c r="LQ121" i="2"/>
  <c r="LO121" i="2"/>
  <c r="LO90" i="2"/>
  <c r="LO92" i="2"/>
  <c r="LM97" i="2"/>
  <c r="LQ108" i="2"/>
  <c r="LU108" i="2"/>
  <c r="LO112" i="2"/>
  <c r="LM112" i="2"/>
  <c r="LU112" i="2"/>
  <c r="LS112" i="2"/>
  <c r="LQ112" i="2"/>
  <c r="LU115" i="2"/>
  <c r="LS115" i="2"/>
  <c r="LQ115" i="2"/>
  <c r="LO115" i="2"/>
  <c r="LM115" i="2"/>
  <c r="LQ107" i="2"/>
  <c r="LO107" i="2"/>
  <c r="LM107" i="2"/>
  <c r="LS107" i="2"/>
  <c r="LS114" i="2"/>
  <c r="LQ114" i="2"/>
  <c r="LO114" i="2"/>
  <c r="LM114" i="2"/>
  <c r="LU114" i="2"/>
  <c r="LM123" i="2"/>
  <c r="LU123" i="2"/>
  <c r="LS123" i="2"/>
  <c r="LQ123" i="2"/>
  <c r="LO123" i="2"/>
  <c r="LS124" i="2"/>
  <c r="LQ124" i="2"/>
  <c r="LO124" i="2"/>
  <c r="LM124" i="2"/>
  <c r="LU124" i="2"/>
  <c r="MK134" i="2"/>
  <c r="ME102" i="2"/>
  <c r="LS102" i="2"/>
  <c r="LQ102" i="2"/>
  <c r="LM102" i="2"/>
  <c r="MF102" i="2"/>
  <c r="ME109" i="2"/>
  <c r="MI110" i="2"/>
  <c r="MF128" i="2"/>
  <c r="MA76" i="2"/>
  <c r="LU110" i="2"/>
  <c r="LQ110" i="2"/>
  <c r="LO110" i="2"/>
  <c r="LM110" i="2"/>
  <c r="LU118" i="2"/>
  <c r="LS118" i="2"/>
  <c r="LQ118" i="2"/>
  <c r="LO118" i="2"/>
  <c r="LM118" i="2"/>
  <c r="MK130" i="2"/>
  <c r="LU133" i="2"/>
  <c r="LS133" i="2"/>
  <c r="LQ133" i="2"/>
  <c r="LO133" i="2"/>
  <c r="LM133" i="2"/>
  <c r="LQ100" i="2"/>
  <c r="LU100" i="2"/>
  <c r="LO122" i="2"/>
  <c r="LS122" i="2"/>
  <c r="LQ122" i="2"/>
  <c r="LM122" i="2"/>
  <c r="LU122" i="2"/>
  <c r="LM100" i="2"/>
  <c r="LU109" i="2"/>
  <c r="LS109" i="2"/>
  <c r="LQ109" i="2"/>
  <c r="LO109" i="2"/>
  <c r="ME111" i="2"/>
  <c r="MM111" i="2" s="1" a="1"/>
  <c r="MM111" i="2" s="1"/>
  <c r="LU90" i="2"/>
  <c r="LU92" i="2"/>
  <c r="LS98" i="2"/>
  <c r="MA98" i="2"/>
  <c r="ME100" i="2"/>
  <c r="LU107" i="2"/>
  <c r="LU117" i="2"/>
  <c r="LS117" i="2"/>
  <c r="LQ117" i="2"/>
  <c r="LO117" i="2"/>
  <c r="LM117" i="2"/>
  <c r="LM98" i="2"/>
  <c r="LO100" i="2"/>
  <c r="LU119" i="2"/>
  <c r="LS119" i="2"/>
  <c r="LQ119" i="2"/>
  <c r="LO119" i="2"/>
  <c r="LM119" i="2"/>
  <c r="MA83" i="2"/>
  <c r="MA85" i="2"/>
  <c r="MA99" i="2"/>
  <c r="LU102" i="2"/>
  <c r="MA82" i="2"/>
  <c r="MA91" i="2"/>
  <c r="LO98" i="2"/>
  <c r="LU116" i="2"/>
  <c r="LS116" i="2"/>
  <c r="LQ116" i="2"/>
  <c r="LO116" i="2"/>
  <c r="LM116" i="2"/>
  <c r="LS100" i="2"/>
  <c r="LU111" i="2"/>
  <c r="LS111" i="2"/>
  <c r="LQ111" i="2"/>
  <c r="LO111" i="2"/>
  <c r="LM111" i="2"/>
  <c r="LQ113" i="2"/>
  <c r="LO113" i="2"/>
  <c r="LM113" i="2"/>
  <c r="LU113" i="2"/>
  <c r="LS113" i="2"/>
  <c r="LQ127" i="2"/>
  <c r="LO127" i="2"/>
  <c r="LM127" i="2"/>
  <c r="LU127" i="2"/>
  <c r="LS127" i="2"/>
  <c r="MA128" i="2"/>
  <c r="MA129" i="2"/>
  <c r="LQ166" i="2"/>
  <c r="LO166" i="2"/>
  <c r="LM166" i="2"/>
  <c r="LU166" i="2"/>
  <c r="LS166" i="2"/>
  <c r="MA119" i="2"/>
  <c r="LQ120" i="2"/>
  <c r="MA130" i="2"/>
  <c r="LM136" i="2"/>
  <c r="LS136" i="2"/>
  <c r="LS141" i="2"/>
  <c r="LQ141" i="2"/>
  <c r="LO141" i="2"/>
  <c r="LM141" i="2"/>
  <c r="LU141" i="2"/>
  <c r="LU149" i="2"/>
  <c r="LS149" i="2"/>
  <c r="LQ149" i="2"/>
  <c r="LO149" i="2"/>
  <c r="LM149" i="2"/>
  <c r="LM126" i="2"/>
  <c r="LU146" i="2"/>
  <c r="LS146" i="2"/>
  <c r="LQ146" i="2"/>
  <c r="LO146" i="2"/>
  <c r="LM146" i="2"/>
  <c r="ML155" i="2"/>
  <c r="MA117" i="2"/>
  <c r="LS120" i="2"/>
  <c r="LM125" i="2"/>
  <c r="LU125" i="2"/>
  <c r="LO128" i="2"/>
  <c r="LM128" i="2"/>
  <c r="LU128" i="2"/>
  <c r="MG128" i="2"/>
  <c r="LO129" i="2"/>
  <c r="LM129" i="2"/>
  <c r="LU129" i="2"/>
  <c r="LQ135" i="2"/>
  <c r="LQ138" i="2"/>
  <c r="LM138" i="2"/>
  <c r="LU138" i="2"/>
  <c r="MF148" i="2"/>
  <c r="LO151" i="2"/>
  <c r="LQ151" i="2"/>
  <c r="LM151" i="2"/>
  <c r="LU151" i="2"/>
  <c r="LS151" i="2"/>
  <c r="MI152" i="2"/>
  <c r="LM135" i="2"/>
  <c r="LM143" i="2"/>
  <c r="LU143" i="2"/>
  <c r="LS143" i="2"/>
  <c r="LQ143" i="2"/>
  <c r="LO143" i="2"/>
  <c r="LU120" i="2"/>
  <c r="MA122" i="2"/>
  <c r="LO125" i="2"/>
  <c r="LS132" i="2"/>
  <c r="LM132" i="2"/>
  <c r="LQ134" i="2"/>
  <c r="LO138" i="2"/>
  <c r="MI146" i="2"/>
  <c r="LU147" i="2"/>
  <c r="LS147" i="2"/>
  <c r="LQ147" i="2"/>
  <c r="LO147" i="2"/>
  <c r="LM147" i="2"/>
  <c r="LU158" i="2"/>
  <c r="LS158" i="2"/>
  <c r="LQ158" i="2"/>
  <c r="LO158" i="2"/>
  <c r="LM158" i="2"/>
  <c r="MA124" i="2"/>
  <c r="MA126" i="2"/>
  <c r="MG126" i="2"/>
  <c r="LQ128" i="2"/>
  <c r="LQ129" i="2"/>
  <c r="ME132" i="2"/>
  <c r="MM132" i="2" s="1" a="1"/>
  <c r="MM132" i="2" s="1"/>
  <c r="LO135" i="2"/>
  <c r="MA138" i="2"/>
  <c r="LU156" i="2"/>
  <c r="LS156" i="2"/>
  <c r="LQ156" i="2"/>
  <c r="LO156" i="2"/>
  <c r="LM156" i="2"/>
  <c r="MK168" i="2"/>
  <c r="MA108" i="2"/>
  <c r="LQ125" i="2"/>
  <c r="LO132" i="2"/>
  <c r="LS128" i="2"/>
  <c r="LS129" i="2"/>
  <c r="LQ130" i="2"/>
  <c r="LO130" i="2"/>
  <c r="LM130" i="2"/>
  <c r="LU130" i="2"/>
  <c r="LS130" i="2"/>
  <c r="LQ131" i="2"/>
  <c r="LO134" i="2"/>
  <c r="LS138" i="2"/>
  <c r="MF152" i="2"/>
  <c r="LM153" i="2"/>
  <c r="LU153" i="2"/>
  <c r="LS153" i="2"/>
  <c r="LQ153" i="2"/>
  <c r="LO153" i="2"/>
  <c r="LM120" i="2"/>
  <c r="LS125" i="2"/>
  <c r="MA134" i="2"/>
  <c r="LS135" i="2"/>
  <c r="LU140" i="2"/>
  <c r="LS140" i="2"/>
  <c r="LQ140" i="2"/>
  <c r="LO140" i="2"/>
  <c r="LM140" i="2"/>
  <c r="LU145" i="2"/>
  <c r="MF145" i="2"/>
  <c r="LS145" i="2"/>
  <c r="LQ145" i="2"/>
  <c r="LO145" i="2"/>
  <c r="LM145" i="2"/>
  <c r="MK159" i="2"/>
  <c r="MJ160" i="2"/>
  <c r="MA120" i="2"/>
  <c r="LU139" i="2"/>
  <c r="LS139" i="2"/>
  <c r="LQ139" i="2"/>
  <c r="LO139" i="2"/>
  <c r="LM139" i="2"/>
  <c r="LU142" i="2"/>
  <c r="LS142" i="2"/>
  <c r="LQ142" i="2"/>
  <c r="LO142" i="2"/>
  <c r="LM142" i="2"/>
  <c r="LS134" i="2"/>
  <c r="LU135" i="2"/>
  <c r="LU144" i="2"/>
  <c r="LS144" i="2"/>
  <c r="LQ144" i="2"/>
  <c r="LO144" i="2"/>
  <c r="LM144" i="2"/>
  <c r="LM159" i="2"/>
  <c r="MJ159" i="2"/>
  <c r="LU159" i="2"/>
  <c r="LS159" i="2"/>
  <c r="LU137" i="2"/>
  <c r="MA152" i="2"/>
  <c r="MJ163" i="2"/>
  <c r="LS165" i="2"/>
  <c r="LQ165" i="2"/>
  <c r="LO165" i="2"/>
  <c r="LU165" i="2"/>
  <c r="LS174" i="2"/>
  <c r="LQ174" i="2"/>
  <c r="LO174" i="2"/>
  <c r="LM174" i="2"/>
  <c r="LU174" i="2"/>
  <c r="LQ148" i="2"/>
  <c r="ME157" i="2"/>
  <c r="LO159" i="2"/>
  <c r="LM165" i="2"/>
  <c r="LS192" i="2"/>
  <c r="LQ192" i="2"/>
  <c r="LM192" i="2"/>
  <c r="LU192" i="2"/>
  <c r="LO192" i="2"/>
  <c r="LO152" i="2"/>
  <c r="LO164" i="2"/>
  <c r="LM164" i="2"/>
  <c r="LU164" i="2"/>
  <c r="MA144" i="2"/>
  <c r="LS148" i="2"/>
  <c r="MA158" i="2"/>
  <c r="LM161" i="2"/>
  <c r="LU161" i="2"/>
  <c r="MA166" i="2"/>
  <c r="LU170" i="2"/>
  <c r="LS170" i="2"/>
  <c r="LQ170" i="2"/>
  <c r="LM137" i="2"/>
  <c r="MA141" i="2"/>
  <c r="LQ152" i="2"/>
  <c r="MG159" i="2"/>
  <c r="LM170" i="2"/>
  <c r="LU148" i="2"/>
  <c r="MI159" i="2"/>
  <c r="MK160" i="2"/>
  <c r="LO161" i="2"/>
  <c r="LQ164" i="2"/>
  <c r="LQ168" i="2"/>
  <c r="LO168" i="2"/>
  <c r="LM168" i="2"/>
  <c r="LU168" i="2"/>
  <c r="LS168" i="2"/>
  <c r="LO137" i="2"/>
  <c r="LS152" i="2"/>
  <c r="LU160" i="2"/>
  <c r="LS160" i="2"/>
  <c r="LQ160" i="2"/>
  <c r="LO170" i="2"/>
  <c r="LQ150" i="2"/>
  <c r="LU154" i="2"/>
  <c r="LM155" i="2"/>
  <c r="LU155" i="2"/>
  <c r="LM160" i="2"/>
  <c r="LQ161" i="2"/>
  <c r="LS164" i="2"/>
  <c r="LQ175" i="2"/>
  <c r="LO175" i="2"/>
  <c r="LM175" i="2"/>
  <c r="LU175" i="2"/>
  <c r="LS175" i="2"/>
  <c r="LQ137" i="2"/>
  <c r="MK163" i="2"/>
  <c r="MA159" i="2"/>
  <c r="MF163" i="2"/>
  <c r="MG163" i="2"/>
  <c r="LQ167" i="2"/>
  <c r="LO167" i="2"/>
  <c r="LM167" i="2"/>
  <c r="LU167" i="2"/>
  <c r="LS167" i="2"/>
  <c r="LM148" i="2"/>
  <c r="LO154" i="2"/>
  <c r="LU157" i="2"/>
  <c r="LW157" i="2" s="1"/>
  <c r="LX157" i="2" s="1"/>
  <c r="MJ169" i="2"/>
  <c r="LS169" i="2"/>
  <c r="LQ169" i="2"/>
  <c r="MH169" i="2"/>
  <c r="LO169" i="2"/>
  <c r="LM169" i="2"/>
  <c r="LQ177" i="2"/>
  <c r="LO177" i="2"/>
  <c r="LM177" i="2"/>
  <c r="LO185" i="2"/>
  <c r="LU185" i="2"/>
  <c r="LS185" i="2"/>
  <c r="LQ185" i="2"/>
  <c r="LM185" i="2"/>
  <c r="LQ187" i="2"/>
  <c r="LU187" i="2"/>
  <c r="LS187" i="2"/>
  <c r="LO187" i="2"/>
  <c r="MG190" i="2"/>
  <c r="LS206" i="2"/>
  <c r="LU206" i="2"/>
  <c r="LQ206" i="2"/>
  <c r="LO206" i="2"/>
  <c r="LM206" i="2"/>
  <c r="MG176" i="2"/>
  <c r="LS179" i="2"/>
  <c r="LQ179" i="2"/>
  <c r="LO179" i="2"/>
  <c r="LM179" i="2"/>
  <c r="LS182" i="2"/>
  <c r="LQ182" i="2"/>
  <c r="LO182" i="2"/>
  <c r="LM182" i="2"/>
  <c r="LO184" i="2"/>
  <c r="LM184" i="2"/>
  <c r="LU184" i="2"/>
  <c r="LS184" i="2"/>
  <c r="MG184" i="2"/>
  <c r="LO186" i="2"/>
  <c r="LM186" i="2"/>
  <c r="LU186" i="2"/>
  <c r="LS186" i="2"/>
  <c r="LM187" i="2"/>
  <c r="MF181" i="2"/>
  <c r="LS162" i="2"/>
  <c r="LS163" i="2"/>
  <c r="MA175" i="2"/>
  <c r="MF182" i="2"/>
  <c r="ML184" i="2"/>
  <c r="MG194" i="2"/>
  <c r="ML194" i="2"/>
  <c r="LU188" i="2"/>
  <c r="LS188" i="2"/>
  <c r="LO188" i="2"/>
  <c r="LM188" i="2"/>
  <c r="LQ188" i="2"/>
  <c r="LU162" i="2"/>
  <c r="LU163" i="2"/>
  <c r="LM171" i="2"/>
  <c r="LU171" i="2"/>
  <c r="LS171" i="2"/>
  <c r="LO171" i="2"/>
  <c r="LM173" i="2"/>
  <c r="LU180" i="2"/>
  <c r="LS180" i="2"/>
  <c r="LQ180" i="2"/>
  <c r="LO180" i="2"/>
  <c r="LM180" i="2"/>
  <c r="LU177" i="2"/>
  <c r="LU179" i="2"/>
  <c r="LU182" i="2"/>
  <c r="LM172" i="2"/>
  <c r="LU172" i="2"/>
  <c r="LS172" i="2"/>
  <c r="LQ172" i="2"/>
  <c r="LO172" i="2"/>
  <c r="LO173" i="2"/>
  <c r="ME193" i="2"/>
  <c r="MG193" i="2"/>
  <c r="LQ171" i="2"/>
  <c r="LU178" i="2"/>
  <c r="LS178" i="2"/>
  <c r="LQ178" i="2"/>
  <c r="LO178" i="2"/>
  <c r="LM178" i="2"/>
  <c r="LS183" i="2"/>
  <c r="LQ183" i="2"/>
  <c r="LO183" i="2"/>
  <c r="LM183" i="2"/>
  <c r="LU183" i="2"/>
  <c r="LM162" i="2"/>
  <c r="LM163" i="2"/>
  <c r="LQ173" i="2"/>
  <c r="LS181" i="2"/>
  <c r="LQ181" i="2"/>
  <c r="LO181" i="2"/>
  <c r="LM181" i="2"/>
  <c r="LU181" i="2"/>
  <c r="MG171" i="2"/>
  <c r="LS176" i="2"/>
  <c r="LQ176" i="2"/>
  <c r="LO176" i="2"/>
  <c r="LM176" i="2"/>
  <c r="LU176" i="2"/>
  <c r="LS193" i="2"/>
  <c r="LQ193" i="2"/>
  <c r="LO193" i="2"/>
  <c r="LM193" i="2"/>
  <c r="LU193" i="2"/>
  <c r="LU201" i="2"/>
  <c r="LQ201" i="2"/>
  <c r="LM201" i="2"/>
  <c r="LS201" i="2"/>
  <c r="LO201" i="2"/>
  <c r="LU196" i="2"/>
  <c r="LS196" i="2"/>
  <c r="LQ196" i="2"/>
  <c r="LO196" i="2"/>
  <c r="LM196" i="2"/>
  <c r="LO198" i="2"/>
  <c r="LS198" i="2"/>
  <c r="LU198" i="2"/>
  <c r="LQ198" i="2"/>
  <c r="LM198" i="2"/>
  <c r="LU189" i="2"/>
  <c r="LO189" i="2"/>
  <c r="LQ194" i="2"/>
  <c r="LU194" i="2"/>
  <c r="LS194" i="2"/>
  <c r="LO194" i="2"/>
  <c r="MA178" i="2"/>
  <c r="MA180" i="2"/>
  <c r="LM189" i="2"/>
  <c r="LM190" i="2"/>
  <c r="LU190" i="2"/>
  <c r="LS190" i="2"/>
  <c r="LO190" i="2"/>
  <c r="MK190" i="2"/>
  <c r="LM194" i="2"/>
  <c r="MA181" i="2"/>
  <c r="LQ189" i="2"/>
  <c r="LQ190" i="2"/>
  <c r="LU191" i="2"/>
  <c r="LQ191" i="2"/>
  <c r="LO191" i="2"/>
  <c r="LU199" i="2"/>
  <c r="LQ199" i="2"/>
  <c r="LM199" i="2"/>
  <c r="LS199" i="2"/>
  <c r="LM191" i="2"/>
  <c r="LS189" i="2"/>
  <c r="ME194" i="2"/>
  <c r="MF194" i="2"/>
  <c r="MH195" i="2"/>
  <c r="MI195" i="2"/>
  <c r="MF199" i="2"/>
  <c r="LU202" i="2"/>
  <c r="LS202" i="2"/>
  <c r="LO202" i="2"/>
  <c r="LQ202" i="2"/>
  <c r="LM202" i="2"/>
  <c r="LU200" i="2"/>
  <c r="LQ200" i="2"/>
  <c r="LM200" i="2"/>
  <c r="LS200" i="2"/>
  <c r="LO200" i="2"/>
  <c r="LQ195" i="2"/>
  <c r="LM204" i="2"/>
  <c r="LU204" i="2"/>
  <c r="LQ204" i="2"/>
  <c r="LS207" i="2"/>
  <c r="LO207" i="2"/>
  <c r="LM207" i="2"/>
  <c r="LU207" i="2"/>
  <c r="LS195" i="2"/>
  <c r="MI199" i="2"/>
  <c r="LO204" i="2"/>
  <c r="LS209" i="2"/>
  <c r="LQ209" i="2"/>
  <c r="LU209" i="2"/>
  <c r="LO209" i="2"/>
  <c r="LM209" i="2"/>
  <c r="MA210" i="2"/>
  <c r="LQ207" i="2"/>
  <c r="LU221" i="2"/>
  <c r="LQ221" i="2"/>
  <c r="LO221" i="2"/>
  <c r="LM221" i="2"/>
  <c r="LS221" i="2"/>
  <c r="LU195" i="2"/>
  <c r="LM197" i="2"/>
  <c r="LU197" i="2"/>
  <c r="LQ197" i="2"/>
  <c r="LS204" i="2"/>
  <c r="ME205" i="2"/>
  <c r="LU210" i="2"/>
  <c r="LS210" i="2"/>
  <c r="LO210" i="2"/>
  <c r="LM210" i="2"/>
  <c r="MA199" i="2"/>
  <c r="LM203" i="2"/>
  <c r="LU203" i="2"/>
  <c r="LQ203" i="2"/>
  <c r="LO197" i="2"/>
  <c r="LQ210" i="2"/>
  <c r="LM195" i="2"/>
  <c r="MA200" i="2"/>
  <c r="MF204" i="2"/>
  <c r="LO205" i="2"/>
  <c r="LM205" i="2"/>
  <c r="LU205" i="2"/>
  <c r="LS205" i="2"/>
  <c r="LM215" i="2"/>
  <c r="LU215" i="2"/>
  <c r="LS215" i="2"/>
  <c r="LQ215" i="2"/>
  <c r="LO215" i="2"/>
  <c r="LS197" i="2"/>
  <c r="LM214" i="2"/>
  <c r="LO214" i="2"/>
  <c r="MG214" i="2"/>
  <c r="LM217" i="2"/>
  <c r="LU217" i="2"/>
  <c r="LS217" i="2"/>
  <c r="LQ217" i="2"/>
  <c r="LO217" i="2"/>
  <c r="MG212" i="2"/>
  <c r="LS216" i="2"/>
  <c r="LQ216" i="2"/>
  <c r="LM216" i="2"/>
  <c r="LU216" i="2"/>
  <c r="LS220" i="2"/>
  <c r="LQ220" i="2"/>
  <c r="LO220" i="2"/>
  <c r="LM220" i="2"/>
  <c r="LU222" i="2"/>
  <c r="LQ222" i="2"/>
  <c r="LS222" i="2"/>
  <c r="LO222" i="2"/>
  <c r="LM222" i="2"/>
  <c r="MA202" i="2"/>
  <c r="LO211" i="2"/>
  <c r="LQ208" i="2"/>
  <c r="MG208" i="2"/>
  <c r="LQ212" i="2"/>
  <c r="LQ214" i="2"/>
  <c r="LO216" i="2"/>
  <c r="MG219" i="2"/>
  <c r="MI208" i="2"/>
  <c r="LS214" i="2"/>
  <c r="MF213" i="2"/>
  <c r="ML213" i="2"/>
  <c r="LS218" i="2"/>
  <c r="LO218" i="2"/>
  <c r="LM218" i="2"/>
  <c r="LU218" i="2"/>
  <c r="MA219" i="2"/>
  <c r="LU220" i="2"/>
  <c r="LU208" i="2"/>
  <c r="LU213" i="2"/>
  <c r="LM213" i="2"/>
  <c r="LU214" i="2"/>
  <c r="MA205" i="2"/>
  <c r="LQ218" i="2"/>
  <c r="LQ219" i="2"/>
  <c r="LM219" i="2"/>
  <c r="LU219" i="2"/>
  <c r="LS219" i="2"/>
  <c r="LO219" i="2"/>
  <c r="LU212" i="2"/>
  <c r="LS212" i="2"/>
  <c r="MJ220" i="2"/>
  <c r="LM226" i="2"/>
  <c r="LU226" i="2"/>
  <c r="LS226" i="2"/>
  <c r="LQ226" i="2"/>
  <c r="LO226" i="2"/>
  <c r="LM208" i="2"/>
  <c r="LU211" i="2"/>
  <c r="LS211" i="2"/>
  <c r="MA212" i="2"/>
  <c r="LM212" i="2"/>
  <c r="LS225" i="2"/>
  <c r="LQ225" i="2"/>
  <c r="LO225" i="2"/>
  <c r="LM225" i="2"/>
  <c r="LQ223" i="2"/>
  <c r="MF224" i="2"/>
  <c r="MH227" i="2"/>
  <c r="LO232" i="2"/>
  <c r="LU232" i="2"/>
  <c r="LS232" i="2"/>
  <c r="LQ232" i="2"/>
  <c r="LM232" i="2"/>
  <c r="MA221" i="2"/>
  <c r="LS228" i="2"/>
  <c r="LQ228" i="2"/>
  <c r="LO228" i="2"/>
  <c r="LM228" i="2"/>
  <c r="LU228" i="2"/>
  <c r="MA224" i="2"/>
  <c r="LU225" i="2"/>
  <c r="MF231" i="2"/>
  <c r="LU224" i="2"/>
  <c r="LS224" i="2"/>
  <c r="LQ224" i="2"/>
  <c r="LM224" i="2"/>
  <c r="MA225" i="2"/>
  <c r="MA222" i="2"/>
  <c r="ME223" i="2"/>
  <c r="LU234" i="2"/>
  <c r="LM234" i="2"/>
  <c r="LS234" i="2"/>
  <c r="LQ234" i="2"/>
  <c r="LO234" i="2"/>
  <c r="LM223" i="2"/>
  <c r="LU223" i="2"/>
  <c r="LS223" i="2"/>
  <c r="LO223" i="2"/>
  <c r="ME227" i="2"/>
  <c r="LM230" i="2"/>
  <c r="LO236" i="2"/>
  <c r="ME237" i="2"/>
  <c r="MF227" i="2"/>
  <c r="LQ229" i="2"/>
  <c r="MA232" i="2"/>
  <c r="LU233" i="2"/>
  <c r="LM233" i="2"/>
  <c r="LS231" i="2"/>
  <c r="LQ236" i="2"/>
  <c r="LM231" i="2"/>
  <c r="LU227" i="2"/>
  <c r="MI227" i="2"/>
  <c r="LQ230" i="2"/>
  <c r="LU238" i="2"/>
  <c r="LS238" i="2"/>
  <c r="LQ238" i="2"/>
  <c r="LO238" i="2"/>
  <c r="LM238" i="2"/>
  <c r="LU239" i="2"/>
  <c r="LS239" i="2"/>
  <c r="LO239" i="2"/>
  <c r="LU244" i="2"/>
  <c r="LO244" i="2"/>
  <c r="LS244" i="2"/>
  <c r="LQ244" i="2"/>
  <c r="LM244" i="2"/>
  <c r="MH248" i="2"/>
  <c r="LQ250" i="2"/>
  <c r="LO250" i="2"/>
  <c r="LM250" i="2"/>
  <c r="LU250" i="2"/>
  <c r="LS250" i="2"/>
  <c r="LU229" i="2"/>
  <c r="LO231" i="2"/>
  <c r="LQ233" i="2"/>
  <c r="LM239" i="2"/>
  <c r="LQ246" i="2"/>
  <c r="LO246" i="2"/>
  <c r="LU246" i="2"/>
  <c r="LS246" i="2"/>
  <c r="LM246" i="2"/>
  <c r="LQ235" i="2"/>
  <c r="LO235" i="2"/>
  <c r="LM235" i="2"/>
  <c r="MK237" i="2"/>
  <c r="LU230" i="2"/>
  <c r="LQ231" i="2"/>
  <c r="LS233" i="2"/>
  <c r="ML235" i="2"/>
  <c r="LU237" i="2"/>
  <c r="LS237" i="2"/>
  <c r="LQ237" i="2"/>
  <c r="LO237" i="2"/>
  <c r="LM237" i="2"/>
  <c r="LQ239" i="2"/>
  <c r="LU240" i="2"/>
  <c r="LS240" i="2"/>
  <c r="LQ240" i="2"/>
  <c r="LO240" i="2"/>
  <c r="LM240" i="2"/>
  <c r="LU242" i="2"/>
  <c r="LS242" i="2"/>
  <c r="LM242" i="2"/>
  <c r="LQ242" i="2"/>
  <c r="LO242" i="2"/>
  <c r="MK231" i="2"/>
  <c r="LU236" i="2"/>
  <c r="LS236" i="2"/>
  <c r="LU231" i="2"/>
  <c r="MA234" i="2"/>
  <c r="LM236" i="2"/>
  <c r="MA238" i="2"/>
  <c r="LO241" i="2"/>
  <c r="LW241" i="2" s="1"/>
  <c r="LX241" i="2" s="1"/>
  <c r="LO243" i="2"/>
  <c r="LS248" i="2"/>
  <c r="MA249" i="2"/>
  <c r="MA255" i="2"/>
  <c r="LQ249" i="2"/>
  <c r="LO249" i="2"/>
  <c r="LU249" i="2"/>
  <c r="LS249" i="2"/>
  <c r="LO252" i="2"/>
  <c r="LM252" i="2"/>
  <c r="LS252" i="2"/>
  <c r="LQ252" i="2"/>
  <c r="MA239" i="2"/>
  <c r="MA240" i="2"/>
  <c r="MA242" i="2"/>
  <c r="LM249" i="2"/>
  <c r="LO256" i="2"/>
  <c r="LM256" i="2"/>
  <c r="LS256" i="2"/>
  <c r="LQ256" i="2"/>
  <c r="LS243" i="2"/>
  <c r="LM257" i="2"/>
  <c r="LS257" i="2"/>
  <c r="LQ257" i="2"/>
  <c r="LO257" i="2"/>
  <c r="LU257" i="2"/>
  <c r="MA247" i="2"/>
  <c r="ML241" i="2"/>
  <c r="LO248" i="2"/>
  <c r="LM248" i="2"/>
  <c r="LU252" i="2"/>
  <c r="LU243" i="2"/>
  <c r="LM243" i="2"/>
  <c r="LQ248" i="2"/>
  <c r="LU251" i="2"/>
  <c r="LS261" i="2"/>
  <c r="LQ261" i="2"/>
  <c r="LO261" i="2"/>
  <c r="LM261" i="2"/>
  <c r="LU261" i="2"/>
  <c r="LU258" i="2"/>
  <c r="MA261" i="2"/>
  <c r="MF263" i="2"/>
  <c r="LQ247" i="2"/>
  <c r="LO266" i="2"/>
  <c r="LS266" i="2"/>
  <c r="LU266" i="2"/>
  <c r="LQ266" i="2"/>
  <c r="LM266" i="2"/>
  <c r="MH266" i="2"/>
  <c r="LU260" i="2"/>
  <c r="LQ267" i="2"/>
  <c r="LU267" i="2"/>
  <c r="LS267" i="2"/>
  <c r="LO267" i="2"/>
  <c r="LM267" i="2"/>
  <c r="LO251" i="2"/>
  <c r="LQ258" i="2"/>
  <c r="LS258" i="2"/>
  <c r="MA250" i="2"/>
  <c r="MA254" i="2"/>
  <c r="LM258" i="2"/>
  <c r="LQ259" i="2"/>
  <c r="LS259" i="2"/>
  <c r="LQ251" i="2"/>
  <c r="MA252" i="2"/>
  <c r="LO258" i="2"/>
  <c r="MJ270" i="2"/>
  <c r="LQ260" i="2"/>
  <c r="LS260" i="2"/>
  <c r="LS262" i="2"/>
  <c r="LM262" i="2"/>
  <c r="LU262" i="2"/>
  <c r="LQ262" i="2"/>
  <c r="LO262" i="2"/>
  <c r="LM260" i="2"/>
  <c r="LU265" i="2"/>
  <c r="LM263" i="2"/>
  <c r="LM268" i="2"/>
  <c r="LQ268" i="2"/>
  <c r="LM271" i="2"/>
  <c r="LU271" i="2"/>
  <c r="LS271" i="2"/>
  <c r="LQ271" i="2"/>
  <c r="LS277" i="2"/>
  <c r="LM277" i="2"/>
  <c r="LU277" i="2"/>
  <c r="LQ277" i="2"/>
  <c r="LO277" i="2"/>
  <c r="MF280" i="2"/>
  <c r="LS269" i="2"/>
  <c r="LO269" i="2"/>
  <c r="LQ274" i="2"/>
  <c r="LS274" i="2"/>
  <c r="LO274" i="2"/>
  <c r="LM274" i="2"/>
  <c r="LQ282" i="2"/>
  <c r="LM282" i="2"/>
  <c r="LU282" i="2"/>
  <c r="LS282" i="2"/>
  <c r="LO282" i="2"/>
  <c r="LM264" i="2"/>
  <c r="MH270" i="2"/>
  <c r="LM265" i="2"/>
  <c r="ME274" i="2"/>
  <c r="MM274" i="2" s="1" a="1"/>
  <c r="MM274" i="2" s="1"/>
  <c r="MF278" i="2"/>
  <c r="LO264" i="2"/>
  <c r="LM270" i="2"/>
  <c r="LU270" i="2"/>
  <c r="LS270" i="2"/>
  <c r="LQ270" i="2"/>
  <c r="ME271" i="2"/>
  <c r="LU283" i="2"/>
  <c r="LS283" i="2"/>
  <c r="LQ283" i="2"/>
  <c r="LO283" i="2"/>
  <c r="LM283" i="2"/>
  <c r="LO265" i="2"/>
  <c r="MA268" i="2"/>
  <c r="LQ276" i="2"/>
  <c r="LO276" i="2"/>
  <c r="LM276" i="2"/>
  <c r="LU276" i="2"/>
  <c r="LS276" i="2"/>
  <c r="MA259" i="2"/>
  <c r="MG264" i="2"/>
  <c r="LQ265" i="2"/>
  <c r="MA271" i="2"/>
  <c r="MA274" i="2"/>
  <c r="ML263" i="2"/>
  <c r="LS264" i="2"/>
  <c r="MH264" i="2"/>
  <c r="LQ272" i="2"/>
  <c r="LO272" i="2"/>
  <c r="LM272" i="2"/>
  <c r="LS272" i="2"/>
  <c r="LS265" i="2"/>
  <c r="LU264" i="2"/>
  <c r="LM285" i="2"/>
  <c r="LU285" i="2"/>
  <c r="LS285" i="2"/>
  <c r="LQ285" i="2"/>
  <c r="LO285" i="2"/>
  <c r="LO275" i="2"/>
  <c r="LO281" i="2"/>
  <c r="LO280" i="2"/>
  <c r="LM280" i="2"/>
  <c r="LM279" i="2"/>
  <c r="LU290" i="2"/>
  <c r="LS290" i="2"/>
  <c r="LQ290" i="2"/>
  <c r="LO290" i="2"/>
  <c r="LM290" i="2"/>
  <c r="LM293" i="2"/>
  <c r="LU293" i="2"/>
  <c r="LS293" i="2"/>
  <c r="LQ293" i="2"/>
  <c r="LO293" i="2"/>
  <c r="LS273" i="2"/>
  <c r="LS275" i="2"/>
  <c r="ME278" i="2"/>
  <c r="LQ280" i="2"/>
  <c r="LQ281" i="2"/>
  <c r="LU273" i="2"/>
  <c r="LQ287" i="2"/>
  <c r="LO287" i="2"/>
  <c r="LM287" i="2"/>
  <c r="LU287" i="2"/>
  <c r="LS287" i="2"/>
  <c r="LS280" i="2"/>
  <c r="LS281" i="2"/>
  <c r="MA276" i="2"/>
  <c r="LS278" i="2"/>
  <c r="LS284" i="2"/>
  <c r="LQ284" i="2"/>
  <c r="LO284" i="2"/>
  <c r="LM284" i="2"/>
  <c r="LU280" i="2"/>
  <c r="LU281" i="2"/>
  <c r="LQ288" i="2"/>
  <c r="LO288" i="2"/>
  <c r="LM288" i="2"/>
  <c r="LU288" i="2"/>
  <c r="LS288" i="2"/>
  <c r="LU292" i="2"/>
  <c r="LS292" i="2"/>
  <c r="LQ292" i="2"/>
  <c r="LO292" i="2"/>
  <c r="LM292" i="2"/>
  <c r="LU291" i="2"/>
  <c r="LS291" i="2"/>
  <c r="LQ291" i="2"/>
  <c r="LO291" i="2"/>
  <c r="LM291" i="2"/>
  <c r="LQ286" i="2"/>
  <c r="MA292" i="2"/>
  <c r="LS286" i="2"/>
  <c r="MA290" i="2"/>
  <c r="LU286" i="2"/>
  <c r="LO289" i="2"/>
  <c r="LQ289" i="2"/>
  <c r="ME289" i="2"/>
  <c r="MF289" i="2"/>
  <c r="LM286" i="2"/>
  <c r="B475" i="24"/>
  <c r="J432" i="24"/>
  <c r="B514" i="24" s="1"/>
  <c r="M432" i="24"/>
  <c r="P432" i="24"/>
  <c r="Q432" i="24" s="1"/>
  <c r="S432" i="24"/>
  <c r="T432" i="24" s="1"/>
  <c r="V432" i="24"/>
  <c r="W432" i="24" s="1"/>
  <c r="Y432" i="24"/>
  <c r="Z432" i="24" s="1"/>
  <c r="AB432" i="24"/>
  <c r="AC432" i="24" s="1"/>
  <c r="AE432" i="24"/>
  <c r="AF432" i="24" s="1"/>
  <c r="AH432" i="24"/>
  <c r="AI432" i="24" s="1"/>
  <c r="AK432" i="24"/>
  <c r="AL432" i="24" s="1"/>
  <c r="AN432" i="24"/>
  <c r="AO432" i="24" s="1"/>
  <c r="AQ432" i="24"/>
  <c r="AR432" i="24" s="1"/>
  <c r="AT432" i="24"/>
  <c r="AU432" i="24" s="1"/>
  <c r="AW432" i="24"/>
  <c r="AX432" i="24" s="1"/>
  <c r="AZ432" i="24"/>
  <c r="BA432" i="24" s="1"/>
  <c r="BC432" i="24"/>
  <c r="BD432" i="24" s="1"/>
  <c r="BF432" i="24"/>
  <c r="BG432" i="24" s="1"/>
  <c r="BI432" i="24"/>
  <c r="BJ432" i="24" s="1"/>
  <c r="BL432" i="24"/>
  <c r="BM432" i="24" s="1"/>
  <c r="BO432" i="24"/>
  <c r="BP432" i="24" s="1"/>
  <c r="B476" i="24"/>
  <c r="J433" i="24"/>
  <c r="B515" i="24" s="1"/>
  <c r="M433" i="24"/>
  <c r="P433" i="24"/>
  <c r="Q433" i="24" s="1"/>
  <c r="S433" i="24"/>
  <c r="T433" i="24" s="1"/>
  <c r="V433" i="24"/>
  <c r="W433" i="24" s="1"/>
  <c r="Y433" i="24"/>
  <c r="AB433" i="24"/>
  <c r="AC433" i="24" s="1"/>
  <c r="AE433" i="24"/>
  <c r="AF433" i="24" s="1"/>
  <c r="AH433" i="24"/>
  <c r="AI433" i="24" s="1"/>
  <c r="AK433" i="24"/>
  <c r="AL433" i="24" s="1"/>
  <c r="AN433" i="24"/>
  <c r="AO433" i="24" s="1"/>
  <c r="AQ433" i="24"/>
  <c r="AR433" i="24" s="1"/>
  <c r="AT433" i="24"/>
  <c r="AU433" i="24" s="1"/>
  <c r="AW433" i="24"/>
  <c r="AX433" i="24" s="1"/>
  <c r="AZ433" i="24"/>
  <c r="BA433" i="24" s="1"/>
  <c r="BC433" i="24"/>
  <c r="BD433" i="24" s="1"/>
  <c r="BF433" i="24"/>
  <c r="BG433" i="24" s="1"/>
  <c r="BI433" i="24"/>
  <c r="BJ433" i="24" s="1"/>
  <c r="BL433" i="24"/>
  <c r="BM433" i="24" s="1"/>
  <c r="BO433" i="24"/>
  <c r="BP433" i="24" s="1"/>
  <c r="B477" i="24"/>
  <c r="J434" i="24"/>
  <c r="B516" i="24" s="1"/>
  <c r="M434" i="24"/>
  <c r="P434" i="24"/>
  <c r="Q434" i="24" s="1"/>
  <c r="S434" i="24"/>
  <c r="T434" i="24" s="1"/>
  <c r="V434" i="24"/>
  <c r="W434" i="24" s="1"/>
  <c r="Y434" i="24"/>
  <c r="Z434" i="24" s="1"/>
  <c r="AB434" i="24"/>
  <c r="AC434" i="24" s="1"/>
  <c r="AE434" i="24"/>
  <c r="AF434" i="24" s="1"/>
  <c r="AH434" i="24"/>
  <c r="AI434" i="24" s="1"/>
  <c r="AK434" i="24"/>
  <c r="AL434" i="24" s="1"/>
  <c r="AN434" i="24"/>
  <c r="AO434" i="24" s="1"/>
  <c r="AQ434" i="24"/>
  <c r="AR434" i="24" s="1"/>
  <c r="AT434" i="24"/>
  <c r="AU434" i="24" s="1"/>
  <c r="AW434" i="24"/>
  <c r="AX434" i="24" s="1"/>
  <c r="AZ434" i="24"/>
  <c r="BA434" i="24" s="1"/>
  <c r="BC434" i="24"/>
  <c r="BD434" i="24" s="1"/>
  <c r="BF434" i="24"/>
  <c r="BG434" i="24" s="1"/>
  <c r="BI434" i="24"/>
  <c r="BJ434" i="24" s="1"/>
  <c r="BL434" i="24"/>
  <c r="BM434" i="24" s="1"/>
  <c r="BO434" i="24"/>
  <c r="BP434" i="24" s="1"/>
  <c r="B478" i="24"/>
  <c r="J435" i="24"/>
  <c r="B517" i="24" s="1"/>
  <c r="M435" i="24"/>
  <c r="P435" i="24"/>
  <c r="Q435" i="24" s="1"/>
  <c r="S435" i="24"/>
  <c r="T435" i="24" s="1"/>
  <c r="V435" i="24"/>
  <c r="W435" i="24" s="1"/>
  <c r="Y435" i="24"/>
  <c r="Z435" i="24" s="1"/>
  <c r="AB435" i="24"/>
  <c r="AC435" i="24" s="1"/>
  <c r="AE435" i="24"/>
  <c r="AF435" i="24" s="1"/>
  <c r="AH435" i="24"/>
  <c r="AI435" i="24" s="1"/>
  <c r="AK435" i="24"/>
  <c r="AL435" i="24" s="1"/>
  <c r="AN435" i="24"/>
  <c r="AO435" i="24" s="1"/>
  <c r="AQ435" i="24"/>
  <c r="AR435" i="24" s="1"/>
  <c r="AT435" i="24"/>
  <c r="AU435" i="24" s="1"/>
  <c r="AW435" i="24"/>
  <c r="AX435" i="24" s="1"/>
  <c r="AZ435" i="24"/>
  <c r="BA435" i="24" s="1"/>
  <c r="BC435" i="24"/>
  <c r="BD435" i="24" s="1"/>
  <c r="BF435" i="24"/>
  <c r="BG435" i="24" s="1"/>
  <c r="BI435" i="24"/>
  <c r="BJ435" i="24" s="1"/>
  <c r="BL435" i="24"/>
  <c r="BM435" i="24" s="1"/>
  <c r="BO435" i="24"/>
  <c r="BP435" i="24" s="1"/>
  <c r="B479" i="24"/>
  <c r="J436" i="24"/>
  <c r="B518" i="24" s="1"/>
  <c r="M436" i="24"/>
  <c r="P436" i="24"/>
  <c r="Q436" i="24" s="1"/>
  <c r="S436" i="24"/>
  <c r="T436" i="24" s="1"/>
  <c r="V436" i="24"/>
  <c r="W436" i="24" s="1"/>
  <c r="Y436" i="24"/>
  <c r="Z436" i="24" s="1"/>
  <c r="AB436" i="24"/>
  <c r="AC436" i="24" s="1"/>
  <c r="AE436" i="24"/>
  <c r="AF436" i="24" s="1"/>
  <c r="AH436" i="24"/>
  <c r="AI436" i="24" s="1"/>
  <c r="AK436" i="24"/>
  <c r="AL436" i="24" s="1"/>
  <c r="AN436" i="24"/>
  <c r="AO436" i="24" s="1"/>
  <c r="AQ436" i="24"/>
  <c r="AR436" i="24" s="1"/>
  <c r="AT436" i="24"/>
  <c r="AU436" i="24" s="1"/>
  <c r="AW436" i="24"/>
  <c r="AX436" i="24" s="1"/>
  <c r="AZ436" i="24"/>
  <c r="BA436" i="24" s="1"/>
  <c r="BC436" i="24"/>
  <c r="BD436" i="24" s="1"/>
  <c r="BF436" i="24"/>
  <c r="BG436" i="24" s="1"/>
  <c r="BI436" i="24"/>
  <c r="BJ436" i="24" s="1"/>
  <c r="BL436" i="24"/>
  <c r="BM436" i="24" s="1"/>
  <c r="BO436" i="24"/>
  <c r="BP436" i="24" s="1"/>
  <c r="B480" i="24"/>
  <c r="J437" i="24"/>
  <c r="B519" i="24" s="1"/>
  <c r="M437" i="24"/>
  <c r="P437" i="24"/>
  <c r="Q437" i="24" s="1"/>
  <c r="S437" i="24"/>
  <c r="T437" i="24" s="1"/>
  <c r="V437" i="24"/>
  <c r="Y437" i="24"/>
  <c r="Z437" i="24" s="1"/>
  <c r="AB437" i="24"/>
  <c r="AC437" i="24" s="1"/>
  <c r="AE437" i="24"/>
  <c r="AF437" i="24" s="1"/>
  <c r="AH437" i="24"/>
  <c r="AI437" i="24" s="1"/>
  <c r="AK437" i="24"/>
  <c r="AL437" i="24" s="1"/>
  <c r="AN437" i="24"/>
  <c r="AO437" i="24" s="1"/>
  <c r="AQ437" i="24"/>
  <c r="AR437" i="24" s="1"/>
  <c r="AT437" i="24"/>
  <c r="AU437" i="24" s="1"/>
  <c r="AW437" i="24"/>
  <c r="AX437" i="24" s="1"/>
  <c r="AZ437" i="24"/>
  <c r="BA437" i="24" s="1"/>
  <c r="BC437" i="24"/>
  <c r="BD437" i="24" s="1"/>
  <c r="BF437" i="24"/>
  <c r="BG437" i="24" s="1"/>
  <c r="BI437" i="24"/>
  <c r="BJ437" i="24" s="1"/>
  <c r="BL437" i="24"/>
  <c r="BM437" i="24" s="1"/>
  <c r="BO437" i="24"/>
  <c r="BP437" i="24" s="1"/>
  <c r="B481" i="24"/>
  <c r="J438" i="24"/>
  <c r="B520" i="24" s="1"/>
  <c r="M438" i="24"/>
  <c r="P438" i="24"/>
  <c r="Q438" i="24" s="1"/>
  <c r="S438" i="24"/>
  <c r="T438" i="24" s="1"/>
  <c r="V438" i="24"/>
  <c r="W438" i="24" s="1"/>
  <c r="Y438" i="24"/>
  <c r="Z438" i="24" s="1"/>
  <c r="AB438" i="24"/>
  <c r="AC438" i="24" s="1"/>
  <c r="AE438" i="24"/>
  <c r="AF438" i="24" s="1"/>
  <c r="AH438" i="24"/>
  <c r="AI438" i="24" s="1"/>
  <c r="AK438" i="24"/>
  <c r="AL438" i="24" s="1"/>
  <c r="AN438" i="24"/>
  <c r="AO438" i="24" s="1"/>
  <c r="AQ438" i="24"/>
  <c r="AR438" i="24" s="1"/>
  <c r="AT438" i="24"/>
  <c r="AU438" i="24" s="1"/>
  <c r="AW438" i="24"/>
  <c r="AX438" i="24" s="1"/>
  <c r="AZ438" i="24"/>
  <c r="BA438" i="24" s="1"/>
  <c r="BC438" i="24"/>
  <c r="BD438" i="24" s="1"/>
  <c r="BF438" i="24"/>
  <c r="BG438" i="24" s="1"/>
  <c r="BI438" i="24"/>
  <c r="BJ438" i="24" s="1"/>
  <c r="BL438" i="24"/>
  <c r="BM438" i="24" s="1"/>
  <c r="BO438" i="24"/>
  <c r="BP438" i="24" s="1"/>
  <c r="J404" i="24"/>
  <c r="B486" i="24" s="1"/>
  <c r="J405" i="24"/>
  <c r="B487" i="24" s="1"/>
  <c r="N323" i="15"/>
  <c r="Q323" i="15" s="1"/>
  <c r="Y323" i="15"/>
  <c r="Z323" i="15" s="1"/>
  <c r="AA323" i="15"/>
  <c r="CS370" i="42"/>
  <c r="JF108" i="2" l="1"/>
  <c r="JF211" i="2"/>
  <c r="LW254" i="2"/>
  <c r="LX254" i="2" s="1"/>
  <c r="KQ237" i="2"/>
  <c r="MB205" i="2"/>
  <c r="MK205" i="2"/>
  <c r="KQ248" i="2"/>
  <c r="LW126" i="2"/>
  <c r="LX126" i="2" s="1"/>
  <c r="KQ97" i="2"/>
  <c r="MB211" i="2"/>
  <c r="KQ93" i="2"/>
  <c r="DN197" i="2"/>
  <c r="HU137" i="2"/>
  <c r="KQ159" i="2"/>
  <c r="DN61" i="2"/>
  <c r="HU129" i="2"/>
  <c r="DN164" i="2"/>
  <c r="EY151" i="2"/>
  <c r="KQ157" i="2"/>
  <c r="KQ37" i="2"/>
  <c r="KQ91" i="2"/>
  <c r="BQ436" i="24"/>
  <c r="N432" i="24"/>
  <c r="BQ432" i="24"/>
  <c r="N434" i="24"/>
  <c r="BQ434" i="24"/>
  <c r="BQ438" i="24"/>
  <c r="D438" i="24" s="1"/>
  <c r="N435" i="24"/>
  <c r="BQ435" i="24"/>
  <c r="BQ437" i="24"/>
  <c r="D437" i="24" s="1"/>
  <c r="N433" i="24"/>
  <c r="BQ433" i="24"/>
  <c r="D433" i="24" s="1"/>
  <c r="MB278" i="2"/>
  <c r="B530" i="24"/>
  <c r="JF164" i="2"/>
  <c r="JF401" i="2"/>
  <c r="HU171" i="2"/>
  <c r="KQ84" i="2"/>
  <c r="KQ163" i="2"/>
  <c r="GJ171" i="2"/>
  <c r="KQ151" i="2"/>
  <c r="MB265" i="2"/>
  <c r="EY133" i="2"/>
  <c r="JF151" i="2"/>
  <c r="KQ56" i="2"/>
  <c r="LW68" i="2"/>
  <c r="LX68" i="2" s="1"/>
  <c r="HU197" i="2"/>
  <c r="KQ123" i="2"/>
  <c r="MB237" i="2"/>
  <c r="KQ117" i="2"/>
  <c r="JF19" i="2"/>
  <c r="KQ39" i="2"/>
  <c r="HU402" i="2"/>
  <c r="R323" i="15"/>
  <c r="S323" i="15"/>
  <c r="P323" i="15"/>
  <c r="O323" i="15"/>
  <c r="DA273" i="2"/>
  <c r="CY268" i="2"/>
  <c r="FW272" i="2"/>
  <c r="AA276" i="2"/>
  <c r="AA271" i="2"/>
  <c r="EH275" i="2"/>
  <c r="AA268" i="2"/>
  <c r="BN275" i="2"/>
  <c r="DN200" i="2"/>
  <c r="MB38" i="2"/>
  <c r="MB227" i="2"/>
  <c r="LW245" i="2"/>
  <c r="LX245" i="2" s="1"/>
  <c r="HU161" i="2"/>
  <c r="JF143" i="2"/>
  <c r="KQ216" i="2"/>
  <c r="KQ135" i="2"/>
  <c r="LW255" i="2"/>
  <c r="LX255" i="2" s="1"/>
  <c r="DN111" i="2"/>
  <c r="KQ283" i="2"/>
  <c r="EY289" i="2"/>
  <c r="HU29" i="2"/>
  <c r="GJ51" i="2"/>
  <c r="KQ143" i="2"/>
  <c r="GJ319" i="2"/>
  <c r="KQ173" i="2"/>
  <c r="HU51" i="2"/>
  <c r="KQ73" i="2"/>
  <c r="KQ188" i="2"/>
  <c r="MB109" i="2"/>
  <c r="MB146" i="2"/>
  <c r="GJ289" i="2"/>
  <c r="KQ132" i="2"/>
  <c r="KQ103" i="2"/>
  <c r="DN189" i="2"/>
  <c r="LW131" i="2"/>
  <c r="LX131" i="2" s="1"/>
  <c r="GJ189" i="2"/>
  <c r="HU89" i="2"/>
  <c r="DN93" i="2"/>
  <c r="KQ280" i="2"/>
  <c r="KQ92" i="2"/>
  <c r="KQ191" i="2"/>
  <c r="KQ161" i="2"/>
  <c r="JF176" i="2"/>
  <c r="KQ51" i="2"/>
  <c r="HU183" i="2"/>
  <c r="KQ35" i="2"/>
  <c r="DN172" i="2"/>
  <c r="KQ44" i="2"/>
  <c r="KQ177" i="2"/>
  <c r="LW355" i="2"/>
  <c r="LX355" i="2" s="1"/>
  <c r="JF355" i="2" s="1"/>
  <c r="JH355" i="2" s="1"/>
  <c r="MB10" i="2"/>
  <c r="MB157" i="2"/>
  <c r="MB289" i="2"/>
  <c r="LW227" i="2"/>
  <c r="LX227" i="2" s="1"/>
  <c r="KQ29" i="2"/>
  <c r="KQ148" i="2"/>
  <c r="LW150" i="2"/>
  <c r="LX150" i="2" s="1"/>
  <c r="JF51" i="2"/>
  <c r="JF132" i="2"/>
  <c r="KQ75" i="2"/>
  <c r="EY111" i="2"/>
  <c r="GJ200" i="2"/>
  <c r="JF20" i="2"/>
  <c r="EY189" i="2"/>
  <c r="MB111" i="2"/>
  <c r="GJ172" i="2"/>
  <c r="LW278" i="2"/>
  <c r="LX278" i="2" s="1"/>
  <c r="HU113" i="2"/>
  <c r="KQ176" i="2"/>
  <c r="LW263" i="2"/>
  <c r="LX263" i="2" s="1"/>
  <c r="DN43" i="2"/>
  <c r="EY319" i="2"/>
  <c r="LW253" i="2"/>
  <c r="LX253" i="2" s="1"/>
  <c r="MM375" i="2" a="1"/>
  <c r="MM342" i="2" a="1"/>
  <c r="MM390" i="2" a="1"/>
  <c r="MM388" i="2" a="1"/>
  <c r="MM341" i="2" a="1"/>
  <c r="MM394" i="2" a="1"/>
  <c r="MM383" i="2" a="1"/>
  <c r="MM381" i="2" a="1"/>
  <c r="MM381" i="2" s="1"/>
  <c r="MM377" i="2" a="1"/>
  <c r="MM401" i="2" a="1"/>
  <c r="MM401" i="2" s="1"/>
  <c r="MM397" i="2" a="1"/>
  <c r="MM400" i="2" a="1"/>
  <c r="MM400" i="2" s="1"/>
  <c r="MM396" i="2" a="1"/>
  <c r="MM392" i="2" a="1"/>
  <c r="MM335" i="2" a="1"/>
  <c r="MM335" i="2" s="1"/>
  <c r="MM332" i="2" a="1"/>
  <c r="MM327" i="2" a="1"/>
  <c r="MM398" i="2" a="1"/>
  <c r="MM389" i="2" a="1"/>
  <c r="MM385" i="2" a="1"/>
  <c r="KQ253" i="2"/>
  <c r="MM379" i="2" a="1"/>
  <c r="MB261" i="2"/>
  <c r="EY320" i="2"/>
  <c r="MB254" i="2"/>
  <c r="MB154" i="2"/>
  <c r="KQ260" i="2"/>
  <c r="MF254" i="2"/>
  <c r="GJ188" i="2"/>
  <c r="LW247" i="2"/>
  <c r="LX247" i="2" s="1"/>
  <c r="GJ153" i="2"/>
  <c r="KQ144" i="2"/>
  <c r="MM344" i="2" a="1"/>
  <c r="MM371" i="2" a="1"/>
  <c r="MM319" i="2" a="1"/>
  <c r="MM373" i="2" a="1"/>
  <c r="MM340" i="2" a="1"/>
  <c r="LW301" i="2"/>
  <c r="LX301" i="2" s="1"/>
  <c r="MM323" i="2" a="1"/>
  <c r="MM323" i="2" s="1"/>
  <c r="MM374" i="2" a="1"/>
  <c r="MM365" i="2" a="1"/>
  <c r="MM370" i="2" a="1"/>
  <c r="MM370" i="2" s="1"/>
  <c r="MM368" i="2" a="1"/>
  <c r="LW353" i="2"/>
  <c r="LX353" i="2" s="1"/>
  <c r="MM361" i="2" a="1"/>
  <c r="MM361" i="2" s="1"/>
  <c r="MM367" i="2" a="1"/>
  <c r="MM324" i="2" a="1"/>
  <c r="MM324" i="2" s="1"/>
  <c r="MM329" i="2" a="1"/>
  <c r="MM329" i="2" s="1"/>
  <c r="MM372" i="2" a="1"/>
  <c r="MM372" i="2" s="1"/>
  <c r="MM364" i="2" a="1"/>
  <c r="MM343" i="2" a="1"/>
  <c r="MM343" i="2" s="1"/>
  <c r="MM347" i="2" a="1"/>
  <c r="MM360" i="2" a="1"/>
  <c r="MM338" i="2" a="1"/>
  <c r="MB224" i="2"/>
  <c r="MM362" i="2" a="1"/>
  <c r="MM362" i="2" s="1"/>
  <c r="MM350" i="2" a="1"/>
  <c r="MM303" i="2" a="1"/>
  <c r="MM366" i="2" a="1"/>
  <c r="MM369" i="2" a="1"/>
  <c r="MM369" i="2" s="1"/>
  <c r="MM326" i="2" a="1"/>
  <c r="MM326" i="2" s="1"/>
  <c r="MM322" i="2" a="1"/>
  <c r="MM403" i="2"/>
  <c r="DN402" i="2"/>
  <c r="MB402" i="2"/>
  <c r="MO402" i="2" s="1"/>
  <c r="FA402" i="2"/>
  <c r="MM402" i="2"/>
  <c r="ML399" i="2"/>
  <c r="MF399" i="2"/>
  <c r="MM399" i="2" s="1" a="1"/>
  <c r="MM398" i="2"/>
  <c r="MM397" i="2"/>
  <c r="MM396" i="2"/>
  <c r="MJ395" i="2"/>
  <c r="MK393" i="2"/>
  <c r="MM394" i="2"/>
  <c r="MI393" i="2"/>
  <c r="MM392" i="2"/>
  <c r="MJ391" i="2"/>
  <c r="MH391" i="2"/>
  <c r="MM391" i="2" s="1" a="1"/>
  <c r="MM390" i="2"/>
  <c r="MM389" i="2"/>
  <c r="MM388" i="2"/>
  <c r="ML387" i="2"/>
  <c r="MF387" i="2"/>
  <c r="MM387" i="2" s="1" a="1"/>
  <c r="MM386" i="2"/>
  <c r="MM385" i="2"/>
  <c r="ML384" i="2"/>
  <c r="MI384" i="2"/>
  <c r="MH384" i="2"/>
  <c r="MF384" i="2"/>
  <c r="MM384" i="2" s="1" a="1"/>
  <c r="LW383" i="2"/>
  <c r="LX383" i="2" s="1"/>
  <c r="MM383" i="2"/>
  <c r="MM382" i="2"/>
  <c r="HW380" i="2"/>
  <c r="MH380" i="2"/>
  <c r="MG380" i="2"/>
  <c r="MM379" i="2"/>
  <c r="MM378" i="2"/>
  <c r="LW376" i="2"/>
  <c r="LX376" i="2" s="1"/>
  <c r="ML376" i="2"/>
  <c r="MI376" i="2"/>
  <c r="MM359" i="2" a="1"/>
  <c r="GL353" i="2"/>
  <c r="GJ353" i="2"/>
  <c r="LW390" i="2"/>
  <c r="LX390" i="2" s="1"/>
  <c r="MM336" i="2" a="1"/>
  <c r="MM336" i="2" s="1"/>
  <c r="HU353" i="2"/>
  <c r="HW353" i="2"/>
  <c r="MM363" i="2" a="1"/>
  <c r="MM363" i="2" s="1"/>
  <c r="MB353" i="2"/>
  <c r="AT353" i="2"/>
  <c r="AR353" i="2"/>
  <c r="MM348" i="2" a="1"/>
  <c r="JH353" i="2"/>
  <c r="JF353" i="2"/>
  <c r="MM325" i="2" a="1"/>
  <c r="MM331" i="2" a="1"/>
  <c r="CE353" i="2"/>
  <c r="CC353" i="2"/>
  <c r="KS353" i="2"/>
  <c r="KQ353" i="2"/>
  <c r="HU257" i="2"/>
  <c r="MM317" i="2" a="1"/>
  <c r="MM295" i="2" a="1"/>
  <c r="DP353" i="2"/>
  <c r="DN353" i="2"/>
  <c r="FA353" i="2"/>
  <c r="EY353" i="2"/>
  <c r="MM377" i="2"/>
  <c r="MH376" i="2"/>
  <c r="MM375" i="2"/>
  <c r="MM374" i="2"/>
  <c r="MM373" i="2"/>
  <c r="MM371" i="2"/>
  <c r="MB368" i="2"/>
  <c r="MO368" i="2" s="1"/>
  <c r="MM368" i="2"/>
  <c r="MM367" i="2"/>
  <c r="MM366" i="2"/>
  <c r="MM365" i="2"/>
  <c r="MM364" i="2"/>
  <c r="MM360" i="2"/>
  <c r="ML359" i="2"/>
  <c r="MF359" i="2"/>
  <c r="ML358" i="2"/>
  <c r="MF358" i="2"/>
  <c r="MM358" i="2" s="1" a="1"/>
  <c r="MI357" i="2"/>
  <c r="MF357" i="2"/>
  <c r="MM357" i="2" s="1" a="1"/>
  <c r="MK356" i="2"/>
  <c r="MB356" i="2"/>
  <c r="MR356" i="2" s="1"/>
  <c r="MK355" i="2"/>
  <c r="MH355" i="2"/>
  <c r="MG355" i="2"/>
  <c r="MB355" i="2"/>
  <c r="MR355" i="2" s="1"/>
  <c r="MF355" i="2"/>
  <c r="MJ354" i="2"/>
  <c r="MG354" i="2"/>
  <c r="LW352" i="2"/>
  <c r="LX352" i="2" s="1"/>
  <c r="MH352" i="2"/>
  <c r="LW351" i="2"/>
  <c r="LX351" i="2" s="1"/>
  <c r="ML351" i="2"/>
  <c r="MF351" i="2"/>
  <c r="MM351" i="2" s="1" a="1"/>
  <c r="MM350" i="2"/>
  <c r="LW349" i="2"/>
  <c r="LX349" i="2" s="1"/>
  <c r="MK349" i="2"/>
  <c r="MH349" i="2"/>
  <c r="MM348" i="2"/>
  <c r="MM347" i="2"/>
  <c r="MH346" i="2"/>
  <c r="MM346" i="2" s="1" a="1"/>
  <c r="KQ345" i="2"/>
  <c r="LW345" i="2"/>
  <c r="LX345" i="2" s="1"/>
  <c r="MI345" i="2"/>
  <c r="MH345" i="2"/>
  <c r="MG345" i="2"/>
  <c r="MF345" i="2"/>
  <c r="MM344" i="2"/>
  <c r="MM342" i="2"/>
  <c r="MM341" i="2"/>
  <c r="MM340" i="2"/>
  <c r="MF339" i="2"/>
  <c r="MM338" i="2"/>
  <c r="LW337" i="2"/>
  <c r="LX337" i="2" s="1"/>
  <c r="MK337" i="2"/>
  <c r="MB337" i="2"/>
  <c r="MR337" i="2" s="1"/>
  <c r="MH337" i="2"/>
  <c r="MG334" i="2"/>
  <c r="GL333" i="2"/>
  <c r="FA333" i="2"/>
  <c r="LW333" i="2"/>
  <c r="LX333" i="2" s="1"/>
  <c r="KQ333" i="2"/>
  <c r="MM333" i="2"/>
  <c r="MM332" i="2"/>
  <c r="MM331" i="2"/>
  <c r="MG330" i="2"/>
  <c r="MF330" i="2"/>
  <c r="MJ328" i="2"/>
  <c r="MI328" i="2"/>
  <c r="MH328" i="2"/>
  <c r="MM327" i="2"/>
  <c r="MM325" i="2"/>
  <c r="MM322" i="2"/>
  <c r="MM321" i="2"/>
  <c r="HU319" i="2"/>
  <c r="KQ319" i="2"/>
  <c r="DP319" i="2"/>
  <c r="JF319" i="2"/>
  <c r="LW319" i="2"/>
  <c r="LX319" i="2" s="1"/>
  <c r="MB319" i="2"/>
  <c r="MM319" i="2"/>
  <c r="LW394" i="2"/>
  <c r="LX394" i="2" s="1"/>
  <c r="LW368" i="2"/>
  <c r="LX368" i="2" s="1"/>
  <c r="LW371" i="2"/>
  <c r="LX371" i="2" s="1"/>
  <c r="DN371" i="2" s="1"/>
  <c r="DP371" i="2" s="1"/>
  <c r="LW347" i="2"/>
  <c r="LX347" i="2" s="1"/>
  <c r="LW341" i="2"/>
  <c r="LX341" i="2" s="1"/>
  <c r="MM310" i="2" a="1"/>
  <c r="MM310" i="2" s="1"/>
  <c r="MM308" i="2" a="1"/>
  <c r="LW402" i="2"/>
  <c r="LX402" i="2" s="1"/>
  <c r="LW334" i="2"/>
  <c r="LX334" i="2" s="1"/>
  <c r="MM302" i="2" a="1"/>
  <c r="MM302" i="2" s="1"/>
  <c r="LW382" i="2"/>
  <c r="LX382" i="2" s="1"/>
  <c r="LW338" i="2"/>
  <c r="LX338" i="2" s="1"/>
  <c r="LW325" i="2"/>
  <c r="LX325" i="2" s="1"/>
  <c r="MM298" i="2" a="1"/>
  <c r="MM298" i="2" s="1"/>
  <c r="LW339" i="2"/>
  <c r="LX339" i="2" s="1"/>
  <c r="LW380" i="2"/>
  <c r="LX380" i="2" s="1"/>
  <c r="MM311" i="2" a="1"/>
  <c r="MM311" i="2" s="1"/>
  <c r="LW323" i="2"/>
  <c r="LX323" i="2" s="1"/>
  <c r="MM304" i="2" a="1"/>
  <c r="LW322" i="2"/>
  <c r="LX322" i="2" s="1"/>
  <c r="MM306" i="2" a="1"/>
  <c r="MM306" i="2" s="1"/>
  <c r="LW384" i="2"/>
  <c r="LX384" i="2" s="1"/>
  <c r="GJ384" i="2" s="1"/>
  <c r="LW346" i="2"/>
  <c r="LX346" i="2" s="1"/>
  <c r="MM312" i="2" a="1"/>
  <c r="MM312" i="2" s="1"/>
  <c r="MM315" i="2" a="1"/>
  <c r="MM315" i="2" s="1"/>
  <c r="MM318" i="2" a="1"/>
  <c r="MM318" i="2" s="1"/>
  <c r="MM316" i="2" a="1"/>
  <c r="MM316" i="2" s="1"/>
  <c r="LW391" i="2"/>
  <c r="LX391" i="2" s="1"/>
  <c r="MB361" i="2"/>
  <c r="MO361" i="2" s="1"/>
  <c r="MM300" i="2" a="1"/>
  <c r="MM300" i="2" s="1"/>
  <c r="KQ402" i="2"/>
  <c r="KS402" i="2"/>
  <c r="GL402" i="2"/>
  <c r="GJ402" i="2"/>
  <c r="HU339" i="2"/>
  <c r="HW339" i="2"/>
  <c r="JH339" i="2"/>
  <c r="JF339" i="2"/>
  <c r="KQ337" i="2"/>
  <c r="KS337" i="2"/>
  <c r="LW320" i="2"/>
  <c r="LX320" i="2" s="1"/>
  <c r="MF320" i="2"/>
  <c r="KS320" i="2"/>
  <c r="KQ320" i="2"/>
  <c r="LW318" i="2"/>
  <c r="LX318" i="2" s="1"/>
  <c r="MM317" i="2"/>
  <c r="LW316" i="2"/>
  <c r="LX316" i="2" s="1"/>
  <c r="LW315" i="2"/>
  <c r="LX315" i="2" s="1"/>
  <c r="MB314" i="2"/>
  <c r="MR314" i="2" s="1"/>
  <c r="LW314" i="2"/>
  <c r="LX314" i="2" s="1"/>
  <c r="MF314" i="2"/>
  <c r="MM314" i="2" s="1" a="1"/>
  <c r="LW313" i="2"/>
  <c r="LX313" i="2" s="1"/>
  <c r="MB313" i="2"/>
  <c r="MR313" i="2" s="1"/>
  <c r="MF313" i="2"/>
  <c r="MM313" i="2" s="1" a="1"/>
  <c r="LW312" i="2"/>
  <c r="LX312" i="2" s="1"/>
  <c r="ME309" i="2"/>
  <c r="MM309" i="2" s="1" a="1"/>
  <c r="MM308" i="2"/>
  <c r="LW307" i="2"/>
  <c r="LX307" i="2" s="1"/>
  <c r="MB307" i="2"/>
  <c r="MR307" i="2" s="1"/>
  <c r="MJ307" i="2"/>
  <c r="LW305" i="2"/>
  <c r="LX305" i="2" s="1"/>
  <c r="ME305" i="2"/>
  <c r="MM305" i="2" s="1" a="1"/>
  <c r="MM304" i="2"/>
  <c r="KQ303" i="2"/>
  <c r="MM303" i="2"/>
  <c r="LW302" i="2"/>
  <c r="LX302" i="2" s="1"/>
  <c r="MB302" i="2"/>
  <c r="MR302" i="2" s="1"/>
  <c r="MH301" i="2"/>
  <c r="MK301" i="2"/>
  <c r="LW300" i="2"/>
  <c r="LX300" i="2" s="1"/>
  <c r="MG299" i="2"/>
  <c r="MM299" i="2" s="1" a="1"/>
  <c r="MH297" i="2"/>
  <c r="MM297" i="2" s="1" a="1"/>
  <c r="LW297" i="2"/>
  <c r="LX297" i="2" s="1"/>
  <c r="EY297" i="2" s="1"/>
  <c r="FA297" i="2" s="1"/>
  <c r="MG296" i="2"/>
  <c r="MM296" i="2" s="1" a="1"/>
  <c r="MM295" i="2"/>
  <c r="LW294" i="2"/>
  <c r="LX294" i="2" s="1"/>
  <c r="CC294" i="2" s="1"/>
  <c r="CE294" i="2" s="1"/>
  <c r="MM294" i="2"/>
  <c r="MB263" i="2"/>
  <c r="EY43" i="2"/>
  <c r="HU173" i="2"/>
  <c r="MB384" i="2"/>
  <c r="LW398" i="2"/>
  <c r="LX398" i="2" s="1"/>
  <c r="FA403" i="2"/>
  <c r="EY403" i="2"/>
  <c r="MB396" i="2"/>
  <c r="MB372" i="2"/>
  <c r="LW369" i="2"/>
  <c r="LX369" i="2" s="1"/>
  <c r="MB354" i="2"/>
  <c r="MB357" i="2"/>
  <c r="LW336" i="2"/>
  <c r="LX336" i="2" s="1"/>
  <c r="KS370" i="2"/>
  <c r="KQ370" i="2"/>
  <c r="JH377" i="2"/>
  <c r="JF377" i="2"/>
  <c r="MB341" i="2"/>
  <c r="KS335" i="2"/>
  <c r="KQ335" i="2"/>
  <c r="HU320" i="2"/>
  <c r="HW320" i="2"/>
  <c r="MB315" i="2"/>
  <c r="LW296" i="2"/>
  <c r="LX296" i="2" s="1"/>
  <c r="MB327" i="2"/>
  <c r="LW327" i="2"/>
  <c r="LX327" i="2" s="1"/>
  <c r="LW308" i="2"/>
  <c r="LX308" i="2" s="1"/>
  <c r="GL324" i="2"/>
  <c r="GJ324" i="2"/>
  <c r="KS329" i="2"/>
  <c r="KQ329" i="2"/>
  <c r="JF322" i="2"/>
  <c r="JH322" i="2"/>
  <c r="KS306" i="2"/>
  <c r="KQ306" i="2"/>
  <c r="HU175" i="2"/>
  <c r="FA401" i="2"/>
  <c r="EY401" i="2"/>
  <c r="LW401" i="2"/>
  <c r="LX401" i="2" s="1"/>
  <c r="MB383" i="2"/>
  <c r="KS403" i="2"/>
  <c r="KQ403" i="2"/>
  <c r="LW403" i="2"/>
  <c r="LX403" i="2" s="1"/>
  <c r="MB385" i="2"/>
  <c r="LW400" i="2"/>
  <c r="LX400" i="2" s="1"/>
  <c r="LW392" i="2"/>
  <c r="LX392" i="2" s="1"/>
  <c r="LW397" i="2"/>
  <c r="LX397" i="2" s="1"/>
  <c r="MB374" i="2"/>
  <c r="KQ365" i="2"/>
  <c r="KS365" i="2"/>
  <c r="LW373" i="2"/>
  <c r="LX373" i="2" s="1"/>
  <c r="LW363" i="2"/>
  <c r="LX363" i="2" s="1"/>
  <c r="MB379" i="2"/>
  <c r="MB359" i="2"/>
  <c r="MB345" i="2"/>
  <c r="KS348" i="2"/>
  <c r="KQ348" i="2"/>
  <c r="KS349" i="2"/>
  <c r="KQ349" i="2"/>
  <c r="LW364" i="2"/>
  <c r="LX364" i="2" s="1"/>
  <c r="MB348" i="2"/>
  <c r="DN377" i="2"/>
  <c r="DP377" i="2"/>
  <c r="LW344" i="2"/>
  <c r="LX344" i="2" s="1"/>
  <c r="MB350" i="2"/>
  <c r="GJ318" i="2"/>
  <c r="GL318" i="2"/>
  <c r="HW340" i="2"/>
  <c r="HU340" i="2"/>
  <c r="MB326" i="2"/>
  <c r="MB331" i="2"/>
  <c r="JH341" i="2"/>
  <c r="JF341" i="2"/>
  <c r="KS318" i="2"/>
  <c r="KQ318" i="2"/>
  <c r="HW326" i="2"/>
  <c r="HU326" i="2"/>
  <c r="JH315" i="2"/>
  <c r="JF315" i="2"/>
  <c r="LW310" i="2"/>
  <c r="LX310" i="2" s="1"/>
  <c r="MB311" i="2"/>
  <c r="KS294" i="2"/>
  <c r="KQ294" i="2"/>
  <c r="DP321" i="2"/>
  <c r="DN321" i="2"/>
  <c r="MB320" i="2"/>
  <c r="MB329" i="2"/>
  <c r="MB296" i="2"/>
  <c r="LW298" i="2"/>
  <c r="LX298" i="2" s="1"/>
  <c r="KQ257" i="2"/>
  <c r="KS380" i="2"/>
  <c r="KQ380" i="2"/>
  <c r="LW366" i="2"/>
  <c r="LX366" i="2" s="1"/>
  <c r="MB343" i="2"/>
  <c r="JH326" i="2"/>
  <c r="JF326" i="2"/>
  <c r="HW318" i="2"/>
  <c r="HU318" i="2"/>
  <c r="LW303" i="2"/>
  <c r="LX303" i="2" s="1"/>
  <c r="DP294" i="2"/>
  <c r="DN294" i="2"/>
  <c r="HW324" i="2"/>
  <c r="HU324" i="2"/>
  <c r="FA321" i="2"/>
  <c r="EY321" i="2"/>
  <c r="MB301" i="2"/>
  <c r="LW317" i="2"/>
  <c r="LX317" i="2" s="1"/>
  <c r="GL298" i="2"/>
  <c r="GJ298" i="2"/>
  <c r="MB399" i="2"/>
  <c r="KS393" i="2"/>
  <c r="KQ393" i="2"/>
  <c r="LW399" i="2"/>
  <c r="LX399" i="2" s="1"/>
  <c r="MB395" i="2"/>
  <c r="KS394" i="2"/>
  <c r="KQ394" i="2"/>
  <c r="DP403" i="2"/>
  <c r="DN403" i="2"/>
  <c r="LW389" i="2"/>
  <c r="LX389" i="2" s="1"/>
  <c r="KQ386" i="2"/>
  <c r="KS386" i="2"/>
  <c r="MB380" i="2"/>
  <c r="MB360" i="2"/>
  <c r="LW379" i="2"/>
  <c r="LX379" i="2" s="1"/>
  <c r="MB334" i="2"/>
  <c r="KS371" i="2"/>
  <c r="KQ371" i="2"/>
  <c r="GL377" i="2"/>
  <c r="GJ377" i="2"/>
  <c r="MB340" i="2"/>
  <c r="MB312" i="2"/>
  <c r="KS347" i="2"/>
  <c r="KQ347" i="2"/>
  <c r="LW335" i="2"/>
  <c r="LX335" i="2" s="1"/>
  <c r="MB303" i="2"/>
  <c r="LW321" i="2"/>
  <c r="LX321" i="2" s="1"/>
  <c r="MB304" i="2"/>
  <c r="LW309" i="2"/>
  <c r="LX309" i="2" s="1"/>
  <c r="HW294" i="2"/>
  <c r="HU294" i="2"/>
  <c r="KS322" i="2"/>
  <c r="KQ322" i="2"/>
  <c r="MB297" i="2"/>
  <c r="MB299" i="2"/>
  <c r="HW401" i="2"/>
  <c r="HU401" i="2"/>
  <c r="JH382" i="2"/>
  <c r="JF382" i="2"/>
  <c r="LW381" i="2"/>
  <c r="LX381" i="2" s="1"/>
  <c r="MB376" i="2"/>
  <c r="JH380" i="2"/>
  <c r="JF380" i="2"/>
  <c r="MB388" i="2"/>
  <c r="LW348" i="2"/>
  <c r="LX348" i="2" s="1"/>
  <c r="LW370" i="2"/>
  <c r="LX370" i="2" s="1"/>
  <c r="JH333" i="2"/>
  <c r="JF333" i="2"/>
  <c r="MB339" i="2"/>
  <c r="JH340" i="2"/>
  <c r="JF340" i="2"/>
  <c r="LW326" i="2"/>
  <c r="LX326" i="2" s="1"/>
  <c r="KQ341" i="2"/>
  <c r="KS341" i="2"/>
  <c r="MB352" i="2"/>
  <c r="KS315" i="2"/>
  <c r="KQ315" i="2"/>
  <c r="HW310" i="2"/>
  <c r="HU310" i="2"/>
  <c r="EY294" i="2"/>
  <c r="FA294" i="2"/>
  <c r="MB308" i="2"/>
  <c r="MB324" i="2"/>
  <c r="GL321" i="2"/>
  <c r="GJ321" i="2"/>
  <c r="LW299" i="2"/>
  <c r="LX299" i="2" s="1"/>
  <c r="LW329" i="2"/>
  <c r="LX329" i="2" s="1"/>
  <c r="LW306" i="2"/>
  <c r="LX306" i="2" s="1"/>
  <c r="GL294" i="2"/>
  <c r="GJ294" i="2"/>
  <c r="LW295" i="2"/>
  <c r="LX295" i="2" s="1"/>
  <c r="DN295" i="2" s="1"/>
  <c r="DP295" i="2" s="1"/>
  <c r="HU298" i="2"/>
  <c r="HW298" i="2"/>
  <c r="LW393" i="2"/>
  <c r="LX393" i="2" s="1"/>
  <c r="GJ393" i="2" s="1"/>
  <c r="GL393" i="2" s="1"/>
  <c r="MB390" i="2"/>
  <c r="MB375" i="2"/>
  <c r="MB398" i="2"/>
  <c r="GL403" i="2"/>
  <c r="GJ403" i="2"/>
  <c r="MB392" i="2"/>
  <c r="KS362" i="2"/>
  <c r="KQ362" i="2"/>
  <c r="MB369" i="2"/>
  <c r="LW365" i="2"/>
  <c r="LX365" i="2" s="1"/>
  <c r="MB358" i="2"/>
  <c r="MB373" i="2"/>
  <c r="MB363" i="2"/>
  <c r="KS346" i="2"/>
  <c r="KQ346" i="2"/>
  <c r="MB333" i="2"/>
  <c r="MB346" i="2"/>
  <c r="HW377" i="2"/>
  <c r="HU377" i="2"/>
  <c r="HW325" i="2"/>
  <c r="HU325" i="2"/>
  <c r="MB316" i="2"/>
  <c r="HW323" i="2"/>
  <c r="HU323" i="2"/>
  <c r="GL327" i="2"/>
  <c r="GJ327" i="2"/>
  <c r="JH324" i="2"/>
  <c r="JF324" i="2"/>
  <c r="GL329" i="2"/>
  <c r="GJ329" i="2"/>
  <c r="MB298" i="2"/>
  <c r="LW395" i="2"/>
  <c r="LX395" i="2" s="1"/>
  <c r="KS395" i="2"/>
  <c r="KQ395" i="2"/>
  <c r="LW386" i="2"/>
  <c r="LX386" i="2" s="1"/>
  <c r="MB397" i="2"/>
  <c r="GL380" i="2"/>
  <c r="GJ380" i="2"/>
  <c r="JF362" i="2"/>
  <c r="JH362" i="2"/>
  <c r="KQ378" i="2"/>
  <c r="KS378" i="2"/>
  <c r="KQ334" i="2"/>
  <c r="KS334" i="2"/>
  <c r="LW359" i="2"/>
  <c r="LX359" i="2" s="1"/>
  <c r="LW367" i="2"/>
  <c r="LX367" i="2" s="1"/>
  <c r="HW333" i="2"/>
  <c r="HU333" i="2"/>
  <c r="MB364" i="2"/>
  <c r="LW342" i="2"/>
  <c r="LX342" i="2" s="1"/>
  <c r="KQ340" i="2"/>
  <c r="KS340" i="2"/>
  <c r="MB338" i="2"/>
  <c r="JH318" i="2"/>
  <c r="JF318" i="2"/>
  <c r="MB310" i="2"/>
  <c r="HU321" i="2"/>
  <c r="HW321" i="2"/>
  <c r="KS296" i="2"/>
  <c r="KQ296" i="2"/>
  <c r="MB317" i="2"/>
  <c r="EY329" i="2"/>
  <c r="FA329" i="2"/>
  <c r="FA322" i="2"/>
  <c r="EY322" i="2"/>
  <c r="HU306" i="2"/>
  <c r="HW306" i="2"/>
  <c r="JH298" i="2"/>
  <c r="JF298" i="2"/>
  <c r="MB391" i="2"/>
  <c r="KS382" i="2"/>
  <c r="KQ382" i="2"/>
  <c r="HW403" i="2"/>
  <c r="HU403" i="2"/>
  <c r="LW374" i="2"/>
  <c r="LX374" i="2" s="1"/>
  <c r="LW396" i="2"/>
  <c r="LX396" i="2" s="1"/>
  <c r="MB362" i="2"/>
  <c r="KQ360" i="2"/>
  <c r="KS360" i="2"/>
  <c r="MB378" i="2"/>
  <c r="KS377" i="2"/>
  <c r="KQ377" i="2"/>
  <c r="JH325" i="2"/>
  <c r="JF325" i="2"/>
  <c r="DP318" i="2"/>
  <c r="DN318" i="2"/>
  <c r="MB318" i="2"/>
  <c r="JF310" i="2"/>
  <c r="JH310" i="2"/>
  <c r="MB323" i="2"/>
  <c r="HW327" i="2"/>
  <c r="HU327" i="2"/>
  <c r="KQ324" i="2"/>
  <c r="KS324" i="2"/>
  <c r="MB321" i="2"/>
  <c r="MB309" i="2"/>
  <c r="MB269" i="2"/>
  <c r="MR402" i="2"/>
  <c r="MB387" i="2"/>
  <c r="MB389" i="2"/>
  <c r="LW385" i="2"/>
  <c r="LX385" i="2" s="1"/>
  <c r="EY385" i="2" s="1"/>
  <c r="FA385" i="2" s="1"/>
  <c r="MB400" i="2"/>
  <c r="LW372" i="2"/>
  <c r="LX372" i="2" s="1"/>
  <c r="MB370" i="2"/>
  <c r="CE377" i="2"/>
  <c r="CC377" i="2"/>
  <c r="MB325" i="2"/>
  <c r="MB349" i="2"/>
  <c r="GL341" i="2"/>
  <c r="GJ341" i="2"/>
  <c r="MB335" i="2"/>
  <c r="LW332" i="2"/>
  <c r="LX332" i="2" s="1"/>
  <c r="JF323" i="2"/>
  <c r="JH323" i="2"/>
  <c r="LW311" i="2"/>
  <c r="LX311" i="2" s="1"/>
  <c r="JH321" i="2"/>
  <c r="JF321" i="2"/>
  <c r="HW329" i="2"/>
  <c r="HU329" i="2"/>
  <c r="GL322" i="2"/>
  <c r="GJ322" i="2"/>
  <c r="MB306" i="2"/>
  <c r="MB295" i="2"/>
  <c r="GJ401" i="2"/>
  <c r="GL401" i="2"/>
  <c r="KS401" i="2"/>
  <c r="KQ401" i="2"/>
  <c r="KQ398" i="2"/>
  <c r="KS398" i="2"/>
  <c r="MB403" i="2"/>
  <c r="MB381" i="2"/>
  <c r="KS392" i="2"/>
  <c r="KQ392" i="2"/>
  <c r="LW375" i="2"/>
  <c r="LX375" i="2" s="1"/>
  <c r="LW378" i="2"/>
  <c r="LX378" i="2" s="1"/>
  <c r="LW357" i="2"/>
  <c r="LX357" i="2" s="1"/>
  <c r="LW354" i="2"/>
  <c r="LX354" i="2" s="1"/>
  <c r="FA377" i="2"/>
  <c r="EY377" i="2"/>
  <c r="LW350" i="2"/>
  <c r="LX350" i="2" s="1"/>
  <c r="LW343" i="2"/>
  <c r="LX343" i="2" s="1"/>
  <c r="EY343" i="2" s="1"/>
  <c r="FA343" i="2" s="1"/>
  <c r="LW328" i="2"/>
  <c r="LX328" i="2" s="1"/>
  <c r="LW331" i="2"/>
  <c r="LX331" i="2" s="1"/>
  <c r="GL326" i="2"/>
  <c r="GJ326" i="2"/>
  <c r="MB330" i="2"/>
  <c r="KS310" i="2"/>
  <c r="KQ310" i="2"/>
  <c r="JH327" i="2"/>
  <c r="JF327" i="2"/>
  <c r="JH294" i="2"/>
  <c r="JF294" i="2"/>
  <c r="JH306" i="2"/>
  <c r="JF306" i="2"/>
  <c r="KS298" i="2"/>
  <c r="KQ298" i="2"/>
  <c r="MB401" i="2"/>
  <c r="MB393" i="2"/>
  <c r="JF403" i="2"/>
  <c r="JH403" i="2"/>
  <c r="MB365" i="2"/>
  <c r="LW361" i="2"/>
  <c r="LX361" i="2" s="1"/>
  <c r="LW358" i="2"/>
  <c r="LX358" i="2" s="1"/>
  <c r="LW377" i="2"/>
  <c r="LX377" i="2" s="1"/>
  <c r="LW340" i="2"/>
  <c r="LX340" i="2" s="1"/>
  <c r="HW341" i="2"/>
  <c r="HU341" i="2"/>
  <c r="LW330" i="2"/>
  <c r="LX330" i="2" s="1"/>
  <c r="JF328" i="2"/>
  <c r="JH328" i="2"/>
  <c r="HW315" i="2"/>
  <c r="HU315" i="2"/>
  <c r="KS323" i="2"/>
  <c r="KQ323" i="2"/>
  <c r="KQ327" i="2"/>
  <c r="KS327" i="2"/>
  <c r="MB300" i="2"/>
  <c r="MB294" i="2"/>
  <c r="LW304" i="2"/>
  <c r="LX304" i="2" s="1"/>
  <c r="JH329" i="2"/>
  <c r="JF329" i="2"/>
  <c r="MB305" i="2"/>
  <c r="HW322" i="2"/>
  <c r="HU322" i="2"/>
  <c r="KQ289" i="2"/>
  <c r="LW387" i="2"/>
  <c r="LX387" i="2" s="1"/>
  <c r="MB394" i="2"/>
  <c r="MB366" i="2"/>
  <c r="LW362" i="2"/>
  <c r="LX362" i="2" s="1"/>
  <c r="MB386" i="2"/>
  <c r="MB382" i="2"/>
  <c r="LW388" i="2"/>
  <c r="LX388" i="2" s="1"/>
  <c r="LW360" i="2"/>
  <c r="LX360" i="2" s="1"/>
  <c r="MB342" i="2"/>
  <c r="MB344" i="2"/>
  <c r="KS336" i="2"/>
  <c r="KQ336" i="2"/>
  <c r="MB367" i="2"/>
  <c r="MB351" i="2"/>
  <c r="MB371" i="2"/>
  <c r="MB336" i="2"/>
  <c r="MB377" i="2"/>
  <c r="AT377" i="2"/>
  <c r="AR377" i="2"/>
  <c r="KQ325" i="2"/>
  <c r="KS325" i="2"/>
  <c r="FA318" i="2"/>
  <c r="EY318" i="2"/>
  <c r="MB347" i="2"/>
  <c r="KS328" i="2"/>
  <c r="KQ328" i="2"/>
  <c r="MB332" i="2"/>
  <c r="MB328" i="2"/>
  <c r="FA327" i="2"/>
  <c r="EY327" i="2"/>
  <c r="LW324" i="2"/>
  <c r="LX324" i="2" s="1"/>
  <c r="KS321" i="2"/>
  <c r="KQ321" i="2"/>
  <c r="MB322" i="2"/>
  <c r="MB91" i="2"/>
  <c r="KQ43" i="2"/>
  <c r="KQ284" i="2"/>
  <c r="MB272" i="2"/>
  <c r="LW213" i="2"/>
  <c r="LX213" i="2" s="1"/>
  <c r="KQ288" i="2"/>
  <c r="KQ293" i="2"/>
  <c r="MB236" i="2"/>
  <c r="KQ232" i="2"/>
  <c r="LW269" i="2"/>
  <c r="LX269" i="2" s="1"/>
  <c r="JF43" i="2"/>
  <c r="LW273" i="2"/>
  <c r="LX273" i="2" s="1"/>
  <c r="LW108" i="2"/>
  <c r="LX108" i="2" s="1"/>
  <c r="KQ255" i="2"/>
  <c r="LW90" i="2"/>
  <c r="LX90" i="2" s="1"/>
  <c r="JF90" i="2" s="1"/>
  <c r="JH90" i="2" s="1"/>
  <c r="GJ43" i="2"/>
  <c r="KQ240" i="2"/>
  <c r="MB255" i="2"/>
  <c r="LW270" i="2"/>
  <c r="LX270" i="2" s="1"/>
  <c r="LW211" i="2"/>
  <c r="LX211" i="2" s="1"/>
  <c r="KQ139" i="2"/>
  <c r="LW281" i="2"/>
  <c r="LX281" i="2" s="1"/>
  <c r="MB163" i="2"/>
  <c r="LW275" i="2"/>
  <c r="LX275" i="2" s="1"/>
  <c r="LW27" i="2"/>
  <c r="LX27" i="2" s="1"/>
  <c r="HU27" i="2" s="1"/>
  <c r="HW27" i="2" s="1"/>
  <c r="DN288" i="2"/>
  <c r="LW277" i="2"/>
  <c r="LX277" i="2" s="1"/>
  <c r="JF123" i="2"/>
  <c r="LW154" i="2"/>
  <c r="LX154" i="2" s="1"/>
  <c r="AR154" i="2" s="1"/>
  <c r="AT154" i="2" s="1"/>
  <c r="LW134" i="2"/>
  <c r="LX134" i="2" s="1"/>
  <c r="LW41" i="2"/>
  <c r="LX41" i="2" s="1"/>
  <c r="GJ288" i="2"/>
  <c r="GJ175" i="2"/>
  <c r="KQ271" i="2"/>
  <c r="LW95" i="2"/>
  <c r="LX95" i="2" s="1"/>
  <c r="LW84" i="2"/>
  <c r="LX84" i="2" s="1"/>
  <c r="LW78" i="2"/>
  <c r="LX78" i="2" s="1"/>
  <c r="MM289" i="2" a="1"/>
  <c r="LW251" i="2"/>
  <c r="LX251" i="2" s="1"/>
  <c r="LW23" i="2"/>
  <c r="LX23" i="2" s="1"/>
  <c r="LW229" i="2"/>
  <c r="LX229" i="2" s="1"/>
  <c r="LW203" i="2"/>
  <c r="LX203" i="2" s="1"/>
  <c r="MB155" i="2"/>
  <c r="LW151" i="2"/>
  <c r="LX151" i="2" s="1"/>
  <c r="LW92" i="2"/>
  <c r="LX92" i="2" s="1"/>
  <c r="KS88" i="2"/>
  <c r="KQ88" i="2"/>
  <c r="JH129" i="2"/>
  <c r="JF129" i="2"/>
  <c r="DP137" i="2"/>
  <c r="DN137" i="2"/>
  <c r="LW259" i="2"/>
  <c r="LX259" i="2" s="1"/>
  <c r="LW189" i="2"/>
  <c r="LX189" i="2" s="1"/>
  <c r="LW111" i="2"/>
  <c r="LX111" i="2" s="1"/>
  <c r="LW75" i="2"/>
  <c r="LX75" i="2" s="1"/>
  <c r="CC164" i="2"/>
  <c r="CE164" i="2"/>
  <c r="DP274" i="2"/>
  <c r="DN274" i="2"/>
  <c r="MK253" i="2"/>
  <c r="FA61" i="2"/>
  <c r="EY61" i="2"/>
  <c r="KS195" i="2"/>
  <c r="KQ195" i="2"/>
  <c r="FA132" i="2"/>
  <c r="EY132" i="2"/>
  <c r="HU172" i="2"/>
  <c r="HW172" i="2"/>
  <c r="CC60" i="2"/>
  <c r="CE60" i="2"/>
  <c r="LW152" i="2"/>
  <c r="LX152" i="2" s="1"/>
  <c r="LW165" i="2"/>
  <c r="LX165" i="2" s="1"/>
  <c r="LW139" i="2"/>
  <c r="LX139" i="2" s="1"/>
  <c r="LW120" i="2"/>
  <c r="LX120" i="2" s="1"/>
  <c r="LW49" i="2"/>
  <c r="LX49" i="2" s="1"/>
  <c r="KS180" i="2"/>
  <c r="KQ180" i="2"/>
  <c r="KS285" i="2"/>
  <c r="KQ285" i="2"/>
  <c r="ME126" i="2"/>
  <c r="KS100" i="2"/>
  <c r="KQ100" i="2"/>
  <c r="KS102" i="2"/>
  <c r="KQ102" i="2"/>
  <c r="LW279" i="2"/>
  <c r="LX279" i="2" s="1"/>
  <c r="ME163" i="2"/>
  <c r="LW130" i="2"/>
  <c r="LX130" i="2" s="1"/>
  <c r="LW12" i="2"/>
  <c r="LX12" i="2" s="1"/>
  <c r="MG248" i="2"/>
  <c r="LW236" i="2"/>
  <c r="LX236" i="2" s="1"/>
  <c r="MG223" i="2"/>
  <c r="MB193" i="2"/>
  <c r="LW140" i="2"/>
  <c r="LX140" i="2" s="1"/>
  <c r="LW136" i="2"/>
  <c r="LX136" i="2" s="1"/>
  <c r="LW77" i="2"/>
  <c r="LX77" i="2" s="1"/>
  <c r="LW22" i="2"/>
  <c r="LX22" i="2" s="1"/>
  <c r="KQ259" i="2"/>
  <c r="KS183" i="2"/>
  <c r="KQ183" i="2"/>
  <c r="JH133" i="2"/>
  <c r="JF133" i="2"/>
  <c r="HW118" i="2"/>
  <c r="HU118" i="2"/>
  <c r="LW246" i="2"/>
  <c r="LX246" i="2" s="1"/>
  <c r="MB223" i="2"/>
  <c r="LW182" i="2"/>
  <c r="LX182" i="2" s="1"/>
  <c r="LW118" i="2"/>
  <c r="LX118" i="2" s="1"/>
  <c r="MK90" i="2"/>
  <c r="KS87" i="2"/>
  <c r="KQ87" i="2"/>
  <c r="LW289" i="2"/>
  <c r="LX289" i="2" s="1"/>
  <c r="MH247" i="2"/>
  <c r="LW195" i="2"/>
  <c r="LX195" i="2" s="1"/>
  <c r="LW191" i="2"/>
  <c r="LX191" i="2" s="1"/>
  <c r="MB137" i="2"/>
  <c r="ML125" i="2"/>
  <c r="MF253" i="2"/>
  <c r="LW287" i="2"/>
  <c r="LX287" i="2" s="1"/>
  <c r="MB172" i="2"/>
  <c r="LW187" i="2"/>
  <c r="LX187" i="2" s="1"/>
  <c r="LW117" i="2"/>
  <c r="LX117" i="2" s="1"/>
  <c r="LW76" i="2"/>
  <c r="LX76" i="2" s="1"/>
  <c r="LW52" i="2"/>
  <c r="LX52" i="2" s="1"/>
  <c r="MB126" i="2"/>
  <c r="KS189" i="2"/>
  <c r="KQ189" i="2"/>
  <c r="GL143" i="2"/>
  <c r="GJ143" i="2"/>
  <c r="JH33" i="2"/>
  <c r="JF33" i="2"/>
  <c r="KS27" i="2"/>
  <c r="KQ27" i="2"/>
  <c r="MG38" i="2"/>
  <c r="MF264" i="2"/>
  <c r="LW268" i="2"/>
  <c r="LX268" i="2" s="1"/>
  <c r="MB253" i="2"/>
  <c r="LW228" i="2"/>
  <c r="LX228" i="2" s="1"/>
  <c r="LW178" i="2"/>
  <c r="LX178" i="2" s="1"/>
  <c r="MB132" i="2"/>
  <c r="LW116" i="2"/>
  <c r="LX116" i="2" s="1"/>
  <c r="LW104" i="2"/>
  <c r="LX104" i="2" s="1"/>
  <c r="LW71" i="2"/>
  <c r="LX71" i="2" s="1"/>
  <c r="LW32" i="2"/>
  <c r="LX32" i="2" s="1"/>
  <c r="ME20" i="2"/>
  <c r="ME254" i="2"/>
  <c r="LW109" i="2"/>
  <c r="LX109" i="2" s="1"/>
  <c r="LW47" i="2"/>
  <c r="LX47" i="2" s="1"/>
  <c r="KQ197" i="2"/>
  <c r="MI253" i="2"/>
  <c r="JH288" i="2"/>
  <c r="JF288" i="2"/>
  <c r="JH153" i="2"/>
  <c r="JF153" i="2"/>
  <c r="GL111" i="2"/>
  <c r="GJ111" i="2"/>
  <c r="KS28" i="2"/>
  <c r="KQ28" i="2"/>
  <c r="JH188" i="2"/>
  <c r="JF188" i="2"/>
  <c r="MJ168" i="2"/>
  <c r="HW150" i="2"/>
  <c r="HU150" i="2"/>
  <c r="KS142" i="2"/>
  <c r="KQ142" i="2"/>
  <c r="LW239" i="2"/>
  <c r="LX239" i="2" s="1"/>
  <c r="LW172" i="2"/>
  <c r="LX172" i="2" s="1"/>
  <c r="LW186" i="2"/>
  <c r="LX186" i="2" s="1"/>
  <c r="MF170" i="2"/>
  <c r="LW160" i="2"/>
  <c r="LX160" i="2" s="1"/>
  <c r="LW141" i="2"/>
  <c r="LX141" i="2" s="1"/>
  <c r="CC141" i="2" s="1"/>
  <c r="CE141" i="2" s="1"/>
  <c r="LW110" i="2"/>
  <c r="LX110" i="2" s="1"/>
  <c r="LW67" i="2"/>
  <c r="LX67" i="2" s="1"/>
  <c r="KQ96" i="2"/>
  <c r="KS274" i="2"/>
  <c r="KQ274" i="2"/>
  <c r="ME279" i="2"/>
  <c r="MF229" i="2"/>
  <c r="MJ278" i="2"/>
  <c r="HU188" i="2"/>
  <c r="HW188" i="2"/>
  <c r="FA150" i="2"/>
  <c r="EY150" i="2"/>
  <c r="JH142" i="2"/>
  <c r="JF142" i="2"/>
  <c r="JH189" i="2"/>
  <c r="JF189" i="2"/>
  <c r="JH145" i="2"/>
  <c r="JF145" i="2"/>
  <c r="MF80" i="2"/>
  <c r="KS34" i="2"/>
  <c r="KQ34" i="2"/>
  <c r="KS46" i="2"/>
  <c r="KQ46" i="2"/>
  <c r="MF203" i="2"/>
  <c r="JH197" i="2"/>
  <c r="JF197" i="2"/>
  <c r="CE137" i="2"/>
  <c r="CC137" i="2"/>
  <c r="FA172" i="2"/>
  <c r="EY172" i="2"/>
  <c r="LW66" i="2"/>
  <c r="LX66" i="2" s="1"/>
  <c r="LW18" i="2"/>
  <c r="LX18" i="2" s="1"/>
  <c r="LW17" i="2"/>
  <c r="LX17" i="2" s="1"/>
  <c r="KS250" i="2"/>
  <c r="KQ250" i="2"/>
  <c r="FA288" i="2"/>
  <c r="EY288" i="2"/>
  <c r="KS286" i="2"/>
  <c r="KQ286" i="2"/>
  <c r="MJ178" i="2"/>
  <c r="CE135" i="2"/>
  <c r="CC135" i="2"/>
  <c r="ML278" i="2"/>
  <c r="JH150" i="2"/>
  <c r="JF150" i="2"/>
  <c r="KS222" i="2"/>
  <c r="KQ222" i="2"/>
  <c r="MI38" i="2"/>
  <c r="KS202" i="2"/>
  <c r="KQ202" i="2"/>
  <c r="JH118" i="2"/>
  <c r="JF118" i="2"/>
  <c r="KS178" i="2"/>
  <c r="KQ178" i="2"/>
  <c r="HU132" i="2"/>
  <c r="HW132" i="2"/>
  <c r="HU43" i="2"/>
  <c r="KQ165" i="2"/>
  <c r="KQ256" i="2"/>
  <c r="HU288" i="2"/>
  <c r="HW288" i="2"/>
  <c r="DP22" i="2"/>
  <c r="DN22" i="2"/>
  <c r="KS150" i="2"/>
  <c r="KQ150" i="2"/>
  <c r="MH254" i="2"/>
  <c r="JH157" i="2"/>
  <c r="JF157" i="2"/>
  <c r="KS118" i="2"/>
  <c r="KQ118" i="2"/>
  <c r="FA164" i="2"/>
  <c r="EY164" i="2"/>
  <c r="MI126" i="2"/>
  <c r="FA22" i="2"/>
  <c r="EY22" i="2"/>
  <c r="MI254" i="2"/>
  <c r="HU80" i="2"/>
  <c r="HW80" i="2"/>
  <c r="HW42" i="2"/>
  <c r="HU42" i="2"/>
  <c r="MF208" i="2"/>
  <c r="JH61" i="2"/>
  <c r="JF61" i="2"/>
  <c r="MJ126" i="2"/>
  <c r="CE161" i="2"/>
  <c r="CC161" i="2"/>
  <c r="JH257" i="2"/>
  <c r="JF257" i="2"/>
  <c r="JH289" i="2"/>
  <c r="JF289" i="2"/>
  <c r="FA200" i="2"/>
  <c r="EY200" i="2"/>
  <c r="GJ22" i="2"/>
  <c r="GL22" i="2"/>
  <c r="GJ258" i="2"/>
  <c r="GL258" i="2"/>
  <c r="HU176" i="2"/>
  <c r="HW176" i="2"/>
  <c r="KS10" i="2"/>
  <c r="KQ10" i="2"/>
  <c r="MJ254" i="2"/>
  <c r="KS38" i="2"/>
  <c r="KQ38" i="2"/>
  <c r="ME211" i="2"/>
  <c r="KS70" i="2"/>
  <c r="KQ70" i="2"/>
  <c r="JH42" i="2"/>
  <c r="JF42" i="2"/>
  <c r="HU164" i="2"/>
  <c r="HW164" i="2"/>
  <c r="JH149" i="2"/>
  <c r="JF149" i="2"/>
  <c r="MK126" i="2"/>
  <c r="CC162" i="2"/>
  <c r="CE162" i="2"/>
  <c r="LW20" i="2"/>
  <c r="LX20" i="2" s="1"/>
  <c r="KS282" i="2"/>
  <c r="KQ282" i="2"/>
  <c r="CE274" i="2"/>
  <c r="CC274" i="2"/>
  <c r="MF270" i="2"/>
  <c r="DP154" i="2"/>
  <c r="DN154" i="2"/>
  <c r="HU170" i="2"/>
  <c r="HW170" i="2"/>
  <c r="HU22" i="2"/>
  <c r="HW22" i="2"/>
  <c r="MK254" i="2"/>
  <c r="MF97" i="2"/>
  <c r="MF211" i="2"/>
  <c r="GL182" i="2"/>
  <c r="GJ182" i="2"/>
  <c r="KS42" i="2"/>
  <c r="KQ42" i="2"/>
  <c r="ME154" i="2"/>
  <c r="CC51" i="2"/>
  <c r="CE51" i="2"/>
  <c r="ML126" i="2"/>
  <c r="DP162" i="2"/>
  <c r="DN162" i="2"/>
  <c r="JH137" i="2"/>
  <c r="JF137" i="2"/>
  <c r="FA154" i="2"/>
  <c r="EY154" i="2"/>
  <c r="JH170" i="2"/>
  <c r="JF170" i="2"/>
  <c r="HU200" i="2"/>
  <c r="HW200" i="2"/>
  <c r="FA174" i="2"/>
  <c r="EY174" i="2"/>
  <c r="JF22" i="2"/>
  <c r="JH22" i="2"/>
  <c r="FA258" i="2"/>
  <c r="EY258" i="2"/>
  <c r="MF72" i="2"/>
  <c r="ML254" i="2"/>
  <c r="FA216" i="2"/>
  <c r="EY216" i="2"/>
  <c r="DP34" i="2"/>
  <c r="DN34" i="2"/>
  <c r="MF154" i="2"/>
  <c r="HW182" i="2"/>
  <c r="HU182" i="2"/>
  <c r="JH89" i="2"/>
  <c r="JF89" i="2"/>
  <c r="FA162" i="2"/>
  <c r="EY162" i="2"/>
  <c r="FA274" i="2"/>
  <c r="EY274" i="2"/>
  <c r="GL154" i="2"/>
  <c r="GJ154" i="2"/>
  <c r="ME263" i="2"/>
  <c r="KS170" i="2"/>
  <c r="KQ170" i="2"/>
  <c r="MJ130" i="2"/>
  <c r="JH93" i="2"/>
  <c r="JF93" i="2"/>
  <c r="GL174" i="2"/>
  <c r="GJ174" i="2"/>
  <c r="KS22" i="2"/>
  <c r="KQ22" i="2"/>
  <c r="HW258" i="2"/>
  <c r="HU258" i="2"/>
  <c r="MF150" i="2"/>
  <c r="HU204" i="2"/>
  <c r="HW204" i="2"/>
  <c r="ME90" i="2"/>
  <c r="FA34" i="2"/>
  <c r="EY34" i="2"/>
  <c r="KS182" i="2"/>
  <c r="KQ182" i="2"/>
  <c r="GL162" i="2"/>
  <c r="GJ162" i="2"/>
  <c r="JH161" i="2"/>
  <c r="JF161" i="2"/>
  <c r="KS186" i="2"/>
  <c r="KQ186" i="2"/>
  <c r="GL274" i="2"/>
  <c r="GJ274" i="2"/>
  <c r="MF275" i="2"/>
  <c r="HW154" i="2"/>
  <c r="HU154" i="2"/>
  <c r="JH173" i="2"/>
  <c r="JF173" i="2"/>
  <c r="HU114" i="2"/>
  <c r="HW114" i="2"/>
  <c r="HW174" i="2"/>
  <c r="HU174" i="2"/>
  <c r="FA28" i="2"/>
  <c r="EY28" i="2"/>
  <c r="JH258" i="2"/>
  <c r="JF258" i="2"/>
  <c r="FA142" i="2"/>
  <c r="EY142" i="2"/>
  <c r="JH101" i="2"/>
  <c r="JF101" i="2"/>
  <c r="MF265" i="2"/>
  <c r="HU216" i="2"/>
  <c r="HW216" i="2"/>
  <c r="HU192" i="2"/>
  <c r="HW192" i="2"/>
  <c r="GL34" i="2"/>
  <c r="GJ34" i="2"/>
  <c r="JH182" i="2"/>
  <c r="JF182" i="2"/>
  <c r="KS110" i="2"/>
  <c r="KQ110" i="2"/>
  <c r="JH177" i="2"/>
  <c r="JF177" i="2"/>
  <c r="HW162" i="2"/>
  <c r="HU162" i="2"/>
  <c r="JH274" i="2"/>
  <c r="JF274" i="2"/>
  <c r="JH154" i="2"/>
  <c r="JF154" i="2"/>
  <c r="JH113" i="2"/>
  <c r="JF113" i="2"/>
  <c r="JH82" i="2"/>
  <c r="JF82" i="2"/>
  <c r="JH114" i="2"/>
  <c r="JF114" i="2"/>
  <c r="JH174" i="2"/>
  <c r="JF174" i="2"/>
  <c r="MK78" i="2"/>
  <c r="KS258" i="2"/>
  <c r="KQ258" i="2"/>
  <c r="FA188" i="2"/>
  <c r="EY188" i="2"/>
  <c r="DP150" i="2"/>
  <c r="DN150" i="2"/>
  <c r="GL142" i="2"/>
  <c r="GJ142" i="2"/>
  <c r="MJ68" i="2"/>
  <c r="JF146" i="2"/>
  <c r="JH146" i="2"/>
  <c r="HW34" i="2"/>
  <c r="HU34" i="2"/>
  <c r="KS18" i="2"/>
  <c r="KQ18" i="2"/>
  <c r="JF210" i="2"/>
  <c r="JH210" i="2"/>
  <c r="JH162" i="2"/>
  <c r="JF162" i="2"/>
  <c r="CC132" i="2"/>
  <c r="CE132" i="2"/>
  <c r="KS106" i="2"/>
  <c r="KQ106" i="2"/>
  <c r="JH29" i="2"/>
  <c r="JF29" i="2"/>
  <c r="LW37" i="2"/>
  <c r="LX37" i="2" s="1"/>
  <c r="LW29" i="2"/>
  <c r="LX29" i="2" s="1"/>
  <c r="HW274" i="2"/>
  <c r="HU274" i="2"/>
  <c r="MF245" i="2"/>
  <c r="KS266" i="2"/>
  <c r="KQ266" i="2"/>
  <c r="CC288" i="2"/>
  <c r="CE288" i="2"/>
  <c r="ME255" i="2"/>
  <c r="KS154" i="2"/>
  <c r="KQ154" i="2"/>
  <c r="KS82" i="2"/>
  <c r="KQ82" i="2"/>
  <c r="KS114" i="2"/>
  <c r="KQ114" i="2"/>
  <c r="JH273" i="2"/>
  <c r="JF273" i="2"/>
  <c r="KS174" i="2"/>
  <c r="KQ174" i="2"/>
  <c r="CE111" i="2"/>
  <c r="CC111" i="2"/>
  <c r="HU28" i="2"/>
  <c r="HW28" i="2"/>
  <c r="MI278" i="2"/>
  <c r="GJ150" i="2"/>
  <c r="GL150" i="2"/>
  <c r="HW142" i="2"/>
  <c r="HU142" i="2"/>
  <c r="KS218" i="2"/>
  <c r="KQ218" i="2"/>
  <c r="KS138" i="2"/>
  <c r="KQ138" i="2"/>
  <c r="KS146" i="2"/>
  <c r="KQ146" i="2"/>
  <c r="JH34" i="2"/>
  <c r="JF34" i="2"/>
  <c r="ME38" i="2"/>
  <c r="KS74" i="2"/>
  <c r="KQ74" i="2"/>
  <c r="HU196" i="2"/>
  <c r="HW196" i="2"/>
  <c r="ME155" i="2"/>
  <c r="CE61" i="2"/>
  <c r="CC61" i="2"/>
  <c r="KS210" i="2"/>
  <c r="KQ210" i="2"/>
  <c r="KS162" i="2"/>
  <c r="KQ162" i="2"/>
  <c r="MM289" i="2"/>
  <c r="ME283" i="2"/>
  <c r="MB283" i="2"/>
  <c r="LW286" i="2"/>
  <c r="LX286" i="2" s="1"/>
  <c r="MK292" i="2"/>
  <c r="MG284" i="2"/>
  <c r="MI287" i="2"/>
  <c r="MH280" i="2"/>
  <c r="LW293" i="2"/>
  <c r="LX293" i="2" s="1"/>
  <c r="MG290" i="2"/>
  <c r="MG278" i="2"/>
  <c r="ML264" i="2"/>
  <c r="MH272" i="2"/>
  <c r="LW276" i="2"/>
  <c r="LX276" i="2" s="1"/>
  <c r="MH282" i="2"/>
  <c r="MK282" i="2"/>
  <c r="ML277" i="2"/>
  <c r="MI271" i="2"/>
  <c r="ML265" i="2"/>
  <c r="MG255" i="2"/>
  <c r="MI262" i="2"/>
  <c r="LW258" i="2"/>
  <c r="LX258" i="2" s="1"/>
  <c r="MH267" i="2"/>
  <c r="MG258" i="2"/>
  <c r="MF258" i="2"/>
  <c r="MF249" i="2"/>
  <c r="MB245" i="2"/>
  <c r="ME245" i="2"/>
  <c r="LW249" i="2"/>
  <c r="LX249" i="2" s="1"/>
  <c r="MF237" i="2"/>
  <c r="MK236" i="2"/>
  <c r="MG242" i="2"/>
  <c r="MG240" i="2"/>
  <c r="MH233" i="2"/>
  <c r="MJ231" i="2"/>
  <c r="MF246" i="2"/>
  <c r="MH239" i="2"/>
  <c r="LW230" i="2"/>
  <c r="LX230" i="2" s="1"/>
  <c r="MK223" i="2"/>
  <c r="LW234" i="2"/>
  <c r="LX234" i="2" s="1"/>
  <c r="MI225" i="2"/>
  <c r="MI228" i="2"/>
  <c r="MJ212" i="2"/>
  <c r="MJ219" i="2"/>
  <c r="MK213" i="2"/>
  <c r="LW218" i="2"/>
  <c r="LX218" i="2" s="1"/>
  <c r="ML205" i="2"/>
  <c r="ME220" i="2"/>
  <c r="MB220" i="2"/>
  <c r="MF217" i="2"/>
  <c r="LW214" i="2"/>
  <c r="LX214" i="2" s="1"/>
  <c r="MK215" i="2"/>
  <c r="ME203" i="2"/>
  <c r="MB203" i="2"/>
  <c r="LW210" i="2"/>
  <c r="LX210" i="2" s="1"/>
  <c r="MK221" i="2"/>
  <c r="ME197" i="2"/>
  <c r="MM197" i="2" s="1" a="1"/>
  <c r="MM197" i="2" s="1"/>
  <c r="MB197" i="2"/>
  <c r="ML207" i="2"/>
  <c r="LW200" i="2"/>
  <c r="LX200" i="2" s="1"/>
  <c r="CC200" i="2" s="1"/>
  <c r="CE200" i="2" s="1"/>
  <c r="LW202" i="2"/>
  <c r="LX202" i="2" s="1"/>
  <c r="MJ191" i="2"/>
  <c r="MG198" i="2"/>
  <c r="MH181" i="2"/>
  <c r="ML201" i="2"/>
  <c r="LW188" i="2"/>
  <c r="LX188" i="2" s="1"/>
  <c r="MF186" i="2"/>
  <c r="MI184" i="2"/>
  <c r="ME182" i="2"/>
  <c r="MB182" i="2"/>
  <c r="ME187" i="2"/>
  <c r="MB187" i="2"/>
  <c r="ML185" i="2"/>
  <c r="MF169" i="2"/>
  <c r="MF167" i="2"/>
  <c r="LW175" i="2"/>
  <c r="LX175" i="2" s="1"/>
  <c r="LW155" i="2"/>
  <c r="LX155" i="2" s="1"/>
  <c r="MK148" i="2"/>
  <c r="MG174" i="2"/>
  <c r="MI165" i="2"/>
  <c r="MI158" i="2"/>
  <c r="MB136" i="2"/>
  <c r="ME136" i="2"/>
  <c r="MH159" i="2"/>
  <c r="MF139" i="2"/>
  <c r="MJ140" i="2"/>
  <c r="MI120" i="2"/>
  <c r="MH131" i="2"/>
  <c r="MI141" i="2"/>
  <c r="LW156" i="2"/>
  <c r="LX156" i="2" s="1"/>
  <c r="MG144" i="2"/>
  <c r="ME125" i="2"/>
  <c r="MB125" i="2"/>
  <c r="MH147" i="2"/>
  <c r="LW132" i="2"/>
  <c r="LX132" i="2" s="1"/>
  <c r="MH124" i="2"/>
  <c r="ME138" i="2"/>
  <c r="MB138" i="2"/>
  <c r="LW146" i="2"/>
  <c r="LX146" i="2" s="1"/>
  <c r="MB128" i="2"/>
  <c r="ME128" i="2"/>
  <c r="MK120" i="2"/>
  <c r="MJ166" i="2"/>
  <c r="LW127" i="2"/>
  <c r="LX127" i="2" s="1"/>
  <c r="MJ92" i="2"/>
  <c r="MK116" i="2"/>
  <c r="ME96" i="2"/>
  <c r="MB96" i="2"/>
  <c r="MG78" i="2"/>
  <c r="MF119" i="2"/>
  <c r="MH98" i="2"/>
  <c r="MF109" i="2"/>
  <c r="LW122" i="2"/>
  <c r="LX122" i="2" s="1"/>
  <c r="MF133" i="2"/>
  <c r="ME118" i="2"/>
  <c r="MB118" i="2"/>
  <c r="MJ110" i="2"/>
  <c r="MG102" i="2"/>
  <c r="MG124" i="2"/>
  <c r="MI114" i="2"/>
  <c r="ME107" i="2"/>
  <c r="MB107" i="2"/>
  <c r="MG115" i="2"/>
  <c r="LW112" i="2"/>
  <c r="LX112" i="2" s="1"/>
  <c r="MH121" i="2"/>
  <c r="MG80" i="2"/>
  <c r="MG77" i="2"/>
  <c r="MI105" i="2"/>
  <c r="ME88" i="2"/>
  <c r="MB88" i="2"/>
  <c r="ME77" i="2"/>
  <c r="MB77" i="2"/>
  <c r="ME101" i="2"/>
  <c r="MB101" i="2"/>
  <c r="MI94" i="2"/>
  <c r="MJ76" i="2"/>
  <c r="MH83" i="2"/>
  <c r="MF91" i="2"/>
  <c r="MF84" i="2"/>
  <c r="MH71" i="2"/>
  <c r="MB86" i="2"/>
  <c r="ME86" i="2"/>
  <c r="MG104" i="2"/>
  <c r="MG79" i="2"/>
  <c r="ME67" i="2"/>
  <c r="MB67" i="2"/>
  <c r="LW73" i="2"/>
  <c r="LX73" i="2" s="1"/>
  <c r="MF65" i="2"/>
  <c r="MK35" i="2"/>
  <c r="MB71" i="2"/>
  <c r="ME71" i="2"/>
  <c r="MG44" i="2"/>
  <c r="ML64" i="2"/>
  <c r="LW62" i="2"/>
  <c r="LX62" i="2" s="1"/>
  <c r="MG54" i="2"/>
  <c r="MJ56" i="2"/>
  <c r="ME59" i="2"/>
  <c r="MB59" i="2"/>
  <c r="MH50" i="2"/>
  <c r="MI52" i="2"/>
  <c r="MF45" i="2"/>
  <c r="MH58" i="2"/>
  <c r="LW44" i="2"/>
  <c r="LX44" i="2" s="1"/>
  <c r="MB36" i="2"/>
  <c r="ME36" i="2"/>
  <c r="ME24" i="2"/>
  <c r="MB24" i="2"/>
  <c r="MH19" i="2"/>
  <c r="MF32" i="2"/>
  <c r="ML23" i="2"/>
  <c r="MJ41" i="2"/>
  <c r="MK27" i="2"/>
  <c r="LW19" i="2"/>
  <c r="LX19" i="2" s="1"/>
  <c r="MJ48" i="2"/>
  <c r="LW46" i="2"/>
  <c r="LX46" i="2" s="1"/>
  <c r="ME34" i="2"/>
  <c r="MB34" i="2"/>
  <c r="MI12" i="2"/>
  <c r="ME11" i="2"/>
  <c r="MB11" i="2"/>
  <c r="ML13" i="2"/>
  <c r="MJ15" i="2"/>
  <c r="MF14" i="2"/>
  <c r="MH21" i="2"/>
  <c r="ML16" i="2"/>
  <c r="MB286" i="2"/>
  <c r="ME286" i="2"/>
  <c r="ML291" i="2"/>
  <c r="MF292" i="2"/>
  <c r="MH284" i="2"/>
  <c r="MK280" i="2"/>
  <c r="MI293" i="2"/>
  <c r="MI280" i="2"/>
  <c r="MH278" i="2"/>
  <c r="LW272" i="2"/>
  <c r="LX272" i="2" s="1"/>
  <c r="MK264" i="2"/>
  <c r="MJ276" i="2"/>
  <c r="MG283" i="2"/>
  <c r="ME270" i="2"/>
  <c r="MB270" i="2"/>
  <c r="MI263" i="2"/>
  <c r="LW271" i="2"/>
  <c r="LX271" i="2" s="1"/>
  <c r="ME264" i="2"/>
  <c r="MB264" i="2"/>
  <c r="MF267" i="2"/>
  <c r="LW266" i="2"/>
  <c r="LX266" i="2" s="1"/>
  <c r="MK261" i="2"/>
  <c r="ME258" i="2"/>
  <c r="MB258" i="2"/>
  <c r="MK245" i="2"/>
  <c r="LW248" i="2"/>
  <c r="LX248" i="2" s="1"/>
  <c r="MH257" i="2"/>
  <c r="MG249" i="2"/>
  <c r="MH235" i="2"/>
  <c r="MF236" i="2"/>
  <c r="MG246" i="2"/>
  <c r="MH232" i="2"/>
  <c r="ML244" i="2"/>
  <c r="MI239" i="2"/>
  <c r="MG227" i="2"/>
  <c r="MF230" i="2"/>
  <c r="MF234" i="2"/>
  <c r="LW224" i="2"/>
  <c r="LX224" i="2" s="1"/>
  <c r="MF221" i="2"/>
  <c r="MF225" i="2"/>
  <c r="MG226" i="2"/>
  <c r="MI218" i="2"/>
  <c r="MK220" i="2"/>
  <c r="ML219" i="2"/>
  <c r="MG217" i="2"/>
  <c r="MH205" i="2"/>
  <c r="LW221" i="2"/>
  <c r="LX221" i="2" s="1"/>
  <c r="LW209" i="2"/>
  <c r="LX209" i="2" s="1"/>
  <c r="MK191" i="2"/>
  <c r="MH198" i="2"/>
  <c r="MI201" i="2"/>
  <c r="MF193" i="2"/>
  <c r="MH176" i="2"/>
  <c r="MH183" i="2"/>
  <c r="MF180" i="2"/>
  <c r="MF173" i="2"/>
  <c r="ME184" i="2"/>
  <c r="MB184" i="2"/>
  <c r="MK179" i="2"/>
  <c r="MJ206" i="2"/>
  <c r="MF187" i="2"/>
  <c r="MK169" i="2"/>
  <c r="MF155" i="2"/>
  <c r="LW167" i="2"/>
  <c r="LX167" i="2" s="1"/>
  <c r="ML160" i="2"/>
  <c r="ME152" i="2"/>
  <c r="MB152" i="2"/>
  <c r="ME144" i="2"/>
  <c r="MB144" i="2"/>
  <c r="MJ145" i="2"/>
  <c r="MH120" i="2"/>
  <c r="MI131" i="2"/>
  <c r="ME130" i="2"/>
  <c r="MB130" i="2"/>
  <c r="LW147" i="2"/>
  <c r="LX147" i="2" s="1"/>
  <c r="LW125" i="2"/>
  <c r="LX125" i="2" s="1"/>
  <c r="MK141" i="2"/>
  <c r="MF136" i="2"/>
  <c r="MK125" i="2"/>
  <c r="MB92" i="2"/>
  <c r="ME92" i="2"/>
  <c r="MK95" i="2"/>
  <c r="MG100" i="2"/>
  <c r="MI98" i="2"/>
  <c r="ML109" i="2"/>
  <c r="MI122" i="2"/>
  <c r="LW124" i="2"/>
  <c r="LX124" i="2" s="1"/>
  <c r="LW114" i="2"/>
  <c r="LX114" i="2" s="1"/>
  <c r="LW107" i="2"/>
  <c r="LX107" i="2" s="1"/>
  <c r="MH115" i="2"/>
  <c r="MI112" i="2"/>
  <c r="LW97" i="2"/>
  <c r="LX97" i="2" s="1"/>
  <c r="MI121" i="2"/>
  <c r="MH80" i="2"/>
  <c r="MH77" i="2"/>
  <c r="MJ105" i="2"/>
  <c r="MH95" i="2"/>
  <c r="MH74" i="2"/>
  <c r="ME106" i="2"/>
  <c r="MB106" i="2"/>
  <c r="LW94" i="2"/>
  <c r="LX94" i="2" s="1"/>
  <c r="MF85" i="2"/>
  <c r="ME76" i="2"/>
  <c r="MB76" i="2"/>
  <c r="MK103" i="2"/>
  <c r="MG99" i="2"/>
  <c r="MI83" i="2"/>
  <c r="MB87" i="2"/>
  <c r="ME87" i="2"/>
  <c r="MB102" i="2"/>
  <c r="LW86" i="2"/>
  <c r="LX86" i="2" s="1"/>
  <c r="ME89" i="2"/>
  <c r="MB89" i="2"/>
  <c r="MF67" i="2"/>
  <c r="MK63" i="2"/>
  <c r="MK59" i="2"/>
  <c r="ME43" i="2"/>
  <c r="MB43" i="2"/>
  <c r="MJ73" i="2"/>
  <c r="MG65" i="2"/>
  <c r="MF69" i="2"/>
  <c r="MJ66" i="2"/>
  <c r="MI62" i="2"/>
  <c r="LW56" i="2"/>
  <c r="LX56" i="2" s="1"/>
  <c r="ML60" i="2"/>
  <c r="MH37" i="2"/>
  <c r="MG60" i="2"/>
  <c r="LW50" i="2"/>
  <c r="LX50" i="2" s="1"/>
  <c r="MF56" i="2"/>
  <c r="MJ49" i="2"/>
  <c r="MG35" i="2"/>
  <c r="MH52" i="2"/>
  <c r="MG45" i="2"/>
  <c r="MI58" i="2"/>
  <c r="MI44" i="2"/>
  <c r="MF43" i="2"/>
  <c r="MK36" i="2"/>
  <c r="MJ24" i="2"/>
  <c r="MF30" i="2"/>
  <c r="MF19" i="2"/>
  <c r="MG23" i="2"/>
  <c r="MG41" i="2"/>
  <c r="MG26" i="2"/>
  <c r="MJ19" i="2"/>
  <c r="MB48" i="2"/>
  <c r="ME48" i="2"/>
  <c r="MI40" i="2"/>
  <c r="MJ17" i="2"/>
  <c r="MG12" i="2"/>
  <c r="MH12" i="2"/>
  <c r="MF11" i="2"/>
  <c r="LW11" i="2"/>
  <c r="LX11" i="2" s="1"/>
  <c r="ML15" i="2"/>
  <c r="MK15" i="2"/>
  <c r="MG14" i="2"/>
  <c r="MI10" i="2"/>
  <c r="MG272" i="2"/>
  <c r="MG291" i="2"/>
  <c r="MF273" i="2"/>
  <c r="MJ279" i="2"/>
  <c r="MJ287" i="2"/>
  <c r="MJ293" i="2"/>
  <c r="MH290" i="2"/>
  <c r="MG281" i="2"/>
  <c r="LW280" i="2"/>
  <c r="LX280" i="2" s="1"/>
  <c r="MG285" i="2"/>
  <c r="MI272" i="2"/>
  <c r="MJ283" i="2"/>
  <c r="MK270" i="2"/>
  <c r="MI282" i="2"/>
  <c r="MH263" i="2"/>
  <c r="MB277" i="2"/>
  <c r="ME277" i="2"/>
  <c r="MG263" i="2"/>
  <c r="MJ262" i="2"/>
  <c r="MI260" i="2"/>
  <c r="ME251" i="2"/>
  <c r="MB251" i="2"/>
  <c r="MB266" i="2"/>
  <c r="ME266" i="2"/>
  <c r="LW243" i="2"/>
  <c r="LX243" i="2" s="1"/>
  <c r="MH245" i="2"/>
  <c r="MI248" i="2"/>
  <c r="MK252" i="2"/>
  <c r="ME249" i="2"/>
  <c r="MB249" i="2"/>
  <c r="MF235" i="2"/>
  <c r="MI242" i="2"/>
  <c r="MH240" i="2"/>
  <c r="ML230" i="2"/>
  <c r="MJ230" i="2"/>
  <c r="MI235" i="2"/>
  <c r="MK246" i="2"/>
  <c r="LW250" i="2"/>
  <c r="LX250" i="2" s="1"/>
  <c r="LW244" i="2"/>
  <c r="LX244" i="2" s="1"/>
  <c r="MK227" i="2"/>
  <c r="MF223" i="2"/>
  <c r="MG234" i="2"/>
  <c r="MG224" i="2"/>
  <c r="ME225" i="2"/>
  <c r="MB225" i="2"/>
  <c r="MJ228" i="2"/>
  <c r="MK225" i="2"/>
  <c r="MI226" i="2"/>
  <c r="LW226" i="2"/>
  <c r="LX226" i="2" s="1"/>
  <c r="ME219" i="2"/>
  <c r="MB219" i="2"/>
  <c r="MG213" i="2"/>
  <c r="MG222" i="2"/>
  <c r="MF220" i="2"/>
  <c r="LW217" i="2"/>
  <c r="LX217" i="2" s="1"/>
  <c r="MF215" i="2"/>
  <c r="MI205" i="2"/>
  <c r="MI210" i="2"/>
  <c r="MH209" i="2"/>
  <c r="ME207" i="2"/>
  <c r="MB207" i="2"/>
  <c r="MI202" i="2"/>
  <c r="MH190" i="2"/>
  <c r="MB189" i="2"/>
  <c r="ME189" i="2"/>
  <c r="LW201" i="2"/>
  <c r="LX201" i="2" s="1"/>
  <c r="MK193" i="2"/>
  <c r="LW176" i="2"/>
  <c r="LX176" i="2" s="1"/>
  <c r="LW183" i="2"/>
  <c r="LX183" i="2" s="1"/>
  <c r="MK178" i="2"/>
  <c r="MK180" i="2"/>
  <c r="LW171" i="2"/>
  <c r="LX171" i="2" s="1"/>
  <c r="MG186" i="2"/>
  <c r="LW184" i="2"/>
  <c r="LX184" i="2" s="1"/>
  <c r="MG167" i="2"/>
  <c r="ME168" i="2"/>
  <c r="MB168" i="2"/>
  <c r="MF144" i="2"/>
  <c r="MJ144" i="2"/>
  <c r="MG192" i="2"/>
  <c r="ML152" i="2"/>
  <c r="MJ165" i="2"/>
  <c r="LW144" i="2"/>
  <c r="LX144" i="2" s="1"/>
  <c r="MG142" i="2"/>
  <c r="ME145" i="2"/>
  <c r="MB145" i="2"/>
  <c r="ME140" i="2"/>
  <c r="MB140" i="2"/>
  <c r="MJ131" i="2"/>
  <c r="MF156" i="2"/>
  <c r="MK138" i="2"/>
  <c r="MG120" i="2"/>
  <c r="MG158" i="2"/>
  <c r="MI147" i="2"/>
  <c r="MF138" i="2"/>
  <c r="LW129" i="2"/>
  <c r="LX129" i="2" s="1"/>
  <c r="MG149" i="2"/>
  <c r="MG141" i="2"/>
  <c r="ML136" i="2"/>
  <c r="MF166" i="2"/>
  <c r="MF127" i="2"/>
  <c r="MF90" i="2"/>
  <c r="MF116" i="2"/>
  <c r="MG119" i="2"/>
  <c r="MF100" i="2"/>
  <c r="MH117" i="2"/>
  <c r="MK98" i="2"/>
  <c r="MJ122" i="2"/>
  <c r="MF110" i="2"/>
  <c r="MI124" i="2"/>
  <c r="MF107" i="2"/>
  <c r="MI115" i="2"/>
  <c r="MJ112" i="2"/>
  <c r="LW80" i="2"/>
  <c r="LX80" i="2" s="1"/>
  <c r="MI74" i="2"/>
  <c r="ME105" i="2"/>
  <c r="MB105" i="2"/>
  <c r="MG74" i="2"/>
  <c r="MG101" i="2"/>
  <c r="MI90" i="2"/>
  <c r="MJ94" i="2"/>
  <c r="LW99" i="2"/>
  <c r="LX99" i="2" s="1"/>
  <c r="LW83" i="2"/>
  <c r="LX83" i="2" s="1"/>
  <c r="MK96" i="2"/>
  <c r="ML77" i="2"/>
  <c r="MH79" i="2"/>
  <c r="MG67" i="2"/>
  <c r="ME54" i="2"/>
  <c r="MB54" i="2"/>
  <c r="MB70" i="2"/>
  <c r="ME70" i="2"/>
  <c r="ML65" i="2"/>
  <c r="MK70" i="2"/>
  <c r="ML69" i="2"/>
  <c r="MK66" i="2"/>
  <c r="MH64" i="2"/>
  <c r="LW35" i="2"/>
  <c r="LX35" i="2" s="1"/>
  <c r="MF59" i="2"/>
  <c r="MH35" i="2"/>
  <c r="MI49" i="2"/>
  <c r="LW58" i="2"/>
  <c r="LX58" i="2" s="1"/>
  <c r="ML32" i="2"/>
  <c r="MG39" i="2"/>
  <c r="MI41" i="2"/>
  <c r="MB35" i="2"/>
  <c r="ME29" i="2"/>
  <c r="MB29" i="2"/>
  <c r="MF27" i="2"/>
  <c r="MK48" i="2"/>
  <c r="ML40" i="2"/>
  <c r="MJ46" i="2"/>
  <c r="MF13" i="2"/>
  <c r="LW14" i="2"/>
  <c r="LX14" i="2" s="1"/>
  <c r="LW16" i="2"/>
  <c r="LX16" i="2" s="1"/>
  <c r="MJ286" i="2"/>
  <c r="MG292" i="2"/>
  <c r="LW288" i="2"/>
  <c r="LX288" i="2" s="1"/>
  <c r="LW284" i="2"/>
  <c r="LX284" i="2" s="1"/>
  <c r="ME287" i="2"/>
  <c r="MB287" i="2"/>
  <c r="MI290" i="2"/>
  <c r="MJ280" i="2"/>
  <c r="MH273" i="2"/>
  <c r="ME276" i="2"/>
  <c r="MB276" i="2"/>
  <c r="MI283" i="2"/>
  <c r="MF277" i="2"/>
  <c r="MJ260" i="2"/>
  <c r="MI247" i="2"/>
  <c r="MJ267" i="2"/>
  <c r="MF266" i="2"/>
  <c r="MJ243" i="2"/>
  <c r="MI245" i="2"/>
  <c r="MK241" i="2"/>
  <c r="ME256" i="2"/>
  <c r="MB256" i="2"/>
  <c r="MK249" i="2"/>
  <c r="ML233" i="2"/>
  <c r="MG236" i="2"/>
  <c r="MJ242" i="2"/>
  <c r="MI240" i="2"/>
  <c r="LW237" i="2"/>
  <c r="LX237" i="2" s="1"/>
  <c r="MK230" i="2"/>
  <c r="MJ235" i="2"/>
  <c r="MJ246" i="2"/>
  <c r="MI230" i="2"/>
  <c r="MJ250" i="2"/>
  <c r="MB244" i="2"/>
  <c r="ME244" i="2"/>
  <c r="MH238" i="2"/>
  <c r="LW233" i="2"/>
  <c r="LX233" i="2" s="1"/>
  <c r="ML234" i="2"/>
  <c r="MJ224" i="2"/>
  <c r="MB232" i="2"/>
  <c r="ME232" i="2"/>
  <c r="MF212" i="2"/>
  <c r="MH226" i="2"/>
  <c r="MF219" i="2"/>
  <c r="MI212" i="2"/>
  <c r="MK209" i="2"/>
  <c r="MK218" i="2"/>
  <c r="MG216" i="2"/>
  <c r="MH217" i="2"/>
  <c r="MK199" i="2"/>
  <c r="LW205" i="2"/>
  <c r="LX205" i="2" s="1"/>
  <c r="LW197" i="2"/>
  <c r="LX197" i="2" s="1"/>
  <c r="ME221" i="2"/>
  <c r="MB221" i="2"/>
  <c r="MI209" i="2"/>
  <c r="MK207" i="2"/>
  <c r="MJ199" i="2"/>
  <c r="MG191" i="2"/>
  <c r="MI190" i="2"/>
  <c r="MI198" i="2"/>
  <c r="MF201" i="2"/>
  <c r="MI181" i="2"/>
  <c r="MH178" i="2"/>
  <c r="MG173" i="2"/>
  <c r="MH186" i="2"/>
  <c r="MF184" i="2"/>
  <c r="MK206" i="2"/>
  <c r="MG187" i="2"/>
  <c r="MG185" i="2"/>
  <c r="MG177" i="2"/>
  <c r="MI160" i="2"/>
  <c r="MF141" i="2"/>
  <c r="LW168" i="2"/>
  <c r="LX168" i="2" s="1"/>
  <c r="MH170" i="2"/>
  <c r="MB164" i="2"/>
  <c r="ME164" i="2"/>
  <c r="MM164" i="2" s="1" a="1"/>
  <c r="MM164" i="2" s="1"/>
  <c r="LW174" i="2"/>
  <c r="LX174" i="2" s="1"/>
  <c r="ME159" i="2"/>
  <c r="MM159" i="2" s="1" a="1"/>
  <c r="MB159" i="2"/>
  <c r="LW142" i="2"/>
  <c r="LX142" i="2" s="1"/>
  <c r="MG139" i="2"/>
  <c r="MI130" i="2"/>
  <c r="ML119" i="2"/>
  <c r="ME147" i="2"/>
  <c r="MB147" i="2"/>
  <c r="MG138" i="2"/>
  <c r="MB129" i="2"/>
  <c r="ME129" i="2"/>
  <c r="ML120" i="2"/>
  <c r="MJ146" i="2"/>
  <c r="MB120" i="2"/>
  <c r="ME120" i="2"/>
  <c r="MG136" i="2"/>
  <c r="MH110" i="2"/>
  <c r="MH127" i="2"/>
  <c r="ME113" i="2"/>
  <c r="MB113" i="2"/>
  <c r="ML116" i="2"/>
  <c r="ML99" i="2"/>
  <c r="ML98" i="2"/>
  <c r="LW100" i="2"/>
  <c r="LX100" i="2" s="1"/>
  <c r="MF118" i="2"/>
  <c r="MK110" i="2"/>
  <c r="ML107" i="2"/>
  <c r="MF123" i="2"/>
  <c r="LW115" i="2"/>
  <c r="LX115" i="2" s="1"/>
  <c r="MJ121" i="2"/>
  <c r="MI80" i="2"/>
  <c r="ME74" i="2"/>
  <c r="MB74" i="2"/>
  <c r="MH105" i="2"/>
  <c r="MI95" i="2"/>
  <c r="MK88" i="2"/>
  <c r="MK85" i="2"/>
  <c r="MF74" i="2"/>
  <c r="MH101" i="2"/>
  <c r="MI63" i="2"/>
  <c r="MK106" i="2"/>
  <c r="MF81" i="2"/>
  <c r="MF76" i="2"/>
  <c r="MH103" i="2"/>
  <c r="MK87" i="2"/>
  <c r="MG84" i="2"/>
  <c r="MH89" i="2"/>
  <c r="LW74" i="2"/>
  <c r="LX74" i="2" s="1"/>
  <c r="MI78" i="2"/>
  <c r="MF104" i="2"/>
  <c r="MB81" i="2"/>
  <c r="MI67" i="2"/>
  <c r="MF70" i="2"/>
  <c r="MB57" i="2"/>
  <c r="ME57" i="2"/>
  <c r="MF71" i="2"/>
  <c r="MJ69" i="2"/>
  <c r="MI69" i="2"/>
  <c r="ML66" i="2"/>
  <c r="LW64" i="2"/>
  <c r="LX64" i="2" s="1"/>
  <c r="MJ62" i="2"/>
  <c r="MK56" i="2"/>
  <c r="LW53" i="2"/>
  <c r="LX53" i="2" s="1"/>
  <c r="MK54" i="2"/>
  <c r="MF49" i="2"/>
  <c r="LW31" i="2"/>
  <c r="LX31" i="2" s="1"/>
  <c r="MH60" i="2"/>
  <c r="MG31" i="2"/>
  <c r="MB33" i="2"/>
  <c r="MF35" i="2"/>
  <c r="MJ44" i="2"/>
  <c r="LW43" i="2"/>
  <c r="LX43" i="2" s="1"/>
  <c r="MF24" i="2"/>
  <c r="MG30" i="2"/>
  <c r="MH39" i="2"/>
  <c r="MM22" i="2" a="1"/>
  <c r="MM22" i="2" s="1"/>
  <c r="LW25" i="2"/>
  <c r="LX25" i="2" s="1"/>
  <c r="MB19" i="2"/>
  <c r="ME19" i="2"/>
  <c r="MF48" i="2"/>
  <c r="LW40" i="2"/>
  <c r="LX40" i="2" s="1"/>
  <c r="MF46" i="2"/>
  <c r="MF34" i="2"/>
  <c r="MG13" i="2"/>
  <c r="MH14" i="2"/>
  <c r="LW21" i="2"/>
  <c r="LX21" i="2" s="1"/>
  <c r="MG16" i="2"/>
  <c r="MF17" i="2"/>
  <c r="MJ10" i="2"/>
  <c r="MH268" i="2"/>
  <c r="LW291" i="2"/>
  <c r="LX291" i="2" s="1"/>
  <c r="MK278" i="2"/>
  <c r="MB273" i="2"/>
  <c r="ME273" i="2"/>
  <c r="MH276" i="2"/>
  <c r="ME293" i="2"/>
  <c r="MB293" i="2"/>
  <c r="LW290" i="2"/>
  <c r="LX290" i="2" s="1"/>
  <c r="MH279" i="2"/>
  <c r="ML292" i="2"/>
  <c r="MH285" i="2"/>
  <c r="MJ272" i="2"/>
  <c r="MG277" i="2"/>
  <c r="MK262" i="2"/>
  <c r="MF260" i="2"/>
  <c r="ME267" i="2"/>
  <c r="MB267" i="2"/>
  <c r="MG261" i="2"/>
  <c r="MI244" i="2"/>
  <c r="MJ248" i="2"/>
  <c r="ME241" i="2"/>
  <c r="MB241" i="2"/>
  <c r="LW256" i="2"/>
  <c r="LX256" i="2" s="1"/>
  <c r="MB252" i="2"/>
  <c r="ME252" i="2"/>
  <c r="MJ232" i="2"/>
  <c r="ME231" i="2"/>
  <c r="MB231" i="2"/>
  <c r="ML242" i="2"/>
  <c r="LW240" i="2"/>
  <c r="LX240" i="2" s="1"/>
  <c r="MI237" i="2"/>
  <c r="MB229" i="2"/>
  <c r="ME229" i="2"/>
  <c r="LW235" i="2"/>
  <c r="LX235" i="2" s="1"/>
  <c r="MH246" i="2"/>
  <c r="ME250" i="2"/>
  <c r="MB250" i="2"/>
  <c r="MF244" i="2"/>
  <c r="MG239" i="2"/>
  <c r="MI238" i="2"/>
  <c r="MJ233" i="2"/>
  <c r="MH223" i="2"/>
  <c r="MH224" i="2"/>
  <c r="ME228" i="2"/>
  <c r="MB228" i="2"/>
  <c r="LW232" i="2"/>
  <c r="LX232" i="2" s="1"/>
  <c r="MG225" i="2"/>
  <c r="ME208" i="2"/>
  <c r="MB208" i="2"/>
  <c r="MB218" i="2"/>
  <c r="ME218" i="2"/>
  <c r="MH222" i="2"/>
  <c r="MI217" i="2"/>
  <c r="MI214" i="2"/>
  <c r="MG215" i="2"/>
  <c r="MJ205" i="2"/>
  <c r="ME204" i="2"/>
  <c r="MB204" i="2"/>
  <c r="MH203" i="2"/>
  <c r="MF210" i="2"/>
  <c r="MG204" i="2"/>
  <c r="ME200" i="2"/>
  <c r="MB200" i="2"/>
  <c r="MI192" i="2"/>
  <c r="MF191" i="2"/>
  <c r="LW190" i="2"/>
  <c r="LX190" i="2" s="1"/>
  <c r="MJ198" i="2"/>
  <c r="MF196" i="2"/>
  <c r="ML193" i="2"/>
  <c r="LW181" i="2"/>
  <c r="LX181" i="2" s="1"/>
  <c r="ME183" i="2"/>
  <c r="MB183" i="2"/>
  <c r="MB178" i="2"/>
  <c r="MF178" i="2"/>
  <c r="MG180" i="2"/>
  <c r="LW185" i="2"/>
  <c r="LX185" i="2" s="1"/>
  <c r="MH177" i="2"/>
  <c r="MH167" i="2"/>
  <c r="MG166" i="2"/>
  <c r="ME135" i="2"/>
  <c r="MM135" i="2" s="1" a="1"/>
  <c r="MM135" i="2" s="1"/>
  <c r="MB135" i="2"/>
  <c r="ME150" i="2"/>
  <c r="MM150" i="2" s="1" a="1"/>
  <c r="MB150" i="2"/>
  <c r="ME165" i="2"/>
  <c r="MB165" i="2"/>
  <c r="MK144" i="2"/>
  <c r="MH139" i="2"/>
  <c r="MH130" i="2"/>
  <c r="LW153" i="2"/>
  <c r="LX153" i="2" s="1"/>
  <c r="ME131" i="2"/>
  <c r="MB131" i="2"/>
  <c r="MG125" i="2"/>
  <c r="MJ134" i="2"/>
  <c r="LW143" i="2"/>
  <c r="LX143" i="2" s="1"/>
  <c r="MJ117" i="2"/>
  <c r="MB151" i="2"/>
  <c r="ME151" i="2"/>
  <c r="ML141" i="2"/>
  <c r="MH136" i="2"/>
  <c r="MI127" i="2"/>
  <c r="MH119" i="2"/>
  <c r="LW98" i="2"/>
  <c r="LX98" i="2" s="1"/>
  <c r="MI117" i="2"/>
  <c r="MK122" i="2"/>
  <c r="MG133" i="2"/>
  <c r="MJ124" i="2"/>
  <c r="ME114" i="2"/>
  <c r="MB114" i="2"/>
  <c r="MK107" i="2"/>
  <c r="MJ115" i="2"/>
  <c r="MB112" i="2"/>
  <c r="ME112" i="2"/>
  <c r="MG108" i="2"/>
  <c r="MG105" i="2"/>
  <c r="MJ95" i="2"/>
  <c r="MF88" i="2"/>
  <c r="MG72" i="2"/>
  <c r="MF106" i="2"/>
  <c r="ME94" i="2"/>
  <c r="MB94" i="2"/>
  <c r="MG81" i="2"/>
  <c r="MJ103" i="2"/>
  <c r="MG88" i="2"/>
  <c r="MB83" i="2"/>
  <c r="ME83" i="2"/>
  <c r="MH84" i="2"/>
  <c r="MB93" i="2"/>
  <c r="ME93" i="2"/>
  <c r="MF86" i="2"/>
  <c r="ME78" i="2"/>
  <c r="MB78" i="2"/>
  <c r="MH75" i="2"/>
  <c r="MF89" i="2"/>
  <c r="MG70" i="2"/>
  <c r="MH65" i="2"/>
  <c r="MI64" i="2"/>
  <c r="ME62" i="2"/>
  <c r="MB62" i="2"/>
  <c r="MG56" i="2"/>
  <c r="MJ31" i="2"/>
  <c r="MI57" i="2"/>
  <c r="MI53" i="2"/>
  <c r="MI31" i="2"/>
  <c r="MI60" i="2"/>
  <c r="MH31" i="2"/>
  <c r="ME52" i="2"/>
  <c r="MB52" i="2"/>
  <c r="LW33" i="2"/>
  <c r="LX33" i="2" s="1"/>
  <c r="MJ58" i="2"/>
  <c r="MF31" i="2"/>
  <c r="MH38" i="2"/>
  <c r="MM38" i="2" s="1" a="1"/>
  <c r="MM38" i="2" s="1"/>
  <c r="LW36" i="2"/>
  <c r="LX36" i="2" s="1"/>
  <c r="MK24" i="2"/>
  <c r="MH32" i="2"/>
  <c r="MG32" i="2"/>
  <c r="MB28" i="2"/>
  <c r="ME28" i="2"/>
  <c r="MI20" i="2"/>
  <c r="MI39" i="2"/>
  <c r="MH41" i="2"/>
  <c r="MI25" i="2"/>
  <c r="MK18" i="2"/>
  <c r="ML48" i="2"/>
  <c r="MB46" i="2"/>
  <c r="ME46" i="2"/>
  <c r="LW13" i="2"/>
  <c r="LX13" i="2" s="1"/>
  <c r="MG15" i="2"/>
  <c r="MG17" i="2"/>
  <c r="MI291" i="2"/>
  <c r="MI284" i="2"/>
  <c r="MK287" i="2"/>
  <c r="MG279" i="2"/>
  <c r="MK293" i="2"/>
  <c r="MJ290" i="2"/>
  <c r="MI279" i="2"/>
  <c r="MB279" i="2"/>
  <c r="MI285" i="2"/>
  <c r="ML262" i="2"/>
  <c r="MG270" i="2"/>
  <c r="MF269" i="2"/>
  <c r="ML269" i="2"/>
  <c r="MJ261" i="2"/>
  <c r="ME262" i="2"/>
  <c r="MB262" i="2"/>
  <c r="MG259" i="2"/>
  <c r="MJ251" i="2"/>
  <c r="MG266" i="2"/>
  <c r="ML261" i="2"/>
  <c r="MG243" i="2"/>
  <c r="ML238" i="2"/>
  <c r="MF256" i="2"/>
  <c r="ME247" i="2"/>
  <c r="MB247" i="2"/>
  <c r="MF252" i="2"/>
  <c r="MB243" i="2"/>
  <c r="ME243" i="2"/>
  <c r="ME230" i="2"/>
  <c r="MB230" i="2"/>
  <c r="MK242" i="2"/>
  <c r="MJ240" i="2"/>
  <c r="MK235" i="2"/>
  <c r="MG244" i="2"/>
  <c r="ML239" i="2"/>
  <c r="MH231" i="2"/>
  <c r="ME233" i="2"/>
  <c r="MB233" i="2"/>
  <c r="MK228" i="2"/>
  <c r="MF232" i="2"/>
  <c r="ML225" i="2"/>
  <c r="MG211" i="2"/>
  <c r="MJ226" i="2"/>
  <c r="MH219" i="2"/>
  <c r="MG203" i="2"/>
  <c r="ML208" i="2"/>
  <c r="MJ222" i="2"/>
  <c r="ME216" i="2"/>
  <c r="MB216" i="2"/>
  <c r="MF202" i="2"/>
  <c r="ML221" i="2"/>
  <c r="MJ209" i="2"/>
  <c r="MF207" i="2"/>
  <c r="MB199" i="2"/>
  <c r="MI191" i="2"/>
  <c r="MK198" i="2"/>
  <c r="ME181" i="2"/>
  <c r="MB181" i="2"/>
  <c r="MF168" i="2"/>
  <c r="LW173" i="2"/>
  <c r="LX173" i="2" s="1"/>
  <c r="MI186" i="2"/>
  <c r="MK184" i="2"/>
  <c r="ME206" i="2"/>
  <c r="MB206" i="2"/>
  <c r="MH187" i="2"/>
  <c r="MH185" i="2"/>
  <c r="LW177" i="2"/>
  <c r="LX177" i="2" s="1"/>
  <c r="ME169" i="2"/>
  <c r="MB169" i="2"/>
  <c r="MG168" i="2"/>
  <c r="ME170" i="2"/>
  <c r="MB170" i="2"/>
  <c r="ME160" i="2"/>
  <c r="MB160" i="2"/>
  <c r="MK166" i="2"/>
  <c r="MK165" i="2"/>
  <c r="ML128" i="2"/>
  <c r="MG130" i="2"/>
  <c r="MF140" i="2"/>
  <c r="ME153" i="2"/>
  <c r="MB153" i="2"/>
  <c r="MK131" i="2"/>
  <c r="MF125" i="2"/>
  <c r="MJ156" i="2"/>
  <c r="MJ147" i="2"/>
  <c r="MF151" i="2"/>
  <c r="MH149" i="2"/>
  <c r="MI166" i="2"/>
  <c r="MJ127" i="2"/>
  <c r="MF113" i="2"/>
  <c r="MG116" i="2"/>
  <c r="MI119" i="2"/>
  <c r="MK97" i="2"/>
  <c r="MG110" i="2"/>
  <c r="MG123" i="2"/>
  <c r="MK112" i="2"/>
  <c r="MK121" i="2"/>
  <c r="MK102" i="2"/>
  <c r="ML85" i="2"/>
  <c r="MJ72" i="2"/>
  <c r="MK94" i="2"/>
  <c r="MH81" i="2"/>
  <c r="MF99" i="2"/>
  <c r="MG87" i="2"/>
  <c r="MB90" i="2"/>
  <c r="MK86" i="2"/>
  <c r="MJ74" i="2"/>
  <c r="MH91" i="2"/>
  <c r="MI96" i="2"/>
  <c r="MJ67" i="2"/>
  <c r="MF73" i="2"/>
  <c r="MF54" i="2"/>
  <c r="MJ71" i="2"/>
  <c r="MK69" i="2"/>
  <c r="MG63" i="2"/>
  <c r="MK49" i="2"/>
  <c r="MK37" i="2"/>
  <c r="MB66" i="2"/>
  <c r="ME66" i="2"/>
  <c r="LW57" i="2"/>
  <c r="LX57" i="2" s="1"/>
  <c r="MJ53" i="2"/>
  <c r="MG59" i="2"/>
  <c r="MK52" i="2"/>
  <c r="ME45" i="2"/>
  <c r="MB45" i="2"/>
  <c r="ME58" i="2"/>
  <c r="MB58" i="2"/>
  <c r="MH30" i="2"/>
  <c r="LW28" i="2"/>
  <c r="LX28" i="2" s="1"/>
  <c r="MH23" i="2"/>
  <c r="LW39" i="2"/>
  <c r="LX39" i="2" s="1"/>
  <c r="MK41" i="2"/>
  <c r="ME26" i="2"/>
  <c r="MB26" i="2"/>
  <c r="MF29" i="2"/>
  <c r="MH27" i="2"/>
  <c r="ME12" i="2"/>
  <c r="MB12" i="2"/>
  <c r="MK11" i="2"/>
  <c r="MH13" i="2"/>
  <c r="LW15" i="2"/>
  <c r="LX15" i="2" s="1"/>
  <c r="MI14" i="2"/>
  <c r="MH16" i="2"/>
  <c r="ML17" i="2"/>
  <c r="MF10" i="2"/>
  <c r="MK276" i="2"/>
  <c r="MB280" i="2"/>
  <c r="ME280" i="2"/>
  <c r="ME288" i="2"/>
  <c r="MM288" i="2" s="1" a="1"/>
  <c r="MM288" i="2" s="1"/>
  <c r="MB288" i="2"/>
  <c r="MG275" i="2"/>
  <c r="MG271" i="2"/>
  <c r="MI281" i="2"/>
  <c r="MJ285" i="2"/>
  <c r="LW285" i="2"/>
  <c r="LX285" i="2" s="1"/>
  <c r="MB271" i="2"/>
  <c r="MF276" i="2"/>
  <c r="MJ265" i="2"/>
  <c r="MF282" i="2"/>
  <c r="LW274" i="2"/>
  <c r="LX274" i="2" s="1"/>
  <c r="MK269" i="2"/>
  <c r="MH277" i="2"/>
  <c r="MH261" i="2"/>
  <c r="MK267" i="2"/>
  <c r="MI261" i="2"/>
  <c r="MH243" i="2"/>
  <c r="MK234" i="2"/>
  <c r="LW257" i="2"/>
  <c r="LX257" i="2" s="1"/>
  <c r="MI243" i="2"/>
  <c r="LW252" i="2"/>
  <c r="LX252" i="2" s="1"/>
  <c r="MK255" i="2"/>
  <c r="MF243" i="2"/>
  <c r="MH242" i="2"/>
  <c r="ME240" i="2"/>
  <c r="MB240" i="2"/>
  <c r="MK233" i="2"/>
  <c r="LW223" i="2"/>
  <c r="LX223" i="2" s="1"/>
  <c r="MK222" i="2"/>
  <c r="MF228" i="2"/>
  <c r="MJ225" i="2"/>
  <c r="MH211" i="2"/>
  <c r="LW219" i="2"/>
  <c r="LX219" i="2" s="1"/>
  <c r="MB217" i="2"/>
  <c r="ME217" i="2"/>
  <c r="LW220" i="2"/>
  <c r="LX220" i="2" s="1"/>
  <c r="MJ217" i="2"/>
  <c r="MJ214" i="2"/>
  <c r="MB195" i="2"/>
  <c r="ME195" i="2"/>
  <c r="MI215" i="2"/>
  <c r="MG210" i="2"/>
  <c r="MG195" i="2"/>
  <c r="MG207" i="2"/>
  <c r="MH204" i="2"/>
  <c r="MF200" i="2"/>
  <c r="MF192" i="2"/>
  <c r="LW194" i="2"/>
  <c r="LX194" i="2" s="1"/>
  <c r="ML198" i="2"/>
  <c r="ME176" i="2"/>
  <c r="MB176" i="2"/>
  <c r="MJ181" i="2"/>
  <c r="LW163" i="2"/>
  <c r="LX163" i="2" s="1"/>
  <c r="MG178" i="2"/>
  <c r="MB171" i="2"/>
  <c r="ME171" i="2"/>
  <c r="MG179" i="2"/>
  <c r="MJ186" i="2"/>
  <c r="MG182" i="2"/>
  <c r="MH179" i="2"/>
  <c r="MF206" i="2"/>
  <c r="MI187" i="2"/>
  <c r="MI185" i="2"/>
  <c r="LW169" i="2"/>
  <c r="LX169" i="2" s="1"/>
  <c r="LW148" i="2"/>
  <c r="LX148" i="2" s="1"/>
  <c r="MG175" i="2"/>
  <c r="MF174" i="2"/>
  <c r="MH168" i="2"/>
  <c r="MF185" i="2"/>
  <c r="MG170" i="2"/>
  <c r="LW161" i="2"/>
  <c r="LX161" i="2" s="1"/>
  <c r="MJ148" i="2"/>
  <c r="LW159" i="2"/>
  <c r="LX159" i="2" s="1"/>
  <c r="MI139" i="2"/>
  <c r="MJ125" i="2"/>
  <c r="MF153" i="2"/>
  <c r="MF131" i="2"/>
  <c r="MF129" i="2"/>
  <c r="MH122" i="2"/>
  <c r="MK156" i="2"/>
  <c r="MJ158" i="2"/>
  <c r="ME134" i="2"/>
  <c r="MB134" i="2"/>
  <c r="MB139" i="2"/>
  <c r="MG155" i="2"/>
  <c r="MH141" i="2"/>
  <c r="MH128" i="2"/>
  <c r="MF146" i="2"/>
  <c r="MI136" i="2"/>
  <c r="MK127" i="2"/>
  <c r="MH116" i="2"/>
  <c r="LW119" i="2"/>
  <c r="LX119" i="2" s="1"/>
  <c r="MH96" i="2"/>
  <c r="ME117" i="2"/>
  <c r="MB117" i="2"/>
  <c r="MG109" i="2"/>
  <c r="LW133" i="2"/>
  <c r="LX133" i="2" s="1"/>
  <c r="MH123" i="2"/>
  <c r="ME115" i="2"/>
  <c r="MB115" i="2"/>
  <c r="MI108" i="2"/>
  <c r="MJ100" i="2"/>
  <c r="ME95" i="2"/>
  <c r="MB95" i="2"/>
  <c r="MB72" i="2"/>
  <c r="ME72" i="2"/>
  <c r="LW101" i="2"/>
  <c r="LX101" i="2" s="1"/>
  <c r="MJ79" i="2"/>
  <c r="MJ106" i="2"/>
  <c r="MF94" i="2"/>
  <c r="MI81" i="2"/>
  <c r="MF103" i="2"/>
  <c r="ME99" i="2"/>
  <c r="MB99" i="2"/>
  <c r="MI84" i="2"/>
  <c r="MK75" i="2"/>
  <c r="ME75" i="2"/>
  <c r="MB75" i="2"/>
  <c r="MF78" i="2"/>
  <c r="MJ104" i="2"/>
  <c r="MJ96" i="2"/>
  <c r="MF82" i="2"/>
  <c r="MG66" i="2"/>
  <c r="MK67" i="2"/>
  <c r="MI73" i="2"/>
  <c r="MJ70" i="2"/>
  <c r="MI65" i="2"/>
  <c r="MI47" i="2"/>
  <c r="MK71" i="2"/>
  <c r="MF66" i="2"/>
  <c r="MJ64" i="2"/>
  <c r="MH55" i="2"/>
  <c r="MJ57" i="2"/>
  <c r="ME53" i="2"/>
  <c r="MB53" i="2"/>
  <c r="MI37" i="2"/>
  <c r="LW59" i="2"/>
  <c r="LX59" i="2" s="1"/>
  <c r="MF50" i="2"/>
  <c r="MI45" i="2"/>
  <c r="MF33" i="2"/>
  <c r="ML58" i="2"/>
  <c r="MG36" i="2"/>
  <c r="MI32" i="2"/>
  <c r="MI30" i="2"/>
  <c r="MI26" i="2"/>
  <c r="MH48" i="2"/>
  <c r="ME40" i="2"/>
  <c r="MB40" i="2"/>
  <c r="MH33" i="2"/>
  <c r="MI18" i="2"/>
  <c r="MK12" i="2"/>
  <c r="MI13" i="2"/>
  <c r="MH15" i="2"/>
  <c r="MJ14" i="2"/>
  <c r="MJ21" i="2"/>
  <c r="MB22" i="2"/>
  <c r="ME16" i="2"/>
  <c r="MB16" i="2"/>
  <c r="ME17" i="2"/>
  <c r="MB17" i="2"/>
  <c r="MK10" i="2"/>
  <c r="MJ291" i="2"/>
  <c r="MI292" i="2"/>
  <c r="ME284" i="2"/>
  <c r="MB284" i="2"/>
  <c r="MF279" i="2"/>
  <c r="MF293" i="2"/>
  <c r="MK290" i="2"/>
  <c r="MF283" i="2"/>
  <c r="MK265" i="2"/>
  <c r="ML276" i="2"/>
  <c r="MH283" i="2"/>
  <c r="MI270" i="2"/>
  <c r="LW265" i="2"/>
  <c r="LX265" i="2" s="1"/>
  <c r="MI264" i="2"/>
  <c r="MG282" i="2"/>
  <c r="MJ268" i="2"/>
  <c r="LW260" i="2"/>
  <c r="LX260" i="2" s="1"/>
  <c r="MF262" i="2"/>
  <c r="MJ247" i="2"/>
  <c r="MF255" i="2"/>
  <c r="MI267" i="2"/>
  <c r="LW261" i="2"/>
  <c r="LX261" i="2" s="1"/>
  <c r="MG252" i="2"/>
  <c r="MF241" i="2"/>
  <c r="MI257" i="2"/>
  <c r="MG256" i="2"/>
  <c r="MI252" i="2"/>
  <c r="MH244" i="2"/>
  <c r="ME242" i="2"/>
  <c r="MB242" i="2"/>
  <c r="MG250" i="2"/>
  <c r="MJ244" i="2"/>
  <c r="LW238" i="2"/>
  <c r="LX238" i="2" s="1"/>
  <c r="MG230" i="2"/>
  <c r="LW231" i="2"/>
  <c r="LX231" i="2" s="1"/>
  <c r="ML224" i="2"/>
  <c r="ML228" i="2"/>
  <c r="MK224" i="2"/>
  <c r="ME226" i="2"/>
  <c r="MB226" i="2"/>
  <c r="MK219" i="2"/>
  <c r="MH213" i="2"/>
  <c r="MJ218" i="2"/>
  <c r="LW222" i="2"/>
  <c r="LX222" i="2" s="1"/>
  <c r="MG220" i="2"/>
  <c r="MF216" i="2"/>
  <c r="MB214" i="2"/>
  <c r="ME214" i="2"/>
  <c r="LW215" i="2"/>
  <c r="LX215" i="2" s="1"/>
  <c r="MG221" i="2"/>
  <c r="ME209" i="2"/>
  <c r="MB209" i="2"/>
  <c r="MH207" i="2"/>
  <c r="LW204" i="2"/>
  <c r="LX204" i="2" s="1"/>
  <c r="MG202" i="2"/>
  <c r="MF189" i="2"/>
  <c r="LW199" i="2"/>
  <c r="LX199" i="2" s="1"/>
  <c r="MF188" i="2"/>
  <c r="MF198" i="2"/>
  <c r="ME196" i="2"/>
  <c r="MB196" i="2"/>
  <c r="MG201" i="2"/>
  <c r="LW162" i="2"/>
  <c r="LX162" i="2" s="1"/>
  <c r="MF171" i="2"/>
  <c r="MH163" i="2"/>
  <c r="MM163" i="2" s="1" a="1"/>
  <c r="MH180" i="2"/>
  <c r="MH182" i="2"/>
  <c r="LW179" i="2"/>
  <c r="LX179" i="2" s="1"/>
  <c r="MG206" i="2"/>
  <c r="MJ185" i="2"/>
  <c r="MG169" i="2"/>
  <c r="MG148" i="2"/>
  <c r="ME174" i="2"/>
  <c r="MB174" i="2"/>
  <c r="MH192" i="2"/>
  <c r="MI148" i="2"/>
  <c r="MH144" i="2"/>
  <c r="MJ120" i="2"/>
  <c r="ML140" i="2"/>
  <c r="MG153" i="2"/>
  <c r="ML131" i="2"/>
  <c r="MG156" i="2"/>
  <c r="LW158" i="2"/>
  <c r="LX158" i="2" s="1"/>
  <c r="MF134" i="2"/>
  <c r="MJ136" i="2"/>
  <c r="MG127" i="2"/>
  <c r="MG107" i="2"/>
  <c r="MI116" i="2"/>
  <c r="MJ119" i="2"/>
  <c r="MB85" i="2"/>
  <c r="ME85" i="2"/>
  <c r="MH109" i="2"/>
  <c r="ML122" i="2"/>
  <c r="MG118" i="2"/>
  <c r="MK124" i="2"/>
  <c r="LW123" i="2"/>
  <c r="LX123" i="2" s="1"/>
  <c r="MF114" i="2"/>
  <c r="MF112" i="2"/>
  <c r="ME108" i="2"/>
  <c r="MB108" i="2"/>
  <c r="MG90" i="2"/>
  <c r="ML121" i="2"/>
  <c r="MJ82" i="2"/>
  <c r="MI77" i="2"/>
  <c r="LW105" i="2"/>
  <c r="LX105" i="2" s="1"/>
  <c r="MH88" i="2"/>
  <c r="MI101" i="2"/>
  <c r="MI79" i="2"/>
  <c r="MI106" i="2"/>
  <c r="ML94" i="2"/>
  <c r="MF93" i="2"/>
  <c r="LW81" i="2"/>
  <c r="LX81" i="2" s="1"/>
  <c r="MI99" i="2"/>
  <c r="MH87" i="2"/>
  <c r="MG86" i="2"/>
  <c r="MK74" i="2"/>
  <c r="MI91" i="2"/>
  <c r="LW96" i="2"/>
  <c r="LX96" i="2" s="1"/>
  <c r="MG89" i="2"/>
  <c r="LW79" i="2"/>
  <c r="LX79" i="2" s="1"/>
  <c r="ME47" i="2"/>
  <c r="MB47" i="2"/>
  <c r="MI70" i="2"/>
  <c r="MJ65" i="2"/>
  <c r="ML52" i="2"/>
  <c r="MI71" i="2"/>
  <c r="ME69" i="2"/>
  <c r="MB69" i="2"/>
  <c r="MH63" i="2"/>
  <c r="MH49" i="2"/>
  <c r="MI54" i="2"/>
  <c r="MJ35" i="2"/>
  <c r="MK53" i="2"/>
  <c r="MI35" i="2"/>
  <c r="MB50" i="2"/>
  <c r="ME50" i="2"/>
  <c r="LW60" i="2"/>
  <c r="LX60" i="2" s="1"/>
  <c r="MH59" i="2"/>
  <c r="MB51" i="2"/>
  <c r="ME51" i="2"/>
  <c r="MM51" i="2" s="1" a="1"/>
  <c r="MM51" i="2" s="1"/>
  <c r="LW45" i="2"/>
  <c r="LX45" i="2" s="1"/>
  <c r="MJ33" i="2"/>
  <c r="MK58" i="2"/>
  <c r="MH36" i="2"/>
  <c r="LW30" i="2"/>
  <c r="LX30" i="2" s="1"/>
  <c r="MF28" i="2"/>
  <c r="ML41" i="2"/>
  <c r="LW26" i="2"/>
  <c r="LX26" i="2" s="1"/>
  <c r="MK25" i="2"/>
  <c r="MI27" i="2"/>
  <c r="MG48" i="2"/>
  <c r="MH45" i="2"/>
  <c r="LW34" i="2"/>
  <c r="LX34" i="2" s="1"/>
  <c r="MJ12" i="2"/>
  <c r="MJ11" i="2"/>
  <c r="MJ13" i="2"/>
  <c r="MK14" i="2"/>
  <c r="MI21" i="2"/>
  <c r="MH17" i="2"/>
  <c r="ML275" i="2"/>
  <c r="MH292" i="2"/>
  <c r="MF286" i="2"/>
  <c r="ME291" i="2"/>
  <c r="MB291" i="2"/>
  <c r="LW292" i="2"/>
  <c r="LX292" i="2" s="1"/>
  <c r="MK284" i="2"/>
  <c r="MB281" i="2"/>
  <c r="ME281" i="2"/>
  <c r="ME285" i="2"/>
  <c r="MB285" i="2"/>
  <c r="ML279" i="2"/>
  <c r="LW264" i="2"/>
  <c r="LX264" i="2" s="1"/>
  <c r="LW282" i="2"/>
  <c r="LX282" i="2" s="1"/>
  <c r="MI277" i="2"/>
  <c r="MG262" i="2"/>
  <c r="MK260" i="2"/>
  <c r="MI259" i="2"/>
  <c r="MI266" i="2"/>
  <c r="MF240" i="2"/>
  <c r="MI256" i="2"/>
  <c r="MK240" i="2"/>
  <c r="MG238" i="2"/>
  <c r="MG232" i="2"/>
  <c r="MI246" i="2"/>
  <c r="MH250" i="2"/>
  <c r="MK244" i="2"/>
  <c r="MJ238" i="2"/>
  <c r="MK232" i="2"/>
  <c r="MI224" i="2"/>
  <c r="MK226" i="2"/>
  <c r="MF218" i="2"/>
  <c r="ME222" i="2"/>
  <c r="MB222" i="2"/>
  <c r="MK217" i="2"/>
  <c r="MK214" i="2"/>
  <c r="MH215" i="2"/>
  <c r="ME199" i="2"/>
  <c r="MH221" i="2"/>
  <c r="MI203" i="2"/>
  <c r="MF209" i="2"/>
  <c r="MK195" i="2"/>
  <c r="MI207" i="2"/>
  <c r="MB202" i="2"/>
  <c r="ME202" i="2"/>
  <c r="MB194" i="2"/>
  <c r="MH201" i="2"/>
  <c r="MH193" i="2"/>
  <c r="MK186" i="2"/>
  <c r="MF176" i="2"/>
  <c r="MF183" i="2"/>
  <c r="MH160" i="2"/>
  <c r="MB162" i="2"/>
  <c r="MI179" i="2"/>
  <c r="MJ187" i="2"/>
  <c r="ME177" i="2"/>
  <c r="MB177" i="2"/>
  <c r="MI167" i="2"/>
  <c r="LW170" i="2"/>
  <c r="LX170" i="2" s="1"/>
  <c r="MB148" i="2"/>
  <c r="ME148" i="2"/>
  <c r="ME142" i="2"/>
  <c r="MB142" i="2"/>
  <c r="MJ139" i="2"/>
  <c r="MG140" i="2"/>
  <c r="MG129" i="2"/>
  <c r="MI125" i="2"/>
  <c r="ML156" i="2"/>
  <c r="MF147" i="2"/>
  <c r="MG134" i="2"/>
  <c r="ME143" i="2"/>
  <c r="MB143" i="2"/>
  <c r="MH138" i="2"/>
  <c r="MI128" i="2"/>
  <c r="ME141" i="2"/>
  <c r="MB141" i="2"/>
  <c r="MF130" i="2"/>
  <c r="ML166" i="2"/>
  <c r="MG113" i="2"/>
  <c r="MG98" i="2"/>
  <c r="MI82" i="2"/>
  <c r="MF117" i="2"/>
  <c r="MI109" i="2"/>
  <c r="MH100" i="2"/>
  <c r="MH118" i="2"/>
  <c r="LW102" i="2"/>
  <c r="LX102" i="2" s="1"/>
  <c r="ME124" i="2"/>
  <c r="MB124" i="2"/>
  <c r="MI123" i="2"/>
  <c r="ME123" i="2"/>
  <c r="MB123" i="2"/>
  <c r="MK115" i="2"/>
  <c r="ML112" i="2"/>
  <c r="MG97" i="2"/>
  <c r="MF105" i="2"/>
  <c r="MF95" i="2"/>
  <c r="LW88" i="2"/>
  <c r="LX88" i="2" s="1"/>
  <c r="MH85" i="2"/>
  <c r="MF68" i="2"/>
  <c r="MJ101" i="2"/>
  <c r="MH106" i="2"/>
  <c r="MJ81" i="2"/>
  <c r="MG103" i="2"/>
  <c r="MJ99" i="2"/>
  <c r="MF83" i="2"/>
  <c r="MI87" i="2"/>
  <c r="MJ84" i="2"/>
  <c r="MG73" i="2"/>
  <c r="MF75" i="2"/>
  <c r="MH86" i="2"/>
  <c r="MJ91" i="2"/>
  <c r="ML78" i="2"/>
  <c r="MK104" i="2"/>
  <c r="MB79" i="2"/>
  <c r="ME79" i="2"/>
  <c r="ME73" i="2"/>
  <c r="MB73" i="2"/>
  <c r="LW65" i="2"/>
  <c r="LX65" i="2" s="1"/>
  <c r="LW69" i="2"/>
  <c r="LX69" i="2" s="1"/>
  <c r="ME64" i="2"/>
  <c r="MB64" i="2"/>
  <c r="MK62" i="2"/>
  <c r="LW54" i="2"/>
  <c r="LX54" i="2" s="1"/>
  <c r="ME55" i="2"/>
  <c r="MB55" i="2"/>
  <c r="LW42" i="2"/>
  <c r="LX42" i="2" s="1"/>
  <c r="MJ60" i="2"/>
  <c r="MG49" i="2"/>
  <c r="MG55" i="2"/>
  <c r="MI50" i="2"/>
  <c r="MJ45" i="2"/>
  <c r="MF58" i="2"/>
  <c r="MB49" i="2"/>
  <c r="ME44" i="2"/>
  <c r="MB44" i="2"/>
  <c r="MJ18" i="2"/>
  <c r="MI36" i="2"/>
  <c r="MJ32" i="2"/>
  <c r="MJ30" i="2"/>
  <c r="MH26" i="2"/>
  <c r="MF26" i="2"/>
  <c r="MF25" i="2"/>
  <c r="MG40" i="2"/>
  <c r="MK40" i="2"/>
  <c r="MH46" i="2"/>
  <c r="MK21" i="2"/>
  <c r="MH11" i="2"/>
  <c r="MI15" i="2"/>
  <c r="MF16" i="2"/>
  <c r="MI17" i="2"/>
  <c r="MI286" i="2"/>
  <c r="ME290" i="2"/>
  <c r="MB290" i="2"/>
  <c r="MJ292" i="2"/>
  <c r="MG287" i="2"/>
  <c r="MF290" i="2"/>
  <c r="MJ281" i="2"/>
  <c r="MK285" i="2"/>
  <c r="MI275" i="2"/>
  <c r="MF272" i="2"/>
  <c r="MG276" i="2"/>
  <c r="MG265" i="2"/>
  <c r="MJ282" i="2"/>
  <c r="MH269" i="2"/>
  <c r="LW262" i="2"/>
  <c r="LX262" i="2" s="1"/>
  <c r="ME260" i="2"/>
  <c r="MB260" i="2"/>
  <c r="MJ259" i="2"/>
  <c r="LW267" i="2"/>
  <c r="LX267" i="2" s="1"/>
  <c r="ME259" i="2"/>
  <c r="MB259" i="2"/>
  <c r="ML251" i="2"/>
  <c r="MK250" i="2"/>
  <c r="MB248" i="2"/>
  <c r="ME248" i="2"/>
  <c r="MK239" i="2"/>
  <c r="ME257" i="2"/>
  <c r="MB257" i="2"/>
  <c r="MJ256" i="2"/>
  <c r="MJ241" i="2"/>
  <c r="MJ252" i="2"/>
  <c r="ML252" i="2"/>
  <c r="MJ239" i="2"/>
  <c r="MG235" i="2"/>
  <c r="LW242" i="2"/>
  <c r="LX242" i="2" s="1"/>
  <c r="MG237" i="2"/>
  <c r="MF250" i="2"/>
  <c r="ME238" i="2"/>
  <c r="MB238" i="2"/>
  <c r="ML229" i="2"/>
  <c r="ML231" i="2"/>
  <c r="MG228" i="2"/>
  <c r="ML206" i="2"/>
  <c r="MI213" i="2"/>
  <c r="MJ208" i="2"/>
  <c r="MH220" i="2"/>
  <c r="MF214" i="2"/>
  <c r="MJ215" i="2"/>
  <c r="MF205" i="2"/>
  <c r="MF195" i="2"/>
  <c r="LW207" i="2"/>
  <c r="LX207" i="2" s="1"/>
  <c r="MH202" i="2"/>
  <c r="MB190" i="2"/>
  <c r="ME190" i="2"/>
  <c r="MI194" i="2"/>
  <c r="LW198" i="2"/>
  <c r="LX198" i="2" s="1"/>
  <c r="MH196" i="2"/>
  <c r="MJ201" i="2"/>
  <c r="MI193" i="2"/>
  <c r="MG181" i="2"/>
  <c r="MI180" i="2"/>
  <c r="MB186" i="2"/>
  <c r="ME186" i="2"/>
  <c r="MH206" i="2"/>
  <c r="MK187" i="2"/>
  <c r="MK185" i="2"/>
  <c r="MF165" i="2"/>
  <c r="LW164" i="2"/>
  <c r="LX164" i="2" s="1"/>
  <c r="AR164" i="2" s="1"/>
  <c r="AT164" i="2" s="1"/>
  <c r="ME192" i="2"/>
  <c r="MB192" i="2"/>
  <c r="ME167" i="2"/>
  <c r="MB167" i="2"/>
  <c r="MI144" i="2"/>
  <c r="MH145" i="2"/>
  <c r="MG145" i="2"/>
  <c r="MK128" i="2"/>
  <c r="MH153" i="2"/>
  <c r="ML130" i="2"/>
  <c r="MH125" i="2"/>
  <c r="MB158" i="2"/>
  <c r="MB149" i="2"/>
  <c r="MH134" i="2"/>
  <c r="LW135" i="2"/>
  <c r="LX135" i="2" s="1"/>
  <c r="MI138" i="2"/>
  <c r="LW128" i="2"/>
  <c r="LX128" i="2" s="1"/>
  <c r="MG146" i="2"/>
  <c r="MH166" i="2"/>
  <c r="MH113" i="2"/>
  <c r="MJ116" i="2"/>
  <c r="ME98" i="2"/>
  <c r="MB98" i="2"/>
  <c r="MI92" i="2"/>
  <c r="ME119" i="2"/>
  <c r="MB119" i="2"/>
  <c r="MH107" i="2"/>
  <c r="MK117" i="2"/>
  <c r="MB100" i="2"/>
  <c r="MB122" i="2"/>
  <c r="ME122" i="2"/>
  <c r="MI100" i="2"/>
  <c r="ME133" i="2"/>
  <c r="MB133" i="2"/>
  <c r="MI118" i="2"/>
  <c r="MI102" i="2"/>
  <c r="MF124" i="2"/>
  <c r="MG114" i="2"/>
  <c r="MK105" i="2"/>
  <c r="MF115" i="2"/>
  <c r="ME121" i="2"/>
  <c r="MB121" i="2"/>
  <c r="MI88" i="2"/>
  <c r="MI85" i="2"/>
  <c r="ML68" i="2"/>
  <c r="MG106" i="2"/>
  <c r="MG94" i="2"/>
  <c r="MB56" i="2"/>
  <c r="ME56" i="2"/>
  <c r="LW103" i="2"/>
  <c r="LX103" i="2" s="1"/>
  <c r="LW87" i="2"/>
  <c r="LX87" i="2" s="1"/>
  <c r="LW91" i="2"/>
  <c r="LX91" i="2" s="1"/>
  <c r="MH104" i="2"/>
  <c r="LW89" i="2"/>
  <c r="LX89" i="2" s="1"/>
  <c r="LW82" i="2"/>
  <c r="LX82" i="2" s="1"/>
  <c r="MK79" i="2"/>
  <c r="LW61" i="2"/>
  <c r="LX61" i="2" s="1"/>
  <c r="MK47" i="2"/>
  <c r="MH73" i="2"/>
  <c r="ME65" i="2"/>
  <c r="MB65" i="2"/>
  <c r="MG71" i="2"/>
  <c r="MG69" i="2"/>
  <c r="ME63" i="2"/>
  <c r="MB63" i="2"/>
  <c r="MH66" i="2"/>
  <c r="MK64" i="2"/>
  <c r="MF55" i="2"/>
  <c r="MF53" i="2"/>
  <c r="ME31" i="2"/>
  <c r="MB31" i="2"/>
  <c r="ME60" i="2"/>
  <c r="MB60" i="2"/>
  <c r="MI59" i="2"/>
  <c r="LW51" i="2"/>
  <c r="LX51" i="2" s="1"/>
  <c r="MH42" i="2"/>
  <c r="MJ52" i="2"/>
  <c r="MK45" i="2"/>
  <c r="MK44" i="2"/>
  <c r="ME25" i="2"/>
  <c r="MB25" i="2"/>
  <c r="ME32" i="2"/>
  <c r="MB32" i="2"/>
  <c r="MF21" i="2"/>
  <c r="ME23" i="2"/>
  <c r="MB23" i="2"/>
  <c r="MB39" i="2"/>
  <c r="ME39" i="2"/>
  <c r="MJ26" i="2"/>
  <c r="MJ27" i="2"/>
  <c r="MF36" i="2"/>
  <c r="MI46" i="2"/>
  <c r="MF12" i="2"/>
  <c r="MI11" i="2"/>
  <c r="MK13" i="2"/>
  <c r="ML14" i="2"/>
  <c r="MG21" i="2"/>
  <c r="MI16" i="2"/>
  <c r="MJ284" i="2"/>
  <c r="MF287" i="2"/>
  <c r="MK291" i="2"/>
  <c r="ME292" i="2"/>
  <c r="MB292" i="2"/>
  <c r="MF284" i="2"/>
  <c r="MH287" i="2"/>
  <c r="MH281" i="2"/>
  <c r="ME275" i="2"/>
  <c r="MB275" i="2"/>
  <c r="MG293" i="2"/>
  <c r="ML290" i="2"/>
  <c r="MK275" i="2"/>
  <c r="MF281" i="2"/>
  <c r="ML272" i="2"/>
  <c r="MK268" i="2"/>
  <c r="MJ271" i="2"/>
  <c r="LW283" i="2"/>
  <c r="LX283" i="2" s="1"/>
  <c r="MB274" i="2"/>
  <c r="ME282" i="2"/>
  <c r="MB282" i="2"/>
  <c r="MI269" i="2"/>
  <c r="MJ277" i="2"/>
  <c r="MI255" i="2"/>
  <c r="MH262" i="2"/>
  <c r="MF259" i="2"/>
  <c r="MJ266" i="2"/>
  <c r="MF261" i="2"/>
  <c r="MK248" i="2"/>
  <c r="MF239" i="2"/>
  <c r="MF257" i="2"/>
  <c r="MH256" i="2"/>
  <c r="MH252" i="2"/>
  <c r="MH236" i="2"/>
  <c r="MH234" i="2"/>
  <c r="MF242" i="2"/>
  <c r="MH237" i="2"/>
  <c r="MI232" i="2"/>
  <c r="ML246" i="2"/>
  <c r="MI250" i="2"/>
  <c r="MJ234" i="2"/>
  <c r="MH228" i="2"/>
  <c r="LW212" i="2"/>
  <c r="LX212" i="2" s="1"/>
  <c r="LW208" i="2"/>
  <c r="LX208" i="2" s="1"/>
  <c r="MF226" i="2"/>
  <c r="MI219" i="2"/>
  <c r="MH212" i="2"/>
  <c r="MJ213" i="2"/>
  <c r="MG218" i="2"/>
  <c r="MF222" i="2"/>
  <c r="LW216" i="2"/>
  <c r="LX216" i="2" s="1"/>
  <c r="ML217" i="2"/>
  <c r="ML214" i="2"/>
  <c r="MI221" i="2"/>
  <c r="MG209" i="2"/>
  <c r="MJ207" i="2"/>
  <c r="MJ202" i="2"/>
  <c r="MG196" i="2"/>
  <c r="MF190" i="2"/>
  <c r="MB198" i="2"/>
  <c r="ME198" i="2"/>
  <c r="LW196" i="2"/>
  <c r="LX196" i="2" s="1"/>
  <c r="MK194" i="2"/>
  <c r="MK201" i="2"/>
  <c r="LW193" i="2"/>
  <c r="LX193" i="2" s="1"/>
  <c r="ML181" i="2"/>
  <c r="MG188" i="2"/>
  <c r="MF172" i="2"/>
  <c r="MM172" i="2" s="1" a="1"/>
  <c r="MM172" i="2" s="1"/>
  <c r="LW180" i="2"/>
  <c r="LX180" i="2" s="1"/>
  <c r="ME178" i="2"/>
  <c r="MM178" i="2" s="1" a="1"/>
  <c r="MB188" i="2"/>
  <c r="ME188" i="2"/>
  <c r="MH194" i="2"/>
  <c r="ME179" i="2"/>
  <c r="MB179" i="2"/>
  <c r="LW206" i="2"/>
  <c r="LX206" i="2" s="1"/>
  <c r="MI169" i="2"/>
  <c r="MH157" i="2"/>
  <c r="MM157" i="2" s="1" a="1"/>
  <c r="MM157" i="2" s="1"/>
  <c r="MI168" i="2"/>
  <c r="LW137" i="2"/>
  <c r="LX137" i="2" s="1"/>
  <c r="MI170" i="2"/>
  <c r="MJ149" i="2"/>
  <c r="MM149" i="2" s="1" a="1"/>
  <c r="LW192" i="2"/>
  <c r="LX192" i="2" s="1"/>
  <c r="MH148" i="2"/>
  <c r="MF160" i="2"/>
  <c r="MK139" i="2"/>
  <c r="LW145" i="2"/>
  <c r="LX145" i="2" s="1"/>
  <c r="MI140" i="2"/>
  <c r="MH140" i="2"/>
  <c r="MH156" i="2"/>
  <c r="MH158" i="2"/>
  <c r="MI134" i="2"/>
  <c r="LW138" i="2"/>
  <c r="LX138" i="2" s="1"/>
  <c r="LW149" i="2"/>
  <c r="LX149" i="2" s="1"/>
  <c r="LW166" i="2"/>
  <c r="LX166" i="2" s="1"/>
  <c r="ME127" i="2"/>
  <c r="MB127" i="2"/>
  <c r="LW113" i="2"/>
  <c r="LX113" i="2" s="1"/>
  <c r="MF98" i="2"/>
  <c r="MK119" i="2"/>
  <c r="MF122" i="2"/>
  <c r="MI97" i="2"/>
  <c r="ML124" i="2"/>
  <c r="MJ123" i="2"/>
  <c r="ML95" i="2"/>
  <c r="MG112" i="2"/>
  <c r="MF108" i="2"/>
  <c r="MF121" i="2"/>
  <c r="LW121" i="2"/>
  <c r="LX121" i="2" s="1"/>
  <c r="MH97" i="2"/>
  <c r="MF77" i="2"/>
  <c r="LW85" i="2"/>
  <c r="LX85" i="2" s="1"/>
  <c r="MJ59" i="2"/>
  <c r="MF101" i="2"/>
  <c r="MB80" i="2"/>
  <c r="MI103" i="2"/>
  <c r="MH99" i="2"/>
  <c r="MJ87" i="2"/>
  <c r="ME84" i="2"/>
  <c r="MB84" i="2"/>
  <c r="ML71" i="2"/>
  <c r="LW93" i="2"/>
  <c r="LX93" i="2" s="1"/>
  <c r="MG85" i="2"/>
  <c r="MI104" i="2"/>
  <c r="MI89" i="2"/>
  <c r="MB82" i="2"/>
  <c r="ME82" i="2"/>
  <c r="MF79" i="2"/>
  <c r="MG47" i="2"/>
  <c r="MH69" i="2"/>
  <c r="LW63" i="2"/>
  <c r="LX63" i="2" s="1"/>
  <c r="LW55" i="2"/>
  <c r="LX55" i="2" s="1"/>
  <c r="MF57" i="2"/>
  <c r="MG57" i="2"/>
  <c r="ML53" i="2"/>
  <c r="MI42" i="2"/>
  <c r="MK60" i="2"/>
  <c r="MB37" i="2"/>
  <c r="ME37" i="2"/>
  <c r="MJ37" i="2"/>
  <c r="MF52" i="2"/>
  <c r="MG58" i="2"/>
  <c r="MG20" i="2"/>
  <c r="LW24" i="2"/>
  <c r="LX24" i="2" s="1"/>
  <c r="MB20" i="2"/>
  <c r="ME30" i="2"/>
  <c r="MB30" i="2"/>
  <c r="MH20" i="2"/>
  <c r="MK23" i="2"/>
  <c r="MK39" i="2"/>
  <c r="ME41" i="2"/>
  <c r="MB41" i="2"/>
  <c r="ML25" i="2"/>
  <c r="MI48" i="2"/>
  <c r="MH40" i="2"/>
  <c r="MI33" i="2"/>
  <c r="MK46" i="2"/>
  <c r="MG18" i="2"/>
  <c r="ML12" i="2"/>
  <c r="MG286" i="2"/>
  <c r="MK286" i="2"/>
  <c r="MF291" i="2"/>
  <c r="MK281" i="2"/>
  <c r="MH293" i="2"/>
  <c r="MK283" i="2"/>
  <c r="MF285" i="2"/>
  <c r="MI276" i="2"/>
  <c r="ME268" i="2"/>
  <c r="MB268" i="2"/>
  <c r="MK277" i="2"/>
  <c r="MH271" i="2"/>
  <c r="MG267" i="2"/>
  <c r="MI251" i="2"/>
  <c r="MH259" i="2"/>
  <c r="MF248" i="2"/>
  <c r="MJ249" i="2"/>
  <c r="MG257" i="2"/>
  <c r="MH249" i="2"/>
  <c r="MB239" i="2"/>
  <c r="ME239" i="2"/>
  <c r="ME234" i="2"/>
  <c r="MB234" i="2"/>
  <c r="MJ236" i="2"/>
  <c r="MI233" i="2"/>
  <c r="ME246" i="2"/>
  <c r="MB246" i="2"/>
  <c r="MF238" i="2"/>
  <c r="MI231" i="2"/>
  <c r="MK229" i="2"/>
  <c r="ME235" i="2"/>
  <c r="MB235" i="2"/>
  <c r="MI234" i="2"/>
  <c r="LW225" i="2"/>
  <c r="LX225" i="2" s="1"/>
  <c r="ML226" i="2"/>
  <c r="ME212" i="2"/>
  <c r="MB212" i="2"/>
  <c r="ME213" i="2"/>
  <c r="MB213" i="2"/>
  <c r="MH218" i="2"/>
  <c r="MI222" i="2"/>
  <c r="MI220" i="2"/>
  <c r="MH214" i="2"/>
  <c r="ME215" i="2"/>
  <c r="MB215" i="2"/>
  <c r="MG205" i="2"/>
  <c r="MJ203" i="2"/>
  <c r="MH210" i="2"/>
  <c r="MJ221" i="2"/>
  <c r="ME210" i="2"/>
  <c r="MB210" i="2"/>
  <c r="MJ195" i="2"/>
  <c r="MK202" i="2"/>
  <c r="MJ184" i="2"/>
  <c r="ME191" i="2"/>
  <c r="MM191" i="2" s="1" a="1"/>
  <c r="MB191" i="2"/>
  <c r="ML190" i="2"/>
  <c r="ME201" i="2"/>
  <c r="MB201" i="2"/>
  <c r="MJ193" i="2"/>
  <c r="ME180" i="2"/>
  <c r="MB180" i="2"/>
  <c r="ME173" i="2"/>
  <c r="MB173" i="2"/>
  <c r="MJ179" i="2"/>
  <c r="MI206" i="2"/>
  <c r="ML187" i="2"/>
  <c r="MB185" i="2"/>
  <c r="ME185" i="2"/>
  <c r="ML167" i="2"/>
  <c r="ME175" i="2"/>
  <c r="MB175" i="2"/>
  <c r="MH155" i="2"/>
  <c r="MG160" i="2"/>
  <c r="ML158" i="2"/>
  <c r="MH165" i="2"/>
  <c r="MB161" i="2"/>
  <c r="MF142" i="2"/>
  <c r="MI145" i="2"/>
  <c r="MG131" i="2"/>
  <c r="ME156" i="2"/>
  <c r="MB156" i="2"/>
  <c r="MK158" i="2"/>
  <c r="MG147" i="2"/>
  <c r="MF143" i="2"/>
  <c r="MJ138" i="2"/>
  <c r="MH146" i="2"/>
  <c r="MJ141" i="2"/>
  <c r="MK136" i="2"/>
  <c r="ME166" i="2"/>
  <c r="MB166" i="2"/>
  <c r="MI113" i="2"/>
  <c r="ME116" i="2"/>
  <c r="MB116" i="2"/>
  <c r="ME97" i="2"/>
  <c r="MB97" i="2"/>
  <c r="MG122" i="2"/>
  <c r="MK100" i="2"/>
  <c r="ME110" i="2"/>
  <c r="MM110" i="2" s="1" a="1"/>
  <c r="MB110" i="2"/>
  <c r="MG96" i="2"/>
  <c r="MH114" i="2"/>
  <c r="MK92" i="2"/>
  <c r="ML115" i="2"/>
  <c r="MH112" i="2"/>
  <c r="MH102" i="2"/>
  <c r="MG121" i="2"/>
  <c r="MG95" i="2"/>
  <c r="MJ88" i="2"/>
  <c r="MJ85" i="2"/>
  <c r="MK77" i="2"/>
  <c r="LW106" i="2"/>
  <c r="LX106" i="2" s="1"/>
  <c r="MH94" i="2"/>
  <c r="MG91" i="2"/>
  <c r="ME103" i="2"/>
  <c r="MB103" i="2"/>
  <c r="MK99" i="2"/>
  <c r="MK84" i="2"/>
  <c r="MJ86" i="2"/>
  <c r="MG82" i="2"/>
  <c r="MH82" i="2"/>
  <c r="MH78" i="2"/>
  <c r="ME104" i="2"/>
  <c r="MB104" i="2"/>
  <c r="MF96" i="2"/>
  <c r="LW70" i="2"/>
  <c r="LX70" i="2" s="1"/>
  <c r="MK65" i="2"/>
  <c r="MF63" i="2"/>
  <c r="MI66" i="2"/>
  <c r="MF64" i="2"/>
  <c r="MH62" i="2"/>
  <c r="MK57" i="2"/>
  <c r="MG53" i="2"/>
  <c r="MB42" i="2"/>
  <c r="ME42" i="2"/>
  <c r="MF60" i="2"/>
  <c r="MB61" i="2"/>
  <c r="MG52" i="2"/>
  <c r="MI24" i="2"/>
  <c r="MI19" i="2"/>
  <c r="MK32" i="2"/>
  <c r="MK30" i="2"/>
  <c r="MF23" i="2"/>
  <c r="MK26" i="2"/>
  <c r="ME27" i="2"/>
  <c r="MB27" i="2"/>
  <c r="LW48" i="2"/>
  <c r="LX48" i="2" s="1"/>
  <c r="MJ40" i="2"/>
  <c r="MG11" i="2"/>
  <c r="MB13" i="2"/>
  <c r="ME13" i="2"/>
  <c r="MB18" i="2"/>
  <c r="ME15" i="2"/>
  <c r="MM15" i="2" s="1" a="1"/>
  <c r="MB15" i="2"/>
  <c r="ME14" i="2"/>
  <c r="MB14" i="2"/>
  <c r="ME21" i="2"/>
  <c r="MB21" i="2"/>
  <c r="MK16" i="2"/>
  <c r="MK17" i="2"/>
  <c r="LW10" i="2"/>
  <c r="LX10" i="2" s="1"/>
  <c r="D436" i="24"/>
  <c r="D432" i="24"/>
  <c r="N436" i="24"/>
  <c r="Z433" i="24"/>
  <c r="D434" i="24"/>
  <c r="D435" i="24"/>
  <c r="W437" i="24"/>
  <c r="AB323" i="15"/>
  <c r="T323" i="15"/>
  <c r="CS20" i="42"/>
  <c r="FS47" i="2" s="1"/>
  <c r="CS28" i="42"/>
  <c r="EJ46" i="2" s="1"/>
  <c r="CS175" i="42"/>
  <c r="CS207" i="42"/>
  <c r="CS191" i="42"/>
  <c r="HF127" i="2" s="1"/>
  <c r="CS159" i="42"/>
  <c r="CY106" i="2" s="1"/>
  <c r="CS127" i="42"/>
  <c r="CS252" i="42"/>
  <c r="CS83" i="42"/>
  <c r="CY72" i="2" s="1"/>
  <c r="CS179" i="42"/>
  <c r="BP124" i="2" s="1"/>
  <c r="CS53" i="42"/>
  <c r="CS152" i="42"/>
  <c r="DA109" i="2" s="1"/>
  <c r="CS115" i="42"/>
  <c r="GE90" i="2" s="1"/>
  <c r="CS67" i="42"/>
  <c r="EH66" i="2" s="1"/>
  <c r="CS147" i="42"/>
  <c r="IQ103" i="2" s="1"/>
  <c r="CS131" i="42"/>
  <c r="IQ99" i="2" s="1"/>
  <c r="CS99" i="42"/>
  <c r="BP86" i="2" s="1"/>
  <c r="CS51" i="42"/>
  <c r="BN56" i="2" s="1"/>
  <c r="CS35" i="42"/>
  <c r="CS214" i="42"/>
  <c r="EL138" i="2" s="1"/>
  <c r="CS272" i="42"/>
  <c r="IO224" i="2" s="1"/>
  <c r="CS195" i="42"/>
  <c r="KH128" i="2" s="1"/>
  <c r="CS182" i="42"/>
  <c r="DA125" i="2" s="1"/>
  <c r="CS168" i="42"/>
  <c r="HF116" i="2" s="1"/>
  <c r="CS143" i="42"/>
  <c r="EH102" i="2" s="1"/>
  <c r="CS138" i="42"/>
  <c r="IS103" i="2" s="1"/>
  <c r="CS69" i="42"/>
  <c r="EH69" i="2" s="1"/>
  <c r="CS62" i="42"/>
  <c r="DA62" i="2" s="1"/>
  <c r="CS55" i="42"/>
  <c r="BP57" i="2" s="1"/>
  <c r="CS44" i="42"/>
  <c r="CW58" i="2" s="1"/>
  <c r="CS36" i="42"/>
  <c r="CY53" i="2" s="1"/>
  <c r="CS32" i="42"/>
  <c r="CS25" i="42"/>
  <c r="FU48" i="2" s="1"/>
  <c r="CS247" i="42"/>
  <c r="CW212" i="2" s="1"/>
  <c r="CS212" i="42"/>
  <c r="EJ136" i="2" s="1"/>
  <c r="CS205" i="42"/>
  <c r="CS145" i="42"/>
  <c r="DC101" i="2" s="1"/>
  <c r="CS122" i="42"/>
  <c r="GA90" i="2" s="1"/>
  <c r="CS46" i="42"/>
  <c r="BR57" i="2" s="1"/>
  <c r="CS196" i="42"/>
  <c r="KF128" i="2" s="1"/>
  <c r="CS189" i="42"/>
  <c r="BP126" i="2" s="1"/>
  <c r="CS150" i="42"/>
  <c r="DA106" i="2" s="1"/>
  <c r="CS136" i="42"/>
  <c r="EH101" i="2" s="1"/>
  <c r="CS129" i="42"/>
  <c r="IQ98" i="2" s="1"/>
  <c r="CS111" i="42"/>
  <c r="CS106" i="42"/>
  <c r="FU90" i="2" s="1"/>
  <c r="CS37" i="42"/>
  <c r="BL53" i="2" s="1"/>
  <c r="CS30" i="42"/>
  <c r="GA47" i="2" s="1"/>
  <c r="CS23" i="42"/>
  <c r="EH46" i="2" s="1"/>
  <c r="CS166" i="42"/>
  <c r="IO112" i="2" s="1"/>
  <c r="CS39" i="42"/>
  <c r="AA54" i="2" s="1"/>
  <c r="CS253" i="42"/>
  <c r="BN213" i="2" s="1"/>
  <c r="CS210" i="42"/>
  <c r="EH136" i="2" s="1"/>
  <c r="CS203" i="42"/>
  <c r="CS180" i="42"/>
  <c r="EH124" i="2" s="1"/>
  <c r="CS173" i="42"/>
  <c r="DA115" i="2" s="1"/>
  <c r="CS134" i="42"/>
  <c r="IW99" i="2" s="1"/>
  <c r="CS120" i="42"/>
  <c r="CS113" i="42"/>
  <c r="DA95" i="2" s="1"/>
  <c r="CS95" i="42"/>
  <c r="CS90" i="42"/>
  <c r="CS21" i="42"/>
  <c r="DE95" i="2" s="1"/>
  <c r="CS217" i="42"/>
  <c r="CS208" i="42"/>
  <c r="CS194" i="42"/>
  <c r="HD127" i="2" s="1"/>
  <c r="CS187" i="42"/>
  <c r="CW125" i="2" s="1"/>
  <c r="CS164" i="42"/>
  <c r="EJ109" i="2" s="1"/>
  <c r="CS157" i="42"/>
  <c r="AA132" i="2" s="1"/>
  <c r="CS118" i="42"/>
  <c r="CS104" i="42"/>
  <c r="HH87" i="2" s="1"/>
  <c r="CS97" i="42"/>
  <c r="CS79" i="42"/>
  <c r="EH70" i="2" s="1"/>
  <c r="CS74" i="42"/>
  <c r="EL69" i="2" s="1"/>
  <c r="CS201" i="42"/>
  <c r="EJ130" i="2" s="1"/>
  <c r="CS192" i="42"/>
  <c r="FS127" i="2" s="1"/>
  <c r="CS178" i="42"/>
  <c r="BR124" i="2" s="1"/>
  <c r="CS171" i="42"/>
  <c r="CW115" i="2" s="1"/>
  <c r="CS148" i="42"/>
  <c r="IO103" i="2" s="1"/>
  <c r="CS141" i="42"/>
  <c r="CS102" i="42"/>
  <c r="BT86" i="2" s="1"/>
  <c r="CS88" i="42"/>
  <c r="DA74" i="2" s="1"/>
  <c r="CS81" i="42"/>
  <c r="CY74" i="2" s="1"/>
  <c r="CS63" i="42"/>
  <c r="CS58" i="42"/>
  <c r="CY58" i="2" s="1"/>
  <c r="CS72" i="42"/>
  <c r="CS65" i="42"/>
  <c r="EJ68" i="2" s="1"/>
  <c r="CS47" i="42"/>
  <c r="AC54" i="2" s="1"/>
  <c r="CS42" i="42"/>
  <c r="DE53" i="2" s="1"/>
  <c r="CS125" i="42"/>
  <c r="CS86" i="42"/>
  <c r="BN91" i="2" s="1"/>
  <c r="CS213" i="42"/>
  <c r="EH138" i="2" s="1"/>
  <c r="CS206" i="42"/>
  <c r="CS199" i="42"/>
  <c r="JZ128" i="2" s="1"/>
  <c r="CS188" i="42"/>
  <c r="DC125" i="2" s="1"/>
  <c r="CS169" i="42"/>
  <c r="HD116" i="2" s="1"/>
  <c r="CS160" i="42"/>
  <c r="CW107" i="2" s="1"/>
  <c r="CS139" i="42"/>
  <c r="CS116" i="42"/>
  <c r="KD90" i="2" s="1"/>
  <c r="CS109" i="42"/>
  <c r="FW90" i="2" s="1"/>
  <c r="CS70" i="42"/>
  <c r="EL66" i="2" s="1"/>
  <c r="CS56" i="42"/>
  <c r="CS49" i="42"/>
  <c r="CS31" i="42"/>
  <c r="FS48" i="2" s="1"/>
  <c r="CS26" i="42"/>
  <c r="CW50" i="2" s="1"/>
  <c r="CS197" i="42"/>
  <c r="KD128" i="2" s="1"/>
  <c r="CS190" i="42"/>
  <c r="EH125" i="2" s="1"/>
  <c r="CS183" i="42"/>
  <c r="CY124" i="2" s="1"/>
  <c r="CS172" i="42"/>
  <c r="CS153" i="42"/>
  <c r="BN112" i="2" s="1"/>
  <c r="CS146" i="42"/>
  <c r="EL102" i="2" s="1"/>
  <c r="CS123" i="42"/>
  <c r="CS93" i="42"/>
  <c r="BL83" i="2" s="1"/>
  <c r="CS54" i="42"/>
  <c r="BT56" i="2" s="1"/>
  <c r="CS40" i="42"/>
  <c r="DC53" i="2" s="1"/>
  <c r="CS33" i="42"/>
  <c r="CS215" i="42"/>
  <c r="CS185" i="42"/>
  <c r="CS176" i="42"/>
  <c r="CS155" i="42"/>
  <c r="IQ112" i="2" s="1"/>
  <c r="CS216" i="42"/>
  <c r="CS181" i="42"/>
  <c r="CW124" i="2" s="1"/>
  <c r="CS174" i="42"/>
  <c r="CS167" i="42"/>
  <c r="BL112" i="2" s="1"/>
  <c r="CS156" i="42"/>
  <c r="EH109" i="2" s="1"/>
  <c r="CS144" i="42"/>
  <c r="CY101" i="2" s="1"/>
  <c r="CS137" i="42"/>
  <c r="EJ102" i="2" s="1"/>
  <c r="CS130" i="42"/>
  <c r="IW98" i="2" s="1"/>
  <c r="CS107" i="42"/>
  <c r="KF90" i="2" s="1"/>
  <c r="CS77" i="42"/>
  <c r="CS75" i="42"/>
  <c r="EJ71" i="2" s="1"/>
  <c r="CS38" i="42"/>
  <c r="DA53" i="2" s="1"/>
  <c r="CS24" i="42"/>
  <c r="FY47" i="2" s="1"/>
  <c r="CS162" i="42"/>
  <c r="DA107" i="2" s="1"/>
  <c r="CS165" i="42"/>
  <c r="CS158" i="42"/>
  <c r="CW106" i="2" s="1"/>
  <c r="CS151" i="42"/>
  <c r="BP107" i="2" s="1"/>
  <c r="CS140" i="42"/>
  <c r="DA101" i="2" s="1"/>
  <c r="CS128" i="42"/>
  <c r="CS121" i="42"/>
  <c r="CS114" i="42"/>
  <c r="CW95" i="2" s="1"/>
  <c r="CS91" i="42"/>
  <c r="CS61" i="42"/>
  <c r="CS22" i="42"/>
  <c r="BL46" i="2" s="1"/>
  <c r="CS204" i="42"/>
  <c r="CS163" i="42"/>
  <c r="DC107" i="2" s="1"/>
  <c r="CS132" i="42"/>
  <c r="IO99" i="2" s="1"/>
  <c r="CS237" i="42"/>
  <c r="EH208" i="2" s="1"/>
  <c r="CS218" i="42"/>
  <c r="BL202" i="2" s="1"/>
  <c r="CS149" i="42"/>
  <c r="EH104" i="2" s="1"/>
  <c r="CS142" i="42"/>
  <c r="CS135" i="42"/>
  <c r="CW101" i="2" s="1"/>
  <c r="CS124" i="42"/>
  <c r="CS112" i="42"/>
  <c r="CS105" i="42"/>
  <c r="FS90" i="2" s="1"/>
  <c r="CS98" i="42"/>
  <c r="BN86" i="2" s="1"/>
  <c r="CS80" i="42"/>
  <c r="CW72" i="2" s="1"/>
  <c r="CS59" i="42"/>
  <c r="DC58" i="2" s="1"/>
  <c r="CS45" i="42"/>
  <c r="DG53" i="2" s="1"/>
  <c r="CS133" i="42"/>
  <c r="IU99" i="2" s="1"/>
  <c r="CS126" i="42"/>
  <c r="IO98" i="2" s="1"/>
  <c r="CS119" i="42"/>
  <c r="CS108" i="42"/>
  <c r="CY95" i="2" s="1"/>
  <c r="CS100" i="42"/>
  <c r="BR86" i="2" s="1"/>
  <c r="CS96" i="42"/>
  <c r="CS89" i="42"/>
  <c r="CS82" i="42"/>
  <c r="CS43" i="42"/>
  <c r="BV56" i="2" s="1"/>
  <c r="CS29" i="42"/>
  <c r="FW46" i="2" s="1"/>
  <c r="CS209" i="42"/>
  <c r="CW134" i="2" s="1"/>
  <c r="CS202" i="42"/>
  <c r="CS193" i="42"/>
  <c r="HH127" i="2" s="1"/>
  <c r="CS186" i="42"/>
  <c r="BN125" i="2" s="1"/>
  <c r="CS117" i="42"/>
  <c r="CS110" i="42"/>
  <c r="FY90" i="2" s="1"/>
  <c r="CS103" i="42"/>
  <c r="BL86" i="2" s="1"/>
  <c r="CS92" i="42"/>
  <c r="CS84" i="42"/>
  <c r="CY109" i="2" s="1"/>
  <c r="CS73" i="42"/>
  <c r="HF87" i="2" s="1"/>
  <c r="CS66" i="42"/>
  <c r="EL68" i="2" s="1"/>
  <c r="CS200" i="42"/>
  <c r="EH130" i="2" s="1"/>
  <c r="CS177" i="42"/>
  <c r="CS170" i="42"/>
  <c r="CY115" i="2" s="1"/>
  <c r="CS101" i="42"/>
  <c r="BV86" i="2" s="1"/>
  <c r="CS94" i="42"/>
  <c r="AA68" i="2" s="1"/>
  <c r="CS87" i="42"/>
  <c r="CW74" i="2" s="1"/>
  <c r="CS76" i="42"/>
  <c r="EL71" i="2" s="1"/>
  <c r="CS68" i="42"/>
  <c r="EJ66" i="2" s="1"/>
  <c r="CS64" i="42"/>
  <c r="CS57" i="42"/>
  <c r="DA58" i="2" s="1"/>
  <c r="CS50" i="42"/>
  <c r="CW55" i="2" s="1"/>
  <c r="CS27" i="42"/>
  <c r="IO50" i="2" s="1"/>
  <c r="CS211" i="42"/>
  <c r="EL136" i="2" s="1"/>
  <c r="CS198" i="42"/>
  <c r="KB128" i="2" s="1"/>
  <c r="CS184" i="42"/>
  <c r="CY125" i="2" s="1"/>
  <c r="CS161" i="42"/>
  <c r="CY107" i="2" s="1"/>
  <c r="CS154" i="42"/>
  <c r="BN106" i="2" s="1"/>
  <c r="CS85" i="42"/>
  <c r="CS78" i="42"/>
  <c r="CY70" i="2" s="1"/>
  <c r="CS71" i="42"/>
  <c r="EJ69" i="2" s="1"/>
  <c r="CS60" i="42"/>
  <c r="CY62" i="2" s="1"/>
  <c r="CS52" i="42"/>
  <c r="BL56" i="2" s="1"/>
  <c r="CS48" i="42"/>
  <c r="HD55" i="2" s="1"/>
  <c r="CS41" i="42"/>
  <c r="CY55" i="2" s="1"/>
  <c r="CS34" i="42"/>
  <c r="IS50" i="2" s="1"/>
  <c r="CS263" i="42"/>
  <c r="CS232" i="42"/>
  <c r="IY206" i="2" s="1"/>
  <c r="CS227" i="42"/>
  <c r="IU205" i="2" s="1"/>
  <c r="CS255" i="42"/>
  <c r="BN214" i="2" s="1"/>
  <c r="CS241" i="42"/>
  <c r="DC208" i="2" s="1"/>
  <c r="CS262" i="42"/>
  <c r="CS256" i="42"/>
  <c r="EH217" i="2" s="1"/>
  <c r="CS225" i="42"/>
  <c r="CY221" i="2" s="1"/>
  <c r="CS231" i="42"/>
  <c r="IW206" i="2" s="1"/>
  <c r="CS271" i="42"/>
  <c r="IO226" i="2" s="1"/>
  <c r="CS267" i="42"/>
  <c r="CS239" i="42"/>
  <c r="CW209" i="2" s="1"/>
  <c r="CS251" i="42"/>
  <c r="CY212" i="2" s="1"/>
  <c r="CS246" i="42"/>
  <c r="DA211" i="2" s="1"/>
  <c r="CS244" i="42"/>
  <c r="CY211" i="2" s="1"/>
  <c r="CS223" i="42"/>
  <c r="HH205" i="2" s="1"/>
  <c r="CS230" i="42"/>
  <c r="IU206" i="2" s="1"/>
  <c r="CS228" i="42"/>
  <c r="IW205" i="2" s="1"/>
  <c r="CS265" i="42"/>
  <c r="CS258" i="42"/>
  <c r="BN215" i="2" s="1"/>
  <c r="CS235" i="42"/>
  <c r="CS274" i="42"/>
  <c r="IS226" i="2" s="1"/>
  <c r="CS249" i="42"/>
  <c r="DA212" i="2" s="1"/>
  <c r="CS224" i="42"/>
  <c r="IO205" i="2" s="1"/>
  <c r="CS242" i="42"/>
  <c r="FU209" i="2" s="1"/>
  <c r="CS240" i="42"/>
  <c r="EH209" i="2" s="1"/>
  <c r="CS226" i="42"/>
  <c r="IS205" i="2" s="1"/>
  <c r="CS270" i="42"/>
  <c r="IQ223" i="2" s="1"/>
  <c r="CS254" i="42"/>
  <c r="BL214" i="2" s="1"/>
  <c r="CS266" i="42"/>
  <c r="IU234" i="2" s="1"/>
  <c r="CS233" i="42"/>
  <c r="CS269" i="42"/>
  <c r="CS261" i="42"/>
  <c r="CS250" i="42"/>
  <c r="FY209" i="2" s="1"/>
  <c r="CS238" i="42"/>
  <c r="DC209" i="2" s="1"/>
  <c r="CS268" i="42"/>
  <c r="CS222" i="42"/>
  <c r="IQ205" i="2" s="1"/>
  <c r="CS259" i="42"/>
  <c r="HD212" i="2" s="1"/>
  <c r="CS245" i="42"/>
  <c r="BP211" i="2" s="1"/>
  <c r="CS234" i="42"/>
  <c r="FS209" i="2" s="1"/>
  <c r="CS229" i="42"/>
  <c r="IS206" i="2" s="1"/>
  <c r="CS264" i="42"/>
  <c r="BL229" i="2" s="1"/>
  <c r="CS273" i="42"/>
  <c r="IQ226" i="2" s="1"/>
  <c r="CS248" i="42"/>
  <c r="FW209" i="2" s="1"/>
  <c r="CS260" i="42"/>
  <c r="CS257" i="42"/>
  <c r="BL215" i="2" s="1"/>
  <c r="CS243" i="42"/>
  <c r="BN211" i="2" s="1"/>
  <c r="CS236" i="42"/>
  <c r="CW208" i="2" s="1"/>
  <c r="GL384" i="2" l="1"/>
  <c r="MO302" i="2"/>
  <c r="CC27" i="2"/>
  <c r="CE27" i="2" s="1"/>
  <c r="N437" i="24"/>
  <c r="C530" i="24" s="1"/>
  <c r="JF384" i="2"/>
  <c r="MM150" i="2"/>
  <c r="HU90" i="2"/>
  <c r="HW90" i="2" s="1"/>
  <c r="DN355" i="2"/>
  <c r="DP355" i="2" s="1"/>
  <c r="GJ355" i="2"/>
  <c r="GL355" i="2" s="1"/>
  <c r="HU355" i="2"/>
  <c r="HW355" i="2" s="1"/>
  <c r="CC355" i="2"/>
  <c r="CE355" i="2" s="1"/>
  <c r="DN72" i="2"/>
  <c r="DP72" i="2" s="1"/>
  <c r="CC211" i="2"/>
  <c r="CE211" i="2" s="1"/>
  <c r="EY136" i="2"/>
  <c r="FA136" i="2" s="1"/>
  <c r="BL208" i="2"/>
  <c r="BN218" i="2"/>
  <c r="EJ202" i="2"/>
  <c r="BN217" i="2"/>
  <c r="DC134" i="2"/>
  <c r="EH131" i="2"/>
  <c r="BL219" i="2"/>
  <c r="BN212" i="2"/>
  <c r="BN138" i="2"/>
  <c r="BP134" i="2"/>
  <c r="BN119" i="2"/>
  <c r="CY120" i="2"/>
  <c r="BL131" i="2"/>
  <c r="CW105" i="2"/>
  <c r="HD104" i="2"/>
  <c r="CW104" i="2"/>
  <c r="BP105" i="2"/>
  <c r="HD102" i="2"/>
  <c r="HD100" i="2"/>
  <c r="FS103" i="2"/>
  <c r="EJ98" i="2"/>
  <c r="BP101" i="2"/>
  <c r="HD98" i="2"/>
  <c r="FS101" i="2"/>
  <c r="EN102" i="2"/>
  <c r="BL98" i="2"/>
  <c r="DC106" i="2"/>
  <c r="EH100" i="2"/>
  <c r="AM377" i="2"/>
  <c r="IO115" i="2"/>
  <c r="HD92" i="2"/>
  <c r="AG93" i="2"/>
  <c r="DC95" i="2"/>
  <c r="DN95" i="2" s="1"/>
  <c r="DP95" i="2" s="1"/>
  <c r="JZ90" i="2"/>
  <c r="CY377" i="2"/>
  <c r="HD97" i="2"/>
  <c r="HF91" i="2"/>
  <c r="IO94" i="2"/>
  <c r="JF94" i="2" s="1"/>
  <c r="JH94" i="2" s="1"/>
  <c r="HD95" i="2"/>
  <c r="HU95" i="2" s="1"/>
  <c r="HW95" i="2" s="1"/>
  <c r="FS97" i="2"/>
  <c r="FS96" i="2"/>
  <c r="BR91" i="2"/>
  <c r="JF205" i="2"/>
  <c r="EL118" i="2"/>
  <c r="EL113" i="2"/>
  <c r="EJ115" i="2"/>
  <c r="BL104" i="2"/>
  <c r="IO116" i="2"/>
  <c r="BN101" i="2"/>
  <c r="FS114" i="2"/>
  <c r="BP113" i="2"/>
  <c r="BL116" i="2"/>
  <c r="FS113" i="2"/>
  <c r="AA112" i="2"/>
  <c r="AA115" i="2"/>
  <c r="AA108" i="2"/>
  <c r="AA107" i="2"/>
  <c r="AA105" i="2"/>
  <c r="AA104" i="2"/>
  <c r="AA103" i="2"/>
  <c r="AA102" i="2"/>
  <c r="AA118" i="2"/>
  <c r="AA99" i="2"/>
  <c r="AA116" i="2"/>
  <c r="AA111" i="2"/>
  <c r="AA119" i="2"/>
  <c r="FS95" i="2"/>
  <c r="GJ95" i="2" s="1"/>
  <c r="GL95" i="2" s="1"/>
  <c r="FU94" i="2"/>
  <c r="CY94" i="2"/>
  <c r="CY92" i="2"/>
  <c r="AA93" i="2"/>
  <c r="BN97" i="2"/>
  <c r="BL91" i="2"/>
  <c r="EH96" i="2"/>
  <c r="CY91" i="2"/>
  <c r="EJ201" i="2"/>
  <c r="IO201" i="2"/>
  <c r="CY202" i="2"/>
  <c r="HD218" i="2"/>
  <c r="BL129" i="2"/>
  <c r="CY128" i="2"/>
  <c r="BL124" i="2"/>
  <c r="EL126" i="2"/>
  <c r="AC133" i="2"/>
  <c r="CW126" i="2"/>
  <c r="BN133" i="2"/>
  <c r="FW230" i="2"/>
  <c r="EL230" i="2"/>
  <c r="CY230" i="2"/>
  <c r="FS223" i="2"/>
  <c r="BN230" i="2"/>
  <c r="EH227" i="2"/>
  <c r="EH226" i="2"/>
  <c r="FW134" i="2"/>
  <c r="BN117" i="2"/>
  <c r="AE135" i="2"/>
  <c r="EJ236" i="2"/>
  <c r="EH231" i="2"/>
  <c r="FS238" i="2"/>
  <c r="FW235" i="2"/>
  <c r="DA230" i="2"/>
  <c r="IO227" i="2"/>
  <c r="CY237" i="2"/>
  <c r="BN240" i="2"/>
  <c r="BL239" i="2"/>
  <c r="EJ232" i="2"/>
  <c r="EH234" i="2"/>
  <c r="CW232" i="2"/>
  <c r="BL128" i="2"/>
  <c r="CW128" i="2"/>
  <c r="AA130" i="2"/>
  <c r="AE129" i="2"/>
  <c r="AA136" i="2"/>
  <c r="IQ227" i="2"/>
  <c r="BL224" i="2"/>
  <c r="BL223" i="2"/>
  <c r="BL222" i="2"/>
  <c r="CY100" i="2"/>
  <c r="BN96" i="2"/>
  <c r="AA98" i="2"/>
  <c r="AA97" i="2"/>
  <c r="AA101" i="2"/>
  <c r="BN201" i="2"/>
  <c r="CW202" i="2"/>
  <c r="CW130" i="2"/>
  <c r="BR129" i="2"/>
  <c r="AA134" i="2"/>
  <c r="CW203" i="2"/>
  <c r="AR132" i="2"/>
  <c r="AT132" i="2" s="1"/>
  <c r="LY132" i="2" s="1"/>
  <c r="BL67" i="2"/>
  <c r="CY67" i="2"/>
  <c r="BL121" i="2"/>
  <c r="BL119" i="2"/>
  <c r="EH122" i="2"/>
  <c r="FS126" i="2"/>
  <c r="EJ138" i="2"/>
  <c r="DA128" i="2"/>
  <c r="FS125" i="2"/>
  <c r="CW123" i="2"/>
  <c r="BL123" i="2"/>
  <c r="FS136" i="2"/>
  <c r="FS134" i="2"/>
  <c r="BL136" i="2"/>
  <c r="CY136" i="2"/>
  <c r="FS131" i="2"/>
  <c r="BL134" i="2"/>
  <c r="FS130" i="2"/>
  <c r="CY134" i="2"/>
  <c r="AA135" i="2"/>
  <c r="EH201" i="2"/>
  <c r="IO206" i="2"/>
  <c r="JF206" i="2" s="1"/>
  <c r="JH206" i="2" s="1"/>
  <c r="EH202" i="2"/>
  <c r="CW214" i="2"/>
  <c r="BN219" i="2"/>
  <c r="EH377" i="2"/>
  <c r="CW213" i="2"/>
  <c r="DN213" i="2" s="1"/>
  <c r="DP213" i="2" s="1"/>
  <c r="BL206" i="2"/>
  <c r="CW210" i="2"/>
  <c r="BP207" i="2"/>
  <c r="BL203" i="2"/>
  <c r="BP205" i="2"/>
  <c r="EH212" i="2"/>
  <c r="CW207" i="2"/>
  <c r="DN207" i="2" s="1"/>
  <c r="DP207" i="2" s="1"/>
  <c r="FY210" i="2"/>
  <c r="CY206" i="2"/>
  <c r="CW204" i="2"/>
  <c r="FS217" i="2"/>
  <c r="HH213" i="2"/>
  <c r="EH207" i="2"/>
  <c r="EH206" i="2"/>
  <c r="BR212" i="2"/>
  <c r="BP214" i="2"/>
  <c r="CC214" i="2" s="1"/>
  <c r="CE214" i="2" s="1"/>
  <c r="CW215" i="2"/>
  <c r="EH81" i="2"/>
  <c r="DC70" i="2"/>
  <c r="CW82" i="2"/>
  <c r="EH78" i="2"/>
  <c r="EH76" i="2"/>
  <c r="FS69" i="2"/>
  <c r="EH75" i="2"/>
  <c r="CW76" i="2"/>
  <c r="FS68" i="2"/>
  <c r="BN69" i="2"/>
  <c r="FS67" i="2"/>
  <c r="EH73" i="2"/>
  <c r="EH72" i="2"/>
  <c r="EJ64" i="2"/>
  <c r="BP82" i="2"/>
  <c r="CW66" i="2"/>
  <c r="BP80" i="2"/>
  <c r="CW65" i="2"/>
  <c r="BL78" i="2"/>
  <c r="BL127" i="2"/>
  <c r="IO131" i="2"/>
  <c r="HD128" i="2"/>
  <c r="HD109" i="2"/>
  <c r="HD107" i="2"/>
  <c r="HD124" i="2"/>
  <c r="EH115" i="2"/>
  <c r="CW122" i="2"/>
  <c r="BP123" i="2"/>
  <c r="FU106" i="2"/>
  <c r="FS122" i="2"/>
  <c r="DA124" i="2"/>
  <c r="DN124" i="2" s="1"/>
  <c r="DP124" i="2" s="1"/>
  <c r="CY126" i="2"/>
  <c r="BN124" i="2"/>
  <c r="BL108" i="2"/>
  <c r="HD120" i="2"/>
  <c r="CW117" i="2"/>
  <c r="BL122" i="2"/>
  <c r="CW116" i="2"/>
  <c r="HD115" i="2"/>
  <c r="FS117" i="2"/>
  <c r="EH108" i="2"/>
  <c r="BP117" i="2"/>
  <c r="FS116" i="2"/>
  <c r="EH123" i="2"/>
  <c r="CY118" i="2"/>
  <c r="CW127" i="2"/>
  <c r="CW110" i="2"/>
  <c r="BP112" i="2"/>
  <c r="CC112" i="2" s="1"/>
  <c r="CE112" i="2" s="1"/>
  <c r="EH119" i="2"/>
  <c r="EJ124" i="2"/>
  <c r="JA376" i="2"/>
  <c r="EJ65" i="2"/>
  <c r="CW64" i="2"/>
  <c r="DA67" i="2"/>
  <c r="BL84" i="2"/>
  <c r="BN81" i="2"/>
  <c r="CY88" i="2"/>
  <c r="FS76" i="2"/>
  <c r="CW80" i="2"/>
  <c r="CW79" i="2"/>
  <c r="CW78" i="2"/>
  <c r="HD86" i="2"/>
  <c r="FS88" i="2"/>
  <c r="DA88" i="2"/>
  <c r="CY85" i="2"/>
  <c r="FS85" i="2"/>
  <c r="DA86" i="2"/>
  <c r="FS84" i="2"/>
  <c r="HD79" i="2"/>
  <c r="FS81" i="2"/>
  <c r="HD77" i="2"/>
  <c r="BL79" i="2"/>
  <c r="CW90" i="2"/>
  <c r="EH83" i="2"/>
  <c r="CW89" i="2"/>
  <c r="EH82" i="2"/>
  <c r="BN92" i="2"/>
  <c r="CC92" i="2" s="1"/>
  <c r="CE92" i="2" s="1"/>
  <c r="HF134" i="2"/>
  <c r="CW138" i="2"/>
  <c r="EJ134" i="2"/>
  <c r="DC211" i="2"/>
  <c r="DN211" i="2" s="1"/>
  <c r="DP211" i="2" s="1"/>
  <c r="CW222" i="2"/>
  <c r="IS207" i="2"/>
  <c r="DA377" i="2"/>
  <c r="DA134" i="2"/>
  <c r="CY218" i="2"/>
  <c r="BN126" i="2"/>
  <c r="CW120" i="2"/>
  <c r="BP121" i="2"/>
  <c r="AA126" i="2"/>
  <c r="AA125" i="2"/>
  <c r="AA124" i="2"/>
  <c r="AA123" i="2"/>
  <c r="AA122" i="2"/>
  <c r="AA121" i="2"/>
  <c r="AA120" i="2"/>
  <c r="AA128" i="2"/>
  <c r="CW53" i="2"/>
  <c r="DN53" i="2" s="1"/>
  <c r="DP53" i="2" s="1"/>
  <c r="CW52" i="2"/>
  <c r="DA66" i="2"/>
  <c r="BL62" i="2"/>
  <c r="CY63" i="2"/>
  <c r="BL59" i="2"/>
  <c r="EH60" i="2"/>
  <c r="CY57" i="2"/>
  <c r="AA53" i="2"/>
  <c r="AA52" i="2"/>
  <c r="AA66" i="2"/>
  <c r="AA65" i="2"/>
  <c r="AA64" i="2"/>
  <c r="AA60" i="2"/>
  <c r="AR60" i="2" s="1"/>
  <c r="AT60" i="2" s="1"/>
  <c r="AA61" i="2"/>
  <c r="AA59" i="2"/>
  <c r="AA56" i="2"/>
  <c r="AA57" i="2"/>
  <c r="EH67" i="2"/>
  <c r="IS119" i="2"/>
  <c r="IO126" i="2"/>
  <c r="EH134" i="2"/>
  <c r="BL126" i="2"/>
  <c r="HD122" i="2"/>
  <c r="CW121" i="2"/>
  <c r="IO122" i="2"/>
  <c r="BN123" i="2"/>
  <c r="IQ124" i="2"/>
  <c r="IO121" i="2"/>
  <c r="HD119" i="2"/>
  <c r="HU119" i="2" s="1"/>
  <c r="HW119" i="2" s="1"/>
  <c r="BN121" i="2"/>
  <c r="EH127" i="2"/>
  <c r="BL120" i="2"/>
  <c r="AO377" i="2"/>
  <c r="EJ126" i="2"/>
  <c r="EH120" i="2"/>
  <c r="CC53" i="2"/>
  <c r="CE53" i="2" s="1"/>
  <c r="BL218" i="2"/>
  <c r="BL138" i="2"/>
  <c r="HH214" i="2"/>
  <c r="CW219" i="2"/>
  <c r="BL212" i="2"/>
  <c r="BL221" i="2"/>
  <c r="CW227" i="2"/>
  <c r="BN231" i="2"/>
  <c r="DE233" i="2"/>
  <c r="EH225" i="2"/>
  <c r="EH224" i="2"/>
  <c r="EH223" i="2"/>
  <c r="AC233" i="2"/>
  <c r="BN229" i="2"/>
  <c r="CC229" i="2" s="1"/>
  <c r="CE229" i="2" s="1"/>
  <c r="BR206" i="2"/>
  <c r="IO203" i="2"/>
  <c r="HF213" i="2"/>
  <c r="HD206" i="2"/>
  <c r="CY208" i="2"/>
  <c r="IQ203" i="2"/>
  <c r="HD205" i="2"/>
  <c r="CW206" i="2"/>
  <c r="HD202" i="2"/>
  <c r="EJ208" i="2"/>
  <c r="EY208" i="2" s="1"/>
  <c r="FS213" i="2"/>
  <c r="GJ213" i="2" s="1"/>
  <c r="GL213" i="2" s="1"/>
  <c r="EH117" i="2"/>
  <c r="FS109" i="2"/>
  <c r="EH116" i="2"/>
  <c r="EH95" i="2"/>
  <c r="EY95" i="2" s="1"/>
  <c r="FA95" i="2" s="1"/>
  <c r="EJ104" i="2"/>
  <c r="BR109" i="2"/>
  <c r="EH114" i="2"/>
  <c r="FS121" i="2"/>
  <c r="EJ101" i="2"/>
  <c r="EH112" i="2"/>
  <c r="DA121" i="2"/>
  <c r="FS102" i="2"/>
  <c r="EJ113" i="2"/>
  <c r="CW97" i="2"/>
  <c r="FS100" i="2"/>
  <c r="CY103" i="2"/>
  <c r="BL118" i="2"/>
  <c r="CW377" i="2"/>
  <c r="FS115" i="2"/>
  <c r="EH103" i="2"/>
  <c r="FS98" i="2"/>
  <c r="BL114" i="2"/>
  <c r="CW109" i="2"/>
  <c r="BP94" i="2"/>
  <c r="EH105" i="2"/>
  <c r="CW96" i="2"/>
  <c r="HF103" i="2"/>
  <c r="HD105" i="2"/>
  <c r="IS99" i="2"/>
  <c r="JF99" i="2" s="1"/>
  <c r="CW103" i="2"/>
  <c r="IO104" i="2"/>
  <c r="HD101" i="2"/>
  <c r="BL105" i="2"/>
  <c r="IO102" i="2"/>
  <c r="CW98" i="2"/>
  <c r="AC105" i="2"/>
  <c r="IO100" i="2"/>
  <c r="BL100" i="2"/>
  <c r="AK377" i="2"/>
  <c r="EH106" i="2"/>
  <c r="EY106" i="2" s="1"/>
  <c r="FA106" i="2" s="1"/>
  <c r="EH118" i="2"/>
  <c r="HD126" i="2"/>
  <c r="EJ122" i="2"/>
  <c r="BN128" i="2"/>
  <c r="HD125" i="2"/>
  <c r="FU125" i="2"/>
  <c r="BN127" i="2"/>
  <c r="IO125" i="2"/>
  <c r="FS124" i="2"/>
  <c r="IO124" i="2"/>
  <c r="FS123" i="2"/>
  <c r="BL125" i="2"/>
  <c r="HD121" i="2"/>
  <c r="FW127" i="2"/>
  <c r="FS120" i="2"/>
  <c r="IO120" i="2"/>
  <c r="CY123" i="2"/>
  <c r="AA127" i="2"/>
  <c r="HF128" i="2"/>
  <c r="BN129" i="2"/>
  <c r="HD131" i="2"/>
  <c r="HD130" i="2"/>
  <c r="BL133" i="2"/>
  <c r="AA129" i="2"/>
  <c r="FS128" i="2"/>
  <c r="IO130" i="2"/>
  <c r="AA133" i="2"/>
  <c r="FS138" i="2"/>
  <c r="HD134" i="2"/>
  <c r="CY138" i="2"/>
  <c r="IO58" i="2"/>
  <c r="IQ62" i="2"/>
  <c r="HD62" i="2"/>
  <c r="IO67" i="2"/>
  <c r="HD57" i="2"/>
  <c r="IO66" i="2"/>
  <c r="HD56" i="2"/>
  <c r="HD59" i="2"/>
  <c r="CY66" i="2"/>
  <c r="IS59" i="2"/>
  <c r="HD58" i="2"/>
  <c r="HU58" i="2" s="1"/>
  <c r="HW58" i="2" s="1"/>
  <c r="HD63" i="2"/>
  <c r="AI93" i="2"/>
  <c r="AA94" i="2"/>
  <c r="BP91" i="2"/>
  <c r="AA91" i="2"/>
  <c r="AA96" i="2"/>
  <c r="HD73" i="2"/>
  <c r="HD72" i="2"/>
  <c r="DA70" i="2"/>
  <c r="IO71" i="2"/>
  <c r="CW71" i="2"/>
  <c r="IO69" i="2"/>
  <c r="CW69" i="2"/>
  <c r="IO68" i="2"/>
  <c r="HD76" i="2"/>
  <c r="HD75" i="2"/>
  <c r="CY76" i="2"/>
  <c r="HD74" i="2"/>
  <c r="FS82" i="2"/>
  <c r="DA138" i="2"/>
  <c r="CY204" i="2"/>
  <c r="BN207" i="2"/>
  <c r="BN205" i="2"/>
  <c r="AA137" i="2"/>
  <c r="IO109" i="2"/>
  <c r="HD106" i="2"/>
  <c r="FS108" i="2"/>
  <c r="IO107" i="2"/>
  <c r="BL109" i="2"/>
  <c r="CW112" i="2"/>
  <c r="HD112" i="2"/>
  <c r="HD110" i="2"/>
  <c r="DA209" i="2"/>
  <c r="DA208" i="2"/>
  <c r="DC212" i="2"/>
  <c r="FS206" i="2"/>
  <c r="FS205" i="2"/>
  <c r="EH210" i="2"/>
  <c r="BN206" i="2"/>
  <c r="BP212" i="2"/>
  <c r="BL205" i="2"/>
  <c r="HD208" i="2"/>
  <c r="DA202" i="2"/>
  <c r="BL201" i="2"/>
  <c r="FS203" i="2"/>
  <c r="IS203" i="2"/>
  <c r="BN202" i="2"/>
  <c r="CW62" i="2"/>
  <c r="FS56" i="2"/>
  <c r="FS55" i="2"/>
  <c r="CY56" i="2"/>
  <c r="BR56" i="2"/>
  <c r="EJ107" i="2"/>
  <c r="BN109" i="2"/>
  <c r="BL107" i="2"/>
  <c r="CY105" i="2"/>
  <c r="FS229" i="2"/>
  <c r="IO221" i="2"/>
  <c r="FS228" i="2"/>
  <c r="HD234" i="2"/>
  <c r="BR222" i="2"/>
  <c r="HF229" i="2"/>
  <c r="CW225" i="2"/>
  <c r="IS227" i="2"/>
  <c r="IO235" i="2"/>
  <c r="IO217" i="2"/>
  <c r="CW224" i="2"/>
  <c r="CW223" i="2"/>
  <c r="HD226" i="2"/>
  <c r="BL234" i="2"/>
  <c r="IQ233" i="2"/>
  <c r="FU230" i="2"/>
  <c r="IO229" i="2"/>
  <c r="HD222" i="2"/>
  <c r="IO228" i="2"/>
  <c r="JF228" i="2" s="1"/>
  <c r="JH228" i="2" s="1"/>
  <c r="BL230" i="2"/>
  <c r="BL228" i="2"/>
  <c r="CY235" i="2"/>
  <c r="IO225" i="2"/>
  <c r="EJ221" i="2"/>
  <c r="CY219" i="2"/>
  <c r="IS223" i="2"/>
  <c r="EJ230" i="2"/>
  <c r="CY234" i="2"/>
  <c r="DA221" i="2"/>
  <c r="CW226" i="2"/>
  <c r="IY231" i="2"/>
  <c r="BL210" i="2"/>
  <c r="BN113" i="2"/>
  <c r="CY112" i="2"/>
  <c r="BL110" i="2"/>
  <c r="AC111" i="2"/>
  <c r="EH110" i="2"/>
  <c r="BP114" i="2"/>
  <c r="BL94" i="2"/>
  <c r="BP116" i="2"/>
  <c r="FU127" i="2"/>
  <c r="BN110" i="2"/>
  <c r="BL103" i="2"/>
  <c r="BL102" i="2"/>
  <c r="BL101" i="2"/>
  <c r="BL117" i="2"/>
  <c r="BL130" i="2"/>
  <c r="EJ90" i="2"/>
  <c r="EH80" i="2"/>
  <c r="HD88" i="2"/>
  <c r="IO81" i="2"/>
  <c r="HD85" i="2"/>
  <c r="CY87" i="2"/>
  <c r="IO79" i="2"/>
  <c r="HD84" i="2"/>
  <c r="BP85" i="2"/>
  <c r="IO77" i="2"/>
  <c r="HD81" i="2"/>
  <c r="EH88" i="2"/>
  <c r="AC88" i="2"/>
  <c r="HD78" i="2"/>
  <c r="BL80" i="2"/>
  <c r="IQ85" i="2"/>
  <c r="EL88" i="2"/>
  <c r="HJ87" i="2"/>
  <c r="HU87" i="2" s="1"/>
  <c r="HW87" i="2" s="1"/>
  <c r="IO86" i="2"/>
  <c r="BZ377" i="2"/>
  <c r="GC90" i="2"/>
  <c r="GJ90" i="2" s="1"/>
  <c r="GL90" i="2" s="1"/>
  <c r="EJ120" i="2"/>
  <c r="CY110" i="2"/>
  <c r="EJ118" i="2"/>
  <c r="BN108" i="2"/>
  <c r="FS119" i="2"/>
  <c r="IQ122" i="2"/>
  <c r="CY121" i="2"/>
  <c r="CW114" i="2"/>
  <c r="CW113" i="2"/>
  <c r="CW118" i="2"/>
  <c r="EL124" i="2"/>
  <c r="EY124" i="2" s="1"/>
  <c r="FA124" i="2" s="1"/>
  <c r="CY117" i="2"/>
  <c r="CW83" i="2"/>
  <c r="EJ88" i="2"/>
  <c r="BL89" i="2"/>
  <c r="EH92" i="2"/>
  <c r="EH91" i="2"/>
  <c r="BP83" i="2"/>
  <c r="CC83" i="2" s="1"/>
  <c r="CE83" i="2" s="1"/>
  <c r="EH85" i="2"/>
  <c r="BN85" i="2"/>
  <c r="FS86" i="2"/>
  <c r="BT91" i="2"/>
  <c r="BL243" i="2"/>
  <c r="BL241" i="2"/>
  <c r="IU226" i="2"/>
  <c r="JF226" i="2" s="1"/>
  <c r="JH226" i="2" s="1"/>
  <c r="BL226" i="2"/>
  <c r="AA249" i="2"/>
  <c r="HF215" i="2"/>
  <c r="HU215" i="2" s="1"/>
  <c r="HW215" i="2" s="1"/>
  <c r="IQ220" i="2"/>
  <c r="BP220" i="2"/>
  <c r="HF220" i="2"/>
  <c r="FS215" i="2"/>
  <c r="FS214" i="2"/>
  <c r="CY217" i="2"/>
  <c r="FU210" i="2"/>
  <c r="EL241" i="2"/>
  <c r="BN222" i="2"/>
  <c r="BL227" i="2"/>
  <c r="EJ247" i="2"/>
  <c r="JC376" i="2"/>
  <c r="FS73" i="2"/>
  <c r="BL74" i="2"/>
  <c r="HD71" i="2"/>
  <c r="CW60" i="2"/>
  <c r="HD69" i="2"/>
  <c r="FS70" i="2"/>
  <c r="HD68" i="2"/>
  <c r="BL66" i="2"/>
  <c r="HD67" i="2"/>
  <c r="CW75" i="2"/>
  <c r="HD65" i="2"/>
  <c r="CW73" i="2"/>
  <c r="HD64" i="2"/>
  <c r="CW63" i="2"/>
  <c r="FS74" i="2"/>
  <c r="FS75" i="2"/>
  <c r="BL113" i="2"/>
  <c r="EH113" i="2"/>
  <c r="IS112" i="2"/>
  <c r="JF112" i="2" s="1"/>
  <c r="JH112" i="2" s="1"/>
  <c r="EJ114" i="2"/>
  <c r="BN118" i="2"/>
  <c r="BR114" i="2"/>
  <c r="HD117" i="2"/>
  <c r="FU224" i="2"/>
  <c r="BL225" i="2"/>
  <c r="BL220" i="2"/>
  <c r="FS221" i="2"/>
  <c r="FS219" i="2"/>
  <c r="CW220" i="2"/>
  <c r="IS220" i="2"/>
  <c r="EH222" i="2"/>
  <c r="EH221" i="2"/>
  <c r="BN221" i="2"/>
  <c r="CY225" i="2"/>
  <c r="FS225" i="2"/>
  <c r="BL75" i="2"/>
  <c r="EH79" i="2"/>
  <c r="BL73" i="2"/>
  <c r="JZ78" i="2"/>
  <c r="IS85" i="2"/>
  <c r="BL88" i="2"/>
  <c r="EH87" i="2"/>
  <c r="BL81" i="2"/>
  <c r="BN79" i="2"/>
  <c r="AA74" i="2"/>
  <c r="AA89" i="2"/>
  <c r="AA72" i="2"/>
  <c r="AA70" i="2"/>
  <c r="AA86" i="2"/>
  <c r="AA69" i="2"/>
  <c r="CY75" i="2"/>
  <c r="AA67" i="2"/>
  <c r="AA82" i="2"/>
  <c r="AA81" i="2"/>
  <c r="BL76" i="2"/>
  <c r="AA79" i="2"/>
  <c r="AA78" i="2"/>
  <c r="AA76" i="2"/>
  <c r="AA90" i="2"/>
  <c r="AR90" i="2" s="1"/>
  <c r="AT90" i="2" s="1"/>
  <c r="AA85" i="2"/>
  <c r="CW57" i="2"/>
  <c r="FU57" i="2"/>
  <c r="BL65" i="2"/>
  <c r="FS62" i="2"/>
  <c r="HD60" i="2"/>
  <c r="HU60" i="2" s="1"/>
  <c r="HW60" i="2" s="1"/>
  <c r="BL58" i="2"/>
  <c r="IS58" i="2"/>
  <c r="BN80" i="2"/>
  <c r="EH64" i="2"/>
  <c r="CW67" i="2"/>
  <c r="BL376" i="2"/>
  <c r="EH77" i="2"/>
  <c r="BR82" i="2"/>
  <c r="BP46" i="2"/>
  <c r="DN310" i="2"/>
  <c r="DP310" i="2" s="1"/>
  <c r="HU336" i="2"/>
  <c r="HW336" i="2" s="1"/>
  <c r="MO314" i="2"/>
  <c r="MO355" i="2"/>
  <c r="MO337" i="2"/>
  <c r="HU313" i="2"/>
  <c r="HW313" i="2" s="1"/>
  <c r="MM159" i="2"/>
  <c r="MM149" i="2"/>
  <c r="EY130" i="2"/>
  <c r="FA130" i="2" s="1"/>
  <c r="DN382" i="2"/>
  <c r="DP382" i="2" s="1"/>
  <c r="MM110" i="2"/>
  <c r="MM15" i="2"/>
  <c r="HU309" i="2"/>
  <c r="HW309" i="2" s="1"/>
  <c r="EY383" i="2"/>
  <c r="FA383" i="2" s="1"/>
  <c r="MM330" i="2" a="1"/>
  <c r="GJ364" i="2"/>
  <c r="GL364" i="2" s="1"/>
  <c r="MM355" i="2" a="1"/>
  <c r="MM376" i="2" a="1"/>
  <c r="MM380" i="2" a="1"/>
  <c r="MM349" i="2" a="1"/>
  <c r="JF141" i="2"/>
  <c r="JH141" i="2" s="1"/>
  <c r="JF139" i="2"/>
  <c r="JH139" i="2" s="1"/>
  <c r="CC346" i="2"/>
  <c r="CE346" i="2" s="1"/>
  <c r="MM191" i="2"/>
  <c r="DN338" i="2"/>
  <c r="DP338" i="2" s="1"/>
  <c r="AR18" i="2"/>
  <c r="AT18" i="2" s="1"/>
  <c r="CC90" i="2"/>
  <c r="CE90" i="2" s="1"/>
  <c r="HU384" i="2"/>
  <c r="MM337" i="2" a="1"/>
  <c r="HU295" i="2"/>
  <c r="HW295" i="2" s="1"/>
  <c r="MM354" i="2" a="1"/>
  <c r="MM328" i="2" a="1"/>
  <c r="MM395" i="2" a="1"/>
  <c r="MM395" i="2" s="1"/>
  <c r="GJ372" i="2"/>
  <c r="GL372" i="2" s="1"/>
  <c r="GJ343" i="2"/>
  <c r="GL343" i="2" s="1"/>
  <c r="MM345" i="2" a="1"/>
  <c r="MM393" i="2" a="1"/>
  <c r="MM393" i="2" s="1"/>
  <c r="MM399" i="2"/>
  <c r="CC398" i="2"/>
  <c r="CE398" i="2" s="1"/>
  <c r="DN398" i="2"/>
  <c r="DP398" i="2" s="1"/>
  <c r="GJ397" i="2"/>
  <c r="GL397" i="2" s="1"/>
  <c r="DN396" i="2"/>
  <c r="DP396" i="2" s="1"/>
  <c r="KQ396" i="2"/>
  <c r="KS396" i="2" s="1"/>
  <c r="DN393" i="2"/>
  <c r="DP393" i="2" s="1"/>
  <c r="DN392" i="2"/>
  <c r="DP392" i="2" s="1"/>
  <c r="MM391" i="2"/>
  <c r="DN390" i="2"/>
  <c r="DP390" i="2" s="1"/>
  <c r="DN388" i="2"/>
  <c r="DP388" i="2" s="1"/>
  <c r="MM387" i="2"/>
  <c r="EY387" i="2"/>
  <c r="FA387" i="2" s="1"/>
  <c r="CC386" i="2"/>
  <c r="CE386" i="2" s="1"/>
  <c r="DN384" i="2"/>
  <c r="EY384" i="2"/>
  <c r="MM384" i="2"/>
  <c r="CC382" i="2"/>
  <c r="CE382" i="2" s="1"/>
  <c r="JF381" i="2"/>
  <c r="JH381" i="2" s="1"/>
  <c r="EY380" i="2"/>
  <c r="FA380" i="2" s="1"/>
  <c r="MM380" i="2"/>
  <c r="DN379" i="2"/>
  <c r="DP379" i="2" s="1"/>
  <c r="CC378" i="2"/>
  <c r="CE378" i="2" s="1"/>
  <c r="MM339" i="2" a="1"/>
  <c r="MM339" i="2" s="1"/>
  <c r="MM346" i="2"/>
  <c r="MM301" i="2" a="1"/>
  <c r="MM301" i="2" s="1"/>
  <c r="LY353" i="2"/>
  <c r="MS353" i="2" s="1"/>
  <c r="MM356" i="2" a="1"/>
  <c r="MM356" i="2" s="1"/>
  <c r="MM376" i="2"/>
  <c r="MR353" i="2"/>
  <c r="MO353" i="2"/>
  <c r="MM352" i="2" a="1"/>
  <c r="MM352" i="2" s="1"/>
  <c r="MM334" i="2" a="1"/>
  <c r="MM334" i="2" s="1"/>
  <c r="LY377" i="2"/>
  <c r="MS377" i="2" s="1"/>
  <c r="CC375" i="2"/>
  <c r="CE375" i="2" s="1"/>
  <c r="DN375" i="2"/>
  <c r="DP375" i="2" s="1"/>
  <c r="DN374" i="2"/>
  <c r="DP374" i="2" s="1"/>
  <c r="GJ373" i="2"/>
  <c r="GL373" i="2" s="1"/>
  <c r="EY373" i="2"/>
  <c r="FA373" i="2" s="1"/>
  <c r="GJ371" i="2"/>
  <c r="GL371" i="2" s="1"/>
  <c r="CC370" i="2"/>
  <c r="CE370" i="2" s="1"/>
  <c r="HU369" i="2"/>
  <c r="HW369" i="2" s="1"/>
  <c r="MR368" i="2"/>
  <c r="HU367" i="2"/>
  <c r="HW367" i="2" s="1"/>
  <c r="DN365" i="2"/>
  <c r="DP365" i="2" s="1"/>
  <c r="DN363" i="2"/>
  <c r="DP363" i="2" s="1"/>
  <c r="MR361" i="2"/>
  <c r="DN360" i="2"/>
  <c r="DP360" i="2" s="1"/>
  <c r="JF359" i="2"/>
  <c r="JH359" i="2" s="1"/>
  <c r="MM359" i="2"/>
  <c r="MM358" i="2"/>
  <c r="JF358" i="2"/>
  <c r="MM357" i="2"/>
  <c r="MO356" i="2"/>
  <c r="MM355" i="2"/>
  <c r="GJ354" i="2"/>
  <c r="GL354" i="2" s="1"/>
  <c r="MM354" i="2"/>
  <c r="JF354" i="2"/>
  <c r="JH354" i="2" s="1"/>
  <c r="EY354" i="2"/>
  <c r="FA354" i="2" s="1"/>
  <c r="DN354" i="2"/>
  <c r="DP354" i="2" s="1"/>
  <c r="KQ354" i="2"/>
  <c r="KS354" i="2" s="1"/>
  <c r="DN352" i="2"/>
  <c r="DP352" i="2" s="1"/>
  <c r="MM351" i="2"/>
  <c r="MM349" i="2"/>
  <c r="MM345" i="2"/>
  <c r="JF343" i="2"/>
  <c r="JH343" i="2" s="1"/>
  <c r="CC343" i="2"/>
  <c r="CE343" i="2" s="1"/>
  <c r="AR343" i="2"/>
  <c r="AT343" i="2" s="1"/>
  <c r="HU343" i="2"/>
  <c r="HW343" i="2" s="1"/>
  <c r="KQ343" i="2"/>
  <c r="KS343" i="2" s="1"/>
  <c r="DN343" i="2"/>
  <c r="DP343" i="2" s="1"/>
  <c r="DN342" i="2"/>
  <c r="DP342" i="2" s="1"/>
  <c r="MM337" i="2"/>
  <c r="JF335" i="2"/>
  <c r="JH335" i="2" s="1"/>
  <c r="AR334" i="2"/>
  <c r="AT334" i="2" s="1"/>
  <c r="JF334" i="2"/>
  <c r="JH334" i="2" s="1"/>
  <c r="HU330" i="2"/>
  <c r="HW330" i="2" s="1"/>
  <c r="GJ330" i="2"/>
  <c r="GL330" i="2" s="1"/>
  <c r="MM330" i="2"/>
  <c r="CC330" i="2"/>
  <c r="CE330" i="2" s="1"/>
  <c r="CC329" i="2"/>
  <c r="CE329" i="2" s="1"/>
  <c r="AR329" i="2"/>
  <c r="AT329" i="2" s="1"/>
  <c r="DN328" i="2"/>
  <c r="DP328" i="2" s="1"/>
  <c r="MM328" i="2"/>
  <c r="MR319" i="2"/>
  <c r="MO319" i="2"/>
  <c r="HU296" i="2"/>
  <c r="HW296" i="2" s="1"/>
  <c r="MM296" i="2"/>
  <c r="MM313" i="2"/>
  <c r="MM297" i="2"/>
  <c r="MM314" i="2"/>
  <c r="MM320" i="2" a="1"/>
  <c r="MM320" i="2" s="1"/>
  <c r="MM299" i="2"/>
  <c r="MM307" i="2" a="1"/>
  <c r="MM307" i="2" s="1"/>
  <c r="CC320" i="2"/>
  <c r="CE320" i="2" s="1"/>
  <c r="EY317" i="2"/>
  <c r="FA317" i="2" s="1"/>
  <c r="JF314" i="2"/>
  <c r="JH314" i="2" s="1"/>
  <c r="JF313" i="2"/>
  <c r="JH313" i="2" s="1"/>
  <c r="MO313" i="2"/>
  <c r="CC310" i="2"/>
  <c r="CE310" i="2" s="1"/>
  <c r="DN309" i="2"/>
  <c r="DP309" i="2" s="1"/>
  <c r="JF309" i="2"/>
  <c r="JH309" i="2" s="1"/>
  <c r="MM309" i="2"/>
  <c r="MO307" i="2"/>
  <c r="MM305" i="2"/>
  <c r="EY303" i="2"/>
  <c r="FA303" i="2" s="1"/>
  <c r="HU303" i="2"/>
  <c r="HW303" i="2" s="1"/>
  <c r="KQ295" i="2"/>
  <c r="KS295" i="2" s="1"/>
  <c r="MR344" i="2"/>
  <c r="MO344" i="2"/>
  <c r="MO382" i="2"/>
  <c r="MR382" i="2"/>
  <c r="MR401" i="2"/>
  <c r="MO401" i="2"/>
  <c r="MR364" i="2"/>
  <c r="MO364" i="2"/>
  <c r="MR303" i="2"/>
  <c r="MO303" i="2"/>
  <c r="MR311" i="2"/>
  <c r="MO311" i="2"/>
  <c r="MR348" i="2"/>
  <c r="MO348" i="2"/>
  <c r="MR341" i="2"/>
  <c r="MO341" i="2"/>
  <c r="MR322" i="2"/>
  <c r="MO322" i="2"/>
  <c r="MR295" i="2"/>
  <c r="MO295" i="2"/>
  <c r="MR400" i="2"/>
  <c r="MO400" i="2"/>
  <c r="MR324" i="2"/>
  <c r="MO324" i="2"/>
  <c r="MR388" i="2"/>
  <c r="MO388" i="2"/>
  <c r="MR320" i="2"/>
  <c r="MO320" i="2"/>
  <c r="MR315" i="2"/>
  <c r="MO315" i="2"/>
  <c r="MR332" i="2"/>
  <c r="MO332" i="2"/>
  <c r="MR294" i="2"/>
  <c r="MO294" i="2"/>
  <c r="MR381" i="2"/>
  <c r="MO381" i="2"/>
  <c r="MR316" i="2"/>
  <c r="MO316" i="2"/>
  <c r="MR363" i="2"/>
  <c r="MO363" i="2"/>
  <c r="MR376" i="2"/>
  <c r="MO376" i="2"/>
  <c r="MR340" i="2"/>
  <c r="MO340" i="2"/>
  <c r="MR301" i="2"/>
  <c r="MO301" i="2"/>
  <c r="MR331" i="2"/>
  <c r="MO331" i="2"/>
  <c r="MO379" i="2"/>
  <c r="MR379" i="2"/>
  <c r="MR317" i="2"/>
  <c r="MO317" i="2"/>
  <c r="MR346" i="2"/>
  <c r="MO346" i="2"/>
  <c r="MO296" i="2"/>
  <c r="MR296" i="2"/>
  <c r="MR350" i="2"/>
  <c r="MO350" i="2"/>
  <c r="MR327" i="2"/>
  <c r="MO327" i="2"/>
  <c r="MR384" i="2"/>
  <c r="MO384" i="2"/>
  <c r="MM185" i="2" a="1"/>
  <c r="MM185" i="2" s="1"/>
  <c r="MO347" i="2"/>
  <c r="MR347" i="2"/>
  <c r="MR351" i="2"/>
  <c r="MO351" i="2"/>
  <c r="MO306" i="2"/>
  <c r="MR306" i="2"/>
  <c r="MR349" i="2"/>
  <c r="MO349" i="2"/>
  <c r="MM56" i="2" a="1"/>
  <c r="MM56" i="2" s="1"/>
  <c r="MR377" i="2"/>
  <c r="MO377" i="2"/>
  <c r="MR367" i="2"/>
  <c r="MO367" i="2"/>
  <c r="MR386" i="2"/>
  <c r="MO386" i="2"/>
  <c r="MR305" i="2"/>
  <c r="MO305" i="2"/>
  <c r="MR393" i="2"/>
  <c r="MO393" i="2"/>
  <c r="MR325" i="2"/>
  <c r="MO325" i="2"/>
  <c r="MO318" i="2"/>
  <c r="MR318" i="2"/>
  <c r="MR391" i="2"/>
  <c r="MO391" i="2"/>
  <c r="MR298" i="2"/>
  <c r="MO298" i="2"/>
  <c r="MR399" i="2"/>
  <c r="MO399" i="2"/>
  <c r="MR343" i="2"/>
  <c r="MO343" i="2"/>
  <c r="MM13" i="2" a="1"/>
  <c r="AR178" i="2"/>
  <c r="AT178" i="2" s="1"/>
  <c r="MR328" i="2"/>
  <c r="MO328" i="2"/>
  <c r="MR366" i="2"/>
  <c r="MO366" i="2"/>
  <c r="MR397" i="2"/>
  <c r="MO397" i="2"/>
  <c r="MR333" i="2"/>
  <c r="MO333" i="2"/>
  <c r="MR373" i="2"/>
  <c r="MO373" i="2"/>
  <c r="MR308" i="2"/>
  <c r="MO308" i="2"/>
  <c r="MO299" i="2"/>
  <c r="MR299" i="2"/>
  <c r="MR345" i="2"/>
  <c r="MO345" i="2"/>
  <c r="MR365" i="2"/>
  <c r="MO365" i="2"/>
  <c r="MR370" i="2"/>
  <c r="MO370" i="2"/>
  <c r="MR389" i="2"/>
  <c r="MO389" i="2"/>
  <c r="MR362" i="2"/>
  <c r="MO362" i="2"/>
  <c r="MR369" i="2"/>
  <c r="MO369" i="2"/>
  <c r="MR398" i="2"/>
  <c r="MO398" i="2"/>
  <c r="MR390" i="2"/>
  <c r="MO390" i="2"/>
  <c r="MR304" i="2"/>
  <c r="MO304" i="2"/>
  <c r="MO360" i="2"/>
  <c r="MR360" i="2"/>
  <c r="MR395" i="2"/>
  <c r="MO395" i="2"/>
  <c r="MR396" i="2"/>
  <c r="MO396" i="2"/>
  <c r="MR336" i="2"/>
  <c r="MO336" i="2"/>
  <c r="MR330" i="2"/>
  <c r="MO330" i="2"/>
  <c r="MR387" i="2"/>
  <c r="MO387" i="2"/>
  <c r="MR338" i="2"/>
  <c r="MO338" i="2"/>
  <c r="MO380" i="2"/>
  <c r="MR380" i="2"/>
  <c r="MR383" i="2"/>
  <c r="MO383" i="2"/>
  <c r="MR357" i="2"/>
  <c r="MO357" i="2"/>
  <c r="MR342" i="2"/>
  <c r="MO342" i="2"/>
  <c r="MR323" i="2"/>
  <c r="MO323" i="2"/>
  <c r="MR378" i="2"/>
  <c r="MO378" i="2"/>
  <c r="MR310" i="2"/>
  <c r="MO310" i="2"/>
  <c r="MR352" i="2"/>
  <c r="MO352" i="2"/>
  <c r="MR334" i="2"/>
  <c r="MO334" i="2"/>
  <c r="MR326" i="2"/>
  <c r="MO326" i="2"/>
  <c r="MR374" i="2"/>
  <c r="MO374" i="2"/>
  <c r="MR385" i="2"/>
  <c r="MO385" i="2"/>
  <c r="MR403" i="2"/>
  <c r="MO403" i="2"/>
  <c r="MO358" i="2"/>
  <c r="MR358" i="2"/>
  <c r="MO392" i="2"/>
  <c r="MR392" i="2"/>
  <c r="MR339" i="2"/>
  <c r="MO339" i="2"/>
  <c r="MO329" i="2"/>
  <c r="MR329" i="2"/>
  <c r="MR359" i="2"/>
  <c r="MO359" i="2"/>
  <c r="MR371" i="2"/>
  <c r="MO371" i="2"/>
  <c r="MR394" i="2"/>
  <c r="MO394" i="2"/>
  <c r="MR300" i="2"/>
  <c r="MO300" i="2"/>
  <c r="MO335" i="2"/>
  <c r="MR335" i="2"/>
  <c r="MR309" i="2"/>
  <c r="MO309" i="2"/>
  <c r="MR321" i="2"/>
  <c r="MO321" i="2"/>
  <c r="MR375" i="2"/>
  <c r="MO375" i="2"/>
  <c r="MR297" i="2"/>
  <c r="MO297" i="2"/>
  <c r="MR312" i="2"/>
  <c r="MO312" i="2"/>
  <c r="MR354" i="2"/>
  <c r="MO354" i="2"/>
  <c r="MO372" i="2"/>
  <c r="MR372" i="2"/>
  <c r="MM173" i="2" a="1"/>
  <c r="MM173" i="2" s="1"/>
  <c r="MM177" i="2" a="1"/>
  <c r="MM177" i="2" s="1"/>
  <c r="MM205" i="2" a="1"/>
  <c r="MM236" i="2" a="1"/>
  <c r="MM194" i="2" a="1"/>
  <c r="MM194" i="2" s="1"/>
  <c r="MM175" i="2" a="1"/>
  <c r="MM175" i="2" s="1"/>
  <c r="MM268" i="2" a="1"/>
  <c r="MM33" i="2" a="1"/>
  <c r="MM33" i="2" s="1"/>
  <c r="MM188" i="2" a="1"/>
  <c r="MM227" i="2" a="1"/>
  <c r="MM227" i="2" s="1"/>
  <c r="MM102" i="2" a="1"/>
  <c r="MM20" i="2" a="1"/>
  <c r="MM20" i="2" s="1"/>
  <c r="MM280" i="2" a="1"/>
  <c r="MM280" i="2" s="1"/>
  <c r="AR236" i="2"/>
  <c r="AT236" i="2" s="1"/>
  <c r="MM258" i="2" a="1"/>
  <c r="MM146" i="2" a="1"/>
  <c r="MM146" i="2" s="1"/>
  <c r="MM72" i="2" a="1"/>
  <c r="MM72" i="2" s="1"/>
  <c r="MM80" i="2" a="1"/>
  <c r="MM223" i="2" a="1"/>
  <c r="MM18" i="2" a="1"/>
  <c r="MM18" i="2" s="1"/>
  <c r="MM39" i="2" a="1"/>
  <c r="MM265" i="2" a="1"/>
  <c r="MM224" i="2" a="1"/>
  <c r="MM224" i="2" s="1"/>
  <c r="MM21" i="2" a="1"/>
  <c r="MM27" i="2" a="1"/>
  <c r="MM41" i="2" a="1"/>
  <c r="MM31" i="2" a="1"/>
  <c r="MM133" i="2" a="1"/>
  <c r="MM180" i="2" a="1"/>
  <c r="MM180" i="2" s="1"/>
  <c r="MM213" i="2" a="1"/>
  <c r="MM213" i="2" s="1"/>
  <c r="MM35" i="2" a="1"/>
  <c r="MM273" i="2" a="1"/>
  <c r="MM254" i="2" a="1"/>
  <c r="MM254" i="2" s="1"/>
  <c r="MM253" i="2" a="1"/>
  <c r="MM253" i="2" s="1"/>
  <c r="MM261" i="2" a="1"/>
  <c r="MM30" i="2" a="1"/>
  <c r="MM198" i="2" a="1"/>
  <c r="MM127" i="2" a="1"/>
  <c r="MM127" i="2" s="1"/>
  <c r="MM91" i="2" a="1"/>
  <c r="MM126" i="2" a="1"/>
  <c r="MM126" i="2" s="1"/>
  <c r="MM199" i="2" a="1"/>
  <c r="MM104" i="2" a="1"/>
  <c r="MM292" i="2" a="1"/>
  <c r="CC204" i="2"/>
  <c r="CE204" i="2" s="1"/>
  <c r="HU159" i="2"/>
  <c r="HW159" i="2" s="1"/>
  <c r="MM58" i="2" a="1"/>
  <c r="MM29" i="2" a="1"/>
  <c r="DN125" i="2"/>
  <c r="DP125" i="2" s="1"/>
  <c r="CC167" i="2"/>
  <c r="CE167" i="2" s="1"/>
  <c r="KQ128" i="2"/>
  <c r="KS128" i="2" s="1"/>
  <c r="MM79" i="2" a="1"/>
  <c r="MM285" i="2" a="1"/>
  <c r="MM285" i="2" s="1"/>
  <c r="MM109" i="2" a="1"/>
  <c r="MM81" i="2" a="1"/>
  <c r="CC86" i="2"/>
  <c r="CE86" i="2" s="1"/>
  <c r="CC42" i="2"/>
  <c r="CE42" i="2" s="1"/>
  <c r="DN101" i="2"/>
  <c r="DP101" i="2" s="1"/>
  <c r="EY25" i="2"/>
  <c r="FA25" i="2" s="1"/>
  <c r="DN115" i="2"/>
  <c r="DP115" i="2" s="1"/>
  <c r="AR233" i="2"/>
  <c r="AT233" i="2" s="1"/>
  <c r="HU127" i="2"/>
  <c r="HW127" i="2" s="1"/>
  <c r="EY30" i="2"/>
  <c r="FA30" i="2" s="1"/>
  <c r="MM237" i="2" a="1"/>
  <c r="JF10" i="2"/>
  <c r="JH10" i="2" s="1"/>
  <c r="MM215" i="2" a="1"/>
  <c r="CC166" i="2"/>
  <c r="CE166" i="2" s="1"/>
  <c r="JF103" i="2"/>
  <c r="JH103" i="2" s="1"/>
  <c r="AR290" i="2"/>
  <c r="AT290" i="2" s="1"/>
  <c r="DN21" i="2"/>
  <c r="DP21" i="2" s="1"/>
  <c r="CC21" i="2"/>
  <c r="CE21" i="2" s="1"/>
  <c r="HU16" i="2"/>
  <c r="HW16" i="2" s="1"/>
  <c r="CC156" i="2"/>
  <c r="CE156" i="2" s="1"/>
  <c r="CC188" i="2"/>
  <c r="CE188" i="2" s="1"/>
  <c r="DN24" i="2"/>
  <c r="DP24" i="2" s="1"/>
  <c r="MM119" i="2" a="1"/>
  <c r="MM192" i="2" a="1"/>
  <c r="MM192" i="2" s="1"/>
  <c r="MM68" i="2" a="1"/>
  <c r="MM68" i="2" s="1"/>
  <c r="CC215" i="2"/>
  <c r="CE215" i="2" s="1"/>
  <c r="JF119" i="2"/>
  <c r="JH119" i="2" s="1"/>
  <c r="GJ33" i="2"/>
  <c r="GL33" i="2" s="1"/>
  <c r="CC142" i="2"/>
  <c r="CE142" i="2" s="1"/>
  <c r="HU209" i="2"/>
  <c r="HW209" i="2" s="1"/>
  <c r="DN106" i="2"/>
  <c r="DP106" i="2" s="1"/>
  <c r="MM65" i="2" a="1"/>
  <c r="DN198" i="2"/>
  <c r="DP198" i="2" s="1"/>
  <c r="MM259" i="2" a="1"/>
  <c r="MM139" i="2" a="1"/>
  <c r="MM139" i="2" s="1"/>
  <c r="MM49" i="2" a="1"/>
  <c r="MM49" i="2" s="1"/>
  <c r="CC96" i="2"/>
  <c r="CE96" i="2" s="1"/>
  <c r="KQ57" i="2"/>
  <c r="KS57" i="2" s="1"/>
  <c r="EY153" i="2"/>
  <c r="FA153" i="2" s="1"/>
  <c r="HU190" i="2"/>
  <c r="HW190" i="2" s="1"/>
  <c r="JF105" i="2"/>
  <c r="JH105" i="2" s="1"/>
  <c r="JF158" i="2"/>
  <c r="JH158" i="2" s="1"/>
  <c r="CC158" i="2"/>
  <c r="CE158" i="2" s="1"/>
  <c r="DN74" i="2"/>
  <c r="DP74" i="2" s="1"/>
  <c r="MM190" i="2" a="1"/>
  <c r="MM190" i="2" s="1"/>
  <c r="MM64" i="2" a="1"/>
  <c r="HU163" i="2"/>
  <c r="HW163" i="2" s="1"/>
  <c r="CC174" i="2"/>
  <c r="CE174" i="2" s="1"/>
  <c r="MM278" i="2" a="1"/>
  <c r="MM278" i="2" s="1"/>
  <c r="DN166" i="2"/>
  <c r="DP166" i="2" s="1"/>
  <c r="EY46" i="2"/>
  <c r="MM37" i="2" a="1"/>
  <c r="MM282" i="2" a="1"/>
  <c r="MM282" i="2" s="1"/>
  <c r="MM247" i="2" a="1"/>
  <c r="MM247" i="2" s="1"/>
  <c r="HU35" i="2"/>
  <c r="HW35" i="2" s="1"/>
  <c r="JF35" i="2"/>
  <c r="JH35" i="2" s="1"/>
  <c r="JF46" i="2"/>
  <c r="CC193" i="2"/>
  <c r="CE193" i="2" s="1"/>
  <c r="HU179" i="2"/>
  <c r="HW179" i="2" s="1"/>
  <c r="MM17" i="2" a="1"/>
  <c r="MM263" i="2" a="1"/>
  <c r="MM263" i="2" s="1"/>
  <c r="MM246" i="2" a="1"/>
  <c r="MM246" i="2" s="1"/>
  <c r="JF60" i="2"/>
  <c r="JH60" i="2" s="1"/>
  <c r="KQ60" i="2"/>
  <c r="KS60" i="2" s="1"/>
  <c r="MM277" i="2" a="1"/>
  <c r="DN107" i="2"/>
  <c r="DP107" i="2" s="1"/>
  <c r="DN58" i="2"/>
  <c r="DP58" i="2" s="1"/>
  <c r="KQ12" i="2"/>
  <c r="KS12" i="2" s="1"/>
  <c r="MM154" i="2" a="1"/>
  <c r="MM154" i="2" s="1"/>
  <c r="JF195" i="2"/>
  <c r="JH195" i="2" s="1"/>
  <c r="HU37" i="2"/>
  <c r="HW37" i="2" s="1"/>
  <c r="EY109" i="2"/>
  <c r="FA109" i="2" s="1"/>
  <c r="EY67" i="2"/>
  <c r="FA67" i="2" s="1"/>
  <c r="KQ141" i="2"/>
  <c r="KS141" i="2" s="1"/>
  <c r="GJ141" i="2"/>
  <c r="GL141" i="2" s="1"/>
  <c r="DN141" i="2"/>
  <c r="DP141" i="2" s="1"/>
  <c r="HU141" i="2"/>
  <c r="HW141" i="2" s="1"/>
  <c r="AR141" i="2"/>
  <c r="AT141" i="2" s="1"/>
  <c r="KQ160" i="2"/>
  <c r="KS160" i="2" s="1"/>
  <c r="MM198" i="2"/>
  <c r="MM41" i="2"/>
  <c r="MM178" i="2"/>
  <c r="MM39" i="2"/>
  <c r="MM268" i="2"/>
  <c r="MM102" i="2"/>
  <c r="MM119" i="2"/>
  <c r="MM199" i="2"/>
  <c r="MM13" i="2"/>
  <c r="MM265" i="2"/>
  <c r="MM21" i="2"/>
  <c r="MM261" i="2"/>
  <c r="MM37" i="2"/>
  <c r="MM292" i="2"/>
  <c r="MM30" i="2"/>
  <c r="MM65" i="2"/>
  <c r="MM236" i="2"/>
  <c r="MM273" i="2"/>
  <c r="MM27" i="2"/>
  <c r="MM109" i="2"/>
  <c r="MM163" i="2"/>
  <c r="MM80" i="2"/>
  <c r="MM237" i="2"/>
  <c r="MM91" i="2"/>
  <c r="MM188" i="2"/>
  <c r="MM133" i="2"/>
  <c r="MM31" i="2"/>
  <c r="MM81" i="2"/>
  <c r="MM205" i="2"/>
  <c r="MM258" i="2"/>
  <c r="MM17" i="2"/>
  <c r="MM277" i="2"/>
  <c r="MM215" i="2"/>
  <c r="MM79" i="2"/>
  <c r="MM223" i="2"/>
  <c r="MM29" i="2"/>
  <c r="MM259" i="2"/>
  <c r="MM64" i="2"/>
  <c r="MM35" i="2"/>
  <c r="MM58" i="2"/>
  <c r="MM104" i="2"/>
  <c r="LY164" i="2"/>
  <c r="MM95" i="2" a="1"/>
  <c r="MM95" i="2" s="1"/>
  <c r="MM290" i="2" a="1"/>
  <c r="MM290" i="2" s="1"/>
  <c r="MM42" i="2" a="1"/>
  <c r="MM42" i="2" s="1"/>
  <c r="MM275" i="2" a="1"/>
  <c r="MM275" i="2" s="1"/>
  <c r="MM100" i="2" a="1"/>
  <c r="MM100" i="2" s="1"/>
  <c r="MM84" i="2" a="1"/>
  <c r="MM84" i="2" s="1"/>
  <c r="MM248" i="2" a="1"/>
  <c r="MM248" i="2" s="1"/>
  <c r="MM44" i="2" a="1"/>
  <c r="MM44" i="2" s="1"/>
  <c r="MM134" i="2" a="1"/>
  <c r="MM134" i="2" s="1"/>
  <c r="MM228" i="2" a="1"/>
  <c r="MM228" i="2" s="1"/>
  <c r="MM256" i="2" a="1"/>
  <c r="MM256" i="2" s="1"/>
  <c r="MM145" i="2" a="1"/>
  <c r="MM145" i="2" s="1"/>
  <c r="MM186" i="2" a="1"/>
  <c r="MM186" i="2" s="1"/>
  <c r="MM272" i="2" a="1"/>
  <c r="MM272" i="2" s="1"/>
  <c r="MM291" i="2" a="1"/>
  <c r="MM291" i="2" s="1"/>
  <c r="MM271" i="2" a="1"/>
  <c r="MM271" i="2" s="1"/>
  <c r="MM156" i="2" a="1"/>
  <c r="MM156" i="2" s="1"/>
  <c r="MM281" i="2" a="1"/>
  <c r="MM281" i="2" s="1"/>
  <c r="MM97" i="2" a="1"/>
  <c r="MM97" i="2" s="1"/>
  <c r="MM25" i="2" a="1"/>
  <c r="MM25" i="2" s="1"/>
  <c r="MM121" i="2" a="1"/>
  <c r="MM121" i="2" s="1"/>
  <c r="MM167" i="2" a="1"/>
  <c r="MM167" i="2" s="1"/>
  <c r="MM55" i="2" a="1"/>
  <c r="MM55" i="2" s="1"/>
  <c r="MM143" i="2" a="1"/>
  <c r="MM143" i="2" s="1"/>
  <c r="MM222" i="2" a="1"/>
  <c r="MM222" i="2" s="1"/>
  <c r="MM108" i="2" a="1"/>
  <c r="MM108" i="2" s="1"/>
  <c r="MM255" i="2" a="1"/>
  <c r="MM255" i="2" s="1"/>
  <c r="MM103" i="2" a="1"/>
  <c r="MM103" i="2" s="1"/>
  <c r="MM14" i="2" a="1"/>
  <c r="MM14" i="2" s="1"/>
  <c r="MM210" i="2" a="1"/>
  <c r="MM210" i="2" s="1"/>
  <c r="MM23" i="2" a="1"/>
  <c r="MM23" i="2" s="1"/>
  <c r="MM238" i="2" a="1"/>
  <c r="MM238" i="2" s="1"/>
  <c r="MM124" i="2" a="1"/>
  <c r="MM124" i="2" s="1"/>
  <c r="MM10" i="2" a="1"/>
  <c r="MM10" i="2" s="1"/>
  <c r="MM251" i="2" a="1"/>
  <c r="MM251" i="2" s="1"/>
  <c r="MM32" i="2" a="1"/>
  <c r="MM32" i="2" s="1"/>
  <c r="MM166" i="2" a="1"/>
  <c r="MM166" i="2" s="1"/>
  <c r="MM201" i="2" a="1"/>
  <c r="MM201" i="2" s="1"/>
  <c r="MM98" i="2" a="1"/>
  <c r="MM98" i="2" s="1"/>
  <c r="MM69" i="2" a="1"/>
  <c r="MM69" i="2" s="1"/>
  <c r="MM196" i="2" a="1"/>
  <c r="MM196" i="2" s="1"/>
  <c r="MM184" i="2" a="1"/>
  <c r="MM184" i="2" s="1"/>
  <c r="MM212" i="2" a="1"/>
  <c r="MM212" i="2" s="1"/>
  <c r="MM234" i="2" a="1"/>
  <c r="MM234" i="2" s="1"/>
  <c r="MM82" i="2" a="1"/>
  <c r="MM82" i="2" s="1"/>
  <c r="MM257" i="2" a="1"/>
  <c r="MM257" i="2" s="1"/>
  <c r="MM260" i="2" a="1"/>
  <c r="MM260" i="2" s="1"/>
  <c r="MM148" i="2" a="1"/>
  <c r="MM148" i="2" s="1"/>
  <c r="MM50" i="2" a="1"/>
  <c r="MM50" i="2" s="1"/>
  <c r="MM226" i="2" a="1"/>
  <c r="MM226" i="2" s="1"/>
  <c r="MM63" i="2" a="1"/>
  <c r="MM63" i="2" s="1"/>
  <c r="MM239" i="2" a="1"/>
  <c r="MM239" i="2" s="1"/>
  <c r="MM179" i="2" a="1"/>
  <c r="MM179" i="2" s="1"/>
  <c r="MM60" i="2" a="1"/>
  <c r="MM60" i="2" s="1"/>
  <c r="MM193" i="2" a="1"/>
  <c r="MM193" i="2" s="1"/>
  <c r="MM202" i="2" a="1"/>
  <c r="MM202" i="2" s="1"/>
  <c r="MM250" i="2" a="1"/>
  <c r="MM250" i="2" s="1"/>
  <c r="MM235" i="2" a="1"/>
  <c r="MM235" i="2" s="1"/>
  <c r="MM158" i="2" a="1"/>
  <c r="MM158" i="2" s="1"/>
  <c r="MM116" i="2" a="1"/>
  <c r="MM116" i="2" s="1"/>
  <c r="MM122" i="2" a="1"/>
  <c r="MM122" i="2" s="1"/>
  <c r="MM123" i="2" a="1"/>
  <c r="MM123" i="2" s="1"/>
  <c r="MM47" i="2" a="1"/>
  <c r="MM47" i="2" s="1"/>
  <c r="MM284" i="2" a="1"/>
  <c r="MM284" i="2" s="1"/>
  <c r="MM181" i="2" a="1"/>
  <c r="MM181" i="2" s="1"/>
  <c r="MM40" i="2" a="1"/>
  <c r="MM40" i="2" s="1"/>
  <c r="MM26" i="2" a="1"/>
  <c r="MM26" i="2" s="1"/>
  <c r="MM230" i="2" a="1"/>
  <c r="MM230" i="2" s="1"/>
  <c r="MM46" i="2" a="1"/>
  <c r="MM46" i="2" s="1"/>
  <c r="MM93" i="2" a="1"/>
  <c r="MM93" i="2" s="1"/>
  <c r="MM112" i="2" a="1"/>
  <c r="MM112" i="2" s="1"/>
  <c r="MM151" i="2" a="1"/>
  <c r="MM151" i="2" s="1"/>
  <c r="MM43" i="2" a="1"/>
  <c r="MM43" i="2" s="1"/>
  <c r="MM11" i="2" a="1"/>
  <c r="MM11" i="2" s="1"/>
  <c r="MM24" i="2" a="1"/>
  <c r="MM24" i="2" s="1"/>
  <c r="MM73" i="2" a="1"/>
  <c r="MM73" i="2" s="1"/>
  <c r="MM214" i="2" a="1"/>
  <c r="MM214" i="2" s="1"/>
  <c r="MM242" i="2" a="1"/>
  <c r="MM242" i="2" s="1"/>
  <c r="MM153" i="2" a="1"/>
  <c r="MM153" i="2" s="1"/>
  <c r="MM160" i="2" a="1"/>
  <c r="MM160" i="2" s="1"/>
  <c r="MM211" i="2" a="1"/>
  <c r="MM211" i="2" s="1"/>
  <c r="MM28" i="2" a="1"/>
  <c r="MM28" i="2" s="1"/>
  <c r="MM94" i="2" a="1"/>
  <c r="MM94" i="2" s="1"/>
  <c r="MM293" i="2" a="1"/>
  <c r="MM293" i="2" s="1"/>
  <c r="MM57" i="2" a="1"/>
  <c r="MM57" i="2" s="1"/>
  <c r="MM113" i="2" a="1"/>
  <c r="MM113" i="2" s="1"/>
  <c r="MM147" i="2" a="1"/>
  <c r="MM147" i="2" s="1"/>
  <c r="MM225" i="2" a="1"/>
  <c r="MM225" i="2" s="1"/>
  <c r="MM89" i="2" a="1"/>
  <c r="MM89" i="2" s="1"/>
  <c r="MM87" i="2" a="1"/>
  <c r="MM87" i="2" s="1"/>
  <c r="MM155" i="2" a="1"/>
  <c r="MM155" i="2" s="1"/>
  <c r="MM36" i="2" a="1"/>
  <c r="MM36" i="2" s="1"/>
  <c r="MM88" i="2" a="1"/>
  <c r="MM88" i="2" s="1"/>
  <c r="MM283" i="2" a="1"/>
  <c r="MM283" i="2" s="1"/>
  <c r="MM141" i="2" a="1"/>
  <c r="MM141" i="2" s="1"/>
  <c r="MM209" i="2" a="1"/>
  <c r="MM209" i="2" s="1"/>
  <c r="MM115" i="2" a="1"/>
  <c r="MM115" i="2" s="1"/>
  <c r="MM117" i="2" a="1"/>
  <c r="MM117" i="2" s="1"/>
  <c r="MM233" i="2" a="1"/>
  <c r="MM233" i="2" s="1"/>
  <c r="MM269" i="2" a="1"/>
  <c r="MM269" i="2" s="1"/>
  <c r="MM165" i="2" a="1"/>
  <c r="MM165" i="2" s="1"/>
  <c r="MM241" i="2" a="1"/>
  <c r="MM241" i="2" s="1"/>
  <c r="MM19" i="2" a="1"/>
  <c r="MM19" i="2" s="1"/>
  <c r="MM120" i="2" a="1"/>
  <c r="MM120" i="2" s="1"/>
  <c r="MM244" i="2" a="1"/>
  <c r="MM244" i="2" s="1"/>
  <c r="MM140" i="2" a="1"/>
  <c r="MM140" i="2" s="1"/>
  <c r="MM207" i="2" a="1"/>
  <c r="MM207" i="2" s="1"/>
  <c r="MM75" i="2" a="1"/>
  <c r="MM75" i="2" s="1"/>
  <c r="MM99" i="2" a="1"/>
  <c r="MM99" i="2" s="1"/>
  <c r="MM52" i="2" a="1"/>
  <c r="MM52" i="2" s="1"/>
  <c r="MM131" i="2" a="1"/>
  <c r="MM131" i="2" s="1"/>
  <c r="MM218" i="2" a="1"/>
  <c r="MM218" i="2" s="1"/>
  <c r="MM221" i="2" a="1"/>
  <c r="MM221" i="2" s="1"/>
  <c r="MM270" i="2" a="1"/>
  <c r="MM270" i="2" s="1"/>
  <c r="MM71" i="2" a="1"/>
  <c r="MM71" i="2" s="1"/>
  <c r="MM118" i="2" a="1"/>
  <c r="MM118" i="2" s="1"/>
  <c r="MM245" i="2" a="1"/>
  <c r="MM245" i="2" s="1"/>
  <c r="MM176" i="2" a="1"/>
  <c r="MM176" i="2" s="1"/>
  <c r="MM195" i="2" a="1"/>
  <c r="MM195" i="2" s="1"/>
  <c r="MM243" i="2" a="1"/>
  <c r="MM243" i="2" s="1"/>
  <c r="MM262" i="2" a="1"/>
  <c r="MM262" i="2" s="1"/>
  <c r="MM267" i="2" a="1"/>
  <c r="MM267" i="2" s="1"/>
  <c r="MM54" i="2" a="1"/>
  <c r="MM54" i="2" s="1"/>
  <c r="MM48" i="2" a="1"/>
  <c r="MM48" i="2" s="1"/>
  <c r="MM76" i="2" a="1"/>
  <c r="MM76" i="2" s="1"/>
  <c r="MM92" i="2" a="1"/>
  <c r="MM92" i="2" s="1"/>
  <c r="MM286" i="2" a="1"/>
  <c r="MM286" i="2" s="1"/>
  <c r="MM86" i="2" a="1"/>
  <c r="MM86" i="2" s="1"/>
  <c r="MM101" i="2" a="1"/>
  <c r="MM101" i="2" s="1"/>
  <c r="MM138" i="2" a="1"/>
  <c r="MM138" i="2" s="1"/>
  <c r="MM125" i="2" a="1"/>
  <c r="MM125" i="2" s="1"/>
  <c r="MM220" i="2" a="1"/>
  <c r="MM220" i="2" s="1"/>
  <c r="MM142" i="2" a="1"/>
  <c r="MM142" i="2" s="1"/>
  <c r="MM85" i="2" a="1"/>
  <c r="MM85" i="2" s="1"/>
  <c r="MM217" i="2" a="1"/>
  <c r="MM217" i="2" s="1"/>
  <c r="MM276" i="2" a="1"/>
  <c r="MM276" i="2" s="1"/>
  <c r="MM264" i="2" a="1"/>
  <c r="MM264" i="2" s="1"/>
  <c r="MM187" i="2" a="1"/>
  <c r="MM187" i="2" s="1"/>
  <c r="MM174" i="2" a="1"/>
  <c r="MM174" i="2" s="1"/>
  <c r="MM279" i="2" a="1"/>
  <c r="MM279" i="2" s="1"/>
  <c r="MM53" i="2" a="1"/>
  <c r="MM53" i="2" s="1"/>
  <c r="MM170" i="2" a="1"/>
  <c r="MM170" i="2" s="1"/>
  <c r="MM206" i="2" a="1"/>
  <c r="MM206" i="2" s="1"/>
  <c r="MM216" i="2" a="1"/>
  <c r="MM216" i="2" s="1"/>
  <c r="MM78" i="2" a="1"/>
  <c r="MM78" i="2" s="1"/>
  <c r="MM252" i="2" a="1"/>
  <c r="MM252" i="2" s="1"/>
  <c r="MM287" i="2" a="1"/>
  <c r="MM287" i="2" s="1"/>
  <c r="MM249" i="2" a="1"/>
  <c r="MM249" i="2" s="1"/>
  <c r="MM130" i="2" a="1"/>
  <c r="MM130" i="2" s="1"/>
  <c r="MM34" i="2" a="1"/>
  <c r="MM34" i="2" s="1"/>
  <c r="MM67" i="2" a="1"/>
  <c r="MM67" i="2" s="1"/>
  <c r="MM203" i="2" a="1"/>
  <c r="MM203" i="2" s="1"/>
  <c r="MM16" i="2" a="1"/>
  <c r="MM16" i="2" s="1"/>
  <c r="MM171" i="2" a="1"/>
  <c r="MM171" i="2" s="1"/>
  <c r="MM240" i="2" a="1"/>
  <c r="MM240" i="2" s="1"/>
  <c r="MM66" i="2" a="1"/>
  <c r="MM66" i="2" s="1"/>
  <c r="MM183" i="2" a="1"/>
  <c r="MM183" i="2" s="1"/>
  <c r="MM208" i="2" a="1"/>
  <c r="MM208" i="2" s="1"/>
  <c r="MM189" i="2" a="1"/>
  <c r="MM189" i="2" s="1"/>
  <c r="MM128" i="2" a="1"/>
  <c r="MM128" i="2" s="1"/>
  <c r="MM45" i="2" a="1"/>
  <c r="MM45" i="2" s="1"/>
  <c r="MM62" i="2" a="1"/>
  <c r="MM62" i="2" s="1"/>
  <c r="MM83" i="2" a="1"/>
  <c r="MM83" i="2" s="1"/>
  <c r="MM70" i="2" a="1"/>
  <c r="MM70" i="2" s="1"/>
  <c r="MM168" i="2" a="1"/>
  <c r="MM168" i="2" s="1"/>
  <c r="MM266" i="2" a="1"/>
  <c r="MM266" i="2" s="1"/>
  <c r="MM144" i="2" a="1"/>
  <c r="MM144" i="2" s="1"/>
  <c r="MM77" i="2" a="1"/>
  <c r="MM77" i="2" s="1"/>
  <c r="MM182" i="2" a="1"/>
  <c r="MM182" i="2" s="1"/>
  <c r="MM169" i="2" a="1"/>
  <c r="MM169" i="2" s="1"/>
  <c r="MM200" i="2" a="1"/>
  <c r="MM200" i="2" s="1"/>
  <c r="MM229" i="2" a="1"/>
  <c r="MM229" i="2" s="1"/>
  <c r="MM231" i="2" a="1"/>
  <c r="MM231" i="2" s="1"/>
  <c r="MM74" i="2" a="1"/>
  <c r="MM74" i="2" s="1"/>
  <c r="MM232" i="2" a="1"/>
  <c r="MM232" i="2" s="1"/>
  <c r="MM105" i="2" a="1"/>
  <c r="MM105" i="2" s="1"/>
  <c r="MM90" i="2" a="1"/>
  <c r="MM90" i="2" s="1"/>
  <c r="MM219" i="2" a="1"/>
  <c r="MM219" i="2" s="1"/>
  <c r="MM152" i="2" a="1"/>
  <c r="MM152" i="2" s="1"/>
  <c r="MM59" i="2" a="1"/>
  <c r="MM59" i="2" s="1"/>
  <c r="MM107" i="2" a="1"/>
  <c r="MM107" i="2" s="1"/>
  <c r="MM96" i="2" a="1"/>
  <c r="MM96" i="2" s="1"/>
  <c r="MM12" i="2" a="1"/>
  <c r="MM12" i="2" s="1"/>
  <c r="MM114" i="2" a="1"/>
  <c r="MM114" i="2" s="1"/>
  <c r="MM204" i="2" a="1"/>
  <c r="MM204" i="2" s="1"/>
  <c r="MM129" i="2" a="1"/>
  <c r="MM129" i="2" s="1"/>
  <c r="MM106" i="2" a="1"/>
  <c r="MM106" i="2" s="1"/>
  <c r="MM136" i="2" a="1"/>
  <c r="MM136" i="2" s="1"/>
  <c r="C435" i="23"/>
  <c r="H434" i="24"/>
  <c r="C477" i="24" s="1"/>
  <c r="K436" i="24"/>
  <c r="C518" i="24" s="1"/>
  <c r="H437" i="24"/>
  <c r="C480" i="24" s="1"/>
  <c r="K437" i="24"/>
  <c r="C519" i="24" s="1"/>
  <c r="K435" i="24"/>
  <c r="C517" i="24" s="1"/>
  <c r="C429" i="23"/>
  <c r="H433" i="24"/>
  <c r="C476" i="24" s="1"/>
  <c r="K433" i="24"/>
  <c r="C515" i="24" s="1"/>
  <c r="H436" i="24"/>
  <c r="C479" i="24" s="1"/>
  <c r="H438" i="24"/>
  <c r="C481" i="24" s="1"/>
  <c r="N438" i="24"/>
  <c r="H432" i="24"/>
  <c r="C475" i="24" s="1"/>
  <c r="H435" i="24"/>
  <c r="C478" i="24" s="1"/>
  <c r="K432" i="24"/>
  <c r="C514" i="24" s="1"/>
  <c r="C430" i="23"/>
  <c r="C431" i="23"/>
  <c r="K434" i="24"/>
  <c r="C516" i="24" s="1"/>
  <c r="C432" i="23"/>
  <c r="K438" i="24"/>
  <c r="C520" i="24" s="1"/>
  <c r="FA384" i="2" l="1"/>
  <c r="DP384" i="2"/>
  <c r="FA46" i="2"/>
  <c r="FA208" i="2"/>
  <c r="JH205" i="2"/>
  <c r="JH99" i="2"/>
  <c r="HW384" i="2"/>
  <c r="JH384" i="2"/>
  <c r="JH46" i="2"/>
  <c r="JH358" i="2"/>
  <c r="DN208" i="2"/>
  <c r="E434" i="24"/>
  <c r="HU213" i="2"/>
  <c r="HW213" i="2" s="1"/>
  <c r="EY201" i="2"/>
  <c r="FA201" i="2" s="1"/>
  <c r="DN88" i="2"/>
  <c r="DP88" i="2" s="1"/>
  <c r="CC117" i="2"/>
  <c r="CE117" i="2" s="1"/>
  <c r="DN121" i="2"/>
  <c r="DP121" i="2" s="1"/>
  <c r="CC82" i="2"/>
  <c r="CE82" i="2" s="1"/>
  <c r="CC124" i="2"/>
  <c r="CE124" i="2" s="1"/>
  <c r="CC114" i="2"/>
  <c r="CE114" i="2" s="1"/>
  <c r="CC85" i="2"/>
  <c r="CE85" i="2" s="1"/>
  <c r="GJ127" i="2"/>
  <c r="GL127" i="2" s="1"/>
  <c r="EY88" i="2"/>
  <c r="FA88" i="2" s="1"/>
  <c r="CC128" i="2"/>
  <c r="CE128" i="2" s="1"/>
  <c r="JF58" i="2"/>
  <c r="JH58" i="2" s="1"/>
  <c r="HU134" i="2"/>
  <c r="HW134" i="2" s="1"/>
  <c r="DN126" i="2"/>
  <c r="DP126" i="2" s="1"/>
  <c r="AR111" i="2"/>
  <c r="AT111" i="2" s="1"/>
  <c r="LY111" i="2" s="1"/>
  <c r="LY343" i="2"/>
  <c r="MS343" i="2" s="1"/>
  <c r="E437" i="24"/>
  <c r="E438" i="24"/>
  <c r="E436" i="24"/>
  <c r="E435" i="24"/>
  <c r="E433" i="24"/>
  <c r="E432" i="24"/>
  <c r="H394" i="26"/>
  <c r="DP208" i="2" l="1"/>
  <c r="B1" i="26"/>
  <c r="AB401" i="24"/>
  <c r="AC401" i="24" s="1"/>
  <c r="AE401" i="24"/>
  <c r="AF401" i="24" s="1"/>
  <c r="AH401" i="24"/>
  <c r="AI401" i="24" s="1"/>
  <c r="AK401" i="24"/>
  <c r="AL401" i="24" s="1"/>
  <c r="AN401" i="24"/>
  <c r="AO401" i="24" s="1"/>
  <c r="AQ401" i="24"/>
  <c r="AR401" i="24" s="1"/>
  <c r="AT401" i="24"/>
  <c r="AU401" i="24" s="1"/>
  <c r="AW401" i="24"/>
  <c r="AX401" i="24" s="1"/>
  <c r="AZ401" i="24"/>
  <c r="BA401" i="24" s="1"/>
  <c r="BC401" i="24"/>
  <c r="BD401" i="24" s="1"/>
  <c r="BF401" i="24"/>
  <c r="BG401" i="24" s="1"/>
  <c r="BI401" i="24"/>
  <c r="BJ401" i="24" s="1"/>
  <c r="BL401" i="24"/>
  <c r="BM401" i="24" s="1"/>
  <c r="BO401" i="24"/>
  <c r="BP401" i="24" s="1"/>
  <c r="AB402" i="24"/>
  <c r="AC402" i="24" s="1"/>
  <c r="AE402" i="24"/>
  <c r="AF402" i="24" s="1"/>
  <c r="AH402" i="24"/>
  <c r="AI402" i="24" s="1"/>
  <c r="AK402" i="24"/>
  <c r="AL402" i="24" s="1"/>
  <c r="AN402" i="24"/>
  <c r="AO402" i="24" s="1"/>
  <c r="AQ402" i="24"/>
  <c r="AR402" i="24" s="1"/>
  <c r="AT402" i="24"/>
  <c r="AU402" i="24" s="1"/>
  <c r="AW402" i="24"/>
  <c r="AX402" i="24" s="1"/>
  <c r="AZ402" i="24"/>
  <c r="BA402" i="24" s="1"/>
  <c r="BC402" i="24"/>
  <c r="BD402" i="24" s="1"/>
  <c r="BF402" i="24"/>
  <c r="BG402" i="24" s="1"/>
  <c r="BI402" i="24"/>
  <c r="BJ402" i="24" s="1"/>
  <c r="BL402" i="24"/>
  <c r="BM402" i="24" s="1"/>
  <c r="BO402" i="24"/>
  <c r="BP402" i="24" s="1"/>
  <c r="AB403" i="24"/>
  <c r="AC403" i="24" s="1"/>
  <c r="AE403" i="24"/>
  <c r="AF403" i="24" s="1"/>
  <c r="AH403" i="24"/>
  <c r="AI403" i="24" s="1"/>
  <c r="AK403" i="24"/>
  <c r="AL403" i="24" s="1"/>
  <c r="AN403" i="24"/>
  <c r="AO403" i="24" s="1"/>
  <c r="AQ403" i="24"/>
  <c r="AR403" i="24" s="1"/>
  <c r="AT403" i="24"/>
  <c r="AU403" i="24" s="1"/>
  <c r="AW403" i="24"/>
  <c r="AX403" i="24" s="1"/>
  <c r="AZ403" i="24"/>
  <c r="BA403" i="24" s="1"/>
  <c r="BC403" i="24"/>
  <c r="BD403" i="24" s="1"/>
  <c r="BF403" i="24"/>
  <c r="BG403" i="24" s="1"/>
  <c r="BI403" i="24"/>
  <c r="BJ403" i="24" s="1"/>
  <c r="BL403" i="24"/>
  <c r="BM403" i="24" s="1"/>
  <c r="BO403" i="24"/>
  <c r="BP403" i="24" s="1"/>
  <c r="AB404" i="24"/>
  <c r="AC404" i="24" s="1"/>
  <c r="AE404" i="24"/>
  <c r="AF404" i="24" s="1"/>
  <c r="AH404" i="24"/>
  <c r="AI404" i="24" s="1"/>
  <c r="AK404" i="24"/>
  <c r="AL404" i="24" s="1"/>
  <c r="AN404" i="24"/>
  <c r="AO404" i="24" s="1"/>
  <c r="AQ404" i="24"/>
  <c r="AR404" i="24" s="1"/>
  <c r="AT404" i="24"/>
  <c r="AU404" i="24" s="1"/>
  <c r="AW404" i="24"/>
  <c r="AX404" i="24" s="1"/>
  <c r="AZ404" i="24"/>
  <c r="BA404" i="24" s="1"/>
  <c r="BC404" i="24"/>
  <c r="BD404" i="24" s="1"/>
  <c r="BF404" i="24"/>
  <c r="BG404" i="24" s="1"/>
  <c r="BI404" i="24"/>
  <c r="BJ404" i="24" s="1"/>
  <c r="BL404" i="24"/>
  <c r="BM404" i="24" s="1"/>
  <c r="BO404" i="24"/>
  <c r="BP404" i="24" s="1"/>
  <c r="AB405" i="24"/>
  <c r="AC405" i="24" s="1"/>
  <c r="AE405" i="24"/>
  <c r="AF405" i="24" s="1"/>
  <c r="AH405" i="24"/>
  <c r="AI405" i="24" s="1"/>
  <c r="AK405" i="24"/>
  <c r="AL405" i="24" s="1"/>
  <c r="AN405" i="24"/>
  <c r="AO405" i="24" s="1"/>
  <c r="AQ405" i="24"/>
  <c r="AR405" i="24" s="1"/>
  <c r="AT405" i="24"/>
  <c r="AU405" i="24" s="1"/>
  <c r="AW405" i="24"/>
  <c r="AX405" i="24" s="1"/>
  <c r="AZ405" i="24"/>
  <c r="BA405" i="24" s="1"/>
  <c r="BC405" i="24"/>
  <c r="BD405" i="24" s="1"/>
  <c r="BF405" i="24"/>
  <c r="BG405" i="24" s="1"/>
  <c r="BI405" i="24"/>
  <c r="BJ405" i="24" s="1"/>
  <c r="BL405" i="24"/>
  <c r="BM405" i="24" s="1"/>
  <c r="BO405" i="24"/>
  <c r="BP405" i="24" s="1"/>
  <c r="AB406" i="24"/>
  <c r="AC406" i="24" s="1"/>
  <c r="AE406" i="24"/>
  <c r="AF406" i="24" s="1"/>
  <c r="AH406" i="24"/>
  <c r="AI406" i="24" s="1"/>
  <c r="AK406" i="24"/>
  <c r="AL406" i="24" s="1"/>
  <c r="AN406" i="24"/>
  <c r="AO406" i="24" s="1"/>
  <c r="AQ406" i="24"/>
  <c r="AR406" i="24" s="1"/>
  <c r="AT406" i="24"/>
  <c r="AU406" i="24" s="1"/>
  <c r="AW406" i="24"/>
  <c r="AX406" i="24" s="1"/>
  <c r="AZ406" i="24"/>
  <c r="BA406" i="24" s="1"/>
  <c r="BC406" i="24"/>
  <c r="BD406" i="24" s="1"/>
  <c r="BF406" i="24"/>
  <c r="BG406" i="24" s="1"/>
  <c r="BI406" i="24"/>
  <c r="BJ406" i="24" s="1"/>
  <c r="BL406" i="24"/>
  <c r="BM406" i="24" s="1"/>
  <c r="BO406" i="24"/>
  <c r="BP406" i="24" s="1"/>
  <c r="AB407" i="24"/>
  <c r="AC407" i="24" s="1"/>
  <c r="AE407" i="24"/>
  <c r="AF407" i="24" s="1"/>
  <c r="AH407" i="24"/>
  <c r="AI407" i="24" s="1"/>
  <c r="AK407" i="24"/>
  <c r="AL407" i="24" s="1"/>
  <c r="AN407" i="24"/>
  <c r="AO407" i="24" s="1"/>
  <c r="AQ407" i="24"/>
  <c r="AR407" i="24" s="1"/>
  <c r="AT407" i="24"/>
  <c r="AU407" i="24" s="1"/>
  <c r="AW407" i="24"/>
  <c r="AX407" i="24" s="1"/>
  <c r="AZ407" i="24"/>
  <c r="BA407" i="24" s="1"/>
  <c r="BC407" i="24"/>
  <c r="BD407" i="24" s="1"/>
  <c r="BF407" i="24"/>
  <c r="BG407" i="24" s="1"/>
  <c r="BI407" i="24"/>
  <c r="BJ407" i="24" s="1"/>
  <c r="BL407" i="24"/>
  <c r="BM407" i="24" s="1"/>
  <c r="BO407" i="24"/>
  <c r="BP407" i="24" s="1"/>
  <c r="AB408" i="24"/>
  <c r="AC408" i="24" s="1"/>
  <c r="AE408" i="24"/>
  <c r="AF408" i="24" s="1"/>
  <c r="AH408" i="24"/>
  <c r="AI408" i="24" s="1"/>
  <c r="AK408" i="24"/>
  <c r="AL408" i="24" s="1"/>
  <c r="AN408" i="24"/>
  <c r="AO408" i="24" s="1"/>
  <c r="AQ408" i="24"/>
  <c r="AR408" i="24" s="1"/>
  <c r="AT408" i="24"/>
  <c r="AU408" i="24" s="1"/>
  <c r="AW408" i="24"/>
  <c r="AX408" i="24" s="1"/>
  <c r="AZ408" i="24"/>
  <c r="BA408" i="24" s="1"/>
  <c r="BC408" i="24"/>
  <c r="BD408" i="24" s="1"/>
  <c r="BF408" i="24"/>
  <c r="BG408" i="24" s="1"/>
  <c r="BI408" i="24"/>
  <c r="BJ408" i="24" s="1"/>
  <c r="BL408" i="24"/>
  <c r="BM408" i="24" s="1"/>
  <c r="BO408" i="24"/>
  <c r="BP408" i="24" s="1"/>
  <c r="AB409" i="24"/>
  <c r="AC409" i="24" s="1"/>
  <c r="AE409" i="24"/>
  <c r="AF409" i="24" s="1"/>
  <c r="AH409" i="24"/>
  <c r="AI409" i="24" s="1"/>
  <c r="AK409" i="24"/>
  <c r="AL409" i="24" s="1"/>
  <c r="AN409" i="24"/>
  <c r="AO409" i="24" s="1"/>
  <c r="AQ409" i="24"/>
  <c r="AR409" i="24" s="1"/>
  <c r="AT409" i="24"/>
  <c r="AU409" i="24" s="1"/>
  <c r="AW409" i="24"/>
  <c r="AX409" i="24" s="1"/>
  <c r="AZ409" i="24"/>
  <c r="BA409" i="24" s="1"/>
  <c r="BC409" i="24"/>
  <c r="BD409" i="24" s="1"/>
  <c r="BF409" i="24"/>
  <c r="BG409" i="24" s="1"/>
  <c r="BI409" i="24"/>
  <c r="BJ409" i="24" s="1"/>
  <c r="BL409" i="24"/>
  <c r="BM409" i="24" s="1"/>
  <c r="BO409" i="24"/>
  <c r="BP409" i="24" s="1"/>
  <c r="AB410" i="24"/>
  <c r="AC410" i="24" s="1"/>
  <c r="AE410" i="24"/>
  <c r="AF410" i="24" s="1"/>
  <c r="AH410" i="24"/>
  <c r="AI410" i="24" s="1"/>
  <c r="AK410" i="24"/>
  <c r="AL410" i="24" s="1"/>
  <c r="AN410" i="24"/>
  <c r="AO410" i="24" s="1"/>
  <c r="AQ410" i="24"/>
  <c r="AR410" i="24" s="1"/>
  <c r="AT410" i="24"/>
  <c r="AU410" i="24" s="1"/>
  <c r="AW410" i="24"/>
  <c r="AX410" i="24" s="1"/>
  <c r="AZ410" i="24"/>
  <c r="BA410" i="24" s="1"/>
  <c r="BC410" i="24"/>
  <c r="BD410" i="24" s="1"/>
  <c r="BF410" i="24"/>
  <c r="BG410" i="24" s="1"/>
  <c r="BI410" i="24"/>
  <c r="BJ410" i="24" s="1"/>
  <c r="BL410" i="24"/>
  <c r="BM410" i="24" s="1"/>
  <c r="BO410" i="24"/>
  <c r="BP410" i="24" s="1"/>
  <c r="AB411" i="24"/>
  <c r="AC411" i="24" s="1"/>
  <c r="AE411" i="24"/>
  <c r="AF411" i="24" s="1"/>
  <c r="AH411" i="24"/>
  <c r="AI411" i="24" s="1"/>
  <c r="AK411" i="24"/>
  <c r="AL411" i="24" s="1"/>
  <c r="AN411" i="24"/>
  <c r="AO411" i="24" s="1"/>
  <c r="AQ411" i="24"/>
  <c r="AR411" i="24" s="1"/>
  <c r="AT411" i="24"/>
  <c r="AU411" i="24" s="1"/>
  <c r="AW411" i="24"/>
  <c r="AX411" i="24" s="1"/>
  <c r="AZ411" i="24"/>
  <c r="BA411" i="24" s="1"/>
  <c r="BC411" i="24"/>
  <c r="BD411" i="24" s="1"/>
  <c r="BF411" i="24"/>
  <c r="BG411" i="24" s="1"/>
  <c r="BI411" i="24"/>
  <c r="BJ411" i="24" s="1"/>
  <c r="BL411" i="24"/>
  <c r="BM411" i="24" s="1"/>
  <c r="BO411" i="24"/>
  <c r="BP411" i="24" s="1"/>
  <c r="AB412" i="24"/>
  <c r="AC412" i="24" s="1"/>
  <c r="AE412" i="24"/>
  <c r="AF412" i="24" s="1"/>
  <c r="AH412" i="24"/>
  <c r="AI412" i="24" s="1"/>
  <c r="AK412" i="24"/>
  <c r="AL412" i="24" s="1"/>
  <c r="AN412" i="24"/>
  <c r="AO412" i="24" s="1"/>
  <c r="AQ412" i="24"/>
  <c r="AR412" i="24" s="1"/>
  <c r="AT412" i="24"/>
  <c r="AU412" i="24" s="1"/>
  <c r="AW412" i="24"/>
  <c r="AX412" i="24" s="1"/>
  <c r="AZ412" i="24"/>
  <c r="BA412" i="24" s="1"/>
  <c r="BC412" i="24"/>
  <c r="BD412" i="24" s="1"/>
  <c r="BF412" i="24"/>
  <c r="BG412" i="24" s="1"/>
  <c r="BI412" i="24"/>
  <c r="BJ412" i="24" s="1"/>
  <c r="BL412" i="24"/>
  <c r="BM412" i="24" s="1"/>
  <c r="BO412" i="24"/>
  <c r="BP412" i="24" s="1"/>
  <c r="AB413" i="24"/>
  <c r="AC413" i="24" s="1"/>
  <c r="AE413" i="24"/>
  <c r="AF413" i="24" s="1"/>
  <c r="AH413" i="24"/>
  <c r="AI413" i="24" s="1"/>
  <c r="AK413" i="24"/>
  <c r="AL413" i="24" s="1"/>
  <c r="AN413" i="24"/>
  <c r="AO413" i="24" s="1"/>
  <c r="AQ413" i="24"/>
  <c r="AR413" i="24" s="1"/>
  <c r="AT413" i="24"/>
  <c r="AU413" i="24" s="1"/>
  <c r="AW413" i="24"/>
  <c r="AX413" i="24" s="1"/>
  <c r="AZ413" i="24"/>
  <c r="BA413" i="24" s="1"/>
  <c r="BC413" i="24"/>
  <c r="BD413" i="24" s="1"/>
  <c r="BF413" i="24"/>
  <c r="BG413" i="24" s="1"/>
  <c r="BI413" i="24"/>
  <c r="BJ413" i="24" s="1"/>
  <c r="BL413" i="24"/>
  <c r="BM413" i="24" s="1"/>
  <c r="BO413" i="24"/>
  <c r="BP413" i="24" s="1"/>
  <c r="AB414" i="24"/>
  <c r="AC414" i="24" s="1"/>
  <c r="AE414" i="24"/>
  <c r="AF414" i="24" s="1"/>
  <c r="AH414" i="24"/>
  <c r="AI414" i="24" s="1"/>
  <c r="AK414" i="24"/>
  <c r="AL414" i="24" s="1"/>
  <c r="AN414" i="24"/>
  <c r="AO414" i="24" s="1"/>
  <c r="AQ414" i="24"/>
  <c r="AR414" i="24" s="1"/>
  <c r="AT414" i="24"/>
  <c r="AU414" i="24" s="1"/>
  <c r="AW414" i="24"/>
  <c r="AX414" i="24" s="1"/>
  <c r="AZ414" i="24"/>
  <c r="BA414" i="24" s="1"/>
  <c r="BC414" i="24"/>
  <c r="BD414" i="24" s="1"/>
  <c r="BF414" i="24"/>
  <c r="BG414" i="24" s="1"/>
  <c r="BI414" i="24"/>
  <c r="BJ414" i="24" s="1"/>
  <c r="BL414" i="24"/>
  <c r="BM414" i="24" s="1"/>
  <c r="BO414" i="24"/>
  <c r="BP414" i="24" s="1"/>
  <c r="AB415" i="24"/>
  <c r="AC415" i="24" s="1"/>
  <c r="AE415" i="24"/>
  <c r="AF415" i="24" s="1"/>
  <c r="AH415" i="24"/>
  <c r="AI415" i="24" s="1"/>
  <c r="AK415" i="24"/>
  <c r="AL415" i="24" s="1"/>
  <c r="AN415" i="24"/>
  <c r="AO415" i="24" s="1"/>
  <c r="AQ415" i="24"/>
  <c r="AR415" i="24" s="1"/>
  <c r="AT415" i="24"/>
  <c r="AU415" i="24" s="1"/>
  <c r="AW415" i="24"/>
  <c r="AX415" i="24" s="1"/>
  <c r="AZ415" i="24"/>
  <c r="BA415" i="24" s="1"/>
  <c r="BC415" i="24"/>
  <c r="BD415" i="24" s="1"/>
  <c r="BF415" i="24"/>
  <c r="BG415" i="24" s="1"/>
  <c r="BI415" i="24"/>
  <c r="BJ415" i="24" s="1"/>
  <c r="BL415" i="24"/>
  <c r="BM415" i="24" s="1"/>
  <c r="BO415" i="24"/>
  <c r="BP415" i="24" s="1"/>
  <c r="AB416" i="24"/>
  <c r="AC416" i="24" s="1"/>
  <c r="AE416" i="24"/>
  <c r="AF416" i="24" s="1"/>
  <c r="AH416" i="24"/>
  <c r="AI416" i="24" s="1"/>
  <c r="AK416" i="24"/>
  <c r="AL416" i="24" s="1"/>
  <c r="AN416" i="24"/>
  <c r="AO416" i="24" s="1"/>
  <c r="AQ416" i="24"/>
  <c r="AR416" i="24" s="1"/>
  <c r="AT416" i="24"/>
  <c r="AU416" i="24" s="1"/>
  <c r="AW416" i="24"/>
  <c r="AX416" i="24" s="1"/>
  <c r="AZ416" i="24"/>
  <c r="BA416" i="24" s="1"/>
  <c r="BC416" i="24"/>
  <c r="BD416" i="24" s="1"/>
  <c r="BF416" i="24"/>
  <c r="BG416" i="24" s="1"/>
  <c r="BI416" i="24"/>
  <c r="BJ416" i="24" s="1"/>
  <c r="BL416" i="24"/>
  <c r="BM416" i="24" s="1"/>
  <c r="BO416" i="24"/>
  <c r="BP416" i="24" s="1"/>
  <c r="AB417" i="24"/>
  <c r="AC417" i="24" s="1"/>
  <c r="AE417" i="24"/>
  <c r="AF417" i="24" s="1"/>
  <c r="AH417" i="24"/>
  <c r="AI417" i="24" s="1"/>
  <c r="AK417" i="24"/>
  <c r="AL417" i="24" s="1"/>
  <c r="AN417" i="24"/>
  <c r="AO417" i="24" s="1"/>
  <c r="AQ417" i="24"/>
  <c r="AR417" i="24" s="1"/>
  <c r="AT417" i="24"/>
  <c r="AU417" i="24" s="1"/>
  <c r="AW417" i="24"/>
  <c r="AX417" i="24" s="1"/>
  <c r="AZ417" i="24"/>
  <c r="BA417" i="24" s="1"/>
  <c r="BC417" i="24"/>
  <c r="BD417" i="24" s="1"/>
  <c r="BF417" i="24"/>
  <c r="BG417" i="24" s="1"/>
  <c r="BI417" i="24"/>
  <c r="BJ417" i="24" s="1"/>
  <c r="BL417" i="24"/>
  <c r="BM417" i="24" s="1"/>
  <c r="BO417" i="24"/>
  <c r="BP417" i="24" s="1"/>
  <c r="AB418" i="24"/>
  <c r="AC418" i="24" s="1"/>
  <c r="AE418" i="24"/>
  <c r="AF418" i="24" s="1"/>
  <c r="AH418" i="24"/>
  <c r="AI418" i="24" s="1"/>
  <c r="AK418" i="24"/>
  <c r="AL418" i="24" s="1"/>
  <c r="AN418" i="24"/>
  <c r="AO418" i="24" s="1"/>
  <c r="AQ418" i="24"/>
  <c r="AR418" i="24" s="1"/>
  <c r="AT418" i="24"/>
  <c r="AU418" i="24" s="1"/>
  <c r="AW418" i="24"/>
  <c r="AX418" i="24" s="1"/>
  <c r="AZ418" i="24"/>
  <c r="BA418" i="24" s="1"/>
  <c r="BC418" i="24"/>
  <c r="BD418" i="24" s="1"/>
  <c r="BF418" i="24"/>
  <c r="BG418" i="24" s="1"/>
  <c r="BI418" i="24"/>
  <c r="BJ418" i="24" s="1"/>
  <c r="BL418" i="24"/>
  <c r="BM418" i="24" s="1"/>
  <c r="BO418" i="24"/>
  <c r="BP418" i="24" s="1"/>
  <c r="AB419" i="24"/>
  <c r="AC419" i="24" s="1"/>
  <c r="AE419" i="24"/>
  <c r="AF419" i="24" s="1"/>
  <c r="AH419" i="24"/>
  <c r="AI419" i="24" s="1"/>
  <c r="AK419" i="24"/>
  <c r="AL419" i="24" s="1"/>
  <c r="AN419" i="24"/>
  <c r="AO419" i="24" s="1"/>
  <c r="AQ419" i="24"/>
  <c r="AR419" i="24" s="1"/>
  <c r="AT419" i="24"/>
  <c r="AU419" i="24" s="1"/>
  <c r="AW419" i="24"/>
  <c r="AX419" i="24" s="1"/>
  <c r="AZ419" i="24"/>
  <c r="BA419" i="24" s="1"/>
  <c r="BC419" i="24"/>
  <c r="BD419" i="24" s="1"/>
  <c r="BF419" i="24"/>
  <c r="BG419" i="24" s="1"/>
  <c r="BI419" i="24"/>
  <c r="BJ419" i="24" s="1"/>
  <c r="BL419" i="24"/>
  <c r="BM419" i="24" s="1"/>
  <c r="BO419" i="24"/>
  <c r="BP419" i="24" s="1"/>
  <c r="AB420" i="24"/>
  <c r="AC420" i="24" s="1"/>
  <c r="AE420" i="24"/>
  <c r="AF420" i="24" s="1"/>
  <c r="AH420" i="24"/>
  <c r="AI420" i="24" s="1"/>
  <c r="AK420" i="24"/>
  <c r="AL420" i="24" s="1"/>
  <c r="AN420" i="24"/>
  <c r="AO420" i="24" s="1"/>
  <c r="AQ420" i="24"/>
  <c r="AR420" i="24" s="1"/>
  <c r="AT420" i="24"/>
  <c r="AU420" i="24" s="1"/>
  <c r="AW420" i="24"/>
  <c r="AX420" i="24" s="1"/>
  <c r="AZ420" i="24"/>
  <c r="BA420" i="24" s="1"/>
  <c r="BC420" i="24"/>
  <c r="BD420" i="24" s="1"/>
  <c r="BF420" i="24"/>
  <c r="BG420" i="24" s="1"/>
  <c r="BI420" i="24"/>
  <c r="BJ420" i="24" s="1"/>
  <c r="BL420" i="24"/>
  <c r="BM420" i="24" s="1"/>
  <c r="BO420" i="24"/>
  <c r="BP420" i="24" s="1"/>
  <c r="AB421" i="24"/>
  <c r="AC421" i="24" s="1"/>
  <c r="AE421" i="24"/>
  <c r="AF421" i="24" s="1"/>
  <c r="AH421" i="24"/>
  <c r="AI421" i="24" s="1"/>
  <c r="AK421" i="24"/>
  <c r="AL421" i="24" s="1"/>
  <c r="AN421" i="24"/>
  <c r="AO421" i="24" s="1"/>
  <c r="AQ421" i="24"/>
  <c r="AR421" i="24" s="1"/>
  <c r="AT421" i="24"/>
  <c r="AU421" i="24" s="1"/>
  <c r="AW421" i="24"/>
  <c r="AX421" i="24" s="1"/>
  <c r="AZ421" i="24"/>
  <c r="BA421" i="24" s="1"/>
  <c r="BC421" i="24"/>
  <c r="BD421" i="24" s="1"/>
  <c r="BF421" i="24"/>
  <c r="BG421" i="24" s="1"/>
  <c r="BI421" i="24"/>
  <c r="BJ421" i="24" s="1"/>
  <c r="BL421" i="24"/>
  <c r="BM421" i="24" s="1"/>
  <c r="BO421" i="24"/>
  <c r="BP421" i="24" s="1"/>
  <c r="AB422" i="24"/>
  <c r="AC422" i="24" s="1"/>
  <c r="AE422" i="24"/>
  <c r="AF422" i="24" s="1"/>
  <c r="AH422" i="24"/>
  <c r="AI422" i="24" s="1"/>
  <c r="AK422" i="24"/>
  <c r="AL422" i="24" s="1"/>
  <c r="AN422" i="24"/>
  <c r="AO422" i="24" s="1"/>
  <c r="AQ422" i="24"/>
  <c r="AR422" i="24" s="1"/>
  <c r="AT422" i="24"/>
  <c r="AU422" i="24" s="1"/>
  <c r="AW422" i="24"/>
  <c r="AX422" i="24" s="1"/>
  <c r="AZ422" i="24"/>
  <c r="BA422" i="24" s="1"/>
  <c r="BC422" i="24"/>
  <c r="BD422" i="24" s="1"/>
  <c r="BF422" i="24"/>
  <c r="BG422" i="24" s="1"/>
  <c r="BI422" i="24"/>
  <c r="BJ422" i="24" s="1"/>
  <c r="BL422" i="24"/>
  <c r="BM422" i="24" s="1"/>
  <c r="BO422" i="24"/>
  <c r="BP422" i="24" s="1"/>
  <c r="AB423" i="24"/>
  <c r="AC423" i="24" s="1"/>
  <c r="AE423" i="24"/>
  <c r="AF423" i="24" s="1"/>
  <c r="AH423" i="24"/>
  <c r="AI423" i="24" s="1"/>
  <c r="AK423" i="24"/>
  <c r="AL423" i="24" s="1"/>
  <c r="AN423" i="24"/>
  <c r="AO423" i="24" s="1"/>
  <c r="AQ423" i="24"/>
  <c r="AR423" i="24" s="1"/>
  <c r="AT423" i="24"/>
  <c r="AU423" i="24" s="1"/>
  <c r="AW423" i="24"/>
  <c r="AX423" i="24" s="1"/>
  <c r="AZ423" i="24"/>
  <c r="BA423" i="24" s="1"/>
  <c r="BC423" i="24"/>
  <c r="BD423" i="24" s="1"/>
  <c r="BF423" i="24"/>
  <c r="BG423" i="24" s="1"/>
  <c r="BI423" i="24"/>
  <c r="BJ423" i="24" s="1"/>
  <c r="BL423" i="24"/>
  <c r="BM423" i="24" s="1"/>
  <c r="BO423" i="24"/>
  <c r="BP423" i="24" s="1"/>
  <c r="AB424" i="24"/>
  <c r="AC424" i="24" s="1"/>
  <c r="AE424" i="24"/>
  <c r="AF424" i="24" s="1"/>
  <c r="AH424" i="24"/>
  <c r="AI424" i="24" s="1"/>
  <c r="AK424" i="24"/>
  <c r="AL424" i="24" s="1"/>
  <c r="AN424" i="24"/>
  <c r="AO424" i="24" s="1"/>
  <c r="AQ424" i="24"/>
  <c r="AR424" i="24" s="1"/>
  <c r="AT424" i="24"/>
  <c r="AU424" i="24" s="1"/>
  <c r="AW424" i="24"/>
  <c r="AX424" i="24" s="1"/>
  <c r="AZ424" i="24"/>
  <c r="BA424" i="24" s="1"/>
  <c r="BC424" i="24"/>
  <c r="BD424" i="24" s="1"/>
  <c r="BF424" i="24"/>
  <c r="BG424" i="24" s="1"/>
  <c r="BI424" i="24"/>
  <c r="BJ424" i="24" s="1"/>
  <c r="BL424" i="24"/>
  <c r="BM424" i="24" s="1"/>
  <c r="BO424" i="24"/>
  <c r="BP424" i="24" s="1"/>
  <c r="AB425" i="24"/>
  <c r="AC425" i="24" s="1"/>
  <c r="AE425" i="24"/>
  <c r="AF425" i="24" s="1"/>
  <c r="AH425" i="24"/>
  <c r="AI425" i="24" s="1"/>
  <c r="AK425" i="24"/>
  <c r="AL425" i="24" s="1"/>
  <c r="AN425" i="24"/>
  <c r="AO425" i="24" s="1"/>
  <c r="AQ425" i="24"/>
  <c r="AR425" i="24" s="1"/>
  <c r="AT425" i="24"/>
  <c r="AU425" i="24" s="1"/>
  <c r="AW425" i="24"/>
  <c r="AX425" i="24" s="1"/>
  <c r="AZ425" i="24"/>
  <c r="BA425" i="24" s="1"/>
  <c r="BC425" i="24"/>
  <c r="BD425" i="24" s="1"/>
  <c r="BF425" i="24"/>
  <c r="BG425" i="24" s="1"/>
  <c r="BI425" i="24"/>
  <c r="BJ425" i="24" s="1"/>
  <c r="BL425" i="24"/>
  <c r="BM425" i="24" s="1"/>
  <c r="BO425" i="24"/>
  <c r="BP425" i="24" s="1"/>
  <c r="AB426" i="24"/>
  <c r="AC426" i="24" s="1"/>
  <c r="AE426" i="24"/>
  <c r="AF426" i="24" s="1"/>
  <c r="AH426" i="24"/>
  <c r="AI426" i="24" s="1"/>
  <c r="AK426" i="24"/>
  <c r="AL426" i="24" s="1"/>
  <c r="AN426" i="24"/>
  <c r="AO426" i="24" s="1"/>
  <c r="AQ426" i="24"/>
  <c r="AR426" i="24" s="1"/>
  <c r="AT426" i="24"/>
  <c r="AU426" i="24" s="1"/>
  <c r="AW426" i="24"/>
  <c r="AX426" i="24" s="1"/>
  <c r="AZ426" i="24"/>
  <c r="BA426" i="24" s="1"/>
  <c r="BC426" i="24"/>
  <c r="BD426" i="24" s="1"/>
  <c r="BF426" i="24"/>
  <c r="BG426" i="24" s="1"/>
  <c r="BI426" i="24"/>
  <c r="BJ426" i="24" s="1"/>
  <c r="BL426" i="24"/>
  <c r="BM426" i="24" s="1"/>
  <c r="BO426" i="24"/>
  <c r="BP426" i="24" s="1"/>
  <c r="AB427" i="24"/>
  <c r="AC427" i="24" s="1"/>
  <c r="AE427" i="24"/>
  <c r="AF427" i="24" s="1"/>
  <c r="AH427" i="24"/>
  <c r="AI427" i="24" s="1"/>
  <c r="AK427" i="24"/>
  <c r="AL427" i="24" s="1"/>
  <c r="AN427" i="24"/>
  <c r="AO427" i="24" s="1"/>
  <c r="AQ427" i="24"/>
  <c r="AR427" i="24" s="1"/>
  <c r="AT427" i="24"/>
  <c r="AU427" i="24" s="1"/>
  <c r="AW427" i="24"/>
  <c r="AX427" i="24" s="1"/>
  <c r="AZ427" i="24"/>
  <c r="BA427" i="24" s="1"/>
  <c r="BC427" i="24"/>
  <c r="BD427" i="24" s="1"/>
  <c r="BF427" i="24"/>
  <c r="BG427" i="24" s="1"/>
  <c r="BI427" i="24"/>
  <c r="BJ427" i="24" s="1"/>
  <c r="BL427" i="24"/>
  <c r="BM427" i="24" s="1"/>
  <c r="BO427" i="24"/>
  <c r="BP427" i="24" s="1"/>
  <c r="AB428" i="24"/>
  <c r="AC428" i="24" s="1"/>
  <c r="AE428" i="24"/>
  <c r="AF428" i="24" s="1"/>
  <c r="AH428" i="24"/>
  <c r="AI428" i="24" s="1"/>
  <c r="AK428" i="24"/>
  <c r="AL428" i="24" s="1"/>
  <c r="AN428" i="24"/>
  <c r="AO428" i="24" s="1"/>
  <c r="AQ428" i="24"/>
  <c r="AR428" i="24" s="1"/>
  <c r="AT428" i="24"/>
  <c r="AU428" i="24" s="1"/>
  <c r="AW428" i="24"/>
  <c r="AX428" i="24" s="1"/>
  <c r="AZ428" i="24"/>
  <c r="BA428" i="24" s="1"/>
  <c r="BC428" i="24"/>
  <c r="BD428" i="24" s="1"/>
  <c r="BF428" i="24"/>
  <c r="BG428" i="24" s="1"/>
  <c r="BI428" i="24"/>
  <c r="BJ428" i="24" s="1"/>
  <c r="BL428" i="24"/>
  <c r="BM428" i="24" s="1"/>
  <c r="BO428" i="24"/>
  <c r="BP428" i="24" s="1"/>
  <c r="AB429" i="24"/>
  <c r="AC429" i="24" s="1"/>
  <c r="AE429" i="24"/>
  <c r="AF429" i="24" s="1"/>
  <c r="AH429" i="24"/>
  <c r="AI429" i="24" s="1"/>
  <c r="AK429" i="24"/>
  <c r="AL429" i="24" s="1"/>
  <c r="AN429" i="24"/>
  <c r="AO429" i="24" s="1"/>
  <c r="AQ429" i="24"/>
  <c r="AR429" i="24" s="1"/>
  <c r="AT429" i="24"/>
  <c r="AU429" i="24" s="1"/>
  <c r="AW429" i="24"/>
  <c r="AX429" i="24" s="1"/>
  <c r="AZ429" i="24"/>
  <c r="BA429" i="24" s="1"/>
  <c r="BC429" i="24"/>
  <c r="BD429" i="24" s="1"/>
  <c r="BF429" i="24"/>
  <c r="BG429" i="24" s="1"/>
  <c r="BI429" i="24"/>
  <c r="BJ429" i="24" s="1"/>
  <c r="BL429" i="24"/>
  <c r="BM429" i="24" s="1"/>
  <c r="BO429" i="24"/>
  <c r="BP429" i="24" s="1"/>
  <c r="AB430" i="24"/>
  <c r="AC430" i="24" s="1"/>
  <c r="AE430" i="24"/>
  <c r="AF430" i="24" s="1"/>
  <c r="AH430" i="24"/>
  <c r="AI430" i="24" s="1"/>
  <c r="AK430" i="24"/>
  <c r="AL430" i="24" s="1"/>
  <c r="AN430" i="24"/>
  <c r="AO430" i="24" s="1"/>
  <c r="AQ430" i="24"/>
  <c r="AR430" i="24" s="1"/>
  <c r="AT430" i="24"/>
  <c r="AU430" i="24" s="1"/>
  <c r="AW430" i="24"/>
  <c r="AX430" i="24" s="1"/>
  <c r="AZ430" i="24"/>
  <c r="BA430" i="24" s="1"/>
  <c r="BC430" i="24"/>
  <c r="BD430" i="24" s="1"/>
  <c r="BF430" i="24"/>
  <c r="BG430" i="24" s="1"/>
  <c r="BI430" i="24"/>
  <c r="BJ430" i="24" s="1"/>
  <c r="BL430" i="24"/>
  <c r="BM430" i="24" s="1"/>
  <c r="BO430" i="24"/>
  <c r="BP430" i="24" s="1"/>
  <c r="AB431" i="24"/>
  <c r="AC431" i="24" s="1"/>
  <c r="AE431" i="24"/>
  <c r="AF431" i="24" s="1"/>
  <c r="AH431" i="24"/>
  <c r="AI431" i="24" s="1"/>
  <c r="AK431" i="24"/>
  <c r="AL431" i="24" s="1"/>
  <c r="AN431" i="24"/>
  <c r="AO431" i="24" s="1"/>
  <c r="AQ431" i="24"/>
  <c r="AR431" i="24" s="1"/>
  <c r="AT431" i="24"/>
  <c r="AU431" i="24" s="1"/>
  <c r="AW431" i="24"/>
  <c r="AX431" i="24" s="1"/>
  <c r="AZ431" i="24"/>
  <c r="BA431" i="24" s="1"/>
  <c r="BC431" i="24"/>
  <c r="BD431" i="24" s="1"/>
  <c r="BF431" i="24"/>
  <c r="BG431" i="24" s="1"/>
  <c r="BI431" i="24"/>
  <c r="BJ431" i="24" s="1"/>
  <c r="BL431" i="24"/>
  <c r="BM431" i="24" s="1"/>
  <c r="BO431" i="24"/>
  <c r="BP431" i="24" s="1"/>
  <c r="Y401" i="24"/>
  <c r="Z401" i="24" s="1"/>
  <c r="Y402" i="24"/>
  <c r="Z402" i="24" s="1"/>
  <c r="Y403" i="24"/>
  <c r="Z403" i="24" s="1"/>
  <c r="Y404" i="24"/>
  <c r="Z404" i="24" s="1"/>
  <c r="Y405" i="24"/>
  <c r="Z405" i="24" s="1"/>
  <c r="Y406" i="24"/>
  <c r="Z406" i="24" s="1"/>
  <c r="Y407" i="24"/>
  <c r="Z407" i="24" s="1"/>
  <c r="Y408" i="24"/>
  <c r="Z408" i="24" s="1"/>
  <c r="Y409" i="24"/>
  <c r="Z409" i="24" s="1"/>
  <c r="Y410" i="24"/>
  <c r="Z410" i="24" s="1"/>
  <c r="Y411" i="24"/>
  <c r="Z411" i="24" s="1"/>
  <c r="Y412" i="24"/>
  <c r="Z412" i="24" s="1"/>
  <c r="Y413" i="24"/>
  <c r="Z413" i="24" s="1"/>
  <c r="Y414" i="24"/>
  <c r="Z414" i="24" s="1"/>
  <c r="Y415" i="24"/>
  <c r="Z415" i="24" s="1"/>
  <c r="Y416" i="24"/>
  <c r="Z416" i="24" s="1"/>
  <c r="Y417" i="24"/>
  <c r="Z417" i="24" s="1"/>
  <c r="Y418" i="24"/>
  <c r="Z418" i="24" s="1"/>
  <c r="Y419" i="24"/>
  <c r="Z419" i="24" s="1"/>
  <c r="Y420" i="24"/>
  <c r="Z420" i="24" s="1"/>
  <c r="Y421" i="24"/>
  <c r="Z421" i="24" s="1"/>
  <c r="Y422" i="24"/>
  <c r="Z422" i="24" s="1"/>
  <c r="Y423" i="24"/>
  <c r="Z423" i="24" s="1"/>
  <c r="Y424" i="24"/>
  <c r="Z424" i="24" s="1"/>
  <c r="Y425" i="24"/>
  <c r="Z425" i="24" s="1"/>
  <c r="Y426" i="24"/>
  <c r="Z426" i="24" s="1"/>
  <c r="Y427" i="24"/>
  <c r="Z427" i="24" s="1"/>
  <c r="Y428" i="24"/>
  <c r="Z428" i="24" s="1"/>
  <c r="Y429" i="24"/>
  <c r="Z429" i="24" s="1"/>
  <c r="Y430" i="24"/>
  <c r="Z430" i="24" s="1"/>
  <c r="Y431" i="24"/>
  <c r="Z431" i="24" s="1"/>
  <c r="V401" i="24"/>
  <c r="W401" i="24" s="1"/>
  <c r="V402" i="24"/>
  <c r="W402" i="24" s="1"/>
  <c r="V403" i="24"/>
  <c r="W403" i="24" s="1"/>
  <c r="V404" i="24"/>
  <c r="V405" i="24"/>
  <c r="W405" i="24" s="1"/>
  <c r="V406" i="24"/>
  <c r="W406" i="24" s="1"/>
  <c r="V407" i="24"/>
  <c r="W407" i="24" s="1"/>
  <c r="V408" i="24"/>
  <c r="W408" i="24" s="1"/>
  <c r="V409" i="24"/>
  <c r="W409" i="24" s="1"/>
  <c r="V410" i="24"/>
  <c r="W410" i="24" s="1"/>
  <c r="V411" i="24"/>
  <c r="W411" i="24" s="1"/>
  <c r="V412" i="24"/>
  <c r="W412" i="24" s="1"/>
  <c r="V413" i="24"/>
  <c r="W413" i="24" s="1"/>
  <c r="V414" i="24"/>
  <c r="W414" i="24" s="1"/>
  <c r="V415" i="24"/>
  <c r="W415" i="24" s="1"/>
  <c r="V416" i="24"/>
  <c r="W416" i="24" s="1"/>
  <c r="V417" i="24"/>
  <c r="V418" i="24"/>
  <c r="W418" i="24" s="1"/>
  <c r="V419" i="24"/>
  <c r="W419" i="24" s="1"/>
  <c r="V420" i="24"/>
  <c r="W420" i="24" s="1"/>
  <c r="V421" i="24"/>
  <c r="W421" i="24" s="1"/>
  <c r="V422" i="24"/>
  <c r="W422" i="24" s="1"/>
  <c r="V423" i="24"/>
  <c r="W423" i="24" s="1"/>
  <c r="V424" i="24"/>
  <c r="W424" i="24" s="1"/>
  <c r="V425" i="24"/>
  <c r="W425" i="24" s="1"/>
  <c r="V426" i="24"/>
  <c r="V427" i="24"/>
  <c r="W427" i="24" s="1"/>
  <c r="V428" i="24"/>
  <c r="W428" i="24" s="1"/>
  <c r="V429" i="24"/>
  <c r="W429" i="24" s="1"/>
  <c r="V430" i="24"/>
  <c r="W430" i="24" s="1"/>
  <c r="V431" i="24"/>
  <c r="W431" i="24" s="1"/>
  <c r="S401" i="24"/>
  <c r="T401" i="24" s="1"/>
  <c r="S402" i="24"/>
  <c r="T402" i="24" s="1"/>
  <c r="S403" i="24"/>
  <c r="S404" i="24"/>
  <c r="S405" i="24"/>
  <c r="T405" i="24" s="1"/>
  <c r="S406" i="24"/>
  <c r="T406" i="24" s="1"/>
  <c r="S407" i="24"/>
  <c r="T407" i="24" s="1"/>
  <c r="S408" i="24"/>
  <c r="S409" i="24"/>
  <c r="T409" i="24" s="1"/>
  <c r="S410" i="24"/>
  <c r="T410" i="24" s="1"/>
  <c r="S411" i="24"/>
  <c r="T411" i="24" s="1"/>
  <c r="S412" i="24"/>
  <c r="T412" i="24" s="1"/>
  <c r="S413" i="24"/>
  <c r="T413" i="24" s="1"/>
  <c r="S414" i="24"/>
  <c r="S415" i="24"/>
  <c r="T415" i="24" s="1"/>
  <c r="S416" i="24"/>
  <c r="T416" i="24" s="1"/>
  <c r="S417" i="24"/>
  <c r="S418" i="24"/>
  <c r="T418" i="24" s="1"/>
  <c r="S419" i="24"/>
  <c r="S420" i="24"/>
  <c r="T420" i="24" s="1"/>
  <c r="S421" i="24"/>
  <c r="T421" i="24" s="1"/>
  <c r="S422" i="24"/>
  <c r="T422" i="24" s="1"/>
  <c r="S423" i="24"/>
  <c r="T423" i="24" s="1"/>
  <c r="S424" i="24"/>
  <c r="T424" i="24" s="1"/>
  <c r="S425" i="24"/>
  <c r="T425" i="24" s="1"/>
  <c r="S426" i="24"/>
  <c r="S427" i="24"/>
  <c r="T427" i="24" s="1"/>
  <c r="S428" i="24"/>
  <c r="T428" i="24" s="1"/>
  <c r="S429" i="24"/>
  <c r="T429" i="24" s="1"/>
  <c r="S430" i="24"/>
  <c r="T430" i="24" s="1"/>
  <c r="S431" i="24"/>
  <c r="T431" i="24" s="1"/>
  <c r="P401" i="24"/>
  <c r="Q401" i="24" s="1"/>
  <c r="P402" i="24"/>
  <c r="Q402" i="24" s="1"/>
  <c r="P403" i="24"/>
  <c r="P404" i="24"/>
  <c r="P405" i="24"/>
  <c r="Q405" i="24" s="1"/>
  <c r="P406" i="24"/>
  <c r="Q406" i="24" s="1"/>
  <c r="P407" i="24"/>
  <c r="P408" i="24"/>
  <c r="P409" i="24"/>
  <c r="Q409" i="24" s="1"/>
  <c r="P410" i="24"/>
  <c r="P411" i="24"/>
  <c r="Q411" i="24" s="1"/>
  <c r="P412" i="24"/>
  <c r="Q412" i="24" s="1"/>
  <c r="P413" i="24"/>
  <c r="Q413" i="24" s="1"/>
  <c r="P414" i="24"/>
  <c r="P415" i="24"/>
  <c r="Q415" i="24" s="1"/>
  <c r="P416" i="24"/>
  <c r="Q416" i="24" s="1"/>
  <c r="P417" i="24"/>
  <c r="P418" i="24"/>
  <c r="Q418" i="24" s="1"/>
  <c r="P419" i="24"/>
  <c r="P420" i="24"/>
  <c r="Q420" i="24" s="1"/>
  <c r="P421" i="24"/>
  <c r="Q421" i="24" s="1"/>
  <c r="P422" i="24"/>
  <c r="P423" i="24"/>
  <c r="Q423" i="24" s="1"/>
  <c r="P424" i="24"/>
  <c r="Q424" i="24" s="1"/>
  <c r="P425" i="24"/>
  <c r="Q425" i="24" s="1"/>
  <c r="P426" i="24"/>
  <c r="P427" i="24"/>
  <c r="Q427" i="24" s="1"/>
  <c r="P428" i="24"/>
  <c r="Q428" i="24" s="1"/>
  <c r="P429" i="24"/>
  <c r="Q429" i="24" s="1"/>
  <c r="P430" i="24"/>
  <c r="Q430" i="24" s="1"/>
  <c r="P431" i="24"/>
  <c r="Q431" i="24" s="1"/>
  <c r="M401" i="24"/>
  <c r="M402" i="24"/>
  <c r="M403" i="24"/>
  <c r="M404" i="24"/>
  <c r="M405" i="24"/>
  <c r="M406" i="24"/>
  <c r="M407" i="24"/>
  <c r="M408" i="24"/>
  <c r="M409" i="24"/>
  <c r="M410" i="24"/>
  <c r="M411" i="24"/>
  <c r="M412" i="24"/>
  <c r="M413" i="24"/>
  <c r="M414" i="24"/>
  <c r="M415" i="24"/>
  <c r="M416" i="24"/>
  <c r="M417" i="24"/>
  <c r="M418" i="24"/>
  <c r="M419" i="24"/>
  <c r="M420" i="24"/>
  <c r="M421" i="24"/>
  <c r="M422" i="24"/>
  <c r="M423" i="24"/>
  <c r="M424" i="24"/>
  <c r="M425" i="24"/>
  <c r="M426" i="24"/>
  <c r="M427" i="24"/>
  <c r="M428" i="24"/>
  <c r="M429" i="24"/>
  <c r="M430" i="24"/>
  <c r="M431" i="24"/>
  <c r="J401" i="24"/>
  <c r="B483" i="24" s="1"/>
  <c r="J402" i="24"/>
  <c r="B484" i="24" s="1"/>
  <c r="J403" i="24"/>
  <c r="B485" i="24" s="1"/>
  <c r="J406" i="24"/>
  <c r="B488" i="24" s="1"/>
  <c r="J407" i="24"/>
  <c r="B489" i="24" s="1"/>
  <c r="J408" i="24"/>
  <c r="B490" i="24" s="1"/>
  <c r="J409" i="24"/>
  <c r="B491" i="24" s="1"/>
  <c r="J410" i="24"/>
  <c r="B492" i="24" s="1"/>
  <c r="J411" i="24"/>
  <c r="B493" i="24" s="1"/>
  <c r="J412" i="24"/>
  <c r="B494" i="24" s="1"/>
  <c r="J413" i="24"/>
  <c r="B495" i="24" s="1"/>
  <c r="J414" i="24"/>
  <c r="B496" i="24" s="1"/>
  <c r="J415" i="24"/>
  <c r="B497" i="24" s="1"/>
  <c r="J416" i="24"/>
  <c r="B498" i="24" s="1"/>
  <c r="J417" i="24"/>
  <c r="B499" i="24" s="1"/>
  <c r="J418" i="24"/>
  <c r="B500" i="24" s="1"/>
  <c r="J419" i="24"/>
  <c r="B501" i="24" s="1"/>
  <c r="J420" i="24"/>
  <c r="B502" i="24" s="1"/>
  <c r="J421" i="24"/>
  <c r="B503" i="24" s="1"/>
  <c r="J422" i="24"/>
  <c r="B504" i="24" s="1"/>
  <c r="J423" i="24"/>
  <c r="B505" i="24" s="1"/>
  <c r="J424" i="24"/>
  <c r="B506" i="24" s="1"/>
  <c r="J425" i="24"/>
  <c r="B507" i="24" s="1"/>
  <c r="J426" i="24"/>
  <c r="B508" i="24" s="1"/>
  <c r="J427" i="24"/>
  <c r="B509" i="24" s="1"/>
  <c r="J428" i="24"/>
  <c r="B510" i="24" s="1"/>
  <c r="J429" i="24"/>
  <c r="B511" i="24" s="1"/>
  <c r="J430" i="24"/>
  <c r="B512" i="24" s="1"/>
  <c r="J431" i="24"/>
  <c r="B513" i="24" s="1"/>
  <c r="B444" i="24"/>
  <c r="B445" i="24"/>
  <c r="B446" i="24"/>
  <c r="B447" i="24"/>
  <c r="B448" i="24"/>
  <c r="B449" i="24"/>
  <c r="B450" i="24"/>
  <c r="B451" i="24"/>
  <c r="B452" i="24"/>
  <c r="B453" i="24"/>
  <c r="B454" i="24"/>
  <c r="B455" i="24"/>
  <c r="B456" i="24"/>
  <c r="B457" i="24"/>
  <c r="B458" i="24"/>
  <c r="B459" i="24"/>
  <c r="B460" i="24"/>
  <c r="B461" i="24"/>
  <c r="B462" i="24"/>
  <c r="B463" i="24"/>
  <c r="B464" i="24"/>
  <c r="B465" i="24"/>
  <c r="B466" i="24"/>
  <c r="B467" i="24"/>
  <c r="B468" i="24"/>
  <c r="B469" i="24"/>
  <c r="B470" i="24"/>
  <c r="B471" i="24"/>
  <c r="B472" i="24"/>
  <c r="B473" i="24"/>
  <c r="B474" i="24"/>
  <c r="N428" i="24" l="1"/>
  <c r="BQ428" i="24"/>
  <c r="BQ417" i="24"/>
  <c r="N401" i="24"/>
  <c r="BQ401" i="24"/>
  <c r="BQ416" i="24"/>
  <c r="N431" i="24"/>
  <c r="BQ431" i="24"/>
  <c r="BQ415" i="24"/>
  <c r="BQ430" i="24"/>
  <c r="BQ414" i="24"/>
  <c r="N429" i="24"/>
  <c r="BQ429" i="24"/>
  <c r="N413" i="24"/>
  <c r="BQ413" i="24"/>
  <c r="N412" i="24"/>
  <c r="BQ412" i="24"/>
  <c r="B529" i="24"/>
  <c r="BQ427" i="24"/>
  <c r="N411" i="24"/>
  <c r="BQ411" i="24"/>
  <c r="B528" i="24"/>
  <c r="BQ426" i="24"/>
  <c r="B524" i="24"/>
  <c r="BQ410" i="24"/>
  <c r="N425" i="24"/>
  <c r="BQ425" i="24"/>
  <c r="BQ409" i="24"/>
  <c r="N424" i="24"/>
  <c r="BQ424" i="24"/>
  <c r="BQ408" i="24"/>
  <c r="BQ423" i="24"/>
  <c r="B522" i="24"/>
  <c r="BQ407" i="24"/>
  <c r="BQ422" i="24"/>
  <c r="N406" i="24"/>
  <c r="BQ406" i="24"/>
  <c r="BQ421" i="24"/>
  <c r="N405" i="24"/>
  <c r="BQ405" i="24"/>
  <c r="BQ420" i="24"/>
  <c r="B521" i="24"/>
  <c r="BQ404" i="24"/>
  <c r="BQ419" i="24"/>
  <c r="BQ403" i="24"/>
  <c r="BQ418" i="24"/>
  <c r="N402" i="24"/>
  <c r="BQ402" i="24"/>
  <c r="B532" i="24"/>
  <c r="B523" i="24"/>
  <c r="B527" i="24"/>
  <c r="B534" i="24"/>
  <c r="B533" i="24"/>
  <c r="B531" i="24"/>
  <c r="B526" i="24"/>
  <c r="B525" i="24"/>
  <c r="AB279" i="15"/>
  <c r="N279" i="15"/>
  <c r="S279" i="15" s="1"/>
  <c r="AB278" i="15"/>
  <c r="N278" i="15"/>
  <c r="O278" i="15" s="1"/>
  <c r="S278" i="15" l="1"/>
  <c r="P278" i="15"/>
  <c r="Q278" i="15"/>
  <c r="R278" i="15"/>
  <c r="T278" i="15"/>
  <c r="O279" i="15"/>
  <c r="P279" i="15"/>
  <c r="Q279" i="15"/>
  <c r="R279" i="15"/>
  <c r="T279" i="15"/>
  <c r="CS371" i="42" l="1"/>
  <c r="CW273" i="2" s="1"/>
  <c r="CS372" i="42"/>
  <c r="DC273" i="2" s="1"/>
  <c r="CS373" i="42"/>
  <c r="CS374" i="42"/>
  <c r="CS375" i="42"/>
  <c r="CS376" i="42"/>
  <c r="CS377" i="42"/>
  <c r="IO279" i="2" s="1"/>
  <c r="CS378" i="42"/>
  <c r="DA280" i="2" s="1"/>
  <c r="CS379" i="42"/>
  <c r="CY280" i="2" s="1"/>
  <c r="CS380" i="42"/>
  <c r="BN280" i="2" s="1"/>
  <c r="CS381" i="42"/>
  <c r="CS382" i="42"/>
  <c r="BL280" i="2" s="1"/>
  <c r="CS383" i="42"/>
  <c r="CS384" i="42"/>
  <c r="DE280" i="2" s="1"/>
  <c r="CS385" i="42"/>
  <c r="CS386" i="42"/>
  <c r="CW280" i="2" s="1"/>
  <c r="CS387" i="42"/>
  <c r="HD281" i="2" s="1"/>
  <c r="CS388" i="42"/>
  <c r="DC280" i="2" s="1"/>
  <c r="CS389" i="42"/>
  <c r="BV283" i="2" s="1"/>
  <c r="CS390" i="42"/>
  <c r="HF281" i="2" s="1"/>
  <c r="CS391" i="42"/>
  <c r="BL287" i="2" s="1"/>
  <c r="CS392" i="42"/>
  <c r="CW282" i="2" s="1"/>
  <c r="CS393" i="42"/>
  <c r="BP283" i="2" s="1"/>
  <c r="CS394" i="42"/>
  <c r="CS395" i="42"/>
  <c r="CS396" i="42"/>
  <c r="CS397" i="42"/>
  <c r="EJ285" i="2" s="1"/>
  <c r="CS398" i="42"/>
  <c r="EP285" i="2" s="1"/>
  <c r="CS399" i="42"/>
  <c r="CS400" i="42"/>
  <c r="CS401" i="42"/>
  <c r="IQ279" i="2" s="1"/>
  <c r="CS402" i="42"/>
  <c r="AA354" i="2" s="1"/>
  <c r="CS403" i="42"/>
  <c r="CS404" i="42"/>
  <c r="CS405" i="42"/>
  <c r="CS406" i="42"/>
  <c r="CS407" i="42"/>
  <c r="CS408" i="42"/>
  <c r="CS409" i="42"/>
  <c r="CS410" i="42"/>
  <c r="CS411" i="42"/>
  <c r="CS412" i="42"/>
  <c r="CS413" i="42"/>
  <c r="IQ290" i="2" s="1"/>
  <c r="CS414" i="42"/>
  <c r="IO290" i="2" s="1"/>
  <c r="CS415" i="42"/>
  <c r="IS290" i="2" s="1"/>
  <c r="CS416" i="42"/>
  <c r="BP291" i="2" s="1"/>
  <c r="CS417" i="42"/>
  <c r="CS418" i="42"/>
  <c r="CS419" i="42"/>
  <c r="CS420" i="42"/>
  <c r="CS421" i="42"/>
  <c r="CY292" i="2" s="1"/>
  <c r="CS422" i="42"/>
  <c r="CS423" i="42"/>
  <c r="DE292" i="2" s="1"/>
  <c r="CS424" i="42"/>
  <c r="DC292" i="2" s="1"/>
  <c r="CS425" i="42"/>
  <c r="DA292" i="2" s="1"/>
  <c r="CS426" i="42"/>
  <c r="CS427" i="42"/>
  <c r="IW344" i="2" s="1"/>
  <c r="CS428" i="42"/>
  <c r="IO344" i="2" s="1"/>
  <c r="CS429" i="42"/>
  <c r="CY344" i="2" s="1"/>
  <c r="DN344" i="2" s="1"/>
  <c r="DP344" i="2" s="1"/>
  <c r="HU281" i="2" l="1"/>
  <c r="HW281" i="2" s="1"/>
  <c r="HD284" i="2"/>
  <c r="EH344" i="2"/>
  <c r="IO291" i="2"/>
  <c r="BN287" i="2"/>
  <c r="EJ284" i="2"/>
  <c r="CY286" i="2"/>
  <c r="CY283" i="2"/>
  <c r="BN284" i="2"/>
  <c r="BL281" i="2"/>
  <c r="CW272" i="2"/>
  <c r="EH272" i="2"/>
  <c r="BN282" i="2"/>
  <c r="EJ279" i="2"/>
  <c r="EH278" i="2"/>
  <c r="EH277" i="2"/>
  <c r="DA277" i="2"/>
  <c r="JF290" i="2"/>
  <c r="JH290" i="2" s="1"/>
  <c r="EL350" i="2"/>
  <c r="EY350" i="2" s="1"/>
  <c r="BP287" i="2"/>
  <c r="CW292" i="2"/>
  <c r="DN292" i="2" s="1"/>
  <c r="DP292" i="2" s="1"/>
  <c r="BL359" i="2"/>
  <c r="DC233" i="2"/>
  <c r="FY230" i="2"/>
  <c r="EJ233" i="2"/>
  <c r="DA231" i="2"/>
  <c r="EN230" i="2"/>
  <c r="BP231" i="2"/>
  <c r="AA234" i="2"/>
  <c r="AA231" i="2"/>
  <c r="AA230" i="2"/>
  <c r="AA239" i="2"/>
  <c r="AA229" i="2"/>
  <c r="AA232" i="2"/>
  <c r="JF344" i="2"/>
  <c r="JH344" i="2" s="1"/>
  <c r="FS350" i="2"/>
  <c r="EH349" i="2"/>
  <c r="AA356" i="2"/>
  <c r="EJ352" i="2"/>
  <c r="EH348" i="2"/>
  <c r="BN356" i="2"/>
  <c r="EH351" i="2"/>
  <c r="EH346" i="2"/>
  <c r="EH291" i="2"/>
  <c r="FS352" i="2"/>
  <c r="HF283" i="2"/>
  <c r="CW284" i="2"/>
  <c r="IS279" i="2"/>
  <c r="CW279" i="2"/>
  <c r="HD282" i="2"/>
  <c r="BN283" i="2"/>
  <c r="HD280" i="2"/>
  <c r="FS281" i="2"/>
  <c r="EH270" i="2"/>
  <c r="BL260" i="2"/>
  <c r="CW265" i="2"/>
  <c r="DA267" i="2"/>
  <c r="HD273" i="2"/>
  <c r="BN272" i="2"/>
  <c r="IO278" i="2"/>
  <c r="IO277" i="2"/>
  <c r="IO276" i="2"/>
  <c r="EL276" i="2"/>
  <c r="CW278" i="2"/>
  <c r="FS272" i="2"/>
  <c r="CW277" i="2"/>
  <c r="CW276" i="2"/>
  <c r="IO272" i="2"/>
  <c r="BN276" i="2"/>
  <c r="BL366" i="2"/>
  <c r="FU362" i="2"/>
  <c r="BL361" i="2"/>
  <c r="CW359" i="2"/>
  <c r="CY362" i="2"/>
  <c r="EH360" i="2"/>
  <c r="FS361" i="2"/>
  <c r="BN363" i="2"/>
  <c r="CC363" i="2" s="1"/>
  <c r="CE363" i="2" s="1"/>
  <c r="BL368" i="2"/>
  <c r="BL360" i="2"/>
  <c r="EH359" i="2"/>
  <c r="BN352" i="2"/>
  <c r="EL362" i="2"/>
  <c r="CW357" i="2"/>
  <c r="DN357" i="2" s="1"/>
  <c r="DP357" i="2" s="1"/>
  <c r="FS356" i="2"/>
  <c r="CW369" i="2"/>
  <c r="EH358" i="2"/>
  <c r="HH354" i="2"/>
  <c r="BL367" i="2"/>
  <c r="CW364" i="2"/>
  <c r="BN362" i="2"/>
  <c r="AA282" i="2"/>
  <c r="AA281" i="2"/>
  <c r="BT276" i="2"/>
  <c r="AA279" i="2"/>
  <c r="AA278" i="2"/>
  <c r="AA277" i="2"/>
  <c r="AA280" i="2"/>
  <c r="EH287" i="2"/>
  <c r="EH345" i="2"/>
  <c r="HD287" i="2"/>
  <c r="CY277" i="2"/>
  <c r="EJ276" i="2"/>
  <c r="EH271" i="2"/>
  <c r="EY271" i="2" s="1"/>
  <c r="FA271" i="2" s="1"/>
  <c r="HD268" i="2"/>
  <c r="HD267" i="2"/>
  <c r="IO269" i="2"/>
  <c r="HD271" i="2"/>
  <c r="CW271" i="2"/>
  <c r="EH284" i="2"/>
  <c r="BL285" i="2"/>
  <c r="BR287" i="2"/>
  <c r="CY282" i="2"/>
  <c r="AA293" i="2"/>
  <c r="EH290" i="2"/>
  <c r="AE288" i="2"/>
  <c r="BP280" i="2"/>
  <c r="CC280" i="2" s="1"/>
  <c r="CE280" i="2" s="1"/>
  <c r="FS279" i="2"/>
  <c r="FS278" i="2"/>
  <c r="CY284" i="2"/>
  <c r="BP276" i="2"/>
  <c r="EH283" i="2"/>
  <c r="DG280" i="2"/>
  <c r="BN278" i="2"/>
  <c r="EN276" i="2"/>
  <c r="EH285" i="2"/>
  <c r="BT283" i="2"/>
  <c r="AA286" i="2"/>
  <c r="AA285" i="2"/>
  <c r="AA287" i="2"/>
  <c r="CW287" i="2"/>
  <c r="AA288" i="2"/>
  <c r="BL235" i="2"/>
  <c r="CW235" i="2"/>
  <c r="AA240" i="2"/>
  <c r="AA241" i="2"/>
  <c r="EJ257" i="2"/>
  <c r="DA272" i="2"/>
  <c r="CW267" i="2"/>
  <c r="BL276" i="2"/>
  <c r="BL259" i="2"/>
  <c r="CW257" i="2"/>
  <c r="DA276" i="2"/>
  <c r="BR258" i="2"/>
  <c r="AA369" i="2"/>
  <c r="AA371" i="2"/>
  <c r="BP371" i="2"/>
  <c r="CY372" i="2"/>
  <c r="AA370" i="2"/>
  <c r="BP362" i="2"/>
  <c r="BL279" i="2"/>
  <c r="BL277" i="2"/>
  <c r="BN285" i="2"/>
  <c r="DA282" i="2"/>
  <c r="EH276" i="2"/>
  <c r="BR276" i="2"/>
  <c r="BL283" i="2"/>
  <c r="CY273" i="2"/>
  <c r="DN273" i="2" s="1"/>
  <c r="DP273" i="2" s="1"/>
  <c r="CW285" i="2"/>
  <c r="DA287" i="2"/>
  <c r="CW283" i="2"/>
  <c r="BP293" i="2"/>
  <c r="FS291" i="2"/>
  <c r="EN285" i="2"/>
  <c r="BN344" i="2"/>
  <c r="CC344" i="2" s="1"/>
  <c r="CE344" i="2" s="1"/>
  <c r="FS285" i="2"/>
  <c r="DC286" i="2"/>
  <c r="BL284" i="2"/>
  <c r="HD293" i="2"/>
  <c r="BN281" i="2"/>
  <c r="CS19" i="42"/>
  <c r="CS285" i="42"/>
  <c r="CS277" i="42"/>
  <c r="IW227" i="2" s="1"/>
  <c r="CS278" i="42"/>
  <c r="CS300" i="42"/>
  <c r="CY233" i="2" s="1"/>
  <c r="CS316" i="42"/>
  <c r="CS332" i="42"/>
  <c r="CS348" i="42"/>
  <c r="CS364" i="42"/>
  <c r="CY266" i="2" s="1"/>
  <c r="CS301" i="42"/>
  <c r="IS234" i="2" s="1"/>
  <c r="CS317" i="42"/>
  <c r="CY262" i="2" s="1"/>
  <c r="CS333" i="42"/>
  <c r="CS349" i="42"/>
  <c r="CS365" i="42"/>
  <c r="DC266" i="2" s="1"/>
  <c r="CW70" i="2"/>
  <c r="DN70" i="2" s="1"/>
  <c r="DP70" i="2" s="1"/>
  <c r="CS276" i="42"/>
  <c r="HJ228" i="2" s="1"/>
  <c r="CS292" i="42"/>
  <c r="DC231" i="2" s="1"/>
  <c r="CS308" i="42"/>
  <c r="CS324" i="42"/>
  <c r="EJ245" i="2" s="1"/>
  <c r="CS340" i="42"/>
  <c r="CS356" i="42"/>
  <c r="EL254" i="2" s="1"/>
  <c r="CS283" i="42"/>
  <c r="CS299" i="42"/>
  <c r="CS315" i="42"/>
  <c r="CS331" i="42"/>
  <c r="CS347" i="42"/>
  <c r="BP250" i="2" s="1"/>
  <c r="CS363" i="42"/>
  <c r="CW266" i="2" s="1"/>
  <c r="CS290" i="42"/>
  <c r="CS306" i="42"/>
  <c r="EH235" i="2" s="1"/>
  <c r="CS322" i="42"/>
  <c r="EH245" i="2" s="1"/>
  <c r="CS338" i="42"/>
  <c r="CY248" i="2" s="1"/>
  <c r="CS354" i="42"/>
  <c r="DA253" i="2" s="1"/>
  <c r="CS281" i="42"/>
  <c r="HH228" i="2" s="1"/>
  <c r="CS297" i="42"/>
  <c r="CY238" i="2" s="1"/>
  <c r="CS313" i="42"/>
  <c r="BL236" i="2" s="1"/>
  <c r="CS329" i="42"/>
  <c r="CS345" i="42"/>
  <c r="CY251" i="2" s="1"/>
  <c r="CS361" i="42"/>
  <c r="CS220" i="42"/>
  <c r="CS288" i="42"/>
  <c r="CS304" i="42"/>
  <c r="FU235" i="2" s="1"/>
  <c r="CS320" i="42"/>
  <c r="CS336" i="42"/>
  <c r="CS279" i="42"/>
  <c r="CS295" i="42"/>
  <c r="CW238" i="2" s="1"/>
  <c r="CS311" i="42"/>
  <c r="CS327" i="42"/>
  <c r="CS343" i="42"/>
  <c r="CS359" i="42"/>
  <c r="CW262" i="2" s="1"/>
  <c r="CS286" i="42"/>
  <c r="IQ231" i="2" s="1"/>
  <c r="CS302" i="42"/>
  <c r="IQ234" i="2" s="1"/>
  <c r="CS318" i="42"/>
  <c r="EJ239" i="2" s="1"/>
  <c r="CS334" i="42"/>
  <c r="DC248" i="2" s="1"/>
  <c r="CS350" i="42"/>
  <c r="CS366" i="42"/>
  <c r="CS293" i="42"/>
  <c r="EH232" i="2" s="1"/>
  <c r="EY232" i="2" s="1"/>
  <c r="FA232" i="2" s="1"/>
  <c r="CS294" i="42"/>
  <c r="CW233" i="2" s="1"/>
  <c r="CS309" i="42"/>
  <c r="CS310" i="42"/>
  <c r="BR236" i="2" s="1"/>
  <c r="CS325" i="42"/>
  <c r="CS326" i="42"/>
  <c r="CS341" i="42"/>
  <c r="CS342" i="42"/>
  <c r="CS352" i="42"/>
  <c r="EH254" i="2" s="1"/>
  <c r="CS357" i="42"/>
  <c r="CS358" i="42"/>
  <c r="CS368" i="42"/>
  <c r="CS284" i="42"/>
  <c r="AA256" i="2" s="1"/>
  <c r="CS275" i="42"/>
  <c r="CS291" i="42"/>
  <c r="IU231" i="2" s="1"/>
  <c r="CS307" i="42"/>
  <c r="IO234" i="2" s="1"/>
  <c r="CS323" i="42"/>
  <c r="CS339" i="42"/>
  <c r="CS355" i="42"/>
  <c r="EH253" i="2" s="1"/>
  <c r="CS282" i="42"/>
  <c r="IO231" i="2" s="1"/>
  <c r="CS298" i="42"/>
  <c r="CS314" i="42"/>
  <c r="BP236" i="2" s="1"/>
  <c r="CS330" i="42"/>
  <c r="CS346" i="42"/>
  <c r="CW251" i="2" s="1"/>
  <c r="CS362" i="42"/>
  <c r="CS221" i="42"/>
  <c r="GA209" i="2" s="1"/>
  <c r="GJ209" i="2" s="1"/>
  <c r="GL209" i="2" s="1"/>
  <c r="CS289" i="42"/>
  <c r="BP230" i="2" s="1"/>
  <c r="CS305" i="42"/>
  <c r="BL256" i="2" s="1"/>
  <c r="CS321" i="42"/>
  <c r="EN239" i="2" s="1"/>
  <c r="CS337" i="42"/>
  <c r="CW248" i="2" s="1"/>
  <c r="CS353" i="42"/>
  <c r="EJ254" i="2" s="1"/>
  <c r="CS369" i="42"/>
  <c r="CS280" i="42"/>
  <c r="HD228" i="2" s="1"/>
  <c r="CS296" i="42"/>
  <c r="DE231" i="2" s="1"/>
  <c r="CS312" i="42"/>
  <c r="CS328" i="42"/>
  <c r="CS344" i="42"/>
  <c r="CS360" i="42"/>
  <c r="CS219" i="42"/>
  <c r="CS287" i="42"/>
  <c r="IS231" i="2" s="1"/>
  <c r="CS303" i="42"/>
  <c r="FS235" i="2" s="1"/>
  <c r="CS319" i="42"/>
  <c r="EH239" i="2" s="1"/>
  <c r="CS335" i="42"/>
  <c r="DA248" i="2" s="1"/>
  <c r="CS351" i="42"/>
  <c r="CY253" i="2" s="1"/>
  <c r="CS367" i="42"/>
  <c r="FA350" i="2" l="1"/>
  <c r="EY254" i="2"/>
  <c r="FA254" i="2" s="1"/>
  <c r="IO262" i="2"/>
  <c r="AC258" i="2"/>
  <c r="FS259" i="2"/>
  <c r="HF260" i="2"/>
  <c r="HD261" i="2"/>
  <c r="HD259" i="2"/>
  <c r="IO261" i="2"/>
  <c r="BL207" i="2"/>
  <c r="BR205" i="2"/>
  <c r="BN216" i="2"/>
  <c r="BP206" i="2"/>
  <c r="CW205" i="2"/>
  <c r="AA205" i="2"/>
  <c r="AA207" i="2"/>
  <c r="AA208" i="2"/>
  <c r="AA206" i="2"/>
  <c r="AA210" i="2"/>
  <c r="EH237" i="2"/>
  <c r="BN236" i="2"/>
  <c r="HD236" i="2"/>
  <c r="EH233" i="2"/>
  <c r="DA238" i="2"/>
  <c r="BL238" i="2"/>
  <c r="DA234" i="2"/>
  <c r="EP239" i="2"/>
  <c r="FS236" i="2"/>
  <c r="CY239" i="2"/>
  <c r="HD238" i="2"/>
  <c r="EH238" i="2"/>
  <c r="HD239" i="2"/>
  <c r="CW252" i="2"/>
  <c r="BN251" i="2"/>
  <c r="DN248" i="2"/>
  <c r="DP248" i="2" s="1"/>
  <c r="CY209" i="2"/>
  <c r="DN209" i="2" s="1"/>
  <c r="DP209" i="2" s="1"/>
  <c r="EJ209" i="2"/>
  <c r="EY209" i="2" s="1"/>
  <c r="FA209" i="2" s="1"/>
  <c r="DE212" i="2"/>
  <c r="AA214" i="2"/>
  <c r="AA213" i="2"/>
  <c r="BL209" i="2"/>
  <c r="AA212" i="2"/>
  <c r="AA209" i="2"/>
  <c r="AR209" i="2" s="1"/>
  <c r="AT209" i="2" s="1"/>
  <c r="HD237" i="2"/>
  <c r="CW249" i="2"/>
  <c r="EH219" i="2"/>
  <c r="CY231" i="2"/>
  <c r="HF230" i="2"/>
  <c r="FS227" i="2"/>
  <c r="HF228" i="2"/>
  <c r="HU228" i="2" s="1"/>
  <c r="HW228" i="2" s="1"/>
  <c r="FS222" i="2"/>
  <c r="EH229" i="2"/>
  <c r="EH228" i="2"/>
  <c r="BN228" i="2"/>
  <c r="BN227" i="2"/>
  <c r="HF224" i="2"/>
  <c r="CW221" i="2"/>
  <c r="IW231" i="2"/>
  <c r="JF231" i="2" s="1"/>
  <c r="JH231" i="2" s="1"/>
  <c r="HD223" i="2"/>
  <c r="CY222" i="2"/>
  <c r="BP218" i="2"/>
  <c r="CC218" i="2" s="1"/>
  <c r="CE218" i="2" s="1"/>
  <c r="BL231" i="2"/>
  <c r="CC231" i="2" s="1"/>
  <c r="CE231" i="2" s="1"/>
  <c r="HD221" i="2"/>
  <c r="EJ224" i="2"/>
  <c r="CW218" i="2"/>
  <c r="HD219" i="2"/>
  <c r="EJ223" i="2"/>
  <c r="FS231" i="2"/>
  <c r="FS232" i="2"/>
  <c r="IO243" i="2"/>
  <c r="IO242" i="2"/>
  <c r="IQ241" i="2"/>
  <c r="CW247" i="2"/>
  <c r="HH236" i="2"/>
  <c r="EH243" i="2"/>
  <c r="DC238" i="2"/>
  <c r="EJ242" i="2"/>
  <c r="AA238" i="2"/>
  <c r="HD265" i="2"/>
  <c r="DA266" i="2"/>
  <c r="DN266" i="2" s="1"/>
  <c r="DP266" i="2" s="1"/>
  <c r="HD263" i="2"/>
  <c r="EJ275" i="2"/>
  <c r="CY267" i="2"/>
  <c r="DN267" i="2" s="1"/>
  <c r="DP267" i="2" s="1"/>
  <c r="JF234" i="2"/>
  <c r="JH234" i="2" s="1"/>
  <c r="FS280" i="2"/>
  <c r="CW268" i="2"/>
  <c r="HD272" i="2"/>
  <c r="FU271" i="2"/>
  <c r="FS263" i="2"/>
  <c r="HD270" i="2"/>
  <c r="BL275" i="2"/>
  <c r="CY265" i="2"/>
  <c r="BL273" i="2"/>
  <c r="FS273" i="2"/>
  <c r="EH279" i="2"/>
  <c r="HD279" i="2"/>
  <c r="CW275" i="2"/>
  <c r="HD278" i="2"/>
  <c r="EJ278" i="2"/>
  <c r="HD277" i="2"/>
  <c r="FS268" i="2"/>
  <c r="EJ277" i="2"/>
  <c r="BL266" i="2"/>
  <c r="FS267" i="2"/>
  <c r="EL270" i="2"/>
  <c r="HD275" i="2"/>
  <c r="CW270" i="2"/>
  <c r="BL282" i="2"/>
  <c r="DI280" i="2"/>
  <c r="DN280" i="2" s="1"/>
  <c r="DP280" i="2" s="1"/>
  <c r="BP281" i="2"/>
  <c r="CC281" i="2" s="1"/>
  <c r="CE281" i="2" s="1"/>
  <c r="FS282" i="2"/>
  <c r="EJ235" i="2"/>
  <c r="IQ207" i="2"/>
  <c r="HD138" i="2"/>
  <c r="CW136" i="2"/>
  <c r="IO136" i="2"/>
  <c r="HD203" i="2"/>
  <c r="AC135" i="2"/>
  <c r="BR207" i="2"/>
  <c r="CW231" i="2"/>
  <c r="HD231" i="2"/>
  <c r="EJ231" i="2"/>
  <c r="FS237" i="2"/>
  <c r="EL239" i="2"/>
  <c r="IO239" i="2"/>
  <c r="CW230" i="2"/>
  <c r="CY272" i="2"/>
  <c r="EJ272" i="2"/>
  <c r="CY271" i="2"/>
  <c r="BP256" i="2"/>
  <c r="BL272" i="2"/>
  <c r="CY261" i="2"/>
  <c r="AA272" i="2"/>
  <c r="FS270" i="2"/>
  <c r="AA269" i="2"/>
  <c r="AA260" i="2"/>
  <c r="AA253" i="2"/>
  <c r="EN235" i="2"/>
  <c r="EL242" i="2"/>
  <c r="HD248" i="2"/>
  <c r="EH247" i="2"/>
  <c r="IO247" i="2"/>
  <c r="BP249" i="2"/>
  <c r="IO246" i="2"/>
  <c r="HD249" i="2"/>
  <c r="BN255" i="2"/>
  <c r="FS262" i="2"/>
  <c r="BL258" i="2"/>
  <c r="HF259" i="2"/>
  <c r="FS255" i="2"/>
  <c r="BN261" i="2"/>
  <c r="CW255" i="2"/>
  <c r="FS266" i="2"/>
  <c r="BP228" i="2"/>
  <c r="BP226" i="2"/>
  <c r="AC226" i="2"/>
  <c r="BP222" i="2"/>
  <c r="AA228" i="2"/>
  <c r="AA224" i="2"/>
  <c r="AA227" i="2"/>
  <c r="AA223" i="2"/>
  <c r="FS212" i="2"/>
  <c r="HF214" i="2"/>
  <c r="HU214" i="2" s="1"/>
  <c r="HW214" i="2" s="1"/>
  <c r="EH215" i="2"/>
  <c r="EH214" i="2"/>
  <c r="EH213" i="2"/>
  <c r="EY213" i="2" s="1"/>
  <c r="FA213" i="2" s="1"/>
  <c r="BL216" i="2"/>
  <c r="BP217" i="2"/>
  <c r="CW217" i="2"/>
  <c r="BP213" i="2"/>
  <c r="CC213" i="2" s="1"/>
  <c r="CE213" i="2" s="1"/>
  <c r="HD217" i="2"/>
  <c r="IO245" i="2"/>
  <c r="BL240" i="2"/>
  <c r="CC240" i="2" s="1"/>
  <c r="CE240" i="2" s="1"/>
  <c r="FS241" i="2"/>
  <c r="EH242" i="2"/>
  <c r="EH241" i="2"/>
  <c r="EY241" i="2" s="1"/>
  <c r="FA241" i="2" s="1"/>
  <c r="BL242" i="2"/>
  <c r="CC362" i="2"/>
  <c r="CE362" i="2" s="1"/>
  <c r="AA248" i="2"/>
  <c r="CY249" i="2"/>
  <c r="BN226" i="2"/>
  <c r="AA254" i="2"/>
  <c r="AA251" i="2"/>
  <c r="BN239" i="2"/>
  <c r="IO238" i="2"/>
  <c r="IO236" i="2"/>
  <c r="CW236" i="2"/>
  <c r="HD232" i="2"/>
  <c r="EH244" i="2"/>
  <c r="CW260" i="2"/>
  <c r="HD262" i="2"/>
  <c r="HF264" i="2"/>
  <c r="DA222" i="2"/>
  <c r="BL217" i="2"/>
  <c r="CW216" i="2"/>
  <c r="AA222" i="2"/>
  <c r="AA221" i="2"/>
  <c r="AA219" i="2"/>
  <c r="AA217" i="2"/>
  <c r="AA216" i="2"/>
  <c r="AA215" i="2"/>
  <c r="AA225" i="2"/>
  <c r="DN262" i="2"/>
  <c r="DP262" i="2" s="1"/>
  <c r="FU256" i="2"/>
  <c r="CY270" i="2"/>
  <c r="BN253" i="2"/>
  <c r="BP258" i="2"/>
  <c r="BN259" i="2"/>
  <c r="BL248" i="2"/>
  <c r="CW246" i="2"/>
  <c r="DC252" i="2"/>
  <c r="BL270" i="2"/>
  <c r="BL269" i="2"/>
  <c r="BL267" i="2"/>
  <c r="BL264" i="2"/>
  <c r="BP268" i="2"/>
  <c r="BP271" i="2"/>
  <c r="CW264" i="2"/>
  <c r="AA273" i="2"/>
  <c r="AA270" i="2"/>
  <c r="EH273" i="2"/>
  <c r="EL233" i="2"/>
  <c r="EJ238" i="2"/>
  <c r="DA235" i="2"/>
  <c r="BT236" i="2"/>
  <c r="HF237" i="2"/>
  <c r="HF236" i="2"/>
  <c r="BX377" i="2"/>
  <c r="CY130" i="2"/>
  <c r="AC129" i="2"/>
  <c r="FU134" i="2"/>
  <c r="GJ134" i="2" s="1"/>
  <c r="GL134" i="2" s="1"/>
  <c r="CW131" i="2"/>
  <c r="BN134" i="2"/>
  <c r="IO134" i="2"/>
  <c r="BL262" i="2"/>
  <c r="BL261" i="2"/>
  <c r="CY263" i="2"/>
  <c r="BL255" i="2"/>
  <c r="BL251" i="2"/>
  <c r="BL263" i="2"/>
  <c r="CY269" i="2"/>
  <c r="AA262" i="2"/>
  <c r="AA261" i="2"/>
  <c r="IO270" i="2"/>
  <c r="HH259" i="2"/>
  <c r="AE256" i="2"/>
  <c r="AA258" i="2"/>
  <c r="BN250" i="2"/>
  <c r="CW244" i="2"/>
  <c r="BL252" i="2"/>
  <c r="AA250" i="2"/>
  <c r="BP239" i="2"/>
  <c r="BN248" i="2"/>
  <c r="BL253" i="2"/>
  <c r="IO252" i="2"/>
  <c r="EJ246" i="2"/>
  <c r="CW239" i="2"/>
  <c r="BL249" i="2"/>
  <c r="BL247" i="2"/>
  <c r="BN237" i="2"/>
  <c r="CY255" i="2"/>
  <c r="FS243" i="2"/>
  <c r="CY244" i="2"/>
  <c r="FS244" i="2"/>
  <c r="CY247" i="2"/>
  <c r="HD266" i="2"/>
  <c r="CW253" i="2"/>
  <c r="CW243" i="2"/>
  <c r="CW242" i="2"/>
  <c r="CW234" i="2"/>
  <c r="BN247" i="2"/>
  <c r="IU203" i="2"/>
  <c r="JF203" i="2" s="1"/>
  <c r="JH203" i="2" s="1"/>
  <c r="BP202" i="2"/>
  <c r="AA204" i="2"/>
  <c r="AA203" i="2"/>
  <c r="AA202" i="2"/>
  <c r="AA201" i="2"/>
  <c r="BL244" i="2"/>
  <c r="HD247" i="2"/>
  <c r="HD246" i="2"/>
  <c r="EH246" i="2"/>
  <c r="HD245" i="2"/>
  <c r="HD244" i="2"/>
  <c r="HD243" i="2"/>
  <c r="HD242" i="2"/>
  <c r="BP247" i="2"/>
  <c r="AA246" i="2"/>
  <c r="AA242" i="2"/>
  <c r="AA245" i="2"/>
  <c r="AA243" i="2"/>
  <c r="AA247" i="2"/>
  <c r="HD252" i="2"/>
  <c r="BL250" i="2"/>
  <c r="DC253" i="2"/>
  <c r="BP252" i="2"/>
  <c r="BL278" i="2"/>
  <c r="BN271" i="2"/>
  <c r="EJ269" i="2"/>
  <c r="BR268" i="2"/>
  <c r="BR283" i="2"/>
  <c r="AC288" i="2"/>
  <c r="AR288" i="2" s="1"/>
  <c r="AT288" i="2" s="1"/>
  <c r="LY288" i="2" s="1"/>
  <c r="AA292" i="2"/>
  <c r="BN277" i="2"/>
  <c r="FS248" i="2"/>
  <c r="CY252" i="2"/>
  <c r="CW250" i="2"/>
  <c r="BN252" i="2"/>
  <c r="DA252" i="2"/>
  <c r="BN249" i="2"/>
  <c r="IQ252" i="2"/>
  <c r="FS252" i="2"/>
  <c r="FS251" i="2"/>
  <c r="DC251" i="2"/>
  <c r="DN251" i="2" s="1"/>
  <c r="DP251" i="2" s="1"/>
  <c r="FS249" i="2"/>
  <c r="DA233" i="2"/>
  <c r="BL232" i="2"/>
  <c r="CC232" i="2" s="1"/>
  <c r="CE232" i="2" s="1"/>
  <c r="HD255" i="2"/>
  <c r="HD253" i="2"/>
  <c r="BL257" i="2"/>
  <c r="IO254" i="2"/>
  <c r="AA257" i="2"/>
  <c r="CW256" i="2"/>
  <c r="BL254" i="2"/>
  <c r="CW254" i="2"/>
  <c r="EH257" i="2"/>
  <c r="BN256" i="2"/>
  <c r="JZ251" i="2"/>
  <c r="FS247" i="2"/>
  <c r="FS246" i="2"/>
  <c r="FS245" i="2"/>
  <c r="EH268" i="2"/>
  <c r="EH250" i="2"/>
  <c r="BN269" i="2"/>
  <c r="EH266" i="2"/>
  <c r="CW263" i="2"/>
  <c r="AC257" i="2"/>
  <c r="EL245" i="2"/>
  <c r="EY245" i="2" s="1"/>
  <c r="FA245" i="2" s="1"/>
  <c r="AC256" i="2"/>
  <c r="EH263" i="2"/>
  <c r="EH262" i="2"/>
  <c r="CY260" i="2"/>
  <c r="EH261" i="2"/>
  <c r="FS269" i="2"/>
  <c r="EL269" i="2"/>
  <c r="CY254" i="2"/>
  <c r="EH255" i="2"/>
  <c r="BL268" i="2"/>
  <c r="BN254" i="2"/>
  <c r="EH48" i="2"/>
  <c r="CW54" i="2"/>
  <c r="BL47" i="2"/>
  <c r="EJ54" i="2"/>
  <c r="CY50" i="2"/>
  <c r="BL48" i="2"/>
  <c r="CY47" i="2"/>
  <c r="EJ47" i="2"/>
  <c r="HD54" i="2"/>
  <c r="FS50" i="2"/>
  <c r="HD53" i="2"/>
  <c r="FS49" i="2"/>
  <c r="HD52" i="2"/>
  <c r="DC55" i="2"/>
  <c r="DA78" i="2"/>
  <c r="DA60" i="2"/>
  <c r="CY64" i="2"/>
  <c r="DC62" i="2"/>
  <c r="DN62" i="2" s="1"/>
  <c r="DP62" i="2" s="1"/>
  <c r="EH68" i="2"/>
  <c r="BN49" i="2"/>
  <c r="DA56" i="2"/>
  <c r="DE55" i="2"/>
  <c r="HH55" i="2"/>
  <c r="EJ52" i="2"/>
  <c r="CY48" i="2"/>
  <c r="DA49" i="2"/>
  <c r="IQ50" i="2"/>
  <c r="JF50" i="2" s="1"/>
  <c r="JH50" i="2" s="1"/>
  <c r="EH47" i="2"/>
  <c r="BN46" i="2"/>
  <c r="AC46" i="2"/>
  <c r="IO64" i="2"/>
  <c r="EH53" i="2"/>
  <c r="DA47" i="2"/>
  <c r="JZ48" i="2"/>
  <c r="IO54" i="2"/>
  <c r="JZ47" i="2"/>
  <c r="IO53" i="2"/>
  <c r="EH54" i="2"/>
  <c r="BP49" i="2"/>
  <c r="FS46" i="2"/>
  <c r="HD50" i="2"/>
  <c r="IO65" i="2"/>
  <c r="EH65" i="2"/>
  <c r="BL55" i="2"/>
  <c r="CW59" i="2"/>
  <c r="FS60" i="2"/>
  <c r="BN57" i="2"/>
  <c r="EJ60" i="2"/>
  <c r="FS64" i="2"/>
  <c r="EH57" i="2"/>
  <c r="EH56" i="2"/>
  <c r="EH55" i="2"/>
  <c r="EH63" i="2"/>
  <c r="FS66" i="2"/>
  <c r="HD46" i="2"/>
  <c r="BN58" i="2"/>
  <c r="CW46" i="2"/>
  <c r="DA55" i="2"/>
  <c r="BN62" i="2"/>
  <c r="CW56" i="2"/>
  <c r="AA48" i="2"/>
  <c r="FW48" i="2"/>
  <c r="GJ48" i="2" s="1"/>
  <c r="GL48" i="2" s="1"/>
  <c r="IO48" i="2"/>
  <c r="EL52" i="2"/>
  <c r="CW48" i="2"/>
  <c r="AA51" i="2"/>
  <c r="CW47" i="2"/>
  <c r="AA50" i="2"/>
  <c r="AA49" i="2"/>
  <c r="BL49" i="2"/>
  <c r="AA47" i="2"/>
  <c r="BL71" i="2"/>
  <c r="BL54" i="2"/>
  <c r="BL64" i="2"/>
  <c r="BN63" i="2"/>
  <c r="BL69" i="2"/>
  <c r="BL68" i="2"/>
  <c r="EH71" i="2"/>
  <c r="IO62" i="2"/>
  <c r="CW68" i="2"/>
  <c r="EN69" i="2"/>
  <c r="EY69" i="2" s="1"/>
  <c r="FA69" i="2" s="1"/>
  <c r="CW77" i="2"/>
  <c r="BN66" i="2"/>
  <c r="BN65" i="2"/>
  <c r="DA75" i="2"/>
  <c r="BL70" i="2"/>
  <c r="CY60" i="2"/>
  <c r="HD47" i="2"/>
  <c r="FU46" i="2"/>
  <c r="FS54" i="2"/>
  <c r="FS53" i="2"/>
  <c r="BN50" i="2"/>
  <c r="EH50" i="2"/>
  <c r="HD48" i="2"/>
  <c r="AE54" i="2"/>
  <c r="AR54" i="2" s="1"/>
  <c r="AT54" i="2" s="1"/>
  <c r="CY52" i="2"/>
  <c r="EH49" i="2"/>
  <c r="FW47" i="2"/>
  <c r="GJ47" i="2" s="1"/>
  <c r="GL47" i="2" s="1"/>
  <c r="FS52" i="2"/>
  <c r="BN54" i="2"/>
  <c r="EH52" i="2"/>
  <c r="AA46" i="2"/>
  <c r="BN100" i="2"/>
  <c r="CC100" i="2" s="1"/>
  <c r="CE100" i="2" s="1"/>
  <c r="EH98" i="2"/>
  <c r="EJ100" i="2"/>
  <c r="BL106" i="2"/>
  <c r="CW85" i="2"/>
  <c r="DN85" i="2" s="1"/>
  <c r="DP85" i="2" s="1"/>
  <c r="CY86" i="2"/>
  <c r="CW92" i="2"/>
  <c r="CW87" i="2"/>
  <c r="BL99" i="2"/>
  <c r="CY90" i="2"/>
  <c r="DN90" i="2" s="1"/>
  <c r="DP90" i="2" s="1"/>
  <c r="BL97" i="2"/>
  <c r="CY79" i="2"/>
  <c r="DA105" i="2"/>
  <c r="CY78" i="2"/>
  <c r="CW81" i="2"/>
  <c r="AE93" i="2"/>
  <c r="CW94" i="2"/>
  <c r="EH107" i="2"/>
  <c r="CW91" i="2"/>
  <c r="KB90" i="2"/>
  <c r="KQ90" i="2" s="1"/>
  <c r="KS90" i="2" s="1"/>
  <c r="BL95" i="2"/>
  <c r="CW102" i="2"/>
  <c r="BP97" i="2"/>
  <c r="FU87" i="2"/>
  <c r="EL98" i="2"/>
  <c r="CW86" i="2"/>
  <c r="CY98" i="2"/>
  <c r="CW84" i="2"/>
  <c r="DA96" i="2"/>
  <c r="CC236" i="2" l="1"/>
  <c r="CE236" i="2" s="1"/>
  <c r="AR256" i="2"/>
  <c r="AT256" i="2" s="1"/>
  <c r="CC251" i="2"/>
  <c r="CE251" i="2" s="1"/>
  <c r="EY235" i="2"/>
  <c r="FA235" i="2" s="1"/>
  <c r="CC268" i="2"/>
  <c r="CE268" i="2" s="1"/>
  <c r="CC256" i="2"/>
  <c r="CE256" i="2" s="1"/>
  <c r="DN238" i="2"/>
  <c r="CC239" i="2"/>
  <c r="CE239" i="2" s="1"/>
  <c r="CC226" i="2"/>
  <c r="CE226" i="2" s="1"/>
  <c r="DN253" i="2"/>
  <c r="DP253" i="2" s="1"/>
  <c r="CC97" i="2"/>
  <c r="CE97" i="2" s="1"/>
  <c r="DN55" i="2"/>
  <c r="DP55" i="2" s="1"/>
  <c r="DN86" i="2"/>
  <c r="DP86" i="2" s="1"/>
  <c r="GJ46" i="2"/>
  <c r="DP238" i="2" l="1"/>
  <c r="GL46" i="2"/>
  <c r="K428" i="24"/>
  <c r="C510" i="24" s="1"/>
  <c r="K431" i="24"/>
  <c r="C513" i="24" s="1"/>
  <c r="K430" i="24" l="1"/>
  <c r="C512" i="24" s="1"/>
  <c r="N430" i="24"/>
  <c r="H429" i="24"/>
  <c r="C472" i="24" s="1"/>
  <c r="K429" i="24"/>
  <c r="C511" i="24" s="1"/>
  <c r="H431" i="24"/>
  <c r="C474" i="24" s="1"/>
  <c r="H430" i="24"/>
  <c r="C473" i="24" s="1"/>
  <c r="H428" i="24"/>
  <c r="C471" i="24" s="1"/>
  <c r="D431" i="24"/>
  <c r="D430" i="24"/>
  <c r="D429" i="24"/>
  <c r="D428" i="24"/>
  <c r="E429" i="24" l="1"/>
  <c r="E431" i="24"/>
  <c r="E428" i="24"/>
  <c r="E430" i="24"/>
  <c r="H25" i="26" l="1"/>
  <c r="N320" i="15" l="1"/>
  <c r="S320" i="15" s="1"/>
  <c r="Y320" i="15"/>
  <c r="Z320" i="15" s="1"/>
  <c r="AA320" i="15"/>
  <c r="N321" i="15"/>
  <c r="S321" i="15" s="1"/>
  <c r="Y321" i="15"/>
  <c r="Z321" i="15" s="1"/>
  <c r="AA321" i="15"/>
  <c r="N322" i="15"/>
  <c r="R322" i="15" s="1"/>
  <c r="Y322" i="15"/>
  <c r="Z322" i="15" s="1"/>
  <c r="AA322" i="15"/>
  <c r="N324" i="15"/>
  <c r="P324" i="15" s="1"/>
  <c r="Y324" i="15"/>
  <c r="AA324" i="15"/>
  <c r="O324" i="15" l="1"/>
  <c r="T321" i="15"/>
  <c r="R321" i="15"/>
  <c r="P321" i="15"/>
  <c r="R320" i="15"/>
  <c r="Q320" i="15"/>
  <c r="O321" i="15"/>
  <c r="O322" i="15"/>
  <c r="T324" i="15"/>
  <c r="S324" i="15"/>
  <c r="Q321" i="15"/>
  <c r="R324" i="15"/>
  <c r="Q324" i="15"/>
  <c r="Q322" i="15"/>
  <c r="O320" i="15"/>
  <c r="P322" i="15"/>
  <c r="P320" i="15"/>
  <c r="Z324" i="15"/>
  <c r="AB324" i="15" s="1"/>
  <c r="AB321" i="15"/>
  <c r="AB322" i="15"/>
  <c r="AB320" i="15"/>
  <c r="T322" i="15"/>
  <c r="S322" i="15"/>
  <c r="T320" i="15"/>
  <c r="MM1" i="2" l="1"/>
  <c r="B443" i="24" l="1"/>
  <c r="J400" i="24"/>
  <c r="B482" i="24" s="1"/>
  <c r="M400" i="24"/>
  <c r="P400" i="24"/>
  <c r="S400" i="24"/>
  <c r="V400" i="24"/>
  <c r="W400" i="24" s="1"/>
  <c r="Y400" i="24"/>
  <c r="AB400" i="24"/>
  <c r="AE400" i="24"/>
  <c r="AH400" i="24"/>
  <c r="N27" i="15" l="1"/>
  <c r="T27" i="15" s="1"/>
  <c r="Y27" i="15"/>
  <c r="Z27" i="15" s="1"/>
  <c r="AB27" i="15" s="1"/>
  <c r="AA27" i="15"/>
  <c r="R27" i="15" l="1"/>
  <c r="Q27" i="15"/>
  <c r="P27" i="15"/>
  <c r="S27" i="15"/>
  <c r="O27" i="15"/>
  <c r="Y212" i="15" l="1"/>
  <c r="Z212" i="15" s="1"/>
  <c r="AA212" i="15"/>
  <c r="AB212" i="15" l="1"/>
  <c r="N211" i="15" l="1"/>
  <c r="P211" i="15" s="1"/>
  <c r="Y211" i="15"/>
  <c r="Z211" i="15" s="1"/>
  <c r="AA211" i="15"/>
  <c r="N208" i="15"/>
  <c r="N207" i="15"/>
  <c r="T211" i="15" l="1"/>
  <c r="O211" i="15"/>
  <c r="R211" i="15"/>
  <c r="Q211" i="15"/>
  <c r="S211" i="15"/>
  <c r="AB211" i="15"/>
  <c r="N26" i="15"/>
  <c r="S26" i="15" s="1"/>
  <c r="Y26" i="15"/>
  <c r="Z26" i="15" s="1"/>
  <c r="AA26" i="15"/>
  <c r="O26" i="15" l="1"/>
  <c r="T26" i="15"/>
  <c r="Q26" i="15"/>
  <c r="P26" i="15"/>
  <c r="R26" i="15"/>
  <c r="AB26" i="15"/>
  <c r="H97" i="26" l="1"/>
  <c r="AB125" i="15" l="1"/>
  <c r="AB126" i="15"/>
  <c r="AB127" i="15"/>
  <c r="AB277" i="15"/>
  <c r="Y319" i="15"/>
  <c r="Z319" i="15" s="1"/>
  <c r="AB319" i="15" s="1"/>
  <c r="AA319" i="15"/>
  <c r="N319" i="15"/>
  <c r="R319" i="15" s="1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5" i="26"/>
  <c r="O319" i="15" l="1"/>
  <c r="Q319" i="15"/>
  <c r="P319" i="15"/>
  <c r="T319" i="15"/>
  <c r="S319" i="15"/>
  <c r="Y310" i="15" l="1"/>
  <c r="Z310" i="15" s="1"/>
  <c r="AB310" i="15" s="1"/>
  <c r="BR400" i="24" l="1"/>
  <c r="BO400" i="24" l="1"/>
  <c r="BP400" i="24" s="1"/>
  <c r="BL400" i="24"/>
  <c r="BM400" i="24" s="1"/>
  <c r="BI400" i="24"/>
  <c r="BJ400" i="24" s="1"/>
  <c r="BF400" i="24"/>
  <c r="BG400" i="24" s="1"/>
  <c r="BC400" i="24"/>
  <c r="BD400" i="24" s="1"/>
  <c r="AZ400" i="24"/>
  <c r="BA400" i="24" s="1"/>
  <c r="AW400" i="24"/>
  <c r="AX400" i="24" s="1"/>
  <c r="AT400" i="24"/>
  <c r="AU400" i="24" s="1"/>
  <c r="AQ400" i="24"/>
  <c r="AR400" i="24" s="1"/>
  <c r="AN400" i="24"/>
  <c r="AO400" i="24" s="1"/>
  <c r="AK400" i="24"/>
  <c r="AL400" i="24" s="1"/>
  <c r="AI400" i="24"/>
  <c r="AF400" i="24"/>
  <c r="AC400" i="24"/>
  <c r="Z400" i="24"/>
  <c r="T400" i="24"/>
  <c r="Q400" i="24"/>
  <c r="BQ400" i="24" l="1"/>
  <c r="D400" i="24" s="1"/>
  <c r="N418" i="24"/>
  <c r="C525" i="24" s="1"/>
  <c r="N420" i="24"/>
  <c r="C526" i="24" s="1"/>
  <c r="N416" i="24"/>
  <c r="W426" i="24"/>
  <c r="K413" i="24"/>
  <c r="C495" i="24" s="1"/>
  <c r="Q410" i="24"/>
  <c r="C532" i="24" s="1"/>
  <c r="N427" i="24"/>
  <c r="C529" i="24" s="1"/>
  <c r="N421" i="24"/>
  <c r="K411" i="24"/>
  <c r="C493" i="24" s="1"/>
  <c r="T408" i="24"/>
  <c r="N409" i="24"/>
  <c r="C523" i="24" s="1"/>
  <c r="K423" i="24" l="1"/>
  <c r="C505" i="24" s="1"/>
  <c r="N423" i="24"/>
  <c r="C527" i="24" s="1"/>
  <c r="T404" i="24"/>
  <c r="C533" i="24" s="1"/>
  <c r="Q404" i="24"/>
  <c r="C531" i="24" s="1"/>
  <c r="W404" i="24"/>
  <c r="C534" i="24" s="1"/>
  <c r="K415" i="24"/>
  <c r="C497" i="24" s="1"/>
  <c r="N415" i="24"/>
  <c r="K419" i="24"/>
  <c r="C501" i="24" s="1"/>
  <c r="Q419" i="24"/>
  <c r="N419" i="24"/>
  <c r="T419" i="24"/>
  <c r="C437" i="23" s="1"/>
  <c r="N417" i="24"/>
  <c r="W417" i="24"/>
  <c r="C438" i="23" s="1"/>
  <c r="T417" i="24"/>
  <c r="C436" i="23" s="1"/>
  <c r="Q417" i="24"/>
  <c r="K404" i="24"/>
  <c r="C486" i="24" s="1"/>
  <c r="N404" i="24"/>
  <c r="C521" i="24" s="1"/>
  <c r="Q426" i="24"/>
  <c r="T426" i="24"/>
  <c r="Q414" i="24"/>
  <c r="T414" i="24"/>
  <c r="Q403" i="24"/>
  <c r="T403" i="24"/>
  <c r="N422" i="24"/>
  <c r="Q422" i="24"/>
  <c r="N408" i="24"/>
  <c r="Q408" i="24"/>
  <c r="N407" i="24"/>
  <c r="C522" i="24" s="1"/>
  <c r="Q407" i="24"/>
  <c r="K403" i="24"/>
  <c r="C485" i="24" s="1"/>
  <c r="N403" i="24"/>
  <c r="K410" i="24"/>
  <c r="C492" i="24" s="1"/>
  <c r="N410" i="24"/>
  <c r="C524" i="24" s="1"/>
  <c r="K426" i="24"/>
  <c r="C508" i="24" s="1"/>
  <c r="N426" i="24"/>
  <c r="C528" i="24" s="1"/>
  <c r="K414" i="24"/>
  <c r="C496" i="24" s="1"/>
  <c r="N414" i="24"/>
  <c r="H412" i="24"/>
  <c r="K412" i="24"/>
  <c r="C494" i="24" s="1"/>
  <c r="H427" i="24"/>
  <c r="C470" i="24" s="1"/>
  <c r="K427" i="24"/>
  <c r="C509" i="24" s="1"/>
  <c r="H409" i="24"/>
  <c r="K409" i="24"/>
  <c r="C491" i="24" s="1"/>
  <c r="H425" i="24"/>
  <c r="C468" i="24" s="1"/>
  <c r="K425" i="24"/>
  <c r="C507" i="24" s="1"/>
  <c r="H408" i="24"/>
  <c r="K408" i="24"/>
  <c r="C490" i="24" s="1"/>
  <c r="H416" i="24"/>
  <c r="C459" i="24" s="1"/>
  <c r="K416" i="24"/>
  <c r="C498" i="24" s="1"/>
  <c r="H405" i="24"/>
  <c r="K405" i="24"/>
  <c r="C487" i="24" s="1"/>
  <c r="H407" i="24"/>
  <c r="K407" i="24"/>
  <c r="C489" i="24" s="1"/>
  <c r="H420" i="24"/>
  <c r="C463" i="24" s="1"/>
  <c r="K420" i="24"/>
  <c r="C502" i="24" s="1"/>
  <c r="H401" i="24"/>
  <c r="K401" i="24"/>
  <c r="C483" i="24" s="1"/>
  <c r="H417" i="24"/>
  <c r="C460" i="24" s="1"/>
  <c r="K417" i="24"/>
  <c r="C499" i="24" s="1"/>
  <c r="H402" i="24"/>
  <c r="K402" i="24"/>
  <c r="C484" i="24" s="1"/>
  <c r="H422" i="24"/>
  <c r="C465" i="24" s="1"/>
  <c r="K422" i="24"/>
  <c r="C504" i="24" s="1"/>
  <c r="H418" i="24"/>
  <c r="C461" i="24" s="1"/>
  <c r="K418" i="24"/>
  <c r="C500" i="24" s="1"/>
  <c r="H424" i="24"/>
  <c r="C467" i="24" s="1"/>
  <c r="K424" i="24"/>
  <c r="C506" i="24" s="1"/>
  <c r="H421" i="24"/>
  <c r="C464" i="24" s="1"/>
  <c r="K421" i="24"/>
  <c r="C503" i="24" s="1"/>
  <c r="H406" i="24"/>
  <c r="K406" i="24"/>
  <c r="C488" i="24" s="1"/>
  <c r="H414" i="24"/>
  <c r="H423" i="24"/>
  <c r="C466" i="24" s="1"/>
  <c r="H403" i="24"/>
  <c r="H410" i="24"/>
  <c r="H413" i="24"/>
  <c r="H426" i="24"/>
  <c r="C469" i="24" s="1"/>
  <c r="H415" i="24"/>
  <c r="H419" i="24"/>
  <c r="C462" i="24" s="1"/>
  <c r="H411" i="24"/>
  <c r="H404" i="24"/>
  <c r="C417" i="23"/>
  <c r="C414" i="23"/>
  <c r="C411" i="23"/>
  <c r="C428" i="23"/>
  <c r="C237" i="23"/>
  <c r="C416" i="23"/>
  <c r="C418" i="23"/>
  <c r="C419" i="23"/>
  <c r="C421" i="23"/>
  <c r="C420" i="23"/>
  <c r="D426" i="24"/>
  <c r="D420" i="24"/>
  <c r="C413" i="23"/>
  <c r="D424" i="24"/>
  <c r="D421" i="24"/>
  <c r="D406" i="24"/>
  <c r="D409" i="24"/>
  <c r="D413" i="24"/>
  <c r="D407" i="24"/>
  <c r="D401" i="24"/>
  <c r="D416" i="24"/>
  <c r="D402" i="24"/>
  <c r="D417" i="24"/>
  <c r="D422" i="24"/>
  <c r="D412" i="24"/>
  <c r="D425" i="24"/>
  <c r="D414" i="24"/>
  <c r="D408" i="24"/>
  <c r="D405" i="24"/>
  <c r="D403" i="24"/>
  <c r="D415" i="24"/>
  <c r="D427" i="24"/>
  <c r="N400" i="24"/>
  <c r="D411" i="24"/>
  <c r="D404" i="24"/>
  <c r="D419" i="24"/>
  <c r="K400" i="24"/>
  <c r="C482" i="24" s="1"/>
  <c r="H400" i="24"/>
  <c r="D418" i="24"/>
  <c r="D423" i="24"/>
  <c r="D410" i="24"/>
  <c r="C327" i="23" l="1"/>
  <c r="C450" i="24"/>
  <c r="C325" i="23"/>
  <c r="C448" i="24"/>
  <c r="C330" i="23"/>
  <c r="C454" i="24"/>
  <c r="C328" i="23"/>
  <c r="C451" i="24"/>
  <c r="C324" i="23"/>
  <c r="C447" i="24"/>
  <c r="C332" i="23"/>
  <c r="C456" i="24"/>
  <c r="C322" i="23"/>
  <c r="C445" i="24"/>
  <c r="C333" i="23"/>
  <c r="C457" i="24"/>
  <c r="C320" i="23"/>
  <c r="C443" i="24"/>
  <c r="C329" i="23"/>
  <c r="C453" i="24"/>
  <c r="C334" i="23"/>
  <c r="C458" i="24"/>
  <c r="C323" i="23"/>
  <c r="C446" i="24"/>
  <c r="C46" i="23"/>
  <c r="C452" i="24"/>
  <c r="C321" i="23"/>
  <c r="C444" i="24"/>
  <c r="C326" i="23"/>
  <c r="C449" i="24"/>
  <c r="C331" i="23"/>
  <c r="C455" i="24"/>
  <c r="C433" i="23"/>
  <c r="C404" i="23"/>
  <c r="C407" i="23"/>
  <c r="C408" i="23"/>
  <c r="C423" i="23"/>
  <c r="C415" i="23"/>
  <c r="C412" i="23"/>
  <c r="C401" i="23"/>
  <c r="C410" i="23"/>
  <c r="C427" i="23"/>
  <c r="C422" i="23"/>
  <c r="C425" i="23"/>
  <c r="C424" i="23"/>
  <c r="C405" i="23"/>
  <c r="C351" i="23"/>
  <c r="C368" i="23"/>
  <c r="E400" i="24"/>
  <c r="E404" i="24"/>
  <c r="E423" i="24"/>
  <c r="E421" i="24"/>
  <c r="E416" i="24"/>
  <c r="E424" i="24"/>
  <c r="E405" i="24"/>
  <c r="E426" i="24"/>
  <c r="E417" i="24"/>
  <c r="E406" i="24"/>
  <c r="E425" i="24"/>
  <c r="E413" i="24"/>
  <c r="E410" i="24"/>
  <c r="E415" i="24"/>
  <c r="E422" i="24"/>
  <c r="E412" i="24"/>
  <c r="E411" i="24"/>
  <c r="E418" i="24"/>
  <c r="E409" i="24"/>
  <c r="E420" i="24"/>
  <c r="E401" i="24"/>
  <c r="E407" i="24"/>
  <c r="E403" i="24"/>
  <c r="E419" i="24"/>
  <c r="E414" i="24"/>
  <c r="E408" i="24"/>
  <c r="E402" i="24"/>
  <c r="E427" i="24"/>
  <c r="C434" i="23" l="1"/>
  <c r="C426" i="23"/>
  <c r="C398" i="23"/>
  <c r="C403" i="23"/>
  <c r="C400" i="23"/>
  <c r="C397" i="23"/>
  <c r="C399" i="23"/>
  <c r="C402" i="23"/>
  <c r="C406" i="23"/>
  <c r="C409" i="23"/>
  <c r="I71" i="40"/>
  <c r="H10" i="40"/>
  <c r="ME1" i="2"/>
  <c r="MF1" i="2" s="1"/>
  <c r="MG1" i="2" s="1"/>
  <c r="C337" i="23" l="1"/>
  <c r="C340" i="23"/>
  <c r="C338" i="23"/>
  <c r="C335" i="23"/>
  <c r="C341" i="23" l="1"/>
  <c r="C342" i="23"/>
  <c r="C343" i="23"/>
  <c r="C336" i="23"/>
  <c r="C339" i="23"/>
  <c r="C358" i="23"/>
  <c r="C344" i="23"/>
  <c r="C353" i="23"/>
  <c r="C359" i="23"/>
  <c r="C357" i="23"/>
  <c r="C347" i="23"/>
  <c r="C350" i="23"/>
  <c r="C349" i="23"/>
  <c r="C370" i="23"/>
  <c r="C361" i="23"/>
  <c r="C346" i="23"/>
  <c r="C363" i="23"/>
  <c r="C355" i="23"/>
  <c r="C367" i="23"/>
  <c r="C360" i="23"/>
  <c r="C352" i="23"/>
  <c r="C364" i="23"/>
  <c r="C365" i="23"/>
  <c r="C356" i="23"/>
  <c r="C348" i="23"/>
  <c r="C369" i="23"/>
  <c r="C362" i="23"/>
  <c r="C354" i="23"/>
  <c r="C345" i="23"/>
  <c r="C366" i="23"/>
  <c r="C382" i="23" l="1"/>
  <c r="C395" i="23"/>
  <c r="C381" i="23"/>
  <c r="C394" i="23"/>
  <c r="C379" i="23"/>
  <c r="C392" i="23"/>
  <c r="C383" i="23"/>
  <c r="C396" i="23"/>
  <c r="C374" i="23"/>
  <c r="C387" i="23"/>
  <c r="C377" i="23"/>
  <c r="C390" i="23"/>
  <c r="C372" i="23"/>
  <c r="C385" i="23"/>
  <c r="C376" i="23"/>
  <c r="C389" i="23"/>
  <c r="C373" i="23"/>
  <c r="C386" i="23"/>
  <c r="C380" i="23"/>
  <c r="C393" i="23"/>
  <c r="C375" i="23"/>
  <c r="C388" i="23"/>
  <c r="C378" i="23"/>
  <c r="C391" i="23"/>
  <c r="C371" i="23"/>
  <c r="C384" i="23"/>
  <c r="R271" i="15"/>
  <c r="S271" i="15"/>
  <c r="R272" i="15"/>
  <c r="S272" i="15"/>
  <c r="R273" i="15"/>
  <c r="S273" i="15"/>
  <c r="O271" i="15"/>
  <c r="P271" i="15"/>
  <c r="O272" i="15"/>
  <c r="P272" i="15"/>
  <c r="O273" i="15"/>
  <c r="P273" i="15"/>
  <c r="AA269" i="15"/>
  <c r="AB269" i="15"/>
  <c r="AA270" i="15"/>
  <c r="AB270" i="15"/>
  <c r="AA271" i="15"/>
  <c r="AB271" i="15"/>
  <c r="AA272" i="15"/>
  <c r="AB272" i="15"/>
  <c r="AA273" i="15"/>
  <c r="AB273" i="15"/>
  <c r="T271" i="15"/>
  <c r="T272" i="15"/>
  <c r="T273" i="15"/>
  <c r="Q271" i="15"/>
  <c r="Q272" i="15"/>
  <c r="Q273" i="15"/>
  <c r="C2" i="23" l="1"/>
  <c r="N277" i="15" l="1"/>
  <c r="O277" i="15" s="1"/>
  <c r="S277" i="15" l="1"/>
  <c r="R277" i="15"/>
  <c r="P277" i="15"/>
  <c r="T277" i="15"/>
  <c r="Q277" i="15"/>
  <c r="C1" i="26" l="1"/>
  <c r="D1" i="26" l="1"/>
  <c r="I455" i="40"/>
  <c r="H455" i="40"/>
  <c r="I454" i="40"/>
  <c r="H454" i="40"/>
  <c r="I453" i="40"/>
  <c r="H453" i="40"/>
  <c r="I452" i="40"/>
  <c r="H452" i="40"/>
  <c r="I451" i="40"/>
  <c r="H451" i="40"/>
  <c r="I450" i="40"/>
  <c r="H450" i="40"/>
  <c r="I449" i="40"/>
  <c r="H449" i="40"/>
  <c r="I448" i="40"/>
  <c r="H448" i="40"/>
  <c r="I447" i="40"/>
  <c r="H447" i="40"/>
  <c r="I446" i="40"/>
  <c r="H446" i="40"/>
  <c r="I445" i="40"/>
  <c r="H445" i="40"/>
  <c r="I444" i="40"/>
  <c r="H444" i="40"/>
  <c r="I443" i="40"/>
  <c r="H443" i="40"/>
  <c r="I442" i="40"/>
  <c r="H442" i="40"/>
  <c r="I441" i="40"/>
  <c r="H441" i="40"/>
  <c r="I440" i="40"/>
  <c r="H440" i="40"/>
  <c r="I439" i="40"/>
  <c r="H439" i="40"/>
  <c r="I438" i="40"/>
  <c r="H438" i="40"/>
  <c r="I437" i="40"/>
  <c r="H437" i="40"/>
  <c r="I436" i="40"/>
  <c r="H436" i="40"/>
  <c r="I435" i="40"/>
  <c r="H435" i="40"/>
  <c r="I434" i="40"/>
  <c r="H434" i="40"/>
  <c r="I433" i="40"/>
  <c r="H433" i="40"/>
  <c r="I432" i="40"/>
  <c r="H432" i="40"/>
  <c r="I431" i="40"/>
  <c r="H431" i="40"/>
  <c r="I430" i="40"/>
  <c r="H430" i="40"/>
  <c r="I429" i="40"/>
  <c r="H429" i="40"/>
  <c r="I428" i="40"/>
  <c r="H428" i="40"/>
  <c r="I427" i="40"/>
  <c r="H427" i="40"/>
  <c r="I426" i="40"/>
  <c r="H426" i="40"/>
  <c r="I425" i="40"/>
  <c r="H425" i="40"/>
  <c r="I424" i="40"/>
  <c r="H424" i="40"/>
  <c r="I423" i="40"/>
  <c r="H423" i="40"/>
  <c r="I422" i="40"/>
  <c r="H422" i="40"/>
  <c r="I421" i="40"/>
  <c r="H421" i="40"/>
  <c r="I420" i="40"/>
  <c r="H420" i="40"/>
  <c r="I419" i="40"/>
  <c r="H419" i="40"/>
  <c r="I418" i="40"/>
  <c r="H418" i="40"/>
  <c r="I417" i="40"/>
  <c r="H417" i="40"/>
  <c r="I416" i="40"/>
  <c r="H416" i="40"/>
  <c r="I415" i="40"/>
  <c r="H415" i="40"/>
  <c r="I414" i="40"/>
  <c r="H414" i="40"/>
  <c r="I413" i="40"/>
  <c r="H413" i="40"/>
  <c r="I412" i="40"/>
  <c r="H412" i="40"/>
  <c r="I411" i="40"/>
  <c r="H411" i="40"/>
  <c r="I410" i="40"/>
  <c r="H410" i="40"/>
  <c r="I409" i="40"/>
  <c r="H409" i="40"/>
  <c r="I408" i="40"/>
  <c r="H408" i="40"/>
  <c r="I407" i="40"/>
  <c r="H407" i="40"/>
  <c r="I406" i="40"/>
  <c r="H406" i="40"/>
  <c r="F406" i="40"/>
  <c r="I405" i="40"/>
  <c r="H405" i="40"/>
  <c r="F405" i="40"/>
  <c r="I404" i="40"/>
  <c r="H404" i="40"/>
  <c r="F404" i="40"/>
  <c r="I403" i="40"/>
  <c r="H403" i="40"/>
  <c r="F403" i="40"/>
  <c r="I402" i="40"/>
  <c r="H402" i="40"/>
  <c r="F402" i="40"/>
  <c r="I401" i="40"/>
  <c r="H401" i="40"/>
  <c r="F401" i="40"/>
  <c r="I400" i="40"/>
  <c r="H400" i="40"/>
  <c r="F400" i="40"/>
  <c r="I399" i="40"/>
  <c r="H399" i="40"/>
  <c r="F399" i="40"/>
  <c r="I398" i="40"/>
  <c r="H398" i="40"/>
  <c r="F398" i="40"/>
  <c r="I397" i="40"/>
  <c r="H397" i="40"/>
  <c r="F397" i="40"/>
  <c r="I396" i="40"/>
  <c r="H396" i="40"/>
  <c r="F396" i="40"/>
  <c r="I395" i="40"/>
  <c r="H395" i="40"/>
  <c r="F395" i="40"/>
  <c r="I394" i="40"/>
  <c r="H394" i="40"/>
  <c r="F394" i="40"/>
  <c r="I393" i="40"/>
  <c r="H393" i="40"/>
  <c r="F393" i="40"/>
  <c r="I392" i="40"/>
  <c r="H392" i="40"/>
  <c r="F392" i="40"/>
  <c r="I391" i="40"/>
  <c r="H391" i="40"/>
  <c r="F391" i="40"/>
  <c r="I390" i="40"/>
  <c r="H390" i="40"/>
  <c r="F390" i="40"/>
  <c r="I389" i="40"/>
  <c r="H389" i="40"/>
  <c r="F389" i="40"/>
  <c r="I388" i="40"/>
  <c r="H388" i="40"/>
  <c r="F388" i="40"/>
  <c r="I387" i="40"/>
  <c r="H387" i="40"/>
  <c r="F387" i="40"/>
  <c r="I386" i="40"/>
  <c r="H386" i="40"/>
  <c r="F386" i="40"/>
  <c r="I385" i="40"/>
  <c r="H385" i="40"/>
  <c r="F385" i="40"/>
  <c r="I384" i="40"/>
  <c r="H384" i="40"/>
  <c r="F384" i="40"/>
  <c r="I383" i="40"/>
  <c r="H383" i="40"/>
  <c r="F383" i="40"/>
  <c r="I382" i="40"/>
  <c r="H382" i="40"/>
  <c r="F382" i="40"/>
  <c r="I381" i="40"/>
  <c r="H381" i="40"/>
  <c r="F381" i="40"/>
  <c r="I380" i="40"/>
  <c r="H380" i="40"/>
  <c r="F380" i="40"/>
  <c r="I379" i="40"/>
  <c r="H379" i="40"/>
  <c r="F379" i="40"/>
  <c r="I378" i="40"/>
  <c r="H378" i="40"/>
  <c r="F378" i="40"/>
  <c r="I377" i="40"/>
  <c r="H377" i="40"/>
  <c r="F377" i="40"/>
  <c r="I376" i="40"/>
  <c r="H376" i="40"/>
  <c r="F376" i="40"/>
  <c r="I375" i="40"/>
  <c r="H375" i="40"/>
  <c r="F375" i="40"/>
  <c r="I374" i="40"/>
  <c r="H374" i="40"/>
  <c r="F374" i="40"/>
  <c r="I373" i="40"/>
  <c r="H373" i="40"/>
  <c r="F373" i="40"/>
  <c r="I372" i="40"/>
  <c r="H372" i="40"/>
  <c r="F372" i="40"/>
  <c r="I371" i="40"/>
  <c r="H371" i="40"/>
  <c r="F371" i="40"/>
  <c r="I370" i="40"/>
  <c r="H370" i="40"/>
  <c r="F370" i="40"/>
  <c r="I369" i="40"/>
  <c r="H369" i="40"/>
  <c r="F369" i="40"/>
  <c r="I368" i="40"/>
  <c r="H368" i="40"/>
  <c r="F368" i="40"/>
  <c r="I367" i="40"/>
  <c r="H367" i="40"/>
  <c r="F367" i="40"/>
  <c r="I366" i="40"/>
  <c r="H366" i="40"/>
  <c r="F366" i="40"/>
  <c r="I365" i="40"/>
  <c r="H365" i="40"/>
  <c r="F365" i="40"/>
  <c r="I364" i="40"/>
  <c r="H364" i="40"/>
  <c r="F364" i="40"/>
  <c r="I363" i="40"/>
  <c r="H363" i="40"/>
  <c r="F363" i="40"/>
  <c r="I362" i="40"/>
  <c r="H362" i="40"/>
  <c r="F362" i="40"/>
  <c r="I361" i="40"/>
  <c r="H361" i="40"/>
  <c r="F361" i="40"/>
  <c r="I360" i="40"/>
  <c r="H360" i="40"/>
  <c r="F360" i="40"/>
  <c r="I359" i="40"/>
  <c r="H359" i="40"/>
  <c r="F359" i="40"/>
  <c r="I358" i="40"/>
  <c r="H358" i="40"/>
  <c r="F358" i="40"/>
  <c r="I357" i="40"/>
  <c r="H357" i="40"/>
  <c r="F357" i="40"/>
  <c r="I356" i="40"/>
  <c r="H356" i="40"/>
  <c r="F356" i="40"/>
  <c r="I355" i="40"/>
  <c r="H355" i="40"/>
  <c r="F355" i="40"/>
  <c r="I354" i="40"/>
  <c r="H354" i="40"/>
  <c r="F354" i="40"/>
  <c r="I353" i="40"/>
  <c r="H353" i="40"/>
  <c r="F353" i="40"/>
  <c r="I352" i="40"/>
  <c r="H352" i="40"/>
  <c r="F352" i="40"/>
  <c r="I351" i="40"/>
  <c r="H351" i="40"/>
  <c r="F351" i="40"/>
  <c r="I350" i="40"/>
  <c r="H350" i="40"/>
  <c r="F350" i="40"/>
  <c r="I349" i="40"/>
  <c r="H349" i="40"/>
  <c r="F349" i="40"/>
  <c r="I348" i="40"/>
  <c r="H348" i="40"/>
  <c r="F348" i="40"/>
  <c r="I347" i="40"/>
  <c r="H347" i="40"/>
  <c r="F347" i="40"/>
  <c r="I346" i="40"/>
  <c r="H346" i="40"/>
  <c r="F346" i="40"/>
  <c r="I345" i="40"/>
  <c r="H345" i="40"/>
  <c r="F345" i="40"/>
  <c r="I344" i="40"/>
  <c r="H344" i="40"/>
  <c r="F344" i="40"/>
  <c r="I343" i="40"/>
  <c r="H343" i="40"/>
  <c r="F343" i="40"/>
  <c r="I342" i="40"/>
  <c r="H342" i="40"/>
  <c r="F342" i="40"/>
  <c r="I341" i="40"/>
  <c r="H341" i="40"/>
  <c r="F341" i="40"/>
  <c r="I340" i="40"/>
  <c r="H340" i="40"/>
  <c r="F340" i="40"/>
  <c r="I339" i="40"/>
  <c r="H339" i="40"/>
  <c r="F339" i="40"/>
  <c r="I338" i="40"/>
  <c r="H338" i="40"/>
  <c r="F338" i="40"/>
  <c r="I337" i="40"/>
  <c r="H337" i="40"/>
  <c r="F337" i="40"/>
  <c r="I336" i="40"/>
  <c r="H336" i="40"/>
  <c r="F336" i="40"/>
  <c r="I335" i="40"/>
  <c r="H335" i="40"/>
  <c r="F335" i="40"/>
  <c r="I334" i="40"/>
  <c r="H334" i="40"/>
  <c r="F334" i="40"/>
  <c r="I333" i="40"/>
  <c r="H333" i="40"/>
  <c r="F333" i="40"/>
  <c r="I332" i="40"/>
  <c r="H332" i="40"/>
  <c r="F332" i="40"/>
  <c r="I331" i="40"/>
  <c r="H331" i="40"/>
  <c r="F331" i="40"/>
  <c r="I330" i="40"/>
  <c r="H330" i="40"/>
  <c r="F330" i="40"/>
  <c r="I329" i="40"/>
  <c r="H329" i="40"/>
  <c r="F329" i="40"/>
  <c r="I328" i="40"/>
  <c r="H328" i="40"/>
  <c r="F328" i="40"/>
  <c r="I327" i="40"/>
  <c r="H327" i="40"/>
  <c r="F327" i="40"/>
  <c r="I326" i="40"/>
  <c r="H326" i="40"/>
  <c r="F326" i="40"/>
  <c r="I325" i="40"/>
  <c r="H325" i="40"/>
  <c r="F325" i="40"/>
  <c r="I324" i="40"/>
  <c r="H324" i="40"/>
  <c r="F324" i="40"/>
  <c r="I323" i="40"/>
  <c r="H323" i="40"/>
  <c r="F323" i="40"/>
  <c r="I322" i="40"/>
  <c r="H322" i="40"/>
  <c r="F322" i="40"/>
  <c r="I321" i="40"/>
  <c r="H321" i="40"/>
  <c r="F321" i="40"/>
  <c r="I320" i="40"/>
  <c r="H320" i="40"/>
  <c r="F320" i="40"/>
  <c r="I319" i="40"/>
  <c r="H319" i="40"/>
  <c r="F319" i="40"/>
  <c r="I318" i="40"/>
  <c r="H318" i="40"/>
  <c r="F318" i="40"/>
  <c r="I317" i="40"/>
  <c r="H317" i="40"/>
  <c r="F317" i="40"/>
  <c r="I316" i="40"/>
  <c r="H316" i="40"/>
  <c r="F316" i="40"/>
  <c r="I315" i="40"/>
  <c r="H315" i="40"/>
  <c r="F315" i="40"/>
  <c r="I314" i="40"/>
  <c r="H314" i="40"/>
  <c r="F314" i="40"/>
  <c r="I313" i="40"/>
  <c r="H313" i="40"/>
  <c r="F313" i="40"/>
  <c r="I312" i="40"/>
  <c r="H312" i="40"/>
  <c r="F312" i="40"/>
  <c r="I311" i="40"/>
  <c r="H311" i="40"/>
  <c r="F311" i="40"/>
  <c r="I310" i="40"/>
  <c r="H310" i="40"/>
  <c r="F310" i="40"/>
  <c r="I309" i="40"/>
  <c r="H309" i="40"/>
  <c r="F309" i="40"/>
  <c r="I308" i="40"/>
  <c r="H308" i="40"/>
  <c r="F308" i="40"/>
  <c r="I307" i="40"/>
  <c r="H307" i="40"/>
  <c r="F307" i="40"/>
  <c r="I306" i="40"/>
  <c r="H306" i="40"/>
  <c r="F306" i="40"/>
  <c r="I305" i="40"/>
  <c r="H305" i="40"/>
  <c r="F305" i="40"/>
  <c r="I304" i="40"/>
  <c r="H304" i="40"/>
  <c r="F304" i="40"/>
  <c r="I303" i="40"/>
  <c r="H303" i="40"/>
  <c r="F303" i="40"/>
  <c r="I302" i="40"/>
  <c r="H302" i="40"/>
  <c r="F302" i="40"/>
  <c r="I301" i="40"/>
  <c r="H301" i="40"/>
  <c r="F301" i="40"/>
  <c r="I300" i="40"/>
  <c r="H300" i="40"/>
  <c r="F300" i="40"/>
  <c r="I299" i="40"/>
  <c r="H299" i="40"/>
  <c r="F299" i="40"/>
  <c r="I298" i="40"/>
  <c r="H298" i="40"/>
  <c r="F298" i="40"/>
  <c r="I297" i="40"/>
  <c r="H297" i="40"/>
  <c r="F297" i="40"/>
  <c r="I296" i="40"/>
  <c r="H296" i="40"/>
  <c r="F296" i="40"/>
  <c r="I295" i="40"/>
  <c r="H295" i="40"/>
  <c r="F295" i="40"/>
  <c r="I294" i="40"/>
  <c r="H294" i="40"/>
  <c r="F294" i="40"/>
  <c r="I293" i="40"/>
  <c r="H293" i="40"/>
  <c r="F293" i="40"/>
  <c r="I292" i="40"/>
  <c r="H292" i="40"/>
  <c r="F292" i="40"/>
  <c r="I291" i="40"/>
  <c r="H291" i="40"/>
  <c r="F291" i="40"/>
  <c r="I290" i="40"/>
  <c r="H290" i="40"/>
  <c r="F290" i="40"/>
  <c r="I289" i="40"/>
  <c r="H289" i="40"/>
  <c r="F289" i="40"/>
  <c r="I288" i="40"/>
  <c r="H288" i="40"/>
  <c r="F288" i="40"/>
  <c r="I287" i="40"/>
  <c r="H287" i="40"/>
  <c r="F287" i="40"/>
  <c r="I286" i="40"/>
  <c r="H286" i="40"/>
  <c r="F286" i="40"/>
  <c r="I285" i="40"/>
  <c r="H285" i="40"/>
  <c r="F285" i="40"/>
  <c r="I284" i="40"/>
  <c r="H284" i="40"/>
  <c r="F284" i="40"/>
  <c r="I283" i="40"/>
  <c r="H283" i="40"/>
  <c r="F283" i="40"/>
  <c r="I282" i="40"/>
  <c r="H282" i="40"/>
  <c r="F282" i="40"/>
  <c r="I281" i="40"/>
  <c r="H281" i="40"/>
  <c r="F281" i="40"/>
  <c r="I280" i="40"/>
  <c r="H280" i="40"/>
  <c r="F280" i="40"/>
  <c r="I279" i="40"/>
  <c r="H279" i="40"/>
  <c r="F279" i="40"/>
  <c r="I278" i="40"/>
  <c r="H278" i="40"/>
  <c r="F278" i="40"/>
  <c r="I277" i="40"/>
  <c r="H277" i="40"/>
  <c r="F277" i="40"/>
  <c r="I276" i="40"/>
  <c r="H276" i="40"/>
  <c r="F276" i="40"/>
  <c r="I275" i="40"/>
  <c r="H275" i="40"/>
  <c r="F275" i="40"/>
  <c r="I274" i="40"/>
  <c r="H274" i="40"/>
  <c r="F274" i="40"/>
  <c r="I273" i="40"/>
  <c r="H273" i="40"/>
  <c r="F273" i="40"/>
  <c r="I272" i="40"/>
  <c r="H272" i="40"/>
  <c r="F272" i="40"/>
  <c r="I271" i="40"/>
  <c r="H271" i="40"/>
  <c r="F271" i="40"/>
  <c r="I270" i="40"/>
  <c r="H270" i="40"/>
  <c r="F270" i="40"/>
  <c r="I269" i="40"/>
  <c r="H269" i="40"/>
  <c r="F269" i="40"/>
  <c r="I268" i="40"/>
  <c r="H268" i="40"/>
  <c r="F268" i="40"/>
  <c r="I267" i="40"/>
  <c r="H267" i="40"/>
  <c r="F267" i="40"/>
  <c r="I266" i="40"/>
  <c r="H266" i="40"/>
  <c r="F266" i="40"/>
  <c r="I265" i="40"/>
  <c r="H265" i="40"/>
  <c r="F265" i="40"/>
  <c r="I264" i="40"/>
  <c r="H264" i="40"/>
  <c r="F264" i="40"/>
  <c r="I263" i="40"/>
  <c r="H263" i="40"/>
  <c r="F263" i="40"/>
  <c r="I262" i="40"/>
  <c r="H262" i="40"/>
  <c r="F262" i="40"/>
  <c r="I261" i="40"/>
  <c r="H261" i="40"/>
  <c r="F261" i="40"/>
  <c r="I260" i="40"/>
  <c r="H260" i="40"/>
  <c r="F260" i="40"/>
  <c r="I259" i="40"/>
  <c r="H259" i="40"/>
  <c r="F259" i="40"/>
  <c r="I258" i="40"/>
  <c r="H258" i="40"/>
  <c r="F258" i="40"/>
  <c r="I257" i="40"/>
  <c r="H257" i="40"/>
  <c r="F257" i="40"/>
  <c r="I256" i="40"/>
  <c r="H256" i="40"/>
  <c r="F256" i="40"/>
  <c r="I255" i="40"/>
  <c r="H255" i="40"/>
  <c r="F255" i="40"/>
  <c r="I254" i="40"/>
  <c r="H254" i="40"/>
  <c r="F254" i="40"/>
  <c r="I253" i="40"/>
  <c r="H253" i="40"/>
  <c r="F253" i="40"/>
  <c r="I252" i="40"/>
  <c r="H252" i="40"/>
  <c r="F252" i="40"/>
  <c r="I251" i="40"/>
  <c r="H251" i="40"/>
  <c r="F251" i="40"/>
  <c r="I250" i="40"/>
  <c r="H250" i="40"/>
  <c r="F250" i="40"/>
  <c r="I249" i="40"/>
  <c r="H249" i="40"/>
  <c r="F249" i="40"/>
  <c r="I248" i="40"/>
  <c r="H248" i="40"/>
  <c r="F248" i="40"/>
  <c r="I247" i="40"/>
  <c r="H247" i="40"/>
  <c r="F247" i="40"/>
  <c r="I246" i="40"/>
  <c r="H246" i="40"/>
  <c r="F246" i="40"/>
  <c r="I245" i="40"/>
  <c r="H245" i="40"/>
  <c r="F245" i="40"/>
  <c r="I244" i="40"/>
  <c r="H244" i="40"/>
  <c r="F244" i="40"/>
  <c r="I243" i="40"/>
  <c r="H243" i="40"/>
  <c r="F243" i="40"/>
  <c r="I242" i="40"/>
  <c r="H242" i="40"/>
  <c r="F242" i="40"/>
  <c r="I241" i="40"/>
  <c r="H241" i="40"/>
  <c r="F241" i="40"/>
  <c r="I240" i="40"/>
  <c r="H240" i="40"/>
  <c r="F240" i="40"/>
  <c r="I239" i="40"/>
  <c r="H239" i="40"/>
  <c r="F239" i="40"/>
  <c r="I238" i="40"/>
  <c r="H238" i="40"/>
  <c r="F238" i="40"/>
  <c r="I237" i="40"/>
  <c r="H237" i="40"/>
  <c r="F237" i="40"/>
  <c r="I236" i="40"/>
  <c r="H236" i="40"/>
  <c r="F236" i="40"/>
  <c r="I235" i="40"/>
  <c r="H235" i="40"/>
  <c r="F235" i="40"/>
  <c r="I234" i="40"/>
  <c r="H234" i="40"/>
  <c r="F234" i="40"/>
  <c r="I233" i="40"/>
  <c r="H233" i="40"/>
  <c r="F233" i="40"/>
  <c r="I232" i="40"/>
  <c r="H232" i="40"/>
  <c r="F232" i="40"/>
  <c r="I231" i="40"/>
  <c r="H231" i="40"/>
  <c r="F231" i="40"/>
  <c r="I230" i="40"/>
  <c r="H230" i="40"/>
  <c r="F230" i="40"/>
  <c r="I229" i="40"/>
  <c r="H229" i="40"/>
  <c r="F229" i="40"/>
  <c r="I228" i="40"/>
  <c r="H228" i="40"/>
  <c r="F228" i="40"/>
  <c r="I227" i="40"/>
  <c r="H227" i="40"/>
  <c r="F227" i="40"/>
  <c r="I226" i="40"/>
  <c r="H226" i="40"/>
  <c r="F226" i="40"/>
  <c r="I225" i="40"/>
  <c r="H225" i="40"/>
  <c r="F225" i="40"/>
  <c r="I224" i="40"/>
  <c r="H224" i="40"/>
  <c r="F224" i="40"/>
  <c r="I223" i="40"/>
  <c r="H223" i="40"/>
  <c r="F223" i="40"/>
  <c r="I222" i="40"/>
  <c r="H222" i="40"/>
  <c r="F222" i="40"/>
  <c r="I221" i="40"/>
  <c r="H221" i="40"/>
  <c r="F221" i="40"/>
  <c r="I220" i="40"/>
  <c r="H220" i="40"/>
  <c r="F220" i="40"/>
  <c r="I219" i="40"/>
  <c r="H219" i="40"/>
  <c r="F219" i="40"/>
  <c r="I218" i="40"/>
  <c r="H218" i="40"/>
  <c r="F218" i="40"/>
  <c r="I217" i="40"/>
  <c r="H217" i="40"/>
  <c r="F217" i="40"/>
  <c r="I216" i="40"/>
  <c r="H216" i="40"/>
  <c r="F216" i="40"/>
  <c r="I215" i="40"/>
  <c r="H215" i="40"/>
  <c r="F215" i="40"/>
  <c r="I214" i="40"/>
  <c r="H214" i="40"/>
  <c r="F214" i="40"/>
  <c r="I213" i="40"/>
  <c r="H213" i="40"/>
  <c r="F213" i="40"/>
  <c r="I212" i="40"/>
  <c r="H212" i="40"/>
  <c r="F212" i="40"/>
  <c r="I211" i="40"/>
  <c r="H211" i="40"/>
  <c r="F211" i="40"/>
  <c r="I210" i="40"/>
  <c r="H210" i="40"/>
  <c r="F210" i="40"/>
  <c r="I209" i="40"/>
  <c r="H209" i="40"/>
  <c r="F209" i="40"/>
  <c r="I208" i="40"/>
  <c r="H208" i="40"/>
  <c r="F208" i="40"/>
  <c r="I207" i="40"/>
  <c r="H207" i="40"/>
  <c r="F207" i="40"/>
  <c r="I206" i="40"/>
  <c r="H206" i="40"/>
  <c r="F206" i="40"/>
  <c r="I205" i="40"/>
  <c r="H205" i="40"/>
  <c r="F205" i="40"/>
  <c r="I204" i="40"/>
  <c r="H204" i="40"/>
  <c r="F204" i="40"/>
  <c r="I203" i="40"/>
  <c r="H203" i="40"/>
  <c r="F203" i="40"/>
  <c r="I202" i="40"/>
  <c r="H202" i="40"/>
  <c r="F202" i="40"/>
  <c r="I201" i="40"/>
  <c r="H201" i="40"/>
  <c r="F201" i="40"/>
  <c r="I200" i="40"/>
  <c r="H200" i="40"/>
  <c r="F200" i="40"/>
  <c r="I199" i="40"/>
  <c r="H199" i="40"/>
  <c r="F199" i="40"/>
  <c r="I198" i="40"/>
  <c r="H198" i="40"/>
  <c r="F198" i="40"/>
  <c r="I197" i="40"/>
  <c r="H197" i="40"/>
  <c r="F197" i="40"/>
  <c r="I196" i="40"/>
  <c r="H196" i="40"/>
  <c r="F196" i="40"/>
  <c r="I195" i="40"/>
  <c r="H195" i="40"/>
  <c r="F195" i="40"/>
  <c r="I194" i="40"/>
  <c r="H194" i="40"/>
  <c r="F194" i="40"/>
  <c r="I193" i="40"/>
  <c r="H193" i="40"/>
  <c r="F193" i="40"/>
  <c r="I192" i="40"/>
  <c r="H192" i="40"/>
  <c r="F192" i="40"/>
  <c r="I191" i="40"/>
  <c r="H191" i="40"/>
  <c r="F191" i="40"/>
  <c r="I190" i="40"/>
  <c r="H190" i="40"/>
  <c r="F190" i="40"/>
  <c r="I189" i="40"/>
  <c r="H189" i="40"/>
  <c r="F189" i="40"/>
  <c r="I188" i="40"/>
  <c r="H188" i="40"/>
  <c r="F188" i="40"/>
  <c r="I187" i="40"/>
  <c r="H187" i="40"/>
  <c r="F187" i="40"/>
  <c r="I186" i="40"/>
  <c r="H186" i="40"/>
  <c r="F186" i="40"/>
  <c r="I185" i="40"/>
  <c r="H185" i="40"/>
  <c r="F185" i="40"/>
  <c r="I184" i="40"/>
  <c r="H184" i="40"/>
  <c r="F184" i="40"/>
  <c r="I183" i="40"/>
  <c r="H183" i="40"/>
  <c r="F183" i="40"/>
  <c r="I182" i="40"/>
  <c r="H182" i="40"/>
  <c r="F182" i="40"/>
  <c r="I181" i="40"/>
  <c r="H181" i="40"/>
  <c r="F181" i="40"/>
  <c r="I180" i="40"/>
  <c r="H180" i="40"/>
  <c r="F180" i="40"/>
  <c r="I179" i="40"/>
  <c r="H179" i="40"/>
  <c r="F179" i="40"/>
  <c r="I178" i="40"/>
  <c r="H178" i="40"/>
  <c r="F178" i="40"/>
  <c r="I177" i="40"/>
  <c r="H177" i="40"/>
  <c r="F177" i="40"/>
  <c r="I176" i="40"/>
  <c r="H176" i="40"/>
  <c r="F176" i="40"/>
  <c r="I175" i="40"/>
  <c r="H175" i="40"/>
  <c r="F175" i="40"/>
  <c r="I174" i="40"/>
  <c r="H174" i="40"/>
  <c r="F174" i="40"/>
  <c r="I173" i="40"/>
  <c r="H173" i="40"/>
  <c r="F173" i="40"/>
  <c r="I172" i="40"/>
  <c r="H172" i="40"/>
  <c r="F172" i="40"/>
  <c r="I171" i="40"/>
  <c r="H171" i="40"/>
  <c r="F171" i="40"/>
  <c r="I170" i="40"/>
  <c r="H170" i="40"/>
  <c r="F170" i="40"/>
  <c r="I169" i="40"/>
  <c r="H169" i="40"/>
  <c r="F169" i="40"/>
  <c r="I168" i="40"/>
  <c r="H168" i="40"/>
  <c r="F168" i="40"/>
  <c r="I167" i="40"/>
  <c r="H167" i="40"/>
  <c r="F167" i="40"/>
  <c r="I166" i="40"/>
  <c r="H166" i="40"/>
  <c r="F166" i="40"/>
  <c r="I165" i="40"/>
  <c r="H165" i="40"/>
  <c r="F165" i="40"/>
  <c r="I164" i="40"/>
  <c r="H164" i="40"/>
  <c r="F164" i="40"/>
  <c r="I163" i="40"/>
  <c r="H163" i="40"/>
  <c r="F163" i="40"/>
  <c r="I162" i="40"/>
  <c r="H162" i="40"/>
  <c r="F162" i="40"/>
  <c r="I161" i="40"/>
  <c r="H161" i="40"/>
  <c r="F161" i="40"/>
  <c r="I160" i="40"/>
  <c r="H160" i="40"/>
  <c r="F160" i="40"/>
  <c r="I159" i="40"/>
  <c r="H159" i="40"/>
  <c r="F159" i="40"/>
  <c r="I158" i="40"/>
  <c r="H158" i="40"/>
  <c r="F158" i="40"/>
  <c r="I157" i="40"/>
  <c r="H157" i="40"/>
  <c r="F157" i="40"/>
  <c r="I156" i="40"/>
  <c r="H156" i="40"/>
  <c r="F156" i="40"/>
  <c r="I155" i="40"/>
  <c r="H155" i="40"/>
  <c r="F155" i="40"/>
  <c r="I154" i="40"/>
  <c r="H154" i="40"/>
  <c r="F154" i="40"/>
  <c r="I153" i="40"/>
  <c r="H153" i="40"/>
  <c r="F153" i="40"/>
  <c r="I152" i="40"/>
  <c r="H152" i="40"/>
  <c r="F152" i="40"/>
  <c r="I151" i="40"/>
  <c r="H151" i="40"/>
  <c r="F151" i="40"/>
  <c r="I150" i="40"/>
  <c r="H150" i="40"/>
  <c r="F150" i="40"/>
  <c r="I149" i="40"/>
  <c r="H149" i="40"/>
  <c r="F149" i="40"/>
  <c r="I148" i="40"/>
  <c r="H148" i="40"/>
  <c r="F148" i="40"/>
  <c r="I147" i="40"/>
  <c r="H147" i="40"/>
  <c r="F147" i="40"/>
  <c r="I146" i="40"/>
  <c r="H146" i="40"/>
  <c r="F146" i="40"/>
  <c r="I145" i="40"/>
  <c r="H145" i="40"/>
  <c r="F145" i="40"/>
  <c r="I144" i="40"/>
  <c r="H144" i="40"/>
  <c r="F144" i="40"/>
  <c r="I143" i="40"/>
  <c r="H143" i="40"/>
  <c r="F143" i="40"/>
  <c r="I142" i="40"/>
  <c r="H142" i="40"/>
  <c r="F142" i="40"/>
  <c r="I141" i="40"/>
  <c r="H141" i="40"/>
  <c r="F141" i="40"/>
  <c r="I140" i="40"/>
  <c r="H140" i="40"/>
  <c r="F140" i="40"/>
  <c r="I139" i="40"/>
  <c r="H139" i="40"/>
  <c r="F139" i="40"/>
  <c r="I138" i="40"/>
  <c r="H138" i="40"/>
  <c r="F138" i="40"/>
  <c r="I137" i="40"/>
  <c r="H137" i="40"/>
  <c r="F137" i="40"/>
  <c r="I136" i="40"/>
  <c r="H136" i="40"/>
  <c r="F136" i="40"/>
  <c r="I135" i="40"/>
  <c r="H135" i="40"/>
  <c r="F135" i="40"/>
  <c r="I134" i="40"/>
  <c r="H134" i="40"/>
  <c r="F134" i="40"/>
  <c r="I133" i="40"/>
  <c r="H133" i="40"/>
  <c r="F133" i="40"/>
  <c r="I132" i="40"/>
  <c r="H132" i="40"/>
  <c r="F132" i="40"/>
  <c r="I131" i="40"/>
  <c r="H131" i="40"/>
  <c r="F131" i="40"/>
  <c r="I130" i="40"/>
  <c r="H130" i="40"/>
  <c r="F130" i="40"/>
  <c r="I129" i="40"/>
  <c r="H129" i="40"/>
  <c r="F129" i="40"/>
  <c r="I128" i="40"/>
  <c r="H128" i="40"/>
  <c r="F128" i="40"/>
  <c r="I127" i="40"/>
  <c r="H127" i="40"/>
  <c r="F127" i="40"/>
  <c r="I126" i="40"/>
  <c r="H126" i="40"/>
  <c r="F126" i="40"/>
  <c r="I125" i="40"/>
  <c r="H125" i="40"/>
  <c r="F125" i="40"/>
  <c r="I124" i="40"/>
  <c r="H124" i="40"/>
  <c r="F124" i="40"/>
  <c r="I123" i="40"/>
  <c r="H123" i="40"/>
  <c r="F123" i="40"/>
  <c r="I122" i="40"/>
  <c r="H122" i="40"/>
  <c r="F122" i="40"/>
  <c r="I121" i="40"/>
  <c r="H121" i="40"/>
  <c r="F121" i="40"/>
  <c r="I120" i="40"/>
  <c r="H120" i="40"/>
  <c r="F120" i="40"/>
  <c r="I119" i="40"/>
  <c r="H119" i="40"/>
  <c r="F119" i="40"/>
  <c r="I118" i="40"/>
  <c r="H118" i="40"/>
  <c r="F118" i="40"/>
  <c r="I117" i="40"/>
  <c r="H117" i="40"/>
  <c r="F117" i="40"/>
  <c r="I116" i="40"/>
  <c r="H116" i="40"/>
  <c r="F116" i="40"/>
  <c r="I115" i="40"/>
  <c r="H115" i="40"/>
  <c r="F115" i="40"/>
  <c r="I114" i="40"/>
  <c r="H114" i="40"/>
  <c r="F114" i="40"/>
  <c r="I113" i="40"/>
  <c r="H113" i="40"/>
  <c r="F113" i="40"/>
  <c r="I112" i="40"/>
  <c r="H112" i="40"/>
  <c r="F112" i="40"/>
  <c r="I111" i="40"/>
  <c r="H111" i="40"/>
  <c r="F111" i="40"/>
  <c r="I110" i="40"/>
  <c r="H110" i="40"/>
  <c r="F110" i="40"/>
  <c r="I109" i="40"/>
  <c r="H109" i="40"/>
  <c r="F109" i="40"/>
  <c r="I108" i="40"/>
  <c r="H108" i="40"/>
  <c r="F108" i="40"/>
  <c r="I107" i="40"/>
  <c r="H107" i="40"/>
  <c r="F107" i="40"/>
  <c r="I106" i="40"/>
  <c r="H106" i="40"/>
  <c r="F106" i="40"/>
  <c r="I105" i="40"/>
  <c r="H105" i="40"/>
  <c r="F105" i="40"/>
  <c r="I104" i="40"/>
  <c r="H104" i="40"/>
  <c r="F104" i="40"/>
  <c r="I103" i="40"/>
  <c r="H103" i="40"/>
  <c r="F103" i="40"/>
  <c r="I102" i="40"/>
  <c r="H102" i="40"/>
  <c r="F102" i="40"/>
  <c r="I101" i="40"/>
  <c r="H101" i="40"/>
  <c r="F101" i="40"/>
  <c r="I100" i="40"/>
  <c r="H100" i="40"/>
  <c r="F100" i="40"/>
  <c r="I99" i="40"/>
  <c r="H99" i="40"/>
  <c r="F99" i="40"/>
  <c r="I98" i="40"/>
  <c r="H98" i="40"/>
  <c r="F98" i="40"/>
  <c r="I97" i="40"/>
  <c r="H97" i="40"/>
  <c r="F97" i="40"/>
  <c r="I96" i="40"/>
  <c r="H96" i="40"/>
  <c r="F96" i="40"/>
  <c r="I95" i="40"/>
  <c r="H95" i="40"/>
  <c r="F95" i="40"/>
  <c r="I94" i="40"/>
  <c r="H94" i="40"/>
  <c r="F94" i="40"/>
  <c r="I93" i="40"/>
  <c r="H93" i="40"/>
  <c r="F93" i="40"/>
  <c r="I92" i="40"/>
  <c r="H92" i="40"/>
  <c r="F92" i="40"/>
  <c r="I91" i="40"/>
  <c r="H91" i="40"/>
  <c r="F91" i="40"/>
  <c r="I90" i="40"/>
  <c r="H90" i="40"/>
  <c r="F90" i="40"/>
  <c r="I89" i="40"/>
  <c r="H89" i="40"/>
  <c r="F89" i="40"/>
  <c r="I88" i="40"/>
  <c r="H88" i="40"/>
  <c r="F88" i="40"/>
  <c r="I87" i="40"/>
  <c r="H87" i="40"/>
  <c r="F87" i="40"/>
  <c r="I86" i="40"/>
  <c r="H86" i="40"/>
  <c r="F86" i="40"/>
  <c r="I85" i="40"/>
  <c r="H85" i="40"/>
  <c r="F85" i="40"/>
  <c r="I84" i="40"/>
  <c r="H84" i="40"/>
  <c r="F84" i="40"/>
  <c r="I83" i="40"/>
  <c r="H83" i="40"/>
  <c r="F83" i="40"/>
  <c r="I82" i="40"/>
  <c r="H82" i="40"/>
  <c r="F82" i="40"/>
  <c r="I81" i="40"/>
  <c r="H81" i="40"/>
  <c r="F81" i="40"/>
  <c r="I80" i="40"/>
  <c r="H80" i="40"/>
  <c r="F80" i="40"/>
  <c r="I79" i="40"/>
  <c r="H79" i="40"/>
  <c r="F79" i="40"/>
  <c r="I78" i="40"/>
  <c r="H78" i="40"/>
  <c r="F78" i="40"/>
  <c r="I77" i="40"/>
  <c r="H77" i="40"/>
  <c r="F77" i="40"/>
  <c r="I76" i="40"/>
  <c r="H76" i="40"/>
  <c r="F76" i="40"/>
  <c r="I75" i="40"/>
  <c r="H75" i="40"/>
  <c r="F75" i="40"/>
  <c r="I74" i="40"/>
  <c r="H74" i="40"/>
  <c r="F74" i="40"/>
  <c r="I73" i="40"/>
  <c r="H73" i="40"/>
  <c r="F73" i="40"/>
  <c r="I72" i="40"/>
  <c r="H72" i="40"/>
  <c r="F72" i="40"/>
  <c r="H71" i="40"/>
  <c r="F71" i="40"/>
  <c r="I70" i="40"/>
  <c r="H70" i="40"/>
  <c r="F70" i="40"/>
  <c r="I69" i="40"/>
  <c r="H69" i="40"/>
  <c r="F69" i="40"/>
  <c r="I68" i="40"/>
  <c r="H68" i="40"/>
  <c r="F68" i="40"/>
  <c r="I67" i="40"/>
  <c r="H67" i="40"/>
  <c r="F67" i="40"/>
  <c r="I66" i="40"/>
  <c r="H66" i="40"/>
  <c r="F66" i="40"/>
  <c r="I65" i="40"/>
  <c r="H65" i="40"/>
  <c r="F65" i="40"/>
  <c r="I64" i="40"/>
  <c r="H64" i="40"/>
  <c r="F64" i="40"/>
  <c r="I63" i="40"/>
  <c r="H63" i="40"/>
  <c r="F63" i="40"/>
  <c r="I62" i="40"/>
  <c r="H62" i="40"/>
  <c r="F62" i="40"/>
  <c r="I61" i="40"/>
  <c r="H61" i="40"/>
  <c r="F61" i="40"/>
  <c r="I60" i="40"/>
  <c r="H60" i="40"/>
  <c r="F60" i="40"/>
  <c r="I59" i="40"/>
  <c r="H59" i="40"/>
  <c r="F59" i="40"/>
  <c r="I58" i="40"/>
  <c r="H58" i="40"/>
  <c r="F58" i="40"/>
  <c r="I57" i="40"/>
  <c r="H57" i="40"/>
  <c r="F57" i="40"/>
  <c r="I56" i="40"/>
  <c r="H56" i="40"/>
  <c r="F56" i="40"/>
  <c r="I55" i="40"/>
  <c r="H55" i="40"/>
  <c r="F55" i="40"/>
  <c r="I54" i="40"/>
  <c r="H54" i="40"/>
  <c r="F54" i="40"/>
  <c r="I53" i="40"/>
  <c r="H53" i="40"/>
  <c r="F53" i="40"/>
  <c r="I52" i="40"/>
  <c r="H52" i="40"/>
  <c r="F52" i="40"/>
  <c r="I51" i="40"/>
  <c r="H51" i="40"/>
  <c r="F51" i="40"/>
  <c r="I50" i="40"/>
  <c r="H50" i="40"/>
  <c r="F50" i="40"/>
  <c r="I49" i="40"/>
  <c r="H49" i="40"/>
  <c r="F49" i="40"/>
  <c r="I48" i="40"/>
  <c r="H48" i="40"/>
  <c r="F48" i="40"/>
  <c r="I47" i="40"/>
  <c r="H47" i="40"/>
  <c r="F47" i="40"/>
  <c r="I46" i="40"/>
  <c r="H46" i="40"/>
  <c r="F46" i="40"/>
  <c r="I45" i="40"/>
  <c r="H45" i="40"/>
  <c r="F45" i="40"/>
  <c r="I44" i="40"/>
  <c r="H44" i="40"/>
  <c r="F44" i="40"/>
  <c r="I43" i="40"/>
  <c r="H43" i="40"/>
  <c r="F43" i="40"/>
  <c r="I42" i="40"/>
  <c r="H42" i="40"/>
  <c r="F42" i="40"/>
  <c r="I41" i="40"/>
  <c r="H41" i="40"/>
  <c r="F41" i="40"/>
  <c r="I40" i="40"/>
  <c r="H40" i="40"/>
  <c r="F40" i="40"/>
  <c r="I39" i="40"/>
  <c r="H39" i="40"/>
  <c r="F39" i="40"/>
  <c r="I38" i="40"/>
  <c r="H38" i="40"/>
  <c r="F38" i="40"/>
  <c r="I37" i="40"/>
  <c r="H37" i="40"/>
  <c r="F37" i="40"/>
  <c r="I36" i="40"/>
  <c r="H36" i="40"/>
  <c r="F36" i="40"/>
  <c r="I35" i="40"/>
  <c r="H35" i="40"/>
  <c r="F35" i="40"/>
  <c r="I34" i="40"/>
  <c r="H34" i="40"/>
  <c r="F34" i="40"/>
  <c r="I33" i="40"/>
  <c r="H33" i="40"/>
  <c r="F33" i="40"/>
  <c r="I32" i="40"/>
  <c r="H32" i="40"/>
  <c r="F32" i="40"/>
  <c r="I31" i="40"/>
  <c r="H31" i="40"/>
  <c r="F31" i="40"/>
  <c r="I30" i="40"/>
  <c r="H30" i="40"/>
  <c r="F30" i="40"/>
  <c r="I29" i="40"/>
  <c r="H29" i="40"/>
  <c r="F29" i="40"/>
  <c r="I28" i="40"/>
  <c r="H28" i="40"/>
  <c r="F28" i="40"/>
  <c r="I27" i="40"/>
  <c r="H27" i="40"/>
  <c r="F27" i="40"/>
  <c r="I26" i="40"/>
  <c r="H26" i="40"/>
  <c r="F26" i="40"/>
  <c r="I25" i="40"/>
  <c r="H25" i="40"/>
  <c r="F25" i="40"/>
  <c r="I24" i="40"/>
  <c r="H24" i="40"/>
  <c r="F24" i="40"/>
  <c r="I23" i="40"/>
  <c r="H23" i="40"/>
  <c r="F23" i="40"/>
  <c r="I22" i="40"/>
  <c r="H22" i="40"/>
  <c r="F22" i="40"/>
  <c r="I21" i="40"/>
  <c r="H21" i="40"/>
  <c r="F21" i="40"/>
  <c r="I20" i="40"/>
  <c r="H20" i="40"/>
  <c r="F20" i="40"/>
  <c r="I19" i="40"/>
  <c r="H19" i="40"/>
  <c r="F19" i="40"/>
  <c r="I18" i="40"/>
  <c r="H18" i="40"/>
  <c r="F18" i="40"/>
  <c r="I17" i="40"/>
  <c r="H17" i="40"/>
  <c r="F17" i="40"/>
  <c r="I16" i="40"/>
  <c r="H16" i="40"/>
  <c r="F16" i="40"/>
  <c r="I15" i="40"/>
  <c r="H15" i="40"/>
  <c r="F15" i="40"/>
  <c r="I14" i="40"/>
  <c r="H14" i="40"/>
  <c r="F14" i="40"/>
  <c r="I13" i="40"/>
  <c r="H13" i="40"/>
  <c r="F13" i="40"/>
  <c r="I12" i="40"/>
  <c r="H12" i="40"/>
  <c r="F12" i="40"/>
  <c r="I11" i="40"/>
  <c r="H11" i="40"/>
  <c r="F11" i="40"/>
  <c r="I10" i="40"/>
  <c r="F10" i="40"/>
  <c r="I9" i="40"/>
  <c r="H9" i="40"/>
  <c r="F9" i="40"/>
  <c r="I8" i="40"/>
  <c r="H8" i="40"/>
  <c r="F8" i="40"/>
  <c r="I7" i="40"/>
  <c r="H7" i="40"/>
  <c r="F7" i="40"/>
  <c r="I6" i="40"/>
  <c r="H6" i="40"/>
  <c r="F6" i="40"/>
  <c r="I5" i="40"/>
  <c r="H5" i="40"/>
  <c r="F5" i="40"/>
  <c r="I394" i="26" l="1"/>
  <c r="I410" i="26"/>
  <c r="I426" i="26"/>
  <c r="I442" i="26"/>
  <c r="I395" i="26"/>
  <c r="I411" i="26"/>
  <c r="I427" i="26"/>
  <c r="I443" i="26"/>
  <c r="I396" i="26"/>
  <c r="I412" i="26"/>
  <c r="I428" i="26"/>
  <c r="I444" i="26"/>
  <c r="I397" i="26"/>
  <c r="I413" i="26"/>
  <c r="I429" i="26"/>
  <c r="I445" i="26"/>
  <c r="I398" i="26"/>
  <c r="I414" i="26"/>
  <c r="I430" i="26"/>
  <c r="I446" i="26"/>
  <c r="I399" i="26"/>
  <c r="I415" i="26"/>
  <c r="I431" i="26"/>
  <c r="I400" i="26"/>
  <c r="I416" i="26"/>
  <c r="I432" i="26"/>
  <c r="I401" i="26"/>
  <c r="I417" i="26"/>
  <c r="I433" i="26"/>
  <c r="I402" i="26"/>
  <c r="I418" i="26"/>
  <c r="I434" i="26"/>
  <c r="I403" i="26"/>
  <c r="I419" i="26"/>
  <c r="I435" i="26"/>
  <c r="I404" i="26"/>
  <c r="I420" i="26"/>
  <c r="I436" i="26"/>
  <c r="I441" i="26"/>
  <c r="I405" i="26"/>
  <c r="I421" i="26"/>
  <c r="I437" i="26"/>
  <c r="I406" i="26"/>
  <c r="I422" i="26"/>
  <c r="I438" i="26"/>
  <c r="I407" i="26"/>
  <c r="I423" i="26"/>
  <c r="I439" i="26"/>
  <c r="I425" i="26"/>
  <c r="I408" i="26"/>
  <c r="I424" i="26"/>
  <c r="I440" i="26"/>
  <c r="I409" i="26"/>
  <c r="I41" i="26"/>
  <c r="I5" i="26"/>
  <c r="I6" i="26"/>
  <c r="I22" i="26"/>
  <c r="I38" i="26"/>
  <c r="I54" i="26"/>
  <c r="I70" i="26"/>
  <c r="I86" i="26"/>
  <c r="I102" i="26"/>
  <c r="I118" i="26"/>
  <c r="I134" i="26"/>
  <c r="I150" i="26"/>
  <c r="I166" i="26"/>
  <c r="I182" i="26"/>
  <c r="I198" i="26"/>
  <c r="I214" i="26"/>
  <c r="I230" i="26"/>
  <c r="I246" i="26"/>
  <c r="I262" i="26"/>
  <c r="I278" i="26"/>
  <c r="I294" i="26"/>
  <c r="I310" i="26"/>
  <c r="I326" i="26"/>
  <c r="I342" i="26"/>
  <c r="I358" i="26"/>
  <c r="I374" i="26"/>
  <c r="I390" i="26"/>
  <c r="I7" i="26"/>
  <c r="I23" i="26"/>
  <c r="I39" i="26"/>
  <c r="I55" i="26"/>
  <c r="I71" i="26"/>
  <c r="I87" i="26"/>
  <c r="I103" i="26"/>
  <c r="I119" i="26"/>
  <c r="I135" i="26"/>
  <c r="I151" i="26"/>
  <c r="I167" i="26"/>
  <c r="I183" i="26"/>
  <c r="I199" i="26"/>
  <c r="I215" i="26"/>
  <c r="I231" i="26"/>
  <c r="I247" i="26"/>
  <c r="I263" i="26"/>
  <c r="I279" i="26"/>
  <c r="I295" i="26"/>
  <c r="I311" i="26"/>
  <c r="I327" i="26"/>
  <c r="I343" i="26"/>
  <c r="I359" i="26"/>
  <c r="I375" i="26"/>
  <c r="I391" i="26"/>
  <c r="I8" i="26"/>
  <c r="I24" i="26"/>
  <c r="I40" i="26"/>
  <c r="I56" i="26"/>
  <c r="I72" i="26"/>
  <c r="I88" i="26"/>
  <c r="I104" i="26"/>
  <c r="I120" i="26"/>
  <c r="I136" i="26"/>
  <c r="I152" i="26"/>
  <c r="I168" i="26"/>
  <c r="I184" i="26"/>
  <c r="I200" i="26"/>
  <c r="I216" i="26"/>
  <c r="I232" i="26"/>
  <c r="I248" i="26"/>
  <c r="I264" i="26"/>
  <c r="I280" i="26"/>
  <c r="I296" i="26"/>
  <c r="I312" i="26"/>
  <c r="I328" i="26"/>
  <c r="I344" i="26"/>
  <c r="I360" i="26"/>
  <c r="I376" i="26"/>
  <c r="I392" i="26"/>
  <c r="I9" i="26"/>
  <c r="I25" i="26"/>
  <c r="I57" i="26"/>
  <c r="I73" i="26"/>
  <c r="I89" i="26"/>
  <c r="I105" i="26"/>
  <c r="I121" i="26"/>
  <c r="I137" i="26"/>
  <c r="I153" i="26"/>
  <c r="I169" i="26"/>
  <c r="I185" i="26"/>
  <c r="I201" i="26"/>
  <c r="I217" i="26"/>
  <c r="I233" i="26"/>
  <c r="I249" i="26"/>
  <c r="I265" i="26"/>
  <c r="I281" i="26"/>
  <c r="I297" i="26"/>
  <c r="I313" i="26"/>
  <c r="I329" i="26"/>
  <c r="I345" i="26"/>
  <c r="I361" i="26"/>
  <c r="I377" i="26"/>
  <c r="I393" i="26"/>
  <c r="I10" i="26"/>
  <c r="I26" i="26"/>
  <c r="I42" i="26"/>
  <c r="I58" i="26"/>
  <c r="I74" i="26"/>
  <c r="I90" i="26"/>
  <c r="I106" i="26"/>
  <c r="I122" i="26"/>
  <c r="I138" i="26"/>
  <c r="I154" i="26"/>
  <c r="I170" i="26"/>
  <c r="I186" i="26"/>
  <c r="I202" i="26"/>
  <c r="I218" i="26"/>
  <c r="I234" i="26"/>
  <c r="I250" i="26"/>
  <c r="I266" i="26"/>
  <c r="I282" i="26"/>
  <c r="I298" i="26"/>
  <c r="I314" i="26"/>
  <c r="I330" i="26"/>
  <c r="I346" i="26"/>
  <c r="I362" i="26"/>
  <c r="I378" i="26"/>
  <c r="I11" i="26"/>
  <c r="I27" i="26"/>
  <c r="I43" i="26"/>
  <c r="I59" i="26"/>
  <c r="I75" i="26"/>
  <c r="I91" i="26"/>
  <c r="I107" i="26"/>
  <c r="I123" i="26"/>
  <c r="I139" i="26"/>
  <c r="I155" i="26"/>
  <c r="I171" i="26"/>
  <c r="I187" i="26"/>
  <c r="I203" i="26"/>
  <c r="I219" i="26"/>
  <c r="I235" i="26"/>
  <c r="I251" i="26"/>
  <c r="I267" i="26"/>
  <c r="I283" i="26"/>
  <c r="I299" i="26"/>
  <c r="I315" i="26"/>
  <c r="I331" i="26"/>
  <c r="I347" i="26"/>
  <c r="I363" i="26"/>
  <c r="I379" i="26"/>
  <c r="I12" i="26"/>
  <c r="I28" i="26"/>
  <c r="I44" i="26"/>
  <c r="I60" i="26"/>
  <c r="I76" i="26"/>
  <c r="I92" i="26"/>
  <c r="I108" i="26"/>
  <c r="I124" i="26"/>
  <c r="I140" i="26"/>
  <c r="I156" i="26"/>
  <c r="I172" i="26"/>
  <c r="I188" i="26"/>
  <c r="I204" i="26"/>
  <c r="I220" i="26"/>
  <c r="I236" i="26"/>
  <c r="I252" i="26"/>
  <c r="I268" i="26"/>
  <c r="I284" i="26"/>
  <c r="I300" i="26"/>
  <c r="I316" i="26"/>
  <c r="I332" i="26"/>
  <c r="I348" i="26"/>
  <c r="I364" i="26"/>
  <c r="I380" i="26"/>
  <c r="I13" i="26"/>
  <c r="I29" i="26"/>
  <c r="I45" i="26"/>
  <c r="I61" i="26"/>
  <c r="I77" i="26"/>
  <c r="I93" i="26"/>
  <c r="I109" i="26"/>
  <c r="I125" i="26"/>
  <c r="I141" i="26"/>
  <c r="I157" i="26"/>
  <c r="I173" i="26"/>
  <c r="I189" i="26"/>
  <c r="I205" i="26"/>
  <c r="I221" i="26"/>
  <c r="I237" i="26"/>
  <c r="I253" i="26"/>
  <c r="I269" i="26"/>
  <c r="I285" i="26"/>
  <c r="I301" i="26"/>
  <c r="I317" i="26"/>
  <c r="I333" i="26"/>
  <c r="I349" i="26"/>
  <c r="I365" i="26"/>
  <c r="I381" i="26"/>
  <c r="I14" i="26"/>
  <c r="I30" i="26"/>
  <c r="I46" i="26"/>
  <c r="I62" i="26"/>
  <c r="I78" i="26"/>
  <c r="I94" i="26"/>
  <c r="I110" i="26"/>
  <c r="I126" i="26"/>
  <c r="I142" i="26"/>
  <c r="I158" i="26"/>
  <c r="I174" i="26"/>
  <c r="I190" i="26"/>
  <c r="I206" i="26"/>
  <c r="I222" i="26"/>
  <c r="I238" i="26"/>
  <c r="I254" i="26"/>
  <c r="I270" i="26"/>
  <c r="I286" i="26"/>
  <c r="I302" i="26"/>
  <c r="I318" i="26"/>
  <c r="I334" i="26"/>
  <c r="I350" i="26"/>
  <c r="I366" i="26"/>
  <c r="I382" i="26"/>
  <c r="I15" i="26"/>
  <c r="I31" i="26"/>
  <c r="I47" i="26"/>
  <c r="I63" i="26"/>
  <c r="I79" i="26"/>
  <c r="I95" i="26"/>
  <c r="I111" i="26"/>
  <c r="I127" i="26"/>
  <c r="I143" i="26"/>
  <c r="I159" i="26"/>
  <c r="I175" i="26"/>
  <c r="I191" i="26"/>
  <c r="I207" i="26"/>
  <c r="I223" i="26"/>
  <c r="I239" i="26"/>
  <c r="I255" i="26"/>
  <c r="I271" i="26"/>
  <c r="I287" i="26"/>
  <c r="I303" i="26"/>
  <c r="I319" i="26"/>
  <c r="I335" i="26"/>
  <c r="I351" i="26"/>
  <c r="I367" i="26"/>
  <c r="I383" i="26"/>
  <c r="I16" i="26"/>
  <c r="I32" i="26"/>
  <c r="I48" i="26"/>
  <c r="I64" i="26"/>
  <c r="I80" i="26"/>
  <c r="I96" i="26"/>
  <c r="I112" i="26"/>
  <c r="I128" i="26"/>
  <c r="I144" i="26"/>
  <c r="I160" i="26"/>
  <c r="I176" i="26"/>
  <c r="I192" i="26"/>
  <c r="I208" i="26"/>
  <c r="I224" i="26"/>
  <c r="I240" i="26"/>
  <c r="I256" i="26"/>
  <c r="I272" i="26"/>
  <c r="I288" i="26"/>
  <c r="I304" i="26"/>
  <c r="I320" i="26"/>
  <c r="I336" i="26"/>
  <c r="I352" i="26"/>
  <c r="I368" i="26"/>
  <c r="I384" i="26"/>
  <c r="I17" i="26"/>
  <c r="I33" i="26"/>
  <c r="I49" i="26"/>
  <c r="I65" i="26"/>
  <c r="I81" i="26"/>
  <c r="I97" i="26"/>
  <c r="I113" i="26"/>
  <c r="I129" i="26"/>
  <c r="I145" i="26"/>
  <c r="I161" i="26"/>
  <c r="I177" i="26"/>
  <c r="I193" i="26"/>
  <c r="I209" i="26"/>
  <c r="I225" i="26"/>
  <c r="I241" i="26"/>
  <c r="I257" i="26"/>
  <c r="I273" i="26"/>
  <c r="I289" i="26"/>
  <c r="I305" i="26"/>
  <c r="I321" i="26"/>
  <c r="I337" i="26"/>
  <c r="I353" i="26"/>
  <c r="I369" i="26"/>
  <c r="I385" i="26"/>
  <c r="I18" i="26"/>
  <c r="I34" i="26"/>
  <c r="I50" i="26"/>
  <c r="I66" i="26"/>
  <c r="I82" i="26"/>
  <c r="I98" i="26"/>
  <c r="I114" i="26"/>
  <c r="I130" i="26"/>
  <c r="I146" i="26"/>
  <c r="I162" i="26"/>
  <c r="I178" i="26"/>
  <c r="I194" i="26"/>
  <c r="I210" i="26"/>
  <c r="I226" i="26"/>
  <c r="I242" i="26"/>
  <c r="I258" i="26"/>
  <c r="I274" i="26"/>
  <c r="I290" i="26"/>
  <c r="I306" i="26"/>
  <c r="I322" i="26"/>
  <c r="I338" i="26"/>
  <c r="I354" i="26"/>
  <c r="I370" i="26"/>
  <c r="I386" i="26"/>
  <c r="I19" i="26"/>
  <c r="I35" i="26"/>
  <c r="I51" i="26"/>
  <c r="I67" i="26"/>
  <c r="I83" i="26"/>
  <c r="I99" i="26"/>
  <c r="I115" i="26"/>
  <c r="I131" i="26"/>
  <c r="I147" i="26"/>
  <c r="I163" i="26"/>
  <c r="I179" i="26"/>
  <c r="I195" i="26"/>
  <c r="I211" i="26"/>
  <c r="I227" i="26"/>
  <c r="I243" i="26"/>
  <c r="I259" i="26"/>
  <c r="I275" i="26"/>
  <c r="I291" i="26"/>
  <c r="I307" i="26"/>
  <c r="I323" i="26"/>
  <c r="I339" i="26"/>
  <c r="I355" i="26"/>
  <c r="I371" i="26"/>
  <c r="I387" i="26"/>
  <c r="I20" i="26"/>
  <c r="I36" i="26"/>
  <c r="I52" i="26"/>
  <c r="I68" i="26"/>
  <c r="I84" i="26"/>
  <c r="I100" i="26"/>
  <c r="I116" i="26"/>
  <c r="I132" i="26"/>
  <c r="I148" i="26"/>
  <c r="I164" i="26"/>
  <c r="I180" i="26"/>
  <c r="I196" i="26"/>
  <c r="I212" i="26"/>
  <c r="I228" i="26"/>
  <c r="I244" i="26"/>
  <c r="I260" i="26"/>
  <c r="I276" i="26"/>
  <c r="I292" i="26"/>
  <c r="I308" i="26"/>
  <c r="I324" i="26"/>
  <c r="I340" i="26"/>
  <c r="I356" i="26"/>
  <c r="I372" i="26"/>
  <c r="I388" i="26"/>
  <c r="I21" i="26"/>
  <c r="I37" i="26"/>
  <c r="I53" i="26"/>
  <c r="I69" i="26"/>
  <c r="I85" i="26"/>
  <c r="I101" i="26"/>
  <c r="I117" i="26"/>
  <c r="I133" i="26"/>
  <c r="I149" i="26"/>
  <c r="I165" i="26"/>
  <c r="I181" i="26"/>
  <c r="I197" i="26"/>
  <c r="I213" i="26"/>
  <c r="I229" i="26"/>
  <c r="I245" i="26"/>
  <c r="I261" i="26"/>
  <c r="I277" i="26"/>
  <c r="I293" i="26"/>
  <c r="I309" i="26"/>
  <c r="I325" i="26"/>
  <c r="I341" i="26"/>
  <c r="I357" i="26"/>
  <c r="I373" i="26"/>
  <c r="I389" i="26"/>
  <c r="H1" i="26"/>
  <c r="G5" i="27" l="1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G201" i="27"/>
  <c r="G202" i="27"/>
  <c r="G203" i="27"/>
  <c r="G204" i="27"/>
  <c r="G205" i="27"/>
  <c r="G206" i="27"/>
  <c r="G208" i="27"/>
  <c r="G209" i="27"/>
  <c r="G210" i="27"/>
  <c r="G211" i="27"/>
  <c r="G212" i="27"/>
  <c r="G213" i="27"/>
  <c r="G214" i="27"/>
  <c r="G215" i="27"/>
  <c r="G216" i="27"/>
  <c r="G217" i="27"/>
  <c r="G218" i="27"/>
  <c r="G219" i="27"/>
  <c r="G220" i="27"/>
  <c r="G221" i="27"/>
  <c r="G222" i="27"/>
  <c r="G223" i="27"/>
  <c r="G224" i="27"/>
  <c r="G225" i="27"/>
  <c r="G226" i="27"/>
  <c r="G227" i="27"/>
  <c r="G228" i="27"/>
  <c r="G229" i="27"/>
  <c r="G230" i="27"/>
  <c r="G231" i="27"/>
  <c r="G232" i="27"/>
  <c r="G233" i="27"/>
  <c r="G234" i="27"/>
  <c r="G235" i="27"/>
  <c r="G236" i="27"/>
  <c r="G237" i="27"/>
  <c r="G238" i="27"/>
  <c r="G239" i="27"/>
  <c r="G240" i="27"/>
  <c r="G241" i="27"/>
  <c r="G242" i="27"/>
  <c r="G243" i="27"/>
  <c r="G244" i="27"/>
  <c r="G245" i="27"/>
  <c r="G246" i="27"/>
  <c r="G247" i="27"/>
  <c r="G248" i="27"/>
  <c r="G249" i="27"/>
  <c r="G250" i="27"/>
  <c r="G251" i="27"/>
  <c r="G252" i="27"/>
  <c r="G253" i="27"/>
  <c r="G254" i="27"/>
  <c r="G255" i="27"/>
  <c r="G256" i="27"/>
  <c r="G257" i="27"/>
  <c r="G258" i="27"/>
  <c r="G259" i="27"/>
  <c r="G260" i="27"/>
  <c r="G261" i="27"/>
  <c r="G262" i="27"/>
  <c r="G263" i="27"/>
  <c r="G264" i="27"/>
  <c r="G265" i="27"/>
  <c r="G266" i="27"/>
  <c r="G267" i="27"/>
  <c r="G268" i="27"/>
  <c r="G269" i="27"/>
  <c r="G270" i="27"/>
  <c r="G271" i="27"/>
  <c r="G272" i="27"/>
  <c r="G273" i="27"/>
  <c r="G274" i="27"/>
  <c r="G275" i="27"/>
  <c r="G276" i="27"/>
  <c r="G277" i="27"/>
  <c r="G278" i="27"/>
  <c r="G279" i="27"/>
  <c r="G280" i="27"/>
  <c r="G281" i="27"/>
  <c r="G282" i="27"/>
  <c r="G283" i="27"/>
  <c r="G284" i="27"/>
  <c r="G285" i="27"/>
  <c r="G288" i="27"/>
  <c r="G289" i="27"/>
  <c r="G290" i="27"/>
  <c r="G291" i="27"/>
  <c r="G292" i="27"/>
  <c r="G293" i="27"/>
  <c r="G294" i="27"/>
  <c r="G295" i="27"/>
  <c r="G296" i="27"/>
  <c r="G297" i="27"/>
  <c r="G298" i="27"/>
  <c r="G299" i="27"/>
  <c r="G300" i="27"/>
  <c r="G301" i="27"/>
  <c r="G302" i="27"/>
  <c r="G303" i="27"/>
  <c r="G304" i="27"/>
  <c r="G305" i="27"/>
  <c r="G306" i="27"/>
  <c r="G307" i="27"/>
  <c r="G308" i="27"/>
  <c r="G309" i="27"/>
  <c r="G310" i="27"/>
  <c r="G311" i="27"/>
  <c r="G312" i="27"/>
  <c r="G313" i="27"/>
  <c r="G314" i="27"/>
  <c r="G315" i="27"/>
  <c r="G316" i="27"/>
  <c r="G317" i="27"/>
  <c r="G318" i="27"/>
  <c r="G319" i="27"/>
  <c r="G320" i="27"/>
  <c r="G321" i="27"/>
  <c r="G322" i="27"/>
  <c r="G323" i="27"/>
  <c r="G324" i="27"/>
  <c r="G325" i="27"/>
  <c r="G326" i="27"/>
  <c r="G327" i="27"/>
  <c r="G328" i="27"/>
  <c r="G329" i="27"/>
  <c r="G330" i="27"/>
  <c r="G331" i="27"/>
  <c r="G332" i="27"/>
  <c r="G333" i="27"/>
  <c r="G334" i="27"/>
  <c r="G335" i="27"/>
  <c r="G336" i="27"/>
  <c r="G337" i="27"/>
  <c r="G338" i="27"/>
  <c r="G339" i="27"/>
  <c r="G340" i="27"/>
  <c r="G341" i="27"/>
  <c r="G342" i="27"/>
  <c r="G343" i="27"/>
  <c r="G344" i="27"/>
  <c r="G345" i="27"/>
  <c r="G346" i="27"/>
  <c r="G347" i="27"/>
  <c r="G348" i="27"/>
  <c r="G349" i="27"/>
  <c r="G350" i="27"/>
  <c r="G351" i="27"/>
  <c r="G352" i="27"/>
  <c r="G353" i="27"/>
  <c r="G354" i="27"/>
  <c r="G355" i="27"/>
  <c r="G356" i="27"/>
  <c r="G357" i="27"/>
  <c r="G358" i="27"/>
  <c r="G359" i="27"/>
  <c r="G360" i="27"/>
  <c r="G361" i="27"/>
  <c r="G362" i="27"/>
  <c r="G363" i="27"/>
  <c r="G364" i="27"/>
  <c r="G365" i="27"/>
  <c r="G366" i="27"/>
  <c r="G367" i="27"/>
  <c r="G368" i="27"/>
  <c r="G369" i="27"/>
  <c r="G370" i="27"/>
  <c r="G371" i="27"/>
  <c r="G372" i="27"/>
  <c r="G373" i="27"/>
  <c r="G374" i="27"/>
  <c r="G375" i="27"/>
  <c r="G376" i="27"/>
  <c r="G377" i="27"/>
  <c r="G378" i="27"/>
  <c r="G379" i="27"/>
  <c r="G380" i="27"/>
  <c r="G381" i="27"/>
  <c r="G382" i="27"/>
  <c r="G383" i="27"/>
  <c r="G384" i="27"/>
  <c r="G385" i="27"/>
  <c r="G386" i="27"/>
  <c r="G387" i="27"/>
  <c r="G388" i="27"/>
  <c r="G389" i="27"/>
  <c r="G390" i="27"/>
  <c r="G391" i="27"/>
  <c r="G392" i="27"/>
  <c r="G393" i="27"/>
  <c r="G394" i="27"/>
  <c r="G395" i="27"/>
  <c r="G396" i="27"/>
  <c r="G397" i="27"/>
  <c r="G398" i="27"/>
  <c r="G399" i="27"/>
  <c r="G400" i="27"/>
  <c r="G401" i="27"/>
  <c r="G402" i="27"/>
  <c r="G403" i="27"/>
  <c r="G404" i="27"/>
  <c r="G4" i="27"/>
  <c r="N269" i="15"/>
  <c r="O269" i="15" s="1"/>
  <c r="N270" i="15"/>
  <c r="T270" i="15" s="1"/>
  <c r="AA252" i="15"/>
  <c r="Y252" i="15"/>
  <c r="T269" i="15" l="1"/>
  <c r="Q269" i="15"/>
  <c r="P269" i="15"/>
  <c r="S270" i="15"/>
  <c r="Q270" i="15"/>
  <c r="R270" i="15"/>
  <c r="P270" i="15"/>
  <c r="O270" i="15"/>
  <c r="S269" i="15"/>
  <c r="R269" i="15"/>
  <c r="Z252" i="15"/>
  <c r="N125" i="15" l="1"/>
  <c r="P125" i="15" s="1"/>
  <c r="N126" i="15"/>
  <c r="P126" i="15" s="1"/>
  <c r="N127" i="15"/>
  <c r="O127" i="15" s="1"/>
  <c r="O126" i="15" l="1"/>
  <c r="T126" i="15"/>
  <c r="S126" i="15"/>
  <c r="R126" i="15"/>
  <c r="Q126" i="15"/>
  <c r="T125" i="15"/>
  <c r="S125" i="15"/>
  <c r="Q125" i="15"/>
  <c r="R125" i="15"/>
  <c r="T127" i="15"/>
  <c r="O125" i="15"/>
  <c r="R127" i="15"/>
  <c r="S127" i="15"/>
  <c r="Q127" i="15"/>
  <c r="P127" i="15"/>
  <c r="IB59" i="2" l="1"/>
  <c r="JF59" i="2" s="1"/>
  <c r="JH59" i="2" s="1"/>
  <c r="IB122" i="2"/>
  <c r="JF122" i="2" s="1"/>
  <c r="JH122" i="2" s="1"/>
  <c r="IB55" i="2"/>
  <c r="JF55" i="2" s="1"/>
  <c r="JH55" i="2" s="1"/>
  <c r="IB220" i="2"/>
  <c r="JF220" i="2" s="1"/>
  <c r="JH220" i="2" s="1"/>
  <c r="IB229" i="2"/>
  <c r="JF229" i="2" s="1"/>
  <c r="JH229" i="2" s="1"/>
  <c r="GQ99" i="2"/>
  <c r="HU99" i="2" s="1"/>
  <c r="AY234" i="2"/>
  <c r="CC234" i="2" s="1"/>
  <c r="CE234" i="2" s="1"/>
  <c r="AY245" i="2"/>
  <c r="CC245" i="2" s="1"/>
  <c r="CE245" i="2" s="1"/>
  <c r="GQ357" i="2"/>
  <c r="HU357" i="2" s="1"/>
  <c r="HW357" i="2" s="1"/>
  <c r="CJ100" i="2"/>
  <c r="DN100" i="2" s="1"/>
  <c r="DP100" i="2" s="1"/>
  <c r="N88" i="2"/>
  <c r="AR88" i="2" s="1"/>
  <c r="AT88" i="2" s="1"/>
  <c r="IB364" i="2"/>
  <c r="JF364" i="2" s="1"/>
  <c r="JH364" i="2" s="1"/>
  <c r="GQ378" i="2"/>
  <c r="HU378" i="2" s="1"/>
  <c r="HW378" i="2" s="1"/>
  <c r="IB379" i="2"/>
  <c r="JF379" i="2" s="1"/>
  <c r="JH379" i="2" s="1"/>
  <c r="N235" i="2"/>
  <c r="AR235" i="2" s="1"/>
  <c r="AT235" i="2" s="1"/>
  <c r="BB87" i="2"/>
  <c r="IB116" i="2"/>
  <c r="AY87" i="2"/>
  <c r="IE116" i="2"/>
  <c r="GQ97" i="2"/>
  <c r="HU97" i="2" s="1"/>
  <c r="HW97" i="2" s="1"/>
  <c r="CJ216" i="2"/>
  <c r="CM216" i="2"/>
  <c r="AY290" i="2"/>
  <c r="CC290" i="2" s="1"/>
  <c r="CE290" i="2" s="1"/>
  <c r="AY246" i="2"/>
  <c r="CC246" i="2" s="1"/>
  <c r="CE246" i="2" s="1"/>
  <c r="AY365" i="2"/>
  <c r="CC365" i="2" s="1"/>
  <c r="CE365" i="2" s="1"/>
  <c r="AY105" i="2"/>
  <c r="CC105" i="2" s="1"/>
  <c r="CE105" i="2" s="1"/>
  <c r="AY345" i="2"/>
  <c r="CC345" i="2" s="1"/>
  <c r="CE345" i="2" s="1"/>
  <c r="MA4" i="2"/>
  <c r="HW99" i="2" l="1"/>
  <c r="JF116" i="2"/>
  <c r="JH116" i="2" s="1"/>
  <c r="DN216" i="2"/>
  <c r="DP216" i="2" s="1"/>
  <c r="CC87" i="2"/>
  <c r="CE87" i="2" s="1"/>
  <c r="L258" i="15"/>
  <c r="AY354" i="2" l="1"/>
  <c r="CC354" i="2" s="1"/>
  <c r="CE354" i="2" s="1"/>
  <c r="DU221" i="2"/>
  <c r="EY221" i="2" s="1"/>
  <c r="FA221" i="2" s="1"/>
  <c r="JM312" i="2"/>
  <c r="KQ312" i="2" s="1"/>
  <c r="KS312" i="2" s="1"/>
  <c r="AY127" i="2"/>
  <c r="CC127" i="2" s="1"/>
  <c r="CE127" i="2" s="1"/>
  <c r="JM251" i="2"/>
  <c r="KQ251" i="2" s="1"/>
  <c r="KS251" i="2" s="1"/>
  <c r="CJ206" i="2"/>
  <c r="DN206" i="2" s="1"/>
  <c r="DP206" i="2" s="1"/>
  <c r="CJ65" i="2"/>
  <c r="DN65" i="2" s="1"/>
  <c r="DP65" i="2" s="1"/>
  <c r="JM311" i="2"/>
  <c r="KQ311" i="2" s="1"/>
  <c r="KS311" i="2" s="1"/>
  <c r="AY368" i="2"/>
  <c r="CC368" i="2" s="1"/>
  <c r="CE368" i="2" s="1"/>
  <c r="CJ67" i="2"/>
  <c r="DN67" i="2" s="1"/>
  <c r="DP67" i="2" s="1"/>
  <c r="DU77" i="2"/>
  <c r="EY77" i="2" s="1"/>
  <c r="FA77" i="2" s="1"/>
  <c r="CJ225" i="2"/>
  <c r="DN225" i="2" s="1"/>
  <c r="DP225" i="2" s="1"/>
  <c r="CJ284" i="2"/>
  <c r="DN284" i="2" s="1"/>
  <c r="DP284" i="2" s="1"/>
  <c r="N135" i="2"/>
  <c r="AR135" i="2" s="1"/>
  <c r="IB32" i="2"/>
  <c r="JF32" i="2" s="1"/>
  <c r="JH32" i="2" s="1"/>
  <c r="CJ386" i="2"/>
  <c r="DN386" i="2" s="1"/>
  <c r="DP386" i="2" s="1"/>
  <c r="AY369" i="2"/>
  <c r="CC369" i="2" s="1"/>
  <c r="CE369" i="2" s="1"/>
  <c r="IB263" i="2"/>
  <c r="JF263" i="2" s="1"/>
  <c r="JH263" i="2" s="1"/>
  <c r="N393" i="2"/>
  <c r="AR393" i="2" s="1"/>
  <c r="AT393" i="2" s="1"/>
  <c r="DU231" i="2"/>
  <c r="EY231" i="2" s="1"/>
  <c r="FA231" i="2" s="1"/>
  <c r="CJ278" i="2"/>
  <c r="DN278" i="2" s="1"/>
  <c r="DP278" i="2" s="1"/>
  <c r="AY209" i="2"/>
  <c r="CC209" i="2" s="1"/>
  <c r="CE209" i="2" s="1"/>
  <c r="AY257" i="2"/>
  <c r="CC257" i="2" s="1"/>
  <c r="CE257" i="2" s="1"/>
  <c r="AY203" i="2"/>
  <c r="CC203" i="2" s="1"/>
  <c r="CE203" i="2" s="1"/>
  <c r="DU276" i="2"/>
  <c r="EY276" i="2" s="1"/>
  <c r="FA276" i="2" s="1"/>
  <c r="JM213" i="2"/>
  <c r="KQ213" i="2" s="1"/>
  <c r="KS213" i="2" s="1"/>
  <c r="IB400" i="2"/>
  <c r="JF400" i="2" s="1"/>
  <c r="JH400" i="2" s="1"/>
  <c r="N356" i="2"/>
  <c r="CJ391" i="2"/>
  <c r="DN391" i="2" s="1"/>
  <c r="DP391" i="2" s="1"/>
  <c r="DU275" i="2"/>
  <c r="EY275" i="2" s="1"/>
  <c r="FA275" i="2" s="1"/>
  <c r="CJ300" i="2"/>
  <c r="DN300" i="2" s="1"/>
  <c r="DP300" i="2" s="1"/>
  <c r="IB180" i="2"/>
  <c r="JF180" i="2" s="1"/>
  <c r="JH180" i="2" s="1"/>
  <c r="CJ76" i="2"/>
  <c r="DN76" i="2" s="1"/>
  <c r="DP76" i="2" s="1"/>
  <c r="DU79" i="2"/>
  <c r="EY79" i="2" s="1"/>
  <c r="FA79" i="2" s="1"/>
  <c r="AY376" i="2"/>
  <c r="CC376" i="2" s="1"/>
  <c r="CE376" i="2" s="1"/>
  <c r="GQ45" i="2"/>
  <c r="HU45" i="2" s="1"/>
  <c r="HW45" i="2" s="1"/>
  <c r="DU299" i="2"/>
  <c r="EY299" i="2" s="1"/>
  <c r="FA299" i="2" s="1"/>
  <c r="CJ279" i="2"/>
  <c r="DN279" i="2" s="1"/>
  <c r="DP279" i="2" s="1"/>
  <c r="DU90" i="2"/>
  <c r="EY90" i="2" s="1"/>
  <c r="FA90" i="2" s="1"/>
  <c r="LY90" i="2" s="1"/>
  <c r="JM78" i="2"/>
  <c r="KQ78" i="2" s="1"/>
  <c r="KS78" i="2" s="1"/>
  <c r="AY80" i="2"/>
  <c r="CC80" i="2" s="1"/>
  <c r="CE80" i="2" s="1"/>
  <c r="DU49" i="2"/>
  <c r="EY49" i="2" s="1"/>
  <c r="FA49" i="2" s="1"/>
  <c r="JM214" i="2"/>
  <c r="KQ214" i="2" s="1"/>
  <c r="KS214" i="2" s="1"/>
  <c r="IB399" i="2"/>
  <c r="JF399" i="2" s="1"/>
  <c r="JH399" i="2" s="1"/>
  <c r="CJ103" i="2"/>
  <c r="DN103" i="2" s="1"/>
  <c r="DP103" i="2" s="1"/>
  <c r="FF183" i="2"/>
  <c r="GJ183" i="2" s="1"/>
  <c r="GL183" i="2" s="1"/>
  <c r="AY230" i="2"/>
  <c r="CC230" i="2" s="1"/>
  <c r="CE230" i="2" s="1"/>
  <c r="GQ140" i="2"/>
  <c r="HU140" i="2" s="1"/>
  <c r="HW140" i="2" s="1"/>
  <c r="JM95" i="2"/>
  <c r="KQ95" i="2" s="1"/>
  <c r="KS95" i="2" s="1"/>
  <c r="AY46" i="2"/>
  <c r="CC46" i="2" s="1"/>
  <c r="FF87" i="2"/>
  <c r="GJ87" i="2" s="1"/>
  <c r="GL87" i="2" s="1"/>
  <c r="CJ134" i="2"/>
  <c r="DN134" i="2" s="1"/>
  <c r="DP134" i="2" s="1"/>
  <c r="IB265" i="2"/>
  <c r="JF265" i="2" s="1"/>
  <c r="JH265" i="2" s="1"/>
  <c r="CJ370" i="2"/>
  <c r="DN370" i="2" s="1"/>
  <c r="DP370" i="2" s="1"/>
  <c r="DU298" i="2"/>
  <c r="EY298" i="2" s="1"/>
  <c r="FA298" i="2" s="1"/>
  <c r="IB96" i="2"/>
  <c r="JF96" i="2" s="1"/>
  <c r="JH96" i="2" s="1"/>
  <c r="CJ136" i="2"/>
  <c r="DN136" i="2" s="1"/>
  <c r="DP136" i="2" s="1"/>
  <c r="Q340" i="2"/>
  <c r="AY285" i="2"/>
  <c r="CC285" i="2" s="1"/>
  <c r="CE285" i="2" s="1"/>
  <c r="AY393" i="2"/>
  <c r="CC393" i="2" s="1"/>
  <c r="CE393" i="2" s="1"/>
  <c r="JM299" i="2"/>
  <c r="KQ299" i="2" s="1"/>
  <c r="KS299" i="2" s="1"/>
  <c r="DU351" i="2"/>
  <c r="EY351" i="2" s="1"/>
  <c r="FA351" i="2" s="1"/>
  <c r="DU52" i="2"/>
  <c r="EY52" i="2" s="1"/>
  <c r="FA52" i="2" s="1"/>
  <c r="DU114" i="2"/>
  <c r="EY114" i="2" s="1"/>
  <c r="FA114" i="2" s="1"/>
  <c r="IB342" i="2"/>
  <c r="JF342" i="2" s="1"/>
  <c r="JH342" i="2" s="1"/>
  <c r="AY250" i="2"/>
  <c r="CJ394" i="2"/>
  <c r="DN394" i="2" s="1"/>
  <c r="DP394" i="2" s="1"/>
  <c r="DU121" i="2"/>
  <c r="EY121" i="2" s="1"/>
  <c r="FA121" i="2" s="1"/>
  <c r="CJ249" i="2"/>
  <c r="DN249" i="2" s="1"/>
  <c r="DP249" i="2" s="1"/>
  <c r="DU352" i="2"/>
  <c r="EY352" i="2" s="1"/>
  <c r="FA352" i="2" s="1"/>
  <c r="DU393" i="2"/>
  <c r="EY393" i="2" s="1"/>
  <c r="FA393" i="2" s="1"/>
  <c r="DU344" i="2"/>
  <c r="EY344" i="2" s="1"/>
  <c r="FA344" i="2" s="1"/>
  <c r="AY367" i="2"/>
  <c r="CC367" i="2" s="1"/>
  <c r="CE367" i="2" s="1"/>
  <c r="IB397" i="2"/>
  <c r="JF397" i="2" s="1"/>
  <c r="JH397" i="2" s="1"/>
  <c r="N118" i="2"/>
  <c r="AR118" i="2" s="1"/>
  <c r="AT118" i="2" s="1"/>
  <c r="DU113" i="2"/>
  <c r="EY113" i="2" s="1"/>
  <c r="FA113" i="2" s="1"/>
  <c r="CJ383" i="2"/>
  <c r="DN383" i="2" s="1"/>
  <c r="DP383" i="2" s="1"/>
  <c r="DU134" i="2"/>
  <c r="EY134" i="2" s="1"/>
  <c r="FA134" i="2" s="1"/>
  <c r="DU300" i="2"/>
  <c r="EY300" i="2" s="1"/>
  <c r="FA300" i="2" s="1"/>
  <c r="FF315" i="2"/>
  <c r="GJ315" i="2" s="1"/>
  <c r="GL315" i="2" s="1"/>
  <c r="CJ299" i="2"/>
  <c r="DN299" i="2" s="1"/>
  <c r="DP299" i="2" s="1"/>
  <c r="AY254" i="2"/>
  <c r="CC254" i="2" s="1"/>
  <c r="CE254" i="2" s="1"/>
  <c r="DU358" i="2"/>
  <c r="EY358" i="2" s="1"/>
  <c r="AY113" i="2"/>
  <c r="CC113" i="2" s="1"/>
  <c r="CE113" i="2" s="1"/>
  <c r="JP300" i="2"/>
  <c r="AY119" i="2"/>
  <c r="CC119" i="2" s="1"/>
  <c r="CE119" i="2" s="1"/>
  <c r="DU53" i="2"/>
  <c r="EY53" i="2" s="1"/>
  <c r="FA53" i="2" s="1"/>
  <c r="AY276" i="2"/>
  <c r="AY121" i="2"/>
  <c r="CC121" i="2" s="1"/>
  <c r="CE121" i="2" s="1"/>
  <c r="CJ361" i="2"/>
  <c r="DN361" i="2" s="1"/>
  <c r="DP361" i="2" s="1"/>
  <c r="DU182" i="2"/>
  <c r="EY182" i="2" s="1"/>
  <c r="FA182" i="2" s="1"/>
  <c r="CJ301" i="2"/>
  <c r="DN301" i="2" s="1"/>
  <c r="DP301" i="2" s="1"/>
  <c r="CJ219" i="2"/>
  <c r="DN219" i="2" s="1"/>
  <c r="DP219" i="2" s="1"/>
  <c r="CJ254" i="2"/>
  <c r="DN254" i="2" s="1"/>
  <c r="DP254" i="2" s="1"/>
  <c r="N46" i="2"/>
  <c r="AR46" i="2" s="1"/>
  <c r="GQ10" i="2"/>
  <c r="HU10" i="2" s="1"/>
  <c r="HW10" i="2" s="1"/>
  <c r="DU301" i="2"/>
  <c r="EY301" i="2" s="1"/>
  <c r="FA301" i="2" s="1"/>
  <c r="DU372" i="2"/>
  <c r="EY372" i="2" s="1"/>
  <c r="FA372" i="2" s="1"/>
  <c r="CJ52" i="2"/>
  <c r="DN52" i="2" s="1"/>
  <c r="DP52" i="2" s="1"/>
  <c r="AY118" i="2"/>
  <c r="CC118" i="2" s="1"/>
  <c r="CE118" i="2" s="1"/>
  <c r="IB264" i="2"/>
  <c r="JF264" i="2" s="1"/>
  <c r="JH264" i="2" s="1"/>
  <c r="CJ224" i="2"/>
  <c r="DN224" i="2" s="1"/>
  <c r="DP224" i="2" s="1"/>
  <c r="CJ349" i="2"/>
  <c r="DN349" i="2" s="1"/>
  <c r="DP349" i="2" s="1"/>
  <c r="CJ223" i="2"/>
  <c r="DN223" i="2" s="1"/>
  <c r="DP223" i="2" s="1"/>
  <c r="JM215" i="2"/>
  <c r="KQ215" i="2" s="1"/>
  <c r="KS215" i="2" s="1"/>
  <c r="CJ260" i="2"/>
  <c r="CJ277" i="2"/>
  <c r="DN277" i="2" s="1"/>
  <c r="DP277" i="2" s="1"/>
  <c r="N340" i="2"/>
  <c r="CJ230" i="2"/>
  <c r="DN230" i="2" s="1"/>
  <c r="DP230" i="2" s="1"/>
  <c r="FF230" i="2"/>
  <c r="GJ230" i="2" s="1"/>
  <c r="GL230" i="2" s="1"/>
  <c r="BB155" i="2"/>
  <c r="IB262" i="2"/>
  <c r="JF262" i="2" s="1"/>
  <c r="JH262" i="2" s="1"/>
  <c r="CJ59" i="2"/>
  <c r="AY155" i="2"/>
  <c r="CM109" i="2"/>
  <c r="FF272" i="2"/>
  <c r="GJ272" i="2" s="1"/>
  <c r="GL272" i="2" s="1"/>
  <c r="CM59" i="2"/>
  <c r="DX65" i="2"/>
  <c r="CJ109" i="2"/>
  <c r="DU65" i="2"/>
  <c r="IB209" i="2"/>
  <c r="JF209" i="2" s="1"/>
  <c r="JH209" i="2" s="1"/>
  <c r="CM260" i="2"/>
  <c r="CJ271" i="2"/>
  <c r="DN271" i="2" s="1"/>
  <c r="DP271" i="2" s="1"/>
  <c r="AY136" i="2"/>
  <c r="DU230" i="2"/>
  <c r="EY230" i="2" s="1"/>
  <c r="FA230" i="2" s="1"/>
  <c r="CM304" i="2"/>
  <c r="BB136" i="2"/>
  <c r="CM205" i="2"/>
  <c r="JM301" i="2"/>
  <c r="KQ301" i="2" s="1"/>
  <c r="KS301" i="2" s="1"/>
  <c r="CJ350" i="2"/>
  <c r="DN350" i="2" s="1"/>
  <c r="N257" i="2"/>
  <c r="AR257" i="2" s="1"/>
  <c r="AT257" i="2" s="1"/>
  <c r="JM314" i="2"/>
  <c r="KQ314" i="2" s="1"/>
  <c r="KS314" i="2" s="1"/>
  <c r="JM300" i="2"/>
  <c r="KQ300" i="2" s="1"/>
  <c r="KS300" i="2" s="1"/>
  <c r="CJ304" i="2"/>
  <c r="CJ205" i="2"/>
  <c r="AY109" i="2"/>
  <c r="JM181" i="2"/>
  <c r="KQ181" i="2" s="1"/>
  <c r="KS181" i="2" s="1"/>
  <c r="DU391" i="2"/>
  <c r="BB109" i="2"/>
  <c r="CM201" i="2"/>
  <c r="DX242" i="2"/>
  <c r="JM313" i="2"/>
  <c r="KQ313" i="2" s="1"/>
  <c r="KS313" i="2" s="1"/>
  <c r="DU355" i="2"/>
  <c r="EY355" i="2" s="1"/>
  <c r="FA355" i="2" s="1"/>
  <c r="AY356" i="2"/>
  <c r="CC356" i="2" s="1"/>
  <c r="CE356" i="2" s="1"/>
  <c r="DU394" i="2"/>
  <c r="EY394" i="2" s="1"/>
  <c r="FA394" i="2" s="1"/>
  <c r="IB261" i="2"/>
  <c r="JF261" i="2" s="1"/>
  <c r="JH261" i="2" s="1"/>
  <c r="CJ201" i="2"/>
  <c r="DU242" i="2"/>
  <c r="JM316" i="2"/>
  <c r="KQ316" i="2" s="1"/>
  <c r="KS316" i="2" s="1"/>
  <c r="DX391" i="2"/>
  <c r="CJ98" i="2"/>
  <c r="BB250" i="2"/>
  <c r="CJ272" i="2"/>
  <c r="GQ148" i="2"/>
  <c r="HU148" i="2" s="1"/>
  <c r="HW148" i="2" s="1"/>
  <c r="CJ247" i="2"/>
  <c r="DN247" i="2" s="1"/>
  <c r="DP247" i="2" s="1"/>
  <c r="GQ139" i="2"/>
  <c r="HU139" i="2" s="1"/>
  <c r="HW139" i="2" s="1"/>
  <c r="CJ359" i="2"/>
  <c r="DN359" i="2" s="1"/>
  <c r="DP359" i="2" s="1"/>
  <c r="CJ112" i="2"/>
  <c r="DN112" i="2" s="1"/>
  <c r="DP112" i="2" s="1"/>
  <c r="CM98" i="2"/>
  <c r="CM272" i="2"/>
  <c r="DU272" i="2"/>
  <c r="EY272" i="2" s="1"/>
  <c r="FA272" i="2" s="1"/>
  <c r="DU247" i="2"/>
  <c r="EY247" i="2" s="1"/>
  <c r="FA247" i="2" s="1"/>
  <c r="Q356" i="2"/>
  <c r="CM128" i="2"/>
  <c r="CJ120" i="2"/>
  <c r="BB276" i="2"/>
  <c r="AY134" i="2"/>
  <c r="CC134" i="2" s="1"/>
  <c r="CE134" i="2" s="1"/>
  <c r="CJ128" i="2"/>
  <c r="CM120" i="2"/>
  <c r="BB272" i="2"/>
  <c r="AY272" i="2"/>
  <c r="AA33" i="15"/>
  <c r="AA42" i="15"/>
  <c r="AA5" i="15"/>
  <c r="Y7" i="15"/>
  <c r="Z7" i="15" s="1"/>
  <c r="Y8" i="15"/>
  <c r="Z8" i="15" s="1"/>
  <c r="Y9" i="15"/>
  <c r="Z9" i="15" s="1"/>
  <c r="Y10" i="15"/>
  <c r="Z10" i="15" s="1"/>
  <c r="Y11" i="15"/>
  <c r="Z11" i="15" s="1"/>
  <c r="Y12" i="15"/>
  <c r="Z12" i="15" s="1"/>
  <c r="Y13" i="15"/>
  <c r="Z13" i="15" s="1"/>
  <c r="Y14" i="15"/>
  <c r="Y15" i="15"/>
  <c r="Z15" i="15" s="1"/>
  <c r="Y16" i="15"/>
  <c r="Z16" i="15" s="1"/>
  <c r="Y17" i="15"/>
  <c r="Z17" i="15" s="1"/>
  <c r="Y18" i="15"/>
  <c r="Z18" i="15" s="1"/>
  <c r="Y19" i="15"/>
  <c r="Z19" i="15" s="1"/>
  <c r="Y20" i="15"/>
  <c r="Z20" i="15" s="1"/>
  <c r="Y21" i="15"/>
  <c r="Z21" i="15" s="1"/>
  <c r="Y22" i="15"/>
  <c r="Y23" i="15"/>
  <c r="Z23" i="15" s="1"/>
  <c r="Y24" i="15"/>
  <c r="Z24" i="15" s="1"/>
  <c r="Y25" i="15"/>
  <c r="Z25" i="15" s="1"/>
  <c r="Y31" i="15"/>
  <c r="Z31" i="15" s="1"/>
  <c r="Y32" i="15"/>
  <c r="Z32" i="15" s="1"/>
  <c r="Y33" i="15"/>
  <c r="Z33" i="15" s="1"/>
  <c r="Y34" i="15"/>
  <c r="Y35" i="15"/>
  <c r="Z35" i="15" s="1"/>
  <c r="Y36" i="15"/>
  <c r="Z36" i="15" s="1"/>
  <c r="Y37" i="15"/>
  <c r="Z37" i="15" s="1"/>
  <c r="Y38" i="15"/>
  <c r="Z38" i="15" s="1"/>
  <c r="Y39" i="15"/>
  <c r="Z39" i="15" s="1"/>
  <c r="Y40" i="15"/>
  <c r="Z40" i="15" s="1"/>
  <c r="Y41" i="15"/>
  <c r="Z41" i="15" s="1"/>
  <c r="Y42" i="15"/>
  <c r="Y43" i="15"/>
  <c r="Z43" i="15" s="1"/>
  <c r="Y44" i="15"/>
  <c r="Z44" i="15" s="1"/>
  <c r="Y45" i="15"/>
  <c r="Z45" i="15" s="1"/>
  <c r="Y46" i="15"/>
  <c r="Z46" i="15" s="1"/>
  <c r="Y47" i="15"/>
  <c r="Z47" i="15" s="1"/>
  <c r="Y48" i="15"/>
  <c r="Z48" i="15" s="1"/>
  <c r="Y49" i="15"/>
  <c r="Y50" i="15"/>
  <c r="Z50" i="15" s="1"/>
  <c r="Y51" i="15"/>
  <c r="Z51" i="15" s="1"/>
  <c r="Y52" i="15"/>
  <c r="Z52" i="15" s="1"/>
  <c r="Y53" i="15"/>
  <c r="Z53" i="15" s="1"/>
  <c r="Y54" i="15"/>
  <c r="Z54" i="15" s="1"/>
  <c r="Y55" i="15"/>
  <c r="Z55" i="15" s="1"/>
  <c r="Y56" i="15"/>
  <c r="Z56" i="15" s="1"/>
  <c r="Y57" i="15"/>
  <c r="Y58" i="15"/>
  <c r="Z58" i="15" s="1"/>
  <c r="Y59" i="15"/>
  <c r="Z59" i="15" s="1"/>
  <c r="Y60" i="15"/>
  <c r="Z60" i="15" s="1"/>
  <c r="Y61" i="15"/>
  <c r="Z61" i="15" s="1"/>
  <c r="Y62" i="15"/>
  <c r="Z62" i="15" s="1"/>
  <c r="Y63" i="15"/>
  <c r="Z63" i="15" s="1"/>
  <c r="Y64" i="15"/>
  <c r="Z64" i="15" s="1"/>
  <c r="Y65" i="15"/>
  <c r="Y66" i="15"/>
  <c r="Z66" i="15" s="1"/>
  <c r="Y67" i="15"/>
  <c r="Z67" i="15" s="1"/>
  <c r="Y68" i="15"/>
  <c r="Z68" i="15" s="1"/>
  <c r="Y69" i="15"/>
  <c r="Z69" i="15" s="1"/>
  <c r="Y70" i="15"/>
  <c r="Z70" i="15" s="1"/>
  <c r="Y71" i="15"/>
  <c r="Z71" i="15" s="1"/>
  <c r="Y72" i="15"/>
  <c r="Z72" i="15" s="1"/>
  <c r="Y73" i="15"/>
  <c r="Y74" i="15"/>
  <c r="Z74" i="15" s="1"/>
  <c r="Y75" i="15"/>
  <c r="Z75" i="15" s="1"/>
  <c r="Y76" i="15"/>
  <c r="Z76" i="15" s="1"/>
  <c r="Y77" i="15"/>
  <c r="Z77" i="15" s="1"/>
  <c r="Y78" i="15"/>
  <c r="Z78" i="15" s="1"/>
  <c r="Y79" i="15"/>
  <c r="Z79" i="15" s="1"/>
  <c r="Y80" i="15"/>
  <c r="Z80" i="15" s="1"/>
  <c r="Y81" i="15"/>
  <c r="Y82" i="15"/>
  <c r="Z82" i="15" s="1"/>
  <c r="Y83" i="15"/>
  <c r="Z83" i="15" s="1"/>
  <c r="Y84" i="15"/>
  <c r="Z84" i="15" s="1"/>
  <c r="Y85" i="15"/>
  <c r="Z85" i="15" s="1"/>
  <c r="Y86" i="15"/>
  <c r="Z86" i="15" s="1"/>
  <c r="Y87" i="15"/>
  <c r="Z87" i="15" s="1"/>
  <c r="Y88" i="15"/>
  <c r="Z88" i="15" s="1"/>
  <c r="Y89" i="15"/>
  <c r="Y90" i="15"/>
  <c r="Z90" i="15" s="1"/>
  <c r="Y91" i="15"/>
  <c r="Z91" i="15" s="1"/>
  <c r="Y92" i="15"/>
  <c r="Z92" i="15" s="1"/>
  <c r="Y93" i="15"/>
  <c r="Z93" i="15" s="1"/>
  <c r="Y94" i="15"/>
  <c r="Z94" i="15" s="1"/>
  <c r="Y95" i="15"/>
  <c r="Z95" i="15" s="1"/>
  <c r="Y96" i="15"/>
  <c r="Z96" i="15" s="1"/>
  <c r="Y97" i="15"/>
  <c r="Y98" i="15"/>
  <c r="Z98" i="15" s="1"/>
  <c r="Y99" i="15"/>
  <c r="Z99" i="15" s="1"/>
  <c r="Y100" i="15"/>
  <c r="Z100" i="15" s="1"/>
  <c r="Y101" i="15"/>
  <c r="Z101" i="15" s="1"/>
  <c r="Y102" i="15"/>
  <c r="Z102" i="15" s="1"/>
  <c r="Y103" i="15"/>
  <c r="Z103" i="15" s="1"/>
  <c r="Y104" i="15"/>
  <c r="Z104" i="15" s="1"/>
  <c r="Y105" i="15"/>
  <c r="Y106" i="15"/>
  <c r="Z106" i="15" s="1"/>
  <c r="Y107" i="15"/>
  <c r="Z107" i="15" s="1"/>
  <c r="Y108" i="15"/>
  <c r="Z108" i="15" s="1"/>
  <c r="Y109" i="15"/>
  <c r="Z109" i="15" s="1"/>
  <c r="Y110" i="15"/>
  <c r="Z110" i="15" s="1"/>
  <c r="Y111" i="15"/>
  <c r="Z111" i="15" s="1"/>
  <c r="Y112" i="15"/>
  <c r="Z112" i="15" s="1"/>
  <c r="Y113" i="15"/>
  <c r="Y114" i="15"/>
  <c r="Z114" i="15" s="1"/>
  <c r="Y115" i="15"/>
  <c r="Z115" i="15" s="1"/>
  <c r="Y116" i="15"/>
  <c r="Z116" i="15" s="1"/>
  <c r="Y117" i="15"/>
  <c r="Z117" i="15" s="1"/>
  <c r="Y118" i="15"/>
  <c r="Z118" i="15" s="1"/>
  <c r="Y119" i="15"/>
  <c r="Z119" i="15" s="1"/>
  <c r="Y120" i="15"/>
  <c r="Z120" i="15" s="1"/>
  <c r="Y121" i="15"/>
  <c r="Y122" i="15"/>
  <c r="Z122" i="15" s="1"/>
  <c r="Y123" i="15"/>
  <c r="Z123" i="15" s="1"/>
  <c r="Y124" i="15"/>
  <c r="Z124" i="15" s="1"/>
  <c r="Y128" i="15"/>
  <c r="Y129" i="15"/>
  <c r="Z129" i="15" s="1"/>
  <c r="Y130" i="15"/>
  <c r="Z130" i="15" s="1"/>
  <c r="Y131" i="15"/>
  <c r="Z131" i="15" s="1"/>
  <c r="Y132" i="15"/>
  <c r="Y133" i="15"/>
  <c r="Z133" i="15" s="1"/>
  <c r="Y134" i="15"/>
  <c r="Z134" i="15" s="1"/>
  <c r="Y135" i="15"/>
  <c r="Z135" i="15" s="1"/>
  <c r="Y136" i="15"/>
  <c r="Z136" i="15" s="1"/>
  <c r="Y137" i="15"/>
  <c r="Z137" i="15" s="1"/>
  <c r="Y138" i="15"/>
  <c r="Z138" i="15" s="1"/>
  <c r="Y139" i="15"/>
  <c r="Z139" i="15" s="1"/>
  <c r="Y140" i="15"/>
  <c r="Y141" i="15"/>
  <c r="Z141" i="15" s="1"/>
  <c r="Y142" i="15"/>
  <c r="Z142" i="15" s="1"/>
  <c r="Y143" i="15"/>
  <c r="Z143" i="15" s="1"/>
  <c r="Y144" i="15"/>
  <c r="Z144" i="15" s="1"/>
  <c r="Y145" i="15"/>
  <c r="Z145" i="15" s="1"/>
  <c r="Y146" i="15"/>
  <c r="Z146" i="15" s="1"/>
  <c r="Y147" i="15"/>
  <c r="Z147" i="15" s="1"/>
  <c r="Y148" i="15"/>
  <c r="Y149" i="15"/>
  <c r="Z149" i="15" s="1"/>
  <c r="Y150" i="15"/>
  <c r="Z150" i="15" s="1"/>
  <c r="Y151" i="15"/>
  <c r="Z151" i="15" s="1"/>
  <c r="Y152" i="15"/>
  <c r="Z152" i="15" s="1"/>
  <c r="Y153" i="15"/>
  <c r="Z153" i="15" s="1"/>
  <c r="Y154" i="15"/>
  <c r="Z154" i="15" s="1"/>
  <c r="Y155" i="15"/>
  <c r="Z155" i="15" s="1"/>
  <c r="Y156" i="15"/>
  <c r="Y157" i="15"/>
  <c r="Z157" i="15" s="1"/>
  <c r="Y158" i="15"/>
  <c r="Z158" i="15" s="1"/>
  <c r="Y159" i="15"/>
  <c r="Z159" i="15" s="1"/>
  <c r="Y160" i="15"/>
  <c r="Z160" i="15" s="1"/>
  <c r="Y161" i="15"/>
  <c r="Z161" i="15" s="1"/>
  <c r="Y162" i="15"/>
  <c r="Z162" i="15" s="1"/>
  <c r="Y163" i="15"/>
  <c r="Z163" i="15" s="1"/>
  <c r="Y164" i="15"/>
  <c r="Y165" i="15"/>
  <c r="Z165" i="15" s="1"/>
  <c r="Y166" i="15"/>
  <c r="Z166" i="15" s="1"/>
  <c r="Y167" i="15"/>
  <c r="Z167" i="15" s="1"/>
  <c r="Y168" i="15"/>
  <c r="Z168" i="15" s="1"/>
  <c r="Y169" i="15"/>
  <c r="Z169" i="15" s="1"/>
  <c r="Y170" i="15"/>
  <c r="Z170" i="15" s="1"/>
  <c r="Y171" i="15"/>
  <c r="Z171" i="15" s="1"/>
  <c r="Y172" i="15"/>
  <c r="Y173" i="15"/>
  <c r="Z173" i="15" s="1"/>
  <c r="Y174" i="15"/>
  <c r="Z174" i="15" s="1"/>
  <c r="Y175" i="15"/>
  <c r="Z175" i="15" s="1"/>
  <c r="Y176" i="15"/>
  <c r="Z176" i="15" s="1"/>
  <c r="Y177" i="15"/>
  <c r="Z177" i="15" s="1"/>
  <c r="Y178" i="15"/>
  <c r="Z178" i="15" s="1"/>
  <c r="Y179" i="15"/>
  <c r="Z179" i="15" s="1"/>
  <c r="Y180" i="15"/>
  <c r="Y181" i="15"/>
  <c r="Z181" i="15" s="1"/>
  <c r="Y182" i="15"/>
  <c r="Z182" i="15" s="1"/>
  <c r="Y183" i="15"/>
  <c r="Z183" i="15" s="1"/>
  <c r="Y184" i="15"/>
  <c r="Z184" i="15" s="1"/>
  <c r="Y185" i="15"/>
  <c r="Z185" i="15" s="1"/>
  <c r="Y186" i="15"/>
  <c r="Z186" i="15" s="1"/>
  <c r="Y187" i="15"/>
  <c r="Z187" i="15" s="1"/>
  <c r="Y188" i="15"/>
  <c r="Y189" i="15"/>
  <c r="Z189" i="15" s="1"/>
  <c r="Y190" i="15"/>
  <c r="Z190" i="15" s="1"/>
  <c r="Y191" i="15"/>
  <c r="Z191" i="15" s="1"/>
  <c r="Y192" i="15"/>
  <c r="Z192" i="15" s="1"/>
  <c r="Y193" i="15"/>
  <c r="Z193" i="15" s="1"/>
  <c r="Y194" i="15"/>
  <c r="Z194" i="15" s="1"/>
  <c r="Y195" i="15"/>
  <c r="Z195" i="15" s="1"/>
  <c r="Y196" i="15"/>
  <c r="Y197" i="15"/>
  <c r="Z197" i="15" s="1"/>
  <c r="Y198" i="15"/>
  <c r="Z198" i="15" s="1"/>
  <c r="Y199" i="15"/>
  <c r="Z199" i="15" s="1"/>
  <c r="Y200" i="15"/>
  <c r="Z200" i="15" s="1"/>
  <c r="Y201" i="15"/>
  <c r="Z201" i="15" s="1"/>
  <c r="Y202" i="15"/>
  <c r="Z202" i="15" s="1"/>
  <c r="Y203" i="15"/>
  <c r="Z203" i="15" s="1"/>
  <c r="Y204" i="15"/>
  <c r="Y205" i="15"/>
  <c r="Z205" i="15" s="1"/>
  <c r="Y206" i="15"/>
  <c r="Z206" i="15" s="1"/>
  <c r="Y207" i="15"/>
  <c r="Z207" i="15" s="1"/>
  <c r="Y208" i="15"/>
  <c r="Z208" i="15" s="1"/>
  <c r="Y213" i="15"/>
  <c r="Z213" i="15" s="1"/>
  <c r="Y214" i="15"/>
  <c r="Z214" i="15" s="1"/>
  <c r="Y215" i="15"/>
  <c r="Y216" i="15"/>
  <c r="Z216" i="15" s="1"/>
  <c r="Y217" i="15"/>
  <c r="Z217" i="15" s="1"/>
  <c r="Y218" i="15"/>
  <c r="Z218" i="15" s="1"/>
  <c r="Y219" i="15"/>
  <c r="Z219" i="15" s="1"/>
  <c r="Y220" i="15"/>
  <c r="Z220" i="15" s="1"/>
  <c r="Y221" i="15"/>
  <c r="Z221" i="15" s="1"/>
  <c r="Y222" i="15"/>
  <c r="Z222" i="15" s="1"/>
  <c r="Y223" i="15"/>
  <c r="Y224" i="15"/>
  <c r="Z224" i="15" s="1"/>
  <c r="Y225" i="15"/>
  <c r="Z225" i="15" s="1"/>
  <c r="Y226" i="15"/>
  <c r="Z226" i="15" s="1"/>
  <c r="Y227" i="15"/>
  <c r="Z227" i="15" s="1"/>
  <c r="Y228" i="15"/>
  <c r="Z228" i="15" s="1"/>
  <c r="Y229" i="15"/>
  <c r="Z229" i="15" s="1"/>
  <c r="Y230" i="15"/>
  <c r="Z230" i="15" s="1"/>
  <c r="Y231" i="15"/>
  <c r="Y232" i="15"/>
  <c r="Z232" i="15" s="1"/>
  <c r="Y233" i="15"/>
  <c r="Z233" i="15" s="1"/>
  <c r="Y234" i="15"/>
  <c r="Z234" i="15" s="1"/>
  <c r="Y235" i="15"/>
  <c r="Z235" i="15" s="1"/>
  <c r="Y236" i="15"/>
  <c r="Z236" i="15" s="1"/>
  <c r="Y237" i="15"/>
  <c r="Z237" i="15" s="1"/>
  <c r="Y238" i="15"/>
  <c r="Z238" i="15" s="1"/>
  <c r="Y239" i="15"/>
  <c r="Y240" i="15"/>
  <c r="Z240" i="15" s="1"/>
  <c r="Y241" i="15"/>
  <c r="Z241" i="15" s="1"/>
  <c r="Y242" i="15"/>
  <c r="Z242" i="15" s="1"/>
  <c r="Y243" i="15"/>
  <c r="Z243" i="15" s="1"/>
  <c r="Y244" i="15"/>
  <c r="Z244" i="15" s="1"/>
  <c r="Y245" i="15"/>
  <c r="Z245" i="15" s="1"/>
  <c r="Y246" i="15"/>
  <c r="Z246" i="15" s="1"/>
  <c r="Y247" i="15"/>
  <c r="Y248" i="15"/>
  <c r="Z248" i="15" s="1"/>
  <c r="Y249" i="15"/>
  <c r="Z249" i="15" s="1"/>
  <c r="Y250" i="15"/>
  <c r="Z250" i="15" s="1"/>
  <c r="Y251" i="15"/>
  <c r="Z251" i="15" s="1"/>
  <c r="Y253" i="15"/>
  <c r="Z253" i="15" s="1"/>
  <c r="Y254" i="15"/>
  <c r="Z254" i="15" s="1"/>
  <c r="Y255" i="15"/>
  <c r="Y256" i="15"/>
  <c r="Z256" i="15" s="1"/>
  <c r="Y257" i="15"/>
  <c r="Z257" i="15" s="1"/>
  <c r="Y258" i="15"/>
  <c r="Z258" i="15" s="1"/>
  <c r="Y259" i="15"/>
  <c r="Z259" i="15" s="1"/>
  <c r="Y260" i="15"/>
  <c r="Z260" i="15" s="1"/>
  <c r="Y261" i="15"/>
  <c r="Z261" i="15" s="1"/>
  <c r="Y262" i="15"/>
  <c r="Y263" i="15"/>
  <c r="Y264" i="15"/>
  <c r="Y265" i="15"/>
  <c r="Z265" i="15" s="1"/>
  <c r="Y266" i="15"/>
  <c r="Y267" i="15"/>
  <c r="Z267" i="15" s="1"/>
  <c r="Y268" i="15"/>
  <c r="Z268" i="15" s="1"/>
  <c r="Y274" i="15"/>
  <c r="Z274" i="15" s="1"/>
  <c r="Y275" i="15"/>
  <c r="Z275" i="15" s="1"/>
  <c r="Y276" i="15"/>
  <c r="Y280" i="15"/>
  <c r="Y281" i="15"/>
  <c r="Z281" i="15" s="1"/>
  <c r="Y282" i="15"/>
  <c r="Z282" i="15" s="1"/>
  <c r="Y283" i="15"/>
  <c r="Z283" i="15" s="1"/>
  <c r="Y284" i="15"/>
  <c r="Z284" i="15" s="1"/>
  <c r="Y285" i="15"/>
  <c r="Z285" i="15" s="1"/>
  <c r="Y286" i="15"/>
  <c r="Z286" i="15" s="1"/>
  <c r="Y287" i="15"/>
  <c r="Y288" i="15"/>
  <c r="Z288" i="15" s="1"/>
  <c r="Y289" i="15"/>
  <c r="Z289" i="15" s="1"/>
  <c r="Y290" i="15"/>
  <c r="Z290" i="15" s="1"/>
  <c r="Y291" i="15"/>
  <c r="Z291" i="15" s="1"/>
  <c r="Y292" i="15"/>
  <c r="Z292" i="15" s="1"/>
  <c r="Y293" i="15"/>
  <c r="Z293" i="15" s="1"/>
  <c r="Y294" i="15"/>
  <c r="Z294" i="15" s="1"/>
  <c r="Y295" i="15"/>
  <c r="Y296" i="15"/>
  <c r="Z296" i="15" s="1"/>
  <c r="Y297" i="15"/>
  <c r="Z297" i="15" s="1"/>
  <c r="Y298" i="15"/>
  <c r="Z298" i="15" s="1"/>
  <c r="Y299" i="15"/>
  <c r="Z299" i="15" s="1"/>
  <c r="Y300" i="15"/>
  <c r="Z300" i="15" s="1"/>
  <c r="Y301" i="15"/>
  <c r="Z301" i="15" s="1"/>
  <c r="Y302" i="15"/>
  <c r="Z302" i="15" s="1"/>
  <c r="Y303" i="15"/>
  <c r="Y304" i="15"/>
  <c r="Z304" i="15" s="1"/>
  <c r="Y305" i="15"/>
  <c r="Z305" i="15" s="1"/>
  <c r="Y306" i="15"/>
  <c r="Z306" i="15" s="1"/>
  <c r="Y307" i="15"/>
  <c r="Z307" i="15" s="1"/>
  <c r="Y308" i="15"/>
  <c r="Z308" i="15" s="1"/>
  <c r="Y309" i="15"/>
  <c r="Z309" i="15" s="1"/>
  <c r="Y311" i="15"/>
  <c r="Y312" i="15"/>
  <c r="Z312" i="15" s="1"/>
  <c r="Y313" i="15"/>
  <c r="Z313" i="15" s="1"/>
  <c r="Y314" i="15"/>
  <c r="Z314" i="15" s="1"/>
  <c r="Y315" i="15"/>
  <c r="Z315" i="15" s="1"/>
  <c r="Y316" i="15"/>
  <c r="Z316" i="15" s="1"/>
  <c r="Y317" i="15"/>
  <c r="Z317" i="15" s="1"/>
  <c r="Y318" i="15"/>
  <c r="AA6" i="15"/>
  <c r="AA7" i="15"/>
  <c r="AA8" i="15"/>
  <c r="AA9" i="15"/>
  <c r="AA10" i="15"/>
  <c r="AA11" i="15"/>
  <c r="AA12" i="15"/>
  <c r="AA13" i="15"/>
  <c r="AA14" i="15"/>
  <c r="AA15" i="15"/>
  <c r="AA16" i="15"/>
  <c r="AA17" i="15"/>
  <c r="AA18" i="15"/>
  <c r="AA19" i="15"/>
  <c r="AA20" i="15"/>
  <c r="AA21" i="15"/>
  <c r="AA22" i="15"/>
  <c r="AA23" i="15"/>
  <c r="AA24" i="15"/>
  <c r="AA25" i="15"/>
  <c r="AA31" i="15"/>
  <c r="AA32" i="15"/>
  <c r="AA34" i="15"/>
  <c r="AA35" i="15"/>
  <c r="AA36" i="15"/>
  <c r="AA37" i="15"/>
  <c r="AA38" i="15"/>
  <c r="AA39" i="15"/>
  <c r="AA40" i="15"/>
  <c r="AA41" i="15"/>
  <c r="AA43" i="15"/>
  <c r="AA44" i="15"/>
  <c r="AA45" i="15"/>
  <c r="AA46" i="15"/>
  <c r="AA47" i="15"/>
  <c r="AA48" i="15"/>
  <c r="AA49" i="15"/>
  <c r="AA50" i="15"/>
  <c r="AA51" i="15"/>
  <c r="AA52" i="15"/>
  <c r="AA53" i="15"/>
  <c r="AA54" i="15"/>
  <c r="AA55" i="15"/>
  <c r="AA56" i="15"/>
  <c r="AA57" i="15"/>
  <c r="AA58" i="15"/>
  <c r="AA59" i="15"/>
  <c r="AA60" i="15"/>
  <c r="AA61" i="15"/>
  <c r="AA62" i="15"/>
  <c r="AA63" i="15"/>
  <c r="AA64" i="15"/>
  <c r="AA65" i="15"/>
  <c r="AA66" i="15"/>
  <c r="AA67" i="15"/>
  <c r="AA68" i="15"/>
  <c r="AA69" i="15"/>
  <c r="AA70" i="15"/>
  <c r="AA71" i="15"/>
  <c r="AA72" i="15"/>
  <c r="AA73" i="15"/>
  <c r="AA74" i="15"/>
  <c r="AA75" i="15"/>
  <c r="AA76" i="15"/>
  <c r="AA77" i="15"/>
  <c r="AA78" i="15"/>
  <c r="AA79" i="15"/>
  <c r="AA80" i="15"/>
  <c r="AA81" i="15"/>
  <c r="AA82" i="15"/>
  <c r="AA83" i="15"/>
  <c r="AA84" i="15"/>
  <c r="AA85" i="15"/>
  <c r="AA86" i="15"/>
  <c r="AA87" i="15"/>
  <c r="AA88" i="15"/>
  <c r="AA89" i="15"/>
  <c r="AA90" i="15"/>
  <c r="AA91" i="15"/>
  <c r="AA92" i="15"/>
  <c r="AA93" i="15"/>
  <c r="AA94" i="15"/>
  <c r="AA95" i="15"/>
  <c r="AA96" i="15"/>
  <c r="AA97" i="15"/>
  <c r="AA98" i="15"/>
  <c r="AA99" i="15"/>
  <c r="AA100" i="15"/>
  <c r="AA101" i="15"/>
  <c r="AA102" i="15"/>
  <c r="AA103" i="15"/>
  <c r="AA104" i="15"/>
  <c r="AA105" i="15"/>
  <c r="AA106" i="15"/>
  <c r="AA107" i="15"/>
  <c r="AA108" i="15"/>
  <c r="AA109" i="15"/>
  <c r="AA110" i="15"/>
  <c r="AA111" i="15"/>
  <c r="AA112" i="15"/>
  <c r="AA113" i="15"/>
  <c r="AA114" i="15"/>
  <c r="AA115" i="15"/>
  <c r="AA116" i="15"/>
  <c r="AA117" i="15"/>
  <c r="AA118" i="15"/>
  <c r="AA119" i="15"/>
  <c r="AA120" i="15"/>
  <c r="AA121" i="15"/>
  <c r="AA122" i="15"/>
  <c r="AA123" i="15"/>
  <c r="AA124" i="15"/>
  <c r="AA128" i="15"/>
  <c r="AA129" i="15"/>
  <c r="AA130" i="15"/>
  <c r="AA131" i="15"/>
  <c r="AA132" i="15"/>
  <c r="AA133" i="15"/>
  <c r="AA134" i="15"/>
  <c r="AA135" i="15"/>
  <c r="AA136" i="15"/>
  <c r="AA137" i="15"/>
  <c r="AA138" i="15"/>
  <c r="AA139" i="15"/>
  <c r="AA140" i="15"/>
  <c r="AA141" i="15"/>
  <c r="AA142" i="15"/>
  <c r="AA143" i="15"/>
  <c r="AA144" i="15"/>
  <c r="AA145" i="15"/>
  <c r="AA146" i="15"/>
  <c r="AA147" i="15"/>
  <c r="AA148" i="15"/>
  <c r="AA149" i="15"/>
  <c r="AA150" i="15"/>
  <c r="AA151" i="15"/>
  <c r="AA152" i="15"/>
  <c r="AA153" i="15"/>
  <c r="AA154" i="15"/>
  <c r="AA155" i="15"/>
  <c r="AA156" i="15"/>
  <c r="AA157" i="15"/>
  <c r="AA158" i="15"/>
  <c r="AA159" i="15"/>
  <c r="AA160" i="15"/>
  <c r="AA161" i="15"/>
  <c r="AA162" i="15"/>
  <c r="AA163" i="15"/>
  <c r="AA164" i="15"/>
  <c r="AA165" i="15"/>
  <c r="AA166" i="15"/>
  <c r="AA167" i="15"/>
  <c r="AA168" i="15"/>
  <c r="AA169" i="15"/>
  <c r="AA170" i="15"/>
  <c r="AA171" i="15"/>
  <c r="AA172" i="15"/>
  <c r="AA173" i="15"/>
  <c r="AA174" i="15"/>
  <c r="AA175" i="15"/>
  <c r="AA176" i="15"/>
  <c r="AA177" i="15"/>
  <c r="AA178" i="15"/>
  <c r="AA179" i="15"/>
  <c r="AA180" i="15"/>
  <c r="AA181" i="15"/>
  <c r="AA182" i="15"/>
  <c r="AA183" i="15"/>
  <c r="AA184" i="15"/>
  <c r="AA185" i="15"/>
  <c r="AA186" i="15"/>
  <c r="AA187" i="15"/>
  <c r="AA188" i="15"/>
  <c r="AA189" i="15"/>
  <c r="AA190" i="15"/>
  <c r="AA191" i="15"/>
  <c r="AA192" i="15"/>
  <c r="AA193" i="15"/>
  <c r="AA194" i="15"/>
  <c r="AA195" i="15"/>
  <c r="AA196" i="15"/>
  <c r="AA197" i="15"/>
  <c r="AA198" i="15"/>
  <c r="AA199" i="15"/>
  <c r="AA200" i="15"/>
  <c r="AA201" i="15"/>
  <c r="AA202" i="15"/>
  <c r="AA203" i="15"/>
  <c r="AA204" i="15"/>
  <c r="AA205" i="15"/>
  <c r="AA206" i="15"/>
  <c r="AA207" i="15"/>
  <c r="AA208" i="15"/>
  <c r="AA213" i="15"/>
  <c r="AA214" i="15"/>
  <c r="AA215" i="15"/>
  <c r="AA216" i="15"/>
  <c r="AA217" i="15"/>
  <c r="AA218" i="15"/>
  <c r="AA219" i="15"/>
  <c r="AA220" i="15"/>
  <c r="AA221" i="15"/>
  <c r="AA222" i="15"/>
  <c r="AA223" i="15"/>
  <c r="AA224" i="15"/>
  <c r="AA225" i="15"/>
  <c r="AA226" i="15"/>
  <c r="AA227" i="15"/>
  <c r="AA228" i="15"/>
  <c r="AA229" i="15"/>
  <c r="AA230" i="15"/>
  <c r="AA231" i="15"/>
  <c r="AA232" i="15"/>
  <c r="AA233" i="15"/>
  <c r="AA234" i="15"/>
  <c r="AA235" i="15"/>
  <c r="AA236" i="15"/>
  <c r="AA237" i="15"/>
  <c r="AA238" i="15"/>
  <c r="AA239" i="15"/>
  <c r="AA240" i="15"/>
  <c r="AA241" i="15"/>
  <c r="AA242" i="15"/>
  <c r="AA243" i="15"/>
  <c r="AA244" i="15"/>
  <c r="AA245" i="15"/>
  <c r="AA246" i="15"/>
  <c r="AA247" i="15"/>
  <c r="AA248" i="15"/>
  <c r="AA249" i="15"/>
  <c r="AA250" i="15"/>
  <c r="AA251" i="15"/>
  <c r="AA253" i="15"/>
  <c r="AA254" i="15"/>
  <c r="AA255" i="15"/>
  <c r="AA256" i="15"/>
  <c r="AA257" i="15"/>
  <c r="AA258" i="15"/>
  <c r="AA259" i="15"/>
  <c r="AA260" i="15"/>
  <c r="AA261" i="15"/>
  <c r="AA262" i="15"/>
  <c r="AA263" i="15"/>
  <c r="AA264" i="15"/>
  <c r="AA265" i="15"/>
  <c r="AA266" i="15"/>
  <c r="AA267" i="15"/>
  <c r="AA268" i="15"/>
  <c r="AA274" i="15"/>
  <c r="AA275" i="15"/>
  <c r="AA276" i="15"/>
  <c r="AA280" i="15"/>
  <c r="AA281" i="15"/>
  <c r="AA282" i="15"/>
  <c r="AA283" i="15"/>
  <c r="AA284" i="15"/>
  <c r="AA285" i="15"/>
  <c r="AA286" i="15"/>
  <c r="AA287" i="15"/>
  <c r="AA288" i="15"/>
  <c r="AA289" i="15"/>
  <c r="AA290" i="15"/>
  <c r="AA291" i="15"/>
  <c r="AA292" i="15"/>
  <c r="AA293" i="15"/>
  <c r="AA294" i="15"/>
  <c r="AA295" i="15"/>
  <c r="AA296" i="15"/>
  <c r="AA297" i="15"/>
  <c r="AA298" i="15"/>
  <c r="AA299" i="15"/>
  <c r="AA300" i="15"/>
  <c r="AA301" i="15"/>
  <c r="AA302" i="15"/>
  <c r="AA303" i="15"/>
  <c r="AA304" i="15"/>
  <c r="AA305" i="15"/>
  <c r="AA306" i="15"/>
  <c r="AA307" i="15"/>
  <c r="AA308" i="15"/>
  <c r="AA309" i="15"/>
  <c r="AA310" i="15"/>
  <c r="AA311" i="15"/>
  <c r="AA312" i="15"/>
  <c r="AA313" i="15"/>
  <c r="AA314" i="15"/>
  <c r="AA315" i="15"/>
  <c r="AA316" i="15"/>
  <c r="AA317" i="15"/>
  <c r="AA318" i="15"/>
  <c r="Y6" i="15"/>
  <c r="Z6" i="15" s="1"/>
  <c r="Y325" i="15"/>
  <c r="AT46" i="2" l="1"/>
  <c r="AT135" i="2"/>
  <c r="LY135" i="2" s="1"/>
  <c r="FA358" i="2"/>
  <c r="DP350" i="2"/>
  <c r="CE46" i="2"/>
  <c r="DN109" i="2"/>
  <c r="DP109" i="2" s="1"/>
  <c r="AR340" i="2"/>
  <c r="AT340" i="2" s="1"/>
  <c r="CC272" i="2"/>
  <c r="CE272" i="2" s="1"/>
  <c r="EY242" i="2"/>
  <c r="FA242" i="2" s="1"/>
  <c r="DN201" i="2"/>
  <c r="DP201" i="2" s="1"/>
  <c r="DN128" i="2"/>
  <c r="DP128" i="2" s="1"/>
  <c r="EY65" i="2"/>
  <c r="FA65" i="2" s="1"/>
  <c r="DN205" i="2"/>
  <c r="CC155" i="2"/>
  <c r="CE155" i="2" s="1"/>
  <c r="DN120" i="2"/>
  <c r="DP120" i="2" s="1"/>
  <c r="DN304" i="2"/>
  <c r="DP304" i="2" s="1"/>
  <c r="DN98" i="2"/>
  <c r="DP98" i="2" s="1"/>
  <c r="CC136" i="2"/>
  <c r="CE136" i="2" s="1"/>
  <c r="EY391" i="2"/>
  <c r="FA391" i="2" s="1"/>
  <c r="CC109" i="2"/>
  <c r="CE109" i="2" s="1"/>
  <c r="DN272" i="2"/>
  <c r="DP272" i="2" s="1"/>
  <c r="AR356" i="2"/>
  <c r="AT356" i="2" s="1"/>
  <c r="DN260" i="2"/>
  <c r="DP260" i="2" s="1"/>
  <c r="CC276" i="2"/>
  <c r="CE276" i="2" s="1"/>
  <c r="CC250" i="2"/>
  <c r="CE250" i="2" s="1"/>
  <c r="DN59" i="2"/>
  <c r="DP59" i="2" s="1"/>
  <c r="LY209" i="2"/>
  <c r="Z128" i="15"/>
  <c r="AB128" i="15" s="1"/>
  <c r="Z280" i="15"/>
  <c r="AB280" i="15" s="1"/>
  <c r="Z266" i="15"/>
  <c r="AB266" i="15" s="1"/>
  <c r="Z264" i="15"/>
  <c r="AB264" i="15" s="1"/>
  <c r="Z262" i="15"/>
  <c r="AB262" i="15" s="1"/>
  <c r="AB252" i="15"/>
  <c r="AB6" i="15"/>
  <c r="AB302" i="15"/>
  <c r="AB294" i="15"/>
  <c r="AB286" i="15"/>
  <c r="AB275" i="15"/>
  <c r="AB254" i="15"/>
  <c r="AB246" i="15"/>
  <c r="AB238" i="15"/>
  <c r="AB230" i="15"/>
  <c r="AB222" i="15"/>
  <c r="AB214" i="15"/>
  <c r="AB203" i="15"/>
  <c r="AB195" i="15"/>
  <c r="AB187" i="15"/>
  <c r="AB179" i="15"/>
  <c r="AB171" i="15"/>
  <c r="AB163" i="15"/>
  <c r="AB155" i="15"/>
  <c r="AB147" i="15"/>
  <c r="AB139" i="15"/>
  <c r="AB131" i="15"/>
  <c r="AB120" i="15"/>
  <c r="AB112" i="15"/>
  <c r="AB104" i="15"/>
  <c r="AB96" i="15"/>
  <c r="AB88" i="15"/>
  <c r="AB80" i="15"/>
  <c r="AB72" i="15"/>
  <c r="AB64" i="15"/>
  <c r="AB56" i="15"/>
  <c r="AB48" i="15"/>
  <c r="AB41" i="15"/>
  <c r="AB33" i="15"/>
  <c r="AB21" i="15"/>
  <c r="AB13" i="15"/>
  <c r="Z318" i="15"/>
  <c r="AB318" i="15" s="1"/>
  <c r="Z311" i="15"/>
  <c r="AB311" i="15" s="1"/>
  <c r="Z303" i="15"/>
  <c r="AB303" i="15" s="1"/>
  <c r="Z295" i="15"/>
  <c r="AB295" i="15" s="1"/>
  <c r="Z287" i="15"/>
  <c r="AB287" i="15" s="1"/>
  <c r="Z276" i="15"/>
  <c r="AB276" i="15" s="1"/>
  <c r="Z263" i="15"/>
  <c r="AB263" i="15" s="1"/>
  <c r="Z255" i="15"/>
  <c r="AB255" i="15" s="1"/>
  <c r="Z247" i="15"/>
  <c r="AB247" i="15" s="1"/>
  <c r="Z239" i="15"/>
  <c r="AB239" i="15" s="1"/>
  <c r="Z231" i="15"/>
  <c r="AB231" i="15" s="1"/>
  <c r="Z223" i="15"/>
  <c r="AB223" i="15" s="1"/>
  <c r="Z215" i="15"/>
  <c r="AB215" i="15" s="1"/>
  <c r="Z204" i="15"/>
  <c r="AB204" i="15" s="1"/>
  <c r="Z196" i="15"/>
  <c r="AB196" i="15" s="1"/>
  <c r="Z188" i="15"/>
  <c r="AB188" i="15" s="1"/>
  <c r="Z180" i="15"/>
  <c r="AB180" i="15" s="1"/>
  <c r="Z172" i="15"/>
  <c r="AB172" i="15" s="1"/>
  <c r="Z164" i="15"/>
  <c r="AB164" i="15" s="1"/>
  <c r="Z156" i="15"/>
  <c r="AB156" i="15" s="1"/>
  <c r="Z148" i="15"/>
  <c r="AB148" i="15" s="1"/>
  <c r="Z140" i="15"/>
  <c r="AB140" i="15" s="1"/>
  <c r="Z132" i="15"/>
  <c r="AB132" i="15" s="1"/>
  <c r="Z121" i="15"/>
  <c r="AB121" i="15" s="1"/>
  <c r="Z113" i="15"/>
  <c r="AB113" i="15" s="1"/>
  <c r="Z105" i="15"/>
  <c r="AB105" i="15" s="1"/>
  <c r="Z97" i="15"/>
  <c r="AB97" i="15" s="1"/>
  <c r="Z89" i="15"/>
  <c r="AB89" i="15" s="1"/>
  <c r="Z81" i="15"/>
  <c r="AB81" i="15" s="1"/>
  <c r="Z73" i="15"/>
  <c r="AB73" i="15" s="1"/>
  <c r="Z65" i="15"/>
  <c r="AB65" i="15" s="1"/>
  <c r="Z57" i="15"/>
  <c r="AB57" i="15" s="1"/>
  <c r="Z49" i="15"/>
  <c r="AB49" i="15" s="1"/>
  <c r="Z42" i="15"/>
  <c r="AB42" i="15" s="1"/>
  <c r="Z34" i="15"/>
  <c r="AB34" i="15" s="1"/>
  <c r="Z22" i="15"/>
  <c r="AB22" i="15" s="1"/>
  <c r="Z14" i="15"/>
  <c r="AB14" i="15" s="1"/>
  <c r="AB317" i="15"/>
  <c r="AB309" i="15"/>
  <c r="AB301" i="15"/>
  <c r="AB293" i="15"/>
  <c r="AB285" i="15"/>
  <c r="AB274" i="15"/>
  <c r="AB261" i="15"/>
  <c r="AB253" i="15"/>
  <c r="AB245" i="15"/>
  <c r="AB237" i="15"/>
  <c r="AB229" i="15"/>
  <c r="AB221" i="15"/>
  <c r="AB213" i="15"/>
  <c r="AB202" i="15"/>
  <c r="AB194" i="15"/>
  <c r="AB186" i="15"/>
  <c r="AB178" i="15"/>
  <c r="AB170" i="15"/>
  <c r="AB162" i="15"/>
  <c r="AB154" i="15"/>
  <c r="AB146" i="15"/>
  <c r="AB138" i="15"/>
  <c r="AB130" i="15"/>
  <c r="AB119" i="15"/>
  <c r="AB111" i="15"/>
  <c r="AB103" i="15"/>
  <c r="AB95" i="15"/>
  <c r="AB87" i="15"/>
  <c r="AB79" i="15"/>
  <c r="AB71" i="15"/>
  <c r="AB63" i="15"/>
  <c r="AB55" i="15"/>
  <c r="AB47" i="15"/>
  <c r="AB40" i="15"/>
  <c r="AB32" i="15"/>
  <c r="AB20" i="15"/>
  <c r="AB12" i="15"/>
  <c r="AB316" i="15"/>
  <c r="AB308" i="15"/>
  <c r="AB300" i="15"/>
  <c r="AB292" i="15"/>
  <c r="AB284" i="15"/>
  <c r="AB268" i="15"/>
  <c r="AB260" i="15"/>
  <c r="AB244" i="15"/>
  <c r="AB236" i="15"/>
  <c r="AB228" i="15"/>
  <c r="AB220" i="15"/>
  <c r="AB201" i="15"/>
  <c r="AB193" i="15"/>
  <c r="AB185" i="15"/>
  <c r="AB177" i="15"/>
  <c r="AB169" i="15"/>
  <c r="AB161" i="15"/>
  <c r="AB153" i="15"/>
  <c r="AB145" i="15"/>
  <c r="AB137" i="15"/>
  <c r="AB129" i="15"/>
  <c r="AB118" i="15"/>
  <c r="AB110" i="15"/>
  <c r="AB102" i="15"/>
  <c r="AB94" i="15"/>
  <c r="AB86" i="15"/>
  <c r="AB78" i="15"/>
  <c r="AB70" i="15"/>
  <c r="AB62" i="15"/>
  <c r="AB54" i="15"/>
  <c r="AB46" i="15"/>
  <c r="AB39" i="15"/>
  <c r="AB31" i="15"/>
  <c r="AB19" i="15"/>
  <c r="AB11" i="15"/>
  <c r="AB315" i="15"/>
  <c r="AB307" i="15"/>
  <c r="AB299" i="15"/>
  <c r="AB291" i="15"/>
  <c r="AB283" i="15"/>
  <c r="AB267" i="15"/>
  <c r="AB259" i="15"/>
  <c r="AB251" i="15"/>
  <c r="AB243" i="15"/>
  <c r="AB235" i="15"/>
  <c r="AB227" i="15"/>
  <c r="AB219" i="15"/>
  <c r="AB208" i="15"/>
  <c r="AB200" i="15"/>
  <c r="AB192" i="15"/>
  <c r="AB184" i="15"/>
  <c r="AB176" i="15"/>
  <c r="AB168" i="15"/>
  <c r="AB160" i="15"/>
  <c r="AB152" i="15"/>
  <c r="AB144" i="15"/>
  <c r="AB136" i="15"/>
  <c r="AB117" i="15"/>
  <c r="AB109" i="15"/>
  <c r="AB101" i="15"/>
  <c r="AB93" i="15"/>
  <c r="AB85" i="15"/>
  <c r="AB77" i="15"/>
  <c r="AB69" i="15"/>
  <c r="AB61" i="15"/>
  <c r="AB53" i="15"/>
  <c r="AB45" i="15"/>
  <c r="AB38" i="15"/>
  <c r="AB18" i="15"/>
  <c r="AB10" i="15"/>
  <c r="AB314" i="15"/>
  <c r="AB306" i="15"/>
  <c r="AB298" i="15"/>
  <c r="AB290" i="15"/>
  <c r="AB282" i="15"/>
  <c r="AB258" i="15"/>
  <c r="AB250" i="15"/>
  <c r="AB242" i="15"/>
  <c r="AB234" i="15"/>
  <c r="AB226" i="15"/>
  <c r="AB218" i="15"/>
  <c r="AB207" i="15"/>
  <c r="AB199" i="15"/>
  <c r="AB191" i="15"/>
  <c r="AB183" i="15"/>
  <c r="AB175" i="15"/>
  <c r="AB167" i="15"/>
  <c r="AB159" i="15"/>
  <c r="AB151" i="15"/>
  <c r="AB143" i="15"/>
  <c r="AB135" i="15"/>
  <c r="AB124" i="15"/>
  <c r="AB116" i="15"/>
  <c r="AB108" i="15"/>
  <c r="AB100" i="15"/>
  <c r="AB92" i="15"/>
  <c r="AB84" i="15"/>
  <c r="AB76" i="15"/>
  <c r="AB68" i="15"/>
  <c r="AB60" i="15"/>
  <c r="AB52" i="15"/>
  <c r="AB44" i="15"/>
  <c r="AB37" i="15"/>
  <c r="AB25" i="15"/>
  <c r="AB17" i="15"/>
  <c r="AB9" i="15"/>
  <c r="AB313" i="15"/>
  <c r="AB305" i="15"/>
  <c r="AB297" i="15"/>
  <c r="AB289" i="15"/>
  <c r="AB281" i="15"/>
  <c r="AB265" i="15"/>
  <c r="AB257" i="15"/>
  <c r="AB249" i="15"/>
  <c r="AB241" i="15"/>
  <c r="AB233" i="15"/>
  <c r="AB225" i="15"/>
  <c r="AB217" i="15"/>
  <c r="AB206" i="15"/>
  <c r="AB198" i="15"/>
  <c r="AB190" i="15"/>
  <c r="AB182" i="15"/>
  <c r="AB174" i="15"/>
  <c r="AB166" i="15"/>
  <c r="AB158" i="15"/>
  <c r="AB150" i="15"/>
  <c r="AB142" i="15"/>
  <c r="AB134" i="15"/>
  <c r="AB123" i="15"/>
  <c r="AB115" i="15"/>
  <c r="AB107" i="15"/>
  <c r="AB99" i="15"/>
  <c r="AB91" i="15"/>
  <c r="AB83" i="15"/>
  <c r="AB75" i="15"/>
  <c r="AB67" i="15"/>
  <c r="AB59" i="15"/>
  <c r="AB51" i="15"/>
  <c r="AB43" i="15"/>
  <c r="AB36" i="15"/>
  <c r="AB24" i="15"/>
  <c r="AB16" i="15"/>
  <c r="AB8" i="15"/>
  <c r="AB312" i="15"/>
  <c r="AB304" i="15"/>
  <c r="AB296" i="15"/>
  <c r="AB288" i="15"/>
  <c r="AB256" i="15"/>
  <c r="AB248" i="15"/>
  <c r="AB240" i="15"/>
  <c r="AB232" i="15"/>
  <c r="AB224" i="15"/>
  <c r="AB216" i="15"/>
  <c r="AB205" i="15"/>
  <c r="AB197" i="15"/>
  <c r="AB189" i="15"/>
  <c r="AB181" i="15"/>
  <c r="AB173" i="15"/>
  <c r="AB165" i="15"/>
  <c r="AB157" i="15"/>
  <c r="AB149" i="15"/>
  <c r="AB141" i="15"/>
  <c r="AB133" i="15"/>
  <c r="AB122" i="15"/>
  <c r="AB114" i="15"/>
  <c r="AB106" i="15"/>
  <c r="AB98" i="15"/>
  <c r="AB90" i="15"/>
  <c r="AB82" i="15"/>
  <c r="AB74" i="15"/>
  <c r="AB66" i="15"/>
  <c r="AB58" i="15"/>
  <c r="AB50" i="15"/>
  <c r="AB35" i="15"/>
  <c r="AB23" i="15"/>
  <c r="AB15" i="15"/>
  <c r="AB7" i="15"/>
  <c r="DP205" i="2" l="1"/>
  <c r="N275" i="15"/>
  <c r="T275" i="15" s="1"/>
  <c r="N276" i="15"/>
  <c r="O276" i="15" s="1"/>
  <c r="N318" i="15"/>
  <c r="Q318" i="15" s="1"/>
  <c r="R276" i="15" l="1"/>
  <c r="Q276" i="15"/>
  <c r="P318" i="15"/>
  <c r="R318" i="15"/>
  <c r="S318" i="15"/>
  <c r="T318" i="15"/>
  <c r="O275" i="15"/>
  <c r="P275" i="15"/>
  <c r="Q275" i="15"/>
  <c r="R275" i="15"/>
  <c r="S275" i="15"/>
  <c r="O318" i="15"/>
  <c r="T276" i="15"/>
  <c r="S276" i="15"/>
  <c r="P276" i="15"/>
  <c r="M4" i="2" l="1"/>
  <c r="P207" i="15" l="1"/>
  <c r="N317" i="15"/>
  <c r="O317" i="15" s="1"/>
  <c r="Q207" i="15" l="1"/>
  <c r="R207" i="15"/>
  <c r="T207" i="15"/>
  <c r="S207" i="15"/>
  <c r="O207" i="15"/>
  <c r="P317" i="15"/>
  <c r="S317" i="15"/>
  <c r="T317" i="15"/>
  <c r="R317" i="15"/>
  <c r="Q317" i="15"/>
  <c r="N274" i="15" l="1"/>
  <c r="P274" i="15" l="1"/>
  <c r="R274" i="15"/>
  <c r="S274" i="15"/>
  <c r="O274" i="15"/>
  <c r="Q274" i="15"/>
  <c r="T274" i="15"/>
  <c r="N313" i="15" l="1"/>
  <c r="O313" i="15" s="1"/>
  <c r="N314" i="15"/>
  <c r="O314" i="15" s="1"/>
  <c r="N315" i="15"/>
  <c r="S315" i="15" s="1"/>
  <c r="N316" i="15"/>
  <c r="T316" i="15" s="1"/>
  <c r="N305" i="15"/>
  <c r="O305" i="15" s="1"/>
  <c r="N306" i="15"/>
  <c r="O306" i="15" s="1"/>
  <c r="N307" i="15"/>
  <c r="Q307" i="15" s="1"/>
  <c r="FF201" i="2" s="1"/>
  <c r="GJ201" i="2" s="1"/>
  <c r="GL201" i="2" s="1"/>
  <c r="N308" i="15"/>
  <c r="O308" i="15" s="1"/>
  <c r="N309" i="15"/>
  <c r="O309" i="15" s="1"/>
  <c r="N310" i="15"/>
  <c r="O310" i="15" s="1"/>
  <c r="N311" i="15"/>
  <c r="Q311" i="15" s="1"/>
  <c r="N312" i="15"/>
  <c r="S312" i="15" s="1"/>
  <c r="N258" i="15"/>
  <c r="O258" i="15" s="1"/>
  <c r="N259" i="15"/>
  <c r="S259" i="15" s="1"/>
  <c r="N260" i="15"/>
  <c r="Q260" i="15" s="1"/>
  <c r="N261" i="15"/>
  <c r="S261" i="15" s="1"/>
  <c r="N262" i="15"/>
  <c r="O262" i="15" s="1"/>
  <c r="N263" i="15"/>
  <c r="O263" i="15" s="1"/>
  <c r="N264" i="15"/>
  <c r="Q264" i="15" s="1"/>
  <c r="N265" i="15"/>
  <c r="P265" i="15" s="1"/>
  <c r="N266" i="15"/>
  <c r="O266" i="15" s="1"/>
  <c r="N267" i="15"/>
  <c r="R267" i="15" s="1"/>
  <c r="N268" i="15"/>
  <c r="Q268" i="15" s="1"/>
  <c r="I258" i="15"/>
  <c r="DU38" i="2" l="1"/>
  <c r="EY38" i="2" s="1"/>
  <c r="FA38" i="2" s="1"/>
  <c r="FF12" i="2"/>
  <c r="GJ12" i="2" s="1"/>
  <c r="GL12" i="2" s="1"/>
  <c r="GQ41" i="2"/>
  <c r="HU41" i="2" s="1"/>
  <c r="HW41" i="2" s="1"/>
  <c r="FF190" i="2"/>
  <c r="GJ190" i="2" s="1"/>
  <c r="GL190" i="2" s="1"/>
  <c r="FF13" i="2"/>
  <c r="GJ13" i="2" s="1"/>
  <c r="GL13" i="2" s="1"/>
  <c r="GQ26" i="2"/>
  <c r="HU26" i="2" s="1"/>
  <c r="HW26" i="2" s="1"/>
  <c r="GQ317" i="2"/>
  <c r="HU317" i="2" s="1"/>
  <c r="HW317" i="2" s="1"/>
  <c r="CJ152" i="2"/>
  <c r="FI334" i="2"/>
  <c r="DU186" i="2"/>
  <c r="EY186" i="2" s="1"/>
  <c r="FA186" i="2" s="1"/>
  <c r="FF312" i="2"/>
  <c r="GJ312" i="2" s="1"/>
  <c r="GL312" i="2" s="1"/>
  <c r="DU35" i="2"/>
  <c r="EY35" i="2" s="1"/>
  <c r="FA35" i="2" s="1"/>
  <c r="GQ193" i="2"/>
  <c r="HU193" i="2" s="1"/>
  <c r="HW193" i="2" s="1"/>
  <c r="FF311" i="2"/>
  <c r="GJ311" i="2" s="1"/>
  <c r="GL311" i="2" s="1"/>
  <c r="DU140" i="2"/>
  <c r="EY140" i="2" s="1"/>
  <c r="FA140" i="2" s="1"/>
  <c r="CJ149" i="2"/>
  <c r="DN149" i="2" s="1"/>
  <c r="DP149" i="2" s="1"/>
  <c r="CJ33" i="2"/>
  <c r="DN33" i="2" s="1"/>
  <c r="DP33" i="2" s="1"/>
  <c r="GQ305" i="2"/>
  <c r="HU305" i="2" s="1"/>
  <c r="HW305" i="2" s="1"/>
  <c r="DU145" i="2"/>
  <c r="EY145" i="2" s="1"/>
  <c r="FA145" i="2" s="1"/>
  <c r="DU39" i="2"/>
  <c r="EY39" i="2" s="1"/>
  <c r="FA39" i="2" s="1"/>
  <c r="CJ146" i="2"/>
  <c r="DN146" i="2" s="1"/>
  <c r="DP146" i="2" s="1"/>
  <c r="GQ40" i="2"/>
  <c r="HU40" i="2" s="1"/>
  <c r="HW40" i="2" s="1"/>
  <c r="FF400" i="2"/>
  <c r="GJ400" i="2" s="1"/>
  <c r="GL400" i="2" s="1"/>
  <c r="FF185" i="2"/>
  <c r="GJ185" i="2" s="1"/>
  <c r="GL185" i="2" s="1"/>
  <c r="FF15" i="2"/>
  <c r="GJ15" i="2" s="1"/>
  <c r="GL15" i="2" s="1"/>
  <c r="DU37" i="2"/>
  <c r="EY37" i="2" s="1"/>
  <c r="FA37" i="2" s="1"/>
  <c r="FF14" i="2"/>
  <c r="GJ14" i="2" s="1"/>
  <c r="GL14" i="2" s="1"/>
  <c r="DU139" i="2"/>
  <c r="EY139" i="2" s="1"/>
  <c r="FA139" i="2" s="1"/>
  <c r="GT332" i="2"/>
  <c r="GQ331" i="2"/>
  <c r="HU331" i="2" s="1"/>
  <c r="HW331" i="2" s="1"/>
  <c r="FF199" i="2"/>
  <c r="GJ199" i="2" s="1"/>
  <c r="GL199" i="2" s="1"/>
  <c r="FF11" i="2"/>
  <c r="GJ11" i="2" s="1"/>
  <c r="GL11" i="2" s="1"/>
  <c r="FF195" i="2"/>
  <c r="GJ195" i="2" s="1"/>
  <c r="GL195" i="2" s="1"/>
  <c r="FF178" i="2"/>
  <c r="GQ155" i="2"/>
  <c r="HU155" i="2" s="1"/>
  <c r="HW155" i="2" s="1"/>
  <c r="FF187" i="2"/>
  <c r="GJ187" i="2" s="1"/>
  <c r="GL187" i="2" s="1"/>
  <c r="FF32" i="2"/>
  <c r="GJ32" i="2" s="1"/>
  <c r="GL32" i="2" s="1"/>
  <c r="FF398" i="2"/>
  <c r="GJ398" i="2" s="1"/>
  <c r="GL398" i="2" s="1"/>
  <c r="GQ25" i="2"/>
  <c r="HU25" i="2" s="1"/>
  <c r="HW25" i="2" s="1"/>
  <c r="GQ198" i="2"/>
  <c r="HU198" i="2" s="1"/>
  <c r="HW198" i="2" s="1"/>
  <c r="GQ297" i="2"/>
  <c r="HU297" i="2" s="1"/>
  <c r="HW297" i="2" s="1"/>
  <c r="FF316" i="2"/>
  <c r="GJ316" i="2" s="1"/>
  <c r="GL316" i="2" s="1"/>
  <c r="FF21" i="2"/>
  <c r="GJ21" i="2" s="1"/>
  <c r="GL21" i="2" s="1"/>
  <c r="FF44" i="2"/>
  <c r="GJ44" i="2" s="1"/>
  <c r="GL44" i="2" s="1"/>
  <c r="DU148" i="2"/>
  <c r="EY148" i="2" s="1"/>
  <c r="FA148" i="2" s="1"/>
  <c r="GQ23" i="2"/>
  <c r="HU23" i="2" s="1"/>
  <c r="HW23" i="2" s="1"/>
  <c r="DU36" i="2"/>
  <c r="EY36" i="2" s="1"/>
  <c r="FA36" i="2" s="1"/>
  <c r="FF314" i="2"/>
  <c r="GJ314" i="2" s="1"/>
  <c r="GL314" i="2" s="1"/>
  <c r="GQ166" i="2"/>
  <c r="HU166" i="2" s="1"/>
  <c r="HW166" i="2" s="1"/>
  <c r="GQ30" i="2"/>
  <c r="HU30" i="2" s="1"/>
  <c r="HW30" i="2" s="1"/>
  <c r="DU179" i="2"/>
  <c r="EY179" i="2" s="1"/>
  <c r="FA179" i="2" s="1"/>
  <c r="DU335" i="2"/>
  <c r="EY335" i="2" s="1"/>
  <c r="FA335" i="2" s="1"/>
  <c r="FF181" i="2"/>
  <c r="GJ181" i="2" s="1"/>
  <c r="GL181" i="2" s="1"/>
  <c r="GQ167" i="2"/>
  <c r="HU167" i="2" s="1"/>
  <c r="HW167" i="2" s="1"/>
  <c r="FF165" i="2"/>
  <c r="GJ165" i="2" s="1"/>
  <c r="GL165" i="2" s="1"/>
  <c r="GQ194" i="2"/>
  <c r="HU194" i="2" s="1"/>
  <c r="HW194" i="2" s="1"/>
  <c r="FF334" i="2"/>
  <c r="DU17" i="2"/>
  <c r="EY17" i="2" s="1"/>
  <c r="FA17" i="2" s="1"/>
  <c r="DU31" i="2"/>
  <c r="EY31" i="2" s="1"/>
  <c r="FA31" i="2" s="1"/>
  <c r="DU180" i="2"/>
  <c r="EY180" i="2" s="1"/>
  <c r="FA180" i="2" s="1"/>
  <c r="DU306" i="2"/>
  <c r="EY306" i="2" s="1"/>
  <c r="FA306" i="2" s="1"/>
  <c r="DU163" i="2"/>
  <c r="EY163" i="2" s="1"/>
  <c r="FA163" i="2" s="1"/>
  <c r="DU45" i="2"/>
  <c r="EY45" i="2" s="1"/>
  <c r="FA45" i="2" s="1"/>
  <c r="GQ302" i="2"/>
  <c r="HU302" i="2" s="1"/>
  <c r="HW302" i="2" s="1"/>
  <c r="DU147" i="2"/>
  <c r="EY147" i="2" s="1"/>
  <c r="FA147" i="2" s="1"/>
  <c r="GQ338" i="2"/>
  <c r="HU338" i="2" s="1"/>
  <c r="HW338" i="2" s="1"/>
  <c r="AY315" i="2"/>
  <c r="CC315" i="2" s="1"/>
  <c r="CE315" i="2" s="1"/>
  <c r="GQ24" i="2"/>
  <c r="HU24" i="2" s="1"/>
  <c r="HW24" i="2" s="1"/>
  <c r="DU336" i="2"/>
  <c r="EY336" i="2" s="1"/>
  <c r="FA336" i="2" s="1"/>
  <c r="FF304" i="2"/>
  <c r="GJ304" i="2" s="1"/>
  <c r="GL304" i="2" s="1"/>
  <c r="DU27" i="2"/>
  <c r="EY27" i="2" s="1"/>
  <c r="FA27" i="2" s="1"/>
  <c r="DU309" i="2"/>
  <c r="EY309" i="2" s="1"/>
  <c r="FA309" i="2" s="1"/>
  <c r="FI178" i="2"/>
  <c r="CM152" i="2"/>
  <c r="DU296" i="2"/>
  <c r="EY296" i="2" s="1"/>
  <c r="FA296" i="2" s="1"/>
  <c r="FF342" i="2"/>
  <c r="GJ342" i="2" s="1"/>
  <c r="GL342" i="2" s="1"/>
  <c r="FF160" i="2"/>
  <c r="GJ160" i="2" s="1"/>
  <c r="GL160" i="2" s="1"/>
  <c r="DU157" i="2"/>
  <c r="EY157" i="2" s="1"/>
  <c r="FA157" i="2" s="1"/>
  <c r="FF399" i="2"/>
  <c r="GJ399" i="2" s="1"/>
  <c r="GL399" i="2" s="1"/>
  <c r="DU144" i="2"/>
  <c r="DU16" i="2"/>
  <c r="DU19" i="2"/>
  <c r="EY19" i="2" s="1"/>
  <c r="FA19" i="2" s="1"/>
  <c r="FF18" i="2"/>
  <c r="GJ18" i="2" s="1"/>
  <c r="GL18" i="2" s="1"/>
  <c r="DU295" i="2"/>
  <c r="EY295" i="2" s="1"/>
  <c r="FA295" i="2" s="1"/>
  <c r="DX16" i="2"/>
  <c r="GQ308" i="2"/>
  <c r="HU308" i="2" s="1"/>
  <c r="HW308" i="2" s="1"/>
  <c r="CJ317" i="2"/>
  <c r="DN317" i="2" s="1"/>
  <c r="DP317" i="2" s="1"/>
  <c r="FF156" i="2"/>
  <c r="GJ156" i="2" s="1"/>
  <c r="GL156" i="2" s="1"/>
  <c r="DU10" i="2"/>
  <c r="EY10" i="2" s="1"/>
  <c r="FA10" i="2" s="1"/>
  <c r="FF152" i="2"/>
  <c r="GJ152" i="2" s="1"/>
  <c r="GL152" i="2" s="1"/>
  <c r="DU337" i="2"/>
  <c r="EY337" i="2" s="1"/>
  <c r="FA337" i="2" s="1"/>
  <c r="FF158" i="2"/>
  <c r="GJ158" i="2" s="1"/>
  <c r="GL158" i="2" s="1"/>
  <c r="DU307" i="2"/>
  <c r="EY307" i="2" s="1"/>
  <c r="FA307" i="2" s="1"/>
  <c r="FF396" i="2"/>
  <c r="GJ396" i="2" s="1"/>
  <c r="GL396" i="2" s="1"/>
  <c r="DU191" i="2"/>
  <c r="EY191" i="2" s="1"/>
  <c r="FA191" i="2" s="1"/>
  <c r="GQ332" i="2"/>
  <c r="HU332" i="2" s="1"/>
  <c r="HW332" i="2" s="1"/>
  <c r="DU159" i="2"/>
  <c r="EY159" i="2" s="1"/>
  <c r="FA159" i="2" s="1"/>
  <c r="DX144" i="2"/>
  <c r="DU224" i="2"/>
  <c r="EY224" i="2" s="1"/>
  <c r="FA224" i="2" s="1"/>
  <c r="CJ50" i="2"/>
  <c r="DN50" i="2" s="1"/>
  <c r="DP50" i="2" s="1"/>
  <c r="CJ255" i="2"/>
  <c r="DN255" i="2" s="1"/>
  <c r="DP255" i="2" s="1"/>
  <c r="CJ63" i="2"/>
  <c r="DN63" i="2" s="1"/>
  <c r="DP63" i="2" s="1"/>
  <c r="CJ245" i="2"/>
  <c r="DN245" i="2" s="1"/>
  <c r="DP245" i="2" s="1"/>
  <c r="DU277" i="2"/>
  <c r="EY277" i="2" s="1"/>
  <c r="FA277" i="2" s="1"/>
  <c r="DU246" i="2"/>
  <c r="EY246" i="2" s="1"/>
  <c r="FA246" i="2" s="1"/>
  <c r="CJ56" i="2"/>
  <c r="DN56" i="2" s="1"/>
  <c r="DP56" i="2" s="1"/>
  <c r="AY58" i="2"/>
  <c r="CC58" i="2" s="1"/>
  <c r="CE58" i="2" s="1"/>
  <c r="DU363" i="2"/>
  <c r="EY363" i="2" s="1"/>
  <c r="FA363" i="2" s="1"/>
  <c r="CJ117" i="2"/>
  <c r="DN117" i="2" s="1"/>
  <c r="DP117" i="2" s="1"/>
  <c r="DX219" i="2"/>
  <c r="CJ265" i="2"/>
  <c r="DN265" i="2" s="1"/>
  <c r="DP265" i="2" s="1"/>
  <c r="AY347" i="2"/>
  <c r="CC347" i="2" s="1"/>
  <c r="CE347" i="2" s="1"/>
  <c r="DU382" i="2"/>
  <c r="EY382" i="2" s="1"/>
  <c r="FA382" i="2" s="1"/>
  <c r="AY286" i="2"/>
  <c r="CC286" i="2" s="1"/>
  <c r="CE286" i="2" s="1"/>
  <c r="DU125" i="2"/>
  <c r="EY125" i="2" s="1"/>
  <c r="FA125" i="2" s="1"/>
  <c r="CJ234" i="2"/>
  <c r="DN234" i="2" s="1"/>
  <c r="DP234" i="2" s="1"/>
  <c r="AY244" i="2"/>
  <c r="CC244" i="2" s="1"/>
  <c r="CE244" i="2" s="1"/>
  <c r="CJ250" i="2"/>
  <c r="DN250" i="2" s="1"/>
  <c r="DP250" i="2" s="1"/>
  <c r="CJ283" i="2"/>
  <c r="DN283" i="2" s="1"/>
  <c r="DP283" i="2" s="1"/>
  <c r="AY388" i="2"/>
  <c r="CC388" i="2" s="1"/>
  <c r="CE388" i="2" s="1"/>
  <c r="CJ54" i="2"/>
  <c r="GQ291" i="2"/>
  <c r="HU291" i="2" s="1"/>
  <c r="HW291" i="2" s="1"/>
  <c r="DU356" i="2"/>
  <c r="EY356" i="2" s="1"/>
  <c r="FA356" i="2" s="1"/>
  <c r="GQ236" i="2"/>
  <c r="HU236" i="2" s="1"/>
  <c r="HW236" i="2" s="1"/>
  <c r="CJ94" i="2"/>
  <c r="DN94" i="2" s="1"/>
  <c r="DP94" i="2" s="1"/>
  <c r="DU238" i="2"/>
  <c r="EY238" i="2" s="1"/>
  <c r="AY106" i="2"/>
  <c r="CC106" i="2" s="1"/>
  <c r="CE106" i="2" s="1"/>
  <c r="AY66" i="2"/>
  <c r="CC66" i="2" s="1"/>
  <c r="CE66" i="2" s="1"/>
  <c r="AY258" i="2"/>
  <c r="CC258" i="2" s="1"/>
  <c r="CJ385" i="2"/>
  <c r="DN385" i="2" s="1"/>
  <c r="DP385" i="2" s="1"/>
  <c r="AY108" i="2"/>
  <c r="CJ256" i="2"/>
  <c r="DN256" i="2" s="1"/>
  <c r="DP256" i="2" s="1"/>
  <c r="AY95" i="2"/>
  <c r="CC95" i="2" s="1"/>
  <c r="CE95" i="2" s="1"/>
  <c r="DU279" i="2"/>
  <c r="EY279" i="2" s="1"/>
  <c r="FA279" i="2" s="1"/>
  <c r="DU366" i="2"/>
  <c r="EY366" i="2" s="1"/>
  <c r="FA366" i="2" s="1"/>
  <c r="DU225" i="2"/>
  <c r="EY225" i="2" s="1"/>
  <c r="FA225" i="2" s="1"/>
  <c r="AY70" i="2"/>
  <c r="CC70" i="2" s="1"/>
  <c r="CE70" i="2" s="1"/>
  <c r="CJ81" i="2"/>
  <c r="DN81" i="2" s="1"/>
  <c r="DP81" i="2" s="1"/>
  <c r="CJ257" i="2"/>
  <c r="DN257" i="2" s="1"/>
  <c r="DP257" i="2" s="1"/>
  <c r="CJ60" i="2"/>
  <c r="DN60" i="2" s="1"/>
  <c r="DP60" i="2" s="1"/>
  <c r="DU98" i="2"/>
  <c r="EY98" i="2" s="1"/>
  <c r="FA98" i="2" s="1"/>
  <c r="CJ348" i="2"/>
  <c r="DN348" i="2" s="1"/>
  <c r="AY48" i="2"/>
  <c r="CC48" i="2" s="1"/>
  <c r="CE48" i="2" s="1"/>
  <c r="AY237" i="2"/>
  <c r="CC237" i="2" s="1"/>
  <c r="CE237" i="2" s="1"/>
  <c r="AY47" i="2"/>
  <c r="CC47" i="2" s="1"/>
  <c r="CE47" i="2" s="1"/>
  <c r="DU376" i="2"/>
  <c r="CJ203" i="2"/>
  <c r="DN203" i="2" s="1"/>
  <c r="DP203" i="2" s="1"/>
  <c r="CJ79" i="2"/>
  <c r="DN79" i="2" s="1"/>
  <c r="DP79" i="2" s="1"/>
  <c r="AY389" i="2"/>
  <c r="CC389" i="2" s="1"/>
  <c r="CE389" i="2" s="1"/>
  <c r="DU87" i="2"/>
  <c r="EY87" i="2" s="1"/>
  <c r="FA87" i="2" s="1"/>
  <c r="AY129" i="2"/>
  <c r="CC129" i="2" s="1"/>
  <c r="CE129" i="2" s="1"/>
  <c r="CJ233" i="2"/>
  <c r="DN233" i="2" s="1"/>
  <c r="DP233" i="2" s="1"/>
  <c r="CJ345" i="2"/>
  <c r="DN345" i="2" s="1"/>
  <c r="DP345" i="2" s="1"/>
  <c r="CJ92" i="2"/>
  <c r="DN92" i="2" s="1"/>
  <c r="DP92" i="2" s="1"/>
  <c r="AY247" i="2"/>
  <c r="CC247" i="2" s="1"/>
  <c r="CE247" i="2" s="1"/>
  <c r="AY292" i="2"/>
  <c r="CC292" i="2" s="1"/>
  <c r="CE292" i="2" s="1"/>
  <c r="CJ114" i="2"/>
  <c r="DN114" i="2" s="1"/>
  <c r="DP114" i="2" s="1"/>
  <c r="AY99" i="2"/>
  <c r="AY387" i="2"/>
  <c r="CC387" i="2" s="1"/>
  <c r="CE387" i="2" s="1"/>
  <c r="AY249" i="2"/>
  <c r="CC249" i="2" s="1"/>
  <c r="CE249" i="2" s="1"/>
  <c r="DU68" i="2"/>
  <c r="EY68" i="2" s="1"/>
  <c r="FA68" i="2" s="1"/>
  <c r="CJ218" i="2"/>
  <c r="AY284" i="2"/>
  <c r="CC284" i="2" s="1"/>
  <c r="CE284" i="2" s="1"/>
  <c r="CJ241" i="2"/>
  <c r="DN241" i="2" s="1"/>
  <c r="DP241" i="2" s="1"/>
  <c r="AY72" i="2"/>
  <c r="CC72" i="2" s="1"/>
  <c r="CE72" i="2" s="1"/>
  <c r="CJ270" i="2"/>
  <c r="DN270" i="2" s="1"/>
  <c r="DP270" i="2" s="1"/>
  <c r="AY248" i="2"/>
  <c r="CC248" i="2" s="1"/>
  <c r="CE248" i="2" s="1"/>
  <c r="CJ57" i="2"/>
  <c r="DN57" i="2" s="1"/>
  <c r="DP57" i="2" s="1"/>
  <c r="AY350" i="2"/>
  <c r="CC350" i="2" s="1"/>
  <c r="AY390" i="2"/>
  <c r="CC390" i="2" s="1"/>
  <c r="CE390" i="2" s="1"/>
  <c r="CJ91" i="2"/>
  <c r="DN91" i="2" s="1"/>
  <c r="DP91" i="2" s="1"/>
  <c r="DU270" i="2"/>
  <c r="EY270" i="2" s="1"/>
  <c r="FA270" i="2" s="1"/>
  <c r="CJ395" i="2"/>
  <c r="DN395" i="2" s="1"/>
  <c r="DP395" i="2" s="1"/>
  <c r="CJ356" i="2"/>
  <c r="DN356" i="2" s="1"/>
  <c r="DP356" i="2" s="1"/>
  <c r="AY291" i="2"/>
  <c r="CJ227" i="2"/>
  <c r="DN227" i="2" s="1"/>
  <c r="DP227" i="2" s="1"/>
  <c r="AY293" i="2"/>
  <c r="CC293" i="2" s="1"/>
  <c r="CE293" i="2" s="1"/>
  <c r="DU100" i="2"/>
  <c r="EY100" i="2" s="1"/>
  <c r="FA100" i="2" s="1"/>
  <c r="CM84" i="2"/>
  <c r="CJ290" i="2"/>
  <c r="DN290" i="2" s="1"/>
  <c r="DP290" i="2" s="1"/>
  <c r="AY52" i="2"/>
  <c r="CC52" i="2" s="1"/>
  <c r="CE52" i="2" s="1"/>
  <c r="CJ73" i="2"/>
  <c r="CJ221" i="2"/>
  <c r="DN221" i="2" s="1"/>
  <c r="DP221" i="2" s="1"/>
  <c r="DU223" i="2"/>
  <c r="EY223" i="2" s="1"/>
  <c r="FA223" i="2" s="1"/>
  <c r="AY358" i="2"/>
  <c r="CC358" i="2" s="1"/>
  <c r="CJ239" i="2"/>
  <c r="DN239" i="2" s="1"/>
  <c r="DP239" i="2" s="1"/>
  <c r="GQ230" i="2"/>
  <c r="HU230" i="2" s="1"/>
  <c r="HW230" i="2" s="1"/>
  <c r="AY65" i="2"/>
  <c r="CC65" i="2" s="1"/>
  <c r="CE65" i="2" s="1"/>
  <c r="DU219" i="2"/>
  <c r="AY259" i="2"/>
  <c r="CC259" i="2" s="1"/>
  <c r="CE259" i="2" s="1"/>
  <c r="BB99" i="2"/>
  <c r="CJ240" i="2"/>
  <c r="DN240" i="2" s="1"/>
  <c r="DP240" i="2" s="1"/>
  <c r="BB108" i="2"/>
  <c r="CJ242" i="2"/>
  <c r="DN242" i="2" s="1"/>
  <c r="DP242" i="2" s="1"/>
  <c r="AY385" i="2"/>
  <c r="CC385" i="2" s="1"/>
  <c r="CE385" i="2" s="1"/>
  <c r="CJ113" i="2"/>
  <c r="DN113" i="2" s="1"/>
  <c r="DP113" i="2" s="1"/>
  <c r="AY74" i="2"/>
  <c r="CC74" i="2" s="1"/>
  <c r="CE74" i="2" s="1"/>
  <c r="CJ118" i="2"/>
  <c r="DN118" i="2" s="1"/>
  <c r="DP118" i="2" s="1"/>
  <c r="AY107" i="2"/>
  <c r="CC107" i="2" s="1"/>
  <c r="CE107" i="2" s="1"/>
  <c r="CJ285" i="2"/>
  <c r="DN285" i="2" s="1"/>
  <c r="DP285" i="2" s="1"/>
  <c r="CJ46" i="2"/>
  <c r="DN46" i="2" s="1"/>
  <c r="CJ102" i="2"/>
  <c r="DN102" i="2" s="1"/>
  <c r="DP102" i="2" s="1"/>
  <c r="CJ138" i="2"/>
  <c r="DN138" i="2" s="1"/>
  <c r="DP138" i="2" s="1"/>
  <c r="AY210" i="2"/>
  <c r="CC210" i="2" s="1"/>
  <c r="CE210" i="2" s="1"/>
  <c r="DX376" i="2"/>
  <c r="DU361" i="2"/>
  <c r="EY361" i="2" s="1"/>
  <c r="FA361" i="2" s="1"/>
  <c r="AY260" i="2"/>
  <c r="CC260" i="2" s="1"/>
  <c r="CE260" i="2" s="1"/>
  <c r="CJ275" i="2"/>
  <c r="AY133" i="2"/>
  <c r="CC133" i="2" s="1"/>
  <c r="CE133" i="2" s="1"/>
  <c r="CJ389" i="2"/>
  <c r="DN389" i="2" s="1"/>
  <c r="DP389" i="2" s="1"/>
  <c r="CM122" i="2"/>
  <c r="CM73" i="2"/>
  <c r="BB394" i="2"/>
  <c r="GQ368" i="2"/>
  <c r="HU368" i="2" s="1"/>
  <c r="HW368" i="2" s="1"/>
  <c r="CJ222" i="2"/>
  <c r="DN222" i="2" s="1"/>
  <c r="DP222" i="2" s="1"/>
  <c r="CJ122" i="2"/>
  <c r="CM275" i="2"/>
  <c r="DU278" i="2"/>
  <c r="EY278" i="2" s="1"/>
  <c r="FA278" i="2" s="1"/>
  <c r="AY202" i="2"/>
  <c r="CC202" i="2" s="1"/>
  <c r="CE202" i="2" s="1"/>
  <c r="CJ84" i="2"/>
  <c r="AY364" i="2"/>
  <c r="CC364" i="2" s="1"/>
  <c r="CE364" i="2" s="1"/>
  <c r="AY394" i="2"/>
  <c r="N133" i="2"/>
  <c r="CJ380" i="2"/>
  <c r="DN380" i="2" s="1"/>
  <c r="DP380" i="2" s="1"/>
  <c r="DX102" i="2"/>
  <c r="AY357" i="2"/>
  <c r="CC357" i="2" s="1"/>
  <c r="CE357" i="2" s="1"/>
  <c r="BB291" i="2"/>
  <c r="CJ243" i="2"/>
  <c r="DN243" i="2" s="1"/>
  <c r="DP243" i="2" s="1"/>
  <c r="Q133" i="2"/>
  <c r="CJ351" i="2"/>
  <c r="CJ116" i="2"/>
  <c r="DU102" i="2"/>
  <c r="CJ110" i="2"/>
  <c r="CM366" i="2"/>
  <c r="AY282" i="2"/>
  <c r="CC282" i="2" s="1"/>
  <c r="CE282" i="2" s="1"/>
  <c r="CM54" i="2"/>
  <c r="CJ287" i="2"/>
  <c r="DN287" i="2" s="1"/>
  <c r="DP287" i="2" s="1"/>
  <c r="CM351" i="2"/>
  <c r="CJ366" i="2"/>
  <c r="CJ77" i="2"/>
  <c r="DN77" i="2" s="1"/>
  <c r="DP77" i="2" s="1"/>
  <c r="AY391" i="2"/>
  <c r="CC391" i="2" s="1"/>
  <c r="CE391" i="2" s="1"/>
  <c r="CM116" i="2"/>
  <c r="AY253" i="2"/>
  <c r="CC253" i="2" s="1"/>
  <c r="CE253" i="2" s="1"/>
  <c r="AY349" i="2"/>
  <c r="CC349" i="2" s="1"/>
  <c r="CE349" i="2" s="1"/>
  <c r="CJ105" i="2"/>
  <c r="DN105" i="2" s="1"/>
  <c r="DP105" i="2" s="1"/>
  <c r="CM218" i="2"/>
  <c r="GQ272" i="2"/>
  <c r="HU272" i="2" s="1"/>
  <c r="HW272" i="2" s="1"/>
  <c r="CM110" i="2"/>
  <c r="CJ37" i="2"/>
  <c r="DN37" i="2" s="1"/>
  <c r="DP37" i="2" s="1"/>
  <c r="FF24" i="2"/>
  <c r="GJ24" i="2" s="1"/>
  <c r="GL24" i="2" s="1"/>
  <c r="FF166" i="2"/>
  <c r="GJ166" i="2" s="1"/>
  <c r="GL166" i="2" s="1"/>
  <c r="AY33" i="2"/>
  <c r="CC33" i="2" s="1"/>
  <c r="CE33" i="2" s="1"/>
  <c r="FF40" i="2"/>
  <c r="GJ40" i="2" s="1"/>
  <c r="GL40" i="2" s="1"/>
  <c r="DU14" i="2"/>
  <c r="AY34" i="2"/>
  <c r="DU168" i="2"/>
  <c r="EY168" i="2" s="1"/>
  <c r="FA168" i="2" s="1"/>
  <c r="CJ31" i="2"/>
  <c r="DN31" i="2" s="1"/>
  <c r="DP31" i="2" s="1"/>
  <c r="CJ306" i="2"/>
  <c r="DN306" i="2" s="1"/>
  <c r="DP306" i="2" s="1"/>
  <c r="CJ145" i="2"/>
  <c r="DN145" i="2" s="1"/>
  <c r="DP145" i="2" s="1"/>
  <c r="FF41" i="2"/>
  <c r="GJ41" i="2" s="1"/>
  <c r="GL41" i="2" s="1"/>
  <c r="DU160" i="2"/>
  <c r="EY160" i="2" s="1"/>
  <c r="FA160" i="2" s="1"/>
  <c r="FF297" i="2"/>
  <c r="GJ297" i="2" s="1"/>
  <c r="GL297" i="2" s="1"/>
  <c r="FF308" i="2"/>
  <c r="GJ308" i="2" s="1"/>
  <c r="GL308" i="2" s="1"/>
  <c r="DU314" i="2"/>
  <c r="EY314" i="2" s="1"/>
  <c r="FA314" i="2" s="1"/>
  <c r="DU152" i="2"/>
  <c r="AY151" i="2"/>
  <c r="CC151" i="2" s="1"/>
  <c r="CE151" i="2" s="1"/>
  <c r="CJ35" i="2"/>
  <c r="DN35" i="2" s="1"/>
  <c r="DP35" i="2" s="1"/>
  <c r="CJ307" i="2"/>
  <c r="DN307" i="2" s="1"/>
  <c r="DP307" i="2" s="1"/>
  <c r="DU316" i="2"/>
  <c r="EY316" i="2" s="1"/>
  <c r="FA316" i="2" s="1"/>
  <c r="CJ27" i="2"/>
  <c r="DN27" i="2" s="1"/>
  <c r="DP27" i="2" s="1"/>
  <c r="CJ157" i="2"/>
  <c r="DN157" i="2" s="1"/>
  <c r="DP157" i="2" s="1"/>
  <c r="DU158" i="2"/>
  <c r="EY158" i="2" s="1"/>
  <c r="FA158" i="2" s="1"/>
  <c r="DU334" i="2"/>
  <c r="EY334" i="2" s="1"/>
  <c r="FA334" i="2" s="1"/>
  <c r="AY321" i="2"/>
  <c r="CC321" i="2" s="1"/>
  <c r="CE321" i="2" s="1"/>
  <c r="FF30" i="2"/>
  <c r="GJ30" i="2" s="1"/>
  <c r="GL30" i="2" s="1"/>
  <c r="CJ159" i="2"/>
  <c r="DN159" i="2" s="1"/>
  <c r="DP159" i="2" s="1"/>
  <c r="CJ303" i="2"/>
  <c r="DN303" i="2" s="1"/>
  <c r="DP303" i="2" s="1"/>
  <c r="DU155" i="2"/>
  <c r="EY155" i="2" s="1"/>
  <c r="FA155" i="2" s="1"/>
  <c r="CJ337" i="2"/>
  <c r="DN337" i="2" s="1"/>
  <c r="DP337" i="2" s="1"/>
  <c r="DU165" i="2"/>
  <c r="EY165" i="2" s="1"/>
  <c r="FA165" i="2" s="1"/>
  <c r="DU199" i="2"/>
  <c r="EY199" i="2" s="1"/>
  <c r="FA199" i="2" s="1"/>
  <c r="DU304" i="2"/>
  <c r="EY304" i="2" s="1"/>
  <c r="FA304" i="2" s="1"/>
  <c r="DX152" i="2"/>
  <c r="FI317" i="2"/>
  <c r="GQ36" i="2"/>
  <c r="HU36" i="2" s="1"/>
  <c r="HW36" i="2" s="1"/>
  <c r="DU178" i="2"/>
  <c r="EY178" i="2" s="1"/>
  <c r="FA178" i="2" s="1"/>
  <c r="DU311" i="2"/>
  <c r="EY311" i="2" s="1"/>
  <c r="FA311" i="2" s="1"/>
  <c r="FF338" i="2"/>
  <c r="GJ338" i="2" s="1"/>
  <c r="GL338" i="2" s="1"/>
  <c r="DU32" i="2"/>
  <c r="EY32" i="2" s="1"/>
  <c r="FA32" i="2" s="1"/>
  <c r="CJ296" i="2"/>
  <c r="DN296" i="2" s="1"/>
  <c r="DP296" i="2" s="1"/>
  <c r="FF193" i="2"/>
  <c r="GJ193" i="2" s="1"/>
  <c r="GL193" i="2" s="1"/>
  <c r="FF313" i="2"/>
  <c r="GJ313" i="2" s="1"/>
  <c r="GL313" i="2" s="1"/>
  <c r="FF26" i="2"/>
  <c r="GJ26" i="2" s="1"/>
  <c r="GL26" i="2" s="1"/>
  <c r="CJ36" i="2"/>
  <c r="DN36" i="2" s="1"/>
  <c r="DP36" i="2" s="1"/>
  <c r="DU342" i="2"/>
  <c r="EY342" i="2" s="1"/>
  <c r="FA342" i="2" s="1"/>
  <c r="FF305" i="2"/>
  <c r="GJ305" i="2" s="1"/>
  <c r="GL305" i="2" s="1"/>
  <c r="CJ19" i="2"/>
  <c r="DN19" i="2" s="1"/>
  <c r="DP19" i="2" s="1"/>
  <c r="CJ38" i="2"/>
  <c r="DN38" i="2" s="1"/>
  <c r="DP38" i="2" s="1"/>
  <c r="DU12" i="2"/>
  <c r="EY12" i="2" s="1"/>
  <c r="FA12" i="2" s="1"/>
  <c r="DU396" i="2"/>
  <c r="EY396" i="2" s="1"/>
  <c r="FA396" i="2" s="1"/>
  <c r="FF194" i="2"/>
  <c r="GJ194" i="2" s="1"/>
  <c r="GL194" i="2" s="1"/>
  <c r="CJ147" i="2"/>
  <c r="DN147" i="2" s="1"/>
  <c r="DP147" i="2" s="1"/>
  <c r="DU156" i="2"/>
  <c r="EY156" i="2" s="1"/>
  <c r="FA156" i="2" s="1"/>
  <c r="CJ16" i="2"/>
  <c r="DN16" i="2" s="1"/>
  <c r="DP16" i="2" s="1"/>
  <c r="DU18" i="2"/>
  <c r="EY18" i="2" s="1"/>
  <c r="FA18" i="2" s="1"/>
  <c r="FF331" i="2"/>
  <c r="GJ331" i="2" s="1"/>
  <c r="GL331" i="2" s="1"/>
  <c r="CJ148" i="2"/>
  <c r="DN148" i="2" s="1"/>
  <c r="DP148" i="2" s="1"/>
  <c r="FF302" i="2"/>
  <c r="GJ302" i="2" s="1"/>
  <c r="GL302" i="2" s="1"/>
  <c r="DU21" i="2"/>
  <c r="EY21" i="2" s="1"/>
  <c r="FA21" i="2" s="1"/>
  <c r="DU400" i="2"/>
  <c r="EY400" i="2" s="1"/>
  <c r="FA400" i="2" s="1"/>
  <c r="CJ144" i="2"/>
  <c r="DN144" i="2" s="1"/>
  <c r="DP144" i="2" s="1"/>
  <c r="FF169" i="2"/>
  <c r="GJ169" i="2" s="1"/>
  <c r="GL169" i="2" s="1"/>
  <c r="DU312" i="2"/>
  <c r="EY312" i="2" s="1"/>
  <c r="FA312" i="2" s="1"/>
  <c r="DU195" i="2"/>
  <c r="EY195" i="2" s="1"/>
  <c r="FA195" i="2" s="1"/>
  <c r="AY28" i="2"/>
  <c r="CC28" i="2" s="1"/>
  <c r="CE28" i="2" s="1"/>
  <c r="FF25" i="2"/>
  <c r="GJ25" i="2" s="1"/>
  <c r="GL25" i="2" s="1"/>
  <c r="CJ179" i="2"/>
  <c r="DN179" i="2" s="1"/>
  <c r="DP179" i="2" s="1"/>
  <c r="FF198" i="2"/>
  <c r="GJ198" i="2" s="1"/>
  <c r="GL198" i="2" s="1"/>
  <c r="CJ336" i="2"/>
  <c r="DN336" i="2" s="1"/>
  <c r="DP336" i="2" s="1"/>
  <c r="DU44" i="2"/>
  <c r="EY44" i="2" s="1"/>
  <c r="FA44" i="2" s="1"/>
  <c r="DU15" i="2"/>
  <c r="EY15" i="2" s="1"/>
  <c r="FA15" i="2" s="1"/>
  <c r="FF332" i="2"/>
  <c r="GJ332" i="2" s="1"/>
  <c r="GL332" i="2" s="1"/>
  <c r="DU13" i="2"/>
  <c r="EY13" i="2" s="1"/>
  <c r="FA13" i="2" s="1"/>
  <c r="DU398" i="2"/>
  <c r="EY398" i="2" s="1"/>
  <c r="FA398" i="2" s="1"/>
  <c r="FF167" i="2"/>
  <c r="GJ167" i="2" s="1"/>
  <c r="GL167" i="2" s="1"/>
  <c r="FF23" i="2"/>
  <c r="GJ23" i="2" s="1"/>
  <c r="GL23" i="2" s="1"/>
  <c r="CJ335" i="2"/>
  <c r="DN335" i="2" s="1"/>
  <c r="DP335" i="2" s="1"/>
  <c r="CJ17" i="2"/>
  <c r="DN17" i="2" s="1"/>
  <c r="DP17" i="2" s="1"/>
  <c r="FF317" i="2"/>
  <c r="DU399" i="2"/>
  <c r="EY399" i="2" s="1"/>
  <c r="FA399" i="2" s="1"/>
  <c r="CJ163" i="2"/>
  <c r="DN163" i="2" s="1"/>
  <c r="DP163" i="2" s="1"/>
  <c r="CJ140" i="2"/>
  <c r="DN140" i="2" s="1"/>
  <c r="DP140" i="2" s="1"/>
  <c r="CJ39" i="2"/>
  <c r="DN39" i="2" s="1"/>
  <c r="DP39" i="2" s="1"/>
  <c r="DX14" i="2"/>
  <c r="BB34" i="2"/>
  <c r="P316" i="15"/>
  <c r="T313" i="15"/>
  <c r="S313" i="15"/>
  <c r="R313" i="15"/>
  <c r="S316" i="15"/>
  <c r="R316" i="15"/>
  <c r="Q316" i="15"/>
  <c r="P313" i="15"/>
  <c r="O316" i="15"/>
  <c r="R315" i="15"/>
  <c r="P315" i="15"/>
  <c r="O315" i="15"/>
  <c r="S314" i="15"/>
  <c r="Q313" i="15"/>
  <c r="Q315" i="15"/>
  <c r="T314" i="15"/>
  <c r="R314" i="15"/>
  <c r="Q314" i="15"/>
  <c r="P314" i="15"/>
  <c r="T315" i="15"/>
  <c r="Q312" i="15"/>
  <c r="S311" i="15"/>
  <c r="T309" i="15"/>
  <c r="R308" i="15"/>
  <c r="P305" i="15"/>
  <c r="O259" i="15"/>
  <c r="P311" i="15"/>
  <c r="Q308" i="15"/>
  <c r="T306" i="15"/>
  <c r="P264" i="15"/>
  <c r="T312" i="15"/>
  <c r="S306" i="15"/>
  <c r="T264" i="15"/>
  <c r="R260" i="15"/>
  <c r="R312" i="15"/>
  <c r="R306" i="15"/>
  <c r="O265" i="15"/>
  <c r="T305" i="15"/>
  <c r="P259" i="15"/>
  <c r="P312" i="15"/>
  <c r="S305" i="15"/>
  <c r="R305" i="15"/>
  <c r="O311" i="15"/>
  <c r="Q259" i="15"/>
  <c r="O312" i="15"/>
  <c r="T258" i="15"/>
  <c r="T311" i="15"/>
  <c r="Q305" i="15"/>
  <c r="R311" i="15"/>
  <c r="S309" i="15"/>
  <c r="P307" i="15"/>
  <c r="O307" i="15"/>
  <c r="R309" i="15"/>
  <c r="Q309" i="15"/>
  <c r="P309" i="15"/>
  <c r="Q306" i="15"/>
  <c r="T308" i="15"/>
  <c r="P306" i="15"/>
  <c r="S308" i="15"/>
  <c r="T310" i="15"/>
  <c r="P308" i="15"/>
  <c r="S310" i="15"/>
  <c r="R310" i="15"/>
  <c r="T307" i="15"/>
  <c r="Q310" i="15"/>
  <c r="S307" i="15"/>
  <c r="P310" i="15"/>
  <c r="R307" i="15"/>
  <c r="O267" i="15"/>
  <c r="R265" i="15"/>
  <c r="P267" i="15"/>
  <c r="O264" i="15"/>
  <c r="Q267" i="15"/>
  <c r="T259" i="15"/>
  <c r="R259" i="15"/>
  <c r="Q261" i="15"/>
  <c r="S260" i="15"/>
  <c r="T268" i="15"/>
  <c r="O260" i="15"/>
  <c r="P260" i="15"/>
  <c r="R268" i="15"/>
  <c r="P268" i="15"/>
  <c r="O268" i="15"/>
  <c r="S262" i="15"/>
  <c r="T266" i="15"/>
  <c r="S266" i="15"/>
  <c r="R266" i="15"/>
  <c r="S264" i="15"/>
  <c r="R264" i="15"/>
  <c r="S263" i="15"/>
  <c r="T262" i="15"/>
  <c r="R261" i="15"/>
  <c r="Q262" i="15"/>
  <c r="P262" i="15"/>
  <c r="Q265" i="15"/>
  <c r="P261" i="15"/>
  <c r="O261" i="15"/>
  <c r="S268" i="15"/>
  <c r="T260" i="15"/>
  <c r="T267" i="15"/>
  <c r="S267" i="15"/>
  <c r="T263" i="15"/>
  <c r="Q258" i="15"/>
  <c r="S258" i="15"/>
  <c r="R258" i="15"/>
  <c r="Q266" i="15"/>
  <c r="P266" i="15"/>
  <c r="R263" i="15"/>
  <c r="P258" i="15"/>
  <c r="Q263" i="15"/>
  <c r="T265" i="15"/>
  <c r="P263" i="15"/>
  <c r="S265" i="15"/>
  <c r="R262" i="15"/>
  <c r="T261" i="15"/>
  <c r="GJ334" i="2" l="1"/>
  <c r="GL334" i="2" s="1"/>
  <c r="EY102" i="2"/>
  <c r="FA102" i="2" s="1"/>
  <c r="DP348" i="2"/>
  <c r="FA238" i="2"/>
  <c r="DP46" i="2"/>
  <c r="CE358" i="2"/>
  <c r="CE350" i="2"/>
  <c r="CE258" i="2"/>
  <c r="DN84" i="2"/>
  <c r="DP84" i="2" s="1"/>
  <c r="EY219" i="2"/>
  <c r="FA219" i="2" s="1"/>
  <c r="DN122" i="2"/>
  <c r="DP122" i="2" s="1"/>
  <c r="GJ317" i="2"/>
  <c r="GL317" i="2" s="1"/>
  <c r="DN275" i="2"/>
  <c r="DP275" i="2" s="1"/>
  <c r="EY144" i="2"/>
  <c r="FA144" i="2" s="1"/>
  <c r="DN366" i="2"/>
  <c r="DP366" i="2" s="1"/>
  <c r="AR133" i="2"/>
  <c r="AT133" i="2" s="1"/>
  <c r="CC394" i="2"/>
  <c r="CE394" i="2" s="1"/>
  <c r="DN116" i="2"/>
  <c r="DP116" i="2" s="1"/>
  <c r="DU70" i="2"/>
  <c r="EY70" i="2" s="1"/>
  <c r="FA70" i="2" s="1"/>
  <c r="FF104" i="2"/>
  <c r="GJ104" i="2" s="1"/>
  <c r="GL104" i="2" s="1"/>
  <c r="AY89" i="2"/>
  <c r="CC89" i="2" s="1"/>
  <c r="CE89" i="2" s="1"/>
  <c r="CJ281" i="2"/>
  <c r="DN281" i="2" s="1"/>
  <c r="DP281" i="2" s="1"/>
  <c r="FF125" i="2"/>
  <c r="GJ125" i="2" s="1"/>
  <c r="GL125" i="2" s="1"/>
  <c r="FF223" i="2"/>
  <c r="GJ223" i="2" s="1"/>
  <c r="GL223" i="2" s="1"/>
  <c r="DU75" i="2"/>
  <c r="EY75" i="2" s="1"/>
  <c r="FA75" i="2" s="1"/>
  <c r="FF66" i="2"/>
  <c r="GJ66" i="2" s="1"/>
  <c r="GL66" i="2" s="1"/>
  <c r="FF389" i="2"/>
  <c r="GJ389" i="2" s="1"/>
  <c r="GL389" i="2" s="1"/>
  <c r="DX395" i="2"/>
  <c r="FF52" i="2"/>
  <c r="GJ52" i="2" s="1"/>
  <c r="GL52" i="2" s="1"/>
  <c r="DU252" i="2"/>
  <c r="EY252" i="2" s="1"/>
  <c r="DU359" i="2"/>
  <c r="EY359" i="2" s="1"/>
  <c r="FA359" i="2" s="1"/>
  <c r="FF351" i="2"/>
  <c r="GJ351" i="2" s="1"/>
  <c r="GL351" i="2" s="1"/>
  <c r="CJ215" i="2"/>
  <c r="DN215" i="2" s="1"/>
  <c r="DP215" i="2" s="1"/>
  <c r="FF109" i="2"/>
  <c r="GJ109" i="2" s="1"/>
  <c r="GL109" i="2" s="1"/>
  <c r="CJ367" i="2"/>
  <c r="DN367" i="2" s="1"/>
  <c r="DP367" i="2" s="1"/>
  <c r="FF387" i="2"/>
  <c r="GJ387" i="2" s="1"/>
  <c r="GL387" i="2" s="1"/>
  <c r="FF275" i="2"/>
  <c r="GJ275" i="2" s="1"/>
  <c r="GL275" i="2" s="1"/>
  <c r="FF121" i="2"/>
  <c r="GJ121" i="2" s="1"/>
  <c r="GL121" i="2" s="1"/>
  <c r="DU290" i="2"/>
  <c r="EY290" i="2" s="1"/>
  <c r="FA290" i="2" s="1"/>
  <c r="DU240" i="2"/>
  <c r="EY240" i="2" s="1"/>
  <c r="FA240" i="2" s="1"/>
  <c r="FF86" i="2"/>
  <c r="GJ86" i="2" s="1"/>
  <c r="GL86" i="2" s="1"/>
  <c r="DU266" i="2"/>
  <c r="EY266" i="2" s="1"/>
  <c r="FA266" i="2" s="1"/>
  <c r="DU81" i="2"/>
  <c r="DU262" i="2"/>
  <c r="EY262" i="2" s="1"/>
  <c r="FA262" i="2" s="1"/>
  <c r="DU72" i="2"/>
  <c r="EY72" i="2" s="1"/>
  <c r="FA72" i="2" s="1"/>
  <c r="DU78" i="2"/>
  <c r="EY78" i="2" s="1"/>
  <c r="FA78" i="2" s="1"/>
  <c r="DU76" i="2"/>
  <c r="EY76" i="2" s="1"/>
  <c r="FA76" i="2" s="1"/>
  <c r="FF233" i="2"/>
  <c r="GJ233" i="2" s="1"/>
  <c r="GL233" i="2" s="1"/>
  <c r="CJ220" i="2"/>
  <c r="DN220" i="2" s="1"/>
  <c r="DP220" i="2" s="1"/>
  <c r="FF102" i="2"/>
  <c r="GJ102" i="2" s="1"/>
  <c r="GL102" i="2" s="1"/>
  <c r="FF77" i="2"/>
  <c r="GJ77" i="2" s="1"/>
  <c r="GL77" i="2" s="1"/>
  <c r="DU251" i="2"/>
  <c r="EY251" i="2" s="1"/>
  <c r="FA251" i="2" s="1"/>
  <c r="FF376" i="2"/>
  <c r="GJ376" i="2" s="1"/>
  <c r="GL376" i="2" s="1"/>
  <c r="FF375" i="2"/>
  <c r="GJ375" i="2" s="1"/>
  <c r="GL375" i="2" s="1"/>
  <c r="FF247" i="2"/>
  <c r="GJ247" i="2" s="1"/>
  <c r="GL247" i="2" s="1"/>
  <c r="FF390" i="2"/>
  <c r="GJ390" i="2" s="1"/>
  <c r="GL390" i="2" s="1"/>
  <c r="DU117" i="2"/>
  <c r="EY117" i="2" s="1"/>
  <c r="FA117" i="2" s="1"/>
  <c r="CJ97" i="2"/>
  <c r="DN97" i="2" s="1"/>
  <c r="DP97" i="2" s="1"/>
  <c r="DU250" i="2"/>
  <c r="EY250" i="2" s="1"/>
  <c r="FA250" i="2" s="1"/>
  <c r="FF53" i="2"/>
  <c r="GJ53" i="2" s="1"/>
  <c r="GL53" i="2" s="1"/>
  <c r="GQ48" i="2"/>
  <c r="HU48" i="2" s="1"/>
  <c r="HW48" i="2" s="1"/>
  <c r="FF361" i="2"/>
  <c r="GJ361" i="2" s="1"/>
  <c r="GL361" i="2" s="1"/>
  <c r="DU365" i="2"/>
  <c r="EY365" i="2" s="1"/>
  <c r="FA365" i="2" s="1"/>
  <c r="FF278" i="2"/>
  <c r="GJ278" i="2" s="1"/>
  <c r="GL278" i="2" s="1"/>
  <c r="CJ119" i="2"/>
  <c r="DN119" i="2" s="1"/>
  <c r="DP119" i="2" s="1"/>
  <c r="FF136" i="2"/>
  <c r="GJ136" i="2" s="1"/>
  <c r="GL136" i="2" s="1"/>
  <c r="FF276" i="2"/>
  <c r="GJ276" i="2" s="1"/>
  <c r="GL276" i="2" s="1"/>
  <c r="CJ82" i="2"/>
  <c r="DN82" i="2" s="1"/>
  <c r="DP82" i="2" s="1"/>
  <c r="CJ210" i="2"/>
  <c r="DN210" i="2" s="1"/>
  <c r="DP210" i="2" s="1"/>
  <c r="DU91" i="2"/>
  <c r="EY91" i="2" s="1"/>
  <c r="FA91" i="2" s="1"/>
  <c r="CJ99" i="2"/>
  <c r="DN99" i="2" s="1"/>
  <c r="FF107" i="2"/>
  <c r="GJ107" i="2" s="1"/>
  <c r="GL107" i="2" s="1"/>
  <c r="DU267" i="2"/>
  <c r="EY267" i="2" s="1"/>
  <c r="FA267" i="2" s="1"/>
  <c r="DU346" i="2"/>
  <c r="EY346" i="2" s="1"/>
  <c r="FA346" i="2" s="1"/>
  <c r="FF120" i="2"/>
  <c r="GJ120" i="2" s="1"/>
  <c r="GL120" i="2" s="1"/>
  <c r="FF352" i="2"/>
  <c r="DU116" i="2"/>
  <c r="EY116" i="2" s="1"/>
  <c r="FA116" i="2" s="1"/>
  <c r="CJ228" i="2"/>
  <c r="DN228" i="2" s="1"/>
  <c r="DP228" i="2" s="1"/>
  <c r="DU212" i="2"/>
  <c r="EY212" i="2" s="1"/>
  <c r="DU62" i="2"/>
  <c r="EY62" i="2" s="1"/>
  <c r="FA62" i="2" s="1"/>
  <c r="DU85" i="2"/>
  <c r="EY85" i="2" s="1"/>
  <c r="FA85" i="2" s="1"/>
  <c r="DU103" i="2"/>
  <c r="EY103" i="2" s="1"/>
  <c r="FA103" i="2" s="1"/>
  <c r="DU347" i="2"/>
  <c r="EY347" i="2" s="1"/>
  <c r="FA347" i="2" s="1"/>
  <c r="FF67" i="2"/>
  <c r="GJ67" i="2" s="1"/>
  <c r="GL67" i="2" s="1"/>
  <c r="DU392" i="2"/>
  <c r="EY392" i="2" s="1"/>
  <c r="FA392" i="2" s="1"/>
  <c r="FF208" i="2"/>
  <c r="GJ208" i="2" s="1"/>
  <c r="DU94" i="2"/>
  <c r="EY94" i="2" s="1"/>
  <c r="FA94" i="2" s="1"/>
  <c r="DU349" i="2"/>
  <c r="EY349" i="2" s="1"/>
  <c r="FA349" i="2" s="1"/>
  <c r="FF68" i="2"/>
  <c r="GJ68" i="2" s="1"/>
  <c r="GL68" i="2" s="1"/>
  <c r="FF279" i="2"/>
  <c r="GJ279" i="2" s="1"/>
  <c r="GL279" i="2" s="1"/>
  <c r="DU203" i="2"/>
  <c r="EY203" i="2" s="1"/>
  <c r="FA203" i="2" s="1"/>
  <c r="FF131" i="2"/>
  <c r="GJ131" i="2" s="1"/>
  <c r="GL131" i="2" s="1"/>
  <c r="FF241" i="2"/>
  <c r="GJ241" i="2" s="1"/>
  <c r="GL241" i="2" s="1"/>
  <c r="FF245" i="2"/>
  <c r="GJ245" i="2" s="1"/>
  <c r="GL245" i="2" s="1"/>
  <c r="FF292" i="2"/>
  <c r="GJ292" i="2" s="1"/>
  <c r="GL292" i="2" s="1"/>
  <c r="DU286" i="2"/>
  <c r="EY286" i="2" s="1"/>
  <c r="FA286" i="2" s="1"/>
  <c r="FF100" i="2"/>
  <c r="GJ100" i="2" s="1"/>
  <c r="GL100" i="2" s="1"/>
  <c r="FF64" i="2"/>
  <c r="GJ64" i="2" s="1"/>
  <c r="GL64" i="2" s="1"/>
  <c r="FF126" i="2"/>
  <c r="GJ126" i="2" s="1"/>
  <c r="GL126" i="2" s="1"/>
  <c r="FF217" i="2"/>
  <c r="GJ217" i="2" s="1"/>
  <c r="GL217" i="2" s="1"/>
  <c r="CJ96" i="2"/>
  <c r="DN96" i="2" s="1"/>
  <c r="DP96" i="2" s="1"/>
  <c r="FF366" i="2"/>
  <c r="GJ366" i="2" s="1"/>
  <c r="GL366" i="2" s="1"/>
  <c r="FF69" i="2"/>
  <c r="GJ69" i="2" s="1"/>
  <c r="GL69" i="2" s="1"/>
  <c r="DU74" i="2"/>
  <c r="EY74" i="2" s="1"/>
  <c r="FA74" i="2" s="1"/>
  <c r="DU268" i="2"/>
  <c r="EY268" i="2" s="1"/>
  <c r="FA268" i="2" s="1"/>
  <c r="FF54" i="2"/>
  <c r="GJ54" i="2" s="1"/>
  <c r="GL54" i="2" s="1"/>
  <c r="DU122" i="2"/>
  <c r="EY122" i="2" s="1"/>
  <c r="FA122" i="2" s="1"/>
  <c r="FF242" i="2"/>
  <c r="GJ242" i="2" s="1"/>
  <c r="GL242" i="2" s="1"/>
  <c r="DU73" i="2"/>
  <c r="EY73" i="2" s="1"/>
  <c r="FA73" i="2" s="1"/>
  <c r="FF244" i="2"/>
  <c r="GJ244" i="2" s="1"/>
  <c r="GL244" i="2" s="1"/>
  <c r="DU64" i="2"/>
  <c r="EY64" i="2" s="1"/>
  <c r="FA64" i="2" s="1"/>
  <c r="DU261" i="2"/>
  <c r="EY261" i="2" s="1"/>
  <c r="FA261" i="2" s="1"/>
  <c r="CJ232" i="2"/>
  <c r="DN232" i="2" s="1"/>
  <c r="DP232" i="2" s="1"/>
  <c r="DU128" i="2"/>
  <c r="EY128" i="2" s="1"/>
  <c r="FA128" i="2" s="1"/>
  <c r="FF269" i="2"/>
  <c r="GJ269" i="2" s="1"/>
  <c r="GL269" i="2" s="1"/>
  <c r="FF238" i="2"/>
  <c r="GJ238" i="2" s="1"/>
  <c r="DU280" i="2"/>
  <c r="EY280" i="2" s="1"/>
  <c r="FA280" i="2" s="1"/>
  <c r="FF239" i="2"/>
  <c r="GJ239" i="2" s="1"/>
  <c r="GL239" i="2" s="1"/>
  <c r="FF65" i="2"/>
  <c r="GJ65" i="2" s="1"/>
  <c r="GL65" i="2" s="1"/>
  <c r="CJ364" i="2"/>
  <c r="DN364" i="2" s="1"/>
  <c r="DP364" i="2" s="1"/>
  <c r="DU84" i="2"/>
  <c r="EY84" i="2" s="1"/>
  <c r="FA84" i="2" s="1"/>
  <c r="DU226" i="2"/>
  <c r="EY226" i="2" s="1"/>
  <c r="FA226" i="2" s="1"/>
  <c r="CJ123" i="2"/>
  <c r="DN123" i="2" s="1"/>
  <c r="DP123" i="2" s="1"/>
  <c r="DX81" i="2"/>
  <c r="CJ83" i="2"/>
  <c r="DN83" i="2" s="1"/>
  <c r="DP83" i="2" s="1"/>
  <c r="FF130" i="2"/>
  <c r="GJ130" i="2" s="1"/>
  <c r="GL130" i="2" s="1"/>
  <c r="DU283" i="2"/>
  <c r="EY283" i="2" s="1"/>
  <c r="FA283" i="2" s="1"/>
  <c r="DU345" i="2"/>
  <c r="EY345" i="2" s="1"/>
  <c r="FA345" i="2" s="1"/>
  <c r="DU234" i="2"/>
  <c r="EY234" i="2" s="1"/>
  <c r="FA234" i="2" s="1"/>
  <c r="CJ378" i="2"/>
  <c r="DN378" i="2" s="1"/>
  <c r="DP378" i="2" s="1"/>
  <c r="DU360" i="2"/>
  <c r="EY360" i="2" s="1"/>
  <c r="FA360" i="2" s="1"/>
  <c r="FI352" i="2"/>
  <c r="DU222" i="2"/>
  <c r="EY222" i="2" s="1"/>
  <c r="FA222" i="2" s="1"/>
  <c r="FF386" i="2"/>
  <c r="GJ386" i="2" s="1"/>
  <c r="GL386" i="2" s="1"/>
  <c r="FF385" i="2"/>
  <c r="GJ385" i="2" s="1"/>
  <c r="GL385" i="2" s="1"/>
  <c r="GQ47" i="2"/>
  <c r="HU47" i="2" s="1"/>
  <c r="HW47" i="2" s="1"/>
  <c r="FF356" i="2"/>
  <c r="GJ356" i="2" s="1"/>
  <c r="GL356" i="2" s="1"/>
  <c r="DU101" i="2"/>
  <c r="EY101" i="2" s="1"/>
  <c r="FA101" i="2" s="1"/>
  <c r="FF235" i="2"/>
  <c r="GJ235" i="2" s="1"/>
  <c r="GL235" i="2" s="1"/>
  <c r="DU56" i="2"/>
  <c r="EY56" i="2" s="1"/>
  <c r="FA56" i="2" s="1"/>
  <c r="CJ237" i="2"/>
  <c r="DN237" i="2" s="1"/>
  <c r="DP237" i="2" s="1"/>
  <c r="DU55" i="2"/>
  <c r="EY55" i="2" s="1"/>
  <c r="FA55" i="2" s="1"/>
  <c r="DU269" i="2"/>
  <c r="EY269" i="2" s="1"/>
  <c r="FA269" i="2" s="1"/>
  <c r="FF224" i="2"/>
  <c r="GJ224" i="2" s="1"/>
  <c r="GL224" i="2" s="1"/>
  <c r="CJ368" i="2"/>
  <c r="DN368" i="2" s="1"/>
  <c r="DP368" i="2" s="1"/>
  <c r="DU227" i="2"/>
  <c r="EY227" i="2" s="1"/>
  <c r="FA227" i="2" s="1"/>
  <c r="DU202" i="2"/>
  <c r="EY202" i="2" s="1"/>
  <c r="FA202" i="2" s="1"/>
  <c r="DU236" i="2"/>
  <c r="EY236" i="2" s="1"/>
  <c r="FA236" i="2" s="1"/>
  <c r="CJ293" i="2"/>
  <c r="DN293" i="2" s="1"/>
  <c r="DP293" i="2" s="1"/>
  <c r="DU379" i="2"/>
  <c r="EY379" i="2" s="1"/>
  <c r="FA379" i="2" s="1"/>
  <c r="DU57" i="2"/>
  <c r="EY57" i="2" s="1"/>
  <c r="FA57" i="2" s="1"/>
  <c r="CJ369" i="2"/>
  <c r="DN369" i="2" s="1"/>
  <c r="DP369" i="2" s="1"/>
  <c r="DU50" i="2"/>
  <c r="EY50" i="2" s="1"/>
  <c r="FA50" i="2" s="1"/>
  <c r="FF79" i="2"/>
  <c r="GJ79" i="2" s="1"/>
  <c r="GL79" i="2" s="1"/>
  <c r="FF221" i="2"/>
  <c r="GJ221" i="2" s="1"/>
  <c r="GL221" i="2" s="1"/>
  <c r="DU105" i="2"/>
  <c r="EY105" i="2" s="1"/>
  <c r="FA105" i="2" s="1"/>
  <c r="CJ108" i="2"/>
  <c r="DN108" i="2" s="1"/>
  <c r="DP108" i="2" s="1"/>
  <c r="DU92" i="2"/>
  <c r="EY92" i="2" s="1"/>
  <c r="FA92" i="2" s="1"/>
  <c r="DU263" i="2"/>
  <c r="EY263" i="2" s="1"/>
  <c r="FA263" i="2" s="1"/>
  <c r="DU59" i="2"/>
  <c r="EY59" i="2" s="1"/>
  <c r="FA59" i="2" s="1"/>
  <c r="DU264" i="2"/>
  <c r="EY264" i="2" s="1"/>
  <c r="FA264" i="2" s="1"/>
  <c r="FF71" i="2"/>
  <c r="GJ71" i="2" s="1"/>
  <c r="GL71" i="2" s="1"/>
  <c r="FF60" i="2"/>
  <c r="GJ60" i="2" s="1"/>
  <c r="GL60" i="2" s="1"/>
  <c r="FF270" i="2"/>
  <c r="GJ270" i="2" s="1"/>
  <c r="GL270" i="2" s="1"/>
  <c r="DU60" i="2"/>
  <c r="EY60" i="2" s="1"/>
  <c r="FA60" i="2" s="1"/>
  <c r="FF246" i="2"/>
  <c r="GJ246" i="2" s="1"/>
  <c r="GL246" i="2" s="1"/>
  <c r="FF350" i="2"/>
  <c r="GJ350" i="2" s="1"/>
  <c r="DU58" i="2"/>
  <c r="EY58" i="2" s="1"/>
  <c r="FA58" i="2" s="1"/>
  <c r="FF383" i="2"/>
  <c r="GJ383" i="2" s="1"/>
  <c r="GL383" i="2" s="1"/>
  <c r="DU207" i="2"/>
  <c r="EY207" i="2" s="1"/>
  <c r="FA207" i="2" s="1"/>
  <c r="DU386" i="2"/>
  <c r="EY386" i="2" s="1"/>
  <c r="FA386" i="2" s="1"/>
  <c r="DU205" i="2"/>
  <c r="EY205" i="2" s="1"/>
  <c r="DU253" i="2"/>
  <c r="EY253" i="2" s="1"/>
  <c r="FA253" i="2" s="1"/>
  <c r="FF225" i="2"/>
  <c r="GJ225" i="2" s="1"/>
  <c r="GL225" i="2" s="1"/>
  <c r="DU273" i="2"/>
  <c r="EY273" i="2" s="1"/>
  <c r="FA273" i="2" s="1"/>
  <c r="CJ204" i="2"/>
  <c r="DN204" i="2" s="1"/>
  <c r="DP204" i="2" s="1"/>
  <c r="CJ259" i="2"/>
  <c r="DN259" i="2" s="1"/>
  <c r="DP259" i="2" s="1"/>
  <c r="DU260" i="2"/>
  <c r="EY260" i="2" s="1"/>
  <c r="FA260" i="2" s="1"/>
  <c r="FI98" i="2"/>
  <c r="FF277" i="2"/>
  <c r="GJ277" i="2" s="1"/>
  <c r="GL277" i="2" s="1"/>
  <c r="DU265" i="2"/>
  <c r="EY265" i="2" s="1"/>
  <c r="FA265" i="2" s="1"/>
  <c r="FF388" i="2"/>
  <c r="GJ388" i="2" s="1"/>
  <c r="GL388" i="2" s="1"/>
  <c r="DU138" i="2"/>
  <c r="EY138" i="2" s="1"/>
  <c r="FA138" i="2" s="1"/>
  <c r="FF124" i="2"/>
  <c r="GJ124" i="2" s="1"/>
  <c r="GL124" i="2" s="1"/>
  <c r="DU395" i="2"/>
  <c r="CJ229" i="2"/>
  <c r="DN229" i="2" s="1"/>
  <c r="DP229" i="2" s="1"/>
  <c r="DU206" i="2"/>
  <c r="EY206" i="2" s="1"/>
  <c r="FA206" i="2" s="1"/>
  <c r="DU248" i="2"/>
  <c r="EY248" i="2" s="1"/>
  <c r="FA248" i="2" s="1"/>
  <c r="DU63" i="2"/>
  <c r="DU282" i="2"/>
  <c r="EY282" i="2" s="1"/>
  <c r="FA282" i="2" s="1"/>
  <c r="FF243" i="2"/>
  <c r="GJ243" i="2" s="1"/>
  <c r="GL243" i="2" s="1"/>
  <c r="DU110" i="2"/>
  <c r="EY110" i="2" s="1"/>
  <c r="FA110" i="2" s="1"/>
  <c r="DU255" i="2"/>
  <c r="EY255" i="2" s="1"/>
  <c r="FA255" i="2" s="1"/>
  <c r="DX63" i="2"/>
  <c r="CJ214" i="2"/>
  <c r="DN214" i="2" s="1"/>
  <c r="DP214" i="2" s="1"/>
  <c r="FI363" i="2"/>
  <c r="FF115" i="2"/>
  <c r="GJ115" i="2" s="1"/>
  <c r="GL115" i="2" s="1"/>
  <c r="DU381" i="2"/>
  <c r="EY381" i="2" s="1"/>
  <c r="FA381" i="2" s="1"/>
  <c r="FF374" i="2"/>
  <c r="GJ374" i="2" s="1"/>
  <c r="GL374" i="2" s="1"/>
  <c r="DU287" i="2"/>
  <c r="EY287" i="2" s="1"/>
  <c r="FA287" i="2" s="1"/>
  <c r="DU249" i="2"/>
  <c r="EY249" i="2" s="1"/>
  <c r="FA249" i="2" s="1"/>
  <c r="FF254" i="2"/>
  <c r="GJ254" i="2" s="1"/>
  <c r="GL254" i="2" s="1"/>
  <c r="FF391" i="2"/>
  <c r="GJ391" i="2" s="1"/>
  <c r="GL391" i="2" s="1"/>
  <c r="CJ261" i="2"/>
  <c r="DN261" i="2" s="1"/>
  <c r="DP261" i="2" s="1"/>
  <c r="FF363" i="2"/>
  <c r="DU291" i="2"/>
  <c r="EY291" i="2" s="1"/>
  <c r="FA291" i="2" s="1"/>
  <c r="FF219" i="2"/>
  <c r="GJ219" i="2" s="1"/>
  <c r="GL219" i="2" s="1"/>
  <c r="DU112" i="2"/>
  <c r="EY112" i="2" s="1"/>
  <c r="FA112" i="2" s="1"/>
  <c r="FF98" i="2"/>
  <c r="CJ362" i="2"/>
  <c r="DN362" i="2" s="1"/>
  <c r="DP362" i="2" s="1"/>
  <c r="DU348" i="2"/>
  <c r="EY348" i="2" s="1"/>
  <c r="GQ354" i="2"/>
  <c r="HU354" i="2" s="1"/>
  <c r="HW354" i="2" s="1"/>
  <c r="DU218" i="2"/>
  <c r="EY218" i="2" s="1"/>
  <c r="FA218" i="2" s="1"/>
  <c r="GQ344" i="2"/>
  <c r="HU344" i="2" s="1"/>
  <c r="HW344" i="2" s="1"/>
  <c r="IB201" i="2"/>
  <c r="IE201" i="2"/>
  <c r="CC291" i="2"/>
  <c r="CE291" i="2" s="1"/>
  <c r="CC99" i="2"/>
  <c r="CJ313" i="2"/>
  <c r="DN313" i="2" s="1"/>
  <c r="DP313" i="2" s="1"/>
  <c r="CJ193" i="2"/>
  <c r="AY177" i="2"/>
  <c r="CC177" i="2" s="1"/>
  <c r="CE177" i="2" s="1"/>
  <c r="DU193" i="2"/>
  <c r="EY193" i="2" s="1"/>
  <c r="FA193" i="2" s="1"/>
  <c r="Q339" i="2"/>
  <c r="AY196" i="2"/>
  <c r="CC196" i="2" s="1"/>
  <c r="CE196" i="2" s="1"/>
  <c r="AY45" i="2"/>
  <c r="CC45" i="2" s="1"/>
  <c r="CE45" i="2" s="1"/>
  <c r="AY184" i="2"/>
  <c r="CC184" i="2" s="1"/>
  <c r="CE184" i="2" s="1"/>
  <c r="DU328" i="2"/>
  <c r="EY328" i="2" s="1"/>
  <c r="FA328" i="2" s="1"/>
  <c r="N341" i="2"/>
  <c r="AR341" i="2" s="1"/>
  <c r="AT341" i="2" s="1"/>
  <c r="DU397" i="2"/>
  <c r="EY397" i="2" s="1"/>
  <c r="FA397" i="2" s="1"/>
  <c r="CJ187" i="2"/>
  <c r="DN187" i="2" s="1"/>
  <c r="DP187" i="2" s="1"/>
  <c r="CJ326" i="2"/>
  <c r="DN326" i="2" s="1"/>
  <c r="DP326" i="2" s="1"/>
  <c r="IB140" i="2"/>
  <c r="JF140" i="2" s="1"/>
  <c r="JH140" i="2" s="1"/>
  <c r="DU26" i="2"/>
  <c r="EY26" i="2" s="1"/>
  <c r="FA26" i="2" s="1"/>
  <c r="AY39" i="2"/>
  <c r="BB337" i="2"/>
  <c r="CJ340" i="2"/>
  <c r="DN340" i="2" s="1"/>
  <c r="DP340" i="2" s="1"/>
  <c r="GQ17" i="2"/>
  <c r="HU17" i="2" s="1"/>
  <c r="HW17" i="2" s="1"/>
  <c r="AY10" i="2"/>
  <c r="CC10" i="2" s="1"/>
  <c r="CE10" i="2" s="1"/>
  <c r="GQ39" i="2"/>
  <c r="HU39" i="2" s="1"/>
  <c r="HW39" i="2" s="1"/>
  <c r="AY175" i="2"/>
  <c r="CC175" i="2" s="1"/>
  <c r="CE175" i="2" s="1"/>
  <c r="GQ337" i="2"/>
  <c r="HU337" i="2" s="1"/>
  <c r="HW337" i="2" s="1"/>
  <c r="CM311" i="2"/>
  <c r="DU20" i="2"/>
  <c r="EY20" i="2" s="1"/>
  <c r="FA20" i="2" s="1"/>
  <c r="DU313" i="2"/>
  <c r="EY313" i="2" s="1"/>
  <c r="FA313" i="2" s="1"/>
  <c r="CJ302" i="2"/>
  <c r="AY145" i="2"/>
  <c r="CC145" i="2" s="1"/>
  <c r="CE145" i="2" s="1"/>
  <c r="DU338" i="2"/>
  <c r="EY338" i="2" s="1"/>
  <c r="FA338" i="2" s="1"/>
  <c r="AY199" i="2"/>
  <c r="CC199" i="2" s="1"/>
  <c r="CE199" i="2" s="1"/>
  <c r="AY139" i="2"/>
  <c r="CC139" i="2" s="1"/>
  <c r="CE139" i="2" s="1"/>
  <c r="FI299" i="2"/>
  <c r="AY339" i="2"/>
  <c r="CC339" i="2" s="1"/>
  <c r="CE339" i="2" s="1"/>
  <c r="BB186" i="2"/>
  <c r="DU11" i="2"/>
  <c r="EY11" i="2" s="1"/>
  <c r="FA11" i="2" s="1"/>
  <c r="AY198" i="2"/>
  <c r="CC198" i="2" s="1"/>
  <c r="CE198" i="2" s="1"/>
  <c r="DU41" i="2"/>
  <c r="EY41" i="2" s="1"/>
  <c r="FA41" i="2" s="1"/>
  <c r="CJ190" i="2"/>
  <c r="DN190" i="2" s="1"/>
  <c r="DP190" i="2" s="1"/>
  <c r="CM302" i="2"/>
  <c r="CJ26" i="2"/>
  <c r="CJ314" i="2"/>
  <c r="DN314" i="2" s="1"/>
  <c r="DP314" i="2" s="1"/>
  <c r="CJ185" i="2"/>
  <c r="DN185" i="2" s="1"/>
  <c r="DP185" i="2" s="1"/>
  <c r="FF155" i="2"/>
  <c r="GJ155" i="2" s="1"/>
  <c r="GL155" i="2" s="1"/>
  <c r="AY323" i="2"/>
  <c r="CC323" i="2" s="1"/>
  <c r="CE323" i="2" s="1"/>
  <c r="FF300" i="2"/>
  <c r="GJ300" i="2" s="1"/>
  <c r="GL300" i="2" s="1"/>
  <c r="CJ311" i="2"/>
  <c r="AY176" i="2"/>
  <c r="CC176" i="2" s="1"/>
  <c r="CE176" i="2" s="1"/>
  <c r="CM155" i="2"/>
  <c r="N339" i="2"/>
  <c r="DU184" i="2"/>
  <c r="AY300" i="2"/>
  <c r="CC300" i="2" s="1"/>
  <c r="CE300" i="2" s="1"/>
  <c r="AY20" i="2"/>
  <c r="BB39" i="2"/>
  <c r="FF299" i="2"/>
  <c r="DX184" i="2"/>
  <c r="AY186" i="2"/>
  <c r="CJ325" i="2"/>
  <c r="DN325" i="2" s="1"/>
  <c r="DP325" i="2" s="1"/>
  <c r="CJ192" i="2"/>
  <c r="DN192" i="2" s="1"/>
  <c r="DP192" i="2" s="1"/>
  <c r="AY191" i="2"/>
  <c r="AY163" i="2"/>
  <c r="CM193" i="2"/>
  <c r="CJ155" i="2"/>
  <c r="CJ324" i="2"/>
  <c r="DN324" i="2" s="1"/>
  <c r="DP324" i="2" s="1"/>
  <c r="AY337" i="2"/>
  <c r="BB191" i="2"/>
  <c r="CM26" i="2"/>
  <c r="BB20" i="2"/>
  <c r="BB163" i="2"/>
  <c r="FF301" i="2"/>
  <c r="GJ301" i="2" s="1"/>
  <c r="GL301" i="2" s="1"/>
  <c r="DN110" i="2"/>
  <c r="DP110" i="2" s="1"/>
  <c r="DN54" i="2"/>
  <c r="DP54" i="2" s="1"/>
  <c r="DN152" i="2"/>
  <c r="DP152" i="2" s="1"/>
  <c r="DN351" i="2"/>
  <c r="DP351" i="2" s="1"/>
  <c r="DN73" i="2"/>
  <c r="DP73" i="2" s="1"/>
  <c r="CJ199" i="2"/>
  <c r="DN199" i="2" s="1"/>
  <c r="DP199" i="2" s="1"/>
  <c r="CJ330" i="2"/>
  <c r="AY324" i="2"/>
  <c r="CC324" i="2" s="1"/>
  <c r="CE324" i="2" s="1"/>
  <c r="AY307" i="2"/>
  <c r="CC307" i="2" s="1"/>
  <c r="CE307" i="2" s="1"/>
  <c r="AY17" i="2"/>
  <c r="CC17" i="2" s="1"/>
  <c r="CE17" i="2" s="1"/>
  <c r="DU332" i="2"/>
  <c r="AY403" i="2"/>
  <c r="CC403" i="2" s="1"/>
  <c r="CE403" i="2" s="1"/>
  <c r="CJ30" i="2"/>
  <c r="DN30" i="2" s="1"/>
  <c r="DP30" i="2" s="1"/>
  <c r="CJ169" i="2"/>
  <c r="DN169" i="2" s="1"/>
  <c r="DP169" i="2" s="1"/>
  <c r="CJ42" i="2"/>
  <c r="DN42" i="2" s="1"/>
  <c r="DP42" i="2" s="1"/>
  <c r="DU170" i="2"/>
  <c r="EY170" i="2" s="1"/>
  <c r="FA170" i="2" s="1"/>
  <c r="AY325" i="2"/>
  <c r="CC325" i="2" s="1"/>
  <c r="CE325" i="2" s="1"/>
  <c r="CM334" i="2"/>
  <c r="AY341" i="2"/>
  <c r="CC341" i="2" s="1"/>
  <c r="CE341" i="2" s="1"/>
  <c r="CJ334" i="2"/>
  <c r="AY187" i="2"/>
  <c r="CC187" i="2" s="1"/>
  <c r="CE187" i="2" s="1"/>
  <c r="CM332" i="2"/>
  <c r="AY401" i="2"/>
  <c r="CC401" i="2" s="1"/>
  <c r="CE401" i="2" s="1"/>
  <c r="DU23" i="2"/>
  <c r="EY23" i="2" s="1"/>
  <c r="FA23" i="2" s="1"/>
  <c r="DU194" i="2"/>
  <c r="EY194" i="2" s="1"/>
  <c r="FA194" i="2" s="1"/>
  <c r="AY173" i="2"/>
  <c r="CC173" i="2" s="1"/>
  <c r="CE173" i="2" s="1"/>
  <c r="AY44" i="2"/>
  <c r="CJ331" i="2"/>
  <c r="DN331" i="2" s="1"/>
  <c r="DP331" i="2" s="1"/>
  <c r="AY399" i="2"/>
  <c r="CC399" i="2" s="1"/>
  <c r="CE399" i="2" s="1"/>
  <c r="AY148" i="2"/>
  <c r="AY302" i="2"/>
  <c r="CC302" i="2" s="1"/>
  <c r="CE302" i="2" s="1"/>
  <c r="AY192" i="2"/>
  <c r="CJ18" i="2"/>
  <c r="AY16" i="2"/>
  <c r="CC16" i="2" s="1"/>
  <c r="CE16" i="2" s="1"/>
  <c r="CJ297" i="2"/>
  <c r="DN297" i="2" s="1"/>
  <c r="DP297" i="2" s="1"/>
  <c r="AY328" i="2"/>
  <c r="CC328" i="2" s="1"/>
  <c r="CE328" i="2" s="1"/>
  <c r="CJ158" i="2"/>
  <c r="DN158" i="2" s="1"/>
  <c r="DP158" i="2" s="1"/>
  <c r="CJ13" i="2"/>
  <c r="DN13" i="2" s="1"/>
  <c r="DP13" i="2" s="1"/>
  <c r="CJ15" i="2"/>
  <c r="DN15" i="2" s="1"/>
  <c r="DP15" i="2" s="1"/>
  <c r="GQ301" i="2"/>
  <c r="HU301" i="2" s="1"/>
  <c r="HW301" i="2" s="1"/>
  <c r="CJ178" i="2"/>
  <c r="GQ300" i="2"/>
  <c r="HU300" i="2" s="1"/>
  <c r="HW300" i="2" s="1"/>
  <c r="CJ156" i="2"/>
  <c r="DN156" i="2" s="1"/>
  <c r="DP156" i="2" s="1"/>
  <c r="CJ180" i="2"/>
  <c r="DN180" i="2" s="1"/>
  <c r="DP180" i="2" s="1"/>
  <c r="DX332" i="2"/>
  <c r="GQ299" i="2"/>
  <c r="HU299" i="2" s="1"/>
  <c r="HW299" i="2" s="1"/>
  <c r="AY338" i="2"/>
  <c r="CC338" i="2" s="1"/>
  <c r="CE338" i="2" s="1"/>
  <c r="CJ14" i="2"/>
  <c r="DN14" i="2" s="1"/>
  <c r="DP14" i="2" s="1"/>
  <c r="CJ181" i="2"/>
  <c r="DN181" i="2" s="1"/>
  <c r="DP181" i="2" s="1"/>
  <c r="BB148" i="2"/>
  <c r="CJ339" i="2"/>
  <c r="DN339" i="2" s="1"/>
  <c r="DP339" i="2" s="1"/>
  <c r="CJ167" i="2"/>
  <c r="DN167" i="2" s="1"/>
  <c r="DP167" i="2" s="1"/>
  <c r="CJ323" i="2"/>
  <c r="DN323" i="2" s="1"/>
  <c r="DP323" i="2" s="1"/>
  <c r="AY38" i="2"/>
  <c r="CC38" i="2" s="1"/>
  <c r="CE38" i="2" s="1"/>
  <c r="CJ41" i="2"/>
  <c r="DN41" i="2" s="1"/>
  <c r="DP41" i="2" s="1"/>
  <c r="AY326" i="2"/>
  <c r="CC326" i="2" s="1"/>
  <c r="CE326" i="2" s="1"/>
  <c r="DU141" i="2"/>
  <c r="EY141" i="2" s="1"/>
  <c r="FA141" i="2" s="1"/>
  <c r="LY141" i="2" s="1"/>
  <c r="CM330" i="2"/>
  <c r="AY190" i="2"/>
  <c r="CM23" i="2"/>
  <c r="AY314" i="2"/>
  <c r="CC314" i="2" s="1"/>
  <c r="CE314" i="2" s="1"/>
  <c r="BB296" i="2"/>
  <c r="AY296" i="2"/>
  <c r="CJ397" i="2"/>
  <c r="DN397" i="2" s="1"/>
  <c r="DP397" i="2" s="1"/>
  <c r="CJ23" i="2"/>
  <c r="N22" i="2"/>
  <c r="CJ12" i="2"/>
  <c r="DN12" i="2" s="1"/>
  <c r="DP12" i="2" s="1"/>
  <c r="BB44" i="2"/>
  <c r="CJ32" i="2"/>
  <c r="DN32" i="2" s="1"/>
  <c r="DP32" i="2" s="1"/>
  <c r="Q22" i="2"/>
  <c r="CJ332" i="2"/>
  <c r="FF168" i="2"/>
  <c r="GJ168" i="2" s="1"/>
  <c r="GL168" i="2" s="1"/>
  <c r="BB192" i="2"/>
  <c r="CM18" i="2"/>
  <c r="BB190" i="2"/>
  <c r="CM178" i="2"/>
  <c r="CJ44" i="2"/>
  <c r="DU42" i="2"/>
  <c r="CJ195" i="2"/>
  <c r="DX302" i="2"/>
  <c r="CJ160" i="2"/>
  <c r="DN160" i="2" s="1"/>
  <c r="DP160" i="2" s="1"/>
  <c r="CM195" i="2"/>
  <c r="IB396" i="2"/>
  <c r="JF396" i="2" s="1"/>
  <c r="JH396" i="2" s="1"/>
  <c r="CM20" i="2"/>
  <c r="DU302" i="2"/>
  <c r="Q162" i="2"/>
  <c r="N162" i="2"/>
  <c r="DX42" i="2"/>
  <c r="CM44" i="2"/>
  <c r="FI184" i="2"/>
  <c r="CJ20" i="2"/>
  <c r="FF184" i="2"/>
  <c r="IB304" i="2"/>
  <c r="JF304" i="2" s="1"/>
  <c r="JH304" i="2" s="1"/>
  <c r="N344" i="2"/>
  <c r="AR344" i="2" s="1"/>
  <c r="AT344" i="2" s="1"/>
  <c r="N201" i="2"/>
  <c r="AR201" i="2" s="1"/>
  <c r="AT201" i="2" s="1"/>
  <c r="AY168" i="2"/>
  <c r="CC168" i="2" s="1"/>
  <c r="CE168" i="2" s="1"/>
  <c r="AY397" i="2"/>
  <c r="CC397" i="2" s="1"/>
  <c r="CE397" i="2" s="1"/>
  <c r="AY313" i="2"/>
  <c r="CC313" i="2" s="1"/>
  <c r="CE313" i="2" s="1"/>
  <c r="N146" i="2"/>
  <c r="AY14" i="2"/>
  <c r="CC14" i="2" s="1"/>
  <c r="CE14" i="2" s="1"/>
  <c r="N314" i="2"/>
  <c r="AR314" i="2" s="1"/>
  <c r="AT314" i="2" s="1"/>
  <c r="AY36" i="2"/>
  <c r="N44" i="2"/>
  <c r="AR44" i="2" s="1"/>
  <c r="AT44" i="2" s="1"/>
  <c r="AY308" i="2"/>
  <c r="CC308" i="2" s="1"/>
  <c r="CE308" i="2" s="1"/>
  <c r="DX330" i="2"/>
  <c r="AY15" i="2"/>
  <c r="CC15" i="2" s="1"/>
  <c r="CE15" i="2" s="1"/>
  <c r="AY40" i="2"/>
  <c r="CC40" i="2" s="1"/>
  <c r="CE40" i="2" s="1"/>
  <c r="AY171" i="2"/>
  <c r="CC171" i="2" s="1"/>
  <c r="CE171" i="2" s="1"/>
  <c r="N197" i="2"/>
  <c r="AR197" i="2" s="1"/>
  <c r="AT197" i="2" s="1"/>
  <c r="AY37" i="2"/>
  <c r="CC37" i="2" s="1"/>
  <c r="CE37" i="2" s="1"/>
  <c r="AY303" i="2"/>
  <c r="CC303" i="2" s="1"/>
  <c r="CE303" i="2" s="1"/>
  <c r="AY396" i="2"/>
  <c r="CC396" i="2" s="1"/>
  <c r="CE396" i="2" s="1"/>
  <c r="N43" i="2"/>
  <c r="AR43" i="2" s="1"/>
  <c r="AT43" i="2" s="1"/>
  <c r="DU169" i="2"/>
  <c r="EY169" i="2" s="1"/>
  <c r="FA169" i="2" s="1"/>
  <c r="AY157" i="2"/>
  <c r="CC157" i="2" s="1"/>
  <c r="CE157" i="2" s="1"/>
  <c r="N42" i="2"/>
  <c r="AR42" i="2" s="1"/>
  <c r="AT42" i="2" s="1"/>
  <c r="AY30" i="2"/>
  <c r="CC30" i="2" s="1"/>
  <c r="CE30" i="2" s="1"/>
  <c r="GQ144" i="2"/>
  <c r="HU144" i="2" s="1"/>
  <c r="HW144" i="2" s="1"/>
  <c r="AY26" i="2"/>
  <c r="CC26" i="2" s="1"/>
  <c r="CE26" i="2" s="1"/>
  <c r="AY140" i="2"/>
  <c r="CC140" i="2" s="1"/>
  <c r="CE140" i="2" s="1"/>
  <c r="AY340" i="2"/>
  <c r="CC340" i="2" s="1"/>
  <c r="CE340" i="2" s="1"/>
  <c r="AY297" i="2"/>
  <c r="CC297" i="2" s="1"/>
  <c r="CE297" i="2" s="1"/>
  <c r="AY170" i="2"/>
  <c r="CC170" i="2" s="1"/>
  <c r="CE170" i="2" s="1"/>
  <c r="AY23" i="2"/>
  <c r="CC23" i="2" s="1"/>
  <c r="CE23" i="2" s="1"/>
  <c r="BB147" i="2"/>
  <c r="BB336" i="2"/>
  <c r="N315" i="2"/>
  <c r="AR315" i="2" s="1"/>
  <c r="AT315" i="2" s="1"/>
  <c r="N149" i="2"/>
  <c r="CJ170" i="2"/>
  <c r="DN170" i="2" s="1"/>
  <c r="DP170" i="2" s="1"/>
  <c r="CJ316" i="2"/>
  <c r="DN316" i="2" s="1"/>
  <c r="DP316" i="2" s="1"/>
  <c r="AY24" i="2"/>
  <c r="CC24" i="2" s="1"/>
  <c r="CE24" i="2" s="1"/>
  <c r="AY165" i="2"/>
  <c r="CC165" i="2" s="1"/>
  <c r="CE165" i="2" s="1"/>
  <c r="AY31" i="2"/>
  <c r="CC31" i="2" s="1"/>
  <c r="CE31" i="2" s="1"/>
  <c r="CJ45" i="2"/>
  <c r="DN45" i="2" s="1"/>
  <c r="DP45" i="2" s="1"/>
  <c r="Q149" i="2"/>
  <c r="DU166" i="2"/>
  <c r="EY166" i="2" s="1"/>
  <c r="FA166" i="2" s="1"/>
  <c r="CJ40" i="2"/>
  <c r="DN40" i="2" s="1"/>
  <c r="DP40" i="2" s="1"/>
  <c r="IE307" i="2"/>
  <c r="AY332" i="2"/>
  <c r="CC332" i="2" s="1"/>
  <c r="CE332" i="2" s="1"/>
  <c r="BB179" i="2"/>
  <c r="N20" i="2"/>
  <c r="CJ194" i="2"/>
  <c r="DN194" i="2" s="1"/>
  <c r="DP194" i="2" s="1"/>
  <c r="AY316" i="2"/>
  <c r="CC316" i="2" s="1"/>
  <c r="CE316" i="2" s="1"/>
  <c r="AY13" i="2"/>
  <c r="AY149" i="2"/>
  <c r="CC149" i="2" s="1"/>
  <c r="CE149" i="2" s="1"/>
  <c r="AY299" i="2"/>
  <c r="CC299" i="2" s="1"/>
  <c r="CE299" i="2" s="1"/>
  <c r="GQ307" i="2"/>
  <c r="IB307" i="2"/>
  <c r="AY152" i="2"/>
  <c r="AY342" i="2"/>
  <c r="CC342" i="2" s="1"/>
  <c r="CE342" i="2" s="1"/>
  <c r="AY146" i="2"/>
  <c r="CC146" i="2" s="1"/>
  <c r="CE146" i="2" s="1"/>
  <c r="AY147" i="2"/>
  <c r="CJ305" i="2"/>
  <c r="GT307" i="2"/>
  <c r="DU330" i="2"/>
  <c r="CM305" i="2"/>
  <c r="BB305" i="2"/>
  <c r="CJ25" i="2"/>
  <c r="DN25" i="2" s="1"/>
  <c r="DP25" i="2" s="1"/>
  <c r="BB12" i="2"/>
  <c r="AY32" i="2"/>
  <c r="CC32" i="2" s="1"/>
  <c r="CE32" i="2" s="1"/>
  <c r="BB25" i="2"/>
  <c r="AY336" i="2"/>
  <c r="BB152" i="2"/>
  <c r="CJ168" i="2"/>
  <c r="DN168" i="2" s="1"/>
  <c r="DP168" i="2" s="1"/>
  <c r="AY12" i="2"/>
  <c r="AY25" i="2"/>
  <c r="AY317" i="2"/>
  <c r="Q146" i="2"/>
  <c r="AY305" i="2"/>
  <c r="AY179" i="2"/>
  <c r="DU167" i="2"/>
  <c r="EY167" i="2" s="1"/>
  <c r="FA167" i="2" s="1"/>
  <c r="AY331" i="2"/>
  <c r="CC331" i="2" s="1"/>
  <c r="CE331" i="2" s="1"/>
  <c r="GQ184" i="2"/>
  <c r="HU184" i="2" s="1"/>
  <c r="HW184" i="2" s="1"/>
  <c r="BB36" i="2"/>
  <c r="Q20" i="2"/>
  <c r="BB13" i="2"/>
  <c r="BB317" i="2"/>
  <c r="BB201" i="2"/>
  <c r="AY201" i="2"/>
  <c r="GQ128" i="2"/>
  <c r="HU128" i="2" s="1"/>
  <c r="HW128" i="2" s="1"/>
  <c r="GQ266" i="2"/>
  <c r="HU266" i="2" s="1"/>
  <c r="HW266" i="2" s="1"/>
  <c r="IB376" i="2"/>
  <c r="JF376" i="2" s="1"/>
  <c r="JH376" i="2" s="1"/>
  <c r="GQ62" i="2"/>
  <c r="HU62" i="2" s="1"/>
  <c r="HW62" i="2" s="1"/>
  <c r="IB241" i="2"/>
  <c r="JF241" i="2" s="1"/>
  <c r="JH241" i="2" s="1"/>
  <c r="GQ103" i="2"/>
  <c r="HU103" i="2" s="1"/>
  <c r="HW103" i="2" s="1"/>
  <c r="IB245" i="2"/>
  <c r="JF245" i="2" s="1"/>
  <c r="JH245" i="2" s="1"/>
  <c r="GQ85" i="2"/>
  <c r="HU85" i="2" s="1"/>
  <c r="HW85" i="2" s="1"/>
  <c r="FF368" i="2"/>
  <c r="GJ368" i="2" s="1"/>
  <c r="GL368" i="2" s="1"/>
  <c r="GQ88" i="2"/>
  <c r="HU88" i="2" s="1"/>
  <c r="HW88" i="2" s="1"/>
  <c r="JM48" i="2"/>
  <c r="KQ48" i="2" s="1"/>
  <c r="KS48" i="2" s="1"/>
  <c r="IB389" i="2"/>
  <c r="JF389" i="2" s="1"/>
  <c r="JH389" i="2" s="1"/>
  <c r="GQ203" i="2"/>
  <c r="HU203" i="2" s="1"/>
  <c r="HW203" i="2" s="1"/>
  <c r="GQ273" i="2"/>
  <c r="HU273" i="2" s="1"/>
  <c r="HW273" i="2" s="1"/>
  <c r="DU89" i="2"/>
  <c r="EY89" i="2" s="1"/>
  <c r="FA89" i="2" s="1"/>
  <c r="IB98" i="2"/>
  <c r="JF98" i="2" s="1"/>
  <c r="JH98" i="2" s="1"/>
  <c r="IB372" i="2"/>
  <c r="JF372" i="2" s="1"/>
  <c r="JH372" i="2" s="1"/>
  <c r="GQ263" i="2"/>
  <c r="HU263" i="2" s="1"/>
  <c r="HW263" i="2" s="1"/>
  <c r="GQ91" i="2"/>
  <c r="HU91" i="2" s="1"/>
  <c r="HW91" i="2" s="1"/>
  <c r="GQ110" i="2"/>
  <c r="HU110" i="2" s="1"/>
  <c r="HW110" i="2" s="1"/>
  <c r="CJ217" i="2"/>
  <c r="DN217" i="2" s="1"/>
  <c r="DP217" i="2" s="1"/>
  <c r="GQ75" i="2"/>
  <c r="HU75" i="2" s="1"/>
  <c r="HW75" i="2" s="1"/>
  <c r="GQ260" i="2"/>
  <c r="HU260" i="2" s="1"/>
  <c r="HW260" i="2" s="1"/>
  <c r="IB373" i="2"/>
  <c r="JF373" i="2" s="1"/>
  <c r="JH373" i="2" s="1"/>
  <c r="GQ227" i="2"/>
  <c r="HU227" i="2" s="1"/>
  <c r="HW227" i="2" s="1"/>
  <c r="GQ268" i="2"/>
  <c r="HU268" i="2" s="1"/>
  <c r="HW268" i="2" s="1"/>
  <c r="DU80" i="2"/>
  <c r="EY80" i="2" s="1"/>
  <c r="FA80" i="2" s="1"/>
  <c r="GQ78" i="2"/>
  <c r="HU78" i="2" s="1"/>
  <c r="HW78" i="2" s="1"/>
  <c r="GQ290" i="2"/>
  <c r="HU290" i="2" s="1"/>
  <c r="HW290" i="2" s="1"/>
  <c r="DU256" i="2"/>
  <c r="EY256" i="2" s="1"/>
  <c r="FA256" i="2" s="1"/>
  <c r="IB64" i="2"/>
  <c r="JF64" i="2" s="1"/>
  <c r="JH64" i="2" s="1"/>
  <c r="GQ63" i="2"/>
  <c r="HU63" i="2" s="1"/>
  <c r="HW63" i="2" s="1"/>
  <c r="GQ226" i="2"/>
  <c r="HU226" i="2" s="1"/>
  <c r="HW226" i="2" s="1"/>
  <c r="IB81" i="2"/>
  <c r="JF81" i="2" s="1"/>
  <c r="JH81" i="2" s="1"/>
  <c r="IB230" i="2"/>
  <c r="JF230" i="2" s="1"/>
  <c r="JH230" i="2" s="1"/>
  <c r="IB68" i="2"/>
  <c r="JF68" i="2" s="1"/>
  <c r="JH68" i="2" s="1"/>
  <c r="FF367" i="2"/>
  <c r="GJ367" i="2" s="1"/>
  <c r="GL367" i="2" s="1"/>
  <c r="FF220" i="2"/>
  <c r="GJ220" i="2" s="1"/>
  <c r="GL220" i="2" s="1"/>
  <c r="IB223" i="2"/>
  <c r="JF223" i="2" s="1"/>
  <c r="JH223" i="2" s="1"/>
  <c r="GQ73" i="2"/>
  <c r="HU73" i="2" s="1"/>
  <c r="HW73" i="2" s="1"/>
  <c r="GQ207" i="2"/>
  <c r="HU207" i="2" s="1"/>
  <c r="HW207" i="2" s="1"/>
  <c r="GQ76" i="2"/>
  <c r="HU76" i="2" s="1"/>
  <c r="HW76" i="2" s="1"/>
  <c r="GQ212" i="2"/>
  <c r="HU212" i="2" s="1"/>
  <c r="IB277" i="2"/>
  <c r="JF277" i="2" s="1"/>
  <c r="JH277" i="2" s="1"/>
  <c r="FF369" i="2"/>
  <c r="GJ369" i="2" s="1"/>
  <c r="GL369" i="2" s="1"/>
  <c r="IB221" i="2"/>
  <c r="JF221" i="2" s="1"/>
  <c r="JH221" i="2" s="1"/>
  <c r="IB65" i="2"/>
  <c r="JF65" i="2" s="1"/>
  <c r="JH65" i="2" s="1"/>
  <c r="IB233" i="2"/>
  <c r="JF233" i="2" s="1"/>
  <c r="JH233" i="2" s="1"/>
  <c r="GQ261" i="2"/>
  <c r="HU261" i="2" s="1"/>
  <c r="HW261" i="2" s="1"/>
  <c r="GQ264" i="2"/>
  <c r="HU264" i="2" s="1"/>
  <c r="HW264" i="2" s="1"/>
  <c r="IB291" i="2"/>
  <c r="JF291" i="2" s="1"/>
  <c r="JH291" i="2" s="1"/>
  <c r="IB279" i="2"/>
  <c r="JF279" i="2" s="1"/>
  <c r="JH279" i="2" s="1"/>
  <c r="GQ392" i="2"/>
  <c r="HU392" i="2" s="1"/>
  <c r="HW392" i="2" s="1"/>
  <c r="IB275" i="2"/>
  <c r="JF275" i="2" s="1"/>
  <c r="JH275" i="2" s="1"/>
  <c r="GQ74" i="2"/>
  <c r="HU74" i="2" s="1"/>
  <c r="HW74" i="2" s="1"/>
  <c r="IB246" i="2"/>
  <c r="JF246" i="2" s="1"/>
  <c r="JH246" i="2" s="1"/>
  <c r="FF99" i="2"/>
  <c r="GJ99" i="2" s="1"/>
  <c r="IB79" i="2"/>
  <c r="JF79" i="2" s="1"/>
  <c r="JH79" i="2" s="1"/>
  <c r="GQ251" i="2"/>
  <c r="HU251" i="2" s="1"/>
  <c r="HW251" i="2" s="1"/>
  <c r="FF378" i="2"/>
  <c r="GJ378" i="2" s="1"/>
  <c r="GL378" i="2" s="1"/>
  <c r="IB217" i="2"/>
  <c r="JF217" i="2" s="1"/>
  <c r="JH217" i="2" s="1"/>
  <c r="FF229" i="2"/>
  <c r="GJ229" i="2" s="1"/>
  <c r="GL229" i="2" s="1"/>
  <c r="GQ284" i="2"/>
  <c r="HU284" i="2" s="1"/>
  <c r="HW284" i="2" s="1"/>
  <c r="IB126" i="2"/>
  <c r="JF126" i="2" s="1"/>
  <c r="JH126" i="2" s="1"/>
  <c r="IB77" i="2"/>
  <c r="JF77" i="2" s="1"/>
  <c r="JH77" i="2" s="1"/>
  <c r="GQ105" i="2"/>
  <c r="HU105" i="2" s="1"/>
  <c r="HW105" i="2" s="1"/>
  <c r="GQ72" i="2"/>
  <c r="HU72" i="2" s="1"/>
  <c r="HW72" i="2" s="1"/>
  <c r="IB385" i="2"/>
  <c r="JF385" i="2" s="1"/>
  <c r="JH385" i="2" s="1"/>
  <c r="IB276" i="2"/>
  <c r="JF276" i="2" s="1"/>
  <c r="JH276" i="2" s="1"/>
  <c r="GQ395" i="2"/>
  <c r="HU395" i="2" s="1"/>
  <c r="HW395" i="2" s="1"/>
  <c r="GQ56" i="2"/>
  <c r="HU56" i="2" s="1"/>
  <c r="HW56" i="2" s="1"/>
  <c r="GQ234" i="2"/>
  <c r="HU234" i="2" s="1"/>
  <c r="HW234" i="2" s="1"/>
  <c r="CJ68" i="2"/>
  <c r="DN68" i="2" s="1"/>
  <c r="DP68" i="2" s="1"/>
  <c r="IB350" i="2"/>
  <c r="JF350" i="2" s="1"/>
  <c r="GQ222" i="2"/>
  <c r="HU222" i="2" s="1"/>
  <c r="HW222" i="2" s="1"/>
  <c r="GQ202" i="2"/>
  <c r="HU202" i="2" s="1"/>
  <c r="HW202" i="2" s="1"/>
  <c r="IB100" i="2"/>
  <c r="JF100" i="2" s="1"/>
  <c r="JH100" i="2" s="1"/>
  <c r="FF370" i="2"/>
  <c r="GJ370" i="2" s="1"/>
  <c r="GL370" i="2" s="1"/>
  <c r="JM47" i="2"/>
  <c r="KQ47" i="2" s="1"/>
  <c r="KS47" i="2" s="1"/>
  <c r="N380" i="2"/>
  <c r="AR380" i="2" s="1"/>
  <c r="AT380" i="2" s="1"/>
  <c r="IB115" i="2"/>
  <c r="JF115" i="2" s="1"/>
  <c r="JH115" i="2" s="1"/>
  <c r="IB69" i="2"/>
  <c r="JF69" i="2" s="1"/>
  <c r="JH69" i="2" s="1"/>
  <c r="IB131" i="2"/>
  <c r="JF131" i="2" s="1"/>
  <c r="JH131" i="2" s="1"/>
  <c r="GQ359" i="2"/>
  <c r="HU359" i="2" s="1"/>
  <c r="HW359" i="2" s="1"/>
  <c r="GQ252" i="2"/>
  <c r="HU252" i="2" s="1"/>
  <c r="FF293" i="2"/>
  <c r="GJ293" i="2" s="1"/>
  <c r="GL293" i="2" s="1"/>
  <c r="FF256" i="2"/>
  <c r="GJ256" i="2" s="1"/>
  <c r="GL256" i="2" s="1"/>
  <c r="GQ59" i="2"/>
  <c r="HU59" i="2" s="1"/>
  <c r="HW59" i="2" s="1"/>
  <c r="FF259" i="2"/>
  <c r="GJ259" i="2" s="1"/>
  <c r="GL259" i="2" s="1"/>
  <c r="GQ365" i="2"/>
  <c r="HU365" i="2" s="1"/>
  <c r="HW365" i="2" s="1"/>
  <c r="IB243" i="2"/>
  <c r="JF243" i="2" s="1"/>
  <c r="JH243" i="2" s="1"/>
  <c r="IB351" i="2"/>
  <c r="JF351" i="2" s="1"/>
  <c r="JH351" i="2" s="1"/>
  <c r="GQ345" i="2"/>
  <c r="HU345" i="2" s="1"/>
  <c r="HW345" i="2" s="1"/>
  <c r="FF281" i="2"/>
  <c r="GJ281" i="2" s="1"/>
  <c r="GL281" i="2" s="1"/>
  <c r="IB104" i="2"/>
  <c r="JF104" i="2" s="1"/>
  <c r="JH104" i="2" s="1"/>
  <c r="IB247" i="2"/>
  <c r="JF247" i="2" s="1"/>
  <c r="JH247" i="2" s="1"/>
  <c r="GQ379" i="2"/>
  <c r="HU379" i="2" s="1"/>
  <c r="HW379" i="2" s="1"/>
  <c r="DU118" i="2"/>
  <c r="EY118" i="2" s="1"/>
  <c r="FA118" i="2" s="1"/>
  <c r="IB383" i="2"/>
  <c r="JF383" i="2" s="1"/>
  <c r="JH383" i="2" s="1"/>
  <c r="FF215" i="2"/>
  <c r="GJ215" i="2" s="1"/>
  <c r="GL215" i="2" s="1"/>
  <c r="GQ286" i="2"/>
  <c r="HU286" i="2" s="1"/>
  <c r="HW286" i="2" s="1"/>
  <c r="GQ84" i="2"/>
  <c r="HU84" i="2" s="1"/>
  <c r="HW84" i="2" s="1"/>
  <c r="GQ57" i="2"/>
  <c r="HU57" i="2" s="1"/>
  <c r="HW57" i="2" s="1"/>
  <c r="GQ205" i="2"/>
  <c r="HU205" i="2" s="1"/>
  <c r="GQ49" i="2"/>
  <c r="HU49" i="2" s="1"/>
  <c r="HW49" i="2" s="1"/>
  <c r="GQ358" i="2"/>
  <c r="HU358" i="2" s="1"/>
  <c r="IB86" i="2"/>
  <c r="JF86" i="2" s="1"/>
  <c r="JH86" i="2" s="1"/>
  <c r="CJ71" i="2"/>
  <c r="DN71" i="2" s="1"/>
  <c r="DP71" i="2" s="1"/>
  <c r="GQ262" i="2"/>
  <c r="HU262" i="2" s="1"/>
  <c r="HW262" i="2" s="1"/>
  <c r="FF96" i="2"/>
  <c r="GJ96" i="2" s="1"/>
  <c r="GL96" i="2" s="1"/>
  <c r="IB120" i="2"/>
  <c r="JF120" i="2" s="1"/>
  <c r="JH120" i="2" s="1"/>
  <c r="DU257" i="2"/>
  <c r="EY257" i="2" s="1"/>
  <c r="FA257" i="2" s="1"/>
  <c r="GQ255" i="2"/>
  <c r="HU255" i="2" s="1"/>
  <c r="HW255" i="2" s="1"/>
  <c r="IB52" i="2"/>
  <c r="JF52" i="2" s="1"/>
  <c r="JH52" i="2" s="1"/>
  <c r="GQ349" i="2"/>
  <c r="HU349" i="2" s="1"/>
  <c r="HW349" i="2" s="1"/>
  <c r="GQ271" i="2"/>
  <c r="HU271" i="2" s="1"/>
  <c r="HW271" i="2" s="1"/>
  <c r="GQ55" i="2"/>
  <c r="HU55" i="2" s="1"/>
  <c r="HW55" i="2" s="1"/>
  <c r="GQ381" i="2"/>
  <c r="HU381" i="2" s="1"/>
  <c r="HW381" i="2" s="1"/>
  <c r="IB388" i="2"/>
  <c r="JF388" i="2" s="1"/>
  <c r="JH388" i="2" s="1"/>
  <c r="IB390" i="2"/>
  <c r="JF390" i="2" s="1"/>
  <c r="JH390" i="2" s="1"/>
  <c r="IB66" i="2"/>
  <c r="JF66" i="2" s="1"/>
  <c r="JH66" i="2" s="1"/>
  <c r="IB53" i="2"/>
  <c r="JF53" i="2" s="1"/>
  <c r="JH53" i="2" s="1"/>
  <c r="CJ131" i="2"/>
  <c r="DN131" i="2" s="1"/>
  <c r="DP131" i="2" s="1"/>
  <c r="IB62" i="2"/>
  <c r="JF62" i="2" s="1"/>
  <c r="JH62" i="2" s="1"/>
  <c r="IB236" i="2"/>
  <c r="JF236" i="2" s="1"/>
  <c r="JH236" i="2" s="1"/>
  <c r="FF82" i="2"/>
  <c r="GJ82" i="2" s="1"/>
  <c r="GL82" i="2" s="1"/>
  <c r="GQ240" i="2"/>
  <c r="HU240" i="2" s="1"/>
  <c r="HW240" i="2" s="1"/>
  <c r="IB134" i="2"/>
  <c r="JF134" i="2" s="1"/>
  <c r="JH134" i="2" s="1"/>
  <c r="GQ285" i="2"/>
  <c r="HU285" i="2" s="1"/>
  <c r="HW285" i="2" s="1"/>
  <c r="IB136" i="2"/>
  <c r="JF136" i="2" s="1"/>
  <c r="JH136" i="2" s="1"/>
  <c r="GQ50" i="2"/>
  <c r="HU50" i="2" s="1"/>
  <c r="HW50" i="2" s="1"/>
  <c r="IB361" i="2"/>
  <c r="JF361" i="2" s="1"/>
  <c r="JH361" i="2" s="1"/>
  <c r="GQ122" i="2"/>
  <c r="HU122" i="2" s="1"/>
  <c r="HW122" i="2" s="1"/>
  <c r="FF210" i="2"/>
  <c r="GJ210" i="2" s="1"/>
  <c r="GL210" i="2" s="1"/>
  <c r="IB224" i="2"/>
  <c r="JF224" i="2" s="1"/>
  <c r="JH224" i="2" s="1"/>
  <c r="IB71" i="2"/>
  <c r="JF71" i="2" s="1"/>
  <c r="JH71" i="2" s="1"/>
  <c r="IB67" i="2"/>
  <c r="JF67" i="2" s="1"/>
  <c r="JH67" i="2" s="1"/>
  <c r="IB124" i="2"/>
  <c r="JF124" i="2" s="1"/>
  <c r="JH124" i="2" s="1"/>
  <c r="IB386" i="2"/>
  <c r="JF386" i="2" s="1"/>
  <c r="JH386" i="2" s="1"/>
  <c r="GQ280" i="2"/>
  <c r="HU280" i="2" s="1"/>
  <c r="HW280" i="2" s="1"/>
  <c r="GQ371" i="2"/>
  <c r="GQ394" i="2"/>
  <c r="HU394" i="2" s="1"/>
  <c r="HW394" i="2" s="1"/>
  <c r="IB242" i="2"/>
  <c r="JF242" i="2" s="1"/>
  <c r="JH242" i="2" s="1"/>
  <c r="GQ106" i="2"/>
  <c r="HU106" i="2" s="1"/>
  <c r="HW106" i="2" s="1"/>
  <c r="GQ287" i="2"/>
  <c r="HU287" i="2" s="1"/>
  <c r="HW287" i="2" s="1"/>
  <c r="GQ250" i="2"/>
  <c r="HU250" i="2" s="1"/>
  <c r="HW250" i="2" s="1"/>
  <c r="IB125" i="2"/>
  <c r="JF125" i="2" s="1"/>
  <c r="JH125" i="2" s="1"/>
  <c r="GQ282" i="2"/>
  <c r="HU282" i="2" s="1"/>
  <c r="HW282" i="2" s="1"/>
  <c r="IB366" i="2"/>
  <c r="JF366" i="2" s="1"/>
  <c r="JH366" i="2" s="1"/>
  <c r="FF123" i="2"/>
  <c r="GJ123" i="2" s="1"/>
  <c r="GL123" i="2" s="1"/>
  <c r="IB235" i="2"/>
  <c r="JF235" i="2" s="1"/>
  <c r="JH235" i="2" s="1"/>
  <c r="IB270" i="2"/>
  <c r="JF270" i="2" s="1"/>
  <c r="JH270" i="2" s="1"/>
  <c r="GQ94" i="2"/>
  <c r="HU94" i="2" s="1"/>
  <c r="HW94" i="2" s="1"/>
  <c r="FF108" i="2"/>
  <c r="GJ108" i="2" s="1"/>
  <c r="GL108" i="2" s="1"/>
  <c r="GQ92" i="2"/>
  <c r="HU92" i="2" s="1"/>
  <c r="HW92" i="2" s="1"/>
  <c r="IB109" i="2"/>
  <c r="JF109" i="2" s="1"/>
  <c r="JH109" i="2" s="1"/>
  <c r="GQ348" i="2"/>
  <c r="HU348" i="2" s="1"/>
  <c r="IE352" i="2"/>
  <c r="IB208" i="2"/>
  <c r="JF208" i="2" s="1"/>
  <c r="IB54" i="2"/>
  <c r="JF54" i="2" s="1"/>
  <c r="JH54" i="2" s="1"/>
  <c r="GQ70" i="2"/>
  <c r="HU70" i="2" s="1"/>
  <c r="HW70" i="2" s="1"/>
  <c r="IB225" i="2"/>
  <c r="JF225" i="2" s="1"/>
  <c r="JH225" i="2" s="1"/>
  <c r="GQ232" i="2"/>
  <c r="HU232" i="2" s="1"/>
  <c r="HW232" i="2" s="1"/>
  <c r="IB121" i="2"/>
  <c r="JF121" i="2" s="1"/>
  <c r="JH121" i="2" s="1"/>
  <c r="GQ117" i="2"/>
  <c r="HU117" i="2" s="1"/>
  <c r="HW117" i="2" s="1"/>
  <c r="CJ236" i="2"/>
  <c r="DN236" i="2" s="1"/>
  <c r="DP236" i="2" s="1"/>
  <c r="JM375" i="2"/>
  <c r="KQ375" i="2" s="1"/>
  <c r="KS375" i="2" s="1"/>
  <c r="IB130" i="2"/>
  <c r="JF130" i="2" s="1"/>
  <c r="JH130" i="2" s="1"/>
  <c r="GQ206" i="2"/>
  <c r="HU206" i="2" s="1"/>
  <c r="HW206" i="2" s="1"/>
  <c r="IB352" i="2"/>
  <c r="GT81" i="2"/>
  <c r="IB238" i="2"/>
  <c r="JF238" i="2" s="1"/>
  <c r="GQ248" i="2"/>
  <c r="HU248" i="2" s="1"/>
  <c r="HW248" i="2" s="1"/>
  <c r="GQ231" i="2"/>
  <c r="HU231" i="2" s="1"/>
  <c r="HW231" i="2" s="1"/>
  <c r="IB387" i="2"/>
  <c r="JF387" i="2" s="1"/>
  <c r="JH387" i="2" s="1"/>
  <c r="IB272" i="2"/>
  <c r="JF272" i="2" s="1"/>
  <c r="JH272" i="2" s="1"/>
  <c r="IB292" i="2"/>
  <c r="JF292" i="2" s="1"/>
  <c r="JH292" i="2" s="1"/>
  <c r="FF357" i="2"/>
  <c r="GJ357" i="2" s="1"/>
  <c r="GL357" i="2" s="1"/>
  <c r="IB269" i="2"/>
  <c r="JF269" i="2" s="1"/>
  <c r="JH269" i="2" s="1"/>
  <c r="GQ112" i="2"/>
  <c r="HU112" i="2" s="1"/>
  <c r="HW112" i="2" s="1"/>
  <c r="FF237" i="2"/>
  <c r="GJ237" i="2" s="1"/>
  <c r="GL237" i="2" s="1"/>
  <c r="GT371" i="2"/>
  <c r="IB391" i="2"/>
  <c r="JF391" i="2" s="1"/>
  <c r="JH391" i="2" s="1"/>
  <c r="DU292" i="2"/>
  <c r="EY292" i="2" s="1"/>
  <c r="FA292" i="2" s="1"/>
  <c r="IB356" i="2"/>
  <c r="JF356" i="2" s="1"/>
  <c r="JH356" i="2" s="1"/>
  <c r="FF119" i="2"/>
  <c r="GJ119" i="2" s="1"/>
  <c r="GL119" i="2" s="1"/>
  <c r="DU285" i="2"/>
  <c r="IB254" i="2"/>
  <c r="JF254" i="2" s="1"/>
  <c r="JH254" i="2" s="1"/>
  <c r="DX285" i="2"/>
  <c r="IB107" i="2"/>
  <c r="JF107" i="2" s="1"/>
  <c r="JH107" i="2" s="1"/>
  <c r="GT267" i="2"/>
  <c r="GQ265" i="2"/>
  <c r="HU265" i="2" s="1"/>
  <c r="HW265" i="2" s="1"/>
  <c r="FI83" i="2"/>
  <c r="DU127" i="2"/>
  <c r="EY127" i="2" s="1"/>
  <c r="FA127" i="2" s="1"/>
  <c r="GQ267" i="2"/>
  <c r="FF214" i="2"/>
  <c r="GJ214" i="2" s="1"/>
  <c r="GL214" i="2" s="1"/>
  <c r="GQ116" i="2"/>
  <c r="HU116" i="2" s="1"/>
  <c r="HW116" i="2" s="1"/>
  <c r="GQ283" i="2"/>
  <c r="HU283" i="2" s="1"/>
  <c r="HW283" i="2" s="1"/>
  <c r="FF97" i="2"/>
  <c r="GJ97" i="2" s="1"/>
  <c r="GL97" i="2" s="1"/>
  <c r="GQ218" i="2"/>
  <c r="HU218" i="2" s="1"/>
  <c r="HW218" i="2" s="1"/>
  <c r="CJ291" i="2"/>
  <c r="DN291" i="2" s="1"/>
  <c r="DP291" i="2" s="1"/>
  <c r="CJ346" i="2"/>
  <c r="DN346" i="2" s="1"/>
  <c r="DP346" i="2" s="1"/>
  <c r="GQ237" i="2"/>
  <c r="HU237" i="2" s="1"/>
  <c r="HW237" i="2" s="1"/>
  <c r="IB219" i="2"/>
  <c r="JF219" i="2" s="1"/>
  <c r="JH219" i="2" s="1"/>
  <c r="IB374" i="2"/>
  <c r="JF374" i="2" s="1"/>
  <c r="JH374" i="2" s="1"/>
  <c r="CJ130" i="2"/>
  <c r="DN130" i="2" s="1"/>
  <c r="DP130" i="2" s="1"/>
  <c r="GQ346" i="2"/>
  <c r="HU346" i="2" s="1"/>
  <c r="HW346" i="2" s="1"/>
  <c r="IB363" i="2"/>
  <c r="JF363" i="2" s="1"/>
  <c r="JH363" i="2" s="1"/>
  <c r="GQ360" i="2"/>
  <c r="HU360" i="2" s="1"/>
  <c r="HW360" i="2" s="1"/>
  <c r="GQ138" i="2"/>
  <c r="HU138" i="2" s="1"/>
  <c r="HW138" i="2" s="1"/>
  <c r="GQ101" i="2"/>
  <c r="HU101" i="2" s="1"/>
  <c r="HW101" i="2" s="1"/>
  <c r="GQ81" i="2"/>
  <c r="IB239" i="2"/>
  <c r="JF239" i="2" s="1"/>
  <c r="JH239" i="2" s="1"/>
  <c r="GQ249" i="2"/>
  <c r="HU249" i="2" s="1"/>
  <c r="HW249" i="2" s="1"/>
  <c r="IB278" i="2"/>
  <c r="JF278" i="2" s="1"/>
  <c r="JH278" i="2" s="1"/>
  <c r="FF83" i="2"/>
  <c r="FF228" i="2"/>
  <c r="GJ228" i="2" s="1"/>
  <c r="GL228" i="2" s="1"/>
  <c r="GQ253" i="2"/>
  <c r="HU253" i="2" s="1"/>
  <c r="HW253" i="2" s="1"/>
  <c r="GQ347" i="2"/>
  <c r="HU347" i="2" s="1"/>
  <c r="HW347" i="2" s="1"/>
  <c r="IB102" i="2"/>
  <c r="JF102" i="2" s="1"/>
  <c r="JH102" i="2" s="1"/>
  <c r="IB244" i="2"/>
  <c r="JF244" i="2" s="1"/>
  <c r="JH244" i="2" s="1"/>
  <c r="DU107" i="2"/>
  <c r="EY107" i="2" s="1"/>
  <c r="FA107" i="2" s="1"/>
  <c r="CJ286" i="2"/>
  <c r="DN286" i="2" s="1"/>
  <c r="DP286" i="2" s="1"/>
  <c r="DU389" i="2"/>
  <c r="EY389" i="2" s="1"/>
  <c r="FA389" i="2" s="1"/>
  <c r="CJ64" i="2"/>
  <c r="DN64" i="2" s="1"/>
  <c r="DP64" i="2" s="1"/>
  <c r="DU239" i="2"/>
  <c r="EY239" i="2" s="1"/>
  <c r="FA239" i="2" s="1"/>
  <c r="DU54" i="2"/>
  <c r="EY54" i="2" s="1"/>
  <c r="FA54" i="2" s="1"/>
  <c r="IB252" i="2"/>
  <c r="JF252" i="2" s="1"/>
  <c r="DU217" i="2"/>
  <c r="EY217" i="2" s="1"/>
  <c r="FA217" i="2" s="1"/>
  <c r="IB367" i="2"/>
  <c r="JF367" i="2" s="1"/>
  <c r="JH367" i="2" s="1"/>
  <c r="CJ381" i="2"/>
  <c r="DN381" i="2" s="1"/>
  <c r="DP381" i="2" s="1"/>
  <c r="DU244" i="2"/>
  <c r="EY244" i="2" s="1"/>
  <c r="FA244" i="2" s="1"/>
  <c r="CJ69" i="2"/>
  <c r="DN69" i="2" s="1"/>
  <c r="DP69" i="2" s="1"/>
  <c r="GQ46" i="2"/>
  <c r="HU46" i="2" s="1"/>
  <c r="IB368" i="2"/>
  <c r="JF368" i="2" s="1"/>
  <c r="JH368" i="2" s="1"/>
  <c r="CJ226" i="2"/>
  <c r="CM202" i="2"/>
  <c r="GT259" i="2"/>
  <c r="DU243" i="2"/>
  <c r="EY243" i="2" s="1"/>
  <c r="FA243" i="2" s="1"/>
  <c r="GQ259" i="2"/>
  <c r="IB369" i="2"/>
  <c r="JF369" i="2" s="1"/>
  <c r="JH369" i="2" s="1"/>
  <c r="GQ393" i="2"/>
  <c r="HU393" i="2" s="1"/>
  <c r="HW393" i="2" s="1"/>
  <c r="CM226" i="2"/>
  <c r="CJ202" i="2"/>
  <c r="IB296" i="2"/>
  <c r="JF296" i="2" s="1"/>
  <c r="JH296" i="2" s="1"/>
  <c r="JM23" i="2"/>
  <c r="KQ23" i="2" s="1"/>
  <c r="KS23" i="2" s="1"/>
  <c r="JM331" i="2"/>
  <c r="KQ331" i="2" s="1"/>
  <c r="KS331" i="2" s="1"/>
  <c r="AY150" i="2"/>
  <c r="CC150" i="2" s="1"/>
  <c r="CE150" i="2" s="1"/>
  <c r="GQ19" i="2"/>
  <c r="HU19" i="2" s="1"/>
  <c r="HW19" i="2" s="1"/>
  <c r="AY154" i="2"/>
  <c r="CC154" i="2" s="1"/>
  <c r="CE154" i="2" s="1"/>
  <c r="LY154" i="2" s="1"/>
  <c r="JM317" i="2"/>
  <c r="KQ317" i="2" s="1"/>
  <c r="KS317" i="2" s="1"/>
  <c r="IB168" i="2"/>
  <c r="JF168" i="2" s="1"/>
  <c r="JH168" i="2" s="1"/>
  <c r="JM330" i="2"/>
  <c r="KQ330" i="2" s="1"/>
  <c r="KS330" i="2" s="1"/>
  <c r="IB12" i="2"/>
  <c r="JF12" i="2" s="1"/>
  <c r="JH12" i="2" s="1"/>
  <c r="IB18" i="2"/>
  <c r="JF18" i="2" s="1"/>
  <c r="JH18" i="2" s="1"/>
  <c r="FF170" i="2"/>
  <c r="GJ170" i="2" s="1"/>
  <c r="GL170" i="2" s="1"/>
  <c r="FF340" i="2"/>
  <c r="GJ340" i="2" s="1"/>
  <c r="GL340" i="2" s="1"/>
  <c r="IB21" i="2"/>
  <c r="JF21" i="2" s="1"/>
  <c r="JH21" i="2" s="1"/>
  <c r="JM167" i="2"/>
  <c r="KQ167" i="2" s="1"/>
  <c r="KS167" i="2" s="1"/>
  <c r="IB178" i="2"/>
  <c r="JF178" i="2" s="1"/>
  <c r="JH178" i="2" s="1"/>
  <c r="JM32" i="2"/>
  <c r="KQ32" i="2" s="1"/>
  <c r="KS32" i="2" s="1"/>
  <c r="DU341" i="2"/>
  <c r="EY341" i="2" s="1"/>
  <c r="FA341" i="2" s="1"/>
  <c r="FF42" i="2"/>
  <c r="GJ42" i="2" s="1"/>
  <c r="GL42" i="2" s="1"/>
  <c r="FF310" i="2"/>
  <c r="GJ310" i="2" s="1"/>
  <c r="GL310" i="2" s="1"/>
  <c r="DU324" i="2"/>
  <c r="EY324" i="2" s="1"/>
  <c r="FA324" i="2" s="1"/>
  <c r="IB316" i="2"/>
  <c r="JF316" i="2" s="1"/>
  <c r="JH316" i="2" s="1"/>
  <c r="CJ153" i="2"/>
  <c r="DN153" i="2" s="1"/>
  <c r="DP153" i="2" s="1"/>
  <c r="JM30" i="2"/>
  <c r="KQ30" i="2" s="1"/>
  <c r="KS30" i="2" s="1"/>
  <c r="JM332" i="2"/>
  <c r="KQ332" i="2" s="1"/>
  <c r="KS332" i="2" s="1"/>
  <c r="JM304" i="2"/>
  <c r="KQ304" i="2" s="1"/>
  <c r="KS304" i="2" s="1"/>
  <c r="JM305" i="2"/>
  <c r="KQ305" i="2" s="1"/>
  <c r="KS305" i="2" s="1"/>
  <c r="JM25" i="2"/>
  <c r="KQ25" i="2" s="1"/>
  <c r="KS25" i="2" s="1"/>
  <c r="GQ20" i="2"/>
  <c r="HU20" i="2" s="1"/>
  <c r="HW20" i="2" s="1"/>
  <c r="IB163" i="2"/>
  <c r="JF163" i="2" s="1"/>
  <c r="JH163" i="2" s="1"/>
  <c r="IB337" i="2"/>
  <c r="JF337" i="2" s="1"/>
  <c r="JH337" i="2" s="1"/>
  <c r="GQ149" i="2"/>
  <c r="HU149" i="2" s="1"/>
  <c r="HW149" i="2" s="1"/>
  <c r="CJ327" i="2"/>
  <c r="DN327" i="2" s="1"/>
  <c r="DP327" i="2" s="1"/>
  <c r="JM152" i="2"/>
  <c r="KQ152" i="2" s="1"/>
  <c r="KS152" i="2" s="1"/>
  <c r="FF192" i="2"/>
  <c r="GJ192" i="2" s="1"/>
  <c r="GL192" i="2" s="1"/>
  <c r="CJ173" i="2"/>
  <c r="DN173" i="2" s="1"/>
  <c r="DP173" i="2" s="1"/>
  <c r="JM24" i="2"/>
  <c r="KQ24" i="2" s="1"/>
  <c r="KS24" i="2" s="1"/>
  <c r="IB38" i="2"/>
  <c r="JF38" i="2" s="1"/>
  <c r="JH38" i="2" s="1"/>
  <c r="IB181" i="2"/>
  <c r="JF181" i="2" s="1"/>
  <c r="JH181" i="2" s="1"/>
  <c r="JM308" i="2"/>
  <c r="KQ308" i="2" s="1"/>
  <c r="KS308" i="2" s="1"/>
  <c r="AY22" i="2"/>
  <c r="CC22" i="2" s="1"/>
  <c r="CE22" i="2" s="1"/>
  <c r="CJ174" i="2"/>
  <c r="DN174" i="2" s="1"/>
  <c r="DP174" i="2" s="1"/>
  <c r="IB44" i="2"/>
  <c r="JF44" i="2" s="1"/>
  <c r="JH44" i="2" s="1"/>
  <c r="IB45" i="2"/>
  <c r="JF45" i="2" s="1"/>
  <c r="JH45" i="2" s="1"/>
  <c r="JM338" i="2"/>
  <c r="KQ338" i="2" s="1"/>
  <c r="KS338" i="2" s="1"/>
  <c r="GQ33" i="2"/>
  <c r="HU33" i="2" s="1"/>
  <c r="HW33" i="2" s="1"/>
  <c r="FF325" i="2"/>
  <c r="GJ325" i="2" s="1"/>
  <c r="GL325" i="2" s="1"/>
  <c r="JM166" i="2"/>
  <c r="KQ166" i="2" s="1"/>
  <c r="KS166" i="2" s="1"/>
  <c r="CJ171" i="2"/>
  <c r="DN171" i="2" s="1"/>
  <c r="DP171" i="2" s="1"/>
  <c r="JM397" i="2"/>
  <c r="KQ397" i="2" s="1"/>
  <c r="KS397" i="2" s="1"/>
  <c r="JM156" i="2"/>
  <c r="KQ156" i="2" s="1"/>
  <c r="KS156" i="2" s="1"/>
  <c r="JM309" i="2"/>
  <c r="KQ309" i="2" s="1"/>
  <c r="KS309" i="2" s="1"/>
  <c r="IB187" i="2"/>
  <c r="JF187" i="2" s="1"/>
  <c r="JH187" i="2" s="1"/>
  <c r="GQ191" i="2"/>
  <c r="HU191" i="2" s="1"/>
  <c r="HW191" i="2" s="1"/>
  <c r="CJ182" i="2"/>
  <c r="DN182" i="2" s="1"/>
  <c r="DP182" i="2" s="1"/>
  <c r="IB13" i="2"/>
  <c r="JF13" i="2" s="1"/>
  <c r="JH13" i="2" s="1"/>
  <c r="JM26" i="2"/>
  <c r="KQ26" i="2" s="1"/>
  <c r="KS26" i="2" s="1"/>
  <c r="IB159" i="2"/>
  <c r="JF159" i="2" s="1"/>
  <c r="JH159" i="2" s="1"/>
  <c r="JM40" i="2"/>
  <c r="KQ40" i="2" s="1"/>
  <c r="KS40" i="2" s="1"/>
  <c r="AY197" i="2"/>
  <c r="CC197" i="2" s="1"/>
  <c r="CE197" i="2" s="1"/>
  <c r="IB169" i="2"/>
  <c r="JF169" i="2" s="1"/>
  <c r="JH169" i="2" s="1"/>
  <c r="IB311" i="2"/>
  <c r="JF311" i="2" s="1"/>
  <c r="JH311" i="2" s="1"/>
  <c r="IB11" i="2"/>
  <c r="JF11" i="2" s="1"/>
  <c r="JH11" i="2" s="1"/>
  <c r="IB336" i="2"/>
  <c r="JF336" i="2" s="1"/>
  <c r="JH336" i="2" s="1"/>
  <c r="GQ145" i="2"/>
  <c r="HU145" i="2" s="1"/>
  <c r="HW145" i="2" s="1"/>
  <c r="JM193" i="2"/>
  <c r="KQ193" i="2" s="1"/>
  <c r="KS193" i="2" s="1"/>
  <c r="JM41" i="2"/>
  <c r="KQ41" i="2" s="1"/>
  <c r="KS41" i="2" s="1"/>
  <c r="IB17" i="2"/>
  <c r="JF17" i="2" s="1"/>
  <c r="JH17" i="2" s="1"/>
  <c r="IB37" i="2"/>
  <c r="JF37" i="2" s="1"/>
  <c r="JH37" i="2" s="1"/>
  <c r="GQ186" i="2"/>
  <c r="HU186" i="2" s="1"/>
  <c r="HW186" i="2" s="1"/>
  <c r="IB14" i="2"/>
  <c r="JF14" i="2" s="1"/>
  <c r="JH14" i="2" s="1"/>
  <c r="AY172" i="2"/>
  <c r="CC172" i="2" s="1"/>
  <c r="CE172" i="2" s="1"/>
  <c r="IB36" i="2"/>
  <c r="JF36" i="2" s="1"/>
  <c r="JH36" i="2" s="1"/>
  <c r="IB31" i="2"/>
  <c r="JF31" i="2" s="1"/>
  <c r="JH31" i="2" s="1"/>
  <c r="GQ180" i="2"/>
  <c r="HU180" i="2" s="1"/>
  <c r="HW180" i="2" s="1"/>
  <c r="DU183" i="2"/>
  <c r="EY183" i="2" s="1"/>
  <c r="FA183" i="2" s="1"/>
  <c r="GQ147" i="2"/>
  <c r="HU147" i="2" s="1"/>
  <c r="HW147" i="2" s="1"/>
  <c r="CJ322" i="2"/>
  <c r="DN322" i="2" s="1"/>
  <c r="DP322" i="2" s="1"/>
  <c r="JM155" i="2"/>
  <c r="KQ155" i="2" s="1"/>
  <c r="KS155" i="2" s="1"/>
  <c r="IB300" i="2"/>
  <c r="JF300" i="2" s="1"/>
  <c r="JH300" i="2" s="1"/>
  <c r="IB27" i="2"/>
  <c r="JF27" i="2" s="1"/>
  <c r="JH27" i="2" s="1"/>
  <c r="AY43" i="2"/>
  <c r="CC43" i="2" s="1"/>
  <c r="CE43" i="2" s="1"/>
  <c r="IB165" i="2"/>
  <c r="JF165" i="2" s="1"/>
  <c r="JH165" i="2" s="1"/>
  <c r="DU196" i="2"/>
  <c r="EY196" i="2" s="1"/>
  <c r="FA196" i="2" s="1"/>
  <c r="IB16" i="2"/>
  <c r="JF16" i="2" s="1"/>
  <c r="JH16" i="2" s="1"/>
  <c r="IB15" i="2"/>
  <c r="JF15" i="2" s="1"/>
  <c r="JH15" i="2" s="1"/>
  <c r="IB303" i="2"/>
  <c r="JF303" i="2" s="1"/>
  <c r="JH303" i="2" s="1"/>
  <c r="DU339" i="2"/>
  <c r="EY339" i="2" s="1"/>
  <c r="FA339" i="2" s="1"/>
  <c r="IB148" i="2"/>
  <c r="JF148" i="2" s="1"/>
  <c r="JH148" i="2" s="1"/>
  <c r="JM158" i="2"/>
  <c r="KQ158" i="2" s="1"/>
  <c r="KS158" i="2" s="1"/>
  <c r="GQ328" i="2"/>
  <c r="HU328" i="2" s="1"/>
  <c r="HW328" i="2" s="1"/>
  <c r="CJ142" i="2"/>
  <c r="DN142" i="2" s="1"/>
  <c r="DP142" i="2" s="1"/>
  <c r="CJ175" i="2"/>
  <c r="DN175" i="2" s="1"/>
  <c r="DP175" i="2" s="1"/>
  <c r="JM307" i="2"/>
  <c r="KQ307" i="2" s="1"/>
  <c r="KS307" i="2" s="1"/>
  <c r="JM400" i="2"/>
  <c r="KQ400" i="2" s="1"/>
  <c r="KS400" i="2" s="1"/>
  <c r="DU326" i="2"/>
  <c r="EY326" i="2" s="1"/>
  <c r="FA326" i="2" s="1"/>
  <c r="CJ298" i="2"/>
  <c r="DN298" i="2" s="1"/>
  <c r="DP298" i="2" s="1"/>
  <c r="JM342" i="2"/>
  <c r="KQ342" i="2" s="1"/>
  <c r="KS342" i="2" s="1"/>
  <c r="JM194" i="2"/>
  <c r="KQ194" i="2" s="1"/>
  <c r="KS194" i="2" s="1"/>
  <c r="JM198" i="2"/>
  <c r="KQ198" i="2" s="1"/>
  <c r="KS198" i="2" s="1"/>
  <c r="IB190" i="2"/>
  <c r="JF190" i="2" s="1"/>
  <c r="JH190" i="2" s="1"/>
  <c r="DU315" i="2"/>
  <c r="EY315" i="2" s="1"/>
  <c r="FA315" i="2" s="1"/>
  <c r="GQ146" i="2"/>
  <c r="HU146" i="2" s="1"/>
  <c r="HW146" i="2" s="1"/>
  <c r="DU176" i="2"/>
  <c r="EY176" i="2" s="1"/>
  <c r="FA176" i="2" s="1"/>
  <c r="JM297" i="2"/>
  <c r="KQ297" i="2" s="1"/>
  <c r="KS297" i="2" s="1"/>
  <c r="IB39" i="2"/>
  <c r="JF39" i="2" s="1"/>
  <c r="JH39" i="2" s="1"/>
  <c r="IB398" i="2"/>
  <c r="JF398" i="2" s="1"/>
  <c r="JH398" i="2" s="1"/>
  <c r="JM399" i="2"/>
  <c r="KQ399" i="2" s="1"/>
  <c r="KS399" i="2" s="1"/>
  <c r="IB184" i="2"/>
  <c r="JF184" i="2" s="1"/>
  <c r="JH184" i="2" s="1"/>
  <c r="JM140" i="2"/>
  <c r="KQ140" i="2" s="1"/>
  <c r="KS140" i="2" s="1"/>
  <c r="AY333" i="2"/>
  <c r="CC333" i="2" s="1"/>
  <c r="CE333" i="2" s="1"/>
  <c r="DU177" i="2"/>
  <c r="EY177" i="2" s="1"/>
  <c r="FA177" i="2" s="1"/>
  <c r="IB312" i="2"/>
  <c r="JF312" i="2" s="1"/>
  <c r="JH312" i="2" s="1"/>
  <c r="JM302" i="2"/>
  <c r="KQ302" i="2" s="1"/>
  <c r="KS302" i="2" s="1"/>
  <c r="IB299" i="2"/>
  <c r="JF299" i="2" s="1"/>
  <c r="JH299" i="2" s="1"/>
  <c r="IB144" i="2"/>
  <c r="JF144" i="2" s="1"/>
  <c r="JH144" i="2" s="1"/>
  <c r="IB301" i="2"/>
  <c r="JF301" i="2" s="1"/>
  <c r="JH301" i="2" s="1"/>
  <c r="IB179" i="2"/>
  <c r="JF179" i="2" s="1"/>
  <c r="JH179" i="2" s="1"/>
  <c r="FF323" i="2"/>
  <c r="GJ323" i="2" s="1"/>
  <c r="GL323" i="2" s="1"/>
  <c r="GQ157" i="2"/>
  <c r="HU157" i="2" s="1"/>
  <c r="HW157" i="2" s="1"/>
  <c r="IB185" i="2"/>
  <c r="JF185" i="2" s="1"/>
  <c r="JH185" i="2" s="1"/>
  <c r="IB199" i="2"/>
  <c r="JF199" i="2" s="1"/>
  <c r="JH199" i="2" s="1"/>
  <c r="CJ48" i="2"/>
  <c r="DN48" i="2" s="1"/>
  <c r="DP48" i="2" s="1"/>
  <c r="N394" i="2"/>
  <c r="AR394" i="2" s="1"/>
  <c r="AT394" i="2" s="1"/>
  <c r="N261" i="2"/>
  <c r="AR261" i="2" s="1"/>
  <c r="AT261" i="2" s="1"/>
  <c r="N124" i="2"/>
  <c r="AR124" i="2" s="1"/>
  <c r="AT124" i="2" s="1"/>
  <c r="AY75" i="2"/>
  <c r="CC75" i="2" s="1"/>
  <c r="CE75" i="2" s="1"/>
  <c r="N387" i="2"/>
  <c r="AR387" i="2" s="1"/>
  <c r="AT387" i="2" s="1"/>
  <c r="N115" i="2"/>
  <c r="AR115" i="2" s="1"/>
  <c r="AT115" i="2" s="1"/>
  <c r="N362" i="2"/>
  <c r="AR362" i="2" s="1"/>
  <c r="AT362" i="2" s="1"/>
  <c r="N123" i="2"/>
  <c r="AR123" i="2" s="1"/>
  <c r="AT123" i="2" s="1"/>
  <c r="N231" i="2"/>
  <c r="AR231" i="2" s="1"/>
  <c r="AT231" i="2" s="1"/>
  <c r="CM78" i="2"/>
  <c r="N97" i="2"/>
  <c r="AR97" i="2" s="1"/>
  <c r="AT97" i="2" s="1"/>
  <c r="AY62" i="2"/>
  <c r="CC62" i="2" s="1"/>
  <c r="CE62" i="2" s="1"/>
  <c r="N251" i="2"/>
  <c r="AR251" i="2" s="1"/>
  <c r="AT251" i="2" s="1"/>
  <c r="CJ75" i="2"/>
  <c r="DN75" i="2" s="1"/>
  <c r="DP75" i="2" s="1"/>
  <c r="AY238" i="2"/>
  <c r="CC238" i="2" s="1"/>
  <c r="N84" i="2"/>
  <c r="AR84" i="2" s="1"/>
  <c r="AT84" i="2" s="1"/>
  <c r="N57" i="2"/>
  <c r="AR57" i="2" s="1"/>
  <c r="AT57" i="2" s="1"/>
  <c r="N348" i="2"/>
  <c r="AR348" i="2" s="1"/>
  <c r="N239" i="2"/>
  <c r="AR239" i="2" s="1"/>
  <c r="AT239" i="2" s="1"/>
  <c r="N237" i="2"/>
  <c r="AR237" i="2" s="1"/>
  <c r="AT237" i="2" s="1"/>
  <c r="N101" i="2"/>
  <c r="AR101" i="2" s="1"/>
  <c r="AT101" i="2" s="1"/>
  <c r="N240" i="2"/>
  <c r="AR240" i="2" s="1"/>
  <c r="AT240" i="2" s="1"/>
  <c r="N106" i="2"/>
  <c r="AR106" i="2" s="1"/>
  <c r="AT106" i="2" s="1"/>
  <c r="N121" i="2"/>
  <c r="AR121" i="2" s="1"/>
  <c r="AT121" i="2" s="1"/>
  <c r="N130" i="2"/>
  <c r="AR130" i="2" s="1"/>
  <c r="AT130" i="2" s="1"/>
  <c r="N219" i="2"/>
  <c r="AR219" i="2" s="1"/>
  <c r="AT219" i="2" s="1"/>
  <c r="N74" i="2"/>
  <c r="AR74" i="2" s="1"/>
  <c r="AT74" i="2" s="1"/>
  <c r="N223" i="2"/>
  <c r="AR223" i="2" s="1"/>
  <c r="AT223" i="2" s="1"/>
  <c r="DU47" i="2"/>
  <c r="EY47" i="2" s="1"/>
  <c r="FA47" i="2" s="1"/>
  <c r="AY372" i="2"/>
  <c r="CC372" i="2" s="1"/>
  <c r="CE372" i="2" s="1"/>
  <c r="N116" i="2"/>
  <c r="AR116" i="2" s="1"/>
  <c r="AT116" i="2" s="1"/>
  <c r="GQ382" i="2"/>
  <c r="HU382" i="2" s="1"/>
  <c r="HW382" i="2" s="1"/>
  <c r="N249" i="2"/>
  <c r="AR249" i="2" s="1"/>
  <c r="AT249" i="2" s="1"/>
  <c r="N385" i="2"/>
  <c r="AR385" i="2" s="1"/>
  <c r="AT385" i="2" s="1"/>
  <c r="N99" i="2"/>
  <c r="AR99" i="2" s="1"/>
  <c r="N285" i="2"/>
  <c r="AR285" i="2" s="1"/>
  <c r="AT285" i="2" s="1"/>
  <c r="N52" i="2"/>
  <c r="AR52" i="2" s="1"/>
  <c r="AT52" i="2" s="1"/>
  <c r="N375" i="2"/>
  <c r="AR375" i="2" s="1"/>
  <c r="AT375" i="2" s="1"/>
  <c r="N47" i="2"/>
  <c r="AR47" i="2" s="1"/>
  <c r="AT47" i="2" s="1"/>
  <c r="N207" i="2"/>
  <c r="AR207" i="2" s="1"/>
  <c r="AT207" i="2" s="1"/>
  <c r="N127" i="2"/>
  <c r="AR127" i="2" s="1"/>
  <c r="AT127" i="2" s="1"/>
  <c r="N134" i="2"/>
  <c r="AR134" i="2" s="1"/>
  <c r="AT134" i="2" s="1"/>
  <c r="N202" i="2"/>
  <c r="AR202" i="2" s="1"/>
  <c r="AT202" i="2" s="1"/>
  <c r="N203" i="2"/>
  <c r="AR203" i="2" s="1"/>
  <c r="AT203" i="2" s="1"/>
  <c r="N273" i="2"/>
  <c r="AR273" i="2" s="1"/>
  <c r="AT273" i="2" s="1"/>
  <c r="N128" i="2"/>
  <c r="AR128" i="2" s="1"/>
  <c r="AT128" i="2" s="1"/>
  <c r="N358" i="2"/>
  <c r="AR358" i="2" s="1"/>
  <c r="AY88" i="2"/>
  <c r="CC88" i="2" s="1"/>
  <c r="CE88" i="2" s="1"/>
  <c r="N266" i="2"/>
  <c r="AR266" i="2" s="1"/>
  <c r="AT266" i="2" s="1"/>
  <c r="N92" i="2"/>
  <c r="AR92" i="2" s="1"/>
  <c r="AT92" i="2" s="1"/>
  <c r="N241" i="2"/>
  <c r="AR241" i="2" s="1"/>
  <c r="AT241" i="2" s="1"/>
  <c r="CM212" i="2"/>
  <c r="N379" i="2"/>
  <c r="AR379" i="2" s="1"/>
  <c r="AT379" i="2" s="1"/>
  <c r="N225" i="2"/>
  <c r="AR225" i="2" s="1"/>
  <c r="AT225" i="2" s="1"/>
  <c r="N278" i="2"/>
  <c r="AR278" i="2" s="1"/>
  <c r="AT278" i="2" s="1"/>
  <c r="N53" i="2"/>
  <c r="AR53" i="2" s="1"/>
  <c r="AT53" i="2" s="1"/>
  <c r="N388" i="2"/>
  <c r="AR388" i="2" s="1"/>
  <c r="AT388" i="2" s="1"/>
  <c r="Q376" i="2"/>
  <c r="N85" i="2"/>
  <c r="AR85" i="2" s="1"/>
  <c r="AT85" i="2" s="1"/>
  <c r="N293" i="2"/>
  <c r="AR293" i="2" s="1"/>
  <c r="AT293" i="2" s="1"/>
  <c r="DU375" i="2"/>
  <c r="EY375" i="2" s="1"/>
  <c r="FA375" i="2" s="1"/>
  <c r="N109" i="2"/>
  <c r="AR109" i="2" s="1"/>
  <c r="AT109" i="2" s="1"/>
  <c r="N245" i="2"/>
  <c r="AR245" i="2" s="1"/>
  <c r="AT245" i="2" s="1"/>
  <c r="FF114" i="2"/>
  <c r="GJ114" i="2" s="1"/>
  <c r="GL114" i="2" s="1"/>
  <c r="N215" i="2"/>
  <c r="AR215" i="2" s="1"/>
  <c r="AT215" i="2" s="1"/>
  <c r="N272" i="2"/>
  <c r="AR272" i="2" s="1"/>
  <c r="AT272" i="2" s="1"/>
  <c r="N58" i="2"/>
  <c r="AR58" i="2" s="1"/>
  <c r="AT58" i="2" s="1"/>
  <c r="N280" i="2"/>
  <c r="AR280" i="2" s="1"/>
  <c r="AT280" i="2" s="1"/>
  <c r="N350" i="2"/>
  <c r="AR350" i="2" s="1"/>
  <c r="N105" i="2"/>
  <c r="AR105" i="2" s="1"/>
  <c r="AT105" i="2" s="1"/>
  <c r="AY379" i="2"/>
  <c r="CC379" i="2" s="1"/>
  <c r="CE379" i="2" s="1"/>
  <c r="N289" i="2"/>
  <c r="AR289" i="2" s="1"/>
  <c r="AT289" i="2" s="1"/>
  <c r="CJ264" i="2"/>
  <c r="DN264" i="2" s="1"/>
  <c r="DP264" i="2" s="1"/>
  <c r="N230" i="2"/>
  <c r="AR230" i="2" s="1"/>
  <c r="AT230" i="2" s="1"/>
  <c r="AY351" i="2"/>
  <c r="CC351" i="2" s="1"/>
  <c r="CE351" i="2" s="1"/>
  <c r="N361" i="2"/>
  <c r="AR361" i="2" s="1"/>
  <c r="AT361" i="2" s="1"/>
  <c r="N282" i="2"/>
  <c r="AR282" i="2" s="1"/>
  <c r="AT282" i="2" s="1"/>
  <c r="N346" i="2"/>
  <c r="AR346" i="2" s="1"/>
  <c r="AT346" i="2" s="1"/>
  <c r="N80" i="2"/>
  <c r="AR80" i="2" s="1"/>
  <c r="AT80" i="2" s="1"/>
  <c r="N98" i="2"/>
  <c r="AR98" i="2" s="1"/>
  <c r="AT98" i="2" s="1"/>
  <c r="N224" i="2"/>
  <c r="AR224" i="2" s="1"/>
  <c r="AT224" i="2" s="1"/>
  <c r="N62" i="2"/>
  <c r="AR62" i="2" s="1"/>
  <c r="AT62" i="2" s="1"/>
  <c r="N243" i="2"/>
  <c r="AR243" i="2" s="1"/>
  <c r="AT243" i="2" s="1"/>
  <c r="FF113" i="2"/>
  <c r="GJ113" i="2" s="1"/>
  <c r="GL113" i="2" s="1"/>
  <c r="N70" i="2"/>
  <c r="AR70" i="2" s="1"/>
  <c r="AT70" i="2" s="1"/>
  <c r="N51" i="2"/>
  <c r="AR51" i="2" s="1"/>
  <c r="AT51" i="2" s="1"/>
  <c r="LY51" i="2" s="1"/>
  <c r="N370" i="2"/>
  <c r="AR370" i="2" s="1"/>
  <c r="AT370" i="2" s="1"/>
  <c r="N214" i="2"/>
  <c r="AR214" i="2" s="1"/>
  <c r="AT214" i="2" s="1"/>
  <c r="N138" i="2"/>
  <c r="AR138" i="2" s="1"/>
  <c r="AT138" i="2" s="1"/>
  <c r="N86" i="2"/>
  <c r="AR86" i="2" s="1"/>
  <c r="AT86" i="2" s="1"/>
  <c r="N351" i="2"/>
  <c r="AR351" i="2" s="1"/>
  <c r="AT351" i="2" s="1"/>
  <c r="N107" i="2"/>
  <c r="AR107" i="2" s="1"/>
  <c r="AT107" i="2" s="1"/>
  <c r="N82" i="2"/>
  <c r="AR82" i="2" s="1"/>
  <c r="AT82" i="2" s="1"/>
  <c r="N254" i="2"/>
  <c r="AR254" i="2" s="1"/>
  <c r="AT254" i="2" s="1"/>
  <c r="AY381" i="2"/>
  <c r="CC381" i="2" s="1"/>
  <c r="CE381" i="2" s="1"/>
  <c r="N286" i="2"/>
  <c r="AR286" i="2" s="1"/>
  <c r="AT286" i="2" s="1"/>
  <c r="N77" i="2"/>
  <c r="AR77" i="2" s="1"/>
  <c r="AT77" i="2" s="1"/>
  <c r="N76" i="2"/>
  <c r="AR76" i="2" s="1"/>
  <c r="AT76" i="2" s="1"/>
  <c r="N381" i="2"/>
  <c r="AR381" i="2" s="1"/>
  <c r="AT381" i="2" s="1"/>
  <c r="N102" i="2"/>
  <c r="AR102" i="2" s="1"/>
  <c r="AT102" i="2" s="1"/>
  <c r="DU233" i="2"/>
  <c r="EY233" i="2" s="1"/>
  <c r="FA233" i="2" s="1"/>
  <c r="N89" i="2"/>
  <c r="AR89" i="2" s="1"/>
  <c r="AT89" i="2" s="1"/>
  <c r="N283" i="2"/>
  <c r="AR283" i="2" s="1"/>
  <c r="AT283" i="2" s="1"/>
  <c r="N96" i="2"/>
  <c r="AR96" i="2" s="1"/>
  <c r="AT96" i="2" s="1"/>
  <c r="N284" i="2"/>
  <c r="AR284" i="2" s="1"/>
  <c r="AT284" i="2" s="1"/>
  <c r="N110" i="2"/>
  <c r="AR110" i="2" s="1"/>
  <c r="AT110" i="2" s="1"/>
  <c r="N208" i="2"/>
  <c r="AR208" i="2" s="1"/>
  <c r="N73" i="2"/>
  <c r="AR73" i="2" s="1"/>
  <c r="AT73" i="2" s="1"/>
  <c r="N369" i="2"/>
  <c r="AR369" i="2" s="1"/>
  <c r="AT369" i="2" s="1"/>
  <c r="N268" i="2"/>
  <c r="AR268" i="2" s="1"/>
  <c r="AT268" i="2" s="1"/>
  <c r="N122" i="2"/>
  <c r="AR122" i="2" s="1"/>
  <c r="AT122" i="2" s="1"/>
  <c r="N364" i="2"/>
  <c r="AR364" i="2" s="1"/>
  <c r="AT364" i="2" s="1"/>
  <c r="N66" i="2"/>
  <c r="AR66" i="2" s="1"/>
  <c r="AT66" i="2" s="1"/>
  <c r="DU86" i="2"/>
  <c r="EY86" i="2" s="1"/>
  <c r="FA86" i="2" s="1"/>
  <c r="N267" i="2"/>
  <c r="AR267" i="2" s="1"/>
  <c r="AT267" i="2" s="1"/>
  <c r="N349" i="2"/>
  <c r="AR349" i="2" s="1"/>
  <c r="AT349" i="2" s="1"/>
  <c r="N81" i="2"/>
  <c r="AR81" i="2" s="1"/>
  <c r="AT81" i="2" s="1"/>
  <c r="N238" i="2"/>
  <c r="AR238" i="2" s="1"/>
  <c r="N104" i="2"/>
  <c r="AR104" i="2" s="1"/>
  <c r="AT104" i="2" s="1"/>
  <c r="CJ212" i="2"/>
  <c r="N279" i="2"/>
  <c r="AR279" i="2" s="1"/>
  <c r="AT279" i="2" s="1"/>
  <c r="N131" i="2"/>
  <c r="AR131" i="2" s="1"/>
  <c r="AT131" i="2" s="1"/>
  <c r="N63" i="2"/>
  <c r="AR63" i="2" s="1"/>
  <c r="AT63" i="2" s="1"/>
  <c r="N255" i="2"/>
  <c r="AR255" i="2" s="1"/>
  <c r="AT255" i="2" s="1"/>
  <c r="N117" i="2"/>
  <c r="AR117" i="2" s="1"/>
  <c r="AT117" i="2" s="1"/>
  <c r="N137" i="2"/>
  <c r="AR137" i="2" s="1"/>
  <c r="AT137" i="2" s="1"/>
  <c r="LY137" i="2" s="1"/>
  <c r="N218" i="2"/>
  <c r="AR218" i="2" s="1"/>
  <c r="AT218" i="2" s="1"/>
  <c r="AY49" i="2"/>
  <c r="CC49" i="2" s="1"/>
  <c r="CE49" i="2" s="1"/>
  <c r="BB216" i="2"/>
  <c r="N395" i="2"/>
  <c r="AR395" i="2" s="1"/>
  <c r="AT395" i="2" s="1"/>
  <c r="N87" i="2"/>
  <c r="AR87" i="2" s="1"/>
  <c r="AT87" i="2" s="1"/>
  <c r="N253" i="2"/>
  <c r="AR253" i="2" s="1"/>
  <c r="AT253" i="2" s="1"/>
  <c r="N262" i="2"/>
  <c r="AR262" i="2" s="1"/>
  <c r="AT262" i="2" s="1"/>
  <c r="GQ375" i="2"/>
  <c r="HU375" i="2" s="1"/>
  <c r="HW375" i="2" s="1"/>
  <c r="N67" i="2"/>
  <c r="AR67" i="2" s="1"/>
  <c r="AT67" i="2" s="1"/>
  <c r="N61" i="2"/>
  <c r="AR61" i="2" s="1"/>
  <c r="AT61" i="2" s="1"/>
  <c r="LY61" i="2" s="1"/>
  <c r="N374" i="2"/>
  <c r="AR374" i="2" s="1"/>
  <c r="AT374" i="2" s="1"/>
  <c r="AY104" i="2"/>
  <c r="AY73" i="2"/>
  <c r="CC73" i="2" s="1"/>
  <c r="CE73" i="2" s="1"/>
  <c r="CJ231" i="2"/>
  <c r="N78" i="2"/>
  <c r="AR78" i="2" s="1"/>
  <c r="AT78" i="2" s="1"/>
  <c r="N391" i="2"/>
  <c r="AR391" i="2" s="1"/>
  <c r="AT391" i="2" s="1"/>
  <c r="N103" i="2"/>
  <c r="AR103" i="2" s="1"/>
  <c r="AT103" i="2" s="1"/>
  <c r="N48" i="2"/>
  <c r="AR48" i="2" s="1"/>
  <c r="AT48" i="2" s="1"/>
  <c r="N392" i="2"/>
  <c r="AR392" i="2" s="1"/>
  <c r="AT392" i="2" s="1"/>
  <c r="N119" i="2"/>
  <c r="AR119" i="2" s="1"/>
  <c r="AT119" i="2" s="1"/>
  <c r="N125" i="2"/>
  <c r="AR125" i="2" s="1"/>
  <c r="AT125" i="2" s="1"/>
  <c r="N263" i="2"/>
  <c r="AR263" i="2" s="1"/>
  <c r="AT263" i="2" s="1"/>
  <c r="N112" i="2"/>
  <c r="AR112" i="2" s="1"/>
  <c r="AT112" i="2" s="1"/>
  <c r="N72" i="2"/>
  <c r="AR72" i="2" s="1"/>
  <c r="AT72" i="2" s="1"/>
  <c r="AY233" i="2"/>
  <c r="CC233" i="2" s="1"/>
  <c r="CE233" i="2" s="1"/>
  <c r="N94" i="2"/>
  <c r="AR94" i="2" s="1"/>
  <c r="AT94" i="2" s="1"/>
  <c r="AY384" i="2"/>
  <c r="CC384" i="2" s="1"/>
  <c r="N95" i="2"/>
  <c r="AR95" i="2" s="1"/>
  <c r="AT95" i="2" s="1"/>
  <c r="N365" i="2"/>
  <c r="AR365" i="2" s="1"/>
  <c r="AT365" i="2" s="1"/>
  <c r="DU48" i="2"/>
  <c r="EY48" i="2" s="1"/>
  <c r="FA48" i="2" s="1"/>
  <c r="N55" i="2"/>
  <c r="AR55" i="2" s="1"/>
  <c r="AT55" i="2" s="1"/>
  <c r="N234" i="2"/>
  <c r="AR234" i="2" s="1"/>
  <c r="AT234" i="2" s="1"/>
  <c r="N371" i="2"/>
  <c r="AR371" i="2" s="1"/>
  <c r="AT371" i="2" s="1"/>
  <c r="CJ47" i="2"/>
  <c r="DN47" i="2" s="1"/>
  <c r="DP47" i="2" s="1"/>
  <c r="N229" i="2"/>
  <c r="AR229" i="2" s="1"/>
  <c r="AT229" i="2" s="1"/>
  <c r="N68" i="2"/>
  <c r="AR68" i="2" s="1"/>
  <c r="AT68" i="2" s="1"/>
  <c r="N383" i="2"/>
  <c r="AR383" i="2" s="1"/>
  <c r="AT383" i="2" s="1"/>
  <c r="N287" i="2"/>
  <c r="AR287" i="2" s="1"/>
  <c r="AT287" i="2" s="1"/>
  <c r="N386" i="2"/>
  <c r="AR386" i="2" s="1"/>
  <c r="AT386" i="2" s="1"/>
  <c r="N271" i="2"/>
  <c r="AR271" i="2" s="1"/>
  <c r="AT271" i="2" s="1"/>
  <c r="N265" i="2"/>
  <c r="AR265" i="2" s="1"/>
  <c r="AT265" i="2" s="1"/>
  <c r="Q292" i="2"/>
  <c r="N49" i="2"/>
  <c r="AR49" i="2" s="1"/>
  <c r="AT49" i="2" s="1"/>
  <c r="N220" i="2"/>
  <c r="AR220" i="2" s="1"/>
  <c r="AT220" i="2" s="1"/>
  <c r="N50" i="2"/>
  <c r="AR50" i="2" s="1"/>
  <c r="AT50" i="2" s="1"/>
  <c r="N120" i="2"/>
  <c r="AR120" i="2" s="1"/>
  <c r="AT120" i="2" s="1"/>
  <c r="N91" i="2"/>
  <c r="AR91" i="2" s="1"/>
  <c r="AT91" i="2" s="1"/>
  <c r="N250" i="2"/>
  <c r="AR250" i="2" s="1"/>
  <c r="AT250" i="2" s="1"/>
  <c r="N345" i="2"/>
  <c r="AR345" i="2" s="1"/>
  <c r="AT345" i="2" s="1"/>
  <c r="N126" i="2"/>
  <c r="AR126" i="2" s="1"/>
  <c r="AT126" i="2" s="1"/>
  <c r="IB85" i="2"/>
  <c r="JF85" i="2" s="1"/>
  <c r="JH85" i="2" s="1"/>
  <c r="N244" i="2"/>
  <c r="AR244" i="2" s="1"/>
  <c r="AT244" i="2" s="1"/>
  <c r="N108" i="2"/>
  <c r="AR108" i="2" s="1"/>
  <c r="AT108" i="2" s="1"/>
  <c r="CJ235" i="2"/>
  <c r="DN235" i="2" s="1"/>
  <c r="DP235" i="2" s="1"/>
  <c r="N79" i="2"/>
  <c r="AR79" i="2" s="1"/>
  <c r="AT79" i="2" s="1"/>
  <c r="N232" i="2"/>
  <c r="AR232" i="2" s="1"/>
  <c r="AT232" i="2" s="1"/>
  <c r="N247" i="2"/>
  <c r="AR247" i="2" s="1"/>
  <c r="AT247" i="2" s="1"/>
  <c r="N69" i="2"/>
  <c r="AR69" i="2" s="1"/>
  <c r="AT69" i="2" s="1"/>
  <c r="AY228" i="2"/>
  <c r="CC228" i="2" s="1"/>
  <c r="CE228" i="2" s="1"/>
  <c r="N129" i="2"/>
  <c r="Q352" i="2"/>
  <c r="N228" i="2"/>
  <c r="AR228" i="2" s="1"/>
  <c r="AT228" i="2" s="1"/>
  <c r="AY380" i="2"/>
  <c r="CC380" i="2" s="1"/>
  <c r="CE380" i="2" s="1"/>
  <c r="BB120" i="2"/>
  <c r="N292" i="2"/>
  <c r="N360" i="2"/>
  <c r="AR360" i="2" s="1"/>
  <c r="AT360" i="2" s="1"/>
  <c r="AY59" i="2"/>
  <c r="CM231" i="2"/>
  <c r="N56" i="2"/>
  <c r="AR56" i="2" s="1"/>
  <c r="AT56" i="2" s="1"/>
  <c r="N352" i="2"/>
  <c r="N248" i="2"/>
  <c r="AR248" i="2" s="1"/>
  <c r="AT248" i="2" s="1"/>
  <c r="CJ358" i="2"/>
  <c r="DN358" i="2" s="1"/>
  <c r="N93" i="2"/>
  <c r="N373" i="2"/>
  <c r="AR373" i="2" s="1"/>
  <c r="AT373" i="2" s="1"/>
  <c r="N357" i="2"/>
  <c r="AR357" i="2" s="1"/>
  <c r="AT357" i="2" s="1"/>
  <c r="N376" i="2"/>
  <c r="N359" i="2"/>
  <c r="AR359" i="2" s="1"/>
  <c r="AT359" i="2" s="1"/>
  <c r="N212" i="2"/>
  <c r="AR212" i="2" s="1"/>
  <c r="N65" i="2"/>
  <c r="AR65" i="2" s="1"/>
  <c r="AT65" i="2" s="1"/>
  <c r="N136" i="2"/>
  <c r="AR136" i="2" s="1"/>
  <c r="AT136" i="2" s="1"/>
  <c r="BB252" i="2"/>
  <c r="N269" i="2"/>
  <c r="AR269" i="2" s="1"/>
  <c r="AT269" i="2" s="1"/>
  <c r="Q71" i="2"/>
  <c r="CJ78" i="2"/>
  <c r="N384" i="2"/>
  <c r="AR384" i="2" s="1"/>
  <c r="N347" i="2"/>
  <c r="AR347" i="2" s="1"/>
  <c r="AT347" i="2" s="1"/>
  <c r="N355" i="2"/>
  <c r="AR355" i="2" s="1"/>
  <c r="AT355" i="2" s="1"/>
  <c r="LY355" i="2" s="1"/>
  <c r="MS355" i="2" s="1"/>
  <c r="Q59" i="2"/>
  <c r="AY126" i="2"/>
  <c r="CC126" i="2" s="1"/>
  <c r="CE126" i="2" s="1"/>
  <c r="N210" i="2"/>
  <c r="AR210" i="2" s="1"/>
  <c r="AT210" i="2" s="1"/>
  <c r="BB59" i="2"/>
  <c r="N259" i="2"/>
  <c r="AR259" i="2" s="1"/>
  <c r="AT259" i="2" s="1"/>
  <c r="AY252" i="2"/>
  <c r="Q129" i="2"/>
  <c r="BB348" i="2"/>
  <c r="N59" i="2"/>
  <c r="N75" i="2"/>
  <c r="AR75" i="2" s="1"/>
  <c r="AT75" i="2" s="1"/>
  <c r="AY348" i="2"/>
  <c r="N246" i="2"/>
  <c r="AR246" i="2" s="1"/>
  <c r="AT246" i="2" s="1"/>
  <c r="BB104" i="2"/>
  <c r="N83" i="2"/>
  <c r="AR83" i="2" s="1"/>
  <c r="AT83" i="2" s="1"/>
  <c r="N363" i="2"/>
  <c r="AR363" i="2" s="1"/>
  <c r="AT363" i="2" s="1"/>
  <c r="N206" i="2"/>
  <c r="AR206" i="2" s="1"/>
  <c r="AT206" i="2" s="1"/>
  <c r="N242" i="2"/>
  <c r="AR242" i="2" s="1"/>
  <c r="AT242" i="2" s="1"/>
  <c r="AY216" i="2"/>
  <c r="N281" i="2"/>
  <c r="AR281" i="2" s="1"/>
  <c r="AT281" i="2" s="1"/>
  <c r="N389" i="2"/>
  <c r="AR389" i="2" s="1"/>
  <c r="AT389" i="2" s="1"/>
  <c r="N221" i="2"/>
  <c r="AR221" i="2" s="1"/>
  <c r="AT221" i="2" s="1"/>
  <c r="N222" i="2"/>
  <c r="AR222" i="2" s="1"/>
  <c r="AT222" i="2" s="1"/>
  <c r="N277" i="2"/>
  <c r="AR277" i="2" s="1"/>
  <c r="AT277" i="2" s="1"/>
  <c r="N252" i="2"/>
  <c r="AR252" i="2" s="1"/>
  <c r="N211" i="2"/>
  <c r="AR211" i="2" s="1"/>
  <c r="AT211" i="2" s="1"/>
  <c r="N275" i="2"/>
  <c r="AR275" i="2" s="1"/>
  <c r="AT275" i="2" s="1"/>
  <c r="N227" i="2"/>
  <c r="AR227" i="2" s="1"/>
  <c r="AT227" i="2" s="1"/>
  <c r="N205" i="2"/>
  <c r="AR205" i="2" s="1"/>
  <c r="N64" i="2"/>
  <c r="AR64" i="2" s="1"/>
  <c r="AT64" i="2" s="1"/>
  <c r="N270" i="2"/>
  <c r="AR270" i="2" s="1"/>
  <c r="AT270" i="2" s="1"/>
  <c r="N390" i="2"/>
  <c r="AR390" i="2" s="1"/>
  <c r="AT390" i="2" s="1"/>
  <c r="N367" i="2"/>
  <c r="AR367" i="2" s="1"/>
  <c r="AT367" i="2" s="1"/>
  <c r="N71" i="2"/>
  <c r="N226" i="2"/>
  <c r="AR226" i="2" s="1"/>
  <c r="AT226" i="2" s="1"/>
  <c r="N217" i="2"/>
  <c r="AR217" i="2" s="1"/>
  <c r="AT217" i="2" s="1"/>
  <c r="N366" i="2"/>
  <c r="AR366" i="2" s="1"/>
  <c r="AT366" i="2" s="1"/>
  <c r="AY235" i="2"/>
  <c r="CC235" i="2" s="1"/>
  <c r="CE235" i="2" s="1"/>
  <c r="N260" i="2"/>
  <c r="AR260" i="2" s="1"/>
  <c r="AT260" i="2" s="1"/>
  <c r="AY120" i="2"/>
  <c r="N264" i="2"/>
  <c r="AR264" i="2" s="1"/>
  <c r="AT264" i="2" s="1"/>
  <c r="Q93" i="2"/>
  <c r="N378" i="2"/>
  <c r="AR378" i="2" s="1"/>
  <c r="AT378" i="2" s="1"/>
  <c r="N216" i="2"/>
  <c r="Q216" i="2"/>
  <c r="N204" i="2"/>
  <c r="AR204" i="2" s="1"/>
  <c r="AT204" i="2" s="1"/>
  <c r="N258" i="2"/>
  <c r="AR258" i="2" s="1"/>
  <c r="CJ387" i="2"/>
  <c r="DN387" i="2" s="1"/>
  <c r="DP387" i="2" s="1"/>
  <c r="N368" i="2"/>
  <c r="AR368" i="2" s="1"/>
  <c r="AT368" i="2" s="1"/>
  <c r="N213" i="2"/>
  <c r="AR213" i="2" s="1"/>
  <c r="AT213" i="2" s="1"/>
  <c r="N276" i="2"/>
  <c r="AR276" i="2" s="1"/>
  <c r="AT276" i="2" s="1"/>
  <c r="IB193" i="2"/>
  <c r="JF193" i="2" s="1"/>
  <c r="JH193" i="2" s="1"/>
  <c r="FF45" i="2"/>
  <c r="GJ45" i="2" s="1"/>
  <c r="GL45" i="2" s="1"/>
  <c r="FF31" i="2"/>
  <c r="GJ31" i="2" s="1"/>
  <c r="GL31" i="2" s="1"/>
  <c r="GQ304" i="2"/>
  <c r="HU304" i="2" s="1"/>
  <c r="HW304" i="2" s="1"/>
  <c r="GQ152" i="2"/>
  <c r="HU152" i="2" s="1"/>
  <c r="HW152" i="2" s="1"/>
  <c r="IB308" i="2"/>
  <c r="JF308" i="2" s="1"/>
  <c r="JH308" i="2" s="1"/>
  <c r="IB167" i="2"/>
  <c r="JF167" i="2" s="1"/>
  <c r="JH167" i="2" s="1"/>
  <c r="IB330" i="2"/>
  <c r="JF330" i="2" s="1"/>
  <c r="JH330" i="2" s="1"/>
  <c r="IB30" i="2"/>
  <c r="JF30" i="2" s="1"/>
  <c r="JH30" i="2" s="1"/>
  <c r="DU323" i="2"/>
  <c r="EY323" i="2" s="1"/>
  <c r="FA323" i="2" s="1"/>
  <c r="DU33" i="2"/>
  <c r="EY33" i="2" s="1"/>
  <c r="FA33" i="2" s="1"/>
  <c r="GQ187" i="2"/>
  <c r="HU187" i="2" s="1"/>
  <c r="HW187" i="2" s="1"/>
  <c r="GQ396" i="2"/>
  <c r="HU396" i="2" s="1"/>
  <c r="HW396" i="2" s="1"/>
  <c r="CJ165" i="2"/>
  <c r="DN165" i="2" s="1"/>
  <c r="DP165" i="2" s="1"/>
  <c r="FF191" i="2"/>
  <c r="GJ191" i="2" s="1"/>
  <c r="GL191" i="2" s="1"/>
  <c r="CJ177" i="2"/>
  <c r="DN177" i="2" s="1"/>
  <c r="DP177" i="2" s="1"/>
  <c r="GQ316" i="2"/>
  <c r="HU316" i="2" s="1"/>
  <c r="HW316" i="2" s="1"/>
  <c r="FF27" i="2"/>
  <c r="GJ27" i="2" s="1"/>
  <c r="GL27" i="2" s="1"/>
  <c r="IB24" i="2"/>
  <c r="JF24" i="2" s="1"/>
  <c r="JH24" i="2" s="1"/>
  <c r="GQ342" i="2"/>
  <c r="HU342" i="2" s="1"/>
  <c r="HW342" i="2" s="1"/>
  <c r="IB155" i="2"/>
  <c r="JF155" i="2" s="1"/>
  <c r="JH155" i="2" s="1"/>
  <c r="FF309" i="2"/>
  <c r="GJ309" i="2" s="1"/>
  <c r="GL309" i="2" s="1"/>
  <c r="FF157" i="2"/>
  <c r="GJ157" i="2" s="1"/>
  <c r="GL157" i="2" s="1"/>
  <c r="FF10" i="2"/>
  <c r="GJ10" i="2" s="1"/>
  <c r="GL10" i="2" s="1"/>
  <c r="IB317" i="2"/>
  <c r="JF317" i="2" s="1"/>
  <c r="JH317" i="2" s="1"/>
  <c r="IB40" i="2"/>
  <c r="JF40" i="2" s="1"/>
  <c r="JH40" i="2" s="1"/>
  <c r="IB26" i="2"/>
  <c r="JF26" i="2" s="1"/>
  <c r="JH26" i="2" s="1"/>
  <c r="AY402" i="2"/>
  <c r="CC402" i="2" s="1"/>
  <c r="CE402" i="2" s="1"/>
  <c r="FF145" i="2"/>
  <c r="GJ145" i="2" s="1"/>
  <c r="GL145" i="2" s="1"/>
  <c r="FF179" i="2"/>
  <c r="GJ179" i="2" s="1"/>
  <c r="GL179" i="2" s="1"/>
  <c r="CJ329" i="2"/>
  <c r="DN329" i="2" s="1"/>
  <c r="DP329" i="2" s="1"/>
  <c r="LY329" i="2" s="1"/>
  <c r="MS329" i="2" s="1"/>
  <c r="FF17" i="2"/>
  <c r="GJ17" i="2" s="1"/>
  <c r="GL17" i="2" s="1"/>
  <c r="GQ158" i="2"/>
  <c r="HU158" i="2" s="1"/>
  <c r="HW158" i="2" s="1"/>
  <c r="GQ160" i="2"/>
  <c r="HU160" i="2" s="1"/>
  <c r="HW160" i="2" s="1"/>
  <c r="GQ11" i="2"/>
  <c r="HU11" i="2" s="1"/>
  <c r="HW11" i="2" s="1"/>
  <c r="IB41" i="2"/>
  <c r="JF41" i="2" s="1"/>
  <c r="JH41" i="2" s="1"/>
  <c r="GQ334" i="2"/>
  <c r="HU334" i="2" s="1"/>
  <c r="HW334" i="2" s="1"/>
  <c r="GQ165" i="2"/>
  <c r="HU165" i="2" s="1"/>
  <c r="HW165" i="2" s="1"/>
  <c r="IB156" i="2"/>
  <c r="JF156" i="2" s="1"/>
  <c r="JH156" i="2" s="1"/>
  <c r="CJ341" i="2"/>
  <c r="DN341" i="2" s="1"/>
  <c r="DP341" i="2" s="1"/>
  <c r="IB332" i="2"/>
  <c r="JF332" i="2" s="1"/>
  <c r="JH332" i="2" s="1"/>
  <c r="FF16" i="2"/>
  <c r="GJ16" i="2" s="1"/>
  <c r="GL16" i="2" s="1"/>
  <c r="FF336" i="2"/>
  <c r="GJ336" i="2" s="1"/>
  <c r="GL336" i="2" s="1"/>
  <c r="DU146" i="2"/>
  <c r="EY146" i="2" s="1"/>
  <c r="FA146" i="2" s="1"/>
  <c r="IB295" i="2"/>
  <c r="JF295" i="2" s="1"/>
  <c r="JH295" i="2" s="1"/>
  <c r="FF159" i="2"/>
  <c r="GJ159" i="2" s="1"/>
  <c r="GL159" i="2" s="1"/>
  <c r="FF163" i="2"/>
  <c r="GJ163" i="2" s="1"/>
  <c r="GL163" i="2" s="1"/>
  <c r="FF20" i="2"/>
  <c r="GJ20" i="2" s="1"/>
  <c r="GL20" i="2" s="1"/>
  <c r="CJ196" i="2"/>
  <c r="IB25" i="2"/>
  <c r="JF25" i="2" s="1"/>
  <c r="JH25" i="2" s="1"/>
  <c r="DU325" i="2"/>
  <c r="EY325" i="2" s="1"/>
  <c r="FA325" i="2" s="1"/>
  <c r="IB166" i="2"/>
  <c r="JF166" i="2" s="1"/>
  <c r="JH166" i="2" s="1"/>
  <c r="GQ335" i="2"/>
  <c r="HU335" i="2" s="1"/>
  <c r="HW335" i="2" s="1"/>
  <c r="IB194" i="2"/>
  <c r="JF194" i="2" s="1"/>
  <c r="JH194" i="2" s="1"/>
  <c r="GQ12" i="2"/>
  <c r="HU12" i="2" s="1"/>
  <c r="HW12" i="2" s="1"/>
  <c r="DU149" i="2"/>
  <c r="EY149" i="2" s="1"/>
  <c r="FA149" i="2" s="1"/>
  <c r="FF180" i="2"/>
  <c r="GJ180" i="2" s="1"/>
  <c r="GL180" i="2" s="1"/>
  <c r="GQ44" i="2"/>
  <c r="HU44" i="2" s="1"/>
  <c r="HW44" i="2" s="1"/>
  <c r="GQ13" i="2"/>
  <c r="HU13" i="2" s="1"/>
  <c r="HW13" i="2" s="1"/>
  <c r="AY143" i="2"/>
  <c r="CC143" i="2" s="1"/>
  <c r="CE143" i="2" s="1"/>
  <c r="IB160" i="2"/>
  <c r="JF160" i="2" s="1"/>
  <c r="JH160" i="2" s="1"/>
  <c r="FF296" i="2"/>
  <c r="GJ296" i="2" s="1"/>
  <c r="GL296" i="2" s="1"/>
  <c r="FF37" i="2"/>
  <c r="GJ37" i="2" s="1"/>
  <c r="GL37" i="2" s="1"/>
  <c r="CJ315" i="2"/>
  <c r="DN315" i="2" s="1"/>
  <c r="DP315" i="2" s="1"/>
  <c r="FF39" i="2"/>
  <c r="GJ39" i="2" s="1"/>
  <c r="GL39" i="2" s="1"/>
  <c r="IB338" i="2"/>
  <c r="JF338" i="2" s="1"/>
  <c r="JH338" i="2" s="1"/>
  <c r="GQ399" i="2"/>
  <c r="HU399" i="2" s="1"/>
  <c r="HW399" i="2" s="1"/>
  <c r="GQ15" i="2"/>
  <c r="HU15" i="2" s="1"/>
  <c r="HW15" i="2" s="1"/>
  <c r="IB297" i="2"/>
  <c r="JF297" i="2" s="1"/>
  <c r="JH297" i="2" s="1"/>
  <c r="IB302" i="2"/>
  <c r="JF302" i="2" s="1"/>
  <c r="JH302" i="2" s="1"/>
  <c r="IB152" i="2"/>
  <c r="JF152" i="2" s="1"/>
  <c r="JH152" i="2" s="1"/>
  <c r="FF148" i="2"/>
  <c r="GJ148" i="2" s="1"/>
  <c r="GL148" i="2" s="1"/>
  <c r="GQ169" i="2"/>
  <c r="HU169" i="2" s="1"/>
  <c r="HW169" i="2" s="1"/>
  <c r="AY29" i="2"/>
  <c r="CC29" i="2" s="1"/>
  <c r="CE29" i="2" s="1"/>
  <c r="FF328" i="2"/>
  <c r="GJ328" i="2" s="1"/>
  <c r="GL328" i="2" s="1"/>
  <c r="DU305" i="2"/>
  <c r="IB331" i="2"/>
  <c r="JF331" i="2" s="1"/>
  <c r="JH331" i="2" s="1"/>
  <c r="DU192" i="2"/>
  <c r="EY192" i="2" s="1"/>
  <c r="FA192" i="2" s="1"/>
  <c r="GQ312" i="2"/>
  <c r="HU312" i="2" s="1"/>
  <c r="HW312" i="2" s="1"/>
  <c r="GQ21" i="2"/>
  <c r="HU21" i="2" s="1"/>
  <c r="HW21" i="2" s="1"/>
  <c r="AY322" i="2"/>
  <c r="CC322" i="2" s="1"/>
  <c r="CE322" i="2" s="1"/>
  <c r="FF38" i="2"/>
  <c r="GJ38" i="2" s="1"/>
  <c r="GL38" i="2" s="1"/>
  <c r="GQ18" i="2"/>
  <c r="HU18" i="2" s="1"/>
  <c r="HW18" i="2" s="1"/>
  <c r="DU40" i="2"/>
  <c r="EY40" i="2" s="1"/>
  <c r="FA40" i="2" s="1"/>
  <c r="GQ398" i="2"/>
  <c r="HU398" i="2" s="1"/>
  <c r="HW398" i="2" s="1"/>
  <c r="FF307" i="2"/>
  <c r="GJ307" i="2" s="1"/>
  <c r="GL307" i="2" s="1"/>
  <c r="FF337" i="2"/>
  <c r="GJ337" i="2" s="1"/>
  <c r="GL337" i="2" s="1"/>
  <c r="GQ400" i="2"/>
  <c r="HU400" i="2" s="1"/>
  <c r="HW400" i="2" s="1"/>
  <c r="IB23" i="2"/>
  <c r="JF23" i="2" s="1"/>
  <c r="JH23" i="2" s="1"/>
  <c r="GQ14" i="2"/>
  <c r="HU14" i="2" s="1"/>
  <c r="HW14" i="2" s="1"/>
  <c r="FF140" i="2"/>
  <c r="GJ140" i="2" s="1"/>
  <c r="GL140" i="2" s="1"/>
  <c r="GQ32" i="2"/>
  <c r="HU32" i="2" s="1"/>
  <c r="HW32" i="2" s="1"/>
  <c r="DU310" i="2"/>
  <c r="EY310" i="2" s="1"/>
  <c r="FA310" i="2" s="1"/>
  <c r="FF306" i="2"/>
  <c r="GJ306" i="2" s="1"/>
  <c r="GL306" i="2" s="1"/>
  <c r="FF303" i="2"/>
  <c r="GJ303" i="2" s="1"/>
  <c r="GL303" i="2" s="1"/>
  <c r="FF19" i="2"/>
  <c r="GJ19" i="2" s="1"/>
  <c r="GL19" i="2" s="1"/>
  <c r="AY319" i="2"/>
  <c r="CC319" i="2" s="1"/>
  <c r="CE319" i="2" s="1"/>
  <c r="GQ199" i="2"/>
  <c r="HU199" i="2" s="1"/>
  <c r="HW199" i="2" s="1"/>
  <c r="GQ38" i="2"/>
  <c r="HU38" i="2" s="1"/>
  <c r="HW38" i="2" s="1"/>
  <c r="CJ176" i="2"/>
  <c r="CJ188" i="2"/>
  <c r="DN188" i="2" s="1"/>
  <c r="DP188" i="2" s="1"/>
  <c r="GQ181" i="2"/>
  <c r="HU181" i="2" s="1"/>
  <c r="HW181" i="2" s="1"/>
  <c r="GQ397" i="2"/>
  <c r="HU397" i="2" s="1"/>
  <c r="HW397" i="2" s="1"/>
  <c r="FF35" i="2"/>
  <c r="GJ35" i="2" s="1"/>
  <c r="GL35" i="2" s="1"/>
  <c r="FF36" i="2"/>
  <c r="GJ36" i="2" s="1"/>
  <c r="GL36" i="2" s="1"/>
  <c r="AY189" i="2"/>
  <c r="CC189" i="2" s="1"/>
  <c r="CE189" i="2" s="1"/>
  <c r="GQ195" i="2"/>
  <c r="HU195" i="2" s="1"/>
  <c r="HW195" i="2" s="1"/>
  <c r="CJ401" i="2"/>
  <c r="DN401" i="2" s="1"/>
  <c r="DP401" i="2" s="1"/>
  <c r="FF186" i="2"/>
  <c r="GJ186" i="2" s="1"/>
  <c r="GL186" i="2" s="1"/>
  <c r="GQ314" i="2"/>
  <c r="HU314" i="2" s="1"/>
  <c r="HW314" i="2" s="1"/>
  <c r="GQ311" i="2"/>
  <c r="HU311" i="2" s="1"/>
  <c r="HW311" i="2" s="1"/>
  <c r="FF335" i="2"/>
  <c r="GJ335" i="2" s="1"/>
  <c r="GL335" i="2" s="1"/>
  <c r="DU308" i="2"/>
  <c r="EY308" i="2" s="1"/>
  <c r="FA308" i="2" s="1"/>
  <c r="DU340" i="2"/>
  <c r="EY340" i="2" s="1"/>
  <c r="FA340" i="2" s="1"/>
  <c r="DX331" i="2"/>
  <c r="GQ168" i="2"/>
  <c r="HU168" i="2" s="1"/>
  <c r="HW168" i="2" s="1"/>
  <c r="IB198" i="2"/>
  <c r="JF198" i="2" s="1"/>
  <c r="JH198" i="2" s="1"/>
  <c r="DX305" i="2"/>
  <c r="GQ178" i="2"/>
  <c r="HU178" i="2" s="1"/>
  <c r="HW178" i="2" s="1"/>
  <c r="GQ156" i="2"/>
  <c r="HU156" i="2" s="1"/>
  <c r="HW156" i="2" s="1"/>
  <c r="GQ185" i="2"/>
  <c r="HU185" i="2" s="1"/>
  <c r="HW185" i="2" s="1"/>
  <c r="FF144" i="2"/>
  <c r="GJ144" i="2" s="1"/>
  <c r="GL144" i="2" s="1"/>
  <c r="FF147" i="2"/>
  <c r="GJ147" i="2" s="1"/>
  <c r="GL147" i="2" s="1"/>
  <c r="CM196" i="2"/>
  <c r="IB305" i="2"/>
  <c r="JF305" i="2" s="1"/>
  <c r="JH305" i="2" s="1"/>
  <c r="DU331" i="2"/>
  <c r="CM176" i="2"/>
  <c r="FF139" i="2"/>
  <c r="GJ139" i="2" s="1"/>
  <c r="GL139" i="2" s="1"/>
  <c r="CC108" i="2"/>
  <c r="CE108" i="2" s="1"/>
  <c r="DN218" i="2"/>
  <c r="DP218" i="2" s="1"/>
  <c r="EY376" i="2"/>
  <c r="FA376" i="2" s="1"/>
  <c r="GJ178" i="2"/>
  <c r="GL178" i="2" s="1"/>
  <c r="FF344" i="2"/>
  <c r="GJ344" i="2" s="1"/>
  <c r="GL344" i="2" s="1"/>
  <c r="GQ201" i="2"/>
  <c r="HU201" i="2" s="1"/>
  <c r="HW201" i="2" s="1"/>
  <c r="GQ270" i="2"/>
  <c r="HU270" i="2" s="1"/>
  <c r="HW270" i="2" s="1"/>
  <c r="FF205" i="2"/>
  <c r="GJ205" i="2" s="1"/>
  <c r="FF266" i="2"/>
  <c r="GJ266" i="2" s="1"/>
  <c r="GL266" i="2" s="1"/>
  <c r="FF346" i="2"/>
  <c r="GJ346" i="2" s="1"/>
  <c r="GL346" i="2" s="1"/>
  <c r="DU82" i="2"/>
  <c r="EY82" i="2" s="1"/>
  <c r="FA82" i="2" s="1"/>
  <c r="FF116" i="2"/>
  <c r="GJ116" i="2" s="1"/>
  <c r="GL116" i="2" s="1"/>
  <c r="FF62" i="2"/>
  <c r="GJ62" i="2" s="1"/>
  <c r="GL62" i="2" s="1"/>
  <c r="DU215" i="2"/>
  <c r="EY215" i="2" s="1"/>
  <c r="FA215" i="2" s="1"/>
  <c r="FF106" i="2"/>
  <c r="GJ106" i="2" s="1"/>
  <c r="GL106" i="2" s="1"/>
  <c r="DU123" i="2"/>
  <c r="EY123" i="2" s="1"/>
  <c r="FA123" i="2" s="1"/>
  <c r="GT363" i="2"/>
  <c r="FF49" i="2"/>
  <c r="GJ49" i="2" s="1"/>
  <c r="GL49" i="2" s="1"/>
  <c r="GQ126" i="2"/>
  <c r="HU126" i="2" s="1"/>
  <c r="HW126" i="2" s="1"/>
  <c r="DU370" i="2"/>
  <c r="EY370" i="2" s="1"/>
  <c r="FA370" i="2" s="1"/>
  <c r="FF347" i="2"/>
  <c r="GJ347" i="2" s="1"/>
  <c r="GL347" i="2" s="1"/>
  <c r="DU367" i="2"/>
  <c r="EY367" i="2" s="1"/>
  <c r="FA367" i="2" s="1"/>
  <c r="FF234" i="2"/>
  <c r="GJ234" i="2" s="1"/>
  <c r="GL234" i="2" s="1"/>
  <c r="GQ64" i="2"/>
  <c r="HU64" i="2" s="1"/>
  <c r="HW64" i="2" s="1"/>
  <c r="FF105" i="2"/>
  <c r="GJ105" i="2" s="1"/>
  <c r="GL105" i="2" s="1"/>
  <c r="FF203" i="2"/>
  <c r="GJ203" i="2" s="1"/>
  <c r="GL203" i="2" s="1"/>
  <c r="FF94" i="2"/>
  <c r="GJ94" i="2" s="1"/>
  <c r="GL94" i="2" s="1"/>
  <c r="GQ254" i="2"/>
  <c r="HU254" i="2" s="1"/>
  <c r="HW254" i="2" s="1"/>
  <c r="GQ388" i="2"/>
  <c r="HU388" i="2" s="1"/>
  <c r="HW388" i="2" s="1"/>
  <c r="GQ125" i="2"/>
  <c r="HU125" i="2" s="1"/>
  <c r="HW125" i="2" s="1"/>
  <c r="GQ86" i="2"/>
  <c r="HU86" i="2" s="1"/>
  <c r="HW86" i="2" s="1"/>
  <c r="IB48" i="2"/>
  <c r="JF48" i="2" s="1"/>
  <c r="JH48" i="2" s="1"/>
  <c r="FF122" i="2"/>
  <c r="GJ122" i="2" s="1"/>
  <c r="GL122" i="2" s="1"/>
  <c r="GQ374" i="2"/>
  <c r="HU374" i="2" s="1"/>
  <c r="HW374" i="2" s="1"/>
  <c r="FF232" i="2"/>
  <c r="GJ232" i="2" s="1"/>
  <c r="GL232" i="2" s="1"/>
  <c r="GQ219" i="2"/>
  <c r="HU219" i="2" s="1"/>
  <c r="HW219" i="2" s="1"/>
  <c r="CJ127" i="2"/>
  <c r="DN127" i="2" s="1"/>
  <c r="DP127" i="2" s="1"/>
  <c r="GQ130" i="2"/>
  <c r="HU130" i="2" s="1"/>
  <c r="HW130" i="2" s="1"/>
  <c r="FF359" i="2"/>
  <c r="GJ359" i="2" s="1"/>
  <c r="GL359" i="2" s="1"/>
  <c r="FF226" i="2"/>
  <c r="GJ226" i="2" s="1"/>
  <c r="GL226" i="2" s="1"/>
  <c r="GQ276" i="2"/>
  <c r="HU276" i="2" s="1"/>
  <c r="HW276" i="2" s="1"/>
  <c r="GQ52" i="2"/>
  <c r="HU52" i="2" s="1"/>
  <c r="HW52" i="2" s="1"/>
  <c r="DU97" i="2"/>
  <c r="EY97" i="2" s="1"/>
  <c r="FA97" i="2" s="1"/>
  <c r="GQ131" i="2"/>
  <c r="HU131" i="2" s="1"/>
  <c r="HW131" i="2" s="1"/>
  <c r="FF70" i="2"/>
  <c r="GJ70" i="2" s="1"/>
  <c r="GL70" i="2" s="1"/>
  <c r="FF283" i="2"/>
  <c r="GJ283" i="2" s="1"/>
  <c r="GL283" i="2" s="1"/>
  <c r="GQ225" i="2"/>
  <c r="HU225" i="2" s="1"/>
  <c r="HW225" i="2" s="1"/>
  <c r="GQ233" i="2"/>
  <c r="HU233" i="2" s="1"/>
  <c r="HW233" i="2" s="1"/>
  <c r="FF76" i="2"/>
  <c r="GJ76" i="2" s="1"/>
  <c r="GL76" i="2" s="1"/>
  <c r="DU96" i="2"/>
  <c r="EY96" i="2" s="1"/>
  <c r="FA96" i="2" s="1"/>
  <c r="GQ277" i="2"/>
  <c r="HU277" i="2" s="1"/>
  <c r="HW277" i="2" s="1"/>
  <c r="FF236" i="2"/>
  <c r="GJ236" i="2" s="1"/>
  <c r="GL236" i="2" s="1"/>
  <c r="GQ279" i="2"/>
  <c r="HU279" i="2" s="1"/>
  <c r="HW279" i="2" s="1"/>
  <c r="GQ238" i="2"/>
  <c r="HU238" i="2" s="1"/>
  <c r="FF287" i="2"/>
  <c r="GJ287" i="2" s="1"/>
  <c r="GL287" i="2" s="1"/>
  <c r="DU371" i="2"/>
  <c r="EY371" i="2" s="1"/>
  <c r="FA371" i="2" s="1"/>
  <c r="FF103" i="2"/>
  <c r="GJ103" i="2" s="1"/>
  <c r="GL103" i="2" s="1"/>
  <c r="IB375" i="2"/>
  <c r="JF375" i="2" s="1"/>
  <c r="JH375" i="2" s="1"/>
  <c r="GQ77" i="2"/>
  <c r="HU77" i="2" s="1"/>
  <c r="HW77" i="2" s="1"/>
  <c r="DU281" i="2"/>
  <c r="EY281" i="2" s="1"/>
  <c r="FA281" i="2" s="1"/>
  <c r="GQ350" i="2"/>
  <c r="HU350" i="2" s="1"/>
  <c r="GQ100" i="2"/>
  <c r="HU100" i="2" s="1"/>
  <c r="HW100" i="2" s="1"/>
  <c r="FF285" i="2"/>
  <c r="GJ285" i="2" s="1"/>
  <c r="GL285" i="2" s="1"/>
  <c r="GQ366" i="2"/>
  <c r="HU366" i="2" s="1"/>
  <c r="HW366" i="2" s="1"/>
  <c r="FF75" i="2"/>
  <c r="GJ75" i="2" s="1"/>
  <c r="GL75" i="2" s="1"/>
  <c r="GQ69" i="2"/>
  <c r="HU69" i="2" s="1"/>
  <c r="HW69" i="2" s="1"/>
  <c r="FF88" i="2"/>
  <c r="GJ88" i="2" s="1"/>
  <c r="GL88" i="2" s="1"/>
  <c r="FF358" i="2"/>
  <c r="GJ358" i="2" s="1"/>
  <c r="FF394" i="2"/>
  <c r="GJ394" i="2" s="1"/>
  <c r="GL394" i="2" s="1"/>
  <c r="DU259" i="2"/>
  <c r="EY259" i="2" s="1"/>
  <c r="FA259" i="2" s="1"/>
  <c r="GQ391" i="2"/>
  <c r="HU391" i="2" s="1"/>
  <c r="HW391" i="2" s="1"/>
  <c r="GQ217" i="2"/>
  <c r="HU217" i="2" s="1"/>
  <c r="HW217" i="2" s="1"/>
  <c r="GQ246" i="2"/>
  <c r="HU246" i="2" s="1"/>
  <c r="HW246" i="2" s="1"/>
  <c r="GQ390" i="2"/>
  <c r="HU390" i="2" s="1"/>
  <c r="HW390" i="2" s="1"/>
  <c r="FF263" i="2"/>
  <c r="GJ263" i="2" s="1"/>
  <c r="GL263" i="2" s="1"/>
  <c r="DU119" i="2"/>
  <c r="EY119" i="2" s="1"/>
  <c r="FA119" i="2" s="1"/>
  <c r="FF252" i="2"/>
  <c r="GJ252" i="2" s="1"/>
  <c r="FF128" i="2"/>
  <c r="GJ128" i="2" s="1"/>
  <c r="GL128" i="2" s="1"/>
  <c r="GQ54" i="2"/>
  <c r="HU54" i="2" s="1"/>
  <c r="HW54" i="2" s="1"/>
  <c r="GQ68" i="2"/>
  <c r="HU68" i="2" s="1"/>
  <c r="HW68" i="2" s="1"/>
  <c r="FF101" i="2"/>
  <c r="GJ101" i="2" s="1"/>
  <c r="GL101" i="2" s="1"/>
  <c r="DU378" i="2"/>
  <c r="EY378" i="2" s="1"/>
  <c r="FA378" i="2" s="1"/>
  <c r="CJ80" i="2"/>
  <c r="DN80" i="2" s="1"/>
  <c r="DP80" i="2" s="1"/>
  <c r="DU99" i="2"/>
  <c r="EY99" i="2" s="1"/>
  <c r="GQ107" i="2"/>
  <c r="HU107" i="2" s="1"/>
  <c r="HW107" i="2" s="1"/>
  <c r="FF110" i="2"/>
  <c r="GJ110" i="2" s="1"/>
  <c r="GL110" i="2" s="1"/>
  <c r="FF202" i="2"/>
  <c r="GJ202" i="2" s="1"/>
  <c r="GL202" i="2" s="1"/>
  <c r="GQ235" i="2"/>
  <c r="HU235" i="2" s="1"/>
  <c r="HW235" i="2" s="1"/>
  <c r="GQ352" i="2"/>
  <c r="HU352" i="2" s="1"/>
  <c r="HW352" i="2" s="1"/>
  <c r="DU83" i="2"/>
  <c r="EY83" i="2" s="1"/>
  <c r="FA83" i="2" s="1"/>
  <c r="GQ361" i="2"/>
  <c r="HU361" i="2" s="1"/>
  <c r="HW361" i="2" s="1"/>
  <c r="FF379" i="2"/>
  <c r="GJ379" i="2" s="1"/>
  <c r="GL379" i="2" s="1"/>
  <c r="GQ245" i="2"/>
  <c r="HU245" i="2" s="1"/>
  <c r="HW245" i="2" s="1"/>
  <c r="GQ356" i="2"/>
  <c r="HU356" i="2" s="1"/>
  <c r="HW356" i="2" s="1"/>
  <c r="DU108" i="2"/>
  <c r="EY108" i="2" s="1"/>
  <c r="FA108" i="2" s="1"/>
  <c r="FF268" i="2"/>
  <c r="GJ268" i="2" s="1"/>
  <c r="GL268" i="2" s="1"/>
  <c r="FF273" i="2"/>
  <c r="GJ273" i="2" s="1"/>
  <c r="GL273" i="2" s="1"/>
  <c r="FF365" i="2"/>
  <c r="GJ365" i="2" s="1"/>
  <c r="GL365" i="2" s="1"/>
  <c r="IB47" i="2"/>
  <c r="JF47" i="2" s="1"/>
  <c r="JH47" i="2" s="1"/>
  <c r="FF81" i="2"/>
  <c r="GJ81" i="2" s="1"/>
  <c r="GL81" i="2" s="1"/>
  <c r="FF55" i="2"/>
  <c r="GJ55" i="2" s="1"/>
  <c r="GL55" i="2" s="1"/>
  <c r="FF207" i="2"/>
  <c r="GJ207" i="2" s="1"/>
  <c r="GL207" i="2" s="1"/>
  <c r="GQ224" i="2"/>
  <c r="HU224" i="2" s="1"/>
  <c r="HW224" i="2" s="1"/>
  <c r="GQ136" i="2"/>
  <c r="HU136" i="2" s="1"/>
  <c r="HW136" i="2" s="1"/>
  <c r="FF260" i="2"/>
  <c r="GJ260" i="2" s="1"/>
  <c r="GL260" i="2" s="1"/>
  <c r="FF284" i="2"/>
  <c r="GJ284" i="2" s="1"/>
  <c r="GL284" i="2" s="1"/>
  <c r="FF218" i="2"/>
  <c r="GJ218" i="2" s="1"/>
  <c r="GL218" i="2" s="1"/>
  <c r="FF271" i="2"/>
  <c r="GJ271" i="2" s="1"/>
  <c r="GL271" i="2" s="1"/>
  <c r="GQ109" i="2"/>
  <c r="HU109" i="2" s="1"/>
  <c r="HW109" i="2" s="1"/>
  <c r="FF249" i="2"/>
  <c r="GJ249" i="2" s="1"/>
  <c r="GL249" i="2" s="1"/>
  <c r="GQ104" i="2"/>
  <c r="HU104" i="2" s="1"/>
  <c r="HW104" i="2" s="1"/>
  <c r="FF50" i="2"/>
  <c r="GJ50" i="2" s="1"/>
  <c r="GL50" i="2" s="1"/>
  <c r="GQ124" i="2"/>
  <c r="HU124" i="2" s="1"/>
  <c r="HW124" i="2" s="1"/>
  <c r="FF92" i="2"/>
  <c r="GJ92" i="2" s="1"/>
  <c r="GL92" i="2" s="1"/>
  <c r="FF240" i="2"/>
  <c r="GJ240" i="2" s="1"/>
  <c r="GL240" i="2" s="1"/>
  <c r="GQ351" i="2"/>
  <c r="HU351" i="2" s="1"/>
  <c r="HW351" i="2" s="1"/>
  <c r="FF117" i="2"/>
  <c r="GJ117" i="2" s="1"/>
  <c r="GL117" i="2" s="1"/>
  <c r="FF286" i="2"/>
  <c r="GJ286" i="2" s="1"/>
  <c r="GL286" i="2" s="1"/>
  <c r="GQ66" i="2"/>
  <c r="HU66" i="2" s="1"/>
  <c r="HW66" i="2" s="1"/>
  <c r="FF360" i="2"/>
  <c r="GJ360" i="2" s="1"/>
  <c r="GL360" i="2" s="1"/>
  <c r="GQ121" i="2"/>
  <c r="HU121" i="2" s="1"/>
  <c r="HW121" i="2" s="1"/>
  <c r="DU357" i="2"/>
  <c r="EY357" i="2" s="1"/>
  <c r="FA357" i="2" s="1"/>
  <c r="GQ221" i="2"/>
  <c r="HU221" i="2" s="1"/>
  <c r="HW221" i="2" s="1"/>
  <c r="GQ275" i="2"/>
  <c r="HU275" i="2" s="1"/>
  <c r="HW275" i="2" s="1"/>
  <c r="GQ79" i="2"/>
  <c r="HU79" i="2" s="1"/>
  <c r="HW79" i="2" s="1"/>
  <c r="FF72" i="2"/>
  <c r="GJ72" i="2" s="1"/>
  <c r="GL72" i="2" s="1"/>
  <c r="GQ241" i="2"/>
  <c r="HU241" i="2" s="1"/>
  <c r="HW241" i="2" s="1"/>
  <c r="FF57" i="2"/>
  <c r="GJ57" i="2" s="1"/>
  <c r="GL57" i="2" s="1"/>
  <c r="FF250" i="2"/>
  <c r="GJ250" i="2" s="1"/>
  <c r="GL250" i="2" s="1"/>
  <c r="GQ269" i="2"/>
  <c r="HU269" i="2" s="1"/>
  <c r="HW269" i="2" s="1"/>
  <c r="GQ223" i="2"/>
  <c r="HU223" i="2" s="1"/>
  <c r="HW223" i="2" s="1"/>
  <c r="FF91" i="2"/>
  <c r="FF267" i="2"/>
  <c r="GJ267" i="2" s="1"/>
  <c r="GL267" i="2" s="1"/>
  <c r="FF74" i="2"/>
  <c r="GJ74" i="2" s="1"/>
  <c r="GL74" i="2" s="1"/>
  <c r="GQ67" i="2"/>
  <c r="HU67" i="2" s="1"/>
  <c r="HW67" i="2" s="1"/>
  <c r="FF227" i="2"/>
  <c r="GJ227" i="2" s="1"/>
  <c r="GL227" i="2" s="1"/>
  <c r="FF85" i="2"/>
  <c r="GJ85" i="2" s="1"/>
  <c r="GL85" i="2" s="1"/>
  <c r="FF56" i="2"/>
  <c r="GJ56" i="2" s="1"/>
  <c r="GL56" i="2" s="1"/>
  <c r="GQ373" i="2"/>
  <c r="HU373" i="2" s="1"/>
  <c r="HW373" i="2" s="1"/>
  <c r="FF348" i="2"/>
  <c r="GJ348" i="2" s="1"/>
  <c r="FF290" i="2"/>
  <c r="GJ290" i="2" s="1"/>
  <c r="GL290" i="2" s="1"/>
  <c r="GQ242" i="2"/>
  <c r="HU242" i="2" s="1"/>
  <c r="HW242" i="2" s="1"/>
  <c r="GQ120" i="2"/>
  <c r="HU120" i="2" s="1"/>
  <c r="HW120" i="2" s="1"/>
  <c r="DU220" i="2"/>
  <c r="EY220" i="2" s="1"/>
  <c r="FA220" i="2" s="1"/>
  <c r="GQ53" i="2"/>
  <c r="HU53" i="2" s="1"/>
  <c r="HW53" i="2" s="1"/>
  <c r="FF63" i="2"/>
  <c r="GJ63" i="2" s="1"/>
  <c r="GL63" i="2" s="1"/>
  <c r="DU293" i="2"/>
  <c r="EY293" i="2" s="1"/>
  <c r="FA293" i="2" s="1"/>
  <c r="GQ376" i="2"/>
  <c r="HU376" i="2" s="1"/>
  <c r="HW376" i="2" s="1"/>
  <c r="DU210" i="2"/>
  <c r="EY210" i="2" s="1"/>
  <c r="FA210" i="2" s="1"/>
  <c r="FF112" i="2"/>
  <c r="GJ112" i="2" s="1"/>
  <c r="GL112" i="2" s="1"/>
  <c r="FF280" i="2"/>
  <c r="GJ280" i="2" s="1"/>
  <c r="GL280" i="2" s="1"/>
  <c r="GQ65" i="2"/>
  <c r="HU65" i="2" s="1"/>
  <c r="HW65" i="2" s="1"/>
  <c r="FF73" i="2"/>
  <c r="GJ73" i="2" s="1"/>
  <c r="GL73" i="2" s="1"/>
  <c r="FF84" i="2"/>
  <c r="GJ84" i="2" s="1"/>
  <c r="GL84" i="2" s="1"/>
  <c r="GQ208" i="2"/>
  <c r="HU208" i="2" s="1"/>
  <c r="FF264" i="2"/>
  <c r="GJ264" i="2" s="1"/>
  <c r="GL264" i="2" s="1"/>
  <c r="GQ385" i="2"/>
  <c r="HU385" i="2" s="1"/>
  <c r="HW385" i="2" s="1"/>
  <c r="GQ239" i="2"/>
  <c r="HU239" i="2" s="1"/>
  <c r="HW239" i="2" s="1"/>
  <c r="FF59" i="2"/>
  <c r="GJ59" i="2" s="1"/>
  <c r="GL59" i="2" s="1"/>
  <c r="FF138" i="2"/>
  <c r="GJ138" i="2" s="1"/>
  <c r="GL138" i="2" s="1"/>
  <c r="FF349" i="2"/>
  <c r="GJ349" i="2" s="1"/>
  <c r="GL349" i="2" s="1"/>
  <c r="CM89" i="2"/>
  <c r="DU364" i="2"/>
  <c r="EY364" i="2" s="1"/>
  <c r="FA364" i="2" s="1"/>
  <c r="FF265" i="2"/>
  <c r="GJ265" i="2" s="1"/>
  <c r="GL265" i="2" s="1"/>
  <c r="FF78" i="2"/>
  <c r="CJ89" i="2"/>
  <c r="GQ389" i="2"/>
  <c r="HU389" i="2" s="1"/>
  <c r="HW389" i="2" s="1"/>
  <c r="DU228" i="2"/>
  <c r="EY228" i="2" s="1"/>
  <c r="FA228" i="2" s="1"/>
  <c r="DU237" i="2"/>
  <c r="EY237" i="2" s="1"/>
  <c r="FA237" i="2" s="1"/>
  <c r="GQ386" i="2"/>
  <c r="HU386" i="2" s="1"/>
  <c r="HW386" i="2" s="1"/>
  <c r="GQ372" i="2"/>
  <c r="HU372" i="2" s="1"/>
  <c r="HW372" i="2" s="1"/>
  <c r="FF222" i="2"/>
  <c r="GJ222" i="2" s="1"/>
  <c r="GL222" i="2" s="1"/>
  <c r="GQ383" i="2"/>
  <c r="HU383" i="2" s="1"/>
  <c r="HW383" i="2" s="1"/>
  <c r="FF58" i="2"/>
  <c r="GJ58" i="2" s="1"/>
  <c r="GL58" i="2" s="1"/>
  <c r="GQ363" i="2"/>
  <c r="GQ244" i="2"/>
  <c r="HU244" i="2" s="1"/>
  <c r="HW244" i="2" s="1"/>
  <c r="FF291" i="2"/>
  <c r="GJ291" i="2" s="1"/>
  <c r="GL291" i="2" s="1"/>
  <c r="FF261" i="2"/>
  <c r="GJ261" i="2" s="1"/>
  <c r="GL261" i="2" s="1"/>
  <c r="FF392" i="2"/>
  <c r="GJ392" i="2" s="1"/>
  <c r="GL392" i="2" s="1"/>
  <c r="FF206" i="2"/>
  <c r="GJ206" i="2" s="1"/>
  <c r="GL206" i="2" s="1"/>
  <c r="FF248" i="2"/>
  <c r="GJ248" i="2" s="1"/>
  <c r="GL248" i="2" s="1"/>
  <c r="GQ387" i="2"/>
  <c r="HU387" i="2" s="1"/>
  <c r="HW387" i="2" s="1"/>
  <c r="FF381" i="2"/>
  <c r="GJ381" i="2" s="1"/>
  <c r="GL381" i="2" s="1"/>
  <c r="GQ247" i="2"/>
  <c r="HU247" i="2" s="1"/>
  <c r="HW247" i="2" s="1"/>
  <c r="FI212" i="2"/>
  <c r="DU369" i="2"/>
  <c r="EY369" i="2" s="1"/>
  <c r="FA369" i="2" s="1"/>
  <c r="FF251" i="2"/>
  <c r="GJ251" i="2" s="1"/>
  <c r="GL251" i="2" s="1"/>
  <c r="FF255" i="2"/>
  <c r="GJ255" i="2" s="1"/>
  <c r="GL255" i="2" s="1"/>
  <c r="FF212" i="2"/>
  <c r="GQ278" i="2"/>
  <c r="HU278" i="2" s="1"/>
  <c r="HW278" i="2" s="1"/>
  <c r="GT98" i="2"/>
  <c r="GQ243" i="2"/>
  <c r="HU243" i="2" s="1"/>
  <c r="HW243" i="2" s="1"/>
  <c r="FI91" i="2"/>
  <c r="GQ98" i="2"/>
  <c r="FF262" i="2"/>
  <c r="GJ262" i="2" s="1"/>
  <c r="GL262" i="2" s="1"/>
  <c r="FF231" i="2"/>
  <c r="GJ231" i="2" s="1"/>
  <c r="GL231" i="2" s="1"/>
  <c r="FF253" i="2"/>
  <c r="GJ253" i="2" s="1"/>
  <c r="GL253" i="2" s="1"/>
  <c r="DU368" i="2"/>
  <c r="EY368" i="2" s="1"/>
  <c r="FA368" i="2" s="1"/>
  <c r="GQ115" i="2"/>
  <c r="HU115" i="2" s="1"/>
  <c r="HW115" i="2" s="1"/>
  <c r="GQ292" i="2"/>
  <c r="HU292" i="2" s="1"/>
  <c r="HW292" i="2" s="1"/>
  <c r="FF345" i="2"/>
  <c r="GJ345" i="2" s="1"/>
  <c r="GL345" i="2" s="1"/>
  <c r="GQ71" i="2"/>
  <c r="HU71" i="2" s="1"/>
  <c r="HW71" i="2" s="1"/>
  <c r="DU229" i="2"/>
  <c r="EY229" i="2" s="1"/>
  <c r="FA229" i="2" s="1"/>
  <c r="FF282" i="2"/>
  <c r="GJ282" i="2" s="1"/>
  <c r="GL282" i="2" s="1"/>
  <c r="GQ102" i="2"/>
  <c r="HU102" i="2" s="1"/>
  <c r="HW102" i="2" s="1"/>
  <c r="FI78" i="2"/>
  <c r="FF395" i="2"/>
  <c r="GJ395" i="2" s="1"/>
  <c r="GL395" i="2" s="1"/>
  <c r="DU214" i="2"/>
  <c r="EY214" i="2" s="1"/>
  <c r="FA214" i="2" s="1"/>
  <c r="GQ229" i="2"/>
  <c r="CJ276" i="2"/>
  <c r="DN276" i="2" s="1"/>
  <c r="DP276" i="2" s="1"/>
  <c r="DU126" i="2"/>
  <c r="DU388" i="2"/>
  <c r="EY388" i="2" s="1"/>
  <c r="FA388" i="2" s="1"/>
  <c r="GQ220" i="2"/>
  <c r="HU220" i="2" s="1"/>
  <c r="HW220" i="2" s="1"/>
  <c r="DU120" i="2"/>
  <c r="CJ87" i="2"/>
  <c r="DN87" i="2" s="1"/>
  <c r="DP87" i="2" s="1"/>
  <c r="CJ49" i="2"/>
  <c r="DX126" i="2"/>
  <c r="GQ364" i="2"/>
  <c r="IB207" i="2"/>
  <c r="JF207" i="2" s="1"/>
  <c r="JH207" i="2" s="1"/>
  <c r="GT229" i="2"/>
  <c r="CM49" i="2"/>
  <c r="GT364" i="2"/>
  <c r="DU390" i="2"/>
  <c r="EY390" i="2" s="1"/>
  <c r="FA390" i="2" s="1"/>
  <c r="DX120" i="2"/>
  <c r="AY255" i="2"/>
  <c r="AY275" i="2"/>
  <c r="AY84" i="2"/>
  <c r="CC84" i="2" s="1"/>
  <c r="CE84" i="2" s="1"/>
  <c r="AY212" i="2"/>
  <c r="CC212" i="2" s="1"/>
  <c r="BB273" i="2"/>
  <c r="BB271" i="2"/>
  <c r="AY224" i="2"/>
  <c r="CC224" i="2" s="1"/>
  <c r="CE224" i="2" s="1"/>
  <c r="CJ347" i="2"/>
  <c r="AY76" i="2"/>
  <c r="CC76" i="2" s="1"/>
  <c r="CE76" i="2" s="1"/>
  <c r="AY55" i="2"/>
  <c r="CC55" i="2" s="1"/>
  <c r="CE55" i="2" s="1"/>
  <c r="AY64" i="2"/>
  <c r="CC64" i="2" s="1"/>
  <c r="CE64" i="2" s="1"/>
  <c r="AY138" i="2"/>
  <c r="CC138" i="2" s="1"/>
  <c r="CE138" i="2" s="1"/>
  <c r="AY101" i="2"/>
  <c r="CC101" i="2" s="1"/>
  <c r="CE101" i="2" s="1"/>
  <c r="AY262" i="2"/>
  <c r="CC262" i="2" s="1"/>
  <c r="CE262" i="2" s="1"/>
  <c r="CJ268" i="2"/>
  <c r="DN268" i="2" s="1"/>
  <c r="DP268" i="2" s="1"/>
  <c r="AY67" i="2"/>
  <c r="CC67" i="2" s="1"/>
  <c r="CE67" i="2" s="1"/>
  <c r="CJ66" i="2"/>
  <c r="DN66" i="2" s="1"/>
  <c r="DP66" i="2" s="1"/>
  <c r="DU71" i="2"/>
  <c r="EY71" i="2" s="1"/>
  <c r="FA71" i="2" s="1"/>
  <c r="AY241" i="2"/>
  <c r="CC241" i="2" s="1"/>
  <c r="CE241" i="2" s="1"/>
  <c r="AY373" i="2"/>
  <c r="CC373" i="2" s="1"/>
  <c r="CE373" i="2" s="1"/>
  <c r="CJ104" i="2"/>
  <c r="DN104" i="2" s="1"/>
  <c r="DP104" i="2" s="1"/>
  <c r="DU284" i="2"/>
  <c r="EY284" i="2" s="1"/>
  <c r="FA284" i="2" s="1"/>
  <c r="AY125" i="2"/>
  <c r="CC125" i="2" s="1"/>
  <c r="CE125" i="2" s="1"/>
  <c r="AY56" i="2"/>
  <c r="AY130" i="2"/>
  <c r="CC130" i="2" s="1"/>
  <c r="CE130" i="2" s="1"/>
  <c r="AY278" i="2"/>
  <c r="CC278" i="2" s="1"/>
  <c r="CE278" i="2" s="1"/>
  <c r="CJ269" i="2"/>
  <c r="DN269" i="2" s="1"/>
  <c r="DP269" i="2" s="1"/>
  <c r="AY207" i="2"/>
  <c r="CC207" i="2" s="1"/>
  <c r="CE207" i="2" s="1"/>
  <c r="AY359" i="2"/>
  <c r="AY91" i="2"/>
  <c r="CJ244" i="2"/>
  <c r="BB205" i="2"/>
  <c r="FF382" i="2"/>
  <c r="GJ382" i="2" s="1"/>
  <c r="GL382" i="2" s="1"/>
  <c r="AY77" i="2"/>
  <c r="CC77" i="2" s="1"/>
  <c r="CE77" i="2" s="1"/>
  <c r="AY283" i="2"/>
  <c r="AY221" i="2"/>
  <c r="CC221" i="2" s="1"/>
  <c r="CE221" i="2" s="1"/>
  <c r="AY360" i="2"/>
  <c r="CC360" i="2" s="1"/>
  <c r="CE360" i="2" s="1"/>
  <c r="AY225" i="2"/>
  <c r="CC225" i="2" s="1"/>
  <c r="CE225" i="2" s="1"/>
  <c r="AY263" i="2"/>
  <c r="CC263" i="2" s="1"/>
  <c r="CE263" i="2" s="1"/>
  <c r="AY243" i="2"/>
  <c r="CC243" i="2" s="1"/>
  <c r="CE243" i="2" s="1"/>
  <c r="AY269" i="2"/>
  <c r="CC269" i="2" s="1"/>
  <c r="CE269" i="2" s="1"/>
  <c r="AY279" i="2"/>
  <c r="CC279" i="2" s="1"/>
  <c r="CE279" i="2" s="1"/>
  <c r="AY206" i="2"/>
  <c r="CC206" i="2" s="1"/>
  <c r="CE206" i="2" s="1"/>
  <c r="AY103" i="2"/>
  <c r="CC103" i="2" s="1"/>
  <c r="CE103" i="2" s="1"/>
  <c r="AY261" i="2"/>
  <c r="CC261" i="2" s="1"/>
  <c r="CE261" i="2" s="1"/>
  <c r="AY266" i="2"/>
  <c r="CC266" i="2" s="1"/>
  <c r="CE266" i="2" s="1"/>
  <c r="AY78" i="2"/>
  <c r="CC78" i="2" s="1"/>
  <c r="CE78" i="2" s="1"/>
  <c r="AY71" i="2"/>
  <c r="CC71" i="2" s="1"/>
  <c r="CE71" i="2" s="1"/>
  <c r="AY352" i="2"/>
  <c r="CC352" i="2" s="1"/>
  <c r="CE352" i="2" s="1"/>
  <c r="DU374" i="2"/>
  <c r="EY374" i="2" s="1"/>
  <c r="FA374" i="2" s="1"/>
  <c r="CM376" i="2"/>
  <c r="AY371" i="2"/>
  <c r="CC371" i="2" s="1"/>
  <c r="CE371" i="2" s="1"/>
  <c r="DU66" i="2"/>
  <c r="EY66" i="2" s="1"/>
  <c r="FA66" i="2" s="1"/>
  <c r="AY267" i="2"/>
  <c r="CC267" i="2" s="1"/>
  <c r="CE267" i="2" s="1"/>
  <c r="AY264" i="2"/>
  <c r="CC264" i="2" s="1"/>
  <c r="CE264" i="2" s="1"/>
  <c r="AY98" i="2"/>
  <c r="CC98" i="2" s="1"/>
  <c r="CE98" i="2" s="1"/>
  <c r="AY383" i="2"/>
  <c r="CC383" i="2" s="1"/>
  <c r="CE383" i="2" s="1"/>
  <c r="AY361" i="2"/>
  <c r="CC361" i="2" s="1"/>
  <c r="CE361" i="2" s="1"/>
  <c r="FF362" i="2"/>
  <c r="AY217" i="2"/>
  <c r="CC217" i="2" s="1"/>
  <c r="CE217" i="2" s="1"/>
  <c r="AY63" i="2"/>
  <c r="CC63" i="2" s="1"/>
  <c r="CE63" i="2" s="1"/>
  <c r="CJ373" i="2"/>
  <c r="DN373" i="2" s="1"/>
  <c r="DP373" i="2" s="1"/>
  <c r="IB227" i="2"/>
  <c r="BB366" i="2"/>
  <c r="AY131" i="2"/>
  <c r="CC131" i="2" s="1"/>
  <c r="CE131" i="2" s="1"/>
  <c r="AY69" i="2"/>
  <c r="CC69" i="2" s="1"/>
  <c r="CE69" i="2" s="1"/>
  <c r="AY208" i="2"/>
  <c r="CC208" i="2" s="1"/>
  <c r="AY123" i="2"/>
  <c r="CC123" i="2" s="1"/>
  <c r="CE123" i="2" s="1"/>
  <c r="BB122" i="2"/>
  <c r="AY54" i="2"/>
  <c r="CC54" i="2" s="1"/>
  <c r="CE54" i="2" s="1"/>
  <c r="AY116" i="2"/>
  <c r="CC116" i="2" s="1"/>
  <c r="CE116" i="2" s="1"/>
  <c r="N354" i="2"/>
  <c r="AR354" i="2" s="1"/>
  <c r="AT354" i="2" s="1"/>
  <c r="AY68" i="2"/>
  <c r="CC68" i="2" s="1"/>
  <c r="CE68" i="2" s="1"/>
  <c r="BB56" i="2"/>
  <c r="AY205" i="2"/>
  <c r="CM244" i="2"/>
  <c r="AY102" i="2"/>
  <c r="CC102" i="2" s="1"/>
  <c r="CE102" i="2" s="1"/>
  <c r="CJ263" i="2"/>
  <c r="AY110" i="2"/>
  <c r="CC110" i="2" s="1"/>
  <c r="CE110" i="2" s="1"/>
  <c r="CJ282" i="2"/>
  <c r="DN282" i="2" s="1"/>
  <c r="DP282" i="2" s="1"/>
  <c r="BB79" i="2"/>
  <c r="CM347" i="2"/>
  <c r="AY94" i="2"/>
  <c r="CC94" i="2" s="1"/>
  <c r="CE94" i="2" s="1"/>
  <c r="CM252" i="2"/>
  <c r="AY223" i="2"/>
  <c r="CC223" i="2" s="1"/>
  <c r="CE223" i="2" s="1"/>
  <c r="CJ246" i="2"/>
  <c r="DN246" i="2" s="1"/>
  <c r="DP246" i="2" s="1"/>
  <c r="DX362" i="2"/>
  <c r="AY287" i="2"/>
  <c r="BB287" i="2"/>
  <c r="CJ376" i="2"/>
  <c r="BB359" i="2"/>
  <c r="AY366" i="2"/>
  <c r="CM263" i="2"/>
  <c r="AY222" i="2"/>
  <c r="CJ252" i="2"/>
  <c r="BB220" i="2"/>
  <c r="AY265" i="2"/>
  <c r="CC265" i="2" s="1"/>
  <c r="CE265" i="2" s="1"/>
  <c r="AY227" i="2"/>
  <c r="CC227" i="2" s="1"/>
  <c r="CE227" i="2" s="1"/>
  <c r="DU115" i="2"/>
  <c r="BB222" i="2"/>
  <c r="AY57" i="2"/>
  <c r="DU131" i="2"/>
  <c r="AY270" i="2"/>
  <c r="CC270" i="2" s="1"/>
  <c r="CE270" i="2" s="1"/>
  <c r="DU362" i="2"/>
  <c r="CJ372" i="2"/>
  <c r="DN372" i="2" s="1"/>
  <c r="DP372" i="2" s="1"/>
  <c r="IE227" i="2"/>
  <c r="BB81" i="2"/>
  <c r="AY220" i="2"/>
  <c r="BB57" i="2"/>
  <c r="AY50" i="2"/>
  <c r="AY271" i="2"/>
  <c r="BB283" i="2"/>
  <c r="BB50" i="2"/>
  <c r="BB255" i="2"/>
  <c r="DU104" i="2"/>
  <c r="AY122" i="2"/>
  <c r="AY219" i="2"/>
  <c r="CC219" i="2" s="1"/>
  <c r="CE219" i="2" s="1"/>
  <c r="AY392" i="2"/>
  <c r="CC392" i="2" s="1"/>
  <c r="CE392" i="2" s="1"/>
  <c r="AY242" i="2"/>
  <c r="CC242" i="2" s="1"/>
  <c r="CE242" i="2" s="1"/>
  <c r="DX131" i="2"/>
  <c r="FI362" i="2"/>
  <c r="AY81" i="2"/>
  <c r="DX104" i="2"/>
  <c r="AY395" i="2"/>
  <c r="BB395" i="2"/>
  <c r="BB91" i="2"/>
  <c r="AY277" i="2"/>
  <c r="CC277" i="2" s="1"/>
  <c r="CE277" i="2" s="1"/>
  <c r="DX115" i="2"/>
  <c r="AY79" i="2"/>
  <c r="BB275" i="2"/>
  <c r="AY273" i="2"/>
  <c r="EY16" i="2"/>
  <c r="FA16" i="2" s="1"/>
  <c r="JM344" i="2"/>
  <c r="KQ344" i="2" s="1"/>
  <c r="KS344" i="2" s="1"/>
  <c r="JM201" i="2"/>
  <c r="KQ201" i="2" s="1"/>
  <c r="KS201" i="2" s="1"/>
  <c r="JM54" i="2"/>
  <c r="KQ54" i="2" s="1"/>
  <c r="KS54" i="2" s="1"/>
  <c r="JM372" i="2"/>
  <c r="KQ372" i="2" s="1"/>
  <c r="KS372" i="2" s="1"/>
  <c r="JM238" i="2"/>
  <c r="KQ238" i="2" s="1"/>
  <c r="IB348" i="2"/>
  <c r="JF348" i="2" s="1"/>
  <c r="IB248" i="2"/>
  <c r="JF248" i="2" s="1"/>
  <c r="JH248" i="2" s="1"/>
  <c r="IB253" i="2"/>
  <c r="JF253" i="2" s="1"/>
  <c r="JH253" i="2" s="1"/>
  <c r="IB282" i="2"/>
  <c r="JF282" i="2" s="1"/>
  <c r="JH282" i="2" s="1"/>
  <c r="GQ82" i="2"/>
  <c r="HU82" i="2" s="1"/>
  <c r="HW82" i="2" s="1"/>
  <c r="IB259" i="2"/>
  <c r="JF259" i="2" s="1"/>
  <c r="JH259" i="2" s="1"/>
  <c r="JM352" i="2"/>
  <c r="KQ352" i="2" s="1"/>
  <c r="KS352" i="2" s="1"/>
  <c r="FF80" i="2"/>
  <c r="GJ80" i="2" s="1"/>
  <c r="GL80" i="2" s="1"/>
  <c r="JM116" i="2"/>
  <c r="KQ116" i="2" s="1"/>
  <c r="KS116" i="2" s="1"/>
  <c r="IB88" i="2"/>
  <c r="JF88" i="2" s="1"/>
  <c r="JH88" i="2" s="1"/>
  <c r="IB75" i="2"/>
  <c r="JF75" i="2" s="1"/>
  <c r="JH75" i="2" s="1"/>
  <c r="IB87" i="2"/>
  <c r="JF87" i="2" s="1"/>
  <c r="JH87" i="2" s="1"/>
  <c r="JM244" i="2"/>
  <c r="KQ244" i="2" s="1"/>
  <c r="KS244" i="2" s="1"/>
  <c r="JM361" i="2"/>
  <c r="KQ361" i="2" s="1"/>
  <c r="KS361" i="2" s="1"/>
  <c r="CJ258" i="2"/>
  <c r="DN258" i="2" s="1"/>
  <c r="JM254" i="2"/>
  <c r="KQ254" i="2" s="1"/>
  <c r="KS254" i="2" s="1"/>
  <c r="JM291" i="2"/>
  <c r="KQ291" i="2" s="1"/>
  <c r="KS291" i="2" s="1"/>
  <c r="JM205" i="2"/>
  <c r="KQ205" i="2" s="1"/>
  <c r="JM277" i="2"/>
  <c r="KQ277" i="2" s="1"/>
  <c r="KS277" i="2" s="1"/>
  <c r="JM359" i="2"/>
  <c r="KQ359" i="2" s="1"/>
  <c r="KS359" i="2" s="1"/>
  <c r="JM131" i="2"/>
  <c r="KQ131" i="2" s="1"/>
  <c r="KS131" i="2" s="1"/>
  <c r="JM125" i="2"/>
  <c r="KQ125" i="2" s="1"/>
  <c r="KS125" i="2" s="1"/>
  <c r="AY93" i="2"/>
  <c r="CC93" i="2" s="1"/>
  <c r="CE93" i="2" s="1"/>
  <c r="IB371" i="2"/>
  <c r="JM226" i="2"/>
  <c r="KQ226" i="2" s="1"/>
  <c r="KS226" i="2" s="1"/>
  <c r="IB95" i="2"/>
  <c r="JF95" i="2" s="1"/>
  <c r="JH95" i="2" s="1"/>
  <c r="LY95" i="2" s="1"/>
  <c r="IB249" i="2"/>
  <c r="JF249" i="2" s="1"/>
  <c r="JH249" i="2" s="1"/>
  <c r="JM390" i="2"/>
  <c r="KQ390" i="2" s="1"/>
  <c r="KS390" i="2" s="1"/>
  <c r="JM272" i="2"/>
  <c r="KQ272" i="2" s="1"/>
  <c r="KS272" i="2" s="1"/>
  <c r="JM373" i="2"/>
  <c r="KQ373" i="2" s="1"/>
  <c r="KS373" i="2" s="1"/>
  <c r="IB345" i="2"/>
  <c r="JF345" i="2" s="1"/>
  <c r="JH345" i="2" s="1"/>
  <c r="IB213" i="2"/>
  <c r="JF213" i="2" s="1"/>
  <c r="JH213" i="2" s="1"/>
  <c r="JM290" i="2"/>
  <c r="KQ290" i="2" s="1"/>
  <c r="KS290" i="2" s="1"/>
  <c r="JM367" i="2"/>
  <c r="KQ367" i="2" s="1"/>
  <c r="KS367" i="2" s="1"/>
  <c r="JM221" i="2"/>
  <c r="KQ221" i="2" s="1"/>
  <c r="KS221" i="2" s="1"/>
  <c r="JM217" i="2"/>
  <c r="KQ217" i="2" s="1"/>
  <c r="KS217" i="2" s="1"/>
  <c r="GQ108" i="2"/>
  <c r="HU108" i="2" s="1"/>
  <c r="HW108" i="2" s="1"/>
  <c r="JM234" i="2"/>
  <c r="KQ234" i="2" s="1"/>
  <c r="KS234" i="2" s="1"/>
  <c r="JM98" i="2"/>
  <c r="KQ98" i="2" s="1"/>
  <c r="KS98" i="2" s="1"/>
  <c r="JM292" i="2"/>
  <c r="KQ292" i="2" s="1"/>
  <c r="KS292" i="2" s="1"/>
  <c r="JM53" i="2"/>
  <c r="KQ53" i="2" s="1"/>
  <c r="KS53" i="2" s="1"/>
  <c r="JM278" i="2"/>
  <c r="KQ278" i="2" s="1"/>
  <c r="KS278" i="2" s="1"/>
  <c r="IB378" i="2"/>
  <c r="JF378" i="2" s="1"/>
  <c r="JH378" i="2" s="1"/>
  <c r="JM366" i="2"/>
  <c r="KQ366" i="2" s="1"/>
  <c r="KS366" i="2" s="1"/>
  <c r="JM229" i="2"/>
  <c r="KQ229" i="2" s="1"/>
  <c r="KS229" i="2" s="1"/>
  <c r="IB365" i="2"/>
  <c r="JF365" i="2" s="1"/>
  <c r="JH365" i="2" s="1"/>
  <c r="JM384" i="2"/>
  <c r="KQ384" i="2" s="1"/>
  <c r="JM235" i="2"/>
  <c r="KQ235" i="2" s="1"/>
  <c r="KS235" i="2" s="1"/>
  <c r="IB267" i="2"/>
  <c r="JF267" i="2" s="1"/>
  <c r="JH267" i="2" s="1"/>
  <c r="JM109" i="2"/>
  <c r="KQ109" i="2" s="1"/>
  <c r="KS109" i="2" s="1"/>
  <c r="IB255" i="2"/>
  <c r="JF255" i="2" s="1"/>
  <c r="JH255" i="2" s="1"/>
  <c r="JM220" i="2"/>
  <c r="KQ220" i="2" s="1"/>
  <c r="KS220" i="2" s="1"/>
  <c r="N382" i="2"/>
  <c r="AR382" i="2" s="1"/>
  <c r="AT382" i="2" s="1"/>
  <c r="JM64" i="2"/>
  <c r="KQ64" i="2" s="1"/>
  <c r="KS64" i="2" s="1"/>
  <c r="IB360" i="2"/>
  <c r="JF360" i="2" s="1"/>
  <c r="JH360" i="2" s="1"/>
  <c r="JM379" i="2"/>
  <c r="KQ379" i="2" s="1"/>
  <c r="KS379" i="2" s="1"/>
  <c r="IB393" i="2"/>
  <c r="JF393" i="2" s="1"/>
  <c r="JH393" i="2" s="1"/>
  <c r="JM230" i="2"/>
  <c r="KQ230" i="2" s="1"/>
  <c r="KS230" i="2" s="1"/>
  <c r="LY230" i="2" s="1"/>
  <c r="JM374" i="2"/>
  <c r="KQ374" i="2" s="1"/>
  <c r="KS374" i="2" s="1"/>
  <c r="IB394" i="2"/>
  <c r="JF394" i="2" s="1"/>
  <c r="JH394" i="2" s="1"/>
  <c r="IB251" i="2"/>
  <c r="JF251" i="2" s="1"/>
  <c r="JH251" i="2" s="1"/>
  <c r="JM269" i="2"/>
  <c r="KQ269" i="2" s="1"/>
  <c r="KS269" i="2" s="1"/>
  <c r="JM121" i="2"/>
  <c r="KQ121" i="2" s="1"/>
  <c r="KS121" i="2" s="1"/>
  <c r="JM263" i="2"/>
  <c r="KQ263" i="2" s="1"/>
  <c r="KS263" i="2" s="1"/>
  <c r="JM233" i="2"/>
  <c r="KQ233" i="2" s="1"/>
  <c r="KS233" i="2" s="1"/>
  <c r="JM383" i="2"/>
  <c r="KQ383" i="2" s="1"/>
  <c r="KS383" i="2" s="1"/>
  <c r="JM86" i="2"/>
  <c r="KQ86" i="2" s="1"/>
  <c r="KS86" i="2" s="1"/>
  <c r="IB73" i="2"/>
  <c r="JF73" i="2" s="1"/>
  <c r="JH73" i="2" s="1"/>
  <c r="JM381" i="2"/>
  <c r="KQ381" i="2" s="1"/>
  <c r="KS381" i="2" s="1"/>
  <c r="JM68" i="2"/>
  <c r="KQ68" i="2" s="1"/>
  <c r="KS68" i="2" s="1"/>
  <c r="JM247" i="2"/>
  <c r="KQ247" i="2" s="1"/>
  <c r="KS247" i="2" s="1"/>
  <c r="JM67" i="2"/>
  <c r="KQ67" i="2" s="1"/>
  <c r="KS67" i="2" s="1"/>
  <c r="N114" i="2"/>
  <c r="AR114" i="2" s="1"/>
  <c r="AT114" i="2" s="1"/>
  <c r="LY114" i="2" s="1"/>
  <c r="GQ256" i="2"/>
  <c r="HU256" i="2" s="1"/>
  <c r="HW256" i="2" s="1"/>
  <c r="JM276" i="2"/>
  <c r="KQ276" i="2" s="1"/>
  <c r="KS276" i="2" s="1"/>
  <c r="JM208" i="2"/>
  <c r="KQ208" i="2" s="1"/>
  <c r="JM275" i="2"/>
  <c r="KQ275" i="2" s="1"/>
  <c r="KS275" i="2" s="1"/>
  <c r="IB284" i="2"/>
  <c r="JF284" i="2" s="1"/>
  <c r="JH284" i="2" s="1"/>
  <c r="IB74" i="2"/>
  <c r="JF74" i="2" s="1"/>
  <c r="JH74" i="2" s="1"/>
  <c r="IB91" i="2"/>
  <c r="JF91" i="2" s="1"/>
  <c r="JH91" i="2" s="1"/>
  <c r="IB84" i="2"/>
  <c r="JF84" i="2" s="1"/>
  <c r="JH84" i="2" s="1"/>
  <c r="JM391" i="2"/>
  <c r="KQ391" i="2" s="1"/>
  <c r="KS391" i="2" s="1"/>
  <c r="IB72" i="2"/>
  <c r="JF72" i="2" s="1"/>
  <c r="JH72" i="2" s="1"/>
  <c r="IB271" i="2"/>
  <c r="JF271" i="2" s="1"/>
  <c r="JH271" i="2" s="1"/>
  <c r="JM77" i="2"/>
  <c r="KQ77" i="2" s="1"/>
  <c r="KS77" i="2" s="1"/>
  <c r="JM134" i="2"/>
  <c r="KQ134" i="2" s="1"/>
  <c r="KS134" i="2" s="1"/>
  <c r="JM264" i="2"/>
  <c r="KQ264" i="2" s="1"/>
  <c r="KS264" i="2" s="1"/>
  <c r="IB285" i="2"/>
  <c r="JF285" i="2" s="1"/>
  <c r="JH285" i="2" s="1"/>
  <c r="IB240" i="2"/>
  <c r="JF240" i="2" s="1"/>
  <c r="JH240" i="2" s="1"/>
  <c r="IB347" i="2"/>
  <c r="JF347" i="2" s="1"/>
  <c r="JH347" i="2" s="1"/>
  <c r="AY289" i="2"/>
  <c r="CC289" i="2" s="1"/>
  <c r="CE289" i="2" s="1"/>
  <c r="JM79" i="2"/>
  <c r="KQ79" i="2" s="1"/>
  <c r="KS79" i="2" s="1"/>
  <c r="IB97" i="2"/>
  <c r="JF97" i="2" s="1"/>
  <c r="JH97" i="2" s="1"/>
  <c r="IB92" i="2"/>
  <c r="JF92" i="2" s="1"/>
  <c r="JH92" i="2" s="1"/>
  <c r="IB63" i="2"/>
  <c r="JF63" i="2" s="1"/>
  <c r="JH63" i="2" s="1"/>
  <c r="JM85" i="2"/>
  <c r="KQ85" i="2" s="1"/>
  <c r="KS85" i="2" s="1"/>
  <c r="IB349" i="2"/>
  <c r="JF349" i="2" s="1"/>
  <c r="JH349" i="2" s="1"/>
  <c r="IB110" i="2"/>
  <c r="JF110" i="2" s="1"/>
  <c r="JH110" i="2" s="1"/>
  <c r="JM236" i="2"/>
  <c r="KQ236" i="2" s="1"/>
  <c r="KS236" i="2" s="1"/>
  <c r="IB268" i="2"/>
  <c r="JF268" i="2" s="1"/>
  <c r="JH268" i="2" s="1"/>
  <c r="IB293" i="2"/>
  <c r="JF293" i="2" s="1"/>
  <c r="JH293" i="2" s="1"/>
  <c r="JM241" i="2"/>
  <c r="KQ241" i="2" s="1"/>
  <c r="KS241" i="2" s="1"/>
  <c r="JM364" i="2"/>
  <c r="KQ364" i="2" s="1"/>
  <c r="KS364" i="2" s="1"/>
  <c r="JM369" i="2"/>
  <c r="KQ369" i="2" s="1"/>
  <c r="KS369" i="2" s="1"/>
  <c r="GQ96" i="2"/>
  <c r="HU96" i="2" s="1"/>
  <c r="HW96" i="2" s="1"/>
  <c r="JM107" i="2"/>
  <c r="KQ107" i="2" s="1"/>
  <c r="KS107" i="2" s="1"/>
  <c r="JM94" i="2"/>
  <c r="KQ94" i="2" s="1"/>
  <c r="KS94" i="2" s="1"/>
  <c r="IB78" i="2"/>
  <c r="JF78" i="2" s="1"/>
  <c r="JH78" i="2" s="1"/>
  <c r="FF89" i="2"/>
  <c r="GJ89" i="2" s="1"/>
  <c r="GL89" i="2" s="1"/>
  <c r="JM350" i="2"/>
  <c r="KQ350" i="2" s="1"/>
  <c r="JM122" i="2"/>
  <c r="KQ122" i="2" s="1"/>
  <c r="KS122" i="2" s="1"/>
  <c r="JM242" i="2"/>
  <c r="KQ242" i="2" s="1"/>
  <c r="KS242" i="2" s="1"/>
  <c r="IB346" i="2"/>
  <c r="JF346" i="2" s="1"/>
  <c r="JH346" i="2" s="1"/>
  <c r="JM245" i="2"/>
  <c r="KQ245" i="2" s="1"/>
  <c r="KS245" i="2" s="1"/>
  <c r="JM389" i="2"/>
  <c r="KQ389" i="2" s="1"/>
  <c r="KS389" i="2" s="1"/>
  <c r="IE371" i="2"/>
  <c r="JM124" i="2"/>
  <c r="KQ124" i="2" s="1"/>
  <c r="KS124" i="2" s="1"/>
  <c r="FF118" i="2"/>
  <c r="GJ118" i="2" s="1"/>
  <c r="GL118" i="2" s="1"/>
  <c r="JM119" i="2"/>
  <c r="KQ119" i="2" s="1"/>
  <c r="KS119" i="2" s="1"/>
  <c r="GQ83" i="2"/>
  <c r="HU83" i="2" s="1"/>
  <c r="HW83" i="2" s="1"/>
  <c r="IB218" i="2"/>
  <c r="JF218" i="2" s="1"/>
  <c r="JH218" i="2" s="1"/>
  <c r="JM387" i="2"/>
  <c r="KQ387" i="2" s="1"/>
  <c r="KS387" i="2" s="1"/>
  <c r="JM126" i="2"/>
  <c r="KQ126" i="2" s="1"/>
  <c r="KS126" i="2" s="1"/>
  <c r="IB280" i="2"/>
  <c r="JF280" i="2" s="1"/>
  <c r="JH280" i="2" s="1"/>
  <c r="JM363" i="2"/>
  <c r="KQ363" i="2" s="1"/>
  <c r="KS363" i="2" s="1"/>
  <c r="JM356" i="2"/>
  <c r="KQ356" i="2" s="1"/>
  <c r="KS356" i="2" s="1"/>
  <c r="IB250" i="2"/>
  <c r="JF250" i="2" s="1"/>
  <c r="JH250" i="2" s="1"/>
  <c r="IB392" i="2"/>
  <c r="JF392" i="2" s="1"/>
  <c r="JH392" i="2" s="1"/>
  <c r="JM69" i="2"/>
  <c r="KQ69" i="2" s="1"/>
  <c r="KS69" i="2" s="1"/>
  <c r="IB127" i="2"/>
  <c r="JF127" i="2" s="1"/>
  <c r="JH127" i="2" s="1"/>
  <c r="IB138" i="2"/>
  <c r="JF138" i="2" s="1"/>
  <c r="JH138" i="2" s="1"/>
  <c r="IB106" i="2"/>
  <c r="JF106" i="2" s="1"/>
  <c r="JH106" i="2" s="1"/>
  <c r="JM228" i="2"/>
  <c r="KQ228" i="2" s="1"/>
  <c r="KS228" i="2" s="1"/>
  <c r="JM62" i="2"/>
  <c r="KQ62" i="2" s="1"/>
  <c r="KS62" i="2" s="1"/>
  <c r="CJ129" i="2"/>
  <c r="DN129" i="2" s="1"/>
  <c r="DP129" i="2" s="1"/>
  <c r="IB286" i="2"/>
  <c r="JF286" i="2" s="1"/>
  <c r="JH286" i="2" s="1"/>
  <c r="JM388" i="2"/>
  <c r="KQ388" i="2" s="1"/>
  <c r="KS388" i="2" s="1"/>
  <c r="JM368" i="2"/>
  <c r="KQ368" i="2" s="1"/>
  <c r="KS368" i="2" s="1"/>
  <c r="JM376" i="2"/>
  <c r="KQ376" i="2" s="1"/>
  <c r="KS376" i="2" s="1"/>
  <c r="JM65" i="2"/>
  <c r="KQ65" i="2" s="1"/>
  <c r="KS65" i="2" s="1"/>
  <c r="JM115" i="2"/>
  <c r="KQ115" i="2" s="1"/>
  <c r="KS115" i="2" s="1"/>
  <c r="JM207" i="2"/>
  <c r="KQ207" i="2" s="1"/>
  <c r="KS207" i="2" s="1"/>
  <c r="IB214" i="2"/>
  <c r="JF214" i="2" s="1"/>
  <c r="JH214" i="2" s="1"/>
  <c r="DU204" i="2"/>
  <c r="EY204" i="2" s="1"/>
  <c r="FA204" i="2" s="1"/>
  <c r="CJ133" i="2"/>
  <c r="DN133" i="2" s="1"/>
  <c r="DP133" i="2" s="1"/>
  <c r="IB260" i="2"/>
  <c r="JF260" i="2" s="1"/>
  <c r="JH260" i="2" s="1"/>
  <c r="JM112" i="2"/>
  <c r="KQ112" i="2" s="1"/>
  <c r="KS112" i="2" s="1"/>
  <c r="JM136" i="2"/>
  <c r="KQ136" i="2" s="1"/>
  <c r="KS136" i="2" s="1"/>
  <c r="IB370" i="2"/>
  <c r="JF370" i="2" s="1"/>
  <c r="JH370" i="2" s="1"/>
  <c r="JM58" i="2"/>
  <c r="KQ58" i="2" s="1"/>
  <c r="KS58" i="2" s="1"/>
  <c r="IB395" i="2"/>
  <c r="JF395" i="2" s="1"/>
  <c r="JH395" i="2" s="1"/>
  <c r="JM385" i="2"/>
  <c r="KQ385" i="2" s="1"/>
  <c r="KS385" i="2" s="1"/>
  <c r="IB202" i="2"/>
  <c r="JF202" i="2" s="1"/>
  <c r="JH202" i="2" s="1"/>
  <c r="JM120" i="2"/>
  <c r="KQ120" i="2" s="1"/>
  <c r="KS120" i="2" s="1"/>
  <c r="JM225" i="2"/>
  <c r="KQ225" i="2" s="1"/>
  <c r="KS225" i="2" s="1"/>
  <c r="JM224" i="2"/>
  <c r="KQ224" i="2" s="1"/>
  <c r="KS224" i="2" s="1"/>
  <c r="JM206" i="2"/>
  <c r="KQ206" i="2" s="1"/>
  <c r="KS206" i="2" s="1"/>
  <c r="DU211" i="2"/>
  <c r="EY211" i="2" s="1"/>
  <c r="FA211" i="2" s="1"/>
  <c r="LY211" i="2" s="1"/>
  <c r="IB287" i="2"/>
  <c r="JF287" i="2" s="1"/>
  <c r="JH287" i="2" s="1"/>
  <c r="IB117" i="2"/>
  <c r="JF117" i="2" s="1"/>
  <c r="JH117" i="2" s="1"/>
  <c r="JM252" i="2"/>
  <c r="KQ252" i="2" s="1"/>
  <c r="IB49" i="2"/>
  <c r="JF49" i="2" s="1"/>
  <c r="JH49" i="2" s="1"/>
  <c r="IB70" i="2"/>
  <c r="JF70" i="2" s="1"/>
  <c r="JH70" i="2" s="1"/>
  <c r="JM55" i="2"/>
  <c r="KQ55" i="2" s="1"/>
  <c r="KS55" i="2" s="1"/>
  <c r="IB215" i="2"/>
  <c r="JF215" i="2" s="1"/>
  <c r="JH215" i="2" s="1"/>
  <c r="GQ123" i="2"/>
  <c r="HU123" i="2" s="1"/>
  <c r="HW123" i="2" s="1"/>
  <c r="JM231" i="2"/>
  <c r="KQ231" i="2" s="1"/>
  <c r="KS231" i="2" s="1"/>
  <c r="IB232" i="2"/>
  <c r="JF232" i="2" s="1"/>
  <c r="JH232" i="2" s="1"/>
  <c r="JM219" i="2"/>
  <c r="KQ219" i="2" s="1"/>
  <c r="KS219" i="2" s="1"/>
  <c r="IB222" i="2"/>
  <c r="JF222" i="2" s="1"/>
  <c r="JH222" i="2" s="1"/>
  <c r="IB357" i="2"/>
  <c r="JF357" i="2" s="1"/>
  <c r="JH357" i="2" s="1"/>
  <c r="GQ210" i="2"/>
  <c r="HU210" i="2" s="1"/>
  <c r="HW210" i="2" s="1"/>
  <c r="JM270" i="2"/>
  <c r="KQ270" i="2" s="1"/>
  <c r="KS270" i="2" s="1"/>
  <c r="JM59" i="2"/>
  <c r="KQ59" i="2" s="1"/>
  <c r="KS59" i="2" s="1"/>
  <c r="JM81" i="2"/>
  <c r="KQ81" i="2" s="1"/>
  <c r="KS81" i="2" s="1"/>
  <c r="IB56" i="2"/>
  <c r="JF56" i="2" s="1"/>
  <c r="JH56" i="2" s="1"/>
  <c r="IB266" i="2"/>
  <c r="JF266" i="2" s="1"/>
  <c r="JH266" i="2" s="1"/>
  <c r="IB128" i="2"/>
  <c r="JF128" i="2" s="1"/>
  <c r="JH128" i="2" s="1"/>
  <c r="JM262" i="2"/>
  <c r="KQ262" i="2" s="1"/>
  <c r="KS262" i="2" s="1"/>
  <c r="IB237" i="2"/>
  <c r="JF237" i="2" s="1"/>
  <c r="JH237" i="2" s="1"/>
  <c r="JM223" i="2"/>
  <c r="KQ223" i="2" s="1"/>
  <c r="KS223" i="2" s="1"/>
  <c r="JM261" i="2"/>
  <c r="KQ261" i="2" s="1"/>
  <c r="KS261" i="2" s="1"/>
  <c r="JM358" i="2"/>
  <c r="KQ358" i="2" s="1"/>
  <c r="JM246" i="2"/>
  <c r="KQ246" i="2" s="1"/>
  <c r="KS246" i="2" s="1"/>
  <c r="IB281" i="2"/>
  <c r="JF281" i="2" s="1"/>
  <c r="JH281" i="2" s="1"/>
  <c r="JM71" i="2"/>
  <c r="KQ71" i="2" s="1"/>
  <c r="KS71" i="2" s="1"/>
  <c r="JM99" i="2"/>
  <c r="KQ99" i="2" s="1"/>
  <c r="IB57" i="2"/>
  <c r="JF57" i="2" s="1"/>
  <c r="JH57" i="2" s="1"/>
  <c r="JM279" i="2"/>
  <c r="KQ279" i="2" s="1"/>
  <c r="KS279" i="2" s="1"/>
  <c r="JM130" i="2"/>
  <c r="KQ130" i="2" s="1"/>
  <c r="KS130" i="2" s="1"/>
  <c r="IB283" i="2"/>
  <c r="JF283" i="2" s="1"/>
  <c r="JH283" i="2" s="1"/>
  <c r="JM239" i="2"/>
  <c r="KQ239" i="2" s="1"/>
  <c r="KS239" i="2" s="1"/>
  <c r="JM243" i="2"/>
  <c r="KQ243" i="2" s="1"/>
  <c r="KS243" i="2" s="1"/>
  <c r="JM265" i="2"/>
  <c r="KQ265" i="2" s="1"/>
  <c r="KS265" i="2" s="1"/>
  <c r="JM52" i="2"/>
  <c r="KQ52" i="2" s="1"/>
  <c r="KS52" i="2" s="1"/>
  <c r="FF257" i="2"/>
  <c r="GJ257" i="2" s="1"/>
  <c r="GL257" i="2" s="1"/>
  <c r="JM351" i="2"/>
  <c r="KQ351" i="2" s="1"/>
  <c r="KS351" i="2" s="1"/>
  <c r="IB76" i="2"/>
  <c r="JF76" i="2" s="1"/>
  <c r="JH76" i="2" s="1"/>
  <c r="N113" i="2"/>
  <c r="AR113" i="2" s="1"/>
  <c r="AT113" i="2" s="1"/>
  <c r="LY113" i="2" s="1"/>
  <c r="JM66" i="2"/>
  <c r="KQ66" i="2" s="1"/>
  <c r="KS66" i="2" s="1"/>
  <c r="N291" i="2"/>
  <c r="AR291" i="2" s="1"/>
  <c r="AT291" i="2" s="1"/>
  <c r="N100" i="2"/>
  <c r="AR100" i="2" s="1"/>
  <c r="AT100" i="2" s="1"/>
  <c r="N295" i="2"/>
  <c r="Q295" i="2"/>
  <c r="N45" i="2"/>
  <c r="AR45" i="2" s="1"/>
  <c r="AT45" i="2" s="1"/>
  <c r="N296" i="2"/>
  <c r="AR296" i="2" s="1"/>
  <c r="AT296" i="2" s="1"/>
  <c r="N333" i="2"/>
  <c r="AR333" i="2" s="1"/>
  <c r="AT333" i="2" s="1"/>
  <c r="LY333" i="2" s="1"/>
  <c r="MS333" i="2" s="1"/>
  <c r="AY41" i="2"/>
  <c r="N184" i="2"/>
  <c r="AR184" i="2" s="1"/>
  <c r="AT184" i="2" s="1"/>
  <c r="N147" i="2"/>
  <c r="AR147" i="2" s="1"/>
  <c r="AT147" i="2" s="1"/>
  <c r="N320" i="2"/>
  <c r="AR320" i="2" s="1"/>
  <c r="AT320" i="2" s="1"/>
  <c r="LY320" i="2" s="1"/>
  <c r="MS320" i="2" s="1"/>
  <c r="N150" i="2"/>
  <c r="AR150" i="2" s="1"/>
  <c r="AT150" i="2" s="1"/>
  <c r="Q327" i="2"/>
  <c r="N309" i="2"/>
  <c r="AR309" i="2" s="1"/>
  <c r="AT309" i="2" s="1"/>
  <c r="AY295" i="2"/>
  <c r="AY298" i="2"/>
  <c r="N189" i="2"/>
  <c r="AR189" i="2" s="1"/>
  <c r="AT189" i="2" s="1"/>
  <c r="N326" i="2"/>
  <c r="AR326" i="2" s="1"/>
  <c r="AT326" i="2" s="1"/>
  <c r="N41" i="2"/>
  <c r="AR41" i="2" s="1"/>
  <c r="AT41" i="2" s="1"/>
  <c r="N144" i="2"/>
  <c r="AR144" i="2" s="1"/>
  <c r="AT144" i="2" s="1"/>
  <c r="N297" i="2"/>
  <c r="AR297" i="2" s="1"/>
  <c r="AT297" i="2" s="1"/>
  <c r="N157" i="2"/>
  <c r="AR157" i="2" s="1"/>
  <c r="AT157" i="2" s="1"/>
  <c r="N321" i="2"/>
  <c r="AR321" i="2" s="1"/>
  <c r="AT321" i="2" s="1"/>
  <c r="LY321" i="2" s="1"/>
  <c r="MS321" i="2" s="1"/>
  <c r="N155" i="2"/>
  <c r="AR155" i="2" s="1"/>
  <c r="AT155" i="2" s="1"/>
  <c r="N12" i="2"/>
  <c r="AR12" i="2" s="1"/>
  <c r="AT12" i="2" s="1"/>
  <c r="N324" i="2"/>
  <c r="AR324" i="2" s="1"/>
  <c r="AT324" i="2" s="1"/>
  <c r="N299" i="2"/>
  <c r="AY311" i="2"/>
  <c r="N308" i="2"/>
  <c r="AR308" i="2" s="1"/>
  <c r="AT308" i="2" s="1"/>
  <c r="N194" i="2"/>
  <c r="AR194" i="2" s="1"/>
  <c r="AT194" i="2" s="1"/>
  <c r="N331" i="2"/>
  <c r="AR331" i="2" s="1"/>
  <c r="AT331" i="2" s="1"/>
  <c r="N142" i="2"/>
  <c r="AR142" i="2" s="1"/>
  <c r="AT142" i="2" s="1"/>
  <c r="N170" i="2"/>
  <c r="AR170" i="2" s="1"/>
  <c r="AT170" i="2" s="1"/>
  <c r="N335" i="2"/>
  <c r="AR335" i="2" s="1"/>
  <c r="AT335" i="2" s="1"/>
  <c r="N173" i="2"/>
  <c r="AR173" i="2" s="1"/>
  <c r="AT173" i="2" s="1"/>
  <c r="N325" i="2"/>
  <c r="AR325" i="2" s="1"/>
  <c r="AT325" i="2" s="1"/>
  <c r="N160" i="2"/>
  <c r="N17" i="2"/>
  <c r="AR17" i="2" s="1"/>
  <c r="AT17" i="2" s="1"/>
  <c r="Q330" i="2"/>
  <c r="N19" i="2"/>
  <c r="AR19" i="2" s="1"/>
  <c r="AT19" i="2" s="1"/>
  <c r="AY185" i="2"/>
  <c r="FF149" i="2"/>
  <c r="GJ149" i="2" s="1"/>
  <c r="GL149" i="2" s="1"/>
  <c r="N10" i="2"/>
  <c r="AR10" i="2" s="1"/>
  <c r="AT10" i="2" s="1"/>
  <c r="N311" i="2"/>
  <c r="AR311" i="2" s="1"/>
  <c r="AT311" i="2" s="1"/>
  <c r="AY400" i="2"/>
  <c r="CC400" i="2" s="1"/>
  <c r="CE400" i="2" s="1"/>
  <c r="N143" i="2"/>
  <c r="AR143" i="2" s="1"/>
  <c r="AT143" i="2" s="1"/>
  <c r="N180" i="2"/>
  <c r="AR180" i="2" s="1"/>
  <c r="AT180" i="2" s="1"/>
  <c r="Q396" i="2"/>
  <c r="N174" i="2"/>
  <c r="AR174" i="2" s="1"/>
  <c r="AT174" i="2" s="1"/>
  <c r="CM399" i="2"/>
  <c r="N161" i="2"/>
  <c r="N24" i="2"/>
  <c r="AR24" i="2" s="1"/>
  <c r="AT24" i="2" s="1"/>
  <c r="N398" i="2"/>
  <c r="AR398" i="2" s="1"/>
  <c r="AT398" i="2" s="1"/>
  <c r="Q301" i="2"/>
  <c r="Q161" i="2"/>
  <c r="N38" i="2"/>
  <c r="AR38" i="2" s="1"/>
  <c r="AT38" i="2" s="1"/>
  <c r="N166" i="2"/>
  <c r="AR166" i="2" s="1"/>
  <c r="AT166" i="2" s="1"/>
  <c r="N23" i="2"/>
  <c r="AR23" i="2" s="1"/>
  <c r="AT23" i="2" s="1"/>
  <c r="N165" i="2"/>
  <c r="AR165" i="2" s="1"/>
  <c r="AT165" i="2" s="1"/>
  <c r="N186" i="2"/>
  <c r="AR186" i="2" s="1"/>
  <c r="AT186" i="2" s="1"/>
  <c r="N403" i="2"/>
  <c r="AR403" i="2" s="1"/>
  <c r="AT403" i="2" s="1"/>
  <c r="N175" i="2"/>
  <c r="AR175" i="2" s="1"/>
  <c r="AT175" i="2" s="1"/>
  <c r="N25" i="2"/>
  <c r="AR25" i="2" s="1"/>
  <c r="AT25" i="2" s="1"/>
  <c r="N32" i="2"/>
  <c r="AR32" i="2" s="1"/>
  <c r="AT32" i="2" s="1"/>
  <c r="N301" i="2"/>
  <c r="N179" i="2"/>
  <c r="AR179" i="2" s="1"/>
  <c r="AT179" i="2" s="1"/>
  <c r="N193" i="2"/>
  <c r="AR193" i="2" s="1"/>
  <c r="AT193" i="2" s="1"/>
  <c r="N29" i="2"/>
  <c r="AR29" i="2" s="1"/>
  <c r="AT29" i="2" s="1"/>
  <c r="N171" i="2"/>
  <c r="AR171" i="2" s="1"/>
  <c r="AT171" i="2" s="1"/>
  <c r="N316" i="2"/>
  <c r="AR316" i="2" s="1"/>
  <c r="AT316" i="2" s="1"/>
  <c r="AY19" i="2"/>
  <c r="N185" i="2"/>
  <c r="AR185" i="2" s="1"/>
  <c r="AT185" i="2" s="1"/>
  <c r="N39" i="2"/>
  <c r="AR39" i="2" s="1"/>
  <c r="AT39" i="2" s="1"/>
  <c r="N307" i="2"/>
  <c r="AR307" i="2" s="1"/>
  <c r="AT307" i="2" s="1"/>
  <c r="N36" i="2"/>
  <c r="AR36" i="2" s="1"/>
  <c r="AT36" i="2" s="1"/>
  <c r="N148" i="2"/>
  <c r="AR148" i="2" s="1"/>
  <c r="AT148" i="2" s="1"/>
  <c r="BB295" i="2"/>
  <c r="CJ139" i="2"/>
  <c r="N304" i="2"/>
  <c r="AR304" i="2" s="1"/>
  <c r="AT304" i="2" s="1"/>
  <c r="N305" i="2"/>
  <c r="AR305" i="2" s="1"/>
  <c r="AT305" i="2" s="1"/>
  <c r="N181" i="2"/>
  <c r="AR181" i="2" s="1"/>
  <c r="AT181" i="2" s="1"/>
  <c r="N323" i="2"/>
  <c r="AR323" i="2" s="1"/>
  <c r="AT323" i="2" s="1"/>
  <c r="N140" i="2"/>
  <c r="AR140" i="2" s="1"/>
  <c r="AT140" i="2" s="1"/>
  <c r="N302" i="2"/>
  <c r="AR302" i="2" s="1"/>
  <c r="AT302" i="2" s="1"/>
  <c r="N298" i="2"/>
  <c r="AR298" i="2" s="1"/>
  <c r="AT298" i="2" s="1"/>
  <c r="N336" i="2"/>
  <c r="AR336" i="2" s="1"/>
  <c r="AT336" i="2" s="1"/>
  <c r="N152" i="2"/>
  <c r="AR152" i="2" s="1"/>
  <c r="AT152" i="2" s="1"/>
  <c r="N145" i="2"/>
  <c r="AR145" i="2" s="1"/>
  <c r="AT145" i="2" s="1"/>
  <c r="N312" i="2"/>
  <c r="AR312" i="2" s="1"/>
  <c r="AT312" i="2" s="1"/>
  <c r="N306" i="2"/>
  <c r="AR306" i="2" s="1"/>
  <c r="AT306" i="2" s="1"/>
  <c r="AY182" i="2"/>
  <c r="CC182" i="2" s="1"/>
  <c r="CE182" i="2" s="1"/>
  <c r="BB327" i="2"/>
  <c r="N169" i="2"/>
  <c r="AR169" i="2" s="1"/>
  <c r="AT169" i="2" s="1"/>
  <c r="AY309" i="2"/>
  <c r="CC309" i="2" s="1"/>
  <c r="CE309" i="2" s="1"/>
  <c r="AY304" i="2"/>
  <c r="CC304" i="2" s="1"/>
  <c r="CE304" i="2" s="1"/>
  <c r="CJ400" i="2"/>
  <c r="DN400" i="2" s="1"/>
  <c r="DP400" i="2" s="1"/>
  <c r="AY160" i="2"/>
  <c r="CC160" i="2" s="1"/>
  <c r="CE160" i="2" s="1"/>
  <c r="AY327" i="2"/>
  <c r="BB311" i="2"/>
  <c r="N35" i="2"/>
  <c r="AR35" i="2" s="1"/>
  <c r="AT35" i="2" s="1"/>
  <c r="N337" i="2"/>
  <c r="AR337" i="2" s="1"/>
  <c r="AT337" i="2" s="1"/>
  <c r="N30" i="2"/>
  <c r="AR30" i="2" s="1"/>
  <c r="AT30" i="2" s="1"/>
  <c r="N183" i="2"/>
  <c r="AR183" i="2" s="1"/>
  <c r="AT183" i="2" s="1"/>
  <c r="N342" i="2"/>
  <c r="AR342" i="2" s="1"/>
  <c r="AT342" i="2" s="1"/>
  <c r="N198" i="2"/>
  <c r="AR198" i="2" s="1"/>
  <c r="AT198" i="2" s="1"/>
  <c r="N317" i="2"/>
  <c r="AR317" i="2" s="1"/>
  <c r="AT317" i="2" s="1"/>
  <c r="AY312" i="2"/>
  <c r="CC312" i="2" s="1"/>
  <c r="CE312" i="2" s="1"/>
  <c r="N21" i="2"/>
  <c r="AR21" i="2" s="1"/>
  <c r="AT21" i="2" s="1"/>
  <c r="AY334" i="2"/>
  <c r="CJ399" i="2"/>
  <c r="N396" i="2"/>
  <c r="BB180" i="2"/>
  <c r="CJ11" i="2"/>
  <c r="DX198" i="2"/>
  <c r="N319" i="2"/>
  <c r="AR319" i="2" s="1"/>
  <c r="AT319" i="2" s="1"/>
  <c r="N163" i="2"/>
  <c r="AR163" i="2" s="1"/>
  <c r="AT163" i="2" s="1"/>
  <c r="N196" i="2"/>
  <c r="AR196" i="2" s="1"/>
  <c r="AT196" i="2" s="1"/>
  <c r="N399" i="2"/>
  <c r="AR399" i="2" s="1"/>
  <c r="AT399" i="2" s="1"/>
  <c r="N200" i="2"/>
  <c r="AR200" i="2" s="1"/>
  <c r="AT200" i="2" s="1"/>
  <c r="LY200" i="2" s="1"/>
  <c r="N322" i="2"/>
  <c r="AR322" i="2" s="1"/>
  <c r="AT322" i="2" s="1"/>
  <c r="N318" i="2"/>
  <c r="AR318" i="2" s="1"/>
  <c r="AT318" i="2" s="1"/>
  <c r="N37" i="2"/>
  <c r="AR37" i="2" s="1"/>
  <c r="AT37" i="2" s="1"/>
  <c r="N16" i="2"/>
  <c r="AR16" i="2" s="1"/>
  <c r="AT16" i="2" s="1"/>
  <c r="AY180" i="2"/>
  <c r="CM11" i="2"/>
  <c r="N294" i="2"/>
  <c r="AR294" i="2" s="1"/>
  <c r="AT294" i="2" s="1"/>
  <c r="LY294" i="2" s="1"/>
  <c r="MS294" i="2" s="1"/>
  <c r="CJ10" i="2"/>
  <c r="DN10" i="2" s="1"/>
  <c r="DP10" i="2" s="1"/>
  <c r="N182" i="2"/>
  <c r="AR182" i="2" s="1"/>
  <c r="AT182" i="2" s="1"/>
  <c r="BB298" i="2"/>
  <c r="N14" i="2"/>
  <c r="AR14" i="2" s="1"/>
  <c r="AT14" i="2" s="1"/>
  <c r="N328" i="2"/>
  <c r="AR328" i="2" s="1"/>
  <c r="AT328" i="2" s="1"/>
  <c r="LY328" i="2" s="1"/>
  <c r="MS328" i="2" s="1"/>
  <c r="N33" i="2"/>
  <c r="AR33" i="2" s="1"/>
  <c r="AT33" i="2" s="1"/>
  <c r="N397" i="2"/>
  <c r="AR397" i="2" s="1"/>
  <c r="AT397" i="2" s="1"/>
  <c r="N151" i="2"/>
  <c r="AR151" i="2" s="1"/>
  <c r="AT151" i="2" s="1"/>
  <c r="LY151" i="2" s="1"/>
  <c r="N31" i="2"/>
  <c r="AR31" i="2" s="1"/>
  <c r="AT31" i="2" s="1"/>
  <c r="Q195" i="2"/>
  <c r="N15" i="2"/>
  <c r="AR15" i="2" s="1"/>
  <c r="AT15" i="2" s="1"/>
  <c r="N187" i="2"/>
  <c r="AR187" i="2" s="1"/>
  <c r="AT187" i="2" s="1"/>
  <c r="N300" i="2"/>
  <c r="AR300" i="2" s="1"/>
  <c r="AT300" i="2" s="1"/>
  <c r="N26" i="2"/>
  <c r="AR26" i="2" s="1"/>
  <c r="AT26" i="2" s="1"/>
  <c r="N400" i="2"/>
  <c r="AR400" i="2" s="1"/>
  <c r="AT400" i="2" s="1"/>
  <c r="N156" i="2"/>
  <c r="AR156" i="2" s="1"/>
  <c r="AT156" i="2" s="1"/>
  <c r="N401" i="2"/>
  <c r="AR401" i="2" s="1"/>
  <c r="AT401" i="2" s="1"/>
  <c r="N176" i="2"/>
  <c r="AR176" i="2" s="1"/>
  <c r="AT176" i="2" s="1"/>
  <c r="FF146" i="2"/>
  <c r="GJ146" i="2" s="1"/>
  <c r="GL146" i="2" s="1"/>
  <c r="BB334" i="2"/>
  <c r="N327" i="2"/>
  <c r="N139" i="2"/>
  <c r="AR139" i="2" s="1"/>
  <c r="AT139" i="2" s="1"/>
  <c r="N195" i="2"/>
  <c r="AY195" i="2"/>
  <c r="Q160" i="2"/>
  <c r="N28" i="2"/>
  <c r="AR28" i="2" s="1"/>
  <c r="AT28" i="2" s="1"/>
  <c r="LY28" i="2" s="1"/>
  <c r="N199" i="2"/>
  <c r="AR199" i="2" s="1"/>
  <c r="AT199" i="2" s="1"/>
  <c r="N310" i="2"/>
  <c r="AR310" i="2" s="1"/>
  <c r="AT310" i="2" s="1"/>
  <c r="N153" i="2"/>
  <c r="AR153" i="2" s="1"/>
  <c r="AT153" i="2" s="1"/>
  <c r="N402" i="2"/>
  <c r="AR402" i="2" s="1"/>
  <c r="AT402" i="2" s="1"/>
  <c r="N168" i="2"/>
  <c r="AR168" i="2" s="1"/>
  <c r="AT168" i="2" s="1"/>
  <c r="N11" i="2"/>
  <c r="AR11" i="2" s="1"/>
  <c r="AT11" i="2" s="1"/>
  <c r="N177" i="2"/>
  <c r="AR177" i="2" s="1"/>
  <c r="AT177" i="2" s="1"/>
  <c r="N167" i="2"/>
  <c r="AR167" i="2" s="1"/>
  <c r="AT167" i="2" s="1"/>
  <c r="N330" i="2"/>
  <c r="BB11" i="2"/>
  <c r="N27" i="2"/>
  <c r="AR27" i="2" s="1"/>
  <c r="AT27" i="2" s="1"/>
  <c r="AY178" i="2"/>
  <c r="CC178" i="2" s="1"/>
  <c r="CE178" i="2" s="1"/>
  <c r="Q299" i="2"/>
  <c r="CJ312" i="2"/>
  <c r="DN312" i="2" s="1"/>
  <c r="DP312" i="2" s="1"/>
  <c r="N158" i="2"/>
  <c r="AR158" i="2" s="1"/>
  <c r="AT158" i="2" s="1"/>
  <c r="N13" i="2"/>
  <c r="AR13" i="2" s="1"/>
  <c r="AT13" i="2" s="1"/>
  <c r="BB185" i="2"/>
  <c r="AY18" i="2"/>
  <c r="CC18" i="2" s="1"/>
  <c r="CE18" i="2" s="1"/>
  <c r="N192" i="2"/>
  <c r="AR192" i="2" s="1"/>
  <c r="AT192" i="2" s="1"/>
  <c r="N188" i="2"/>
  <c r="AR188" i="2" s="1"/>
  <c r="AT188" i="2" s="1"/>
  <c r="CJ184" i="2"/>
  <c r="BB19" i="2"/>
  <c r="AY11" i="2"/>
  <c r="Q172" i="2"/>
  <c r="N332" i="2"/>
  <c r="AR332" i="2" s="1"/>
  <c r="AT332" i="2" s="1"/>
  <c r="N190" i="2"/>
  <c r="AR190" i="2" s="1"/>
  <c r="AT190" i="2" s="1"/>
  <c r="N313" i="2"/>
  <c r="AR313" i="2" s="1"/>
  <c r="AT313" i="2" s="1"/>
  <c r="N338" i="2"/>
  <c r="AR338" i="2" s="1"/>
  <c r="AT338" i="2" s="1"/>
  <c r="N159" i="2"/>
  <c r="AR159" i="2" s="1"/>
  <c r="AT159" i="2" s="1"/>
  <c r="N40" i="2"/>
  <c r="AR40" i="2" s="1"/>
  <c r="AT40" i="2" s="1"/>
  <c r="N303" i="2"/>
  <c r="AR303" i="2" s="1"/>
  <c r="AT303" i="2" s="1"/>
  <c r="N34" i="2"/>
  <c r="AR34" i="2" s="1"/>
  <c r="AT34" i="2" s="1"/>
  <c r="AY306" i="2"/>
  <c r="CC306" i="2" s="1"/>
  <c r="CE306" i="2" s="1"/>
  <c r="N191" i="2"/>
  <c r="AR191" i="2" s="1"/>
  <c r="AT191" i="2" s="1"/>
  <c r="BB195" i="2"/>
  <c r="CM184" i="2"/>
  <c r="BB41" i="2"/>
  <c r="CM139" i="2"/>
  <c r="DU198" i="2"/>
  <c r="N172" i="2"/>
  <c r="AY194" i="2"/>
  <c r="CC194" i="2" s="1"/>
  <c r="CE194" i="2" s="1"/>
  <c r="CC34" i="2"/>
  <c r="CE34" i="2" s="1"/>
  <c r="EY14" i="2"/>
  <c r="FA14" i="2" s="1"/>
  <c r="EY152" i="2"/>
  <c r="FA152" i="2" s="1"/>
  <c r="AY301" i="2"/>
  <c r="CC301" i="2" s="1"/>
  <c r="CE301" i="2" s="1"/>
  <c r="FF295" i="2"/>
  <c r="DU24" i="2"/>
  <c r="EY24" i="2" s="1"/>
  <c r="FA24" i="2" s="1"/>
  <c r="BB35" i="2"/>
  <c r="CM308" i="2"/>
  <c r="AY35" i="2"/>
  <c r="BB335" i="2"/>
  <c r="CJ191" i="2"/>
  <c r="DN191" i="2" s="1"/>
  <c r="DP191" i="2" s="1"/>
  <c r="DU190" i="2"/>
  <c r="EY190" i="2" s="1"/>
  <c r="FA190" i="2" s="1"/>
  <c r="DX185" i="2"/>
  <c r="AY318" i="2"/>
  <c r="CC318" i="2" s="1"/>
  <c r="CE318" i="2" s="1"/>
  <c r="CJ308" i="2"/>
  <c r="DU185" i="2"/>
  <c r="AY183" i="2"/>
  <c r="CC183" i="2" s="1"/>
  <c r="CE183" i="2" s="1"/>
  <c r="BB144" i="2"/>
  <c r="AY181" i="2"/>
  <c r="CC181" i="2" s="1"/>
  <c r="CE181" i="2" s="1"/>
  <c r="FI295" i="2"/>
  <c r="AY144" i="2"/>
  <c r="DU181" i="2"/>
  <c r="EY181" i="2" s="1"/>
  <c r="FA181" i="2" s="1"/>
  <c r="DU187" i="2"/>
  <c r="EY187" i="2" s="1"/>
  <c r="FA187" i="2" s="1"/>
  <c r="AY159" i="2"/>
  <c r="CJ183" i="2"/>
  <c r="DN183" i="2" s="1"/>
  <c r="DP183" i="2" s="1"/>
  <c r="AY335" i="2"/>
  <c r="BB159" i="2"/>
  <c r="CJ186" i="2"/>
  <c r="DN186" i="2" s="1"/>
  <c r="DP186" i="2" s="1"/>
  <c r="AY169" i="2"/>
  <c r="CC169" i="2" s="1"/>
  <c r="CE169" i="2" s="1"/>
  <c r="AY153" i="2"/>
  <c r="BB153" i="2"/>
  <c r="N254" i="15"/>
  <c r="O254" i="15" s="1"/>
  <c r="N255" i="15"/>
  <c r="O255" i="15" s="1"/>
  <c r="N256" i="15"/>
  <c r="P256" i="15" s="1"/>
  <c r="N257" i="15"/>
  <c r="O257" i="15" s="1"/>
  <c r="Q105" i="15"/>
  <c r="Q106" i="15"/>
  <c r="Q107" i="15"/>
  <c r="Q108" i="15"/>
  <c r="Q109" i="15"/>
  <c r="N229" i="15"/>
  <c r="T229" i="15" s="1"/>
  <c r="N228" i="15"/>
  <c r="P228" i="15" s="1"/>
  <c r="LY319" i="2" l="1"/>
  <c r="MS319" i="2" s="1"/>
  <c r="LY289" i="2"/>
  <c r="AR172" i="2"/>
  <c r="AT172" i="2" s="1"/>
  <c r="CC79" i="2"/>
  <c r="CE79" i="2" s="1"/>
  <c r="AR376" i="2"/>
  <c r="AT376" i="2" s="1"/>
  <c r="EY395" i="2"/>
  <c r="FA395" i="2" s="1"/>
  <c r="LY172" i="2"/>
  <c r="HU363" i="2"/>
  <c r="HW363" i="2" s="1"/>
  <c r="LY213" i="2"/>
  <c r="LY150" i="2"/>
  <c r="LY310" i="2"/>
  <c r="MS310" i="2" s="1"/>
  <c r="LY92" i="2"/>
  <c r="LY338" i="2"/>
  <c r="MS338" i="2" s="1"/>
  <c r="LY27" i="2"/>
  <c r="LY173" i="2"/>
  <c r="CC271" i="2"/>
  <c r="CE271" i="2" s="1"/>
  <c r="LY271" i="2" s="1"/>
  <c r="LY189" i="2"/>
  <c r="LY142" i="2"/>
  <c r="CC216" i="2"/>
  <c r="CE216" i="2" s="1"/>
  <c r="LY215" i="2"/>
  <c r="LY257" i="2"/>
  <c r="LY157" i="2"/>
  <c r="LY284" i="2"/>
  <c r="LY45" i="2"/>
  <c r="LY272" i="2"/>
  <c r="LY29" i="2"/>
  <c r="LY188" i="2"/>
  <c r="LY117" i="2"/>
  <c r="LY303" i="2"/>
  <c r="MS303" i="2" s="1"/>
  <c r="LY398" i="2"/>
  <c r="MS398" i="2" s="1"/>
  <c r="LY326" i="2"/>
  <c r="MS326" i="2" s="1"/>
  <c r="LY100" i="2"/>
  <c r="LY368" i="2"/>
  <c r="MS368" i="2" s="1"/>
  <c r="LY256" i="2"/>
  <c r="LY174" i="2"/>
  <c r="LY170" i="2"/>
  <c r="LY218" i="2"/>
  <c r="LY96" i="2"/>
  <c r="LY246" i="2"/>
  <c r="LY385" i="2"/>
  <c r="MS385" i="2" s="1"/>
  <c r="LY286" i="2"/>
  <c r="LY167" i="2"/>
  <c r="LY177" i="2"/>
  <c r="LY247" i="2"/>
  <c r="LY156" i="2"/>
  <c r="LY175" i="2"/>
  <c r="LY62" i="2"/>
  <c r="LY234" i="2"/>
  <c r="LY300" i="2"/>
  <c r="MS300" i="2" s="1"/>
  <c r="LY165" i="2"/>
  <c r="LY52" i="2"/>
  <c r="LY70" i="2"/>
  <c r="LY112" i="2"/>
  <c r="LY72" i="2"/>
  <c r="LY128" i="2"/>
  <c r="LY245" i="2"/>
  <c r="LY109" i="2"/>
  <c r="LY133" i="2"/>
  <c r="LY290" i="2"/>
  <c r="LY145" i="2"/>
  <c r="LY204" i="2"/>
  <c r="LY297" i="2"/>
  <c r="MS297" i="2" s="1"/>
  <c r="LY224" i="2"/>
  <c r="LY65" i="2"/>
  <c r="LY280" i="2"/>
  <c r="LY394" i="2"/>
  <c r="MS394" i="2" s="1"/>
  <c r="LY344" i="2"/>
  <c r="MS344" i="2" s="1"/>
  <c r="LY378" i="2"/>
  <c r="MS378" i="2" s="1"/>
  <c r="LY323" i="2"/>
  <c r="MS323" i="2" s="1"/>
  <c r="LY387" i="2"/>
  <c r="MS387" i="2" s="1"/>
  <c r="CC273" i="2"/>
  <c r="CE273" i="2" s="1"/>
  <c r="LY281" i="2"/>
  <c r="LY393" i="2"/>
  <c r="MS393" i="2" s="1"/>
  <c r="LY32" i="2"/>
  <c r="LY143" i="2"/>
  <c r="LY118" i="2"/>
  <c r="LY82" i="2"/>
  <c r="LY401" i="2"/>
  <c r="MS401" i="2" s="1"/>
  <c r="LY402" i="2"/>
  <c r="MS402" i="2" s="1"/>
  <c r="LY136" i="2"/>
  <c r="LY127" i="2"/>
  <c r="LY322" i="2"/>
  <c r="MS322" i="2" s="1"/>
  <c r="LY239" i="2"/>
  <c r="LY254" i="2"/>
  <c r="LY158" i="2"/>
  <c r="LY270" i="2"/>
  <c r="LY87" i="2"/>
  <c r="LY33" i="2"/>
  <c r="LY357" i="2"/>
  <c r="MS357" i="2" s="1"/>
  <c r="LY225" i="2"/>
  <c r="CE208" i="2"/>
  <c r="GL99" i="2"/>
  <c r="CE384" i="2"/>
  <c r="HW205" i="2"/>
  <c r="CE99" i="2"/>
  <c r="KS358" i="2"/>
  <c r="DP358" i="2"/>
  <c r="AT238" i="2"/>
  <c r="HW252" i="2"/>
  <c r="GL350" i="2"/>
  <c r="DP99" i="2"/>
  <c r="AT350" i="2"/>
  <c r="JH252" i="2"/>
  <c r="GL208" i="2"/>
  <c r="GL252" i="2"/>
  <c r="HW350" i="2"/>
  <c r="GL348" i="2"/>
  <c r="AT258" i="2"/>
  <c r="AT384" i="2"/>
  <c r="AT99" i="2"/>
  <c r="GL238" i="2"/>
  <c r="KS205" i="2"/>
  <c r="HW208" i="2"/>
  <c r="AT348" i="2"/>
  <c r="FA348" i="2"/>
  <c r="KS252" i="2"/>
  <c r="JH348" i="2"/>
  <c r="AT205" i="2"/>
  <c r="KS238" i="2"/>
  <c r="JH208" i="2"/>
  <c r="KS384" i="2"/>
  <c r="DP258" i="2"/>
  <c r="GL205" i="2"/>
  <c r="AT358" i="2"/>
  <c r="CE238" i="2"/>
  <c r="KS350" i="2"/>
  <c r="HW348" i="2"/>
  <c r="FA212" i="2"/>
  <c r="HW238" i="2"/>
  <c r="AT252" i="2"/>
  <c r="JH238" i="2"/>
  <c r="FA252" i="2"/>
  <c r="KS208" i="2"/>
  <c r="AT212" i="2"/>
  <c r="HW212" i="2"/>
  <c r="KS99" i="2"/>
  <c r="CE212" i="2"/>
  <c r="FA99" i="2"/>
  <c r="GL358" i="2"/>
  <c r="AT208" i="2"/>
  <c r="HW46" i="2"/>
  <c r="LY46" i="2" s="1"/>
  <c r="HW358" i="2"/>
  <c r="JH350" i="2"/>
  <c r="FA205" i="2"/>
  <c r="LY264" i="2"/>
  <c r="LY125" i="2"/>
  <c r="CC120" i="2"/>
  <c r="CE120" i="2" s="1"/>
  <c r="GJ98" i="2"/>
  <c r="GL98" i="2" s="1"/>
  <c r="LY116" i="2"/>
  <c r="LY360" i="2"/>
  <c r="MS360" i="2" s="1"/>
  <c r="LY58" i="2"/>
  <c r="LY381" i="2"/>
  <c r="MS381" i="2" s="1"/>
  <c r="LY21" i="2"/>
  <c r="LY106" i="2"/>
  <c r="LY138" i="2"/>
  <c r="LY367" i="2"/>
  <c r="MS367" i="2" s="1"/>
  <c r="LY199" i="2"/>
  <c r="LY243" i="2"/>
  <c r="LY233" i="2"/>
  <c r="LY214" i="2"/>
  <c r="LY397" i="2"/>
  <c r="MS397" i="2" s="1"/>
  <c r="LY210" i="2"/>
  <c r="LY390" i="2"/>
  <c r="MS390" i="2" s="1"/>
  <c r="LY140" i="2"/>
  <c r="LY107" i="2"/>
  <c r="LY379" i="2"/>
  <c r="MS379" i="2" s="1"/>
  <c r="DN78" i="2"/>
  <c r="DP78" i="2" s="1"/>
  <c r="CC335" i="2"/>
  <c r="CE335" i="2" s="1"/>
  <c r="LY335" i="2" s="1"/>
  <c r="MS335" i="2" s="1"/>
  <c r="CC337" i="2"/>
  <c r="CE337" i="2" s="1"/>
  <c r="LY337" i="2" s="1"/>
  <c r="MS337" i="2" s="1"/>
  <c r="EY331" i="2"/>
  <c r="FA331" i="2" s="1"/>
  <c r="LY331" i="2" s="1"/>
  <c r="MS331" i="2" s="1"/>
  <c r="DN376" i="2"/>
  <c r="DP376" i="2" s="1"/>
  <c r="LY376" i="2" s="1"/>
  <c r="MS376" i="2" s="1"/>
  <c r="AR339" i="2"/>
  <c r="AT339" i="2" s="1"/>
  <c r="LY339" i="2" s="1"/>
  <c r="MS339" i="2" s="1"/>
  <c r="GJ83" i="2"/>
  <c r="GL83" i="2" s="1"/>
  <c r="LY83" i="2" s="1"/>
  <c r="AR396" i="2"/>
  <c r="AT396" i="2" s="1"/>
  <c r="LY396" i="2" s="1"/>
  <c r="MS396" i="2" s="1"/>
  <c r="DN155" i="2"/>
  <c r="DP155" i="2" s="1"/>
  <c r="LY155" i="2" s="1"/>
  <c r="DN311" i="2"/>
  <c r="DP311" i="2" s="1"/>
  <c r="CC11" i="2"/>
  <c r="CE11" i="2" s="1"/>
  <c r="EY198" i="2"/>
  <c r="FA198" i="2" s="1"/>
  <c r="LY198" i="2" s="1"/>
  <c r="DN399" i="2"/>
  <c r="DP399" i="2" s="1"/>
  <c r="LY399" i="2" s="1"/>
  <c r="MS399" i="2" s="1"/>
  <c r="DN252" i="2"/>
  <c r="AR71" i="2"/>
  <c r="AT71" i="2" s="1"/>
  <c r="LY71" i="2" s="1"/>
  <c r="CC50" i="2"/>
  <c r="CE50" i="2" s="1"/>
  <c r="CC180" i="2"/>
  <c r="CE180" i="2" s="1"/>
  <c r="LY180" i="2" s="1"/>
  <c r="HU267" i="2"/>
  <c r="HW267" i="2" s="1"/>
  <c r="LY267" i="2" s="1"/>
  <c r="AR216" i="2"/>
  <c r="AT216" i="2" s="1"/>
  <c r="EY362" i="2"/>
  <c r="FA362" i="2" s="1"/>
  <c r="CC287" i="2"/>
  <c r="CE287" i="2" s="1"/>
  <c r="LY287" i="2" s="1"/>
  <c r="AR292" i="2"/>
  <c r="AT292" i="2" s="1"/>
  <c r="LY292" i="2" s="1"/>
  <c r="GJ299" i="2"/>
  <c r="GL299" i="2" s="1"/>
  <c r="AR330" i="2"/>
  <c r="AT330" i="2" s="1"/>
  <c r="EY330" i="2"/>
  <c r="FA330" i="2" s="1"/>
  <c r="DN212" i="2"/>
  <c r="HU81" i="2"/>
  <c r="HW81" i="2" s="1"/>
  <c r="CC395" i="2"/>
  <c r="CE395" i="2" s="1"/>
  <c r="CC220" i="2"/>
  <c r="CE220" i="2" s="1"/>
  <c r="LY220" i="2" s="1"/>
  <c r="CC366" i="2"/>
  <c r="CE366" i="2" s="1"/>
  <c r="LY366" i="2" s="1"/>
  <c r="MS366" i="2" s="1"/>
  <c r="CC205" i="2"/>
  <c r="LY251" i="2"/>
  <c r="GJ363" i="2"/>
  <c r="GL363" i="2" s="1"/>
  <c r="LY369" i="2"/>
  <c r="MS369" i="2" s="1"/>
  <c r="LY77" i="2"/>
  <c r="LY55" i="2"/>
  <c r="LY361" i="2"/>
  <c r="MS361" i="2" s="1"/>
  <c r="LY279" i="2"/>
  <c r="LY54" i="2"/>
  <c r="AR59" i="2"/>
  <c r="AT59" i="2" s="1"/>
  <c r="EY285" i="2"/>
  <c r="FA285" i="2" s="1"/>
  <c r="LY285" i="2" s="1"/>
  <c r="EY42" i="2"/>
  <c r="FA42" i="2" s="1"/>
  <c r="LY42" i="2" s="1"/>
  <c r="LY88" i="2"/>
  <c r="LY388" i="2"/>
  <c r="MS388" i="2" s="1"/>
  <c r="LY119" i="2"/>
  <c r="LY261" i="2"/>
  <c r="LY168" i="2"/>
  <c r="LY351" i="2"/>
  <c r="MS351" i="2" s="1"/>
  <c r="LY268" i="2"/>
  <c r="LY236" i="2"/>
  <c r="LY253" i="2"/>
  <c r="LY248" i="2"/>
  <c r="LY166" i="2"/>
  <c r="LY346" i="2"/>
  <c r="MS346" i="2" s="1"/>
  <c r="LY342" i="2"/>
  <c r="MS342" i="2" s="1"/>
  <c r="LY242" i="2"/>
  <c r="LY85" i="2"/>
  <c r="LY74" i="2"/>
  <c r="LY30" i="2"/>
  <c r="LY316" i="2"/>
  <c r="MS316" i="2" s="1"/>
  <c r="LY365" i="2"/>
  <c r="MS365" i="2" s="1"/>
  <c r="LY40" i="2"/>
  <c r="LY97" i="2"/>
  <c r="LY64" i="2"/>
  <c r="LY235" i="2"/>
  <c r="LY313" i="2"/>
  <c r="MS313" i="2" s="1"/>
  <c r="LY94" i="2"/>
  <c r="LY276" i="2"/>
  <c r="LY75" i="2"/>
  <c r="LY291" i="2"/>
  <c r="LY219" i="2"/>
  <c r="LY240" i="2"/>
  <c r="LY53" i="2"/>
  <c r="LY67" i="2"/>
  <c r="LY76" i="2"/>
  <c r="LY123" i="2"/>
  <c r="LY241" i="2"/>
  <c r="LY134" i="2"/>
  <c r="LY68" i="2"/>
  <c r="LY232" i="2"/>
  <c r="LY403" i="2"/>
  <c r="MS403" i="2" s="1"/>
  <c r="LY223" i="2"/>
  <c r="LY228" i="2"/>
  <c r="LY124" i="2"/>
  <c r="LY382" i="2"/>
  <c r="MS382" i="2" s="1"/>
  <c r="LY108" i="2"/>
  <c r="LY66" i="2"/>
  <c r="LY80" i="2"/>
  <c r="LY237" i="2"/>
  <c r="LY73" i="2"/>
  <c r="LY217" i="2"/>
  <c r="LY282" i="2"/>
  <c r="LY262" i="2"/>
  <c r="LY389" i="2"/>
  <c r="MS389" i="2" s="1"/>
  <c r="LY86" i="2"/>
  <c r="LY221" i="2"/>
  <c r="LY277" i="2"/>
  <c r="LY37" i="2"/>
  <c r="LY324" i="2"/>
  <c r="MS324" i="2" s="1"/>
  <c r="LY265" i="2"/>
  <c r="LY260" i="2"/>
  <c r="LY110" i="2"/>
  <c r="LY391" i="2"/>
  <c r="MS391" i="2" s="1"/>
  <c r="LY383" i="2"/>
  <c r="MS383" i="2" s="1"/>
  <c r="LY69" i="2"/>
  <c r="LY349" i="2"/>
  <c r="MS349" i="2" s="1"/>
  <c r="LY84" i="2"/>
  <c r="LY38" i="2"/>
  <c r="LY24" i="2"/>
  <c r="LY250" i="2"/>
  <c r="LY121" i="2"/>
  <c r="LY345" i="2"/>
  <c r="MS345" i="2" s="1"/>
  <c r="LY130" i="2"/>
  <c r="LY207" i="2"/>
  <c r="LY356" i="2"/>
  <c r="MS356" i="2" s="1"/>
  <c r="LY269" i="2"/>
  <c r="LY392" i="2"/>
  <c r="MS392" i="2" s="1"/>
  <c r="LY171" i="2"/>
  <c r="LY206" i="2"/>
  <c r="LY325" i="2"/>
  <c r="MS325" i="2" s="1"/>
  <c r="LY79" i="2"/>
  <c r="CC122" i="2"/>
  <c r="CE122" i="2" s="1"/>
  <c r="LY122" i="2" s="1"/>
  <c r="GJ184" i="2"/>
  <c r="GL184" i="2" s="1"/>
  <c r="LY60" i="2"/>
  <c r="CC336" i="2"/>
  <c r="CE336" i="2" s="1"/>
  <c r="LY336" i="2" s="1"/>
  <c r="MS336" i="2" s="1"/>
  <c r="DN49" i="2"/>
  <c r="DP49" i="2" s="1"/>
  <c r="LY49" i="2" s="1"/>
  <c r="AR195" i="2"/>
  <c r="AT195" i="2" s="1"/>
  <c r="CC348" i="2"/>
  <c r="CC56" i="2"/>
  <c r="CE56" i="2" s="1"/>
  <c r="LY56" i="2" s="1"/>
  <c r="CC20" i="2"/>
  <c r="CE20" i="2" s="1"/>
  <c r="EY63" i="2"/>
  <c r="FA63" i="2" s="1"/>
  <c r="LY63" i="2" s="1"/>
  <c r="AR20" i="2"/>
  <c r="AT20" i="2" s="1"/>
  <c r="DN44" i="2"/>
  <c r="DP44" i="2" s="1"/>
  <c r="EY184" i="2"/>
  <c r="FA184" i="2" s="1"/>
  <c r="HU98" i="2"/>
  <c r="HW98" i="2" s="1"/>
  <c r="DN20" i="2"/>
  <c r="DP20" i="2" s="1"/>
  <c r="LY105" i="2"/>
  <c r="CC222" i="2"/>
  <c r="CE222" i="2" s="1"/>
  <c r="LY222" i="2" s="1"/>
  <c r="DN263" i="2"/>
  <c r="DP263" i="2" s="1"/>
  <c r="LY263" i="2" s="1"/>
  <c r="LY102" i="2"/>
  <c r="CC25" i="2"/>
  <c r="CE25" i="2" s="1"/>
  <c r="LY25" i="2" s="1"/>
  <c r="CC36" i="2"/>
  <c r="CE36" i="2" s="1"/>
  <c r="LY36" i="2" s="1"/>
  <c r="DN302" i="2"/>
  <c r="DP302" i="2" s="1"/>
  <c r="EY305" i="2"/>
  <c r="FA305" i="2" s="1"/>
  <c r="CC12" i="2"/>
  <c r="CE12" i="2" s="1"/>
  <c r="LY12" i="2" s="1"/>
  <c r="CC152" i="2"/>
  <c r="CE152" i="2" s="1"/>
  <c r="LY152" i="2" s="1"/>
  <c r="LY314" i="2"/>
  <c r="MS314" i="2" s="1"/>
  <c r="EY302" i="2"/>
  <c r="FA302" i="2" s="1"/>
  <c r="GJ362" i="2"/>
  <c r="GL362" i="2" s="1"/>
  <c r="AR327" i="2"/>
  <c r="AT327" i="2" s="1"/>
  <c r="LY249" i="2"/>
  <c r="GJ91" i="2"/>
  <c r="GL91" i="2" s="1"/>
  <c r="DN176" i="2"/>
  <c r="DP176" i="2" s="1"/>
  <c r="LY176" i="2" s="1"/>
  <c r="CC252" i="2"/>
  <c r="CC148" i="2"/>
  <c r="CE148" i="2" s="1"/>
  <c r="LY148" i="2" s="1"/>
  <c r="LY278" i="2"/>
  <c r="EY104" i="2"/>
  <c r="FA104" i="2" s="1"/>
  <c r="EY115" i="2"/>
  <c r="FA115" i="2" s="1"/>
  <c r="CC283" i="2"/>
  <c r="CE283" i="2" s="1"/>
  <c r="LY283" i="2" s="1"/>
  <c r="EY126" i="2"/>
  <c r="FA126" i="2" s="1"/>
  <c r="LY126" i="2" s="1"/>
  <c r="AR129" i="2"/>
  <c r="AT129" i="2" s="1"/>
  <c r="LY129" i="2" s="1"/>
  <c r="CC104" i="2"/>
  <c r="CE104" i="2" s="1"/>
  <c r="JF352" i="2"/>
  <c r="JH352" i="2" s="1"/>
  <c r="LY197" i="2"/>
  <c r="CC275" i="2"/>
  <c r="CE275" i="2" s="1"/>
  <c r="LY275" i="2" s="1"/>
  <c r="CC255" i="2"/>
  <c r="CE255" i="2" s="1"/>
  <c r="LY255" i="2" s="1"/>
  <c r="HU229" i="2"/>
  <c r="HW229" i="2" s="1"/>
  <c r="LY229" i="2" s="1"/>
  <c r="DN196" i="2"/>
  <c r="DP196" i="2" s="1"/>
  <c r="LY196" i="2" s="1"/>
  <c r="CC190" i="2"/>
  <c r="CE190" i="2" s="1"/>
  <c r="CC44" i="2"/>
  <c r="CE44" i="2" s="1"/>
  <c r="EY332" i="2"/>
  <c r="FA332" i="2" s="1"/>
  <c r="AR93" i="2"/>
  <c r="AT93" i="2" s="1"/>
  <c r="LY93" i="2" s="1"/>
  <c r="LY47" i="2"/>
  <c r="CC179" i="2"/>
  <c r="CE179" i="2" s="1"/>
  <c r="LY179" i="2" s="1"/>
  <c r="DN193" i="2"/>
  <c r="DP193" i="2" s="1"/>
  <c r="LY193" i="2" s="1"/>
  <c r="JF227" i="2"/>
  <c r="JH227" i="2" s="1"/>
  <c r="LY227" i="2" s="1"/>
  <c r="DN244" i="2"/>
  <c r="DP244" i="2" s="1"/>
  <c r="LY244" i="2" s="1"/>
  <c r="LY375" i="2"/>
  <c r="MS375" i="2" s="1"/>
  <c r="CC305" i="2"/>
  <c r="CE305" i="2" s="1"/>
  <c r="DN305" i="2"/>
  <c r="DP305" i="2" s="1"/>
  <c r="LY340" i="2"/>
  <c r="MS340" i="2" s="1"/>
  <c r="DN178" i="2"/>
  <c r="DP178" i="2" s="1"/>
  <c r="LY178" i="2" s="1"/>
  <c r="GJ352" i="2"/>
  <c r="GL352" i="2" s="1"/>
  <c r="CC91" i="2"/>
  <c r="CE91" i="2" s="1"/>
  <c r="LY386" i="2"/>
  <c r="MS386" i="2" s="1"/>
  <c r="LY101" i="2"/>
  <c r="DN202" i="2"/>
  <c r="DP202" i="2" s="1"/>
  <c r="LY202" i="2" s="1"/>
  <c r="CC147" i="2"/>
  <c r="CE147" i="2" s="1"/>
  <c r="LY147" i="2" s="1"/>
  <c r="CC39" i="2"/>
  <c r="CE39" i="2" s="1"/>
  <c r="LY39" i="2" s="1"/>
  <c r="EY81" i="2"/>
  <c r="FA81" i="2" s="1"/>
  <c r="CC359" i="2"/>
  <c r="CE359" i="2" s="1"/>
  <c r="LY359" i="2" s="1"/>
  <c r="MS359" i="2" s="1"/>
  <c r="GJ212" i="2"/>
  <c r="AR352" i="2"/>
  <c r="AT352" i="2" s="1"/>
  <c r="CC317" i="2"/>
  <c r="CE317" i="2" s="1"/>
  <c r="LY317" i="2" s="1"/>
  <c r="MS317" i="2" s="1"/>
  <c r="AR162" i="2"/>
  <c r="AT162" i="2" s="1"/>
  <c r="LY162" i="2" s="1"/>
  <c r="DN332" i="2"/>
  <c r="DP332" i="2" s="1"/>
  <c r="DN330" i="2"/>
  <c r="DP330" i="2" s="1"/>
  <c r="LY266" i="2"/>
  <c r="CC81" i="2"/>
  <c r="CE81" i="2" s="1"/>
  <c r="HU364" i="2"/>
  <c r="HW364" i="2" s="1"/>
  <c r="LY364" i="2" s="1"/>
  <c r="MS364" i="2" s="1"/>
  <c r="CC59" i="2"/>
  <c r="CE59" i="2" s="1"/>
  <c r="HU259" i="2"/>
  <c r="HW259" i="2" s="1"/>
  <c r="LY259" i="2" s="1"/>
  <c r="JF307" i="2"/>
  <c r="JH307" i="2" s="1"/>
  <c r="DN334" i="2"/>
  <c r="DP334" i="2" s="1"/>
  <c r="CC163" i="2"/>
  <c r="CE163" i="2" s="1"/>
  <c r="LY163" i="2" s="1"/>
  <c r="JF201" i="2"/>
  <c r="JH201" i="2" s="1"/>
  <c r="LY48" i="2"/>
  <c r="LY380" i="2"/>
  <c r="MS380" i="2" s="1"/>
  <c r="CC201" i="2"/>
  <c r="CE201" i="2" s="1"/>
  <c r="HU307" i="2"/>
  <c r="HW307" i="2" s="1"/>
  <c r="AR146" i="2"/>
  <c r="AT146" i="2" s="1"/>
  <c r="LY146" i="2" s="1"/>
  <c r="CC191" i="2"/>
  <c r="CE191" i="2" s="1"/>
  <c r="DN347" i="2"/>
  <c r="DP347" i="2" s="1"/>
  <c r="LY347" i="2" s="1"/>
  <c r="MS347" i="2" s="1"/>
  <c r="LY103" i="2"/>
  <c r="AR22" i="2"/>
  <c r="AT22" i="2" s="1"/>
  <c r="LY22" i="2" s="1"/>
  <c r="LY341" i="2"/>
  <c r="MS341" i="2" s="1"/>
  <c r="LY373" i="2"/>
  <c r="MS373" i="2" s="1"/>
  <c r="LY43" i="2"/>
  <c r="DN23" i="2"/>
  <c r="DP23" i="2" s="1"/>
  <c r="LY23" i="2" s="1"/>
  <c r="DN18" i="2"/>
  <c r="DP18" i="2" s="1"/>
  <c r="LY18" i="2" s="1"/>
  <c r="LY354" i="2"/>
  <c r="MS354" i="2" s="1"/>
  <c r="EY131" i="2"/>
  <c r="FA131" i="2" s="1"/>
  <c r="LY131" i="2" s="1"/>
  <c r="EY120" i="2"/>
  <c r="FA120" i="2" s="1"/>
  <c r="DN89" i="2"/>
  <c r="DP89" i="2" s="1"/>
  <c r="LY89" i="2" s="1"/>
  <c r="LY273" i="2"/>
  <c r="DN226" i="2"/>
  <c r="DP226" i="2" s="1"/>
  <c r="LY226" i="2" s="1"/>
  <c r="HU371" i="2"/>
  <c r="HW371" i="2" s="1"/>
  <c r="CC13" i="2"/>
  <c r="CE13" i="2" s="1"/>
  <c r="AR149" i="2"/>
  <c r="AT149" i="2" s="1"/>
  <c r="LY149" i="2" s="1"/>
  <c r="CC192" i="2"/>
  <c r="CE192" i="2" s="1"/>
  <c r="LY192" i="2" s="1"/>
  <c r="CC186" i="2"/>
  <c r="CE186" i="2" s="1"/>
  <c r="DN26" i="2"/>
  <c r="DP26" i="2" s="1"/>
  <c r="LY26" i="2" s="1"/>
  <c r="CC57" i="2"/>
  <c r="CE57" i="2" s="1"/>
  <c r="LY57" i="2" s="1"/>
  <c r="GJ78" i="2"/>
  <c r="GL78" i="2" s="1"/>
  <c r="DN231" i="2"/>
  <c r="DP231" i="2" s="1"/>
  <c r="LY231" i="2" s="1"/>
  <c r="LY203" i="2"/>
  <c r="LY315" i="2"/>
  <c r="MS315" i="2" s="1"/>
  <c r="DN195" i="2"/>
  <c r="DP195" i="2" s="1"/>
  <c r="CC296" i="2"/>
  <c r="CE296" i="2" s="1"/>
  <c r="LY296" i="2" s="1"/>
  <c r="MS296" i="2" s="1"/>
  <c r="LY194" i="2"/>
  <c r="LY169" i="2"/>
  <c r="LY304" i="2"/>
  <c r="MS304" i="2" s="1"/>
  <c r="LY400" i="2"/>
  <c r="MS400" i="2" s="1"/>
  <c r="LY318" i="2"/>
  <c r="MS318" i="2" s="1"/>
  <c r="LY312" i="2"/>
  <c r="MS312" i="2" s="1"/>
  <c r="JF371" i="2"/>
  <c r="JH371" i="2" s="1"/>
  <c r="EY185" i="2"/>
  <c r="FA185" i="2" s="1"/>
  <c r="CC334" i="2"/>
  <c r="CE334" i="2" s="1"/>
  <c r="LY306" i="2"/>
  <c r="MS306" i="2" s="1"/>
  <c r="DN139" i="2"/>
  <c r="DP139" i="2" s="1"/>
  <c r="LY139" i="2" s="1"/>
  <c r="LY309" i="2"/>
  <c r="MS309" i="2" s="1"/>
  <c r="DN184" i="2"/>
  <c r="DP184" i="2" s="1"/>
  <c r="CC311" i="2"/>
  <c r="CE311" i="2" s="1"/>
  <c r="LY10" i="2"/>
  <c r="AR299" i="2"/>
  <c r="AT299" i="2" s="1"/>
  <c r="CC185" i="2"/>
  <c r="CE185" i="2" s="1"/>
  <c r="CC41" i="2"/>
  <c r="CE41" i="2" s="1"/>
  <c r="LY41" i="2" s="1"/>
  <c r="CC19" i="2"/>
  <c r="CE19" i="2" s="1"/>
  <c r="LY19" i="2" s="1"/>
  <c r="LY34" i="2"/>
  <c r="CC195" i="2"/>
  <c r="CE195" i="2" s="1"/>
  <c r="AR160" i="2"/>
  <c r="AT160" i="2" s="1"/>
  <c r="LY160" i="2" s="1"/>
  <c r="DN308" i="2"/>
  <c r="DP308" i="2" s="1"/>
  <c r="LY308" i="2" s="1"/>
  <c r="MS308" i="2" s="1"/>
  <c r="AR161" i="2"/>
  <c r="AT161" i="2" s="1"/>
  <c r="LY161" i="2" s="1"/>
  <c r="AR295" i="2"/>
  <c r="AT295" i="2" s="1"/>
  <c r="CC327" i="2"/>
  <c r="CE327" i="2" s="1"/>
  <c r="DN11" i="2"/>
  <c r="DP11" i="2" s="1"/>
  <c r="AR301" i="2"/>
  <c r="AT301" i="2" s="1"/>
  <c r="LY301" i="2" s="1"/>
  <c r="MS301" i="2" s="1"/>
  <c r="LY182" i="2"/>
  <c r="CC298" i="2"/>
  <c r="CE298" i="2" s="1"/>
  <c r="LY298" i="2" s="1"/>
  <c r="MS298" i="2" s="1"/>
  <c r="CC295" i="2"/>
  <c r="CE295" i="2" s="1"/>
  <c r="CC153" i="2"/>
  <c r="CE153" i="2" s="1"/>
  <c r="LY153" i="2" s="1"/>
  <c r="CC35" i="2"/>
  <c r="CE35" i="2" s="1"/>
  <c r="LY35" i="2" s="1"/>
  <c r="LY181" i="2"/>
  <c r="LY183" i="2"/>
  <c r="CC159" i="2"/>
  <c r="CE159" i="2" s="1"/>
  <c r="LY159" i="2" s="1"/>
  <c r="CC144" i="2"/>
  <c r="CE144" i="2" s="1"/>
  <c r="LY144" i="2" s="1"/>
  <c r="GJ295" i="2"/>
  <c r="GL295" i="2" s="1"/>
  <c r="Q229" i="15"/>
  <c r="T255" i="15"/>
  <c r="S254" i="15"/>
  <c r="Q228" i="15"/>
  <c r="T256" i="15"/>
  <c r="S256" i="15"/>
  <c r="R256" i="15"/>
  <c r="Q256" i="15"/>
  <c r="O256" i="15"/>
  <c r="T254" i="15"/>
  <c r="R254" i="15"/>
  <c r="Q254" i="15"/>
  <c r="P254" i="15"/>
  <c r="S255" i="15"/>
  <c r="T257" i="15"/>
  <c r="R255" i="15"/>
  <c r="S257" i="15"/>
  <c r="Q255" i="15"/>
  <c r="R257" i="15"/>
  <c r="P255" i="15"/>
  <c r="Q257" i="15"/>
  <c r="P257" i="15"/>
  <c r="R229" i="15"/>
  <c r="O228" i="15"/>
  <c r="R228" i="15"/>
  <c r="S228" i="15"/>
  <c r="T228" i="15"/>
  <c r="O229" i="15"/>
  <c r="P229" i="15"/>
  <c r="S229" i="15"/>
  <c r="LY395" i="2" l="1"/>
  <c r="MS395" i="2" s="1"/>
  <c r="LY363" i="2"/>
  <c r="MS363" i="2" s="1"/>
  <c r="LY216" i="2"/>
  <c r="LY120" i="2"/>
  <c r="LY384" i="2"/>
  <c r="MS384" i="2" s="1"/>
  <c r="LY99" i="2"/>
  <c r="LY350" i="2"/>
  <c r="MS350" i="2" s="1"/>
  <c r="LY208" i="2"/>
  <c r="LY358" i="2"/>
  <c r="MS358" i="2" s="1"/>
  <c r="LY299" i="2"/>
  <c r="MS299" i="2" s="1"/>
  <c r="LY258" i="2"/>
  <c r="LY238" i="2"/>
  <c r="CE252" i="2"/>
  <c r="DP252" i="2"/>
  <c r="CE348" i="2"/>
  <c r="LY348" i="2" s="1"/>
  <c r="MS348" i="2" s="1"/>
  <c r="GL212" i="2"/>
  <c r="DP212" i="2"/>
  <c r="CE205" i="2"/>
  <c r="LY205" i="2" s="1"/>
  <c r="LY78" i="2"/>
  <c r="LY98" i="2"/>
  <c r="LY11" i="2"/>
  <c r="LY311" i="2"/>
  <c r="MS311" i="2" s="1"/>
  <c r="LY59" i="2"/>
  <c r="LY330" i="2"/>
  <c r="MS330" i="2" s="1"/>
  <c r="LY334" i="2"/>
  <c r="MS334" i="2" s="1"/>
  <c r="LY44" i="2"/>
  <c r="LY332" i="2"/>
  <c r="MS332" i="2" s="1"/>
  <c r="LY302" i="2"/>
  <c r="MS302" i="2" s="1"/>
  <c r="LY104" i="2"/>
  <c r="LY20" i="2"/>
  <c r="LY327" i="2"/>
  <c r="MS327" i="2" s="1"/>
  <c r="LY91" i="2"/>
  <c r="LY352" i="2"/>
  <c r="MS352" i="2" s="1"/>
  <c r="LY305" i="2"/>
  <c r="MS305" i="2" s="1"/>
  <c r="LY307" i="2"/>
  <c r="MS307" i="2" s="1"/>
  <c r="LY81" i="2"/>
  <c r="LY201" i="2"/>
  <c r="LY371" i="2"/>
  <c r="MS371" i="2" s="1"/>
  <c r="LY195" i="2"/>
  <c r="LY295" i="2"/>
  <c r="MS295" i="2" s="1"/>
  <c r="LI4" i="2"/>
  <c r="LY252" i="2" l="1"/>
  <c r="LY212" i="2"/>
  <c r="KW4" i="2"/>
  <c r="N252" i="15" l="1"/>
  <c r="Q252" i="15" s="1"/>
  <c r="N253" i="15"/>
  <c r="Q253" i="15" s="1"/>
  <c r="N190" i="15"/>
  <c r="Q190" i="15" s="1"/>
  <c r="N191" i="15"/>
  <c r="Q191" i="15" s="1"/>
  <c r="N192" i="15"/>
  <c r="Q192" i="15" s="1"/>
  <c r="N193" i="15"/>
  <c r="Q193" i="15" s="1"/>
  <c r="N194" i="15"/>
  <c r="Q194" i="15" s="1"/>
  <c r="N206" i="15"/>
  <c r="Q206" i="15" s="1"/>
  <c r="O191" i="15" l="1"/>
  <c r="P194" i="15"/>
  <c r="O193" i="15"/>
  <c r="O190" i="15"/>
  <c r="O253" i="15"/>
  <c r="R252" i="15"/>
  <c r="O194" i="15"/>
  <c r="P192" i="15"/>
  <c r="R192" i="15"/>
  <c r="S192" i="15"/>
  <c r="O192" i="15"/>
  <c r="T194" i="15"/>
  <c r="S194" i="15"/>
  <c r="P190" i="15"/>
  <c r="R194" i="15"/>
  <c r="P252" i="15"/>
  <c r="O252" i="15"/>
  <c r="T253" i="15"/>
  <c r="S253" i="15"/>
  <c r="T192" i="15"/>
  <c r="R253" i="15"/>
  <c r="P253" i="15"/>
  <c r="S206" i="15"/>
  <c r="R206" i="15"/>
  <c r="T252" i="15"/>
  <c r="P206" i="15"/>
  <c r="S252" i="15"/>
  <c r="O206" i="15"/>
  <c r="S193" i="15"/>
  <c r="P193" i="15"/>
  <c r="T191" i="15"/>
  <c r="S191" i="15"/>
  <c r="T193" i="15"/>
  <c r="R191" i="15"/>
  <c r="R193" i="15"/>
  <c r="P191" i="15"/>
  <c r="T190" i="15"/>
  <c r="S190" i="15"/>
  <c r="R190" i="15"/>
  <c r="T206" i="15"/>
  <c r="N219" i="15" l="1"/>
  <c r="Q219" i="15" s="1"/>
  <c r="S219" i="15" l="1"/>
  <c r="P219" i="15"/>
  <c r="O219" i="15"/>
  <c r="T219" i="15"/>
  <c r="R219" i="15"/>
  <c r="MA1" i="2" l="1"/>
  <c r="LK4" i="2"/>
  <c r="KR4" i="2" l="1"/>
  <c r="EZ4" i="2"/>
  <c r="CD4" i="2"/>
  <c r="LU4" i="2"/>
  <c r="GK4" i="2"/>
  <c r="LQ4" i="2"/>
  <c r="LO4" i="2"/>
  <c r="HV4" i="2"/>
  <c r="AS4" i="2"/>
  <c r="LM4" i="2"/>
  <c r="DO4" i="2"/>
  <c r="LS4" i="2"/>
  <c r="LL4" i="2"/>
  <c r="LZ1" i="2" s="1"/>
  <c r="LJ4" i="2" l="1"/>
  <c r="MB4" i="2"/>
  <c r="JG4" i="2"/>
  <c r="I406" i="15" l="1"/>
  <c r="K406" i="15" s="1"/>
  <c r="I405" i="15"/>
  <c r="K405" i="15" s="1"/>
  <c r="N212" i="15" s="1"/>
  <c r="O212" i="15" l="1"/>
  <c r="S212" i="15"/>
  <c r="Q212" i="15"/>
  <c r="P212" i="15"/>
  <c r="R212" i="15"/>
  <c r="T212" i="15"/>
  <c r="K409" i="15"/>
  <c r="Q208" i="15" s="1"/>
  <c r="R208" i="15" l="1"/>
  <c r="S208" i="15"/>
  <c r="T208" i="15"/>
  <c r="O208" i="15"/>
  <c r="P208" i="15"/>
  <c r="N218" i="15" l="1"/>
  <c r="Q218" i="15" s="1"/>
  <c r="S218" i="15" l="1"/>
  <c r="R218" i="15"/>
  <c r="P218" i="15"/>
  <c r="O218" i="15"/>
  <c r="T218" i="15"/>
  <c r="N198" i="15" l="1"/>
  <c r="Q198" i="15" s="1"/>
  <c r="N199" i="15"/>
  <c r="Q199" i="15" s="1"/>
  <c r="N200" i="15"/>
  <c r="Q200" i="15" s="1"/>
  <c r="N201" i="15"/>
  <c r="Q201" i="15" s="1"/>
  <c r="N202" i="15"/>
  <c r="Q202" i="15" s="1"/>
  <c r="N203" i="15"/>
  <c r="Q203" i="15" s="1"/>
  <c r="N204" i="15"/>
  <c r="Q204" i="15" s="1"/>
  <c r="N205" i="15"/>
  <c r="Q205" i="15" s="1"/>
  <c r="N197" i="15"/>
  <c r="Q197" i="15" s="1"/>
  <c r="T203" i="15" l="1"/>
  <c r="R200" i="15"/>
  <c r="S201" i="15"/>
  <c r="S199" i="15"/>
  <c r="O198" i="15"/>
  <c r="T197" i="15"/>
  <c r="JM50" i="2" s="1"/>
  <c r="KQ50" i="2" s="1"/>
  <c r="KS50" i="2" s="1"/>
  <c r="LY50" i="2" s="1"/>
  <c r="T205" i="15"/>
  <c r="R202" i="15"/>
  <c r="S202" i="15"/>
  <c r="T202" i="15"/>
  <c r="O203" i="15"/>
  <c r="S205" i="15"/>
  <c r="O197" i="15"/>
  <c r="P197" i="15"/>
  <c r="P202" i="15"/>
  <c r="O204" i="15"/>
  <c r="R204" i="15"/>
  <c r="S204" i="15"/>
  <c r="P205" i="15"/>
  <c r="S197" i="15"/>
  <c r="R197" i="15"/>
  <c r="T204" i="15"/>
  <c r="O201" i="15"/>
  <c r="O205" i="15"/>
  <c r="P203" i="15"/>
  <c r="T201" i="15"/>
  <c r="O202" i="15"/>
  <c r="R205" i="15"/>
  <c r="T199" i="15"/>
  <c r="P198" i="15"/>
  <c r="T200" i="15"/>
  <c r="R203" i="15"/>
  <c r="O200" i="15"/>
  <c r="S200" i="15"/>
  <c r="S203" i="15"/>
  <c r="R198" i="15"/>
  <c r="P201" i="15"/>
  <c r="P200" i="15"/>
  <c r="S198" i="15"/>
  <c r="T198" i="15"/>
  <c r="R201" i="15"/>
  <c r="P204" i="15"/>
  <c r="O199" i="15"/>
  <c r="P199" i="15"/>
  <c r="R199" i="15"/>
  <c r="I397" i="15" l="1"/>
  <c r="I396" i="15"/>
  <c r="K396" i="15" s="1"/>
  <c r="N303" i="15" l="1"/>
  <c r="Q303" i="15" s="1"/>
  <c r="K397" i="15"/>
  <c r="K400" i="15" l="1"/>
  <c r="AS2" i="28" l="1"/>
  <c r="F2" i="28"/>
  <c r="D3" i="28" s="1"/>
  <c r="F3" i="28" s="1"/>
  <c r="D4" i="28" s="1"/>
  <c r="F4" i="28" s="1"/>
  <c r="D5" i="28" s="1"/>
  <c r="F5" i="28" s="1"/>
  <c r="D6" i="28" s="1"/>
  <c r="F6" i="28" s="1"/>
  <c r="D7" i="28" s="1"/>
  <c r="F7" i="28" s="1"/>
  <c r="B3" i="28"/>
  <c r="B2" i="28"/>
  <c r="Y5" i="15" l="1"/>
  <c r="N295" i="15" l="1"/>
  <c r="Q295" i="15" s="1"/>
  <c r="N296" i="15"/>
  <c r="Q296" i="15" s="1"/>
  <c r="N297" i="15"/>
  <c r="Q297" i="15" s="1"/>
  <c r="N298" i="15"/>
  <c r="Q298" i="15" s="1"/>
  <c r="N299" i="15"/>
  <c r="Q299" i="15" s="1"/>
  <c r="N300" i="15"/>
  <c r="Q300" i="15" s="1"/>
  <c r="N301" i="15"/>
  <c r="Q301" i="15" s="1"/>
  <c r="N302" i="15"/>
  <c r="Q302" i="15" s="1"/>
  <c r="N294" i="15"/>
  <c r="Q294" i="15" s="1"/>
  <c r="T298" i="15" l="1"/>
  <c r="T303" i="15"/>
  <c r="S303" i="15"/>
  <c r="R303" i="15"/>
  <c r="P303" i="15"/>
  <c r="O303" i="15"/>
  <c r="T302" i="15"/>
  <c r="S302" i="15"/>
  <c r="R302" i="15"/>
  <c r="P302" i="15"/>
  <c r="O302" i="15"/>
  <c r="T301" i="15"/>
  <c r="S301" i="15"/>
  <c r="R301" i="15"/>
  <c r="P301" i="15"/>
  <c r="O301" i="15"/>
  <c r="T300" i="15"/>
  <c r="S300" i="15"/>
  <c r="R300" i="15"/>
  <c r="P300" i="15"/>
  <c r="O300" i="15"/>
  <c r="T299" i="15"/>
  <c r="S299" i="15"/>
  <c r="R299" i="15"/>
  <c r="P299" i="15"/>
  <c r="O299" i="15"/>
  <c r="S298" i="15"/>
  <c r="R298" i="15"/>
  <c r="P298" i="15"/>
  <c r="O298" i="15"/>
  <c r="T297" i="15"/>
  <c r="S297" i="15"/>
  <c r="R297" i="15"/>
  <c r="P297" i="15"/>
  <c r="O297" i="15"/>
  <c r="T296" i="15"/>
  <c r="S296" i="15"/>
  <c r="R296" i="15"/>
  <c r="P296" i="15"/>
  <c r="O296" i="15"/>
  <c r="T295" i="15"/>
  <c r="S295" i="15"/>
  <c r="R295" i="15"/>
  <c r="P295" i="15"/>
  <c r="O295" i="15"/>
  <c r="T294" i="15"/>
  <c r="S294" i="15"/>
  <c r="R294" i="15"/>
  <c r="P294" i="15"/>
  <c r="O294" i="15"/>
  <c r="N283" i="15"/>
  <c r="Q283" i="15" s="1"/>
  <c r="N284" i="15"/>
  <c r="Q284" i="15" s="1"/>
  <c r="N285" i="15"/>
  <c r="Q285" i="15" s="1"/>
  <c r="N286" i="15"/>
  <c r="Q286" i="15" s="1"/>
  <c r="N287" i="15"/>
  <c r="Q287" i="15" s="1"/>
  <c r="N288" i="15"/>
  <c r="Q288" i="15" s="1"/>
  <c r="N289" i="15"/>
  <c r="Q289" i="15" s="1"/>
  <c r="N290" i="15"/>
  <c r="Q290" i="15" s="1"/>
  <c r="N291" i="15"/>
  <c r="Q291" i="15" s="1"/>
  <c r="N282" i="15"/>
  <c r="Q282" i="15" s="1"/>
  <c r="O283" i="15" l="1"/>
  <c r="O291" i="15"/>
  <c r="O290" i="15"/>
  <c r="P289" i="15"/>
  <c r="S285" i="15"/>
  <c r="O284" i="15"/>
  <c r="T282" i="15"/>
  <c r="S286" i="15"/>
  <c r="T289" i="15"/>
  <c r="S289" i="15"/>
  <c r="O289" i="15"/>
  <c r="O288" i="15"/>
  <c r="S287" i="15"/>
  <c r="O286" i="15"/>
  <c r="R287" i="15"/>
  <c r="P287" i="15"/>
  <c r="O287" i="15"/>
  <c r="R286" i="15"/>
  <c r="P286" i="15"/>
  <c r="O282" i="15"/>
  <c r="O285" i="15"/>
  <c r="R282" i="15"/>
  <c r="T284" i="15"/>
  <c r="S290" i="15"/>
  <c r="R284" i="15"/>
  <c r="T290" i="15"/>
  <c r="P288" i="15"/>
  <c r="R285" i="15"/>
  <c r="R290" i="15"/>
  <c r="T287" i="15"/>
  <c r="P285" i="15"/>
  <c r="P290" i="15"/>
  <c r="P282" i="15"/>
  <c r="S284" i="15"/>
  <c r="S282" i="15"/>
  <c r="R289" i="15"/>
  <c r="T286" i="15"/>
  <c r="P284" i="15"/>
  <c r="T291" i="15"/>
  <c r="T283" i="15"/>
  <c r="S291" i="15"/>
  <c r="S283" i="15"/>
  <c r="R291" i="15"/>
  <c r="T288" i="15"/>
  <c r="R283" i="15"/>
  <c r="S288" i="15"/>
  <c r="P291" i="15"/>
  <c r="R288" i="15"/>
  <c r="T285" i="15"/>
  <c r="P283" i="15"/>
  <c r="N250" i="15" l="1"/>
  <c r="Q250" i="15" s="1"/>
  <c r="N160" i="15"/>
  <c r="Q160" i="15" s="1"/>
  <c r="N249" i="15"/>
  <c r="Q249" i="15" s="1"/>
  <c r="P249" i="15" l="1"/>
  <c r="P160" i="15"/>
  <c r="O250" i="15"/>
  <c r="O160" i="15"/>
  <c r="S160" i="15"/>
  <c r="T250" i="15"/>
  <c r="S250" i="15"/>
  <c r="R250" i="15"/>
  <c r="P250" i="15"/>
  <c r="T249" i="15"/>
  <c r="R249" i="15"/>
  <c r="O249" i="15"/>
  <c r="T160" i="15"/>
  <c r="R160" i="15"/>
  <c r="S249" i="15"/>
  <c r="Z5" i="15" l="1"/>
  <c r="N22" i="15"/>
  <c r="Q22" i="15" s="1"/>
  <c r="N23" i="15"/>
  <c r="Q23" i="15" s="1"/>
  <c r="R23" i="15" l="1"/>
  <c r="O22" i="15"/>
  <c r="S22" i="15"/>
  <c r="R22" i="15"/>
  <c r="T22" i="15"/>
  <c r="P23" i="15"/>
  <c r="O23" i="15"/>
  <c r="T23" i="15"/>
  <c r="S23" i="15"/>
  <c r="P22" i="15"/>
  <c r="AB5" i="15" l="1"/>
  <c r="N178" i="15"/>
  <c r="Q178" i="15" s="1"/>
  <c r="P178" i="15" l="1"/>
  <c r="S178" i="15"/>
  <c r="O178" i="15"/>
  <c r="T178" i="15"/>
  <c r="R178" i="15"/>
  <c r="N248" i="15" l="1"/>
  <c r="Q248" i="15" s="1"/>
  <c r="O248" i="15" l="1"/>
  <c r="P248" i="15"/>
  <c r="T248" i="15"/>
  <c r="S248" i="15"/>
  <c r="R248" i="15"/>
  <c r="N236" i="15" l="1"/>
  <c r="Q236" i="15" s="1"/>
  <c r="N159" i="15"/>
  <c r="Q159" i="15" s="1"/>
  <c r="O236" i="15" l="1"/>
  <c r="P236" i="15"/>
  <c r="T236" i="15"/>
  <c r="S236" i="15"/>
  <c r="R236" i="15"/>
  <c r="P159" i="15"/>
  <c r="O159" i="15"/>
  <c r="T159" i="15"/>
  <c r="S159" i="15"/>
  <c r="R159" i="15"/>
  <c r="N78" i="15" l="1"/>
  <c r="Q78" i="15" s="1"/>
  <c r="T78" i="15" l="1"/>
  <c r="P78" i="15"/>
  <c r="O78" i="15"/>
  <c r="R78" i="15"/>
  <c r="S78" i="15"/>
  <c r="N390" i="15" l="1"/>
  <c r="P390" i="15" s="1"/>
  <c r="N389" i="15"/>
  <c r="P389" i="15" s="1"/>
  <c r="N388" i="15"/>
  <c r="P388" i="15" s="1"/>
  <c r="I388" i="15"/>
  <c r="K388" i="15" s="1"/>
  <c r="N387" i="15"/>
  <c r="P387" i="15" s="1"/>
  <c r="I387" i="15"/>
  <c r="K387" i="15" s="1"/>
  <c r="I382" i="15"/>
  <c r="K382" i="15" s="1"/>
  <c r="N381" i="15"/>
  <c r="P381" i="15" s="1"/>
  <c r="I381" i="15"/>
  <c r="K381" i="15" s="1"/>
  <c r="N380" i="15"/>
  <c r="P380" i="15" s="1"/>
  <c r="I380" i="15"/>
  <c r="K380" i="15" s="1"/>
  <c r="N379" i="15"/>
  <c r="P379" i="15" s="1"/>
  <c r="I379" i="15"/>
  <c r="K379" i="15" s="1"/>
  <c r="N378" i="15"/>
  <c r="P378" i="15" s="1"/>
  <c r="I378" i="15"/>
  <c r="K378" i="15" s="1"/>
  <c r="I373" i="15"/>
  <c r="K373" i="15" s="1"/>
  <c r="N372" i="15"/>
  <c r="P372" i="15" s="1"/>
  <c r="I372" i="15"/>
  <c r="K372" i="15" s="1"/>
  <c r="N371" i="15"/>
  <c r="P371" i="15" s="1"/>
  <c r="I371" i="15"/>
  <c r="K371" i="15" s="1"/>
  <c r="N370" i="15"/>
  <c r="P370" i="15" s="1"/>
  <c r="I370" i="15"/>
  <c r="K370" i="15" s="1"/>
  <c r="N369" i="15"/>
  <c r="P369" i="15" s="1"/>
  <c r="I369" i="15"/>
  <c r="K369" i="15" s="1"/>
  <c r="N364" i="15"/>
  <c r="P364" i="15" s="1"/>
  <c r="I364" i="15"/>
  <c r="K364" i="15" s="1"/>
  <c r="N363" i="15"/>
  <c r="P363" i="15" s="1"/>
  <c r="I363" i="15"/>
  <c r="K363" i="15" s="1"/>
  <c r="N362" i="15"/>
  <c r="P362" i="15" s="1"/>
  <c r="I362" i="15"/>
  <c r="K362" i="15" s="1"/>
  <c r="I361" i="15"/>
  <c r="K361" i="15" s="1"/>
  <c r="I360" i="15"/>
  <c r="K360" i="15" s="1"/>
  <c r="N356" i="15"/>
  <c r="P356" i="15" s="1"/>
  <c r="N355" i="15"/>
  <c r="P355" i="15" s="1"/>
  <c r="I355" i="15"/>
  <c r="K355" i="15" s="1"/>
  <c r="N354" i="15"/>
  <c r="P354" i="15" s="1"/>
  <c r="I354" i="15"/>
  <c r="K354" i="15" s="1"/>
  <c r="N353" i="15"/>
  <c r="P353" i="15" s="1"/>
  <c r="I353" i="15"/>
  <c r="K353" i="15" s="1"/>
  <c r="N352" i="15"/>
  <c r="P352" i="15" s="1"/>
  <c r="I352" i="15"/>
  <c r="K352" i="15" s="1"/>
  <c r="N347" i="15"/>
  <c r="P347" i="15" s="1"/>
  <c r="I347" i="15"/>
  <c r="K347" i="15" s="1"/>
  <c r="N346" i="15"/>
  <c r="P346" i="15" s="1"/>
  <c r="I346" i="15"/>
  <c r="K346" i="15" s="1"/>
  <c r="N345" i="15"/>
  <c r="P345" i="15" s="1"/>
  <c r="I345" i="15"/>
  <c r="K345" i="15" s="1"/>
  <c r="N344" i="15"/>
  <c r="P344" i="15" s="1"/>
  <c r="I344" i="15"/>
  <c r="K344" i="15" s="1"/>
  <c r="N338" i="15"/>
  <c r="P338" i="15" s="1"/>
  <c r="I338" i="15"/>
  <c r="K338" i="15" s="1"/>
  <c r="N337" i="15"/>
  <c r="P337" i="15" s="1"/>
  <c r="N336" i="15"/>
  <c r="P336" i="15" s="1"/>
  <c r="N335" i="15"/>
  <c r="P335" i="15" s="1"/>
  <c r="N251" i="15"/>
  <c r="Q251" i="15" s="1"/>
  <c r="N247" i="15"/>
  <c r="Q247" i="15" s="1"/>
  <c r="N246" i="15"/>
  <c r="Q246" i="15" s="1"/>
  <c r="N245" i="15"/>
  <c r="Q245" i="15" s="1"/>
  <c r="N244" i="15"/>
  <c r="Q244" i="15" s="1"/>
  <c r="N243" i="15"/>
  <c r="Q243" i="15" s="1"/>
  <c r="N242" i="15"/>
  <c r="Q242" i="15" s="1"/>
  <c r="N241" i="15"/>
  <c r="Q241" i="15" s="1"/>
  <c r="N240" i="15"/>
  <c r="Q240" i="15" s="1"/>
  <c r="N239" i="15"/>
  <c r="Q239" i="15" s="1"/>
  <c r="N238" i="15"/>
  <c r="Q238" i="15" s="1"/>
  <c r="N237" i="15"/>
  <c r="Q237" i="15" s="1"/>
  <c r="N235" i="15"/>
  <c r="Q235" i="15" s="1"/>
  <c r="N234" i="15"/>
  <c r="Q234" i="15" s="1"/>
  <c r="N233" i="15"/>
  <c r="Q233" i="15" s="1"/>
  <c r="N232" i="15"/>
  <c r="Q232" i="15" s="1"/>
  <c r="N227" i="15"/>
  <c r="Q227" i="15" s="1"/>
  <c r="N226" i="15"/>
  <c r="Q226" i="15" s="1"/>
  <c r="N225" i="15"/>
  <c r="Q225" i="15" s="1"/>
  <c r="N224" i="15"/>
  <c r="Q224" i="15" s="1"/>
  <c r="N223" i="15"/>
  <c r="Q223" i="15" s="1"/>
  <c r="N222" i="15"/>
  <c r="Q222" i="15" s="1"/>
  <c r="N221" i="15"/>
  <c r="Q221" i="15" s="1"/>
  <c r="N220" i="15"/>
  <c r="Q220" i="15" s="1"/>
  <c r="N217" i="15"/>
  <c r="Q217" i="15" s="1"/>
  <c r="N216" i="15"/>
  <c r="Q216" i="15" s="1"/>
  <c r="N215" i="15"/>
  <c r="Q215" i="15" s="1"/>
  <c r="N214" i="15"/>
  <c r="Q214" i="15" s="1"/>
  <c r="N189" i="15"/>
  <c r="Q189" i="15" s="1"/>
  <c r="N188" i="15"/>
  <c r="Q188" i="15" s="1"/>
  <c r="N187" i="15"/>
  <c r="Q187" i="15" s="1"/>
  <c r="N186" i="15"/>
  <c r="Q186" i="15" s="1"/>
  <c r="N185" i="15"/>
  <c r="Q185" i="15" s="1"/>
  <c r="N184" i="15"/>
  <c r="Q184" i="15" s="1"/>
  <c r="N183" i="15"/>
  <c r="Q183" i="15" s="1"/>
  <c r="N182" i="15"/>
  <c r="Q182" i="15" s="1"/>
  <c r="N181" i="15"/>
  <c r="Q181" i="15" s="1"/>
  <c r="N180" i="15"/>
  <c r="Q180" i="15" s="1"/>
  <c r="N179" i="15"/>
  <c r="Q179" i="15" s="1"/>
  <c r="N177" i="15"/>
  <c r="Q177" i="15" s="1"/>
  <c r="N176" i="15"/>
  <c r="Q176" i="15" s="1"/>
  <c r="N175" i="15"/>
  <c r="Q175" i="15" s="1"/>
  <c r="N174" i="15"/>
  <c r="Q174" i="15" s="1"/>
  <c r="N173" i="15"/>
  <c r="Q173" i="15" s="1"/>
  <c r="N172" i="15"/>
  <c r="Q172" i="15" s="1"/>
  <c r="N171" i="15"/>
  <c r="Q171" i="15" s="1"/>
  <c r="N170" i="15"/>
  <c r="Q170" i="15" s="1"/>
  <c r="N169" i="15"/>
  <c r="Q169" i="15" s="1"/>
  <c r="N168" i="15"/>
  <c r="Q168" i="15" s="1"/>
  <c r="N167" i="15"/>
  <c r="Q167" i="15" s="1"/>
  <c r="N166" i="15"/>
  <c r="Q166" i="15" s="1"/>
  <c r="GQ31" i="2" s="1"/>
  <c r="HU31" i="2" s="1"/>
  <c r="HW31" i="2" s="1"/>
  <c r="LY31" i="2" s="1"/>
  <c r="N158" i="15"/>
  <c r="Q158" i="15" s="1"/>
  <c r="N157" i="15"/>
  <c r="Q157" i="15" s="1"/>
  <c r="N156" i="15"/>
  <c r="Q156" i="15" s="1"/>
  <c r="N155" i="15"/>
  <c r="Q155" i="15" s="1"/>
  <c r="N154" i="15"/>
  <c r="Q154" i="15" s="1"/>
  <c r="N153" i="15"/>
  <c r="Q153" i="15" s="1"/>
  <c r="N152" i="15"/>
  <c r="Q152" i="15" s="1"/>
  <c r="N151" i="15"/>
  <c r="Q151" i="15" s="1"/>
  <c r="N150" i="15"/>
  <c r="Q150" i="15" s="1"/>
  <c r="N149" i="15"/>
  <c r="Q149" i="15" s="1"/>
  <c r="N145" i="15"/>
  <c r="Q145" i="15" s="1"/>
  <c r="N144" i="15"/>
  <c r="Q144" i="15" s="1"/>
  <c r="N143" i="15"/>
  <c r="Q143" i="15" s="1"/>
  <c r="N142" i="15"/>
  <c r="Q142" i="15" s="1"/>
  <c r="N141" i="15"/>
  <c r="Q141" i="15" s="1"/>
  <c r="N140" i="15"/>
  <c r="Q140" i="15" s="1"/>
  <c r="N139" i="15"/>
  <c r="Q139" i="15" s="1"/>
  <c r="N138" i="15"/>
  <c r="Q138" i="15" s="1"/>
  <c r="N137" i="15"/>
  <c r="Q137" i="15" s="1"/>
  <c r="N136" i="15"/>
  <c r="Q136" i="15" s="1"/>
  <c r="N135" i="15"/>
  <c r="Q135" i="15" s="1"/>
  <c r="N134" i="15"/>
  <c r="Q134" i="15" s="1"/>
  <c r="N133" i="15"/>
  <c r="Q133" i="15" s="1"/>
  <c r="N132" i="15"/>
  <c r="Q132" i="15" s="1"/>
  <c r="N124" i="15"/>
  <c r="Q124" i="15" s="1"/>
  <c r="N123" i="15"/>
  <c r="Q123" i="15" s="1"/>
  <c r="N122" i="15"/>
  <c r="Q122" i="15" s="1"/>
  <c r="N121" i="15"/>
  <c r="Q121" i="15" s="1"/>
  <c r="N120" i="15"/>
  <c r="Q120" i="15" s="1"/>
  <c r="N119" i="15"/>
  <c r="Q119" i="15" s="1"/>
  <c r="N118" i="15"/>
  <c r="Q118" i="15" s="1"/>
  <c r="N117" i="15"/>
  <c r="Q117" i="15" s="1"/>
  <c r="N116" i="15"/>
  <c r="Q116" i="15" s="1"/>
  <c r="N115" i="15"/>
  <c r="Q115" i="15" s="1"/>
  <c r="N114" i="15"/>
  <c r="Q114" i="15" s="1"/>
  <c r="N113" i="15"/>
  <c r="Q113" i="15" s="1"/>
  <c r="N112" i="15"/>
  <c r="Q112" i="15" s="1"/>
  <c r="N111" i="15"/>
  <c r="Q111" i="15" s="1"/>
  <c r="T109" i="15"/>
  <c r="S109" i="15"/>
  <c r="R109" i="15"/>
  <c r="P109" i="15"/>
  <c r="O109" i="15"/>
  <c r="T108" i="15"/>
  <c r="S108" i="15"/>
  <c r="R108" i="15"/>
  <c r="P108" i="15"/>
  <c r="O108" i="15"/>
  <c r="T107" i="15"/>
  <c r="S107" i="15"/>
  <c r="R107" i="15"/>
  <c r="P107" i="15"/>
  <c r="O107" i="15"/>
  <c r="T106" i="15"/>
  <c r="S106" i="15"/>
  <c r="R106" i="15"/>
  <c r="P106" i="15"/>
  <c r="O106" i="15"/>
  <c r="T105" i="15"/>
  <c r="S105" i="15"/>
  <c r="R105" i="15"/>
  <c r="P105" i="15"/>
  <c r="O105" i="15"/>
  <c r="N104" i="15"/>
  <c r="Q104" i="15" s="1"/>
  <c r="N103" i="15"/>
  <c r="Q103" i="15" s="1"/>
  <c r="N102" i="15"/>
  <c r="Q102" i="15" s="1"/>
  <c r="N101" i="15"/>
  <c r="Q101" i="15" s="1"/>
  <c r="N100" i="15"/>
  <c r="Q100" i="15" s="1"/>
  <c r="N99" i="15"/>
  <c r="Q99" i="15" s="1"/>
  <c r="N98" i="15"/>
  <c r="Q98" i="15" s="1"/>
  <c r="N97" i="15"/>
  <c r="Q97" i="15" s="1"/>
  <c r="N96" i="15"/>
  <c r="Q96" i="15" s="1"/>
  <c r="N95" i="15"/>
  <c r="Q95" i="15" s="1"/>
  <c r="N94" i="15"/>
  <c r="Q94" i="15" s="1"/>
  <c r="N93" i="15"/>
  <c r="Q93" i="15" s="1"/>
  <c r="N92" i="15"/>
  <c r="Q92" i="15" s="1"/>
  <c r="N91" i="15"/>
  <c r="Q91" i="15" s="1"/>
  <c r="N90" i="15"/>
  <c r="Q90" i="15" s="1"/>
  <c r="N89" i="15"/>
  <c r="Q89" i="15" s="1"/>
  <c r="N88" i="15"/>
  <c r="Q88" i="15" s="1"/>
  <c r="N87" i="15"/>
  <c r="Q87" i="15" s="1"/>
  <c r="N83" i="15"/>
  <c r="Q83" i="15" s="1"/>
  <c r="N82" i="15"/>
  <c r="Q82" i="15" s="1"/>
  <c r="N81" i="15"/>
  <c r="Q81" i="15" s="1"/>
  <c r="N80" i="15"/>
  <c r="Q80" i="15" s="1"/>
  <c r="N79" i="15"/>
  <c r="Q79" i="15" s="1"/>
  <c r="N77" i="15"/>
  <c r="Q77" i="15" s="1"/>
  <c r="N76" i="15"/>
  <c r="Q76" i="15" s="1"/>
  <c r="N75" i="15"/>
  <c r="Q75" i="15" s="1"/>
  <c r="N74" i="15"/>
  <c r="Q74" i="15" s="1"/>
  <c r="N73" i="15"/>
  <c r="Q73" i="15" s="1"/>
  <c r="N72" i="15"/>
  <c r="Q72" i="15" s="1"/>
  <c r="N71" i="15"/>
  <c r="Q71" i="15" s="1"/>
  <c r="N70" i="15"/>
  <c r="Q70" i="15" s="1"/>
  <c r="N69" i="15"/>
  <c r="Q69" i="15" s="1"/>
  <c r="N68" i="15"/>
  <c r="Q68" i="15" s="1"/>
  <c r="N67" i="15"/>
  <c r="Q67" i="15" s="1"/>
  <c r="N66" i="15"/>
  <c r="Q66" i="15" s="1"/>
  <c r="N65" i="15"/>
  <c r="Q65" i="15" s="1"/>
  <c r="N64" i="15"/>
  <c r="Q64" i="15" s="1"/>
  <c r="N63" i="15"/>
  <c r="Q63" i="15" s="1"/>
  <c r="N62" i="15"/>
  <c r="Q62" i="15" s="1"/>
  <c r="N56" i="15"/>
  <c r="Q56" i="15" s="1"/>
  <c r="N55" i="15"/>
  <c r="Q55" i="15" s="1"/>
  <c r="N54" i="15"/>
  <c r="Q54" i="15" s="1"/>
  <c r="N53" i="15"/>
  <c r="Q53" i="15" s="1"/>
  <c r="N52" i="15"/>
  <c r="Q52" i="15" s="1"/>
  <c r="N51" i="15"/>
  <c r="Q51" i="15" s="1"/>
  <c r="N50" i="15"/>
  <c r="Q50" i="15" s="1"/>
  <c r="N49" i="15"/>
  <c r="Q49" i="15" s="1"/>
  <c r="N48" i="15"/>
  <c r="Q48" i="15" s="1"/>
  <c r="N47" i="15"/>
  <c r="Q47" i="15" s="1"/>
  <c r="N46" i="15"/>
  <c r="Q46" i="15" s="1"/>
  <c r="N45" i="15"/>
  <c r="Q45" i="15" s="1"/>
  <c r="N42" i="15"/>
  <c r="Q42" i="15" s="1"/>
  <c r="N41" i="15"/>
  <c r="Q41" i="15" s="1"/>
  <c r="N40" i="15"/>
  <c r="Q40" i="15" s="1"/>
  <c r="N39" i="15"/>
  <c r="Q39" i="15" s="1"/>
  <c r="N38" i="15"/>
  <c r="Q38" i="15" s="1"/>
  <c r="N37" i="15"/>
  <c r="Q37" i="15" s="1"/>
  <c r="N36" i="15"/>
  <c r="Q36" i="15" s="1"/>
  <c r="N35" i="15"/>
  <c r="Q35" i="15" s="1"/>
  <c r="N34" i="15"/>
  <c r="Q34" i="15" s="1"/>
  <c r="N33" i="15"/>
  <c r="Q33" i="15" s="1"/>
  <c r="N32" i="15"/>
  <c r="Q32" i="15" s="1"/>
  <c r="N21" i="15"/>
  <c r="Q21" i="15" s="1"/>
  <c r="N20" i="15"/>
  <c r="Q20" i="15" s="1"/>
  <c r="N19" i="15"/>
  <c r="Q19" i="15" s="1"/>
  <c r="N18" i="15"/>
  <c r="Q18" i="15" s="1"/>
  <c r="N17" i="15"/>
  <c r="Q17" i="15" s="1"/>
  <c r="N16" i="15"/>
  <c r="Q16" i="15" s="1"/>
  <c r="N15" i="15"/>
  <c r="Q15" i="15" s="1"/>
  <c r="N14" i="15"/>
  <c r="Q14" i="15" s="1"/>
  <c r="N13" i="15"/>
  <c r="Q13" i="15" s="1"/>
  <c r="N12" i="15"/>
  <c r="Q12" i="15" s="1"/>
  <c r="N11" i="15"/>
  <c r="Q11" i="15" s="1"/>
  <c r="N10" i="15"/>
  <c r="Q10" i="15" s="1"/>
  <c r="N9" i="15"/>
  <c r="Q9" i="15" s="1"/>
  <c r="N8" i="15"/>
  <c r="Q8" i="15" s="1"/>
  <c r="N7" i="15"/>
  <c r="Q7" i="15" s="1"/>
  <c r="N6" i="15"/>
  <c r="Q6" i="15" s="1"/>
  <c r="N5" i="15"/>
  <c r="Q5" i="15" s="1"/>
  <c r="JM15" i="2" l="1"/>
  <c r="KQ15" i="2" s="1"/>
  <c r="KS15" i="2" s="1"/>
  <c r="LY15" i="2" s="1"/>
  <c r="JM190" i="2"/>
  <c r="KQ190" i="2" s="1"/>
  <c r="KS190" i="2" s="1"/>
  <c r="LY190" i="2" s="1"/>
  <c r="JM17" i="2"/>
  <c r="KQ17" i="2" s="1"/>
  <c r="KS17" i="2" s="1"/>
  <c r="LY17" i="2" s="1"/>
  <c r="JM13" i="2"/>
  <c r="KQ13" i="2" s="1"/>
  <c r="KS13" i="2" s="1"/>
  <c r="LY13" i="2" s="1"/>
  <c r="JM16" i="2"/>
  <c r="KQ16" i="2" s="1"/>
  <c r="KS16" i="2" s="1"/>
  <c r="LY16" i="2" s="1"/>
  <c r="JM14" i="2"/>
  <c r="KQ14" i="2" s="1"/>
  <c r="KS14" i="2" s="1"/>
  <c r="LY14" i="2" s="1"/>
  <c r="IB186" i="2"/>
  <c r="JF186" i="2" s="1"/>
  <c r="JH186" i="2" s="1"/>
  <c r="LY186" i="2" s="1"/>
  <c r="IB191" i="2"/>
  <c r="JF191" i="2" s="1"/>
  <c r="JH191" i="2" s="1"/>
  <c r="LY191" i="2" s="1"/>
  <c r="JM187" i="2"/>
  <c r="KQ187" i="2" s="1"/>
  <c r="KS187" i="2" s="1"/>
  <c r="LY187" i="2" s="1"/>
  <c r="JM184" i="2"/>
  <c r="KQ184" i="2" s="1"/>
  <c r="KS184" i="2" s="1"/>
  <c r="LY184" i="2" s="1"/>
  <c r="JM185" i="2"/>
  <c r="KQ185" i="2" s="1"/>
  <c r="KS185" i="2" s="1"/>
  <c r="LY185" i="2" s="1"/>
  <c r="R239" i="15"/>
  <c r="S216" i="15"/>
  <c r="I335" i="15"/>
  <c r="K335" i="15" s="1"/>
  <c r="T112" i="15"/>
  <c r="P135" i="15"/>
  <c r="R177" i="15"/>
  <c r="T220" i="15"/>
  <c r="P241" i="15"/>
  <c r="T133" i="15"/>
  <c r="P18" i="15"/>
  <c r="T69" i="15"/>
  <c r="O242" i="15"/>
  <c r="T5" i="15"/>
  <c r="O66" i="15"/>
  <c r="O153" i="15"/>
  <c r="R179" i="15"/>
  <c r="T21" i="15"/>
  <c r="S90" i="15"/>
  <c r="S115" i="15"/>
  <c r="R138" i="15"/>
  <c r="P157" i="15"/>
  <c r="S181" i="15"/>
  <c r="P223" i="15"/>
  <c r="P244" i="15"/>
  <c r="T17" i="15"/>
  <c r="P152" i="15"/>
  <c r="P67" i="15"/>
  <c r="P104" i="15"/>
  <c r="T137" i="15"/>
  <c r="S158" i="15"/>
  <c r="P182" i="15"/>
  <c r="P224" i="15"/>
  <c r="T240" i="15"/>
  <c r="T180" i="15"/>
  <c r="GQ362" i="2" s="1"/>
  <c r="HU362" i="2" s="1"/>
  <c r="HW362" i="2" s="1"/>
  <c r="LY362" i="2" s="1"/>
  <c r="MS362" i="2" s="1"/>
  <c r="P33" i="15"/>
  <c r="T73" i="15"/>
  <c r="O93" i="15"/>
  <c r="T117" i="15"/>
  <c r="R166" i="15"/>
  <c r="O183" i="15"/>
  <c r="T225" i="15"/>
  <c r="S246" i="15"/>
  <c r="P83" i="15"/>
  <c r="T68" i="15"/>
  <c r="P136" i="15"/>
  <c r="O49" i="15"/>
  <c r="P114" i="15"/>
  <c r="R52" i="15"/>
  <c r="O9" i="15"/>
  <c r="T35" i="15"/>
  <c r="T53" i="15"/>
  <c r="O74" i="15"/>
  <c r="P94" i="15"/>
  <c r="P118" i="15"/>
  <c r="T141" i="15"/>
  <c r="T167" i="15"/>
  <c r="O184" i="15"/>
  <c r="S226" i="15"/>
  <c r="T247" i="15"/>
  <c r="S176" i="15"/>
  <c r="S91" i="15"/>
  <c r="O142" i="15"/>
  <c r="S168" i="15"/>
  <c r="R185" i="15"/>
  <c r="S227" i="15"/>
  <c r="O251" i="15"/>
  <c r="T102" i="15"/>
  <c r="T134" i="15"/>
  <c r="S155" i="15"/>
  <c r="R7" i="15"/>
  <c r="S11" i="15"/>
  <c r="T37" i="15"/>
  <c r="O55" i="15"/>
  <c r="S76" i="15"/>
  <c r="T96" i="15"/>
  <c r="T120" i="15"/>
  <c r="P143" i="15"/>
  <c r="P186" i="15"/>
  <c r="S103" i="15"/>
  <c r="P47" i="15"/>
  <c r="S48" i="15"/>
  <c r="R222" i="15"/>
  <c r="I336" i="15"/>
  <c r="K336" i="15" s="1"/>
  <c r="S36" i="15"/>
  <c r="P77" i="15"/>
  <c r="R97" i="15"/>
  <c r="T121" i="15"/>
  <c r="S144" i="15"/>
  <c r="P187" i="15"/>
  <c r="T233" i="15"/>
  <c r="O46" i="15"/>
  <c r="O89" i="15"/>
  <c r="S243" i="15"/>
  <c r="S32" i="15"/>
  <c r="S10" i="15"/>
  <c r="S12" i="15"/>
  <c r="P13" i="15"/>
  <c r="R39" i="15"/>
  <c r="O62" i="15"/>
  <c r="T79" i="15"/>
  <c r="O98" i="15"/>
  <c r="P122" i="15"/>
  <c r="T145" i="15"/>
  <c r="T171" i="15"/>
  <c r="P188" i="15"/>
  <c r="S234" i="15"/>
  <c r="T20" i="15"/>
  <c r="T50" i="15"/>
  <c r="R92" i="15"/>
  <c r="T75" i="15"/>
  <c r="O40" i="15"/>
  <c r="T63" i="15"/>
  <c r="P80" i="15"/>
  <c r="P149" i="15"/>
  <c r="O172" i="15"/>
  <c r="S189" i="15"/>
  <c r="O235" i="15"/>
  <c r="O175" i="15"/>
  <c r="P51" i="15"/>
  <c r="T15" i="15"/>
  <c r="T41" i="15"/>
  <c r="S64" i="15"/>
  <c r="T81" i="15"/>
  <c r="T100" i="15"/>
  <c r="T124" i="15"/>
  <c r="P173" i="15"/>
  <c r="R214" i="15"/>
  <c r="T237" i="15"/>
  <c r="O217" i="15"/>
  <c r="O113" i="15"/>
  <c r="O156" i="15"/>
  <c r="S71" i="15"/>
  <c r="T116" i="15"/>
  <c r="T95" i="15"/>
  <c r="S16" i="15"/>
  <c r="S42" i="15"/>
  <c r="T65" i="15"/>
  <c r="T82" i="15"/>
  <c r="O101" i="15"/>
  <c r="S132" i="15"/>
  <c r="T151" i="15"/>
  <c r="T215" i="15"/>
  <c r="T238" i="15"/>
  <c r="R32" i="15"/>
  <c r="T91" i="15"/>
  <c r="R132" i="15"/>
  <c r="S38" i="15"/>
  <c r="S188" i="15"/>
  <c r="R54" i="15"/>
  <c r="T88" i="15"/>
  <c r="S120" i="15"/>
  <c r="P98" i="15"/>
  <c r="S14" i="15"/>
  <c r="R41" i="15"/>
  <c r="P154" i="15"/>
  <c r="R80" i="15"/>
  <c r="S154" i="15"/>
  <c r="O41" i="15"/>
  <c r="S6" i="15"/>
  <c r="S35" i="15"/>
  <c r="R116" i="15"/>
  <c r="O238" i="15"/>
  <c r="T19" i="15"/>
  <c r="T83" i="15"/>
  <c r="T158" i="15"/>
  <c r="R188" i="15"/>
  <c r="P153" i="15"/>
  <c r="P14" i="15"/>
  <c r="S15" i="15"/>
  <c r="P42" i="15"/>
  <c r="T54" i="15"/>
  <c r="P66" i="15"/>
  <c r="O69" i="15"/>
  <c r="P74" i="15"/>
  <c r="R83" i="15"/>
  <c r="S98" i="15"/>
  <c r="S101" i="15"/>
  <c r="T114" i="15"/>
  <c r="S116" i="15"/>
  <c r="R154" i="15"/>
  <c r="T156" i="15"/>
  <c r="S175" i="15"/>
  <c r="O244" i="15"/>
  <c r="T244" i="15"/>
  <c r="S153" i="15"/>
  <c r="T14" i="15"/>
  <c r="R35" i="15"/>
  <c r="S41" i="15"/>
  <c r="R42" i="15"/>
  <c r="S73" i="15"/>
  <c r="T94" i="15"/>
  <c r="R114" i="15"/>
  <c r="T188" i="15"/>
  <c r="S239" i="15"/>
  <c r="R244" i="15"/>
  <c r="S114" i="15"/>
  <c r="R175" i="15"/>
  <c r="S244" i="15"/>
  <c r="P10" i="15"/>
  <c r="O79" i="15"/>
  <c r="O226" i="15"/>
  <c r="O103" i="15"/>
  <c r="O117" i="15"/>
  <c r="O122" i="15"/>
  <c r="O167" i="15"/>
  <c r="T226" i="15"/>
  <c r="R10" i="15"/>
  <c r="P46" i="15"/>
  <c r="S151" i="15"/>
  <c r="T10" i="15"/>
  <c r="O32" i="15"/>
  <c r="R64" i="15"/>
  <c r="R69" i="15"/>
  <c r="R74" i="15"/>
  <c r="O80" i="15"/>
  <c r="R87" i="15"/>
  <c r="P92" i="15"/>
  <c r="P117" i="15"/>
  <c r="O145" i="15"/>
  <c r="P167" i="15"/>
  <c r="O180" i="15"/>
  <c r="T239" i="15"/>
  <c r="K348" i="15"/>
  <c r="N163" i="15" s="1"/>
  <c r="Q163" i="15" s="1"/>
  <c r="P64" i="15"/>
  <c r="O92" i="15"/>
  <c r="R15" i="15"/>
  <c r="P32" i="15"/>
  <c r="O42" i="15"/>
  <c r="R46" i="15"/>
  <c r="T64" i="15"/>
  <c r="S69" i="15"/>
  <c r="S74" i="15"/>
  <c r="R103" i="15"/>
  <c r="S122" i="15"/>
  <c r="P145" i="15"/>
  <c r="S156" i="15"/>
  <c r="P175" i="15"/>
  <c r="P180" i="15"/>
  <c r="R186" i="15"/>
  <c r="R167" i="15"/>
  <c r="S186" i="15"/>
  <c r="P12" i="15"/>
  <c r="O75" i="15"/>
  <c r="S80" i="15"/>
  <c r="S92" i="15"/>
  <c r="R145" i="15"/>
  <c r="S167" i="15"/>
  <c r="R180" i="15"/>
  <c r="T186" i="15"/>
  <c r="O215" i="15"/>
  <c r="S233" i="15"/>
  <c r="T246" i="15"/>
  <c r="S7" i="15"/>
  <c r="R12" i="15"/>
  <c r="R75" i="15"/>
  <c r="T92" i="15"/>
  <c r="S145" i="15"/>
  <c r="S180" i="15"/>
  <c r="P215" i="15"/>
  <c r="O224" i="15"/>
  <c r="R241" i="15"/>
  <c r="R151" i="15"/>
  <c r="P226" i="15"/>
  <c r="T32" i="15"/>
  <c r="T12" i="15"/>
  <c r="T39" i="15"/>
  <c r="R66" i="15"/>
  <c r="S75" i="15"/>
  <c r="S89" i="15"/>
  <c r="P120" i="15"/>
  <c r="P158" i="15"/>
  <c r="T175" i="15"/>
  <c r="P79" i="15"/>
  <c r="S39" i="15"/>
  <c r="S8" i="15"/>
  <c r="S18" i="15"/>
  <c r="R48" i="15"/>
  <c r="P56" i="15"/>
  <c r="T66" i="15"/>
  <c r="O73" i="15"/>
  <c r="P132" i="15"/>
  <c r="O188" i="15"/>
  <c r="R215" i="15"/>
  <c r="R224" i="15"/>
  <c r="P251" i="15"/>
  <c r="P48" i="15"/>
  <c r="P35" i="15"/>
  <c r="S56" i="15"/>
  <c r="S94" i="15"/>
  <c r="R101" i="15"/>
  <c r="O116" i="15"/>
  <c r="R120" i="15"/>
  <c r="O154" i="15"/>
  <c r="R158" i="15"/>
  <c r="T170" i="15"/>
  <c r="S215" i="15"/>
  <c r="S183" i="15"/>
  <c r="P242" i="15"/>
  <c r="P247" i="15"/>
  <c r="P365" i="15"/>
  <c r="N146" i="15" s="1"/>
  <c r="Q146" i="15" s="1"/>
  <c r="P373" i="15"/>
  <c r="N25" i="15" s="1"/>
  <c r="P90" i="15"/>
  <c r="O65" i="15"/>
  <c r="T123" i="15"/>
  <c r="O133" i="15"/>
  <c r="S136" i="15"/>
  <c r="P139" i="15"/>
  <c r="O189" i="15"/>
  <c r="S222" i="15"/>
  <c r="R227" i="15"/>
  <c r="R234" i="15"/>
  <c r="R247" i="15"/>
  <c r="P348" i="15"/>
  <c r="N128" i="15" s="1"/>
  <c r="Q128" i="15" s="1"/>
  <c r="O104" i="15"/>
  <c r="P168" i="15"/>
  <c r="S40" i="15"/>
  <c r="R143" i="15"/>
  <c r="P9" i="15"/>
  <c r="O11" i="15"/>
  <c r="O21" i="15"/>
  <c r="R33" i="15"/>
  <c r="P36" i="15"/>
  <c r="T42" i="15"/>
  <c r="O47" i="15"/>
  <c r="P49" i="15"/>
  <c r="T52" i="15"/>
  <c r="P55" i="15"/>
  <c r="O63" i="15"/>
  <c r="P65" i="15"/>
  <c r="T67" i="15"/>
  <c r="O71" i="15"/>
  <c r="R77" i="15"/>
  <c r="R90" i="15"/>
  <c r="O96" i="15"/>
  <c r="O99" i="15"/>
  <c r="P111" i="15"/>
  <c r="O118" i="15"/>
  <c r="P121" i="15"/>
  <c r="P133" i="15"/>
  <c r="T136" i="15"/>
  <c r="S139" i="15"/>
  <c r="S143" i="15"/>
  <c r="T154" i="15"/>
  <c r="R157" i="15"/>
  <c r="R168" i="15"/>
  <c r="R173" i="15"/>
  <c r="O176" i="15"/>
  <c r="O187" i="15"/>
  <c r="P189" i="15"/>
  <c r="P216" i="15"/>
  <c r="T222" i="15"/>
  <c r="O225" i="15"/>
  <c r="T227" i="15"/>
  <c r="T234" i="15"/>
  <c r="O240" i="15"/>
  <c r="R242" i="15"/>
  <c r="O90" i="15"/>
  <c r="O102" i="15"/>
  <c r="P102" i="15"/>
  <c r="P11" i="15"/>
  <c r="R102" i="15"/>
  <c r="R104" i="15"/>
  <c r="T143" i="15"/>
  <c r="T152" i="15"/>
  <c r="S157" i="15"/>
  <c r="T168" i="15"/>
  <c r="S173" i="15"/>
  <c r="P176" i="15"/>
  <c r="T189" i="15"/>
  <c r="P225" i="15"/>
  <c r="S242" i="15"/>
  <c r="S95" i="15"/>
  <c r="R123" i="15"/>
  <c r="R136" i="15"/>
  <c r="R67" i="15"/>
  <c r="O111" i="15"/>
  <c r="P96" i="15"/>
  <c r="R9" i="15"/>
  <c r="R14" i="15"/>
  <c r="P34" i="15"/>
  <c r="R36" i="15"/>
  <c r="P41" i="15"/>
  <c r="R47" i="15"/>
  <c r="R49" i="15"/>
  <c r="O53" i="15"/>
  <c r="S55" i="15"/>
  <c r="R65" i="15"/>
  <c r="R68" i="15"/>
  <c r="P75" i="15"/>
  <c r="T77" i="15"/>
  <c r="O82" i="15"/>
  <c r="T87" i="15"/>
  <c r="T90" i="15"/>
  <c r="P93" i="15"/>
  <c r="R99" i="15"/>
  <c r="S102" i="15"/>
  <c r="S104" i="15"/>
  <c r="P116" i="15"/>
  <c r="R118" i="15"/>
  <c r="R121" i="15"/>
  <c r="R133" i="15"/>
  <c r="O137" i="15"/>
  <c r="P140" i="15"/>
  <c r="S149" i="15"/>
  <c r="T157" i="15"/>
  <c r="T173" i="15"/>
  <c r="T176" i="15"/>
  <c r="P181" i="15"/>
  <c r="R187" i="15"/>
  <c r="R216" i="15"/>
  <c r="O223" i="15"/>
  <c r="P235" i="15"/>
  <c r="R240" i="15"/>
  <c r="T242" i="15"/>
  <c r="K356" i="15"/>
  <c r="N84" i="15" s="1"/>
  <c r="Q84" i="15" s="1"/>
  <c r="P52" i="15"/>
  <c r="S20" i="15"/>
  <c r="R16" i="15"/>
  <c r="P21" i="15"/>
  <c r="S77" i="15"/>
  <c r="S111" i="15"/>
  <c r="S9" i="15"/>
  <c r="R11" i="15"/>
  <c r="R21" i="15"/>
  <c r="R34" i="15"/>
  <c r="S47" i="15"/>
  <c r="S49" i="15"/>
  <c r="P53" i="15"/>
  <c r="R63" i="15"/>
  <c r="S65" i="15"/>
  <c r="P82" i="15"/>
  <c r="R93" i="15"/>
  <c r="R96" i="15"/>
  <c r="S99" i="15"/>
  <c r="T104" i="15"/>
  <c r="O112" i="15"/>
  <c r="S118" i="15"/>
  <c r="S133" i="15"/>
  <c r="P137" i="15"/>
  <c r="S140" i="15"/>
  <c r="P169" i="15"/>
  <c r="S185" i="15"/>
  <c r="T216" i="15"/>
  <c r="R225" i="15"/>
  <c r="O233" i="15"/>
  <c r="S240" i="15"/>
  <c r="O246" i="15"/>
  <c r="P16" i="15"/>
  <c r="S52" i="15"/>
  <c r="P63" i="15"/>
  <c r="P99" i="15"/>
  <c r="T9" i="15"/>
  <c r="T11" i="15"/>
  <c r="S21" i="15"/>
  <c r="S34" i="15"/>
  <c r="T47" i="15"/>
  <c r="T49" i="15"/>
  <c r="S63" i="15"/>
  <c r="T93" i="15"/>
  <c r="S96" i="15"/>
  <c r="T140" i="15"/>
  <c r="R181" i="15"/>
  <c r="T185" i="15"/>
  <c r="R223" i="15"/>
  <c r="S225" i="15"/>
  <c r="P233" i="15"/>
  <c r="O243" i="15"/>
  <c r="P246" i="15"/>
  <c r="O157" i="15"/>
  <c r="R53" i="15"/>
  <c r="R82" i="15"/>
  <c r="R137" i="15"/>
  <c r="O151" i="15"/>
  <c r="R170" i="15"/>
  <c r="T181" i="15"/>
  <c r="P217" i="15"/>
  <c r="S223" i="15"/>
  <c r="O241" i="15"/>
  <c r="P243" i="15"/>
  <c r="O143" i="15"/>
  <c r="P234" i="15"/>
  <c r="T62" i="15"/>
  <c r="O173" i="15"/>
  <c r="R13" i="15"/>
  <c r="T34" i="15"/>
  <c r="T7" i="15"/>
  <c r="O10" i="15"/>
  <c r="O12" i="15"/>
  <c r="P15" i="15"/>
  <c r="S19" i="15"/>
  <c r="O48" i="15"/>
  <c r="O50" i="15"/>
  <c r="S53" i="15"/>
  <c r="T56" i="15"/>
  <c r="P69" i="15"/>
  <c r="S82" i="15"/>
  <c r="T97" i="15"/>
  <c r="P103" i="15"/>
  <c r="O114" i="15"/>
  <c r="O120" i="15"/>
  <c r="O132" i="15"/>
  <c r="O134" i="15"/>
  <c r="S137" i="15"/>
  <c r="S141" i="15"/>
  <c r="P151" i="15"/>
  <c r="R156" i="15"/>
  <c r="O186" i="15"/>
  <c r="T223" i="15"/>
  <c r="R233" i="15"/>
  <c r="T243" i="15"/>
  <c r="R246" i="15"/>
  <c r="K391" i="15"/>
  <c r="N161" i="15" s="1"/>
  <c r="Q161" i="15" s="1"/>
  <c r="O77" i="15"/>
  <c r="P382" i="15"/>
  <c r="N43" i="15" s="1"/>
  <c r="Q43" i="15" s="1"/>
  <c r="P391" i="15"/>
  <c r="N57" i="15" s="1"/>
  <c r="Q57" i="15" s="1"/>
  <c r="O18" i="15"/>
  <c r="P50" i="15"/>
  <c r="P89" i="15"/>
  <c r="O8" i="15"/>
  <c r="O20" i="15"/>
  <c r="S46" i="15"/>
  <c r="R6" i="15"/>
  <c r="P8" i="15"/>
  <c r="O15" i="15"/>
  <c r="T16" i="15"/>
  <c r="R18" i="15"/>
  <c r="P20" i="15"/>
  <c r="O35" i="15"/>
  <c r="T36" i="15"/>
  <c r="R38" i="15"/>
  <c r="P40" i="15"/>
  <c r="T46" i="15"/>
  <c r="T48" i="15"/>
  <c r="T80" i="15"/>
  <c r="S83" i="15"/>
  <c r="O83" i="15"/>
  <c r="P87" i="15"/>
  <c r="R89" i="15"/>
  <c r="P91" i="15"/>
  <c r="R95" i="15"/>
  <c r="T99" i="15"/>
  <c r="T103" i="15"/>
  <c r="T118" i="15"/>
  <c r="S121" i="15"/>
  <c r="O121" i="15"/>
  <c r="P123" i="15"/>
  <c r="T132" i="15"/>
  <c r="O139" i="15"/>
  <c r="R149" i="15"/>
  <c r="P156" i="15"/>
  <c r="O158" i="15"/>
  <c r="O169" i="15"/>
  <c r="P339" i="15"/>
  <c r="R45" i="15"/>
  <c r="P45" i="15"/>
  <c r="O119" i="15"/>
  <c r="P174" i="15"/>
  <c r="T174" i="15"/>
  <c r="S174" i="15"/>
  <c r="O5" i="15"/>
  <c r="T6" i="15"/>
  <c r="R8" i="15"/>
  <c r="S13" i="15"/>
  <c r="O17" i="15"/>
  <c r="T18" i="15"/>
  <c r="R20" i="15"/>
  <c r="S33" i="15"/>
  <c r="O37" i="15"/>
  <c r="T38" i="15"/>
  <c r="R40" i="15"/>
  <c r="O45" i="15"/>
  <c r="O51" i="15"/>
  <c r="S67" i="15"/>
  <c r="O72" i="15"/>
  <c r="O76" i="15"/>
  <c r="S79" i="15"/>
  <c r="P81" i="15"/>
  <c r="S87" i="15"/>
  <c r="T89" i="15"/>
  <c r="R91" i="15"/>
  <c r="T98" i="15"/>
  <c r="R98" i="15"/>
  <c r="O100" i="15"/>
  <c r="P113" i="15"/>
  <c r="O115" i="15"/>
  <c r="S117" i="15"/>
  <c r="P119" i="15"/>
  <c r="S123" i="15"/>
  <c r="O135" i="15"/>
  <c r="T149" i="15"/>
  <c r="S152" i="15"/>
  <c r="O152" i="15"/>
  <c r="P172" i="15"/>
  <c r="O174" i="15"/>
  <c r="T183" i="15"/>
  <c r="R183" i="15"/>
  <c r="P183" i="15"/>
  <c r="P17" i="15"/>
  <c r="P37" i="15"/>
  <c r="R81" i="15"/>
  <c r="P115" i="15"/>
  <c r="R119" i="15"/>
  <c r="O150" i="15"/>
  <c r="I337" i="15"/>
  <c r="K337" i="15" s="1"/>
  <c r="K374" i="15"/>
  <c r="T13" i="15"/>
  <c r="T33" i="15"/>
  <c r="S70" i="15"/>
  <c r="O70" i="15"/>
  <c r="P76" i="15"/>
  <c r="O7" i="15"/>
  <c r="T40" i="15"/>
  <c r="R51" i="15"/>
  <c r="O68" i="15"/>
  <c r="R72" i="15"/>
  <c r="O144" i="15"/>
  <c r="R172" i="15"/>
  <c r="T221" i="15"/>
  <c r="S221" i="15"/>
  <c r="R221" i="15"/>
  <c r="P221" i="15"/>
  <c r="P5" i="15"/>
  <c r="P72" i="15"/>
  <c r="T8" i="15"/>
  <c r="O19" i="15"/>
  <c r="O39" i="15"/>
  <c r="S45" i="15"/>
  <c r="P62" i="15"/>
  <c r="P70" i="15"/>
  <c r="S81" i="15"/>
  <c r="R88" i="15"/>
  <c r="P88" i="15"/>
  <c r="S100" i="15"/>
  <c r="R113" i="15"/>
  <c r="S119" i="15"/>
  <c r="R124" i="15"/>
  <c r="P124" i="15"/>
  <c r="R135" i="15"/>
  <c r="P142" i="15"/>
  <c r="P150" i="15"/>
  <c r="O170" i="15"/>
  <c r="R174" i="15"/>
  <c r="S177" i="15"/>
  <c r="P177" i="15"/>
  <c r="R5" i="15"/>
  <c r="P7" i="15"/>
  <c r="O14" i="15"/>
  <c r="R17" i="15"/>
  <c r="P19" i="15"/>
  <c r="O34" i="15"/>
  <c r="R37" i="15"/>
  <c r="P39" i="15"/>
  <c r="T45" i="15"/>
  <c r="S51" i="15"/>
  <c r="O56" i="15"/>
  <c r="O64" i="15"/>
  <c r="S66" i="15"/>
  <c r="P68" i="15"/>
  <c r="S72" i="15"/>
  <c r="T74" i="15"/>
  <c r="R76" i="15"/>
  <c r="R79" i="15"/>
  <c r="O88" i="15"/>
  <c r="O94" i="15"/>
  <c r="R111" i="15"/>
  <c r="S113" i="15"/>
  <c r="R115" i="15"/>
  <c r="R117" i="15"/>
  <c r="T119" i="15"/>
  <c r="T122" i="15"/>
  <c r="R122" i="15"/>
  <c r="O124" i="15"/>
  <c r="S135" i="15"/>
  <c r="O140" i="15"/>
  <c r="P144" i="15"/>
  <c r="R150" i="15"/>
  <c r="R152" i="15"/>
  <c r="P170" i="15"/>
  <c r="S172" i="15"/>
  <c r="O177" i="15"/>
  <c r="T184" i="15"/>
  <c r="R184" i="15"/>
  <c r="P184" i="15"/>
  <c r="O221" i="15"/>
  <c r="K365" i="15"/>
  <c r="N162" i="15" s="1"/>
  <c r="Q162" i="15" s="1"/>
  <c r="K383" i="15"/>
  <c r="N24" i="15" s="1"/>
  <c r="Q24" i="15" s="1"/>
  <c r="O81" i="15"/>
  <c r="R100" i="15"/>
  <c r="P100" i="15"/>
  <c r="T51" i="15"/>
  <c r="R62" i="15"/>
  <c r="R70" i="15"/>
  <c r="T172" i="15"/>
  <c r="S5" i="15"/>
  <c r="S17" i="15"/>
  <c r="S37" i="15"/>
  <c r="S54" i="15"/>
  <c r="O54" i="15"/>
  <c r="T72" i="15"/>
  <c r="T76" i="15"/>
  <c r="T113" i="15"/>
  <c r="T115" i="15"/>
  <c r="T135" i="15"/>
  <c r="S138" i="15"/>
  <c r="O138" i="15"/>
  <c r="R142" i="15"/>
  <c r="S150" i="15"/>
  <c r="R155" i="15"/>
  <c r="P155" i="15"/>
  <c r="O16" i="15"/>
  <c r="R19" i="15"/>
  <c r="O36" i="15"/>
  <c r="O52" i="15"/>
  <c r="P54" i="15"/>
  <c r="R56" i="15"/>
  <c r="S62" i="15"/>
  <c r="S68" i="15"/>
  <c r="T70" i="15"/>
  <c r="R73" i="15"/>
  <c r="P73" i="15"/>
  <c r="S88" i="15"/>
  <c r="R94" i="15"/>
  <c r="P101" i="15"/>
  <c r="T111" i="15"/>
  <c r="S124" i="15"/>
  <c r="O136" i="15"/>
  <c r="P138" i="15"/>
  <c r="R140" i="15"/>
  <c r="S142" i="15"/>
  <c r="R144" i="15"/>
  <c r="T150" i="15"/>
  <c r="T153" i="15"/>
  <c r="R153" i="15"/>
  <c r="O155" i="15"/>
  <c r="S170" i="15"/>
  <c r="T177" i="15"/>
  <c r="S184" i="15"/>
  <c r="P357" i="15"/>
  <c r="S50" i="15"/>
  <c r="T71" i="15"/>
  <c r="R71" i="15"/>
  <c r="R112" i="15"/>
  <c r="P112" i="15"/>
  <c r="S134" i="15"/>
  <c r="T142" i="15"/>
  <c r="T144" i="15"/>
  <c r="P166" i="15"/>
  <c r="O166" i="15"/>
  <c r="P179" i="15"/>
  <c r="O179" i="15"/>
  <c r="O38" i="15"/>
  <c r="S97" i="15"/>
  <c r="O97" i="15"/>
  <c r="R171" i="15"/>
  <c r="P171" i="15"/>
  <c r="O13" i="15"/>
  <c r="O33" i="15"/>
  <c r="P71" i="15"/>
  <c r="O95" i="15"/>
  <c r="P97" i="15"/>
  <c r="P134" i="15"/>
  <c r="T138" i="15"/>
  <c r="R141" i="15"/>
  <c r="P141" i="15"/>
  <c r="O149" i="15"/>
  <c r="T155" i="15"/>
  <c r="S166" i="15"/>
  <c r="O171" i="15"/>
  <c r="S179" i="15"/>
  <c r="T232" i="15"/>
  <c r="S232" i="15"/>
  <c r="R232" i="15"/>
  <c r="P232" i="15"/>
  <c r="O232" i="15"/>
  <c r="T245" i="15"/>
  <c r="S245" i="15"/>
  <c r="R245" i="15"/>
  <c r="P245" i="15"/>
  <c r="O245" i="15"/>
  <c r="O6" i="15"/>
  <c r="P6" i="15"/>
  <c r="P38" i="15"/>
  <c r="R50" i="15"/>
  <c r="T55" i="15"/>
  <c r="R55" i="15"/>
  <c r="O67" i="15"/>
  <c r="O87" i="15"/>
  <c r="O91" i="15"/>
  <c r="S93" i="15"/>
  <c r="P95" i="15"/>
  <c r="T101" i="15"/>
  <c r="S112" i="15"/>
  <c r="O123" i="15"/>
  <c r="R134" i="15"/>
  <c r="T139" i="15"/>
  <c r="R139" i="15"/>
  <c r="O141" i="15"/>
  <c r="T166" i="15"/>
  <c r="T169" i="15"/>
  <c r="S169" i="15"/>
  <c r="R169" i="15"/>
  <c r="S171" i="15"/>
  <c r="T179" i="15"/>
  <c r="O182" i="15"/>
  <c r="T182" i="15"/>
  <c r="S182" i="15"/>
  <c r="R182" i="15"/>
  <c r="T214" i="15"/>
  <c r="S214" i="15"/>
  <c r="P214" i="15"/>
  <c r="O214" i="15"/>
  <c r="S187" i="15"/>
  <c r="R217" i="15"/>
  <c r="S224" i="15"/>
  <c r="R235" i="15"/>
  <c r="P238" i="15"/>
  <c r="S241" i="15"/>
  <c r="R251" i="15"/>
  <c r="R176" i="15"/>
  <c r="T187" i="15"/>
  <c r="R189" i="15"/>
  <c r="S217" i="15"/>
  <c r="T224" i="15"/>
  <c r="R226" i="15"/>
  <c r="S235" i="15"/>
  <c r="T241" i="15"/>
  <c r="R243" i="15"/>
  <c r="S251" i="15"/>
  <c r="O168" i="15"/>
  <c r="O181" i="15"/>
  <c r="O216" i="15"/>
  <c r="T217" i="15"/>
  <c r="O234" i="15"/>
  <c r="T235" i="15"/>
  <c r="R238" i="15"/>
  <c r="P240" i="15"/>
  <c r="O247" i="15"/>
  <c r="T251" i="15"/>
  <c r="S238" i="15"/>
  <c r="O220" i="15"/>
  <c r="O237" i="15"/>
  <c r="P220" i="15"/>
  <c r="O227" i="15"/>
  <c r="P237" i="15"/>
  <c r="O185" i="15"/>
  <c r="O222" i="15"/>
  <c r="P227" i="15"/>
  <c r="O239" i="15"/>
  <c r="S247" i="15"/>
  <c r="P185" i="15"/>
  <c r="R220" i="15"/>
  <c r="P222" i="15"/>
  <c r="R237" i="15"/>
  <c r="P239" i="15"/>
  <c r="S220" i="15"/>
  <c r="S237" i="15"/>
  <c r="AY115" i="2" l="1"/>
  <c r="CC115" i="2" s="1"/>
  <c r="CE115" i="2" s="1"/>
  <c r="LY115" i="2" s="1"/>
  <c r="GQ370" i="2"/>
  <c r="HU370" i="2" s="1"/>
  <c r="HW370" i="2" s="1"/>
  <c r="LY370" i="2" s="1"/>
  <c r="MS370" i="2" s="1"/>
  <c r="GQ293" i="2"/>
  <c r="HU293" i="2" s="1"/>
  <c r="HW293" i="2" s="1"/>
  <c r="LY293" i="2" s="1"/>
  <c r="N274" i="2"/>
  <c r="N372" i="2"/>
  <c r="AR372" i="2" s="1"/>
  <c r="AT372" i="2" s="1"/>
  <c r="LY372" i="2" s="1"/>
  <c r="MS372" i="2" s="1"/>
  <c r="Q274" i="2"/>
  <c r="AY374" i="2"/>
  <c r="CC374" i="2" s="1"/>
  <c r="CE374" i="2" s="1"/>
  <c r="LY374" i="2" s="1"/>
  <c r="MS374" i="2" s="1"/>
  <c r="K339" i="15"/>
  <c r="T161" i="15"/>
  <c r="T128" i="15"/>
  <c r="P163" i="15"/>
  <c r="P57" i="15"/>
  <c r="S43" i="15"/>
  <c r="Q25" i="15"/>
  <c r="R43" i="15"/>
  <c r="R163" i="15"/>
  <c r="O163" i="15"/>
  <c r="S163" i="15"/>
  <c r="O57" i="15"/>
  <c r="O43" i="15"/>
  <c r="S161" i="15"/>
  <c r="T43" i="15"/>
  <c r="T163" i="15"/>
  <c r="R57" i="15"/>
  <c r="P43" i="15"/>
  <c r="T84" i="15"/>
  <c r="R84" i="15"/>
  <c r="N195" i="15"/>
  <c r="Q195" i="15" s="1"/>
  <c r="R128" i="15"/>
  <c r="P128" i="15"/>
  <c r="O84" i="15"/>
  <c r="P84" i="15"/>
  <c r="R161" i="15"/>
  <c r="O161" i="15"/>
  <c r="P161" i="15"/>
  <c r="O128" i="15"/>
  <c r="S128" i="15"/>
  <c r="S84" i="15"/>
  <c r="T57" i="15"/>
  <c r="S57" i="15"/>
  <c r="S162" i="15"/>
  <c r="R162" i="15"/>
  <c r="O162" i="15"/>
  <c r="T162" i="15"/>
  <c r="P162" i="15"/>
  <c r="N129" i="15"/>
  <c r="Q129" i="15" s="1"/>
  <c r="O24" i="15"/>
  <c r="T24" i="15"/>
  <c r="S24" i="15"/>
  <c r="R24" i="15"/>
  <c r="P24" i="15"/>
  <c r="AR274" i="2" l="1"/>
  <c r="AT274" i="2" s="1"/>
  <c r="LY274" i="2" s="1"/>
  <c r="P25" i="15"/>
  <c r="S25" i="15"/>
  <c r="T25" i="15"/>
  <c r="R25" i="15"/>
  <c r="O25" i="15"/>
  <c r="T195" i="15"/>
  <c r="R195" i="15"/>
  <c r="P195" i="15"/>
  <c r="O195" i="15"/>
  <c r="S195" i="15"/>
  <c r="T146" i="15"/>
  <c r="P146" i="15"/>
  <c r="O146" i="15"/>
  <c r="R146" i="15"/>
  <c r="S146" i="15"/>
  <c r="T129" i="15"/>
  <c r="P129" i="15"/>
  <c r="S129" i="15"/>
  <c r="R129" i="15"/>
  <c r="O129" i="15"/>
  <c r="GL4" i="2" l="1"/>
  <c r="JH4" i="2"/>
  <c r="LW4" i="2" l="1"/>
  <c r="G286" i="27" l="1"/>
  <c r="G19" i="27"/>
  <c r="G287" i="27"/>
  <c r="G207" i="27" l="1"/>
  <c r="HW4" i="2" l="1"/>
  <c r="KS4" i="2"/>
  <c r="AT4" i="2"/>
  <c r="AR4" i="2" s="1"/>
  <c r="CE4" i="2"/>
  <c r="LY4" i="2"/>
  <c r="DP4" i="2"/>
  <c r="FA4" i="2"/>
  <c r="F2" i="23" l="1"/>
  <c r="G2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Sijo</author>
    <author>Gokila R</author>
  </authors>
  <commentList>
    <comment ref="L113" authorId="0" shapeId="0" xr:uid="{37179C2B-B0FE-4342-847C-764E98879947}">
      <text>
        <r>
          <rPr>
            <b/>
            <sz val="9"/>
            <color indexed="81"/>
            <rFont val="Tahoma"/>
            <family val="2"/>
          </rPr>
          <t>2024.11.07-Changed to FLINSL from FLINT because new INK code as FLINTSL. Otherwise Vlookup won't pick the rates.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72" authorId="1" shapeId="0" xr:uid="{6C10DA8C-F1F5-4870-9F13-707247C915AE}">
      <text>
        <r>
          <rPr>
            <b/>
            <sz val="9"/>
            <color indexed="81"/>
            <rFont val="Tahoma"/>
            <family val="2"/>
          </rPr>
          <t>Gokila R:</t>
        </r>
        <r>
          <rPr>
            <sz val="9"/>
            <color indexed="81"/>
            <rFont val="Tahoma"/>
            <family val="2"/>
          </rPr>
          <t xml:space="preserve">
9647 NOT THERE ANYMORE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Gokila R</author>
  </authors>
  <commentList>
    <comment ref="CH6" authorId="0" shapeId="0" xr:uid="{FE914EF2-B720-4E53-8240-23817471E919}">
      <text>
        <r>
          <rPr>
            <b/>
            <sz val="9"/>
            <color indexed="81"/>
            <rFont val="Tahoma"/>
            <family val="2"/>
          </rPr>
          <t>Code as advised by Mr. Ketan</t>
        </r>
      </text>
    </comment>
    <comment ref="CL6" authorId="0" shapeId="0" xr:uid="{8FEAF302-E828-4ECC-9871-D6FBD56AD802}">
      <text>
        <r>
          <rPr>
            <b/>
            <sz val="9"/>
            <color indexed="81"/>
            <rFont val="Tahoma"/>
            <family val="2"/>
          </rPr>
          <t>Code as advised by Mr. Ketan</t>
        </r>
      </text>
    </comment>
  </commentList>
</comments>
</file>

<file path=xl/sharedStrings.xml><?xml version="1.0" encoding="utf-8"?>
<sst xmlns="http://schemas.openxmlformats.org/spreadsheetml/2006/main" count="18946" uniqueCount="5157">
  <si>
    <t>Station Number -1</t>
  </si>
  <si>
    <t>Station Number -2</t>
  </si>
  <si>
    <t>Station Number -3</t>
  </si>
  <si>
    <t>Station Number -4</t>
  </si>
  <si>
    <t>Station Number -5</t>
  </si>
  <si>
    <t>Station Number -6</t>
  </si>
  <si>
    <t>Station Number -7</t>
  </si>
  <si>
    <t>Station Number -8</t>
  </si>
  <si>
    <t>Solvent Details</t>
  </si>
  <si>
    <t>Dilute Ink Details</t>
  </si>
  <si>
    <t>Fresh Ink Details</t>
  </si>
  <si>
    <t>Ink Name &amp; Code</t>
  </si>
  <si>
    <t>Ink Qty in Kg</t>
  </si>
  <si>
    <t>Date</t>
  </si>
  <si>
    <t>Shift</t>
  </si>
  <si>
    <t>W.O #</t>
  </si>
  <si>
    <t>Job Name</t>
  </si>
  <si>
    <t>Job Qty</t>
  </si>
  <si>
    <t>Mtr</t>
  </si>
  <si>
    <t>Ink GSM</t>
  </si>
  <si>
    <t>Colour</t>
  </si>
  <si>
    <t>Last Wo#+Colour (A)</t>
  </si>
  <si>
    <t>Issued Qty -kg (A)</t>
  </si>
  <si>
    <t>Last Wo#+Colour (B)</t>
  </si>
  <si>
    <t>Issued Qty -kg (B)</t>
  </si>
  <si>
    <t>Ink-1 Code</t>
  </si>
  <si>
    <t>Ink-2 Code</t>
  </si>
  <si>
    <t>Ink-3 Code</t>
  </si>
  <si>
    <t>Ink-4 Code</t>
  </si>
  <si>
    <t>Ink-5 Code</t>
  </si>
  <si>
    <t>Ink-6 Code</t>
  </si>
  <si>
    <t>Ink-7 Code</t>
  </si>
  <si>
    <t>Ink-8 Code</t>
  </si>
  <si>
    <t>Ink-1 Qty</t>
  </si>
  <si>
    <t>Ink-2 Qty</t>
  </si>
  <si>
    <t>Ink-3 Qty</t>
  </si>
  <si>
    <t>Ink-4 Qty</t>
  </si>
  <si>
    <t>Ink-5 Qty</t>
  </si>
  <si>
    <t>Ink-6 Qty</t>
  </si>
  <si>
    <t>Ink-7 Qty</t>
  </si>
  <si>
    <t>Ink-8 Qty</t>
  </si>
  <si>
    <t>Supplier</t>
  </si>
  <si>
    <t>Return Qty</t>
  </si>
  <si>
    <t>Station1 allocated kg</t>
  </si>
  <si>
    <t>Station2 allocated kg</t>
  </si>
  <si>
    <t>Station3 allocated kg</t>
  </si>
  <si>
    <t>Station4 allocated kg</t>
  </si>
  <si>
    <t>Station5 allocated kg</t>
  </si>
  <si>
    <t>Station6 allocated kg</t>
  </si>
  <si>
    <t>Station7 allocated kg</t>
  </si>
  <si>
    <t>Station8 allocated kg</t>
  </si>
  <si>
    <t>Ethyl %</t>
  </si>
  <si>
    <t>Ethnol %</t>
  </si>
  <si>
    <t>Opening kg</t>
  </si>
  <si>
    <t>Issued</t>
  </si>
  <si>
    <t>Closing kg</t>
  </si>
  <si>
    <t>Black</t>
  </si>
  <si>
    <t>Sun</t>
  </si>
  <si>
    <t>Red</t>
  </si>
  <si>
    <t>Green</t>
  </si>
  <si>
    <t>Cyan</t>
  </si>
  <si>
    <t>0115</t>
  </si>
  <si>
    <t>Magenta</t>
  </si>
  <si>
    <t>Yellow</t>
  </si>
  <si>
    <t>White</t>
  </si>
  <si>
    <t>Gold</t>
  </si>
  <si>
    <t>Flint</t>
  </si>
  <si>
    <t>0165</t>
  </si>
  <si>
    <t>PR-2</t>
  </si>
  <si>
    <t>Sakata-Lamitop</t>
  </si>
  <si>
    <t>Pink</t>
  </si>
  <si>
    <t>Gray</t>
  </si>
  <si>
    <t>P020</t>
  </si>
  <si>
    <t>Orange</t>
  </si>
  <si>
    <t>Brown</t>
  </si>
  <si>
    <t>Buff</t>
  </si>
  <si>
    <t>Purple</t>
  </si>
  <si>
    <t>Sakata-Belle</t>
  </si>
  <si>
    <t>Silver</t>
  </si>
  <si>
    <t>Total</t>
  </si>
  <si>
    <t>Code</t>
  </si>
  <si>
    <t>Warm Red</t>
  </si>
  <si>
    <t>Mix Ink Colour</t>
  </si>
  <si>
    <t>Rate</t>
  </si>
  <si>
    <t>Ethyl Qty</t>
  </si>
  <si>
    <t>Ethnol Qty</t>
  </si>
  <si>
    <t>Total Value</t>
  </si>
  <si>
    <t xml:space="preserve">Rate per KG </t>
  </si>
  <si>
    <t>Total Station 1</t>
  </si>
  <si>
    <t>Qty Consumed</t>
  </si>
  <si>
    <t>Amount</t>
  </si>
  <si>
    <t>Solvent Amount</t>
  </si>
  <si>
    <t>Solvent Ave rate</t>
  </si>
  <si>
    <t>Total Station 2</t>
  </si>
  <si>
    <t>Total Station 3</t>
  </si>
  <si>
    <t>Total Station 4</t>
  </si>
  <si>
    <t>Total Station 5</t>
  </si>
  <si>
    <t>Total Station 6</t>
  </si>
  <si>
    <t>Total Station 7</t>
  </si>
  <si>
    <t>Total Station 8</t>
  </si>
  <si>
    <t>Reflex Blue</t>
  </si>
  <si>
    <t>Primer</t>
  </si>
  <si>
    <t>0176</t>
  </si>
  <si>
    <t>Gloss Varnish</t>
  </si>
  <si>
    <t>Ink Flint - Yellow</t>
  </si>
  <si>
    <t>Flint Ink - Blue/ Cyan Wc 9752JQ</t>
  </si>
  <si>
    <t>Medium</t>
  </si>
  <si>
    <t>Ink Flint -  RF Medium/Varnish WC97E08I</t>
  </si>
  <si>
    <t>Varnish</t>
  </si>
  <si>
    <t>Ethyl Acetate</t>
  </si>
  <si>
    <t>Ethanol</t>
  </si>
  <si>
    <t>Mixed Ink</t>
  </si>
  <si>
    <t>Ink Flint - White</t>
  </si>
  <si>
    <t>Fresh Ink</t>
  </si>
  <si>
    <t>Violet</t>
  </si>
  <si>
    <t>Ink Flint - RF Violet  WC9741JQ</t>
  </si>
  <si>
    <t>Ink Flint - RF Reflex Blue  WC 9753JQ</t>
  </si>
  <si>
    <t>Ink Flint - Water base primer WP 53003I</t>
  </si>
  <si>
    <t>Ink Flint - Pluri RF Bright Gold</t>
  </si>
  <si>
    <t>Ink Flint - Magenta WC9735JQ</t>
  </si>
  <si>
    <t>Adhesion Promotor</t>
  </si>
  <si>
    <t>Ink Flint - Adhesion Promoter</t>
  </si>
  <si>
    <t>Catalyst</t>
  </si>
  <si>
    <t>Flint Ink - Black WC 9795JF</t>
  </si>
  <si>
    <t>Gerenium</t>
  </si>
  <si>
    <t>Ink Sakata - Lamitop ARSR Orange 303</t>
  </si>
  <si>
    <t>Sakata</t>
  </si>
  <si>
    <t>Ink Sakata - GV Lamitop Silver</t>
  </si>
  <si>
    <t>Ink Sakata - Belle BR. RED 333-P020</t>
  </si>
  <si>
    <t>Ink Sakata - Belle ARSR Reflex Blue C</t>
  </si>
  <si>
    <t>Ink Sakata - Belle ARSR Blue/Cyan 800 Co</t>
  </si>
  <si>
    <t>Ink Sakata - Lamitop Non ARSR Br.Red 23333 C</t>
  </si>
  <si>
    <t>Ink Sakata - Belle Medium</t>
  </si>
  <si>
    <t>Ink Sakata - Lamitop Violet</t>
  </si>
  <si>
    <t>Ink Sakata - Belle Gerenium 350</t>
  </si>
  <si>
    <t>Ink Sakata - Lamitop Medium PR-2</t>
  </si>
  <si>
    <t>Ink Sakata - Belle ARSR Yellow 230 PR-1 HS</t>
  </si>
  <si>
    <t>Ink Sakata - Lamitop Magenta 350PR3</t>
  </si>
  <si>
    <t>Ink Sakata - BELLE ARSR White 115</t>
  </si>
  <si>
    <t>Ink Sakata - Lamitop ARSR Yellow 230 CO -I</t>
  </si>
  <si>
    <t>Ink Sakata - Belle ARSR Orange P021C</t>
  </si>
  <si>
    <t>PR-2B</t>
  </si>
  <si>
    <t>Ink Sakata - Lamitop ARSR White PR-2B 110</t>
  </si>
  <si>
    <t>Ink Sakata - Belle ARSR Black 1000 PR-1</t>
  </si>
  <si>
    <t>Ink Sakata - Lamitop ARSR Tr. Yellow 260 CO -I</t>
  </si>
  <si>
    <t>Ink Sakata - Lamitop ARSR Reflex Blue</t>
  </si>
  <si>
    <t>Ink Sakata - Lamitop ARSR Blue/Cyan 800 CO</t>
  </si>
  <si>
    <t>Ink Sakata - Lamitop Arsr Black 1000 Co-1</t>
  </si>
  <si>
    <t>Ink Sakata - Belle Hardner</t>
  </si>
  <si>
    <t>Sakata-Lamitop - Purple</t>
  </si>
  <si>
    <t>Sakata-Lamitop - Gray</t>
  </si>
  <si>
    <t>Sakata-Lamitop - Brown</t>
  </si>
  <si>
    <t>PR-1</t>
  </si>
  <si>
    <t>Ink Sun - Yellow 3915</t>
  </si>
  <si>
    <t>Ink Sun - White 2430</t>
  </si>
  <si>
    <t>Ink Sun - Warm Red 3920</t>
  </si>
  <si>
    <t>Ink Sun - Violet 3921</t>
  </si>
  <si>
    <t>Sun - Brown</t>
  </si>
  <si>
    <t>Sun - Buff</t>
  </si>
  <si>
    <t>Slip Varnish</t>
  </si>
  <si>
    <t>Ink Sun - Slip Varnish 1032</t>
  </si>
  <si>
    <t>Ink Sun - Silver 2480</t>
  </si>
  <si>
    <t>Ink Sun - Roto Metal Gloss Varnish 3353</t>
  </si>
  <si>
    <t>Ink Sun - Reflex Blue 3922</t>
  </si>
  <si>
    <t>Ink Sun - Orange 3919</t>
  </si>
  <si>
    <t>Ink Sun - Metal Side Primer 0176</t>
  </si>
  <si>
    <t>Ink Sun - Magenta  3916</t>
  </si>
  <si>
    <t>Extender Varnish</t>
  </si>
  <si>
    <t>Ink Sun - Extender Varnish 0115</t>
  </si>
  <si>
    <t>Ink Sun - Cyan 3917</t>
  </si>
  <si>
    <t>Ink Sun - Catalyst 165</t>
  </si>
  <si>
    <t>Ink Sun - Black 2537</t>
  </si>
  <si>
    <t>Rate (Ethyl70% Etanol30%)</t>
  </si>
  <si>
    <t>Fresh Ink Rate</t>
  </si>
  <si>
    <t>Common</t>
  </si>
  <si>
    <t>Material group</t>
  </si>
  <si>
    <t>Material Items</t>
  </si>
  <si>
    <t>Mix Ink Rate</t>
  </si>
  <si>
    <t>Fresh Ink Detail</t>
  </si>
  <si>
    <t>Ink Flint - Green</t>
  </si>
  <si>
    <t>Al Basti</t>
  </si>
  <si>
    <t>Ink Sakata - Lamitop Arsr Gold</t>
  </si>
  <si>
    <t>Value</t>
  </si>
  <si>
    <t>%age</t>
  </si>
  <si>
    <t>Water base primer</t>
  </si>
  <si>
    <t>Flint - Water base primer</t>
  </si>
  <si>
    <t>Ink Sakata - Brown</t>
  </si>
  <si>
    <t>Sakata Belle BROWN colour composition</t>
  </si>
  <si>
    <t>Sun - Extender Varnish</t>
  </si>
  <si>
    <t>-</t>
  </si>
  <si>
    <t>Percentage</t>
  </si>
  <si>
    <t>Last Wo# + Colour (A)</t>
  </si>
  <si>
    <t>Last Wo# + Colour (B)</t>
  </si>
  <si>
    <t>SOLVENT VALUATION DETAILS</t>
  </si>
  <si>
    <t>Mix
ink consumed</t>
  </si>
  <si>
    <t>Colour 8</t>
  </si>
  <si>
    <t>Colour 7</t>
  </si>
  <si>
    <t>Colour 6</t>
  </si>
  <si>
    <t>Colour 5</t>
  </si>
  <si>
    <t>Colour 4</t>
  </si>
  <si>
    <t>Colour 3</t>
  </si>
  <si>
    <t>Colour 2</t>
  </si>
  <si>
    <t>Colour 1</t>
  </si>
  <si>
    <t>Work Order Details</t>
  </si>
  <si>
    <t>Return Ink 1 Details</t>
  </si>
  <si>
    <t>Dilute Ink 2 Details</t>
  </si>
  <si>
    <t>Return Ink 2 Details</t>
  </si>
  <si>
    <t>Dilute Ink 3 Details</t>
  </si>
  <si>
    <t>Return Ink 3 Details</t>
  </si>
  <si>
    <t>Dilute Ink 4 Details</t>
  </si>
  <si>
    <t>Return Ink 4 Details</t>
  </si>
  <si>
    <t>Return Ink 6 Details</t>
  </si>
  <si>
    <t>Dilute Ink 7 Details</t>
  </si>
  <si>
    <t>Return Ink 7 Details</t>
  </si>
  <si>
    <t>Dilute Ink 8 Details</t>
  </si>
  <si>
    <t>Return Ink 8 Details</t>
  </si>
  <si>
    <t>Return Ink 5 Details</t>
  </si>
  <si>
    <t>Ink Sakata - Lamitop Buff</t>
  </si>
  <si>
    <t>Sakata-Lamitop - Buff</t>
  </si>
  <si>
    <t>Rate (Ethyl100%)</t>
  </si>
  <si>
    <t>Rate (Ethyl 40%, MIBK 20%, Tolune 40%)</t>
  </si>
  <si>
    <t>WO</t>
  </si>
  <si>
    <t>x</t>
  </si>
  <si>
    <t>Solvent (Roto tank)</t>
  </si>
  <si>
    <t>Solvent (Calculation)</t>
  </si>
  <si>
    <t>PM % (Lami) / IPA (belle)</t>
  </si>
  <si>
    <t>MIBK% (Lami)/ NPAC (belle)</t>
  </si>
  <si>
    <t>SOLVENT</t>
  </si>
  <si>
    <t>Rate (Ethyl60% Etanol40%)</t>
  </si>
  <si>
    <t>Sun - Black</t>
  </si>
  <si>
    <t>Sun - Catalyst</t>
  </si>
  <si>
    <t>Sun - Cyan</t>
  </si>
  <si>
    <t>Sun - Magenta</t>
  </si>
  <si>
    <t>Sun - Primer</t>
  </si>
  <si>
    <t>Sun - Orange</t>
  </si>
  <si>
    <t>Sun - Reflex Blue</t>
  </si>
  <si>
    <t>Sun - Gloss Varnish</t>
  </si>
  <si>
    <t>Sun - Silver</t>
  </si>
  <si>
    <t>Sun - Slip Varnish</t>
  </si>
  <si>
    <t>Sun - Violet</t>
  </si>
  <si>
    <t>Sun - Red</t>
  </si>
  <si>
    <t>Sun - White</t>
  </si>
  <si>
    <t>Sun - Green</t>
  </si>
  <si>
    <t>Sakata-Lamitop - Black</t>
  </si>
  <si>
    <t>Sakata-Lamitop - Cyan</t>
  </si>
  <si>
    <t>Sakata-Lamitop - Reflex Blue</t>
  </si>
  <si>
    <t>Sakata-Lamitop - Yellow</t>
  </si>
  <si>
    <t>Sakata-Lamitop - White</t>
  </si>
  <si>
    <t>Sakata-Lamitop - Magenta</t>
  </si>
  <si>
    <t>Sakata-Lamitop - Gold</t>
  </si>
  <si>
    <t>Sakata-Lamitop - Green</t>
  </si>
  <si>
    <t>Sakata-Lamitop - Medium</t>
  </si>
  <si>
    <t>Sakata-Lamitop - Violet</t>
  </si>
  <si>
    <t>Sakata-Lamitop - Silver</t>
  </si>
  <si>
    <t>Sakata-Lamitop - Orange</t>
  </si>
  <si>
    <t>Sakata-Lamitop - Gerenium</t>
  </si>
  <si>
    <t>Sakata-Belle - Black</t>
  </si>
  <si>
    <t>Sakata-Belle - Orange</t>
  </si>
  <si>
    <t>Sakata-Belle - White</t>
  </si>
  <si>
    <t>Sakata-Belle - Yellow</t>
  </si>
  <si>
    <t>Sakata-Belle - Green</t>
  </si>
  <si>
    <t>Sakata-Lamitop - Red</t>
  </si>
  <si>
    <t>Sakata-Belle - Reflex Blue</t>
  </si>
  <si>
    <t>Sakata-Belle - Red</t>
  </si>
  <si>
    <t>Flint - Black</t>
  </si>
  <si>
    <t>Flint - Adhesion Promotor</t>
  </si>
  <si>
    <t>Flint - Magenta</t>
  </si>
  <si>
    <t>Flint - Gold</t>
  </si>
  <si>
    <t>Flint - Reflex Blue</t>
  </si>
  <si>
    <t>Flint - Green</t>
  </si>
  <si>
    <t>Flint - Violet</t>
  </si>
  <si>
    <t>Flint - White</t>
  </si>
  <si>
    <t>Flint - Yellow</t>
  </si>
  <si>
    <t>Flint - Brown</t>
  </si>
  <si>
    <t>Sakata-Belle - Brown</t>
  </si>
  <si>
    <t>Ink Product</t>
  </si>
  <si>
    <t>Ink Product - Gold</t>
  </si>
  <si>
    <t>NCE-White colour composition</t>
  </si>
  <si>
    <t>NCE-Yellow colour composition</t>
  </si>
  <si>
    <t>Ink Sun - Catalyst 0165</t>
  </si>
  <si>
    <t>Solvent (70%, 30%)</t>
  </si>
  <si>
    <t>Ink Sakata - Belle Green</t>
  </si>
  <si>
    <t>Ink Sakata - Lamitop Gold</t>
  </si>
  <si>
    <t>Ink Sakata - Lamitop Green</t>
  </si>
  <si>
    <t>Ink Sakata - Lamitop Gray</t>
  </si>
  <si>
    <t>Ink Sakata - Lamitop Brown</t>
  </si>
  <si>
    <t>Ink Sakata - Lamitop Purple</t>
  </si>
  <si>
    <t>Y/N</t>
  </si>
  <si>
    <t>NCE solvent</t>
  </si>
  <si>
    <t>NCE</t>
  </si>
  <si>
    <t>Ink Sakata - Lamitop Gerenium 355</t>
  </si>
  <si>
    <t>Net Solvent consumed</t>
  </si>
  <si>
    <t>Ink Flint - Buff</t>
  </si>
  <si>
    <t>Flint - Buff</t>
  </si>
  <si>
    <t>Fresh
ink issued &amp; mixed (excl. returns)</t>
  </si>
  <si>
    <t>Sakata-Belle - Cyan</t>
  </si>
  <si>
    <t>Flint - Cyan</t>
  </si>
  <si>
    <t>Sun - Yellow</t>
  </si>
  <si>
    <t>Logsheet #</t>
  </si>
  <si>
    <t>Fresh Ink Issued</t>
  </si>
  <si>
    <t>Ink Sakata - Red</t>
  </si>
  <si>
    <t>IP - Yellow</t>
  </si>
  <si>
    <t>Ink Product - Cyan</t>
  </si>
  <si>
    <t>Ink Product - Magenta</t>
  </si>
  <si>
    <t>Ink Product - Yellow</t>
  </si>
  <si>
    <t>Ink Product - White</t>
  </si>
  <si>
    <t>Ink Sun - Green</t>
  </si>
  <si>
    <t>Ink Product - Medium</t>
  </si>
  <si>
    <t>ROTO</t>
  </si>
  <si>
    <t>M/c</t>
  </si>
  <si>
    <t>Ink Sakata - Gold</t>
  </si>
  <si>
    <t>Sakata-Belle - Gold</t>
  </si>
  <si>
    <t>Ink Sakata - Silver</t>
  </si>
  <si>
    <t>Sakata-Belle - Silver</t>
  </si>
  <si>
    <t>Ink Sakata - Belle violet 510</t>
  </si>
  <si>
    <t>Sakata-Belle - Violet</t>
  </si>
  <si>
    <t>Hardner</t>
  </si>
  <si>
    <t>Ink Product - OPV</t>
  </si>
  <si>
    <t>OPV</t>
  </si>
  <si>
    <t>check</t>
  </si>
  <si>
    <t>Ink Sun - Water Base Primer 014</t>
  </si>
  <si>
    <t>Sun - Water Base Primer</t>
  </si>
  <si>
    <t>Ink Sakata - Lamitop BOPP Additive</t>
  </si>
  <si>
    <t>Additive</t>
  </si>
  <si>
    <t>Sakata-Lamitop - Additive</t>
  </si>
  <si>
    <t>1019-H</t>
  </si>
  <si>
    <t>1019-N</t>
  </si>
  <si>
    <t>Ink Sakata-XGS-1019 High Matt Medium NT PR-1</t>
  </si>
  <si>
    <t>Ink Sakata-XGS Matt OPV Lacquer 1019</t>
  </si>
  <si>
    <t>SUN Purple colour composition</t>
  </si>
  <si>
    <t>Ink Sun - Cyan</t>
  </si>
  <si>
    <t>Ink Sun - Reflex blue</t>
  </si>
  <si>
    <t>Ink Sun - Black</t>
  </si>
  <si>
    <t>Ink Sun - Magenta</t>
  </si>
  <si>
    <t>Ink Sun - Extender Varnish</t>
  </si>
  <si>
    <t>Toyo</t>
  </si>
  <si>
    <t>Toyo - Black</t>
  </si>
  <si>
    <t>Toyo - Cyan</t>
  </si>
  <si>
    <t>Toyo - Red</t>
  </si>
  <si>
    <t>Toyo - Reflex Blue</t>
  </si>
  <si>
    <t>Toyo - White</t>
  </si>
  <si>
    <t>Toyo - Yellow</t>
  </si>
  <si>
    <t>Toyo - Orange</t>
  </si>
  <si>
    <t>MULTISTAR 22 YELLOW E-1 20K</t>
  </si>
  <si>
    <t>TOYO</t>
  </si>
  <si>
    <t>Geranium 121</t>
  </si>
  <si>
    <t>Yellow 22</t>
  </si>
  <si>
    <t>Toyo - Medium</t>
  </si>
  <si>
    <t>Toyo - Green</t>
  </si>
  <si>
    <t>Toyo Black</t>
  </si>
  <si>
    <t>Toyo White</t>
  </si>
  <si>
    <t>Toyo Medium</t>
  </si>
  <si>
    <t>Toyo Red</t>
  </si>
  <si>
    <t>Toyo Orange</t>
  </si>
  <si>
    <t>Toyo Green</t>
  </si>
  <si>
    <t>Toyo Geranium 121</t>
  </si>
  <si>
    <t>Toyo Yellow 22</t>
  </si>
  <si>
    <t>Toyo Reflex Blue 20 ARSR</t>
  </si>
  <si>
    <t>Toyo Blue 39</t>
  </si>
  <si>
    <t>NET CONSUMPTION</t>
  </si>
  <si>
    <r>
      <t xml:space="preserve">Solvent issued </t>
    </r>
    <r>
      <rPr>
        <b/>
        <sz val="12"/>
        <color theme="1"/>
        <rFont val="Calibri"/>
        <family val="2"/>
        <scheme val="minor"/>
      </rPr>
      <t>(ROTO)</t>
    </r>
  </si>
  <si>
    <t>Sakata INX</t>
  </si>
  <si>
    <t>Al Basti - White</t>
  </si>
  <si>
    <t>HUBER</t>
  </si>
  <si>
    <t>HUBER - Black</t>
  </si>
  <si>
    <t>HUBER - Medium</t>
  </si>
  <si>
    <t>HUBER - Cyan</t>
  </si>
  <si>
    <t>HUBER - Magenta</t>
  </si>
  <si>
    <t>HUBER - Yellow</t>
  </si>
  <si>
    <t>HUBER - White</t>
  </si>
  <si>
    <t>HUBER - Red</t>
  </si>
  <si>
    <t>Extender</t>
  </si>
  <si>
    <t>Al Basti - Extender</t>
  </si>
  <si>
    <t>Ink Product - Silver</t>
  </si>
  <si>
    <t>SAKATA INX - White</t>
  </si>
  <si>
    <t>XGL '0315 MEDIUM</t>
  </si>
  <si>
    <t>XGL '0315 ARSR WHITE 110</t>
  </si>
  <si>
    <t>SAKATA INX - Medium</t>
  </si>
  <si>
    <t>Ink Product - Green</t>
  </si>
  <si>
    <t>HUBER - Violet</t>
  </si>
  <si>
    <t>HUBER - Orange</t>
  </si>
  <si>
    <t>Al Basti - Black</t>
  </si>
  <si>
    <t>Al Basti - Adhesion Promoter</t>
  </si>
  <si>
    <t>Al Basti - Cyan</t>
  </si>
  <si>
    <t>HUBER - Buff</t>
  </si>
  <si>
    <t>HUBER - Reflex Blue</t>
  </si>
  <si>
    <t>Al Basti - Yellow</t>
  </si>
  <si>
    <t>Al Basti - Yellow (126457)</t>
  </si>
  <si>
    <t>Al Basti - Cyan (126459)</t>
  </si>
  <si>
    <t>Al Basti - Adhesion Promoter (9000 5381)</t>
  </si>
  <si>
    <t>Al Basti - Extender (132916)</t>
  </si>
  <si>
    <t>Al Basti - White (134139)</t>
  </si>
  <si>
    <t>Al Basti - Black (126509)</t>
  </si>
  <si>
    <t>Al Basti - Red</t>
  </si>
  <si>
    <t>Al Basti - Warm Red (134184)</t>
  </si>
  <si>
    <t>Al Basti - Warm Red</t>
  </si>
  <si>
    <t>Ink Flint -  RF Medium/ Extender WC97E08I</t>
  </si>
  <si>
    <t>Ink Flint - Solvent base primer WP 53003I</t>
  </si>
  <si>
    <t>Huber Buff colour composition</t>
  </si>
  <si>
    <t>Solvent base primer</t>
  </si>
  <si>
    <t>Flint - Solvent base primer</t>
  </si>
  <si>
    <t>PINK colour composition ( ABM/INK.P)</t>
  </si>
  <si>
    <t>Ink Product - Pink</t>
  </si>
  <si>
    <t>Al Basti - Pink</t>
  </si>
  <si>
    <t>Sakata - Matt Laquer-H</t>
  </si>
  <si>
    <t>Ink Product - Gold STD</t>
  </si>
  <si>
    <t>Ink Product - Gold NOBO</t>
  </si>
  <si>
    <t>Ink Product - Gold-NB</t>
  </si>
  <si>
    <t>HUBER BROWN colour composition</t>
  </si>
  <si>
    <t>HUBER - Brown</t>
  </si>
  <si>
    <t>Al Basti - Green</t>
  </si>
  <si>
    <t>Al Basti - Magenta</t>
  </si>
  <si>
    <t>Al Basti - Orange</t>
  </si>
  <si>
    <t>Al Basti - Reflex Blue</t>
  </si>
  <si>
    <t>Al Basti - Violet</t>
  </si>
  <si>
    <t>Ink Product - Magenta-LF</t>
  </si>
  <si>
    <t>Ink Product - Magenta LF</t>
  </si>
  <si>
    <t>Ink Product - Yellow LF</t>
  </si>
  <si>
    <t>Ink Product - Yellow-LF</t>
  </si>
  <si>
    <t>MULTISTAR 17 GERANIUM E-1 20K</t>
  </si>
  <si>
    <t>Non-ARSR</t>
  </si>
  <si>
    <t>Toyo Yellow 23T</t>
  </si>
  <si>
    <t>Ink Sakata - Belle ARSR Yellow 260</t>
  </si>
  <si>
    <t>Yellow 230</t>
  </si>
  <si>
    <t>Yellow 260</t>
  </si>
  <si>
    <t>Sakata-Belle - Yellow 260</t>
  </si>
  <si>
    <t>Ink Sakata - Belle Gerenium 355</t>
  </si>
  <si>
    <t>Ink Sakata - Lamitop Arsr Black 231000 Co-1</t>
  </si>
  <si>
    <t>Black 231000</t>
  </si>
  <si>
    <t>Sakata-Lamitop - Black 231000</t>
  </si>
  <si>
    <t>Ink Sakata - Lamitop Violet 520</t>
  </si>
  <si>
    <t>Violet 520</t>
  </si>
  <si>
    <t>Sakata-Lamitop - Violet 520</t>
  </si>
  <si>
    <t>Ink Sakata - Lamitop Non ARSR Reflex Blue</t>
  </si>
  <si>
    <t>Sakata Lamitop-Reflex Blue Non ARSR</t>
  </si>
  <si>
    <t>Reflex Blue Non ARSR</t>
  </si>
  <si>
    <t>Toyo Violet</t>
  </si>
  <si>
    <t>MULTISTAR REFLEX BLUE 20K (Non ARSR)</t>
  </si>
  <si>
    <t>Toyo Reflex Blue 20 Non ARSR</t>
  </si>
  <si>
    <t>Reflex Blue ARSR</t>
  </si>
  <si>
    <t>Reflex Blue 20 Non ARSR</t>
  </si>
  <si>
    <t>Toyo - Reflex Blue NARSR</t>
  </si>
  <si>
    <t>Toyo Additive</t>
  </si>
  <si>
    <t>SBB</t>
  </si>
  <si>
    <t>SBO</t>
  </si>
  <si>
    <t>SBW</t>
  </si>
  <si>
    <t>SBH</t>
  </si>
  <si>
    <t>SBMM</t>
  </si>
  <si>
    <t>SBRB</t>
  </si>
  <si>
    <t>SBR</t>
  </si>
  <si>
    <t>SBGN</t>
  </si>
  <si>
    <t>SBV</t>
  </si>
  <si>
    <t>SBGD</t>
  </si>
  <si>
    <t>SBS</t>
  </si>
  <si>
    <t>SBY230</t>
  </si>
  <si>
    <t>SBY260</t>
  </si>
  <si>
    <t>SBMA350</t>
  </si>
  <si>
    <t>SBMA355</t>
  </si>
  <si>
    <t>SLGD</t>
  </si>
  <si>
    <t>SLC</t>
  </si>
  <si>
    <t>SLY260</t>
  </si>
  <si>
    <t>SLY230</t>
  </si>
  <si>
    <t>SLW</t>
  </si>
  <si>
    <t>SLMA350</t>
  </si>
  <si>
    <t>SLMA355</t>
  </si>
  <si>
    <t>SLMM</t>
  </si>
  <si>
    <t>SLR</t>
  </si>
  <si>
    <t>SLV</t>
  </si>
  <si>
    <t>SLS</t>
  </si>
  <si>
    <t>SLO</t>
  </si>
  <si>
    <t>SLA</t>
  </si>
  <si>
    <t>SLB1000</t>
  </si>
  <si>
    <t>SLB231000</t>
  </si>
  <si>
    <t>SLRBARSR</t>
  </si>
  <si>
    <t>SLRBNARSR</t>
  </si>
  <si>
    <t>SLV520</t>
  </si>
  <si>
    <t>FB</t>
  </si>
  <si>
    <t>FC</t>
  </si>
  <si>
    <t>FMM</t>
  </si>
  <si>
    <t>FGN</t>
  </si>
  <si>
    <t>FMA</t>
  </si>
  <si>
    <t>FGD</t>
  </si>
  <si>
    <t>FRB</t>
  </si>
  <si>
    <t>FV</t>
  </si>
  <si>
    <t>FW</t>
  </si>
  <si>
    <t>FY</t>
  </si>
  <si>
    <t>FWBP</t>
  </si>
  <si>
    <t>FSBP</t>
  </si>
  <si>
    <t>FAP</t>
  </si>
  <si>
    <t>ABB</t>
  </si>
  <si>
    <t>ABW</t>
  </si>
  <si>
    <t>ABE</t>
  </si>
  <si>
    <t>ABRB</t>
  </si>
  <si>
    <t>ABAP</t>
  </si>
  <si>
    <t>ABC</t>
  </si>
  <si>
    <t>ABY</t>
  </si>
  <si>
    <t>ABMA</t>
  </si>
  <si>
    <t>ABR</t>
  </si>
  <si>
    <t>ABO</t>
  </si>
  <si>
    <t>ABV</t>
  </si>
  <si>
    <t>ABGN</t>
  </si>
  <si>
    <t>HB</t>
  </si>
  <si>
    <t>HMM</t>
  </si>
  <si>
    <t>HC</t>
  </si>
  <si>
    <t>HMA</t>
  </si>
  <si>
    <t>HY</t>
  </si>
  <si>
    <t>HW</t>
  </si>
  <si>
    <t>HR</t>
  </si>
  <si>
    <t>HV</t>
  </si>
  <si>
    <t>HRB</t>
  </si>
  <si>
    <t>HO</t>
  </si>
  <si>
    <t>IPGDS</t>
  </si>
  <si>
    <t>IPGDN</t>
  </si>
  <si>
    <t>IPS</t>
  </si>
  <si>
    <t>IPC</t>
  </si>
  <si>
    <t>IPMA</t>
  </si>
  <si>
    <t>IPMALF</t>
  </si>
  <si>
    <t>IPY</t>
  </si>
  <si>
    <t>IPYLF</t>
  </si>
  <si>
    <t>IPW</t>
  </si>
  <si>
    <t>IPMM</t>
  </si>
  <si>
    <t>IPOPV</t>
  </si>
  <si>
    <t>IPGN</t>
  </si>
  <si>
    <t>XGS1019H</t>
  </si>
  <si>
    <t>XGS1019N</t>
  </si>
  <si>
    <t>XGS1510</t>
  </si>
  <si>
    <t>SIW</t>
  </si>
  <si>
    <t>SIMM</t>
  </si>
  <si>
    <t>TMA121</t>
  </si>
  <si>
    <t>TMA17</t>
  </si>
  <si>
    <t>TY22</t>
  </si>
  <si>
    <t>TY23</t>
  </si>
  <si>
    <t>TC</t>
  </si>
  <si>
    <t>TB</t>
  </si>
  <si>
    <t>TW</t>
  </si>
  <si>
    <t>TMM</t>
  </si>
  <si>
    <t>TR</t>
  </si>
  <si>
    <t>TO</t>
  </si>
  <si>
    <t>TGN</t>
  </si>
  <si>
    <t>TRBARSR</t>
  </si>
  <si>
    <t>TRBNARSR</t>
  </si>
  <si>
    <t>TV</t>
  </si>
  <si>
    <t>TA</t>
  </si>
  <si>
    <t>BLACK</t>
  </si>
  <si>
    <t>MAGENTA</t>
  </si>
  <si>
    <t>YELLOW</t>
  </si>
  <si>
    <t>REFLEX BLUE</t>
  </si>
  <si>
    <t>GREEN</t>
  </si>
  <si>
    <t>GOLD</t>
  </si>
  <si>
    <t>MAGENTA 9647A</t>
  </si>
  <si>
    <t>Toyo - Magenta</t>
  </si>
  <si>
    <t>XGL 0315 ARSR GERANIUM 23350</t>
  </si>
  <si>
    <t>SIMA</t>
  </si>
  <si>
    <t>SAKATA INX - Magenta</t>
  </si>
  <si>
    <t>Geranium 17</t>
  </si>
  <si>
    <t>Toyo Geranium 17</t>
  </si>
  <si>
    <t>Toyo - Magenta17</t>
  </si>
  <si>
    <t>FLINT BROWN colour composition</t>
  </si>
  <si>
    <t>Ink Flint - Brown</t>
  </si>
  <si>
    <t>IPB</t>
  </si>
  <si>
    <t>Ink Product - Black</t>
  </si>
  <si>
    <t>XGL 0315 ARSR BLACK 231000</t>
  </si>
  <si>
    <t>SIB</t>
  </si>
  <si>
    <t>SAKATA INX - Black</t>
  </si>
  <si>
    <t>Sakata - Matt Laquer-N</t>
  </si>
  <si>
    <t>Toyo - Violet</t>
  </si>
  <si>
    <t>Toyo - Additive</t>
  </si>
  <si>
    <t>FR</t>
  </si>
  <si>
    <t>Ink Flint - Rhodamine Red WC97-42JI</t>
  </si>
  <si>
    <t>R.RED</t>
  </si>
  <si>
    <t>Flint - Red</t>
  </si>
  <si>
    <t>Rate (Ethyl80% Etanol20%)</t>
  </si>
  <si>
    <t>IPA</t>
  </si>
  <si>
    <t>NPA</t>
  </si>
  <si>
    <t>IPA Qty</t>
  </si>
  <si>
    <t>NPA Qty</t>
  </si>
  <si>
    <t>0009</t>
  </si>
  <si>
    <t>014</t>
  </si>
  <si>
    <t>SCA</t>
  </si>
  <si>
    <t>SC</t>
  </si>
  <si>
    <t>SMM</t>
  </si>
  <si>
    <t>SMA</t>
  </si>
  <si>
    <t>SWB</t>
  </si>
  <si>
    <t>WMSP</t>
  </si>
  <si>
    <t>SO</t>
  </si>
  <si>
    <t>SRB</t>
  </si>
  <si>
    <t>SGV</t>
  </si>
  <si>
    <t>SS</t>
  </si>
  <si>
    <t>SSV</t>
  </si>
  <si>
    <t>SV</t>
  </si>
  <si>
    <t>SR</t>
  </si>
  <si>
    <t>SW</t>
  </si>
  <si>
    <t>SY</t>
  </si>
  <si>
    <t>SG</t>
  </si>
  <si>
    <t>SB</t>
  </si>
  <si>
    <t>Sun BROWN colour composition</t>
  </si>
  <si>
    <t>SUN - Buff colour composition</t>
  </si>
  <si>
    <t>SUN - Extender</t>
  </si>
  <si>
    <t>SUN - Yellow</t>
  </si>
  <si>
    <t>SUN - Cyan</t>
  </si>
  <si>
    <t>SUN - Black</t>
  </si>
  <si>
    <t>SUN - Red</t>
  </si>
  <si>
    <t>HI-TECH INK</t>
  </si>
  <si>
    <t>HIGH MATT OPV - 9HTV12066</t>
  </si>
  <si>
    <t>HTMATT</t>
  </si>
  <si>
    <t>MATT</t>
  </si>
  <si>
    <r>
      <rPr>
        <b/>
        <sz val="16"/>
        <color theme="1"/>
        <rFont val="Calibri"/>
        <family val="2"/>
        <scheme val="minor"/>
      </rPr>
      <t>Solvent</t>
    </r>
    <r>
      <rPr>
        <b/>
        <sz val="12"/>
        <color theme="1"/>
        <rFont val="Calibri"/>
        <family val="2"/>
        <scheme val="minor"/>
      </rPr>
      <t xml:space="preserve"> - Station-wise Qty (Kgs)</t>
    </r>
  </si>
  <si>
    <t>SBY235</t>
  </si>
  <si>
    <t>Ink Sakata - Belle ARSR Yellow 235</t>
  </si>
  <si>
    <t>Yellow 235</t>
  </si>
  <si>
    <t>Sakata-Belle - Yellow 235</t>
  </si>
  <si>
    <t>SBMA365</t>
  </si>
  <si>
    <t>SBMA435</t>
  </si>
  <si>
    <t>Polyprint</t>
  </si>
  <si>
    <t>0393</t>
  </si>
  <si>
    <t>0147</t>
  </si>
  <si>
    <t>PPW</t>
  </si>
  <si>
    <t>PPMM</t>
  </si>
  <si>
    <t>PPY</t>
  </si>
  <si>
    <t>PPMA</t>
  </si>
  <si>
    <t>PPRB</t>
  </si>
  <si>
    <t>PPC</t>
  </si>
  <si>
    <t>PPO</t>
  </si>
  <si>
    <t>PPR</t>
  </si>
  <si>
    <t>PPV</t>
  </si>
  <si>
    <t>Polyprint - White</t>
  </si>
  <si>
    <t>Polyprint - Medium</t>
  </si>
  <si>
    <t>Polyprint - Yellow</t>
  </si>
  <si>
    <t>Polyprint - Magenta</t>
  </si>
  <si>
    <t>Polyprint - Reflex Blue</t>
  </si>
  <si>
    <t>Polyprint - Cyan</t>
  </si>
  <si>
    <t>Polyprint - Orange</t>
  </si>
  <si>
    <t>Polyprint - Red</t>
  </si>
  <si>
    <t>Polyprint - Violet</t>
  </si>
  <si>
    <t>Polyprint - White 2641</t>
  </si>
  <si>
    <t>Polyprint - Medium 2609</t>
  </si>
  <si>
    <t>Polyprint - Yellow 0393</t>
  </si>
  <si>
    <t>Polyprint - Magenta 2569</t>
  </si>
  <si>
    <t>Polyprint - Reflex Blue 1122</t>
  </si>
  <si>
    <t>Polyprint - Cyan 2571</t>
  </si>
  <si>
    <t>Polyprint - Orange 0147</t>
  </si>
  <si>
    <t>Polyprint - Warm Red 0115</t>
  </si>
  <si>
    <t>Polyprint - Violet 1123</t>
  </si>
  <si>
    <t>PPB</t>
  </si>
  <si>
    <t>Polyprint - Black</t>
  </si>
  <si>
    <t>PPCA</t>
  </si>
  <si>
    <t>Polyprint - Catalyst</t>
  </si>
  <si>
    <t>Solimax</t>
  </si>
  <si>
    <t>SMW</t>
  </si>
  <si>
    <t>SMY</t>
  </si>
  <si>
    <t>SMMA</t>
  </si>
  <si>
    <t>SMC</t>
  </si>
  <si>
    <t>SMB</t>
  </si>
  <si>
    <t>SMO</t>
  </si>
  <si>
    <t>SMR</t>
  </si>
  <si>
    <t>SMV</t>
  </si>
  <si>
    <t>SMRB</t>
  </si>
  <si>
    <t>SMG</t>
  </si>
  <si>
    <t>SMMM</t>
  </si>
  <si>
    <t>SMCA</t>
  </si>
  <si>
    <t>Solimax - Cyan</t>
  </si>
  <si>
    <t>Solimax - White</t>
  </si>
  <si>
    <t>Solimax - Yellow</t>
  </si>
  <si>
    <t>Solimax - Magenta</t>
  </si>
  <si>
    <t>Solimax - Black</t>
  </si>
  <si>
    <t>Solimax - Orange</t>
  </si>
  <si>
    <t>Solimax - Violet</t>
  </si>
  <si>
    <t>Solimax - Reflex Blue</t>
  </si>
  <si>
    <t>Solimax - Green</t>
  </si>
  <si>
    <t>Solimax - Medium</t>
  </si>
  <si>
    <t>Solimax - Catayst</t>
  </si>
  <si>
    <t>Catayst</t>
  </si>
  <si>
    <t>Solimax - Red</t>
  </si>
  <si>
    <t>Ink Sakata - Belle MAGENTA 350</t>
  </si>
  <si>
    <t>Sakata-Belle - MAGENTA</t>
  </si>
  <si>
    <t>Ink Sakata - Belle MAGENTA 355</t>
  </si>
  <si>
    <t>MAGENTA 355</t>
  </si>
  <si>
    <t>Sakata-Belle - MAGENTA 355</t>
  </si>
  <si>
    <t>Ink Sakata - Belle MAGENTA 365</t>
  </si>
  <si>
    <t>MAGENTA 365</t>
  </si>
  <si>
    <t>Sakata-Belle - MAGENTA 365</t>
  </si>
  <si>
    <t>Ink Sakata - Belle MAGENTA 435</t>
  </si>
  <si>
    <t>MAGENTA 435</t>
  </si>
  <si>
    <t>Sakata-Belle - MAGENTA 435</t>
  </si>
  <si>
    <t>SBC</t>
  </si>
  <si>
    <t>POLYPRINT - BROWN colour composition</t>
  </si>
  <si>
    <t>Polyprint - Brown</t>
  </si>
  <si>
    <t>SOLIMAX - BROWN colour composition</t>
  </si>
  <si>
    <t>Solimax - Brown</t>
  </si>
  <si>
    <t>Ink Sakata  - XGS-1019 HIGH MATT MEDIUM NT RE-4</t>
  </si>
  <si>
    <t>XGSH5000</t>
  </si>
  <si>
    <t>Ink Sakata - HARDNER</t>
  </si>
  <si>
    <t>Sakata - HARDNER</t>
  </si>
  <si>
    <t>LAMITOP J-19</t>
  </si>
  <si>
    <t>BELLE + TOYO = J-19</t>
  </si>
  <si>
    <t>ALL SUN + FLINT + AB + HUBER + InkPrdt+ Sakata = JAN-19</t>
  </si>
  <si>
    <t>HUBER - Green</t>
  </si>
  <si>
    <t>HUBER - GREEN colour composition</t>
  </si>
  <si>
    <t>Ink Sakata - Matt Lacquer MATT</t>
  </si>
  <si>
    <t>Sakata - MATT</t>
  </si>
  <si>
    <t>HTW</t>
  </si>
  <si>
    <t>HI-TECH - White</t>
  </si>
  <si>
    <t>INK HITECH -JIKELELE PET WHITE</t>
  </si>
  <si>
    <t>HTH</t>
  </si>
  <si>
    <t>HI-TECH - Hardner</t>
  </si>
  <si>
    <t>IPWBP</t>
  </si>
  <si>
    <t>Ink Product - WATER BASE PRIMER</t>
  </si>
  <si>
    <t>WBP</t>
  </si>
  <si>
    <t>Ink Product - WBP</t>
  </si>
  <si>
    <t>Qty consumed at each Station (+/-)</t>
  </si>
  <si>
    <t>SBO307</t>
  </si>
  <si>
    <t>Ink Sakata - Orange</t>
  </si>
  <si>
    <t>ORANGE LF</t>
  </si>
  <si>
    <t>Sakata-Belle - Orange LF</t>
  </si>
  <si>
    <t>INK SAKATA - BELLECOLOR ARSR RED 335 - P020</t>
  </si>
  <si>
    <t>SBR335</t>
  </si>
  <si>
    <t>Ink Sakata - RED</t>
  </si>
  <si>
    <t>RED LF</t>
  </si>
  <si>
    <t>Sakata-Belle - RED LF</t>
  </si>
  <si>
    <t>INK PRODUCT</t>
  </si>
  <si>
    <t>HTSL</t>
  </si>
  <si>
    <t>HI-TECH - SILVER</t>
  </si>
  <si>
    <t>INK - HI TECH - SILVER</t>
  </si>
  <si>
    <t>Magenta-LF</t>
  </si>
  <si>
    <t>Yellow-LF</t>
  </si>
  <si>
    <t>IPWAX</t>
  </si>
  <si>
    <t>Ink Product - Wax Compound ( 83235-1375-20L)</t>
  </si>
  <si>
    <t>Ink Product - WAX</t>
  </si>
  <si>
    <t>WAX</t>
  </si>
  <si>
    <t>IPR</t>
  </si>
  <si>
    <t>IPO</t>
  </si>
  <si>
    <t>Ink Product - Red</t>
  </si>
  <si>
    <t>IPRLF</t>
  </si>
  <si>
    <t>Ink Product - Red LF</t>
  </si>
  <si>
    <t>Red LF</t>
  </si>
  <si>
    <t>Ink Product - Red-LF</t>
  </si>
  <si>
    <t>Ink Product - Orange</t>
  </si>
  <si>
    <t>Ink Sun - Green 0009</t>
  </si>
  <si>
    <t>Ink Sakata - Belle ARSR TR. Yellow 260</t>
  </si>
  <si>
    <t>Ink Sakata - Bellecolor ARSR Yellow 235-P020</t>
  </si>
  <si>
    <t>Ink Al-Basti -  Flexstar Gloss OPV -715-1-128312</t>
  </si>
  <si>
    <t>Ink Al-Basti - Aqua star UNK Primer WPR 130576</t>
  </si>
  <si>
    <t>ABOPV</t>
  </si>
  <si>
    <t>ABP</t>
  </si>
  <si>
    <t>Al Basti - OPV</t>
  </si>
  <si>
    <t>Al Basti - Primer</t>
  </si>
  <si>
    <t>Ink Huber - GBT GR ORANGA ORANGE  (52GT41045M)</t>
  </si>
  <si>
    <t>Ink Huber - GBT GR PROCESS  YELLOW ( 51GT41018A)</t>
  </si>
  <si>
    <t>Ink Huber - GBT GR PROCESS BLACK (59GT41006A)</t>
  </si>
  <si>
    <t>Ink Huber - GBT GR PROCESS BLUE (53GT41014A)</t>
  </si>
  <si>
    <t>Ink Huber - GBT GR PROCESS NON AR MAGENTA (52GT41041A)</t>
  </si>
  <si>
    <t>Ink Huber - GBT GR PROCESS VIOLET  (53GT41021A)</t>
  </si>
  <si>
    <t>Ink Huber - GBT GR REDUCING MEDIUM (50GT41004A)</t>
  </si>
  <si>
    <t>Ink Huber - GBT GR REFLEX BLUE  (53GT41030M)</t>
  </si>
  <si>
    <t>Ink Huber - GBT GR Warm Red</t>
  </si>
  <si>
    <t>Ink Huber - GBT GR WHITE (57GT41014A)</t>
  </si>
  <si>
    <t>Ink Product -  Green (83234-0050-20L)</t>
  </si>
  <si>
    <t>Ink Product  - Process Silver 83234-2416I-20L</t>
  </si>
  <si>
    <t>IPRTOPP</t>
  </si>
  <si>
    <t>IPRPET</t>
  </si>
  <si>
    <t>Rhodamine TOPP</t>
  </si>
  <si>
    <t>Rhodamine PET</t>
  </si>
  <si>
    <t>Ink Product - Rhodamine TOPP</t>
  </si>
  <si>
    <t>Ink Product - Rhodamine PET</t>
  </si>
  <si>
    <t>Ink Product - FLEXO POLY LAM. PROCESS BLACK (83232-8333E-20L)</t>
  </si>
  <si>
    <t>Ink Product - FLEXO POLY LAM. PROCESS BLUE (83232-9417E-20L)</t>
  </si>
  <si>
    <t>Ink Product - FLEXO POLY LAM. PROCESS RED (83232-9647E-20L)</t>
  </si>
  <si>
    <t>Ink Product - GRAVURE POLY LAM. L.F. RED  ( 83232-6860I-20L )</t>
  </si>
  <si>
    <t>Ink Product - FLEXO POLY LAM. PROCESS YELLOW (83232-9336E-20L)</t>
  </si>
  <si>
    <t>Ink Product - FLEXO. POLY LAM VIOLET C (83232-0080E-20L)</t>
  </si>
  <si>
    <t>IPV</t>
  </si>
  <si>
    <t>Ink Product - Violet</t>
  </si>
  <si>
    <t>Ink Product - FLEXO/GRAVURE POLY REFLEX BLUE C (83232-9472E-20L)</t>
  </si>
  <si>
    <t>IPRB</t>
  </si>
  <si>
    <t>Ink Product - REFLEX BLUE</t>
  </si>
  <si>
    <t>Ink Product - GRAVURE POLY EXTENDER VARNISH (83232-1000-20L)</t>
  </si>
  <si>
    <t>Ink Product - OPV (83237-1100J) CRYSTAL PLUS VARNISH</t>
  </si>
  <si>
    <t>Ink Product - Water Base Primer (1300-0910)</t>
  </si>
  <si>
    <t>Ink Product - Yellow (83234-0074-20L ) L.F</t>
  </si>
  <si>
    <t>Ink Product - Magenta 83234-6858I-20L-(RED) L.F</t>
  </si>
  <si>
    <t>Ink Product - Gravure POLYLAM STANDARD ORANGE ( 83232-0021-20L )</t>
  </si>
  <si>
    <t>Ink Product - IPP Gold (83232-7027I-20L)</t>
  </si>
  <si>
    <t>Ink Product - Nobo Gold (New) 83234-8092-20L</t>
  </si>
  <si>
    <t>Ink Hitech - GR. H. R. PET HIGH MATT OPV - 9HTV12066</t>
  </si>
  <si>
    <t>Ink Hitech - JIKELELE PET HARDNER</t>
  </si>
  <si>
    <t>Ink Hitech - Silver paste</t>
  </si>
  <si>
    <t>INK TOYO  - MULTISTAR  121 GERANIUM E-1 20 K</t>
  </si>
  <si>
    <t>INK TOYO  - MULTISTAR  23T YELLOW E-1 20 K</t>
  </si>
  <si>
    <t>INK TOYO  - MULTISTAR  39 BLUE E-1 20 K</t>
  </si>
  <si>
    <t>INK TOYO  - MULTISTAR  53 ORANGE E-1 20 K</t>
  </si>
  <si>
    <t>INK TOYO  - MULTISTAR  822 VIOLET E-1 20 K</t>
  </si>
  <si>
    <t>INK TOYO  - MULTISTAR  92 BLACK E-1 20 K</t>
  </si>
  <si>
    <t>INK TOYO  - MULTISTAR  ARSR 1205 REFLEX BLUE 20 K</t>
  </si>
  <si>
    <t>INK TOYO  - MULTISTAR  CONC 32 RED E-1 20 K</t>
  </si>
  <si>
    <t>INK TOYO  - MULTISTAR  MEDIUM  E-1 20 K</t>
  </si>
  <si>
    <t>INK TOYO  - MULTISTAR LPNYB ADDITIVE</t>
  </si>
  <si>
    <t>Ink Sakata - XGS- Hardner 5000</t>
  </si>
  <si>
    <t>Ink Sakata - XGS-1510 High Matt NT</t>
  </si>
  <si>
    <t>Ink Sakata -  Belle - Geranium 435</t>
  </si>
  <si>
    <t>Ink Sakata -  Belle - Green 23930</t>
  </si>
  <si>
    <t>Ink Sakata -  Bellecolor ARSR Orange 307-P020</t>
  </si>
  <si>
    <t>Ink Sakata - Belle ARSR Blue/Cyan 800 Co/23800</t>
  </si>
  <si>
    <t>Ink Sakata - Belle ARSR Violet 510</t>
  </si>
  <si>
    <t>Ink Sakata - Belle BR. RED 333-P020/233333</t>
  </si>
  <si>
    <t>Ink Sakata - Belle XGL Gold-0556</t>
  </si>
  <si>
    <t>Ink Sakata - Belle XGL-0556 Silver</t>
  </si>
  <si>
    <t>Ink Sakata - Bellecolor ARSR Gerenium 365-P020</t>
  </si>
  <si>
    <t>Sakata-Belle - Medium</t>
  </si>
  <si>
    <t>POLYPRINT Buff colour composition</t>
  </si>
  <si>
    <t>Due to current RM crisis, Ink prices are changing every month (Taken weighted avg rate of last 2 month)</t>
  </si>
  <si>
    <t>LF 235</t>
  </si>
  <si>
    <t>LF 365</t>
  </si>
  <si>
    <t>LF 435</t>
  </si>
  <si>
    <t>LF 307</t>
  </si>
  <si>
    <t>LF 335</t>
  </si>
  <si>
    <t>IPAP</t>
  </si>
  <si>
    <t>ADHESION PROMOTER</t>
  </si>
  <si>
    <t>Ink Product - AP</t>
  </si>
  <si>
    <t>Inkproducts  - Process White 83235-2500A</t>
  </si>
  <si>
    <t>Ink Product - Adhesion Promotor (100-3019)</t>
  </si>
  <si>
    <t>INK TOYO  - MULTISTAR 640 WHITE E-1</t>
  </si>
  <si>
    <t>INK TOYO  - MULTISTAR  630S WHITE E-1 20K</t>
  </si>
  <si>
    <t>INK TOYO  - Multistar 235 Yellow</t>
  </si>
  <si>
    <t>INK TOYO  - Multistar 503 Orange</t>
  </si>
  <si>
    <t>INK TOYO  - Multistar ARSR LF Pink</t>
  </si>
  <si>
    <t>INK TOYO  - MULTISTAR LF RED E-1 20K</t>
  </si>
  <si>
    <t>Toyo - Pink</t>
  </si>
  <si>
    <t>TP</t>
  </si>
  <si>
    <t>ORANGE</t>
  </si>
  <si>
    <t>MEDIUM</t>
  </si>
  <si>
    <t>Ink Belle  -  HARIBO GOLD</t>
  </si>
  <si>
    <t>SBHGD</t>
  </si>
  <si>
    <t>Ink Sakata - HGOLD</t>
  </si>
  <si>
    <t>GOLD HARIBO</t>
  </si>
  <si>
    <t>Sakata-Belle - HGOLD</t>
  </si>
  <si>
    <t/>
  </si>
  <si>
    <t>Ink Sun - White</t>
  </si>
  <si>
    <t>Ink Sun  - Polyprint Extender Medium</t>
  </si>
  <si>
    <t>Ink Sun - Polyprint Yellow907740201</t>
  </si>
  <si>
    <t>INK SUN -  Polyprint Magenta907740119</t>
  </si>
  <si>
    <t>Ink Sun  - Polyprint Reflex Blue</t>
  </si>
  <si>
    <t>Ink Sun  - Polyprint Cyan</t>
  </si>
  <si>
    <t>Ink Sun  - Polyprint Orange</t>
  </si>
  <si>
    <t>Ink Sun  - Polyprint Warm Red</t>
  </si>
  <si>
    <t>Ink Sun  - Polyprint Violet</t>
  </si>
  <si>
    <t>Ink Sun  - Polyprint Black</t>
  </si>
  <si>
    <t xml:space="preserve"> </t>
  </si>
  <si>
    <t>Ink Huber - GBT GR Extreme WHITE (57GW41003A)</t>
  </si>
  <si>
    <t>INK TOYO  - MULTISTAR  79 GREEN E-1 20 K</t>
  </si>
  <si>
    <t>HEW</t>
  </si>
  <si>
    <t>Extreme White</t>
  </si>
  <si>
    <t>HUBER -Extm White</t>
  </si>
  <si>
    <t>TY235</t>
  </si>
  <si>
    <t>Toyo Yellow 235</t>
  </si>
  <si>
    <t>Toyo - Yellow235</t>
  </si>
  <si>
    <t>CYAN</t>
  </si>
  <si>
    <t>WHITE</t>
  </si>
  <si>
    <t>RED</t>
  </si>
  <si>
    <t>AQ</t>
  </si>
  <si>
    <t>SOLID CONT</t>
  </si>
  <si>
    <t>TO503</t>
  </si>
  <si>
    <t>Toyo - Orange503</t>
  </si>
  <si>
    <t xml:space="preserve">Orange503 </t>
  </si>
  <si>
    <t>Toyo Orange503</t>
  </si>
  <si>
    <t>IPVR</t>
  </si>
  <si>
    <t>Ink Product - Varnish</t>
  </si>
  <si>
    <t>new</t>
  </si>
  <si>
    <t>old</t>
  </si>
  <si>
    <t>Ink Sun  - Sunprop Medium 1549</t>
  </si>
  <si>
    <t>Ink Sun  - Sunprop Yellow</t>
  </si>
  <si>
    <t>SY49</t>
  </si>
  <si>
    <t>SPY</t>
  </si>
  <si>
    <t>Ink Sun - Yellow 1549</t>
  </si>
  <si>
    <t>Ink Sun - Yellow PROP</t>
  </si>
  <si>
    <t>SOLV RTO</t>
  </si>
  <si>
    <t>Ink Huber - ARLF WHITE - RHPUW-100</t>
  </si>
  <si>
    <t>TW30</t>
  </si>
  <si>
    <t>Toyo White30</t>
  </si>
  <si>
    <t>White30.</t>
  </si>
  <si>
    <t>Toyo - White30</t>
  </si>
  <si>
    <t>HWLF</t>
  </si>
  <si>
    <t>HUBER -WhiteLF</t>
  </si>
  <si>
    <t>WhiteLF</t>
  </si>
  <si>
    <t>TRLF</t>
  </si>
  <si>
    <t>Toyo RedLF</t>
  </si>
  <si>
    <t>Ink - FPK 702 - EXTENDER MEDIUM</t>
  </si>
  <si>
    <t>Ink - FPK 702 - ORANGE 021</t>
  </si>
  <si>
    <t>Ink - FPK 702 - PROCESS BLACK</t>
  </si>
  <si>
    <t>Ink - FPK 702 - PROCESS CYAN</t>
  </si>
  <si>
    <t>Ink - FPK 702 - PROCESS MAGENTA</t>
  </si>
  <si>
    <t>Ink - FPK 702 - PROCESS YELLOW</t>
  </si>
  <si>
    <t>Ink - FPK 702 - REFLEX BLUE</t>
  </si>
  <si>
    <t>Ink - FPK 702 - VIOLET</t>
  </si>
  <si>
    <t>Ink - FPK 702 - WARM RED</t>
  </si>
  <si>
    <t>Ink - FPK 702 - WHITE</t>
  </si>
  <si>
    <t>Ink Sun  - Duratort PG Black</t>
  </si>
  <si>
    <t>Ink Sun  - Duratort PG Cyan</t>
  </si>
  <si>
    <t>Ink Sun  - Duratort PG Extender</t>
  </si>
  <si>
    <t>Ink Sun  - Duratort PG Magenta</t>
  </si>
  <si>
    <t>Ink Sun  - Duratort PG Orange</t>
  </si>
  <si>
    <t>Ink Sun  - Duratort PG Reflex Blue</t>
  </si>
  <si>
    <t>Ink Sun  - Duratort PG Violet</t>
  </si>
  <si>
    <t>Ink Sun  - Duratort PG Warm Red</t>
  </si>
  <si>
    <t>Ink Sun  - Duratort PG Yellow</t>
  </si>
  <si>
    <t>Ink Sun  - Duratort white</t>
  </si>
  <si>
    <t>DC</t>
  </si>
  <si>
    <t>DMA</t>
  </si>
  <si>
    <t>DO</t>
  </si>
  <si>
    <t>DRB</t>
  </si>
  <si>
    <t>DV</t>
  </si>
  <si>
    <t>DR</t>
  </si>
  <si>
    <t>DY</t>
  </si>
  <si>
    <t>DW</t>
  </si>
  <si>
    <t>Durator</t>
  </si>
  <si>
    <t xml:space="preserve"> Duratort  Black</t>
  </si>
  <si>
    <t xml:space="preserve"> Duratort  Cyan</t>
  </si>
  <si>
    <t xml:space="preserve"> Duratort  Magenta</t>
  </si>
  <si>
    <t xml:space="preserve"> Duratort  Orange</t>
  </si>
  <si>
    <t xml:space="preserve"> Duratort  Reflex Blue</t>
  </si>
  <si>
    <t xml:space="preserve"> Duratort  Violet</t>
  </si>
  <si>
    <t xml:space="preserve"> Duratort  Warm Red</t>
  </si>
  <si>
    <t xml:space="preserve"> Duratort  Yellow</t>
  </si>
  <si>
    <t xml:space="preserve"> Duratort white</t>
  </si>
  <si>
    <t>white</t>
  </si>
  <si>
    <t>Ink - FPK 702</t>
  </si>
  <si>
    <t>DMM</t>
  </si>
  <si>
    <t>FPMM</t>
  </si>
  <si>
    <t>FPO</t>
  </si>
  <si>
    <t>FPV</t>
  </si>
  <si>
    <t>FPW</t>
  </si>
  <si>
    <t>FPMA</t>
  </si>
  <si>
    <t>FPB</t>
  </si>
  <si>
    <t>FPC</t>
  </si>
  <si>
    <t>FPY</t>
  </si>
  <si>
    <t>FPRB</t>
  </si>
  <si>
    <t>FPR</t>
  </si>
  <si>
    <t>FPK 702</t>
  </si>
  <si>
    <t xml:space="preserve"> Duratort  Medium</t>
  </si>
  <si>
    <t>FPK 702  MEDIUM</t>
  </si>
  <si>
    <t>FPK 702  ORANGE 021</t>
  </si>
  <si>
    <t>FPK 702   BLACK</t>
  </si>
  <si>
    <t>FPK 702   CYAN</t>
  </si>
  <si>
    <t>FPK 702   MAGENTA</t>
  </si>
  <si>
    <t>FPK 702   YELLOW</t>
  </si>
  <si>
    <t>FPK 702   REFLEX BLUE</t>
  </si>
  <si>
    <t>FPK 702   VIOLET</t>
  </si>
  <si>
    <t>FPK 702   WHITE</t>
  </si>
  <si>
    <t>ORANGE 021</t>
  </si>
  <si>
    <t>VIOLET</t>
  </si>
  <si>
    <t>WARM RED</t>
  </si>
  <si>
    <t>DB</t>
  </si>
  <si>
    <t>FPK 702 - BLACK</t>
  </si>
  <si>
    <t>FPK 702 - MEDIUM</t>
  </si>
  <si>
    <t>FPK 702 - ORANGE 021</t>
  </si>
  <si>
    <t>FPK 702 - CYAN</t>
  </si>
  <si>
    <t>FPK 702 - MAGENTA</t>
  </si>
  <si>
    <t>FPK 702 - YELLOW</t>
  </si>
  <si>
    <t>FPK 702 - REFLEX BLUE</t>
  </si>
  <si>
    <t>FPK 702 - VIOLET</t>
  </si>
  <si>
    <t>FPK 702 - WHITE</t>
  </si>
  <si>
    <t>Durator - Black</t>
  </si>
  <si>
    <t>Durator - Cyan</t>
  </si>
  <si>
    <t>Durator - Medium</t>
  </si>
  <si>
    <t>Durator - Magenta</t>
  </si>
  <si>
    <t>Durator - Orange</t>
  </si>
  <si>
    <t>Durator - Reflex Blue</t>
  </si>
  <si>
    <t>Durator - Violet</t>
  </si>
  <si>
    <t>Durator - Warm Red</t>
  </si>
  <si>
    <t>Durator - Yellow</t>
  </si>
  <si>
    <t>Durator - white</t>
  </si>
  <si>
    <t>?</t>
  </si>
  <si>
    <t>BW</t>
  </si>
  <si>
    <t>P001</t>
  </si>
  <si>
    <t>BRB</t>
  </si>
  <si>
    <t>HK</t>
  </si>
  <si>
    <t>1100J</t>
  </si>
  <si>
    <t>1019N</t>
  </si>
  <si>
    <t>23T</t>
  </si>
  <si>
    <t>LPNYB</t>
  </si>
  <si>
    <t>DK</t>
  </si>
  <si>
    <t>OLD CODE</t>
  </si>
  <si>
    <t>HMD</t>
  </si>
  <si>
    <t>HMG</t>
  </si>
  <si>
    <t>PRMD</t>
  </si>
  <si>
    <t>BMD</t>
  </si>
  <si>
    <t>IPMD</t>
  </si>
  <si>
    <t>DMG</t>
  </si>
  <si>
    <t>sample</t>
  </si>
  <si>
    <t>WO #</t>
  </si>
  <si>
    <t>Ink &amp; Solvent Cost (AED)</t>
  </si>
  <si>
    <t>Row Labels</t>
  </si>
  <si>
    <t>Sum of x2</t>
  </si>
  <si>
    <t>Sum of Value</t>
  </si>
  <si>
    <t>Mtrs</t>
  </si>
  <si>
    <t>Amt</t>
  </si>
  <si>
    <t>Total mtrs</t>
  </si>
  <si>
    <t>Total amt</t>
  </si>
  <si>
    <t>Grand Total</t>
  </si>
  <si>
    <t>Process</t>
  </si>
  <si>
    <t>Printing</t>
  </si>
  <si>
    <t>Sum of Fresh Ink Issued</t>
  </si>
  <si>
    <t>Sum of Solvent (Calculation)</t>
  </si>
  <si>
    <t>Sum of Mix
ink consumed</t>
  </si>
  <si>
    <t>MMD</t>
  </si>
  <si>
    <t>MO</t>
  </si>
  <si>
    <t>MK</t>
  </si>
  <si>
    <t>MC</t>
  </si>
  <si>
    <t>MMG</t>
  </si>
  <si>
    <t>MY</t>
  </si>
  <si>
    <t>MRB</t>
  </si>
  <si>
    <t>MV</t>
  </si>
  <si>
    <t>MR</t>
  </si>
  <si>
    <t>MW</t>
  </si>
  <si>
    <t>FPK 702   RED</t>
  </si>
  <si>
    <t>FPK 702 - RED</t>
  </si>
  <si>
    <t>A</t>
  </si>
  <si>
    <t>I</t>
  </si>
  <si>
    <t>N</t>
  </si>
  <si>
    <t>B</t>
  </si>
  <si>
    <t>II</t>
  </si>
  <si>
    <t>1200W</t>
  </si>
  <si>
    <t>P021C</t>
  </si>
  <si>
    <t>MEDIA - GREEN colour composition</t>
  </si>
  <si>
    <t>Sum of Output (Meters)</t>
  </si>
  <si>
    <t>HARIBO</t>
  </si>
  <si>
    <t>White E.A</t>
  </si>
  <si>
    <t xml:space="preserve">                                                                                                                                                                                                                   </t>
  </si>
  <si>
    <t>AS</t>
  </si>
  <si>
    <t>xSol</t>
  </si>
  <si>
    <t>Sum of xSol</t>
  </si>
  <si>
    <t>70100/70104</t>
  </si>
  <si>
    <t>70412/70433</t>
  </si>
  <si>
    <t>70101/70102</t>
  </si>
  <si>
    <t>57137/57172</t>
  </si>
  <si>
    <t>56324B</t>
  </si>
  <si>
    <t>70345/70347</t>
  </si>
  <si>
    <t>70375/70379/70377/70373</t>
  </si>
  <si>
    <t>56289/56258/56285</t>
  </si>
  <si>
    <t>56991/56994</t>
  </si>
  <si>
    <t>70096/70385/59805</t>
  </si>
  <si>
    <t>59802/59801</t>
  </si>
  <si>
    <t>Ink Product - Rhodamine TOPP-34</t>
  </si>
  <si>
    <t>Ink Product - Rhodamine PET-32</t>
  </si>
  <si>
    <t>70095/70441</t>
  </si>
  <si>
    <t>70384/59804</t>
  </si>
  <si>
    <t>70327/70466/70461/70464/70324</t>
  </si>
  <si>
    <t>56736/56737</t>
  </si>
  <si>
    <t>70398/70397</t>
  </si>
  <si>
    <t>70417/70420</t>
  </si>
  <si>
    <t>56120/57913</t>
  </si>
  <si>
    <t>57914/56121</t>
  </si>
  <si>
    <t>57919/57918</t>
  </si>
  <si>
    <t>57916A</t>
  </si>
  <si>
    <t>58025/58026/58027</t>
  </si>
  <si>
    <t>70222/55867</t>
  </si>
  <si>
    <t>56484/55993</t>
  </si>
  <si>
    <t>58011/56481</t>
  </si>
  <si>
    <t>56234/56146</t>
  </si>
  <si>
    <t>56233/56145</t>
  </si>
  <si>
    <t>56220/57306</t>
  </si>
  <si>
    <t>56925/70237</t>
  </si>
  <si>
    <t>57467/58002</t>
  </si>
  <si>
    <t>56974/56308</t>
  </si>
  <si>
    <t>70168/70174/70173/70172</t>
  </si>
  <si>
    <t>57005/57004</t>
  </si>
  <si>
    <t>59673/70321</t>
  </si>
  <si>
    <t>59688/70372</t>
  </si>
  <si>
    <t>59689/59628</t>
  </si>
  <si>
    <t>70115/70175</t>
  </si>
  <si>
    <t>56603/56604/56602</t>
  </si>
  <si>
    <t>51967/51973</t>
  </si>
  <si>
    <t>70364/70361</t>
  </si>
  <si>
    <t>51977/51975/51975/51969</t>
  </si>
  <si>
    <t>58006/58005</t>
  </si>
  <si>
    <t>58007/56000</t>
  </si>
  <si>
    <t>55998/58004</t>
  </si>
  <si>
    <t>59623/59624/59625/59626</t>
  </si>
  <si>
    <t>57717/57716</t>
  </si>
  <si>
    <t>58018/58018</t>
  </si>
  <si>
    <t>56107/70154</t>
  </si>
  <si>
    <t>55997/55996</t>
  </si>
  <si>
    <t>70218/70305/70428/70304</t>
  </si>
  <si>
    <t>59615/70165/70273</t>
  </si>
  <si>
    <t>7149/70150</t>
  </si>
  <si>
    <t>70152/70164</t>
  </si>
  <si>
    <t>70265/70156</t>
  </si>
  <si>
    <t>INTERPACK</t>
  </si>
  <si>
    <t>56331B</t>
  </si>
  <si>
    <t>70432/70216</t>
  </si>
  <si>
    <t>70430/70219/70309</t>
  </si>
  <si>
    <t>56167/56168</t>
  </si>
  <si>
    <t>KSA Ink Product</t>
  </si>
  <si>
    <t>Ink sun – Poly Print white (91235-2000-25l)</t>
  </si>
  <si>
    <t>INK SUN – POLYPRINT EXTENDER VARNISH (91235-1000)</t>
  </si>
  <si>
    <t>1000K</t>
  </si>
  <si>
    <t>INK SUN - POLY PRINT PRO. YELLOW  (91235-9336)</t>
  </si>
  <si>
    <t>INK SUN – POLY PRINT PRO. MAGENTA (91235-9647)</t>
  </si>
  <si>
    <t>INK SUN – POLYPRINT PRO. BLACK (91235-8333)</t>
  </si>
  <si>
    <t>INK SUN – POLYPRINT PRO. CYAN (91235-9417)</t>
  </si>
  <si>
    <t>INK SUN – POLYPRINT REFLEX BLUE (91235-9472)</t>
  </si>
  <si>
    <t>INK SUN - POLYPRINT ORANGE (91235-0021)</t>
  </si>
  <si>
    <t>INK SUN - POLYPRINT WARM RED (91235-9605)</t>
  </si>
  <si>
    <t>KSA Ink Product - White</t>
  </si>
  <si>
    <t>KSA Ink Product - Medium</t>
  </si>
  <si>
    <t>KSA Ink Product - Yellow</t>
  </si>
  <si>
    <t>KSA Ink Product - Magenta</t>
  </si>
  <si>
    <t>KSA Ink Product - Black</t>
  </si>
  <si>
    <t>KSA Ink Product - Cyan</t>
  </si>
  <si>
    <t>KSA Ink Product - Reflex Blue</t>
  </si>
  <si>
    <t>KSA Ink Product - Orange</t>
  </si>
  <si>
    <t>KSA Ink Product - Red</t>
  </si>
  <si>
    <t>Ink Sakata - XGS-1810 2K MATT MEDIUM NT RE-4-P020</t>
  </si>
  <si>
    <t>Sakata - MATT2K</t>
  </si>
  <si>
    <t>Jobtrack</t>
  </si>
  <si>
    <t>Ink Sheet</t>
  </si>
  <si>
    <t>Violet-trial</t>
  </si>
  <si>
    <t>HI-TECH INK - MATT</t>
  </si>
  <si>
    <t>Check logsheet order,for any logsheet missing</t>
  </si>
  <si>
    <t>KSA Ink Product - GREEN colour composition</t>
  </si>
  <si>
    <t>KSA Ink Product - Green</t>
  </si>
  <si>
    <t>not in print sheet</t>
  </si>
  <si>
    <t>INK TOYO  - MULTISTAR HSLAS ADDITIVE</t>
  </si>
  <si>
    <t>HSLAS</t>
  </si>
  <si>
    <t>not in ink sheet</t>
  </si>
  <si>
    <t>Ink Sun – Poly Print Catalyst (9S8200165)</t>
  </si>
  <si>
    <t xml:space="preserve">Ink Sakata – XGS - 1803 SOFT FEEL MATT MEDIUM NT_x000D_
</t>
  </si>
  <si>
    <t>165S</t>
  </si>
  <si>
    <t>LF E1</t>
  </si>
  <si>
    <t>Ink Product - GRAVURE POLY LAM. L.F. LEMON YELLOW  ( 2. 83232-0074-20L )</t>
  </si>
  <si>
    <t>Ink Product - ROTO/FLEXO.  PET WHITE (83232-2000-25L)</t>
  </si>
  <si>
    <t>Ink Product - Gravure POLY STANDARD GREEN ( 83232-0050-20L )</t>
  </si>
  <si>
    <t>INK TOYO – MULTISTAR MATT INK 2 PACK 44</t>
  </si>
  <si>
    <t>INK SUN – POLYPRINT VIOLET  (91235-9860)</t>
  </si>
  <si>
    <t>9417E</t>
  </si>
  <si>
    <t>9605E</t>
  </si>
  <si>
    <t>9336E</t>
  </si>
  <si>
    <t>8333E</t>
  </si>
  <si>
    <t>9860E</t>
  </si>
  <si>
    <t>9472E</t>
  </si>
  <si>
    <t>21E</t>
  </si>
  <si>
    <t>74G</t>
  </si>
  <si>
    <t>KSA Ink Product - Violet</t>
  </si>
  <si>
    <t>Ink Product - Roto White</t>
  </si>
  <si>
    <t>Ink Product - Yellow LLF</t>
  </si>
  <si>
    <t>Toyo Matt</t>
  </si>
  <si>
    <t>Matt</t>
  </si>
  <si>
    <t>Toyo - Matt</t>
  </si>
  <si>
    <t>2000A</t>
  </si>
  <si>
    <t>50A</t>
  </si>
  <si>
    <t>9860S</t>
  </si>
  <si>
    <t>INK - HI TECH - Matt</t>
  </si>
  <si>
    <t>HI TECH - Matt</t>
  </si>
  <si>
    <t>INK - HI TECH - Hardner</t>
  </si>
  <si>
    <t>HI TECH - Hardner</t>
  </si>
  <si>
    <t>59540/59541</t>
  </si>
  <si>
    <t>62820/61166</t>
  </si>
  <si>
    <t>61558/61559</t>
  </si>
  <si>
    <t>61424/61423</t>
  </si>
  <si>
    <t>59544/59543/59545/59542/59534/59536/59535</t>
  </si>
  <si>
    <t>59546/59547</t>
  </si>
  <si>
    <t>59538/59539/59537/59540/59541</t>
  </si>
  <si>
    <t>61578/61579</t>
  </si>
  <si>
    <t>62525/62775</t>
  </si>
  <si>
    <t>62674/60503</t>
  </si>
  <si>
    <t>62669/62668</t>
  </si>
  <si>
    <t>82834/62581</t>
  </si>
  <si>
    <t>62841/62842</t>
  </si>
  <si>
    <t>60188/60189</t>
  </si>
  <si>
    <t>60480/60479</t>
  </si>
  <si>
    <t>59048/62280/62279</t>
  </si>
  <si>
    <t>62825/61182</t>
  </si>
  <si>
    <t>Ink Hitech – 9HTV22364 – Gr. HTI 2K Hardener</t>
  </si>
  <si>
    <t>Ink Hitech – 9HTV22372 – Gr. HTI 2K Matt OP Ink</t>
  </si>
  <si>
    <t>INK TOYO  - MULTISTAR  CONC 121 GERANIUM E-1 20 K</t>
  </si>
  <si>
    <t>INK TOYO  - MULTISTAR  CONC 23T YELLOW E-1 20 K</t>
  </si>
  <si>
    <t>INK TOYO  - MULTISTAR CONC 39 BLUE E-1 20 K</t>
  </si>
  <si>
    <t>INK TOYO  - MULTISTAR CONC 92 BLACK E-1 20 K</t>
  </si>
  <si>
    <t>C121</t>
  </si>
  <si>
    <t>C23T</t>
  </si>
  <si>
    <t>C39</t>
  </si>
  <si>
    <t>C92</t>
  </si>
  <si>
    <t>235T</t>
  </si>
  <si>
    <t>NPA %</t>
  </si>
  <si>
    <t>NPAC Qty</t>
  </si>
  <si>
    <t>NPAC</t>
  </si>
  <si>
    <t>Rate (Ethyl 30%, NPAC 50%, NPA 20%)</t>
  </si>
  <si>
    <t>Toyo  GERANIUM C121</t>
  </si>
  <si>
    <t>Toyo  YELLOW C23T</t>
  </si>
  <si>
    <t>Toyo  BLUE C39</t>
  </si>
  <si>
    <t>Toyo  BLACK C92</t>
  </si>
  <si>
    <t>Toyo - BLACK C92</t>
  </si>
  <si>
    <t>Toyo - BLUE C39</t>
  </si>
  <si>
    <t>Toyo - YELLOW C23T</t>
  </si>
  <si>
    <t>Toyo - GERANIUM C121</t>
  </si>
  <si>
    <t>GERANIUM</t>
  </si>
  <si>
    <t>BLUE</t>
  </si>
  <si>
    <t>62677/61359/60518</t>
  </si>
  <si>
    <t>61315/61316</t>
  </si>
  <si>
    <t>60511/60510</t>
  </si>
  <si>
    <t>62329/60703</t>
  </si>
  <si>
    <t>61765/61519</t>
  </si>
  <si>
    <t>59137/59909</t>
  </si>
  <si>
    <t>59546/59547/60493</t>
  </si>
  <si>
    <t>61567/61596/61565</t>
  </si>
  <si>
    <t>61520/61507/61508/61521/61513</t>
  </si>
  <si>
    <t>61568/61569</t>
  </si>
  <si>
    <t>62049/62050</t>
  </si>
  <si>
    <t>59548/59543</t>
  </si>
  <si>
    <t>61237/61245</t>
  </si>
  <si>
    <t>59598/59591/59593</t>
  </si>
  <si>
    <t>62643/62640</t>
  </si>
  <si>
    <t>60456/60454</t>
  </si>
  <si>
    <t>61181/61165</t>
  </si>
  <si>
    <t>61180/61179</t>
  </si>
  <si>
    <t>60504/60505</t>
  </si>
  <si>
    <t>59173/59174</t>
  </si>
  <si>
    <t>59179/59180</t>
  </si>
  <si>
    <t>60557/60561</t>
  </si>
  <si>
    <t>60564/60551</t>
  </si>
  <si>
    <t>61502/61503/61504/61505</t>
  </si>
  <si>
    <t>61336/61337</t>
  </si>
  <si>
    <t>61312/61311/61308</t>
  </si>
  <si>
    <t>61506/61518/61512</t>
  </si>
  <si>
    <t>Ink Product - Roto / Flexo Crystal Plus Varnish (Medium) - 83235-1200W</t>
  </si>
  <si>
    <t>INK TOYO  - LIOVALUE 1205 REFLEX BLUE 20K</t>
  </si>
  <si>
    <t>INK TOYO  - LIOVALUE CONC 32 RED E-2 20K</t>
  </si>
  <si>
    <t>INK TOYO  - LIOVALUE F121 MAGENTA E-2 ARSR</t>
  </si>
  <si>
    <t>INK TOYO  - LIOVALUE F23T YELLOW E-2 20K</t>
  </si>
  <si>
    <t>INK TOYO  - LIOVALUE F53 ORANGE E-2 20K</t>
  </si>
  <si>
    <t>INK TOYO  - LIOVALUE F640 WHITE 22K</t>
  </si>
  <si>
    <t>INK TOYO  - LIOVALUE R39 CYAN E-2 20K</t>
  </si>
  <si>
    <t>INK TOYO  - LIOVALUE R79 GREEN E-2 20K</t>
  </si>
  <si>
    <t>INK TOYO  - LIOVALUE R92 BLACK E-2 20K</t>
  </si>
  <si>
    <t>INK TOYO  - LIOVALUE RS MEDIUM E-2 20K</t>
  </si>
  <si>
    <t>INK TOYO  - LIOVALUE Z821 VIOLET E-2 ARSR</t>
  </si>
  <si>
    <t>Ink Flint  - SUPERLAM GR.BLACK (WCL3-906K)</t>
  </si>
  <si>
    <t>Ink Flint  - SUPERLAM GR.CYAN (WCL3-50KK)</t>
  </si>
  <si>
    <t>Ink Flint  - SUPERLAM GR.MAGENTA (WCL3-30SK)</t>
  </si>
  <si>
    <t>Ink Flint  - SUPERLAM GR.MEDIUM (WCL3-E05K)</t>
  </si>
  <si>
    <t>Ink Flint  - SUPERLAM GR.ORANGE (WCL3-20CK)</t>
  </si>
  <si>
    <t>Ink Flint  - SUPERLAM GR.VIOLET (WCL3-40AK)</t>
  </si>
  <si>
    <t>Ink Flint  - SUPERLAM GR.WHITE (WCL3-00GK)</t>
  </si>
  <si>
    <t>PET LAM ADDITIVE 95 (WCL4-00TK)</t>
  </si>
  <si>
    <t>SUPERLAM GR. HR ADDTIVE (WRK6-011K)</t>
  </si>
  <si>
    <t>SUPERLAM GR.WARM RED (WCL3-30UK)</t>
  </si>
  <si>
    <t>Sakata - MATTSF</t>
  </si>
  <si>
    <t>F121</t>
  </si>
  <si>
    <t>F23T</t>
  </si>
  <si>
    <t>F53</t>
  </si>
  <si>
    <t>F640</t>
  </si>
  <si>
    <t>R39</t>
  </si>
  <si>
    <t>R79</t>
  </si>
  <si>
    <t>R92</t>
  </si>
  <si>
    <t>RS MED</t>
  </si>
  <si>
    <t>Toyo Red CONC 32 E-2</t>
  </si>
  <si>
    <t>Toyo Magenta F121</t>
  </si>
  <si>
    <t>Toyo YELLOW F23T</t>
  </si>
  <si>
    <t>Toyo Orange F53</t>
  </si>
  <si>
    <t>Toyo White F640</t>
  </si>
  <si>
    <t>Toyo Cyan R39</t>
  </si>
  <si>
    <t>Toyo Green R79</t>
  </si>
  <si>
    <t>Toyo Black R92</t>
  </si>
  <si>
    <t>Toyo Medium RS MED</t>
  </si>
  <si>
    <t>Toyo Violet Z821</t>
  </si>
  <si>
    <t>FK</t>
  </si>
  <si>
    <t>FMG</t>
  </si>
  <si>
    <t>FMD</t>
  </si>
  <si>
    <t>FO</t>
  </si>
  <si>
    <t>Violent</t>
  </si>
  <si>
    <t>FlintSL - Yellow</t>
  </si>
  <si>
    <t>FlintSL - Black</t>
  </si>
  <si>
    <t>FlintSL - Cyan</t>
  </si>
  <si>
    <t>FlintSL - Magenta</t>
  </si>
  <si>
    <t>FlintSL - Medium</t>
  </si>
  <si>
    <t>FlintSL - Orange</t>
  </si>
  <si>
    <t>FlintSL - White</t>
  </si>
  <si>
    <t>WCL4</t>
  </si>
  <si>
    <t>WCL6</t>
  </si>
  <si>
    <t>FlintSL - Reflex Blue</t>
  </si>
  <si>
    <t>FlintSL - Red</t>
  </si>
  <si>
    <t>FlintSL - Addittive11k</t>
  </si>
  <si>
    <t>Ink Flint-Yellow SuperLam</t>
  </si>
  <si>
    <t>Ink Flint-Black SuperLam</t>
  </si>
  <si>
    <t>Ink Flint-Cyan SuperLam</t>
  </si>
  <si>
    <t>Ink Flint-Magenta SuperLam</t>
  </si>
  <si>
    <t>Ink Flint-Medium SuperLam</t>
  </si>
  <si>
    <t>Ink Flint-Orange SuperLam</t>
  </si>
  <si>
    <t>Ink Flint-Violent SuperLam</t>
  </si>
  <si>
    <t>Ink Flint-White SuperLam</t>
  </si>
  <si>
    <t>Ink Flint-Additive SuperLam</t>
  </si>
  <si>
    <t>Ink Flint-Reflex Blue SuperLam</t>
  </si>
  <si>
    <t>Ink Flint-Red SuperLam</t>
  </si>
  <si>
    <t>FlintSL - AddittivePET</t>
  </si>
  <si>
    <t>INK TOYO – ANTI BLOCKING AGENT 277</t>
  </si>
  <si>
    <t>FOC</t>
  </si>
  <si>
    <t>8300A</t>
  </si>
  <si>
    <t>Ink Flint  - SUPERLAM GR. ARSR MAGENTA (WCL3-30VK)</t>
  </si>
  <si>
    <t xml:space="preserve">INK SUN – POLYPRINT PRO. BLACK (91235-8300A)_x000D_
</t>
  </si>
  <si>
    <t>FG</t>
  </si>
  <si>
    <t>Ink Flint-Green SuperLam</t>
  </si>
  <si>
    <t>FlintSL - Green</t>
  </si>
  <si>
    <t>BlackPro</t>
  </si>
  <si>
    <t>30SK</t>
  </si>
  <si>
    <t>Ink Flint-ARSR Magenta SuperLam</t>
  </si>
  <si>
    <t>FlintSL - ARSR Magenta</t>
  </si>
  <si>
    <t>KSA Ink Product - Blackpro</t>
  </si>
  <si>
    <t>INK TOYO  - MULTISTAR 17 GERANIUM E-1 20 K</t>
  </si>
  <si>
    <t>Ink Flint  - SUPERLAM GR.REF-BLUE (WCL3-50LK01MV</t>
  </si>
  <si>
    <t xml:space="preserve">Ink Flint  - SUPERLAM GR.WARM RED (WCL3-30UK)_x000D_
</t>
  </si>
  <si>
    <t>INK TOYO  - MULTISTAR  22 YELLOW E-1 20 K</t>
  </si>
  <si>
    <t>Toyo YELLOW20</t>
  </si>
  <si>
    <t>6670I</t>
  </si>
  <si>
    <t>17D</t>
  </si>
  <si>
    <t>Toyo  GERANIUM 17</t>
  </si>
  <si>
    <t>Toyo - GERANIUM 17</t>
  </si>
  <si>
    <t>Solvent - N Propyl Acetate</t>
  </si>
  <si>
    <t>Solvent - N Propanol</t>
  </si>
  <si>
    <t>NC Cases</t>
  </si>
  <si>
    <t>PU Cases</t>
  </si>
  <si>
    <t>1.Ethyl - 80%,Ethanol - 20%</t>
  </si>
  <si>
    <t>2.If supplier Flint; Ethyl - 80%,IPA - 20%</t>
  </si>
  <si>
    <t>1.Ethyl - 30%,NPAC - 50%,NPA - 20%</t>
  </si>
  <si>
    <t>2.If supplier Toyo Liovalue ; Ethyl - 30%,NPAC - 50%,IPA - 20%</t>
  </si>
  <si>
    <t>Check Solvent Ratio</t>
  </si>
  <si>
    <t>1.If new ink came then always check Solvent ratio</t>
  </si>
  <si>
    <t>ToyoLi - Red</t>
  </si>
  <si>
    <t>ToyoLi - Magenta</t>
  </si>
  <si>
    <t>ToyoLi - YELLOW</t>
  </si>
  <si>
    <t>ToyoLi - Orange</t>
  </si>
  <si>
    <t>ToyoLi - White</t>
  </si>
  <si>
    <t>ToyoLi - Cyan</t>
  </si>
  <si>
    <t>ToyoLi - Green</t>
  </si>
  <si>
    <t>ToyoLi - Black</t>
  </si>
  <si>
    <t>ToyoLi - Medium</t>
  </si>
  <si>
    <t>ToyoLi - Violet</t>
  </si>
  <si>
    <t>E00122</t>
  </si>
  <si>
    <t>B00157</t>
  </si>
  <si>
    <t>Ink Flint - SUPERLAM GR. SILVER INK (WCL3-B02K-01JL)</t>
  </si>
  <si>
    <t>Ink Flint - SUPERLAM GR. SYN. GOLD INK (WCL3-A04K-01JL)</t>
  </si>
  <si>
    <t>Ink Flint - SUPERLAM GR. TPT YELLOW INK (WCL3-111K-01MV)</t>
  </si>
  <si>
    <t>FGO</t>
  </si>
  <si>
    <t>FSI</t>
  </si>
  <si>
    <t>SL SILVER</t>
  </si>
  <si>
    <t>SL GOLD</t>
  </si>
  <si>
    <t>SL YELLOW</t>
  </si>
  <si>
    <t>Flint-SL SILVER</t>
  </si>
  <si>
    <t>Flint-SL YELLOW</t>
  </si>
  <si>
    <t>H00226</t>
  </si>
  <si>
    <t>H00396</t>
  </si>
  <si>
    <t>K00003</t>
  </si>
  <si>
    <t>K00004</t>
  </si>
  <si>
    <t>L00143</t>
  </si>
  <si>
    <t>INK TOYO – LIOVALUE GOLD</t>
  </si>
  <si>
    <t>INK TOYO – LIOVALUE SILVER</t>
  </si>
  <si>
    <t>B00167</t>
  </si>
  <si>
    <t>B00166</t>
  </si>
  <si>
    <t>E00195</t>
  </si>
  <si>
    <t>E00238</t>
  </si>
  <si>
    <t>B00222</t>
  </si>
  <si>
    <t>B00221</t>
  </si>
  <si>
    <t>E00217</t>
  </si>
  <si>
    <t>C00245</t>
  </si>
  <si>
    <t>C00308</t>
  </si>
  <si>
    <t>C00246</t>
  </si>
  <si>
    <t>H00227</t>
  </si>
  <si>
    <t>C00309</t>
  </si>
  <si>
    <t>C00266</t>
  </si>
  <si>
    <t>C00284</t>
  </si>
  <si>
    <t>C00282</t>
  </si>
  <si>
    <t>C00283</t>
  </si>
  <si>
    <t>L00155</t>
  </si>
  <si>
    <t>L00107</t>
  </si>
  <si>
    <t>L00154</t>
  </si>
  <si>
    <t>L00106</t>
  </si>
  <si>
    <t>L00153</t>
  </si>
  <si>
    <t>L00105</t>
  </si>
  <si>
    <t>L00152</t>
  </si>
  <si>
    <t>L00104</t>
  </si>
  <si>
    <t>C00328</t>
  </si>
  <si>
    <t>C00253</t>
  </si>
  <si>
    <t>C00311</t>
  </si>
  <si>
    <t>C00291</t>
  </si>
  <si>
    <t>C00310</t>
  </si>
  <si>
    <t>H00315</t>
  </si>
  <si>
    <t>H00316</t>
  </si>
  <si>
    <t>E00202</t>
  </si>
  <si>
    <t>E00253</t>
  </si>
  <si>
    <t>P00134</t>
  </si>
  <si>
    <t>P00135</t>
  </si>
  <si>
    <t>P00136</t>
  </si>
  <si>
    <t>C00301</t>
  </si>
  <si>
    <t>C00302</t>
  </si>
  <si>
    <t>C00275</t>
  </si>
  <si>
    <t>C00322</t>
  </si>
  <si>
    <t>C00324</t>
  </si>
  <si>
    <t>P00088</t>
  </si>
  <si>
    <t>P00092</t>
  </si>
  <si>
    <t>P00090</t>
  </si>
  <si>
    <t>P00093</t>
  </si>
  <si>
    <t>P00089</t>
  </si>
  <si>
    <t>H00364</t>
  </si>
  <si>
    <t>H00338</t>
  </si>
  <si>
    <t>H00360</t>
  </si>
  <si>
    <t>H00361</t>
  </si>
  <si>
    <t>H00362</t>
  </si>
  <si>
    <t>H00363</t>
  </si>
  <si>
    <t>H00358</t>
  </si>
  <si>
    <t>H00356</t>
  </si>
  <si>
    <t>H00359</t>
  </si>
  <si>
    <t>H00357</t>
  </si>
  <si>
    <t>H00355</t>
  </si>
  <si>
    <t>E00242</t>
  </si>
  <si>
    <t>N00225</t>
  </si>
  <si>
    <t>N00231</t>
  </si>
  <si>
    <t>E00292</t>
  </si>
  <si>
    <t>K00006</t>
  </si>
  <si>
    <t>K00005</t>
  </si>
  <si>
    <t>B00233</t>
  </si>
  <si>
    <t>N00211</t>
  </si>
  <si>
    <t>N00218</t>
  </si>
  <si>
    <t>P00051</t>
  </si>
  <si>
    <t>P00052</t>
  </si>
  <si>
    <t>P00152</t>
  </si>
  <si>
    <t>P00150</t>
  </si>
  <si>
    <t>E00279</t>
  </si>
  <si>
    <t>E00257</t>
  </si>
  <si>
    <t>E00280</t>
  </si>
  <si>
    <t>E00275</t>
  </si>
  <si>
    <t>B00251</t>
  </si>
  <si>
    <t>B00252</t>
  </si>
  <si>
    <t>H00270</t>
  </si>
  <si>
    <t>C00365</t>
  </si>
  <si>
    <t>C00385</t>
  </si>
  <si>
    <t>C00389</t>
  </si>
  <si>
    <t>C00394</t>
  </si>
  <si>
    <t>C00373</t>
  </si>
  <si>
    <t>C00395</t>
  </si>
  <si>
    <t>N00154</t>
  </si>
  <si>
    <t>N00153</t>
  </si>
  <si>
    <t>E00302</t>
  </si>
  <si>
    <t>E00306</t>
  </si>
  <si>
    <t>C00342</t>
  </si>
  <si>
    <t>C00341</t>
  </si>
  <si>
    <t>FLINTSL</t>
  </si>
  <si>
    <t>ToyoLi - Gold</t>
  </si>
  <si>
    <t>ToyoLi - Silver</t>
  </si>
  <si>
    <t>FlintSL - Varnish</t>
  </si>
  <si>
    <t>FlintSL - GOLD</t>
  </si>
  <si>
    <t>H00406</t>
  </si>
  <si>
    <t>L00116</t>
  </si>
  <si>
    <t>L00117</t>
  </si>
  <si>
    <t>E00359</t>
  </si>
  <si>
    <t>G00108</t>
  </si>
  <si>
    <t>INK - TOYO- LIOVALUE HSLAS ADDITIVE</t>
  </si>
  <si>
    <t>INK TOYO – LIOVALUE 17 GERANIUM E-2 20K</t>
  </si>
  <si>
    <t>INK TOYO- LIOVALUE R262 YELLOW E-2 20K</t>
  </si>
  <si>
    <t>TOYO SILVER TLISI</t>
  </si>
  <si>
    <t>L00118</t>
  </si>
  <si>
    <t>B00268</t>
  </si>
  <si>
    <t>B00276</t>
  </si>
  <si>
    <t>G00141</t>
  </si>
  <si>
    <t>B00298</t>
  </si>
  <si>
    <t>B00244</t>
  </si>
  <si>
    <t>B00337</t>
  </si>
  <si>
    <t>C00249</t>
  </si>
  <si>
    <t>F00307</t>
  </si>
  <si>
    <t>F00303</t>
  </si>
  <si>
    <t>P00178</t>
  </si>
  <si>
    <t>J00352</t>
  </si>
  <si>
    <t>J00383</t>
  </si>
  <si>
    <t>F00306</t>
  </si>
  <si>
    <t>P00177</t>
  </si>
  <si>
    <t>P00176</t>
  </si>
  <si>
    <t>H00386</t>
  </si>
  <si>
    <t>F00315</t>
  </si>
  <si>
    <t>C00449</t>
  </si>
  <si>
    <t>C00452</t>
  </si>
  <si>
    <t>C00443</t>
  </si>
  <si>
    <t>N00236</t>
  </si>
  <si>
    <t>N00234</t>
  </si>
  <si>
    <t>B00306</t>
  </si>
  <si>
    <t>N00264</t>
  </si>
  <si>
    <t>N00267</t>
  </si>
  <si>
    <t>N00265</t>
  </si>
  <si>
    <t>J00348</t>
  </si>
  <si>
    <t>J00349</t>
  </si>
  <si>
    <t>J00382</t>
  </si>
  <si>
    <t>J00354</t>
  </si>
  <si>
    <t>B00310</t>
  </si>
  <si>
    <t>B00309</t>
  </si>
  <si>
    <t>J00343</t>
  </si>
  <si>
    <t>J00344</t>
  </si>
  <si>
    <t>J00345</t>
  </si>
  <si>
    <t>C00495</t>
  </si>
  <si>
    <t>F00319</t>
  </si>
  <si>
    <t>F00320</t>
  </si>
  <si>
    <t>F00322</t>
  </si>
  <si>
    <t>F00321</t>
  </si>
  <si>
    <t>F00325</t>
  </si>
  <si>
    <t>F00326</t>
  </si>
  <si>
    <t>J00243</t>
  </si>
  <si>
    <t>P00186</t>
  </si>
  <si>
    <t>F00323</t>
  </si>
  <si>
    <t>F00328</t>
  </si>
  <si>
    <t>F00327</t>
  </si>
  <si>
    <t>F32</t>
  </si>
  <si>
    <t>B00348</t>
  </si>
  <si>
    <t>G00148</t>
  </si>
  <si>
    <t>G00143</t>
  </si>
  <si>
    <t>P00169</t>
  </si>
  <si>
    <t>P00170</t>
  </si>
  <si>
    <t>P00171</t>
  </si>
  <si>
    <t>L00119</t>
  </si>
  <si>
    <t>N00263</t>
  </si>
  <si>
    <t>J00372</t>
  </si>
  <si>
    <t>J00371</t>
  </si>
  <si>
    <t>E00367</t>
  </si>
  <si>
    <t>C00447</t>
  </si>
  <si>
    <t>C00372</t>
  </si>
  <si>
    <t>C00474</t>
  </si>
  <si>
    <t>H00241</t>
  </si>
  <si>
    <t>N00174</t>
  </si>
  <si>
    <t>N00176</t>
  </si>
  <si>
    <t>N00175</t>
  </si>
  <si>
    <t>N00173</t>
  </si>
  <si>
    <t>C00477</t>
  </si>
  <si>
    <t>C00435</t>
  </si>
  <si>
    <t>C00433</t>
  </si>
  <si>
    <t>C00430</t>
  </si>
  <si>
    <t>N00280</t>
  </si>
  <si>
    <t>F00324</t>
  </si>
  <si>
    <t>E00373</t>
  </si>
  <si>
    <t>E00376</t>
  </si>
  <si>
    <t>E00377</t>
  </si>
  <si>
    <t>E00372</t>
  </si>
  <si>
    <t>N00268</t>
  </si>
  <si>
    <t>N00266</t>
  </si>
  <si>
    <t>E00381</t>
  </si>
  <si>
    <t>E00393</t>
  </si>
  <si>
    <t>E00380</t>
  </si>
  <si>
    <t>F00333</t>
  </si>
  <si>
    <t>E00383</t>
  </si>
  <si>
    <t>E00384</t>
  </si>
  <si>
    <t>E00392</t>
  </si>
  <si>
    <t>F00332</t>
  </si>
  <si>
    <t>N00281</t>
  </si>
  <si>
    <t>J00363</t>
  </si>
  <si>
    <t>C00446</t>
  </si>
  <si>
    <t>C00444</t>
  </si>
  <si>
    <t>L00120</t>
  </si>
  <si>
    <t>E00361</t>
  </si>
  <si>
    <t>L00121</t>
  </si>
  <si>
    <t>E00379</t>
  </si>
  <si>
    <t>P00172</t>
  </si>
  <si>
    <t>B00319</t>
  </si>
  <si>
    <t>B00320</t>
  </si>
  <si>
    <t>E00398</t>
  </si>
  <si>
    <t>B00332</t>
  </si>
  <si>
    <t>G00144</t>
  </si>
  <si>
    <t>F00309</t>
  </si>
  <si>
    <t>F00331</t>
  </si>
  <si>
    <t>B00295</t>
  </si>
  <si>
    <t>E00368</t>
  </si>
  <si>
    <t>E00369</t>
  </si>
  <si>
    <t>E00370</t>
  </si>
  <si>
    <t>E00371</t>
  </si>
  <si>
    <t>B00349</t>
  </si>
  <si>
    <t>C00427</t>
  </si>
  <si>
    <t>C00436</t>
  </si>
  <si>
    <t>C00431</t>
  </si>
  <si>
    <t>C00450</t>
  </si>
  <si>
    <t>G00145</t>
  </si>
  <si>
    <t>N00292</t>
  </si>
  <si>
    <t>N00287</t>
  </si>
  <si>
    <t>N00284</t>
  </si>
  <si>
    <t>P00163</t>
  </si>
  <si>
    <t>H00492</t>
  </si>
  <si>
    <t>P00164</t>
  </si>
  <si>
    <t>J00247</t>
  </si>
  <si>
    <t>P00187</t>
  </si>
  <si>
    <t>P00188</t>
  </si>
  <si>
    <t>P00189</t>
  </si>
  <si>
    <t>C00455</t>
  </si>
  <si>
    <t>G00153</t>
  </si>
  <si>
    <t>C00454</t>
  </si>
  <si>
    <t>Z822</t>
  </si>
  <si>
    <t>G00152</t>
  </si>
  <si>
    <t>B00313</t>
  </si>
  <si>
    <t>C00476</t>
  </si>
  <si>
    <t>C00483</t>
  </si>
  <si>
    <t>C00481</t>
  </si>
  <si>
    <t>C00489</t>
  </si>
  <si>
    <t>G00149</t>
  </si>
  <si>
    <t>B00374</t>
  </si>
  <si>
    <t>B00241</t>
  </si>
  <si>
    <t>B00338</t>
  </si>
  <si>
    <t>B00336</t>
  </si>
  <si>
    <t>F00336</t>
  </si>
  <si>
    <t>H00545</t>
  </si>
  <si>
    <t>C00506</t>
  </si>
  <si>
    <t>C00504</t>
  </si>
  <si>
    <t>C00505</t>
  </si>
  <si>
    <t>C00507</t>
  </si>
  <si>
    <t>J00364</t>
  </si>
  <si>
    <t>J00365</t>
  </si>
  <si>
    <t>J00366</t>
  </si>
  <si>
    <t>C00492</t>
  </si>
  <si>
    <t>P00146</t>
  </si>
  <si>
    <t>B00287</t>
  </si>
  <si>
    <t>B00307</t>
  </si>
  <si>
    <t>C00441</t>
  </si>
  <si>
    <t>C00503</t>
  </si>
  <si>
    <t>C00494</t>
  </si>
  <si>
    <t>H00451</t>
  </si>
  <si>
    <t>C00500</t>
  </si>
  <si>
    <t>C00499</t>
  </si>
  <si>
    <t>L00181</t>
  </si>
  <si>
    <t>L00179</t>
  </si>
  <si>
    <t>E00405</t>
  </si>
  <si>
    <t>P00166</t>
  </si>
  <si>
    <t>G00111</t>
  </si>
  <si>
    <t>C00502</t>
  </si>
  <si>
    <t>C00501</t>
  </si>
  <si>
    <t>B00350</t>
  </si>
  <si>
    <t>H00533</t>
  </si>
  <si>
    <t>H00553</t>
  </si>
  <si>
    <t>H00441</t>
  </si>
  <si>
    <t>N00273</t>
  </si>
  <si>
    <t>N00272</t>
  </si>
  <si>
    <t>H00442</t>
  </si>
  <si>
    <t>H00291</t>
  </si>
  <si>
    <t>H00536</t>
  </si>
  <si>
    <t>H00495</t>
  </si>
  <si>
    <t>H00494</t>
  </si>
  <si>
    <t>H00493</t>
  </si>
  <si>
    <t>B00346</t>
  </si>
  <si>
    <t>B00354</t>
  </si>
  <si>
    <t>B00325</t>
  </si>
  <si>
    <t>C00473</t>
  </si>
  <si>
    <t>C00496</t>
  </si>
  <si>
    <t>B00347</t>
  </si>
  <si>
    <t>B00327</t>
  </si>
  <si>
    <t>B00326</t>
  </si>
  <si>
    <t>C00466</t>
  </si>
  <si>
    <t>P00073</t>
  </si>
  <si>
    <t>B00331</t>
  </si>
  <si>
    <t>TPT</t>
  </si>
  <si>
    <t>C00448</t>
  </si>
  <si>
    <t>H00459</t>
  </si>
  <si>
    <t>H00447</t>
  </si>
  <si>
    <t>H00534</t>
  </si>
  <si>
    <t>H00556</t>
  </si>
  <si>
    <t>N00237</t>
  </si>
  <si>
    <t>N00261</t>
  </si>
  <si>
    <t>N00262</t>
  </si>
  <si>
    <t>N00260</t>
  </si>
  <si>
    <t>E00404</t>
  </si>
  <si>
    <t>L00183</t>
  </si>
  <si>
    <t>H00579</t>
  </si>
  <si>
    <t>L00170</t>
  </si>
  <si>
    <t>H00450</t>
  </si>
  <si>
    <t>H00446</t>
  </si>
  <si>
    <t>H00445</t>
  </si>
  <si>
    <t>H00464</t>
  </si>
  <si>
    <t>H00462</t>
  </si>
  <si>
    <t>H00461</t>
  </si>
  <si>
    <t>H00480</t>
  </si>
  <si>
    <t>E00403</t>
  </si>
  <si>
    <t>L00182</t>
  </si>
  <si>
    <t>L00184</t>
  </si>
  <si>
    <t>L00178</t>
  </si>
  <si>
    <t>L00180</t>
  </si>
  <si>
    <t>L00177</t>
  </si>
  <si>
    <t>N00282</t>
  </si>
  <si>
    <t>L00185</t>
  </si>
  <si>
    <t>C00514</t>
  </si>
  <si>
    <t>H00454</t>
  </si>
  <si>
    <t>N00286</t>
  </si>
  <si>
    <t>B00288</t>
  </si>
  <si>
    <t>B00340</t>
  </si>
  <si>
    <t>C00451</t>
  </si>
  <si>
    <t>B00301</t>
  </si>
  <si>
    <t>F00335</t>
  </si>
  <si>
    <t>F00338</t>
  </si>
  <si>
    <t>F00337</t>
  </si>
  <si>
    <t>N00283</t>
  </si>
  <si>
    <t>L00135</t>
  </si>
  <si>
    <t>N00289</t>
  </si>
  <si>
    <t>C00493</t>
  </si>
  <si>
    <t>G00169</t>
  </si>
  <si>
    <t>G00151</t>
  </si>
  <si>
    <t>B00333</t>
  </si>
  <si>
    <t>F00340</t>
  </si>
  <si>
    <t>F00342</t>
  </si>
  <si>
    <t>F00341</t>
  </si>
  <si>
    <t>B00370</t>
  </si>
  <si>
    <t>F00339</t>
  </si>
  <si>
    <t>F00368</t>
  </si>
  <si>
    <t>B00353</t>
  </si>
  <si>
    <t>F00369</t>
  </si>
  <si>
    <t>C00488</t>
  </si>
  <si>
    <t>F00367</t>
  </si>
  <si>
    <t>F00366</t>
  </si>
  <si>
    <t>C00516</t>
  </si>
  <si>
    <t>C00515</t>
  </si>
  <si>
    <t>F00363</t>
  </si>
  <si>
    <t>B00381</t>
  </si>
  <si>
    <t>F00365</t>
  </si>
  <si>
    <t>F00364</t>
  </si>
  <si>
    <t>C00518</t>
  </si>
  <si>
    <t>H00557</t>
  </si>
  <si>
    <t>E00395</t>
  </si>
  <si>
    <t>N00290</t>
  </si>
  <si>
    <t>F00371</t>
  </si>
  <si>
    <t>F00372</t>
  </si>
  <si>
    <t>C00484</t>
  </si>
  <si>
    <t>H00484</t>
  </si>
  <si>
    <t>P00165</t>
  </si>
  <si>
    <t>C00517</t>
  </si>
  <si>
    <t>E00407</t>
  </si>
  <si>
    <t>E00412</t>
  </si>
  <si>
    <t>H00561</t>
  </si>
  <si>
    <t>C00458</t>
  </si>
  <si>
    <t>E00394</t>
  </si>
  <si>
    <t>E00416</t>
  </si>
  <si>
    <t>H00564</t>
  </si>
  <si>
    <t>F00352</t>
  </si>
  <si>
    <t>F00553</t>
  </si>
  <si>
    <t>C00538</t>
  </si>
  <si>
    <t>F00358</t>
  </si>
  <si>
    <t>F00357</t>
  </si>
  <si>
    <t>F00378</t>
  </si>
  <si>
    <t>F00360</t>
  </si>
  <si>
    <t>E00418</t>
  </si>
  <si>
    <t>E00406</t>
  </si>
  <si>
    <t>G00159</t>
  </si>
  <si>
    <t>E00419</t>
  </si>
  <si>
    <t>H00574</t>
  </si>
  <si>
    <t>H00444</t>
  </si>
  <si>
    <t>F00389</t>
  </si>
  <si>
    <t>G00168</t>
  </si>
  <si>
    <t>E00413</t>
  </si>
  <si>
    <t>F00392</t>
  </si>
  <si>
    <t>F00370</t>
  </si>
  <si>
    <t>C00523</t>
  </si>
  <si>
    <t>C00522</t>
  </si>
  <si>
    <t>E00428</t>
  </si>
  <si>
    <t>E00402</t>
  </si>
  <si>
    <t>F00391</t>
  </si>
  <si>
    <t>F00388</t>
  </si>
  <si>
    <t>J00406</t>
  </si>
  <si>
    <t>B00315</t>
  </si>
  <si>
    <t>B00314</t>
  </si>
  <si>
    <t>F00347</t>
  </si>
  <si>
    <t>J00412</t>
  </si>
  <si>
    <t>H00476</t>
  </si>
  <si>
    <t>F00390</t>
  </si>
  <si>
    <t>J00411</t>
  </si>
  <si>
    <t>H00581</t>
  </si>
  <si>
    <t>B00236</t>
  </si>
  <si>
    <t>B00237</t>
  </si>
  <si>
    <t>B00304</t>
  </si>
  <si>
    <t>B00339</t>
  </si>
  <si>
    <t>F00318</t>
  </si>
  <si>
    <t>F00317</t>
  </si>
  <si>
    <t>B00303</t>
  </si>
  <si>
    <t>B00302</t>
  </si>
  <si>
    <t>F00304</t>
  </si>
  <si>
    <t>F00305</t>
  </si>
  <si>
    <t>J00353</t>
  </si>
  <si>
    <t>J00384</t>
  </si>
  <si>
    <t>C00445</t>
  </si>
  <si>
    <t>N00246</t>
  </si>
  <si>
    <t>N00245</t>
  </si>
  <si>
    <t>E00358</t>
  </si>
  <si>
    <t>E00378</t>
  </si>
  <si>
    <t>C00479</t>
  </si>
  <si>
    <t>J00326</t>
  </si>
  <si>
    <t>J00328</t>
  </si>
  <si>
    <t>J00329</t>
  </si>
  <si>
    <t>J00327</t>
  </si>
  <si>
    <t>J00331</t>
  </si>
  <si>
    <t>J00330</t>
  </si>
  <si>
    <t>J00341</t>
  </si>
  <si>
    <t>J00342</t>
  </si>
  <si>
    <t>J00346</t>
  </si>
  <si>
    <t>J00347</t>
  </si>
  <si>
    <t>C00459</t>
  </si>
  <si>
    <t>C00461</t>
  </si>
  <si>
    <t>C00490</t>
  </si>
  <si>
    <t>C00421</t>
  </si>
  <si>
    <t>J00245</t>
  </si>
  <si>
    <t>J00241</t>
  </si>
  <si>
    <t>J00244</t>
  </si>
  <si>
    <t>J00248</t>
  </si>
  <si>
    <t>H00525</t>
  </si>
  <si>
    <t>H00526</t>
  </si>
  <si>
    <t>H00522</t>
  </si>
  <si>
    <t>H00524</t>
  </si>
  <si>
    <t>H00520</t>
  </si>
  <si>
    <t>H00521</t>
  </si>
  <si>
    <t>H00523</t>
  </si>
  <si>
    <t>H00528</t>
  </si>
  <si>
    <t>H00527</t>
  </si>
  <si>
    <t>B00316</t>
  </si>
  <si>
    <t>B00321</t>
  </si>
  <si>
    <t>C00434</t>
  </si>
  <si>
    <t>C00437</t>
  </si>
  <si>
    <t>H00496</t>
  </si>
  <si>
    <t>H00497</t>
  </si>
  <si>
    <t>C00510</t>
  </si>
  <si>
    <t>L00186</t>
  </si>
  <si>
    <t>L00187</t>
  </si>
  <si>
    <t>B00329</t>
  </si>
  <si>
    <t>C00467</t>
  </si>
  <si>
    <t>C00491</t>
  </si>
  <si>
    <t>C00460</t>
  </si>
  <si>
    <t>C00468</t>
  </si>
  <si>
    <t>C00497</t>
  </si>
  <si>
    <t>C00498</t>
  </si>
  <si>
    <t>G00142</t>
  </si>
  <si>
    <t>B00344</t>
  </si>
  <si>
    <t>B00345</t>
  </si>
  <si>
    <t>B00330</t>
  </si>
  <si>
    <t>B00334</t>
  </si>
  <si>
    <t>B00363</t>
  </si>
  <si>
    <t>B00362</t>
  </si>
  <si>
    <t>B00361</t>
  </si>
  <si>
    <t>B00364</t>
  </si>
  <si>
    <t>B00352</t>
  </si>
  <si>
    <t>B00351</t>
  </si>
  <si>
    <t>C00464</t>
  </si>
  <si>
    <t>C00463</t>
  </si>
  <si>
    <t>C00462</t>
  </si>
  <si>
    <t>H00453</t>
  </si>
  <si>
    <t>B00378</t>
  </si>
  <si>
    <t>B00380</t>
  </si>
  <si>
    <t>B00377</t>
  </si>
  <si>
    <t>B00379</t>
  </si>
  <si>
    <t>B00375</t>
  </si>
  <si>
    <t>B00376</t>
  </si>
  <si>
    <t>N00285</t>
  </si>
  <si>
    <t>G00146</t>
  </si>
  <si>
    <t>G00150</t>
  </si>
  <si>
    <t>L00133</t>
  </si>
  <si>
    <t>L00132</t>
  </si>
  <si>
    <t>L00134</t>
  </si>
  <si>
    <t>H00422</t>
  </si>
  <si>
    <t>H00555</t>
  </si>
  <si>
    <t>H00490</t>
  </si>
  <si>
    <t>H00423</t>
  </si>
  <si>
    <t>C00520</t>
  </si>
  <si>
    <t>C00519</t>
  </si>
  <si>
    <t>G00157</t>
  </si>
  <si>
    <t>G00156</t>
  </si>
  <si>
    <t>G00170</t>
  </si>
  <si>
    <t>G00158</t>
  </si>
  <si>
    <t>G00154</t>
  </si>
  <si>
    <t>G00155</t>
  </si>
  <si>
    <t>G00172</t>
  </si>
  <si>
    <t>G00171</t>
  </si>
  <si>
    <t>F00353</t>
  </si>
  <si>
    <t>F00361</t>
  </si>
  <si>
    <t>F00362</t>
  </si>
  <si>
    <t>F00383</t>
  </si>
  <si>
    <t>F00350</t>
  </si>
  <si>
    <t>F00349</t>
  </si>
  <si>
    <t>F00382</t>
  </si>
  <si>
    <t>E00417</t>
  </si>
  <si>
    <t>E00382</t>
  </si>
  <si>
    <t>H00428</t>
  </si>
  <si>
    <t>H00430</t>
  </si>
  <si>
    <t>J00409</t>
  </si>
  <si>
    <t>J00408</t>
  </si>
  <si>
    <t>J00407</t>
  </si>
  <si>
    <t>J00404</t>
  </si>
  <si>
    <t>C00457</t>
  </si>
  <si>
    <t>h00527</t>
  </si>
  <si>
    <t>Ink Flint - SUPERLAM GR. GREEN INK (WCL3-60JK-01MK)</t>
  </si>
  <si>
    <t>TOYO - GOLD</t>
  </si>
  <si>
    <t>R1205</t>
  </si>
  <si>
    <t>ToyoLi</t>
  </si>
  <si>
    <t>FYTR</t>
  </si>
  <si>
    <t>OUTPUT MTR</t>
  </si>
  <si>
    <t>FlintSL - Violet</t>
  </si>
  <si>
    <t>REMARKS</t>
  </si>
  <si>
    <t>Jan-2025 rates</t>
  </si>
  <si>
    <t>FTC</t>
  </si>
  <si>
    <t>ABA</t>
  </si>
  <si>
    <t>INK FLINT -PRESSADD ADHESION 508 (WRK6-00HK-01MV)</t>
  </si>
  <si>
    <t>INK FLINT -SUPERLAM GR TECHNICAL COMPOUND (WCL3-T02K-01MV)</t>
  </si>
  <si>
    <t>TLSI</t>
  </si>
  <si>
    <t>TLGO</t>
  </si>
  <si>
    <t>Ink Flint  - SUPERLAM GR. YELLOW (WCL3-10ZK)</t>
  </si>
  <si>
    <t>Ink Flint -PLURIPRINT RF GR SR. TECHNICAL COMPOUND (Surface)</t>
  </si>
  <si>
    <t>INK SUN - DURAFLEX TS HS white WHITE (91232-2000)</t>
  </si>
  <si>
    <t>Ink Sun -DURAFLEX TF HS GOLD (91232-25023-20L)</t>
  </si>
  <si>
    <t>INK SUN POLYPRINT PROCESS CYAN (91235-9417N-180D)</t>
  </si>
  <si>
    <t>INK SUN POLYPRINT PROCESS MAGENTA (91235-9647N-180D)</t>
  </si>
  <si>
    <t>9647N</t>
  </si>
  <si>
    <t>9417N</t>
  </si>
  <si>
    <t>2000N</t>
  </si>
  <si>
    <t>NWBBK</t>
  </si>
  <si>
    <t>INK TOYO - LIOVALUE  MATT 2 PACK 55</t>
  </si>
  <si>
    <t>Using Check Sheet E column</t>
  </si>
  <si>
    <t>From check sheet</t>
  </si>
  <si>
    <t>Rates</t>
  </si>
  <si>
    <t>DISPENSED Kg</t>
  </si>
  <si>
    <t>% DISPENSED</t>
  </si>
  <si>
    <t>Value AED</t>
  </si>
  <si>
    <t>BAR CODE</t>
  </si>
  <si>
    <t>WORK ORDER</t>
  </si>
  <si>
    <t>Design ID</t>
  </si>
  <si>
    <t>Methoxy Propanol sun chem.</t>
  </si>
  <si>
    <t>N-propyl acetate</t>
  </si>
  <si>
    <t>WZK8-010K Clear Varnish</t>
  </si>
  <si>
    <t>Price per Kg (AED OR $?)</t>
  </si>
  <si>
    <t>Sum of Sum of Output (Meters)</t>
  </si>
  <si>
    <t>Ink Flint - SUPERLAM GR SPL ADDITIVE (WRK6-028K-01MV)</t>
  </si>
  <si>
    <t>INK TOYO - LIOVALUE NW BBK ADDITIVE</t>
  </si>
  <si>
    <t>SILVER</t>
  </si>
  <si>
    <t>RTMD</t>
  </si>
  <si>
    <t>Ink flint -	SUPERLAM GR HS APF ORANGE INK 	(WCL3-20FK )</t>
  </si>
  <si>
    <t>ToyoLi - Matt</t>
  </si>
  <si>
    <t>WRK6-028K</t>
  </si>
  <si>
    <t>FILTER ONLY COMBIMED WORK ORDERS AND PASTE BELOW</t>
  </si>
  <si>
    <t>F00786</t>
  </si>
  <si>
    <t>H01078</t>
  </si>
  <si>
    <t>N00740</t>
  </si>
  <si>
    <t>G00351G</t>
  </si>
  <si>
    <t>INK TOYO - LIOVALUE RED E-2 20 K CONC 32</t>
  </si>
  <si>
    <t>WCL3-00GK SUPERLAM GR.WHITE INK</t>
  </si>
  <si>
    <t>SUN CON BLACK</t>
  </si>
  <si>
    <t>FLINT CONCENTRATE NON MAGENTA</t>
  </si>
  <si>
    <t>10000-9100</t>
  </si>
  <si>
    <t>10000-0100</t>
  </si>
  <si>
    <t>165</t>
  </si>
  <si>
    <t>TACT</t>
  </si>
  <si>
    <t>TACTH</t>
  </si>
  <si>
    <t>TL1</t>
  </si>
  <si>
    <t>TL2</t>
  </si>
  <si>
    <t>TL3</t>
  </si>
  <si>
    <t>TL4</t>
  </si>
  <si>
    <t>TL5</t>
  </si>
  <si>
    <t>TL6</t>
  </si>
  <si>
    <t>TL7</t>
  </si>
  <si>
    <t>TL8</t>
  </si>
  <si>
    <t>TL9</t>
  </si>
  <si>
    <t>TL10</t>
  </si>
  <si>
    <t>TL11</t>
  </si>
  <si>
    <t>TL12</t>
  </si>
  <si>
    <t>TL13</t>
  </si>
  <si>
    <t>TL14</t>
  </si>
  <si>
    <t>TL15</t>
  </si>
  <si>
    <t>TL16</t>
  </si>
  <si>
    <t>TL17</t>
  </si>
  <si>
    <t>TL18</t>
  </si>
  <si>
    <t>TL19</t>
  </si>
  <si>
    <t>TL20</t>
  </si>
  <si>
    <t>TL21</t>
  </si>
  <si>
    <t>TL22</t>
  </si>
  <si>
    <t>TL23</t>
  </si>
  <si>
    <t>TL24</t>
  </si>
  <si>
    <t>TL25</t>
  </si>
  <si>
    <t>TL26</t>
  </si>
  <si>
    <t>TL27</t>
  </si>
  <si>
    <t>TL28</t>
  </si>
  <si>
    <t>TL29</t>
  </si>
  <si>
    <t>TL30</t>
  </si>
  <si>
    <t>TL31</t>
  </si>
  <si>
    <t>TL32</t>
  </si>
  <si>
    <t>TL33</t>
  </si>
  <si>
    <t>TL34</t>
  </si>
  <si>
    <t>TL35</t>
  </si>
  <si>
    <t>TL36</t>
  </si>
  <si>
    <t>TL37</t>
  </si>
  <si>
    <t>TL38</t>
  </si>
  <si>
    <t>TL39</t>
  </si>
  <si>
    <t>TL40</t>
  </si>
  <si>
    <t>TL41</t>
  </si>
  <si>
    <t>TL42</t>
  </si>
  <si>
    <t>TL43</t>
  </si>
  <si>
    <t>TL44</t>
  </si>
  <si>
    <t>TL45</t>
  </si>
  <si>
    <t>TL46</t>
  </si>
  <si>
    <t>TL47</t>
  </si>
  <si>
    <t>TL48</t>
  </si>
  <si>
    <t>TL49</t>
  </si>
  <si>
    <t>TL50</t>
  </si>
  <si>
    <t>TL51</t>
  </si>
  <si>
    <t>TL52</t>
  </si>
  <si>
    <t>TL53</t>
  </si>
  <si>
    <t>TL54</t>
  </si>
  <si>
    <t>TL55</t>
  </si>
  <si>
    <t>TL56</t>
  </si>
  <si>
    <t>TL57</t>
  </si>
  <si>
    <t>TL58</t>
  </si>
  <si>
    <t>TL59</t>
  </si>
  <si>
    <t>TL60</t>
  </si>
  <si>
    <t>TL61</t>
  </si>
  <si>
    <t>TL62</t>
  </si>
  <si>
    <t>TL63</t>
  </si>
  <si>
    <t>TL64</t>
  </si>
  <si>
    <t>TL65</t>
  </si>
  <si>
    <t>TL66</t>
  </si>
  <si>
    <t>TL67</t>
  </si>
  <si>
    <t>TL68</t>
  </si>
  <si>
    <t>TL69</t>
  </si>
  <si>
    <t>TL70</t>
  </si>
  <si>
    <t>TL71</t>
  </si>
  <si>
    <t>TL72</t>
  </si>
  <si>
    <t>TL73</t>
  </si>
  <si>
    <t>TL74</t>
  </si>
  <si>
    <t>TL75</t>
  </si>
  <si>
    <t>TL76</t>
  </si>
  <si>
    <t>TL77</t>
  </si>
  <si>
    <t>TL78</t>
  </si>
  <si>
    <t>TL79</t>
  </si>
  <si>
    <t>TL80</t>
  </si>
  <si>
    <t>TL81</t>
  </si>
  <si>
    <t>TL82</t>
  </si>
  <si>
    <t>TL83</t>
  </si>
  <si>
    <t>TL84</t>
  </si>
  <si>
    <t>TL85</t>
  </si>
  <si>
    <t>TL86</t>
  </si>
  <si>
    <t>TL87</t>
  </si>
  <si>
    <t>TL88</t>
  </si>
  <si>
    <t>TL89</t>
  </si>
  <si>
    <t>TL90</t>
  </si>
  <si>
    <t>TL91</t>
  </si>
  <si>
    <t>TL92</t>
  </si>
  <si>
    <t>TL93</t>
  </si>
  <si>
    <t>TL94</t>
  </si>
  <si>
    <t>TL95</t>
  </si>
  <si>
    <t>TL96</t>
  </si>
  <si>
    <t>TL97</t>
  </si>
  <si>
    <t>TL98</t>
  </si>
  <si>
    <t>TL99</t>
  </si>
  <si>
    <t>TL100</t>
  </si>
  <si>
    <t>TL101</t>
  </si>
  <si>
    <t>TL102</t>
  </si>
  <si>
    <t>TL103</t>
  </si>
  <si>
    <t>TL104</t>
  </si>
  <si>
    <t>TL105</t>
  </si>
  <si>
    <t>TL106</t>
  </si>
  <si>
    <t>TL107</t>
  </si>
  <si>
    <t>TL108</t>
  </si>
  <si>
    <t>TL109</t>
  </si>
  <si>
    <t>TL110</t>
  </si>
  <si>
    <t>TL111</t>
  </si>
  <si>
    <t>TL112</t>
  </si>
  <si>
    <t>TL113</t>
  </si>
  <si>
    <t>TL114</t>
  </si>
  <si>
    <t>TL115</t>
  </si>
  <si>
    <t>TL116</t>
  </si>
  <si>
    <t>TL117</t>
  </si>
  <si>
    <t>TL118</t>
  </si>
  <si>
    <t>TL119</t>
  </si>
  <si>
    <t>TL120</t>
  </si>
  <si>
    <t>TL121</t>
  </si>
  <si>
    <t>TL122</t>
  </si>
  <si>
    <t>TL123</t>
  </si>
  <si>
    <t>TL124</t>
  </si>
  <si>
    <t>TL125</t>
  </si>
  <si>
    <t>TL126</t>
  </si>
  <si>
    <t>TL127</t>
  </si>
  <si>
    <t>TL128</t>
  </si>
  <si>
    <t>TL129</t>
  </si>
  <si>
    <t>TL130</t>
  </si>
  <si>
    <t>TL131</t>
  </si>
  <si>
    <t>TL132</t>
  </si>
  <si>
    <t>TL133</t>
  </si>
  <si>
    <t>TL134</t>
  </si>
  <si>
    <t>TL135</t>
  </si>
  <si>
    <t>TL136</t>
  </si>
  <si>
    <t>TL137</t>
  </si>
  <si>
    <t>TL138</t>
  </si>
  <si>
    <t>TL139</t>
  </si>
  <si>
    <t>TL140</t>
  </si>
  <si>
    <t>TL141</t>
  </si>
  <si>
    <t>B01009</t>
  </si>
  <si>
    <t>TL142</t>
  </si>
  <si>
    <t>Ink Sun -   HPSP-FX328:SUNSPECTRO 2K PAPER5 LS:FJ13</t>
  </si>
  <si>
    <t>Ink Sun -   H2KH-0001:SUN HARDENER 11 61:FJ13</t>
  </si>
  <si>
    <t>H01178</t>
  </si>
  <si>
    <t>E00929</t>
  </si>
  <si>
    <t>E00938</t>
  </si>
  <si>
    <t>E00926</t>
  </si>
  <si>
    <t>E00930</t>
  </si>
  <si>
    <t>H01265</t>
  </si>
  <si>
    <t>H01035</t>
  </si>
  <si>
    <t>H01034</t>
  </si>
  <si>
    <t>H01037</t>
  </si>
  <si>
    <t>H01036</t>
  </si>
  <si>
    <t>H01038</t>
  </si>
  <si>
    <t>H01188</t>
  </si>
  <si>
    <t>C01255</t>
  </si>
  <si>
    <t>B00978</t>
  </si>
  <si>
    <t>C01312</t>
  </si>
  <si>
    <t>C01315</t>
  </si>
  <si>
    <t>C01313</t>
  </si>
  <si>
    <t>C01333</t>
  </si>
  <si>
    <t>E00882</t>
  </si>
  <si>
    <t>H01247</t>
  </si>
  <si>
    <t>E00959</t>
  </si>
  <si>
    <t>H01248</t>
  </si>
  <si>
    <t>H01249</t>
  </si>
  <si>
    <t>H01175</t>
  </si>
  <si>
    <t>H01240</t>
  </si>
  <si>
    <t>C01353</t>
  </si>
  <si>
    <t>E00960</t>
  </si>
  <si>
    <t>E00958</t>
  </si>
  <si>
    <t>H01091</t>
  </si>
  <si>
    <t>H01102</t>
  </si>
  <si>
    <t>B00994</t>
  </si>
  <si>
    <t>B00858</t>
  </si>
  <si>
    <t>B00996</t>
  </si>
  <si>
    <t>B00981</t>
  </si>
  <si>
    <t>C01277</t>
  </si>
  <si>
    <t>F00809</t>
  </si>
  <si>
    <t>F00811</t>
  </si>
  <si>
    <t>F00810</t>
  </si>
  <si>
    <t>F00812</t>
  </si>
  <si>
    <t>N00763</t>
  </si>
  <si>
    <t>F00812B</t>
  </si>
  <si>
    <t>N00881</t>
  </si>
  <si>
    <t>C01294</t>
  </si>
  <si>
    <t>C01282</t>
  </si>
  <si>
    <t>L00284</t>
  </si>
  <si>
    <t>L00285</t>
  </si>
  <si>
    <t>B00957</t>
  </si>
  <si>
    <t>E00911</t>
  </si>
  <si>
    <t>E00910</t>
  </si>
  <si>
    <t>G00373</t>
  </si>
  <si>
    <t>B01019</t>
  </si>
  <si>
    <t>E00936</t>
  </si>
  <si>
    <t>H01146</t>
  </si>
  <si>
    <t>N00782</t>
  </si>
  <si>
    <t>H01233</t>
  </si>
  <si>
    <t>N00781</t>
  </si>
  <si>
    <t>J00932</t>
  </si>
  <si>
    <t>C01316</t>
  </si>
  <si>
    <t>C01209</t>
  </si>
  <si>
    <t>H01196</t>
  </si>
  <si>
    <t>H01231</t>
  </si>
  <si>
    <t>B00985</t>
  </si>
  <si>
    <t>C01349</t>
  </si>
  <si>
    <t>B01016</t>
  </si>
  <si>
    <t>HSFO</t>
  </si>
  <si>
    <t>F00823</t>
  </si>
  <si>
    <t>F00827</t>
  </si>
  <si>
    <t>F00828</t>
  </si>
  <si>
    <t>F00824</t>
  </si>
  <si>
    <t>E00937</t>
  </si>
  <si>
    <t>E00939</t>
  </si>
  <si>
    <t>H01217</t>
  </si>
  <si>
    <t>H01088</t>
  </si>
  <si>
    <t>C01328</t>
  </si>
  <si>
    <t>F00822</t>
  </si>
  <si>
    <t>F00882B</t>
  </si>
  <si>
    <t>F00882W</t>
  </si>
  <si>
    <t>N00886</t>
  </si>
  <si>
    <t>N00884</t>
  </si>
  <si>
    <t>N00885</t>
  </si>
  <si>
    <t>B00995</t>
  </si>
  <si>
    <t>B01004</t>
  </si>
  <si>
    <t>B01005</t>
  </si>
  <si>
    <t>B01007</t>
  </si>
  <si>
    <t>G00365</t>
  </si>
  <si>
    <t>J00910</t>
  </si>
  <si>
    <t>H01227</t>
  </si>
  <si>
    <t>N00842</t>
  </si>
  <si>
    <t>N00840</t>
  </si>
  <si>
    <t>N00766</t>
  </si>
  <si>
    <t>N00780</t>
  </si>
  <si>
    <t>C01302</t>
  </si>
  <si>
    <t>C01327</t>
  </si>
  <si>
    <t>H01260</t>
  </si>
  <si>
    <t>G00377</t>
  </si>
  <si>
    <t>G00359</t>
  </si>
  <si>
    <t>H01263</t>
  </si>
  <si>
    <t>H01226</t>
  </si>
  <si>
    <t>H01229</t>
  </si>
  <si>
    <t>C01310</t>
  </si>
  <si>
    <t>B01014</t>
  </si>
  <si>
    <t>C01319</t>
  </si>
  <si>
    <t>C01321</t>
  </si>
  <si>
    <t>C01322</t>
  </si>
  <si>
    <t>C01318</t>
  </si>
  <si>
    <t>F00627</t>
  </si>
  <si>
    <t>F00798</t>
  </si>
  <si>
    <t>F00794</t>
  </si>
  <si>
    <t>F00795</t>
  </si>
  <si>
    <t>C01301</t>
  </si>
  <si>
    <t>C01375</t>
  </si>
  <si>
    <t>E00971</t>
  </si>
  <si>
    <t>E00983</t>
  </si>
  <si>
    <t>H01229G</t>
  </si>
  <si>
    <t>P00376</t>
  </si>
  <si>
    <t>P00396</t>
  </si>
  <si>
    <t>L00293</t>
  </si>
  <si>
    <t>J00908</t>
  </si>
  <si>
    <t>J00909</t>
  </si>
  <si>
    <t>L00293M</t>
  </si>
  <si>
    <t>N00880</t>
  </si>
  <si>
    <t>F00832</t>
  </si>
  <si>
    <t>L00293C</t>
  </si>
  <si>
    <t>F00831</t>
  </si>
  <si>
    <t>F00833</t>
  </si>
  <si>
    <t>F00830</t>
  </si>
  <si>
    <t>B00694</t>
  </si>
  <si>
    <t>G00371</t>
  </si>
  <si>
    <t>C01393</t>
  </si>
  <si>
    <t>C01364</t>
  </si>
  <si>
    <t>C01365</t>
  </si>
  <si>
    <t>C01387</t>
  </si>
  <si>
    <t>N00814</t>
  </si>
  <si>
    <t>P00430</t>
  </si>
  <si>
    <t>N00875</t>
  </si>
  <si>
    <t>N00770</t>
  </si>
  <si>
    <t>N00875B</t>
  </si>
  <si>
    <t>G00375</t>
  </si>
  <si>
    <t>N00875G</t>
  </si>
  <si>
    <t>P00395</t>
  </si>
  <si>
    <t>P00377</t>
  </si>
  <si>
    <t>J00930</t>
  </si>
  <si>
    <t>G00378</t>
  </si>
  <si>
    <t>L00315</t>
  </si>
  <si>
    <t>E00928</t>
  </si>
  <si>
    <t>E00927</t>
  </si>
  <si>
    <t>E00961</t>
  </si>
  <si>
    <t>E00933</t>
  </si>
  <si>
    <t>E00934</t>
  </si>
  <si>
    <t>F00829</t>
  </si>
  <si>
    <t>J00941</t>
  </si>
  <si>
    <t>H01239</t>
  </si>
  <si>
    <t>H01212</t>
  </si>
  <si>
    <t>L00313</t>
  </si>
  <si>
    <t>H01232</t>
  </si>
  <si>
    <t>B00990</t>
  </si>
  <si>
    <t>B01017</t>
  </si>
  <si>
    <t>H01236</t>
  </si>
  <si>
    <t>H01242</t>
  </si>
  <si>
    <t>F00826</t>
  </si>
  <si>
    <t>F00801</t>
  </si>
  <si>
    <t>F00799</t>
  </si>
  <si>
    <t>C01344</t>
  </si>
  <si>
    <t>C01343</t>
  </si>
  <si>
    <t>L00293P</t>
  </si>
  <si>
    <t>J00934</t>
  </si>
  <si>
    <t>J00933</t>
  </si>
  <si>
    <t>B00970</t>
  </si>
  <si>
    <t>P00439</t>
  </si>
  <si>
    <t>B00970B</t>
  </si>
  <si>
    <t>N00761</t>
  </si>
  <si>
    <t>C01389</t>
  </si>
  <si>
    <t>C01386</t>
  </si>
  <si>
    <t>C01388</t>
  </si>
  <si>
    <t>J00833</t>
  </si>
  <si>
    <t>J00829</t>
  </si>
  <si>
    <t>J00830</t>
  </si>
  <si>
    <t>P00431</t>
  </si>
  <si>
    <t>B01006</t>
  </si>
  <si>
    <t>B00966</t>
  </si>
  <si>
    <t>B00857</t>
  </si>
  <si>
    <t>B00857B</t>
  </si>
  <si>
    <t>B01003</t>
  </si>
  <si>
    <t>B01002</t>
  </si>
  <si>
    <t>B01010</t>
  </si>
  <si>
    <t>N00656</t>
  </si>
  <si>
    <t>R00014</t>
  </si>
  <si>
    <t>J00931</t>
  </si>
  <si>
    <t>L00310</t>
  </si>
  <si>
    <t>J00931M</t>
  </si>
  <si>
    <t>L00311</t>
  </si>
  <si>
    <t>L00312</t>
  </si>
  <si>
    <t>H01238</t>
  </si>
  <si>
    <t>C01361</t>
  </si>
  <si>
    <t>C01323</t>
  </si>
  <si>
    <t>C01376</t>
  </si>
  <si>
    <t>L00317</t>
  </si>
  <si>
    <t>L00316</t>
  </si>
  <si>
    <t>H01269</t>
  </si>
  <si>
    <t>H01267</t>
  </si>
  <si>
    <t>F00842</t>
  </si>
  <si>
    <t>E00974</t>
  </si>
  <si>
    <t>E00972</t>
  </si>
  <si>
    <t>C01196</t>
  </si>
  <si>
    <t>C01336</t>
  </si>
  <si>
    <t>C01336B</t>
  </si>
  <si>
    <t>H01301</t>
  </si>
  <si>
    <t>H01303</t>
  </si>
  <si>
    <t>H01305</t>
  </si>
  <si>
    <t>H01302</t>
  </si>
  <si>
    <t>P00378</t>
  </si>
  <si>
    <t>H01304</t>
  </si>
  <si>
    <t>H01261</t>
  </si>
  <si>
    <t>H01235</t>
  </si>
  <si>
    <t>J00946</t>
  </si>
  <si>
    <t>F00838</t>
  </si>
  <si>
    <t>N00746</t>
  </si>
  <si>
    <t>N00835</t>
  </si>
  <si>
    <t>C01404</t>
  </si>
  <si>
    <t>H01071</t>
  </si>
  <si>
    <t>B01023</t>
  </si>
  <si>
    <t>C01368</t>
  </si>
  <si>
    <t>G00373G</t>
  </si>
  <si>
    <t>B01024</t>
  </si>
  <si>
    <t>B01023B</t>
  </si>
  <si>
    <t>B00992</t>
  </si>
  <si>
    <t>B00993</t>
  </si>
  <si>
    <t>f00845</t>
  </si>
  <si>
    <t>F00844</t>
  </si>
  <si>
    <t>N00919</t>
  </si>
  <si>
    <t>F00844B</t>
  </si>
  <si>
    <t>G00387</t>
  </si>
  <si>
    <t>R00015</t>
  </si>
  <si>
    <t>J00936</t>
  </si>
  <si>
    <t>R00015M</t>
  </si>
  <si>
    <t>J00938</t>
  </si>
  <si>
    <t>J00935</t>
  </si>
  <si>
    <t>J00937</t>
  </si>
  <si>
    <t>B01027</t>
  </si>
  <si>
    <t>J00937Y</t>
  </si>
  <si>
    <t>N00911</t>
  </si>
  <si>
    <t>N00912</t>
  </si>
  <si>
    <t>N00913</t>
  </si>
  <si>
    <t>F00843</t>
  </si>
  <si>
    <t>N00891</t>
  </si>
  <si>
    <t>N00889</t>
  </si>
  <si>
    <t>H01280</t>
  </si>
  <si>
    <t>H01098</t>
  </si>
  <si>
    <t>H01218</t>
  </si>
  <si>
    <t>G00389</t>
  </si>
  <si>
    <t>E00977</t>
  </si>
  <si>
    <t>E00987</t>
  </si>
  <si>
    <t>C01338</t>
  </si>
  <si>
    <t>C01360</t>
  </si>
  <si>
    <t>H01075</t>
  </si>
  <si>
    <t>B01028</t>
  </si>
  <si>
    <t>H01290</t>
  </si>
  <si>
    <t>N00838</t>
  </si>
  <si>
    <t>N00837</t>
  </si>
  <si>
    <t>N00836</t>
  </si>
  <si>
    <t>N00833</t>
  </si>
  <si>
    <t>N00836B</t>
  </si>
  <si>
    <t>N00836C</t>
  </si>
  <si>
    <t>N00836M</t>
  </si>
  <si>
    <t>N00836Y</t>
  </si>
  <si>
    <t>N00836W</t>
  </si>
  <si>
    <t>N00832</t>
  </si>
  <si>
    <t>H01081</t>
  </si>
  <si>
    <t>H01110</t>
  </si>
  <si>
    <t>H01077</t>
  </si>
  <si>
    <t>H01257</t>
  </si>
  <si>
    <t>H01211</t>
  </si>
  <si>
    <t>H01254</t>
  </si>
  <si>
    <t>H01264</t>
  </si>
  <si>
    <t>J00865</t>
  </si>
  <si>
    <t>J00866</t>
  </si>
  <si>
    <t>J00868</t>
  </si>
  <si>
    <t>J00861</t>
  </si>
  <si>
    <t>J00860</t>
  </si>
  <si>
    <t>J00863</t>
  </si>
  <si>
    <t>J00868B</t>
  </si>
  <si>
    <t>J00867</t>
  </si>
  <si>
    <t>J00862</t>
  </si>
  <si>
    <t>H01214</t>
  </si>
  <si>
    <t>H01255</t>
  </si>
  <si>
    <t>H01281</t>
  </si>
  <si>
    <t>C01399</t>
  </si>
  <si>
    <t>N00864</t>
  </si>
  <si>
    <t>H01258</t>
  </si>
  <si>
    <t>N00866</t>
  </si>
  <si>
    <t>N00865</t>
  </si>
  <si>
    <t>N00867</t>
  </si>
  <si>
    <t>N00865M</t>
  </si>
  <si>
    <t>E00973</t>
  </si>
  <si>
    <t>N00867M</t>
  </si>
  <si>
    <t>H01349</t>
  </si>
  <si>
    <t>J00868R</t>
  </si>
  <si>
    <t>H01213</t>
  </si>
  <si>
    <t>N00808</t>
  </si>
  <si>
    <t>E00982</t>
  </si>
  <si>
    <t>E00981</t>
  </si>
  <si>
    <t>N00805W</t>
  </si>
  <si>
    <t>H01259</t>
  </si>
  <si>
    <t>E00981B</t>
  </si>
  <si>
    <t>E00975</t>
  </si>
  <si>
    <t>C01372</t>
  </si>
  <si>
    <t>C01420</t>
  </si>
  <si>
    <t>C01372B</t>
  </si>
  <si>
    <t>E00984</t>
  </si>
  <si>
    <t>E00986</t>
  </si>
  <si>
    <t>C01420G</t>
  </si>
  <si>
    <t>F00849</t>
  </si>
  <si>
    <t>E00986B</t>
  </si>
  <si>
    <t>E00986M</t>
  </si>
  <si>
    <t>H01297</t>
  </si>
  <si>
    <t>F00840</t>
  </si>
  <si>
    <t>F00837</t>
  </si>
  <si>
    <t>F00840B</t>
  </si>
  <si>
    <t>H01284</t>
  </si>
  <si>
    <t>P00455</t>
  </si>
  <si>
    <t>N00849</t>
  </si>
  <si>
    <t>C01408</t>
  </si>
  <si>
    <t>N00823</t>
  </si>
  <si>
    <t>P00446</t>
  </si>
  <si>
    <t>P00438</t>
  </si>
  <si>
    <t>P00446B</t>
  </si>
  <si>
    <t>B01034</t>
  </si>
  <si>
    <t>G00374</t>
  </si>
  <si>
    <t>C01444</t>
  </si>
  <si>
    <t>P00443</t>
  </si>
  <si>
    <t>P00441</t>
  </si>
  <si>
    <t>P00440G</t>
  </si>
  <si>
    <t>F00845G</t>
  </si>
  <si>
    <t>N00815</t>
  </si>
  <si>
    <t>N00817</t>
  </si>
  <si>
    <t>N00818</t>
  </si>
  <si>
    <t>N00757</t>
  </si>
  <si>
    <t>J00949</t>
  </si>
  <si>
    <t>N00757B</t>
  </si>
  <si>
    <t>N00757M</t>
  </si>
  <si>
    <t>J00929</t>
  </si>
  <si>
    <t>F00846</t>
  </si>
  <si>
    <t>J00929B</t>
  </si>
  <si>
    <t>B01033</t>
  </si>
  <si>
    <t>F00847</t>
  </si>
  <si>
    <t>F00846C</t>
  </si>
  <si>
    <t>F00850</t>
  </si>
  <si>
    <t>B01026</t>
  </si>
  <si>
    <t>H01361</t>
  </si>
  <si>
    <t>F00850R</t>
  </si>
  <si>
    <t>H01309</t>
  </si>
  <si>
    <t>F00848</t>
  </si>
  <si>
    <t>F00846G</t>
  </si>
  <si>
    <t>TL143</t>
  </si>
  <si>
    <t>C01351</t>
  </si>
  <si>
    <t>C01347</t>
  </si>
  <si>
    <t>J00940</t>
  </si>
  <si>
    <t>H01087</t>
  </si>
  <si>
    <t>H01079</t>
  </si>
  <si>
    <t>G00391</t>
  </si>
  <si>
    <t>C01348</t>
  </si>
  <si>
    <t>E00962</t>
  </si>
  <si>
    <t>E00980</t>
  </si>
  <si>
    <t>WCL3-E06K SUPERLAM HS APF EXTENDER</t>
  </si>
  <si>
    <t>WCL3-119K SUPERLAM GR HS APF PRO. YELLOW INK</t>
  </si>
  <si>
    <t>WCL3-118K SUPERLAM GR HS APF TPT YELLOW INK</t>
  </si>
  <si>
    <t>WRK6-00HK PRESS ADD ADHESION 508</t>
  </si>
  <si>
    <t>WCL3-90AK SUPERLAM GR HS APF BLACK INK</t>
  </si>
  <si>
    <t>WCL3-50NK SUPERLAM GR HS APF CYAN INK</t>
  </si>
  <si>
    <t>WCL3-20FK SUPERLAM GR HS APF ORANGE INK</t>
  </si>
  <si>
    <t>WCL3-60LK SUPERLAM GR HS APF GREEN INK</t>
  </si>
  <si>
    <t>WCL3-40CK SUPERLAM GR HS APF ARSR VIOLET INK</t>
  </si>
  <si>
    <t>WCL3-311K SUPERLAM GR HS APF NON AR MAGENTA INK</t>
  </si>
  <si>
    <t>WCL3-312K SUPERLAM GR HS APF WARM RED INK</t>
  </si>
  <si>
    <t>WCL3-310K SUPERLAM GR HS APF AR MAGENTA INK</t>
  </si>
  <si>
    <t>MIX RED</t>
  </si>
  <si>
    <t>MIX DR GREEN</t>
  </si>
  <si>
    <t>add opening</t>
  </si>
  <si>
    <t>add sum</t>
  </si>
  <si>
    <t>Opening</t>
  </si>
  <si>
    <t>Dec</t>
  </si>
  <si>
    <t>B00923</t>
  </si>
  <si>
    <t>B00977</t>
  </si>
  <si>
    <t>B00998</t>
  </si>
  <si>
    <t>B00999</t>
  </si>
  <si>
    <t>B01021</t>
  </si>
  <si>
    <t>B01036</t>
  </si>
  <si>
    <t>B01040</t>
  </si>
  <si>
    <t>C01285</t>
  </si>
  <si>
    <t>C01286</t>
  </si>
  <si>
    <t>C01304</t>
  </si>
  <si>
    <t>C01306</t>
  </si>
  <si>
    <t>C01308</t>
  </si>
  <si>
    <t>C01311</t>
  </si>
  <si>
    <t>C01329</t>
  </si>
  <si>
    <t>C01362</t>
  </si>
  <si>
    <t>C01379</t>
  </si>
  <si>
    <t>C01383</t>
  </si>
  <si>
    <t>C01384</t>
  </si>
  <si>
    <t>C01385</t>
  </si>
  <si>
    <t>C01394</t>
  </si>
  <si>
    <t>C01397</t>
  </si>
  <si>
    <t>C01406</t>
  </si>
  <si>
    <t>E00743</t>
  </si>
  <si>
    <t>E00912</t>
  </si>
  <si>
    <t>E00931</t>
  </si>
  <si>
    <t>E00940</t>
  </si>
  <si>
    <t>E00943</t>
  </si>
  <si>
    <t>E00947</t>
  </si>
  <si>
    <t>F00774</t>
  </si>
  <si>
    <t>F00815</t>
  </si>
  <si>
    <t>G00381</t>
  </si>
  <si>
    <t>H01225</t>
  </si>
  <si>
    <t>H01245</t>
  </si>
  <si>
    <t>H01294</t>
  </si>
  <si>
    <t>H01298</t>
  </si>
  <si>
    <t>J00835</t>
  </si>
  <si>
    <t>J00902</t>
  </si>
  <si>
    <t>J00906</t>
  </si>
  <si>
    <t>J00928</t>
  </si>
  <si>
    <t>J00939</t>
  </si>
  <si>
    <t>N00758</t>
  </si>
  <si>
    <t>N00778</t>
  </si>
  <si>
    <t>N00844</t>
  </si>
  <si>
    <t>P00442</t>
  </si>
  <si>
    <t>B00922</t>
  </si>
  <si>
    <t>B00979</t>
  </si>
  <si>
    <t>B01000</t>
  </si>
  <si>
    <t>B00997</t>
  </si>
  <si>
    <t>B01020</t>
  </si>
  <si>
    <t>B01035</t>
  </si>
  <si>
    <t>B01039</t>
  </si>
  <si>
    <t>C01284</t>
  </si>
  <si>
    <t>C01299</t>
  </si>
  <si>
    <t>C01278</t>
  </si>
  <si>
    <t>C01317</t>
  </si>
  <si>
    <t>C01314</t>
  </si>
  <si>
    <t>C01337</t>
  </si>
  <si>
    <t>C01305</t>
  </si>
  <si>
    <t>C01331</t>
  </si>
  <si>
    <t>C01345</t>
  </si>
  <si>
    <t>C00980</t>
  </si>
  <si>
    <t>C01352</t>
  </si>
  <si>
    <t>C01391</t>
  </si>
  <si>
    <t>C01378</t>
  </si>
  <si>
    <t>C01367</t>
  </si>
  <si>
    <t>C01366</t>
  </si>
  <si>
    <t>C01363</t>
  </si>
  <si>
    <t>C01395</t>
  </si>
  <si>
    <t>C01396</t>
  </si>
  <si>
    <t>C01407</t>
  </si>
  <si>
    <t>E00744</t>
  </si>
  <si>
    <t>E00941</t>
  </si>
  <si>
    <t>E00903</t>
  </si>
  <si>
    <t>E00942</t>
  </si>
  <si>
    <t>E00913</t>
  </si>
  <si>
    <t>E00946</t>
  </si>
  <si>
    <t>F00775</t>
  </si>
  <si>
    <t>F00814</t>
  </si>
  <si>
    <t>G00382</t>
  </si>
  <si>
    <t>G00392</t>
  </si>
  <si>
    <t>H01202</t>
  </si>
  <si>
    <t>H01291</t>
  </si>
  <si>
    <t>H01230</t>
  </si>
  <si>
    <t>H01243</t>
  </si>
  <si>
    <t>H01295</t>
  </si>
  <si>
    <t>H01300</t>
  </si>
  <si>
    <t>J00943</t>
  </si>
  <si>
    <t>J00903</t>
  </si>
  <si>
    <t>J00927</t>
  </si>
  <si>
    <t>N00816</t>
  </si>
  <si>
    <t>N00779</t>
  </si>
  <si>
    <t>N00839</t>
  </si>
  <si>
    <t>P00440</t>
  </si>
  <si>
    <t>B01015</t>
  </si>
  <si>
    <t>C01332</t>
  </si>
  <si>
    <t>C01346</t>
  </si>
  <si>
    <t>C01401</t>
  </si>
  <si>
    <t>C01371</t>
  </si>
  <si>
    <t>C01380</t>
  </si>
  <si>
    <t>H01204</t>
  </si>
  <si>
    <t>H01228</t>
  </si>
  <si>
    <t>H01244</t>
  </si>
  <si>
    <t>J00901</t>
  </si>
  <si>
    <t>J00907</t>
  </si>
  <si>
    <t>C01350</t>
  </si>
  <si>
    <t>C01381</t>
  </si>
  <si>
    <t>J00904</t>
  </si>
  <si>
    <t>C01370</t>
  </si>
  <si>
    <t>C01377</t>
  </si>
  <si>
    <t>C01369</t>
  </si>
  <si>
    <t>Ink &amp; Solvent Cost - December 2025</t>
  </si>
  <si>
    <t>SAMPLE</t>
  </si>
  <si>
    <t>SFG</t>
  </si>
  <si>
    <t>OWR</t>
  </si>
  <si>
    <t>N00878</t>
  </si>
  <si>
    <t>H01300B</t>
  </si>
  <si>
    <t>H01300G</t>
  </si>
  <si>
    <t>F00848M</t>
  </si>
  <si>
    <t>H01300Y</t>
  </si>
  <si>
    <t>N00706</t>
  </si>
  <si>
    <t>N00878B</t>
  </si>
  <si>
    <t>C01177G</t>
  </si>
  <si>
    <t>N00886G</t>
  </si>
  <si>
    <t>N00878G</t>
  </si>
  <si>
    <t>N00878M</t>
  </si>
  <si>
    <t>N00878Y</t>
  </si>
  <si>
    <t>N00878W</t>
  </si>
  <si>
    <t>R00011</t>
  </si>
  <si>
    <t>N00706B</t>
  </si>
  <si>
    <t>J00933P</t>
  </si>
  <si>
    <t>H01361P</t>
  </si>
  <si>
    <t>H01300R</t>
  </si>
  <si>
    <t>N00706M</t>
  </si>
  <si>
    <t>N00706Y</t>
  </si>
  <si>
    <t>N00706W</t>
  </si>
  <si>
    <t>R00010</t>
  </si>
  <si>
    <t>R00011B</t>
  </si>
  <si>
    <t>N00913B</t>
  </si>
  <si>
    <t>R00011R</t>
  </si>
  <si>
    <t>R00011C</t>
  </si>
  <si>
    <t>R00011M</t>
  </si>
  <si>
    <t>R00011Y</t>
  </si>
  <si>
    <t>R00011W</t>
  </si>
  <si>
    <t>R00008</t>
  </si>
  <si>
    <t>R00010B</t>
  </si>
  <si>
    <t>H01361B</t>
  </si>
  <si>
    <t>R00010R</t>
  </si>
  <si>
    <t>R00010C</t>
  </si>
  <si>
    <t>H01309C</t>
  </si>
  <si>
    <t>R00010M</t>
  </si>
  <si>
    <t>R00010Y</t>
  </si>
  <si>
    <t>R00010W</t>
  </si>
  <si>
    <t>R00009</t>
  </si>
  <si>
    <t>R00008B</t>
  </si>
  <si>
    <t>R00008R</t>
  </si>
  <si>
    <t>R00008C</t>
  </si>
  <si>
    <t>R00008M</t>
  </si>
  <si>
    <t>R00008Y</t>
  </si>
  <si>
    <t>R00008W</t>
  </si>
  <si>
    <t>R000008M</t>
  </si>
  <si>
    <t>R00012</t>
  </si>
  <si>
    <t>R00009B</t>
  </si>
  <si>
    <t>R00009R</t>
  </si>
  <si>
    <t>R00009C</t>
  </si>
  <si>
    <t>R00009M</t>
  </si>
  <si>
    <t>P000438M</t>
  </si>
  <si>
    <t>R00009Y</t>
  </si>
  <si>
    <t>R00009W</t>
  </si>
  <si>
    <t>R00013</t>
  </si>
  <si>
    <t>R00012B</t>
  </si>
  <si>
    <t>R00012R</t>
  </si>
  <si>
    <t>R00012C</t>
  </si>
  <si>
    <t>R00012M</t>
  </si>
  <si>
    <t>R00012Y</t>
  </si>
  <si>
    <t>R00012W</t>
  </si>
  <si>
    <t>P00435</t>
  </si>
  <si>
    <t>R000013B</t>
  </si>
  <si>
    <t>J00929R/R00013R/H01300R/H01300R/J00938R</t>
  </si>
  <si>
    <t>R00013C</t>
  </si>
  <si>
    <t>R00013M</t>
  </si>
  <si>
    <t>R00013Y</t>
  </si>
  <si>
    <t>R00013W</t>
  </si>
  <si>
    <t>G00376</t>
  </si>
  <si>
    <t>P00435B</t>
  </si>
  <si>
    <t>F00833B/N00815B</t>
  </si>
  <si>
    <t>P00435C</t>
  </si>
  <si>
    <t>P00435M</t>
  </si>
  <si>
    <t>P00435Y</t>
  </si>
  <si>
    <t>P00435W</t>
  </si>
  <si>
    <t>B01041</t>
  </si>
  <si>
    <t>B00973RB</t>
  </si>
  <si>
    <t>J00833G</t>
  </si>
  <si>
    <t>P00434Y</t>
  </si>
  <si>
    <t>G00376W</t>
  </si>
  <si>
    <t>G00397</t>
  </si>
  <si>
    <t>G00376B</t>
  </si>
  <si>
    <t>G00376C</t>
  </si>
  <si>
    <t>G00376M</t>
  </si>
  <si>
    <t>G00376Y</t>
  </si>
  <si>
    <t>B01041W</t>
  </si>
  <si>
    <t>B01031/B01032</t>
  </si>
  <si>
    <t>H01361R</t>
  </si>
  <si>
    <t>N00761R/N00818R/P00434R/G00396R</t>
  </si>
  <si>
    <t>G00396W</t>
  </si>
  <si>
    <t>J00950</t>
  </si>
  <si>
    <t>G00396B</t>
  </si>
  <si>
    <t>G00375P</t>
  </si>
  <si>
    <t>B01002P</t>
  </si>
  <si>
    <t>G00396C</t>
  </si>
  <si>
    <t>G00396M</t>
  </si>
  <si>
    <t>G00396Y</t>
  </si>
  <si>
    <t>B01032W</t>
  </si>
  <si>
    <t>J00951</t>
  </si>
  <si>
    <t>J00950B</t>
  </si>
  <si>
    <t>J00950O</t>
  </si>
  <si>
    <t>J00950C</t>
  </si>
  <si>
    <t>J00950M</t>
  </si>
  <si>
    <t>J00950Y</t>
  </si>
  <si>
    <t>J00950W</t>
  </si>
  <si>
    <t>J00952</t>
  </si>
  <si>
    <t>J00951B</t>
  </si>
  <si>
    <t>J00951C</t>
  </si>
  <si>
    <t>J00951M</t>
  </si>
  <si>
    <t>J00951Y</t>
  </si>
  <si>
    <t>J00951W</t>
  </si>
  <si>
    <t>J00953</t>
  </si>
  <si>
    <t>J00952B</t>
  </si>
  <si>
    <t>N00706G</t>
  </si>
  <si>
    <t>J00750G</t>
  </si>
  <si>
    <t>J00952C</t>
  </si>
  <si>
    <t>J00952M</t>
  </si>
  <si>
    <t>J00952Y</t>
  </si>
  <si>
    <t>J00952W</t>
  </si>
  <si>
    <t>J00954</t>
  </si>
  <si>
    <t>J00953B</t>
  </si>
  <si>
    <t>J00953C</t>
  </si>
  <si>
    <t>J00953M</t>
  </si>
  <si>
    <t>J00953Y</t>
  </si>
  <si>
    <t>J00983W</t>
  </si>
  <si>
    <t>C01392</t>
  </si>
  <si>
    <t>J00954B</t>
  </si>
  <si>
    <t>J00954C</t>
  </si>
  <si>
    <t>C01403/C01390</t>
  </si>
  <si>
    <t>C01392B</t>
  </si>
  <si>
    <t>J00954Y</t>
  </si>
  <si>
    <t>B01043</t>
  </si>
  <si>
    <t>C01390B</t>
  </si>
  <si>
    <t>J00954R</t>
  </si>
  <si>
    <t>C01392C</t>
  </si>
  <si>
    <t>J00954M</t>
  </si>
  <si>
    <t>C01390Y</t>
  </si>
  <si>
    <t>J00954W</t>
  </si>
  <si>
    <t>F00835/F00856/F00834</t>
  </si>
  <si>
    <t>B01043B</t>
  </si>
  <si>
    <t>B01043C</t>
  </si>
  <si>
    <t>B01043M</t>
  </si>
  <si>
    <t>B01043U</t>
  </si>
  <si>
    <t>H01203G</t>
  </si>
  <si>
    <t>B01043W</t>
  </si>
  <si>
    <t>F00851</t>
  </si>
  <si>
    <t>F00834B</t>
  </si>
  <si>
    <t>R00009RB</t>
  </si>
  <si>
    <t>B01043R</t>
  </si>
  <si>
    <t>F00834C</t>
  </si>
  <si>
    <t>F00834M</t>
  </si>
  <si>
    <t>F00834Y</t>
  </si>
  <si>
    <t>F00848G</t>
  </si>
  <si>
    <t>F00834W</t>
  </si>
  <si>
    <t>F00857</t>
  </si>
  <si>
    <t>F00851B</t>
  </si>
  <si>
    <t>F00851C</t>
  </si>
  <si>
    <t>F00851M</t>
  </si>
  <si>
    <t>F00851Y</t>
  </si>
  <si>
    <t>F00851W</t>
  </si>
  <si>
    <t>C01449</t>
  </si>
  <si>
    <t>F00857B</t>
  </si>
  <si>
    <t>F00857C</t>
  </si>
  <si>
    <t>J00869</t>
  </si>
  <si>
    <t>C01449B</t>
  </si>
  <si>
    <t>B00966O</t>
  </si>
  <si>
    <t>B01041O</t>
  </si>
  <si>
    <t>F00857M</t>
  </si>
  <si>
    <t>F00857Y</t>
  </si>
  <si>
    <t>J00870</t>
  </si>
  <si>
    <t>J00869B</t>
  </si>
  <si>
    <t>J00953B/J00952B</t>
  </si>
  <si>
    <t>J00869C</t>
  </si>
  <si>
    <t>J00869M</t>
  </si>
  <si>
    <t>J00869Y</t>
  </si>
  <si>
    <t>C01449C</t>
  </si>
  <si>
    <t>J00869W</t>
  </si>
  <si>
    <t>J00872</t>
  </si>
  <si>
    <t>J00870B</t>
  </si>
  <si>
    <t>J00950P</t>
  </si>
  <si>
    <t>J00870C</t>
  </si>
  <si>
    <t>J00870M</t>
  </si>
  <si>
    <t>J00870Y</t>
  </si>
  <si>
    <t>J00870W</t>
  </si>
  <si>
    <t>J00874</t>
  </si>
  <si>
    <t>J00872B</t>
  </si>
  <si>
    <t>B01034R</t>
  </si>
  <si>
    <t>J00872C</t>
  </si>
  <si>
    <t>J00872M</t>
  </si>
  <si>
    <t>J00872Y</t>
  </si>
  <si>
    <t>J00872W</t>
  </si>
  <si>
    <t>J00871</t>
  </si>
  <si>
    <t>J00874B</t>
  </si>
  <si>
    <t>B01041G</t>
  </si>
  <si>
    <t>N00818G</t>
  </si>
  <si>
    <t>J00874C</t>
  </si>
  <si>
    <t>J00834M</t>
  </si>
  <si>
    <t>J00874Y</t>
  </si>
  <si>
    <t>B01043G</t>
  </si>
  <si>
    <t>J00874W</t>
  </si>
  <si>
    <t>B01025</t>
  </si>
  <si>
    <t>J00871B</t>
  </si>
  <si>
    <t>F008359</t>
  </si>
  <si>
    <t>R00008RB</t>
  </si>
  <si>
    <t>J00871C</t>
  </si>
  <si>
    <t>J00871M</t>
  </si>
  <si>
    <t>J00871Y</t>
  </si>
  <si>
    <t>J00871W</t>
  </si>
  <si>
    <t>N00907</t>
  </si>
  <si>
    <t>R01025B</t>
  </si>
  <si>
    <t>N00706B/F00844B</t>
  </si>
  <si>
    <t>F00851R</t>
  </si>
  <si>
    <t>F00857G</t>
  </si>
  <si>
    <t>B01025C</t>
  </si>
  <si>
    <t>B01025M</t>
  </si>
  <si>
    <t>B01025Y</t>
  </si>
  <si>
    <t>B01025W</t>
  </si>
  <si>
    <t>H01307</t>
  </si>
  <si>
    <t>B01025B</t>
  </si>
  <si>
    <t>B00952B</t>
  </si>
  <si>
    <t>N00907W</t>
  </si>
  <si>
    <t>H01362</t>
  </si>
  <si>
    <t>N00893B</t>
  </si>
  <si>
    <t>H01307W</t>
  </si>
  <si>
    <t>H01306</t>
  </si>
  <si>
    <t>H01307RB</t>
  </si>
  <si>
    <t>N00893R</t>
  </si>
  <si>
    <t>J00869R/B01032R</t>
  </si>
  <si>
    <t>H01307B</t>
  </si>
  <si>
    <t>H01307B/N00815M</t>
  </si>
  <si>
    <t>H01362C</t>
  </si>
  <si>
    <t>N00893M</t>
  </si>
  <si>
    <t>N00893Y</t>
  </si>
  <si>
    <t>H01362W</t>
  </si>
  <si>
    <t>N00877</t>
  </si>
  <si>
    <t>J00953G</t>
  </si>
  <si>
    <t>H01306M</t>
  </si>
  <si>
    <t>H01306Y</t>
  </si>
  <si>
    <t>H01306W</t>
  </si>
  <si>
    <t>C01434</t>
  </si>
  <si>
    <t>H01284G</t>
  </si>
  <si>
    <t>F00837R</t>
  </si>
  <si>
    <t>G00392O</t>
  </si>
  <si>
    <t>E00996</t>
  </si>
  <si>
    <t>H01284B</t>
  </si>
  <si>
    <t>C01434R</t>
  </si>
  <si>
    <t>H01284C</t>
  </si>
  <si>
    <t>H01284M</t>
  </si>
  <si>
    <t>H01284Y</t>
  </si>
  <si>
    <t>E00997</t>
  </si>
  <si>
    <t>E00996B</t>
  </si>
  <si>
    <t>E00996R</t>
  </si>
  <si>
    <t>E00996C</t>
  </si>
  <si>
    <t>E00996M</t>
  </si>
  <si>
    <t>E00996Y</t>
  </si>
  <si>
    <t>N00703</t>
  </si>
  <si>
    <t>E00997B</t>
  </si>
  <si>
    <t>C01434G</t>
  </si>
  <si>
    <t>E00997M</t>
  </si>
  <si>
    <t>E00997Y</t>
  </si>
  <si>
    <t>C01434W</t>
  </si>
  <si>
    <t>C01421</t>
  </si>
  <si>
    <t>N00703B</t>
  </si>
  <si>
    <t>E00996BN</t>
  </si>
  <si>
    <t>E00997R</t>
  </si>
  <si>
    <t>E00997C</t>
  </si>
  <si>
    <t>N00703Y</t>
  </si>
  <si>
    <t>N00703W</t>
  </si>
  <si>
    <t>C01430</t>
  </si>
  <si>
    <t>C01421B</t>
  </si>
  <si>
    <t>C01431</t>
  </si>
  <si>
    <t>C01430B</t>
  </si>
  <si>
    <t>C01421R</t>
  </si>
  <si>
    <t>C01421C</t>
  </si>
  <si>
    <t>C01421M</t>
  </si>
  <si>
    <t>C01421Y</t>
  </si>
  <si>
    <t>C01421W</t>
  </si>
  <si>
    <t>H01292</t>
  </si>
  <si>
    <t>C01431B</t>
  </si>
  <si>
    <t>C01431G</t>
  </si>
  <si>
    <t>C01431C</t>
  </si>
  <si>
    <t>C01431M</t>
  </si>
  <si>
    <t>C01431Y</t>
  </si>
  <si>
    <t>C01431W</t>
  </si>
  <si>
    <t>H01282</t>
  </si>
  <si>
    <t>H01292B</t>
  </si>
  <si>
    <t>C01431R</t>
  </si>
  <si>
    <t>E00975O</t>
  </si>
  <si>
    <t>H01292C</t>
  </si>
  <si>
    <t>H01292M</t>
  </si>
  <si>
    <t>H01292Y</t>
  </si>
  <si>
    <t>H01292W</t>
  </si>
  <si>
    <t>H01203</t>
  </si>
  <si>
    <t>H01282B</t>
  </si>
  <si>
    <t>H01282C</t>
  </si>
  <si>
    <t>H01282M</t>
  </si>
  <si>
    <t>H01282Y</t>
  </si>
  <si>
    <t>E00980G</t>
  </si>
  <si>
    <t>H01282W</t>
  </si>
  <si>
    <t>E00976</t>
  </si>
  <si>
    <t>H01203B</t>
  </si>
  <si>
    <t>H01203R</t>
  </si>
  <si>
    <t>H01203C</t>
  </si>
  <si>
    <t>H01203M</t>
  </si>
  <si>
    <t>H01203Y</t>
  </si>
  <si>
    <t>H01203W</t>
  </si>
  <si>
    <t>E00990</t>
  </si>
  <si>
    <t>E00976B</t>
  </si>
  <si>
    <t>H01282RB</t>
  </si>
  <si>
    <t>E00976RB</t>
  </si>
  <si>
    <t>E00976R</t>
  </si>
  <si>
    <t>E00976C</t>
  </si>
  <si>
    <t>E00976M</t>
  </si>
  <si>
    <t>E00976Y</t>
  </si>
  <si>
    <t>E00976W</t>
  </si>
  <si>
    <t>E00978</t>
  </si>
  <si>
    <t>E00990B</t>
  </si>
  <si>
    <t>E00990R</t>
  </si>
  <si>
    <t>E00990C</t>
  </si>
  <si>
    <t>E00990M</t>
  </si>
  <si>
    <t>E00990W</t>
  </si>
  <si>
    <t>E00985</t>
  </si>
  <si>
    <t>E00978B</t>
  </si>
  <si>
    <t>N00703G</t>
  </si>
  <si>
    <t>E00978C</t>
  </si>
  <si>
    <t>E00978M</t>
  </si>
  <si>
    <t>E00978Y</t>
  </si>
  <si>
    <t>F00834G</t>
  </si>
  <si>
    <t>E00978W</t>
  </si>
  <si>
    <t>H01278</t>
  </si>
  <si>
    <t>H01282R</t>
  </si>
  <si>
    <t>H01292G</t>
  </si>
  <si>
    <t>E00980C</t>
  </si>
  <si>
    <t>C01414</t>
  </si>
  <si>
    <t>H01278B</t>
  </si>
  <si>
    <t>E00985B</t>
  </si>
  <si>
    <t>E00985C</t>
  </si>
  <si>
    <t>E00985M</t>
  </si>
  <si>
    <t>E00985Y</t>
  </si>
  <si>
    <t>E00990Y</t>
  </si>
  <si>
    <t>E00985W</t>
  </si>
  <si>
    <t>C01416</t>
  </si>
  <si>
    <t>C01414B</t>
  </si>
  <si>
    <t>H01278R</t>
  </si>
  <si>
    <t>H01278C</t>
  </si>
  <si>
    <t>H01278M</t>
  </si>
  <si>
    <t>H01278Y</t>
  </si>
  <si>
    <t>H01278W</t>
  </si>
  <si>
    <t>N00830</t>
  </si>
  <si>
    <t>N00836O</t>
  </si>
  <si>
    <t>C01417</t>
  </si>
  <si>
    <t>C01416B</t>
  </si>
  <si>
    <t>C01416R</t>
  </si>
  <si>
    <t>H01278G</t>
  </si>
  <si>
    <t>C01416C</t>
  </si>
  <si>
    <t>C01416M</t>
  </si>
  <si>
    <t>C01416Y</t>
  </si>
  <si>
    <t>C01416W</t>
  </si>
  <si>
    <t>C01418</t>
  </si>
  <si>
    <t>C01417B</t>
  </si>
  <si>
    <t>C01417R</t>
  </si>
  <si>
    <t>C01416RB</t>
  </si>
  <si>
    <t>C01417C</t>
  </si>
  <si>
    <t>C01417M</t>
  </si>
  <si>
    <t>C01417Y</t>
  </si>
  <si>
    <t>C01417W</t>
  </si>
  <si>
    <t>N00828</t>
  </si>
  <si>
    <t>N00827B</t>
  </si>
  <si>
    <t>N00827C</t>
  </si>
  <si>
    <t>N00827M</t>
  </si>
  <si>
    <t>N00827Y</t>
  </si>
  <si>
    <t>N00827W</t>
  </si>
  <si>
    <t>N00829</t>
  </si>
  <si>
    <t>N00830B</t>
  </si>
  <si>
    <t>N00830Y</t>
  </si>
  <si>
    <t>N00836R</t>
  </si>
  <si>
    <t>N00830C</t>
  </si>
  <si>
    <t>N00830M</t>
  </si>
  <si>
    <t>N00830W</t>
  </si>
  <si>
    <t>N00827</t>
  </si>
  <si>
    <t>N00829B</t>
  </si>
  <si>
    <t>N00829O</t>
  </si>
  <si>
    <t>N00829C</t>
  </si>
  <si>
    <t>N00829M</t>
  </si>
  <si>
    <t>N00829Y</t>
  </si>
  <si>
    <t>N00829W</t>
  </si>
  <si>
    <t>N00812</t>
  </si>
  <si>
    <t>C01418B</t>
  </si>
  <si>
    <t>C01418R</t>
  </si>
  <si>
    <t>C01418C</t>
  </si>
  <si>
    <t>C01418M</t>
  </si>
  <si>
    <t>C01418Y</t>
  </si>
  <si>
    <t>C01418W</t>
  </si>
  <si>
    <t>N00831</t>
  </si>
  <si>
    <t>N00828B</t>
  </si>
  <si>
    <t>N00828C</t>
  </si>
  <si>
    <t>N00828M</t>
  </si>
  <si>
    <t>N00828Y</t>
  </si>
  <si>
    <t>N00828W</t>
  </si>
  <si>
    <t>N00810</t>
  </si>
  <si>
    <t>N00812B</t>
  </si>
  <si>
    <t>N00812R</t>
  </si>
  <si>
    <t>N00812C</t>
  </si>
  <si>
    <t>N00812M</t>
  </si>
  <si>
    <t>N00812Y</t>
  </si>
  <si>
    <t>N00812W</t>
  </si>
  <si>
    <t>H01325</t>
  </si>
  <si>
    <t>N00831B</t>
  </si>
  <si>
    <t>N00829R</t>
  </si>
  <si>
    <t>H01282R/N00831R</t>
  </si>
  <si>
    <t>N00831C</t>
  </si>
  <si>
    <t>N00831M</t>
  </si>
  <si>
    <t>N00831Y</t>
  </si>
  <si>
    <t>N00831W</t>
  </si>
  <si>
    <t>N00811</t>
  </si>
  <si>
    <t>N00810B</t>
  </si>
  <si>
    <t>N00810R</t>
  </si>
  <si>
    <t>N00810C</t>
  </si>
  <si>
    <t>N00810M</t>
  </si>
  <si>
    <t>N00810Y</t>
  </si>
  <si>
    <t>N00810W</t>
  </si>
  <si>
    <t>N00813</t>
  </si>
  <si>
    <t>N00811B</t>
  </si>
  <si>
    <t>N00811C</t>
  </si>
  <si>
    <t>N00811M</t>
  </si>
  <si>
    <t>N00811Y</t>
  </si>
  <si>
    <t>N00811W</t>
  </si>
  <si>
    <t>H01206</t>
  </si>
  <si>
    <t>H01325B</t>
  </si>
  <si>
    <t>N00810G</t>
  </si>
  <si>
    <t>H01325C</t>
  </si>
  <si>
    <t>H01325M</t>
  </si>
  <si>
    <t>H01325Y</t>
  </si>
  <si>
    <t>H01325W</t>
  </si>
  <si>
    <t>H01323</t>
  </si>
  <si>
    <t>H01206B</t>
  </si>
  <si>
    <t>H01325R</t>
  </si>
  <si>
    <t>H01206G</t>
  </si>
  <si>
    <t>H01206C</t>
  </si>
  <si>
    <t>H01206M</t>
  </si>
  <si>
    <t>H01206Y</t>
  </si>
  <si>
    <t>H01206W</t>
  </si>
  <si>
    <t>H01335</t>
  </si>
  <si>
    <t>N00813B</t>
  </si>
  <si>
    <t>F00990B</t>
  </si>
  <si>
    <t>N00813B/H01325B</t>
  </si>
  <si>
    <t>N00813C</t>
  </si>
  <si>
    <t>N00813M</t>
  </si>
  <si>
    <t>E00975M</t>
  </si>
  <si>
    <t>N00813Y</t>
  </si>
  <si>
    <t>N00813W</t>
  </si>
  <si>
    <t>N00812G</t>
  </si>
  <si>
    <t>H01273</t>
  </si>
  <si>
    <t>H01323B</t>
  </si>
  <si>
    <t>H01323R</t>
  </si>
  <si>
    <t>C01417G</t>
  </si>
  <si>
    <t>H01323C</t>
  </si>
  <si>
    <t>H01323M</t>
  </si>
  <si>
    <t>H01323Y</t>
  </si>
  <si>
    <t>H01323W</t>
  </si>
  <si>
    <t>H01208</t>
  </si>
  <si>
    <t>H01335B</t>
  </si>
  <si>
    <t>H01323G</t>
  </si>
  <si>
    <t>H01335Y</t>
  </si>
  <si>
    <t>H01335W</t>
  </si>
  <si>
    <t>H01312</t>
  </si>
  <si>
    <t>H01273B</t>
  </si>
  <si>
    <t>H01273R</t>
  </si>
  <si>
    <t>H01273C</t>
  </si>
  <si>
    <t>H01335C</t>
  </si>
  <si>
    <t>H01273M</t>
  </si>
  <si>
    <t>H01273Y</t>
  </si>
  <si>
    <t>H01273W</t>
  </si>
  <si>
    <t>H01327</t>
  </si>
  <si>
    <t>H01312B</t>
  </si>
  <si>
    <t>H01312C</t>
  </si>
  <si>
    <t>H01312M</t>
  </si>
  <si>
    <t>H01312Y</t>
  </si>
  <si>
    <t>H01312W</t>
  </si>
  <si>
    <t>H01330</t>
  </si>
  <si>
    <t>H01327B</t>
  </si>
  <si>
    <t>H01327C</t>
  </si>
  <si>
    <t>H01327M</t>
  </si>
  <si>
    <t>H01327Y</t>
  </si>
  <si>
    <t>H01208Y</t>
  </si>
  <si>
    <t>H01327W</t>
  </si>
  <si>
    <t>H01322</t>
  </si>
  <si>
    <t>H01330B</t>
  </si>
  <si>
    <t>H01312R</t>
  </si>
  <si>
    <t>H01208R</t>
  </si>
  <si>
    <t>H01330C</t>
  </si>
  <si>
    <t>H01330M</t>
  </si>
  <si>
    <t>H01330Y</t>
  </si>
  <si>
    <t>H01330W</t>
  </si>
  <si>
    <t>J00827</t>
  </si>
  <si>
    <t>H01322B</t>
  </si>
  <si>
    <t>H01322C</t>
  </si>
  <si>
    <t>H01322M</t>
  </si>
  <si>
    <t>H01322Y</t>
  </si>
  <si>
    <t>N00730G</t>
  </si>
  <si>
    <t>H01322W</t>
  </si>
  <si>
    <t>H01221</t>
  </si>
  <si>
    <t>J00827B</t>
  </si>
  <si>
    <t>J00827G</t>
  </si>
  <si>
    <t>J00827M</t>
  </si>
  <si>
    <t>J00827Y</t>
  </si>
  <si>
    <t>J00827W</t>
  </si>
  <si>
    <t>N00700</t>
  </si>
  <si>
    <t>H01221B</t>
  </si>
  <si>
    <t>E00834G</t>
  </si>
  <si>
    <t>E00985G</t>
  </si>
  <si>
    <t>H01335R</t>
  </si>
  <si>
    <t>H01208G</t>
  </si>
  <si>
    <t>H01221W</t>
  </si>
  <si>
    <t>N00871</t>
  </si>
  <si>
    <t>N00700G</t>
  </si>
  <si>
    <t>N00700B</t>
  </si>
  <si>
    <t>H01221M</t>
  </si>
  <si>
    <t>H01221Y</t>
  </si>
  <si>
    <t>N00700W</t>
  </si>
  <si>
    <t>N00871B</t>
  </si>
  <si>
    <t>H01221C</t>
  </si>
  <si>
    <t>N00871M</t>
  </si>
  <si>
    <t>N00871Y</t>
  </si>
  <si>
    <t>N00871W</t>
  </si>
  <si>
    <t>C00979/C00978/C00981/C00968/C00972/C00965</t>
  </si>
  <si>
    <t>E00979</t>
  </si>
  <si>
    <t>C01442B</t>
  </si>
  <si>
    <t>H01322B/C01421B/H01335B/H01273B/H01323B/H01221B</t>
  </si>
  <si>
    <t>E00978R</t>
  </si>
  <si>
    <t>C01442C</t>
  </si>
  <si>
    <t>C01142M</t>
  </si>
  <si>
    <t>C01142Y</t>
  </si>
  <si>
    <t>C01442W</t>
  </si>
  <si>
    <t>C01458</t>
  </si>
  <si>
    <t>E00979B</t>
  </si>
  <si>
    <t>H01322R</t>
  </si>
  <si>
    <t>E00979C</t>
  </si>
  <si>
    <t>E00979M</t>
  </si>
  <si>
    <t>E00979Y</t>
  </si>
  <si>
    <t>E00979W</t>
  </si>
  <si>
    <t>C01455</t>
  </si>
  <si>
    <t>C01458W</t>
  </si>
  <si>
    <t>C01459</t>
  </si>
  <si>
    <t>C01458B</t>
  </si>
  <si>
    <t>H01327RB</t>
  </si>
  <si>
    <t>C01458R</t>
  </si>
  <si>
    <t>C01458C</t>
  </si>
  <si>
    <t>C01458M</t>
  </si>
  <si>
    <t>C01458Y</t>
  </si>
  <si>
    <t>C01455W</t>
  </si>
  <si>
    <t>H01353/H01352</t>
  </si>
  <si>
    <t>C00965B</t>
  </si>
  <si>
    <t>C00965R</t>
  </si>
  <si>
    <t>C00965W</t>
  </si>
  <si>
    <t>C00965M</t>
  </si>
  <si>
    <t>H01366</t>
  </si>
  <si>
    <t>H01352B</t>
  </si>
  <si>
    <t>H01352C</t>
  </si>
  <si>
    <t>H01352M</t>
  </si>
  <si>
    <t>H01352U</t>
  </si>
  <si>
    <t>H01352W</t>
  </si>
  <si>
    <t>C01330</t>
  </si>
  <si>
    <t>C01459B</t>
  </si>
  <si>
    <t>C01459C</t>
  </si>
  <si>
    <t>C01459M</t>
  </si>
  <si>
    <t>C01459Y</t>
  </si>
  <si>
    <t>N00871G</t>
  </si>
  <si>
    <t>C01459W</t>
  </si>
  <si>
    <t>N00809</t>
  </si>
  <si>
    <t>C01330B</t>
  </si>
  <si>
    <t>H01352G</t>
  </si>
  <si>
    <t>C01330R</t>
  </si>
  <si>
    <t>C01330C</t>
  </si>
  <si>
    <t>H01366C</t>
  </si>
  <si>
    <t>C01330M</t>
  </si>
  <si>
    <t>H01366M</t>
  </si>
  <si>
    <t>C01330Y</t>
  </si>
  <si>
    <t>C01330W</t>
  </si>
  <si>
    <t>P00432</t>
  </si>
  <si>
    <t>N00809B</t>
  </si>
  <si>
    <t>C01455R</t>
  </si>
  <si>
    <t>N00809C</t>
  </si>
  <si>
    <t>N00809M</t>
  </si>
  <si>
    <t>N00809Y</t>
  </si>
  <si>
    <t>N00809W</t>
  </si>
  <si>
    <t>N00887</t>
  </si>
  <si>
    <t>N00876B</t>
  </si>
  <si>
    <t>P00432G</t>
  </si>
  <si>
    <t>H01221R</t>
  </si>
  <si>
    <t>P00432C</t>
  </si>
  <si>
    <t>P00432M</t>
  </si>
  <si>
    <t>P00432Y</t>
  </si>
  <si>
    <t>F00852</t>
  </si>
  <si>
    <t>P00432B</t>
  </si>
  <si>
    <t>N00887C</t>
  </si>
  <si>
    <t>N00887M</t>
  </si>
  <si>
    <t>N00887Y</t>
  </si>
  <si>
    <t>F00854</t>
  </si>
  <si>
    <t>F00852B</t>
  </si>
  <si>
    <t>E00925P</t>
  </si>
  <si>
    <t>H01352R</t>
  </si>
  <si>
    <t>F00852C</t>
  </si>
  <si>
    <t>F00852M</t>
  </si>
  <si>
    <t>F00852Y</t>
  </si>
  <si>
    <t>F00853</t>
  </si>
  <si>
    <t>F00854B</t>
  </si>
  <si>
    <t>F00854C</t>
  </si>
  <si>
    <t>F00854M</t>
  </si>
  <si>
    <t>F00854Y</t>
  </si>
  <si>
    <t>F00855</t>
  </si>
  <si>
    <t>F00853B</t>
  </si>
  <si>
    <t>C01455B</t>
  </si>
  <si>
    <t>F00853RB</t>
  </si>
  <si>
    <t>N00809RB</t>
  </si>
  <si>
    <t>F00853C</t>
  </si>
  <si>
    <t>F00853M</t>
  </si>
  <si>
    <t>F00853Y</t>
  </si>
  <si>
    <t>C01354</t>
  </si>
  <si>
    <t>F00855B</t>
  </si>
  <si>
    <t>N00887G</t>
  </si>
  <si>
    <t>F00855C</t>
  </si>
  <si>
    <t>F00855M</t>
  </si>
  <si>
    <t>F00855Y</t>
  </si>
  <si>
    <t>F00841</t>
  </si>
  <si>
    <t>C01354R</t>
  </si>
  <si>
    <t>C01354M</t>
  </si>
  <si>
    <t>C01354Y</t>
  </si>
  <si>
    <t>C01354W</t>
  </si>
  <si>
    <t>F00825</t>
  </si>
  <si>
    <t>F00841B</t>
  </si>
  <si>
    <t>F00841R</t>
  </si>
  <si>
    <t>F00841O</t>
  </si>
  <si>
    <t>C01354C</t>
  </si>
  <si>
    <t>F00841M</t>
  </si>
  <si>
    <t>F00841Y</t>
  </si>
  <si>
    <t>F00841W</t>
  </si>
  <si>
    <t>B01042</t>
  </si>
  <si>
    <t>F00825B</t>
  </si>
  <si>
    <t>F00825R</t>
  </si>
  <si>
    <t>F00825C</t>
  </si>
  <si>
    <t>F00825M</t>
  </si>
  <si>
    <t>F00825Y</t>
  </si>
  <si>
    <t>F00825W</t>
  </si>
  <si>
    <t>C01425</t>
  </si>
  <si>
    <t>B01042B</t>
  </si>
  <si>
    <t>F00852G</t>
  </si>
  <si>
    <t>B01042C</t>
  </si>
  <si>
    <t>B01042M</t>
  </si>
  <si>
    <t>B01042Y</t>
  </si>
  <si>
    <t>B01042W</t>
  </si>
  <si>
    <t>C01426</t>
  </si>
  <si>
    <t>C01425B</t>
  </si>
  <si>
    <t>N00700RB</t>
  </si>
  <si>
    <t>B01042R/F00854R</t>
  </si>
  <si>
    <t>C01425C</t>
  </si>
  <si>
    <t>C01425M</t>
  </si>
  <si>
    <t>C01425Y</t>
  </si>
  <si>
    <t>C01425W</t>
  </si>
  <si>
    <t>C01423</t>
  </si>
  <si>
    <t>C01424</t>
  </si>
  <si>
    <t>C01426B</t>
  </si>
  <si>
    <t>C01426C</t>
  </si>
  <si>
    <t>C01426M</t>
  </si>
  <si>
    <t>0C1426Y</t>
  </si>
  <si>
    <t>C01426W</t>
  </si>
  <si>
    <t>C01452</t>
  </si>
  <si>
    <t>C01424W</t>
  </si>
  <si>
    <t>C01424G</t>
  </si>
  <si>
    <t>C01426R</t>
  </si>
  <si>
    <t>C01426G</t>
  </si>
  <si>
    <t>C01424B</t>
  </si>
  <si>
    <t>C01453</t>
  </si>
  <si>
    <t>C01452W</t>
  </si>
  <si>
    <t>C01452R</t>
  </si>
  <si>
    <t>C01452G</t>
  </si>
  <si>
    <t>C01452B</t>
  </si>
  <si>
    <t>E00988</t>
  </si>
  <si>
    <t>C01453B</t>
  </si>
  <si>
    <t>C01354G</t>
  </si>
  <si>
    <t>F00825RB</t>
  </si>
  <si>
    <t>C01424C</t>
  </si>
  <si>
    <t>C01424M</t>
  </si>
  <si>
    <t>C01424Y</t>
  </si>
  <si>
    <t>C01453W</t>
  </si>
  <si>
    <t>C01457</t>
  </si>
  <si>
    <t>E00988B</t>
  </si>
  <si>
    <t>B01042R</t>
  </si>
  <si>
    <t>F00854R</t>
  </si>
  <si>
    <t>E00988C</t>
  </si>
  <si>
    <t>E00988M</t>
  </si>
  <si>
    <t>E00988Y</t>
  </si>
  <si>
    <t>E00988G</t>
  </si>
  <si>
    <t>E00988W</t>
  </si>
  <si>
    <t>H01216</t>
  </si>
  <si>
    <t>C01457B</t>
  </si>
  <si>
    <t>C01457R</t>
  </si>
  <si>
    <t>C01457C</t>
  </si>
  <si>
    <t>C01457M</t>
  </si>
  <si>
    <t>C01457Y</t>
  </si>
  <si>
    <t>C01457W</t>
  </si>
  <si>
    <t>G00405/G00402</t>
  </si>
  <si>
    <t>H01273G</t>
  </si>
  <si>
    <t>H01216R</t>
  </si>
  <si>
    <t>H01216W</t>
  </si>
  <si>
    <t>J00969</t>
  </si>
  <si>
    <t>H01216B</t>
  </si>
  <si>
    <t>G00402G</t>
  </si>
  <si>
    <t>H01216C</t>
  </si>
  <si>
    <t>H01216M</t>
  </si>
  <si>
    <t>H01216Y</t>
  </si>
  <si>
    <t>J00968</t>
  </si>
  <si>
    <t>J00969B</t>
  </si>
  <si>
    <t>G00402B</t>
  </si>
  <si>
    <t>J00969M</t>
  </si>
  <si>
    <t>C00965M/F00853M/N00700B</t>
  </si>
  <si>
    <t>J00969C</t>
  </si>
  <si>
    <t>J00969Y</t>
  </si>
  <si>
    <t>H00969W</t>
  </si>
  <si>
    <t>J00966</t>
  </si>
  <si>
    <t>J00968B</t>
  </si>
  <si>
    <t>J00968G</t>
  </si>
  <si>
    <t>J00969G</t>
  </si>
  <si>
    <t>J00968C</t>
  </si>
  <si>
    <t>J00968M</t>
  </si>
  <si>
    <t>J00968Y</t>
  </si>
  <si>
    <t>J00968W</t>
  </si>
  <si>
    <t>H01337</t>
  </si>
  <si>
    <t>J00966B</t>
  </si>
  <si>
    <t>N00871RB</t>
  </si>
  <si>
    <t>N00887R</t>
  </si>
  <si>
    <t>G00402R</t>
  </si>
  <si>
    <t>J00966C</t>
  </si>
  <si>
    <t>J00966M</t>
  </si>
  <si>
    <t>J00966Y</t>
  </si>
  <si>
    <t>C01457G</t>
  </si>
  <si>
    <t>J00966W</t>
  </si>
  <si>
    <t>H01342</t>
  </si>
  <si>
    <t>H01337B</t>
  </si>
  <si>
    <t>H01337C</t>
  </si>
  <si>
    <t>H01337M</t>
  </si>
  <si>
    <t>H01337Y</t>
  </si>
  <si>
    <t>H01337W</t>
  </si>
  <si>
    <t>E01016</t>
  </si>
  <si>
    <t>H01342B</t>
  </si>
  <si>
    <t>H01342C</t>
  </si>
  <si>
    <t>H01342M</t>
  </si>
  <si>
    <t>H01342Y</t>
  </si>
  <si>
    <t>H01342W</t>
  </si>
  <si>
    <t>E01017</t>
  </si>
  <si>
    <t>E01016B</t>
  </si>
  <si>
    <t>E01016R</t>
  </si>
  <si>
    <t>E01016C</t>
  </si>
  <si>
    <t>E01016M</t>
  </si>
  <si>
    <t>E01016Y</t>
  </si>
  <si>
    <t>E01016W</t>
  </si>
  <si>
    <t>C01482</t>
  </si>
  <si>
    <t>E01017B</t>
  </si>
  <si>
    <t>N00700M</t>
  </si>
  <si>
    <t>E01017C</t>
  </si>
  <si>
    <t>E01017M</t>
  </si>
  <si>
    <t>E01017Y</t>
  </si>
  <si>
    <t>E01017W</t>
  </si>
  <si>
    <t>C01475</t>
  </si>
  <si>
    <t>C01482B</t>
  </si>
  <si>
    <t>C01482M</t>
  </si>
  <si>
    <t>C01482Y</t>
  </si>
  <si>
    <t>C01482W</t>
  </si>
  <si>
    <t>J00970</t>
  </si>
  <si>
    <t>C01475B</t>
  </si>
  <si>
    <t>C00965G</t>
  </si>
  <si>
    <t>C01482C</t>
  </si>
  <si>
    <t>C01475M</t>
  </si>
  <si>
    <t>C01475Y</t>
  </si>
  <si>
    <t>C01475W</t>
  </si>
  <si>
    <t>E01017R</t>
  </si>
  <si>
    <t>J00790W</t>
  </si>
  <si>
    <t>N00841</t>
  </si>
  <si>
    <t>J00970B</t>
  </si>
  <si>
    <t>J00970C</t>
  </si>
  <si>
    <t>J00970M</t>
  </si>
  <si>
    <t>J00970U</t>
  </si>
  <si>
    <t>C01479W</t>
  </si>
  <si>
    <t>N00843</t>
  </si>
  <si>
    <t>N00841B</t>
  </si>
  <si>
    <t>N00841Y</t>
  </si>
  <si>
    <t>N00841C</t>
  </si>
  <si>
    <t>N00841M</t>
  </si>
  <si>
    <t>N00841W</t>
  </si>
  <si>
    <t>J00911/J00912/J00987</t>
  </si>
  <si>
    <t>B01046</t>
  </si>
  <si>
    <t>C01482R</t>
  </si>
  <si>
    <t>N00841R</t>
  </si>
  <si>
    <t>C01479R</t>
  </si>
  <si>
    <t>N00843W</t>
  </si>
  <si>
    <t>C01324</t>
  </si>
  <si>
    <t>N00843B</t>
  </si>
  <si>
    <t>C01453G</t>
  </si>
  <si>
    <t>C01425G</t>
  </si>
  <si>
    <t>N00843Y</t>
  </si>
  <si>
    <t>B01046W</t>
  </si>
  <si>
    <t>C01446</t>
  </si>
  <si>
    <t>C01489</t>
  </si>
  <si>
    <t>C01446B</t>
  </si>
  <si>
    <t>C01446G</t>
  </si>
  <si>
    <t>J00970G</t>
  </si>
  <si>
    <t>N00843C</t>
  </si>
  <si>
    <t>N00843M</t>
  </si>
  <si>
    <t>C01446Y</t>
  </si>
  <si>
    <t>C01446W</t>
  </si>
  <si>
    <t>C01445</t>
  </si>
  <si>
    <t>J00911B</t>
  </si>
  <si>
    <t>C01433</t>
  </si>
  <si>
    <t>C01489B</t>
  </si>
  <si>
    <t>B01046R</t>
  </si>
  <si>
    <t>C01489C</t>
  </si>
  <si>
    <t>C01489M</t>
  </si>
  <si>
    <t>C01489Y</t>
  </si>
  <si>
    <t>C01489W</t>
  </si>
  <si>
    <t>N00879</t>
  </si>
  <si>
    <t>N00877B</t>
  </si>
  <si>
    <t>N00877G</t>
  </si>
  <si>
    <t>H01306B</t>
  </si>
  <si>
    <t>N00877M</t>
  </si>
  <si>
    <t>N00877Y</t>
  </si>
  <si>
    <t>N00876</t>
  </si>
  <si>
    <t>N00879B</t>
  </si>
  <si>
    <t>F00851RB</t>
  </si>
  <si>
    <t>H01306C</t>
  </si>
  <si>
    <t>N00879M</t>
  </si>
  <si>
    <t>N00879Y</t>
  </si>
  <si>
    <t>N00879G</t>
  </si>
  <si>
    <t>N00879W</t>
  </si>
  <si>
    <t>B01030</t>
  </si>
  <si>
    <t>J00874R</t>
  </si>
  <si>
    <t>J00955/J00956</t>
  </si>
  <si>
    <t>B01030B</t>
  </si>
  <si>
    <t>B01030W</t>
  </si>
  <si>
    <t>C01460</t>
  </si>
  <si>
    <t>J00956B</t>
  </si>
  <si>
    <t>B01030Y</t>
  </si>
  <si>
    <t>N00765</t>
  </si>
  <si>
    <t>C01460B</t>
  </si>
  <si>
    <t>H01361O</t>
  </si>
  <si>
    <t>H01307O/J00929O/H01306O</t>
  </si>
  <si>
    <t>H01307C</t>
  </si>
  <si>
    <t>B01030M</t>
  </si>
  <si>
    <t>C01460Y</t>
  </si>
  <si>
    <t>J00956W</t>
  </si>
  <si>
    <t>F00858</t>
  </si>
  <si>
    <t>N00765B</t>
  </si>
  <si>
    <t>N00765C</t>
  </si>
  <si>
    <t>N00765M</t>
  </si>
  <si>
    <t>N00765Y</t>
  </si>
  <si>
    <t>N00765W</t>
  </si>
  <si>
    <t>N00794</t>
  </si>
  <si>
    <t>J00949B</t>
  </si>
  <si>
    <t>F00835B/N00913B</t>
  </si>
  <si>
    <t>F00858M</t>
  </si>
  <si>
    <t>F00858Y</t>
  </si>
  <si>
    <t>B01033G</t>
  </si>
  <si>
    <t>F00858W</t>
  </si>
  <si>
    <t>N00798</t>
  </si>
  <si>
    <t>F00858B</t>
  </si>
  <si>
    <t>F00858C</t>
  </si>
  <si>
    <t>N00794M</t>
  </si>
  <si>
    <t>N00794Y</t>
  </si>
  <si>
    <t>N00794W</t>
  </si>
  <si>
    <t>N00791</t>
  </si>
  <si>
    <t>J00956R</t>
  </si>
  <si>
    <t>F00851R/C01342R</t>
  </si>
  <si>
    <t>N00798C</t>
  </si>
  <si>
    <t>N00798M</t>
  </si>
  <si>
    <t>N00798Y</t>
  </si>
  <si>
    <t>N00876G</t>
  </si>
  <si>
    <t>N00798W</t>
  </si>
  <si>
    <t>N00799/N00800</t>
  </si>
  <si>
    <t>N00794B</t>
  </si>
  <si>
    <t>N00798B</t>
  </si>
  <si>
    <t>N00791M</t>
  </si>
  <si>
    <t>N00791Y</t>
  </si>
  <si>
    <t>N00794G</t>
  </si>
  <si>
    <t>N00791W</t>
  </si>
  <si>
    <t>N00792</t>
  </si>
  <si>
    <t>N00800W</t>
  </si>
  <si>
    <t>C01461</t>
  </si>
  <si>
    <t>N00792B</t>
  </si>
  <si>
    <t>N00791C</t>
  </si>
  <si>
    <t>L00294</t>
  </si>
  <si>
    <t>C01461B</t>
  </si>
  <si>
    <t>P00010B</t>
  </si>
  <si>
    <t>J00870B/M00877B/J00072B/N00800B/J00952B/P00010B/P00439B/N00765B/N00877B/J00872B/N00798B/J00952B/N00913B/J00937B/F00857B/B01026B/B01025B/N00656B/H01306B/R00009B/J00953B/N00876B/J00870B/B00857B/P00441B/B01041B/J00949B/L00293B/B01010B/J00933B/L00293B/B00992B/N00817B/P00441B/H01149B/N00761B/N00765B/J00950B/R00015B/J00872B/P00430B/L01202B</t>
  </si>
  <si>
    <t>J00874M/J00936M/J00871M</t>
  </si>
  <si>
    <t>N00823C/B01024C/F00846C/F00848F/B01030C/J00870C/F00848C/H01309C/H01307C/B01030C/N00800C/P00297C/J00952C/B01010C/J00833C/N00833C/N00816C/P00420C/B01033C/G00351C/B00715C/B01033C/N00886C/B00462C</t>
  </si>
  <si>
    <t>N00800M</t>
  </si>
  <si>
    <t>N00800Y</t>
  </si>
  <si>
    <t>N000792W</t>
  </si>
  <si>
    <t>B01047</t>
  </si>
  <si>
    <t>L00294B</t>
  </si>
  <si>
    <t>L00294O</t>
  </si>
  <si>
    <t>L00294W</t>
  </si>
  <si>
    <t>N00908/N00784</t>
  </si>
  <si>
    <t>B01047W</t>
  </si>
  <si>
    <t>N00826</t>
  </si>
  <si>
    <t>B01047B</t>
  </si>
  <si>
    <t>E00910G</t>
  </si>
  <si>
    <t>M00877G</t>
  </si>
  <si>
    <t>J00095G</t>
  </si>
  <si>
    <t>L00294C</t>
  </si>
  <si>
    <t>F00840G</t>
  </si>
  <si>
    <t>L00294M</t>
  </si>
  <si>
    <t>L00294Y</t>
  </si>
  <si>
    <t>N00784W</t>
  </si>
  <si>
    <t>N00793</t>
  </si>
  <si>
    <t>N00826B</t>
  </si>
  <si>
    <t>N00791R</t>
  </si>
  <si>
    <t>N00826C</t>
  </si>
  <si>
    <t>N00826M</t>
  </si>
  <si>
    <t>N00826Y</t>
  </si>
  <si>
    <t>N00826W</t>
  </si>
  <si>
    <t>N00797</t>
  </si>
  <si>
    <t>N00793B</t>
  </si>
  <si>
    <t>N00793C</t>
  </si>
  <si>
    <t>N00793M</t>
  </si>
  <si>
    <t>N00793Y</t>
  </si>
  <si>
    <t>N00793W</t>
  </si>
  <si>
    <t>G00399</t>
  </si>
  <si>
    <t>N00797B</t>
  </si>
  <si>
    <t>N00793R</t>
  </si>
  <si>
    <t>N00797C</t>
  </si>
  <si>
    <t>N00797M</t>
  </si>
  <si>
    <t>N00797Y</t>
  </si>
  <si>
    <t>N00797W</t>
  </si>
  <si>
    <t>G00400</t>
  </si>
  <si>
    <t>G00399B</t>
  </si>
  <si>
    <t>B01025O</t>
  </si>
  <si>
    <t>G00399O</t>
  </si>
  <si>
    <t>G00399C</t>
  </si>
  <si>
    <t>G00399M</t>
  </si>
  <si>
    <t>G00399Y</t>
  </si>
  <si>
    <t>G00399W</t>
  </si>
  <si>
    <t>F00861</t>
  </si>
  <si>
    <t>G00400B</t>
  </si>
  <si>
    <t>L00294B/G00399B</t>
  </si>
  <si>
    <t>N00791B</t>
  </si>
  <si>
    <t>G00400C</t>
  </si>
  <si>
    <t>G00400M</t>
  </si>
  <si>
    <t>J00400Y</t>
  </si>
  <si>
    <t>C01465/C01466</t>
  </si>
  <si>
    <t>N00815B</t>
  </si>
  <si>
    <t>N00823B/N00919B/F00861B</t>
  </si>
  <si>
    <t>C01467</t>
  </si>
  <si>
    <t>J00846B</t>
  </si>
  <si>
    <t>B01041B</t>
  </si>
  <si>
    <t>N00764</t>
  </si>
  <si>
    <t>F00861B</t>
  </si>
  <si>
    <t>56714G</t>
  </si>
  <si>
    <t>F00861C</t>
  </si>
  <si>
    <t>F00861M</t>
  </si>
  <si>
    <t>F00861Y</t>
  </si>
  <si>
    <t>F00861W</t>
  </si>
  <si>
    <t>K00026</t>
  </si>
  <si>
    <t>B01050</t>
  </si>
  <si>
    <t>N00764B</t>
  </si>
  <si>
    <t>J00909Y</t>
  </si>
  <si>
    <t>N00764C</t>
  </si>
  <si>
    <t>N00764M</t>
  </si>
  <si>
    <t>N00764Y</t>
  </si>
  <si>
    <t>N00764W</t>
  </si>
  <si>
    <t>C01485</t>
  </si>
  <si>
    <t>B01050B</t>
  </si>
  <si>
    <t>B01050C</t>
  </si>
  <si>
    <t>B01050M</t>
  </si>
  <si>
    <t>B01050Y</t>
  </si>
  <si>
    <t>B01050W</t>
  </si>
  <si>
    <t>C01487</t>
  </si>
  <si>
    <t>C01485B</t>
  </si>
  <si>
    <t>C01485R</t>
  </si>
  <si>
    <t>C01485C</t>
  </si>
  <si>
    <t>C01485M</t>
  </si>
  <si>
    <t>C01485Y</t>
  </si>
  <si>
    <t>C01485W</t>
  </si>
  <si>
    <t>C01486</t>
  </si>
  <si>
    <t>C01487B</t>
  </si>
  <si>
    <t>C01485P</t>
  </si>
  <si>
    <t>C01487C</t>
  </si>
  <si>
    <t>C01487R</t>
  </si>
  <si>
    <t>C01487Y</t>
  </si>
  <si>
    <t>C01487W</t>
  </si>
  <si>
    <t>C01488</t>
  </si>
  <si>
    <t>C01486B</t>
  </si>
  <si>
    <t>C01487O</t>
  </si>
  <si>
    <t>C01486R</t>
  </si>
  <si>
    <t>C01486C</t>
  </si>
  <si>
    <t>C01486Y</t>
  </si>
  <si>
    <t>C01486W</t>
  </si>
  <si>
    <t>J00975</t>
  </si>
  <si>
    <t>C01488B</t>
  </si>
  <si>
    <t>C01488P</t>
  </si>
  <si>
    <t>C01488R</t>
  </si>
  <si>
    <t>C01488W</t>
  </si>
  <si>
    <t>J00976/J00977</t>
  </si>
  <si>
    <t>J00975B</t>
  </si>
  <si>
    <t>J00975W</t>
  </si>
  <si>
    <t>J00979</t>
  </si>
  <si>
    <t>N00800G</t>
  </si>
  <si>
    <t>J00977W</t>
  </si>
  <si>
    <t>J00986</t>
  </si>
  <si>
    <t>J00977B</t>
  </si>
  <si>
    <t>J00975R</t>
  </si>
  <si>
    <t>J00979W</t>
  </si>
  <si>
    <t>J00986B</t>
  </si>
  <si>
    <t>J00986W</t>
  </si>
  <si>
    <t>J00981/J00982</t>
  </si>
  <si>
    <t>J00980B</t>
  </si>
  <si>
    <t>J00980G</t>
  </si>
  <si>
    <t>J00980W</t>
  </si>
  <si>
    <t>J00983</t>
  </si>
  <si>
    <t>J00982B</t>
  </si>
  <si>
    <t>J00982G</t>
  </si>
  <si>
    <t>J00908Y/B01050Y</t>
  </si>
  <si>
    <t>J00982W</t>
  </si>
  <si>
    <t>J00985</t>
  </si>
  <si>
    <t>J00983B</t>
  </si>
  <si>
    <t>J00983G</t>
  </si>
  <si>
    <t>J00983Y</t>
  </si>
  <si>
    <t>P00460</t>
  </si>
  <si>
    <t>J00985B</t>
  </si>
  <si>
    <t>N00791R/C01488R</t>
  </si>
  <si>
    <t>C01487M</t>
  </si>
  <si>
    <t>C0148Y</t>
  </si>
  <si>
    <t>J00985W</t>
  </si>
  <si>
    <t>G00406</t>
  </si>
  <si>
    <t>P00460B</t>
  </si>
  <si>
    <t>C01487P</t>
  </si>
  <si>
    <t>G00400P</t>
  </si>
  <si>
    <t>P00460C</t>
  </si>
  <si>
    <t>P00460M</t>
  </si>
  <si>
    <t>P00460Y</t>
  </si>
  <si>
    <t>P00460W</t>
  </si>
  <si>
    <t>N00938</t>
  </si>
  <si>
    <t>G00406B</t>
  </si>
  <si>
    <t>G00647G</t>
  </si>
  <si>
    <t>P00460R</t>
  </si>
  <si>
    <t>G00406M</t>
  </si>
  <si>
    <t>G00406Y</t>
  </si>
  <si>
    <t>G00406W+</t>
  </si>
  <si>
    <t>N00943</t>
  </si>
  <si>
    <t>N00938B</t>
  </si>
  <si>
    <t>G00400O</t>
  </si>
  <si>
    <t>N00938R</t>
  </si>
  <si>
    <t>P00861O</t>
  </si>
  <si>
    <t>N00938M</t>
  </si>
  <si>
    <t>N00938Y</t>
  </si>
  <si>
    <t>N00938W</t>
  </si>
  <si>
    <t>N00939</t>
  </si>
  <si>
    <t>N00943B</t>
  </si>
  <si>
    <t>N00938G</t>
  </si>
  <si>
    <t>N00943W</t>
  </si>
  <si>
    <t>N00943M</t>
  </si>
  <si>
    <t>N00944</t>
  </si>
  <si>
    <t>N00939B</t>
  </si>
  <si>
    <t>N00943O</t>
  </si>
  <si>
    <t>N00939W</t>
  </si>
  <si>
    <t>N00939M</t>
  </si>
  <si>
    <t>P00480</t>
  </si>
  <si>
    <t>N00944B</t>
  </si>
  <si>
    <t>R00013G</t>
  </si>
  <si>
    <t>C01465B</t>
  </si>
  <si>
    <t>N00893G</t>
  </si>
  <si>
    <t>C01467M</t>
  </si>
  <si>
    <t>G00405B</t>
  </si>
  <si>
    <t>N00944W</t>
  </si>
  <si>
    <t>P00459</t>
  </si>
  <si>
    <t>P00840B</t>
  </si>
  <si>
    <t>N00887B</t>
  </si>
  <si>
    <t>P00840G</t>
  </si>
  <si>
    <t>J00951O</t>
  </si>
  <si>
    <t>N00943YU</t>
  </si>
  <si>
    <t>P00840W</t>
  </si>
  <si>
    <t>P00840M</t>
  </si>
  <si>
    <t>P00447</t>
  </si>
  <si>
    <t>P00459B</t>
  </si>
  <si>
    <t>P00459G</t>
  </si>
  <si>
    <t>P00459O</t>
  </si>
  <si>
    <t>P00459M</t>
  </si>
  <si>
    <t>P00459Y</t>
  </si>
  <si>
    <t>P00459W</t>
  </si>
  <si>
    <t>P00448</t>
  </si>
  <si>
    <t>P00447B</t>
  </si>
  <si>
    <t>N00943R</t>
  </si>
  <si>
    <t>P00447G</t>
  </si>
  <si>
    <t>P00447O</t>
  </si>
  <si>
    <t>P00447M</t>
  </si>
  <si>
    <t>P00447Y</t>
  </si>
  <si>
    <t>P00447W</t>
  </si>
  <si>
    <t>C01491</t>
  </si>
  <si>
    <t>P00448B</t>
  </si>
  <si>
    <t>P00448Y</t>
  </si>
  <si>
    <t>C01493</t>
  </si>
  <si>
    <t>C01491B</t>
  </si>
  <si>
    <t>C01491Y</t>
  </si>
  <si>
    <t>P00473</t>
  </si>
  <si>
    <t>C01493B</t>
  </si>
  <si>
    <t>P00448R</t>
  </si>
  <si>
    <t>C01491R</t>
  </si>
  <si>
    <t>P00448G</t>
  </si>
  <si>
    <t>P00448O</t>
  </si>
  <si>
    <t>P00448M</t>
  </si>
  <si>
    <t>P00448W</t>
  </si>
  <si>
    <t>P00437</t>
  </si>
  <si>
    <t>P00473B</t>
  </si>
  <si>
    <t>P00441G</t>
  </si>
  <si>
    <t>N00706G/P00473G</t>
  </si>
  <si>
    <t>P00473O</t>
  </si>
  <si>
    <t>P00473M</t>
  </si>
  <si>
    <t>P00473Y</t>
  </si>
  <si>
    <t>P00473W</t>
  </si>
  <si>
    <t>B01054</t>
  </si>
  <si>
    <t>P00437B</t>
  </si>
  <si>
    <t>P00473R</t>
  </si>
  <si>
    <t>P00437R/B01030R</t>
  </si>
  <si>
    <t>C01493G</t>
  </si>
  <si>
    <t>P00437Y</t>
  </si>
  <si>
    <t>P00437W</t>
  </si>
  <si>
    <t>G00407</t>
  </si>
  <si>
    <t>B01054B</t>
  </si>
  <si>
    <t>P00437G</t>
  </si>
  <si>
    <t>F00808G/G00397G</t>
  </si>
  <si>
    <t>B01054G</t>
  </si>
  <si>
    <t>P00466C</t>
  </si>
  <si>
    <t>P00437M</t>
  </si>
  <si>
    <t>B01054Y</t>
  </si>
  <si>
    <t>B01054W</t>
  </si>
  <si>
    <t>P00456</t>
  </si>
  <si>
    <t>G00407B</t>
  </si>
  <si>
    <t>C01486P</t>
  </si>
  <si>
    <t>G00406R</t>
  </si>
  <si>
    <t>G00407C</t>
  </si>
  <si>
    <t>G00407M</t>
  </si>
  <si>
    <t>G00407Y</t>
  </si>
  <si>
    <t>G00407W</t>
  </si>
  <si>
    <t>B01037</t>
  </si>
  <si>
    <t>C01368B</t>
  </si>
  <si>
    <t>P00456B</t>
  </si>
  <si>
    <t>B01019B/P00460B</t>
  </si>
  <si>
    <t>C01467B</t>
  </si>
  <si>
    <t>P00456C</t>
  </si>
  <si>
    <t>P00456M</t>
  </si>
  <si>
    <t>P00456Y</t>
  </si>
  <si>
    <t>J00984</t>
  </si>
  <si>
    <t>B01037B</t>
  </si>
  <si>
    <t>J00985G</t>
  </si>
  <si>
    <t>J00985Y</t>
  </si>
  <si>
    <t>B01037W</t>
  </si>
  <si>
    <t>H01378</t>
  </si>
  <si>
    <t>J00984W</t>
  </si>
  <si>
    <t>B01051</t>
  </si>
  <si>
    <t>J00984B</t>
  </si>
  <si>
    <t>H01378C</t>
  </si>
  <si>
    <t>B01037M</t>
  </si>
  <si>
    <t>B01037Y</t>
  </si>
  <si>
    <t>H01378W</t>
  </si>
  <si>
    <t>B01049</t>
  </si>
  <si>
    <t>B01051B</t>
  </si>
  <si>
    <t>B01051G</t>
  </si>
  <si>
    <t>B01051R</t>
  </si>
  <si>
    <t>B01051C</t>
  </si>
  <si>
    <t>B01051M</t>
  </si>
  <si>
    <t>B01051Y</t>
  </si>
  <si>
    <t>B01051W</t>
  </si>
  <si>
    <t>C01492</t>
  </si>
  <si>
    <t>H01331</t>
  </si>
  <si>
    <t>C01433B</t>
  </si>
  <si>
    <t>B01046B</t>
  </si>
  <si>
    <t>C01433R</t>
  </si>
  <si>
    <t>F00853G</t>
  </si>
  <si>
    <t>C01433C</t>
  </si>
  <si>
    <t>C01433M</t>
  </si>
  <si>
    <t>C01433Y</t>
  </si>
  <si>
    <t>C01433W</t>
  </si>
  <si>
    <t>H01332</t>
  </si>
  <si>
    <t>H01331B</t>
  </si>
  <si>
    <t>P00432O</t>
  </si>
  <si>
    <t>N00843O</t>
  </si>
  <si>
    <t>H01331C</t>
  </si>
  <si>
    <t>H01331M</t>
  </si>
  <si>
    <t>H01331Y</t>
  </si>
  <si>
    <t>H01331W</t>
  </si>
  <si>
    <t>B01053</t>
  </si>
  <si>
    <t>B01048B</t>
  </si>
  <si>
    <t>H01331G</t>
  </si>
  <si>
    <t>H01331R</t>
  </si>
  <si>
    <t>B01048C</t>
  </si>
  <si>
    <t>H01332M</t>
  </si>
  <si>
    <t>H01332Y</t>
  </si>
  <si>
    <t>B01048</t>
  </si>
  <si>
    <t>B01053B</t>
  </si>
  <si>
    <t>B01053C</t>
  </si>
  <si>
    <t>H01332W</t>
  </si>
  <si>
    <t>J00997</t>
  </si>
  <si>
    <t>B01053G</t>
  </si>
  <si>
    <t>B01053M</t>
  </si>
  <si>
    <t>B01053U</t>
  </si>
  <si>
    <t>B01048W</t>
  </si>
  <si>
    <t>J00998</t>
  </si>
  <si>
    <t>J00997B</t>
  </si>
  <si>
    <t>J00997G</t>
  </si>
  <si>
    <t>J00997C</t>
  </si>
  <si>
    <t>J00997M</t>
  </si>
  <si>
    <t>J00997Y</t>
  </si>
  <si>
    <t>J00997W</t>
  </si>
  <si>
    <t>J00999</t>
  </si>
  <si>
    <t>J00998B</t>
  </si>
  <si>
    <t>J00998C</t>
  </si>
  <si>
    <t>J00998M</t>
  </si>
  <si>
    <t>J00998Y</t>
  </si>
  <si>
    <t>J00998W</t>
  </si>
  <si>
    <t>C01484</t>
  </si>
  <si>
    <t>J00999B</t>
  </si>
  <si>
    <t>J00999C</t>
  </si>
  <si>
    <t>J00999M</t>
  </si>
  <si>
    <t>J00999Y</t>
  </si>
  <si>
    <t>J00999W</t>
  </si>
  <si>
    <t>C01472/C01473/C01474</t>
  </si>
  <si>
    <t>N00944M</t>
  </si>
  <si>
    <t>C01484B</t>
  </si>
  <si>
    <t>C01484C</t>
  </si>
  <si>
    <t>C01484M</t>
  </si>
  <si>
    <t>C01484Y</t>
  </si>
  <si>
    <t>C01484W</t>
  </si>
  <si>
    <t>G00390</t>
  </si>
  <si>
    <t>G00385B</t>
  </si>
  <si>
    <t>G00385W</t>
  </si>
  <si>
    <t>F00864</t>
  </si>
  <si>
    <t>G00390B</t>
  </si>
  <si>
    <t>F01016B/C01446B</t>
  </si>
  <si>
    <t>G00385C</t>
  </si>
  <si>
    <t>G00385M</t>
  </si>
  <si>
    <t>G00385Y</t>
  </si>
  <si>
    <t>J00957</t>
  </si>
  <si>
    <t>C01474B</t>
  </si>
  <si>
    <t>C01474W</t>
  </si>
  <si>
    <t>C01474M</t>
  </si>
  <si>
    <t>J00958</t>
  </si>
  <si>
    <t>J00957B</t>
  </si>
  <si>
    <t>J00957C</t>
  </si>
  <si>
    <t>J00957M</t>
  </si>
  <si>
    <t>J00957Y</t>
  </si>
  <si>
    <t>J00957W</t>
  </si>
  <si>
    <t>J00959</t>
  </si>
  <si>
    <t>J00958B</t>
  </si>
  <si>
    <t>J00958C</t>
  </si>
  <si>
    <t>J00958M</t>
  </si>
  <si>
    <t>J00958Y</t>
  </si>
  <si>
    <t>J00958W</t>
  </si>
  <si>
    <t>F00862</t>
  </si>
  <si>
    <t>F00864B</t>
  </si>
  <si>
    <t>H01332B</t>
  </si>
  <si>
    <t>H01337G</t>
  </si>
  <si>
    <t>F00862B</t>
  </si>
  <si>
    <t>N00841O</t>
  </si>
  <si>
    <t>F00864C</t>
  </si>
  <si>
    <t>F00864M</t>
  </si>
  <si>
    <t>F00864Y</t>
  </si>
  <si>
    <t>G00390W</t>
  </si>
  <si>
    <t>H01318</t>
  </si>
  <si>
    <t>J00959B</t>
  </si>
  <si>
    <t>J00957R</t>
  </si>
  <si>
    <t>C01474R</t>
  </si>
  <si>
    <t>J00959C</t>
  </si>
  <si>
    <t>J00959M</t>
  </si>
  <si>
    <t>J00959Y</t>
  </si>
  <si>
    <t>J00959W</t>
  </si>
  <si>
    <t>N00806/N00805</t>
  </si>
  <si>
    <t>N00841RB</t>
  </si>
  <si>
    <t>C01489G</t>
  </si>
  <si>
    <t>B01053R</t>
  </si>
  <si>
    <t>H01356</t>
  </si>
  <si>
    <t>H01318B</t>
  </si>
  <si>
    <t>C01424P</t>
  </si>
  <si>
    <t>G00390P</t>
  </si>
  <si>
    <t>H01318C</t>
  </si>
  <si>
    <t>H01318M</t>
  </si>
  <si>
    <t>H01318Y</t>
  </si>
  <si>
    <t>F00862G</t>
  </si>
  <si>
    <t>H01318W</t>
  </si>
  <si>
    <t>H01279</t>
  </si>
  <si>
    <t>H01356B</t>
  </si>
  <si>
    <t>H01318R</t>
  </si>
  <si>
    <t>H01356C</t>
  </si>
  <si>
    <t>H01356M</t>
  </si>
  <si>
    <t>H01356Y</t>
  </si>
  <si>
    <t>H01356W</t>
  </si>
  <si>
    <t>E01025</t>
  </si>
  <si>
    <t>H01279B</t>
  </si>
  <si>
    <t>C01433B/C01475B/C01484B</t>
  </si>
  <si>
    <t>H01279C</t>
  </si>
  <si>
    <t>H01279M</t>
  </si>
  <si>
    <t>H01279U</t>
  </si>
  <si>
    <t>H01279W</t>
  </si>
  <si>
    <t>N00807</t>
  </si>
  <si>
    <t>N00805B</t>
  </si>
  <si>
    <t>N00805G</t>
  </si>
  <si>
    <t>N00805R</t>
  </si>
  <si>
    <t>N00805C</t>
  </si>
  <si>
    <t>N00805M</t>
  </si>
  <si>
    <t>N00805Y</t>
  </si>
  <si>
    <t>N00901</t>
  </si>
  <si>
    <t>N00807B</t>
  </si>
  <si>
    <t>N00807G</t>
  </si>
  <si>
    <t>N00807R</t>
  </si>
  <si>
    <t>N00807C</t>
  </si>
  <si>
    <t>N00807M</t>
  </si>
  <si>
    <t>N00807Y</t>
  </si>
  <si>
    <t>N00807W</t>
  </si>
  <si>
    <t>N00751</t>
  </si>
  <si>
    <t>N00901B</t>
  </si>
  <si>
    <t>N00901RB</t>
  </si>
  <si>
    <t>N00901G</t>
  </si>
  <si>
    <t>N00901R</t>
  </si>
  <si>
    <t>N00901C</t>
  </si>
  <si>
    <t>N00901M</t>
  </si>
  <si>
    <t>N00901Y</t>
  </si>
  <si>
    <t>N00901W</t>
  </si>
  <si>
    <t>N00834</t>
  </si>
  <si>
    <t>E01025B</t>
  </si>
  <si>
    <t>H01332O</t>
  </si>
  <si>
    <t>G00385O</t>
  </si>
  <si>
    <t>E01025C</t>
  </si>
  <si>
    <t>E01025M</t>
  </si>
  <si>
    <t>E01025Y</t>
  </si>
  <si>
    <t>E01025W</t>
  </si>
  <si>
    <t>F00863</t>
  </si>
  <si>
    <t>N00751B</t>
  </si>
  <si>
    <t>N00751R</t>
  </si>
  <si>
    <t>N00751C</t>
  </si>
  <si>
    <t>N00751M</t>
  </si>
  <si>
    <t>N00751Y</t>
  </si>
  <si>
    <t>N00834B/J00959B</t>
  </si>
  <si>
    <t>H01358</t>
  </si>
  <si>
    <t>F00863B</t>
  </si>
  <si>
    <t>F00863C</t>
  </si>
  <si>
    <t>F00863M</t>
  </si>
  <si>
    <t>F00863Y</t>
  </si>
  <si>
    <t>N00751W</t>
  </si>
  <si>
    <t>H01357</t>
  </si>
  <si>
    <t>H01358B</t>
  </si>
  <si>
    <t>H01358C</t>
  </si>
  <si>
    <t>H01358M</t>
  </si>
  <si>
    <t>H01358Y</t>
  </si>
  <si>
    <t>H01358G</t>
  </si>
  <si>
    <t>H01358W</t>
  </si>
  <si>
    <t>C01411/C01410</t>
  </si>
  <si>
    <t>H01357B</t>
  </si>
  <si>
    <t>N00751G</t>
  </si>
  <si>
    <t>J00958G</t>
  </si>
  <si>
    <t>H01357R</t>
  </si>
  <si>
    <t>H01357Y</t>
  </si>
  <si>
    <t>H01357W</t>
  </si>
  <si>
    <t>E01015</t>
  </si>
  <si>
    <t>N00834B</t>
  </si>
  <si>
    <t>H01358B/H01332B/N00834B/E01025B/G00385B</t>
  </si>
  <si>
    <t>J00957G</t>
  </si>
  <si>
    <t>N00834M</t>
  </si>
  <si>
    <t>N00834Y</t>
  </si>
  <si>
    <t>N00834W</t>
  </si>
  <si>
    <t>B01055</t>
  </si>
  <si>
    <t>C01410B</t>
  </si>
  <si>
    <t>H01357C</t>
  </si>
  <si>
    <t>H01357M</t>
  </si>
  <si>
    <t>C01410Y</t>
  </si>
  <si>
    <t>C01410W</t>
  </si>
  <si>
    <t>E01019</t>
  </si>
  <si>
    <t>E01019B</t>
  </si>
  <si>
    <t>E01015B</t>
  </si>
  <si>
    <t>H01387C</t>
  </si>
  <si>
    <t>E01014M</t>
  </si>
  <si>
    <t>E01019Y</t>
  </si>
  <si>
    <t>E01019W</t>
  </si>
  <si>
    <t>E01028</t>
  </si>
  <si>
    <t>B01055B</t>
  </si>
  <si>
    <t>H01357G</t>
  </si>
  <si>
    <t>C01410R</t>
  </si>
  <si>
    <t>B01055C</t>
  </si>
  <si>
    <t>B01055M</t>
  </si>
  <si>
    <t>B01055Y</t>
  </si>
  <si>
    <t>B01055W</t>
  </si>
  <si>
    <t>E01014</t>
  </si>
  <si>
    <t>E01019G</t>
  </si>
  <si>
    <t>E01019C</t>
  </si>
  <si>
    <t>E01019M</t>
  </si>
  <si>
    <t>H01019W</t>
  </si>
  <si>
    <t>E01030</t>
  </si>
  <si>
    <t>E01028Y</t>
  </si>
  <si>
    <t>E01028C</t>
  </si>
  <si>
    <t>E01028M</t>
  </si>
  <si>
    <t>E01028R</t>
  </si>
  <si>
    <t>E01028W</t>
  </si>
  <si>
    <t>F00865</t>
  </si>
  <si>
    <t>E01028B</t>
  </si>
  <si>
    <t>E01030R</t>
  </si>
  <si>
    <t>E01030C</t>
  </si>
  <si>
    <t>E01030M</t>
  </si>
  <si>
    <t>E01030Y</t>
  </si>
  <si>
    <t>E01030W</t>
  </si>
  <si>
    <t>E01024</t>
  </si>
  <si>
    <t>E01014B</t>
  </si>
  <si>
    <t>E01014C</t>
  </si>
  <si>
    <t>E01014Y</t>
  </si>
  <si>
    <t>E01014W</t>
  </si>
  <si>
    <t>F00875</t>
  </si>
  <si>
    <t>F00865B</t>
  </si>
  <si>
    <t>F00865R</t>
  </si>
  <si>
    <t>F00865O</t>
  </si>
  <si>
    <t>F00865C</t>
  </si>
  <si>
    <t>F00865M</t>
  </si>
  <si>
    <t>F00865Y</t>
  </si>
  <si>
    <t>F00865W</t>
  </si>
  <si>
    <t>N00895</t>
  </si>
  <si>
    <t>E01024B</t>
  </si>
  <si>
    <t>E01024R</t>
  </si>
  <si>
    <t>E01024C</t>
  </si>
  <si>
    <t>E01024M</t>
  </si>
  <si>
    <t>E01024Y</t>
  </si>
  <si>
    <t>E01024W</t>
  </si>
  <si>
    <t>F00877</t>
  </si>
  <si>
    <t>F00875B</t>
  </si>
  <si>
    <t>F00875R</t>
  </si>
  <si>
    <t>F00875C</t>
  </si>
  <si>
    <t>F00875M</t>
  </si>
  <si>
    <t>F00875Y</t>
  </si>
  <si>
    <t>F00875W</t>
  </si>
  <si>
    <t>F00876</t>
  </si>
  <si>
    <t>F00877B</t>
  </si>
  <si>
    <t>F00877R</t>
  </si>
  <si>
    <t>J00966G</t>
  </si>
  <si>
    <t>C01484G</t>
  </si>
  <si>
    <t>F00877C</t>
  </si>
  <si>
    <t>F00877M</t>
  </si>
  <si>
    <t>F00877Y</t>
  </si>
  <si>
    <t>F00877W</t>
  </si>
  <si>
    <t>F00874</t>
  </si>
  <si>
    <t>F00876B</t>
  </si>
  <si>
    <t>F00876R</t>
  </si>
  <si>
    <t>N00875O</t>
  </si>
  <si>
    <t>F00876C</t>
  </si>
  <si>
    <t>F00876M</t>
  </si>
  <si>
    <t>F00876Y</t>
  </si>
  <si>
    <t>F00876W</t>
  </si>
  <si>
    <t>F00871</t>
  </si>
  <si>
    <t>F00874B</t>
  </si>
  <si>
    <t>F00874R</t>
  </si>
  <si>
    <t>B010357B</t>
  </si>
  <si>
    <t>F00874O</t>
  </si>
  <si>
    <t>F00874C</t>
  </si>
  <si>
    <t>F00874M</t>
  </si>
  <si>
    <t>F00874Y</t>
  </si>
  <si>
    <t>F00874W</t>
  </si>
  <si>
    <t>N00896</t>
  </si>
  <si>
    <t>N00895B</t>
  </si>
  <si>
    <t>E01028G</t>
  </si>
  <si>
    <t>N00895R</t>
  </si>
  <si>
    <t>N00895C</t>
  </si>
  <si>
    <t>N00895M</t>
  </si>
  <si>
    <t>N00895Y</t>
  </si>
  <si>
    <t>N00895W</t>
  </si>
  <si>
    <t>N00893</t>
  </si>
  <si>
    <t>N00896B</t>
  </si>
  <si>
    <t>N00896G</t>
  </si>
  <si>
    <t>N00896R</t>
  </si>
  <si>
    <t>N00896C</t>
  </si>
  <si>
    <t>N00896M</t>
  </si>
  <si>
    <t>N00896Y</t>
  </si>
  <si>
    <t>N00896W</t>
  </si>
  <si>
    <t>P00465</t>
  </si>
  <si>
    <t>F00871B</t>
  </si>
  <si>
    <t>F00871R</t>
  </si>
  <si>
    <t>F01015G</t>
  </si>
  <si>
    <t>F00877G</t>
  </si>
  <si>
    <t>F00871C</t>
  </si>
  <si>
    <t>F00871M</t>
  </si>
  <si>
    <t>F00871Y</t>
  </si>
  <si>
    <t>F00871W</t>
  </si>
  <si>
    <t>F00869</t>
  </si>
  <si>
    <t>N00893C</t>
  </si>
  <si>
    <t>N00893W</t>
  </si>
  <si>
    <t>F00868</t>
  </si>
  <si>
    <t>P00465B</t>
  </si>
  <si>
    <t>P00465R</t>
  </si>
  <si>
    <t>C01410G</t>
  </si>
  <si>
    <t>P00465C</t>
  </si>
  <si>
    <t>P00465M</t>
  </si>
  <si>
    <t>P00465Y</t>
  </si>
  <si>
    <t>P00465W</t>
  </si>
  <si>
    <t>F00873</t>
  </si>
  <si>
    <t>F00869B</t>
  </si>
  <si>
    <t>N00895G</t>
  </si>
  <si>
    <t>C01446G/C01410G</t>
  </si>
  <si>
    <t>F00869R</t>
  </si>
  <si>
    <t>F00869C</t>
  </si>
  <si>
    <t>F00869M</t>
  </si>
  <si>
    <t>F00869Y</t>
  </si>
  <si>
    <t>F00869W</t>
  </si>
  <si>
    <t>N00948</t>
  </si>
  <si>
    <t>F00868B</t>
  </si>
  <si>
    <t>F00868C</t>
  </si>
  <si>
    <t>F00868M</t>
  </si>
  <si>
    <t>F00868Y</t>
  </si>
  <si>
    <t>F00868W</t>
  </si>
  <si>
    <t>P00465G</t>
  </si>
  <si>
    <t>C01507</t>
  </si>
  <si>
    <t>N00948B</t>
  </si>
  <si>
    <t>H01356P</t>
  </si>
  <si>
    <t>F00869P</t>
  </si>
  <si>
    <t>N00948C</t>
  </si>
  <si>
    <t>N00948M</t>
  </si>
  <si>
    <t>N00948Y</t>
  </si>
  <si>
    <t>N00948O</t>
  </si>
  <si>
    <t>N00948W</t>
  </si>
  <si>
    <t>F00870</t>
  </si>
  <si>
    <t>F00873B</t>
  </si>
  <si>
    <t>F00873R</t>
  </si>
  <si>
    <t>F00873C</t>
  </si>
  <si>
    <t>F00873M</t>
  </si>
  <si>
    <t>F00873Y</t>
  </si>
  <si>
    <t>F00873W</t>
  </si>
  <si>
    <t>C01505</t>
  </si>
  <si>
    <t>C01507B</t>
  </si>
  <si>
    <t>C01507C</t>
  </si>
  <si>
    <t>C01507M</t>
  </si>
  <si>
    <t>C01507Y</t>
  </si>
  <si>
    <t>C01507W</t>
  </si>
  <si>
    <t>C01504</t>
  </si>
  <si>
    <t>C01505B</t>
  </si>
  <si>
    <t>F00868R</t>
  </si>
  <si>
    <t>C01505C</t>
  </si>
  <si>
    <t>C01505M</t>
  </si>
  <si>
    <t>C01505Y</t>
  </si>
  <si>
    <t>C01505W</t>
  </si>
  <si>
    <t>G00401</t>
  </si>
  <si>
    <t>F00870R</t>
  </si>
  <si>
    <t>F00870Y</t>
  </si>
  <si>
    <t>F00870W</t>
  </si>
  <si>
    <t>G00403</t>
  </si>
  <si>
    <t>G00401G</t>
  </si>
  <si>
    <t>G00401R</t>
  </si>
  <si>
    <t>G00401Y</t>
  </si>
  <si>
    <t>G00401W</t>
  </si>
  <si>
    <t>C01480</t>
  </si>
  <si>
    <t>C01504R</t>
  </si>
  <si>
    <t>C01504W</t>
  </si>
  <si>
    <t>F00867</t>
  </si>
  <si>
    <t>C01504B</t>
  </si>
  <si>
    <t>C01504C</t>
  </si>
  <si>
    <t>C01504M</t>
  </si>
  <si>
    <t>C01504Y</t>
  </si>
  <si>
    <t>F00821O</t>
  </si>
  <si>
    <t>C01480W</t>
  </si>
  <si>
    <t>F00866</t>
  </si>
  <si>
    <t>F00867B</t>
  </si>
  <si>
    <t>F00867R</t>
  </si>
  <si>
    <t>N00948G</t>
  </si>
  <si>
    <t>C01505G/F00873G</t>
  </si>
  <si>
    <t>F00867C</t>
  </si>
  <si>
    <t>F00867M</t>
  </si>
  <si>
    <t>F00867Y</t>
  </si>
  <si>
    <t>F00867W</t>
  </si>
  <si>
    <t>N00954</t>
  </si>
  <si>
    <t>F00866B</t>
  </si>
  <si>
    <t>N00834RB</t>
  </si>
  <si>
    <t>F00870C</t>
  </si>
  <si>
    <t>F00866C</t>
  </si>
  <si>
    <t>F00866M</t>
  </si>
  <si>
    <t>F00866Y</t>
  </si>
  <si>
    <t>F00866G</t>
  </si>
  <si>
    <t>F00866W</t>
  </si>
  <si>
    <t>N00951</t>
  </si>
  <si>
    <t>N00954B</t>
  </si>
  <si>
    <t>N00954RB</t>
  </si>
  <si>
    <t>N00954C</t>
  </si>
  <si>
    <t>N00954M</t>
  </si>
  <si>
    <t>N00954Y</t>
  </si>
  <si>
    <t>N00954G</t>
  </si>
  <si>
    <t>N00954W</t>
  </si>
  <si>
    <t>N00953</t>
  </si>
  <si>
    <t>N00951B</t>
  </si>
  <si>
    <t>N00951RB</t>
  </si>
  <si>
    <t>F00871RB</t>
  </si>
  <si>
    <t>N00893RB</t>
  </si>
  <si>
    <t>N00951C</t>
  </si>
  <si>
    <t>N00951M</t>
  </si>
  <si>
    <t>N00951Y</t>
  </si>
  <si>
    <t>N00951G</t>
  </si>
  <si>
    <t>N00951W</t>
  </si>
  <si>
    <t>N00950</t>
  </si>
  <si>
    <t>N00953B</t>
  </si>
  <si>
    <t>H01208B</t>
  </si>
  <si>
    <t>N00953C</t>
  </si>
  <si>
    <t>N00953M</t>
  </si>
  <si>
    <t>N00953Y</t>
  </si>
  <si>
    <t>N00953G</t>
  </si>
  <si>
    <t>N00953W</t>
  </si>
  <si>
    <t>N00952</t>
  </si>
  <si>
    <t>N00950B</t>
  </si>
  <si>
    <t>F00866R</t>
  </si>
  <si>
    <t>N00950C</t>
  </si>
  <si>
    <t>N00950M</t>
  </si>
  <si>
    <t>N00950Y</t>
  </si>
  <si>
    <t>N00950G</t>
  </si>
  <si>
    <t>N00950W</t>
  </si>
  <si>
    <t>P00417</t>
  </si>
  <si>
    <t>N00952B</t>
  </si>
  <si>
    <t>N00952C</t>
  </si>
  <si>
    <t>N00952M</t>
  </si>
  <si>
    <t>N00952Y</t>
  </si>
  <si>
    <t>N00952W</t>
  </si>
  <si>
    <t>P00453</t>
  </si>
  <si>
    <t>P00417B</t>
  </si>
  <si>
    <t>P00417C</t>
  </si>
  <si>
    <t>P00417M</t>
  </si>
  <si>
    <t>P00417Y</t>
  </si>
  <si>
    <t>P00417W</t>
  </si>
  <si>
    <t>P00418</t>
  </si>
  <si>
    <t>P00453B</t>
  </si>
  <si>
    <t>P00453C</t>
  </si>
  <si>
    <t>P00453M</t>
  </si>
  <si>
    <t>P00453Y</t>
  </si>
  <si>
    <t>P00453W</t>
  </si>
  <si>
    <t>P00454</t>
  </si>
  <si>
    <t>P00418B</t>
  </si>
  <si>
    <t>P00418RB</t>
  </si>
  <si>
    <t>P00418C</t>
  </si>
  <si>
    <t>P00418M</t>
  </si>
  <si>
    <t>P00418Y</t>
  </si>
  <si>
    <t>P00418W</t>
  </si>
  <si>
    <t>P00452</t>
  </si>
  <si>
    <t>P00454B</t>
  </si>
  <si>
    <t>P00454RB</t>
  </si>
  <si>
    <t>P00454C</t>
  </si>
  <si>
    <t>P00454M</t>
  </si>
  <si>
    <t>P00454Y</t>
  </si>
  <si>
    <t>P00454W</t>
  </si>
  <si>
    <t>N00892</t>
  </si>
  <si>
    <t>P00452B</t>
  </si>
  <si>
    <t>C01475P</t>
  </si>
  <si>
    <t>P00418P</t>
  </si>
  <si>
    <t>G00403G</t>
  </si>
  <si>
    <t>P00452M</t>
  </si>
  <si>
    <t>P00452Y</t>
  </si>
  <si>
    <t>P00452W</t>
  </si>
  <si>
    <t>N00892B</t>
  </si>
  <si>
    <t>C01505G</t>
  </si>
  <si>
    <t>P00452R</t>
  </si>
  <si>
    <t>N00892Y</t>
  </si>
  <si>
    <t>N00892W</t>
  </si>
  <si>
    <t>F00879</t>
  </si>
  <si>
    <t>G01490B</t>
  </si>
  <si>
    <t>P00452RB</t>
  </si>
  <si>
    <t>P00452C</t>
  </si>
  <si>
    <t>N00892M</t>
  </si>
  <si>
    <t>G01490Y</t>
  </si>
  <si>
    <t>N00705</t>
  </si>
  <si>
    <t>E01014G</t>
  </si>
  <si>
    <t>H01274</t>
  </si>
  <si>
    <t>F00879B</t>
  </si>
  <si>
    <t>P00418B/C01504B</t>
  </si>
  <si>
    <t>N00952R</t>
  </si>
  <si>
    <t>C01480R</t>
  </si>
  <si>
    <t>F00876G</t>
  </si>
  <si>
    <t>F00879C</t>
  </si>
  <si>
    <t>F00879M</t>
  </si>
  <si>
    <t>F00879Y</t>
  </si>
  <si>
    <t>G01490W</t>
  </si>
  <si>
    <t>J00967</t>
  </si>
  <si>
    <t>H01274B</t>
  </si>
  <si>
    <t>G01490G</t>
  </si>
  <si>
    <t>C01453G/.F00866F</t>
  </si>
  <si>
    <t>H01274C</t>
  </si>
  <si>
    <t>H01274M</t>
  </si>
  <si>
    <t>H01274Y</t>
  </si>
  <si>
    <t>N01274W</t>
  </si>
  <si>
    <t>N00903</t>
  </si>
  <si>
    <t>J00967N</t>
  </si>
  <si>
    <t>C01504RB</t>
  </si>
  <si>
    <t>N00951R</t>
  </si>
  <si>
    <t>J00967C</t>
  </si>
  <si>
    <t>J00967M</t>
  </si>
  <si>
    <t>J00967Y</t>
  </si>
  <si>
    <t>J00967W</t>
  </si>
  <si>
    <t>N00904</t>
  </si>
  <si>
    <t>N00903B</t>
  </si>
  <si>
    <t>N00903RB</t>
  </si>
  <si>
    <t>N00903G</t>
  </si>
  <si>
    <t>N00903R</t>
  </si>
  <si>
    <t>N00903C</t>
  </si>
  <si>
    <t>N00903M</t>
  </si>
  <si>
    <t>N00903Y</t>
  </si>
  <si>
    <t>N00903W</t>
  </si>
  <si>
    <t>N00905</t>
  </si>
  <si>
    <t>N00904B</t>
  </si>
  <si>
    <t>N00904G</t>
  </si>
  <si>
    <t>N00904R</t>
  </si>
  <si>
    <t>N00904C</t>
  </si>
  <si>
    <t>N00904M</t>
  </si>
  <si>
    <t>N00904Y</t>
  </si>
  <si>
    <t>N00904W</t>
  </si>
  <si>
    <t>P00464</t>
  </si>
  <si>
    <t>N00905B</t>
  </si>
  <si>
    <t>N00905C</t>
  </si>
  <si>
    <t>N00905M</t>
  </si>
  <si>
    <t>N00905Y</t>
  </si>
  <si>
    <t>N00905W</t>
  </si>
  <si>
    <t>P00494</t>
  </si>
  <si>
    <t>P00464B</t>
  </si>
  <si>
    <t>P00464C</t>
  </si>
  <si>
    <t>P00464M</t>
  </si>
  <si>
    <t>P00464Y</t>
  </si>
  <si>
    <t>P00464W</t>
  </si>
  <si>
    <t>F00887</t>
  </si>
  <si>
    <t>P00494B</t>
  </si>
  <si>
    <t>P00494R</t>
  </si>
  <si>
    <t>F00870RB</t>
  </si>
  <si>
    <t>P00494C</t>
  </si>
  <si>
    <t>P00494M</t>
  </si>
  <si>
    <t>P00494Y</t>
  </si>
  <si>
    <t>P00494W</t>
  </si>
  <si>
    <t>E01026</t>
  </si>
  <si>
    <t>F00887B</t>
  </si>
  <si>
    <t>E01025B/N00953B/P00414B/P00464B</t>
  </si>
  <si>
    <t>H01274R</t>
  </si>
  <si>
    <t>F00887C</t>
  </si>
  <si>
    <t>F00887M</t>
  </si>
  <si>
    <t>F00887Y</t>
  </si>
  <si>
    <t>F00887W</t>
  </si>
  <si>
    <t>F00886</t>
  </si>
  <si>
    <t>E01026B</t>
  </si>
  <si>
    <t>F00887R</t>
  </si>
  <si>
    <t>N00952G</t>
  </si>
  <si>
    <t>E01026M</t>
  </si>
  <si>
    <t>E01026Y</t>
  </si>
  <si>
    <t>E01026W</t>
  </si>
  <si>
    <t>F00891</t>
  </si>
  <si>
    <t>F00886B</t>
  </si>
  <si>
    <t>E00886G</t>
  </si>
  <si>
    <t>F00886R</t>
  </si>
  <si>
    <t>F00886M</t>
  </si>
  <si>
    <t>F00886Y</t>
  </si>
  <si>
    <t>F00886W</t>
  </si>
  <si>
    <t>F00889</t>
  </si>
  <si>
    <t>F00891B</t>
  </si>
  <si>
    <t>F00891R</t>
  </si>
  <si>
    <t>F00891O</t>
  </si>
  <si>
    <t>E01026C</t>
  </si>
  <si>
    <t>F00891M</t>
  </si>
  <si>
    <t>F00891Y</t>
  </si>
  <si>
    <t>F00891W</t>
  </si>
  <si>
    <t>E01027</t>
  </si>
  <si>
    <t>F00889B</t>
  </si>
  <si>
    <t>F00879B/P00452B/F00874B/N00903B/N00892B</t>
  </si>
  <si>
    <t>F00889R</t>
  </si>
  <si>
    <t>F00889C</t>
  </si>
  <si>
    <t>F00889M</t>
  </si>
  <si>
    <t>F00889Y</t>
  </si>
  <si>
    <t>F00889W</t>
  </si>
  <si>
    <t>C01494/C01495</t>
  </si>
  <si>
    <t>H01394</t>
  </si>
  <si>
    <t>C01494B</t>
  </si>
  <si>
    <t>E01027W</t>
  </si>
  <si>
    <t>E01029</t>
  </si>
  <si>
    <t>G00403R</t>
  </si>
  <si>
    <t>E01027C</t>
  </si>
  <si>
    <t>E01027M</t>
  </si>
  <si>
    <t>E01027Y</t>
  </si>
  <si>
    <t>E01031</t>
  </si>
  <si>
    <t>E01029B</t>
  </si>
  <si>
    <t>E01029R</t>
  </si>
  <si>
    <t>E01015R</t>
  </si>
  <si>
    <t>E01029Y</t>
  </si>
  <si>
    <t>E01029C</t>
  </si>
  <si>
    <t>E01029M</t>
  </si>
  <si>
    <t>E01029W</t>
  </si>
  <si>
    <t>F00888</t>
  </si>
  <si>
    <t>C01511B</t>
  </si>
  <si>
    <t>C01511R</t>
  </si>
  <si>
    <t>E01031Y</t>
  </si>
  <si>
    <t>C01511C</t>
  </si>
  <si>
    <t>C01511M</t>
  </si>
  <si>
    <t>C01511Y</t>
  </si>
  <si>
    <t>C01511W</t>
  </si>
  <si>
    <t>C01511</t>
  </si>
  <si>
    <t>H01394B</t>
  </si>
  <si>
    <t>E01031R</t>
  </si>
  <si>
    <t>E01031C</t>
  </si>
  <si>
    <t>E01031M</t>
  </si>
  <si>
    <t>E01029G</t>
  </si>
  <si>
    <t>E01031W</t>
  </si>
  <si>
    <t>J00978</t>
  </si>
  <si>
    <t>J00979G</t>
  </si>
  <si>
    <t>P00485</t>
  </si>
  <si>
    <t>E01030B</t>
  </si>
  <si>
    <t>P00480B</t>
  </si>
  <si>
    <t>B01049M</t>
  </si>
  <si>
    <t>J00984O</t>
  </si>
  <si>
    <t>N00944Y</t>
  </si>
  <si>
    <t>J00995</t>
  </si>
  <si>
    <t>P00485B</t>
  </si>
  <si>
    <t>P00485R</t>
  </si>
  <si>
    <t>B01049C</t>
  </si>
  <si>
    <t>P00485M</t>
  </si>
  <si>
    <t>P00485Y</t>
  </si>
  <si>
    <t>P00485W</t>
  </si>
  <si>
    <t>J01001</t>
  </si>
  <si>
    <t>J00995B</t>
  </si>
  <si>
    <t>J00995C</t>
  </si>
  <si>
    <t>J00995M</t>
  </si>
  <si>
    <t>J00995Y</t>
  </si>
  <si>
    <t>J00995W</t>
  </si>
  <si>
    <t>B01038</t>
  </si>
  <si>
    <t>J01001B</t>
  </si>
  <si>
    <t>B01033B/C01485B/P00485B</t>
  </si>
  <si>
    <t>J01001W</t>
  </si>
  <si>
    <t>J00992</t>
  </si>
  <si>
    <t>B01038B</t>
  </si>
  <si>
    <t>B01049B</t>
  </si>
  <si>
    <t>B01048S</t>
  </si>
  <si>
    <t>J00871G</t>
  </si>
  <si>
    <t>N00826G</t>
  </si>
  <si>
    <t>J01001R</t>
  </si>
  <si>
    <t>B01038W</t>
  </si>
  <si>
    <t>B01038M</t>
  </si>
  <si>
    <t>J00994</t>
  </si>
  <si>
    <t>J00992B</t>
  </si>
  <si>
    <t>B01049G</t>
  </si>
  <si>
    <t>J00992G</t>
  </si>
  <si>
    <t>J00992S</t>
  </si>
  <si>
    <t>J00992R</t>
  </si>
  <si>
    <t>J00992W</t>
  </si>
  <si>
    <t>J00992M</t>
  </si>
  <si>
    <t>F00846M</t>
  </si>
  <si>
    <t>J00993/J00991</t>
  </si>
  <si>
    <t>J00994B</t>
  </si>
  <si>
    <t>P00435B/J00882B</t>
  </si>
  <si>
    <t>N00765O</t>
  </si>
  <si>
    <t>J00994G</t>
  </si>
  <si>
    <t>J00994S</t>
  </si>
  <si>
    <t>J00994R</t>
  </si>
  <si>
    <t>J00994W</t>
  </si>
  <si>
    <t>J00994M</t>
  </si>
  <si>
    <t>N00989</t>
  </si>
  <si>
    <t>C01492B</t>
  </si>
  <si>
    <t>J00991R</t>
  </si>
  <si>
    <t>P00480G</t>
  </si>
  <si>
    <t>P00408M</t>
  </si>
  <si>
    <t>J01001C</t>
  </si>
  <si>
    <t>J01001M</t>
  </si>
  <si>
    <t>J01001Y</t>
  </si>
  <si>
    <t>J00991W</t>
  </si>
  <si>
    <t>B00974</t>
  </si>
  <si>
    <t>N00989B</t>
  </si>
  <si>
    <t>J00975P</t>
  </si>
  <si>
    <t>N00989C</t>
  </si>
  <si>
    <t>N00989Y</t>
  </si>
  <si>
    <t>N00989W</t>
  </si>
  <si>
    <t>F00882</t>
  </si>
  <si>
    <t>B00974B</t>
  </si>
  <si>
    <t>F00851G</t>
  </si>
  <si>
    <t>N00974C</t>
  </si>
  <si>
    <t>N00989M</t>
  </si>
  <si>
    <t>N00974Y</t>
  </si>
  <si>
    <t>N00974W</t>
  </si>
  <si>
    <t>B01067/B01068</t>
  </si>
  <si>
    <t>C01088B</t>
  </si>
  <si>
    <t>F00882C</t>
  </si>
  <si>
    <t>F00882M</t>
  </si>
  <si>
    <t>F00882Y</t>
  </si>
  <si>
    <t>C01287</t>
  </si>
  <si>
    <t>B01068B</t>
  </si>
  <si>
    <t>B01068C</t>
  </si>
  <si>
    <t>B01068M</t>
  </si>
  <si>
    <t>B01068Y</t>
  </si>
  <si>
    <t>R00007</t>
  </si>
  <si>
    <t>C01287B</t>
  </si>
  <si>
    <t>B00974R</t>
  </si>
  <si>
    <t>C01287C</t>
  </si>
  <si>
    <t>C01287M</t>
  </si>
  <si>
    <t>C01287Y</t>
  </si>
  <si>
    <t>J00992B/B00974B/P00480B</t>
  </si>
  <si>
    <t>B01068W</t>
  </si>
  <si>
    <t>N00795</t>
  </si>
  <si>
    <t>R00007B</t>
  </si>
  <si>
    <t>B01067B</t>
  </si>
  <si>
    <t>B01067O</t>
  </si>
  <si>
    <t>J00991O</t>
  </si>
  <si>
    <t>B01049Y</t>
  </si>
  <si>
    <t>R00007C</t>
  </si>
  <si>
    <t>R00007M</t>
  </si>
  <si>
    <t>R00007Y</t>
  </si>
  <si>
    <t>R00007W</t>
  </si>
  <si>
    <t>P00463</t>
  </si>
  <si>
    <t>N00795B</t>
  </si>
  <si>
    <t>N00795M</t>
  </si>
  <si>
    <t>N00795Y</t>
  </si>
  <si>
    <t>N00795W</t>
  </si>
  <si>
    <t>B01074/B01073</t>
  </si>
  <si>
    <t>P00463B</t>
  </si>
  <si>
    <t>P00463Y</t>
  </si>
  <si>
    <t>P00463W</t>
  </si>
  <si>
    <t>F00860</t>
  </si>
  <si>
    <t>B01073B</t>
  </si>
  <si>
    <t>N00994B</t>
  </si>
  <si>
    <t>B01073G</t>
  </si>
  <si>
    <t>N00795C</t>
  </si>
  <si>
    <t>P00463M</t>
  </si>
  <si>
    <t>B01073Y</t>
  </si>
  <si>
    <t>B01073W</t>
  </si>
  <si>
    <t>J00991M</t>
  </si>
  <si>
    <t>F00859</t>
  </si>
  <si>
    <t>F00860B</t>
  </si>
  <si>
    <t>F00860C</t>
  </si>
  <si>
    <t>F00860M</t>
  </si>
  <si>
    <t>F00860Y</t>
  </si>
  <si>
    <t>F00860W</t>
  </si>
  <si>
    <t>C01471</t>
  </si>
  <si>
    <t>G00397G</t>
  </si>
  <si>
    <t>F00859C</t>
  </si>
  <si>
    <t>F00859M</t>
  </si>
  <si>
    <t>C01470</t>
  </si>
  <si>
    <t>C01471B</t>
  </si>
  <si>
    <t>C01343P</t>
  </si>
  <si>
    <t>C01471G</t>
  </si>
  <si>
    <t>C01471C</t>
  </si>
  <si>
    <t>C01471M</t>
  </si>
  <si>
    <t>C01471Y</t>
  </si>
  <si>
    <t>C01451</t>
  </si>
  <si>
    <t>C01470B</t>
  </si>
  <si>
    <t>C01470M</t>
  </si>
  <si>
    <t>C01470Y</t>
  </si>
  <si>
    <t>C01470W</t>
  </si>
  <si>
    <t>J01002/J01003</t>
  </si>
  <si>
    <t>C01451B</t>
  </si>
  <si>
    <t>L00294P</t>
  </si>
  <si>
    <t>C01470C</t>
  </si>
  <si>
    <t>C01451M</t>
  </si>
  <si>
    <t>C01451Y</t>
  </si>
  <si>
    <t>C01451W</t>
  </si>
  <si>
    <t>L00324/L00325</t>
  </si>
  <si>
    <t>J01003B</t>
  </si>
  <si>
    <t>J00977B/J00975B/B01067B/J00992B/C01471B/N00795B/N00784B/P00456B/J010030B/G00406B/P00456B</t>
  </si>
  <si>
    <t>J00399C</t>
  </si>
  <si>
    <t>F00889C/R00007R/G00399C/P00463C/P00463C</t>
  </si>
  <si>
    <t>J01003M</t>
  </si>
  <si>
    <t>J01003Y</t>
  </si>
  <si>
    <t>J01003W</t>
  </si>
  <si>
    <t>C01513</t>
  </si>
  <si>
    <t>L00324B</t>
  </si>
  <si>
    <t>L00324O</t>
  </si>
  <si>
    <t>C01517</t>
  </si>
  <si>
    <t>C01512B</t>
  </si>
  <si>
    <t>C01496/C01512</t>
  </si>
  <si>
    <t>C01513B</t>
  </si>
  <si>
    <t>L00324Y</t>
  </si>
  <si>
    <t>C01515</t>
  </si>
  <si>
    <t>C01517B</t>
  </si>
  <si>
    <t>L00324C</t>
  </si>
  <si>
    <t>N00960</t>
  </si>
  <si>
    <t>C01515B</t>
  </si>
  <si>
    <t>C01512Y</t>
  </si>
  <si>
    <t>L00324W</t>
  </si>
  <si>
    <t>B01071/B01070</t>
  </si>
  <si>
    <t>N00960B</t>
  </si>
  <si>
    <t>B01043G+</t>
  </si>
  <si>
    <t>B01073R</t>
  </si>
  <si>
    <t>N00960W</t>
  </si>
  <si>
    <t>B01075</t>
  </si>
  <si>
    <t>B01070B</t>
  </si>
  <si>
    <t>B01070R</t>
  </si>
  <si>
    <t>B01070G</t>
  </si>
  <si>
    <t>B01070W</t>
  </si>
  <si>
    <t>B01072</t>
  </si>
  <si>
    <t>B01075B</t>
  </si>
  <si>
    <t>B01075R</t>
  </si>
  <si>
    <t>B01075G</t>
  </si>
  <si>
    <t>B01070Y</t>
  </si>
  <si>
    <t>B01075W</t>
  </si>
  <si>
    <t>B01076</t>
  </si>
  <si>
    <t>B01072B</t>
  </si>
  <si>
    <t>B01072R</t>
  </si>
  <si>
    <t>B01072G</t>
  </si>
  <si>
    <t>B01072W</t>
  </si>
  <si>
    <t>G00409</t>
  </si>
  <si>
    <t>N00795G</t>
  </si>
  <si>
    <t>J01001G</t>
  </si>
  <si>
    <t>F00859B</t>
  </si>
  <si>
    <t>F00859B/C01513B/C01466B</t>
  </si>
  <si>
    <t>B01076W</t>
  </si>
  <si>
    <t>G00410</t>
  </si>
  <si>
    <t>B01076B</t>
  </si>
  <si>
    <t>B01076R</t>
  </si>
  <si>
    <t>G00409W</t>
  </si>
  <si>
    <t>C01518/C01519</t>
  </si>
  <si>
    <t>B01072Y</t>
  </si>
  <si>
    <t>L00333</t>
  </si>
  <si>
    <t>C01519B</t>
  </si>
  <si>
    <t>G00410B</t>
  </si>
  <si>
    <t>C01519R</t>
  </si>
  <si>
    <t>G00410R</t>
  </si>
  <si>
    <t>C00324RB</t>
  </si>
  <si>
    <t>C01519Y</t>
  </si>
  <si>
    <t>G00410W</t>
  </si>
  <si>
    <t>L00331</t>
  </si>
  <si>
    <t>L00333B</t>
  </si>
  <si>
    <t>L00333R</t>
  </si>
  <si>
    <t>G00410Y</t>
  </si>
  <si>
    <t>C01513Y</t>
  </si>
  <si>
    <t>L00333C</t>
  </si>
  <si>
    <t>L00333M</t>
  </si>
  <si>
    <t>L00333Y</t>
  </si>
  <si>
    <t>L00333W</t>
  </si>
  <si>
    <t>L00330</t>
  </si>
  <si>
    <t>L00331B</t>
  </si>
  <si>
    <t>L00331R</t>
  </si>
  <si>
    <t>B01049R</t>
  </si>
  <si>
    <t>N00879R</t>
  </si>
  <si>
    <t>L00331C</t>
  </si>
  <si>
    <t>L00331M</t>
  </si>
  <si>
    <t>L00324M</t>
  </si>
  <si>
    <t>L00331Y</t>
  </si>
  <si>
    <t>L00331W</t>
  </si>
  <si>
    <t>N00961</t>
  </si>
  <si>
    <t>L00330B</t>
  </si>
  <si>
    <t>L00330W</t>
  </si>
  <si>
    <t>P00461</t>
  </si>
  <si>
    <t>N00961B</t>
  </si>
  <si>
    <t>C01444B/P00435B</t>
  </si>
  <si>
    <t>L00330R</t>
  </si>
  <si>
    <t>C01557R</t>
  </si>
  <si>
    <t>L00330C</t>
  </si>
  <si>
    <t>L00330M</t>
  </si>
  <si>
    <t>B01067M</t>
  </si>
  <si>
    <t>L00330Y</t>
  </si>
  <si>
    <t>J00873</t>
  </si>
  <si>
    <t>P00461B</t>
  </si>
  <si>
    <t>N00944O</t>
  </si>
  <si>
    <t>N00795O/J00945O/N00795O/N00944O</t>
  </si>
  <si>
    <t>P00461C</t>
  </si>
  <si>
    <t>P00461M</t>
  </si>
  <si>
    <t>P00461U</t>
  </si>
  <si>
    <t>J00877</t>
  </si>
  <si>
    <t>J00873C</t>
  </si>
  <si>
    <t>J00873M</t>
  </si>
  <si>
    <t>J00873Y</t>
  </si>
  <si>
    <t>J00873W</t>
  </si>
  <si>
    <t>J00875</t>
  </si>
  <si>
    <t>J00873B</t>
  </si>
  <si>
    <t>J00877B</t>
  </si>
  <si>
    <t>C01471G/J00871G/N00826G</t>
  </si>
  <si>
    <t>J00877C</t>
  </si>
  <si>
    <t>J00877M</t>
  </si>
  <si>
    <t>J00877Y</t>
  </si>
  <si>
    <t>J00873G</t>
  </si>
  <si>
    <t>J00877W</t>
  </si>
  <si>
    <t>B01011</t>
  </si>
  <si>
    <t>J00875B</t>
  </si>
  <si>
    <t>P00461R</t>
  </si>
  <si>
    <t>B01076G</t>
  </si>
  <si>
    <t>J00875C</t>
  </si>
  <si>
    <t>J00875M</t>
  </si>
  <si>
    <t>J00875Y</t>
  </si>
  <si>
    <t>J00875W</t>
  </si>
  <si>
    <t>G00413</t>
  </si>
  <si>
    <t>B01011G</t>
  </si>
  <si>
    <t>B01011R</t>
  </si>
  <si>
    <t>B01011W</t>
  </si>
  <si>
    <t>G00414/G00415</t>
  </si>
  <si>
    <t>F00830G</t>
  </si>
  <si>
    <t>F00882G</t>
  </si>
  <si>
    <t>G00413G</t>
  </si>
  <si>
    <t>B01011Y</t>
  </si>
  <si>
    <t>G00413W</t>
  </si>
  <si>
    <t>G00416</t>
  </si>
  <si>
    <t>G00415G</t>
  </si>
  <si>
    <t>G00413R</t>
  </si>
  <si>
    <t>G00415Y</t>
  </si>
  <si>
    <t>G00415W</t>
  </si>
  <si>
    <t>F00892</t>
  </si>
  <si>
    <t>B01011B</t>
  </si>
  <si>
    <t>L00333RB</t>
  </si>
  <si>
    <t>B01011C</t>
  </si>
  <si>
    <t>B01011M</t>
  </si>
  <si>
    <t>G00416Y</t>
  </si>
  <si>
    <t>G00416W</t>
  </si>
  <si>
    <t>B01065</t>
  </si>
  <si>
    <t>TL144</t>
  </si>
  <si>
    <t>H01308</t>
  </si>
  <si>
    <t>F00888B</t>
  </si>
  <si>
    <t>F00888M</t>
  </si>
  <si>
    <t>F00888Y</t>
  </si>
  <si>
    <t>F00888W</t>
  </si>
  <si>
    <t>H01308B</t>
  </si>
  <si>
    <t>C01511G</t>
  </si>
  <si>
    <t>H01308R</t>
  </si>
  <si>
    <t>H01308M</t>
  </si>
  <si>
    <t>H01308Y</t>
  </si>
  <si>
    <t>H01308W</t>
  </si>
  <si>
    <t>H01388</t>
  </si>
  <si>
    <t>F00890</t>
  </si>
  <si>
    <t>H01388B</t>
  </si>
  <si>
    <t>H01388C</t>
  </si>
  <si>
    <t>H01388M</t>
  </si>
  <si>
    <t>H01388Y</t>
  </si>
  <si>
    <t>H01388W</t>
  </si>
  <si>
    <t>C01448</t>
  </si>
  <si>
    <t>F00890B</t>
  </si>
  <si>
    <t>F00890R</t>
  </si>
  <si>
    <t>F00890C</t>
  </si>
  <si>
    <t>F00890M</t>
  </si>
  <si>
    <t>F00890Y</t>
  </si>
  <si>
    <t>F00890W</t>
  </si>
  <si>
    <t>C01521</t>
  </si>
  <si>
    <t>C01448B</t>
  </si>
  <si>
    <t>C01448R</t>
  </si>
  <si>
    <t>J00967G</t>
  </si>
  <si>
    <t>C01448C</t>
  </si>
  <si>
    <t>C01448M</t>
  </si>
  <si>
    <t>C01448Y</t>
  </si>
  <si>
    <t>C01448W</t>
  </si>
  <si>
    <t>C01522</t>
  </si>
  <si>
    <t>C01522B</t>
  </si>
  <si>
    <t>C01522R</t>
  </si>
  <si>
    <t>C01522G</t>
  </si>
  <si>
    <t>C01522C</t>
  </si>
  <si>
    <t>C01522M</t>
  </si>
  <si>
    <t>C01522Y</t>
  </si>
  <si>
    <t>C01522W</t>
  </si>
  <si>
    <t>C01520</t>
  </si>
  <si>
    <t>F00888R</t>
  </si>
  <si>
    <t>N00892G</t>
  </si>
  <si>
    <t>C01522CV</t>
  </si>
  <si>
    <t>H01215/H01271/H01272</t>
  </si>
  <si>
    <t>C01520B</t>
  </si>
  <si>
    <t>F00870B</t>
  </si>
  <si>
    <t>C01520R</t>
  </si>
  <si>
    <t>C01520G</t>
  </si>
  <si>
    <t>C01520C</t>
  </si>
  <si>
    <t>H01205C</t>
  </si>
  <si>
    <t>C01520M</t>
  </si>
  <si>
    <t>C01520Y</t>
  </si>
  <si>
    <t>H01205Y</t>
  </si>
  <si>
    <t>C01520W</t>
  </si>
  <si>
    <t>H01268/H01205</t>
  </si>
  <si>
    <t>H01308G</t>
  </si>
  <si>
    <t>F00888C</t>
  </si>
  <si>
    <t>N00868/N00869</t>
  </si>
  <si>
    <t>C01435</t>
  </si>
  <si>
    <t>H01215G</t>
  </si>
  <si>
    <t>H01215R</t>
  </si>
  <si>
    <t>H01215C</t>
  </si>
  <si>
    <t>H01215M</t>
  </si>
  <si>
    <t>H01215W</t>
  </si>
  <si>
    <t>H01215Y</t>
  </si>
  <si>
    <t>C01524/C01525</t>
  </si>
  <si>
    <t>N00869B</t>
  </si>
  <si>
    <t>N00869R</t>
  </si>
  <si>
    <t>N00869M</t>
  </si>
  <si>
    <t>N00869Y</t>
  </si>
  <si>
    <t>N00869W</t>
  </si>
  <si>
    <t>E01045</t>
  </si>
  <si>
    <t>C01525B</t>
  </si>
  <si>
    <t>C01435G</t>
  </si>
  <si>
    <t>C01525M</t>
  </si>
  <si>
    <t>C01525Y</t>
  </si>
  <si>
    <t>C01525W</t>
  </si>
  <si>
    <t>C01429</t>
  </si>
  <si>
    <t>H01215B</t>
  </si>
  <si>
    <t>N00811P</t>
  </si>
  <si>
    <t>H01308P</t>
  </si>
  <si>
    <t>C01435C</t>
  </si>
  <si>
    <t>C01435M</t>
  </si>
  <si>
    <t>C01435Y</t>
  </si>
  <si>
    <t>C01435W</t>
  </si>
  <si>
    <t>B01018</t>
  </si>
  <si>
    <t>C01429B</t>
  </si>
  <si>
    <t>C01429C</t>
  </si>
  <si>
    <t>C01429M</t>
  </si>
  <si>
    <t>C01429Y</t>
  </si>
  <si>
    <t>C01429W</t>
  </si>
  <si>
    <t>N00894</t>
  </si>
  <si>
    <t>B01018B</t>
  </si>
  <si>
    <t>C01435R</t>
  </si>
  <si>
    <t>B01018C</t>
  </si>
  <si>
    <t>B01018M</t>
  </si>
  <si>
    <t>B01018Y</t>
  </si>
  <si>
    <t>B01018W</t>
  </si>
  <si>
    <t>H01395</t>
  </si>
  <si>
    <t>N00894B</t>
  </si>
  <si>
    <t>N00894C</t>
  </si>
  <si>
    <t>H01308RB</t>
  </si>
  <si>
    <t>E01026B/E00988B</t>
  </si>
  <si>
    <t>C01453B/H01205B/H01215B</t>
  </si>
  <si>
    <t>H0125O</t>
  </si>
  <si>
    <t>N00897/N00898/N00899</t>
  </si>
  <si>
    <t>H01395B</t>
  </si>
  <si>
    <t>N00894R</t>
  </si>
  <si>
    <t>H01395C</t>
  </si>
  <si>
    <t>N00894M</t>
  </si>
  <si>
    <t>E01045M</t>
  </si>
  <si>
    <t>N00894Y</t>
  </si>
  <si>
    <t>N00894W</t>
  </si>
  <si>
    <t>H01380</t>
  </si>
  <si>
    <t>N00899B</t>
  </si>
  <si>
    <t>N00899R</t>
  </si>
  <si>
    <t>N00899C</t>
  </si>
  <si>
    <t>N00899M</t>
  </si>
  <si>
    <t>E01015M</t>
  </si>
  <si>
    <t>C01525G</t>
  </si>
  <si>
    <t>N00899W</t>
  </si>
  <si>
    <t>P00419</t>
  </si>
  <si>
    <t>H01380B</t>
  </si>
  <si>
    <t>H01380G</t>
  </si>
  <si>
    <t>H01380M</t>
  </si>
  <si>
    <t>H01380Y</t>
  </si>
  <si>
    <t>H01380W</t>
  </si>
  <si>
    <t>P00419B</t>
  </si>
  <si>
    <t>E01027R</t>
  </si>
  <si>
    <t>C01525R</t>
  </si>
  <si>
    <t>P00419C</t>
  </si>
  <si>
    <t>P00419M</t>
  </si>
  <si>
    <t>P00419Y</t>
  </si>
  <si>
    <t>P00419W</t>
  </si>
  <si>
    <t>N00862</t>
  </si>
  <si>
    <t>N00894G</t>
  </si>
  <si>
    <t>N00900O</t>
  </si>
  <si>
    <t>N00861</t>
  </si>
  <si>
    <t>N00862B</t>
  </si>
  <si>
    <t>N00862G</t>
  </si>
  <si>
    <t>N00862C</t>
  </si>
  <si>
    <t>N00862M</t>
  </si>
  <si>
    <t>N00862Y</t>
  </si>
  <si>
    <t>N00862R</t>
  </si>
  <si>
    <t>N00862O</t>
  </si>
  <si>
    <t>N00862W</t>
  </si>
  <si>
    <t>N00860</t>
  </si>
  <si>
    <t>N00861B</t>
  </si>
  <si>
    <t>N00861G</t>
  </si>
  <si>
    <t>N00861C</t>
  </si>
  <si>
    <t>N00861M</t>
  </si>
  <si>
    <t>N00861Y</t>
  </si>
  <si>
    <t>N00861O</t>
  </si>
  <si>
    <t>N00861W</t>
  </si>
  <si>
    <t>N00704</t>
  </si>
  <si>
    <t>N00860B</t>
  </si>
  <si>
    <t>N00860G</t>
  </si>
  <si>
    <t>N00860M</t>
  </si>
  <si>
    <t>N00860Y</t>
  </si>
  <si>
    <t>P00419G</t>
  </si>
  <si>
    <t>N00860W</t>
  </si>
  <si>
    <t>J00974</t>
  </si>
  <si>
    <t>E01045B</t>
  </si>
  <si>
    <t>N00900B</t>
  </si>
  <si>
    <t>C01429Y/G00403Y/J00865Y</t>
  </si>
  <si>
    <t>N00870</t>
  </si>
  <si>
    <t>J00974B</t>
  </si>
  <si>
    <t>N00900RB</t>
  </si>
  <si>
    <t>J00974M</t>
  </si>
  <si>
    <t>J00974Y</t>
  </si>
  <si>
    <t>J00974W</t>
  </si>
  <si>
    <t>J00942</t>
  </si>
  <si>
    <t>N00870B</t>
  </si>
  <si>
    <t>N00870RB</t>
  </si>
  <si>
    <t>N00870M</t>
  </si>
  <si>
    <t>N00870Y</t>
  </si>
  <si>
    <t>N00870W</t>
  </si>
  <si>
    <t>E00989/E01021</t>
  </si>
  <si>
    <t>J00942B</t>
  </si>
  <si>
    <t>N00870G</t>
  </si>
  <si>
    <t>J00942C</t>
  </si>
  <si>
    <t>J00942M</t>
  </si>
  <si>
    <t>J00942Y</t>
  </si>
  <si>
    <t>J00942W</t>
  </si>
  <si>
    <t>E01018</t>
  </si>
  <si>
    <t>E01021B</t>
  </si>
  <si>
    <t>E01021C</t>
  </si>
  <si>
    <t>E01021M</t>
  </si>
  <si>
    <t>E01021Y</t>
  </si>
  <si>
    <t>H01266</t>
  </si>
  <si>
    <t>N00704B</t>
  </si>
  <si>
    <t>N00704G</t>
  </si>
  <si>
    <t>C01429RB</t>
  </si>
  <si>
    <t>P00452B/H01380B/E01014B/H01205B/H01395B</t>
  </si>
  <si>
    <t>E01045R</t>
  </si>
  <si>
    <t>P00452R/H01215R/F00870R/P00452R/F00888R/E01031R/N00704R/N00860R/N00860R/F00889R</t>
  </si>
  <si>
    <t>N00860C</t>
  </si>
  <si>
    <t>N00704M</t>
  </si>
  <si>
    <t>N00704Y</t>
  </si>
  <si>
    <t>N00704W</t>
  </si>
  <si>
    <t>`</t>
  </si>
  <si>
    <t>H01355</t>
  </si>
  <si>
    <t>E01018B</t>
  </si>
  <si>
    <t>E01018C</t>
  </si>
  <si>
    <t>E01018M</t>
  </si>
  <si>
    <t>E01018Y</t>
  </si>
  <si>
    <t>E01021G</t>
  </si>
  <si>
    <t>E01021W</t>
  </si>
  <si>
    <t>H01391</t>
  </si>
  <si>
    <t>H01355B</t>
  </si>
  <si>
    <t>H01355C</t>
  </si>
  <si>
    <t>H01355M</t>
  </si>
  <si>
    <t>H01355Y</t>
  </si>
  <si>
    <t>H01355G</t>
  </si>
  <si>
    <t>H01355W</t>
  </si>
  <si>
    <t>J00945</t>
  </si>
  <si>
    <t>H01266Y</t>
  </si>
  <si>
    <t>H01366B</t>
  </si>
  <si>
    <t>E01018R</t>
  </si>
  <si>
    <t>H01387</t>
  </si>
  <si>
    <t>H01391B</t>
  </si>
  <si>
    <t>H01391O</t>
  </si>
  <si>
    <t>H01391C</t>
  </si>
  <si>
    <t>H01391M</t>
  </si>
  <si>
    <t>H01391Y</t>
  </si>
  <si>
    <t>H01391W</t>
  </si>
  <si>
    <t>H01293</t>
  </si>
  <si>
    <t>H01266W</t>
  </si>
  <si>
    <t>J00945R</t>
  </si>
  <si>
    <t>H01266B</t>
  </si>
  <si>
    <t>N00902</t>
  </si>
  <si>
    <t>H01387B</t>
  </si>
  <si>
    <t>N00900G</t>
  </si>
  <si>
    <t>H01387M</t>
  </si>
  <si>
    <t>H01387Y</t>
  </si>
  <si>
    <t>H01387W</t>
  </si>
  <si>
    <t>C01523</t>
  </si>
  <si>
    <t>H01293B</t>
  </si>
  <si>
    <t>E00018B</t>
  </si>
  <si>
    <t>H01293W</t>
  </si>
  <si>
    <t>C01325</t>
  </si>
  <si>
    <t>C01523B</t>
  </si>
  <si>
    <t>H01293R</t>
  </si>
  <si>
    <t>H01266R</t>
  </si>
  <si>
    <t>C01523C</t>
  </si>
  <si>
    <t>C01523M</t>
  </si>
  <si>
    <t>C01523Y</t>
  </si>
  <si>
    <t>C01523W</t>
  </si>
  <si>
    <t>N00890</t>
  </si>
  <si>
    <t>N00902B</t>
  </si>
  <si>
    <t>N00902C</t>
  </si>
  <si>
    <t>N00902M</t>
  </si>
  <si>
    <t>N00902Y</t>
  </si>
  <si>
    <t>P00491</t>
  </si>
  <si>
    <t>N00890B</t>
  </si>
  <si>
    <t>N00890R</t>
  </si>
  <si>
    <t>N00890C</t>
  </si>
  <si>
    <t>N00890M</t>
  </si>
  <si>
    <t>N00890Y</t>
  </si>
  <si>
    <t>N00890W</t>
  </si>
  <si>
    <t>P00492B</t>
  </si>
  <si>
    <t>P00491B</t>
  </si>
  <si>
    <t>P00491R</t>
  </si>
  <si>
    <t>P00491M</t>
  </si>
  <si>
    <t>P00491C</t>
  </si>
  <si>
    <t>P00491Y</t>
  </si>
  <si>
    <t>P00491W</t>
  </si>
  <si>
    <t>C01325B</t>
  </si>
  <si>
    <t>C01325R</t>
  </si>
  <si>
    <t>C01325O</t>
  </si>
  <si>
    <t>C01325C</t>
  </si>
  <si>
    <t>C01325M</t>
  </si>
  <si>
    <t>C01325Y</t>
  </si>
  <si>
    <t>C01325W</t>
  </si>
  <si>
    <t>P00493</t>
  </si>
  <si>
    <t>P00492R</t>
  </si>
  <si>
    <t>P00492M</t>
  </si>
  <si>
    <t>P00492C</t>
  </si>
  <si>
    <t>P00492Y</t>
  </si>
  <si>
    <t>P00492W</t>
  </si>
  <si>
    <t>C01499</t>
  </si>
  <si>
    <t>C01497B</t>
  </si>
  <si>
    <t>C01497R</t>
  </si>
  <si>
    <t>N00890G</t>
  </si>
  <si>
    <t>E00996G</t>
  </si>
  <si>
    <t>C01497C</t>
  </si>
  <si>
    <t>C01497M</t>
  </si>
  <si>
    <t>C01497Y</t>
  </si>
  <si>
    <t>C01497W</t>
  </si>
  <si>
    <t>B01084</t>
  </si>
  <si>
    <t>C01499B</t>
  </si>
  <si>
    <t>C01499C</t>
  </si>
  <si>
    <t>C01499M</t>
  </si>
  <si>
    <t>C01499Y</t>
  </si>
  <si>
    <t>C01499W</t>
  </si>
  <si>
    <t>C01531</t>
  </si>
  <si>
    <t>E01045G</t>
  </si>
  <si>
    <t>E01818O</t>
  </si>
  <si>
    <t>H01270</t>
  </si>
  <si>
    <t>B01084B</t>
  </si>
  <si>
    <t>C01499R</t>
  </si>
  <si>
    <t>C01531R</t>
  </si>
  <si>
    <t>C01499G</t>
  </si>
  <si>
    <t>C01531G</t>
  </si>
  <si>
    <t>B01084M</t>
  </si>
  <si>
    <t>B01084Y</t>
  </si>
  <si>
    <t>B01084W</t>
  </si>
  <si>
    <t>P00493W</t>
  </si>
  <si>
    <t>C01501</t>
  </si>
  <si>
    <t>H01270B</t>
  </si>
  <si>
    <t>H01270R</t>
  </si>
  <si>
    <t>P00493C</t>
  </si>
  <si>
    <t>H01266C</t>
  </si>
  <si>
    <t>H01270M</t>
  </si>
  <si>
    <t>H01270Y</t>
  </si>
  <si>
    <t>H01270W</t>
  </si>
  <si>
    <t>H01360</t>
  </si>
  <si>
    <t>F00893B</t>
  </si>
  <si>
    <t>B01015B</t>
  </si>
  <si>
    <t>B01065C</t>
  </si>
  <si>
    <t>B01065M</t>
  </si>
  <si>
    <t>B01065Y</t>
  </si>
  <si>
    <t>TL145</t>
  </si>
  <si>
    <t>H01363/H01364/H01365</t>
  </si>
  <si>
    <t>H01360B</t>
  </si>
  <si>
    <t>B00415B</t>
  </si>
  <si>
    <t>F00892R</t>
  </si>
  <si>
    <t>G00416G</t>
  </si>
  <si>
    <t>H01360Y</t>
  </si>
  <si>
    <t>F00892G</t>
  </si>
  <si>
    <t>H01360W</t>
  </si>
  <si>
    <t>TL146</t>
  </si>
  <si>
    <t>B01058</t>
  </si>
  <si>
    <t>H01365B</t>
  </si>
  <si>
    <t>H01360C</t>
  </si>
  <si>
    <t>H01360M</t>
  </si>
  <si>
    <t>H01365Y</t>
  </si>
  <si>
    <t>H01365W</t>
  </si>
  <si>
    <t>TL147</t>
  </si>
  <si>
    <t>F00897</t>
  </si>
  <si>
    <t>B01058B</t>
  </si>
  <si>
    <t>H01365R</t>
  </si>
  <si>
    <t>B01058C</t>
  </si>
  <si>
    <t>B01058M</t>
  </si>
  <si>
    <t>B01058Y</t>
  </si>
  <si>
    <t>H01365G</t>
  </si>
  <si>
    <t>B01058W</t>
  </si>
  <si>
    <t>TL148</t>
  </si>
  <si>
    <t>F00893</t>
  </si>
  <si>
    <t>F00897B</t>
  </si>
  <si>
    <t>F0087C</t>
  </si>
  <si>
    <t>F00897M</t>
  </si>
  <si>
    <t>F00897Y</t>
  </si>
  <si>
    <t>F00897G</t>
  </si>
  <si>
    <t>F00897W</t>
  </si>
  <si>
    <t>C01554</t>
  </si>
  <si>
    <t>F00893R</t>
  </si>
  <si>
    <t>F00893Y</t>
  </si>
  <si>
    <t>TL149</t>
  </si>
  <si>
    <t>C01528/C01552</t>
  </si>
  <si>
    <t>C01554B</t>
  </si>
  <si>
    <t>C01554Y</t>
  </si>
  <si>
    <t>C01553/C01529</t>
  </si>
  <si>
    <t>C01552B</t>
  </si>
  <si>
    <t>C01554R</t>
  </si>
  <si>
    <t>fsi</t>
  </si>
  <si>
    <t>B01031</t>
  </si>
  <si>
    <t>C01403</t>
  </si>
  <si>
    <t>F00835</t>
  </si>
  <si>
    <t>C00979</t>
  </si>
  <si>
    <t>H01353</t>
  </si>
  <si>
    <t>G00405</t>
  </si>
  <si>
    <t>C01477</t>
  </si>
  <si>
    <t>J00911</t>
  </si>
  <si>
    <t>J00955</t>
  </si>
  <si>
    <t>N00799</t>
  </si>
  <si>
    <t>N00908</t>
  </si>
  <si>
    <t>C01465</t>
  </si>
  <si>
    <t>J00976</t>
  </si>
  <si>
    <t>J00981</t>
  </si>
  <si>
    <t>C01472</t>
  </si>
  <si>
    <t>N00806</t>
  </si>
  <si>
    <t>C01411</t>
  </si>
  <si>
    <t>C01494</t>
  </si>
  <si>
    <t>J00993</t>
  </si>
  <si>
    <t>B01067</t>
  </si>
  <si>
    <t>B01074</t>
  </si>
  <si>
    <t>J01002</t>
  </si>
  <si>
    <t>L00324</t>
  </si>
  <si>
    <t>C01496</t>
  </si>
  <si>
    <t>B01071</t>
  </si>
  <si>
    <t>C01518</t>
  </si>
  <si>
    <t>G00414</t>
  </si>
  <si>
    <t>H01215</t>
  </si>
  <si>
    <t>H01268</t>
  </si>
  <si>
    <t>N00868</t>
  </si>
  <si>
    <t>C01524</t>
  </si>
  <si>
    <t>N00897</t>
  </si>
  <si>
    <t>E00989</t>
  </si>
  <si>
    <t>P00492</t>
  </si>
  <si>
    <t>H01363</t>
  </si>
  <si>
    <t>C01528</t>
  </si>
  <si>
    <t>C01553</t>
  </si>
  <si>
    <t>B01032</t>
  </si>
  <si>
    <t>C01390</t>
  </si>
  <si>
    <t>F00856</t>
  </si>
  <si>
    <t>C01441</t>
  </si>
  <si>
    <t>C00978</t>
  </si>
  <si>
    <t>H01352</t>
  </si>
  <si>
    <t>G00402</t>
  </si>
  <si>
    <t>C01473</t>
  </si>
  <si>
    <t>J00912</t>
  </si>
  <si>
    <t>J00956</t>
  </si>
  <si>
    <t>N00800</t>
  </si>
  <si>
    <t>N00784</t>
  </si>
  <si>
    <t>C01466</t>
  </si>
  <si>
    <t>J00977</t>
  </si>
  <si>
    <t>J00982</t>
  </si>
  <si>
    <t>G00385</t>
  </si>
  <si>
    <t>N00805</t>
  </si>
  <si>
    <t>C01410</t>
  </si>
  <si>
    <t>C01495</t>
  </si>
  <si>
    <t>J00991</t>
  </si>
  <si>
    <t>B01068</t>
  </si>
  <si>
    <t>B01073</t>
  </si>
  <si>
    <t>J01003</t>
  </si>
  <si>
    <t>L00325</t>
  </si>
  <si>
    <t>C01512</t>
  </si>
  <si>
    <t>B01070</t>
  </si>
  <si>
    <t>C01519</t>
  </si>
  <si>
    <t>G00415</t>
  </si>
  <si>
    <t>H01271</t>
  </si>
  <si>
    <t>H01205</t>
  </si>
  <si>
    <t>N00869</t>
  </si>
  <si>
    <t>C01525</t>
  </si>
  <si>
    <t>N00898</t>
  </si>
  <si>
    <t>E01021</t>
  </si>
  <si>
    <t>H01364</t>
  </si>
  <si>
    <t>C01552</t>
  </si>
  <si>
    <t>C01529</t>
  </si>
  <si>
    <t>F00834</t>
  </si>
  <si>
    <t>C01442</t>
  </si>
  <si>
    <t>C00981</t>
  </si>
  <si>
    <t>C01481</t>
  </si>
  <si>
    <t>J00987</t>
  </si>
  <si>
    <t>C01474</t>
  </si>
  <si>
    <t>H01272</t>
  </si>
  <si>
    <t>N00899</t>
  </si>
  <si>
    <t>H01365</t>
  </si>
  <si>
    <t>C00968</t>
  </si>
  <si>
    <t>C01479</t>
  </si>
  <si>
    <t>C00972</t>
  </si>
  <si>
    <t>C00965</t>
  </si>
  <si>
    <t>G00395</t>
  </si>
  <si>
    <t>G00396</t>
  </si>
  <si>
    <t>F00836</t>
  </si>
  <si>
    <t>C01443</t>
  </si>
  <si>
    <t>C01478</t>
  </si>
  <si>
    <t>J00980</t>
  </si>
  <si>
    <t>G00386</t>
  </si>
  <si>
    <t>C01490</t>
  </si>
  <si>
    <t>C01497</t>
  </si>
  <si>
    <t>G00397/G00395/G00396</t>
  </si>
  <si>
    <t>C01443/C01441/C01442</t>
  </si>
  <si>
    <t>C01477/C01478/C01481/C01479</t>
  </si>
  <si>
    <t>G00386/G00385</t>
  </si>
  <si>
    <t>Ink Product - Rhodamine (PET) (83232-6670I)</t>
  </si>
  <si>
    <t>Ink Product - Rhodamine (BOPP) (83234-6670I)</t>
  </si>
  <si>
    <t>Ink Product - Rhodamine (BOPP) (83232-6670I)</t>
  </si>
  <si>
    <t>Ink Product - Rhodamine (PET) (83234-6670I)</t>
  </si>
  <si>
    <t>MIX GREEN</t>
  </si>
  <si>
    <t>MIX PURPLE</t>
  </si>
  <si>
    <t>MIX BROWN 2</t>
  </si>
  <si>
    <t>10000-9007HC SUN CON BLACK</t>
  </si>
  <si>
    <t>20KGWZK8-30QK-03MV FLINT CONCENTRATE NON MAGENTA</t>
  </si>
  <si>
    <t>Combined Work Orders</t>
  </si>
  <si>
    <t>Sum of Mtrs</t>
  </si>
  <si>
    <t>Bifurcated Work Orders</t>
  </si>
  <si>
    <t>This should be Zero</t>
  </si>
  <si>
    <t>Diff</t>
  </si>
  <si>
    <t>Jan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</si>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</sst>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dd\-mm\-yyyy;@"/>
    <numFmt numFmtId="166" formatCode="[$-409]d\-mmm\-yy;@"/>
    <numFmt numFmtId="167" formatCode="_(* #,##0_);_(* \(#,##0\);_(* &quot;-&quot;??_);_(@_)"/>
    <numFmt numFmtId="168" formatCode="\$#,##0\ ;\(\$#,##0\)"/>
    <numFmt numFmtId="169" formatCode="&quot;VND&quot;#,##0_);[Red]\(&quot;VND&quot;#,##0\)"/>
    <numFmt numFmtId="170" formatCode="_(&quot;€&quot;* #,##0_);_(&quot;€&quot;* \(#,##0\);_(&quot;€&quot;* &quot;-&quot;_);_(@_)"/>
    <numFmt numFmtId="171" formatCode="0;[Red]0"/>
  </numFmts>
  <fonts count="6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Times New Roman"/>
      <family val="1"/>
    </font>
    <font>
      <sz val="11"/>
      <color theme="1"/>
      <name val="Century Gothic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VNtimes new roman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/>
      <name val="Century Gothic"/>
      <family val="2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theme="9" tint="-0.249977111117893"/>
      <name val="Calibri"/>
      <family val="2"/>
    </font>
    <font>
      <b/>
      <sz val="11"/>
      <name val="Calibri"/>
      <family val="2"/>
      <scheme val="minor"/>
    </font>
    <font>
      <b/>
      <sz val="9"/>
      <color theme="1"/>
      <name val="Times New Roman"/>
      <family val="1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i/>
      <sz val="11"/>
      <color rgb="FFFF0000"/>
      <name val="Calibri"/>
      <family val="2"/>
    </font>
    <font>
      <b/>
      <sz val="14"/>
      <color theme="1"/>
      <name val="Calibri"/>
      <family val="2"/>
    </font>
    <font>
      <b/>
      <i/>
      <u/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Calibri"/>
      <family val="2"/>
    </font>
    <font>
      <sz val="11"/>
      <color theme="1"/>
      <name val="Arial Narrow"/>
      <family val="2"/>
    </font>
    <font>
      <i/>
      <sz val="11"/>
      <color theme="2" tint="-0.74999237037263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6EFCE"/>
      </patternFill>
    </fill>
    <fill>
      <patternFill patternType="solid">
        <fgColor rgb="FFFFCC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theme="4" tint="0.79998168889431442"/>
      </patternFill>
    </fill>
    <fill>
      <patternFill patternType="solid">
        <fgColor theme="3" tint="0.59999389629810485"/>
        <bgColor theme="4" tint="0.79998168889431442"/>
      </patternFill>
    </fill>
    <fill>
      <patternFill patternType="solid">
        <fgColor rgb="FFC35D5D"/>
        <bgColor indexed="64"/>
      </patternFill>
    </fill>
    <fill>
      <patternFill patternType="solid">
        <fgColor rgb="FFB08EDE"/>
        <bgColor theme="4" tint="0.79998168889431442"/>
      </patternFill>
    </fill>
    <fill>
      <patternFill patternType="solid">
        <fgColor rgb="FFF9592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9933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3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10" borderId="0" applyNumberFormat="0" applyBorder="0" applyAlignment="0" applyProtection="0"/>
    <xf numFmtId="0" fontId="15" fillId="0" borderId="0"/>
    <xf numFmtId="0" fontId="17" fillId="27" borderId="32" applyNumberFormat="0" applyAlignment="0" applyProtection="0"/>
    <xf numFmtId="0" fontId="18" fillId="28" borderId="33" applyNumberFormat="0" applyAlignment="0" applyProtection="0"/>
    <xf numFmtId="168" fontId="7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9" fillId="0" borderId="0" applyNumberFormat="0" applyFill="0" applyBorder="0" applyAlignment="0" applyProtection="0"/>
    <xf numFmtId="2" fontId="7" fillId="0" borderId="0" applyFont="0" applyFill="0" applyBorder="0" applyAlignment="0" applyProtection="0"/>
    <xf numFmtId="0" fontId="20" fillId="11" borderId="0" applyNumberFormat="0" applyBorder="0" applyAlignment="0" applyProtection="0"/>
    <xf numFmtId="0" fontId="21" fillId="0" borderId="34" applyNumberFormat="0" applyFill="0" applyAlignment="0" applyProtection="0"/>
    <xf numFmtId="0" fontId="21" fillId="0" borderId="0" applyNumberFormat="0" applyFill="0" applyBorder="0" applyAlignment="0" applyProtection="0"/>
    <xf numFmtId="0" fontId="22" fillId="14" borderId="32" applyNumberFormat="0" applyAlignment="0" applyProtection="0"/>
    <xf numFmtId="0" fontId="23" fillId="0" borderId="35" applyNumberFormat="0" applyFill="0" applyAlignment="0" applyProtection="0"/>
    <xf numFmtId="0" fontId="24" fillId="29" borderId="0" applyNumberFormat="0" applyBorder="0" applyAlignment="0" applyProtection="0"/>
    <xf numFmtId="169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30" borderId="36" applyNumberFormat="0" applyFont="0" applyAlignment="0" applyProtection="0"/>
    <xf numFmtId="0" fontId="26" fillId="27" borderId="37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6" fillId="0" borderId="0"/>
    <xf numFmtId="0" fontId="7" fillId="0" borderId="0"/>
    <xf numFmtId="0" fontId="7" fillId="0" borderId="0"/>
    <xf numFmtId="0" fontId="1" fillId="0" borderId="0"/>
    <xf numFmtId="0" fontId="6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6" fillId="0" borderId="0"/>
    <xf numFmtId="0" fontId="7" fillId="0" borderId="0"/>
    <xf numFmtId="0" fontId="1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7" fillId="0" borderId="0"/>
    <xf numFmtId="0" fontId="1" fillId="0" borderId="0"/>
    <xf numFmtId="0" fontId="6" fillId="0" borderId="0"/>
    <xf numFmtId="0" fontId="7" fillId="0" borderId="0"/>
    <xf numFmtId="0" fontId="1" fillId="0" borderId="0"/>
    <xf numFmtId="0" fontId="6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46" applyNumberFormat="0" applyFont="0" applyFill="0" applyAlignment="0" applyProtection="0"/>
    <xf numFmtId="0" fontId="56" fillId="51" borderId="0" applyNumberFormat="0" applyBorder="0" applyAlignment="0" applyProtection="0"/>
    <xf numFmtId="164" fontId="1" fillId="0" borderId="0" applyFont="0" applyFill="0" applyBorder="0" applyAlignment="0" applyProtection="0"/>
  </cellStyleXfs>
  <cellXfs count="511">
    <xf numFmtId="0" fontId="0" fillId="0" borderId="0" xfId="0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66" fontId="33" fillId="2" borderId="30" xfId="1" applyNumberFormat="1" applyFont="1" applyFill="1" applyBorder="1" applyAlignment="1">
      <alignment horizontal="center" vertical="center" wrapText="1"/>
    </xf>
    <xf numFmtId="0" fontId="33" fillId="2" borderId="16" xfId="1" applyNumberFormat="1" applyFont="1" applyFill="1" applyBorder="1" applyAlignment="1">
      <alignment horizontal="center" vertical="center" wrapText="1"/>
    </xf>
    <xf numFmtId="4" fontId="33" fillId="2" borderId="16" xfId="0" applyNumberFormat="1" applyFont="1" applyFill="1" applyBorder="1" applyAlignment="1">
      <alignment horizontal="center" vertical="center" wrapText="1"/>
    </xf>
    <xf numFmtId="4" fontId="33" fillId="2" borderId="23" xfId="1" applyNumberFormat="1" applyFont="1" applyFill="1" applyBorder="1" applyAlignment="1">
      <alignment horizontal="center" vertical="center" wrapText="1"/>
    </xf>
    <xf numFmtId="0" fontId="29" fillId="4" borderId="18" xfId="2" applyNumberFormat="1" applyFont="1" applyFill="1" applyBorder="1" applyAlignment="1">
      <alignment horizontal="center" vertical="center" wrapText="1"/>
    </xf>
    <xf numFmtId="9" fontId="31" fillId="6" borderId="16" xfId="2" applyFont="1" applyFill="1" applyBorder="1" applyAlignment="1">
      <alignment horizontal="center" vertical="top" wrapText="1"/>
    </xf>
    <xf numFmtId="9" fontId="29" fillId="4" borderId="16" xfId="2" applyFont="1" applyFill="1" applyBorder="1" applyAlignment="1">
      <alignment horizontal="center" vertical="center" wrapText="1"/>
    </xf>
    <xf numFmtId="0" fontId="29" fillId="4" borderId="16" xfId="2" applyNumberFormat="1" applyFont="1" applyFill="1" applyBorder="1" applyAlignment="1">
      <alignment horizontal="center" vertical="center" wrapText="1"/>
    </xf>
    <xf numFmtId="0" fontId="29" fillId="5" borderId="16" xfId="2" applyNumberFormat="1" applyFont="1" applyFill="1" applyBorder="1" applyAlignment="1">
      <alignment horizontal="center" vertical="center" wrapText="1"/>
    </xf>
    <xf numFmtId="9" fontId="29" fillId="5" borderId="16" xfId="2" applyFont="1" applyFill="1" applyBorder="1" applyAlignment="1">
      <alignment horizontal="center" vertical="center" wrapText="1"/>
    </xf>
    <xf numFmtId="43" fontId="29" fillId="4" borderId="16" xfId="1" applyFont="1" applyFill="1" applyBorder="1" applyAlignment="1">
      <alignment horizontal="center" vertical="center" wrapText="1"/>
    </xf>
    <xf numFmtId="0" fontId="29" fillId="4" borderId="16" xfId="1" applyNumberFormat="1" applyFont="1" applyFill="1" applyBorder="1" applyAlignment="1">
      <alignment horizontal="center" vertical="center" wrapText="1"/>
    </xf>
    <xf numFmtId="9" fontId="31" fillId="6" borderId="23" xfId="2" applyFont="1" applyFill="1" applyBorder="1" applyAlignment="1">
      <alignment horizontal="center" vertical="top" wrapText="1"/>
    </xf>
    <xf numFmtId="1" fontId="29" fillId="5" borderId="16" xfId="2" applyNumberFormat="1" applyFont="1" applyFill="1" applyBorder="1" applyAlignment="1">
      <alignment horizontal="center" vertical="center" wrapText="1"/>
    </xf>
    <xf numFmtId="43" fontId="29" fillId="4" borderId="23" xfId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167" fontId="33" fillId="2" borderId="16" xfId="1" applyNumberFormat="1" applyFont="1" applyFill="1" applyBorder="1" applyAlignment="1">
      <alignment horizontal="center" vertical="center" wrapText="1"/>
    </xf>
    <xf numFmtId="9" fontId="31" fillId="6" borderId="30" xfId="2" applyFont="1" applyFill="1" applyBorder="1" applyAlignment="1">
      <alignment horizontal="center" vertical="top" wrapText="1"/>
    </xf>
    <xf numFmtId="9" fontId="29" fillId="6" borderId="31" xfId="2" applyFont="1" applyFill="1" applyBorder="1" applyAlignment="1">
      <alignment horizontal="center" vertical="top" wrapText="1"/>
    </xf>
    <xf numFmtId="0" fontId="29" fillId="4" borderId="42" xfId="2" applyNumberFormat="1" applyFont="1" applyFill="1" applyBorder="1" applyAlignment="1">
      <alignment horizontal="center" vertical="center" wrapText="1"/>
    </xf>
    <xf numFmtId="0" fontId="29" fillId="4" borderId="43" xfId="2" applyNumberFormat="1" applyFont="1" applyFill="1" applyBorder="1" applyAlignment="1">
      <alignment horizontal="center" vertical="center" wrapText="1"/>
    </xf>
    <xf numFmtId="0" fontId="29" fillId="4" borderId="44" xfId="2" applyNumberFormat="1" applyFont="1" applyFill="1" applyBorder="1" applyAlignment="1">
      <alignment horizontal="center" vertical="center" wrapText="1"/>
    </xf>
    <xf numFmtId="9" fontId="29" fillId="4" borderId="42" xfId="2" applyFont="1" applyFill="1" applyBorder="1" applyAlignment="1">
      <alignment horizontal="center" vertical="center" wrapText="1"/>
    </xf>
    <xf numFmtId="9" fontId="29" fillId="4" borderId="43" xfId="2" applyFont="1" applyFill="1" applyBorder="1" applyAlignment="1">
      <alignment horizontal="center" vertical="center" wrapText="1"/>
    </xf>
    <xf numFmtId="9" fontId="29" fillId="4" borderId="44" xfId="2" applyFont="1" applyFill="1" applyBorder="1" applyAlignment="1">
      <alignment horizontal="center" vertical="center" wrapText="1"/>
    </xf>
    <xf numFmtId="9" fontId="31" fillId="6" borderId="45" xfId="2" applyFont="1" applyFill="1" applyBorder="1" applyAlignment="1">
      <alignment horizontal="center" vertical="top" wrapText="1"/>
    </xf>
    <xf numFmtId="9" fontId="31" fillId="6" borderId="44" xfId="2" applyFont="1" applyFill="1" applyBorder="1" applyAlignment="1">
      <alignment horizontal="center" vertical="top" wrapText="1"/>
    </xf>
    <xf numFmtId="9" fontId="31" fillId="6" borderId="42" xfId="2" applyFont="1" applyFill="1" applyBorder="1" applyAlignment="1">
      <alignment horizontal="center" vertical="top" wrapText="1"/>
    </xf>
    <xf numFmtId="0" fontId="33" fillId="32" borderId="10" xfId="1" applyNumberFormat="1" applyFont="1" applyFill="1" applyBorder="1" applyAlignment="1">
      <alignment horizontal="center" vertical="center" wrapText="1"/>
    </xf>
    <xf numFmtId="4" fontId="33" fillId="32" borderId="10" xfId="0" applyNumberFormat="1" applyFont="1" applyFill="1" applyBorder="1" applyAlignment="1">
      <alignment horizontal="center" vertical="center" wrapText="1"/>
    </xf>
    <xf numFmtId="167" fontId="33" fillId="32" borderId="10" xfId="1" applyNumberFormat="1" applyFont="1" applyFill="1" applyBorder="1" applyAlignment="1">
      <alignment horizontal="center" vertical="center" wrapText="1"/>
    </xf>
    <xf numFmtId="4" fontId="33" fillId="32" borderId="10" xfId="1" applyNumberFormat="1" applyFont="1" applyFill="1" applyBorder="1" applyAlignment="1">
      <alignment horizontal="center" vertical="center" wrapText="1"/>
    </xf>
    <xf numFmtId="0" fontId="29" fillId="32" borderId="10" xfId="2" applyNumberFormat="1" applyFont="1" applyFill="1" applyBorder="1" applyAlignment="1">
      <alignment horizontal="center" vertical="center" wrapText="1"/>
    </xf>
    <xf numFmtId="9" fontId="31" fillId="32" borderId="10" xfId="2" applyFont="1" applyFill="1" applyBorder="1" applyAlignment="1">
      <alignment horizontal="center" vertical="top" wrapText="1"/>
    </xf>
    <xf numFmtId="9" fontId="29" fillId="32" borderId="10" xfId="2" applyFont="1" applyFill="1" applyBorder="1" applyAlignment="1">
      <alignment horizontal="center" vertical="center" wrapText="1"/>
    </xf>
    <xf numFmtId="43" fontId="29" fillId="32" borderId="10" xfId="1" applyFont="1" applyFill="1" applyBorder="1" applyAlignment="1">
      <alignment horizontal="center" vertical="center" wrapText="1"/>
    </xf>
    <xf numFmtId="0" fontId="29" fillId="32" borderId="10" xfId="1" applyNumberFormat="1" applyFont="1" applyFill="1" applyBorder="1" applyAlignment="1">
      <alignment horizontal="center" vertical="center" wrapText="1"/>
    </xf>
    <xf numFmtId="9" fontId="29" fillId="32" borderId="10" xfId="2" applyFont="1" applyFill="1" applyBorder="1" applyAlignment="1">
      <alignment horizontal="center" vertical="top" wrapText="1"/>
    </xf>
    <xf numFmtId="1" fontId="29" fillId="32" borderId="10" xfId="2" applyNumberFormat="1" applyFont="1" applyFill="1" applyBorder="1" applyAlignment="1">
      <alignment horizontal="center" vertical="center" wrapText="1"/>
    </xf>
    <xf numFmtId="9" fontId="2" fillId="32" borderId="10" xfId="2" applyFont="1" applyFill="1" applyBorder="1" applyAlignment="1">
      <alignment horizontal="center" vertical="top"/>
    </xf>
    <xf numFmtId="9" fontId="29" fillId="32" borderId="10" xfId="2" applyFont="1" applyFill="1" applyBorder="1" applyAlignment="1">
      <alignment horizontal="center" vertical="top"/>
    </xf>
    <xf numFmtId="166" fontId="8" fillId="0" borderId="0" xfId="0" applyNumberFormat="1" applyFont="1"/>
    <xf numFmtId="167" fontId="33" fillId="2" borderId="23" xfId="1" applyNumberFormat="1" applyFont="1" applyFill="1" applyBorder="1" applyAlignment="1">
      <alignment horizontal="center" vertical="center" wrapText="1"/>
    </xf>
    <xf numFmtId="43" fontId="29" fillId="3" borderId="1" xfId="1" applyFont="1" applyFill="1" applyBorder="1" applyAlignment="1">
      <alignment vertical="top"/>
    </xf>
    <xf numFmtId="43" fontId="29" fillId="3" borderId="2" xfId="1" applyFont="1" applyFill="1" applyBorder="1" applyAlignment="1">
      <alignment vertical="top"/>
    </xf>
    <xf numFmtId="43" fontId="29" fillId="3" borderId="22" xfId="1" applyFont="1" applyFill="1" applyBorder="1" applyAlignment="1">
      <alignment vertical="top"/>
    </xf>
    <xf numFmtId="43" fontId="29" fillId="3" borderId="0" xfId="1" applyFont="1" applyFill="1" applyAlignment="1">
      <alignment vertical="top"/>
    </xf>
    <xf numFmtId="43" fontId="29" fillId="3" borderId="12" xfId="1" applyFont="1" applyFill="1" applyBorder="1" applyAlignment="1">
      <alignment vertical="top"/>
    </xf>
    <xf numFmtId="43" fontId="29" fillId="3" borderId="40" xfId="1" applyFont="1" applyFill="1" applyBorder="1" applyAlignment="1">
      <alignment vertical="top"/>
    </xf>
    <xf numFmtId="43" fontId="29" fillId="3" borderId="41" xfId="1" applyFont="1" applyFill="1" applyBorder="1" applyAlignment="1">
      <alignment vertical="top"/>
    </xf>
    <xf numFmtId="9" fontId="31" fillId="8" borderId="22" xfId="2" applyFont="1" applyFill="1" applyBorder="1" applyAlignment="1">
      <alignment horizontal="center" vertical="top" wrapText="1"/>
    </xf>
    <xf numFmtId="9" fontId="29" fillId="4" borderId="38" xfId="2" applyFont="1" applyFill="1" applyBorder="1" applyAlignment="1">
      <alignment horizontal="center" vertical="top" wrapText="1"/>
    </xf>
    <xf numFmtId="4" fontId="29" fillId="34" borderId="3" xfId="2" applyNumberFormat="1" applyFont="1" applyFill="1" applyBorder="1" applyAlignment="1">
      <alignment horizontal="center" vertical="center" wrapText="1"/>
    </xf>
    <xf numFmtId="4" fontId="29" fillId="34" borderId="47" xfId="2" applyNumberFormat="1" applyFont="1" applyFill="1" applyBorder="1" applyAlignment="1">
      <alignment horizontal="center" vertical="center" wrapText="1"/>
    </xf>
    <xf numFmtId="4" fontId="29" fillId="34" borderId="48" xfId="2" applyNumberFormat="1" applyFont="1" applyFill="1" applyBorder="1" applyAlignment="1">
      <alignment horizontal="center" vertical="center" wrapText="1"/>
    </xf>
    <xf numFmtId="4" fontId="29" fillId="34" borderId="10" xfId="2" applyNumberFormat="1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10" fillId="0" borderId="0" xfId="0" applyFont="1"/>
    <xf numFmtId="167" fontId="37" fillId="32" borderId="10" xfId="1" applyNumberFormat="1" applyFont="1" applyFill="1" applyBorder="1" applyAlignment="1">
      <alignment horizontal="center" vertical="center" wrapText="1"/>
    </xf>
    <xf numFmtId="9" fontId="29" fillId="6" borderId="16" xfId="2" applyFont="1" applyFill="1" applyBorder="1" applyAlignment="1">
      <alignment horizontal="center" vertical="top" wrapText="1"/>
    </xf>
    <xf numFmtId="9" fontId="29" fillId="6" borderId="23" xfId="2" applyFont="1" applyFill="1" applyBorder="1" applyAlignment="1">
      <alignment horizontal="center" vertical="top" wrapText="1"/>
    </xf>
    <xf numFmtId="43" fontId="0" fillId="0" borderId="0" xfId="1" applyFont="1"/>
    <xf numFmtId="0" fontId="41" fillId="0" borderId="0" xfId="0" applyFont="1"/>
    <xf numFmtId="0" fontId="0" fillId="0" borderId="0" xfId="0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42" fillId="0" borderId="49" xfId="0" applyFont="1" applyBorder="1" applyAlignment="1">
      <alignment horizontal="center" vertical="center" wrapText="1"/>
    </xf>
    <xf numFmtId="43" fontId="42" fillId="0" borderId="50" xfId="1" applyFont="1" applyBorder="1" applyAlignment="1">
      <alignment horizontal="center" vertical="center" wrapText="1"/>
    </xf>
    <xf numFmtId="0" fontId="42" fillId="0" borderId="50" xfId="0" applyFont="1" applyBorder="1" applyAlignment="1">
      <alignment horizontal="center" vertical="center" wrapText="1"/>
    </xf>
    <xf numFmtId="0" fontId="40" fillId="0" borderId="50" xfId="0" applyFont="1" applyBorder="1" applyAlignment="1">
      <alignment horizontal="center" vertical="center" wrapText="1"/>
    </xf>
    <xf numFmtId="43" fontId="0" fillId="0" borderId="51" xfId="1" applyFont="1" applyBorder="1"/>
    <xf numFmtId="0" fontId="0" fillId="35" borderId="51" xfId="0" applyFill="1" applyBorder="1"/>
    <xf numFmtId="0" fontId="0" fillId="35" borderId="51" xfId="0" applyFill="1" applyBorder="1" applyAlignment="1">
      <alignment horizontal="left"/>
    </xf>
    <xf numFmtId="43" fontId="0" fillId="35" borderId="51" xfId="1" applyFont="1" applyFill="1" applyBorder="1"/>
    <xf numFmtId="43" fontId="0" fillId="0" borderId="10" xfId="1" applyFont="1" applyBorder="1"/>
    <xf numFmtId="0" fontId="0" fillId="35" borderId="10" xfId="0" applyFill="1" applyBorder="1"/>
    <xf numFmtId="0" fontId="0" fillId="35" borderId="10" xfId="0" applyFill="1" applyBorder="1" applyAlignment="1">
      <alignment horizontal="left"/>
    </xf>
    <xf numFmtId="0" fontId="0" fillId="7" borderId="10" xfId="0" applyFill="1" applyBorder="1"/>
    <xf numFmtId="0" fontId="0" fillId="7" borderId="10" xfId="0" applyFill="1" applyBorder="1" applyAlignment="1">
      <alignment horizontal="left"/>
    </xf>
    <xf numFmtId="0" fontId="0" fillId="0" borderId="10" xfId="0" applyBorder="1"/>
    <xf numFmtId="0" fontId="0" fillId="0" borderId="10" xfId="0" applyBorder="1" applyAlignment="1">
      <alignment horizontal="left"/>
    </xf>
    <xf numFmtId="0" fontId="0" fillId="37" borderId="10" xfId="0" applyFill="1" applyBorder="1"/>
    <xf numFmtId="0" fontId="0" fillId="37" borderId="10" xfId="0" applyFill="1" applyBorder="1" applyAlignment="1">
      <alignment horizontal="left"/>
    </xf>
    <xf numFmtId="43" fontId="0" fillId="37" borderId="10" xfId="1" applyFont="1" applyFill="1" applyBorder="1"/>
    <xf numFmtId="0" fontId="0" fillId="31" borderId="10" xfId="0" applyFill="1" applyBorder="1"/>
    <xf numFmtId="0" fontId="0" fillId="31" borderId="10" xfId="0" applyFill="1" applyBorder="1" applyAlignment="1">
      <alignment horizontal="left"/>
    </xf>
    <xf numFmtId="0" fontId="0" fillId="37" borderId="16" xfId="0" applyFill="1" applyBorder="1"/>
    <xf numFmtId="0" fontId="0" fillId="37" borderId="16" xfId="0" applyFill="1" applyBorder="1" applyAlignment="1">
      <alignment horizontal="left"/>
    </xf>
    <xf numFmtId="0" fontId="0" fillId="32" borderId="10" xfId="0" applyFill="1" applyBorder="1"/>
    <xf numFmtId="0" fontId="0" fillId="32" borderId="10" xfId="0" applyFill="1" applyBorder="1" applyAlignment="1">
      <alignment horizontal="left"/>
    </xf>
    <xf numFmtId="0" fontId="0" fillId="36" borderId="10" xfId="0" applyFill="1" applyBorder="1"/>
    <xf numFmtId="0" fontId="0" fillId="36" borderId="10" xfId="0" applyFill="1" applyBorder="1" applyAlignment="1">
      <alignment horizontal="left"/>
    </xf>
    <xf numFmtId="43" fontId="0" fillId="36" borderId="10" xfId="1" applyFont="1" applyFill="1" applyBorder="1"/>
    <xf numFmtId="0" fontId="0" fillId="38" borderId="10" xfId="0" applyFill="1" applyBorder="1"/>
    <xf numFmtId="0" fontId="0" fillId="38" borderId="10" xfId="0" applyFill="1" applyBorder="1" applyAlignment="1">
      <alignment horizontal="left"/>
    </xf>
    <xf numFmtId="43" fontId="0" fillId="38" borderId="10" xfId="1" applyFont="1" applyFill="1" applyBorder="1"/>
    <xf numFmtId="0" fontId="0" fillId="39" borderId="10" xfId="0" applyFill="1" applyBorder="1"/>
    <xf numFmtId="0" fontId="0" fillId="39" borderId="10" xfId="0" applyFill="1" applyBorder="1" applyAlignment="1">
      <alignment horizontal="left"/>
    </xf>
    <xf numFmtId="0" fontId="0" fillId="4" borderId="10" xfId="0" applyFill="1" applyBorder="1"/>
    <xf numFmtId="0" fontId="0" fillId="4" borderId="10" xfId="0" applyFill="1" applyBorder="1" applyAlignment="1">
      <alignment horizontal="left"/>
    </xf>
    <xf numFmtId="0" fontId="0" fillId="6" borderId="10" xfId="0" applyFill="1" applyBorder="1"/>
    <xf numFmtId="0" fontId="43" fillId="0" borderId="0" xfId="0" applyFont="1" applyAlignment="1">
      <alignment horizontal="left" indent="1"/>
    </xf>
    <xf numFmtId="0" fontId="0" fillId="0" borderId="8" xfId="0" applyBorder="1"/>
    <xf numFmtId="43" fontId="0" fillId="0" borderId="0" xfId="0" applyNumberFormat="1"/>
    <xf numFmtId="0" fontId="0" fillId="0" borderId="52" xfId="0" applyBorder="1"/>
    <xf numFmtId="0" fontId="43" fillId="0" borderId="54" xfId="0" applyFont="1" applyBorder="1" applyAlignment="1">
      <alignment horizontal="left" indent="1"/>
    </xf>
    <xf numFmtId="0" fontId="0" fillId="0" borderId="54" xfId="0" applyBorder="1"/>
    <xf numFmtId="43" fontId="0" fillId="0" borderId="54" xfId="1" applyFont="1" applyBorder="1"/>
    <xf numFmtId="0" fontId="0" fillId="0" borderId="55" xfId="0" applyBorder="1"/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/>
    <xf numFmtId="0" fontId="0" fillId="0" borderId="60" xfId="0" applyBorder="1"/>
    <xf numFmtId="43" fontId="2" fillId="0" borderId="51" xfId="1" applyFont="1" applyBorder="1"/>
    <xf numFmtId="43" fontId="0" fillId="0" borderId="61" xfId="1" applyFont="1" applyBorder="1"/>
    <xf numFmtId="43" fontId="0" fillId="5" borderId="51" xfId="1" applyFont="1" applyFill="1" applyBorder="1"/>
    <xf numFmtId="43" fontId="2" fillId="0" borderId="10" xfId="1" applyFont="1" applyBorder="1"/>
    <xf numFmtId="43" fontId="0" fillId="0" borderId="27" xfId="1" applyFont="1" applyBorder="1"/>
    <xf numFmtId="43" fontId="0" fillId="5" borderId="10" xfId="1" applyFont="1" applyFill="1" applyBorder="1"/>
    <xf numFmtId="43" fontId="2" fillId="0" borderId="62" xfId="1" applyFont="1" applyBorder="1"/>
    <xf numFmtId="43" fontId="0" fillId="0" borderId="62" xfId="1" applyFont="1" applyBorder="1"/>
    <xf numFmtId="43" fontId="0" fillId="0" borderId="53" xfId="1" applyFont="1" applyBorder="1"/>
    <xf numFmtId="43" fontId="0" fillId="5" borderId="62" xfId="1" applyFont="1" applyFill="1" applyBorder="1"/>
    <xf numFmtId="43" fontId="0" fillId="0" borderId="58" xfId="1" applyFont="1" applyBorder="1"/>
    <xf numFmtId="0" fontId="0" fillId="0" borderId="64" xfId="0" applyBorder="1"/>
    <xf numFmtId="43" fontId="0" fillId="0" borderId="64" xfId="1" applyFont="1" applyBorder="1"/>
    <xf numFmtId="0" fontId="0" fillId="0" borderId="65" xfId="0" applyBorder="1"/>
    <xf numFmtId="0" fontId="0" fillId="0" borderId="0" xfId="0" applyAlignment="1">
      <alignment horizontal="center"/>
    </xf>
    <xf numFmtId="0" fontId="43" fillId="0" borderId="16" xfId="0" applyFont="1" applyBorder="1" applyAlignment="1">
      <alignment horizontal="left" indent="1"/>
    </xf>
    <xf numFmtId="0" fontId="0" fillId="0" borderId="16" xfId="0" applyBorder="1"/>
    <xf numFmtId="0" fontId="0" fillId="41" borderId="10" xfId="0" applyFill="1" applyBorder="1"/>
    <xf numFmtId="0" fontId="0" fillId="41" borderId="10" xfId="0" applyFill="1" applyBorder="1" applyAlignment="1">
      <alignment horizontal="left"/>
    </xf>
    <xf numFmtId="43" fontId="0" fillId="41" borderId="10" xfId="1" applyFont="1" applyFill="1" applyBorder="1"/>
    <xf numFmtId="43" fontId="29" fillId="3" borderId="68" xfId="1" applyFont="1" applyFill="1" applyBorder="1" applyAlignment="1">
      <alignment vertical="top"/>
    </xf>
    <xf numFmtId="0" fontId="0" fillId="2" borderId="10" xfId="0" applyFill="1" applyBorder="1"/>
    <xf numFmtId="0" fontId="0" fillId="2" borderId="10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31" borderId="51" xfId="0" applyFill="1" applyBorder="1"/>
    <xf numFmtId="0" fontId="0" fillId="31" borderId="51" xfId="0" applyFill="1" applyBorder="1" applyAlignment="1">
      <alignment horizontal="left"/>
    </xf>
    <xf numFmtId="0" fontId="39" fillId="0" borderId="0" xfId="0" applyFont="1"/>
    <xf numFmtId="43" fontId="2" fillId="0" borderId="0" xfId="1" applyFont="1"/>
    <xf numFmtId="0" fontId="2" fillId="0" borderId="0" xfId="0" applyFont="1"/>
    <xf numFmtId="43" fontId="2" fillId="5" borderId="38" xfId="1" applyFont="1" applyFill="1" applyBorder="1"/>
    <xf numFmtId="43" fontId="2" fillId="5" borderId="27" xfId="1" applyFont="1" applyFill="1" applyBorder="1"/>
    <xf numFmtId="43" fontId="2" fillId="5" borderId="53" xfId="1" applyFont="1" applyFill="1" applyBorder="1"/>
    <xf numFmtId="0" fontId="43" fillId="0" borderId="56" xfId="0" applyFont="1" applyBorder="1" applyAlignment="1">
      <alignment horizontal="left" indent="1"/>
    </xf>
    <xf numFmtId="0" fontId="0" fillId="0" borderId="57" xfId="0" applyBorder="1"/>
    <xf numFmtId="0" fontId="0" fillId="0" borderId="58" xfId="0" applyBorder="1"/>
    <xf numFmtId="0" fontId="43" fillId="0" borderId="42" xfId="0" applyFont="1" applyBorder="1" applyAlignment="1">
      <alignment horizontal="left" indent="1"/>
    </xf>
    <xf numFmtId="0" fontId="0" fillId="0" borderId="43" xfId="0" applyBorder="1"/>
    <xf numFmtId="0" fontId="0" fillId="0" borderId="44" xfId="0" applyBorder="1"/>
    <xf numFmtId="43" fontId="2" fillId="40" borderId="58" xfId="1" applyFont="1" applyFill="1" applyBorder="1"/>
    <xf numFmtId="43" fontId="1" fillId="0" borderId="51" xfId="1" applyBorder="1"/>
    <xf numFmtId="43" fontId="1" fillId="0" borderId="10" xfId="1" applyBorder="1"/>
    <xf numFmtId="43" fontId="1" fillId="0" borderId="62" xfId="1" applyBorder="1"/>
    <xf numFmtId="43" fontId="44" fillId="42" borderId="51" xfId="1" applyFont="1" applyFill="1" applyBorder="1"/>
    <xf numFmtId="43" fontId="44" fillId="42" borderId="10" xfId="1" applyFont="1" applyFill="1" applyBorder="1"/>
    <xf numFmtId="43" fontId="0" fillId="42" borderId="58" xfId="1" applyFont="1" applyFill="1" applyBorder="1"/>
    <xf numFmtId="0" fontId="0" fillId="5" borderId="10" xfId="0" applyFill="1" applyBorder="1"/>
    <xf numFmtId="0" fontId="0" fillId="5" borderId="10" xfId="0" applyFill="1" applyBorder="1" applyAlignment="1">
      <alignment horizontal="left"/>
    </xf>
    <xf numFmtId="43" fontId="44" fillId="0" borderId="0" xfId="1" applyFont="1"/>
    <xf numFmtId="0" fontId="0" fillId="33" borderId="0" xfId="0" applyFill="1"/>
    <xf numFmtId="0" fontId="2" fillId="0" borderId="14" xfId="0" applyFont="1" applyBorder="1" applyAlignment="1">
      <alignment horizontal="right"/>
    </xf>
    <xf numFmtId="0" fontId="0" fillId="35" borderId="10" xfId="0" quotePrefix="1" applyFill="1" applyBorder="1"/>
    <xf numFmtId="0" fontId="0" fillId="35" borderId="10" xfId="0" quotePrefix="1" applyFill="1" applyBorder="1" applyAlignment="1">
      <alignment horizontal="left"/>
    </xf>
    <xf numFmtId="0" fontId="0" fillId="34" borderId="10" xfId="0" applyFill="1" applyBorder="1"/>
    <xf numFmtId="0" fontId="0" fillId="34" borderId="10" xfId="0" applyFill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3" xfId="0" applyBorder="1" applyAlignment="1">
      <alignment horizontal="center"/>
    </xf>
    <xf numFmtId="43" fontId="0" fillId="35" borderId="10" xfId="1" applyFont="1" applyFill="1" applyBorder="1"/>
    <xf numFmtId="0" fontId="0" fillId="43" borderId="10" xfId="0" applyFill="1" applyBorder="1"/>
    <xf numFmtId="0" fontId="0" fillId="43" borderId="10" xfId="0" applyFill="1" applyBorder="1" applyAlignment="1">
      <alignment horizontal="left"/>
    </xf>
    <xf numFmtId="43" fontId="0" fillId="43" borderId="10" xfId="1" applyFont="1" applyFill="1" applyBorder="1"/>
    <xf numFmtId="0" fontId="0" fillId="44" borderId="8" xfId="0" applyFill="1" applyBorder="1"/>
    <xf numFmtId="43" fontId="1" fillId="44" borderId="10" xfId="1" applyFill="1" applyBorder="1"/>
    <xf numFmtId="43" fontId="0" fillId="44" borderId="10" xfId="1" applyFont="1" applyFill="1" applyBorder="1"/>
    <xf numFmtId="43" fontId="0" fillId="44" borderId="27" xfId="1" applyFont="1" applyFill="1" applyBorder="1"/>
    <xf numFmtId="0" fontId="0" fillId="44" borderId="52" xfId="0" applyFill="1" applyBorder="1"/>
    <xf numFmtId="43" fontId="1" fillId="44" borderId="62" xfId="1" applyFill="1" applyBorder="1"/>
    <xf numFmtId="43" fontId="0" fillId="44" borderId="62" xfId="1" applyFont="1" applyFill="1" applyBorder="1"/>
    <xf numFmtId="43" fontId="0" fillId="44" borderId="53" xfId="1" applyFont="1" applyFill="1" applyBorder="1"/>
    <xf numFmtId="9" fontId="29" fillId="31" borderId="7" xfId="2" applyFont="1" applyFill="1" applyBorder="1" applyAlignment="1">
      <alignment horizontal="center" vertical="top" wrapText="1"/>
    </xf>
    <xf numFmtId="9" fontId="29" fillId="32" borderId="21" xfId="2" applyFont="1" applyFill="1" applyBorder="1" applyAlignment="1">
      <alignment horizontal="center" vertical="top"/>
    </xf>
    <xf numFmtId="0" fontId="29" fillId="46" borderId="10" xfId="0" applyFont="1" applyFill="1" applyBorder="1" applyAlignment="1">
      <alignment horizontal="center" vertical="center"/>
    </xf>
    <xf numFmtId="9" fontId="29" fillId="31" borderId="1" xfId="2" applyFont="1" applyFill="1" applyBorder="1" applyAlignment="1">
      <alignment horizontal="center" vertical="top" wrapText="1"/>
    </xf>
    <xf numFmtId="0" fontId="31" fillId="31" borderId="69" xfId="0" applyFont="1" applyFill="1" applyBorder="1" applyAlignment="1">
      <alignment horizontal="center"/>
    </xf>
    <xf numFmtId="0" fontId="31" fillId="31" borderId="25" xfId="0" applyFont="1" applyFill="1" applyBorder="1" applyAlignment="1">
      <alignment horizontal="center"/>
    </xf>
    <xf numFmtId="0" fontId="31" fillId="31" borderId="14" xfId="0" applyFont="1" applyFill="1" applyBorder="1" applyAlignment="1">
      <alignment horizontal="center"/>
    </xf>
    <xf numFmtId="0" fontId="31" fillId="31" borderId="70" xfId="0" applyFont="1" applyFill="1" applyBorder="1" applyAlignment="1">
      <alignment horizontal="center"/>
    </xf>
    <xf numFmtId="0" fontId="31" fillId="31" borderId="2" xfId="0" applyFont="1" applyFill="1" applyBorder="1" applyAlignment="1">
      <alignment horizontal="center"/>
    </xf>
    <xf numFmtId="0" fontId="31" fillId="31" borderId="22" xfId="0" applyFont="1" applyFill="1" applyBorder="1" applyAlignment="1">
      <alignment horizontal="center"/>
    </xf>
    <xf numFmtId="0" fontId="31" fillId="31" borderId="12" xfId="0" applyFont="1" applyFill="1" applyBorder="1" applyAlignment="1">
      <alignment horizontal="center"/>
    </xf>
    <xf numFmtId="0" fontId="31" fillId="31" borderId="15" xfId="0" applyFont="1" applyFill="1" applyBorder="1" applyAlignment="1">
      <alignment horizontal="center"/>
    </xf>
    <xf numFmtId="0" fontId="29" fillId="46" borderId="27" xfId="0" applyFont="1" applyFill="1" applyBorder="1" applyAlignment="1">
      <alignment horizontal="center" vertical="center"/>
    </xf>
    <xf numFmtId="43" fontId="44" fillId="47" borderId="51" xfId="1" applyFont="1" applyFill="1" applyBorder="1"/>
    <xf numFmtId="43" fontId="44" fillId="47" borderId="10" xfId="1" applyFont="1" applyFill="1" applyBorder="1"/>
    <xf numFmtId="43" fontId="44" fillId="0" borderId="0" xfId="1" applyFont="1" applyFill="1"/>
    <xf numFmtId="43" fontId="44" fillId="48" borderId="10" xfId="1" applyFont="1" applyFill="1" applyBorder="1"/>
    <xf numFmtId="0" fontId="0" fillId="5" borderId="0" xfId="0" applyFill="1"/>
    <xf numFmtId="43" fontId="0" fillId="0" borderId="20" xfId="1" applyFont="1" applyFill="1" applyBorder="1"/>
    <xf numFmtId="43" fontId="0" fillId="0" borderId="17" xfId="1" applyFont="1" applyFill="1" applyBorder="1"/>
    <xf numFmtId="43" fontId="0" fillId="0" borderId="51" xfId="1" applyFont="1" applyFill="1" applyBorder="1"/>
    <xf numFmtId="43" fontId="0" fillId="0" borderId="10" xfId="1" applyFont="1" applyFill="1" applyBorder="1"/>
    <xf numFmtId="43" fontId="0" fillId="35" borderId="20" xfId="1" applyFont="1" applyFill="1" applyBorder="1"/>
    <xf numFmtId="43" fontId="0" fillId="5" borderId="16" xfId="1" applyFont="1" applyFill="1" applyBorder="1"/>
    <xf numFmtId="0" fontId="0" fillId="0" borderId="17" xfId="0" applyBorder="1"/>
    <xf numFmtId="43" fontId="0" fillId="0" borderId="14" xfId="1" applyFont="1" applyFill="1" applyBorder="1"/>
    <xf numFmtId="0" fontId="0" fillId="0" borderId="14" xfId="0" applyBorder="1"/>
    <xf numFmtId="43" fontId="0" fillId="0" borderId="0" xfId="1" applyFont="1" applyFill="1" applyBorder="1"/>
    <xf numFmtId="43" fontId="38" fillId="7" borderId="0" xfId="1" applyFont="1" applyFill="1" applyAlignment="1">
      <alignment horizontal="center" vertical="top"/>
    </xf>
    <xf numFmtId="43" fontId="12" fillId="7" borderId="0" xfId="1" applyFont="1" applyFill="1" applyAlignment="1">
      <alignment horizontal="center" vertical="top"/>
    </xf>
    <xf numFmtId="167" fontId="12" fillId="7" borderId="0" xfId="1" applyNumberFormat="1" applyFont="1" applyFill="1" applyAlignment="1">
      <alignment horizontal="center" vertical="top"/>
    </xf>
    <xf numFmtId="0" fontId="49" fillId="33" borderId="40" xfId="0" applyFont="1" applyFill="1" applyBorder="1" applyAlignment="1">
      <alignment horizontal="left" indent="1"/>
    </xf>
    <xf numFmtId="0" fontId="49" fillId="33" borderId="0" xfId="0" applyFont="1" applyFill="1" applyAlignment="1">
      <alignment horizontal="right" indent="1"/>
    </xf>
    <xf numFmtId="43" fontId="12" fillId="3" borderId="0" xfId="1" applyFont="1" applyFill="1" applyAlignment="1">
      <alignment horizontal="center" vertical="top"/>
    </xf>
    <xf numFmtId="167" fontId="12" fillId="3" borderId="0" xfId="1" applyNumberFormat="1" applyFont="1" applyFill="1" applyAlignment="1">
      <alignment horizontal="center" vertical="top"/>
    </xf>
    <xf numFmtId="166" fontId="50" fillId="0" borderId="0" xfId="0" applyNumberFormat="1" applyFont="1"/>
    <xf numFmtId="0" fontId="50" fillId="0" borderId="0" xfId="0" applyFont="1"/>
    <xf numFmtId="0" fontId="50" fillId="0" borderId="0" xfId="0" applyFont="1" applyAlignment="1">
      <alignment horizontal="left"/>
    </xf>
    <xf numFmtId="167" fontId="51" fillId="0" borderId="0" xfId="1" applyNumberFormat="1" applyFont="1" applyAlignment="1">
      <alignment horizontal="center" vertical="top"/>
    </xf>
    <xf numFmtId="43" fontId="50" fillId="0" borderId="0" xfId="0" applyNumberFormat="1" applyFont="1"/>
    <xf numFmtId="0" fontId="51" fillId="0" borderId="0" xfId="0" applyFont="1"/>
    <xf numFmtId="0" fontId="51" fillId="0" borderId="0" xfId="0" applyFont="1" applyAlignment="1">
      <alignment horizontal="left"/>
    </xf>
    <xf numFmtId="43" fontId="51" fillId="7" borderId="0" xfId="1" applyFont="1" applyFill="1" applyAlignment="1">
      <alignment horizontal="center" vertical="top"/>
    </xf>
    <xf numFmtId="167" fontId="51" fillId="7" borderId="0" xfId="1" applyNumberFormat="1" applyFont="1" applyFill="1" applyAlignment="1">
      <alignment horizontal="center" vertical="top"/>
    </xf>
    <xf numFmtId="0" fontId="52" fillId="0" borderId="0" xfId="0" applyFont="1"/>
    <xf numFmtId="0" fontId="50" fillId="5" borderId="0" xfId="0" applyFont="1" applyFill="1" applyAlignment="1">
      <alignment horizontal="left"/>
    </xf>
    <xf numFmtId="0" fontId="50" fillId="0" borderId="0" xfId="0" applyFont="1" applyAlignment="1">
      <alignment horizontal="center"/>
    </xf>
    <xf numFmtId="167" fontId="53" fillId="50" borderId="0" xfId="0" applyNumberFormat="1" applyFont="1" applyFill="1"/>
    <xf numFmtId="43" fontId="51" fillId="3" borderId="0" xfId="1" applyFont="1" applyFill="1" applyAlignment="1">
      <alignment horizontal="center" vertical="top"/>
    </xf>
    <xf numFmtId="43" fontId="54" fillId="0" borderId="0" xfId="1" applyFont="1" applyAlignment="1">
      <alignment horizontal="center"/>
    </xf>
    <xf numFmtId="0" fontId="31" fillId="31" borderId="0" xfId="0" applyFont="1" applyFill="1" applyAlignment="1">
      <alignment horizontal="center"/>
    </xf>
    <xf numFmtId="9" fontId="49" fillId="32" borderId="10" xfId="2" applyFont="1" applyFill="1" applyBorder="1" applyAlignment="1">
      <alignment horizontal="center" vertical="center" wrapText="1"/>
    </xf>
    <xf numFmtId="43" fontId="31" fillId="32" borderId="10" xfId="1" applyFont="1" applyFill="1" applyBorder="1" applyAlignment="1">
      <alignment horizontal="center" vertical="center" wrapText="1"/>
    </xf>
    <xf numFmtId="167" fontId="8" fillId="0" borderId="0" xfId="0" applyNumberFormat="1" applyFont="1"/>
    <xf numFmtId="2" fontId="12" fillId="3" borderId="0" xfId="2" applyNumberFormat="1" applyFont="1" applyFill="1" applyAlignment="1">
      <alignment horizontal="center" vertical="top"/>
    </xf>
    <xf numFmtId="2" fontId="8" fillId="0" borderId="0" xfId="0" applyNumberFormat="1" applyFont="1"/>
    <xf numFmtId="2" fontId="50" fillId="0" borderId="0" xfId="0" applyNumberFormat="1" applyFont="1"/>
    <xf numFmtId="2" fontId="31" fillId="0" borderId="0" xfId="0" applyNumberFormat="1" applyFont="1" applyAlignment="1">
      <alignment horizontal="center"/>
    </xf>
    <xf numFmtId="2" fontId="29" fillId="0" borderId="0" xfId="0" applyNumberFormat="1" applyFont="1" applyAlignment="1">
      <alignment horizontal="center" vertical="center"/>
    </xf>
    <xf numFmtId="2" fontId="29" fillId="0" borderId="0" xfId="0" applyNumberFormat="1" applyFont="1" applyAlignment="1">
      <alignment horizontal="center" vertical="center" wrapText="1"/>
    </xf>
    <xf numFmtId="0" fontId="29" fillId="32" borderId="10" xfId="2" applyNumberFormat="1" applyFont="1" applyFill="1" applyBorder="1" applyAlignment="1">
      <alignment horizontal="center" vertical="center"/>
    </xf>
    <xf numFmtId="0" fontId="0" fillId="49" borderId="10" xfId="0" applyFill="1" applyBorder="1"/>
    <xf numFmtId="0" fontId="0" fillId="49" borderId="10" xfId="0" applyFill="1" applyBorder="1" applyAlignment="1">
      <alignment horizontal="left"/>
    </xf>
    <xf numFmtId="43" fontId="0" fillId="49" borderId="10" xfId="1" applyFont="1" applyFill="1" applyBorder="1"/>
    <xf numFmtId="0" fontId="0" fillId="52" borderId="51" xfId="0" applyFill="1" applyBorder="1" applyAlignment="1">
      <alignment horizontal="left"/>
    </xf>
    <xf numFmtId="0" fontId="0" fillId="52" borderId="10" xfId="0" applyFill="1" applyBorder="1" applyAlignment="1">
      <alignment horizontal="left"/>
    </xf>
    <xf numFmtId="0" fontId="0" fillId="52" borderId="10" xfId="0" quotePrefix="1" applyFill="1" applyBorder="1" applyAlignment="1">
      <alignment horizontal="left"/>
    </xf>
    <xf numFmtId="0" fontId="0" fillId="52" borderId="10" xfId="0" quotePrefix="1" applyFill="1" applyBorder="1"/>
    <xf numFmtId="0" fontId="0" fillId="52" borderId="10" xfId="0" applyFill="1" applyBorder="1"/>
    <xf numFmtId="0" fontId="0" fillId="52" borderId="51" xfId="0" applyFill="1" applyBorder="1"/>
    <xf numFmtId="0" fontId="48" fillId="52" borderId="10" xfId="0" applyFont="1" applyFill="1" applyBorder="1" applyAlignment="1">
      <alignment horizontal="center" vertical="center" wrapText="1"/>
    </xf>
    <xf numFmtId="166" fontId="56" fillId="0" borderId="0" xfId="330" applyNumberFormat="1" applyFill="1" applyAlignment="1">
      <alignment horizontal="center"/>
    </xf>
    <xf numFmtId="0" fontId="48" fillId="0" borderId="0" xfId="0" applyFont="1" applyAlignment="1">
      <alignment horizontal="center" vertical="center" wrapText="1"/>
    </xf>
    <xf numFmtId="0" fontId="0" fillId="0" borderId="0" xfId="0" quotePrefix="1" applyAlignment="1">
      <alignment horizontal="left"/>
    </xf>
    <xf numFmtId="0" fontId="0" fillId="0" borderId="0" xfId="0" quotePrefix="1"/>
    <xf numFmtId="0" fontId="57" fillId="0" borderId="0" xfId="0" applyFont="1" applyAlignment="1">
      <alignment horizontal="left" vertical="center"/>
    </xf>
    <xf numFmtId="167" fontId="0" fillId="0" borderId="0" xfId="1" applyNumberFormat="1" applyFont="1"/>
    <xf numFmtId="0" fontId="2" fillId="0" borderId="10" xfId="0" applyFont="1" applyBorder="1" applyAlignment="1">
      <alignment horizontal="right"/>
    </xf>
    <xf numFmtId="167" fontId="2" fillId="5" borderId="16" xfId="1" applyNumberFormat="1" applyFont="1" applyFill="1" applyBorder="1"/>
    <xf numFmtId="167" fontId="0" fillId="5" borderId="10" xfId="1" applyNumberFormat="1" applyFont="1" applyFill="1" applyBorder="1" applyAlignment="1">
      <alignment horizontal="right"/>
    </xf>
    <xf numFmtId="167" fontId="0" fillId="0" borderId="0" xfId="0" applyNumberFormat="1"/>
    <xf numFmtId="0" fontId="2" fillId="8" borderId="42" xfId="0" applyFont="1" applyFill="1" applyBorder="1" applyAlignment="1">
      <alignment horizontal="left" vertical="center" wrapText="1"/>
    </xf>
    <xf numFmtId="167" fontId="2" fillId="8" borderId="43" xfId="1" applyNumberFormat="1" applyFont="1" applyFill="1" applyBorder="1" applyAlignment="1">
      <alignment horizontal="left" vertical="center" wrapText="1"/>
    </xf>
    <xf numFmtId="0" fontId="2" fillId="49" borderId="22" xfId="0" applyFont="1" applyFill="1" applyBorder="1" applyAlignment="1">
      <alignment horizontal="left" vertical="center"/>
    </xf>
    <xf numFmtId="0" fontId="0" fillId="0" borderId="12" xfId="0" applyBorder="1"/>
    <xf numFmtId="0" fontId="0" fillId="0" borderId="7" xfId="0" applyBorder="1" applyAlignment="1">
      <alignment horizontal="left"/>
    </xf>
    <xf numFmtId="167" fontId="0" fillId="0" borderId="0" xfId="1" applyNumberFormat="1" applyFont="1" applyBorder="1"/>
    <xf numFmtId="1" fontId="2" fillId="49" borderId="51" xfId="0" applyNumberFormat="1" applyFont="1" applyFill="1" applyBorder="1" applyAlignment="1">
      <alignment horizontal="center" vertical="center"/>
    </xf>
    <xf numFmtId="167" fontId="1" fillId="49" borderId="51" xfId="1" applyNumberFormat="1" applyFont="1" applyFill="1" applyBorder="1" applyAlignment="1">
      <alignment horizontal="center"/>
    </xf>
    <xf numFmtId="167" fontId="1" fillId="53" borderId="51" xfId="1" applyNumberFormat="1" applyFont="1" applyFill="1" applyBorder="1" applyAlignment="1">
      <alignment horizontal="center"/>
    </xf>
    <xf numFmtId="167" fontId="2" fillId="49" borderId="51" xfId="1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167" fontId="0" fillId="0" borderId="0" xfId="0" applyNumberFormat="1" applyAlignment="1">
      <alignment wrapText="1"/>
    </xf>
    <xf numFmtId="0" fontId="0" fillId="0" borderId="0" xfId="0" pivotButton="1"/>
    <xf numFmtId="43" fontId="8" fillId="3" borderId="0" xfId="0" applyNumberFormat="1" applyFont="1" applyFill="1"/>
    <xf numFmtId="0" fontId="36" fillId="3" borderId="0" xfId="0" applyFont="1" applyFill="1" applyAlignment="1">
      <alignment horizontal="center"/>
    </xf>
    <xf numFmtId="0" fontId="36" fillId="3" borderId="0" xfId="0" applyFont="1" applyFill="1" applyAlignment="1">
      <alignment horizontal="left" indent="1"/>
    </xf>
    <xf numFmtId="0" fontId="8" fillId="3" borderId="0" xfId="0" applyFont="1" applyFill="1"/>
    <xf numFmtId="2" fontId="8" fillId="3" borderId="0" xfId="0" applyNumberFormat="1" applyFont="1" applyFill="1"/>
    <xf numFmtId="0" fontId="10" fillId="3" borderId="0" xfId="0" applyFont="1" applyFill="1"/>
    <xf numFmtId="0" fontId="8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43" fontId="38" fillId="3" borderId="0" xfId="1" applyFont="1" applyFill="1" applyAlignment="1">
      <alignment horizontal="center" vertical="top"/>
    </xf>
    <xf numFmtId="0" fontId="8" fillId="3" borderId="0" xfId="0" applyFont="1" applyFill="1" applyAlignment="1">
      <alignment horizontal="center"/>
    </xf>
    <xf numFmtId="9" fontId="12" fillId="3" borderId="0" xfId="2" applyFont="1" applyFill="1" applyAlignment="1">
      <alignment horizontal="center" vertical="top"/>
    </xf>
    <xf numFmtId="43" fontId="8" fillId="0" borderId="0" xfId="0" applyNumberFormat="1" applyFont="1" applyAlignment="1">
      <alignment horizontal="center"/>
    </xf>
    <xf numFmtId="0" fontId="29" fillId="5" borderId="0" xfId="0" applyFont="1" applyFill="1" applyAlignment="1">
      <alignment horizontal="center" vertical="center"/>
    </xf>
    <xf numFmtId="0" fontId="29" fillId="48" borderId="0" xfId="0" applyFont="1" applyFill="1" applyAlignment="1">
      <alignment horizontal="center" vertical="center"/>
    </xf>
    <xf numFmtId="167" fontId="36" fillId="0" borderId="0" xfId="0" applyNumberFormat="1" applyFont="1" applyAlignment="1">
      <alignment horizontal="center"/>
    </xf>
    <xf numFmtId="2" fontId="8" fillId="5" borderId="0" xfId="0" applyNumberFormat="1" applyFont="1" applyFill="1"/>
    <xf numFmtId="43" fontId="44" fillId="47" borderId="0" xfId="1" applyFont="1" applyFill="1" applyBorder="1"/>
    <xf numFmtId="43" fontId="0" fillId="0" borderId="0" xfId="1" applyFont="1" applyBorder="1"/>
    <xf numFmtId="43" fontId="44" fillId="42" borderId="0" xfId="1" applyFont="1" applyFill="1" applyBorder="1"/>
    <xf numFmtId="43" fontId="0" fillId="35" borderId="0" xfId="1" applyFont="1" applyFill="1" applyBorder="1"/>
    <xf numFmtId="0" fontId="0" fillId="52" borderId="0" xfId="0" applyFill="1"/>
    <xf numFmtId="0" fontId="2" fillId="0" borderId="0" xfId="0" applyFont="1" applyAlignment="1">
      <alignment horizontal="center"/>
    </xf>
    <xf numFmtId="43" fontId="54" fillId="0" borderId="0" xfId="1" applyFont="1" applyAlignment="1">
      <alignment horizontal="left"/>
    </xf>
    <xf numFmtId="167" fontId="55" fillId="3" borderId="0" xfId="1" applyNumberFormat="1" applyFont="1" applyFill="1" applyAlignment="1">
      <alignment horizontal="center" vertical="top"/>
    </xf>
    <xf numFmtId="2" fontId="56" fillId="0" borderId="0" xfId="330" applyNumberFormat="1" applyFill="1" applyAlignment="1">
      <alignment horizontal="center"/>
    </xf>
    <xf numFmtId="0" fontId="2" fillId="0" borderId="0" xfId="0" applyFont="1" applyAlignment="1">
      <alignment wrapText="1"/>
    </xf>
    <xf numFmtId="0" fontId="0" fillId="54" borderId="0" xfId="0" applyFill="1"/>
    <xf numFmtId="167" fontId="51" fillId="3" borderId="0" xfId="1" applyNumberFormat="1" applyFont="1" applyFill="1" applyAlignment="1">
      <alignment horizontal="center" vertical="top"/>
    </xf>
    <xf numFmtId="0" fontId="0" fillId="6" borderId="0" xfId="0" applyFill="1"/>
    <xf numFmtId="0" fontId="0" fillId="5" borderId="0" xfId="0" applyFill="1" applyAlignment="1">
      <alignment horizontal="left"/>
    </xf>
    <xf numFmtId="0" fontId="48" fillId="5" borderId="0" xfId="0" applyFont="1" applyFill="1"/>
    <xf numFmtId="0" fontId="47" fillId="5" borderId="0" xfId="0" applyFont="1" applyFill="1"/>
    <xf numFmtId="43" fontId="44" fillId="0" borderId="0" xfId="1" applyFont="1" applyFill="1" applyBorder="1"/>
    <xf numFmtId="43" fontId="44" fillId="5" borderId="0" xfId="1" applyFont="1" applyFill="1" applyBorder="1"/>
    <xf numFmtId="0" fontId="44" fillId="0" borderId="0" xfId="0" applyFont="1"/>
    <xf numFmtId="43" fontId="44" fillId="0" borderId="0" xfId="1" applyFont="1" applyBorder="1"/>
    <xf numFmtId="0" fontId="33" fillId="2" borderId="16" xfId="0" applyFont="1" applyFill="1" applyBorder="1" applyAlignment="1">
      <alignment horizontal="center" vertical="center" wrapText="1"/>
    </xf>
    <xf numFmtId="0" fontId="33" fillId="32" borderId="10" xfId="0" applyFont="1" applyFill="1" applyBorder="1" applyAlignment="1">
      <alignment horizontal="center" vertical="center" wrapText="1"/>
    </xf>
    <xf numFmtId="171" fontId="58" fillId="0" borderId="0" xfId="0" applyNumberFormat="1" applyFont="1" applyAlignment="1">
      <alignment horizontal="center"/>
    </xf>
    <xf numFmtId="0" fontId="0" fillId="0" borderId="10" xfId="0" applyBorder="1" applyAlignment="1">
      <alignment horizontal="center"/>
    </xf>
    <xf numFmtId="0" fontId="49" fillId="33" borderId="0" xfId="0" applyFont="1" applyFill="1" applyAlignment="1">
      <alignment horizontal="left" indent="1"/>
    </xf>
    <xf numFmtId="0" fontId="59" fillId="55" borderId="10" xfId="0" applyFont="1" applyFill="1" applyBorder="1"/>
    <xf numFmtId="0" fontId="61" fillId="55" borderId="47" xfId="0" applyFont="1" applyFill="1" applyBorder="1" applyAlignment="1">
      <alignment horizontal="center"/>
    </xf>
    <xf numFmtId="0" fontId="8" fillId="55" borderId="38" xfId="0" applyFont="1" applyFill="1" applyBorder="1"/>
    <xf numFmtId="0" fontId="8" fillId="55" borderId="27" xfId="0" quotePrefix="1" applyFont="1" applyFill="1" applyBorder="1"/>
    <xf numFmtId="0" fontId="59" fillId="55" borderId="62" xfId="0" applyFont="1" applyFill="1" applyBorder="1"/>
    <xf numFmtId="0" fontId="8" fillId="55" borderId="53" xfId="0" quotePrefix="1" applyFont="1" applyFill="1" applyBorder="1"/>
    <xf numFmtId="2" fontId="0" fillId="0" borderId="0" xfId="0" applyNumberFormat="1"/>
    <xf numFmtId="167" fontId="2" fillId="0" borderId="0" xfId="1" applyNumberFormat="1" applyFont="1" applyFill="1" applyBorder="1"/>
    <xf numFmtId="1" fontId="2" fillId="0" borderId="0" xfId="0" applyNumberFormat="1" applyFont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/>
    </xf>
    <xf numFmtId="167" fontId="0" fillId="0" borderId="0" xfId="1" applyNumberFormat="1" applyFont="1" applyFill="1" applyBorder="1"/>
    <xf numFmtId="167" fontId="1" fillId="0" borderId="0" xfId="1" applyNumberFormat="1" applyFont="1" applyFill="1" applyBorder="1" applyAlignment="1">
      <alignment horizontal="center"/>
    </xf>
    <xf numFmtId="0" fontId="2" fillId="0" borderId="56" xfId="0" applyFont="1" applyBorder="1"/>
    <xf numFmtId="167" fontId="2" fillId="0" borderId="71" xfId="1" applyNumberFormat="1" applyFont="1" applyBorder="1"/>
    <xf numFmtId="1" fontId="2" fillId="49" borderId="57" xfId="0" applyNumberFormat="1" applyFont="1" applyFill="1" applyBorder="1" applyAlignment="1">
      <alignment horizontal="center" vertical="center"/>
    </xf>
    <xf numFmtId="167" fontId="2" fillId="49" borderId="57" xfId="1" applyNumberFormat="1" applyFont="1" applyFill="1" applyBorder="1" applyAlignment="1">
      <alignment horizontal="center"/>
    </xf>
    <xf numFmtId="167" fontId="2" fillId="53" borderId="57" xfId="1" applyNumberFormat="1" applyFont="1" applyFill="1" applyBorder="1" applyAlignment="1">
      <alignment horizontal="center"/>
    </xf>
    <xf numFmtId="167" fontId="2" fillId="34" borderId="58" xfId="1" applyNumberFormat="1" applyFont="1" applyFill="1" applyBorder="1" applyAlignment="1">
      <alignment horizontal="center"/>
    </xf>
    <xf numFmtId="10" fontId="8" fillId="0" borderId="0" xfId="0" applyNumberFormat="1" applyFont="1"/>
    <xf numFmtId="10" fontId="50" fillId="0" borderId="0" xfId="0" applyNumberFormat="1" applyFont="1"/>
    <xf numFmtId="10" fontId="31" fillId="0" borderId="0" xfId="0" applyNumberFormat="1" applyFont="1" applyAlignment="1">
      <alignment horizontal="center"/>
    </xf>
    <xf numFmtId="10" fontId="29" fillId="0" borderId="0" xfId="0" applyNumberFormat="1" applyFont="1" applyAlignment="1">
      <alignment horizontal="center" vertical="center"/>
    </xf>
    <xf numFmtId="10" fontId="29" fillId="5" borderId="0" xfId="0" applyNumberFormat="1" applyFont="1" applyFill="1" applyAlignment="1">
      <alignment horizontal="center" vertical="center"/>
    </xf>
    <xf numFmtId="10" fontId="8" fillId="3" borderId="0" xfId="0" applyNumberFormat="1" applyFont="1" applyFill="1"/>
    <xf numFmtId="0" fontId="0" fillId="56" borderId="0" xfId="0" applyFill="1"/>
    <xf numFmtId="0" fontId="0" fillId="0" borderId="0" xfId="0" pivotButton="1" applyAlignment="1">
      <alignment horizontal="left" wrapText="1"/>
    </xf>
    <xf numFmtId="0" fontId="35" fillId="2" borderId="1" xfId="0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horizontal="center" vertical="center"/>
    </xf>
    <xf numFmtId="0" fontId="35" fillId="2" borderId="7" xfId="0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5" fillId="2" borderId="13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167" fontId="2" fillId="0" borderId="0" xfId="1" applyNumberFormat="1" applyFont="1"/>
    <xf numFmtId="0" fontId="64" fillId="0" borderId="0" xfId="0" applyFont="1"/>
    <xf numFmtId="167" fontId="0" fillId="0" borderId="0" xfId="1" applyNumberFormat="1" applyFont="1" applyAlignment="1">
      <alignment horizontal="left"/>
    </xf>
    <xf numFmtId="0" fontId="0" fillId="38" borderId="0" xfId="0" applyFill="1"/>
    <xf numFmtId="0" fontId="0" fillId="56" borderId="10" xfId="0" applyFill="1" applyBorder="1"/>
    <xf numFmtId="168" fontId="65" fillId="0" borderId="0" xfId="74" applyFont="1" applyAlignment="1">
      <alignment horizontal="center"/>
    </xf>
    <xf numFmtId="167" fontId="8" fillId="5" borderId="10" xfId="0" applyNumberFormat="1" applyFont="1" applyFill="1" applyBorder="1"/>
    <xf numFmtId="0" fontId="0" fillId="0" borderId="7" xfId="0" applyBorder="1"/>
    <xf numFmtId="0" fontId="47" fillId="7" borderId="0" xfId="0" applyFont="1" applyFill="1"/>
    <xf numFmtId="0" fontId="0" fillId="35" borderId="0" xfId="0" applyFill="1"/>
    <xf numFmtId="0" fontId="0" fillId="35" borderId="0" xfId="0" quotePrefix="1" applyFill="1" applyAlignment="1">
      <alignment horizontal="left"/>
    </xf>
    <xf numFmtId="0" fontId="0" fillId="35" borderId="0" xfId="0" quotePrefix="1" applyFill="1"/>
    <xf numFmtId="0" fontId="0" fillId="35" borderId="0" xfId="0" applyFill="1" applyAlignment="1">
      <alignment horizontal="left"/>
    </xf>
    <xf numFmtId="0" fontId="0" fillId="52" borderId="0" xfId="0" applyFill="1" applyAlignment="1">
      <alignment horizontal="left"/>
    </xf>
    <xf numFmtId="0" fontId="0" fillId="47" borderId="0" xfId="0" applyFill="1"/>
    <xf numFmtId="0" fontId="66" fillId="57" borderId="10" xfId="0" applyFont="1" applyFill="1" applyBorder="1" applyAlignment="1">
      <alignment horizontal="center"/>
    </xf>
    <xf numFmtId="9" fontId="0" fillId="0" borderId="0" xfId="2" applyFont="1"/>
    <xf numFmtId="2" fontId="0" fillId="0" borderId="0" xfId="2" applyNumberFormat="1" applyFont="1"/>
    <xf numFmtId="1" fontId="0" fillId="0" borderId="0" xfId="0" applyNumberFormat="1"/>
    <xf numFmtId="2" fontId="0" fillId="58" borderId="0" xfId="0" applyNumberFormat="1" applyFill="1"/>
    <xf numFmtId="2" fontId="2" fillId="34" borderId="56" xfId="0" applyNumberFormat="1" applyFont="1" applyFill="1" applyBorder="1"/>
    <xf numFmtId="2" fontId="2" fillId="34" borderId="57" xfId="0" applyNumberFormat="1" applyFont="1" applyFill="1" applyBorder="1"/>
    <xf numFmtId="2" fontId="2" fillId="34" borderId="58" xfId="0" applyNumberFormat="1" applyFont="1" applyFill="1" applyBorder="1"/>
    <xf numFmtId="0" fontId="2" fillId="59" borderId="0" xfId="0" applyFont="1" applyFill="1"/>
    <xf numFmtId="2" fontId="2" fillId="60" borderId="0" xfId="0" applyNumberFormat="1" applyFont="1" applyFill="1"/>
    <xf numFmtId="9" fontId="2" fillId="60" borderId="0" xfId="2" applyFont="1" applyFill="1"/>
    <xf numFmtId="2" fontId="2" fillId="60" borderId="0" xfId="2" applyNumberFormat="1" applyFont="1" applyFill="1"/>
    <xf numFmtId="1" fontId="2" fillId="60" borderId="0" xfId="2" applyNumberFormat="1" applyFont="1" applyFill="1"/>
    <xf numFmtId="0" fontId="2" fillId="61" borderId="16" xfId="0" applyFont="1" applyFill="1" applyBorder="1" applyAlignment="1">
      <alignment horizontal="center" vertical="center"/>
    </xf>
    <xf numFmtId="2" fontId="51" fillId="59" borderId="0" xfId="0" applyNumberFormat="1" applyFont="1" applyFill="1" applyAlignment="1">
      <alignment wrapText="1"/>
    </xf>
    <xf numFmtId="9" fontId="67" fillId="59" borderId="0" xfId="2" applyFont="1" applyFill="1" applyBorder="1" applyAlignment="1">
      <alignment wrapText="1"/>
    </xf>
    <xf numFmtId="2" fontId="67" fillId="59" borderId="0" xfId="2" applyNumberFormat="1" applyFont="1" applyFill="1" applyBorder="1" applyAlignment="1">
      <alignment wrapText="1"/>
    </xf>
    <xf numFmtId="1" fontId="67" fillId="59" borderId="0" xfId="2" applyNumberFormat="1" applyFont="1" applyFill="1" applyBorder="1" applyAlignment="1">
      <alignment wrapText="1"/>
    </xf>
    <xf numFmtId="2" fontId="2" fillId="62" borderId="72" xfId="2" applyNumberFormat="1" applyFont="1" applyFill="1" applyBorder="1" applyAlignment="1">
      <alignment horizontal="center" wrapText="1"/>
    </xf>
    <xf numFmtId="2" fontId="0" fillId="0" borderId="9" xfId="0" applyNumberFormat="1" applyBorder="1"/>
    <xf numFmtId="2" fontId="0" fillId="0" borderId="10" xfId="0" applyNumberFormat="1" applyBorder="1"/>
    <xf numFmtId="2" fontId="2" fillId="0" borderId="10" xfId="0" applyNumberFormat="1" applyFont="1" applyBorder="1"/>
    <xf numFmtId="9" fontId="0" fillId="0" borderId="10" xfId="2" applyFont="1" applyBorder="1"/>
    <xf numFmtId="9" fontId="2" fillId="0" borderId="10" xfId="2" applyFont="1" applyBorder="1"/>
    <xf numFmtId="2" fontId="2" fillId="0" borderId="73" xfId="2" applyNumberFormat="1" applyFont="1" applyFill="1" applyBorder="1" applyAlignment="1">
      <alignment horizontal="center"/>
    </xf>
    <xf numFmtId="0" fontId="2" fillId="0" borderId="10" xfId="0" applyFont="1" applyBorder="1"/>
    <xf numFmtId="0" fontId="8" fillId="63" borderId="0" xfId="0" applyFont="1" applyFill="1"/>
    <xf numFmtId="0" fontId="50" fillId="63" borderId="0" xfId="0" applyFont="1" applyFill="1"/>
    <xf numFmtId="43" fontId="11" fillId="0" borderId="10" xfId="1" applyFont="1" applyFill="1" applyBorder="1" applyAlignment="1">
      <alignment horizontal="center" vertical="top"/>
    </xf>
    <xf numFmtId="2" fontId="0" fillId="0" borderId="10" xfId="2" applyNumberFormat="1" applyFont="1" applyBorder="1"/>
    <xf numFmtId="43" fontId="8" fillId="63" borderId="0" xfId="0" applyNumberFormat="1" applyFont="1" applyFill="1"/>
    <xf numFmtId="2" fontId="8" fillId="63" borderId="0" xfId="0" applyNumberFormat="1" applyFont="1" applyFill="1"/>
    <xf numFmtId="10" fontId="8" fillId="63" borderId="0" xfId="0" applyNumberFormat="1" applyFont="1" applyFill="1"/>
    <xf numFmtId="166" fontId="32" fillId="0" borderId="10" xfId="1" applyNumberFormat="1" applyFont="1" applyFill="1" applyBorder="1" applyAlignment="1">
      <alignment horizontal="center" vertical="top"/>
    </xf>
    <xf numFmtId="43" fontId="32" fillId="0" borderId="10" xfId="1" applyFont="1" applyFill="1" applyBorder="1" applyAlignment="1">
      <alignment horizontal="center" vertical="top"/>
    </xf>
    <xf numFmtId="0" fontId="32" fillId="0" borderId="10" xfId="1" applyNumberFormat="1" applyFont="1" applyFill="1" applyBorder="1" applyAlignment="1">
      <alignment horizontal="left" vertical="top"/>
    </xf>
    <xf numFmtId="0" fontId="32" fillId="0" borderId="10" xfId="1" applyNumberFormat="1" applyFont="1" applyFill="1" applyBorder="1" applyAlignment="1">
      <alignment horizontal="center" vertical="top"/>
    </xf>
    <xf numFmtId="167" fontId="32" fillId="0" borderId="10" xfId="1" applyNumberFormat="1" applyFont="1" applyFill="1" applyBorder="1" applyAlignment="1">
      <alignment horizontal="center" vertical="top"/>
    </xf>
    <xf numFmtId="167" fontId="13" fillId="0" borderId="10" xfId="1" applyNumberFormat="1" applyFont="1" applyFill="1" applyBorder="1" applyAlignment="1">
      <alignment horizontal="center" vertical="top"/>
    </xf>
    <xf numFmtId="43" fontId="13" fillId="0" borderId="10" xfId="1" applyFont="1" applyFill="1" applyBorder="1" applyAlignment="1">
      <alignment horizontal="center" vertical="top"/>
    </xf>
    <xf numFmtId="43" fontId="10" fillId="0" borderId="10" xfId="1" applyFont="1" applyFill="1" applyBorder="1" applyAlignment="1">
      <alignment horizontal="center" vertical="top"/>
    </xf>
    <xf numFmtId="43" fontId="8" fillId="0" borderId="10" xfId="1" applyFont="1" applyFill="1" applyBorder="1" applyAlignment="1">
      <alignment horizontal="center" vertical="top"/>
    </xf>
    <xf numFmtId="0" fontId="13" fillId="0" borderId="10" xfId="1" applyNumberFormat="1" applyFont="1" applyFill="1" applyBorder="1" applyAlignment="1">
      <alignment horizontal="center" vertical="top"/>
    </xf>
    <xf numFmtId="0" fontId="13" fillId="0" borderId="10" xfId="1" quotePrefix="1" applyNumberFormat="1" applyFont="1" applyFill="1" applyBorder="1" applyAlignment="1">
      <alignment horizontal="center" vertical="top"/>
    </xf>
    <xf numFmtId="167" fontId="9" fillId="0" borderId="10" xfId="1" applyNumberFormat="1" applyFont="1" applyFill="1" applyBorder="1" applyAlignment="1">
      <alignment horizontal="center" vertical="top"/>
    </xf>
    <xf numFmtId="9" fontId="13" fillId="0" borderId="10" xfId="2" applyFont="1" applyFill="1" applyBorder="1" applyAlignment="1">
      <alignment horizontal="center" vertical="top"/>
    </xf>
    <xf numFmtId="167" fontId="12" fillId="0" borderId="10" xfId="1" applyNumberFormat="1" applyFont="1" applyFill="1" applyBorder="1" applyAlignment="1">
      <alignment horizontal="center" vertical="top"/>
    </xf>
    <xf numFmtId="43" fontId="12" fillId="0" borderId="10" xfId="1" applyFont="1" applyFill="1" applyBorder="1" applyAlignment="1">
      <alignment horizontal="center" vertical="top"/>
    </xf>
    <xf numFmtId="167" fontId="30" fillId="0" borderId="10" xfId="1" applyNumberFormat="1" applyFont="1" applyFill="1" applyBorder="1" applyAlignment="1">
      <alignment horizontal="center" vertical="top"/>
    </xf>
    <xf numFmtId="0" fontId="10" fillId="0" borderId="10" xfId="2" applyNumberFormat="1" applyFont="1" applyFill="1" applyBorder="1" applyAlignment="1">
      <alignment horizontal="left" vertical="top"/>
    </xf>
    <xf numFmtId="0" fontId="8" fillId="0" borderId="10" xfId="2" applyNumberFormat="1" applyFont="1" applyFill="1" applyBorder="1" applyAlignment="1">
      <alignment horizontal="left" vertical="top"/>
    </xf>
    <xf numFmtId="43" fontId="8" fillId="0" borderId="0" xfId="0" applyNumberFormat="1" applyFont="1"/>
    <xf numFmtId="167" fontId="8" fillId="0" borderId="10" xfId="0" applyNumberFormat="1" applyFont="1" applyBorder="1"/>
    <xf numFmtId="1" fontId="2" fillId="0" borderId="21" xfId="2" applyNumberFormat="1" applyFont="1" applyBorder="1"/>
    <xf numFmtId="43" fontId="13" fillId="0" borderId="10" xfId="2" applyNumberFormat="1" applyFont="1" applyFill="1" applyBorder="1" applyAlignment="1">
      <alignment horizontal="center" vertical="top"/>
    </xf>
    <xf numFmtId="10" fontId="0" fillId="0" borderId="0" xfId="0" applyNumberFormat="1"/>
    <xf numFmtId="0" fontId="8" fillId="0" borderId="10" xfId="0" applyFont="1" applyBorder="1" applyAlignment="1">
      <alignment horizontal="left"/>
    </xf>
    <xf numFmtId="0" fontId="8" fillId="0" borderId="10" xfId="0" quotePrefix="1" applyFont="1" applyBorder="1" applyAlignment="1">
      <alignment horizontal="left"/>
    </xf>
    <xf numFmtId="0" fontId="8" fillId="0" borderId="10" xfId="0" applyFont="1" applyBorder="1"/>
    <xf numFmtId="164" fontId="65" fillId="0" borderId="0" xfId="331" applyFont="1" applyAlignment="1">
      <alignment horizontal="center"/>
    </xf>
    <xf numFmtId="0" fontId="0" fillId="64" borderId="0" xfId="0" applyFill="1"/>
    <xf numFmtId="0" fontId="68" fillId="43" borderId="0" xfId="0" applyFont="1" applyFill="1"/>
    <xf numFmtId="2" fontId="2" fillId="43" borderId="73" xfId="2" applyNumberFormat="1" applyFont="1" applyFill="1" applyBorder="1" applyAlignment="1">
      <alignment horizontal="center"/>
    </xf>
    <xf numFmtId="43" fontId="11" fillId="48" borderId="10" xfId="1" applyFont="1" applyFill="1" applyBorder="1" applyAlignment="1">
      <alignment horizontal="center" vertical="top"/>
    </xf>
    <xf numFmtId="166" fontId="10" fillId="0" borderId="0" xfId="0" applyNumberFormat="1" applyFont="1" applyAlignment="1">
      <alignment horizontal="center"/>
    </xf>
    <xf numFmtId="43" fontId="12" fillId="0" borderId="0" xfId="1" applyFont="1" applyFill="1" applyAlignment="1">
      <alignment horizontal="center" vertical="center"/>
    </xf>
    <xf numFmtId="0" fontId="2" fillId="65" borderId="74" xfId="0" applyFont="1" applyFill="1" applyBorder="1"/>
    <xf numFmtId="10" fontId="0" fillId="0" borderId="10" xfId="2" applyNumberFormat="1" applyFont="1" applyBorder="1"/>
    <xf numFmtId="2" fontId="0" fillId="0" borderId="21" xfId="2" applyNumberFormat="1" applyFont="1" applyBorder="1"/>
    <xf numFmtId="2" fontId="2" fillId="5" borderId="58" xfId="0" applyNumberFormat="1" applyFont="1" applyFill="1" applyBorder="1"/>
    <xf numFmtId="0" fontId="2" fillId="5" borderId="0" xfId="0" applyFont="1" applyFill="1" applyAlignment="1">
      <alignment horizontal="left"/>
    </xf>
    <xf numFmtId="43" fontId="2" fillId="5" borderId="0" xfId="0" applyNumberFormat="1" applyFont="1" applyFill="1"/>
    <xf numFmtId="167" fontId="0" fillId="0" borderId="0" xfId="0" applyNumberFormat="1" applyAlignment="1">
      <alignment horizontal="left"/>
    </xf>
    <xf numFmtId="0" fontId="0" fillId="66" borderId="0" xfId="0" applyFill="1"/>
    <xf numFmtId="14" fontId="0" fillId="0" borderId="0" xfId="0" applyNumberFormat="1"/>
    <xf numFmtId="9" fontId="29" fillId="31" borderId="29" xfId="2" applyFont="1" applyFill="1" applyBorder="1" applyAlignment="1">
      <alignment horizontal="center" vertical="top" wrapText="1"/>
    </xf>
    <xf numFmtId="9" fontId="29" fillId="31" borderId="28" xfId="2" applyFont="1" applyFill="1" applyBorder="1" applyAlignment="1">
      <alignment horizontal="center" vertical="top" wrapText="1"/>
    </xf>
    <xf numFmtId="165" fontId="29" fillId="3" borderId="17" xfId="0" applyNumberFormat="1" applyFont="1" applyFill="1" applyBorder="1" applyAlignment="1">
      <alignment horizontal="center" vertical="center" wrapText="1"/>
    </xf>
    <xf numFmtId="165" fontId="29" fillId="3" borderId="18" xfId="0" applyNumberFormat="1" applyFont="1" applyFill="1" applyBorder="1" applyAlignment="1">
      <alignment horizontal="center" vertical="center" wrapText="1"/>
    </xf>
    <xf numFmtId="165" fontId="29" fillId="3" borderId="14" xfId="0" applyNumberFormat="1" applyFont="1" applyFill="1" applyBorder="1" applyAlignment="1">
      <alignment horizontal="center" vertical="center" wrapText="1"/>
    </xf>
    <xf numFmtId="165" fontId="29" fillId="3" borderId="19" xfId="0" applyNumberFormat="1" applyFont="1" applyFill="1" applyBorder="1" applyAlignment="1">
      <alignment horizontal="center" vertical="center" wrapText="1"/>
    </xf>
    <xf numFmtId="9" fontId="34" fillId="4" borderId="16" xfId="2" applyFont="1" applyFill="1" applyBorder="1" applyAlignment="1">
      <alignment horizontal="center" vertical="center" wrapText="1"/>
    </xf>
    <xf numFmtId="9" fontId="34" fillId="4" borderId="20" xfId="2" applyFont="1" applyFill="1" applyBorder="1" applyAlignment="1">
      <alignment horizontal="center" vertical="center" wrapText="1"/>
    </xf>
    <xf numFmtId="9" fontId="34" fillId="4" borderId="51" xfId="2" applyFont="1" applyFill="1" applyBorder="1" applyAlignment="1">
      <alignment horizontal="center" vertical="center" wrapText="1"/>
    </xf>
    <xf numFmtId="165" fontId="29" fillId="3" borderId="21" xfId="0" applyNumberFormat="1" applyFont="1" applyFill="1" applyBorder="1" applyAlignment="1">
      <alignment horizontal="center" vertical="center" wrapText="1"/>
    </xf>
    <xf numFmtId="165" fontId="29" fillId="3" borderId="11" xfId="0" applyNumberFormat="1" applyFont="1" applyFill="1" applyBorder="1" applyAlignment="1">
      <alignment horizontal="center" vertical="center" wrapText="1"/>
    </xf>
    <xf numFmtId="165" fontId="29" fillId="3" borderId="9" xfId="0" applyNumberFormat="1" applyFont="1" applyFill="1" applyBorder="1" applyAlignment="1">
      <alignment horizontal="center" vertical="center" wrapText="1"/>
    </xf>
    <xf numFmtId="9" fontId="29" fillId="6" borderId="29" xfId="2" applyFont="1" applyFill="1" applyBorder="1" applyAlignment="1">
      <alignment horizontal="center" vertical="top" wrapText="1"/>
    </xf>
    <xf numFmtId="9" fontId="29" fillId="6" borderId="28" xfId="2" applyFont="1" applyFill="1" applyBorder="1" applyAlignment="1">
      <alignment horizontal="center" vertical="top" wrapText="1"/>
    </xf>
    <xf numFmtId="9" fontId="31" fillId="6" borderId="29" xfId="2" applyFont="1" applyFill="1" applyBorder="1" applyAlignment="1">
      <alignment horizontal="center" vertical="top" wrapText="1"/>
    </xf>
    <xf numFmtId="9" fontId="31" fillId="6" borderId="28" xfId="2" applyFont="1" applyFill="1" applyBorder="1" applyAlignment="1">
      <alignment horizontal="center" vertical="top" wrapText="1"/>
    </xf>
    <xf numFmtId="165" fontId="29" fillId="3" borderId="23" xfId="0" applyNumberFormat="1" applyFont="1" applyFill="1" applyBorder="1" applyAlignment="1">
      <alignment horizontal="center" vertical="center" wrapText="1"/>
    </xf>
    <xf numFmtId="165" fontId="29" fillId="3" borderId="24" xfId="0" applyNumberFormat="1" applyFont="1" applyFill="1" applyBorder="1" applyAlignment="1">
      <alignment horizontal="center" vertical="center" wrapText="1"/>
    </xf>
    <xf numFmtId="165" fontId="29" fillId="3" borderId="25" xfId="0" applyNumberFormat="1" applyFont="1" applyFill="1" applyBorder="1" applyAlignment="1">
      <alignment horizontal="center" vertical="center" wrapText="1"/>
    </xf>
    <xf numFmtId="165" fontId="29" fillId="3" borderId="15" xfId="0" applyNumberFormat="1" applyFont="1" applyFill="1" applyBorder="1" applyAlignment="1">
      <alignment horizontal="center" vertical="center" wrapText="1"/>
    </xf>
    <xf numFmtId="0" fontId="29" fillId="4" borderId="29" xfId="2" applyNumberFormat="1" applyFont="1" applyFill="1" applyBorder="1" applyAlignment="1">
      <alignment horizontal="center" vertical="center" wrapText="1"/>
    </xf>
    <xf numFmtId="0" fontId="29" fillId="4" borderId="28" xfId="2" applyNumberFormat="1" applyFont="1" applyFill="1" applyBorder="1" applyAlignment="1">
      <alignment horizontal="center" vertical="center" wrapText="1"/>
    </xf>
    <xf numFmtId="165" fontId="29" fillId="6" borderId="3" xfId="0" applyNumberFormat="1" applyFont="1" applyFill="1" applyBorder="1" applyAlignment="1">
      <alignment horizontal="center" vertical="center" wrapText="1"/>
    </xf>
    <xf numFmtId="165" fontId="29" fillId="6" borderId="38" xfId="0" applyNumberFormat="1" applyFont="1" applyFill="1" applyBorder="1" applyAlignment="1">
      <alignment horizontal="center" vertical="center" wrapText="1"/>
    </xf>
    <xf numFmtId="165" fontId="29" fillId="6" borderId="8" xfId="0" applyNumberFormat="1" applyFont="1" applyFill="1" applyBorder="1" applyAlignment="1">
      <alignment horizontal="center" vertical="center" wrapText="1"/>
    </xf>
    <xf numFmtId="165" fontId="29" fillId="6" borderId="27" xfId="0" applyNumberFormat="1" applyFont="1" applyFill="1" applyBorder="1" applyAlignment="1">
      <alignment horizontal="center" vertical="center" wrapText="1"/>
    </xf>
    <xf numFmtId="9" fontId="29" fillId="3" borderId="4" xfId="2" applyFont="1" applyFill="1" applyBorder="1" applyAlignment="1">
      <alignment horizontal="center" vertical="top"/>
    </xf>
    <xf numFmtId="9" fontId="29" fillId="3" borderId="26" xfId="2" applyFont="1" applyFill="1" applyBorder="1" applyAlignment="1">
      <alignment horizontal="center" vertical="top"/>
    </xf>
    <xf numFmtId="9" fontId="29" fillId="3" borderId="67" xfId="2" applyFont="1" applyFill="1" applyBorder="1" applyAlignment="1">
      <alignment horizontal="center" vertical="top"/>
    </xf>
    <xf numFmtId="165" fontId="29" fillId="3" borderId="7" xfId="0" applyNumberFormat="1" applyFont="1" applyFill="1" applyBorder="1" applyAlignment="1">
      <alignment horizontal="center" vertical="center" wrapText="1"/>
    </xf>
    <xf numFmtId="165" fontId="29" fillId="3" borderId="0" xfId="0" applyNumberFormat="1" applyFont="1" applyFill="1" applyAlignment="1">
      <alignment horizontal="center" vertical="center" wrapText="1"/>
    </xf>
    <xf numFmtId="165" fontId="29" fillId="3" borderId="12" xfId="0" applyNumberFormat="1" applyFont="1" applyFill="1" applyBorder="1" applyAlignment="1">
      <alignment horizontal="center" vertical="center" wrapText="1"/>
    </xf>
    <xf numFmtId="165" fontId="29" fillId="3" borderId="39" xfId="0" applyNumberFormat="1" applyFont="1" applyFill="1" applyBorder="1" applyAlignment="1">
      <alignment horizontal="center" vertical="center" wrapText="1"/>
    </xf>
    <xf numFmtId="165" fontId="29" fillId="3" borderId="40" xfId="0" applyNumberFormat="1" applyFont="1" applyFill="1" applyBorder="1" applyAlignment="1">
      <alignment horizontal="center" vertical="center" wrapText="1"/>
    </xf>
    <xf numFmtId="165" fontId="29" fillId="3" borderId="41" xfId="0" applyNumberFormat="1" applyFont="1" applyFill="1" applyBorder="1" applyAlignment="1">
      <alignment horizontal="center" vertical="center" wrapText="1"/>
    </xf>
    <xf numFmtId="165" fontId="29" fillId="3" borderId="66" xfId="0" applyNumberFormat="1" applyFont="1" applyFill="1" applyBorder="1" applyAlignment="1">
      <alignment horizontal="center" vertical="center" wrapText="1"/>
    </xf>
    <xf numFmtId="165" fontId="29" fillId="3" borderId="13" xfId="0" applyNumberFormat="1" applyFont="1" applyFill="1" applyBorder="1" applyAlignment="1">
      <alignment horizontal="center" vertical="center" wrapText="1"/>
    </xf>
    <xf numFmtId="165" fontId="29" fillId="3" borderId="5" xfId="0" applyNumberFormat="1" applyFont="1" applyFill="1" applyBorder="1" applyAlignment="1">
      <alignment horizontal="center" vertical="center" wrapText="1"/>
    </xf>
    <xf numFmtId="165" fontId="29" fillId="3" borderId="6" xfId="0" applyNumberFormat="1" applyFont="1" applyFill="1" applyBorder="1" applyAlignment="1">
      <alignment horizontal="center" vertical="center" wrapText="1"/>
    </xf>
    <xf numFmtId="165" fontId="29" fillId="3" borderId="1" xfId="0" applyNumberFormat="1" applyFont="1" applyFill="1" applyBorder="1" applyAlignment="1">
      <alignment horizontal="center" vertical="center" wrapText="1"/>
    </xf>
    <xf numFmtId="165" fontId="29" fillId="3" borderId="2" xfId="0" applyNumberFormat="1" applyFont="1" applyFill="1" applyBorder="1" applyAlignment="1">
      <alignment horizontal="center" vertical="center" wrapText="1"/>
    </xf>
    <xf numFmtId="165" fontId="29" fillId="3" borderId="22" xfId="0" applyNumberFormat="1" applyFont="1" applyFill="1" applyBorder="1" applyAlignment="1">
      <alignment horizontal="center" vertical="center" wrapText="1"/>
    </xf>
    <xf numFmtId="0" fontId="29" fillId="4" borderId="29" xfId="2" applyNumberFormat="1" applyFont="1" applyFill="1" applyBorder="1" applyAlignment="1">
      <alignment horizontal="center" vertical="center"/>
    </xf>
    <xf numFmtId="0" fontId="29" fillId="4" borderId="28" xfId="2" applyNumberFormat="1" applyFont="1" applyFill="1" applyBorder="1" applyAlignment="1">
      <alignment horizontal="center" vertical="center"/>
    </xf>
    <xf numFmtId="165" fontId="29" fillId="6" borderId="1" xfId="0" applyNumberFormat="1" applyFont="1" applyFill="1" applyBorder="1" applyAlignment="1">
      <alignment horizontal="center" vertical="center" wrapText="1"/>
    </xf>
    <xf numFmtId="165" fontId="29" fillId="6" borderId="22" xfId="0" applyNumberFormat="1" applyFont="1" applyFill="1" applyBorder="1" applyAlignment="1">
      <alignment horizontal="center" vertical="center" wrapText="1"/>
    </xf>
    <xf numFmtId="165" fontId="29" fillId="6" borderId="7" xfId="0" applyNumberFormat="1" applyFont="1" applyFill="1" applyBorder="1" applyAlignment="1">
      <alignment horizontal="center" vertical="center" wrapText="1"/>
    </xf>
    <xf numFmtId="165" fontId="29" fillId="6" borderId="12" xfId="0" applyNumberFormat="1" applyFont="1" applyFill="1" applyBorder="1" applyAlignment="1">
      <alignment horizontal="center" vertical="center" wrapText="1"/>
    </xf>
    <xf numFmtId="165" fontId="29" fillId="6" borderId="13" xfId="0" applyNumberFormat="1" applyFont="1" applyFill="1" applyBorder="1" applyAlignment="1">
      <alignment horizontal="center" vertical="center" wrapText="1"/>
    </xf>
    <xf numFmtId="165" fontId="29" fillId="6" borderId="15" xfId="0" applyNumberFormat="1" applyFont="1" applyFill="1" applyBorder="1" applyAlignment="1">
      <alignment horizontal="center" vertical="center" wrapText="1"/>
    </xf>
    <xf numFmtId="0" fontId="60" fillId="55" borderId="3" xfId="0" applyFont="1" applyFill="1" applyBorder="1" applyAlignment="1">
      <alignment horizontal="center" wrapText="1"/>
    </xf>
    <xf numFmtId="0" fontId="60" fillId="55" borderId="8" xfId="0" applyFont="1" applyFill="1" applyBorder="1" applyAlignment="1">
      <alignment horizontal="center" wrapText="1"/>
    </xf>
    <xf numFmtId="0" fontId="60" fillId="55" borderId="52" xfId="0" applyFont="1" applyFill="1" applyBorder="1" applyAlignment="1">
      <alignment horizontal="center" wrapText="1"/>
    </xf>
    <xf numFmtId="0" fontId="29" fillId="45" borderId="10" xfId="0" applyFont="1" applyFill="1" applyBorder="1" applyAlignment="1">
      <alignment horizontal="center" vertical="center"/>
    </xf>
    <xf numFmtId="0" fontId="29" fillId="45" borderId="27" xfId="0" applyFont="1" applyFill="1" applyBorder="1" applyAlignment="1">
      <alignment horizontal="center" vertical="center"/>
    </xf>
    <xf numFmtId="0" fontId="29" fillId="3" borderId="21" xfId="0" applyFont="1" applyFill="1" applyBorder="1" applyAlignment="1">
      <alignment horizontal="center" vertical="center" wrapText="1"/>
    </xf>
    <xf numFmtId="0" fontId="29" fillId="3" borderId="11" xfId="0" applyFont="1" applyFill="1" applyBorder="1" applyAlignment="1">
      <alignment horizontal="center" vertical="center" wrapText="1"/>
    </xf>
    <xf numFmtId="0" fontId="29" fillId="3" borderId="9" xfId="0" applyFont="1" applyFill="1" applyBorder="1" applyAlignment="1">
      <alignment horizontal="center" vertical="center" wrapText="1"/>
    </xf>
    <xf numFmtId="0" fontId="29" fillId="3" borderId="7" xfId="0" applyFont="1" applyFill="1" applyBorder="1" applyAlignment="1">
      <alignment horizontal="center" vertical="center" wrapText="1"/>
    </xf>
    <xf numFmtId="0" fontId="29" fillId="3" borderId="0" xfId="0" applyFont="1" applyFill="1" applyAlignment="1">
      <alignment horizontal="center" vertical="center" wrapText="1"/>
    </xf>
    <xf numFmtId="0" fontId="29" fillId="3" borderId="12" xfId="0" applyFont="1" applyFill="1" applyBorder="1" applyAlignment="1">
      <alignment horizontal="center" vertical="center" wrapText="1"/>
    </xf>
    <xf numFmtId="0" fontId="29" fillId="3" borderId="39" xfId="0" applyFont="1" applyFill="1" applyBorder="1" applyAlignment="1">
      <alignment horizontal="center" vertical="center" wrapText="1"/>
    </xf>
    <xf numFmtId="0" fontId="29" fillId="3" borderId="40" xfId="0" applyFont="1" applyFill="1" applyBorder="1" applyAlignment="1">
      <alignment horizontal="center" vertical="center" wrapText="1"/>
    </xf>
    <xf numFmtId="0" fontId="29" fillId="3" borderId="4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NumberFormat="1"/>
  </cellXfs>
  <cellStyles count="332">
    <cellStyle name="20% - Accent1 2" xfId="6" xr:uid="{00000000-0005-0000-0000-000000000000}"/>
    <cellStyle name="20% - Accent1 2 2" xfId="7" xr:uid="{00000000-0005-0000-0000-000001000000}"/>
    <cellStyle name="20% - Accent1 2 3" xfId="8" xr:uid="{00000000-0005-0000-0000-000002000000}"/>
    <cellStyle name="20% - Accent1 2 4" xfId="9" xr:uid="{00000000-0005-0000-0000-000003000000}"/>
    <cellStyle name="20% - Accent2 2" xfId="10" xr:uid="{00000000-0005-0000-0000-000004000000}"/>
    <cellStyle name="20% - Accent2 2 2" xfId="11" xr:uid="{00000000-0005-0000-0000-000005000000}"/>
    <cellStyle name="20% - Accent2 2 3" xfId="12" xr:uid="{00000000-0005-0000-0000-000006000000}"/>
    <cellStyle name="20% - Accent2 2 4" xfId="13" xr:uid="{00000000-0005-0000-0000-000007000000}"/>
    <cellStyle name="20% - Accent3 2" xfId="14" xr:uid="{00000000-0005-0000-0000-000008000000}"/>
    <cellStyle name="20% - Accent3 2 2" xfId="15" xr:uid="{00000000-0005-0000-0000-000009000000}"/>
    <cellStyle name="20% - Accent3 2 3" xfId="16" xr:uid="{00000000-0005-0000-0000-00000A000000}"/>
    <cellStyle name="20% - Accent3 2 4" xfId="17" xr:uid="{00000000-0005-0000-0000-00000B000000}"/>
    <cellStyle name="20% - Accent4 2" xfId="18" xr:uid="{00000000-0005-0000-0000-00000C000000}"/>
    <cellStyle name="20% - Accent4 2 2" xfId="19" xr:uid="{00000000-0005-0000-0000-00000D000000}"/>
    <cellStyle name="20% - Accent4 2 3" xfId="20" xr:uid="{00000000-0005-0000-0000-00000E000000}"/>
    <cellStyle name="20% - Accent4 2 4" xfId="21" xr:uid="{00000000-0005-0000-0000-00000F000000}"/>
    <cellStyle name="20% - Accent5 2" xfId="22" xr:uid="{00000000-0005-0000-0000-000010000000}"/>
    <cellStyle name="20% - Accent5 2 2" xfId="23" xr:uid="{00000000-0005-0000-0000-000011000000}"/>
    <cellStyle name="20% - Accent5 2 3" xfId="24" xr:uid="{00000000-0005-0000-0000-000012000000}"/>
    <cellStyle name="20% - Accent5 2 4" xfId="25" xr:uid="{00000000-0005-0000-0000-000013000000}"/>
    <cellStyle name="20% - Accent6 2" xfId="26" xr:uid="{00000000-0005-0000-0000-000014000000}"/>
    <cellStyle name="20% - Accent6 2 2" xfId="27" xr:uid="{00000000-0005-0000-0000-000015000000}"/>
    <cellStyle name="20% - Accent6 2 3" xfId="28" xr:uid="{00000000-0005-0000-0000-000016000000}"/>
    <cellStyle name="20% - Accent6 2 4" xfId="29" xr:uid="{00000000-0005-0000-0000-000017000000}"/>
    <cellStyle name="40% - Accent1 2" xfId="30" xr:uid="{00000000-0005-0000-0000-000018000000}"/>
    <cellStyle name="40% - Accent1 2 2" xfId="31" xr:uid="{00000000-0005-0000-0000-000019000000}"/>
    <cellStyle name="40% - Accent1 2 3" xfId="32" xr:uid="{00000000-0005-0000-0000-00001A000000}"/>
    <cellStyle name="40% - Accent1 2 4" xfId="33" xr:uid="{00000000-0005-0000-0000-00001B000000}"/>
    <cellStyle name="40% - Accent2 2" xfId="34" xr:uid="{00000000-0005-0000-0000-00001C000000}"/>
    <cellStyle name="40% - Accent2 2 2" xfId="35" xr:uid="{00000000-0005-0000-0000-00001D000000}"/>
    <cellStyle name="40% - Accent2 2 3" xfId="36" xr:uid="{00000000-0005-0000-0000-00001E000000}"/>
    <cellStyle name="40% - Accent2 2 4" xfId="37" xr:uid="{00000000-0005-0000-0000-00001F000000}"/>
    <cellStyle name="40% - Accent3 2" xfId="38" xr:uid="{00000000-0005-0000-0000-000020000000}"/>
    <cellStyle name="40% - Accent3 2 2" xfId="39" xr:uid="{00000000-0005-0000-0000-000021000000}"/>
    <cellStyle name="40% - Accent3 2 3" xfId="40" xr:uid="{00000000-0005-0000-0000-000022000000}"/>
    <cellStyle name="40% - Accent3 2 4" xfId="41" xr:uid="{00000000-0005-0000-0000-000023000000}"/>
    <cellStyle name="40% - Accent4 2" xfId="42" xr:uid="{00000000-0005-0000-0000-000024000000}"/>
    <cellStyle name="40% - Accent4 2 2" xfId="43" xr:uid="{00000000-0005-0000-0000-000025000000}"/>
    <cellStyle name="40% - Accent4 2 3" xfId="44" xr:uid="{00000000-0005-0000-0000-000026000000}"/>
    <cellStyle name="40% - Accent4 2 4" xfId="45" xr:uid="{00000000-0005-0000-0000-000027000000}"/>
    <cellStyle name="40% - Accent5 2" xfId="46" xr:uid="{00000000-0005-0000-0000-000028000000}"/>
    <cellStyle name="40% - Accent5 2 2" xfId="47" xr:uid="{00000000-0005-0000-0000-000029000000}"/>
    <cellStyle name="40% - Accent5 2 3" xfId="48" xr:uid="{00000000-0005-0000-0000-00002A000000}"/>
    <cellStyle name="40% - Accent5 2 4" xfId="49" xr:uid="{00000000-0005-0000-0000-00002B000000}"/>
    <cellStyle name="40% - Accent6 2" xfId="50" xr:uid="{00000000-0005-0000-0000-00002C000000}"/>
    <cellStyle name="40% - Accent6 2 2" xfId="51" xr:uid="{00000000-0005-0000-0000-00002D000000}"/>
    <cellStyle name="40% - Accent6 2 3" xfId="52" xr:uid="{00000000-0005-0000-0000-00002E000000}"/>
    <cellStyle name="40% - Accent6 2 4" xfId="53" xr:uid="{00000000-0005-0000-0000-00002F000000}"/>
    <cellStyle name="60% - Accent1 2" xfId="54" xr:uid="{00000000-0005-0000-0000-000030000000}"/>
    <cellStyle name="60% - Accent2 2" xfId="55" xr:uid="{00000000-0005-0000-0000-000031000000}"/>
    <cellStyle name="60% - Accent3 2" xfId="56" xr:uid="{00000000-0005-0000-0000-000032000000}"/>
    <cellStyle name="60% - Accent4 2" xfId="57" xr:uid="{00000000-0005-0000-0000-000033000000}"/>
    <cellStyle name="60% - Accent5 2" xfId="58" xr:uid="{00000000-0005-0000-0000-000034000000}"/>
    <cellStyle name="60% - Accent6 2" xfId="59" xr:uid="{00000000-0005-0000-0000-000035000000}"/>
    <cellStyle name="Accent1 2" xfId="60" xr:uid="{00000000-0005-0000-0000-000036000000}"/>
    <cellStyle name="Accent2 2" xfId="61" xr:uid="{00000000-0005-0000-0000-000037000000}"/>
    <cellStyle name="Accent3 2" xfId="62" xr:uid="{00000000-0005-0000-0000-000038000000}"/>
    <cellStyle name="Accent4 2" xfId="63" xr:uid="{00000000-0005-0000-0000-000039000000}"/>
    <cellStyle name="Accent5 2" xfId="64" xr:uid="{00000000-0005-0000-0000-00003A000000}"/>
    <cellStyle name="Accent6 2" xfId="65" xr:uid="{00000000-0005-0000-0000-00003B000000}"/>
    <cellStyle name="AeE­ [0]_INQUIRY ¿?¾÷AßAø " xfId="66" xr:uid="{00000000-0005-0000-0000-00003C000000}"/>
    <cellStyle name="AeE­_INQUIRY ¿?¾÷AßAø " xfId="67" xr:uid="{00000000-0005-0000-0000-00003D000000}"/>
    <cellStyle name="AÞ¸¶ [0]_INQUIRY ¿?¾÷AßAø " xfId="68" xr:uid="{00000000-0005-0000-0000-00003E000000}"/>
    <cellStyle name="AÞ¸¶_INQUIRY ¿?¾÷AßAø " xfId="69" xr:uid="{00000000-0005-0000-0000-00003F000000}"/>
    <cellStyle name="Bad 2" xfId="70" xr:uid="{00000000-0005-0000-0000-000040000000}"/>
    <cellStyle name="C?AØ_¿?¾÷CoE² " xfId="71" xr:uid="{00000000-0005-0000-0000-000041000000}"/>
    <cellStyle name="Calculation 2" xfId="72" xr:uid="{00000000-0005-0000-0000-000042000000}"/>
    <cellStyle name="Check Cell 2" xfId="73" xr:uid="{00000000-0005-0000-0000-000043000000}"/>
    <cellStyle name="Comma" xfId="1" builtinId="3"/>
    <cellStyle name="Comma 10" xfId="125" xr:uid="{00000000-0005-0000-0000-000045000000}"/>
    <cellStyle name="Comma 11" xfId="126" xr:uid="{00000000-0005-0000-0000-000046000000}"/>
    <cellStyle name="Comma 12" xfId="127" xr:uid="{00000000-0005-0000-0000-000047000000}"/>
    <cellStyle name="Comma 13" xfId="128" xr:uid="{00000000-0005-0000-0000-000048000000}"/>
    <cellStyle name="Comma 13 2" xfId="129" xr:uid="{00000000-0005-0000-0000-000049000000}"/>
    <cellStyle name="Comma 14" xfId="130" xr:uid="{00000000-0005-0000-0000-00004A000000}"/>
    <cellStyle name="Comma 14 2" xfId="131" xr:uid="{00000000-0005-0000-0000-00004B000000}"/>
    <cellStyle name="Comma 15" xfId="132" xr:uid="{00000000-0005-0000-0000-00004C000000}"/>
    <cellStyle name="Comma 16" xfId="133" xr:uid="{00000000-0005-0000-0000-00004D000000}"/>
    <cellStyle name="Comma 17" xfId="134" xr:uid="{00000000-0005-0000-0000-00004E000000}"/>
    <cellStyle name="Comma 18" xfId="135" xr:uid="{00000000-0005-0000-0000-00004F000000}"/>
    <cellStyle name="Comma 19" xfId="136" xr:uid="{00000000-0005-0000-0000-000050000000}"/>
    <cellStyle name="Comma 2" xfId="74" xr:uid="{00000000-0005-0000-0000-000051000000}"/>
    <cellStyle name="Comma 2 10" xfId="137" xr:uid="{00000000-0005-0000-0000-000052000000}"/>
    <cellStyle name="Comma 2 11" xfId="138" xr:uid="{00000000-0005-0000-0000-000053000000}"/>
    <cellStyle name="Comma 2 12" xfId="139" xr:uid="{00000000-0005-0000-0000-000054000000}"/>
    <cellStyle name="Comma 2 13" xfId="140" xr:uid="{00000000-0005-0000-0000-000055000000}"/>
    <cellStyle name="Comma 2 14" xfId="141" xr:uid="{00000000-0005-0000-0000-000056000000}"/>
    <cellStyle name="Comma 2 15" xfId="142" xr:uid="{00000000-0005-0000-0000-000057000000}"/>
    <cellStyle name="Comma 2 16" xfId="143" xr:uid="{00000000-0005-0000-0000-000058000000}"/>
    <cellStyle name="Comma 2 17" xfId="144" xr:uid="{00000000-0005-0000-0000-000059000000}"/>
    <cellStyle name="Comma 2 18" xfId="145" xr:uid="{00000000-0005-0000-0000-00005A000000}"/>
    <cellStyle name="Comma 2 19" xfId="146" xr:uid="{00000000-0005-0000-0000-00005B000000}"/>
    <cellStyle name="Comma 2 2" xfId="75" xr:uid="{00000000-0005-0000-0000-00005C000000}"/>
    <cellStyle name="Comma 2 2 10" xfId="147" xr:uid="{00000000-0005-0000-0000-00005D000000}"/>
    <cellStyle name="Comma 2 2 11" xfId="148" xr:uid="{00000000-0005-0000-0000-00005E000000}"/>
    <cellStyle name="Comma 2 2 12" xfId="149" xr:uid="{00000000-0005-0000-0000-00005F000000}"/>
    <cellStyle name="Comma 2 2 13" xfId="150" xr:uid="{00000000-0005-0000-0000-000060000000}"/>
    <cellStyle name="Comma 2 2 14" xfId="151" xr:uid="{00000000-0005-0000-0000-000061000000}"/>
    <cellStyle name="Comma 2 2 15" xfId="152" xr:uid="{00000000-0005-0000-0000-000062000000}"/>
    <cellStyle name="Comma 2 2 16" xfId="153" xr:uid="{00000000-0005-0000-0000-000063000000}"/>
    <cellStyle name="Comma 2 2 17" xfId="154" xr:uid="{00000000-0005-0000-0000-000064000000}"/>
    <cellStyle name="Comma 2 2 18" xfId="155" xr:uid="{00000000-0005-0000-0000-000065000000}"/>
    <cellStyle name="Comma 2 2 19" xfId="156" xr:uid="{00000000-0005-0000-0000-000066000000}"/>
    <cellStyle name="Comma 2 2 2" xfId="76" xr:uid="{00000000-0005-0000-0000-000067000000}"/>
    <cellStyle name="Comma 2 2 2 2" xfId="158" xr:uid="{00000000-0005-0000-0000-000068000000}"/>
    <cellStyle name="Comma 2 2 2 3" xfId="157" xr:uid="{00000000-0005-0000-0000-000069000000}"/>
    <cellStyle name="Comma 2 2 20" xfId="159" xr:uid="{00000000-0005-0000-0000-00006A000000}"/>
    <cellStyle name="Comma 2 2 21" xfId="160" xr:uid="{00000000-0005-0000-0000-00006B000000}"/>
    <cellStyle name="Comma 2 2 22" xfId="161" xr:uid="{00000000-0005-0000-0000-00006C000000}"/>
    <cellStyle name="Comma 2 2 23" xfId="162" xr:uid="{00000000-0005-0000-0000-00006D000000}"/>
    <cellStyle name="Comma 2 2 3" xfId="77" xr:uid="{00000000-0005-0000-0000-00006E000000}"/>
    <cellStyle name="Comma 2 2 3 2" xfId="163" xr:uid="{00000000-0005-0000-0000-00006F000000}"/>
    <cellStyle name="Comma 2 2 4" xfId="78" xr:uid="{00000000-0005-0000-0000-000070000000}"/>
    <cellStyle name="Comma 2 2 4 2" xfId="164" xr:uid="{00000000-0005-0000-0000-000071000000}"/>
    <cellStyle name="Comma 2 2 5" xfId="79" xr:uid="{00000000-0005-0000-0000-000072000000}"/>
    <cellStyle name="Comma 2 2 5 2" xfId="165" xr:uid="{00000000-0005-0000-0000-000073000000}"/>
    <cellStyle name="Comma 2 2 6" xfId="166" xr:uid="{00000000-0005-0000-0000-000074000000}"/>
    <cellStyle name="Comma 2 2 7" xfId="167" xr:uid="{00000000-0005-0000-0000-000075000000}"/>
    <cellStyle name="Comma 2 2 8" xfId="168" xr:uid="{00000000-0005-0000-0000-000076000000}"/>
    <cellStyle name="Comma 2 2 9" xfId="169" xr:uid="{00000000-0005-0000-0000-000077000000}"/>
    <cellStyle name="Comma 2 20" xfId="170" xr:uid="{00000000-0005-0000-0000-000078000000}"/>
    <cellStyle name="Comma 2 21" xfId="171" xr:uid="{00000000-0005-0000-0000-000079000000}"/>
    <cellStyle name="Comma 2 22" xfId="172" xr:uid="{00000000-0005-0000-0000-00007A000000}"/>
    <cellStyle name="Comma 2 23" xfId="173" xr:uid="{00000000-0005-0000-0000-00007B000000}"/>
    <cellStyle name="Comma 2 3" xfId="80" xr:uid="{00000000-0005-0000-0000-00007C000000}"/>
    <cellStyle name="Comma 2 3 2" xfId="174" xr:uid="{00000000-0005-0000-0000-00007D000000}"/>
    <cellStyle name="Comma 2 3 3" xfId="175" xr:uid="{00000000-0005-0000-0000-00007E000000}"/>
    <cellStyle name="Comma 2 4" xfId="81" xr:uid="{00000000-0005-0000-0000-00007F000000}"/>
    <cellStyle name="Comma 2 4 2" xfId="176" xr:uid="{00000000-0005-0000-0000-000080000000}"/>
    <cellStyle name="Comma 2 5" xfId="82" xr:uid="{00000000-0005-0000-0000-000081000000}"/>
    <cellStyle name="Comma 2 5 2" xfId="177" xr:uid="{00000000-0005-0000-0000-000082000000}"/>
    <cellStyle name="Comma 2 6" xfId="83" xr:uid="{00000000-0005-0000-0000-000083000000}"/>
    <cellStyle name="Comma 2 6 2" xfId="178" xr:uid="{00000000-0005-0000-0000-000084000000}"/>
    <cellStyle name="Comma 2 7" xfId="84" xr:uid="{00000000-0005-0000-0000-000085000000}"/>
    <cellStyle name="Comma 2 7 2" xfId="179" xr:uid="{00000000-0005-0000-0000-000086000000}"/>
    <cellStyle name="Comma 2 8" xfId="85" xr:uid="{00000000-0005-0000-0000-000087000000}"/>
    <cellStyle name="Comma 2 8 2" xfId="180" xr:uid="{00000000-0005-0000-0000-000088000000}"/>
    <cellStyle name="Comma 2 9" xfId="181" xr:uid="{00000000-0005-0000-0000-000089000000}"/>
    <cellStyle name="Comma 20" xfId="182" xr:uid="{00000000-0005-0000-0000-00008A000000}"/>
    <cellStyle name="Comma 20 2" xfId="331" xr:uid="{A61C5EE6-032F-469D-9D3B-E42014315AFF}"/>
    <cellStyle name="Comma 21" xfId="183" xr:uid="{00000000-0005-0000-0000-00008B000000}"/>
    <cellStyle name="Comma 22" xfId="184" xr:uid="{00000000-0005-0000-0000-00008C000000}"/>
    <cellStyle name="Comma 23" xfId="185" xr:uid="{00000000-0005-0000-0000-00008D000000}"/>
    <cellStyle name="Comma 24" xfId="186" xr:uid="{00000000-0005-0000-0000-00008E000000}"/>
    <cellStyle name="Comma 25" xfId="187" xr:uid="{00000000-0005-0000-0000-00008F000000}"/>
    <cellStyle name="Comma 26" xfId="188" xr:uid="{00000000-0005-0000-0000-000090000000}"/>
    <cellStyle name="Comma 27" xfId="189" xr:uid="{00000000-0005-0000-0000-000091000000}"/>
    <cellStyle name="Comma 28" xfId="190" xr:uid="{00000000-0005-0000-0000-000092000000}"/>
    <cellStyle name="Comma 29" xfId="191" xr:uid="{00000000-0005-0000-0000-000093000000}"/>
    <cellStyle name="Comma 3" xfId="86" xr:uid="{00000000-0005-0000-0000-000094000000}"/>
    <cellStyle name="Comma 3 2" xfId="3" xr:uid="{00000000-0005-0000-0000-000095000000}"/>
    <cellStyle name="Comma 3 2 10" xfId="5" xr:uid="{00000000-0005-0000-0000-000096000000}"/>
    <cellStyle name="Comma 3 2 11" xfId="192" xr:uid="{00000000-0005-0000-0000-000097000000}"/>
    <cellStyle name="Comma 3 2 12" xfId="193" xr:uid="{00000000-0005-0000-0000-000098000000}"/>
    <cellStyle name="Comma 3 2 13" xfId="194" xr:uid="{00000000-0005-0000-0000-000099000000}"/>
    <cellStyle name="Comma 3 2 2" xfId="195" xr:uid="{00000000-0005-0000-0000-00009A000000}"/>
    <cellStyle name="Comma 3 2 3" xfId="196" xr:uid="{00000000-0005-0000-0000-00009B000000}"/>
    <cellStyle name="Comma 3 2 4" xfId="197" xr:uid="{00000000-0005-0000-0000-00009C000000}"/>
    <cellStyle name="Comma 3 2 5" xfId="198" xr:uid="{00000000-0005-0000-0000-00009D000000}"/>
    <cellStyle name="Comma 3 2 6" xfId="199" xr:uid="{00000000-0005-0000-0000-00009E000000}"/>
    <cellStyle name="Comma 3 2 7" xfId="200" xr:uid="{00000000-0005-0000-0000-00009F000000}"/>
    <cellStyle name="Comma 3 2 8" xfId="201" xr:uid="{00000000-0005-0000-0000-0000A0000000}"/>
    <cellStyle name="Comma 3 2 9" xfId="202" xr:uid="{00000000-0005-0000-0000-0000A1000000}"/>
    <cellStyle name="Comma 3 3" xfId="87" xr:uid="{00000000-0005-0000-0000-0000A2000000}"/>
    <cellStyle name="Comma 3 4" xfId="88" xr:uid="{00000000-0005-0000-0000-0000A3000000}"/>
    <cellStyle name="Comma 3 5" xfId="89" xr:uid="{00000000-0005-0000-0000-0000A4000000}"/>
    <cellStyle name="Comma 3 6" xfId="203" xr:uid="{00000000-0005-0000-0000-0000A5000000}"/>
    <cellStyle name="Comma 30" xfId="204" xr:uid="{00000000-0005-0000-0000-0000A6000000}"/>
    <cellStyle name="Comma 31" xfId="205" xr:uid="{00000000-0005-0000-0000-0000A7000000}"/>
    <cellStyle name="Comma 32" xfId="206" xr:uid="{00000000-0005-0000-0000-0000A8000000}"/>
    <cellStyle name="Comma 33" xfId="207" xr:uid="{00000000-0005-0000-0000-0000A9000000}"/>
    <cellStyle name="Comma 34" xfId="208" xr:uid="{00000000-0005-0000-0000-0000AA000000}"/>
    <cellStyle name="Comma 35" xfId="209" xr:uid="{00000000-0005-0000-0000-0000AB000000}"/>
    <cellStyle name="Comma 36" xfId="210" xr:uid="{00000000-0005-0000-0000-0000AC000000}"/>
    <cellStyle name="Comma 37" xfId="211" xr:uid="{00000000-0005-0000-0000-0000AD000000}"/>
    <cellStyle name="Comma 4" xfId="212" xr:uid="{00000000-0005-0000-0000-0000AE000000}"/>
    <cellStyle name="Comma 5" xfId="213" xr:uid="{00000000-0005-0000-0000-0000AF000000}"/>
    <cellStyle name="Comma 6" xfId="214" xr:uid="{00000000-0005-0000-0000-0000B0000000}"/>
    <cellStyle name="Comma 7" xfId="4" xr:uid="{00000000-0005-0000-0000-0000B1000000}"/>
    <cellStyle name="Comma 7 10" xfId="215" xr:uid="{00000000-0005-0000-0000-0000B2000000}"/>
    <cellStyle name="Comma 7 11" xfId="216" xr:uid="{00000000-0005-0000-0000-0000B3000000}"/>
    <cellStyle name="Comma 7 12" xfId="217" xr:uid="{00000000-0005-0000-0000-0000B4000000}"/>
    <cellStyle name="Comma 7 13" xfId="218" xr:uid="{00000000-0005-0000-0000-0000B5000000}"/>
    <cellStyle name="Comma 7 14" xfId="219" xr:uid="{00000000-0005-0000-0000-0000B6000000}"/>
    <cellStyle name="Comma 7 2" xfId="90" xr:uid="{00000000-0005-0000-0000-0000B7000000}"/>
    <cellStyle name="Comma 7 3" xfId="91" xr:uid="{00000000-0005-0000-0000-0000B8000000}"/>
    <cellStyle name="Comma 7 3 2" xfId="220" xr:uid="{00000000-0005-0000-0000-0000B9000000}"/>
    <cellStyle name="Comma 7 4" xfId="221" xr:uid="{00000000-0005-0000-0000-0000BA000000}"/>
    <cellStyle name="Comma 7 5" xfId="222" xr:uid="{00000000-0005-0000-0000-0000BB000000}"/>
    <cellStyle name="Comma 7 6" xfId="223" xr:uid="{00000000-0005-0000-0000-0000BC000000}"/>
    <cellStyle name="Comma 7 7" xfId="224" xr:uid="{00000000-0005-0000-0000-0000BD000000}"/>
    <cellStyle name="Comma 7 8" xfId="225" xr:uid="{00000000-0005-0000-0000-0000BE000000}"/>
    <cellStyle name="Comma 7 9" xfId="226" xr:uid="{00000000-0005-0000-0000-0000BF000000}"/>
    <cellStyle name="Comma 8" xfId="227" xr:uid="{00000000-0005-0000-0000-0000C0000000}"/>
    <cellStyle name="Comma 9" xfId="228" xr:uid="{00000000-0005-0000-0000-0000C1000000}"/>
    <cellStyle name="Comma0" xfId="92" xr:uid="{00000000-0005-0000-0000-0000C2000000}"/>
    <cellStyle name="Currency0" xfId="93" xr:uid="{00000000-0005-0000-0000-0000C3000000}"/>
    <cellStyle name="Date" xfId="94" xr:uid="{00000000-0005-0000-0000-0000C4000000}"/>
    <cellStyle name="Explanatory Text 2" xfId="95" xr:uid="{00000000-0005-0000-0000-0000C5000000}"/>
    <cellStyle name="Fixed" xfId="96" xr:uid="{00000000-0005-0000-0000-0000C6000000}"/>
    <cellStyle name="Good" xfId="330" builtinId="26"/>
    <cellStyle name="Good 2" xfId="97" xr:uid="{00000000-0005-0000-0000-0000C7000000}"/>
    <cellStyle name="Heading 1 2" xfId="229" xr:uid="{00000000-0005-0000-0000-0000C8000000}"/>
    <cellStyle name="Heading 2 2" xfId="230" xr:uid="{00000000-0005-0000-0000-0000C9000000}"/>
    <cellStyle name="Heading 3 2" xfId="98" xr:uid="{00000000-0005-0000-0000-0000CA000000}"/>
    <cellStyle name="Heading 4 2" xfId="99" xr:uid="{00000000-0005-0000-0000-0000CB000000}"/>
    <cellStyle name="Input 2" xfId="100" xr:uid="{00000000-0005-0000-0000-0000CC000000}"/>
    <cellStyle name="Linked Cell 2" xfId="101" xr:uid="{00000000-0005-0000-0000-0000CD000000}"/>
    <cellStyle name="Neutral 2" xfId="102" xr:uid="{00000000-0005-0000-0000-0000CE000000}"/>
    <cellStyle name="Normal" xfId="0" builtinId="0"/>
    <cellStyle name="Normal - Style1" xfId="103" xr:uid="{00000000-0005-0000-0000-0000D0000000}"/>
    <cellStyle name="Normal 10" xfId="231" xr:uid="{00000000-0005-0000-0000-0000D1000000}"/>
    <cellStyle name="Normal 10 2" xfId="232" xr:uid="{00000000-0005-0000-0000-0000D2000000}"/>
    <cellStyle name="Normal 10 3" xfId="233" xr:uid="{00000000-0005-0000-0000-0000D3000000}"/>
    <cellStyle name="Normal 10 4" xfId="234" xr:uid="{00000000-0005-0000-0000-0000D4000000}"/>
    <cellStyle name="Normal 11" xfId="235" xr:uid="{00000000-0005-0000-0000-0000D5000000}"/>
    <cellStyle name="Normal 11 2" xfId="236" xr:uid="{00000000-0005-0000-0000-0000D6000000}"/>
    <cellStyle name="Normal 11 3" xfId="237" xr:uid="{00000000-0005-0000-0000-0000D7000000}"/>
    <cellStyle name="Normal 12" xfId="238" xr:uid="{00000000-0005-0000-0000-0000D8000000}"/>
    <cellStyle name="Normal 12 2" xfId="239" xr:uid="{00000000-0005-0000-0000-0000D9000000}"/>
    <cellStyle name="Normal 13" xfId="240" xr:uid="{00000000-0005-0000-0000-0000DA000000}"/>
    <cellStyle name="Normal 13 2" xfId="241" xr:uid="{00000000-0005-0000-0000-0000DB000000}"/>
    <cellStyle name="Normal 14" xfId="242" xr:uid="{00000000-0005-0000-0000-0000DC000000}"/>
    <cellStyle name="Normal 14 2" xfId="243" xr:uid="{00000000-0005-0000-0000-0000DD000000}"/>
    <cellStyle name="Normal 14 3" xfId="244" xr:uid="{00000000-0005-0000-0000-0000DE000000}"/>
    <cellStyle name="Normal 15" xfId="245" xr:uid="{00000000-0005-0000-0000-0000DF000000}"/>
    <cellStyle name="Normal 15 2" xfId="246" xr:uid="{00000000-0005-0000-0000-0000E0000000}"/>
    <cellStyle name="Normal 16" xfId="247" xr:uid="{00000000-0005-0000-0000-0000E1000000}"/>
    <cellStyle name="Normal 16 2" xfId="248" xr:uid="{00000000-0005-0000-0000-0000E2000000}"/>
    <cellStyle name="Normal 17" xfId="249" xr:uid="{00000000-0005-0000-0000-0000E3000000}"/>
    <cellStyle name="Normal 18" xfId="250" xr:uid="{00000000-0005-0000-0000-0000E4000000}"/>
    <cellStyle name="Normal 18 2" xfId="251" xr:uid="{00000000-0005-0000-0000-0000E5000000}"/>
    <cellStyle name="Normal 19" xfId="252" xr:uid="{00000000-0005-0000-0000-0000E6000000}"/>
    <cellStyle name="Normal 2" xfId="104" xr:uid="{00000000-0005-0000-0000-0000E7000000}"/>
    <cellStyle name="Normal 2 10" xfId="105" xr:uid="{00000000-0005-0000-0000-0000E8000000}"/>
    <cellStyle name="Normal 2 11" xfId="106" xr:uid="{00000000-0005-0000-0000-0000E9000000}"/>
    <cellStyle name="Normal 2 12" xfId="107" xr:uid="{00000000-0005-0000-0000-0000EA000000}"/>
    <cellStyle name="Normal 2 13" xfId="253" xr:uid="{00000000-0005-0000-0000-0000EB000000}"/>
    <cellStyle name="Normal 2 14" xfId="254" xr:uid="{00000000-0005-0000-0000-0000EC000000}"/>
    <cellStyle name="Normal 2 15" xfId="255" xr:uid="{00000000-0005-0000-0000-0000ED000000}"/>
    <cellStyle name="Normal 2 16" xfId="256" xr:uid="{00000000-0005-0000-0000-0000EE000000}"/>
    <cellStyle name="Normal 2 17" xfId="257" xr:uid="{00000000-0005-0000-0000-0000EF000000}"/>
    <cellStyle name="Normal 2 18" xfId="258" xr:uid="{00000000-0005-0000-0000-0000F0000000}"/>
    <cellStyle name="Normal 2 19" xfId="259" xr:uid="{00000000-0005-0000-0000-0000F1000000}"/>
    <cellStyle name="Normal 2 2" xfId="108" xr:uid="{00000000-0005-0000-0000-0000F2000000}"/>
    <cellStyle name="Normal 2 20" xfId="260" xr:uid="{00000000-0005-0000-0000-0000F3000000}"/>
    <cellStyle name="Normal 2 21" xfId="261" xr:uid="{00000000-0005-0000-0000-0000F4000000}"/>
    <cellStyle name="Normal 2 22" xfId="262" xr:uid="{00000000-0005-0000-0000-0000F5000000}"/>
    <cellStyle name="Normal 2 23" xfId="263" xr:uid="{00000000-0005-0000-0000-0000F6000000}"/>
    <cellStyle name="Normal 2 3" xfId="109" xr:uid="{00000000-0005-0000-0000-0000F7000000}"/>
    <cellStyle name="Normal 2 4" xfId="110" xr:uid="{00000000-0005-0000-0000-0000F8000000}"/>
    <cellStyle name="Normal 2 5" xfId="111" xr:uid="{00000000-0005-0000-0000-0000F9000000}"/>
    <cellStyle name="Normal 2 6" xfId="112" xr:uid="{00000000-0005-0000-0000-0000FA000000}"/>
    <cellStyle name="Normal 2 6 2" xfId="264" xr:uid="{00000000-0005-0000-0000-0000FB000000}"/>
    <cellStyle name="Normal 2 7" xfId="113" xr:uid="{00000000-0005-0000-0000-0000FC000000}"/>
    <cellStyle name="Normal 2 7 2" xfId="265" xr:uid="{00000000-0005-0000-0000-0000FD000000}"/>
    <cellStyle name="Normal 2 8" xfId="114" xr:uid="{00000000-0005-0000-0000-0000FE000000}"/>
    <cellStyle name="Normal 2 8 2" xfId="266" xr:uid="{00000000-0005-0000-0000-0000FF000000}"/>
    <cellStyle name="Normal 2 9" xfId="115" xr:uid="{00000000-0005-0000-0000-000000010000}"/>
    <cellStyle name="Normal 2 9 2" xfId="267" xr:uid="{00000000-0005-0000-0000-000001010000}"/>
    <cellStyle name="Normal 2_Copy of Ziya - Cylinder Amortization 31-JAN-2011" xfId="268" xr:uid="{00000000-0005-0000-0000-000002010000}"/>
    <cellStyle name="Normal 20" xfId="269" xr:uid="{00000000-0005-0000-0000-000003010000}"/>
    <cellStyle name="Normal 20 2" xfId="270" xr:uid="{00000000-0005-0000-0000-000004010000}"/>
    <cellStyle name="Normal 21" xfId="271" xr:uid="{00000000-0005-0000-0000-000005010000}"/>
    <cellStyle name="Normal 21 2" xfId="272" xr:uid="{00000000-0005-0000-0000-000006010000}"/>
    <cellStyle name="Normal 22" xfId="273" xr:uid="{00000000-0005-0000-0000-000007010000}"/>
    <cellStyle name="Normal 22 2" xfId="274" xr:uid="{00000000-0005-0000-0000-000008010000}"/>
    <cellStyle name="Normal 23" xfId="275" xr:uid="{00000000-0005-0000-0000-000009010000}"/>
    <cellStyle name="Normal 24" xfId="276" xr:uid="{00000000-0005-0000-0000-00000A010000}"/>
    <cellStyle name="Normal 25" xfId="277" xr:uid="{00000000-0005-0000-0000-00000B010000}"/>
    <cellStyle name="Normal 26" xfId="278" xr:uid="{00000000-0005-0000-0000-00000C010000}"/>
    <cellStyle name="Normal 27" xfId="279" xr:uid="{00000000-0005-0000-0000-00000D010000}"/>
    <cellStyle name="Normal 28" xfId="280" xr:uid="{00000000-0005-0000-0000-00000E010000}"/>
    <cellStyle name="Normal 29" xfId="281" xr:uid="{00000000-0005-0000-0000-00000F010000}"/>
    <cellStyle name="Normal 3" xfId="116" xr:uid="{00000000-0005-0000-0000-000010010000}"/>
    <cellStyle name="Normal 3 2" xfId="283" xr:uid="{00000000-0005-0000-0000-000011010000}"/>
    <cellStyle name="Normal 3 3" xfId="282" xr:uid="{00000000-0005-0000-0000-000012010000}"/>
    <cellStyle name="Normal 30" xfId="284" xr:uid="{00000000-0005-0000-0000-000013010000}"/>
    <cellStyle name="Normal 31" xfId="285" xr:uid="{00000000-0005-0000-0000-000014010000}"/>
    <cellStyle name="Normal 32" xfId="286" xr:uid="{00000000-0005-0000-0000-000015010000}"/>
    <cellStyle name="Normal 4" xfId="117" xr:uid="{00000000-0005-0000-0000-000016010000}"/>
    <cellStyle name="Normal 4 2" xfId="287" xr:uid="{00000000-0005-0000-0000-000017010000}"/>
    <cellStyle name="Normal 4 3" xfId="288" xr:uid="{00000000-0005-0000-0000-000018010000}"/>
    <cellStyle name="Normal 5" xfId="118" xr:uid="{00000000-0005-0000-0000-000019010000}"/>
    <cellStyle name="Normal 5 2" xfId="289" xr:uid="{00000000-0005-0000-0000-00001A010000}"/>
    <cellStyle name="Normal 5 3" xfId="290" xr:uid="{00000000-0005-0000-0000-00001B010000}"/>
    <cellStyle name="Normal 6" xfId="119" xr:uid="{00000000-0005-0000-0000-00001C010000}"/>
    <cellStyle name="Normal 6 2" xfId="292" xr:uid="{00000000-0005-0000-0000-00001D010000}"/>
    <cellStyle name="Normal 6 3" xfId="291" xr:uid="{00000000-0005-0000-0000-00001E010000}"/>
    <cellStyle name="Normal 7" xfId="120" xr:uid="{00000000-0005-0000-0000-00001F010000}"/>
    <cellStyle name="Normal 7 2" xfId="294" xr:uid="{00000000-0005-0000-0000-000020010000}"/>
    <cellStyle name="Normal 7 3" xfId="293" xr:uid="{00000000-0005-0000-0000-000021010000}"/>
    <cellStyle name="Normal 8" xfId="295" xr:uid="{00000000-0005-0000-0000-000022010000}"/>
    <cellStyle name="Normal 8 2" xfId="296" xr:uid="{00000000-0005-0000-0000-000023010000}"/>
    <cellStyle name="Normal 8 3" xfId="297" xr:uid="{00000000-0005-0000-0000-000024010000}"/>
    <cellStyle name="Normal 9" xfId="298" xr:uid="{00000000-0005-0000-0000-000025010000}"/>
    <cellStyle name="Normal 9 2" xfId="299" xr:uid="{00000000-0005-0000-0000-000026010000}"/>
    <cellStyle name="Normal 9 3" xfId="300" xr:uid="{00000000-0005-0000-0000-000027010000}"/>
    <cellStyle name="Note 2" xfId="121" xr:uid="{00000000-0005-0000-0000-000028010000}"/>
    <cellStyle name="Output 2" xfId="122" xr:uid="{00000000-0005-0000-0000-000029010000}"/>
    <cellStyle name="Percent" xfId="2" builtinId="5"/>
    <cellStyle name="Percent 2" xfId="301" xr:uid="{00000000-0005-0000-0000-00002B010000}"/>
    <cellStyle name="Percent 2 10" xfId="302" xr:uid="{00000000-0005-0000-0000-00002C010000}"/>
    <cellStyle name="Percent 2 11" xfId="303" xr:uid="{00000000-0005-0000-0000-00002D010000}"/>
    <cellStyle name="Percent 2 12" xfId="304" xr:uid="{00000000-0005-0000-0000-00002E010000}"/>
    <cellStyle name="Percent 2 13" xfId="305" xr:uid="{00000000-0005-0000-0000-00002F010000}"/>
    <cellStyle name="Percent 2 14" xfId="306" xr:uid="{00000000-0005-0000-0000-000030010000}"/>
    <cellStyle name="Percent 2 15" xfId="307" xr:uid="{00000000-0005-0000-0000-000031010000}"/>
    <cellStyle name="Percent 2 16" xfId="308" xr:uid="{00000000-0005-0000-0000-000032010000}"/>
    <cellStyle name="Percent 2 17" xfId="309" xr:uid="{00000000-0005-0000-0000-000033010000}"/>
    <cellStyle name="Percent 2 18" xfId="310" xr:uid="{00000000-0005-0000-0000-000034010000}"/>
    <cellStyle name="Percent 2 19" xfId="311" xr:uid="{00000000-0005-0000-0000-000035010000}"/>
    <cellStyle name="Percent 2 2" xfId="312" xr:uid="{00000000-0005-0000-0000-000036010000}"/>
    <cellStyle name="Percent 2 20" xfId="313" xr:uid="{00000000-0005-0000-0000-000037010000}"/>
    <cellStyle name="Percent 2 21" xfId="314" xr:uid="{00000000-0005-0000-0000-000038010000}"/>
    <cellStyle name="Percent 2 22" xfId="315" xr:uid="{00000000-0005-0000-0000-000039010000}"/>
    <cellStyle name="Percent 2 3" xfId="316" xr:uid="{00000000-0005-0000-0000-00003A010000}"/>
    <cellStyle name="Percent 2 4" xfId="317" xr:uid="{00000000-0005-0000-0000-00003B010000}"/>
    <cellStyle name="Percent 2 5" xfId="318" xr:uid="{00000000-0005-0000-0000-00003C010000}"/>
    <cellStyle name="Percent 2 6" xfId="319" xr:uid="{00000000-0005-0000-0000-00003D010000}"/>
    <cellStyle name="Percent 2 7" xfId="320" xr:uid="{00000000-0005-0000-0000-00003E010000}"/>
    <cellStyle name="Percent 2 8" xfId="321" xr:uid="{00000000-0005-0000-0000-00003F010000}"/>
    <cellStyle name="Percent 2 9" xfId="322" xr:uid="{00000000-0005-0000-0000-000040010000}"/>
    <cellStyle name="Percent 3" xfId="323" xr:uid="{00000000-0005-0000-0000-000041010000}"/>
    <cellStyle name="Percent 4" xfId="324" xr:uid="{00000000-0005-0000-0000-000042010000}"/>
    <cellStyle name="Percent 5" xfId="325" xr:uid="{00000000-0005-0000-0000-000043010000}"/>
    <cellStyle name="Percent 6" xfId="326" xr:uid="{00000000-0005-0000-0000-000044010000}"/>
    <cellStyle name="Percent 7" xfId="327" xr:uid="{00000000-0005-0000-0000-000045010000}"/>
    <cellStyle name="Percent 8" xfId="328" xr:uid="{00000000-0005-0000-0000-000046010000}"/>
    <cellStyle name="Title 2" xfId="123" xr:uid="{00000000-0005-0000-0000-000047010000}"/>
    <cellStyle name="Total 2" xfId="329" xr:uid="{00000000-0005-0000-0000-000048010000}"/>
    <cellStyle name="Warning Text 2" xfId="124" xr:uid="{00000000-0005-0000-0000-000049010000}"/>
  </cellStyles>
  <dxfs count="207">
    <dxf>
      <numFmt numFmtId="167" formatCode="_(* #,##0_);_(* \(#,##0\);_(* &quot;-&quot;??_);_(@_)"/>
    </dxf>
    <dxf>
      <numFmt numFmtId="167" formatCode="_(* #,##0_);_(* \(#,##0\);_(* &quot;-&quot;??_);_(@_)"/>
    </dxf>
    <dxf>
      <alignment wrapText="1"/>
    </dxf>
    <dxf>
      <alignment wrapText="1"/>
    </dxf>
    <dxf>
      <alignment wrapText="1"/>
    </dxf>
    <dxf>
      <alignment horizontal="left"/>
    </dxf>
    <dxf>
      <alignment horizontal="left"/>
    </dxf>
    <dxf>
      <numFmt numFmtId="167" formatCode="_(* #,##0_);_(* \(#,##0\);_(* &quot;-&quot;??_);_(@_)"/>
    </dxf>
    <dxf>
      <numFmt numFmtId="167" formatCode="_(* #,##0_);_(* \(#,##0\);_(* &quot;-&quot;??_);_(@_)"/>
    </dxf>
    <dxf>
      <alignment wrapText="1"/>
    </dxf>
    <dxf>
      <alignment wrapText="1"/>
    </dxf>
    <dxf>
      <alignment wrapText="1"/>
    </dxf>
    <dxf>
      <alignment horizontal="left"/>
    </dxf>
    <dxf>
      <alignment horizontal="left"/>
    </dxf>
    <dxf>
      <numFmt numFmtId="167" formatCode="_(* #,##0_);_(* \(#,##0\);_(* &quot;-&quot;??_);_(@_)"/>
    </dxf>
    <dxf>
      <numFmt numFmtId="167" formatCode="_(* #,##0_);_(* \(#,##0\);_(* &quot;-&quot;??_);_(@_)"/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 tint="-0.24994659260841701"/>
      </font>
      <fill>
        <patternFill>
          <bgColor theme="4" tint="0.59996337778862885"/>
        </patternFill>
      </fill>
    </dxf>
    <dxf>
      <font>
        <color theme="3" tint="-0.24994659260841701"/>
      </font>
      <fill>
        <patternFill>
          <bgColor theme="4" tint="0.59996337778862885"/>
        </patternFill>
      </fill>
    </dxf>
    <dxf>
      <font>
        <color theme="3" tint="-0.24994659260841701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FF0000"/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9592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/>
    </dxf>
    <dxf>
      <alignment horizontal="left"/>
    </dxf>
    <dxf>
      <alignment wrapText="1"/>
    </dxf>
    <dxf>
      <alignment wrapText="1"/>
    </dxf>
    <dxf>
      <alignment wrapText="1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</dxfs>
  <tableStyles count="0" defaultTableStyle="TableStyleMedium2" defaultPivotStyle="PivotStyleLight16"/>
  <colors>
    <mruColors>
      <color rgb="FFFF9933"/>
      <color rgb="FFF95927"/>
      <color rgb="FFEC4714"/>
      <color rgb="FFFF7C80"/>
      <color rgb="FFCCCCFF"/>
      <color rgb="FFFFFF99"/>
      <color rgb="FFFFFF66"/>
      <color rgb="FFFFCCFF"/>
      <color rgb="FFFF66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jo" refreshedDate="45054.591749189814" createdVersion="6" refreshedVersion="6" minRefreshableVersion="3" recordCount="405" xr:uid="{41A37A2C-C007-4F26-8AEF-F1085016A903}">
  <cacheSource type="worksheet">
    <worksheetSource ref="C9:F9" sheet="Jan-2026"/>
  </cacheSource>
  <cacheFields count="4">
    <cacheField name="WO" numFmtId="0">
      <sharedItems containsMixedTypes="1" containsNumber="1" containsInteger="1" minValue="49254" maxValue="70473" count="397">
        <n v="70211"/>
        <n v="56715"/>
        <n v="56716"/>
        <n v="49255"/>
        <n v="49254"/>
        <n v="51983"/>
        <n v="55986"/>
        <s v="70100/70104"/>
        <n v="57268"/>
        <n v="55985"/>
        <s v="70412/70433"/>
        <s v="70101/70102"/>
        <n v="59710"/>
        <n v="70465"/>
        <n v="70467"/>
        <n v="70462"/>
        <n v="70463"/>
        <n v="70444"/>
        <n v="70445"/>
        <n v="70344"/>
        <s v="57137/57172"/>
        <n v="57171"/>
        <n v="70113"/>
        <s v="56324B"/>
        <s v="70345/70347"/>
        <n v="54596"/>
        <n v="70394"/>
        <n v="70393"/>
        <n v="70392"/>
        <n v="70425"/>
        <n v="56328"/>
        <n v="56327"/>
        <n v="57312"/>
        <s v="70375/70379/70377/70373"/>
        <n v="57158"/>
        <n v="57750"/>
        <n v="57740"/>
        <n v="56288"/>
        <n v="56287"/>
        <n v="57168"/>
        <n v="70391"/>
        <n v="57746"/>
        <n v="57742"/>
        <n v="57744"/>
        <n v="57160"/>
        <n v="57151"/>
        <n v="57738"/>
        <n v="56286"/>
        <s v="56289/56258/56285"/>
        <n v="56326"/>
        <n v="56156"/>
        <n v="70284"/>
        <n v="56992"/>
        <n v="59629"/>
        <n v="56185"/>
        <n v="56184"/>
        <n v="56155"/>
        <n v="70350"/>
        <s v="56991/56994"/>
        <n v="70343"/>
        <n v="70299"/>
        <n v="70302"/>
        <n v="70413"/>
        <n v="56280"/>
        <n v="59806"/>
        <s v="70096/70385/59805"/>
        <n v="70269"/>
        <n v="70270"/>
        <s v="59802/59801"/>
        <n v="56595"/>
        <n v="57091"/>
        <n v="55899"/>
        <n v="57020"/>
        <n v="55896"/>
        <n v="57911"/>
        <n v="55897"/>
        <n v="55898"/>
        <n v="57018"/>
        <s v="70095/70441"/>
        <n v="59803"/>
        <n v="59851"/>
        <n v="59852"/>
        <n v="59853"/>
        <n v="57912"/>
        <s v="70384/59804"/>
        <n v="57064"/>
        <n v="57065"/>
        <n v="70352"/>
        <n v="56332"/>
        <s v="70327/70466/70461/70464/70324"/>
        <n v="70383"/>
        <n v="56337"/>
        <n v="56338"/>
        <n v="57000"/>
        <n v="56333"/>
        <n v="56101"/>
        <n v="70353"/>
        <n v="57311"/>
        <n v="70406"/>
        <n v="70303"/>
        <n v="70404"/>
        <n v="70224"/>
        <n v="70262"/>
        <n v="70319"/>
        <n v="56336"/>
        <n v="57898"/>
        <n v="57899"/>
        <s v="56736/56737"/>
        <n v="70414"/>
        <n v="70244"/>
        <s v="70398/70397"/>
        <n v="59762"/>
        <n v="70426"/>
        <n v="70431"/>
        <n v="70316"/>
        <n v="57230"/>
        <n v="57226"/>
        <n v="57227"/>
        <n v="70448"/>
        <n v="70118"/>
        <n v="70274"/>
        <n v="70234"/>
        <n v="70121"/>
        <n v="70232"/>
        <n v="70226"/>
        <n v="70346"/>
        <n v="57017"/>
        <n v="57016"/>
        <n v="59757"/>
        <n v="70325"/>
        <n v="59729"/>
        <n v="56998"/>
        <n v="59723"/>
        <n v="59758"/>
        <n v="56276"/>
        <n v="59664"/>
        <n v="70328"/>
        <n v="59666"/>
        <n v="70223"/>
        <n v="70295"/>
        <n v="70227"/>
        <n v="58030"/>
        <n v="58038"/>
        <n v="70370"/>
        <n v="70378"/>
        <n v="58033"/>
        <n v="58037"/>
        <n v="70225"/>
        <n v="70221"/>
        <n v="59968"/>
        <n v="70277"/>
        <n v="70332"/>
        <n v="70419"/>
        <n v="70418"/>
        <s v="70417/70420"/>
        <n v="70405"/>
        <n v="59735"/>
        <n v="59734"/>
        <n v="57886"/>
        <n v="57892"/>
        <n v="70473"/>
        <n v="56341"/>
        <n v="70333"/>
        <n v="56346"/>
        <n v="56344"/>
        <n v="56340"/>
        <n v="56343"/>
        <s v="56120/57913"/>
        <n v="56130"/>
        <n v="56132"/>
        <n v="56133"/>
        <n v="57322"/>
        <s v="57914/56121"/>
        <s v="57919/57918"/>
        <n v="57920"/>
        <n v="57329"/>
        <n v="70443"/>
        <s v="57916A"/>
        <n v="58024"/>
        <s v="58025/58026/58027"/>
        <n v="58028"/>
        <n v="57917"/>
        <n v="70447"/>
        <n v="55940"/>
        <n v="70209"/>
        <n v="56319"/>
        <n v="56482"/>
        <n v="70281"/>
        <n v="51268"/>
        <s v="70222/55867"/>
        <s v="56484/55993"/>
        <s v="58011/56481"/>
        <n v="56284"/>
        <n v="56153"/>
        <n v="70110"/>
        <n v="56149"/>
        <n v="56147"/>
        <n v="70294"/>
        <n v="56183"/>
        <n v="58010"/>
        <n v="56148"/>
        <s v="56234/56146"/>
        <n v="70288"/>
        <s v="56233/56145"/>
        <n v="57093"/>
        <n v="55989"/>
        <s v="56220/57306"/>
        <n v="57907"/>
        <n v="57320"/>
        <s v="56925/70237"/>
        <n v="57321"/>
        <s v="57467/58002"/>
        <n v="58016"/>
        <n v="56485"/>
        <n v="57882"/>
        <n v="57883"/>
        <n v="70140"/>
        <n v="70136"/>
        <n v="70338"/>
        <n v="70340"/>
        <n v="70166"/>
        <n v="70257"/>
        <n v="57695"/>
        <n v="56290"/>
        <s v="56974/56308"/>
        <n v="56322"/>
        <n v="56321"/>
        <n v="70235"/>
        <n v="70208"/>
        <n v="56981"/>
        <n v="56986"/>
        <n v="56309"/>
        <s v="70168/70174/70173/70172"/>
        <n v="70266"/>
        <n v="70267"/>
        <n v="70268"/>
        <n v="57008"/>
        <n v="57014"/>
        <s v="57005/57004"/>
        <n v="57006"/>
        <n v="56982"/>
        <n v="57145"/>
        <n v="51580"/>
        <s v="59673/70321"/>
        <n v="57265"/>
        <n v="70349"/>
        <n v="70342"/>
        <n v="70351"/>
        <n v="70276"/>
        <n v="70334"/>
        <n v="70198"/>
        <n v="57164"/>
        <n v="57152"/>
        <n v="70264"/>
        <n v="70339"/>
        <n v="57590"/>
        <n v="57589"/>
        <n v="59687"/>
        <n v="70271"/>
        <n v="56816"/>
        <s v="59688/70372"/>
        <s v="59689/59628"/>
        <n v="70367"/>
        <n v="70097"/>
        <n v="70133"/>
        <n v="70365"/>
        <n v="56313"/>
        <n v="70176"/>
        <s v="70115/70175"/>
        <s v="56603/56604/56602"/>
        <n v="57232"/>
        <n v="70255"/>
        <n v="57310"/>
        <n v="57231"/>
        <n v="57163"/>
        <n v="57735"/>
        <n v="70241"/>
        <n v="70348"/>
        <n v="70359"/>
        <n v="70356"/>
        <n v="70360"/>
        <n v="59658"/>
        <n v="56224"/>
        <n v="56226"/>
        <n v="56227"/>
        <n v="70286"/>
        <n v="70298"/>
        <n v="57264"/>
        <n v="56306"/>
        <s v="51967/51973"/>
        <n v="51981"/>
        <n v="51979"/>
        <n v="56171"/>
        <n v="56170"/>
        <n v="70362"/>
        <s v="70364/70361"/>
        <s v="51977/51975/51975/51969"/>
        <s v="58006/58005"/>
        <n v="58009"/>
        <n v="58008"/>
        <s v="58007/56000"/>
        <n v="55999"/>
        <s v="55998/58004"/>
        <s v="59623/59624/59625/59626"/>
        <n v="57078"/>
        <n v="70158"/>
        <n v="56123"/>
        <n v="56124"/>
        <n v="57079"/>
        <n v="53926"/>
        <s v="57717/57716"/>
        <n v="53925"/>
        <s v="58018/58018"/>
        <s v="56107/70154"/>
        <n v="70259"/>
        <s v="55997/55996"/>
        <n v="58003"/>
        <n v="57001"/>
        <n v="56323"/>
        <n v="70387"/>
        <n v="57207"/>
        <n v="70289"/>
        <n v="70291"/>
        <n v="70292"/>
        <n v="70341"/>
        <n v="70229"/>
        <n v="70206"/>
        <s v="70218/70305/70428/70304"/>
        <n v="70401"/>
        <n v="70403"/>
        <n v="70421"/>
        <n v="59619"/>
        <n v="58017"/>
        <n v="70366"/>
        <s v="59615/70165/70273"/>
        <n v="53809"/>
        <n v="70428"/>
        <n v="70424"/>
        <n v="70279"/>
        <n v="70181"/>
        <n v="70239"/>
        <n v="57236"/>
        <n v="70236"/>
        <n v="70124"/>
        <n v="70167"/>
        <n v="70127"/>
        <n v="70250"/>
        <n v="70249"/>
        <n v="70251"/>
        <n v="70238"/>
        <n v="70151"/>
        <s v="7149/70150"/>
        <s v="70152/70164"/>
        <s v="70265/70156"/>
        <n v="70297"/>
        <n v="57161"/>
        <n v="57165"/>
        <n v="57159"/>
        <n v="57747"/>
        <n v="57745"/>
        <n v="56325"/>
        <n v="57741"/>
        <n v="57739"/>
        <n v="57743"/>
        <n v="70422"/>
        <n v="57753"/>
        <n v="59696"/>
        <n v="59698"/>
        <n v="59697"/>
        <n v="57751"/>
        <n v="57223"/>
        <n v="51968"/>
        <n v="51970"/>
        <n v="51978"/>
        <n v="51976"/>
        <n v="51974"/>
        <n v="51982"/>
        <s v="INTERPACK"/>
        <n v="57229"/>
        <n v="56329"/>
        <s v="56331B"/>
        <n v="56330"/>
        <s v="70432/70216"/>
        <n v="70245"/>
        <n v="70213"/>
        <s v="70430/70219/70309"/>
        <n v="70247"/>
        <n v="56943"/>
        <n v="56941"/>
        <n v="56942"/>
        <n v="56939"/>
        <n v="56940"/>
        <n v="59700"/>
        <n v="59699"/>
        <n v="59854"/>
        <n v="57295"/>
        <s v="56167/56168"/>
      </sharedItems>
    </cacheField>
    <cacheField name="Job Name" numFmtId="43">
      <sharedItems containsNonDate="0" containsString="0" containsBlank="1"/>
    </cacheField>
    <cacheField name="x" numFmtId="43">
      <sharedItems containsString="0" containsBlank="1" containsNumber="1" containsInteger="1" minValue="8" maxValue="11190"/>
    </cacheField>
    <cacheField name="x2" numFmtId="167">
      <sharedItems containsString="0" containsBlank="1" containsNumber="1" containsInteger="1" minValue="500" maxValue="55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jo" refreshedDate="45300.476330671299" createdVersion="6" refreshedVersion="6" minRefreshableVersion="3" recordCount="363" xr:uid="{8567C806-CBBD-4C06-B98C-9D9F5B981E56}">
  <cacheSource type="worksheet">
    <worksheetSource ref="A9:F9" sheet="Jan-2026"/>
  </cacheSource>
  <cacheFields count="6">
    <cacheField name="Date" numFmtId="166">
      <sharedItems containsSemiMixedTypes="0" containsNonDate="0" containsDate="1" containsString="0" minDate="2023-12-01T00:00:00" maxDate="2023-12-31T00:00:00"/>
    </cacheField>
    <cacheField name="Shift" numFmtId="43">
      <sharedItems/>
    </cacheField>
    <cacheField name="WO" numFmtId="0">
      <sharedItems containsMixedTypes="1" containsNumber="1" containsInteger="1" minValue="55813" maxValue="62833" count="348">
        <s v="59540/59541"/>
        <n v="59538"/>
        <n v="59539"/>
        <s v="62820/61166"/>
        <n v="61511"/>
        <n v="62800"/>
        <s v="61558/61559"/>
        <n v="61562"/>
        <n v="61514"/>
        <s v="61424/61423"/>
        <s v="59544/59543/59545/59542/59534/59536/59535"/>
        <s v="59546/59547"/>
        <n v="62794"/>
        <n v="62795"/>
        <n v="62796"/>
        <s v="59538/59539/59537/59540/59541"/>
        <s v="61578/61579"/>
        <n v="58400"/>
        <n v="61580"/>
        <n v="61575"/>
        <s v="62525/62775"/>
        <n v="58146"/>
        <n v="62826"/>
        <n v="62828"/>
        <n v="62015"/>
        <n v="61326"/>
        <n v="61187"/>
        <n v="58144"/>
        <s v="62674/60503"/>
        <n v="61447"/>
        <n v="62537"/>
        <n v="61900"/>
        <n v="61126"/>
        <n v="61134"/>
        <n v="61501"/>
        <n v="62038"/>
        <n v="60493"/>
        <n v="61571"/>
        <n v="61330"/>
        <s v="62669/62668"/>
        <n v="61602"/>
        <n v="61456"/>
        <s v="82834/62581"/>
        <n v="60651"/>
        <s v="62841/62842"/>
        <n v="61267"/>
        <n v="59138"/>
        <s v="60188/60189"/>
        <n v="62764"/>
        <n v="62392"/>
        <n v="61440"/>
        <s v="60480/60479"/>
        <n v="61242"/>
        <n v="61240"/>
        <n v="60457"/>
        <n v="60453"/>
        <n v="60455"/>
        <n v="61169"/>
        <n v="61297"/>
        <n v="61601"/>
        <n v="61296"/>
        <n v="62639"/>
        <n v="62673"/>
        <n v="62644"/>
        <n v="62645"/>
        <n v="62293"/>
        <n v="61110"/>
        <n v="61455"/>
        <n v="61107"/>
        <n v="62383"/>
        <n v="61275"/>
        <n v="61295"/>
        <n v="62641"/>
        <n v="61291"/>
        <n v="61457"/>
        <n v="61277"/>
        <n v="61278"/>
        <n v="61279"/>
        <n v="61348"/>
        <n v="61441"/>
        <n v="62366"/>
        <n v="62393"/>
        <n v="62387"/>
        <n v="62396"/>
        <n v="62391"/>
        <n v="62831"/>
        <n v="62397"/>
        <n v="62388"/>
        <n v="62682"/>
        <n v="62679"/>
        <n v="62680"/>
        <n v="61356"/>
        <n v="59176"/>
        <n v="60655"/>
        <n v="60656"/>
        <n v="61342"/>
        <n v="60657"/>
        <n v="60654"/>
        <n v="60653"/>
        <n v="60652"/>
        <n v="62384"/>
        <n v="60506"/>
        <n v="60507"/>
        <n v="60513"/>
        <n v="61332"/>
        <s v="59048/62280/62279"/>
        <s v="62825/61182"/>
        <n v="62292"/>
        <n v="61325"/>
        <n v="61442"/>
        <n v="62100"/>
        <n v="61109"/>
        <n v="61528"/>
        <n v="62286"/>
        <n v="61524"/>
        <n v="62288"/>
        <n v="62284"/>
        <n v="62275"/>
        <n v="60665"/>
        <n v="62276"/>
        <n v="62277"/>
        <n v="62274"/>
        <n v="61422"/>
        <s v="62677/61359/60518"/>
        <n v="61656"/>
        <n v="61552"/>
        <s v="61315/61316"/>
        <n v="62676"/>
        <n v="62650"/>
        <n v="60659"/>
        <s v="60511/60510"/>
        <n v="60512"/>
        <n v="62333"/>
        <n v="62367"/>
        <n v="62398"/>
        <s v="62329/60703"/>
        <n v="60372"/>
        <n v="62394"/>
        <n v="62295"/>
        <n v="62297"/>
        <n v="60658"/>
        <n v="61298"/>
        <n v="60676"/>
        <n v="60481"/>
        <n v="61510"/>
        <n v="61570"/>
        <s v="61765/61519"/>
        <n v="62287"/>
        <n v="61771"/>
        <n v="61532"/>
        <n v="60483"/>
        <n v="61529"/>
        <s v="59137/59909"/>
        <n v="61534"/>
        <n v="61535"/>
        <n v="61051"/>
        <s v="59546/59547/60493"/>
        <n v="62048"/>
        <s v="61567/61596/61565"/>
        <s v="61520/61507/61508/61521/61513"/>
        <n v="61509"/>
        <n v="61304"/>
        <s v="61568/61569"/>
        <s v="62049/62050"/>
        <n v="61432"/>
        <s v="59548/59543"/>
        <n v="58143"/>
        <n v="61338"/>
        <n v="61314"/>
        <n v="61152"/>
        <n v="61151"/>
        <n v="59177"/>
        <n v="61313"/>
        <n v="61324"/>
        <n v="61323"/>
        <n v="61221"/>
        <n v="61111"/>
        <n v="61112"/>
        <n v="61113"/>
        <n v="61224"/>
        <n v="61116"/>
        <n v="61208"/>
        <n v="62273"/>
        <n v="59046"/>
        <n v="59946"/>
        <n v="62662"/>
        <n v="62324"/>
        <n v="62128"/>
        <n v="61223"/>
        <n v="61452"/>
        <n v="61276"/>
        <n v="61414"/>
        <n v="61417"/>
        <n v="61412"/>
        <n v="61451"/>
        <n v="61415"/>
        <s v="61237/61245"/>
        <n v="61411"/>
        <n v="61238"/>
        <n v="61453"/>
        <s v="59598/59591/59593"/>
        <n v="62675"/>
        <n v="62375"/>
        <n v="61213"/>
        <n v="61212"/>
        <n v="61892"/>
        <n v="62438"/>
        <n v="61215"/>
        <n v="61217"/>
        <n v="61214"/>
        <n v="55813"/>
        <n v="61229"/>
        <n v="61227"/>
        <n v="60452"/>
        <n v="62660"/>
        <n v="61218"/>
        <s v="62643/62640"/>
        <n v="61216"/>
        <n v="61232"/>
        <n v="62638"/>
        <n v="62670"/>
        <n v="61877"/>
        <n v="62633"/>
        <n v="62339"/>
        <n v="62749"/>
        <n v="62270"/>
        <n v="62271"/>
        <n v="59139"/>
        <s v="60456/60454"/>
        <n v="61418"/>
        <n v="62581"/>
        <n v="61416"/>
        <n v="61420"/>
        <n v="61421"/>
        <n v="61413"/>
        <n v="59596"/>
        <n v="62343"/>
        <n v="62330"/>
        <n v="62340"/>
        <n v="62341"/>
        <n v="62268"/>
        <n v="61274"/>
        <n v="61268"/>
        <n v="62380"/>
        <n v="61228"/>
        <n v="62381"/>
        <n v="61290"/>
        <n v="61343"/>
        <n v="61345"/>
        <n v="61344"/>
        <n v="61292"/>
        <n v="60463"/>
        <n v="61293"/>
        <n v="61289"/>
        <n v="59536"/>
        <n v="59537"/>
        <n v="59544"/>
        <n v="59534"/>
        <n v="59535"/>
        <n v="59545"/>
        <n v="59543"/>
        <n v="60475"/>
        <n v="61561"/>
        <n v="60476"/>
        <n v="60610"/>
        <n v="60459"/>
        <n v="61331"/>
        <n v="58798"/>
        <n v="61974"/>
        <n v="61980"/>
        <n v="61981"/>
        <n v="61982"/>
        <s v="61181/61165"/>
        <s v="61180/61179"/>
        <n v="59175"/>
        <n v="61236"/>
        <n v="61231"/>
        <n v="60509"/>
        <n v="61233"/>
        <n v="61551"/>
        <n v="61234"/>
        <n v="61235"/>
        <s v="60504/60505"/>
        <n v="62000"/>
        <n v="61333"/>
        <n v="62791"/>
        <n v="61250"/>
        <n v="61230"/>
        <n v="62655"/>
        <n v="62636"/>
        <n v="60516"/>
        <n v="62635"/>
        <n v="61118"/>
        <n v="61120"/>
        <n v="60514"/>
        <n v="62678"/>
        <s v="59173/59174"/>
        <s v="59179/59180"/>
        <n v="62642"/>
        <n v="62833"/>
        <n v="61408"/>
        <n v="61266"/>
        <n v="62711"/>
        <n v="61241"/>
        <n v="61431"/>
        <n v="61433"/>
        <n v="61434"/>
        <n v="59140"/>
        <n v="61115"/>
        <n v="60554"/>
        <n v="60555"/>
        <n v="60552"/>
        <n v="60560"/>
        <s v="60557/60561"/>
        <n v="60566"/>
        <s v="60564/60551"/>
        <n v="58136"/>
        <n v="60563"/>
        <n v="60565"/>
        <n v="60553"/>
        <n v="58137"/>
        <n v="60558"/>
        <n v="60562"/>
        <n v="60556"/>
        <n v="60559"/>
        <n v="62777"/>
        <s v="61502/61503/61504/61505"/>
        <s v="61336/61337"/>
        <n v="62824"/>
        <n v="62823"/>
        <n v="61253"/>
        <n v="62821"/>
        <n v="59183"/>
        <n v="61439"/>
        <s v="61312/61311/61308"/>
        <n v="59542"/>
        <n v="59147"/>
        <n v="59182"/>
        <n v="62540"/>
        <n v="61405"/>
        <n v="61305"/>
        <n v="62790"/>
        <n v="62666"/>
        <n v="62541"/>
        <n v="61425"/>
        <n v="60461"/>
        <n v="61164"/>
        <s v="61506/61518/61512"/>
      </sharedItems>
    </cacheField>
    <cacheField name="Job Name" numFmtId="43">
      <sharedItems/>
    </cacheField>
    <cacheField name="x" numFmtId="43">
      <sharedItems containsString="0" containsBlank="1" containsNumber="1" containsInteger="1" minValue="0" maxValue="11059"/>
    </cacheField>
    <cacheField name="x2" numFmtId="167">
      <sharedItems containsString="0" containsBlank="1" containsNumber="1" containsInteger="1" minValue="0" maxValue="549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PP" refreshedDate="46150.611241666666" createdVersion="8" refreshedVersion="8" minRefreshableVersion="3" recordCount="394" xr:uid="{02AC7C83-21EF-4719-8DAF-BE2060AF8775}">
  <cacheSource type="worksheet">
    <worksheetSource ref="A9:MM403" sheet="Jan-2026"/>
  </cacheSource>
  <cacheFields count="351">
    <cacheField name="Date" numFmtId="166">
      <sharedItems containsSemiMixedTypes="0" containsNonDate="0" containsDate="1" containsString="0" minDate="2026-01-02T00:00:00" maxDate="2026-02-01T00:00:00"/>
    </cacheField>
    <cacheField name="Shift" numFmtId="43">
      <sharedItems/>
    </cacheField>
    <cacheField name="WO" numFmtId="0">
      <sharedItems count="389">
        <s v="N00878"/>
        <s v="N00706"/>
        <s v="R00011"/>
        <s v="R00010"/>
        <s v="R00008"/>
        <s v="R00009"/>
        <s v="R00012"/>
        <s v="R00013"/>
        <s v="P00435"/>
        <s v="G00376"/>
        <s v="B01041"/>
        <s v="G00397/G00395/G00396"/>
        <s v="B01031/B01032"/>
        <s v="J00950"/>
        <s v="J00951"/>
        <s v="J00952"/>
        <s v="J00953"/>
        <s v="J00954"/>
        <s v="C01392"/>
        <s v="C01403/C01390"/>
        <s v="B01043"/>
        <s v="F00835/F00856/F00834"/>
        <s v="F00851"/>
        <s v="F00857"/>
        <s v="C01449"/>
        <s v="J00869"/>
        <s v="J00870"/>
        <s v="J00872"/>
        <s v="J00874"/>
        <s v="J00871"/>
        <s v="B01025"/>
        <s v="N00907"/>
        <s v="H01307"/>
        <s v="H01362"/>
        <s v="H01306"/>
        <s v="N00877"/>
        <s v="C01434"/>
        <s v="E00996"/>
        <s v="E00997"/>
        <s v="N00703"/>
        <s v="C01421"/>
        <s v="C01430"/>
        <s v="C01431"/>
        <s v="H01292"/>
        <s v="H01282"/>
        <s v="H01203"/>
        <s v="E00976"/>
        <s v="E00990"/>
        <s v="E00978"/>
        <s v="E00985"/>
        <s v="H01278"/>
        <s v="C01414"/>
        <s v="F00836"/>
        <s v="C01416"/>
        <s v="N00830"/>
        <s v="C01417"/>
        <s v="C01418"/>
        <s v="N00828"/>
        <s v="N00829"/>
        <s v="N00827"/>
        <s v="N00812"/>
        <s v="N00831"/>
        <s v="N00810"/>
        <s v="H01325"/>
        <s v="N00811"/>
        <s v="N00813"/>
        <s v="H01206"/>
        <s v="H01323"/>
        <s v="H01335"/>
        <s v="H01273"/>
        <s v="H01208"/>
        <s v="H01312"/>
        <s v="H01327"/>
        <s v="H01330"/>
        <s v="H01322"/>
        <s v="J00827"/>
        <s v="H01221"/>
        <s v="N00700"/>
        <s v="N00871"/>
        <s v="C01443/C01441/C01442"/>
        <s v="C00979/C00978/C00981/C00968/C00972/C00965"/>
        <s v="E00979"/>
        <s v="C01458"/>
        <s v="C01455"/>
        <s v="C01459"/>
        <s v="H01353/H01352"/>
        <s v="H01366"/>
        <s v="C01330"/>
        <s v="N00809"/>
        <s v="P00432"/>
        <s v="N00887"/>
        <s v="F00852"/>
        <s v="F00854"/>
        <s v="F00853"/>
        <s v="F00855"/>
        <s v="C01354"/>
        <s v="F00841"/>
        <s v="F00825"/>
        <s v="B01042"/>
        <s v="C01425"/>
        <s v="C01426"/>
        <s v="C01423"/>
        <s v="C01424"/>
        <s v="C01452"/>
        <s v="C01453"/>
        <s v="E00988"/>
        <s v="C01457"/>
        <s v="H01216"/>
        <s v="G00405/G00402"/>
        <s v="J00969"/>
        <s v="J00968"/>
        <s v="J00966"/>
        <s v="H01337"/>
        <s v="H01342"/>
        <s v="E01016"/>
        <s v="E01017"/>
        <s v="C01482"/>
        <s v="C01475"/>
        <s v="J00970"/>
        <s v="C01477/C01478/C01481/C01479"/>
        <s v="N00841"/>
        <s v="N00843"/>
        <s v="J00911/J00912/J00987"/>
        <s v="B01046"/>
        <s v="C01324"/>
        <s v="C01446"/>
        <s v="C01489"/>
        <s v="C01445"/>
        <s v="C01433"/>
        <s v="N00879"/>
        <s v="N00876"/>
        <s v="B01030"/>
        <s v="J00955/J00956"/>
        <s v="C01460"/>
        <s v="N00765"/>
        <s v="F00858"/>
        <s v="N00794"/>
        <s v="N00798"/>
        <s v="N00791"/>
        <s v="N00799/N00800"/>
        <s v="N00792"/>
        <s v="C01461"/>
        <s v="L00294"/>
        <s v="B01047"/>
        <s v="N00908/N00784"/>
        <s v="N00826"/>
        <s v="N00793"/>
        <s v="N00797"/>
        <s v="G00399"/>
        <s v="G00400"/>
        <s v="F00861"/>
        <s v="C01465/C01466"/>
        <s v="C01467"/>
        <s v="N00764"/>
        <s v="K00026"/>
        <s v="B01050"/>
        <s v="C01485"/>
        <s v="C01487"/>
        <s v="C01486"/>
        <s v="C01488"/>
        <s v="J00975"/>
        <s v="J00976/J00977"/>
        <s v="J00979"/>
        <s v="J00986"/>
        <s v="J00980"/>
        <s v="J00981/J00982"/>
        <s v="J00983"/>
        <s v="J00985"/>
        <s v="P00460"/>
        <s v="G00406"/>
        <s v="N00938"/>
        <s v="N00943"/>
        <s v="N00939"/>
        <s v="N00944"/>
        <s v="P00480"/>
        <s v="P00459"/>
        <s v="P00447"/>
        <s v="P00448"/>
        <s v="C01491"/>
        <s v="C01493"/>
        <s v="P00473"/>
        <s v="P00437"/>
        <s v="B01054"/>
        <s v="G00407"/>
        <s v="P00456"/>
        <s v="B01037"/>
        <s v="J00984"/>
        <s v="H01378"/>
        <s v="B01051"/>
        <s v="B01049"/>
        <s v="C01492"/>
        <s v="H01331"/>
        <s v="H01332"/>
        <s v="B01053"/>
        <s v="B01048"/>
        <s v="J00997"/>
        <s v="J00998"/>
        <s v="J00999"/>
        <s v="C01484"/>
        <s v="C01472/C01473/C01474"/>
        <s v="G00386/G00385"/>
        <s v="G00390"/>
        <s v="F00864"/>
        <s v="J00957"/>
        <s v="J00958"/>
        <s v="J00959"/>
        <s v="F00862"/>
        <s v="H01318"/>
        <s v="N00806/N00805"/>
        <s v="H01356"/>
        <s v="H01279"/>
        <s v="E01025"/>
        <s v="N00807"/>
        <s v="N00901"/>
        <s v="N00751"/>
        <s v="N00834"/>
        <s v="F00863"/>
        <s v="H01358"/>
        <s v="H01357"/>
        <s v="C01411/C01410"/>
        <s v="E01015"/>
        <s v="B01055"/>
        <s v="E01019"/>
        <s v="E01028"/>
        <s v="E01014"/>
        <s v="E01030"/>
        <s v="F00865"/>
        <s v="E01024"/>
        <s v="F00875"/>
        <s v="N00895"/>
        <s v="F00877"/>
        <s v="F00876"/>
        <s v="F00874"/>
        <s v="F00871"/>
        <s v="N00896"/>
        <s v="N00893"/>
        <s v="P00465"/>
        <s v="F00869"/>
        <s v="F00868"/>
        <s v="F00873"/>
        <s v="N00948"/>
        <s v="C01507"/>
        <s v="F00870"/>
        <s v="C01505"/>
        <s v="C01504"/>
        <s v="G00401"/>
        <s v="G00403"/>
        <s v="C01480"/>
        <s v="F00867"/>
        <s v="F00866"/>
        <s v="N00954"/>
        <s v="N00951"/>
        <s v="N00953"/>
        <s v="N00950"/>
        <s v="N00952"/>
        <s v="P00417"/>
        <s v="P00453"/>
        <s v="P00418"/>
        <s v="P00454"/>
        <s v="P00452"/>
        <s v="N00892"/>
        <s v="C01490"/>
        <s v="F00879"/>
        <s v="N00705"/>
        <s v="H01274"/>
        <s v="J00967"/>
        <s v="N00903"/>
        <s v="N00904"/>
        <s v="N00905"/>
        <s v="P00464"/>
        <s v="P00494"/>
        <s v="F00887"/>
        <s v="E01026"/>
        <s v="F00886"/>
        <s v="F00891"/>
        <s v="F00889"/>
        <s v="E01027"/>
        <s v="C01494/C01495"/>
        <s v="H01394"/>
        <s v="E01029"/>
        <s v="E01031"/>
        <s v="F00888"/>
        <s v="C01511"/>
        <s v="J00978"/>
        <s v="P00485"/>
        <s v="J00995"/>
        <s v="J01001"/>
        <s v="B01038"/>
        <s v="J00992"/>
        <s v="J00994"/>
        <s v="J00993/J00991"/>
        <s v="N00989"/>
        <s v="B00974"/>
        <s v="F00882"/>
        <s v="B01067/B01068"/>
        <s v="C01287"/>
        <s v="R00007"/>
        <s v="N00795"/>
        <s v="P00463"/>
        <s v="B01074/B01073"/>
        <s v="F00860"/>
        <s v="F00859"/>
        <s v="C01471"/>
        <s v="C01470"/>
        <s v="C01451"/>
        <s v="J01002/J01003"/>
        <s v="L00324/L00325"/>
        <s v="C01513"/>
        <s v="C01496/C01512"/>
        <s v="C01517"/>
        <s v="C01515"/>
        <s v="N00960"/>
        <s v="B01071/B01070"/>
        <s v="B01075"/>
        <s v="B01072"/>
        <s v="B01076"/>
        <s v="G00409"/>
        <s v="G00410"/>
        <s v="C01518/C01519"/>
        <s v="L00333"/>
        <s v="L00331"/>
        <s v="L00330"/>
        <s v="N00961"/>
        <s v="P00461"/>
        <s v="J00873"/>
        <s v="J00877"/>
        <s v="J00875"/>
        <s v="B01011"/>
        <s v="G00413"/>
        <s v="G00414/G00415"/>
        <s v="G00416"/>
        <s v="F00892"/>
        <s v="B01065"/>
        <s v="H01308"/>
        <s v="H01388"/>
        <s v="F00890"/>
        <s v="C01448"/>
        <s v="C01521"/>
        <s v="C01522"/>
        <s v="C01520"/>
        <s v="H01215/H01271/H01272"/>
        <s v="H01268/H01205"/>
        <s v="N00868/N00869"/>
        <s v="C01435"/>
        <s v="C01524/C01525"/>
        <s v="E01045"/>
        <s v="C01429"/>
        <s v="B01018"/>
        <s v="N00894"/>
        <s v="H01395"/>
        <s v="N00897/N00898/N00899"/>
        <s v="H01380"/>
        <s v="P00419"/>
        <s v="N00862"/>
        <s v="N00861"/>
        <s v="N00860"/>
        <s v="N00704"/>
        <s v="J00974"/>
        <s v="N00870"/>
        <s v="J00942"/>
        <s v="E00989/E01021"/>
        <s v="E01018"/>
        <s v="H01266"/>
        <s v="H01355"/>
        <s v="H01391"/>
        <s v="J00945"/>
        <s v="H01387"/>
        <s v="H01293"/>
        <s v="N00902"/>
        <s v="C01523"/>
        <s v="C01325"/>
        <s v="N00890"/>
        <s v="P00491"/>
        <s v="P00492"/>
        <s v="C01497"/>
        <s v="P00493"/>
        <s v="C01499"/>
        <s v="B01084"/>
        <s v="C01531"/>
        <s v="H01270"/>
        <s v="C01501"/>
        <s v="H01360"/>
        <s v="H01363/H01364/H01365"/>
        <s v="B01058"/>
        <s v="F00897"/>
        <s v="F00893"/>
        <s v="C01554"/>
        <s v="C01528/C01552"/>
        <s v="C01553/C01529"/>
      </sharedItems>
    </cacheField>
    <cacheField name="Job Name" numFmtId="0">
      <sharedItems containsMixedTypes="1" containsNumber="1" containsInteger="1" minValue="1" maxValue="236"/>
    </cacheField>
    <cacheField name="x" numFmtId="43">
      <sharedItems containsSemiMixedTypes="0" containsString="0" containsNumber="1" containsInteger="1" minValue="0" maxValue="11551"/>
    </cacheField>
    <cacheField name="x2" numFmtId="167">
      <sharedItems containsSemiMixedTypes="0" containsString="0" containsNumber="1" containsInteger="1" minValue="0" maxValue="583900"/>
    </cacheField>
    <cacheField name="ROTO" numFmtId="167">
      <sharedItems containsMixedTypes="1" containsNumber="1" containsInteger="1" minValue="0" maxValue="0"/>
    </cacheField>
    <cacheField name="Y/N" numFmtId="167">
      <sharedItems containsMixedTypes="1" containsNumber="1" containsInteger="1" minValue="0" maxValue="0"/>
    </cacheField>
    <cacheField name="x3" numFmtId="43">
      <sharedItems containsSemiMixedTypes="0" containsString="0" containsNumber="1" minValue="0" maxValue="4.16"/>
    </cacheField>
    <cacheField name="x4" numFmtId="0">
      <sharedItems/>
    </cacheField>
    <cacheField name="x5" numFmtId="43">
      <sharedItems containsBlank="1" containsMixedTypes="1" containsNumber="1" containsInteger="1" minValue="0" maxValue="0"/>
    </cacheField>
    <cacheField name="x6" numFmtId="0">
      <sharedItems/>
    </cacheField>
    <cacheField name="x7" numFmtId="43">
      <sharedItems containsString="0" containsBlank="1" containsNumber="1" containsInteger="1" minValue="0" maxValue="40"/>
    </cacheField>
    <cacheField name="x8" numFmtId="43">
      <sharedItems containsSemiMixedTypes="0" containsString="0" containsNumber="1" containsInteger="1" minValue="0" maxValue="0"/>
    </cacheField>
    <cacheField name="x9" numFmtId="0">
      <sharedItems containsBlank="1"/>
    </cacheField>
    <cacheField name="x10" numFmtId="43">
      <sharedItems containsString="0" containsBlank="1" containsNumber="1" containsInteger="1" minValue="5" maxValue="73"/>
    </cacheField>
    <cacheField name="x11" numFmtId="43">
      <sharedItems containsSemiMixedTypes="0" containsString="0" containsNumber="1" containsInteger="1" minValue="0" maxValue="0"/>
    </cacheField>
    <cacheField name="x12" numFmtId="0">
      <sharedItems containsBlank="1" containsMixedTypes="1" containsNumber="1" containsInteger="1" minValue="24161" maxValue="26531000019"/>
    </cacheField>
    <cacheField name="x13" numFmtId="0">
      <sharedItems containsBlank="1" containsMixedTypes="1" containsNumber="1" containsInteger="1" minValue="70271" maxValue="26529000016"/>
    </cacheField>
    <cacheField name="x14" numFmtId="0">
      <sharedItems containsBlank="1" containsMixedTypes="1" containsNumber="1" containsInteger="1" minValue="165" maxValue="26530000013"/>
    </cacheField>
    <cacheField name="x15" numFmtId="0">
      <sharedItems containsBlank="1" containsMixedTypes="1" containsNumber="1" containsInteger="1" minValue="26507000019" maxValue="26530000008"/>
    </cacheField>
    <cacheField name="x16" numFmtId="0">
      <sharedItems containsBlank="1" containsMixedTypes="1" containsNumber="1" containsInteger="1" minValue="26506000006" maxValue="26529000045"/>
    </cacheField>
    <cacheField name="x17" numFmtId="0">
      <sharedItems containsString="0" containsBlank="1" containsNumber="1" containsInteger="1" minValue="26508000024" maxValue="26508000024"/>
    </cacheField>
    <cacheField name="x18" numFmtId="0">
      <sharedItems containsString="0" containsBlank="1" containsNumber="1" containsInteger="1" minValue="26511000001" maxValue="26511000001"/>
    </cacheField>
    <cacheField name="x19" numFmtId="0">
      <sharedItems containsString="0" containsBlank="1" containsNumber="1" containsInteger="1" minValue="26511000002" maxValue="26511000002"/>
    </cacheField>
    <cacheField name="x20" numFmtId="43">
      <sharedItems containsString="0" containsBlank="1" containsNumber="1" minValue="1" maxValue="120"/>
    </cacheField>
    <cacheField name="x21" numFmtId="43">
      <sharedItems containsMixedTypes="1" containsNumber="1" containsInteger="1" minValue="0" maxValue="0"/>
    </cacheField>
    <cacheField name="x22" numFmtId="43">
      <sharedItems containsString="0" containsBlank="1" containsNumber="1" minValue="0.2" maxValue="148"/>
    </cacheField>
    <cacheField name="                                                                                                                                                                                                                   " numFmtId="43">
      <sharedItems containsMixedTypes="1" containsNumber="1" containsInteger="1" minValue="0" maxValue="0"/>
    </cacheField>
    <cacheField name="x23" numFmtId="43">
      <sharedItems containsString="0" containsBlank="1" containsNumber="1" minValue="0.2" maxValue="120"/>
    </cacheField>
    <cacheField name="x24" numFmtId="43">
      <sharedItems containsMixedTypes="1" containsNumber="1" containsInteger="1" minValue="0" maxValue="0"/>
    </cacheField>
    <cacheField name="x25" numFmtId="43">
      <sharedItems containsString="0" containsBlank="1" containsNumber="1" minValue="0.5" maxValue="140"/>
    </cacheField>
    <cacheField name="x26" numFmtId="43">
      <sharedItems containsMixedTypes="1" containsNumber="1" containsInteger="1" minValue="0" maxValue="0"/>
    </cacheField>
    <cacheField name="x27" numFmtId="43">
      <sharedItems containsString="0" containsBlank="1" containsNumber="1" minValue="1" maxValue="10"/>
    </cacheField>
    <cacheField name="x28" numFmtId="43">
      <sharedItems containsMixedTypes="1" containsNumber="1" containsInteger="1" minValue="0" maxValue="0"/>
    </cacheField>
    <cacheField name="x29" numFmtId="43">
      <sharedItems containsString="0" containsBlank="1" containsNumber="1" containsInteger="1" minValue="20" maxValue="20"/>
    </cacheField>
    <cacheField name="x30" numFmtId="43">
      <sharedItems containsMixedTypes="1" containsNumber="1" containsInteger="1" minValue="0" maxValue="0"/>
    </cacheField>
    <cacheField name="x31" numFmtId="43">
      <sharedItems containsString="0" containsBlank="1" containsNumber="1" containsInteger="1" minValue="25" maxValue="25"/>
    </cacheField>
    <cacheField name="x32" numFmtId="43">
      <sharedItems containsMixedTypes="1" containsNumber="1" containsInteger="1" minValue="0" maxValue="0"/>
    </cacheField>
    <cacheField name="x33" numFmtId="43">
      <sharedItems containsString="0" containsBlank="1" containsNumber="1" containsInteger="1" minValue="10" maxValue="10"/>
    </cacheField>
    <cacheField name="x34" numFmtId="43">
      <sharedItems containsMixedTypes="1" containsNumber="1" containsInteger="1" minValue="0" maxValue="0"/>
    </cacheField>
    <cacheField name="x35" numFmtId="43">
      <sharedItems containsMixedTypes="1" containsNumber="1" containsInteger="1" minValue="0" maxValue="0"/>
    </cacheField>
    <cacheField name="x36" numFmtId="43">
      <sharedItems containsSemiMixedTypes="0" containsString="0" containsNumber="1" containsInteger="1" minValue="0" maxValue="55"/>
    </cacheField>
    <cacheField name="x37" numFmtId="43">
      <sharedItems containsSemiMixedTypes="0" containsString="0" containsNumber="1" containsInteger="1" minValue="0" maxValue="0"/>
    </cacheField>
    <cacheField name="x38" numFmtId="43">
      <sharedItems containsSemiMixedTypes="0" containsString="0" containsNumber="1" minValue="0" maxValue="279"/>
    </cacheField>
    <cacheField name="x39" numFmtId="43">
      <sharedItems containsSemiMixedTypes="0" containsString="0" containsNumber="1" containsInteger="1" minValue="0" maxValue="0"/>
    </cacheField>
    <cacheField name="x40" numFmtId="0">
      <sharedItems containsBlank="1"/>
    </cacheField>
    <cacheField name="x41" numFmtId="43">
      <sharedItems containsBlank="1" containsMixedTypes="1" containsNumber="1" containsInteger="1" minValue="0" maxValue="0"/>
    </cacheField>
    <cacheField name="x42" numFmtId="0">
      <sharedItems containsBlank="1"/>
    </cacheField>
    <cacheField name="x43" numFmtId="43">
      <sharedItems containsString="0" containsBlank="1" containsNumber="1" containsInteger="1" minValue="0" maxValue="40"/>
    </cacheField>
    <cacheField name="x44" numFmtId="43">
      <sharedItems containsSemiMixedTypes="0" containsString="0" containsNumber="1" containsInteger="1" minValue="0" maxValue="0"/>
    </cacheField>
    <cacheField name="x45" numFmtId="0">
      <sharedItems containsBlank="1" longText="1"/>
    </cacheField>
    <cacheField name="x46" numFmtId="43">
      <sharedItems containsString="0" containsBlank="1" containsNumber="1" containsInteger="1" minValue="4" maxValue="723"/>
    </cacheField>
    <cacheField name="x47" numFmtId="43">
      <sharedItems containsSemiMixedTypes="0" containsString="0" containsNumber="1" containsInteger="1" minValue="0" maxValue="0"/>
    </cacheField>
    <cacheField name="x48" numFmtId="0">
      <sharedItems containsBlank="1" containsMixedTypes="1" containsNumber="1" containsInteger="1" minValue="262" maxValue="26530000022"/>
    </cacheField>
    <cacheField name="x49" numFmtId="0">
      <sharedItems containsBlank="1" containsMixedTypes="1" containsNumber="1" containsInteger="1" minValue="9472" maxValue="26531000001"/>
    </cacheField>
    <cacheField name="x50" numFmtId="0">
      <sharedItems containsBlank="1" containsMixedTypes="1" containsNumber="1" containsInteger="1" minValue="9472" maxValue="26530000015"/>
    </cacheField>
    <cacheField name="x51" numFmtId="0">
      <sharedItems containsBlank="1" containsMixedTypes="1" containsNumber="1" containsInteger="1" minValue="25851000006" maxValue="26529000030"/>
    </cacheField>
    <cacheField name="x52" numFmtId="0">
      <sharedItems containsBlank="1" containsMixedTypes="1" containsNumber="1" containsInteger="1" minValue="26504000006" maxValue="26530000004"/>
    </cacheField>
    <cacheField name="x53" numFmtId="0">
      <sharedItems containsBlank="1" containsMixedTypes="1" containsNumber="1" containsInteger="1" minValue="9472" maxValue="26530000016"/>
    </cacheField>
    <cacheField name="x54" numFmtId="0">
      <sharedItems containsString="0" containsBlank="1" containsNumber="1" containsInteger="1" minValue="26514000010" maxValue="26514000010"/>
    </cacheField>
    <cacheField name="x55" numFmtId="0">
      <sharedItems containsString="0" containsBlank="1" containsNumber="1" containsInteger="1" minValue="26507000009" maxValue="26507000009"/>
    </cacheField>
    <cacheField name="x56" numFmtId="43">
      <sharedItems containsString="0" containsBlank="1" containsNumber="1" minValue="0.2" maxValue="260"/>
    </cacheField>
    <cacheField name="x57" numFmtId="43">
      <sharedItems containsMixedTypes="1" containsNumber="1" containsInteger="1" minValue="0" maxValue="0"/>
    </cacheField>
    <cacheField name="x58" numFmtId="43">
      <sharedItems containsString="0" containsBlank="1" containsNumber="1" minValue="0.2" maxValue="178"/>
    </cacheField>
    <cacheField name="x59" numFmtId="43">
      <sharedItems containsMixedTypes="1" containsNumber="1" containsInteger="1" minValue="0" maxValue="0"/>
    </cacheField>
    <cacheField name="x60" numFmtId="43">
      <sharedItems containsString="0" containsBlank="1" containsNumber="1" minValue="0.1" maxValue="164"/>
    </cacheField>
    <cacheField name="x61" numFmtId="43">
      <sharedItems containsMixedTypes="1" containsNumber="1" containsInteger="1" minValue="0" maxValue="0"/>
    </cacheField>
    <cacheField name="x62" numFmtId="43">
      <sharedItems containsString="0" containsBlank="1" containsNumber="1" minValue="0.2" maxValue="140"/>
    </cacheField>
    <cacheField name="x63" numFmtId="43">
      <sharedItems containsMixedTypes="1" containsNumber="1" containsInteger="1" minValue="0" maxValue="0"/>
    </cacheField>
    <cacheField name="x64" numFmtId="43">
      <sharedItems containsString="0" containsBlank="1" containsNumber="1" containsInteger="1" minValue="3" maxValue="200"/>
    </cacheField>
    <cacheField name="x65" numFmtId="43">
      <sharedItems containsMixedTypes="1" containsNumber="1" containsInteger="1" minValue="0" maxValue="0"/>
    </cacheField>
    <cacheField name="x66" numFmtId="43">
      <sharedItems containsString="0" containsBlank="1" containsNumber="1" containsInteger="1" minValue="25" maxValue="140"/>
    </cacheField>
    <cacheField name="x67" numFmtId="43">
      <sharedItems containsMixedTypes="1" containsNumber="1" containsInteger="1" minValue="0" maxValue="0"/>
    </cacheField>
    <cacheField name="x68" numFmtId="43">
      <sharedItems containsString="0" containsBlank="1" containsNumber="1" containsInteger="1" minValue="6" maxValue="6"/>
    </cacheField>
    <cacheField name="x69" numFmtId="43">
      <sharedItems containsMixedTypes="1" containsNumber="1" containsInteger="1" minValue="0" maxValue="0"/>
    </cacheField>
    <cacheField name="x70" numFmtId="43">
      <sharedItems containsString="0" containsBlank="1" containsNumber="1" containsInteger="1" minValue="9" maxValue="9"/>
    </cacheField>
    <cacheField name="x71" numFmtId="43">
      <sharedItems containsMixedTypes="1" containsNumber="1" containsInteger="1" minValue="0" maxValue="0"/>
    </cacheField>
    <cacheField name="x72" numFmtId="43">
      <sharedItems containsBlank="1"/>
    </cacheField>
    <cacheField name="x73" numFmtId="43">
      <sharedItems containsString="0" containsBlank="1" containsNumber="1" containsInteger="1" minValue="0" maxValue="67"/>
    </cacheField>
    <cacheField name="x74" numFmtId="43">
      <sharedItems containsSemiMixedTypes="0" containsString="0" containsNumber="1" containsInteger="1" minValue="0" maxValue="0"/>
    </cacheField>
    <cacheField name="x75" numFmtId="43">
      <sharedItems containsSemiMixedTypes="0" containsString="0" containsNumber="1" minValue="0" maxValue="2169.848484848485"/>
    </cacheField>
    <cacheField name="x76" numFmtId="43">
      <sharedItems containsSemiMixedTypes="0" containsString="0" containsNumber="1" containsInteger="1" minValue="0" maxValue="0"/>
    </cacheField>
    <cacheField name="x77" numFmtId="43">
      <sharedItems containsBlank="1"/>
    </cacheField>
    <cacheField name="x78" numFmtId="43">
      <sharedItems containsBlank="1"/>
    </cacheField>
    <cacheField name="x79" numFmtId="0">
      <sharedItems containsBlank="1"/>
    </cacheField>
    <cacheField name="x80" numFmtId="43">
      <sharedItems containsString="0" containsBlank="1" containsNumber="1" containsInteger="1" minValue="2" maxValue="46"/>
    </cacheField>
    <cacheField name="x81" numFmtId="43">
      <sharedItems containsSemiMixedTypes="0" containsString="0" containsNumber="1" containsInteger="1" minValue="0" maxValue="0"/>
    </cacheField>
    <cacheField name="x82" numFmtId="0">
      <sharedItems containsBlank="1"/>
    </cacheField>
    <cacheField name="x83" numFmtId="43">
      <sharedItems containsString="0" containsBlank="1" containsNumber="1" containsInteger="1" minValue="2" maxValue="135"/>
    </cacheField>
    <cacheField name="x84" numFmtId="43">
      <sharedItems containsSemiMixedTypes="0" containsString="0" containsNumber="1" containsInteger="1" minValue="0" maxValue="0"/>
    </cacheField>
    <cacheField name="x85" numFmtId="0">
      <sharedItems containsBlank="1" containsMixedTypes="1" containsNumber="1" containsInteger="1" minValue="9472" maxValue="26531000028"/>
    </cacheField>
    <cacheField name="x86" numFmtId="0">
      <sharedItems containsBlank="1" containsMixedTypes="1" containsNumber="1" containsInteger="1" minValue="25862000014" maxValue="26531000023"/>
    </cacheField>
    <cacheField name="x87" numFmtId="0">
      <sharedItems containsBlank="1" containsMixedTypes="1" containsNumber="1" containsInteger="1" minValue="83234" maxValue="26531000011"/>
    </cacheField>
    <cacheField name="x88" numFmtId="0">
      <sharedItems containsBlank="1" containsMixedTypes="1" containsNumber="1" containsInteger="1" minValue="66701" maxValue="26531000021"/>
    </cacheField>
    <cacheField name="x89" numFmtId="0">
      <sharedItems containsBlank="1" containsMixedTypes="1" containsNumber="1" containsInteger="1" minValue="25863000009" maxValue="26530000007"/>
    </cacheField>
    <cacheField name="x90" numFmtId="0">
      <sharedItems containsString="0" containsBlank="1" containsNumber="1" containsInteger="1" minValue="26503000016" maxValue="26529000043"/>
    </cacheField>
    <cacheField name="x91" numFmtId="0">
      <sharedItems containsString="0" containsBlank="1" containsNumber="1" containsInteger="1" minValue="26521000005" maxValue="26530000012"/>
    </cacheField>
    <cacheField name="x92" numFmtId="0">
      <sharedItems containsBlank="1" containsMixedTypes="1" containsNumber="1" containsInteger="1" minValue="26526000008" maxValue="26526000008"/>
    </cacheField>
    <cacheField name="x93" numFmtId="43">
      <sharedItems containsString="0" containsBlank="1" containsNumber="1" minValue="0.18" maxValue="215"/>
    </cacheField>
    <cacheField name="x94" numFmtId="43">
      <sharedItems containsMixedTypes="1" containsNumber="1" containsInteger="1" minValue="0" maxValue="0"/>
    </cacheField>
    <cacheField name="x95" numFmtId="43">
      <sharedItems containsString="0" containsBlank="1" containsNumber="1" minValue="0.1" maxValue="215"/>
    </cacheField>
    <cacheField name="x96" numFmtId="43">
      <sharedItems containsMixedTypes="1" containsNumber="1" containsInteger="1" minValue="0" maxValue="0"/>
    </cacheField>
    <cacheField name="x97" numFmtId="43">
      <sharedItems containsString="0" containsBlank="1" containsNumber="1" minValue="0.1" maxValue="130"/>
    </cacheField>
    <cacheField name="x98" numFmtId="43">
      <sharedItems containsMixedTypes="1" containsNumber="1" containsInteger="1" minValue="0" maxValue="0"/>
    </cacheField>
    <cacheField name="x99" numFmtId="43">
      <sharedItems containsString="0" containsBlank="1" containsNumber="1" minValue="0.2" maxValue="120"/>
    </cacheField>
    <cacheField name="x100" numFmtId="43">
      <sharedItems containsMixedTypes="1" containsNumber="1" containsInteger="1" minValue="0" maxValue="0"/>
    </cacheField>
    <cacheField name="x101" numFmtId="43">
      <sharedItems containsString="0" containsBlank="1" containsNumber="1" minValue="0.1" maxValue="40"/>
    </cacheField>
    <cacheField name="x102" numFmtId="43">
      <sharedItems containsMixedTypes="1" containsNumber="1" containsInteger="1" minValue="0" maxValue="0"/>
    </cacheField>
    <cacheField name="x103" numFmtId="43">
      <sharedItems containsString="0" containsBlank="1" containsNumber="1" minValue="0.3" maxValue="40"/>
    </cacheField>
    <cacheField name="x104" numFmtId="43">
      <sharedItems containsMixedTypes="1" containsNumber="1" containsInteger="1" minValue="0" maxValue="0"/>
    </cacheField>
    <cacheField name="x105" numFmtId="43">
      <sharedItems containsString="0" containsBlank="1" containsNumber="1" minValue="0.4" maxValue="100"/>
    </cacheField>
    <cacheField name="x106" numFmtId="43">
      <sharedItems containsMixedTypes="1" containsNumber="1" containsInteger="1" minValue="0" maxValue="0"/>
    </cacheField>
    <cacheField name="x107" numFmtId="43">
      <sharedItems containsString="0" containsBlank="1" containsNumber="1" containsInteger="1" minValue="6" maxValue="50"/>
    </cacheField>
    <cacheField name="x108" numFmtId="43">
      <sharedItems containsMixedTypes="1" containsNumber="1" containsInteger="1" minValue="0" maxValue="0"/>
    </cacheField>
    <cacheField name="x109" numFmtId="43">
      <sharedItems containsBlank="1"/>
    </cacheField>
    <cacheField name="x110" numFmtId="43">
      <sharedItems containsString="0" containsBlank="1" containsNumber="1" containsInteger="1" minValue="0" maxValue="49"/>
    </cacheField>
    <cacheField name="x111" numFmtId="43">
      <sharedItems containsSemiMixedTypes="0" containsString="0" containsNumber="1" containsInteger="1" minValue="0" maxValue="0"/>
    </cacheField>
    <cacheField name="x112" numFmtId="43">
      <sharedItems containsSemiMixedTypes="0" containsString="0" containsNumber="1" minValue="0" maxValue="901.79523809523812"/>
    </cacheField>
    <cacheField name="x113" numFmtId="43">
      <sharedItems containsSemiMixedTypes="0" containsString="0" containsNumber="1" containsInteger="1" minValue="0" maxValue="0"/>
    </cacheField>
    <cacheField name="x114" numFmtId="0">
      <sharedItems containsBlank="1"/>
    </cacheField>
    <cacheField name="x115" numFmtId="43">
      <sharedItems containsBlank="1"/>
    </cacheField>
    <cacheField name="x116" numFmtId="0">
      <sharedItems/>
    </cacheField>
    <cacheField name="x117" numFmtId="43">
      <sharedItems containsString="0" containsBlank="1" containsNumber="1" containsInteger="1" minValue="2" maxValue="40"/>
    </cacheField>
    <cacheField name="x118" numFmtId="43">
      <sharedItems containsSemiMixedTypes="0" containsString="0" containsNumber="1" containsInteger="1" minValue="0" maxValue="0"/>
    </cacheField>
    <cacheField name="x119" numFmtId="0">
      <sharedItems containsBlank="1"/>
    </cacheField>
    <cacheField name="x120" numFmtId="43">
      <sharedItems containsString="0" containsBlank="1" containsNumber="1" containsInteger="1" minValue="5" maxValue="377"/>
    </cacheField>
    <cacheField name="x121" numFmtId="43">
      <sharedItems containsSemiMixedTypes="0" containsString="0" containsNumber="1" containsInteger="1" minValue="0" maxValue="0"/>
    </cacheField>
    <cacheField name="x122" numFmtId="0">
      <sharedItems containsBlank="1" containsMixedTypes="1" containsNumber="1" containsInteger="1" minValue="55" maxValue="26531000022"/>
    </cacheField>
    <cacheField name="x123" numFmtId="0">
      <sharedItems containsBlank="1" containsMixedTypes="1" containsNumber="1" containsInteger="1" minValue="25863000007" maxValue="26531000016"/>
    </cacheField>
    <cacheField name="x124" numFmtId="0">
      <sharedItems containsBlank="1" containsMixedTypes="1" containsNumber="1" containsInteger="1" minValue="66701" maxValue="26531000024"/>
    </cacheField>
    <cacheField name="x125" numFmtId="0">
      <sharedItems containsBlank="1" containsMixedTypes="1" containsNumber="1" containsInteger="1" minValue="9472" maxValue="26530000035"/>
    </cacheField>
    <cacheField name="x126" numFmtId="0">
      <sharedItems containsBlank="1" containsMixedTypes="1" containsNumber="1" containsInteger="1" minValue="26518000009" maxValue="26530000023"/>
    </cacheField>
    <cacheField name="x127" numFmtId="0">
      <sharedItems containsBlank="1"/>
    </cacheField>
    <cacheField name="x128" numFmtId="0">
      <sharedItems containsString="0" containsBlank="1" containsNumber="1" containsInteger="1" minValue="26530000014" maxValue="26530000014"/>
    </cacheField>
    <cacheField name="x129" numFmtId="0">
      <sharedItems containsString="0" containsBlank="1" containsNumber="1" containsInteger="1" minValue="26530000001" maxValue="26530000001"/>
    </cacheField>
    <cacheField name="x130" numFmtId="43">
      <sharedItems containsString="0" containsBlank="1" containsNumber="1" minValue="0.3" maxValue="140"/>
    </cacheField>
    <cacheField name="x131" numFmtId="43">
      <sharedItems containsMixedTypes="1" containsNumber="1" containsInteger="1" minValue="0" maxValue="0"/>
    </cacheField>
    <cacheField name="x132" numFmtId="43">
      <sharedItems containsString="0" containsBlank="1" containsNumber="1" minValue="0.2" maxValue="160"/>
    </cacheField>
    <cacheField name="x133" numFmtId="43">
      <sharedItems containsMixedTypes="1" containsNumber="1" containsInteger="1" minValue="0" maxValue="0"/>
    </cacheField>
    <cacheField name="x134" numFmtId="43">
      <sharedItems containsString="0" containsBlank="1" containsNumber="1" minValue="0.1" maxValue="180"/>
    </cacheField>
    <cacheField name="x135" numFmtId="43">
      <sharedItems containsMixedTypes="1" containsNumber="1" containsInteger="1" minValue="0" maxValue="0"/>
    </cacheField>
    <cacheField name="x136" numFmtId="43">
      <sharedItems containsString="0" containsBlank="1" containsNumber="1" minValue="0.2" maxValue="110"/>
    </cacheField>
    <cacheField name="x137" numFmtId="43">
      <sharedItems containsMixedTypes="1" containsNumber="1" containsInteger="1" minValue="0" maxValue="0"/>
    </cacheField>
    <cacheField name="x138" numFmtId="43">
      <sharedItems containsString="0" containsBlank="1" containsNumber="1" minValue="0.2" maxValue="100"/>
    </cacheField>
    <cacheField name="x139" numFmtId="43">
      <sharedItems containsMixedTypes="1" containsNumber="1" containsInteger="1" minValue="0" maxValue="0"/>
    </cacheField>
    <cacheField name="x140" numFmtId="43">
      <sharedItems containsString="0" containsBlank="1" containsNumber="1" containsInteger="1" minValue="200" maxValue="200"/>
    </cacheField>
    <cacheField name="x141" numFmtId="43">
      <sharedItems containsSemiMixedTypes="0" containsString="0" containsNumber="1" containsInteger="1" minValue="0" maxValue="0"/>
    </cacheField>
    <cacheField name="x142" numFmtId="43">
      <sharedItems containsString="0" containsBlank="1" containsNumber="1" containsInteger="1" minValue="29" maxValue="29"/>
    </cacheField>
    <cacheField name="x143" numFmtId="43">
      <sharedItems containsMixedTypes="1" containsNumber="1" containsInteger="1" minValue="0" maxValue="0"/>
    </cacheField>
    <cacheField name="x144" numFmtId="43">
      <sharedItems containsString="0" containsBlank="1" containsNumber="1" containsInteger="1" minValue="90" maxValue="90"/>
    </cacheField>
    <cacheField name="x145" numFmtId="43">
      <sharedItems containsMixedTypes="1" containsNumber="1" containsInteger="1" minValue="0" maxValue="0"/>
    </cacheField>
    <cacheField name="x146" numFmtId="43">
      <sharedItems containsBlank="1"/>
    </cacheField>
    <cacheField name="x147" numFmtId="43">
      <sharedItems containsString="0" containsBlank="1" containsNumber="1" containsInteger="1" minValue="0" maxValue="70"/>
    </cacheField>
    <cacheField name="x148" numFmtId="43">
      <sharedItems containsSemiMixedTypes="0" containsString="0" containsNumber="1" containsInteger="1" minValue="0" maxValue="0"/>
    </cacheField>
    <cacheField name="x149" numFmtId="43">
      <sharedItems containsSemiMixedTypes="0" containsString="0" containsNumber="1" minValue="0" maxValue="1479.9269162210339"/>
    </cacheField>
    <cacheField name="x150" numFmtId="43">
      <sharedItems containsSemiMixedTypes="0" containsString="0" containsNumber="1" containsInteger="1" minValue="0" maxValue="0"/>
    </cacheField>
    <cacheField name="x151" numFmtId="0">
      <sharedItems containsBlank="1"/>
    </cacheField>
    <cacheField name="x152" numFmtId="43">
      <sharedItems containsBlank="1"/>
    </cacheField>
    <cacheField name="x153" numFmtId="0">
      <sharedItems/>
    </cacheField>
    <cacheField name="x154" numFmtId="43">
      <sharedItems containsString="0" containsBlank="1" containsNumber="1" containsInteger="1" minValue="7" maxValue="40"/>
    </cacheField>
    <cacheField name="x155" numFmtId="43">
      <sharedItems containsSemiMixedTypes="0" containsString="0" containsNumber="1" containsInteger="1" minValue="0" maxValue="0"/>
    </cacheField>
    <cacheField name="x156" numFmtId="0">
      <sharedItems containsBlank="1"/>
    </cacheField>
    <cacheField name="x157" numFmtId="43">
      <sharedItems containsString="0" containsBlank="1" containsNumber="1" containsInteger="1" minValue="10" maxValue="146"/>
    </cacheField>
    <cacheField name="x158" numFmtId="43">
      <sharedItems containsSemiMixedTypes="0" containsString="0" containsNumber="1" containsInteger="1" minValue="0" maxValue="0"/>
    </cacheField>
    <cacheField name="x159" numFmtId="0">
      <sharedItems containsBlank="1" containsMixedTypes="1" containsNumber="1" containsInteger="1" minValue="55" maxValue="26531000017"/>
    </cacheField>
    <cacheField name="x160" numFmtId="0">
      <sharedItems containsBlank="1" containsMixedTypes="1" containsNumber="1" containsInteger="1" minValue="25863000002" maxValue="26528000002"/>
    </cacheField>
    <cacheField name="x161" numFmtId="0">
      <sharedItems containsBlank="1" containsMixedTypes="1" containsNumber="1" containsInteger="1" minValue="25862000007" maxValue="26529000018"/>
    </cacheField>
    <cacheField name="x162" numFmtId="0">
      <sharedItems containsBlank="1" containsMixedTypes="1" containsNumber="1" containsInteger="1" minValue="26502000003" maxValue="26522000008"/>
    </cacheField>
    <cacheField name="x163" numFmtId="0">
      <sharedItems containsString="0" containsBlank="1" containsNumber="1" containsInteger="1" minValue="26502000009" maxValue="26514000012"/>
    </cacheField>
    <cacheField name="x164" numFmtId="0">
      <sharedItems containsString="0" containsBlank="1" containsNumber="1" containsInteger="1" minValue="26507000009" maxValue="26507000009"/>
    </cacheField>
    <cacheField name="x165" numFmtId="0">
      <sharedItems containsString="0" containsBlank="1" containsNumber="1" containsInteger="1" minValue="26507000013" maxValue="26507000013"/>
    </cacheField>
    <cacheField name="x166" numFmtId="0">
      <sharedItems containsBlank="1"/>
    </cacheField>
    <cacheField name="x167" numFmtId="43">
      <sharedItems containsString="0" containsBlank="1" containsNumber="1" minValue="0.2" maxValue="140"/>
    </cacheField>
    <cacheField name="x168" numFmtId="43">
      <sharedItems containsMixedTypes="1" containsNumber="1" containsInteger="1" minValue="0" maxValue="0"/>
    </cacheField>
    <cacheField name="x169" numFmtId="43">
      <sharedItems containsString="0" containsBlank="1" containsNumber="1" minValue="0.3" maxValue="130"/>
    </cacheField>
    <cacheField name="x170" numFmtId="43">
      <sharedItems containsMixedTypes="1" containsNumber="1" containsInteger="1" minValue="0" maxValue="0"/>
    </cacheField>
    <cacheField name="x171" numFmtId="43">
      <sharedItems containsString="0" containsBlank="1" containsNumber="1" minValue="0.2" maxValue="140"/>
    </cacheField>
    <cacheField name="x172" numFmtId="43">
      <sharedItems containsMixedTypes="1" containsNumber="1" containsInteger="1" minValue="0" maxValue="0"/>
    </cacheField>
    <cacheField name="x173" numFmtId="43">
      <sharedItems containsString="0" containsBlank="1" containsNumber="1" minValue="0.2" maxValue="180"/>
    </cacheField>
    <cacheField name="x174" numFmtId="43">
      <sharedItems containsMixedTypes="1" containsNumber="1" containsInteger="1" minValue="0" maxValue="0"/>
    </cacheField>
    <cacheField name="x175" numFmtId="43">
      <sharedItems containsString="0" containsBlank="1" containsNumber="1" containsInteger="1" minValue="40" maxValue="40"/>
    </cacheField>
    <cacheField name="x176" numFmtId="43">
      <sharedItems containsMixedTypes="1" containsNumber="1" containsInteger="1" minValue="0" maxValue="0"/>
    </cacheField>
    <cacheField name="x177" numFmtId="43">
      <sharedItems containsString="0" containsBlank="1" containsNumber="1" containsInteger="1" minValue="30" maxValue="30"/>
    </cacheField>
    <cacheField name="x178" numFmtId="43">
      <sharedItems containsMixedTypes="1" containsNumber="1" containsInteger="1" minValue="0" maxValue="0"/>
    </cacheField>
    <cacheField name="x179" numFmtId="43">
      <sharedItems containsString="0" containsBlank="1" containsNumber="1" containsInteger="1" minValue="30" maxValue="30"/>
    </cacheField>
    <cacheField name="x180" numFmtId="43">
      <sharedItems containsMixedTypes="1" containsNumber="1" containsInteger="1" minValue="0" maxValue="0"/>
    </cacheField>
    <cacheField name="x181" numFmtId="43">
      <sharedItems containsString="0" containsBlank="1" containsNumber="1" containsInteger="1" minValue="70" maxValue="70"/>
    </cacheField>
    <cacheField name="x182" numFmtId="43">
      <sharedItems containsSemiMixedTypes="0" containsString="0" containsNumber="1" containsInteger="1" minValue="0" maxValue="0"/>
    </cacheField>
    <cacheField name="x183" numFmtId="43">
      <sharedItems containsBlank="1"/>
    </cacheField>
    <cacheField name="x184" numFmtId="43">
      <sharedItems containsString="0" containsBlank="1" containsNumber="1" containsInteger="1" minValue="15" maxValue="65"/>
    </cacheField>
    <cacheField name="x185" numFmtId="43">
      <sharedItems containsSemiMixedTypes="0" containsString="0" containsNumber="1" containsInteger="1" minValue="0" maxValue="0"/>
    </cacheField>
    <cacheField name="x186" numFmtId="43">
      <sharedItems containsSemiMixedTypes="0" containsString="0" containsNumber="1" minValue="0" maxValue="1261.2216582064298"/>
    </cacheField>
    <cacheField name="x187" numFmtId="43">
      <sharedItems containsSemiMixedTypes="0" containsString="0" containsNumber="1" containsInteger="1" minValue="0" maxValue="0"/>
    </cacheField>
    <cacheField name="x188" numFmtId="0">
      <sharedItems containsBlank="1"/>
    </cacheField>
    <cacheField name="x189" numFmtId="43">
      <sharedItems containsBlank="1"/>
    </cacheField>
    <cacheField name="x190" numFmtId="0">
      <sharedItems/>
    </cacheField>
    <cacheField name="x191" numFmtId="43">
      <sharedItems containsString="0" containsBlank="1" containsNumber="1" containsInteger="1" minValue="10" maxValue="40"/>
    </cacheField>
    <cacheField name="x192" numFmtId="43">
      <sharedItems containsSemiMixedTypes="0" containsString="0" containsNumber="1" containsInteger="1" minValue="0" maxValue="0"/>
    </cacheField>
    <cacheField name="x193" numFmtId="0">
      <sharedItems containsBlank="1"/>
    </cacheField>
    <cacheField name="x194" numFmtId="43">
      <sharedItems containsString="0" containsBlank="1" containsNumber="1" containsInteger="1" minValue="13" maxValue="52"/>
    </cacheField>
    <cacheField name="x195" numFmtId="43">
      <sharedItems containsSemiMixedTypes="0" containsString="0" containsNumber="1" containsInteger="1" minValue="0" maxValue="0"/>
    </cacheField>
    <cacheField name="x196" numFmtId="0">
      <sharedItems containsBlank="1" containsMixedTypes="1" containsNumber="1" containsInteger="1" minValue="262" maxValue="26531000030"/>
    </cacheField>
    <cacheField name="x197" numFmtId="0">
      <sharedItems containsBlank="1" containsMixedTypes="1" containsNumber="1" containsInteger="1" minValue="165" maxValue="26531000031"/>
    </cacheField>
    <cacheField name="x198" numFmtId="0">
      <sharedItems containsBlank="1" containsMixedTypes="1" containsNumber="1" containsInteger="1" minValue="262" maxValue="26531000029"/>
    </cacheField>
    <cacheField name="x199" numFmtId="0">
      <sharedItems containsBlank="1" containsMixedTypes="1" containsNumber="1" containsInteger="1" minValue="26505000033" maxValue="26531000034"/>
    </cacheField>
    <cacheField name="x200" numFmtId="0">
      <sharedItems containsBlank="1" containsMixedTypes="1" containsNumber="1" containsInteger="1" minValue="26525000020" maxValue="26529000031"/>
    </cacheField>
    <cacheField name="x201" numFmtId="0">
      <sharedItems containsBlank="1"/>
    </cacheField>
    <cacheField name="x202" numFmtId="0">
      <sharedItems containsBlank="1"/>
    </cacheField>
    <cacheField name="x203" numFmtId="0">
      <sharedItems containsString="0" containsBlank="1" containsNumber="1" containsInteger="1" minValue="26527000012" maxValue="26527000012"/>
    </cacheField>
    <cacheField name="x204" numFmtId="43">
      <sharedItems containsString="0" containsBlank="1" containsNumber="1" minValue="0.2" maxValue="360"/>
    </cacheField>
    <cacheField name="x205" numFmtId="43">
      <sharedItems containsMixedTypes="1" containsNumber="1" containsInteger="1" minValue="0" maxValue="0"/>
    </cacheField>
    <cacheField name="x206" numFmtId="43">
      <sharedItems containsString="0" containsBlank="1" containsNumber="1" minValue="0.1" maxValue="130"/>
    </cacheField>
    <cacheField name="x207" numFmtId="43">
      <sharedItems containsMixedTypes="1" containsNumber="1" containsInteger="1" minValue="0" maxValue="0"/>
    </cacheField>
    <cacheField name="x208" numFmtId="43">
      <sharedItems containsString="0" containsBlank="1" containsNumber="1" minValue="0.1" maxValue="44"/>
    </cacheField>
    <cacheField name="x209" numFmtId="43">
      <sharedItems containsMixedTypes="1" containsNumber="1" containsInteger="1" minValue="0" maxValue="0"/>
    </cacheField>
    <cacheField name="x210" numFmtId="43">
      <sharedItems containsString="0" containsBlank="1" containsNumber="1" minValue="0.1" maxValue="100"/>
    </cacheField>
    <cacheField name="x211" numFmtId="43">
      <sharedItems containsMixedTypes="1" containsNumber="1" containsInteger="1" minValue="0" maxValue="0"/>
    </cacheField>
    <cacheField name="x212" numFmtId="43">
      <sharedItems containsString="0" containsBlank="1" containsNumber="1" containsInteger="1" minValue="10" maxValue="20"/>
    </cacheField>
    <cacheField name="x213" numFmtId="43">
      <sharedItems containsMixedTypes="1" containsNumber="1" containsInteger="1" minValue="0" maxValue="0"/>
    </cacheField>
    <cacheField name="x214" numFmtId="43">
      <sharedItems containsString="0" containsBlank="1" containsNumber="1" containsInteger="1" minValue="60" maxValue="60"/>
    </cacheField>
    <cacheField name="x215" numFmtId="43">
      <sharedItems containsSemiMixedTypes="0" containsString="0" containsNumber="1" containsInteger="1" minValue="0" maxValue="0"/>
    </cacheField>
    <cacheField name="x216" numFmtId="43">
      <sharedItems containsString="0" containsBlank="1" containsNumber="1" containsInteger="1" minValue="35" maxValue="35"/>
    </cacheField>
    <cacheField name="x217" numFmtId="43">
      <sharedItems containsSemiMixedTypes="0" containsString="0" containsNumber="1" containsInteger="1" minValue="0" maxValue="0"/>
    </cacheField>
    <cacheField name="x218" numFmtId="43">
      <sharedItems containsString="0" containsBlank="1" containsNumber="1" containsInteger="1" minValue="5" maxValue="5"/>
    </cacheField>
    <cacheField name="x219" numFmtId="43">
      <sharedItems containsMixedTypes="1" containsNumber="1" containsInteger="1" minValue="0" maxValue="0"/>
    </cacheField>
    <cacheField name="x220" numFmtId="43">
      <sharedItems containsBlank="1"/>
    </cacheField>
    <cacheField name="x221" numFmtId="43">
      <sharedItems containsString="0" containsBlank="1" containsNumber="1" minValue="12" maxValue="57"/>
    </cacheField>
    <cacheField name="x222" numFmtId="43">
      <sharedItems containsSemiMixedTypes="0" containsString="0" containsNumber="1" containsInteger="1" minValue="0" maxValue="0"/>
    </cacheField>
    <cacheField name="x223" numFmtId="43">
      <sharedItems containsSemiMixedTypes="0" containsString="0" containsNumber="1" minValue="0" maxValue="1114.2452830188679"/>
    </cacheField>
    <cacheField name="x224" numFmtId="167">
      <sharedItems containsSemiMixedTypes="0" containsString="0" containsNumber="1" containsInteger="1" minValue="0" maxValue="0"/>
    </cacheField>
    <cacheField name="x225" numFmtId="0">
      <sharedItems containsBlank="1"/>
    </cacheField>
    <cacheField name="x226" numFmtId="43">
      <sharedItems containsBlank="1"/>
    </cacheField>
    <cacheField name="x227" numFmtId="0">
      <sharedItems/>
    </cacheField>
    <cacheField name="x228" numFmtId="43">
      <sharedItems containsString="0" containsBlank="1" containsNumber="1" containsInteger="1" minValue="11" maxValue="40"/>
    </cacheField>
    <cacheField name="x229" numFmtId="43">
      <sharedItems containsSemiMixedTypes="0" containsString="0" containsNumber="1" containsInteger="1" minValue="0" maxValue="0"/>
    </cacheField>
    <cacheField name="x230" numFmtId="0">
      <sharedItems containsBlank="1"/>
    </cacheField>
    <cacheField name="x231" numFmtId="43">
      <sharedItems containsString="0" containsBlank="1" containsNumber="1" containsInteger="1" minValue="15" maxValue="68"/>
    </cacheField>
    <cacheField name="x232" numFmtId="43">
      <sharedItems containsSemiMixedTypes="0" containsString="0" containsNumber="1" containsInteger="1" minValue="0" maxValue="0"/>
    </cacheField>
    <cacheField name="x233" numFmtId="0">
      <sharedItems containsBlank="1" containsMixedTypes="1" containsNumber="1" containsInteger="1" minValue="55" maxValue="26530000021"/>
    </cacheField>
    <cacheField name="x234" numFmtId="0">
      <sharedItems containsBlank="1" containsMixedTypes="1" containsNumber="1" containsInteger="1" minValue="165" maxValue="26529000019"/>
    </cacheField>
    <cacheField name="x235" numFmtId="0">
      <sharedItems containsBlank="1" containsMixedTypes="1" containsNumber="1" containsInteger="1" minValue="165" maxValue="26530000021"/>
    </cacheField>
    <cacheField name="x236" numFmtId="0">
      <sharedItems containsBlank="1" containsMixedTypes="1" containsNumber="1" containsInteger="1" minValue="165" maxValue="26530000026"/>
    </cacheField>
    <cacheField name="x237" numFmtId="0">
      <sharedItems containsBlank="1" containsMixedTypes="1" containsNumber="1" containsInteger="1" minValue="26508000013" maxValue="26531000014"/>
    </cacheField>
    <cacheField name="x238" numFmtId="0">
      <sharedItems containsString="0" containsBlank="1" containsNumber="1" containsInteger="1" minValue="26515000006" maxValue="26531000033"/>
    </cacheField>
    <cacheField name="x239" numFmtId="0">
      <sharedItems containsString="0" containsBlank="1" containsNumber="1" containsInteger="1" minValue="26504000008" maxValue="26526000016"/>
    </cacheField>
    <cacheField name="x240" numFmtId="0">
      <sharedItems containsString="0" containsBlank="1" containsNumber="1" containsInteger="1" minValue="26505000005" maxValue="26526000013"/>
    </cacheField>
    <cacheField name="x241" numFmtId="43">
      <sharedItems containsString="0" containsBlank="1" containsNumber="1" containsInteger="1" minValue="1" maxValue="600"/>
    </cacheField>
    <cacheField name="x242" numFmtId="43">
      <sharedItems containsMixedTypes="1" containsNumber="1" containsInteger="1" minValue="0" maxValue="0"/>
    </cacheField>
    <cacheField name="x243" numFmtId="43">
      <sharedItems containsString="0" containsBlank="1" containsNumber="1" minValue="0.2" maxValue="115"/>
    </cacheField>
    <cacheField name="x244" numFmtId="43">
      <sharedItems containsMixedTypes="1" containsNumber="1" containsInteger="1" minValue="0" maxValue="0"/>
    </cacheField>
    <cacheField name="x245" numFmtId="43">
      <sharedItems containsString="0" containsBlank="1" containsNumber="1" minValue="0.4" maxValue="140"/>
    </cacheField>
    <cacheField name="x246" numFmtId="43">
      <sharedItems containsMixedTypes="1" containsNumber="1" containsInteger="1" minValue="0" maxValue="0"/>
    </cacheField>
    <cacheField name="x247" numFmtId="43">
      <sharedItems containsString="0" containsBlank="1" containsNumber="1" minValue="0.3" maxValue="40"/>
    </cacheField>
    <cacheField name="x248" numFmtId="43">
      <sharedItems containsMixedTypes="1" containsNumber="1" containsInteger="1" minValue="0" maxValue="0"/>
    </cacheField>
    <cacheField name="x249" numFmtId="43">
      <sharedItems containsString="0" containsBlank="1" containsNumber="1" minValue="0.4" maxValue="120"/>
    </cacheField>
    <cacheField name="x250" numFmtId="43">
      <sharedItems containsMixedTypes="1" containsNumber="1" containsInteger="1" minValue="0" maxValue="0"/>
    </cacheField>
    <cacheField name="x251" numFmtId="43">
      <sharedItems containsString="0" containsBlank="1" containsNumber="1" containsInteger="1" minValue="1" maxValue="80"/>
    </cacheField>
    <cacheField name="x252" numFmtId="43">
      <sharedItems containsMixedTypes="1" containsNumber="1" containsInteger="1" minValue="0" maxValue="0"/>
    </cacheField>
    <cacheField name="x253" numFmtId="43">
      <sharedItems containsString="0" containsBlank="1" containsNumber="1" containsInteger="1" minValue="9" maxValue="40"/>
    </cacheField>
    <cacheField name="x254" numFmtId="43">
      <sharedItems containsMixedTypes="1" containsNumber="1" containsInteger="1" minValue="0" maxValue="0"/>
    </cacheField>
    <cacheField name="x255" numFmtId="43">
      <sharedItems containsString="0" containsBlank="1" containsNumber="1" containsInteger="1" minValue="6" maxValue="40"/>
    </cacheField>
    <cacheField name="x256" numFmtId="43">
      <sharedItems containsMixedTypes="1" containsNumber="1" containsInteger="1" minValue="0" maxValue="0"/>
    </cacheField>
    <cacheField name="x257" numFmtId="43">
      <sharedItems containsBlank="1"/>
    </cacheField>
    <cacheField name="x258" numFmtId="43">
      <sharedItems containsString="0" containsBlank="1" containsNumber="1" containsInteger="1" minValue="15" maxValue="99"/>
    </cacheField>
    <cacheField name="x259" numFmtId="43">
      <sharedItems containsSemiMixedTypes="0" containsString="0" containsNumber="1" containsInteger="1" minValue="0" maxValue="0"/>
    </cacheField>
    <cacheField name="x260" numFmtId="43">
      <sharedItems containsSemiMixedTypes="0" containsString="0" containsNumber="1" minValue="0" maxValue="1340.0738255033557"/>
    </cacheField>
    <cacheField name="x261" numFmtId="43">
      <sharedItems containsSemiMixedTypes="0" containsString="0" containsNumber="1" containsInteger="1" minValue="0" maxValue="0"/>
    </cacheField>
    <cacheField name="x262" numFmtId="0">
      <sharedItems containsBlank="1"/>
    </cacheField>
    <cacheField name="x263" numFmtId="43">
      <sharedItems containsBlank="1"/>
    </cacheField>
    <cacheField name="x264" numFmtId="0">
      <sharedItems/>
    </cacheField>
    <cacheField name="x265" numFmtId="43">
      <sharedItems containsString="0" containsBlank="1" containsNumber="1" containsInteger="1" minValue="15" maxValue="40"/>
    </cacheField>
    <cacheField name="x266" numFmtId="43">
      <sharedItems containsSemiMixedTypes="0" containsString="0" containsNumber="1" containsInteger="1" minValue="0" maxValue="0"/>
    </cacheField>
    <cacheField name="x267" numFmtId="0">
      <sharedItems containsBlank="1"/>
    </cacheField>
    <cacheField name="x268" numFmtId="43">
      <sharedItems containsString="0" containsBlank="1" containsNumber="1" containsInteger="1" minValue="13" maxValue="13"/>
    </cacheField>
    <cacheField name="x269" numFmtId="43">
      <sharedItems containsSemiMixedTypes="0" containsString="0" containsNumber="1" containsInteger="1" minValue="0" maxValue="0"/>
    </cacheField>
    <cacheField name="x270" numFmtId="0">
      <sharedItems containsBlank="1" containsMixedTypes="1" containsNumber="1" containsInteger="1" minValue="55" maxValue="26529000013"/>
    </cacheField>
    <cacheField name="x271" numFmtId="0">
      <sharedItems containsBlank="1" containsMixedTypes="1" containsNumber="1" containsInteger="1" minValue="165" maxValue="26513000004"/>
    </cacheField>
    <cacheField name="x272" numFmtId="0">
      <sharedItems containsString="0" containsBlank="1" containsNumber="1" containsInteger="1" minValue="26507000015" maxValue="26513000003"/>
    </cacheField>
    <cacheField name="x273" numFmtId="0">
      <sharedItems containsString="0" containsBlank="1" containsNumber="1" containsInteger="1" minValue="26507000005" maxValue="26513000002"/>
    </cacheField>
    <cacheField name="x274" numFmtId="0">
      <sharedItems containsString="0" containsBlank="1" containsNumber="1" containsInteger="1" minValue="26512000021" maxValue="26512000021"/>
    </cacheField>
    <cacheField name="x275" numFmtId="0">
      <sharedItems containsNonDate="0" containsString="0" containsBlank="1"/>
    </cacheField>
    <cacheField name="x276" numFmtId="0">
      <sharedItems containsNonDate="0" containsString="0" containsBlank="1"/>
    </cacheField>
    <cacheField name="x277" numFmtId="0">
      <sharedItems containsNonDate="0" containsString="0" containsBlank="1"/>
    </cacheField>
    <cacheField name="x278" numFmtId="43">
      <sharedItems containsString="0" containsBlank="1" containsNumber="1" minValue="0.5" maxValue="1530"/>
    </cacheField>
    <cacheField name="x279" numFmtId="43">
      <sharedItems containsMixedTypes="1" containsNumber="1" containsInteger="1" minValue="0" maxValue="0"/>
    </cacheField>
    <cacheField name="x280" numFmtId="43">
      <sharedItems containsString="0" containsBlank="1" containsNumber="1" minValue="1.93" maxValue="55"/>
    </cacheField>
    <cacheField name="x281" numFmtId="43">
      <sharedItems containsMixedTypes="1" containsNumber="1" containsInteger="1" minValue="0" maxValue="0"/>
    </cacheField>
    <cacheField name="x282" numFmtId="43">
      <sharedItems containsString="0" containsBlank="1" containsNumber="1" containsInteger="1" minValue="30" maxValue="40"/>
    </cacheField>
    <cacheField name="x283" numFmtId="43">
      <sharedItems containsMixedTypes="1" containsNumber="1" containsInteger="1" minValue="0" maxValue="0"/>
    </cacheField>
    <cacheField name="x284" numFmtId="43">
      <sharedItems containsString="0" containsBlank="1" containsNumber="1" containsInteger="1" minValue="30" maxValue="40"/>
    </cacheField>
    <cacheField name="x285" numFmtId="43">
      <sharedItems containsMixedTypes="1" containsNumber="1" containsInteger="1" minValue="0" maxValue="0"/>
    </cacheField>
    <cacheField name="x286" numFmtId="43">
      <sharedItems containsString="0" containsBlank="1" containsNumber="1" containsInteger="1" minValue="40" maxValue="40"/>
    </cacheField>
    <cacheField name="x287" numFmtId="43">
      <sharedItems containsMixedTypes="1" containsNumber="1" containsInteger="1" minValue="0" maxValue="0"/>
    </cacheField>
    <cacheField name="x288" numFmtId="43">
      <sharedItems containsNonDate="0" containsString="0" containsBlank="1"/>
    </cacheField>
    <cacheField name="x289" numFmtId="43">
      <sharedItems containsSemiMixedTypes="0" containsString="0" containsNumber="1" containsInteger="1" minValue="0" maxValue="0"/>
    </cacheField>
    <cacheField name="x290" numFmtId="43">
      <sharedItems containsNonDate="0" containsString="0" containsBlank="1"/>
    </cacheField>
    <cacheField name="x291" numFmtId="43">
      <sharedItems containsSemiMixedTypes="0" containsString="0" containsNumber="1" containsInteger="1" minValue="0" maxValue="0"/>
    </cacheField>
    <cacheField name="x292" numFmtId="0">
      <sharedItems containsNonDate="0" containsString="0" containsBlank="1"/>
    </cacheField>
    <cacheField name="x293" numFmtId="43">
      <sharedItems containsSemiMixedTypes="0" containsString="0" containsNumber="1" containsInteger="1" minValue="0" maxValue="0"/>
    </cacheField>
    <cacheField name="x294" numFmtId="43">
      <sharedItems containsBlank="1"/>
    </cacheField>
    <cacheField name="x295" numFmtId="43">
      <sharedItems containsString="0" containsBlank="1" containsNumber="1" containsInteger="1" minValue="15" maxValue="50"/>
    </cacheField>
    <cacheField name="x296" numFmtId="43">
      <sharedItems containsSemiMixedTypes="0" containsString="0" containsNumber="1" containsInteger="1" minValue="0" maxValue="0"/>
    </cacheField>
    <cacheField name="x297" numFmtId="43">
      <sharedItems containsSemiMixedTypes="0" containsString="0" containsNumber="1" minValue="0" maxValue="4021.3142857142857"/>
    </cacheField>
    <cacheField name="x298" numFmtId="43">
      <sharedItems containsSemiMixedTypes="0" containsString="0" containsNumber="1" containsInteger="1" minValue="0" maxValue="0"/>
    </cacheField>
    <cacheField name="x299" numFmtId="43">
      <sharedItems containsString="0" containsBlank="1" containsNumber="1" containsInteger="1" minValue="0" maxValue="60"/>
    </cacheField>
    <cacheField name="x300" numFmtId="43">
      <sharedItems containsString="0" containsBlank="1" containsNumber="1" minValue="0" maxValue="340"/>
    </cacheField>
    <cacheField name="x301" numFmtId="43">
      <sharedItems containsString="0" containsBlank="1" containsNumber="1" containsInteger="1" minValue="0" maxValue="120"/>
    </cacheField>
    <cacheField name="x302" numFmtId="43">
      <sharedItems containsString="0" containsBlank="1" containsNumber="1" containsInteger="1" minValue="0" maxValue="230"/>
    </cacheField>
    <cacheField name="x303" numFmtId="43">
      <sharedItems containsString="0" containsBlank="1" containsNumber="1" containsInteger="1" minValue="0" maxValue="290"/>
    </cacheField>
    <cacheField name="x304" numFmtId="43">
      <sharedItems containsString="0" containsBlank="1" containsNumber="1" containsInteger="1" minValue="0" maxValue="200"/>
    </cacheField>
    <cacheField name="x305" numFmtId="43">
      <sharedItems containsString="0" containsBlank="1" containsNumber="1" containsInteger="1" minValue="0" maxValue="360"/>
    </cacheField>
    <cacheField name="x306" numFmtId="43">
      <sharedItems containsString="0" containsBlank="1" containsNumber="1" containsInteger="1" minValue="0" maxValue="970"/>
    </cacheField>
    <cacheField name="x307" numFmtId="9">
      <sharedItems containsString="0" containsBlank="1" containsNumber="1" minValue="0.3" maxValue="0.8"/>
    </cacheField>
    <cacheField name="x308" numFmtId="9">
      <sharedItems containsString="0" containsBlank="1" containsNumber="1" minValue="0.2" maxValue="0.2"/>
    </cacheField>
    <cacheField name="x309" numFmtId="0">
      <sharedItems containsNonDate="0" containsString="0" containsBlank="1"/>
    </cacheField>
    <cacheField name="x310" numFmtId="9">
      <sharedItems containsString="0" containsBlank="1" containsNumber="1" minValue="0.5" maxValue="0.5"/>
    </cacheField>
    <cacheField name="x311" numFmtId="9">
      <sharedItems containsString="0" containsBlank="1" containsNumber="1" minValue="0.2" maxValue="0.2"/>
    </cacheField>
    <cacheField name="x312" numFmtId="43">
      <sharedItems containsSemiMixedTypes="0" containsString="0" containsNumber="1" containsInteger="1" minValue="0" maxValue="0"/>
    </cacheField>
    <cacheField name="x313" numFmtId="43">
      <sharedItems containsSemiMixedTypes="0" containsString="0" containsNumber="1" containsInteger="1" minValue="0" maxValue="4043"/>
    </cacheField>
    <cacheField name="NCE" numFmtId="43">
      <sharedItems containsSemiMixedTypes="0" containsString="0" containsNumber="1" containsInteger="1" minValue="0" maxValue="0"/>
    </cacheField>
    <cacheField name="x314" numFmtId="43">
      <sharedItems containsSemiMixedTypes="0" containsString="0" containsNumber="1" containsInteger="1" minValue="0" maxValue="0"/>
    </cacheField>
    <cacheField name="Solvent (Roto tank)" numFmtId="167">
      <sharedItems containsSemiMixedTypes="0" containsString="0" containsNumber="1" containsInteger="1" minValue="0" maxValue="4043"/>
    </cacheField>
    <cacheField name="Solvent (Calculation)" numFmtId="167">
      <sharedItems containsSemiMixedTypes="0" containsString="0" containsNumber="1" containsInteger="1" minValue="0" maxValue="4043"/>
    </cacheField>
    <cacheField name="x315" numFmtId="43">
      <sharedItems containsSemiMixedTypes="0" containsString="0" containsNumber="1" minValue="0" maxValue="3234.4"/>
    </cacheField>
    <cacheField name="x316" numFmtId="43">
      <sharedItems containsSemiMixedTypes="0" containsString="0" containsNumber="1" containsInteger="1" minValue="0" maxValue="0"/>
    </cacheField>
    <cacheField name="x317" numFmtId="43">
      <sharedItems containsSemiMixedTypes="0" containsString="0" containsNumber="1" minValue="0" maxValue="808.6"/>
    </cacheField>
    <cacheField name="x318" numFmtId="43">
      <sharedItems containsSemiMixedTypes="0" containsString="0" containsNumber="1" containsInteger="1" minValue="0" maxValue="0"/>
    </cacheField>
    <cacheField name="x319" numFmtId="43">
      <sharedItems containsSemiMixedTypes="0" containsString="0" containsNumber="1" containsInteger="1" minValue="0" maxValue="0"/>
    </cacheField>
    <cacheField name="x320" numFmtId="43">
      <sharedItems containsSemiMixedTypes="0" containsString="0" containsNumber="1" containsInteger="1" minValue="0" maxValue="0"/>
    </cacheField>
    <cacheField name="x321" numFmtId="43">
      <sharedItems containsSemiMixedTypes="0" containsString="0" containsNumber="1" minValue="0" maxValue="1942.5"/>
    </cacheField>
    <cacheField name="x322" numFmtId="43">
      <sharedItems containsSemiMixedTypes="0" containsString="0" containsNumber="1" containsInteger="1" minValue="0" maxValue="0"/>
    </cacheField>
    <cacheField name=" " numFmtId="43">
      <sharedItems containsSemiMixedTypes="0" containsString="0" containsNumber="1" minValue="0" maxValue="777"/>
    </cacheField>
    <cacheField name="x323" numFmtId="43">
      <sharedItems containsSemiMixedTypes="0" containsString="0" containsNumber="1" containsInteger="1" minValue="0" maxValue="0"/>
    </cacheField>
    <cacheField name="xSol" numFmtId="43">
      <sharedItems containsSemiMixedTypes="0" containsString="0" containsNumber="1" containsInteger="1" minValue="0" maxValue="0"/>
    </cacheField>
    <cacheField name="x324" numFmtId="43">
      <sharedItems containsSemiMixedTypes="0" containsString="0" containsNumber="1" containsInteger="1" minValue="0" maxValue="0"/>
    </cacheField>
    <cacheField name="Value" numFmtId="167">
      <sharedItems containsSemiMixedTypes="0" containsString="0" containsNumber="1" containsInteger="1" minValue="0" maxValue="0"/>
    </cacheField>
    <cacheField name="-" numFmtId="43">
      <sharedItems containsNonDate="0" containsString="0" containsBlank="1"/>
    </cacheField>
    <cacheField name="Fresh Ink Issued" numFmtId="43">
      <sharedItems containsSemiMixedTypes="0" containsString="0" containsNumber="1" minValue="3" maxValue="2999.7"/>
    </cacheField>
    <cacheField name="Mix_x000a_ink consumed" numFmtId="43">
      <sharedItems containsSemiMixedTypes="0" containsString="0" containsNumber="1" minValue="0" maxValue="7992.7"/>
    </cacheField>
    <cacheField name="Logsheet #" numFmtId="0">
      <sharedItems containsMixedTypes="1" containsNumber="1" containsInteger="1" minValue="1" maxValue="236"/>
    </cacheField>
    <cacheField name="check" numFmtId="0">
      <sharedItems/>
    </cacheField>
    <cacheField name="1" numFmtId="43">
      <sharedItems/>
    </cacheField>
    <cacheField name="2" numFmtId="43">
      <sharedItems/>
    </cacheField>
    <cacheField name="3" numFmtId="43">
      <sharedItems/>
    </cacheField>
    <cacheField name="4" numFmtId="43">
      <sharedItems/>
    </cacheField>
    <cacheField name="5" numFmtId="43">
      <sharedItems/>
    </cacheField>
    <cacheField name="6" numFmtId="43">
      <sharedItems/>
    </cacheField>
    <cacheField name="7" numFmtId="43">
      <sharedItems/>
    </cacheField>
    <cacheField name="8" numFmtId="43">
      <sharedItems/>
    </cacheField>
    <cacheField name=" 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PP" refreshedDate="46150.61204861111" createdVersion="8" refreshedVersion="8" minRefreshableVersion="3" recordCount="497" xr:uid="{0A58950D-D250-47E1-81F9-531ECFBC4E5F}">
  <cacheSource type="worksheet">
    <worksheetSource ref="P4:Q501" sheet="Ptd_Mtr"/>
  </cacheSource>
  <cacheFields count="2">
    <cacheField name="WO" numFmtId="171">
      <sharedItems containsNonDate="0" containsBlank="1" count="443">
        <m/>
        <s v="N00878" u="1"/>
        <s v="N00706" u="1"/>
        <s v="R00011" u="1"/>
        <s v="R00010" u="1"/>
        <s v="R00008" u="1"/>
        <s v="R00009" u="1"/>
        <s v="R00012" u="1"/>
        <s v="R00013" u="1"/>
        <s v="P00435" u="1"/>
        <s v="C01434" u="1"/>
        <s v="E00996" u="1"/>
        <s v="E00997" u="1"/>
        <s v="N00703" u="1"/>
        <s v="G00376" u="1"/>
        <s v="B01041" u="1"/>
        <s v="G00397" u="1"/>
        <s v="G00395" u="1"/>
        <s v="G00396" u="1"/>
        <s v="B01031" u="1"/>
        <s v="B01032" u="1"/>
        <s v="C01421" u="1"/>
        <s v="C01430" u="1"/>
        <s v="C01431" u="1"/>
        <s v="H01292" u="1"/>
        <s v="H01282" u="1"/>
        <s v="H01203" u="1"/>
        <s v="J00950" u="1"/>
        <s v="J00951" u="1"/>
        <s v="J00952" u="1"/>
        <s v="J00953" u="1"/>
        <s v="J00954" u="1"/>
        <s v="C01392" u="1"/>
        <s v="C01403" u="1"/>
        <s v="C01390" u="1"/>
        <s v="B01043" u="1"/>
        <s v="F00835" u="1"/>
        <s v="F00856" u="1"/>
        <s v="F00834" u="1"/>
        <s v="F00851" u="1"/>
        <s v="F00857" u="1"/>
        <s v="H01278" u="1"/>
        <s v="C01414" u="1"/>
        <s v="E00976" u="1"/>
        <s v="E00990" u="1"/>
        <s v="E00978" u="1"/>
        <s v="E00985" u="1"/>
        <s v="C01416" u="1"/>
        <s v="C01417" u="1"/>
        <s v="C01418" u="1"/>
        <s v="N00812" u="1"/>
        <s v="N00810" u="1"/>
        <s v="N00811" u="1"/>
        <s v="N00813" u="1"/>
        <s v="C01449" u="1"/>
        <s v="H01335" u="1"/>
        <s v="F00836" u="1"/>
        <s v="N00830" u="1"/>
        <s v="N00829" u="1"/>
        <s v="N00827" u="1"/>
        <s v="N00828" u="1"/>
        <s v="N00831" u="1"/>
        <s v="H01325" u="1"/>
        <s v="H01206" u="1"/>
        <s v="H01323" u="1"/>
        <s v="H01273" u="1"/>
        <s v="H01208" u="1"/>
        <s v="J00869" u="1"/>
        <s v="J00870" u="1"/>
        <s v="J00872" u="1"/>
        <s v="J00874" u="1"/>
        <s v="J00871" u="1"/>
        <s v="B01025" u="1"/>
        <s v="N00907" u="1"/>
        <s v="H01307" u="1"/>
        <s v="H01362" u="1"/>
        <s v="H01312" u="1"/>
        <s v="H01327" u="1"/>
        <s v="H01330" u="1"/>
        <s v="H01322" u="1"/>
        <s v="J00827" u="1"/>
        <s v="H01221" u="1"/>
        <s v="N00700" u="1"/>
        <s v="H01306" u="1"/>
        <s v="N00877" u="1"/>
        <s v="C00979" u="1"/>
        <s v="C00978" u="1"/>
        <s v="C00981" u="1"/>
        <s v="C00968" u="1"/>
        <s v="C00972" u="1"/>
        <s v="C00965" u="1"/>
        <s v="H01353" u="1"/>
        <s v="H01352" u="1"/>
        <s v="H01366" u="1"/>
        <s v="N00871" u="1"/>
        <s v="C01441" u="1"/>
        <s v="C01442" u="1"/>
        <s v="E00979" u="1"/>
        <s v="C01458" u="1"/>
        <s v="C01455" u="1"/>
        <s v="C01459" u="1"/>
        <s v="N00879" u="1"/>
        <s v="N00876" u="1"/>
        <s v="B01030" u="1"/>
        <s v="J00955" u="1"/>
        <s v="J00956" u="1"/>
        <s v="C01460" u="1"/>
        <s v="N00765" u="1"/>
        <s v="F00858" u="1"/>
        <s v="N00794" u="1"/>
        <s v="C01330" u="1"/>
        <s v="N00809" u="1"/>
        <s v="P00432" u="1"/>
        <s v="N00887" u="1"/>
        <s v="F00852" u="1"/>
        <s v="F00854" u="1"/>
        <s v="N00798" u="1"/>
        <s v="N00791" u="1"/>
        <s v="N00799" u="1"/>
        <s v="N00800" u="1"/>
        <s v="N00792" u="1"/>
        <s v="C01461" u="1"/>
        <s v="L00294" u="1"/>
        <s v="F00853" u="1"/>
        <s v="F00855" u="1"/>
        <s v="C01354" u="1"/>
        <s v="F00841" u="1"/>
        <s v="F00825" u="1"/>
        <s v="B01042" u="1"/>
        <s v="C01425" u="1"/>
        <s v="C01423" u="1"/>
        <s v="B01047" u="1"/>
        <s v="N00908" u="1"/>
        <s v="C01426" u="1"/>
        <s v="C01424" u="1"/>
        <s v="C01452" u="1"/>
        <s v="C01453" u="1"/>
        <s v="E00988" u="1"/>
        <s v="C01457" u="1"/>
        <s v="H01216" u="1"/>
        <s v="G00402" u="1"/>
        <s v="G00405" u="1"/>
        <s v="J00969" u="1"/>
        <s v="J00968" u="1"/>
        <s v="J00966" u="1"/>
        <s v="H01337" u="1"/>
        <s v="N00784" u="1"/>
        <s v="N00826" u="1"/>
        <s v="N00793" u="1"/>
        <s v="N00797" u="1"/>
        <s v="G00399" u="1"/>
        <s v="G00400" u="1"/>
        <s v="F00861" u="1"/>
        <s v="C01465" u="1"/>
        <s v="C01466" u="1"/>
        <s v="C01467" u="1"/>
        <s v="K00026" u="1"/>
        <s v="N00764" u="1"/>
        <s v="B01050" u="1"/>
        <s v="C01485" u="1"/>
        <s v="C01487" u="1"/>
        <s v="C01486" u="1"/>
        <s v="C01488" u="1"/>
        <s v="J00975" u="1"/>
        <s v="J00976" u="1"/>
        <s v="J00977" u="1"/>
        <s v="J00979" u="1"/>
        <s v="H01342" u="1"/>
        <s v="E01016" u="1"/>
        <s v="E01017" u="1"/>
        <s v="C01482" u="1"/>
        <s v="C01475" u="1"/>
        <s v="J00970" u="1"/>
        <s v="C01478" u="1"/>
        <s v="J00986" u="1"/>
        <s v="J00980" u="1"/>
        <s v="J00981" u="1"/>
        <s v="J00982" u="1"/>
        <s v="J00985" u="1"/>
        <s v="J00983" u="1"/>
        <s v="P00460" u="1"/>
        <s v="G00406" u="1"/>
        <s v="N00938" u="1"/>
        <s v="N00943" u="1"/>
        <s v="C01477" u="1"/>
        <s v="C01481" u="1"/>
        <s v="C01479" u="1"/>
        <s v="N00843" u="1"/>
        <s v="J00912" u="1"/>
        <s v="J00987" u="1"/>
        <s v="J00911" u="1"/>
        <s v="B01046" u="1"/>
        <s v="C01324" u="1"/>
        <s v="C01446" u="1"/>
        <s v="C01489" u="1"/>
        <s v="C01445" u="1"/>
        <s v="C01433" u="1"/>
        <s v="N00939" u="1"/>
        <s v="N00944" u="1"/>
        <s v="P00480" u="1"/>
        <s v="P00459" u="1"/>
        <s v="P00447" u="1"/>
        <s v="P00448" u="1"/>
        <s v="C01491" u="1"/>
        <s v="C01493" u="1"/>
        <s v="P00473" u="1"/>
        <s v="P00437" u="1"/>
        <s v="B01054" u="1"/>
        <s v="G00407" u="1"/>
        <s v="H01331" u="1"/>
        <s v="H01332" u="1"/>
        <s v="B01053" u="1"/>
        <s v="B01048" u="1"/>
        <s v="J00997" u="1"/>
        <s v="J00998" u="1"/>
        <s v="P00456" u="1"/>
        <s v="C01472" u="1"/>
        <s v="C01473" u="1"/>
        <s v="C01474" u="1"/>
        <s v="J00957" u="1"/>
        <s v="J00958" u="1"/>
        <s v="J00959" u="1"/>
        <s v="H01318" u="1"/>
        <s v="J00999" u="1"/>
        <s v="C01484" u="1"/>
        <s v="G00386" u="1"/>
        <s v="G00385" u="1"/>
        <s v="G00390" u="1"/>
        <s v="F00864" u="1"/>
        <s v="F00862" u="1"/>
        <s v="N00841" u="1"/>
        <s v="H01356" u="1"/>
        <s v="H01279" u="1"/>
        <s v="E01025" u="1"/>
        <s v="N00834" u="1"/>
        <s v="B01037" u="1"/>
        <s v="J00984" u="1"/>
        <s v="H01378" u="1"/>
        <s v="B01051" u="1"/>
        <s v="B01049" u="1"/>
        <s v="N00806" u="1"/>
        <s v="N00805" u="1"/>
        <s v="N00807" u="1"/>
        <s v="N00901" u="1"/>
        <s v="N00751" u="1"/>
        <s v="F00863" u="1"/>
        <s v="H01358" u="1"/>
        <s v="H01357" u="1"/>
        <s v="E01015" u="1"/>
        <s v="E01019" u="1"/>
        <s v="E01014" u="1"/>
        <s v="E01024" u="1"/>
        <s v="N00895" u="1"/>
        <s v="C01492" u="1"/>
        <s v="C01411" u="1"/>
        <s v="C01410" u="1"/>
        <s v="B01055" u="1"/>
        <s v="E01028" u="1"/>
        <s v="E01030" u="1"/>
        <s v="F00865" u="1"/>
        <s v="F00875" u="1"/>
        <s v="F00877" u="1"/>
        <s v="N00896" u="1"/>
        <s v="N00893" u="1"/>
        <s v="F00869" u="1"/>
        <s v="F00873" u="1"/>
        <s v="J00978" u="1"/>
        <s v="F00870" u="1"/>
        <s v="G00401" u="1"/>
        <s v="G00403" u="1"/>
        <s v="P00485" u="1"/>
        <s v="F00876" u="1"/>
        <s v="F00874" u="1"/>
        <s v="F00871" u="1"/>
        <s v="P00465" u="1"/>
        <s v="F00868" u="1"/>
        <s v="N00948" u="1"/>
        <s v="C01507" u="1"/>
        <s v="C01505" u="1"/>
        <s v="C01504" u="1"/>
        <s v="C01480" u="1"/>
        <s v="J00995" u="1"/>
        <s v="J01001" u="1"/>
        <s v="B01038" u="1"/>
        <s v="J00992" u="1"/>
        <s v="J00994" u="1"/>
        <s v="J00993" u="1"/>
        <s v="J00991" u="1"/>
        <s v="N00989" u="1"/>
        <s v="B00974" u="1"/>
        <s v="F00867" u="1"/>
        <s v="F00866" u="1"/>
        <s v="N00954" u="1"/>
        <s v="N00951" u="1"/>
        <s v="N00953" u="1"/>
        <s v="N00950" u="1"/>
        <s v="N00952" u="1"/>
        <s v="P00417" u="1"/>
        <s v="P00453" u="1"/>
        <s v="F00882" u="1"/>
        <s v="B01067" u="1"/>
        <s v="B01068" u="1"/>
        <s v="C01287" u="1"/>
        <s v="N00705" u="1"/>
        <s v="R00007" u="1"/>
        <s v="N00795" u="1"/>
        <s v="P00463" u="1"/>
        <s v="P00418" u="1"/>
        <s v="P00454" u="1"/>
        <s v="P00452" u="1"/>
        <s v="N00892" u="1"/>
        <s v="C01490" u="1"/>
        <s v="F00879" u="1"/>
        <s v="H01274" u="1"/>
        <s v="J00967" u="1"/>
        <s v="B01074" u="1"/>
        <s v="B01073" u="1"/>
        <s v="F00860" u="1"/>
        <s v="F00859" u="1"/>
        <s v="C01471" u="1"/>
        <s v="C01470" u="1"/>
        <s v="C01451" u="1"/>
        <s v="J01002" u="1"/>
        <s v="J01003" u="1"/>
        <s v="L00324" u="1"/>
        <s v="N00903" u="1"/>
        <s v="N00904" u="1"/>
        <s v="N00905" u="1"/>
        <s v="P00464" u="1"/>
        <s v="P00494" u="1"/>
        <s v="F00887" u="1"/>
        <s v="E01026" u="1"/>
        <s v="F00886" u="1"/>
        <s v="F00891" u="1"/>
        <s v="L00325" u="1"/>
        <s v="C01513" u="1"/>
        <s v="C01496" u="1"/>
        <s v="C01512" u="1"/>
        <s v="C01517" u="1"/>
        <s v="C01515" u="1"/>
        <s v="N00960" u="1"/>
        <s v="F00889" u="1"/>
        <s v="E01027" u="1"/>
        <s v="C01495" u="1"/>
        <s v="C01494" u="1"/>
        <s v="H01394" u="1"/>
        <s v="E01029" u="1"/>
        <s v="B01071" u="1"/>
        <s v="B01070" u="1"/>
        <s v="B01075" u="1"/>
        <s v="B01072" u="1"/>
        <s v="B01076" u="1"/>
        <s v="G00409" u="1"/>
        <s v="C01518" u="1"/>
        <s v="C01519" u="1"/>
        <s v="G00410" u="1"/>
        <s v="L00333" u="1"/>
        <s v="L00331" u="1"/>
        <s v="L00330" u="1"/>
        <s v="E01031" u="1"/>
        <s v="C01511" u="1"/>
        <s v="F00888" u="1"/>
        <s v="H01308" u="1"/>
        <s v="H01388" u="1"/>
        <s v="F00890" u="1"/>
        <s v="C01448" u="1"/>
        <s v="C01521" u="1"/>
        <s v="N00961" u="1"/>
        <s v="H01268" u="1"/>
        <s v="H01205" u="1"/>
        <s v="C01522" u="1"/>
        <s v="C01520" u="1"/>
        <s v="H01271" u="1"/>
        <s v="P00461" u="1"/>
        <s v="N00868" u="1"/>
        <s v="N00869" u="1"/>
        <s v="C01524" u="1"/>
        <s v="C01525" u="1"/>
        <s v="E01045" u="1"/>
        <s v="H01215" u="1"/>
        <s v="H01272" u="1"/>
        <s v="C01435" u="1"/>
        <s v="C01429" u="1"/>
        <s v="B01018" u="1"/>
        <s v="N00894" u="1"/>
        <s v="J00873" u="1"/>
        <s v="J00877" u="1"/>
        <s v="J00875" u="1"/>
        <s v="B01011" u="1"/>
        <s v="G00413" u="1"/>
        <s v="G00414" u="1"/>
        <s v="G00415" u="1"/>
        <s v="H01395" u="1"/>
        <s v="N00897" u="1"/>
        <s v="N00900" u="1"/>
        <s v="N00898" u="1"/>
        <s v="N00899" u="1"/>
        <s v="H01380" u="1"/>
        <s v="P00419" u="1"/>
        <s v="G00416" u="1"/>
        <s v="F00892" u="1"/>
        <s v="B01065" u="1"/>
        <s v="N00862" u="1"/>
        <s v="N00861" u="1"/>
        <s v="N00860" u="1"/>
        <s v="N00704" u="1"/>
        <s v="H01266" u="1"/>
        <s v="J00974" u="1"/>
        <s v="N00870" u="1"/>
        <s v="J00942" u="1"/>
        <s v="E00989" u="1"/>
        <s v="E01021" u="1"/>
        <s v="E01018" u="1"/>
        <s v="H01355" u="1"/>
        <s v="H01391" u="1"/>
        <s v="H01387" u="1"/>
        <s v="N00902" u="1"/>
        <s v="N00890" u="1"/>
        <s v="P00491" u="1"/>
        <s v="P00492" u="1"/>
        <s v="J00945" u="1"/>
        <s v="H01293" u="1"/>
        <s v="C01523" u="1"/>
        <s v="C01325" u="1"/>
        <s v="P00493" u="1"/>
        <s v="C01531" u="1"/>
        <s v="H01360" u="1"/>
        <s v="H01363" u="1"/>
        <s v="H01364" u="1"/>
        <s v="H01365" u="1"/>
        <s v="B01058" u="1"/>
        <s v="F00897" u="1"/>
        <s v="F00893" u="1"/>
        <s v="C01554" u="1"/>
        <s v="C01528" u="1"/>
        <s v="C01552" u="1"/>
        <s v="C01553" u="1"/>
        <s v="C01529" u="1"/>
        <s v="C01497" u="1"/>
        <s v="C01499" u="1"/>
        <s v="B01084" u="1"/>
        <s v="H01270" u="1"/>
        <s v="C01501" u="1"/>
      </sharedItems>
    </cacheField>
    <cacheField name="Sum of Output (Meters)" numFmtId="16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PP" refreshedDate="46150.613585069441" createdVersion="8" refreshedVersion="8" minRefreshableVersion="3" recordCount="394" xr:uid="{0B81625D-650A-4EC5-8FE4-5B4126EE28AA}">
  <cacheSource type="worksheet">
    <worksheetSource ref="A9:ML403" sheet="Jan-2026"/>
  </cacheSource>
  <cacheFields count="350">
    <cacheField name="Date" numFmtId="166">
      <sharedItems containsSemiMixedTypes="0" containsNonDate="0" containsDate="1" containsString="0" minDate="2026-01-02T00:00:00" maxDate="2026-02-01T00:00:00"/>
    </cacheField>
    <cacheField name="Shift" numFmtId="43">
      <sharedItems/>
    </cacheField>
    <cacheField name="WO" numFmtId="0">
      <sharedItems count="389">
        <s v="N00878"/>
        <s v="N00706"/>
        <s v="R00011"/>
        <s v="R00010"/>
        <s v="R00008"/>
        <s v="R00009"/>
        <s v="R00012"/>
        <s v="R00013"/>
        <s v="P00435"/>
        <s v="G00376"/>
        <s v="B01041"/>
        <s v="G00397/G00395/G00396"/>
        <s v="B01031/B01032"/>
        <s v="J00950"/>
        <s v="J00951"/>
        <s v="J00952"/>
        <s v="J00953"/>
        <s v="J00954"/>
        <s v="C01392"/>
        <s v="C01403/C01390"/>
        <s v="B01043"/>
        <s v="F00835/F00856/F00834"/>
        <s v="F00851"/>
        <s v="F00857"/>
        <s v="C01449"/>
        <s v="J00869"/>
        <s v="J00870"/>
        <s v="J00872"/>
        <s v="J00874"/>
        <s v="J00871"/>
        <s v="B01025"/>
        <s v="N00907"/>
        <s v="H01307"/>
        <s v="H01362"/>
        <s v="H01306"/>
        <s v="N00877"/>
        <s v="C01434"/>
        <s v="E00996"/>
        <s v="E00997"/>
        <s v="N00703"/>
        <s v="C01421"/>
        <s v="C01430"/>
        <s v="C01431"/>
        <s v="H01292"/>
        <s v="H01282"/>
        <s v="H01203"/>
        <s v="E00976"/>
        <s v="E00990"/>
        <s v="E00978"/>
        <s v="E00985"/>
        <s v="H01278"/>
        <s v="C01414"/>
        <s v="F00836"/>
        <s v="C01416"/>
        <s v="N00830"/>
        <s v="C01417"/>
        <s v="C01418"/>
        <s v="N00828"/>
        <s v="N00829"/>
        <s v="N00827"/>
        <s v="N00812"/>
        <s v="N00831"/>
        <s v="N00810"/>
        <s v="H01325"/>
        <s v="N00811"/>
        <s v="N00813"/>
        <s v="H01206"/>
        <s v="H01323"/>
        <s v="H01335"/>
        <s v="H01273"/>
        <s v="H01208"/>
        <s v="H01312"/>
        <s v="H01327"/>
        <s v="H01330"/>
        <s v="H01322"/>
        <s v="J00827"/>
        <s v="H01221"/>
        <s v="N00700"/>
        <s v="N00871"/>
        <s v="C01443/C01441/C01442"/>
        <s v="C00979/C00978/C00981/C00968/C00972/C00965"/>
        <s v="E00979"/>
        <s v="C01458"/>
        <s v="C01455"/>
        <s v="C01459"/>
        <s v="H01353/H01352"/>
        <s v="H01366"/>
        <s v="C01330"/>
        <s v="N00809"/>
        <s v="P00432"/>
        <s v="N00887"/>
        <s v="F00852"/>
        <s v="F00854"/>
        <s v="F00853"/>
        <s v="F00855"/>
        <s v="C01354"/>
        <s v="F00841"/>
        <s v="F00825"/>
        <s v="B01042"/>
        <s v="C01425"/>
        <s v="C01426"/>
        <s v="C01423"/>
        <s v="C01424"/>
        <s v="C01452"/>
        <s v="C01453"/>
        <s v="E00988"/>
        <s v="C01457"/>
        <s v="H01216"/>
        <s v="G00405/G00402"/>
        <s v="J00969"/>
        <s v="J00968"/>
        <s v="J00966"/>
        <s v="H01337"/>
        <s v="H01342"/>
        <s v="E01016"/>
        <s v="E01017"/>
        <s v="C01482"/>
        <s v="C01475"/>
        <s v="J00970"/>
        <s v="C01477/C01478/C01481/C01479"/>
        <s v="N00841"/>
        <s v="N00843"/>
        <s v="J00911/J00912/J00987"/>
        <s v="B01046"/>
        <s v="C01324"/>
        <s v="C01446"/>
        <s v="C01489"/>
        <s v="C01445"/>
        <s v="C01433"/>
        <s v="N00879"/>
        <s v="N00876"/>
        <s v="B01030"/>
        <s v="J00955/J00956"/>
        <s v="C01460"/>
        <s v="N00765"/>
        <s v="F00858"/>
        <s v="N00794"/>
        <s v="N00798"/>
        <s v="N00791"/>
        <s v="N00799/N00800"/>
        <s v="N00792"/>
        <s v="C01461"/>
        <s v="L00294"/>
        <s v="B01047"/>
        <s v="N00908/N00784"/>
        <s v="N00826"/>
        <s v="N00793"/>
        <s v="N00797"/>
        <s v="G00399"/>
        <s v="G00400"/>
        <s v="F00861"/>
        <s v="C01465/C01466"/>
        <s v="C01467"/>
        <s v="N00764"/>
        <s v="K00026"/>
        <s v="B01050"/>
        <s v="C01485"/>
        <s v="C01487"/>
        <s v="C01486"/>
        <s v="C01488"/>
        <s v="J00975"/>
        <s v="J00976/J00977"/>
        <s v="J00979"/>
        <s v="J00986"/>
        <s v="J00980"/>
        <s v="J00981/J00982"/>
        <s v="J00983"/>
        <s v="J00985"/>
        <s v="P00460"/>
        <s v="G00406"/>
        <s v="N00938"/>
        <s v="N00943"/>
        <s v="N00939"/>
        <s v="N00944"/>
        <s v="P00480"/>
        <s v="P00459"/>
        <s v="P00447"/>
        <s v="P00448"/>
        <s v="C01491"/>
        <s v="C01493"/>
        <s v="P00473"/>
        <s v="P00437"/>
        <s v="B01054"/>
        <s v="G00407"/>
        <s v="P00456"/>
        <s v="B01037"/>
        <s v="J00984"/>
        <s v="H01378"/>
        <s v="B01051"/>
        <s v="B01049"/>
        <s v="C01492"/>
        <s v="H01331"/>
        <s v="H01332"/>
        <s v="B01053"/>
        <s v="B01048"/>
        <s v="J00997"/>
        <s v="J00998"/>
        <s v="J00999"/>
        <s v="C01484"/>
        <s v="C01472/C01473/C01474"/>
        <s v="G00386/G00385"/>
        <s v="G00390"/>
        <s v="F00864"/>
        <s v="J00957"/>
        <s v="J00958"/>
        <s v="J00959"/>
        <s v="F00862"/>
        <s v="H01318"/>
        <s v="N00806/N00805"/>
        <s v="H01356"/>
        <s v="H01279"/>
        <s v="E01025"/>
        <s v="N00807"/>
        <s v="N00901"/>
        <s v="N00751"/>
        <s v="N00834"/>
        <s v="F00863"/>
        <s v="H01358"/>
        <s v="H01357"/>
        <s v="C01411/C01410"/>
        <s v="E01015"/>
        <s v="B01055"/>
        <s v="E01019"/>
        <s v="E01028"/>
        <s v="E01014"/>
        <s v="E01030"/>
        <s v="F00865"/>
        <s v="E01024"/>
        <s v="F00875"/>
        <s v="N00895"/>
        <s v="F00877"/>
        <s v="F00876"/>
        <s v="F00874"/>
        <s v="F00871"/>
        <s v="N00896"/>
        <s v="N00893"/>
        <s v="P00465"/>
        <s v="F00869"/>
        <s v="F00868"/>
        <s v="F00873"/>
        <s v="N00948"/>
        <s v="C01507"/>
        <s v="F00870"/>
        <s v="C01505"/>
        <s v="C01504"/>
        <s v="G00401"/>
        <s v="G00403"/>
        <s v="C01480"/>
        <s v="F00867"/>
        <s v="F00866"/>
        <s v="N00954"/>
        <s v="N00951"/>
        <s v="N00953"/>
        <s v="N00950"/>
        <s v="N00952"/>
        <s v="P00417"/>
        <s v="P00453"/>
        <s v="P00418"/>
        <s v="P00454"/>
        <s v="P00452"/>
        <s v="N00892"/>
        <s v="C01490"/>
        <s v="F00879"/>
        <s v="N00705"/>
        <s v="H01274"/>
        <s v="J00967"/>
        <s v="N00903"/>
        <s v="N00904"/>
        <s v="N00905"/>
        <s v="P00464"/>
        <s v="P00494"/>
        <s v="F00887"/>
        <s v="E01026"/>
        <s v="F00886"/>
        <s v="F00891"/>
        <s v="F00889"/>
        <s v="E01027"/>
        <s v="C01494/C01495"/>
        <s v="H01394"/>
        <s v="E01029"/>
        <s v="E01031"/>
        <s v="F00888"/>
        <s v="C01511"/>
        <s v="J00978"/>
        <s v="P00485"/>
        <s v="J00995"/>
        <s v="J01001"/>
        <s v="B01038"/>
        <s v="J00992"/>
        <s v="J00994"/>
        <s v="J00993/J00991"/>
        <s v="N00989"/>
        <s v="B00974"/>
        <s v="F00882"/>
        <s v="B01067/B01068"/>
        <s v="C01287"/>
        <s v="R00007"/>
        <s v="N00795"/>
        <s v="P00463"/>
        <s v="B01074/B01073"/>
        <s v="F00860"/>
        <s v="F00859"/>
        <s v="C01471"/>
        <s v="C01470"/>
        <s v="C01451"/>
        <s v="J01002/J01003"/>
        <s v="L00324/L00325"/>
        <s v="C01513"/>
        <s v="C01496/C01512"/>
        <s v="C01517"/>
        <s v="C01515"/>
        <s v="N00960"/>
        <s v="B01071/B01070"/>
        <s v="B01075"/>
        <s v="B01072"/>
        <s v="B01076"/>
        <s v="G00409"/>
        <s v="G00410"/>
        <s v="C01518/C01519"/>
        <s v="L00333"/>
        <s v="L00331"/>
        <s v="L00330"/>
        <s v="N00961"/>
        <s v="P00461"/>
        <s v="J00873"/>
        <s v="J00877"/>
        <s v="J00875"/>
        <s v="B01011"/>
        <s v="G00413"/>
        <s v="G00414/G00415"/>
        <s v="G00416"/>
        <s v="F00892"/>
        <s v="B01065"/>
        <s v="H01308"/>
        <s v="H01388"/>
        <s v="F00890"/>
        <s v="C01448"/>
        <s v="C01521"/>
        <s v="C01522"/>
        <s v="C01520"/>
        <s v="H01215/H01271/H01272"/>
        <s v="H01268/H01205"/>
        <s v="N00868/N00869"/>
        <s v="C01435"/>
        <s v="C01524/C01525"/>
        <s v="E01045"/>
        <s v="C01429"/>
        <s v="B01018"/>
        <s v="N00894"/>
        <s v="H01395"/>
        <s v="N00897/N00898/N00899"/>
        <s v="H01380"/>
        <s v="P00419"/>
        <s v="N00862"/>
        <s v="N00861"/>
        <s v="N00860"/>
        <s v="N00704"/>
        <s v="J00974"/>
        <s v="N00870"/>
        <s v="J00942"/>
        <s v="E00989/E01021"/>
        <s v="E01018"/>
        <s v="H01266"/>
        <s v="H01355"/>
        <s v="H01391"/>
        <s v="J00945"/>
        <s v="H01387"/>
        <s v="H01293"/>
        <s v="N00902"/>
        <s v="C01523"/>
        <s v="C01325"/>
        <s v="N00890"/>
        <s v="P00491"/>
        <s v="P00492"/>
        <s v="C01497"/>
        <s v="P00493"/>
        <s v="C01499"/>
        <s v="B01084"/>
        <s v="C01531"/>
        <s v="H01270"/>
        <s v="C01501"/>
        <s v="H01360"/>
        <s v="H01363/H01364/H01365"/>
        <s v="B01058"/>
        <s v="F00897"/>
        <s v="F00893"/>
        <s v="C01554"/>
        <s v="C01528/C01552"/>
        <s v="C01553/C01529"/>
      </sharedItems>
    </cacheField>
    <cacheField name="Job Name" numFmtId="0">
      <sharedItems containsMixedTypes="1" containsNumber="1" containsInteger="1" minValue="1" maxValue="236"/>
    </cacheField>
    <cacheField name="x" numFmtId="43">
      <sharedItems containsSemiMixedTypes="0" containsString="0" containsNumber="1" containsInteger="1" minValue="0" maxValue="11551"/>
    </cacheField>
    <cacheField name="x2" numFmtId="167">
      <sharedItems containsSemiMixedTypes="0" containsString="0" containsNumber="1" containsInteger="1" minValue="0" maxValue="583900"/>
    </cacheField>
    <cacheField name="ROTO" numFmtId="167">
      <sharedItems containsMixedTypes="1" containsNumber="1" containsInteger="1" minValue="0" maxValue="0"/>
    </cacheField>
    <cacheField name="Y/N" numFmtId="167">
      <sharedItems containsMixedTypes="1" containsNumber="1" containsInteger="1" minValue="0" maxValue="0"/>
    </cacheField>
    <cacheField name="x3" numFmtId="43">
      <sharedItems containsSemiMixedTypes="0" containsString="0" containsNumber="1" minValue="0" maxValue="4.16"/>
    </cacheField>
    <cacheField name="x4" numFmtId="0">
      <sharedItems/>
    </cacheField>
    <cacheField name="x5" numFmtId="43">
      <sharedItems containsBlank="1" containsMixedTypes="1" containsNumber="1" containsInteger="1" minValue="0" maxValue="0"/>
    </cacheField>
    <cacheField name="x6" numFmtId="0">
      <sharedItems/>
    </cacheField>
    <cacheField name="x7" numFmtId="43">
      <sharedItems containsString="0" containsBlank="1" containsNumber="1" containsInteger="1" minValue="0" maxValue="40"/>
    </cacheField>
    <cacheField name="x8" numFmtId="43">
      <sharedItems containsSemiMixedTypes="0" containsString="0" containsNumber="1" containsInteger="1" minValue="0" maxValue="0"/>
    </cacheField>
    <cacheField name="x9" numFmtId="0">
      <sharedItems containsBlank="1"/>
    </cacheField>
    <cacheField name="x10" numFmtId="43">
      <sharedItems containsString="0" containsBlank="1" containsNumber="1" containsInteger="1" minValue="5" maxValue="73"/>
    </cacheField>
    <cacheField name="x11" numFmtId="43">
      <sharedItems containsSemiMixedTypes="0" containsString="0" containsNumber="1" containsInteger="1" minValue="0" maxValue="0"/>
    </cacheField>
    <cacheField name="x12" numFmtId="0">
      <sharedItems containsBlank="1" containsMixedTypes="1" containsNumber="1" containsInteger="1" minValue="24161" maxValue="26531000019"/>
    </cacheField>
    <cacheField name="x13" numFmtId="0">
      <sharedItems containsBlank="1" containsMixedTypes="1" containsNumber="1" containsInteger="1" minValue="70271" maxValue="26529000016"/>
    </cacheField>
    <cacheField name="x14" numFmtId="0">
      <sharedItems containsBlank="1" containsMixedTypes="1" containsNumber="1" containsInteger="1" minValue="165" maxValue="26530000013"/>
    </cacheField>
    <cacheField name="x15" numFmtId="0">
      <sharedItems containsBlank="1" containsMixedTypes="1" containsNumber="1" containsInteger="1" minValue="26507000019" maxValue="26530000008"/>
    </cacheField>
    <cacheField name="x16" numFmtId="0">
      <sharedItems containsBlank="1" containsMixedTypes="1" containsNumber="1" containsInteger="1" minValue="26506000006" maxValue="26529000045"/>
    </cacheField>
    <cacheField name="x17" numFmtId="0">
      <sharedItems containsString="0" containsBlank="1" containsNumber="1" containsInteger="1" minValue="26508000024" maxValue="26508000024"/>
    </cacheField>
    <cacheField name="x18" numFmtId="0">
      <sharedItems containsString="0" containsBlank="1" containsNumber="1" containsInteger="1" minValue="26511000001" maxValue="26511000001"/>
    </cacheField>
    <cacheField name="x19" numFmtId="0">
      <sharedItems containsString="0" containsBlank="1" containsNumber="1" containsInteger="1" minValue="26511000002" maxValue="26511000002"/>
    </cacheField>
    <cacheField name="x20" numFmtId="43">
      <sharedItems containsString="0" containsBlank="1" containsNumber="1" minValue="1" maxValue="120"/>
    </cacheField>
    <cacheField name="x21" numFmtId="43">
      <sharedItems containsMixedTypes="1" containsNumber="1" containsInteger="1" minValue="0" maxValue="0"/>
    </cacheField>
    <cacheField name="x22" numFmtId="43">
      <sharedItems containsString="0" containsBlank="1" containsNumber="1" minValue="0.2" maxValue="148"/>
    </cacheField>
    <cacheField name="                                                                                                                                                                                                                   " numFmtId="43">
      <sharedItems containsMixedTypes="1" containsNumber="1" containsInteger="1" minValue="0" maxValue="0"/>
    </cacheField>
    <cacheField name="x23" numFmtId="43">
      <sharedItems containsString="0" containsBlank="1" containsNumber="1" minValue="0.2" maxValue="120"/>
    </cacheField>
    <cacheField name="x24" numFmtId="43">
      <sharedItems containsMixedTypes="1" containsNumber="1" containsInteger="1" minValue="0" maxValue="0"/>
    </cacheField>
    <cacheField name="x25" numFmtId="43">
      <sharedItems containsString="0" containsBlank="1" containsNumber="1" minValue="0.5" maxValue="140"/>
    </cacheField>
    <cacheField name="x26" numFmtId="43">
      <sharedItems containsMixedTypes="1" containsNumber="1" containsInteger="1" minValue="0" maxValue="0"/>
    </cacheField>
    <cacheField name="x27" numFmtId="43">
      <sharedItems containsString="0" containsBlank="1" containsNumber="1" minValue="1" maxValue="10"/>
    </cacheField>
    <cacheField name="x28" numFmtId="43">
      <sharedItems containsMixedTypes="1" containsNumber="1" containsInteger="1" minValue="0" maxValue="0"/>
    </cacheField>
    <cacheField name="x29" numFmtId="43">
      <sharedItems containsString="0" containsBlank="1" containsNumber="1" containsInteger="1" minValue="20" maxValue="20"/>
    </cacheField>
    <cacheField name="x30" numFmtId="43">
      <sharedItems containsMixedTypes="1" containsNumber="1" containsInteger="1" minValue="0" maxValue="0"/>
    </cacheField>
    <cacheField name="x31" numFmtId="43">
      <sharedItems containsString="0" containsBlank="1" containsNumber="1" containsInteger="1" minValue="25" maxValue="25"/>
    </cacheField>
    <cacheField name="x32" numFmtId="43">
      <sharedItems containsMixedTypes="1" containsNumber="1" containsInteger="1" minValue="0" maxValue="0"/>
    </cacheField>
    <cacheField name="x33" numFmtId="43">
      <sharedItems containsString="0" containsBlank="1" containsNumber="1" containsInteger="1" minValue="10" maxValue="10"/>
    </cacheField>
    <cacheField name="x34" numFmtId="43">
      <sharedItems containsMixedTypes="1" containsNumber="1" containsInteger="1" minValue="0" maxValue="0"/>
    </cacheField>
    <cacheField name="x35" numFmtId="43">
      <sharedItems containsMixedTypes="1" containsNumber="1" containsInteger="1" minValue="0" maxValue="0"/>
    </cacheField>
    <cacheField name="x36" numFmtId="43">
      <sharedItems containsSemiMixedTypes="0" containsString="0" containsNumber="1" containsInteger="1" minValue="0" maxValue="55"/>
    </cacheField>
    <cacheField name="x37" numFmtId="43">
      <sharedItems containsSemiMixedTypes="0" containsString="0" containsNumber="1" containsInteger="1" minValue="0" maxValue="0"/>
    </cacheField>
    <cacheField name="x38" numFmtId="43">
      <sharedItems containsSemiMixedTypes="0" containsString="0" containsNumber="1" minValue="0" maxValue="279"/>
    </cacheField>
    <cacheField name="x39" numFmtId="43">
      <sharedItems containsSemiMixedTypes="0" containsString="0" containsNumber="1" containsInteger="1" minValue="0" maxValue="0"/>
    </cacheField>
    <cacheField name="x40" numFmtId="0">
      <sharedItems containsBlank="1"/>
    </cacheField>
    <cacheField name="x41" numFmtId="43">
      <sharedItems containsBlank="1" containsMixedTypes="1" containsNumber="1" containsInteger="1" minValue="0" maxValue="0"/>
    </cacheField>
    <cacheField name="x42" numFmtId="0">
      <sharedItems containsBlank="1"/>
    </cacheField>
    <cacheField name="x43" numFmtId="43">
      <sharedItems containsString="0" containsBlank="1" containsNumber="1" containsInteger="1" minValue="0" maxValue="40"/>
    </cacheField>
    <cacheField name="x44" numFmtId="43">
      <sharedItems containsSemiMixedTypes="0" containsString="0" containsNumber="1" containsInteger="1" minValue="0" maxValue="0"/>
    </cacheField>
    <cacheField name="x45" numFmtId="0">
      <sharedItems containsBlank="1" longText="1"/>
    </cacheField>
    <cacheField name="x46" numFmtId="43">
      <sharedItems containsString="0" containsBlank="1" containsNumber="1" containsInteger="1" minValue="4" maxValue="723"/>
    </cacheField>
    <cacheField name="x47" numFmtId="43">
      <sharedItems containsSemiMixedTypes="0" containsString="0" containsNumber="1" containsInteger="1" minValue="0" maxValue="0"/>
    </cacheField>
    <cacheField name="x48" numFmtId="0">
      <sharedItems containsBlank="1" containsMixedTypes="1" containsNumber="1" containsInteger="1" minValue="262" maxValue="26530000022"/>
    </cacheField>
    <cacheField name="x49" numFmtId="0">
      <sharedItems containsBlank="1" containsMixedTypes="1" containsNumber="1" containsInteger="1" minValue="9472" maxValue="26531000001"/>
    </cacheField>
    <cacheField name="x50" numFmtId="0">
      <sharedItems containsBlank="1" containsMixedTypes="1" containsNumber="1" containsInteger="1" minValue="9472" maxValue="26530000015"/>
    </cacheField>
    <cacheField name="x51" numFmtId="0">
      <sharedItems containsBlank="1" containsMixedTypes="1" containsNumber="1" containsInteger="1" minValue="25851000006" maxValue="26529000030"/>
    </cacheField>
    <cacheField name="x52" numFmtId="0">
      <sharedItems containsBlank="1" containsMixedTypes="1" containsNumber="1" containsInteger="1" minValue="26504000006" maxValue="26530000004"/>
    </cacheField>
    <cacheField name="x53" numFmtId="0">
      <sharedItems containsBlank="1" containsMixedTypes="1" containsNumber="1" containsInteger="1" minValue="9472" maxValue="26530000016"/>
    </cacheField>
    <cacheField name="x54" numFmtId="0">
      <sharedItems containsString="0" containsBlank="1" containsNumber="1" containsInteger="1" minValue="26514000010" maxValue="26514000010"/>
    </cacheField>
    <cacheField name="x55" numFmtId="0">
      <sharedItems containsString="0" containsBlank="1" containsNumber="1" containsInteger="1" minValue="26507000009" maxValue="26507000009"/>
    </cacheField>
    <cacheField name="x56" numFmtId="43">
      <sharedItems containsString="0" containsBlank="1" containsNumber="1" minValue="0.2" maxValue="260"/>
    </cacheField>
    <cacheField name="x57" numFmtId="43">
      <sharedItems containsMixedTypes="1" containsNumber="1" containsInteger="1" minValue="0" maxValue="0"/>
    </cacheField>
    <cacheField name="x58" numFmtId="43">
      <sharedItems containsString="0" containsBlank="1" containsNumber="1" minValue="0.2" maxValue="178"/>
    </cacheField>
    <cacheField name="x59" numFmtId="43">
      <sharedItems containsMixedTypes="1" containsNumber="1" containsInteger="1" minValue="0" maxValue="0"/>
    </cacheField>
    <cacheField name="x60" numFmtId="43">
      <sharedItems containsString="0" containsBlank="1" containsNumber="1" minValue="0.1" maxValue="164"/>
    </cacheField>
    <cacheField name="x61" numFmtId="43">
      <sharedItems containsMixedTypes="1" containsNumber="1" containsInteger="1" minValue="0" maxValue="0"/>
    </cacheField>
    <cacheField name="x62" numFmtId="43">
      <sharedItems containsString="0" containsBlank="1" containsNumber="1" minValue="0.2" maxValue="140"/>
    </cacheField>
    <cacheField name="x63" numFmtId="43">
      <sharedItems containsMixedTypes="1" containsNumber="1" containsInteger="1" minValue="0" maxValue="0"/>
    </cacheField>
    <cacheField name="x64" numFmtId="43">
      <sharedItems containsString="0" containsBlank="1" containsNumber="1" containsInteger="1" minValue="3" maxValue="200"/>
    </cacheField>
    <cacheField name="x65" numFmtId="43">
      <sharedItems containsMixedTypes="1" containsNumber="1" containsInteger="1" minValue="0" maxValue="0"/>
    </cacheField>
    <cacheField name="x66" numFmtId="43">
      <sharedItems containsString="0" containsBlank="1" containsNumber="1" containsInteger="1" minValue="25" maxValue="140"/>
    </cacheField>
    <cacheField name="x67" numFmtId="43">
      <sharedItems containsMixedTypes="1" containsNumber="1" containsInteger="1" minValue="0" maxValue="0"/>
    </cacheField>
    <cacheField name="x68" numFmtId="43">
      <sharedItems containsString="0" containsBlank="1" containsNumber="1" containsInteger="1" minValue="6" maxValue="6"/>
    </cacheField>
    <cacheField name="x69" numFmtId="43">
      <sharedItems containsMixedTypes="1" containsNumber="1" containsInteger="1" minValue="0" maxValue="0"/>
    </cacheField>
    <cacheField name="x70" numFmtId="43">
      <sharedItems containsString="0" containsBlank="1" containsNumber="1" containsInteger="1" minValue="9" maxValue="9"/>
    </cacheField>
    <cacheField name="x71" numFmtId="43">
      <sharedItems containsMixedTypes="1" containsNumber="1" containsInteger="1" minValue="0" maxValue="0"/>
    </cacheField>
    <cacheField name="x72" numFmtId="43">
      <sharedItems containsBlank="1"/>
    </cacheField>
    <cacheField name="x73" numFmtId="43">
      <sharedItems containsString="0" containsBlank="1" containsNumber="1" containsInteger="1" minValue="0" maxValue="67"/>
    </cacheField>
    <cacheField name="x74" numFmtId="43">
      <sharedItems containsSemiMixedTypes="0" containsString="0" containsNumber="1" containsInteger="1" minValue="0" maxValue="0"/>
    </cacheField>
    <cacheField name="x75" numFmtId="43">
      <sharedItems containsSemiMixedTypes="0" containsString="0" containsNumber="1" minValue="0" maxValue="2169.848484848485"/>
    </cacheField>
    <cacheField name="x76" numFmtId="43">
      <sharedItems containsSemiMixedTypes="0" containsString="0" containsNumber="1" containsInteger="1" minValue="0" maxValue="0"/>
    </cacheField>
    <cacheField name="x77" numFmtId="43">
      <sharedItems containsBlank="1"/>
    </cacheField>
    <cacheField name="x78" numFmtId="43">
      <sharedItems containsBlank="1"/>
    </cacheField>
    <cacheField name="x79" numFmtId="0">
      <sharedItems containsBlank="1"/>
    </cacheField>
    <cacheField name="x80" numFmtId="43">
      <sharedItems containsString="0" containsBlank="1" containsNumber="1" containsInteger="1" minValue="2" maxValue="46"/>
    </cacheField>
    <cacheField name="x81" numFmtId="43">
      <sharedItems containsSemiMixedTypes="0" containsString="0" containsNumber="1" containsInteger="1" minValue="0" maxValue="0"/>
    </cacheField>
    <cacheField name="x82" numFmtId="0">
      <sharedItems containsBlank="1"/>
    </cacheField>
    <cacheField name="x83" numFmtId="43">
      <sharedItems containsString="0" containsBlank="1" containsNumber="1" containsInteger="1" minValue="2" maxValue="135"/>
    </cacheField>
    <cacheField name="x84" numFmtId="43">
      <sharedItems containsSemiMixedTypes="0" containsString="0" containsNumber="1" containsInteger="1" minValue="0" maxValue="0"/>
    </cacheField>
    <cacheField name="x85" numFmtId="0">
      <sharedItems containsBlank="1" containsMixedTypes="1" containsNumber="1" containsInteger="1" minValue="9472" maxValue="26531000028"/>
    </cacheField>
    <cacheField name="x86" numFmtId="0">
      <sharedItems containsBlank="1" containsMixedTypes="1" containsNumber="1" containsInteger="1" minValue="25862000014" maxValue="26531000023"/>
    </cacheField>
    <cacheField name="x87" numFmtId="0">
      <sharedItems containsBlank="1" containsMixedTypes="1" containsNumber="1" containsInteger="1" minValue="83234" maxValue="26531000011"/>
    </cacheField>
    <cacheField name="x88" numFmtId="0">
      <sharedItems containsBlank="1" containsMixedTypes="1" containsNumber="1" containsInteger="1" minValue="66701" maxValue="26531000021"/>
    </cacheField>
    <cacheField name="x89" numFmtId="0">
      <sharedItems containsBlank="1" containsMixedTypes="1" containsNumber="1" containsInteger="1" minValue="25863000009" maxValue="26530000007"/>
    </cacheField>
    <cacheField name="x90" numFmtId="0">
      <sharedItems containsString="0" containsBlank="1" containsNumber="1" containsInteger="1" minValue="26503000016" maxValue="26529000043"/>
    </cacheField>
    <cacheField name="x91" numFmtId="0">
      <sharedItems containsString="0" containsBlank="1" containsNumber="1" containsInteger="1" minValue="26521000005" maxValue="26530000012"/>
    </cacheField>
    <cacheField name="x92" numFmtId="0">
      <sharedItems containsBlank="1" containsMixedTypes="1" containsNumber="1" containsInteger="1" minValue="26526000008" maxValue="26526000008"/>
    </cacheField>
    <cacheField name="x93" numFmtId="43">
      <sharedItems containsString="0" containsBlank="1" containsNumber="1" minValue="0.18" maxValue="215"/>
    </cacheField>
    <cacheField name="x94" numFmtId="43">
      <sharedItems containsMixedTypes="1" containsNumber="1" containsInteger="1" minValue="0" maxValue="0"/>
    </cacheField>
    <cacheField name="x95" numFmtId="43">
      <sharedItems containsString="0" containsBlank="1" containsNumber="1" minValue="0.1" maxValue="215"/>
    </cacheField>
    <cacheField name="x96" numFmtId="43">
      <sharedItems containsMixedTypes="1" containsNumber="1" containsInteger="1" minValue="0" maxValue="0"/>
    </cacheField>
    <cacheField name="x97" numFmtId="43">
      <sharedItems containsString="0" containsBlank="1" containsNumber="1" minValue="0.1" maxValue="130"/>
    </cacheField>
    <cacheField name="x98" numFmtId="43">
      <sharedItems containsMixedTypes="1" containsNumber="1" containsInteger="1" minValue="0" maxValue="0"/>
    </cacheField>
    <cacheField name="x99" numFmtId="43">
      <sharedItems containsString="0" containsBlank="1" containsNumber="1" minValue="0.2" maxValue="120"/>
    </cacheField>
    <cacheField name="x100" numFmtId="43">
      <sharedItems containsMixedTypes="1" containsNumber="1" containsInteger="1" minValue="0" maxValue="0"/>
    </cacheField>
    <cacheField name="x101" numFmtId="43">
      <sharedItems containsString="0" containsBlank="1" containsNumber="1" minValue="0.1" maxValue="40"/>
    </cacheField>
    <cacheField name="x102" numFmtId="43">
      <sharedItems containsMixedTypes="1" containsNumber="1" containsInteger="1" minValue="0" maxValue="0"/>
    </cacheField>
    <cacheField name="x103" numFmtId="43">
      <sharedItems containsString="0" containsBlank="1" containsNumber="1" minValue="0.3" maxValue="40"/>
    </cacheField>
    <cacheField name="x104" numFmtId="43">
      <sharedItems containsMixedTypes="1" containsNumber="1" containsInteger="1" minValue="0" maxValue="0"/>
    </cacheField>
    <cacheField name="x105" numFmtId="43">
      <sharedItems containsString="0" containsBlank="1" containsNumber="1" minValue="0.4" maxValue="100"/>
    </cacheField>
    <cacheField name="x106" numFmtId="43">
      <sharedItems containsMixedTypes="1" containsNumber="1" containsInteger="1" minValue="0" maxValue="0"/>
    </cacheField>
    <cacheField name="x107" numFmtId="43">
      <sharedItems containsString="0" containsBlank="1" containsNumber="1" containsInteger="1" minValue="6" maxValue="50"/>
    </cacheField>
    <cacheField name="x108" numFmtId="43">
      <sharedItems containsMixedTypes="1" containsNumber="1" containsInteger="1" minValue="0" maxValue="0"/>
    </cacheField>
    <cacheField name="x109" numFmtId="43">
      <sharedItems containsBlank="1"/>
    </cacheField>
    <cacheField name="x110" numFmtId="43">
      <sharedItems containsString="0" containsBlank="1" containsNumber="1" containsInteger="1" minValue="0" maxValue="49"/>
    </cacheField>
    <cacheField name="x111" numFmtId="43">
      <sharedItems containsSemiMixedTypes="0" containsString="0" containsNumber="1" containsInteger="1" minValue="0" maxValue="0"/>
    </cacheField>
    <cacheField name="x112" numFmtId="43">
      <sharedItems containsSemiMixedTypes="0" containsString="0" containsNumber="1" minValue="0" maxValue="901.79523809523812"/>
    </cacheField>
    <cacheField name="x113" numFmtId="43">
      <sharedItems containsSemiMixedTypes="0" containsString="0" containsNumber="1" containsInteger="1" minValue="0" maxValue="0"/>
    </cacheField>
    <cacheField name="x114" numFmtId="0">
      <sharedItems containsBlank="1"/>
    </cacheField>
    <cacheField name="x115" numFmtId="43">
      <sharedItems containsBlank="1"/>
    </cacheField>
    <cacheField name="x116" numFmtId="0">
      <sharedItems/>
    </cacheField>
    <cacheField name="x117" numFmtId="43">
      <sharedItems containsString="0" containsBlank="1" containsNumber="1" containsInteger="1" minValue="2" maxValue="40"/>
    </cacheField>
    <cacheField name="x118" numFmtId="43">
      <sharedItems containsSemiMixedTypes="0" containsString="0" containsNumber="1" containsInteger="1" minValue="0" maxValue="0"/>
    </cacheField>
    <cacheField name="x119" numFmtId="0">
      <sharedItems containsBlank="1"/>
    </cacheField>
    <cacheField name="x120" numFmtId="43">
      <sharedItems containsString="0" containsBlank="1" containsNumber="1" containsInteger="1" minValue="5" maxValue="377"/>
    </cacheField>
    <cacheField name="x121" numFmtId="43">
      <sharedItems containsSemiMixedTypes="0" containsString="0" containsNumber="1" containsInteger="1" minValue="0" maxValue="0"/>
    </cacheField>
    <cacheField name="x122" numFmtId="0">
      <sharedItems containsBlank="1" containsMixedTypes="1" containsNumber="1" containsInteger="1" minValue="55" maxValue="26531000022"/>
    </cacheField>
    <cacheField name="x123" numFmtId="0">
      <sharedItems containsBlank="1" containsMixedTypes="1" containsNumber="1" containsInteger="1" minValue="25863000007" maxValue="26531000016"/>
    </cacheField>
    <cacheField name="x124" numFmtId="0">
      <sharedItems containsBlank="1" containsMixedTypes="1" containsNumber="1" containsInteger="1" minValue="66701" maxValue="26531000024"/>
    </cacheField>
    <cacheField name="x125" numFmtId="0">
      <sharedItems containsBlank="1" containsMixedTypes="1" containsNumber="1" containsInteger="1" minValue="9472" maxValue="26530000035"/>
    </cacheField>
    <cacheField name="x126" numFmtId="0">
      <sharedItems containsBlank="1" containsMixedTypes="1" containsNumber="1" containsInteger="1" minValue="26518000009" maxValue="26530000023"/>
    </cacheField>
    <cacheField name="x127" numFmtId="0">
      <sharedItems containsBlank="1"/>
    </cacheField>
    <cacheField name="x128" numFmtId="0">
      <sharedItems containsString="0" containsBlank="1" containsNumber="1" containsInteger="1" minValue="26530000014" maxValue="26530000014"/>
    </cacheField>
    <cacheField name="x129" numFmtId="0">
      <sharedItems containsString="0" containsBlank="1" containsNumber="1" containsInteger="1" minValue="26530000001" maxValue="26530000001"/>
    </cacheField>
    <cacheField name="x130" numFmtId="43">
      <sharedItems containsString="0" containsBlank="1" containsNumber="1" minValue="0.3" maxValue="140"/>
    </cacheField>
    <cacheField name="x131" numFmtId="43">
      <sharedItems containsMixedTypes="1" containsNumber="1" containsInteger="1" minValue="0" maxValue="0"/>
    </cacheField>
    <cacheField name="x132" numFmtId="43">
      <sharedItems containsString="0" containsBlank="1" containsNumber="1" minValue="0.2" maxValue="160"/>
    </cacheField>
    <cacheField name="x133" numFmtId="43">
      <sharedItems containsMixedTypes="1" containsNumber="1" containsInteger="1" minValue="0" maxValue="0"/>
    </cacheField>
    <cacheField name="x134" numFmtId="43">
      <sharedItems containsString="0" containsBlank="1" containsNumber="1" minValue="0.1" maxValue="180"/>
    </cacheField>
    <cacheField name="x135" numFmtId="43">
      <sharedItems containsMixedTypes="1" containsNumber="1" containsInteger="1" minValue="0" maxValue="0"/>
    </cacheField>
    <cacheField name="x136" numFmtId="43">
      <sharedItems containsString="0" containsBlank="1" containsNumber="1" minValue="0.2" maxValue="110"/>
    </cacheField>
    <cacheField name="x137" numFmtId="43">
      <sharedItems containsMixedTypes="1" containsNumber="1" containsInteger="1" minValue="0" maxValue="0"/>
    </cacheField>
    <cacheField name="x138" numFmtId="43">
      <sharedItems containsString="0" containsBlank="1" containsNumber="1" minValue="0.2" maxValue="100"/>
    </cacheField>
    <cacheField name="x139" numFmtId="43">
      <sharedItems containsMixedTypes="1" containsNumber="1" containsInteger="1" minValue="0" maxValue="0"/>
    </cacheField>
    <cacheField name="x140" numFmtId="43">
      <sharedItems containsString="0" containsBlank="1" containsNumber="1" containsInteger="1" minValue="200" maxValue="200"/>
    </cacheField>
    <cacheField name="x141" numFmtId="43">
      <sharedItems containsSemiMixedTypes="0" containsString="0" containsNumber="1" containsInteger="1" minValue="0" maxValue="0"/>
    </cacheField>
    <cacheField name="x142" numFmtId="43">
      <sharedItems containsString="0" containsBlank="1" containsNumber="1" containsInteger="1" minValue="29" maxValue="29"/>
    </cacheField>
    <cacheField name="x143" numFmtId="43">
      <sharedItems containsMixedTypes="1" containsNumber="1" containsInteger="1" minValue="0" maxValue="0"/>
    </cacheField>
    <cacheField name="x144" numFmtId="43">
      <sharedItems containsString="0" containsBlank="1" containsNumber="1" containsInteger="1" minValue="90" maxValue="90"/>
    </cacheField>
    <cacheField name="x145" numFmtId="43">
      <sharedItems containsMixedTypes="1" containsNumber="1" containsInteger="1" minValue="0" maxValue="0"/>
    </cacheField>
    <cacheField name="x146" numFmtId="43">
      <sharedItems containsBlank="1"/>
    </cacheField>
    <cacheField name="x147" numFmtId="43">
      <sharedItems containsString="0" containsBlank="1" containsNumber="1" containsInteger="1" minValue="0" maxValue="70"/>
    </cacheField>
    <cacheField name="x148" numFmtId="43">
      <sharedItems containsSemiMixedTypes="0" containsString="0" containsNumber="1" containsInteger="1" minValue="0" maxValue="0"/>
    </cacheField>
    <cacheField name="x149" numFmtId="43">
      <sharedItems containsSemiMixedTypes="0" containsString="0" containsNumber="1" minValue="0" maxValue="1479.9269162210339"/>
    </cacheField>
    <cacheField name="x150" numFmtId="43">
      <sharedItems containsSemiMixedTypes="0" containsString="0" containsNumber="1" containsInteger="1" minValue="0" maxValue="0"/>
    </cacheField>
    <cacheField name="x151" numFmtId="0">
      <sharedItems containsBlank="1"/>
    </cacheField>
    <cacheField name="x152" numFmtId="43">
      <sharedItems containsBlank="1"/>
    </cacheField>
    <cacheField name="x153" numFmtId="0">
      <sharedItems/>
    </cacheField>
    <cacheField name="x154" numFmtId="43">
      <sharedItems containsString="0" containsBlank="1" containsNumber="1" containsInteger="1" minValue="7" maxValue="40"/>
    </cacheField>
    <cacheField name="x155" numFmtId="43">
      <sharedItems containsSemiMixedTypes="0" containsString="0" containsNumber="1" containsInteger="1" minValue="0" maxValue="0"/>
    </cacheField>
    <cacheField name="x156" numFmtId="0">
      <sharedItems containsBlank="1"/>
    </cacheField>
    <cacheField name="x157" numFmtId="43">
      <sharedItems containsString="0" containsBlank="1" containsNumber="1" containsInteger="1" minValue="10" maxValue="146"/>
    </cacheField>
    <cacheField name="x158" numFmtId="43">
      <sharedItems containsSemiMixedTypes="0" containsString="0" containsNumber="1" containsInteger="1" minValue="0" maxValue="0"/>
    </cacheField>
    <cacheField name="x159" numFmtId="0">
      <sharedItems containsBlank="1" containsMixedTypes="1" containsNumber="1" containsInteger="1" minValue="55" maxValue="26531000017"/>
    </cacheField>
    <cacheField name="x160" numFmtId="0">
      <sharedItems containsBlank="1" containsMixedTypes="1" containsNumber="1" containsInteger="1" minValue="25863000002" maxValue="26528000002"/>
    </cacheField>
    <cacheField name="x161" numFmtId="0">
      <sharedItems containsBlank="1" containsMixedTypes="1" containsNumber="1" containsInteger="1" minValue="25862000007" maxValue="26529000018"/>
    </cacheField>
    <cacheField name="x162" numFmtId="0">
      <sharedItems containsBlank="1" containsMixedTypes="1" containsNumber="1" containsInteger="1" minValue="26502000003" maxValue="26522000008"/>
    </cacheField>
    <cacheField name="x163" numFmtId="0">
      <sharedItems containsString="0" containsBlank="1" containsNumber="1" containsInteger="1" minValue="26502000009" maxValue="26514000012"/>
    </cacheField>
    <cacheField name="x164" numFmtId="0">
      <sharedItems containsString="0" containsBlank="1" containsNumber="1" containsInteger="1" minValue="26507000009" maxValue="26507000009"/>
    </cacheField>
    <cacheField name="x165" numFmtId="0">
      <sharedItems containsString="0" containsBlank="1" containsNumber="1" containsInteger="1" minValue="26507000013" maxValue="26507000013"/>
    </cacheField>
    <cacheField name="x166" numFmtId="0">
      <sharedItems containsBlank="1"/>
    </cacheField>
    <cacheField name="x167" numFmtId="43">
      <sharedItems containsString="0" containsBlank="1" containsNumber="1" minValue="0.2" maxValue="140"/>
    </cacheField>
    <cacheField name="x168" numFmtId="43">
      <sharedItems containsMixedTypes="1" containsNumber="1" containsInteger="1" minValue="0" maxValue="0"/>
    </cacheField>
    <cacheField name="x169" numFmtId="43">
      <sharedItems containsString="0" containsBlank="1" containsNumber="1" minValue="0.3" maxValue="130"/>
    </cacheField>
    <cacheField name="x170" numFmtId="43">
      <sharedItems containsMixedTypes="1" containsNumber="1" containsInteger="1" minValue="0" maxValue="0"/>
    </cacheField>
    <cacheField name="x171" numFmtId="43">
      <sharedItems containsString="0" containsBlank="1" containsNumber="1" minValue="0.2" maxValue="140"/>
    </cacheField>
    <cacheField name="x172" numFmtId="43">
      <sharedItems containsMixedTypes="1" containsNumber="1" containsInteger="1" minValue="0" maxValue="0"/>
    </cacheField>
    <cacheField name="x173" numFmtId="43">
      <sharedItems containsString="0" containsBlank="1" containsNumber="1" minValue="0.2" maxValue="180"/>
    </cacheField>
    <cacheField name="x174" numFmtId="43">
      <sharedItems containsMixedTypes="1" containsNumber="1" containsInteger="1" minValue="0" maxValue="0"/>
    </cacheField>
    <cacheField name="x175" numFmtId="43">
      <sharedItems containsString="0" containsBlank="1" containsNumber="1" containsInteger="1" minValue="40" maxValue="40"/>
    </cacheField>
    <cacheField name="x176" numFmtId="43">
      <sharedItems containsMixedTypes="1" containsNumber="1" containsInteger="1" minValue="0" maxValue="0"/>
    </cacheField>
    <cacheField name="x177" numFmtId="43">
      <sharedItems containsString="0" containsBlank="1" containsNumber="1" containsInteger="1" minValue="30" maxValue="30"/>
    </cacheField>
    <cacheField name="x178" numFmtId="43">
      <sharedItems containsMixedTypes="1" containsNumber="1" containsInteger="1" minValue="0" maxValue="0"/>
    </cacheField>
    <cacheField name="x179" numFmtId="43">
      <sharedItems containsString="0" containsBlank="1" containsNumber="1" containsInteger="1" minValue="30" maxValue="30"/>
    </cacheField>
    <cacheField name="x180" numFmtId="43">
      <sharedItems containsMixedTypes="1" containsNumber="1" containsInteger="1" minValue="0" maxValue="0"/>
    </cacheField>
    <cacheField name="x181" numFmtId="43">
      <sharedItems containsString="0" containsBlank="1" containsNumber="1" containsInteger="1" minValue="70" maxValue="70"/>
    </cacheField>
    <cacheField name="x182" numFmtId="43">
      <sharedItems containsSemiMixedTypes="0" containsString="0" containsNumber="1" containsInteger="1" minValue="0" maxValue="0"/>
    </cacheField>
    <cacheField name="x183" numFmtId="43">
      <sharedItems containsBlank="1"/>
    </cacheField>
    <cacheField name="x184" numFmtId="43">
      <sharedItems containsString="0" containsBlank="1" containsNumber="1" containsInteger="1" minValue="15" maxValue="65"/>
    </cacheField>
    <cacheField name="x185" numFmtId="43">
      <sharedItems containsSemiMixedTypes="0" containsString="0" containsNumber="1" containsInteger="1" minValue="0" maxValue="0"/>
    </cacheField>
    <cacheField name="x186" numFmtId="43">
      <sharedItems containsSemiMixedTypes="0" containsString="0" containsNumber="1" minValue="0" maxValue="1261.2216582064298"/>
    </cacheField>
    <cacheField name="x187" numFmtId="43">
      <sharedItems containsSemiMixedTypes="0" containsString="0" containsNumber="1" containsInteger="1" minValue="0" maxValue="0"/>
    </cacheField>
    <cacheField name="x188" numFmtId="0">
      <sharedItems containsBlank="1"/>
    </cacheField>
    <cacheField name="x189" numFmtId="43">
      <sharedItems containsBlank="1"/>
    </cacheField>
    <cacheField name="x190" numFmtId="0">
      <sharedItems/>
    </cacheField>
    <cacheField name="x191" numFmtId="43">
      <sharedItems containsString="0" containsBlank="1" containsNumber="1" containsInteger="1" minValue="10" maxValue="40"/>
    </cacheField>
    <cacheField name="x192" numFmtId="43">
      <sharedItems containsSemiMixedTypes="0" containsString="0" containsNumber="1" containsInteger="1" minValue="0" maxValue="0"/>
    </cacheField>
    <cacheField name="x193" numFmtId="0">
      <sharedItems containsBlank="1"/>
    </cacheField>
    <cacheField name="x194" numFmtId="43">
      <sharedItems containsString="0" containsBlank="1" containsNumber="1" containsInteger="1" minValue="13" maxValue="52"/>
    </cacheField>
    <cacheField name="x195" numFmtId="43">
      <sharedItems containsSemiMixedTypes="0" containsString="0" containsNumber="1" containsInteger="1" minValue="0" maxValue="0"/>
    </cacheField>
    <cacheField name="x196" numFmtId="0">
      <sharedItems containsBlank="1" containsMixedTypes="1" containsNumber="1" containsInteger="1" minValue="262" maxValue="26531000030"/>
    </cacheField>
    <cacheField name="x197" numFmtId="0">
      <sharedItems containsBlank="1" containsMixedTypes="1" containsNumber="1" containsInteger="1" minValue="165" maxValue="26531000031"/>
    </cacheField>
    <cacheField name="x198" numFmtId="0">
      <sharedItems containsBlank="1" containsMixedTypes="1" containsNumber="1" containsInteger="1" minValue="262" maxValue="26531000029"/>
    </cacheField>
    <cacheField name="x199" numFmtId="0">
      <sharedItems containsBlank="1" containsMixedTypes="1" containsNumber="1" containsInteger="1" minValue="26505000033" maxValue="26531000034"/>
    </cacheField>
    <cacheField name="x200" numFmtId="0">
      <sharedItems containsBlank="1" containsMixedTypes="1" containsNumber="1" containsInteger="1" minValue="26525000020" maxValue="26529000031"/>
    </cacheField>
    <cacheField name="x201" numFmtId="0">
      <sharedItems containsBlank="1"/>
    </cacheField>
    <cacheField name="x202" numFmtId="0">
      <sharedItems containsBlank="1"/>
    </cacheField>
    <cacheField name="x203" numFmtId="0">
      <sharedItems containsString="0" containsBlank="1" containsNumber="1" containsInteger="1" minValue="26527000012" maxValue="26527000012"/>
    </cacheField>
    <cacheField name="x204" numFmtId="43">
      <sharedItems containsString="0" containsBlank="1" containsNumber="1" minValue="0.2" maxValue="360"/>
    </cacheField>
    <cacheField name="x205" numFmtId="43">
      <sharedItems containsMixedTypes="1" containsNumber="1" containsInteger="1" minValue="0" maxValue="0"/>
    </cacheField>
    <cacheField name="x206" numFmtId="43">
      <sharedItems containsString="0" containsBlank="1" containsNumber="1" minValue="0.1" maxValue="130"/>
    </cacheField>
    <cacheField name="x207" numFmtId="43">
      <sharedItems containsMixedTypes="1" containsNumber="1" containsInteger="1" minValue="0" maxValue="0"/>
    </cacheField>
    <cacheField name="x208" numFmtId="43">
      <sharedItems containsString="0" containsBlank="1" containsNumber="1" minValue="0.1" maxValue="44"/>
    </cacheField>
    <cacheField name="x209" numFmtId="43">
      <sharedItems containsMixedTypes="1" containsNumber="1" containsInteger="1" minValue="0" maxValue="0"/>
    </cacheField>
    <cacheField name="x210" numFmtId="43">
      <sharedItems containsString="0" containsBlank="1" containsNumber="1" minValue="0.1" maxValue="100"/>
    </cacheField>
    <cacheField name="x211" numFmtId="43">
      <sharedItems containsMixedTypes="1" containsNumber="1" containsInteger="1" minValue="0" maxValue="0"/>
    </cacheField>
    <cacheField name="x212" numFmtId="43">
      <sharedItems containsString="0" containsBlank="1" containsNumber="1" containsInteger="1" minValue="10" maxValue="20"/>
    </cacheField>
    <cacheField name="x213" numFmtId="43">
      <sharedItems containsMixedTypes="1" containsNumber="1" containsInteger="1" minValue="0" maxValue="0"/>
    </cacheField>
    <cacheField name="x214" numFmtId="43">
      <sharedItems containsString="0" containsBlank="1" containsNumber="1" containsInteger="1" minValue="60" maxValue="60"/>
    </cacheField>
    <cacheField name="x215" numFmtId="43">
      <sharedItems containsSemiMixedTypes="0" containsString="0" containsNumber="1" containsInteger="1" minValue="0" maxValue="0"/>
    </cacheField>
    <cacheField name="x216" numFmtId="43">
      <sharedItems containsString="0" containsBlank="1" containsNumber="1" containsInteger="1" minValue="35" maxValue="35"/>
    </cacheField>
    <cacheField name="x217" numFmtId="43">
      <sharedItems containsSemiMixedTypes="0" containsString="0" containsNumber="1" containsInteger="1" minValue="0" maxValue="0"/>
    </cacheField>
    <cacheField name="x218" numFmtId="43">
      <sharedItems containsString="0" containsBlank="1" containsNumber="1" containsInteger="1" minValue="5" maxValue="5"/>
    </cacheField>
    <cacheField name="x219" numFmtId="43">
      <sharedItems containsMixedTypes="1" containsNumber="1" containsInteger="1" minValue="0" maxValue="0"/>
    </cacheField>
    <cacheField name="x220" numFmtId="43">
      <sharedItems containsBlank="1"/>
    </cacheField>
    <cacheField name="x221" numFmtId="43">
      <sharedItems containsString="0" containsBlank="1" containsNumber="1" minValue="12" maxValue="57"/>
    </cacheField>
    <cacheField name="x222" numFmtId="43">
      <sharedItems containsSemiMixedTypes="0" containsString="0" containsNumber="1" containsInteger="1" minValue="0" maxValue="0"/>
    </cacheField>
    <cacheField name="x223" numFmtId="43">
      <sharedItems containsSemiMixedTypes="0" containsString="0" containsNumber="1" minValue="0" maxValue="1114.2452830188679"/>
    </cacheField>
    <cacheField name="x224" numFmtId="167">
      <sharedItems containsSemiMixedTypes="0" containsString="0" containsNumber="1" containsInteger="1" minValue="0" maxValue="0"/>
    </cacheField>
    <cacheField name="x225" numFmtId="0">
      <sharedItems containsBlank="1"/>
    </cacheField>
    <cacheField name="x226" numFmtId="43">
      <sharedItems containsBlank="1"/>
    </cacheField>
    <cacheField name="x227" numFmtId="0">
      <sharedItems/>
    </cacheField>
    <cacheField name="x228" numFmtId="43">
      <sharedItems containsString="0" containsBlank="1" containsNumber="1" containsInteger="1" minValue="11" maxValue="40"/>
    </cacheField>
    <cacheField name="x229" numFmtId="43">
      <sharedItems containsSemiMixedTypes="0" containsString="0" containsNumber="1" containsInteger="1" minValue="0" maxValue="0"/>
    </cacheField>
    <cacheField name="x230" numFmtId="0">
      <sharedItems containsBlank="1"/>
    </cacheField>
    <cacheField name="x231" numFmtId="43">
      <sharedItems containsString="0" containsBlank="1" containsNumber="1" containsInteger="1" minValue="15" maxValue="68"/>
    </cacheField>
    <cacheField name="x232" numFmtId="43">
      <sharedItems containsSemiMixedTypes="0" containsString="0" containsNumber="1" containsInteger="1" minValue="0" maxValue="0"/>
    </cacheField>
    <cacheField name="x233" numFmtId="0">
      <sharedItems containsBlank="1" containsMixedTypes="1" containsNumber="1" containsInteger="1" minValue="55" maxValue="26530000021"/>
    </cacheField>
    <cacheField name="x234" numFmtId="0">
      <sharedItems containsBlank="1" containsMixedTypes="1" containsNumber="1" containsInteger="1" minValue="165" maxValue="26529000019"/>
    </cacheField>
    <cacheField name="x235" numFmtId="0">
      <sharedItems containsBlank="1" containsMixedTypes="1" containsNumber="1" containsInteger="1" minValue="165" maxValue="26530000021"/>
    </cacheField>
    <cacheField name="x236" numFmtId="0">
      <sharedItems containsBlank="1" containsMixedTypes="1" containsNumber="1" containsInteger="1" minValue="165" maxValue="26530000026"/>
    </cacheField>
    <cacheField name="x237" numFmtId="0">
      <sharedItems containsBlank="1" containsMixedTypes="1" containsNumber="1" containsInteger="1" minValue="26508000013" maxValue="26531000014"/>
    </cacheField>
    <cacheField name="x238" numFmtId="0">
      <sharedItems containsString="0" containsBlank="1" containsNumber="1" containsInteger="1" minValue="26515000006" maxValue="26531000033"/>
    </cacheField>
    <cacheField name="x239" numFmtId="0">
      <sharedItems containsString="0" containsBlank="1" containsNumber="1" containsInteger="1" minValue="26504000008" maxValue="26526000016"/>
    </cacheField>
    <cacheField name="x240" numFmtId="0">
      <sharedItems containsString="0" containsBlank="1" containsNumber="1" containsInteger="1" minValue="26505000005" maxValue="26526000013"/>
    </cacheField>
    <cacheField name="x241" numFmtId="43">
      <sharedItems containsString="0" containsBlank="1" containsNumber="1" containsInteger="1" minValue="1" maxValue="600"/>
    </cacheField>
    <cacheField name="x242" numFmtId="43">
      <sharedItems containsMixedTypes="1" containsNumber="1" containsInteger="1" minValue="0" maxValue="0"/>
    </cacheField>
    <cacheField name="x243" numFmtId="43">
      <sharedItems containsString="0" containsBlank="1" containsNumber="1" minValue="0.2" maxValue="115"/>
    </cacheField>
    <cacheField name="x244" numFmtId="43">
      <sharedItems containsMixedTypes="1" containsNumber="1" containsInteger="1" minValue="0" maxValue="0"/>
    </cacheField>
    <cacheField name="x245" numFmtId="43">
      <sharedItems containsString="0" containsBlank="1" containsNumber="1" minValue="0.4" maxValue="140"/>
    </cacheField>
    <cacheField name="x246" numFmtId="43">
      <sharedItems containsMixedTypes="1" containsNumber="1" containsInteger="1" minValue="0" maxValue="0"/>
    </cacheField>
    <cacheField name="x247" numFmtId="43">
      <sharedItems containsString="0" containsBlank="1" containsNumber="1" minValue="0.3" maxValue="40"/>
    </cacheField>
    <cacheField name="x248" numFmtId="43">
      <sharedItems containsMixedTypes="1" containsNumber="1" containsInteger="1" minValue="0" maxValue="0"/>
    </cacheField>
    <cacheField name="x249" numFmtId="43">
      <sharedItems containsString="0" containsBlank="1" containsNumber="1" minValue="0.4" maxValue="120"/>
    </cacheField>
    <cacheField name="x250" numFmtId="43">
      <sharedItems containsMixedTypes="1" containsNumber="1" containsInteger="1" minValue="0" maxValue="0"/>
    </cacheField>
    <cacheField name="x251" numFmtId="43">
      <sharedItems containsString="0" containsBlank="1" containsNumber="1" containsInteger="1" minValue="1" maxValue="80"/>
    </cacheField>
    <cacheField name="x252" numFmtId="43">
      <sharedItems containsMixedTypes="1" containsNumber="1" containsInteger="1" minValue="0" maxValue="0"/>
    </cacheField>
    <cacheField name="x253" numFmtId="43">
      <sharedItems containsString="0" containsBlank="1" containsNumber="1" containsInteger="1" minValue="9" maxValue="40"/>
    </cacheField>
    <cacheField name="x254" numFmtId="43">
      <sharedItems containsMixedTypes="1" containsNumber="1" containsInteger="1" minValue="0" maxValue="0"/>
    </cacheField>
    <cacheField name="x255" numFmtId="43">
      <sharedItems containsString="0" containsBlank="1" containsNumber="1" containsInteger="1" minValue="6" maxValue="40"/>
    </cacheField>
    <cacheField name="x256" numFmtId="43">
      <sharedItems containsMixedTypes="1" containsNumber="1" containsInteger="1" minValue="0" maxValue="0"/>
    </cacheField>
    <cacheField name="x257" numFmtId="43">
      <sharedItems containsBlank="1"/>
    </cacheField>
    <cacheField name="x258" numFmtId="43">
      <sharedItems containsString="0" containsBlank="1" containsNumber="1" containsInteger="1" minValue="15" maxValue="99"/>
    </cacheField>
    <cacheField name="x259" numFmtId="43">
      <sharedItems containsSemiMixedTypes="0" containsString="0" containsNumber="1" containsInteger="1" minValue="0" maxValue="0"/>
    </cacheField>
    <cacheField name="x260" numFmtId="43">
      <sharedItems containsSemiMixedTypes="0" containsString="0" containsNumber="1" minValue="0" maxValue="1340.0738255033557"/>
    </cacheField>
    <cacheField name="x261" numFmtId="43">
      <sharedItems containsSemiMixedTypes="0" containsString="0" containsNumber="1" containsInteger="1" minValue="0" maxValue="0"/>
    </cacheField>
    <cacheField name="x262" numFmtId="0">
      <sharedItems containsBlank="1"/>
    </cacheField>
    <cacheField name="x263" numFmtId="43">
      <sharedItems containsBlank="1"/>
    </cacheField>
    <cacheField name="x264" numFmtId="0">
      <sharedItems/>
    </cacheField>
    <cacheField name="x265" numFmtId="43">
      <sharedItems containsString="0" containsBlank="1" containsNumber="1" containsInteger="1" minValue="15" maxValue="40"/>
    </cacheField>
    <cacheField name="x266" numFmtId="43">
      <sharedItems containsSemiMixedTypes="0" containsString="0" containsNumber="1" containsInteger="1" minValue="0" maxValue="0"/>
    </cacheField>
    <cacheField name="x267" numFmtId="0">
      <sharedItems containsBlank="1"/>
    </cacheField>
    <cacheField name="x268" numFmtId="43">
      <sharedItems containsString="0" containsBlank="1" containsNumber="1" containsInteger="1" minValue="13" maxValue="13"/>
    </cacheField>
    <cacheField name="x269" numFmtId="43">
      <sharedItems containsSemiMixedTypes="0" containsString="0" containsNumber="1" containsInteger="1" minValue="0" maxValue="0"/>
    </cacheField>
    <cacheField name="x270" numFmtId="0">
      <sharedItems containsBlank="1" containsMixedTypes="1" containsNumber="1" containsInteger="1" minValue="55" maxValue="26529000013"/>
    </cacheField>
    <cacheField name="x271" numFmtId="0">
      <sharedItems containsBlank="1" containsMixedTypes="1" containsNumber="1" containsInteger="1" minValue="165" maxValue="26513000004"/>
    </cacheField>
    <cacheField name="x272" numFmtId="0">
      <sharedItems containsString="0" containsBlank="1" containsNumber="1" containsInteger="1" minValue="26507000015" maxValue="26513000003"/>
    </cacheField>
    <cacheField name="x273" numFmtId="0">
      <sharedItems containsString="0" containsBlank="1" containsNumber="1" containsInteger="1" minValue="26507000005" maxValue="26513000002"/>
    </cacheField>
    <cacheField name="x274" numFmtId="0">
      <sharedItems containsString="0" containsBlank="1" containsNumber="1" containsInteger="1" minValue="26512000021" maxValue="26512000021"/>
    </cacheField>
    <cacheField name="x275" numFmtId="0">
      <sharedItems containsNonDate="0" containsString="0" containsBlank="1"/>
    </cacheField>
    <cacheField name="x276" numFmtId="0">
      <sharedItems containsNonDate="0" containsString="0" containsBlank="1"/>
    </cacheField>
    <cacheField name="x277" numFmtId="0">
      <sharedItems containsNonDate="0" containsString="0" containsBlank="1"/>
    </cacheField>
    <cacheField name="x278" numFmtId="43">
      <sharedItems containsString="0" containsBlank="1" containsNumber="1" minValue="0.5" maxValue="1530"/>
    </cacheField>
    <cacheField name="x279" numFmtId="43">
      <sharedItems containsMixedTypes="1" containsNumber="1" containsInteger="1" minValue="0" maxValue="0"/>
    </cacheField>
    <cacheField name="x280" numFmtId="43">
      <sharedItems containsString="0" containsBlank="1" containsNumber="1" minValue="1.93" maxValue="55"/>
    </cacheField>
    <cacheField name="x281" numFmtId="43">
      <sharedItems containsMixedTypes="1" containsNumber="1" containsInteger="1" minValue="0" maxValue="0"/>
    </cacheField>
    <cacheField name="x282" numFmtId="43">
      <sharedItems containsString="0" containsBlank="1" containsNumber="1" containsInteger="1" minValue="30" maxValue="40"/>
    </cacheField>
    <cacheField name="x283" numFmtId="43">
      <sharedItems containsMixedTypes="1" containsNumber="1" containsInteger="1" minValue="0" maxValue="0"/>
    </cacheField>
    <cacheField name="x284" numFmtId="43">
      <sharedItems containsString="0" containsBlank="1" containsNumber="1" containsInteger="1" minValue="30" maxValue="40"/>
    </cacheField>
    <cacheField name="x285" numFmtId="43">
      <sharedItems containsMixedTypes="1" containsNumber="1" containsInteger="1" minValue="0" maxValue="0"/>
    </cacheField>
    <cacheField name="x286" numFmtId="43">
      <sharedItems containsString="0" containsBlank="1" containsNumber="1" containsInteger="1" minValue="40" maxValue="40"/>
    </cacheField>
    <cacheField name="x287" numFmtId="43">
      <sharedItems containsMixedTypes="1" containsNumber="1" containsInteger="1" minValue="0" maxValue="0"/>
    </cacheField>
    <cacheField name="x288" numFmtId="43">
      <sharedItems containsNonDate="0" containsString="0" containsBlank="1"/>
    </cacheField>
    <cacheField name="x289" numFmtId="43">
      <sharedItems containsSemiMixedTypes="0" containsString="0" containsNumber="1" containsInteger="1" minValue="0" maxValue="0"/>
    </cacheField>
    <cacheField name="x290" numFmtId="43">
      <sharedItems containsNonDate="0" containsString="0" containsBlank="1"/>
    </cacheField>
    <cacheField name="x291" numFmtId="43">
      <sharedItems containsSemiMixedTypes="0" containsString="0" containsNumber="1" containsInteger="1" minValue="0" maxValue="0"/>
    </cacheField>
    <cacheField name="x292" numFmtId="0">
      <sharedItems containsNonDate="0" containsString="0" containsBlank="1"/>
    </cacheField>
    <cacheField name="x293" numFmtId="43">
      <sharedItems containsSemiMixedTypes="0" containsString="0" containsNumber="1" containsInteger="1" minValue="0" maxValue="0"/>
    </cacheField>
    <cacheField name="x294" numFmtId="43">
      <sharedItems containsBlank="1"/>
    </cacheField>
    <cacheField name="x295" numFmtId="43">
      <sharedItems containsString="0" containsBlank="1" containsNumber="1" containsInteger="1" minValue="15" maxValue="50"/>
    </cacheField>
    <cacheField name="x296" numFmtId="43">
      <sharedItems containsSemiMixedTypes="0" containsString="0" containsNumber="1" containsInteger="1" minValue="0" maxValue="0"/>
    </cacheField>
    <cacheField name="x297" numFmtId="43">
      <sharedItems containsSemiMixedTypes="0" containsString="0" containsNumber="1" minValue="0" maxValue="4021.3142857142857"/>
    </cacheField>
    <cacheField name="x298" numFmtId="43">
      <sharedItems containsSemiMixedTypes="0" containsString="0" containsNumber="1" containsInteger="1" minValue="0" maxValue="0"/>
    </cacheField>
    <cacheField name="x299" numFmtId="43">
      <sharedItems containsString="0" containsBlank="1" containsNumber="1" containsInteger="1" minValue="0" maxValue="60"/>
    </cacheField>
    <cacheField name="x300" numFmtId="43">
      <sharedItems containsString="0" containsBlank="1" containsNumber="1" minValue="0" maxValue="340"/>
    </cacheField>
    <cacheField name="x301" numFmtId="43">
      <sharedItems containsString="0" containsBlank="1" containsNumber="1" containsInteger="1" minValue="0" maxValue="120"/>
    </cacheField>
    <cacheField name="x302" numFmtId="43">
      <sharedItems containsString="0" containsBlank="1" containsNumber="1" containsInteger="1" minValue="0" maxValue="230"/>
    </cacheField>
    <cacheField name="x303" numFmtId="43">
      <sharedItems containsString="0" containsBlank="1" containsNumber="1" containsInteger="1" minValue="0" maxValue="290"/>
    </cacheField>
    <cacheField name="x304" numFmtId="43">
      <sharedItems containsString="0" containsBlank="1" containsNumber="1" containsInteger="1" minValue="0" maxValue="200"/>
    </cacheField>
    <cacheField name="x305" numFmtId="43">
      <sharedItems containsString="0" containsBlank="1" containsNumber="1" containsInteger="1" minValue="0" maxValue="360"/>
    </cacheField>
    <cacheField name="x306" numFmtId="43">
      <sharedItems containsString="0" containsBlank="1" containsNumber="1" containsInteger="1" minValue="0" maxValue="970"/>
    </cacheField>
    <cacheField name="x307" numFmtId="9">
      <sharedItems containsString="0" containsBlank="1" containsNumber="1" minValue="0.3" maxValue="0.8"/>
    </cacheField>
    <cacheField name="x308" numFmtId="9">
      <sharedItems containsString="0" containsBlank="1" containsNumber="1" minValue="0.2" maxValue="0.2"/>
    </cacheField>
    <cacheField name="x309" numFmtId="0">
      <sharedItems containsNonDate="0" containsString="0" containsBlank="1"/>
    </cacheField>
    <cacheField name="x310" numFmtId="9">
      <sharedItems containsString="0" containsBlank="1" containsNumber="1" minValue="0.5" maxValue="0.5"/>
    </cacheField>
    <cacheField name="x311" numFmtId="9">
      <sharedItems containsString="0" containsBlank="1" containsNumber="1" minValue="0.2" maxValue="0.2"/>
    </cacheField>
    <cacheField name="x312" numFmtId="43">
      <sharedItems containsSemiMixedTypes="0" containsString="0" containsNumber="1" containsInteger="1" minValue="0" maxValue="0"/>
    </cacheField>
    <cacheField name="x313" numFmtId="43">
      <sharedItems containsSemiMixedTypes="0" containsString="0" containsNumber="1" containsInteger="1" minValue="0" maxValue="4043"/>
    </cacheField>
    <cacheField name="NCE" numFmtId="43">
      <sharedItems containsSemiMixedTypes="0" containsString="0" containsNumber="1" containsInteger="1" minValue="0" maxValue="0"/>
    </cacheField>
    <cacheField name="x314" numFmtId="43">
      <sharedItems containsSemiMixedTypes="0" containsString="0" containsNumber="1" containsInteger="1" minValue="0" maxValue="0"/>
    </cacheField>
    <cacheField name="Solvent (Roto tank)" numFmtId="167">
      <sharedItems containsSemiMixedTypes="0" containsString="0" containsNumber="1" containsInteger="1" minValue="0" maxValue="4043"/>
    </cacheField>
    <cacheField name="Solvent (Calculation)" numFmtId="167">
      <sharedItems containsSemiMixedTypes="0" containsString="0" containsNumber="1" containsInteger="1" minValue="0" maxValue="4043"/>
    </cacheField>
    <cacheField name="x315" numFmtId="43">
      <sharedItems containsSemiMixedTypes="0" containsString="0" containsNumber="1" minValue="0" maxValue="3234.4"/>
    </cacheField>
    <cacheField name="x316" numFmtId="43">
      <sharedItems containsSemiMixedTypes="0" containsString="0" containsNumber="1" containsInteger="1" minValue="0" maxValue="0"/>
    </cacheField>
    <cacheField name="x317" numFmtId="43">
      <sharedItems containsSemiMixedTypes="0" containsString="0" containsNumber="1" minValue="0" maxValue="808.6"/>
    </cacheField>
    <cacheField name="x318" numFmtId="43">
      <sharedItems containsSemiMixedTypes="0" containsString="0" containsNumber="1" containsInteger="1" minValue="0" maxValue="0"/>
    </cacheField>
    <cacheField name="x319" numFmtId="43">
      <sharedItems containsSemiMixedTypes="0" containsString="0" containsNumber="1" containsInteger="1" minValue="0" maxValue="0"/>
    </cacheField>
    <cacheField name="x320" numFmtId="43">
      <sharedItems containsSemiMixedTypes="0" containsString="0" containsNumber="1" containsInteger="1" minValue="0" maxValue="0"/>
    </cacheField>
    <cacheField name="x321" numFmtId="43">
      <sharedItems containsSemiMixedTypes="0" containsString="0" containsNumber="1" minValue="0" maxValue="1942.5"/>
    </cacheField>
    <cacheField name="x322" numFmtId="43">
      <sharedItems containsSemiMixedTypes="0" containsString="0" containsNumber="1" containsInteger="1" minValue="0" maxValue="0"/>
    </cacheField>
    <cacheField name=" " numFmtId="43">
      <sharedItems containsSemiMixedTypes="0" containsString="0" containsNumber="1" minValue="0" maxValue="777"/>
    </cacheField>
    <cacheField name="x323" numFmtId="43">
      <sharedItems containsSemiMixedTypes="0" containsString="0" containsNumber="1" containsInteger="1" minValue="0" maxValue="0"/>
    </cacheField>
    <cacheField name="xSol" numFmtId="43">
      <sharedItems containsSemiMixedTypes="0" containsString="0" containsNumber="1" containsInteger="1" minValue="0" maxValue="0"/>
    </cacheField>
    <cacheField name="x324" numFmtId="43">
      <sharedItems containsSemiMixedTypes="0" containsString="0" containsNumber="1" containsInteger="1" minValue="0" maxValue="0"/>
    </cacheField>
    <cacheField name="Value" numFmtId="167">
      <sharedItems containsSemiMixedTypes="0" containsString="0" containsNumber="1" containsInteger="1" minValue="0" maxValue="0"/>
    </cacheField>
    <cacheField name="-" numFmtId="43">
      <sharedItems containsNonDate="0" containsString="0" containsBlank="1"/>
    </cacheField>
    <cacheField name="Fresh Ink Issued" numFmtId="43">
      <sharedItems containsSemiMixedTypes="0" containsString="0" containsNumber="1" minValue="3" maxValue="2999.7"/>
    </cacheField>
    <cacheField name="Mix_x000a_ink consumed" numFmtId="43">
      <sharedItems containsSemiMixedTypes="0" containsString="0" containsNumber="1" minValue="0" maxValue="7992.7"/>
    </cacheField>
    <cacheField name="Logsheet #" numFmtId="0">
      <sharedItems containsMixedTypes="1" containsNumber="1" containsInteger="1" minValue="1" maxValue="236"/>
    </cacheField>
    <cacheField name="check" numFmtId="0">
      <sharedItems/>
    </cacheField>
    <cacheField name="1" numFmtId="43">
      <sharedItems/>
    </cacheField>
    <cacheField name="2" numFmtId="43">
      <sharedItems/>
    </cacheField>
    <cacheField name="3" numFmtId="43">
      <sharedItems/>
    </cacheField>
    <cacheField name="4" numFmtId="43">
      <sharedItems/>
    </cacheField>
    <cacheField name="5" numFmtId="43">
      <sharedItems/>
    </cacheField>
    <cacheField name="6" numFmtId="43">
      <sharedItems/>
    </cacheField>
    <cacheField name="7" numFmtId="43">
      <sharedItems/>
    </cacheField>
    <cacheField name="8" numFmtId="43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x v="0"/>
    <m/>
    <n v="246"/>
    <n v="15800"/>
  </r>
  <r>
    <x v="1"/>
    <m/>
    <n v="1362"/>
    <n v="69100"/>
  </r>
  <r>
    <x v="2"/>
    <m/>
    <n v="316"/>
    <n v="18200"/>
  </r>
  <r>
    <x v="3"/>
    <m/>
    <n v="442"/>
    <n v="24500"/>
  </r>
  <r>
    <x v="4"/>
    <m/>
    <n v="144"/>
    <n v="8300"/>
  </r>
  <r>
    <x v="5"/>
    <m/>
    <n v="28"/>
    <n v="1300"/>
  </r>
  <r>
    <x v="6"/>
    <m/>
    <n v="173"/>
    <n v="11100"/>
  </r>
  <r>
    <x v="7"/>
    <m/>
    <n v="198"/>
    <n v="11500"/>
  </r>
  <r>
    <x v="8"/>
    <m/>
    <n v="30"/>
    <n v="500"/>
  </r>
  <r>
    <x v="9"/>
    <m/>
    <n v="233"/>
    <n v="13000"/>
  </r>
  <r>
    <x v="10"/>
    <m/>
    <n v="288"/>
    <n v="24900"/>
  </r>
  <r>
    <x v="11"/>
    <m/>
    <n v="162"/>
    <n v="13000"/>
  </r>
  <r>
    <x v="12"/>
    <m/>
    <n v="196"/>
    <n v="9600"/>
  </r>
  <r>
    <x v="13"/>
    <m/>
    <n v="214"/>
    <n v="10500"/>
  </r>
  <r>
    <x v="14"/>
    <m/>
    <n v="212"/>
    <n v="10400"/>
  </r>
  <r>
    <x v="15"/>
    <m/>
    <n v="259"/>
    <n v="12700"/>
  </r>
  <r>
    <x v="16"/>
    <m/>
    <n v="185"/>
    <n v="9100"/>
  </r>
  <r>
    <x v="17"/>
    <m/>
    <n v="179"/>
    <n v="8800"/>
  </r>
  <r>
    <x v="18"/>
    <m/>
    <n v="179"/>
    <n v="8800"/>
  </r>
  <r>
    <x v="19"/>
    <m/>
    <n v="484"/>
    <n v="30200"/>
  </r>
  <r>
    <x v="20"/>
    <m/>
    <n v="1836"/>
    <n v="95800"/>
  </r>
  <r>
    <x v="21"/>
    <m/>
    <n v="1799"/>
    <n v="85500"/>
  </r>
  <r>
    <x v="22"/>
    <m/>
    <n v="530"/>
    <n v="30800"/>
  </r>
  <r>
    <x v="23"/>
    <m/>
    <n v="170"/>
    <n v="11100"/>
  </r>
  <r>
    <x v="24"/>
    <m/>
    <n v="700"/>
    <n v="37600"/>
  </r>
  <r>
    <x v="25"/>
    <m/>
    <n v="795"/>
    <n v="59500"/>
  </r>
  <r>
    <x v="26"/>
    <m/>
    <n v="75"/>
    <n v="4000"/>
  </r>
  <r>
    <x v="27"/>
    <m/>
    <n v="75"/>
    <n v="4000"/>
  </r>
  <r>
    <x v="28"/>
    <m/>
    <n v="75"/>
    <n v="4000"/>
  </r>
  <r>
    <x v="29"/>
    <m/>
    <n v="75"/>
    <n v="4000"/>
  </r>
  <r>
    <x v="30"/>
    <m/>
    <n v="75"/>
    <n v="4000"/>
  </r>
  <r>
    <x v="31"/>
    <m/>
    <n v="73"/>
    <n v="3900"/>
  </r>
  <r>
    <x v="32"/>
    <m/>
    <n v="411"/>
    <n v="24000"/>
  </r>
  <r>
    <x v="33"/>
    <m/>
    <n v="1666"/>
    <n v="102900"/>
  </r>
  <r>
    <x v="34"/>
    <m/>
    <n v="672"/>
    <n v="33000"/>
  </r>
  <r>
    <x v="35"/>
    <m/>
    <n v="1361"/>
    <n v="62000"/>
  </r>
  <r>
    <x v="36"/>
    <m/>
    <n v="442"/>
    <n v="21700"/>
  </r>
  <r>
    <x v="37"/>
    <m/>
    <n v="216"/>
    <n v="10600"/>
  </r>
  <r>
    <x v="38"/>
    <m/>
    <n v="218"/>
    <n v="10700"/>
  </r>
  <r>
    <x v="39"/>
    <m/>
    <n v="4998"/>
    <n v="300800"/>
  </r>
  <r>
    <x v="40"/>
    <m/>
    <n v="210"/>
    <n v="12500"/>
  </r>
  <r>
    <x v="41"/>
    <m/>
    <n v="438"/>
    <n v="21500"/>
  </r>
  <r>
    <x v="42"/>
    <m/>
    <n v="434"/>
    <n v="21300"/>
  </r>
  <r>
    <x v="43"/>
    <m/>
    <n v="438"/>
    <n v="21500"/>
  </r>
  <r>
    <x v="44"/>
    <m/>
    <n v="432"/>
    <n v="21200"/>
  </r>
  <r>
    <x v="45"/>
    <m/>
    <n v="333"/>
    <n v="20000"/>
  </r>
  <r>
    <x v="46"/>
    <m/>
    <n v="2168"/>
    <n v="120300"/>
  </r>
  <r>
    <x v="47"/>
    <m/>
    <n v="224"/>
    <n v="11000"/>
  </r>
  <r>
    <x v="48"/>
    <m/>
    <n v="674"/>
    <n v="33100"/>
  </r>
  <r>
    <x v="49"/>
    <m/>
    <n v="94"/>
    <n v="6600"/>
  </r>
  <r>
    <x v="50"/>
    <m/>
    <n v="1473"/>
    <n v="84300"/>
  </r>
  <r>
    <x v="51"/>
    <m/>
    <n v="246"/>
    <n v="11800"/>
  </r>
  <r>
    <x v="52"/>
    <m/>
    <n v="170"/>
    <n v="10600"/>
  </r>
  <r>
    <x v="53"/>
    <m/>
    <n v="252"/>
    <n v="12500"/>
  </r>
  <r>
    <x v="54"/>
    <m/>
    <n v="535"/>
    <n v="30600"/>
  </r>
  <r>
    <x v="55"/>
    <m/>
    <n v="533"/>
    <n v="30500"/>
  </r>
  <r>
    <x v="56"/>
    <m/>
    <n v="1696"/>
    <n v="84200"/>
  </r>
  <r>
    <x v="57"/>
    <m/>
    <n v="232"/>
    <n v="12500"/>
  </r>
  <r>
    <x v="58"/>
    <m/>
    <n v="352"/>
    <n v="21500"/>
  </r>
  <r>
    <x v="59"/>
    <m/>
    <n v="495"/>
    <n v="31200"/>
  </r>
  <r>
    <x v="60"/>
    <m/>
    <n v="473"/>
    <n v="23500"/>
  </r>
  <r>
    <x v="61"/>
    <m/>
    <n v="492"/>
    <n v="26500"/>
  </r>
  <r>
    <x v="62"/>
    <m/>
    <n v="1898"/>
    <n v="94200"/>
  </r>
  <r>
    <x v="63"/>
    <m/>
    <n v="542"/>
    <n v="31000"/>
  </r>
  <r>
    <x v="64"/>
    <m/>
    <n v="545"/>
    <n v="34800"/>
  </r>
  <r>
    <x v="65"/>
    <m/>
    <n v="1547"/>
    <n v="98800"/>
  </r>
  <r>
    <x v="66"/>
    <m/>
    <n v="468"/>
    <n v="26200"/>
  </r>
  <r>
    <x v="67"/>
    <m/>
    <n v="358"/>
    <n v="20800"/>
  </r>
  <r>
    <x v="68"/>
    <m/>
    <n v="807"/>
    <n v="37800"/>
  </r>
  <r>
    <x v="69"/>
    <m/>
    <n v="1243"/>
    <n v="65000"/>
  </r>
  <r>
    <x v="70"/>
    <m/>
    <n v="492"/>
    <n v="22400"/>
  </r>
  <r>
    <x v="71"/>
    <m/>
    <n v="243"/>
    <n v="15500"/>
  </r>
  <r>
    <x v="72"/>
    <m/>
    <n v="989"/>
    <n v="47800"/>
  </r>
  <r>
    <x v="73"/>
    <m/>
    <n v="468"/>
    <n v="29900"/>
  </r>
  <r>
    <x v="74"/>
    <m/>
    <n v="759"/>
    <n v="34600"/>
  </r>
  <r>
    <x v="75"/>
    <m/>
    <n v="469"/>
    <n v="30000"/>
  </r>
  <r>
    <x v="76"/>
    <m/>
    <n v="471"/>
    <n v="30100"/>
  </r>
  <r>
    <x v="77"/>
    <m/>
    <n v="502"/>
    <n v="23500"/>
  </r>
  <r>
    <x v="78"/>
    <m/>
    <n v="2522"/>
    <n v="161100"/>
  </r>
  <r>
    <x v="79"/>
    <m/>
    <n v="489"/>
    <n v="26500"/>
  </r>
  <r>
    <x v="80"/>
    <m/>
    <n v="514"/>
    <n v="23600"/>
  </r>
  <r>
    <x v="81"/>
    <m/>
    <n v="507"/>
    <n v="23300"/>
  </r>
  <r>
    <x v="82"/>
    <m/>
    <n v="512"/>
    <n v="23500"/>
  </r>
  <r>
    <x v="83"/>
    <m/>
    <n v="764"/>
    <n v="34800"/>
  </r>
  <r>
    <x v="84"/>
    <m/>
    <n v="2012"/>
    <n v="128500"/>
  </r>
  <r>
    <x v="85"/>
    <m/>
    <n v="995"/>
    <n v="45300"/>
  </r>
  <r>
    <x v="86"/>
    <m/>
    <n v="988"/>
    <n v="45000"/>
  </r>
  <r>
    <x v="87"/>
    <m/>
    <n v="3909"/>
    <n v="204600"/>
  </r>
  <r>
    <x v="88"/>
    <m/>
    <n v="486"/>
    <n v="26100"/>
  </r>
  <r>
    <x v="89"/>
    <m/>
    <n v="688"/>
    <n v="46800"/>
  </r>
  <r>
    <x v="90"/>
    <m/>
    <n v="5098"/>
    <n v="276400"/>
  </r>
  <r>
    <x v="91"/>
    <m/>
    <n v="499"/>
    <n v="23600"/>
  </r>
  <r>
    <x v="92"/>
    <m/>
    <n v="499"/>
    <n v="23600"/>
  </r>
  <r>
    <x v="93"/>
    <m/>
    <n v="493"/>
    <n v="23300"/>
  </r>
  <r>
    <x v="94"/>
    <m/>
    <n v="2852"/>
    <n v="142700"/>
  </r>
  <r>
    <x v="95"/>
    <m/>
    <n v="788"/>
    <n v="64400"/>
  </r>
  <r>
    <x v="96"/>
    <m/>
    <n v="344"/>
    <n v="25200"/>
  </r>
  <r>
    <x v="97"/>
    <m/>
    <n v="406"/>
    <n v="33200"/>
  </r>
  <r>
    <x v="98"/>
    <m/>
    <n v="277"/>
    <n v="17400"/>
  </r>
  <r>
    <x v="99"/>
    <m/>
    <n v="5096"/>
    <n v="48000"/>
  </r>
  <r>
    <x v="100"/>
    <m/>
    <n v="1011"/>
    <n v="57900"/>
  </r>
  <r>
    <x v="100"/>
    <m/>
    <m/>
    <m/>
  </r>
  <r>
    <x v="101"/>
    <m/>
    <n v="1021"/>
    <n v="12000"/>
  </r>
  <r>
    <x v="102"/>
    <m/>
    <n v="363"/>
    <n v="20200"/>
  </r>
  <r>
    <x v="103"/>
    <m/>
    <n v="181"/>
    <n v="8700"/>
  </r>
  <r>
    <x v="104"/>
    <m/>
    <n v="432"/>
    <n v="21100"/>
  </r>
  <r>
    <x v="105"/>
    <m/>
    <n v="483"/>
    <n v="24000"/>
  </r>
  <r>
    <x v="106"/>
    <m/>
    <n v="488"/>
    <n v="24200"/>
  </r>
  <r>
    <x v="107"/>
    <m/>
    <n v="7085"/>
    <n v="227200"/>
  </r>
  <r>
    <x v="108"/>
    <m/>
    <n v="729"/>
    <n v="36200"/>
  </r>
  <r>
    <x v="109"/>
    <m/>
    <n v="311"/>
    <n v="17000"/>
  </r>
  <r>
    <x v="110"/>
    <m/>
    <n v="451"/>
    <n v="24400"/>
  </r>
  <r>
    <x v="111"/>
    <m/>
    <n v="806"/>
    <n v="42500"/>
  </r>
  <r>
    <x v="112"/>
    <m/>
    <n v="301"/>
    <n v="19600"/>
  </r>
  <r>
    <x v="113"/>
    <m/>
    <n v="296"/>
    <n v="19300"/>
  </r>
  <r>
    <x v="114"/>
    <m/>
    <n v="451"/>
    <n v="19500"/>
  </r>
  <r>
    <x v="115"/>
    <m/>
    <n v="969"/>
    <n v="43600"/>
  </r>
  <r>
    <x v="116"/>
    <m/>
    <n v="483"/>
    <n v="25600"/>
  </r>
  <r>
    <x v="117"/>
    <m/>
    <n v="489"/>
    <n v="25900"/>
  </r>
  <r>
    <x v="118"/>
    <m/>
    <n v="1361"/>
    <n v="16000"/>
  </r>
  <r>
    <x v="119"/>
    <m/>
    <n v="1021"/>
    <n v="12000"/>
  </r>
  <r>
    <x v="120"/>
    <m/>
    <n v="2949"/>
    <n v="168700"/>
  </r>
  <r>
    <x v="121"/>
    <m/>
    <n v="1046"/>
    <n v="12300"/>
  </r>
  <r>
    <x v="122"/>
    <m/>
    <n v="995"/>
    <n v="11700"/>
  </r>
  <r>
    <x v="123"/>
    <m/>
    <n v="1275"/>
    <n v="15000"/>
  </r>
  <r>
    <x v="124"/>
    <m/>
    <n v="1233"/>
    <n v="14500"/>
  </r>
  <r>
    <x v="125"/>
    <m/>
    <n v="2935"/>
    <n v="167900"/>
  </r>
  <r>
    <x v="126"/>
    <m/>
    <n v="41"/>
    <n v="2000"/>
  </r>
  <r>
    <x v="127"/>
    <m/>
    <n v="499"/>
    <n v="25500"/>
  </r>
  <r>
    <x v="128"/>
    <m/>
    <n v="273"/>
    <n v="13400"/>
  </r>
  <r>
    <x v="129"/>
    <m/>
    <n v="1468"/>
    <n v="84000"/>
  </r>
  <r>
    <x v="130"/>
    <m/>
    <n v="281"/>
    <n v="14500"/>
  </r>
  <r>
    <x v="131"/>
    <m/>
    <n v="255"/>
    <n v="11600"/>
  </r>
  <r>
    <x v="132"/>
    <m/>
    <n v="301"/>
    <n v="10500"/>
  </r>
  <r>
    <x v="133"/>
    <m/>
    <n v="269"/>
    <n v="15800"/>
  </r>
  <r>
    <x v="134"/>
    <m/>
    <n v="1068"/>
    <n v="61100"/>
  </r>
  <r>
    <x v="135"/>
    <m/>
    <n v="334"/>
    <n v="10800"/>
  </r>
  <r>
    <x v="136"/>
    <m/>
    <n v="1472"/>
    <n v="84200"/>
  </r>
  <r>
    <x v="137"/>
    <m/>
    <n v="324"/>
    <n v="10600"/>
  </r>
  <r>
    <x v="138"/>
    <m/>
    <n v="252"/>
    <n v="11500"/>
  </r>
  <r>
    <x v="139"/>
    <m/>
    <n v="493"/>
    <n v="28200"/>
  </r>
  <r>
    <x v="140"/>
    <m/>
    <n v="237"/>
    <n v="10800"/>
  </r>
  <r>
    <x v="141"/>
    <m/>
    <n v="2985"/>
    <n v="120400"/>
  </r>
  <r>
    <x v="142"/>
    <m/>
    <n v="3225"/>
    <n v="130100"/>
  </r>
  <r>
    <x v="143"/>
    <m/>
    <n v="179"/>
    <n v="10600"/>
  </r>
  <r>
    <x v="144"/>
    <m/>
    <n v="313"/>
    <n v="18600"/>
  </r>
  <r>
    <x v="145"/>
    <m/>
    <n v="504"/>
    <n v="19800"/>
  </r>
  <r>
    <x v="146"/>
    <m/>
    <n v="761"/>
    <n v="29900"/>
  </r>
  <r>
    <x v="147"/>
    <m/>
    <n v="503"/>
    <n v="25400"/>
  </r>
  <r>
    <x v="148"/>
    <m/>
    <n v="331"/>
    <n v="11000"/>
  </r>
  <r>
    <x v="149"/>
    <m/>
    <n v="1493"/>
    <n v="56500"/>
  </r>
  <r>
    <x v="150"/>
    <m/>
    <n v="982"/>
    <n v="56200"/>
  </r>
  <r>
    <x v="151"/>
    <m/>
    <n v="1404"/>
    <n v="88600"/>
  </r>
  <r>
    <x v="152"/>
    <m/>
    <n v="153"/>
    <n v="7500"/>
  </r>
  <r>
    <x v="153"/>
    <m/>
    <n v="206"/>
    <n v="10100"/>
  </r>
  <r>
    <x v="154"/>
    <m/>
    <n v="401"/>
    <n v="23800"/>
  </r>
  <r>
    <x v="100"/>
    <m/>
    <n v="323"/>
    <n v="16400"/>
  </r>
  <r>
    <x v="155"/>
    <m/>
    <n v="293"/>
    <n v="19000"/>
  </r>
  <r>
    <x v="156"/>
    <m/>
    <n v="1063"/>
    <n v="19700"/>
  </r>
  <r>
    <x v="157"/>
    <m/>
    <n v="1068"/>
    <n v="19800"/>
  </r>
  <r>
    <x v="151"/>
    <m/>
    <n v="2536"/>
    <n v="160000"/>
  </r>
  <r>
    <x v="158"/>
    <m/>
    <n v="1275"/>
    <n v="74900"/>
  </r>
  <r>
    <x v="159"/>
    <m/>
    <n v="425"/>
    <n v="25000"/>
  </r>
  <r>
    <x v="160"/>
    <m/>
    <n v="446"/>
    <n v="22800"/>
  </r>
  <r>
    <x v="161"/>
    <m/>
    <n v="397"/>
    <n v="25400"/>
  </r>
  <r>
    <x v="162"/>
    <m/>
    <n v="4969"/>
    <n v="313500"/>
  </r>
  <r>
    <x v="163"/>
    <m/>
    <n v="423"/>
    <n v="27500"/>
  </r>
  <r>
    <x v="164"/>
    <m/>
    <n v="847"/>
    <n v="57100"/>
  </r>
  <r>
    <x v="165"/>
    <m/>
    <n v="1261"/>
    <n v="82000"/>
  </r>
  <r>
    <x v="166"/>
    <m/>
    <n v="147"/>
    <n v="10100"/>
  </r>
  <r>
    <x v="167"/>
    <m/>
    <n v="1996"/>
    <n v="110200"/>
  </r>
  <r>
    <x v="168"/>
    <m/>
    <n v="217"/>
    <n v="12500"/>
  </r>
  <r>
    <x v="169"/>
    <m/>
    <n v="227"/>
    <n v="12100"/>
  </r>
  <r>
    <x v="170"/>
    <m/>
    <n v="237"/>
    <n v="13700"/>
  </r>
  <r>
    <x v="171"/>
    <m/>
    <n v="300"/>
    <n v="16800"/>
  </r>
  <r>
    <x v="172"/>
    <m/>
    <n v="1805"/>
    <n v="104100"/>
  </r>
  <r>
    <x v="173"/>
    <m/>
    <n v="1103"/>
    <n v="63600"/>
  </r>
  <r>
    <x v="174"/>
    <m/>
    <n v="330"/>
    <n v="18500"/>
  </r>
  <r>
    <x v="175"/>
    <m/>
    <n v="296"/>
    <n v="16600"/>
  </r>
  <r>
    <x v="176"/>
    <m/>
    <n v="750"/>
    <n v="42000"/>
  </r>
  <r>
    <x v="177"/>
    <m/>
    <n v="324"/>
    <n v="16700"/>
  </r>
  <r>
    <x v="178"/>
    <m/>
    <n v="430"/>
    <n v="22500"/>
  </r>
  <r>
    <x v="179"/>
    <m/>
    <n v="484"/>
    <n v="25300"/>
  </r>
  <r>
    <x v="180"/>
    <m/>
    <n v="27"/>
    <n v="1400"/>
  </r>
  <r>
    <x v="181"/>
    <m/>
    <n v="318"/>
    <n v="16400"/>
  </r>
  <r>
    <x v="182"/>
    <m/>
    <n v="469"/>
    <n v="25900"/>
  </r>
  <r>
    <x v="183"/>
    <m/>
    <n v="1185"/>
    <n v="55200"/>
  </r>
  <r>
    <x v="184"/>
    <m/>
    <n v="479"/>
    <n v="28000"/>
  </r>
  <r>
    <x v="185"/>
    <m/>
    <n v="475"/>
    <n v="25600"/>
  </r>
  <r>
    <x v="186"/>
    <m/>
    <n v="246"/>
    <n v="7600"/>
  </r>
  <r>
    <x v="187"/>
    <m/>
    <n v="462"/>
    <n v="27000"/>
  </r>
  <r>
    <x v="188"/>
    <m/>
    <n v="186"/>
    <n v="11600"/>
  </r>
  <r>
    <x v="189"/>
    <m/>
    <n v="1876"/>
    <n v="87600"/>
  </r>
  <r>
    <x v="190"/>
    <m/>
    <n v="772"/>
    <n v="23800"/>
  </r>
  <r>
    <x v="191"/>
    <m/>
    <n v="1468"/>
    <n v="45300"/>
  </r>
  <r>
    <x v="192"/>
    <m/>
    <n v="822"/>
    <n v="39400"/>
  </r>
  <r>
    <x v="193"/>
    <m/>
    <n v="236"/>
    <n v="15500"/>
  </r>
  <r>
    <x v="194"/>
    <m/>
    <n v="236"/>
    <n v="15500"/>
  </r>
  <r>
    <x v="195"/>
    <m/>
    <n v="301"/>
    <n v="18800"/>
  </r>
  <r>
    <x v="196"/>
    <m/>
    <n v="159"/>
    <n v="9500"/>
  </r>
  <r>
    <x v="197"/>
    <m/>
    <n v="709"/>
    <n v="34000"/>
  </r>
  <r>
    <x v="198"/>
    <m/>
    <n v="542"/>
    <n v="34200"/>
  </r>
  <r>
    <x v="199"/>
    <m/>
    <n v="2481"/>
    <n v="100100"/>
  </r>
  <r>
    <x v="200"/>
    <m/>
    <n v="159"/>
    <n v="9500"/>
  </r>
  <r>
    <x v="201"/>
    <m/>
    <n v="364"/>
    <n v="23400"/>
  </r>
  <r>
    <x v="202"/>
    <m/>
    <n v="502"/>
    <n v="23700"/>
  </r>
  <r>
    <x v="203"/>
    <m/>
    <n v="369"/>
    <n v="23800"/>
  </r>
  <r>
    <x v="204"/>
    <m/>
    <n v="139"/>
    <n v="6700"/>
  </r>
  <r>
    <x v="205"/>
    <m/>
    <n v="1529"/>
    <n v="60700"/>
  </r>
  <r>
    <x v="206"/>
    <m/>
    <n v="588"/>
    <n v="36600"/>
  </r>
  <r>
    <x v="207"/>
    <m/>
    <n v="36"/>
    <n v="600"/>
  </r>
  <r>
    <x v="208"/>
    <m/>
    <n v="2877"/>
    <n v="159500"/>
  </r>
  <r>
    <x v="209"/>
    <m/>
    <n v="4958"/>
    <n v="254300"/>
  </r>
  <r>
    <x v="210"/>
    <m/>
    <n v="2167"/>
    <n v="120100"/>
  </r>
  <r>
    <x v="211"/>
    <m/>
    <n v="341"/>
    <n v="18500"/>
  </r>
  <r>
    <x v="212"/>
    <m/>
    <n v="248"/>
    <n v="10700"/>
  </r>
  <r>
    <x v="213"/>
    <m/>
    <n v="749"/>
    <n v="23100"/>
  </r>
  <r>
    <x v="214"/>
    <m/>
    <n v="1418"/>
    <n v="70400"/>
  </r>
  <r>
    <x v="215"/>
    <m/>
    <n v="1392"/>
    <n v="69100"/>
  </r>
  <r>
    <x v="216"/>
    <m/>
    <n v="182"/>
    <n v="10800"/>
  </r>
  <r>
    <x v="217"/>
    <m/>
    <n v="455"/>
    <n v="28400"/>
  </r>
  <r>
    <x v="218"/>
    <m/>
    <n v="132"/>
    <n v="6400"/>
  </r>
  <r>
    <x v="219"/>
    <m/>
    <n v="135"/>
    <n v="7500"/>
  </r>
  <r>
    <x v="220"/>
    <m/>
    <n v="121"/>
    <n v="7500"/>
  </r>
  <r>
    <x v="221"/>
    <m/>
    <n v="121"/>
    <n v="7500"/>
  </r>
  <r>
    <x v="222"/>
    <m/>
    <n v="2662"/>
    <n v="139300"/>
  </r>
  <r>
    <x v="223"/>
    <m/>
    <n v="8"/>
    <n v="500"/>
  </r>
  <r>
    <x v="224"/>
    <m/>
    <n v="142"/>
    <n v="7600"/>
  </r>
  <r>
    <x v="225"/>
    <m/>
    <n v="73"/>
    <n v="3900"/>
  </r>
  <r>
    <x v="226"/>
    <m/>
    <n v="73"/>
    <n v="3900"/>
  </r>
  <r>
    <x v="227"/>
    <m/>
    <n v="73"/>
    <n v="3900"/>
  </r>
  <r>
    <x v="228"/>
    <m/>
    <n v="177"/>
    <n v="13000"/>
  </r>
  <r>
    <x v="229"/>
    <m/>
    <n v="61"/>
    <n v="5100"/>
  </r>
  <r>
    <x v="230"/>
    <m/>
    <n v="60"/>
    <n v="5000"/>
  </r>
  <r>
    <x v="231"/>
    <m/>
    <n v="61"/>
    <n v="5100"/>
  </r>
  <r>
    <x v="232"/>
    <m/>
    <n v="264"/>
    <n v="18000"/>
  </r>
  <r>
    <x v="233"/>
    <m/>
    <n v="77"/>
    <n v="4100"/>
  </r>
  <r>
    <x v="234"/>
    <m/>
    <n v="78"/>
    <n v="4200"/>
  </r>
  <r>
    <x v="235"/>
    <m/>
    <n v="82"/>
    <n v="4400"/>
  </r>
  <r>
    <x v="236"/>
    <m/>
    <n v="802"/>
    <n v="43700"/>
  </r>
  <r>
    <x v="237"/>
    <m/>
    <n v="49"/>
    <n v="2500"/>
  </r>
  <r>
    <x v="238"/>
    <m/>
    <n v="1008"/>
    <n v="58200"/>
  </r>
  <r>
    <x v="239"/>
    <m/>
    <n v="1585"/>
    <n v="91600"/>
  </r>
  <r>
    <x v="240"/>
    <m/>
    <n v="54"/>
    <n v="4600"/>
  </r>
  <r>
    <x v="241"/>
    <m/>
    <n v="243"/>
    <n v="12700"/>
  </r>
  <r>
    <x v="242"/>
    <m/>
    <n v="1426"/>
    <n v="12340"/>
  </r>
  <r>
    <x v="243"/>
    <m/>
    <n v="2748"/>
    <n v="154900"/>
  </r>
  <r>
    <x v="244"/>
    <m/>
    <n v="112"/>
    <n v="5600"/>
  </r>
  <r>
    <x v="245"/>
    <m/>
    <n v="122"/>
    <n v="7800"/>
  </r>
  <r>
    <x v="246"/>
    <m/>
    <n v="50"/>
    <n v="3200"/>
  </r>
  <r>
    <x v="247"/>
    <m/>
    <n v="46"/>
    <n v="2700"/>
  </r>
  <r>
    <x v="248"/>
    <m/>
    <n v="182"/>
    <n v="8900"/>
  </r>
  <r>
    <x v="249"/>
    <m/>
    <n v="198"/>
    <n v="9700"/>
  </r>
  <r>
    <x v="250"/>
    <m/>
    <n v="397"/>
    <n v="35800"/>
  </r>
  <r>
    <x v="251"/>
    <m/>
    <n v="951"/>
    <n v="20300"/>
  </r>
  <r>
    <x v="252"/>
    <m/>
    <n v="462"/>
    <n v="9900"/>
  </r>
  <r>
    <x v="253"/>
    <m/>
    <n v="455"/>
    <n v="8000"/>
  </r>
  <r>
    <x v="254"/>
    <m/>
    <n v="1021"/>
    <n v="37000"/>
  </r>
  <r>
    <x v="255"/>
    <m/>
    <n v="142"/>
    <n v="9200"/>
  </r>
  <r>
    <x v="256"/>
    <m/>
    <n v="138"/>
    <n v="6700"/>
  </r>
  <r>
    <x v="257"/>
    <m/>
    <n v="964"/>
    <n v="46800"/>
  </r>
  <r>
    <x v="258"/>
    <m/>
    <n v="455"/>
    <n v="23000"/>
  </r>
  <r>
    <x v="259"/>
    <m/>
    <n v="533"/>
    <n v="33600"/>
  </r>
  <r>
    <x v="260"/>
    <m/>
    <n v="949"/>
    <n v="46100"/>
  </r>
  <r>
    <x v="261"/>
    <m/>
    <n v="982"/>
    <n v="47700"/>
  </r>
  <r>
    <x v="262"/>
    <m/>
    <n v="415"/>
    <n v="26500"/>
  </r>
  <r>
    <x v="263"/>
    <m/>
    <n v="493"/>
    <n v="31500"/>
  </r>
  <r>
    <x v="264"/>
    <m/>
    <n v="1003"/>
    <n v="11800"/>
  </r>
  <r>
    <x v="265"/>
    <m/>
    <n v="484"/>
    <n v="23500"/>
  </r>
  <r>
    <x v="266"/>
    <m/>
    <n v="259"/>
    <n v="13900"/>
  </r>
  <r>
    <x v="267"/>
    <m/>
    <n v="1020"/>
    <n v="12000"/>
  </r>
  <r>
    <x v="268"/>
    <m/>
    <n v="6385"/>
    <n v="75100"/>
  </r>
  <r>
    <x v="269"/>
    <m/>
    <n v="745"/>
    <n v="39300"/>
  </r>
  <r>
    <x v="270"/>
    <m/>
    <n v="489"/>
    <n v="25900"/>
  </r>
  <r>
    <x v="271"/>
    <m/>
    <n v="478"/>
    <n v="23200"/>
  </r>
  <r>
    <x v="272"/>
    <m/>
    <n v="404"/>
    <n v="33500"/>
  </r>
  <r>
    <x v="273"/>
    <m/>
    <n v="487"/>
    <n v="25800"/>
  </r>
  <r>
    <x v="274"/>
    <m/>
    <n v="471"/>
    <n v="11900"/>
  </r>
  <r>
    <x v="275"/>
    <m/>
    <n v="3707"/>
    <n v="93750"/>
  </r>
  <r>
    <x v="276"/>
    <m/>
    <n v="4864"/>
    <n v="306900"/>
  </r>
  <r>
    <x v="277"/>
    <m/>
    <n v="1075"/>
    <n v="18000"/>
  </r>
  <r>
    <x v="278"/>
    <m/>
    <n v="478"/>
    <n v="23500"/>
  </r>
  <r>
    <x v="279"/>
    <m/>
    <n v="479"/>
    <n v="25300"/>
  </r>
  <r>
    <x v="280"/>
    <m/>
    <n v="244"/>
    <n v="11700"/>
  </r>
  <r>
    <x v="281"/>
    <m/>
    <n v="366"/>
    <n v="16000"/>
  </r>
  <r>
    <x v="282"/>
    <m/>
    <n v="503"/>
    <n v="22900"/>
  </r>
  <r>
    <x v="283"/>
    <m/>
    <n v="497"/>
    <n v="22600"/>
  </r>
  <r>
    <x v="284"/>
    <m/>
    <n v="501"/>
    <n v="22800"/>
  </r>
  <r>
    <x v="285"/>
    <m/>
    <n v="238"/>
    <n v="11700"/>
  </r>
  <r>
    <x v="286"/>
    <m/>
    <n v="238"/>
    <n v="11700"/>
  </r>
  <r>
    <x v="287"/>
    <m/>
    <n v="1241"/>
    <n v="64900"/>
  </r>
  <r>
    <x v="288"/>
    <m/>
    <n v="467"/>
    <n v="25200"/>
  </r>
  <r>
    <x v="289"/>
    <m/>
    <n v="152"/>
    <n v="3300"/>
  </r>
  <r>
    <x v="290"/>
    <m/>
    <n v="105"/>
    <n v="2400"/>
  </r>
  <r>
    <x v="291"/>
    <m/>
    <n v="133"/>
    <n v="2000"/>
  </r>
  <r>
    <x v="292"/>
    <m/>
    <n v="1372"/>
    <n v="68600"/>
  </r>
  <r>
    <x v="293"/>
    <m/>
    <n v="1409"/>
    <n v="70400"/>
  </r>
  <r>
    <x v="294"/>
    <m/>
    <n v="485"/>
    <n v="25000"/>
  </r>
  <r>
    <x v="295"/>
    <m/>
    <n v="1028"/>
    <n v="45500"/>
  </r>
  <r>
    <x v="296"/>
    <m/>
    <n v="122"/>
    <n v="6800"/>
  </r>
  <r>
    <x v="297"/>
    <m/>
    <n v="622"/>
    <n v="40600"/>
  </r>
  <r>
    <x v="298"/>
    <m/>
    <n v="115"/>
    <n v="7300"/>
  </r>
  <r>
    <x v="299"/>
    <m/>
    <n v="66"/>
    <n v="3700"/>
  </r>
  <r>
    <x v="300"/>
    <m/>
    <n v="439"/>
    <n v="24300"/>
  </r>
  <r>
    <x v="301"/>
    <m/>
    <n v="137"/>
    <n v="8000"/>
  </r>
  <r>
    <x v="302"/>
    <m/>
    <n v="802"/>
    <n v="52300"/>
  </r>
  <r>
    <x v="303"/>
    <m/>
    <n v="141"/>
    <n v="8120"/>
  </r>
  <r>
    <x v="304"/>
    <m/>
    <n v="435"/>
    <n v="25100"/>
  </r>
  <r>
    <x v="305"/>
    <m/>
    <n v="220"/>
    <n v="12700"/>
  </r>
  <r>
    <x v="306"/>
    <m/>
    <n v="882"/>
    <n v="45500"/>
  </r>
  <r>
    <x v="307"/>
    <m/>
    <n v="879"/>
    <n v="45300"/>
  </r>
  <r>
    <x v="308"/>
    <m/>
    <n v="147"/>
    <n v="8500"/>
  </r>
  <r>
    <x v="309"/>
    <m/>
    <n v="191"/>
    <n v="10200"/>
  </r>
  <r>
    <x v="310"/>
    <m/>
    <n v="187"/>
    <n v="12600"/>
  </r>
  <r>
    <x v="311"/>
    <m/>
    <n v="204"/>
    <n v="10900"/>
  </r>
  <r>
    <x v="312"/>
    <m/>
    <n v="19"/>
    <n v="1000"/>
  </r>
  <r>
    <x v="313"/>
    <m/>
    <n v="760"/>
    <n v="43850"/>
  </r>
  <r>
    <x v="314"/>
    <m/>
    <n v="102"/>
    <n v="6200"/>
  </r>
  <r>
    <x v="315"/>
    <m/>
    <n v="1540"/>
    <n v="97500"/>
  </r>
  <r>
    <x v="316"/>
    <m/>
    <n v="2188"/>
    <n v="143400"/>
  </r>
  <r>
    <x v="317"/>
    <m/>
    <n v="977"/>
    <n v="49600"/>
  </r>
  <r>
    <x v="318"/>
    <m/>
    <n v="358"/>
    <n v="18700"/>
  </r>
  <r>
    <x v="319"/>
    <m/>
    <n v="88"/>
    <n v="4300"/>
  </r>
  <r>
    <x v="320"/>
    <m/>
    <n v="39"/>
    <n v="2800"/>
  </r>
  <r>
    <x v="321"/>
    <m/>
    <n v="40"/>
    <n v="2900"/>
  </r>
  <r>
    <x v="322"/>
    <m/>
    <n v="73"/>
    <n v="5200"/>
  </r>
  <r>
    <x v="323"/>
    <m/>
    <n v="73"/>
    <n v="5200"/>
  </r>
  <r>
    <x v="324"/>
    <m/>
    <n v="78"/>
    <n v="5500"/>
  </r>
  <r>
    <x v="325"/>
    <m/>
    <n v="285"/>
    <n v="14000"/>
  </r>
  <r>
    <x v="326"/>
    <m/>
    <n v="88"/>
    <n v="4600"/>
  </r>
  <r>
    <x v="327"/>
    <m/>
    <n v="619"/>
    <n v="39800"/>
  </r>
  <r>
    <x v="328"/>
    <m/>
    <n v="560"/>
    <n v="32100"/>
  </r>
  <r>
    <x v="329"/>
    <m/>
    <n v="541"/>
    <n v="31030"/>
  </r>
  <r>
    <x v="330"/>
    <m/>
    <n v="132"/>
    <n v="6200"/>
  </r>
  <r>
    <x v="331"/>
    <m/>
    <n v="88"/>
    <n v="5100"/>
  </r>
  <r>
    <x v="332"/>
    <m/>
    <n v="105"/>
    <n v="7000"/>
  </r>
  <r>
    <x v="333"/>
    <m/>
    <n v="438"/>
    <n v="26000"/>
  </r>
  <r>
    <x v="334"/>
    <m/>
    <n v="4657"/>
    <n v="253600"/>
  </r>
  <r>
    <x v="335"/>
    <m/>
    <n v="11190"/>
    <n v="556000"/>
  </r>
  <r>
    <x v="336"/>
    <m/>
    <n v="132"/>
    <n v="9200"/>
  </r>
  <r>
    <x v="337"/>
    <m/>
    <n v="272"/>
    <n v="14000"/>
  </r>
  <r>
    <x v="338"/>
    <m/>
    <n v="221"/>
    <n v="19100"/>
  </r>
  <r>
    <x v="339"/>
    <m/>
    <n v="310"/>
    <n v="16700"/>
  </r>
  <r>
    <x v="340"/>
    <m/>
    <n v="1467"/>
    <n v="68700"/>
  </r>
  <r>
    <x v="341"/>
    <m/>
    <n v="310"/>
    <n v="16700"/>
  </r>
  <r>
    <x v="342"/>
    <m/>
    <n v="493"/>
    <n v="43100"/>
  </r>
  <r>
    <x v="343"/>
    <m/>
    <n v="109"/>
    <n v="7100"/>
  </r>
  <r>
    <x v="344"/>
    <m/>
    <n v="190"/>
    <n v="13900"/>
  </r>
  <r>
    <x v="345"/>
    <m/>
    <n v="122"/>
    <n v="8900"/>
  </r>
  <r>
    <x v="346"/>
    <m/>
    <n v="501"/>
    <n v="23000"/>
  </r>
  <r>
    <x v="347"/>
    <m/>
    <n v="494"/>
    <n v="22700"/>
  </r>
  <r>
    <x v="348"/>
    <m/>
    <n v="499"/>
    <n v="22900"/>
  </r>
  <r>
    <x v="349"/>
    <m/>
    <n v="505"/>
    <n v="23200"/>
  </r>
  <r>
    <x v="120"/>
    <m/>
    <n v="1672"/>
    <n v="86100"/>
  </r>
  <r>
    <x v="125"/>
    <m/>
    <n v="1703"/>
    <n v="86100"/>
  </r>
  <r>
    <x v="350"/>
    <m/>
    <n v="248"/>
    <n v="14700"/>
  </r>
  <r>
    <x v="351"/>
    <m/>
    <n v="422"/>
    <n v="27100"/>
  </r>
  <r>
    <x v="352"/>
    <m/>
    <n v="408"/>
    <n v="23900"/>
  </r>
  <r>
    <x v="353"/>
    <m/>
    <n v="694"/>
    <n v="47200"/>
  </r>
  <r>
    <x v="354"/>
    <m/>
    <n v="246"/>
    <n v="12100"/>
  </r>
  <r>
    <x v="355"/>
    <m/>
    <n v="167"/>
    <n v="10900"/>
  </r>
  <r>
    <x v="356"/>
    <m/>
    <n v="166"/>
    <n v="10800"/>
  </r>
  <r>
    <x v="357"/>
    <m/>
    <n v="164"/>
    <n v="10700"/>
  </r>
  <r>
    <x v="358"/>
    <m/>
    <n v="164"/>
    <n v="10700"/>
  </r>
  <r>
    <x v="359"/>
    <m/>
    <n v="156"/>
    <n v="10200"/>
  </r>
  <r>
    <x v="360"/>
    <m/>
    <n v="256"/>
    <n v="13400"/>
  </r>
  <r>
    <x v="361"/>
    <m/>
    <n v="166"/>
    <n v="10800"/>
  </r>
  <r>
    <x v="362"/>
    <m/>
    <n v="642"/>
    <n v="42200"/>
  </r>
  <r>
    <x v="363"/>
    <m/>
    <n v="161"/>
    <n v="10500"/>
  </r>
  <r>
    <x v="364"/>
    <m/>
    <n v="457"/>
    <n v="22700"/>
  </r>
  <r>
    <x v="365"/>
    <m/>
    <n v="501"/>
    <n v="21500"/>
  </r>
  <r>
    <x v="366"/>
    <m/>
    <n v="484"/>
    <n v="26400"/>
  </r>
  <r>
    <x v="367"/>
    <m/>
    <n v="484"/>
    <n v="26400"/>
  </r>
  <r>
    <x v="368"/>
    <m/>
    <n v="484"/>
    <n v="26400"/>
  </r>
  <r>
    <x v="369"/>
    <m/>
    <n v="508"/>
    <n v="21800"/>
  </r>
  <r>
    <x v="370"/>
    <m/>
    <n v="2414"/>
    <n v="108600"/>
  </r>
  <r>
    <x v="371"/>
    <m/>
    <n v="45"/>
    <n v="1000"/>
  </r>
  <r>
    <x v="372"/>
    <m/>
    <n v="20"/>
    <n v="800"/>
  </r>
  <r>
    <x v="373"/>
    <m/>
    <n v="11"/>
    <n v="700"/>
  </r>
  <r>
    <x v="374"/>
    <m/>
    <n v="11"/>
    <n v="700"/>
  </r>
  <r>
    <x v="374"/>
    <m/>
    <n v="12"/>
    <n v="700"/>
  </r>
  <r>
    <x v="373"/>
    <m/>
    <n v="11"/>
    <n v="700"/>
  </r>
  <r>
    <x v="375"/>
    <m/>
    <n v="32"/>
    <n v="700"/>
  </r>
  <r>
    <x v="372"/>
    <m/>
    <n v="18"/>
    <n v="700"/>
  </r>
  <r>
    <x v="376"/>
    <m/>
    <n v="11"/>
    <n v="700"/>
  </r>
  <r>
    <x v="377"/>
    <m/>
    <n v="91"/>
    <n v="2000"/>
  </r>
  <r>
    <x v="378"/>
    <m/>
    <n v="491"/>
    <n v="26000"/>
  </r>
  <r>
    <x v="379"/>
    <m/>
    <n v="233"/>
    <n v="17100"/>
  </r>
  <r>
    <x v="380"/>
    <m/>
    <n v="218"/>
    <n v="16000"/>
  </r>
  <r>
    <x v="381"/>
    <m/>
    <n v="215"/>
    <n v="15800"/>
  </r>
  <r>
    <x v="382"/>
    <m/>
    <n v="638"/>
    <n v="44500"/>
  </r>
  <r>
    <x v="383"/>
    <m/>
    <n v="301"/>
    <n v="13400"/>
  </r>
  <r>
    <x v="384"/>
    <m/>
    <n v="548"/>
    <n v="34200"/>
  </r>
  <r>
    <x v="385"/>
    <m/>
    <n v="526"/>
    <n v="31800"/>
  </r>
  <r>
    <x v="386"/>
    <m/>
    <n v="301"/>
    <n v="14400"/>
  </r>
  <r>
    <x v="387"/>
    <m/>
    <n v="889"/>
    <n v="46800"/>
  </r>
  <r>
    <x v="388"/>
    <m/>
    <n v="667"/>
    <n v="35000"/>
  </r>
  <r>
    <x v="389"/>
    <m/>
    <n v="890"/>
    <n v="46700"/>
  </r>
  <r>
    <x v="390"/>
    <m/>
    <n v="669"/>
    <n v="35100"/>
  </r>
  <r>
    <x v="391"/>
    <m/>
    <n v="663"/>
    <n v="34800"/>
  </r>
  <r>
    <x v="392"/>
    <m/>
    <n v="285"/>
    <n v="13000"/>
  </r>
  <r>
    <x v="393"/>
    <m/>
    <n v="285"/>
    <n v="13000"/>
  </r>
  <r>
    <x v="394"/>
    <m/>
    <n v="545"/>
    <n v="31200"/>
  </r>
  <r>
    <x v="395"/>
    <m/>
    <n v="115"/>
    <n v="8000"/>
  </r>
  <r>
    <x v="396"/>
    <m/>
    <n v="8588"/>
    <n v="4263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">
  <r>
    <d v="2023-12-16T00:00:00"/>
    <s v="A"/>
    <x v="0"/>
    <s v="Trade 310g - Cerberus Coffee - 3D Pouch (MB)"/>
    <n v="139"/>
    <n v="5600"/>
  </r>
  <r>
    <d v="2023-12-16T00:00:00"/>
    <s v="A"/>
    <x v="1"/>
    <s v="Trade 310g - Joven Coffee - 3D Pouch (MB)"/>
    <n v="74"/>
    <n v="3000"/>
  </r>
  <r>
    <d v="2023-12-16T00:00:00"/>
    <s v="A"/>
    <x v="2"/>
    <s v="Trade 310g - Joven Coffee - 3D Pouch SG)"/>
    <n v="42"/>
    <n v="1700"/>
  </r>
  <r>
    <d v="2023-12-16T00:00:00"/>
    <s v="B"/>
    <x v="3"/>
    <s v="Organic Earth Goods 340gm Pouch"/>
    <n v="145"/>
    <n v="10800"/>
  </r>
  <r>
    <d v="2023-12-16T00:00:00"/>
    <s v="B"/>
    <x v="4"/>
    <s v="Shan Lentils 4 LBS (460 X 330) Roll"/>
    <n v="277"/>
    <n v="14500"/>
  </r>
  <r>
    <d v="2023-12-16T00:00:00"/>
    <s v="B"/>
    <x v="5"/>
    <s v="Aroma Baby Wipes 80 pcs"/>
    <n v="116"/>
    <n v="6400"/>
  </r>
  <r>
    <d v="2023-12-16T00:00:00"/>
    <s v="B"/>
    <x v="6"/>
    <s v="Cool Sun Apple 100%  Front &amp; Reverse Foil"/>
    <n v="354"/>
    <n v="17400"/>
  </r>
  <r>
    <d v="2023-12-16T00:00:00"/>
    <s v="B"/>
    <x v="7"/>
    <s v="Sun Blast Organic Apple 100% Front &amp; Reverse Roll   "/>
    <n v="181"/>
    <n v="8900"/>
  </r>
  <r>
    <d v="2023-12-17T00:00:00"/>
    <s v="A"/>
    <x v="8"/>
    <s v="Crunchos Pistachio 300gm"/>
    <n v="588"/>
    <n v="35200"/>
  </r>
  <r>
    <d v="2023-12-17T00:00:00"/>
    <s v="A"/>
    <x v="9"/>
    <s v="Al Douri Generic 10 Kg Roll"/>
    <n v="682"/>
    <n v="36800"/>
  </r>
  <r>
    <d v="2023-12-17T00:00:00"/>
    <s v="A"/>
    <x v="10"/>
    <s v="Trade 310g - Good Citizen Coffee - 3D Pouch (MB)"/>
    <n v="406"/>
    <n v="17085"/>
  </r>
  <r>
    <d v="2023-12-17T00:00:00"/>
    <s v="A"/>
    <x v="11"/>
    <s v="Trade 310g - Sight Seer Coffee - 3D Pouch (MB)"/>
    <n v="129"/>
    <n v="5400"/>
  </r>
  <r>
    <d v="2023-12-18T00:00:00"/>
    <s v="A"/>
    <x v="12"/>
    <s v="Nutri Plus Apple Juice 100% F &amp; R Foil"/>
    <n v="177"/>
    <n v="8700"/>
  </r>
  <r>
    <d v="2023-12-19T00:00:00"/>
    <s v="A"/>
    <x v="13"/>
    <s v="Nutri Plus Fruit Punch Juice F &amp; R Foil"/>
    <n v="179"/>
    <n v="8800"/>
  </r>
  <r>
    <d v="2023-12-19T00:00:00"/>
    <s v="A"/>
    <x v="14"/>
    <s v="Nutri Plus Grape Juice 100% F &amp; R Foil"/>
    <n v="179"/>
    <n v="8800"/>
  </r>
  <r>
    <d v="2023-12-19T00:00:00"/>
    <s v="A"/>
    <x v="15"/>
    <s v="Trade 310g - Joven Coffee - 3D Pouch (MB)"/>
    <n v="252"/>
    <n v="10194"/>
  </r>
  <r>
    <d v="2023-12-19T00:00:00"/>
    <s v="B"/>
    <x v="0"/>
    <s v="Trade 310g - Cerberus Coffee - 3D Pouch (MB)"/>
    <n v="25"/>
    <n v="1020"/>
  </r>
  <r>
    <d v="2023-12-19T00:00:00"/>
    <s v="A"/>
    <x v="16"/>
    <s v="New Bayara 330 X 205 mm- Nuts Roll"/>
    <n v="151"/>
    <n v="9000"/>
  </r>
  <r>
    <d v="2023-12-19T00:00:00"/>
    <s v="A"/>
    <x v="17"/>
    <s v="Fakien Chicken Fruts Plain 400g (Eyemark and Keyline only)"/>
    <n v="9"/>
    <n v="600"/>
  </r>
  <r>
    <d v="2023-12-19T00:00:00"/>
    <s v="B"/>
    <x v="18"/>
    <s v="New Bayara 410 X 255 mm - Nuts Roll"/>
    <n v="150"/>
    <n v="10500"/>
  </r>
  <r>
    <d v="2023-12-19T00:00:00"/>
    <s v="A"/>
    <x v="19"/>
    <s v="ID Fresh - Whole Wheat Chapati - 5 Pcs"/>
    <n v="729"/>
    <n v="39200"/>
  </r>
  <r>
    <d v="2023-12-19T00:00:00"/>
    <s v="A"/>
    <x v="20"/>
    <s v="Sadia Tender Chicken Breast 2Kg"/>
    <n v="2372"/>
    <n v="110500"/>
  </r>
  <r>
    <d v="2023-12-20T00:00:00"/>
    <s v="A"/>
    <x v="21"/>
    <s v="Farm Foods Crispy Chicken Burgers 1.2 Kg Pouch"/>
    <n v="177"/>
    <n v="15600"/>
  </r>
  <r>
    <d v="2023-12-20T00:00:00"/>
    <s v="A"/>
    <x v="22"/>
    <s v="Oasis Drinking Water Lid Roll"/>
    <n v="102"/>
    <n v="5200"/>
  </r>
  <r>
    <d v="2023-12-20T00:00:00"/>
    <s v="A"/>
    <x v="23"/>
    <s v="Generic Non Spill Water Lid Rolls - Quality Seal"/>
    <n v="100"/>
    <n v="5300"/>
  </r>
  <r>
    <d v="2023-12-20T00:00:00"/>
    <s v="A"/>
    <x v="24"/>
    <s v="Zoom Apple Flavoured Drink 200 ml"/>
    <n v="738"/>
    <n v="55300"/>
  </r>
  <r>
    <d v="2023-12-20T00:00:00"/>
    <s v="A"/>
    <x v="25"/>
    <s v="Magix Blue 22gm - 3D Pouch (Main Body)"/>
    <n v="699"/>
    <n v="46600"/>
  </r>
  <r>
    <d v="2023-12-20T00:00:00"/>
    <s v="A"/>
    <x v="26"/>
    <s v="Eyemark printed Laminated roll - 960mm"/>
    <n v="21"/>
    <n v="1300"/>
  </r>
  <r>
    <d v="2023-12-20T00:00:00"/>
    <s v="A"/>
    <x v="27"/>
    <s v="Natures Moments - AIB - 150g"/>
    <n v="34"/>
    <n v="1300"/>
  </r>
  <r>
    <d v="2023-12-21T00:00:00"/>
    <s v="A"/>
    <x v="28"/>
    <s v="Sunbulah Baladi Sanbusak 1 Kg UAE"/>
    <n v="1075"/>
    <n v="67700"/>
  </r>
  <r>
    <d v="2023-12-21T00:00:00"/>
    <s v="A"/>
    <x v="29"/>
    <s v="Capri Sun Apple Natural Fruit Drink Nigeria  F&amp;B Foil"/>
    <n v="112"/>
    <n v="5690"/>
  </r>
  <r>
    <d v="2023-12-22T00:00:00"/>
    <s v="A"/>
    <x v="30"/>
    <s v="Capri Sun Mango 11% Sport UAE Back 200 ml"/>
    <n v="69"/>
    <n v="3500"/>
  </r>
  <r>
    <d v="2023-12-22T00:00:00"/>
    <s v="A"/>
    <x v="31"/>
    <s v="Gandour Pikone DOY Pack 385g - Export"/>
    <n v="175"/>
    <n v="15800"/>
  </r>
  <r>
    <d v="2023-12-22T00:00:00"/>
    <s v="A"/>
    <x v="32"/>
    <s v="Carrefour 100g Chocolate Assorted pouch"/>
    <n v="92"/>
    <n v="4900"/>
  </r>
  <r>
    <d v="2023-12-22T00:00:00"/>
    <s v="A"/>
    <x v="33"/>
    <s v="Carrefour 100g Chocodate Milk"/>
    <n v="77"/>
    <n v="4100"/>
  </r>
  <r>
    <d v="2023-12-22T00:00:00"/>
    <s v="A"/>
    <x v="34"/>
    <s v="Bayara Sweet + Chilli 200gm Q"/>
    <n v="42"/>
    <n v="2500"/>
  </r>
  <r>
    <d v="2023-12-22T00:00:00"/>
    <s v="A"/>
    <x v="29"/>
    <s v="Capri Sun Apple Natural Fruit Drink Nigeria  F&amp;B Foil"/>
    <n v="0"/>
    <n v="0"/>
  </r>
  <r>
    <d v="2023-12-22T00:00:00"/>
    <s v="B"/>
    <x v="35"/>
    <s v="MAQ Washing Powder 2 Kg"/>
    <n v="11059"/>
    <n v="549500"/>
  </r>
  <r>
    <d v="2023-12-22T00:00:00"/>
    <s v="A"/>
    <x v="35"/>
    <s v="MAQ Washing Powder 2 Kg"/>
    <n v="50"/>
    <n v="2500"/>
  </r>
  <r>
    <d v="2023-12-24T00:00:00"/>
    <s v="A"/>
    <x v="36"/>
    <s v="Trade 310g - Sparrow Coffee - OPT2 - 3D Pouch (MB)"/>
    <n v="79"/>
    <n v="3200"/>
  </r>
  <r>
    <d v="2023-12-24T00:00:00"/>
    <s v="A"/>
    <x v="29"/>
    <s v="Capri Sun Apple Natural Fruit Drink Nigeria  F&amp;B Foil"/>
    <n v="1817"/>
    <n v="92200"/>
  </r>
  <r>
    <d v="2023-12-24T00:00:00"/>
    <s v="A"/>
    <x v="37"/>
    <s v="Primo Tomato Paste 30gm"/>
    <n v="312"/>
    <n v="16800"/>
  </r>
  <r>
    <d v="2023-12-24T00:00:00"/>
    <s v="A"/>
    <x v="38"/>
    <s v="Sadia Crispy Chicken Nuggets 750 gm Roll"/>
    <n v="211"/>
    <n v="11100"/>
  </r>
  <r>
    <d v="2023-12-22T00:00:00"/>
    <s v="B"/>
    <x v="39"/>
    <s v="Wesee Tortilla Chips Pepper Sauce 160gms"/>
    <n v="337"/>
    <n v="18300"/>
  </r>
  <r>
    <d v="2023-12-22T00:00:00"/>
    <s v="B"/>
    <x v="40"/>
    <s v="Tiffany Bugles ketchup 90g"/>
    <n v="236"/>
    <n v="11600"/>
  </r>
  <r>
    <d v="2023-12-22T00:00:00"/>
    <s v="B"/>
    <x v="41"/>
    <s v="Swich Chippy Choco Chips 20g"/>
    <n v="469"/>
    <n v="22500"/>
  </r>
  <r>
    <d v="2023-12-23T00:00:00"/>
    <s v="A"/>
    <x v="42"/>
    <s v="Eyemark Printed Plain 840mm Roll"/>
    <n v="1358"/>
    <n v="24600"/>
  </r>
  <r>
    <d v="2023-12-23T00:00:00"/>
    <s v="A"/>
    <x v="43"/>
    <s v="Kamel Salad OW"/>
    <n v="468"/>
    <n v="29900"/>
  </r>
  <r>
    <d v="2023-12-23T00:00:00"/>
    <s v="A"/>
    <x v="44"/>
    <s v="Hayel Corni 400 gm Roll"/>
    <n v="839"/>
    <n v="43200"/>
  </r>
  <r>
    <d v="2023-12-23T00:00:00"/>
    <s v="B"/>
    <x v="45"/>
    <s v="Tiffany Spada Wafer Chocolate Wafer 20gm"/>
    <n v="1695"/>
    <n v="99600"/>
  </r>
  <r>
    <d v="2023-12-14T00:00:00"/>
    <s v="B"/>
    <x v="46"/>
    <s v="Mai Dubai 500 ml Water Label Roll"/>
    <n v="5694"/>
    <n v="181900"/>
  </r>
  <r>
    <d v="2023-12-15T00:00:00"/>
    <s v="A"/>
    <x v="47"/>
    <s v="Al Mudhish Tea Milk Label 170 grams"/>
    <n v="274"/>
    <n v="9900"/>
  </r>
  <r>
    <d v="2023-12-15T00:00:00"/>
    <s v="A"/>
    <x v="48"/>
    <s v="New Magix Blue Roll  25gm"/>
    <n v="1022"/>
    <n v="53500"/>
  </r>
  <r>
    <d v="2023-12-15T00:00:00"/>
    <s v="A"/>
    <x v="49"/>
    <s v="Al Mudhish Potato Ripples Crunch Chilli Flavour 15g"/>
    <n v="3562"/>
    <n v="203800"/>
  </r>
  <r>
    <d v="2023-12-15T00:00:00"/>
    <s v="B"/>
    <x v="50"/>
    <s v="Eurocake Jumbo Croissant Chocolate 40gm"/>
    <n v="1042"/>
    <n v="50600"/>
  </r>
  <r>
    <d v="2023-12-15T00:00:00"/>
    <s v="B"/>
    <x v="51"/>
    <s v="Middle East - S7 Lentil Chips Sea Salt 3.65oz 103gm Roll"/>
    <n v="1171"/>
    <n v="50400"/>
  </r>
  <r>
    <d v="2023-12-15T00:00:00"/>
    <s v="B"/>
    <x v="52"/>
    <s v="Igloo Milk Ice Vanilla DIP"/>
    <n v="826"/>
    <n v="53700"/>
  </r>
  <r>
    <d v="2023-12-16T00:00:00"/>
    <s v="A"/>
    <x v="53"/>
    <s v="Igloo Mark Up 60 ml Wrapper"/>
    <n v="831"/>
    <n v="54000"/>
  </r>
  <r>
    <d v="2023-12-16T00:00:00"/>
    <s v="A"/>
    <x v="54"/>
    <s v="Simply Nature Organic Popcorn Sea Salt 6 oz (170gm)"/>
    <n v="885"/>
    <n v="32000"/>
  </r>
  <r>
    <d v="2023-12-16T00:00:00"/>
    <s v="A"/>
    <x v="55"/>
    <s v="Daily Crave Lentil Chips HPS 4.25 oz (120 gm)"/>
    <n v="522"/>
    <n v="16100"/>
  </r>
  <r>
    <d v="2023-12-16T00:00:00"/>
    <s v="A"/>
    <x v="56"/>
    <s v="Walmart Great Value Apple Cinnamon Straws 7oz (198gm)"/>
    <n v="518"/>
    <n v="20900"/>
  </r>
  <r>
    <d v="2023-12-16T00:00:00"/>
    <s v="A"/>
    <x v="57"/>
    <s v="New Emirates Macaroni Corni  400gm Roll"/>
    <n v="1739"/>
    <n v="91700"/>
  </r>
  <r>
    <d v="2023-12-16T00:00:00"/>
    <s v="A"/>
    <x v="58"/>
    <s v="Piccadeli Gear Up 13.5g"/>
    <n v="948"/>
    <n v="51100"/>
  </r>
  <r>
    <d v="2023-12-17T00:00:00"/>
    <s v="A"/>
    <x v="59"/>
    <s v="Tiffany Bonito Cookies &amp; Cream 18g wrapper"/>
    <n v="473"/>
    <n v="25500"/>
  </r>
  <r>
    <d v="2023-12-17T00:00:00"/>
    <s v="A"/>
    <x v="60"/>
    <s v="Piccadeli Fresco 16g"/>
    <n v="473"/>
    <n v="23500"/>
  </r>
  <r>
    <d v="2023-12-18T00:00:00"/>
    <s v="A"/>
    <x v="61"/>
    <s v="GM Bugles Caramel 100g"/>
    <n v="355"/>
    <n v="11800"/>
  </r>
  <r>
    <d v="2023-12-18T00:00:00"/>
    <s v="A"/>
    <x v="62"/>
    <s v="Polybag Bugles Ketchup 15 X 22 gm"/>
    <n v="363"/>
    <n v="6700"/>
  </r>
  <r>
    <d v="2023-12-18T00:00:00"/>
    <s v="A"/>
    <x v="63"/>
    <s v="GM Bugles Party Mix Firey Hot 130g"/>
    <n v="361"/>
    <n v="11300"/>
  </r>
  <r>
    <d v="2023-12-18T00:00:00"/>
    <s v="A"/>
    <x v="64"/>
    <s v="GM Bugles Party Mix Nacho Cheese 130g"/>
    <n v="374"/>
    <n v="11700"/>
  </r>
  <r>
    <d v="2023-12-18T00:00:00"/>
    <s v="A"/>
    <x v="65"/>
    <s v="Rio Grande Corn Tortilla 200g"/>
    <n v="258"/>
    <n v="15300"/>
  </r>
  <r>
    <d v="2023-12-18T00:00:00"/>
    <s v="A"/>
    <x v="66"/>
    <s v="Igloo Ice pop Blue Raspberry 50ml"/>
    <n v="832"/>
    <n v="54100"/>
  </r>
  <r>
    <d v="2023-12-18T00:00:00"/>
    <s v="B"/>
    <x v="67"/>
    <s v="Piccadeli Splash Half Dipped Biscuit 22g"/>
    <n v="463"/>
    <n v="23000"/>
  </r>
  <r>
    <d v="2023-12-18T00:00:00"/>
    <s v="A"/>
    <x v="68"/>
    <s v="Igloo Ice pop Strawberry 50ml wrapper"/>
    <n v="423"/>
    <n v="27500"/>
  </r>
  <r>
    <d v="2023-12-18T00:00:00"/>
    <s v="A"/>
    <x v="69"/>
    <s v="Nabil OMAN Date Bar 25 grams"/>
    <n v="2634"/>
    <n v="120900"/>
  </r>
  <r>
    <d v="2023-12-18T00:00:00"/>
    <s v="B"/>
    <x v="70"/>
    <s v="Tiffany Breaksta 13g"/>
    <n v="2351"/>
    <n v="120600"/>
  </r>
  <r>
    <d v="2023-12-19T00:00:00"/>
    <s v="A"/>
    <x v="71"/>
    <s v="Quanta Adore Milk 26g"/>
    <n v="475"/>
    <n v="23600"/>
  </r>
  <r>
    <d v="2023-12-19T00:00:00"/>
    <s v="A"/>
    <x v="72"/>
    <s v="GM Bugles Buffalo Wings Sauce 125g"/>
    <n v="371"/>
    <n v="11600"/>
  </r>
  <r>
    <d v="2023-12-19T00:00:00"/>
    <s v="A"/>
    <x v="73"/>
    <s v="Tiffany Breaksta 2pc 26g"/>
    <n v="1384"/>
    <n v="72500"/>
  </r>
  <r>
    <d v="2023-12-19T00:00:00"/>
    <s v="A"/>
    <x v="74"/>
    <s v="Taffany Break Supa (1F) 15g (Morocco)"/>
    <n v="1175"/>
    <n v="60300"/>
  </r>
  <r>
    <d v="2023-12-19T00:00:00"/>
    <s v="B"/>
    <x v="75"/>
    <s v="Piccadeli Silka Chocolate 18 g Jordan"/>
    <n v="482"/>
    <n v="23950"/>
  </r>
  <r>
    <d v="2023-12-19T00:00:00"/>
    <s v="B"/>
    <x v="76"/>
    <s v="Piccadeli Silka Crispies 17 g Jordan"/>
    <n v="473"/>
    <n v="23500"/>
  </r>
  <r>
    <d v="2023-12-19T00:00:00"/>
    <s v="B"/>
    <x v="77"/>
    <s v="Piccadeli Silka Peanuts 18 g Jordan"/>
    <n v="473"/>
    <n v="23500"/>
  </r>
  <r>
    <d v="2023-12-19T00:00:00"/>
    <s v="B"/>
    <x v="78"/>
    <s v="Fleek Marshmallow Pink &amp; White 165g KSA"/>
    <n v="594"/>
    <n v="18300"/>
  </r>
  <r>
    <d v="2023-12-20T00:00:00"/>
    <s v="A"/>
    <x v="79"/>
    <s v="Eurocake Jumbo Croissant Strawberry 40gm"/>
    <n v="572"/>
    <n v="27800"/>
  </r>
  <r>
    <d v="2023-12-20T00:00:00"/>
    <s v="A"/>
    <x v="80"/>
    <s v="Sara Cake Authentic Punjabi Paratha Pouches (450g)"/>
    <n v="438"/>
    <n v="26800"/>
  </r>
  <r>
    <d v="2023-12-20T00:00:00"/>
    <s v="A"/>
    <x v="81"/>
    <s v="Al Mudhish Potato Crispy Ripples Hot Sauce 15grams"/>
    <n v="891"/>
    <n v="51000"/>
  </r>
  <r>
    <d v="2023-12-20T00:00:00"/>
    <s v="B"/>
    <x v="82"/>
    <s v="Al Mudhish Potato Chips Ready Salted 15gms"/>
    <n v="445"/>
    <n v="25500"/>
  </r>
  <r>
    <d v="2023-12-20T00:00:00"/>
    <s v="B"/>
    <x v="83"/>
    <s v="Suroor Natural Potato Chips Tomato Ketchup 14grams"/>
    <n v="449"/>
    <n v="25700"/>
  </r>
  <r>
    <d v="2023-12-20T00:00:00"/>
    <s v="B"/>
    <x v="84"/>
    <s v="AL Mudhish Potato Ripples Crunch Cheese 15gm"/>
    <n v="445"/>
    <n v="25500"/>
  </r>
  <r>
    <d v="2023-12-20T00:00:00"/>
    <s v="A"/>
    <x v="85"/>
    <s v="Sombrero Tortilla - 6 Large Tortillas 360g Roll"/>
    <n v="271"/>
    <n v="13300"/>
  </r>
  <r>
    <d v="2023-12-20T00:00:00"/>
    <s v="B"/>
    <x v="86"/>
    <s v="Suroor Natural Potato Sticks Chilli 20 grams"/>
    <n v="891"/>
    <n v="51000"/>
  </r>
  <r>
    <d v="2023-12-21T00:00:00"/>
    <s v="A"/>
    <x v="87"/>
    <s v="Suroor Tasty Corn Puffs Min Oman Cheese 22gm"/>
    <n v="1797"/>
    <n v="102800"/>
  </r>
  <r>
    <d v="2023-12-21T00:00:00"/>
    <s v="A"/>
    <x v="88"/>
    <s v="Garden Peas 450gm"/>
    <n v="79"/>
    <n v="4500"/>
  </r>
  <r>
    <d v="2023-12-21T00:00:00"/>
    <s v="A"/>
    <x v="89"/>
    <s v="Sunbulah Mixed Vegetables 400gm (With more Corn)"/>
    <n v="633"/>
    <n v="36100"/>
  </r>
  <r>
    <d v="2023-12-21T00:00:00"/>
    <s v="A"/>
    <x v="90"/>
    <s v="Sunbulah Broad Beans 800gm"/>
    <n v="610"/>
    <n v="34800"/>
  </r>
  <r>
    <d v="2023-12-21T00:00:00"/>
    <s v="A"/>
    <x v="91"/>
    <s v="Walima Plain Paratha Film 400g (size 2)"/>
    <n v="640"/>
    <n v="34900"/>
  </r>
  <r>
    <d v="2023-12-21T00:00:00"/>
    <s v="A"/>
    <x v="92"/>
    <s v="Al Faysal Baksam Regular Excellent Packing Bag 1000 grams"/>
    <n v="139"/>
    <n v="6000"/>
  </r>
  <r>
    <d v="2023-12-21T00:00:00"/>
    <s v="B"/>
    <x v="93"/>
    <s v="Al Mudhish Potato Sticks Tomato Flavour OW"/>
    <n v="466"/>
    <n v="29800"/>
  </r>
  <r>
    <d v="2023-12-21T00:00:00"/>
    <s v="B"/>
    <x v="94"/>
    <s v="Suroor Rings Ready Salted OW"/>
    <n v="466"/>
    <n v="29800"/>
  </r>
  <r>
    <d v="2023-12-21T00:00:00"/>
    <s v="A"/>
    <x v="95"/>
    <s v="Al Wafa Bakery Finger Rolls 480 mm"/>
    <n v="1704"/>
    <n v="64500"/>
  </r>
  <r>
    <d v="2023-12-21T00:00:00"/>
    <s v="B"/>
    <x v="96"/>
    <s v="Suroor Natural Potato Sticks Ready Salted OW"/>
    <n v="466"/>
    <n v="29800"/>
  </r>
  <r>
    <d v="2023-12-21T00:00:00"/>
    <s v="B"/>
    <x v="97"/>
    <s v="Al Mudhish Litebites Mini Bread Chips Salt &amp; Vinegar Outer Pack"/>
    <n v="471"/>
    <n v="30100"/>
  </r>
  <r>
    <d v="2023-12-22T00:00:00"/>
    <s v="A"/>
    <x v="98"/>
    <s v="Al Mudhish Litebites Mini Twin Rolls Sour Cream &amp; Onion OW"/>
    <n v="469"/>
    <n v="30000"/>
  </r>
  <r>
    <d v="2023-12-22T00:00:00"/>
    <s v="A"/>
    <x v="99"/>
    <s v="Al Mudhish Litebites Bread Bite Chips Olive &amp; Thyme OW"/>
    <n v="465"/>
    <n v="29700"/>
  </r>
  <r>
    <d v="2023-12-22T00:00:00"/>
    <s v="A"/>
    <x v="100"/>
    <s v="Al Faysal Sweet Baksam With Sesame 1000 grams"/>
    <n v="87"/>
    <n v="4500"/>
  </r>
  <r>
    <d v="2023-12-22T00:00:00"/>
    <s v="A"/>
    <x v="101"/>
    <s v="Raja Ketchup 70gm (Without MSG)"/>
    <n v="156"/>
    <n v="7300"/>
  </r>
  <r>
    <d v="2023-12-22T00:00:00"/>
    <s v="A"/>
    <x v="102"/>
    <s v="Film Raja Vegetable 70gm (Without MSG)"/>
    <n v="156"/>
    <n v="7300"/>
  </r>
  <r>
    <d v="2023-12-22T00:00:00"/>
    <s v="B"/>
    <x v="103"/>
    <s v="Flim Wesee Corn Puff Cheese 100g"/>
    <n v="323"/>
    <n v="20800"/>
  </r>
  <r>
    <d v="2023-12-23T00:00:00"/>
    <s v="B"/>
    <x v="104"/>
    <s v="Artic Gold 1kg Blue Background W/O PP"/>
    <n v="385"/>
    <n v="3700"/>
  </r>
  <r>
    <d v="2023-12-23T00:00:00"/>
    <s v="B"/>
    <x v="105"/>
    <s v="Kitco Nice Assorted Potato Chips Pink BG (KWT)"/>
    <n v="10786"/>
    <n v="126880"/>
  </r>
  <r>
    <d v="2023-12-23T00:00:00"/>
    <s v="A"/>
    <x v="106"/>
    <s v="Dubai Macaroni Vermicelli 400gm roll"/>
    <n v="872"/>
    <n v="45800"/>
  </r>
  <r>
    <d v="2023-12-24T00:00:00"/>
    <s v="B"/>
    <x v="107"/>
    <s v="Al Badia Corn Cones Cheese 16g"/>
    <n v="0"/>
    <n v="0"/>
  </r>
  <r>
    <d v="2023-12-24T00:00:00"/>
    <s v="B"/>
    <x v="108"/>
    <s v="Starfood Roastery Sunflower Seeds Roll"/>
    <n v="1701"/>
    <n v="81500"/>
  </r>
  <r>
    <d v="2023-12-25T00:00:00"/>
    <s v="A"/>
    <x v="109"/>
    <s v="NOM NOM Mini Marsh Mallow Mixed Fruit 300g"/>
    <n v="889"/>
    <n v="14600"/>
  </r>
  <r>
    <d v="2023-12-25T00:00:00"/>
    <s v="A"/>
    <x v="110"/>
    <s v="Igloo Chocolava 65ml DIP"/>
    <n v="213"/>
    <n v="14800"/>
  </r>
  <r>
    <d v="2023-12-25T00:00:00"/>
    <s v="A"/>
    <x v="111"/>
    <s v="Igloo Ice pop Tangy Raspberry 50 ml"/>
    <n v="826"/>
    <n v="53750"/>
  </r>
  <r>
    <d v="2023-12-25T00:00:00"/>
    <s v="B"/>
    <x v="112"/>
    <s v="Britannia 50-50 Sweet &amp; Salty 12x71gm Cracker Roll"/>
    <n v="247"/>
    <n v="10800"/>
  </r>
  <r>
    <d v="2023-12-25T00:00:00"/>
    <s v="B"/>
    <x v="113"/>
    <s v="Nabil - Cremore Banana Cream Biscuits 82gm"/>
    <n v="492"/>
    <n v="22600"/>
  </r>
  <r>
    <d v="2023-12-25T00:00:00"/>
    <s v="A"/>
    <x v="114"/>
    <s v="Lulu Glucose 10X55gm Roll"/>
    <n v="503"/>
    <n v="26500"/>
  </r>
  <r>
    <d v="2023-12-25T00:00:00"/>
    <s v="B"/>
    <x v="115"/>
    <s v="Nabil - Cremore Orange Cream Biscuits 82gm"/>
    <n v="0"/>
    <n v="0"/>
  </r>
  <r>
    <d v="2023-12-25T00:00:00"/>
    <s v="B"/>
    <x v="116"/>
    <s v="Nabil - Cremore 6 Pack Overwrap"/>
    <n v="256"/>
    <n v="15000"/>
  </r>
  <r>
    <d v="2023-12-25T00:00:00"/>
    <s v="B"/>
    <x v="117"/>
    <s v="Teashop Chocolate Cream Biscuits 80gm"/>
    <n v="951"/>
    <n v="44800"/>
  </r>
  <r>
    <d v="2023-12-25T00:00:00"/>
    <s v="A"/>
    <x v="118"/>
    <s v="Atyab Chocolate Pastry 57 grams"/>
    <n v="231"/>
    <n v="14050"/>
  </r>
  <r>
    <d v="2023-12-26T00:00:00"/>
    <s v="A"/>
    <x v="119"/>
    <s v="Teashop Sandwich Cream Vanilla 80gm"/>
    <n v="955"/>
    <n v="45000"/>
  </r>
  <r>
    <d v="2023-12-26T00:00:00"/>
    <s v="B"/>
    <x v="120"/>
    <s v="Teashop Sandwich Cream Strawberry 80gm"/>
    <n v="119"/>
    <n v="5600"/>
  </r>
  <r>
    <d v="2023-12-26T00:00:00"/>
    <s v="B"/>
    <x v="121"/>
    <s v="Pelit Four Milk and Butter Cookies"/>
    <n v="1853"/>
    <n v="96600"/>
  </r>
  <r>
    <d v="2023-12-26T00:00:00"/>
    <s v="B"/>
    <x v="120"/>
    <s v="Teashop Sandwich Cream Strawberry 80gm"/>
    <n v="1301"/>
    <n v="61300"/>
  </r>
  <r>
    <d v="2023-12-27T00:00:00"/>
    <s v="A"/>
    <x v="115"/>
    <s v="Nabil - Cremore Orange Cream Biscuits 82gm"/>
    <n v="501"/>
    <n v="23000"/>
  </r>
  <r>
    <d v="2023-12-27T00:00:00"/>
    <s v="A"/>
    <x v="122"/>
    <s v="New Alwan without Image 1.5 Kg Pouch"/>
    <n v="229"/>
    <n v="15100"/>
  </r>
  <r>
    <d v="2023-12-27T00:00:00"/>
    <s v="A"/>
    <x v="123"/>
    <s v="Sunbulah Garden Peas 400gm"/>
    <n v="1801"/>
    <n v="102700"/>
  </r>
  <r>
    <d v="2023-12-27T00:00:00"/>
    <s v="A"/>
    <x v="124"/>
    <s v="Ulker Tea Biscuit 70gm"/>
    <n v="433"/>
    <n v="21500"/>
  </r>
  <r>
    <d v="2023-12-27T00:00:00"/>
    <s v="B"/>
    <x v="124"/>
    <s v="Ulker Tea Biscuit 70gm"/>
    <n v="0"/>
    <n v="0"/>
  </r>
  <r>
    <d v="2023-12-27T00:00:00"/>
    <s v="B"/>
    <x v="125"/>
    <s v="Majlis (320 X 210) Medium Roll"/>
    <n v="68"/>
    <n v="4200"/>
  </r>
  <r>
    <d v="2023-12-27T00:00:00"/>
    <s v="B"/>
    <x v="126"/>
    <s v="Gulfar 320 X 210 Medium Roll"/>
    <n v="418"/>
    <n v="23800"/>
  </r>
  <r>
    <d v="2023-12-27T00:00:00"/>
    <s v="B"/>
    <x v="127"/>
    <s v="Sunbulah - Konafa Top Web Dough 500gm"/>
    <n v="725"/>
    <n v="32600"/>
  </r>
  <r>
    <d v="2023-12-27T00:00:00"/>
    <s v="B"/>
    <x v="128"/>
    <s v="Spring Roll Pastry 20 Pcs 160gm"/>
    <n v="1461"/>
    <n v="107400"/>
  </r>
  <r>
    <d v="2023-12-27T00:00:00"/>
    <s v="A"/>
    <x v="129"/>
    <s v="Al Mudhish Potato Ripple Crunch Cheese 15gm"/>
    <n v="4913"/>
    <n v="310000"/>
  </r>
  <r>
    <d v="2023-12-28T00:00:00"/>
    <s v="A"/>
    <x v="130"/>
    <s v="Film Fairco Potato Salted 12gm (Without MSG)"/>
    <n v="702"/>
    <n v="31600"/>
  </r>
  <r>
    <d v="2023-12-28T00:00:00"/>
    <s v="A"/>
    <x v="131"/>
    <s v="Flim Wesee Corn Puff Cheese 40g"/>
    <n v="378"/>
    <n v="14500"/>
  </r>
  <r>
    <d v="2023-12-28T00:00:00"/>
    <s v="A"/>
    <x v="132"/>
    <s v="Al Mudhish Potato Sticks Chilli  20g (265 mm X 165mm)"/>
    <n v="2022"/>
    <n v="115700"/>
  </r>
  <r>
    <d v="2023-12-28T00:00:00"/>
    <s v="A"/>
    <x v="133"/>
    <s v="Al Mudhish Potato Ripple Crunch Sour Cream &amp; Onion 15gm"/>
    <n v="1585"/>
    <n v="100000"/>
  </r>
  <r>
    <d v="2023-12-28T00:00:00"/>
    <s v="B"/>
    <x v="134"/>
    <s v="Suroor Natural Potato Sticks Tomato Ketchup 18gm"/>
    <n v="1342"/>
    <n v="76800"/>
  </r>
  <r>
    <d v="2023-12-28T00:00:00"/>
    <s v="B"/>
    <x v="135"/>
    <s v="Zaaky Crisp Potato Stix Ketchup Flv 12gm"/>
    <n v="2351"/>
    <n v="134500"/>
  </r>
  <r>
    <d v="2023-12-28T00:00:00"/>
    <s v="A"/>
    <x v="136"/>
    <s v="Atyab Cheese Pastry 57gm Yellow BG"/>
    <n v="1482"/>
    <n v="73600"/>
  </r>
  <r>
    <d v="2023-12-28T00:00:00"/>
    <s v="A"/>
    <x v="137"/>
    <s v="Al Mudhish Potato Ripples Crunch Sour Cream &amp; Onion 15gm"/>
    <n v="452"/>
    <n v="25900"/>
  </r>
  <r>
    <d v="2023-12-28T00:00:00"/>
    <s v="A"/>
    <x v="138"/>
    <s v="Al Mudhish Potato Ripples Crunch Chilli OW"/>
    <n v="2323"/>
    <n v="148400"/>
  </r>
  <r>
    <d v="2023-12-28T00:00:00"/>
    <s v="A"/>
    <x v="88"/>
    <s v="Garden Peas 450gm"/>
    <n v="624"/>
    <n v="35600"/>
  </r>
  <r>
    <d v="2023-12-29T00:00:00"/>
    <s v="A"/>
    <x v="139"/>
    <s v="Suroor Rings Ready Salted OW"/>
    <n v="469"/>
    <n v="30000"/>
  </r>
  <r>
    <d v="2023-12-29T00:00:00"/>
    <s v="A"/>
    <x v="140"/>
    <s v="Zaaky Crispstixs Tomato Ketchup OW"/>
    <n v="469"/>
    <n v="30000"/>
  </r>
  <r>
    <d v="2023-12-29T00:00:00"/>
    <s v="B"/>
    <x v="141"/>
    <s v="Tiffany CNC 65g Vanilla "/>
    <n v="447"/>
    <n v="21200"/>
  </r>
  <r>
    <d v="2023-12-29T00:00:00"/>
    <s v="A"/>
    <x v="142"/>
    <s v="NABIL Ghalia Corn Puff Cheese Flv OW (25x16)"/>
    <n v="629"/>
    <n v="40200"/>
  </r>
  <r>
    <d v="2023-12-29T00:00:00"/>
    <s v="B"/>
    <x v="143"/>
    <s v="Simply Nature Organic Popcorn Sea Salt 6 oz (170gm)"/>
    <n v="1821"/>
    <n v="65800"/>
  </r>
  <r>
    <d v="2023-12-30T00:00:00"/>
    <s v="A"/>
    <x v="144"/>
    <s v="Shan Lentils 2 LBS (380 X 270) Roll"/>
    <n v="228"/>
    <n v="11800"/>
  </r>
  <r>
    <d v="2023-12-30T00:00:00"/>
    <s v="A"/>
    <x v="145"/>
    <s v="Spinneys Food Spices 330 X 225"/>
    <n v="77"/>
    <n v="4600"/>
  </r>
  <r>
    <d v="2023-12-30T00:00:00"/>
    <s v="B"/>
    <x v="146"/>
    <s v="New Bayara 330 X 205 mm- Spices Roll"/>
    <n v="427"/>
    <n v="25900"/>
  </r>
  <r>
    <d v="2023-12-30T00:00:00"/>
    <s v="A"/>
    <x v="147"/>
    <s v="Nabil Ghalia Corn Puff Chilli Flv (25x16gm) OW"/>
    <n v="443"/>
    <n v="28300"/>
  </r>
  <r>
    <d v="2023-12-30T00:00:00"/>
    <s v="A"/>
    <x v="148"/>
    <s v="Eurocake Jumbo Twin Cake Orange 50gm"/>
    <n v="529"/>
    <n v="22700"/>
  </r>
  <r>
    <d v="2023-12-30T00:00:00"/>
    <s v="A"/>
    <x v="149"/>
    <s v="Britania Good Day Cashew 8 X 72g - Super Saver Pack Roll"/>
    <n v="481"/>
    <n v="26200"/>
  </r>
  <r>
    <d v="2023-12-30T00:00:00"/>
    <s v="A"/>
    <x v="150"/>
    <s v="Trader Joes Crunchy Curls 6 oz (170gm)"/>
    <n v="1159"/>
    <n v="46000"/>
  </r>
  <r>
    <d v="2023-12-30T00:00:00"/>
    <s v="A"/>
    <x v="151"/>
    <s v="Britannia Petit Beurre Tea Biscuits 13x150gm Roll"/>
    <n v="244"/>
    <n v="15100"/>
  </r>
  <r>
    <d v="2023-12-30T00:00:00"/>
    <s v="A"/>
    <x v="152"/>
    <s v="Mai Dubai 1.5 Ltr Water Label Roll"/>
    <n v="4925"/>
    <n v="156000"/>
  </r>
  <r>
    <d v="2023-12-30T00:00:00"/>
    <s v="A"/>
    <x v="153"/>
    <s v="Maria Gold - Britania  -154 g"/>
    <n v="469"/>
    <n v="23100"/>
  </r>
  <r>
    <d v="2023-12-30T00:00:00"/>
    <s v="A"/>
    <x v="154"/>
    <s v="Britannia Milk Bikies 77g-Oman (GSO)"/>
    <n v="479"/>
    <n v="23300"/>
  </r>
  <r>
    <d v="2023-12-26T00:00:00"/>
    <s v="A"/>
    <x v="155"/>
    <s v="CAPO Instant Full Cream Milk Powder 1 Kg"/>
    <n v="1141"/>
    <n v="79600"/>
  </r>
  <r>
    <d v="2023-12-26T00:00:00"/>
    <s v="A"/>
    <x v="156"/>
    <s v="Trade 310g - Sight Seer Coffee - 3D Pouch (MB)"/>
    <n v="168"/>
    <n v="7400"/>
  </r>
  <r>
    <d v="2023-12-26T00:00:00"/>
    <s v="A"/>
    <x v="157"/>
    <s v="Mariana White Rice 500g"/>
    <n v="3375"/>
    <n v="194500"/>
  </r>
  <r>
    <d v="2023-12-27T00:00:00"/>
    <s v="A"/>
    <x v="158"/>
    <s v="Bayara Doy Pack 185 X 220 X 40 + 40"/>
    <n v="373"/>
    <n v="22400"/>
  </r>
  <r>
    <d v="2023-12-24T00:00:00"/>
    <s v="A"/>
    <x v="159"/>
    <s v="New Bayara 330 x 255 mm- Pulses Roll"/>
    <n v="1487"/>
    <n v="96200"/>
  </r>
  <r>
    <d v="2023-12-25T00:00:00"/>
    <s v="A"/>
    <x v="160"/>
    <s v="Bayara Film Continous 465 x 400 mm Roll"/>
    <n v="556"/>
    <n v="35000"/>
  </r>
  <r>
    <d v="2023-12-25T00:00:00"/>
    <s v="A"/>
    <x v="161"/>
    <s v="Haley - Roll Chicken Strip 750g"/>
    <n v="203"/>
    <n v="10700"/>
  </r>
  <r>
    <d v="2023-12-25T00:00:00"/>
    <s v="A"/>
    <x v="162"/>
    <s v="Bayara Organic Sachet 145 X 190 + 40 + 40"/>
    <n v="298"/>
    <n v="17700"/>
  </r>
  <r>
    <d v="2023-12-25T00:00:00"/>
    <s v="A"/>
    <x v="163"/>
    <s v="Mariana White Rice 1 Kg ZIMBABWE"/>
    <n v="1441"/>
    <n v="79300"/>
  </r>
  <r>
    <d v="2023-12-01T00:00:00"/>
    <s v="A"/>
    <x v="164"/>
    <s v="Crunchos Peanuts 450gm Roll"/>
    <n v="177"/>
    <n v="11400"/>
  </r>
  <r>
    <d v="2023-12-01T00:00:00"/>
    <s v="A"/>
    <x v="165"/>
    <s v="Trade 310g - Sparrow OPT3 Flat Bottom - 3D Pouch (MB)"/>
    <n v="94"/>
    <n v="3800"/>
  </r>
  <r>
    <d v="2023-12-02T00:00:00"/>
    <s v="A"/>
    <x v="166"/>
    <s v="Doy- COOP Geia Foods Pad Thai 100g"/>
    <n v="71"/>
    <n v="3900"/>
  </r>
  <r>
    <d v="2023-12-02T00:00:00"/>
    <s v="A"/>
    <x v="167"/>
    <s v="Bayara Salted Peanuts 13g Roll"/>
    <n v="198"/>
    <n v="12000"/>
  </r>
  <r>
    <d v="2023-12-02T00:00:00"/>
    <s v="A"/>
    <x v="168"/>
    <s v="Printed Laminated Pouch - (240 X 160 mm)"/>
    <n v="11"/>
    <n v="580"/>
  </r>
  <r>
    <d v="2023-12-02T00:00:00"/>
    <s v="A"/>
    <x v="169"/>
    <s v="Eyemark Printed Laminated Roll - 710 mm"/>
    <n v="14"/>
    <n v="800"/>
  </r>
  <r>
    <d v="2023-12-02T00:00:00"/>
    <s v="A"/>
    <x v="170"/>
    <s v="Eyemark Printed Laminated Roll - 710 mm"/>
    <n v="14"/>
    <n v="800"/>
  </r>
  <r>
    <d v="2023-12-02T00:00:00"/>
    <s v="A"/>
    <x v="171"/>
    <s v="Aleataa Eyemark Printed Sample Roll 140 mm"/>
    <n v="12"/>
    <n v="650"/>
  </r>
  <r>
    <d v="2023-12-02T00:00:00"/>
    <s v="B"/>
    <x v="172"/>
    <s v="Siniora Tenderized Chicken Breast 900gm Pouch"/>
    <n v="102"/>
    <n v="8300"/>
  </r>
  <r>
    <d v="2023-12-02T00:00:00"/>
    <s v="B"/>
    <x v="173"/>
    <s v="Star Roastery Roasted &amp; Salted Sunflower Seed 3D - Side Gusset"/>
    <n v="130"/>
    <n v="8700"/>
  </r>
  <r>
    <d v="2023-12-02T00:00:00"/>
    <s v="B"/>
    <x v="174"/>
    <s v="Star Roastery Roasted &amp; Salted Sunflower Seed 3D Pouch"/>
    <n v="405"/>
    <n v="27000"/>
  </r>
  <r>
    <d v="2023-12-02T00:00:00"/>
    <s v="B"/>
    <x v="175"/>
    <s v="Chocodate Exclusive Real Milk 100g"/>
    <n v="80"/>
    <n v="4300"/>
  </r>
  <r>
    <d v="2023-12-04T00:00:00"/>
    <s v="A"/>
    <x v="176"/>
    <s v="Carrefour 100g Chocodate milk"/>
    <n v="86"/>
    <n v="4600"/>
  </r>
  <r>
    <d v="2023-12-04T00:00:00"/>
    <s v="A"/>
    <x v="177"/>
    <s v="Carrefour 100gm Chocodate White"/>
    <n v="86"/>
    <n v="4600"/>
  </r>
  <r>
    <d v="2023-12-04T00:00:00"/>
    <s v="A"/>
    <x v="178"/>
    <s v="Carrefour 100g Chocodate Dark"/>
    <n v="86"/>
    <n v="4600"/>
  </r>
  <r>
    <d v="2023-12-04T00:00:00"/>
    <s v="A"/>
    <x v="179"/>
    <s v="Carrefour 100g Chocodate Assorted pouch"/>
    <n v="86"/>
    <n v="4600"/>
  </r>
  <r>
    <d v="2023-12-04T00:00:00"/>
    <s v="A"/>
    <x v="180"/>
    <s v="Exclusive Extra Dark 85% Chocodate"/>
    <n v="82"/>
    <n v="4400"/>
  </r>
  <r>
    <d v="2023-12-04T00:00:00"/>
    <s v="A"/>
    <x v="181"/>
    <s v="Pouch 100gm Chocodate Excl Real Assorted"/>
    <n v="80"/>
    <n v="4300"/>
  </r>
  <r>
    <d v="2023-12-01T00:00:00"/>
    <s v="A"/>
    <x v="182"/>
    <s v="Kitco Nice Natural Potato"/>
    <n v="212"/>
    <n v="2500"/>
  </r>
  <r>
    <d v="2023-12-01T00:00:00"/>
    <s v="A"/>
    <x v="183"/>
    <s v="Kitco Bites Potato Sticks Tomato Ketchup (Red BG)"/>
    <n v="969"/>
    <n v="11400"/>
  </r>
  <r>
    <d v="2023-12-01T00:00:00"/>
    <s v="A"/>
    <x v="184"/>
    <s v="Kitco Bite Spiralz Paprika Potato Snacks (Green BG)"/>
    <n v="1071"/>
    <n v="12600"/>
  </r>
  <r>
    <d v="2023-12-01T00:00:00"/>
    <s v="A"/>
    <x v="185"/>
    <s v="Bugles Ketchup 125g"/>
    <n v="595"/>
    <n v="18700"/>
  </r>
  <r>
    <d v="2023-12-01T00:00:00"/>
    <s v="A"/>
    <x v="186"/>
    <s v="Nabil Oryx Hangout Butter Cookies OW (8X72 grams)"/>
    <n v="531"/>
    <n v="24800"/>
  </r>
  <r>
    <d v="2023-12-01T00:00:00"/>
    <s v="A"/>
    <x v="187"/>
    <s v="Tiffany Faro 40g Hazelnut"/>
    <n v="967"/>
    <n v="45900"/>
  </r>
  <r>
    <d v="2023-12-01T00:00:00"/>
    <s v="A"/>
    <x v="188"/>
    <s v="Kitchen &amp; Love Milk / Kitchen &amp; Love White Wrapper Combi"/>
    <n v="294"/>
    <n v="12700"/>
  </r>
  <r>
    <d v="2023-12-01T00:00:00"/>
    <s v="B"/>
    <x v="189"/>
    <s v="Tiffany Break Rizzo Crispies 17g (Morocco)"/>
    <n v="956"/>
    <n v="50400"/>
  </r>
  <r>
    <d v="2023-12-01T00:00:00"/>
    <s v="B"/>
    <x v="190"/>
    <s v="Tiffany Breaksta 2pc 26g"/>
    <n v="1717"/>
    <n v="88100"/>
  </r>
  <r>
    <d v="2023-12-01T00:00:00"/>
    <s v="B"/>
    <x v="191"/>
    <s v="Britania Good Day Cashew 8 X 72g - Super Saver Pack Roll"/>
    <n v="529"/>
    <n v="27500"/>
  </r>
  <r>
    <d v="2023-12-01T00:00:00"/>
    <s v="B"/>
    <x v="192"/>
    <s v="Britania Good Day Cashew 72g Roll"/>
    <n v="1062"/>
    <n v="51600"/>
  </r>
  <r>
    <d v="2023-12-01T00:00:00"/>
    <s v="B"/>
    <x v="193"/>
    <s v="Britania Good Day Pista 72g Roll"/>
    <n v="1048"/>
    <n v="50900"/>
  </r>
  <r>
    <d v="2023-12-02T00:00:00"/>
    <s v="A"/>
    <x v="194"/>
    <s v="Taffany Break Delights 14g (Morocco)"/>
    <n v="952"/>
    <n v="47300"/>
  </r>
  <r>
    <d v="2023-12-02T00:00:00"/>
    <s v="A"/>
    <x v="195"/>
    <s v="Britannia 50-50 Sweet &amp; Salty 62gm- Canada Roll"/>
    <n v="501"/>
    <n v="24200"/>
  </r>
  <r>
    <d v="2023-12-02T00:00:00"/>
    <s v="A"/>
    <x v="196"/>
    <s v="Tiffany Bonito Original 18g wrapper"/>
    <n v="1953"/>
    <n v="105300"/>
  </r>
  <r>
    <d v="2023-12-02T00:00:00"/>
    <s v="A"/>
    <x v="197"/>
    <s v="Maria Gold - Britania  -154 g"/>
    <n v="481"/>
    <n v="23700"/>
  </r>
  <r>
    <d v="2023-12-02T00:00:00"/>
    <s v="B"/>
    <x v="198"/>
    <s v="Tiffany Bonito Cookies &amp; Cream 18g wrapper"/>
    <n v="493"/>
    <n v="26600"/>
  </r>
  <r>
    <d v="2023-12-02T00:00:00"/>
    <s v="B"/>
    <x v="199"/>
    <s v="Tiffany Power Break 28g"/>
    <n v="471"/>
    <n v="25400"/>
  </r>
  <r>
    <d v="2023-12-02T00:00:00"/>
    <s v="B"/>
    <x v="200"/>
    <s v="Sunbulah - Bread Beans 900gm"/>
    <n v="1790"/>
    <n v="102100"/>
  </r>
  <r>
    <d v="2023-12-04T00:00:00"/>
    <s v="A"/>
    <x v="201"/>
    <s v="Sunbulah Chicken Strips 750g Regular"/>
    <n v="402"/>
    <n v="23500"/>
  </r>
  <r>
    <d v="2023-12-04T00:00:00"/>
    <s v="B"/>
    <x v="190"/>
    <s v="Tiffany Breaksta 2pc 26g"/>
    <n v="1602"/>
    <n v="82200"/>
  </r>
  <r>
    <d v="2023-12-04T00:00:00"/>
    <s v="B"/>
    <x v="48"/>
    <s v="New Magix Blue Roll  25gm"/>
    <n v="405"/>
    <n v="21200"/>
  </r>
  <r>
    <d v="2023-12-04T00:00:00"/>
    <s v="B"/>
    <x v="202"/>
    <s v="Nabil Maamoul Oman Date Filled Cookies Overwarp"/>
    <n v="927"/>
    <n v="56500"/>
  </r>
  <r>
    <d v="2023-12-05T00:00:00"/>
    <s v="A"/>
    <x v="203"/>
    <s v="Tiffany Nutty Bites Cashew Super Saver Pack 8 X 72g"/>
    <n v="499"/>
    <n v="23600"/>
  </r>
  <r>
    <d v="2023-12-05T00:00:00"/>
    <s v="A"/>
    <x v="204"/>
    <s v="Tiffany Nutty Bites Almond Super Saver Pack 8 X 72g"/>
    <n v="495"/>
    <n v="23200"/>
  </r>
  <r>
    <d v="2023-12-05T00:00:00"/>
    <s v="B"/>
    <x v="205"/>
    <s v="Gandour Cric Crac  Special 12gm"/>
    <n v="2704"/>
    <n v="116000"/>
  </r>
  <r>
    <d v="2023-12-05T00:00:00"/>
    <s v="B"/>
    <x v="206"/>
    <s v="Kroger Veggie Straws Sea Salt 7 oz (198gm)"/>
    <n v="778"/>
    <n v="30600"/>
  </r>
  <r>
    <d v="2023-12-06T00:00:00"/>
    <s v="A"/>
    <x v="207"/>
    <s v="Tiffany Nutty Bites Pistachio Super Saver Pack 8 X 72g"/>
    <n v="473"/>
    <n v="22380"/>
  </r>
  <r>
    <d v="2023-12-06T00:00:00"/>
    <s v="A"/>
    <x v="208"/>
    <s v="Tiffany Nutty Bites Coconut &amp; Almond Super Saver Pack 8 X 72g"/>
    <n v="249"/>
    <n v="11800"/>
  </r>
  <r>
    <d v="2023-12-06T00:00:00"/>
    <s v="A"/>
    <x v="209"/>
    <s v="Tiffany Nutty Bites Peanut Super Saver Pack 8 X 72g"/>
    <n v="254"/>
    <n v="12000"/>
  </r>
  <r>
    <d v="2023-12-06T00:00:00"/>
    <s v="A"/>
    <x v="210"/>
    <s v="Finger Print"/>
    <n v="102"/>
    <n v="5100"/>
  </r>
  <r>
    <d v="2023-12-06T00:00:00"/>
    <s v="B"/>
    <x v="211"/>
    <s v="Tiffany Nutty bites (6+2) x 72g Pistachio"/>
    <n v="506"/>
    <n v="23900"/>
  </r>
  <r>
    <d v="2023-12-06T00:00:00"/>
    <s v="B"/>
    <x v="212"/>
    <s v="Tiffany Nutty Bites (6+2) x 72g Cashew"/>
    <n v="254"/>
    <n v="12000"/>
  </r>
  <r>
    <d v="2023-12-06T00:00:00"/>
    <s v="B"/>
    <x v="213"/>
    <s v="Clancy's Original Veggie Straws 7oz (198 gm)"/>
    <n v="2075"/>
    <n v="83700"/>
  </r>
  <r>
    <d v="2023-12-07T00:00:00"/>
    <s v="A"/>
    <x v="214"/>
    <s v="Bugles Natcho Cheese 125g"/>
    <n v="707"/>
    <n v="22200"/>
  </r>
  <r>
    <d v="2023-12-07T00:00:00"/>
    <s v="A"/>
    <x v="215"/>
    <s v="Tiffany Nutty Bites Mixed Nuts Super Saver Pack 8 X 72g"/>
    <n v="261"/>
    <n v="12300"/>
  </r>
  <r>
    <d v="2023-12-07T00:00:00"/>
    <s v="A"/>
    <x v="216"/>
    <s v="GM Bugles Firey Flaming Hot 195 mm"/>
    <n v="909"/>
    <n v="28500"/>
  </r>
  <r>
    <d v="2023-12-07T00:00:00"/>
    <s v="A"/>
    <x v="217"/>
    <s v="Tiffany Nutty Bites Chocolate &amp; Hazelnut Super Saver Pack 8 X 72g"/>
    <n v="249"/>
    <n v="11760"/>
  </r>
  <r>
    <d v="2023-12-07T00:00:00"/>
    <s v="A"/>
    <x v="218"/>
    <s v="Taffany Nutty Bites Cahew 72g + 10% Wrapper"/>
    <n v="496"/>
    <n v="29000"/>
  </r>
  <r>
    <d v="2023-12-07T00:00:00"/>
    <s v="A"/>
    <x v="219"/>
    <s v="GM Bugles Sweet Chilli 15g"/>
    <n v="401"/>
    <n v="13500"/>
  </r>
  <r>
    <d v="2023-12-07T00:00:00"/>
    <s v="A"/>
    <x v="220"/>
    <s v="Fiesta Red Hot Potato &amp; Corn Crips 30gm (Without MSG)"/>
    <n v="832"/>
    <n v="26000"/>
  </r>
  <r>
    <d v="2023-12-07T00:00:00"/>
    <s v="B"/>
    <x v="221"/>
    <s v="XL FPC Chilli 25gm Hot (Without MSG)"/>
    <n v="1622"/>
    <n v="47700"/>
  </r>
  <r>
    <d v="2023-12-07T00:00:00"/>
    <s v="B"/>
    <x v="222"/>
    <s v="XL FPC Ketchup 13gm (Without MSG)"/>
    <n v="582"/>
    <n v="20200"/>
  </r>
  <r>
    <d v="2023-12-07T00:00:00"/>
    <s v="B"/>
    <x v="223"/>
    <s v="Suroor Corn Wheels Sweet Cheese 22gms"/>
    <n v="521"/>
    <n v="29600"/>
  </r>
  <r>
    <d v="2023-12-07T00:00:00"/>
    <s v="B"/>
    <x v="224"/>
    <s v="Piccadeli Cream Wafer Hazelnut 65g"/>
    <n v="886"/>
    <n v="42100"/>
  </r>
  <r>
    <d v="2023-12-07T00:00:00"/>
    <s v="B"/>
    <x v="225"/>
    <s v="Suroor Natural Potato Sticks Chilli Flavour OW"/>
    <n v="468"/>
    <n v="29900"/>
  </r>
  <r>
    <d v="2023-12-07T00:00:00"/>
    <s v="B"/>
    <x v="226"/>
    <s v="Suroor Stix Tomato Ketchup 18g OW"/>
    <n v="939"/>
    <n v="60000"/>
  </r>
  <r>
    <d v="2023-12-08T00:00:00"/>
    <s v="A"/>
    <x v="227"/>
    <s v="Mai Dubai 330 ml Water Label Roll"/>
    <n v="1195"/>
    <n v="41600"/>
  </r>
  <r>
    <d v="2023-12-08T00:00:00"/>
    <s v="A"/>
    <x v="228"/>
    <s v="Whole Food 365 Veggie Chips 6 oz (170 gm)"/>
    <n v="1082"/>
    <n v="42500"/>
  </r>
  <r>
    <d v="2023-12-08T00:00:00"/>
    <s v="B"/>
    <x v="229"/>
    <s v="Britannia Nutri Choice 5 grain-165mm"/>
    <n v="260"/>
    <n v="13700"/>
  </r>
  <r>
    <d v="2023-12-08T00:00:00"/>
    <s v="B"/>
    <x v="230"/>
    <s v="Eyemark Printed Plain 840mm Roll"/>
    <n v="470"/>
    <n v="7500"/>
  </r>
  <r>
    <d v="2023-12-08T00:00:00"/>
    <s v="B"/>
    <x v="231"/>
    <s v="Nutro Tea Time 12 X 45gm - Outer"/>
    <n v="516"/>
    <n v="26900"/>
  </r>
  <r>
    <d v="2023-12-08T00:00:00"/>
    <s v="B"/>
    <x v="232"/>
    <s v="Britania Good Day Butter 8 X 72g - Super Saver Pack Roll"/>
    <n v="504"/>
    <n v="27500"/>
  </r>
  <r>
    <d v="2023-12-08T00:00:00"/>
    <s v="B"/>
    <x v="233"/>
    <s v="Nutro Vanilla Cream Biscuit WOW Yummy 27g"/>
    <n v="538"/>
    <n v="25200"/>
  </r>
  <r>
    <d v="2023-12-09T00:00:00"/>
    <s v="A"/>
    <x v="234"/>
    <s v="Nutro Chocolate Wow Yummy Choco Biscuits 27gm "/>
    <n v="533"/>
    <n v="24300"/>
  </r>
  <r>
    <d v="2023-12-09T00:00:00"/>
    <s v="A"/>
    <x v="235"/>
    <s v="Siafa Arjoon White Chocolate Dates"/>
    <n v="533"/>
    <n v="24300"/>
  </r>
  <r>
    <d v="2023-12-09T00:00:00"/>
    <s v="A"/>
    <x v="236"/>
    <s v="Zaaky Corn Curls Chilli 22gm"/>
    <n v="1392"/>
    <n v="78900"/>
  </r>
  <r>
    <d v="2023-12-09T00:00:00"/>
    <s v="B"/>
    <x v="237"/>
    <s v="Kamel Salad Flavoured Chips 14gm"/>
    <n v="467"/>
    <n v="26700"/>
  </r>
  <r>
    <d v="2023-12-09T00:00:00"/>
    <s v="B"/>
    <x v="238"/>
    <s v="Suroor Potato Chips Rings Ready Salted 14gm"/>
    <n v="467"/>
    <n v="26700"/>
  </r>
  <r>
    <d v="2023-12-09T00:00:00"/>
    <s v="B"/>
    <x v="239"/>
    <s v="Suroor Potato Chips Spirals Salt &amp; Vinagar 14gm"/>
    <n v="465"/>
    <n v="26600"/>
  </r>
  <r>
    <d v="2023-12-09T00:00:00"/>
    <s v="B"/>
    <x v="132"/>
    <s v="Al Mudhish Potato Sticks Chilli  20g (265 mm X 165mm)"/>
    <n v="309"/>
    <n v="17700"/>
  </r>
  <r>
    <d v="2023-12-10T00:00:00"/>
    <s v="A"/>
    <x v="240"/>
    <s v="Al Mudhish Potato Ripples Crunch Chilli OW"/>
    <n v="2289"/>
    <n v="146200"/>
  </r>
  <r>
    <d v="2023-12-09T00:00:00"/>
    <s v="B"/>
    <x v="132"/>
    <s v="Al Mudhish Potato Sticks Chilli  20g (265 mm X 165mm)"/>
    <m/>
    <m/>
  </r>
  <r>
    <d v="2023-12-10T00:00:00"/>
    <s v="B"/>
    <x v="241"/>
    <s v="Piccadeli Wow Wafer 20g Chocolate"/>
    <n v="1693"/>
    <n v="99500"/>
  </r>
  <r>
    <d v="2023-12-10T00:00:00"/>
    <s v="B"/>
    <x v="242"/>
    <s v="Tiffany Majesto 25gm Chocolate"/>
    <n v="2115"/>
    <n v="108100"/>
  </r>
  <r>
    <d v="2023-12-10T00:00:00"/>
    <s v="B"/>
    <x v="243"/>
    <s v="Al Faysal Feta Cheese Fatayer 15 grams"/>
    <n v="1338"/>
    <n v="60200"/>
  </r>
  <r>
    <d v="2023-12-10T00:00:00"/>
    <s v="B"/>
    <x v="244"/>
    <s v="Tiffany Nutty Bites (6+2 ) X 72g Chocolate &amp; Hazelnut"/>
    <n v="271"/>
    <n v="12200"/>
  </r>
  <r>
    <d v="2023-12-11T00:00:00"/>
    <s v="A"/>
    <x v="245"/>
    <s v="Al Faysal Feta Cheese Organo Fatayar 95 grams"/>
    <n v="1341"/>
    <n v="60300"/>
  </r>
  <r>
    <d v="2023-12-11T00:00:00"/>
    <s v="B"/>
    <x v="246"/>
    <s v="Tiffany Break Mini Fun 169.5g Stand Up Pouch"/>
    <n v="318"/>
    <n v="17000"/>
  </r>
  <r>
    <d v="2023-12-11T00:00:00"/>
    <s v="B"/>
    <x v="247"/>
    <s v="Bayara Dark Chocolate Dates With Almond Pouch"/>
    <n v="25"/>
    <n v="2200"/>
  </r>
  <r>
    <d v="2023-12-11T00:00:00"/>
    <s v="B"/>
    <x v="248"/>
    <s v="Bayara Milk Chocolate Date With Almond Pouch"/>
    <n v="25"/>
    <n v="2100"/>
  </r>
  <r>
    <d v="2023-12-11T00:00:00"/>
    <s v="B"/>
    <x v="249"/>
    <s v="Bayara Assorted Chocolate Dates With Almond Pouch"/>
    <n v="28"/>
    <n v="2400"/>
  </r>
  <r>
    <d v="2023-12-12T00:00:00"/>
    <s v="B"/>
    <x v="250"/>
    <s v="Piccadeli Party Mix 234g Stand Up Pouch"/>
    <n v="323"/>
    <n v="31200"/>
  </r>
  <r>
    <d v="2023-12-12T00:00:00"/>
    <s v="B"/>
    <x v="251"/>
    <s v="Brooklyn Fare 16 oz - Quad Seal Pouch"/>
    <n v="56"/>
    <n v="4000"/>
  </r>
  <r>
    <d v="2023-12-12T00:00:00"/>
    <s v="B"/>
    <x v="252"/>
    <s v="Piccadeli Snack Treats 222g Stand Up Pouch"/>
    <n v="395"/>
    <n v="38000"/>
  </r>
  <r>
    <d v="2023-12-12T00:00:00"/>
    <s v="B"/>
    <x v="253"/>
    <s v="Tiffany Break Crunch Fun 313.5g Stand Up Pouch"/>
    <n v="501"/>
    <n v="41800"/>
  </r>
  <r>
    <d v="2023-12-13T00:00:00"/>
    <s v="A"/>
    <x v="254"/>
    <s v="Trade 310g - Steady State - 3D Pouch (MB)"/>
    <n v="77"/>
    <n v="3100"/>
  </r>
  <r>
    <d v="2023-12-13T00:00:00"/>
    <s v="A"/>
    <x v="255"/>
    <s v="Trade 310g - Steady State - 3D Pouch (SG)"/>
    <n v="42"/>
    <n v="1700"/>
  </r>
  <r>
    <d v="2023-12-13T00:00:00"/>
    <s v="A"/>
    <x v="256"/>
    <s v="Trade 310g - Good Citizen Coffee - 3D Pouch (MB)"/>
    <n v="77"/>
    <n v="3100"/>
  </r>
  <r>
    <d v="2023-12-13T00:00:00"/>
    <s v="A"/>
    <x v="257"/>
    <s v="Trade 310g - Gimme Coffee - MD Pouch (MB)"/>
    <n v="77"/>
    <n v="3100"/>
  </r>
  <r>
    <d v="2023-12-13T00:00:00"/>
    <s v="A"/>
    <x v="258"/>
    <s v="Trade 310g - Gimme Coffee - MD Pouch SG)"/>
    <n v="39"/>
    <n v="1600"/>
  </r>
  <r>
    <d v="2023-12-13T00:00:00"/>
    <s v="A"/>
    <x v="259"/>
    <s v="Trade 310g - Good Citizen Coffee - 3D Pouch (SG)"/>
    <n v="39"/>
    <n v="1600"/>
  </r>
  <r>
    <d v="2023-12-13T00:00:00"/>
    <s v="B"/>
    <x v="260"/>
    <s v="Trade 310g - Sparrow Coffee - 3D Pouch  (SG) (OPT 1,2,3)"/>
    <n v="52"/>
    <n v="2100"/>
  </r>
  <r>
    <d v="2023-12-13T00:00:00"/>
    <s v="B"/>
    <x v="261"/>
    <s v="Trade 2 Lbs - White BG -Flat bottom Pouch - MB"/>
    <n v="281"/>
    <n v="14900"/>
  </r>
  <r>
    <d v="2023-12-13T00:00:00"/>
    <s v="B"/>
    <x v="262"/>
    <s v="Nutri Lov Roasted &amp; Salted Sunflower Seeds 200g"/>
    <n v="89"/>
    <n v="4400"/>
  </r>
  <r>
    <d v="2023-12-13T00:00:00"/>
    <s v="B"/>
    <x v="263"/>
    <s v="Trade 2 Lbs - White BG -Flat bottom Pouch - SG"/>
    <n v="172"/>
    <n v="11500"/>
  </r>
  <r>
    <d v="2023-12-13T00:00:00"/>
    <s v="B"/>
    <x v="264"/>
    <s v="Eyemark Printed Laminated Roll"/>
    <n v="9"/>
    <n v="600"/>
  </r>
  <r>
    <d v="2023-12-13T00:00:00"/>
    <s v="B"/>
    <x v="265"/>
    <s v="Tree Hut Vanilla Body Wash 3.3 floz Spouted Pouch"/>
    <n v="32"/>
    <n v="2800"/>
  </r>
  <r>
    <d v="2023-12-13T00:00:00"/>
    <s v="B"/>
    <x v="266"/>
    <s v="Al Quisar Tomato Paste 9 gm Roll"/>
    <n v="193"/>
    <n v="11500"/>
  </r>
  <r>
    <d v="2023-12-13T00:00:00"/>
    <s v="B"/>
    <x v="267"/>
    <s v="Daily Fresh Tomato Ketchup Roll"/>
    <n v="883"/>
    <n v="62950"/>
  </r>
  <r>
    <d v="2023-12-14T00:00:00"/>
    <s v="A"/>
    <x v="268"/>
    <s v="Bayara Ajwa Al Madina Dates Doy Pack - 150g"/>
    <n v="44"/>
    <n v="2800"/>
  </r>
  <r>
    <d v="2023-12-14T00:00:00"/>
    <s v="A"/>
    <x v="269"/>
    <s v="Bayara Mabroom Dates Doy Pack 400g"/>
    <n v="42"/>
    <n v="2400"/>
  </r>
  <r>
    <d v="2023-12-14T00:00:00"/>
    <s v="A"/>
    <x v="270"/>
    <s v="Bayara Safawi Dates Doy Pack 400g"/>
    <n v="45"/>
    <n v="2500"/>
  </r>
  <r>
    <d v="2023-12-14T00:00:00"/>
    <s v="B"/>
    <x v="271"/>
    <s v="Bayara Sagai Dates Doy Pack 400g"/>
    <n v="44"/>
    <n v="2500"/>
  </r>
  <r>
    <d v="2023-12-14T00:00:00"/>
    <s v="B"/>
    <x v="272"/>
    <s v="Caution : Danger Fiber Optic Cable Below"/>
    <n v="377"/>
    <n v="24600"/>
  </r>
  <r>
    <d v="2023-12-14T00:00:00"/>
    <s v="B"/>
    <x v="273"/>
    <s v="Caution : Water Main Below with Silver Sides"/>
    <n v="263"/>
    <n v="15500"/>
  </r>
  <r>
    <d v="2023-12-14T00:00:00"/>
    <s v="B"/>
    <x v="274"/>
    <s v="Hamwi City Café 18gm 8Tracks 3 in 1 prime"/>
    <n v="1177"/>
    <n v="103400"/>
  </r>
  <r>
    <d v="2023-12-11T00:00:00"/>
    <s v="A"/>
    <x v="275"/>
    <s v="Taffany Nutty Bites Pistachio 72g + 10% Wrapper"/>
    <n v="488"/>
    <n v="28500"/>
  </r>
  <r>
    <d v="2023-12-11T00:00:00"/>
    <s v="A"/>
    <x v="276"/>
    <s v="Taffany Nutty Bites Almond 72g + 10% Wrapper"/>
    <n v="499"/>
    <n v="28500"/>
  </r>
  <r>
    <d v="2023-12-11T00:00:00"/>
    <s v="A"/>
    <x v="277"/>
    <s v="Film Karmouch Sweet Corn 15gm (Export Without MSG)"/>
    <n v="20"/>
    <n v="1000"/>
  </r>
  <r>
    <d v="2023-12-11T00:00:00"/>
    <s v="A"/>
    <x v="278"/>
    <s v="Taffany Nutty Bites Chocolate &amp; Hazelnut 72g + 10% Wrapper"/>
    <n v="249"/>
    <n v="14700"/>
  </r>
  <r>
    <d v="2023-12-11T00:00:00"/>
    <s v="A"/>
    <x v="279"/>
    <s v="EYEMARK PRINTED ROLL 2X90"/>
    <n v="17"/>
    <n v="1100"/>
  </r>
  <r>
    <d v="2023-12-11T00:00:00"/>
    <s v="A"/>
    <x v="280"/>
    <s v="Tiffany Nutty bites 72g mixed nuts"/>
    <n v="245"/>
    <n v="14300"/>
  </r>
  <r>
    <d v="2023-12-11T00:00:00"/>
    <s v="A"/>
    <x v="281"/>
    <s v="Tiffany Nutty Bites  72gm Peanuts"/>
    <n v="241"/>
    <n v="14100"/>
  </r>
  <r>
    <d v="2023-12-11T00:00:00"/>
    <s v="A"/>
    <x v="282"/>
    <s v="Film Raja Hot 15gm (Without Msg)"/>
    <n v="1032"/>
    <n v="52200"/>
  </r>
  <r>
    <d v="2023-12-11T00:00:00"/>
    <s v="B"/>
    <x v="283"/>
    <s v="Artic Gold Plain Paratha 10 Pcs 800g"/>
    <n v="147"/>
    <n v="8500"/>
  </r>
  <r>
    <d v="2023-12-11T00:00:00"/>
    <s v="B"/>
    <x v="284"/>
    <s v="Poul Treat Tenderized Chicken Breast Uncalib Roll"/>
    <n v="182"/>
    <n v="12700"/>
  </r>
  <r>
    <d v="2023-12-11T00:00:00"/>
    <s v="B"/>
    <x v="285"/>
    <s v="Sadia Bag- Chicken Burger 50Gm 1Kg"/>
    <n v="83"/>
    <n v="4500"/>
  </r>
  <r>
    <d v="2023-12-11T00:00:00"/>
    <s v="B"/>
    <x v="286"/>
    <s v="Tiffany Bugles Cheese 90gm Wrapper"/>
    <n v="472"/>
    <n v="23200"/>
  </r>
  <r>
    <d v="2023-12-11T00:00:00"/>
    <s v="B"/>
    <x v="277"/>
    <s v="Film Karmouch Sweet Corn 15gm (Export Without MSG)"/>
    <n v="1838"/>
    <n v="92900"/>
  </r>
  <r>
    <d v="2023-12-12T00:00:00"/>
    <s v="A"/>
    <x v="287"/>
    <s v="Piccadeli Digestive 175gm"/>
    <n v="505"/>
    <n v="26900"/>
  </r>
  <r>
    <d v="2023-12-12T00:00:00"/>
    <s v="A"/>
    <x v="288"/>
    <s v="Starfood Bugles Original 30g"/>
    <n v="312"/>
    <n v="9500"/>
  </r>
  <r>
    <d v="2023-12-12T00:00:00"/>
    <s v="A"/>
    <x v="289"/>
    <s v="GM Bugles Sweet Chilli 30g"/>
    <n v="316"/>
    <n v="9600"/>
  </r>
  <r>
    <d v="2023-12-12T00:00:00"/>
    <s v="B"/>
    <x v="290"/>
    <s v="Peas &amp; Carrots 400gm Film"/>
    <n v="605"/>
    <n v="34500"/>
  </r>
  <r>
    <d v="2023-12-12T00:00:00"/>
    <s v="B"/>
    <x v="291"/>
    <s v="GM Bugles Sweet Chilli Pepper 125g"/>
    <n v="0"/>
    <n v="0"/>
  </r>
  <r>
    <d v="2023-12-12T00:00:00"/>
    <s v="B"/>
    <x v="292"/>
    <s v="Hayat plain paratha 800g"/>
    <n v="673"/>
    <n v="40200"/>
  </r>
  <r>
    <d v="2023-12-12T00:00:00"/>
    <s v="B"/>
    <x v="293"/>
    <s v="LULU Plain Paratha 400g"/>
    <n v="169"/>
    <n v="10600"/>
  </r>
  <r>
    <d v="2023-12-12T00:00:00"/>
    <s v="B"/>
    <x v="294"/>
    <s v="Sunbulah - Cut Green Beans 400gm Film"/>
    <n v="599"/>
    <n v="34200"/>
  </r>
  <r>
    <d v="2023-12-12T00:00:00"/>
    <s v="B"/>
    <x v="295"/>
    <s v="Garden Peas 800gm"/>
    <n v="673"/>
    <n v="36000"/>
  </r>
  <r>
    <d v="2023-12-12T00:00:00"/>
    <s v="B"/>
    <x v="296"/>
    <s v="Modern Bakery Bread 540mm"/>
    <n v="3648"/>
    <n v="116700"/>
  </r>
  <r>
    <d v="2023-12-13T00:00:00"/>
    <s v="A"/>
    <x v="297"/>
    <s v="Al Ameed Coffee 500g Pouch 3D (M.B)"/>
    <n v="65"/>
    <n v="1240"/>
  </r>
  <r>
    <d v="2023-12-13T00:00:00"/>
    <s v="A"/>
    <x v="298"/>
    <s v="GM Bugles Chilli Pepper Lime 125g"/>
    <n v="371"/>
    <n v="11600"/>
  </r>
  <r>
    <d v="2023-12-13T00:00:00"/>
    <s v="A"/>
    <x v="291"/>
    <s v="GM Bugles Sweet Chilli Pepper 125g"/>
    <n v="803"/>
    <n v="25140"/>
  </r>
  <r>
    <d v="2023-12-13T00:00:00"/>
    <s v="A"/>
    <x v="299"/>
    <s v="Green Planet Dettol Skincare 165gm (3+1) Free Roll"/>
    <n v="138"/>
    <n v="7600"/>
  </r>
  <r>
    <d v="2023-12-13T00:00:00"/>
    <s v="B"/>
    <x v="300"/>
    <s v="Sadia 20 Pcs Chicken Burger Pouch"/>
    <n v="154"/>
    <n v="8300"/>
  </r>
  <r>
    <d v="2023-12-13T00:00:00"/>
    <s v="B"/>
    <x v="301"/>
    <s v="Piccadeli Cream Wafer Vanilla 65g"/>
    <n v="445"/>
    <n v="21000"/>
  </r>
  <r>
    <d v="2023-12-13T00:00:00"/>
    <s v="B"/>
    <x v="302"/>
    <s v="Hunter Ridges Chips 20gm"/>
    <n v="521"/>
    <n v="18200"/>
  </r>
  <r>
    <d v="2023-12-13T00:00:00"/>
    <s v="B"/>
    <x v="303"/>
    <s v="Igloo chocobar 60 ml"/>
    <n v="828"/>
    <n v="59100"/>
  </r>
  <r>
    <d v="2023-12-14T00:00:00"/>
    <s v="A"/>
    <x v="304"/>
    <s v="Crunchos Chipstick Potato &amp; Corn 20gm Roll"/>
    <n v="505"/>
    <n v="26000"/>
  </r>
  <r>
    <d v="2023-12-14T00:00:00"/>
    <s v="A"/>
    <x v="305"/>
    <s v="Crunchos Salted Chips 14gm"/>
    <n v="489"/>
    <n v="21600"/>
  </r>
  <r>
    <d v="2023-12-14T00:00:00"/>
    <s v="A"/>
    <x v="306"/>
    <s v="Crunchos Cheese Potato Chips 14gm Roll"/>
    <n v="499"/>
    <n v="22000"/>
  </r>
  <r>
    <d v="2023-12-14T00:00:00"/>
    <s v="A"/>
    <x v="307"/>
    <s v="Mai Dubai 200 ml Water Label Roll"/>
    <n v="1445"/>
    <n v="48700"/>
  </r>
  <r>
    <d v="2023-12-04T00:00:00"/>
    <s v="A"/>
    <x v="308"/>
    <s v="Pouch 100gm Chocodate Real Dark Excl"/>
    <n v="78"/>
    <n v="4200"/>
  </r>
  <r>
    <d v="2023-12-04T00:00:00"/>
    <s v="A"/>
    <x v="309"/>
    <s v="Small Indus - Ginger Powder (Soudh) 100gm (3.5 oz)"/>
    <n v="46"/>
    <n v="3100"/>
  </r>
  <r>
    <d v="2023-12-04T00:00:00"/>
    <s v="B"/>
    <x v="310"/>
    <s v="Small Indus  - Cinnamon Ground 100gm (3.5 oz)"/>
    <n v="44"/>
    <n v="3000"/>
  </r>
  <r>
    <d v="2023-12-04T00:00:00"/>
    <s v="B"/>
    <x v="311"/>
    <s v="Small Indus - Black Cardamom 50gm (1.76 oz)"/>
    <n v="52"/>
    <n v="3500"/>
  </r>
  <r>
    <d v="2023-12-04T00:00:00"/>
    <s v="B"/>
    <x v="312"/>
    <s v="Small Indus - Fennel seeds 100gm (3.5 oz)"/>
    <n v="45"/>
    <n v="3000"/>
  </r>
  <r>
    <d v="2023-12-04T00:00:00"/>
    <s v="B"/>
    <x v="313"/>
    <s v="Small Indus - Garlic Powder 100gm (3.5 oz)"/>
    <n v="88"/>
    <n v="5900"/>
  </r>
  <r>
    <d v="2023-12-04T00:00:00"/>
    <s v="B"/>
    <x v="314"/>
    <s v="Small Indus - Madras Curry Powder 100gm"/>
    <n v="45"/>
    <n v="3000"/>
  </r>
  <r>
    <d v="2023-12-04T00:00:00"/>
    <s v="B"/>
    <x v="315"/>
    <s v="Small Indus - Cumin seeds 100gm"/>
    <n v="96"/>
    <n v="6400"/>
  </r>
  <r>
    <d v="2023-12-04T00:00:00"/>
    <s v="B"/>
    <x v="316"/>
    <s v="AIB Small Size Pouch"/>
    <n v="12"/>
    <n v="600"/>
  </r>
  <r>
    <d v="2023-12-04T00:00:00"/>
    <s v="B"/>
    <x v="317"/>
    <s v="Small Indus - All purpose Seasoning 100gm"/>
    <n v="45"/>
    <n v="3000"/>
  </r>
  <r>
    <d v="2023-12-04T00:00:00"/>
    <s v="B"/>
    <x v="318"/>
    <s v="Small Indus - Black Pepper 100gm"/>
    <n v="4"/>
    <n v="3000"/>
  </r>
  <r>
    <d v="2023-12-05T00:00:00"/>
    <s v="A"/>
    <x v="319"/>
    <s v="Large Indus - Red Chilli (Crushed) 200gm (7.5 oz)"/>
    <n v="94"/>
    <n v="5000"/>
  </r>
  <r>
    <d v="2023-12-05T00:00:00"/>
    <s v="A"/>
    <x v="320"/>
    <s v="AIB Large Size Pouch"/>
    <n v="10"/>
    <n v="400"/>
  </r>
  <r>
    <d v="2023-12-05T00:00:00"/>
    <s v="A"/>
    <x v="321"/>
    <s v="Large Indus - Garam Masala 300gm (10.58 oz)"/>
    <n v="93"/>
    <n v="5000"/>
  </r>
  <r>
    <d v="2023-12-05T00:00:00"/>
    <s v="A"/>
    <x v="322"/>
    <s v="Large Indus - Turmeric Powder 300gm"/>
    <n v="95"/>
    <n v="5000"/>
  </r>
  <r>
    <d v="2023-12-05T00:00:00"/>
    <s v="A"/>
    <x v="323"/>
    <s v="Large Indus - Kashmiri Bassar Mix  250gm (8.82 oz)"/>
    <n v="95"/>
    <n v="5000"/>
  </r>
  <r>
    <d v="2023-12-05T00:00:00"/>
    <s v="A"/>
    <x v="324"/>
    <s v="X Large Indus - Coriander Seeds 300g (10.5 oz)"/>
    <n v="99"/>
    <n v="5200"/>
  </r>
  <r>
    <d v="2023-12-05T00:00:00"/>
    <s v="A"/>
    <x v="325"/>
    <s v="ID Natural Idly Dosa Batter Pouch"/>
    <n v="1281"/>
    <n v="71400"/>
  </r>
  <r>
    <d v="2023-12-05T00:00:00"/>
    <s v="B"/>
    <x v="326"/>
    <s v="New Bayara 330 X 205 mm- Nuts Roll"/>
    <n v="362"/>
    <n v="22300"/>
  </r>
  <r>
    <d v="2023-12-05T00:00:00"/>
    <s v="B"/>
    <x v="327"/>
    <s v="Bayara Continous Film 690 x 485mm"/>
    <n v="514"/>
    <n v="33000"/>
  </r>
  <r>
    <d v="2023-12-06T00:00:00"/>
    <s v="A"/>
    <x v="328"/>
    <s v="Carrefour Baby Wipes Regular 56 Wipes Roll"/>
    <n v="305"/>
    <n v="17500"/>
  </r>
  <r>
    <d v="2023-12-06T00:00:00"/>
    <s v="A"/>
    <x v="260"/>
    <s v="Trade 310g - Sparrow Coffee - 3D Pouch  (SG) (OPT 1,2,3)"/>
    <n v="76"/>
    <n v="3350"/>
  </r>
  <r>
    <d v="2023-12-06T00:00:00"/>
    <s v="A"/>
    <x v="329"/>
    <s v="Carrefour Baby Wipes Sensitive 56 Wipes Roll"/>
    <n v="305"/>
    <n v="17500"/>
  </r>
  <r>
    <d v="2023-12-06T00:00:00"/>
    <s v="B"/>
    <x v="330"/>
    <s v="Tiffany Break Mini Fun 316g Stand Up Pouch"/>
    <n v="1121"/>
    <n v="93600"/>
  </r>
  <r>
    <d v="2023-12-06T00:00:00"/>
    <s v="B"/>
    <x v="331"/>
    <s v="Organic Earth Goods 500gm Pouch"/>
    <n v="97"/>
    <n v="5100"/>
  </r>
  <r>
    <d v="2023-12-06T00:00:00"/>
    <s v="B"/>
    <x v="332"/>
    <s v="Hamwi Coffee 100g Sample Printed Roll"/>
    <n v="19"/>
    <n v="1000"/>
  </r>
  <r>
    <d v="2023-12-07T00:00:00"/>
    <s v="B"/>
    <x v="333"/>
    <s v="Salt Refreshing Wipes UAE"/>
    <n v="256"/>
    <n v="12800"/>
  </r>
  <r>
    <d v="2023-12-07T00:00:00"/>
    <s v="B"/>
    <x v="334"/>
    <s v="Tasty Food Small Pouch- 3 Layer"/>
    <n v="456"/>
    <n v="29000"/>
  </r>
  <r>
    <d v="2023-12-08T00:00:00"/>
    <s v="A"/>
    <x v="335"/>
    <s v="Trade 310g - Sparrow Coffee - OPT1 - 3D Pouch (MB), Trade 310g - Sparrow Coffee - OPT2 - 3D Pouch (MB)"/>
    <n v="131"/>
    <n v="5300"/>
  </r>
  <r>
    <d v="2023-12-08T00:00:00"/>
    <s v="A"/>
    <x v="336"/>
    <s v="Al Ostoura Molasses 1 Kg Pouch Sample"/>
    <n v="9"/>
    <n v="600"/>
  </r>
  <r>
    <d v="2023-12-08T00:00:00"/>
    <s v="A"/>
    <x v="337"/>
    <s v="Al Fakhamah Tobacco 50gm"/>
    <n v="25"/>
    <n v="1500"/>
  </r>
  <r>
    <d v="2023-12-08T00:00:00"/>
    <s v="A"/>
    <x v="338"/>
    <s v="Capri Sun Orange Mango F&amp;B Combi Foil"/>
    <n v="2963"/>
    <n v="150400"/>
  </r>
  <r>
    <d v="2023-12-08T00:00:00"/>
    <s v="B"/>
    <x v="339"/>
    <s v="Al Fakher 1Kg - 3 Side Seal"/>
    <n v="239"/>
    <n v="11500"/>
  </r>
  <r>
    <d v="2023-12-08T00:00:00"/>
    <s v="B"/>
    <x v="340"/>
    <s v="Daily Fresh Salted Peanut 300gm"/>
    <n v="87"/>
    <n v="5500"/>
  </r>
  <r>
    <d v="2023-12-09T00:00:00"/>
    <s v="A"/>
    <x v="341"/>
    <s v="Sadia Bag -Chicken Burger 100gm"/>
    <n v="90"/>
    <n v="6700"/>
  </r>
  <r>
    <d v="2023-12-09T00:00:00"/>
    <s v="A"/>
    <x v="342"/>
    <s v="Sunbulah Frozen Sambusak Baladi 500g"/>
    <n v="538"/>
    <n v="30400"/>
  </r>
  <r>
    <d v="2023-12-09T00:00:00"/>
    <s v="A"/>
    <x v="343"/>
    <s v="Capri Sun Korea Orange  F&amp;B Foil Combi"/>
    <n v="2963"/>
    <n v="150400"/>
  </r>
  <r>
    <d v="2023-12-09T00:00:00"/>
    <s v="B"/>
    <x v="344"/>
    <s v="Al Douri Elite Mix For Emirates Airlines 200g Roll"/>
    <n v="482"/>
    <n v="30400"/>
  </r>
  <r>
    <d v="2023-12-11T00:00:00"/>
    <s v="B"/>
    <x v="345"/>
    <s v="Tree Hut Moroccan Rose Body Wash 3.3 floz Spouted Pouch"/>
    <n v="47"/>
    <n v="2800"/>
  </r>
  <r>
    <d v="2023-12-15T00:00:00"/>
    <s v="A"/>
    <x v="346"/>
    <s v="Danger Buried Electrical LV Cable Below ADDC red with Silver Sides roll"/>
    <n v="40"/>
    <n v="2600"/>
  </r>
  <r>
    <d v="2023-12-15T00:00:00"/>
    <s v="B"/>
    <x v="347"/>
    <s v="New Bayara 330 x 205 mm- Spices Roll"/>
    <n v="1090"/>
    <n v="647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">
  <r>
    <d v="2026-01-02T00:00:00"/>
    <s v="A"/>
    <x v="0"/>
    <s v="TL1"/>
    <n v="77"/>
    <n v="4300"/>
    <s v="I"/>
    <s v="N"/>
    <n v="2.2000000000000002"/>
    <s v="BLACK"/>
    <s v="H01300B"/>
    <s v="ToyoLi - BLACK"/>
    <n v="33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0"/>
    <n v="6.5813953488372121"/>
    <n v="0"/>
    <s v="GREEN"/>
    <s v="H01300G"/>
    <s v="ToyoLi - GREEN"/>
    <n v="17"/>
    <n v="0"/>
    <m/>
    <m/>
    <n v="0"/>
    <s v="R39"/>
    <s v="R1205"/>
    <s v="R92"/>
    <m/>
    <m/>
    <m/>
    <m/>
    <m/>
    <n v="2"/>
    <n v="0"/>
    <n v="0.5"/>
    <n v="0"/>
    <n v="0.5"/>
    <n v="0"/>
    <m/>
    <n v="0"/>
    <m/>
    <n v="0"/>
    <m/>
    <n v="0"/>
    <m/>
    <n v="0"/>
    <m/>
    <n v="0"/>
    <s v="ToyoLi"/>
    <n v="18"/>
    <n v="0"/>
    <n v="5.5813953488372086"/>
    <n v="0"/>
    <s v="BLACK"/>
    <s v="B01023B"/>
    <s v="ToyoLi - BLACK"/>
    <n v="20"/>
    <n v="0"/>
    <m/>
    <m/>
    <n v="0"/>
    <s v="R39"/>
    <s v="R1205"/>
    <s v="R92"/>
    <m/>
    <m/>
    <m/>
    <m/>
    <m/>
    <n v="2"/>
    <n v="0"/>
    <n v="0.5"/>
    <n v="0"/>
    <n v="0.5"/>
    <n v="0"/>
    <m/>
    <n v="0"/>
    <m/>
    <n v="0"/>
    <m/>
    <n v="0"/>
    <m/>
    <n v="0"/>
    <m/>
    <n v="0"/>
    <s v="ToyoLi"/>
    <n v="23"/>
    <n v="0"/>
    <n v="3.5813953488372086"/>
    <n v="0"/>
    <s v="MAGENTA"/>
    <s v="F00848M"/>
    <s v="ToyoLi - MAGENTA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6.5813953488372121"/>
    <n v="0"/>
    <s v="YELLOW"/>
    <s v="H01300Y"/>
    <s v="ToyoLi - YELLOW"/>
    <n v="15"/>
    <n v="0"/>
    <m/>
    <m/>
    <n v="0"/>
    <s v="F23T"/>
    <m/>
    <m/>
    <m/>
    <m/>
    <m/>
    <m/>
    <m/>
    <n v="8"/>
    <n v="0"/>
    <m/>
    <n v="0"/>
    <m/>
    <n v="0"/>
    <m/>
    <n v="0"/>
    <m/>
    <n v="0"/>
    <m/>
    <n v="0"/>
    <m/>
    <n v="0"/>
    <m/>
    <n v="0"/>
    <s v="ToyoLi"/>
    <n v="25"/>
    <n v="0"/>
    <n v="3.3720930232558146"/>
    <n v="0"/>
    <s v="GOLD"/>
    <s v="N00875G"/>
    <s v="ToyoLi - GOLD"/>
    <n v="20"/>
    <n v="0"/>
    <m/>
    <m/>
    <n v="0"/>
    <s v="TLSI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0"/>
    <n v="0"/>
    <n v="8.5813953488372086"/>
    <n v="0"/>
    <s v="WHITE"/>
    <m/>
    <s v="ToyoLi - WHITE"/>
    <m/>
    <n v="0"/>
    <m/>
    <m/>
    <n v="0"/>
    <s v="F640"/>
    <s v="HSLAS"/>
    <m/>
    <m/>
    <m/>
    <m/>
    <m/>
    <m/>
    <n v="40"/>
    <n v="0"/>
    <n v="4.0199999999999996"/>
    <n v="0"/>
    <m/>
    <n v="0"/>
    <m/>
    <n v="0"/>
    <m/>
    <n v="0"/>
    <m/>
    <n v="0"/>
    <m/>
    <n v="0"/>
    <m/>
    <n v="0"/>
    <s v="ToyoLi"/>
    <n v="30"/>
    <n v="0"/>
    <n v="67.74093023255812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2"/>
    <n v="3"/>
    <n v="2"/>
    <n v="30"/>
    <n v="0"/>
    <n v="0.3"/>
    <m/>
    <m/>
    <n v="0.5"/>
    <n v="0.2"/>
    <n v="0"/>
    <n v="77"/>
    <n v="0"/>
    <n v="0"/>
    <n v="77"/>
    <n v="77"/>
    <n v="23.099999999999998"/>
    <n v="0"/>
    <n v="0"/>
    <n v="0"/>
    <n v="0"/>
    <n v="0"/>
    <n v="38.5"/>
    <n v="0"/>
    <n v="15.4"/>
    <n v="0"/>
    <n v="0"/>
    <n v="0"/>
    <n v="0"/>
    <m/>
    <n v="63.019999999999996"/>
    <n v="102.02"/>
    <s v="TL1"/>
    <s v="ToyoLiToyoLiToyoLiToyoLiToyoLiToyoLiToyoLi"/>
    <s v="+"/>
    <s v="+"/>
    <s v="+"/>
    <s v="+"/>
    <s v="+"/>
    <s v="+"/>
    <s v="+"/>
    <s v="NIL"/>
    <b v="0"/>
  </r>
  <r>
    <d v="2026-01-02T00:00:00"/>
    <s v="A"/>
    <x v="1"/>
    <s v="TL2"/>
    <n v="46"/>
    <n v="2600"/>
    <s v="I"/>
    <s v="N"/>
    <n v="1.5"/>
    <s v="BLACK"/>
    <s v="N00878B"/>
    <s v="ToyoLi - BLACK"/>
    <n v="30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9"/>
    <n v="0"/>
    <n v="3"/>
    <n v="0"/>
    <s v="BLACK"/>
    <s v="N00875B"/>
    <s v="ToyoLi - BLACK"/>
    <n v="17"/>
    <n v="0"/>
    <s v="N00878B"/>
    <n v="5"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1"/>
    <n v="0"/>
    <n v="5.2000000000000028"/>
    <n v="0"/>
    <s v="BLACK"/>
    <s v="C01177G"/>
    <s v="ToyoLi - BLACK"/>
    <n v="16"/>
    <n v="0"/>
    <s v="N00886G"/>
    <n v="15"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31"/>
    <n v="0"/>
    <n v="6.68"/>
    <n v="0"/>
    <s v="GREEN"/>
    <s v="N00878G"/>
    <s v="ToyoLi - GREEN"/>
    <n v="18"/>
    <n v="0"/>
    <m/>
    <m/>
    <n v="0"/>
    <s v="F23T"/>
    <s v="R79"/>
    <m/>
    <m/>
    <m/>
    <m/>
    <m/>
    <m/>
    <n v="4"/>
    <n v="0"/>
    <n v="2"/>
    <n v="0"/>
    <m/>
    <n v="0"/>
    <m/>
    <n v="0"/>
    <m/>
    <n v="0"/>
    <m/>
    <n v="0"/>
    <m/>
    <n v="0"/>
    <m/>
    <n v="0"/>
    <s v="ToyoLi"/>
    <n v="26"/>
    <n v="0"/>
    <n v="3.5199999999999996"/>
    <n v="0"/>
    <s v="MAGENTA"/>
    <s v="N00878M"/>
    <s v="ToyoLi - MAGENTA"/>
    <n v="26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5.519999999999996"/>
    <n v="0"/>
    <s v="YELLOW"/>
    <s v="N00878Y"/>
    <s v="ToyoLi - YELLOW"/>
    <n v="25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5.68"/>
    <n v="0"/>
    <s v="WHITE"/>
    <s v="N00878W"/>
    <s v="ToyoLi - WHITE"/>
    <n v="30"/>
    <n v="0"/>
    <m/>
    <m/>
    <n v="0"/>
    <s v="F640"/>
    <s v="HSLAS"/>
    <m/>
    <m/>
    <m/>
    <m/>
    <m/>
    <m/>
    <n v="20"/>
    <n v="0"/>
    <n v="3.93"/>
    <n v="0"/>
    <m/>
    <n v="0"/>
    <m/>
    <n v="0"/>
    <m/>
    <n v="0"/>
    <m/>
    <n v="0"/>
    <m/>
    <n v="0"/>
    <m/>
    <n v="0"/>
    <s v="ToyoLi"/>
    <n v="28"/>
    <n v="0"/>
    <n v="44.3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0"/>
    <n v="5"/>
    <n v="2"/>
    <n v="3"/>
    <n v="3"/>
    <n v="2"/>
    <n v="10"/>
    <n v="0"/>
    <n v="0.3"/>
    <m/>
    <m/>
    <n v="0.5"/>
    <n v="0.2"/>
    <n v="0"/>
    <n v="46"/>
    <n v="0"/>
    <n v="0"/>
    <n v="46"/>
    <n v="46"/>
    <n v="13.799999999999999"/>
    <n v="0"/>
    <n v="0"/>
    <n v="0"/>
    <n v="0"/>
    <n v="0"/>
    <n v="23"/>
    <n v="0"/>
    <n v="9.2000000000000011"/>
    <n v="0"/>
    <n v="0"/>
    <n v="0"/>
    <n v="0"/>
    <m/>
    <n v="43.93"/>
    <n v="73.929999999999993"/>
    <s v="TL2"/>
    <s v="ToyoLiToyoLiToyoLiToyoLiToyoLiToyoLiToyoLi"/>
    <s v="+"/>
    <s v="+"/>
    <s v="+"/>
    <s v="+"/>
    <s v="+"/>
    <s v="+"/>
    <s v="+"/>
    <s v="NIL"/>
    <b v="0"/>
  </r>
  <r>
    <d v="2026-01-02T00:00:00"/>
    <s v="A"/>
    <x v="2"/>
    <s v="TL3"/>
    <n v="134"/>
    <n v="7700"/>
    <s v="I"/>
    <s v="N"/>
    <n v="3"/>
    <s v="BLACK"/>
    <s v="N00706B"/>
    <s v="ToyoLi - BLACK"/>
    <n v="29"/>
    <n v="0"/>
    <m/>
    <m/>
    <n v="0"/>
    <s v="R92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8"/>
    <n v="0"/>
    <n v="2"/>
    <n v="0"/>
    <s v="REFLEX BLUE"/>
    <s v="J00933P"/>
    <s v="ToyoLi - REFLEX BLUE"/>
    <n v="15"/>
    <n v="0"/>
    <s v="H01361P"/>
    <n v="14"/>
    <n v="0"/>
    <s v="R1205"/>
    <s v="Z822"/>
    <m/>
    <m/>
    <m/>
    <m/>
    <m/>
    <m/>
    <n v="2"/>
    <n v="0"/>
    <n v="5"/>
    <n v="0"/>
    <m/>
    <n v="0"/>
    <m/>
    <n v="0"/>
    <m/>
    <n v="0"/>
    <m/>
    <n v="0"/>
    <m/>
    <n v="0"/>
    <m/>
    <n v="0"/>
    <s v="ToyoLi"/>
    <n v="22"/>
    <n v="0"/>
    <n v="21.309090909090912"/>
    <n v="0"/>
    <s v="RED"/>
    <s v="H01300R"/>
    <s v="ToyoLi - RED"/>
    <n v="31"/>
    <n v="0"/>
    <m/>
    <m/>
    <n v="0"/>
    <s v="F53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30"/>
    <n v="0"/>
    <n v="4"/>
    <n v="0"/>
    <s v="CYAN"/>
    <s v="F00846C"/>
    <s v="ToyoLi - CYAN"/>
    <n v="16"/>
    <n v="0"/>
    <m/>
    <m/>
    <n v="0"/>
    <s v="R39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25"/>
    <n v="0"/>
    <n v="13.18181818181818"/>
    <n v="0"/>
    <s v="MAGENTA"/>
    <s v="N00706M"/>
    <s v="ToyoLi - MAGENTA"/>
    <n v="28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3"/>
    <n v="0"/>
    <s v="YELLOW"/>
    <s v="N00706Y"/>
    <s v="ToyoLi - YELLOW"/>
    <n v="25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6"/>
    <n v="0"/>
    <n v="8.8727272727272748"/>
    <n v="0"/>
    <s v="WHITE"/>
    <s v="N00706W"/>
    <s v="ToyoLi - WHITE"/>
    <n v="28"/>
    <n v="0"/>
    <m/>
    <m/>
    <n v="0"/>
    <s v="F640"/>
    <m/>
    <m/>
    <m/>
    <m/>
    <m/>
    <m/>
    <m/>
    <n v="60"/>
    <n v="0"/>
    <m/>
    <n v="0"/>
    <m/>
    <n v="0"/>
    <m/>
    <n v="0"/>
    <m/>
    <n v="0"/>
    <m/>
    <n v="0"/>
    <m/>
    <n v="0"/>
    <m/>
    <n v="0"/>
    <s v="ToyoLi"/>
    <n v="30"/>
    <n v="0"/>
    <n v="131.09090909090907"/>
    <n v="0"/>
    <s v="MATT"/>
    <m/>
    <s v="HI-TECH INK - MATT"/>
    <m/>
    <n v="0"/>
    <m/>
    <m/>
    <n v="0"/>
    <n v="2066"/>
    <m/>
    <m/>
    <m/>
    <m/>
    <m/>
    <m/>
    <m/>
    <n v="40"/>
    <n v="0"/>
    <m/>
    <n v="0"/>
    <m/>
    <n v="0"/>
    <m/>
    <n v="0"/>
    <m/>
    <n v="0"/>
    <m/>
    <n v="0"/>
    <m/>
    <n v="0"/>
    <m/>
    <n v="0"/>
    <s v="HI-TECH INK"/>
    <n v="20"/>
    <n v="0"/>
    <n v="56.545454545454533"/>
    <n v="0"/>
    <n v="0"/>
    <n v="3"/>
    <n v="0"/>
    <n v="5"/>
    <n v="0"/>
    <n v="2"/>
    <n v="30"/>
    <n v="15"/>
    <n v="0.3"/>
    <m/>
    <m/>
    <n v="0.5"/>
    <n v="0.2"/>
    <n v="0"/>
    <n v="134"/>
    <n v="0"/>
    <n v="0"/>
    <n v="134"/>
    <n v="134"/>
    <n v="40.199999999999996"/>
    <n v="0"/>
    <n v="0"/>
    <n v="0"/>
    <n v="0"/>
    <n v="0"/>
    <n v="67"/>
    <n v="0"/>
    <n v="26.8"/>
    <n v="0"/>
    <n v="0"/>
    <n v="0"/>
    <n v="0"/>
    <m/>
    <n v="128"/>
    <n v="239.99999999999997"/>
    <s v="TL3"/>
    <s v="ToyoLiToyoLiToyoLiToyoLiToyoLiToyoLiToyoLiHI-TECH INK"/>
    <s v="+"/>
    <s v="+"/>
    <s v="+"/>
    <s v="+"/>
    <s v="+"/>
    <s v="+"/>
    <s v="+"/>
    <s v="+"/>
    <b v="0"/>
  </r>
  <r>
    <d v="2026-01-02T00:00:00"/>
    <s v="A"/>
    <x v="3"/>
    <s v="TL4"/>
    <n v="134"/>
    <n v="7700"/>
    <s v="I"/>
    <s v="N"/>
    <n v="2.9000000000000004"/>
    <s v="BLACK"/>
    <s v="R00011B"/>
    <s v="ToyoLi - BLACK"/>
    <n v="28"/>
    <n v="0"/>
    <m/>
    <m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0"/>
    <n v="0"/>
    <n v="8.1538461538461533"/>
    <n v="0"/>
    <s v="REFLEX BLUE"/>
    <s v="R00011B"/>
    <s v="ToyoLi - REFLEX BLUE"/>
    <n v="22"/>
    <n v="0"/>
    <s v="N00913B"/>
    <n v="14"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16.153846153846153"/>
    <n v="0"/>
    <s v="RED"/>
    <s v="R00011R"/>
    <s v="ToyoLi - RED"/>
    <n v="30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10.153846153846153"/>
    <n v="0"/>
    <s v="CYAN"/>
    <s v="R00011C"/>
    <s v="ToyoLi - CYAN"/>
    <n v="25"/>
    <n v="0"/>
    <m/>
    <m/>
    <n v="0"/>
    <s v="R39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6"/>
    <n v="0"/>
    <n v="9.1538461538461533"/>
    <n v="0"/>
    <s v="MAGENTA"/>
    <s v="R00011M"/>
    <s v="ToyoLi - MAGENTA"/>
    <n v="27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7.1538461538461533"/>
    <n v="0"/>
    <s v="YELLOW"/>
    <s v="R00011Y"/>
    <s v="ToyoLi - YELLOW"/>
    <n v="26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6"/>
    <n v="0"/>
    <n v="10.153846153846153"/>
    <n v="0"/>
    <s v="WHITE"/>
    <s v="R00011W"/>
    <s v="ToyoLi - WHITE"/>
    <n v="30"/>
    <n v="0"/>
    <m/>
    <m/>
    <n v="0"/>
    <s v="F640"/>
    <m/>
    <m/>
    <m/>
    <m/>
    <m/>
    <m/>
    <m/>
    <n v="50"/>
    <n v="0"/>
    <m/>
    <n v="0"/>
    <m/>
    <n v="0"/>
    <m/>
    <n v="0"/>
    <m/>
    <n v="0"/>
    <m/>
    <n v="0"/>
    <m/>
    <n v="0"/>
    <m/>
    <n v="0"/>
    <s v="ToyoLi"/>
    <n v="20"/>
    <n v="0"/>
    <n v="124.42307692307691"/>
    <n v="0"/>
    <s v="MATT"/>
    <s v="R00011M"/>
    <s v="HI-TECH INK - MATT"/>
    <n v="20"/>
    <n v="0"/>
    <m/>
    <m/>
    <n v="0"/>
    <n v="2066"/>
    <m/>
    <m/>
    <m/>
    <m/>
    <m/>
    <m/>
    <m/>
    <n v="40"/>
    <n v="0"/>
    <m/>
    <n v="0"/>
    <m/>
    <n v="0"/>
    <m/>
    <n v="0"/>
    <m/>
    <n v="0"/>
    <m/>
    <n v="0"/>
    <m/>
    <n v="0"/>
    <m/>
    <n v="0"/>
    <s v="HI-TECH INK"/>
    <n v="20"/>
    <n v="0"/>
    <n v="78.65384615384616"/>
    <n v="0"/>
    <n v="2"/>
    <n v="2"/>
    <n v="2"/>
    <n v="2"/>
    <n v="2"/>
    <n v="2"/>
    <n v="25"/>
    <n v="15"/>
    <n v="0.3"/>
    <m/>
    <m/>
    <n v="0.5"/>
    <n v="0.2"/>
    <n v="0"/>
    <n v="134"/>
    <n v="0"/>
    <n v="0"/>
    <n v="134"/>
    <n v="134"/>
    <n v="40.199999999999996"/>
    <n v="0"/>
    <n v="0"/>
    <n v="0"/>
    <n v="0"/>
    <n v="0"/>
    <n v="67"/>
    <n v="0"/>
    <n v="26.8"/>
    <n v="0"/>
    <n v="0"/>
    <n v="0"/>
    <n v="0"/>
    <m/>
    <n v="111"/>
    <n v="264"/>
    <s v="TL4"/>
    <s v="ToyoLiToyoLiToyoLiToyoLiToyoLiToyoLiToyoLiHI-TECH INK"/>
    <s v="+"/>
    <s v="+"/>
    <s v="+"/>
    <s v="+"/>
    <s v="+"/>
    <s v="+"/>
    <s v="+"/>
    <s v="+"/>
    <b v="0"/>
  </r>
  <r>
    <d v="2026-01-02T00:00:00"/>
    <s v="A"/>
    <x v="4"/>
    <s v="TL5"/>
    <n v="134"/>
    <n v="7700"/>
    <s v="I"/>
    <s v="N"/>
    <n v="2.9"/>
    <s v="BLACK"/>
    <s v="R00010B"/>
    <s v="ToyoLi - BLACK"/>
    <n v="30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7.9777777777777743"/>
    <n v="0"/>
    <s v="REFLEX BLUE"/>
    <s v="H01361B"/>
    <s v="ToyoLi - REFLEX BLUE"/>
    <n v="17"/>
    <n v="0"/>
    <m/>
    <m/>
    <n v="0"/>
    <s v="R1205"/>
    <s v="F121"/>
    <s v="R92"/>
    <m/>
    <m/>
    <m/>
    <m/>
    <m/>
    <n v="3"/>
    <n v="0"/>
    <n v="2"/>
    <n v="0"/>
    <n v="1"/>
    <n v="0"/>
    <m/>
    <n v="0"/>
    <m/>
    <n v="0"/>
    <m/>
    <n v="0"/>
    <m/>
    <n v="0"/>
    <m/>
    <n v="0"/>
    <s v="ToyoLi"/>
    <n v="20"/>
    <n v="0"/>
    <n v="8.9555555555555557"/>
    <n v="0"/>
    <s v="RED"/>
    <s v="R00010R"/>
    <s v="ToyoLi - RED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0"/>
    <n v="7.9555555555555557"/>
    <n v="0"/>
    <s v="CYAN"/>
    <s v="R00010C"/>
    <s v="ToyoLi - CYAN"/>
    <n v="26"/>
    <n v="0"/>
    <s v="H01309C"/>
    <n v="21"/>
    <n v="0"/>
    <s v="R39"/>
    <s v="RTMD"/>
    <m/>
    <m/>
    <m/>
    <m/>
    <m/>
    <m/>
    <n v="3"/>
    <n v="0"/>
    <n v="2"/>
    <n v="0"/>
    <m/>
    <n v="0"/>
    <m/>
    <n v="0"/>
    <m/>
    <n v="0"/>
    <m/>
    <n v="0"/>
    <m/>
    <n v="0"/>
    <m/>
    <n v="0"/>
    <s v="ToyoLi"/>
    <n v="26"/>
    <n v="0"/>
    <n v="31.955555555555556"/>
    <n v="0"/>
    <s v="MAGENTA"/>
    <s v="R00010M"/>
    <s v="ToyoLi - MAGENTA"/>
    <n v="27"/>
    <n v="0"/>
    <m/>
    <m/>
    <n v="0"/>
    <s v="F121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5"/>
    <n v="0"/>
    <n v="5.9777777777777779"/>
    <n v="0"/>
    <s v="YELLOW"/>
    <s v="R00010Y"/>
    <s v="ToyoLi - YELLOW"/>
    <n v="26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4"/>
    <n v="0"/>
    <n v="9.9555555555555557"/>
    <n v="0"/>
    <s v="WHITE"/>
    <s v="R00010W"/>
    <s v="ToyoLi - WHITE"/>
    <n v="20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20"/>
    <n v="0"/>
    <n v="99.555555555555543"/>
    <n v="0"/>
    <s v="MATT"/>
    <s v="R00010M"/>
    <s v="HI-TECH INK - MATT"/>
    <n v="20"/>
    <n v="0"/>
    <m/>
    <m/>
    <n v="0"/>
    <n v="2066"/>
    <m/>
    <m/>
    <m/>
    <m/>
    <m/>
    <m/>
    <m/>
    <n v="40"/>
    <n v="0"/>
    <m/>
    <n v="0"/>
    <m/>
    <n v="0"/>
    <m/>
    <n v="0"/>
    <m/>
    <n v="0"/>
    <m/>
    <n v="0"/>
    <m/>
    <n v="0"/>
    <m/>
    <n v="0"/>
    <s v="HI-TECH INK"/>
    <n v="21"/>
    <n v="0"/>
    <n v="83.666666666666657"/>
    <n v="0"/>
    <n v="1"/>
    <n v="2"/>
    <n v="2"/>
    <n v="2"/>
    <n v="1"/>
    <n v="2"/>
    <n v="20"/>
    <n v="15"/>
    <n v="0.3"/>
    <m/>
    <m/>
    <n v="0.5"/>
    <n v="0.2"/>
    <n v="0"/>
    <n v="134"/>
    <n v="0"/>
    <n v="0"/>
    <n v="134"/>
    <n v="134"/>
    <n v="40.199999999999996"/>
    <n v="0"/>
    <n v="0"/>
    <n v="0"/>
    <n v="0"/>
    <n v="0"/>
    <n v="67"/>
    <n v="0"/>
    <n v="26.8"/>
    <n v="0"/>
    <n v="0"/>
    <n v="0"/>
    <n v="0"/>
    <m/>
    <n v="96"/>
    <n v="255.99999999999997"/>
    <s v="TL5"/>
    <s v="ToyoLiToyoLiToyoLiToyoLiToyoLiToyoLiToyoLiHI-TECH INK"/>
    <s v="+"/>
    <s v="+"/>
    <s v="+"/>
    <s v="+"/>
    <s v="+"/>
    <s v="+"/>
    <s v="+"/>
    <s v="+"/>
    <b v="0"/>
  </r>
  <r>
    <d v="2026-01-02T00:00:00"/>
    <s v="A"/>
    <x v="5"/>
    <s v="TL6"/>
    <n v="149"/>
    <n v="7800"/>
    <s v="I"/>
    <s v="N"/>
    <n v="2.9"/>
    <s v="BLACK"/>
    <s v="R00008B"/>
    <s v="ToyoLi - BLACK"/>
    <n v="27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7.7301587301587276"/>
    <n v="0"/>
    <s v="REFLEX BLUE"/>
    <s v="J00933P"/>
    <s v="ToyoLi - REFLEX BLUE"/>
    <n v="15"/>
    <n v="0"/>
    <m/>
    <m/>
    <n v="0"/>
    <s v="R1205"/>
    <s v="F121"/>
    <s v="Z822"/>
    <m/>
    <m/>
    <m/>
    <m/>
    <m/>
    <n v="2"/>
    <n v="0"/>
    <n v="3"/>
    <n v="0"/>
    <n v="3"/>
    <n v="0"/>
    <m/>
    <n v="0"/>
    <m/>
    <n v="0"/>
    <m/>
    <n v="0"/>
    <m/>
    <n v="0"/>
    <m/>
    <n v="0"/>
    <s v="ToyoLi"/>
    <n v="24"/>
    <n v="0"/>
    <n v="10.825396825396822"/>
    <n v="0"/>
    <s v="RED"/>
    <s v="R00008R"/>
    <s v="ToyoLi - RED"/>
    <n v="25"/>
    <n v="0"/>
    <m/>
    <m/>
    <n v="0"/>
    <s v="F53"/>
    <s v="F121"/>
    <m/>
    <m/>
    <m/>
    <m/>
    <m/>
    <m/>
    <n v="2"/>
    <n v="0"/>
    <n v="3"/>
    <n v="0"/>
    <m/>
    <n v="0"/>
    <m/>
    <n v="0"/>
    <m/>
    <n v="0"/>
    <m/>
    <n v="0"/>
    <m/>
    <n v="0"/>
    <m/>
    <n v="0"/>
    <s v="ToyoLi"/>
    <n v="27"/>
    <n v="0"/>
    <n v="7.7301587301587276"/>
    <n v="0"/>
    <s v="CYAN"/>
    <s v="R00008C"/>
    <s v="ToyoLi - CYAN"/>
    <n v="26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5.7301587301587276"/>
    <n v="0"/>
    <s v="MAGENTA"/>
    <s v="R00008M"/>
    <s v="ToyoLi - MAGENTA"/>
    <n v="25"/>
    <n v="0"/>
    <m/>
    <m/>
    <n v="0"/>
    <s v="RTMD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6"/>
    <n v="0"/>
    <n v="9.0952380952380949"/>
    <n v="0"/>
    <s v="YELLOW"/>
    <s v="R00008Y"/>
    <s v="ToyoLi - YELLOW"/>
    <n v="24"/>
    <n v="0"/>
    <m/>
    <m/>
    <n v="0"/>
    <s v="F23T"/>
    <m/>
    <m/>
    <m/>
    <m/>
    <m/>
    <m/>
    <m/>
    <n v="8"/>
    <n v="0"/>
    <m/>
    <n v="0"/>
    <m/>
    <n v="0"/>
    <m/>
    <n v="0"/>
    <m/>
    <n v="0"/>
    <m/>
    <n v="0"/>
    <m/>
    <n v="0"/>
    <m/>
    <n v="0"/>
    <s v="ToyoLi"/>
    <n v="28"/>
    <n v="0"/>
    <n v="13.460317460317462"/>
    <n v="0"/>
    <s v="WHITE"/>
    <s v="R00008W"/>
    <s v="ToyoLi - WHITE"/>
    <n v="20"/>
    <n v="0"/>
    <m/>
    <m/>
    <n v="0"/>
    <s v="F640"/>
    <m/>
    <m/>
    <m/>
    <m/>
    <m/>
    <m/>
    <m/>
    <n v="60"/>
    <n v="0"/>
    <m/>
    <n v="0"/>
    <m/>
    <n v="0"/>
    <m/>
    <n v="0"/>
    <m/>
    <n v="0"/>
    <m/>
    <n v="0"/>
    <m/>
    <n v="0"/>
    <m/>
    <n v="0"/>
    <s v="ToyoLi"/>
    <n v="30"/>
    <n v="0"/>
    <n v="120.95238095238096"/>
    <n v="0"/>
    <s v="MATT"/>
    <s v="R000008M"/>
    <s v="HI-TECH INK - MATT"/>
    <n v="21"/>
    <n v="0"/>
    <m/>
    <m/>
    <n v="0"/>
    <n v="2066"/>
    <m/>
    <m/>
    <m/>
    <m/>
    <m/>
    <m/>
    <m/>
    <n v="40"/>
    <n v="0"/>
    <m/>
    <n v="0"/>
    <m/>
    <n v="0"/>
    <m/>
    <n v="0"/>
    <m/>
    <n v="0"/>
    <m/>
    <n v="0"/>
    <m/>
    <n v="0"/>
    <m/>
    <n v="0"/>
    <s v="HI-TECH INK"/>
    <n v="15"/>
    <n v="0"/>
    <n v="81.476190476190482"/>
    <n v="0"/>
    <n v="2"/>
    <n v="5"/>
    <n v="2"/>
    <n v="2"/>
    <n v="3"/>
    <n v="4"/>
    <n v="30"/>
    <n v="15"/>
    <n v="0.3"/>
    <m/>
    <m/>
    <n v="0.5"/>
    <n v="0.2"/>
    <n v="0"/>
    <n v="149"/>
    <n v="0"/>
    <n v="0"/>
    <n v="149"/>
    <n v="149"/>
    <n v="44.699999999999996"/>
    <n v="0"/>
    <n v="0"/>
    <n v="0"/>
    <n v="0"/>
    <n v="0"/>
    <n v="74.5"/>
    <n v="0"/>
    <n v="29.8"/>
    <n v="0"/>
    <n v="0"/>
    <n v="0"/>
    <n v="0"/>
    <m/>
    <n v="128"/>
    <n v="257"/>
    <s v="TL6"/>
    <s v="ToyoLiToyoLiToyoLiToyoLiToyoLiToyoLiToyoLiHI-TECH INK"/>
    <s v="+"/>
    <s v="+"/>
    <s v="+"/>
    <s v="+"/>
    <s v="+"/>
    <s v="+"/>
    <s v="+"/>
    <s v="+"/>
    <b v="0"/>
  </r>
  <r>
    <d v="2026-01-02T00:00:00"/>
    <s v="A"/>
    <x v="6"/>
    <s v="TL7"/>
    <n v="135"/>
    <n v="9100"/>
    <s v="I"/>
    <s v="N"/>
    <n v="2.9"/>
    <s v="BLACK"/>
    <s v="R00009B"/>
    <s v="ToyoLi - BLACK"/>
    <n v="26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0"/>
    <n v="4.9272727272727259"/>
    <n v="0"/>
    <s v="RED"/>
    <s v="R00009R"/>
    <s v="ToyoLi - RED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4.9272727272727259"/>
    <n v="0"/>
    <s v="CYAN"/>
    <s v="R00009C"/>
    <s v="ToyoLi - CYAN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0"/>
    <n v="5.9272727272727259"/>
    <n v="0"/>
    <s v="MAGENTA"/>
    <s v="R00009M"/>
    <s v="ToyoLi - MAGENTA"/>
    <n v="26"/>
    <n v="0"/>
    <s v="P000438M"/>
    <n v="12"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16.927272727272729"/>
    <n v="0"/>
    <s v="YELLOW"/>
    <s v="R00009Y"/>
    <s v="ToyoLi - YELLOW"/>
    <n v="28"/>
    <n v="0"/>
    <m/>
    <m/>
    <n v="0"/>
    <s v="F23T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30"/>
    <n v="0"/>
    <n v="4.9272727272727295"/>
    <n v="0"/>
    <s v="BLACK"/>
    <m/>
    <s v="ToyoLi - BLACK"/>
    <m/>
    <n v="0"/>
    <m/>
    <m/>
    <n v="0"/>
    <s v="R92"/>
    <m/>
    <m/>
    <m/>
    <m/>
    <m/>
    <m/>
    <m/>
    <n v="25"/>
    <n v="0"/>
    <m/>
    <n v="0"/>
    <m/>
    <n v="0"/>
    <m/>
    <n v="0"/>
    <m/>
    <n v="0"/>
    <m/>
    <n v="0"/>
    <m/>
    <n v="0"/>
    <m/>
    <n v="0"/>
    <s v="ToyoLi"/>
    <n v="30"/>
    <n v="0"/>
    <n v="24.454545454545453"/>
    <n v="0"/>
    <s v="WHITE"/>
    <s v="R00009W"/>
    <s v="ToyoLi - WHITE"/>
    <n v="30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28"/>
    <n v="0"/>
    <n v="81.27272727272728"/>
    <n v="0"/>
    <s v="MATT"/>
    <s v="R00009M"/>
    <s v="HI-TECH INK - MATT"/>
    <n v="15"/>
    <n v="0"/>
    <m/>
    <m/>
    <n v="0"/>
    <n v="2066"/>
    <m/>
    <m/>
    <m/>
    <m/>
    <m/>
    <m/>
    <m/>
    <n v="30"/>
    <n v="0"/>
    <m/>
    <n v="0"/>
    <m/>
    <n v="0"/>
    <m/>
    <n v="0"/>
    <m/>
    <n v="0"/>
    <m/>
    <n v="0"/>
    <m/>
    <n v="0"/>
    <m/>
    <n v="0"/>
    <s v="HI-TECH INK"/>
    <n v="30"/>
    <n v="0"/>
    <n v="34.63636363636364"/>
    <n v="0"/>
    <n v="2"/>
    <n v="2"/>
    <n v="2"/>
    <n v="2"/>
    <n v="2"/>
    <n v="15"/>
    <n v="20"/>
    <n v="10"/>
    <n v="0.3"/>
    <m/>
    <m/>
    <n v="0.5"/>
    <n v="0.2"/>
    <n v="0"/>
    <n v="108"/>
    <n v="0"/>
    <n v="0"/>
    <n v="108"/>
    <n v="108"/>
    <n v="32.4"/>
    <n v="0"/>
    <n v="0"/>
    <n v="0"/>
    <n v="0"/>
    <n v="0"/>
    <n v="54"/>
    <n v="0"/>
    <n v="21.6"/>
    <n v="0"/>
    <n v="0"/>
    <n v="0"/>
    <n v="0"/>
    <m/>
    <n v="100"/>
    <n v="178"/>
    <s v="TL7"/>
    <s v="ToyoLiToyoLiToyoLiToyoLiToyoLiToyoLiToyoLiHI-TECH INK"/>
    <s v="+"/>
    <s v="+"/>
    <s v="+"/>
    <s v="+"/>
    <s v="+"/>
    <s v="+"/>
    <s v="+"/>
    <s v="+"/>
    <b v="0"/>
  </r>
  <r>
    <d v="2026-01-02T00:00:00"/>
    <s v="B"/>
    <x v="7"/>
    <s v="TL8"/>
    <n v="136"/>
    <n v="9200"/>
    <s v="I"/>
    <s v="N"/>
    <n v="2.92"/>
    <s v="BLACK"/>
    <s v="R00012B"/>
    <s v="ToyoLi - BLACK"/>
    <n v="25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4.6842105263157876"/>
    <n v="0"/>
    <s v="RED"/>
    <s v="R00012R"/>
    <s v="ToyoLi - RED"/>
    <n v="26"/>
    <n v="0"/>
    <m/>
    <m/>
    <n v="0"/>
    <s v="F53"/>
    <s v="F121"/>
    <m/>
    <m/>
    <m/>
    <m/>
    <m/>
    <m/>
    <n v="2"/>
    <n v="0"/>
    <n v="1"/>
    <n v="0"/>
    <m/>
    <n v="0"/>
    <m/>
    <n v="0"/>
    <m/>
    <n v="0"/>
    <m/>
    <n v="0"/>
    <m/>
    <n v="0"/>
    <m/>
    <n v="0"/>
    <s v="ToyoLi"/>
    <n v="28"/>
    <n v="0"/>
    <n v="3.6842105263157876"/>
    <n v="0"/>
    <s v="CYAN"/>
    <s v="R00012C"/>
    <s v="ToyoLi - CYAN"/>
    <n v="25"/>
    <n v="0"/>
    <m/>
    <m/>
    <n v="0"/>
    <s v="R39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6"/>
    <n v="0"/>
    <n v="7.3684210526315752"/>
    <n v="0"/>
    <s v="MAGENTA"/>
    <s v="R00012M"/>
    <s v="ToyoLi - MAGENTA"/>
    <n v="27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9"/>
    <n v="0"/>
    <n v="6.3684210526315752"/>
    <n v="0"/>
    <s v="YELLOW"/>
    <s v="R00012Y"/>
    <s v="ToyoLi - YELLOW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0"/>
    <n v="2"/>
    <n v="0"/>
    <s v="GREEN"/>
    <s v="F00846G"/>
    <s v="ToyoLi - GREEN"/>
    <n v="14"/>
    <n v="0"/>
    <m/>
    <m/>
    <n v="0"/>
    <s v="R1205"/>
    <s v="R92"/>
    <s v="R39"/>
    <s v="F23T"/>
    <m/>
    <m/>
    <m/>
    <m/>
    <n v="2"/>
    <n v="0"/>
    <n v="1"/>
    <n v="0"/>
    <n v="6"/>
    <n v="0"/>
    <n v="5"/>
    <n v="0"/>
    <m/>
    <n v="0"/>
    <m/>
    <n v="0"/>
    <m/>
    <n v="0"/>
    <m/>
    <n v="0"/>
    <s v="ToyoLi"/>
    <n v="20"/>
    <n v="0"/>
    <n v="21.421052631578945"/>
    <n v="0"/>
    <s v="WHITE"/>
    <s v="R00012W"/>
    <s v="ToyoLi - WHITE"/>
    <n v="28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30"/>
    <n v="0"/>
    <n v="91.68421052631578"/>
    <n v="0"/>
    <s v="MATT"/>
    <s v="R00012M"/>
    <s v="HI-TECH INK - MATT"/>
    <n v="30"/>
    <n v="0"/>
    <m/>
    <m/>
    <n v="0"/>
    <n v="2066"/>
    <m/>
    <m/>
    <m/>
    <m/>
    <m/>
    <m/>
    <m/>
    <n v="20"/>
    <n v="0"/>
    <m/>
    <n v="0"/>
    <m/>
    <n v="0"/>
    <m/>
    <n v="0"/>
    <m/>
    <n v="0"/>
    <m/>
    <n v="0"/>
    <m/>
    <n v="0"/>
    <m/>
    <n v="0"/>
    <s v="HI-TECH INK"/>
    <n v="25"/>
    <n v="0"/>
    <n v="43.78947368421052"/>
    <n v="0"/>
    <n v="1"/>
    <n v="1"/>
    <n v="2"/>
    <n v="2"/>
    <n v="0"/>
    <n v="5"/>
    <n v="20"/>
    <n v="7"/>
    <n v="0.3"/>
    <m/>
    <m/>
    <n v="0.5"/>
    <n v="0.2"/>
    <n v="0"/>
    <n v="102"/>
    <n v="0"/>
    <n v="0"/>
    <n v="102"/>
    <n v="102"/>
    <n v="30.599999999999998"/>
    <n v="0"/>
    <n v="0"/>
    <n v="0"/>
    <n v="0"/>
    <n v="0"/>
    <n v="51"/>
    <n v="0"/>
    <n v="20.400000000000002"/>
    <n v="0"/>
    <n v="0"/>
    <n v="0"/>
    <n v="0"/>
    <m/>
    <n v="85"/>
    <n v="180.99999999999997"/>
    <s v="TL8"/>
    <s v="ToyoLiToyoLiToyoLiToyoLiToyoLiToyoLiToyoLiHI-TECH INK"/>
    <s v="+"/>
    <s v="+"/>
    <s v="+"/>
    <s v="+"/>
    <s v="+"/>
    <s v="+"/>
    <s v="+"/>
    <s v="+"/>
    <b v="0"/>
  </r>
  <r>
    <d v="2026-01-02T00:00:00"/>
    <s v="B"/>
    <x v="8"/>
    <s v="TL9"/>
    <n v="2398"/>
    <n v="146700"/>
    <s v="I"/>
    <s v="N"/>
    <n v="2.1"/>
    <s v="BLACK"/>
    <m/>
    <s v="ToyoLi - BLACK"/>
    <m/>
    <n v="0"/>
    <m/>
    <m/>
    <n v="0"/>
    <s v="R92"/>
    <m/>
    <m/>
    <m/>
    <m/>
    <m/>
    <m/>
    <m/>
    <n v="18"/>
    <n v="0"/>
    <m/>
    <n v="0"/>
    <m/>
    <n v="0"/>
    <m/>
    <n v="0"/>
    <m/>
    <n v="0"/>
    <m/>
    <n v="0"/>
    <m/>
    <n v="0"/>
    <m/>
    <n v="0"/>
    <s v="ToyoLi"/>
    <n v="29"/>
    <n v="0"/>
    <n v="24.550847457627114"/>
    <n v="0"/>
    <s v="BLACK"/>
    <s v="R000013B"/>
    <s v="ToyoLi - BLACK"/>
    <n v="25"/>
    <n v="0"/>
    <m/>
    <m/>
    <n v="0"/>
    <s v="R92"/>
    <m/>
    <m/>
    <m/>
    <m/>
    <m/>
    <m/>
    <m/>
    <n v="34"/>
    <n v="0"/>
    <m/>
    <n v="0"/>
    <m/>
    <n v="0"/>
    <m/>
    <n v="0"/>
    <m/>
    <n v="0"/>
    <m/>
    <n v="0"/>
    <m/>
    <n v="0"/>
    <m/>
    <n v="0"/>
    <s v="ToyoLi"/>
    <n v="34"/>
    <n v="0"/>
    <n v="74.771186440677965"/>
    <n v="0"/>
    <s v="RED"/>
    <s v="F00850R"/>
    <s v="ToyoLi - RED"/>
    <n v="16"/>
    <n v="0"/>
    <s v="J00929R/R00013R/H01300R/H01300R/J00938R"/>
    <n v="93"/>
    <n v="0"/>
    <s v="F121"/>
    <s v="F53"/>
    <s v="F32"/>
    <m/>
    <m/>
    <m/>
    <m/>
    <m/>
    <n v="100"/>
    <n v="0"/>
    <n v="100"/>
    <n v="0"/>
    <n v="22"/>
    <n v="0"/>
    <m/>
    <n v="0"/>
    <m/>
    <n v="0"/>
    <m/>
    <n v="0"/>
    <m/>
    <n v="0"/>
    <m/>
    <n v="0"/>
    <s v="ToyoLi"/>
    <n v="16"/>
    <n v="0"/>
    <n v="445.3531073446328"/>
    <n v="0"/>
    <s v="CYAN"/>
    <s v="R00013C"/>
    <s v="ToyoLi - CYAN"/>
    <n v="26"/>
    <n v="0"/>
    <m/>
    <m/>
    <n v="0"/>
    <s v="R39"/>
    <s v="RTMD"/>
    <m/>
    <m/>
    <m/>
    <m/>
    <m/>
    <m/>
    <n v="4"/>
    <n v="0"/>
    <n v="5"/>
    <n v="0"/>
    <m/>
    <n v="0"/>
    <m/>
    <n v="0"/>
    <m/>
    <n v="0"/>
    <m/>
    <n v="0"/>
    <m/>
    <n v="0"/>
    <m/>
    <n v="0"/>
    <s v="ToyoLi"/>
    <n v="35"/>
    <n v="0"/>
    <n v="4.7401129943502838"/>
    <n v="0"/>
    <s v="MAGENTA"/>
    <s v="R00013M"/>
    <s v="ToyoLi - MAGENTA"/>
    <n v="29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2"/>
    <n v="0"/>
    <n v="17.110169491525426"/>
    <n v="0"/>
    <s v="YELLOW"/>
    <s v="R00013Y"/>
    <s v="ToyoLi - YELLOW"/>
    <n v="28"/>
    <n v="0"/>
    <m/>
    <m/>
    <n v="0"/>
    <s v="F23T"/>
    <m/>
    <m/>
    <m/>
    <m/>
    <m/>
    <m/>
    <m/>
    <n v="35"/>
    <n v="0"/>
    <m/>
    <n v="0"/>
    <m/>
    <n v="0"/>
    <m/>
    <n v="0"/>
    <m/>
    <n v="0"/>
    <m/>
    <n v="0"/>
    <m/>
    <n v="0"/>
    <m/>
    <n v="0"/>
    <s v="ToyoLi"/>
    <n v="43"/>
    <n v="0"/>
    <n v="62.661016949152554"/>
    <n v="0"/>
    <s v="WHITE"/>
    <s v="R00013W"/>
    <s v="ToyoLi - WHITE"/>
    <n v="30"/>
    <n v="0"/>
    <m/>
    <m/>
    <n v="0"/>
    <s v="F640"/>
    <m/>
    <m/>
    <m/>
    <m/>
    <m/>
    <m/>
    <m/>
    <n v="460"/>
    <n v="0"/>
    <m/>
    <n v="0"/>
    <m/>
    <n v="0"/>
    <m/>
    <n v="0"/>
    <m/>
    <n v="0"/>
    <m/>
    <n v="0"/>
    <m/>
    <n v="0"/>
    <m/>
    <n v="0"/>
    <s v="ToyoLi"/>
    <n v="30"/>
    <n v="0"/>
    <n v="1028.813559322033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5"/>
    <n v="21"/>
    <n v="55"/>
    <n v="2"/>
    <n v="3"/>
    <n v="18"/>
    <n v="240"/>
    <n v="0"/>
    <n v="0.3"/>
    <m/>
    <m/>
    <n v="0.5"/>
    <n v="0.2"/>
    <n v="0"/>
    <n v="839"/>
    <n v="0"/>
    <n v="0"/>
    <n v="839"/>
    <n v="839"/>
    <n v="251.7"/>
    <n v="0"/>
    <n v="0"/>
    <n v="0"/>
    <n v="0"/>
    <n v="0"/>
    <n v="419.5"/>
    <n v="0"/>
    <n v="167.8"/>
    <n v="0"/>
    <n v="0"/>
    <n v="0"/>
    <n v="0"/>
    <m/>
    <n v="781"/>
    <n v="1658"/>
    <s v="TL9"/>
    <s v="ToyoLiToyoLiToyoLiToyoLiToyoLiToyoLiToyoLi"/>
    <s v="+"/>
    <s v="+"/>
    <s v="+"/>
    <s v="+"/>
    <s v="+"/>
    <s v="+"/>
    <s v="+"/>
    <s v="NIL"/>
    <b v="0"/>
  </r>
  <r>
    <d v="2026-01-03T00:00:00"/>
    <s v="A"/>
    <x v="9"/>
    <s v="TL10"/>
    <n v="126"/>
    <n v="6800"/>
    <s v="I"/>
    <s v="N"/>
    <n v="2.14"/>
    <s v="BLACK"/>
    <s v="P00435B"/>
    <s v="ToyoLi - BLACK"/>
    <n v="31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30"/>
    <n v="0"/>
    <n v="7.6000000000000014"/>
    <n v="0"/>
    <s v="BLACK"/>
    <s v="N00757B"/>
    <s v="ToyoLi - BLACK"/>
    <n v="4"/>
    <n v="0"/>
    <s v="F00833B/N00815B"/>
    <n v="12"/>
    <n v="0"/>
    <s v="F121"/>
    <s v="F53"/>
    <m/>
    <m/>
    <m/>
    <m/>
    <m/>
    <m/>
    <n v="7"/>
    <n v="0"/>
    <n v="5"/>
    <n v="0"/>
    <m/>
    <n v="0"/>
    <m/>
    <n v="0"/>
    <m/>
    <n v="0"/>
    <m/>
    <n v="0"/>
    <m/>
    <n v="0"/>
    <m/>
    <n v="0"/>
    <s v="ToyoLi"/>
    <n v="32"/>
    <n v="0"/>
    <n v="12.200000000000003"/>
    <n v="0"/>
    <s v="CYAN"/>
    <s v="P00435C"/>
    <s v="ToyoLi - CYAN"/>
    <n v="19"/>
    <n v="0"/>
    <m/>
    <m/>
    <n v="0"/>
    <s v="RTMD"/>
    <m/>
    <m/>
    <m/>
    <m/>
    <m/>
    <m/>
    <m/>
    <n v="8"/>
    <n v="0"/>
    <m/>
    <n v="0"/>
    <m/>
    <n v="0"/>
    <m/>
    <n v="0"/>
    <m/>
    <n v="0"/>
    <m/>
    <n v="0"/>
    <m/>
    <n v="0"/>
    <m/>
    <n v="0"/>
    <s v="ToyoLi"/>
    <n v="28"/>
    <n v="0"/>
    <n v="2.6000000000000014"/>
    <n v="0"/>
    <s v="MAGENTA"/>
    <s v="P00435M"/>
    <s v="ToyoLi - MAGENTA"/>
    <n v="22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5"/>
    <n v="0"/>
    <n v="3.6000000000000014"/>
    <n v="0"/>
    <s v="YELLOW"/>
    <s v="P00435Y"/>
    <s v="ToyoLi - YELLOW"/>
    <n v="29"/>
    <n v="0"/>
    <m/>
    <m/>
    <n v="0"/>
    <s v="RTMD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4"/>
    <n v="0"/>
    <n v="19"/>
    <n v="0"/>
    <s v="WHITE"/>
    <s v="P00435W"/>
    <s v="ToyoLi - WHITE"/>
    <n v="30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30"/>
    <n v="0"/>
    <n v="5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9"/>
    <n v="2"/>
    <n v="2"/>
    <n v="5"/>
    <n v="15"/>
    <n v="0"/>
    <n v="0"/>
    <n v="0.3"/>
    <m/>
    <m/>
    <n v="0.5"/>
    <n v="0.2"/>
    <n v="0"/>
    <n v="63"/>
    <n v="0"/>
    <n v="0"/>
    <n v="63"/>
    <n v="63"/>
    <n v="18.899999999999999"/>
    <n v="0"/>
    <n v="0"/>
    <n v="0"/>
    <n v="0"/>
    <n v="0"/>
    <n v="31.5"/>
    <n v="0"/>
    <n v="12.600000000000001"/>
    <n v="0"/>
    <n v="0"/>
    <n v="0"/>
    <n v="0"/>
    <m/>
    <n v="61"/>
    <n v="102"/>
    <s v="TL10"/>
    <s v="ToyoLiToyoLiToyoLiToyoLiToyoLiToyoLi"/>
    <s v="+"/>
    <s v="+"/>
    <s v="+"/>
    <s v="+"/>
    <s v="+"/>
    <s v="+"/>
    <s v="NIL"/>
    <s v="NIL"/>
    <b v="0"/>
  </r>
  <r>
    <d v="2026-01-03T00:00:00"/>
    <s v="B"/>
    <x v="10"/>
    <s v="TL11"/>
    <n v="77"/>
    <n v="3500"/>
    <s v="I"/>
    <s v="N"/>
    <n v="1.99"/>
    <s v="REFLEX BLUE"/>
    <s v="B00973RB"/>
    <s v="ToyoLi - REFLEX BLUE"/>
    <n v="19"/>
    <n v="0"/>
    <s v="B00857B"/>
    <n v="6"/>
    <n v="0"/>
    <s v="R1205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1"/>
    <n v="0"/>
    <n v="9.6000000000000014"/>
    <n v="0"/>
    <s v="GREEN"/>
    <s v="J00833G"/>
    <s v="ToyoLi - GREEN"/>
    <n v="5"/>
    <n v="0"/>
    <s v="G00373G"/>
    <n v="19"/>
    <n v="0"/>
    <s v="R39"/>
    <s v="F23T"/>
    <s v="R92"/>
    <m/>
    <m/>
    <m/>
    <m/>
    <m/>
    <n v="2"/>
    <n v="0"/>
    <n v="1"/>
    <n v="0"/>
    <n v="0.5"/>
    <n v="0"/>
    <m/>
    <n v="0"/>
    <m/>
    <n v="0"/>
    <m/>
    <n v="0"/>
    <m/>
    <n v="0"/>
    <m/>
    <n v="0"/>
    <s v="ToyoLi"/>
    <n v="29"/>
    <n v="0"/>
    <n v="3.1000000000000014"/>
    <n v="0"/>
    <s v="MEDIUM"/>
    <s v="J00929B"/>
    <s v="ToyoLi - MEDIUM"/>
    <n v="20"/>
    <n v="0"/>
    <s v="J00929B"/>
    <n v="10"/>
    <n v="0"/>
    <s v="RTMD"/>
    <s v="F23T"/>
    <m/>
    <m/>
    <m/>
    <m/>
    <m/>
    <m/>
    <n v="3"/>
    <n v="0"/>
    <n v="0.5"/>
    <n v="0"/>
    <m/>
    <n v="0"/>
    <m/>
    <n v="0"/>
    <m/>
    <n v="0"/>
    <m/>
    <n v="0"/>
    <m/>
    <n v="0"/>
    <m/>
    <n v="0"/>
    <s v="ToyoLi"/>
    <n v="24"/>
    <n v="0"/>
    <n v="14.100000000000001"/>
    <n v="0"/>
    <s v="GREEN"/>
    <s v="F00846G"/>
    <s v="ToyoLi - GREEN"/>
    <n v="16"/>
    <n v="0"/>
    <m/>
    <m/>
    <n v="0"/>
    <s v="F23T"/>
    <s v="R79"/>
    <m/>
    <m/>
    <m/>
    <m/>
    <m/>
    <m/>
    <n v="4"/>
    <n v="0"/>
    <n v="1"/>
    <n v="0"/>
    <m/>
    <n v="0"/>
    <m/>
    <n v="0"/>
    <m/>
    <n v="0"/>
    <m/>
    <n v="0"/>
    <m/>
    <n v="0"/>
    <m/>
    <n v="0"/>
    <s v="ToyoLi"/>
    <n v="20"/>
    <n v="0"/>
    <n v="5.6000000000000014"/>
    <n v="0"/>
    <s v="YELLOW"/>
    <s v="P00434Y"/>
    <s v="ToyoLi - YELLOW"/>
    <n v="14"/>
    <n v="0"/>
    <m/>
    <m/>
    <n v="0"/>
    <s v="F23T"/>
    <s v="F53"/>
    <m/>
    <m/>
    <m/>
    <m/>
    <m/>
    <m/>
    <n v="3"/>
    <n v="0"/>
    <n v="1"/>
    <n v="0"/>
    <m/>
    <n v="0"/>
    <m/>
    <n v="0"/>
    <m/>
    <n v="0"/>
    <m/>
    <n v="0"/>
    <m/>
    <n v="0"/>
    <m/>
    <n v="0"/>
    <s v="ToyoLi"/>
    <n v="18"/>
    <n v="0"/>
    <n v="4.6000000000000014"/>
    <n v="0"/>
    <s v="WHITE"/>
    <s v="G00376W"/>
    <s v="ToyoLi - WHITE"/>
    <n v="30"/>
    <n v="0"/>
    <m/>
    <m/>
    <n v="0"/>
    <s v="F640"/>
    <s v="HSLAS"/>
    <m/>
    <m/>
    <m/>
    <m/>
    <m/>
    <m/>
    <n v="20"/>
    <n v="0"/>
    <n v="3.34"/>
    <n v="0"/>
    <m/>
    <n v="0"/>
    <m/>
    <n v="0"/>
    <m/>
    <n v="0"/>
    <m/>
    <n v="0"/>
    <m/>
    <n v="0"/>
    <m/>
    <n v="0"/>
    <s v="ToyoLi"/>
    <n v="30"/>
    <n v="0"/>
    <n v="46.3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2"/>
    <n v="2"/>
    <n v="10"/>
    <n v="0"/>
    <n v="0"/>
    <n v="0.3"/>
    <m/>
    <m/>
    <n v="0.5"/>
    <n v="0.2"/>
    <n v="0"/>
    <n v="46"/>
    <n v="0"/>
    <n v="0"/>
    <n v="46"/>
    <n v="46"/>
    <n v="13.799999999999999"/>
    <n v="0"/>
    <n v="0"/>
    <n v="0"/>
    <n v="0"/>
    <n v="0"/>
    <n v="23"/>
    <n v="0"/>
    <n v="9.2000000000000011"/>
    <n v="0"/>
    <n v="0"/>
    <n v="0"/>
    <n v="0"/>
    <m/>
    <n v="40.340000000000003"/>
    <n v="83.34"/>
    <s v="TL11"/>
    <s v="ToyoLiToyoLiToyoLiToyoLiToyoLiToyoLi"/>
    <s v="+"/>
    <s v="+"/>
    <s v="+"/>
    <s v="+"/>
    <s v="+"/>
    <s v="+"/>
    <s v="NIL"/>
    <s v="NIL"/>
    <b v="0"/>
  </r>
  <r>
    <d v="2026-01-03T00:00:00"/>
    <s v="B"/>
    <x v="11"/>
    <s v="TL12"/>
    <n v="768"/>
    <n v="42000"/>
    <s v="I"/>
    <s v="N"/>
    <n v="1.21"/>
    <s v="BLACK"/>
    <s v="G00376B"/>
    <s v="ToyoLi - BLACK"/>
    <n v="30"/>
    <n v="0"/>
    <m/>
    <m/>
    <n v="0"/>
    <s v="R92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8"/>
    <n v="0"/>
    <n v="12.833333333333336"/>
    <n v="0"/>
    <s v="GREEN"/>
    <m/>
    <s v="ToyoLi - GREEN"/>
    <m/>
    <n v="0"/>
    <m/>
    <m/>
    <n v="0"/>
    <n v="262"/>
    <s v="R39"/>
    <s v="R92"/>
    <s v="F23T"/>
    <m/>
    <m/>
    <m/>
    <m/>
    <n v="23"/>
    <n v="0"/>
    <n v="16"/>
    <n v="0"/>
    <n v="3"/>
    <n v="0"/>
    <n v="9"/>
    <n v="0"/>
    <m/>
    <n v="0"/>
    <m/>
    <n v="0"/>
    <m/>
    <n v="0"/>
    <m/>
    <n v="0"/>
    <s v="ToyoLi"/>
    <n v="38"/>
    <n v="0"/>
    <n v="60.833333333333329"/>
    <n v="0"/>
    <s v="RED"/>
    <m/>
    <s v="ToyoLi - RED"/>
    <m/>
    <n v="0"/>
    <m/>
    <m/>
    <n v="0"/>
    <s v="F121"/>
    <s v="F53"/>
    <m/>
    <m/>
    <m/>
    <m/>
    <m/>
    <m/>
    <n v="30"/>
    <n v="0"/>
    <n v="25"/>
    <n v="0"/>
    <m/>
    <n v="0"/>
    <m/>
    <n v="0"/>
    <m/>
    <n v="0"/>
    <m/>
    <n v="0"/>
    <m/>
    <n v="0"/>
    <m/>
    <n v="0"/>
    <s v="ToyoLi"/>
    <n v="25"/>
    <n v="0"/>
    <n v="81.25"/>
    <n v="0"/>
    <s v="CYAN"/>
    <s v="G00376C"/>
    <s v="ToyoLi - CYAN"/>
    <n v="28"/>
    <n v="0"/>
    <m/>
    <m/>
    <n v="0"/>
    <s v="R39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7"/>
    <n v="0"/>
    <n v="11.833333333333336"/>
    <n v="0"/>
    <s v="MAGENTA"/>
    <s v="G00376M"/>
    <s v="ToyoLi - MAGENTA"/>
    <n v="25"/>
    <n v="0"/>
    <m/>
    <m/>
    <n v="0"/>
    <s v="RTMD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6"/>
    <n v="0"/>
    <n v="32.333333333333329"/>
    <n v="0"/>
    <s v="YELLOW"/>
    <s v="G00376Y"/>
    <s v="ToyoLi - YELLOW"/>
    <n v="24"/>
    <n v="0"/>
    <m/>
    <m/>
    <n v="0"/>
    <s v="F23T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23"/>
    <n v="0"/>
    <n v="34.916666666666664"/>
    <n v="0"/>
    <s v="WHITE"/>
    <s v="B01041W"/>
    <s v="ToyoLi - WHITE"/>
    <n v="30"/>
    <n v="0"/>
    <m/>
    <m/>
    <n v="0"/>
    <s v="F640"/>
    <s v="HSLAS"/>
    <m/>
    <m/>
    <m/>
    <m/>
    <m/>
    <m/>
    <n v="120"/>
    <n v="0"/>
    <n v="9.5500000000000007"/>
    <n v="0"/>
    <m/>
    <n v="0"/>
    <m/>
    <n v="0"/>
    <m/>
    <n v="0"/>
    <m/>
    <n v="0"/>
    <m/>
    <n v="0"/>
    <m/>
    <n v="0"/>
    <s v="ToyoLi"/>
    <n v="30"/>
    <n v="0"/>
    <n v="334.5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4"/>
    <n v="15"/>
    <n v="2"/>
    <n v="8"/>
    <n v="7"/>
    <n v="60"/>
    <n v="0"/>
    <n v="0.3"/>
    <m/>
    <m/>
    <n v="0.5"/>
    <n v="0.2"/>
    <n v="0"/>
    <n v="369"/>
    <n v="0"/>
    <n v="0"/>
    <n v="369"/>
    <n v="369"/>
    <n v="110.7"/>
    <n v="0"/>
    <n v="0"/>
    <n v="0"/>
    <n v="0"/>
    <n v="0"/>
    <n v="184.5"/>
    <n v="0"/>
    <n v="73.8"/>
    <n v="0"/>
    <n v="0"/>
    <n v="0"/>
    <n v="0"/>
    <m/>
    <n v="259.55"/>
    <n v="568.54999999999995"/>
    <s v="TL12"/>
    <s v="ToyoLiToyoLiToyoLiToyoLiToyoLiToyoLiToyoLi"/>
    <s v="+"/>
    <s v="+"/>
    <s v="+"/>
    <s v="+"/>
    <s v="+"/>
    <s v="+"/>
    <s v="+"/>
    <s v="NIL"/>
    <b v="0"/>
  </r>
  <r>
    <d v="2026-01-03T00:00:00"/>
    <s v="B"/>
    <x v="12"/>
    <s v="TL13"/>
    <n v="683"/>
    <n v="32850"/>
    <s v="I"/>
    <s v="N"/>
    <n v="2.2400000000000002"/>
    <s v="RED"/>
    <s v="H01361R"/>
    <s v="ToyoLi - RED"/>
    <n v="29"/>
    <n v="0"/>
    <s v="N00761R/N00818R/P00434R/G00396R"/>
    <n v="73"/>
    <n v="0"/>
    <s v="F121"/>
    <s v="F53"/>
    <m/>
    <m/>
    <m/>
    <m/>
    <m/>
    <m/>
    <n v="60"/>
    <n v="0"/>
    <n v="50"/>
    <n v="0"/>
    <m/>
    <n v="0"/>
    <m/>
    <n v="0"/>
    <m/>
    <n v="0"/>
    <m/>
    <n v="0"/>
    <m/>
    <n v="0"/>
    <m/>
    <n v="0"/>
    <s v="ToyoLi"/>
    <n v="38"/>
    <n v="0"/>
    <n v="242.25"/>
    <n v="0"/>
    <s v="WHITE"/>
    <s v="G00396W"/>
    <s v="ToyoLi - WHITE"/>
    <n v="30"/>
    <n v="0"/>
    <m/>
    <m/>
    <n v="0"/>
    <s v="F640"/>
    <s v="HSLAS"/>
    <m/>
    <m/>
    <m/>
    <m/>
    <m/>
    <m/>
    <n v="100"/>
    <n v="0"/>
    <n v="8.2799999999999994"/>
    <n v="0"/>
    <m/>
    <n v="0"/>
    <m/>
    <n v="0"/>
    <m/>
    <n v="0"/>
    <m/>
    <n v="0"/>
    <m/>
    <n v="0"/>
    <m/>
    <n v="0"/>
    <s v="ToyoLi"/>
    <n v="25"/>
    <n v="0"/>
    <n v="318.0299999999999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0"/>
    <n v="60"/>
    <n v="0"/>
    <n v="0"/>
    <n v="0"/>
    <n v="0"/>
    <n v="0"/>
    <n v="0"/>
    <n v="0.3"/>
    <m/>
    <m/>
    <n v="0.5"/>
    <n v="0.2"/>
    <n v="0"/>
    <n v="273"/>
    <n v="0"/>
    <n v="0"/>
    <n v="273"/>
    <n v="273"/>
    <n v="81.899999999999991"/>
    <n v="0"/>
    <n v="0"/>
    <n v="0"/>
    <n v="0"/>
    <n v="0"/>
    <n v="136.5"/>
    <n v="0"/>
    <n v="54.6"/>
    <n v="0"/>
    <n v="0"/>
    <n v="0"/>
    <n v="0"/>
    <m/>
    <n v="218.28"/>
    <n v="560.28"/>
    <s v="TL13"/>
    <s v="ToyoLiToyoLi"/>
    <s v="+"/>
    <s v="+"/>
    <s v="NIL"/>
    <s v="NIL"/>
    <s v="NIL"/>
    <s v="NIL"/>
    <s v="NIL"/>
    <s v="NIL"/>
    <b v="0"/>
  </r>
  <r>
    <d v="2026-01-03T00:00:00"/>
    <s v="B"/>
    <x v="13"/>
    <s v="TL14"/>
    <n v="111"/>
    <n v="5700"/>
    <s v="I"/>
    <s v="N"/>
    <n v="1.8"/>
    <s v="BLACK"/>
    <s v="G00396B"/>
    <s v="ToyoLi - BLACK"/>
    <n v="28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3"/>
    <n v="0"/>
    <s v="REFLEX BLUE"/>
    <s v="H01300B"/>
    <s v="ToyoLi - REFLEX BLUE"/>
    <n v="18"/>
    <n v="0"/>
    <m/>
    <m/>
    <n v="0"/>
    <s v="R1205"/>
    <s v="R92"/>
    <m/>
    <m/>
    <m/>
    <m/>
    <m/>
    <m/>
    <n v="5"/>
    <n v="0"/>
    <n v="1"/>
    <n v="0"/>
    <m/>
    <n v="0"/>
    <m/>
    <n v="0"/>
    <m/>
    <n v="0"/>
    <m/>
    <n v="0"/>
    <m/>
    <n v="0"/>
    <m/>
    <n v="0"/>
    <s v="ToyoLi"/>
    <n v="25"/>
    <n v="0"/>
    <n v="4.4193548387096762"/>
    <n v="0"/>
    <s v="RED"/>
    <s v="G00375P"/>
    <s v="ToyoLi - RED"/>
    <n v="10"/>
    <n v="0"/>
    <s v="B01002P"/>
    <n v="12"/>
    <n v="0"/>
    <s v="RTMD"/>
    <s v="R1205"/>
    <s v="TP"/>
    <m/>
    <m/>
    <m/>
    <m/>
    <m/>
    <n v="2"/>
    <n v="0"/>
    <n v="0.5"/>
    <n v="0"/>
    <n v="3"/>
    <n v="0"/>
    <m/>
    <n v="0"/>
    <m/>
    <n v="0"/>
    <m/>
    <n v="0"/>
    <m/>
    <n v="0"/>
    <m/>
    <n v="0"/>
    <s v="ToyoLi"/>
    <n v="14"/>
    <n v="0"/>
    <n v="17.112903225806452"/>
    <n v="0"/>
    <s v="RED"/>
    <s v="L00293P"/>
    <s v="ToyoLi - RED"/>
    <n v="15"/>
    <n v="0"/>
    <m/>
    <m/>
    <n v="0"/>
    <s v="RTMD"/>
    <s v="F121"/>
    <s v="R1205"/>
    <m/>
    <m/>
    <m/>
    <m/>
    <m/>
    <n v="5"/>
    <n v="0"/>
    <n v="1"/>
    <n v="0"/>
    <n v="0.2"/>
    <n v="0"/>
    <m/>
    <n v="0"/>
    <m/>
    <n v="0"/>
    <m/>
    <n v="0"/>
    <m/>
    <n v="0"/>
    <m/>
    <n v="0"/>
    <s v="ToyoLi"/>
    <n v="20"/>
    <n v="0"/>
    <n v="8.4258064516129032"/>
    <n v="0"/>
    <s v="CYAN"/>
    <s v="G00396C"/>
    <s v="ToyoLi - CYAN"/>
    <n v="27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5.6129032258064484"/>
    <n v="0"/>
    <s v="MAGENTA"/>
    <s v="G00396M"/>
    <s v="ToyoLi - MAGENTA"/>
    <n v="26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5"/>
    <n v="0"/>
    <n v="5.8064516129032242"/>
    <n v="0"/>
    <s v="YELLOW"/>
    <s v="G00396Y"/>
    <s v="ToyoLi - YELLOW"/>
    <n v="23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6"/>
    <n v="0"/>
    <n v="9.2258064516129039"/>
    <n v="0"/>
    <s v="WHITE"/>
    <s v="B01032W"/>
    <s v="ToyoLi - WHITE"/>
    <n v="25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20"/>
    <n v="0"/>
    <n v="62.096774193548384"/>
    <n v="0"/>
    <n v="0"/>
    <n v="3"/>
    <n v="2"/>
    <n v="4"/>
    <n v="2"/>
    <n v="1"/>
    <n v="4"/>
    <n v="15"/>
    <n v="0.3"/>
    <m/>
    <m/>
    <n v="0.5"/>
    <n v="0.2"/>
    <n v="0"/>
    <n v="56"/>
    <n v="0"/>
    <n v="0"/>
    <n v="56"/>
    <n v="56"/>
    <n v="16.8"/>
    <n v="0"/>
    <n v="0"/>
    <n v="0"/>
    <n v="0"/>
    <n v="0"/>
    <n v="28"/>
    <n v="0"/>
    <n v="11.200000000000001"/>
    <n v="0"/>
    <n v="0"/>
    <n v="0"/>
    <n v="0"/>
    <m/>
    <n v="59.7"/>
    <n v="115.69999999999999"/>
    <s v="TL14"/>
    <s v="ToyoLiToyoLiToyoLiToyoLiToyoLiToyoLiToyoLiToyoLi"/>
    <s v="+"/>
    <s v="+"/>
    <s v="+"/>
    <s v="+"/>
    <s v="+"/>
    <s v="+"/>
    <s v="+"/>
    <s v="+"/>
    <b v="0"/>
  </r>
  <r>
    <d v="2026-01-04T00:00:00"/>
    <s v="A"/>
    <x v="14"/>
    <s v="TL15"/>
    <n v="113"/>
    <n v="5800"/>
    <s v="I"/>
    <s v="N"/>
    <n v="1.8"/>
    <s v="BLACK"/>
    <s v="J00950B"/>
    <s v="ToyoLi - BLACK"/>
    <n v="27"/>
    <n v="0"/>
    <m/>
    <m/>
    <n v="0"/>
    <s v="R92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6"/>
    <n v="0"/>
    <n v="3.0684931506849296"/>
    <n v="0"/>
    <s v="REFLEX BLUE"/>
    <s v="J00950B"/>
    <s v="ToyoLi - REFLEX BLUE"/>
    <n v="25"/>
    <n v="0"/>
    <m/>
    <m/>
    <n v="0"/>
    <s v="R1205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3"/>
    <n v="0"/>
    <n v="27.575342465753423"/>
    <n v="0"/>
    <s v="ORANGE"/>
    <m/>
    <s v="ToyoLi - ORANGE"/>
    <m/>
    <n v="0"/>
    <m/>
    <m/>
    <n v="0"/>
    <s v="F53"/>
    <s v="F23T"/>
    <s v="R92"/>
    <m/>
    <m/>
    <m/>
    <m/>
    <m/>
    <n v="15"/>
    <n v="0"/>
    <n v="10"/>
    <n v="0"/>
    <n v="0.2"/>
    <n v="0"/>
    <m/>
    <n v="0"/>
    <m/>
    <n v="0"/>
    <m/>
    <n v="0"/>
    <m/>
    <n v="0"/>
    <m/>
    <n v="0"/>
    <s v="ToyoLi"/>
    <n v="14"/>
    <n v="0"/>
    <n v="21.884931506849313"/>
    <n v="0"/>
    <s v="ORANGE"/>
    <s v="J00950O"/>
    <s v="ToyoLi - ORANGE"/>
    <n v="2"/>
    <n v="0"/>
    <m/>
    <m/>
    <n v="0"/>
    <s v="RTMD"/>
    <s v="F53"/>
    <s v="F32"/>
    <m/>
    <m/>
    <m/>
    <m/>
    <m/>
    <n v="17"/>
    <n v="0"/>
    <n v="3"/>
    <n v="0"/>
    <n v="1"/>
    <n v="0"/>
    <m/>
    <n v="0"/>
    <m/>
    <n v="0"/>
    <m/>
    <n v="0"/>
    <m/>
    <n v="0"/>
    <m/>
    <n v="0"/>
    <s v="ToyoLi"/>
    <n v="33"/>
    <n v="0"/>
    <n v="6.0273972602739718"/>
    <n v="0"/>
    <s v="CYAN"/>
    <s v="J00950C"/>
    <s v="ToyoLi - CYAN"/>
    <n v="27"/>
    <n v="0"/>
    <m/>
    <m/>
    <n v="0"/>
    <s v="R39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5"/>
    <n v="0"/>
    <n v="4.0684931506849296"/>
    <n v="0"/>
    <s v="MAGENTA"/>
    <s v="J00950M"/>
    <s v="ToyoLi - MAGENTA"/>
    <n v="25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2.0684931506849296"/>
    <n v="0"/>
    <s v="YELLOW"/>
    <s v="J00950Y"/>
    <s v="ToyoLi - YELLOW"/>
    <n v="26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5.1369863013698627"/>
    <n v="0"/>
    <s v="WHITE"/>
    <s v="J00950W"/>
    <s v="ToyoLi - WHITE"/>
    <n v="20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15"/>
    <n v="0"/>
    <n v="66.369863013698634"/>
    <n v="0"/>
    <n v="1"/>
    <n v="23"/>
    <n v="10"/>
    <n v="15"/>
    <n v="1"/>
    <n v="1"/>
    <n v="2"/>
    <n v="20"/>
    <n v="0.3"/>
    <m/>
    <m/>
    <n v="0.5"/>
    <n v="0.2"/>
    <n v="0"/>
    <n v="78"/>
    <n v="0"/>
    <n v="0"/>
    <n v="78"/>
    <n v="78"/>
    <n v="23.4"/>
    <n v="0"/>
    <n v="0"/>
    <n v="0"/>
    <n v="0"/>
    <n v="0"/>
    <n v="39"/>
    <n v="0"/>
    <n v="15.600000000000001"/>
    <n v="0"/>
    <n v="0"/>
    <n v="0"/>
    <n v="0"/>
    <m/>
    <n v="93.2"/>
    <n v="136.19999999999999"/>
    <s v="TL15"/>
    <s v="ToyoLiToyoLiToyoLiToyoLiToyoLiToyoLiToyoLiToyoLi"/>
    <s v="+"/>
    <s v="+"/>
    <s v="+"/>
    <s v="+"/>
    <s v="+"/>
    <s v="+"/>
    <s v="+"/>
    <s v="+"/>
    <b v="0"/>
  </r>
  <r>
    <d v="2026-01-04T00:00:00"/>
    <s v="A"/>
    <x v="15"/>
    <s v="TL16"/>
    <n v="109"/>
    <n v="5700"/>
    <s v="II"/>
    <s v="N"/>
    <n v="1.8"/>
    <s v="BLACK"/>
    <s v="J00951B"/>
    <s v="ToyoLi - BLACK"/>
    <n v="26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4"/>
    <n v="0"/>
    <n v="5.3653846153846168"/>
    <n v="0"/>
    <s v="REFLEX BLUE"/>
    <s v="P00446B"/>
    <s v="ToyoLi - REFLEX BLUE"/>
    <n v="10"/>
    <n v="0"/>
    <s v="H01300B"/>
    <n v="18"/>
    <n v="0"/>
    <s v="R1205"/>
    <s v="R39"/>
    <s v="Z822"/>
    <m/>
    <m/>
    <m/>
    <m/>
    <m/>
    <n v="20"/>
    <n v="0"/>
    <n v="5"/>
    <n v="0"/>
    <n v="2"/>
    <n v="0"/>
    <m/>
    <n v="0"/>
    <m/>
    <n v="0"/>
    <m/>
    <n v="0"/>
    <m/>
    <n v="0"/>
    <m/>
    <n v="0"/>
    <s v="ToyoLi"/>
    <n v="48"/>
    <n v="0"/>
    <n v="20.65384615384616"/>
    <n v="0"/>
    <s v="REFLEX BLUE"/>
    <s v="J00951B"/>
    <s v="ToyoLi - REFLEX BLUE"/>
    <n v="23"/>
    <n v="0"/>
    <m/>
    <m/>
    <n v="0"/>
    <s v="RTMD"/>
    <s v="R1205"/>
    <s v="R39"/>
    <m/>
    <m/>
    <m/>
    <m/>
    <m/>
    <n v="1"/>
    <n v="0"/>
    <n v="0.5"/>
    <n v="0"/>
    <n v="0.5"/>
    <n v="0"/>
    <m/>
    <n v="0"/>
    <m/>
    <n v="0"/>
    <m/>
    <n v="0"/>
    <m/>
    <n v="0"/>
    <m/>
    <n v="0"/>
    <s v="ToyoLi"/>
    <n v="23"/>
    <n v="0"/>
    <n v="4.7307692307692299"/>
    <n v="0"/>
    <s v="REFLEX BLUE"/>
    <m/>
    <s v="ToyoLi - REFLEX BLUE"/>
    <m/>
    <n v="0"/>
    <m/>
    <m/>
    <n v="0"/>
    <s v="RTMD"/>
    <s v="R1205"/>
    <s v="R39"/>
    <m/>
    <m/>
    <m/>
    <m/>
    <m/>
    <n v="15"/>
    <n v="0"/>
    <n v="2"/>
    <n v="0"/>
    <n v="1"/>
    <n v="0"/>
    <m/>
    <n v="0"/>
    <m/>
    <n v="0"/>
    <m/>
    <n v="0"/>
    <m/>
    <n v="0"/>
    <m/>
    <n v="0"/>
    <s v="ToyoLi"/>
    <n v="27"/>
    <n v="0"/>
    <n v="7.3846153846153868"/>
    <n v="0"/>
    <s v="CYAN"/>
    <s v="J00951C"/>
    <s v="ToyoLi - CYAN"/>
    <n v="25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3.7307692307692299"/>
    <n v="0"/>
    <s v="MAGENTA"/>
    <s v="J00951M"/>
    <s v="ToyoLi - MAGENTA"/>
    <n v="26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0"/>
    <n v="4.7307692307692299"/>
    <n v="0"/>
    <s v="YELLOW"/>
    <s v="J00951Y"/>
    <s v="ToyoLi - YELLOW"/>
    <n v="25"/>
    <n v="0"/>
    <m/>
    <m/>
    <n v="0"/>
    <s v="F23T"/>
    <s v="RTMD"/>
    <m/>
    <m/>
    <m/>
    <m/>
    <m/>
    <m/>
    <n v="5"/>
    <n v="0"/>
    <n v="2"/>
    <n v="0"/>
    <m/>
    <n v="0"/>
    <m/>
    <n v="0"/>
    <m/>
    <n v="0"/>
    <m/>
    <n v="0"/>
    <m/>
    <n v="0"/>
    <m/>
    <n v="0"/>
    <s v="ToyoLi"/>
    <n v="30"/>
    <n v="0"/>
    <n v="6.0961538461538467"/>
    <n v="0"/>
    <s v="WHITE"/>
    <s v="J00951W"/>
    <s v="ToyoLi - WHITE"/>
    <n v="15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20"/>
    <n v="0"/>
    <n v="62.307692307692307"/>
    <n v="0"/>
    <n v="1"/>
    <n v="10"/>
    <n v="2"/>
    <n v="12"/>
    <n v="2"/>
    <n v="2"/>
    <n v="3"/>
    <n v="20"/>
    <n v="0.3"/>
    <m/>
    <m/>
    <n v="0.5"/>
    <n v="0.2"/>
    <n v="0"/>
    <n v="71"/>
    <n v="0"/>
    <n v="0"/>
    <n v="71"/>
    <n v="71"/>
    <n v="21.3"/>
    <n v="0"/>
    <n v="0"/>
    <n v="0"/>
    <n v="0"/>
    <n v="0"/>
    <n v="35.5"/>
    <n v="0"/>
    <n v="14.200000000000001"/>
    <n v="0"/>
    <n v="0"/>
    <n v="0"/>
    <n v="0"/>
    <m/>
    <n v="98"/>
    <n v="115"/>
    <s v="TL16"/>
    <s v="ToyoLiToyoLiToyoLiToyoLiToyoLiToyoLiToyoLiToyoLi"/>
    <s v="+"/>
    <s v="+"/>
    <s v="+"/>
    <s v="+"/>
    <s v="+"/>
    <s v="+"/>
    <s v="+"/>
    <s v="+"/>
    <b v="0"/>
  </r>
  <r>
    <d v="2026-01-04T00:00:00"/>
    <s v="A"/>
    <x v="16"/>
    <s v="TL17"/>
    <n v="111"/>
    <n v="5700"/>
    <s v="I"/>
    <s v="N"/>
    <n v="1.8"/>
    <s v="BLACK"/>
    <s v="J00952B"/>
    <s v="ToyoLi - BLACK"/>
    <n v="24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5"/>
    <n v="0"/>
    <s v="REFLEX BLUE"/>
    <s v="J00952B"/>
    <s v="ToyoLi - REFLEX BLUE"/>
    <n v="23"/>
    <n v="0"/>
    <m/>
    <m/>
    <n v="0"/>
    <s v="R1205"/>
    <s v="R92"/>
    <s v="F23T"/>
    <m/>
    <m/>
    <m/>
    <m/>
    <m/>
    <n v="5"/>
    <n v="0"/>
    <n v="0.2"/>
    <n v="0"/>
    <n v="0.1"/>
    <n v="0"/>
    <m/>
    <n v="0"/>
    <m/>
    <n v="0"/>
    <m/>
    <n v="0"/>
    <m/>
    <n v="0"/>
    <m/>
    <n v="0"/>
    <s v="ToyoLi"/>
    <n v="20"/>
    <n v="0"/>
    <n v="12.299999999999997"/>
    <n v="0"/>
    <s v="GREEN"/>
    <s v="H01300G"/>
    <s v="ToyoLi - GREEN"/>
    <n v="18"/>
    <n v="0"/>
    <s v="N00706G"/>
    <n v="14"/>
    <n v="0"/>
    <s v="F23T"/>
    <s v="R79"/>
    <m/>
    <m/>
    <m/>
    <m/>
    <m/>
    <m/>
    <n v="5"/>
    <n v="0"/>
    <n v="5"/>
    <n v="0"/>
    <m/>
    <n v="0"/>
    <m/>
    <n v="0"/>
    <m/>
    <n v="0"/>
    <m/>
    <n v="0"/>
    <m/>
    <n v="0"/>
    <m/>
    <n v="0"/>
    <s v="ToyoLi"/>
    <n v="24"/>
    <n v="0"/>
    <n v="22"/>
    <n v="0"/>
    <s v="GREEN"/>
    <s v="J00750G"/>
    <s v="ToyoLi - GREEN"/>
    <n v="10"/>
    <n v="0"/>
    <m/>
    <m/>
    <n v="0"/>
    <s v="R79"/>
    <s v="F23T"/>
    <m/>
    <m/>
    <m/>
    <m/>
    <m/>
    <m/>
    <n v="7"/>
    <n v="0"/>
    <n v="6"/>
    <n v="0"/>
    <m/>
    <n v="0"/>
    <m/>
    <n v="0"/>
    <m/>
    <n v="0"/>
    <m/>
    <n v="0"/>
    <m/>
    <n v="0"/>
    <m/>
    <n v="0"/>
    <s v="ToyoLi"/>
    <n v="25"/>
    <n v="0"/>
    <n v="8"/>
    <n v="0"/>
    <s v="CYAN"/>
    <s v="J00952C"/>
    <s v="ToyoLi - CYAN"/>
    <n v="26"/>
    <n v="0"/>
    <m/>
    <m/>
    <n v="0"/>
    <s v="R39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7"/>
    <n v="0"/>
    <n v="4"/>
    <n v="0"/>
    <s v="MAGENTA"/>
    <s v="J00952M"/>
    <s v="ToyoLi - MAGENTA"/>
    <n v="24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0"/>
    <n v="5"/>
    <n v="0"/>
    <s v="YELLOW"/>
    <s v="J00952Y"/>
    <s v="ToyoLi - YELLOW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0"/>
    <n v="6"/>
    <n v="0"/>
    <s v="WHITE"/>
    <s v="J00952W"/>
    <s v="ToyoLi - WHITE"/>
    <n v="20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20"/>
    <n v="0"/>
    <n v="76"/>
    <n v="0"/>
    <n v="2"/>
    <n v="2"/>
    <n v="2"/>
    <n v="5"/>
    <n v="2"/>
    <n v="3"/>
    <n v="2"/>
    <n v="18"/>
    <n v="0.3"/>
    <m/>
    <m/>
    <n v="0.5"/>
    <n v="0.2"/>
    <n v="0"/>
    <n v="72"/>
    <n v="0"/>
    <n v="0"/>
    <n v="72"/>
    <n v="72"/>
    <n v="21.599999999999998"/>
    <n v="0"/>
    <n v="0"/>
    <n v="0"/>
    <n v="0"/>
    <n v="0"/>
    <n v="36"/>
    <n v="0"/>
    <n v="14.4"/>
    <n v="0"/>
    <n v="0"/>
    <n v="0"/>
    <n v="0"/>
    <m/>
    <n v="71.3"/>
    <n v="138.30000000000001"/>
    <s v="TL17"/>
    <s v="ToyoLiToyoLiToyoLiToyoLiToyoLiToyoLiToyoLiToyoLi"/>
    <s v="+"/>
    <s v="+"/>
    <s v="+"/>
    <s v="+"/>
    <s v="+"/>
    <s v="+"/>
    <s v="+"/>
    <s v="+"/>
    <b v="0"/>
  </r>
  <r>
    <d v="2026-01-04T00:00:00"/>
    <s v="A"/>
    <x v="17"/>
    <s v="TL18"/>
    <n v="82"/>
    <n v="4200"/>
    <s v="I"/>
    <s v="N"/>
    <n v="1.7"/>
    <s v="BLACK"/>
    <s v="J00953B"/>
    <s v="ToyoLi - BLACK"/>
    <n v="25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2.4651162790697683"/>
    <n v="0"/>
    <s v="RED"/>
    <m/>
    <s v="ToyoLi - RED"/>
    <m/>
    <n v="0"/>
    <m/>
    <m/>
    <n v="0"/>
    <s v="F121"/>
    <s v="F53"/>
    <s v="R92"/>
    <s v="F23T"/>
    <m/>
    <m/>
    <m/>
    <m/>
    <n v="4"/>
    <n v="0"/>
    <n v="4"/>
    <n v="0"/>
    <n v="0.5"/>
    <n v="0"/>
    <n v="6"/>
    <n v="0"/>
    <m/>
    <n v="0"/>
    <m/>
    <n v="0"/>
    <m/>
    <n v="0"/>
    <m/>
    <n v="0"/>
    <s v="ToyoLi"/>
    <n v="20"/>
    <n v="0"/>
    <n v="6.8255813953488378"/>
    <n v="0"/>
    <s v="CYAN"/>
    <s v="J00953C"/>
    <s v="ToyoLi - CYAN"/>
    <n v="27"/>
    <n v="0"/>
    <m/>
    <m/>
    <n v="0"/>
    <s v="RTMD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9"/>
    <n v="0"/>
    <n v="3.4651162790697683"/>
    <n v="0"/>
    <s v="MAGENTA"/>
    <s v="J00953M"/>
    <s v="ToyoLi - MAGENTA"/>
    <n v="25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3"/>
    <n v="0"/>
    <n v="2"/>
    <n v="0"/>
    <s v="YELLOW"/>
    <s v="J00953Y"/>
    <s v="ToyoLi - YELLOW"/>
    <n v="28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4.4651162790697683"/>
    <n v="0"/>
    <s v="MEDIUM"/>
    <m/>
    <s v="ToyoLi - MEDIUM"/>
    <m/>
    <n v="0"/>
    <m/>
    <m/>
    <n v="0"/>
    <s v="F640"/>
    <s v="RTMD"/>
    <s v="F23T"/>
    <s v="F53"/>
    <m/>
    <m/>
    <m/>
    <m/>
    <n v="10"/>
    <n v="0"/>
    <n v="6"/>
    <n v="0"/>
    <n v="0.2"/>
    <n v="0"/>
    <n v="0.1"/>
    <n v="0"/>
    <m/>
    <n v="0"/>
    <m/>
    <n v="0"/>
    <m/>
    <n v="0"/>
    <m/>
    <n v="0"/>
    <s v="ToyoLi"/>
    <n v="22"/>
    <n v="0"/>
    <n v="9.0906976744186068"/>
    <n v="0"/>
    <s v="WHITE"/>
    <s v="J00983W"/>
    <s v="ToyoLi - WHITE"/>
    <n v="20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20"/>
    <n v="0"/>
    <n v="48.48837209302325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2"/>
    <n v="0"/>
    <n v="2"/>
    <n v="12"/>
    <n v="15"/>
    <n v="0"/>
    <n v="0.3"/>
    <m/>
    <m/>
    <n v="0.5"/>
    <n v="0.2"/>
    <n v="0"/>
    <n v="53"/>
    <n v="0"/>
    <n v="0"/>
    <n v="53"/>
    <n v="53"/>
    <n v="15.899999999999999"/>
    <n v="0"/>
    <n v="0"/>
    <n v="0"/>
    <n v="0"/>
    <n v="0"/>
    <n v="26.5"/>
    <n v="0"/>
    <n v="10.600000000000001"/>
    <n v="0"/>
    <n v="0"/>
    <n v="0"/>
    <n v="0"/>
    <m/>
    <n v="67.800000000000011"/>
    <n v="76.800000000000011"/>
    <s v="TL18"/>
    <s v="ToyoLiToyoLiToyoLiToyoLiToyoLiToyoLiToyoLi"/>
    <s v="+"/>
    <s v="+"/>
    <s v="+"/>
    <s v="+"/>
    <s v="+"/>
    <s v="+"/>
    <s v="+"/>
    <s v="NIL"/>
    <b v="0"/>
  </r>
  <r>
    <d v="2026-01-04T00:00:00"/>
    <s v="A"/>
    <x v="18"/>
    <s v="TL19"/>
    <n v="36"/>
    <n v="1700"/>
    <s v="I"/>
    <s v="N"/>
    <n v="0.5"/>
    <s v="BLACK"/>
    <s v="J00954B"/>
    <s v="ToyoLi - BLACK"/>
    <n v="27"/>
    <n v="0"/>
    <m/>
    <m/>
    <n v="0"/>
    <s v="R92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4"/>
    <n v="0"/>
    <n v="19"/>
    <n v="0"/>
    <s v="CYAN"/>
    <s v="J00954C"/>
    <s v="ToyoLi - CYAN"/>
    <n v="29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2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0"/>
    <n v="0"/>
    <n v="0"/>
    <n v="0"/>
    <n v="0"/>
    <n v="0"/>
    <n v="0.3"/>
    <m/>
    <m/>
    <n v="0.5"/>
    <n v="0.2"/>
    <n v="0"/>
    <n v="30"/>
    <n v="0"/>
    <n v="0"/>
    <n v="30"/>
    <n v="30"/>
    <n v="9"/>
    <n v="0"/>
    <n v="0"/>
    <n v="0"/>
    <n v="0"/>
    <n v="0"/>
    <n v="15"/>
    <n v="0"/>
    <n v="6"/>
    <n v="0"/>
    <n v="0"/>
    <n v="0"/>
    <n v="0"/>
    <m/>
    <n v="3"/>
    <n v="40"/>
    <s v="TL19"/>
    <s v="ToyoLiToyoLi"/>
    <s v="+"/>
    <s v="+"/>
    <s v="NIL"/>
    <s v="NIL"/>
    <s v="NIL"/>
    <s v="NIL"/>
    <s v="NIL"/>
    <s v="NIL"/>
    <b v="0"/>
  </r>
  <r>
    <d v="2026-01-04T00:00:00"/>
    <s v="A"/>
    <x v="19"/>
    <s v="TL20"/>
    <n v="72"/>
    <n v="3400"/>
    <s v="I"/>
    <s v="N"/>
    <n v="0.5"/>
    <s v="BLACK"/>
    <s v="C01392B"/>
    <s v="ToyoLi - BLACK"/>
    <n v="24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3"/>
    <n v="0"/>
    <n v="10.5"/>
    <n v="0"/>
    <s v="YELLOW"/>
    <s v="J00954Y"/>
    <s v="ToyoLi - YELLOW"/>
    <n v="28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4"/>
    <n v="0"/>
    <n v="31.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n v="3"/>
    <n v="0"/>
    <n v="0"/>
    <n v="0"/>
    <n v="0"/>
    <n v="0"/>
    <n v="0"/>
    <n v="0.3"/>
    <m/>
    <m/>
    <n v="0.5"/>
    <n v="0.2"/>
    <n v="0"/>
    <n v="30"/>
    <n v="0"/>
    <n v="0"/>
    <n v="30"/>
    <n v="30"/>
    <n v="9"/>
    <n v="0"/>
    <n v="0"/>
    <n v="0"/>
    <n v="0"/>
    <n v="0"/>
    <n v="15"/>
    <n v="0"/>
    <n v="6"/>
    <n v="0"/>
    <n v="0"/>
    <n v="0"/>
    <n v="0"/>
    <m/>
    <n v="7"/>
    <n v="42"/>
    <s v="TL20"/>
    <s v="ToyoLiToyoLi"/>
    <s v="+"/>
    <s v="+"/>
    <s v="NIL"/>
    <s v="NIL"/>
    <s v="NIL"/>
    <s v="NIL"/>
    <s v="NIL"/>
    <s v="NIL"/>
    <b v="0"/>
  </r>
  <r>
    <d v="2026-01-04T00:00:00"/>
    <s v="A"/>
    <x v="20"/>
    <s v="TL21"/>
    <n v="138"/>
    <n v="8800"/>
    <s v="I"/>
    <s v="N"/>
    <n v="1.1000000000000001"/>
    <s v="BLACK"/>
    <s v="C01390B"/>
    <s v="ToyoLi - BLACK"/>
    <n v="23"/>
    <n v="0"/>
    <m/>
    <m/>
    <n v="0"/>
    <s v="RTMD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6"/>
    <n v="0"/>
    <n v="3.3658536585365866"/>
    <n v="0"/>
    <s v="REFLEX BLUE"/>
    <s v="J00952B"/>
    <s v="ToyoLi - REFLEX BLUE"/>
    <n v="11"/>
    <n v="0"/>
    <m/>
    <m/>
    <n v="0"/>
    <s v="R1205"/>
    <s v="R39"/>
    <m/>
    <m/>
    <m/>
    <m/>
    <m/>
    <m/>
    <n v="10"/>
    <n v="0"/>
    <n v="4"/>
    <n v="0"/>
    <m/>
    <n v="0"/>
    <m/>
    <n v="0"/>
    <m/>
    <n v="0"/>
    <m/>
    <n v="0"/>
    <m/>
    <n v="0"/>
    <m/>
    <n v="0"/>
    <s v="ToyoLi"/>
    <n v="28"/>
    <n v="0"/>
    <n v="10.463414634146346"/>
    <n v="0"/>
    <s v="RED"/>
    <s v="J00954R"/>
    <s v="ToyoLi - RED"/>
    <n v="20"/>
    <n v="0"/>
    <m/>
    <m/>
    <n v="0"/>
    <s v="F32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7"/>
    <n v="0"/>
    <n v="4.0487804878048763"/>
    <n v="0"/>
    <s v="GREEN"/>
    <m/>
    <s v="ToyoLi - GREEN"/>
    <m/>
    <n v="0"/>
    <m/>
    <m/>
    <n v="0"/>
    <s v="F23T"/>
    <s v="R79"/>
    <m/>
    <m/>
    <m/>
    <m/>
    <m/>
    <m/>
    <n v="15"/>
    <n v="0"/>
    <n v="3"/>
    <n v="0"/>
    <m/>
    <n v="0"/>
    <m/>
    <n v="0"/>
    <m/>
    <n v="0"/>
    <m/>
    <n v="0"/>
    <m/>
    <n v="0"/>
    <m/>
    <n v="0"/>
    <s v="ToyoLi"/>
    <n v="25"/>
    <n v="0"/>
    <n v="6.4634146341463428"/>
    <n v="0"/>
    <s v="CYAN"/>
    <s v="C01392C"/>
    <s v="ToyoLi - CYAN"/>
    <n v="25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4.0487804878048763"/>
    <n v="0"/>
    <s v="MAGENTA"/>
    <s v="J00954M"/>
    <s v="ToyoLi - MAGENTA"/>
    <n v="23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3.3658536585365866"/>
    <n v="0"/>
    <s v="YELLOW"/>
    <s v="C01390Y"/>
    <s v="ToyoLi - YELLOW"/>
    <n v="24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2"/>
    <n v="0"/>
    <n v="5.4146341463414629"/>
    <n v="0"/>
    <s v="WHITE"/>
    <s v="J00954W"/>
    <s v="ToyoLi - WHITE"/>
    <n v="20"/>
    <n v="0"/>
    <m/>
    <m/>
    <n v="0"/>
    <s v="F640"/>
    <s v="HSLAS"/>
    <m/>
    <m/>
    <m/>
    <m/>
    <m/>
    <m/>
    <n v="20"/>
    <n v="0"/>
    <n v="4.29"/>
    <n v="0"/>
    <m/>
    <n v="0"/>
    <m/>
    <n v="0"/>
    <m/>
    <n v="0"/>
    <m/>
    <n v="0"/>
    <m/>
    <n v="0"/>
    <m/>
    <n v="0"/>
    <s v="ToyoLi"/>
    <n v="20"/>
    <n v="0"/>
    <n v="41.119268292682925"/>
    <n v="0"/>
    <n v="2"/>
    <n v="8"/>
    <n v="3"/>
    <n v="8"/>
    <n v="3"/>
    <n v="2"/>
    <n v="5"/>
    <n v="10"/>
    <n v="0.3"/>
    <m/>
    <m/>
    <n v="0.5"/>
    <n v="0.2"/>
    <n v="0"/>
    <n v="69"/>
    <n v="0"/>
    <n v="0"/>
    <n v="69"/>
    <n v="69"/>
    <n v="20.7"/>
    <n v="0"/>
    <n v="0"/>
    <n v="0"/>
    <n v="0"/>
    <n v="0"/>
    <n v="34.5"/>
    <n v="0"/>
    <n v="13.8"/>
    <n v="0"/>
    <n v="0"/>
    <n v="0"/>
    <n v="0"/>
    <m/>
    <n v="74.290000000000006"/>
    <n v="78.289999999999992"/>
    <s v="TL21"/>
    <s v="ToyoLiToyoLiToyoLiToyoLiToyoLiToyoLiToyoLiToyoLi"/>
    <s v="+"/>
    <s v="+"/>
    <s v="+"/>
    <s v="+"/>
    <s v="+"/>
    <s v="+"/>
    <s v="+"/>
    <s v="+"/>
    <b v="0"/>
  </r>
  <r>
    <d v="2026-01-04T00:00:00"/>
    <s v="B"/>
    <x v="21"/>
    <s v="TL22"/>
    <n v="379"/>
    <n v="26200"/>
    <s v="I"/>
    <s v="N"/>
    <n v="1.32"/>
    <s v="BLACK"/>
    <s v="B01043B"/>
    <s v="ToyoLi - BLACK"/>
    <n v="26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7"/>
    <n v="0"/>
    <n v="7.8965517241379288"/>
    <n v="0"/>
    <s v="REFLEX BLUE"/>
    <s v="B01043B"/>
    <s v="ToyoLi - REFLEX BLUE"/>
    <n v="10"/>
    <n v="0"/>
    <m/>
    <m/>
    <n v="0"/>
    <s v="Z822"/>
    <s v="F121"/>
    <s v="R1205"/>
    <m/>
    <m/>
    <m/>
    <m/>
    <m/>
    <n v="9"/>
    <n v="0"/>
    <n v="7"/>
    <n v="0"/>
    <n v="2"/>
    <n v="0"/>
    <m/>
    <n v="0"/>
    <m/>
    <n v="0"/>
    <m/>
    <n v="0"/>
    <m/>
    <n v="0"/>
    <m/>
    <n v="0"/>
    <s v="ToyoLi"/>
    <n v="24"/>
    <n v="0"/>
    <n v="24.637931034482762"/>
    <n v="0"/>
    <s v="CYAN"/>
    <s v="B01043C"/>
    <s v="ToyoLi - CYAN"/>
    <n v="28"/>
    <n v="0"/>
    <m/>
    <m/>
    <n v="0"/>
    <s v="R39"/>
    <s v="RTMD"/>
    <m/>
    <m/>
    <m/>
    <m/>
    <m/>
    <m/>
    <n v="3"/>
    <n v="0"/>
    <n v="4"/>
    <n v="0"/>
    <m/>
    <n v="0"/>
    <m/>
    <n v="0"/>
    <m/>
    <n v="0"/>
    <m/>
    <n v="0"/>
    <m/>
    <n v="0"/>
    <m/>
    <n v="0"/>
    <s v="ToyoLi"/>
    <n v="30"/>
    <n v="0"/>
    <n v="16.793103448275858"/>
    <n v="0"/>
    <s v="MAGENTA"/>
    <s v="B01043M"/>
    <s v="ToyoLi - MAGENTA"/>
    <n v="25"/>
    <n v="0"/>
    <m/>
    <m/>
    <n v="0"/>
    <s v="F121"/>
    <s v="RTMD"/>
    <m/>
    <m/>
    <m/>
    <m/>
    <m/>
    <m/>
    <n v="5"/>
    <n v="0"/>
    <n v="4"/>
    <n v="0"/>
    <m/>
    <n v="0"/>
    <m/>
    <n v="0"/>
    <m/>
    <n v="0"/>
    <m/>
    <n v="0"/>
    <m/>
    <n v="0"/>
    <m/>
    <n v="0"/>
    <s v="ToyoLi"/>
    <n v="28"/>
    <n v="0"/>
    <n v="20.741379310344826"/>
    <n v="0"/>
    <s v="YELLOW"/>
    <s v="B01043U"/>
    <s v="ToyoLi - YELLOW"/>
    <n v="32"/>
    <n v="0"/>
    <m/>
    <m/>
    <n v="0"/>
    <s v="F23T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6"/>
    <n v="0"/>
    <n v="26.741379310344826"/>
    <n v="0"/>
    <s v="GOLD"/>
    <s v="H01203G"/>
    <s v="INK PRODUCT - GOLD"/>
    <n v="36"/>
    <n v="0"/>
    <m/>
    <m/>
    <n v="0"/>
    <n v="70271"/>
    <n v="165"/>
    <m/>
    <m/>
    <m/>
    <m/>
    <m/>
    <m/>
    <n v="60"/>
    <n v="0"/>
    <n v="2.34"/>
    <n v="0"/>
    <m/>
    <n v="0"/>
    <m/>
    <n v="0"/>
    <m/>
    <n v="0"/>
    <m/>
    <n v="0"/>
    <m/>
    <n v="0"/>
    <m/>
    <n v="0"/>
    <s v="INK PRODUCT"/>
    <n v="30"/>
    <n v="0"/>
    <n v="112.56413793103448"/>
    <n v="0"/>
    <s v="WHITE"/>
    <s v="B01043W"/>
    <s v="ToyoLi - WHITE"/>
    <n v="20"/>
    <n v="0"/>
    <m/>
    <m/>
    <n v="0"/>
    <s v="F640"/>
    <s v="HSLAS"/>
    <m/>
    <m/>
    <m/>
    <m/>
    <m/>
    <m/>
    <n v="40"/>
    <n v="0"/>
    <n v="4.5999999999999996"/>
    <n v="0"/>
    <m/>
    <n v="0"/>
    <m/>
    <n v="0"/>
    <m/>
    <n v="0"/>
    <m/>
    <n v="0"/>
    <m/>
    <n v="0"/>
    <m/>
    <n v="0"/>
    <s v="ToyoLi"/>
    <n v="25"/>
    <n v="0"/>
    <n v="98.56551724137931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7"/>
    <n v="4"/>
    <n v="5"/>
    <n v="5"/>
    <n v="15"/>
    <n v="20"/>
    <n v="0"/>
    <n v="0.3"/>
    <m/>
    <m/>
    <n v="0.5"/>
    <n v="0.2"/>
    <n v="0"/>
    <n v="171"/>
    <n v="0"/>
    <n v="0"/>
    <n v="171"/>
    <n v="171"/>
    <n v="51.3"/>
    <n v="0"/>
    <n v="0"/>
    <n v="0"/>
    <n v="0"/>
    <n v="0"/>
    <n v="85.5"/>
    <n v="0"/>
    <n v="34.200000000000003"/>
    <n v="0"/>
    <n v="0"/>
    <n v="0"/>
    <n v="0"/>
    <m/>
    <n v="149.94"/>
    <n v="307.94"/>
    <s v="TL22"/>
    <s v="ToyoLiToyoLiToyoLiToyoLiToyoLiINK PRODUCTToyoLi"/>
    <s v="+"/>
    <s v="+"/>
    <s v="+"/>
    <s v="+"/>
    <s v="+"/>
    <s v="+"/>
    <s v="+"/>
    <s v="NIL"/>
    <b v="0"/>
  </r>
  <r>
    <d v="2026-01-04T00:00:00"/>
    <s v="B"/>
    <x v="22"/>
    <s v="TL22"/>
    <n v="84"/>
    <n v="4500"/>
    <s v="I"/>
    <s v="N"/>
    <n v="1.25"/>
    <s v="BLACK"/>
    <s v="F00834B"/>
    <s v="ToyoLi - BLACK"/>
    <n v="27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4.5862068965517224"/>
    <n v="0"/>
    <s v="REFLEX BLUE"/>
    <s v="R00009RB"/>
    <s v="ToyoLi - REFLEX BLUE"/>
    <n v="15"/>
    <n v="0"/>
    <m/>
    <m/>
    <n v="0"/>
    <s v="F121"/>
    <s v="R1205"/>
    <s v="R92"/>
    <m/>
    <m/>
    <m/>
    <m/>
    <m/>
    <n v="10"/>
    <n v="0"/>
    <n v="3"/>
    <n v="0"/>
    <n v="1"/>
    <n v="0"/>
    <m/>
    <n v="0"/>
    <m/>
    <n v="0"/>
    <m/>
    <n v="0"/>
    <m/>
    <n v="0"/>
    <m/>
    <n v="0"/>
    <s v="ToyoLi"/>
    <n v="20"/>
    <n v="0"/>
    <n v="16.931034482758619"/>
    <n v="0"/>
    <s v="RED"/>
    <s v="B01043R"/>
    <s v="ToyoLi - RED"/>
    <n v="27"/>
    <n v="0"/>
    <m/>
    <m/>
    <n v="0"/>
    <s v="F32"/>
    <s v="F53"/>
    <m/>
    <m/>
    <m/>
    <m/>
    <m/>
    <m/>
    <n v="3"/>
    <n v="0"/>
    <n v="3"/>
    <n v="0"/>
    <m/>
    <n v="0"/>
    <m/>
    <n v="0"/>
    <m/>
    <n v="0"/>
    <m/>
    <n v="0"/>
    <m/>
    <n v="0"/>
    <m/>
    <n v="0"/>
    <s v="ToyoLi"/>
    <n v="33"/>
    <n v="0"/>
    <n v="7.9310344827586192"/>
    <n v="0"/>
    <s v="CYAN"/>
    <s v="F00834C"/>
    <s v="ToyoLi - CYAN"/>
    <n v="30"/>
    <n v="0"/>
    <m/>
    <m/>
    <n v="0"/>
    <s v="R39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30"/>
    <n v="0"/>
    <n v="4.1724137931034448"/>
    <n v="0"/>
    <s v="MAGENTA"/>
    <s v="F00834M"/>
    <s v="ToyoLi - MAGENTA"/>
    <n v="28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5.1724137931034448"/>
    <n v="0"/>
    <s v="YELLOW"/>
    <s v="F00834Y"/>
    <s v="ToyoLi - YELLOW"/>
    <n v="26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3.1724137931034484"/>
    <n v="0"/>
    <s v="GOLD"/>
    <s v="F00848G"/>
    <s v="ToyoLi - GOLD"/>
    <n v="20"/>
    <n v="0"/>
    <m/>
    <m/>
    <n v="0"/>
    <s v="TLSI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0"/>
    <n v="0"/>
    <n v="5.1724137931034484"/>
    <n v="0"/>
    <s v="WHITE"/>
    <s v="F00834W"/>
    <s v="ToyoLi - WHITE"/>
    <n v="25"/>
    <n v="0"/>
    <m/>
    <m/>
    <n v="0"/>
    <s v="F640"/>
    <m/>
    <m/>
    <m/>
    <m/>
    <m/>
    <m/>
    <m/>
    <n v="20"/>
    <n v="0"/>
    <m/>
    <n v="0"/>
    <m/>
    <n v="0"/>
    <m/>
    <n v="0"/>
    <m/>
    <n v="0"/>
    <m/>
    <n v="0"/>
    <m/>
    <n v="0"/>
    <m/>
    <n v="0"/>
    <s v="ToyoLi"/>
    <n v="30"/>
    <n v="0"/>
    <n v="30.862068965517238"/>
    <n v="0"/>
    <n v="1"/>
    <n v="5"/>
    <n v="5"/>
    <n v="2"/>
    <n v="2"/>
    <n v="2"/>
    <n v="2"/>
    <n v="10"/>
    <n v="0.3"/>
    <m/>
    <m/>
    <n v="0.5"/>
    <n v="0.2"/>
    <n v="0"/>
    <n v="46"/>
    <n v="0"/>
    <n v="0"/>
    <n v="46"/>
    <n v="46"/>
    <n v="13.799999999999999"/>
    <n v="0"/>
    <n v="0"/>
    <n v="0"/>
    <n v="0"/>
    <n v="0"/>
    <n v="23"/>
    <n v="0"/>
    <n v="9.2000000000000011"/>
    <n v="0"/>
    <n v="0"/>
    <n v="0"/>
    <n v="0"/>
    <m/>
    <n v="49"/>
    <n v="77.999999999999986"/>
    <s v="TL22"/>
    <s v="ToyoLiToyoLiToyoLiToyoLiToyoLiToyoLiToyoLiToyoLi"/>
    <s v="+"/>
    <s v="+"/>
    <s v="+"/>
    <s v="+"/>
    <s v="+"/>
    <s v="+"/>
    <s v="+"/>
    <s v="+"/>
    <b v="0"/>
  </r>
  <r>
    <d v="2026-01-04T00:00:00"/>
    <s v="B"/>
    <x v="23"/>
    <s v="TL23"/>
    <n v="161"/>
    <n v="8600"/>
    <s v="I"/>
    <s v="N"/>
    <n v="1.99"/>
    <s v="BLACK"/>
    <s v="F00851B"/>
    <s v="ToyoLi - BLACK"/>
    <n v="26"/>
    <n v="0"/>
    <m/>
    <m/>
    <n v="0"/>
    <s v="R92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33"/>
    <n v="0"/>
    <n v="7.8043478260869534"/>
    <n v="0"/>
    <s v="CYAN"/>
    <s v="F00851C"/>
    <s v="ToyoLi - CYAN"/>
    <n v="30"/>
    <n v="0"/>
    <m/>
    <m/>
    <n v="0"/>
    <s v="R39"/>
    <s v="RTMD"/>
    <m/>
    <m/>
    <m/>
    <m/>
    <m/>
    <m/>
    <n v="6"/>
    <n v="0"/>
    <n v="4"/>
    <n v="0"/>
    <m/>
    <n v="0"/>
    <m/>
    <n v="0"/>
    <m/>
    <n v="0"/>
    <m/>
    <n v="0"/>
    <m/>
    <n v="0"/>
    <m/>
    <n v="0"/>
    <s v="ToyoLi"/>
    <n v="40"/>
    <n v="0"/>
    <n v="8.8043478260869534"/>
    <n v="0"/>
    <s v="MAGENTA"/>
    <s v="F00851M"/>
    <s v="ToyoLi - MAGENTA"/>
    <n v="28"/>
    <n v="0"/>
    <m/>
    <m/>
    <n v="0"/>
    <s v="F121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30"/>
    <n v="0"/>
    <n v="9.0434782608695627"/>
    <n v="0"/>
    <s v="YELLOW"/>
    <s v="F00851Y"/>
    <s v="ToyoLi - YELLOW"/>
    <n v="28"/>
    <n v="0"/>
    <m/>
    <m/>
    <n v="0"/>
    <s v="F23T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7"/>
    <n v="0"/>
    <n v="8.5217391304347814"/>
    <n v="0"/>
    <s v="GREEN"/>
    <m/>
    <s v="ToyoLi - GREEN"/>
    <m/>
    <n v="0"/>
    <m/>
    <m/>
    <n v="0"/>
    <s v="F23T"/>
    <s v="R79"/>
    <s v="R39"/>
    <m/>
    <m/>
    <m/>
    <m/>
    <m/>
    <n v="33"/>
    <n v="0"/>
    <n v="2"/>
    <n v="0"/>
    <n v="0.5"/>
    <n v="0"/>
    <m/>
    <n v="0"/>
    <m/>
    <n v="0"/>
    <m/>
    <n v="0"/>
    <m/>
    <n v="0"/>
    <m/>
    <n v="0"/>
    <s v="ToyoLi"/>
    <n v="34"/>
    <n v="0"/>
    <n v="19.108695652173914"/>
    <n v="0"/>
    <s v="WHITE"/>
    <s v="F00851W"/>
    <s v="ToyoLi - WHITE"/>
    <n v="30"/>
    <n v="0"/>
    <m/>
    <m/>
    <n v="0"/>
    <s v="F640"/>
    <s v="HSLAS"/>
    <m/>
    <m/>
    <m/>
    <m/>
    <m/>
    <m/>
    <n v="40"/>
    <n v="0"/>
    <n v="5.0999999999999996"/>
    <n v="0"/>
    <m/>
    <n v="0"/>
    <m/>
    <n v="0"/>
    <m/>
    <n v="0"/>
    <m/>
    <n v="0"/>
    <m/>
    <n v="0"/>
    <m/>
    <n v="0"/>
    <s v="ToyoLi"/>
    <n v="25"/>
    <n v="0"/>
    <n v="85.31739130434782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4"/>
    <n v="2"/>
    <n v="10"/>
    <n v="20"/>
    <n v="0"/>
    <n v="0"/>
    <n v="0.3"/>
    <m/>
    <m/>
    <n v="0.5"/>
    <n v="0.2"/>
    <n v="0"/>
    <n v="81"/>
    <n v="0"/>
    <n v="0"/>
    <n v="81"/>
    <n v="81"/>
    <n v="24.3"/>
    <n v="0"/>
    <n v="0"/>
    <n v="0"/>
    <n v="0"/>
    <n v="0"/>
    <n v="40.5"/>
    <n v="0"/>
    <n v="16.2"/>
    <n v="0"/>
    <n v="0"/>
    <n v="0"/>
    <n v="0"/>
    <m/>
    <n v="104.6"/>
    <n v="138.6"/>
    <s v="TL23"/>
    <s v="ToyoLiToyoLiToyoLiToyoLiToyoLiToyoLi"/>
    <s v="+"/>
    <s v="+"/>
    <s v="+"/>
    <s v="+"/>
    <s v="+"/>
    <s v="+"/>
    <s v="NIL"/>
    <s v="NIL"/>
    <b v="0"/>
  </r>
  <r>
    <d v="2026-01-05T00:00:00"/>
    <s v="A"/>
    <x v="24"/>
    <s v="TL24"/>
    <n v="144"/>
    <n v="9400"/>
    <s v="I"/>
    <s v="N"/>
    <n v="0.49"/>
    <s v="BLACK"/>
    <s v="F00857B"/>
    <s v="ToyoLi - BLACK"/>
    <n v="15"/>
    <n v="0"/>
    <m/>
    <m/>
    <n v="0"/>
    <s v="R92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24"/>
    <n v="0"/>
    <n v="21"/>
    <n v="0"/>
    <s v="CYAN"/>
    <s v="L00293C"/>
    <s v="ToyoLi - CYAN"/>
    <n v="19"/>
    <n v="0"/>
    <s v="F00857C"/>
    <n v="4"/>
    <n v="0"/>
    <s v="R39"/>
    <s v="RTMD"/>
    <m/>
    <m/>
    <m/>
    <m/>
    <m/>
    <m/>
    <n v="8"/>
    <n v="0"/>
    <n v="8"/>
    <n v="0"/>
    <m/>
    <n v="0"/>
    <m/>
    <n v="0"/>
    <m/>
    <n v="0"/>
    <m/>
    <n v="0"/>
    <m/>
    <n v="0"/>
    <m/>
    <n v="0"/>
    <s v="ToyoLi"/>
    <n v="11"/>
    <n v="0"/>
    <n v="4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0"/>
    <n v="0"/>
    <n v="0"/>
    <n v="0"/>
    <n v="0"/>
    <n v="0"/>
    <n v="0.3"/>
    <m/>
    <m/>
    <n v="0.5"/>
    <n v="0.2"/>
    <n v="0"/>
    <n v="40"/>
    <n v="0"/>
    <n v="0"/>
    <n v="40"/>
    <n v="40"/>
    <n v="12"/>
    <n v="0"/>
    <n v="0"/>
    <n v="0"/>
    <n v="0"/>
    <n v="0"/>
    <n v="20"/>
    <n v="0"/>
    <n v="8"/>
    <n v="0"/>
    <n v="0"/>
    <n v="0"/>
    <n v="0"/>
    <m/>
    <n v="26"/>
    <n v="69"/>
    <s v="TL24"/>
    <s v="ToyoLiToyoLi"/>
    <s v="+"/>
    <s v="+"/>
    <s v="NIL"/>
    <s v="NIL"/>
    <s v="NIL"/>
    <s v="NIL"/>
    <s v="NIL"/>
    <s v="NIL"/>
    <b v="0"/>
  </r>
  <r>
    <d v="2026-01-06T00:00:00"/>
    <s v="A"/>
    <x v="25"/>
    <s v="TL25"/>
    <n v="225"/>
    <n v="10800"/>
    <s v="I"/>
    <s v="N"/>
    <n v="1.39"/>
    <s v="BLACK"/>
    <s v="C01449B"/>
    <s v="ToyoLi - BLACK"/>
    <n v="24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6"/>
    <n v="0"/>
    <n v="4.8846153846153868"/>
    <n v="0"/>
    <s v="ORANGE"/>
    <s v="B00966O"/>
    <s v="ToyoLi - ORANGE"/>
    <n v="16"/>
    <n v="0"/>
    <s v="B01041O"/>
    <n v="18"/>
    <n v="0"/>
    <s v="F53"/>
    <s v="F23T"/>
    <s v="F121"/>
    <s v="R92"/>
    <m/>
    <m/>
    <m/>
    <m/>
    <n v="10"/>
    <n v="0"/>
    <n v="5"/>
    <n v="0"/>
    <n v="1"/>
    <n v="0"/>
    <n v="0.5"/>
    <n v="0"/>
    <m/>
    <n v="0"/>
    <m/>
    <n v="0"/>
    <m/>
    <n v="0"/>
    <m/>
    <n v="0"/>
    <s v="ToyoLi"/>
    <n v="34"/>
    <n v="0"/>
    <n v="28.153846153846153"/>
    <n v="0"/>
    <s v="CYAN"/>
    <s v="F00857C"/>
    <s v="ToyoLi - CYAN"/>
    <n v="24"/>
    <n v="0"/>
    <m/>
    <m/>
    <n v="0"/>
    <s v="R39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8"/>
    <n v="0"/>
    <n v="5.8846153846153868"/>
    <n v="0"/>
    <s v="MAGENTA"/>
    <s v="F00857M"/>
    <s v="ToyoLi - MAGENTA"/>
    <n v="17"/>
    <n v="0"/>
    <m/>
    <m/>
    <n v="0"/>
    <s v="F121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1"/>
    <n v="0"/>
    <n v="3.8846153846153868"/>
    <n v="0"/>
    <s v="YELLOW"/>
    <s v="F00857Y"/>
    <s v="ToyoLi - YELLOW"/>
    <n v="22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6"/>
    <n v="0"/>
    <n v="1"/>
    <n v="0"/>
    <s v="YELLOW"/>
    <m/>
    <s v="ToyoLi - YELLOW"/>
    <m/>
    <n v="0"/>
    <m/>
    <m/>
    <n v="0"/>
    <s v="F23T"/>
    <m/>
    <m/>
    <m/>
    <m/>
    <m/>
    <m/>
    <m/>
    <n v="20"/>
    <n v="0"/>
    <m/>
    <n v="0"/>
    <m/>
    <n v="0"/>
    <m/>
    <n v="0"/>
    <m/>
    <n v="0"/>
    <m/>
    <n v="0"/>
    <m/>
    <n v="0"/>
    <m/>
    <n v="0"/>
    <s v="ToyoLi"/>
    <n v="17"/>
    <n v="0"/>
    <n v="22.42307692307692"/>
    <n v="0"/>
    <s v="WHITE"/>
    <m/>
    <s v="ToyoLi - WHITE"/>
    <m/>
    <n v="0"/>
    <m/>
    <m/>
    <n v="0"/>
    <s v="F640"/>
    <s v="HSLAS"/>
    <m/>
    <m/>
    <m/>
    <m/>
    <m/>
    <m/>
    <n v="60"/>
    <n v="0"/>
    <n v="5.26"/>
    <n v="0"/>
    <m/>
    <n v="0"/>
    <m/>
    <n v="0"/>
    <m/>
    <n v="0"/>
    <m/>
    <n v="0"/>
    <m/>
    <n v="0"/>
    <m/>
    <n v="0"/>
    <s v="ToyoLi"/>
    <n v="30"/>
    <n v="0"/>
    <n v="93.52923076923076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"/>
    <n v="2"/>
    <n v="2"/>
    <n v="0"/>
    <n v="10"/>
    <n v="30"/>
    <n v="0"/>
    <n v="0.3"/>
    <m/>
    <m/>
    <n v="0.5"/>
    <n v="0.2"/>
    <n v="0"/>
    <n v="101"/>
    <n v="0"/>
    <n v="0"/>
    <n v="101"/>
    <n v="101"/>
    <n v="30.299999999999997"/>
    <n v="0"/>
    <n v="0"/>
    <n v="0"/>
    <n v="0"/>
    <n v="0"/>
    <n v="50.5"/>
    <n v="0"/>
    <n v="20.200000000000003"/>
    <n v="0"/>
    <n v="0"/>
    <n v="0"/>
    <n v="0"/>
    <m/>
    <n v="119.76"/>
    <n v="159.76"/>
    <s v="TL25"/>
    <s v="ToyoLiToyoLiToyoLiToyoLiToyoLiToyoLiToyoLi"/>
    <s v="+"/>
    <s v="+"/>
    <s v="+"/>
    <s v="+"/>
    <s v="+"/>
    <s v="+"/>
    <s v="+"/>
    <s v="NIL"/>
    <b v="0"/>
  </r>
  <r>
    <d v="2026-01-06T00:00:00"/>
    <s v="A"/>
    <x v="26"/>
    <s v="TL26"/>
    <n v="223"/>
    <n v="10700"/>
    <s v="I"/>
    <s v="N"/>
    <n v="1.4"/>
    <s v="BLACK"/>
    <s v="J00869B"/>
    <s v="ToyoLi - BLACK"/>
    <n v="26"/>
    <n v="0"/>
    <m/>
    <m/>
    <n v="0"/>
    <s v="R92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8"/>
    <n v="0"/>
    <n v="8.25"/>
    <n v="0"/>
    <s v="REFLEX BLUE"/>
    <s v="B01043B"/>
    <s v="ToyoLi - REFLEX BLUE"/>
    <n v="16"/>
    <n v="0"/>
    <s v="J00953B/J00952B"/>
    <n v="27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21.166666666666664"/>
    <n v="0"/>
    <s v="CYAN"/>
    <s v="J00869C"/>
    <s v="ToyoLi - CYAN"/>
    <n v="28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9.25"/>
    <n v="0"/>
    <s v="MAGENTA"/>
    <s v="J00869M"/>
    <s v="ToyoLi - MAGENTA"/>
    <n v="21"/>
    <n v="0"/>
    <m/>
    <m/>
    <n v="0"/>
    <s v="F121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6"/>
    <n v="0"/>
    <n v="5.1666666666666643"/>
    <n v="0"/>
    <s v="YELLOW"/>
    <s v="J00869Y"/>
    <s v="ToyoLi - YELLOW"/>
    <n v="26"/>
    <n v="0"/>
    <m/>
    <m/>
    <n v="0"/>
    <s v="F23T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5"/>
    <n v="0"/>
    <n v="41.5"/>
    <n v="0"/>
    <s v="CYAN"/>
    <s v="C01449C"/>
    <s v="ToyoLi - CYAN"/>
    <n v="11"/>
    <n v="0"/>
    <m/>
    <m/>
    <n v="0"/>
    <s v="RTMD"/>
    <s v="F121"/>
    <m/>
    <m/>
    <m/>
    <m/>
    <m/>
    <m/>
    <n v="35"/>
    <n v="0"/>
    <n v="0.5"/>
    <n v="0"/>
    <m/>
    <n v="0"/>
    <m/>
    <n v="0"/>
    <m/>
    <n v="0"/>
    <m/>
    <n v="0"/>
    <m/>
    <n v="0"/>
    <m/>
    <n v="0"/>
    <s v="ToyoLi"/>
    <n v="57"/>
    <n v="0"/>
    <n v="31.166666666666671"/>
    <n v="0"/>
    <s v="WHITE"/>
    <s v="J00869W"/>
    <s v="ToyoLi - WHITE"/>
    <n v="30"/>
    <n v="0"/>
    <m/>
    <m/>
    <n v="0"/>
    <s v="F640"/>
    <s v="HSLAS"/>
    <m/>
    <m/>
    <m/>
    <m/>
    <m/>
    <m/>
    <n v="40"/>
    <n v="0"/>
    <n v="5.5"/>
    <n v="0"/>
    <m/>
    <n v="0"/>
    <m/>
    <n v="0"/>
    <m/>
    <n v="0"/>
    <m/>
    <n v="0"/>
    <m/>
    <n v="0"/>
    <m/>
    <n v="0"/>
    <s v="ToyoLi"/>
    <n v="30"/>
    <n v="0"/>
    <n v="45.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2"/>
    <n v="3"/>
    <n v="2"/>
    <n v="18"/>
    <n v="20"/>
    <n v="0"/>
    <n v="0"/>
    <n v="0.3"/>
    <m/>
    <m/>
    <n v="0.5"/>
    <n v="0.2"/>
    <n v="0"/>
    <n v="100"/>
    <n v="0"/>
    <n v="0"/>
    <n v="100"/>
    <n v="100"/>
    <n v="30"/>
    <n v="0"/>
    <n v="0"/>
    <n v="0"/>
    <n v="0"/>
    <n v="0"/>
    <n v="50"/>
    <n v="0"/>
    <n v="20"/>
    <n v="0"/>
    <n v="0"/>
    <n v="0"/>
    <n v="0"/>
    <m/>
    <n v="96"/>
    <n v="162"/>
    <s v="TL26"/>
    <s v="ToyoLiToyoLiToyoLiToyoLiToyoLiToyoLiToyoLi"/>
    <s v="+"/>
    <s v="+"/>
    <s v="+"/>
    <s v="+"/>
    <s v="+"/>
    <s v="+"/>
    <s v="+"/>
    <s v="NIL"/>
    <b v="0"/>
  </r>
  <r>
    <d v="2026-01-06T00:00:00"/>
    <s v="A"/>
    <x v="27"/>
    <s v="TL27"/>
    <n v="235"/>
    <n v="10800"/>
    <s v="I"/>
    <s v="N"/>
    <n v="1.4"/>
    <s v="BLACK"/>
    <s v="J00870B"/>
    <s v="ToyoLi - BLACK"/>
    <n v="28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7"/>
    <n v="0"/>
    <n v="8.1568627450980387"/>
    <n v="0"/>
    <s v="REFLEX BLUE"/>
    <s v="J00950P"/>
    <s v="ToyoLi - REFLEX BLUE"/>
    <n v="20"/>
    <n v="0"/>
    <m/>
    <m/>
    <n v="0"/>
    <s v="F121"/>
    <s v="Z822"/>
    <m/>
    <m/>
    <m/>
    <m/>
    <m/>
    <m/>
    <n v="20"/>
    <n v="0"/>
    <n v="4"/>
    <n v="0"/>
    <m/>
    <n v="0"/>
    <m/>
    <n v="0"/>
    <m/>
    <n v="0"/>
    <m/>
    <n v="0"/>
    <m/>
    <n v="0"/>
    <m/>
    <n v="0"/>
    <s v="ToyoLi"/>
    <n v="27"/>
    <n v="0"/>
    <n v="37.784313725490193"/>
    <n v="0"/>
    <s v="CYAN"/>
    <s v="J00870C"/>
    <s v="ToyoLi - CYAN"/>
    <n v="27"/>
    <n v="0"/>
    <m/>
    <m/>
    <n v="0"/>
    <s v="R39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6.1568627450980387"/>
    <n v="0"/>
    <s v="MAGENTA"/>
    <s v="J00870M"/>
    <s v="ToyoLi - MAGENTA"/>
    <n v="26"/>
    <n v="0"/>
    <m/>
    <m/>
    <n v="0"/>
    <s v="F121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8"/>
    <n v="0"/>
    <n v="6.1568627450980387"/>
    <n v="0"/>
    <s v="YELLOW"/>
    <s v="J00870Y"/>
    <s v="ToyoLi - YELLOW"/>
    <n v="25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4"/>
    <n v="0"/>
    <n v="10.156862745098039"/>
    <n v="0"/>
    <s v="RED"/>
    <m/>
    <s v="ToyoLi - RED"/>
    <m/>
    <n v="0"/>
    <m/>
    <m/>
    <n v="0"/>
    <s v="RTMD"/>
    <s v="F121"/>
    <s v="F53"/>
    <m/>
    <m/>
    <m/>
    <m/>
    <m/>
    <n v="20"/>
    <n v="0"/>
    <n v="0.5"/>
    <n v="0"/>
    <n v="0.1"/>
    <n v="0"/>
    <m/>
    <n v="0"/>
    <m/>
    <n v="0"/>
    <m/>
    <n v="0"/>
    <m/>
    <n v="0"/>
    <m/>
    <n v="0"/>
    <s v="ToyoLi"/>
    <n v="29"/>
    <n v="0"/>
    <n v="18.619607843137253"/>
    <n v="0"/>
    <s v="WHITE"/>
    <s v="J00870W"/>
    <s v="ToyoLi - WHITE"/>
    <n v="30"/>
    <n v="0"/>
    <m/>
    <m/>
    <n v="0"/>
    <s v="F640"/>
    <s v="HSLAS"/>
    <m/>
    <m/>
    <m/>
    <m/>
    <m/>
    <m/>
    <n v="40"/>
    <n v="0"/>
    <n v="5.34"/>
    <n v="0"/>
    <m/>
    <n v="0"/>
    <m/>
    <n v="0"/>
    <m/>
    <n v="0"/>
    <m/>
    <n v="0"/>
    <m/>
    <n v="0"/>
    <m/>
    <n v="0"/>
    <s v="ToyoLi"/>
    <n v="30"/>
    <n v="0"/>
    <n v="86.9086274509803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2"/>
    <n v="2"/>
    <n v="2"/>
    <n v="13"/>
    <n v="20"/>
    <n v="0"/>
    <n v="0.3"/>
    <m/>
    <m/>
    <n v="0.5"/>
    <n v="0.2"/>
    <n v="0"/>
    <n v="106"/>
    <n v="0"/>
    <n v="0"/>
    <n v="106"/>
    <n v="106"/>
    <n v="31.799999999999997"/>
    <n v="0"/>
    <n v="0"/>
    <n v="0"/>
    <n v="0"/>
    <n v="0"/>
    <n v="53"/>
    <n v="0"/>
    <n v="21.200000000000003"/>
    <n v="0"/>
    <n v="0"/>
    <n v="0"/>
    <n v="0"/>
    <m/>
    <n v="104.94"/>
    <n v="173.94"/>
    <s v="TL27"/>
    <s v="ToyoLiToyoLiToyoLiToyoLiToyoLiToyoLiToyoLi"/>
    <s v="+"/>
    <s v="+"/>
    <s v="+"/>
    <s v="+"/>
    <s v="+"/>
    <s v="+"/>
    <s v="+"/>
    <s v="NIL"/>
    <b v="0"/>
  </r>
  <r>
    <d v="2026-01-06T00:00:00"/>
    <s v="A"/>
    <x v="28"/>
    <s v="TL28"/>
    <n v="237"/>
    <n v="10900"/>
    <s v="I"/>
    <s v="N"/>
    <n v="1.5"/>
    <s v="BLACK"/>
    <s v="J00872B"/>
    <s v="ToyoLi - BLACK"/>
    <n v="27"/>
    <n v="0"/>
    <m/>
    <m/>
    <n v="0"/>
    <s v="R92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24"/>
    <n v="0"/>
    <n v="54.400000000000006"/>
    <n v="0"/>
    <s v="RED"/>
    <s v="B01034R"/>
    <s v="ToyoLi - RED"/>
    <n v="20"/>
    <n v="0"/>
    <m/>
    <m/>
    <n v="0"/>
    <s v="F32"/>
    <s v="F121"/>
    <m/>
    <m/>
    <m/>
    <m/>
    <m/>
    <m/>
    <n v="10"/>
    <n v="0"/>
    <n v="5"/>
    <n v="0"/>
    <m/>
    <n v="0"/>
    <m/>
    <n v="0"/>
    <m/>
    <n v="0"/>
    <m/>
    <n v="0"/>
    <m/>
    <n v="0"/>
    <m/>
    <n v="0"/>
    <s v="ToyoLi"/>
    <n v="31"/>
    <n v="0"/>
    <n v="10.420000000000002"/>
    <n v="0"/>
    <s v="CYAN"/>
    <s v="J00872C"/>
    <s v="ToyoLi - CYAN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3"/>
    <n v="0"/>
    <n v="13.560000000000002"/>
    <n v="0"/>
    <s v="MAGENTA"/>
    <s v="J00872M"/>
    <s v="ToyoLi - MAGENTA"/>
    <n v="28"/>
    <n v="0"/>
    <m/>
    <m/>
    <n v="0"/>
    <s v="F121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31"/>
    <n v="0"/>
    <n v="7.4200000000000017"/>
    <n v="0"/>
    <s v="YELLOW"/>
    <s v="J00872Y"/>
    <s v="ToyoLi - YELLOW"/>
    <n v="24"/>
    <n v="0"/>
    <m/>
    <m/>
    <n v="0"/>
    <s v="F23T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0"/>
    <n v="0"/>
    <n v="11.280000000000001"/>
    <n v="0"/>
    <s v="YELLOW"/>
    <s v="J00869Y"/>
    <s v="ToyoLi - YELLOW"/>
    <n v="17"/>
    <n v="0"/>
    <m/>
    <m/>
    <n v="0"/>
    <s v="F23T"/>
    <s v="F53"/>
    <s v="RTMD"/>
    <m/>
    <m/>
    <m/>
    <m/>
    <m/>
    <n v="10"/>
    <n v="0"/>
    <n v="1"/>
    <n v="0"/>
    <n v="6"/>
    <n v="0"/>
    <m/>
    <n v="0"/>
    <m/>
    <n v="0"/>
    <m/>
    <n v="0"/>
    <m/>
    <n v="0"/>
    <m/>
    <n v="0"/>
    <s v="ToyoLi"/>
    <n v="35"/>
    <n v="0"/>
    <n v="16.120000000000005"/>
    <n v="0"/>
    <s v="WHITE"/>
    <s v="J00872W"/>
    <s v="ToyoLi - WHITE"/>
    <n v="30"/>
    <n v="0"/>
    <m/>
    <m/>
    <n v="0"/>
    <s v="F640"/>
    <s v="HSLAS"/>
    <m/>
    <m/>
    <m/>
    <m/>
    <m/>
    <m/>
    <n v="40"/>
    <n v="0"/>
    <n v="5.88"/>
    <n v="0"/>
    <m/>
    <n v="0"/>
    <m/>
    <n v="0"/>
    <m/>
    <n v="0"/>
    <m/>
    <n v="0"/>
    <m/>
    <n v="0"/>
    <m/>
    <n v="0"/>
    <s v="ToyoLi"/>
    <n v="27"/>
    <n v="0"/>
    <n v="91.6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3"/>
    <n v="4"/>
    <n v="3"/>
    <n v="2"/>
    <n v="8"/>
    <n v="20"/>
    <n v="0"/>
    <n v="0.3"/>
    <m/>
    <m/>
    <n v="0.5"/>
    <n v="0.2"/>
    <n v="0"/>
    <n v="107"/>
    <n v="0"/>
    <n v="0"/>
    <n v="107"/>
    <n v="107"/>
    <n v="32.1"/>
    <n v="0"/>
    <n v="0"/>
    <n v="0"/>
    <n v="0"/>
    <n v="0"/>
    <n v="53.5"/>
    <n v="0"/>
    <n v="21.400000000000002"/>
    <n v="0"/>
    <n v="0"/>
    <n v="0"/>
    <n v="0"/>
    <m/>
    <n v="114.88"/>
    <n v="204.88000000000002"/>
    <s v="TL28"/>
    <s v="ToyoLiToyoLiToyoLiToyoLiToyoLiToyoLiToyoLi"/>
    <s v="+"/>
    <s v="+"/>
    <s v="+"/>
    <s v="+"/>
    <s v="+"/>
    <s v="+"/>
    <s v="+"/>
    <s v="NIL"/>
    <b v="0"/>
  </r>
  <r>
    <d v="2026-01-06T00:00:00"/>
    <s v="A"/>
    <x v="29"/>
    <s v="TL29"/>
    <n v="217"/>
    <n v="10400"/>
    <s v="I"/>
    <s v="N"/>
    <n v="1.4"/>
    <s v="BLACK"/>
    <s v="J00874B"/>
    <s v="ToyoLi - BLACK"/>
    <n v="24"/>
    <n v="0"/>
    <m/>
    <m/>
    <n v="0"/>
    <s v="R92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7"/>
    <n v="0"/>
    <n v="13.543478260869563"/>
    <n v="0"/>
    <s v="GREEN"/>
    <s v="B01041G"/>
    <s v="ToyoLi - GREEN"/>
    <n v="10"/>
    <n v="0"/>
    <s v="N00818G"/>
    <n v="15"/>
    <n v="0"/>
    <s v="F23T"/>
    <s v="R39"/>
    <s v="R1205"/>
    <s v="R92"/>
    <m/>
    <m/>
    <m/>
    <m/>
    <n v="10"/>
    <n v="0"/>
    <n v="15"/>
    <n v="0"/>
    <n v="2"/>
    <n v="0"/>
    <n v="1"/>
    <n v="0"/>
    <m/>
    <n v="0"/>
    <m/>
    <n v="0"/>
    <m/>
    <n v="0"/>
    <m/>
    <n v="0"/>
    <s v="ToyoLi"/>
    <n v="38"/>
    <n v="0"/>
    <n v="31.869565217391312"/>
    <n v="0"/>
    <s v="CYAN"/>
    <s v="J00874C"/>
    <s v="ToyoLi - CYAN"/>
    <n v="23"/>
    <n v="0"/>
    <m/>
    <m/>
    <n v="0"/>
    <s v="R39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7"/>
    <n v="0"/>
    <n v="10.543478260869563"/>
    <n v="0"/>
    <s v="MAGENTA"/>
    <s v="J00834M"/>
    <s v="ToyoLi - MAGENTA"/>
    <n v="20"/>
    <n v="0"/>
    <m/>
    <m/>
    <n v="0"/>
    <s v="RTMD"/>
    <s v="F121"/>
    <m/>
    <m/>
    <m/>
    <m/>
    <m/>
    <m/>
    <n v="6"/>
    <n v="0"/>
    <n v="6"/>
    <n v="0"/>
    <m/>
    <n v="0"/>
    <m/>
    <n v="0"/>
    <m/>
    <n v="0"/>
    <m/>
    <n v="0"/>
    <m/>
    <n v="0"/>
    <m/>
    <n v="0"/>
    <s v="ToyoLi"/>
    <n v="30"/>
    <n v="0"/>
    <n v="18.869565217391305"/>
    <n v="0"/>
    <s v="YELLOW"/>
    <s v="J00874Y"/>
    <s v="ToyoLi - YELLOW"/>
    <n v="20"/>
    <n v="0"/>
    <m/>
    <m/>
    <n v="0"/>
    <s v="F23T"/>
    <s v="RTMD"/>
    <m/>
    <m/>
    <m/>
    <m/>
    <m/>
    <m/>
    <n v="8"/>
    <n v="0"/>
    <n v="6"/>
    <n v="0"/>
    <m/>
    <n v="0"/>
    <m/>
    <n v="0"/>
    <m/>
    <n v="0"/>
    <m/>
    <n v="0"/>
    <m/>
    <n v="0"/>
    <m/>
    <n v="0"/>
    <s v="ToyoLi"/>
    <n v="25"/>
    <n v="0"/>
    <n v="19.543478260869563"/>
    <n v="0"/>
    <s v="GREEN"/>
    <s v="B01043G"/>
    <s v="ToyoLi - GREEN"/>
    <n v="10"/>
    <n v="0"/>
    <m/>
    <m/>
    <n v="0"/>
    <s v="RTMD"/>
    <s v="F23T"/>
    <s v="R79"/>
    <m/>
    <m/>
    <m/>
    <m/>
    <m/>
    <n v="10"/>
    <n v="0"/>
    <n v="7"/>
    <n v="0"/>
    <n v="2"/>
    <n v="0"/>
    <m/>
    <n v="0"/>
    <m/>
    <n v="0"/>
    <m/>
    <n v="0"/>
    <m/>
    <n v="0"/>
    <m/>
    <n v="0"/>
    <s v="ToyoLi"/>
    <n v="31"/>
    <n v="0"/>
    <n v="8.5434782608695627"/>
    <n v="0"/>
    <s v="WHITE"/>
    <s v="J00874W"/>
    <s v="ToyoLi - WHITE"/>
    <n v="27"/>
    <n v="0"/>
    <m/>
    <m/>
    <n v="0"/>
    <s v="F640"/>
    <s v="HSLAS"/>
    <m/>
    <m/>
    <m/>
    <m/>
    <m/>
    <m/>
    <n v="25"/>
    <n v="0"/>
    <n v="5.47"/>
    <n v="0"/>
    <m/>
    <n v="0"/>
    <m/>
    <n v="0"/>
    <m/>
    <n v="0"/>
    <m/>
    <n v="0"/>
    <m/>
    <n v="0"/>
    <m/>
    <n v="0"/>
    <s v="ToyoLi"/>
    <n v="24"/>
    <n v="0"/>
    <n v="54.55695652173912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8"/>
    <n v="5"/>
    <n v="8"/>
    <n v="5"/>
    <n v="5"/>
    <n v="10"/>
    <n v="0"/>
    <n v="0.3"/>
    <m/>
    <m/>
    <n v="0.5"/>
    <n v="0.2"/>
    <n v="0"/>
    <n v="97"/>
    <n v="0"/>
    <n v="0"/>
    <n v="97"/>
    <n v="97"/>
    <n v="29.099999999999998"/>
    <n v="0"/>
    <n v="0"/>
    <n v="0"/>
    <n v="0"/>
    <n v="0"/>
    <n v="48.5"/>
    <n v="0"/>
    <n v="19.400000000000002"/>
    <n v="0"/>
    <n v="0"/>
    <n v="0"/>
    <n v="0"/>
    <m/>
    <n v="113.47"/>
    <n v="157.47"/>
    <s v="TL29"/>
    <s v="ToyoLiToyoLiToyoLiToyoLiToyoLiToyoLiToyoLi"/>
    <s v="+"/>
    <s v="+"/>
    <s v="+"/>
    <s v="+"/>
    <s v="+"/>
    <s v="+"/>
    <s v="+"/>
    <s v="NIL"/>
    <b v="0"/>
  </r>
  <r>
    <d v="2026-01-06T00:00:00"/>
    <s v="A"/>
    <x v="30"/>
    <s v="TL30"/>
    <n v="194"/>
    <n v="12600"/>
    <s v="I"/>
    <s v="N"/>
    <n v="1.4"/>
    <s v="BLACK"/>
    <s v="J00871B"/>
    <s v="ToyoLi - BLACK"/>
    <n v="27"/>
    <n v="0"/>
    <m/>
    <m/>
    <n v="0"/>
    <s v="R92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9"/>
    <n v="0"/>
    <n v="13.666666666666664"/>
    <n v="0"/>
    <s v="REFLEX BLUE"/>
    <s v="F008359"/>
    <s v="ToyoLi - REFLEX BLUE"/>
    <n v="9"/>
    <n v="0"/>
    <m/>
    <m/>
    <n v="0"/>
    <s v="R1205"/>
    <s v="F121"/>
    <s v="R39"/>
    <s v="R92"/>
    <m/>
    <m/>
    <m/>
    <m/>
    <n v="20"/>
    <n v="0"/>
    <n v="8"/>
    <n v="0"/>
    <n v="10"/>
    <n v="0"/>
    <n v="2"/>
    <n v="0"/>
    <m/>
    <n v="0"/>
    <m/>
    <n v="0"/>
    <m/>
    <n v="0"/>
    <m/>
    <n v="0"/>
    <s v="ToyoLi"/>
    <n v="26"/>
    <n v="0"/>
    <n v="42.333333333333329"/>
    <n v="0"/>
    <s v="REFLEX BLUE"/>
    <s v="R00008RB"/>
    <s v="ToyoLi - REFLEX BLUE"/>
    <n v="20"/>
    <n v="0"/>
    <m/>
    <m/>
    <n v="0"/>
    <s v="RTMD"/>
    <s v="R39"/>
    <m/>
    <m/>
    <m/>
    <m/>
    <m/>
    <m/>
    <n v="6"/>
    <n v="0"/>
    <n v="4"/>
    <n v="0"/>
    <m/>
    <n v="0"/>
    <m/>
    <n v="0"/>
    <m/>
    <n v="0"/>
    <m/>
    <n v="0"/>
    <m/>
    <n v="0"/>
    <m/>
    <n v="0"/>
    <s v="ToyoLi"/>
    <n v="27"/>
    <n v="0"/>
    <n v="12.666666666666664"/>
    <n v="0"/>
    <s v="YELLOW"/>
    <s v="J00874Y"/>
    <s v="ToyoLi - YELLOW"/>
    <n v="18"/>
    <n v="0"/>
    <m/>
    <m/>
    <n v="0"/>
    <s v="F23T"/>
    <s v="F53"/>
    <m/>
    <m/>
    <m/>
    <m/>
    <m/>
    <m/>
    <n v="2"/>
    <n v="0"/>
    <n v="2"/>
    <n v="0"/>
    <m/>
    <n v="0"/>
    <m/>
    <n v="0"/>
    <m/>
    <n v="0"/>
    <m/>
    <n v="0"/>
    <m/>
    <n v="0"/>
    <m/>
    <n v="0"/>
    <s v="ToyoLi"/>
    <n v="17"/>
    <n v="0"/>
    <n v="14.666666666666664"/>
    <n v="0"/>
    <s v="CYAN"/>
    <s v="J00871C"/>
    <s v="ToyoLi - CYAN"/>
    <n v="27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11.666666666666664"/>
    <n v="0"/>
    <s v="MAGENTA"/>
    <s v="J00871M"/>
    <s v="ToyoLi - MAGENTA"/>
    <n v="10"/>
    <n v="0"/>
    <m/>
    <m/>
    <n v="0"/>
    <s v="F121"/>
    <s v="RTMD"/>
    <m/>
    <m/>
    <m/>
    <m/>
    <m/>
    <m/>
    <n v="10"/>
    <n v="0"/>
    <n v="7"/>
    <n v="0"/>
    <m/>
    <n v="0"/>
    <m/>
    <n v="0"/>
    <m/>
    <n v="0"/>
    <m/>
    <n v="0"/>
    <m/>
    <n v="0"/>
    <m/>
    <n v="0"/>
    <s v="ToyoLi"/>
    <n v="24"/>
    <n v="0"/>
    <n v="22.333333333333329"/>
    <n v="0"/>
    <s v="YELLOW"/>
    <s v="J00871Y"/>
    <s v="ToyoLi - YELLOW"/>
    <n v="25"/>
    <n v="0"/>
    <m/>
    <m/>
    <n v="0"/>
    <s v="F23T"/>
    <s v="RTMD"/>
    <m/>
    <m/>
    <m/>
    <m/>
    <m/>
    <m/>
    <n v="10"/>
    <n v="0"/>
    <n v="6"/>
    <n v="0"/>
    <m/>
    <n v="0"/>
    <m/>
    <n v="0"/>
    <m/>
    <n v="0"/>
    <m/>
    <n v="0"/>
    <m/>
    <n v="0"/>
    <m/>
    <n v="0"/>
    <s v="ToyoLi"/>
    <n v="29"/>
    <n v="0"/>
    <n v="21.666666666666664"/>
    <n v="0"/>
    <s v="WHITE"/>
    <s v="J00871W"/>
    <s v="ToyoLi - WHITE"/>
    <n v="24"/>
    <n v="0"/>
    <m/>
    <m/>
    <n v="0"/>
    <s v="F640"/>
    <s v="HSLAS"/>
    <m/>
    <m/>
    <m/>
    <m/>
    <m/>
    <m/>
    <n v="25"/>
    <n v="0"/>
    <n v="6"/>
    <n v="0"/>
    <m/>
    <n v="0"/>
    <m/>
    <n v="0"/>
    <m/>
    <n v="0"/>
    <m/>
    <n v="0"/>
    <m/>
    <n v="0"/>
    <m/>
    <n v="0"/>
    <s v="ToyoLi"/>
    <n v="25"/>
    <n v="0"/>
    <n v="59"/>
    <n v="0"/>
    <n v="5"/>
    <n v="10"/>
    <n v="5"/>
    <n v="5"/>
    <n v="5"/>
    <n v="10"/>
    <n v="5"/>
    <n v="15"/>
    <n v="0.3"/>
    <m/>
    <m/>
    <n v="0.5"/>
    <n v="0.2"/>
    <n v="0"/>
    <n v="116"/>
    <n v="0"/>
    <n v="0"/>
    <n v="116"/>
    <n v="116"/>
    <n v="34.799999999999997"/>
    <n v="0"/>
    <n v="0"/>
    <n v="0"/>
    <n v="0"/>
    <n v="0"/>
    <n v="58"/>
    <n v="0"/>
    <n v="23.200000000000003"/>
    <n v="0"/>
    <n v="0"/>
    <n v="0"/>
    <n v="0"/>
    <m/>
    <n v="126"/>
    <n v="197.99999999999997"/>
    <s v="TL30"/>
    <s v="ToyoLiToyoLiToyoLiToyoLiToyoLiToyoLiToyoLiToyoLi"/>
    <s v="+"/>
    <s v="+"/>
    <s v="+"/>
    <s v="+"/>
    <s v="+"/>
    <s v="+"/>
    <s v="+"/>
    <s v="+"/>
    <b v="0"/>
  </r>
  <r>
    <d v="2026-01-06T00:00:00"/>
    <s v="A"/>
    <x v="31"/>
    <s v="TL31"/>
    <n v="302"/>
    <n v="24700"/>
    <s v="I"/>
    <s v="N"/>
    <n v="1.4"/>
    <s v="BLACK"/>
    <s v="R01025B"/>
    <s v="ToyoLi - BLACK"/>
    <n v="29"/>
    <n v="0"/>
    <m/>
    <m/>
    <n v="0"/>
    <s v="R92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8"/>
    <n v="0"/>
    <n v="11.722222222222221"/>
    <n v="0"/>
    <s v="BLACK"/>
    <s v="B00970B"/>
    <s v="ToyoLi - BLACK"/>
    <n v="7"/>
    <n v="0"/>
    <s v="N00706B/F00844B"/>
    <n v="26"/>
    <n v="0"/>
    <s v="F121"/>
    <s v="F53"/>
    <s v="R92"/>
    <m/>
    <m/>
    <m/>
    <m/>
    <m/>
    <n v="12"/>
    <n v="0"/>
    <n v="15"/>
    <n v="0"/>
    <n v="3"/>
    <n v="0"/>
    <m/>
    <n v="0"/>
    <m/>
    <n v="0"/>
    <m/>
    <n v="0"/>
    <m/>
    <n v="0"/>
    <m/>
    <n v="0"/>
    <s v="ToyoLi"/>
    <n v="67"/>
    <n v="0"/>
    <n v="16.166666666666657"/>
    <n v="0"/>
    <s v="RED"/>
    <s v="F00851R"/>
    <s v="ToyoLi - RED"/>
    <n v="17"/>
    <n v="0"/>
    <m/>
    <m/>
    <n v="0"/>
    <s v="F121"/>
    <s v="F53"/>
    <m/>
    <m/>
    <m/>
    <m/>
    <m/>
    <m/>
    <n v="6"/>
    <n v="0"/>
    <n v="6"/>
    <n v="0"/>
    <m/>
    <n v="0"/>
    <m/>
    <n v="0"/>
    <m/>
    <n v="0"/>
    <m/>
    <n v="0"/>
    <m/>
    <n v="0"/>
    <m/>
    <n v="0"/>
    <s v="ToyoLi"/>
    <n v="30"/>
    <n v="0"/>
    <n v="5.7222222222222214"/>
    <n v="0"/>
    <s v="GREEN"/>
    <s v="F00857G"/>
    <s v="ToyoLi - GREEN"/>
    <n v="18"/>
    <n v="0"/>
    <m/>
    <m/>
    <n v="0"/>
    <s v="F23T"/>
    <s v="R39"/>
    <s v="RTMD"/>
    <m/>
    <m/>
    <m/>
    <m/>
    <m/>
    <n v="2"/>
    <n v="0"/>
    <n v="1"/>
    <n v="0"/>
    <n v="2"/>
    <n v="0"/>
    <m/>
    <n v="0"/>
    <m/>
    <n v="0"/>
    <m/>
    <n v="0"/>
    <m/>
    <n v="0"/>
    <m/>
    <n v="0"/>
    <s v="ToyoLi"/>
    <n v="20"/>
    <n v="0"/>
    <n v="9.7222222222222214"/>
    <n v="0"/>
    <s v="CYAN"/>
    <s v="B01025C"/>
    <s v="ToyoLi - CYAN"/>
    <n v="27"/>
    <n v="0"/>
    <m/>
    <m/>
    <n v="0"/>
    <s v="RTMD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8"/>
    <n v="0"/>
    <n v="11.722222222222221"/>
    <n v="0"/>
    <s v="MAGENTA"/>
    <s v="B01025M"/>
    <s v="ToyoLi - MAGENTA"/>
    <n v="24"/>
    <n v="0"/>
    <m/>
    <m/>
    <n v="0"/>
    <s v="F121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7"/>
    <n v="0"/>
    <n v="7.7222222222222214"/>
    <n v="0"/>
    <s v="YELLOW"/>
    <s v="B01025Y"/>
    <s v="ToyoLi - YELLOW"/>
    <n v="25"/>
    <n v="0"/>
    <m/>
    <m/>
    <n v="0"/>
    <s v="F23T"/>
    <m/>
    <m/>
    <m/>
    <m/>
    <m/>
    <m/>
    <m/>
    <n v="7"/>
    <n v="0"/>
    <m/>
    <n v="0"/>
    <m/>
    <n v="0"/>
    <m/>
    <n v="0"/>
    <m/>
    <n v="0"/>
    <m/>
    <n v="0"/>
    <m/>
    <n v="0"/>
    <m/>
    <n v="0"/>
    <s v="ToyoLi"/>
    <n v="30"/>
    <n v="0"/>
    <n v="8.7222222222222214"/>
    <n v="0"/>
    <s v="WHITE"/>
    <s v="B01025W"/>
    <s v="ToyoLi - WHITE"/>
    <n v="25"/>
    <n v="0"/>
    <m/>
    <m/>
    <n v="0"/>
    <s v="F640"/>
    <s v="HSLAS"/>
    <m/>
    <m/>
    <m/>
    <m/>
    <m/>
    <m/>
    <n v="75"/>
    <n v="0"/>
    <n v="7.32"/>
    <n v="0"/>
    <m/>
    <n v="0"/>
    <m/>
    <n v="0"/>
    <m/>
    <n v="0"/>
    <m/>
    <n v="0"/>
    <m/>
    <n v="0"/>
    <m/>
    <n v="0"/>
    <s v="ToyoLi"/>
    <n v="24"/>
    <n v="0"/>
    <n v="143.82"/>
    <n v="0"/>
    <n v="5"/>
    <n v="15"/>
    <n v="5"/>
    <n v="5"/>
    <n v="5"/>
    <n v="5"/>
    <n v="5"/>
    <n v="45"/>
    <n v="0.3"/>
    <m/>
    <m/>
    <n v="0.5"/>
    <n v="0.2"/>
    <n v="0"/>
    <n v="121"/>
    <n v="0"/>
    <n v="0"/>
    <n v="121"/>
    <n v="121"/>
    <n v="36.299999999999997"/>
    <n v="0"/>
    <n v="0"/>
    <n v="0"/>
    <n v="0"/>
    <n v="0"/>
    <n v="60.5"/>
    <n v="0"/>
    <n v="24.200000000000003"/>
    <n v="0"/>
    <n v="0"/>
    <n v="0"/>
    <n v="0"/>
    <m/>
    <n v="150.32"/>
    <n v="215.32"/>
    <s v="TL31"/>
    <s v="ToyoLiToyoLiToyoLiToyoLiToyoLiToyoLiToyoLiToyoLi"/>
    <s v="+"/>
    <s v="+"/>
    <s v="+"/>
    <s v="+"/>
    <s v="+"/>
    <s v="+"/>
    <s v="+"/>
    <s v="+"/>
    <b v="0"/>
  </r>
  <r>
    <d v="2026-01-06T00:00:00"/>
    <s v="A"/>
    <x v="32"/>
    <s v="TL32"/>
    <n v="293"/>
    <n v="18800"/>
    <s v="I"/>
    <s v="N"/>
    <n v="2"/>
    <s v="REFLEX BLUE"/>
    <s v="B01025B"/>
    <s v="ToyoLi - REFLEX BLUE"/>
    <n v="27"/>
    <n v="0"/>
    <m/>
    <m/>
    <n v="0"/>
    <s v="R92"/>
    <s v="F121"/>
    <m/>
    <m/>
    <m/>
    <m/>
    <m/>
    <m/>
    <n v="2"/>
    <n v="0"/>
    <n v="1"/>
    <n v="0"/>
    <m/>
    <n v="0"/>
    <m/>
    <n v="0"/>
    <m/>
    <n v="0"/>
    <m/>
    <n v="0"/>
    <m/>
    <n v="0"/>
    <m/>
    <n v="0"/>
    <s v="ToyoLi"/>
    <n v="26"/>
    <n v="0"/>
    <n v="15.037735849056602"/>
    <n v="0"/>
    <s v="CYAN"/>
    <m/>
    <m/>
    <m/>
    <n v="0"/>
    <m/>
    <m/>
    <n v="0"/>
    <s v="RTMD"/>
    <s v="R39"/>
    <s v="R1205"/>
    <m/>
    <m/>
    <m/>
    <m/>
    <m/>
    <n v="15"/>
    <n v="0"/>
    <n v="6"/>
    <n v="0"/>
    <n v="0.2"/>
    <n v="0"/>
    <m/>
    <n v="0"/>
    <m/>
    <n v="0"/>
    <m/>
    <n v="0"/>
    <m/>
    <n v="0"/>
    <m/>
    <n v="0"/>
    <s v="ToyoLi"/>
    <n v="19"/>
    <n v="0"/>
    <n v="24.275471698113208"/>
    <n v="0"/>
    <s v="RED"/>
    <s v="H01361P"/>
    <s v="ToyoLi - RED"/>
    <n v="18"/>
    <n v="0"/>
    <m/>
    <m/>
    <n v="0"/>
    <s v="RTMD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18"/>
    <n v="0"/>
    <n v="21.660377358490564"/>
    <n v="0"/>
    <s v="MEDIUM"/>
    <s v="J00954B"/>
    <s v="ToyoLi - MEDIUM"/>
    <n v="22"/>
    <n v="0"/>
    <s v="B00952B"/>
    <n v="34"/>
    <n v="0"/>
    <s v="F640"/>
    <s v="F23T"/>
    <s v="F32"/>
    <s v="R92"/>
    <m/>
    <m/>
    <m/>
    <m/>
    <n v="25"/>
    <n v="0"/>
    <n v="0.5"/>
    <n v="0"/>
    <n v="0.5"/>
    <n v="0"/>
    <n v="0.2"/>
    <n v="0"/>
    <m/>
    <n v="0"/>
    <m/>
    <n v="0"/>
    <m/>
    <n v="0"/>
    <m/>
    <n v="0"/>
    <s v="ToyoLi"/>
    <n v="25"/>
    <n v="0"/>
    <n v="123.42641509433963"/>
    <n v="0"/>
    <s v="WHITE"/>
    <s v="N00907W"/>
    <s v="ToyoLi - WHITE"/>
    <n v="24"/>
    <n v="0"/>
    <m/>
    <m/>
    <n v="0"/>
    <s v="F640"/>
    <m/>
    <m/>
    <m/>
    <m/>
    <m/>
    <m/>
    <m/>
    <n v="50"/>
    <n v="0"/>
    <m/>
    <n v="0"/>
    <m/>
    <n v="0"/>
    <m/>
    <n v="0"/>
    <m/>
    <n v="0"/>
    <m/>
    <n v="0"/>
    <m/>
    <n v="0"/>
    <m/>
    <n v="0"/>
    <s v="ToyoLi"/>
    <n v="24"/>
    <n v="0"/>
    <n v="5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8"/>
    <n v="30"/>
    <n v="0"/>
    <n v="0"/>
    <n v="0"/>
    <n v="0"/>
    <n v="0.3"/>
    <m/>
    <m/>
    <n v="0.5"/>
    <n v="0.2"/>
    <n v="0"/>
    <n v="117"/>
    <n v="0"/>
    <n v="0"/>
    <n v="117"/>
    <n v="117"/>
    <n v="35.1"/>
    <n v="0"/>
    <n v="0"/>
    <n v="0"/>
    <n v="0"/>
    <n v="0"/>
    <n v="58.5"/>
    <n v="0"/>
    <n v="23.400000000000002"/>
    <n v="0"/>
    <n v="0"/>
    <n v="0"/>
    <n v="0"/>
    <m/>
    <n v="104.4"/>
    <n v="234.4"/>
    <s v="TL32"/>
    <s v="ToyoLiToyoLiToyoLiToyoLiToyoLi"/>
    <s v="+"/>
    <s v="+"/>
    <s v="+"/>
    <s v="+"/>
    <s v="+"/>
    <s v="NIL"/>
    <s v="NIL"/>
    <s v="NIL"/>
    <b v="0"/>
  </r>
  <r>
    <d v="2026-01-06T00:00:00"/>
    <s v="A"/>
    <x v="33"/>
    <s v="TL33"/>
    <n v="484"/>
    <n v="27100"/>
    <s v="I"/>
    <s v="N"/>
    <n v="1.6"/>
    <s v="REFLEX BLUE"/>
    <s v="N00893B"/>
    <s v="ToyoLi - REFLEX BLUE"/>
    <n v="28"/>
    <n v="0"/>
    <m/>
    <m/>
    <n v="0"/>
    <s v="R39"/>
    <s v="R1205"/>
    <m/>
    <m/>
    <m/>
    <m/>
    <m/>
    <m/>
    <n v="18"/>
    <n v="0"/>
    <n v="0.5"/>
    <n v="0"/>
    <m/>
    <n v="0"/>
    <m/>
    <n v="0"/>
    <m/>
    <n v="0"/>
    <m/>
    <n v="0"/>
    <m/>
    <n v="0"/>
    <m/>
    <n v="0"/>
    <s v="ToyoLi"/>
    <n v="26"/>
    <n v="0"/>
    <n v="32.571428571428569"/>
    <n v="0"/>
    <s v="WHITE"/>
    <s v="H01307W"/>
    <s v="ToyoLi - WHITE"/>
    <n v="24"/>
    <n v="0"/>
    <m/>
    <m/>
    <n v="0"/>
    <s v="F640"/>
    <m/>
    <m/>
    <m/>
    <m/>
    <m/>
    <m/>
    <m/>
    <n v="110"/>
    <n v="0"/>
    <m/>
    <n v="0"/>
    <m/>
    <n v="0"/>
    <m/>
    <n v="0"/>
    <m/>
    <n v="0"/>
    <m/>
    <n v="0"/>
    <m/>
    <n v="0"/>
    <m/>
    <n v="0"/>
    <s v="ToyoLi"/>
    <n v="30"/>
    <n v="0"/>
    <n v="260.9285714285714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65"/>
    <n v="0"/>
    <n v="0"/>
    <n v="0"/>
    <n v="0"/>
    <n v="0"/>
    <n v="0"/>
    <n v="0.3"/>
    <m/>
    <m/>
    <n v="0.5"/>
    <n v="0.2"/>
    <n v="0"/>
    <n v="169"/>
    <n v="0"/>
    <n v="0"/>
    <n v="169"/>
    <n v="169"/>
    <n v="50.699999999999996"/>
    <n v="0"/>
    <n v="0"/>
    <n v="0"/>
    <n v="0"/>
    <n v="0"/>
    <n v="84.5"/>
    <n v="0"/>
    <n v="33.800000000000004"/>
    <n v="0"/>
    <n v="0"/>
    <n v="0"/>
    <n v="0"/>
    <m/>
    <n v="128.5"/>
    <n v="293.5"/>
    <s v="TL33"/>
    <s v="ToyoLiToyoLi"/>
    <s v="+"/>
    <s v="+"/>
    <s v="NIL"/>
    <s v="NIL"/>
    <s v="NIL"/>
    <s v="NIL"/>
    <s v="NIL"/>
    <s v="NIL"/>
    <b v="0"/>
  </r>
  <r>
    <d v="2026-01-06T00:00:00"/>
    <s v="A"/>
    <x v="34"/>
    <s v="TL34"/>
    <n v="468"/>
    <n v="30000"/>
    <s v="I"/>
    <s v="N"/>
    <n v="1.91"/>
    <s v="REFLEX BLUE"/>
    <s v="H01307RB"/>
    <s v="ToyoLi - REFLEX BLUE"/>
    <n v="26"/>
    <n v="0"/>
    <m/>
    <m/>
    <n v="0"/>
    <s v="R1205"/>
    <s v="R39"/>
    <m/>
    <m/>
    <m/>
    <m/>
    <m/>
    <m/>
    <n v="2"/>
    <n v="0"/>
    <n v="2"/>
    <n v="0"/>
    <m/>
    <n v="0"/>
    <m/>
    <n v="0"/>
    <m/>
    <n v="0"/>
    <m/>
    <n v="0"/>
    <m/>
    <n v="0"/>
    <m/>
    <n v="0"/>
    <s v="ToyoLi"/>
    <n v="17"/>
    <n v="0"/>
    <n v="24.265060240963855"/>
    <n v="0"/>
    <s v="RED"/>
    <s v="N00893R"/>
    <s v="ToyoLi - RED"/>
    <n v="30"/>
    <n v="0"/>
    <s v="J00869R/B01032R"/>
    <n v="38"/>
    <n v="0"/>
    <s v="R92"/>
    <s v="F121"/>
    <s v="F53"/>
    <s v="R92"/>
    <m/>
    <m/>
    <m/>
    <m/>
    <n v="0.5"/>
    <n v="0"/>
    <n v="20"/>
    <n v="0"/>
    <n v="25"/>
    <n v="0"/>
    <n v="1"/>
    <n v="0"/>
    <m/>
    <n v="0"/>
    <m/>
    <n v="0"/>
    <m/>
    <n v="0"/>
    <m/>
    <n v="0"/>
    <s v="ToyoLi"/>
    <n v="45"/>
    <n v="0"/>
    <n v="94.283132530120497"/>
    <n v="0"/>
    <s v="MEDIUM"/>
    <s v="H01307B"/>
    <s v="ToyoLi - MEDIUM"/>
    <n v="12"/>
    <n v="0"/>
    <s v="H01307B/N00815M"/>
    <n v="22"/>
    <n v="0"/>
    <s v="RTMD"/>
    <m/>
    <m/>
    <m/>
    <m/>
    <m/>
    <m/>
    <m/>
    <n v="9"/>
    <n v="0"/>
    <m/>
    <n v="0"/>
    <m/>
    <n v="0"/>
    <m/>
    <n v="0"/>
    <m/>
    <n v="0"/>
    <m/>
    <n v="0"/>
    <m/>
    <n v="0"/>
    <m/>
    <n v="0"/>
    <s v="ToyoLi"/>
    <n v="34"/>
    <n v="0"/>
    <n v="29.277108433734938"/>
    <n v="0"/>
    <s v="CYAN"/>
    <s v="H01362C"/>
    <s v="ToyoLi - CYAN"/>
    <n v="26"/>
    <n v="0"/>
    <m/>
    <m/>
    <n v="0"/>
    <s v="R39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34"/>
    <n v="0"/>
    <n v="9.2650602409638552"/>
    <n v="0"/>
    <s v="MAGENTA"/>
    <s v="N00893M"/>
    <s v="ToyoLi - MAGENTA"/>
    <n v="28"/>
    <n v="0"/>
    <m/>
    <m/>
    <n v="0"/>
    <s v="F121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30"/>
    <n v="0"/>
    <n v="8.7590361445783103"/>
    <n v="0"/>
    <s v="YELLOW"/>
    <s v="N00893Y"/>
    <s v="ToyoLi - YELLOW"/>
    <n v="30"/>
    <n v="0"/>
    <m/>
    <m/>
    <n v="0"/>
    <s v="F23T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32"/>
    <n v="0"/>
    <n v="13.265060240963855"/>
    <n v="0"/>
    <s v="WHITE"/>
    <s v="H01362W"/>
    <s v="ToyoLi - WHITE"/>
    <n v="30"/>
    <n v="0"/>
    <m/>
    <m/>
    <n v="0"/>
    <s v="F640"/>
    <m/>
    <m/>
    <m/>
    <m/>
    <m/>
    <m/>
    <m/>
    <n v="75"/>
    <n v="0"/>
    <m/>
    <n v="0"/>
    <m/>
    <n v="0"/>
    <m/>
    <n v="0"/>
    <m/>
    <n v="0"/>
    <m/>
    <n v="0"/>
    <m/>
    <n v="0"/>
    <m/>
    <n v="0"/>
    <s v="ToyoLi"/>
    <n v="25"/>
    <n v="0"/>
    <n v="181.385542168674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1"/>
    <n v="9"/>
    <n v="5"/>
    <n v="3"/>
    <n v="5"/>
    <n v="45"/>
    <n v="0"/>
    <n v="0.3"/>
    <m/>
    <m/>
    <n v="0.5"/>
    <n v="0.2"/>
    <n v="0"/>
    <n v="187"/>
    <n v="0"/>
    <n v="0"/>
    <n v="187"/>
    <n v="187"/>
    <n v="56.1"/>
    <n v="0"/>
    <n v="0"/>
    <n v="0"/>
    <n v="0"/>
    <n v="0"/>
    <n v="93.5"/>
    <n v="0"/>
    <n v="37.4"/>
    <n v="0"/>
    <n v="0"/>
    <n v="0"/>
    <n v="0"/>
    <m/>
    <n v="148.5"/>
    <n v="360.50000000000006"/>
    <s v="TL34"/>
    <s v="ToyoLiToyoLiToyoLiToyoLiToyoLiToyoLiToyoLi"/>
    <s v="+"/>
    <s v="+"/>
    <s v="+"/>
    <s v="+"/>
    <s v="+"/>
    <s v="+"/>
    <s v="+"/>
    <s v="NIL"/>
    <b v="0"/>
  </r>
  <r>
    <d v="2026-01-07T00:00:00"/>
    <s v="A"/>
    <x v="35"/>
    <s v="TL35"/>
    <n v="86"/>
    <n v="4800"/>
    <s v="I"/>
    <s v="N"/>
    <n v="2.16"/>
    <s v="BLACK"/>
    <s v="N00893B"/>
    <s v="ToyoLi - BLACK"/>
    <n v="28"/>
    <n v="0"/>
    <m/>
    <m/>
    <n v="0"/>
    <s v="R92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30"/>
    <n v="0"/>
    <n v="7.7333333333333343"/>
    <n v="0"/>
    <s v="GREEN"/>
    <s v="J00953G"/>
    <s v="ToyoLi - GREEN"/>
    <n v="7"/>
    <n v="0"/>
    <m/>
    <m/>
    <n v="0"/>
    <s v="F23T"/>
    <s v="R39"/>
    <m/>
    <m/>
    <m/>
    <m/>
    <m/>
    <m/>
    <n v="10"/>
    <n v="0"/>
    <n v="5"/>
    <n v="0"/>
    <m/>
    <n v="0"/>
    <m/>
    <n v="0"/>
    <m/>
    <n v="0"/>
    <m/>
    <n v="0"/>
    <m/>
    <n v="0"/>
    <m/>
    <n v="0"/>
    <s v="ToyoLi"/>
    <n v="28"/>
    <n v="0"/>
    <n v="9.2888888888888914"/>
    <n v="0"/>
    <s v="REFLEX BLUE"/>
    <s v="B01043B"/>
    <s v="ToyoLi - REFLEX BLUE"/>
    <n v="18"/>
    <n v="0"/>
    <m/>
    <m/>
    <n v="0"/>
    <s v="R39"/>
    <s v="R1205"/>
    <m/>
    <m/>
    <m/>
    <m/>
    <m/>
    <m/>
    <n v="20"/>
    <n v="0"/>
    <n v="1"/>
    <n v="0"/>
    <m/>
    <n v="0"/>
    <m/>
    <n v="0"/>
    <m/>
    <n v="0"/>
    <m/>
    <n v="0"/>
    <m/>
    <n v="0"/>
    <m/>
    <n v="0"/>
    <s v="ToyoLi"/>
    <n v="26"/>
    <n v="0"/>
    <n v="22.555555555555557"/>
    <n v="0"/>
    <s v="MAGENTA"/>
    <s v="H01306M"/>
    <s v="ToyoLi - MAGENTA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0"/>
    <n v="5.8222222222222229"/>
    <n v="0"/>
    <s v="YELLOW"/>
    <s v="H01306Y"/>
    <s v="ToyoLi - YELLOW"/>
    <n v="32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3"/>
    <n v="0"/>
    <n v="2.8222222222222229"/>
    <n v="0"/>
    <s v="GOLD"/>
    <s v="H01300G"/>
    <s v="ToyoLi - GOLD"/>
    <n v="18"/>
    <n v="0"/>
    <m/>
    <m/>
    <n v="0"/>
    <s v="TLSI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26"/>
    <n v="0"/>
    <n v="11.555555555555557"/>
    <n v="0"/>
    <s v="WHITE"/>
    <s v="H01306W"/>
    <s v="ToyoLi - WHITE"/>
    <n v="25"/>
    <n v="0"/>
    <m/>
    <m/>
    <n v="0"/>
    <s v="F640"/>
    <s v="HSLAS"/>
    <m/>
    <m/>
    <m/>
    <m/>
    <m/>
    <m/>
    <n v="40"/>
    <n v="0"/>
    <n v="5.07"/>
    <n v="0"/>
    <m/>
    <n v="0"/>
    <m/>
    <n v="0"/>
    <m/>
    <n v="0"/>
    <m/>
    <n v="0"/>
    <m/>
    <n v="0"/>
    <m/>
    <n v="0"/>
    <s v="ToyoLi"/>
    <n v="30"/>
    <n v="0"/>
    <n v="78.29222222222222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8"/>
    <n v="5"/>
    <n v="2"/>
    <n v="2"/>
    <n v="5"/>
    <n v="20"/>
    <n v="0"/>
    <n v="0.3"/>
    <m/>
    <m/>
    <n v="0.5"/>
    <n v="0.2"/>
    <n v="0"/>
    <n v="86"/>
    <n v="0"/>
    <n v="0"/>
    <n v="86"/>
    <n v="86"/>
    <n v="25.8"/>
    <n v="0"/>
    <n v="0"/>
    <n v="0"/>
    <n v="0"/>
    <n v="0"/>
    <n v="43"/>
    <n v="0"/>
    <n v="17.2"/>
    <n v="0"/>
    <n v="0"/>
    <n v="0"/>
    <n v="0"/>
    <m/>
    <n v="95.07"/>
    <n v="138.07"/>
    <s v="TL35"/>
    <s v="ToyoLiToyoLiToyoLiToyoLiToyoLiToyoLiToyoLi"/>
    <s v="+"/>
    <s v="+"/>
    <s v="+"/>
    <s v="+"/>
    <s v="+"/>
    <s v="+"/>
    <s v="+"/>
    <s v="NIL"/>
    <b v="0"/>
  </r>
  <r>
    <d v="2026-01-02T00:00:00"/>
    <s v="B"/>
    <x v="36"/>
    <n v="1"/>
    <n v="243"/>
    <n v="10400"/>
    <s v="II"/>
    <s v="N"/>
    <n v="2.16"/>
    <s v="GREEN"/>
    <s v="H01284G"/>
    <s v="FLINTSL - GREEN"/>
    <n v="17"/>
    <n v="0"/>
    <m/>
    <m/>
    <n v="0"/>
    <n v="25863000002"/>
    <n v="25864000008"/>
    <m/>
    <m/>
    <m/>
    <m/>
    <m/>
    <m/>
    <n v="2"/>
    <e v="#N/A"/>
    <n v="4"/>
    <e v="#N/A"/>
    <m/>
    <n v="0"/>
    <m/>
    <n v="0"/>
    <m/>
    <n v="0"/>
    <m/>
    <n v="0"/>
    <m/>
    <n v="0"/>
    <m/>
    <n v="0"/>
    <s v="FLINTSL"/>
    <n v="22"/>
    <n v="0"/>
    <n v="6.1904761904761898"/>
    <n v="0"/>
    <s v="GREEN"/>
    <s v="C01420G"/>
    <s v="FLINTSL - GREEN"/>
    <n v="12"/>
    <n v="0"/>
    <m/>
    <m/>
    <n v="0"/>
    <n v="26502000001"/>
    <n v="25864000008"/>
    <n v="25851000006"/>
    <m/>
    <m/>
    <m/>
    <m/>
    <m/>
    <n v="30"/>
    <e v="#N/A"/>
    <n v="8"/>
    <e v="#N/A"/>
    <n v="2"/>
    <e v="#N/A"/>
    <m/>
    <n v="0"/>
    <m/>
    <n v="0"/>
    <m/>
    <n v="0"/>
    <m/>
    <n v="0"/>
    <m/>
    <n v="0"/>
    <s v="FLINTSL"/>
    <n v="27"/>
    <n v="0"/>
    <n v="42.301587301587304"/>
    <n v="0"/>
    <s v="RED"/>
    <s v="F00837R"/>
    <s v="FLINTSL - RED"/>
    <n v="24"/>
    <n v="0"/>
    <m/>
    <m/>
    <n v="0"/>
    <n v="25862000010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6"/>
    <n v="0"/>
    <n v="11.650793650793652"/>
    <n v="0"/>
    <s v="GREEN"/>
    <m/>
    <s v="FLINTSL - GREEN"/>
    <m/>
    <n v="0"/>
    <m/>
    <m/>
    <n v="0"/>
    <n v="26502000002"/>
    <n v="26502000007"/>
    <m/>
    <m/>
    <m/>
    <m/>
    <m/>
    <m/>
    <n v="30"/>
    <e v="#N/A"/>
    <n v="40"/>
    <e v="#N/A"/>
    <m/>
    <n v="0"/>
    <m/>
    <n v="0"/>
    <m/>
    <n v="0"/>
    <m/>
    <n v="0"/>
    <m/>
    <n v="0"/>
    <m/>
    <n v="0"/>
    <s v="FLINTSL"/>
    <n v="28"/>
    <n v="0"/>
    <n v="55.841269841269835"/>
    <n v="0"/>
    <s v="GREEN"/>
    <m/>
    <s v="FLINTSL - GREEN"/>
    <m/>
    <n v="0"/>
    <m/>
    <m/>
    <n v="0"/>
    <n v="25864000008"/>
    <n v="25863000002"/>
    <n v="26502000008"/>
    <m/>
    <m/>
    <m/>
    <m/>
    <m/>
    <n v="4"/>
    <e v="#N/A"/>
    <n v="1"/>
    <e v="#N/A"/>
    <n v="15"/>
    <e v="#N/A"/>
    <m/>
    <n v="0"/>
    <m/>
    <n v="0"/>
    <m/>
    <n v="0"/>
    <m/>
    <n v="0"/>
    <m/>
    <n v="0"/>
    <s v="FLINTSL"/>
    <n v="25"/>
    <n v="0"/>
    <n v="3.650793650793652"/>
    <n v="0"/>
    <s v="ORANGE"/>
    <s v="G00392O"/>
    <s v="FLINTSL - ORANGE"/>
    <n v="27"/>
    <n v="0"/>
    <m/>
    <m/>
    <n v="0"/>
    <n v="25862000010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4"/>
    <n v="0"/>
    <n v="7.4603174603174587"/>
    <n v="0"/>
    <s v="WHITE"/>
    <m/>
    <s v="FLINTSL - WHITE"/>
    <m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5"/>
    <n v="0"/>
    <n v="76.90476190476189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10"/>
    <n v="5"/>
    <n v="8"/>
    <n v="5"/>
    <n v="2"/>
    <n v="30"/>
    <n v="0"/>
    <n v="0.8"/>
    <n v="0.2"/>
    <m/>
    <m/>
    <m/>
    <n v="0"/>
    <n v="109"/>
    <n v="0"/>
    <n v="0"/>
    <n v="109"/>
    <n v="109"/>
    <n v="87.2"/>
    <n v="0"/>
    <n v="21.8"/>
    <n v="0"/>
    <n v="0"/>
    <n v="0"/>
    <n v="0"/>
    <n v="0"/>
    <n v="0"/>
    <n v="0"/>
    <n v="0"/>
    <n v="0"/>
    <n v="0"/>
    <m/>
    <n v="202"/>
    <n v="204"/>
    <n v="1"/>
    <s v="FLINTSLFLINTSLFLINTSLFLINTSLFLINTSLFLINTSLFLINTSL"/>
    <s v="+"/>
    <s v="+"/>
    <s v="+"/>
    <s v="+"/>
    <s v="+"/>
    <s v="+"/>
    <s v="+"/>
    <s v="NIL"/>
    <b v="0"/>
  </r>
  <r>
    <d v="2026-01-02T00:00:00"/>
    <s v="B"/>
    <x v="37"/>
    <n v="2"/>
    <n v="471"/>
    <n v="24700"/>
    <s v="II"/>
    <s v="N"/>
    <n v="0.61"/>
    <s v="BLACK"/>
    <s v="H01284B"/>
    <s v="FLINTSL - BLACK"/>
    <n v="29"/>
    <n v="0"/>
    <m/>
    <m/>
    <n v="0"/>
    <n v="25862000007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7"/>
    <n v="0"/>
    <n v="10.151515151515149"/>
    <n v="0"/>
    <s v="RED"/>
    <s v="C01434R"/>
    <s v="FLINTSL - RED"/>
    <n v="26"/>
    <n v="0"/>
    <m/>
    <m/>
    <n v="0"/>
    <n v="25863000024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10.151515151515149"/>
    <n v="0"/>
    <s v="BLACK"/>
    <s v="E00986B"/>
    <s v="FLINTSL - BLACK"/>
    <n v="15"/>
    <n v="0"/>
    <m/>
    <m/>
    <n v="0"/>
    <n v="25862000007"/>
    <n v="25863000024"/>
    <n v="25864000008"/>
    <m/>
    <m/>
    <m/>
    <m/>
    <m/>
    <n v="4"/>
    <e v="#N/A"/>
    <n v="2"/>
    <e v="#N/A"/>
    <n v="2"/>
    <e v="#N/A"/>
    <m/>
    <n v="0"/>
    <m/>
    <n v="0"/>
    <m/>
    <n v="0"/>
    <m/>
    <n v="0"/>
    <m/>
    <n v="0"/>
    <s v="FLINTSL"/>
    <n v="24"/>
    <n v="0"/>
    <n v="16.878787878787875"/>
    <n v="0"/>
    <s v="BLACK"/>
    <s v="C01372B"/>
    <s v="FLINTSL - BLACK"/>
    <n v="11"/>
    <n v="0"/>
    <m/>
    <m/>
    <n v="0"/>
    <n v="25864000008"/>
    <n v="25863000024"/>
    <m/>
    <m/>
    <m/>
    <m/>
    <m/>
    <m/>
    <n v="8"/>
    <e v="#N/A"/>
    <n v="1"/>
    <e v="#N/A"/>
    <m/>
    <n v="0"/>
    <m/>
    <n v="0"/>
    <m/>
    <n v="0"/>
    <m/>
    <n v="0"/>
    <m/>
    <n v="0"/>
    <m/>
    <n v="0"/>
    <s v="FLINTSL"/>
    <n v="21"/>
    <n v="0"/>
    <n v="16.878787878787875"/>
    <n v="0"/>
    <s v="REFLEX BLUE"/>
    <m/>
    <s v="FLINTSL - REFLEX BLUE"/>
    <m/>
    <n v="0"/>
    <m/>
    <m/>
    <n v="0"/>
    <n v="26501000002"/>
    <s v="FMD"/>
    <n v="25863000002"/>
    <n v="26502000003"/>
    <n v="26502000009"/>
    <m/>
    <m/>
    <m/>
    <n v="10"/>
    <e v="#N/A"/>
    <n v="7"/>
    <n v="0"/>
    <n v="4"/>
    <e v="#N/A"/>
    <n v="40"/>
    <e v="#N/A"/>
    <n v="40"/>
    <e v="#N/A"/>
    <m/>
    <n v="0"/>
    <m/>
    <n v="0"/>
    <m/>
    <n v="0"/>
    <s v="FLINTSL"/>
    <n v="15"/>
    <n v="0"/>
    <n v="121.75757575757575"/>
    <n v="0"/>
    <s v="CYAN"/>
    <s v="H01284C"/>
    <s v="FLINTSL - CYAN"/>
    <n v="26"/>
    <n v="0"/>
    <m/>
    <m/>
    <n v="0"/>
    <n v="25863000002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4"/>
    <n v="0"/>
    <n v="10.151515151515149"/>
    <n v="0"/>
    <s v="MAGENTA"/>
    <s v="H01284M"/>
    <s v="FLINTSL - MAGENTA"/>
    <n v="24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6"/>
    <n v="0"/>
    <n v="19.878787878787875"/>
    <n v="0"/>
    <s v="YELLOW"/>
    <s v="H01284Y"/>
    <s v="FLINTSL - YELLOW"/>
    <n v="28"/>
    <n v="0"/>
    <m/>
    <m/>
    <n v="0"/>
    <n v="25864000008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5"/>
    <n v="0"/>
    <n v="14.151515151515149"/>
    <n v="0"/>
    <n v="2"/>
    <n v="2"/>
    <n v="5"/>
    <n v="5"/>
    <n v="10"/>
    <n v="2"/>
    <n v="5"/>
    <n v="2"/>
    <n v="0.8"/>
    <n v="0.2"/>
    <m/>
    <m/>
    <m/>
    <n v="0"/>
    <n v="118"/>
    <n v="0"/>
    <n v="0"/>
    <n v="118"/>
    <n v="118"/>
    <n v="94.4"/>
    <n v="0"/>
    <n v="23.6"/>
    <n v="0"/>
    <n v="0"/>
    <n v="0"/>
    <n v="0"/>
    <n v="0"/>
    <n v="0"/>
    <n v="0"/>
    <n v="0"/>
    <n v="0"/>
    <n v="0"/>
    <m/>
    <n v="130"/>
    <n v="220"/>
    <n v="2"/>
    <s v="FLINTSLFLINTSLFLINTSLFLINTSLFLINTSLFLINTSLFLINTSLFLINTSL"/>
    <s v="+"/>
    <s v="+"/>
    <s v="+"/>
    <s v="+"/>
    <s v="+"/>
    <s v="+"/>
    <s v="+"/>
    <s v="+"/>
    <b v="0"/>
  </r>
  <r>
    <d v="2026-01-02T00:00:00"/>
    <s v="B"/>
    <x v="38"/>
    <n v="3"/>
    <n v="478"/>
    <n v="25100"/>
    <s v="II"/>
    <s v="N"/>
    <n v="0.61"/>
    <s v="BLACK"/>
    <s v="E00996B"/>
    <s v="FLINTSL - BLACK"/>
    <n v="27"/>
    <n v="0"/>
    <m/>
    <m/>
    <n v="0"/>
    <n v="25862000007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5"/>
    <n v="0"/>
    <n v="12.600000000000001"/>
    <n v="0"/>
    <s v="RED"/>
    <s v="E00996R"/>
    <s v="FLINTSL - RED"/>
    <n v="25"/>
    <n v="0"/>
    <m/>
    <m/>
    <n v="0"/>
    <n v="25863000024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2"/>
    <n v="0"/>
    <n v="13.600000000000001"/>
    <n v="0"/>
    <s v="BLACK"/>
    <s v="E00996B"/>
    <s v="FLINTSL - BLACK"/>
    <n v="24"/>
    <n v="0"/>
    <m/>
    <m/>
    <n v="0"/>
    <n v="25862000007"/>
    <n v="25864000008"/>
    <m/>
    <m/>
    <m/>
    <m/>
    <m/>
    <m/>
    <n v="0.4"/>
    <e v="#N/A"/>
    <n v="2"/>
    <e v="#N/A"/>
    <m/>
    <n v="0"/>
    <m/>
    <n v="0"/>
    <m/>
    <n v="0"/>
    <m/>
    <n v="0"/>
    <m/>
    <n v="0"/>
    <m/>
    <n v="0"/>
    <s v="FLINTSL"/>
    <n v="23"/>
    <n v="0"/>
    <n v="27.4"/>
    <n v="0"/>
    <s v="BLACK"/>
    <s v="E00996B"/>
    <s v="FLINTSL - BLACK"/>
    <n v="21"/>
    <n v="0"/>
    <m/>
    <m/>
    <n v="0"/>
    <n v="25863000024"/>
    <m/>
    <m/>
    <m/>
    <m/>
    <m/>
    <m/>
    <m/>
    <n v="0.5"/>
    <e v="#N/A"/>
    <m/>
    <n v="0"/>
    <m/>
    <n v="0"/>
    <m/>
    <n v="0"/>
    <m/>
    <n v="0"/>
    <m/>
    <n v="0"/>
    <m/>
    <n v="0"/>
    <m/>
    <n v="0"/>
    <s v="FLINTSL"/>
    <n v="20"/>
    <n v="0"/>
    <n v="15.899999999999999"/>
    <n v="0"/>
    <s v="BLACK"/>
    <m/>
    <s v="FLINTSL - BLACK"/>
    <m/>
    <n v="0"/>
    <m/>
    <m/>
    <n v="0"/>
    <n v="26503000001"/>
    <n v="26502000004"/>
    <n v="25862000007"/>
    <m/>
    <m/>
    <m/>
    <m/>
    <m/>
    <n v="40"/>
    <e v="#N/A"/>
    <n v="40"/>
    <e v="#N/A"/>
    <n v="2"/>
    <e v="#N/A"/>
    <m/>
    <n v="0"/>
    <m/>
    <n v="0"/>
    <m/>
    <n v="0"/>
    <m/>
    <n v="0"/>
    <m/>
    <n v="0"/>
    <s v="FLINTSL"/>
    <n v="20"/>
    <n v="0"/>
    <n v="95.6"/>
    <n v="0"/>
    <s v="CYAN"/>
    <s v="E00996C"/>
    <s v="FLINTSL - CYAN"/>
    <n v="24"/>
    <n v="0"/>
    <m/>
    <m/>
    <n v="0"/>
    <n v="25863000002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2"/>
    <n v="0"/>
    <n v="12.600000000000001"/>
    <n v="0"/>
    <s v="MAGENTA"/>
    <s v="E00996M"/>
    <s v="FLINTSL - MAGENTA"/>
    <n v="26"/>
    <n v="0"/>
    <m/>
    <m/>
    <n v="0"/>
    <n v="25862000007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8.7999999999999972"/>
    <n v="0"/>
    <s v="YELLOW"/>
    <s v="E00996Y"/>
    <s v="FLINTSL - YELLOW"/>
    <n v="25"/>
    <n v="0"/>
    <m/>
    <m/>
    <n v="0"/>
    <n v="25864000008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4"/>
    <n v="0"/>
    <n v="18.399999999999999"/>
    <n v="0"/>
    <n v="2"/>
    <n v="2"/>
    <n v="5"/>
    <n v="3"/>
    <n v="7"/>
    <n v="2"/>
    <n v="1"/>
    <n v="3"/>
    <n v="0.8"/>
    <n v="0.2"/>
    <m/>
    <m/>
    <m/>
    <n v="0"/>
    <n v="120"/>
    <n v="0"/>
    <n v="0"/>
    <n v="120"/>
    <n v="120"/>
    <n v="96"/>
    <n v="0"/>
    <n v="24"/>
    <n v="0"/>
    <n v="0"/>
    <n v="0"/>
    <n v="0"/>
    <n v="0"/>
    <n v="0"/>
    <n v="0"/>
    <n v="0"/>
    <n v="0"/>
    <n v="0"/>
    <m/>
    <n v="92.9"/>
    <n v="204.9"/>
    <n v="3"/>
    <s v="FLINTSLFLINTSLFLINTSLFLINTSLFLINTSLFLINTSLFLINTSLFLINTSL"/>
    <s v="+"/>
    <s v="+"/>
    <s v="+"/>
    <s v="+"/>
    <s v="+"/>
    <s v="+"/>
    <s v="+"/>
    <s v="+"/>
    <b v="0"/>
  </r>
  <r>
    <d v="2026-01-02T00:00:00"/>
    <s v="B"/>
    <x v="39"/>
    <n v="4"/>
    <n v="744"/>
    <n v="33900"/>
    <s v="II"/>
    <s v="N"/>
    <n v="1.65"/>
    <s v="BLACK"/>
    <s v="E00997B"/>
    <s v="FLINTSL - BLACK"/>
    <n v="25"/>
    <n v="0"/>
    <m/>
    <m/>
    <n v="0"/>
    <n v="25862000007"/>
    <m/>
    <m/>
    <m/>
    <m/>
    <m/>
    <m/>
    <m/>
    <n v="13"/>
    <e v="#N/A"/>
    <m/>
    <n v="0"/>
    <m/>
    <n v="0"/>
    <m/>
    <n v="0"/>
    <m/>
    <n v="0"/>
    <m/>
    <n v="0"/>
    <m/>
    <n v="0"/>
    <m/>
    <n v="0"/>
    <s v="FLINTSL"/>
    <n v="24"/>
    <n v="0"/>
    <n v="21.450000000000003"/>
    <n v="0"/>
    <s v="BLACK"/>
    <s v="E00997B"/>
    <s v="FLINTSL - BLACK"/>
    <n v="20"/>
    <n v="0"/>
    <m/>
    <m/>
    <n v="0"/>
    <n v="25862000007"/>
    <n v="25863000009"/>
    <n v="25864000008"/>
    <m/>
    <m/>
    <m/>
    <m/>
    <m/>
    <n v="1"/>
    <e v="#N/A"/>
    <n v="3"/>
    <e v="#N/A"/>
    <n v="4"/>
    <e v="#N/A"/>
    <m/>
    <n v="0"/>
    <m/>
    <n v="0"/>
    <m/>
    <n v="0"/>
    <m/>
    <n v="0"/>
    <m/>
    <n v="0"/>
    <s v="FLINTSL"/>
    <n v="29"/>
    <n v="0"/>
    <n v="11.416666666666664"/>
    <n v="0"/>
    <s v="MEDIUM"/>
    <s v="N00867M"/>
    <s v="FLINTSL - MEDIUM"/>
    <n v="10"/>
    <n v="0"/>
    <s v="N00865M"/>
    <n v="30"/>
    <n v="0"/>
    <s v="FW"/>
    <s v="FMD"/>
    <n v="25864000008"/>
    <m/>
    <m/>
    <m/>
    <m/>
    <m/>
    <n v="15"/>
    <n v="0"/>
    <n v="5"/>
    <n v="0"/>
    <n v="2"/>
    <e v="#N/A"/>
    <m/>
    <n v="0"/>
    <m/>
    <n v="0"/>
    <m/>
    <n v="0"/>
    <m/>
    <n v="0"/>
    <m/>
    <n v="0"/>
    <s v="FLINTSL"/>
    <n v="44"/>
    <n v="0"/>
    <n v="47.8"/>
    <n v="0"/>
    <s v="GREEN"/>
    <s v="C01434G"/>
    <s v="FLINTSL - GREEN"/>
    <n v="25"/>
    <n v="0"/>
    <m/>
    <m/>
    <n v="0"/>
    <n v="25863000002"/>
    <m/>
    <m/>
    <m/>
    <m/>
    <m/>
    <m/>
    <m/>
    <n v="12"/>
    <e v="#N/A"/>
    <m/>
    <n v="0"/>
    <m/>
    <n v="0"/>
    <m/>
    <n v="0"/>
    <m/>
    <n v="0"/>
    <m/>
    <n v="0"/>
    <m/>
    <n v="0"/>
    <m/>
    <n v="0"/>
    <s v="FLINTSL"/>
    <n v="24"/>
    <n v="0"/>
    <n v="20.450000000000003"/>
    <n v="0"/>
    <s v="MAGENTA"/>
    <s v="E00997M"/>
    <s v="FLINTSL - MAGENTA"/>
    <n v="24"/>
    <n v="0"/>
    <m/>
    <m/>
    <n v="0"/>
    <n v="25863000024"/>
    <m/>
    <m/>
    <m/>
    <m/>
    <m/>
    <m/>
    <m/>
    <n v="13"/>
    <e v="#N/A"/>
    <m/>
    <n v="0"/>
    <m/>
    <n v="0"/>
    <m/>
    <n v="0"/>
    <m/>
    <n v="0"/>
    <m/>
    <n v="0"/>
    <m/>
    <n v="0"/>
    <m/>
    <n v="0"/>
    <s v="FLINTSL"/>
    <n v="22"/>
    <n v="0"/>
    <n v="19.966666666666669"/>
    <n v="0"/>
    <s v="YELLOW"/>
    <s v="E00997Y"/>
    <s v="FLINTSL - YELLOW"/>
    <n v="24"/>
    <n v="0"/>
    <m/>
    <m/>
    <n v="0"/>
    <s v="FMD"/>
    <m/>
    <m/>
    <m/>
    <m/>
    <m/>
    <m/>
    <m/>
    <n v="14"/>
    <n v="0"/>
    <m/>
    <n v="0"/>
    <m/>
    <n v="0"/>
    <m/>
    <n v="0"/>
    <m/>
    <n v="0"/>
    <m/>
    <n v="0"/>
    <m/>
    <n v="0"/>
    <m/>
    <n v="0"/>
    <s v="FLINTSL"/>
    <n v="25"/>
    <n v="0"/>
    <n v="25.416666666666664"/>
    <n v="0"/>
    <s v="WHITE"/>
    <s v="C01434W"/>
    <s v="FLINTSL - WHITE"/>
    <n v="35"/>
    <n v="0"/>
    <m/>
    <m/>
    <n v="0"/>
    <s v="FW"/>
    <m/>
    <m/>
    <m/>
    <m/>
    <m/>
    <m/>
    <m/>
    <n v="160"/>
    <n v="0"/>
    <m/>
    <n v="0"/>
    <m/>
    <n v="0"/>
    <m/>
    <n v="0"/>
    <m/>
    <n v="0"/>
    <m/>
    <n v="0"/>
    <m/>
    <n v="0"/>
    <m/>
    <n v="0"/>
    <s v="FLINTSL"/>
    <n v="29"/>
    <n v="0"/>
    <n v="389.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5"/>
    <n v="12"/>
    <n v="3"/>
    <n v="2"/>
    <n v="5"/>
    <n v="90"/>
    <n v="0"/>
    <n v="0.8"/>
    <n v="0.2"/>
    <m/>
    <m/>
    <m/>
    <n v="0"/>
    <n v="298"/>
    <n v="0"/>
    <n v="0"/>
    <n v="298"/>
    <n v="298"/>
    <n v="238.4"/>
    <n v="0"/>
    <n v="59.6"/>
    <n v="0"/>
    <n v="0"/>
    <n v="0"/>
    <n v="0"/>
    <n v="0"/>
    <n v="0"/>
    <n v="0"/>
    <n v="0"/>
    <n v="0"/>
    <n v="0"/>
    <m/>
    <n v="242"/>
    <n v="536"/>
    <n v="4"/>
    <s v="FLINTSLFLINTSLFLINTSLFLINTSLFLINTSLFLINTSLFLINTSL"/>
    <s v="+"/>
    <s v="+"/>
    <s v="+"/>
    <s v="+"/>
    <s v="+"/>
    <s v="+"/>
    <s v="+"/>
    <s v="NIL"/>
    <b v="0"/>
  </r>
  <r>
    <d v="2026-01-02T00:00:00"/>
    <s v="B"/>
    <x v="40"/>
    <n v="5"/>
    <n v="473"/>
    <n v="23500"/>
    <s v="II"/>
    <s v="N"/>
    <n v="2.1"/>
    <s v="BLACK"/>
    <s v="N00703B"/>
    <s v="FLINTSL - BLACK"/>
    <n v="24"/>
    <n v="0"/>
    <m/>
    <m/>
    <n v="0"/>
    <n v="25862000007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9.125"/>
    <n v="0"/>
    <s v="REFLEX BLUE"/>
    <s v="E00996BN"/>
    <s v="FLINTSL - REFLEX BLUE"/>
    <n v="15"/>
    <n v="0"/>
    <s v="H01284B"/>
    <n v="7"/>
    <n v="0"/>
    <s v="FMD"/>
    <n v="25863000002"/>
    <m/>
    <m/>
    <m/>
    <m/>
    <m/>
    <m/>
    <n v="5"/>
    <n v="0"/>
    <n v="2"/>
    <e v="#N/A"/>
    <m/>
    <n v="0"/>
    <m/>
    <n v="0"/>
    <m/>
    <n v="0"/>
    <m/>
    <n v="0"/>
    <m/>
    <n v="0"/>
    <m/>
    <n v="0"/>
    <s v="FLINTSL"/>
    <n v="25"/>
    <n v="0"/>
    <n v="20.875"/>
    <n v="0"/>
    <s v="RED"/>
    <s v="E00997R"/>
    <s v="FLINTSL - RED"/>
    <n v="20"/>
    <n v="0"/>
    <m/>
    <m/>
    <n v="0"/>
    <n v="26502000005"/>
    <n v="25863000024"/>
    <m/>
    <m/>
    <m/>
    <m/>
    <m/>
    <m/>
    <n v="40"/>
    <e v="#N/A"/>
    <n v="7"/>
    <e v="#N/A"/>
    <m/>
    <n v="0"/>
    <m/>
    <n v="0"/>
    <m/>
    <n v="0"/>
    <m/>
    <n v="0"/>
    <m/>
    <n v="0"/>
    <m/>
    <n v="0"/>
    <s v="FLINTSL"/>
    <n v="30"/>
    <n v="0"/>
    <n v="50.5"/>
    <n v="0"/>
    <s v="CYAN"/>
    <s v="E00997C"/>
    <s v="FLINTSL - CYAN"/>
    <n v="22"/>
    <n v="0"/>
    <m/>
    <m/>
    <n v="0"/>
    <n v="25863000002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10.125"/>
    <n v="0"/>
    <s v="MAGENTA"/>
    <s v="N00703Y"/>
    <s v="FLINTSL - MAGENTA"/>
    <n v="22"/>
    <n v="0"/>
    <m/>
    <m/>
    <n v="0"/>
    <n v="25863000024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5"/>
    <n v="0"/>
    <n v="10.125"/>
    <n v="0"/>
    <s v="YELLOW"/>
    <s v="N00703Y"/>
    <s v="FLINTSL - YELLOW"/>
    <n v="25"/>
    <n v="0"/>
    <m/>
    <m/>
    <n v="0"/>
    <n v="25864000008"/>
    <s v="FMD"/>
    <m/>
    <m/>
    <m/>
    <m/>
    <m/>
    <m/>
    <n v="4"/>
    <e v="#N/A"/>
    <n v="5"/>
    <n v="0"/>
    <m/>
    <n v="0"/>
    <m/>
    <n v="0"/>
    <m/>
    <n v="0"/>
    <m/>
    <n v="0"/>
    <m/>
    <n v="0"/>
    <m/>
    <n v="0"/>
    <s v="FLINTSL"/>
    <n v="30"/>
    <n v="0"/>
    <n v="17.5"/>
    <n v="0"/>
    <s v="YELLOW"/>
    <m/>
    <s v="FLINTSL - YELLOW"/>
    <m/>
    <n v="0"/>
    <m/>
    <m/>
    <n v="0"/>
    <n v="26502000006"/>
    <n v="25864000008"/>
    <n v="26503000004"/>
    <m/>
    <m/>
    <m/>
    <m/>
    <m/>
    <n v="40"/>
    <e v="#N/A"/>
    <n v="5"/>
    <e v="#N/A"/>
    <n v="30"/>
    <e v="#N/A"/>
    <m/>
    <n v="0"/>
    <m/>
    <n v="0"/>
    <m/>
    <n v="0"/>
    <m/>
    <n v="0"/>
    <m/>
    <n v="0"/>
    <s v="FLINTSL"/>
    <n v="30"/>
    <n v="0"/>
    <n v="58.5"/>
    <n v="0"/>
    <s v="WHITE"/>
    <s v="N00703W"/>
    <s v="KSA Ink Product - WHITE"/>
    <n v="29"/>
    <n v="0"/>
    <m/>
    <m/>
    <n v="0"/>
    <n v="2000"/>
    <n v="165"/>
    <m/>
    <m/>
    <m/>
    <m/>
    <m/>
    <m/>
    <n v="50"/>
    <n v="0"/>
    <n v="1.93"/>
    <n v="0"/>
    <m/>
    <n v="0"/>
    <m/>
    <n v="0"/>
    <m/>
    <n v="0"/>
    <m/>
    <n v="0"/>
    <m/>
    <n v="0"/>
    <m/>
    <n v="0"/>
    <s v="KSA Ink Product"/>
    <n v="30"/>
    <n v="0"/>
    <n v="152.18"/>
    <n v="0"/>
    <n v="3"/>
    <n v="5"/>
    <n v="4"/>
    <n v="3"/>
    <n v="3"/>
    <n v="4"/>
    <n v="4"/>
    <n v="30"/>
    <n v="0.8"/>
    <n v="0.2"/>
    <m/>
    <m/>
    <m/>
    <n v="0"/>
    <n v="189"/>
    <n v="0"/>
    <n v="0"/>
    <n v="189"/>
    <n v="189"/>
    <n v="151.20000000000002"/>
    <n v="0"/>
    <n v="37.800000000000004"/>
    <n v="0"/>
    <n v="0"/>
    <n v="0"/>
    <n v="0"/>
    <n v="0"/>
    <n v="0"/>
    <n v="0"/>
    <n v="0"/>
    <n v="0"/>
    <n v="0"/>
    <m/>
    <n v="198.93"/>
    <n v="328.93"/>
    <n v="5"/>
    <s v="FLINTSLFLINTSLFLINTSLFLINTSLFLINTSLFLINTSLFLINTSLKSA Ink Product"/>
    <s v="+"/>
    <s v="+"/>
    <s v="+"/>
    <s v="+"/>
    <s v="+"/>
    <s v="+"/>
    <s v="+"/>
    <s v="+"/>
    <b v="0"/>
  </r>
  <r>
    <d v="2026-01-03T00:00:00"/>
    <s v="A"/>
    <x v="41"/>
    <n v="6"/>
    <n v="497"/>
    <n v="26200"/>
    <s v="II"/>
    <s v="N"/>
    <n v="0.1"/>
    <s v="BLACK"/>
    <s v="C01421B"/>
    <s v="FLINTSL - BLACK"/>
    <n v="27"/>
    <n v="0"/>
    <m/>
    <m/>
    <n v="0"/>
    <n v="25862000007"/>
    <m/>
    <m/>
    <m/>
    <m/>
    <m/>
    <m/>
    <m/>
    <n v="14"/>
    <e v="#N/A"/>
    <m/>
    <n v="0"/>
    <m/>
    <n v="0"/>
    <m/>
    <n v="0"/>
    <m/>
    <n v="0"/>
    <m/>
    <n v="0"/>
    <m/>
    <n v="0"/>
    <m/>
    <n v="0"/>
    <s v="FLINTSL"/>
    <n v="29"/>
    <n v="0"/>
    <n v="5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2"/>
    <n v="0"/>
    <n v="0"/>
    <n v="0"/>
    <n v="0"/>
    <n v="0"/>
    <n v="0"/>
    <n v="0"/>
    <n v="0.8"/>
    <n v="0.2"/>
    <m/>
    <m/>
    <m/>
    <n v="0"/>
    <n v="42"/>
    <n v="0"/>
    <n v="0"/>
    <n v="42"/>
    <n v="42"/>
    <n v="33.6"/>
    <n v="0"/>
    <n v="8.4"/>
    <n v="0"/>
    <n v="0"/>
    <n v="0"/>
    <n v="0"/>
    <n v="0"/>
    <n v="0"/>
    <n v="0"/>
    <n v="0"/>
    <n v="0"/>
    <n v="0"/>
    <m/>
    <n v="14"/>
    <n v="54"/>
    <n v="6"/>
    <s v="FLINTSL"/>
    <s v="+"/>
    <s v="NIL"/>
    <s v="NIL"/>
    <s v="NIL"/>
    <s v="NIL"/>
    <s v="NIL"/>
    <s v="NIL"/>
    <s v="NIL"/>
    <b v="0"/>
  </r>
  <r>
    <d v="2026-01-03T00:00:00"/>
    <s v="A"/>
    <x v="42"/>
    <n v="7"/>
    <n v="248"/>
    <n v="13500"/>
    <s v="II"/>
    <s v="N"/>
    <n v="1.3"/>
    <s v="BLACK"/>
    <s v="C01430B"/>
    <s v="FLINTSL - BLACK"/>
    <n v="29"/>
    <n v="0"/>
    <m/>
    <m/>
    <n v="0"/>
    <n v="26503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5.6052631578947398"/>
    <n v="0"/>
    <s v="RED"/>
    <s v="C01421R"/>
    <s v="FLINTSL - RED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2"/>
    <n v="0"/>
    <n v="13.210526315789473"/>
    <n v="0"/>
    <s v="GREEN"/>
    <s v="C01434G"/>
    <s v="FLINTSL - GREEN"/>
    <n v="22"/>
    <n v="0"/>
    <m/>
    <m/>
    <n v="0"/>
    <n v="26503000005"/>
    <n v="25863000002"/>
    <m/>
    <m/>
    <m/>
    <m/>
    <m/>
    <m/>
    <n v="2"/>
    <e v="#N/A"/>
    <n v="3"/>
    <e v="#N/A"/>
    <m/>
    <n v="0"/>
    <m/>
    <n v="0"/>
    <m/>
    <n v="0"/>
    <m/>
    <n v="0"/>
    <m/>
    <n v="0"/>
    <m/>
    <n v="0"/>
    <s v="FLINTSL"/>
    <n v="24"/>
    <n v="0"/>
    <n v="8.2105263157894726"/>
    <n v="0"/>
    <s v="GREEN"/>
    <s v="C01421C"/>
    <s v="FLINTSL - GREEN"/>
    <n v="25"/>
    <n v="0"/>
    <m/>
    <m/>
    <n v="0"/>
    <n v="25863000002"/>
    <n v="25864000008"/>
    <n v="25862000007"/>
    <m/>
    <m/>
    <m/>
    <m/>
    <m/>
    <n v="5"/>
    <e v="#N/A"/>
    <n v="4"/>
    <e v="#N/A"/>
    <n v="1.5"/>
    <e v="#N/A"/>
    <m/>
    <n v="0"/>
    <m/>
    <n v="0"/>
    <m/>
    <n v="0"/>
    <m/>
    <n v="0"/>
    <m/>
    <n v="0"/>
    <s v="FLINTSL"/>
    <n v="25"/>
    <n v="0"/>
    <n v="26.131578947368418"/>
    <n v="0"/>
    <s v="CYAN"/>
    <s v="C01421C"/>
    <s v="FLINTSL - CYAN"/>
    <n v="25"/>
    <n v="0"/>
    <m/>
    <m/>
    <n v="0"/>
    <n v="25863000002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7"/>
    <n v="0"/>
    <n v="6.2105263157894726"/>
    <n v="0"/>
    <s v="MAGENTA"/>
    <s v="C01421M"/>
    <s v="FLINTSL - MAGENTA"/>
    <n v="30"/>
    <n v="0"/>
    <m/>
    <m/>
    <n v="0"/>
    <n v="25863000024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9.8157894736842124"/>
    <n v="0"/>
    <s v="YELLOW"/>
    <s v="C01421Y"/>
    <s v="FLINTSL - YELLOW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7.2105263157894726"/>
    <n v="0"/>
    <s v="WHITE"/>
    <s v="C01421W"/>
    <s v="FLINTSL - WHITE"/>
    <n v="30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30"/>
    <n v="0"/>
    <n v="92.10526315789474"/>
    <n v="0"/>
    <n v="1"/>
    <n v="2"/>
    <n v="2"/>
    <n v="6"/>
    <n v="2"/>
    <n v="3"/>
    <n v="2"/>
    <n v="20"/>
    <n v="0.8"/>
    <n v="0.2"/>
    <m/>
    <m/>
    <m/>
    <n v="0"/>
    <n v="99"/>
    <n v="0"/>
    <n v="0"/>
    <n v="99"/>
    <n v="99"/>
    <n v="79.2"/>
    <n v="0"/>
    <n v="19.8"/>
    <n v="0"/>
    <n v="0"/>
    <n v="0"/>
    <n v="0"/>
    <n v="0"/>
    <n v="0"/>
    <n v="0"/>
    <n v="0"/>
    <n v="0"/>
    <n v="0"/>
    <m/>
    <n v="62.5"/>
    <n v="168.5"/>
    <n v="7"/>
    <s v="FLINTSLFLINTSLFLINTSLFLINTSLFLINTSLFLINTSLFLINTSLFLINTSL"/>
    <s v="+"/>
    <s v="+"/>
    <s v="+"/>
    <s v="+"/>
    <s v="+"/>
    <s v="+"/>
    <s v="+"/>
    <s v="+"/>
    <b v="0"/>
  </r>
  <r>
    <d v="2026-01-03T00:00:00"/>
    <s v="A"/>
    <x v="43"/>
    <n v="8"/>
    <n v="1021"/>
    <n v="65200"/>
    <s v="II"/>
    <s v="N"/>
    <n v="1.9"/>
    <s v="BLACK"/>
    <s v="C01431B"/>
    <s v="FLINTSL - BLACK"/>
    <n v="28"/>
    <n v="0"/>
    <m/>
    <m/>
    <n v="0"/>
    <n v="26503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18.118811881188122"/>
    <n v="0"/>
    <s v="REFLEX BLUE"/>
    <m/>
    <s v="FLINTSL - REFLEX BLUE"/>
    <m/>
    <n v="0"/>
    <m/>
    <m/>
    <n v="0"/>
    <n v="26503000007"/>
    <m/>
    <m/>
    <m/>
    <m/>
    <m/>
    <m/>
    <m/>
    <n v="20"/>
    <e v="#N/A"/>
    <m/>
    <n v="0"/>
    <m/>
    <n v="0"/>
    <m/>
    <n v="0"/>
    <m/>
    <n v="0"/>
    <m/>
    <n v="0"/>
    <m/>
    <n v="0"/>
    <m/>
    <n v="0"/>
    <s v="FLINTSL"/>
    <n v="19"/>
    <n v="0"/>
    <n v="21.198019801980195"/>
    <n v="0"/>
    <s v="BLACK"/>
    <m/>
    <s v="FLINTSL - BLACK"/>
    <m/>
    <n v="0"/>
    <m/>
    <m/>
    <n v="0"/>
    <n v="26503000005"/>
    <n v="26503000006"/>
    <n v="26503000008"/>
    <n v="26503000011"/>
    <n v="26503000013"/>
    <n v="26503000016"/>
    <m/>
    <m/>
    <n v="1"/>
    <e v="#N/A"/>
    <n v="46"/>
    <e v="#N/A"/>
    <n v="35"/>
    <e v="#N/A"/>
    <n v="40"/>
    <e v="#N/A"/>
    <n v="40"/>
    <e v="#N/A"/>
    <n v="15"/>
    <e v="#N/A"/>
    <m/>
    <n v="0"/>
    <m/>
    <n v="0"/>
    <s v="FLINTSL"/>
    <n v="20"/>
    <n v="0"/>
    <n v="157"/>
    <n v="0"/>
    <s v="GREEN"/>
    <s v="C01431G"/>
    <s v="FLINTSL - GREEN"/>
    <n v="25"/>
    <n v="0"/>
    <m/>
    <m/>
    <n v="0"/>
    <n v="2586400000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0"/>
    <n v="0"/>
    <n v="15.079207920792079"/>
    <n v="0"/>
    <s v="CYAN"/>
    <s v="C01431C"/>
    <s v="FLINTSL - CYAN"/>
    <n v="27"/>
    <n v="0"/>
    <m/>
    <m/>
    <n v="0"/>
    <n v="25863000002"/>
    <s v="FMD"/>
    <m/>
    <m/>
    <m/>
    <m/>
    <m/>
    <m/>
    <n v="5"/>
    <e v="#N/A"/>
    <n v="5"/>
    <n v="0"/>
    <m/>
    <n v="0"/>
    <m/>
    <n v="0"/>
    <m/>
    <n v="0"/>
    <m/>
    <n v="0"/>
    <m/>
    <n v="0"/>
    <m/>
    <n v="0"/>
    <s v="FLINTSL"/>
    <n v="26"/>
    <n v="0"/>
    <n v="35.237623762376238"/>
    <n v="0"/>
    <s v="MAGENTA"/>
    <s v="C01431M"/>
    <s v="FLINTSL - MAGENTA"/>
    <n v="30"/>
    <n v="0"/>
    <m/>
    <m/>
    <n v="0"/>
    <n v="25863000024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5"/>
    <n v="0"/>
    <n v="22.118811881188122"/>
    <n v="0"/>
    <s v="YELLOW"/>
    <s v="C01431Y"/>
    <s v="FLINTSL - YELLOW"/>
    <n v="28"/>
    <n v="0"/>
    <m/>
    <m/>
    <n v="0"/>
    <n v="25864000008"/>
    <s v="FMD"/>
    <m/>
    <m/>
    <m/>
    <m/>
    <m/>
    <m/>
    <n v="15"/>
    <e v="#N/A"/>
    <n v="10"/>
    <n v="0"/>
    <m/>
    <n v="0"/>
    <m/>
    <n v="0"/>
    <m/>
    <n v="0"/>
    <m/>
    <n v="0"/>
    <m/>
    <n v="0"/>
    <m/>
    <n v="0"/>
    <s v="FLINTSL"/>
    <n v="28"/>
    <n v="0"/>
    <n v="113.87128712871288"/>
    <n v="0"/>
    <s v="WHITE"/>
    <s v="C01431W"/>
    <s v="FLINTSL - WHITE"/>
    <n v="30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342.37623762376234"/>
    <n v="0"/>
    <n v="3"/>
    <n v="5"/>
    <n v="0"/>
    <n v="2"/>
    <n v="6"/>
    <n v="3"/>
    <n v="22"/>
    <n v="60"/>
    <n v="0.8"/>
    <n v="0.2"/>
    <m/>
    <m/>
    <m/>
    <n v="0"/>
    <n v="408"/>
    <n v="0"/>
    <n v="0"/>
    <n v="408"/>
    <n v="408"/>
    <n v="326.40000000000003"/>
    <n v="0"/>
    <n v="81.600000000000009"/>
    <n v="0"/>
    <n v="0"/>
    <n v="0"/>
    <n v="0"/>
    <n v="0"/>
    <n v="0"/>
    <n v="0"/>
    <n v="0"/>
    <n v="0"/>
    <n v="0"/>
    <m/>
    <n v="341"/>
    <n v="725"/>
    <n v="8"/>
    <s v="FLINTSLFLINTSLFLINTSLFLINTSLFLINTSLFLINTSLFLINTSLFLINTSL"/>
    <s v="+"/>
    <s v="+"/>
    <s v="+"/>
    <s v="+"/>
    <s v="+"/>
    <s v="+"/>
    <s v="+"/>
    <s v="+"/>
    <b v="0"/>
  </r>
  <r>
    <d v="2026-01-03T00:00:00"/>
    <s v="B"/>
    <x v="44"/>
    <n v="9"/>
    <n v="1026"/>
    <n v="65500"/>
    <s v="II"/>
    <s v="N"/>
    <n v="1.57"/>
    <s v="REFLEX BLUE"/>
    <m/>
    <s v="FLINTSL - REFLEX BLUE"/>
    <m/>
    <n v="0"/>
    <m/>
    <m/>
    <n v="0"/>
    <n v="26503000009"/>
    <n v="26503000018"/>
    <n v="25863000002"/>
    <s v="FMD"/>
    <m/>
    <m/>
    <m/>
    <m/>
    <n v="55"/>
    <e v="#N/A"/>
    <n v="28"/>
    <e v="#N/A"/>
    <n v="7"/>
    <e v="#N/A"/>
    <n v="10"/>
    <n v="0"/>
    <m/>
    <n v="0"/>
    <m/>
    <n v="0"/>
    <m/>
    <n v="0"/>
    <m/>
    <n v="0"/>
    <s v="FLINTSL"/>
    <n v="30"/>
    <n v="0"/>
    <n v="91.851851851851848"/>
    <n v="0"/>
    <s v="REFLEX BLUE"/>
    <s v="H01292B"/>
    <s v="FLINTSL - REFLEX BLUE"/>
    <n v="15"/>
    <n v="0"/>
    <m/>
    <m/>
    <n v="0"/>
    <n v="25864000013"/>
    <n v="25863000002"/>
    <m/>
    <m/>
    <m/>
    <m/>
    <m/>
    <m/>
    <n v="7"/>
    <e v="#N/A"/>
    <n v="3"/>
    <e v="#N/A"/>
    <m/>
    <n v="0"/>
    <m/>
    <n v="0"/>
    <m/>
    <n v="0"/>
    <m/>
    <n v="0"/>
    <m/>
    <n v="0"/>
    <m/>
    <n v="0"/>
    <s v="FLINTSL"/>
    <n v="25"/>
    <n v="0"/>
    <n v="17.481481481481481"/>
    <n v="0"/>
    <s v="RED"/>
    <s v="C01431R"/>
    <s v="FLINTSL - RED"/>
    <n v="15"/>
    <n v="0"/>
    <s v="J00868R"/>
    <n v="23"/>
    <n v="0"/>
    <n v="25863000024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0"/>
    <n v="0"/>
    <n v="33.925925925925924"/>
    <n v="0"/>
    <s v="ORANGE"/>
    <s v="E00975O"/>
    <s v="FLINTSL - ORANGE"/>
    <n v="10"/>
    <n v="0"/>
    <m/>
    <m/>
    <n v="0"/>
    <n v="25864000008"/>
    <n v="25863000024"/>
    <s v="FMD"/>
    <m/>
    <m/>
    <m/>
    <m/>
    <m/>
    <n v="2"/>
    <e v="#N/A"/>
    <n v="2"/>
    <e v="#N/A"/>
    <n v="4"/>
    <n v="0"/>
    <m/>
    <n v="0"/>
    <m/>
    <n v="0"/>
    <m/>
    <n v="0"/>
    <m/>
    <n v="0"/>
    <m/>
    <n v="0"/>
    <s v="FLINTSL"/>
    <n v="22"/>
    <n v="0"/>
    <n v="6.9259259259259238"/>
    <n v="0"/>
    <s v="CYAN"/>
    <s v="H01292C"/>
    <s v="FLINTSL - CYAN"/>
    <n v="26"/>
    <n v="0"/>
    <m/>
    <m/>
    <n v="0"/>
    <n v="2586300000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8.3703703703703667"/>
    <n v="0"/>
    <s v="MAGENTA"/>
    <s v="H01292M"/>
    <s v="FLINTSL - MAGENTA"/>
    <n v="25"/>
    <n v="0"/>
    <m/>
    <m/>
    <n v="0"/>
    <n v="25863000024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3"/>
    <n v="0"/>
    <n v="7.3703703703703702"/>
    <n v="0"/>
    <s v="YELLOW"/>
    <s v="H01292Y"/>
    <s v="FLINTSL - YELLOW"/>
    <n v="28"/>
    <n v="0"/>
    <m/>
    <m/>
    <n v="0"/>
    <n v="25864000008"/>
    <s v="FMD"/>
    <m/>
    <m/>
    <m/>
    <m/>
    <m/>
    <m/>
    <n v="15"/>
    <e v="#N/A"/>
    <n v="5"/>
    <n v="0"/>
    <m/>
    <n v="0"/>
    <m/>
    <n v="0"/>
    <m/>
    <n v="0"/>
    <m/>
    <n v="0"/>
    <m/>
    <n v="0"/>
    <m/>
    <n v="0"/>
    <s v="FLINTSL"/>
    <n v="27"/>
    <n v="0"/>
    <n v="42.851851851851848"/>
    <n v="0"/>
    <s v="WHITE"/>
    <s v="H01292W"/>
    <s v="FLINTSL - WHITE"/>
    <n v="30"/>
    <n v="0"/>
    <m/>
    <m/>
    <n v="0"/>
    <s v="FW"/>
    <m/>
    <m/>
    <m/>
    <m/>
    <m/>
    <m/>
    <m/>
    <n v="200"/>
    <n v="0"/>
    <m/>
    <n v="0"/>
    <m/>
    <n v="0"/>
    <m/>
    <n v="0"/>
    <m/>
    <n v="0"/>
    <m/>
    <n v="0"/>
    <m/>
    <n v="0"/>
    <m/>
    <n v="0"/>
    <s v="FLINTSL"/>
    <n v="30"/>
    <n v="0"/>
    <n v="462.22222222222223"/>
    <n v="0"/>
    <n v="10"/>
    <n v="8"/>
    <n v="5"/>
    <n v="5"/>
    <n v="2"/>
    <n v="2"/>
    <n v="10"/>
    <n v="120"/>
    <n v="0.8"/>
    <n v="0.2"/>
    <m/>
    <m/>
    <m/>
    <n v="0"/>
    <n v="354"/>
    <n v="0"/>
    <n v="0"/>
    <n v="354"/>
    <n v="354"/>
    <n v="283.2"/>
    <n v="0"/>
    <n v="70.8"/>
    <n v="0"/>
    <n v="0"/>
    <n v="0"/>
    <n v="0"/>
    <n v="0"/>
    <n v="0"/>
    <n v="0"/>
    <n v="0"/>
    <n v="0"/>
    <n v="0"/>
    <m/>
    <n v="346"/>
    <n v="671"/>
    <n v="9"/>
    <s v="FLINTSLFLINTSLFLINTSLFLINTSLFLINTSLFLINTSLFLINTSLFLINTSL"/>
    <s v="+"/>
    <s v="+"/>
    <s v="+"/>
    <s v="+"/>
    <s v="+"/>
    <s v="+"/>
    <s v="+"/>
    <s v="+"/>
    <b v="0"/>
  </r>
  <r>
    <d v="2026-01-03T00:00:00"/>
    <s v="B"/>
    <x v="45"/>
    <n v="10"/>
    <n v="1558"/>
    <n v="99500"/>
    <s v="II"/>
    <s v="N"/>
    <n v="2"/>
    <s v="BLACK"/>
    <s v="H01292B"/>
    <s v="FLINTSL - BLACK"/>
    <n v="24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30"/>
    <n v="0"/>
    <n v="14.055248618784532"/>
    <n v="0"/>
    <s v="REFLEX BLUE"/>
    <s v="H01282B"/>
    <s v="FLINTSL - REFLEX BLUE"/>
    <n v="25"/>
    <n v="0"/>
    <m/>
    <m/>
    <n v="0"/>
    <n v="25864000009"/>
    <s v="FMD"/>
    <m/>
    <m/>
    <m/>
    <m/>
    <m/>
    <m/>
    <n v="4"/>
    <e v="#N/A"/>
    <n v="4"/>
    <n v="0"/>
    <m/>
    <n v="0"/>
    <m/>
    <n v="0"/>
    <m/>
    <n v="0"/>
    <m/>
    <n v="0"/>
    <m/>
    <n v="0"/>
    <m/>
    <n v="0"/>
    <s v="FLINTSL"/>
    <n v="29"/>
    <n v="0"/>
    <n v="13.033149171270722"/>
    <n v="0"/>
    <s v="RED"/>
    <m/>
    <s v="FLINTSL - RED"/>
    <m/>
    <n v="0"/>
    <m/>
    <m/>
    <n v="0"/>
    <n v="26504000002"/>
    <n v="26503000012"/>
    <n v="25862000010"/>
    <n v="25863000024"/>
    <n v="25863000009"/>
    <m/>
    <m/>
    <m/>
    <n v="15"/>
    <e v="#N/A"/>
    <n v="30"/>
    <e v="#N/A"/>
    <n v="15"/>
    <e v="#N/A"/>
    <n v="14"/>
    <e v="#N/A"/>
    <n v="33"/>
    <e v="#N/A"/>
    <m/>
    <n v="0"/>
    <m/>
    <n v="0"/>
    <m/>
    <n v="0"/>
    <s v="FLINTSL"/>
    <n v="32"/>
    <n v="0"/>
    <n v="165.33149171270719"/>
    <n v="0"/>
    <s v="CYAN"/>
    <s v="H01282C"/>
    <s v="FLINTSL - CYAN"/>
    <n v="24"/>
    <n v="0"/>
    <m/>
    <m/>
    <n v="0"/>
    <n v="25864000009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8.0331491712707219"/>
    <n v="0"/>
    <s v="MAGENTA"/>
    <s v="H01282M"/>
    <s v="FLINTSL - MAGENTA"/>
    <n v="23"/>
    <n v="0"/>
    <m/>
    <m/>
    <n v="0"/>
    <n v="26503000003"/>
    <s v="FMD"/>
    <m/>
    <m/>
    <m/>
    <m/>
    <m/>
    <m/>
    <n v="5"/>
    <e v="#N/A"/>
    <n v="3"/>
    <n v="0"/>
    <m/>
    <n v="0"/>
    <m/>
    <n v="0"/>
    <m/>
    <n v="0"/>
    <m/>
    <n v="0"/>
    <m/>
    <n v="0"/>
    <m/>
    <n v="0"/>
    <s v="FLINTSL"/>
    <n v="30"/>
    <n v="0"/>
    <n v="1"/>
    <n v="0"/>
    <s v="YELLOW"/>
    <s v="H01282Y"/>
    <s v="FLINTSL - YELLOW"/>
    <n v="27"/>
    <n v="0"/>
    <m/>
    <m/>
    <n v="0"/>
    <n v="26503000021"/>
    <s v="FMD"/>
    <n v="25864000008"/>
    <m/>
    <m/>
    <m/>
    <m/>
    <m/>
    <n v="80"/>
    <e v="#N/A"/>
    <n v="10"/>
    <n v="0"/>
    <n v="20"/>
    <e v="#N/A"/>
    <m/>
    <n v="0"/>
    <m/>
    <n v="0"/>
    <m/>
    <n v="0"/>
    <m/>
    <n v="0"/>
    <m/>
    <n v="0"/>
    <s v="FLINTSL"/>
    <n v="31"/>
    <n v="0"/>
    <n v="151.1657458563536"/>
    <n v="0"/>
    <s v="GOLD"/>
    <s v="E00980G"/>
    <s v="FLINTSL - GOLD"/>
    <n v="26"/>
    <n v="0"/>
    <m/>
    <m/>
    <n v="0"/>
    <s v="FGO"/>
    <s v="FSI"/>
    <m/>
    <m/>
    <m/>
    <m/>
    <m/>
    <m/>
    <n v="5"/>
    <n v="0"/>
    <n v="4"/>
    <n v="0"/>
    <m/>
    <n v="0"/>
    <m/>
    <n v="0"/>
    <m/>
    <n v="0"/>
    <m/>
    <n v="0"/>
    <m/>
    <n v="0"/>
    <m/>
    <n v="0"/>
    <s v="FLINTSL"/>
    <n v="36"/>
    <n v="0"/>
    <n v="14.055248618784532"/>
    <n v="0"/>
    <s v="WHITE"/>
    <s v="H01282W"/>
    <s v="FLINTSL - WHITE"/>
    <n v="30"/>
    <n v="0"/>
    <m/>
    <m/>
    <n v="0"/>
    <s v="FW"/>
    <m/>
    <m/>
    <m/>
    <m/>
    <m/>
    <m/>
    <m/>
    <n v="200"/>
    <n v="0"/>
    <m/>
    <n v="0"/>
    <m/>
    <n v="0"/>
    <m/>
    <n v="0"/>
    <m/>
    <n v="0"/>
    <m/>
    <n v="0"/>
    <m/>
    <n v="0"/>
    <m/>
    <n v="0"/>
    <s v="FLINTSL"/>
    <n v="24"/>
    <n v="0"/>
    <n v="567.32596685082876"/>
    <n v="0"/>
    <n v="5"/>
    <n v="3"/>
    <n v="30"/>
    <n v="3"/>
    <n v="0"/>
    <n v="15"/>
    <n v="5"/>
    <n v="120"/>
    <n v="0.8"/>
    <n v="0.2"/>
    <m/>
    <m/>
    <m/>
    <n v="0"/>
    <n v="545"/>
    <n v="0"/>
    <n v="0"/>
    <n v="545"/>
    <n v="545"/>
    <n v="436"/>
    <n v="0"/>
    <n v="109"/>
    <n v="0"/>
    <n v="0"/>
    <n v="0"/>
    <n v="0"/>
    <n v="0"/>
    <n v="0"/>
    <n v="0"/>
    <n v="0"/>
    <n v="0"/>
    <n v="0"/>
    <m/>
    <n v="452"/>
    <n v="934"/>
    <n v="10"/>
    <s v="FLINTSLFLINTSLFLINTSLFLINTSLFLINTSLFLINTSLFLINTSLFLINTSL"/>
    <s v="+"/>
    <s v="+"/>
    <s v="+"/>
    <s v="+"/>
    <s v="+"/>
    <s v="+"/>
    <s v="+"/>
    <s v="+"/>
    <b v="0"/>
  </r>
  <r>
    <d v="2026-01-03T00:00:00"/>
    <s v="B"/>
    <x v="46"/>
    <n v="11"/>
    <n v="2451"/>
    <n v="129200"/>
    <s v="II"/>
    <s v="N"/>
    <n v="2.0499999999999998"/>
    <s v="BLACK"/>
    <s v="H01203B"/>
    <s v="FLINTSL - BLACK"/>
    <n v="30"/>
    <n v="0"/>
    <m/>
    <m/>
    <n v="0"/>
    <n v="26503000005"/>
    <m/>
    <m/>
    <m/>
    <m/>
    <m/>
    <m/>
    <m/>
    <n v="12"/>
    <e v="#N/A"/>
    <m/>
    <n v="0"/>
    <m/>
    <n v="0"/>
    <m/>
    <n v="0"/>
    <m/>
    <n v="0"/>
    <m/>
    <n v="0"/>
    <m/>
    <n v="0"/>
    <m/>
    <n v="0"/>
    <s v="FLINTSL"/>
    <n v="29"/>
    <n v="0"/>
    <n v="39.56346749226006"/>
    <n v="0"/>
    <s v="REFLEX BLUE"/>
    <s v="J00868B"/>
    <s v="FLINTSL - REFLEX BLUE"/>
    <n v="22"/>
    <n v="0"/>
    <s v="F00840B"/>
    <n v="10"/>
    <n v="0"/>
    <n v="26504000004"/>
    <n v="26504000003"/>
    <n v="9472"/>
    <n v="26503000003"/>
    <n v="26504000006"/>
    <n v="26503000014"/>
    <m/>
    <m/>
    <n v="140"/>
    <e v="#N/A"/>
    <n v="40"/>
    <e v="#N/A"/>
    <n v="70"/>
    <n v="0"/>
    <n v="26"/>
    <e v="#N/A"/>
    <n v="40"/>
    <e v="#N/A"/>
    <n v="42"/>
    <e v="#N/A"/>
    <m/>
    <n v="0"/>
    <m/>
    <n v="0"/>
    <s v="FLINTSL"/>
    <n v="30"/>
    <n v="0"/>
    <n v="413.12693498452012"/>
    <n v="0"/>
    <s v="RED"/>
    <s v="H01203R"/>
    <s v="FLINTSL - RED"/>
    <n v="32"/>
    <n v="0"/>
    <m/>
    <m/>
    <n v="0"/>
    <n v="25862000010"/>
    <n v="26503000003"/>
    <n v="25863000009"/>
    <m/>
    <m/>
    <m/>
    <m/>
    <m/>
    <n v="11"/>
    <e v="#N/A"/>
    <n v="6"/>
    <e v="#N/A"/>
    <n v="4"/>
    <e v="#N/A"/>
    <m/>
    <n v="0"/>
    <m/>
    <n v="0"/>
    <m/>
    <n v="0"/>
    <m/>
    <n v="0"/>
    <m/>
    <n v="0"/>
    <s v="FLINTSL"/>
    <n v="30"/>
    <n v="0"/>
    <n v="49.56346749226006"/>
    <n v="0"/>
    <s v="CYAN"/>
    <s v="H01203C"/>
    <s v="FLINTSL - CYAN"/>
    <n v="30"/>
    <n v="0"/>
    <m/>
    <m/>
    <n v="0"/>
    <n v="25864000009"/>
    <s v="FMD"/>
    <m/>
    <m/>
    <m/>
    <m/>
    <m/>
    <m/>
    <n v="10"/>
    <e v="#N/A"/>
    <n v="6"/>
    <n v="0"/>
    <m/>
    <n v="0"/>
    <m/>
    <n v="0"/>
    <m/>
    <n v="0"/>
    <m/>
    <n v="0"/>
    <m/>
    <n v="0"/>
    <m/>
    <n v="0"/>
    <s v="FLINTSL"/>
    <n v="31"/>
    <n v="0"/>
    <n v="41.56346749226006"/>
    <n v="0"/>
    <s v="MAGENTA"/>
    <s v="H01203M"/>
    <s v="FLINTSL - MAGENTA"/>
    <n v="30"/>
    <n v="0"/>
    <m/>
    <m/>
    <n v="0"/>
    <n v="26503000003"/>
    <s v="FMD"/>
    <m/>
    <m/>
    <m/>
    <m/>
    <m/>
    <m/>
    <n v="8"/>
    <e v="#N/A"/>
    <n v="6"/>
    <n v="0"/>
    <m/>
    <n v="0"/>
    <m/>
    <n v="0"/>
    <m/>
    <n v="0"/>
    <m/>
    <n v="0"/>
    <m/>
    <n v="0"/>
    <m/>
    <n v="0"/>
    <s v="FLINTSL"/>
    <n v="30"/>
    <n v="0"/>
    <n v="48.532507739938083"/>
    <n v="0"/>
    <s v="YELLOW"/>
    <s v="H01203Y"/>
    <s v="FLINTSL - YELLOW"/>
    <n v="31"/>
    <n v="0"/>
    <m/>
    <m/>
    <n v="0"/>
    <n v="26503000002"/>
    <s v="FMD"/>
    <m/>
    <m/>
    <m/>
    <m/>
    <m/>
    <m/>
    <n v="20"/>
    <e v="#N/A"/>
    <n v="10"/>
    <n v="0"/>
    <m/>
    <n v="0"/>
    <m/>
    <n v="0"/>
    <m/>
    <n v="0"/>
    <m/>
    <n v="0"/>
    <m/>
    <n v="0"/>
    <m/>
    <n v="0"/>
    <s v="FLINTSL"/>
    <n v="32"/>
    <n v="0"/>
    <n v="82.126934984520119"/>
    <n v="0"/>
    <s v="WHITE"/>
    <s v="H01203W"/>
    <s v="FLINTSL - WHITE"/>
    <n v="24"/>
    <n v="0"/>
    <m/>
    <m/>
    <n v="0"/>
    <n v="2000"/>
    <n v="165"/>
    <m/>
    <m/>
    <m/>
    <m/>
    <m/>
    <m/>
    <n v="400"/>
    <n v="0"/>
    <n v="12.36"/>
    <n v="0"/>
    <m/>
    <n v="0"/>
    <m/>
    <n v="0"/>
    <m/>
    <n v="0"/>
    <m/>
    <n v="0"/>
    <m/>
    <n v="0"/>
    <m/>
    <n v="0"/>
    <s v="FLINTSL"/>
    <n v="24"/>
    <n v="0"/>
    <n v="1049.883219814241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20"/>
    <n v="10"/>
    <n v="10"/>
    <n v="13"/>
    <n v="20"/>
    <n v="240"/>
    <n v="0"/>
    <n v="0.8"/>
    <n v="0.2"/>
    <m/>
    <m/>
    <m/>
    <n v="0"/>
    <n v="858"/>
    <n v="0"/>
    <n v="0"/>
    <n v="858"/>
    <n v="858"/>
    <n v="686.40000000000009"/>
    <n v="0"/>
    <n v="171.60000000000002"/>
    <n v="0"/>
    <n v="0"/>
    <n v="0"/>
    <n v="0"/>
    <n v="0"/>
    <n v="0"/>
    <n v="0"/>
    <n v="0"/>
    <n v="0"/>
    <n v="0"/>
    <m/>
    <n v="863.36"/>
    <n v="1724.3600000000001"/>
    <n v="11"/>
    <s v="FLINTSLFLINTSLFLINTSLFLINTSLFLINTSLFLINTSLFLINTSL"/>
    <s v="+"/>
    <s v="+"/>
    <s v="+"/>
    <s v="+"/>
    <s v="+"/>
    <s v="+"/>
    <s v="+"/>
    <s v="NIL"/>
    <b v="0"/>
  </r>
  <r>
    <d v="2026-01-04T00:00:00"/>
    <s v="A"/>
    <x v="47"/>
    <n v="12"/>
    <n v="1724"/>
    <n v="92900"/>
    <s v="II"/>
    <s v="N"/>
    <n v="1.9"/>
    <s v="BLACK"/>
    <s v="E00976B"/>
    <s v="FLINTSL - BLACK"/>
    <n v="29"/>
    <n v="0"/>
    <m/>
    <m/>
    <n v="0"/>
    <n v="26503000005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30"/>
    <n v="0"/>
    <n v="21.85221674876847"/>
    <n v="0"/>
    <s v="REFLEX BLUE"/>
    <s v="H01282RB"/>
    <s v="FLINTSL - REFLEX BLUE"/>
    <n v="30"/>
    <n v="0"/>
    <s v="E00976RB"/>
    <n v="30"/>
    <n v="0"/>
    <n v="9472"/>
    <n v="25864000009"/>
    <n v="26504000007"/>
    <n v="26503000017"/>
    <m/>
    <m/>
    <m/>
    <m/>
    <n v="130"/>
    <n v="0"/>
    <n v="20"/>
    <e v="#N/A"/>
    <n v="164"/>
    <e v="#N/A"/>
    <n v="10"/>
    <e v="#N/A"/>
    <m/>
    <n v="0"/>
    <m/>
    <n v="0"/>
    <m/>
    <n v="0"/>
    <m/>
    <n v="0"/>
    <s v="FLINTSL"/>
    <n v="32"/>
    <n v="0"/>
    <n v="366.85221674876846"/>
    <n v="0"/>
    <s v="RED"/>
    <s v="E00976R"/>
    <s v="FLINTSL - RED"/>
    <n v="32"/>
    <n v="0"/>
    <m/>
    <m/>
    <n v="0"/>
    <n v="26504000005"/>
    <n v="26503000005"/>
    <m/>
    <m/>
    <m/>
    <m/>
    <m/>
    <m/>
    <n v="10"/>
    <e v="#N/A"/>
    <n v="0.2"/>
    <e v="#N/A"/>
    <m/>
    <n v="0"/>
    <m/>
    <n v="0"/>
    <m/>
    <n v="0"/>
    <m/>
    <n v="0"/>
    <m/>
    <n v="0"/>
    <m/>
    <n v="0"/>
    <s v="FLINTSL"/>
    <n v="35"/>
    <n v="0"/>
    <n v="7.2000000000000028"/>
    <n v="0"/>
    <s v="CYAN"/>
    <s v="E00976C"/>
    <s v="FLINTSL - CYAN"/>
    <n v="31"/>
    <n v="0"/>
    <m/>
    <m/>
    <n v="0"/>
    <n v="25864000009"/>
    <s v="FMD"/>
    <m/>
    <m/>
    <m/>
    <m/>
    <m/>
    <m/>
    <n v="12"/>
    <e v="#N/A"/>
    <n v="6"/>
    <n v="0"/>
    <m/>
    <n v="0"/>
    <m/>
    <n v="0"/>
    <m/>
    <n v="0"/>
    <m/>
    <n v="0"/>
    <m/>
    <n v="0"/>
    <m/>
    <n v="0"/>
    <s v="FLINTSL"/>
    <n v="45"/>
    <n v="0"/>
    <n v="27.763546798029552"/>
    <n v="0"/>
    <s v="MAGENTA"/>
    <s v="E00976M"/>
    <s v="FLINTSL - MAGENTA"/>
    <n v="30"/>
    <n v="0"/>
    <m/>
    <m/>
    <n v="0"/>
    <s v="FMD"/>
    <n v="26504000005"/>
    <m/>
    <m/>
    <m/>
    <m/>
    <m/>
    <m/>
    <n v="7"/>
    <n v="0"/>
    <n v="12"/>
    <e v="#N/A"/>
    <m/>
    <n v="0"/>
    <m/>
    <n v="0"/>
    <m/>
    <n v="0"/>
    <m/>
    <n v="0"/>
    <m/>
    <n v="0"/>
    <m/>
    <n v="0"/>
    <s v="FLINTSL"/>
    <n v="30"/>
    <n v="0"/>
    <n v="48.70443349753694"/>
    <n v="0"/>
    <s v="YELLOW"/>
    <s v="E00976Y"/>
    <s v="FLINTSL - YELLOW"/>
    <n v="32"/>
    <n v="0"/>
    <m/>
    <m/>
    <n v="0"/>
    <n v="26503000002"/>
    <s v="FMD"/>
    <m/>
    <m/>
    <m/>
    <m/>
    <m/>
    <m/>
    <n v="20"/>
    <e v="#N/A"/>
    <n v="10"/>
    <n v="0"/>
    <m/>
    <n v="0"/>
    <m/>
    <n v="0"/>
    <m/>
    <n v="0"/>
    <m/>
    <n v="0"/>
    <m/>
    <n v="0"/>
    <m/>
    <n v="0"/>
    <s v="FLINTSL"/>
    <n v="25"/>
    <n v="0"/>
    <n v="66.70443349753694"/>
    <n v="0"/>
    <s v="WHITE"/>
    <s v="E00976W"/>
    <s v="FLINTSL - WHITE"/>
    <n v="24"/>
    <n v="0"/>
    <m/>
    <m/>
    <n v="0"/>
    <s v="FW"/>
    <m/>
    <m/>
    <m/>
    <m/>
    <m/>
    <m/>
    <m/>
    <n v="260"/>
    <n v="0"/>
    <m/>
    <n v="0"/>
    <m/>
    <n v="0"/>
    <m/>
    <n v="0"/>
    <m/>
    <n v="0"/>
    <m/>
    <n v="0"/>
    <m/>
    <n v="0"/>
    <m/>
    <n v="0"/>
    <s v="FLINTSL"/>
    <n v="30"/>
    <n v="0"/>
    <n v="298.5566502463054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445.56650246305418"/>
    <n v="0"/>
    <n v="5"/>
    <n v="5"/>
    <n v="0"/>
    <n v="8"/>
    <n v="10"/>
    <n v="10"/>
    <n v="15"/>
    <n v="150"/>
    <n v="0.8"/>
    <n v="0.2"/>
    <m/>
    <m/>
    <m/>
    <n v="0"/>
    <n v="603"/>
    <n v="0"/>
    <n v="0"/>
    <n v="603"/>
    <n v="603"/>
    <n v="482.40000000000003"/>
    <n v="0"/>
    <n v="120.60000000000001"/>
    <n v="0"/>
    <n v="0"/>
    <n v="0"/>
    <n v="0"/>
    <n v="0"/>
    <n v="0"/>
    <n v="0"/>
    <n v="0"/>
    <n v="0"/>
    <n v="0"/>
    <m/>
    <n v="669.2"/>
    <n v="1283.1999999999998"/>
    <n v="12"/>
    <s v="FLINTSLFLINTSLFLINTSLFLINTSLFLINTSLFLINTSLFLINTSL"/>
    <s v="+"/>
    <s v="+"/>
    <s v="+"/>
    <s v="+"/>
    <s v="+"/>
    <s v="+"/>
    <s v="+"/>
    <s v="NIL"/>
    <b v="0"/>
  </r>
  <r>
    <d v="2026-01-04T00:00:00"/>
    <s v="B"/>
    <x v="48"/>
    <n v="13"/>
    <n v="497"/>
    <n v="26800"/>
    <s v="II"/>
    <s v="N"/>
    <n v="1.56"/>
    <s v="BLACK"/>
    <s v="E00990B"/>
    <s v="FLINTSL - BLACK"/>
    <n v="30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30"/>
    <n v="0"/>
    <n v="11.96"/>
    <n v="0"/>
    <s v="RED"/>
    <s v="E00990R"/>
    <s v="FLINTSL - RED"/>
    <n v="5"/>
    <n v="0"/>
    <m/>
    <m/>
    <n v="0"/>
    <n v="26504000005"/>
    <n v="25862000010"/>
    <m/>
    <m/>
    <m/>
    <m/>
    <m/>
    <m/>
    <n v="6"/>
    <e v="#N/A"/>
    <n v="4"/>
    <e v="#N/A"/>
    <m/>
    <n v="0"/>
    <m/>
    <n v="0"/>
    <m/>
    <n v="0"/>
    <m/>
    <n v="0"/>
    <m/>
    <n v="0"/>
    <m/>
    <n v="0"/>
    <s v="FLINTSL"/>
    <n v="21"/>
    <n v="0"/>
    <n v="17.200000000000003"/>
    <n v="0"/>
    <s v="REFLEX BLUE"/>
    <m/>
    <s v="FLINTSL - REFLEX BLUE"/>
    <m/>
    <n v="0"/>
    <m/>
    <m/>
    <n v="0"/>
    <n v="26503000015"/>
    <n v="26504000010"/>
    <n v="26504000009"/>
    <n v="26504000011"/>
    <m/>
    <m/>
    <m/>
    <m/>
    <n v="30"/>
    <e v="#N/A"/>
    <n v="40"/>
    <e v="#N/A"/>
    <n v="40"/>
    <e v="#N/A"/>
    <n v="10"/>
    <e v="#N/A"/>
    <m/>
    <n v="0"/>
    <m/>
    <n v="0"/>
    <m/>
    <n v="0"/>
    <m/>
    <n v="0"/>
    <s v="FLINTSL"/>
    <n v="23"/>
    <n v="0"/>
    <n v="97"/>
    <n v="0"/>
    <s v="CYAN"/>
    <s v="E00990C"/>
    <s v="FLINTSL - CYAN"/>
    <n v="10"/>
    <n v="0"/>
    <m/>
    <m/>
    <n v="0"/>
    <s v="FMD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29"/>
    <n v="0"/>
    <n v="14.200000000000003"/>
    <n v="0"/>
    <s v="MAGENTA"/>
    <s v="E00990M"/>
    <s v="FLINTSL - MAGENTA"/>
    <n v="30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33"/>
    <n v="0"/>
    <n v="9.2800000000000011"/>
    <n v="0"/>
    <s v="YELLOW"/>
    <m/>
    <s v="FLINTSL - YELLOW"/>
    <m/>
    <n v="0"/>
    <m/>
    <m/>
    <n v="0"/>
    <n v="26503000002"/>
    <m/>
    <m/>
    <m/>
    <m/>
    <m/>
    <m/>
    <m/>
    <n v="15"/>
    <e v="#N/A"/>
    <m/>
    <n v="0"/>
    <m/>
    <n v="0"/>
    <m/>
    <n v="0"/>
    <m/>
    <n v="0"/>
    <m/>
    <n v="0"/>
    <m/>
    <n v="0"/>
    <m/>
    <n v="0"/>
    <s v="FLINTSL"/>
    <n v="23"/>
    <n v="0"/>
    <n v="15.200000000000003"/>
    <n v="0"/>
    <s v="YELLOW"/>
    <m/>
    <s v="FLINTSL - YELLOW"/>
    <m/>
    <n v="0"/>
    <m/>
    <m/>
    <n v="0"/>
    <n v="26503000002"/>
    <s v="FMD"/>
    <n v="26504000005"/>
    <m/>
    <m/>
    <m/>
    <m/>
    <m/>
    <n v="15"/>
    <e v="#N/A"/>
    <n v="8"/>
    <n v="0"/>
    <n v="1"/>
    <e v="#N/A"/>
    <m/>
    <n v="0"/>
    <m/>
    <n v="0"/>
    <m/>
    <n v="0"/>
    <m/>
    <n v="0"/>
    <m/>
    <n v="0"/>
    <s v="FLINTSL"/>
    <n v="30"/>
    <n v="0"/>
    <n v="12.560000000000002"/>
    <n v="0"/>
    <s v="WHITE"/>
    <s v="E00990W"/>
    <s v="FLINTSL - WHITE"/>
    <n v="3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30"/>
    <n v="0"/>
    <n v="119.60000000000002"/>
    <n v="0"/>
    <n v="3"/>
    <n v="10"/>
    <n v="0"/>
    <n v="10"/>
    <n v="4"/>
    <n v="10"/>
    <n v="8"/>
    <n v="30"/>
    <n v="0.8"/>
    <n v="0.2"/>
    <m/>
    <m/>
    <m/>
    <n v="0"/>
    <n v="174"/>
    <n v="0"/>
    <n v="0"/>
    <n v="174"/>
    <n v="174"/>
    <n v="139.20000000000002"/>
    <n v="0"/>
    <n v="34.800000000000004"/>
    <n v="0"/>
    <n v="0"/>
    <n v="0"/>
    <n v="0"/>
    <n v="0"/>
    <n v="0"/>
    <n v="0"/>
    <n v="0"/>
    <n v="0"/>
    <n v="0"/>
    <m/>
    <n v="237"/>
    <n v="297.00000000000006"/>
    <n v="13"/>
    <s v="FLINTSLFLINTSLFLINTSLFLINTSLFLINTSLFLINTSLFLINTSLFLINTSL"/>
    <s v="+"/>
    <s v="+"/>
    <s v="+"/>
    <s v="+"/>
    <s v="+"/>
    <s v="+"/>
    <s v="+"/>
    <s v="+"/>
    <b v="0"/>
  </r>
  <r>
    <d v="2026-01-04T00:00:00"/>
    <s v="B"/>
    <x v="49"/>
    <n v="14"/>
    <n v="1992"/>
    <n v="98900"/>
    <s v="II"/>
    <s v="N"/>
    <n v="1.89"/>
    <s v="BLACK"/>
    <s v="E00978B"/>
    <s v="FLINTSL - BLACK"/>
    <n v="30"/>
    <n v="0"/>
    <s v="C01336B"/>
    <n v="10"/>
    <n v="0"/>
    <n v="26503000005"/>
    <s v="FMD"/>
    <m/>
    <m/>
    <m/>
    <m/>
    <m/>
    <m/>
    <n v="6"/>
    <e v="#N/A"/>
    <n v="8"/>
    <n v="0"/>
    <m/>
    <n v="0"/>
    <m/>
    <n v="0"/>
    <m/>
    <n v="0"/>
    <m/>
    <n v="0"/>
    <m/>
    <n v="0"/>
    <m/>
    <n v="0"/>
    <s v="FLINTSL"/>
    <n v="25"/>
    <n v="0"/>
    <n v="52.079470198675494"/>
    <n v="0"/>
    <s v="BLACK"/>
    <s v="E00997B"/>
    <s v="FLINTSL - BLACK"/>
    <n v="20"/>
    <n v="0"/>
    <s v="H01292B"/>
    <n v="20"/>
    <n v="0"/>
    <n v="26503000005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4"/>
    <n v="0"/>
    <n v="44.079470198675494"/>
    <n v="0"/>
    <s v="GREEN"/>
    <s v="N00703G"/>
    <s v="FLINTSL - GREEN"/>
    <n v="14"/>
    <n v="0"/>
    <s v="H01284G"/>
    <n v="20"/>
    <n v="0"/>
    <n v="25864000009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5"/>
    <n v="0"/>
    <n v="20.923841059602651"/>
    <n v="0"/>
    <s v="CYAN"/>
    <s v="E00978C"/>
    <s v="FLINTSL - CYAN"/>
    <n v="29"/>
    <n v="0"/>
    <m/>
    <m/>
    <n v="0"/>
    <s v="FMD"/>
    <m/>
    <m/>
    <m/>
    <m/>
    <m/>
    <m/>
    <m/>
    <n v="7"/>
    <n v="0"/>
    <m/>
    <n v="0"/>
    <m/>
    <n v="0"/>
    <m/>
    <n v="0"/>
    <m/>
    <n v="0"/>
    <m/>
    <n v="0"/>
    <m/>
    <n v="0"/>
    <m/>
    <n v="0"/>
    <s v="FLINTSL"/>
    <n v="23"/>
    <n v="0"/>
    <n v="31.463576158940398"/>
    <n v="0"/>
    <s v="MAGENTA"/>
    <s v="E00978M"/>
    <s v="FLINTSL - MAGENTA"/>
    <n v="33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7"/>
    <n v="0"/>
    <n v="15.923841059602651"/>
    <n v="0"/>
    <s v="YELLOW"/>
    <s v="E00978Y"/>
    <s v="FLINTSL - YELLOW"/>
    <n v="23"/>
    <n v="0"/>
    <m/>
    <m/>
    <n v="0"/>
    <n v="26503000002"/>
    <s v="FMD"/>
    <m/>
    <m/>
    <m/>
    <m/>
    <m/>
    <m/>
    <n v="20"/>
    <e v="#N/A"/>
    <n v="10"/>
    <n v="0"/>
    <m/>
    <n v="0"/>
    <m/>
    <n v="0"/>
    <m/>
    <n v="0"/>
    <m/>
    <n v="0"/>
    <m/>
    <n v="0"/>
    <m/>
    <n v="0"/>
    <s v="FLINTSL"/>
    <n v="28"/>
    <n v="0"/>
    <n v="66.543046357615893"/>
    <n v="0"/>
    <s v="GOLD"/>
    <s v="F00834G"/>
    <s v="FLINTSL - GOLD"/>
    <n v="20"/>
    <n v="0"/>
    <m/>
    <m/>
    <n v="0"/>
    <n v="24161"/>
    <n v="70271"/>
    <n v="26503000002"/>
    <n v="165"/>
    <m/>
    <m/>
    <m/>
    <m/>
    <n v="220"/>
    <n v="0"/>
    <n v="40"/>
    <n v="0"/>
    <n v="18"/>
    <e v="#N/A"/>
    <n v="8.34"/>
    <n v="0"/>
    <m/>
    <n v="0"/>
    <m/>
    <n v="0"/>
    <m/>
    <n v="0"/>
    <m/>
    <n v="0"/>
    <s v="FLINTSL"/>
    <n v="37"/>
    <n v="0"/>
    <n v="430.89629139072844"/>
    <n v="0"/>
    <s v="WHITE"/>
    <s v="E00978W"/>
    <s v="FLINTSL - WHITE"/>
    <n v="30"/>
    <n v="0"/>
    <m/>
    <m/>
    <n v="0"/>
    <s v="FW"/>
    <m/>
    <m/>
    <m/>
    <m/>
    <m/>
    <m/>
    <m/>
    <n v="300"/>
    <n v="0"/>
    <m/>
    <n v="0"/>
    <m/>
    <n v="0"/>
    <m/>
    <n v="0"/>
    <m/>
    <n v="0"/>
    <m/>
    <n v="0"/>
    <m/>
    <n v="0"/>
    <m/>
    <n v="0"/>
    <s v="FLINTSL"/>
    <n v="30"/>
    <n v="0"/>
    <n v="715.4304635761589"/>
    <n v="0"/>
    <n v="10"/>
    <n v="10"/>
    <n v="3"/>
    <n v="8"/>
    <n v="3"/>
    <n v="18"/>
    <n v="70"/>
    <n v="180"/>
    <n v="0.8"/>
    <n v="0.2"/>
    <m/>
    <m/>
    <m/>
    <n v="0"/>
    <n v="697"/>
    <n v="0"/>
    <n v="0"/>
    <n v="697"/>
    <n v="697"/>
    <n v="557.6"/>
    <n v="0"/>
    <n v="139.4"/>
    <n v="0"/>
    <n v="0"/>
    <n v="0"/>
    <n v="0"/>
    <n v="0"/>
    <n v="0"/>
    <n v="0"/>
    <n v="0"/>
    <n v="0"/>
    <n v="0"/>
    <m/>
    <n v="650.33999999999992"/>
    <n v="1377.34"/>
    <n v="14"/>
    <s v="FLINTSLFLINTSLFLINTSLFLINTSLFLINTSLFLINTSLFLINTSLFLINTSL"/>
    <s v="+"/>
    <s v="+"/>
    <s v="+"/>
    <s v="+"/>
    <s v="+"/>
    <s v="+"/>
    <s v="+"/>
    <s v="+"/>
    <b v="0"/>
  </r>
  <r>
    <d v="2026-01-04T00:00:00"/>
    <s v="B"/>
    <x v="50"/>
    <n v="15"/>
    <n v="519"/>
    <n v="26500"/>
    <s v="I"/>
    <s v="N"/>
    <n v="2.0099999999999998"/>
    <s v="BLACK"/>
    <m/>
    <s v="FLINTSL - BLACK"/>
    <m/>
    <n v="0"/>
    <m/>
    <m/>
    <n v="0"/>
    <n v="26503000005"/>
    <m/>
    <m/>
    <m/>
    <m/>
    <m/>
    <m/>
    <m/>
    <n v="20"/>
    <e v="#N/A"/>
    <m/>
    <n v="0"/>
    <m/>
    <n v="0"/>
    <m/>
    <n v="0"/>
    <m/>
    <n v="0"/>
    <m/>
    <n v="0"/>
    <m/>
    <n v="0"/>
    <m/>
    <n v="0"/>
    <s v="FLINTSL"/>
    <n v="30"/>
    <n v="0"/>
    <n v="15.78512396694215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s v="RED"/>
    <s v="H01282R"/>
    <s v="FLINTSL - RED"/>
    <n v="22"/>
    <n v="0"/>
    <m/>
    <m/>
    <n v="0"/>
    <n v="26505000005"/>
    <n v="25862000014"/>
    <n v="25863000019"/>
    <m/>
    <m/>
    <m/>
    <m/>
    <m/>
    <n v="25"/>
    <e v="#N/A"/>
    <n v="20"/>
    <e v="#N/A"/>
    <n v="15"/>
    <e v="#N/A"/>
    <m/>
    <n v="0"/>
    <m/>
    <n v="0"/>
    <m/>
    <n v="0"/>
    <m/>
    <n v="0"/>
    <m/>
    <n v="0"/>
    <s v="FLINTSL"/>
    <n v="21"/>
    <n v="0"/>
    <n v="95.380165289256198"/>
    <n v="0"/>
    <s v="CYAN"/>
    <s v="H01292G"/>
    <s v="FLINTSL - CYAN"/>
    <n v="20"/>
    <n v="0"/>
    <m/>
    <m/>
    <n v="0"/>
    <n v="26503000005"/>
    <n v="25864000009"/>
    <m/>
    <m/>
    <m/>
    <m/>
    <m/>
    <m/>
    <n v="1"/>
    <e v="#N/A"/>
    <n v="2"/>
    <e v="#N/A"/>
    <m/>
    <n v="0"/>
    <m/>
    <n v="0"/>
    <m/>
    <n v="0"/>
    <m/>
    <n v="0"/>
    <m/>
    <n v="0"/>
    <m/>
    <n v="0"/>
    <s v="FLINTSL"/>
    <n v="21"/>
    <n v="0"/>
    <n v="5.438016528925619"/>
    <n v="0"/>
    <s v="CYAN"/>
    <s v="E00980C"/>
    <s v="FLINTSL - CYAN"/>
    <n v="22"/>
    <n v="0"/>
    <m/>
    <m/>
    <n v="0"/>
    <n v="25864000009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3.438016528925619"/>
    <n v="0"/>
    <s v="MAGENTA"/>
    <m/>
    <s v="FLINTSL - MAGENTA"/>
    <m/>
    <n v="0"/>
    <m/>
    <m/>
    <n v="0"/>
    <n v="26504000005"/>
    <s v="FMD"/>
    <m/>
    <m/>
    <m/>
    <m/>
    <m/>
    <m/>
    <n v="15"/>
    <e v="#N/A"/>
    <n v="8"/>
    <n v="0"/>
    <m/>
    <n v="0"/>
    <m/>
    <n v="0"/>
    <m/>
    <n v="0"/>
    <m/>
    <n v="0"/>
    <m/>
    <n v="0"/>
    <m/>
    <n v="0"/>
    <s v="FLINTSL"/>
    <n v="32"/>
    <n v="0"/>
    <n v="11.628099173553721"/>
    <n v="0"/>
    <s v="YELLOW"/>
    <m/>
    <s v="FLINTSL - YELLOW"/>
    <m/>
    <n v="0"/>
    <m/>
    <m/>
    <n v="0"/>
    <s v="TPT"/>
    <s v="FMD"/>
    <m/>
    <m/>
    <m/>
    <m/>
    <m/>
    <m/>
    <n v="20"/>
    <n v="0"/>
    <n v="6"/>
    <n v="0"/>
    <m/>
    <n v="0"/>
    <m/>
    <n v="0"/>
    <m/>
    <n v="0"/>
    <m/>
    <n v="0"/>
    <m/>
    <n v="0"/>
    <m/>
    <n v="0"/>
    <s v="FLINTSL"/>
    <n v="33"/>
    <n v="0"/>
    <n v="10.190082644628099"/>
    <n v="0"/>
    <s v="WHITE"/>
    <m/>
    <s v="FLINTSL - WHITE"/>
    <m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173.14049586776861"/>
    <n v="0"/>
    <n v="15"/>
    <n v="0"/>
    <n v="20"/>
    <n v="2"/>
    <n v="2"/>
    <n v="12"/>
    <n v="10"/>
    <n v="60"/>
    <n v="0.8"/>
    <n v="0.2"/>
    <m/>
    <m/>
    <m/>
    <n v="0"/>
    <n v="208"/>
    <n v="0"/>
    <n v="0"/>
    <n v="208"/>
    <n v="208"/>
    <n v="166.4"/>
    <n v="0"/>
    <n v="41.6"/>
    <n v="0"/>
    <n v="0"/>
    <n v="0"/>
    <n v="0"/>
    <n v="0"/>
    <n v="0"/>
    <n v="0"/>
    <n v="0"/>
    <n v="0"/>
    <n v="0"/>
    <m/>
    <n v="236"/>
    <n v="315"/>
    <n v="15"/>
    <s v="FLINTSLFLINTSLFLINTSLFLINTSLFLINTSLFLINTSLFLINTSL"/>
    <s v="+"/>
    <s v="NIL"/>
    <s v="+"/>
    <s v="+"/>
    <s v="+"/>
    <s v="+"/>
    <s v="+"/>
    <s v="+"/>
    <b v="0"/>
  </r>
  <r>
    <d v="2026-01-04T00:00:00"/>
    <s v="B"/>
    <x v="51"/>
    <n v="16"/>
    <n v="523"/>
    <n v="25400"/>
    <s v="I"/>
    <s v="N"/>
    <n v="0.04"/>
    <s v="BLACK"/>
    <s v="H01278B"/>
    <s v="FLINTSL - BLACK"/>
    <n v="30"/>
    <n v="0"/>
    <m/>
    <m/>
    <n v="0"/>
    <n v="26503000005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25"/>
    <n v="0"/>
    <n v="5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0"/>
    <n v="0"/>
    <n v="0"/>
    <n v="0"/>
    <n v="0"/>
    <n v="0"/>
    <n v="0"/>
    <n v="0.8"/>
    <n v="0.2"/>
    <m/>
    <m/>
    <m/>
    <n v="0"/>
    <n v="40"/>
    <n v="0"/>
    <n v="0"/>
    <n v="40"/>
    <n v="40"/>
    <n v="32"/>
    <n v="0"/>
    <n v="8"/>
    <n v="0"/>
    <n v="0"/>
    <n v="0"/>
    <n v="0"/>
    <n v="0"/>
    <n v="0"/>
    <n v="0"/>
    <n v="0"/>
    <n v="0"/>
    <n v="0"/>
    <m/>
    <n v="8"/>
    <n v="53"/>
    <n v="16"/>
    <s v="FLINTSL"/>
    <s v="+"/>
    <s v="NIL"/>
    <s v="NIL"/>
    <s v="NIL"/>
    <s v="NIL"/>
    <s v="NIL"/>
    <s v="NIL"/>
    <s v="NIL"/>
    <b v="0"/>
  </r>
  <r>
    <d v="2026-01-04T00:00:00"/>
    <s v="B"/>
    <x v="52"/>
    <n v="17"/>
    <n v="493"/>
    <n v="26600"/>
    <s v="II"/>
    <s v="N"/>
    <n v="2.15"/>
    <s v="BLACK"/>
    <s v="E00985B"/>
    <s v="FLINTSL - BLACK"/>
    <n v="25"/>
    <n v="0"/>
    <m/>
    <m/>
    <n v="0"/>
    <s v="FMD"/>
    <m/>
    <m/>
    <m/>
    <m/>
    <m/>
    <m/>
    <m/>
    <n v="7"/>
    <n v="0"/>
    <m/>
    <n v="0"/>
    <m/>
    <n v="0"/>
    <m/>
    <n v="0"/>
    <m/>
    <n v="0"/>
    <m/>
    <n v="0"/>
    <m/>
    <n v="0"/>
    <m/>
    <n v="0"/>
    <s v="FLINTSL"/>
    <n v="29"/>
    <n v="0"/>
    <n v="17.485294117647058"/>
    <n v="0"/>
    <s v="BLACK"/>
    <s v="E00985B"/>
    <s v="FLINTSL - BLACK"/>
    <n v="24"/>
    <n v="0"/>
    <m/>
    <m/>
    <n v="0"/>
    <n v="26503000005"/>
    <n v="25862000010"/>
    <m/>
    <m/>
    <m/>
    <m/>
    <m/>
    <m/>
    <n v="3"/>
    <e v="#N/A"/>
    <n v="4"/>
    <e v="#N/A"/>
    <m/>
    <n v="0"/>
    <m/>
    <n v="0"/>
    <m/>
    <n v="0"/>
    <m/>
    <n v="0"/>
    <m/>
    <n v="0"/>
    <m/>
    <n v="0"/>
    <s v="FLINTSL"/>
    <n v="32"/>
    <n v="0"/>
    <n v="19.279411764705884"/>
    <n v="0"/>
    <s v="RED"/>
    <m/>
    <s v="FLINTSL - RED"/>
    <m/>
    <n v="0"/>
    <m/>
    <m/>
    <n v="0"/>
    <n v="26503000003"/>
    <n v="26505000001"/>
    <n v="26505000003"/>
    <n v="25863000019"/>
    <m/>
    <m/>
    <m/>
    <m/>
    <n v="5"/>
    <e v="#N/A"/>
    <n v="40"/>
    <e v="#N/A"/>
    <n v="25"/>
    <e v="#N/A"/>
    <n v="10"/>
    <e v="#N/A"/>
    <m/>
    <n v="0"/>
    <m/>
    <n v="0"/>
    <m/>
    <n v="0"/>
    <m/>
    <n v="0"/>
    <s v="FLINTSL"/>
    <n v="20"/>
    <n v="0"/>
    <n v="94.764705882352942"/>
    <n v="0"/>
    <s v="CYAN"/>
    <s v="E00985C"/>
    <s v="FLINTSL - CYAN"/>
    <n v="23"/>
    <n v="0"/>
    <m/>
    <m/>
    <n v="0"/>
    <s v="FMD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28"/>
    <n v="0"/>
    <n v="19.485294117647058"/>
    <n v="0"/>
    <s v="MAGENTA"/>
    <s v="E00985M"/>
    <s v="FLINTSL - MAGENTA"/>
    <n v="27"/>
    <n v="0"/>
    <m/>
    <m/>
    <n v="0"/>
    <n v="2650400000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10.794117647058826"/>
    <n v="0"/>
    <s v="YELLOW"/>
    <s v="E00985Y"/>
    <s v="FLINTSL - YELLOW"/>
    <n v="28"/>
    <n v="0"/>
    <m/>
    <m/>
    <n v="0"/>
    <n v="26503000002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7"/>
    <n v="0"/>
    <n v="11.794117647058826"/>
    <n v="0"/>
    <s v="YELLOW"/>
    <s v="E00990Y"/>
    <s v="FLINTSL - YELLOW"/>
    <n v="25"/>
    <n v="0"/>
    <m/>
    <m/>
    <n v="0"/>
    <n v="25862000014"/>
    <n v="26503000002"/>
    <m/>
    <m/>
    <m/>
    <m/>
    <m/>
    <m/>
    <n v="1"/>
    <e v="#N/A"/>
    <n v="10"/>
    <e v="#N/A"/>
    <m/>
    <n v="0"/>
    <m/>
    <n v="0"/>
    <m/>
    <n v="0"/>
    <m/>
    <n v="0"/>
    <m/>
    <n v="0"/>
    <m/>
    <n v="0"/>
    <s v="FLINTSL"/>
    <n v="15"/>
    <n v="0"/>
    <n v="35.485294117647058"/>
    <n v="0"/>
    <s v="WHITE"/>
    <s v="E00985W"/>
    <s v="FLINTSL - WHITE"/>
    <n v="3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0"/>
    <n v="0"/>
    <n v="156.91176470588235"/>
    <n v="0"/>
    <n v="5"/>
    <n v="7"/>
    <n v="12"/>
    <n v="5"/>
    <n v="2"/>
    <n v="2"/>
    <n v="5"/>
    <n v="30"/>
    <n v="0.8"/>
    <n v="0.2"/>
    <m/>
    <m/>
    <m/>
    <n v="0"/>
    <n v="197"/>
    <n v="0"/>
    <n v="0"/>
    <n v="197"/>
    <n v="197"/>
    <n v="157.60000000000002"/>
    <n v="0"/>
    <n v="39.400000000000006"/>
    <n v="0"/>
    <n v="0"/>
    <n v="0"/>
    <n v="0"/>
    <n v="0"/>
    <n v="0"/>
    <n v="0"/>
    <n v="0"/>
    <n v="0"/>
    <n v="0"/>
    <m/>
    <n v="184"/>
    <n v="366"/>
    <n v="17"/>
    <s v="FLINTSLFLINTSLFLINTSLFLINTSLFLINTSLFLINTSLFLINTSLFLINTSL"/>
    <s v="+"/>
    <s v="+"/>
    <s v="+"/>
    <s v="+"/>
    <s v="+"/>
    <s v="+"/>
    <s v="+"/>
    <s v="+"/>
    <b v="0"/>
  </r>
  <r>
    <d v="2026-01-05T00:00:00"/>
    <s v="A"/>
    <x v="53"/>
    <n v="18"/>
    <n v="960"/>
    <n v="46600"/>
    <s v="I"/>
    <s v="N"/>
    <n v="1.3"/>
    <s v="BLACK"/>
    <s v="C01414B"/>
    <s v="FLINTSL - BLACK"/>
    <n v="25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18"/>
    <n v="0"/>
    <n v="24.262773722627735"/>
    <n v="0"/>
    <s v="REFLEX BLUE"/>
    <s v="H01278B"/>
    <s v="FLINTSL - REFLEX BLUE"/>
    <n v="22"/>
    <n v="0"/>
    <m/>
    <m/>
    <n v="0"/>
    <s v="FRB"/>
    <n v="25864000013"/>
    <m/>
    <m/>
    <m/>
    <m/>
    <m/>
    <m/>
    <n v="4"/>
    <n v="0"/>
    <n v="7"/>
    <e v="#N/A"/>
    <m/>
    <n v="0"/>
    <m/>
    <n v="0"/>
    <m/>
    <n v="0"/>
    <m/>
    <n v="0"/>
    <m/>
    <n v="0"/>
    <m/>
    <n v="0"/>
    <s v="FLINTSL"/>
    <n v="20"/>
    <n v="0"/>
    <n v="30.167883211678827"/>
    <n v="0"/>
    <s v="RED"/>
    <s v="H01278R"/>
    <s v="FLINTSL - RED"/>
    <n v="24"/>
    <n v="0"/>
    <m/>
    <m/>
    <n v="0"/>
    <n v="26505000005"/>
    <n v="26503000005"/>
    <m/>
    <m/>
    <m/>
    <m/>
    <m/>
    <m/>
    <n v="3"/>
    <e v="#N/A"/>
    <n v="0.2"/>
    <e v="#N/A"/>
    <m/>
    <n v="0"/>
    <m/>
    <n v="0"/>
    <m/>
    <n v="0"/>
    <m/>
    <n v="0"/>
    <m/>
    <n v="0"/>
    <m/>
    <n v="0"/>
    <s v="FLINTSL"/>
    <n v="23"/>
    <n v="0"/>
    <n v="9.1051094890510953"/>
    <n v="0"/>
    <s v="CYAN"/>
    <s v="H01278C"/>
    <s v="FLINTSL - CYAN"/>
    <n v="26"/>
    <n v="0"/>
    <s v="E00990C"/>
    <n v="25"/>
    <n v="0"/>
    <n v="25864000009"/>
    <s v="FMD"/>
    <m/>
    <m/>
    <m/>
    <m/>
    <m/>
    <m/>
    <n v="50"/>
    <e v="#N/A"/>
    <n v="20"/>
    <n v="0"/>
    <m/>
    <n v="0"/>
    <m/>
    <n v="0"/>
    <m/>
    <n v="0"/>
    <m/>
    <n v="0"/>
    <m/>
    <n v="0"/>
    <m/>
    <n v="0"/>
    <s v="FLINTSL"/>
    <n v="20"/>
    <n v="0"/>
    <n v="150.05109489051094"/>
    <n v="0"/>
    <s v="MAGENTA"/>
    <s v="H01278M"/>
    <s v="FLINTSL - MAGENTA"/>
    <n v="32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30"/>
    <n v="0"/>
    <n v="15.810218978102192"/>
    <n v="0"/>
    <s v="YELLOW"/>
    <s v="H01278Y"/>
    <s v="FLINTSL - YELLOW"/>
    <n v="33"/>
    <n v="0"/>
    <m/>
    <m/>
    <n v="0"/>
    <n v="26503000002"/>
    <m/>
    <m/>
    <m/>
    <m/>
    <m/>
    <m/>
    <m/>
    <n v="18"/>
    <e v="#N/A"/>
    <m/>
    <n v="0"/>
    <m/>
    <n v="0"/>
    <m/>
    <n v="0"/>
    <m/>
    <n v="0"/>
    <m/>
    <n v="0"/>
    <m/>
    <n v="0"/>
    <m/>
    <n v="0"/>
    <s v="FLINTSL"/>
    <n v="28"/>
    <n v="0"/>
    <n v="32.810218978102192"/>
    <n v="0"/>
    <s v="WHITE"/>
    <s v="H01278W"/>
    <s v="FLINTSL - WHITE"/>
    <n v="30"/>
    <n v="0"/>
    <m/>
    <m/>
    <n v="0"/>
    <s v="FW"/>
    <m/>
    <m/>
    <m/>
    <m/>
    <m/>
    <m/>
    <m/>
    <n v="170"/>
    <n v="0"/>
    <m/>
    <n v="0"/>
    <m/>
    <n v="0"/>
    <m/>
    <n v="0"/>
    <m/>
    <n v="0"/>
    <m/>
    <n v="0"/>
    <m/>
    <n v="0"/>
    <m/>
    <n v="0"/>
    <s v="FLINTSL"/>
    <n v="25"/>
    <n v="0"/>
    <n v="407.9927007299270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7"/>
    <n v="2"/>
    <n v="20"/>
    <n v="4"/>
    <n v="4"/>
    <n v="95"/>
    <n v="0"/>
    <n v="0.8"/>
    <n v="0.2"/>
    <m/>
    <m/>
    <m/>
    <n v="0"/>
    <n v="336"/>
    <n v="0"/>
    <n v="0"/>
    <n v="336"/>
    <n v="336"/>
    <n v="268.8"/>
    <n v="0"/>
    <n v="67.2"/>
    <n v="0"/>
    <n v="0"/>
    <n v="0"/>
    <n v="0"/>
    <n v="0"/>
    <n v="0"/>
    <n v="0"/>
    <n v="0"/>
    <n v="0"/>
    <n v="0"/>
    <m/>
    <n v="281.2"/>
    <n v="670.2"/>
    <n v="18"/>
    <s v="FLINTSLFLINTSLFLINTSLFLINTSLFLINTSLFLINTSLFLINTSL"/>
    <s v="+"/>
    <s v="+"/>
    <s v="+"/>
    <s v="+"/>
    <s v="+"/>
    <s v="+"/>
    <s v="+"/>
    <s v="NIL"/>
    <b v="0"/>
  </r>
  <r>
    <d v="2026-01-05T00:00:00"/>
    <s v="A"/>
    <x v="54"/>
    <n v="19"/>
    <n v="502"/>
    <n v="16900"/>
    <s v="II"/>
    <s v="N"/>
    <n v="1.9"/>
    <s v="BLACK"/>
    <s v="N00836B"/>
    <s v="FLINTSL - BLACK"/>
    <n v="29"/>
    <n v="0"/>
    <m/>
    <m/>
    <n v="0"/>
    <n v="2650300000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8"/>
    <n v="0"/>
    <n v="7.3599999999999994"/>
    <n v="0"/>
    <s v="REFLEX BLUE"/>
    <s v="E00981B"/>
    <s v="FLINTSL - REFLEX BLUE"/>
    <n v="7"/>
    <n v="0"/>
    <m/>
    <m/>
    <n v="0"/>
    <n v="25864000013"/>
    <n v="9472"/>
    <m/>
    <m/>
    <m/>
    <m/>
    <m/>
    <m/>
    <n v="10"/>
    <e v="#N/A"/>
    <n v="5"/>
    <n v="0"/>
    <m/>
    <n v="0"/>
    <m/>
    <n v="0"/>
    <m/>
    <n v="0"/>
    <m/>
    <n v="0"/>
    <m/>
    <n v="0"/>
    <m/>
    <n v="0"/>
    <s v="FLINTSL"/>
    <n v="23"/>
    <n v="0"/>
    <n v="10.759999999999998"/>
    <n v="0"/>
    <s v="ORANGE"/>
    <s v="N00836O"/>
    <s v="FLINTSL - ORANGE"/>
    <n v="15"/>
    <n v="0"/>
    <m/>
    <m/>
    <n v="0"/>
    <n v="26504000008"/>
    <n v="25863000019"/>
    <m/>
    <m/>
    <m/>
    <m/>
    <m/>
    <m/>
    <n v="10"/>
    <e v="#N/A"/>
    <n v="1"/>
    <e v="#N/A"/>
    <m/>
    <n v="0"/>
    <m/>
    <n v="0"/>
    <m/>
    <n v="0"/>
    <m/>
    <n v="0"/>
    <m/>
    <n v="0"/>
    <m/>
    <n v="0"/>
    <s v="FLINTSL"/>
    <n v="26"/>
    <n v="0"/>
    <n v="8.3999999999999986"/>
    <n v="0"/>
    <s v="CYAN"/>
    <s v="N00836C"/>
    <s v="FLINTSL - CYAN"/>
    <n v="8"/>
    <n v="0"/>
    <m/>
    <m/>
    <n v="0"/>
    <n v="25851000006"/>
    <n v="26504000001"/>
    <s v="FMD"/>
    <m/>
    <m/>
    <m/>
    <m/>
    <m/>
    <n v="0.3"/>
    <e v="#N/A"/>
    <n v="30"/>
    <e v="#N/A"/>
    <n v="18"/>
    <n v="0"/>
    <m/>
    <n v="0"/>
    <m/>
    <n v="0"/>
    <m/>
    <n v="0"/>
    <m/>
    <n v="0"/>
    <m/>
    <n v="0"/>
    <s v="FLINTSL"/>
    <n v="20"/>
    <n v="0"/>
    <n v="69.900000000000006"/>
    <n v="0"/>
    <s v="CYAN"/>
    <s v="N00836C"/>
    <s v="FLINTSL - CYAN"/>
    <n v="20"/>
    <n v="0"/>
    <m/>
    <m/>
    <n v="0"/>
    <n v="25864000009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4"/>
    <n v="0"/>
    <n v="7.7199999999999989"/>
    <n v="0"/>
    <s v="MAGENTA"/>
    <s v="N00836M"/>
    <s v="FLINTSL - MAGENTA"/>
    <n v="26"/>
    <n v="0"/>
    <m/>
    <m/>
    <n v="0"/>
    <n v="26505000005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8"/>
    <n v="0"/>
    <n v="6.3599999999999994"/>
    <n v="0"/>
    <s v="YELLOW"/>
    <s v="N00836Y"/>
    <s v="FLINTSL - YELLOW"/>
    <n v="27"/>
    <n v="0"/>
    <m/>
    <m/>
    <n v="0"/>
    <n v="25864000008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6"/>
    <n v="0"/>
    <n v="10.399999999999999"/>
    <n v="0"/>
    <s v="WHITE"/>
    <s v="N00836W"/>
    <s v="FLINTSL - WHITE"/>
    <n v="2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1"/>
    <n v="0"/>
    <n v="99.4"/>
    <n v="0"/>
    <n v="2"/>
    <n v="7"/>
    <n v="5"/>
    <n v="20"/>
    <n v="4"/>
    <n v="2"/>
    <n v="5"/>
    <n v="30"/>
    <n v="0.8"/>
    <n v="0.2"/>
    <m/>
    <m/>
    <m/>
    <n v="0"/>
    <n v="126"/>
    <n v="0"/>
    <n v="0"/>
    <n v="126"/>
    <n v="126"/>
    <n v="100.80000000000001"/>
    <n v="0"/>
    <n v="25.200000000000003"/>
    <n v="0"/>
    <n v="0"/>
    <n v="0"/>
    <n v="0"/>
    <n v="0"/>
    <n v="0"/>
    <n v="0"/>
    <n v="0"/>
    <n v="0"/>
    <n v="0"/>
    <m/>
    <n v="148.30000000000001"/>
    <n v="220.3"/>
    <n v="19"/>
    <s v="FLINTSLFLINTSLFLINTSLFLINTSLFLINTSLFLINTSLFLINTSLFLINTSL"/>
    <s v="+"/>
    <s v="+"/>
    <s v="+"/>
    <s v="+"/>
    <s v="+"/>
    <s v="+"/>
    <s v="+"/>
    <s v="+"/>
    <b v="0"/>
  </r>
  <r>
    <d v="2026-01-05T00:00:00"/>
    <s v="A"/>
    <x v="55"/>
    <n v="20"/>
    <n v="482"/>
    <n v="26300"/>
    <s v="I"/>
    <s v="N"/>
    <n v="1.31"/>
    <s v="BLACK"/>
    <s v="C01416B"/>
    <s v="FLINTSL - BLACK"/>
    <n v="18"/>
    <n v="0"/>
    <m/>
    <m/>
    <n v="0"/>
    <n v="26503000005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4"/>
    <n v="0"/>
    <n v="4.9647058823529413"/>
    <n v="0"/>
    <s v="RED"/>
    <s v="C01416R"/>
    <s v="FLINTSL - RED"/>
    <n v="23"/>
    <n v="0"/>
    <m/>
    <m/>
    <n v="0"/>
    <n v="26504000005"/>
    <n v="25862000014"/>
    <m/>
    <m/>
    <m/>
    <m/>
    <m/>
    <m/>
    <n v="2"/>
    <e v="#N/A"/>
    <n v="2"/>
    <e v="#N/A"/>
    <m/>
    <n v="0"/>
    <m/>
    <n v="0"/>
    <m/>
    <n v="0"/>
    <m/>
    <n v="0"/>
    <m/>
    <n v="0"/>
    <m/>
    <n v="0"/>
    <s v="FLINTSL"/>
    <n v="24"/>
    <n v="0"/>
    <n v="4.9882352941176471"/>
    <n v="0"/>
    <s v="GREEN"/>
    <s v="C01431G"/>
    <s v="FLINTSL - GREEN"/>
    <n v="24"/>
    <n v="0"/>
    <m/>
    <m/>
    <n v="0"/>
    <n v="2650400000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0"/>
    <n v="0"/>
    <n v="11.976470588235294"/>
    <n v="0"/>
    <s v="GREEN"/>
    <s v="H01278G"/>
    <s v="FLINTSL - GREEN"/>
    <n v="21"/>
    <n v="0"/>
    <s v="F00834G"/>
    <n v="25"/>
    <n v="0"/>
    <n v="25864000009"/>
    <n v="26504000008"/>
    <s v="FMD"/>
    <m/>
    <m/>
    <m/>
    <m/>
    <m/>
    <n v="10"/>
    <e v="#N/A"/>
    <n v="15"/>
    <e v="#N/A"/>
    <n v="5"/>
    <n v="0"/>
    <m/>
    <n v="0"/>
    <m/>
    <n v="0"/>
    <m/>
    <n v="0"/>
    <m/>
    <n v="0"/>
    <m/>
    <n v="0"/>
    <s v="FLINTSL"/>
    <n v="30"/>
    <n v="0"/>
    <n v="65.882352941176464"/>
    <n v="0"/>
    <s v="CYAN"/>
    <s v="C01416C"/>
    <s v="FLINTSL - CYAN"/>
    <n v="20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6"/>
    <n v="0"/>
    <n v="8.941176470588232"/>
    <n v="0"/>
    <s v="MAGENTA"/>
    <s v="C01416M"/>
    <s v="FLINTSL - MAGENTA"/>
    <n v="30"/>
    <n v="0"/>
    <m/>
    <m/>
    <n v="0"/>
    <n v="26505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8.9764705882352942"/>
    <n v="0"/>
    <s v="YELLOW"/>
    <s v="C01416Y"/>
    <s v="FLINTSL - YELLOW"/>
    <n v="28"/>
    <n v="0"/>
    <m/>
    <m/>
    <n v="0"/>
    <n v="25864000008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6"/>
    <n v="0"/>
    <n v="11.976470588235294"/>
    <n v="0"/>
    <s v="WHITE"/>
    <s v="C01416W"/>
    <s v="FLINTSL - WHITE"/>
    <n v="25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20"/>
    <n v="0"/>
    <n v="224.29411764705884"/>
    <n v="0"/>
    <n v="3"/>
    <n v="1"/>
    <n v="2"/>
    <n v="10"/>
    <n v="5"/>
    <n v="2"/>
    <n v="2"/>
    <n v="60"/>
    <n v="0.8"/>
    <n v="0.2"/>
    <m/>
    <m/>
    <m/>
    <n v="0"/>
    <n v="169"/>
    <n v="0"/>
    <n v="0"/>
    <n v="169"/>
    <n v="169"/>
    <n v="135.20000000000002"/>
    <n v="0"/>
    <n v="33.800000000000004"/>
    <n v="0"/>
    <n v="0"/>
    <n v="0"/>
    <n v="0"/>
    <n v="0"/>
    <n v="0"/>
    <n v="0"/>
    <n v="0"/>
    <n v="0"/>
    <n v="0"/>
    <m/>
    <n v="156"/>
    <n v="342"/>
    <n v="20"/>
    <s v="FLINTSLFLINTSLFLINTSLFLINTSLFLINTSLFLINTSLFLINTSLFLINTSL"/>
    <s v="+"/>
    <s v="+"/>
    <s v="+"/>
    <s v="+"/>
    <s v="+"/>
    <s v="+"/>
    <s v="+"/>
    <s v="+"/>
    <b v="0"/>
  </r>
  <r>
    <d v="2026-01-05T00:00:00"/>
    <s v="A"/>
    <x v="56"/>
    <n v="21"/>
    <n v="495"/>
    <n v="27000"/>
    <s v="I"/>
    <s v="N"/>
    <n v="1.31"/>
    <s v="BLACK"/>
    <s v="C01417B"/>
    <s v="FLINTSL - BLACK"/>
    <n v="24"/>
    <n v="0"/>
    <m/>
    <m/>
    <n v="0"/>
    <n v="2650300000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2"/>
    <n v="0"/>
    <n v="11.920000000000002"/>
    <n v="0"/>
    <s v="RED"/>
    <s v="C01417R"/>
    <s v="FLINTSL - RED"/>
    <n v="24"/>
    <n v="0"/>
    <m/>
    <m/>
    <n v="0"/>
    <n v="26505000005"/>
    <n v="25862000014"/>
    <m/>
    <m/>
    <m/>
    <m/>
    <m/>
    <m/>
    <n v="2"/>
    <e v="#N/A"/>
    <n v="1"/>
    <e v="#N/A"/>
    <m/>
    <n v="0"/>
    <m/>
    <n v="0"/>
    <m/>
    <n v="0"/>
    <m/>
    <n v="0"/>
    <m/>
    <n v="0"/>
    <m/>
    <n v="0"/>
    <s v="FLINTSL"/>
    <n v="24"/>
    <n v="0"/>
    <n v="9.9200000000000017"/>
    <n v="0"/>
    <s v="REFLEX BLUE"/>
    <s v="C01416RB"/>
    <s v="FLINTSL - REFLEX BLUE"/>
    <n v="20"/>
    <n v="0"/>
    <m/>
    <m/>
    <n v="0"/>
    <n v="26504000001"/>
    <n v="26503000002"/>
    <n v="26503000005"/>
    <m/>
    <m/>
    <m/>
    <m/>
    <m/>
    <n v="5"/>
    <e v="#N/A"/>
    <n v="2"/>
    <e v="#N/A"/>
    <n v="0.2"/>
    <e v="#N/A"/>
    <m/>
    <n v="0"/>
    <m/>
    <n v="0"/>
    <m/>
    <n v="0"/>
    <m/>
    <n v="0"/>
    <m/>
    <n v="0"/>
    <s v="FLINTSL"/>
    <n v="27"/>
    <n v="0"/>
    <n v="10.579999999999998"/>
    <n v="0"/>
    <s v="REFLEX BLUE"/>
    <s v="E00990B"/>
    <s v="FLINTSL - REFLEX BLUE"/>
    <n v="20"/>
    <n v="0"/>
    <m/>
    <m/>
    <n v="0"/>
    <n v="26505000008"/>
    <n v="26505000009"/>
    <n v="26505000011"/>
    <n v="9472"/>
    <m/>
    <m/>
    <m/>
    <m/>
    <n v="40"/>
    <e v="#N/A"/>
    <n v="30"/>
    <e v="#N/A"/>
    <n v="30"/>
    <e v="#N/A"/>
    <n v="5"/>
    <n v="0"/>
    <m/>
    <n v="0"/>
    <m/>
    <n v="0"/>
    <m/>
    <n v="0"/>
    <m/>
    <n v="0"/>
    <s v="FLINTSL"/>
    <n v="25"/>
    <n v="0"/>
    <n v="134.6"/>
    <n v="0"/>
    <s v="CYAN"/>
    <s v="C01417C"/>
    <s v="FLINTSL - CYAN"/>
    <n v="26"/>
    <n v="0"/>
    <m/>
    <m/>
    <n v="0"/>
    <n v="25864000009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2"/>
    <n v="0"/>
    <n v="10.46"/>
    <n v="0"/>
    <s v="MAGENTA"/>
    <s v="C01417M"/>
    <s v="FLINTSL - MAGENTA"/>
    <n v="27"/>
    <n v="0"/>
    <m/>
    <m/>
    <n v="0"/>
    <s v="FMD"/>
    <m/>
    <m/>
    <m/>
    <m/>
    <m/>
    <m/>
    <m/>
    <n v="1"/>
    <n v="0"/>
    <m/>
    <n v="0"/>
    <m/>
    <n v="0"/>
    <m/>
    <n v="0"/>
    <m/>
    <n v="0"/>
    <m/>
    <n v="0"/>
    <m/>
    <n v="0"/>
    <m/>
    <n v="0"/>
    <s v="FLINTSL"/>
    <n v="22"/>
    <n v="0"/>
    <n v="9.4600000000000009"/>
    <n v="0"/>
    <s v="YELLOW"/>
    <s v="C01417Y"/>
    <s v="FLINTSL - YELLOW"/>
    <n v="26"/>
    <n v="0"/>
    <m/>
    <m/>
    <n v="0"/>
    <n v="2650300000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7.4600000000000009"/>
    <n v="0"/>
    <s v="WHITE"/>
    <s v="C01417W"/>
    <s v="FLINTSL - WHITE"/>
    <n v="2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6"/>
    <n v="0"/>
    <n v="157.80000000000001"/>
    <n v="0"/>
    <n v="2"/>
    <n v="2"/>
    <n v="3"/>
    <n v="10"/>
    <n v="1"/>
    <n v="1"/>
    <n v="1"/>
    <n v="30"/>
    <n v="0.8"/>
    <n v="0.2"/>
    <m/>
    <m/>
    <m/>
    <n v="0"/>
    <n v="173"/>
    <n v="0"/>
    <n v="0"/>
    <n v="173"/>
    <n v="173"/>
    <n v="138.4"/>
    <n v="0"/>
    <n v="34.6"/>
    <n v="0"/>
    <n v="0"/>
    <n v="0"/>
    <n v="0"/>
    <n v="0"/>
    <n v="0"/>
    <n v="0"/>
    <n v="0"/>
    <n v="0"/>
    <n v="0"/>
    <m/>
    <n v="184.2"/>
    <n v="352.20000000000005"/>
    <n v="21"/>
    <s v="FLINTSLFLINTSLFLINTSLFLINTSLFLINTSLFLINTSLFLINTSLFLINTSL"/>
    <s v="+"/>
    <s v="+"/>
    <s v="+"/>
    <s v="+"/>
    <s v="+"/>
    <s v="+"/>
    <s v="+"/>
    <s v="+"/>
    <b v="0"/>
  </r>
  <r>
    <d v="2026-01-05T00:00:00"/>
    <s v="A"/>
    <x v="57"/>
    <n v="22"/>
    <n v="718"/>
    <n v="24200"/>
    <s v="II"/>
    <s v="N"/>
    <n v="1.86"/>
    <s v="BLACK"/>
    <s v="N00827B"/>
    <s v="FLINTSL - BLACK"/>
    <n v="24"/>
    <n v="0"/>
    <m/>
    <m/>
    <n v="0"/>
    <n v="2650600000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7"/>
    <n v="0"/>
    <n v="3.2432432432432421"/>
    <n v="0"/>
    <s v="REFLEX BLUE"/>
    <s v="N00827B"/>
    <s v="FLINTSL - REFLEX BLUE"/>
    <n v="26"/>
    <n v="0"/>
    <m/>
    <m/>
    <n v="0"/>
    <n v="26505000024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8"/>
    <n v="0"/>
    <n v="2.2432432432432421"/>
    <n v="0"/>
    <s v="GREEN"/>
    <s v="C01434G"/>
    <s v="FLINTSL - GREEN"/>
    <n v="27"/>
    <n v="0"/>
    <m/>
    <m/>
    <n v="0"/>
    <n v="25851000006"/>
    <n v="26505000024"/>
    <n v="26504000008"/>
    <m/>
    <m/>
    <m/>
    <m/>
    <m/>
    <n v="12"/>
    <e v="#N/A"/>
    <n v="5"/>
    <e v="#N/A"/>
    <n v="6"/>
    <e v="#N/A"/>
    <m/>
    <n v="0"/>
    <m/>
    <n v="0"/>
    <m/>
    <n v="0"/>
    <m/>
    <n v="0"/>
    <m/>
    <n v="0"/>
    <s v="FLINTSL"/>
    <n v="38"/>
    <n v="0"/>
    <n v="16.864864864864863"/>
    <n v="0"/>
    <s v="BLACK"/>
    <m/>
    <s v="FLINTSL - BLACK"/>
    <m/>
    <n v="0"/>
    <m/>
    <m/>
    <n v="0"/>
    <n v="26503000005"/>
    <m/>
    <m/>
    <m/>
    <m/>
    <m/>
    <m/>
    <m/>
    <n v="48"/>
    <e v="#N/A"/>
    <m/>
    <n v="0"/>
    <m/>
    <n v="0"/>
    <m/>
    <n v="0"/>
    <m/>
    <n v="0"/>
    <m/>
    <n v="0"/>
    <m/>
    <n v="0"/>
    <m/>
    <n v="0"/>
    <s v="FLINTSL"/>
    <n v="23"/>
    <n v="0"/>
    <n v="76.891891891891902"/>
    <n v="0"/>
    <s v="CYAN"/>
    <s v="N00827C"/>
    <s v="FLINTSL - CYAN"/>
    <n v="23"/>
    <n v="0"/>
    <m/>
    <m/>
    <n v="0"/>
    <n v="2650400000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9"/>
    <n v="0"/>
    <n v="6.1081081081081052"/>
    <n v="0"/>
    <s v="MAGENTA"/>
    <s v="N00827M"/>
    <s v="FLINTSL - MAGENTA"/>
    <n v="25"/>
    <n v="0"/>
    <m/>
    <m/>
    <n v="0"/>
    <n v="26505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2.2432432432432421"/>
    <n v="0"/>
    <s v="YELLOW"/>
    <s v="N00827Y"/>
    <s v="FLINTSL - YELLOW"/>
    <n v="25"/>
    <n v="0"/>
    <m/>
    <m/>
    <n v="0"/>
    <n v="26503000002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8.1081081081081052"/>
    <n v="0"/>
    <s v="WHITE"/>
    <s v="N00827W"/>
    <s v="FLINTSL - WHITE"/>
    <n v="26"/>
    <n v="0"/>
    <m/>
    <m/>
    <n v="0"/>
    <s v="FW"/>
    <m/>
    <m/>
    <m/>
    <m/>
    <m/>
    <m/>
    <m/>
    <n v="120"/>
    <n v="0"/>
    <m/>
    <n v="0"/>
    <m/>
    <n v="0"/>
    <m/>
    <n v="0"/>
    <m/>
    <n v="0"/>
    <m/>
    <n v="0"/>
    <m/>
    <n v="0"/>
    <m/>
    <n v="0"/>
    <s v="FLINTSL"/>
    <n v="30"/>
    <n v="0"/>
    <n v="213.29729729729729"/>
    <n v="0"/>
    <n v="2"/>
    <n v="2"/>
    <n v="3"/>
    <n v="32"/>
    <n v="5"/>
    <n v="2"/>
    <n v="5"/>
    <n v="60"/>
    <n v="0.8"/>
    <n v="0.2"/>
    <m/>
    <m/>
    <m/>
    <n v="0"/>
    <n v="180"/>
    <n v="0"/>
    <n v="0"/>
    <n v="180"/>
    <n v="180"/>
    <n v="144"/>
    <n v="0"/>
    <n v="36"/>
    <n v="0"/>
    <n v="0"/>
    <n v="0"/>
    <n v="0"/>
    <n v="0"/>
    <n v="0"/>
    <n v="0"/>
    <n v="0"/>
    <n v="0"/>
    <n v="0"/>
    <m/>
    <n v="206"/>
    <n v="329"/>
    <n v="22"/>
    <s v="FLINTSLFLINTSLFLINTSLFLINTSLFLINTSLFLINTSLFLINTSLFLINTSL"/>
    <s v="+"/>
    <s v="+"/>
    <s v="+"/>
    <s v="+"/>
    <s v="+"/>
    <s v="+"/>
    <s v="+"/>
    <s v="+"/>
    <b v="0"/>
  </r>
  <r>
    <d v="2026-01-05T00:00:00"/>
    <s v="A"/>
    <x v="58"/>
    <n v="23"/>
    <n v="772"/>
    <n v="26000"/>
    <s v="II"/>
    <s v="N"/>
    <n v="1.89"/>
    <s v="BLACK"/>
    <s v="N00830B"/>
    <s v="FLINTSL - BLACK"/>
    <n v="28"/>
    <n v="0"/>
    <m/>
    <m/>
    <n v="0"/>
    <n v="26506000004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13.283018867924525"/>
    <n v="0"/>
    <s v="REFLEX BLUE"/>
    <s v="N00830B"/>
    <s v="FLINTSL - REFLEX BLUE"/>
    <n v="23"/>
    <n v="0"/>
    <m/>
    <m/>
    <n v="0"/>
    <n v="25864000013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19.20754716981132"/>
    <n v="0"/>
    <s v="YELLOW"/>
    <s v="N00830Y"/>
    <s v="FLINTSL - YELLOW"/>
    <n v="26"/>
    <n v="0"/>
    <m/>
    <m/>
    <n v="0"/>
    <n v="25862000014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3"/>
    <n v="0"/>
    <n v="11.283018867924525"/>
    <n v="0"/>
    <s v="RED"/>
    <s v="N00836R"/>
    <s v="FLINTSL - RED"/>
    <n v="20"/>
    <n v="0"/>
    <m/>
    <m/>
    <n v="0"/>
    <n v="25863000019"/>
    <n v="26505000006"/>
    <n v="26505000007"/>
    <m/>
    <m/>
    <m/>
    <m/>
    <m/>
    <n v="5"/>
    <e v="#N/A"/>
    <n v="40"/>
    <e v="#N/A"/>
    <n v="30"/>
    <e v="#N/A"/>
    <m/>
    <n v="0"/>
    <m/>
    <n v="0"/>
    <m/>
    <n v="0"/>
    <m/>
    <n v="0"/>
    <m/>
    <n v="0"/>
    <s v="FLINTSL"/>
    <n v="24"/>
    <n v="0"/>
    <n v="89.20754716981132"/>
    <n v="0"/>
    <s v="CYAN"/>
    <s v="N00830C"/>
    <s v="FLINTSL - CYAN"/>
    <n v="24"/>
    <n v="0"/>
    <m/>
    <m/>
    <n v="0"/>
    <n v="2650400000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4"/>
    <n v="0"/>
    <n v="11.283018867924525"/>
    <n v="0"/>
    <s v="MAGENTA"/>
    <s v="N00830M"/>
    <s v="FLINTSL - MAGENTA"/>
    <n v="28"/>
    <n v="0"/>
    <m/>
    <m/>
    <n v="0"/>
    <n v="2650500000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5"/>
    <n v="0"/>
    <n v="14.283018867924525"/>
    <n v="0"/>
    <s v="YELLOW"/>
    <s v="N00830Y"/>
    <s v="FLINTSL - YELLOW"/>
    <n v="26"/>
    <n v="0"/>
    <m/>
    <m/>
    <n v="0"/>
    <n v="26505000004"/>
    <s v="FMD"/>
    <m/>
    <m/>
    <m/>
    <m/>
    <m/>
    <m/>
    <n v="4"/>
    <e v="#N/A"/>
    <n v="2"/>
    <n v="0"/>
    <m/>
    <n v="0"/>
    <m/>
    <n v="0"/>
    <m/>
    <n v="0"/>
    <m/>
    <n v="0"/>
    <m/>
    <n v="0"/>
    <m/>
    <n v="0"/>
    <s v="FLINTSL"/>
    <n v="20"/>
    <n v="0"/>
    <n v="30.20754716981132"/>
    <n v="0"/>
    <s v="WHITE"/>
    <s v="N00830W"/>
    <s v="FLINTSL - WHITE"/>
    <n v="31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7"/>
    <n v="0"/>
    <n v="173.24528301886792"/>
    <n v="0"/>
    <n v="2"/>
    <n v="5"/>
    <n v="2"/>
    <n v="5"/>
    <n v="2"/>
    <n v="2"/>
    <n v="5"/>
    <n v="30"/>
    <n v="0.8"/>
    <n v="0.2"/>
    <m/>
    <m/>
    <m/>
    <n v="0"/>
    <n v="193"/>
    <n v="0"/>
    <n v="0"/>
    <n v="193"/>
    <n v="193"/>
    <n v="154.4"/>
    <n v="0"/>
    <n v="38.6"/>
    <n v="0"/>
    <n v="0"/>
    <n v="0"/>
    <n v="0"/>
    <n v="0"/>
    <n v="0"/>
    <n v="0"/>
    <n v="0"/>
    <n v="0"/>
    <n v="0"/>
    <m/>
    <n v="154"/>
    <n v="362"/>
    <n v="23"/>
    <s v="FLINTSLFLINTSLFLINTSLFLINTSLFLINTSLFLINTSLFLINTSLFLINTSL"/>
    <s v="+"/>
    <s v="+"/>
    <s v="+"/>
    <s v="+"/>
    <s v="+"/>
    <s v="+"/>
    <s v="+"/>
    <s v="+"/>
    <b v="0"/>
  </r>
  <r>
    <d v="2026-01-05T00:00:00"/>
    <s v="A"/>
    <x v="59"/>
    <n v="24"/>
    <n v="772"/>
    <n v="26000"/>
    <s v="II"/>
    <s v="N"/>
    <n v="1.81"/>
    <s v="BLACK"/>
    <s v="N00829B"/>
    <s v="FLINTSL - BLACK"/>
    <n v="24"/>
    <n v="0"/>
    <m/>
    <m/>
    <n v="0"/>
    <n v="26506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13.696969696969695"/>
    <n v="0"/>
    <s v="REFLEX BLUE"/>
    <s v="N00829B"/>
    <s v="FLINTSL - REFLEX BLUE"/>
    <n v="24"/>
    <n v="0"/>
    <m/>
    <m/>
    <n v="0"/>
    <n v="25864000013"/>
    <n v="26504000001"/>
    <m/>
    <m/>
    <m/>
    <m/>
    <m/>
    <m/>
    <n v="3"/>
    <e v="#N/A"/>
    <n v="4"/>
    <e v="#N/A"/>
    <m/>
    <n v="0"/>
    <m/>
    <n v="0"/>
    <m/>
    <n v="0"/>
    <m/>
    <n v="0"/>
    <m/>
    <n v="0"/>
    <m/>
    <n v="0"/>
    <s v="FLINTSL"/>
    <n v="26"/>
    <n v="0"/>
    <n v="16.696969696969695"/>
    <n v="0"/>
    <s v="ORANGE"/>
    <s v="N00829O"/>
    <s v="FLINTSL - ORANGE"/>
    <n v="23"/>
    <n v="0"/>
    <m/>
    <m/>
    <n v="0"/>
    <n v="26505000004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4"/>
    <n v="0"/>
    <n v="13.696969696969695"/>
    <n v="0"/>
    <s v="ORANGE"/>
    <m/>
    <s v="FLINTSL - ORANGE"/>
    <m/>
    <n v="0"/>
    <m/>
    <m/>
    <n v="0"/>
    <n v="26505000010"/>
    <n v="26505000012"/>
    <n v="26505000015"/>
    <n v="25862000014"/>
    <m/>
    <m/>
    <m/>
    <m/>
    <n v="40"/>
    <e v="#N/A"/>
    <n v="20"/>
    <e v="#N/A"/>
    <n v="30"/>
    <e v="#N/A"/>
    <n v="3"/>
    <e v="#N/A"/>
    <m/>
    <n v="0"/>
    <m/>
    <n v="0"/>
    <m/>
    <n v="0"/>
    <m/>
    <n v="0"/>
    <s v="FLINTSL"/>
    <n v="13"/>
    <n v="0"/>
    <n v="100.46969696969697"/>
    <n v="0"/>
    <s v="CYAN"/>
    <s v="N00829C"/>
    <s v="FLINTSL - CYAN"/>
    <n v="24"/>
    <n v="0"/>
    <m/>
    <m/>
    <n v="0"/>
    <n v="26504000001"/>
    <s v="FMD"/>
    <m/>
    <m/>
    <m/>
    <m/>
    <m/>
    <m/>
    <n v="2"/>
    <e v="#N/A"/>
    <n v="5"/>
    <n v="0"/>
    <m/>
    <n v="0"/>
    <m/>
    <n v="0"/>
    <m/>
    <n v="0"/>
    <m/>
    <n v="0"/>
    <m/>
    <n v="0"/>
    <m/>
    <n v="0"/>
    <s v="FLINTSL"/>
    <n v="23"/>
    <n v="0"/>
    <n v="13.848484848484851"/>
    <n v="0"/>
    <s v="MAGENTA"/>
    <s v="N00829M"/>
    <s v="FLINTSL - MAGENTA"/>
    <n v="25"/>
    <n v="0"/>
    <m/>
    <m/>
    <n v="0"/>
    <n v="2650500000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5"/>
    <n v="0"/>
    <n v="18.621212121212125"/>
    <n v="0"/>
    <s v="YELLOW"/>
    <s v="N00829Y"/>
    <s v="FLINTSL - YELLOW"/>
    <n v="20"/>
    <n v="0"/>
    <m/>
    <m/>
    <n v="0"/>
    <n v="26505000004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5"/>
    <n v="0"/>
    <n v="34.242424242424242"/>
    <n v="0"/>
    <s v="WHITE"/>
    <s v="N00829W"/>
    <s v="FLINTSL - WHITE"/>
    <n v="27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6"/>
    <n v="0"/>
    <n v="148.72727272727272"/>
    <n v="0"/>
    <n v="4"/>
    <n v="4"/>
    <n v="4"/>
    <n v="7"/>
    <n v="2"/>
    <n v="5"/>
    <n v="10"/>
    <n v="30"/>
    <n v="0.8"/>
    <n v="0.2"/>
    <m/>
    <m/>
    <m/>
    <n v="0"/>
    <n v="193"/>
    <n v="0"/>
    <n v="0"/>
    <n v="193"/>
    <n v="193"/>
    <n v="154.4"/>
    <n v="0"/>
    <n v="38.6"/>
    <n v="0"/>
    <n v="0"/>
    <n v="0"/>
    <n v="0"/>
    <n v="0"/>
    <n v="0"/>
    <n v="0"/>
    <n v="0"/>
    <n v="0"/>
    <n v="0"/>
    <m/>
    <n v="186"/>
    <n v="360"/>
    <n v="24"/>
    <s v="FLINTSLFLINTSLFLINTSLFLINTSLFLINTSLFLINTSLFLINTSLFLINTSL"/>
    <s v="+"/>
    <s v="+"/>
    <s v="+"/>
    <s v="+"/>
    <s v="+"/>
    <s v="+"/>
    <s v="+"/>
    <s v="+"/>
    <b v="0"/>
  </r>
  <r>
    <d v="2026-01-05T00:00:00"/>
    <s v="A"/>
    <x v="60"/>
    <n v="25"/>
    <n v="472"/>
    <n v="23900"/>
    <s v="I"/>
    <s v="N"/>
    <n v="1.21"/>
    <s v="BLACK"/>
    <s v="C01418B"/>
    <s v="FLINTSL - BLACK"/>
    <n v="22"/>
    <n v="0"/>
    <m/>
    <m/>
    <n v="0"/>
    <n v="26506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9"/>
    <n v="0"/>
    <n v="2.3880597014925371"/>
    <n v="0"/>
    <s v="RED"/>
    <s v="C01418R"/>
    <s v="FLINTSL - RED"/>
    <n v="24"/>
    <n v="0"/>
    <m/>
    <m/>
    <n v="0"/>
    <n v="25862000014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1.4626865671641802"/>
    <n v="0"/>
    <s v="GREEN"/>
    <m/>
    <s v="FLINTSL - GREEN"/>
    <m/>
    <n v="0"/>
    <m/>
    <m/>
    <n v="0"/>
    <n v="26505000019"/>
    <n v="26505000020"/>
    <n v="26505000004"/>
    <n v="26504000001"/>
    <s v="FMD"/>
    <m/>
    <m/>
    <m/>
    <n v="0.18"/>
    <e v="#N/A"/>
    <n v="30"/>
    <e v="#N/A"/>
    <n v="20"/>
    <e v="#N/A"/>
    <n v="30"/>
    <e v="#N/A"/>
    <n v="5"/>
    <n v="0"/>
    <m/>
    <n v="0"/>
    <m/>
    <n v="0"/>
    <m/>
    <n v="0"/>
    <s v="FLINTSL"/>
    <n v="40"/>
    <n v="0"/>
    <n v="69.806865671641788"/>
    <n v="0"/>
    <s v="CYAN"/>
    <s v="C01418C"/>
    <s v="FLINTSL - CYAN"/>
    <n v="22"/>
    <n v="0"/>
    <m/>
    <m/>
    <n v="0"/>
    <n v="26505000021"/>
    <m/>
    <m/>
    <m/>
    <m/>
    <m/>
    <m/>
    <m/>
    <n v="40"/>
    <e v="#N/A"/>
    <m/>
    <n v="0"/>
    <m/>
    <n v="0"/>
    <m/>
    <n v="0"/>
    <m/>
    <n v="0"/>
    <m/>
    <n v="0"/>
    <m/>
    <n v="0"/>
    <m/>
    <n v="0"/>
    <s v="FLINTSL"/>
    <n v="29"/>
    <n v="0"/>
    <n v="33"/>
    <n v="0"/>
    <s v="MAGENTA"/>
    <s v="C01418M"/>
    <s v="FLINTSL - MAGENTA"/>
    <n v="22"/>
    <n v="0"/>
    <m/>
    <m/>
    <n v="0"/>
    <n v="26505000005"/>
    <s v="FMD"/>
    <m/>
    <m/>
    <m/>
    <m/>
    <m/>
    <m/>
    <n v="5"/>
    <e v="#N/A"/>
    <n v="10"/>
    <n v="0"/>
    <m/>
    <n v="0"/>
    <m/>
    <n v="0"/>
    <m/>
    <n v="0"/>
    <m/>
    <n v="0"/>
    <m/>
    <n v="0"/>
    <m/>
    <n v="0"/>
    <s v="FLINTSL"/>
    <n v="42"/>
    <n v="0"/>
    <n v="2.3880597014925371"/>
    <n v="0"/>
    <s v="YELLOW"/>
    <s v="C01418Y"/>
    <s v="FLINTSL - YELLOW"/>
    <n v="24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9"/>
    <n v="0"/>
    <n v="12.31343283582089"/>
    <n v="0"/>
    <s v="WHITE"/>
    <s v="C01418W"/>
    <s v="FLINTSL - WHITE"/>
    <n v="26"/>
    <n v="0"/>
    <m/>
    <m/>
    <n v="0"/>
    <s v="FW"/>
    <m/>
    <m/>
    <m/>
    <m/>
    <m/>
    <m/>
    <m/>
    <n v="80"/>
    <n v="0"/>
    <m/>
    <n v="0"/>
    <m/>
    <n v="0"/>
    <m/>
    <n v="0"/>
    <m/>
    <n v="0"/>
    <m/>
    <n v="0"/>
    <m/>
    <n v="0"/>
    <m/>
    <n v="0"/>
    <s v="FLINTSL"/>
    <n v="30"/>
    <n v="0"/>
    <n v="186.8208955223880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1"/>
    <n v="10"/>
    <n v="0"/>
    <n v="3"/>
    <n v="5"/>
    <n v="45"/>
    <n v="0"/>
    <n v="0.8"/>
    <n v="0.2"/>
    <m/>
    <m/>
    <m/>
    <n v="0"/>
    <n v="165"/>
    <n v="0"/>
    <n v="0"/>
    <n v="165"/>
    <n v="165"/>
    <n v="132"/>
    <n v="0"/>
    <n v="33"/>
    <n v="0"/>
    <n v="0"/>
    <n v="0"/>
    <n v="0"/>
    <n v="0"/>
    <n v="0"/>
    <n v="0"/>
    <n v="0"/>
    <n v="0"/>
    <n v="0"/>
    <m/>
    <n v="229.18"/>
    <n v="308.18"/>
    <n v="25"/>
    <s v="FLINTSLFLINTSLFLINTSLFLINTSLFLINTSLFLINTSLFLINTSL"/>
    <s v="+"/>
    <s v="+"/>
    <s v="+"/>
    <s v="+"/>
    <s v="+"/>
    <s v="+"/>
    <s v="+"/>
    <s v="NIL"/>
    <b v="0"/>
  </r>
  <r>
    <d v="2026-01-05T00:00:00"/>
    <s v="A"/>
    <x v="61"/>
    <n v="26"/>
    <n v="691"/>
    <n v="23300"/>
    <s v="II"/>
    <s v="N"/>
    <n v="1.85"/>
    <s v="BLACK"/>
    <s v="N00828B"/>
    <s v="FLINTSL - BLACK"/>
    <n v="27"/>
    <n v="0"/>
    <s v="N00828B"/>
    <n v="23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0"/>
    <n v="30.117647058823529"/>
    <n v="0"/>
    <s v="REFLEX BLUE"/>
    <s v="N00828B"/>
    <s v="FLINTSL - REFLEX BLUE"/>
    <n v="28"/>
    <n v="0"/>
    <m/>
    <m/>
    <n v="0"/>
    <n v="25864000013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9"/>
    <n v="0"/>
    <n v="15.141176470588235"/>
    <n v="0"/>
    <s v="YELLOW"/>
    <s v="N00827Y"/>
    <s v="FLINTSL - YELLOW"/>
    <n v="24"/>
    <n v="0"/>
    <m/>
    <m/>
    <n v="0"/>
    <n v="26505000004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6"/>
    <n v="0"/>
    <n v="6.0705882352941174"/>
    <n v="0"/>
    <s v="REFLEX BLUE"/>
    <s v="E00981B"/>
    <s v="FLINTSL - REFLEX BLUE"/>
    <n v="20"/>
    <n v="0"/>
    <m/>
    <m/>
    <n v="0"/>
    <n v="25864000013"/>
    <n v="26505000016"/>
    <n v="26505000017"/>
    <m/>
    <m/>
    <m/>
    <m/>
    <m/>
    <n v="7"/>
    <e v="#N/A"/>
    <n v="10"/>
    <e v="#N/A"/>
    <n v="20"/>
    <e v="#N/A"/>
    <m/>
    <n v="0"/>
    <m/>
    <n v="0"/>
    <m/>
    <n v="0"/>
    <m/>
    <n v="0"/>
    <m/>
    <n v="0"/>
    <s v="FLINTSL"/>
    <n v="22"/>
    <n v="0"/>
    <n v="51.188235294117646"/>
    <n v="0"/>
    <s v="CYAN"/>
    <s v="N00828C"/>
    <s v="FLINTSL - CYAN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5.0470588235294116"/>
    <n v="0"/>
    <s v="MAGENTA"/>
    <s v="N00828M"/>
    <s v="FLINTSL - MAGENTA"/>
    <n v="28"/>
    <n v="0"/>
    <m/>
    <m/>
    <n v="0"/>
    <n v="26505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9"/>
    <n v="0"/>
    <n v="7.0705882352941174"/>
    <n v="0"/>
    <s v="YELLOW"/>
    <s v="N00828Y"/>
    <s v="FLINTSL - YELLOW"/>
    <n v="30"/>
    <n v="0"/>
    <m/>
    <m/>
    <n v="0"/>
    <n v="26505000004"/>
    <s v="FMD"/>
    <m/>
    <m/>
    <m/>
    <m/>
    <m/>
    <m/>
    <n v="6"/>
    <e v="#N/A"/>
    <n v="5"/>
    <n v="0"/>
    <m/>
    <n v="0"/>
    <m/>
    <n v="0"/>
    <m/>
    <n v="0"/>
    <m/>
    <n v="0"/>
    <m/>
    <n v="0"/>
    <m/>
    <n v="0"/>
    <s v="FLINTSL"/>
    <n v="30"/>
    <n v="0"/>
    <n v="27.188235294117646"/>
    <n v="0"/>
    <s v="WHITE"/>
    <s v="N00828W"/>
    <s v="FLINTSL - WHITE"/>
    <n v="30"/>
    <n v="0"/>
    <m/>
    <m/>
    <n v="0"/>
    <s v="FW"/>
    <m/>
    <m/>
    <m/>
    <m/>
    <m/>
    <m/>
    <m/>
    <n v="70"/>
    <n v="0"/>
    <m/>
    <n v="0"/>
    <m/>
    <n v="0"/>
    <m/>
    <n v="0"/>
    <m/>
    <n v="0"/>
    <m/>
    <n v="0"/>
    <m/>
    <n v="0"/>
    <m/>
    <n v="0"/>
    <s v="FLINTSL"/>
    <n v="30"/>
    <n v="0"/>
    <n v="171.1764705882353"/>
    <n v="0"/>
    <n v="5"/>
    <n v="6"/>
    <n v="3"/>
    <n v="8"/>
    <n v="2"/>
    <n v="3"/>
    <n v="8"/>
    <n v="50"/>
    <n v="0.8"/>
    <n v="0.2"/>
    <m/>
    <m/>
    <m/>
    <n v="0"/>
    <n v="172"/>
    <n v="0"/>
    <n v="0"/>
    <n v="172"/>
    <n v="172"/>
    <n v="137.6"/>
    <n v="0"/>
    <n v="34.4"/>
    <n v="0"/>
    <n v="0"/>
    <n v="0"/>
    <n v="0"/>
    <n v="0"/>
    <n v="0"/>
    <n v="0"/>
    <n v="0"/>
    <n v="0"/>
    <n v="0"/>
    <m/>
    <n v="126"/>
    <n v="313"/>
    <n v="26"/>
    <s v="FLINTSLFLINTSLFLINTSLFLINTSLFLINTSLFLINTSLFLINTSLFLINTSL"/>
    <s v="+"/>
    <s v="+"/>
    <s v="+"/>
    <s v="+"/>
    <s v="+"/>
    <s v="+"/>
    <s v="+"/>
    <s v="+"/>
    <b v="0"/>
  </r>
  <r>
    <d v="2026-01-05T00:00:00"/>
    <s v="A"/>
    <x v="62"/>
    <n v="27"/>
    <n v="478"/>
    <n v="24200"/>
    <s v="I"/>
    <s v="N"/>
    <n v="1.0900000000000001"/>
    <s v="BLACK"/>
    <s v="N00812B"/>
    <s v="FLINTSL - BLACK"/>
    <n v="29"/>
    <n v="0"/>
    <m/>
    <m/>
    <n v="0"/>
    <n v="26506000005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6"/>
    <n v="0"/>
    <n v="22"/>
    <n v="0"/>
    <s v="RED"/>
    <s v="N00812R"/>
    <s v="FLINTSL - RED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2"/>
    <n v="0"/>
    <s v="RED"/>
    <m/>
    <s v="FLINTSL - RED"/>
    <m/>
    <n v="0"/>
    <m/>
    <m/>
    <n v="0"/>
    <n v="26505000022"/>
    <n v="26505000026"/>
    <m/>
    <m/>
    <m/>
    <m/>
    <m/>
    <m/>
    <n v="40"/>
    <e v="#N/A"/>
    <n v="28.6"/>
    <e v="#N/A"/>
    <m/>
    <n v="0"/>
    <m/>
    <n v="0"/>
    <m/>
    <n v="0"/>
    <m/>
    <n v="0"/>
    <m/>
    <n v="0"/>
    <m/>
    <n v="0"/>
    <s v="FLINTSL"/>
    <n v="24"/>
    <n v="0"/>
    <n v="57.599999999999994"/>
    <n v="0"/>
    <s v="CYAN"/>
    <s v="N00812C"/>
    <s v="FLINTSL - CYAN"/>
    <n v="29"/>
    <n v="0"/>
    <m/>
    <m/>
    <n v="0"/>
    <n v="2650400000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17"/>
    <n v="0"/>
    <s v="MAGENTA"/>
    <s v="N00812M"/>
    <s v="FLINTSL - MAGENTA"/>
    <n v="30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9"/>
    <n v="0"/>
    <n v="20"/>
    <n v="0"/>
    <s v="YELLOW"/>
    <s v="N00812Y"/>
    <s v="FLINTSL - YELLOW"/>
    <n v="29"/>
    <n v="0"/>
    <m/>
    <m/>
    <n v="0"/>
    <n v="26505000004"/>
    <s v="FMD"/>
    <m/>
    <m/>
    <m/>
    <m/>
    <m/>
    <m/>
    <n v="10"/>
    <e v="#N/A"/>
    <n v="6"/>
    <n v="0"/>
    <m/>
    <n v="0"/>
    <m/>
    <n v="0"/>
    <m/>
    <n v="0"/>
    <m/>
    <n v="0"/>
    <m/>
    <n v="0"/>
    <m/>
    <n v="0"/>
    <s v="FLINTSL"/>
    <n v="26"/>
    <n v="0"/>
    <n v="32"/>
    <n v="0"/>
    <s v="WHITE"/>
    <s v="N00812W"/>
    <s v="FLINTSL - WHITE"/>
    <n v="3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24"/>
    <n v="0"/>
    <n v="13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0"/>
    <n v="5"/>
    <n v="5"/>
    <n v="5"/>
    <n v="5"/>
    <n v="30"/>
    <n v="0"/>
    <n v="0.8"/>
    <n v="0.2"/>
    <m/>
    <m/>
    <m/>
    <n v="0"/>
    <n v="143"/>
    <n v="0"/>
    <n v="0"/>
    <n v="143"/>
    <n v="143"/>
    <n v="114.4"/>
    <n v="0"/>
    <n v="28.6"/>
    <n v="0"/>
    <n v="0"/>
    <n v="0"/>
    <n v="0"/>
    <n v="0"/>
    <n v="0"/>
    <n v="0"/>
    <n v="0"/>
    <n v="0"/>
    <n v="0"/>
    <m/>
    <n v="148.6"/>
    <n v="284.60000000000002"/>
    <n v="27"/>
    <s v="FLINTSLFLINTSLFLINTSLFLINTSLFLINTSLFLINTSLFLINTSL"/>
    <s v="+"/>
    <s v="+"/>
    <s v="+"/>
    <s v="+"/>
    <s v="+"/>
    <s v="+"/>
    <s v="+"/>
    <s v="NIL"/>
    <b v="0"/>
  </r>
  <r>
    <d v="2026-01-05T00:00:00"/>
    <s v="A"/>
    <x v="63"/>
    <n v="28"/>
    <n v="519"/>
    <n v="26700"/>
    <s v="II"/>
    <s v="N"/>
    <n v="1.73"/>
    <s v="BLACK"/>
    <s v="N00831B"/>
    <s v="FLINTSL - BLACK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12.833333333333329"/>
    <n v="0"/>
    <s v="BLACK"/>
    <s v="N00836B"/>
    <s v="FLINTSL - BLACK"/>
    <n v="32"/>
    <n v="0"/>
    <m/>
    <m/>
    <n v="0"/>
    <n v="26506000005"/>
    <n v="9472"/>
    <m/>
    <m/>
    <m/>
    <m/>
    <m/>
    <m/>
    <n v="1"/>
    <e v="#N/A"/>
    <n v="2"/>
    <n v="0"/>
    <m/>
    <n v="0"/>
    <m/>
    <n v="0"/>
    <m/>
    <n v="0"/>
    <m/>
    <n v="0"/>
    <m/>
    <n v="0"/>
    <m/>
    <n v="0"/>
    <s v="FLINTSL"/>
    <n v="20"/>
    <n v="0"/>
    <n v="23.666666666666664"/>
    <n v="0"/>
    <s v="RED"/>
    <s v="N00829R"/>
    <s v="FLINTSL - RED"/>
    <n v="24"/>
    <n v="0"/>
    <s v="H01282R/N00831R"/>
    <n v="46"/>
    <n v="0"/>
    <n v="26505000005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9"/>
    <n v="0"/>
    <n v="61.833333333333329"/>
    <n v="0"/>
    <s v="CYAN"/>
    <s v="N00831C"/>
    <s v="FLINTSL - CYAN"/>
    <n v="28"/>
    <n v="0"/>
    <m/>
    <m/>
    <n v="0"/>
    <n v="26504000001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8"/>
    <n v="0"/>
    <n v="7.5"/>
    <n v="0"/>
    <s v="MAGENTA"/>
    <s v="N00831M"/>
    <s v="FLINTSL - MAGENTA"/>
    <n v="29"/>
    <n v="0"/>
    <m/>
    <m/>
    <n v="0"/>
    <n v="26505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8.3333333333333357"/>
    <n v="0"/>
    <s v="YELLOW"/>
    <s v="N00831Y"/>
    <s v="FLINTSL - YELLOW"/>
    <n v="30"/>
    <n v="0"/>
    <m/>
    <m/>
    <n v="0"/>
    <n v="26505000004"/>
    <s v="FMD"/>
    <m/>
    <m/>
    <m/>
    <m/>
    <m/>
    <m/>
    <n v="15"/>
    <e v="#N/A"/>
    <n v="10"/>
    <n v="0"/>
    <m/>
    <n v="0"/>
    <m/>
    <n v="0"/>
    <m/>
    <n v="0"/>
    <m/>
    <n v="0"/>
    <m/>
    <n v="0"/>
    <m/>
    <n v="0"/>
    <s v="FLINTSL"/>
    <n v="29"/>
    <n v="0"/>
    <n v="58.5"/>
    <n v="0"/>
    <s v="WHITE"/>
    <s v="N00831W"/>
    <s v="FLINTSL - WHITE"/>
    <n v="30"/>
    <n v="0"/>
    <m/>
    <m/>
    <n v="0"/>
    <s v="FW"/>
    <m/>
    <m/>
    <m/>
    <m/>
    <m/>
    <m/>
    <m/>
    <n v="90"/>
    <n v="0"/>
    <m/>
    <n v="0"/>
    <m/>
    <n v="0"/>
    <m/>
    <n v="0"/>
    <m/>
    <n v="0"/>
    <m/>
    <n v="0"/>
    <m/>
    <n v="0"/>
    <m/>
    <n v="0"/>
    <s v="FLINTSL"/>
    <n v="25"/>
    <n v="0"/>
    <n v="203.3333333333333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4"/>
    <n v="5"/>
    <n v="3"/>
    <n v="2"/>
    <n v="15"/>
    <n v="50"/>
    <n v="0"/>
    <n v="0.8"/>
    <n v="0.2"/>
    <m/>
    <m/>
    <m/>
    <n v="0"/>
    <n v="182"/>
    <n v="0"/>
    <n v="0"/>
    <n v="182"/>
    <n v="182"/>
    <n v="145.6"/>
    <n v="0"/>
    <n v="36.4"/>
    <n v="0"/>
    <n v="0"/>
    <n v="0"/>
    <n v="0"/>
    <n v="0"/>
    <n v="0"/>
    <n v="0"/>
    <n v="0"/>
    <n v="0"/>
    <n v="0"/>
    <m/>
    <n v="131"/>
    <n v="376"/>
    <n v="28"/>
    <s v="FLINTSLFLINTSLFLINTSLFLINTSLFLINTSLFLINTSLFLINTSL"/>
    <s v="+"/>
    <s v="+"/>
    <s v="+"/>
    <s v="+"/>
    <s v="+"/>
    <s v="+"/>
    <s v="+"/>
    <s v="NIL"/>
    <b v="0"/>
  </r>
  <r>
    <d v="2026-01-05T00:00:00"/>
    <s v="A"/>
    <x v="64"/>
    <n v="29"/>
    <n v="476"/>
    <n v="24100"/>
    <s v="I"/>
    <s v="N"/>
    <n v="1.1200000000000001"/>
    <s v="BLACK"/>
    <s v="N00810B"/>
    <s v="FLINTSL - BLACK"/>
    <n v="26"/>
    <n v="0"/>
    <m/>
    <m/>
    <n v="0"/>
    <n v="26506000005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5"/>
    <n v="0"/>
    <n v="25.555555555555557"/>
    <n v="0"/>
    <s v="RED"/>
    <s v="N00810R"/>
    <s v="FLINTSL - RED"/>
    <n v="25"/>
    <n v="0"/>
    <m/>
    <m/>
    <n v="0"/>
    <n v="26505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9"/>
    <n v="0"/>
    <n v="16.555555555555557"/>
    <n v="0"/>
    <s v="REFLEX BLUE"/>
    <m/>
    <s v="FLINTSL - REFLEX BLUE"/>
    <m/>
    <n v="0"/>
    <m/>
    <m/>
    <n v="0"/>
    <n v="26505000030"/>
    <n v="26505000023"/>
    <n v="26505000031"/>
    <m/>
    <m/>
    <m/>
    <m/>
    <m/>
    <n v="28.5"/>
    <e v="#N/A"/>
    <n v="40"/>
    <e v="#N/A"/>
    <n v="25"/>
    <e v="#N/A"/>
    <m/>
    <n v="0"/>
    <m/>
    <n v="0"/>
    <m/>
    <n v="0"/>
    <m/>
    <n v="0"/>
    <m/>
    <n v="0"/>
    <s v="FLINTSL"/>
    <n v="20"/>
    <n v="0"/>
    <n v="92.055555555555557"/>
    <n v="0"/>
    <s v="CYAN"/>
    <s v="N00810C"/>
    <s v="FLINTSL - CYAN"/>
    <n v="27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8"/>
    <n v="0"/>
    <n v="23.555555555555557"/>
    <n v="0"/>
    <s v="MAGENTA"/>
    <s v="N00810M"/>
    <s v="FLINTSL - MAGENTA"/>
    <n v="29"/>
    <n v="0"/>
    <m/>
    <m/>
    <n v="0"/>
    <n v="26505000005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27"/>
    <n v="0"/>
    <n v="28.555555555555557"/>
    <n v="0"/>
    <s v="YELLOW"/>
    <s v="N00810Y"/>
    <s v="FLINTSL - YELLOW"/>
    <n v="26"/>
    <n v="0"/>
    <m/>
    <m/>
    <n v="0"/>
    <n v="26505000004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5"/>
    <n v="0"/>
    <n v="25.555555555555557"/>
    <n v="0"/>
    <s v="WHITE"/>
    <s v="N00810W"/>
    <s v="FLINTSL - WHITE"/>
    <n v="24"/>
    <n v="0"/>
    <m/>
    <m/>
    <n v="0"/>
    <s v="FW"/>
    <m/>
    <m/>
    <m/>
    <m/>
    <m/>
    <m/>
    <m/>
    <n v="25"/>
    <n v="0"/>
    <m/>
    <n v="0"/>
    <m/>
    <n v="0"/>
    <m/>
    <n v="0"/>
    <m/>
    <n v="0"/>
    <m/>
    <n v="0"/>
    <m/>
    <n v="0"/>
    <m/>
    <n v="0"/>
    <s v="FLINTSL"/>
    <n v="24"/>
    <n v="0"/>
    <n v="80.66666666666665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5"/>
    <n v="5"/>
    <n v="15"/>
    <n v="0"/>
    <n v="0.8"/>
    <n v="0.2"/>
    <m/>
    <m/>
    <m/>
    <n v="0"/>
    <n v="167"/>
    <n v="0"/>
    <n v="0"/>
    <n v="167"/>
    <n v="167"/>
    <n v="133.6"/>
    <n v="0"/>
    <n v="33.4"/>
    <n v="0"/>
    <n v="0"/>
    <n v="0"/>
    <n v="0"/>
    <n v="0"/>
    <n v="0"/>
    <n v="0"/>
    <n v="0"/>
    <n v="0"/>
    <n v="0"/>
    <m/>
    <n v="146.5"/>
    <n v="292.5"/>
    <n v="29"/>
    <s v="FLINTSLFLINTSLFLINTSLFLINTSLFLINTSLFLINTSLFLINTSL"/>
    <s v="+"/>
    <s v="+"/>
    <s v="+"/>
    <s v="+"/>
    <s v="+"/>
    <s v="+"/>
    <s v="+"/>
    <s v="NIL"/>
    <b v="0"/>
  </r>
  <r>
    <d v="2026-01-05T00:00:00"/>
    <s v="A"/>
    <x v="65"/>
    <n v="30"/>
    <n v="474"/>
    <n v="24000"/>
    <s v="I"/>
    <s v="N"/>
    <n v="2"/>
    <s v="BLACK"/>
    <s v="N00811B"/>
    <s v="FLINTSL - BLACK"/>
    <n v="25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9"/>
    <n v="0"/>
    <n v="11.43181818181818"/>
    <n v="0"/>
    <s v="BLACK"/>
    <s v="N00811B"/>
    <s v="FLINTSL - BLACK"/>
    <n v="29"/>
    <n v="0"/>
    <m/>
    <m/>
    <n v="0"/>
    <n v="26506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12.43181818181818"/>
    <n v="0"/>
    <s v="BLACK"/>
    <s v="E00986B"/>
    <s v="FLINTSL - BLACK"/>
    <n v="13"/>
    <n v="0"/>
    <m/>
    <m/>
    <n v="0"/>
    <n v="26505000005"/>
    <n v="26506000005"/>
    <n v="25862000014"/>
    <m/>
    <m/>
    <m/>
    <m/>
    <m/>
    <n v="10"/>
    <e v="#N/A"/>
    <n v="2"/>
    <e v="#N/A"/>
    <n v="6"/>
    <e v="#N/A"/>
    <m/>
    <n v="0"/>
    <m/>
    <n v="0"/>
    <m/>
    <n v="0"/>
    <m/>
    <n v="0"/>
    <m/>
    <n v="0"/>
    <s v="FLINTSL"/>
    <n v="29"/>
    <n v="0"/>
    <n v="17.090909090909093"/>
    <n v="0"/>
    <s v="CYAN"/>
    <s v="N00811C"/>
    <s v="FLINTSL - CYAN"/>
    <n v="28"/>
    <n v="0"/>
    <m/>
    <m/>
    <n v="0"/>
    <n v="2650400000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9.4318181818181799"/>
    <n v="0"/>
    <s v="MAGENTA"/>
    <s v="N00811M"/>
    <s v="FLINTSL - MAGENTA"/>
    <n v="27"/>
    <n v="0"/>
    <m/>
    <m/>
    <n v="0"/>
    <n v="26505000005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28"/>
    <n v="0"/>
    <n v="16.43181818181818"/>
    <n v="0"/>
    <s v="YELLOW"/>
    <s v="N00811Y"/>
    <s v="FLINTSL - YELLOW"/>
    <n v="25"/>
    <n v="0"/>
    <m/>
    <m/>
    <n v="0"/>
    <n v="26505000004"/>
    <s v="FMD"/>
    <m/>
    <m/>
    <m/>
    <m/>
    <m/>
    <m/>
    <n v="25"/>
    <e v="#N/A"/>
    <n v="10"/>
    <n v="0"/>
    <m/>
    <n v="0"/>
    <m/>
    <n v="0"/>
    <m/>
    <n v="0"/>
    <m/>
    <n v="0"/>
    <m/>
    <n v="0"/>
    <m/>
    <n v="0"/>
    <s v="FLINTSL"/>
    <n v="26"/>
    <n v="0"/>
    <n v="52.86363636363636"/>
    <n v="0"/>
    <s v="WHITE"/>
    <s v="N00811W"/>
    <s v="FLINTSL - WHITE"/>
    <n v="24"/>
    <n v="0"/>
    <m/>
    <m/>
    <n v="0"/>
    <s v="FW"/>
    <m/>
    <m/>
    <m/>
    <m/>
    <m/>
    <m/>
    <m/>
    <n v="70"/>
    <n v="0"/>
    <m/>
    <n v="0"/>
    <m/>
    <n v="0"/>
    <m/>
    <n v="0"/>
    <m/>
    <n v="0"/>
    <m/>
    <n v="0"/>
    <m/>
    <n v="0"/>
    <m/>
    <n v="0"/>
    <s v="FLINTSL"/>
    <n v="24"/>
    <n v="0"/>
    <n v="164.3181818181818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8"/>
    <n v="5"/>
    <n v="5"/>
    <n v="10"/>
    <n v="50"/>
    <n v="0"/>
    <n v="0.8"/>
    <n v="0.2"/>
    <m/>
    <m/>
    <m/>
    <n v="0"/>
    <n v="166"/>
    <n v="0"/>
    <n v="0"/>
    <n v="166"/>
    <n v="166"/>
    <n v="132.80000000000001"/>
    <n v="0"/>
    <n v="33.200000000000003"/>
    <n v="0"/>
    <n v="0"/>
    <n v="0"/>
    <n v="0"/>
    <n v="0"/>
    <n v="0"/>
    <n v="0"/>
    <n v="0"/>
    <n v="0"/>
    <n v="0"/>
    <m/>
    <n v="141"/>
    <n v="284"/>
    <n v="30"/>
    <s v="FLINTSLFLINTSLFLINTSLFLINTSLFLINTSLFLINTSLFLINTSL"/>
    <s v="+"/>
    <s v="+"/>
    <s v="+"/>
    <s v="+"/>
    <s v="+"/>
    <s v="+"/>
    <s v="+"/>
    <s v="NIL"/>
    <b v="0"/>
  </r>
  <r>
    <d v="2026-01-05T00:00:00"/>
    <s v="A"/>
    <x v="66"/>
    <n v="31"/>
    <n v="517"/>
    <n v="26600"/>
    <s v="I"/>
    <s v="N"/>
    <n v="1.78"/>
    <s v="BLACK"/>
    <s v="H01325B"/>
    <s v="FLINTSL - BLACK"/>
    <n v="28"/>
    <n v="0"/>
    <m/>
    <m/>
    <n v="0"/>
    <n v="26506000005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7"/>
    <n v="0"/>
    <n v="6.5249999999999986"/>
    <n v="0"/>
    <s v="REFLEX BLUE"/>
    <s v="N00831B"/>
    <s v="FLINTSL - REFLEX BLUE"/>
    <n v="29"/>
    <n v="0"/>
    <m/>
    <m/>
    <n v="0"/>
    <n v="26506000005"/>
    <m/>
    <m/>
    <m/>
    <m/>
    <m/>
    <m/>
    <m/>
    <n v="0.3"/>
    <e v="#N/A"/>
    <m/>
    <n v="0"/>
    <m/>
    <n v="0"/>
    <m/>
    <n v="0"/>
    <m/>
    <n v="0"/>
    <m/>
    <n v="0"/>
    <m/>
    <n v="0"/>
    <m/>
    <n v="0"/>
    <s v="FLINTSL"/>
    <n v="27"/>
    <n v="0"/>
    <n v="6.8250000000000028"/>
    <n v="0"/>
    <s v="GREEN"/>
    <s v="N00810G"/>
    <s v="FLINTSL - GREEN"/>
    <n v="40"/>
    <n v="0"/>
    <m/>
    <m/>
    <n v="0"/>
    <n v="26504000001"/>
    <n v="26505000004"/>
    <m/>
    <m/>
    <m/>
    <m/>
    <m/>
    <m/>
    <n v="5"/>
    <e v="#N/A"/>
    <n v="8"/>
    <e v="#N/A"/>
    <m/>
    <n v="0"/>
    <m/>
    <n v="0"/>
    <m/>
    <n v="0"/>
    <m/>
    <n v="0"/>
    <m/>
    <n v="0"/>
    <m/>
    <n v="0"/>
    <s v="FLINTSL"/>
    <n v="28"/>
    <n v="0"/>
    <n v="36.3125"/>
    <n v="0"/>
    <s v="CYAN"/>
    <s v="H01325C"/>
    <s v="FLINTSL - CYAN"/>
    <n v="28"/>
    <n v="0"/>
    <m/>
    <m/>
    <n v="0"/>
    <n v="2650400000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9"/>
    <n v="0"/>
    <n v="7.5249999999999986"/>
    <n v="0"/>
    <s v="MAGENTA"/>
    <s v="H01325M"/>
    <s v="FLINTSL - MAGENTA"/>
    <n v="27"/>
    <n v="0"/>
    <m/>
    <m/>
    <n v="0"/>
    <n v="26507000017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30"/>
    <n v="0"/>
    <n v="12.049999999999997"/>
    <n v="0"/>
    <s v="YELLOW"/>
    <s v="H01325Y"/>
    <s v="FLINTSL - YELLOW"/>
    <n v="29"/>
    <n v="0"/>
    <m/>
    <m/>
    <n v="0"/>
    <n v="26505000004"/>
    <s v="FMD"/>
    <m/>
    <m/>
    <m/>
    <m/>
    <m/>
    <m/>
    <n v="15"/>
    <e v="#N/A"/>
    <n v="16"/>
    <n v="0"/>
    <m/>
    <n v="0"/>
    <m/>
    <n v="0"/>
    <m/>
    <n v="0"/>
    <m/>
    <n v="0"/>
    <m/>
    <n v="0"/>
    <m/>
    <n v="0"/>
    <s v="FLINTSL"/>
    <n v="28"/>
    <n v="0"/>
    <n v="43.3125"/>
    <n v="0"/>
    <s v="WHITE"/>
    <s v="H01325W"/>
    <s v="FLINTSL - WHITE"/>
    <n v="25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230.7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5"/>
    <n v="2"/>
    <n v="4"/>
    <n v="5"/>
    <n v="60"/>
    <n v="0"/>
    <n v="0.8"/>
    <n v="0.2"/>
    <m/>
    <m/>
    <m/>
    <n v="0"/>
    <n v="181"/>
    <n v="0"/>
    <n v="0"/>
    <n v="181"/>
    <n v="181"/>
    <n v="144.80000000000001"/>
    <n v="0"/>
    <n v="36.200000000000003"/>
    <n v="0"/>
    <n v="0"/>
    <n v="0"/>
    <n v="0"/>
    <n v="0"/>
    <n v="0"/>
    <n v="0"/>
    <n v="0"/>
    <n v="0"/>
    <n v="0"/>
    <m/>
    <n v="155.30000000000001"/>
    <n v="343.3"/>
    <n v="31"/>
    <s v="FLINTSLFLINTSLFLINTSLFLINTSLFLINTSLFLINTSLFLINTSL"/>
    <s v="+"/>
    <s v="+"/>
    <s v="+"/>
    <s v="+"/>
    <s v="+"/>
    <s v="+"/>
    <s v="+"/>
    <s v="NIL"/>
    <b v="0"/>
  </r>
  <r>
    <d v="2026-01-05T00:00:00"/>
    <s v="B"/>
    <x v="67"/>
    <n v="32"/>
    <n v="519"/>
    <n v="26700"/>
    <s v="II"/>
    <s v="N"/>
    <n v="1.62"/>
    <s v="BLACK"/>
    <s v="H01206B"/>
    <s v="FLINTSL - BLACK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2.8999999999999986"/>
    <n v="0"/>
    <s v="REFLEX BLUE"/>
    <s v="H01206B"/>
    <s v="FLINTSL - REFLEX BLUE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13"/>
    <n v="0"/>
    <n v="14"/>
    <n v="0"/>
    <s v="RED"/>
    <s v="H01325R"/>
    <s v="FLINTSL - RED"/>
    <n v="29"/>
    <n v="0"/>
    <m/>
    <m/>
    <n v="0"/>
    <n v="25862000014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2"/>
    <n v="0"/>
    <n v="9.7999999999999972"/>
    <n v="0"/>
    <s v="GREEN"/>
    <s v="H01206G"/>
    <s v="FLINTSL - GREEN"/>
    <n v="28"/>
    <n v="0"/>
    <m/>
    <m/>
    <n v="0"/>
    <n v="25851000006"/>
    <s v="FMD"/>
    <m/>
    <m/>
    <m/>
    <m/>
    <m/>
    <m/>
    <n v="13"/>
    <e v="#N/A"/>
    <n v="2"/>
    <n v="0"/>
    <m/>
    <n v="0"/>
    <m/>
    <n v="0"/>
    <m/>
    <n v="0"/>
    <m/>
    <n v="0"/>
    <m/>
    <n v="0"/>
    <m/>
    <n v="0"/>
    <s v="FLINTSL"/>
    <n v="30"/>
    <n v="0"/>
    <n v="20.799999999999997"/>
    <n v="0"/>
    <s v="CYAN"/>
    <s v="H01206C"/>
    <s v="FLINTSL - CYAN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0"/>
    <n v="3.8999999999999986"/>
    <n v="0"/>
    <s v="MAGENTA"/>
    <s v="H01206M"/>
    <s v="FLINTSL - MAGENTA"/>
    <n v="30"/>
    <n v="0"/>
    <m/>
    <m/>
    <n v="0"/>
    <n v="26507000017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30"/>
    <n v="0"/>
    <n v="8.8500000000000014"/>
    <n v="0"/>
    <s v="YELLOW"/>
    <s v="H01206Y"/>
    <s v="FLINTSL - YELLOW"/>
    <n v="28"/>
    <n v="0"/>
    <m/>
    <m/>
    <n v="0"/>
    <n v="26505000033"/>
    <s v="FMD"/>
    <m/>
    <m/>
    <m/>
    <m/>
    <m/>
    <m/>
    <n v="20"/>
    <e v="#N/A"/>
    <n v="20"/>
    <n v="0"/>
    <m/>
    <n v="0"/>
    <m/>
    <n v="0"/>
    <m/>
    <n v="0"/>
    <m/>
    <n v="0"/>
    <m/>
    <n v="0"/>
    <m/>
    <n v="0"/>
    <s v="FLINTSL"/>
    <n v="25"/>
    <n v="0"/>
    <n v="91.75"/>
    <n v="0"/>
    <s v="WHITE"/>
    <s v="H01206W"/>
    <s v="FLINTSL - WHITE"/>
    <n v="30"/>
    <n v="0"/>
    <m/>
    <m/>
    <n v="0"/>
    <s v="FW"/>
    <m/>
    <m/>
    <m/>
    <m/>
    <m/>
    <m/>
    <m/>
    <n v="70"/>
    <n v="0"/>
    <m/>
    <n v="0"/>
    <m/>
    <n v="0"/>
    <m/>
    <n v="0"/>
    <m/>
    <n v="0"/>
    <m/>
    <n v="0"/>
    <m/>
    <n v="0"/>
    <m/>
    <n v="0"/>
    <s v="FLINTSL"/>
    <n v="30"/>
    <n v="0"/>
    <n v="148"/>
    <n v="0"/>
    <n v="2"/>
    <n v="0"/>
    <n v="4"/>
    <n v="4"/>
    <n v="2"/>
    <n v="3"/>
    <n v="25"/>
    <n v="40"/>
    <n v="0.8"/>
    <n v="0.2"/>
    <m/>
    <m/>
    <m/>
    <n v="0"/>
    <n v="156"/>
    <n v="0"/>
    <n v="0"/>
    <n v="156"/>
    <n v="156"/>
    <n v="124.80000000000001"/>
    <n v="0"/>
    <n v="31.200000000000003"/>
    <n v="0"/>
    <n v="0"/>
    <n v="0"/>
    <n v="0"/>
    <n v="0"/>
    <n v="0"/>
    <n v="0"/>
    <n v="0"/>
    <n v="0"/>
    <n v="0"/>
    <m/>
    <n v="133"/>
    <n v="300"/>
    <n v="32"/>
    <s v="FLINTSLFLINTSLFLINTSLFLINTSLFLINTSLFLINTSLFLINTSLFLINTSL"/>
    <s v="+"/>
    <s v="+"/>
    <s v="+"/>
    <s v="+"/>
    <s v="+"/>
    <s v="+"/>
    <s v="+"/>
    <s v="+"/>
    <b v="0"/>
  </r>
  <r>
    <d v="2026-01-05T00:00:00"/>
    <s v="B"/>
    <x v="68"/>
    <n v="33"/>
    <n v="1018"/>
    <n v="52400"/>
    <s v="I"/>
    <s v="N"/>
    <n v="1.86"/>
    <s v="BLACK"/>
    <s v="N00813B"/>
    <s v="FLINTSL - BLACK"/>
    <n v="29"/>
    <n v="0"/>
    <m/>
    <m/>
    <n v="0"/>
    <n v="26506000005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8"/>
    <n v="0"/>
    <n v="19.447552447552447"/>
    <n v="0"/>
    <s v="REFLEX BLUE"/>
    <s v="F00990B"/>
    <s v="FLINTSL - REFLEX BLUE"/>
    <n v="32"/>
    <n v="0"/>
    <m/>
    <m/>
    <n v="0"/>
    <n v="2650400000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19.447552447552447"/>
    <n v="0"/>
    <s v="BLACK"/>
    <s v="N00813B"/>
    <s v="FLINTSL - BLACK"/>
    <n v="28"/>
    <n v="0"/>
    <s v="N00813B/H01325B"/>
    <n v="44"/>
    <n v="0"/>
    <n v="26507000017"/>
    <n v="25863000007"/>
    <n v="25863000019"/>
    <m/>
    <m/>
    <m/>
    <m/>
    <m/>
    <n v="30"/>
    <e v="#N/A"/>
    <n v="20"/>
    <e v="#N/A"/>
    <n v="10"/>
    <e v="#N/A"/>
    <m/>
    <n v="0"/>
    <m/>
    <n v="0"/>
    <m/>
    <n v="0"/>
    <m/>
    <n v="0"/>
    <m/>
    <n v="0"/>
    <s v="FLINTSL"/>
    <n v="25"/>
    <n v="0"/>
    <n v="169.23776223776224"/>
    <n v="0"/>
    <s v="CYAN"/>
    <s v="N00813C"/>
    <s v="FLINTSL - CYAN"/>
    <n v="30"/>
    <n v="0"/>
    <m/>
    <m/>
    <n v="0"/>
    <n v="26504000001"/>
    <s v="FMD"/>
    <m/>
    <m/>
    <m/>
    <m/>
    <m/>
    <m/>
    <n v="4"/>
    <e v="#N/A"/>
    <n v="2"/>
    <n v="0"/>
    <m/>
    <n v="0"/>
    <m/>
    <n v="0"/>
    <m/>
    <n v="0"/>
    <m/>
    <n v="0"/>
    <m/>
    <n v="0"/>
    <m/>
    <n v="0"/>
    <s v="FLINTSL"/>
    <n v="29"/>
    <n v="0"/>
    <n v="19.447552447552447"/>
    <n v="0"/>
    <s v="MAGENTA"/>
    <s v="N00813M"/>
    <s v="FLINTSL - MAGENTA"/>
    <n v="28"/>
    <n v="0"/>
    <s v="E00975M"/>
    <n v="27"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0"/>
    <n v="0"/>
    <n v="53.447552447552454"/>
    <n v="0"/>
    <s v="YELLOW"/>
    <s v="N00813Y"/>
    <s v="FLINTSL - YELLOW"/>
    <n v="26"/>
    <n v="0"/>
    <m/>
    <m/>
    <n v="0"/>
    <n v="26505000033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32"/>
    <n v="0"/>
    <n v="23.91608391608392"/>
    <n v="0"/>
    <s v="WHITE"/>
    <s v="N00813W"/>
    <s v="FLINTSL - WHITE"/>
    <n v="24"/>
    <n v="0"/>
    <m/>
    <m/>
    <n v="0"/>
    <s v="FW"/>
    <m/>
    <m/>
    <m/>
    <m/>
    <m/>
    <m/>
    <m/>
    <n v="150"/>
    <n v="0"/>
    <m/>
    <n v="0"/>
    <m/>
    <n v="0"/>
    <m/>
    <n v="0"/>
    <m/>
    <n v="0"/>
    <m/>
    <n v="0"/>
    <m/>
    <n v="0"/>
    <m/>
    <n v="0"/>
    <s v="FLINTSL"/>
    <n v="30"/>
    <n v="0"/>
    <n v="368.05594405594405"/>
    <n v="0"/>
    <s v="GREEN"/>
    <s v="N00812G"/>
    <s v="FLINTSL - GREEN"/>
    <n v="30"/>
    <n v="0"/>
    <m/>
    <m/>
    <n v="0"/>
    <n v="26506000005"/>
    <m/>
    <m/>
    <m/>
    <m/>
    <m/>
    <m/>
    <m/>
    <n v="0.5"/>
    <e v="#N/A"/>
    <m/>
    <n v="0"/>
    <m/>
    <n v="0"/>
    <m/>
    <n v="0"/>
    <m/>
    <n v="0"/>
    <m/>
    <n v="0"/>
    <m/>
    <n v="0"/>
    <m/>
    <n v="0"/>
    <s v="FLINTSL"/>
    <n v="23"/>
    <n v="0"/>
    <n v="7.5"/>
    <n v="0"/>
    <n v="5"/>
    <n v="5"/>
    <n v="25"/>
    <n v="5"/>
    <n v="5"/>
    <n v="8"/>
    <n v="90"/>
    <n v="0"/>
    <n v="0.8"/>
    <n v="0.2"/>
    <m/>
    <m/>
    <m/>
    <n v="0"/>
    <n v="356"/>
    <n v="0"/>
    <n v="0"/>
    <n v="356"/>
    <n v="356"/>
    <n v="284.8"/>
    <n v="0"/>
    <n v="71.2"/>
    <n v="0"/>
    <n v="0"/>
    <n v="0"/>
    <n v="0"/>
    <n v="0"/>
    <n v="0"/>
    <n v="0"/>
    <n v="0"/>
    <n v="0"/>
    <n v="0"/>
    <m/>
    <n v="240.5"/>
    <n v="680.5"/>
    <n v="33"/>
    <s v="FLINTSLFLINTSLFLINTSLFLINTSLFLINTSLFLINTSLFLINTSLFLINTSL"/>
    <s v="+"/>
    <s v="+"/>
    <s v="+"/>
    <s v="+"/>
    <s v="+"/>
    <s v="+"/>
    <s v="+"/>
    <s v="+"/>
    <b v="0"/>
  </r>
  <r>
    <d v="2026-01-05T00:00:00"/>
    <s v="B"/>
    <x v="69"/>
    <n v="34"/>
    <n v="486"/>
    <n v="25000"/>
    <s v="II"/>
    <s v="N"/>
    <n v="1.87"/>
    <s v="BLACK"/>
    <s v="H01323B"/>
    <s v="FLINTSL - BLACK"/>
    <n v="28"/>
    <n v="0"/>
    <m/>
    <m/>
    <n v="0"/>
    <n v="26506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6"/>
    <n v="0"/>
    <n v="9.3684210526315752"/>
    <n v="0"/>
    <s v="REFLEX BLUE"/>
    <s v="C01418B"/>
    <s v="FLINTSL - REFLEX BLUE"/>
    <n v="27"/>
    <n v="0"/>
    <s v="C01418B"/>
    <n v="15"/>
    <n v="0"/>
    <n v="26507000017"/>
    <n v="26506000005"/>
    <m/>
    <m/>
    <m/>
    <m/>
    <m/>
    <m/>
    <n v="2"/>
    <e v="#N/A"/>
    <n v="2"/>
    <e v="#N/A"/>
    <m/>
    <n v="0"/>
    <m/>
    <n v="0"/>
    <m/>
    <n v="0"/>
    <m/>
    <n v="0"/>
    <m/>
    <n v="0"/>
    <m/>
    <n v="0"/>
    <s v="FLINTSL"/>
    <n v="24"/>
    <n v="0"/>
    <n v="29.157894736842103"/>
    <n v="0"/>
    <s v="RED"/>
    <s v="H01323R"/>
    <s v="FLINTSL - RED"/>
    <n v="32"/>
    <n v="0"/>
    <m/>
    <m/>
    <n v="0"/>
    <n v="26507000017"/>
    <n v="25863000007"/>
    <m/>
    <m/>
    <m/>
    <m/>
    <m/>
    <m/>
    <n v="6"/>
    <e v="#N/A"/>
    <n v="4"/>
    <e v="#N/A"/>
    <m/>
    <n v="0"/>
    <m/>
    <n v="0"/>
    <m/>
    <n v="0"/>
    <m/>
    <n v="0"/>
    <m/>
    <n v="0"/>
    <m/>
    <n v="0"/>
    <s v="FLINTSL"/>
    <n v="27"/>
    <n v="0"/>
    <n v="23.94736842105263"/>
    <n v="0"/>
    <s v="GREEN"/>
    <s v="C01417G"/>
    <s v="FLINTSL - GREEN"/>
    <n v="28"/>
    <n v="0"/>
    <m/>
    <m/>
    <n v="0"/>
    <n v="26506000005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9"/>
    <n v="0"/>
    <n v="5.3684210526315752"/>
    <n v="0"/>
    <s v="CYAN"/>
    <s v="H01323C"/>
    <s v="FLINTSL - CYAN"/>
    <n v="29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4"/>
    <n v="0"/>
    <n v="13.368421052631575"/>
    <n v="0"/>
    <s v="MAGENTA"/>
    <s v="H01323M"/>
    <s v="FLINTSL - MAGENTA"/>
    <n v="30"/>
    <n v="0"/>
    <m/>
    <m/>
    <n v="0"/>
    <n v="26507000017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6"/>
    <n v="0"/>
    <n v="10.578947368421055"/>
    <n v="0"/>
    <s v="YELLOW"/>
    <s v="H01323Y"/>
    <s v="FLINTSL - YELLOW"/>
    <n v="25"/>
    <n v="0"/>
    <m/>
    <m/>
    <n v="0"/>
    <n v="26505000033"/>
    <s v="FMD"/>
    <m/>
    <m/>
    <m/>
    <m/>
    <m/>
    <m/>
    <n v="15"/>
    <e v="#N/A"/>
    <n v="20"/>
    <n v="0"/>
    <m/>
    <n v="0"/>
    <m/>
    <n v="0"/>
    <m/>
    <n v="0"/>
    <m/>
    <n v="0"/>
    <m/>
    <n v="0"/>
    <m/>
    <n v="0"/>
    <s v="FLINTSL"/>
    <n v="22"/>
    <n v="0"/>
    <n v="82.73684210526315"/>
    <n v="0"/>
    <s v="WHITE"/>
    <s v="H01323W"/>
    <s v="FLINTSL - WHITE"/>
    <n v="30"/>
    <n v="0"/>
    <m/>
    <m/>
    <n v="0"/>
    <s v="FW"/>
    <m/>
    <m/>
    <m/>
    <m/>
    <m/>
    <m/>
    <m/>
    <n v="90"/>
    <n v="0"/>
    <m/>
    <n v="0"/>
    <m/>
    <n v="0"/>
    <m/>
    <n v="0"/>
    <m/>
    <n v="0"/>
    <m/>
    <n v="0"/>
    <m/>
    <n v="0"/>
    <m/>
    <n v="0"/>
    <s v="FLINTSL"/>
    <n v="25"/>
    <n v="0"/>
    <n v="184.4736842105263"/>
    <n v="0"/>
    <n v="3"/>
    <n v="4"/>
    <n v="5"/>
    <n v="3"/>
    <n v="3"/>
    <n v="2"/>
    <n v="25"/>
    <n v="50"/>
    <n v="0.8"/>
    <n v="0.2"/>
    <m/>
    <m/>
    <m/>
    <n v="0"/>
    <n v="170"/>
    <n v="0"/>
    <n v="0"/>
    <n v="170"/>
    <n v="170"/>
    <n v="136"/>
    <n v="0"/>
    <n v="34"/>
    <n v="0"/>
    <n v="0"/>
    <n v="0"/>
    <n v="0"/>
    <n v="0"/>
    <n v="0"/>
    <n v="0"/>
    <n v="0"/>
    <n v="0"/>
    <n v="0"/>
    <m/>
    <n v="148"/>
    <n v="359"/>
    <n v="34"/>
    <s v="FLINTSLFLINTSLFLINTSLFLINTSLFLINTSLFLINTSLFLINTSLFLINTSL"/>
    <s v="+"/>
    <s v="+"/>
    <s v="+"/>
    <s v="+"/>
    <s v="+"/>
    <s v="+"/>
    <s v="+"/>
    <s v="+"/>
    <b v="0"/>
  </r>
  <r>
    <d v="2026-01-06T00:00:00"/>
    <s v="A"/>
    <x v="70"/>
    <n v="35"/>
    <n v="272"/>
    <n v="15900"/>
    <s v="I"/>
    <s v="N"/>
    <n v="1.87"/>
    <s v="BLACK"/>
    <s v="H01335B"/>
    <s v="FLINTSL - BLACK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0"/>
    <n v="0"/>
    <n v="14.142857142857139"/>
    <n v="0"/>
    <s v="GREEN"/>
    <s v="H01323G"/>
    <s v="FLINTSL - GREEN"/>
    <n v="30"/>
    <n v="0"/>
    <m/>
    <m/>
    <n v="0"/>
    <n v="26505000033"/>
    <n v="25851000006"/>
    <n v="26504000001"/>
    <m/>
    <m/>
    <m/>
    <m/>
    <m/>
    <n v="10"/>
    <e v="#N/A"/>
    <n v="15"/>
    <e v="#N/A"/>
    <n v="5"/>
    <e v="#N/A"/>
    <m/>
    <n v="0"/>
    <m/>
    <n v="0"/>
    <m/>
    <n v="0"/>
    <m/>
    <n v="0"/>
    <m/>
    <n v="0"/>
    <s v="FLINTSL"/>
    <n v="32"/>
    <n v="0"/>
    <n v="38.357142857142861"/>
    <n v="0"/>
    <s v="MAGENTA"/>
    <s v="N00810M"/>
    <s v="FLINTSL - MAGENTA"/>
    <n v="24"/>
    <n v="0"/>
    <m/>
    <m/>
    <n v="0"/>
    <n v="26507000017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8.2142857142857153"/>
    <n v="0"/>
    <s v="YELLOW"/>
    <s v="H01335Y"/>
    <s v="FLINTSL - YELLOW"/>
    <n v="32"/>
    <n v="0"/>
    <m/>
    <m/>
    <n v="0"/>
    <n v="26505000033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30"/>
    <n v="0"/>
    <n v="16.142857142857139"/>
    <n v="0"/>
    <s v="WHITE"/>
    <s v="H01335W"/>
    <s v="FLINTSL - WHITE"/>
    <n v="3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122.1428571428571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3"/>
    <n v="2"/>
    <n v="30"/>
    <n v="0"/>
    <n v="0"/>
    <n v="0"/>
    <n v="0.8"/>
    <n v="0.2"/>
    <m/>
    <m/>
    <m/>
    <n v="0"/>
    <n v="87"/>
    <n v="0"/>
    <n v="0"/>
    <n v="87"/>
    <n v="87"/>
    <n v="69.600000000000009"/>
    <n v="0"/>
    <n v="17.400000000000002"/>
    <n v="0"/>
    <n v="0"/>
    <n v="0"/>
    <n v="0"/>
    <n v="0"/>
    <n v="0"/>
    <n v="0"/>
    <n v="0"/>
    <n v="0"/>
    <n v="0"/>
    <m/>
    <n v="104"/>
    <n v="199"/>
    <n v="35"/>
    <s v="FLINTSLFLINTSLFLINTSLFLINTSLFLINTSL"/>
    <s v="+"/>
    <s v="+"/>
    <s v="+"/>
    <s v="+"/>
    <s v="+"/>
    <s v="NIL"/>
    <s v="NIL"/>
    <s v="NIL"/>
    <b v="0"/>
  </r>
  <r>
    <d v="2026-01-06T00:00:00"/>
    <s v="A"/>
    <x v="71"/>
    <n v="36"/>
    <n v="515"/>
    <n v="26500"/>
    <s v="II"/>
    <s v="N"/>
    <n v="1.63"/>
    <s v="BLACK"/>
    <s v="H01273B"/>
    <s v="FLINTSL - BLACK"/>
    <n v="26"/>
    <n v="0"/>
    <m/>
    <m/>
    <n v="0"/>
    <n v="26506000005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4"/>
    <n v="0"/>
    <n v="8.8064516129032242"/>
    <n v="0"/>
    <s v="REFLEX BLUE"/>
    <s v="H01273B"/>
    <s v="FLINTSL - REFLEX BLUE"/>
    <n v="10"/>
    <n v="0"/>
    <s v="H01335B"/>
    <n v="10"/>
    <n v="0"/>
    <n v="26506000005"/>
    <n v="26505000013"/>
    <n v="9472"/>
    <m/>
    <m/>
    <m/>
    <m/>
    <m/>
    <n v="0.5"/>
    <e v="#N/A"/>
    <n v="4"/>
    <e v="#N/A"/>
    <n v="5"/>
    <n v="0"/>
    <m/>
    <n v="0"/>
    <m/>
    <n v="0"/>
    <m/>
    <n v="0"/>
    <m/>
    <n v="0"/>
    <m/>
    <n v="0"/>
    <s v="FLINTSL"/>
    <n v="28"/>
    <n v="0"/>
    <n v="11.177419354838712"/>
    <n v="0"/>
    <s v="RED"/>
    <s v="H01273R"/>
    <s v="FLINTSL - RED"/>
    <n v="27"/>
    <n v="0"/>
    <m/>
    <m/>
    <n v="0"/>
    <n v="25863000007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5"/>
    <n v="0"/>
    <n v="9.8709677419354875"/>
    <n v="0"/>
    <s v="CYAN"/>
    <s v="H01273C"/>
    <s v="FLINTSL - CYAN"/>
    <n v="24"/>
    <n v="0"/>
    <s v="H01335C"/>
    <n v="29"/>
    <n v="0"/>
    <n v="26504000001"/>
    <s v="FMD"/>
    <m/>
    <m/>
    <m/>
    <m/>
    <m/>
    <m/>
    <n v="10"/>
    <e v="#N/A"/>
    <n v="7"/>
    <n v="0"/>
    <m/>
    <n v="0"/>
    <m/>
    <n v="0"/>
    <m/>
    <n v="0"/>
    <m/>
    <n v="0"/>
    <m/>
    <n v="0"/>
    <m/>
    <n v="0"/>
    <s v="FLINTSL"/>
    <n v="25"/>
    <n v="0"/>
    <n v="74.032258064516128"/>
    <n v="0"/>
    <s v="MAGENTA"/>
    <s v="H01273M"/>
    <s v="FLINTSL - MAGENTA"/>
    <n v="26"/>
    <n v="0"/>
    <m/>
    <m/>
    <n v="0"/>
    <n v="26507000017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7.870967741935484"/>
    <n v="0"/>
    <s v="YELLOW"/>
    <s v="H01273Y"/>
    <s v="FLINTSL - YELLOW"/>
    <n v="22"/>
    <n v="0"/>
    <s v="H01335Y"/>
    <n v="15"/>
    <n v="0"/>
    <n v="26505000033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19.741935483870968"/>
    <n v="0"/>
    <s v="YELLOW"/>
    <s v="E00978Y"/>
    <s v="FLINTSL - YELLOW"/>
    <n v="30"/>
    <n v="0"/>
    <m/>
    <m/>
    <n v="0"/>
    <n v="26505000033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4"/>
    <n v="0"/>
    <n v="13.870967741935488"/>
    <n v="0"/>
    <s v="WHITE"/>
    <s v="H01273W"/>
    <s v="FLINTSL - WHITE"/>
    <n v="25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2"/>
    <n v="0"/>
    <n v="209.12903225806451"/>
    <n v="0"/>
    <n v="3"/>
    <n v="5"/>
    <n v="2"/>
    <n v="15"/>
    <n v="2"/>
    <n v="4"/>
    <n v="2"/>
    <n v="60"/>
    <n v="0.8"/>
    <n v="0.2"/>
    <m/>
    <m/>
    <m/>
    <n v="0"/>
    <n v="180"/>
    <n v="0"/>
    <n v="0"/>
    <n v="180"/>
    <n v="180"/>
    <n v="144"/>
    <n v="0"/>
    <n v="36"/>
    <n v="0"/>
    <n v="0"/>
    <n v="0"/>
    <n v="0"/>
    <n v="0"/>
    <n v="0"/>
    <n v="0"/>
    <n v="0"/>
    <n v="0"/>
    <n v="0"/>
    <m/>
    <n v="142.5"/>
    <n v="354.5"/>
    <n v="36"/>
    <s v="FLINTSLFLINTSLFLINTSLFLINTSLFLINTSLFLINTSLFLINTSLFLINTSL"/>
    <s v="+"/>
    <s v="+"/>
    <s v="+"/>
    <s v="+"/>
    <s v="+"/>
    <s v="+"/>
    <s v="+"/>
    <s v="+"/>
    <b v="0"/>
  </r>
  <r>
    <d v="2026-01-06T00:00:00"/>
    <s v="A"/>
    <x v="72"/>
    <n v="37"/>
    <n v="509"/>
    <n v="26200"/>
    <s v="II"/>
    <s v="N"/>
    <n v="1.95"/>
    <s v="BLACK"/>
    <s v="H01312B"/>
    <s v="FLINTSL - BLACK"/>
    <n v="24"/>
    <n v="0"/>
    <m/>
    <m/>
    <n v="0"/>
    <n v="26506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2"/>
    <n v="0"/>
    <n v="8.0454545454545467"/>
    <n v="0"/>
    <s v="REFLEX BLUE"/>
    <m/>
    <s v="FLINTSL - REFLEX BLUE"/>
    <m/>
    <n v="0"/>
    <m/>
    <m/>
    <n v="0"/>
    <n v="9472"/>
    <s v="FMD"/>
    <n v="26504000001"/>
    <n v="25851000006"/>
    <m/>
    <m/>
    <m/>
    <m/>
    <n v="30"/>
    <n v="0"/>
    <n v="10"/>
    <n v="0"/>
    <n v="2"/>
    <e v="#N/A"/>
    <n v="0.5"/>
    <e v="#N/A"/>
    <m/>
    <n v="0"/>
    <m/>
    <n v="0"/>
    <m/>
    <n v="0"/>
    <m/>
    <n v="0"/>
    <s v="FLINTSL"/>
    <n v="34"/>
    <n v="0"/>
    <n v="28.727272727272727"/>
    <n v="0"/>
    <s v="CYAN"/>
    <s v="H01312C"/>
    <s v="FLINTSL - CYAN"/>
    <n v="24"/>
    <n v="0"/>
    <m/>
    <m/>
    <n v="0"/>
    <n v="26504000001"/>
    <s v="FMD"/>
    <m/>
    <m/>
    <m/>
    <m/>
    <m/>
    <m/>
    <n v="10"/>
    <e v="#N/A"/>
    <n v="7"/>
    <n v="0"/>
    <m/>
    <n v="0"/>
    <m/>
    <n v="0"/>
    <m/>
    <n v="0"/>
    <m/>
    <n v="0"/>
    <m/>
    <n v="0"/>
    <m/>
    <n v="0"/>
    <s v="FLINTSL"/>
    <n v="23"/>
    <n v="0"/>
    <n v="38.227272727272727"/>
    <n v="0"/>
    <s v="MAGENTA"/>
    <s v="H01312M"/>
    <s v="FLINTSL - MAGENTA"/>
    <n v="25"/>
    <n v="0"/>
    <m/>
    <m/>
    <n v="0"/>
    <n v="26507000017"/>
    <s v="FMD"/>
    <m/>
    <m/>
    <m/>
    <m/>
    <m/>
    <m/>
    <n v="2"/>
    <e v="#N/A"/>
    <n v="5"/>
    <n v="0"/>
    <m/>
    <n v="0"/>
    <m/>
    <n v="0"/>
    <m/>
    <n v="0"/>
    <m/>
    <n v="0"/>
    <m/>
    <n v="0"/>
    <m/>
    <n v="0"/>
    <s v="FLINTSL"/>
    <n v="24"/>
    <n v="0"/>
    <n v="16.090909090909093"/>
    <n v="0"/>
    <s v="YELLOW"/>
    <s v="H01312Y"/>
    <s v="FLINTSL - YELLOW"/>
    <n v="30"/>
    <n v="0"/>
    <m/>
    <m/>
    <n v="0"/>
    <n v="26505000004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6"/>
    <n v="0"/>
    <n v="14.045454545454547"/>
    <n v="0"/>
    <s v="WHITE"/>
    <s v="H01312W"/>
    <s v="FLINTSL - WHITE"/>
    <n v="32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25"/>
    <n v="0"/>
    <n v="228.3636363636363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10"/>
    <n v="4"/>
    <n v="2"/>
    <n v="60"/>
    <n v="0"/>
    <n v="0"/>
    <n v="0.8"/>
    <n v="0.2"/>
    <m/>
    <m/>
    <m/>
    <n v="0"/>
    <n v="178"/>
    <n v="0"/>
    <n v="0"/>
    <n v="178"/>
    <n v="178"/>
    <n v="142.4"/>
    <n v="0"/>
    <n v="35.6"/>
    <n v="0"/>
    <n v="0"/>
    <n v="0"/>
    <n v="0"/>
    <n v="0"/>
    <n v="0"/>
    <n v="0"/>
    <n v="0"/>
    <n v="0"/>
    <n v="0"/>
    <m/>
    <n v="174.5"/>
    <n v="333.5"/>
    <n v="37"/>
    <s v="FLINTSLFLINTSLFLINTSLFLINTSLFLINTSLFLINTSL"/>
    <s v="+"/>
    <s v="+"/>
    <s v="+"/>
    <s v="+"/>
    <s v="+"/>
    <s v="+"/>
    <s v="NIL"/>
    <s v="NIL"/>
    <b v="0"/>
  </r>
  <r>
    <d v="2026-01-06T00:00:00"/>
    <s v="A"/>
    <x v="73"/>
    <n v="38"/>
    <n v="517"/>
    <n v="26600"/>
    <s v="II"/>
    <s v="N"/>
    <n v="1.78"/>
    <s v="BLACK"/>
    <s v="H01327B"/>
    <s v="FLINTSL - BLACK"/>
    <n v="22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0"/>
    <n v="0"/>
    <n v="9.0674157303370784"/>
    <n v="0"/>
    <s v="REFLEX BLUE"/>
    <m/>
    <s v="FLINTSL - REFLEX BLUE"/>
    <m/>
    <n v="0"/>
    <m/>
    <m/>
    <n v="0"/>
    <n v="26506000003"/>
    <s v="FMD"/>
    <n v="26505000032"/>
    <m/>
    <m/>
    <m/>
    <m/>
    <m/>
    <n v="40"/>
    <e v="#N/A"/>
    <n v="7"/>
    <n v="0"/>
    <n v="4"/>
    <e v="#N/A"/>
    <m/>
    <n v="0"/>
    <m/>
    <n v="0"/>
    <m/>
    <n v="0"/>
    <m/>
    <n v="0"/>
    <m/>
    <n v="0"/>
    <s v="FLINTSL"/>
    <n v="24"/>
    <n v="0"/>
    <n v="47.337078651685388"/>
    <n v="0"/>
    <s v="CYAN"/>
    <s v="H01327C"/>
    <s v="FLINTSL - CYAN"/>
    <n v="23"/>
    <n v="0"/>
    <m/>
    <m/>
    <n v="0"/>
    <n v="26505000032"/>
    <s v="FMD"/>
    <m/>
    <m/>
    <m/>
    <m/>
    <m/>
    <m/>
    <n v="8"/>
    <e v="#N/A"/>
    <n v="5"/>
    <n v="0"/>
    <m/>
    <n v="0"/>
    <m/>
    <n v="0"/>
    <m/>
    <n v="0"/>
    <m/>
    <n v="0"/>
    <m/>
    <n v="0"/>
    <m/>
    <n v="0"/>
    <s v="FLINTSL"/>
    <n v="27"/>
    <n v="0"/>
    <n v="29.337078651685388"/>
    <n v="0"/>
    <s v="MAGENTA"/>
    <s v="H01327M"/>
    <s v="FLINTSL - MAGENTA"/>
    <n v="24"/>
    <n v="0"/>
    <m/>
    <m/>
    <n v="0"/>
    <n v="26507000017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1"/>
    <n v="0"/>
    <n v="13.134831460674157"/>
    <n v="0"/>
    <s v="YELLOW"/>
    <s v="H01327Y"/>
    <s v="FLINTSL - YELLOW"/>
    <n v="26"/>
    <n v="0"/>
    <s v="H01208Y"/>
    <n v="15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0"/>
    <n v="17.101123595505619"/>
    <n v="0"/>
    <s v="WHITE"/>
    <s v="H01327W"/>
    <s v="FLINTSL - WHITE"/>
    <n v="25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29"/>
    <n v="0"/>
    <n v="218.0224719101123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10"/>
    <n v="4"/>
    <n v="3"/>
    <n v="60"/>
    <n v="0"/>
    <n v="0"/>
    <n v="0.8"/>
    <n v="0.2"/>
    <m/>
    <m/>
    <m/>
    <n v="0"/>
    <n v="181"/>
    <n v="0"/>
    <n v="0"/>
    <n v="181"/>
    <n v="181"/>
    <n v="144.80000000000001"/>
    <n v="0"/>
    <n v="36.200000000000003"/>
    <n v="0"/>
    <n v="0"/>
    <n v="0"/>
    <n v="0"/>
    <n v="0"/>
    <n v="0"/>
    <n v="0"/>
    <n v="0"/>
    <n v="0"/>
    <n v="0"/>
    <m/>
    <n v="169"/>
    <n v="334"/>
    <n v="38"/>
    <s v="FLINTSLFLINTSLFLINTSLFLINTSLFLINTSLFLINTSL"/>
    <s v="+"/>
    <s v="+"/>
    <s v="+"/>
    <s v="+"/>
    <s v="+"/>
    <s v="+"/>
    <s v="NIL"/>
    <s v="NIL"/>
    <b v="0"/>
  </r>
  <r>
    <d v="2026-01-06T00:00:00"/>
    <s v="A"/>
    <x v="74"/>
    <n v="39"/>
    <n v="269"/>
    <n v="15900"/>
    <s v="II"/>
    <s v="N"/>
    <n v="1.41"/>
    <s v="BLACK"/>
    <s v="H01330B"/>
    <s v="FLINTSL - BLACK"/>
    <n v="20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4"/>
    <n v="0"/>
    <n v="10.81818181818182"/>
    <n v="0"/>
    <s v="REFLEX BLUE"/>
    <s v="H01327B"/>
    <s v="FLINTSL - REFLEX BLUE"/>
    <n v="34"/>
    <n v="0"/>
    <m/>
    <m/>
    <n v="0"/>
    <n v="26505000013"/>
    <n v="9472"/>
    <m/>
    <m/>
    <m/>
    <m/>
    <m/>
    <m/>
    <n v="5"/>
    <e v="#N/A"/>
    <n v="4"/>
    <n v="0"/>
    <m/>
    <n v="0"/>
    <m/>
    <n v="0"/>
    <m/>
    <n v="0"/>
    <m/>
    <n v="0"/>
    <m/>
    <n v="0"/>
    <m/>
    <n v="0"/>
    <s v="FLINTSL"/>
    <n v="31"/>
    <n v="0"/>
    <n v="31.63636363636364"/>
    <n v="0"/>
    <s v="RED"/>
    <s v="H01312R"/>
    <s v="FLINTSL - RED"/>
    <n v="25"/>
    <n v="0"/>
    <s v="H01208R"/>
    <n v="26"/>
    <n v="0"/>
    <n v="26501000001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8"/>
    <n v="0"/>
    <n v="52.63636363636364"/>
    <n v="0"/>
    <s v="CYAN"/>
    <s v="H01330C"/>
    <s v="FLINTSL - CYAN"/>
    <n v="27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4"/>
    <n v="0"/>
    <n v="12.890909090909091"/>
    <n v="0"/>
    <s v="MAGENTA"/>
    <s v="H01330M"/>
    <s v="FLINTSL - MAGENTA"/>
    <n v="21"/>
    <n v="0"/>
    <m/>
    <m/>
    <n v="0"/>
    <n v="26507000017"/>
    <s v="FMD"/>
    <m/>
    <m/>
    <m/>
    <m/>
    <m/>
    <m/>
    <n v="5"/>
    <e v="#N/A"/>
    <n v="2"/>
    <n v="0"/>
    <m/>
    <n v="0"/>
    <m/>
    <n v="0"/>
    <m/>
    <n v="0"/>
    <m/>
    <n v="0"/>
    <m/>
    <n v="0"/>
    <m/>
    <n v="0"/>
    <s v="FLINTSL"/>
    <n v="25"/>
    <n v="0"/>
    <n v="12.81818181818182"/>
    <n v="0"/>
    <s v="YELLOW"/>
    <s v="H01330Y"/>
    <s v="FLINTSL - YELLOW"/>
    <n v="30"/>
    <n v="0"/>
    <m/>
    <m/>
    <n v="0"/>
    <n v="26505000033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6"/>
    <n v="0"/>
    <n v="12.927272727272729"/>
    <n v="0"/>
    <s v="WHITE"/>
    <s v="H01330W"/>
    <s v="FLINTSL - WHITE"/>
    <n v="29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27"/>
    <n v="0"/>
    <n v="81.2727272727272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10"/>
    <n v="3"/>
    <n v="5"/>
    <n v="2"/>
    <n v="20"/>
    <n v="0"/>
    <n v="0.8"/>
    <n v="0.2"/>
    <m/>
    <m/>
    <m/>
    <n v="0"/>
    <n v="108"/>
    <n v="0"/>
    <n v="0"/>
    <n v="108"/>
    <n v="108"/>
    <n v="86.4"/>
    <n v="0"/>
    <n v="21.6"/>
    <n v="0"/>
    <n v="0"/>
    <n v="0"/>
    <n v="0"/>
    <n v="0"/>
    <n v="0"/>
    <n v="0"/>
    <n v="0"/>
    <n v="0"/>
    <n v="0"/>
    <m/>
    <n v="80"/>
    <n v="215.00000000000003"/>
    <n v="39"/>
    <s v="FLINTSLFLINTSLFLINTSLFLINTSLFLINTSLFLINTSLFLINTSL"/>
    <s v="+"/>
    <s v="+"/>
    <s v="+"/>
    <s v="+"/>
    <s v="+"/>
    <s v="+"/>
    <s v="+"/>
    <s v="NIL"/>
    <b v="0"/>
  </r>
  <r>
    <d v="2026-01-06T00:00:00"/>
    <s v="A"/>
    <x v="75"/>
    <n v="40"/>
    <n v="389"/>
    <n v="12000"/>
    <s v="II"/>
    <s v="N"/>
    <n v="1.7"/>
    <s v="BLACK"/>
    <s v="H01322B"/>
    <s v="FLINTSL - BLACK"/>
    <n v="24"/>
    <n v="0"/>
    <m/>
    <m/>
    <n v="0"/>
    <n v="26506000005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8"/>
    <n v="0"/>
    <n v="4.0793650793650755"/>
    <n v="0"/>
    <s v="GREEN"/>
    <m/>
    <s v="FLINTSL - GREEN"/>
    <m/>
    <n v="0"/>
    <m/>
    <m/>
    <n v="0"/>
    <n v="9472"/>
    <n v="26505000032"/>
    <n v="26505000033"/>
    <m/>
    <m/>
    <m/>
    <m/>
    <m/>
    <n v="0.5"/>
    <n v="0"/>
    <n v="8"/>
    <e v="#N/A"/>
    <n v="10"/>
    <e v="#N/A"/>
    <m/>
    <n v="0"/>
    <m/>
    <n v="0"/>
    <m/>
    <n v="0"/>
    <m/>
    <n v="0"/>
    <m/>
    <n v="0"/>
    <s v="FLINTSL"/>
    <n v="17"/>
    <n v="0"/>
    <n v="16.896825396825392"/>
    <n v="0"/>
    <s v="RED"/>
    <m/>
    <s v="FLINTSL - RED"/>
    <m/>
    <n v="0"/>
    <m/>
    <m/>
    <n v="0"/>
    <n v="25863000007"/>
    <n v="26507000017"/>
    <s v="FMD"/>
    <n v="66701"/>
    <m/>
    <m/>
    <m/>
    <m/>
    <n v="0.2"/>
    <e v="#N/A"/>
    <n v="7"/>
    <e v="#N/A"/>
    <n v="27"/>
    <n v="0"/>
    <n v="3"/>
    <n v="0"/>
    <m/>
    <n v="0"/>
    <m/>
    <n v="0"/>
    <m/>
    <n v="0"/>
    <m/>
    <n v="0"/>
    <s v="FLINTSL"/>
    <n v="49"/>
    <n v="0"/>
    <n v="14.37460317460318"/>
    <n v="0"/>
    <s v="CYAN"/>
    <s v="H01322C"/>
    <s v="FLINTSL - CYAN"/>
    <n v="24"/>
    <n v="0"/>
    <m/>
    <m/>
    <n v="0"/>
    <n v="26505000032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3.6190476190476204"/>
    <n v="0"/>
    <s v="MAGENTA"/>
    <s v="H01322M"/>
    <s v="FLINTSL - MAGENTA"/>
    <n v="25"/>
    <n v="0"/>
    <m/>
    <m/>
    <n v="0"/>
    <n v="26507000017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3.0793650793650791"/>
    <n v="0"/>
    <s v="YELLOW"/>
    <s v="H01322Y"/>
    <s v="FLINTSL - YELLOW"/>
    <n v="26"/>
    <n v="0"/>
    <m/>
    <m/>
    <n v="0"/>
    <n v="26505000033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6.1587301587301582"/>
    <n v="0"/>
    <s v="BLACK"/>
    <s v="N00730G"/>
    <s v="FLINTSL - BLACK"/>
    <n v="14"/>
    <n v="0"/>
    <m/>
    <m/>
    <n v="0"/>
    <s v="FMD"/>
    <n v="26505000033"/>
    <n v="26506000005"/>
    <m/>
    <m/>
    <m/>
    <m/>
    <m/>
    <n v="10"/>
    <n v="0"/>
    <n v="0.2"/>
    <e v="#N/A"/>
    <n v="1"/>
    <e v="#N/A"/>
    <m/>
    <n v="0"/>
    <m/>
    <n v="0"/>
    <m/>
    <n v="0"/>
    <m/>
    <n v="0"/>
    <m/>
    <n v="0"/>
    <s v="FLINTSL"/>
    <n v="22"/>
    <n v="0"/>
    <n v="18.596825396825395"/>
    <n v="0"/>
    <s v="WHITE"/>
    <s v="H01322W"/>
    <s v="FLINTSL - WHITE"/>
    <n v="27"/>
    <n v="0"/>
    <m/>
    <m/>
    <n v="0"/>
    <s v="FW"/>
    <m/>
    <m/>
    <m/>
    <m/>
    <m/>
    <m/>
    <m/>
    <n v="30"/>
    <n v="0"/>
    <m/>
    <n v="0"/>
    <m/>
    <n v="0"/>
    <m/>
    <n v="0"/>
    <m/>
    <n v="0"/>
    <m/>
    <n v="0"/>
    <m/>
    <n v="0"/>
    <m/>
    <n v="0"/>
    <s v="FLINTSL"/>
    <n v="30"/>
    <n v="0"/>
    <n v="50.095238095238102"/>
    <n v="0"/>
    <n v="2"/>
    <n v="10"/>
    <n v="17"/>
    <n v="3"/>
    <n v="2"/>
    <n v="4"/>
    <n v="10"/>
    <n v="15"/>
    <n v="0.8"/>
    <n v="0.2"/>
    <m/>
    <m/>
    <m/>
    <n v="0"/>
    <n v="97"/>
    <n v="0"/>
    <n v="0"/>
    <n v="97"/>
    <n v="97"/>
    <n v="77.600000000000009"/>
    <n v="0"/>
    <n v="19.400000000000002"/>
    <n v="0"/>
    <n v="0"/>
    <n v="0"/>
    <n v="0"/>
    <n v="0"/>
    <n v="0"/>
    <n v="0"/>
    <n v="0"/>
    <n v="0"/>
    <n v="0"/>
    <m/>
    <n v="110.9"/>
    <n v="116.9"/>
    <n v="40"/>
    <s v="FLINTSLFLINTSLFLINTSLFLINTSLFLINTSLFLINTSLFLINTSLFLINTSL"/>
    <s v="+"/>
    <s v="+"/>
    <s v="+"/>
    <s v="+"/>
    <s v="+"/>
    <s v="+"/>
    <s v="+"/>
    <s v="+"/>
    <b v="0"/>
  </r>
  <r>
    <d v="2026-01-06T00:00:00"/>
    <s v="B"/>
    <x v="76"/>
    <n v="41"/>
    <n v="2562"/>
    <n v="138800"/>
    <s v="II"/>
    <s v="N"/>
    <n v="1.7"/>
    <s v="BLACK"/>
    <s v="J00827B"/>
    <s v="FLINTSL - BLACK"/>
    <n v="28"/>
    <n v="0"/>
    <m/>
    <m/>
    <n v="0"/>
    <n v="26506000005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30"/>
    <n v="0"/>
    <n v="30.239669421487605"/>
    <n v="0"/>
    <s v="REFLEX BLUE"/>
    <m/>
    <s v="FLINTSL - REFLEX BLUE"/>
    <m/>
    <n v="0"/>
    <m/>
    <m/>
    <n v="0"/>
    <n v="26507000001"/>
    <n v="26506000008"/>
    <n v="26506000009"/>
    <n v="26506000010"/>
    <n v="26506000012"/>
    <n v="26506000011"/>
    <m/>
    <m/>
    <n v="140"/>
    <e v="#N/A"/>
    <n v="21"/>
    <e v="#N/A"/>
    <n v="20"/>
    <e v="#N/A"/>
    <n v="40"/>
    <e v="#N/A"/>
    <n v="140"/>
    <e v="#N/A"/>
    <n v="140"/>
    <e v="#N/A"/>
    <m/>
    <n v="0"/>
    <m/>
    <n v="0"/>
    <s v="FLINTSL"/>
    <n v="29"/>
    <n v="0"/>
    <n v="472"/>
    <n v="0"/>
    <s v="RED"/>
    <m/>
    <s v="FLINTSL - RED"/>
    <m/>
    <n v="0"/>
    <m/>
    <m/>
    <n v="0"/>
    <n v="26501000001"/>
    <n v="25863000007"/>
    <n v="26507000017"/>
    <m/>
    <m/>
    <m/>
    <m/>
    <m/>
    <n v="5"/>
    <e v="#N/A"/>
    <n v="15"/>
    <e v="#N/A"/>
    <n v="2"/>
    <e v="#N/A"/>
    <m/>
    <n v="0"/>
    <m/>
    <n v="0"/>
    <m/>
    <n v="0"/>
    <m/>
    <n v="0"/>
    <m/>
    <n v="0"/>
    <s v="FLINTSL"/>
    <n v="20"/>
    <n v="0"/>
    <n v="39.066115702479337"/>
    <n v="0"/>
    <s v="BLACK"/>
    <s v="J00827G"/>
    <s v="FLINTSL - BLACK"/>
    <n v="12"/>
    <n v="0"/>
    <m/>
    <m/>
    <n v="0"/>
    <s v="FMD"/>
    <m/>
    <m/>
    <m/>
    <m/>
    <m/>
    <m/>
    <m/>
    <n v="15"/>
    <n v="0"/>
    <m/>
    <n v="0"/>
    <m/>
    <n v="0"/>
    <m/>
    <n v="0"/>
    <m/>
    <n v="0"/>
    <m/>
    <n v="0"/>
    <m/>
    <n v="0"/>
    <m/>
    <n v="0"/>
    <s v="FLINTSL"/>
    <n v="25"/>
    <n v="0"/>
    <n v="39.066115702479337"/>
    <n v="0"/>
    <s v="CYAN"/>
    <s v="J00827M"/>
    <s v="FLINTSL - CYAN"/>
    <n v="30"/>
    <n v="0"/>
    <m/>
    <m/>
    <n v="0"/>
    <n v="26505000032"/>
    <s v="FMD"/>
    <m/>
    <m/>
    <m/>
    <m/>
    <m/>
    <m/>
    <n v="13"/>
    <e v="#N/A"/>
    <n v="6"/>
    <n v="0"/>
    <m/>
    <n v="0"/>
    <m/>
    <n v="0"/>
    <m/>
    <n v="0"/>
    <m/>
    <n v="0"/>
    <m/>
    <n v="0"/>
    <m/>
    <n v="0"/>
    <s v="FLINTSL"/>
    <n v="30"/>
    <n v="0"/>
    <n v="67.185950413223139"/>
    <n v="0"/>
    <s v="MAGENTA"/>
    <s v="J00827M"/>
    <s v="FLINTSL - MAGENTA"/>
    <n v="27"/>
    <n v="0"/>
    <m/>
    <m/>
    <n v="0"/>
    <n v="26507000017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9"/>
    <n v="0"/>
    <n v="25.239669421487605"/>
    <n v="0"/>
    <s v="YELLOW"/>
    <s v="J00827Y"/>
    <s v="FLINTSL - YELLOW"/>
    <n v="28"/>
    <n v="0"/>
    <m/>
    <m/>
    <n v="0"/>
    <n v="26505000033"/>
    <s v="FMD"/>
    <m/>
    <m/>
    <m/>
    <m/>
    <m/>
    <m/>
    <n v="12"/>
    <e v="#N/A"/>
    <n v="4"/>
    <n v="0"/>
    <m/>
    <n v="0"/>
    <m/>
    <n v="0"/>
    <m/>
    <n v="0"/>
    <m/>
    <n v="0"/>
    <m/>
    <n v="0"/>
    <m/>
    <n v="0"/>
    <s v="FLINTSL"/>
    <n v="30"/>
    <n v="0"/>
    <n v="77.012396694214885"/>
    <n v="0"/>
    <s v="WHITE"/>
    <s v="J00827W"/>
    <s v="FLINTSL - WHITE"/>
    <n v="30"/>
    <n v="0"/>
    <m/>
    <m/>
    <n v="0"/>
    <s v="FW"/>
    <m/>
    <m/>
    <m/>
    <m/>
    <m/>
    <m/>
    <m/>
    <n v="300"/>
    <n v="0"/>
    <m/>
    <n v="0"/>
    <m/>
    <n v="0"/>
    <m/>
    <n v="0"/>
    <m/>
    <n v="0"/>
    <m/>
    <n v="0"/>
    <m/>
    <n v="0"/>
    <m/>
    <n v="0"/>
    <s v="FLINTSL"/>
    <n v="30"/>
    <n v="0"/>
    <n v="967.19008264462809"/>
    <n v="0"/>
    <n v="6"/>
    <n v="0"/>
    <n v="10"/>
    <n v="10"/>
    <n v="13"/>
    <n v="6"/>
    <n v="17"/>
    <n v="180"/>
    <n v="0.8"/>
    <n v="0.2"/>
    <m/>
    <m/>
    <m/>
    <n v="0"/>
    <n v="897"/>
    <n v="0"/>
    <n v="0"/>
    <n v="897"/>
    <n v="897"/>
    <n v="717.6"/>
    <n v="0"/>
    <n v="179.4"/>
    <n v="0"/>
    <n v="0"/>
    <n v="0"/>
    <n v="0"/>
    <n v="0"/>
    <n v="0"/>
    <n v="0"/>
    <n v="0"/>
    <n v="0"/>
    <n v="0"/>
    <m/>
    <n v="888"/>
    <n v="1717"/>
    <n v="41"/>
    <s v="FLINTSLFLINTSLFLINTSLFLINTSLFLINTSLFLINTSLFLINTSLFLINTSL"/>
    <s v="+"/>
    <s v="+"/>
    <s v="+"/>
    <s v="+"/>
    <s v="+"/>
    <s v="+"/>
    <s v="+"/>
    <s v="+"/>
    <b v="0"/>
  </r>
  <r>
    <d v="2026-01-06T00:00:00"/>
    <s v="B"/>
    <x v="77"/>
    <n v="42"/>
    <n v="496"/>
    <n v="22600"/>
    <s v="II"/>
    <s v="N"/>
    <n v="1.45"/>
    <s v="BLACK"/>
    <s v="H01221B"/>
    <s v="FLINTSL - BLACK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0"/>
    <n v="9.327272727272728"/>
    <n v="0"/>
    <s v="GOLD"/>
    <s v="E00834G"/>
    <s v="FLINTSL - GOLD"/>
    <n v="10"/>
    <n v="0"/>
    <s v="E00985G"/>
    <n v="7"/>
    <n v="0"/>
    <s v="FGO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1"/>
    <n v="0"/>
    <n v="8.4909090909090921"/>
    <n v="0"/>
    <s v="MEDIUM"/>
    <s v="E00986M"/>
    <s v="FLINTSL - MEDIUM"/>
    <n v="26"/>
    <n v="0"/>
    <m/>
    <m/>
    <n v="0"/>
    <n v="25863000007"/>
    <n v="26505000033"/>
    <s v="FW"/>
    <m/>
    <m/>
    <m/>
    <m/>
    <m/>
    <n v="0.5"/>
    <e v="#N/A"/>
    <n v="1"/>
    <e v="#N/A"/>
    <n v="10"/>
    <n v="0"/>
    <m/>
    <n v="0"/>
    <m/>
    <n v="0"/>
    <m/>
    <n v="0"/>
    <m/>
    <n v="0"/>
    <m/>
    <n v="0"/>
    <s v="FLINTSL"/>
    <n v="26"/>
    <n v="0"/>
    <n v="27.31818181818182"/>
    <n v="0"/>
    <s v="RED"/>
    <s v="H01335R"/>
    <s v="FLINTSL - RED"/>
    <n v="20"/>
    <n v="0"/>
    <m/>
    <m/>
    <n v="0"/>
    <n v="26506000005"/>
    <m/>
    <m/>
    <m/>
    <m/>
    <m/>
    <m/>
    <m/>
    <n v="0.5"/>
    <e v="#N/A"/>
    <m/>
    <n v="0"/>
    <m/>
    <n v="0"/>
    <m/>
    <n v="0"/>
    <m/>
    <n v="0"/>
    <m/>
    <n v="0"/>
    <m/>
    <n v="0"/>
    <m/>
    <n v="0"/>
    <s v="FLINTSL"/>
    <n v="18"/>
    <n v="0"/>
    <n v="18.31818181818182"/>
    <n v="0"/>
    <s v="GREEN"/>
    <s v="H01208G"/>
    <s v="FLINTSL - GREEN"/>
    <n v="32"/>
    <n v="0"/>
    <m/>
    <m/>
    <n v="0"/>
    <n v="9472"/>
    <n v="26501000001"/>
    <m/>
    <m/>
    <m/>
    <m/>
    <m/>
    <m/>
    <n v="1"/>
    <n v="0"/>
    <n v="1"/>
    <e v="#N/A"/>
    <m/>
    <n v="0"/>
    <m/>
    <n v="0"/>
    <m/>
    <n v="0"/>
    <m/>
    <n v="0"/>
    <m/>
    <n v="0"/>
    <m/>
    <n v="0"/>
    <s v="FLINTSL"/>
    <n v="30"/>
    <n v="0"/>
    <n v="16.654545454545456"/>
    <n v="0"/>
    <s v="REFLEX BLUE"/>
    <m/>
    <s v="FLINTSL - REFLEX BLUE"/>
    <m/>
    <n v="0"/>
    <m/>
    <m/>
    <n v="0"/>
    <s v="FMD"/>
    <n v="26505000014"/>
    <n v="26507000002"/>
    <n v="26505000033"/>
    <m/>
    <m/>
    <m/>
    <m/>
    <n v="7"/>
    <n v="0"/>
    <n v="20"/>
    <e v="#N/A"/>
    <n v="25"/>
    <e v="#N/A"/>
    <n v="1"/>
    <e v="#N/A"/>
    <m/>
    <n v="0"/>
    <m/>
    <n v="0"/>
    <m/>
    <n v="0"/>
    <m/>
    <n v="0"/>
    <s v="FLINTSL"/>
    <n v="20"/>
    <n v="0"/>
    <n v="51.981818181818184"/>
    <n v="0"/>
    <s v="WHITE"/>
    <s v="H01221W"/>
    <s v="FLINTSL - WHITE"/>
    <n v="30"/>
    <n v="0"/>
    <m/>
    <m/>
    <n v="0"/>
    <s v="FW"/>
    <m/>
    <m/>
    <m/>
    <m/>
    <m/>
    <m/>
    <m/>
    <n v="80"/>
    <n v="0"/>
    <m/>
    <n v="0"/>
    <m/>
    <n v="0"/>
    <m/>
    <n v="0"/>
    <m/>
    <n v="0"/>
    <m/>
    <n v="0"/>
    <m/>
    <n v="0"/>
    <m/>
    <n v="0"/>
    <s v="FLINTSL"/>
    <n v="25"/>
    <n v="0"/>
    <n v="179.9090909090909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5"/>
    <n v="5"/>
    <n v="4"/>
    <n v="6"/>
    <n v="30"/>
    <n v="0"/>
    <n v="0.8"/>
    <n v="0.2"/>
    <m/>
    <m/>
    <m/>
    <n v="0"/>
    <n v="174"/>
    <n v="0"/>
    <n v="0"/>
    <n v="174"/>
    <n v="174"/>
    <n v="139.20000000000002"/>
    <n v="0"/>
    <n v="34.800000000000004"/>
    <n v="0"/>
    <n v="0"/>
    <n v="0"/>
    <n v="0"/>
    <n v="0"/>
    <n v="0"/>
    <n v="0"/>
    <n v="0"/>
    <n v="0"/>
    <n v="0"/>
    <m/>
    <n v="150"/>
    <n v="312"/>
    <n v="42"/>
    <s v="FLINTSLFLINTSLFLINTSLFLINTSLFLINTSLFLINTSLFLINTSL"/>
    <s v="+"/>
    <s v="+"/>
    <s v="+"/>
    <s v="+"/>
    <s v="+"/>
    <s v="+"/>
    <s v="+"/>
    <s v="NIL"/>
    <b v="0"/>
  </r>
  <r>
    <d v="2026-01-06T00:00:00"/>
    <s v="A"/>
    <x v="78"/>
    <n v="43"/>
    <n v="255"/>
    <n v="11600"/>
    <s v="II"/>
    <s v="N"/>
    <n v="1.92"/>
    <s v="GOLD"/>
    <s v="N00700G"/>
    <s v="FLINTSL - GOLD"/>
    <n v="21"/>
    <n v="0"/>
    <m/>
    <m/>
    <n v="0"/>
    <s v="FGO"/>
    <n v="26505000033"/>
    <m/>
    <m/>
    <m/>
    <m/>
    <m/>
    <m/>
    <n v="5"/>
    <n v="0"/>
    <n v="1"/>
    <e v="#N/A"/>
    <m/>
    <n v="0"/>
    <m/>
    <n v="0"/>
    <m/>
    <n v="0"/>
    <m/>
    <n v="0"/>
    <m/>
    <n v="0"/>
    <m/>
    <n v="0"/>
    <s v="FLINTSL"/>
    <n v="26"/>
    <n v="0"/>
    <n v="5.9444444444444429"/>
    <n v="0"/>
    <s v="BLACK"/>
    <s v="N00700B"/>
    <s v="FLINTSL - BLACK"/>
    <n v="27"/>
    <n v="0"/>
    <m/>
    <m/>
    <n v="0"/>
    <n v="26506000005"/>
    <s v="FMD"/>
    <m/>
    <m/>
    <m/>
    <m/>
    <m/>
    <m/>
    <n v="3"/>
    <e v="#N/A"/>
    <n v="2"/>
    <n v="0"/>
    <m/>
    <n v="0"/>
    <m/>
    <n v="0"/>
    <m/>
    <n v="0"/>
    <m/>
    <n v="0"/>
    <m/>
    <n v="0"/>
    <m/>
    <n v="0"/>
    <s v="FLINTSL"/>
    <n v="26"/>
    <n v="0"/>
    <n v="9.2962962962962976"/>
    <n v="0"/>
    <s v="REFLEX BLUE"/>
    <m/>
    <s v="FLINTSL - REFLEX BLUE"/>
    <m/>
    <n v="0"/>
    <m/>
    <m/>
    <n v="0"/>
    <n v="9472"/>
    <n v="26505000013"/>
    <n v="26507000017"/>
    <m/>
    <m/>
    <m/>
    <m/>
    <m/>
    <n v="8"/>
    <n v="0"/>
    <n v="11"/>
    <e v="#N/A"/>
    <n v="4"/>
    <e v="#N/A"/>
    <m/>
    <n v="0"/>
    <m/>
    <n v="0"/>
    <m/>
    <n v="0"/>
    <m/>
    <n v="0"/>
    <m/>
    <n v="0"/>
    <s v="FLINTSL"/>
    <n v="28"/>
    <n v="0"/>
    <n v="11.481481481481481"/>
    <n v="0"/>
    <s v="GREEN"/>
    <m/>
    <s v="FLINTSL - GREEN"/>
    <m/>
    <n v="0"/>
    <m/>
    <m/>
    <n v="0"/>
    <n v="26505000033"/>
    <n v="26505000032"/>
    <n v="26505000033"/>
    <m/>
    <m/>
    <m/>
    <m/>
    <m/>
    <n v="10"/>
    <e v="#N/A"/>
    <n v="12"/>
    <e v="#N/A"/>
    <n v="5"/>
    <e v="#N/A"/>
    <m/>
    <n v="0"/>
    <m/>
    <n v="0"/>
    <m/>
    <n v="0"/>
    <m/>
    <n v="0"/>
    <m/>
    <n v="0"/>
    <s v="FLINTSL"/>
    <n v="20"/>
    <n v="0"/>
    <n v="23.481481481481481"/>
    <n v="0"/>
    <s v="MAGENTA"/>
    <s v="H01221M"/>
    <s v="FLINTSL - MAGENTA"/>
    <n v="29"/>
    <n v="0"/>
    <m/>
    <m/>
    <n v="0"/>
    <n v="26507000017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7"/>
    <n v="0"/>
    <n v="9.2962962962962976"/>
    <n v="0"/>
    <s v="YELLOW"/>
    <s v="H01221Y"/>
    <s v="FLINTSL - YELLOW"/>
    <n v="30"/>
    <n v="0"/>
    <m/>
    <m/>
    <n v="0"/>
    <n v="26505000033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8"/>
    <n v="0"/>
    <n v="10.296296296296298"/>
    <n v="0"/>
    <s v="WHITE"/>
    <s v="N00700W"/>
    <s v="FLINTSL - WHITE"/>
    <n v="25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26"/>
    <n v="0"/>
    <n v="90.20370370370369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2"/>
    <n v="10"/>
    <n v="10"/>
    <n v="2"/>
    <n v="2"/>
    <n v="25"/>
    <n v="0"/>
    <n v="0.8"/>
    <n v="0.2"/>
    <m/>
    <m/>
    <m/>
    <n v="0"/>
    <n v="89"/>
    <n v="0"/>
    <n v="0"/>
    <n v="89"/>
    <n v="89"/>
    <n v="71.2"/>
    <n v="0"/>
    <n v="17.8"/>
    <n v="0"/>
    <n v="0"/>
    <n v="0"/>
    <n v="0"/>
    <n v="0"/>
    <n v="0"/>
    <n v="0"/>
    <n v="0"/>
    <n v="0"/>
    <n v="0"/>
    <m/>
    <n v="120"/>
    <n v="160"/>
    <n v="43"/>
    <s v="FLINTSLFLINTSLFLINTSLFLINTSLFLINTSLFLINTSLFLINTSL"/>
    <s v="+"/>
    <s v="+"/>
    <s v="+"/>
    <s v="+"/>
    <s v="+"/>
    <s v="+"/>
    <s v="+"/>
    <s v="NIL"/>
    <b v="0"/>
  </r>
  <r>
    <d v="2026-01-06T00:00:00"/>
    <s v="A"/>
    <x v="79"/>
    <n v="44"/>
    <n v="756"/>
    <n v="52300"/>
    <s v="II"/>
    <s v="N"/>
    <n v="1.38"/>
    <s v="BLACK"/>
    <s v="N00871B"/>
    <s v="FLINTSL - BLACK"/>
    <n v="26"/>
    <n v="0"/>
    <m/>
    <m/>
    <n v="0"/>
    <n v="2650600000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2"/>
    <n v="0"/>
    <n v="12.090090090090087"/>
    <n v="0"/>
    <s v="CYAN"/>
    <s v="H01221C"/>
    <s v="FLINTSL - CYAN"/>
    <n v="30"/>
    <n v="0"/>
    <m/>
    <m/>
    <n v="0"/>
    <n v="26505000032"/>
    <s v="FMD"/>
    <m/>
    <m/>
    <m/>
    <m/>
    <m/>
    <m/>
    <n v="25"/>
    <e v="#N/A"/>
    <n v="15"/>
    <n v="0"/>
    <m/>
    <n v="0"/>
    <m/>
    <n v="0"/>
    <m/>
    <n v="0"/>
    <m/>
    <n v="0"/>
    <m/>
    <n v="0"/>
    <m/>
    <n v="0"/>
    <s v="FLINTSL"/>
    <n v="26"/>
    <n v="0"/>
    <n v="95.126126126126124"/>
    <n v="0"/>
    <s v="MAGENTA"/>
    <s v="N00871M"/>
    <s v="FLINTSL - MAGENTA"/>
    <n v="27"/>
    <n v="0"/>
    <s v="J00827M"/>
    <n v="18"/>
    <n v="0"/>
    <n v="26507000017"/>
    <s v="FMD"/>
    <m/>
    <m/>
    <m/>
    <m/>
    <m/>
    <m/>
    <n v="20"/>
    <e v="#N/A"/>
    <n v="5"/>
    <n v="0"/>
    <m/>
    <n v="0"/>
    <m/>
    <n v="0"/>
    <m/>
    <n v="0"/>
    <m/>
    <n v="0"/>
    <m/>
    <n v="0"/>
    <m/>
    <n v="0"/>
    <s v="FLINTSL"/>
    <n v="24"/>
    <n v="0"/>
    <n v="86.900900900900893"/>
    <n v="0"/>
    <s v="YELLOW"/>
    <s v="N00871Y"/>
    <s v="FLINTSL - YELLOW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11.18018018018018"/>
    <n v="0"/>
    <s v="WHITE"/>
    <s v="N00871W"/>
    <s v="FLINTSL - WHITE"/>
    <n v="25"/>
    <n v="0"/>
    <m/>
    <m/>
    <n v="0"/>
    <s v="FW"/>
    <m/>
    <m/>
    <m/>
    <m/>
    <m/>
    <m/>
    <m/>
    <n v="130"/>
    <n v="0"/>
    <m/>
    <n v="0"/>
    <m/>
    <n v="0"/>
    <m/>
    <n v="0"/>
    <m/>
    <n v="0"/>
    <m/>
    <n v="0"/>
    <m/>
    <n v="0"/>
    <m/>
    <n v="0"/>
    <s v="FLINTSL"/>
    <n v="26"/>
    <n v="0"/>
    <n v="251.7027027027027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5"/>
    <n v="20"/>
    <n v="4"/>
    <n v="60"/>
    <n v="0"/>
    <n v="0"/>
    <n v="0"/>
    <n v="0.8"/>
    <n v="0.2"/>
    <m/>
    <m/>
    <m/>
    <n v="0"/>
    <n v="227"/>
    <n v="0"/>
    <n v="0"/>
    <n v="227"/>
    <n v="227"/>
    <n v="181.60000000000002"/>
    <n v="0"/>
    <n v="45.400000000000006"/>
    <n v="0"/>
    <n v="0"/>
    <n v="0"/>
    <n v="0"/>
    <n v="0"/>
    <n v="0"/>
    <n v="0"/>
    <n v="0"/>
    <n v="0"/>
    <n v="0"/>
    <m/>
    <n v="199"/>
    <n v="457"/>
    <n v="44"/>
    <s v="FLINTSLFLINTSLFLINTSLFLINTSLFLINTSL"/>
    <s v="+"/>
    <s v="+"/>
    <s v="+"/>
    <s v="+"/>
    <s v="+"/>
    <s v="NIL"/>
    <s v="NIL"/>
    <s v="NIL"/>
    <b v="0"/>
  </r>
  <r>
    <d v="2026-01-07T00:00:00"/>
    <s v="A"/>
    <x v="80"/>
    <n v="45"/>
    <n v="2065"/>
    <n v="105200"/>
    <s v="I"/>
    <s v="N"/>
    <n v="3.3"/>
    <s v="BLACK"/>
    <m/>
    <s v="FLINTSL - BLACK"/>
    <m/>
    <n v="0"/>
    <m/>
    <m/>
    <n v="0"/>
    <n v="26506000005"/>
    <m/>
    <m/>
    <m/>
    <m/>
    <m/>
    <m/>
    <m/>
    <n v="28"/>
    <e v="#N/A"/>
    <m/>
    <n v="0"/>
    <m/>
    <n v="0"/>
    <m/>
    <n v="0"/>
    <m/>
    <n v="0"/>
    <m/>
    <n v="0"/>
    <m/>
    <n v="0"/>
    <m/>
    <n v="0"/>
    <s v="FLINTSL"/>
    <n v="27"/>
    <n v="0"/>
    <n v="59.443396226415103"/>
    <n v="0"/>
    <s v="BLACK"/>
    <m/>
    <s v="FLINTSL - BLACK"/>
    <m/>
    <n v="0"/>
    <m/>
    <m/>
    <n v="0"/>
    <s v="FR"/>
    <s v="FK"/>
    <s v="FMG"/>
    <m/>
    <m/>
    <m/>
    <m/>
    <m/>
    <n v="10"/>
    <n v="0"/>
    <n v="2"/>
    <n v="0"/>
    <n v="3"/>
    <n v="0"/>
    <m/>
    <n v="0"/>
    <m/>
    <n v="0"/>
    <m/>
    <n v="0"/>
    <m/>
    <n v="0"/>
    <m/>
    <n v="0"/>
    <s v="FLINTSL"/>
    <n v="23"/>
    <n v="0"/>
    <n v="30.962264150943398"/>
    <n v="0"/>
    <s v="RED"/>
    <m/>
    <s v="FLINTSL - RED"/>
    <m/>
    <n v="0"/>
    <m/>
    <m/>
    <n v="0"/>
    <n v="26507000017"/>
    <n v="25863000007"/>
    <m/>
    <m/>
    <m/>
    <m/>
    <m/>
    <m/>
    <n v="15"/>
    <e v="#N/A"/>
    <n v="5"/>
    <e v="#N/A"/>
    <m/>
    <n v="0"/>
    <m/>
    <n v="0"/>
    <m/>
    <n v="0"/>
    <m/>
    <n v="0"/>
    <m/>
    <n v="0"/>
    <m/>
    <n v="0"/>
    <s v="FLINTSL"/>
    <n v="22"/>
    <n v="0"/>
    <n v="29.169811320754718"/>
    <n v="0"/>
    <s v="GREEN"/>
    <s v="C01417G"/>
    <s v="FLINTSL - GREEN"/>
    <n v="23"/>
    <n v="0"/>
    <m/>
    <m/>
    <n v="0"/>
    <s v="FMD"/>
    <n v="26505000033"/>
    <m/>
    <m/>
    <m/>
    <m/>
    <m/>
    <m/>
    <n v="3"/>
    <n v="0"/>
    <n v="3"/>
    <e v="#N/A"/>
    <m/>
    <n v="0"/>
    <m/>
    <n v="0"/>
    <m/>
    <n v="0"/>
    <m/>
    <n v="0"/>
    <m/>
    <n v="0"/>
    <m/>
    <n v="0"/>
    <s v="FLINTSL"/>
    <n v="20"/>
    <n v="0"/>
    <n v="28.481132075471699"/>
    <n v="0"/>
    <s v="MEDIUM"/>
    <m/>
    <s v="FLINTSL - MEDIUM"/>
    <m/>
    <n v="0"/>
    <m/>
    <m/>
    <n v="0"/>
    <n v="26507000003"/>
    <n v="26507000004"/>
    <n v="26507000007"/>
    <n v="26507000008"/>
    <n v="26507000021"/>
    <n v="26507000009"/>
    <n v="26507000013"/>
    <s v="FW"/>
    <n v="41.5"/>
    <e v="#N/A"/>
    <n v="40"/>
    <e v="#N/A"/>
    <n v="30"/>
    <e v="#N/A"/>
    <n v="30"/>
    <e v="#N/A"/>
    <n v="40"/>
    <e v="#N/A"/>
    <n v="30"/>
    <e v="#N/A"/>
    <n v="30"/>
    <e v="#N/A"/>
    <n v="70"/>
    <n v="0"/>
    <s v="FLINTSL"/>
    <n v="15"/>
    <n v="0"/>
    <n v="296.5"/>
    <n v="0"/>
    <s v="WHITE"/>
    <m/>
    <s v="FLINTSL - WHITE"/>
    <m/>
    <n v="0"/>
    <m/>
    <m/>
    <n v="0"/>
    <s v="FW"/>
    <m/>
    <m/>
    <m/>
    <m/>
    <m/>
    <m/>
    <m/>
    <n v="360"/>
    <n v="0"/>
    <m/>
    <n v="0"/>
    <m/>
    <n v="0"/>
    <m/>
    <n v="0"/>
    <m/>
    <n v="0"/>
    <m/>
    <n v="0"/>
    <m/>
    <n v="0"/>
    <m/>
    <n v="0"/>
    <s v="FLINTSL"/>
    <n v="25"/>
    <n v="0"/>
    <n v="1114.2452830188679"/>
    <n v="0"/>
    <s v="MATT"/>
    <m/>
    <s v="ToyoLi - MATT"/>
    <m/>
    <n v="0"/>
    <m/>
    <m/>
    <n v="0"/>
    <n v="55"/>
    <s v="NWBBK"/>
    <m/>
    <m/>
    <m/>
    <m/>
    <m/>
    <m/>
    <n v="420"/>
    <n v="0"/>
    <n v="115"/>
    <n v="0"/>
    <m/>
    <n v="0"/>
    <m/>
    <n v="0"/>
    <m/>
    <n v="0"/>
    <m/>
    <n v="0"/>
    <m/>
    <n v="0"/>
    <m/>
    <n v="0"/>
    <s v="ToyoLi"/>
    <n v="20"/>
    <n v="0"/>
    <n v="826.69811320754718"/>
    <n v="0"/>
    <m/>
    <m/>
    <s v=" - "/>
    <m/>
    <n v="0"/>
    <m/>
    <m/>
    <n v="0"/>
    <n v="26507000019"/>
    <n v="26501000001"/>
    <n v="26507000015"/>
    <n v="26507000005"/>
    <m/>
    <m/>
    <m/>
    <m/>
    <n v="3"/>
    <e v="#N/A"/>
    <n v="2"/>
    <e v="#N/A"/>
    <n v="30"/>
    <e v="#N/A"/>
    <n v="30"/>
    <e v="#N/A"/>
    <m/>
    <n v="0"/>
    <m/>
    <n v="0"/>
    <m/>
    <n v="0"/>
    <m/>
    <n v="0"/>
    <m/>
    <m/>
    <n v="0"/>
    <n v="65"/>
    <n v="0"/>
    <n v="15"/>
    <n v="10"/>
    <n v="8"/>
    <n v="5"/>
    <n v="0"/>
    <n v="200"/>
    <n v="80"/>
    <n v="0"/>
    <n v="0.8"/>
    <n v="0.2"/>
    <m/>
    <m/>
    <m/>
    <n v="0"/>
    <n v="1239"/>
    <n v="0"/>
    <n v="0"/>
    <n v="1239"/>
    <n v="1239"/>
    <n v="991.2"/>
    <n v="0"/>
    <n v="247.8"/>
    <n v="0"/>
    <n v="0"/>
    <n v="0"/>
    <n v="0"/>
    <n v="0"/>
    <n v="0"/>
    <n v="0"/>
    <n v="0"/>
    <n v="0"/>
    <n v="0"/>
    <m/>
    <n v="1340.5"/>
    <n v="2450.5"/>
    <n v="45"/>
    <s v="FLINTSLFLINTSLFLINTSLFLINTSLFLINTSLFLINTSLToyoLi"/>
    <s v="+"/>
    <s v="+"/>
    <s v="+"/>
    <s v="+"/>
    <s v="+"/>
    <s v="+"/>
    <s v="+"/>
    <s v="NIL"/>
    <b v="0"/>
  </r>
  <r>
    <d v="2026-01-07T00:00:00"/>
    <s v="A"/>
    <x v="81"/>
    <n v="46"/>
    <n v="2458"/>
    <n v="129600"/>
    <s v="II"/>
    <s v="N"/>
    <n v="1.86"/>
    <s v="BLACK"/>
    <s v="C01442B"/>
    <s v="FLINTSL - BLACK"/>
    <n v="22"/>
    <n v="0"/>
    <m/>
    <m/>
    <n v="0"/>
    <n v="26506000006"/>
    <m/>
    <m/>
    <m/>
    <m/>
    <m/>
    <m/>
    <m/>
    <n v="11"/>
    <e v="#N/A"/>
    <m/>
    <n v="0"/>
    <m/>
    <n v="0"/>
    <m/>
    <n v="0"/>
    <m/>
    <n v="0"/>
    <m/>
    <n v="0"/>
    <m/>
    <n v="0"/>
    <m/>
    <n v="0"/>
    <s v="FLINTSL"/>
    <n v="27"/>
    <n v="0"/>
    <n v="29.369565217391305"/>
    <n v="0"/>
    <s v="REFLEX BLUE"/>
    <s v="H01330B"/>
    <s v="FLINTSL - REFLEX BLUE"/>
    <n v="24"/>
    <n v="0"/>
    <s v="H01322B/C01421B/H01335B/H01273B/H01323B/H01221B"/>
    <n v="149"/>
    <n v="0"/>
    <n v="26508000003"/>
    <n v="26505000029"/>
    <n v="26506000006"/>
    <n v="26507000019"/>
    <n v="26505000032"/>
    <n v="9472"/>
    <m/>
    <m/>
    <n v="30"/>
    <e v="#N/A"/>
    <n v="20"/>
    <e v="#N/A"/>
    <n v="10"/>
    <e v="#N/A"/>
    <n v="4"/>
    <e v="#N/A"/>
    <n v="20"/>
    <e v="#N/A"/>
    <n v="40"/>
    <n v="0"/>
    <m/>
    <n v="0"/>
    <m/>
    <n v="0"/>
    <s v="FLINTSL"/>
    <n v="20"/>
    <n v="0"/>
    <n v="300.36956521739131"/>
    <n v="0"/>
    <s v="RED"/>
    <s v="E00978R"/>
    <s v="FLINTSL - RED"/>
    <n v="20"/>
    <n v="0"/>
    <m/>
    <m/>
    <n v="0"/>
    <n v="25863000007"/>
    <n v="26508000003"/>
    <m/>
    <m/>
    <m/>
    <m/>
    <m/>
    <m/>
    <n v="10"/>
    <e v="#N/A"/>
    <n v="7"/>
    <e v="#N/A"/>
    <m/>
    <n v="0"/>
    <m/>
    <n v="0"/>
    <m/>
    <n v="0"/>
    <m/>
    <n v="0"/>
    <m/>
    <n v="0"/>
    <m/>
    <n v="0"/>
    <s v="FLINTSL"/>
    <n v="24"/>
    <n v="0"/>
    <n v="31.695652173913047"/>
    <n v="0"/>
    <s v="CYAN"/>
    <s v="C01442C"/>
    <s v="FLINTSL - CYAN"/>
    <n v="26"/>
    <n v="0"/>
    <m/>
    <m/>
    <n v="0"/>
    <n v="26505000032"/>
    <s v="FMD"/>
    <m/>
    <m/>
    <m/>
    <m/>
    <m/>
    <m/>
    <n v="10"/>
    <e v="#N/A"/>
    <n v="7"/>
    <n v="0"/>
    <m/>
    <n v="0"/>
    <m/>
    <n v="0"/>
    <m/>
    <n v="0"/>
    <m/>
    <n v="0"/>
    <m/>
    <n v="0"/>
    <m/>
    <n v="0"/>
    <s v="FLINTSL"/>
    <n v="30"/>
    <n v="0"/>
    <n v="48.054347826086968"/>
    <n v="0"/>
    <s v="MAGENTA"/>
    <s v="C01142M"/>
    <s v="FLINTSL - MAGENTA"/>
    <n v="24"/>
    <n v="0"/>
    <s v="J00827M"/>
    <n v="10"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30"/>
    <n v="0"/>
    <n v="32.369565217391305"/>
    <n v="0"/>
    <s v="YELLOW"/>
    <s v="C01142Y"/>
    <s v="FLINTSL - YELLOW"/>
    <n v="25"/>
    <n v="0"/>
    <m/>
    <m/>
    <n v="0"/>
    <s v="FMD"/>
    <n v="26507000019"/>
    <m/>
    <m/>
    <m/>
    <m/>
    <m/>
    <m/>
    <n v="20"/>
    <n v="0"/>
    <n v="15"/>
    <e v="#N/A"/>
    <m/>
    <n v="0"/>
    <m/>
    <n v="0"/>
    <m/>
    <n v="0"/>
    <m/>
    <n v="0"/>
    <m/>
    <n v="0"/>
    <m/>
    <n v="0"/>
    <s v="FLINTSL"/>
    <n v="32"/>
    <n v="0"/>
    <n v="63.054347826086968"/>
    <n v="0"/>
    <s v="WHITE"/>
    <s v="C01442W"/>
    <s v="FLINTSL - WHITE"/>
    <n v="26"/>
    <n v="0"/>
    <m/>
    <m/>
    <n v="0"/>
    <s v="FW"/>
    <m/>
    <m/>
    <m/>
    <m/>
    <m/>
    <m/>
    <m/>
    <n v="500"/>
    <n v="0"/>
    <m/>
    <n v="0"/>
    <m/>
    <n v="0"/>
    <m/>
    <n v="0"/>
    <m/>
    <n v="0"/>
    <m/>
    <n v="0"/>
    <m/>
    <n v="0"/>
    <m/>
    <n v="0"/>
    <s v="FLINTSL"/>
    <n v="24"/>
    <n v="0"/>
    <n v="1203.08695652173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10"/>
    <n v="8"/>
    <n v="15"/>
    <n v="10"/>
    <n v="15"/>
    <n v="300"/>
    <n v="0"/>
    <n v="0.8"/>
    <n v="0.2"/>
    <m/>
    <m/>
    <m/>
    <n v="0"/>
    <n v="860"/>
    <n v="0"/>
    <n v="0"/>
    <n v="860"/>
    <n v="860"/>
    <n v="688"/>
    <n v="0"/>
    <n v="172"/>
    <n v="0"/>
    <n v="0"/>
    <n v="0"/>
    <n v="0"/>
    <n v="0"/>
    <n v="0"/>
    <n v="0"/>
    <n v="0"/>
    <n v="0"/>
    <n v="0"/>
    <m/>
    <n v="709"/>
    <n v="1708"/>
    <n v="46"/>
    <s v="FLINTSLFLINTSLFLINTSLFLINTSLFLINTSLFLINTSLFLINTSL"/>
    <s v="+"/>
    <s v="+"/>
    <s v="+"/>
    <s v="+"/>
    <s v="+"/>
    <s v="+"/>
    <s v="+"/>
    <s v="NIL"/>
    <b v="0"/>
  </r>
  <r>
    <d v="2026-01-07T00:00:00"/>
    <s v="A"/>
    <x v="82"/>
    <n v="47"/>
    <n v="490"/>
    <n v="26200"/>
    <s v="II"/>
    <s v="N"/>
    <n v="1.3"/>
    <s v="BLACK"/>
    <s v="E00979B"/>
    <s v="FLINTSL - BLACK"/>
    <n v="27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7"/>
    <n v="0"/>
    <n v="12.117647058823529"/>
    <n v="0"/>
    <s v="REFLEX BLUE"/>
    <m/>
    <s v="FLINTSL - REFLEX BLUE"/>
    <m/>
    <n v="0"/>
    <m/>
    <m/>
    <n v="0"/>
    <n v="9472"/>
    <n v="26507000017"/>
    <m/>
    <m/>
    <m/>
    <m/>
    <m/>
    <m/>
    <n v="30"/>
    <n v="0"/>
    <n v="6"/>
    <e v="#N/A"/>
    <m/>
    <n v="0"/>
    <m/>
    <n v="0"/>
    <m/>
    <n v="0"/>
    <m/>
    <n v="0"/>
    <m/>
    <n v="0"/>
    <m/>
    <n v="0"/>
    <s v="FLINTSL"/>
    <n v="27"/>
    <n v="0"/>
    <n v="29.235294117647058"/>
    <n v="0"/>
    <s v="RED"/>
    <s v="H01322R"/>
    <s v="FLINTSL - RED"/>
    <n v="28"/>
    <n v="0"/>
    <m/>
    <m/>
    <n v="0"/>
    <n v="25863000007"/>
    <n v="26508000003"/>
    <m/>
    <m/>
    <m/>
    <m/>
    <m/>
    <m/>
    <n v="6"/>
    <e v="#N/A"/>
    <n v="4"/>
    <e v="#N/A"/>
    <m/>
    <n v="0"/>
    <m/>
    <n v="0"/>
    <m/>
    <n v="0"/>
    <m/>
    <n v="0"/>
    <m/>
    <n v="0"/>
    <m/>
    <n v="0"/>
    <s v="FLINTSL"/>
    <n v="29"/>
    <n v="0"/>
    <n v="19.117647058823529"/>
    <n v="0"/>
    <s v="CYAN"/>
    <s v="E00979C"/>
    <s v="FLINTSL - CYAN"/>
    <n v="30"/>
    <n v="0"/>
    <m/>
    <m/>
    <n v="0"/>
    <n v="26505000032"/>
    <s v="FMD"/>
    <m/>
    <m/>
    <m/>
    <m/>
    <m/>
    <m/>
    <n v="25"/>
    <e v="#N/A"/>
    <n v="7"/>
    <n v="0"/>
    <m/>
    <n v="0"/>
    <m/>
    <n v="0"/>
    <m/>
    <n v="0"/>
    <m/>
    <n v="0"/>
    <m/>
    <n v="0"/>
    <m/>
    <n v="0"/>
    <s v="FLINTSL"/>
    <n v="27"/>
    <n v="0"/>
    <n v="65.352941176470594"/>
    <n v="0"/>
    <s v="MAGENTA"/>
    <s v="E00979M"/>
    <s v="FLINTSL - MAGENTA"/>
    <n v="30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8"/>
    <n v="0"/>
    <n v="18.117647058823529"/>
    <n v="0"/>
    <s v="YELLOW"/>
    <s v="E00979Y"/>
    <s v="FLINTSL - YELLOW"/>
    <n v="32"/>
    <n v="0"/>
    <m/>
    <m/>
    <n v="0"/>
    <n v="26507000019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9"/>
    <n v="0"/>
    <n v="19.117647058823529"/>
    <n v="0"/>
    <s v="WHITE"/>
    <s v="E00979W"/>
    <s v="FLINTSL - WHITE"/>
    <n v="24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4"/>
    <n v="0"/>
    <n v="140.9411764705882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5"/>
    <n v="15"/>
    <n v="5"/>
    <n v="5"/>
    <n v="40"/>
    <n v="0"/>
    <n v="0.8"/>
    <n v="0.2"/>
    <m/>
    <m/>
    <m/>
    <n v="0"/>
    <n v="172"/>
    <n v="0"/>
    <n v="0"/>
    <n v="172"/>
    <n v="172"/>
    <n v="137.6"/>
    <n v="0"/>
    <n v="34.4"/>
    <n v="0"/>
    <n v="0"/>
    <n v="0"/>
    <n v="0"/>
    <n v="0"/>
    <n v="0"/>
    <n v="0"/>
    <n v="0"/>
    <n v="0"/>
    <n v="0"/>
    <m/>
    <n v="152"/>
    <n v="304"/>
    <n v="47"/>
    <s v="FLINTSLFLINTSLFLINTSLFLINTSLFLINTSLFLINTSLFLINTSL"/>
    <s v="+"/>
    <s v="+"/>
    <s v="+"/>
    <s v="+"/>
    <s v="+"/>
    <s v="+"/>
    <s v="+"/>
    <s v="NIL"/>
    <b v="0"/>
  </r>
  <r>
    <d v="2026-01-07T00:00:00"/>
    <s v="A"/>
    <x v="83"/>
    <n v="48"/>
    <n v="504"/>
    <n v="25000"/>
    <s v="II"/>
    <s v="N"/>
    <n v="0.13"/>
    <s v="BLACK"/>
    <s v="N00700B"/>
    <s v="FLINTSL - BLACK"/>
    <n v="12"/>
    <n v="0"/>
    <s v="H01335B"/>
    <n v="5"/>
    <n v="0"/>
    <n v="26508000003"/>
    <s v="FMD"/>
    <n v="25863000007"/>
    <n v="26507000019"/>
    <n v="26506000006"/>
    <m/>
    <m/>
    <m/>
    <n v="6"/>
    <e v="#N/A"/>
    <n v="2"/>
    <n v="0"/>
    <n v="2"/>
    <e v="#N/A"/>
    <n v="2"/>
    <e v="#N/A"/>
    <n v="2"/>
    <e v="#N/A"/>
    <m/>
    <n v="0"/>
    <m/>
    <n v="0"/>
    <m/>
    <n v="0"/>
    <s v="FLINTSL"/>
    <n v="24"/>
    <n v="0"/>
    <n v="30"/>
    <n v="0"/>
    <s v="WHITE"/>
    <s v="C01458W"/>
    <s v="FLINTSL - WHITE"/>
    <n v="24"/>
    <n v="0"/>
    <m/>
    <m/>
    <n v="0"/>
    <s v="FW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25"/>
    <n v="0"/>
    <n v="3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8"/>
    <n v="8"/>
    <n v="0"/>
    <n v="0"/>
    <n v="0"/>
    <n v="0"/>
    <n v="0"/>
    <n v="0"/>
    <n v="0.8"/>
    <n v="0.2"/>
    <m/>
    <m/>
    <m/>
    <n v="0"/>
    <n v="46"/>
    <n v="0"/>
    <n v="0"/>
    <n v="46"/>
    <n v="46"/>
    <n v="36.800000000000004"/>
    <n v="0"/>
    <n v="9.2000000000000011"/>
    <n v="0"/>
    <n v="0"/>
    <n v="0"/>
    <n v="0"/>
    <n v="0"/>
    <n v="0"/>
    <n v="0"/>
    <n v="0"/>
    <n v="0"/>
    <n v="0"/>
    <m/>
    <n v="24"/>
    <n v="62"/>
    <n v="48"/>
    <s v="FLINTSLFLINTSL"/>
    <s v="+"/>
    <s v="+"/>
    <s v="NIL"/>
    <s v="NIL"/>
    <s v="NIL"/>
    <s v="NIL"/>
    <s v="NIL"/>
    <s v="NIL"/>
    <b v="0"/>
  </r>
  <r>
    <d v="2026-01-07T00:00:00"/>
    <s v="A"/>
    <x v="84"/>
    <n v="49"/>
    <n v="249"/>
    <n v="11000"/>
    <s v="II"/>
    <s v="N"/>
    <n v="1.7"/>
    <s v="BLACK"/>
    <s v="C01458B"/>
    <s v="FLINTSL - BLACK"/>
    <n v="27"/>
    <n v="0"/>
    <m/>
    <m/>
    <n v="0"/>
    <n v="26506000006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4"/>
    <n v="0"/>
    <n v="16.372881355932201"/>
    <n v="0"/>
    <s v="REFLEX BLUE"/>
    <s v="H01327RB"/>
    <s v="FLINTSL - REFLEX BLUE"/>
    <n v="10"/>
    <n v="0"/>
    <m/>
    <m/>
    <n v="0"/>
    <n v="26507000016"/>
    <s v="FMD"/>
    <n v="26507000018"/>
    <m/>
    <m/>
    <m/>
    <m/>
    <m/>
    <n v="6"/>
    <e v="#N/A"/>
    <n v="6"/>
    <n v="0"/>
    <n v="10"/>
    <e v="#N/A"/>
    <m/>
    <n v="0"/>
    <m/>
    <n v="0"/>
    <m/>
    <n v="0"/>
    <m/>
    <n v="0"/>
    <m/>
    <n v="0"/>
    <s v="FLINTSL"/>
    <n v="26"/>
    <n v="0"/>
    <n v="20.745762711864408"/>
    <n v="0"/>
    <s v="RED"/>
    <s v="C01458R"/>
    <s v="FLINTSL - RED"/>
    <n v="27"/>
    <n v="0"/>
    <m/>
    <m/>
    <n v="0"/>
    <n v="25863000007"/>
    <n v="26508000003"/>
    <m/>
    <m/>
    <m/>
    <m/>
    <m/>
    <m/>
    <n v="8"/>
    <e v="#N/A"/>
    <n v="6"/>
    <e v="#N/A"/>
    <m/>
    <n v="0"/>
    <m/>
    <n v="0"/>
    <m/>
    <n v="0"/>
    <m/>
    <n v="0"/>
    <m/>
    <n v="0"/>
    <m/>
    <n v="0"/>
    <s v="FLINTSL"/>
    <n v="26"/>
    <n v="0"/>
    <n v="23.847457627118644"/>
    <n v="0"/>
    <s v="CYAN"/>
    <s v="C01458C"/>
    <s v="FLINTSL - CYAN"/>
    <n v="27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5"/>
    <n v="0"/>
    <n v="15.372881355932201"/>
    <n v="0"/>
    <s v="MAGENTA"/>
    <s v="C01458M"/>
    <s v="FLINTSL - MAGENTA"/>
    <n v="28"/>
    <n v="0"/>
    <m/>
    <m/>
    <n v="0"/>
    <s v="FMD"/>
    <n v="26508000003"/>
    <m/>
    <m/>
    <m/>
    <m/>
    <m/>
    <m/>
    <n v="3"/>
    <n v="0"/>
    <n v="2"/>
    <e v="#N/A"/>
    <m/>
    <n v="0"/>
    <m/>
    <n v="0"/>
    <m/>
    <n v="0"/>
    <m/>
    <n v="0"/>
    <m/>
    <n v="0"/>
    <m/>
    <n v="0"/>
    <s v="FLINTSL"/>
    <n v="28"/>
    <n v="0"/>
    <n v="12.372881355932201"/>
    <n v="0"/>
    <s v="YELLOW"/>
    <s v="C01458Y"/>
    <s v="FLINTSL - YELLOW"/>
    <n v="29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4"/>
    <n v="0"/>
    <n v="18.372881355932201"/>
    <n v="0"/>
    <s v="YELLOW"/>
    <m/>
    <s v="FLINTSL - YELLOW"/>
    <m/>
    <n v="0"/>
    <m/>
    <m/>
    <n v="0"/>
    <n v="26507000019"/>
    <s v="FMD"/>
    <m/>
    <m/>
    <m/>
    <m/>
    <m/>
    <m/>
    <n v="30"/>
    <e v="#N/A"/>
    <n v="6"/>
    <n v="0"/>
    <m/>
    <n v="0"/>
    <m/>
    <n v="0"/>
    <m/>
    <n v="0"/>
    <m/>
    <n v="0"/>
    <m/>
    <n v="0"/>
    <m/>
    <n v="0"/>
    <s v="FLINTSL"/>
    <n v="23"/>
    <n v="0"/>
    <n v="24.79661016949153"/>
    <n v="0"/>
    <s v="WHITE"/>
    <s v="C01455W"/>
    <s v="FLINTSL - WHITE"/>
    <n v="25"/>
    <n v="0"/>
    <m/>
    <m/>
    <n v="0"/>
    <s v="FW"/>
    <m/>
    <m/>
    <m/>
    <m/>
    <m/>
    <m/>
    <m/>
    <n v="25"/>
    <n v="0"/>
    <m/>
    <n v="0"/>
    <m/>
    <n v="0"/>
    <m/>
    <n v="0"/>
    <m/>
    <n v="0"/>
    <m/>
    <n v="0"/>
    <m/>
    <n v="0"/>
    <m/>
    <n v="0"/>
    <s v="FLINTSL"/>
    <n v="30"/>
    <n v="0"/>
    <n v="42.118644067796609"/>
    <n v="0"/>
    <n v="5"/>
    <n v="10"/>
    <n v="6"/>
    <n v="5"/>
    <n v="5"/>
    <n v="5"/>
    <n v="8"/>
    <n v="15"/>
    <n v="0.8"/>
    <n v="0.2"/>
    <m/>
    <m/>
    <m/>
    <n v="0"/>
    <n v="87"/>
    <n v="0"/>
    <n v="0"/>
    <n v="87"/>
    <n v="87"/>
    <n v="69.600000000000009"/>
    <n v="0"/>
    <n v="17.400000000000002"/>
    <n v="0"/>
    <n v="0"/>
    <n v="0"/>
    <n v="0"/>
    <n v="0"/>
    <n v="0"/>
    <n v="0"/>
    <n v="0"/>
    <n v="0"/>
    <n v="0"/>
    <m/>
    <n v="120"/>
    <n v="174"/>
    <n v="49"/>
    <s v="FLINTSLFLINTSLFLINTSLFLINTSLFLINTSLFLINTSLFLINTSLFLINTSL"/>
    <s v="+"/>
    <s v="+"/>
    <s v="+"/>
    <s v="+"/>
    <s v="+"/>
    <s v="+"/>
    <s v="+"/>
    <s v="+"/>
    <b v="0"/>
  </r>
  <r>
    <d v="2026-01-07T00:00:00"/>
    <s v="B"/>
    <x v="85"/>
    <n v="50"/>
    <n v="930"/>
    <n v="53800"/>
    <s v="I"/>
    <s v="N"/>
    <n v="3.2"/>
    <s v="BLACK"/>
    <s v="C00965B"/>
    <s v="FLINTSL - BLACK"/>
    <n v="27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6"/>
    <n v="0"/>
    <n v="14.852017937219728"/>
    <n v="0"/>
    <s v="RED"/>
    <s v="C00965R"/>
    <s v="FLINTSL - RED"/>
    <n v="22"/>
    <n v="0"/>
    <m/>
    <m/>
    <n v="0"/>
    <n v="26501000001"/>
    <s v="TPT"/>
    <m/>
    <m/>
    <m/>
    <m/>
    <m/>
    <m/>
    <n v="5"/>
    <e v="#N/A"/>
    <n v="3"/>
    <n v="0"/>
    <m/>
    <n v="0"/>
    <m/>
    <n v="0"/>
    <m/>
    <n v="0"/>
    <m/>
    <n v="0"/>
    <m/>
    <n v="0"/>
    <m/>
    <n v="0"/>
    <s v="FLINTSL"/>
    <n v="24"/>
    <n v="0"/>
    <n v="14.139013452914796"/>
    <n v="0"/>
    <s v="GREEN"/>
    <m/>
    <s v="FLINTSL - GREEN"/>
    <m/>
    <n v="0"/>
    <m/>
    <m/>
    <n v="0"/>
    <n v="26507000012"/>
    <n v="26507000006"/>
    <n v="26507000011"/>
    <n v="26507000019"/>
    <n v="26501000004"/>
    <m/>
    <m/>
    <m/>
    <n v="35"/>
    <e v="#N/A"/>
    <n v="21.5"/>
    <e v="#N/A"/>
    <n v="20"/>
    <e v="#N/A"/>
    <n v="35"/>
    <e v="#N/A"/>
    <n v="10"/>
    <e v="#N/A"/>
    <m/>
    <n v="0"/>
    <m/>
    <n v="0"/>
    <m/>
    <n v="0"/>
    <s v="FLINTSL"/>
    <n v="15"/>
    <n v="0"/>
    <n v="160.76008968609864"/>
    <n v="0"/>
    <s v="CYAN"/>
    <m/>
    <s v="FLINTSL - CYAN"/>
    <m/>
    <n v="0"/>
    <m/>
    <m/>
    <n v="0"/>
    <n v="26507000018"/>
    <s v="FMD"/>
    <m/>
    <m/>
    <m/>
    <m/>
    <m/>
    <m/>
    <n v="10"/>
    <e v="#N/A"/>
    <n v="10"/>
    <n v="0"/>
    <m/>
    <n v="0"/>
    <m/>
    <n v="0"/>
    <m/>
    <n v="0"/>
    <m/>
    <n v="0"/>
    <m/>
    <n v="0"/>
    <m/>
    <n v="0"/>
    <s v="FLINTSL"/>
    <n v="27"/>
    <n v="0"/>
    <n v="33.695067264573993"/>
    <n v="0"/>
    <s v="MAGENTA"/>
    <m/>
    <s v="FLINTSL - MAGENTA"/>
    <m/>
    <n v="0"/>
    <m/>
    <m/>
    <n v="0"/>
    <n v="26508000003"/>
    <s v="FMD"/>
    <m/>
    <m/>
    <m/>
    <m/>
    <m/>
    <m/>
    <n v="12"/>
    <e v="#N/A"/>
    <n v="8"/>
    <n v="0"/>
    <m/>
    <n v="0"/>
    <m/>
    <n v="0"/>
    <m/>
    <n v="0"/>
    <m/>
    <n v="0"/>
    <m/>
    <n v="0"/>
    <m/>
    <n v="0"/>
    <s v="FLINTSL"/>
    <n v="25"/>
    <n v="0"/>
    <n v="38.408071748878925"/>
    <n v="0"/>
    <s v="YELLOW"/>
    <m/>
    <s v="FLINTSL - YELLOW"/>
    <m/>
    <n v="0"/>
    <m/>
    <m/>
    <n v="0"/>
    <n v="26507000019"/>
    <s v="FMD"/>
    <m/>
    <m/>
    <m/>
    <m/>
    <m/>
    <m/>
    <n v="10"/>
    <e v="#N/A"/>
    <n v="5"/>
    <n v="0"/>
    <m/>
    <n v="0"/>
    <m/>
    <n v="0"/>
    <m/>
    <n v="0"/>
    <m/>
    <n v="0"/>
    <m/>
    <n v="0"/>
    <m/>
    <n v="0"/>
    <s v="FLINTSL"/>
    <n v="20"/>
    <n v="0"/>
    <n v="35.695067264573993"/>
    <n v="0"/>
    <s v="WHITE"/>
    <s v="C00965W"/>
    <s v="FLINTSL - WHITE"/>
    <n v="25"/>
    <n v="0"/>
    <m/>
    <m/>
    <n v="0"/>
    <s v="FW"/>
    <m/>
    <m/>
    <m/>
    <m/>
    <m/>
    <m/>
    <m/>
    <n v="200"/>
    <n v="0"/>
    <m/>
    <n v="0"/>
    <m/>
    <n v="0"/>
    <m/>
    <n v="0"/>
    <m/>
    <n v="0"/>
    <m/>
    <n v="0"/>
    <m/>
    <n v="0"/>
    <m/>
    <n v="0"/>
    <s v="FLINTSL"/>
    <n v="25"/>
    <n v="0"/>
    <n v="525.56053811659194"/>
    <n v="0"/>
    <s v="MATT"/>
    <s v="C00965M"/>
    <s v="ToyoLi - MATT"/>
    <n v="20"/>
    <n v="0"/>
    <m/>
    <m/>
    <n v="0"/>
    <n v="55"/>
    <s v="NWBBK"/>
    <m/>
    <m/>
    <m/>
    <m/>
    <m/>
    <m/>
    <n v="220"/>
    <n v="0"/>
    <n v="55"/>
    <n v="0"/>
    <m/>
    <n v="0"/>
    <m/>
    <n v="0"/>
    <m/>
    <n v="0"/>
    <m/>
    <n v="0"/>
    <m/>
    <n v="0"/>
    <m/>
    <n v="0"/>
    <s v="ToyoLi"/>
    <n v="20"/>
    <n v="0"/>
    <n v="356.39013452914799"/>
    <n v="0"/>
    <n v="4"/>
    <n v="3"/>
    <n v="20"/>
    <n v="15"/>
    <n v="16"/>
    <n v="15"/>
    <n v="120"/>
    <n v="30"/>
    <n v="0.8"/>
    <n v="0.2"/>
    <m/>
    <m/>
    <m/>
    <n v="0"/>
    <n v="605"/>
    <n v="0"/>
    <n v="0"/>
    <n v="605"/>
    <n v="605"/>
    <n v="484"/>
    <n v="0"/>
    <n v="121"/>
    <n v="0"/>
    <n v="0"/>
    <n v="0"/>
    <n v="0"/>
    <n v="0"/>
    <n v="0"/>
    <n v="0"/>
    <n v="0"/>
    <n v="0"/>
    <n v="0"/>
    <m/>
    <n v="662.5"/>
    <n v="1179.5"/>
    <n v="50"/>
    <s v="FLINTSLFLINTSLFLINTSLFLINTSLFLINTSLFLINTSLFLINTSLToyoLi"/>
    <s v="+"/>
    <s v="+"/>
    <s v="+"/>
    <s v="+"/>
    <s v="+"/>
    <s v="+"/>
    <s v="+"/>
    <s v="+"/>
    <b v="0"/>
  </r>
  <r>
    <d v="2026-01-07T00:00:00"/>
    <s v="B"/>
    <x v="86"/>
    <n v="51"/>
    <n v="304"/>
    <n v="18000"/>
    <s v="I"/>
    <s v="N"/>
    <n v="3.3"/>
    <s v="BLACK"/>
    <s v="H01352B"/>
    <s v="FLINTSL - BLACK"/>
    <n v="26"/>
    <n v="0"/>
    <m/>
    <m/>
    <n v="0"/>
    <n v="26506000006"/>
    <m/>
    <m/>
    <m/>
    <m/>
    <m/>
    <m/>
    <m/>
    <n v="7"/>
    <e v="#N/A"/>
    <m/>
    <n v="0"/>
    <m/>
    <n v="0"/>
    <m/>
    <n v="0"/>
    <m/>
    <n v="0"/>
    <m/>
    <n v="0"/>
    <m/>
    <n v="0"/>
    <m/>
    <n v="0"/>
    <s v="FLINTSL"/>
    <n v="30"/>
    <n v="0"/>
    <n v="12.428571428571431"/>
    <n v="0"/>
    <s v="BLACK"/>
    <m/>
    <s v="FLINTSL - BLACK"/>
    <m/>
    <n v="0"/>
    <m/>
    <m/>
    <n v="0"/>
    <s v="FMD"/>
    <n v="26506000007"/>
    <m/>
    <m/>
    <m/>
    <m/>
    <m/>
    <m/>
    <n v="25"/>
    <n v="0"/>
    <n v="5"/>
    <e v="#N/A"/>
    <m/>
    <n v="0"/>
    <m/>
    <n v="0"/>
    <m/>
    <n v="0"/>
    <m/>
    <n v="0"/>
    <m/>
    <n v="0"/>
    <m/>
    <n v="0"/>
    <s v="FLINTSL"/>
    <n v="26"/>
    <n v="0"/>
    <n v="27.571428571428569"/>
    <n v="0"/>
    <s v="CYAN"/>
    <s v="H01352C"/>
    <s v="FLINTSL - CYAN"/>
    <n v="27"/>
    <n v="0"/>
    <m/>
    <m/>
    <n v="0"/>
    <n v="26507000018"/>
    <s v="FMD"/>
    <n v="26501000001"/>
    <m/>
    <m/>
    <m/>
    <m/>
    <m/>
    <n v="12"/>
    <e v="#N/A"/>
    <n v="25"/>
    <n v="0"/>
    <n v="0.5"/>
    <e v="#N/A"/>
    <m/>
    <n v="0"/>
    <m/>
    <n v="0"/>
    <m/>
    <n v="0"/>
    <m/>
    <n v="0"/>
    <m/>
    <n v="0"/>
    <s v="FLINTSL"/>
    <n v="28"/>
    <n v="0"/>
    <n v="67.142857142857139"/>
    <n v="0"/>
    <s v="MAGENTA"/>
    <s v="H01352M"/>
    <s v="FLINTSL - MAGENTA"/>
    <n v="25"/>
    <n v="0"/>
    <m/>
    <m/>
    <n v="0"/>
    <n v="26508000003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35"/>
    <n v="0"/>
    <n v="16.5"/>
    <n v="0"/>
    <s v="YELLOW"/>
    <s v="H01352U"/>
    <s v="FLINTSL - YELLOW"/>
    <n v="20"/>
    <n v="0"/>
    <m/>
    <m/>
    <n v="0"/>
    <n v="26507000019"/>
    <s v="FMD"/>
    <m/>
    <m/>
    <m/>
    <m/>
    <m/>
    <m/>
    <n v="10"/>
    <e v="#N/A"/>
    <n v="5"/>
    <n v="0"/>
    <m/>
    <n v="0"/>
    <m/>
    <n v="0"/>
    <m/>
    <n v="0"/>
    <m/>
    <n v="0"/>
    <m/>
    <n v="0"/>
    <m/>
    <n v="0"/>
    <s v="FLINTSL"/>
    <n v="28"/>
    <n v="0"/>
    <n v="18.785714285714285"/>
    <n v="0"/>
    <s v="WHITE"/>
    <s v="H01352W"/>
    <s v="FLINTSL - WHITE"/>
    <n v="25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125.71428571428572"/>
    <n v="0"/>
    <s v="MATT"/>
    <s v="H01352M"/>
    <s v="ToyoLi - MATT"/>
    <n v="20"/>
    <n v="0"/>
    <m/>
    <m/>
    <n v="0"/>
    <n v="55"/>
    <s v="NWBBK"/>
    <m/>
    <m/>
    <m/>
    <m/>
    <m/>
    <m/>
    <n v="60"/>
    <n v="0"/>
    <n v="10"/>
    <n v="0"/>
    <m/>
    <n v="0"/>
    <m/>
    <n v="0"/>
    <m/>
    <n v="0"/>
    <m/>
    <n v="0"/>
    <m/>
    <n v="0"/>
    <m/>
    <n v="0"/>
    <s v="ToyoLi"/>
    <n v="20"/>
    <n v="0"/>
    <n v="105.3571428571428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10"/>
    <n v="13"/>
    <n v="7"/>
    <n v="5"/>
    <n v="30"/>
    <n v="15"/>
    <n v="0"/>
    <n v="0.8"/>
    <n v="0.2"/>
    <m/>
    <m/>
    <m/>
    <n v="0"/>
    <n v="198"/>
    <n v="0"/>
    <n v="0"/>
    <n v="198"/>
    <n v="198"/>
    <n v="158.4"/>
    <n v="0"/>
    <n v="39.6"/>
    <n v="0"/>
    <n v="0"/>
    <n v="0"/>
    <n v="0"/>
    <n v="0"/>
    <n v="0"/>
    <n v="0"/>
    <n v="0"/>
    <n v="0"/>
    <n v="0"/>
    <m/>
    <n v="229.5"/>
    <n v="373.5"/>
    <n v="51"/>
    <s v="FLINTSLFLINTSLFLINTSLFLINTSLFLINTSLFLINTSLToyoLi"/>
    <s v="+"/>
    <s v="+"/>
    <s v="+"/>
    <s v="+"/>
    <s v="+"/>
    <s v="+"/>
    <s v="+"/>
    <s v="NIL"/>
    <b v="0"/>
  </r>
  <r>
    <d v="2026-01-08T00:00:00"/>
    <s v="A"/>
    <x v="87"/>
    <n v="52"/>
    <n v="398"/>
    <n v="17200"/>
    <s v="II"/>
    <s v="N"/>
    <n v="1.72"/>
    <s v="BLACK"/>
    <s v="C01459B"/>
    <s v="FLINTSL - BLACK"/>
    <n v="24"/>
    <n v="0"/>
    <m/>
    <m/>
    <n v="0"/>
    <n v="26506000007"/>
    <m/>
    <m/>
    <m/>
    <m/>
    <m/>
    <m/>
    <m/>
    <n v="12"/>
    <e v="#N/A"/>
    <m/>
    <n v="0"/>
    <m/>
    <n v="0"/>
    <m/>
    <n v="0"/>
    <m/>
    <n v="0"/>
    <m/>
    <n v="0"/>
    <m/>
    <n v="0"/>
    <m/>
    <n v="0"/>
    <s v="FLINTSL"/>
    <n v="23"/>
    <n v="0"/>
    <n v="21.019230769230774"/>
    <n v="0"/>
    <s v="RED"/>
    <m/>
    <s v="FLINTSL - RED"/>
    <m/>
    <n v="0"/>
    <m/>
    <m/>
    <n v="0"/>
    <n v="25863000007"/>
    <n v="26508000003"/>
    <n v="26501000001"/>
    <m/>
    <m/>
    <m/>
    <m/>
    <m/>
    <n v="7"/>
    <e v="#N/A"/>
    <n v="8"/>
    <e v="#N/A"/>
    <n v="5"/>
    <e v="#N/A"/>
    <m/>
    <n v="0"/>
    <m/>
    <n v="0"/>
    <m/>
    <n v="0"/>
    <m/>
    <n v="0"/>
    <m/>
    <n v="0"/>
    <s v="FLINTSL"/>
    <n v="20"/>
    <n v="0"/>
    <n v="26.730769230769234"/>
    <n v="0"/>
    <s v="CYAN"/>
    <s v="C01459C"/>
    <s v="FLINTSL - CYAN"/>
    <n v="25"/>
    <n v="0"/>
    <m/>
    <m/>
    <n v="0"/>
    <n v="26507000018"/>
    <m/>
    <m/>
    <m/>
    <m/>
    <m/>
    <m/>
    <m/>
    <n v="14"/>
    <e v="#N/A"/>
    <m/>
    <n v="0"/>
    <m/>
    <n v="0"/>
    <m/>
    <n v="0"/>
    <m/>
    <n v="0"/>
    <m/>
    <n v="0"/>
    <m/>
    <n v="0"/>
    <m/>
    <n v="0"/>
    <s v="FLINTSL"/>
    <n v="26"/>
    <n v="0"/>
    <n v="26.365384615384613"/>
    <n v="0"/>
    <s v="MAGENTA"/>
    <s v="C01459M"/>
    <s v="FLINTSL - MAGENTA"/>
    <n v="28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4"/>
    <n v="0"/>
    <n v="13.346153846153847"/>
    <n v="0"/>
    <s v="YELLOW"/>
    <s v="C01459Y"/>
    <s v="FLINTSL - YELLOW"/>
    <n v="24"/>
    <n v="0"/>
    <m/>
    <m/>
    <n v="0"/>
    <n v="26507000019"/>
    <m/>
    <m/>
    <m/>
    <m/>
    <m/>
    <m/>
    <m/>
    <n v="15"/>
    <e v="#N/A"/>
    <m/>
    <n v="0"/>
    <m/>
    <n v="0"/>
    <m/>
    <n v="0"/>
    <m/>
    <n v="0"/>
    <m/>
    <n v="0"/>
    <m/>
    <n v="0"/>
    <m/>
    <n v="0"/>
    <s v="FLINTSL"/>
    <n v="27"/>
    <n v="0"/>
    <n v="25.365384615384613"/>
    <n v="0"/>
    <s v="GOLD"/>
    <s v="N00871G"/>
    <s v="FLINTSL - GOLD"/>
    <n v="26"/>
    <n v="0"/>
    <m/>
    <m/>
    <n v="0"/>
    <n v="26507000019"/>
    <m/>
    <m/>
    <m/>
    <m/>
    <m/>
    <m/>
    <m/>
    <n v="12"/>
    <e v="#N/A"/>
    <m/>
    <n v="0"/>
    <m/>
    <n v="0"/>
    <m/>
    <n v="0"/>
    <m/>
    <n v="0"/>
    <m/>
    <n v="0"/>
    <m/>
    <n v="0"/>
    <m/>
    <n v="0"/>
    <s v="FLINTSL"/>
    <n v="25"/>
    <n v="0"/>
    <n v="18.346153846153847"/>
    <n v="0"/>
    <s v="WHITE"/>
    <s v="C01459W"/>
    <s v="FLINTSL - WHITE"/>
    <n v="30"/>
    <n v="0"/>
    <m/>
    <m/>
    <n v="0"/>
    <s v="FW"/>
    <m/>
    <m/>
    <m/>
    <m/>
    <m/>
    <m/>
    <m/>
    <n v="70"/>
    <n v="0"/>
    <m/>
    <n v="0"/>
    <m/>
    <n v="0"/>
    <m/>
    <n v="0"/>
    <m/>
    <n v="0"/>
    <m/>
    <n v="0"/>
    <m/>
    <n v="0"/>
    <m/>
    <n v="0"/>
    <s v="FLINTSL"/>
    <n v="29"/>
    <n v="0"/>
    <n v="137.8269230769230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10"/>
    <n v="5"/>
    <n v="2"/>
    <n v="5"/>
    <n v="2"/>
    <n v="25"/>
    <n v="0"/>
    <n v="0.8"/>
    <n v="0.2"/>
    <m/>
    <m/>
    <m/>
    <n v="0"/>
    <n v="139"/>
    <n v="0"/>
    <n v="0"/>
    <n v="139"/>
    <n v="139"/>
    <n v="111.2"/>
    <n v="0"/>
    <n v="27.8"/>
    <n v="0"/>
    <n v="0"/>
    <n v="0"/>
    <n v="0"/>
    <n v="0"/>
    <n v="0"/>
    <n v="0"/>
    <n v="0"/>
    <n v="0"/>
    <n v="0"/>
    <m/>
    <n v="147"/>
    <n v="269"/>
    <n v="52"/>
    <s v="FLINTSLFLINTSLFLINTSLFLINTSLFLINTSLFLINTSLFLINTSL"/>
    <s v="+"/>
    <s v="+"/>
    <s v="+"/>
    <s v="+"/>
    <s v="+"/>
    <s v="+"/>
    <s v="+"/>
    <s v="NIL"/>
    <b v="0"/>
  </r>
  <r>
    <d v="2026-01-08T00:00:00"/>
    <s v="A"/>
    <x v="88"/>
    <n v="53"/>
    <n v="931"/>
    <n v="52300"/>
    <s v="II"/>
    <s v="N"/>
    <n v="2.02"/>
    <s v="BLACK"/>
    <s v="C01330B"/>
    <s v="FLINTSL - BLACK"/>
    <n v="23"/>
    <n v="0"/>
    <m/>
    <m/>
    <n v="0"/>
    <n v="26506000007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7"/>
    <n v="0"/>
    <n v="24.418079096045197"/>
    <n v="0"/>
    <s v="REFLEX BLUE"/>
    <s v="C01459B"/>
    <s v="FLINTSL - REFLEX BLUE"/>
    <n v="26"/>
    <n v="0"/>
    <m/>
    <m/>
    <n v="0"/>
    <n v="26508000011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3"/>
    <n v="0"/>
    <n v="7.683615819209038"/>
    <n v="0"/>
    <s v="GREEN"/>
    <s v="C01417G"/>
    <s v="FLINTSL - GREEN"/>
    <n v="7"/>
    <n v="0"/>
    <s v="H01352G"/>
    <n v="15"/>
    <n v="0"/>
    <n v="26508000024"/>
    <n v="26501000001"/>
    <m/>
    <m/>
    <m/>
    <m/>
    <m/>
    <m/>
    <n v="2"/>
    <e v="#N/A"/>
    <n v="2"/>
    <e v="#N/A"/>
    <m/>
    <n v="0"/>
    <m/>
    <n v="0"/>
    <m/>
    <n v="0"/>
    <m/>
    <n v="0"/>
    <m/>
    <n v="0"/>
    <m/>
    <n v="0"/>
    <s v="FLINTSL"/>
    <n v="24"/>
    <n v="0"/>
    <n v="11.209039548022602"/>
    <n v="0"/>
    <s v="RED"/>
    <s v="C01330R"/>
    <s v="FLINTSL - RED"/>
    <n v="20"/>
    <n v="0"/>
    <m/>
    <m/>
    <n v="0"/>
    <n v="25863000007"/>
    <n v="26508000011"/>
    <n v="26501000001"/>
    <m/>
    <m/>
    <m/>
    <m/>
    <m/>
    <n v="7"/>
    <e v="#N/A"/>
    <n v="2"/>
    <e v="#N/A"/>
    <n v="6"/>
    <e v="#N/A"/>
    <m/>
    <n v="0"/>
    <m/>
    <n v="0"/>
    <m/>
    <n v="0"/>
    <m/>
    <n v="0"/>
    <m/>
    <n v="0"/>
    <s v="FLINTSL"/>
    <n v="24"/>
    <n v="0"/>
    <n v="29.418079096045197"/>
    <n v="0"/>
    <s v="CYAN"/>
    <s v="C01330C"/>
    <s v="FLINTSL - CYAN"/>
    <n v="26"/>
    <n v="0"/>
    <s v="H01366C"/>
    <n v="13"/>
    <n v="0"/>
    <n v="26507000018"/>
    <m/>
    <m/>
    <m/>
    <m/>
    <m/>
    <m/>
    <m/>
    <n v="7"/>
    <e v="#N/A"/>
    <m/>
    <n v="0"/>
    <m/>
    <n v="0"/>
    <m/>
    <n v="0"/>
    <m/>
    <n v="0"/>
    <m/>
    <n v="0"/>
    <m/>
    <n v="0"/>
    <m/>
    <n v="0"/>
    <s v="FLINTSL"/>
    <n v="25"/>
    <n v="0"/>
    <n v="30.209039548022602"/>
    <n v="0"/>
    <s v="MAGENTA"/>
    <s v="C01330M"/>
    <s v="FLINTSL - MAGENTA"/>
    <n v="24"/>
    <n v="0"/>
    <s v="H01366M"/>
    <n v="15"/>
    <n v="0"/>
    <n v="26508000011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8"/>
    <n v="0"/>
    <n v="23.209039548022602"/>
    <n v="0"/>
    <s v="YELLOW"/>
    <s v="C01330Y"/>
    <s v="FLINTSL - YELLOW"/>
    <n v="27"/>
    <n v="0"/>
    <m/>
    <m/>
    <n v="0"/>
    <n v="26508000009"/>
    <n v="26508000012"/>
    <s v="TPT"/>
    <s v="FMD"/>
    <n v="26508000013"/>
    <m/>
    <m/>
    <m/>
    <n v="30"/>
    <e v="#N/A"/>
    <n v="40"/>
    <e v="#N/A"/>
    <n v="20"/>
    <n v="0"/>
    <n v="15"/>
    <n v="0"/>
    <n v="100"/>
    <e v="#N/A"/>
    <m/>
    <n v="0"/>
    <m/>
    <n v="0"/>
    <m/>
    <n v="0"/>
    <s v="FLINTSL"/>
    <n v="25"/>
    <n v="0"/>
    <n v="243.83615819209041"/>
    <n v="0"/>
    <s v="WHITE"/>
    <s v="C01330W"/>
    <s v="FLINTSL - WHITE"/>
    <n v="29"/>
    <n v="0"/>
    <m/>
    <m/>
    <n v="0"/>
    <s v="FW"/>
    <m/>
    <m/>
    <m/>
    <m/>
    <m/>
    <m/>
    <m/>
    <n v="200"/>
    <n v="0"/>
    <m/>
    <n v="0"/>
    <m/>
    <n v="0"/>
    <m/>
    <n v="0"/>
    <m/>
    <n v="0"/>
    <m/>
    <n v="0"/>
    <m/>
    <n v="0"/>
    <m/>
    <n v="0"/>
    <s v="FLINTSL"/>
    <n v="30"/>
    <n v="0"/>
    <n v="420.01694915254234"/>
    <n v="0"/>
    <n v="10"/>
    <n v="2"/>
    <n v="5"/>
    <n v="10"/>
    <n v="5"/>
    <n v="5"/>
    <n v="20"/>
    <n v="120"/>
    <n v="0.8"/>
    <n v="0.2"/>
    <m/>
    <m/>
    <m/>
    <n v="0"/>
    <n v="326"/>
    <n v="0"/>
    <n v="0"/>
    <n v="326"/>
    <n v="326"/>
    <n v="260.8"/>
    <n v="0"/>
    <n v="65.2"/>
    <n v="0"/>
    <n v="0"/>
    <n v="0"/>
    <n v="0"/>
    <n v="0"/>
    <n v="0"/>
    <n v="0"/>
    <n v="0"/>
    <n v="0"/>
    <n v="0"/>
    <m/>
    <n v="445"/>
    <n v="790"/>
    <n v="53"/>
    <s v="FLINTSLFLINTSLFLINTSLFLINTSLFLINTSLFLINTSLFLINTSLFLINTSL"/>
    <s v="+"/>
    <s v="+"/>
    <s v="+"/>
    <s v="+"/>
    <s v="+"/>
    <s v="+"/>
    <s v="+"/>
    <s v="+"/>
    <b v="0"/>
  </r>
  <r>
    <d v="2026-01-08T00:00:00"/>
    <s v="A"/>
    <x v="89"/>
    <n v="54"/>
    <n v="729"/>
    <n v="44600"/>
    <s v="II"/>
    <s v="N"/>
    <n v="1.7"/>
    <s v="BLACK"/>
    <s v="N00809B"/>
    <s v="FLINTSL - BLACK"/>
    <n v="27"/>
    <n v="0"/>
    <m/>
    <m/>
    <n v="0"/>
    <n v="26507000010"/>
    <m/>
    <m/>
    <m/>
    <m/>
    <m/>
    <m/>
    <m/>
    <n v="12"/>
    <e v="#N/A"/>
    <m/>
    <n v="0"/>
    <m/>
    <n v="0"/>
    <m/>
    <n v="0"/>
    <m/>
    <n v="0"/>
    <m/>
    <n v="0"/>
    <m/>
    <n v="0"/>
    <m/>
    <n v="0"/>
    <s v="FLINTSL"/>
    <n v="28"/>
    <n v="0"/>
    <n v="14.591549295774648"/>
    <n v="0"/>
    <s v="RED"/>
    <s v="C00965R"/>
    <s v="FLINTSL - RED"/>
    <n v="23"/>
    <n v="0"/>
    <s v="C01455R"/>
    <n v="14"/>
    <n v="0"/>
    <n v="25863000007"/>
    <s v="FMD"/>
    <m/>
    <m/>
    <m/>
    <m/>
    <m/>
    <m/>
    <n v="5"/>
    <e v="#N/A"/>
    <n v="7"/>
    <n v="0"/>
    <m/>
    <n v="0"/>
    <m/>
    <n v="0"/>
    <m/>
    <n v="0"/>
    <m/>
    <n v="0"/>
    <m/>
    <n v="0"/>
    <m/>
    <n v="0"/>
    <s v="FLINTSL"/>
    <n v="40"/>
    <n v="0"/>
    <n v="35.936619718309856"/>
    <n v="0"/>
    <s v="CYAN"/>
    <s v="N00809C"/>
    <s v="FLINTSL - CYAN"/>
    <n v="25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30"/>
    <n v="0"/>
    <n v="12.570422535211264"/>
    <n v="0"/>
    <s v="MAGENTA"/>
    <s v="N00809M"/>
    <s v="FLINTSL - MAGENTA"/>
    <n v="28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30"/>
    <n v="0"/>
    <n v="11.978873239436624"/>
    <n v="0"/>
    <s v="YELLOW"/>
    <s v="N00809Y"/>
    <s v="FLINTSL - YELLOW"/>
    <n v="25"/>
    <n v="0"/>
    <m/>
    <m/>
    <n v="0"/>
    <s v="FMD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29"/>
    <n v="0"/>
    <n v="23.95774647887324"/>
    <n v="0"/>
    <s v="GOLD"/>
    <s v="E00985G"/>
    <s v="FLINTSL - GOLD"/>
    <n v="30"/>
    <n v="0"/>
    <m/>
    <m/>
    <n v="0"/>
    <s v="FSI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31"/>
    <n v="0"/>
    <n v="8.3873239436619684"/>
    <n v="0"/>
    <s v="YELLOW"/>
    <m/>
    <s v="FLINTSL - YELLOW"/>
    <m/>
    <n v="0"/>
    <m/>
    <m/>
    <n v="0"/>
    <n v="26508000015"/>
    <n v="26508000014"/>
    <n v="26508000024"/>
    <n v="26508000016"/>
    <n v="26508000017"/>
    <m/>
    <m/>
    <m/>
    <n v="20"/>
    <e v="#N/A"/>
    <n v="20"/>
    <e v="#N/A"/>
    <n v="5"/>
    <e v="#N/A"/>
    <n v="40"/>
    <e v="#N/A"/>
    <n v="40"/>
    <e v="#N/A"/>
    <m/>
    <n v="0"/>
    <m/>
    <n v="0"/>
    <m/>
    <n v="0"/>
    <s v="FLINTSL"/>
    <n v="24"/>
    <n v="0"/>
    <n v="118.95774647887325"/>
    <n v="0"/>
    <s v="WHITE"/>
    <s v="N00809W"/>
    <s v="FLINTSL - WHITE"/>
    <n v="30"/>
    <n v="0"/>
    <m/>
    <m/>
    <n v="0"/>
    <s v="FW"/>
    <m/>
    <m/>
    <m/>
    <m/>
    <m/>
    <m/>
    <m/>
    <n v="160"/>
    <n v="0"/>
    <m/>
    <n v="0"/>
    <m/>
    <n v="0"/>
    <m/>
    <n v="0"/>
    <m/>
    <n v="0"/>
    <m/>
    <n v="0"/>
    <m/>
    <n v="0"/>
    <m/>
    <n v="0"/>
    <s v="FLINTSL"/>
    <n v="30"/>
    <n v="0"/>
    <n v="321.61971830985919"/>
    <n v="0"/>
    <n v="2"/>
    <n v="15"/>
    <n v="7"/>
    <n v="5"/>
    <n v="10"/>
    <n v="3"/>
    <n v="10"/>
    <n v="90"/>
    <n v="0.8"/>
    <n v="0.2"/>
    <m/>
    <m/>
    <m/>
    <n v="0"/>
    <n v="255"/>
    <n v="0"/>
    <n v="0"/>
    <n v="255"/>
    <n v="255"/>
    <n v="204"/>
    <n v="0"/>
    <n v="51"/>
    <n v="0"/>
    <n v="0"/>
    <n v="0"/>
    <n v="0"/>
    <n v="0"/>
    <n v="0"/>
    <n v="0"/>
    <n v="0"/>
    <n v="0"/>
    <n v="0"/>
    <m/>
    <n v="333"/>
    <n v="548"/>
    <n v="54"/>
    <s v="FLINTSLFLINTSLFLINTSLFLINTSLFLINTSLFLINTSLFLINTSLFLINTSL"/>
    <s v="+"/>
    <s v="+"/>
    <s v="+"/>
    <s v="+"/>
    <s v="+"/>
    <s v="+"/>
    <s v="+"/>
    <s v="+"/>
    <b v="0"/>
  </r>
  <r>
    <d v="2026-01-08T00:00:00"/>
    <s v="B"/>
    <x v="90"/>
    <n v="55"/>
    <n v="416"/>
    <n v="24300"/>
    <s v="II"/>
    <s v="N"/>
    <n v="0.5"/>
    <s v="BLACK"/>
    <s v="N00876B"/>
    <s v="ToyoLi - BLACK"/>
    <n v="40"/>
    <n v="0"/>
    <m/>
    <m/>
    <n v="0"/>
    <s v="R92"/>
    <s v="HSLAS"/>
    <m/>
    <m/>
    <m/>
    <m/>
    <m/>
    <m/>
    <n v="40"/>
    <n v="0"/>
    <n v="1.8"/>
    <n v="0"/>
    <m/>
    <n v="0"/>
    <m/>
    <n v="0"/>
    <m/>
    <n v="0"/>
    <m/>
    <n v="0"/>
    <m/>
    <n v="0"/>
    <m/>
    <n v="0"/>
    <s v="ToyoLi"/>
    <n v="25"/>
    <n v="0"/>
    <n v="80.514285714285705"/>
    <n v="0"/>
    <s v="YELLOW"/>
    <m/>
    <s v="FLINTSL - YELLOW"/>
    <m/>
    <n v="0"/>
    <m/>
    <m/>
    <n v="0"/>
    <n v="26508000024"/>
    <n v="25863000007"/>
    <m/>
    <m/>
    <m/>
    <m/>
    <m/>
    <m/>
    <n v="25"/>
    <e v="#N/A"/>
    <n v="3"/>
    <e v="#N/A"/>
    <m/>
    <n v="0"/>
    <m/>
    <n v="0"/>
    <m/>
    <n v="0"/>
    <m/>
    <n v="0"/>
    <m/>
    <n v="0"/>
    <m/>
    <n v="0"/>
    <s v="FLINTSL"/>
    <n v="30"/>
    <n v="0"/>
    <n v="21.714285714285708"/>
    <n v="0"/>
    <s v="GOLD"/>
    <s v="P00432G"/>
    <s v="FLINTSL - GOLD"/>
    <n v="31"/>
    <n v="0"/>
    <m/>
    <m/>
    <n v="0"/>
    <s v="FGO"/>
    <n v="26506000007"/>
    <m/>
    <m/>
    <m/>
    <m/>
    <m/>
    <m/>
    <n v="3"/>
    <n v="0"/>
    <n v="0.3"/>
    <e v="#N/A"/>
    <m/>
    <n v="0"/>
    <m/>
    <n v="0"/>
    <m/>
    <n v="0"/>
    <m/>
    <n v="0"/>
    <m/>
    <n v="0"/>
    <m/>
    <n v="0"/>
    <s v="FLINTSL"/>
    <n v="34"/>
    <n v="0"/>
    <n v="5.0428571428571374"/>
    <n v="0"/>
    <s v="RED"/>
    <s v="H01221R"/>
    <s v="FLINTSL - RED"/>
    <n v="20"/>
    <n v="0"/>
    <m/>
    <m/>
    <n v="0"/>
    <n v="26508000011"/>
    <n v="25863000007"/>
    <m/>
    <m/>
    <m/>
    <m/>
    <m/>
    <m/>
    <n v="5"/>
    <e v="#N/A"/>
    <n v="3"/>
    <e v="#N/A"/>
    <m/>
    <n v="0"/>
    <m/>
    <n v="0"/>
    <m/>
    <n v="0"/>
    <m/>
    <n v="0"/>
    <m/>
    <n v="0"/>
    <m/>
    <n v="0"/>
    <s v="FLINTSL"/>
    <n v="32"/>
    <n v="0"/>
    <n v="7.8571428571428541"/>
    <n v="0"/>
    <s v="CYAN"/>
    <s v="P00432C"/>
    <s v="FLINTSL - CYAN"/>
    <n v="30"/>
    <n v="0"/>
    <m/>
    <m/>
    <n v="0"/>
    <n v="26507000018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1"/>
    <n v="0"/>
    <n v="10.114285714285714"/>
    <n v="0"/>
    <s v="MAGENTA"/>
    <s v="P00432M"/>
    <s v="FLINTSL - MAGENTA"/>
    <n v="30"/>
    <n v="0"/>
    <m/>
    <m/>
    <n v="0"/>
    <n v="26508000011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30"/>
    <n v="0"/>
    <n v="7.7428571428571402"/>
    <n v="0"/>
    <s v="YELLOW"/>
    <s v="P00432Y"/>
    <s v="FLINTSL - YELLOW"/>
    <n v="29"/>
    <n v="0"/>
    <m/>
    <m/>
    <n v="0"/>
    <n v="26508000024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11.11428571428571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10"/>
    <n v="2"/>
    <n v="5"/>
    <n v="3"/>
    <n v="2"/>
    <n v="3"/>
    <n v="0"/>
    <n v="0.8"/>
    <n v="0.2"/>
    <m/>
    <m/>
    <m/>
    <n v="0"/>
    <n v="83"/>
    <n v="0"/>
    <n v="0"/>
    <n v="83"/>
    <n v="83"/>
    <n v="66.400000000000006"/>
    <n v="0"/>
    <n v="16.600000000000001"/>
    <n v="0"/>
    <n v="0"/>
    <n v="0"/>
    <n v="0"/>
    <n v="0"/>
    <n v="0"/>
    <n v="0"/>
    <n v="0"/>
    <n v="0"/>
    <n v="0"/>
    <m/>
    <n v="93.1"/>
    <n v="144.09999999999997"/>
    <n v="55"/>
    <s v="ToyoLiFLINTSLFLINTSLFLINTSLFLINTSLFLINTSLFLINTSL"/>
    <s v="+"/>
    <s v="+"/>
    <s v="+"/>
    <s v="+"/>
    <s v="+"/>
    <s v="+"/>
    <s v="+"/>
    <s v="NIL"/>
    <b v="0"/>
  </r>
  <r>
    <d v="2026-01-08T00:00:00"/>
    <s v="B"/>
    <x v="91"/>
    <n v="56"/>
    <n v="866"/>
    <n v="56300"/>
    <s v="II"/>
    <s v="N"/>
    <n v="0.52"/>
    <s v="BLACK"/>
    <s v="P00432B"/>
    <s v="FLINTSL - BLACK"/>
    <n v="28"/>
    <n v="0"/>
    <m/>
    <m/>
    <n v="0"/>
    <n v="26506000007"/>
    <m/>
    <m/>
    <m/>
    <m/>
    <m/>
    <m/>
    <m/>
    <n v="8.5"/>
    <e v="#N/A"/>
    <m/>
    <n v="0"/>
    <m/>
    <n v="0"/>
    <m/>
    <n v="0"/>
    <m/>
    <n v="0"/>
    <m/>
    <n v="0"/>
    <m/>
    <n v="0"/>
    <m/>
    <n v="0"/>
    <s v="FLINTSL"/>
    <n v="30"/>
    <n v="0"/>
    <n v="49.7"/>
    <n v="0"/>
    <s v="REFLEX BLUE"/>
    <s v="C01421B"/>
    <s v="FLINTSL - REFLEX BLUE"/>
    <n v="25"/>
    <n v="0"/>
    <m/>
    <m/>
    <n v="0"/>
    <n v="26506000001"/>
    <n v="26507000010"/>
    <n v="26508000011"/>
    <m/>
    <m/>
    <m/>
    <m/>
    <m/>
    <n v="2"/>
    <e v="#N/A"/>
    <n v="0.3"/>
    <e v="#N/A"/>
    <n v="6"/>
    <e v="#N/A"/>
    <m/>
    <n v="0"/>
    <m/>
    <n v="0"/>
    <m/>
    <n v="0"/>
    <m/>
    <n v="0"/>
    <m/>
    <n v="0"/>
    <s v="FLINTSL"/>
    <n v="28"/>
    <n v="0"/>
    <n v="48.5"/>
    <n v="0"/>
    <s v="CYAN"/>
    <m/>
    <s v="FLINTSL - CYAN"/>
    <m/>
    <n v="0"/>
    <m/>
    <m/>
    <n v="0"/>
    <n v="26508000018"/>
    <n v="26509000002"/>
    <n v="26508000025"/>
    <n v="26509000003"/>
    <m/>
    <m/>
    <m/>
    <m/>
    <n v="20"/>
    <e v="#N/A"/>
    <n v="40"/>
    <e v="#N/A"/>
    <n v="130"/>
    <e v="#N/A"/>
    <n v="30"/>
    <e v="#N/A"/>
    <m/>
    <n v="0"/>
    <m/>
    <n v="0"/>
    <m/>
    <n v="0"/>
    <m/>
    <n v="0"/>
    <s v="FLINTSL"/>
    <n v="20"/>
    <n v="0"/>
    <n v="254"/>
    <n v="0"/>
    <s v="CYAN"/>
    <s v="N00887C"/>
    <s v="FLINTSL - CYAN"/>
    <n v="31"/>
    <n v="0"/>
    <m/>
    <m/>
    <n v="0"/>
    <n v="26508000019"/>
    <n v="26507000018"/>
    <m/>
    <m/>
    <m/>
    <m/>
    <m/>
    <m/>
    <n v="20"/>
    <e v="#N/A"/>
    <n v="1"/>
    <e v="#N/A"/>
    <m/>
    <n v="0"/>
    <m/>
    <n v="0"/>
    <m/>
    <n v="0"/>
    <m/>
    <n v="0"/>
    <m/>
    <n v="0"/>
    <m/>
    <n v="0"/>
    <s v="FLINTSL"/>
    <n v="30"/>
    <n v="0"/>
    <n v="43.599999999999994"/>
    <n v="0"/>
    <s v="MAGENTA"/>
    <s v="N00887M"/>
    <s v="FLINTSL - MAGENTA"/>
    <n v="30"/>
    <n v="0"/>
    <m/>
    <m/>
    <n v="0"/>
    <n v="26508000011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9"/>
    <n v="0"/>
    <n v="25.6"/>
    <n v="0"/>
    <s v="YELLOW"/>
    <s v="N00887Y"/>
    <s v="FLINTSL - YELLOW"/>
    <n v="30"/>
    <n v="0"/>
    <m/>
    <m/>
    <n v="0"/>
    <n v="26508000024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30"/>
    <n v="0"/>
    <n v="35.40000000000000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4"/>
    <n v="5"/>
    <n v="2"/>
    <n v="2"/>
    <n v="3"/>
    <n v="0"/>
    <n v="0"/>
    <n v="0.8"/>
    <n v="0.2"/>
    <m/>
    <m/>
    <m/>
    <n v="0"/>
    <n v="216"/>
    <n v="0"/>
    <n v="0"/>
    <n v="216"/>
    <n v="216"/>
    <n v="172.8"/>
    <n v="0"/>
    <n v="43.2"/>
    <n v="0"/>
    <n v="0"/>
    <n v="0"/>
    <n v="0"/>
    <n v="0"/>
    <n v="0"/>
    <n v="0"/>
    <n v="0"/>
    <n v="0"/>
    <n v="0"/>
    <m/>
    <n v="263.8"/>
    <n v="456.79999999999995"/>
    <n v="56"/>
    <s v="FLINTSLFLINTSLFLINTSLFLINTSLFLINTSLFLINTSL"/>
    <s v="+"/>
    <s v="+"/>
    <s v="+"/>
    <s v="+"/>
    <s v="+"/>
    <s v="+"/>
    <s v="NIL"/>
    <s v="NIL"/>
    <b v="0"/>
  </r>
  <r>
    <d v="2026-01-08T00:00:00"/>
    <s v="B"/>
    <x v="92"/>
    <n v="57"/>
    <n v="863"/>
    <n v="56100"/>
    <s v="II"/>
    <s v="N"/>
    <n v="0.52"/>
    <s v="BLACK"/>
    <s v="F00852B"/>
    <s v="FLINTSL - BLACK"/>
    <n v="30"/>
    <n v="0"/>
    <m/>
    <m/>
    <n v="0"/>
    <n v="2650700001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9"/>
    <n v="0"/>
    <n v="17.416666666666664"/>
    <n v="0"/>
    <s v="REFLEX BLUE"/>
    <s v="F00852B"/>
    <s v="FLINTSL - REFLEX BLUE"/>
    <n v="28"/>
    <n v="0"/>
    <m/>
    <m/>
    <n v="0"/>
    <n v="2650600000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19.416666666666664"/>
    <n v="0"/>
    <s v="RED"/>
    <s v="E00925P"/>
    <s v="FLINTSL - RED"/>
    <n v="25"/>
    <n v="0"/>
    <m/>
    <m/>
    <n v="0"/>
    <n v="26501000001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5"/>
    <n v="0"/>
    <n v="39.041666666666671"/>
    <n v="0"/>
    <s v="RED"/>
    <s v="H01352R"/>
    <s v="FLINTSL - RED"/>
    <n v="24"/>
    <n v="0"/>
    <s v="H01335R"/>
    <n v="30"/>
    <n v="0"/>
    <n v="26509000001"/>
    <n v="26508000020"/>
    <n v="26509000005"/>
    <n v="26508000011"/>
    <m/>
    <m/>
    <m/>
    <m/>
    <n v="30"/>
    <e v="#N/A"/>
    <n v="30"/>
    <e v="#N/A"/>
    <n v="30"/>
    <e v="#N/A"/>
    <n v="5"/>
    <e v="#N/A"/>
    <m/>
    <n v="0"/>
    <m/>
    <n v="0"/>
    <m/>
    <n v="0"/>
    <m/>
    <n v="0"/>
    <s v="FLINTSL"/>
    <n v="20"/>
    <n v="0"/>
    <n v="172.25"/>
    <n v="0"/>
    <s v="CYAN"/>
    <s v="F00852C"/>
    <s v="FLINTSL - CYAN"/>
    <n v="30"/>
    <n v="0"/>
    <m/>
    <m/>
    <n v="0"/>
    <n v="2650700001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25.625"/>
    <n v="0"/>
    <s v="MAGENTA"/>
    <s v="F00852M"/>
    <s v="FLINTSL - MAGENTA"/>
    <n v="29"/>
    <n v="0"/>
    <m/>
    <m/>
    <n v="0"/>
    <n v="2650800001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8"/>
    <n v="0"/>
    <n v="26.625"/>
    <n v="0"/>
    <s v="YELLOW"/>
    <s v="F00852Y"/>
    <s v="FLINTSL - YELLOW"/>
    <n v="30"/>
    <n v="0"/>
    <m/>
    <m/>
    <n v="0"/>
    <n v="26508000024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23.62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5"/>
    <n v="6"/>
    <n v="3"/>
    <n v="3"/>
    <n v="3"/>
    <n v="0"/>
    <n v="0.8"/>
    <n v="0.2"/>
    <m/>
    <m/>
    <m/>
    <n v="0"/>
    <n v="173"/>
    <n v="0"/>
    <n v="0"/>
    <n v="173"/>
    <n v="173"/>
    <n v="138.4"/>
    <n v="0"/>
    <n v="34.6"/>
    <n v="0"/>
    <n v="0"/>
    <n v="0"/>
    <n v="0"/>
    <n v="0"/>
    <n v="0"/>
    <n v="0"/>
    <n v="0"/>
    <n v="0"/>
    <n v="0"/>
    <m/>
    <n v="110"/>
    <n v="324"/>
    <n v="57"/>
    <s v="FLINTSLFLINTSLFLINTSLFLINTSLFLINTSLFLINTSLFLINTSL"/>
    <s v="+"/>
    <s v="+"/>
    <s v="+"/>
    <s v="+"/>
    <s v="+"/>
    <s v="+"/>
    <s v="+"/>
    <s v="NIL"/>
    <b v="0"/>
  </r>
  <r>
    <d v="2026-01-08T00:00:00"/>
    <s v="B"/>
    <x v="93"/>
    <n v="58"/>
    <n v="972"/>
    <n v="63200"/>
    <s v="II"/>
    <s v="N"/>
    <n v="0.8"/>
    <s v="BLACK"/>
    <s v="F00854B"/>
    <s v="FLINTSL - BLACK"/>
    <n v="29"/>
    <n v="0"/>
    <m/>
    <m/>
    <n v="0"/>
    <n v="2650700001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2"/>
    <n v="0"/>
    <n v="17"/>
    <n v="0"/>
    <s v="REFLEX BLUE"/>
    <s v="F00854B"/>
    <s v="FLINTSL - REFLEX BLUE"/>
    <n v="25"/>
    <n v="0"/>
    <m/>
    <m/>
    <n v="0"/>
    <n v="2650600000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0"/>
    <n v="0"/>
    <n v="21"/>
    <n v="0"/>
    <s v="GREEN"/>
    <s v="N00871G"/>
    <s v="FLINTSL - GREEN"/>
    <n v="28"/>
    <n v="0"/>
    <m/>
    <m/>
    <n v="0"/>
    <n v="26508000024"/>
    <n v="26507000018"/>
    <m/>
    <m/>
    <m/>
    <m/>
    <m/>
    <m/>
    <n v="2"/>
    <e v="#N/A"/>
    <n v="4"/>
    <e v="#N/A"/>
    <m/>
    <n v="0"/>
    <m/>
    <n v="0"/>
    <m/>
    <n v="0"/>
    <m/>
    <n v="0"/>
    <m/>
    <n v="0"/>
    <m/>
    <n v="0"/>
    <s v="FLINTSL"/>
    <n v="15"/>
    <n v="0"/>
    <n v="47"/>
    <n v="0"/>
    <s v="CYAN"/>
    <s v="F00854C"/>
    <s v="FLINTSL - CYAN"/>
    <n v="28"/>
    <n v="0"/>
    <m/>
    <m/>
    <n v="0"/>
    <n v="26507000018"/>
    <s v="FMD"/>
    <m/>
    <m/>
    <m/>
    <m/>
    <m/>
    <m/>
    <n v="7"/>
    <e v="#N/A"/>
    <n v="5"/>
    <n v="0"/>
    <m/>
    <n v="0"/>
    <m/>
    <n v="0"/>
    <m/>
    <n v="0"/>
    <m/>
    <n v="0"/>
    <m/>
    <n v="0"/>
    <m/>
    <n v="0"/>
    <s v="FLINTSL"/>
    <n v="26"/>
    <n v="0"/>
    <n v="34"/>
    <n v="0"/>
    <s v="MAGENTA"/>
    <s v="F00854M"/>
    <s v="FLINTSL - MAGENTA"/>
    <n v="28"/>
    <n v="0"/>
    <m/>
    <m/>
    <n v="0"/>
    <n v="2650800001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2"/>
    <n v="0"/>
    <n v="12"/>
    <n v="0"/>
    <s v="YELLOW"/>
    <s v="F00854Y"/>
    <s v="FLINTSL - YELLOW"/>
    <n v="30"/>
    <n v="0"/>
    <m/>
    <m/>
    <n v="0"/>
    <s v="FMD"/>
    <n v="26508000024"/>
    <m/>
    <m/>
    <m/>
    <m/>
    <m/>
    <m/>
    <n v="8"/>
    <n v="0"/>
    <n v="15"/>
    <e v="#N/A"/>
    <m/>
    <n v="0"/>
    <m/>
    <n v="0"/>
    <m/>
    <n v="0"/>
    <m/>
    <n v="0"/>
    <m/>
    <n v="0"/>
    <m/>
    <n v="0"/>
    <s v="FLINTSL"/>
    <n v="24"/>
    <n v="0"/>
    <n v="69"/>
    <n v="0"/>
    <s v="MEDIUM"/>
    <m/>
    <s v="FLINTSL - MEDIUM"/>
    <m/>
    <n v="0"/>
    <m/>
    <m/>
    <n v="0"/>
    <n v="26509000008"/>
    <n v="26509000007"/>
    <n v="26508000021"/>
    <s v="FMD"/>
    <s v="FW"/>
    <m/>
    <m/>
    <m/>
    <n v="40"/>
    <e v="#N/A"/>
    <n v="40"/>
    <e v="#N/A"/>
    <n v="30"/>
    <e v="#N/A"/>
    <n v="30"/>
    <n v="0"/>
    <n v="2"/>
    <n v="0"/>
    <m/>
    <n v="0"/>
    <m/>
    <n v="0"/>
    <m/>
    <n v="0"/>
    <s v="FLINTSL"/>
    <n v="20"/>
    <n v="0"/>
    <n v="20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7"/>
    <n v="5"/>
    <n v="1"/>
    <n v="10"/>
    <n v="20"/>
    <n v="0"/>
    <n v="0.8"/>
    <n v="0.2"/>
    <m/>
    <m/>
    <m/>
    <n v="0"/>
    <n v="192"/>
    <n v="0"/>
    <n v="0"/>
    <n v="192"/>
    <n v="192"/>
    <n v="153.60000000000002"/>
    <n v="0"/>
    <n v="38.400000000000006"/>
    <n v="0"/>
    <n v="0"/>
    <n v="0"/>
    <n v="0"/>
    <n v="0"/>
    <n v="0"/>
    <n v="0"/>
    <n v="0"/>
    <n v="0"/>
    <n v="0"/>
    <m/>
    <n v="191"/>
    <n v="402"/>
    <n v="58"/>
    <s v="FLINTSLFLINTSLFLINTSLFLINTSLFLINTSLFLINTSLFLINTSL"/>
    <s v="+"/>
    <s v="+"/>
    <s v="+"/>
    <s v="+"/>
    <s v="+"/>
    <s v="+"/>
    <s v="+"/>
    <s v="NIL"/>
    <b v="0"/>
  </r>
  <r>
    <d v="2026-01-08T00:00:00"/>
    <s v="A"/>
    <x v="94"/>
    <n v="59"/>
    <n v="221"/>
    <n v="17100"/>
    <s v="II"/>
    <s v="N"/>
    <n v="0.92"/>
    <s v="BLACK"/>
    <s v="F00853B"/>
    <s v="FLINTSL - BLACK"/>
    <n v="22"/>
    <n v="0"/>
    <m/>
    <m/>
    <n v="0"/>
    <n v="26507000010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1"/>
    <n v="0"/>
    <n v="16.405405405405403"/>
    <n v="0"/>
    <s v="BLACK"/>
    <s v="C01455B"/>
    <s v="FLINTSL - BLACK"/>
    <n v="10"/>
    <n v="0"/>
    <s v="P00432B"/>
    <n v="10"/>
    <n v="0"/>
    <n v="26507000010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6"/>
    <n v="0"/>
    <n v="7.3243243243243228"/>
    <n v="0"/>
    <s v="REFLEX BLUE"/>
    <s v="F00853RB"/>
    <s v="FLINTSL - REFLEX BLUE"/>
    <n v="20"/>
    <n v="0"/>
    <m/>
    <m/>
    <n v="0"/>
    <n v="2650800001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0"/>
    <n v="0"/>
    <n v="10.324324324324323"/>
    <n v="0"/>
    <s v="REFLEX BLUE"/>
    <s v="N00809RB"/>
    <s v="FLINTSL - REFLEX BLUE"/>
    <n v="22"/>
    <n v="0"/>
    <s v="F00852B"/>
    <n v="20"/>
    <n v="0"/>
    <n v="26509000009"/>
    <n v="26507000018"/>
    <m/>
    <m/>
    <m/>
    <m/>
    <m/>
    <m/>
    <n v="22.8"/>
    <e v="#N/A"/>
    <n v="10"/>
    <e v="#N/A"/>
    <m/>
    <n v="0"/>
    <m/>
    <n v="0"/>
    <m/>
    <n v="0"/>
    <m/>
    <n v="0"/>
    <m/>
    <n v="0"/>
    <m/>
    <n v="0"/>
    <s v="FLINTSL"/>
    <n v="32"/>
    <n v="0"/>
    <n v="63.610810810810804"/>
    <n v="0"/>
    <s v="CYAN"/>
    <s v="F00853C"/>
    <s v="FLINTSL - CYAN"/>
    <n v="26"/>
    <n v="0"/>
    <m/>
    <m/>
    <n v="0"/>
    <s v="FMD"/>
    <m/>
    <m/>
    <m/>
    <m/>
    <m/>
    <m/>
    <m/>
    <n v="7"/>
    <n v="0"/>
    <m/>
    <n v="0"/>
    <m/>
    <n v="0"/>
    <m/>
    <n v="0"/>
    <m/>
    <n v="0"/>
    <m/>
    <n v="0"/>
    <m/>
    <n v="0"/>
    <m/>
    <n v="0"/>
    <s v="FLINTSL"/>
    <n v="30"/>
    <n v="0"/>
    <n v="13.405405405405403"/>
    <n v="0"/>
    <s v="MAGENTA"/>
    <s v="F00853M"/>
    <s v="FLINTSL - MAGENTA"/>
    <n v="22"/>
    <n v="0"/>
    <m/>
    <m/>
    <n v="0"/>
    <n v="2650800001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5"/>
    <n v="0"/>
    <n v="11.405405405405403"/>
    <n v="0"/>
    <s v="YELLOW"/>
    <s v="F00853Y"/>
    <s v="FLINTSL - YELLOW"/>
    <n v="24"/>
    <n v="0"/>
    <m/>
    <m/>
    <n v="0"/>
    <n v="26508000024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8"/>
    <n v="0"/>
    <n v="10.32432432432432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4"/>
    <n v="4"/>
    <n v="10"/>
    <n v="5"/>
    <n v="5"/>
    <n v="4"/>
    <n v="0"/>
    <n v="0.8"/>
    <n v="0.2"/>
    <m/>
    <m/>
    <m/>
    <n v="0"/>
    <n v="77"/>
    <n v="0"/>
    <n v="0"/>
    <n v="77"/>
    <n v="77"/>
    <n v="61.6"/>
    <n v="0"/>
    <n v="15.4"/>
    <n v="0"/>
    <n v="0"/>
    <n v="0"/>
    <n v="0"/>
    <n v="0"/>
    <n v="0"/>
    <n v="0"/>
    <n v="0"/>
    <n v="0"/>
    <n v="0"/>
    <m/>
    <n v="61.8"/>
    <n v="132.79999999999998"/>
    <n v="59"/>
    <s v="FLINTSLFLINTSLFLINTSLFLINTSLFLINTSLFLINTSLFLINTSL"/>
    <s v="+"/>
    <s v="+"/>
    <s v="+"/>
    <s v="+"/>
    <s v="+"/>
    <s v="+"/>
    <s v="+"/>
    <s v="NIL"/>
    <b v="0"/>
  </r>
  <r>
    <d v="2026-01-09T00:00:00"/>
    <s v="A"/>
    <x v="95"/>
    <n v="60"/>
    <n v="398"/>
    <n v="17200"/>
    <s v="II"/>
    <s v="N"/>
    <n v="1.22"/>
    <s v="BLACK"/>
    <s v="F00855B"/>
    <s v="FLINTSL - BLACK"/>
    <n v="26"/>
    <n v="0"/>
    <m/>
    <m/>
    <n v="0"/>
    <n v="26507000010"/>
    <n v="26508000024"/>
    <m/>
    <m/>
    <m/>
    <m/>
    <m/>
    <m/>
    <n v="5"/>
    <e v="#N/A"/>
    <n v="4"/>
    <e v="#N/A"/>
    <m/>
    <n v="0"/>
    <m/>
    <n v="0"/>
    <m/>
    <n v="0"/>
    <m/>
    <n v="0"/>
    <m/>
    <n v="0"/>
    <m/>
    <n v="0"/>
    <s v="FLINTSL"/>
    <n v="32"/>
    <n v="0"/>
    <n v="12.652777777777779"/>
    <n v="0"/>
    <s v="GOLD"/>
    <s v="N00887G"/>
    <s v="FLINTSL - GOLD"/>
    <n v="34"/>
    <n v="0"/>
    <m/>
    <m/>
    <n v="0"/>
    <n v="26508000024"/>
    <s v="FGO"/>
    <n v="26508000011"/>
    <m/>
    <m/>
    <m/>
    <m/>
    <m/>
    <n v="2"/>
    <e v="#N/A"/>
    <n v="10"/>
    <n v="0"/>
    <n v="0.1"/>
    <e v="#N/A"/>
    <m/>
    <n v="0"/>
    <m/>
    <n v="0"/>
    <m/>
    <n v="0"/>
    <m/>
    <n v="0"/>
    <m/>
    <n v="0"/>
    <s v="FLINTSL"/>
    <n v="20"/>
    <n v="0"/>
    <n v="45.405555555555566"/>
    <n v="0"/>
    <s v="RED"/>
    <s v="H01221R"/>
    <s v="FLINTSL - RED"/>
    <n v="20"/>
    <n v="0"/>
    <m/>
    <m/>
    <n v="0"/>
    <n v="26508000011"/>
    <n v="26505000002"/>
    <n v="25863000007"/>
    <m/>
    <m/>
    <m/>
    <m/>
    <m/>
    <n v="3"/>
    <e v="#N/A"/>
    <n v="7"/>
    <e v="#N/A"/>
    <n v="2"/>
    <e v="#N/A"/>
    <m/>
    <n v="0"/>
    <m/>
    <n v="0"/>
    <m/>
    <n v="0"/>
    <m/>
    <n v="0"/>
    <m/>
    <n v="0"/>
    <s v="FLINTSL"/>
    <n v="26"/>
    <n v="0"/>
    <n v="25.305555555555557"/>
    <n v="0"/>
    <s v="CYAN"/>
    <s v="F00855C"/>
    <s v="FLINTSL - CYAN"/>
    <n v="30"/>
    <n v="0"/>
    <m/>
    <m/>
    <n v="0"/>
    <n v="26507000018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32"/>
    <n v="0"/>
    <n v="7.8611111111111143"/>
    <n v="0"/>
    <s v="MAGENTA"/>
    <s v="F00855M"/>
    <s v="FLINTSL - MAGENTA"/>
    <n v="25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4"/>
    <n v="0"/>
    <n v="11.791666666666664"/>
    <n v="0"/>
    <s v="YELLOW"/>
    <s v="F00855Y"/>
    <s v="FLINTSL - YELLOW"/>
    <n v="28"/>
    <n v="0"/>
    <m/>
    <m/>
    <n v="0"/>
    <n v="26508000024"/>
    <m/>
    <m/>
    <m/>
    <m/>
    <m/>
    <m/>
    <m/>
    <n v="15"/>
    <e v="#N/A"/>
    <m/>
    <n v="0"/>
    <m/>
    <n v="0"/>
    <m/>
    <n v="0"/>
    <m/>
    <n v="0"/>
    <m/>
    <n v="0"/>
    <m/>
    <n v="0"/>
    <m/>
    <n v="0"/>
    <s v="FLINTSL"/>
    <n v="26"/>
    <n v="0"/>
    <n v="20.861111111111114"/>
    <n v="0"/>
    <s v="WHITE"/>
    <m/>
    <s v="FLINTSL - WHITE"/>
    <m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107.2222222222222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10"/>
    <n v="2"/>
    <n v="3"/>
    <n v="2"/>
    <n v="40"/>
    <n v="0"/>
    <n v="0.8"/>
    <n v="0.2"/>
    <m/>
    <m/>
    <m/>
    <n v="0"/>
    <n v="139"/>
    <n v="0"/>
    <n v="0"/>
    <n v="139"/>
    <n v="139"/>
    <n v="111.2"/>
    <n v="0"/>
    <n v="27.8"/>
    <n v="0"/>
    <n v="0"/>
    <n v="0"/>
    <n v="0"/>
    <n v="0"/>
    <n v="0"/>
    <n v="0"/>
    <n v="0"/>
    <n v="0"/>
    <n v="0"/>
    <m/>
    <n v="119.1"/>
    <n v="231.10000000000002"/>
    <n v="60"/>
    <s v="FLINTSLFLINTSLFLINTSLFLINTSLFLINTSLFLINTSLFLINTSL"/>
    <s v="+"/>
    <s v="+"/>
    <s v="+"/>
    <s v="+"/>
    <s v="+"/>
    <s v="+"/>
    <s v="+"/>
    <s v="NIL"/>
    <b v="0"/>
  </r>
  <r>
    <d v="2026-01-09T00:00:00"/>
    <s v="A"/>
    <x v="96"/>
    <n v="61"/>
    <n v="544"/>
    <n v="25700"/>
    <s v="II"/>
    <s v="N"/>
    <n v="2.23"/>
    <s v="BLACK"/>
    <s v="F00855B"/>
    <s v="FLINTSL - BLACK"/>
    <n v="21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4"/>
    <n v="0"/>
    <n v="11.582524271844662"/>
    <n v="0"/>
    <s v="RED"/>
    <s v="C01354R"/>
    <s v="FLINTSL - RED"/>
    <n v="26"/>
    <n v="0"/>
    <m/>
    <m/>
    <n v="0"/>
    <n v="25863000007"/>
    <n v="26509000014"/>
    <m/>
    <m/>
    <m/>
    <m/>
    <m/>
    <m/>
    <n v="5"/>
    <e v="#N/A"/>
    <n v="40"/>
    <e v="#N/A"/>
    <m/>
    <n v="0"/>
    <m/>
    <n v="0"/>
    <m/>
    <n v="0"/>
    <m/>
    <n v="0"/>
    <m/>
    <n v="0"/>
    <m/>
    <n v="0"/>
    <s v="FLINTSL"/>
    <n v="27"/>
    <n v="0"/>
    <n v="50.349514563106794"/>
    <n v="0"/>
    <s v="RED"/>
    <m/>
    <s v="FLINTSL - RED"/>
    <m/>
    <n v="0"/>
    <m/>
    <m/>
    <n v="0"/>
    <n v="26509000018"/>
    <n v="26509000019"/>
    <n v="26509000010"/>
    <n v="26508000011"/>
    <m/>
    <m/>
    <m/>
    <m/>
    <n v="40"/>
    <e v="#N/A"/>
    <n v="25"/>
    <e v="#N/A"/>
    <n v="20"/>
    <e v="#N/A"/>
    <n v="4"/>
    <e v="#N/A"/>
    <m/>
    <n v="0"/>
    <m/>
    <n v="0"/>
    <m/>
    <n v="0"/>
    <m/>
    <n v="0"/>
    <s v="FLINTSL"/>
    <n v="30"/>
    <n v="0"/>
    <n v="80.165048543689323"/>
    <n v="0"/>
    <s v="YELLOW"/>
    <m/>
    <s v="FLINTSL - YELLOW"/>
    <m/>
    <n v="0"/>
    <m/>
    <m/>
    <n v="0"/>
    <n v="26508000024"/>
    <s v="FMD"/>
    <m/>
    <m/>
    <m/>
    <m/>
    <m/>
    <m/>
    <n v="24"/>
    <e v="#N/A"/>
    <n v="5"/>
    <n v="0"/>
    <m/>
    <n v="0"/>
    <m/>
    <n v="0"/>
    <m/>
    <n v="0"/>
    <m/>
    <n v="0"/>
    <m/>
    <n v="0"/>
    <m/>
    <n v="0"/>
    <s v="FLINTSL"/>
    <n v="24"/>
    <n v="0"/>
    <n v="36.747572815533978"/>
    <n v="0"/>
    <s v="MAGENTA"/>
    <s v="C01354M"/>
    <s v="FLINTSL - MAGENTA"/>
    <n v="24"/>
    <n v="0"/>
    <m/>
    <m/>
    <n v="0"/>
    <s v="FMD"/>
    <n v="26512000010"/>
    <m/>
    <m/>
    <m/>
    <m/>
    <m/>
    <m/>
    <n v="4"/>
    <n v="0"/>
    <n v="2"/>
    <e v="#N/A"/>
    <m/>
    <n v="0"/>
    <m/>
    <n v="0"/>
    <m/>
    <n v="0"/>
    <m/>
    <n v="0"/>
    <m/>
    <n v="0"/>
    <m/>
    <n v="0"/>
    <s v="FLINTSL"/>
    <n v="30"/>
    <n v="0"/>
    <n v="10.582524271844662"/>
    <n v="0"/>
    <s v="YELLOW"/>
    <s v="C01354Y"/>
    <s v="FLINTSL - YELLOW"/>
    <n v="26"/>
    <n v="0"/>
    <m/>
    <m/>
    <n v="0"/>
    <n v="26508000029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8"/>
    <n v="0"/>
    <n v="18.582524271844662"/>
    <n v="0"/>
    <s v="WHITE"/>
    <s v="C01354W"/>
    <s v="FLINTSL - WHITE"/>
    <n v="30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226.9902912621358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3"/>
    <n v="10"/>
    <n v="15"/>
    <n v="5"/>
    <n v="5"/>
    <n v="60"/>
    <n v="0"/>
    <n v="0.8"/>
    <n v="0.2"/>
    <m/>
    <m/>
    <m/>
    <n v="0"/>
    <n v="218"/>
    <n v="0"/>
    <n v="0"/>
    <n v="218"/>
    <n v="218"/>
    <n v="174.4"/>
    <n v="0"/>
    <n v="43.6"/>
    <n v="0"/>
    <n v="0"/>
    <n v="0"/>
    <n v="0"/>
    <n v="0"/>
    <n v="0"/>
    <n v="0"/>
    <n v="0"/>
    <n v="0"/>
    <n v="0"/>
    <m/>
    <n v="283"/>
    <n v="434.99999999999994"/>
    <n v="61"/>
    <s v="FLINTSLFLINTSLFLINTSLFLINTSLFLINTSLFLINTSLFLINTSL"/>
    <s v="+"/>
    <s v="+"/>
    <s v="+"/>
    <s v="+"/>
    <s v="+"/>
    <s v="+"/>
    <s v="+"/>
    <s v="NIL"/>
    <b v="0"/>
  </r>
  <r>
    <d v="2026-01-09T00:00:00"/>
    <s v="B"/>
    <x v="97"/>
    <n v="62"/>
    <n v="974"/>
    <n v="48400"/>
    <s v="II"/>
    <s v="N"/>
    <n v="1.85"/>
    <s v="BLACK"/>
    <s v="F00841B"/>
    <s v="FLINTSL - BLACK"/>
    <n v="24"/>
    <n v="0"/>
    <m/>
    <m/>
    <n v="0"/>
    <n v="26507000010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4"/>
    <n v="0"/>
    <n v="16.819548872180448"/>
    <n v="0"/>
    <s v="RED"/>
    <s v="F00841R"/>
    <s v="FLINTSL - RED"/>
    <n v="27"/>
    <n v="0"/>
    <m/>
    <m/>
    <n v="0"/>
    <n v="26505000002"/>
    <s v="FMG"/>
    <n v="26509000011"/>
    <m/>
    <m/>
    <m/>
    <m/>
    <m/>
    <n v="6"/>
    <e v="#N/A"/>
    <n v="2"/>
    <n v="0"/>
    <n v="23.8"/>
    <e v="#N/A"/>
    <m/>
    <n v="0"/>
    <m/>
    <n v="0"/>
    <m/>
    <n v="0"/>
    <m/>
    <n v="0"/>
    <m/>
    <n v="0"/>
    <s v="FLINTSL"/>
    <n v="27"/>
    <n v="0"/>
    <n v="44.619548872180445"/>
    <n v="0"/>
    <s v="REFLEX BLUE"/>
    <m/>
    <s v="FLINTSL - REFLEX BLUE"/>
    <m/>
    <n v="0"/>
    <m/>
    <m/>
    <n v="0"/>
    <n v="26509000020"/>
    <n v="26509000021"/>
    <n v="26509000022"/>
    <n v="26509000023"/>
    <m/>
    <m/>
    <m/>
    <m/>
    <n v="40"/>
    <e v="#N/A"/>
    <n v="30"/>
    <e v="#N/A"/>
    <n v="30"/>
    <e v="#N/A"/>
    <n v="10"/>
    <e v="#N/A"/>
    <m/>
    <n v="0"/>
    <m/>
    <n v="0"/>
    <m/>
    <n v="0"/>
    <m/>
    <n v="0"/>
    <s v="FLINTSL"/>
    <n v="23"/>
    <n v="0"/>
    <n v="120.33082706766916"/>
    <n v="0"/>
    <s v="ORANGE"/>
    <s v="F00841O"/>
    <s v="FLINTSL - ORANGE"/>
    <n v="24"/>
    <n v="0"/>
    <m/>
    <m/>
    <n v="0"/>
    <n v="25863000007"/>
    <n v="26505000002"/>
    <m/>
    <m/>
    <m/>
    <m/>
    <m/>
    <m/>
    <n v="13"/>
    <e v="#N/A"/>
    <n v="1"/>
    <e v="#N/A"/>
    <m/>
    <n v="0"/>
    <m/>
    <n v="0"/>
    <m/>
    <n v="0"/>
    <m/>
    <n v="0"/>
    <m/>
    <n v="0"/>
    <m/>
    <n v="0"/>
    <s v="FLINTSL"/>
    <n v="18"/>
    <n v="0"/>
    <n v="32.819548872180448"/>
    <n v="0"/>
    <s v="CYAN"/>
    <s v="C01354C"/>
    <s v="FLINTSL - CYAN"/>
    <n v="32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4"/>
    <n v="0"/>
    <n v="24.819548872180448"/>
    <n v="0"/>
    <s v="MAGENTA"/>
    <s v="F00841M"/>
    <s v="FLINTSL - MAGENTA"/>
    <n v="30"/>
    <n v="0"/>
    <m/>
    <m/>
    <n v="0"/>
    <n v="2651200001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19.819548872180448"/>
    <n v="0"/>
    <s v="YELLOW"/>
    <s v="F00841Y"/>
    <s v="FLINTSL - YELLOW"/>
    <n v="28"/>
    <n v="0"/>
    <m/>
    <m/>
    <n v="0"/>
    <n v="26508000029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18.819548872180448"/>
    <n v="0"/>
    <s v="WHITE"/>
    <s v="F00841W"/>
    <s v="FLINTSL - WHITE"/>
    <n v="30"/>
    <n v="0"/>
    <m/>
    <m/>
    <n v="0"/>
    <s v="FW"/>
    <m/>
    <m/>
    <m/>
    <m/>
    <m/>
    <m/>
    <m/>
    <n v="150"/>
    <n v="0"/>
    <m/>
    <n v="0"/>
    <m/>
    <n v="0"/>
    <m/>
    <n v="0"/>
    <m/>
    <n v="0"/>
    <m/>
    <n v="0"/>
    <m/>
    <n v="0"/>
    <m/>
    <n v="0"/>
    <s v="FLINTSL"/>
    <n v="27"/>
    <n v="0"/>
    <n v="383.75187969924809"/>
    <n v="0"/>
    <n v="5"/>
    <n v="5"/>
    <n v="13"/>
    <n v="5"/>
    <n v="5"/>
    <n v="5"/>
    <n v="5"/>
    <n v="90"/>
    <n v="0.8"/>
    <n v="0.2"/>
    <m/>
    <m/>
    <m/>
    <n v="0"/>
    <n v="341"/>
    <n v="0"/>
    <n v="0"/>
    <n v="341"/>
    <n v="341"/>
    <n v="272.8"/>
    <n v="0"/>
    <n v="68.2"/>
    <n v="0"/>
    <n v="0"/>
    <n v="0"/>
    <n v="0"/>
    <n v="0"/>
    <n v="0"/>
    <n v="0"/>
    <n v="0"/>
    <n v="0"/>
    <n v="0"/>
    <m/>
    <n v="319.8"/>
    <n v="661.8"/>
    <n v="62"/>
    <s v="FLINTSLFLINTSLFLINTSLFLINTSLFLINTSLFLINTSLFLINTSLFLINTSL"/>
    <s v="+"/>
    <s v="+"/>
    <s v="+"/>
    <s v="+"/>
    <s v="+"/>
    <s v="+"/>
    <s v="+"/>
    <s v="+"/>
    <b v="0"/>
  </r>
  <r>
    <d v="2026-01-09T00:00:00"/>
    <s v="A"/>
    <x v="98"/>
    <n v="63"/>
    <n v="760"/>
    <n v="36900"/>
    <s v="II"/>
    <s v="N"/>
    <n v="1.5"/>
    <s v="BLACK"/>
    <s v="F00825B"/>
    <s v="FLINTSL - BLACK"/>
    <n v="24"/>
    <n v="0"/>
    <m/>
    <m/>
    <n v="0"/>
    <n v="26507000010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4"/>
    <n v="0"/>
    <n v="17.083333333333329"/>
    <n v="0"/>
    <s v="RED"/>
    <s v="F00841R"/>
    <s v="FLINTSL - RED"/>
    <n v="30"/>
    <n v="0"/>
    <s v="F00825R"/>
    <n v="14"/>
    <n v="0"/>
    <n v="26512000010"/>
    <n v="26505000028"/>
    <m/>
    <m/>
    <m/>
    <m/>
    <m/>
    <m/>
    <n v="6"/>
    <e v="#N/A"/>
    <n v="10"/>
    <e v="#N/A"/>
    <m/>
    <n v="0"/>
    <m/>
    <n v="0"/>
    <m/>
    <n v="0"/>
    <m/>
    <n v="0"/>
    <m/>
    <n v="0"/>
    <m/>
    <n v="0"/>
    <s v="FLINTSL"/>
    <n v="20"/>
    <n v="0"/>
    <n v="62.166666666666657"/>
    <n v="0"/>
    <s v="CYAN"/>
    <s v="F00825C"/>
    <s v="FLINTSL - CYAN"/>
    <n v="24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5"/>
    <n v="0"/>
    <n v="16.083333333333329"/>
    <n v="0"/>
    <s v="MAGENTA"/>
    <s v="F00825M"/>
    <s v="FLINTSL - MAGENTA"/>
    <n v="25"/>
    <n v="0"/>
    <m/>
    <m/>
    <n v="0"/>
    <n v="26512000010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7"/>
    <n v="0"/>
    <n v="15.083333333333329"/>
    <n v="0"/>
    <s v="YELLOW"/>
    <s v="F00825Y"/>
    <s v="FLINTSL - YELLOW"/>
    <n v="26"/>
    <n v="0"/>
    <m/>
    <m/>
    <n v="0"/>
    <n v="26508000029"/>
    <s v="FMD"/>
    <m/>
    <m/>
    <m/>
    <m/>
    <m/>
    <m/>
    <n v="2"/>
    <e v="#N/A"/>
    <n v="7"/>
    <n v="0"/>
    <m/>
    <n v="0"/>
    <m/>
    <n v="0"/>
    <m/>
    <n v="0"/>
    <m/>
    <n v="0"/>
    <m/>
    <n v="0"/>
    <m/>
    <n v="0"/>
    <s v="FLINTSL"/>
    <n v="26"/>
    <n v="0"/>
    <n v="20.083333333333329"/>
    <n v="0"/>
    <s v="WHITE"/>
    <s v="F00825W"/>
    <s v="FLINTSL - WHITE"/>
    <n v="27"/>
    <n v="0"/>
    <m/>
    <m/>
    <n v="0"/>
    <s v="FW"/>
    <m/>
    <m/>
    <m/>
    <m/>
    <m/>
    <m/>
    <m/>
    <n v="150"/>
    <n v="0"/>
    <m/>
    <n v="0"/>
    <m/>
    <n v="0"/>
    <m/>
    <n v="0"/>
    <m/>
    <n v="0"/>
    <m/>
    <n v="0"/>
    <m/>
    <n v="0"/>
    <m/>
    <n v="0"/>
    <s v="FLINTSL"/>
    <n v="28"/>
    <n v="0"/>
    <n v="348.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5"/>
    <n v="5"/>
    <n v="5"/>
    <n v="90"/>
    <n v="0"/>
    <n v="0"/>
    <n v="0.8"/>
    <n v="0.2"/>
    <m/>
    <m/>
    <m/>
    <n v="0"/>
    <n v="266"/>
    <n v="0"/>
    <n v="0"/>
    <n v="266"/>
    <n v="266"/>
    <n v="212.8"/>
    <n v="0"/>
    <n v="53.2"/>
    <n v="0"/>
    <n v="0"/>
    <n v="0"/>
    <n v="0"/>
    <n v="0"/>
    <n v="0"/>
    <n v="0"/>
    <n v="0"/>
    <n v="0"/>
    <n v="0"/>
    <m/>
    <n v="193"/>
    <n v="479"/>
    <n v="63"/>
    <s v="FLINTSLFLINTSLFLINTSLFLINTSLFLINTSLFLINTSL"/>
    <s v="+"/>
    <s v="+"/>
    <s v="+"/>
    <s v="+"/>
    <s v="+"/>
    <s v="+"/>
    <s v="NIL"/>
    <s v="NIL"/>
    <b v="0"/>
  </r>
  <r>
    <d v="2026-01-09T00:00:00"/>
    <s v="A"/>
    <x v="99"/>
    <n v="64"/>
    <n v="482"/>
    <n v="23300"/>
    <s v="II"/>
    <s v="N"/>
    <n v="1.9"/>
    <s v="BLACK"/>
    <s v="B01042B"/>
    <s v="FLINTSL - BLACK"/>
    <n v="24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4"/>
    <n v="0"/>
    <n v="11.388888888888886"/>
    <n v="0"/>
    <s v="GREEN"/>
    <s v="J00827G"/>
    <s v="FLINTSL - GREEN"/>
    <n v="7"/>
    <n v="0"/>
    <s v="F00852G"/>
    <n v="18"/>
    <n v="0"/>
    <n v="26508000029"/>
    <n v="26505000002"/>
    <s v="FMD"/>
    <n v="26507000018"/>
    <m/>
    <m/>
    <m/>
    <m/>
    <n v="2"/>
    <e v="#N/A"/>
    <n v="6"/>
    <e v="#N/A"/>
    <n v="3"/>
    <n v="0"/>
    <n v="3"/>
    <e v="#N/A"/>
    <m/>
    <n v="0"/>
    <m/>
    <n v="0"/>
    <m/>
    <n v="0"/>
    <m/>
    <n v="0"/>
    <s v="FLINTSL"/>
    <n v="28"/>
    <n v="0"/>
    <n v="20.388888888888886"/>
    <n v="0"/>
    <s v="GREEN"/>
    <s v="H01352G"/>
    <s v="FLINTSL - GREEN"/>
    <n v="7"/>
    <n v="0"/>
    <s v="F00852G"/>
    <n v="2"/>
    <n v="0"/>
    <n v="26507000018"/>
    <n v="26505000027"/>
    <n v="26509000012"/>
    <m/>
    <m/>
    <m/>
    <m/>
    <m/>
    <n v="0.5"/>
    <e v="#N/A"/>
    <n v="1.4"/>
    <e v="#N/A"/>
    <n v="20"/>
    <e v="#N/A"/>
    <m/>
    <n v="0"/>
    <m/>
    <n v="0"/>
    <m/>
    <n v="0"/>
    <m/>
    <n v="0"/>
    <m/>
    <n v="0"/>
    <s v="FLINTSL"/>
    <n v="13"/>
    <n v="0"/>
    <n v="24.159259259259258"/>
    <n v="0"/>
    <s v="YELLOW"/>
    <m/>
    <s v="FLINTSL - YELLOW"/>
    <m/>
    <n v="0"/>
    <m/>
    <m/>
    <n v="0"/>
    <n v="26509000016"/>
    <n v="26510000001"/>
    <s v="FW"/>
    <m/>
    <m/>
    <m/>
    <m/>
    <m/>
    <n v="20"/>
    <e v="#N/A"/>
    <n v="30"/>
    <e v="#N/A"/>
    <n v="2"/>
    <n v="0"/>
    <m/>
    <n v="0"/>
    <m/>
    <n v="0"/>
    <m/>
    <n v="0"/>
    <m/>
    <n v="0"/>
    <m/>
    <n v="0"/>
    <s v="FLINTSL"/>
    <n v="20"/>
    <n v="0"/>
    <n v="47.648148148148152"/>
    <n v="0"/>
    <s v="CYAN"/>
    <s v="B01042C"/>
    <s v="FLINTSL - CYAN"/>
    <n v="25"/>
    <n v="0"/>
    <m/>
    <m/>
    <n v="0"/>
    <n v="26507000018"/>
    <s v="FMD"/>
    <m/>
    <m/>
    <m/>
    <m/>
    <m/>
    <m/>
    <n v="2"/>
    <e v="#N/A"/>
    <n v="1"/>
    <n v="0"/>
    <m/>
    <n v="0"/>
    <m/>
    <n v="0"/>
    <m/>
    <n v="0"/>
    <m/>
    <n v="0"/>
    <m/>
    <n v="0"/>
    <m/>
    <n v="0"/>
    <s v="FLINTSL"/>
    <n v="27"/>
    <n v="0"/>
    <n v="13.518518518518519"/>
    <n v="0"/>
    <s v="MAGENTA"/>
    <s v="B01042M"/>
    <s v="FLINTSL - MAGENTA"/>
    <n v="27"/>
    <n v="0"/>
    <m/>
    <m/>
    <n v="0"/>
    <n v="26512000010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4"/>
    <n v="0"/>
    <n v="15.388888888888886"/>
    <n v="0"/>
    <s v="YELLOW"/>
    <s v="B01042Y"/>
    <s v="FLINTSL - YELLOW"/>
    <n v="26"/>
    <n v="0"/>
    <m/>
    <m/>
    <n v="0"/>
    <n v="26508000029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6"/>
    <n v="0"/>
    <n v="15.518518518518519"/>
    <n v="0"/>
    <s v="WHITE"/>
    <s v="B01042W"/>
    <s v="FLINTSL - WHITE"/>
    <n v="28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28"/>
    <n v="0"/>
    <n v="193.88888888888891"/>
    <n v="0"/>
    <n v="3"/>
    <n v="3"/>
    <n v="2"/>
    <n v="5"/>
    <n v="4"/>
    <n v="3"/>
    <n v="4"/>
    <n v="30"/>
    <n v="0.8"/>
    <n v="0.2"/>
    <m/>
    <m/>
    <m/>
    <n v="0"/>
    <n v="169"/>
    <n v="0"/>
    <n v="0"/>
    <n v="169"/>
    <n v="169"/>
    <n v="135.20000000000002"/>
    <n v="0"/>
    <n v="33.800000000000004"/>
    <n v="0"/>
    <n v="0"/>
    <n v="0"/>
    <n v="0"/>
    <n v="0"/>
    <n v="0"/>
    <n v="0"/>
    <n v="0"/>
    <n v="0"/>
    <n v="0"/>
    <m/>
    <n v="198.9"/>
    <n v="341.90000000000003"/>
    <n v="64"/>
    <s v="FLINTSLFLINTSLFLINTSLFLINTSLFLINTSLFLINTSLFLINTSLFLINTSL"/>
    <s v="+"/>
    <s v="+"/>
    <s v="+"/>
    <s v="+"/>
    <s v="+"/>
    <s v="+"/>
    <s v="+"/>
    <s v="+"/>
    <b v="0"/>
  </r>
  <r>
    <d v="2026-01-09T00:00:00"/>
    <s v="A"/>
    <x v="100"/>
    <n v="65"/>
    <n v="480"/>
    <n v="23300"/>
    <s v="II"/>
    <s v="N"/>
    <n v="1.38"/>
    <s v="BLACK"/>
    <s v="C01425B"/>
    <s v="FLINTSL - BLACK"/>
    <n v="24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5"/>
    <n v="0"/>
    <n v="10"/>
    <n v="0"/>
    <s v="REFLEX BLUE"/>
    <s v="N00700RB"/>
    <s v="FLINTSL - REFLEX BLUE"/>
    <n v="20"/>
    <n v="0"/>
    <m/>
    <m/>
    <n v="0"/>
    <n v="26507000016"/>
    <n v="26506000001"/>
    <m/>
    <m/>
    <m/>
    <m/>
    <m/>
    <m/>
    <n v="3"/>
    <e v="#N/A"/>
    <n v="2"/>
    <e v="#N/A"/>
    <m/>
    <n v="0"/>
    <m/>
    <n v="0"/>
    <m/>
    <n v="0"/>
    <m/>
    <n v="0"/>
    <m/>
    <n v="0"/>
    <m/>
    <n v="0"/>
    <s v="FLINTSL"/>
    <n v="17"/>
    <n v="0"/>
    <n v="14"/>
    <n v="0"/>
    <s v="RED"/>
    <s v="F00841R"/>
    <s v="FLINTSL - RED"/>
    <n v="13"/>
    <n v="0"/>
    <s v="B01042R/F00854R"/>
    <n v="22"/>
    <n v="0"/>
    <n v="26512000010"/>
    <n v="26505000028"/>
    <m/>
    <m/>
    <m/>
    <m/>
    <m/>
    <m/>
    <n v="2"/>
    <e v="#N/A"/>
    <n v="2"/>
    <e v="#N/A"/>
    <m/>
    <n v="0"/>
    <m/>
    <n v="0"/>
    <m/>
    <n v="0"/>
    <m/>
    <n v="0"/>
    <m/>
    <n v="0"/>
    <m/>
    <n v="0"/>
    <s v="FLINTSL"/>
    <n v="27"/>
    <n v="0"/>
    <n v="22"/>
    <n v="0"/>
    <s v="CYAN"/>
    <s v="C01425C"/>
    <s v="FLINTSL - CYAN"/>
    <n v="37"/>
    <n v="0"/>
    <m/>
    <m/>
    <n v="0"/>
    <n v="26507000016"/>
    <s v="FMD"/>
    <m/>
    <m/>
    <m/>
    <m/>
    <m/>
    <m/>
    <n v="5"/>
    <e v="#N/A"/>
    <n v="4"/>
    <n v="0"/>
    <m/>
    <n v="0"/>
    <m/>
    <n v="0"/>
    <m/>
    <n v="0"/>
    <m/>
    <n v="0"/>
    <m/>
    <n v="0"/>
    <m/>
    <n v="0"/>
    <s v="FLINTSL"/>
    <n v="22"/>
    <n v="0"/>
    <n v="34"/>
    <n v="0"/>
    <s v="MAGENTA"/>
    <s v="C01425M"/>
    <s v="FLINTSL - MAGENTA"/>
    <n v="10"/>
    <n v="0"/>
    <m/>
    <m/>
    <n v="0"/>
    <s v="FMD"/>
    <m/>
    <m/>
    <m/>
    <m/>
    <m/>
    <m/>
    <m/>
    <n v="15"/>
    <n v="0"/>
    <m/>
    <n v="0"/>
    <m/>
    <n v="0"/>
    <m/>
    <n v="0"/>
    <m/>
    <n v="0"/>
    <m/>
    <n v="0"/>
    <m/>
    <n v="0"/>
    <m/>
    <n v="0"/>
    <s v="FLINTSL"/>
    <n v="29"/>
    <n v="0"/>
    <n v="16"/>
    <n v="0"/>
    <s v="YELLOW"/>
    <s v="C01425Y"/>
    <s v="FLINTSL - YELLOW"/>
    <n v="26"/>
    <n v="0"/>
    <m/>
    <m/>
    <n v="0"/>
    <n v="26508000029"/>
    <m/>
    <m/>
    <m/>
    <m/>
    <m/>
    <m/>
    <m/>
    <n v="7"/>
    <e v="#N/A"/>
    <m/>
    <n v="0"/>
    <m/>
    <n v="0"/>
    <m/>
    <n v="0"/>
    <m/>
    <n v="0"/>
    <m/>
    <n v="0"/>
    <m/>
    <n v="0"/>
    <m/>
    <n v="0"/>
    <s v="FLINTSL"/>
    <n v="25"/>
    <n v="0"/>
    <n v="16"/>
    <n v="0"/>
    <s v="WHITE"/>
    <s v="C01425W"/>
    <s v="FLINTSL - WHITE"/>
    <n v="28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8"/>
    <n v="0"/>
    <n v="12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3"/>
    <n v="5"/>
    <n v="5"/>
    <n v="10"/>
    <n v="4"/>
    <n v="30"/>
    <n v="0"/>
    <n v="0.8"/>
    <n v="0.2"/>
    <m/>
    <m/>
    <m/>
    <n v="0"/>
    <n v="120"/>
    <n v="0"/>
    <n v="0"/>
    <n v="120"/>
    <n v="120"/>
    <n v="96"/>
    <n v="0"/>
    <n v="24"/>
    <n v="0"/>
    <n v="0"/>
    <n v="0"/>
    <n v="0"/>
    <n v="0"/>
    <n v="0"/>
    <n v="0"/>
    <n v="0"/>
    <n v="0"/>
    <n v="0"/>
    <m/>
    <n v="105"/>
    <n v="232"/>
    <n v="65"/>
    <s v="FLINTSLFLINTSLFLINTSLFLINTSLFLINTSLFLINTSLFLINTSL"/>
    <s v="+"/>
    <s v="+"/>
    <s v="+"/>
    <s v="+"/>
    <s v="+"/>
    <s v="+"/>
    <s v="+"/>
    <s v="NIL"/>
    <b v="0"/>
  </r>
  <r>
    <d v="2026-01-09T00:00:00"/>
    <s v="B"/>
    <x v="101"/>
    <n v="66"/>
    <n v="495"/>
    <n v="24300"/>
    <s v="II"/>
    <s v="N"/>
    <n v="0.1"/>
    <s v="BLACK"/>
    <m/>
    <s v="FLINTSL - BLACK"/>
    <m/>
    <n v="0"/>
    <m/>
    <m/>
    <n v="0"/>
    <n v="26507000010"/>
    <n v="26507000016"/>
    <m/>
    <m/>
    <m/>
    <m/>
    <m/>
    <m/>
    <n v="26"/>
    <e v="#N/A"/>
    <n v="1"/>
    <e v="#N/A"/>
    <m/>
    <n v="0"/>
    <m/>
    <n v="0"/>
    <m/>
    <n v="0"/>
    <m/>
    <n v="0"/>
    <m/>
    <n v="0"/>
    <m/>
    <n v="0"/>
    <s v="FLINTSL"/>
    <n v="19"/>
    <n v="0"/>
    <n v="4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0"/>
    <n v="0"/>
    <n v="0"/>
    <n v="0"/>
    <n v="0"/>
    <n v="0"/>
    <n v="0"/>
    <n v="0.8"/>
    <n v="0.2"/>
    <m/>
    <m/>
    <m/>
    <n v="0"/>
    <n v="35"/>
    <n v="0"/>
    <n v="0"/>
    <n v="35"/>
    <n v="35"/>
    <n v="28"/>
    <n v="0"/>
    <n v="7"/>
    <n v="0"/>
    <n v="0"/>
    <n v="0"/>
    <n v="0"/>
    <n v="0"/>
    <n v="0"/>
    <n v="0"/>
    <n v="0"/>
    <n v="0"/>
    <n v="0"/>
    <m/>
    <n v="27"/>
    <n v="43"/>
    <n v="66"/>
    <s v="FLINTSL"/>
    <s v="+"/>
    <s v="NIL"/>
    <s v="NIL"/>
    <s v="NIL"/>
    <s v="NIL"/>
    <s v="NIL"/>
    <s v="NIL"/>
    <s v="NIL"/>
    <b v="0"/>
  </r>
  <r>
    <d v="2026-01-09T00:00:00"/>
    <s v="A"/>
    <x v="102"/>
    <n v="67"/>
    <n v="478"/>
    <n v="24900"/>
    <s v="II"/>
    <s v="N"/>
    <n v="1.91"/>
    <s v="BLACK"/>
    <s v="C01426B"/>
    <s v="FLINTSL - BLACK"/>
    <n v="25"/>
    <n v="0"/>
    <m/>
    <m/>
    <n v="0"/>
    <n v="2650700001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3"/>
    <n v="0"/>
    <n v="10.863013698630134"/>
    <n v="0"/>
    <s v="REFLEX BLUE"/>
    <m/>
    <s v="FLINTSL - REFLEX BLUE"/>
    <m/>
    <n v="0"/>
    <m/>
    <m/>
    <n v="0"/>
    <n v="26510000011"/>
    <n v="26509000013"/>
    <n v="26512000010"/>
    <m/>
    <m/>
    <m/>
    <m/>
    <m/>
    <n v="5"/>
    <e v="#N/A"/>
    <n v="20"/>
    <e v="#N/A"/>
    <n v="1"/>
    <e v="#N/A"/>
    <m/>
    <n v="0"/>
    <m/>
    <n v="0"/>
    <m/>
    <n v="0"/>
    <m/>
    <n v="0"/>
    <m/>
    <n v="0"/>
    <s v="FLINTSL"/>
    <n v="18"/>
    <n v="0"/>
    <n v="17.150684931506845"/>
    <n v="0"/>
    <s v="GREEN"/>
    <s v="N00700G"/>
    <s v="FLINTSL - GREEN"/>
    <n v="26"/>
    <n v="0"/>
    <m/>
    <m/>
    <n v="0"/>
    <n v="26508000029"/>
    <n v="26507000016"/>
    <m/>
    <m/>
    <m/>
    <m/>
    <m/>
    <m/>
    <n v="5"/>
    <e v="#N/A"/>
    <n v="2"/>
    <e v="#N/A"/>
    <m/>
    <n v="0"/>
    <m/>
    <n v="0"/>
    <m/>
    <n v="0"/>
    <m/>
    <n v="0"/>
    <m/>
    <n v="0"/>
    <m/>
    <n v="0"/>
    <s v="FLINTSL"/>
    <n v="24"/>
    <n v="0"/>
    <n v="20.438356164383563"/>
    <n v="0"/>
    <s v="CYAN"/>
    <s v="C01426C"/>
    <s v="FLINTSL - CYAN"/>
    <n v="22"/>
    <n v="0"/>
    <m/>
    <m/>
    <n v="0"/>
    <n v="26507000018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4"/>
    <n v="0"/>
    <n v="13.438356164383563"/>
    <n v="0"/>
    <s v="MAGENTA"/>
    <s v="C01426M"/>
    <s v="FLINTSL - MAGENTA"/>
    <n v="29"/>
    <n v="0"/>
    <m/>
    <m/>
    <n v="0"/>
    <s v="FMD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30"/>
    <n v="0"/>
    <n v="20.438356164383563"/>
    <n v="0"/>
    <s v="YELLOW"/>
    <s v="0C1426Y"/>
    <s v="FLINTSL - YELLOW"/>
    <n v="25"/>
    <n v="0"/>
    <m/>
    <m/>
    <n v="0"/>
    <n v="26508000029"/>
    <s v="FMD"/>
    <m/>
    <m/>
    <m/>
    <m/>
    <m/>
    <m/>
    <n v="7"/>
    <e v="#N/A"/>
    <n v="3"/>
    <n v="0"/>
    <m/>
    <n v="0"/>
    <m/>
    <n v="0"/>
    <m/>
    <n v="0"/>
    <m/>
    <n v="0"/>
    <m/>
    <n v="0"/>
    <m/>
    <n v="0"/>
    <s v="FLINTSL"/>
    <n v="26"/>
    <n v="0"/>
    <n v="22.726027397260275"/>
    <n v="0"/>
    <s v="YELLOW"/>
    <m/>
    <s v="FLINTSL - YELLOW"/>
    <m/>
    <n v="0"/>
    <m/>
    <m/>
    <n v="0"/>
    <n v="26510000010"/>
    <n v="26509000015"/>
    <n v="26510000016"/>
    <m/>
    <m/>
    <m/>
    <m/>
    <m/>
    <n v="40"/>
    <e v="#N/A"/>
    <n v="40"/>
    <e v="#N/A"/>
    <n v="10"/>
    <e v="#N/A"/>
    <m/>
    <n v="0"/>
    <m/>
    <n v="0"/>
    <m/>
    <n v="0"/>
    <m/>
    <n v="0"/>
    <m/>
    <n v="0"/>
    <s v="FLINTSL"/>
    <n v="35"/>
    <n v="0"/>
    <n v="77.876712328767127"/>
    <n v="0"/>
    <s v="WHITE"/>
    <s v="C01426W"/>
    <s v="FLINTSL - WHITE"/>
    <n v="28"/>
    <n v="0"/>
    <m/>
    <m/>
    <n v="0"/>
    <s v="FW"/>
    <m/>
    <m/>
    <m/>
    <m/>
    <m/>
    <m/>
    <m/>
    <n v="70"/>
    <n v="0"/>
    <m/>
    <n v="0"/>
    <m/>
    <n v="0"/>
    <m/>
    <n v="0"/>
    <m/>
    <n v="0"/>
    <m/>
    <n v="0"/>
    <m/>
    <n v="0"/>
    <m/>
    <n v="0"/>
    <s v="FLINTSL"/>
    <n v="29"/>
    <n v="0"/>
    <n v="149.06849315068493"/>
    <n v="0"/>
    <n v="3"/>
    <n v="4"/>
    <n v="5"/>
    <n v="5"/>
    <n v="5"/>
    <n v="6"/>
    <n v="10"/>
    <n v="35"/>
    <n v="0.8"/>
    <n v="0.2"/>
    <m/>
    <m/>
    <m/>
    <n v="0"/>
    <n v="167"/>
    <n v="0"/>
    <n v="0"/>
    <n v="167"/>
    <n v="167"/>
    <n v="133.6"/>
    <n v="0"/>
    <n v="33.4"/>
    <n v="0"/>
    <n v="0"/>
    <n v="0"/>
    <n v="0"/>
    <n v="0"/>
    <n v="0"/>
    <n v="0"/>
    <n v="0"/>
    <n v="0"/>
    <n v="0"/>
    <m/>
    <n v="219"/>
    <n v="332"/>
    <n v="67"/>
    <s v="FLINTSLFLINTSLFLINTSLFLINTSLFLINTSLFLINTSLFLINTSLFLINTSL"/>
    <s v="+"/>
    <s v="+"/>
    <s v="+"/>
    <s v="+"/>
    <s v="+"/>
    <s v="+"/>
    <s v="+"/>
    <s v="+"/>
    <b v="0"/>
  </r>
  <r>
    <d v="2026-01-10T00:00:00"/>
    <s v="A"/>
    <x v="103"/>
    <n v="68"/>
    <n v="2066"/>
    <n v="38300"/>
    <s v="II"/>
    <s v="N"/>
    <n v="0.72"/>
    <s v="WHITE"/>
    <s v="C01424W"/>
    <s v="FLINTSL - WHITE"/>
    <n v="29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250.46341463414637"/>
    <n v="0"/>
    <s v="GREEN"/>
    <s v="C01424G"/>
    <s v="FLINTSL - GREEN"/>
    <n v="10"/>
    <n v="0"/>
    <m/>
    <m/>
    <n v="0"/>
    <n v="26510000016"/>
    <n v="26507000016"/>
    <n v="26507000010"/>
    <m/>
    <m/>
    <m/>
    <m/>
    <m/>
    <n v="10"/>
    <e v="#N/A"/>
    <n v="4"/>
    <e v="#N/A"/>
    <n v="2"/>
    <e v="#N/A"/>
    <m/>
    <n v="0"/>
    <m/>
    <n v="0"/>
    <m/>
    <n v="0"/>
    <m/>
    <n v="0"/>
    <m/>
    <n v="0"/>
    <s v="FLINTSL"/>
    <n v="20"/>
    <n v="0"/>
    <n v="31.243902439024389"/>
    <n v="0"/>
    <s v="RED"/>
    <s v="C01426R"/>
    <s v="FLINTSL - RED"/>
    <n v="27"/>
    <n v="0"/>
    <m/>
    <m/>
    <n v="0"/>
    <n v="2650500002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9.0487804878048763"/>
    <n v="0"/>
    <s v="GREEN"/>
    <s v="C01426G"/>
    <s v="FLINTSL - GREEN"/>
    <n v="5"/>
    <n v="0"/>
    <m/>
    <m/>
    <n v="0"/>
    <n v="26510000016"/>
    <n v="26507000018"/>
    <n v="26507000010"/>
    <m/>
    <m/>
    <m/>
    <m/>
    <m/>
    <n v="10"/>
    <e v="#N/A"/>
    <n v="8"/>
    <e v="#N/A"/>
    <n v="0.4"/>
    <e v="#N/A"/>
    <m/>
    <n v="0"/>
    <m/>
    <n v="0"/>
    <m/>
    <n v="0"/>
    <m/>
    <n v="0"/>
    <m/>
    <n v="0"/>
    <s v="FLINTSL"/>
    <n v="24"/>
    <n v="0"/>
    <n v="12.021951219512189"/>
    <n v="0"/>
    <s v="BLACK"/>
    <s v="C01424B"/>
    <s v="FLINTSL - BLACK"/>
    <n v="23"/>
    <n v="0"/>
    <m/>
    <m/>
    <n v="0"/>
    <n v="26507000010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6"/>
    <n v="0"/>
    <n v="19.62195121951219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60"/>
    <n v="10"/>
    <n v="2"/>
    <n v="5"/>
    <n v="5"/>
    <n v="0"/>
    <n v="0"/>
    <n v="0"/>
    <n v="0.8"/>
    <n v="0.2"/>
    <m/>
    <m/>
    <m/>
    <n v="0"/>
    <n v="207"/>
    <n v="0"/>
    <n v="0"/>
    <n v="207"/>
    <n v="207"/>
    <n v="165.60000000000002"/>
    <n v="0"/>
    <n v="41.400000000000006"/>
    <n v="0"/>
    <n v="0"/>
    <n v="0"/>
    <n v="0"/>
    <n v="0"/>
    <n v="0"/>
    <n v="0"/>
    <n v="0"/>
    <n v="0"/>
    <n v="0"/>
    <m/>
    <n v="146.4"/>
    <n v="322.40000000000003"/>
    <n v="68"/>
    <s v="FLINTSLFLINTSLFLINTSLFLINTSLFLINTSL"/>
    <s v="+"/>
    <s v="+"/>
    <s v="+"/>
    <s v="+"/>
    <s v="+"/>
    <s v="NIL"/>
    <s v="NIL"/>
    <s v="NIL"/>
    <b v="0"/>
  </r>
  <r>
    <d v="2026-01-10T00:00:00"/>
    <s v="A"/>
    <x v="104"/>
    <n v="69"/>
    <n v="2084"/>
    <n v="38600"/>
    <s v="II"/>
    <s v="N"/>
    <n v="0.91"/>
    <s v="WHITE"/>
    <s v="C01452W"/>
    <s v="FLINTSL - WHITE"/>
    <n v="30"/>
    <n v="0"/>
    <m/>
    <m/>
    <n v="0"/>
    <s v="FW"/>
    <m/>
    <m/>
    <m/>
    <m/>
    <m/>
    <m/>
    <m/>
    <n v="120"/>
    <n v="0"/>
    <m/>
    <n v="0"/>
    <m/>
    <n v="0"/>
    <m/>
    <n v="0"/>
    <m/>
    <n v="0"/>
    <m/>
    <n v="0"/>
    <m/>
    <n v="0"/>
    <m/>
    <n v="0"/>
    <s v="FLINTSL"/>
    <n v="27"/>
    <n v="0"/>
    <n v="279"/>
    <n v="0"/>
    <s v="REFLEX BLUE"/>
    <m/>
    <s v="FLINTSL - REFLEX BLUE"/>
    <m/>
    <n v="0"/>
    <m/>
    <m/>
    <n v="0"/>
    <n v="26507000018"/>
    <s v="FMD"/>
    <n v="26507000016"/>
    <n v="26510000016"/>
    <m/>
    <m/>
    <m/>
    <m/>
    <n v="2"/>
    <e v="#N/A"/>
    <n v="20"/>
    <n v="0"/>
    <n v="0.3"/>
    <e v="#N/A"/>
    <n v="0.2"/>
    <e v="#N/A"/>
    <m/>
    <n v="0"/>
    <m/>
    <n v="0"/>
    <m/>
    <n v="0"/>
    <m/>
    <n v="0"/>
    <s v="FLINTSL"/>
    <n v="23"/>
    <n v="0"/>
    <n v="38.5"/>
    <n v="0"/>
    <s v="RED"/>
    <s v="C01452R"/>
    <s v="FLINTSL - RED"/>
    <n v="25"/>
    <n v="0"/>
    <m/>
    <m/>
    <n v="0"/>
    <n v="26505000028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6"/>
    <n v="0"/>
    <n v="7.7999999999999972"/>
    <n v="0"/>
    <s v="GREEN"/>
    <s v="C01452G"/>
    <s v="FLINTSL - GREEN"/>
    <n v="24"/>
    <n v="0"/>
    <m/>
    <m/>
    <n v="0"/>
    <n v="26507000018"/>
    <n v="26510000016"/>
    <m/>
    <m/>
    <m/>
    <m/>
    <m/>
    <m/>
    <n v="2"/>
    <e v="#N/A"/>
    <n v="1"/>
    <e v="#N/A"/>
    <m/>
    <n v="0"/>
    <m/>
    <n v="0"/>
    <m/>
    <n v="0"/>
    <m/>
    <n v="0"/>
    <m/>
    <n v="0"/>
    <m/>
    <n v="0"/>
    <s v="FLINTSL"/>
    <n v="25"/>
    <n v="0"/>
    <n v="4.6000000000000014"/>
    <n v="0"/>
    <s v="BLACK"/>
    <s v="C01452B"/>
    <s v="FLINTSL - BLACK"/>
    <n v="26"/>
    <n v="0"/>
    <m/>
    <m/>
    <n v="0"/>
    <n v="2650700001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6.600000000000001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60"/>
    <n v="15"/>
    <n v="3"/>
    <n v="1"/>
    <n v="1"/>
    <n v="0"/>
    <n v="0"/>
    <n v="0"/>
    <n v="0.8"/>
    <n v="0.2"/>
    <m/>
    <m/>
    <m/>
    <n v="0"/>
    <n v="208"/>
    <n v="0"/>
    <n v="0"/>
    <n v="208"/>
    <n v="208"/>
    <n v="166.4"/>
    <n v="0"/>
    <n v="41.6"/>
    <n v="0"/>
    <n v="0"/>
    <n v="0"/>
    <n v="0"/>
    <n v="0"/>
    <n v="0"/>
    <n v="0"/>
    <n v="0"/>
    <n v="0"/>
    <n v="0"/>
    <m/>
    <n v="148.5"/>
    <n v="336.50000000000006"/>
    <n v="69"/>
    <s v="FLINTSLFLINTSLFLINTSLFLINTSLFLINTSL"/>
    <s v="+"/>
    <s v="+"/>
    <s v="+"/>
    <s v="+"/>
    <s v="+"/>
    <s v="NIL"/>
    <s v="NIL"/>
    <s v="NIL"/>
    <b v="0"/>
  </r>
  <r>
    <d v="2026-01-10T00:00:00"/>
    <s v="B"/>
    <x v="105"/>
    <n v="70"/>
    <n v="474"/>
    <n v="22500"/>
    <s v="II"/>
    <s v="N"/>
    <n v="1.4"/>
    <s v="BLACK"/>
    <s v="C01453B"/>
    <s v="FLINTSL - BLACK"/>
    <n v="24"/>
    <n v="0"/>
    <m/>
    <m/>
    <n v="0"/>
    <n v="26507000010"/>
    <s v="FMD"/>
    <m/>
    <m/>
    <m/>
    <m/>
    <m/>
    <m/>
    <n v="4"/>
    <e v="#N/A"/>
    <n v="5"/>
    <n v="0"/>
    <m/>
    <n v="0"/>
    <m/>
    <n v="0"/>
    <m/>
    <n v="0"/>
    <m/>
    <n v="0"/>
    <m/>
    <n v="0"/>
    <m/>
    <n v="0"/>
    <s v="FLINTSL"/>
    <n v="30"/>
    <n v="0"/>
    <n v="15.909090909090907"/>
    <n v="0"/>
    <s v="GOLD"/>
    <s v="C01354G"/>
    <s v="INK PRODUCT - GOLD"/>
    <n v="20"/>
    <n v="0"/>
    <m/>
    <m/>
    <n v="0"/>
    <s v="FGO"/>
    <m/>
    <m/>
    <m/>
    <m/>
    <m/>
    <m/>
    <m/>
    <n v="3"/>
    <n v="0"/>
    <m/>
    <n v="0"/>
    <m/>
    <n v="0"/>
    <m/>
    <n v="0"/>
    <m/>
    <n v="0"/>
    <m/>
    <n v="0"/>
    <m/>
    <n v="0"/>
    <m/>
    <n v="0"/>
    <s v="INK PRODUCT"/>
    <n v="20"/>
    <n v="0"/>
    <n v="9.4545454545454533"/>
    <n v="0"/>
    <s v="BLACK"/>
    <m/>
    <s v="FLINTSL - BLACK"/>
    <m/>
    <n v="0"/>
    <m/>
    <m/>
    <n v="0"/>
    <n v="26510000015"/>
    <n v="26510000014"/>
    <n v="26510000017"/>
    <m/>
    <m/>
    <m/>
    <m/>
    <m/>
    <n v="40"/>
    <e v="#N/A"/>
    <n v="30"/>
    <e v="#N/A"/>
    <n v="30"/>
    <e v="#N/A"/>
    <m/>
    <n v="0"/>
    <m/>
    <n v="0"/>
    <m/>
    <n v="0"/>
    <m/>
    <n v="0"/>
    <m/>
    <n v="0"/>
    <s v="FLINTSL"/>
    <n v="41"/>
    <n v="0"/>
    <n v="59"/>
    <n v="0"/>
    <s v="REFLEX BLUE"/>
    <s v="C01426B"/>
    <s v="FLINTSL - REFLEX BLUE"/>
    <n v="15"/>
    <n v="0"/>
    <s v="F00825RB"/>
    <n v="10"/>
    <n v="0"/>
    <n v="26512000010"/>
    <n v="26507000010"/>
    <m/>
    <m/>
    <m/>
    <m/>
    <m/>
    <m/>
    <n v="3"/>
    <e v="#N/A"/>
    <n v="1"/>
    <e v="#N/A"/>
    <m/>
    <n v="0"/>
    <m/>
    <n v="0"/>
    <m/>
    <n v="0"/>
    <m/>
    <n v="0"/>
    <m/>
    <n v="0"/>
    <m/>
    <n v="0"/>
    <s v="FLINTSL"/>
    <n v="27"/>
    <n v="0"/>
    <n v="11.68181818181818"/>
    <n v="0"/>
    <s v="CYAN"/>
    <s v="C01424C"/>
    <s v="FLINTSL - CYAN"/>
    <n v="24"/>
    <n v="0"/>
    <m/>
    <m/>
    <n v="0"/>
    <n v="26507000018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7"/>
    <n v="0"/>
    <n v="11.68181818181818"/>
    <n v="0"/>
    <s v="MAGENTA"/>
    <s v="C01424M"/>
    <s v="FLINTSL - MAGENTA"/>
    <n v="30"/>
    <n v="0"/>
    <m/>
    <m/>
    <n v="0"/>
    <n v="26512000010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11.454545454545453"/>
    <n v="0"/>
    <s v="YELLOW"/>
    <s v="C01424Y"/>
    <s v="FLINTSL - YELLOW"/>
    <n v="26"/>
    <n v="0"/>
    <m/>
    <m/>
    <n v="0"/>
    <n v="26511000001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5"/>
    <n v="0"/>
    <n v="27.13636363636364"/>
    <n v="0"/>
    <s v="WHITE"/>
    <s v="C01453W"/>
    <s v="FLINTSL - WHITE"/>
    <n v="27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30"/>
    <n v="0"/>
    <n v="127.68181818181819"/>
    <n v="0"/>
    <n v="4"/>
    <n v="2"/>
    <n v="0"/>
    <n v="3"/>
    <n v="3"/>
    <n v="2"/>
    <n v="5"/>
    <n v="25"/>
    <n v="0.8"/>
    <n v="0.2"/>
    <m/>
    <m/>
    <m/>
    <n v="0"/>
    <n v="142"/>
    <n v="0"/>
    <n v="0"/>
    <n v="142"/>
    <n v="142"/>
    <n v="113.60000000000001"/>
    <n v="0"/>
    <n v="28.400000000000002"/>
    <n v="0"/>
    <n v="0"/>
    <n v="0"/>
    <n v="0"/>
    <n v="0"/>
    <n v="0"/>
    <n v="0"/>
    <n v="0"/>
    <n v="0"/>
    <n v="0"/>
    <m/>
    <n v="186"/>
    <n v="274"/>
    <n v="70"/>
    <s v="FLINTSLINK PRODUCTFLINTSLFLINTSLFLINTSLFLINTSLFLINTSLFLINTSL"/>
    <s v="+"/>
    <s v="+"/>
    <s v="+"/>
    <s v="+"/>
    <s v="+"/>
    <s v="+"/>
    <s v="+"/>
    <s v="+"/>
    <b v="0"/>
  </r>
  <r>
    <d v="2026-01-10T00:00:00"/>
    <s v="B"/>
    <x v="106"/>
    <n v="71"/>
    <n v="476"/>
    <n v="23400"/>
    <s v="II"/>
    <s v="N"/>
    <n v="1.75"/>
    <s v="BLACK"/>
    <s v="E00988B"/>
    <s v="FLINTSL - BLACK"/>
    <n v="30"/>
    <n v="0"/>
    <m/>
    <m/>
    <n v="0"/>
    <n v="2650700001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6"/>
    <n v="0"/>
    <n v="14.246913580246911"/>
    <n v="0"/>
    <s v="REFLEX BLUE"/>
    <s v="F00825B"/>
    <s v="FLINTSL - REFLEX BLUE"/>
    <n v="23"/>
    <n v="0"/>
    <m/>
    <m/>
    <n v="0"/>
    <n v="26507000010"/>
    <s v="FMD"/>
    <n v="26507000016"/>
    <m/>
    <m/>
    <m/>
    <m/>
    <m/>
    <n v="0.5"/>
    <e v="#N/A"/>
    <n v="8"/>
    <n v="0"/>
    <n v="4"/>
    <e v="#N/A"/>
    <m/>
    <n v="0"/>
    <m/>
    <n v="0"/>
    <m/>
    <n v="0"/>
    <m/>
    <n v="0"/>
    <m/>
    <n v="0"/>
    <s v="FLINTSL"/>
    <n v="21"/>
    <n v="0"/>
    <n v="20.685185185185183"/>
    <n v="0"/>
    <s v="RED"/>
    <s v="B01042R"/>
    <s v="FLINTSL - RED"/>
    <n v="10"/>
    <n v="0"/>
    <s v="F00854R"/>
    <n v="30"/>
    <n v="0"/>
    <n v="26512000010"/>
    <s v="FR"/>
    <m/>
    <m/>
    <m/>
    <m/>
    <m/>
    <m/>
    <n v="8"/>
    <e v="#N/A"/>
    <n v="2"/>
    <n v="0"/>
    <m/>
    <n v="0"/>
    <m/>
    <n v="0"/>
    <m/>
    <n v="0"/>
    <m/>
    <n v="0"/>
    <m/>
    <n v="0"/>
    <m/>
    <n v="0"/>
    <s v="FLINTSL"/>
    <n v="24"/>
    <n v="0"/>
    <n v="36.308641975308639"/>
    <n v="0"/>
    <s v="CYAN"/>
    <s v="E00988C"/>
    <s v="FLINTSL - CYAN"/>
    <n v="27"/>
    <n v="0"/>
    <m/>
    <m/>
    <n v="0"/>
    <n v="26507000018"/>
    <s v="FMD"/>
    <m/>
    <m/>
    <m/>
    <m/>
    <m/>
    <m/>
    <n v="2"/>
    <e v="#N/A"/>
    <n v="3"/>
    <n v="0"/>
    <m/>
    <n v="0"/>
    <m/>
    <n v="0"/>
    <m/>
    <n v="0"/>
    <m/>
    <n v="0"/>
    <m/>
    <n v="0"/>
    <m/>
    <n v="0"/>
    <s v="FLINTSL"/>
    <n v="25"/>
    <n v="0"/>
    <n v="15.246913580246911"/>
    <n v="0"/>
    <s v="MAGENTA"/>
    <s v="E00988M"/>
    <s v="FLINTSL - MAGENTA"/>
    <n v="30"/>
    <n v="0"/>
    <m/>
    <m/>
    <n v="0"/>
    <n v="26512000010"/>
    <s v="FMD"/>
    <m/>
    <m/>
    <m/>
    <m/>
    <m/>
    <m/>
    <n v="3"/>
    <e v="#N/A"/>
    <n v="2"/>
    <n v="0"/>
    <m/>
    <n v="0"/>
    <m/>
    <n v="0"/>
    <m/>
    <n v="0"/>
    <m/>
    <n v="0"/>
    <m/>
    <n v="0"/>
    <m/>
    <n v="0"/>
    <s v="FLINTSL"/>
    <n v="24"/>
    <n v="0"/>
    <n v="17.185185185185183"/>
    <n v="0"/>
    <s v="YELLOW"/>
    <s v="E00988Y"/>
    <s v="FLINTSL - YELLOW"/>
    <n v="25"/>
    <n v="0"/>
    <m/>
    <m/>
    <n v="0"/>
    <n v="26510000013"/>
    <n v="26510000012"/>
    <m/>
    <m/>
    <m/>
    <m/>
    <m/>
    <m/>
    <n v="40"/>
    <e v="#N/A"/>
    <n v="40"/>
    <e v="#N/A"/>
    <m/>
    <n v="0"/>
    <m/>
    <n v="0"/>
    <m/>
    <n v="0"/>
    <m/>
    <n v="0"/>
    <m/>
    <n v="0"/>
    <m/>
    <n v="0"/>
    <s v="FLINTSL"/>
    <n v="27"/>
    <n v="0"/>
    <n v="78"/>
    <n v="0"/>
    <s v="GOLD"/>
    <s v="E00988G"/>
    <s v="FLINTSL - GOLD"/>
    <n v="20"/>
    <n v="0"/>
    <s v="N00871G"/>
    <n v="16"/>
    <n v="0"/>
    <n v="26507000010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8"/>
    <n v="0"/>
    <n v="13.123456790123456"/>
    <n v="0"/>
    <s v="WHITE"/>
    <s v="E00988W"/>
    <s v="FLINTSL - WHITE"/>
    <n v="30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28"/>
    <n v="0"/>
    <n v="225.7037037037037"/>
    <n v="0"/>
    <n v="4"/>
    <n v="3"/>
    <n v="5"/>
    <n v="4"/>
    <n v="3"/>
    <n v="0"/>
    <n v="2"/>
    <n v="60"/>
    <n v="0.8"/>
    <n v="0.2"/>
    <m/>
    <m/>
    <m/>
    <n v="0"/>
    <n v="167"/>
    <n v="0"/>
    <n v="0"/>
    <n v="167"/>
    <n v="167"/>
    <n v="133.6"/>
    <n v="0"/>
    <n v="33.4"/>
    <n v="0"/>
    <n v="0"/>
    <n v="0"/>
    <n v="0"/>
    <n v="0"/>
    <n v="0"/>
    <n v="0"/>
    <n v="0"/>
    <n v="0"/>
    <n v="0"/>
    <m/>
    <n v="215.5"/>
    <n v="420.5"/>
    <n v="71"/>
    <s v="FLINTSLFLINTSLFLINTSLFLINTSLFLINTSLFLINTSLFLINTSLFLINTSL"/>
    <s v="+"/>
    <s v="+"/>
    <s v="+"/>
    <s v="+"/>
    <s v="+"/>
    <s v="+"/>
    <s v="+"/>
    <s v="+"/>
    <b v="0"/>
  </r>
  <r>
    <d v="2026-01-10T00:00:00"/>
    <s v="B"/>
    <x v="107"/>
    <n v="72"/>
    <n v="278"/>
    <n v="13300"/>
    <s v="II"/>
    <s v="N"/>
    <n v="1.3"/>
    <s v="BLACK"/>
    <s v="C01457B"/>
    <s v="FLINTSL - BLACK"/>
    <n v="26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5"/>
    <n v="0"/>
    <n v="7.4769230769230788"/>
    <n v="0"/>
    <s v="REFLEX BLUE"/>
    <m/>
    <s v="FLINTSL - REFLEX BLUE"/>
    <m/>
    <n v="0"/>
    <m/>
    <m/>
    <n v="0"/>
    <n v="26506000001"/>
    <n v="26507000020"/>
    <n v="26512000010"/>
    <m/>
    <m/>
    <m/>
    <m/>
    <m/>
    <n v="8"/>
    <e v="#N/A"/>
    <n v="10"/>
    <e v="#N/A"/>
    <n v="4"/>
    <e v="#N/A"/>
    <m/>
    <n v="0"/>
    <m/>
    <n v="0"/>
    <m/>
    <n v="0"/>
    <m/>
    <n v="0"/>
    <m/>
    <n v="0"/>
    <s v="FLINTSL"/>
    <n v="28"/>
    <n v="0"/>
    <n v="5.9384615384615387"/>
    <n v="0"/>
    <s v="RED"/>
    <s v="C01457R"/>
    <s v="FLINTSL - RED"/>
    <n v="24"/>
    <n v="0"/>
    <m/>
    <m/>
    <n v="0"/>
    <n v="26512000010"/>
    <n v="26505000028"/>
    <m/>
    <m/>
    <m/>
    <m/>
    <m/>
    <m/>
    <n v="2"/>
    <e v="#N/A"/>
    <n v="5"/>
    <e v="#N/A"/>
    <m/>
    <n v="0"/>
    <m/>
    <n v="0"/>
    <m/>
    <n v="0"/>
    <m/>
    <n v="0"/>
    <m/>
    <n v="0"/>
    <m/>
    <n v="0"/>
    <s v="FLINTSL"/>
    <n v="28"/>
    <n v="0"/>
    <n v="8.9692307692307693"/>
    <n v="0"/>
    <s v="CYAN"/>
    <s v="C01457C"/>
    <s v="FLINTSL - CYAN"/>
    <n v="25"/>
    <n v="0"/>
    <m/>
    <m/>
    <n v="0"/>
    <n v="26507000018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4"/>
    <n v="0"/>
    <n v="4.9846153846153847"/>
    <n v="0"/>
    <s v="MAGENTA"/>
    <s v="C01457M"/>
    <s v="FLINTSL - MAGENTA"/>
    <n v="24"/>
    <n v="0"/>
    <m/>
    <m/>
    <n v="0"/>
    <n v="26512000010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6"/>
    <n v="0"/>
    <n v="5.4769230769230788"/>
    <n v="0"/>
    <s v="YELLOW"/>
    <s v="C01457Y"/>
    <s v="FLINTSL - YELLOW"/>
    <n v="27"/>
    <n v="0"/>
    <m/>
    <m/>
    <n v="0"/>
    <n v="26510000016"/>
    <s v="FMD"/>
    <m/>
    <m/>
    <m/>
    <m/>
    <m/>
    <m/>
    <n v="2"/>
    <e v="#N/A"/>
    <n v="2"/>
    <n v="0"/>
    <m/>
    <n v="0"/>
    <m/>
    <n v="0"/>
    <m/>
    <n v="0"/>
    <m/>
    <n v="0"/>
    <m/>
    <n v="0"/>
    <m/>
    <n v="0"/>
    <s v="FLINTSL"/>
    <n v="29"/>
    <n v="0"/>
    <n v="9.4615384615384599"/>
    <n v="0"/>
    <s v="WHITE"/>
    <s v="C01457W"/>
    <s v="FLINTSL - WHITE"/>
    <n v="28"/>
    <n v="0"/>
    <m/>
    <m/>
    <n v="0"/>
    <s v="FW"/>
    <m/>
    <m/>
    <m/>
    <m/>
    <m/>
    <m/>
    <m/>
    <n v="80"/>
    <n v="0"/>
    <m/>
    <n v="0"/>
    <m/>
    <n v="0"/>
    <m/>
    <n v="0"/>
    <m/>
    <n v="0"/>
    <m/>
    <n v="0"/>
    <m/>
    <n v="0"/>
    <m/>
    <n v="0"/>
    <s v="FLINTSL"/>
    <n v="26"/>
    <n v="0"/>
    <n v="141.6923076923076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8"/>
    <n v="4"/>
    <n v="2"/>
    <n v="3"/>
    <n v="5"/>
    <n v="40"/>
    <n v="0"/>
    <n v="0.8"/>
    <n v="0.2"/>
    <m/>
    <m/>
    <m/>
    <n v="0"/>
    <n v="97"/>
    <n v="0"/>
    <n v="0"/>
    <n v="97"/>
    <n v="97"/>
    <n v="77.600000000000009"/>
    <n v="0"/>
    <n v="19.400000000000002"/>
    <n v="0"/>
    <n v="0"/>
    <n v="0"/>
    <n v="0"/>
    <n v="0"/>
    <n v="0"/>
    <n v="0"/>
    <n v="0"/>
    <n v="0"/>
    <n v="0"/>
    <m/>
    <n v="119"/>
    <n v="184"/>
    <n v="72"/>
    <s v="FLINTSLFLINTSLFLINTSLFLINTSLFLINTSLFLINTSLFLINTSL"/>
    <s v="+"/>
    <s v="+"/>
    <s v="+"/>
    <s v="+"/>
    <s v="+"/>
    <s v="+"/>
    <s v="+"/>
    <s v="NIL"/>
    <b v="0"/>
  </r>
  <r>
    <d v="2026-01-10T00:00:00"/>
    <s v="B"/>
    <x v="108"/>
    <n v="73"/>
    <n v="304"/>
    <n v="14900"/>
    <s v="II"/>
    <s v="N"/>
    <n v="0.3"/>
    <s v="GREEN"/>
    <s v="H01273G"/>
    <s v="FLINTSL - GREEN"/>
    <n v="29"/>
    <n v="0"/>
    <m/>
    <m/>
    <n v="0"/>
    <n v="2650700001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8.6923076923076934"/>
    <n v="0"/>
    <s v="GREEN"/>
    <s v="C01452G"/>
    <s v="FLINTSL - GREEN"/>
    <n v="20"/>
    <n v="0"/>
    <m/>
    <m/>
    <n v="0"/>
    <n v="26507000018"/>
    <n v="26510000016"/>
    <m/>
    <m/>
    <m/>
    <m/>
    <m/>
    <m/>
    <n v="4"/>
    <e v="#N/A"/>
    <n v="7"/>
    <e v="#N/A"/>
    <m/>
    <n v="0"/>
    <m/>
    <n v="0"/>
    <m/>
    <n v="0"/>
    <m/>
    <n v="0"/>
    <m/>
    <n v="0"/>
    <m/>
    <n v="0"/>
    <s v="FLINTSL"/>
    <n v="25"/>
    <n v="0"/>
    <n v="13.03846153846154"/>
    <n v="0"/>
    <s v="RED"/>
    <s v="H01216R"/>
    <s v="FLINTSL - RED"/>
    <n v="15"/>
    <n v="0"/>
    <m/>
    <m/>
    <n v="0"/>
    <n v="26505000028"/>
    <n v="26512000010"/>
    <m/>
    <m/>
    <m/>
    <m/>
    <m/>
    <m/>
    <n v="10"/>
    <e v="#N/A"/>
    <n v="1"/>
    <e v="#N/A"/>
    <m/>
    <n v="0"/>
    <m/>
    <n v="0"/>
    <m/>
    <n v="0"/>
    <m/>
    <n v="0"/>
    <m/>
    <n v="0"/>
    <m/>
    <n v="0"/>
    <s v="FLINTSL"/>
    <n v="25"/>
    <n v="0"/>
    <n v="10.384615384615387"/>
    <n v="0"/>
    <s v="YELLOW"/>
    <s v="C01424Y"/>
    <s v="FLINTSL - YELLOW"/>
    <n v="20"/>
    <n v="0"/>
    <m/>
    <m/>
    <n v="0"/>
    <n v="26506000002"/>
    <n v="26505000028"/>
    <n v="26507000010"/>
    <m/>
    <m/>
    <m/>
    <m/>
    <m/>
    <n v="3"/>
    <e v="#N/A"/>
    <n v="0.5"/>
    <e v="#N/A"/>
    <n v="0.1"/>
    <e v="#N/A"/>
    <m/>
    <n v="0"/>
    <m/>
    <n v="0"/>
    <m/>
    <n v="0"/>
    <m/>
    <n v="0"/>
    <m/>
    <n v="0"/>
    <s v="FLINTSL"/>
    <n v="20"/>
    <n v="0"/>
    <n v="8.2923076923076948"/>
    <n v="0"/>
    <s v="WHITE"/>
    <s v="H01216W"/>
    <s v="FLINTSL - WHITE"/>
    <n v="26"/>
    <n v="0"/>
    <m/>
    <m/>
    <n v="0"/>
    <s v="FW"/>
    <m/>
    <m/>
    <m/>
    <m/>
    <m/>
    <m/>
    <m/>
    <n v="30"/>
    <n v="0"/>
    <m/>
    <n v="0"/>
    <m/>
    <n v="0"/>
    <m/>
    <n v="0"/>
    <m/>
    <n v="0"/>
    <m/>
    <n v="0"/>
    <m/>
    <n v="0"/>
    <m/>
    <n v="0"/>
    <s v="FLINTSL"/>
    <n v="27"/>
    <n v="0"/>
    <n v="64.19230769230767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4"/>
    <n v="2"/>
    <n v="15"/>
    <n v="0"/>
    <n v="0"/>
    <n v="0"/>
    <n v="0.8"/>
    <n v="0.2"/>
    <m/>
    <m/>
    <m/>
    <n v="0"/>
    <n v="61"/>
    <n v="0"/>
    <n v="0"/>
    <n v="61"/>
    <n v="61"/>
    <n v="48.800000000000004"/>
    <n v="0"/>
    <n v="12.200000000000001"/>
    <n v="0"/>
    <n v="0"/>
    <n v="0"/>
    <n v="0"/>
    <n v="0"/>
    <n v="0"/>
    <n v="0"/>
    <n v="0"/>
    <n v="0"/>
    <n v="0"/>
    <m/>
    <n v="57.6"/>
    <n v="104.6"/>
    <n v="73"/>
    <s v="FLINTSLFLINTSLFLINTSLFLINTSLFLINTSL"/>
    <s v="+"/>
    <s v="+"/>
    <s v="+"/>
    <s v="+"/>
    <s v="+"/>
    <s v="NIL"/>
    <s v="NIL"/>
    <s v="NIL"/>
    <b v="0"/>
  </r>
  <r>
    <d v="2026-01-11T00:00:00"/>
    <s v="A"/>
    <x v="109"/>
    <n v="74"/>
    <n v="537"/>
    <n v="19400"/>
    <s v="II"/>
    <s v="N"/>
    <n v="2.48"/>
    <s v="BLACK"/>
    <s v="H01216B"/>
    <s v="FLINTSL - BLACK"/>
    <n v="25"/>
    <n v="0"/>
    <m/>
    <m/>
    <n v="0"/>
    <n v="26507000010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30"/>
    <n v="0"/>
    <n v="9.4090909090909065"/>
    <n v="0"/>
    <s v="GREEN"/>
    <s v="G00402G"/>
    <s v="FLINTSL - GREEN"/>
    <n v="25"/>
    <n v="0"/>
    <m/>
    <m/>
    <n v="0"/>
    <n v="26508000030"/>
    <n v="26513000011"/>
    <m/>
    <m/>
    <m/>
    <m/>
    <m/>
    <m/>
    <n v="6"/>
    <e v="#N/A"/>
    <n v="1"/>
    <e v="#N/A"/>
    <m/>
    <n v="0"/>
    <m/>
    <n v="0"/>
    <m/>
    <n v="0"/>
    <m/>
    <n v="0"/>
    <m/>
    <n v="0"/>
    <m/>
    <n v="0"/>
    <s v="FLINTSL"/>
    <n v="29"/>
    <n v="0"/>
    <n v="13.68181818181818"/>
    <n v="0"/>
    <s v="CYAN"/>
    <s v="H01216C"/>
    <s v="FLINTSL - CYAN"/>
    <n v="24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9"/>
    <n v="0"/>
    <n v="6.4090909090909065"/>
    <n v="0"/>
    <s v="MAGENTA"/>
    <s v="H01216M"/>
    <s v="FLINTSL - MAGENTA"/>
    <n v="26"/>
    <n v="0"/>
    <m/>
    <m/>
    <n v="0"/>
    <n v="26512000010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1"/>
    <n v="0"/>
    <n v="6.4090909090909065"/>
    <n v="0"/>
    <s v="YELLOW"/>
    <s v="H01216Y"/>
    <s v="FLINTSL - YELLOW"/>
    <n v="29"/>
    <n v="0"/>
    <m/>
    <m/>
    <n v="0"/>
    <n v="26505000028"/>
    <m/>
    <m/>
    <m/>
    <m/>
    <m/>
    <m/>
    <m/>
    <n v="0.2"/>
    <e v="#N/A"/>
    <m/>
    <n v="0"/>
    <m/>
    <n v="0"/>
    <m/>
    <n v="0"/>
    <m/>
    <n v="0"/>
    <m/>
    <n v="0"/>
    <m/>
    <n v="0"/>
    <m/>
    <n v="0"/>
    <s v="FLINTSL"/>
    <n v="28"/>
    <n v="0"/>
    <n v="7.6090909090909093"/>
    <n v="0"/>
    <s v="YELLOW"/>
    <m/>
    <s v="FLINTSL - YELLOW"/>
    <m/>
    <n v="0"/>
    <m/>
    <m/>
    <n v="0"/>
    <n v="26511000002"/>
    <s v="FO"/>
    <m/>
    <m/>
    <m/>
    <m/>
    <m/>
    <m/>
    <n v="15"/>
    <e v="#N/A"/>
    <n v="3"/>
    <n v="0"/>
    <m/>
    <n v="0"/>
    <m/>
    <n v="0"/>
    <m/>
    <n v="0"/>
    <m/>
    <n v="0"/>
    <m/>
    <n v="0"/>
    <m/>
    <n v="0"/>
    <s v="FLINTSL"/>
    <n v="24"/>
    <n v="0"/>
    <n v="6.8181818181818166"/>
    <n v="0"/>
    <s v="MEDIUM"/>
    <m/>
    <s v="FLINTSL - MEDIUM"/>
    <m/>
    <n v="0"/>
    <m/>
    <m/>
    <n v="0"/>
    <s v="FMD"/>
    <s v="FW"/>
    <n v="26511000002"/>
    <m/>
    <m/>
    <m/>
    <m/>
    <m/>
    <n v="20"/>
    <n v="0"/>
    <n v="20"/>
    <n v="0"/>
    <n v="2"/>
    <e v="#N/A"/>
    <m/>
    <n v="0"/>
    <m/>
    <n v="0"/>
    <m/>
    <n v="0"/>
    <m/>
    <n v="0"/>
    <m/>
    <n v="0"/>
    <s v="FLINTSL"/>
    <n v="22"/>
    <n v="0"/>
    <n v="52.045454545454533"/>
    <n v="0"/>
    <s v="WHITE"/>
    <s v="H01216W"/>
    <s v="FLINTSL - WHITE"/>
    <n v="26"/>
    <n v="0"/>
    <m/>
    <m/>
    <n v="0"/>
    <s v="FW"/>
    <m/>
    <m/>
    <m/>
    <m/>
    <m/>
    <m/>
    <m/>
    <n v="80"/>
    <n v="0"/>
    <m/>
    <n v="0"/>
    <m/>
    <n v="0"/>
    <m/>
    <n v="0"/>
    <m/>
    <n v="0"/>
    <m/>
    <n v="0"/>
    <m/>
    <n v="0"/>
    <m/>
    <n v="0"/>
    <s v="FLINTSL"/>
    <n v="30"/>
    <n v="0"/>
    <n v="182.81818181818181"/>
    <n v="0"/>
    <n v="3"/>
    <n v="5"/>
    <n v="3"/>
    <n v="3"/>
    <n v="3"/>
    <n v="6"/>
    <n v="15"/>
    <n v="50"/>
    <n v="0.8"/>
    <n v="0.2"/>
    <m/>
    <m/>
    <m/>
    <n v="0"/>
    <n v="188"/>
    <n v="0"/>
    <n v="0"/>
    <n v="188"/>
    <n v="188"/>
    <n v="150.4"/>
    <n v="0"/>
    <n v="37.6"/>
    <n v="0"/>
    <n v="0"/>
    <n v="0"/>
    <n v="0"/>
    <n v="0"/>
    <n v="0"/>
    <n v="0"/>
    <n v="0"/>
    <n v="0"/>
    <n v="0"/>
    <m/>
    <n v="165.2"/>
    <n v="285.2"/>
    <n v="74"/>
    <s v="FLINTSLFLINTSLFLINTSLFLINTSLFLINTSLFLINTSLFLINTSLFLINTSL"/>
    <s v="+"/>
    <s v="+"/>
    <s v="+"/>
    <s v="+"/>
    <s v="+"/>
    <s v="+"/>
    <s v="+"/>
    <s v="+"/>
    <b v="0"/>
  </r>
  <r>
    <d v="2026-01-11T00:00:00"/>
    <s v="A"/>
    <x v="110"/>
    <n v="75"/>
    <n v="506"/>
    <n v="19100"/>
    <s v="II"/>
    <s v="N"/>
    <n v="2.1"/>
    <s v="BLACK"/>
    <s v="J00969B"/>
    <s v="FLINTSL - BLACK"/>
    <n v="30"/>
    <n v="0"/>
    <m/>
    <m/>
    <n v="0"/>
    <n v="26513000022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9"/>
    <n v="0"/>
    <n v="7.0799999999999983"/>
    <n v="0"/>
    <s v="BLACK"/>
    <s v="G00402B"/>
    <s v="FLINTSL - BLACK"/>
    <n v="20"/>
    <n v="0"/>
    <s v="E00978B"/>
    <n v="10"/>
    <n v="0"/>
    <n v="26511000002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30"/>
    <n v="0"/>
    <n v="8.0799999999999983"/>
    <n v="0"/>
    <s v="GREEN"/>
    <s v="G00402G"/>
    <s v="FLINTSL - GREEN"/>
    <n v="27"/>
    <n v="0"/>
    <s v="C01424G"/>
    <n v="18"/>
    <n v="0"/>
    <n v="26513000022"/>
    <n v="26513000011"/>
    <m/>
    <m/>
    <m/>
    <m/>
    <m/>
    <m/>
    <n v="2"/>
    <e v="#N/A"/>
    <n v="2"/>
    <e v="#N/A"/>
    <m/>
    <n v="0"/>
    <m/>
    <n v="0"/>
    <m/>
    <n v="0"/>
    <m/>
    <n v="0"/>
    <m/>
    <n v="0"/>
    <m/>
    <n v="0"/>
    <s v="FLINTSL"/>
    <n v="20"/>
    <n v="0"/>
    <n v="39.159999999999997"/>
    <n v="0"/>
    <s v="MEDIUM"/>
    <s v="J00969M"/>
    <s v="FLINTSL - MEDIUM"/>
    <n v="22"/>
    <n v="0"/>
    <s v="C00965M/F00853M/N00700B"/>
    <n v="51"/>
    <n v="0"/>
    <n v="26511000002"/>
    <n v="26505000028"/>
    <m/>
    <m/>
    <m/>
    <m/>
    <m/>
    <m/>
    <n v="3"/>
    <e v="#N/A"/>
    <n v="0.3"/>
    <e v="#N/A"/>
    <m/>
    <n v="0"/>
    <m/>
    <n v="0"/>
    <m/>
    <n v="0"/>
    <m/>
    <n v="0"/>
    <m/>
    <n v="0"/>
    <m/>
    <n v="0"/>
    <s v="FLINTSL"/>
    <n v="18"/>
    <n v="0"/>
    <n v="71"/>
    <n v="0"/>
    <s v="CYAN"/>
    <s v="J00969C"/>
    <s v="FLINTSL - CYAN"/>
    <n v="29"/>
    <n v="0"/>
    <m/>
    <m/>
    <n v="0"/>
    <n v="2650600000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10.619999999999997"/>
    <n v="0"/>
    <s v="MAGENTA"/>
    <s v="J00969M"/>
    <s v="FLINTSL - MAGENTA"/>
    <n v="31"/>
    <n v="0"/>
    <m/>
    <m/>
    <n v="0"/>
    <n v="26512000010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9"/>
    <n v="0"/>
    <n v="8.0799999999999983"/>
    <n v="0"/>
    <s v="YELLOW"/>
    <s v="J00969Y"/>
    <s v="FLINTSL - YELLOW"/>
    <n v="28"/>
    <n v="0"/>
    <m/>
    <m/>
    <n v="0"/>
    <n v="26506000002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8"/>
    <n v="0"/>
    <n v="8.0799999999999983"/>
    <n v="0"/>
    <s v="WHITE"/>
    <s v="H00969W"/>
    <s v="FLINTSL - WHITE"/>
    <n v="3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30"/>
    <n v="0"/>
    <n v="126.19999999999999"/>
    <n v="0"/>
    <n v="2"/>
    <n v="2"/>
    <n v="4"/>
    <n v="5"/>
    <n v="3"/>
    <n v="2"/>
    <n v="2"/>
    <n v="30"/>
    <n v="0.8"/>
    <n v="0.2"/>
    <m/>
    <m/>
    <m/>
    <n v="0"/>
    <n v="127"/>
    <n v="0"/>
    <n v="0"/>
    <n v="127"/>
    <n v="127"/>
    <n v="101.60000000000001"/>
    <n v="0"/>
    <n v="25.400000000000002"/>
    <n v="0"/>
    <n v="0"/>
    <n v="0"/>
    <n v="0"/>
    <n v="0"/>
    <n v="0"/>
    <n v="0"/>
    <n v="0"/>
    <n v="0"/>
    <n v="0"/>
    <m/>
    <n v="67.3"/>
    <n v="278.29999999999995"/>
    <n v="75"/>
    <s v="FLINTSLFLINTSLFLINTSLFLINTSLFLINTSLFLINTSLFLINTSLFLINTSL"/>
    <s v="+"/>
    <s v="+"/>
    <s v="+"/>
    <s v="+"/>
    <s v="+"/>
    <s v="+"/>
    <s v="+"/>
    <s v="+"/>
    <b v="0"/>
  </r>
  <r>
    <d v="2026-01-11T00:00:00"/>
    <s v="A"/>
    <x v="111"/>
    <n v="76"/>
    <n v="507"/>
    <n v="20100"/>
    <s v="II"/>
    <s v="N"/>
    <n v="1.71"/>
    <s v="BLACK"/>
    <s v="J00968B"/>
    <s v="FLINTSL - BLACK"/>
    <n v="29"/>
    <n v="0"/>
    <m/>
    <m/>
    <n v="0"/>
    <n v="2651300002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7.8846153846153868"/>
    <n v="0"/>
    <s v="GREEN"/>
    <s v="J00968G"/>
    <s v="FLINTSL - GREEN"/>
    <n v="20"/>
    <n v="0"/>
    <m/>
    <m/>
    <n v="0"/>
    <n v="26508000030"/>
    <n v="26511000002"/>
    <n v="26513000022"/>
    <m/>
    <m/>
    <m/>
    <m/>
    <m/>
    <n v="8"/>
    <e v="#N/A"/>
    <n v="5"/>
    <e v="#N/A"/>
    <n v="1"/>
    <e v="#N/A"/>
    <m/>
    <n v="0"/>
    <m/>
    <n v="0"/>
    <m/>
    <n v="0"/>
    <m/>
    <n v="0"/>
    <m/>
    <n v="0"/>
    <s v="FLINTSL"/>
    <n v="20"/>
    <n v="0"/>
    <n v="28.653846153846153"/>
    <n v="0"/>
    <s v="GREEN"/>
    <m/>
    <s v="FLINTSL - GREEN"/>
    <m/>
    <n v="0"/>
    <m/>
    <m/>
    <n v="0"/>
    <n v="26511000002"/>
    <n v="26505000028"/>
    <n v="26507000018"/>
    <m/>
    <m/>
    <m/>
    <m/>
    <m/>
    <n v="18"/>
    <e v="#N/A"/>
    <n v="2"/>
    <e v="#N/A"/>
    <n v="1"/>
    <e v="#N/A"/>
    <m/>
    <n v="0"/>
    <m/>
    <n v="0"/>
    <m/>
    <n v="0"/>
    <m/>
    <n v="0"/>
    <m/>
    <n v="0"/>
    <s v="FLINTSL"/>
    <n v="22"/>
    <n v="0"/>
    <n v="13.653846153846153"/>
    <n v="0"/>
    <s v="GREEN"/>
    <s v="J00969G"/>
    <s v="FLINTSL - GREEN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15"/>
    <n v="0"/>
    <n v="14"/>
    <n v="0"/>
    <s v="CYAN"/>
    <s v="J00968C"/>
    <s v="FLINTSL - CYAN"/>
    <n v="28"/>
    <n v="0"/>
    <m/>
    <m/>
    <n v="0"/>
    <n v="2650700001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10.32692307692308"/>
    <n v="0"/>
    <s v="MAGENTA"/>
    <s v="J00968M"/>
    <s v="FLINTSL - MAGENTA"/>
    <n v="29"/>
    <n v="0"/>
    <m/>
    <m/>
    <n v="0"/>
    <n v="26506000002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9"/>
    <n v="0"/>
    <n v="7.8846153846153868"/>
    <n v="0"/>
    <s v="YELLOW"/>
    <s v="J00968Y"/>
    <s v="FLINTSL - YELLOW"/>
    <n v="28"/>
    <n v="0"/>
    <m/>
    <m/>
    <n v="0"/>
    <n v="2651100000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12.32692307692308"/>
    <n v="0"/>
    <s v="WHITE"/>
    <s v="J00968W"/>
    <s v="FLINTSL - WHITE"/>
    <n v="3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30"/>
    <n v="0"/>
    <n v="123.26923076923077"/>
    <n v="0"/>
    <n v="2"/>
    <n v="6"/>
    <n v="6"/>
    <n v="0"/>
    <n v="3"/>
    <n v="2"/>
    <n v="3"/>
    <n v="30"/>
    <n v="0.8"/>
    <n v="0.2"/>
    <m/>
    <m/>
    <m/>
    <n v="0"/>
    <n v="127"/>
    <n v="0"/>
    <n v="0"/>
    <n v="127"/>
    <n v="127"/>
    <n v="101.60000000000001"/>
    <n v="0"/>
    <n v="25.400000000000002"/>
    <n v="0"/>
    <n v="0"/>
    <n v="0"/>
    <n v="0"/>
    <n v="0"/>
    <n v="0"/>
    <n v="0"/>
    <n v="0"/>
    <n v="0"/>
    <n v="0"/>
    <m/>
    <n v="94"/>
    <n v="218"/>
    <n v="76"/>
    <s v="FLINTSLFLINTSLFLINTSLFLINTSLFLINTSLFLINTSLFLINTSLFLINTSL"/>
    <s v="+"/>
    <s v="+"/>
    <s v="+"/>
    <s v="+"/>
    <s v="+"/>
    <s v="+"/>
    <s v="+"/>
    <s v="+"/>
    <b v="0"/>
  </r>
  <r>
    <d v="2026-01-11T00:00:00"/>
    <s v="A"/>
    <x v="112"/>
    <n v="77"/>
    <n v="487"/>
    <n v="31100"/>
    <s v="II"/>
    <s v="N"/>
    <n v="1.65"/>
    <s v="BLACK"/>
    <s v="J00966B"/>
    <s v="FLINTSL - BLACK"/>
    <n v="28"/>
    <n v="0"/>
    <m/>
    <m/>
    <n v="0"/>
    <n v="2651300002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6.5180722891566276"/>
    <n v="0"/>
    <s v="REFLEX BLUE"/>
    <s v="N00871RB"/>
    <s v="FLINTSL - REFLEX BLUE"/>
    <n v="28"/>
    <n v="0"/>
    <s v="C01457B"/>
    <n v="6"/>
    <n v="0"/>
    <n v="26512000010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32"/>
    <n v="0"/>
    <n v="8.5180722891566276"/>
    <n v="0"/>
    <s v="RED"/>
    <s v="N00887R"/>
    <s v="FLINTSL - RED"/>
    <n v="20"/>
    <n v="0"/>
    <s v="G00402R"/>
    <n v="25"/>
    <n v="0"/>
    <n v="26512000010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0"/>
    <n v="0"/>
    <n v="22.518072289156628"/>
    <n v="0"/>
    <s v="CYAN"/>
    <s v="J00966C"/>
    <s v="FLINTSL - CYAN"/>
    <n v="27"/>
    <n v="0"/>
    <m/>
    <m/>
    <n v="0"/>
    <n v="26508000030"/>
    <n v="26506000002"/>
    <m/>
    <m/>
    <m/>
    <m/>
    <m/>
    <m/>
    <n v="16"/>
    <e v="#N/A"/>
    <n v="10"/>
    <e v="#N/A"/>
    <m/>
    <n v="0"/>
    <m/>
    <n v="0"/>
    <m/>
    <n v="0"/>
    <m/>
    <n v="0"/>
    <m/>
    <n v="0"/>
    <m/>
    <n v="0"/>
    <s v="FLINTSL"/>
    <n v="28"/>
    <n v="0"/>
    <n v="42.590361445783131"/>
    <n v="0"/>
    <s v="MAGENTA"/>
    <s v="J00966M"/>
    <s v="FLINTSL - MAGENTA"/>
    <n v="29"/>
    <n v="0"/>
    <m/>
    <m/>
    <n v="0"/>
    <n v="2651200001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6.5180722891566276"/>
    <n v="0"/>
    <s v="YELLOW"/>
    <s v="J00966Y"/>
    <s v="FLINTSL - YELLOW"/>
    <n v="25"/>
    <n v="0"/>
    <m/>
    <m/>
    <n v="0"/>
    <n v="26511000002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6"/>
    <n v="0"/>
    <n v="13.795180722891565"/>
    <n v="0"/>
    <s v="GOLD"/>
    <s v="C01457G"/>
    <s v="FLINTSL - GOLD"/>
    <n v="28"/>
    <n v="0"/>
    <m/>
    <m/>
    <n v="0"/>
    <n v="26511000002"/>
    <n v="26505000028"/>
    <m/>
    <m/>
    <m/>
    <m/>
    <m/>
    <m/>
    <n v="3"/>
    <e v="#N/A"/>
    <n v="0.5"/>
    <e v="#N/A"/>
    <m/>
    <n v="0"/>
    <m/>
    <n v="0"/>
    <m/>
    <n v="0"/>
    <m/>
    <n v="0"/>
    <m/>
    <n v="0"/>
    <m/>
    <n v="0"/>
    <s v="FLINTSL"/>
    <n v="26"/>
    <n v="0"/>
    <n v="5.5"/>
    <n v="0"/>
    <s v="WHITE"/>
    <s v="J00966W"/>
    <s v="FLINTSL - WHITE"/>
    <n v="30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205.54216867469881"/>
    <n v="0"/>
    <n v="2"/>
    <n v="2"/>
    <n v="2"/>
    <n v="10"/>
    <n v="2"/>
    <n v="5"/>
    <n v="0"/>
    <n v="60"/>
    <n v="0.8"/>
    <n v="0.2"/>
    <m/>
    <m/>
    <m/>
    <n v="0"/>
    <n v="146"/>
    <n v="0"/>
    <n v="0"/>
    <n v="146"/>
    <n v="146"/>
    <n v="116.80000000000001"/>
    <n v="0"/>
    <n v="29.200000000000003"/>
    <n v="0"/>
    <n v="0"/>
    <n v="0"/>
    <n v="0"/>
    <n v="0"/>
    <n v="0"/>
    <n v="0"/>
    <n v="0"/>
    <n v="0"/>
    <n v="0"/>
    <m/>
    <n v="146.5"/>
    <n v="311.5"/>
    <n v="77"/>
    <s v="FLINTSLFLINTSLFLINTSLFLINTSLFLINTSLFLINTSLFLINTSLFLINTSL"/>
    <s v="+"/>
    <s v="+"/>
    <s v="+"/>
    <s v="+"/>
    <s v="+"/>
    <s v="+"/>
    <s v="+"/>
    <s v="+"/>
    <b v="0"/>
  </r>
  <r>
    <d v="2026-01-12T00:00:00"/>
    <s v="A"/>
    <x v="113"/>
    <n v="78"/>
    <n v="919"/>
    <n v="58700"/>
    <s v="II"/>
    <s v="N"/>
    <n v="1.7"/>
    <s v="BLACK"/>
    <s v="H01337B"/>
    <s v="FLINTSL - BLACK"/>
    <n v="27"/>
    <n v="0"/>
    <m/>
    <m/>
    <n v="0"/>
    <n v="26513000022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9"/>
    <n v="0"/>
    <n v="12.571428571428569"/>
    <n v="0"/>
    <s v="REFLEX BLUE"/>
    <s v="F00855B"/>
    <s v="FLINTSL - REFLEX BLUE"/>
    <n v="32"/>
    <n v="0"/>
    <m/>
    <m/>
    <n v="0"/>
    <n v="26510000009"/>
    <n v="26511000002"/>
    <n v="26512000010"/>
    <m/>
    <m/>
    <m/>
    <m/>
    <m/>
    <n v="6"/>
    <e v="#N/A"/>
    <n v="3"/>
    <e v="#N/A"/>
    <n v="3"/>
    <e v="#N/A"/>
    <m/>
    <n v="0"/>
    <m/>
    <n v="0"/>
    <m/>
    <n v="0"/>
    <m/>
    <n v="0"/>
    <m/>
    <n v="0"/>
    <s v="FLINTSL"/>
    <n v="31"/>
    <n v="0"/>
    <n v="30.142857142857139"/>
    <n v="0"/>
    <s v="CYAN"/>
    <s v="H01337C"/>
    <s v="FLINTSL - CYAN"/>
    <n v="28"/>
    <n v="0"/>
    <m/>
    <m/>
    <n v="0"/>
    <n v="26510000009"/>
    <n v="26506000002"/>
    <m/>
    <m/>
    <m/>
    <m/>
    <m/>
    <m/>
    <n v="20"/>
    <e v="#N/A"/>
    <n v="18"/>
    <e v="#N/A"/>
    <m/>
    <n v="0"/>
    <m/>
    <n v="0"/>
    <m/>
    <n v="0"/>
    <m/>
    <n v="0"/>
    <m/>
    <n v="0"/>
    <m/>
    <n v="0"/>
    <s v="FLINTSL"/>
    <n v="28"/>
    <n v="0"/>
    <n v="65.428571428571431"/>
    <n v="0"/>
    <s v="MAGENTA"/>
    <s v="H01337M"/>
    <s v="FLINTSL - MAGENTA"/>
    <n v="28"/>
    <n v="0"/>
    <m/>
    <m/>
    <n v="0"/>
    <n v="26512000010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8"/>
    <n v="0"/>
    <n v="12.857142857142854"/>
    <n v="0"/>
    <s v="YELLOW"/>
    <s v="H01337Y"/>
    <s v="FLINTSL - YELLOW"/>
    <n v="26"/>
    <n v="0"/>
    <m/>
    <m/>
    <n v="0"/>
    <n v="26506000002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6"/>
    <n v="0"/>
    <n v="16.285714285714285"/>
    <n v="0"/>
    <s v="WHITE"/>
    <s v="H01337W"/>
    <s v="FLINTSL - WHITE"/>
    <n v="30"/>
    <n v="0"/>
    <m/>
    <m/>
    <n v="0"/>
    <s v="FW"/>
    <m/>
    <m/>
    <m/>
    <m/>
    <m/>
    <m/>
    <m/>
    <n v="200"/>
    <n v="0"/>
    <m/>
    <n v="0"/>
    <m/>
    <n v="0"/>
    <m/>
    <n v="0"/>
    <m/>
    <n v="0"/>
    <m/>
    <n v="0"/>
    <m/>
    <n v="0"/>
    <m/>
    <n v="0"/>
    <s v="FLINTSL"/>
    <n v="30"/>
    <n v="0"/>
    <n v="405.7142857142856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16"/>
    <n v="4"/>
    <n v="6"/>
    <n v="120"/>
    <n v="0"/>
    <n v="0"/>
    <n v="0.8"/>
    <n v="0.2"/>
    <m/>
    <m/>
    <m/>
    <n v="0"/>
    <n v="276"/>
    <n v="0"/>
    <n v="0"/>
    <n v="276"/>
    <n v="276"/>
    <n v="220.8"/>
    <n v="0"/>
    <n v="55.2"/>
    <n v="0"/>
    <n v="0"/>
    <n v="0"/>
    <n v="0"/>
    <n v="0"/>
    <n v="0"/>
    <n v="0"/>
    <n v="0"/>
    <n v="0"/>
    <n v="0"/>
    <m/>
    <n v="268"/>
    <n v="543"/>
    <n v="78"/>
    <s v="FLINTSLFLINTSLFLINTSLFLINTSLFLINTSLFLINTSL"/>
    <s v="+"/>
    <s v="+"/>
    <s v="+"/>
    <s v="+"/>
    <s v="+"/>
    <s v="+"/>
    <s v="NIL"/>
    <s v="NIL"/>
    <b v="0"/>
  </r>
  <r>
    <d v="2026-01-12T00:00:00"/>
    <s v="A"/>
    <x v="114"/>
    <n v="79"/>
    <n v="849"/>
    <n v="43400"/>
    <s v="II"/>
    <s v="N"/>
    <n v="2"/>
    <s v="BLACK"/>
    <s v="H01342B"/>
    <s v="FLINTSL - BLACK"/>
    <n v="29"/>
    <n v="0"/>
    <m/>
    <m/>
    <n v="0"/>
    <n v="26513000022"/>
    <s v="FO"/>
    <m/>
    <m/>
    <m/>
    <m/>
    <m/>
    <m/>
    <n v="2"/>
    <e v="#N/A"/>
    <n v="10"/>
    <n v="0"/>
    <m/>
    <n v="0"/>
    <m/>
    <n v="0"/>
    <m/>
    <n v="0"/>
    <m/>
    <n v="0"/>
    <m/>
    <n v="0"/>
    <m/>
    <n v="0"/>
    <s v="FLINTSL"/>
    <n v="28"/>
    <n v="0"/>
    <n v="19.699248120300751"/>
    <n v="0"/>
    <s v="RED"/>
    <m/>
    <s v="FLINTSL - RED"/>
    <m/>
    <n v="0"/>
    <m/>
    <m/>
    <n v="0"/>
    <n v="26508000001"/>
    <n v="26512000010"/>
    <n v="26512000004"/>
    <n v="26512000003"/>
    <m/>
    <m/>
    <m/>
    <m/>
    <n v="10"/>
    <e v="#N/A"/>
    <n v="20"/>
    <e v="#N/A"/>
    <n v="40"/>
    <e v="#N/A"/>
    <n v="20"/>
    <e v="#N/A"/>
    <m/>
    <n v="0"/>
    <m/>
    <n v="0"/>
    <m/>
    <n v="0"/>
    <m/>
    <n v="0"/>
    <s v="FLINTSL"/>
    <n v="35"/>
    <n v="0"/>
    <n v="110.82706766917292"/>
    <n v="0"/>
    <s v="RED"/>
    <m/>
    <s v="FLINTSL - RED"/>
    <m/>
    <n v="0"/>
    <m/>
    <m/>
    <n v="0"/>
    <n v="26512000006"/>
    <n v="26512000008"/>
    <n v="26512000010"/>
    <m/>
    <m/>
    <m/>
    <m/>
    <m/>
    <n v="40"/>
    <e v="#N/A"/>
    <n v="8"/>
    <e v="#N/A"/>
    <n v="16"/>
    <e v="#N/A"/>
    <m/>
    <n v="0"/>
    <m/>
    <n v="0"/>
    <m/>
    <n v="0"/>
    <m/>
    <n v="0"/>
    <m/>
    <n v="0"/>
    <s v="FLINTSL"/>
    <n v="36"/>
    <n v="0"/>
    <n v="45.864661654135332"/>
    <n v="0"/>
    <s v="RED"/>
    <m/>
    <s v="FLINTSL - RED"/>
    <m/>
    <n v="0"/>
    <m/>
    <m/>
    <n v="0"/>
    <n v="26512000005"/>
    <n v="26512000010"/>
    <n v="26505000028"/>
    <m/>
    <m/>
    <m/>
    <m/>
    <m/>
    <n v="40"/>
    <e v="#N/A"/>
    <n v="5"/>
    <e v="#N/A"/>
    <n v="6"/>
    <e v="#N/A"/>
    <m/>
    <n v="0"/>
    <m/>
    <n v="0"/>
    <m/>
    <n v="0"/>
    <m/>
    <n v="0"/>
    <m/>
    <n v="0"/>
    <s v="FLINTSL"/>
    <n v="30"/>
    <n v="0"/>
    <n v="32.165413533834588"/>
    <n v="0"/>
    <s v="CYAN"/>
    <s v="H01342C"/>
    <s v="FLINTSL - CYAN"/>
    <n v="28"/>
    <n v="0"/>
    <m/>
    <m/>
    <n v="0"/>
    <n v="26506000002"/>
    <m/>
    <m/>
    <m/>
    <m/>
    <m/>
    <m/>
    <m/>
    <n v="7"/>
    <e v="#N/A"/>
    <m/>
    <n v="0"/>
    <m/>
    <n v="0"/>
    <m/>
    <n v="0"/>
    <m/>
    <n v="0"/>
    <m/>
    <n v="0"/>
    <m/>
    <n v="0"/>
    <m/>
    <n v="0"/>
    <s v="FLINTSL"/>
    <n v="28"/>
    <n v="0"/>
    <n v="20.398496240601503"/>
    <n v="0"/>
    <s v="MAGENTA"/>
    <s v="H01342M"/>
    <s v="FLINTSL - MAGENTA"/>
    <n v="28"/>
    <n v="0"/>
    <m/>
    <m/>
    <n v="0"/>
    <n v="26512000010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8"/>
    <n v="0"/>
    <n v="18.398496240601503"/>
    <n v="0"/>
    <s v="YELLOW"/>
    <s v="H01342Y"/>
    <s v="FLINTSL - YELLOW"/>
    <n v="26"/>
    <n v="0"/>
    <m/>
    <m/>
    <n v="0"/>
    <n v="26506000002"/>
    <n v="26511000002"/>
    <m/>
    <m/>
    <m/>
    <m/>
    <m/>
    <m/>
    <n v="20"/>
    <e v="#N/A"/>
    <n v="10"/>
    <e v="#N/A"/>
    <m/>
    <n v="0"/>
    <m/>
    <n v="0"/>
    <m/>
    <n v="0"/>
    <m/>
    <n v="0"/>
    <m/>
    <n v="0"/>
    <m/>
    <n v="0"/>
    <s v="FLINTSL"/>
    <n v="30"/>
    <n v="0"/>
    <n v="70.661654135338352"/>
    <n v="0"/>
    <s v="WHITE"/>
    <s v="H01342W"/>
    <s v="FLINTSL - WHITE"/>
    <n v="30"/>
    <n v="0"/>
    <m/>
    <m/>
    <n v="0"/>
    <s v="FW"/>
    <s v="WRK6-028K"/>
    <m/>
    <m/>
    <m/>
    <m/>
    <m/>
    <m/>
    <n v="100"/>
    <n v="0"/>
    <n v="3"/>
    <n v="0"/>
    <m/>
    <n v="0"/>
    <m/>
    <n v="0"/>
    <m/>
    <n v="0"/>
    <m/>
    <n v="0"/>
    <m/>
    <n v="0"/>
    <m/>
    <n v="0"/>
    <s v="FLINTSL"/>
    <n v="30"/>
    <n v="0"/>
    <n v="236.98496240601503"/>
    <n v="0"/>
    <n v="3"/>
    <n v="25"/>
    <n v="8"/>
    <n v="5"/>
    <n v="6"/>
    <n v="6"/>
    <n v="20"/>
    <n v="60"/>
    <n v="0.8"/>
    <n v="0.2"/>
    <m/>
    <m/>
    <m/>
    <n v="0"/>
    <n v="297"/>
    <n v="0"/>
    <n v="0"/>
    <n v="297"/>
    <n v="297"/>
    <n v="237.60000000000002"/>
    <n v="0"/>
    <n v="59.400000000000006"/>
    <n v="0"/>
    <n v="0"/>
    <n v="0"/>
    <n v="0"/>
    <n v="0"/>
    <n v="0"/>
    <n v="0"/>
    <n v="0"/>
    <n v="0"/>
    <n v="0"/>
    <m/>
    <n v="362"/>
    <n v="555"/>
    <n v="79"/>
    <s v="FLINTSLFLINTSLFLINTSLFLINTSLFLINTSLFLINTSLFLINTSLFLINTSL"/>
    <s v="+"/>
    <s v="+"/>
    <s v="+"/>
    <s v="+"/>
    <s v="+"/>
    <s v="+"/>
    <s v="+"/>
    <s v="+"/>
    <b v="0"/>
  </r>
  <r>
    <d v="2026-01-12T00:00:00"/>
    <s v="A"/>
    <x v="115"/>
    <n v="80"/>
    <n v="846"/>
    <n v="43200"/>
    <s v="II"/>
    <s v="N"/>
    <n v="2"/>
    <s v="BLACK"/>
    <s v="E01016B"/>
    <s v="FLINTSL - BLACK"/>
    <n v="28"/>
    <n v="0"/>
    <m/>
    <m/>
    <n v="0"/>
    <n v="2651300002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9.5054945054945037"/>
    <n v="0"/>
    <s v="REFLEX BLUE"/>
    <s v="H01216B"/>
    <s v="FLINTSL - REFLEX BLUE"/>
    <n v="25"/>
    <n v="0"/>
    <m/>
    <m/>
    <n v="0"/>
    <n v="26506000002"/>
    <n v="26512000011"/>
    <m/>
    <m/>
    <m/>
    <m/>
    <m/>
    <m/>
    <n v="3"/>
    <e v="#N/A"/>
    <n v="40"/>
    <e v="#N/A"/>
    <m/>
    <n v="0"/>
    <m/>
    <n v="0"/>
    <m/>
    <n v="0"/>
    <m/>
    <n v="0"/>
    <m/>
    <n v="0"/>
    <m/>
    <n v="0"/>
    <s v="FLINTSL"/>
    <n v="22"/>
    <n v="0"/>
    <n v="55.758241758241752"/>
    <n v="0"/>
    <s v="REFLEX BLUE"/>
    <m/>
    <s v="FLINTSL - REFLEX BLUE"/>
    <m/>
    <n v="0"/>
    <m/>
    <m/>
    <n v="0"/>
    <n v="26512000012"/>
    <n v="26512000009"/>
    <n v="26512000007"/>
    <n v="26512000013"/>
    <m/>
    <m/>
    <m/>
    <m/>
    <n v="40"/>
    <e v="#N/A"/>
    <n v="18.399999999999999"/>
    <e v="#N/A"/>
    <n v="18.399999999999999"/>
    <e v="#N/A"/>
    <n v="40"/>
    <e v="#N/A"/>
    <m/>
    <n v="0"/>
    <m/>
    <n v="0"/>
    <m/>
    <n v="0"/>
    <m/>
    <n v="0"/>
    <s v="FLINTSL"/>
    <n v="20"/>
    <n v="0"/>
    <n v="113.06373626373625"/>
    <n v="0"/>
    <s v="RED"/>
    <s v="E01016R"/>
    <s v="FLINTSL - RED"/>
    <n v="30"/>
    <n v="0"/>
    <m/>
    <m/>
    <n v="0"/>
    <n v="26512000015"/>
    <m/>
    <m/>
    <m/>
    <m/>
    <m/>
    <m/>
    <m/>
    <n v="20"/>
    <e v="#N/A"/>
    <m/>
    <n v="0"/>
    <m/>
    <n v="0"/>
    <m/>
    <n v="0"/>
    <m/>
    <n v="0"/>
    <m/>
    <n v="0"/>
    <m/>
    <n v="0"/>
    <m/>
    <n v="0"/>
    <s v="FLINTSL"/>
    <n v="27"/>
    <n v="0"/>
    <n v="32.758241758241759"/>
    <n v="0"/>
    <s v="CYAN"/>
    <s v="E01016C"/>
    <s v="FLINTSL - CYAN"/>
    <n v="28"/>
    <n v="0"/>
    <m/>
    <m/>
    <n v="0"/>
    <n v="26510000009"/>
    <n v="26506000002"/>
    <m/>
    <m/>
    <m/>
    <m/>
    <m/>
    <m/>
    <n v="12"/>
    <e v="#N/A"/>
    <n v="2"/>
    <e v="#N/A"/>
    <m/>
    <n v="0"/>
    <m/>
    <n v="0"/>
    <m/>
    <n v="0"/>
    <m/>
    <n v="0"/>
    <m/>
    <n v="0"/>
    <m/>
    <n v="0"/>
    <s v="FLINTSL"/>
    <n v="32"/>
    <n v="0"/>
    <n v="42.527472527472526"/>
    <n v="0"/>
    <s v="MAGENTA"/>
    <s v="E01016M"/>
    <s v="FLINTSL - MAGENTA"/>
    <n v="28"/>
    <n v="0"/>
    <m/>
    <m/>
    <n v="0"/>
    <n v="26506000002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8"/>
    <n v="0"/>
    <n v="12.758241758241759"/>
    <n v="0"/>
    <s v="YELLOW"/>
    <s v="E01016Y"/>
    <s v="FLINTSL - YELLOW"/>
    <n v="30"/>
    <n v="0"/>
    <m/>
    <m/>
    <n v="0"/>
    <n v="26506000002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21.263736263736263"/>
    <n v="0"/>
    <s v="WHITE"/>
    <s v="E01016W"/>
    <s v="FLINTSL - WHITE"/>
    <n v="30"/>
    <n v="0"/>
    <m/>
    <m/>
    <n v="0"/>
    <s v="FW"/>
    <s v="WRK6-028K"/>
    <m/>
    <m/>
    <m/>
    <m/>
    <m/>
    <m/>
    <n v="100"/>
    <n v="0"/>
    <n v="3"/>
    <n v="0"/>
    <m/>
    <n v="0"/>
    <m/>
    <n v="0"/>
    <m/>
    <n v="0"/>
    <m/>
    <n v="0"/>
    <m/>
    <n v="0"/>
    <m/>
    <n v="0"/>
    <s v="FLINTSL"/>
    <n v="30"/>
    <n v="0"/>
    <n v="298.16483516483515"/>
    <n v="0"/>
    <n v="2"/>
    <n v="3"/>
    <n v="5"/>
    <n v="3"/>
    <n v="10"/>
    <n v="3"/>
    <n v="5"/>
    <n v="60"/>
    <n v="0.8"/>
    <n v="0.2"/>
    <m/>
    <m/>
    <m/>
    <n v="0"/>
    <n v="296"/>
    <n v="0"/>
    <n v="0"/>
    <n v="296"/>
    <n v="296"/>
    <n v="236.8"/>
    <n v="0"/>
    <n v="59.2"/>
    <n v="0"/>
    <n v="0"/>
    <n v="0"/>
    <n v="0"/>
    <n v="0"/>
    <n v="0"/>
    <n v="0"/>
    <n v="0"/>
    <n v="0"/>
    <n v="0"/>
    <m/>
    <n v="306.8"/>
    <n v="585.79999999999995"/>
    <n v="80"/>
    <s v="FLINTSLFLINTSLFLINTSLFLINTSLFLINTSLFLINTSLFLINTSLFLINTSL"/>
    <s v="+"/>
    <s v="+"/>
    <s v="+"/>
    <s v="+"/>
    <s v="+"/>
    <s v="+"/>
    <s v="+"/>
    <s v="+"/>
    <b v="0"/>
  </r>
  <r>
    <d v="2026-01-12T00:00:00"/>
    <s v="A"/>
    <x v="116"/>
    <n v="81"/>
    <n v="482"/>
    <n v="23100"/>
    <s v="II"/>
    <s v="N"/>
    <n v="1.8"/>
    <s v="BLACK"/>
    <s v="E01017B"/>
    <s v="FLINTSL - BLACK"/>
    <n v="27"/>
    <n v="0"/>
    <m/>
    <m/>
    <n v="0"/>
    <n v="26513000022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4"/>
    <n v="0"/>
    <n v="15.24285714285714"/>
    <n v="0"/>
    <s v="BLACK"/>
    <s v="E00988B"/>
    <s v="FLINTSL - BLACK"/>
    <n v="10"/>
    <n v="0"/>
    <m/>
    <m/>
    <n v="0"/>
    <n v="26511000002"/>
    <n v="26513000022"/>
    <n v="26512000014"/>
    <m/>
    <m/>
    <m/>
    <m/>
    <m/>
    <n v="1"/>
    <e v="#N/A"/>
    <n v="2"/>
    <e v="#N/A"/>
    <n v="12"/>
    <e v="#N/A"/>
    <m/>
    <n v="0"/>
    <m/>
    <n v="0"/>
    <m/>
    <n v="0"/>
    <m/>
    <n v="0"/>
    <m/>
    <n v="0"/>
    <s v="FLINTSL"/>
    <n v="29"/>
    <n v="0"/>
    <n v="8.0714285714285694"/>
    <n v="0"/>
    <s v="RED"/>
    <m/>
    <s v="FLINTSL - RED"/>
    <m/>
    <n v="0"/>
    <m/>
    <m/>
    <n v="0"/>
    <n v="26508000001"/>
    <n v="26512000010"/>
    <m/>
    <m/>
    <m/>
    <m/>
    <m/>
    <m/>
    <n v="10"/>
    <e v="#N/A"/>
    <n v="6"/>
    <e v="#N/A"/>
    <m/>
    <n v="0"/>
    <m/>
    <n v="0"/>
    <m/>
    <n v="0"/>
    <m/>
    <n v="0"/>
    <m/>
    <n v="0"/>
    <m/>
    <n v="0"/>
    <s v="FLINTSL"/>
    <n v="20"/>
    <n v="0"/>
    <n v="20.142857142857139"/>
    <n v="0"/>
    <s v="MEDIUM"/>
    <s v="N00700M"/>
    <s v="FLINTSL - MEDIUM"/>
    <n v="10"/>
    <n v="0"/>
    <s v="J00968M"/>
    <n v="18"/>
    <n v="0"/>
    <s v="FW"/>
    <n v="26511000002"/>
    <n v="26508000001"/>
    <m/>
    <m/>
    <m/>
    <m/>
    <m/>
    <n v="8"/>
    <n v="0"/>
    <n v="2"/>
    <e v="#N/A"/>
    <n v="0.4"/>
    <e v="#N/A"/>
    <m/>
    <n v="0"/>
    <m/>
    <n v="0"/>
    <m/>
    <n v="0"/>
    <m/>
    <n v="0"/>
    <m/>
    <n v="0"/>
    <s v="FLINTSL"/>
    <n v="27"/>
    <n v="0"/>
    <n v="23.471428571428568"/>
    <n v="0"/>
    <s v="CYAN"/>
    <s v="E01017C"/>
    <s v="FLINTSL - CYAN"/>
    <n v="32"/>
    <n v="0"/>
    <m/>
    <m/>
    <n v="0"/>
    <n v="26510000009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6"/>
    <n v="0"/>
    <n v="15.828571428571429"/>
    <n v="0"/>
    <s v="MAGENTA"/>
    <s v="E01017M"/>
    <s v="FLINTSL - MAGENTA"/>
    <n v="28"/>
    <n v="0"/>
    <m/>
    <m/>
    <n v="0"/>
    <n v="26506000002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4"/>
    <n v="0"/>
    <n v="26.071428571428569"/>
    <n v="0"/>
    <s v="YELLOW"/>
    <s v="E01017Y"/>
    <s v="FLINTSL - YELLOW"/>
    <n v="30"/>
    <n v="0"/>
    <m/>
    <m/>
    <n v="0"/>
    <n v="26511000002"/>
    <m/>
    <m/>
    <m/>
    <m/>
    <m/>
    <m/>
    <m/>
    <n v="40"/>
    <e v="#N/A"/>
    <m/>
    <n v="0"/>
    <m/>
    <n v="0"/>
    <m/>
    <n v="0"/>
    <m/>
    <n v="0"/>
    <m/>
    <n v="0"/>
    <m/>
    <n v="0"/>
    <m/>
    <n v="0"/>
    <s v="FLINTSL"/>
    <n v="28"/>
    <n v="0"/>
    <n v="66.142857142857139"/>
    <n v="0"/>
    <s v="WHITE"/>
    <s v="E01017W"/>
    <s v="FLINTSL - WHITE"/>
    <n v="3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7"/>
    <n v="0"/>
    <n v="135.42857142857144"/>
    <n v="0"/>
    <n v="3"/>
    <n v="5"/>
    <n v="10"/>
    <n v="5"/>
    <n v="2"/>
    <n v="5"/>
    <n v="10"/>
    <n v="30"/>
    <n v="0.8"/>
    <n v="0.2"/>
    <m/>
    <m/>
    <m/>
    <n v="0"/>
    <n v="169"/>
    <n v="0"/>
    <n v="0"/>
    <n v="169"/>
    <n v="169"/>
    <n v="135.20000000000002"/>
    <n v="0"/>
    <n v="33.800000000000004"/>
    <n v="0"/>
    <n v="0"/>
    <n v="0"/>
    <n v="0"/>
    <n v="0"/>
    <n v="0"/>
    <n v="0"/>
    <n v="0"/>
    <n v="0"/>
    <n v="0"/>
    <m/>
    <n v="161.4"/>
    <n v="310.39999999999998"/>
    <n v="81"/>
    <s v="FLINTSLFLINTSLFLINTSLFLINTSLFLINTSLFLINTSLFLINTSLFLINTSL"/>
    <s v="+"/>
    <s v="+"/>
    <s v="+"/>
    <s v="+"/>
    <s v="+"/>
    <s v="+"/>
    <s v="+"/>
    <s v="+"/>
    <b v="0"/>
  </r>
  <r>
    <d v="2026-01-12T00:00:00"/>
    <s v="B"/>
    <x v="117"/>
    <n v="82"/>
    <n v="217"/>
    <n v="11300"/>
    <s v="II"/>
    <s v="N"/>
    <n v="1.4"/>
    <s v="BLACK"/>
    <s v="C01482B"/>
    <s v="FLINTSL - BLACK"/>
    <n v="24"/>
    <n v="0"/>
    <m/>
    <m/>
    <n v="0"/>
    <n v="26506000002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2"/>
    <n v="0"/>
    <n v="8.304347826086957"/>
    <n v="0"/>
    <s v="GREEN"/>
    <s v="C01424G"/>
    <s v="FLINTSL - GREEN"/>
    <n v="6"/>
    <n v="0"/>
    <m/>
    <m/>
    <n v="0"/>
    <n v="26513000018"/>
    <n v="26506000002"/>
    <m/>
    <m/>
    <m/>
    <m/>
    <m/>
    <m/>
    <n v="10"/>
    <e v="#N/A"/>
    <n v="4"/>
    <e v="#N/A"/>
    <m/>
    <n v="0"/>
    <m/>
    <n v="0"/>
    <m/>
    <n v="0"/>
    <m/>
    <n v="0"/>
    <m/>
    <n v="0"/>
    <m/>
    <n v="0"/>
    <s v="FLINTSL"/>
    <n v="21"/>
    <n v="0"/>
    <n v="15.521739130434781"/>
    <n v="0"/>
    <s v="MAGENTA"/>
    <s v="C01482M"/>
    <s v="FLINTSL - MAGENTA"/>
    <n v="24"/>
    <n v="0"/>
    <m/>
    <m/>
    <n v="0"/>
    <n v="26512000010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3"/>
    <n v="0"/>
    <n v="7.304347826086957"/>
    <n v="0"/>
    <s v="YELLOW"/>
    <s v="C01482Y"/>
    <s v="FLINTSL - YELLOW"/>
    <n v="28"/>
    <n v="0"/>
    <m/>
    <m/>
    <n v="0"/>
    <n v="2651100000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6"/>
    <n v="0"/>
    <n v="7.3043478260869534"/>
    <n v="0"/>
    <s v="REFLEX BLUE"/>
    <m/>
    <s v="FLINTSL - REFLEX BLUE"/>
    <m/>
    <n v="0"/>
    <m/>
    <m/>
    <n v="0"/>
    <n v="26512000018"/>
    <n v="26506000001"/>
    <n v="26506000002"/>
    <m/>
    <m/>
    <m/>
    <m/>
    <m/>
    <n v="20"/>
    <e v="#N/A"/>
    <n v="2"/>
    <e v="#N/A"/>
    <n v="4"/>
    <e v="#N/A"/>
    <m/>
    <n v="0"/>
    <m/>
    <n v="0"/>
    <m/>
    <n v="0"/>
    <m/>
    <n v="0"/>
    <m/>
    <n v="0"/>
    <s v="FLINTSL"/>
    <n v="22"/>
    <n v="0"/>
    <n v="12.260869565217391"/>
    <n v="0"/>
    <s v="REFLEX BLUE"/>
    <m/>
    <s v="FLINTSL - REFLEX BLUE"/>
    <m/>
    <n v="0"/>
    <m/>
    <m/>
    <n v="0"/>
    <n v="26512000020"/>
    <n v="26512000016"/>
    <n v="26512000019"/>
    <m/>
    <m/>
    <m/>
    <m/>
    <m/>
    <n v="10"/>
    <e v="#N/A"/>
    <n v="23"/>
    <e v="#N/A"/>
    <n v="20"/>
    <e v="#N/A"/>
    <m/>
    <n v="0"/>
    <m/>
    <n v="0"/>
    <m/>
    <n v="0"/>
    <m/>
    <n v="0"/>
    <m/>
    <n v="0"/>
    <s v="FLINTSL"/>
    <n v="27"/>
    <n v="0"/>
    <n v="34.260869565217391"/>
    <n v="0"/>
    <s v="WHITE"/>
    <s v="C01482W"/>
    <s v="FLINTSL - WHITE"/>
    <n v="27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32"/>
    <n v="0"/>
    <n v="68.04347826086956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2"/>
    <n v="2"/>
    <n v="5"/>
    <n v="5"/>
    <n v="20"/>
    <n v="0"/>
    <n v="0.8"/>
    <n v="0.2"/>
    <m/>
    <m/>
    <m/>
    <n v="0"/>
    <n v="76"/>
    <n v="0"/>
    <n v="0"/>
    <n v="76"/>
    <n v="76"/>
    <n v="60.800000000000004"/>
    <n v="0"/>
    <n v="15.200000000000001"/>
    <n v="0"/>
    <n v="0"/>
    <n v="0"/>
    <n v="0"/>
    <n v="0"/>
    <n v="0"/>
    <n v="0"/>
    <n v="0"/>
    <n v="0"/>
    <n v="0"/>
    <m/>
    <n v="141"/>
    <n v="153"/>
    <n v="82"/>
    <s v="FLINTSLFLINTSLFLINTSLFLINTSLFLINTSLFLINTSLFLINTSL"/>
    <s v="+"/>
    <s v="+"/>
    <s v="+"/>
    <s v="+"/>
    <s v="+"/>
    <s v="+"/>
    <s v="+"/>
    <s v="NIL"/>
    <b v="0"/>
  </r>
  <r>
    <d v="2026-01-12T00:00:00"/>
    <s v="B"/>
    <x v="118"/>
    <n v="83"/>
    <n v="2486"/>
    <n v="100300"/>
    <s v="II"/>
    <s v="N"/>
    <n v="2.11"/>
    <s v="BLACK"/>
    <s v="C01475B"/>
    <s v="FLINTSL - BLACK"/>
    <n v="22"/>
    <n v="0"/>
    <m/>
    <m/>
    <n v="0"/>
    <n v="26513000022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31"/>
    <n v="0"/>
    <n v="11.817391304347822"/>
    <n v="0"/>
    <s v="BLACK"/>
    <m/>
    <s v="FLINTSL - BLACK"/>
    <m/>
    <n v="0"/>
    <m/>
    <m/>
    <n v="0"/>
    <n v="26514000007"/>
    <n v="26506000002"/>
    <m/>
    <m/>
    <m/>
    <m/>
    <m/>
    <m/>
    <n v="15"/>
    <e v="#N/A"/>
    <n v="3"/>
    <e v="#N/A"/>
    <m/>
    <n v="0"/>
    <m/>
    <n v="0"/>
    <m/>
    <n v="0"/>
    <m/>
    <n v="0"/>
    <m/>
    <n v="0"/>
    <m/>
    <n v="0"/>
    <s v="FLINTSL"/>
    <n v="18"/>
    <n v="0"/>
    <n v="27.043478260869563"/>
    <n v="0"/>
    <s v="GREEN"/>
    <s v="N00871G"/>
    <s v="FLINTSL - GREEN"/>
    <n v="20"/>
    <n v="0"/>
    <s v="C00965G"/>
    <n v="20"/>
    <n v="0"/>
    <n v="26514000007"/>
    <n v="26508000001"/>
    <n v="26510000009"/>
    <m/>
    <m/>
    <m/>
    <m/>
    <m/>
    <n v="2"/>
    <e v="#N/A"/>
    <n v="1"/>
    <e v="#N/A"/>
    <n v="4"/>
    <e v="#N/A"/>
    <m/>
    <n v="0"/>
    <m/>
    <n v="0"/>
    <m/>
    <n v="0"/>
    <m/>
    <n v="0"/>
    <m/>
    <n v="0"/>
    <s v="FLINTSL"/>
    <n v="26"/>
    <n v="0"/>
    <n v="34.521739130434781"/>
    <n v="0"/>
    <s v="CYAN"/>
    <s v="C01482C"/>
    <s v="FLINTSL - CYAN"/>
    <n v="26"/>
    <n v="0"/>
    <m/>
    <m/>
    <n v="0"/>
    <s v="FMD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30"/>
    <n v="0"/>
    <n v="19.521739130434781"/>
    <n v="0"/>
    <s v="MAGENTA"/>
    <s v="C01475M"/>
    <s v="FLINTSL - MAGENTA"/>
    <n v="23"/>
    <n v="0"/>
    <m/>
    <m/>
    <n v="0"/>
    <n v="26513000019"/>
    <s v="FMD"/>
    <m/>
    <m/>
    <m/>
    <m/>
    <m/>
    <m/>
    <n v="5"/>
    <e v="#N/A"/>
    <n v="4"/>
    <n v="0"/>
    <m/>
    <n v="0"/>
    <m/>
    <n v="0"/>
    <m/>
    <n v="0"/>
    <m/>
    <n v="0"/>
    <m/>
    <n v="0"/>
    <m/>
    <n v="0"/>
    <s v="FLINTSL"/>
    <n v="24"/>
    <n v="0"/>
    <n v="24.22608695652174"/>
    <n v="0"/>
    <s v="YELLOW"/>
    <s v="C01475Y"/>
    <s v="FLINTSL - YELLOW"/>
    <n v="26"/>
    <n v="0"/>
    <m/>
    <m/>
    <n v="0"/>
    <n v="26513000018"/>
    <n v="26506000002"/>
    <m/>
    <m/>
    <m/>
    <m/>
    <m/>
    <m/>
    <n v="15"/>
    <e v="#N/A"/>
    <n v="9"/>
    <e v="#N/A"/>
    <m/>
    <n v="0"/>
    <m/>
    <n v="0"/>
    <m/>
    <n v="0"/>
    <m/>
    <n v="0"/>
    <m/>
    <n v="0"/>
    <m/>
    <n v="0"/>
    <s v="FLINTSL"/>
    <n v="27"/>
    <n v="0"/>
    <n v="77.086956521739125"/>
    <n v="0"/>
    <s v="WHITE"/>
    <s v="C01475W"/>
    <s v="FLINTSL - WHITE"/>
    <n v="32"/>
    <n v="0"/>
    <m/>
    <m/>
    <n v="0"/>
    <s v="FW"/>
    <m/>
    <m/>
    <m/>
    <m/>
    <m/>
    <m/>
    <m/>
    <n v="300"/>
    <n v="0"/>
    <m/>
    <n v="0"/>
    <m/>
    <n v="0"/>
    <m/>
    <n v="0"/>
    <m/>
    <n v="0"/>
    <m/>
    <n v="0"/>
    <m/>
    <n v="0"/>
    <m/>
    <n v="0"/>
    <s v="FLINTSL"/>
    <n v="26"/>
    <n v="0"/>
    <n v="792.78260869565224"/>
    <n v="0"/>
    <s v="GREEN"/>
    <m/>
    <s v="FLINTSL - GREEN"/>
    <m/>
    <n v="0"/>
    <m/>
    <m/>
    <n v="0"/>
    <n v="26513000005"/>
    <n v="26513000004"/>
    <n v="26513000003"/>
    <n v="26513000002"/>
    <n v="26512000021"/>
    <m/>
    <m/>
    <m/>
    <n v="40"/>
    <e v="#N/A"/>
    <n v="40"/>
    <e v="#N/A"/>
    <n v="40"/>
    <e v="#N/A"/>
    <n v="40"/>
    <e v="#N/A"/>
    <n v="40"/>
    <e v="#N/A"/>
    <m/>
    <n v="0"/>
    <m/>
    <n v="0"/>
    <m/>
    <n v="0"/>
    <s v="FLINTSL"/>
    <n v="29"/>
    <n v="0"/>
    <n v="171"/>
    <n v="0"/>
    <n v="4"/>
    <n v="10"/>
    <n v="5"/>
    <n v="5"/>
    <n v="6"/>
    <n v="20"/>
    <n v="180"/>
    <n v="0"/>
    <n v="0.8"/>
    <n v="0.2"/>
    <m/>
    <m/>
    <m/>
    <n v="0"/>
    <n v="622"/>
    <n v="0"/>
    <n v="0"/>
    <n v="622"/>
    <n v="622"/>
    <n v="497.6"/>
    <n v="0"/>
    <n v="124.4"/>
    <n v="0"/>
    <n v="0"/>
    <n v="0"/>
    <n v="0"/>
    <n v="0"/>
    <n v="0"/>
    <n v="0"/>
    <n v="0"/>
    <n v="0"/>
    <n v="0"/>
    <m/>
    <n v="578"/>
    <n v="1158"/>
    <n v="83"/>
    <s v="FLINTSLFLINTSLFLINTSLFLINTSLFLINTSLFLINTSLFLINTSLFLINTSL"/>
    <s v="+"/>
    <s v="+"/>
    <s v="+"/>
    <s v="+"/>
    <s v="+"/>
    <s v="+"/>
    <s v="+"/>
    <s v="+"/>
    <b v="0"/>
  </r>
  <r>
    <d v="2026-01-12T00:00:00"/>
    <s v="B"/>
    <x v="119"/>
    <n v="84"/>
    <n v="728"/>
    <n v="44600"/>
    <s v="II"/>
    <s v="N"/>
    <n v="0.53"/>
    <s v="BLACK"/>
    <s v="C01482B"/>
    <s v="FLINTSL - BLACK"/>
    <n v="15"/>
    <n v="0"/>
    <s v="E01016B"/>
    <n v="7"/>
    <n v="0"/>
    <n v="26513000019"/>
    <n v="26514000010"/>
    <n v="26514000007"/>
    <m/>
    <m/>
    <m/>
    <m/>
    <m/>
    <n v="7"/>
    <e v="#N/A"/>
    <n v="7"/>
    <e v="#N/A"/>
    <n v="4"/>
    <e v="#N/A"/>
    <m/>
    <n v="0"/>
    <m/>
    <n v="0"/>
    <m/>
    <n v="0"/>
    <m/>
    <n v="0"/>
    <m/>
    <n v="0"/>
    <s v="FLINTSL"/>
    <n v="26"/>
    <n v="0"/>
    <n v="26.372881355932201"/>
    <n v="0"/>
    <s v="RED"/>
    <s v="E01017R"/>
    <s v="FLINTSL - RED"/>
    <n v="10"/>
    <n v="0"/>
    <m/>
    <m/>
    <n v="0"/>
    <n v="26508000001"/>
    <n v="26513000019"/>
    <s v="FMD"/>
    <n v="26508000010"/>
    <m/>
    <m/>
    <m/>
    <m/>
    <n v="5"/>
    <e v="#N/A"/>
    <n v="4"/>
    <e v="#N/A"/>
    <n v="8"/>
    <n v="0"/>
    <n v="5"/>
    <e v="#N/A"/>
    <m/>
    <n v="0"/>
    <m/>
    <n v="0"/>
    <m/>
    <n v="0"/>
    <m/>
    <n v="0"/>
    <s v="FLINTSL"/>
    <n v="33"/>
    <n v="0"/>
    <n v="21.271186440677965"/>
    <n v="0"/>
    <s v="WHITE"/>
    <s v="J00790W"/>
    <s v="FLINTSL - WHITE"/>
    <n v="26"/>
    <n v="0"/>
    <m/>
    <m/>
    <n v="0"/>
    <s v="FW"/>
    <m/>
    <m/>
    <m/>
    <m/>
    <m/>
    <m/>
    <m/>
    <n v="80"/>
    <n v="0"/>
    <m/>
    <n v="0"/>
    <m/>
    <n v="0"/>
    <m/>
    <n v="0"/>
    <m/>
    <n v="0"/>
    <m/>
    <n v="0"/>
    <m/>
    <n v="0"/>
    <m/>
    <n v="0"/>
    <s v="FLINTSL"/>
    <n v="30"/>
    <n v="0"/>
    <n v="187.3559322033898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9"/>
    <n v="45"/>
    <n v="0"/>
    <n v="0"/>
    <n v="0"/>
    <n v="0"/>
    <n v="0"/>
    <n v="0.8"/>
    <n v="0.2"/>
    <m/>
    <m/>
    <m/>
    <n v="0"/>
    <n v="146"/>
    <n v="0"/>
    <n v="0"/>
    <n v="146"/>
    <n v="146"/>
    <n v="116.80000000000001"/>
    <n v="0"/>
    <n v="29.200000000000003"/>
    <n v="0"/>
    <n v="0"/>
    <n v="0"/>
    <n v="0"/>
    <n v="0"/>
    <n v="0"/>
    <n v="0"/>
    <n v="0"/>
    <n v="0"/>
    <n v="0"/>
    <m/>
    <n v="120"/>
    <n v="235"/>
    <n v="84"/>
    <s v="FLINTSLFLINTSLFLINTSL"/>
    <s v="+"/>
    <s v="+"/>
    <s v="+"/>
    <s v="NIL"/>
    <s v="NIL"/>
    <s v="NIL"/>
    <s v="NIL"/>
    <s v="NIL"/>
    <b v="0"/>
  </r>
  <r>
    <d v="2026-01-12T00:00:00"/>
    <s v="A"/>
    <x v="120"/>
    <n v="85"/>
    <n v="0"/>
    <n v="0"/>
    <s v="II"/>
    <s v="N"/>
    <n v="0"/>
    <s v="BLACK"/>
    <s v="J00970B"/>
    <s v="FLINTSL - BLACK"/>
    <n v="20"/>
    <n v="0"/>
    <m/>
    <m/>
    <n v="0"/>
    <n v="26514000007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32"/>
    <n v="0"/>
    <n v="3.3571428571428612"/>
    <n v="0"/>
    <s v="REFLEX BLUE"/>
    <s v="E01017B"/>
    <s v="FLINTSL - REFLEX BLUE"/>
    <n v="24"/>
    <n v="0"/>
    <m/>
    <m/>
    <n v="0"/>
    <n v="26506000001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31"/>
    <n v="0"/>
    <n v="8.3571428571428612"/>
    <n v="0"/>
    <s v="YELLOW"/>
    <s v="J00969Y"/>
    <s v="FLINTSL - YELLOW"/>
    <n v="24"/>
    <n v="0"/>
    <m/>
    <m/>
    <n v="0"/>
    <n v="26508000010"/>
    <n v="26514000010"/>
    <m/>
    <m/>
    <m/>
    <m/>
    <m/>
    <m/>
    <n v="0.5"/>
    <e v="#N/A"/>
    <n v="3"/>
    <e v="#N/A"/>
    <m/>
    <n v="0"/>
    <m/>
    <n v="0"/>
    <m/>
    <n v="0"/>
    <m/>
    <n v="0"/>
    <m/>
    <n v="0"/>
    <m/>
    <n v="0"/>
    <s v="FLINTSL"/>
    <n v="27"/>
    <n v="0"/>
    <n v="4.7857142857142847"/>
    <n v="0"/>
    <s v="ORANGE"/>
    <m/>
    <s v="FLINTSL - ORANGE"/>
    <m/>
    <n v="0"/>
    <m/>
    <m/>
    <n v="0"/>
    <n v="26513000009"/>
    <n v="26513000010"/>
    <s v="FMD"/>
    <m/>
    <m/>
    <m/>
    <m/>
    <m/>
    <n v="40"/>
    <e v="#N/A"/>
    <n v="25"/>
    <e v="#N/A"/>
    <n v="4"/>
    <n v="0"/>
    <m/>
    <n v="0"/>
    <m/>
    <n v="0"/>
    <m/>
    <n v="0"/>
    <m/>
    <n v="0"/>
    <m/>
    <n v="0"/>
    <s v="FLINTSL"/>
    <n v="70"/>
    <n v="0"/>
    <n v="3.2857142857142918"/>
    <n v="0"/>
    <s v="CYAN"/>
    <s v="J00970C"/>
    <s v="FLINTSL - CYAN"/>
    <n v="30"/>
    <n v="0"/>
    <m/>
    <m/>
    <n v="0"/>
    <n v="26510000009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32"/>
    <n v="0"/>
    <n v="2.0714285714285694"/>
    <n v="0"/>
    <s v="MAGENTA"/>
    <s v="J00970M"/>
    <s v="FLINTSL - MAGENTA"/>
    <n v="24"/>
    <n v="0"/>
    <m/>
    <m/>
    <n v="0"/>
    <n v="26513000019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7"/>
    <n v="0"/>
    <n v="2.1428571428571423"/>
    <n v="0"/>
    <s v="YELLOW"/>
    <s v="J00970U"/>
    <s v="FLINTSL - YELLOW"/>
    <n v="27"/>
    <n v="0"/>
    <m/>
    <m/>
    <n v="0"/>
    <n v="26513000019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33"/>
    <n v="0"/>
    <n v="2.3571428571428612"/>
    <n v="0"/>
    <s v="WHITE"/>
    <s v="C01479W"/>
    <s v="FLINTSL - WHITE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7.1428571428571459"/>
    <n v="0"/>
    <n v="5"/>
    <n v="5"/>
    <n v="4"/>
    <n v="4"/>
    <n v="1"/>
    <n v="2"/>
    <n v="5"/>
    <n v="2"/>
    <n v="0.8"/>
    <n v="0.2"/>
    <m/>
    <m/>
    <m/>
    <n v="0"/>
    <n v="30"/>
    <n v="0"/>
    <n v="0"/>
    <n v="30"/>
    <n v="30"/>
    <n v="24"/>
    <n v="0"/>
    <n v="6"/>
    <n v="0"/>
    <n v="0"/>
    <n v="0"/>
    <n v="0"/>
    <n v="0"/>
    <n v="0"/>
    <n v="0"/>
    <n v="0"/>
    <n v="0"/>
    <n v="0"/>
    <m/>
    <n v="101.5"/>
    <n v="33.500000000000014"/>
    <n v="85"/>
    <s v="FLINTSLFLINTSLFLINTSLFLINTSLFLINTSLFLINTSLFLINTSLFLINTSL"/>
    <s v="+"/>
    <s v="+"/>
    <s v="+"/>
    <s v="+"/>
    <s v="+"/>
    <s v="+"/>
    <s v="+"/>
    <s v="+"/>
    <b v="0"/>
  </r>
  <r>
    <d v="2026-01-12T00:00:00"/>
    <s v="A"/>
    <x v="121"/>
    <n v="86"/>
    <n v="863"/>
    <n v="15900"/>
    <s v="II"/>
    <s v="N"/>
    <n v="1.1000000000000001"/>
    <s v="BLACK"/>
    <s v="N00841B"/>
    <s v="FLINTSL - BLACK"/>
    <n v="32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0"/>
    <n v="7.7333333333333343"/>
    <n v="0"/>
    <s v="REFLEX BLUE"/>
    <s v="N00841B"/>
    <s v="FLINTSL - REFLEX BLUE"/>
    <n v="31"/>
    <n v="0"/>
    <m/>
    <m/>
    <n v="0"/>
    <n v="2651300001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5"/>
    <n v="0"/>
    <n v="15.733333333333334"/>
    <n v="0"/>
    <s v="YELLOW"/>
    <s v="N00841Y"/>
    <s v="FLINTSL - YELLOW"/>
    <n v="27"/>
    <n v="0"/>
    <m/>
    <m/>
    <n v="0"/>
    <n v="2651400001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2"/>
    <n v="0"/>
    <n v="12.733333333333334"/>
    <n v="0"/>
    <s v="REFLEX BLUE"/>
    <s v="F00855B"/>
    <s v="FLINTSL - REFLEX BLUE"/>
    <n v="20"/>
    <n v="0"/>
    <s v="E01017B"/>
    <n v="24"/>
    <n v="0"/>
    <n v="26513000011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25"/>
    <n v="0"/>
    <n v="32.733333333333334"/>
    <n v="0"/>
    <s v="CYAN"/>
    <s v="N00841C"/>
    <s v="FLINTSL - CYAN"/>
    <n v="32"/>
    <n v="0"/>
    <m/>
    <m/>
    <n v="0"/>
    <n v="26510000009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8"/>
    <n v="0"/>
    <n v="10.733333333333334"/>
    <n v="0"/>
    <s v="MAGENTA"/>
    <s v="N00841M"/>
    <s v="FLINTSL - MAGENTA"/>
    <n v="27"/>
    <n v="0"/>
    <m/>
    <m/>
    <n v="0"/>
    <n v="26513000019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7"/>
    <n v="0"/>
    <n v="10.733333333333334"/>
    <n v="0"/>
    <s v="YELLOW"/>
    <s v="N00841Y"/>
    <s v="FLINTSL - YELLOW"/>
    <n v="33"/>
    <n v="0"/>
    <m/>
    <m/>
    <n v="0"/>
    <n v="26513000018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2"/>
    <n v="0"/>
    <n v="14.600000000000001"/>
    <n v="0"/>
    <s v="WHITE"/>
    <s v="N00841W"/>
    <s v="FLINTSL - WHITE"/>
    <n v="25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30"/>
    <n v="0"/>
    <n v="131"/>
    <n v="0"/>
    <n v="2"/>
    <n v="2"/>
    <n v="2"/>
    <n v="2"/>
    <n v="2"/>
    <n v="2"/>
    <n v="3"/>
    <n v="30"/>
    <n v="0.8"/>
    <n v="0.2"/>
    <m/>
    <m/>
    <m/>
    <n v="0"/>
    <n v="129"/>
    <n v="0"/>
    <n v="0"/>
    <n v="129"/>
    <n v="129"/>
    <n v="103.2"/>
    <n v="0"/>
    <n v="25.8"/>
    <n v="0"/>
    <n v="0"/>
    <n v="0"/>
    <n v="0"/>
    <n v="0"/>
    <n v="0"/>
    <n v="0"/>
    <n v="0"/>
    <n v="0"/>
    <n v="0"/>
    <m/>
    <n v="75"/>
    <n v="236"/>
    <n v="86"/>
    <s v="FLINTSLFLINTSLFLINTSLFLINTSLFLINTSLFLINTSLFLINTSLFLINTSL"/>
    <s v="+"/>
    <s v="+"/>
    <s v="+"/>
    <s v="+"/>
    <s v="+"/>
    <s v="+"/>
    <s v="+"/>
    <s v="+"/>
    <b v="0"/>
  </r>
  <r>
    <d v="2026-01-13T00:00:00"/>
    <s v="A"/>
    <x v="122"/>
    <n v="87"/>
    <n v="3260"/>
    <n v="46900"/>
    <s v="II"/>
    <s v="N"/>
    <n v="0.1"/>
    <s v="BLACK"/>
    <m/>
    <s v="FLINTSL - BLACK"/>
    <m/>
    <n v="0"/>
    <m/>
    <m/>
    <n v="0"/>
    <n v="26509000017"/>
    <m/>
    <m/>
    <m/>
    <m/>
    <m/>
    <m/>
    <m/>
    <n v="30"/>
    <e v="#N/A"/>
    <m/>
    <n v="0"/>
    <m/>
    <n v="0"/>
    <m/>
    <n v="0"/>
    <m/>
    <n v="0"/>
    <m/>
    <n v="0"/>
    <m/>
    <n v="0"/>
    <m/>
    <n v="0"/>
    <s v="FLINTSL"/>
    <n v="28"/>
    <n v="0"/>
    <n v="2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7"/>
    <n v="0"/>
    <n v="0"/>
    <n v="0"/>
    <n v="0"/>
    <n v="0"/>
    <n v="0"/>
    <n v="0"/>
    <n v="0.8"/>
    <n v="0.2"/>
    <m/>
    <m/>
    <m/>
    <n v="0"/>
    <n v="20"/>
    <n v="0"/>
    <n v="0"/>
    <n v="20"/>
    <n v="20"/>
    <n v="16"/>
    <n v="0"/>
    <n v="4"/>
    <n v="0"/>
    <n v="0"/>
    <n v="0"/>
    <n v="0"/>
    <n v="0"/>
    <n v="0"/>
    <n v="0"/>
    <n v="0"/>
    <n v="0"/>
    <n v="0"/>
    <m/>
    <n v="30"/>
    <n v="22"/>
    <n v="87"/>
    <s v="FLINTSL"/>
    <s v="+"/>
    <s v="NIL"/>
    <s v="NIL"/>
    <s v="NIL"/>
    <s v="NIL"/>
    <s v="NIL"/>
    <s v="NIL"/>
    <s v="NIL"/>
    <b v="0"/>
  </r>
  <r>
    <d v="2026-01-13T00:00:00"/>
    <s v="A"/>
    <x v="123"/>
    <n v="88"/>
    <n v="469"/>
    <n v="20100"/>
    <s v="II"/>
    <s v="N"/>
    <n v="1.74"/>
    <s v="RED"/>
    <s v="C01482R"/>
    <s v="FLINTSL - RED"/>
    <n v="22"/>
    <n v="0"/>
    <s v="N00841R"/>
    <n v="5"/>
    <n v="0"/>
    <n v="26513000019"/>
    <n v="26508000001"/>
    <m/>
    <m/>
    <m/>
    <m/>
    <m/>
    <m/>
    <n v="4"/>
    <e v="#N/A"/>
    <n v="4"/>
    <e v="#N/A"/>
    <m/>
    <n v="0"/>
    <m/>
    <n v="0"/>
    <m/>
    <n v="0"/>
    <m/>
    <n v="0"/>
    <m/>
    <n v="0"/>
    <m/>
    <n v="0"/>
    <s v="FLINTSL"/>
    <n v="25"/>
    <n v="0"/>
    <n v="16.220588235294116"/>
    <n v="0"/>
    <s v="RED"/>
    <s v="C01479R"/>
    <s v="FLINTSL - RED"/>
    <n v="33"/>
    <n v="0"/>
    <m/>
    <m/>
    <n v="0"/>
    <n v="26513000019"/>
    <n v="26508000001"/>
    <m/>
    <m/>
    <m/>
    <m/>
    <m/>
    <m/>
    <n v="7"/>
    <e v="#N/A"/>
    <n v="10"/>
    <e v="#N/A"/>
    <m/>
    <n v="0"/>
    <m/>
    <n v="0"/>
    <m/>
    <n v="0"/>
    <m/>
    <n v="0"/>
    <m/>
    <n v="0"/>
    <m/>
    <n v="0"/>
    <s v="FLINTSL"/>
    <n v="30"/>
    <n v="0"/>
    <n v="30.367647058823529"/>
    <n v="0"/>
    <s v="WHITE"/>
    <s v="N00843W"/>
    <s v="FLINTSL - WHITE"/>
    <n v="30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27"/>
    <n v="0"/>
    <n v="227.4117647058823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5"/>
    <n v="60"/>
    <n v="0"/>
    <n v="0"/>
    <n v="0"/>
    <n v="0"/>
    <n v="0"/>
    <n v="0.8"/>
    <n v="0.2"/>
    <m/>
    <m/>
    <m/>
    <n v="0"/>
    <n v="141"/>
    <n v="0"/>
    <n v="0"/>
    <n v="141"/>
    <n v="141"/>
    <n v="112.80000000000001"/>
    <n v="0"/>
    <n v="28.200000000000003"/>
    <n v="0"/>
    <n v="0"/>
    <n v="0"/>
    <n v="0"/>
    <n v="0"/>
    <n v="0"/>
    <n v="0"/>
    <n v="0"/>
    <n v="0"/>
    <n v="0"/>
    <m/>
    <n v="125"/>
    <n v="274"/>
    <n v="88"/>
    <s v="FLINTSLFLINTSLFLINTSL"/>
    <s v="+"/>
    <s v="+"/>
    <s v="+"/>
    <s v="NIL"/>
    <s v="NIL"/>
    <s v="NIL"/>
    <s v="NIL"/>
    <s v="NIL"/>
    <b v="0"/>
  </r>
  <r>
    <d v="2026-01-13T00:00:00"/>
    <s v="B"/>
    <x v="124"/>
    <n v="89"/>
    <n v="250"/>
    <n v="10800"/>
    <s v="II"/>
    <s v="N"/>
    <n v="1.96"/>
    <s v="BLACK"/>
    <s v="N00843B"/>
    <s v="FLINTSL - BLACK"/>
    <n v="30"/>
    <n v="0"/>
    <m/>
    <m/>
    <n v="0"/>
    <n v="26508000010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3"/>
    <n v="0"/>
    <n v="13"/>
    <n v="0"/>
    <s v="GREEN"/>
    <s v="C01453G"/>
    <s v="FLINTSL - GREEN"/>
    <n v="15"/>
    <n v="0"/>
    <m/>
    <m/>
    <n v="0"/>
    <n v="26510000009"/>
    <n v="26514000010"/>
    <n v="26513000011"/>
    <m/>
    <m/>
    <m/>
    <m/>
    <m/>
    <n v="5"/>
    <e v="#N/A"/>
    <n v="4"/>
    <e v="#N/A"/>
    <n v="0.2"/>
    <e v="#N/A"/>
    <m/>
    <n v="0"/>
    <m/>
    <n v="0"/>
    <m/>
    <n v="0"/>
    <m/>
    <n v="0"/>
    <m/>
    <n v="0"/>
    <s v="FLINTSL"/>
    <n v="24"/>
    <n v="0"/>
    <n v="7.1999999999999993"/>
    <n v="0"/>
    <s v="GREEN"/>
    <s v="C01425G"/>
    <s v="FLINTSL - GREEN"/>
    <n v="13"/>
    <n v="0"/>
    <m/>
    <m/>
    <n v="0"/>
    <n v="26513000024"/>
    <n v="26510000009"/>
    <n v="26513000020"/>
    <n v="26513000011"/>
    <m/>
    <m/>
    <m/>
    <m/>
    <n v="40"/>
    <e v="#N/A"/>
    <n v="5"/>
    <e v="#N/A"/>
    <n v="1"/>
    <e v="#N/A"/>
    <n v="0.4"/>
    <e v="#N/A"/>
    <m/>
    <n v="0"/>
    <m/>
    <n v="0"/>
    <m/>
    <n v="0"/>
    <m/>
    <n v="0"/>
    <s v="FLINTSL"/>
    <n v="38"/>
    <n v="0"/>
    <n v="31.400000000000006"/>
    <n v="0"/>
    <s v="GREEN"/>
    <s v="C01425G"/>
    <s v="FLINTSL - GREEN"/>
    <n v="10"/>
    <n v="0"/>
    <m/>
    <m/>
    <n v="0"/>
    <n v="26511000002"/>
    <n v="26513000020"/>
    <s v="FMD"/>
    <m/>
    <m/>
    <m/>
    <m/>
    <m/>
    <n v="5"/>
    <e v="#N/A"/>
    <n v="0.2"/>
    <e v="#N/A"/>
    <n v="4"/>
    <n v="0"/>
    <m/>
    <n v="0"/>
    <m/>
    <n v="0"/>
    <m/>
    <n v="0"/>
    <m/>
    <n v="0"/>
    <m/>
    <n v="0"/>
    <s v="FLINTSL"/>
    <n v="15"/>
    <n v="0"/>
    <n v="11.2"/>
    <n v="0"/>
    <s v="GREEN"/>
    <m/>
    <s v="FLINTSL - GREEN"/>
    <m/>
    <n v="0"/>
    <m/>
    <m/>
    <n v="0"/>
    <n v="26510000009"/>
    <n v="26514000010"/>
    <n v="26507000020"/>
    <s v="FMD"/>
    <m/>
    <m/>
    <m/>
    <m/>
    <n v="12"/>
    <e v="#N/A"/>
    <n v="10"/>
    <e v="#N/A"/>
    <n v="4"/>
    <e v="#N/A"/>
    <n v="5"/>
    <n v="0"/>
    <m/>
    <n v="0"/>
    <m/>
    <n v="0"/>
    <m/>
    <n v="0"/>
    <m/>
    <n v="0"/>
    <s v="FLINTSL"/>
    <n v="20"/>
    <n v="0"/>
    <n v="19"/>
    <n v="0"/>
    <s v="RED"/>
    <m/>
    <s v="FLINTSL - RED"/>
    <m/>
    <n v="0"/>
    <m/>
    <m/>
    <n v="0"/>
    <n v="26513000023"/>
    <n v="26513000020"/>
    <s v="FMD"/>
    <m/>
    <m/>
    <m/>
    <m/>
    <m/>
    <n v="10"/>
    <e v="#N/A"/>
    <n v="5"/>
    <e v="#N/A"/>
    <n v="5"/>
    <n v="0"/>
    <m/>
    <n v="0"/>
    <m/>
    <n v="0"/>
    <m/>
    <n v="0"/>
    <m/>
    <n v="0"/>
    <m/>
    <n v="0"/>
    <s v="FLINTSL"/>
    <n v="27"/>
    <n v="0"/>
    <n v="3"/>
    <n v="0"/>
    <s v="YELLOW"/>
    <s v="N00843Y"/>
    <s v="FLINTSL - YELLOW"/>
    <n v="32"/>
    <n v="0"/>
    <m/>
    <m/>
    <n v="0"/>
    <n v="26514000010"/>
    <s v="FMD"/>
    <m/>
    <m/>
    <m/>
    <m/>
    <m/>
    <m/>
    <n v="3"/>
    <e v="#N/A"/>
    <n v="1"/>
    <n v="0"/>
    <m/>
    <n v="0"/>
    <m/>
    <n v="0"/>
    <m/>
    <n v="0"/>
    <m/>
    <n v="0"/>
    <m/>
    <n v="0"/>
    <m/>
    <n v="0"/>
    <s v="FLINTSL"/>
    <n v="25"/>
    <n v="0"/>
    <n v="14"/>
    <n v="0"/>
    <s v="WHITE"/>
    <s v="B01046W"/>
    <s v="FLINTSL - WHITE"/>
    <n v="27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6"/>
    <n v="0"/>
    <n v="91"/>
    <n v="0"/>
    <n v="3"/>
    <n v="7"/>
    <n v="10"/>
    <n v="7"/>
    <n v="8"/>
    <n v="10"/>
    <n v="3"/>
    <n v="30"/>
    <n v="0.8"/>
    <n v="0.2"/>
    <m/>
    <m/>
    <m/>
    <n v="0"/>
    <n v="0"/>
    <n v="0"/>
    <n v="0"/>
    <n v="0"/>
    <n v="78"/>
    <n v="62.400000000000006"/>
    <n v="0"/>
    <n v="15.600000000000001"/>
    <n v="0"/>
    <n v="0"/>
    <n v="0"/>
    <n v="0"/>
    <n v="0"/>
    <n v="0"/>
    <n v="0"/>
    <n v="0"/>
    <n v="0"/>
    <n v="0"/>
    <m/>
    <n v="182.8"/>
    <n v="189.8"/>
    <n v="89"/>
    <s v="FLINTSLFLINTSLFLINTSLFLINTSLFLINTSLFLINTSLFLINTSLFLINTSL"/>
    <s v="+"/>
    <s v="+"/>
    <s v="+"/>
    <s v="+"/>
    <s v="+"/>
    <s v="+"/>
    <s v="+"/>
    <s v="+"/>
    <b v="0"/>
  </r>
  <r>
    <d v="2026-01-13T00:00:00"/>
    <s v="B"/>
    <x v="125"/>
    <n v="90"/>
    <n v="252"/>
    <n v="10900"/>
    <s v="II"/>
    <s v="N"/>
    <n v="0.2"/>
    <s v="GREEN"/>
    <s v="C01453G"/>
    <s v="FLINTSL - GREEN"/>
    <n v="28"/>
    <n v="0"/>
    <m/>
    <m/>
    <n v="0"/>
    <n v="26510000009"/>
    <n v="26514000011"/>
    <n v="26507000020"/>
    <m/>
    <m/>
    <m/>
    <m/>
    <m/>
    <n v="8"/>
    <e v="#N/A"/>
    <n v="13"/>
    <e v="#N/A"/>
    <n v="6"/>
    <e v="#N/A"/>
    <m/>
    <n v="0"/>
    <m/>
    <n v="0"/>
    <m/>
    <n v="0"/>
    <m/>
    <n v="0"/>
    <m/>
    <n v="0"/>
    <s v="FLINTSL"/>
    <n v="24"/>
    <n v="0"/>
    <n v="5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0"/>
    <n v="0"/>
    <n v="0"/>
    <n v="0"/>
    <n v="0"/>
    <n v="0"/>
    <n v="0"/>
    <n v="0.8"/>
    <n v="0.2"/>
    <m/>
    <m/>
    <m/>
    <n v="0"/>
    <n v="20"/>
    <n v="0"/>
    <n v="0"/>
    <n v="20"/>
    <n v="20"/>
    <n v="16"/>
    <n v="0"/>
    <n v="4"/>
    <n v="0"/>
    <n v="0"/>
    <n v="0"/>
    <n v="0"/>
    <n v="0"/>
    <n v="0"/>
    <n v="0"/>
    <n v="0"/>
    <n v="0"/>
    <n v="0"/>
    <m/>
    <n v="27"/>
    <n v="51"/>
    <n v="90"/>
    <s v="FLINTSL"/>
    <s v="+"/>
    <s v="NIL"/>
    <s v="NIL"/>
    <s v="NIL"/>
    <s v="NIL"/>
    <s v="NIL"/>
    <s v="NIL"/>
    <s v="NIL"/>
    <b v="0"/>
  </r>
  <r>
    <d v="2026-01-13T00:00:00"/>
    <s v="B"/>
    <x v="126"/>
    <n v="91"/>
    <n v="446"/>
    <n v="19500"/>
    <s v="II"/>
    <s v="N"/>
    <n v="1.98"/>
    <s v="BLACK"/>
    <s v="C01446B"/>
    <s v="FLINTSL - BLACK"/>
    <n v="23"/>
    <n v="0"/>
    <m/>
    <m/>
    <n v="0"/>
    <n v="26514000007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4"/>
    <n v="0"/>
    <n v="14.64179104477612"/>
    <n v="0"/>
    <s v="GREEN"/>
    <s v="C01425G"/>
    <s v="FLINTSL - GREEN"/>
    <n v="10"/>
    <n v="0"/>
    <s v="C01446G"/>
    <n v="12"/>
    <n v="0"/>
    <n v="26510000009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3"/>
    <n v="0"/>
    <n v="14.64179104477612"/>
    <n v="0"/>
    <s v="GREEN"/>
    <s v="J00970G"/>
    <s v="FLINTSL - GREEN"/>
    <n v="23"/>
    <n v="0"/>
    <m/>
    <m/>
    <n v="0"/>
    <n v="26514000011"/>
    <n v="26510000009"/>
    <m/>
    <m/>
    <m/>
    <m/>
    <m/>
    <m/>
    <n v="2"/>
    <e v="#N/A"/>
    <n v="0.2"/>
    <e v="#N/A"/>
    <m/>
    <n v="0"/>
    <m/>
    <n v="0"/>
    <m/>
    <n v="0"/>
    <m/>
    <n v="0"/>
    <m/>
    <n v="0"/>
    <m/>
    <n v="0"/>
    <s v="FLINTSL"/>
    <n v="23"/>
    <n v="0"/>
    <n v="9.1850746268656707"/>
    <n v="0"/>
    <s v="YELLOW"/>
    <m/>
    <s v="FLINTSL - YELLOW"/>
    <m/>
    <n v="0"/>
    <m/>
    <m/>
    <n v="0"/>
    <n v="26514000001"/>
    <n v="26514000003"/>
    <n v="26514000002"/>
    <m/>
    <m/>
    <m/>
    <m/>
    <m/>
    <n v="40"/>
    <e v="#N/A"/>
    <n v="40"/>
    <e v="#N/A"/>
    <n v="40"/>
    <e v="#N/A"/>
    <m/>
    <n v="0"/>
    <m/>
    <n v="0"/>
    <m/>
    <n v="0"/>
    <m/>
    <n v="0"/>
    <m/>
    <n v="0"/>
    <s v="FLINTSL"/>
    <n v="22"/>
    <n v="0"/>
    <n v="98"/>
    <n v="0"/>
    <s v="CYAN"/>
    <s v="N00843C"/>
    <s v="FLINTSL - CYAN"/>
    <n v="28"/>
    <n v="0"/>
    <m/>
    <m/>
    <n v="0"/>
    <n v="26510000009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10.656716417910445"/>
    <n v="0"/>
    <s v="MAGENTA"/>
    <s v="N00843M"/>
    <s v="FLINTSL - MAGENTA"/>
    <n v="27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4"/>
    <n v="0"/>
    <n v="19.64179104477612"/>
    <n v="0"/>
    <s v="YELLOW"/>
    <s v="C01446Y"/>
    <s v="FLINTSL - YELLOW"/>
    <n v="25"/>
    <n v="0"/>
    <m/>
    <m/>
    <n v="0"/>
    <n v="26514000011"/>
    <s v="FMD"/>
    <m/>
    <m/>
    <m/>
    <m/>
    <m/>
    <m/>
    <n v="8"/>
    <e v="#N/A"/>
    <n v="5"/>
    <n v="0"/>
    <m/>
    <n v="0"/>
    <m/>
    <n v="0"/>
    <m/>
    <n v="0"/>
    <m/>
    <n v="0"/>
    <m/>
    <n v="0"/>
    <m/>
    <n v="0"/>
    <s v="FLINTSL"/>
    <n v="20"/>
    <n v="0"/>
    <n v="34.298507462686565"/>
    <n v="0"/>
    <s v="WHITE"/>
    <s v="C01446W"/>
    <s v="FLINTSL - WHITE"/>
    <n v="26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7"/>
    <n v="0"/>
    <n v="152.13432835820896"/>
    <n v="0"/>
    <n v="5"/>
    <n v="5"/>
    <n v="3"/>
    <n v="0"/>
    <n v="2"/>
    <n v="5"/>
    <n v="7"/>
    <n v="40"/>
    <n v="0.8"/>
    <n v="0.2"/>
    <m/>
    <m/>
    <m/>
    <n v="0"/>
    <n v="156"/>
    <n v="0"/>
    <n v="0"/>
    <n v="156"/>
    <n v="156"/>
    <n v="124.80000000000001"/>
    <n v="0"/>
    <n v="31.200000000000003"/>
    <n v="0"/>
    <n v="0"/>
    <n v="0"/>
    <n v="0"/>
    <n v="0"/>
    <n v="0"/>
    <n v="0"/>
    <n v="0"/>
    <n v="0"/>
    <n v="0"/>
    <m/>
    <n v="212.2"/>
    <n v="353.2"/>
    <n v="91"/>
    <s v="FLINTSLFLINTSLFLINTSLFLINTSLFLINTSLFLINTSLFLINTSLFLINTSL"/>
    <s v="+"/>
    <s v="+"/>
    <s v="+"/>
    <s v="+"/>
    <s v="+"/>
    <s v="+"/>
    <s v="+"/>
    <s v="+"/>
    <b v="0"/>
  </r>
  <r>
    <d v="2026-01-13T00:00:00"/>
    <s v="B"/>
    <x v="127"/>
    <n v="92"/>
    <n v="517"/>
    <n v="25100"/>
    <s v="II"/>
    <s v="N"/>
    <n v="0.26"/>
    <s v="BLACK"/>
    <s v="J00911B"/>
    <s v="FLINTSL - BLACK"/>
    <n v="28"/>
    <n v="0"/>
    <m/>
    <m/>
    <n v="0"/>
    <n v="26507000025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0"/>
    <n v="0"/>
    <n v="3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0"/>
    <n v="0"/>
    <n v="0"/>
    <n v="0"/>
    <n v="0"/>
    <n v="0"/>
    <n v="0"/>
    <n v="0.8"/>
    <n v="0.2"/>
    <m/>
    <m/>
    <m/>
    <n v="0"/>
    <n v="20"/>
    <n v="0"/>
    <n v="0"/>
    <n v="20"/>
    <n v="20"/>
    <n v="16"/>
    <n v="0"/>
    <n v="4"/>
    <n v="0"/>
    <n v="0"/>
    <n v="0"/>
    <n v="0"/>
    <n v="0"/>
    <n v="0"/>
    <n v="0"/>
    <n v="0"/>
    <n v="0"/>
    <n v="0"/>
    <m/>
    <n v="10"/>
    <n v="38"/>
    <n v="92"/>
    <s v="FLINTSL"/>
    <s v="+"/>
    <s v="NIL"/>
    <s v="NIL"/>
    <s v="NIL"/>
    <s v="NIL"/>
    <s v="NIL"/>
    <s v="NIL"/>
    <s v="NIL"/>
    <b v="0"/>
  </r>
  <r>
    <d v="2026-01-13T00:00:00"/>
    <s v="B"/>
    <x v="128"/>
    <n v="93"/>
    <n v="956"/>
    <n v="50400"/>
    <s v="II"/>
    <s v="N"/>
    <n v="1.31"/>
    <s v="BLACK"/>
    <s v="C01489B"/>
    <s v="FLINTSL - BLACK"/>
    <n v="24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8"/>
    <n v="0"/>
    <n v="6.2887323943661997"/>
    <n v="0"/>
    <s v="REFLEX BLUE"/>
    <s v="N00843B"/>
    <s v="FLINTSL - REFLEX BLUE"/>
    <n v="25"/>
    <n v="0"/>
    <m/>
    <m/>
    <n v="0"/>
    <n v="26512000002"/>
    <n v="26513000011"/>
    <m/>
    <m/>
    <m/>
    <m/>
    <m/>
    <m/>
    <n v="3"/>
    <e v="#N/A"/>
    <n v="4"/>
    <e v="#N/A"/>
    <m/>
    <n v="0"/>
    <m/>
    <n v="0"/>
    <m/>
    <n v="0"/>
    <m/>
    <n v="0"/>
    <m/>
    <n v="0"/>
    <m/>
    <n v="0"/>
    <s v="FLINTSL"/>
    <n v="32"/>
    <n v="0"/>
    <n v="12.147887323943664"/>
    <n v="0"/>
    <s v="RED"/>
    <s v="B01046R"/>
    <s v="FLINTSL - RED"/>
    <n v="25"/>
    <n v="0"/>
    <m/>
    <m/>
    <n v="0"/>
    <n v="26513000020"/>
    <n v="26513000023"/>
    <n v="26507000025"/>
    <m/>
    <m/>
    <m/>
    <m/>
    <m/>
    <n v="2"/>
    <e v="#N/A"/>
    <n v="2"/>
    <e v="#N/A"/>
    <n v="0.1"/>
    <e v="#N/A"/>
    <m/>
    <n v="0"/>
    <m/>
    <n v="0"/>
    <m/>
    <n v="0"/>
    <m/>
    <n v="0"/>
    <m/>
    <n v="0"/>
    <s v="FLINTSL"/>
    <n v="24"/>
    <n v="0"/>
    <n v="14.81830985915493"/>
    <n v="0"/>
    <s v="CYAN"/>
    <s v="C01489C"/>
    <s v="FLINTSL - CYAN"/>
    <n v="26"/>
    <n v="0"/>
    <m/>
    <m/>
    <n v="0"/>
    <n v="26514000004"/>
    <n v="26510000009"/>
    <n v="26514000005"/>
    <m/>
    <m/>
    <m/>
    <m/>
    <m/>
    <n v="40"/>
    <e v="#N/A"/>
    <n v="9"/>
    <e v="#N/A"/>
    <n v="40"/>
    <e v="#N/A"/>
    <m/>
    <n v="0"/>
    <m/>
    <n v="0"/>
    <m/>
    <n v="0"/>
    <m/>
    <n v="0"/>
    <m/>
    <n v="0"/>
    <s v="FLINTSL"/>
    <n v="32"/>
    <n v="0"/>
    <n v="95.147887323943664"/>
    <n v="0"/>
    <s v="MAGENTA"/>
    <s v="C01489M"/>
    <s v="FLINTSL - MAGENTA"/>
    <n v="24"/>
    <n v="0"/>
    <m/>
    <m/>
    <n v="0"/>
    <n v="26513000023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30"/>
    <n v="0"/>
    <n v="6.8591549295774641"/>
    <n v="0"/>
    <s v="YELLOW"/>
    <s v="C01489Y"/>
    <s v="FLINTSL - YELLOW"/>
    <n v="20"/>
    <n v="0"/>
    <m/>
    <m/>
    <n v="0"/>
    <n v="26514000011"/>
    <s v="FMD"/>
    <m/>
    <m/>
    <m/>
    <m/>
    <m/>
    <m/>
    <n v="3"/>
    <e v="#N/A"/>
    <n v="1"/>
    <n v="0"/>
    <m/>
    <n v="0"/>
    <m/>
    <n v="0"/>
    <m/>
    <n v="0"/>
    <m/>
    <n v="0"/>
    <m/>
    <n v="0"/>
    <m/>
    <n v="0"/>
    <s v="FLINTSL"/>
    <n v="24"/>
    <n v="0"/>
    <n v="7.2887323943661961"/>
    <n v="0"/>
    <s v="WHITE"/>
    <s v="C01489W"/>
    <s v="FLINTSL - WHITE"/>
    <n v="27"/>
    <n v="0"/>
    <m/>
    <m/>
    <n v="0"/>
    <s v="FW"/>
    <m/>
    <m/>
    <m/>
    <m/>
    <m/>
    <m/>
    <m/>
    <n v="200"/>
    <n v="0"/>
    <m/>
    <n v="0"/>
    <m/>
    <n v="0"/>
    <m/>
    <n v="0"/>
    <m/>
    <n v="0"/>
    <m/>
    <n v="0"/>
    <m/>
    <n v="0"/>
    <m/>
    <n v="0"/>
    <s v="FLINTSL"/>
    <n v="30"/>
    <n v="0"/>
    <n v="488.5492957746478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5"/>
    <n v="4"/>
    <n v="5"/>
    <n v="2"/>
    <n v="3"/>
    <n v="120"/>
    <n v="0"/>
    <n v="0.8"/>
    <n v="0.2"/>
    <m/>
    <m/>
    <m/>
    <n v="0"/>
    <n v="345"/>
    <n v="0"/>
    <n v="0"/>
    <n v="345"/>
    <n v="345"/>
    <n v="276"/>
    <n v="0"/>
    <n v="69"/>
    <n v="0"/>
    <n v="0"/>
    <n v="0"/>
    <n v="0"/>
    <n v="0"/>
    <n v="0"/>
    <n v="0"/>
    <n v="0"/>
    <n v="0"/>
    <n v="0"/>
    <m/>
    <n v="315.10000000000002"/>
    <n v="631.09999999999991"/>
    <n v="93"/>
    <s v="FLINTSLFLINTSLFLINTSLFLINTSLFLINTSLFLINTSLFLINTSL"/>
    <s v="+"/>
    <s v="+"/>
    <s v="+"/>
    <s v="+"/>
    <s v="+"/>
    <s v="+"/>
    <s v="+"/>
    <s v="NIL"/>
    <b v="0"/>
  </r>
  <r>
    <d v="2026-01-08T00:00:00"/>
    <s v="A"/>
    <x v="129"/>
    <s v="TL36"/>
    <n v="86"/>
    <n v="4800"/>
    <s v="I"/>
    <s v="N"/>
    <n v="1.8"/>
    <s v="BLACK"/>
    <s v="N00877B"/>
    <s v="ToyoLi - BLACK"/>
    <n v="30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32"/>
    <n v="0"/>
    <n v="3.9090909090909065"/>
    <n v="0"/>
    <s v="GREEN"/>
    <s v="N00877G"/>
    <s v="ToyoLi - GREEN"/>
    <n v="10"/>
    <n v="0"/>
    <m/>
    <m/>
    <n v="0"/>
    <s v="R79"/>
    <s v="F23T"/>
    <s v="R39"/>
    <m/>
    <m/>
    <m/>
    <m/>
    <m/>
    <n v="1"/>
    <n v="0"/>
    <n v="5"/>
    <n v="0"/>
    <n v="3"/>
    <n v="0"/>
    <m/>
    <n v="0"/>
    <m/>
    <n v="0"/>
    <m/>
    <n v="0"/>
    <m/>
    <n v="0"/>
    <m/>
    <n v="0"/>
    <s v="ToyoLi"/>
    <n v="21"/>
    <n v="0"/>
    <n v="5.8181818181818201"/>
    <n v="0"/>
    <s v="BLACK"/>
    <s v="J00874B"/>
    <s v="ToyoLi - BLACK"/>
    <n v="15"/>
    <n v="0"/>
    <s v="H01306B"/>
    <n v="17"/>
    <n v="0"/>
    <s v="F121"/>
    <s v="R92"/>
    <m/>
    <m/>
    <m/>
    <m/>
    <m/>
    <m/>
    <n v="8"/>
    <n v="0"/>
    <n v="1"/>
    <n v="0"/>
    <m/>
    <n v="0"/>
    <m/>
    <n v="0"/>
    <m/>
    <n v="0"/>
    <m/>
    <n v="0"/>
    <m/>
    <n v="0"/>
    <m/>
    <n v="0"/>
    <s v="ToyoLi"/>
    <n v="20"/>
    <n v="0"/>
    <n v="28.81818181818182"/>
    <n v="0"/>
    <s v="MAGENTA"/>
    <s v="N00877M"/>
    <s v="ToyoLi - MAGENTA"/>
    <n v="14"/>
    <n v="0"/>
    <m/>
    <m/>
    <n v="0"/>
    <s v="F121"/>
    <s v="RTMD"/>
    <m/>
    <m/>
    <m/>
    <m/>
    <m/>
    <m/>
    <n v="5"/>
    <n v="0"/>
    <n v="3"/>
    <n v="0"/>
    <m/>
    <n v="0"/>
    <m/>
    <n v="0"/>
    <m/>
    <n v="0"/>
    <m/>
    <n v="0"/>
    <m/>
    <n v="0"/>
    <m/>
    <n v="0"/>
    <s v="ToyoLi"/>
    <n v="25"/>
    <n v="0"/>
    <n v="6.7727272727272734"/>
    <n v="0"/>
    <s v="YELLOW"/>
    <s v="N00877Y"/>
    <s v="ToyoLi - YELLOW"/>
    <n v="17"/>
    <n v="0"/>
    <m/>
    <m/>
    <n v="0"/>
    <s v="F23T"/>
    <s v="RTMD"/>
    <m/>
    <m/>
    <m/>
    <m/>
    <m/>
    <m/>
    <n v="6"/>
    <n v="0"/>
    <n v="2"/>
    <n v="0"/>
    <m/>
    <n v="0"/>
    <m/>
    <n v="0"/>
    <m/>
    <n v="0"/>
    <m/>
    <n v="0"/>
    <m/>
    <n v="0"/>
    <m/>
    <n v="0"/>
    <s v="ToyoLi"/>
    <n v="28"/>
    <n v="0"/>
    <n v="6.7727272727272734"/>
    <n v="0"/>
    <s v="GOLD"/>
    <s v="H01300G"/>
    <s v="ToyoLi - GOLD"/>
    <n v="14"/>
    <n v="0"/>
    <m/>
    <m/>
    <n v="0"/>
    <s v="TLGO"/>
    <s v="TLSI"/>
    <n v="262"/>
    <m/>
    <m/>
    <m/>
    <m/>
    <m/>
    <n v="10"/>
    <n v="0"/>
    <n v="2"/>
    <n v="0"/>
    <n v="4"/>
    <n v="0"/>
    <m/>
    <n v="0"/>
    <m/>
    <n v="0"/>
    <m/>
    <n v="0"/>
    <m/>
    <n v="0"/>
    <m/>
    <n v="0"/>
    <s v="ToyoLi"/>
    <n v="30"/>
    <n v="0"/>
    <n v="7.8181818181818201"/>
    <n v="0"/>
    <s v="WHITE"/>
    <m/>
    <s v="ToyoLi - WHITE"/>
    <m/>
    <n v="0"/>
    <m/>
    <m/>
    <n v="0"/>
    <s v="F640"/>
    <s v="HSLAS"/>
    <m/>
    <m/>
    <m/>
    <m/>
    <m/>
    <m/>
    <n v="40"/>
    <n v="0"/>
    <n v="4.51"/>
    <n v="0"/>
    <m/>
    <n v="0"/>
    <m/>
    <n v="0"/>
    <m/>
    <n v="0"/>
    <m/>
    <n v="0"/>
    <m/>
    <n v="0"/>
    <m/>
    <n v="0"/>
    <s v="ToyoLi"/>
    <n v="25"/>
    <n v="0"/>
    <n v="58.60090909090908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"/>
    <n v="4"/>
    <n v="5"/>
    <n v="5"/>
    <n v="4"/>
    <n v="20"/>
    <n v="0"/>
    <n v="0.3"/>
    <m/>
    <m/>
    <n v="0.5"/>
    <n v="0.2"/>
    <n v="0"/>
    <n v="86"/>
    <n v="0"/>
    <n v="0"/>
    <n v="86"/>
    <n v="86"/>
    <n v="25.8"/>
    <n v="0"/>
    <n v="0"/>
    <n v="0"/>
    <n v="0"/>
    <n v="0"/>
    <n v="43"/>
    <n v="0"/>
    <n v="17.2"/>
    <n v="0"/>
    <n v="0"/>
    <n v="0"/>
    <n v="0"/>
    <m/>
    <n v="96.51"/>
    <n v="118.50999999999999"/>
    <s v="TL36"/>
    <s v="ToyoLiToyoLiToyoLiToyoLiToyoLiToyoLiToyoLi"/>
    <s v="+"/>
    <s v="+"/>
    <s v="+"/>
    <s v="+"/>
    <s v="+"/>
    <s v="+"/>
    <s v="+"/>
    <s v="NIL"/>
    <b v="0"/>
  </r>
  <r>
    <d v="2026-01-08T00:00:00"/>
    <s v="A"/>
    <x v="130"/>
    <s v="TL37"/>
    <n v="85"/>
    <n v="4800"/>
    <s v="I"/>
    <s v="N"/>
    <n v="1.1599999999999999"/>
    <s v="BLACK"/>
    <s v="N00879B"/>
    <s v="ToyoLi - BLACK"/>
    <n v="32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0"/>
    <n v="2"/>
    <n v="0"/>
    <s v="REFLEX BLUE"/>
    <s v="F00851RB"/>
    <s v="ToyoLi - REFLEX BLUE"/>
    <n v="20"/>
    <n v="0"/>
    <m/>
    <m/>
    <n v="0"/>
    <s v="F121"/>
    <s v="R1205"/>
    <s v="R92"/>
    <m/>
    <m/>
    <m/>
    <m/>
    <m/>
    <n v="12"/>
    <n v="0"/>
    <n v="5"/>
    <n v="0"/>
    <n v="2"/>
    <n v="0"/>
    <m/>
    <n v="0"/>
    <m/>
    <n v="0"/>
    <m/>
    <n v="0"/>
    <m/>
    <n v="0"/>
    <m/>
    <n v="0"/>
    <s v="ToyoLi"/>
    <n v="26"/>
    <n v="0"/>
    <n v="24.184210526315788"/>
    <n v="0"/>
    <s v="CYAN"/>
    <s v="H01306C"/>
    <s v="ToyoLi - CYAN"/>
    <n v="17"/>
    <n v="0"/>
    <m/>
    <m/>
    <n v="0"/>
    <s v="R39"/>
    <s v="RTMD"/>
    <m/>
    <m/>
    <m/>
    <m/>
    <m/>
    <m/>
    <n v="4"/>
    <n v="0"/>
    <n v="5"/>
    <n v="0"/>
    <m/>
    <n v="0"/>
    <m/>
    <n v="0"/>
    <m/>
    <n v="0"/>
    <m/>
    <n v="0"/>
    <m/>
    <n v="0"/>
    <m/>
    <n v="0"/>
    <s v="ToyoLi"/>
    <n v="30"/>
    <n v="0"/>
    <n v="9.4210526315789451"/>
    <n v="0"/>
    <s v="MAGENTA"/>
    <s v="N00879M"/>
    <s v="ToyoLi - MAGENTA"/>
    <n v="25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4.473684210526315"/>
    <n v="0"/>
    <s v="YELLOW"/>
    <s v="N00879Y"/>
    <s v="ToyoLi - YELLOW"/>
    <n v="28"/>
    <n v="0"/>
    <m/>
    <m/>
    <n v="0"/>
    <s v="F23T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30"/>
    <n v="0"/>
    <n v="6.473684210526315"/>
    <n v="0"/>
    <s v="GOLD"/>
    <s v="N00879G"/>
    <s v="ToyoLi - GOLD"/>
    <n v="30"/>
    <n v="0"/>
    <m/>
    <m/>
    <n v="0"/>
    <n v="26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15.184210526315788"/>
    <n v="0"/>
    <s v="GREEN"/>
    <s v="N00879G"/>
    <s v="ToyoLi - GREEN"/>
    <n v="21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6"/>
    <n v="0"/>
    <n v="6.7105263157894726"/>
    <n v="0"/>
    <s v="WHITE"/>
    <s v="N00879W"/>
    <s v="ToyoLi - WHITE"/>
    <n v="25"/>
    <n v="0"/>
    <m/>
    <m/>
    <n v="0"/>
    <s v="F640"/>
    <s v="HSLAS"/>
    <m/>
    <m/>
    <m/>
    <m/>
    <m/>
    <m/>
    <n v="30"/>
    <n v="0"/>
    <n v="5.0999999999999996"/>
    <n v="0"/>
    <m/>
    <n v="0"/>
    <m/>
    <n v="0"/>
    <m/>
    <n v="0"/>
    <m/>
    <n v="0"/>
    <m/>
    <n v="0"/>
    <m/>
    <n v="0"/>
    <s v="ToyoLi"/>
    <n v="25"/>
    <n v="0"/>
    <n v="68.652631578947364"/>
    <n v="0"/>
    <n v="0"/>
    <n v="5"/>
    <n v="6"/>
    <n v="2"/>
    <n v="2"/>
    <n v="5"/>
    <n v="3"/>
    <n v="15"/>
    <n v="0.3"/>
    <m/>
    <m/>
    <n v="0.5"/>
    <n v="0.2"/>
    <n v="0"/>
    <n v="85"/>
    <n v="0"/>
    <n v="0"/>
    <n v="85"/>
    <n v="85"/>
    <n v="25.5"/>
    <n v="0"/>
    <n v="0"/>
    <n v="0"/>
    <n v="0"/>
    <n v="0"/>
    <n v="42.5"/>
    <n v="0"/>
    <n v="17"/>
    <n v="0"/>
    <n v="0"/>
    <n v="0"/>
    <n v="0"/>
    <m/>
    <n v="76.099999999999994"/>
    <n v="137.1"/>
    <s v="TL37"/>
    <s v="ToyoLiToyoLiToyoLiToyoLiToyoLiToyoLiToyoLiToyoLi"/>
    <s v="+"/>
    <s v="+"/>
    <s v="+"/>
    <s v="+"/>
    <s v="+"/>
    <s v="+"/>
    <s v="+"/>
    <s v="+"/>
    <b v="0"/>
  </r>
  <r>
    <d v="2026-01-08T00:00:00"/>
    <s v="A"/>
    <x v="131"/>
    <s v="TL38"/>
    <n v="1198"/>
    <n v="60800"/>
    <s v="I"/>
    <s v="N"/>
    <n v="0.68"/>
    <s v="BLACK"/>
    <m/>
    <s v="ToyoLi - BLACK"/>
    <m/>
    <n v="0"/>
    <m/>
    <m/>
    <n v="0"/>
    <s v="R92"/>
    <m/>
    <m/>
    <m/>
    <m/>
    <m/>
    <m/>
    <m/>
    <n v="20"/>
    <n v="0"/>
    <m/>
    <n v="0"/>
    <m/>
    <n v="0"/>
    <m/>
    <n v="0"/>
    <m/>
    <n v="0"/>
    <m/>
    <n v="0"/>
    <m/>
    <n v="0"/>
    <m/>
    <n v="0"/>
    <s v="ToyoLi"/>
    <n v="26"/>
    <n v="0"/>
    <n v="18.161073825503351"/>
    <n v="0"/>
    <s v="REFLEX BLUE"/>
    <m/>
    <s v="ToyoLi - REFLEX BLUE"/>
    <m/>
    <n v="0"/>
    <m/>
    <m/>
    <n v="0"/>
    <s v="R1205"/>
    <s v="F121"/>
    <m/>
    <m/>
    <m/>
    <m/>
    <m/>
    <m/>
    <n v="50"/>
    <n v="0"/>
    <n v="4"/>
    <n v="0"/>
    <m/>
    <n v="0"/>
    <m/>
    <n v="0"/>
    <m/>
    <n v="0"/>
    <m/>
    <n v="0"/>
    <m/>
    <n v="0"/>
    <m/>
    <n v="0"/>
    <s v="ToyoLi"/>
    <n v="27"/>
    <n v="0"/>
    <n v="51.161073825503351"/>
    <n v="0"/>
    <s v="REFLEX BLUE"/>
    <m/>
    <s v="ToyoLi - REFLEX BLUE"/>
    <m/>
    <n v="0"/>
    <m/>
    <m/>
    <n v="0"/>
    <s v="RTMD"/>
    <s v="R39"/>
    <m/>
    <m/>
    <m/>
    <m/>
    <m/>
    <m/>
    <n v="40"/>
    <n v="0"/>
    <n v="5"/>
    <n v="0"/>
    <m/>
    <n v="0"/>
    <m/>
    <n v="0"/>
    <m/>
    <n v="0"/>
    <m/>
    <n v="0"/>
    <m/>
    <n v="0"/>
    <m/>
    <n v="0"/>
    <s v="ToyoLi"/>
    <n v="33"/>
    <n v="0"/>
    <n v="60.322147651006702"/>
    <n v="0"/>
    <s v="RED"/>
    <s v="J00874R"/>
    <s v="ToyoLi - RED"/>
    <n v="35"/>
    <n v="0"/>
    <m/>
    <m/>
    <n v="0"/>
    <s v="F53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6"/>
    <n v="0"/>
    <n v="13.664429530201346"/>
    <n v="0"/>
    <s v="CYAN"/>
    <m/>
    <s v="ToyoLi - CYAN"/>
    <m/>
    <n v="0"/>
    <m/>
    <m/>
    <n v="0"/>
    <s v="R39"/>
    <s v="RTMD"/>
    <m/>
    <m/>
    <m/>
    <m/>
    <m/>
    <m/>
    <n v="15"/>
    <n v="0"/>
    <n v="6"/>
    <n v="0"/>
    <m/>
    <n v="0"/>
    <m/>
    <n v="0"/>
    <m/>
    <n v="0"/>
    <m/>
    <n v="0"/>
    <m/>
    <n v="0"/>
    <m/>
    <n v="0"/>
    <s v="ToyoLi"/>
    <n v="28"/>
    <n v="0"/>
    <n v="17.161073825503351"/>
    <n v="0"/>
    <s v="MAGENTA"/>
    <m/>
    <s v="ToyoLi - MAGENTA"/>
    <m/>
    <n v="0"/>
    <m/>
    <m/>
    <n v="0"/>
    <s v="F121"/>
    <s v="RTMD"/>
    <m/>
    <m/>
    <m/>
    <m/>
    <m/>
    <m/>
    <n v="15"/>
    <n v="0"/>
    <n v="5"/>
    <n v="0"/>
    <m/>
    <n v="0"/>
    <m/>
    <n v="0"/>
    <m/>
    <n v="0"/>
    <m/>
    <n v="0"/>
    <m/>
    <n v="0"/>
    <m/>
    <n v="0"/>
    <s v="ToyoLi"/>
    <n v="20"/>
    <n v="0"/>
    <n v="24.161073825503351"/>
    <n v="0"/>
    <s v="YELLOW"/>
    <m/>
    <s v="ToyoLi - YELLOW"/>
    <m/>
    <n v="0"/>
    <m/>
    <m/>
    <n v="0"/>
    <s v="F23T"/>
    <s v="RTMD"/>
    <m/>
    <m/>
    <m/>
    <m/>
    <m/>
    <m/>
    <n v="40"/>
    <n v="0"/>
    <n v="10"/>
    <n v="0"/>
    <m/>
    <n v="0"/>
    <m/>
    <n v="0"/>
    <m/>
    <n v="0"/>
    <m/>
    <n v="0"/>
    <m/>
    <n v="0"/>
    <m/>
    <n v="0"/>
    <s v="ToyoLi"/>
    <n v="30"/>
    <n v="0"/>
    <n v="80.402684563758385"/>
    <n v="0"/>
    <s v="WHITE"/>
    <m/>
    <s v="ToyoLi - WHITE"/>
    <m/>
    <n v="0"/>
    <m/>
    <m/>
    <n v="0"/>
    <s v="F640"/>
    <s v="HSLAS"/>
    <m/>
    <m/>
    <m/>
    <m/>
    <m/>
    <m/>
    <n v="100"/>
    <n v="0"/>
    <n v="9.99"/>
    <n v="0"/>
    <m/>
    <n v="0"/>
    <m/>
    <n v="0"/>
    <m/>
    <n v="0"/>
    <m/>
    <n v="0"/>
    <m/>
    <n v="0"/>
    <m/>
    <n v="0"/>
    <s v="ToyoLi"/>
    <n v="20"/>
    <n v="0"/>
    <n v="234.95644295302014"/>
    <n v="0"/>
    <n v="10"/>
    <n v="10"/>
    <n v="20"/>
    <n v="4"/>
    <n v="10"/>
    <n v="10"/>
    <n v="25"/>
    <n v="60"/>
    <n v="0.3"/>
    <m/>
    <m/>
    <n v="0.5"/>
    <n v="0.2"/>
    <n v="0"/>
    <n v="360"/>
    <n v="0"/>
    <n v="0"/>
    <n v="360"/>
    <n v="360"/>
    <n v="108"/>
    <n v="0"/>
    <n v="0"/>
    <n v="0"/>
    <n v="0"/>
    <n v="0"/>
    <n v="180"/>
    <n v="0"/>
    <n v="72"/>
    <n v="0"/>
    <n v="0"/>
    <n v="0"/>
    <n v="0"/>
    <m/>
    <n v="324.99"/>
    <n v="499.99"/>
    <s v="TL38"/>
    <s v="ToyoLiToyoLiToyoLiToyoLiToyoLiToyoLiToyoLiToyoLi"/>
    <s v="+"/>
    <s v="+"/>
    <s v="+"/>
    <s v="+"/>
    <s v="+"/>
    <s v="+"/>
    <s v="+"/>
    <s v="+"/>
    <b v="0"/>
  </r>
  <r>
    <d v="2026-01-08T00:00:00"/>
    <s v="A"/>
    <x v="132"/>
    <s v="TL39"/>
    <n v="34"/>
    <n v="1600"/>
    <s v="I"/>
    <s v="N"/>
    <n v="0.64"/>
    <s v="BLACK"/>
    <s v="B01030B"/>
    <s v="ToyoLi - BLACK"/>
    <n v="26"/>
    <n v="0"/>
    <m/>
    <m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8"/>
    <n v="0"/>
    <n v="3"/>
    <n v="0"/>
    <s v="RED"/>
    <m/>
    <s v="ToyoLi - RED"/>
    <m/>
    <n v="0"/>
    <m/>
    <m/>
    <n v="0"/>
    <s v="F32"/>
    <m/>
    <m/>
    <m/>
    <m/>
    <m/>
    <m/>
    <m/>
    <n v="15"/>
    <n v="0"/>
    <m/>
    <n v="0"/>
    <m/>
    <n v="0"/>
    <m/>
    <n v="0"/>
    <m/>
    <n v="0"/>
    <m/>
    <n v="0"/>
    <m/>
    <n v="0"/>
    <m/>
    <n v="0"/>
    <s v="ToyoLi"/>
    <n v="20"/>
    <n v="0"/>
    <n v="15"/>
    <n v="0"/>
    <s v="WHITE"/>
    <s v="B01030W"/>
    <s v="ToyoLi - WHITE"/>
    <n v="20"/>
    <n v="0"/>
    <m/>
    <m/>
    <n v="0"/>
    <s v="F640"/>
    <m/>
    <m/>
    <m/>
    <m/>
    <m/>
    <m/>
    <m/>
    <n v="20"/>
    <n v="0"/>
    <m/>
    <n v="0"/>
    <m/>
    <n v="0"/>
    <m/>
    <n v="0"/>
    <m/>
    <n v="0"/>
    <m/>
    <n v="0"/>
    <m/>
    <n v="0"/>
    <m/>
    <n v="0"/>
    <s v="ToyoLi"/>
    <n v="25"/>
    <n v="0"/>
    <n v="3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0"/>
    <n v="10"/>
    <n v="10"/>
    <n v="0"/>
    <n v="0"/>
    <n v="0"/>
    <n v="0"/>
    <n v="0"/>
    <n v="0.3"/>
    <m/>
    <m/>
    <n v="0.5"/>
    <n v="0.2"/>
    <n v="0"/>
    <n v="40"/>
    <n v="0"/>
    <n v="0"/>
    <n v="40"/>
    <n v="40"/>
    <n v="12"/>
    <n v="0"/>
    <n v="0"/>
    <n v="0"/>
    <n v="0"/>
    <n v="0"/>
    <n v="20"/>
    <n v="0"/>
    <n v="8"/>
    <n v="0"/>
    <n v="0"/>
    <n v="0"/>
    <n v="0"/>
    <m/>
    <n v="40"/>
    <n v="53"/>
    <s v="TL39"/>
    <s v="ToyoLiToyoLiToyoLi"/>
    <s v="+"/>
    <s v="+"/>
    <s v="+"/>
    <s v="NIL"/>
    <s v="NIL"/>
    <s v="NIL"/>
    <s v="NIL"/>
    <s v="NIL"/>
    <b v="0"/>
  </r>
  <r>
    <d v="2026-01-08T00:00:00"/>
    <s v="A"/>
    <x v="133"/>
    <s v="TL40"/>
    <n v="31"/>
    <n v="2000"/>
    <s v="I"/>
    <s v="N"/>
    <n v="0.53"/>
    <s v="BLACK"/>
    <s v="J00956B"/>
    <s v="ToyoLi - BLACK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2"/>
    <n v="0"/>
    <s v="YELLOW"/>
    <s v="B01030Y"/>
    <s v="ToyoLi - YELLOW"/>
    <n v="30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5"/>
    <n v="0"/>
    <n v="4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0"/>
    <n v="2"/>
    <n v="0"/>
    <n v="0"/>
    <n v="0"/>
    <n v="0"/>
    <n v="0"/>
    <n v="0"/>
    <n v="0.3"/>
    <m/>
    <m/>
    <n v="0.5"/>
    <n v="0.2"/>
    <n v="0"/>
    <n v="30"/>
    <n v="0"/>
    <n v="0"/>
    <n v="30"/>
    <n v="30"/>
    <n v="9"/>
    <n v="0"/>
    <n v="0"/>
    <n v="0"/>
    <n v="0"/>
    <n v="0"/>
    <n v="15"/>
    <n v="0"/>
    <n v="6"/>
    <n v="0"/>
    <n v="0"/>
    <n v="0"/>
    <n v="0"/>
    <m/>
    <n v="5"/>
    <n v="42"/>
    <s v="TL40"/>
    <s v="ToyoLiToyoLi"/>
    <s v="+"/>
    <s v="+"/>
    <s v="NIL"/>
    <s v="NIL"/>
    <s v="NIL"/>
    <s v="NIL"/>
    <s v="NIL"/>
    <s v="NIL"/>
    <b v="0"/>
  </r>
  <r>
    <d v="2026-01-08T00:00:00"/>
    <s v="B"/>
    <x v="134"/>
    <s v="TL41"/>
    <n v="1876"/>
    <n v="98100"/>
    <s v="I"/>
    <s v="N"/>
    <n v="0.9"/>
    <s v="BLACK"/>
    <s v="C01460B"/>
    <s v="ToyoLi - BLACK"/>
    <n v="26"/>
    <n v="0"/>
    <m/>
    <m/>
    <n v="0"/>
    <s v="R92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3"/>
    <n v="0"/>
    <n v="6.4692982456140342"/>
    <n v="0"/>
    <s v="ORANGE"/>
    <s v="H01361O"/>
    <s v="ToyoLi - ORANGE"/>
    <n v="7"/>
    <n v="0"/>
    <s v="H01307O/J00929O/H01306O"/>
    <n v="31"/>
    <n v="0"/>
    <s v="F23T"/>
    <s v="F121"/>
    <s v="R92"/>
    <m/>
    <m/>
    <m/>
    <m/>
    <m/>
    <n v="10"/>
    <n v="0"/>
    <n v="4"/>
    <n v="0"/>
    <n v="0.5"/>
    <n v="0"/>
    <m/>
    <n v="0"/>
    <m/>
    <n v="0"/>
    <m/>
    <n v="0"/>
    <m/>
    <n v="0"/>
    <m/>
    <n v="0"/>
    <s v="ToyoLi"/>
    <n v="40"/>
    <n v="0"/>
    <n v="61.885964912280699"/>
    <n v="0"/>
    <s v="CYAN"/>
    <s v="H01307C"/>
    <s v="ToyoLi - CYAN"/>
    <n v="18"/>
    <n v="0"/>
    <m/>
    <m/>
    <n v="0"/>
    <s v="R39"/>
    <m/>
    <m/>
    <m/>
    <m/>
    <m/>
    <m/>
    <m/>
    <n v="15"/>
    <n v="0"/>
    <m/>
    <n v="0"/>
    <m/>
    <n v="0"/>
    <m/>
    <n v="0"/>
    <m/>
    <n v="0"/>
    <m/>
    <n v="0"/>
    <m/>
    <n v="0"/>
    <m/>
    <n v="0"/>
    <s v="ToyoLi"/>
    <n v="25"/>
    <n v="0"/>
    <n v="40.100877192982452"/>
    <n v="0"/>
    <s v="MAGENTA"/>
    <s v="B01030M"/>
    <s v="ToyoLi - MAGENTA"/>
    <n v="20"/>
    <n v="0"/>
    <s v="L00293M"/>
    <n v="15"/>
    <n v="0"/>
    <s v="F121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0"/>
    <n v="0"/>
    <n v="10"/>
    <n v="0"/>
    <s v="YELLOW"/>
    <s v="C01460Y"/>
    <s v="ToyoLi - YELLOW"/>
    <n v="25"/>
    <n v="0"/>
    <m/>
    <m/>
    <n v="0"/>
    <s v="F23T"/>
    <s v="RTMD"/>
    <m/>
    <m/>
    <m/>
    <m/>
    <m/>
    <m/>
    <n v="10"/>
    <n v="0"/>
    <n v="5"/>
    <n v="0"/>
    <m/>
    <n v="0"/>
    <m/>
    <n v="0"/>
    <m/>
    <n v="0"/>
    <m/>
    <n v="0"/>
    <m/>
    <n v="0"/>
    <m/>
    <n v="0"/>
    <s v="ToyoLi"/>
    <n v="28"/>
    <n v="0"/>
    <n v="36.692982456140356"/>
    <n v="0"/>
    <s v="REFLEX BLUE"/>
    <s v="B01030B"/>
    <s v="ToyoLi - REFLEX BLUE"/>
    <n v="20"/>
    <n v="0"/>
    <m/>
    <m/>
    <n v="0"/>
    <s v="R39"/>
    <s v="R1205"/>
    <s v="RTMD"/>
    <m/>
    <m/>
    <m/>
    <m/>
    <m/>
    <n v="7"/>
    <n v="0"/>
    <n v="1"/>
    <n v="0"/>
    <n v="2"/>
    <n v="0"/>
    <m/>
    <n v="0"/>
    <m/>
    <n v="0"/>
    <m/>
    <n v="0"/>
    <m/>
    <n v="0"/>
    <m/>
    <n v="0"/>
    <s v="ToyoLi"/>
    <n v="31"/>
    <n v="0"/>
    <n v="8.8771929824561369"/>
    <n v="0"/>
    <s v="WHITE"/>
    <s v="J00956W"/>
    <s v="ToyoLi - WHITE"/>
    <n v="25"/>
    <n v="0"/>
    <m/>
    <m/>
    <n v="0"/>
    <s v="F640"/>
    <m/>
    <m/>
    <m/>
    <m/>
    <m/>
    <m/>
    <m/>
    <n v="360"/>
    <n v="0"/>
    <m/>
    <n v="0"/>
    <m/>
    <n v="0"/>
    <m/>
    <n v="0"/>
    <m/>
    <n v="0"/>
    <m/>
    <n v="0"/>
    <m/>
    <n v="0"/>
    <m/>
    <n v="0"/>
    <s v="ToyoLi"/>
    <n v="30"/>
    <n v="0"/>
    <n v="799.4736842105262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n v="20"/>
    <n v="13"/>
    <n v="0"/>
    <n v="10"/>
    <n v="4"/>
    <n v="180"/>
    <n v="0"/>
    <n v="0.3"/>
    <m/>
    <m/>
    <n v="0.5"/>
    <n v="0.2"/>
    <n v="0"/>
    <n v="563"/>
    <n v="0"/>
    <n v="0"/>
    <n v="563"/>
    <n v="563"/>
    <n v="168.9"/>
    <n v="0"/>
    <n v="0"/>
    <n v="0"/>
    <n v="0"/>
    <n v="0"/>
    <n v="281.5"/>
    <n v="0"/>
    <n v="112.60000000000001"/>
    <n v="0"/>
    <n v="0"/>
    <n v="0"/>
    <n v="0"/>
    <m/>
    <n v="420.5"/>
    <n v="963.49999999999989"/>
    <s v="TL41"/>
    <s v="ToyoLiToyoLiToyoLiToyoLiToyoLiToyoLiToyoLi"/>
    <s v="+"/>
    <s v="+"/>
    <s v="+"/>
    <s v="+"/>
    <s v="+"/>
    <s v="+"/>
    <s v="+"/>
    <s v="NIL"/>
    <b v="0"/>
  </r>
  <r>
    <d v="2026-01-08T00:00:00"/>
    <s v="B"/>
    <x v="135"/>
    <s v="TL42"/>
    <n v="77"/>
    <n v="4100"/>
    <s v="I"/>
    <s v="N"/>
    <n v="1.1000000000000001"/>
    <s v="BLACK"/>
    <s v="N00765B"/>
    <s v="ToyoLi - BLACK"/>
    <n v="23"/>
    <n v="0"/>
    <m/>
    <m/>
    <n v="0"/>
    <s v="R92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6"/>
    <n v="0"/>
    <n v="9.5555555555555571"/>
    <n v="0"/>
    <s v="GREEN"/>
    <s v="F00845G"/>
    <s v="ToyoLi - GREEN"/>
    <n v="17"/>
    <n v="0"/>
    <m/>
    <m/>
    <n v="0"/>
    <s v="R39"/>
    <s v="F23T"/>
    <s v="R1205"/>
    <m/>
    <m/>
    <m/>
    <m/>
    <m/>
    <n v="10"/>
    <n v="0"/>
    <n v="5"/>
    <n v="0"/>
    <n v="1"/>
    <n v="0"/>
    <m/>
    <n v="0"/>
    <m/>
    <n v="0"/>
    <m/>
    <n v="0"/>
    <m/>
    <n v="0"/>
    <m/>
    <n v="0"/>
    <s v="ToyoLi"/>
    <n v="27"/>
    <n v="0"/>
    <n v="27.388888888888886"/>
    <n v="0"/>
    <s v="CYAN"/>
    <s v="N00765C"/>
    <s v="ToyoLi - CYAN"/>
    <n v="10"/>
    <n v="0"/>
    <m/>
    <m/>
    <n v="0"/>
    <s v="RTMD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24"/>
    <n v="0"/>
    <n v="21.666666666666664"/>
    <n v="0"/>
    <s v="MAGENTA"/>
    <s v="N00765M"/>
    <s v="ToyoLi - MAGENTA"/>
    <n v="30"/>
    <n v="0"/>
    <m/>
    <m/>
    <n v="0"/>
    <s v="F121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8"/>
    <n v="0"/>
    <n v="3"/>
    <n v="0"/>
    <s v="YELLOW"/>
    <s v="N00765Y"/>
    <s v="ToyoLi - YELLOW"/>
    <n v="28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3"/>
    <n v="0"/>
    <s v="WHITE"/>
    <s v="N00765W"/>
    <s v="ToyoLi - WHITE"/>
    <n v="30"/>
    <n v="0"/>
    <m/>
    <m/>
    <n v="0"/>
    <s v="F640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25"/>
    <n v="0"/>
    <n v="36.38888888888888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6"/>
    <n v="0"/>
    <n v="0"/>
    <n v="5"/>
    <n v="0"/>
    <n v="0"/>
    <n v="0.3"/>
    <m/>
    <m/>
    <n v="0.5"/>
    <n v="0.2"/>
    <n v="0"/>
    <n v="77"/>
    <n v="0"/>
    <n v="0"/>
    <n v="77"/>
    <n v="77"/>
    <n v="23.099999999999998"/>
    <n v="0"/>
    <n v="0"/>
    <n v="0"/>
    <n v="0"/>
    <n v="0"/>
    <n v="38.5"/>
    <n v="0"/>
    <n v="15.4"/>
    <n v="0"/>
    <n v="0"/>
    <n v="0"/>
    <n v="0"/>
    <m/>
    <n v="43"/>
    <n v="101"/>
    <s v="TL42"/>
    <s v="ToyoLiToyoLiToyoLiToyoLiToyoLiToyoLi"/>
    <s v="+"/>
    <s v="+"/>
    <s v="+"/>
    <s v="+"/>
    <s v="+"/>
    <s v="+"/>
    <s v="NIL"/>
    <s v="NIL"/>
    <b v="0"/>
  </r>
  <r>
    <d v="2026-01-08T00:00:00"/>
    <s v="B"/>
    <x v="136"/>
    <s v="TL43"/>
    <n v="433"/>
    <n v="25000"/>
    <s v="I"/>
    <s v="N"/>
    <n v="0.9"/>
    <s v="REFLEX BLUE"/>
    <s v="J00949B"/>
    <s v="ToyoLi - REFLEX BLUE"/>
    <n v="20"/>
    <n v="0"/>
    <s v="F00835B/N00913B"/>
    <n v="29"/>
    <n v="0"/>
    <s v="R1205"/>
    <s v="R92"/>
    <m/>
    <m/>
    <m/>
    <m/>
    <m/>
    <m/>
    <n v="20"/>
    <n v="0"/>
    <n v="4"/>
    <n v="0"/>
    <m/>
    <n v="0"/>
    <m/>
    <n v="0"/>
    <m/>
    <n v="0"/>
    <m/>
    <n v="0"/>
    <m/>
    <n v="0"/>
    <m/>
    <n v="0"/>
    <s v="ToyoLi"/>
    <n v="40"/>
    <n v="0"/>
    <n v="56.63636363636364"/>
    <n v="0"/>
    <s v="REFLEX BLUE"/>
    <s v="J00870B"/>
    <s v="ToyoLi - REFLEX BLUE"/>
    <n v="38"/>
    <n v="0"/>
    <m/>
    <m/>
    <n v="0"/>
    <s v="RTMD"/>
    <s v="R1205"/>
    <s v="R39"/>
    <m/>
    <m/>
    <m/>
    <m/>
    <m/>
    <n v="20"/>
    <n v="0"/>
    <n v="2"/>
    <n v="0"/>
    <n v="1"/>
    <n v="0"/>
    <m/>
    <n v="0"/>
    <m/>
    <n v="0"/>
    <m/>
    <n v="0"/>
    <m/>
    <n v="0"/>
    <m/>
    <n v="0"/>
    <s v="ToyoLi"/>
    <n v="38"/>
    <n v="0"/>
    <n v="39.545454545454547"/>
    <n v="0"/>
    <s v="MAGENTA"/>
    <s v="F00858M"/>
    <s v="ToyoLi - MAGENTA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6.7272727272727266"/>
    <n v="0"/>
    <s v="YELLOW"/>
    <s v="F00858Y"/>
    <s v="ToyoLi - YELLOW"/>
    <n v="27"/>
    <n v="0"/>
    <m/>
    <m/>
    <n v="0"/>
    <s v="F23T"/>
    <s v="F53"/>
    <m/>
    <m/>
    <m/>
    <m/>
    <m/>
    <m/>
    <n v="2"/>
    <n v="0"/>
    <n v="0.2"/>
    <n v="0"/>
    <m/>
    <n v="0"/>
    <m/>
    <n v="0"/>
    <m/>
    <n v="0"/>
    <m/>
    <n v="0"/>
    <m/>
    <n v="0"/>
    <m/>
    <n v="0"/>
    <s v="ToyoLi"/>
    <n v="25"/>
    <n v="0"/>
    <n v="4.1999999999999993"/>
    <n v="0"/>
    <s v="BLACK"/>
    <s v="B01033G"/>
    <s v="ToyoLi - BLACK"/>
    <n v="14"/>
    <n v="0"/>
    <m/>
    <m/>
    <n v="0"/>
    <s v="RTMD"/>
    <s v="R92"/>
    <m/>
    <m/>
    <m/>
    <m/>
    <m/>
    <m/>
    <n v="10"/>
    <n v="0"/>
    <n v="0.3"/>
    <n v="0"/>
    <m/>
    <n v="0"/>
    <m/>
    <n v="0"/>
    <m/>
    <n v="0"/>
    <m/>
    <n v="0"/>
    <m/>
    <n v="0"/>
    <m/>
    <n v="0"/>
    <s v="ToyoLi"/>
    <n v="27"/>
    <n v="0"/>
    <n v="11.481818181818184"/>
    <n v="0"/>
    <s v="WHITE"/>
    <s v="F00858W"/>
    <s v="ToyoLi - WHITE"/>
    <n v="25"/>
    <n v="0"/>
    <m/>
    <m/>
    <n v="0"/>
    <s v="F640"/>
    <s v="HSLAS"/>
    <m/>
    <m/>
    <m/>
    <m/>
    <m/>
    <m/>
    <n v="60"/>
    <n v="0"/>
    <n v="6.28"/>
    <n v="0"/>
    <m/>
    <n v="0"/>
    <m/>
    <n v="0"/>
    <m/>
    <n v="0"/>
    <m/>
    <n v="0"/>
    <m/>
    <n v="0"/>
    <m/>
    <n v="0"/>
    <s v="ToyoLi"/>
    <n v="25"/>
    <n v="0"/>
    <n v="137.1890909090909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7"/>
    <n v="2"/>
    <n v="0"/>
    <n v="6"/>
    <n v="30"/>
    <n v="0"/>
    <n v="0"/>
    <n v="0.3"/>
    <m/>
    <m/>
    <n v="0.5"/>
    <n v="0.2"/>
    <n v="0"/>
    <n v="130"/>
    <n v="0"/>
    <n v="0"/>
    <n v="130"/>
    <n v="130"/>
    <n v="39"/>
    <n v="0"/>
    <n v="0"/>
    <n v="0"/>
    <n v="0"/>
    <n v="0"/>
    <n v="65"/>
    <n v="0"/>
    <n v="26"/>
    <n v="0"/>
    <n v="0"/>
    <n v="0"/>
    <n v="0"/>
    <m/>
    <n v="125.78"/>
    <n v="255.78"/>
    <s v="TL43"/>
    <s v="ToyoLiToyoLiToyoLiToyoLiToyoLiToyoLi"/>
    <s v="+"/>
    <s v="+"/>
    <s v="+"/>
    <s v="+"/>
    <s v="+"/>
    <s v="+"/>
    <s v="NIL"/>
    <s v="NIL"/>
    <b v="0"/>
  </r>
  <r>
    <d v="2026-01-08T00:00:00"/>
    <s v="B"/>
    <x v="137"/>
    <s v="TL44"/>
    <n v="432"/>
    <n v="24900"/>
    <s v="I"/>
    <s v="N"/>
    <n v="1.23"/>
    <s v="BLACK"/>
    <s v="F00858B"/>
    <s v="ToyoLi - BLACK"/>
    <n v="26"/>
    <n v="0"/>
    <m/>
    <m/>
    <n v="0"/>
    <s v="RTMD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4.6111111111111143"/>
    <n v="0"/>
    <s v="REFLEX BLUE"/>
    <s v="B01030B"/>
    <s v="ToyoLi - REFLEX BLUE"/>
    <n v="27"/>
    <n v="0"/>
    <s v="J00870B"/>
    <n v="12"/>
    <n v="0"/>
    <s v="R1205"/>
    <s v="Z822"/>
    <m/>
    <m/>
    <m/>
    <m/>
    <m/>
    <m/>
    <n v="10"/>
    <n v="0"/>
    <n v="15"/>
    <n v="0"/>
    <m/>
    <n v="0"/>
    <m/>
    <n v="0"/>
    <m/>
    <n v="0"/>
    <m/>
    <n v="0"/>
    <m/>
    <n v="0"/>
    <m/>
    <n v="0"/>
    <s v="ToyoLi"/>
    <n v="36"/>
    <n v="0"/>
    <n v="55.083333333333343"/>
    <n v="0"/>
    <s v="CYAN"/>
    <s v="F00858C"/>
    <s v="ToyoLi - CYAN"/>
    <n v="24"/>
    <n v="0"/>
    <m/>
    <m/>
    <n v="0"/>
    <s v="R39"/>
    <s v="RTMD"/>
    <m/>
    <m/>
    <m/>
    <m/>
    <m/>
    <m/>
    <n v="10"/>
    <n v="0"/>
    <n v="21"/>
    <n v="0"/>
    <m/>
    <n v="0"/>
    <m/>
    <n v="0"/>
    <m/>
    <n v="0"/>
    <m/>
    <n v="0"/>
    <m/>
    <n v="0"/>
    <m/>
    <n v="0"/>
    <s v="ToyoLi"/>
    <n v="25"/>
    <n v="0"/>
    <n v="66.111111111111114"/>
    <n v="0"/>
    <s v="MAGENTA"/>
    <s v="N00794M"/>
    <s v="ToyoLi - MAGENTA"/>
    <n v="26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4.6111111111111143"/>
    <n v="0"/>
    <s v="YELLOW"/>
    <s v="N00794Y"/>
    <s v="ToyoLi - YELLOW"/>
    <n v="25"/>
    <n v="0"/>
    <m/>
    <m/>
    <n v="0"/>
    <s v="F23T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4"/>
    <n v="0"/>
    <n v="9.4166666666666643"/>
    <n v="0"/>
    <s v="WHITE"/>
    <s v="N00794W"/>
    <s v="ToyoLi - WHITE"/>
    <n v="25"/>
    <n v="0"/>
    <m/>
    <m/>
    <n v="0"/>
    <s v="F640"/>
    <s v="HSLAS"/>
    <m/>
    <m/>
    <m/>
    <m/>
    <m/>
    <m/>
    <n v="60"/>
    <n v="0"/>
    <n v="6.22"/>
    <n v="0"/>
    <m/>
    <n v="0"/>
    <m/>
    <n v="0"/>
    <m/>
    <n v="0"/>
    <m/>
    <n v="0"/>
    <m/>
    <n v="0"/>
    <m/>
    <n v="0"/>
    <s v="ToyoLi"/>
    <n v="25"/>
    <n v="0"/>
    <n v="120.3866666666666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5"/>
    <n v="20"/>
    <n v="2"/>
    <n v="3"/>
    <n v="30"/>
    <n v="0"/>
    <n v="0"/>
    <n v="0.3"/>
    <m/>
    <m/>
    <n v="0.5"/>
    <n v="0.2"/>
    <n v="0"/>
    <n v="130"/>
    <n v="0"/>
    <n v="0"/>
    <n v="130"/>
    <n v="130"/>
    <n v="39"/>
    <n v="0"/>
    <n v="0"/>
    <n v="0"/>
    <n v="0"/>
    <n v="0"/>
    <n v="65"/>
    <n v="0"/>
    <n v="26"/>
    <n v="0"/>
    <n v="0"/>
    <n v="0"/>
    <n v="0"/>
    <m/>
    <n v="131.22"/>
    <n v="260.22000000000003"/>
    <s v="TL44"/>
    <s v="ToyoLiToyoLiToyoLiToyoLiToyoLiToyoLi"/>
    <s v="+"/>
    <s v="+"/>
    <s v="+"/>
    <s v="+"/>
    <s v="+"/>
    <s v="+"/>
    <s v="NIL"/>
    <s v="NIL"/>
    <b v="0"/>
  </r>
  <r>
    <d v="2026-01-09T00:00:00"/>
    <s v="A"/>
    <x v="138"/>
    <s v="TL45"/>
    <n v="222"/>
    <n v="12800"/>
    <s v="I"/>
    <s v="N"/>
    <n v="1.32"/>
    <s v="BLACK"/>
    <s v="G00376B"/>
    <s v="ToyoLi - BLACK"/>
    <n v="32"/>
    <n v="0"/>
    <m/>
    <m/>
    <n v="0"/>
    <s v="F121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8"/>
    <n v="0"/>
    <n v="9.9444444444444429"/>
    <n v="0"/>
    <s v="RED"/>
    <s v="J00956R"/>
    <s v="ToyoLi - RED"/>
    <n v="20"/>
    <n v="0"/>
    <s v="F00851R/C01342R"/>
    <n v="21"/>
    <n v="0"/>
    <s v="F121"/>
    <s v="F53"/>
    <m/>
    <m/>
    <m/>
    <m/>
    <m/>
    <m/>
    <n v="8"/>
    <n v="0"/>
    <n v="5"/>
    <n v="0"/>
    <m/>
    <n v="0"/>
    <m/>
    <n v="0"/>
    <m/>
    <n v="0"/>
    <m/>
    <n v="0"/>
    <m/>
    <n v="0"/>
    <m/>
    <n v="0"/>
    <s v="ToyoLi"/>
    <n v="37"/>
    <n v="0"/>
    <n v="26.888888888888886"/>
    <n v="0"/>
    <s v="CYAN"/>
    <s v="N00798C"/>
    <s v="ToyoLi - CYAN"/>
    <n v="25"/>
    <n v="0"/>
    <m/>
    <m/>
    <n v="0"/>
    <s v="R39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0"/>
    <n v="0"/>
    <n v="9.8888888888888857"/>
    <n v="0"/>
    <s v="MAGENTA"/>
    <s v="N00798M"/>
    <s v="ToyoLi - MAGENTA"/>
    <n v="28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9"/>
    <n v="0"/>
    <n v="5.9444444444444429"/>
    <n v="0"/>
    <s v="YELLOW"/>
    <s v="N00798Y"/>
    <s v="ToyoLi - YELLOW"/>
    <n v="24"/>
    <n v="0"/>
    <m/>
    <m/>
    <n v="0"/>
    <s v="F23T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5"/>
    <n v="0"/>
    <n v="7.9444444444444429"/>
    <n v="0"/>
    <s v="GOLD"/>
    <s v="N00876G"/>
    <s v="ToyoLi - GOLD"/>
    <n v="26"/>
    <n v="0"/>
    <m/>
    <m/>
    <n v="0"/>
    <n v="262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0"/>
    <n v="0"/>
    <n v="11.944444444444443"/>
    <n v="0"/>
    <s v="WHITE"/>
    <s v="N00798W"/>
    <s v="ToyoLi - WHITE"/>
    <n v="25"/>
    <n v="0"/>
    <m/>
    <m/>
    <n v="0"/>
    <s v="F640"/>
    <s v="HSLAS"/>
    <m/>
    <m/>
    <m/>
    <m/>
    <m/>
    <m/>
    <n v="40"/>
    <n v="0"/>
    <n v="4.99"/>
    <n v="0"/>
    <m/>
    <n v="0"/>
    <m/>
    <n v="0"/>
    <m/>
    <n v="0"/>
    <m/>
    <n v="0"/>
    <m/>
    <n v="0"/>
    <m/>
    <n v="0"/>
    <s v="ToyoLi"/>
    <n v="25"/>
    <n v="0"/>
    <n v="94.43444444444443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"/>
    <n v="4"/>
    <n v="2"/>
    <n v="2"/>
    <n v="2"/>
    <n v="20"/>
    <n v="0"/>
    <n v="0.3"/>
    <m/>
    <m/>
    <n v="0.5"/>
    <n v="0.2"/>
    <n v="0"/>
    <n v="89"/>
    <n v="0"/>
    <n v="0"/>
    <n v="89"/>
    <n v="89"/>
    <n v="26.7"/>
    <n v="0"/>
    <n v="0"/>
    <n v="0"/>
    <n v="0"/>
    <n v="0"/>
    <n v="44.5"/>
    <n v="0"/>
    <n v="17.8"/>
    <n v="0"/>
    <n v="0"/>
    <n v="0"/>
    <n v="0"/>
    <m/>
    <n v="70.989999999999995"/>
    <n v="166.98999999999998"/>
    <s v="TL45"/>
    <s v="ToyoLiToyoLiToyoLiToyoLiToyoLiToyoLiToyoLi"/>
    <s v="+"/>
    <s v="+"/>
    <s v="+"/>
    <s v="+"/>
    <s v="+"/>
    <s v="+"/>
    <s v="+"/>
    <s v="NIL"/>
    <b v="0"/>
  </r>
  <r>
    <d v="2026-01-09T00:00:00"/>
    <s v="A"/>
    <x v="139"/>
    <s v="TL46"/>
    <n v="583"/>
    <n v="33600"/>
    <s v="I"/>
    <s v="N"/>
    <n v="1.32"/>
    <s v="REFLEX BLUE"/>
    <s v="N00794B"/>
    <s v="ToyoLi - REFLEX BLUE"/>
    <n v="40"/>
    <n v="0"/>
    <s v="N00798B"/>
    <n v="19"/>
    <n v="0"/>
    <s v="R1205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5"/>
    <n v="0"/>
    <n v="37.333333333333329"/>
    <n v="0"/>
    <s v="REFLEX BLUE"/>
    <s v="N00794B"/>
    <s v="ToyoLi - REFLEX BLUE"/>
    <n v="38"/>
    <n v="0"/>
    <m/>
    <m/>
    <n v="0"/>
    <s v="RTMD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7"/>
    <n v="0"/>
    <n v="17.111111111111114"/>
    <n v="0"/>
    <s v="MAGENTA"/>
    <s v="N00791M"/>
    <s v="ToyoLi - MAGENTA"/>
    <n v="29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9.5555555555555571"/>
    <n v="0"/>
    <s v="YELLOW"/>
    <s v="N00791Y"/>
    <s v="ToyoLi - YELLOW"/>
    <n v="25"/>
    <n v="0"/>
    <m/>
    <m/>
    <n v="0"/>
    <s v="F23T"/>
    <m/>
    <m/>
    <m/>
    <m/>
    <m/>
    <m/>
    <m/>
    <n v="7"/>
    <n v="0"/>
    <m/>
    <n v="0"/>
    <m/>
    <n v="0"/>
    <m/>
    <n v="0"/>
    <m/>
    <n v="0"/>
    <m/>
    <n v="0"/>
    <m/>
    <n v="0"/>
    <m/>
    <n v="0"/>
    <s v="ToyoLi"/>
    <n v="30"/>
    <n v="0"/>
    <n v="7.5555555555555571"/>
    <n v="0"/>
    <s v="BLACK"/>
    <s v="N00794G"/>
    <s v="ToyoLi - BLACK"/>
    <n v="31"/>
    <n v="0"/>
    <m/>
    <m/>
    <n v="0"/>
    <s v="RTMD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3"/>
    <n v="0"/>
    <n v="19.555555555555557"/>
    <n v="0"/>
    <s v="WHITE"/>
    <s v="N00791W"/>
    <s v="ToyoLi - WHITE"/>
    <n v="25"/>
    <n v="0"/>
    <m/>
    <m/>
    <n v="0"/>
    <s v="F640"/>
    <s v="HSLAS"/>
    <m/>
    <m/>
    <m/>
    <m/>
    <m/>
    <m/>
    <n v="100"/>
    <n v="0"/>
    <n v="6.88"/>
    <n v="0"/>
    <m/>
    <n v="0"/>
    <m/>
    <n v="0"/>
    <m/>
    <n v="0"/>
    <m/>
    <n v="0"/>
    <m/>
    <n v="0"/>
    <m/>
    <n v="0"/>
    <s v="ToyoLi"/>
    <n v="30"/>
    <n v="0"/>
    <n v="240.7688888888889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4"/>
    <n v="2"/>
    <n v="2"/>
    <n v="2"/>
    <n v="50"/>
    <n v="0"/>
    <n v="0"/>
    <n v="0.3"/>
    <m/>
    <m/>
    <n v="0.5"/>
    <n v="0.2"/>
    <n v="0"/>
    <n v="175"/>
    <n v="0"/>
    <n v="0"/>
    <n v="175"/>
    <n v="175"/>
    <n v="52.5"/>
    <n v="0"/>
    <n v="0"/>
    <n v="0"/>
    <n v="0"/>
    <n v="0"/>
    <n v="87.5"/>
    <n v="0"/>
    <n v="35"/>
    <n v="0"/>
    <n v="0"/>
    <n v="0"/>
    <n v="0"/>
    <m/>
    <n v="132.88"/>
    <n v="331.88"/>
    <s v="TL46"/>
    <s v="ToyoLiToyoLiToyoLiToyoLiToyoLiToyoLi"/>
    <s v="+"/>
    <s v="+"/>
    <s v="+"/>
    <s v="+"/>
    <s v="+"/>
    <s v="+"/>
    <s v="NIL"/>
    <s v="NIL"/>
    <b v="0"/>
  </r>
  <r>
    <d v="2026-01-09T00:00:00"/>
    <s v="A"/>
    <x v="140"/>
    <s v="TL47"/>
    <n v="222"/>
    <n v="12800"/>
    <s v="I"/>
    <s v="N"/>
    <n v="1.32"/>
    <s v="BLACK"/>
    <s v="N00798B"/>
    <s v="ToyoLi - BLACK"/>
    <n v="28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11.739130434782609"/>
    <n v="0"/>
    <s v="WHITE"/>
    <s v="N00800W"/>
    <s v="ToyoLi - WHITE"/>
    <n v="30"/>
    <n v="0"/>
    <m/>
    <m/>
    <n v="0"/>
    <s v="F640"/>
    <s v="HSLAS"/>
    <m/>
    <m/>
    <m/>
    <m/>
    <m/>
    <m/>
    <n v="40"/>
    <n v="0"/>
    <n v="2.13"/>
    <n v="0"/>
    <m/>
    <n v="0"/>
    <m/>
    <n v="0"/>
    <m/>
    <n v="0"/>
    <m/>
    <n v="0"/>
    <m/>
    <n v="0"/>
    <m/>
    <n v="0"/>
    <s v="ToyoLi"/>
    <n v="30"/>
    <n v="0"/>
    <n v="100.3908695652173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20"/>
    <n v="0"/>
    <n v="0"/>
    <n v="0"/>
    <n v="0"/>
    <n v="0"/>
    <n v="0"/>
    <n v="0.3"/>
    <m/>
    <m/>
    <n v="0.5"/>
    <n v="0.2"/>
    <n v="0"/>
    <n v="67"/>
    <n v="0"/>
    <n v="0"/>
    <n v="67"/>
    <n v="67"/>
    <n v="20.099999999999998"/>
    <n v="0"/>
    <n v="0"/>
    <n v="0"/>
    <n v="0"/>
    <n v="0"/>
    <n v="33.5"/>
    <n v="0"/>
    <n v="13.4"/>
    <n v="0"/>
    <n v="0"/>
    <n v="0"/>
    <n v="0"/>
    <m/>
    <n v="44.13"/>
    <n v="112.12999999999998"/>
    <s v="TL47"/>
    <s v="ToyoLiToyoLi"/>
    <s v="+"/>
    <s v="+"/>
    <s v="NIL"/>
    <s v="NIL"/>
    <s v="NIL"/>
    <s v="NIL"/>
    <s v="NIL"/>
    <s v="NIL"/>
    <b v="0"/>
  </r>
  <r>
    <d v="2026-01-09T00:00:00"/>
    <s v="A"/>
    <x v="141"/>
    <s v="TL48"/>
    <n v="42"/>
    <n v="2000"/>
    <s v="I"/>
    <s v="N"/>
    <n v="0.5"/>
    <s v="BLACK"/>
    <s v="N00792B"/>
    <s v="ToyoLi - BLACK"/>
    <n v="27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6"/>
    <n v="0"/>
    <n v="12.571428571428569"/>
    <n v="0"/>
    <s v="CYAN"/>
    <s v="N00791C"/>
    <s v="ToyoLi - CYAN"/>
    <n v="30"/>
    <n v="0"/>
    <m/>
    <m/>
    <n v="0"/>
    <s v="RTMD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5"/>
    <n v="0"/>
    <n v="31.42857142857143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0"/>
    <n v="0"/>
    <n v="0"/>
    <n v="0"/>
    <n v="0"/>
    <n v="0"/>
    <n v="0.3"/>
    <m/>
    <m/>
    <n v="0.5"/>
    <n v="0.2"/>
    <n v="0"/>
    <n v="30"/>
    <n v="0"/>
    <n v="0"/>
    <n v="30"/>
    <n v="30"/>
    <n v="9"/>
    <n v="0"/>
    <n v="0"/>
    <n v="0"/>
    <n v="0"/>
    <n v="0"/>
    <n v="15"/>
    <n v="0"/>
    <n v="6"/>
    <n v="0"/>
    <n v="0"/>
    <n v="0"/>
    <n v="0"/>
    <m/>
    <n v="8"/>
    <n v="44"/>
    <s v="TL48"/>
    <s v="ToyoLiToyoLi"/>
    <s v="+"/>
    <s v="+"/>
    <s v="NIL"/>
    <s v="NIL"/>
    <s v="NIL"/>
    <s v="NIL"/>
    <s v="NIL"/>
    <s v="NIL"/>
    <b v="0"/>
  </r>
  <r>
    <d v="2026-01-09T00:00:00"/>
    <s v="A"/>
    <x v="142"/>
    <s v="TL49"/>
    <n v="11105"/>
    <n v="552200"/>
    <s v="I"/>
    <s v="N"/>
    <n v="1.55"/>
    <s v="BLACK"/>
    <s v="C01461B"/>
    <s v="ToyoLi - BLACK"/>
    <n v="26"/>
    <n v="0"/>
    <m/>
    <m/>
    <n v="0"/>
    <s v="R92"/>
    <m/>
    <m/>
    <m/>
    <m/>
    <m/>
    <m/>
    <m/>
    <n v="25"/>
    <n v="0"/>
    <m/>
    <n v="0"/>
    <m/>
    <n v="0"/>
    <m/>
    <n v="0"/>
    <m/>
    <n v="0"/>
    <m/>
    <n v="0"/>
    <m/>
    <n v="0"/>
    <m/>
    <n v="0"/>
    <s v="ToyoLi"/>
    <n v="30"/>
    <n v="0"/>
    <n v="71.784313725490193"/>
    <n v="0"/>
    <s v="REFLEX BLUE"/>
    <s v="P00010B"/>
    <s v="ToyoLi - REFLEX BLUE"/>
    <n v="10"/>
    <n v="0"/>
    <s v="J00870B/M00877B/J00072B/N00800B/J00952B/P00010B/P00439B/N00765B/N00877B/J00872B/N00798B/J00952B/N00913B/J00937B/F00857B/B01026B/B01025B/N00656B/H01306B/R00009B/J00953B/N00876B/J00870B/B00857B/P00441B/B01041B/J00949B/L00293B/B01010B/J00933B/L00293B/B00992B/N00817B/P00441B/H01149B/N00761B/N00765B/J00950B/R00015B/J00872B/P00430B/L01202B"/>
    <n v="723"/>
    <n v="0"/>
    <s v="F121"/>
    <s v="R1205"/>
    <s v="R1205"/>
    <s v="F121"/>
    <s v="R1205"/>
    <s v="F121"/>
    <m/>
    <m/>
    <n v="40"/>
    <n v="0"/>
    <n v="140"/>
    <n v="0"/>
    <n v="150"/>
    <n v="0"/>
    <n v="20"/>
    <n v="0"/>
    <n v="200"/>
    <n v="0"/>
    <n v="120"/>
    <n v="0"/>
    <m/>
    <n v="0"/>
    <m/>
    <n v="0"/>
    <s v="ToyoLi"/>
    <n v="18"/>
    <n v="0"/>
    <n v="2169.848484848485"/>
    <n v="0"/>
    <s v="MAGENTA"/>
    <s v="F00857M"/>
    <s v="ToyoLi - MAGENTA"/>
    <n v="13"/>
    <n v="0"/>
    <s v="J00874M/J00936M/J00871M"/>
    <n v="45"/>
    <n v="0"/>
    <s v="F121"/>
    <s v="RTMD"/>
    <m/>
    <m/>
    <m/>
    <m/>
    <m/>
    <m/>
    <n v="25"/>
    <n v="0"/>
    <n v="12"/>
    <n v="0"/>
    <m/>
    <n v="0"/>
    <m/>
    <n v="0"/>
    <m/>
    <n v="0"/>
    <m/>
    <n v="0"/>
    <m/>
    <n v="0"/>
    <m/>
    <n v="0"/>
    <s v="ToyoLi"/>
    <n v="32"/>
    <n v="0"/>
    <n v="111.475935828877"/>
    <n v="0"/>
    <s v="CYAN"/>
    <s v="P00435C"/>
    <s v="ToyoLi - CYAN"/>
    <n v="16"/>
    <n v="0"/>
    <s v="N00823C/B01024C/F00846C/F00848F/B01030C/J00870C/F00848C/H01309C/H01307C/B01030C/N00800C/P00297C/J00952C/B01010C/J00833C/N00833C/N00816C/P00420C/B01033C/G00351C/B00715C/B01033C/N00886C/B00462C"/>
    <n v="377"/>
    <n v="0"/>
    <s v="RTMD"/>
    <s v="R39"/>
    <s v="RTMD"/>
    <s v="R39"/>
    <s v="RTMD"/>
    <m/>
    <m/>
    <m/>
    <n v="20"/>
    <n v="0"/>
    <n v="160"/>
    <n v="0"/>
    <n v="180"/>
    <n v="0"/>
    <n v="110"/>
    <n v="0"/>
    <n v="100"/>
    <n v="0"/>
    <m/>
    <n v="0"/>
    <m/>
    <n v="0"/>
    <m/>
    <n v="0"/>
    <s v="ToyoLi"/>
    <n v="14"/>
    <n v="0"/>
    <n v="1479.9269162210339"/>
    <n v="0"/>
    <s v="MAGENTA"/>
    <s v="N00800M"/>
    <s v="ToyoLi - MAGENTA"/>
    <n v="28"/>
    <n v="0"/>
    <m/>
    <m/>
    <n v="0"/>
    <s v="F121"/>
    <m/>
    <m/>
    <m/>
    <m/>
    <m/>
    <m/>
    <m/>
    <n v="7"/>
    <n v="0"/>
    <m/>
    <n v="0"/>
    <m/>
    <n v="0"/>
    <m/>
    <n v="0"/>
    <m/>
    <n v="0"/>
    <m/>
    <n v="0"/>
    <m/>
    <n v="0"/>
    <m/>
    <n v="0"/>
    <s v="ToyoLi"/>
    <n v="22"/>
    <n v="0"/>
    <n v="24.541889483065951"/>
    <n v="0"/>
    <s v="YELLOW"/>
    <s v="N00800Y"/>
    <s v="ToyoLi - YELLOW"/>
    <n v="15"/>
    <n v="0"/>
    <m/>
    <m/>
    <n v="0"/>
    <s v="F23T"/>
    <s v="F53"/>
    <m/>
    <m/>
    <m/>
    <m/>
    <m/>
    <m/>
    <n v="60"/>
    <n v="0"/>
    <n v="0.70000000000000007"/>
    <n v="0"/>
    <m/>
    <n v="0"/>
    <m/>
    <n v="0"/>
    <m/>
    <n v="0"/>
    <m/>
    <n v="0"/>
    <m/>
    <n v="0"/>
    <m/>
    <n v="0"/>
    <s v="ToyoLi"/>
    <n v="25"/>
    <n v="0"/>
    <n v="131.49322638146168"/>
    <n v="0"/>
    <s v="YELLOW"/>
    <s v="N00800Y"/>
    <s v="ToyoLi - YELLOW"/>
    <n v="15"/>
    <n v="0"/>
    <m/>
    <m/>
    <n v="0"/>
    <s v="F23T"/>
    <m/>
    <m/>
    <m/>
    <m/>
    <m/>
    <m/>
    <m/>
    <n v="100"/>
    <n v="0"/>
    <m/>
    <n v="0"/>
    <m/>
    <n v="0"/>
    <m/>
    <n v="0"/>
    <m/>
    <n v="0"/>
    <m/>
    <n v="0"/>
    <m/>
    <n v="0"/>
    <m/>
    <n v="0"/>
    <s v="ToyoLi"/>
    <n v="24"/>
    <n v="0"/>
    <n v="229.50267379679144"/>
    <n v="0"/>
    <s v="WHITE"/>
    <s v="N000792W"/>
    <s v="ToyoLi - WHITE"/>
    <n v="30"/>
    <n v="0"/>
    <m/>
    <m/>
    <n v="0"/>
    <s v="F640"/>
    <m/>
    <m/>
    <m/>
    <m/>
    <m/>
    <m/>
    <m/>
    <n v="1530"/>
    <n v="0"/>
    <m/>
    <n v="0"/>
    <m/>
    <n v="0"/>
    <m/>
    <n v="0"/>
    <m/>
    <n v="0"/>
    <m/>
    <n v="0"/>
    <m/>
    <n v="0"/>
    <m/>
    <n v="0"/>
    <s v="ToyoLi"/>
    <n v="25"/>
    <n v="0"/>
    <n v="3774.1265597147949"/>
    <n v="0"/>
    <n v="22"/>
    <n v="340"/>
    <n v="21"/>
    <n v="230"/>
    <n v="5"/>
    <n v="35"/>
    <n v="60"/>
    <n v="970"/>
    <n v="0.3"/>
    <m/>
    <m/>
    <n v="0.5"/>
    <n v="0.2"/>
    <n v="0"/>
    <n v="3885"/>
    <n v="0"/>
    <n v="0"/>
    <n v="3885"/>
    <n v="3885"/>
    <n v="1165.5"/>
    <n v="0"/>
    <n v="0"/>
    <n v="0"/>
    <n v="0"/>
    <n v="0"/>
    <n v="1942.5"/>
    <n v="0"/>
    <n v="777"/>
    <n v="0"/>
    <n v="0"/>
    <n v="0"/>
    <n v="0"/>
    <m/>
    <n v="2999.7"/>
    <n v="7992.7"/>
    <s v="TL49"/>
    <s v="ToyoLiToyoLiToyoLiToyoLiToyoLiToyoLiToyoLiToyoLi"/>
    <s v="+"/>
    <s v="+"/>
    <s v="+"/>
    <s v="+"/>
    <s v="+"/>
    <s v="+"/>
    <s v="+"/>
    <s v="+"/>
    <b v="0"/>
  </r>
  <r>
    <d v="2026-01-10T00:00:00"/>
    <s v="B"/>
    <x v="143"/>
    <s v="TL50"/>
    <n v="84"/>
    <n v="5000"/>
    <s v="I"/>
    <s v="N"/>
    <n v="2.1"/>
    <s v="BLACK"/>
    <s v="L00294B"/>
    <s v="ToyoLi - BLACK"/>
    <n v="30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9"/>
    <n v="0"/>
    <n v="10"/>
    <n v="0"/>
    <s v="ORANGE"/>
    <s v="L00294O"/>
    <s v="ToyoLi - ORANGE"/>
    <n v="8"/>
    <n v="0"/>
    <s v="L00294O"/>
    <n v="5"/>
    <n v="0"/>
    <s v="RTMD"/>
    <s v="F53"/>
    <s v="R92"/>
    <s v="F640"/>
    <m/>
    <m/>
    <m/>
    <m/>
    <n v="3"/>
    <n v="0"/>
    <n v="2"/>
    <n v="0"/>
    <n v="0.3"/>
    <n v="0"/>
    <n v="5"/>
    <n v="0"/>
    <m/>
    <n v="0"/>
    <m/>
    <n v="0"/>
    <m/>
    <n v="0"/>
    <m/>
    <n v="0"/>
    <s v="ToyoLi"/>
    <n v="21"/>
    <n v="0"/>
    <n v="19.799999999999997"/>
    <n v="0"/>
    <s v="WHITE"/>
    <s v="L00294W"/>
    <s v="ToyoLi - WHITE"/>
    <n v="25"/>
    <n v="0"/>
    <m/>
    <m/>
    <n v="0"/>
    <s v="F640"/>
    <m/>
    <m/>
    <m/>
    <m/>
    <m/>
    <m/>
    <m/>
    <n v="15"/>
    <n v="0"/>
    <m/>
    <n v="0"/>
    <m/>
    <n v="0"/>
    <m/>
    <n v="0"/>
    <m/>
    <n v="0"/>
    <m/>
    <n v="0"/>
    <m/>
    <n v="0"/>
    <m/>
    <n v="0"/>
    <s v="ToyoLi"/>
    <n v="18"/>
    <n v="0"/>
    <n v="29"/>
    <n v="0"/>
    <s v="WHITE"/>
    <m/>
    <s v="ToyoLi - WHITE"/>
    <m/>
    <n v="0"/>
    <m/>
    <m/>
    <n v="0"/>
    <s v="F640"/>
    <s v="HSLAS"/>
    <m/>
    <m/>
    <m/>
    <m/>
    <m/>
    <m/>
    <n v="40"/>
    <n v="0"/>
    <n v="3.03"/>
    <n v="0"/>
    <m/>
    <n v="0"/>
    <m/>
    <n v="0"/>
    <m/>
    <n v="0"/>
    <m/>
    <n v="0"/>
    <m/>
    <n v="0"/>
    <m/>
    <n v="0"/>
    <s v="ToyoLi"/>
    <n v="27"/>
    <n v="0"/>
    <n v="68.5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2"/>
    <n v="15"/>
    <n v="0"/>
    <n v="0"/>
    <n v="0"/>
    <n v="0"/>
    <n v="0.3"/>
    <m/>
    <m/>
    <n v="0.5"/>
    <n v="0.2"/>
    <n v="0"/>
    <n v="84"/>
    <n v="0"/>
    <n v="0"/>
    <n v="84"/>
    <n v="84"/>
    <n v="25.2"/>
    <n v="0"/>
    <n v="0"/>
    <n v="0"/>
    <n v="0"/>
    <n v="0"/>
    <n v="42"/>
    <n v="0"/>
    <n v="16.8"/>
    <n v="0"/>
    <n v="0"/>
    <n v="0"/>
    <n v="0"/>
    <m/>
    <n v="70.33"/>
    <n v="127.33"/>
    <s v="TL50"/>
    <s v="ToyoLiToyoLiToyoLiToyoLi"/>
    <s v="+"/>
    <s v="+"/>
    <s v="+"/>
    <s v="+"/>
    <s v="NIL"/>
    <s v="NIL"/>
    <s v="NIL"/>
    <s v="NIL"/>
    <b v="0"/>
  </r>
  <r>
    <d v="2026-01-10T00:00:00"/>
    <s v="B"/>
    <x v="144"/>
    <s v="TL51"/>
    <n v="763"/>
    <n v="43000"/>
    <s v="I"/>
    <s v="N"/>
    <n v="0.3"/>
    <s v="REFLEX BLUE"/>
    <m/>
    <s v="ToyoLi - REFLEX BLUE"/>
    <m/>
    <n v="0"/>
    <m/>
    <m/>
    <n v="0"/>
    <s v="R1205"/>
    <s v="R39"/>
    <s v="Z822"/>
    <s v="F121"/>
    <m/>
    <m/>
    <m/>
    <m/>
    <n v="25"/>
    <n v="0"/>
    <n v="10"/>
    <n v="0"/>
    <n v="8"/>
    <n v="0"/>
    <n v="4"/>
    <n v="0"/>
    <m/>
    <n v="0"/>
    <m/>
    <n v="0"/>
    <m/>
    <n v="0"/>
    <m/>
    <n v="0"/>
    <s v="ToyoLi"/>
    <n v="24"/>
    <n v="0"/>
    <n v="71.857142857142861"/>
    <n v="0"/>
    <s v="WHITE"/>
    <s v="B01047W"/>
    <s v="ToyoLi - WHITE"/>
    <n v="27"/>
    <n v="0"/>
    <m/>
    <m/>
    <n v="0"/>
    <s v="F640"/>
    <s v="HSLAS"/>
    <m/>
    <m/>
    <m/>
    <m/>
    <m/>
    <m/>
    <n v="35"/>
    <n v="0"/>
    <n v="2.86"/>
    <n v="0"/>
    <m/>
    <n v="0"/>
    <m/>
    <n v="0"/>
    <m/>
    <n v="0"/>
    <m/>
    <n v="0"/>
    <m/>
    <n v="0"/>
    <m/>
    <n v="0"/>
    <s v="ToyoLi"/>
    <n v="24"/>
    <n v="0"/>
    <n v="106.0028571428571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5"/>
    <n v="20"/>
    <n v="0"/>
    <n v="0"/>
    <n v="0"/>
    <n v="0"/>
    <n v="0"/>
    <n v="0"/>
    <n v="0.3"/>
    <m/>
    <m/>
    <n v="0.5"/>
    <n v="0.2"/>
    <n v="0"/>
    <n v="114"/>
    <n v="0"/>
    <n v="0"/>
    <n v="114"/>
    <n v="114"/>
    <n v="34.199999999999996"/>
    <n v="0"/>
    <n v="0"/>
    <n v="0"/>
    <n v="0"/>
    <n v="0"/>
    <n v="57"/>
    <n v="0"/>
    <n v="22.8"/>
    <n v="0"/>
    <n v="0"/>
    <n v="0"/>
    <n v="0"/>
    <m/>
    <n v="84.86"/>
    <n v="177.85999999999999"/>
    <s v="TL51"/>
    <s v="ToyoLiToyoLi"/>
    <s v="+"/>
    <s v="+"/>
    <s v="NIL"/>
    <s v="NIL"/>
    <s v="NIL"/>
    <s v="NIL"/>
    <s v="NIL"/>
    <s v="NIL"/>
    <b v="0"/>
  </r>
  <r>
    <d v="2026-01-11T00:00:00"/>
    <s v="A"/>
    <x v="145"/>
    <s v="TL52"/>
    <n v="222"/>
    <n v="12800"/>
    <s v="I"/>
    <s v="N"/>
    <n v="1.22"/>
    <s v="BLACK"/>
    <s v="B01047B"/>
    <s v="ToyoLi - BLACK"/>
    <n v="29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8.2363636363636346"/>
    <n v="0"/>
    <s v="GOLD"/>
    <s v="E00910G"/>
    <s v="ToyoLi - GOLD"/>
    <n v="15"/>
    <n v="0"/>
    <s v="M00877G"/>
    <n v="9"/>
    <n v="0"/>
    <s v="TLSI"/>
    <m/>
    <m/>
    <m/>
    <m/>
    <m/>
    <m/>
    <m/>
    <n v="8"/>
    <n v="0"/>
    <m/>
    <n v="0"/>
    <m/>
    <n v="0"/>
    <m/>
    <n v="0"/>
    <m/>
    <n v="0"/>
    <m/>
    <n v="0"/>
    <m/>
    <n v="0"/>
    <m/>
    <n v="0"/>
    <s v="ToyoLi"/>
    <n v="26"/>
    <n v="0"/>
    <n v="14.090909090909093"/>
    <n v="0"/>
    <s v="GREEN"/>
    <s v="J00095G"/>
    <s v="ToyoLi - GREEN"/>
    <n v="17"/>
    <n v="0"/>
    <s v="M00877G"/>
    <n v="10"/>
    <n v="0"/>
    <s v="R79"/>
    <s v="F23T"/>
    <s v="R39"/>
    <m/>
    <m/>
    <m/>
    <m/>
    <m/>
    <n v="15"/>
    <n v="0"/>
    <n v="10"/>
    <n v="0"/>
    <n v="6"/>
    <n v="0"/>
    <m/>
    <n v="0"/>
    <m/>
    <n v="0"/>
    <m/>
    <n v="0"/>
    <m/>
    <n v="0"/>
    <m/>
    <n v="0"/>
    <s v="ToyoLi"/>
    <n v="29"/>
    <n v="0"/>
    <n v="41.945454545454538"/>
    <n v="0"/>
    <s v="CYAN"/>
    <s v="L00294C"/>
    <s v="ToyoLi - CYAN"/>
    <n v="17"/>
    <n v="0"/>
    <m/>
    <m/>
    <n v="0"/>
    <s v="R39"/>
    <m/>
    <m/>
    <m/>
    <m/>
    <m/>
    <m/>
    <m/>
    <n v="8"/>
    <n v="0"/>
    <m/>
    <n v="0"/>
    <m/>
    <n v="0"/>
    <m/>
    <n v="0"/>
    <m/>
    <n v="0"/>
    <m/>
    <n v="0"/>
    <m/>
    <n v="0"/>
    <m/>
    <n v="0"/>
    <s v="ToyoLi"/>
    <n v="25"/>
    <n v="0"/>
    <n v="16.181818181818187"/>
    <n v="0"/>
    <s v="GREEN"/>
    <s v="F00840G"/>
    <s v="ToyoLi - GREEN"/>
    <n v="20"/>
    <n v="0"/>
    <m/>
    <m/>
    <n v="0"/>
    <s v="R39"/>
    <s v="RTMD"/>
    <m/>
    <m/>
    <m/>
    <m/>
    <m/>
    <m/>
    <n v="2"/>
    <n v="0"/>
    <n v="4"/>
    <n v="0"/>
    <m/>
    <n v="0"/>
    <m/>
    <n v="0"/>
    <m/>
    <n v="0"/>
    <m/>
    <n v="0"/>
    <m/>
    <n v="0"/>
    <m/>
    <n v="0"/>
    <s v="ToyoLi"/>
    <n v="27"/>
    <n v="0"/>
    <n v="7.0909090909090935"/>
    <n v="0"/>
    <s v="MAGENTA"/>
    <s v="L00294M"/>
    <s v="ToyoLi - MAGENTA"/>
    <n v="20"/>
    <n v="0"/>
    <m/>
    <m/>
    <n v="0"/>
    <s v="F121"/>
    <m/>
    <m/>
    <m/>
    <m/>
    <m/>
    <m/>
    <m/>
    <n v="8"/>
    <n v="0"/>
    <m/>
    <n v="0"/>
    <m/>
    <n v="0"/>
    <m/>
    <n v="0"/>
    <m/>
    <n v="0"/>
    <m/>
    <n v="0"/>
    <m/>
    <n v="0"/>
    <m/>
    <n v="0"/>
    <s v="ToyoLi"/>
    <n v="29"/>
    <n v="0"/>
    <n v="7.0909090909090935"/>
    <n v="0"/>
    <s v="YELLOW"/>
    <s v="L00294Y"/>
    <s v="ToyoLi - YELLOW"/>
    <n v="19"/>
    <n v="0"/>
    <m/>
    <m/>
    <n v="0"/>
    <s v="F23T"/>
    <s v="RTMD"/>
    <m/>
    <m/>
    <m/>
    <m/>
    <m/>
    <m/>
    <n v="10"/>
    <n v="0"/>
    <n v="4"/>
    <n v="0"/>
    <m/>
    <n v="0"/>
    <m/>
    <n v="0"/>
    <m/>
    <n v="0"/>
    <m/>
    <n v="0"/>
    <m/>
    <n v="0"/>
    <m/>
    <n v="0"/>
    <s v="ToyoLi"/>
    <n v="29"/>
    <n v="0"/>
    <n v="12.090909090909093"/>
    <n v="0"/>
    <s v="WHITE"/>
    <s v="N00784W"/>
    <s v="ToyoLi - WHITE"/>
    <n v="24"/>
    <n v="0"/>
    <m/>
    <m/>
    <n v="0"/>
    <s v="F121"/>
    <s v="HSLAS"/>
    <m/>
    <m/>
    <m/>
    <m/>
    <m/>
    <m/>
    <n v="25"/>
    <n v="0"/>
    <n v="5.76"/>
    <n v="0"/>
    <m/>
    <n v="0"/>
    <m/>
    <n v="0"/>
    <m/>
    <n v="0"/>
    <m/>
    <n v="0"/>
    <m/>
    <n v="0"/>
    <m/>
    <n v="0"/>
    <s v="ToyoLi"/>
    <n v="24"/>
    <n v="0"/>
    <n v="55.032727272727271"/>
    <n v="0"/>
    <n v="2"/>
    <n v="5"/>
    <n v="8"/>
    <n v="10"/>
    <n v="5"/>
    <n v="5"/>
    <n v="5"/>
    <n v="15"/>
    <n v="0.3"/>
    <m/>
    <m/>
    <n v="0.5"/>
    <n v="0.2"/>
    <n v="0"/>
    <n v="89"/>
    <n v="0"/>
    <n v="0"/>
    <n v="89"/>
    <n v="89"/>
    <n v="26.7"/>
    <n v="0"/>
    <n v="0"/>
    <n v="0"/>
    <n v="0"/>
    <n v="0"/>
    <n v="44.5"/>
    <n v="0"/>
    <n v="17.8"/>
    <n v="0"/>
    <n v="0"/>
    <n v="0"/>
    <n v="0"/>
    <m/>
    <n v="107.76"/>
    <n v="161.76"/>
    <s v="TL52"/>
    <s v="ToyoLiToyoLiToyoLiToyoLiToyoLiToyoLiToyoLiToyoLi"/>
    <s v="+"/>
    <s v="+"/>
    <s v="+"/>
    <s v="+"/>
    <s v="+"/>
    <s v="+"/>
    <s v="+"/>
    <s v="+"/>
    <b v="0"/>
  </r>
  <r>
    <d v="2026-01-11T00:00:00"/>
    <s v="A"/>
    <x v="146"/>
    <s v="TL53"/>
    <n v="222"/>
    <n v="12800"/>
    <s v="I"/>
    <s v="N"/>
    <n v="1.58"/>
    <s v="BLACK"/>
    <s v="N00826B"/>
    <s v="ToyoLi - BLACK"/>
    <n v="26"/>
    <n v="0"/>
    <m/>
    <m/>
    <n v="0"/>
    <s v="RTMD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5"/>
    <n v="0"/>
    <n v="10.984126984126988"/>
    <n v="0"/>
    <s v="REFLEX BLUE"/>
    <m/>
    <s v="ToyoLi - REFLEX BLUE"/>
    <m/>
    <n v="0"/>
    <m/>
    <m/>
    <n v="0"/>
    <s v="R1205"/>
    <s v="R39"/>
    <s v="F121"/>
    <m/>
    <m/>
    <m/>
    <m/>
    <m/>
    <n v="12"/>
    <n v="0"/>
    <n v="8"/>
    <n v="0"/>
    <n v="1"/>
    <n v="0"/>
    <m/>
    <n v="0"/>
    <m/>
    <n v="0"/>
    <m/>
    <n v="0"/>
    <m/>
    <n v="0"/>
    <m/>
    <n v="0"/>
    <s v="ToyoLi"/>
    <n v="24"/>
    <n v="0"/>
    <n v="8.1746031746031775"/>
    <n v="0"/>
    <s v="RED"/>
    <s v="N00791R"/>
    <s v="ToyoLi - RED"/>
    <n v="17"/>
    <n v="0"/>
    <m/>
    <m/>
    <n v="0"/>
    <s v="F121"/>
    <s v="F53"/>
    <m/>
    <m/>
    <m/>
    <m/>
    <m/>
    <m/>
    <n v="6"/>
    <n v="0"/>
    <n v="2"/>
    <n v="0"/>
    <m/>
    <n v="0"/>
    <m/>
    <n v="0"/>
    <m/>
    <n v="0"/>
    <m/>
    <n v="0"/>
    <m/>
    <n v="0"/>
    <m/>
    <n v="0"/>
    <s v="ToyoLi"/>
    <n v="24"/>
    <n v="0"/>
    <n v="7.9841269841269842"/>
    <n v="0"/>
    <s v="CYAN"/>
    <s v="N00826C"/>
    <s v="ToyoLi - CYAN"/>
    <n v="25"/>
    <n v="0"/>
    <m/>
    <m/>
    <n v="0"/>
    <s v="RTMD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7"/>
    <n v="0"/>
    <n v="8.9841269841269877"/>
    <n v="0"/>
    <s v="MAGENTA"/>
    <s v="N00826M"/>
    <s v="ToyoLi - MAGENTA"/>
    <n v="29"/>
    <n v="0"/>
    <m/>
    <m/>
    <n v="0"/>
    <s v="RTMD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32"/>
    <n v="0"/>
    <n v="9.9841269841269877"/>
    <n v="0"/>
    <s v="YELLOW"/>
    <s v="N00826Y"/>
    <s v="ToyoLi - YELLOW"/>
    <n v="29"/>
    <n v="0"/>
    <m/>
    <m/>
    <n v="0"/>
    <s v="F23T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8"/>
    <n v="0"/>
    <n v="13.984126984126988"/>
    <n v="0"/>
    <s v="YELLOW"/>
    <s v="L00294Y"/>
    <s v="ToyoLi - YELLOW"/>
    <n v="17"/>
    <n v="0"/>
    <m/>
    <m/>
    <n v="0"/>
    <s v="F23T"/>
    <s v="RTMD"/>
    <s v="F53"/>
    <m/>
    <m/>
    <m/>
    <m/>
    <m/>
    <n v="18"/>
    <n v="0"/>
    <n v="2"/>
    <n v="0"/>
    <n v="1"/>
    <n v="0"/>
    <m/>
    <n v="0"/>
    <m/>
    <n v="0"/>
    <m/>
    <n v="0"/>
    <m/>
    <n v="0"/>
    <m/>
    <n v="0"/>
    <s v="ToyoLi"/>
    <n v="20"/>
    <n v="0"/>
    <n v="31.968253968253968"/>
    <n v="0"/>
    <s v="WHITE"/>
    <s v="N00826W"/>
    <s v="ToyoLi - WHITE"/>
    <n v="24"/>
    <n v="0"/>
    <m/>
    <m/>
    <n v="0"/>
    <s v="F640"/>
    <s v="HSLAS"/>
    <m/>
    <m/>
    <m/>
    <m/>
    <m/>
    <m/>
    <n v="25"/>
    <n v="0"/>
    <n v="5.32"/>
    <n v="0"/>
    <m/>
    <n v="0"/>
    <m/>
    <n v="0"/>
    <m/>
    <n v="0"/>
    <m/>
    <n v="0"/>
    <m/>
    <n v="0"/>
    <m/>
    <n v="0"/>
    <s v="ToyoLi"/>
    <n v="24"/>
    <n v="0"/>
    <n v="58.256507936507944"/>
    <n v="0"/>
    <n v="5"/>
    <n v="8"/>
    <n v="5"/>
    <n v="5"/>
    <n v="5"/>
    <n v="5"/>
    <n v="10"/>
    <n v="20"/>
    <n v="0.3"/>
    <m/>
    <m/>
    <n v="0.5"/>
    <n v="0.2"/>
    <n v="0"/>
    <n v="88"/>
    <n v="0"/>
    <n v="0"/>
    <n v="88"/>
    <n v="88"/>
    <n v="26.4"/>
    <n v="0"/>
    <n v="0"/>
    <n v="0"/>
    <n v="0"/>
    <n v="0"/>
    <n v="44"/>
    <n v="0"/>
    <n v="17.600000000000001"/>
    <n v="0"/>
    <n v="0"/>
    <n v="0"/>
    <n v="0"/>
    <m/>
    <n v="99.32"/>
    <n v="150.32000000000002"/>
    <s v="TL53"/>
    <s v="ToyoLiToyoLiToyoLiToyoLiToyoLiToyoLiToyoLiToyoLi"/>
    <s v="+"/>
    <s v="+"/>
    <s v="+"/>
    <s v="+"/>
    <s v="+"/>
    <s v="+"/>
    <s v="+"/>
    <s v="+"/>
    <b v="0"/>
  </r>
  <r>
    <d v="2026-01-11T00:00:00"/>
    <s v="A"/>
    <x v="147"/>
    <s v="TL54"/>
    <n v="432"/>
    <n v="24900"/>
    <s v="I"/>
    <s v="N"/>
    <n v="1.2"/>
    <s v="BLACK"/>
    <s v="N00793B"/>
    <s v="ToyoLi - BLACK"/>
    <n v="25"/>
    <n v="0"/>
    <m/>
    <m/>
    <n v="0"/>
    <s v="RTMD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6"/>
    <n v="0"/>
    <n v="16.984126984126988"/>
    <n v="0"/>
    <s v="REFLEX BLUE"/>
    <s v="N00793B"/>
    <s v="ToyoLi - REFLEX BLUE"/>
    <n v="24"/>
    <n v="0"/>
    <m/>
    <m/>
    <n v="0"/>
    <s v="R1205"/>
    <s v="Z822"/>
    <m/>
    <m/>
    <m/>
    <m/>
    <m/>
    <m/>
    <n v="20"/>
    <n v="0"/>
    <n v="12"/>
    <n v="0"/>
    <m/>
    <n v="0"/>
    <m/>
    <n v="0"/>
    <m/>
    <n v="0"/>
    <m/>
    <n v="0"/>
    <m/>
    <n v="0"/>
    <m/>
    <n v="0"/>
    <s v="ToyoLi"/>
    <n v="33"/>
    <n v="0"/>
    <n v="42.174603174603178"/>
    <n v="0"/>
    <s v="CYAN"/>
    <s v="N00793C"/>
    <s v="ToyoLi - CYAN"/>
    <n v="27"/>
    <n v="0"/>
    <m/>
    <m/>
    <n v="0"/>
    <s v="RTMD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25"/>
    <n v="0"/>
    <n v="55.968253968253975"/>
    <n v="0"/>
    <s v="MAGENTA"/>
    <s v="N00793M"/>
    <s v="ToyoLi - MAGENTA"/>
    <n v="24"/>
    <n v="0"/>
    <m/>
    <m/>
    <n v="0"/>
    <s v="F121"/>
    <m/>
    <m/>
    <m/>
    <m/>
    <m/>
    <m/>
    <m/>
    <n v="7"/>
    <n v="0"/>
    <m/>
    <n v="0"/>
    <m/>
    <n v="0"/>
    <m/>
    <n v="0"/>
    <m/>
    <n v="0"/>
    <m/>
    <n v="0"/>
    <m/>
    <n v="0"/>
    <m/>
    <n v="0"/>
    <s v="ToyoLi"/>
    <n v="20"/>
    <n v="0"/>
    <n v="22.984126984126988"/>
    <n v="0"/>
    <s v="YELLOW"/>
    <s v="N00793Y"/>
    <s v="ToyoLi - YELLOW"/>
    <n v="28"/>
    <n v="0"/>
    <m/>
    <m/>
    <n v="0"/>
    <s v="F23T"/>
    <m/>
    <m/>
    <m/>
    <m/>
    <m/>
    <m/>
    <m/>
    <n v="7"/>
    <n v="0"/>
    <m/>
    <n v="0"/>
    <m/>
    <n v="0"/>
    <m/>
    <n v="0"/>
    <m/>
    <n v="0"/>
    <m/>
    <n v="0"/>
    <m/>
    <n v="0"/>
    <m/>
    <n v="0"/>
    <s v="ToyoLi"/>
    <n v="27"/>
    <n v="0"/>
    <n v="19.984126984126988"/>
    <n v="0"/>
    <s v="WHITE"/>
    <s v="N00793W"/>
    <s v="ToyoLi - WHITE"/>
    <n v="24"/>
    <n v="0"/>
    <m/>
    <m/>
    <n v="0"/>
    <s v="F640"/>
    <s v="HSLAS"/>
    <m/>
    <m/>
    <m/>
    <m/>
    <m/>
    <m/>
    <n v="50"/>
    <n v="0"/>
    <n v="6.25"/>
    <n v="0"/>
    <m/>
    <n v="0"/>
    <m/>
    <n v="0"/>
    <m/>
    <n v="0"/>
    <m/>
    <n v="0"/>
    <m/>
    <n v="0"/>
    <m/>
    <n v="0"/>
    <s v="ToyoLi"/>
    <n v="24"/>
    <n v="0"/>
    <n v="128.154761904761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8"/>
    <n v="10"/>
    <n v="5"/>
    <n v="5"/>
    <n v="30"/>
    <n v="0"/>
    <n v="0"/>
    <n v="0.3"/>
    <m/>
    <m/>
    <n v="0.5"/>
    <n v="0.2"/>
    <n v="0"/>
    <n v="151"/>
    <n v="0"/>
    <n v="0"/>
    <n v="151"/>
    <n v="151"/>
    <n v="45.3"/>
    <n v="0"/>
    <n v="0"/>
    <n v="0"/>
    <n v="0"/>
    <n v="0"/>
    <n v="75.5"/>
    <n v="0"/>
    <n v="30.200000000000003"/>
    <n v="0"/>
    <n v="0"/>
    <n v="0"/>
    <n v="0"/>
    <m/>
    <n v="138.25"/>
    <n v="286.25"/>
    <s v="TL54"/>
    <s v="ToyoLiToyoLiToyoLiToyoLiToyoLiToyoLi"/>
    <s v="+"/>
    <s v="+"/>
    <s v="+"/>
    <s v="+"/>
    <s v="+"/>
    <s v="+"/>
    <s v="NIL"/>
    <s v="NIL"/>
    <b v="0"/>
  </r>
  <r>
    <d v="2026-01-11T00:00:00"/>
    <s v="A"/>
    <x v="148"/>
    <s v="TL55"/>
    <n v="145"/>
    <n v="7200"/>
    <s v="I"/>
    <s v="N"/>
    <n v="1.64"/>
    <s v="BLACK"/>
    <s v="N00797B"/>
    <s v="ToyoLi - BLACK"/>
    <n v="26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0"/>
    <n v="0.75409836065573899"/>
    <n v="0"/>
    <s v="REFLEX BLUE"/>
    <m/>
    <s v="ToyoLi - REFLEX BLUE"/>
    <m/>
    <n v="0"/>
    <m/>
    <m/>
    <n v="0"/>
    <s v="R1205"/>
    <s v="R39"/>
    <m/>
    <m/>
    <m/>
    <m/>
    <m/>
    <m/>
    <n v="9"/>
    <n v="0"/>
    <n v="13"/>
    <n v="0"/>
    <m/>
    <n v="0"/>
    <m/>
    <n v="0"/>
    <m/>
    <n v="0"/>
    <m/>
    <n v="0"/>
    <m/>
    <n v="0"/>
    <m/>
    <n v="0"/>
    <s v="ToyoLi"/>
    <n v="26"/>
    <n v="0"/>
    <n v="5.5081967213114744"/>
    <n v="0"/>
    <s v="RED"/>
    <s v="N00793R"/>
    <s v="ToyoLi - RED"/>
    <n v="24"/>
    <n v="0"/>
    <m/>
    <m/>
    <n v="0"/>
    <s v="F53"/>
    <s v="F121"/>
    <m/>
    <m/>
    <m/>
    <m/>
    <m/>
    <m/>
    <n v="6"/>
    <n v="0"/>
    <n v="2"/>
    <n v="0"/>
    <m/>
    <n v="0"/>
    <m/>
    <n v="0"/>
    <m/>
    <n v="0"/>
    <m/>
    <n v="0"/>
    <m/>
    <n v="0"/>
    <m/>
    <n v="0"/>
    <s v="ToyoLi"/>
    <n v="26"/>
    <n v="0"/>
    <n v="10.754098360655739"/>
    <n v="0"/>
    <s v="CYAN"/>
    <s v="N00797C"/>
    <s v="ToyoLi - CYAN"/>
    <n v="25"/>
    <n v="0"/>
    <m/>
    <m/>
    <n v="0"/>
    <s v="R39"/>
    <m/>
    <m/>
    <m/>
    <m/>
    <m/>
    <m/>
    <m/>
    <n v="8"/>
    <n v="0"/>
    <m/>
    <n v="0"/>
    <m/>
    <n v="0"/>
    <m/>
    <n v="0"/>
    <m/>
    <n v="0"/>
    <m/>
    <n v="0"/>
    <m/>
    <n v="0"/>
    <m/>
    <n v="0"/>
    <s v="ToyoLi"/>
    <n v="26"/>
    <n v="0"/>
    <n v="11.754098360655739"/>
    <n v="0"/>
    <s v="MAGENTA"/>
    <s v="N00797M"/>
    <s v="ToyoLi - MAGENTA"/>
    <n v="20"/>
    <n v="0"/>
    <m/>
    <m/>
    <n v="0"/>
    <s v="F121"/>
    <m/>
    <m/>
    <m/>
    <m/>
    <m/>
    <m/>
    <m/>
    <n v="9"/>
    <n v="0"/>
    <m/>
    <n v="0"/>
    <m/>
    <n v="0"/>
    <m/>
    <n v="0"/>
    <m/>
    <n v="0"/>
    <m/>
    <n v="0"/>
    <m/>
    <n v="0"/>
    <m/>
    <n v="0"/>
    <s v="ToyoLi"/>
    <n v="24"/>
    <n v="0"/>
    <n v="12.606557377049178"/>
    <n v="0"/>
    <s v="YELLOW"/>
    <s v="N00797Y"/>
    <s v="ToyoLi - YELLOW"/>
    <n v="27"/>
    <n v="0"/>
    <m/>
    <m/>
    <n v="0"/>
    <s v="F23T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7"/>
    <n v="0"/>
    <n v="10.754098360655739"/>
    <n v="0"/>
    <s v="REFLEX BLUE"/>
    <m/>
    <s v="ToyoLi - REFLEX BLUE"/>
    <m/>
    <n v="0"/>
    <m/>
    <m/>
    <n v="0"/>
    <s v="R39"/>
    <s v="R1205"/>
    <s v="F23T"/>
    <m/>
    <m/>
    <m/>
    <m/>
    <m/>
    <n v="20"/>
    <n v="0"/>
    <n v="2"/>
    <n v="0"/>
    <n v="0.5"/>
    <n v="0"/>
    <m/>
    <n v="0"/>
    <m/>
    <n v="0"/>
    <m/>
    <n v="0"/>
    <m/>
    <n v="0"/>
    <m/>
    <n v="0"/>
    <s v="ToyoLi"/>
    <n v="18"/>
    <n v="0"/>
    <n v="12.106557377049182"/>
    <n v="0"/>
    <s v="WHITE"/>
    <s v="N00797W"/>
    <s v="ToyoLi - WHITE"/>
    <n v="24"/>
    <n v="0"/>
    <m/>
    <m/>
    <n v="0"/>
    <s v="F640"/>
    <m/>
    <m/>
    <m/>
    <m/>
    <m/>
    <m/>
    <m/>
    <n v="35"/>
    <n v="0"/>
    <m/>
    <n v="0"/>
    <m/>
    <n v="0"/>
    <m/>
    <n v="0"/>
    <m/>
    <n v="0"/>
    <m/>
    <n v="0"/>
    <m/>
    <n v="0"/>
    <m/>
    <n v="0"/>
    <s v="ToyoLi"/>
    <n v="24"/>
    <n v="0"/>
    <n v="49.26229508196721"/>
    <n v="0"/>
    <n v="5"/>
    <n v="10"/>
    <n v="5"/>
    <n v="5"/>
    <n v="8"/>
    <n v="5"/>
    <n v="8"/>
    <n v="15"/>
    <n v="0.3"/>
    <m/>
    <m/>
    <n v="0.5"/>
    <n v="0.2"/>
    <n v="0"/>
    <n v="58"/>
    <n v="0"/>
    <n v="0"/>
    <n v="58"/>
    <n v="58"/>
    <n v="17.399999999999999"/>
    <n v="0"/>
    <n v="0"/>
    <n v="0"/>
    <n v="0"/>
    <n v="0"/>
    <n v="29"/>
    <n v="0"/>
    <n v="11.600000000000001"/>
    <n v="0"/>
    <n v="0"/>
    <n v="0"/>
    <n v="0"/>
    <m/>
    <n v="110.5"/>
    <n v="113.5"/>
    <s v="TL55"/>
    <s v="ToyoLiToyoLiToyoLiToyoLiToyoLiToyoLiToyoLiToyoLi"/>
    <s v="+"/>
    <s v="+"/>
    <s v="+"/>
    <s v="+"/>
    <s v="+"/>
    <s v="+"/>
    <s v="+"/>
    <s v="+"/>
    <b v="0"/>
  </r>
  <r>
    <d v="2026-01-11T00:00:00"/>
    <s v="A"/>
    <x v="149"/>
    <s v="TL56"/>
    <n v="185"/>
    <n v="9700"/>
    <s v="I"/>
    <s v="N"/>
    <n v="1.65"/>
    <s v="BLACK"/>
    <s v="G00399B"/>
    <s v="ToyoLi - BLACK"/>
    <n v="25"/>
    <n v="0"/>
    <m/>
    <m/>
    <n v="0"/>
    <s v="R92"/>
    <m/>
    <m/>
    <m/>
    <m/>
    <m/>
    <m/>
    <m/>
    <n v="9"/>
    <n v="0"/>
    <m/>
    <n v="0"/>
    <m/>
    <n v="0"/>
    <m/>
    <n v="0"/>
    <m/>
    <n v="0"/>
    <m/>
    <n v="0"/>
    <m/>
    <n v="0"/>
    <m/>
    <n v="0"/>
    <s v="ToyoLi"/>
    <n v="30"/>
    <n v="0"/>
    <n v="10.384615384615387"/>
    <n v="0"/>
    <s v="ORANGE"/>
    <s v="B01025O"/>
    <s v="ToyoLi - ORANGE"/>
    <n v="17"/>
    <n v="0"/>
    <s v="G00399O"/>
    <n v="6"/>
    <n v="0"/>
    <s v="F23T"/>
    <s v="F53"/>
    <m/>
    <m/>
    <m/>
    <m/>
    <m/>
    <m/>
    <n v="6"/>
    <n v="0"/>
    <n v="6"/>
    <n v="0"/>
    <m/>
    <n v="0"/>
    <m/>
    <n v="0"/>
    <m/>
    <n v="0"/>
    <m/>
    <n v="0"/>
    <m/>
    <n v="0"/>
    <m/>
    <n v="0"/>
    <s v="ToyoLi"/>
    <n v="30"/>
    <n v="0"/>
    <n v="17.769230769230774"/>
    <n v="0"/>
    <s v="CYAN"/>
    <s v="G00399C"/>
    <s v="ToyoLi - CYAN"/>
    <n v="26"/>
    <n v="0"/>
    <m/>
    <m/>
    <n v="0"/>
    <s v="R39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4"/>
    <n v="0"/>
    <n v="14.384615384615387"/>
    <n v="0"/>
    <s v="MAGENTA"/>
    <s v="G00399M"/>
    <s v="ToyoLi - MAGENTA"/>
    <n v="24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32"/>
    <n v="0"/>
    <n v="0.3846153846153868"/>
    <n v="0"/>
    <s v="YELLOW"/>
    <s v="G00399Y"/>
    <s v="ToyoLi - YELLOW"/>
    <n v="27"/>
    <n v="0"/>
    <m/>
    <m/>
    <n v="0"/>
    <s v="F23T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3"/>
    <n v="0"/>
    <n v="16.384615384615387"/>
    <n v="0"/>
    <s v="YELLOW"/>
    <m/>
    <s v="ToyoLi - YELLOW"/>
    <m/>
    <n v="0"/>
    <m/>
    <m/>
    <n v="0"/>
    <n v="262"/>
    <s v="RTMD"/>
    <s v="F32"/>
    <m/>
    <m/>
    <m/>
    <m/>
    <m/>
    <n v="10"/>
    <n v="0"/>
    <n v="20"/>
    <n v="0"/>
    <n v="0.2"/>
    <n v="0"/>
    <m/>
    <n v="0"/>
    <m/>
    <n v="0"/>
    <m/>
    <n v="0"/>
    <m/>
    <n v="0"/>
    <m/>
    <n v="0"/>
    <s v="ToyoLi"/>
    <n v="24"/>
    <n v="0"/>
    <n v="18.969230769230769"/>
    <n v="0"/>
    <s v="WHITE"/>
    <s v="G00399W"/>
    <s v="ToyoLi - WHITE"/>
    <n v="24"/>
    <n v="0"/>
    <m/>
    <m/>
    <n v="0"/>
    <s v="F640"/>
    <m/>
    <m/>
    <m/>
    <m/>
    <m/>
    <m/>
    <m/>
    <n v="50"/>
    <n v="0"/>
    <m/>
    <n v="0"/>
    <m/>
    <n v="0"/>
    <m/>
    <n v="0"/>
    <m/>
    <n v="0"/>
    <m/>
    <n v="0"/>
    <m/>
    <n v="0"/>
    <m/>
    <n v="0"/>
    <s v="ToyoLi"/>
    <n v="23"/>
    <n v="0"/>
    <n v="82.9230769230769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5"/>
    <n v="5"/>
    <n v="5"/>
    <n v="10"/>
    <n v="25"/>
    <n v="0"/>
    <n v="0.3"/>
    <m/>
    <m/>
    <n v="0.5"/>
    <n v="0.2"/>
    <n v="0"/>
    <n v="83"/>
    <n v="0"/>
    <n v="0"/>
    <n v="83"/>
    <n v="83"/>
    <n v="24.9"/>
    <n v="0"/>
    <n v="0"/>
    <n v="0"/>
    <n v="0"/>
    <n v="0"/>
    <n v="41.5"/>
    <n v="0"/>
    <n v="16.600000000000001"/>
    <n v="0"/>
    <n v="0"/>
    <n v="0"/>
    <n v="0"/>
    <m/>
    <n v="115.2"/>
    <n v="161.19999999999999"/>
    <s v="TL56"/>
    <s v="ToyoLiToyoLiToyoLiToyoLiToyoLiToyoLiToyoLi"/>
    <s v="+"/>
    <s v="+"/>
    <s v="+"/>
    <s v="+"/>
    <s v="+"/>
    <s v="+"/>
    <s v="+"/>
    <s v="NIL"/>
    <b v="0"/>
  </r>
  <r>
    <d v="2026-01-12T00:00:00"/>
    <s v="A"/>
    <x v="150"/>
    <s v="TL57"/>
    <n v="75"/>
    <n v="6000"/>
    <s v="I"/>
    <s v="N"/>
    <n v="1.8"/>
    <s v="BLACK"/>
    <s v="G00400B"/>
    <s v="ToyoLi - BLACK"/>
    <n v="10"/>
    <n v="0"/>
    <s v="L00294B/G00399B"/>
    <n v="25"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12.061224489795919"/>
    <n v="0"/>
    <s v="BLACK"/>
    <s v="N00791B"/>
    <s v="ToyoLi - BLACK"/>
    <n v="18"/>
    <n v="0"/>
    <m/>
    <m/>
    <n v="0"/>
    <s v="R92"/>
    <s v="F23T"/>
    <s v="R39"/>
    <m/>
    <m/>
    <m/>
    <m/>
    <m/>
    <n v="5"/>
    <n v="0"/>
    <n v="3"/>
    <n v="0"/>
    <n v="1"/>
    <n v="0"/>
    <m/>
    <n v="0"/>
    <m/>
    <n v="0"/>
    <m/>
    <n v="0"/>
    <m/>
    <n v="0"/>
    <m/>
    <n v="0"/>
    <s v="ToyoLi"/>
    <n v="28"/>
    <n v="0"/>
    <n v="2.0612244897959187"/>
    <n v="0"/>
    <s v="MEDIUM"/>
    <s v="R00015M"/>
    <s v="ToyoLi - MEDIUM"/>
    <n v="16"/>
    <n v="0"/>
    <m/>
    <m/>
    <n v="0"/>
    <s v="F23T"/>
    <s v="F53"/>
    <s v="F121"/>
    <m/>
    <m/>
    <m/>
    <m/>
    <m/>
    <n v="5"/>
    <n v="0"/>
    <n v="2"/>
    <n v="0"/>
    <n v="0.5"/>
    <n v="0"/>
    <m/>
    <n v="0"/>
    <m/>
    <n v="0"/>
    <m/>
    <n v="0"/>
    <m/>
    <n v="0"/>
    <m/>
    <n v="0"/>
    <s v="ToyoLi"/>
    <n v="17"/>
    <n v="0"/>
    <n v="12.622448979591837"/>
    <n v="0"/>
    <s v="CYAN"/>
    <s v="G00400C"/>
    <s v="ToyoLi - CYAN"/>
    <n v="24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4.0612244897959187"/>
    <n v="0"/>
    <s v="MAGENTA"/>
    <s v="G00400M"/>
    <s v="ToyoLi - MAGENTA"/>
    <n v="15"/>
    <n v="0"/>
    <m/>
    <m/>
    <n v="0"/>
    <s v="F121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2"/>
    <n v="0"/>
    <n v="3.1224489795918373"/>
    <n v="0"/>
    <s v="YELLOW"/>
    <s v="J00400Y"/>
    <s v="ToyoLi - YELLOW"/>
    <n v="23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7"/>
    <n v="0"/>
    <n v="5.591836734693878"/>
    <n v="0"/>
    <s v="YELLOW"/>
    <s v="N00793Y"/>
    <s v="ToyoLi - YELLOW"/>
    <n v="20"/>
    <n v="0"/>
    <m/>
    <m/>
    <n v="0"/>
    <s v="F23T"/>
    <s v="F53"/>
    <m/>
    <m/>
    <m/>
    <m/>
    <m/>
    <m/>
    <n v="3"/>
    <n v="0"/>
    <n v="2"/>
    <n v="0"/>
    <m/>
    <n v="0"/>
    <m/>
    <n v="0"/>
    <m/>
    <n v="0"/>
    <m/>
    <n v="0"/>
    <m/>
    <n v="0"/>
    <m/>
    <n v="0"/>
    <s v="ToyoLi"/>
    <n v="24"/>
    <n v="0"/>
    <n v="4.0612244897959187"/>
    <n v="0"/>
    <s v="WHITE"/>
    <m/>
    <s v="ToyoLi - WHITE"/>
    <m/>
    <n v="0"/>
    <m/>
    <m/>
    <n v="0"/>
    <s v="F640"/>
    <s v="HSLAS"/>
    <m/>
    <m/>
    <m/>
    <m/>
    <m/>
    <m/>
    <n v="60"/>
    <n v="0"/>
    <n v="5.08"/>
    <n v="0"/>
    <m/>
    <n v="0"/>
    <m/>
    <n v="0"/>
    <m/>
    <n v="0"/>
    <m/>
    <n v="0"/>
    <m/>
    <n v="0"/>
    <m/>
    <n v="0"/>
    <s v="ToyoLi"/>
    <n v="40"/>
    <n v="0"/>
    <n v="70.998367346938778"/>
    <n v="0"/>
    <n v="2"/>
    <n v="2"/>
    <n v="4"/>
    <n v="2"/>
    <n v="4"/>
    <n v="3"/>
    <n v="2"/>
    <n v="30"/>
    <n v="0.3"/>
    <m/>
    <m/>
    <n v="0.5"/>
    <n v="0.2"/>
    <n v="0"/>
    <n v="75"/>
    <n v="0"/>
    <n v="0"/>
    <n v="75"/>
    <n v="75"/>
    <n v="22.5"/>
    <n v="0"/>
    <n v="0"/>
    <n v="0"/>
    <n v="0"/>
    <n v="0"/>
    <n v="37.5"/>
    <n v="0"/>
    <n v="15"/>
    <n v="0"/>
    <n v="0"/>
    <n v="0"/>
    <n v="0"/>
    <m/>
    <n v="99.58"/>
    <n v="114.58000000000001"/>
    <s v="TL57"/>
    <s v="ToyoLiToyoLiToyoLiToyoLiToyoLiToyoLiToyoLiToyoLi"/>
    <s v="+"/>
    <s v="+"/>
    <s v="+"/>
    <s v="+"/>
    <s v="+"/>
    <s v="+"/>
    <s v="+"/>
    <s v="+"/>
    <b v="0"/>
  </r>
  <r>
    <d v="2026-01-12T00:00:00"/>
    <s v="A"/>
    <x v="151"/>
    <s v="TL58"/>
    <n v="325"/>
    <n v="20500"/>
    <s v="I"/>
    <s v="N"/>
    <n v="0.88"/>
    <s v="BLACK"/>
    <s v="N00815B"/>
    <s v="ToyoLi - BLACK"/>
    <n v="10"/>
    <n v="0"/>
    <s v="N00823B/N00919B/F00861B"/>
    <n v="37"/>
    <n v="0"/>
    <s v="R92"/>
    <s v="F23T"/>
    <s v="F53"/>
    <s v="F121"/>
    <s v="HSLAS"/>
    <m/>
    <m/>
    <m/>
    <n v="10"/>
    <n v="0"/>
    <n v="5"/>
    <n v="0"/>
    <n v="2"/>
    <n v="0"/>
    <n v="5"/>
    <n v="0"/>
    <n v="1.36"/>
    <n v="0"/>
    <m/>
    <n v="0"/>
    <m/>
    <n v="0"/>
    <m/>
    <n v="0"/>
    <s v="ToyoLi"/>
    <n v="48"/>
    <n v="0"/>
    <n v="87.36000000000001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7"/>
    <n v="0"/>
    <n v="0"/>
    <n v="0"/>
    <n v="0"/>
    <n v="0"/>
    <n v="0"/>
    <n v="0"/>
    <n v="0.3"/>
    <m/>
    <m/>
    <n v="0.5"/>
    <n v="0.2"/>
    <n v="0"/>
    <n v="65"/>
    <n v="0"/>
    <n v="0"/>
    <n v="65"/>
    <n v="65"/>
    <n v="19.5"/>
    <n v="0"/>
    <n v="0"/>
    <n v="0"/>
    <n v="0"/>
    <n v="0"/>
    <n v="32.5"/>
    <n v="0"/>
    <n v="13"/>
    <n v="0"/>
    <n v="0"/>
    <n v="0"/>
    <n v="0"/>
    <m/>
    <n v="23.36"/>
    <n v="87.360000000000014"/>
    <s v="TL58"/>
    <s v="ToyoLi"/>
    <s v="+"/>
    <s v="NIL"/>
    <s v="NIL"/>
    <s v="NIL"/>
    <s v="NIL"/>
    <s v="NIL"/>
    <s v="NIL"/>
    <s v="NIL"/>
    <b v="0"/>
  </r>
  <r>
    <d v="2026-01-12T00:00:00"/>
    <s v="A"/>
    <x v="152"/>
    <s v="TL59"/>
    <n v="167"/>
    <n v="10200"/>
    <s v="I"/>
    <s v="N"/>
    <n v="0.8"/>
    <s v="MEDIUM"/>
    <s v="J00846B"/>
    <s v="ToyoLi - MEDIUM"/>
    <n v="17"/>
    <n v="0"/>
    <s v="B01041B"/>
    <n v="24"/>
    <n v="0"/>
    <s v="F640"/>
    <s v="F23T"/>
    <s v="R92"/>
    <s v="F53"/>
    <s v="HSLAS"/>
    <m/>
    <m/>
    <m/>
    <n v="10"/>
    <n v="0"/>
    <n v="2"/>
    <n v="0"/>
    <n v="0.2"/>
    <n v="0"/>
    <n v="0.5"/>
    <n v="0"/>
    <n v="1"/>
    <n v="0"/>
    <m/>
    <n v="0"/>
    <m/>
    <n v="0"/>
    <m/>
    <n v="0"/>
    <s v="ToyoLi"/>
    <n v="31"/>
    <n v="0"/>
    <n v="65.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0"/>
    <n v="0"/>
    <n v="0"/>
    <n v="0"/>
    <n v="0"/>
    <n v="0"/>
    <n v="0"/>
    <n v="0.3"/>
    <m/>
    <m/>
    <n v="0.5"/>
    <n v="0.2"/>
    <n v="0"/>
    <n v="42"/>
    <n v="0"/>
    <n v="0"/>
    <n v="42"/>
    <n v="42"/>
    <n v="12.6"/>
    <n v="0"/>
    <n v="0"/>
    <n v="0"/>
    <n v="0"/>
    <n v="0"/>
    <n v="21"/>
    <n v="0"/>
    <n v="8.4"/>
    <n v="0"/>
    <n v="0"/>
    <n v="0"/>
    <n v="0"/>
    <m/>
    <n v="13.7"/>
    <n v="65.7"/>
    <s v="TL59"/>
    <s v="ToyoLi"/>
    <s v="+"/>
    <s v="NIL"/>
    <s v="NIL"/>
    <s v="NIL"/>
    <s v="NIL"/>
    <s v="NIL"/>
    <s v="NIL"/>
    <s v="NIL"/>
    <b v="0"/>
  </r>
  <r>
    <d v="2026-01-12T00:00:00"/>
    <s v="A"/>
    <x v="153"/>
    <s v="TL60"/>
    <n v="707"/>
    <n v="37000"/>
    <s v="I"/>
    <s v="N"/>
    <n v="0.9"/>
    <s v="BLACK"/>
    <s v="F00861B"/>
    <s v="ToyoLi - BLACK"/>
    <n v="28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4"/>
    <n v="0"/>
    <s v="GREEN"/>
    <s v="J00750G"/>
    <s v="ToyoLi - GREEN"/>
    <n v="18"/>
    <n v="0"/>
    <s v="56714G"/>
    <n v="20"/>
    <n v="0"/>
    <s v="R39"/>
    <s v="RTMD"/>
    <m/>
    <m/>
    <m/>
    <m/>
    <m/>
    <m/>
    <n v="2"/>
    <n v="0"/>
    <n v="20"/>
    <n v="0"/>
    <m/>
    <n v="0"/>
    <m/>
    <n v="0"/>
    <m/>
    <n v="0"/>
    <m/>
    <n v="0"/>
    <m/>
    <n v="0"/>
    <m/>
    <n v="0"/>
    <s v="ToyoLi"/>
    <n v="27"/>
    <n v="0"/>
    <n v="69.122448979591837"/>
    <n v="0"/>
    <s v="CYAN"/>
    <s v="F00861C"/>
    <s v="ToyoLi - CYAN"/>
    <n v="25"/>
    <n v="0"/>
    <m/>
    <m/>
    <n v="0"/>
    <s v="RTMD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3.612244897959183"/>
    <n v="0"/>
    <s v="MAGENTA"/>
    <s v="F00861M"/>
    <s v="ToyoLi - MAGENTA"/>
    <n v="22"/>
    <n v="0"/>
    <m/>
    <m/>
    <n v="0"/>
    <s v="RTMD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9"/>
    <n v="0"/>
    <n v="7.0306122448979593"/>
    <n v="0"/>
    <s v="YELLOW"/>
    <s v="F00861Y"/>
    <s v="ToyoLi - YELLOW"/>
    <n v="27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8.4183673469387728"/>
    <n v="0"/>
    <s v="REFLEX BLUE"/>
    <m/>
    <s v="ToyoLi - REFLEX BLUE"/>
    <m/>
    <n v="0"/>
    <m/>
    <m/>
    <n v="0"/>
    <s v="RTMD"/>
    <s v="R1205"/>
    <s v="Z822"/>
    <m/>
    <m/>
    <m/>
    <m/>
    <m/>
    <n v="15"/>
    <n v="0"/>
    <n v="1"/>
    <n v="0"/>
    <n v="1"/>
    <n v="0"/>
    <m/>
    <n v="0"/>
    <m/>
    <n v="0"/>
    <m/>
    <n v="0"/>
    <m/>
    <n v="0"/>
    <m/>
    <n v="0"/>
    <s v="ToyoLi"/>
    <n v="19.5"/>
    <n v="0"/>
    <n v="11.948979591836732"/>
    <n v="0"/>
    <s v="WHITE"/>
    <s v="F00861W"/>
    <s v="ToyoLi - WHITE"/>
    <n v="40"/>
    <n v="0"/>
    <m/>
    <m/>
    <n v="0"/>
    <s v="F640"/>
    <m/>
    <m/>
    <m/>
    <m/>
    <m/>
    <m/>
    <m/>
    <n v="100"/>
    <n v="0"/>
    <m/>
    <n v="0"/>
    <m/>
    <n v="0"/>
    <m/>
    <n v="0"/>
    <m/>
    <n v="0"/>
    <m/>
    <n v="0"/>
    <m/>
    <n v="0"/>
    <m/>
    <n v="0"/>
    <s v="ToyoLi"/>
    <n v="25"/>
    <n v="0"/>
    <n v="223.3673469387755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0"/>
    <n v="20"/>
    <n v="2"/>
    <n v="5"/>
    <n v="3"/>
    <n v="8"/>
    <n v="60"/>
    <n v="0"/>
    <n v="0.3"/>
    <m/>
    <m/>
    <n v="0.5"/>
    <n v="0.2"/>
    <n v="0"/>
    <n v="177"/>
    <n v="0"/>
    <n v="0"/>
    <n v="177"/>
    <n v="177"/>
    <n v="53.1"/>
    <n v="0"/>
    <n v="0"/>
    <n v="0"/>
    <n v="0"/>
    <n v="0"/>
    <n v="88.5"/>
    <n v="0"/>
    <n v="35.4"/>
    <n v="0"/>
    <n v="0"/>
    <n v="0"/>
    <n v="0"/>
    <m/>
    <n v="151"/>
    <n v="327.5"/>
    <s v="TL60"/>
    <s v="ToyoLiToyoLiToyoLiToyoLiToyoLiToyoLiToyoLi"/>
    <s v="+"/>
    <s v="+"/>
    <s v="+"/>
    <s v="+"/>
    <s v="+"/>
    <s v="+"/>
    <s v="+"/>
    <s v="NIL"/>
    <b v="0"/>
  </r>
  <r>
    <d v="2026-01-12T00:00:00"/>
    <s v="A"/>
    <x v="154"/>
    <s v="TL61"/>
    <n v="20"/>
    <n v="1100"/>
    <s v="I"/>
    <s v="N"/>
    <n v="1.06"/>
    <s v="WHITE"/>
    <m/>
    <s v="ToyoLi - WHITE"/>
    <m/>
    <n v="0"/>
    <m/>
    <m/>
    <n v="0"/>
    <s v="F640"/>
    <m/>
    <m/>
    <m/>
    <m/>
    <m/>
    <m/>
    <m/>
    <n v="20"/>
    <n v="0"/>
    <m/>
    <n v="0"/>
    <m/>
    <n v="0"/>
    <m/>
    <n v="0"/>
    <m/>
    <n v="0"/>
    <m/>
    <n v="0"/>
    <m/>
    <n v="0"/>
    <m/>
    <n v="0"/>
    <s v="ToyoLi"/>
    <n v="27"/>
    <n v="0"/>
    <n v="2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6"/>
    <n v="0"/>
    <n v="0"/>
    <n v="0"/>
    <n v="0"/>
    <n v="0"/>
    <n v="0"/>
    <n v="0"/>
    <n v="0.3"/>
    <m/>
    <m/>
    <n v="0.5"/>
    <n v="0.2"/>
    <n v="0"/>
    <n v="31"/>
    <n v="0"/>
    <n v="0"/>
    <n v="31"/>
    <n v="31"/>
    <n v="9.2999999999999989"/>
    <n v="0"/>
    <n v="0"/>
    <n v="0"/>
    <n v="0"/>
    <n v="0"/>
    <n v="15.5"/>
    <n v="0"/>
    <n v="6.2"/>
    <n v="0"/>
    <n v="0"/>
    <n v="0"/>
    <n v="0"/>
    <m/>
    <n v="20"/>
    <n v="24"/>
    <s v="TL61"/>
    <s v="ToyoLi"/>
    <s v="+"/>
    <s v="NIL"/>
    <s v="NIL"/>
    <s v="NIL"/>
    <s v="NIL"/>
    <s v="NIL"/>
    <s v="NIL"/>
    <s v="NIL"/>
    <b v="0"/>
  </r>
  <r>
    <d v="2026-01-12T00:00:00"/>
    <s v="A"/>
    <x v="155"/>
    <s v="TL62"/>
    <n v="161"/>
    <n v="7900"/>
    <s v="I"/>
    <s v="N"/>
    <n v="1.8"/>
    <s v="BLACK"/>
    <s v="N00764B"/>
    <s v="ToyoLi - BLACK"/>
    <n v="26"/>
    <n v="0"/>
    <m/>
    <m/>
    <n v="0"/>
    <s v="R92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5"/>
    <n v="0"/>
    <n v="4.25"/>
    <n v="0"/>
    <s v="REFLEX BLUE"/>
    <s v="N00797B"/>
    <s v="ToyoLi - REFLEX BLUE"/>
    <n v="17"/>
    <n v="0"/>
    <m/>
    <m/>
    <n v="0"/>
    <s v="Z822"/>
    <s v="R1205"/>
    <m/>
    <m/>
    <m/>
    <m/>
    <m/>
    <m/>
    <n v="2"/>
    <n v="0"/>
    <n v="2"/>
    <n v="0"/>
    <m/>
    <n v="0"/>
    <m/>
    <n v="0"/>
    <m/>
    <n v="0"/>
    <m/>
    <n v="0"/>
    <m/>
    <n v="0"/>
    <m/>
    <n v="0"/>
    <s v="ToyoLi"/>
    <n v="18"/>
    <n v="0"/>
    <n v="7.5"/>
    <n v="0"/>
    <s v="YELLOW"/>
    <s v="J00909Y"/>
    <s v="ToyoLi - YELLOW"/>
    <n v="20"/>
    <n v="0"/>
    <m/>
    <m/>
    <n v="0"/>
    <s v="F23T"/>
    <s v="F640"/>
    <m/>
    <m/>
    <m/>
    <m/>
    <m/>
    <m/>
    <n v="10"/>
    <n v="0"/>
    <n v="5"/>
    <n v="0"/>
    <m/>
    <n v="0"/>
    <m/>
    <n v="0"/>
    <m/>
    <n v="0"/>
    <m/>
    <n v="0"/>
    <m/>
    <n v="0"/>
    <m/>
    <n v="0"/>
    <s v="ToyoLi"/>
    <n v="15"/>
    <n v="0"/>
    <n v="31.25"/>
    <n v="0"/>
    <s v="CYAN"/>
    <s v="N00764C"/>
    <s v="ToyoLi - CYAN"/>
    <n v="28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5.25"/>
    <n v="0"/>
    <s v="MAGENTA"/>
    <s v="N00764M"/>
    <s v="ToyoLi - MAGENTA"/>
    <n v="29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6.25"/>
    <n v="0"/>
    <s v="YELLOW"/>
    <s v="N00764Y"/>
    <s v="ToyoLi - YELLOW"/>
    <n v="26"/>
    <n v="0"/>
    <m/>
    <m/>
    <n v="0"/>
    <s v="RTMD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5.5"/>
    <n v="0"/>
    <s v="WHITE"/>
    <s v="N00764W"/>
    <s v="ToyoLi - WHITE"/>
    <n v="25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20"/>
    <n v="0"/>
    <n v="9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n v="2"/>
    <n v="5"/>
    <n v="1"/>
    <n v="1"/>
    <n v="2"/>
    <n v="20"/>
    <n v="0"/>
    <n v="0.3"/>
    <m/>
    <m/>
    <n v="0.5"/>
    <n v="0.2"/>
    <n v="0"/>
    <n v="72"/>
    <n v="0"/>
    <n v="0"/>
    <n v="72"/>
    <n v="72"/>
    <n v="21.599999999999998"/>
    <n v="0"/>
    <n v="0"/>
    <n v="0"/>
    <n v="0"/>
    <n v="0"/>
    <n v="36"/>
    <n v="0"/>
    <n v="14.4"/>
    <n v="0"/>
    <n v="0"/>
    <n v="0"/>
    <n v="0"/>
    <m/>
    <n v="67"/>
    <n v="150"/>
    <s v="TL62"/>
    <s v="ToyoLiToyoLiToyoLiToyoLiToyoLiToyoLiToyoLi"/>
    <s v="+"/>
    <s v="+"/>
    <s v="+"/>
    <s v="+"/>
    <s v="+"/>
    <s v="+"/>
    <s v="+"/>
    <s v="NIL"/>
    <b v="0"/>
  </r>
  <r>
    <d v="2026-01-12T00:00:00"/>
    <s v="A"/>
    <x v="156"/>
    <s v="TL63"/>
    <n v="190"/>
    <n v="9600"/>
    <s v="I"/>
    <s v="N"/>
    <n v="1.86"/>
    <s v="BLACK"/>
    <s v="B01050B"/>
    <s v="ToyoLi - BLACK"/>
    <n v="25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2.6666666666666679"/>
    <n v="0"/>
    <s v="REFLEX BLUE"/>
    <m/>
    <s v="ToyoLi - REFLEX BLUE"/>
    <m/>
    <n v="0"/>
    <m/>
    <m/>
    <n v="0"/>
    <s v="RTMD"/>
    <s v="F121"/>
    <s v="R1205"/>
    <s v="Z822"/>
    <m/>
    <m/>
    <m/>
    <m/>
    <n v="4"/>
    <n v="0"/>
    <n v="8"/>
    <n v="0"/>
    <n v="2"/>
    <n v="0"/>
    <n v="3"/>
    <n v="0"/>
    <m/>
    <n v="0"/>
    <m/>
    <n v="0"/>
    <m/>
    <n v="0"/>
    <m/>
    <n v="0"/>
    <s v="ToyoLi"/>
    <n v="24"/>
    <n v="0"/>
    <n v="6.3333333333333321"/>
    <n v="0"/>
    <s v="RED"/>
    <m/>
    <s v="ToyoLi - RED"/>
    <m/>
    <n v="0"/>
    <m/>
    <m/>
    <n v="0"/>
    <s v="F53"/>
    <s v="F121"/>
    <s v="F32"/>
    <m/>
    <m/>
    <m/>
    <m/>
    <m/>
    <n v="10"/>
    <n v="0"/>
    <n v="6"/>
    <n v="0"/>
    <n v="6"/>
    <n v="0"/>
    <m/>
    <n v="0"/>
    <m/>
    <n v="0"/>
    <m/>
    <n v="0"/>
    <m/>
    <n v="0"/>
    <m/>
    <n v="0"/>
    <s v="ToyoLi"/>
    <n v="25"/>
    <n v="0"/>
    <n v="3.6666666666666643"/>
    <n v="0"/>
    <s v="REFLEX BLUE"/>
    <s v="B01050B"/>
    <s v="ToyoLi - REFLEX BLUE"/>
    <n v="18"/>
    <n v="0"/>
    <m/>
    <m/>
    <n v="0"/>
    <s v="RTMD"/>
    <s v="R39"/>
    <m/>
    <m/>
    <m/>
    <m/>
    <m/>
    <m/>
    <n v="5"/>
    <n v="0"/>
    <n v="4"/>
    <n v="0"/>
    <m/>
    <n v="0"/>
    <m/>
    <n v="0"/>
    <m/>
    <n v="0"/>
    <m/>
    <n v="0"/>
    <m/>
    <n v="0"/>
    <m/>
    <n v="0"/>
    <s v="ToyoLi"/>
    <n v="28"/>
    <n v="0"/>
    <n v="4.3333333333333357"/>
    <n v="0"/>
    <s v="CYAN"/>
    <s v="B01050C"/>
    <s v="ToyoLi - CYAN"/>
    <n v="27"/>
    <n v="0"/>
    <m/>
    <m/>
    <n v="0"/>
    <s v="R39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4"/>
    <n v="0"/>
    <n v="10.666666666666664"/>
    <n v="0"/>
    <s v="MAGENTA"/>
    <s v="B01050M"/>
    <s v="ToyoLi - MAGENTA"/>
    <n v="27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3.6666666666666679"/>
    <n v="0"/>
    <s v="YELLOW"/>
    <s v="B01050Y"/>
    <s v="ToyoLi - YELLOW"/>
    <n v="28"/>
    <n v="0"/>
    <m/>
    <m/>
    <n v="0"/>
    <s v="F23T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39"/>
    <n v="0"/>
    <n v="15"/>
    <n v="0"/>
    <s v="WHITE"/>
    <s v="B01050W"/>
    <s v="ToyoLi - WHITE"/>
    <n v="20"/>
    <n v="0"/>
    <m/>
    <m/>
    <n v="0"/>
    <s v="F640"/>
    <s v="HSLAS"/>
    <m/>
    <m/>
    <m/>
    <m/>
    <m/>
    <m/>
    <n v="40"/>
    <n v="0"/>
    <n v="5.38"/>
    <n v="0"/>
    <m/>
    <n v="0"/>
    <m/>
    <n v="0"/>
    <m/>
    <n v="0"/>
    <m/>
    <n v="0"/>
    <m/>
    <n v="0"/>
    <m/>
    <n v="0"/>
    <s v="ToyoLi"/>
    <n v="25"/>
    <n v="0"/>
    <n v="67.046666666666653"/>
    <n v="0"/>
    <n v="2"/>
    <n v="10"/>
    <n v="5"/>
    <n v="4"/>
    <n v="2"/>
    <n v="2"/>
    <n v="12"/>
    <n v="20"/>
    <n v="0.3"/>
    <m/>
    <m/>
    <n v="0.5"/>
    <n v="0.2"/>
    <n v="0"/>
    <n v="76"/>
    <n v="0"/>
    <n v="0"/>
    <n v="76"/>
    <n v="76"/>
    <n v="22.8"/>
    <n v="0"/>
    <n v="0"/>
    <n v="0"/>
    <n v="0"/>
    <n v="0"/>
    <n v="38"/>
    <n v="0"/>
    <n v="15.200000000000001"/>
    <n v="0"/>
    <n v="0"/>
    <n v="0"/>
    <n v="0"/>
    <m/>
    <n v="112.38"/>
    <n v="113.37999999999998"/>
    <s v="TL63"/>
    <s v="ToyoLiToyoLiToyoLiToyoLiToyoLiToyoLiToyoLiToyoLi"/>
    <s v="+"/>
    <s v="+"/>
    <s v="+"/>
    <s v="+"/>
    <s v="+"/>
    <s v="+"/>
    <s v="+"/>
    <s v="+"/>
    <b v="0"/>
  </r>
  <r>
    <d v="2026-01-12T00:00:00"/>
    <s v="B"/>
    <x v="157"/>
    <s v="TL64"/>
    <n v="190"/>
    <n v="9600"/>
    <s v="I"/>
    <s v="N"/>
    <n v="1.88"/>
    <s v="BLACK"/>
    <s v="C01485B"/>
    <s v="ToyoLi - BLACK"/>
    <n v="27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9"/>
    <n v="0"/>
    <n v="5.5609756097560989"/>
    <n v="0"/>
    <s v="ORANGE"/>
    <m/>
    <s v="ToyoLi - ORANGE"/>
    <m/>
    <n v="0"/>
    <m/>
    <m/>
    <n v="0"/>
    <s v="F53"/>
    <s v="F32"/>
    <m/>
    <m/>
    <m/>
    <m/>
    <m/>
    <m/>
    <n v="12"/>
    <n v="0"/>
    <n v="4"/>
    <n v="0"/>
    <m/>
    <n v="0"/>
    <m/>
    <n v="0"/>
    <m/>
    <n v="0"/>
    <m/>
    <n v="0"/>
    <m/>
    <n v="0"/>
    <m/>
    <n v="0"/>
    <s v="ToyoLi"/>
    <n v="20"/>
    <n v="0"/>
    <n v="7.1219512195121943"/>
    <n v="0"/>
    <s v="RED"/>
    <s v="C01485R"/>
    <s v="ToyoLi - RED"/>
    <n v="25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0"/>
    <n v="6.7073170731707314"/>
    <n v="0"/>
    <s v="REFLEX BLUE"/>
    <s v="C01485B"/>
    <s v="ToyoLi - REFLEX BLUE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5.7073170731707314"/>
    <n v="0"/>
    <s v="CYAN"/>
    <s v="C01485C"/>
    <s v="ToyoLi - CYAN"/>
    <n v="27"/>
    <n v="0"/>
    <m/>
    <m/>
    <n v="0"/>
    <s v="R39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6"/>
    <n v="0"/>
    <n v="13.414634146341463"/>
    <n v="0"/>
    <s v="MAGENTA"/>
    <s v="C01485M"/>
    <s v="ToyoLi - MAGENTA"/>
    <n v="28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7.707317073170735"/>
    <n v="0"/>
    <s v="YELLOW"/>
    <s v="C01485Y"/>
    <s v="ToyoLi - YELLOW"/>
    <n v="29"/>
    <n v="0"/>
    <m/>
    <m/>
    <n v="0"/>
    <s v="F23T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7.707317073170735"/>
    <n v="0"/>
    <s v="WHITE"/>
    <s v="C01485W"/>
    <s v="ToyoLi - WHITE"/>
    <n v="25"/>
    <n v="0"/>
    <m/>
    <m/>
    <n v="0"/>
    <s v="F640"/>
    <s v="HSLAS"/>
    <m/>
    <m/>
    <m/>
    <m/>
    <m/>
    <m/>
    <n v="40"/>
    <n v="0"/>
    <n v="4.8899999999999997"/>
    <n v="0"/>
    <m/>
    <n v="0"/>
    <m/>
    <n v="0"/>
    <m/>
    <n v="0"/>
    <m/>
    <n v="0"/>
    <m/>
    <n v="0"/>
    <m/>
    <n v="0"/>
    <s v="ToyoLi"/>
    <n v="25"/>
    <n v="0"/>
    <n v="81.963170731707322"/>
    <n v="0"/>
    <n v="3"/>
    <n v="6"/>
    <n v="2"/>
    <n v="2"/>
    <n v="4"/>
    <n v="2"/>
    <n v="2"/>
    <n v="20"/>
    <n v="0.3"/>
    <m/>
    <m/>
    <n v="0.5"/>
    <n v="0.2"/>
    <n v="0"/>
    <n v="76"/>
    <n v="0"/>
    <n v="0"/>
    <n v="76"/>
    <n v="76"/>
    <n v="22.8"/>
    <n v="0"/>
    <n v="0"/>
    <n v="0"/>
    <n v="0"/>
    <n v="0"/>
    <n v="38"/>
    <n v="0"/>
    <n v="15.200000000000001"/>
    <n v="0"/>
    <n v="0"/>
    <n v="0"/>
    <n v="0"/>
    <m/>
    <n v="72.89"/>
    <n v="135.89000000000001"/>
    <s v="TL64"/>
    <s v="ToyoLiToyoLiToyoLiToyoLiToyoLiToyoLiToyoLiToyoLi"/>
    <s v="+"/>
    <s v="+"/>
    <s v="+"/>
    <s v="+"/>
    <s v="+"/>
    <s v="+"/>
    <s v="+"/>
    <s v="+"/>
    <b v="0"/>
  </r>
  <r>
    <d v="2026-01-12T00:00:00"/>
    <s v="B"/>
    <x v="158"/>
    <s v="TL65"/>
    <n v="61"/>
    <n v="3900"/>
    <s v="I"/>
    <s v="N"/>
    <n v="1.89"/>
    <s v="BLACK"/>
    <s v="C01487B"/>
    <s v="ToyoLi - BLACK"/>
    <n v="29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9"/>
    <n v="0"/>
    <n v="4.4799999999999969"/>
    <n v="0"/>
    <s v="REFLEX BLUE"/>
    <s v="C01485P"/>
    <s v="ToyoLi - REFLEX BLUE"/>
    <n v="24"/>
    <n v="0"/>
    <m/>
    <m/>
    <n v="0"/>
    <s v="Z822"/>
    <s v="F121"/>
    <m/>
    <m/>
    <m/>
    <m/>
    <m/>
    <m/>
    <n v="5"/>
    <n v="0"/>
    <n v="6"/>
    <n v="0"/>
    <m/>
    <n v="0"/>
    <m/>
    <n v="0"/>
    <m/>
    <n v="0"/>
    <m/>
    <n v="0"/>
    <m/>
    <n v="0"/>
    <m/>
    <n v="0"/>
    <s v="ToyoLi"/>
    <n v="36"/>
    <n v="0"/>
    <n v="2.7199999999999989"/>
    <n v="0"/>
    <s v="REFLEX BLUE"/>
    <s v="C01487B"/>
    <s v="ToyoLi - REFLEX BLUE"/>
    <n v="26"/>
    <n v="0"/>
    <m/>
    <m/>
    <n v="0"/>
    <s v="R1205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9"/>
    <n v="0"/>
    <n v="3.7199999999999989"/>
    <n v="0"/>
    <s v="CYAN"/>
    <s v="C01487C"/>
    <s v="ToyoLi - CYAN"/>
    <n v="26"/>
    <n v="0"/>
    <m/>
    <m/>
    <n v="0"/>
    <s v="R39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6"/>
    <n v="0"/>
    <n v="7.7199999999999989"/>
    <n v="0"/>
    <s v="RED"/>
    <s v="C01487R"/>
    <s v="ToyoLi - RED"/>
    <n v="22"/>
    <n v="0"/>
    <m/>
    <m/>
    <n v="0"/>
    <s v="F3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4"/>
    <n v="0"/>
    <n v="3.4800000000000004"/>
    <n v="0"/>
    <s v="YELLOW"/>
    <s v="C01487Y"/>
    <s v="ToyoLi - YELLOW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0"/>
    <n v="5.48"/>
    <n v="0"/>
    <s v="WHITE"/>
    <s v="C01487W"/>
    <s v="ToyoLi - WHITE"/>
    <n v="25"/>
    <n v="0"/>
    <m/>
    <m/>
    <n v="0"/>
    <s v="F640"/>
    <s v="HSLAS"/>
    <m/>
    <m/>
    <m/>
    <m/>
    <m/>
    <m/>
    <n v="20"/>
    <n v="0"/>
    <n v="3.99"/>
    <n v="0"/>
    <m/>
    <n v="0"/>
    <m/>
    <n v="0"/>
    <m/>
    <n v="0"/>
    <m/>
    <n v="0"/>
    <m/>
    <n v="0"/>
    <m/>
    <n v="0"/>
    <s v="ToyoLi"/>
    <n v="25"/>
    <n v="0"/>
    <n v="36.3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3"/>
    <n v="3"/>
    <n v="2"/>
    <n v="2"/>
    <n v="10"/>
    <n v="0"/>
    <n v="0.3"/>
    <m/>
    <m/>
    <n v="0.5"/>
    <n v="0.2"/>
    <n v="0"/>
    <n v="31"/>
    <n v="0"/>
    <n v="0"/>
    <n v="31"/>
    <n v="31"/>
    <n v="9.2999999999999989"/>
    <n v="0"/>
    <n v="0"/>
    <n v="0"/>
    <n v="0"/>
    <n v="0"/>
    <n v="15.5"/>
    <n v="0"/>
    <n v="6.2"/>
    <n v="0"/>
    <n v="0"/>
    <n v="0"/>
    <n v="0"/>
    <m/>
    <n v="46.99"/>
    <n v="63.989999999999995"/>
    <s v="TL65"/>
    <s v="ToyoLiToyoLiToyoLiToyoLiToyoLiToyoLiToyoLi"/>
    <s v="+"/>
    <s v="+"/>
    <s v="+"/>
    <s v="+"/>
    <s v="+"/>
    <s v="+"/>
    <s v="+"/>
    <s v="NIL"/>
    <b v="0"/>
  </r>
  <r>
    <d v="2026-01-12T00:00:00"/>
    <s v="B"/>
    <x v="159"/>
    <s v="TL66"/>
    <n v="58"/>
    <n v="3700"/>
    <s v="I"/>
    <s v="N"/>
    <n v="1.85"/>
    <s v="BLACK"/>
    <s v="C01486B"/>
    <s v="ToyoLi - BLACK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5.6363636363636367"/>
    <n v="0"/>
    <s v="ORANGE"/>
    <s v="C01487O"/>
    <s v="ToyoLi - ORANGE"/>
    <n v="2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19"/>
    <n v="0"/>
    <n v="3.6363636363636367"/>
    <n v="0"/>
    <s v="RED"/>
    <s v="C01486R"/>
    <s v="ToyoLi - RED"/>
    <n v="24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0"/>
    <n v="4.6363636363636367"/>
    <n v="0"/>
    <s v="REFLEX BLUE"/>
    <s v="C01486B"/>
    <s v="ToyoLi - REFLEX BLUE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0"/>
    <n v="7.6363636363636367"/>
    <n v="0"/>
    <s v="CYAN"/>
    <s v="C01486C"/>
    <s v="ToyoLi - CYAN"/>
    <n v="26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0"/>
    <n v="8.6363636363636367"/>
    <n v="0"/>
    <s v="YELLOW"/>
    <s v="C01486Y"/>
    <s v="ToyoLi - YELLOW"/>
    <n v="25"/>
    <n v="0"/>
    <m/>
    <m/>
    <n v="0"/>
    <s v="F23T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7"/>
    <n v="0"/>
    <n v="4.6363636363636367"/>
    <n v="0"/>
    <s v="WHITE"/>
    <s v="C01486W"/>
    <s v="ToyoLi - WHITE"/>
    <n v="25"/>
    <n v="0"/>
    <m/>
    <m/>
    <n v="0"/>
    <s v="F640"/>
    <s v="HSLAS"/>
    <m/>
    <m/>
    <m/>
    <m/>
    <m/>
    <m/>
    <n v="20"/>
    <n v="0"/>
    <n v="3.39"/>
    <n v="0"/>
    <m/>
    <n v="0"/>
    <m/>
    <n v="0"/>
    <m/>
    <n v="0"/>
    <m/>
    <n v="0"/>
    <m/>
    <n v="0"/>
    <m/>
    <n v="0"/>
    <s v="ToyoLi"/>
    <n v="25"/>
    <n v="0"/>
    <n v="36.5718181818181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2"/>
    <n v="2"/>
    <n v="2"/>
    <n v="10"/>
    <n v="0"/>
    <n v="0.3"/>
    <m/>
    <m/>
    <n v="0.5"/>
    <n v="0.2"/>
    <n v="0"/>
    <n v="29"/>
    <n v="0"/>
    <n v="0"/>
    <n v="29"/>
    <n v="29"/>
    <n v="8.6999999999999993"/>
    <n v="0"/>
    <n v="0"/>
    <n v="0"/>
    <n v="0"/>
    <n v="0"/>
    <n v="14.5"/>
    <n v="0"/>
    <n v="5.8000000000000007"/>
    <n v="0"/>
    <n v="0"/>
    <n v="0"/>
    <n v="0"/>
    <m/>
    <n v="27.39"/>
    <n v="71.39"/>
    <s v="TL66"/>
    <s v="ToyoLiToyoLiToyoLiToyoLiToyoLiToyoLiToyoLi"/>
    <s v="+"/>
    <s v="+"/>
    <s v="+"/>
    <s v="+"/>
    <s v="+"/>
    <s v="+"/>
    <s v="+"/>
    <s v="NIL"/>
    <b v="0"/>
  </r>
  <r>
    <d v="2026-01-12T00:00:00"/>
    <s v="B"/>
    <x v="160"/>
    <s v="TL67"/>
    <n v="141"/>
    <n v="9200"/>
    <s v="I"/>
    <s v="N"/>
    <n v="2.4"/>
    <s v="BLACK"/>
    <s v="C01488B"/>
    <s v="ToyoLi - BLACK"/>
    <n v="26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0"/>
    <n v="7.0399999999999991"/>
    <n v="0"/>
    <s v="REFLEX BLUE"/>
    <s v="C01488B"/>
    <s v="ToyoLi - REFLEX BLUE"/>
    <n v="25"/>
    <n v="0"/>
    <m/>
    <m/>
    <n v="0"/>
    <s v="R1205"/>
    <s v="Z822"/>
    <m/>
    <m/>
    <m/>
    <m/>
    <m/>
    <m/>
    <n v="4"/>
    <n v="0"/>
    <n v="3"/>
    <n v="0"/>
    <m/>
    <n v="0"/>
    <m/>
    <n v="0"/>
    <m/>
    <n v="0"/>
    <m/>
    <n v="0"/>
    <m/>
    <n v="0"/>
    <m/>
    <n v="0"/>
    <s v="ToyoLi"/>
    <n v="18"/>
    <n v="0"/>
    <n v="19.04"/>
    <n v="0"/>
    <s v="REFLEX BLUE"/>
    <s v="C01488P"/>
    <s v="ToyoLi - REFLEX BLUE"/>
    <n v="15"/>
    <n v="0"/>
    <m/>
    <m/>
    <n v="0"/>
    <s v="F121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17"/>
    <n v="0"/>
    <n v="19.119999999999997"/>
    <n v="0"/>
    <s v="RED"/>
    <s v="C01488R"/>
    <s v="ToyoLi - RED"/>
    <n v="15"/>
    <n v="0"/>
    <m/>
    <m/>
    <n v="0"/>
    <s v="F121"/>
    <m/>
    <m/>
    <m/>
    <m/>
    <m/>
    <m/>
    <m/>
    <n v="12"/>
    <n v="0"/>
    <m/>
    <n v="0"/>
    <m/>
    <n v="0"/>
    <m/>
    <n v="0"/>
    <m/>
    <n v="0"/>
    <m/>
    <n v="0"/>
    <m/>
    <n v="0"/>
    <m/>
    <n v="0"/>
    <s v="ToyoLi"/>
    <n v="17"/>
    <n v="0"/>
    <n v="22.6"/>
    <n v="0"/>
    <s v="WHITE"/>
    <s v="C01488W"/>
    <s v="ToyoLi - WHITE"/>
    <n v="25"/>
    <n v="0"/>
    <m/>
    <m/>
    <n v="0"/>
    <s v="F640"/>
    <m/>
    <m/>
    <m/>
    <m/>
    <m/>
    <m/>
    <m/>
    <n v="20"/>
    <n v="0"/>
    <m/>
    <n v="0"/>
    <m/>
    <n v="0"/>
    <m/>
    <n v="0"/>
    <m/>
    <n v="0"/>
    <m/>
    <n v="0"/>
    <m/>
    <n v="0"/>
    <m/>
    <n v="0"/>
    <s v="ToyoLi"/>
    <n v="20"/>
    <n v="0"/>
    <n v="50.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6"/>
    <n v="5"/>
    <n v="10"/>
    <n v="0"/>
    <n v="0"/>
    <n v="0"/>
    <n v="0.3"/>
    <m/>
    <m/>
    <n v="0.5"/>
    <n v="0.2"/>
    <n v="0"/>
    <n v="63"/>
    <n v="0"/>
    <n v="0"/>
    <n v="63"/>
    <n v="63"/>
    <n v="18.899999999999999"/>
    <n v="0"/>
    <n v="0"/>
    <n v="0"/>
    <n v="0"/>
    <n v="0"/>
    <n v="31.5"/>
    <n v="0"/>
    <n v="12.600000000000001"/>
    <n v="0"/>
    <n v="0"/>
    <n v="0"/>
    <n v="0"/>
    <m/>
    <n v="45"/>
    <n v="118"/>
    <s v="TL67"/>
    <s v="ToyoLiToyoLiToyoLiToyoLiToyoLi"/>
    <s v="+"/>
    <s v="+"/>
    <s v="+"/>
    <s v="+"/>
    <s v="+"/>
    <s v="NIL"/>
    <s v="NIL"/>
    <s v="NIL"/>
    <b v="0"/>
  </r>
  <r>
    <d v="2026-01-12T00:00:00"/>
    <s v="B"/>
    <x v="161"/>
    <s v="TL68"/>
    <n v="626"/>
    <n v="40800"/>
    <s v="I"/>
    <s v="N"/>
    <n v="2.2000000000000002"/>
    <s v="BLACK"/>
    <s v="J00975B"/>
    <s v="ToyoLi - BLACK"/>
    <n v="24"/>
    <n v="0"/>
    <m/>
    <m/>
    <n v="0"/>
    <s v="R92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6"/>
    <n v="0"/>
    <n v="5.6000000000000014"/>
    <n v="0"/>
    <s v="REFLEX BLUE"/>
    <s v="J00975B"/>
    <s v="ToyoLi - REFLEX BLUE"/>
    <n v="16"/>
    <n v="0"/>
    <m/>
    <m/>
    <n v="0"/>
    <s v="R1205"/>
    <s v="R39"/>
    <m/>
    <m/>
    <m/>
    <m/>
    <m/>
    <m/>
    <n v="2"/>
    <n v="0"/>
    <n v="15"/>
    <n v="0"/>
    <m/>
    <n v="0"/>
    <m/>
    <n v="0"/>
    <m/>
    <n v="0"/>
    <m/>
    <n v="0"/>
    <m/>
    <n v="0"/>
    <m/>
    <n v="0"/>
    <s v="ToyoLi"/>
    <n v="20"/>
    <n v="0"/>
    <n v="27.4"/>
    <n v="0"/>
    <s v="WHITE"/>
    <s v="J00975W"/>
    <s v="ToyoLi - WHITE"/>
    <n v="20"/>
    <n v="0"/>
    <m/>
    <m/>
    <n v="0"/>
    <s v="F640"/>
    <m/>
    <m/>
    <m/>
    <m/>
    <m/>
    <m/>
    <m/>
    <n v="160"/>
    <n v="0"/>
    <m/>
    <n v="0"/>
    <m/>
    <n v="0"/>
    <m/>
    <n v="0"/>
    <m/>
    <n v="0"/>
    <m/>
    <n v="0"/>
    <m/>
    <n v="0"/>
    <m/>
    <n v="0"/>
    <s v="ToyoLi"/>
    <n v="30"/>
    <n v="0"/>
    <n v="31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8"/>
    <n v="90"/>
    <n v="0"/>
    <n v="0"/>
    <n v="0"/>
    <n v="0"/>
    <n v="0"/>
    <n v="0.3"/>
    <m/>
    <m/>
    <n v="0.5"/>
    <n v="0.2"/>
    <n v="0"/>
    <n v="180"/>
    <n v="0"/>
    <n v="0"/>
    <n v="180"/>
    <n v="180"/>
    <n v="54"/>
    <n v="0"/>
    <n v="0"/>
    <n v="0"/>
    <n v="0"/>
    <n v="0"/>
    <n v="90"/>
    <n v="0"/>
    <n v="36"/>
    <n v="0"/>
    <n v="0"/>
    <n v="0"/>
    <n v="0"/>
    <m/>
    <n v="181"/>
    <n v="345"/>
    <s v="TL68"/>
    <s v="ToyoLiToyoLiToyoLi"/>
    <s v="+"/>
    <s v="+"/>
    <s v="+"/>
    <s v="NIL"/>
    <s v="NIL"/>
    <s v="NIL"/>
    <s v="NIL"/>
    <s v="NIL"/>
    <b v="0"/>
  </r>
  <r>
    <d v="2026-01-12T00:00:00"/>
    <s v="B"/>
    <x v="162"/>
    <s v="TL69"/>
    <n v="373"/>
    <n v="24300"/>
    <s v="I"/>
    <s v="N"/>
    <n v="2"/>
    <s v="BLACK"/>
    <s v="N00800G"/>
    <s v="ToyoLi - BLACK"/>
    <n v="10"/>
    <n v="0"/>
    <s v="G00351G"/>
    <n v="17"/>
    <n v="0"/>
    <s v="RTMD"/>
    <s v="F121"/>
    <m/>
    <m/>
    <m/>
    <m/>
    <m/>
    <m/>
    <n v="5"/>
    <n v="0"/>
    <n v="0.2"/>
    <n v="0"/>
    <m/>
    <n v="0"/>
    <m/>
    <n v="0"/>
    <m/>
    <n v="0"/>
    <m/>
    <n v="0"/>
    <m/>
    <n v="0"/>
    <m/>
    <n v="0"/>
    <s v="ToyoLi"/>
    <n v="25"/>
    <n v="0"/>
    <n v="14.295238095238098"/>
    <n v="0"/>
    <s v="WHITE"/>
    <s v="J00977W"/>
    <s v="ToyoLi - WHITE"/>
    <n v="30"/>
    <n v="0"/>
    <m/>
    <m/>
    <n v="0"/>
    <s v="F640"/>
    <m/>
    <m/>
    <m/>
    <m/>
    <m/>
    <m/>
    <m/>
    <n v="100"/>
    <n v="0"/>
    <m/>
    <n v="0"/>
    <m/>
    <n v="0"/>
    <m/>
    <n v="0"/>
    <m/>
    <n v="0"/>
    <m/>
    <n v="0"/>
    <m/>
    <n v="0"/>
    <m/>
    <n v="0"/>
    <s v="ToyoLi"/>
    <n v="30"/>
    <n v="0"/>
    <n v="241.9047619047619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60"/>
    <n v="0"/>
    <n v="0"/>
    <n v="0"/>
    <n v="0"/>
    <n v="0"/>
    <n v="0"/>
    <n v="0.3"/>
    <m/>
    <m/>
    <n v="0.5"/>
    <n v="0.2"/>
    <n v="0"/>
    <n v="149"/>
    <n v="0"/>
    <n v="0"/>
    <n v="149"/>
    <n v="149"/>
    <n v="44.699999999999996"/>
    <n v="0"/>
    <n v="0"/>
    <n v="0"/>
    <n v="0"/>
    <n v="0"/>
    <n v="74.5"/>
    <n v="0"/>
    <n v="29.8"/>
    <n v="0"/>
    <n v="0"/>
    <n v="0"/>
    <n v="0"/>
    <m/>
    <n v="105.2"/>
    <n v="256.20000000000005"/>
    <s v="TL69"/>
    <s v="ToyoLiToyoLi"/>
    <s v="+"/>
    <s v="+"/>
    <s v="NIL"/>
    <s v="NIL"/>
    <s v="NIL"/>
    <s v="NIL"/>
    <s v="NIL"/>
    <s v="NIL"/>
    <b v="0"/>
  </r>
  <r>
    <d v="2026-01-13T00:00:00"/>
    <s v="A"/>
    <x v="163"/>
    <s v="TL70"/>
    <n v="126"/>
    <n v="8200"/>
    <s v="I"/>
    <s v="N"/>
    <n v="2"/>
    <s v="BLACK"/>
    <s v="J00977B"/>
    <s v="ToyoLi - BLACK"/>
    <n v="26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7"/>
    <n v="0"/>
    <n v="8.2999999999999972"/>
    <n v="0"/>
    <s v="RED"/>
    <s v="J00975R"/>
    <s v="ToyoLi - RED"/>
    <n v="17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2"/>
    <n v="0"/>
    <n v="7.4499999999999993"/>
    <n v="0"/>
    <s v="WHITE"/>
    <s v="J00979W"/>
    <s v="ToyoLi - WHITE"/>
    <n v="30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25"/>
    <n v="0"/>
    <n v="92.2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15"/>
    <n v="0"/>
    <n v="0"/>
    <n v="0"/>
    <n v="0"/>
    <n v="0"/>
    <n v="0.3"/>
    <m/>
    <m/>
    <n v="0.5"/>
    <n v="0.2"/>
    <n v="0"/>
    <n v="63"/>
    <n v="0"/>
    <n v="0"/>
    <n v="63"/>
    <n v="63"/>
    <n v="18.899999999999999"/>
    <n v="0"/>
    <n v="0"/>
    <n v="0"/>
    <n v="0"/>
    <n v="0"/>
    <n v="31.5"/>
    <n v="0"/>
    <n v="12.600000000000001"/>
    <n v="0"/>
    <n v="0"/>
    <n v="0"/>
    <n v="0"/>
    <m/>
    <n v="46"/>
    <n v="108"/>
    <s v="TL70"/>
    <s v="ToyoLiToyoLiToyoLi"/>
    <s v="+"/>
    <s v="+"/>
    <s v="+"/>
    <s v="NIL"/>
    <s v="NIL"/>
    <s v="NIL"/>
    <s v="NIL"/>
    <s v="NIL"/>
    <b v="0"/>
  </r>
  <r>
    <d v="2026-01-13T00:00:00"/>
    <s v="A"/>
    <x v="164"/>
    <s v="TL71"/>
    <n v="372"/>
    <n v="23500"/>
    <s v="I"/>
    <s v="N"/>
    <n v="2.1"/>
    <s v="BLACK"/>
    <s v="J00986B"/>
    <s v="ToyoLi - BLACK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0"/>
    <n v="6.1935483870967758"/>
    <n v="0"/>
    <s v="GREEN"/>
    <m/>
    <s v="ToyoLi - GREEN"/>
    <m/>
    <n v="0"/>
    <m/>
    <m/>
    <n v="0"/>
    <s v="R79"/>
    <s v="F23T"/>
    <s v="RTMD"/>
    <m/>
    <m/>
    <m/>
    <m/>
    <m/>
    <n v="20"/>
    <n v="0"/>
    <n v="10"/>
    <n v="0"/>
    <n v="20"/>
    <n v="0"/>
    <m/>
    <n v="0"/>
    <m/>
    <n v="0"/>
    <m/>
    <n v="0"/>
    <m/>
    <n v="0"/>
    <m/>
    <n v="0"/>
    <s v="ToyoLi"/>
    <n v="30"/>
    <n v="0"/>
    <n v="61.935483870967744"/>
    <n v="0"/>
    <s v="WHITE"/>
    <s v="J00986W"/>
    <s v="ToyoLi - WHITE"/>
    <n v="25"/>
    <n v="0"/>
    <m/>
    <m/>
    <n v="0"/>
    <s v="F640"/>
    <m/>
    <m/>
    <m/>
    <m/>
    <m/>
    <m/>
    <m/>
    <n v="110"/>
    <n v="0"/>
    <m/>
    <n v="0"/>
    <m/>
    <n v="0"/>
    <m/>
    <n v="0"/>
    <m/>
    <n v="0"/>
    <m/>
    <n v="0"/>
    <m/>
    <n v="0"/>
    <m/>
    <n v="0"/>
    <s v="ToyoLi"/>
    <n v="28"/>
    <n v="0"/>
    <n v="190.8709677419354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0"/>
    <n v="40"/>
    <n v="0"/>
    <n v="0"/>
    <n v="0"/>
    <n v="0"/>
    <n v="0"/>
    <n v="0.3"/>
    <m/>
    <m/>
    <n v="0.5"/>
    <n v="0.2"/>
    <n v="0"/>
    <n v="130"/>
    <n v="0"/>
    <n v="0"/>
    <n v="130"/>
    <n v="130"/>
    <n v="39"/>
    <n v="0"/>
    <n v="0"/>
    <n v="0"/>
    <n v="0"/>
    <n v="0"/>
    <n v="65"/>
    <n v="0"/>
    <n v="26"/>
    <n v="0"/>
    <n v="0"/>
    <n v="0"/>
    <n v="0"/>
    <m/>
    <n v="160"/>
    <n v="259"/>
    <s v="TL71"/>
    <s v="ToyoLiToyoLiToyoLi"/>
    <s v="+"/>
    <s v="+"/>
    <s v="+"/>
    <s v="NIL"/>
    <s v="NIL"/>
    <s v="NIL"/>
    <s v="NIL"/>
    <s v="NIL"/>
    <b v="0"/>
  </r>
  <r>
    <d v="2026-01-13T00:00:00"/>
    <s v="A"/>
    <x v="165"/>
    <s v="TL72"/>
    <n v="501"/>
    <n v="31700"/>
    <s v="I"/>
    <s v="N"/>
    <n v="2.2000000000000002"/>
    <s v="BLACK"/>
    <s v="J00980B"/>
    <s v="ToyoLi - BLACK"/>
    <n v="25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4.3653846153846168"/>
    <n v="0"/>
    <s v="GREEN"/>
    <s v="J00980G"/>
    <s v="ToyoLi - GREEN"/>
    <n v="30"/>
    <n v="0"/>
    <m/>
    <m/>
    <n v="0"/>
    <s v="R79"/>
    <s v="RTMD"/>
    <s v="F23T"/>
    <m/>
    <m/>
    <m/>
    <m/>
    <m/>
    <n v="20"/>
    <n v="0"/>
    <n v="15"/>
    <n v="0"/>
    <n v="9"/>
    <n v="0"/>
    <m/>
    <n v="0"/>
    <m/>
    <n v="0"/>
    <m/>
    <n v="0"/>
    <m/>
    <n v="0"/>
    <m/>
    <n v="0"/>
    <s v="ToyoLi"/>
    <n v="25"/>
    <n v="0"/>
    <n v="77.605769230769226"/>
    <n v="0"/>
    <s v="WHITE"/>
    <s v="J00980W"/>
    <s v="ToyoLi - WHITE"/>
    <n v="28"/>
    <n v="0"/>
    <m/>
    <m/>
    <n v="0"/>
    <s v="F640"/>
    <m/>
    <m/>
    <m/>
    <m/>
    <m/>
    <m/>
    <m/>
    <n v="140"/>
    <n v="0"/>
    <m/>
    <n v="0"/>
    <m/>
    <n v="0"/>
    <m/>
    <n v="0"/>
    <m/>
    <n v="0"/>
    <m/>
    <n v="0"/>
    <m/>
    <n v="0"/>
    <m/>
    <n v="0"/>
    <s v="ToyoLi"/>
    <n v="35"/>
    <n v="0"/>
    <n v="276.0288461538461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7"/>
    <n v="85"/>
    <n v="0"/>
    <n v="0"/>
    <n v="0"/>
    <n v="0"/>
    <n v="0"/>
    <n v="0.3"/>
    <m/>
    <m/>
    <n v="0.5"/>
    <n v="0.2"/>
    <n v="0"/>
    <n v="175"/>
    <n v="0"/>
    <n v="0"/>
    <n v="175"/>
    <n v="175"/>
    <n v="52.5"/>
    <n v="0"/>
    <n v="0"/>
    <n v="0"/>
    <n v="0"/>
    <n v="0"/>
    <n v="87.5"/>
    <n v="0"/>
    <n v="35"/>
    <n v="0"/>
    <n v="0"/>
    <n v="0"/>
    <n v="0"/>
    <m/>
    <n v="186"/>
    <n v="358"/>
    <s v="TL72"/>
    <s v="ToyoLiToyoLiToyoLi"/>
    <s v="+"/>
    <s v="+"/>
    <s v="+"/>
    <s v="NIL"/>
    <s v="NIL"/>
    <s v="NIL"/>
    <s v="NIL"/>
    <s v="NIL"/>
    <b v="0"/>
  </r>
  <r>
    <d v="2026-01-13T00:00:00"/>
    <s v="A"/>
    <x v="166"/>
    <s v="TL73"/>
    <n v="146"/>
    <n v="9200"/>
    <s v="I"/>
    <s v="N"/>
    <n v="2.1"/>
    <s v="BLACK"/>
    <s v="J00982B"/>
    <s v="ToyoLi - BLACK"/>
    <n v="26"/>
    <n v="0"/>
    <m/>
    <m/>
    <n v="0"/>
    <s v="R92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5"/>
    <n v="0"/>
    <n v="4.1886792452830193"/>
    <n v="0"/>
    <s v="GREEN"/>
    <s v="J00982G"/>
    <s v="ToyoLi - GREEN"/>
    <n v="25"/>
    <n v="0"/>
    <m/>
    <m/>
    <n v="0"/>
    <s v="R79"/>
    <s v="RTMD"/>
    <m/>
    <m/>
    <m/>
    <m/>
    <m/>
    <m/>
    <n v="1"/>
    <n v="0"/>
    <n v="2"/>
    <n v="0"/>
    <m/>
    <n v="0"/>
    <m/>
    <n v="0"/>
    <m/>
    <n v="0"/>
    <m/>
    <n v="0"/>
    <m/>
    <n v="0"/>
    <m/>
    <n v="0"/>
    <s v="ToyoLi"/>
    <n v="25"/>
    <n v="0"/>
    <n v="4.0943396226415096"/>
    <n v="0"/>
    <s v="YELLOW"/>
    <s v="J00937Y"/>
    <s v="ToyoLi - YELLOW"/>
    <n v="18"/>
    <n v="0"/>
    <s v="J00908Y/B01050Y"/>
    <n v="38"/>
    <n v="0"/>
    <s v="F23T"/>
    <s v="F640"/>
    <s v="F53"/>
    <m/>
    <m/>
    <m/>
    <m/>
    <m/>
    <n v="5"/>
    <n v="0"/>
    <n v="10"/>
    <n v="0"/>
    <n v="0.5"/>
    <n v="0"/>
    <m/>
    <n v="0"/>
    <m/>
    <n v="0"/>
    <m/>
    <n v="0"/>
    <m/>
    <n v="0"/>
    <m/>
    <n v="0"/>
    <s v="ToyoLi"/>
    <n v="30"/>
    <n v="0"/>
    <n v="52.443396226415089"/>
    <n v="0"/>
    <s v="WHITE"/>
    <s v="J00982W"/>
    <s v="ToyoLi - WHITE"/>
    <n v="35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25"/>
    <n v="0"/>
    <n v="83.77358490566038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n v="0.5"/>
    <n v="5"/>
    <n v="20"/>
    <n v="0"/>
    <n v="0"/>
    <n v="0"/>
    <n v="0"/>
    <n v="0.3"/>
    <m/>
    <m/>
    <n v="0.5"/>
    <n v="0.2"/>
    <n v="0"/>
    <n v="58"/>
    <n v="0"/>
    <n v="0"/>
    <n v="58"/>
    <n v="58"/>
    <n v="17.399999999999999"/>
    <n v="0"/>
    <n v="0"/>
    <n v="0"/>
    <n v="0"/>
    <n v="0"/>
    <n v="29"/>
    <n v="0"/>
    <n v="11.600000000000001"/>
    <n v="0"/>
    <n v="0"/>
    <n v="0"/>
    <n v="0"/>
    <m/>
    <n v="49.5"/>
    <n v="144.5"/>
    <s v="TL73"/>
    <s v="ToyoLiToyoLiToyoLiToyoLi"/>
    <s v="+"/>
    <s v="+"/>
    <s v="+"/>
    <s v="+"/>
    <s v="NIL"/>
    <s v="NIL"/>
    <s v="NIL"/>
    <s v="NIL"/>
    <b v="0"/>
  </r>
  <r>
    <d v="2026-01-13T00:00:00"/>
    <s v="A"/>
    <x v="167"/>
    <s v="TL74"/>
    <n v="125"/>
    <n v="7900"/>
    <s v="I"/>
    <s v="N"/>
    <n v="2.4"/>
    <s v="BLACK"/>
    <s v="J00983B"/>
    <s v="ToyoLi - BLACK"/>
    <n v="25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3"/>
    <n v="0"/>
    <n v="7.125"/>
    <n v="0"/>
    <s v="GREEN"/>
    <s v="J00983G"/>
    <s v="ToyoLi - GREEN"/>
    <n v="25"/>
    <n v="0"/>
    <m/>
    <m/>
    <n v="0"/>
    <s v="R79"/>
    <s v="RTMD"/>
    <s v="F23T"/>
    <m/>
    <m/>
    <m/>
    <m/>
    <m/>
    <n v="3"/>
    <n v="0"/>
    <n v="2"/>
    <n v="0"/>
    <n v="1"/>
    <n v="0"/>
    <m/>
    <n v="0"/>
    <m/>
    <n v="0"/>
    <m/>
    <n v="0"/>
    <m/>
    <n v="0"/>
    <m/>
    <n v="0"/>
    <s v="ToyoLi"/>
    <n v="27"/>
    <n v="0"/>
    <n v="10.25"/>
    <n v="0"/>
    <s v="YELLOW"/>
    <s v="J00983Y"/>
    <s v="ToyoLi - YELLOW"/>
    <n v="30"/>
    <n v="0"/>
    <m/>
    <m/>
    <n v="0"/>
    <s v="F640"/>
    <s v="F23T"/>
    <m/>
    <m/>
    <m/>
    <m/>
    <m/>
    <m/>
    <n v="5"/>
    <n v="0"/>
    <n v="2"/>
    <n v="0"/>
    <m/>
    <n v="0"/>
    <m/>
    <n v="0"/>
    <m/>
    <n v="0"/>
    <m/>
    <n v="0"/>
    <m/>
    <n v="0"/>
    <m/>
    <n v="0"/>
    <s v="ToyoLi"/>
    <n v="33"/>
    <n v="0"/>
    <n v="13.375"/>
    <n v="0"/>
    <s v="WHITE"/>
    <s v="J00983W"/>
    <s v="ToyoLi - WHITE"/>
    <n v="25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20"/>
    <n v="0"/>
    <n v="66.2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n v="2"/>
    <n v="3"/>
    <n v="10"/>
    <n v="0"/>
    <n v="0"/>
    <n v="0"/>
    <n v="0"/>
    <n v="0.3"/>
    <m/>
    <m/>
    <n v="0.5"/>
    <n v="0.2"/>
    <n v="0"/>
    <n v="50"/>
    <n v="0"/>
    <n v="0"/>
    <n v="50"/>
    <n v="50"/>
    <n v="15"/>
    <n v="0"/>
    <n v="0"/>
    <n v="0"/>
    <n v="0"/>
    <n v="0"/>
    <n v="25"/>
    <n v="0"/>
    <n v="10"/>
    <n v="0"/>
    <n v="0"/>
    <n v="0"/>
    <n v="0"/>
    <m/>
    <n v="45"/>
    <n v="97"/>
    <s v="TL74"/>
    <s v="ToyoLiToyoLiToyoLiToyoLi"/>
    <s v="+"/>
    <s v="+"/>
    <s v="+"/>
    <s v="+"/>
    <s v="NIL"/>
    <s v="NIL"/>
    <s v="NIL"/>
    <s v="NIL"/>
    <b v="0"/>
  </r>
  <r>
    <d v="2026-01-13T00:00:00"/>
    <s v="A"/>
    <x v="168"/>
    <s v="TL75"/>
    <n v="1687"/>
    <n v="137000"/>
    <s v="I"/>
    <s v="N"/>
    <n v="1.8"/>
    <s v="BLACK"/>
    <m/>
    <s v="ToyoLi - BLACK"/>
    <m/>
    <n v="0"/>
    <m/>
    <m/>
    <n v="0"/>
    <s v="R92"/>
    <s v="RTMD"/>
    <m/>
    <m/>
    <m/>
    <m/>
    <m/>
    <m/>
    <n v="30"/>
    <n v="0"/>
    <n v="8"/>
    <n v="0"/>
    <m/>
    <n v="0"/>
    <m/>
    <n v="0"/>
    <m/>
    <n v="0"/>
    <m/>
    <n v="0"/>
    <m/>
    <n v="0"/>
    <m/>
    <n v="0"/>
    <s v="ToyoLi"/>
    <n v="55"/>
    <n v="0"/>
    <n v="31.360655737704917"/>
    <n v="0"/>
    <s v="BLACK"/>
    <s v="J00985B"/>
    <s v="ToyoLi - BLACK"/>
    <n v="23"/>
    <n v="0"/>
    <m/>
    <m/>
    <n v="0"/>
    <s v="R92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20"/>
    <n v="0"/>
    <n v="65.885245901639337"/>
    <n v="0"/>
    <s v="RED"/>
    <s v="J00975R"/>
    <s v="ToyoLi - RED"/>
    <n v="17"/>
    <n v="0"/>
    <s v="N00791R/C01488R"/>
    <n v="40"/>
    <n v="0"/>
    <s v="F121"/>
    <s v="F53"/>
    <m/>
    <m/>
    <m/>
    <m/>
    <m/>
    <m/>
    <n v="80"/>
    <n v="0"/>
    <n v="60"/>
    <n v="0"/>
    <m/>
    <n v="0"/>
    <m/>
    <n v="0"/>
    <m/>
    <n v="0"/>
    <m/>
    <n v="0"/>
    <m/>
    <n v="0"/>
    <m/>
    <n v="0"/>
    <s v="ToyoLi"/>
    <n v="30"/>
    <n v="0"/>
    <n v="263.72131147540983"/>
    <n v="0"/>
    <s v="CYAN"/>
    <s v="B01050C"/>
    <s v="ToyoLi - CYAN"/>
    <n v="20"/>
    <n v="0"/>
    <m/>
    <m/>
    <n v="0"/>
    <s v="R39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9"/>
    <n v="0"/>
    <n v="5.6721311475409806"/>
    <n v="0"/>
    <s v="MAGENTA"/>
    <s v="C01487M"/>
    <s v="ToyoLi - MAGENTA"/>
    <n v="10"/>
    <n v="0"/>
    <s v="L00294M"/>
    <n v="12"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1.8032786885245926"/>
    <n v="0"/>
    <s v="YELLOW"/>
    <s v="C0148Y"/>
    <s v="ToyoLi - YELLOW"/>
    <n v="27"/>
    <n v="0"/>
    <m/>
    <m/>
    <n v="0"/>
    <s v="F23T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27"/>
    <n v="0"/>
    <n v="19.672131147540981"/>
    <n v="0"/>
    <s v="WHITE"/>
    <s v="J00985W"/>
    <s v="ToyoLi - WHITE"/>
    <n v="20"/>
    <n v="0"/>
    <m/>
    <m/>
    <n v="0"/>
    <s v="F640"/>
    <m/>
    <m/>
    <m/>
    <m/>
    <m/>
    <m/>
    <m/>
    <n v="330"/>
    <n v="0"/>
    <m/>
    <n v="0"/>
    <m/>
    <n v="0"/>
    <m/>
    <n v="0"/>
    <m/>
    <n v="0"/>
    <m/>
    <n v="0"/>
    <m/>
    <n v="0"/>
    <m/>
    <n v="0"/>
    <s v="ToyoLi"/>
    <n v="30"/>
    <n v="0"/>
    <n v="706.8852459016393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5"/>
    <n v="17"/>
    <n v="50"/>
    <n v="5"/>
    <n v="3"/>
    <n v="5"/>
    <n v="200"/>
    <n v="0"/>
    <n v="0.3"/>
    <m/>
    <m/>
    <n v="0.5"/>
    <n v="0.2"/>
    <n v="0"/>
    <n v="590"/>
    <n v="0"/>
    <n v="0"/>
    <n v="590"/>
    <n v="590"/>
    <n v="177"/>
    <n v="0"/>
    <n v="0"/>
    <n v="0"/>
    <n v="0"/>
    <n v="0"/>
    <n v="295"/>
    <n v="0"/>
    <n v="118"/>
    <n v="0"/>
    <n v="0"/>
    <n v="0"/>
    <n v="0"/>
    <m/>
    <n v="555"/>
    <n v="1095"/>
    <s v="TL75"/>
    <s v="ToyoLiToyoLiToyoLiToyoLiToyoLiToyoLiToyoLi"/>
    <s v="+"/>
    <s v="+"/>
    <s v="+"/>
    <s v="+"/>
    <s v="+"/>
    <s v="+"/>
    <s v="+"/>
    <s v="NIL"/>
    <b v="0"/>
  </r>
  <r>
    <d v="2026-01-13T00:00:00"/>
    <s v="B"/>
    <x v="169"/>
    <s v="TL76"/>
    <n v="143"/>
    <n v="9500"/>
    <s v="I"/>
    <s v="N"/>
    <n v="1.42"/>
    <s v="BLACK"/>
    <s v="P00460B"/>
    <s v="ToyoLi - BLACK"/>
    <n v="25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3.4545454545454533"/>
    <n v="0"/>
    <s v="REFLEX BLUE"/>
    <s v="C01487P"/>
    <s v="ToyoLi - REFLEX BLUE"/>
    <n v="20"/>
    <n v="0"/>
    <s v="G00400P"/>
    <n v="17"/>
    <n v="0"/>
    <s v="F121"/>
    <s v="R1205"/>
    <s v="F53"/>
    <m/>
    <m/>
    <m/>
    <m/>
    <m/>
    <n v="10"/>
    <n v="0"/>
    <n v="1"/>
    <n v="0"/>
    <n v="3"/>
    <n v="0"/>
    <m/>
    <n v="0"/>
    <m/>
    <n v="0"/>
    <m/>
    <n v="0"/>
    <m/>
    <n v="0"/>
    <m/>
    <n v="0"/>
    <s v="ToyoLi"/>
    <n v="38"/>
    <n v="0"/>
    <n v="23.36363636363636"/>
    <n v="0"/>
    <s v="CYAN"/>
    <s v="P00460C"/>
    <s v="ToyoLi - CYAN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1"/>
    <n v="0"/>
    <n v="1.4545454545454533"/>
    <n v="0"/>
    <s v="MAGENTA"/>
    <s v="P00460M"/>
    <s v="ToyoLi - MAGENTA"/>
    <n v="28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5.4545454545454533"/>
    <n v="0"/>
    <s v="YELLOW"/>
    <s v="P00460Y"/>
    <s v="ToyoLi - YELLOW"/>
    <n v="27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6"/>
    <n v="0"/>
    <n v="11.18181818181818"/>
    <n v="0"/>
    <s v="YELLOW"/>
    <m/>
    <s v="ToyoLi - YELLOW"/>
    <m/>
    <n v="0"/>
    <m/>
    <m/>
    <n v="0"/>
    <s v="F23T"/>
    <s v="F53"/>
    <m/>
    <m/>
    <m/>
    <m/>
    <m/>
    <m/>
    <n v="14"/>
    <n v="0"/>
    <n v="0.5"/>
    <n v="0"/>
    <m/>
    <n v="0"/>
    <m/>
    <n v="0"/>
    <m/>
    <n v="0"/>
    <m/>
    <n v="0"/>
    <m/>
    <n v="0"/>
    <m/>
    <n v="0"/>
    <s v="ToyoLi"/>
    <n v="20"/>
    <n v="0"/>
    <n v="8.3181818181818201"/>
    <n v="0"/>
    <s v="WHITE"/>
    <s v="P00460W"/>
    <s v="ToyoLi - WHITE"/>
    <n v="30"/>
    <n v="0"/>
    <m/>
    <m/>
    <n v="0"/>
    <s v="F640"/>
    <m/>
    <m/>
    <m/>
    <m/>
    <m/>
    <m/>
    <m/>
    <n v="20"/>
    <n v="0"/>
    <m/>
    <n v="0"/>
    <m/>
    <n v="0"/>
    <m/>
    <n v="0"/>
    <m/>
    <n v="0"/>
    <m/>
    <n v="0"/>
    <m/>
    <n v="0"/>
    <m/>
    <n v="0"/>
    <s v="ToyoLi"/>
    <n v="30"/>
    <n v="0"/>
    <n v="37.2727272727272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"/>
    <n v="2"/>
    <n v="2"/>
    <n v="3"/>
    <n v="8"/>
    <n v="10"/>
    <n v="0"/>
    <n v="0.3"/>
    <m/>
    <m/>
    <n v="0.5"/>
    <n v="0.2"/>
    <n v="0"/>
    <n v="57"/>
    <n v="0"/>
    <n v="0"/>
    <n v="57"/>
    <n v="57"/>
    <n v="17.099999999999998"/>
    <n v="0"/>
    <n v="0"/>
    <n v="0"/>
    <n v="0"/>
    <n v="0"/>
    <n v="28.5"/>
    <n v="0"/>
    <n v="11.4"/>
    <n v="0"/>
    <n v="0"/>
    <n v="0"/>
    <n v="0"/>
    <m/>
    <n v="57.5"/>
    <n v="90.5"/>
    <s v="TL76"/>
    <s v="ToyoLiToyoLiToyoLiToyoLiToyoLiToyoLiToyoLi"/>
    <s v="+"/>
    <s v="+"/>
    <s v="+"/>
    <s v="+"/>
    <s v="+"/>
    <s v="+"/>
    <s v="+"/>
    <s v="NIL"/>
    <b v="0"/>
  </r>
  <r>
    <d v="2026-01-13T00:00:00"/>
    <s v="B"/>
    <x v="170"/>
    <s v="TL77"/>
    <n v="154"/>
    <n v="10300"/>
    <s v="I"/>
    <s v="N"/>
    <n v="2.77"/>
    <s v="BLACK"/>
    <s v="G00406B"/>
    <s v="ToyoLi - BLACK"/>
    <n v="27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9"/>
    <n v="0"/>
    <n v="5.8378378378378386"/>
    <n v="0"/>
    <s v="BLACK"/>
    <s v="G00647G"/>
    <s v="ToyoLi - BLACK"/>
    <n v="20"/>
    <n v="0"/>
    <s v="N00800G"/>
    <n v="13"/>
    <n v="0"/>
    <s v="RTMD"/>
    <s v="F121"/>
    <s v="R92"/>
    <m/>
    <m/>
    <m/>
    <m/>
    <m/>
    <n v="5"/>
    <n v="0"/>
    <n v="0.2"/>
    <n v="0"/>
    <n v="0.1"/>
    <n v="0"/>
    <m/>
    <n v="0"/>
    <m/>
    <n v="0"/>
    <m/>
    <n v="0"/>
    <m/>
    <n v="0"/>
    <m/>
    <n v="0"/>
    <s v="ToyoLi"/>
    <n v="26"/>
    <n v="0"/>
    <n v="21.056756756756762"/>
    <n v="0"/>
    <s v="RED"/>
    <s v="P00460R"/>
    <s v="ToyoLi - RED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0"/>
    <n v="7.8378378378378386"/>
    <n v="0"/>
    <s v="MAGENTA"/>
    <s v="G00406M"/>
    <s v="ToyoLi - MAGENTA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0"/>
    <n v="5.8378378378378386"/>
    <n v="0"/>
    <s v="YELLOW"/>
    <s v="G00406Y"/>
    <s v="ToyoLi - YELLOW"/>
    <n v="26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0"/>
    <n v="0"/>
    <n v="6.8378378378378386"/>
    <n v="0"/>
    <s v="WHITE"/>
    <s v="G00406W+"/>
    <s v="ToyoLi - WHITE"/>
    <n v="30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30"/>
    <n v="0"/>
    <n v="98.378378378378386"/>
    <n v="0"/>
    <s v="MATT"/>
    <s v="H01366M"/>
    <s v="ToyoLi - MATT"/>
    <n v="20"/>
    <n v="0"/>
    <m/>
    <m/>
    <n v="0"/>
    <n v="55"/>
    <s v="NWBBK"/>
    <m/>
    <m/>
    <m/>
    <m/>
    <m/>
    <m/>
    <n v="40"/>
    <n v="0"/>
    <n v="10"/>
    <n v="0"/>
    <m/>
    <n v="0"/>
    <m/>
    <n v="0"/>
    <m/>
    <n v="0"/>
    <m/>
    <n v="0"/>
    <m/>
    <n v="0"/>
    <m/>
    <n v="0"/>
    <s v="ToyoLi"/>
    <n v="25"/>
    <n v="0"/>
    <n v="62.51351351351351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2"/>
    <n v="2"/>
    <n v="2"/>
    <n v="20"/>
    <n v="6"/>
    <n v="0"/>
    <n v="0.3"/>
    <m/>
    <m/>
    <n v="0.5"/>
    <n v="0.2"/>
    <n v="0"/>
    <n v="108"/>
    <n v="0"/>
    <n v="0"/>
    <n v="108"/>
    <n v="108"/>
    <n v="32.4"/>
    <n v="0"/>
    <n v="0"/>
    <n v="0"/>
    <n v="0"/>
    <n v="0"/>
    <n v="54"/>
    <n v="0"/>
    <n v="21.6"/>
    <n v="0"/>
    <n v="0"/>
    <n v="0"/>
    <n v="0"/>
    <m/>
    <n v="102.3"/>
    <n v="208.3"/>
    <s v="TL77"/>
    <s v="ToyoLiToyoLiToyoLiToyoLiToyoLiToyoLiToyoLi"/>
    <s v="+"/>
    <s v="+"/>
    <s v="+"/>
    <s v="+"/>
    <s v="+"/>
    <s v="+"/>
    <s v="+"/>
    <s v="NIL"/>
    <b v="0"/>
  </r>
  <r>
    <d v="2026-01-13T00:00:00"/>
    <s v="B"/>
    <x v="171"/>
    <s v="TL78"/>
    <n v="147"/>
    <n v="9800"/>
    <s v="I"/>
    <s v="N"/>
    <n v="2.7"/>
    <s v="BLACK"/>
    <s v="N00938B"/>
    <s v="ToyoLi - BLACK"/>
    <n v="29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30"/>
    <n v="0"/>
    <n v="6.7894736842105274"/>
    <n v="0"/>
    <s v="ORANGE"/>
    <s v="G00400O"/>
    <s v="ToyoLi - ORANGE"/>
    <n v="30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11.789473684210527"/>
    <n v="0"/>
    <s v="RED"/>
    <s v="N00938R"/>
    <s v="ToyoLi - RED"/>
    <n v="28"/>
    <n v="0"/>
    <m/>
    <m/>
    <n v="0"/>
    <s v="F53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2"/>
    <n v="0"/>
    <s v="ORANGE"/>
    <s v="P00861O"/>
    <s v="ToyoLi - ORANGE"/>
    <n v="19"/>
    <n v="0"/>
    <m/>
    <m/>
    <n v="0"/>
    <s v="F53"/>
    <s v="RTMD"/>
    <s v="R92"/>
    <m/>
    <m/>
    <m/>
    <m/>
    <m/>
    <n v="6"/>
    <n v="0"/>
    <n v="3"/>
    <n v="0"/>
    <n v="0.5"/>
    <n v="0"/>
    <m/>
    <n v="0"/>
    <m/>
    <n v="0"/>
    <m/>
    <n v="0"/>
    <m/>
    <n v="0"/>
    <m/>
    <n v="0"/>
    <s v="ToyoLi"/>
    <n v="20"/>
    <n v="0"/>
    <n v="20.078947368421055"/>
    <n v="0"/>
    <s v="MAGENTA"/>
    <s v="N00938M"/>
    <s v="ToyoLi - MAGENTA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0"/>
    <n v="5.7894736842105274"/>
    <n v="0"/>
    <s v="YELLOW"/>
    <s v="N00938Y"/>
    <s v="ToyoLi - YELLOW"/>
    <n v="30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32"/>
    <n v="0"/>
    <n v="8.6842105263157876"/>
    <n v="0"/>
    <s v="WHITE"/>
    <s v="N00938W"/>
    <s v="ToyoLi - WHITE"/>
    <n v="30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25"/>
    <n v="0"/>
    <n v="102.89473684210526"/>
    <n v="0"/>
    <s v="MATT"/>
    <s v="N00938M"/>
    <s v="ToyoLi - MATT"/>
    <n v="25"/>
    <n v="0"/>
    <m/>
    <m/>
    <n v="0"/>
    <n v="55"/>
    <s v="NWBBK"/>
    <m/>
    <m/>
    <m/>
    <m/>
    <m/>
    <m/>
    <n v="20"/>
    <n v="0"/>
    <n v="5"/>
    <n v="0"/>
    <m/>
    <n v="0"/>
    <m/>
    <n v="0"/>
    <m/>
    <n v="0"/>
    <m/>
    <n v="0"/>
    <m/>
    <n v="0"/>
    <m/>
    <n v="0"/>
    <s v="ToyoLi"/>
    <n v="18"/>
    <n v="0"/>
    <n v="46.473684210526315"/>
    <n v="0"/>
    <n v="2"/>
    <n v="2"/>
    <n v="0"/>
    <n v="4"/>
    <n v="2"/>
    <n v="3"/>
    <n v="20"/>
    <n v="5"/>
    <n v="0.3"/>
    <m/>
    <m/>
    <n v="0.5"/>
    <n v="0.2"/>
    <n v="0"/>
    <n v="110"/>
    <n v="0"/>
    <n v="0"/>
    <n v="110"/>
    <n v="110"/>
    <n v="33"/>
    <n v="0"/>
    <n v="0"/>
    <n v="0"/>
    <n v="0"/>
    <n v="0"/>
    <n v="55"/>
    <n v="0"/>
    <n v="22"/>
    <n v="0"/>
    <n v="0"/>
    <n v="0"/>
    <n v="0"/>
    <m/>
    <n v="82.5"/>
    <n v="204.5"/>
    <s v="TL78"/>
    <s v="ToyoLiToyoLiToyoLiToyoLiToyoLiToyoLiToyoLiToyoLi"/>
    <s v="+"/>
    <s v="+"/>
    <s v="+"/>
    <s v="+"/>
    <s v="+"/>
    <s v="+"/>
    <s v="+"/>
    <s v="+"/>
    <b v="0"/>
  </r>
  <r>
    <d v="2026-01-14T00:00:00"/>
    <s v="A"/>
    <x v="172"/>
    <s v="TL79"/>
    <n v="78"/>
    <n v="5800"/>
    <s v="I"/>
    <s v="N"/>
    <n v="2.7"/>
    <s v="BLACK"/>
    <s v="N00943B"/>
    <s v="ToyoLi - BLACK"/>
    <n v="30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4"/>
    <n v="0"/>
    <s v="BLACK"/>
    <s v="N00938G"/>
    <s v="ToyoLi - BLACK"/>
    <n v="26"/>
    <n v="0"/>
    <m/>
    <m/>
    <n v="0"/>
    <s v="R92"/>
    <s v="RTMD"/>
    <m/>
    <m/>
    <m/>
    <m/>
    <m/>
    <m/>
    <n v="2"/>
    <n v="0"/>
    <n v="5"/>
    <n v="0"/>
    <m/>
    <n v="0"/>
    <m/>
    <n v="0"/>
    <m/>
    <n v="0"/>
    <m/>
    <n v="0"/>
    <m/>
    <n v="0"/>
    <m/>
    <n v="0"/>
    <s v="ToyoLi"/>
    <n v="25"/>
    <n v="0"/>
    <n v="22.307692307692307"/>
    <n v="0"/>
    <s v="WHITE"/>
    <s v="N00943W"/>
    <s v="ToyoLi - WHITE"/>
    <n v="25"/>
    <n v="0"/>
    <m/>
    <m/>
    <n v="0"/>
    <s v="F640"/>
    <m/>
    <m/>
    <m/>
    <m/>
    <m/>
    <m/>
    <m/>
    <n v="15"/>
    <n v="0"/>
    <m/>
    <n v="0"/>
    <m/>
    <n v="0"/>
    <m/>
    <n v="0"/>
    <m/>
    <n v="0"/>
    <m/>
    <n v="0"/>
    <m/>
    <n v="0"/>
    <m/>
    <n v="0"/>
    <s v="ToyoLi"/>
    <n v="20"/>
    <n v="0"/>
    <n v="43.846153846153847"/>
    <n v="0"/>
    <s v="MATT"/>
    <s v="N00943M"/>
    <s v="ToyoLi - MATT"/>
    <n v="18"/>
    <n v="0"/>
    <m/>
    <m/>
    <n v="0"/>
    <n v="55"/>
    <s v="NWBBK"/>
    <m/>
    <m/>
    <m/>
    <m/>
    <m/>
    <m/>
    <n v="20"/>
    <n v="0"/>
    <n v="5"/>
    <n v="0"/>
    <m/>
    <n v="0"/>
    <m/>
    <n v="0"/>
    <m/>
    <n v="0"/>
    <m/>
    <n v="0"/>
    <m/>
    <n v="0"/>
    <m/>
    <n v="0"/>
    <s v="ToyoLi"/>
    <n v="15"/>
    <n v="0"/>
    <n v="51.8461538461538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0"/>
    <n v="3"/>
    <n v="5"/>
    <n v="5"/>
    <n v="0"/>
    <n v="0"/>
    <n v="0"/>
    <n v="0"/>
    <n v="0.3"/>
    <m/>
    <m/>
    <n v="0.5"/>
    <n v="0.2"/>
    <n v="0"/>
    <n v="62"/>
    <n v="0"/>
    <n v="0"/>
    <n v="62"/>
    <n v="62"/>
    <n v="18.599999999999998"/>
    <n v="0"/>
    <n v="0"/>
    <n v="0"/>
    <n v="0"/>
    <n v="0"/>
    <n v="31"/>
    <n v="0"/>
    <n v="12.4"/>
    <n v="0"/>
    <n v="0"/>
    <n v="0"/>
    <n v="0"/>
    <m/>
    <n v="49"/>
    <n v="122"/>
    <s v="TL79"/>
    <s v="ToyoLiToyoLiToyoLiToyoLi"/>
    <s v="+"/>
    <s v="+"/>
    <s v="+"/>
    <s v="+"/>
    <s v="NIL"/>
    <s v="NIL"/>
    <s v="NIL"/>
    <s v="NIL"/>
    <b v="0"/>
  </r>
  <r>
    <d v="2026-01-14T00:00:00"/>
    <s v="A"/>
    <x v="173"/>
    <s v="TL80"/>
    <n v="77"/>
    <n v="5700"/>
    <s v="I"/>
    <s v="N"/>
    <n v="2.5"/>
    <s v="BLACK"/>
    <s v="N00939B"/>
    <s v="ToyoLi - BLACK"/>
    <n v="28"/>
    <n v="0"/>
    <m/>
    <m/>
    <n v="0"/>
    <s v="R92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7"/>
    <n v="0"/>
    <n v="5.2631578947368425"/>
    <n v="0"/>
    <s v="ORANGE"/>
    <s v="N00943O"/>
    <s v="ToyoLi - ORANGE"/>
    <n v="26"/>
    <n v="0"/>
    <m/>
    <m/>
    <n v="0"/>
    <s v="F121"/>
    <s v="F53"/>
    <s v="R92"/>
    <m/>
    <m/>
    <m/>
    <m/>
    <m/>
    <n v="3"/>
    <n v="0"/>
    <n v="4"/>
    <n v="0"/>
    <n v="1"/>
    <n v="0"/>
    <m/>
    <n v="0"/>
    <m/>
    <n v="0"/>
    <m/>
    <n v="0"/>
    <m/>
    <n v="0"/>
    <m/>
    <n v="0"/>
    <s v="ToyoLi"/>
    <n v="27"/>
    <n v="0"/>
    <n v="15.157894736842103"/>
    <n v="0"/>
    <s v="ORANGE"/>
    <s v="N00943O"/>
    <s v="ToyoLi - ORANGE"/>
    <n v="20"/>
    <n v="0"/>
    <m/>
    <m/>
    <n v="0"/>
    <s v="F23T"/>
    <s v="F53"/>
    <m/>
    <m/>
    <m/>
    <m/>
    <m/>
    <m/>
    <n v="15"/>
    <n v="0"/>
    <n v="3"/>
    <n v="0"/>
    <m/>
    <n v="0"/>
    <m/>
    <n v="0"/>
    <m/>
    <n v="0"/>
    <m/>
    <n v="0"/>
    <m/>
    <n v="0"/>
    <m/>
    <n v="0"/>
    <s v="ToyoLi"/>
    <n v="40"/>
    <n v="0"/>
    <n v="14.315789473684205"/>
    <n v="0"/>
    <s v="WHITE"/>
    <s v="N00939W"/>
    <s v="ToyoLi - WHITE"/>
    <n v="20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20"/>
    <n v="0"/>
    <n v="56.10526315789474"/>
    <n v="0"/>
    <s v="MATT"/>
    <s v="N00939M"/>
    <s v="ToyoLi - MATT"/>
    <n v="15"/>
    <n v="0"/>
    <m/>
    <m/>
    <n v="0"/>
    <n v="55"/>
    <s v="NWBBK"/>
    <m/>
    <m/>
    <m/>
    <m/>
    <m/>
    <m/>
    <n v="20"/>
    <n v="0"/>
    <n v="5"/>
    <n v="0"/>
    <m/>
    <n v="0"/>
    <m/>
    <n v="0"/>
    <m/>
    <n v="0"/>
    <m/>
    <n v="0"/>
    <m/>
    <n v="0"/>
    <m/>
    <n v="0"/>
    <s v="ToyoLi"/>
    <n v="23"/>
    <n v="0"/>
    <n v="25.15789473684210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10"/>
    <n v="16"/>
    <n v="5"/>
    <n v="0"/>
    <n v="0"/>
    <n v="0"/>
    <n v="0.3"/>
    <m/>
    <m/>
    <n v="0.5"/>
    <n v="0.2"/>
    <n v="0"/>
    <n v="62"/>
    <n v="0"/>
    <n v="0"/>
    <n v="62"/>
    <n v="62"/>
    <n v="18.599999999999998"/>
    <n v="0"/>
    <n v="0"/>
    <n v="0"/>
    <n v="0"/>
    <n v="0"/>
    <n v="31"/>
    <n v="0"/>
    <n v="12.4"/>
    <n v="0"/>
    <n v="0"/>
    <n v="0"/>
    <n v="0"/>
    <m/>
    <n v="82"/>
    <n v="116"/>
    <s v="TL80"/>
    <s v="ToyoLiToyoLiToyoLiToyoLiToyoLi"/>
    <s v="+"/>
    <s v="+"/>
    <s v="+"/>
    <s v="+"/>
    <s v="+"/>
    <s v="NIL"/>
    <s v="NIL"/>
    <s v="NIL"/>
    <b v="0"/>
  </r>
  <r>
    <d v="2026-01-14T00:00:00"/>
    <s v="A"/>
    <x v="174"/>
    <s v="TL81"/>
    <n v="241"/>
    <n v="12600"/>
    <s v="I"/>
    <s v="N"/>
    <n v="2.5"/>
    <s v="BLACK"/>
    <s v="N00944B"/>
    <s v="ToyoLi - BLACK"/>
    <n v="27"/>
    <n v="0"/>
    <m/>
    <m/>
    <n v="0"/>
    <s v="RTMD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6"/>
    <n v="0"/>
    <n v="9.6333333333333329"/>
    <n v="0"/>
    <s v="GREEN"/>
    <s v="R00013G"/>
    <s v="ToyoLi - GREEN"/>
    <n v="20"/>
    <n v="0"/>
    <m/>
    <m/>
    <n v="0"/>
    <s v="F23T"/>
    <s v="F53"/>
    <s v="R92"/>
    <m/>
    <m/>
    <m/>
    <m/>
    <m/>
    <n v="2"/>
    <n v="0"/>
    <n v="1"/>
    <n v="0"/>
    <n v="1"/>
    <n v="0"/>
    <m/>
    <n v="0"/>
    <m/>
    <n v="0"/>
    <m/>
    <n v="0"/>
    <m/>
    <n v="0"/>
    <m/>
    <n v="0"/>
    <s v="ToyoLi"/>
    <n v="25"/>
    <n v="0"/>
    <n v="7.4500000000000028"/>
    <n v="0"/>
    <s v="BLACK"/>
    <s v="F00844B"/>
    <s v="ToyoLi - BLACK"/>
    <n v="11"/>
    <n v="0"/>
    <s v="C01465B"/>
    <n v="20"/>
    <n v="0"/>
    <s v="F121"/>
    <s v="F23T"/>
    <s v="F53"/>
    <m/>
    <m/>
    <m/>
    <m/>
    <m/>
    <n v="3"/>
    <n v="0"/>
    <n v="2"/>
    <n v="0"/>
    <n v="2"/>
    <n v="0"/>
    <m/>
    <n v="0"/>
    <m/>
    <n v="0"/>
    <m/>
    <n v="0"/>
    <m/>
    <n v="0"/>
    <m/>
    <n v="0"/>
    <s v="ToyoLi"/>
    <n v="38"/>
    <n v="0"/>
    <n v="8.4500000000000028"/>
    <n v="0"/>
    <s v="GREEN"/>
    <s v="F00857G"/>
    <s v="ToyoLi - GREEN"/>
    <n v="16"/>
    <n v="0"/>
    <s v="N00893G"/>
    <n v="20"/>
    <n v="0"/>
    <s v="R7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13"/>
    <n v="0"/>
    <s v="MEDIUM"/>
    <s v="C01467M"/>
    <s v="ToyoLi - MEDIUM"/>
    <n v="20"/>
    <n v="0"/>
    <s v="H01306M"/>
    <n v="19"/>
    <n v="0"/>
    <s v="R92"/>
    <s v="F640"/>
    <s v="F23T"/>
    <s v="RTMD"/>
    <m/>
    <m/>
    <m/>
    <m/>
    <n v="0.5"/>
    <n v="0"/>
    <n v="10"/>
    <n v="0"/>
    <n v="2"/>
    <n v="0"/>
    <n v="10"/>
    <n v="0"/>
    <m/>
    <n v="0"/>
    <m/>
    <n v="0"/>
    <m/>
    <n v="0"/>
    <m/>
    <n v="0"/>
    <s v="ToyoLi"/>
    <n v="39"/>
    <n v="0"/>
    <n v="50.666666666666657"/>
    <n v="0"/>
    <s v="REFLEX BLUE"/>
    <s v="G00405B"/>
    <s v="ToyoLi - REFLEX BLUE"/>
    <n v="31"/>
    <n v="0"/>
    <m/>
    <m/>
    <n v="0"/>
    <s v="F23T"/>
    <s v="RTMD"/>
    <s v="R39"/>
    <m/>
    <m/>
    <m/>
    <m/>
    <m/>
    <n v="1"/>
    <n v="0"/>
    <n v="3"/>
    <n v="0"/>
    <n v="3"/>
    <n v="0"/>
    <m/>
    <n v="0"/>
    <m/>
    <n v="0"/>
    <m/>
    <n v="0"/>
    <m/>
    <n v="0"/>
    <m/>
    <n v="0"/>
    <s v="ToyoLi"/>
    <n v="37"/>
    <n v="0"/>
    <n v="6.6333333333333329"/>
    <n v="0"/>
    <s v="WHITE"/>
    <s v="N00944W"/>
    <s v="ToyoLi - WHITE"/>
    <n v="20"/>
    <n v="0"/>
    <m/>
    <m/>
    <n v="0"/>
    <s v="F640"/>
    <m/>
    <m/>
    <m/>
    <m/>
    <m/>
    <m/>
    <m/>
    <n v="60"/>
    <n v="0"/>
    <m/>
    <n v="0"/>
    <m/>
    <n v="0"/>
    <m/>
    <n v="0"/>
    <m/>
    <n v="0"/>
    <m/>
    <n v="0"/>
    <m/>
    <n v="0"/>
    <m/>
    <n v="0"/>
    <s v="ToyoLi"/>
    <n v="25"/>
    <n v="0"/>
    <n v="139.5"/>
    <n v="0"/>
    <s v="MATT"/>
    <s v="N00757M"/>
    <s v="HI-TECH INK - MATT"/>
    <n v="23"/>
    <n v="0"/>
    <m/>
    <m/>
    <n v="0"/>
    <n v="2066"/>
    <m/>
    <m/>
    <m/>
    <m/>
    <m/>
    <m/>
    <m/>
    <n v="60"/>
    <n v="0"/>
    <m/>
    <n v="0"/>
    <m/>
    <n v="0"/>
    <m/>
    <n v="0"/>
    <m/>
    <n v="0"/>
    <m/>
    <n v="0"/>
    <m/>
    <n v="0"/>
    <m/>
    <n v="0"/>
    <s v="HI-TECH INK"/>
    <n v="18"/>
    <n v="0"/>
    <n v="93.166666666666657"/>
    <n v="0"/>
    <n v="2"/>
    <n v="3"/>
    <n v="3"/>
    <n v="0"/>
    <n v="10"/>
    <n v="2"/>
    <n v="30"/>
    <n v="10"/>
    <n v="0.3"/>
    <m/>
    <m/>
    <n v="0.5"/>
    <n v="0.2"/>
    <n v="0"/>
    <n v="169"/>
    <n v="0"/>
    <n v="0"/>
    <n v="169"/>
    <n v="169"/>
    <n v="50.699999999999996"/>
    <n v="0"/>
    <n v="0"/>
    <n v="0"/>
    <n v="0"/>
    <n v="0"/>
    <n v="84.5"/>
    <n v="0"/>
    <n v="33.800000000000004"/>
    <n v="0"/>
    <n v="0"/>
    <n v="0"/>
    <n v="0"/>
    <m/>
    <n v="165.5"/>
    <n v="328.5"/>
    <s v="TL81"/>
    <s v="ToyoLiToyoLiToyoLiToyoLiToyoLiToyoLiToyoLiHI-TECH INK"/>
    <s v="+"/>
    <s v="+"/>
    <s v="+"/>
    <s v="+"/>
    <s v="+"/>
    <s v="+"/>
    <s v="+"/>
    <s v="+"/>
    <b v="0"/>
  </r>
  <r>
    <d v="2026-01-14T00:00:00"/>
    <s v="A"/>
    <x v="175"/>
    <s v="TL82"/>
    <n v="147"/>
    <n v="8000"/>
    <s v="I"/>
    <s v="N"/>
    <n v="3"/>
    <s v="BLACK"/>
    <s v="P00840B"/>
    <s v="ToyoLi - BLACK"/>
    <n v="26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7.6274509803921546"/>
    <n v="0"/>
    <s v="BLACK"/>
    <s v="P00460B"/>
    <s v="ToyoLi - BLACK"/>
    <n v="35"/>
    <n v="0"/>
    <s v="N00887B"/>
    <n v="7"/>
    <n v="0"/>
    <s v="R92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18"/>
    <n v="0"/>
    <n v="45.568627450980394"/>
    <n v="0"/>
    <s v="GREEN"/>
    <s v="P00840G"/>
    <s v="ToyoLi - GREEN"/>
    <n v="25"/>
    <n v="0"/>
    <m/>
    <m/>
    <n v="0"/>
    <s v="F23T"/>
    <s v="R79"/>
    <s v="RTMD"/>
    <m/>
    <m/>
    <m/>
    <m/>
    <m/>
    <n v="2"/>
    <n v="0"/>
    <n v="2"/>
    <n v="0"/>
    <n v="2"/>
    <n v="0"/>
    <m/>
    <n v="0"/>
    <m/>
    <n v="0"/>
    <m/>
    <n v="0"/>
    <m/>
    <n v="0"/>
    <m/>
    <n v="0"/>
    <s v="ToyoLi"/>
    <n v="28"/>
    <n v="0"/>
    <n v="9.941176470588232"/>
    <n v="0"/>
    <s v="ORANGE"/>
    <s v="P00861O"/>
    <s v="ToyoLi - ORANGE"/>
    <n v="5"/>
    <n v="0"/>
    <s v="J00951O"/>
    <n v="13"/>
    <n v="0"/>
    <s v="F23T"/>
    <s v="RTMD"/>
    <s v="R92"/>
    <m/>
    <m/>
    <m/>
    <m/>
    <m/>
    <n v="2"/>
    <n v="0"/>
    <n v="1"/>
    <n v="0"/>
    <n v="0.2"/>
    <n v="0"/>
    <m/>
    <n v="0"/>
    <m/>
    <n v="0"/>
    <m/>
    <n v="0"/>
    <m/>
    <n v="0"/>
    <m/>
    <n v="0"/>
    <s v="ToyoLi"/>
    <n v="23"/>
    <n v="0"/>
    <n v="2.8274509803921575"/>
    <n v="0"/>
    <s v="MAGENTA"/>
    <s v="N00943M"/>
    <s v="ToyoLi - MAGENTA"/>
    <n v="28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7.6274509803921546"/>
    <n v="0"/>
    <s v="YELLOW"/>
    <s v="N00943YU"/>
    <s v="ToyoLi - YELLOW"/>
    <n v="32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12.627450980392155"/>
    <n v="0"/>
    <s v="WHITE"/>
    <s v="P00840W"/>
    <s v="ToyoLi - WHITE"/>
    <n v="20"/>
    <n v="0"/>
    <m/>
    <m/>
    <n v="0"/>
    <s v="F640"/>
    <m/>
    <m/>
    <m/>
    <m/>
    <m/>
    <m/>
    <m/>
    <n v="60"/>
    <n v="0"/>
    <m/>
    <n v="0"/>
    <m/>
    <n v="0"/>
    <m/>
    <n v="0"/>
    <m/>
    <n v="0"/>
    <m/>
    <n v="0"/>
    <m/>
    <n v="0"/>
    <m/>
    <n v="0"/>
    <s v="ToyoLi"/>
    <n v="22"/>
    <n v="0"/>
    <n v="127.41176470588238"/>
    <n v="0"/>
    <s v="MATT"/>
    <s v="P00840M"/>
    <s v="HI-TECH INK - MATT"/>
    <n v="30"/>
    <n v="0"/>
    <m/>
    <m/>
    <n v="0"/>
    <n v="2066"/>
    <m/>
    <m/>
    <m/>
    <m/>
    <m/>
    <m/>
    <m/>
    <n v="20"/>
    <n v="0"/>
    <m/>
    <n v="0"/>
    <m/>
    <n v="0"/>
    <m/>
    <n v="0"/>
    <m/>
    <n v="0"/>
    <m/>
    <n v="0"/>
    <m/>
    <n v="0"/>
    <m/>
    <n v="0"/>
    <s v="HI-TECH INK"/>
    <n v="15"/>
    <n v="0"/>
    <n v="46.568627450980394"/>
    <n v="0"/>
    <n v="2"/>
    <n v="5"/>
    <n v="3"/>
    <n v="2"/>
    <n v="2"/>
    <n v="2"/>
    <n v="30"/>
    <n v="5"/>
    <n v="0.3"/>
    <m/>
    <m/>
    <n v="0.5"/>
    <n v="0.2"/>
    <n v="0"/>
    <n v="118"/>
    <n v="0"/>
    <n v="0"/>
    <n v="118"/>
    <n v="118"/>
    <n v="35.4"/>
    <n v="0"/>
    <n v="0"/>
    <n v="0"/>
    <n v="0"/>
    <n v="0"/>
    <n v="59"/>
    <n v="0"/>
    <n v="23.6"/>
    <n v="0"/>
    <n v="0"/>
    <n v="0"/>
    <n v="0"/>
    <m/>
    <n v="105.2"/>
    <n v="260.20000000000005"/>
    <s v="TL82"/>
    <s v="ToyoLiToyoLiToyoLiToyoLiToyoLiToyoLiToyoLiHI-TECH INK"/>
    <s v="+"/>
    <s v="+"/>
    <s v="+"/>
    <s v="+"/>
    <s v="+"/>
    <s v="+"/>
    <s v="+"/>
    <s v="+"/>
    <b v="0"/>
  </r>
  <r>
    <d v="2026-01-14T00:00:00"/>
    <s v="A"/>
    <x v="176"/>
    <s v="TL83"/>
    <n v="148"/>
    <n v="7800"/>
    <s v="I"/>
    <s v="N"/>
    <n v="2.9"/>
    <s v="BLACK"/>
    <s v="P00459B"/>
    <s v="ToyoLi - BLACK"/>
    <n v="25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7.3030303030303045"/>
    <n v="0"/>
    <s v="GREEN"/>
    <s v="P00459G"/>
    <s v="ToyoLi - GREEN"/>
    <n v="28"/>
    <n v="0"/>
    <s v="P00440G"/>
    <n v="20"/>
    <n v="0"/>
    <s v="RTMD"/>
    <s v="F53"/>
    <m/>
    <m/>
    <m/>
    <m/>
    <m/>
    <m/>
    <n v="5"/>
    <n v="0"/>
    <n v="1"/>
    <n v="0"/>
    <m/>
    <n v="0"/>
    <m/>
    <n v="0"/>
    <m/>
    <n v="0"/>
    <m/>
    <n v="0"/>
    <m/>
    <n v="0"/>
    <m/>
    <n v="0"/>
    <s v="ToyoLi"/>
    <n v="24"/>
    <n v="0"/>
    <n v="36.303030303030305"/>
    <n v="0"/>
    <s v="ORANGE"/>
    <s v="P00459O"/>
    <s v="ToyoLi - ORANGE"/>
    <n v="23"/>
    <n v="0"/>
    <m/>
    <m/>
    <n v="0"/>
    <s v="F53"/>
    <s v="F23T"/>
    <s v="F32"/>
    <m/>
    <m/>
    <m/>
    <m/>
    <m/>
    <n v="2"/>
    <n v="0"/>
    <n v="1"/>
    <n v="0"/>
    <n v="0.5"/>
    <n v="0"/>
    <m/>
    <n v="0"/>
    <m/>
    <n v="0"/>
    <m/>
    <n v="0"/>
    <m/>
    <n v="0"/>
    <m/>
    <n v="0"/>
    <s v="ToyoLi"/>
    <n v="25"/>
    <n v="0"/>
    <n v="7.8030303030303045"/>
    <n v="0"/>
    <s v="MAGENTA"/>
    <s v="P00459M"/>
    <s v="ToyoLi - MAGENTA"/>
    <n v="27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9.3030303030303045"/>
    <n v="0"/>
    <s v="YELLOW"/>
    <s v="P00459Y"/>
    <s v="ToyoLi - YELLOW"/>
    <n v="26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9.4545454545454533"/>
    <n v="0"/>
    <s v="WHITE"/>
    <s v="P00459W"/>
    <s v="ToyoLi - WHITE"/>
    <n v="22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20"/>
    <n v="0"/>
    <n v="79.27272727272728"/>
    <n v="0"/>
    <s v="MATT"/>
    <s v="P00459M"/>
    <s v="HI-TECH INK - MATT"/>
    <n v="15"/>
    <n v="0"/>
    <m/>
    <m/>
    <n v="0"/>
    <n v="2066"/>
    <m/>
    <m/>
    <m/>
    <m/>
    <m/>
    <m/>
    <m/>
    <n v="30"/>
    <n v="0"/>
    <m/>
    <n v="0"/>
    <m/>
    <n v="0"/>
    <m/>
    <n v="0"/>
    <m/>
    <n v="0"/>
    <m/>
    <n v="0"/>
    <m/>
    <n v="0"/>
    <m/>
    <n v="0"/>
    <s v="HI-TECH INK"/>
    <n v="17"/>
    <n v="0"/>
    <n v="50.06060606060606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2"/>
    <n v="3"/>
    <n v="15"/>
    <n v="7"/>
    <n v="0"/>
    <n v="0.3"/>
    <m/>
    <m/>
    <n v="0.5"/>
    <n v="0.2"/>
    <n v="0"/>
    <n v="104"/>
    <n v="0"/>
    <n v="0"/>
    <n v="104"/>
    <n v="104"/>
    <n v="31.2"/>
    <n v="0"/>
    <n v="0"/>
    <n v="0"/>
    <n v="0"/>
    <n v="0"/>
    <n v="52"/>
    <n v="0"/>
    <n v="20.8"/>
    <n v="0"/>
    <n v="0"/>
    <n v="0"/>
    <n v="0"/>
    <m/>
    <n v="75.5"/>
    <n v="199.5"/>
    <s v="TL83"/>
    <s v="ToyoLiToyoLiToyoLiToyoLiToyoLiToyoLiHI-TECH INK"/>
    <s v="+"/>
    <s v="+"/>
    <s v="+"/>
    <s v="+"/>
    <s v="+"/>
    <s v="+"/>
    <s v="+"/>
    <s v="NIL"/>
    <b v="0"/>
  </r>
  <r>
    <d v="2026-01-14T00:00:00"/>
    <s v="A"/>
    <x v="177"/>
    <s v="TL84"/>
    <n v="151"/>
    <n v="7800"/>
    <s v="I"/>
    <s v="N"/>
    <n v="3.0999999999999996"/>
    <s v="BLACK"/>
    <s v="P00447B"/>
    <s v="ToyoLi - BLACK"/>
    <n v="26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5"/>
    <n v="0"/>
    <n v="8.7450980392156836"/>
    <n v="0"/>
    <s v="RED"/>
    <s v="N00943R"/>
    <s v="ToyoLi - RED"/>
    <n v="28"/>
    <n v="0"/>
    <m/>
    <m/>
    <n v="0"/>
    <s v="F121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22"/>
    <n v="0"/>
    <n v="30.235294117647058"/>
    <n v="0"/>
    <s v="GREEN"/>
    <s v="P00447G"/>
    <s v="ToyoLi - GREEN"/>
    <n v="24"/>
    <n v="0"/>
    <m/>
    <m/>
    <n v="0"/>
    <s v="R92"/>
    <s v="F53"/>
    <s v="F23T"/>
    <m/>
    <m/>
    <m/>
    <m/>
    <m/>
    <n v="0.2"/>
    <n v="0"/>
    <n v="0.3"/>
    <n v="0"/>
    <n v="1"/>
    <n v="0"/>
    <m/>
    <n v="0"/>
    <m/>
    <n v="0"/>
    <m/>
    <n v="0"/>
    <m/>
    <n v="0"/>
    <m/>
    <n v="0"/>
    <s v="ToyoLi"/>
    <n v="23"/>
    <n v="0"/>
    <n v="7.2450980392156872"/>
    <n v="0"/>
    <s v="ORANGE"/>
    <s v="P00447O"/>
    <s v="ToyoLi - ORANGE"/>
    <n v="25"/>
    <n v="0"/>
    <m/>
    <m/>
    <n v="0"/>
    <s v="F53"/>
    <s v="F23T"/>
    <s v="RTMD"/>
    <m/>
    <m/>
    <m/>
    <m/>
    <m/>
    <n v="4"/>
    <n v="0"/>
    <n v="3"/>
    <n v="0"/>
    <n v="2"/>
    <n v="0"/>
    <m/>
    <n v="0"/>
    <m/>
    <n v="0"/>
    <m/>
    <n v="0"/>
    <m/>
    <n v="0"/>
    <m/>
    <n v="0"/>
    <s v="ToyoLi"/>
    <n v="28"/>
    <n v="0"/>
    <n v="17.862745098039213"/>
    <n v="0"/>
    <s v="MAGENTA"/>
    <s v="P00447M"/>
    <s v="ToyoLi - MAGENTA"/>
    <n v="26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8.117647058823529"/>
    <n v="0"/>
    <s v="YELLOW"/>
    <s v="P00447Y"/>
    <s v="ToyoLi - YELLOW"/>
    <n v="28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12.117647058823529"/>
    <n v="0"/>
    <s v="WHITE"/>
    <s v="P00447W"/>
    <s v="ToyoLi - WHITE"/>
    <n v="20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23"/>
    <n v="0"/>
    <n v="84.450980392156865"/>
    <n v="0"/>
    <s v="MATT"/>
    <s v="P00447M"/>
    <s v="HI-TECH INK - MATT"/>
    <n v="17"/>
    <n v="0"/>
    <m/>
    <m/>
    <n v="0"/>
    <n v="2066"/>
    <m/>
    <m/>
    <m/>
    <m/>
    <m/>
    <m/>
    <m/>
    <n v="30"/>
    <n v="0"/>
    <m/>
    <n v="0"/>
    <m/>
    <n v="0"/>
    <m/>
    <n v="0"/>
    <m/>
    <n v="0"/>
    <m/>
    <n v="0"/>
    <m/>
    <n v="0"/>
    <m/>
    <n v="0"/>
    <s v="HI-TECH INK"/>
    <n v="18"/>
    <n v="0"/>
    <n v="52.725490196078425"/>
    <n v="0"/>
    <n v="2"/>
    <n v="6"/>
    <n v="2"/>
    <n v="5"/>
    <n v="3"/>
    <n v="3"/>
    <n v="20"/>
    <n v="10"/>
    <n v="0.3"/>
    <m/>
    <m/>
    <n v="0.5"/>
    <n v="0.2"/>
    <n v="0"/>
    <n v="121"/>
    <n v="0"/>
    <n v="0"/>
    <n v="121"/>
    <n v="121"/>
    <n v="36.299999999999997"/>
    <n v="0"/>
    <n v="0"/>
    <n v="0"/>
    <n v="0"/>
    <n v="0"/>
    <n v="60.5"/>
    <n v="0"/>
    <n v="24.200000000000003"/>
    <n v="0"/>
    <n v="0"/>
    <n v="0"/>
    <n v="0"/>
    <m/>
    <n v="98.5"/>
    <n v="221.49999999999997"/>
    <s v="TL84"/>
    <s v="ToyoLiToyoLiToyoLiToyoLiToyoLiToyoLiToyoLiHI-TECH INK"/>
    <s v="+"/>
    <s v="+"/>
    <s v="+"/>
    <s v="+"/>
    <s v="+"/>
    <s v="+"/>
    <s v="+"/>
    <s v="+"/>
    <b v="0"/>
  </r>
  <r>
    <d v="2026-01-14T00:00:00"/>
    <s v="A"/>
    <x v="178"/>
    <s v="TL85"/>
    <n v="89"/>
    <n v="5800"/>
    <s v="I"/>
    <s v="N"/>
    <n v="0.56000000000000005"/>
    <s v="BLACK"/>
    <s v="P00448B"/>
    <s v="ToyoLi - BLACK"/>
    <n v="25"/>
    <n v="0"/>
    <m/>
    <m/>
    <n v="0"/>
    <s v="R92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30"/>
    <n v="0"/>
    <n v="9.235294117647058"/>
    <n v="0"/>
    <s v="RED"/>
    <m/>
    <s v="ToyoLi - RED"/>
    <m/>
    <n v="0"/>
    <m/>
    <m/>
    <n v="0"/>
    <s v="F53"/>
    <s v="F121"/>
    <m/>
    <m/>
    <m/>
    <m/>
    <m/>
    <m/>
    <n v="5"/>
    <n v="0"/>
    <n v="13"/>
    <n v="0"/>
    <m/>
    <n v="0"/>
    <m/>
    <n v="0"/>
    <m/>
    <n v="0"/>
    <m/>
    <n v="0"/>
    <m/>
    <n v="0"/>
    <m/>
    <n v="0"/>
    <s v="ToyoLi"/>
    <n v="20"/>
    <n v="0"/>
    <n v="19.17647058823529"/>
    <n v="0"/>
    <s v="YELLOW"/>
    <s v="P00448Y"/>
    <s v="ToyoLi - YELLOW"/>
    <n v="25"/>
    <n v="0"/>
    <m/>
    <m/>
    <n v="0"/>
    <s v="F23T"/>
    <m/>
    <m/>
    <m/>
    <m/>
    <m/>
    <m/>
    <m/>
    <n v="15"/>
    <n v="0"/>
    <m/>
    <n v="0"/>
    <m/>
    <n v="0"/>
    <m/>
    <n v="0"/>
    <m/>
    <n v="0"/>
    <m/>
    <n v="0"/>
    <m/>
    <n v="0"/>
    <m/>
    <n v="0"/>
    <s v="ToyoLi"/>
    <n v="25"/>
    <n v="0"/>
    <n v="25.58823529411764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5"/>
    <n v="0"/>
    <n v="0"/>
    <n v="0"/>
    <n v="0"/>
    <n v="0"/>
    <n v="0.3"/>
    <m/>
    <m/>
    <n v="0.5"/>
    <n v="0.2"/>
    <n v="0"/>
    <n v="36"/>
    <n v="0"/>
    <n v="0"/>
    <n v="36"/>
    <n v="36"/>
    <n v="10.799999999999999"/>
    <n v="0"/>
    <n v="0"/>
    <n v="0"/>
    <n v="0"/>
    <n v="0"/>
    <n v="18"/>
    <n v="0"/>
    <n v="7.2"/>
    <n v="0"/>
    <n v="0"/>
    <n v="0"/>
    <n v="0"/>
    <m/>
    <n v="43"/>
    <n v="53.999999999999993"/>
    <s v="TL85"/>
    <s v="ToyoLiToyoLiToyoLi"/>
    <s v="+"/>
    <s v="+"/>
    <s v="+"/>
    <s v="NIL"/>
    <s v="NIL"/>
    <s v="NIL"/>
    <s v="NIL"/>
    <s v="NIL"/>
    <b v="0"/>
  </r>
  <r>
    <d v="2026-01-14T00:00:00"/>
    <s v="B"/>
    <x v="179"/>
    <s v="TL86"/>
    <n v="23"/>
    <n v="1500"/>
    <s v="I"/>
    <s v="N"/>
    <n v="0.56000000000000005"/>
    <s v="BLACK"/>
    <s v="C01491B"/>
    <s v="ToyoLi - BLACK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0"/>
    <n v="13"/>
    <n v="0"/>
    <s v="YELLOW"/>
    <s v="C01491Y"/>
    <s v="ToyoLi - YELLOW"/>
    <n v="25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6"/>
    <n v="0"/>
    <n v="1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0"/>
    <n v="0"/>
    <n v="0"/>
    <n v="0"/>
    <n v="0"/>
    <n v="0"/>
    <n v="0.3"/>
    <m/>
    <m/>
    <n v="0.5"/>
    <n v="0.2"/>
    <n v="0"/>
    <n v="20"/>
    <n v="0"/>
    <n v="0"/>
    <n v="20"/>
    <n v="20"/>
    <n v="6"/>
    <n v="0"/>
    <n v="0"/>
    <n v="0"/>
    <n v="0"/>
    <n v="0"/>
    <n v="10"/>
    <n v="0"/>
    <n v="4"/>
    <n v="0"/>
    <n v="0"/>
    <n v="0"/>
    <n v="0"/>
    <m/>
    <n v="5"/>
    <n v="27"/>
    <s v="TL86"/>
    <s v="ToyoLiToyoLi"/>
    <s v="+"/>
    <s v="+"/>
    <s v="NIL"/>
    <s v="NIL"/>
    <s v="NIL"/>
    <s v="NIL"/>
    <s v="NIL"/>
    <s v="NIL"/>
    <b v="0"/>
  </r>
  <r>
    <d v="2026-01-14T00:00:00"/>
    <s v="B"/>
    <x v="180"/>
    <s v="TL87"/>
    <n v="222"/>
    <n v="12100"/>
    <s v="I"/>
    <s v="N"/>
    <n v="2.8899999999999997"/>
    <s v="BLACK"/>
    <s v="C01493B"/>
    <s v="ToyoLi - BLACK"/>
    <n v="27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9"/>
    <n v="0"/>
    <n v="10.787878787878789"/>
    <n v="0"/>
    <s v="RED"/>
    <s v="P00448R"/>
    <s v="ToyoLi - RED"/>
    <n v="22"/>
    <n v="0"/>
    <s v="C01491R"/>
    <n v="20"/>
    <n v="0"/>
    <s v="F121"/>
    <s v="F53"/>
    <m/>
    <m/>
    <m/>
    <m/>
    <m/>
    <m/>
    <n v="8"/>
    <n v="0"/>
    <n v="3"/>
    <n v="0"/>
    <m/>
    <n v="0"/>
    <m/>
    <n v="0"/>
    <m/>
    <n v="0"/>
    <m/>
    <n v="0"/>
    <m/>
    <n v="0"/>
    <m/>
    <n v="0"/>
    <s v="ToyoLi"/>
    <n v="20"/>
    <n v="0"/>
    <n v="46.484848484848484"/>
    <n v="0"/>
    <s v="GREEN"/>
    <s v="P00448G"/>
    <s v="ToyoLi - GREEN"/>
    <n v="23"/>
    <n v="0"/>
    <m/>
    <m/>
    <n v="0"/>
    <s v="R39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5"/>
    <n v="0"/>
    <n v="4.3939393939393945"/>
    <n v="0"/>
    <s v="ORANGE"/>
    <s v="P00448O"/>
    <s v="ToyoLi - ORANGE"/>
    <n v="28"/>
    <n v="0"/>
    <m/>
    <m/>
    <n v="0"/>
    <s v="F23T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7"/>
    <n v="0"/>
    <n v="2"/>
    <n v="0"/>
    <s v="MAGENTA"/>
    <s v="P00448M"/>
    <s v="ToyoLi - MAGENTA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2"/>
    <n v="0"/>
    <s v="YELLOW"/>
    <m/>
    <s v="ToyoLi - YELLOW"/>
    <m/>
    <n v="0"/>
    <m/>
    <m/>
    <n v="0"/>
    <s v="F23T"/>
    <m/>
    <m/>
    <m/>
    <m/>
    <m/>
    <m/>
    <m/>
    <n v="16"/>
    <n v="0"/>
    <m/>
    <n v="0"/>
    <m/>
    <n v="0"/>
    <m/>
    <n v="0"/>
    <m/>
    <n v="0"/>
    <m/>
    <n v="0"/>
    <m/>
    <n v="0"/>
    <m/>
    <n v="0"/>
    <s v="ToyoLi"/>
    <n v="23"/>
    <n v="0"/>
    <n v="19.969696969696969"/>
    <n v="0"/>
    <s v="WHITE"/>
    <s v="P00448W"/>
    <s v="ToyoLi - WHITE"/>
    <n v="23"/>
    <n v="0"/>
    <m/>
    <m/>
    <n v="0"/>
    <s v="F640"/>
    <m/>
    <m/>
    <m/>
    <m/>
    <m/>
    <m/>
    <m/>
    <n v="60"/>
    <n v="0"/>
    <m/>
    <n v="0"/>
    <m/>
    <n v="0"/>
    <m/>
    <n v="0"/>
    <m/>
    <n v="0"/>
    <m/>
    <n v="0"/>
    <m/>
    <n v="0"/>
    <m/>
    <n v="0"/>
    <s v="ToyoLi"/>
    <n v="25"/>
    <n v="0"/>
    <n v="138.90909090909091"/>
    <n v="0"/>
    <s v="MATT"/>
    <s v="P00448M"/>
    <s v="HI-TECH INK - MATT"/>
    <n v="18"/>
    <n v="0"/>
    <m/>
    <m/>
    <n v="0"/>
    <n v="2066"/>
    <m/>
    <m/>
    <m/>
    <m/>
    <m/>
    <m/>
    <m/>
    <n v="60"/>
    <n v="0"/>
    <m/>
    <n v="0"/>
    <m/>
    <n v="0"/>
    <m/>
    <n v="0"/>
    <m/>
    <n v="0"/>
    <m/>
    <n v="0"/>
    <m/>
    <n v="0"/>
    <m/>
    <n v="0"/>
    <s v="HI-TECH INK"/>
    <n v="20"/>
    <n v="0"/>
    <n v="98.454545454545453"/>
    <n v="0"/>
    <n v="4"/>
    <n v="5"/>
    <n v="2"/>
    <n v="0"/>
    <n v="0"/>
    <n v="10"/>
    <n v="30"/>
    <n v="15"/>
    <n v="0.3"/>
    <m/>
    <m/>
    <n v="0.5"/>
    <n v="0.2"/>
    <n v="0"/>
    <n v="178"/>
    <n v="0"/>
    <n v="0"/>
    <n v="178"/>
    <n v="178"/>
    <n v="53.4"/>
    <n v="0"/>
    <n v="0"/>
    <n v="0"/>
    <n v="0"/>
    <n v="0"/>
    <n v="89"/>
    <n v="0"/>
    <n v="35.6"/>
    <n v="0"/>
    <n v="0"/>
    <n v="0"/>
    <n v="0"/>
    <m/>
    <n v="151"/>
    <n v="323"/>
    <s v="TL87"/>
    <s v="ToyoLiToyoLiToyoLiToyoLiToyoLiToyoLiToyoLiHI-TECH INK"/>
    <s v="+"/>
    <s v="+"/>
    <s v="+"/>
    <s v="+"/>
    <s v="+"/>
    <s v="+"/>
    <s v="+"/>
    <s v="+"/>
    <b v="0"/>
  </r>
  <r>
    <d v="2026-01-14T00:00:00"/>
    <s v="B"/>
    <x v="181"/>
    <s v="TL88"/>
    <n v="222"/>
    <n v="12100"/>
    <s v="I"/>
    <s v="N"/>
    <n v="2.9"/>
    <s v="BLACK"/>
    <s v="P00473B"/>
    <s v="ToyoLi - BLACK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0"/>
    <n v="8.4727272727272691"/>
    <n v="0"/>
    <s v="GREEN"/>
    <s v="P00441G"/>
    <s v="ToyoLi - GREEN"/>
    <n v="20"/>
    <n v="0"/>
    <s v="N00706G/P00473G"/>
    <n v="37"/>
    <n v="0"/>
    <s v="F23T"/>
    <s v="R39"/>
    <s v="R92"/>
    <m/>
    <m/>
    <m/>
    <m/>
    <m/>
    <n v="2"/>
    <n v="0"/>
    <n v="1"/>
    <n v="0"/>
    <n v="0.5"/>
    <n v="0"/>
    <m/>
    <n v="0"/>
    <m/>
    <n v="0"/>
    <m/>
    <n v="0"/>
    <m/>
    <n v="0"/>
    <m/>
    <n v="0"/>
    <s v="ToyoLi"/>
    <n v="20"/>
    <n v="0"/>
    <n v="46.972727272727269"/>
    <n v="0"/>
    <s v="ORANGE"/>
    <s v="P00473O"/>
    <s v="ToyoLi - ORANGE"/>
    <n v="27"/>
    <n v="0"/>
    <m/>
    <m/>
    <n v="0"/>
    <s v="F53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7.4727272727272691"/>
    <n v="0"/>
    <s v="MAGENTA"/>
    <s v="P00473M"/>
    <s v="ToyoLi - MAGENTA"/>
    <n v="26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7.4727272727272691"/>
    <n v="0"/>
    <s v="YELLOW"/>
    <s v="P00473Y"/>
    <s v="ToyoLi - YELLOW"/>
    <n v="23"/>
    <n v="0"/>
    <m/>
    <m/>
    <n v="0"/>
    <s v="F23T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6"/>
    <n v="0"/>
    <n v="7.4727272727272691"/>
    <n v="0"/>
    <s v="WHITE"/>
    <s v="P00473W"/>
    <s v="ToyoLi - WHITE"/>
    <n v="25"/>
    <n v="0"/>
    <m/>
    <m/>
    <n v="0"/>
    <s v="F640"/>
    <m/>
    <m/>
    <m/>
    <m/>
    <m/>
    <m/>
    <m/>
    <n v="60"/>
    <n v="0"/>
    <m/>
    <n v="0"/>
    <m/>
    <n v="0"/>
    <m/>
    <n v="0"/>
    <m/>
    <n v="0"/>
    <m/>
    <n v="0"/>
    <m/>
    <n v="0"/>
    <m/>
    <n v="0"/>
    <s v="ToyoLi"/>
    <n v="30"/>
    <n v="0"/>
    <n v="152.09090909090907"/>
    <n v="0"/>
    <s v="MATT"/>
    <s v="P00473M"/>
    <s v="HI-TECH INK - MATT"/>
    <n v="20"/>
    <n v="0"/>
    <m/>
    <m/>
    <n v="0"/>
    <n v="2066"/>
    <m/>
    <m/>
    <m/>
    <m/>
    <m/>
    <m/>
    <m/>
    <n v="60"/>
    <n v="0"/>
    <m/>
    <n v="0"/>
    <m/>
    <n v="0"/>
    <m/>
    <n v="0"/>
    <m/>
    <n v="0"/>
    <m/>
    <n v="0"/>
    <m/>
    <n v="0"/>
    <m/>
    <n v="0"/>
    <s v="HI-TECH INK"/>
    <n v="27"/>
    <n v="0"/>
    <n v="101.5454545454545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2"/>
    <n v="2"/>
    <n v="30"/>
    <n v="15"/>
    <n v="0"/>
    <n v="0.3"/>
    <m/>
    <m/>
    <n v="0.5"/>
    <n v="0.2"/>
    <n v="0"/>
    <n v="178"/>
    <n v="0"/>
    <n v="0"/>
    <n v="178"/>
    <n v="178"/>
    <n v="53.4"/>
    <n v="0"/>
    <n v="0"/>
    <n v="0"/>
    <n v="0"/>
    <n v="0"/>
    <n v="89"/>
    <n v="0"/>
    <n v="35.6"/>
    <n v="0"/>
    <n v="0"/>
    <n v="0"/>
    <n v="0"/>
    <m/>
    <n v="132.5"/>
    <n v="331.49999999999994"/>
    <s v="TL88"/>
    <s v="ToyoLiToyoLiToyoLiToyoLiToyoLiToyoLiHI-TECH INK"/>
    <s v="+"/>
    <s v="+"/>
    <s v="+"/>
    <s v="+"/>
    <s v="+"/>
    <s v="+"/>
    <s v="+"/>
    <s v="NIL"/>
    <b v="0"/>
  </r>
  <r>
    <d v="2026-01-14T00:00:00"/>
    <s v="B"/>
    <x v="182"/>
    <s v="TL89"/>
    <n v="684"/>
    <n v="39400"/>
    <s v="I"/>
    <s v="N"/>
    <n v="1.93"/>
    <s v="BLACK"/>
    <s v="P00437B"/>
    <s v="ToyoLi - BLACK"/>
    <n v="27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6.3063063063063041"/>
    <n v="0"/>
    <s v="RED"/>
    <s v="P00473R"/>
    <s v="ToyoLi - RED"/>
    <n v="20"/>
    <n v="0"/>
    <s v="P00437R/B01030R"/>
    <n v="44"/>
    <n v="0"/>
    <s v="F121"/>
    <s v="F53"/>
    <s v="F23T"/>
    <s v="R92"/>
    <m/>
    <m/>
    <m/>
    <m/>
    <n v="16"/>
    <n v="0"/>
    <n v="25"/>
    <n v="0"/>
    <n v="10"/>
    <n v="0"/>
    <n v="0.5"/>
    <n v="0"/>
    <m/>
    <n v="0"/>
    <m/>
    <n v="0"/>
    <m/>
    <n v="0"/>
    <m/>
    <n v="0"/>
    <s v="ToyoLi"/>
    <n v="20"/>
    <n v="0"/>
    <n v="129.95045045045043"/>
    <n v="0"/>
    <s v="GREEN"/>
    <s v="C01493G"/>
    <s v="ToyoLi - GREEN"/>
    <n v="20"/>
    <n v="0"/>
    <m/>
    <m/>
    <n v="0"/>
    <s v="R39"/>
    <s v="RTMD"/>
    <m/>
    <m/>
    <m/>
    <m/>
    <m/>
    <m/>
    <n v="4"/>
    <n v="0"/>
    <n v="3"/>
    <n v="0"/>
    <m/>
    <n v="0"/>
    <m/>
    <n v="0"/>
    <m/>
    <n v="0"/>
    <m/>
    <n v="0"/>
    <m/>
    <n v="0"/>
    <m/>
    <n v="0"/>
    <s v="ToyoLi"/>
    <n v="27"/>
    <n v="0"/>
    <n v="10.765765765765764"/>
    <n v="0"/>
    <s v="YELLOW"/>
    <s v="P00437Y"/>
    <s v="ToyoLi - YELLOW"/>
    <n v="26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8"/>
    <n v="0"/>
    <n v="9.4594594594594597"/>
    <n v="0"/>
    <s v="WHITE"/>
    <s v="P00437W"/>
    <s v="ToyoLi - WHITE"/>
    <n v="30"/>
    <n v="0"/>
    <m/>
    <m/>
    <n v="0"/>
    <s v="F640"/>
    <m/>
    <m/>
    <m/>
    <m/>
    <m/>
    <m/>
    <m/>
    <n v="140"/>
    <n v="0"/>
    <m/>
    <n v="0"/>
    <m/>
    <n v="0"/>
    <m/>
    <n v="0"/>
    <m/>
    <n v="0"/>
    <m/>
    <n v="0"/>
    <m/>
    <n v="0"/>
    <m/>
    <n v="0"/>
    <s v="ToyoLi"/>
    <n v="25"/>
    <n v="0"/>
    <n v="328.0180180180179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6"/>
    <n v="5"/>
    <n v="3"/>
    <n v="85"/>
    <n v="0"/>
    <n v="0"/>
    <n v="0"/>
    <n v="0.3"/>
    <m/>
    <m/>
    <n v="0.5"/>
    <n v="0.2"/>
    <n v="0"/>
    <n v="239"/>
    <n v="0"/>
    <n v="0"/>
    <n v="239"/>
    <n v="239"/>
    <n v="71.7"/>
    <n v="0"/>
    <n v="0"/>
    <n v="0"/>
    <n v="0"/>
    <n v="0"/>
    <n v="119.5"/>
    <n v="0"/>
    <n v="47.800000000000004"/>
    <n v="0"/>
    <n v="0"/>
    <n v="0"/>
    <n v="0"/>
    <m/>
    <n v="206.5"/>
    <n v="484.49999999999994"/>
    <s v="TL89"/>
    <s v="ToyoLiToyoLiToyoLiToyoLiToyoLi"/>
    <s v="+"/>
    <s v="+"/>
    <s v="+"/>
    <s v="+"/>
    <s v="+"/>
    <s v="NIL"/>
    <s v="NIL"/>
    <s v="NIL"/>
    <b v="0"/>
  </r>
  <r>
    <d v="2026-01-14T00:00:00"/>
    <s v="B"/>
    <x v="183"/>
    <s v="TL90"/>
    <n v="1102"/>
    <n v="56900"/>
    <s v="I"/>
    <s v="N"/>
    <n v="1.43"/>
    <s v="BLACK"/>
    <s v="B01054B"/>
    <s v="ToyoLi - BLACK"/>
    <n v="28"/>
    <n v="0"/>
    <m/>
    <m/>
    <n v="0"/>
    <s v="R92"/>
    <m/>
    <m/>
    <m/>
    <m/>
    <m/>
    <m/>
    <m/>
    <n v="15"/>
    <n v="0"/>
    <m/>
    <n v="0"/>
    <m/>
    <n v="0"/>
    <m/>
    <n v="0"/>
    <m/>
    <n v="0"/>
    <m/>
    <n v="0"/>
    <m/>
    <n v="0"/>
    <m/>
    <n v="0"/>
    <s v="ToyoLi"/>
    <n v="27"/>
    <n v="0"/>
    <n v="20.036585365853661"/>
    <n v="0"/>
    <s v="BLACK"/>
    <m/>
    <s v="ToyoLi - BLACK"/>
    <m/>
    <n v="0"/>
    <m/>
    <m/>
    <n v="0"/>
    <s v="R92"/>
    <m/>
    <m/>
    <m/>
    <m/>
    <m/>
    <m/>
    <m/>
    <n v="25"/>
    <n v="0"/>
    <m/>
    <n v="0"/>
    <m/>
    <n v="0"/>
    <m/>
    <n v="0"/>
    <m/>
    <n v="0"/>
    <m/>
    <n v="0"/>
    <m/>
    <n v="0"/>
    <m/>
    <n v="0"/>
    <s v="ToyoLi"/>
    <n v="28"/>
    <n v="0"/>
    <n v="27.274390243902438"/>
    <n v="0"/>
    <s v="GREEN"/>
    <s v="P00437G"/>
    <s v="ToyoLi - GREEN"/>
    <n v="20"/>
    <n v="0"/>
    <s v="F00808G/G00397G"/>
    <n v="30"/>
    <n v="0"/>
    <s v="F23T"/>
    <s v="R39"/>
    <s v="R92"/>
    <m/>
    <m/>
    <m/>
    <m/>
    <m/>
    <n v="10"/>
    <n v="0"/>
    <n v="6"/>
    <n v="0"/>
    <n v="1"/>
    <n v="0"/>
    <m/>
    <n v="0"/>
    <m/>
    <n v="0"/>
    <m/>
    <n v="0"/>
    <m/>
    <n v="0"/>
    <m/>
    <n v="0"/>
    <s v="ToyoLi"/>
    <n v="15"/>
    <n v="0"/>
    <n v="72.182926829268297"/>
    <n v="0"/>
    <s v="GREEN"/>
    <s v="B01054G"/>
    <s v="ToyoLi - GREEN"/>
    <n v="27"/>
    <n v="0"/>
    <m/>
    <m/>
    <n v="0"/>
    <s v="F23T"/>
    <s v="R39"/>
    <s v="R79"/>
    <m/>
    <m/>
    <m/>
    <m/>
    <m/>
    <n v="4"/>
    <n v="0"/>
    <n v="2"/>
    <n v="0"/>
    <n v="3"/>
    <n v="0"/>
    <m/>
    <n v="0"/>
    <m/>
    <n v="0"/>
    <m/>
    <n v="0"/>
    <m/>
    <n v="0"/>
    <m/>
    <n v="0"/>
    <s v="ToyoLi"/>
    <n v="27"/>
    <n v="0"/>
    <n v="15.054878048780488"/>
    <n v="0"/>
    <s v="CYAN"/>
    <s v="P00466C"/>
    <s v="ToyoLi - CYAN"/>
    <n v="15"/>
    <n v="0"/>
    <m/>
    <m/>
    <n v="0"/>
    <s v="RTMD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5"/>
    <n v="0"/>
    <n v="8.1097560975609753"/>
    <n v="0"/>
    <s v="MAGENTA"/>
    <s v="P00437M"/>
    <s v="ToyoLi - MAGENTA"/>
    <n v="28"/>
    <n v="0"/>
    <m/>
    <m/>
    <n v="0"/>
    <s v="F121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6"/>
    <n v="0"/>
    <n v="12.054878048780488"/>
    <n v="0"/>
    <s v="YELLOW"/>
    <s v="B01054Y"/>
    <s v="ToyoLi - YELLOW"/>
    <n v="28"/>
    <n v="0"/>
    <m/>
    <m/>
    <n v="0"/>
    <s v="F23T"/>
    <m/>
    <m/>
    <m/>
    <m/>
    <m/>
    <m/>
    <m/>
    <n v="18"/>
    <n v="0"/>
    <m/>
    <n v="0"/>
    <m/>
    <n v="0"/>
    <m/>
    <n v="0"/>
    <m/>
    <n v="0"/>
    <m/>
    <n v="0"/>
    <m/>
    <n v="0"/>
    <m/>
    <n v="0"/>
    <s v="ToyoLi"/>
    <n v="25"/>
    <n v="0"/>
    <n v="31.091463414634148"/>
    <n v="0"/>
    <s v="WHITE"/>
    <s v="B01054W"/>
    <s v="ToyoLi - WHITE"/>
    <n v="25"/>
    <n v="0"/>
    <m/>
    <m/>
    <n v="0"/>
    <s v="F640"/>
    <s v="HSLAS"/>
    <m/>
    <m/>
    <m/>
    <m/>
    <m/>
    <m/>
    <n v="220"/>
    <n v="0"/>
    <n v="12.73"/>
    <n v="0"/>
    <m/>
    <n v="0"/>
    <m/>
    <n v="0"/>
    <m/>
    <n v="0"/>
    <m/>
    <n v="0"/>
    <m/>
    <n v="0"/>
    <m/>
    <n v="0"/>
    <s v="ToyoLi"/>
    <n v="30"/>
    <n v="0"/>
    <n v="469.92512195121952"/>
    <n v="0"/>
    <n v="2"/>
    <n v="15"/>
    <n v="10"/>
    <n v="3"/>
    <n v="6"/>
    <n v="3"/>
    <n v="5"/>
    <n v="120"/>
    <n v="0.3"/>
    <m/>
    <m/>
    <n v="0.5"/>
    <n v="0.2"/>
    <n v="0"/>
    <n v="331"/>
    <n v="0"/>
    <n v="0"/>
    <n v="331"/>
    <n v="331"/>
    <n v="99.3"/>
    <n v="0"/>
    <n v="0"/>
    <n v="0"/>
    <n v="0"/>
    <n v="0"/>
    <n v="165.5"/>
    <n v="0"/>
    <n v="66.2"/>
    <n v="0"/>
    <n v="0"/>
    <n v="0"/>
    <n v="0"/>
    <m/>
    <n v="326.73"/>
    <n v="655.73"/>
    <s v="TL90"/>
    <s v="ToyoLiToyoLiToyoLiToyoLiToyoLiToyoLiToyoLiToyoLi"/>
    <s v="+"/>
    <s v="+"/>
    <s v="+"/>
    <s v="+"/>
    <s v="+"/>
    <s v="+"/>
    <s v="+"/>
    <s v="+"/>
    <b v="0"/>
  </r>
  <r>
    <d v="2026-01-15T00:00:00"/>
    <s v="A"/>
    <x v="184"/>
    <s v="TL91"/>
    <n v="409"/>
    <n v="27900"/>
    <s v="I"/>
    <s v="N"/>
    <n v="1.8"/>
    <s v="BLACK"/>
    <s v="G00407B"/>
    <s v="ToyoLi - BLACK"/>
    <n v="27"/>
    <n v="0"/>
    <m/>
    <m/>
    <n v="0"/>
    <s v="R92"/>
    <s v="RTMD"/>
    <m/>
    <m/>
    <m/>
    <m/>
    <m/>
    <m/>
    <n v="3"/>
    <n v="0"/>
    <n v="5"/>
    <n v="0"/>
    <m/>
    <n v="0"/>
    <m/>
    <n v="0"/>
    <m/>
    <n v="0"/>
    <m/>
    <n v="0"/>
    <m/>
    <n v="0"/>
    <m/>
    <n v="0"/>
    <s v="ToyoLi"/>
    <n v="34"/>
    <n v="0"/>
    <n v="4.9518072289156621"/>
    <n v="0"/>
    <s v="BLACK"/>
    <s v="G00407B"/>
    <s v="ToyoLi - BLACK"/>
    <n v="28"/>
    <n v="0"/>
    <m/>
    <m/>
    <n v="0"/>
    <s v="R92"/>
    <s v="RTMD"/>
    <m/>
    <m/>
    <m/>
    <m/>
    <m/>
    <m/>
    <n v="4"/>
    <n v="0"/>
    <n v="6"/>
    <n v="0"/>
    <m/>
    <n v="0"/>
    <m/>
    <n v="0"/>
    <m/>
    <n v="0"/>
    <m/>
    <n v="0"/>
    <m/>
    <n v="0"/>
    <m/>
    <n v="0"/>
    <s v="ToyoLi"/>
    <n v="40"/>
    <n v="0"/>
    <n v="9.8554216867469862"/>
    <n v="0"/>
    <s v="REFLEX BLUE"/>
    <s v="C01486P"/>
    <s v="ToyoLi - REFLEX BLUE"/>
    <n v="36"/>
    <n v="0"/>
    <m/>
    <m/>
    <n v="0"/>
    <s v="F121"/>
    <s v="Z822"/>
    <s v="R1205"/>
    <s v="RTMD"/>
    <s v="TP"/>
    <m/>
    <m/>
    <m/>
    <n v="15"/>
    <n v="0"/>
    <n v="20"/>
    <n v="0"/>
    <n v="2"/>
    <n v="0"/>
    <n v="15"/>
    <n v="0"/>
    <n v="10"/>
    <n v="0"/>
    <m/>
    <n v="0"/>
    <m/>
    <n v="0"/>
    <m/>
    <n v="0"/>
    <s v="ToyoLi"/>
    <n v="39"/>
    <n v="0"/>
    <n v="88.638554216867476"/>
    <n v="0"/>
    <s v="RED"/>
    <s v="G00406R"/>
    <s v="ToyoLi - RED"/>
    <n v="20"/>
    <n v="0"/>
    <m/>
    <m/>
    <n v="0"/>
    <s v="F121"/>
    <s v="R92"/>
    <s v="F53"/>
    <m/>
    <m/>
    <m/>
    <m/>
    <m/>
    <n v="5"/>
    <n v="0"/>
    <n v="2"/>
    <n v="0"/>
    <n v="4"/>
    <n v="0"/>
    <m/>
    <n v="0"/>
    <m/>
    <n v="0"/>
    <m/>
    <n v="0"/>
    <m/>
    <n v="0"/>
    <m/>
    <n v="0"/>
    <s v="ToyoLi"/>
    <n v="25"/>
    <n v="0"/>
    <n v="17.855421686746986"/>
    <n v="0"/>
    <s v="CYAN"/>
    <s v="G00407C"/>
    <s v="ToyoLi - CYAN"/>
    <n v="25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6.9036144578313241"/>
    <n v="0"/>
    <s v="MAGENTA"/>
    <s v="G00407M"/>
    <s v="ToyoLi - MAGENTA"/>
    <n v="26"/>
    <n v="0"/>
    <m/>
    <m/>
    <n v="0"/>
    <s v="F121"/>
    <s v="RTMD"/>
    <m/>
    <m/>
    <m/>
    <m/>
    <m/>
    <m/>
    <n v="7"/>
    <n v="0"/>
    <n v="5"/>
    <n v="0"/>
    <m/>
    <n v="0"/>
    <m/>
    <n v="0"/>
    <m/>
    <n v="0"/>
    <m/>
    <n v="0"/>
    <m/>
    <n v="0"/>
    <m/>
    <n v="0"/>
    <s v="ToyoLi"/>
    <n v="40"/>
    <n v="0"/>
    <n v="7.8795180722891587"/>
    <n v="0"/>
    <s v="YELLOW"/>
    <s v="G00407Y"/>
    <s v="ToyoLi - YELLOW"/>
    <n v="25"/>
    <n v="0"/>
    <m/>
    <m/>
    <n v="0"/>
    <s v="F23T"/>
    <s v="RTMD"/>
    <m/>
    <m/>
    <m/>
    <m/>
    <m/>
    <m/>
    <n v="10"/>
    <n v="0"/>
    <n v="5"/>
    <n v="0"/>
    <m/>
    <n v="0"/>
    <m/>
    <n v="0"/>
    <m/>
    <n v="0"/>
    <m/>
    <n v="0"/>
    <m/>
    <n v="0"/>
    <m/>
    <n v="0"/>
    <s v="ToyoLi"/>
    <n v="25"/>
    <n v="0"/>
    <n v="34.759036144578317"/>
    <n v="0"/>
    <s v="WHITE"/>
    <s v="G00407W"/>
    <s v="ToyoLi - WHITE"/>
    <n v="30"/>
    <n v="0"/>
    <m/>
    <m/>
    <n v="0"/>
    <s v="F640"/>
    <m/>
    <m/>
    <m/>
    <m/>
    <m/>
    <m/>
    <m/>
    <n v="75"/>
    <n v="0"/>
    <m/>
    <n v="0"/>
    <m/>
    <n v="0"/>
    <m/>
    <n v="0"/>
    <m/>
    <n v="0"/>
    <m/>
    <n v="0"/>
    <m/>
    <n v="0"/>
    <m/>
    <n v="0"/>
    <s v="ToyoLi"/>
    <n v="35"/>
    <n v="0"/>
    <n v="139.15662650602411"/>
    <n v="0"/>
    <n v="2"/>
    <n v="6"/>
    <n v="15"/>
    <n v="6"/>
    <n v="4"/>
    <n v="5"/>
    <n v="10"/>
    <n v="35"/>
    <n v="0.3"/>
    <m/>
    <m/>
    <n v="0.5"/>
    <n v="0.2"/>
    <n v="0"/>
    <n v="164"/>
    <n v="0"/>
    <n v="0"/>
    <n v="164"/>
    <n v="164"/>
    <n v="49.199999999999996"/>
    <n v="0"/>
    <n v="0"/>
    <n v="0"/>
    <n v="0"/>
    <n v="0"/>
    <n v="82"/>
    <n v="0"/>
    <n v="32.800000000000004"/>
    <n v="0"/>
    <n v="0"/>
    <n v="0"/>
    <n v="0"/>
    <m/>
    <n v="195"/>
    <n v="310"/>
    <s v="TL91"/>
    <s v="ToyoLiToyoLiToyoLiToyoLiToyoLiToyoLiToyoLiToyoLi"/>
    <s v="+"/>
    <s v="+"/>
    <s v="+"/>
    <s v="+"/>
    <s v="+"/>
    <s v="+"/>
    <s v="+"/>
    <s v="+"/>
    <b v="0"/>
  </r>
  <r>
    <d v="2026-01-16T00:00:00"/>
    <s v="B"/>
    <x v="185"/>
    <s v="TL92"/>
    <n v="460"/>
    <n v="29000"/>
    <s v="I"/>
    <s v="N"/>
    <n v="1.69"/>
    <s v="BLACK"/>
    <s v="F00857B"/>
    <s v="ToyoLi - BLACK"/>
    <n v="18"/>
    <n v="0"/>
    <s v="C01368B"/>
    <n v="18"/>
    <n v="0"/>
    <s v="R92"/>
    <m/>
    <m/>
    <m/>
    <m/>
    <m/>
    <m/>
    <m/>
    <n v="13"/>
    <n v="0"/>
    <m/>
    <n v="0"/>
    <m/>
    <n v="0"/>
    <m/>
    <n v="0"/>
    <m/>
    <n v="0"/>
    <m/>
    <n v="0"/>
    <m/>
    <n v="0"/>
    <m/>
    <n v="0"/>
    <s v="ToyoLi"/>
    <n v="30"/>
    <n v="0"/>
    <n v="24.111111111111114"/>
    <n v="0"/>
    <s v="BLACK"/>
    <s v="P00456B"/>
    <s v="ToyoLi - BLACK"/>
    <n v="40"/>
    <n v="0"/>
    <s v="B01019B/P00460B"/>
    <n v="35"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18"/>
    <n v="0"/>
    <n v="74.777777777777771"/>
    <n v="0"/>
    <s v="MEDIUM"/>
    <s v="C01467B"/>
    <s v="ToyoLi - MEDIUM"/>
    <n v="11"/>
    <n v="0"/>
    <s v="G00400M"/>
    <n v="13"/>
    <n v="0"/>
    <s v="RTMD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0"/>
    <n v="0"/>
    <n v="15.666666666666664"/>
    <n v="0"/>
    <s v="CYAN"/>
    <s v="P00456C"/>
    <s v="ToyoLi - CYAN"/>
    <n v="28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30"/>
    <n v="0"/>
    <n v="12.777777777777779"/>
    <n v="0"/>
    <s v="MAGENTA"/>
    <s v="P00456M"/>
    <s v="ToyoLi - MAGENTA"/>
    <n v="4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3"/>
    <n v="0"/>
    <n v="12.111111111111114"/>
    <n v="0"/>
    <s v="YELLOW"/>
    <s v="P00456Y"/>
    <s v="ToyoLi - YELLOW"/>
    <n v="25"/>
    <n v="0"/>
    <m/>
    <m/>
    <n v="0"/>
    <s v="F23T"/>
    <m/>
    <m/>
    <m/>
    <m/>
    <m/>
    <m/>
    <m/>
    <n v="15"/>
    <n v="0"/>
    <m/>
    <n v="0"/>
    <m/>
    <n v="0"/>
    <m/>
    <n v="0"/>
    <m/>
    <n v="0"/>
    <m/>
    <n v="0"/>
    <m/>
    <n v="0"/>
    <m/>
    <n v="0"/>
    <s v="ToyoLi"/>
    <n v="28"/>
    <n v="0"/>
    <n v="24.777777777777779"/>
    <n v="0"/>
    <s v="WHITE"/>
    <m/>
    <s v="ToyoLi - WHITE"/>
    <m/>
    <n v="0"/>
    <m/>
    <m/>
    <n v="0"/>
    <s v="F640"/>
    <m/>
    <m/>
    <m/>
    <m/>
    <m/>
    <m/>
    <m/>
    <n v="100"/>
    <n v="0"/>
    <m/>
    <n v="0"/>
    <m/>
    <n v="0"/>
    <m/>
    <n v="0"/>
    <m/>
    <n v="0"/>
    <m/>
    <n v="0"/>
    <m/>
    <n v="0"/>
    <m/>
    <n v="0"/>
    <s v="ToyoLi"/>
    <n v="30"/>
    <n v="0"/>
    <n v="197.7777777777777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3"/>
    <n v="5"/>
    <n v="2"/>
    <n v="5"/>
    <n v="50"/>
    <n v="0"/>
    <n v="0.3"/>
    <m/>
    <m/>
    <n v="0.5"/>
    <n v="0.2"/>
    <n v="0"/>
    <n v="184"/>
    <n v="0"/>
    <n v="0"/>
    <n v="184"/>
    <n v="184"/>
    <n v="55.199999999999996"/>
    <n v="0"/>
    <n v="0"/>
    <n v="0"/>
    <n v="0"/>
    <n v="0"/>
    <n v="92"/>
    <n v="0"/>
    <n v="36.800000000000004"/>
    <n v="0"/>
    <n v="0"/>
    <n v="0"/>
    <n v="0"/>
    <m/>
    <n v="139"/>
    <n v="362"/>
    <s v="TL92"/>
    <s v="ToyoLiToyoLiToyoLiToyoLiToyoLiToyoLiToyoLi"/>
    <s v="+"/>
    <s v="+"/>
    <s v="+"/>
    <s v="+"/>
    <s v="+"/>
    <s v="+"/>
    <s v="+"/>
    <s v="NIL"/>
    <b v="0"/>
  </r>
  <r>
    <d v="2026-01-16T00:00:00"/>
    <s v="B"/>
    <x v="186"/>
    <s v="TL93"/>
    <n v="128"/>
    <n v="8100"/>
    <s v="I"/>
    <s v="N"/>
    <n v="2.23"/>
    <s v="BLACK"/>
    <s v="B01037B"/>
    <s v="ToyoLi - BLACK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0"/>
    <n v="5.6428571428571459"/>
    <n v="0"/>
    <s v="GREEN"/>
    <s v="J00985G"/>
    <s v="ToyoLi - GREEN"/>
    <n v="7"/>
    <n v="0"/>
    <m/>
    <m/>
    <n v="0"/>
    <s v="F23T"/>
    <s v="R79"/>
    <s v="RTMD"/>
    <m/>
    <m/>
    <m/>
    <m/>
    <m/>
    <n v="5"/>
    <n v="0"/>
    <n v="8"/>
    <n v="0"/>
    <n v="8"/>
    <n v="0"/>
    <m/>
    <n v="0"/>
    <m/>
    <n v="0"/>
    <m/>
    <n v="0"/>
    <m/>
    <n v="0"/>
    <m/>
    <n v="0"/>
    <s v="ToyoLi"/>
    <n v="18"/>
    <n v="0"/>
    <n v="20.928571428571431"/>
    <n v="0"/>
    <s v="YELLOW"/>
    <s v="G00406Y"/>
    <s v="ToyoLi - YELLOW"/>
    <n v="20"/>
    <n v="0"/>
    <s v="J00985Y"/>
    <n v="33"/>
    <n v="0"/>
    <s v="F53"/>
    <s v="RTMD"/>
    <m/>
    <m/>
    <m/>
    <m/>
    <m/>
    <m/>
    <n v="2"/>
    <n v="0"/>
    <n v="10"/>
    <n v="0"/>
    <m/>
    <n v="0"/>
    <m/>
    <n v="0"/>
    <m/>
    <n v="0"/>
    <m/>
    <n v="0"/>
    <m/>
    <n v="0"/>
    <m/>
    <n v="0"/>
    <s v="ToyoLi"/>
    <n v="28"/>
    <n v="0"/>
    <n v="46.107142857142861"/>
    <n v="0"/>
    <s v="WHITE"/>
    <s v="B01037W"/>
    <s v="ToyoLi - WHITE"/>
    <n v="30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30"/>
    <n v="0"/>
    <n v="57.32142857142856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"/>
    <n v="5"/>
    <n v="15"/>
    <n v="0"/>
    <n v="0"/>
    <n v="0"/>
    <n v="0"/>
    <n v="0.3"/>
    <m/>
    <m/>
    <n v="0.5"/>
    <n v="0.2"/>
    <n v="0"/>
    <n v="51"/>
    <n v="0"/>
    <n v="0"/>
    <n v="51"/>
    <n v="51"/>
    <n v="15.299999999999999"/>
    <n v="0"/>
    <n v="0"/>
    <n v="0"/>
    <n v="0"/>
    <n v="0"/>
    <n v="25.5"/>
    <n v="0"/>
    <n v="10.200000000000001"/>
    <n v="0"/>
    <n v="0"/>
    <n v="0"/>
    <n v="0"/>
    <m/>
    <n v="63"/>
    <n v="130"/>
    <s v="TL93"/>
    <s v="ToyoLiToyoLiToyoLiToyoLi"/>
    <s v="+"/>
    <s v="+"/>
    <s v="+"/>
    <s v="+"/>
    <s v="NIL"/>
    <s v="NIL"/>
    <s v="NIL"/>
    <s v="NIL"/>
    <b v="0"/>
  </r>
  <r>
    <d v="2026-01-16T00:00:00"/>
    <s v="B"/>
    <x v="187"/>
    <s v="TL94"/>
    <n v="968"/>
    <n v="54200"/>
    <s v="I"/>
    <s v="N"/>
    <n v="1.76"/>
    <s v="REFLEX BLUE"/>
    <s v="B01037B"/>
    <s v="ToyoLi - REFLEX BLUE"/>
    <n v="30"/>
    <n v="0"/>
    <m/>
    <m/>
    <n v="0"/>
    <s v="R1205"/>
    <s v="R39"/>
    <s v="RTMD"/>
    <m/>
    <m/>
    <m/>
    <m/>
    <m/>
    <n v="1"/>
    <n v="0"/>
    <n v="5"/>
    <n v="0"/>
    <n v="5"/>
    <n v="0"/>
    <m/>
    <n v="0"/>
    <m/>
    <n v="0"/>
    <m/>
    <n v="0"/>
    <m/>
    <n v="0"/>
    <m/>
    <n v="0"/>
    <s v="ToyoLi"/>
    <n v="20"/>
    <n v="0"/>
    <n v="30.416666666666664"/>
    <n v="0"/>
    <s v="WHITE"/>
    <s v="J00984W"/>
    <s v="ToyoLi - WHITE"/>
    <n v="30"/>
    <n v="0"/>
    <m/>
    <m/>
    <n v="0"/>
    <s v="F640"/>
    <m/>
    <m/>
    <m/>
    <m/>
    <m/>
    <m/>
    <m/>
    <n v="260"/>
    <n v="0"/>
    <m/>
    <n v="0"/>
    <m/>
    <n v="0"/>
    <m/>
    <n v="0"/>
    <m/>
    <n v="0"/>
    <m/>
    <n v="0"/>
    <m/>
    <n v="0"/>
    <m/>
    <n v="0"/>
    <s v="ToyoLi"/>
    <n v="30"/>
    <n v="0"/>
    <n v="589.5833333333332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140"/>
    <n v="0"/>
    <n v="0"/>
    <n v="0"/>
    <n v="0"/>
    <n v="0"/>
    <n v="0"/>
    <n v="0.3"/>
    <m/>
    <m/>
    <n v="0.5"/>
    <n v="0.2"/>
    <n v="0"/>
    <n v="339"/>
    <n v="0"/>
    <n v="0"/>
    <n v="339"/>
    <n v="339"/>
    <n v="101.7"/>
    <n v="0"/>
    <n v="0"/>
    <n v="0"/>
    <n v="0"/>
    <n v="0"/>
    <n v="169.5"/>
    <n v="0"/>
    <n v="67.8"/>
    <n v="0"/>
    <n v="0"/>
    <n v="0"/>
    <n v="0"/>
    <m/>
    <n v="271"/>
    <n v="619.99999999999989"/>
    <s v="TL94"/>
    <s v="ToyoLiToyoLi"/>
    <s v="+"/>
    <s v="+"/>
    <s v="NIL"/>
    <s v="NIL"/>
    <s v="NIL"/>
    <s v="NIL"/>
    <s v="NIL"/>
    <s v="NIL"/>
    <b v="0"/>
  </r>
  <r>
    <d v="2026-01-16T00:00:00"/>
    <s v="B"/>
    <x v="188"/>
    <s v="TL95"/>
    <n v="179"/>
    <n v="8800"/>
    <s v="I"/>
    <s v="N"/>
    <n v="1.96"/>
    <s v="BLACK"/>
    <s v="J00984B"/>
    <s v="ToyoLi - BLACK"/>
    <n v="28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9"/>
    <n v="0"/>
    <n v="4.3488372093023244"/>
    <n v="0"/>
    <s v="GREEN"/>
    <s v="B01041G"/>
    <s v="ToyoLi - GREEN"/>
    <n v="20"/>
    <n v="0"/>
    <m/>
    <m/>
    <n v="0"/>
    <s v="F23T"/>
    <s v="R79"/>
    <m/>
    <m/>
    <m/>
    <m/>
    <m/>
    <m/>
    <n v="5"/>
    <n v="0"/>
    <n v="4"/>
    <n v="0"/>
    <m/>
    <n v="0"/>
    <m/>
    <n v="0"/>
    <m/>
    <n v="0"/>
    <m/>
    <n v="0"/>
    <m/>
    <n v="0"/>
    <m/>
    <n v="0"/>
    <s v="ToyoLi"/>
    <n v="25"/>
    <n v="0"/>
    <n v="9.0232558139534902"/>
    <n v="0"/>
    <s v="RED"/>
    <m/>
    <s v="ToyoLi - RED"/>
    <m/>
    <n v="0"/>
    <m/>
    <m/>
    <n v="0"/>
    <s v="F121"/>
    <s v="F53"/>
    <m/>
    <m/>
    <m/>
    <m/>
    <m/>
    <m/>
    <n v="10"/>
    <n v="0"/>
    <n v="7"/>
    <n v="0"/>
    <m/>
    <n v="0"/>
    <m/>
    <n v="0"/>
    <m/>
    <n v="0"/>
    <m/>
    <n v="0"/>
    <m/>
    <n v="0"/>
    <m/>
    <n v="0"/>
    <s v="ToyoLi"/>
    <n v="22"/>
    <n v="0"/>
    <n v="8.3953488372093013"/>
    <n v="0"/>
    <s v="BLACK"/>
    <s v="H01306B"/>
    <s v="ToyoLi - BLACK"/>
    <n v="25"/>
    <n v="0"/>
    <s v="N00944B"/>
    <n v="5"/>
    <n v="0"/>
    <s v="F23T"/>
    <s v="R92"/>
    <s v="RTMD"/>
    <m/>
    <m/>
    <m/>
    <m/>
    <m/>
    <n v="2"/>
    <n v="0"/>
    <n v="3"/>
    <n v="0"/>
    <n v="5"/>
    <n v="0"/>
    <m/>
    <n v="0"/>
    <m/>
    <n v="0"/>
    <m/>
    <n v="0"/>
    <m/>
    <n v="0"/>
    <m/>
    <n v="0"/>
    <s v="ToyoLi"/>
    <n v="35"/>
    <n v="0"/>
    <n v="13.372093023255815"/>
    <n v="0"/>
    <s v="CYAN"/>
    <s v="H01378C"/>
    <s v="ToyoLi - CYAN"/>
    <n v="20"/>
    <n v="0"/>
    <m/>
    <m/>
    <n v="0"/>
    <s v="R39"/>
    <s v="RTMD"/>
    <m/>
    <m/>
    <m/>
    <m/>
    <m/>
    <m/>
    <n v="5"/>
    <n v="0"/>
    <n v="4"/>
    <n v="0"/>
    <m/>
    <n v="0"/>
    <m/>
    <n v="0"/>
    <m/>
    <n v="0"/>
    <m/>
    <n v="0"/>
    <m/>
    <n v="0"/>
    <m/>
    <n v="0"/>
    <s v="ToyoLi"/>
    <n v="30"/>
    <n v="0"/>
    <n v="9.0465116279069804"/>
    <n v="0"/>
    <s v="MAGENTA"/>
    <s v="B01037M"/>
    <s v="ToyoLi - MAGENTA"/>
    <n v="33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0"/>
    <n v="6.3488372093023244"/>
    <n v="0"/>
    <s v="YELLOW"/>
    <s v="B01037Y"/>
    <s v="ToyoLi - YELLOW"/>
    <n v="28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30"/>
    <n v="0"/>
    <n v="3.3488372093023244"/>
    <n v="0"/>
    <s v="WHITE"/>
    <s v="H01378W"/>
    <s v="ToyoLi - WHITE"/>
    <n v="30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30"/>
    <n v="0"/>
    <n v="55.116279069767444"/>
    <n v="0"/>
    <n v="2"/>
    <n v="3"/>
    <n v="8"/>
    <n v="5"/>
    <n v="6"/>
    <n v="2"/>
    <n v="2"/>
    <n v="15"/>
    <n v="0.3"/>
    <m/>
    <m/>
    <n v="0.5"/>
    <n v="0.2"/>
    <n v="0"/>
    <n v="72"/>
    <n v="0"/>
    <n v="0"/>
    <n v="72"/>
    <n v="72"/>
    <n v="21.599999999999998"/>
    <n v="0"/>
    <n v="0"/>
    <n v="0"/>
    <n v="0"/>
    <n v="0"/>
    <n v="36"/>
    <n v="0"/>
    <n v="14.4"/>
    <n v="0"/>
    <n v="0"/>
    <n v="0"/>
    <n v="0"/>
    <m/>
    <n v="79"/>
    <n v="109"/>
    <s v="TL95"/>
    <s v="ToyoLiToyoLiToyoLiToyoLiToyoLiToyoLiToyoLiToyoLi"/>
    <s v="+"/>
    <s v="+"/>
    <s v="+"/>
    <s v="+"/>
    <s v="+"/>
    <s v="+"/>
    <s v="+"/>
    <s v="+"/>
    <b v="0"/>
  </r>
  <r>
    <d v="2026-01-16T00:00:00"/>
    <s v="B"/>
    <x v="189"/>
    <s v="TL93"/>
    <n v="175"/>
    <n v="8600"/>
    <s v="I"/>
    <s v="N"/>
    <n v="1.96"/>
    <s v="BLACK"/>
    <s v="B01051B"/>
    <s v="ToyoLi - BLACK"/>
    <n v="29"/>
    <n v="0"/>
    <m/>
    <m/>
    <n v="0"/>
    <s v="RTMD"/>
    <m/>
    <m/>
    <m/>
    <m/>
    <m/>
    <m/>
    <m/>
    <n v="9"/>
    <n v="0"/>
    <m/>
    <n v="0"/>
    <m/>
    <n v="0"/>
    <m/>
    <n v="0"/>
    <m/>
    <n v="0"/>
    <m/>
    <n v="0"/>
    <m/>
    <n v="0"/>
    <m/>
    <n v="0"/>
    <s v="ToyoLi"/>
    <n v="37"/>
    <n v="0"/>
    <n v="5.5161290322580641"/>
    <n v="0"/>
    <s v="GREEN"/>
    <s v="B01051G"/>
    <s v="ToyoLi - GREEN"/>
    <n v="25"/>
    <n v="0"/>
    <m/>
    <m/>
    <n v="0"/>
    <s v="RTMD"/>
    <m/>
    <m/>
    <m/>
    <m/>
    <m/>
    <m/>
    <m/>
    <n v="9"/>
    <n v="0"/>
    <m/>
    <n v="0"/>
    <m/>
    <n v="0"/>
    <m/>
    <n v="0"/>
    <m/>
    <n v="0"/>
    <m/>
    <n v="0"/>
    <m/>
    <n v="0"/>
    <m/>
    <n v="0"/>
    <s v="ToyoLi"/>
    <n v="33"/>
    <n v="0"/>
    <n v="5.5161290322580641"/>
    <n v="0"/>
    <s v="RED"/>
    <s v="B01051R"/>
    <s v="ToyoLi - RED"/>
    <n v="22"/>
    <n v="0"/>
    <m/>
    <m/>
    <n v="0"/>
    <s v="F53"/>
    <m/>
    <m/>
    <m/>
    <m/>
    <m/>
    <m/>
    <m/>
    <n v="13"/>
    <n v="0"/>
    <m/>
    <n v="0"/>
    <m/>
    <n v="0"/>
    <m/>
    <n v="0"/>
    <m/>
    <n v="0"/>
    <m/>
    <n v="0"/>
    <m/>
    <n v="0"/>
    <m/>
    <n v="0"/>
    <s v="ToyoLi"/>
    <n v="34"/>
    <n v="0"/>
    <n v="5.5161290322580641"/>
    <n v="0"/>
    <s v="CYAN"/>
    <s v="B01051C"/>
    <s v="ToyoLi - CYAN"/>
    <n v="30"/>
    <n v="0"/>
    <m/>
    <m/>
    <n v="0"/>
    <s v="R39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37"/>
    <n v="0"/>
    <n v="12.548387096774192"/>
    <n v="0"/>
    <s v="MAGENTA"/>
    <s v="B01051M"/>
    <s v="ToyoLi - MAGENTA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0"/>
    <n v="4.5161290322580641"/>
    <n v="0"/>
    <s v="YELLOW"/>
    <s v="B01051Y"/>
    <s v="ToyoLi - YELLOW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0"/>
    <n v="7.5161290322580641"/>
    <n v="0"/>
    <s v="WHITE"/>
    <s v="B01051W"/>
    <s v="ToyoLi - WHITE"/>
    <n v="30"/>
    <n v="0"/>
    <m/>
    <m/>
    <n v="0"/>
    <s v="F640"/>
    <m/>
    <m/>
    <m/>
    <m/>
    <m/>
    <m/>
    <m/>
    <n v="50"/>
    <n v="0"/>
    <m/>
    <n v="0"/>
    <m/>
    <n v="0"/>
    <m/>
    <n v="0"/>
    <m/>
    <n v="0"/>
    <m/>
    <n v="0"/>
    <m/>
    <n v="0"/>
    <m/>
    <n v="0"/>
    <s v="ToyoLi"/>
    <n v="30"/>
    <n v="0"/>
    <n v="83.87096774193548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6"/>
    <n v="2"/>
    <n v="2"/>
    <n v="15"/>
    <n v="0"/>
    <n v="0.3"/>
    <m/>
    <m/>
    <n v="0.5"/>
    <n v="0.2"/>
    <n v="0"/>
    <n v="70"/>
    <n v="0"/>
    <n v="0"/>
    <n v="70"/>
    <n v="70"/>
    <n v="21"/>
    <n v="0"/>
    <n v="0"/>
    <n v="0"/>
    <n v="0"/>
    <n v="0"/>
    <n v="35"/>
    <n v="0"/>
    <n v="14"/>
    <n v="0"/>
    <n v="0"/>
    <n v="0"/>
    <n v="0"/>
    <m/>
    <n v="87"/>
    <n v="125"/>
    <s v="TL93"/>
    <s v="ToyoLiToyoLiToyoLiToyoLiToyoLiToyoLiToyoLi"/>
    <s v="+"/>
    <s v="+"/>
    <s v="+"/>
    <s v="+"/>
    <s v="+"/>
    <s v="+"/>
    <s v="+"/>
    <s v="NIL"/>
    <b v="0"/>
  </r>
  <r>
    <d v="2026-01-17T00:00:00"/>
    <s v="B"/>
    <x v="190"/>
    <s v="TL94"/>
    <n v="35"/>
    <n v="1700"/>
    <s v="I"/>
    <s v="N"/>
    <n v="0.76"/>
    <s v="BLACK"/>
    <s v="B01037B"/>
    <s v="ToyoLi - BLACK"/>
    <n v="18"/>
    <n v="0"/>
    <m/>
    <m/>
    <n v="0"/>
    <s v="R92"/>
    <m/>
    <m/>
    <m/>
    <m/>
    <m/>
    <m/>
    <m/>
    <n v="7"/>
    <n v="0"/>
    <m/>
    <n v="0"/>
    <m/>
    <n v="0"/>
    <m/>
    <n v="0"/>
    <m/>
    <n v="0"/>
    <m/>
    <n v="0"/>
    <m/>
    <n v="0"/>
    <m/>
    <n v="0"/>
    <s v="ToyoLi"/>
    <n v="20"/>
    <n v="0"/>
    <n v="11.285714285714285"/>
    <n v="0"/>
    <s v="RED"/>
    <m/>
    <s v="ToyoLi - RED"/>
    <m/>
    <n v="0"/>
    <m/>
    <m/>
    <n v="0"/>
    <s v="F121"/>
    <s v="F53"/>
    <m/>
    <m/>
    <m/>
    <m/>
    <m/>
    <m/>
    <n v="12"/>
    <n v="0"/>
    <n v="11"/>
    <n v="0"/>
    <m/>
    <n v="0"/>
    <m/>
    <n v="0"/>
    <m/>
    <n v="0"/>
    <m/>
    <n v="0"/>
    <m/>
    <n v="0"/>
    <m/>
    <n v="0"/>
    <s v="ToyoLi"/>
    <n v="20"/>
    <n v="0"/>
    <n v="18.71428571428571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0"/>
    <n v="0"/>
    <n v="0"/>
    <n v="0"/>
    <n v="0"/>
    <n v="0"/>
    <n v="0.3"/>
    <m/>
    <m/>
    <n v="0.5"/>
    <n v="0.2"/>
    <n v="0"/>
    <n v="22"/>
    <n v="0"/>
    <n v="0"/>
    <n v="22"/>
    <n v="22"/>
    <n v="6.6"/>
    <n v="0"/>
    <n v="0"/>
    <n v="0"/>
    <n v="0"/>
    <n v="0"/>
    <n v="11"/>
    <n v="0"/>
    <n v="4.4000000000000004"/>
    <n v="0"/>
    <n v="0"/>
    <n v="0"/>
    <n v="0"/>
    <m/>
    <n v="30"/>
    <n v="30"/>
    <s v="TL94"/>
    <s v="ToyoLiToyoLi"/>
    <s v="+"/>
    <s v="+"/>
    <s v="NIL"/>
    <s v="NIL"/>
    <s v="NIL"/>
    <s v="NIL"/>
    <s v="NIL"/>
    <s v="NIL"/>
    <b v="0"/>
  </r>
  <r>
    <d v="2026-01-14T00:00:00"/>
    <s v="A"/>
    <x v="191"/>
    <n v="94"/>
    <n v="515"/>
    <n v="26500"/>
    <s v="II"/>
    <s v="N"/>
    <n v="1.9"/>
    <s v="BLACK"/>
    <s v="C01433B"/>
    <s v="FLINTSL - BLACK"/>
    <n v="28"/>
    <n v="0"/>
    <m/>
    <m/>
    <n v="0"/>
    <n v="2651700003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6.5853658536585371"/>
    <n v="0"/>
    <s v="RED"/>
    <s v="B01046B"/>
    <s v="FLINTSL - RED"/>
    <n v="30"/>
    <n v="0"/>
    <s v="C01433R"/>
    <n v="24"/>
    <n v="0"/>
    <n v="26514000006"/>
    <n v="26508000010"/>
    <m/>
    <m/>
    <m/>
    <m/>
    <m/>
    <m/>
    <n v="6"/>
    <e v="#N/A"/>
    <n v="4"/>
    <e v="#N/A"/>
    <m/>
    <n v="0"/>
    <m/>
    <n v="0"/>
    <m/>
    <n v="0"/>
    <m/>
    <n v="0"/>
    <m/>
    <n v="0"/>
    <m/>
    <n v="0"/>
    <s v="FLINTSL"/>
    <n v="28"/>
    <n v="0"/>
    <n v="49.756097560975604"/>
    <n v="0"/>
    <s v="GREEN"/>
    <s v="J00968G"/>
    <s v="FLINTSL - GREEN"/>
    <n v="18"/>
    <n v="0"/>
    <s v="F00853G"/>
    <n v="15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2"/>
    <n v="0"/>
    <n v="5.5853658536585371"/>
    <n v="0"/>
    <s v="GREEN"/>
    <m/>
    <s v="FLINTSL - GREEN"/>
    <m/>
    <n v="0"/>
    <m/>
    <m/>
    <n v="0"/>
    <n v="26510000009"/>
    <n v="26515000007"/>
    <m/>
    <m/>
    <m/>
    <m/>
    <m/>
    <m/>
    <n v="9"/>
    <e v="#N/A"/>
    <n v="12"/>
    <e v="#N/A"/>
    <m/>
    <n v="0"/>
    <m/>
    <n v="0"/>
    <m/>
    <n v="0"/>
    <m/>
    <n v="0"/>
    <m/>
    <n v="0"/>
    <m/>
    <n v="0"/>
    <s v="FLINTSL"/>
    <n v="26"/>
    <n v="0"/>
    <n v="1.8780487804878057"/>
    <n v="0"/>
    <s v="CYAN"/>
    <s v="C01433C"/>
    <s v="FLINTSL - CYAN"/>
    <n v="32"/>
    <n v="0"/>
    <m/>
    <m/>
    <n v="0"/>
    <s v="FMD"/>
    <m/>
    <m/>
    <m/>
    <m/>
    <m/>
    <m/>
    <m/>
    <n v="13"/>
    <n v="0"/>
    <m/>
    <n v="0"/>
    <m/>
    <n v="0"/>
    <m/>
    <n v="0"/>
    <m/>
    <n v="0"/>
    <m/>
    <n v="0"/>
    <m/>
    <n v="0"/>
    <m/>
    <n v="0"/>
    <s v="FLINTSL"/>
    <n v="33"/>
    <n v="0"/>
    <n v="16.585365853658537"/>
    <n v="0"/>
    <s v="MAGENTA"/>
    <s v="C01433M"/>
    <s v="FLINTSL - MAGENTA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0"/>
    <n v="7.8780487804878021"/>
    <n v="0"/>
    <s v="YELLOW"/>
    <s v="C01433Y"/>
    <s v="FLINTSL - YELLOW"/>
    <n v="24"/>
    <n v="0"/>
    <s v="C01489Y"/>
    <n v="22"/>
    <n v="0"/>
    <n v="26515000007"/>
    <m/>
    <m/>
    <m/>
    <m/>
    <m/>
    <m/>
    <m/>
    <n v="12"/>
    <e v="#N/A"/>
    <m/>
    <n v="0"/>
    <m/>
    <n v="0"/>
    <m/>
    <n v="0"/>
    <m/>
    <n v="0"/>
    <m/>
    <n v="0"/>
    <m/>
    <n v="0"/>
    <m/>
    <n v="0"/>
    <s v="FLINTSL"/>
    <n v="30"/>
    <n v="0"/>
    <n v="37.170731707317074"/>
    <n v="0"/>
    <s v="WHITE"/>
    <s v="C01433W"/>
    <s v="FLINTSL - WHITE"/>
    <n v="30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237.5609756097561"/>
    <n v="0"/>
    <n v="2"/>
    <n v="6"/>
    <n v="2"/>
    <n v="3"/>
    <n v="2"/>
    <n v="3"/>
    <n v="4"/>
    <n v="60"/>
    <n v="0.3"/>
    <m/>
    <m/>
    <n v="0.5"/>
    <n v="0.2"/>
    <n v="0"/>
    <n v="188"/>
    <n v="0"/>
    <n v="0"/>
    <n v="188"/>
    <n v="188"/>
    <n v="56.4"/>
    <n v="0"/>
    <n v="0"/>
    <n v="0"/>
    <n v="0"/>
    <n v="0"/>
    <n v="94"/>
    <n v="0"/>
    <n v="37.6"/>
    <n v="0"/>
    <n v="0"/>
    <n v="0"/>
    <n v="0"/>
    <m/>
    <n v="158"/>
    <n v="363"/>
    <n v="94"/>
    <s v="FLINTSLFLINTSLFLINTSLFLINTSLFLINTSLFLINTSLFLINTSLFLINTSL"/>
    <s v="+"/>
    <s v="+"/>
    <s v="+"/>
    <s v="+"/>
    <s v="+"/>
    <s v="+"/>
    <s v="+"/>
    <s v="+"/>
    <b v="0"/>
  </r>
  <r>
    <d v="2026-01-14T00:00:00"/>
    <s v="A"/>
    <x v="192"/>
    <n v="95"/>
    <n v="509"/>
    <n v="26200"/>
    <s v="II"/>
    <s v="N"/>
    <n v="2"/>
    <s v="BLACK"/>
    <s v="H01331B"/>
    <s v="FLINTSL - BLACK"/>
    <n v="28"/>
    <n v="0"/>
    <m/>
    <m/>
    <n v="0"/>
    <n v="2651700003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9"/>
    <n v="0"/>
    <n v="5.6849315068493169"/>
    <n v="0"/>
    <s v="RED"/>
    <s v="E01017R"/>
    <s v="FLINTSL - RED"/>
    <n v="27"/>
    <n v="0"/>
    <m/>
    <m/>
    <n v="0"/>
    <n v="26514000009"/>
    <n v="26514000006"/>
    <n v="26517000031"/>
    <m/>
    <m/>
    <m/>
    <m/>
    <m/>
    <n v="40"/>
    <e v="#N/A"/>
    <n v="18"/>
    <e v="#N/A"/>
    <n v="0.5"/>
    <e v="#N/A"/>
    <m/>
    <n v="0"/>
    <m/>
    <n v="0"/>
    <m/>
    <n v="0"/>
    <m/>
    <n v="0"/>
    <m/>
    <n v="0"/>
    <s v="FLINTSL"/>
    <n v="39"/>
    <n v="0"/>
    <n v="58.212328767123282"/>
    <n v="0"/>
    <s v="ORANGE"/>
    <s v="P00432O"/>
    <s v="FLINTSL - ORANGE"/>
    <n v="24"/>
    <n v="0"/>
    <s v="N00843O"/>
    <n v="22"/>
    <n v="0"/>
    <n v="26508000010"/>
    <n v="26515000007"/>
    <n v="26514000006"/>
    <m/>
    <m/>
    <m/>
    <m/>
    <m/>
    <n v="1"/>
    <e v="#N/A"/>
    <n v="10"/>
    <e v="#N/A"/>
    <n v="1"/>
    <e v="#N/A"/>
    <m/>
    <n v="0"/>
    <m/>
    <n v="0"/>
    <m/>
    <n v="0"/>
    <m/>
    <n v="0"/>
    <m/>
    <n v="0"/>
    <s v="FLINTSL"/>
    <n v="16"/>
    <n v="0"/>
    <n v="53.712328767123282"/>
    <n v="0"/>
    <s v="CYAN"/>
    <s v="H01331C"/>
    <s v="FLINTSL - CYAN"/>
    <n v="33"/>
    <n v="0"/>
    <m/>
    <m/>
    <n v="0"/>
    <n v="26512000001"/>
    <n v="26513000011"/>
    <m/>
    <m/>
    <m/>
    <m/>
    <m/>
    <m/>
    <n v="12"/>
    <e v="#N/A"/>
    <n v="1"/>
    <e v="#N/A"/>
    <m/>
    <n v="0"/>
    <m/>
    <n v="0"/>
    <m/>
    <n v="0"/>
    <m/>
    <n v="0"/>
    <m/>
    <n v="0"/>
    <m/>
    <n v="0"/>
    <s v="FLINTSL"/>
    <n v="28"/>
    <n v="0"/>
    <n v="36.739726027397268"/>
    <n v="0"/>
    <s v="MAGENTA"/>
    <s v="H01331M"/>
    <s v="FLINTSL - MAGENTA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0"/>
    <n v="6.0273972602739718"/>
    <n v="0"/>
    <s v="YELLOW"/>
    <s v="H01331Y"/>
    <s v="FLINTSL - YELLOW"/>
    <n v="30"/>
    <n v="0"/>
    <m/>
    <m/>
    <n v="0"/>
    <n v="26515000009"/>
    <s v="FMD"/>
    <m/>
    <m/>
    <m/>
    <m/>
    <m/>
    <m/>
    <n v="25"/>
    <e v="#N/A"/>
    <n v="10"/>
    <n v="0"/>
    <m/>
    <n v="0"/>
    <m/>
    <n v="0"/>
    <m/>
    <n v="0"/>
    <m/>
    <n v="0"/>
    <m/>
    <n v="0"/>
    <m/>
    <n v="0"/>
    <s v="FLINTSL"/>
    <n v="30"/>
    <n v="0"/>
    <n v="81.849315068493155"/>
    <n v="0"/>
    <s v="WHITE"/>
    <s v="H01331W"/>
    <s v="FLINTSL - WHITE"/>
    <n v="3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30"/>
    <n v="0"/>
    <n v="120.2739726027397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5"/>
    <n v="8"/>
    <n v="3"/>
    <n v="20"/>
    <n v="30"/>
    <n v="0"/>
    <n v="0.8"/>
    <n v="0.2"/>
    <m/>
    <m/>
    <m/>
    <n v="0"/>
    <n v="171"/>
    <n v="0"/>
    <n v="0"/>
    <n v="171"/>
    <n v="171"/>
    <n v="136.80000000000001"/>
    <n v="0"/>
    <n v="34.200000000000003"/>
    <n v="0"/>
    <n v="0"/>
    <n v="0"/>
    <n v="0"/>
    <n v="0"/>
    <n v="0"/>
    <n v="0"/>
    <n v="0"/>
    <n v="0"/>
    <n v="0"/>
    <m/>
    <n v="170.5"/>
    <n v="362.5"/>
    <n v="95"/>
    <s v="FLINTSLFLINTSLFLINTSLFLINTSLFLINTSLFLINTSLFLINTSL"/>
    <s v="+"/>
    <s v="+"/>
    <s v="+"/>
    <s v="+"/>
    <s v="+"/>
    <s v="+"/>
    <s v="+"/>
    <s v="NIL"/>
    <b v="0"/>
  </r>
  <r>
    <d v="2026-01-14T00:00:00"/>
    <s v="A"/>
    <x v="193"/>
    <n v="96"/>
    <n v="212"/>
    <n v="15500"/>
    <s v="II"/>
    <s v="N"/>
    <n v="0.6"/>
    <s v="BLACK"/>
    <s v="B01048B"/>
    <s v="FLINTSL - BLACK"/>
    <n v="28"/>
    <n v="0"/>
    <m/>
    <m/>
    <n v="0"/>
    <n v="2651700003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8"/>
    <n v="0"/>
    <s v="GREEN"/>
    <s v="H01331G"/>
    <s v="FLINTSL - GREEN"/>
    <n v="26"/>
    <n v="0"/>
    <m/>
    <m/>
    <n v="0"/>
    <n v="2651200000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5"/>
    <n v="0"/>
    <s v="RED"/>
    <s v="H01331R"/>
    <s v="FLINTSL - RED"/>
    <n v="28"/>
    <n v="0"/>
    <m/>
    <m/>
    <n v="0"/>
    <n v="26508000010"/>
    <m/>
    <m/>
    <m/>
    <m/>
    <m/>
    <m/>
    <m/>
    <n v="6.5"/>
    <e v="#N/A"/>
    <m/>
    <n v="0"/>
    <m/>
    <n v="0"/>
    <m/>
    <n v="0"/>
    <m/>
    <n v="0"/>
    <m/>
    <n v="0"/>
    <m/>
    <n v="0"/>
    <m/>
    <n v="0"/>
    <s v="FLINTSL"/>
    <n v="26"/>
    <n v="0"/>
    <n v="10.5"/>
    <n v="0"/>
    <s v="CYAN"/>
    <s v="B01048C"/>
    <s v="FLINTSL - CYAN"/>
    <n v="30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31"/>
    <n v="0"/>
    <n v="9"/>
    <n v="0"/>
    <s v="MAGENTA"/>
    <s v="H01332M"/>
    <s v="FLINTSL - MAGENTA"/>
    <n v="30"/>
    <n v="0"/>
    <m/>
    <m/>
    <n v="0"/>
    <n v="26514000006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2"/>
    <n v="0"/>
    <n v="4"/>
    <n v="0"/>
    <s v="YELLOW"/>
    <s v="H01332Y"/>
    <s v="FLINTSL - YELLOW"/>
    <n v="30"/>
    <n v="0"/>
    <m/>
    <m/>
    <n v="0"/>
    <n v="2651400001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10"/>
    <n v="0"/>
    <s v="YELLOW"/>
    <m/>
    <s v="FLINTSL - YELLOW"/>
    <m/>
    <n v="0"/>
    <m/>
    <m/>
    <n v="0"/>
    <n v="26515000009"/>
    <n v="26515000009"/>
    <n v="26514000006"/>
    <n v="26517000031"/>
    <m/>
    <m/>
    <m/>
    <m/>
    <n v="20"/>
    <e v="#N/A"/>
    <n v="20"/>
    <e v="#N/A"/>
    <n v="0.5"/>
    <e v="#N/A"/>
    <n v="0.5"/>
    <e v="#N/A"/>
    <m/>
    <n v="0"/>
    <m/>
    <n v="0"/>
    <m/>
    <n v="0"/>
    <m/>
    <n v="0"/>
    <s v="FLINTSL"/>
    <n v="20"/>
    <n v="0"/>
    <n v="5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n v="1"/>
    <n v="1"/>
    <n v="3"/>
    <n v="2"/>
    <n v="4"/>
    <n v="15"/>
    <n v="0"/>
    <n v="0.8"/>
    <n v="0.2"/>
    <m/>
    <m/>
    <m/>
    <n v="0"/>
    <n v="54"/>
    <n v="0"/>
    <n v="0"/>
    <n v="54"/>
    <n v="54"/>
    <n v="43.2"/>
    <n v="0"/>
    <n v="10.8"/>
    <n v="0"/>
    <n v="0"/>
    <n v="0"/>
    <n v="0"/>
    <n v="0"/>
    <n v="0"/>
    <n v="0"/>
    <n v="0"/>
    <n v="0"/>
    <n v="0"/>
    <m/>
    <n v="61.5"/>
    <n v="97.5"/>
    <n v="96"/>
    <s v="FLINTSLFLINTSLFLINTSLFLINTSLFLINTSLFLINTSLFLINTSL"/>
    <s v="+"/>
    <s v="+"/>
    <s v="+"/>
    <s v="+"/>
    <s v="+"/>
    <s v="+"/>
    <s v="+"/>
    <s v="NIL"/>
    <b v="0"/>
  </r>
  <r>
    <d v="2026-01-14T00:00:00"/>
    <s v="A"/>
    <x v="194"/>
    <n v="97"/>
    <n v="213"/>
    <n v="13600"/>
    <s v="II"/>
    <s v="N"/>
    <n v="1.3"/>
    <s v="BLACK"/>
    <s v="B01053B"/>
    <s v="FLINTSL - BLACK"/>
    <n v="26"/>
    <n v="0"/>
    <m/>
    <m/>
    <n v="0"/>
    <n v="26517000031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6"/>
    <n v="0"/>
    <n v="6.1724137931034448"/>
    <n v="0"/>
    <s v="SILVER"/>
    <m/>
    <s v="ToyoLi - SILVER"/>
    <m/>
    <n v="0"/>
    <m/>
    <m/>
    <n v="0"/>
    <s v="TLSI"/>
    <s v="HSLAS"/>
    <m/>
    <m/>
    <m/>
    <m/>
    <m/>
    <m/>
    <n v="28"/>
    <n v="0"/>
    <n v="0.84"/>
    <n v="0"/>
    <m/>
    <n v="0"/>
    <m/>
    <n v="0"/>
    <m/>
    <n v="0"/>
    <m/>
    <n v="0"/>
    <m/>
    <n v="0"/>
    <m/>
    <n v="0"/>
    <s v="ToyoLi"/>
    <n v="28"/>
    <n v="0"/>
    <n v="26.702068965517242"/>
    <n v="0"/>
    <s v="CYAN"/>
    <s v="B01053C"/>
    <s v="FLINTSL - CYAN"/>
    <n v="31"/>
    <n v="0"/>
    <m/>
    <m/>
    <n v="0"/>
    <n v="26512000001"/>
    <n v="26507000025"/>
    <m/>
    <m/>
    <m/>
    <m/>
    <m/>
    <m/>
    <n v="5"/>
    <e v="#N/A"/>
    <n v="1.5"/>
    <e v="#N/A"/>
    <m/>
    <n v="0"/>
    <m/>
    <n v="0"/>
    <m/>
    <n v="0"/>
    <m/>
    <n v="0"/>
    <m/>
    <n v="0"/>
    <m/>
    <n v="0"/>
    <s v="FLINTSL"/>
    <n v="26"/>
    <n v="0"/>
    <n v="16.672413793103445"/>
    <n v="0"/>
    <s v="WHITE"/>
    <s v="H01332W"/>
    <s v="FLINTSL - WHITE"/>
    <n v="30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30"/>
    <n v="0"/>
    <n v="78.79310344827587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2"/>
    <n v="15"/>
    <n v="0"/>
    <n v="0"/>
    <n v="0"/>
    <n v="0"/>
    <n v="0.8"/>
    <n v="0.2"/>
    <m/>
    <m/>
    <m/>
    <n v="0"/>
    <n v="75"/>
    <n v="0"/>
    <n v="0"/>
    <n v="75"/>
    <n v="75"/>
    <n v="60"/>
    <n v="0"/>
    <n v="15"/>
    <n v="0"/>
    <n v="0"/>
    <n v="0"/>
    <n v="0"/>
    <n v="0"/>
    <n v="0"/>
    <n v="0"/>
    <n v="0"/>
    <n v="0"/>
    <n v="0"/>
    <m/>
    <n v="76.34"/>
    <n v="128.34"/>
    <n v="97"/>
    <s v="FLINTSLToyoLiFLINTSLFLINTSL"/>
    <s v="+"/>
    <s v="+"/>
    <s v="+"/>
    <s v="+"/>
    <s v="NIL"/>
    <s v="NIL"/>
    <s v="NIL"/>
    <s v="NIL"/>
    <b v="0"/>
  </r>
  <r>
    <d v="2026-01-14T00:00:00"/>
    <s v="B"/>
    <x v="195"/>
    <n v="98"/>
    <n v="2521"/>
    <n v="101700"/>
    <s v="II"/>
    <s v="N"/>
    <n v="2"/>
    <s v="BLACK"/>
    <s v="B01048B"/>
    <s v="FLINTSL - BLACK"/>
    <n v="26"/>
    <n v="0"/>
    <m/>
    <m/>
    <n v="0"/>
    <n v="26517000042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4"/>
    <n v="0"/>
    <n v="18.101321585903086"/>
    <n v="0"/>
    <s v="REFLEX BLUE"/>
    <s v="H01342B"/>
    <s v="FLINTSL - REFLEX BLUE"/>
    <n v="31"/>
    <n v="0"/>
    <s v="C01457B"/>
    <n v="15"/>
    <n v="0"/>
    <n v="26514000006"/>
    <n v="26507000025"/>
    <n v="26512000001"/>
    <n v="26517000042"/>
    <m/>
    <m/>
    <m/>
    <m/>
    <n v="5"/>
    <e v="#N/A"/>
    <n v="5"/>
    <e v="#N/A"/>
    <n v="7"/>
    <e v="#N/A"/>
    <n v="1"/>
    <e v="#N/A"/>
    <m/>
    <n v="0"/>
    <m/>
    <n v="0"/>
    <m/>
    <n v="0"/>
    <m/>
    <n v="0"/>
    <s v="FLINTSL"/>
    <n v="25"/>
    <n v="0"/>
    <n v="76.744493392070481"/>
    <n v="0"/>
    <s v="GREEN"/>
    <s v="C01446G"/>
    <s v="FLINTSL - GREEN"/>
    <n v="16"/>
    <n v="0"/>
    <s v="B01053G"/>
    <n v="26"/>
    <n v="0"/>
    <n v="26517000042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32"/>
    <n v="0"/>
    <n v="22.101321585903086"/>
    <n v="0"/>
    <s v="CYAN"/>
    <s v="B01048C"/>
    <s v="FLINTSL - CYAN"/>
    <n v="20"/>
    <n v="0"/>
    <m/>
    <m/>
    <n v="0"/>
    <s v="FMD"/>
    <m/>
    <m/>
    <m/>
    <m/>
    <m/>
    <m/>
    <m/>
    <n v="7"/>
    <n v="0"/>
    <m/>
    <n v="0"/>
    <m/>
    <n v="0"/>
    <m/>
    <n v="0"/>
    <m/>
    <n v="0"/>
    <m/>
    <n v="0"/>
    <m/>
    <n v="0"/>
    <m/>
    <n v="0"/>
    <s v="FLINTSL"/>
    <n v="26"/>
    <n v="0"/>
    <n v="12.101321585903086"/>
    <n v="0"/>
    <s v="MAGENTA"/>
    <s v="B01053M"/>
    <s v="FLINTSL - MAGENTA"/>
    <n v="32"/>
    <n v="0"/>
    <m/>
    <m/>
    <n v="0"/>
    <n v="26514000008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21.101321585903086"/>
    <n v="0"/>
    <s v="YELLOW"/>
    <s v="B01053U"/>
    <s v="FLINTSL - YELLOW"/>
    <n v="30"/>
    <n v="0"/>
    <m/>
    <m/>
    <n v="0"/>
    <n v="26515000009"/>
    <s v="FMD"/>
    <n v="26514000015"/>
    <m/>
    <m/>
    <m/>
    <m/>
    <m/>
    <n v="15"/>
    <e v="#N/A"/>
    <n v="10"/>
    <n v="0"/>
    <n v="39"/>
    <e v="#N/A"/>
    <m/>
    <n v="0"/>
    <m/>
    <n v="0"/>
    <m/>
    <n v="0"/>
    <m/>
    <n v="0"/>
    <m/>
    <n v="0"/>
    <s v="FLINTSL"/>
    <n v="29"/>
    <n v="0"/>
    <n v="87.202643171806173"/>
    <n v="0"/>
    <s v="YELLOW"/>
    <m/>
    <s v="FLINTSL - YELLOW"/>
    <m/>
    <n v="0"/>
    <m/>
    <m/>
    <n v="0"/>
    <n v="26514000016"/>
    <n v="26514000014"/>
    <n v="26514000027"/>
    <n v="26515000001"/>
    <n v="26515000002"/>
    <m/>
    <m/>
    <m/>
    <n v="40"/>
    <e v="#N/A"/>
    <n v="40"/>
    <e v="#N/A"/>
    <n v="140"/>
    <e v="#N/A"/>
    <n v="20"/>
    <e v="#N/A"/>
    <n v="20"/>
    <e v="#N/A"/>
    <m/>
    <n v="0"/>
    <m/>
    <n v="0"/>
    <m/>
    <n v="0"/>
    <s v="FLINTSL"/>
    <n v="15"/>
    <n v="0"/>
    <n v="245"/>
    <n v="0"/>
    <s v="WHITE"/>
    <s v="B01048W"/>
    <s v="FLINTSL - WHITE"/>
    <n v="30"/>
    <n v="0"/>
    <m/>
    <m/>
    <n v="0"/>
    <s v="FW"/>
    <m/>
    <m/>
    <m/>
    <m/>
    <m/>
    <m/>
    <m/>
    <n v="300"/>
    <n v="0"/>
    <m/>
    <n v="0"/>
    <m/>
    <n v="0"/>
    <m/>
    <n v="0"/>
    <m/>
    <n v="0"/>
    <m/>
    <n v="0"/>
    <m/>
    <n v="0"/>
    <m/>
    <n v="0"/>
    <s v="FLINTSL"/>
    <n v="20"/>
    <n v="0"/>
    <n v="709.64757709251103"/>
    <n v="0"/>
    <n v="5"/>
    <n v="17"/>
    <n v="5"/>
    <n v="5"/>
    <n v="5"/>
    <n v="10"/>
    <n v="0"/>
    <n v="180"/>
    <n v="0.8"/>
    <n v="0.2"/>
    <m/>
    <m/>
    <m/>
    <n v="0"/>
    <n v="504"/>
    <n v="0"/>
    <n v="0"/>
    <n v="504"/>
    <n v="504"/>
    <n v="403.20000000000005"/>
    <n v="0"/>
    <n v="100.80000000000001"/>
    <n v="0"/>
    <n v="0"/>
    <n v="0"/>
    <n v="0"/>
    <n v="0"/>
    <n v="0"/>
    <n v="0"/>
    <n v="0"/>
    <n v="0"/>
    <n v="0"/>
    <m/>
    <n v="659"/>
    <n v="1192"/>
    <n v="98"/>
    <s v="FLINTSLFLINTSLFLINTSLFLINTSLFLINTSLFLINTSLFLINTSLFLINTSL"/>
    <s v="+"/>
    <s v="+"/>
    <s v="+"/>
    <s v="+"/>
    <s v="+"/>
    <s v="+"/>
    <s v="+"/>
    <s v="+"/>
    <b v="0"/>
  </r>
  <r>
    <d v="2026-01-14T00:00:00"/>
    <s v="B"/>
    <x v="196"/>
    <n v="99"/>
    <n v="2492"/>
    <n v="101500"/>
    <s v="II"/>
    <s v="N"/>
    <n v="2.06"/>
    <s v="BLACK"/>
    <s v="J00997B"/>
    <s v="FLINTSL - BLACK"/>
    <n v="24"/>
    <n v="0"/>
    <m/>
    <m/>
    <n v="0"/>
    <n v="26517000042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9"/>
    <n v="0"/>
    <n v="4.2564102564102555"/>
    <n v="0"/>
    <s v="REFLEX BLUE"/>
    <s v="J00997B"/>
    <s v="FLINTSL - REFLEX BLUE"/>
    <n v="25"/>
    <n v="0"/>
    <m/>
    <m/>
    <n v="0"/>
    <n v="26512000001"/>
    <n v="26514000008"/>
    <n v="26517000042"/>
    <n v="26515000009"/>
    <m/>
    <m/>
    <m/>
    <m/>
    <n v="10"/>
    <e v="#N/A"/>
    <n v="4"/>
    <e v="#N/A"/>
    <n v="1"/>
    <e v="#N/A"/>
    <n v="1"/>
    <e v="#N/A"/>
    <m/>
    <n v="0"/>
    <m/>
    <n v="0"/>
    <m/>
    <n v="0"/>
    <m/>
    <n v="0"/>
    <s v="FLINTSL"/>
    <n v="30"/>
    <n v="0"/>
    <n v="42.92307692307692"/>
    <n v="0"/>
    <s v="GREEN"/>
    <s v="J00997G"/>
    <s v="FLINTSL - GREEN"/>
    <n v="32"/>
    <n v="0"/>
    <m/>
    <m/>
    <n v="0"/>
    <n v="26515000009"/>
    <n v="26512000001"/>
    <m/>
    <m/>
    <m/>
    <m/>
    <m/>
    <m/>
    <n v="2"/>
    <e v="#N/A"/>
    <n v="5"/>
    <e v="#N/A"/>
    <m/>
    <n v="0"/>
    <m/>
    <n v="0"/>
    <m/>
    <n v="0"/>
    <m/>
    <n v="0"/>
    <m/>
    <n v="0"/>
    <m/>
    <n v="0"/>
    <s v="FLINTSL"/>
    <n v="40"/>
    <n v="0"/>
    <n v="3.2564102564102555"/>
    <n v="0"/>
    <s v="CYAN"/>
    <s v="J00997C"/>
    <s v="FLINTSL - CYAN"/>
    <n v="26"/>
    <n v="0"/>
    <m/>
    <m/>
    <n v="0"/>
    <n v="2651200000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9"/>
    <n v="0"/>
    <n v="5.3846153846153868"/>
    <n v="0"/>
    <s v="MAGENTA"/>
    <s v="J00997M"/>
    <s v="FLINTSL - MAGENTA"/>
    <n v="26"/>
    <n v="0"/>
    <m/>
    <m/>
    <n v="0"/>
    <n v="26514000008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0"/>
    <n v="0"/>
    <n v="10.641025641025642"/>
    <n v="0"/>
    <s v="YELLOW"/>
    <s v="J00997Y"/>
    <s v="FLINTSL - YELLOW"/>
    <n v="29"/>
    <n v="0"/>
    <m/>
    <m/>
    <n v="0"/>
    <n v="26515000009"/>
    <s v="FMD"/>
    <m/>
    <m/>
    <m/>
    <m/>
    <m/>
    <m/>
    <n v="10"/>
    <e v="#N/A"/>
    <n v="7"/>
    <n v="0"/>
    <m/>
    <n v="0"/>
    <m/>
    <n v="0"/>
    <m/>
    <n v="0"/>
    <m/>
    <n v="0"/>
    <m/>
    <n v="0"/>
    <m/>
    <n v="0"/>
    <s v="FLINTSL"/>
    <n v="30"/>
    <n v="0"/>
    <n v="41.538461538461533"/>
    <n v="0"/>
    <s v="REFLEX BLUE"/>
    <m/>
    <s v="FLINTSL - REFLEX BLUE"/>
    <m/>
    <n v="0"/>
    <m/>
    <m/>
    <n v="0"/>
    <n v="26512000001"/>
    <s v="FMD"/>
    <n v="26515000003"/>
    <n v="26515000004"/>
    <n v="26515000005"/>
    <n v="26515000006"/>
    <m/>
    <m/>
    <n v="4"/>
    <e v="#N/A"/>
    <n v="10"/>
    <n v="0"/>
    <n v="40"/>
    <e v="#N/A"/>
    <n v="40"/>
    <e v="#N/A"/>
    <n v="120"/>
    <e v="#N/A"/>
    <n v="80"/>
    <e v="#N/A"/>
    <m/>
    <n v="0"/>
    <m/>
    <n v="0"/>
    <s v="FLINTSL"/>
    <n v="33"/>
    <n v="0"/>
    <n v="292.92307692307691"/>
    <n v="0"/>
    <s v="WHITE"/>
    <s v="J00997W"/>
    <s v="FLINTSL - WHITE"/>
    <n v="20"/>
    <n v="0"/>
    <m/>
    <m/>
    <n v="0"/>
    <s v="FW"/>
    <m/>
    <m/>
    <m/>
    <m/>
    <m/>
    <m/>
    <m/>
    <n v="300"/>
    <n v="0"/>
    <m/>
    <n v="0"/>
    <m/>
    <n v="0"/>
    <m/>
    <n v="0"/>
    <m/>
    <n v="0"/>
    <m/>
    <n v="0"/>
    <m/>
    <n v="0"/>
    <m/>
    <n v="0"/>
    <s v="FLINTSL"/>
    <n v="30"/>
    <n v="0"/>
    <n v="673.07692307692309"/>
    <n v="0"/>
    <n v="2"/>
    <n v="15"/>
    <n v="2"/>
    <n v="3"/>
    <n v="5"/>
    <n v="12"/>
    <n v="15"/>
    <n v="180"/>
    <n v="0.8"/>
    <n v="0.2"/>
    <m/>
    <m/>
    <m/>
    <n v="0"/>
    <n v="498"/>
    <n v="0"/>
    <n v="0"/>
    <n v="498"/>
    <n v="498"/>
    <n v="398.40000000000003"/>
    <n v="0"/>
    <n v="99.600000000000009"/>
    <n v="0"/>
    <n v="0"/>
    <n v="0"/>
    <n v="0"/>
    <n v="0"/>
    <n v="0"/>
    <n v="0"/>
    <n v="0"/>
    <n v="0"/>
    <n v="0"/>
    <m/>
    <n v="645"/>
    <n v="1074"/>
    <n v="99"/>
    <s v="FLINTSLFLINTSLFLINTSLFLINTSLFLINTSLFLINTSLFLINTSLFLINTSL"/>
    <s v="+"/>
    <s v="+"/>
    <s v="+"/>
    <s v="+"/>
    <s v="+"/>
    <s v="+"/>
    <s v="+"/>
    <s v="+"/>
    <b v="0"/>
  </r>
  <r>
    <d v="2026-01-15T00:00:00"/>
    <s v="A"/>
    <x v="197"/>
    <n v="100"/>
    <n v="519"/>
    <n v="20400"/>
    <s v="II"/>
    <s v="N"/>
    <n v="1.95"/>
    <s v="BLACK"/>
    <s v="J00998B"/>
    <s v="FLINTSL - BLACK"/>
    <n v="29"/>
    <n v="0"/>
    <m/>
    <m/>
    <n v="0"/>
    <n v="2651700004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6.5135135135135158"/>
    <n v="0"/>
    <s v="REFLEX BLUE"/>
    <s v="J00998B"/>
    <s v="FLINTSL - REFLEX BLUE"/>
    <n v="30"/>
    <n v="0"/>
    <m/>
    <m/>
    <n v="0"/>
    <n v="26517000042"/>
    <n v="26507000025"/>
    <n v="26512000001"/>
    <n v="26514000011"/>
    <m/>
    <m/>
    <m/>
    <m/>
    <n v="4"/>
    <e v="#N/A"/>
    <n v="5"/>
    <e v="#N/A"/>
    <n v="10"/>
    <e v="#N/A"/>
    <n v="4"/>
    <e v="#N/A"/>
    <m/>
    <n v="0"/>
    <m/>
    <n v="0"/>
    <m/>
    <n v="0"/>
    <m/>
    <n v="0"/>
    <s v="FLINTSL"/>
    <n v="25"/>
    <n v="0"/>
    <n v="38.54054054054054"/>
    <n v="0"/>
    <s v="CYAN"/>
    <m/>
    <s v="FLINTSL - CYAN"/>
    <m/>
    <n v="0"/>
    <m/>
    <m/>
    <n v="0"/>
    <n v="26512000001"/>
    <s v="FMD"/>
    <m/>
    <m/>
    <m/>
    <m/>
    <m/>
    <m/>
    <n v="6"/>
    <e v="#N/A"/>
    <n v="20"/>
    <n v="0"/>
    <m/>
    <n v="0"/>
    <m/>
    <n v="0"/>
    <m/>
    <n v="0"/>
    <m/>
    <n v="0"/>
    <m/>
    <n v="0"/>
    <m/>
    <n v="0"/>
    <s v="FLINTSL"/>
    <n v="23"/>
    <n v="0"/>
    <n v="11.783783783783782"/>
    <n v="0"/>
    <s v="CYAN"/>
    <s v="J00998C"/>
    <s v="FLINTSL - CYAN"/>
    <n v="29"/>
    <n v="0"/>
    <m/>
    <m/>
    <n v="0"/>
    <n v="2651200000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6.5135135135135158"/>
    <n v="0"/>
    <s v="MAGENTA"/>
    <s v="J00998M"/>
    <s v="FLINTSL - MAGENTA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0"/>
    <n v="4.5135135135135158"/>
    <n v="0"/>
    <s v="YELLOW"/>
    <s v="J00998Y"/>
    <s v="FLINTSL - YELLOW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0"/>
    <n v="4.5135135135135158"/>
    <n v="0"/>
    <s v="MEDIUM"/>
    <s v="C01482M"/>
    <s v="FLINTSL - MEDIUM"/>
    <n v="27"/>
    <n v="0"/>
    <m/>
    <m/>
    <n v="0"/>
    <s v="FW"/>
    <n v="26514000011"/>
    <n v="26513000020"/>
    <m/>
    <m/>
    <m/>
    <m/>
    <m/>
    <n v="50"/>
    <n v="0"/>
    <n v="3"/>
    <e v="#N/A"/>
    <n v="2"/>
    <e v="#N/A"/>
    <m/>
    <n v="0"/>
    <m/>
    <n v="0"/>
    <m/>
    <n v="0"/>
    <m/>
    <n v="0"/>
    <m/>
    <n v="0"/>
    <s v="FLINTSL"/>
    <n v="36"/>
    <n v="0"/>
    <n v="89.918918918918919"/>
    <n v="0"/>
    <s v="WHITE"/>
    <s v="J00998W"/>
    <s v="FLINTSL - WHITE"/>
    <n v="3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30"/>
    <n v="0"/>
    <n v="102.70270270270271"/>
    <n v="0"/>
    <n v="2"/>
    <n v="6"/>
    <n v="5"/>
    <n v="2"/>
    <n v="2"/>
    <n v="2"/>
    <n v="25"/>
    <n v="30"/>
    <n v="0.8"/>
    <n v="0.2"/>
    <m/>
    <m/>
    <m/>
    <n v="0"/>
    <n v="130"/>
    <n v="0"/>
    <n v="0"/>
    <n v="130"/>
    <n v="130"/>
    <n v="104"/>
    <n v="0"/>
    <n v="26"/>
    <n v="0"/>
    <n v="0"/>
    <n v="0"/>
    <n v="0"/>
    <n v="0"/>
    <n v="0"/>
    <n v="0"/>
    <n v="0"/>
    <n v="0"/>
    <n v="0"/>
    <m/>
    <n v="158"/>
    <n v="265"/>
    <n v="100"/>
    <s v="FLINTSLFLINTSLFLINTSLFLINTSLFLINTSLFLINTSLFLINTSLFLINTSL"/>
    <s v="+"/>
    <s v="+"/>
    <s v="+"/>
    <s v="+"/>
    <s v="+"/>
    <s v="+"/>
    <s v="+"/>
    <s v="+"/>
    <b v="0"/>
  </r>
  <r>
    <d v="2026-01-15T00:00:00"/>
    <s v="A"/>
    <x v="198"/>
    <n v="101"/>
    <n v="748"/>
    <n v="36300"/>
    <s v="II"/>
    <s v="N"/>
    <n v="1.5"/>
    <s v="BLACK"/>
    <s v="J00999B"/>
    <s v="FLINTSL - BLACK"/>
    <n v="28"/>
    <n v="0"/>
    <m/>
    <m/>
    <n v="0"/>
    <n v="26517000042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5"/>
    <n v="0"/>
    <n v="12.89473684210526"/>
    <n v="0"/>
    <s v="REFLEX BLUE"/>
    <s v="J00998B"/>
    <s v="FLINTSL - REFLEX BLUE"/>
    <n v="33"/>
    <n v="0"/>
    <m/>
    <m/>
    <n v="0"/>
    <n v="26513000011"/>
    <s v="FC"/>
    <m/>
    <m/>
    <m/>
    <m/>
    <m/>
    <m/>
    <n v="1"/>
    <e v="#N/A"/>
    <n v="10"/>
    <n v="0"/>
    <m/>
    <n v="0"/>
    <m/>
    <n v="0"/>
    <m/>
    <n v="0"/>
    <m/>
    <n v="0"/>
    <m/>
    <n v="0"/>
    <m/>
    <n v="0"/>
    <s v="FLINTSL"/>
    <n v="16"/>
    <n v="0"/>
    <n v="36.84210526315789"/>
    <n v="0"/>
    <s v="ORANGE"/>
    <m/>
    <s v="FLINTSL - ORANGE"/>
    <m/>
    <n v="0"/>
    <m/>
    <m/>
    <n v="0"/>
    <n v="26515000010"/>
    <n v="26515000009"/>
    <n v="26514000008"/>
    <n v="26515000016"/>
    <m/>
    <m/>
    <m/>
    <m/>
    <n v="40"/>
    <e v="#N/A"/>
    <n v="10"/>
    <e v="#N/A"/>
    <n v="4"/>
    <e v="#N/A"/>
    <n v="15"/>
    <e v="#N/A"/>
    <m/>
    <n v="0"/>
    <m/>
    <n v="0"/>
    <m/>
    <n v="0"/>
    <m/>
    <n v="0"/>
    <s v="FLINTSL"/>
    <n v="20"/>
    <n v="0"/>
    <n v="57.84210526315789"/>
    <n v="0"/>
    <s v="GREEN"/>
    <m/>
    <s v="FLINTSL - GREEN"/>
    <m/>
    <n v="0"/>
    <m/>
    <m/>
    <n v="0"/>
    <n v="26515000011"/>
    <n v="26515000009"/>
    <s v="FC"/>
    <m/>
    <m/>
    <m/>
    <m/>
    <m/>
    <n v="40"/>
    <e v="#N/A"/>
    <n v="6"/>
    <e v="#N/A"/>
    <n v="6"/>
    <n v="0"/>
    <m/>
    <n v="0"/>
    <m/>
    <n v="0"/>
    <m/>
    <n v="0"/>
    <m/>
    <n v="0"/>
    <m/>
    <n v="0"/>
    <s v="FLINTSL"/>
    <n v="12"/>
    <n v="0"/>
    <n v="48.84210526315789"/>
    <n v="0"/>
    <s v="CYAN"/>
    <s v="J00999C"/>
    <s v="FLINTSL - CYAN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8.8947368421052602"/>
    <n v="0"/>
    <s v="MAGENTA"/>
    <s v="J00999M"/>
    <s v="FLINTSL - MAGENTA"/>
    <n v="29"/>
    <n v="0"/>
    <m/>
    <m/>
    <n v="0"/>
    <n v="26514000006"/>
    <m/>
    <m/>
    <m/>
    <m/>
    <m/>
    <m/>
    <m/>
    <n v="2.5"/>
    <e v="#N/A"/>
    <m/>
    <n v="0"/>
    <m/>
    <n v="0"/>
    <m/>
    <n v="0"/>
    <m/>
    <n v="0"/>
    <m/>
    <n v="0"/>
    <m/>
    <n v="0"/>
    <m/>
    <n v="0"/>
    <s v="FLINTSL"/>
    <n v="28"/>
    <n v="0"/>
    <n v="6.4473684210526301"/>
    <n v="0"/>
    <s v="YELLOW"/>
    <s v="J00999Y"/>
    <s v="FLINTSL - YELLOW"/>
    <n v="29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8"/>
    <n v="0"/>
    <n v="10.89473684210526"/>
    <n v="0"/>
    <s v="WHITE"/>
    <s v="J00999W"/>
    <s v="FLINTSL - WHITE"/>
    <n v="30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276.84210526315792"/>
    <n v="0"/>
    <n v="2"/>
    <n v="3"/>
    <n v="3"/>
    <n v="3"/>
    <n v="2"/>
    <n v="1"/>
    <n v="2"/>
    <n v="60"/>
    <n v="0.8"/>
    <n v="0.2"/>
    <m/>
    <m/>
    <m/>
    <n v="0"/>
    <n v="224"/>
    <n v="0"/>
    <n v="0"/>
    <n v="224"/>
    <n v="224"/>
    <n v="179.20000000000002"/>
    <n v="0"/>
    <n v="44.800000000000004"/>
    <n v="0"/>
    <n v="0"/>
    <n v="0"/>
    <n v="0"/>
    <n v="0"/>
    <n v="0"/>
    <n v="0"/>
    <n v="0"/>
    <n v="0"/>
    <n v="0"/>
    <m/>
    <n v="242.5"/>
    <n v="459.5"/>
    <n v="101"/>
    <s v="FLINTSLFLINTSLFLINTSLFLINTSLFLINTSLFLINTSLFLINTSLFLINTSL"/>
    <s v="+"/>
    <s v="+"/>
    <s v="+"/>
    <s v="+"/>
    <s v="+"/>
    <s v="+"/>
    <s v="+"/>
    <s v="+"/>
    <b v="0"/>
  </r>
  <r>
    <d v="2026-01-15T00:00:00"/>
    <s v="A"/>
    <x v="199"/>
    <n v="102"/>
    <n v="1952"/>
    <n v="102900"/>
    <s v="I"/>
    <s v="N"/>
    <n v="3.2"/>
    <s v="BLACK"/>
    <m/>
    <s v="FLINTSL - BLACK"/>
    <m/>
    <n v="0"/>
    <m/>
    <m/>
    <n v="0"/>
    <n v="26519000013"/>
    <s v="FMD"/>
    <m/>
    <m/>
    <m/>
    <m/>
    <m/>
    <m/>
    <n v="15"/>
    <e v="#N/A"/>
    <n v="3"/>
    <n v="0"/>
    <m/>
    <n v="0"/>
    <m/>
    <n v="0"/>
    <m/>
    <n v="0"/>
    <m/>
    <n v="0"/>
    <m/>
    <n v="0"/>
    <m/>
    <n v="0"/>
    <s v="FLINTSL"/>
    <n v="25"/>
    <n v="0"/>
    <n v="52.341216216216225"/>
    <n v="0"/>
    <s v="GREEN"/>
    <s v="C01446G"/>
    <s v="FLINTSL - GREEN"/>
    <n v="24"/>
    <n v="0"/>
    <m/>
    <m/>
    <n v="0"/>
    <n v="26519000013"/>
    <m/>
    <m/>
    <m/>
    <m/>
    <m/>
    <m/>
    <m/>
    <n v="0.2"/>
    <e v="#N/A"/>
    <m/>
    <n v="0"/>
    <m/>
    <n v="0"/>
    <m/>
    <n v="0"/>
    <m/>
    <n v="0"/>
    <m/>
    <n v="0"/>
    <m/>
    <n v="0"/>
    <m/>
    <n v="0"/>
    <s v="FLINTSL"/>
    <n v="20"/>
    <n v="0"/>
    <n v="23.980405405405406"/>
    <n v="0"/>
    <s v="RED"/>
    <m/>
    <s v="FLINTSL - RED"/>
    <m/>
    <n v="0"/>
    <m/>
    <m/>
    <n v="0"/>
    <n v="26515000013"/>
    <n v="26519000013"/>
    <n v="26514000008"/>
    <n v="26515000012"/>
    <m/>
    <m/>
    <m/>
    <m/>
    <n v="8"/>
    <e v="#N/A"/>
    <n v="0.5"/>
    <e v="#N/A"/>
    <n v="4"/>
    <e v="#N/A"/>
    <n v="24.8"/>
    <e v="#N/A"/>
    <m/>
    <n v="0"/>
    <m/>
    <n v="0"/>
    <m/>
    <n v="0"/>
    <m/>
    <n v="0"/>
    <s v="FLINTSL"/>
    <n v="28"/>
    <n v="0"/>
    <n v="17.212162162162159"/>
    <n v="0"/>
    <s v="RED"/>
    <m/>
    <s v="FLINTSL - RED"/>
    <m/>
    <n v="0"/>
    <m/>
    <m/>
    <n v="0"/>
    <n v="26515000014"/>
    <n v="26519000013"/>
    <n v="26514000008"/>
    <m/>
    <m/>
    <m/>
    <m/>
    <m/>
    <n v="25"/>
    <e v="#N/A"/>
    <n v="3"/>
    <e v="#N/A"/>
    <m/>
    <n v="0"/>
    <m/>
    <n v="0"/>
    <m/>
    <n v="0"/>
    <m/>
    <n v="0"/>
    <m/>
    <n v="0"/>
    <m/>
    <n v="0"/>
    <s v="FLINTSL"/>
    <n v="22"/>
    <n v="0"/>
    <n v="13.912162162162161"/>
    <n v="0"/>
    <s v="MEDIUM"/>
    <m/>
    <s v="FLINTSL - MEDIUM"/>
    <m/>
    <n v="0"/>
    <m/>
    <m/>
    <n v="0"/>
    <n v="26515000008"/>
    <n v="26515000018"/>
    <n v="26515000024"/>
    <n v="26515000027"/>
    <n v="26514000012"/>
    <m/>
    <m/>
    <m/>
    <n v="130"/>
    <e v="#N/A"/>
    <n v="130"/>
    <e v="#N/A"/>
    <n v="60"/>
    <e v="#N/A"/>
    <n v="20"/>
    <e v="#N/A"/>
    <n v="40"/>
    <e v="#N/A"/>
    <m/>
    <n v="0"/>
    <m/>
    <n v="0"/>
    <m/>
    <n v="0"/>
    <s v="FLINTSL"/>
    <n v="20"/>
    <n v="0"/>
    <n v="367.91216216216219"/>
    <n v="0"/>
    <s v="WHITE"/>
    <m/>
    <s v="FLINTSL - WHITE"/>
    <m/>
    <n v="0"/>
    <m/>
    <m/>
    <n v="0"/>
    <s v="FW"/>
    <m/>
    <m/>
    <m/>
    <m/>
    <m/>
    <m/>
    <m/>
    <n v="360"/>
    <n v="0"/>
    <m/>
    <n v="0"/>
    <m/>
    <n v="0"/>
    <m/>
    <n v="0"/>
    <m/>
    <n v="0"/>
    <m/>
    <n v="0"/>
    <m/>
    <n v="0"/>
    <m/>
    <n v="0"/>
    <s v="FLINTSL"/>
    <n v="30"/>
    <n v="0"/>
    <n v="1042.0945945945946"/>
    <n v="0"/>
    <s v="MATT"/>
    <s v="N00944M"/>
    <s v="ToyoLi - MATT"/>
    <n v="23"/>
    <n v="0"/>
    <m/>
    <m/>
    <n v="0"/>
    <n v="55"/>
    <s v="NWBBK"/>
    <m/>
    <m/>
    <m/>
    <m/>
    <m/>
    <m/>
    <n v="340"/>
    <n v="0"/>
    <n v="87"/>
    <n v="0"/>
    <m/>
    <n v="0"/>
    <m/>
    <n v="0"/>
    <m/>
    <n v="0"/>
    <m/>
    <n v="0"/>
    <m/>
    <n v="0"/>
    <m/>
    <n v="0"/>
    <s v="ToyoLi"/>
    <n v="30"/>
    <n v="0"/>
    <n v="776.0472972972972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5"/>
    <n v="5"/>
    <n v="2"/>
    <n v="2"/>
    <n v="2"/>
    <n v="180"/>
    <n v="90"/>
    <n v="0"/>
    <n v="0.8"/>
    <n v="0.2"/>
    <m/>
    <m/>
    <m/>
    <n v="0"/>
    <n v="1171"/>
    <n v="0"/>
    <n v="0"/>
    <n v="1171"/>
    <n v="1171"/>
    <n v="936.80000000000007"/>
    <n v="0"/>
    <n v="234.20000000000002"/>
    <n v="0"/>
    <n v="0"/>
    <n v="0"/>
    <n v="0"/>
    <n v="0"/>
    <n v="0"/>
    <n v="0"/>
    <n v="0"/>
    <n v="0"/>
    <n v="0"/>
    <m/>
    <n v="1250.5"/>
    <n v="2293.5"/>
    <n v="102"/>
    <s v="FLINTSLFLINTSLFLINTSLFLINTSLFLINTSLFLINTSLToyoLi"/>
    <s v="+"/>
    <s v="+"/>
    <s v="+"/>
    <s v="+"/>
    <s v="+"/>
    <s v="+"/>
    <s v="+"/>
    <s v="NIL"/>
    <b v="0"/>
  </r>
  <r>
    <d v="2026-01-15T00:00:00"/>
    <s v="A"/>
    <x v="200"/>
    <n v="103"/>
    <n v="1134"/>
    <n v="63500"/>
    <s v="II"/>
    <s v="N"/>
    <n v="1.2"/>
    <s v="BLACK"/>
    <s v="C01484B"/>
    <s v="FLINTSL - BLACK"/>
    <n v="25"/>
    <n v="0"/>
    <m/>
    <m/>
    <n v="0"/>
    <n v="26517000042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5"/>
    <n v="0"/>
    <n v="12.107784431137723"/>
    <n v="0"/>
    <s v="RED"/>
    <s v="N00841R"/>
    <s v="FLINTSL - RED"/>
    <n v="22"/>
    <n v="0"/>
    <m/>
    <m/>
    <n v="0"/>
    <n v="26516000012"/>
    <n v="26513000020"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8"/>
    <n v="0"/>
    <n v="10.179640718562872"/>
    <n v="0"/>
    <s v="CYAN"/>
    <s v="C01484C"/>
    <s v="FLINTSL - CYAN"/>
    <n v="25"/>
    <n v="0"/>
    <m/>
    <m/>
    <n v="0"/>
    <n v="26512000001"/>
    <s v="FMD"/>
    <m/>
    <m/>
    <m/>
    <m/>
    <m/>
    <m/>
    <n v="10"/>
    <e v="#N/A"/>
    <n v="10"/>
    <n v="0"/>
    <m/>
    <n v="0"/>
    <m/>
    <n v="0"/>
    <m/>
    <n v="0"/>
    <m/>
    <n v="0"/>
    <m/>
    <n v="0"/>
    <m/>
    <n v="0"/>
    <s v="FLINTSL"/>
    <n v="27"/>
    <n v="0"/>
    <n v="38.359281437125745"/>
    <n v="0"/>
    <s v="MAGENTA"/>
    <s v="C01484M"/>
    <s v="FLINTSL - MAGENTA"/>
    <n v="28"/>
    <n v="0"/>
    <m/>
    <m/>
    <n v="0"/>
    <n v="26514000008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5"/>
    <n v="0"/>
    <n v="10.071856287425149"/>
    <n v="0"/>
    <s v="YELLOW"/>
    <s v="C01484Y"/>
    <s v="FLINTSL - YELLOW"/>
    <n v="28"/>
    <n v="0"/>
    <m/>
    <m/>
    <n v="0"/>
    <s v="FMD"/>
    <n v="26516000007"/>
    <s v="FW"/>
    <n v="26512000001"/>
    <m/>
    <m/>
    <m/>
    <m/>
    <n v="10"/>
    <n v="0"/>
    <n v="43"/>
    <e v="#N/A"/>
    <n v="10"/>
    <n v="0"/>
    <n v="0.4"/>
    <e v="#N/A"/>
    <m/>
    <n v="0"/>
    <m/>
    <n v="0"/>
    <m/>
    <n v="0"/>
    <m/>
    <n v="0"/>
    <s v="FLINTSL"/>
    <n v="38"/>
    <n v="0"/>
    <n v="108.37005988023952"/>
    <n v="0"/>
    <s v="WHITE"/>
    <s v="C01484W"/>
    <s v="FLINTSL - WHITE"/>
    <n v="30"/>
    <n v="0"/>
    <m/>
    <m/>
    <n v="0"/>
    <s v="FW"/>
    <m/>
    <m/>
    <m/>
    <m/>
    <m/>
    <m/>
    <m/>
    <n v="200"/>
    <n v="0"/>
    <m/>
    <n v="0"/>
    <m/>
    <n v="0"/>
    <m/>
    <n v="0"/>
    <m/>
    <n v="0"/>
    <m/>
    <n v="0"/>
    <m/>
    <n v="0"/>
    <m/>
    <n v="0"/>
    <s v="FLINTSL"/>
    <n v="30"/>
    <n v="0"/>
    <n v="444.3113772455089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5"/>
    <n v="10"/>
    <n v="2"/>
    <n v="27"/>
    <n v="120"/>
    <n v="0"/>
    <n v="0"/>
    <n v="0.8"/>
    <n v="0.2"/>
    <m/>
    <m/>
    <m/>
    <n v="0"/>
    <n v="340"/>
    <n v="0"/>
    <n v="0"/>
    <n v="340"/>
    <n v="340"/>
    <n v="272"/>
    <n v="0"/>
    <n v="68"/>
    <n v="0"/>
    <n v="0"/>
    <n v="0"/>
    <n v="0"/>
    <n v="0"/>
    <n v="0"/>
    <n v="0"/>
    <n v="0"/>
    <n v="0"/>
    <n v="0"/>
    <m/>
    <n v="298.39999999999998"/>
    <n v="623.4"/>
    <n v="103"/>
    <s v="FLINTSLFLINTSLFLINTSLFLINTSLFLINTSLFLINTSL"/>
    <s v="+"/>
    <s v="+"/>
    <s v="+"/>
    <s v="+"/>
    <s v="+"/>
    <s v="+"/>
    <s v="NIL"/>
    <s v="NIL"/>
    <b v="0"/>
  </r>
  <r>
    <d v="2026-01-15T00:00:00"/>
    <s v="A"/>
    <x v="201"/>
    <n v="104"/>
    <n v="207"/>
    <n v="11600"/>
    <s v="II"/>
    <s v="N"/>
    <n v="1.81"/>
    <s v="BLACK"/>
    <s v="G00385B"/>
    <s v="FLINTSL - BLACK"/>
    <n v="25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0"/>
    <n v="0"/>
    <n v="5"/>
    <n v="0"/>
    <s v="REFLEX BLUE"/>
    <m/>
    <s v="FLINTSL - REFLEX BLUE"/>
    <m/>
    <n v="0"/>
    <m/>
    <m/>
    <n v="0"/>
    <s v="FMD"/>
    <n v="26515000019"/>
    <n v="26515000021"/>
    <m/>
    <m/>
    <m/>
    <m/>
    <m/>
    <n v="4"/>
    <n v="0"/>
    <n v="20"/>
    <e v="#N/A"/>
    <n v="15"/>
    <e v="#N/A"/>
    <m/>
    <n v="0"/>
    <m/>
    <n v="0"/>
    <m/>
    <n v="0"/>
    <m/>
    <n v="0"/>
    <m/>
    <n v="0"/>
    <s v="FLINTSL"/>
    <n v="24"/>
    <n v="0"/>
    <n v="28.090909090909093"/>
    <n v="0"/>
    <s v="GREEN"/>
    <m/>
    <s v="FLINTSL - GREEN"/>
    <m/>
    <n v="0"/>
    <m/>
    <m/>
    <n v="0"/>
    <s v="FMD"/>
    <n v="26515000020"/>
    <n v="26515000022"/>
    <n v="26513000020"/>
    <m/>
    <m/>
    <m/>
    <m/>
    <n v="3"/>
    <n v="0"/>
    <n v="20"/>
    <e v="#N/A"/>
    <n v="15"/>
    <e v="#N/A"/>
    <n v="0.5"/>
    <e v="#N/A"/>
    <m/>
    <n v="0"/>
    <m/>
    <n v="0"/>
    <m/>
    <n v="0"/>
    <m/>
    <n v="0"/>
    <s v="FLINTSL"/>
    <n v="21"/>
    <n v="0"/>
    <n v="27.318181818181813"/>
    <n v="0"/>
    <s v="WHITE"/>
    <s v="G00385W"/>
    <s v="FLINTSL - WHITE"/>
    <n v="30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28"/>
    <n v="0"/>
    <n v="91.09090909090909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0"/>
    <n v="4"/>
    <n v="3"/>
    <n v="15"/>
    <n v="0"/>
    <n v="0"/>
    <n v="0"/>
    <n v="0"/>
    <n v="0.8"/>
    <n v="0.2"/>
    <m/>
    <m/>
    <m/>
    <n v="0"/>
    <n v="72"/>
    <n v="0"/>
    <n v="0"/>
    <n v="72"/>
    <n v="72"/>
    <n v="57.6"/>
    <n v="0"/>
    <n v="14.4"/>
    <n v="0"/>
    <n v="0"/>
    <n v="0"/>
    <n v="0"/>
    <n v="0"/>
    <n v="0"/>
    <n v="0"/>
    <n v="0"/>
    <n v="0"/>
    <n v="0"/>
    <m/>
    <n v="117.5"/>
    <n v="151.5"/>
    <n v="104"/>
    <s v="FLINTSLFLINTSLFLINTSLFLINTSL"/>
    <s v="+"/>
    <s v="+"/>
    <s v="+"/>
    <s v="+"/>
    <s v="NIL"/>
    <s v="NIL"/>
    <s v="NIL"/>
    <s v="NIL"/>
    <b v="0"/>
  </r>
  <r>
    <d v="2026-01-15T00:00:00"/>
    <s v="B"/>
    <x v="202"/>
    <n v="105"/>
    <n v="864"/>
    <n v="61600"/>
    <s v="II"/>
    <s v="N"/>
    <n v="0.67"/>
    <s v="BLACK"/>
    <s v="G00390B"/>
    <s v="FLINTSL - BLACK"/>
    <n v="20"/>
    <n v="0"/>
    <m/>
    <m/>
    <n v="0"/>
    <n v="26519000013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19"/>
    <n v="0"/>
    <n v="35"/>
    <n v="0"/>
    <s v="REFLEX BLUE"/>
    <s v="C01433B"/>
    <s v="FLINTSL - REFLEX BLUE"/>
    <n v="5"/>
    <n v="0"/>
    <m/>
    <m/>
    <n v="0"/>
    <n v="26512000002"/>
    <n v="26513000011"/>
    <n v="26514000008"/>
    <n v="26512000001"/>
    <m/>
    <m/>
    <m/>
    <m/>
    <n v="3"/>
    <e v="#N/A"/>
    <n v="6"/>
    <e v="#N/A"/>
    <n v="2"/>
    <e v="#N/A"/>
    <n v="4"/>
    <e v="#N/A"/>
    <m/>
    <n v="0"/>
    <m/>
    <n v="0"/>
    <m/>
    <n v="0"/>
    <m/>
    <n v="0"/>
    <s v="FLINTSL"/>
    <n v="24"/>
    <n v="0"/>
    <n v="28"/>
    <n v="0"/>
    <s v="BLACK"/>
    <s v="C01489B"/>
    <s v="FLINTSL - BLACK"/>
    <n v="10"/>
    <n v="0"/>
    <s v="F01016B/C01446B"/>
    <n v="35"/>
    <n v="0"/>
    <n v="26515000023"/>
    <n v="26515000028"/>
    <n v="26515000026"/>
    <n v="26514000008"/>
    <n v="26519000013"/>
    <m/>
    <m/>
    <m/>
    <n v="30"/>
    <e v="#N/A"/>
    <n v="80"/>
    <e v="#N/A"/>
    <n v="40"/>
    <e v="#N/A"/>
    <n v="7"/>
    <e v="#N/A"/>
    <n v="2"/>
    <e v="#N/A"/>
    <m/>
    <n v="0"/>
    <m/>
    <n v="0"/>
    <m/>
    <n v="0"/>
    <s v="FLINTSL"/>
    <n v="27"/>
    <n v="0"/>
    <n v="217"/>
    <n v="0"/>
    <s v="CYAN"/>
    <s v="G00385C"/>
    <s v="FLINTSL - CYAN"/>
    <n v="27"/>
    <n v="0"/>
    <m/>
    <m/>
    <n v="0"/>
    <n v="2651200000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21"/>
    <n v="0"/>
    <s v="MAGENTA"/>
    <s v="G00385M"/>
    <s v="FLINTSL - MAGENTA"/>
    <n v="25"/>
    <n v="0"/>
    <s v="C01424M"/>
    <n v="30"/>
    <n v="0"/>
    <n v="26517000011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9"/>
    <n v="0"/>
    <n v="51"/>
    <n v="0"/>
    <s v="YELLOW"/>
    <s v="G00385Y"/>
    <s v="FLINTSL - YELLOW"/>
    <n v="20"/>
    <n v="0"/>
    <m/>
    <m/>
    <n v="0"/>
    <n v="26516000005"/>
    <s v="FMD"/>
    <m/>
    <m/>
    <m/>
    <m/>
    <m/>
    <m/>
    <n v="30"/>
    <e v="#N/A"/>
    <n v="10"/>
    <n v="0"/>
    <m/>
    <n v="0"/>
    <m/>
    <n v="0"/>
    <m/>
    <n v="0"/>
    <m/>
    <n v="0"/>
    <m/>
    <n v="0"/>
    <m/>
    <n v="0"/>
    <s v="FLINTSL"/>
    <n v="19"/>
    <n v="0"/>
    <n v="12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7"/>
    <n v="8"/>
    <n v="10"/>
    <n v="4"/>
    <n v="5"/>
    <n v="20"/>
    <n v="0"/>
    <n v="0"/>
    <n v="0.8"/>
    <n v="0.2"/>
    <m/>
    <m/>
    <m/>
    <n v="0"/>
    <n v="216"/>
    <n v="0"/>
    <n v="0"/>
    <n v="216"/>
    <n v="216"/>
    <n v="172.8"/>
    <n v="0"/>
    <n v="43.2"/>
    <n v="0"/>
    <n v="0"/>
    <n v="0"/>
    <n v="0"/>
    <n v="0"/>
    <n v="0"/>
    <n v="0"/>
    <n v="0"/>
    <n v="0"/>
    <n v="0"/>
    <m/>
    <n v="227"/>
    <n v="473"/>
    <n v="105"/>
    <s v="FLINTSLFLINTSLFLINTSLFLINTSLFLINTSLFLINTSL"/>
    <s v="+"/>
    <s v="+"/>
    <s v="+"/>
    <s v="+"/>
    <s v="+"/>
    <s v="+"/>
    <s v="NIL"/>
    <s v="NIL"/>
    <b v="0"/>
  </r>
  <r>
    <d v="2026-01-15T00:00:00"/>
    <s v="B"/>
    <x v="203"/>
    <n v="106"/>
    <n v="384"/>
    <n v="15200"/>
    <s v="I"/>
    <s v="N"/>
    <n v="3.7199999999999998"/>
    <s v="BLACK"/>
    <s v="C01474B"/>
    <s v="FLINTSL - BLACK"/>
    <n v="25"/>
    <n v="0"/>
    <m/>
    <m/>
    <n v="0"/>
    <n v="26519000013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7"/>
    <n v="0"/>
    <n v="6.8227848101265849"/>
    <n v="0"/>
    <s v="RED"/>
    <m/>
    <s v="FLINTSL - RED"/>
    <m/>
    <n v="0"/>
    <m/>
    <m/>
    <n v="0"/>
    <n v="26515000017"/>
    <n v="26515000030"/>
    <n v="26517000011"/>
    <m/>
    <m/>
    <m/>
    <m/>
    <m/>
    <n v="20"/>
    <e v="#N/A"/>
    <n v="40"/>
    <e v="#N/A"/>
    <n v="6"/>
    <e v="#N/A"/>
    <m/>
    <n v="0"/>
    <m/>
    <n v="0"/>
    <m/>
    <n v="0"/>
    <m/>
    <n v="0"/>
    <m/>
    <n v="0"/>
    <s v="FLINTSL"/>
    <n v="25"/>
    <n v="0"/>
    <n v="64.291139240506325"/>
    <n v="0"/>
    <s v="CYAN"/>
    <m/>
    <s v="FLINTSL - CYAN"/>
    <m/>
    <n v="0"/>
    <m/>
    <m/>
    <n v="0"/>
    <n v="26512000001"/>
    <s v="FMD"/>
    <m/>
    <m/>
    <m/>
    <m/>
    <m/>
    <m/>
    <n v="15"/>
    <e v="#N/A"/>
    <n v="5"/>
    <n v="0"/>
    <m/>
    <n v="0"/>
    <m/>
    <n v="0"/>
    <m/>
    <n v="0"/>
    <m/>
    <n v="0"/>
    <m/>
    <n v="0"/>
    <m/>
    <n v="0"/>
    <s v="FLINTSL"/>
    <n v="27"/>
    <n v="0"/>
    <n v="22.113924050632917"/>
    <n v="0"/>
    <s v="MAGENTA"/>
    <m/>
    <s v="FLINTSL - MAGENTA"/>
    <m/>
    <n v="0"/>
    <m/>
    <m/>
    <n v="0"/>
    <n v="26517000011"/>
    <s v="FMD"/>
    <m/>
    <m/>
    <m/>
    <m/>
    <m/>
    <m/>
    <n v="16"/>
    <e v="#N/A"/>
    <n v="4"/>
    <n v="0"/>
    <m/>
    <n v="0"/>
    <m/>
    <n v="0"/>
    <m/>
    <n v="0"/>
    <m/>
    <n v="0"/>
    <m/>
    <n v="0"/>
    <m/>
    <n v="0"/>
    <s v="FLINTSL"/>
    <n v="20"/>
    <n v="0"/>
    <n v="23.291139240506325"/>
    <n v="0"/>
    <s v="YELLOW"/>
    <m/>
    <s v="FLINTSL - YELLOW"/>
    <m/>
    <n v="0"/>
    <m/>
    <m/>
    <n v="0"/>
    <n v="26515000009"/>
    <s v="FMD"/>
    <m/>
    <m/>
    <m/>
    <m/>
    <m/>
    <m/>
    <n v="20"/>
    <e v="#N/A"/>
    <n v="5"/>
    <n v="0"/>
    <m/>
    <n v="0"/>
    <m/>
    <n v="0"/>
    <m/>
    <n v="0"/>
    <m/>
    <n v="0"/>
    <m/>
    <n v="0"/>
    <m/>
    <n v="0"/>
    <s v="FLINTSL"/>
    <n v="28"/>
    <n v="0"/>
    <n v="26.113924050632917"/>
    <n v="0"/>
    <s v="GREEN"/>
    <m/>
    <s v="FLINTSL - GREEN"/>
    <m/>
    <n v="0"/>
    <m/>
    <m/>
    <n v="0"/>
    <s v="FMD"/>
    <n v="26515000009"/>
    <n v="26512000001"/>
    <m/>
    <m/>
    <m/>
    <m/>
    <m/>
    <n v="20"/>
    <n v="0"/>
    <n v="0.5"/>
    <e v="#N/A"/>
    <n v="0.3"/>
    <e v="#N/A"/>
    <m/>
    <n v="0"/>
    <m/>
    <n v="0"/>
    <m/>
    <n v="0"/>
    <m/>
    <n v="0"/>
    <m/>
    <n v="0"/>
    <s v="FLINTSL"/>
    <n v="20"/>
    <n v="0"/>
    <n v="18.268354430379745"/>
    <n v="0"/>
    <s v="WHITE"/>
    <s v="C01474W"/>
    <s v="FLINTSL - WHITE"/>
    <n v="30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25"/>
    <n v="0"/>
    <n v="103.22784810126583"/>
    <n v="0"/>
    <s v="MATT"/>
    <s v="C01474M"/>
    <s v="ToyoLi - MATT"/>
    <n v="30"/>
    <n v="0"/>
    <m/>
    <m/>
    <n v="0"/>
    <n v="55"/>
    <s v="NWBBK"/>
    <m/>
    <m/>
    <m/>
    <m/>
    <m/>
    <m/>
    <n v="80"/>
    <n v="0"/>
    <n v="20"/>
    <n v="0"/>
    <m/>
    <n v="0"/>
    <m/>
    <n v="0"/>
    <m/>
    <n v="0"/>
    <m/>
    <n v="0"/>
    <m/>
    <n v="0"/>
    <m/>
    <n v="0"/>
    <s v="ToyoLi"/>
    <n v="25"/>
    <n v="0"/>
    <n v="148.67088607594937"/>
    <n v="0"/>
    <n v="2"/>
    <n v="8"/>
    <n v="10"/>
    <n v="8"/>
    <n v="10"/>
    <n v="6"/>
    <n v="20"/>
    <n v="15"/>
    <n v="0.8"/>
    <n v="0.2"/>
    <m/>
    <m/>
    <m/>
    <n v="0"/>
    <n v="230"/>
    <n v="0"/>
    <n v="0"/>
    <n v="230"/>
    <n v="230"/>
    <n v="184"/>
    <n v="0"/>
    <n v="46"/>
    <n v="0"/>
    <n v="0"/>
    <n v="0"/>
    <n v="0"/>
    <n v="0"/>
    <n v="0"/>
    <n v="0"/>
    <n v="0"/>
    <n v="0"/>
    <n v="0"/>
    <m/>
    <n v="294.8"/>
    <n v="412.80000000000007"/>
    <n v="106"/>
    <s v="FLINTSLFLINTSLFLINTSLFLINTSLFLINTSLFLINTSLFLINTSLToyoLi"/>
    <s v="+"/>
    <s v="+"/>
    <s v="+"/>
    <s v="+"/>
    <s v="+"/>
    <s v="+"/>
    <s v="+"/>
    <s v="+"/>
    <b v="0"/>
  </r>
  <r>
    <d v="2026-01-15T00:00:00"/>
    <s v="B"/>
    <x v="204"/>
    <n v="107"/>
    <n v="384"/>
    <n v="15200"/>
    <s v="I"/>
    <s v="N"/>
    <n v="3.67"/>
    <s v="BLACK"/>
    <s v="J00957B"/>
    <s v="FLINTSL - BLACK"/>
    <n v="27"/>
    <n v="0"/>
    <m/>
    <m/>
    <n v="0"/>
    <n v="26519000013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8"/>
    <n v="0"/>
    <n v="11"/>
    <n v="0"/>
    <s v="GREEN"/>
    <m/>
    <s v="FLINTSL - GREEN"/>
    <m/>
    <n v="0"/>
    <m/>
    <m/>
    <n v="0"/>
    <n v="26515000031"/>
    <n v="26516000001"/>
    <n v="26512000001"/>
    <m/>
    <m/>
    <m/>
    <m/>
    <m/>
    <n v="40"/>
    <e v="#N/A"/>
    <n v="40"/>
    <e v="#N/A"/>
    <n v="2"/>
    <e v="#N/A"/>
    <m/>
    <n v="0"/>
    <m/>
    <n v="0"/>
    <m/>
    <n v="0"/>
    <m/>
    <n v="0"/>
    <m/>
    <n v="0"/>
    <s v="FLINTSL"/>
    <n v="45"/>
    <n v="0"/>
    <n v="45"/>
    <n v="0"/>
    <s v="CYAN"/>
    <s v="J00957C"/>
    <s v="FLINTSL - CYAN"/>
    <n v="27"/>
    <n v="0"/>
    <m/>
    <m/>
    <n v="0"/>
    <n v="26512000001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8"/>
    <n v="0"/>
    <n v="10"/>
    <n v="0"/>
    <s v="MAGENTA"/>
    <s v="J00957M"/>
    <s v="FLINTSL - MAGENTA"/>
    <n v="20"/>
    <n v="0"/>
    <m/>
    <m/>
    <n v="0"/>
    <n v="26517000011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6"/>
    <n v="0"/>
    <n v="19"/>
    <n v="0"/>
    <s v="YELLOW"/>
    <s v="J00957Y"/>
    <s v="FLINTSL - YELLOW"/>
    <n v="28"/>
    <n v="0"/>
    <m/>
    <m/>
    <n v="0"/>
    <n v="26516000007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2"/>
    <n v="0"/>
    <n v="48"/>
    <n v="0"/>
    <s v="RED"/>
    <m/>
    <s v="FLINTSL - RED"/>
    <m/>
    <n v="0"/>
    <m/>
    <m/>
    <n v="0"/>
    <s v="FMD"/>
    <n v="26517000011"/>
    <n v="26512000002"/>
    <m/>
    <m/>
    <m/>
    <m/>
    <m/>
    <n v="20"/>
    <n v="0"/>
    <n v="1"/>
    <e v="#N/A"/>
    <n v="0.5"/>
    <e v="#N/A"/>
    <m/>
    <n v="0"/>
    <m/>
    <n v="0"/>
    <m/>
    <n v="0"/>
    <m/>
    <n v="0"/>
    <m/>
    <n v="0"/>
    <s v="FLINTSL"/>
    <n v="18"/>
    <n v="0"/>
    <n v="23.5"/>
    <n v="0"/>
    <s v="WHITE"/>
    <s v="J00957W"/>
    <s v="FLINTSL - WHITE"/>
    <n v="25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20"/>
    <n v="0"/>
    <n v="125"/>
    <n v="0"/>
    <s v="MATT"/>
    <s v="J00957M"/>
    <s v="ToyoLi - MATT"/>
    <n v="25"/>
    <n v="0"/>
    <m/>
    <m/>
    <n v="0"/>
    <n v="55"/>
    <s v="NWBBK"/>
    <m/>
    <m/>
    <m/>
    <m/>
    <m/>
    <m/>
    <n v="80"/>
    <n v="0"/>
    <n v="20"/>
    <n v="0"/>
    <m/>
    <n v="0"/>
    <m/>
    <n v="0"/>
    <m/>
    <n v="0"/>
    <m/>
    <n v="0"/>
    <m/>
    <n v="0"/>
    <m/>
    <n v="0"/>
    <s v="ToyoLi"/>
    <n v="20"/>
    <n v="0"/>
    <n v="145"/>
    <n v="0"/>
    <n v="2"/>
    <n v="2"/>
    <n v="2"/>
    <n v="5"/>
    <n v="8"/>
    <n v="5"/>
    <n v="20"/>
    <n v="10"/>
    <n v="0.8"/>
    <n v="0.2"/>
    <m/>
    <m/>
    <m/>
    <n v="0"/>
    <n v="216"/>
    <n v="0"/>
    <n v="0"/>
    <n v="216"/>
    <n v="216"/>
    <n v="172.8"/>
    <n v="0"/>
    <n v="43.2"/>
    <n v="0"/>
    <n v="0"/>
    <n v="0"/>
    <n v="0"/>
    <n v="0"/>
    <n v="0"/>
    <n v="0"/>
    <n v="0"/>
    <n v="0"/>
    <n v="0"/>
    <m/>
    <n v="265.5"/>
    <n v="426.5"/>
    <n v="107"/>
    <s v="FLINTSLFLINTSLFLINTSLFLINTSLFLINTSLFLINTSLFLINTSLToyoLi"/>
    <s v="+"/>
    <s v="+"/>
    <s v="+"/>
    <s v="+"/>
    <s v="+"/>
    <s v="+"/>
    <s v="+"/>
    <s v="+"/>
    <b v="0"/>
  </r>
  <r>
    <d v="2026-01-15T00:00:00"/>
    <s v="B"/>
    <x v="205"/>
    <n v="108"/>
    <n v="379"/>
    <n v="15000"/>
    <s v="I"/>
    <s v="N"/>
    <n v="3.78"/>
    <s v="BLACK"/>
    <s v="J00958B"/>
    <s v="FLINTSL - BLACK"/>
    <n v="28"/>
    <n v="0"/>
    <m/>
    <m/>
    <n v="0"/>
    <n v="2652000000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7"/>
    <n v="0"/>
    <n v="12.03846153846154"/>
    <n v="0"/>
    <m/>
    <m/>
    <s v="FLINTSL - "/>
    <m/>
    <n v="0"/>
    <m/>
    <m/>
    <n v="0"/>
    <n v="26516000003"/>
    <n v="26516000004"/>
    <m/>
    <m/>
    <m/>
    <m/>
    <m/>
    <m/>
    <n v="40"/>
    <e v="#N/A"/>
    <n v="30"/>
    <e v="#N/A"/>
    <m/>
    <n v="0"/>
    <m/>
    <n v="0"/>
    <m/>
    <n v="0"/>
    <m/>
    <n v="0"/>
    <m/>
    <n v="0"/>
    <m/>
    <n v="0"/>
    <s v="FLINTSL"/>
    <n v="40"/>
    <n v="0"/>
    <n v="38.038461538461533"/>
    <n v="0"/>
    <s v="CYAN"/>
    <s v="J00958C"/>
    <s v="FLINTSL - CYAN"/>
    <n v="28"/>
    <n v="0"/>
    <m/>
    <m/>
    <n v="0"/>
    <n v="2651200000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0"/>
    <n v="0"/>
    <n v="18.03846153846154"/>
    <n v="0"/>
    <s v="MAGENTA"/>
    <s v="J00958M"/>
    <s v="FLINTSL - MAGENTA"/>
    <n v="26"/>
    <n v="0"/>
    <m/>
    <m/>
    <n v="0"/>
    <n v="2651700001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11.03846153846154"/>
    <n v="0"/>
    <s v="YELLOW"/>
    <s v="J00958Y"/>
    <s v="FLINTSL - YELLOW"/>
    <n v="22"/>
    <n v="0"/>
    <m/>
    <m/>
    <n v="0"/>
    <n v="26516000007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6"/>
    <n v="0"/>
    <n v="17.07692307692308"/>
    <n v="0"/>
    <s v="YELLOW"/>
    <m/>
    <s v="FLINTSL - YELLOW"/>
    <m/>
    <n v="0"/>
    <m/>
    <m/>
    <n v="0"/>
    <s v="FMD"/>
    <n v="26516000007"/>
    <m/>
    <m/>
    <m/>
    <m/>
    <m/>
    <m/>
    <n v="20"/>
    <n v="0"/>
    <n v="1"/>
    <e v="#N/A"/>
    <m/>
    <n v="0"/>
    <m/>
    <n v="0"/>
    <m/>
    <n v="0"/>
    <m/>
    <n v="0"/>
    <m/>
    <n v="0"/>
    <m/>
    <n v="0"/>
    <s v="FLINTSL"/>
    <n v="15"/>
    <n v="0"/>
    <n v="26.096153846153847"/>
    <n v="0"/>
    <s v="WHITE"/>
    <s v="J00958W"/>
    <s v="FLINTSL - WHITE"/>
    <n v="20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20"/>
    <n v="0"/>
    <n v="120.38461538461539"/>
    <n v="0"/>
    <s v="MATT"/>
    <s v="J00958M"/>
    <s v="ToyoLi - MATT"/>
    <n v="20"/>
    <n v="0"/>
    <m/>
    <m/>
    <n v="0"/>
    <n v="55"/>
    <s v="NWBBK"/>
    <m/>
    <m/>
    <m/>
    <m/>
    <m/>
    <m/>
    <n v="80"/>
    <n v="0"/>
    <n v="20"/>
    <n v="0"/>
    <m/>
    <n v="0"/>
    <m/>
    <n v="0"/>
    <m/>
    <n v="0"/>
    <m/>
    <n v="0"/>
    <m/>
    <n v="0"/>
    <m/>
    <n v="0"/>
    <s v="ToyoLi"/>
    <n v="32"/>
    <n v="0"/>
    <n v="148.28846153846155"/>
    <n v="0"/>
    <n v="2"/>
    <n v="2"/>
    <n v="2"/>
    <n v="2"/>
    <n v="4"/>
    <n v="5"/>
    <n v="20"/>
    <n v="15"/>
    <n v="0.8"/>
    <n v="0.2"/>
    <m/>
    <m/>
    <m/>
    <n v="0"/>
    <n v="209"/>
    <n v="0"/>
    <n v="0"/>
    <n v="209"/>
    <n v="209"/>
    <n v="167.20000000000002"/>
    <n v="0"/>
    <n v="41.800000000000004"/>
    <n v="0"/>
    <n v="0"/>
    <n v="0"/>
    <n v="0"/>
    <n v="0"/>
    <n v="0"/>
    <n v="0"/>
    <n v="0"/>
    <n v="0"/>
    <n v="0"/>
    <m/>
    <n v="243"/>
    <n v="391"/>
    <n v="108"/>
    <s v="FLINTSLFLINTSLFLINTSLFLINTSLFLINTSLFLINTSLFLINTSLToyoLi"/>
    <s v="+"/>
    <s v="+"/>
    <s v="+"/>
    <s v="+"/>
    <s v="+"/>
    <s v="+"/>
    <s v="+"/>
    <s v="+"/>
    <b v="0"/>
  </r>
  <r>
    <d v="2026-01-15T00:00:00"/>
    <s v="B"/>
    <x v="206"/>
    <n v="109"/>
    <n v="884"/>
    <n v="63000"/>
    <s v="II"/>
    <s v="N"/>
    <n v="0.16"/>
    <s v="BLACK"/>
    <s v="F00864B"/>
    <s v="FLINTSL - BLACK"/>
    <n v="19"/>
    <n v="0"/>
    <s v="C01489B"/>
    <n v="14"/>
    <n v="0"/>
    <n v="2652000000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4"/>
    <n v="0"/>
    <n v="36.157894736842103"/>
    <n v="0"/>
    <s v="BLACK"/>
    <s v="H01332B"/>
    <s v="FLINTSL - BLACK"/>
    <n v="11"/>
    <n v="0"/>
    <s v="E00988B"/>
    <n v="15"/>
    <n v="0"/>
    <n v="26517000011"/>
    <n v="26517000042"/>
    <m/>
    <m/>
    <m/>
    <m/>
    <m/>
    <m/>
    <n v="2"/>
    <e v="#N/A"/>
    <n v="1"/>
    <e v="#N/A"/>
    <m/>
    <n v="0"/>
    <m/>
    <n v="0"/>
    <m/>
    <n v="0"/>
    <m/>
    <n v="0"/>
    <m/>
    <n v="0"/>
    <m/>
    <n v="0"/>
    <s v="FLINTSL"/>
    <n v="26"/>
    <n v="0"/>
    <n v="21.526315789473685"/>
    <n v="0"/>
    <s v="GOLD"/>
    <s v="N00871G"/>
    <s v="FLINTSL - GOLD"/>
    <n v="10"/>
    <n v="0"/>
    <s v="H01337G"/>
    <n v="28"/>
    <n v="0"/>
    <n v="26520000005"/>
    <s v="FSI"/>
    <s v="FMD"/>
    <m/>
    <m/>
    <m/>
    <m/>
    <m/>
    <n v="0.2"/>
    <e v="#N/A"/>
    <n v="10"/>
    <n v="0"/>
    <n v="5"/>
    <n v="0"/>
    <m/>
    <n v="0"/>
    <m/>
    <n v="0"/>
    <m/>
    <n v="0"/>
    <m/>
    <n v="0"/>
    <m/>
    <n v="0"/>
    <s v="FLINTSL"/>
    <n v="30"/>
    <n v="0"/>
    <n v="69.51578947368420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4"/>
    <n v="10"/>
    <n v="0"/>
    <n v="0"/>
    <n v="0"/>
    <n v="0"/>
    <n v="0"/>
    <n v="0.8"/>
    <n v="0.2"/>
    <m/>
    <m/>
    <m/>
    <n v="0"/>
    <n v="88"/>
    <n v="0"/>
    <n v="0"/>
    <n v="88"/>
    <n v="88"/>
    <n v="70.400000000000006"/>
    <n v="0"/>
    <n v="17.600000000000001"/>
    <n v="0"/>
    <n v="0"/>
    <n v="0"/>
    <n v="0"/>
    <n v="0"/>
    <n v="0"/>
    <n v="0"/>
    <n v="0"/>
    <n v="0"/>
    <n v="0"/>
    <m/>
    <n v="22.2"/>
    <n v="127.19999999999999"/>
    <n v="109"/>
    <s v="FLINTSLFLINTSLFLINTSL"/>
    <s v="+"/>
    <s v="+"/>
    <s v="+"/>
    <s v="NIL"/>
    <s v="NIL"/>
    <s v="NIL"/>
    <s v="NIL"/>
    <s v="NIL"/>
    <b v="0"/>
  </r>
  <r>
    <d v="2026-01-15T00:00:00"/>
    <s v="B"/>
    <x v="120"/>
    <n v="110"/>
    <n v="852"/>
    <n v="15700"/>
    <s v="II"/>
    <s v="N"/>
    <n v="1.76"/>
    <s v="BLACK"/>
    <s v="F00862B"/>
    <s v="FLINTSL - BLACK"/>
    <n v="24"/>
    <n v="0"/>
    <m/>
    <m/>
    <n v="0"/>
    <n v="26520000005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4.7313432835820919"/>
    <n v="0"/>
    <s v="REFLEX BLUE"/>
    <s v="F00864B"/>
    <s v="FLINTSL - REFLEX BLUE"/>
    <n v="24"/>
    <n v="0"/>
    <m/>
    <m/>
    <n v="0"/>
    <n v="26520000005"/>
    <n v="26513000011"/>
    <n v="26517000011"/>
    <m/>
    <m/>
    <m/>
    <m/>
    <m/>
    <n v="0.3"/>
    <e v="#N/A"/>
    <n v="5"/>
    <e v="#N/A"/>
    <n v="2"/>
    <e v="#N/A"/>
    <m/>
    <n v="0"/>
    <m/>
    <n v="0"/>
    <m/>
    <n v="0"/>
    <m/>
    <n v="0"/>
    <m/>
    <n v="0"/>
    <s v="FLINTSL"/>
    <n v="35"/>
    <n v="0"/>
    <n v="5.8522388059701456"/>
    <n v="0"/>
    <s v="YELLOW"/>
    <s v="F00825Y"/>
    <s v="FLINTSL - YELLOW"/>
    <n v="18"/>
    <n v="0"/>
    <m/>
    <m/>
    <n v="0"/>
    <n v="26517000011"/>
    <n v="26516000007"/>
    <s v="FMD"/>
    <m/>
    <m/>
    <m/>
    <m/>
    <m/>
    <n v="0.2"/>
    <e v="#N/A"/>
    <n v="3"/>
    <e v="#N/A"/>
    <n v="5"/>
    <n v="0"/>
    <m/>
    <n v="0"/>
    <m/>
    <n v="0"/>
    <m/>
    <n v="0"/>
    <m/>
    <n v="0"/>
    <m/>
    <n v="0"/>
    <s v="FLINTSL"/>
    <n v="23"/>
    <n v="0"/>
    <n v="12.752238805970151"/>
    <n v="0"/>
    <s v="ORANGE"/>
    <s v="N00841O"/>
    <s v="FLINTSL - ORANGE"/>
    <n v="25"/>
    <n v="0"/>
    <m/>
    <m/>
    <n v="0"/>
    <n v="26516000002"/>
    <m/>
    <m/>
    <m/>
    <m/>
    <m/>
    <m/>
    <m/>
    <n v="40"/>
    <e v="#N/A"/>
    <m/>
    <n v="0"/>
    <m/>
    <n v="0"/>
    <m/>
    <n v="0"/>
    <m/>
    <n v="0"/>
    <m/>
    <n v="0"/>
    <m/>
    <n v="0"/>
    <m/>
    <n v="0"/>
    <s v="FLINTSL"/>
    <n v="18"/>
    <n v="0"/>
    <n v="66.104477611940297"/>
    <n v="0"/>
    <s v="CYAN"/>
    <s v="F00864C"/>
    <s v="FLINTSL - CYAN"/>
    <n v="24"/>
    <n v="0"/>
    <m/>
    <m/>
    <n v="0"/>
    <n v="26512000001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2.8208955223880565"/>
    <n v="0"/>
    <s v="MAGENTA"/>
    <s v="F00864M"/>
    <s v="FLINTSL - MAGENTA"/>
    <n v="29"/>
    <n v="0"/>
    <m/>
    <m/>
    <n v="0"/>
    <n v="2651700001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1"/>
    <n v="0"/>
    <n v="3.8208955223880565"/>
    <n v="0"/>
    <s v="YELLOW"/>
    <s v="F00864Y"/>
    <s v="FLINTSL - YELLOW"/>
    <n v="19"/>
    <n v="0"/>
    <m/>
    <m/>
    <n v="0"/>
    <n v="26516000015"/>
    <s v="FMD"/>
    <m/>
    <m/>
    <m/>
    <m/>
    <m/>
    <m/>
    <n v="15"/>
    <e v="#N/A"/>
    <n v="10"/>
    <n v="0"/>
    <m/>
    <n v="0"/>
    <m/>
    <n v="0"/>
    <m/>
    <n v="0"/>
    <m/>
    <n v="0"/>
    <m/>
    <n v="0"/>
    <m/>
    <n v="0"/>
    <s v="FLINTSL"/>
    <n v="30"/>
    <n v="0"/>
    <n v="33.104477611940297"/>
    <n v="0"/>
    <s v="WHITE"/>
    <s v="G00390W"/>
    <s v="FLINTSL - WHITE"/>
    <n v="28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115.31343283582089"/>
    <n v="0"/>
    <n v="3"/>
    <n v="5"/>
    <n v="5"/>
    <n v="10"/>
    <n v="2"/>
    <n v="2"/>
    <n v="10"/>
    <n v="30"/>
    <n v="0.8"/>
    <n v="0.2"/>
    <m/>
    <m/>
    <m/>
    <n v="0"/>
    <n v="128"/>
    <n v="0"/>
    <n v="0"/>
    <n v="128"/>
    <n v="128"/>
    <n v="102.4"/>
    <n v="0"/>
    <n v="25.6"/>
    <n v="0"/>
    <n v="0"/>
    <n v="0"/>
    <n v="0"/>
    <n v="0"/>
    <n v="0"/>
    <n v="0"/>
    <n v="0"/>
    <n v="0"/>
    <n v="0"/>
    <m/>
    <n v="152.5"/>
    <n v="244.5"/>
    <n v="110"/>
    <s v="FLINTSLFLINTSLFLINTSLFLINTSLFLINTSLFLINTSLFLINTSLFLINTSL"/>
    <s v="+"/>
    <s v="+"/>
    <s v="+"/>
    <s v="+"/>
    <s v="+"/>
    <s v="+"/>
    <s v="+"/>
    <s v="+"/>
    <b v="0"/>
  </r>
  <r>
    <d v="2026-01-15T00:00:00"/>
    <s v="B"/>
    <x v="207"/>
    <n v="111"/>
    <n v="271"/>
    <n v="13000"/>
    <s v="I"/>
    <s v="N"/>
    <n v="1.66"/>
    <s v="BLACK"/>
    <s v="J00959B"/>
    <s v="FLINTSL - BLACK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5.6610169491525433"/>
    <n v="0"/>
    <s v="REFLEX BLUE"/>
    <m/>
    <s v="FLINTSL - REFLEX BLUE"/>
    <m/>
    <n v="0"/>
    <m/>
    <m/>
    <n v="0"/>
    <n v="26512000002"/>
    <n v="26513000011"/>
    <n v="26517000020"/>
    <m/>
    <m/>
    <m/>
    <m/>
    <m/>
    <n v="15"/>
    <e v="#N/A"/>
    <n v="2"/>
    <e v="#N/A"/>
    <n v="2"/>
    <e v="#N/A"/>
    <m/>
    <n v="0"/>
    <m/>
    <n v="0"/>
    <m/>
    <n v="0"/>
    <m/>
    <n v="0"/>
    <m/>
    <n v="0"/>
    <s v="FLINTSL"/>
    <n v="26"/>
    <n v="0"/>
    <n v="7.6440677966101731"/>
    <n v="0"/>
    <s v="RED"/>
    <s v="J00957R"/>
    <s v="FLINTSL - RED"/>
    <n v="25"/>
    <n v="0"/>
    <s v="C01474R"/>
    <n v="22"/>
    <n v="0"/>
    <n v="26517000020"/>
    <n v="26513000020"/>
    <m/>
    <m/>
    <m/>
    <m/>
    <m/>
    <m/>
    <n v="10"/>
    <e v="#N/A"/>
    <n v="8"/>
    <e v="#N/A"/>
    <m/>
    <n v="0"/>
    <m/>
    <n v="0"/>
    <m/>
    <n v="0"/>
    <m/>
    <n v="0"/>
    <m/>
    <n v="0"/>
    <m/>
    <n v="0"/>
    <s v="FLINTSL"/>
    <n v="27"/>
    <n v="0"/>
    <n v="47.152542372881356"/>
    <n v="0"/>
    <s v="CYAN"/>
    <s v="J00959C"/>
    <s v="FLINTSL - CYAN"/>
    <n v="26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4.6610169491525433"/>
    <n v="0"/>
    <s v="MAGENTA"/>
    <s v="J00959M"/>
    <s v="FLINTSL - MAGENTA"/>
    <n v="25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4"/>
    <n v="0"/>
    <n v="4.6610169491525433"/>
    <n v="0"/>
    <s v="YELLOW"/>
    <s v="J00959Y"/>
    <s v="FLINTSL - YELLOW"/>
    <n v="26"/>
    <n v="0"/>
    <m/>
    <m/>
    <n v="0"/>
    <n v="26515000007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7"/>
    <n v="0"/>
    <n v="14.152542372881356"/>
    <n v="0"/>
    <s v="WHITE"/>
    <s v="J00959W"/>
    <s v="FLINTSL - WHITE"/>
    <n v="2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25"/>
    <n v="0"/>
    <n v="109.0677966101694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8"/>
    <n v="5"/>
    <n v="2"/>
    <n v="2"/>
    <n v="5"/>
    <n v="35"/>
    <n v="0"/>
    <n v="0.8"/>
    <n v="0.2"/>
    <m/>
    <m/>
    <m/>
    <n v="0"/>
    <n v="108"/>
    <n v="0"/>
    <n v="0"/>
    <n v="108"/>
    <n v="108"/>
    <n v="86.4"/>
    <n v="0"/>
    <n v="21.6"/>
    <n v="0"/>
    <n v="0"/>
    <n v="0"/>
    <n v="0"/>
    <n v="0"/>
    <n v="0"/>
    <n v="0"/>
    <n v="0"/>
    <n v="0"/>
    <n v="0"/>
    <m/>
    <n v="93"/>
    <n v="193"/>
    <n v="111"/>
    <s v="FLINTSLFLINTSLFLINTSLFLINTSLFLINTSLFLINTSLFLINTSL"/>
    <s v="+"/>
    <s v="+"/>
    <s v="+"/>
    <s v="+"/>
    <s v="+"/>
    <s v="+"/>
    <s v="+"/>
    <s v="NIL"/>
    <b v="0"/>
  </r>
  <r>
    <d v="2026-01-16T00:00:00"/>
    <s v="A"/>
    <x v="208"/>
    <n v="112"/>
    <n v="886"/>
    <n v="55700"/>
    <s v="II"/>
    <s v="N"/>
    <n v="1.9"/>
    <s v="BLACK"/>
    <s v="N00841B"/>
    <s v="FLINTSL - BLACK"/>
    <n v="30"/>
    <n v="0"/>
    <m/>
    <m/>
    <n v="0"/>
    <n v="26520000005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8"/>
    <n v="0"/>
    <n v="21.434343434343432"/>
    <n v="0"/>
    <s v="REFLEX BLUE"/>
    <s v="N00841RB"/>
    <s v="FLINTSL - REFLEX BLUE"/>
    <n v="20"/>
    <n v="0"/>
    <m/>
    <m/>
    <n v="0"/>
    <n v="26513000011"/>
    <n v="26512000001"/>
    <m/>
    <m/>
    <m/>
    <m/>
    <m/>
    <m/>
    <n v="6"/>
    <e v="#N/A"/>
    <n v="6"/>
    <e v="#N/A"/>
    <m/>
    <n v="0"/>
    <m/>
    <n v="0"/>
    <m/>
    <n v="0"/>
    <m/>
    <n v="0"/>
    <m/>
    <n v="0"/>
    <m/>
    <n v="0"/>
    <s v="FLINTSL"/>
    <n v="25"/>
    <n v="0"/>
    <n v="20.434343434343432"/>
    <n v="0"/>
    <s v="GREEN"/>
    <s v="C01489G"/>
    <s v="FLINTSL - GREEN"/>
    <n v="23"/>
    <n v="0"/>
    <m/>
    <m/>
    <n v="0"/>
    <n v="26512000002"/>
    <n v="26516000015"/>
    <m/>
    <m/>
    <m/>
    <m/>
    <m/>
    <m/>
    <n v="1"/>
    <e v="#N/A"/>
    <n v="8"/>
    <e v="#N/A"/>
    <m/>
    <n v="0"/>
    <m/>
    <n v="0"/>
    <m/>
    <n v="0"/>
    <m/>
    <n v="0"/>
    <m/>
    <n v="0"/>
    <m/>
    <n v="0"/>
    <s v="FLINTSL"/>
    <n v="29"/>
    <n v="0"/>
    <n v="16.434343434343432"/>
    <n v="0"/>
    <s v="RED"/>
    <s v="B01053R"/>
    <s v="FLINTSL - RED"/>
    <n v="23"/>
    <n v="0"/>
    <s v="N00841R"/>
    <n v="18"/>
    <n v="0"/>
    <n v="26517000020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30"/>
    <n v="0"/>
    <n v="30.434343434343432"/>
    <n v="0"/>
    <s v="CYAN"/>
    <s v="N00841C"/>
    <s v="FLINTSL - CYAN"/>
    <n v="30"/>
    <n v="0"/>
    <m/>
    <m/>
    <n v="0"/>
    <n v="2651300002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9"/>
    <n v="0"/>
    <n v="8.3737373737373773"/>
    <n v="0"/>
    <s v="MAGENTA"/>
    <s v="N00841M"/>
    <s v="FLINTSL - MAGENTA"/>
    <n v="31"/>
    <n v="0"/>
    <m/>
    <m/>
    <n v="0"/>
    <n v="26517000020"/>
    <s v="FMD"/>
    <m/>
    <m/>
    <m/>
    <m/>
    <m/>
    <m/>
    <n v="10"/>
    <e v="#N/A"/>
    <n v="6"/>
    <n v="0"/>
    <m/>
    <n v="0"/>
    <m/>
    <n v="0"/>
    <m/>
    <n v="0"/>
    <m/>
    <n v="0"/>
    <m/>
    <n v="0"/>
    <m/>
    <n v="0"/>
    <s v="FLINTSL"/>
    <n v="30"/>
    <n v="0"/>
    <n v="57.303030303030312"/>
    <n v="0"/>
    <s v="YELLOW"/>
    <s v="N00841Y"/>
    <s v="FLINTSL - YELLOW"/>
    <n v="30"/>
    <n v="0"/>
    <m/>
    <m/>
    <n v="0"/>
    <n v="26516000014"/>
    <n v="26516000020"/>
    <m/>
    <m/>
    <m/>
    <m/>
    <m/>
    <m/>
    <n v="40"/>
    <e v="#N/A"/>
    <n v="40"/>
    <e v="#N/A"/>
    <m/>
    <n v="0"/>
    <m/>
    <n v="0"/>
    <m/>
    <n v="0"/>
    <m/>
    <n v="0"/>
    <m/>
    <n v="0"/>
    <m/>
    <n v="0"/>
    <s v="FLINTSL"/>
    <n v="24"/>
    <n v="0"/>
    <n v="91.37373737373737"/>
    <n v="0"/>
    <s v="WHITE"/>
    <s v="N00841W"/>
    <s v="FLINTSL - WHITE"/>
    <n v="30"/>
    <n v="0"/>
    <m/>
    <m/>
    <n v="0"/>
    <s v="FW"/>
    <m/>
    <m/>
    <m/>
    <m/>
    <m/>
    <m/>
    <m/>
    <n v="140"/>
    <n v="0"/>
    <m/>
    <n v="0"/>
    <m/>
    <n v="0"/>
    <m/>
    <n v="0"/>
    <m/>
    <n v="0"/>
    <m/>
    <n v="0"/>
    <m/>
    <n v="0"/>
    <m/>
    <n v="0"/>
    <s v="FLINTSL"/>
    <n v="24"/>
    <n v="0"/>
    <n v="307.21212121212125"/>
    <n v="0"/>
    <n v="5"/>
    <n v="5"/>
    <n v="5"/>
    <n v="5"/>
    <n v="2"/>
    <n v="15"/>
    <n v="2"/>
    <n v="60"/>
    <n v="0.8"/>
    <n v="0.2"/>
    <m/>
    <m/>
    <m/>
    <n v="0"/>
    <n v="266"/>
    <n v="0"/>
    <n v="0"/>
    <n v="266"/>
    <n v="266"/>
    <n v="212.8"/>
    <n v="0"/>
    <n v="53.2"/>
    <n v="0"/>
    <n v="0"/>
    <n v="0"/>
    <n v="0"/>
    <n v="0"/>
    <n v="0"/>
    <n v="0"/>
    <n v="0"/>
    <n v="0"/>
    <n v="0"/>
    <m/>
    <n v="271"/>
    <n v="553"/>
    <n v="112"/>
    <s v="FLINTSLFLINTSLFLINTSLFLINTSLFLINTSLFLINTSLFLINTSLFLINTSL"/>
    <s v="+"/>
    <s v="+"/>
    <s v="+"/>
    <s v="+"/>
    <s v="+"/>
    <s v="+"/>
    <s v="+"/>
    <s v="+"/>
    <b v="0"/>
  </r>
  <r>
    <d v="2026-01-16T00:00:00"/>
    <s v="A"/>
    <x v="209"/>
    <n v="113"/>
    <n v="204"/>
    <n v="10300"/>
    <s v="I"/>
    <s v="N"/>
    <n v="2"/>
    <s v="BLACK"/>
    <s v="H01318B"/>
    <s v="FLINTSL - BLACK"/>
    <n v="25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3"/>
    <n v="0"/>
    <n v="7.5454545454545467"/>
    <n v="0"/>
    <s v="REFLEX BLUE"/>
    <s v="C01424P"/>
    <s v="FLINTSL - REFLEX BLUE"/>
    <n v="18"/>
    <n v="0"/>
    <s v="G00390P"/>
    <n v="24"/>
    <n v="0"/>
    <n v="26513000021"/>
    <s v="FMD"/>
    <n v="26516000007"/>
    <m/>
    <m/>
    <m/>
    <m/>
    <m/>
    <n v="1"/>
    <e v="#N/A"/>
    <n v="4"/>
    <n v="0"/>
    <n v="0.5"/>
    <e v="#N/A"/>
    <m/>
    <n v="0"/>
    <m/>
    <n v="0"/>
    <m/>
    <n v="0"/>
    <m/>
    <n v="0"/>
    <m/>
    <n v="0"/>
    <s v="FLINTSL"/>
    <n v="35"/>
    <n v="0"/>
    <n v="18.045454545454547"/>
    <n v="0"/>
    <s v="CYAN"/>
    <s v="H01318C"/>
    <s v="FLINTSL - CYAN"/>
    <n v="25"/>
    <n v="0"/>
    <m/>
    <m/>
    <n v="0"/>
    <n v="2651300002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6.6969696969696955"/>
    <n v="0"/>
    <s v="MAGENTA"/>
    <s v="H01318M"/>
    <s v="FLINTSL - MAGENTA"/>
    <n v="24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5"/>
    <n v="0"/>
    <n v="5.6969696969696955"/>
    <n v="0"/>
    <s v="YELLOW"/>
    <s v="H01318Y"/>
    <s v="FLINTSL - YELLOW"/>
    <n v="27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0"/>
    <n v="0"/>
    <n v="14.545454545454547"/>
    <n v="0"/>
    <s v="MEDIUM"/>
    <s v="J00958M"/>
    <s v="FLINTSL - MEDIUM"/>
    <n v="18"/>
    <n v="0"/>
    <m/>
    <m/>
    <n v="0"/>
    <s v="FMD"/>
    <n v="26516000007"/>
    <m/>
    <m/>
    <m/>
    <m/>
    <m/>
    <m/>
    <n v="9"/>
    <n v="0"/>
    <n v="5"/>
    <e v="#N/A"/>
    <m/>
    <n v="0"/>
    <m/>
    <n v="0"/>
    <m/>
    <n v="0"/>
    <m/>
    <n v="0"/>
    <m/>
    <n v="0"/>
    <m/>
    <n v="0"/>
    <s v="FLINTSL"/>
    <n v="34"/>
    <n v="0"/>
    <n v="1.6969696969696955"/>
    <n v="0"/>
    <s v="GOLD"/>
    <s v="F00862G"/>
    <s v="FLINTSL - GOLD"/>
    <n v="20"/>
    <n v="0"/>
    <m/>
    <m/>
    <n v="0"/>
    <s v="FGO"/>
    <n v="26516000007"/>
    <n v="26513000021"/>
    <m/>
    <m/>
    <m/>
    <m/>
    <m/>
    <n v="5"/>
    <n v="0"/>
    <n v="2"/>
    <e v="#N/A"/>
    <n v="1"/>
    <e v="#N/A"/>
    <m/>
    <n v="0"/>
    <m/>
    <n v="0"/>
    <m/>
    <n v="0"/>
    <m/>
    <n v="0"/>
    <m/>
    <n v="0"/>
    <s v="FLINTSL"/>
    <n v="30"/>
    <n v="0"/>
    <n v="3.5454545454545467"/>
    <n v="0"/>
    <s v="WHITE"/>
    <s v="H01318W"/>
    <s v="FLINTSL - WHITE"/>
    <n v="25"/>
    <n v="0"/>
    <m/>
    <m/>
    <n v="0"/>
    <s v="FW"/>
    <m/>
    <m/>
    <m/>
    <m/>
    <m/>
    <m/>
    <m/>
    <n v="30"/>
    <n v="0"/>
    <m/>
    <n v="0"/>
    <m/>
    <n v="0"/>
    <m/>
    <n v="0"/>
    <m/>
    <n v="0"/>
    <m/>
    <n v="0"/>
    <m/>
    <n v="0"/>
    <m/>
    <n v="0"/>
    <s v="FLINTSL"/>
    <n v="18"/>
    <n v="0"/>
    <n v="64.72727272727272"/>
    <n v="0"/>
    <n v="3"/>
    <n v="3"/>
    <n v="2"/>
    <n v="2"/>
    <n v="3"/>
    <n v="2"/>
    <n v="3"/>
    <n v="15"/>
    <n v="0.8"/>
    <n v="0.2"/>
    <m/>
    <m/>
    <m/>
    <n v="0"/>
    <n v="61"/>
    <n v="0"/>
    <n v="0"/>
    <n v="61"/>
    <n v="61"/>
    <n v="48.800000000000004"/>
    <n v="0"/>
    <n v="12.200000000000001"/>
    <n v="0"/>
    <n v="0"/>
    <n v="0"/>
    <n v="0"/>
    <n v="0"/>
    <n v="0"/>
    <n v="0"/>
    <n v="0"/>
    <n v="0"/>
    <n v="0"/>
    <m/>
    <n v="64.5"/>
    <n v="122.5"/>
    <n v="113"/>
    <s v="FLINTSLFLINTSLFLINTSLFLINTSLFLINTSLFLINTSLFLINTSLFLINTSL"/>
    <s v="+"/>
    <s v="+"/>
    <s v="+"/>
    <s v="+"/>
    <s v="+"/>
    <s v="+"/>
    <s v="+"/>
    <s v="+"/>
    <b v="0"/>
  </r>
  <r>
    <d v="2026-01-16T00:00:00"/>
    <s v="A"/>
    <x v="210"/>
    <n v="114"/>
    <n v="510"/>
    <n v="26000"/>
    <s v="I"/>
    <s v="N"/>
    <n v="2"/>
    <s v="BLACK"/>
    <s v="H01356B"/>
    <s v="FLINTSL - BLACK"/>
    <n v="23"/>
    <n v="0"/>
    <m/>
    <m/>
    <n v="0"/>
    <n v="26520000005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4"/>
    <n v="0"/>
    <n v="12.267326732673268"/>
    <n v="0"/>
    <s v="REFLEX BLUE"/>
    <s v="H01318B"/>
    <s v="FLINTSL - REFLEX BLUE"/>
    <n v="26"/>
    <n v="0"/>
    <m/>
    <m/>
    <n v="0"/>
    <n v="26512000002"/>
    <n v="26513000021"/>
    <m/>
    <m/>
    <m/>
    <m/>
    <m/>
    <m/>
    <n v="7"/>
    <e v="#N/A"/>
    <n v="2"/>
    <e v="#N/A"/>
    <m/>
    <n v="0"/>
    <m/>
    <n v="0"/>
    <m/>
    <n v="0"/>
    <m/>
    <n v="0"/>
    <m/>
    <n v="0"/>
    <m/>
    <n v="0"/>
    <s v="FLINTSL"/>
    <n v="23"/>
    <n v="0"/>
    <n v="15.306930693069305"/>
    <n v="0"/>
    <s v="RED"/>
    <s v="H01318R"/>
    <s v="FLINTSL - RED"/>
    <n v="27"/>
    <n v="0"/>
    <m/>
    <m/>
    <n v="0"/>
    <n v="26517000020"/>
    <n v="26514000026"/>
    <n v="26516000012"/>
    <m/>
    <m/>
    <m/>
    <m/>
    <m/>
    <n v="10"/>
    <e v="#N/A"/>
    <n v="10"/>
    <e v="#N/A"/>
    <n v="20"/>
    <e v="#N/A"/>
    <m/>
    <n v="0"/>
    <m/>
    <n v="0"/>
    <m/>
    <n v="0"/>
    <m/>
    <n v="0"/>
    <m/>
    <n v="0"/>
    <s v="FLINTSL"/>
    <n v="25"/>
    <n v="0"/>
    <n v="83.336633663366342"/>
    <n v="0"/>
    <s v="GREEN"/>
    <s v="H01331G"/>
    <s v="FLINTSL - GREEN"/>
    <n v="32"/>
    <n v="0"/>
    <m/>
    <m/>
    <n v="0"/>
    <n v="26513000021"/>
    <n v="26516000015"/>
    <m/>
    <m/>
    <m/>
    <m/>
    <m/>
    <m/>
    <n v="2"/>
    <e v="#N/A"/>
    <n v="2"/>
    <e v="#N/A"/>
    <m/>
    <n v="0"/>
    <m/>
    <n v="0"/>
    <m/>
    <n v="0"/>
    <m/>
    <n v="0"/>
    <m/>
    <n v="0"/>
    <m/>
    <n v="0"/>
    <s v="FLINTSL"/>
    <n v="34"/>
    <n v="0"/>
    <n v="5.3069306930693045"/>
    <n v="0"/>
    <s v="CYAN"/>
    <s v="H01356C"/>
    <s v="FLINTSL - CYAN"/>
    <n v="24"/>
    <n v="0"/>
    <m/>
    <m/>
    <n v="0"/>
    <n v="2651300002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3"/>
    <n v="0"/>
    <n v="6.3069306930693081"/>
    <n v="0"/>
    <s v="MAGENTA"/>
    <s v="H01356M"/>
    <s v="FLINTSL - MAGENTA"/>
    <n v="25"/>
    <n v="0"/>
    <m/>
    <m/>
    <n v="0"/>
    <n v="26517000020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6"/>
    <n v="0"/>
    <n v="10.267326732673268"/>
    <n v="0"/>
    <s v="YELLOW"/>
    <s v="H01356Y"/>
    <s v="FLINTSL - YELLOW"/>
    <n v="20"/>
    <n v="0"/>
    <m/>
    <m/>
    <n v="0"/>
    <n v="26516000015"/>
    <s v="FMD"/>
    <m/>
    <m/>
    <m/>
    <m/>
    <m/>
    <m/>
    <n v="8"/>
    <e v="#N/A"/>
    <n v="10"/>
    <n v="0"/>
    <m/>
    <n v="0"/>
    <m/>
    <n v="0"/>
    <m/>
    <n v="0"/>
    <m/>
    <n v="0"/>
    <m/>
    <n v="0"/>
    <m/>
    <n v="0"/>
    <s v="FLINTSL"/>
    <n v="20"/>
    <n v="0"/>
    <n v="42.801980198019805"/>
    <n v="0"/>
    <s v="WHITE"/>
    <s v="H01356W"/>
    <s v="FLINTSL - WHITE"/>
    <n v="18"/>
    <n v="0"/>
    <m/>
    <m/>
    <n v="0"/>
    <s v="FW"/>
    <m/>
    <m/>
    <m/>
    <m/>
    <m/>
    <m/>
    <m/>
    <n v="90"/>
    <n v="0"/>
    <m/>
    <n v="0"/>
    <m/>
    <n v="0"/>
    <m/>
    <n v="0"/>
    <m/>
    <n v="0"/>
    <m/>
    <n v="0"/>
    <m/>
    <n v="0"/>
    <m/>
    <n v="0"/>
    <s v="FLINTSL"/>
    <n v="22"/>
    <n v="0"/>
    <n v="160.40594059405942"/>
    <n v="0"/>
    <n v="5"/>
    <n v="2"/>
    <n v="25"/>
    <n v="2"/>
    <n v="2"/>
    <n v="5"/>
    <n v="15"/>
    <n v="45"/>
    <n v="0.8"/>
    <n v="0.2"/>
    <m/>
    <m/>
    <m/>
    <n v="0"/>
    <n v="167"/>
    <n v="0"/>
    <n v="0"/>
    <n v="167"/>
    <n v="167"/>
    <n v="133.6"/>
    <n v="0"/>
    <n v="33.4"/>
    <n v="0"/>
    <n v="0"/>
    <n v="0"/>
    <n v="0"/>
    <n v="0"/>
    <n v="0"/>
    <n v="0"/>
    <n v="0"/>
    <n v="0"/>
    <n v="0"/>
    <m/>
    <n v="171"/>
    <n v="336"/>
    <n v="114"/>
    <s v="FLINTSLFLINTSLFLINTSLFLINTSLFLINTSLFLINTSLFLINTSLFLINTSL"/>
    <s v="+"/>
    <s v="+"/>
    <s v="+"/>
    <s v="+"/>
    <s v="+"/>
    <s v="+"/>
    <s v="+"/>
    <s v="+"/>
    <b v="0"/>
  </r>
  <r>
    <d v="2026-01-16T00:00:00"/>
    <s v="A"/>
    <x v="211"/>
    <n v="115"/>
    <n v="1471"/>
    <n v="79300"/>
    <s v="I"/>
    <s v="N"/>
    <n v="1.8"/>
    <s v="BLACK"/>
    <s v="H01279B"/>
    <s v="FLINTSL - BLACK"/>
    <n v="24"/>
    <n v="0"/>
    <m/>
    <m/>
    <n v="0"/>
    <n v="26520000005"/>
    <s v="FMD"/>
    <m/>
    <m/>
    <m/>
    <m/>
    <m/>
    <m/>
    <n v="5"/>
    <e v="#N/A"/>
    <n v="3"/>
    <n v="0"/>
    <m/>
    <n v="0"/>
    <m/>
    <n v="0"/>
    <m/>
    <n v="0"/>
    <m/>
    <n v="0"/>
    <m/>
    <n v="0"/>
    <m/>
    <n v="0"/>
    <s v="FLINTSL"/>
    <n v="26"/>
    <n v="0"/>
    <n v="19.75954198473282"/>
    <n v="0"/>
    <s v="REFLEX BLUE"/>
    <s v="C01484B"/>
    <s v="FLINTSL - REFLEX BLUE"/>
    <n v="25"/>
    <n v="0"/>
    <s v="C01433B/C01475B/C01484B"/>
    <n v="74"/>
    <n v="0"/>
    <n v="26516000018"/>
    <n v="26516000021"/>
    <n v="26520000010"/>
    <n v="26516000015"/>
    <m/>
    <m/>
    <m/>
    <m/>
    <n v="25"/>
    <e v="#N/A"/>
    <n v="10"/>
    <e v="#N/A"/>
    <n v="5"/>
    <e v="#N/A"/>
    <n v="2"/>
    <e v="#N/A"/>
    <m/>
    <n v="0"/>
    <m/>
    <n v="0"/>
    <m/>
    <n v="0"/>
    <m/>
    <n v="0"/>
    <s v="FLINTSL"/>
    <n v="35"/>
    <n v="0"/>
    <n v="145.31297709923663"/>
    <n v="0"/>
    <s v="RED"/>
    <s v="E01016R"/>
    <s v="FLINTSL - RED"/>
    <n v="14"/>
    <n v="0"/>
    <m/>
    <m/>
    <n v="0"/>
    <n v="26513000020"/>
    <n v="26517000020"/>
    <n v="26520000005"/>
    <m/>
    <m/>
    <m/>
    <m/>
    <m/>
    <n v="5"/>
    <e v="#N/A"/>
    <n v="7"/>
    <e v="#N/A"/>
    <n v="1"/>
    <e v="#N/A"/>
    <m/>
    <n v="0"/>
    <m/>
    <n v="0"/>
    <m/>
    <n v="0"/>
    <m/>
    <n v="0"/>
    <m/>
    <n v="0"/>
    <s v="FLINTSL"/>
    <n v="23"/>
    <n v="0"/>
    <n v="23.656488549618317"/>
    <n v="0"/>
    <s v="CYAN"/>
    <s v="H01279C"/>
    <s v="FLINTSL - CYAN"/>
    <n v="23"/>
    <n v="0"/>
    <m/>
    <m/>
    <n v="0"/>
    <n v="26513000021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4"/>
    <n v="0"/>
    <n v="13.828244274809158"/>
    <n v="0"/>
    <s v="MAGENTA"/>
    <s v="H01279M"/>
    <s v="FLINTSL - MAGENTA"/>
    <n v="26"/>
    <n v="0"/>
    <m/>
    <m/>
    <n v="0"/>
    <n v="26517000020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5"/>
    <n v="0"/>
    <n v="16.828244274809158"/>
    <n v="0"/>
    <s v="YELLOW"/>
    <s v="H01279U"/>
    <s v="FLINTSL - YELLOW"/>
    <n v="20"/>
    <n v="0"/>
    <m/>
    <m/>
    <n v="0"/>
    <n v="26516000015"/>
    <s v="FMD"/>
    <m/>
    <m/>
    <m/>
    <m/>
    <m/>
    <m/>
    <n v="40"/>
    <e v="#N/A"/>
    <n v="15"/>
    <n v="0"/>
    <m/>
    <n v="0"/>
    <m/>
    <n v="0"/>
    <m/>
    <n v="0"/>
    <m/>
    <n v="0"/>
    <m/>
    <n v="0"/>
    <m/>
    <n v="0"/>
    <s v="FLINTSL"/>
    <n v="30"/>
    <n v="0"/>
    <n v="113.79770992366412"/>
    <n v="0"/>
    <s v="WHITE"/>
    <s v="H01279W"/>
    <s v="FLINTSL - WHITE"/>
    <n v="22"/>
    <n v="0"/>
    <m/>
    <m/>
    <n v="0"/>
    <s v="FW"/>
    <m/>
    <m/>
    <m/>
    <m/>
    <m/>
    <m/>
    <m/>
    <n v="300"/>
    <n v="0"/>
    <m/>
    <n v="0"/>
    <m/>
    <n v="0"/>
    <m/>
    <n v="0"/>
    <m/>
    <n v="0"/>
    <m/>
    <n v="0"/>
    <m/>
    <n v="0"/>
    <m/>
    <n v="0"/>
    <s v="FLINTSL"/>
    <n v="25"/>
    <n v="0"/>
    <n v="650.8167938931297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7"/>
    <n v="20"/>
    <n v="10"/>
    <n v="5"/>
    <n v="5"/>
    <n v="35"/>
    <n v="180"/>
    <n v="0"/>
    <n v="0.8"/>
    <n v="0.2"/>
    <m/>
    <m/>
    <m/>
    <n v="0"/>
    <n v="515"/>
    <n v="0"/>
    <n v="0"/>
    <n v="515"/>
    <n v="515"/>
    <n v="412"/>
    <n v="0"/>
    <n v="103"/>
    <n v="0"/>
    <n v="0"/>
    <n v="0"/>
    <n v="0"/>
    <n v="0"/>
    <n v="0"/>
    <n v="0"/>
    <n v="0"/>
    <n v="0"/>
    <n v="0"/>
    <m/>
    <n v="429"/>
    <n v="984"/>
    <n v="115"/>
    <s v="FLINTSLFLINTSLFLINTSLFLINTSLFLINTSLFLINTSLFLINTSL"/>
    <s v="+"/>
    <s v="+"/>
    <s v="+"/>
    <s v="+"/>
    <s v="+"/>
    <s v="+"/>
    <s v="+"/>
    <s v="NIL"/>
    <b v="0"/>
  </r>
  <r>
    <d v="2026-01-16T00:00:00"/>
    <s v="A"/>
    <x v="212"/>
    <n v="116"/>
    <n v="644"/>
    <n v="40500"/>
    <s v="II"/>
    <s v="N"/>
    <n v="2"/>
    <s v="BLACK"/>
    <s v="N00805B"/>
    <s v="FLINTSL - BLACK"/>
    <n v="28"/>
    <n v="0"/>
    <m/>
    <m/>
    <n v="0"/>
    <n v="26520000010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5"/>
    <n v="0"/>
    <n v="17.333333333333329"/>
    <n v="0"/>
    <s v="REFLEX BLUE"/>
    <s v="N00805B"/>
    <s v="FLINTSL - REFLEX BLUE"/>
    <n v="25"/>
    <n v="0"/>
    <m/>
    <m/>
    <n v="0"/>
    <n v="2651600001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6"/>
    <n v="0"/>
    <n v="9.3333333333333286"/>
    <n v="0"/>
    <s v="GREEN"/>
    <s v="N00805G"/>
    <s v="FLINTSL - GREEN"/>
    <n v="29"/>
    <n v="0"/>
    <m/>
    <m/>
    <n v="0"/>
    <n v="26516000015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8"/>
    <n v="0"/>
    <n v="15.333333333333329"/>
    <n v="0"/>
    <s v="RED"/>
    <s v="N00805R"/>
    <s v="FLINTSL - RED"/>
    <n v="30"/>
    <n v="0"/>
    <m/>
    <m/>
    <n v="0"/>
    <n v="26516000011"/>
    <n v="26517000020"/>
    <m/>
    <m/>
    <m/>
    <m/>
    <m/>
    <m/>
    <n v="8"/>
    <e v="#N/A"/>
    <n v="4"/>
    <e v="#N/A"/>
    <m/>
    <n v="0"/>
    <m/>
    <n v="0"/>
    <m/>
    <n v="0"/>
    <m/>
    <n v="0"/>
    <m/>
    <n v="0"/>
    <m/>
    <n v="0"/>
    <s v="FLINTSL"/>
    <n v="29"/>
    <n v="0"/>
    <n v="21.333333333333329"/>
    <n v="0"/>
    <s v="CYAN"/>
    <s v="N00805C"/>
    <s v="FLINTSL - CYAN"/>
    <n v="29"/>
    <n v="0"/>
    <m/>
    <m/>
    <n v="0"/>
    <n v="26515000029"/>
    <s v="FMD"/>
    <m/>
    <m/>
    <m/>
    <m/>
    <m/>
    <m/>
    <n v="25"/>
    <e v="#N/A"/>
    <n v="7"/>
    <n v="0"/>
    <m/>
    <n v="0"/>
    <m/>
    <n v="0"/>
    <m/>
    <n v="0"/>
    <m/>
    <n v="0"/>
    <m/>
    <n v="0"/>
    <m/>
    <n v="0"/>
    <s v="FLINTSL"/>
    <n v="33"/>
    <n v="0"/>
    <n v="61.333333333333329"/>
    <n v="0"/>
    <s v="MAGENTA"/>
    <s v="N00805M"/>
    <s v="FLINTSL - MAGENTA"/>
    <n v="30"/>
    <n v="0"/>
    <m/>
    <m/>
    <n v="0"/>
    <n v="26517000020"/>
    <m/>
    <m/>
    <m/>
    <m/>
    <m/>
    <m/>
    <m/>
    <n v="7"/>
    <e v="#N/A"/>
    <m/>
    <n v="0"/>
    <m/>
    <n v="0"/>
    <m/>
    <n v="0"/>
    <m/>
    <n v="0"/>
    <m/>
    <n v="0"/>
    <m/>
    <n v="0"/>
    <m/>
    <n v="0"/>
    <s v="FLINTSL"/>
    <n v="33"/>
    <n v="0"/>
    <n v="12.333333333333329"/>
    <n v="0"/>
    <s v="YELLOW"/>
    <s v="N00805Y"/>
    <s v="FLINTSL - YELLOW"/>
    <n v="24"/>
    <n v="0"/>
    <m/>
    <m/>
    <n v="0"/>
    <n v="26516000022"/>
    <n v="26516000023"/>
    <n v="26516000015"/>
    <s v="FMD"/>
    <m/>
    <m/>
    <m/>
    <m/>
    <n v="40"/>
    <e v="#N/A"/>
    <n v="35"/>
    <e v="#N/A"/>
    <n v="16"/>
    <e v="#N/A"/>
    <n v="7"/>
    <n v="0"/>
    <m/>
    <n v="0"/>
    <m/>
    <n v="0"/>
    <m/>
    <n v="0"/>
    <m/>
    <n v="0"/>
    <s v="FLINTSL"/>
    <n v="24"/>
    <n v="0"/>
    <n v="123"/>
    <n v="0"/>
    <s v="WHITE"/>
    <s v="N00805W"/>
    <s v="FLINTSL - WHITE"/>
    <n v="29"/>
    <n v="0"/>
    <m/>
    <m/>
    <n v="0"/>
    <s v="FW"/>
    <m/>
    <m/>
    <m/>
    <m/>
    <m/>
    <m/>
    <m/>
    <n v="125"/>
    <n v="0"/>
    <m/>
    <n v="0"/>
    <m/>
    <n v="0"/>
    <m/>
    <n v="0"/>
    <m/>
    <n v="0"/>
    <m/>
    <n v="0"/>
    <m/>
    <n v="0"/>
    <m/>
    <n v="0"/>
    <s v="FLINTSL"/>
    <n v="24"/>
    <n v="0"/>
    <n v="255"/>
    <n v="0"/>
    <n v="5"/>
    <n v="5"/>
    <n v="5"/>
    <n v="5"/>
    <n v="20"/>
    <n v="5"/>
    <n v="15"/>
    <n v="75"/>
    <n v="0.8"/>
    <n v="0.2"/>
    <m/>
    <m/>
    <m/>
    <n v="0"/>
    <n v="225"/>
    <n v="0"/>
    <n v="0"/>
    <n v="225"/>
    <n v="225"/>
    <n v="180"/>
    <n v="0"/>
    <n v="45"/>
    <n v="0"/>
    <n v="0"/>
    <n v="0"/>
    <n v="0"/>
    <n v="0"/>
    <n v="0"/>
    <n v="0"/>
    <n v="0"/>
    <n v="0"/>
    <n v="0"/>
    <m/>
    <n v="288"/>
    <n v="515"/>
    <n v="116"/>
    <s v="FLINTSLFLINTSLFLINTSLFLINTSLFLINTSLFLINTSLFLINTSLFLINTSL"/>
    <s v="+"/>
    <s v="+"/>
    <s v="+"/>
    <s v="+"/>
    <s v="+"/>
    <s v="+"/>
    <s v="+"/>
    <s v="+"/>
    <b v="0"/>
  </r>
  <r>
    <d v="2026-01-16T00:00:00"/>
    <s v="A"/>
    <x v="213"/>
    <n v="117"/>
    <n v="339"/>
    <n v="21300"/>
    <s v="II"/>
    <s v="N"/>
    <n v="2"/>
    <s v="BLACK"/>
    <s v="N00807B"/>
    <s v="FLINTSL - BLACK"/>
    <n v="25"/>
    <n v="0"/>
    <m/>
    <m/>
    <n v="0"/>
    <n v="26520000010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30"/>
    <n v="0"/>
    <n v="16.866666666666667"/>
    <n v="0"/>
    <s v="REFLEX BLUE"/>
    <s v="N00807B"/>
    <s v="FLINTSL - REFLEX BLUE"/>
    <n v="26"/>
    <n v="0"/>
    <m/>
    <m/>
    <n v="0"/>
    <n v="2651600001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9"/>
    <n v="0"/>
    <n v="6.9333333333333371"/>
    <n v="0"/>
    <s v="GREEN"/>
    <s v="N00807G"/>
    <s v="FLINTSL - GREEN"/>
    <n v="28"/>
    <n v="0"/>
    <m/>
    <m/>
    <n v="0"/>
    <n v="2651600001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10.933333333333337"/>
    <n v="0"/>
    <s v="RED"/>
    <s v="N00807R"/>
    <s v="FLINTSL - RED"/>
    <n v="29"/>
    <n v="0"/>
    <m/>
    <m/>
    <n v="0"/>
    <n v="26516000011"/>
    <n v="26517000020"/>
    <m/>
    <m/>
    <m/>
    <m/>
    <m/>
    <m/>
    <n v="4"/>
    <e v="#N/A"/>
    <n v="2"/>
    <e v="#N/A"/>
    <m/>
    <n v="0"/>
    <m/>
    <n v="0"/>
    <m/>
    <n v="0"/>
    <m/>
    <n v="0"/>
    <m/>
    <n v="0"/>
    <m/>
    <n v="0"/>
    <s v="FLINTSL"/>
    <n v="30"/>
    <n v="0"/>
    <n v="12.933333333333337"/>
    <n v="0"/>
    <s v="CYAN"/>
    <s v="N00807C"/>
    <s v="FLINTSL - CYAN"/>
    <n v="33"/>
    <n v="0"/>
    <m/>
    <m/>
    <n v="0"/>
    <s v="FMD"/>
    <n v="26513000021"/>
    <m/>
    <m/>
    <m/>
    <m/>
    <m/>
    <m/>
    <n v="9"/>
    <n v="0"/>
    <n v="4"/>
    <e v="#N/A"/>
    <m/>
    <n v="0"/>
    <m/>
    <n v="0"/>
    <m/>
    <n v="0"/>
    <m/>
    <n v="0"/>
    <m/>
    <n v="0"/>
    <m/>
    <n v="0"/>
    <s v="FLINTSL"/>
    <n v="33"/>
    <n v="0"/>
    <n v="20.933333333333337"/>
    <n v="0"/>
    <s v="MAGENTA"/>
    <s v="N00807M"/>
    <s v="FLINTSL - MAGENTA"/>
    <n v="33"/>
    <n v="0"/>
    <m/>
    <m/>
    <n v="0"/>
    <s v="FMD"/>
    <n v="26517000020"/>
    <m/>
    <m/>
    <m/>
    <m/>
    <m/>
    <m/>
    <n v="9"/>
    <n v="0"/>
    <n v="6"/>
    <e v="#N/A"/>
    <m/>
    <n v="0"/>
    <m/>
    <n v="0"/>
    <m/>
    <n v="0"/>
    <m/>
    <n v="0"/>
    <m/>
    <n v="0"/>
    <m/>
    <n v="0"/>
    <s v="FLINTSL"/>
    <n v="30"/>
    <n v="0"/>
    <n v="33.866666666666667"/>
    <n v="0"/>
    <s v="YELLOW"/>
    <s v="N00807Y"/>
    <s v="FLINTSL - YELLOW"/>
    <n v="24"/>
    <n v="0"/>
    <m/>
    <m/>
    <n v="0"/>
    <n v="26516000025"/>
    <s v="FMD"/>
    <m/>
    <m/>
    <m/>
    <m/>
    <m/>
    <m/>
    <n v="35"/>
    <e v="#N/A"/>
    <n v="7"/>
    <n v="0"/>
    <m/>
    <n v="0"/>
    <m/>
    <n v="0"/>
    <m/>
    <n v="0"/>
    <m/>
    <n v="0"/>
    <m/>
    <n v="0"/>
    <m/>
    <n v="0"/>
    <s v="FLINTSL"/>
    <n v="29"/>
    <n v="0"/>
    <n v="44.933333333333337"/>
    <n v="0"/>
    <s v="WHITE"/>
    <s v="N00807W"/>
    <s v="FLINTSL - WHITE"/>
    <n v="24"/>
    <n v="0"/>
    <m/>
    <m/>
    <n v="0"/>
    <s v="FW"/>
    <m/>
    <m/>
    <m/>
    <m/>
    <m/>
    <m/>
    <m/>
    <n v="75"/>
    <n v="0"/>
    <m/>
    <n v="0"/>
    <m/>
    <n v="0"/>
    <m/>
    <n v="0"/>
    <m/>
    <n v="0"/>
    <m/>
    <n v="0"/>
    <m/>
    <n v="0"/>
    <m/>
    <n v="0"/>
    <s v="FLINTSL"/>
    <n v="24"/>
    <n v="0"/>
    <n v="122.6"/>
    <n v="0"/>
    <n v="10"/>
    <n v="5"/>
    <n v="5"/>
    <n v="5"/>
    <n v="5"/>
    <n v="10"/>
    <n v="5"/>
    <n v="30"/>
    <n v="0.8"/>
    <n v="0.2"/>
    <m/>
    <m/>
    <m/>
    <n v="0"/>
    <n v="119"/>
    <n v="0"/>
    <n v="0"/>
    <n v="119"/>
    <n v="119"/>
    <n v="95.2"/>
    <n v="0"/>
    <n v="23.8"/>
    <n v="0"/>
    <n v="0"/>
    <n v="0"/>
    <n v="0"/>
    <n v="0"/>
    <n v="0"/>
    <n v="0"/>
    <n v="0"/>
    <n v="0"/>
    <n v="0"/>
    <m/>
    <n v="161"/>
    <n v="270"/>
    <n v="117"/>
    <s v="FLINTSLFLINTSLFLINTSLFLINTSLFLINTSLFLINTSLFLINTSLFLINTSL"/>
    <s v="+"/>
    <s v="+"/>
    <s v="+"/>
    <s v="+"/>
    <s v="+"/>
    <s v="+"/>
    <s v="+"/>
    <s v="+"/>
    <b v="0"/>
  </r>
  <r>
    <d v="2026-01-16T00:00:00"/>
    <s v="A"/>
    <x v="214"/>
    <n v="118"/>
    <n v="301"/>
    <n v="18900"/>
    <s v="II"/>
    <s v="N"/>
    <n v="2"/>
    <s v="BLACK"/>
    <s v="N00901B"/>
    <s v="FLINTSL - BLACK"/>
    <n v="30"/>
    <n v="0"/>
    <m/>
    <m/>
    <n v="0"/>
    <n v="26520000005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6"/>
    <n v="0"/>
    <n v="7.625"/>
    <n v="0"/>
    <s v="REFLEX BLUE"/>
    <s v="N00901RB"/>
    <s v="FLINTSL - REFLEX BLUE"/>
    <n v="29"/>
    <n v="0"/>
    <m/>
    <m/>
    <n v="0"/>
    <n v="26513000021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6"/>
    <n v="0"/>
    <n v="7.9375"/>
    <n v="0"/>
    <s v="GREEN"/>
    <s v="N00901G"/>
    <s v="FLINTSL - GREEN"/>
    <n v="27"/>
    <n v="0"/>
    <m/>
    <m/>
    <n v="0"/>
    <n v="26516000015"/>
    <n v="26513000021"/>
    <m/>
    <m/>
    <m/>
    <m/>
    <m/>
    <m/>
    <n v="2"/>
    <e v="#N/A"/>
    <n v="3"/>
    <e v="#N/A"/>
    <m/>
    <n v="0"/>
    <m/>
    <n v="0"/>
    <m/>
    <n v="0"/>
    <m/>
    <n v="0"/>
    <m/>
    <n v="0"/>
    <m/>
    <n v="0"/>
    <s v="FLINTSL"/>
    <n v="28"/>
    <n v="0"/>
    <n v="7.9375"/>
    <n v="0"/>
    <s v="RED"/>
    <s v="N00901R"/>
    <s v="FLINTSL - RED"/>
    <n v="30"/>
    <n v="0"/>
    <m/>
    <m/>
    <n v="0"/>
    <n v="26516000011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7"/>
    <n v="0"/>
    <n v="6.625"/>
    <n v="0"/>
    <s v="CYAN"/>
    <s v="N00901C"/>
    <s v="FLINTSL - CYAN"/>
    <n v="33"/>
    <n v="0"/>
    <m/>
    <m/>
    <n v="0"/>
    <n v="26513000021"/>
    <s v="FMD"/>
    <m/>
    <m/>
    <m/>
    <m/>
    <m/>
    <m/>
    <n v="11"/>
    <e v="#N/A"/>
    <n v="5"/>
    <n v="0"/>
    <m/>
    <n v="0"/>
    <m/>
    <n v="0"/>
    <m/>
    <n v="0"/>
    <m/>
    <n v="0"/>
    <m/>
    <n v="0"/>
    <m/>
    <n v="0"/>
    <s v="FLINTSL"/>
    <n v="30"/>
    <n v="0"/>
    <n v="32.125"/>
    <n v="0"/>
    <s v="MAGENTA"/>
    <s v="N00901M"/>
    <s v="FLINTSL - MAGENTA"/>
    <n v="30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6"/>
    <n v="0"/>
    <n v="14.5625"/>
    <n v="0"/>
    <s v="YELLOW"/>
    <s v="N00901Y"/>
    <s v="FLINTSL - YELLOW"/>
    <n v="29"/>
    <n v="0"/>
    <m/>
    <m/>
    <n v="0"/>
    <n v="26516000015"/>
    <s v="FMD"/>
    <m/>
    <m/>
    <m/>
    <m/>
    <m/>
    <m/>
    <n v="10"/>
    <e v="#N/A"/>
    <n v="5"/>
    <n v="0"/>
    <m/>
    <n v="0"/>
    <m/>
    <n v="0"/>
    <m/>
    <n v="0"/>
    <m/>
    <n v="0"/>
    <m/>
    <n v="0"/>
    <m/>
    <n v="0"/>
    <s v="FLINTSL"/>
    <n v="32"/>
    <n v="0"/>
    <n v="25.125"/>
    <n v="0"/>
    <s v="WHITE"/>
    <s v="N00901W"/>
    <s v="FLINTSL - WHITE"/>
    <n v="24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113.0625"/>
    <n v="0"/>
    <n v="2"/>
    <n v="3"/>
    <n v="3"/>
    <n v="2"/>
    <n v="10"/>
    <n v="5"/>
    <n v="10"/>
    <n v="45"/>
    <n v="0.8"/>
    <n v="0.2"/>
    <m/>
    <m/>
    <m/>
    <n v="0"/>
    <n v="105"/>
    <n v="0"/>
    <n v="0"/>
    <n v="105"/>
    <n v="105"/>
    <n v="84"/>
    <n v="0"/>
    <n v="21"/>
    <n v="0"/>
    <n v="0"/>
    <n v="0"/>
    <n v="0"/>
    <n v="0"/>
    <n v="0"/>
    <n v="0"/>
    <n v="0"/>
    <n v="0"/>
    <n v="0"/>
    <m/>
    <n v="103"/>
    <n v="215"/>
    <n v="118"/>
    <s v="FLINTSLFLINTSLFLINTSLFLINTSLFLINTSLFLINTSLFLINTSLFLINTSL"/>
    <s v="+"/>
    <s v="+"/>
    <s v="+"/>
    <s v="+"/>
    <s v="+"/>
    <s v="+"/>
    <s v="+"/>
    <s v="+"/>
    <b v="0"/>
  </r>
  <r>
    <d v="2026-01-16T00:00:00"/>
    <s v="A"/>
    <x v="215"/>
    <n v="119"/>
    <n v="681"/>
    <n v="21300"/>
    <s v="I"/>
    <s v="N"/>
    <n v="1.9"/>
    <s v="BLACK"/>
    <s v="E01025B"/>
    <s v="FLINTSL - BLACK"/>
    <n v="26"/>
    <n v="0"/>
    <m/>
    <m/>
    <n v="0"/>
    <s v="FMD"/>
    <n v="26520000010"/>
    <m/>
    <m/>
    <m/>
    <m/>
    <m/>
    <m/>
    <n v="2"/>
    <n v="0"/>
    <n v="3"/>
    <e v="#N/A"/>
    <m/>
    <n v="0"/>
    <m/>
    <n v="0"/>
    <m/>
    <n v="0"/>
    <m/>
    <n v="0"/>
    <m/>
    <n v="0"/>
    <m/>
    <n v="0"/>
    <s v="FLINTSL"/>
    <n v="28"/>
    <n v="0"/>
    <n v="9.974358974358978"/>
    <n v="0"/>
    <s v="REFLEX BLUE"/>
    <m/>
    <s v="FLINTSL - REFLEX BLUE"/>
    <m/>
    <n v="0"/>
    <m/>
    <m/>
    <n v="0"/>
    <n v="26516000019"/>
    <n v="26517000041"/>
    <n v="26520000010"/>
    <m/>
    <m/>
    <m/>
    <m/>
    <m/>
    <n v="10"/>
    <e v="#N/A"/>
    <n v="10"/>
    <e v="#N/A"/>
    <n v="0.2"/>
    <e v="#N/A"/>
    <m/>
    <n v="0"/>
    <m/>
    <n v="0"/>
    <m/>
    <n v="0"/>
    <m/>
    <n v="0"/>
    <m/>
    <n v="0"/>
    <s v="FLINTSL"/>
    <n v="32"/>
    <n v="0"/>
    <n v="14.353846153846156"/>
    <n v="0"/>
    <s v="ORANGE"/>
    <s v="H01332O"/>
    <s v="FLINTSL - ORANGE"/>
    <n v="5"/>
    <n v="0"/>
    <s v="G00385O"/>
    <n v="24"/>
    <n v="0"/>
    <n v="26516000012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0"/>
    <n v="0"/>
    <n v="13.487179487179489"/>
    <n v="0"/>
    <s v="CYAN"/>
    <s v="E01025C"/>
    <s v="FLINTSL - CYAN"/>
    <n v="24"/>
    <n v="0"/>
    <m/>
    <m/>
    <n v="0"/>
    <n v="26515000029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8"/>
    <n v="0"/>
    <n v="10.717948717948715"/>
    <n v="0"/>
    <s v="MAGENTA"/>
    <s v="E01025M"/>
    <s v="FLINTSL - MAGENTA"/>
    <n v="25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5"/>
    <n v="0"/>
    <n v="11.974358974358978"/>
    <n v="0"/>
    <s v="YELLOW"/>
    <s v="E01025Y"/>
    <s v="FLINTSL - YELLOW"/>
    <n v="30"/>
    <n v="0"/>
    <m/>
    <m/>
    <n v="0"/>
    <n v="26516000015"/>
    <s v="FMD"/>
    <m/>
    <m/>
    <m/>
    <m/>
    <m/>
    <m/>
    <n v="7"/>
    <e v="#N/A"/>
    <n v="3"/>
    <n v="0"/>
    <m/>
    <n v="0"/>
    <m/>
    <n v="0"/>
    <m/>
    <n v="0"/>
    <m/>
    <n v="0"/>
    <m/>
    <n v="0"/>
    <m/>
    <n v="0"/>
    <s v="FLINTSL"/>
    <n v="20"/>
    <n v="0"/>
    <n v="33.948717948717949"/>
    <n v="0"/>
    <s v="REFLEX BLUE"/>
    <m/>
    <s v="FLINTSL - REFLEX BLUE"/>
    <m/>
    <n v="0"/>
    <m/>
    <m/>
    <n v="0"/>
    <n v="26516000024"/>
    <n v="26516000026"/>
    <n v="26516000027"/>
    <n v="26516000019"/>
    <m/>
    <m/>
    <m/>
    <m/>
    <n v="30"/>
    <e v="#N/A"/>
    <n v="40"/>
    <e v="#N/A"/>
    <n v="5"/>
    <e v="#N/A"/>
    <n v="0.3"/>
    <e v="#N/A"/>
    <m/>
    <n v="0"/>
    <m/>
    <n v="0"/>
    <m/>
    <n v="0"/>
    <m/>
    <n v="0"/>
    <s v="FLINTSL"/>
    <n v="15"/>
    <n v="0"/>
    <n v="77.735897435897428"/>
    <n v="0"/>
    <s v="WHITE"/>
    <s v="E01025W"/>
    <s v="FLINTSL - WHITE"/>
    <n v="25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5"/>
    <n v="0"/>
    <n v="112.30769230769232"/>
    <n v="0"/>
    <n v="4"/>
    <n v="15"/>
    <n v="2"/>
    <n v="5"/>
    <n v="4"/>
    <n v="8"/>
    <n v="10"/>
    <n v="30"/>
    <n v="0.8"/>
    <n v="0.2"/>
    <m/>
    <m/>
    <m/>
    <n v="0"/>
    <n v="136"/>
    <n v="0"/>
    <n v="0"/>
    <n v="136"/>
    <n v="136"/>
    <n v="108.80000000000001"/>
    <n v="0"/>
    <n v="27.200000000000003"/>
    <n v="0"/>
    <n v="0"/>
    <n v="0"/>
    <n v="0"/>
    <n v="0"/>
    <n v="0"/>
    <n v="0"/>
    <n v="0"/>
    <n v="0"/>
    <n v="0"/>
    <m/>
    <n v="182.5"/>
    <n v="284.5"/>
    <n v="119"/>
    <s v="FLINTSLFLINTSLFLINTSLFLINTSLFLINTSLFLINTSLFLINTSLFLINTSL"/>
    <s v="+"/>
    <s v="+"/>
    <s v="+"/>
    <s v="+"/>
    <s v="+"/>
    <s v="+"/>
    <s v="+"/>
    <s v="+"/>
    <b v="0"/>
  </r>
  <r>
    <d v="2026-01-16T00:00:00"/>
    <s v="B"/>
    <x v="216"/>
    <n v="120"/>
    <n v="895"/>
    <n v="58200"/>
    <s v="II"/>
    <s v="N"/>
    <n v="0.63"/>
    <s v="BLACK"/>
    <s v="N00751B"/>
    <s v="FLINTSL - BLACK"/>
    <n v="26"/>
    <n v="0"/>
    <m/>
    <m/>
    <n v="0"/>
    <n v="26520000010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4"/>
    <n v="0"/>
    <n v="22.592592592592595"/>
    <n v="0"/>
    <s v="REFLEX BLUE"/>
    <s v="N00751B"/>
    <s v="FLINTSL - REFLEX BLUE"/>
    <n v="26"/>
    <n v="0"/>
    <m/>
    <m/>
    <n v="0"/>
    <n v="26516000021"/>
    <n v="26517000020"/>
    <m/>
    <m/>
    <m/>
    <m/>
    <m/>
    <m/>
    <n v="4"/>
    <e v="#N/A"/>
    <n v="1"/>
    <e v="#N/A"/>
    <m/>
    <n v="0"/>
    <m/>
    <n v="0"/>
    <m/>
    <n v="0"/>
    <m/>
    <n v="0"/>
    <m/>
    <n v="0"/>
    <m/>
    <n v="0"/>
    <s v="FLINTSL"/>
    <n v="24"/>
    <n v="0"/>
    <n v="23.592592592592595"/>
    <n v="0"/>
    <s v="RED"/>
    <s v="N00751R"/>
    <s v="FLINTSL - RED"/>
    <n v="27"/>
    <n v="0"/>
    <m/>
    <m/>
    <n v="0"/>
    <n v="2651600001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5"/>
    <n v="0"/>
    <n v="30.888888888888886"/>
    <n v="0"/>
    <s v="CYAN"/>
    <s v="N00751C"/>
    <s v="FLINTSL - CYAN"/>
    <n v="30"/>
    <n v="0"/>
    <m/>
    <m/>
    <n v="0"/>
    <n v="26515000029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9"/>
    <n v="0"/>
    <n v="20.592592592592595"/>
    <n v="0"/>
    <s v="MAGENTA"/>
    <s v="N00751M"/>
    <s v="FLINTSL - MAGENTA"/>
    <n v="26"/>
    <n v="0"/>
    <m/>
    <m/>
    <n v="0"/>
    <n v="26517000020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7"/>
    <n v="0"/>
    <n v="27.888888888888886"/>
    <n v="0"/>
    <s v="YELLOW"/>
    <s v="N00751Y"/>
    <s v="FLINTSL - YELLOW"/>
    <n v="32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30"/>
    <n v="0"/>
    <n v="48.481481481481481"/>
    <n v="0"/>
    <s v="REFLEX BLUE"/>
    <s v="H01279B"/>
    <s v="FLINTSL - REFLEX BLUE"/>
    <n v="23"/>
    <n v="0"/>
    <s v="N00834B/J00959B"/>
    <n v="68"/>
    <n v="0"/>
    <n v="26516000006"/>
    <n v="26516000018"/>
    <n v="26516000015"/>
    <s v="FMD"/>
    <n v="26516000031"/>
    <m/>
    <m/>
    <m/>
    <n v="40"/>
    <e v="#N/A"/>
    <n v="5"/>
    <e v="#N/A"/>
    <n v="2"/>
    <e v="#N/A"/>
    <n v="10"/>
    <n v="0"/>
    <n v="20"/>
    <e v="#N/A"/>
    <m/>
    <n v="0"/>
    <m/>
    <n v="0"/>
    <m/>
    <n v="0"/>
    <s v="FLINTSL"/>
    <n v="20"/>
    <n v="0"/>
    <n v="230.9629629629629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3"/>
    <n v="2"/>
    <n v="3"/>
    <n v="5"/>
    <n v="10"/>
    <n v="0"/>
    <n v="0.8"/>
    <n v="0.2"/>
    <m/>
    <m/>
    <m/>
    <n v="0"/>
    <n v="224"/>
    <n v="0"/>
    <n v="0"/>
    <n v="224"/>
    <n v="224"/>
    <n v="179.20000000000002"/>
    <n v="0"/>
    <n v="44.800000000000004"/>
    <n v="0"/>
    <n v="0"/>
    <n v="0"/>
    <n v="0"/>
    <n v="0"/>
    <n v="0"/>
    <n v="0"/>
    <n v="0"/>
    <n v="0"/>
    <n v="0"/>
    <m/>
    <n v="102"/>
    <n v="405"/>
    <n v="120"/>
    <s v="FLINTSLFLINTSLFLINTSLFLINTSLFLINTSLFLINTSLFLINTSL"/>
    <s v="+"/>
    <s v="+"/>
    <s v="+"/>
    <s v="+"/>
    <s v="+"/>
    <s v="+"/>
    <s v="+"/>
    <s v="NIL"/>
    <b v="0"/>
  </r>
  <r>
    <d v="2026-01-16T00:00:00"/>
    <s v="B"/>
    <x v="217"/>
    <n v="121"/>
    <n v="479"/>
    <n v="27500"/>
    <s v="II"/>
    <s v="N"/>
    <n v="2.1"/>
    <s v="BLACK"/>
    <s v="F00863B"/>
    <s v="FLINTSL - BLACK"/>
    <n v="24"/>
    <n v="0"/>
    <m/>
    <m/>
    <n v="0"/>
    <n v="26520000010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2"/>
    <n v="0"/>
    <n v="9.0481927710843379"/>
    <n v="0"/>
    <s v="BLACK"/>
    <s v="C01482B"/>
    <s v="FLINTSL - BLACK"/>
    <n v="14"/>
    <n v="0"/>
    <m/>
    <m/>
    <n v="0"/>
    <n v="26516000015"/>
    <n v="26517000020"/>
    <n v="26520000010"/>
    <m/>
    <m/>
    <m/>
    <m/>
    <m/>
    <n v="4"/>
    <e v="#N/A"/>
    <n v="3"/>
    <e v="#N/A"/>
    <n v="3"/>
    <e v="#N/A"/>
    <m/>
    <n v="0"/>
    <m/>
    <n v="0"/>
    <m/>
    <n v="0"/>
    <m/>
    <n v="0"/>
    <m/>
    <n v="0"/>
    <s v="FLINTSL"/>
    <n v="19"/>
    <n v="0"/>
    <n v="15.120481927710841"/>
    <n v="0"/>
    <s v="CYAN"/>
    <s v="F00863C"/>
    <s v="FLINTSL - CYAN"/>
    <n v="29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8"/>
    <n v="0"/>
    <n v="10.048192771084338"/>
    <n v="0"/>
    <s v="MAGENTA"/>
    <s v="F00863M"/>
    <s v="FLINTSL - MAGENTA"/>
    <n v="27"/>
    <n v="0"/>
    <m/>
    <m/>
    <n v="0"/>
    <n v="2651700002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3"/>
    <n v="0"/>
    <n v="8.024096385542169"/>
    <n v="0"/>
    <s v="YELLOW"/>
    <s v="F00863Y"/>
    <s v="FLINTSL - YELLOW"/>
    <n v="30"/>
    <n v="0"/>
    <m/>
    <m/>
    <n v="0"/>
    <n v="2651600001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6"/>
    <n v="0"/>
    <n v="9.0240963855421654"/>
    <n v="0"/>
    <s v="ORANGE"/>
    <m/>
    <s v="FLINTSL - ORANGE"/>
    <m/>
    <n v="0"/>
    <m/>
    <m/>
    <n v="0"/>
    <n v="26517000006"/>
    <n v="26517000020"/>
    <n v="26517000007"/>
    <n v="26516000030"/>
    <m/>
    <m/>
    <m/>
    <m/>
    <n v="40"/>
    <e v="#N/A"/>
    <n v="1"/>
    <e v="#N/A"/>
    <n v="40"/>
    <e v="#N/A"/>
    <n v="20"/>
    <e v="#N/A"/>
    <m/>
    <n v="0"/>
    <m/>
    <n v="0"/>
    <m/>
    <n v="0"/>
    <m/>
    <n v="0"/>
    <s v="FLINTSL"/>
    <n v="15"/>
    <n v="0"/>
    <n v="100.16867469879517"/>
    <n v="0"/>
    <s v="GOLD"/>
    <m/>
    <s v="FLINTSL - GOLD"/>
    <m/>
    <n v="0"/>
    <m/>
    <m/>
    <n v="0"/>
    <n v="26516000015"/>
    <s v="FGO"/>
    <s v="TPT"/>
    <m/>
    <m/>
    <m/>
    <m/>
    <m/>
    <n v="2"/>
    <e v="#N/A"/>
    <n v="20"/>
    <n v="0"/>
    <n v="5"/>
    <n v="0"/>
    <m/>
    <n v="0"/>
    <m/>
    <n v="0"/>
    <m/>
    <n v="0"/>
    <m/>
    <n v="0"/>
    <m/>
    <n v="0"/>
    <s v="FLINTSL"/>
    <n v="29"/>
    <n v="0"/>
    <n v="8.1204819277108413"/>
    <n v="0"/>
    <s v="WHITE"/>
    <s v="N00751W"/>
    <s v="FLINTSL - WHITE"/>
    <n v="30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27"/>
    <n v="0"/>
    <n v="224.44578313253012"/>
    <n v="0"/>
    <n v="2"/>
    <n v="5"/>
    <n v="2"/>
    <n v="1"/>
    <n v="1"/>
    <n v="7"/>
    <n v="5"/>
    <n v="60"/>
    <n v="0.8"/>
    <n v="0.2"/>
    <m/>
    <m/>
    <m/>
    <n v="0"/>
    <n v="168"/>
    <n v="0"/>
    <n v="0"/>
    <n v="168"/>
    <n v="168"/>
    <n v="134.4"/>
    <n v="0"/>
    <n v="33.6"/>
    <n v="0"/>
    <n v="0"/>
    <n v="0"/>
    <n v="0"/>
    <n v="0"/>
    <n v="0"/>
    <n v="0"/>
    <n v="0"/>
    <n v="0"/>
    <n v="0"/>
    <m/>
    <n v="251"/>
    <n v="384"/>
    <n v="121"/>
    <s v="FLINTSLFLINTSLFLINTSLFLINTSLFLINTSLFLINTSLFLINTSLFLINTSL"/>
    <s v="+"/>
    <s v="+"/>
    <s v="+"/>
    <s v="+"/>
    <s v="+"/>
    <s v="+"/>
    <s v="+"/>
    <s v="+"/>
    <b v="0"/>
  </r>
  <r>
    <d v="2026-01-16T00:00:00"/>
    <s v="B"/>
    <x v="218"/>
    <n v="122"/>
    <n v="494"/>
    <n v="24300"/>
    <s v="II"/>
    <s v="N"/>
    <n v="2.34"/>
    <s v="BLACK"/>
    <s v="H01358B"/>
    <s v="FLINTSL - BLACK"/>
    <n v="22"/>
    <n v="0"/>
    <m/>
    <m/>
    <n v="0"/>
    <n v="26522000008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30"/>
    <n v="0"/>
    <n v="5.1386138613861405"/>
    <n v="0"/>
    <s v="RED"/>
    <m/>
    <s v="FLINTSL - RED"/>
    <m/>
    <n v="0"/>
    <m/>
    <m/>
    <n v="0"/>
    <n v="26516000013"/>
    <n v="26516000011"/>
    <m/>
    <m/>
    <m/>
    <m/>
    <m/>
    <m/>
    <n v="30"/>
    <e v="#N/A"/>
    <n v="10"/>
    <e v="#N/A"/>
    <m/>
    <n v="0"/>
    <m/>
    <n v="0"/>
    <m/>
    <n v="0"/>
    <m/>
    <n v="0"/>
    <m/>
    <n v="0"/>
    <m/>
    <n v="0"/>
    <s v="FLINTSL"/>
    <n v="35"/>
    <n v="0"/>
    <n v="22.128712871287128"/>
    <n v="0"/>
    <s v="CYAN"/>
    <s v="H01358C"/>
    <s v="FLINTSL - CYAN"/>
    <n v="28"/>
    <n v="0"/>
    <m/>
    <m/>
    <n v="0"/>
    <s v="FMD"/>
    <m/>
    <m/>
    <m/>
    <m/>
    <m/>
    <m/>
    <m/>
    <n v="8"/>
    <n v="0"/>
    <m/>
    <n v="0"/>
    <m/>
    <n v="0"/>
    <m/>
    <n v="0"/>
    <m/>
    <n v="0"/>
    <m/>
    <n v="0"/>
    <m/>
    <n v="0"/>
    <m/>
    <n v="0"/>
    <s v="FLINTSL"/>
    <n v="35"/>
    <n v="0"/>
    <n v="6.1386138613861405"/>
    <n v="0"/>
    <s v="MAGENTA"/>
    <s v="H01358M"/>
    <s v="FLINTSL - MAGENTA"/>
    <n v="23"/>
    <n v="0"/>
    <m/>
    <m/>
    <n v="0"/>
    <n v="26517000020"/>
    <s v="FMD"/>
    <m/>
    <m/>
    <m/>
    <m/>
    <m/>
    <m/>
    <n v="2"/>
    <e v="#N/A"/>
    <n v="5"/>
    <n v="0"/>
    <m/>
    <n v="0"/>
    <m/>
    <n v="0"/>
    <m/>
    <n v="0"/>
    <m/>
    <n v="0"/>
    <m/>
    <n v="0"/>
    <m/>
    <n v="0"/>
    <s v="FLINTSL"/>
    <n v="31"/>
    <n v="0"/>
    <n v="10.990099009900987"/>
    <n v="0"/>
    <s v="YELLOW"/>
    <s v="H01358Y"/>
    <s v="FLINTSL - YELLOW"/>
    <n v="26"/>
    <n v="0"/>
    <m/>
    <m/>
    <n v="0"/>
    <n v="2651600001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6.5643564356435604"/>
    <n v="0"/>
    <s v="MEDIUM"/>
    <s v="J00957M"/>
    <s v="FLINTSL - MEDIUM"/>
    <n v="20"/>
    <n v="0"/>
    <s v="G00385M"/>
    <n v="13"/>
    <n v="0"/>
    <s v="FW"/>
    <n v="26516000015"/>
    <m/>
    <m/>
    <m/>
    <m/>
    <m/>
    <m/>
    <n v="50"/>
    <n v="0"/>
    <n v="5"/>
    <e v="#N/A"/>
    <m/>
    <n v="0"/>
    <m/>
    <n v="0"/>
    <m/>
    <n v="0"/>
    <m/>
    <n v="0"/>
    <m/>
    <n v="0"/>
    <m/>
    <n v="0"/>
    <s v="FLINTSL"/>
    <n v="15"/>
    <n v="0"/>
    <n v="90.128712871287121"/>
    <n v="0"/>
    <s v="GOLD"/>
    <s v="H01358G"/>
    <s v="FLINTSL - GOLD"/>
    <n v="29"/>
    <n v="0"/>
    <m/>
    <m/>
    <n v="0"/>
    <n v="26516000015"/>
    <m/>
    <m/>
    <m/>
    <m/>
    <m/>
    <m/>
    <m/>
    <n v="14"/>
    <e v="#N/A"/>
    <m/>
    <n v="0"/>
    <m/>
    <n v="0"/>
    <m/>
    <n v="0"/>
    <m/>
    <n v="0"/>
    <m/>
    <n v="0"/>
    <m/>
    <n v="0"/>
    <m/>
    <n v="0"/>
    <s v="FLINTSL"/>
    <n v="40"/>
    <n v="0"/>
    <n v="8.1386138613861405"/>
    <n v="0"/>
    <s v="WHITE"/>
    <s v="H01358W"/>
    <s v="FLINTSL - WHITE"/>
    <n v="27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199.77227722772278"/>
    <n v="0"/>
    <n v="3"/>
    <n v="10"/>
    <n v="3"/>
    <n v="7"/>
    <n v="5"/>
    <n v="10"/>
    <n v="3"/>
    <n v="60"/>
    <n v="0.8"/>
    <n v="0.2"/>
    <m/>
    <m/>
    <m/>
    <n v="0"/>
    <n v="173"/>
    <n v="0"/>
    <n v="0"/>
    <n v="173"/>
    <n v="173"/>
    <n v="138.4"/>
    <n v="0"/>
    <n v="34.6"/>
    <n v="0"/>
    <n v="0"/>
    <n v="0"/>
    <n v="0"/>
    <n v="0"/>
    <n v="0"/>
    <n v="0"/>
    <n v="0"/>
    <n v="0"/>
    <n v="0"/>
    <m/>
    <n v="234"/>
    <n v="349"/>
    <n v="122"/>
    <s v="FLINTSLFLINTSLFLINTSLFLINTSLFLINTSLFLINTSLFLINTSLFLINTSL"/>
    <s v="+"/>
    <s v="+"/>
    <s v="+"/>
    <s v="+"/>
    <s v="+"/>
    <s v="+"/>
    <s v="+"/>
    <s v="+"/>
    <b v="0"/>
  </r>
  <r>
    <d v="2026-01-17T00:00:00"/>
    <s v="B"/>
    <x v="219"/>
    <n v="123"/>
    <n v="966"/>
    <n v="47300"/>
    <s v="II"/>
    <s v="N"/>
    <n v="1.8"/>
    <s v="BLACK"/>
    <s v="H01357B"/>
    <s v="FLINTSL - BLACK"/>
    <n v="30"/>
    <n v="0"/>
    <m/>
    <m/>
    <n v="0"/>
    <n v="26522000008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4"/>
    <n v="0"/>
    <n v="26.695652173913047"/>
    <n v="0"/>
    <s v="GREEN"/>
    <s v="N00751G"/>
    <s v="FLINTSL - GREEN"/>
    <n v="26"/>
    <n v="0"/>
    <m/>
    <m/>
    <n v="0"/>
    <n v="26516000015"/>
    <n v="26515000029"/>
    <n v="26517000021"/>
    <m/>
    <m/>
    <m/>
    <m/>
    <m/>
    <n v="6"/>
    <e v="#N/A"/>
    <n v="1"/>
    <e v="#N/A"/>
    <n v="40"/>
    <e v="#N/A"/>
    <m/>
    <n v="0"/>
    <m/>
    <n v="0"/>
    <m/>
    <n v="0"/>
    <m/>
    <n v="0"/>
    <m/>
    <n v="0"/>
    <s v="FLINTSL"/>
    <n v="30"/>
    <n v="0"/>
    <n v="57.695652173913047"/>
    <n v="0"/>
    <s v="GREEN"/>
    <s v="J00958G"/>
    <s v="FLINTSL - GREEN"/>
    <n v="30"/>
    <n v="0"/>
    <m/>
    <m/>
    <n v="0"/>
    <n v="26517000032"/>
    <n v="26515000029"/>
    <n v="26516000006"/>
    <n v="26516000022"/>
    <m/>
    <m/>
    <m/>
    <m/>
    <n v="75"/>
    <e v="#N/A"/>
    <n v="1"/>
    <e v="#N/A"/>
    <n v="0.2"/>
    <e v="#N/A"/>
    <n v="35"/>
    <e v="#N/A"/>
    <m/>
    <n v="0"/>
    <m/>
    <n v="0"/>
    <m/>
    <n v="0"/>
    <m/>
    <n v="0"/>
    <s v="FLINTSL"/>
    <n v="30"/>
    <n v="0"/>
    <n v="184.67826086956521"/>
    <n v="0"/>
    <s v="GREEN"/>
    <s v="J00997G"/>
    <s v="FLINTSL - GREEN"/>
    <n v="15"/>
    <n v="0"/>
    <m/>
    <m/>
    <n v="0"/>
    <s v="FMD"/>
    <n v="26516000015"/>
    <n v="26515000029"/>
    <n v="26522000008"/>
    <m/>
    <m/>
    <m/>
    <m/>
    <n v="9"/>
    <n v="0"/>
    <n v="20"/>
    <e v="#N/A"/>
    <n v="4"/>
    <e v="#N/A"/>
    <n v="0.2"/>
    <e v="#N/A"/>
    <m/>
    <n v="0"/>
    <m/>
    <n v="0"/>
    <m/>
    <n v="0"/>
    <m/>
    <n v="0"/>
    <s v="FLINTSL"/>
    <n v="25"/>
    <n v="0"/>
    <n v="37.895652173913049"/>
    <n v="0"/>
    <s v="GREEN"/>
    <s v="C01489G"/>
    <s v="FLINTSL - GREEN"/>
    <n v="23"/>
    <n v="0"/>
    <m/>
    <m/>
    <n v="0"/>
    <s v="FMD"/>
    <n v="26516000015"/>
    <n v="26515000029"/>
    <n v="26522000008"/>
    <m/>
    <m/>
    <m/>
    <m/>
    <n v="10"/>
    <n v="0"/>
    <n v="7"/>
    <e v="#N/A"/>
    <n v="2"/>
    <e v="#N/A"/>
    <n v="0.2"/>
    <e v="#N/A"/>
    <m/>
    <n v="0"/>
    <m/>
    <n v="0"/>
    <m/>
    <n v="0"/>
    <m/>
    <n v="0"/>
    <s v="FLINTSL"/>
    <n v="30"/>
    <n v="0"/>
    <n v="26.895652173913049"/>
    <n v="0"/>
    <s v="RED"/>
    <s v="H01357R"/>
    <s v="FLINTSL - RED"/>
    <n v="15"/>
    <n v="0"/>
    <m/>
    <m/>
    <n v="0"/>
    <s v="FMD"/>
    <n v="26517000020"/>
    <m/>
    <m/>
    <m/>
    <m/>
    <m/>
    <m/>
    <n v="8"/>
    <n v="0"/>
    <n v="2"/>
    <e v="#N/A"/>
    <m/>
    <n v="0"/>
    <m/>
    <n v="0"/>
    <m/>
    <n v="0"/>
    <m/>
    <n v="0"/>
    <m/>
    <n v="0"/>
    <m/>
    <n v="0"/>
    <s v="FLINTSL"/>
    <n v="33"/>
    <n v="0"/>
    <n v="6.6956521739130466"/>
    <n v="0"/>
    <s v="YELLOW"/>
    <s v="H01357Y"/>
    <s v="FLINTSL - YELLOW"/>
    <n v="30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4"/>
    <n v="0"/>
    <n v="24.695652173913047"/>
    <n v="0"/>
    <s v="WHITE"/>
    <s v="H01357W"/>
    <s v="FLINTSL - WHITE"/>
    <n v="30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276.3478260869565"/>
    <n v="0"/>
    <n v="5"/>
    <n v="5"/>
    <n v="25"/>
    <n v="5"/>
    <n v="5"/>
    <n v="5"/>
    <n v="5"/>
    <n v="60"/>
    <n v="0.8"/>
    <n v="0.2"/>
    <m/>
    <m/>
    <m/>
    <n v="0"/>
    <n v="338"/>
    <n v="0"/>
    <n v="0"/>
    <n v="338"/>
    <n v="338"/>
    <n v="270.40000000000003"/>
    <n v="0"/>
    <n v="67.600000000000009"/>
    <n v="0"/>
    <n v="0"/>
    <n v="0"/>
    <n v="0"/>
    <n v="0"/>
    <n v="0"/>
    <n v="0"/>
    <n v="0"/>
    <n v="0"/>
    <n v="0"/>
    <m/>
    <n v="330.59999999999997"/>
    <n v="641.6"/>
    <n v="123"/>
    <s v="FLINTSLFLINTSLFLINTSLFLINTSLFLINTSLFLINTSLFLINTSLFLINTSL"/>
    <s v="+"/>
    <s v="+"/>
    <s v="+"/>
    <s v="+"/>
    <s v="+"/>
    <s v="+"/>
    <s v="+"/>
    <s v="+"/>
    <b v="0"/>
  </r>
  <r>
    <d v="2026-01-17T00:00:00"/>
    <s v="A"/>
    <x v="220"/>
    <n v="124"/>
    <n v="1896"/>
    <n v="111400"/>
    <s v="I"/>
    <s v="N"/>
    <n v="2"/>
    <s v="BLACK"/>
    <s v="N00834B"/>
    <s v="FLINTSL - BLACK"/>
    <n v="28"/>
    <n v="0"/>
    <m/>
    <m/>
    <n v="0"/>
    <n v="2652200000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11.011320754716984"/>
    <n v="0"/>
    <s v="RED"/>
    <m/>
    <s v="FLINTSL - RED"/>
    <m/>
    <n v="0"/>
    <m/>
    <m/>
    <n v="0"/>
    <n v="26517000020"/>
    <n v="26516000011"/>
    <n v="26522000008"/>
    <m/>
    <m/>
    <m/>
    <m/>
    <m/>
    <n v="15"/>
    <e v="#N/A"/>
    <n v="8"/>
    <e v="#N/A"/>
    <n v="2"/>
    <e v="#N/A"/>
    <m/>
    <n v="0"/>
    <m/>
    <n v="0"/>
    <m/>
    <n v="0"/>
    <m/>
    <n v="0"/>
    <m/>
    <n v="0"/>
    <s v="FLINTSL"/>
    <n v="22"/>
    <n v="0"/>
    <n v="40.584905660377359"/>
    <n v="0"/>
    <s v="BLACK"/>
    <s v="H01358B"/>
    <s v="FLINTSL - BLACK"/>
    <n v="19"/>
    <n v="0"/>
    <s v="H01358B/H01332B/N00834B/E01025B/G00385B"/>
    <n v="110"/>
    <n v="0"/>
    <n v="26517000032"/>
    <n v="26517000020"/>
    <n v="26522000008"/>
    <n v="26517000024"/>
    <n v="26517000028"/>
    <m/>
    <m/>
    <m/>
    <n v="30"/>
    <e v="#N/A"/>
    <n v="15"/>
    <e v="#N/A"/>
    <n v="5"/>
    <e v="#N/A"/>
    <n v="30"/>
    <e v="#N/A"/>
    <n v="10"/>
    <e v="#N/A"/>
    <m/>
    <n v="0"/>
    <m/>
    <n v="0"/>
    <m/>
    <n v="0"/>
    <s v="FLINTSL"/>
    <n v="30"/>
    <n v="0"/>
    <n v="264.16981132075472"/>
    <n v="0"/>
    <s v="GREEN"/>
    <s v="J00957G"/>
    <s v="FLINTSL - GREEN"/>
    <n v="20"/>
    <n v="0"/>
    <m/>
    <m/>
    <n v="0"/>
    <n v="26516000006"/>
    <n v="26517000032"/>
    <m/>
    <m/>
    <m/>
    <m/>
    <m/>
    <m/>
    <n v="1"/>
    <e v="#N/A"/>
    <n v="2"/>
    <e v="#N/A"/>
    <m/>
    <n v="0"/>
    <m/>
    <n v="0"/>
    <m/>
    <n v="0"/>
    <m/>
    <n v="0"/>
    <m/>
    <n v="0"/>
    <m/>
    <n v="0"/>
    <s v="FLINTSL"/>
    <n v="20"/>
    <n v="0"/>
    <n v="10.516981132075472"/>
    <n v="0"/>
    <s v="MAGENTA"/>
    <s v="N00834M"/>
    <s v="FLINTSL - MAGENTA"/>
    <n v="25"/>
    <n v="0"/>
    <m/>
    <m/>
    <n v="0"/>
    <n v="26517000020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6"/>
    <n v="0"/>
    <n v="16.528301886792448"/>
    <n v="0"/>
    <s v="YELLOW"/>
    <s v="N00834Y"/>
    <s v="FLINTSL - YELLOW"/>
    <n v="20"/>
    <n v="0"/>
    <m/>
    <m/>
    <n v="0"/>
    <n v="26517000032"/>
    <s v="FMD"/>
    <m/>
    <m/>
    <m/>
    <m/>
    <m/>
    <m/>
    <n v="5"/>
    <e v="#N/A"/>
    <n v="5"/>
    <n v="0"/>
    <m/>
    <n v="0"/>
    <m/>
    <n v="0"/>
    <m/>
    <n v="0"/>
    <m/>
    <n v="0"/>
    <m/>
    <n v="0"/>
    <m/>
    <n v="0"/>
    <s v="FLINTSL"/>
    <n v="27"/>
    <n v="0"/>
    <n v="28.056603773584904"/>
    <n v="0"/>
    <s v="MEDIUM"/>
    <m/>
    <s v="FLINTSL - MEDIUM"/>
    <m/>
    <n v="0"/>
    <m/>
    <m/>
    <n v="0"/>
    <n v="26517000008"/>
    <n v="26517000014"/>
    <n v="26517000015"/>
    <n v="26517000023"/>
    <n v="26517000020"/>
    <n v="26516000012"/>
    <m/>
    <m/>
    <n v="25"/>
    <e v="#N/A"/>
    <n v="40"/>
    <e v="#N/A"/>
    <n v="30"/>
    <e v="#N/A"/>
    <n v="30"/>
    <e v="#N/A"/>
    <n v="2"/>
    <e v="#N/A"/>
    <n v="1"/>
    <e v="#N/A"/>
    <m/>
    <n v="0"/>
    <m/>
    <n v="0"/>
    <s v="FLINTSL"/>
    <n v="40"/>
    <n v="0"/>
    <n v="88"/>
    <n v="0"/>
    <s v="WHITE"/>
    <s v="N00834W"/>
    <s v="FLINTSL - WHITE"/>
    <n v="25"/>
    <n v="0"/>
    <m/>
    <m/>
    <n v="0"/>
    <s v="FW"/>
    <s v="WRK6-028K"/>
    <m/>
    <m/>
    <m/>
    <m/>
    <m/>
    <m/>
    <n v="360"/>
    <n v="0"/>
    <n v="10.8"/>
    <n v="0"/>
    <m/>
    <n v="0"/>
    <m/>
    <n v="0"/>
    <m/>
    <n v="0"/>
    <m/>
    <n v="0"/>
    <m/>
    <n v="0"/>
    <m/>
    <n v="0"/>
    <s v="FLINTSL"/>
    <n v="20"/>
    <n v="0"/>
    <n v="876.93207547169823"/>
    <n v="0"/>
    <n v="2"/>
    <n v="15"/>
    <n v="30"/>
    <n v="3"/>
    <n v="5"/>
    <n v="10"/>
    <n v="0"/>
    <n v="200"/>
    <n v="0.8"/>
    <n v="0.2"/>
    <m/>
    <m/>
    <m/>
    <n v="0"/>
    <n v="664"/>
    <n v="0"/>
    <n v="0"/>
    <n v="664"/>
    <n v="664"/>
    <n v="531.20000000000005"/>
    <n v="0"/>
    <n v="132.80000000000001"/>
    <n v="0"/>
    <n v="0"/>
    <n v="0"/>
    <n v="0"/>
    <n v="0"/>
    <n v="0"/>
    <n v="0"/>
    <n v="0"/>
    <n v="0"/>
    <n v="0"/>
    <m/>
    <n v="633.79999999999995"/>
    <n v="1335.8000000000002"/>
    <n v="124"/>
    <s v="FLINTSLFLINTSLFLINTSLFLINTSLFLINTSLFLINTSLFLINTSLFLINTSL"/>
    <s v="+"/>
    <s v="+"/>
    <s v="+"/>
    <s v="+"/>
    <s v="+"/>
    <s v="+"/>
    <s v="+"/>
    <s v="+"/>
    <b v="0"/>
  </r>
  <r>
    <d v="2026-01-17T00:00:00"/>
    <s v="A"/>
    <x v="221"/>
    <n v="125"/>
    <n v="575"/>
    <n v="17700"/>
    <s v="II"/>
    <s v="N"/>
    <n v="1.4"/>
    <s v="BLACK"/>
    <s v="C01410B"/>
    <s v="FLINTSL - BLACK"/>
    <n v="24"/>
    <n v="0"/>
    <m/>
    <m/>
    <n v="0"/>
    <n v="26522000008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30"/>
    <n v="0"/>
    <n v="12"/>
    <n v="0"/>
    <s v="MAGENTA"/>
    <m/>
    <s v="FLINTSL - MAGENTA"/>
    <m/>
    <n v="0"/>
    <m/>
    <m/>
    <n v="0"/>
    <n v="26517000045"/>
    <s v="FMD"/>
    <m/>
    <m/>
    <m/>
    <m/>
    <m/>
    <m/>
    <n v="10"/>
    <e v="#N/A"/>
    <n v="7"/>
    <n v="0"/>
    <m/>
    <n v="0"/>
    <m/>
    <n v="0"/>
    <m/>
    <n v="0"/>
    <m/>
    <n v="0"/>
    <m/>
    <n v="0"/>
    <m/>
    <n v="0"/>
    <s v="FLINTSL"/>
    <n v="30"/>
    <n v="0"/>
    <n v="11"/>
    <n v="0"/>
    <s v="CYAN"/>
    <s v="H01357C"/>
    <s v="FLINTSL - CYAN"/>
    <n v="10"/>
    <n v="0"/>
    <m/>
    <m/>
    <n v="0"/>
    <n v="26516000006"/>
    <s v="FMD"/>
    <m/>
    <m/>
    <m/>
    <m/>
    <m/>
    <m/>
    <n v="7"/>
    <e v="#N/A"/>
    <n v="12"/>
    <n v="0"/>
    <m/>
    <n v="0"/>
    <m/>
    <n v="0"/>
    <m/>
    <n v="0"/>
    <m/>
    <n v="0"/>
    <m/>
    <n v="0"/>
    <m/>
    <n v="0"/>
    <s v="FLINTSL"/>
    <n v="26"/>
    <n v="0"/>
    <n v="27"/>
    <n v="0"/>
    <s v="CYAN"/>
    <m/>
    <s v="FLINTSL - CYAN"/>
    <m/>
    <n v="0"/>
    <m/>
    <m/>
    <n v="0"/>
    <n v="26517000025"/>
    <n v="26516000006"/>
    <s v="FMD"/>
    <m/>
    <m/>
    <m/>
    <m/>
    <m/>
    <n v="30"/>
    <e v="#N/A"/>
    <n v="5"/>
    <e v="#N/A"/>
    <n v="10"/>
    <n v="0"/>
    <m/>
    <n v="0"/>
    <m/>
    <n v="0"/>
    <m/>
    <n v="0"/>
    <m/>
    <n v="0"/>
    <m/>
    <n v="0"/>
    <s v="FLINTSL"/>
    <n v="30"/>
    <n v="0"/>
    <n v="27"/>
    <n v="0"/>
    <s v="MAGENTA"/>
    <s v="H01357M"/>
    <s v="FLINTSL - MAGENTA"/>
    <n v="31"/>
    <n v="0"/>
    <m/>
    <m/>
    <n v="0"/>
    <n v="26517000020"/>
    <m/>
    <m/>
    <m/>
    <m/>
    <m/>
    <m/>
    <m/>
    <n v="7"/>
    <e v="#N/A"/>
    <m/>
    <n v="0"/>
    <m/>
    <n v="0"/>
    <m/>
    <n v="0"/>
    <m/>
    <n v="0"/>
    <m/>
    <n v="0"/>
    <m/>
    <n v="0"/>
    <m/>
    <n v="0"/>
    <s v="FLINTSL"/>
    <n v="29"/>
    <n v="0"/>
    <n v="21"/>
    <n v="0"/>
    <s v="YELLOW"/>
    <s v="C01410Y"/>
    <s v="FLINTSL - YELLOW"/>
    <n v="24"/>
    <n v="0"/>
    <m/>
    <m/>
    <n v="0"/>
    <n v="26517000013"/>
    <s v="FMD"/>
    <m/>
    <m/>
    <m/>
    <m/>
    <m/>
    <m/>
    <n v="25"/>
    <e v="#N/A"/>
    <n v="10"/>
    <n v="0"/>
    <m/>
    <n v="0"/>
    <m/>
    <n v="0"/>
    <m/>
    <n v="0"/>
    <m/>
    <n v="0"/>
    <m/>
    <n v="0"/>
    <m/>
    <n v="0"/>
    <s v="FLINTSL"/>
    <n v="24"/>
    <n v="0"/>
    <n v="59"/>
    <n v="0"/>
    <s v="WHITE"/>
    <s v="C01410W"/>
    <s v="FLINTSL - WHITE"/>
    <n v="30"/>
    <n v="0"/>
    <m/>
    <m/>
    <n v="0"/>
    <s v="FW"/>
    <m/>
    <m/>
    <m/>
    <m/>
    <m/>
    <m/>
    <m/>
    <n v="25"/>
    <n v="0"/>
    <m/>
    <n v="0"/>
    <m/>
    <n v="0"/>
    <m/>
    <n v="0"/>
    <m/>
    <n v="0"/>
    <m/>
    <n v="0"/>
    <m/>
    <n v="0"/>
    <m/>
    <n v="0"/>
    <s v="FLINTSL"/>
    <n v="24"/>
    <n v="0"/>
    <n v="6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10"/>
    <n v="5"/>
    <n v="5"/>
    <n v="10"/>
    <n v="15"/>
    <n v="0"/>
    <n v="0.8"/>
    <n v="0.2"/>
    <m/>
    <m/>
    <m/>
    <n v="0"/>
    <n v="144"/>
    <n v="0"/>
    <n v="0"/>
    <n v="144"/>
    <n v="144"/>
    <n v="115.2"/>
    <n v="0"/>
    <n v="28.8"/>
    <n v="0"/>
    <n v="0"/>
    <n v="0"/>
    <n v="0"/>
    <n v="0"/>
    <n v="0"/>
    <n v="0"/>
    <n v="0"/>
    <n v="0"/>
    <n v="0"/>
    <m/>
    <n v="154"/>
    <n v="224"/>
    <n v="125"/>
    <s v="FLINTSLFLINTSLFLINTSLFLINTSLFLINTSLFLINTSLFLINTSL"/>
    <s v="+"/>
    <s v="+"/>
    <s v="+"/>
    <s v="+"/>
    <s v="+"/>
    <s v="+"/>
    <s v="+"/>
    <s v="NIL"/>
    <b v="0"/>
  </r>
  <r>
    <d v="2026-01-17T00:00:00"/>
    <s v="A"/>
    <x v="222"/>
    <n v="126"/>
    <n v="424"/>
    <n v="24900"/>
    <s v="II"/>
    <s v="N"/>
    <n v="1.8"/>
    <s v="GOLD"/>
    <m/>
    <s v="FLINTSL - GOLD"/>
    <m/>
    <n v="0"/>
    <m/>
    <m/>
    <n v="0"/>
    <s v="FGO"/>
    <n v="26516000011"/>
    <m/>
    <m/>
    <m/>
    <m/>
    <m/>
    <m/>
    <n v="18"/>
    <n v="0"/>
    <n v="0.2"/>
    <e v="#N/A"/>
    <m/>
    <n v="0"/>
    <m/>
    <n v="0"/>
    <m/>
    <n v="0"/>
    <m/>
    <n v="0"/>
    <m/>
    <n v="0"/>
    <m/>
    <n v="0"/>
    <s v="FLINTSL"/>
    <n v="25"/>
    <n v="0"/>
    <n v="11.700000000000003"/>
    <n v="0"/>
    <s v="BLACK"/>
    <s v="E01019B"/>
    <s v="FLINTSL - BLACK"/>
    <n v="24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5"/>
    <n v="0"/>
    <n v="11.399999999999999"/>
    <n v="0"/>
    <s v="RED"/>
    <s v="H01357R"/>
    <s v="FLINTSL - RED"/>
    <n v="25"/>
    <n v="0"/>
    <m/>
    <m/>
    <n v="0"/>
    <n v="26517000026"/>
    <n v="26517000033"/>
    <n v="26517000045"/>
    <n v="26522000008"/>
    <n v="26516000011"/>
    <m/>
    <m/>
    <m/>
    <n v="40"/>
    <e v="#N/A"/>
    <n v="40"/>
    <e v="#N/A"/>
    <n v="10"/>
    <e v="#N/A"/>
    <n v="1"/>
    <e v="#N/A"/>
    <n v="5"/>
    <e v="#N/A"/>
    <m/>
    <n v="0"/>
    <m/>
    <n v="0"/>
    <m/>
    <n v="0"/>
    <s v="FLINTSL"/>
    <n v="27"/>
    <n v="0"/>
    <n v="106.94999999999999"/>
    <n v="0"/>
    <s v="BLACK"/>
    <s v="E01015B"/>
    <s v="FLINTSL - BLACK"/>
    <n v="30"/>
    <n v="0"/>
    <m/>
    <m/>
    <n v="0"/>
    <n v="26518000009"/>
    <n v="26522000008"/>
    <n v="26519000027"/>
    <m/>
    <m/>
    <m/>
    <m/>
    <m/>
    <n v="5"/>
    <e v="#N/A"/>
    <n v="5"/>
    <e v="#N/A"/>
    <n v="6"/>
    <e v="#N/A"/>
    <m/>
    <n v="0"/>
    <m/>
    <n v="0"/>
    <m/>
    <n v="0"/>
    <m/>
    <n v="0"/>
    <m/>
    <n v="0"/>
    <s v="FLINTSL"/>
    <n v="26"/>
    <n v="0"/>
    <n v="29.25"/>
    <n v="0"/>
    <s v="CYAN"/>
    <s v="H01387C"/>
    <s v="FLINTSL - CYAN"/>
    <n v="25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5"/>
    <n v="0"/>
    <n v="13.399999999999999"/>
    <n v="0"/>
    <s v="MAGENTA"/>
    <s v="E01014M"/>
    <s v="FLINTSL - MAGENTA"/>
    <n v="26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4"/>
    <n v="0"/>
    <n v="15.25"/>
    <n v="0"/>
    <s v="YELLOW"/>
    <s v="E01019Y"/>
    <s v="FLINTSL - YELLOW"/>
    <n v="27"/>
    <n v="0"/>
    <m/>
    <m/>
    <n v="0"/>
    <s v="FMD"/>
    <n v="26516000015"/>
    <m/>
    <m/>
    <m/>
    <m/>
    <m/>
    <m/>
    <n v="5"/>
    <n v="0"/>
    <n v="2"/>
    <e v="#N/A"/>
    <m/>
    <n v="0"/>
    <m/>
    <n v="0"/>
    <m/>
    <n v="0"/>
    <m/>
    <n v="0"/>
    <m/>
    <n v="0"/>
    <m/>
    <n v="0"/>
    <s v="FLINTSL"/>
    <n v="22"/>
    <n v="0"/>
    <n v="21.25"/>
    <n v="0"/>
    <s v="WHITE"/>
    <s v="E01019W"/>
    <s v="FLINTSL - WHITE"/>
    <n v="20"/>
    <n v="0"/>
    <m/>
    <m/>
    <n v="0"/>
    <s v="FW"/>
    <s v="WRK6-028K"/>
    <m/>
    <m/>
    <m/>
    <m/>
    <m/>
    <m/>
    <n v="80"/>
    <n v="0"/>
    <n v="9.61"/>
    <n v="0"/>
    <m/>
    <n v="0"/>
    <m/>
    <n v="0"/>
    <m/>
    <n v="0"/>
    <m/>
    <n v="0"/>
    <m/>
    <n v="0"/>
    <m/>
    <n v="0"/>
    <s v="FLINTSL"/>
    <n v="30"/>
    <n v="0"/>
    <n v="153.61000000000001"/>
    <n v="0"/>
    <n v="10"/>
    <n v="4"/>
    <n v="7"/>
    <n v="5"/>
    <n v="4"/>
    <n v="5"/>
    <n v="5"/>
    <n v="40"/>
    <n v="0.8"/>
    <n v="0.2"/>
    <m/>
    <m/>
    <m/>
    <n v="0"/>
    <n v="148"/>
    <n v="0"/>
    <n v="0"/>
    <n v="148"/>
    <n v="148"/>
    <n v="118.4"/>
    <n v="0"/>
    <n v="29.6"/>
    <n v="0"/>
    <n v="0"/>
    <n v="0"/>
    <n v="0"/>
    <n v="0"/>
    <n v="0"/>
    <n v="0"/>
    <n v="0"/>
    <n v="0"/>
    <n v="0"/>
    <m/>
    <n v="241.81"/>
    <n v="362.81"/>
    <n v="126"/>
    <s v="FLINTSLFLINTSLFLINTSLFLINTSLFLINTSLFLINTSLFLINTSLFLINTSL"/>
    <s v="+"/>
    <s v="+"/>
    <s v="+"/>
    <s v="+"/>
    <s v="+"/>
    <s v="+"/>
    <s v="+"/>
    <s v="+"/>
    <b v="0"/>
  </r>
  <r>
    <d v="2026-01-17T00:00:00"/>
    <s v="A"/>
    <x v="223"/>
    <n v="127"/>
    <n v="517"/>
    <n v="44700"/>
    <s v="II"/>
    <s v="N"/>
    <n v="1.4"/>
    <s v="BLACK"/>
    <s v="B01055B"/>
    <s v="FLINTSL - BLACK"/>
    <n v="30"/>
    <n v="0"/>
    <m/>
    <m/>
    <n v="0"/>
    <n v="26522000008"/>
    <s v="FMD"/>
    <m/>
    <m/>
    <m/>
    <m/>
    <m/>
    <m/>
    <n v="2"/>
    <e v="#N/A"/>
    <n v="5"/>
    <n v="0"/>
    <m/>
    <n v="0"/>
    <m/>
    <n v="0"/>
    <m/>
    <n v="0"/>
    <m/>
    <n v="0"/>
    <m/>
    <n v="0"/>
    <m/>
    <n v="0"/>
    <s v="FLINTSL"/>
    <n v="28"/>
    <n v="0"/>
    <n v="21.397260273972606"/>
    <n v="0"/>
    <s v="GOLD"/>
    <s v="H01357G"/>
    <s v="FLINTSL - GOLD"/>
    <n v="23"/>
    <n v="0"/>
    <m/>
    <m/>
    <n v="0"/>
    <n v="26516000015"/>
    <s v="FSI"/>
    <m/>
    <m/>
    <m/>
    <m/>
    <m/>
    <m/>
    <n v="2"/>
    <e v="#N/A"/>
    <n v="8"/>
    <n v="0"/>
    <m/>
    <n v="0"/>
    <m/>
    <n v="0"/>
    <m/>
    <n v="0"/>
    <m/>
    <n v="0"/>
    <m/>
    <n v="0"/>
    <m/>
    <n v="0"/>
    <s v="FLINTSL"/>
    <n v="29"/>
    <n v="0"/>
    <n v="16.397260273972606"/>
    <n v="0"/>
    <s v="RED"/>
    <s v="C01410R"/>
    <s v="FLINTSL - RED"/>
    <n v="23"/>
    <n v="0"/>
    <m/>
    <m/>
    <n v="0"/>
    <n v="26519000029"/>
    <n v="26516000012"/>
    <n v="26518000009"/>
    <m/>
    <m/>
    <m/>
    <m/>
    <m/>
    <n v="10"/>
    <e v="#N/A"/>
    <n v="2"/>
    <e v="#N/A"/>
    <n v="4"/>
    <e v="#N/A"/>
    <m/>
    <n v="0"/>
    <m/>
    <n v="0"/>
    <m/>
    <n v="0"/>
    <m/>
    <n v="0"/>
    <m/>
    <n v="0"/>
    <s v="FLINTSL"/>
    <n v="27"/>
    <n v="0"/>
    <n v="31.835616438356162"/>
    <n v="0"/>
    <s v="CYAN"/>
    <s v="B01055C"/>
    <s v="FLINTSL - CYAN"/>
    <n v="26"/>
    <n v="0"/>
    <m/>
    <m/>
    <n v="0"/>
    <n v="26516000006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30"/>
    <n v="0"/>
    <n v="16.397260273972606"/>
    <n v="0"/>
    <s v="MAGENTA"/>
    <s v="B01055M"/>
    <s v="FLINTSL - MAGENTA"/>
    <n v="29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8"/>
    <n v="0"/>
    <n v="19.397260273972606"/>
    <n v="0"/>
    <s v="YELLOW"/>
    <s v="B01055Y"/>
    <s v="FLINTSL - YELLOW"/>
    <n v="24"/>
    <n v="0"/>
    <m/>
    <m/>
    <n v="0"/>
    <n v="26516000015"/>
    <s v="FMD"/>
    <m/>
    <m/>
    <m/>
    <m/>
    <m/>
    <m/>
    <n v="6"/>
    <e v="#N/A"/>
    <n v="6"/>
    <n v="0"/>
    <m/>
    <n v="0"/>
    <m/>
    <n v="0"/>
    <m/>
    <n v="0"/>
    <m/>
    <n v="0"/>
    <m/>
    <n v="0"/>
    <m/>
    <n v="0"/>
    <s v="FLINTSL"/>
    <n v="27"/>
    <n v="0"/>
    <n v="21.397260273972606"/>
    <n v="0"/>
    <s v="YELLOW"/>
    <m/>
    <s v="FLINTSL - YELLOW"/>
    <m/>
    <n v="0"/>
    <m/>
    <m/>
    <n v="0"/>
    <n v="26517000040"/>
    <n v="26517000035"/>
    <n v="26517000034"/>
    <n v="26516000017"/>
    <m/>
    <m/>
    <m/>
    <m/>
    <n v="40"/>
    <e v="#N/A"/>
    <n v="40"/>
    <e v="#N/A"/>
    <n v="40"/>
    <e v="#N/A"/>
    <n v="30"/>
    <e v="#N/A"/>
    <m/>
    <n v="0"/>
    <m/>
    <n v="0"/>
    <m/>
    <n v="0"/>
    <m/>
    <n v="0"/>
    <s v="FLINTSL"/>
    <n v="29"/>
    <n v="0"/>
    <n v="145.79452054794521"/>
    <n v="0"/>
    <s v="WHITE"/>
    <s v="B01055W"/>
    <s v="FLINTSL - WHITE"/>
    <n v="24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30"/>
    <n v="0"/>
    <n v="118.38356164383561"/>
    <n v="0"/>
    <n v="5"/>
    <n v="5"/>
    <n v="8"/>
    <n v="5"/>
    <n v="5"/>
    <n v="5"/>
    <n v="10"/>
    <n v="30"/>
    <n v="0.8"/>
    <n v="0.2"/>
    <m/>
    <m/>
    <m/>
    <n v="0"/>
    <n v="181"/>
    <n v="0"/>
    <n v="0"/>
    <n v="181"/>
    <n v="181"/>
    <n v="144.80000000000001"/>
    <n v="0"/>
    <n v="36.200000000000003"/>
    <n v="0"/>
    <n v="0"/>
    <n v="0"/>
    <n v="0"/>
    <n v="0"/>
    <n v="0"/>
    <n v="0"/>
    <n v="0"/>
    <n v="0"/>
    <n v="0"/>
    <m/>
    <n v="259"/>
    <n v="391"/>
    <n v="127"/>
    <s v="FLINTSLFLINTSLFLINTSLFLINTSLFLINTSLFLINTSLFLINTSLFLINTSL"/>
    <s v="+"/>
    <s v="+"/>
    <s v="+"/>
    <s v="+"/>
    <s v="+"/>
    <s v="+"/>
    <s v="+"/>
    <s v="+"/>
    <b v="0"/>
  </r>
  <r>
    <d v="2026-01-17T00:00:00"/>
    <s v="A"/>
    <x v="224"/>
    <n v="128"/>
    <n v="1898"/>
    <n v="111500"/>
    <s v="I"/>
    <s v="N"/>
    <n v="1.8"/>
    <s v="GOLD"/>
    <s v="E01019G"/>
    <s v="FLINTSL - GOLD"/>
    <n v="25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4.3116883116883109"/>
    <n v="0"/>
    <s v="BLACK"/>
    <s v="E01019B"/>
    <s v="FLINTSL - BLACK"/>
    <n v="25"/>
    <n v="0"/>
    <m/>
    <m/>
    <n v="0"/>
    <n v="2652300002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4"/>
    <n v="0"/>
    <n v="11.467532467532465"/>
    <n v="0"/>
    <s v="BLACK"/>
    <s v="E01019B"/>
    <s v="FLINTSL - BLACK"/>
    <n v="26"/>
    <n v="0"/>
    <m/>
    <m/>
    <n v="0"/>
    <n v="26523000021"/>
    <n v="26516000015"/>
    <n v="26519000027"/>
    <m/>
    <m/>
    <m/>
    <m/>
    <m/>
    <n v="7"/>
    <e v="#N/A"/>
    <n v="2"/>
    <e v="#N/A"/>
    <n v="5"/>
    <e v="#N/A"/>
    <m/>
    <n v="0"/>
    <m/>
    <n v="0"/>
    <m/>
    <n v="0"/>
    <m/>
    <n v="0"/>
    <m/>
    <n v="0"/>
    <s v="FLINTSL"/>
    <n v="30"/>
    <n v="0"/>
    <n v="31.558441558441558"/>
    <n v="0"/>
    <s v="REFLEX BLUE"/>
    <m/>
    <s v="FLINTSL - REFLEX BLUE"/>
    <m/>
    <n v="0"/>
    <m/>
    <m/>
    <n v="0"/>
    <n v="26517000039"/>
    <n v="26521000005"/>
    <n v="66701"/>
    <n v="26516000028"/>
    <m/>
    <m/>
    <m/>
    <m/>
    <n v="130"/>
    <e v="#N/A"/>
    <n v="50"/>
    <e v="#N/A"/>
    <n v="50"/>
    <n v="0"/>
    <n v="17"/>
    <e v="#N/A"/>
    <m/>
    <n v="0"/>
    <m/>
    <n v="0"/>
    <m/>
    <n v="0"/>
    <m/>
    <n v="0"/>
    <s v="FLINTSL"/>
    <n v="32"/>
    <n v="0"/>
    <n v="290.45454545454544"/>
    <n v="0"/>
    <s v="CYAN"/>
    <s v="E01019C"/>
    <s v="FLINTSL - CYAN"/>
    <n v="25"/>
    <n v="0"/>
    <m/>
    <m/>
    <n v="0"/>
    <n v="26517000036"/>
    <n v="26517000037"/>
    <n v="26516000006"/>
    <m/>
    <m/>
    <m/>
    <m/>
    <m/>
    <n v="20"/>
    <e v="#N/A"/>
    <n v="20"/>
    <e v="#N/A"/>
    <n v="6"/>
    <e v="#N/A"/>
    <m/>
    <n v="0"/>
    <m/>
    <n v="0"/>
    <m/>
    <n v="0"/>
    <m/>
    <n v="0"/>
    <m/>
    <n v="0"/>
    <s v="FLINTSL"/>
    <n v="28"/>
    <n v="0"/>
    <n v="49.467532467532465"/>
    <n v="0"/>
    <s v="MAGENTA"/>
    <s v="E01019M"/>
    <s v="FLINTSL - MAGENTA"/>
    <n v="24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8"/>
    <n v="0"/>
    <n v="11.779220779220779"/>
    <n v="0"/>
    <s v="YELLOW"/>
    <s v="E01019Y"/>
    <s v="FLINTSL - YELLOW"/>
    <n v="22"/>
    <n v="0"/>
    <m/>
    <m/>
    <n v="0"/>
    <n v="26516000015"/>
    <s v="FMD"/>
    <m/>
    <m/>
    <m/>
    <m/>
    <m/>
    <m/>
    <n v="6"/>
    <e v="#N/A"/>
    <n v="4"/>
    <n v="0"/>
    <m/>
    <n v="0"/>
    <m/>
    <n v="0"/>
    <m/>
    <n v="0"/>
    <m/>
    <n v="0"/>
    <m/>
    <n v="0"/>
    <m/>
    <n v="0"/>
    <s v="FLINTSL"/>
    <n v="25"/>
    <n v="0"/>
    <n v="28.558441558441558"/>
    <n v="0"/>
    <s v="WHITE"/>
    <s v="H01019W"/>
    <s v="FLINTSL - WHITE"/>
    <n v="30"/>
    <n v="0"/>
    <m/>
    <m/>
    <n v="0"/>
    <s v="FW"/>
    <s v="WRK6-028K"/>
    <m/>
    <m/>
    <m/>
    <m/>
    <m/>
    <m/>
    <n v="300"/>
    <n v="0"/>
    <n v="12.45"/>
    <n v="0"/>
    <m/>
    <n v="0"/>
    <m/>
    <n v="0"/>
    <m/>
    <n v="0"/>
    <m/>
    <n v="0"/>
    <m/>
    <n v="0"/>
    <m/>
    <n v="0"/>
    <s v="FLINTSL"/>
    <n v="30"/>
    <n v="0"/>
    <n v="829.85259740259744"/>
    <n v="0"/>
    <n v="2"/>
    <n v="3"/>
    <n v="10"/>
    <n v="35"/>
    <n v="3"/>
    <n v="5"/>
    <n v="10"/>
    <n v="240"/>
    <n v="0.8"/>
    <n v="0.2"/>
    <m/>
    <m/>
    <m/>
    <n v="0"/>
    <n v="664"/>
    <n v="0"/>
    <n v="0"/>
    <n v="664"/>
    <n v="664"/>
    <n v="531.20000000000005"/>
    <n v="0"/>
    <n v="132.80000000000001"/>
    <n v="0"/>
    <n v="0"/>
    <n v="0"/>
    <n v="0"/>
    <n v="0"/>
    <n v="0"/>
    <n v="0"/>
    <n v="0"/>
    <n v="0"/>
    <n v="0"/>
    <m/>
    <n v="638.45000000000005"/>
    <n v="1257.45"/>
    <n v="128"/>
    <s v="FLINTSLFLINTSLFLINTSLFLINTSLFLINTSLFLINTSLFLINTSLFLINTSL"/>
    <s v="+"/>
    <s v="+"/>
    <s v="+"/>
    <s v="+"/>
    <s v="+"/>
    <s v="+"/>
    <s v="+"/>
    <s v="+"/>
    <b v="0"/>
  </r>
  <r>
    <d v="2026-01-17T00:00:00"/>
    <s v="A"/>
    <x v="225"/>
    <n v="129"/>
    <n v="407"/>
    <n v="35200"/>
    <s v="II"/>
    <s v="N"/>
    <n v="1.5"/>
    <s v="BLACK"/>
    <m/>
    <s v="ToyoLi - BLACK"/>
    <m/>
    <n v="0"/>
    <m/>
    <m/>
    <n v="0"/>
    <s v="R92"/>
    <s v="RTMD"/>
    <m/>
    <m/>
    <m/>
    <m/>
    <m/>
    <m/>
    <n v="10"/>
    <n v="0"/>
    <n v="5"/>
    <n v="0"/>
    <m/>
    <n v="0"/>
    <m/>
    <n v="0"/>
    <m/>
    <n v="0"/>
    <m/>
    <n v="0"/>
    <m/>
    <n v="0"/>
    <m/>
    <n v="0"/>
    <s v="ToyoLi"/>
    <n v="30"/>
    <n v="0"/>
    <n v="7.328767123287669"/>
    <n v="0"/>
    <s v="RED"/>
    <m/>
    <s v="FLINTSL - RED"/>
    <m/>
    <n v="0"/>
    <m/>
    <m/>
    <n v="0"/>
    <n v="26517000046"/>
    <n v="26518000009"/>
    <n v="26517000047"/>
    <n v="26517000043"/>
    <n v="26519000027"/>
    <m/>
    <m/>
    <m/>
    <n v="40"/>
    <e v="#N/A"/>
    <n v="2"/>
    <e v="#N/A"/>
    <n v="30"/>
    <e v="#N/A"/>
    <n v="40"/>
    <e v="#N/A"/>
    <n v="5"/>
    <e v="#N/A"/>
    <m/>
    <n v="0"/>
    <m/>
    <n v="0"/>
    <m/>
    <n v="0"/>
    <s v="FLINTSL"/>
    <n v="30"/>
    <n v="0"/>
    <n v="109.32876712328766"/>
    <n v="0"/>
    <s v="YELLOW"/>
    <s v="E01028Y"/>
    <s v="FLINTSL - YELLOW"/>
    <n v="29"/>
    <n v="0"/>
    <m/>
    <m/>
    <n v="0"/>
    <n v="26517000013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5"/>
    <n v="0"/>
    <n v="15.93150684931507"/>
    <n v="0"/>
    <s v="CYAN"/>
    <s v="E01028C"/>
    <s v="FLINTSL - CYAN"/>
    <n v="30"/>
    <n v="0"/>
    <m/>
    <m/>
    <n v="0"/>
    <s v="FMD"/>
    <n v="26516000006"/>
    <m/>
    <m/>
    <m/>
    <m/>
    <m/>
    <m/>
    <n v="3"/>
    <n v="0"/>
    <n v="2"/>
    <e v="#N/A"/>
    <m/>
    <n v="0"/>
    <m/>
    <n v="0"/>
    <m/>
    <n v="0"/>
    <m/>
    <n v="0"/>
    <m/>
    <n v="0"/>
    <m/>
    <n v="0"/>
    <s v="FLINTSL"/>
    <n v="27"/>
    <n v="0"/>
    <n v="14.698630136986303"/>
    <n v="0"/>
    <s v="MAGENTA"/>
    <s v="E01028M"/>
    <s v="FLINTSL - MAGENTA"/>
    <n v="28"/>
    <n v="0"/>
    <m/>
    <m/>
    <n v="0"/>
    <n v="26518000009"/>
    <s v="FMD"/>
    <m/>
    <m/>
    <m/>
    <m/>
    <m/>
    <m/>
    <n v="1"/>
    <e v="#N/A"/>
    <n v="2"/>
    <n v="0"/>
    <m/>
    <n v="0"/>
    <m/>
    <n v="0"/>
    <m/>
    <n v="0"/>
    <m/>
    <n v="0"/>
    <m/>
    <n v="0"/>
    <m/>
    <n v="0"/>
    <s v="FLINTSL"/>
    <n v="26"/>
    <n v="0"/>
    <n v="11.698630136986303"/>
    <n v="0"/>
    <s v="RED"/>
    <s v="E01028R"/>
    <s v="FLINTSL - RED"/>
    <n v="27"/>
    <n v="0"/>
    <m/>
    <m/>
    <n v="0"/>
    <n v="26518000009"/>
    <n v="26519000027"/>
    <n v="26518000001"/>
    <m/>
    <m/>
    <m/>
    <m/>
    <m/>
    <n v="4"/>
    <e v="#N/A"/>
    <n v="7"/>
    <e v="#N/A"/>
    <n v="0.5"/>
    <e v="#N/A"/>
    <m/>
    <n v="0"/>
    <m/>
    <n v="0"/>
    <m/>
    <n v="0"/>
    <m/>
    <n v="0"/>
    <m/>
    <n v="0"/>
    <s v="FLINTSL"/>
    <n v="36"/>
    <n v="0"/>
    <n v="11.43150684931507"/>
    <n v="0"/>
    <s v="YELLOW"/>
    <s v="E01028Y"/>
    <s v="FLINTSL - YELLOW"/>
    <n v="27"/>
    <n v="0"/>
    <m/>
    <m/>
    <n v="0"/>
    <n v="26517000013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4"/>
    <n v="0"/>
    <n v="14.93150684931507"/>
    <n v="0"/>
    <s v="WHITE"/>
    <s v="E01028W"/>
    <s v="FLINTSL - WHITE"/>
    <n v="30"/>
    <n v="0"/>
    <m/>
    <m/>
    <n v="0"/>
    <s v="FW"/>
    <m/>
    <m/>
    <m/>
    <m/>
    <m/>
    <m/>
    <m/>
    <n v="70"/>
    <n v="0"/>
    <m/>
    <n v="0"/>
    <m/>
    <n v="0"/>
    <m/>
    <n v="0"/>
    <m/>
    <n v="0"/>
    <m/>
    <n v="0"/>
    <m/>
    <n v="0"/>
    <m/>
    <n v="0"/>
    <s v="FLINTSL"/>
    <n v="27"/>
    <n v="0"/>
    <n v="151.15068493150685"/>
    <n v="0"/>
    <n v="10"/>
    <n v="10"/>
    <n v="4"/>
    <n v="3"/>
    <n v="3"/>
    <n v="4"/>
    <n v="4"/>
    <n v="35"/>
    <n v="0.8"/>
    <n v="0.2"/>
    <m/>
    <m/>
    <m/>
    <n v="0"/>
    <n v="163"/>
    <n v="0"/>
    <n v="0"/>
    <n v="163"/>
    <n v="163"/>
    <n v="130.4"/>
    <n v="0"/>
    <n v="32.6"/>
    <n v="0"/>
    <n v="0"/>
    <n v="0"/>
    <n v="0"/>
    <n v="0"/>
    <n v="0"/>
    <n v="0"/>
    <n v="0"/>
    <n v="0"/>
    <n v="0"/>
    <m/>
    <n v="227.5"/>
    <n v="336.5"/>
    <n v="129"/>
    <s v="ToyoLiFLINTSLFLINTSLFLINTSLFLINTSLFLINTSLFLINTSLFLINTSL"/>
    <s v="+"/>
    <s v="+"/>
    <s v="+"/>
    <s v="+"/>
    <s v="+"/>
    <s v="+"/>
    <s v="+"/>
    <s v="+"/>
    <b v="0"/>
  </r>
  <r>
    <d v="2026-01-17T00:00:00"/>
    <s v="B"/>
    <x v="226"/>
    <n v="130"/>
    <n v="555"/>
    <n v="26200"/>
    <s v="II"/>
    <s v="N"/>
    <n v="2.1800000000000002"/>
    <s v="BLACK"/>
    <s v="E01028B"/>
    <s v="FLINTSL - BLACK"/>
    <n v="28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30"/>
    <n v="0"/>
    <n v="14.829268292682926"/>
    <n v="0"/>
    <s v="RED"/>
    <s v="E01030R"/>
    <s v="FLINTSL - RED"/>
    <n v="15"/>
    <n v="0"/>
    <m/>
    <m/>
    <n v="0"/>
    <s v="FMD"/>
    <n v="26520000008"/>
    <n v="26519000029"/>
    <m/>
    <m/>
    <m/>
    <m/>
    <m/>
    <n v="7"/>
    <n v="0"/>
    <n v="2"/>
    <e v="#N/A"/>
    <m/>
    <n v="0"/>
    <m/>
    <n v="0"/>
    <m/>
    <n v="0"/>
    <m/>
    <n v="0"/>
    <m/>
    <n v="0"/>
    <m/>
    <n v="0"/>
    <s v="FLINTSL"/>
    <n v="27"/>
    <n v="0"/>
    <n v="20.658536585365852"/>
    <n v="0"/>
    <s v="CYAN"/>
    <s v="E01030C"/>
    <s v="FLINTSL - CYAN"/>
    <n v="27"/>
    <n v="0"/>
    <m/>
    <m/>
    <n v="0"/>
    <s v="FMD"/>
    <n v="26516000006"/>
    <m/>
    <m/>
    <m/>
    <m/>
    <m/>
    <m/>
    <n v="7"/>
    <n v="0"/>
    <n v="2"/>
    <e v="#N/A"/>
    <m/>
    <n v="0"/>
    <m/>
    <n v="0"/>
    <m/>
    <n v="0"/>
    <m/>
    <n v="0"/>
    <m/>
    <n v="0"/>
    <m/>
    <n v="0"/>
    <s v="FLINTSL"/>
    <n v="34"/>
    <n v="0"/>
    <n v="13.829268292682926"/>
    <n v="0"/>
    <s v="MAGENTA"/>
    <s v="E01030M"/>
    <s v="FLINTSL - MAGENTA"/>
    <n v="26"/>
    <n v="0"/>
    <m/>
    <m/>
    <n v="0"/>
    <n v="26518000009"/>
    <s v="FMD"/>
    <m/>
    <m/>
    <m/>
    <m/>
    <m/>
    <m/>
    <n v="4"/>
    <e v="#N/A"/>
    <n v="10"/>
    <n v="0"/>
    <m/>
    <n v="0"/>
    <m/>
    <n v="0"/>
    <m/>
    <n v="0"/>
    <m/>
    <n v="0"/>
    <m/>
    <n v="0"/>
    <m/>
    <n v="0"/>
    <s v="FLINTSL"/>
    <n v="35"/>
    <n v="0"/>
    <n v="28.658536585365852"/>
    <n v="0"/>
    <s v="YELLOW"/>
    <s v="E01030Y"/>
    <s v="FLINTSL - YELLOW"/>
    <n v="24"/>
    <n v="0"/>
    <m/>
    <m/>
    <n v="0"/>
    <n v="26517000032"/>
    <s v="FMD"/>
    <m/>
    <m/>
    <m/>
    <m/>
    <m/>
    <m/>
    <n v="10"/>
    <e v="#N/A"/>
    <n v="5"/>
    <n v="0"/>
    <m/>
    <n v="0"/>
    <m/>
    <n v="0"/>
    <m/>
    <n v="0"/>
    <m/>
    <n v="0"/>
    <m/>
    <n v="0"/>
    <m/>
    <n v="0"/>
    <s v="FLINTSL"/>
    <n v="25"/>
    <n v="0"/>
    <n v="30.560975609756099"/>
    <n v="0"/>
    <s v="YELLOW"/>
    <s v="E01030W"/>
    <s v="FLINTSL - YELLOW"/>
    <n v="27"/>
    <n v="0"/>
    <m/>
    <m/>
    <n v="0"/>
    <n v="26519000012"/>
    <n v="26519000027"/>
    <m/>
    <m/>
    <m/>
    <m/>
    <m/>
    <m/>
    <n v="80"/>
    <e v="#N/A"/>
    <n v="5"/>
    <e v="#N/A"/>
    <m/>
    <n v="0"/>
    <m/>
    <n v="0"/>
    <m/>
    <n v="0"/>
    <m/>
    <n v="0"/>
    <m/>
    <n v="0"/>
    <m/>
    <n v="0"/>
    <s v="FLINTSL"/>
    <n v="24"/>
    <n v="0"/>
    <n v="111.65853658536585"/>
    <n v="0"/>
    <s v="WHITE"/>
    <s v="E01030W"/>
    <s v="FLINTSL - WHITE"/>
    <n v="27"/>
    <n v="0"/>
    <m/>
    <m/>
    <n v="0"/>
    <s v="FW"/>
    <m/>
    <m/>
    <m/>
    <m/>
    <m/>
    <m/>
    <m/>
    <n v="70"/>
    <n v="0"/>
    <m/>
    <n v="0"/>
    <m/>
    <n v="0"/>
    <m/>
    <n v="0"/>
    <m/>
    <n v="0"/>
    <m/>
    <n v="0"/>
    <m/>
    <n v="0"/>
    <m/>
    <n v="0"/>
    <s v="FLINTSL"/>
    <n v="30"/>
    <n v="0"/>
    <n v="149.8048780487804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5"/>
    <n v="10"/>
    <n v="7"/>
    <n v="10"/>
    <n v="35"/>
    <n v="0"/>
    <n v="0.8"/>
    <n v="0.2"/>
    <m/>
    <m/>
    <m/>
    <n v="0"/>
    <n v="194"/>
    <n v="0"/>
    <n v="0"/>
    <n v="194"/>
    <n v="194"/>
    <n v="155.20000000000002"/>
    <n v="0"/>
    <n v="38.800000000000004"/>
    <n v="0"/>
    <n v="0"/>
    <n v="0"/>
    <n v="0"/>
    <n v="0"/>
    <n v="0"/>
    <n v="0"/>
    <n v="0"/>
    <n v="0"/>
    <n v="0"/>
    <m/>
    <n v="207"/>
    <n v="370"/>
    <n v="130"/>
    <s v="FLINTSLFLINTSLFLINTSLFLINTSLFLINTSLFLINTSLFLINTSL"/>
    <s v="+"/>
    <s v="+"/>
    <s v="+"/>
    <s v="+"/>
    <s v="+"/>
    <s v="+"/>
    <s v="+"/>
    <s v="NIL"/>
    <b v="0"/>
  </r>
  <r>
    <d v="2026-01-17T00:00:00"/>
    <s v="B"/>
    <x v="227"/>
    <n v="131"/>
    <n v="848"/>
    <n v="43300"/>
    <s v="I"/>
    <s v="N"/>
    <n v="1.82"/>
    <s v="BLACK"/>
    <s v="E01014B"/>
    <s v="FLINTSL - BLACK"/>
    <n v="24"/>
    <n v="0"/>
    <m/>
    <m/>
    <n v="0"/>
    <n v="26518000001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7"/>
    <n v="0"/>
    <n v="5.3999999999999986"/>
    <n v="0"/>
    <s v="BLACK"/>
    <s v="E01014B"/>
    <s v="FLINTSL - BLACK"/>
    <n v="30"/>
    <n v="0"/>
    <m/>
    <m/>
    <n v="0"/>
    <n v="26518000009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2"/>
    <n v="0"/>
    <n v="13.5"/>
    <n v="0"/>
    <s v="BLACK"/>
    <m/>
    <s v="FLINTSL - BLACK"/>
    <m/>
    <n v="0"/>
    <m/>
    <m/>
    <n v="0"/>
    <n v="26517000027"/>
    <n v="26517000030"/>
    <n v="26518000009"/>
    <n v="26518000001"/>
    <m/>
    <m/>
    <m/>
    <m/>
    <n v="93"/>
    <e v="#N/A"/>
    <n v="50"/>
    <e v="#N/A"/>
    <n v="5"/>
    <e v="#N/A"/>
    <n v="3"/>
    <e v="#N/A"/>
    <m/>
    <n v="0"/>
    <m/>
    <n v="0"/>
    <m/>
    <n v="0"/>
    <m/>
    <n v="0"/>
    <s v="FLINTSL"/>
    <n v="36"/>
    <n v="0"/>
    <n v="120.4"/>
    <n v="0"/>
    <s v="RED"/>
    <s v="H01357R"/>
    <s v="FLINTSL - RED"/>
    <n v="35"/>
    <n v="0"/>
    <m/>
    <m/>
    <n v="0"/>
    <n v="26518000009"/>
    <n v="26519000027"/>
    <m/>
    <m/>
    <m/>
    <m/>
    <m/>
    <m/>
    <n v="2"/>
    <e v="#N/A"/>
    <n v="2"/>
    <e v="#N/A"/>
    <m/>
    <n v="0"/>
    <m/>
    <n v="0"/>
    <m/>
    <n v="0"/>
    <m/>
    <n v="0"/>
    <m/>
    <n v="0"/>
    <m/>
    <n v="0"/>
    <s v="FLINTSL"/>
    <n v="35"/>
    <n v="0"/>
    <n v="9.3999999999999986"/>
    <n v="0"/>
    <s v="CYAN"/>
    <s v="E01014C"/>
    <s v="FLINTSL - CYAN"/>
    <n v="28"/>
    <n v="0"/>
    <m/>
    <m/>
    <n v="0"/>
    <n v="26516000006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7.3999999999999986"/>
    <n v="0"/>
    <s v="MAGENTA"/>
    <s v="E01014M"/>
    <s v="FLINTSL - MAGENTA"/>
    <n v="28"/>
    <n v="0"/>
    <m/>
    <m/>
    <n v="0"/>
    <n v="26518000009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7"/>
    <n v="0"/>
    <n v="9.3999999999999986"/>
    <n v="0"/>
    <s v="YELLOW"/>
    <s v="E01014Y"/>
    <s v="FLINTSL - YELLOW"/>
    <n v="25"/>
    <n v="0"/>
    <m/>
    <m/>
    <n v="0"/>
    <n v="26517000013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5"/>
    <n v="0"/>
    <n v="19.5"/>
    <n v="0"/>
    <s v="WHITE"/>
    <s v="E01014W"/>
    <s v="FLINTSL - WHITE"/>
    <n v="30"/>
    <n v="0"/>
    <m/>
    <m/>
    <n v="0"/>
    <s v="FW"/>
    <m/>
    <m/>
    <m/>
    <m/>
    <m/>
    <m/>
    <m/>
    <n v="160"/>
    <n v="0"/>
    <m/>
    <n v="0"/>
    <m/>
    <n v="0"/>
    <m/>
    <n v="0"/>
    <m/>
    <n v="0"/>
    <m/>
    <n v="0"/>
    <m/>
    <n v="0"/>
    <m/>
    <n v="0"/>
    <s v="FLINTSL"/>
    <n v="30"/>
    <n v="0"/>
    <n v="403"/>
    <n v="0"/>
    <n v="2"/>
    <n v="5"/>
    <n v="2"/>
    <n v="2"/>
    <n v="2"/>
    <n v="2"/>
    <n v="5"/>
    <n v="90"/>
    <n v="0.8"/>
    <n v="0.2"/>
    <m/>
    <m/>
    <m/>
    <n v="0"/>
    <n v="297"/>
    <n v="0"/>
    <n v="0"/>
    <n v="297"/>
    <n v="297"/>
    <n v="237.60000000000002"/>
    <n v="0"/>
    <n v="59.400000000000006"/>
    <n v="0"/>
    <n v="0"/>
    <n v="0"/>
    <n v="0"/>
    <n v="0"/>
    <n v="0"/>
    <n v="0"/>
    <n v="0"/>
    <n v="0"/>
    <n v="0"/>
    <m/>
    <n v="331"/>
    <n v="588"/>
    <n v="131"/>
    <s v="FLINTSLFLINTSLFLINTSLFLINTSLFLINTSLFLINTSLFLINTSLFLINTSL"/>
    <s v="+"/>
    <s v="+"/>
    <s v="+"/>
    <s v="+"/>
    <s v="+"/>
    <s v="+"/>
    <s v="+"/>
    <s v="+"/>
    <b v="0"/>
  </r>
  <r>
    <d v="2026-01-17T00:00:00"/>
    <s v="B"/>
    <x v="228"/>
    <n v="132"/>
    <n v="501"/>
    <n v="24600"/>
    <s v="II"/>
    <s v="N"/>
    <n v="1.8"/>
    <s v="BLACK"/>
    <s v="F00865B"/>
    <s v="FLINTSL - BLACK"/>
    <n v="30"/>
    <n v="0"/>
    <m/>
    <m/>
    <n v="0"/>
    <n v="26522000008"/>
    <m/>
    <m/>
    <m/>
    <m/>
    <m/>
    <m/>
    <m/>
    <n v="2.5"/>
    <e v="#N/A"/>
    <m/>
    <n v="0"/>
    <m/>
    <n v="0"/>
    <m/>
    <n v="0"/>
    <m/>
    <n v="0"/>
    <m/>
    <n v="0"/>
    <m/>
    <n v="0"/>
    <m/>
    <n v="0"/>
    <s v="FLINTSL"/>
    <n v="28"/>
    <n v="0"/>
    <n v="11.69178082191781"/>
    <n v="0"/>
    <s v="REFLEX BLUE"/>
    <m/>
    <s v="FLINTSL - REFLEX BLUE"/>
    <m/>
    <n v="0"/>
    <m/>
    <m/>
    <n v="0"/>
    <n v="26516000006"/>
    <n v="26517000041"/>
    <n v="26517000044"/>
    <m/>
    <m/>
    <m/>
    <m/>
    <m/>
    <n v="5"/>
    <e v="#N/A"/>
    <n v="8"/>
    <e v="#N/A"/>
    <n v="13"/>
    <e v="#N/A"/>
    <m/>
    <n v="0"/>
    <m/>
    <n v="0"/>
    <m/>
    <n v="0"/>
    <m/>
    <n v="0"/>
    <m/>
    <n v="0"/>
    <s v="FLINTSL"/>
    <n v="27"/>
    <n v="0"/>
    <n v="10.986301369863014"/>
    <n v="0"/>
    <s v="RED"/>
    <s v="F00865R"/>
    <s v="FLINTSL - RED"/>
    <n v="27"/>
    <n v="0"/>
    <m/>
    <m/>
    <n v="0"/>
    <n v="26520000008"/>
    <n v="26518000009"/>
    <m/>
    <m/>
    <m/>
    <m/>
    <m/>
    <m/>
    <n v="1"/>
    <e v="#N/A"/>
    <n v="3"/>
    <e v="#N/A"/>
    <m/>
    <n v="0"/>
    <m/>
    <n v="0"/>
    <m/>
    <n v="0"/>
    <m/>
    <n v="0"/>
    <m/>
    <n v="0"/>
    <m/>
    <n v="0"/>
    <s v="FLINTSL"/>
    <n v="26"/>
    <n v="0"/>
    <n v="14.589041095890408"/>
    <n v="0"/>
    <s v="ORANGE"/>
    <s v="F00865O"/>
    <s v="FLINTSL - ORANGE"/>
    <n v="10"/>
    <n v="0"/>
    <m/>
    <m/>
    <n v="0"/>
    <n v="26518000008"/>
    <n v="26518000007"/>
    <n v="26517000032"/>
    <n v="26518000010"/>
    <n v="26518000009"/>
    <m/>
    <m/>
    <m/>
    <n v="25"/>
    <e v="#N/A"/>
    <n v="40"/>
    <e v="#N/A"/>
    <n v="2"/>
    <e v="#N/A"/>
    <n v="10"/>
    <e v="#N/A"/>
    <n v="1"/>
    <e v="#N/A"/>
    <m/>
    <n v="0"/>
    <m/>
    <n v="0"/>
    <m/>
    <n v="0"/>
    <s v="FLINTSL"/>
    <n v="19"/>
    <n v="0"/>
    <n v="104.95890410958904"/>
    <n v="0"/>
    <s v="CYAN"/>
    <s v="F00865C"/>
    <s v="FLINTSL - CYAN"/>
    <n v="30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9"/>
    <n v="0"/>
    <n v="11.19178082191781"/>
    <n v="0"/>
    <s v="MAGENTA"/>
    <s v="F00865M"/>
    <s v="FLINTSL - MAGENTA"/>
    <n v="28"/>
    <n v="0"/>
    <m/>
    <m/>
    <n v="0"/>
    <n v="26518000009"/>
    <s v="FMD"/>
    <m/>
    <m/>
    <m/>
    <m/>
    <m/>
    <m/>
    <n v="4"/>
    <e v="#N/A"/>
    <n v="2"/>
    <n v="0"/>
    <m/>
    <n v="0"/>
    <m/>
    <n v="0"/>
    <m/>
    <n v="0"/>
    <m/>
    <n v="0"/>
    <m/>
    <n v="0"/>
    <m/>
    <n v="0"/>
    <s v="FLINTSL"/>
    <n v="27"/>
    <n v="0"/>
    <n v="16.589041095890408"/>
    <n v="0"/>
    <s v="YELLOW"/>
    <s v="F00865Y"/>
    <s v="FLINTSL - YELLOW"/>
    <n v="25"/>
    <n v="0"/>
    <m/>
    <m/>
    <n v="0"/>
    <n v="26517000032"/>
    <s v="FMD"/>
    <m/>
    <m/>
    <m/>
    <m/>
    <m/>
    <m/>
    <n v="4"/>
    <e v="#N/A"/>
    <n v="2"/>
    <n v="0"/>
    <m/>
    <n v="0"/>
    <m/>
    <n v="0"/>
    <m/>
    <n v="0"/>
    <m/>
    <n v="0"/>
    <m/>
    <n v="0"/>
    <m/>
    <n v="0"/>
    <s v="FLINTSL"/>
    <n v="26"/>
    <n v="0"/>
    <n v="14.589041095890408"/>
    <n v="0"/>
    <s v="WHITE"/>
    <s v="F00865W"/>
    <s v="FLINTSL - WHITE"/>
    <n v="3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5"/>
    <n v="0"/>
    <n v="148.90410958904107"/>
    <n v="0"/>
    <n v="3"/>
    <n v="5"/>
    <n v="4"/>
    <n v="15"/>
    <n v="3"/>
    <n v="4"/>
    <n v="4"/>
    <n v="35"/>
    <n v="0.8"/>
    <n v="0.2"/>
    <m/>
    <m/>
    <m/>
    <n v="0"/>
    <n v="175"/>
    <n v="0"/>
    <n v="0"/>
    <n v="175"/>
    <n v="175"/>
    <n v="140"/>
    <n v="0"/>
    <n v="35"/>
    <n v="0"/>
    <n v="0"/>
    <n v="0"/>
    <n v="0"/>
    <n v="0"/>
    <n v="0"/>
    <n v="0"/>
    <n v="0"/>
    <n v="0"/>
    <n v="0"/>
    <m/>
    <n v="185.5"/>
    <n v="333.5"/>
    <n v="132"/>
    <s v="FLINTSLFLINTSLFLINTSLFLINTSLFLINTSLFLINTSLFLINTSLFLINTSL"/>
    <s v="+"/>
    <s v="+"/>
    <s v="+"/>
    <s v="+"/>
    <s v="+"/>
    <s v="+"/>
    <s v="+"/>
    <s v="+"/>
    <b v="0"/>
  </r>
  <r>
    <d v="2026-01-17T00:00:00"/>
    <s v="B"/>
    <x v="229"/>
    <n v="133"/>
    <n v="381"/>
    <n v="19300"/>
    <s v="I"/>
    <s v="N"/>
    <n v="1.2"/>
    <s v="BLACK"/>
    <s v="E01024B"/>
    <s v="FLINTSL - BLACK"/>
    <n v="27"/>
    <n v="0"/>
    <m/>
    <m/>
    <n v="0"/>
    <n v="26523000021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10.3125"/>
    <n v="0"/>
    <s v="GREEN"/>
    <m/>
    <s v="FLINTSL - GREEN"/>
    <m/>
    <n v="0"/>
    <m/>
    <m/>
    <n v="0"/>
    <n v="26518000002"/>
    <n v="26516000006"/>
    <m/>
    <m/>
    <m/>
    <m/>
    <m/>
    <m/>
    <n v="35"/>
    <e v="#N/A"/>
    <n v="20"/>
    <e v="#N/A"/>
    <m/>
    <n v="0"/>
    <m/>
    <n v="0"/>
    <m/>
    <n v="0"/>
    <m/>
    <n v="0"/>
    <m/>
    <n v="0"/>
    <m/>
    <n v="0"/>
    <s v="FLINTSL"/>
    <n v="30"/>
    <n v="0"/>
    <n v="66.5625"/>
    <n v="0"/>
    <s v="RED"/>
    <s v="E01024R"/>
    <s v="FLINTSL - RED"/>
    <n v="35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2"/>
    <n v="0"/>
    <n v="3"/>
    <n v="0"/>
    <s v="CYAN"/>
    <s v="E01024C"/>
    <s v="FLINTSL - CYAN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0"/>
    <n v="2"/>
    <n v="0"/>
    <s v="MAGENTA"/>
    <s v="E01024M"/>
    <s v="FLINTSL - MAGENTA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0"/>
    <n v="1"/>
    <n v="0"/>
    <s v="YELLOW"/>
    <s v="E01024Y"/>
    <s v="FLINTSL - YELLOW"/>
    <n v="25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4"/>
    <n v="0"/>
    <n v="1"/>
    <n v="0"/>
    <s v="WHITE"/>
    <s v="E01024W"/>
    <s v="FLINTSL - WHITE"/>
    <n v="30"/>
    <n v="0"/>
    <m/>
    <m/>
    <n v="0"/>
    <s v="FW"/>
    <m/>
    <m/>
    <m/>
    <m/>
    <m/>
    <m/>
    <m/>
    <n v="80"/>
    <n v="0"/>
    <m/>
    <n v="0"/>
    <m/>
    <n v="0"/>
    <m/>
    <n v="0"/>
    <m/>
    <n v="0"/>
    <m/>
    <n v="0"/>
    <m/>
    <n v="0"/>
    <m/>
    <n v="0"/>
    <s v="FLINTSL"/>
    <n v="30"/>
    <n v="0"/>
    <n v="163.12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20"/>
    <n v="0"/>
    <n v="0"/>
    <n v="0"/>
    <n v="0"/>
    <n v="40"/>
    <n v="0"/>
    <n v="0.8"/>
    <n v="0.2"/>
    <m/>
    <m/>
    <m/>
    <n v="0"/>
    <n v="133"/>
    <n v="0"/>
    <n v="0"/>
    <n v="133"/>
    <n v="133"/>
    <n v="106.4"/>
    <n v="0"/>
    <n v="26.6"/>
    <n v="0"/>
    <n v="0"/>
    <n v="0"/>
    <n v="0"/>
    <n v="0"/>
    <n v="0"/>
    <n v="0"/>
    <n v="0"/>
    <n v="0"/>
    <n v="0"/>
    <m/>
    <n v="140"/>
    <n v="247"/>
    <n v="133"/>
    <s v="FLINTSLFLINTSLFLINTSLFLINTSLFLINTSLFLINTSLFLINTSL"/>
    <s v="+"/>
    <s v="+"/>
    <s v="+"/>
    <s v="+"/>
    <s v="+"/>
    <s v="+"/>
    <s v="+"/>
    <s v="NIL"/>
    <b v="0"/>
  </r>
  <r>
    <d v="2026-01-17T00:00:00"/>
    <s v="B"/>
    <x v="230"/>
    <n v="134"/>
    <n v="252"/>
    <n v="12400"/>
    <s v="II"/>
    <s v="N"/>
    <n v="1.75"/>
    <s v="BLACK"/>
    <s v="F00875B"/>
    <s v="FLINTSL - BLACK"/>
    <n v="28"/>
    <n v="0"/>
    <m/>
    <m/>
    <n v="0"/>
    <n v="26523000021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5"/>
    <n v="0"/>
    <n v="11.280000000000001"/>
    <n v="0"/>
    <s v="REFLEX BLUE"/>
    <s v="F00875B"/>
    <s v="FLINTSL - REFLEX BLUE"/>
    <n v="27"/>
    <n v="0"/>
    <m/>
    <m/>
    <n v="0"/>
    <n v="26516000019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6"/>
    <n v="0"/>
    <n v="10.039999999999999"/>
    <n v="0"/>
    <s v="RED"/>
    <s v="F00875R"/>
    <s v="FLINTSL - RED"/>
    <n v="26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5"/>
    <n v="0"/>
    <n v="6.52"/>
    <n v="0"/>
    <s v="CYAN"/>
    <m/>
    <s v="FLINTSL - CYAN"/>
    <m/>
    <n v="0"/>
    <m/>
    <m/>
    <n v="0"/>
    <n v="26516000032"/>
    <s v="FMD"/>
    <n v="26516000021"/>
    <m/>
    <m/>
    <m/>
    <m/>
    <m/>
    <n v="20"/>
    <e v="#N/A"/>
    <n v="20"/>
    <n v="0"/>
    <n v="0.4"/>
    <e v="#N/A"/>
    <m/>
    <n v="0"/>
    <m/>
    <n v="0"/>
    <m/>
    <n v="0"/>
    <m/>
    <n v="0"/>
    <m/>
    <n v="0"/>
    <s v="FLINTSL"/>
    <n v="26"/>
    <n v="0"/>
    <n v="37.28"/>
    <n v="0"/>
    <s v="CYAN"/>
    <s v="F00875C"/>
    <s v="FLINTSL - CYAN"/>
    <n v="29"/>
    <n v="0"/>
    <m/>
    <m/>
    <n v="0"/>
    <n v="26516000032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0"/>
    <n v="0"/>
    <n v="6.5200000000000031"/>
    <n v="0"/>
    <s v="MAGENTA"/>
    <s v="F00875M"/>
    <s v="FLINTSL - MAGENTA"/>
    <n v="27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9"/>
    <n v="0"/>
    <n v="8.0399999999999991"/>
    <n v="0"/>
    <s v="YELLOW"/>
    <s v="F00875Y"/>
    <s v="FLINTSL - YELLOW"/>
    <n v="26"/>
    <n v="0"/>
    <m/>
    <m/>
    <n v="0"/>
    <s v="FMD"/>
    <n v="26518000001"/>
    <m/>
    <m/>
    <m/>
    <m/>
    <m/>
    <m/>
    <n v="3"/>
    <n v="0"/>
    <n v="4"/>
    <e v="#N/A"/>
    <m/>
    <n v="0"/>
    <m/>
    <n v="0"/>
    <m/>
    <n v="0"/>
    <m/>
    <n v="0"/>
    <m/>
    <n v="0"/>
    <m/>
    <n v="0"/>
    <s v="FLINTSL"/>
    <n v="27"/>
    <n v="0"/>
    <n v="9.5200000000000031"/>
    <n v="0"/>
    <s v="WHITE"/>
    <s v="F00875W"/>
    <s v="FLINTSL - WHITE"/>
    <n v="25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28"/>
    <n v="0"/>
    <n v="72.2"/>
    <n v="0"/>
    <n v="3"/>
    <n v="4"/>
    <n v="2"/>
    <n v="13"/>
    <n v="2"/>
    <n v="4"/>
    <n v="2"/>
    <n v="20"/>
    <n v="0.8"/>
    <n v="0.2"/>
    <m/>
    <m/>
    <m/>
    <n v="0"/>
    <n v="88"/>
    <n v="0"/>
    <n v="0"/>
    <n v="88"/>
    <n v="88"/>
    <n v="70.400000000000006"/>
    <n v="0"/>
    <n v="17.600000000000001"/>
    <n v="0"/>
    <n v="0"/>
    <n v="0"/>
    <n v="0"/>
    <n v="0"/>
    <n v="0"/>
    <n v="0"/>
    <n v="0"/>
    <n v="0"/>
    <n v="0"/>
    <m/>
    <n v="101.4"/>
    <n v="161.40000000000003"/>
    <n v="134"/>
    <s v="FLINTSLFLINTSLFLINTSLFLINTSLFLINTSLFLINTSLFLINTSLFLINTSL"/>
    <s v="+"/>
    <s v="+"/>
    <s v="+"/>
    <s v="+"/>
    <s v="+"/>
    <s v="+"/>
    <s v="+"/>
    <s v="+"/>
    <b v="0"/>
  </r>
  <r>
    <d v="2026-01-17T00:00:00"/>
    <s v="A"/>
    <x v="231"/>
    <n v="135"/>
    <n v="248"/>
    <n v="12200"/>
    <s v="II"/>
    <s v="N"/>
    <n v="1.9"/>
    <s v="BLACK"/>
    <s v="F00877B"/>
    <s v="FLINTSL - BLACK"/>
    <n v="25"/>
    <n v="0"/>
    <m/>
    <m/>
    <n v="0"/>
    <n v="26516000033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6"/>
    <n v="0"/>
    <n v="7.9600000000000009"/>
    <n v="0"/>
    <s v="REFLEX BLUE"/>
    <s v="F00877B"/>
    <s v="FLINTSL - REFLEX BLUE"/>
    <n v="26"/>
    <n v="0"/>
    <m/>
    <m/>
    <n v="0"/>
    <n v="2651600003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8.2199999999999989"/>
    <n v="0"/>
    <s v="RED"/>
    <s v="F00877R"/>
    <s v="FLINTSL - RED"/>
    <n v="25"/>
    <n v="0"/>
    <m/>
    <m/>
    <n v="0"/>
    <n v="26519000029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6"/>
    <n v="0"/>
    <n v="7.9600000000000009"/>
    <n v="0"/>
    <s v="GREEN"/>
    <s v="J00966G"/>
    <s v="FLINTSL - GREEN"/>
    <n v="22"/>
    <n v="0"/>
    <s v="C01484G"/>
    <n v="12"/>
    <n v="0"/>
    <n v="26516000032"/>
    <n v="26518000001"/>
    <n v="26516000028"/>
    <m/>
    <m/>
    <m/>
    <m/>
    <m/>
    <n v="4"/>
    <e v="#N/A"/>
    <n v="7"/>
    <e v="#N/A"/>
    <n v="3"/>
    <e v="#N/A"/>
    <m/>
    <n v="0"/>
    <m/>
    <n v="0"/>
    <m/>
    <n v="0"/>
    <m/>
    <n v="0"/>
    <m/>
    <n v="0"/>
    <s v="FLINTSL"/>
    <n v="20"/>
    <n v="0"/>
    <n v="45.400000000000006"/>
    <n v="0"/>
    <s v="CYAN"/>
    <s v="F00877C"/>
    <s v="FLINTSL - CYAN"/>
    <n v="30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9"/>
    <n v="0"/>
    <n v="6.4799999999999969"/>
    <n v="0"/>
    <s v="MAGENTA"/>
    <s v="F00877M"/>
    <s v="FLINTSL - MAGENTA"/>
    <n v="29"/>
    <n v="0"/>
    <m/>
    <m/>
    <n v="0"/>
    <n v="26519000004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8"/>
    <n v="0"/>
    <n v="7.2199999999999989"/>
    <n v="0"/>
    <s v="YELLOW"/>
    <s v="F00877Y"/>
    <s v="FLINTSL - YELLOW"/>
    <n v="27"/>
    <n v="0"/>
    <m/>
    <m/>
    <n v="0"/>
    <n v="26518000001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9"/>
    <n v="0"/>
    <n v="9.9600000000000009"/>
    <n v="0"/>
    <s v="WHITE"/>
    <s v="F00877W"/>
    <s v="FLINTSL - WHITE"/>
    <n v="28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30"/>
    <n v="0"/>
    <n v="72.800000000000011"/>
    <n v="0"/>
    <n v="4"/>
    <n v="3"/>
    <n v="4"/>
    <n v="10"/>
    <n v="2"/>
    <n v="3"/>
    <n v="4"/>
    <n v="20"/>
    <n v="0.8"/>
    <n v="0.2"/>
    <m/>
    <m/>
    <m/>
    <n v="0"/>
    <n v="87"/>
    <n v="0"/>
    <n v="0"/>
    <n v="87"/>
    <n v="87"/>
    <n v="69.600000000000009"/>
    <n v="0"/>
    <n v="17.400000000000002"/>
    <n v="0"/>
    <n v="0"/>
    <n v="0"/>
    <n v="0"/>
    <n v="0"/>
    <n v="0"/>
    <n v="0"/>
    <n v="0"/>
    <n v="0"/>
    <n v="0"/>
    <m/>
    <n v="68"/>
    <n v="166.00000000000003"/>
    <n v="135"/>
    <s v="FLINTSLFLINTSLFLINTSLFLINTSLFLINTSLFLINTSLFLINTSLFLINTSL"/>
    <s v="+"/>
    <s v="+"/>
    <s v="+"/>
    <s v="+"/>
    <s v="+"/>
    <s v="+"/>
    <s v="+"/>
    <s v="+"/>
    <b v="0"/>
  </r>
  <r>
    <d v="2026-01-19T00:00:00"/>
    <s v="A"/>
    <x v="232"/>
    <n v="136"/>
    <n v="249"/>
    <n v="12800"/>
    <s v="II"/>
    <s v="N"/>
    <n v="1.9"/>
    <s v="BLACK"/>
    <s v="F00876B"/>
    <s v="FLINTSL - BLACK"/>
    <n v="26"/>
    <n v="0"/>
    <m/>
    <m/>
    <n v="0"/>
    <n v="26516000033"/>
    <m/>
    <m/>
    <m/>
    <m/>
    <m/>
    <m/>
    <m/>
    <n v="25"/>
    <e v="#N/A"/>
    <m/>
    <n v="0"/>
    <m/>
    <n v="0"/>
    <m/>
    <n v="0"/>
    <m/>
    <n v="0"/>
    <m/>
    <n v="0"/>
    <m/>
    <n v="0"/>
    <m/>
    <n v="0"/>
    <s v="FLINTSL"/>
    <n v="26"/>
    <n v="0"/>
    <n v="46.393442622950815"/>
    <n v="0"/>
    <s v="REFLEX BLUE"/>
    <s v="F00876B"/>
    <s v="FLINTSL - REFLEX BLUE"/>
    <n v="25"/>
    <n v="0"/>
    <m/>
    <m/>
    <n v="0"/>
    <n v="26516000019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8"/>
    <n v="0"/>
    <n v="8.1311475409836049"/>
    <n v="0"/>
    <s v="RED"/>
    <s v="F00876R"/>
    <s v="FLINTSL - RED"/>
    <n v="26"/>
    <n v="0"/>
    <m/>
    <m/>
    <n v="0"/>
    <n v="26519000029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7"/>
    <n v="0"/>
    <n v="10.131147540983605"/>
    <n v="0"/>
    <s v="ORANGE"/>
    <s v="N00875O"/>
    <s v="FLINTSL - ORANGE"/>
    <n v="23"/>
    <n v="0"/>
    <m/>
    <m/>
    <n v="0"/>
    <n v="26518000001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6"/>
    <n v="0"/>
    <n v="7.7049180327868854"/>
    <n v="0"/>
    <s v="CYAN"/>
    <s v="F00876C"/>
    <s v="FLINTSL - CYAN"/>
    <n v="29"/>
    <n v="0"/>
    <m/>
    <m/>
    <n v="0"/>
    <n v="26519000006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8"/>
    <n v="0"/>
    <n v="12.131147540983605"/>
    <n v="0"/>
    <s v="MAGENTA"/>
    <s v="F00876M"/>
    <s v="FLINTSL - MAGENTA"/>
    <n v="28"/>
    <n v="0"/>
    <m/>
    <m/>
    <n v="0"/>
    <n v="26519000004"/>
    <s v="FMD"/>
    <m/>
    <m/>
    <m/>
    <m/>
    <m/>
    <m/>
    <n v="2"/>
    <e v="#N/A"/>
    <n v="4"/>
    <n v="0"/>
    <m/>
    <n v="0"/>
    <m/>
    <n v="0"/>
    <m/>
    <n v="0"/>
    <m/>
    <n v="0"/>
    <m/>
    <n v="0"/>
    <m/>
    <n v="0"/>
    <s v="FLINTSL"/>
    <n v="29"/>
    <n v="0"/>
    <n v="12.131147540983605"/>
    <n v="0"/>
    <s v="YELLOW"/>
    <s v="F00876Y"/>
    <s v="FLINTSL - YELLOW"/>
    <n v="29"/>
    <n v="0"/>
    <m/>
    <m/>
    <n v="0"/>
    <n v="26518000001"/>
    <s v="FMD"/>
    <m/>
    <m/>
    <m/>
    <m/>
    <m/>
    <m/>
    <n v="6"/>
    <e v="#N/A"/>
    <n v="4"/>
    <n v="0"/>
    <m/>
    <n v="0"/>
    <m/>
    <n v="0"/>
    <m/>
    <n v="0"/>
    <m/>
    <n v="0"/>
    <m/>
    <n v="0"/>
    <m/>
    <n v="0"/>
    <s v="FLINTSL"/>
    <n v="30"/>
    <n v="0"/>
    <n v="18.983606557377051"/>
    <n v="0"/>
    <s v="WHITE"/>
    <s v="F00876W"/>
    <s v="FLINTSL - WHITE"/>
    <n v="30"/>
    <n v="0"/>
    <m/>
    <m/>
    <n v="0"/>
    <s v="FW"/>
    <m/>
    <m/>
    <m/>
    <m/>
    <m/>
    <m/>
    <m/>
    <n v="25"/>
    <n v="0"/>
    <m/>
    <n v="0"/>
    <m/>
    <n v="0"/>
    <m/>
    <n v="0"/>
    <m/>
    <n v="0"/>
    <m/>
    <n v="0"/>
    <m/>
    <n v="0"/>
    <m/>
    <n v="0"/>
    <s v="FLINTSL"/>
    <n v="25"/>
    <n v="0"/>
    <n v="51.393442622950815"/>
    <n v="0"/>
    <n v="15"/>
    <n v="5"/>
    <n v="5"/>
    <n v="4"/>
    <n v="5"/>
    <n v="5"/>
    <n v="7"/>
    <n v="15"/>
    <n v="0.8"/>
    <n v="0.2"/>
    <m/>
    <m/>
    <m/>
    <n v="0"/>
    <n v="87"/>
    <n v="0"/>
    <n v="0"/>
    <n v="87"/>
    <n v="87"/>
    <n v="69.600000000000009"/>
    <n v="0"/>
    <n v="17.400000000000002"/>
    <n v="0"/>
    <n v="0"/>
    <n v="0"/>
    <n v="0"/>
    <n v="0"/>
    <n v="0"/>
    <n v="0"/>
    <n v="0"/>
    <n v="0"/>
    <n v="0"/>
    <m/>
    <n v="83"/>
    <n v="167"/>
    <n v="136"/>
    <s v="FLINTSLFLINTSLFLINTSLFLINTSLFLINTSLFLINTSLFLINTSLFLINTSL"/>
    <s v="+"/>
    <s v="+"/>
    <s v="+"/>
    <s v="+"/>
    <s v="+"/>
    <s v="+"/>
    <s v="+"/>
    <s v="+"/>
    <b v="0"/>
  </r>
  <r>
    <d v="2026-01-19T00:00:00"/>
    <s v="A"/>
    <x v="233"/>
    <n v="137"/>
    <n v="487"/>
    <n v="24000"/>
    <s v="II"/>
    <s v="N"/>
    <n v="2.2400000000000002"/>
    <s v="BLACK"/>
    <s v="F00874B"/>
    <s v="FLINTSL - BLACK"/>
    <n v="26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7"/>
    <n v="0"/>
    <n v="11.950000000000003"/>
    <n v="0"/>
    <s v="RED"/>
    <s v="F00874R"/>
    <s v="FLINTSL - RED"/>
    <n v="27"/>
    <n v="0"/>
    <m/>
    <m/>
    <n v="0"/>
    <n v="26519000004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6"/>
    <n v="0"/>
    <n v="4.59"/>
    <n v="0"/>
    <s v="REFLEX BLUE"/>
    <s v="B010357B"/>
    <s v="FLINTSL - REFLEX BLUE"/>
    <n v="30"/>
    <n v="0"/>
    <s v="H01357B"/>
    <n v="10"/>
    <n v="0"/>
    <n v="26517000044"/>
    <n v="26519000006"/>
    <m/>
    <m/>
    <m/>
    <m/>
    <m/>
    <m/>
    <n v="10"/>
    <e v="#N/A"/>
    <n v="20"/>
    <e v="#N/A"/>
    <m/>
    <n v="0"/>
    <m/>
    <n v="0"/>
    <m/>
    <n v="0"/>
    <m/>
    <n v="0"/>
    <m/>
    <n v="0"/>
    <m/>
    <n v="0"/>
    <s v="FLINTSL"/>
    <n v="18"/>
    <n v="0"/>
    <n v="83.8"/>
    <n v="0"/>
    <s v="ORANGE"/>
    <s v="F00874O"/>
    <s v="FLINTSL - ORANGE"/>
    <n v="26"/>
    <n v="0"/>
    <m/>
    <m/>
    <n v="0"/>
    <n v="26517000013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4"/>
    <n v="0"/>
    <n v="16.130000000000003"/>
    <n v="0"/>
    <s v="CYAN"/>
    <s v="F00874C"/>
    <s v="FLINTSL - CYAN"/>
    <n v="28"/>
    <n v="0"/>
    <m/>
    <m/>
    <n v="0"/>
    <n v="26519000006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7"/>
    <n v="0"/>
    <n v="9.18"/>
    <n v="0"/>
    <s v="MAGENTA"/>
    <s v="F00874M"/>
    <s v="FLINTSL - MAGENTA"/>
    <n v="29"/>
    <n v="0"/>
    <m/>
    <m/>
    <n v="0"/>
    <n v="26519000004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7"/>
    <n v="0"/>
    <n v="8.18"/>
    <n v="0"/>
    <s v="YELLOW"/>
    <s v="F00874Y"/>
    <s v="FLINTSL - YELLOW"/>
    <n v="30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4"/>
    <n v="0"/>
    <n v="12.769999999999996"/>
    <n v="0"/>
    <s v="WHITE"/>
    <s v="F00874W"/>
    <s v="FLINTSL - WHITE"/>
    <n v="25"/>
    <n v="0"/>
    <m/>
    <m/>
    <n v="0"/>
    <s v="FW"/>
    <m/>
    <m/>
    <m/>
    <m/>
    <m/>
    <m/>
    <m/>
    <n v="110"/>
    <n v="0"/>
    <m/>
    <n v="0"/>
    <m/>
    <n v="0"/>
    <m/>
    <n v="0"/>
    <m/>
    <n v="0"/>
    <m/>
    <n v="0"/>
    <m/>
    <n v="0"/>
    <m/>
    <n v="0"/>
    <s v="FLINTSL"/>
    <n v="30"/>
    <n v="0"/>
    <n v="200.39999999999998"/>
    <n v="0"/>
    <n v="5"/>
    <n v="1"/>
    <n v="20"/>
    <n v="7"/>
    <n v="2"/>
    <n v="2"/>
    <n v="3"/>
    <n v="60"/>
    <n v="0.8"/>
    <n v="0.2"/>
    <m/>
    <m/>
    <m/>
    <n v="0"/>
    <n v="159"/>
    <n v="0"/>
    <n v="0"/>
    <n v="159"/>
    <n v="159"/>
    <n v="127.2"/>
    <n v="0"/>
    <n v="31.8"/>
    <n v="0"/>
    <n v="0"/>
    <n v="0"/>
    <n v="0"/>
    <n v="0"/>
    <n v="0"/>
    <n v="0"/>
    <n v="0"/>
    <n v="0"/>
    <n v="0"/>
    <m/>
    <n v="160"/>
    <n v="347"/>
    <n v="137"/>
    <s v="FLINTSLFLINTSLFLINTSLFLINTSLFLINTSLFLINTSLFLINTSLFLINTSL"/>
    <s v="+"/>
    <s v="+"/>
    <s v="+"/>
    <s v="+"/>
    <s v="+"/>
    <s v="+"/>
    <s v="+"/>
    <s v="+"/>
    <b v="0"/>
  </r>
  <r>
    <d v="2026-01-19T00:00:00"/>
    <s v="A"/>
    <x v="234"/>
    <n v="138"/>
    <n v="379"/>
    <n v="19200"/>
    <s v="I"/>
    <s v="N"/>
    <n v="0.92"/>
    <s v="BLACK"/>
    <s v="N00895B"/>
    <s v="FLINTSL - BLACK"/>
    <n v="30"/>
    <n v="0"/>
    <m/>
    <m/>
    <n v="0"/>
    <n v="26516000033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30"/>
    <n v="0"/>
    <n v="8.7000000000000028"/>
    <n v="0"/>
    <s v="GOLD"/>
    <s v="E01028G"/>
    <s v="FLINTSL - GOLD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9.7000000000000028"/>
    <n v="0"/>
    <s v="RED"/>
    <s v="N00895R"/>
    <s v="FLINTSL - RED"/>
    <n v="32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0"/>
    <n v="7.7000000000000028"/>
    <n v="0"/>
    <s v="REFLEX BLUE"/>
    <m/>
    <s v="FLINTSL - REFLEX BLUE"/>
    <m/>
    <n v="0"/>
    <m/>
    <m/>
    <n v="0"/>
    <n v="26519000001"/>
    <n v="26519000003"/>
    <n v="26519000015"/>
    <m/>
    <m/>
    <m/>
    <m/>
    <m/>
    <n v="40"/>
    <e v="#N/A"/>
    <n v="40"/>
    <e v="#N/A"/>
    <n v="6"/>
    <e v="#N/A"/>
    <m/>
    <n v="0"/>
    <m/>
    <n v="0"/>
    <m/>
    <n v="0"/>
    <m/>
    <n v="0"/>
    <m/>
    <n v="0"/>
    <s v="FLINTSL"/>
    <n v="25"/>
    <n v="0"/>
    <n v="69.55"/>
    <n v="0"/>
    <s v="CYAN"/>
    <s v="N00895C"/>
    <s v="FLINTSL - CYAN"/>
    <n v="26"/>
    <n v="0"/>
    <m/>
    <m/>
    <n v="0"/>
    <n v="2651900001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6"/>
    <n v="0"/>
    <n v="8.7000000000000028"/>
    <n v="0"/>
    <s v="MAGENTA"/>
    <s v="N00895M"/>
    <s v="FLINTSL - MAGENTA"/>
    <n v="26"/>
    <n v="0"/>
    <m/>
    <m/>
    <n v="0"/>
    <n v="26519000004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0"/>
    <n v="0"/>
    <n v="8.5499999999999972"/>
    <n v="0"/>
    <s v="YELLOW"/>
    <s v="N00895Y"/>
    <s v="FLINTSL - YELLOW"/>
    <n v="24"/>
    <n v="0"/>
    <m/>
    <m/>
    <n v="0"/>
    <n v="26518000002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6"/>
    <n v="0"/>
    <n v="20.099999999999994"/>
    <n v="0"/>
    <s v="WHITE"/>
    <s v="N00895W"/>
    <s v="FLINTSL - WHITE"/>
    <n v="30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30"/>
    <n v="0"/>
    <n v="97"/>
    <n v="0"/>
    <n v="2"/>
    <n v="2"/>
    <n v="2"/>
    <n v="3"/>
    <n v="2"/>
    <n v="3"/>
    <n v="6"/>
    <n v="20"/>
    <n v="0.8"/>
    <n v="0.2"/>
    <m/>
    <m/>
    <m/>
    <n v="0"/>
    <n v="114"/>
    <n v="0"/>
    <n v="0"/>
    <n v="114"/>
    <n v="114"/>
    <n v="91.2"/>
    <n v="0"/>
    <n v="22.8"/>
    <n v="0"/>
    <n v="0"/>
    <n v="0"/>
    <n v="0"/>
    <n v="0"/>
    <n v="0"/>
    <n v="0"/>
    <n v="0"/>
    <n v="0"/>
    <n v="0"/>
    <m/>
    <n v="141"/>
    <n v="230"/>
    <n v="138"/>
    <s v="FLINTSLFLINTSLFLINTSLFLINTSLFLINTSLFLINTSLFLINTSLFLINTSL"/>
    <s v="+"/>
    <s v="+"/>
    <s v="+"/>
    <s v="+"/>
    <s v="+"/>
    <s v="+"/>
    <s v="+"/>
    <s v="+"/>
    <b v="0"/>
  </r>
  <r>
    <d v="2026-01-19T00:00:00"/>
    <s v="A"/>
    <x v="235"/>
    <n v="139"/>
    <n v="461"/>
    <n v="25900"/>
    <s v="I"/>
    <s v="N"/>
    <n v="0.92"/>
    <s v="BLACK"/>
    <s v="N00896B"/>
    <s v="FLINTSL - BLACK"/>
    <n v="30"/>
    <n v="0"/>
    <m/>
    <m/>
    <n v="0"/>
    <n v="26516000033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7.4761904761904745"/>
    <n v="0"/>
    <s v="GOLD"/>
    <s v="N00896G"/>
    <s v="FLINTSL - GOLD"/>
    <n v="25"/>
    <n v="0"/>
    <m/>
    <m/>
    <n v="0"/>
    <s v="FSI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30"/>
    <n v="0"/>
    <n v="10.952380952380949"/>
    <n v="0"/>
    <s v="REFLEX BLUE"/>
    <s v="N00896B"/>
    <s v="FLINTSL - REFLEX BLUE"/>
    <n v="25"/>
    <n v="0"/>
    <m/>
    <m/>
    <n v="0"/>
    <n v="26519000007"/>
    <m/>
    <m/>
    <m/>
    <m/>
    <m/>
    <m/>
    <m/>
    <n v="15"/>
    <e v="#N/A"/>
    <m/>
    <n v="0"/>
    <m/>
    <n v="0"/>
    <m/>
    <n v="0"/>
    <m/>
    <n v="0"/>
    <m/>
    <n v="0"/>
    <m/>
    <n v="0"/>
    <m/>
    <n v="0"/>
    <s v="FLINTSL"/>
    <n v="25"/>
    <n v="0"/>
    <n v="28.69047619047619"/>
    <n v="0"/>
    <s v="RED"/>
    <s v="N00896R"/>
    <s v="FLINTSL - RED"/>
    <n v="30"/>
    <n v="0"/>
    <m/>
    <m/>
    <n v="0"/>
    <n v="26519000004"/>
    <n v="26520000008"/>
    <m/>
    <m/>
    <m/>
    <m/>
    <m/>
    <m/>
    <n v="5"/>
    <e v="#N/A"/>
    <n v="3"/>
    <e v="#N/A"/>
    <m/>
    <n v="0"/>
    <m/>
    <n v="0"/>
    <m/>
    <n v="0"/>
    <m/>
    <n v="0"/>
    <m/>
    <n v="0"/>
    <m/>
    <n v="0"/>
    <s v="FLINTSL"/>
    <n v="28"/>
    <n v="0"/>
    <n v="15.476190476190474"/>
    <n v="0"/>
    <s v="CYAN"/>
    <s v="N00896C"/>
    <s v="FLINTSL - CYAN"/>
    <n v="28"/>
    <n v="0"/>
    <m/>
    <m/>
    <n v="0"/>
    <n v="26519000015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9"/>
    <n v="0"/>
    <n v="9.4761904761904745"/>
    <n v="0"/>
    <s v="MAGENTA"/>
    <s v="N00896M"/>
    <s v="FLINTSL - MAGENTA"/>
    <n v="30"/>
    <n v="0"/>
    <m/>
    <m/>
    <n v="0"/>
    <n v="26519000004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9.4761904761904745"/>
    <n v="0"/>
    <s v="YELLOW"/>
    <s v="N00896Y"/>
    <s v="FLINTSL - YELLOW"/>
    <n v="26"/>
    <n v="0"/>
    <m/>
    <m/>
    <n v="0"/>
    <n v="26519000002"/>
    <s v="FMD"/>
    <m/>
    <m/>
    <m/>
    <m/>
    <m/>
    <m/>
    <n v="8"/>
    <e v="#N/A"/>
    <n v="3"/>
    <n v="0"/>
    <m/>
    <n v="0"/>
    <m/>
    <n v="0"/>
    <m/>
    <n v="0"/>
    <m/>
    <n v="0"/>
    <m/>
    <n v="0"/>
    <m/>
    <n v="0"/>
    <s v="FLINTSL"/>
    <n v="27"/>
    <n v="0"/>
    <n v="23.69047619047619"/>
    <n v="0"/>
    <s v="WHITE"/>
    <s v="N00896W"/>
    <s v="FLINTSL - WHITE"/>
    <n v="30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30"/>
    <n v="0"/>
    <n v="94.761904761904759"/>
    <n v="0"/>
    <n v="2"/>
    <n v="4"/>
    <n v="5"/>
    <n v="2"/>
    <n v="2"/>
    <n v="2"/>
    <n v="5"/>
    <n v="20"/>
    <n v="0.8"/>
    <n v="0.2"/>
    <m/>
    <m/>
    <m/>
    <n v="0"/>
    <n v="115"/>
    <n v="0"/>
    <n v="0"/>
    <n v="115"/>
    <n v="115"/>
    <n v="92"/>
    <n v="0"/>
    <n v="23"/>
    <n v="0"/>
    <n v="0"/>
    <n v="0"/>
    <n v="0"/>
    <n v="0"/>
    <n v="0"/>
    <n v="0"/>
    <n v="0"/>
    <n v="0"/>
    <n v="0"/>
    <m/>
    <n v="88"/>
    <n v="200"/>
    <n v="139"/>
    <s v="FLINTSLFLINTSLFLINTSLFLINTSLFLINTSLFLINTSLFLINTSLFLINTSL"/>
    <s v="+"/>
    <s v="+"/>
    <s v="+"/>
    <s v="+"/>
    <s v="+"/>
    <s v="+"/>
    <s v="+"/>
    <s v="+"/>
    <b v="0"/>
  </r>
  <r>
    <d v="2026-01-19T00:00:00"/>
    <s v="A"/>
    <x v="236"/>
    <n v="140"/>
    <n v="316"/>
    <n v="14400"/>
    <s v="II"/>
    <s v="N"/>
    <n v="1.2"/>
    <s v="BLACK"/>
    <s v="F00871B"/>
    <s v="FLINTSL - BLACK"/>
    <n v="27"/>
    <n v="0"/>
    <m/>
    <m/>
    <n v="0"/>
    <n v="26516000033"/>
    <s v="FMD"/>
    <m/>
    <m/>
    <m/>
    <m/>
    <m/>
    <m/>
    <n v="3"/>
    <e v="#N/A"/>
    <n v="2"/>
    <n v="0"/>
    <m/>
    <n v="0"/>
    <m/>
    <n v="0"/>
    <m/>
    <n v="0"/>
    <m/>
    <n v="0"/>
    <m/>
    <n v="0"/>
    <m/>
    <n v="0"/>
    <s v="FLINTSL"/>
    <n v="26"/>
    <n v="0"/>
    <n v="8.794117647058826"/>
    <n v="0"/>
    <s v="RED"/>
    <s v="F00871R"/>
    <s v="FLINTSL - RED"/>
    <n v="26"/>
    <n v="0"/>
    <m/>
    <m/>
    <n v="0"/>
    <n v="26520000008"/>
    <n v="26519000029"/>
    <n v="26519000004"/>
    <m/>
    <m/>
    <m/>
    <m/>
    <m/>
    <n v="2"/>
    <e v="#N/A"/>
    <n v="7"/>
    <e v="#N/A"/>
    <n v="2"/>
    <e v="#N/A"/>
    <m/>
    <n v="0"/>
    <m/>
    <n v="0"/>
    <m/>
    <n v="0"/>
    <m/>
    <n v="0"/>
    <m/>
    <n v="0"/>
    <s v="FLINTSL"/>
    <n v="30"/>
    <n v="0"/>
    <n v="13.985294117647058"/>
    <n v="0"/>
    <s v="GREEN"/>
    <s v="F01015G"/>
    <s v="FLINTSL - GREEN"/>
    <n v="20"/>
    <n v="0"/>
    <m/>
    <m/>
    <n v="0"/>
    <n v="26518000001"/>
    <n v="26519000006"/>
    <m/>
    <m/>
    <m/>
    <m/>
    <m/>
    <m/>
    <n v="6"/>
    <e v="#N/A"/>
    <n v="2"/>
    <e v="#N/A"/>
    <m/>
    <n v="0"/>
    <m/>
    <n v="0"/>
    <m/>
    <n v="0"/>
    <m/>
    <n v="0"/>
    <m/>
    <n v="0"/>
    <m/>
    <n v="0"/>
    <s v="FLINTSL"/>
    <n v="18"/>
    <n v="0"/>
    <n v="16.985294117647058"/>
    <n v="0"/>
    <s v="GREEN"/>
    <s v="F00877G"/>
    <s v="FLINTSL - GREEN"/>
    <n v="20"/>
    <n v="0"/>
    <m/>
    <m/>
    <n v="0"/>
    <n v="26519000002"/>
    <n v="26516000021"/>
    <m/>
    <m/>
    <m/>
    <m/>
    <m/>
    <m/>
    <n v="2"/>
    <e v="#N/A"/>
    <n v="4"/>
    <e v="#N/A"/>
    <m/>
    <n v="0"/>
    <m/>
    <n v="0"/>
    <m/>
    <n v="0"/>
    <m/>
    <n v="0"/>
    <m/>
    <n v="0"/>
    <m/>
    <n v="0"/>
    <s v="FLINTSL"/>
    <n v="19"/>
    <n v="0"/>
    <n v="13.985294117647058"/>
    <n v="0"/>
    <s v="CYAN"/>
    <s v="F00871C"/>
    <s v="FLINTSL - CYAN"/>
    <n v="27"/>
    <n v="0"/>
    <m/>
    <m/>
    <n v="0"/>
    <n v="2651900001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1.7941176470588225"/>
    <n v="0"/>
    <s v="MAGENTA"/>
    <s v="F00871M"/>
    <s v="FLINTSL - MAGENTA"/>
    <n v="27"/>
    <n v="0"/>
    <m/>
    <m/>
    <n v="0"/>
    <n v="26519000004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3.7941176470588225"/>
    <n v="0"/>
    <s v="YELLOW"/>
    <s v="F00871Y"/>
    <s v="FLINTSL - YELLOW"/>
    <n v="24"/>
    <n v="0"/>
    <m/>
    <m/>
    <n v="0"/>
    <n v="26519000002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9"/>
    <n v="0"/>
    <n v="10.779411764705884"/>
    <n v="0"/>
    <s v="WHITE"/>
    <s v="F00871W"/>
    <s v="FLINTSL - WHITE"/>
    <n v="30"/>
    <n v="0"/>
    <m/>
    <m/>
    <n v="0"/>
    <s v="FW"/>
    <m/>
    <m/>
    <m/>
    <m/>
    <m/>
    <m/>
    <m/>
    <n v="75"/>
    <n v="0"/>
    <m/>
    <n v="0"/>
    <m/>
    <n v="0"/>
    <m/>
    <n v="0"/>
    <m/>
    <n v="0"/>
    <m/>
    <n v="0"/>
    <m/>
    <n v="0"/>
    <m/>
    <n v="0"/>
    <s v="FLINTSL"/>
    <n v="24"/>
    <n v="0"/>
    <n v="136.88235294117646"/>
    <n v="0"/>
    <n v="2"/>
    <n v="5"/>
    <n v="5"/>
    <n v="5"/>
    <n v="2"/>
    <n v="2"/>
    <n v="7"/>
    <n v="40"/>
    <n v="0.8"/>
    <n v="0.2"/>
    <m/>
    <m/>
    <m/>
    <n v="0"/>
    <n v="95"/>
    <n v="0"/>
    <n v="0"/>
    <n v="95"/>
    <n v="95"/>
    <n v="76"/>
    <n v="0"/>
    <n v="19"/>
    <n v="0"/>
    <n v="0"/>
    <n v="0"/>
    <n v="0"/>
    <n v="0"/>
    <n v="0"/>
    <n v="0"/>
    <n v="0"/>
    <n v="0"/>
    <n v="0"/>
    <m/>
    <n v="115"/>
    <n v="207"/>
    <n v="140"/>
    <s v="FLINTSLFLINTSLFLINTSLFLINTSLFLINTSLFLINTSLFLINTSLFLINTSL"/>
    <s v="+"/>
    <s v="+"/>
    <s v="+"/>
    <s v="+"/>
    <s v="+"/>
    <s v="+"/>
    <s v="+"/>
    <s v="+"/>
    <b v="0"/>
  </r>
  <r>
    <d v="2026-01-19T00:00:00"/>
    <s v="A"/>
    <x v="237"/>
    <n v="141"/>
    <n v="541"/>
    <n v="31600"/>
    <s v="I"/>
    <s v="N"/>
    <n v="1.7"/>
    <s v="BLACK"/>
    <s v="N00893B"/>
    <s v="FLINTSL - BLACK"/>
    <n v="30"/>
    <n v="0"/>
    <m/>
    <m/>
    <n v="0"/>
    <n v="2651700004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13.918367346938773"/>
    <n v="0"/>
    <s v="RED"/>
    <s v="N00893R"/>
    <s v="FLINTSL - RED"/>
    <n v="28"/>
    <n v="0"/>
    <m/>
    <m/>
    <n v="0"/>
    <n v="26520000011"/>
    <n v="26520000008"/>
    <m/>
    <m/>
    <m/>
    <m/>
    <m/>
    <m/>
    <n v="1"/>
    <e v="#N/A"/>
    <n v="1"/>
    <e v="#N/A"/>
    <m/>
    <n v="0"/>
    <m/>
    <n v="0"/>
    <m/>
    <n v="0"/>
    <m/>
    <n v="0"/>
    <m/>
    <n v="0"/>
    <m/>
    <n v="0"/>
    <s v="FLINTSL"/>
    <n v="27"/>
    <n v="0"/>
    <n v="3"/>
    <n v="0"/>
    <s v="REFLEX BLUE"/>
    <m/>
    <s v="FLINTSL - REFLEX BLUE"/>
    <m/>
    <n v="0"/>
    <m/>
    <m/>
    <n v="0"/>
    <n v="26519000022"/>
    <n v="26519000023"/>
    <n v="26519000020"/>
    <n v="26519000019"/>
    <m/>
    <m/>
    <m/>
    <m/>
    <n v="30"/>
    <e v="#N/A"/>
    <n v="40"/>
    <e v="#N/A"/>
    <n v="20"/>
    <e v="#N/A"/>
    <n v="20"/>
    <e v="#N/A"/>
    <m/>
    <n v="0"/>
    <m/>
    <n v="0"/>
    <m/>
    <n v="0"/>
    <m/>
    <n v="0"/>
    <s v="FLINTSL"/>
    <n v="15"/>
    <n v="0"/>
    <n v="128.0612244897959"/>
    <n v="0"/>
    <s v="CYAN"/>
    <s v="N00893C"/>
    <s v="FLINTSL - CYAN"/>
    <n v="29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8"/>
    <n v="0"/>
    <n v="12.612244897959187"/>
    <n v="0"/>
    <s v="MAGENTA"/>
    <s v="N00893M"/>
    <s v="FLINTSL - MAGENTA"/>
    <n v="28"/>
    <n v="0"/>
    <m/>
    <m/>
    <n v="0"/>
    <n v="2651900002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9.6122448979591866"/>
    <n v="0"/>
    <s v="YELLOW"/>
    <s v="N00893Y"/>
    <s v="FLINTSL - YELLOW"/>
    <n v="27"/>
    <n v="0"/>
    <m/>
    <m/>
    <n v="0"/>
    <n v="26519000002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6"/>
    <n v="0"/>
    <n v="12.612244897959187"/>
    <n v="0"/>
    <s v="WHITE"/>
    <s v="N00893W"/>
    <s v="FLINTSL - WHITE"/>
    <n v="3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159.1836734693877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0"/>
    <n v="10"/>
    <n v="2"/>
    <n v="2"/>
    <n v="2"/>
    <n v="30"/>
    <n v="0"/>
    <n v="0.8"/>
    <n v="0.2"/>
    <m/>
    <m/>
    <m/>
    <n v="0"/>
    <n v="162"/>
    <n v="0"/>
    <n v="0"/>
    <n v="162"/>
    <n v="162"/>
    <n v="129.6"/>
    <n v="0"/>
    <n v="32.4"/>
    <n v="0"/>
    <n v="0"/>
    <n v="0"/>
    <n v="0"/>
    <n v="0"/>
    <n v="0"/>
    <n v="0"/>
    <n v="0"/>
    <n v="0"/>
    <n v="0"/>
    <m/>
    <n v="186"/>
    <n v="339"/>
    <n v="141"/>
    <s v="FLINTSLFLINTSLFLINTSLFLINTSLFLINTSLFLINTSLFLINTSL"/>
    <s v="+"/>
    <s v="+"/>
    <s v="+"/>
    <s v="+"/>
    <s v="+"/>
    <s v="+"/>
    <s v="+"/>
    <s v="NIL"/>
    <b v="0"/>
  </r>
  <r>
    <d v="2026-01-19T00:00:00"/>
    <s v="A"/>
    <x v="238"/>
    <n v="142"/>
    <n v="531"/>
    <n v="25100"/>
    <s v="II"/>
    <s v="N"/>
    <n v="2.1800000000000002"/>
    <s v="BLACK"/>
    <s v="P00465B"/>
    <s v="FLINTSL - BLACK"/>
    <n v="26"/>
    <n v="0"/>
    <m/>
    <m/>
    <n v="0"/>
    <n v="26516000019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9"/>
    <n v="0"/>
    <n v="10.117647058823529"/>
    <n v="0"/>
    <s v="RED"/>
    <s v="P00465R"/>
    <s v="FLINTSL - RED"/>
    <n v="30"/>
    <n v="0"/>
    <m/>
    <m/>
    <n v="0"/>
    <n v="26520000008"/>
    <n v="26519000021"/>
    <n v="26519000002"/>
    <m/>
    <m/>
    <m/>
    <m/>
    <m/>
    <n v="6"/>
    <e v="#N/A"/>
    <n v="6"/>
    <e v="#N/A"/>
    <n v="10"/>
    <e v="#N/A"/>
    <m/>
    <n v="0"/>
    <m/>
    <n v="0"/>
    <m/>
    <n v="0"/>
    <m/>
    <n v="0"/>
    <m/>
    <n v="0"/>
    <s v="FLINTSL"/>
    <n v="26"/>
    <n v="0"/>
    <n v="35.117647058823529"/>
    <n v="0"/>
    <s v="GREEN"/>
    <s v="C01410G"/>
    <s v="FLINTSL - GREEN"/>
    <n v="30"/>
    <n v="0"/>
    <m/>
    <m/>
    <n v="0"/>
    <n v="26519000012"/>
    <n v="26517000041"/>
    <m/>
    <m/>
    <m/>
    <m/>
    <m/>
    <m/>
    <n v="60"/>
    <e v="#N/A"/>
    <n v="4"/>
    <e v="#N/A"/>
    <m/>
    <n v="0"/>
    <m/>
    <n v="0"/>
    <m/>
    <n v="0"/>
    <m/>
    <n v="0"/>
    <m/>
    <n v="0"/>
    <m/>
    <n v="0"/>
    <s v="FLINTSL"/>
    <n v="34"/>
    <n v="0"/>
    <n v="96.470588235294116"/>
    <n v="0"/>
    <s v="CYAN"/>
    <s v="P00465C"/>
    <s v="FLINTSL - CYAN"/>
    <n v="30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30"/>
    <n v="0"/>
    <n v="15.117647058823529"/>
    <n v="0"/>
    <s v="MAGENTA"/>
    <s v="P00465M"/>
    <s v="FLINTSL - MAGENTA"/>
    <n v="28"/>
    <n v="0"/>
    <m/>
    <m/>
    <n v="0"/>
    <n v="2651900002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1"/>
    <n v="0"/>
    <n v="10.117647058823529"/>
    <n v="0"/>
    <s v="YELLOW"/>
    <s v="P00465Y"/>
    <s v="FLINTSL - YELLOW"/>
    <n v="29"/>
    <n v="0"/>
    <m/>
    <m/>
    <n v="0"/>
    <n v="26519000002"/>
    <s v="FMD"/>
    <m/>
    <m/>
    <m/>
    <m/>
    <m/>
    <m/>
    <n v="9"/>
    <e v="#N/A"/>
    <n v="6"/>
    <n v="0"/>
    <m/>
    <n v="0"/>
    <m/>
    <n v="0"/>
    <m/>
    <n v="0"/>
    <m/>
    <n v="0"/>
    <m/>
    <n v="0"/>
    <m/>
    <n v="0"/>
    <s v="FLINTSL"/>
    <n v="30"/>
    <n v="0"/>
    <n v="17.647058823529413"/>
    <n v="0"/>
    <s v="WHITE"/>
    <s v="P00465W"/>
    <s v="FLINTSL - WHITE"/>
    <n v="24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24"/>
    <n v="0"/>
    <n v="209.4117647058823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20"/>
    <n v="5"/>
    <n v="5"/>
    <n v="2"/>
    <n v="60"/>
    <n v="0"/>
    <n v="0.8"/>
    <n v="0.2"/>
    <m/>
    <m/>
    <m/>
    <n v="0"/>
    <n v="186"/>
    <n v="0"/>
    <n v="0"/>
    <n v="186"/>
    <n v="186"/>
    <n v="148.80000000000001"/>
    <n v="0"/>
    <n v="37.200000000000003"/>
    <n v="0"/>
    <n v="0"/>
    <n v="0"/>
    <n v="0"/>
    <n v="0"/>
    <n v="0"/>
    <n v="0"/>
    <n v="0"/>
    <n v="0"/>
    <n v="0"/>
    <m/>
    <n v="215"/>
    <n v="394"/>
    <n v="142"/>
    <s v="FLINTSLFLINTSLFLINTSLFLINTSLFLINTSLFLINTSLFLINTSL"/>
    <s v="+"/>
    <s v="+"/>
    <s v="+"/>
    <s v="+"/>
    <s v="+"/>
    <s v="+"/>
    <s v="+"/>
    <s v="NIL"/>
    <b v="0"/>
  </r>
  <r>
    <d v="2026-01-19T00:00:00"/>
    <s v="A"/>
    <x v="239"/>
    <n v="143"/>
    <n v="539"/>
    <n v="31500"/>
    <s v="I"/>
    <s v="N"/>
    <n v="1.84"/>
    <s v="BLACK"/>
    <s v="F00869B"/>
    <s v="FLINTSL - BLACK"/>
    <n v="28"/>
    <n v="0"/>
    <m/>
    <m/>
    <n v="0"/>
    <n v="26517000044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7"/>
    <n v="0"/>
    <n v="9.178082191780824"/>
    <n v="0"/>
    <s v="GREEN"/>
    <s v="N00895G"/>
    <s v="FLINTSL - GREEN"/>
    <n v="30"/>
    <n v="0"/>
    <s v="C01446G/C01410G"/>
    <n v="59"/>
    <n v="0"/>
    <n v="26519000017"/>
    <n v="26517000044"/>
    <n v="26519000032"/>
    <m/>
    <m/>
    <m/>
    <m/>
    <m/>
    <n v="2"/>
    <e v="#N/A"/>
    <n v="1"/>
    <e v="#N/A"/>
    <n v="40"/>
    <e v="#N/A"/>
    <m/>
    <n v="0"/>
    <m/>
    <n v="0"/>
    <m/>
    <n v="0"/>
    <m/>
    <n v="0"/>
    <m/>
    <n v="0"/>
    <s v="FLINTSL"/>
    <n v="32"/>
    <n v="0"/>
    <n v="105.17808219178082"/>
    <n v="0"/>
    <s v="RED"/>
    <s v="F00869R"/>
    <s v="FLINTSL - RED"/>
    <n v="27"/>
    <n v="0"/>
    <m/>
    <m/>
    <n v="0"/>
    <n v="2651900002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9.178082191780824"/>
    <n v="0"/>
    <s v="CYAN"/>
    <s v="F00869C"/>
    <s v="FLINTSL - CYAN"/>
    <n v="28"/>
    <n v="0"/>
    <m/>
    <m/>
    <n v="0"/>
    <n v="2651900001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7.178082191780824"/>
    <n v="0"/>
    <s v="MAGENTA"/>
    <s v="F00869M"/>
    <s v="FLINTSL - MAGENTA"/>
    <n v="27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8"/>
    <n v="0"/>
    <n v="10.767123287671232"/>
    <n v="0"/>
    <s v="YELLOW"/>
    <s v="F00869Y"/>
    <s v="FLINTSL - YELLOW"/>
    <n v="26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8"/>
    <n v="0"/>
    <n v="6.178082191780824"/>
    <n v="0"/>
    <s v="WHITE"/>
    <s v="F00869W"/>
    <s v="FLINTSL - WHITE"/>
    <n v="30"/>
    <n v="0"/>
    <m/>
    <m/>
    <n v="0"/>
    <s v="FW"/>
    <m/>
    <m/>
    <m/>
    <m/>
    <m/>
    <m/>
    <m/>
    <n v="120"/>
    <n v="0"/>
    <m/>
    <n v="0"/>
    <m/>
    <n v="0"/>
    <m/>
    <n v="0"/>
    <m/>
    <n v="0"/>
    <m/>
    <n v="0"/>
    <m/>
    <n v="0"/>
    <m/>
    <n v="0"/>
    <s v="FLINTSL"/>
    <n v="30"/>
    <n v="0"/>
    <n v="275.3424657534246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2"/>
    <n v="3"/>
    <n v="2"/>
    <n v="60"/>
    <n v="0"/>
    <n v="0.8"/>
    <n v="0.2"/>
    <m/>
    <m/>
    <m/>
    <n v="0"/>
    <n v="189"/>
    <n v="0"/>
    <n v="0"/>
    <n v="189"/>
    <n v="189"/>
    <n v="151.20000000000002"/>
    <n v="0"/>
    <n v="37.800000000000004"/>
    <n v="0"/>
    <n v="0"/>
    <n v="0"/>
    <n v="0"/>
    <n v="0"/>
    <n v="0"/>
    <n v="0"/>
    <n v="0"/>
    <n v="0"/>
    <n v="0"/>
    <m/>
    <n v="177"/>
    <n v="423"/>
    <n v="143"/>
    <s v="FLINTSLFLINTSLFLINTSLFLINTSLFLINTSLFLINTSLFLINTSL"/>
    <s v="+"/>
    <s v="+"/>
    <s v="+"/>
    <s v="+"/>
    <s v="+"/>
    <s v="+"/>
    <s v="+"/>
    <s v="NIL"/>
    <b v="0"/>
  </r>
  <r>
    <d v="2026-01-19T00:00:00"/>
    <s v="A"/>
    <x v="240"/>
    <n v="144"/>
    <n v="687"/>
    <n v="16200"/>
    <s v="II"/>
    <s v="N"/>
    <n v="1.9"/>
    <s v="BLACK"/>
    <s v="F00868B"/>
    <s v="FLINTSL - BLACK"/>
    <n v="29"/>
    <n v="0"/>
    <m/>
    <m/>
    <n v="0"/>
    <n v="2651700004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8"/>
    <n v="0"/>
    <n v="18.700000000000003"/>
    <n v="0"/>
    <s v="REFLEX BLUE"/>
    <m/>
    <s v="FLINTSL - REFLEX BLUE"/>
    <m/>
    <n v="0"/>
    <m/>
    <m/>
    <n v="0"/>
    <n v="26519000014"/>
    <n v="26519000033"/>
    <m/>
    <m/>
    <m/>
    <m/>
    <m/>
    <m/>
    <n v="7"/>
    <e v="#N/A"/>
    <n v="11"/>
    <e v="#N/A"/>
    <m/>
    <n v="0"/>
    <m/>
    <n v="0"/>
    <m/>
    <n v="0"/>
    <m/>
    <n v="0"/>
    <m/>
    <n v="0"/>
    <m/>
    <n v="0"/>
    <s v="FLINTSL"/>
    <n v="21"/>
    <n v="0"/>
    <n v="18.920000000000002"/>
    <n v="0"/>
    <s v="ORANGE"/>
    <m/>
    <s v="FLINTSL - ORANGE"/>
    <m/>
    <n v="0"/>
    <m/>
    <m/>
    <n v="0"/>
    <n v="26519000031"/>
    <n v="26519000030"/>
    <s v="FMD"/>
    <n v="26519000021"/>
    <m/>
    <m/>
    <m/>
    <m/>
    <n v="18"/>
    <e v="#N/A"/>
    <n v="35"/>
    <e v="#N/A"/>
    <n v="10"/>
    <n v="0"/>
    <n v="2"/>
    <e v="#N/A"/>
    <m/>
    <n v="0"/>
    <m/>
    <n v="0"/>
    <m/>
    <n v="0"/>
    <m/>
    <n v="0"/>
    <s v="FLINTSL"/>
    <n v="25"/>
    <n v="0"/>
    <n v="67.400000000000006"/>
    <n v="0"/>
    <s v="CYAN"/>
    <s v="F00868C"/>
    <s v="FLINTSL - CYAN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7.480000000000004"/>
    <n v="0"/>
    <s v="MAGENTA"/>
    <s v="F00868M"/>
    <s v="FLINTSL - MAGENTA"/>
    <n v="31"/>
    <n v="0"/>
    <m/>
    <m/>
    <n v="0"/>
    <n v="26519000021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30"/>
    <n v="0"/>
    <n v="9.480000000000004"/>
    <n v="0"/>
    <s v="YELLOW"/>
    <s v="F00868Y"/>
    <s v="FLINTSL - YELLOW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10.480000000000004"/>
    <n v="0"/>
    <s v="WHITE"/>
    <s v="F00868W"/>
    <s v="FLINTSL - WHITE"/>
    <n v="24"/>
    <n v="0"/>
    <m/>
    <m/>
    <n v="0"/>
    <s v="FW"/>
    <m/>
    <m/>
    <m/>
    <m/>
    <m/>
    <m/>
    <m/>
    <n v="45"/>
    <n v="0"/>
    <m/>
    <n v="0"/>
    <m/>
    <n v="0"/>
    <m/>
    <n v="0"/>
    <m/>
    <n v="0"/>
    <m/>
    <n v="0"/>
    <m/>
    <n v="0"/>
    <m/>
    <n v="0"/>
    <s v="FLINTSL"/>
    <n v="30"/>
    <n v="0"/>
    <n v="88.32"/>
    <n v="0"/>
    <s v="GREEN"/>
    <s v="P00465G"/>
    <s v="FLINTSL - GREEN"/>
    <n v="18"/>
    <n v="0"/>
    <m/>
    <m/>
    <n v="0"/>
    <n v="2651900001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16"/>
    <n v="0"/>
    <n v="14.219999999999999"/>
    <n v="0"/>
    <n v="5"/>
    <n v="8"/>
    <n v="10"/>
    <n v="2"/>
    <n v="2"/>
    <n v="2"/>
    <n v="18"/>
    <n v="3"/>
    <n v="0.8"/>
    <n v="0.2"/>
    <m/>
    <m/>
    <m/>
    <n v="0"/>
    <n v="137"/>
    <n v="0"/>
    <n v="0"/>
    <n v="137"/>
    <n v="137"/>
    <n v="109.60000000000001"/>
    <n v="0"/>
    <n v="27.400000000000002"/>
    <n v="0"/>
    <n v="0"/>
    <n v="0"/>
    <n v="0"/>
    <n v="0"/>
    <n v="0"/>
    <n v="0"/>
    <n v="0"/>
    <n v="0"/>
    <n v="0"/>
    <m/>
    <n v="139"/>
    <n v="235.00000000000003"/>
    <n v="144"/>
    <s v="FLINTSLFLINTSLFLINTSLFLINTSLFLINTSLFLINTSLFLINTSLFLINTSL"/>
    <s v="+"/>
    <s v="+"/>
    <s v="+"/>
    <s v="+"/>
    <s v="+"/>
    <s v="+"/>
    <s v="+"/>
    <s v="+"/>
    <b v="0"/>
  </r>
  <r>
    <d v="2026-01-19T00:00:00"/>
    <s v="B"/>
    <x v="241"/>
    <n v="145"/>
    <n v="473"/>
    <n v="23300"/>
    <s v="II"/>
    <s v="N"/>
    <n v="1.2"/>
    <s v="BLACK"/>
    <s v="N00948B"/>
    <s v="FLINTSL - BLACK"/>
    <n v="28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9"/>
    <n v="0"/>
    <n v="10.344827586206897"/>
    <n v="0"/>
    <s v="BLACK"/>
    <s v="E01024B"/>
    <s v="FLINTSL - BLACK"/>
    <n v="16"/>
    <n v="0"/>
    <s v="N00834B"/>
    <n v="15"/>
    <n v="0"/>
    <n v="26517000044"/>
    <n v="26519000021"/>
    <n v="26519000017"/>
    <m/>
    <m/>
    <m/>
    <m/>
    <m/>
    <n v="3"/>
    <e v="#N/A"/>
    <n v="2"/>
    <e v="#N/A"/>
    <n v="7"/>
    <e v="#N/A"/>
    <m/>
    <n v="0"/>
    <m/>
    <n v="0"/>
    <m/>
    <n v="0"/>
    <m/>
    <n v="0"/>
    <m/>
    <n v="0"/>
    <s v="FLINTSL"/>
    <n v="28"/>
    <n v="0"/>
    <n v="24.793103448275858"/>
    <n v="0"/>
    <s v="REFLEX BLUE"/>
    <s v="H01356P"/>
    <s v="FLINTSL - REFLEX BLUE"/>
    <n v="35"/>
    <n v="0"/>
    <s v="F00869P"/>
    <n v="15"/>
    <n v="0"/>
    <n v="26519000033"/>
    <n v="26519000021"/>
    <n v="26519000021"/>
    <n v="26519000007"/>
    <m/>
    <m/>
    <m/>
    <m/>
    <n v="10"/>
    <e v="#N/A"/>
    <n v="6"/>
    <e v="#N/A"/>
    <n v="5"/>
    <e v="#N/A"/>
    <n v="5"/>
    <e v="#N/A"/>
    <m/>
    <n v="0"/>
    <m/>
    <n v="0"/>
    <m/>
    <n v="0"/>
    <m/>
    <n v="0"/>
    <s v="FLINTSL"/>
    <n v="27"/>
    <n v="0"/>
    <n v="61.241379310344826"/>
    <n v="0"/>
    <s v="CYAN"/>
    <s v="N00948C"/>
    <s v="FLINTSL - CYAN"/>
    <n v="28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9"/>
    <n v="0"/>
    <n v="12.793103448275858"/>
    <n v="0"/>
    <s v="MAGENTA"/>
    <s v="N00948M"/>
    <s v="FLINTSL - MAGENTA"/>
    <n v="30"/>
    <n v="0"/>
    <m/>
    <m/>
    <n v="0"/>
    <n v="26519000021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9.8965517241379288"/>
    <n v="0"/>
    <s v="YELLOW"/>
    <s v="N00948Y"/>
    <s v="FLINTSL - YELLOW"/>
    <n v="25"/>
    <n v="0"/>
    <m/>
    <m/>
    <n v="0"/>
    <n v="26519000017"/>
    <s v="FMD"/>
    <m/>
    <m/>
    <m/>
    <m/>
    <m/>
    <m/>
    <n v="7"/>
    <e v="#N/A"/>
    <n v="4"/>
    <n v="0"/>
    <m/>
    <n v="0"/>
    <m/>
    <n v="0"/>
    <m/>
    <n v="0"/>
    <m/>
    <n v="0"/>
    <m/>
    <n v="0"/>
    <m/>
    <n v="0"/>
    <s v="FLINTSL"/>
    <n v="30"/>
    <n v="0"/>
    <n v="18.241379310344826"/>
    <n v="0"/>
    <s v="ORANGE"/>
    <s v="N00948O"/>
    <s v="FLINTSL - ORANGE"/>
    <n v="25"/>
    <n v="0"/>
    <m/>
    <m/>
    <n v="0"/>
    <n v="26520000008"/>
    <n v="26519000021"/>
    <m/>
    <m/>
    <m/>
    <m/>
    <m/>
    <m/>
    <n v="5"/>
    <e v="#N/A"/>
    <n v="3"/>
    <e v="#N/A"/>
    <m/>
    <n v="0"/>
    <m/>
    <n v="0"/>
    <m/>
    <n v="0"/>
    <m/>
    <n v="0"/>
    <m/>
    <n v="0"/>
    <m/>
    <n v="0"/>
    <s v="FLINTSL"/>
    <n v="25"/>
    <n v="0"/>
    <n v="20.241379310344826"/>
    <n v="0"/>
    <s v="WHITE"/>
    <s v="N00948W"/>
    <s v="FLINTSL - WHITE"/>
    <n v="3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30"/>
    <n v="0"/>
    <n v="123.44827586206895"/>
    <n v="0"/>
    <n v="3"/>
    <n v="4"/>
    <n v="5"/>
    <n v="4"/>
    <n v="2"/>
    <n v="5"/>
    <n v="5"/>
    <n v="30"/>
    <n v="0.8"/>
    <n v="0.2"/>
    <m/>
    <m/>
    <m/>
    <n v="0"/>
    <n v="142"/>
    <n v="0"/>
    <n v="0"/>
    <n v="142"/>
    <n v="142"/>
    <n v="113.60000000000001"/>
    <n v="0"/>
    <n v="28.400000000000002"/>
    <n v="0"/>
    <n v="0"/>
    <n v="0"/>
    <n v="0"/>
    <n v="0"/>
    <n v="0"/>
    <n v="0"/>
    <n v="0"/>
    <n v="0"/>
    <n v="0"/>
    <m/>
    <n v="120"/>
    <n v="281"/>
    <n v="145"/>
    <s v="FLINTSLFLINTSLFLINTSLFLINTSLFLINTSLFLINTSLFLINTSLFLINTSL"/>
    <s v="+"/>
    <s v="+"/>
    <s v="+"/>
    <s v="+"/>
    <s v="+"/>
    <s v="+"/>
    <s v="+"/>
    <s v="+"/>
    <b v="0"/>
  </r>
  <r>
    <d v="2026-01-19T00:00:00"/>
    <s v="B"/>
    <x v="242"/>
    <n v="146"/>
    <n v="538"/>
    <n v="31400"/>
    <s v="I"/>
    <s v="N"/>
    <n v="1.95"/>
    <s v="BLACK"/>
    <s v="F00873B"/>
    <s v="FLINTSL - BLACK"/>
    <n v="27"/>
    <n v="0"/>
    <m/>
    <m/>
    <n v="0"/>
    <n v="26519000016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30"/>
    <n v="0"/>
    <n v="32.405405405405403"/>
    <n v="0"/>
    <s v="RED"/>
    <s v="F00873R"/>
    <s v="FLINTSL - RED"/>
    <n v="10"/>
    <n v="0"/>
    <m/>
    <m/>
    <n v="0"/>
    <n v="26520000008"/>
    <n v="26520000011"/>
    <m/>
    <m/>
    <m/>
    <m/>
    <m/>
    <m/>
    <n v="3"/>
    <e v="#N/A"/>
    <n v="8"/>
    <e v="#N/A"/>
    <m/>
    <n v="0"/>
    <m/>
    <n v="0"/>
    <m/>
    <n v="0"/>
    <m/>
    <n v="0"/>
    <m/>
    <n v="0"/>
    <m/>
    <n v="0"/>
    <s v="FLINTSL"/>
    <n v="25"/>
    <n v="0"/>
    <n v="13.78378378378379"/>
    <n v="0"/>
    <s v="GREEN"/>
    <m/>
    <s v="FLINTSL - GREEN"/>
    <m/>
    <n v="0"/>
    <m/>
    <m/>
    <n v="0"/>
    <n v="26519000035"/>
    <n v="26519000037"/>
    <n v="26520000002"/>
    <n v="26519000017"/>
    <m/>
    <m/>
    <m/>
    <m/>
    <n v="40"/>
    <e v="#N/A"/>
    <n v="40"/>
    <e v="#N/A"/>
    <n v="20"/>
    <e v="#N/A"/>
    <n v="20"/>
    <e v="#N/A"/>
    <m/>
    <n v="0"/>
    <m/>
    <n v="0"/>
    <m/>
    <n v="0"/>
    <m/>
    <n v="0"/>
    <s v="FLINTSL"/>
    <n v="20"/>
    <n v="0"/>
    <n v="112.70270270270271"/>
    <n v="0"/>
    <s v="CYAN"/>
    <s v="F00873C"/>
    <s v="FLINTSL - CYAN"/>
    <n v="28"/>
    <n v="0"/>
    <m/>
    <m/>
    <n v="0"/>
    <n v="26520000003"/>
    <m/>
    <m/>
    <m/>
    <m/>
    <m/>
    <m/>
    <m/>
    <n v="15"/>
    <e v="#N/A"/>
    <m/>
    <n v="0"/>
    <m/>
    <n v="0"/>
    <m/>
    <n v="0"/>
    <m/>
    <n v="0"/>
    <m/>
    <n v="0"/>
    <m/>
    <n v="0"/>
    <m/>
    <n v="0"/>
    <s v="FLINTSL"/>
    <n v="25"/>
    <n v="0"/>
    <n v="23.081081081081081"/>
    <n v="0"/>
    <s v="MAGENTA"/>
    <s v="F00873M"/>
    <s v="FLINTSL - MAGENTA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8.0810810810810807"/>
    <n v="0"/>
    <s v="YELLOW"/>
    <s v="F00873Y"/>
    <s v="FLINTSL - YELLOW"/>
    <n v="28"/>
    <n v="0"/>
    <m/>
    <m/>
    <n v="0"/>
    <n v="26519000024"/>
    <m/>
    <m/>
    <m/>
    <m/>
    <m/>
    <m/>
    <m/>
    <n v="7"/>
    <e v="#N/A"/>
    <m/>
    <n v="0"/>
    <m/>
    <n v="0"/>
    <m/>
    <n v="0"/>
    <m/>
    <n v="0"/>
    <m/>
    <n v="0"/>
    <m/>
    <n v="0"/>
    <m/>
    <n v="0"/>
    <s v="FLINTSL"/>
    <n v="30"/>
    <n v="0"/>
    <n v="12.621621621621621"/>
    <n v="0"/>
    <s v="WHITE"/>
    <s v="F00873W"/>
    <s v="FLINTSL - WHITE"/>
    <n v="30"/>
    <n v="0"/>
    <m/>
    <m/>
    <n v="0"/>
    <s v="FW"/>
    <m/>
    <m/>
    <m/>
    <m/>
    <m/>
    <m/>
    <m/>
    <n v="90"/>
    <n v="0"/>
    <m/>
    <n v="0"/>
    <m/>
    <n v="0"/>
    <m/>
    <n v="0"/>
    <m/>
    <n v="0"/>
    <m/>
    <n v="0"/>
    <m/>
    <n v="0"/>
    <m/>
    <n v="0"/>
    <s v="FLINTSL"/>
    <n v="20"/>
    <n v="0"/>
    <n v="214.3243243243243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7"/>
    <n v="5"/>
    <n v="2"/>
    <n v="2"/>
    <n v="3"/>
    <n v="45"/>
    <n v="0"/>
    <n v="0.8"/>
    <n v="0.2"/>
    <m/>
    <m/>
    <m/>
    <n v="0"/>
    <n v="188"/>
    <n v="0"/>
    <n v="0"/>
    <n v="188"/>
    <n v="188"/>
    <n v="150.4"/>
    <n v="0"/>
    <n v="37.6"/>
    <n v="0"/>
    <n v="0"/>
    <n v="0"/>
    <n v="0"/>
    <n v="0"/>
    <n v="0"/>
    <n v="0"/>
    <n v="0"/>
    <n v="0"/>
    <n v="0"/>
    <m/>
    <n v="253"/>
    <n v="417"/>
    <n v="146"/>
    <s v="FLINTSLFLINTSLFLINTSLFLINTSLFLINTSLFLINTSLFLINTSL"/>
    <s v="+"/>
    <s v="+"/>
    <s v="+"/>
    <s v="+"/>
    <s v="+"/>
    <s v="+"/>
    <s v="+"/>
    <s v="NIL"/>
    <b v="0"/>
  </r>
  <r>
    <d v="2026-01-19T00:00:00"/>
    <s v="B"/>
    <x v="243"/>
    <n v="147"/>
    <n v="474"/>
    <n v="22900"/>
    <s v="II"/>
    <s v="N"/>
    <n v="1.9"/>
    <s v="BLACK"/>
    <s v="C01507B"/>
    <s v="FLINTSL - BLACK"/>
    <n v="29"/>
    <n v="0"/>
    <m/>
    <m/>
    <n v="0"/>
    <n v="2651700004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9.7368421052631575"/>
    <n v="0"/>
    <s v="GREEN"/>
    <s v="C01425G"/>
    <s v="FLINTSL - GREEN"/>
    <n v="5"/>
    <n v="0"/>
    <m/>
    <m/>
    <n v="0"/>
    <n v="26519000024"/>
    <n v="26519000015"/>
    <s v="FMD"/>
    <m/>
    <m/>
    <m/>
    <m/>
    <m/>
    <n v="5"/>
    <e v="#N/A"/>
    <n v="9"/>
    <e v="#N/A"/>
    <n v="3"/>
    <n v="0"/>
    <m/>
    <n v="0"/>
    <m/>
    <n v="0"/>
    <m/>
    <n v="0"/>
    <m/>
    <n v="0"/>
    <m/>
    <n v="0"/>
    <s v="FLINTSL"/>
    <n v="26"/>
    <n v="0"/>
    <n v="10.561403508771932"/>
    <n v="0"/>
    <s v="GREEN"/>
    <s v="C01410G"/>
    <s v="FLINTSL - GREEN"/>
    <n v="10"/>
    <n v="0"/>
    <m/>
    <m/>
    <n v="0"/>
    <n v="26519000024"/>
    <n v="26519000015"/>
    <m/>
    <m/>
    <m/>
    <m/>
    <m/>
    <m/>
    <n v="8"/>
    <e v="#N/A"/>
    <n v="0.5"/>
    <e v="#N/A"/>
    <m/>
    <n v="0"/>
    <m/>
    <n v="0"/>
    <m/>
    <n v="0"/>
    <m/>
    <n v="0"/>
    <m/>
    <n v="0"/>
    <m/>
    <n v="0"/>
    <s v="FLINTSL"/>
    <n v="23"/>
    <n v="0"/>
    <n v="12.973684210526315"/>
    <n v="0"/>
    <s v="YELLOW"/>
    <m/>
    <s v="FLINTSL - YELLOW"/>
    <m/>
    <n v="0"/>
    <m/>
    <m/>
    <n v="0"/>
    <n v="26519000038"/>
    <n v="26520000001"/>
    <n v="26520000004"/>
    <m/>
    <m/>
    <m/>
    <m/>
    <m/>
    <n v="40"/>
    <e v="#N/A"/>
    <n v="30"/>
    <e v="#N/A"/>
    <n v="40"/>
    <e v="#N/A"/>
    <m/>
    <n v="0"/>
    <m/>
    <n v="0"/>
    <m/>
    <n v="0"/>
    <m/>
    <n v="0"/>
    <m/>
    <n v="0"/>
    <s v="FLINTSL"/>
    <n v="25"/>
    <n v="0"/>
    <n v="99.561403508771932"/>
    <n v="0"/>
    <s v="CYAN"/>
    <s v="C01507C"/>
    <s v="FLINTSL - CYAN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7.824561403508774"/>
    <n v="0"/>
    <s v="MAGENTA"/>
    <s v="C01507M"/>
    <s v="FLINTSL - MAGENTA"/>
    <n v="30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30"/>
    <n v="0"/>
    <n v="11.736842105263158"/>
    <n v="0"/>
    <s v="YELLOW"/>
    <s v="C01507Y"/>
    <s v="FLINTSL - YELLOW"/>
    <n v="30"/>
    <n v="0"/>
    <m/>
    <m/>
    <n v="0"/>
    <n v="26519000024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15.736842105263158"/>
    <n v="0"/>
    <s v="WHITE"/>
    <s v="C01507W"/>
    <s v="FLINTSL - WHITE"/>
    <n v="3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147.36842105263156"/>
    <n v="0"/>
    <n v="3"/>
    <n v="5"/>
    <n v="6"/>
    <n v="5"/>
    <n v="2"/>
    <n v="3"/>
    <n v="3"/>
    <n v="30"/>
    <n v="0.8"/>
    <n v="0.2"/>
    <m/>
    <m/>
    <m/>
    <n v="0"/>
    <n v="166"/>
    <n v="0"/>
    <n v="0"/>
    <n v="166"/>
    <n v="166"/>
    <n v="132.80000000000001"/>
    <n v="0"/>
    <n v="33.200000000000003"/>
    <n v="0"/>
    <n v="0"/>
    <n v="0"/>
    <n v="0"/>
    <n v="0"/>
    <n v="0"/>
    <n v="0"/>
    <n v="0"/>
    <n v="0"/>
    <n v="0"/>
    <m/>
    <n v="202.5"/>
    <n v="315.5"/>
    <n v="147"/>
    <s v="FLINTSLFLINTSLFLINTSLFLINTSLFLINTSLFLINTSLFLINTSLFLINTSL"/>
    <s v="+"/>
    <s v="+"/>
    <s v="+"/>
    <s v="+"/>
    <s v="+"/>
    <s v="+"/>
    <s v="+"/>
    <s v="+"/>
    <b v="0"/>
  </r>
  <r>
    <d v="2026-01-19T00:00:00"/>
    <s v="B"/>
    <x v="244"/>
    <n v="148"/>
    <n v="486"/>
    <n v="25600"/>
    <s v="II"/>
    <s v="N"/>
    <n v="1.2"/>
    <s v="BLACK"/>
    <s v="C01505B"/>
    <s v="FLINTSL - BLACK"/>
    <n v="30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8"/>
    <n v="0"/>
    <n v="15.684210526315788"/>
    <n v="0"/>
    <s v="REFLEX BLUE"/>
    <s v="N00948B"/>
    <s v="FLINTSL - REFLEX BLUE"/>
    <n v="21"/>
    <n v="0"/>
    <s v="F00863B"/>
    <n v="24"/>
    <n v="0"/>
    <n v="26519000014"/>
    <n v="26519000036"/>
    <m/>
    <m/>
    <m/>
    <m/>
    <m/>
    <m/>
    <n v="3"/>
    <e v="#N/A"/>
    <n v="1"/>
    <e v="#N/A"/>
    <m/>
    <n v="0"/>
    <m/>
    <n v="0"/>
    <m/>
    <n v="0"/>
    <m/>
    <n v="0"/>
    <m/>
    <n v="0"/>
    <m/>
    <n v="0"/>
    <s v="FLINTSL"/>
    <n v="27"/>
    <n v="0"/>
    <n v="25.842105263157897"/>
    <n v="0"/>
    <s v="RED"/>
    <s v="F00868R"/>
    <s v="FLINTSL - RED"/>
    <n v="26"/>
    <n v="0"/>
    <m/>
    <m/>
    <n v="0"/>
    <n v="26519000036"/>
    <n v="26520000008"/>
    <m/>
    <m/>
    <m/>
    <m/>
    <m/>
    <m/>
    <n v="4"/>
    <e v="#N/A"/>
    <n v="4"/>
    <e v="#N/A"/>
    <m/>
    <n v="0"/>
    <m/>
    <n v="0"/>
    <m/>
    <n v="0"/>
    <m/>
    <n v="0"/>
    <m/>
    <n v="0"/>
    <m/>
    <n v="0"/>
    <s v="FLINTSL"/>
    <n v="30"/>
    <n v="0"/>
    <n v="9.7631578947368425"/>
    <n v="0"/>
    <s v="CYAN"/>
    <s v="C01505C"/>
    <s v="FLINTSL - CYAN"/>
    <n v="28"/>
    <n v="0"/>
    <m/>
    <m/>
    <n v="0"/>
    <n v="26519000015"/>
    <s v="FMD"/>
    <m/>
    <m/>
    <m/>
    <m/>
    <m/>
    <m/>
    <n v="18"/>
    <e v="#N/A"/>
    <n v="6"/>
    <n v="0"/>
    <m/>
    <n v="0"/>
    <m/>
    <n v="0"/>
    <m/>
    <n v="0"/>
    <m/>
    <n v="0"/>
    <m/>
    <n v="0"/>
    <m/>
    <n v="0"/>
    <s v="FLINTSL"/>
    <n v="30"/>
    <n v="0"/>
    <n v="37.368421052631575"/>
    <n v="0"/>
    <s v="MAGENTA"/>
    <s v="C01505M"/>
    <s v="FLINTSL - MAGENTA"/>
    <n v="30"/>
    <n v="0"/>
    <m/>
    <m/>
    <n v="0"/>
    <n v="26519000036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7"/>
    <n v="0"/>
    <n v="12.763157894736842"/>
    <n v="0"/>
    <s v="YELLOW"/>
    <s v="C01505Y"/>
    <s v="FLINTSL - YELLOW"/>
    <n v="25"/>
    <n v="0"/>
    <m/>
    <m/>
    <n v="0"/>
    <n v="26519000024"/>
    <s v="FMD"/>
    <m/>
    <m/>
    <m/>
    <m/>
    <m/>
    <m/>
    <n v="8"/>
    <e v="#N/A"/>
    <n v="6"/>
    <n v="0"/>
    <m/>
    <n v="0"/>
    <m/>
    <n v="0"/>
    <m/>
    <n v="0"/>
    <m/>
    <n v="0"/>
    <m/>
    <n v="0"/>
    <m/>
    <n v="0"/>
    <s v="FLINTSL"/>
    <n v="29"/>
    <n v="0"/>
    <n v="21.526315789473685"/>
    <n v="0"/>
    <s v="WHITE"/>
    <s v="C01505W"/>
    <s v="FLINTSL - WHITE"/>
    <n v="30"/>
    <n v="0"/>
    <m/>
    <m/>
    <n v="0"/>
    <s v="FW"/>
    <m/>
    <m/>
    <m/>
    <m/>
    <m/>
    <m/>
    <m/>
    <n v="80"/>
    <n v="0"/>
    <m/>
    <n v="0"/>
    <m/>
    <n v="0"/>
    <m/>
    <n v="0"/>
    <m/>
    <n v="0"/>
    <m/>
    <n v="0"/>
    <m/>
    <n v="0"/>
    <m/>
    <n v="0"/>
    <s v="FLINTSL"/>
    <n v="27"/>
    <n v="0"/>
    <n v="179.0526315789473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2"/>
    <n v="3"/>
    <n v="8"/>
    <n v="3"/>
    <n v="6"/>
    <n v="50"/>
    <n v="0"/>
    <n v="0.8"/>
    <n v="0.2"/>
    <m/>
    <m/>
    <m/>
    <n v="0"/>
    <n v="146"/>
    <n v="0"/>
    <n v="0"/>
    <n v="146"/>
    <n v="146"/>
    <n v="116.80000000000001"/>
    <n v="0"/>
    <n v="29.200000000000003"/>
    <n v="0"/>
    <n v="0"/>
    <n v="0"/>
    <n v="0"/>
    <n v="0"/>
    <n v="0"/>
    <n v="0"/>
    <n v="0"/>
    <n v="0"/>
    <n v="0"/>
    <m/>
    <n v="140"/>
    <n v="302"/>
    <n v="148"/>
    <s v="FLINTSLFLINTSLFLINTSLFLINTSLFLINTSLFLINTSLFLINTSL"/>
    <s v="+"/>
    <s v="+"/>
    <s v="+"/>
    <s v="+"/>
    <s v="+"/>
    <s v="+"/>
    <s v="+"/>
    <s v="NIL"/>
    <b v="0"/>
  </r>
  <r>
    <d v="2026-01-19T00:00:00"/>
    <s v="B"/>
    <x v="245"/>
    <n v="149"/>
    <n v="220"/>
    <n v="17500"/>
    <s v="I"/>
    <s v="N"/>
    <n v="0.3"/>
    <s v="GREEN"/>
    <m/>
    <s v="FLINTSL - GREEN"/>
    <m/>
    <n v="0"/>
    <m/>
    <m/>
    <n v="0"/>
    <n v="26517000012"/>
    <n v="26519000015"/>
    <n v="26519000026"/>
    <m/>
    <m/>
    <m/>
    <m/>
    <m/>
    <n v="29"/>
    <e v="#N/A"/>
    <n v="3"/>
    <e v="#N/A"/>
    <n v="3"/>
    <e v="#N/A"/>
    <m/>
    <n v="0"/>
    <m/>
    <n v="0"/>
    <m/>
    <n v="0"/>
    <m/>
    <n v="0"/>
    <m/>
    <n v="0"/>
    <s v="FLINTSL"/>
    <n v="24"/>
    <n v="0"/>
    <n v="17.470588235294116"/>
    <n v="0"/>
    <s v="GREEN"/>
    <m/>
    <s v="FLINTSL - GREEN"/>
    <m/>
    <n v="0"/>
    <m/>
    <m/>
    <n v="0"/>
    <n v="26517000038"/>
    <n v="26519000015"/>
    <n v="26519000016"/>
    <m/>
    <m/>
    <m/>
    <m/>
    <m/>
    <n v="30"/>
    <e v="#N/A"/>
    <n v="5"/>
    <e v="#N/A"/>
    <n v="3"/>
    <e v="#N/A"/>
    <m/>
    <n v="0"/>
    <m/>
    <n v="0"/>
    <m/>
    <n v="0"/>
    <m/>
    <n v="0"/>
    <m/>
    <n v="0"/>
    <s v="FLINTSL"/>
    <n v="28"/>
    <n v="0"/>
    <n v="12.588235294117645"/>
    <n v="0"/>
    <s v="RED"/>
    <s v="F00870R"/>
    <s v="FLINTSL - RED"/>
    <n v="25"/>
    <n v="0"/>
    <m/>
    <m/>
    <n v="0"/>
    <n v="26519000024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7"/>
    <n v="0"/>
    <n v="3.5882352941176485"/>
    <n v="0"/>
    <s v="YELLOW"/>
    <s v="F00870Y"/>
    <s v="FLINTSL - YELLOW"/>
    <n v="15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3"/>
    <n v="0"/>
    <n v="3.470588235294116"/>
    <n v="0"/>
    <s v="YELLOW"/>
    <s v="F00870Y"/>
    <s v="FLINTSL - YELLOW"/>
    <n v="15"/>
    <n v="0"/>
    <m/>
    <m/>
    <n v="0"/>
    <s v="FMD"/>
    <n v="26520000011"/>
    <s v="FW"/>
    <m/>
    <m/>
    <m/>
    <m/>
    <m/>
    <n v="6"/>
    <n v="0"/>
    <n v="0.4"/>
    <e v="#N/A"/>
    <n v="3"/>
    <n v="0"/>
    <m/>
    <n v="0"/>
    <m/>
    <n v="0"/>
    <m/>
    <n v="0"/>
    <m/>
    <n v="0"/>
    <m/>
    <n v="0"/>
    <s v="FLINTSL"/>
    <n v="23"/>
    <n v="0"/>
    <n v="9.1647058823529406"/>
    <n v="0"/>
    <s v="WHITE"/>
    <s v="F00870W"/>
    <s v="FLINTSL - WHITE"/>
    <n v="20"/>
    <n v="0"/>
    <m/>
    <m/>
    <n v="0"/>
    <s v="FW"/>
    <m/>
    <m/>
    <m/>
    <m/>
    <m/>
    <m/>
    <m/>
    <n v="28"/>
    <n v="0"/>
    <m/>
    <n v="0"/>
    <m/>
    <n v="0"/>
    <m/>
    <n v="0"/>
    <m/>
    <n v="0"/>
    <m/>
    <n v="0"/>
    <m/>
    <n v="0"/>
    <m/>
    <n v="0"/>
    <s v="FLINTSL"/>
    <n v="30"/>
    <n v="0"/>
    <n v="36.11764705882353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2"/>
    <n v="2"/>
    <n v="5"/>
    <n v="6"/>
    <n v="14"/>
    <n v="0"/>
    <n v="0"/>
    <n v="0.8"/>
    <n v="0.2"/>
    <m/>
    <m/>
    <m/>
    <n v="0"/>
    <n v="44"/>
    <n v="0"/>
    <n v="0"/>
    <n v="44"/>
    <n v="44"/>
    <n v="35.200000000000003"/>
    <n v="0"/>
    <n v="8.8000000000000007"/>
    <n v="0"/>
    <n v="0"/>
    <n v="0"/>
    <n v="0"/>
    <n v="0"/>
    <n v="0"/>
    <n v="0"/>
    <n v="0"/>
    <n v="0"/>
    <n v="0"/>
    <m/>
    <n v="118.4"/>
    <n v="82.4"/>
    <n v="149"/>
    <s v="FLINTSLFLINTSLFLINTSLFLINTSLFLINTSLFLINTSL"/>
    <s v="+"/>
    <s v="+"/>
    <s v="+"/>
    <s v="+"/>
    <s v="+"/>
    <s v="+"/>
    <s v="NIL"/>
    <s v="NIL"/>
    <b v="0"/>
  </r>
  <r>
    <d v="2026-01-19T00:00:00"/>
    <s v="B"/>
    <x v="246"/>
    <n v="150"/>
    <n v="300"/>
    <n v="14700"/>
    <s v="I"/>
    <s v="N"/>
    <n v="0.3"/>
    <s v="GREEN"/>
    <s v="G00401G"/>
    <s v="FLINTSL - GREEN"/>
    <n v="24"/>
    <n v="0"/>
    <m/>
    <m/>
    <n v="0"/>
    <n v="26519000024"/>
    <n v="26519000015"/>
    <m/>
    <m/>
    <m/>
    <m/>
    <m/>
    <m/>
    <n v="2"/>
    <e v="#N/A"/>
    <n v="1"/>
    <e v="#N/A"/>
    <m/>
    <n v="0"/>
    <m/>
    <n v="0"/>
    <m/>
    <n v="0"/>
    <m/>
    <n v="0"/>
    <m/>
    <n v="0"/>
    <m/>
    <n v="0"/>
    <s v="FLINTSL"/>
    <n v="27"/>
    <n v="0"/>
    <n v="7.058823529411768"/>
    <n v="0"/>
    <s v="GREEN"/>
    <s v="G00401G"/>
    <s v="FLINTSL - GREEN"/>
    <n v="28"/>
    <n v="0"/>
    <m/>
    <m/>
    <n v="0"/>
    <n v="26519000024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9.529411764705884"/>
    <n v="0"/>
    <s v="RED"/>
    <s v="G00401R"/>
    <s v="FLINTSL - RED"/>
    <n v="27"/>
    <n v="0"/>
    <m/>
    <m/>
    <n v="0"/>
    <n v="26522000001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6"/>
    <n v="0"/>
    <n v="9.058823529411768"/>
    <n v="0"/>
    <s v="YELLOW"/>
    <s v="G00401Y"/>
    <s v="FLINTSL - YELLOW"/>
    <n v="23"/>
    <n v="0"/>
    <m/>
    <m/>
    <n v="0"/>
    <n v="26519000024"/>
    <n v="26522000001"/>
    <m/>
    <m/>
    <m/>
    <m/>
    <m/>
    <m/>
    <n v="3"/>
    <e v="#N/A"/>
    <n v="0.2"/>
    <e v="#N/A"/>
    <m/>
    <n v="0"/>
    <m/>
    <n v="0"/>
    <m/>
    <n v="0"/>
    <m/>
    <n v="0"/>
    <m/>
    <n v="0"/>
    <m/>
    <n v="0"/>
    <s v="FLINTSL"/>
    <n v="20"/>
    <n v="0"/>
    <n v="13.258823529411764"/>
    <n v="0"/>
    <s v="WHITE"/>
    <s v="G00401W"/>
    <s v="FLINTSL - WHITE"/>
    <n v="30"/>
    <n v="0"/>
    <m/>
    <m/>
    <n v="0"/>
    <s v="FW"/>
    <m/>
    <m/>
    <m/>
    <m/>
    <m/>
    <m/>
    <m/>
    <n v="20"/>
    <n v="0"/>
    <m/>
    <n v="0"/>
    <m/>
    <n v="0"/>
    <m/>
    <n v="0"/>
    <m/>
    <n v="0"/>
    <m/>
    <n v="0"/>
    <m/>
    <n v="0"/>
    <m/>
    <n v="0"/>
    <s v="FLINTSL"/>
    <n v="35"/>
    <n v="0"/>
    <n v="50.29411764705882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"/>
    <n v="2"/>
    <n v="2"/>
    <n v="10"/>
    <n v="0"/>
    <n v="0"/>
    <n v="0"/>
    <n v="0.8"/>
    <n v="0.2"/>
    <m/>
    <m/>
    <m/>
    <n v="0"/>
    <n v="60"/>
    <n v="0"/>
    <n v="0"/>
    <n v="60"/>
    <n v="60"/>
    <n v="48"/>
    <n v="0"/>
    <n v="12"/>
    <n v="0"/>
    <n v="0"/>
    <n v="0"/>
    <n v="0"/>
    <n v="0"/>
    <n v="0"/>
    <n v="0"/>
    <n v="0"/>
    <n v="0"/>
    <n v="0"/>
    <m/>
    <n v="29.2"/>
    <n v="89.200000000000017"/>
    <n v="150"/>
    <s v="FLINTSLFLINTSLFLINTSLFLINTSLFLINTSL"/>
    <s v="+"/>
    <s v="+"/>
    <s v="+"/>
    <s v="+"/>
    <s v="+"/>
    <s v="NIL"/>
    <s v="NIL"/>
    <s v="NIL"/>
    <b v="0"/>
  </r>
  <r>
    <d v="2026-01-19T00:00:00"/>
    <s v="B"/>
    <x v="247"/>
    <n v="151"/>
    <n v="191"/>
    <n v="10000"/>
    <s v="II"/>
    <s v="N"/>
    <n v="0.5"/>
    <s v="BLACK"/>
    <s v="C01507B"/>
    <s v="FLINTSL - BLACK"/>
    <n v="28"/>
    <n v="0"/>
    <m/>
    <m/>
    <n v="0"/>
    <n v="26519000026"/>
    <n v="26519000025"/>
    <m/>
    <m/>
    <m/>
    <m/>
    <m/>
    <m/>
    <n v="1.5"/>
    <e v="#N/A"/>
    <n v="3"/>
    <e v="#N/A"/>
    <m/>
    <n v="0"/>
    <m/>
    <n v="0"/>
    <m/>
    <n v="0"/>
    <m/>
    <n v="0"/>
    <m/>
    <n v="0"/>
    <m/>
    <n v="0"/>
    <s v="FLINTSL"/>
    <n v="28"/>
    <n v="0"/>
    <n v="11.625"/>
    <n v="0"/>
    <s v="RED"/>
    <s v="C01504R"/>
    <s v="FLINTSL - RED"/>
    <n v="10"/>
    <n v="0"/>
    <m/>
    <m/>
    <n v="0"/>
    <n v="26519000036"/>
    <s v="FMD"/>
    <n v="26520000011"/>
    <n v="26522000001"/>
    <m/>
    <m/>
    <m/>
    <m/>
    <n v="2"/>
    <e v="#N/A"/>
    <n v="5"/>
    <n v="0"/>
    <n v="6"/>
    <e v="#N/A"/>
    <n v="1.5"/>
    <e v="#N/A"/>
    <m/>
    <n v="0"/>
    <m/>
    <n v="0"/>
    <m/>
    <n v="0"/>
    <m/>
    <n v="0"/>
    <s v="FLINTSL"/>
    <n v="25"/>
    <n v="0"/>
    <n v="13.75"/>
    <n v="0"/>
    <s v="WHITE"/>
    <s v="C01504W"/>
    <s v="FLINTSL - WHITE"/>
    <n v="30"/>
    <n v="0"/>
    <m/>
    <m/>
    <n v="0"/>
    <s v="FW"/>
    <m/>
    <m/>
    <m/>
    <m/>
    <m/>
    <m/>
    <m/>
    <n v="20"/>
    <n v="0"/>
    <m/>
    <n v="0"/>
    <m/>
    <n v="0"/>
    <m/>
    <n v="0"/>
    <m/>
    <n v="0"/>
    <m/>
    <n v="0"/>
    <m/>
    <n v="0"/>
    <m/>
    <n v="0"/>
    <s v="FLINTSL"/>
    <n v="27"/>
    <n v="0"/>
    <n v="58.62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"/>
    <n v="10"/>
    <n v="0"/>
    <n v="0"/>
    <n v="0"/>
    <n v="0"/>
    <n v="0"/>
    <n v="0.8"/>
    <n v="0.2"/>
    <m/>
    <m/>
    <m/>
    <n v="0"/>
    <n v="57"/>
    <n v="0"/>
    <n v="0"/>
    <n v="57"/>
    <n v="57"/>
    <n v="45.6"/>
    <n v="0"/>
    <n v="11.4"/>
    <n v="0"/>
    <n v="0"/>
    <n v="0"/>
    <n v="0"/>
    <n v="0"/>
    <n v="0"/>
    <n v="0"/>
    <n v="0"/>
    <n v="0"/>
    <n v="0"/>
    <m/>
    <n v="39"/>
    <n v="84"/>
    <n v="151"/>
    <s v="FLINTSLFLINTSLFLINTSL"/>
    <s v="+"/>
    <s v="+"/>
    <s v="+"/>
    <s v="NIL"/>
    <s v="NIL"/>
    <s v="NIL"/>
    <s v="NIL"/>
    <s v="NIL"/>
    <b v="0"/>
  </r>
  <r>
    <d v="2026-01-19T00:00:00"/>
    <s v="B"/>
    <x v="248"/>
    <n v="152"/>
    <n v="224"/>
    <n v="12700"/>
    <s v="II"/>
    <s v="N"/>
    <n v="2.21"/>
    <s v="BLACK"/>
    <s v="C01504B"/>
    <s v="FLINTSL - BLACK"/>
    <n v="28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6"/>
    <n v="0"/>
    <n v="15.258064516129032"/>
    <n v="0"/>
    <s v="RED"/>
    <s v="C01504R"/>
    <s v="FLINTSL - RED"/>
    <n v="22"/>
    <n v="0"/>
    <m/>
    <m/>
    <n v="0"/>
    <n v="26522000001"/>
    <n v="26520000011"/>
    <m/>
    <m/>
    <m/>
    <m/>
    <m/>
    <m/>
    <n v="4"/>
    <e v="#N/A"/>
    <n v="6"/>
    <e v="#N/A"/>
    <m/>
    <n v="0"/>
    <m/>
    <n v="0"/>
    <m/>
    <n v="0"/>
    <m/>
    <n v="0"/>
    <m/>
    <n v="0"/>
    <m/>
    <n v="0"/>
    <s v="FLINTSL"/>
    <n v="30"/>
    <n v="0"/>
    <n v="9.258064516129032"/>
    <n v="0"/>
    <s v="CYAN"/>
    <s v="C01504C"/>
    <s v="FLINTSL - CYAN"/>
    <n v="10"/>
    <n v="0"/>
    <m/>
    <m/>
    <n v="0"/>
    <s v="FMD"/>
    <m/>
    <m/>
    <m/>
    <m/>
    <m/>
    <m/>
    <m/>
    <n v="12"/>
    <n v="0"/>
    <m/>
    <n v="0"/>
    <m/>
    <n v="0"/>
    <m/>
    <n v="0"/>
    <m/>
    <n v="0"/>
    <m/>
    <n v="0"/>
    <m/>
    <n v="0"/>
    <m/>
    <n v="0"/>
    <s v="FLINTSL"/>
    <n v="29"/>
    <n v="0"/>
    <n v="7.5161290322580641"/>
    <n v="0"/>
    <s v="MAGENTA"/>
    <s v="C01504M"/>
    <s v="FLINTSL - MAGENTA"/>
    <n v="27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30"/>
    <n v="0"/>
    <n v="8.258064516129032"/>
    <n v="0"/>
    <s v="YELLOW"/>
    <s v="C01504Y"/>
    <s v="FLINTSL - YELLOW"/>
    <n v="29"/>
    <n v="0"/>
    <m/>
    <m/>
    <n v="0"/>
    <n v="26519000025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30"/>
    <n v="0"/>
    <n v="12.258064516129032"/>
    <n v="0"/>
    <s v="ORANGE"/>
    <s v="N00875O"/>
    <s v="FLINTSL - ORANGE"/>
    <n v="15"/>
    <n v="0"/>
    <s v="F00821O"/>
    <n v="30"/>
    <n v="0"/>
    <n v="26519000025"/>
    <n v="26519000036"/>
    <n v="26519000026"/>
    <m/>
    <m/>
    <m/>
    <m/>
    <m/>
    <n v="18"/>
    <e v="#N/A"/>
    <n v="0.2"/>
    <e v="#N/A"/>
    <n v="0.5"/>
    <e v="#N/A"/>
    <m/>
    <n v="0"/>
    <m/>
    <n v="0"/>
    <m/>
    <n v="0"/>
    <m/>
    <n v="0"/>
    <m/>
    <n v="0"/>
    <s v="FLINTSL"/>
    <n v="28"/>
    <n v="0"/>
    <n v="45.861290322580643"/>
    <n v="0"/>
    <s v="WHITE"/>
    <s v="C01480W"/>
    <s v="FLINTSL - WHITE"/>
    <n v="27"/>
    <n v="0"/>
    <m/>
    <m/>
    <n v="0"/>
    <s v="FW"/>
    <m/>
    <m/>
    <m/>
    <m/>
    <m/>
    <m/>
    <m/>
    <n v="35"/>
    <n v="0"/>
    <m/>
    <n v="0"/>
    <m/>
    <n v="0"/>
    <m/>
    <n v="0"/>
    <m/>
    <n v="0"/>
    <m/>
    <n v="0"/>
    <m/>
    <n v="0"/>
    <m/>
    <n v="0"/>
    <s v="FLINTSL"/>
    <n v="30"/>
    <n v="0"/>
    <n v="68.29032258064515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10"/>
    <n v="5"/>
    <n v="5"/>
    <n v="7"/>
    <n v="25"/>
    <n v="0"/>
    <n v="0.8"/>
    <n v="0.2"/>
    <m/>
    <m/>
    <m/>
    <n v="0"/>
    <n v="90"/>
    <n v="0"/>
    <n v="0"/>
    <n v="90"/>
    <n v="90"/>
    <n v="72"/>
    <n v="0"/>
    <n v="18"/>
    <n v="0"/>
    <n v="0"/>
    <n v="0"/>
    <n v="0"/>
    <n v="0"/>
    <n v="0"/>
    <n v="0"/>
    <n v="0"/>
    <n v="0"/>
    <n v="0"/>
    <m/>
    <n v="91.7"/>
    <n v="166.7"/>
    <n v="152"/>
    <s v="FLINTSLFLINTSLFLINTSLFLINTSLFLINTSLFLINTSLFLINTSL"/>
    <s v="+"/>
    <s v="+"/>
    <s v="+"/>
    <s v="+"/>
    <s v="+"/>
    <s v="+"/>
    <s v="+"/>
    <s v="NIL"/>
    <b v="0"/>
  </r>
  <r>
    <d v="2026-01-20T00:00:00"/>
    <s v="A"/>
    <x v="249"/>
    <n v="153"/>
    <n v="273"/>
    <n v="12900"/>
    <s v="II"/>
    <s v="N"/>
    <n v="2.2599999999999998"/>
    <s v="BLACK"/>
    <s v="F00867B"/>
    <s v="FLINTSL - BLACK"/>
    <n v="26"/>
    <n v="0"/>
    <m/>
    <m/>
    <n v="0"/>
    <n v="26519000016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13.909090909090907"/>
    <n v="0"/>
    <s v="RED"/>
    <s v="F00867R"/>
    <s v="FLINTSL - RED"/>
    <n v="30"/>
    <n v="0"/>
    <m/>
    <m/>
    <n v="0"/>
    <n v="26524000010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30"/>
    <n v="0"/>
    <n v="15.909090909090907"/>
    <n v="0"/>
    <s v="GREEN"/>
    <s v="N00948G"/>
    <s v="FLINTSL - GREEN"/>
    <n v="16"/>
    <n v="0"/>
    <s v="C01505G/F00873G"/>
    <n v="58"/>
    <n v="0"/>
    <n v="26521000007"/>
    <n v="26519000015"/>
    <m/>
    <m/>
    <m/>
    <m/>
    <m/>
    <m/>
    <n v="15"/>
    <e v="#N/A"/>
    <n v="7"/>
    <e v="#N/A"/>
    <m/>
    <n v="0"/>
    <m/>
    <n v="0"/>
    <m/>
    <n v="0"/>
    <m/>
    <n v="0"/>
    <m/>
    <n v="0"/>
    <m/>
    <n v="0"/>
    <s v="FLINTSL"/>
    <n v="26"/>
    <n v="0"/>
    <n v="79.909090909090907"/>
    <n v="0"/>
    <s v="CYAN"/>
    <s v="F00867C"/>
    <s v="FLINTSL - CYAN"/>
    <n v="30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9"/>
    <n v="0"/>
    <n v="14.909090909090907"/>
    <n v="0"/>
    <s v="MAGENTA"/>
    <s v="F00867M"/>
    <s v="FLINTSL - MAGENTA"/>
    <n v="30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7"/>
    <n v="0"/>
    <n v="14.909090909090907"/>
    <n v="0"/>
    <s v="YELLOW"/>
    <s v="F00867Y"/>
    <s v="FLINTSL - YELLOW"/>
    <n v="28"/>
    <n v="0"/>
    <m/>
    <m/>
    <n v="0"/>
    <s v="FMD"/>
    <n v="26519000025"/>
    <m/>
    <m/>
    <m/>
    <m/>
    <m/>
    <m/>
    <n v="4"/>
    <n v="0"/>
    <n v="2"/>
    <e v="#N/A"/>
    <m/>
    <n v="0"/>
    <m/>
    <n v="0"/>
    <m/>
    <n v="0"/>
    <m/>
    <n v="0"/>
    <m/>
    <n v="0"/>
    <m/>
    <n v="0"/>
    <s v="FLINTSL"/>
    <n v="30"/>
    <n v="0"/>
    <n v="13.909090909090907"/>
    <n v="0"/>
    <s v="WHITE"/>
    <s v="F00867W"/>
    <s v="FLINTSL - WHITE"/>
    <n v="30"/>
    <n v="0"/>
    <m/>
    <m/>
    <n v="0"/>
    <s v="FW"/>
    <m/>
    <m/>
    <m/>
    <m/>
    <m/>
    <m/>
    <m/>
    <n v="35"/>
    <n v="0"/>
    <m/>
    <n v="0"/>
    <m/>
    <n v="0"/>
    <m/>
    <n v="0"/>
    <m/>
    <n v="0"/>
    <m/>
    <n v="0"/>
    <m/>
    <n v="0"/>
    <m/>
    <n v="0"/>
    <s v="FLINTSL"/>
    <n v="24"/>
    <n v="0"/>
    <n v="90.54545454545454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5"/>
    <n v="5"/>
    <n v="25"/>
    <n v="0"/>
    <n v="0.8"/>
    <n v="0.2"/>
    <m/>
    <m/>
    <m/>
    <n v="0"/>
    <n v="109"/>
    <n v="0"/>
    <n v="0"/>
    <n v="109"/>
    <n v="109"/>
    <n v="87.2"/>
    <n v="0"/>
    <n v="21.8"/>
    <n v="0"/>
    <n v="0"/>
    <n v="0"/>
    <n v="0"/>
    <n v="0"/>
    <n v="0"/>
    <n v="0"/>
    <n v="0"/>
    <n v="0"/>
    <n v="0"/>
    <m/>
    <n v="79"/>
    <n v="244"/>
    <n v="153"/>
    <s v="FLINTSLFLINTSLFLINTSLFLINTSLFLINTSLFLINTSLFLINTSL"/>
    <s v="+"/>
    <s v="+"/>
    <s v="+"/>
    <s v="+"/>
    <s v="+"/>
    <s v="+"/>
    <s v="+"/>
    <s v="NIL"/>
    <b v="0"/>
  </r>
  <r>
    <d v="2026-01-20T00:00:00"/>
    <s v="A"/>
    <x v="250"/>
    <n v="154"/>
    <n v="854"/>
    <n v="22700"/>
    <s v="II"/>
    <s v="N"/>
    <n v="1.52"/>
    <s v="BLACK"/>
    <s v="F00866B"/>
    <s v="FLINTSL - BLACK"/>
    <n v="26"/>
    <n v="0"/>
    <m/>
    <m/>
    <n v="0"/>
    <n v="26519000026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14.666666666666664"/>
    <n v="0"/>
    <s v="REFLEX BLUE"/>
    <s v="N00834RB"/>
    <s v="FLINTSL - REFLEX BLUE"/>
    <n v="16"/>
    <n v="0"/>
    <m/>
    <m/>
    <n v="0"/>
    <n v="26519000014"/>
    <n v="26519000036"/>
    <m/>
    <m/>
    <m/>
    <m/>
    <m/>
    <m/>
    <n v="6"/>
    <e v="#N/A"/>
    <n v="4"/>
    <e v="#N/A"/>
    <m/>
    <n v="0"/>
    <m/>
    <n v="0"/>
    <m/>
    <n v="0"/>
    <m/>
    <n v="0"/>
    <m/>
    <n v="0"/>
    <m/>
    <n v="0"/>
    <s v="FLINTSL"/>
    <n v="26"/>
    <n v="0"/>
    <n v="10.666666666666664"/>
    <n v="0"/>
    <s v="CYAN"/>
    <s v="F00870C"/>
    <s v="FLINTSL - CYAN"/>
    <n v="25"/>
    <n v="0"/>
    <m/>
    <m/>
    <n v="0"/>
    <s v="FMD"/>
    <n v="26519000016"/>
    <m/>
    <m/>
    <m/>
    <m/>
    <m/>
    <m/>
    <n v="12"/>
    <n v="0"/>
    <n v="0.5"/>
    <e v="#N/A"/>
    <m/>
    <n v="0"/>
    <m/>
    <n v="0"/>
    <m/>
    <n v="0"/>
    <m/>
    <n v="0"/>
    <m/>
    <n v="0"/>
    <m/>
    <n v="0"/>
    <s v="FLINTSL"/>
    <n v="28"/>
    <n v="0"/>
    <n v="20.166666666666664"/>
    <n v="0"/>
    <s v="CYAN"/>
    <s v="F00866C"/>
    <s v="FLINTSL - CYAN"/>
    <n v="29"/>
    <n v="0"/>
    <m/>
    <m/>
    <n v="0"/>
    <n v="2651900001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17.666666666666664"/>
    <n v="0"/>
    <s v="MAGENTA"/>
    <s v="F00866M"/>
    <s v="FLINTSL - MAGENTA"/>
    <n v="27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0"/>
    <n v="0"/>
    <n v="19.666666666666664"/>
    <n v="0"/>
    <s v="YELLOW"/>
    <s v="F00866Y"/>
    <s v="FLINTSL - YELLOW"/>
    <n v="30"/>
    <n v="0"/>
    <m/>
    <m/>
    <n v="0"/>
    <n v="26519000025"/>
    <s v="FMD"/>
    <m/>
    <m/>
    <m/>
    <m/>
    <m/>
    <m/>
    <n v="2"/>
    <e v="#N/A"/>
    <n v="4"/>
    <n v="0"/>
    <m/>
    <n v="0"/>
    <m/>
    <n v="0"/>
    <m/>
    <n v="0"/>
    <m/>
    <n v="0"/>
    <m/>
    <n v="0"/>
    <m/>
    <n v="0"/>
    <s v="FLINTSL"/>
    <n v="29"/>
    <n v="0"/>
    <n v="17.666666666666664"/>
    <n v="0"/>
    <s v="GREEN"/>
    <s v="F00866G"/>
    <s v="FLINTSL - GREEN"/>
    <n v="26"/>
    <n v="0"/>
    <m/>
    <m/>
    <n v="0"/>
    <n v="26519000025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8"/>
    <n v="0"/>
    <n v="13.666666666666664"/>
    <n v="0"/>
    <s v="WHITE"/>
    <s v="F00866W"/>
    <s v="FLINTSL - WHITE"/>
    <n v="24"/>
    <n v="0"/>
    <m/>
    <m/>
    <n v="0"/>
    <s v="FW"/>
    <m/>
    <m/>
    <m/>
    <m/>
    <m/>
    <m/>
    <m/>
    <n v="35"/>
    <n v="0"/>
    <m/>
    <n v="0"/>
    <m/>
    <n v="0"/>
    <m/>
    <n v="0"/>
    <m/>
    <n v="0"/>
    <m/>
    <n v="0"/>
    <m/>
    <n v="0"/>
    <m/>
    <n v="0"/>
    <s v="FLINTSL"/>
    <n v="24"/>
    <n v="0"/>
    <n v="88.333333333333343"/>
    <n v="0"/>
    <n v="5"/>
    <n v="5"/>
    <n v="5"/>
    <n v="5"/>
    <n v="5"/>
    <n v="5"/>
    <n v="5"/>
    <n v="25"/>
    <n v="0.8"/>
    <n v="0.2"/>
    <m/>
    <m/>
    <m/>
    <n v="0"/>
    <n v="128"/>
    <n v="0"/>
    <n v="0"/>
    <n v="128"/>
    <n v="128"/>
    <n v="102.4"/>
    <n v="0"/>
    <n v="25.6"/>
    <n v="0"/>
    <n v="0"/>
    <n v="0"/>
    <n v="0"/>
    <n v="0"/>
    <n v="0"/>
    <n v="0"/>
    <n v="0"/>
    <n v="0"/>
    <n v="0"/>
    <m/>
    <n v="78.5"/>
    <n v="202.49999999999997"/>
    <n v="154"/>
    <s v="FLINTSLFLINTSLFLINTSLFLINTSLFLINTSLFLINTSLFLINTSLFLINTSL"/>
    <s v="+"/>
    <s v="+"/>
    <s v="+"/>
    <s v="+"/>
    <s v="+"/>
    <s v="+"/>
    <s v="+"/>
    <s v="+"/>
    <b v="0"/>
  </r>
  <r>
    <d v="2026-01-20T00:00:00"/>
    <s v="A"/>
    <x v="251"/>
    <n v="155"/>
    <n v="857"/>
    <n v="22800"/>
    <s v="II"/>
    <s v="N"/>
    <n v="1.54"/>
    <s v="BLACK"/>
    <s v="N00954B"/>
    <s v="FLINTSL - BLACK"/>
    <n v="26"/>
    <n v="0"/>
    <m/>
    <m/>
    <n v="0"/>
    <n v="26519000026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5"/>
    <n v="0"/>
    <n v="14.92307692307692"/>
    <n v="0"/>
    <s v="REFLEX BLUE"/>
    <s v="N00954RB"/>
    <s v="FLINTSL - REFLEX BLUE"/>
    <n v="27"/>
    <n v="0"/>
    <m/>
    <m/>
    <n v="0"/>
    <n v="26519000014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6"/>
    <n v="0"/>
    <n v="16.92307692307692"/>
    <n v="0"/>
    <s v="ORANGE"/>
    <m/>
    <s v="FLINTSL - ORANGE"/>
    <m/>
    <n v="0"/>
    <m/>
    <m/>
    <n v="0"/>
    <n v="26520000007"/>
    <n v="26518000003"/>
    <m/>
    <m/>
    <m/>
    <m/>
    <m/>
    <m/>
    <n v="35"/>
    <e v="#N/A"/>
    <n v="40"/>
    <e v="#N/A"/>
    <m/>
    <n v="0"/>
    <m/>
    <n v="0"/>
    <m/>
    <n v="0"/>
    <m/>
    <n v="0"/>
    <m/>
    <n v="0"/>
    <m/>
    <n v="0"/>
    <s v="FLINTSL"/>
    <n v="25"/>
    <n v="0"/>
    <n v="59.92307692307692"/>
    <n v="0"/>
    <s v="CYAN"/>
    <s v="N00954C"/>
    <s v="FLINTSL - CYAN"/>
    <n v="26"/>
    <n v="0"/>
    <m/>
    <m/>
    <n v="0"/>
    <n v="2651900001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7"/>
    <n v="0"/>
    <n v="12.92307692307692"/>
    <n v="0"/>
    <s v="MAGENTA"/>
    <s v="N00954M"/>
    <s v="FLINTSL - MAGENTA"/>
    <n v="20"/>
    <n v="0"/>
    <m/>
    <m/>
    <n v="0"/>
    <n v="26519000036"/>
    <s v="FMD"/>
    <m/>
    <m/>
    <m/>
    <m/>
    <m/>
    <m/>
    <n v="6"/>
    <e v="#N/A"/>
    <n v="4"/>
    <n v="0"/>
    <m/>
    <n v="0"/>
    <m/>
    <n v="0"/>
    <m/>
    <n v="0"/>
    <m/>
    <n v="0"/>
    <m/>
    <n v="0"/>
    <m/>
    <n v="0"/>
    <s v="FLINTSL"/>
    <n v="24"/>
    <n v="0"/>
    <n v="15.92307692307692"/>
    <n v="0"/>
    <s v="YELLOW"/>
    <s v="N00954Y"/>
    <s v="FLINTSL - YELLOW"/>
    <n v="29"/>
    <n v="0"/>
    <m/>
    <m/>
    <n v="0"/>
    <n v="26521000007"/>
    <s v="FMD"/>
    <m/>
    <m/>
    <m/>
    <m/>
    <m/>
    <m/>
    <n v="6"/>
    <e v="#N/A"/>
    <n v="6"/>
    <n v="0"/>
    <m/>
    <n v="0"/>
    <m/>
    <n v="0"/>
    <m/>
    <n v="0"/>
    <m/>
    <n v="0"/>
    <m/>
    <n v="0"/>
    <m/>
    <n v="0"/>
    <s v="FLINTSL"/>
    <n v="29"/>
    <n v="0"/>
    <n v="21.92307692307692"/>
    <n v="0"/>
    <s v="GREEN"/>
    <s v="N00954G"/>
    <s v="FLINTSL - GREEN"/>
    <n v="28"/>
    <n v="0"/>
    <m/>
    <m/>
    <n v="0"/>
    <n v="26519000025"/>
    <s v="FMD"/>
    <m/>
    <m/>
    <m/>
    <m/>
    <m/>
    <m/>
    <n v="2"/>
    <e v="#N/A"/>
    <n v="2"/>
    <n v="0"/>
    <m/>
    <n v="0"/>
    <m/>
    <n v="0"/>
    <m/>
    <n v="0"/>
    <m/>
    <n v="0"/>
    <m/>
    <n v="0"/>
    <m/>
    <n v="0"/>
    <s v="FLINTSL"/>
    <n v="26"/>
    <n v="0"/>
    <n v="15.92307692307692"/>
    <n v="0"/>
    <s v="WHITE"/>
    <s v="N00954W"/>
    <s v="FLINTSL - WHITE"/>
    <n v="24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24"/>
    <n v="0"/>
    <n v="109.53846153846155"/>
    <n v="0"/>
    <n v="5"/>
    <n v="5"/>
    <n v="5"/>
    <n v="5"/>
    <n v="5"/>
    <n v="5"/>
    <n v="5"/>
    <n v="30"/>
    <n v="0.8"/>
    <n v="0.2"/>
    <m/>
    <m/>
    <m/>
    <n v="0"/>
    <n v="129"/>
    <n v="0"/>
    <n v="0"/>
    <n v="129"/>
    <n v="129"/>
    <n v="103.2"/>
    <n v="0"/>
    <n v="25.8"/>
    <n v="0"/>
    <n v="0"/>
    <n v="0"/>
    <n v="0"/>
    <n v="0"/>
    <n v="0"/>
    <n v="0"/>
    <n v="0"/>
    <n v="0"/>
    <n v="0"/>
    <m/>
    <n v="165"/>
    <n v="268"/>
    <n v="155"/>
    <s v="FLINTSLFLINTSLFLINTSLFLINTSLFLINTSLFLINTSLFLINTSLFLINTSL"/>
    <s v="+"/>
    <s v="+"/>
    <s v="+"/>
    <s v="+"/>
    <s v="+"/>
    <s v="+"/>
    <s v="+"/>
    <s v="+"/>
    <b v="0"/>
  </r>
  <r>
    <d v="2026-01-20T00:00:00"/>
    <s v="A"/>
    <x v="252"/>
    <n v="156"/>
    <n v="854"/>
    <n v="22700"/>
    <s v="II"/>
    <s v="N"/>
    <n v="1.54"/>
    <s v="BLACK"/>
    <s v="N00951B"/>
    <s v="FLINTSL - BLACK"/>
    <n v="25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30"/>
    <n v="0"/>
    <n v="10.142857142857139"/>
    <n v="0"/>
    <s v="REFLEX BLUE"/>
    <s v="N00951RB"/>
    <s v="FLINTSL - REFLEX BLUE"/>
    <n v="26"/>
    <n v="0"/>
    <m/>
    <m/>
    <n v="0"/>
    <n v="26519000014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8"/>
    <n v="0"/>
    <n v="13.142857142857139"/>
    <n v="0"/>
    <s v="REFLEX BLUE"/>
    <s v="F00871RB"/>
    <s v="FLINTSL - REFLEX BLUE"/>
    <n v="18"/>
    <n v="0"/>
    <s v="N00893RB"/>
    <n v="25"/>
    <n v="0"/>
    <n v="26519000015"/>
    <n v="26519000014"/>
    <m/>
    <m/>
    <m/>
    <m/>
    <m/>
    <m/>
    <n v="10"/>
    <e v="#N/A"/>
    <n v="10"/>
    <e v="#N/A"/>
    <m/>
    <n v="0"/>
    <m/>
    <n v="0"/>
    <m/>
    <n v="0"/>
    <m/>
    <n v="0"/>
    <m/>
    <n v="0"/>
    <m/>
    <n v="0"/>
    <s v="FLINTSL"/>
    <n v="20"/>
    <n v="0"/>
    <n v="61.285714285714278"/>
    <n v="0"/>
    <s v="CYAN"/>
    <s v="N00951C"/>
    <s v="FLINTSL - CYAN"/>
    <n v="27"/>
    <n v="0"/>
    <m/>
    <m/>
    <n v="0"/>
    <n v="2651900001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0"/>
    <n v="0"/>
    <n v="10.142857142857139"/>
    <n v="0"/>
    <s v="MAGENTA"/>
    <s v="N00951M"/>
    <s v="FLINTSL - MAGENTA"/>
    <n v="24"/>
    <n v="0"/>
    <m/>
    <m/>
    <n v="0"/>
    <n v="2652100000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9"/>
    <n v="0"/>
    <n v="8.1428571428571388"/>
    <n v="0"/>
    <s v="YELLOW"/>
    <s v="N00951Y"/>
    <s v="FLINTSL - YELLOW"/>
    <n v="29"/>
    <n v="0"/>
    <m/>
    <m/>
    <n v="0"/>
    <n v="26521000008"/>
    <s v="FMD"/>
    <m/>
    <m/>
    <m/>
    <m/>
    <m/>
    <m/>
    <n v="6"/>
    <e v="#N/A"/>
    <n v="6"/>
    <n v="0"/>
    <m/>
    <n v="0"/>
    <m/>
    <n v="0"/>
    <m/>
    <n v="0"/>
    <m/>
    <n v="0"/>
    <m/>
    <n v="0"/>
    <m/>
    <n v="0"/>
    <s v="FLINTSL"/>
    <n v="25"/>
    <n v="0"/>
    <n v="25.142857142857139"/>
    <n v="0"/>
    <s v="GREEN"/>
    <s v="N00951G"/>
    <s v="FLINTSL - GREEN"/>
    <n v="26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7.1428571428571388"/>
    <n v="0"/>
    <s v="WHITE"/>
    <s v="N00951W"/>
    <s v="FLINTSL - WHITE"/>
    <n v="24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25"/>
    <n v="0"/>
    <n v="103.85714285714286"/>
    <n v="0"/>
    <n v="5"/>
    <n v="5"/>
    <n v="10"/>
    <n v="5"/>
    <n v="5"/>
    <n v="5"/>
    <n v="5"/>
    <n v="30"/>
    <n v="0.8"/>
    <n v="0.2"/>
    <m/>
    <m/>
    <m/>
    <n v="0"/>
    <n v="128"/>
    <n v="0"/>
    <n v="0"/>
    <n v="128"/>
    <n v="128"/>
    <n v="102.4"/>
    <n v="0"/>
    <n v="25.6"/>
    <n v="0"/>
    <n v="0"/>
    <n v="0"/>
    <n v="0"/>
    <n v="0"/>
    <n v="0"/>
    <n v="0"/>
    <n v="0"/>
    <n v="0"/>
    <n v="0"/>
    <m/>
    <n v="102"/>
    <n v="238.99999999999997"/>
    <n v="156"/>
    <s v="FLINTSLFLINTSLFLINTSLFLINTSLFLINTSLFLINTSLFLINTSLFLINTSL"/>
    <s v="+"/>
    <s v="+"/>
    <s v="+"/>
    <s v="+"/>
    <s v="+"/>
    <s v="+"/>
    <s v="+"/>
    <s v="+"/>
    <b v="0"/>
  </r>
  <r>
    <d v="2026-01-20T00:00:00"/>
    <s v="B"/>
    <x v="253"/>
    <n v="157"/>
    <n v="850"/>
    <n v="22600"/>
    <s v="II"/>
    <s v="N"/>
    <n v="1.5"/>
    <s v="BLACK"/>
    <s v="N00953B"/>
    <s v="FLINTSL - BLACK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0"/>
    <n v="7.1935483870967758"/>
    <n v="0"/>
    <s v="REFLEX BLUE"/>
    <s v="N00953B"/>
    <s v="FLINTSL - REFLEX BLUE"/>
    <n v="28"/>
    <n v="0"/>
    <m/>
    <m/>
    <n v="0"/>
    <n v="26520000006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8"/>
    <n v="0"/>
    <n v="10.193548387096776"/>
    <n v="0"/>
    <s v="BLACK"/>
    <s v="H01208B"/>
    <s v="FLINTSL - BLACK"/>
    <n v="20"/>
    <n v="0"/>
    <m/>
    <m/>
    <n v="0"/>
    <n v="26519000028"/>
    <s v="FMD"/>
    <m/>
    <m/>
    <m/>
    <m/>
    <m/>
    <m/>
    <n v="15"/>
    <e v="#N/A"/>
    <n v="10"/>
    <n v="0"/>
    <m/>
    <n v="0"/>
    <m/>
    <n v="0"/>
    <m/>
    <n v="0"/>
    <m/>
    <n v="0"/>
    <m/>
    <n v="0"/>
    <m/>
    <n v="0"/>
    <s v="FLINTSL"/>
    <n v="33"/>
    <n v="0"/>
    <n v="42.967741935483872"/>
    <n v="0"/>
    <s v="CYAN"/>
    <s v="N00953C"/>
    <s v="FLINTSL - CYAN"/>
    <n v="30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30"/>
    <n v="0"/>
    <n v="8.1935483870967758"/>
    <n v="0"/>
    <s v="MAGENTA"/>
    <s v="N00953M"/>
    <s v="FLINTSL - MAGENTA"/>
    <n v="29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30"/>
    <n v="0"/>
    <n v="7.1290322580645125"/>
    <n v="0"/>
    <s v="YELLOW"/>
    <s v="N00953Y"/>
    <s v="FLINTSL - YELLOW"/>
    <n v="25"/>
    <n v="0"/>
    <m/>
    <m/>
    <n v="0"/>
    <s v="FMD"/>
    <n v="26521000007"/>
    <m/>
    <m/>
    <m/>
    <m/>
    <m/>
    <m/>
    <n v="4"/>
    <n v="0"/>
    <n v="4"/>
    <e v="#N/A"/>
    <m/>
    <n v="0"/>
    <m/>
    <n v="0"/>
    <m/>
    <n v="0"/>
    <m/>
    <n v="0"/>
    <m/>
    <n v="0"/>
    <m/>
    <n v="0"/>
    <s v="FLINTSL"/>
    <n v="24"/>
    <n v="0"/>
    <n v="15.193548387096776"/>
    <n v="0"/>
    <s v="GREEN"/>
    <s v="N00953G"/>
    <s v="FLINTSL - GREEN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0"/>
    <n v="7.1935483870967758"/>
    <n v="0"/>
    <s v="WHITE"/>
    <s v="N00953W"/>
    <s v="FLINTSL - WHITE"/>
    <n v="25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116.93548387096774"/>
    <n v="0"/>
    <n v="3"/>
    <n v="3"/>
    <n v="15"/>
    <n v="3"/>
    <n v="2"/>
    <n v="3"/>
    <n v="3"/>
    <n v="30"/>
    <n v="0.8"/>
    <n v="0.2"/>
    <m/>
    <m/>
    <m/>
    <n v="0"/>
    <n v="128"/>
    <n v="0"/>
    <n v="0"/>
    <n v="128"/>
    <n v="128"/>
    <n v="102.4"/>
    <n v="0"/>
    <n v="25.6"/>
    <n v="0"/>
    <n v="0"/>
    <n v="0"/>
    <n v="0"/>
    <n v="0"/>
    <n v="0"/>
    <n v="0"/>
    <n v="0"/>
    <n v="0"/>
    <n v="0"/>
    <m/>
    <n v="103"/>
    <n v="215"/>
    <n v="157"/>
    <s v="FLINTSLFLINTSLFLINTSLFLINTSLFLINTSLFLINTSLFLINTSLFLINTSL"/>
    <s v="+"/>
    <s v="+"/>
    <s v="+"/>
    <s v="+"/>
    <s v="+"/>
    <s v="+"/>
    <s v="+"/>
    <s v="+"/>
    <b v="0"/>
  </r>
  <r>
    <d v="2026-01-20T00:00:00"/>
    <s v="B"/>
    <x v="254"/>
    <n v="158"/>
    <n v="842"/>
    <n v="22400"/>
    <s v="II"/>
    <s v="N"/>
    <n v="1.5"/>
    <s v="BLACK"/>
    <s v="N00950B"/>
    <s v="FLINTSL - BLACK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6.0399999999999991"/>
    <n v="0"/>
    <s v="REFLEX BLUE"/>
    <s v="N00950B"/>
    <s v="FLINTSL - REFLEX BLUE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0"/>
    <n v="6.0399999999999991"/>
    <n v="0"/>
    <s v="RED"/>
    <s v="F00866R"/>
    <s v="FLINTSL - RED"/>
    <n v="30"/>
    <n v="0"/>
    <m/>
    <m/>
    <n v="0"/>
    <n v="26524000010"/>
    <n v="26521000005"/>
    <s v="FMD"/>
    <m/>
    <m/>
    <m/>
    <m/>
    <m/>
    <n v="7"/>
    <e v="#N/A"/>
    <n v="4"/>
    <e v="#N/A"/>
    <n v="5"/>
    <n v="0"/>
    <m/>
    <n v="0"/>
    <m/>
    <n v="0"/>
    <m/>
    <n v="0"/>
    <m/>
    <n v="0"/>
    <m/>
    <n v="0"/>
    <s v="FLINTSL"/>
    <n v="23"/>
    <n v="0"/>
    <n v="35.6"/>
    <n v="0"/>
    <s v="CYAN"/>
    <s v="N00950C"/>
    <s v="FLINTSL - CYAN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7.0399999999999991"/>
    <n v="0"/>
    <s v="MAGENTA"/>
    <s v="N00950M"/>
    <s v="FLINTSL - MAGENTA"/>
    <n v="30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9"/>
    <n v="0"/>
    <n v="11.560000000000002"/>
    <n v="0"/>
    <s v="YELLOW"/>
    <s v="N00950Y"/>
    <s v="FLINTSL - YELLOW"/>
    <n v="24"/>
    <n v="0"/>
    <m/>
    <m/>
    <n v="0"/>
    <n v="26521000008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9"/>
    <n v="0"/>
    <n v="11.079999999999998"/>
    <n v="0"/>
    <s v="GREEN"/>
    <s v="N00950G"/>
    <s v="FLINTSL - GREEN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0"/>
    <n v="0"/>
    <n v="12.04"/>
    <n v="0"/>
    <s v="WHITE"/>
    <s v="N00950W"/>
    <s v="FLINTSL - WHITE"/>
    <n v="3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135.6"/>
    <n v="0"/>
    <n v="2"/>
    <n v="2"/>
    <n v="5"/>
    <n v="2"/>
    <n v="3"/>
    <n v="4"/>
    <n v="2"/>
    <n v="30"/>
    <n v="0.8"/>
    <n v="0.2"/>
    <m/>
    <m/>
    <m/>
    <n v="0"/>
    <n v="126"/>
    <n v="0"/>
    <n v="0"/>
    <n v="126"/>
    <n v="126"/>
    <n v="100.80000000000001"/>
    <n v="0"/>
    <n v="25.200000000000003"/>
    <n v="0"/>
    <n v="0"/>
    <n v="0"/>
    <n v="0"/>
    <n v="0"/>
    <n v="0"/>
    <n v="0"/>
    <n v="0"/>
    <n v="0"/>
    <n v="0"/>
    <m/>
    <n v="85"/>
    <n v="225"/>
    <n v="158"/>
    <s v="FLINTSLFLINTSLFLINTSLFLINTSLFLINTSLFLINTSLFLINTSLFLINTSL"/>
    <s v="+"/>
    <s v="+"/>
    <s v="+"/>
    <s v="+"/>
    <s v="+"/>
    <s v="+"/>
    <s v="+"/>
    <s v="+"/>
    <b v="0"/>
  </r>
  <r>
    <d v="2026-01-20T00:00:00"/>
    <s v="B"/>
    <x v="255"/>
    <n v="159"/>
    <n v="1080"/>
    <n v="12700"/>
    <s v="II"/>
    <s v="N"/>
    <n v="1.6"/>
    <s v="BLACK"/>
    <s v="N00952B"/>
    <s v="FLINTSL - BLACK"/>
    <n v="28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30"/>
    <n v="0"/>
    <n v="7"/>
    <n v="0"/>
    <s v="REFLEX BLUE"/>
    <s v="N00952B"/>
    <s v="FLINTSL - REFLEX BLUE"/>
    <n v="27"/>
    <n v="0"/>
    <m/>
    <m/>
    <n v="0"/>
    <n v="2652100000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0"/>
    <n v="0"/>
    <n v="7"/>
    <n v="0"/>
    <s v="GREEN"/>
    <m/>
    <s v="FLINTSL - GREEN"/>
    <m/>
    <n v="0"/>
    <m/>
    <m/>
    <n v="0"/>
    <n v="26521000001"/>
    <n v="26521000002"/>
    <n v="26521000008"/>
    <n v="26521000004"/>
    <m/>
    <m/>
    <m/>
    <m/>
    <n v="30"/>
    <e v="#N/A"/>
    <n v="10"/>
    <e v="#N/A"/>
    <n v="5"/>
    <e v="#N/A"/>
    <n v="10"/>
    <e v="#N/A"/>
    <m/>
    <n v="0"/>
    <m/>
    <n v="0"/>
    <m/>
    <n v="0"/>
    <m/>
    <n v="0"/>
    <s v="FLINTSL"/>
    <n v="16"/>
    <n v="0"/>
    <n v="51"/>
    <n v="0"/>
    <s v="CYAN"/>
    <s v="N00952C"/>
    <s v="FLINTSL - CYAN"/>
    <n v="28"/>
    <n v="0"/>
    <m/>
    <m/>
    <n v="0"/>
    <n v="26519000015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27"/>
    <n v="0"/>
    <n v="21"/>
    <n v="0"/>
    <s v="MAGENTA"/>
    <s v="N00952M"/>
    <s v="FLINTSL - MAGENTA"/>
    <n v="29"/>
    <n v="0"/>
    <m/>
    <m/>
    <n v="0"/>
    <n v="26519000036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7"/>
    <n v="0"/>
    <s v="YELLOW"/>
    <s v="N00952Y"/>
    <s v="FLINTSL - YELLOW"/>
    <n v="29"/>
    <n v="0"/>
    <m/>
    <m/>
    <n v="0"/>
    <n v="2651900003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9"/>
    <n v="0"/>
    <s v="WHITE"/>
    <s v="N00952W"/>
    <s v="FLINTSL - WHITE"/>
    <n v="30"/>
    <n v="0"/>
    <m/>
    <m/>
    <n v="0"/>
    <s v="FW"/>
    <m/>
    <m/>
    <m/>
    <m/>
    <m/>
    <m/>
    <m/>
    <n v="30"/>
    <n v="0"/>
    <m/>
    <n v="0"/>
    <m/>
    <n v="0"/>
    <m/>
    <n v="0"/>
    <m/>
    <n v="0"/>
    <m/>
    <n v="0"/>
    <m/>
    <n v="0"/>
    <m/>
    <n v="0"/>
    <s v="FLINTSL"/>
    <n v="30"/>
    <n v="0"/>
    <n v="9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4"/>
    <n v="4"/>
    <n v="2"/>
    <n v="2"/>
    <n v="20"/>
    <n v="0"/>
    <n v="0.8"/>
    <n v="0.2"/>
    <m/>
    <m/>
    <m/>
    <n v="0"/>
    <n v="108"/>
    <n v="0"/>
    <n v="0"/>
    <n v="108"/>
    <n v="108"/>
    <n v="86.4"/>
    <n v="0"/>
    <n v="21.6"/>
    <n v="0"/>
    <n v="0"/>
    <n v="0"/>
    <n v="0"/>
    <n v="0"/>
    <n v="0"/>
    <n v="0"/>
    <n v="0"/>
    <n v="0"/>
    <n v="0"/>
    <m/>
    <n v="104"/>
    <n v="192"/>
    <n v="159"/>
    <s v="FLINTSLFLINTSLFLINTSLFLINTSLFLINTSLFLINTSLFLINTSL"/>
    <s v="+"/>
    <s v="+"/>
    <s v="+"/>
    <s v="+"/>
    <s v="+"/>
    <s v="+"/>
    <s v="+"/>
    <s v="NIL"/>
    <b v="0"/>
  </r>
  <r>
    <d v="2026-01-20T00:00:00"/>
    <s v="B"/>
    <x v="256"/>
    <n v="160"/>
    <n v="1046"/>
    <n v="12300"/>
    <s v="II"/>
    <s v="N"/>
    <n v="1.63"/>
    <s v="BLACK"/>
    <s v="P00417B"/>
    <s v="FLINTSL - BLACK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15.125"/>
    <n v="0"/>
    <s v="REFLEX BLUE"/>
    <s v="P00417B"/>
    <s v="FLINTSL - REFLEX BLUE"/>
    <n v="30"/>
    <n v="0"/>
    <m/>
    <m/>
    <n v="0"/>
    <n v="26520000006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30"/>
    <n v="0"/>
    <n v="3"/>
    <n v="0"/>
    <s v="YELLOW"/>
    <m/>
    <s v="FLINTSL - YELLOW"/>
    <m/>
    <n v="0"/>
    <m/>
    <m/>
    <n v="0"/>
    <n v="26522000001"/>
    <n v="26521000008"/>
    <n v="26524000010"/>
    <m/>
    <m/>
    <m/>
    <m/>
    <m/>
    <n v="4"/>
    <e v="#N/A"/>
    <n v="20"/>
    <e v="#N/A"/>
    <n v="1"/>
    <e v="#N/A"/>
    <m/>
    <n v="0"/>
    <m/>
    <n v="0"/>
    <m/>
    <n v="0"/>
    <m/>
    <n v="0"/>
    <m/>
    <n v="0"/>
    <s v="FLINTSL"/>
    <n v="27"/>
    <n v="0"/>
    <n v="11.125"/>
    <n v="0"/>
    <s v="CYAN"/>
    <s v="P00417C"/>
    <s v="FLINTSL - CYAN"/>
    <n v="27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30"/>
    <n v="0"/>
    <n v="8.875"/>
    <n v="0"/>
    <s v="MAGENTA"/>
    <s v="P00417M"/>
    <s v="FLINTSL - MAGENTA"/>
    <n v="30"/>
    <n v="0"/>
    <m/>
    <m/>
    <n v="0"/>
    <n v="2652100000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0"/>
    <n v="0"/>
    <n v="9.25"/>
    <n v="0"/>
    <s v="YELLOW"/>
    <s v="P00417Y"/>
    <s v="FLINTSL - YELLOW"/>
    <n v="28"/>
    <n v="0"/>
    <s v="G00401Y"/>
    <n v="25"/>
    <n v="0"/>
    <n v="26522000003"/>
    <s v="FMD"/>
    <m/>
    <m/>
    <m/>
    <m/>
    <m/>
    <m/>
    <n v="2"/>
    <e v="#N/A"/>
    <n v="3"/>
    <n v="0"/>
    <m/>
    <n v="0"/>
    <m/>
    <n v="0"/>
    <m/>
    <n v="0"/>
    <m/>
    <n v="0"/>
    <m/>
    <n v="0"/>
    <m/>
    <n v="0"/>
    <s v="FLINTSL"/>
    <n v="29"/>
    <n v="0"/>
    <n v="42.125"/>
    <n v="0"/>
    <s v="WHITE"/>
    <s v="P00417W"/>
    <s v="FLINTSL - WHITE"/>
    <n v="30"/>
    <n v="0"/>
    <m/>
    <m/>
    <n v="0"/>
    <s v="FW"/>
    <m/>
    <m/>
    <m/>
    <m/>
    <m/>
    <m/>
    <m/>
    <n v="30"/>
    <n v="0"/>
    <m/>
    <n v="0"/>
    <m/>
    <n v="0"/>
    <m/>
    <n v="0"/>
    <m/>
    <n v="0"/>
    <m/>
    <n v="0"/>
    <m/>
    <n v="0"/>
    <m/>
    <n v="0"/>
    <s v="FLINTSL"/>
    <n v="30"/>
    <n v="0"/>
    <n v="82.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0"/>
    <n v="5"/>
    <n v="3"/>
    <n v="2"/>
    <n v="5"/>
    <n v="20"/>
    <n v="0"/>
    <n v="0.8"/>
    <n v="0.2"/>
    <m/>
    <m/>
    <m/>
    <n v="0"/>
    <n v="105"/>
    <n v="0"/>
    <n v="0"/>
    <n v="105"/>
    <n v="105"/>
    <n v="84"/>
    <n v="0"/>
    <n v="21"/>
    <n v="0"/>
    <n v="0"/>
    <n v="0"/>
    <n v="0"/>
    <n v="0"/>
    <n v="0"/>
    <n v="0"/>
    <n v="0"/>
    <n v="0"/>
    <n v="0"/>
    <m/>
    <n v="71"/>
    <n v="172"/>
    <n v="160"/>
    <s v="FLINTSLFLINTSLFLINTSLFLINTSLFLINTSLFLINTSLFLINTSL"/>
    <s v="+"/>
    <s v="+"/>
    <s v="+"/>
    <s v="+"/>
    <s v="+"/>
    <s v="+"/>
    <s v="+"/>
    <s v="NIL"/>
    <b v="0"/>
  </r>
  <r>
    <d v="2026-01-21T00:00:00"/>
    <s v="B"/>
    <x v="257"/>
    <n v="161"/>
    <n v="1081"/>
    <n v="12700"/>
    <s v="II"/>
    <s v="N"/>
    <n v="1.76"/>
    <s v="BLACK"/>
    <s v="P00453B"/>
    <s v="FLINTSL - BLACK"/>
    <n v="28"/>
    <n v="0"/>
    <m/>
    <m/>
    <n v="0"/>
    <n v="2652100001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9"/>
    <n v="0"/>
    <n v="8.7142857142857153"/>
    <n v="0"/>
    <s v="REFLEX BLUE"/>
    <m/>
    <s v="FLINTSL - REFLEX BLUE"/>
    <m/>
    <n v="0"/>
    <m/>
    <m/>
    <n v="0"/>
    <n v="26519000015"/>
    <s v="FMD"/>
    <n v="26520000006"/>
    <n v="26521000006"/>
    <m/>
    <m/>
    <m/>
    <m/>
    <n v="16"/>
    <e v="#N/A"/>
    <n v="7"/>
    <n v="0"/>
    <n v="8"/>
    <e v="#N/A"/>
    <n v="3"/>
    <e v="#N/A"/>
    <m/>
    <n v="0"/>
    <m/>
    <n v="0"/>
    <m/>
    <n v="0"/>
    <m/>
    <n v="0"/>
    <s v="FLINTSL"/>
    <n v="28"/>
    <n v="0"/>
    <n v="29.142857142857139"/>
    <n v="0"/>
    <s v="REFLEX BLUE"/>
    <s v="P00453B"/>
    <s v="FLINTSL - REFLEX BLUE"/>
    <n v="30"/>
    <n v="0"/>
    <m/>
    <m/>
    <n v="0"/>
    <n v="26521000005"/>
    <n v="26521000010"/>
    <m/>
    <m/>
    <m/>
    <m/>
    <m/>
    <m/>
    <n v="4"/>
    <e v="#N/A"/>
    <n v="0.2"/>
    <e v="#N/A"/>
    <m/>
    <n v="0"/>
    <m/>
    <n v="0"/>
    <m/>
    <n v="0"/>
    <m/>
    <n v="0"/>
    <m/>
    <n v="0"/>
    <m/>
    <n v="0"/>
    <s v="FLINTSL"/>
    <n v="32"/>
    <n v="0"/>
    <n v="9.9142857142857181"/>
    <n v="0"/>
    <s v="CYAN"/>
    <s v="P00453C"/>
    <s v="FLINTSL - CYAN"/>
    <n v="30"/>
    <n v="0"/>
    <m/>
    <m/>
    <n v="0"/>
    <n v="26519000015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29"/>
    <n v="0"/>
    <n v="16.714285714285715"/>
    <n v="0"/>
    <s v="MAGENTA"/>
    <s v="P00453M"/>
    <s v="FLINTSL - MAGENTA"/>
    <n v="30"/>
    <n v="0"/>
    <m/>
    <m/>
    <n v="0"/>
    <n v="26521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9.7142857142857153"/>
    <n v="0"/>
    <s v="YELLOW"/>
    <s v="P00453Y"/>
    <s v="FLINTSL - YELLOW"/>
    <n v="29"/>
    <n v="0"/>
    <m/>
    <m/>
    <n v="0"/>
    <n v="26522000003"/>
    <s v="FMD"/>
    <m/>
    <m/>
    <m/>
    <m/>
    <m/>
    <m/>
    <n v="2"/>
    <e v="#N/A"/>
    <n v="2"/>
    <n v="0"/>
    <m/>
    <n v="0"/>
    <m/>
    <n v="0"/>
    <m/>
    <n v="0"/>
    <m/>
    <n v="0"/>
    <m/>
    <n v="0"/>
    <m/>
    <n v="0"/>
    <s v="FLINTSL"/>
    <n v="29"/>
    <n v="0"/>
    <n v="11.714285714285715"/>
    <n v="0"/>
    <s v="WHITE"/>
    <s v="P00453W"/>
    <s v="FLINTSL - WHITE"/>
    <n v="3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24"/>
    <n v="0"/>
    <n v="102.2857142857142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5"/>
    <n v="5"/>
    <n v="5"/>
    <n v="5"/>
    <n v="5"/>
    <n v="30"/>
    <n v="0"/>
    <n v="0.8"/>
    <n v="0.2"/>
    <m/>
    <m/>
    <m/>
    <n v="0"/>
    <n v="108"/>
    <n v="0"/>
    <n v="0"/>
    <n v="108"/>
    <n v="108"/>
    <n v="86.4"/>
    <n v="0"/>
    <n v="21.6"/>
    <n v="0"/>
    <n v="0"/>
    <n v="0"/>
    <n v="0"/>
    <n v="0"/>
    <n v="0"/>
    <n v="0"/>
    <n v="0"/>
    <n v="0"/>
    <n v="0"/>
    <m/>
    <n v="104.2"/>
    <n v="188.20000000000002"/>
    <n v="161"/>
    <s v="FLINTSLFLINTSLFLINTSLFLINTSLFLINTSLFLINTSLFLINTSL"/>
    <s v="+"/>
    <s v="+"/>
    <s v="+"/>
    <s v="+"/>
    <s v="+"/>
    <s v="+"/>
    <s v="+"/>
    <s v="NIL"/>
    <b v="0"/>
  </r>
  <r>
    <d v="2026-01-21T00:00:00"/>
    <s v="B"/>
    <x v="258"/>
    <n v="162"/>
    <n v="1046"/>
    <n v="12300"/>
    <s v="II"/>
    <s v="N"/>
    <n v="1.77"/>
    <s v="BLACK"/>
    <s v="P00418B"/>
    <s v="FLINTSL - BLACK"/>
    <n v="29"/>
    <n v="0"/>
    <m/>
    <m/>
    <n v="0"/>
    <n v="26519000016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14.19178082191781"/>
    <n v="0"/>
    <s v="REFLEX BLUE"/>
    <s v="P00418RB"/>
    <s v="FLINTSL - REFLEX BLUE"/>
    <n v="20"/>
    <n v="0"/>
    <m/>
    <m/>
    <n v="0"/>
    <n v="26520000006"/>
    <n v="26519000015"/>
    <m/>
    <m/>
    <m/>
    <m/>
    <m/>
    <m/>
    <n v="6"/>
    <e v="#N/A"/>
    <n v="4"/>
    <e v="#N/A"/>
    <m/>
    <n v="0"/>
    <m/>
    <n v="0"/>
    <m/>
    <n v="0"/>
    <m/>
    <n v="0"/>
    <m/>
    <n v="0"/>
    <m/>
    <n v="0"/>
    <s v="FLINTSL"/>
    <n v="25"/>
    <n v="0"/>
    <n v="12.19178082191781"/>
    <n v="0"/>
    <s v="REFLEX BLUE"/>
    <s v="P00418B"/>
    <s v="FLINTSL - REFLEX BLUE"/>
    <n v="20"/>
    <n v="0"/>
    <m/>
    <m/>
    <n v="0"/>
    <s v="FMD"/>
    <n v="26519000014"/>
    <m/>
    <m/>
    <m/>
    <m/>
    <m/>
    <m/>
    <n v="15"/>
    <n v="0"/>
    <n v="2"/>
    <e v="#N/A"/>
    <m/>
    <n v="0"/>
    <m/>
    <n v="0"/>
    <m/>
    <n v="0"/>
    <m/>
    <n v="0"/>
    <m/>
    <n v="0"/>
    <m/>
    <n v="0"/>
    <s v="FLINTSL"/>
    <n v="20"/>
    <n v="0"/>
    <n v="31.38356164383562"/>
    <n v="0"/>
    <s v="CYAN"/>
    <s v="C01504C"/>
    <s v="FLINTSL - CYAN"/>
    <n v="15"/>
    <n v="0"/>
    <m/>
    <m/>
    <n v="0"/>
    <s v="FMD"/>
    <n v="26521000006"/>
    <n v="26519000015"/>
    <m/>
    <m/>
    <m/>
    <m/>
    <m/>
    <n v="20"/>
    <n v="0"/>
    <n v="0.2"/>
    <e v="#N/A"/>
    <n v="2"/>
    <e v="#N/A"/>
    <m/>
    <n v="0"/>
    <m/>
    <n v="0"/>
    <m/>
    <n v="0"/>
    <m/>
    <n v="0"/>
    <m/>
    <n v="0"/>
    <s v="FLINTSL"/>
    <n v="22"/>
    <n v="0"/>
    <n v="33.898630136986299"/>
    <n v="0"/>
    <s v="CYAN"/>
    <s v="P00418C"/>
    <s v="FLINTSL - CYAN"/>
    <n v="29"/>
    <n v="0"/>
    <m/>
    <m/>
    <n v="0"/>
    <n v="2651900001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4"/>
    <n v="0"/>
    <n v="16.19178082191781"/>
    <n v="0"/>
    <s v="MAGENTA"/>
    <s v="P00418M"/>
    <s v="FLINTSL - MAGENTA"/>
    <n v="30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9"/>
    <n v="0"/>
    <n v="12.19178082191781"/>
    <n v="0"/>
    <s v="YELLOW"/>
    <s v="P00418Y"/>
    <s v="FLINTSL - YELLOW"/>
    <n v="29"/>
    <n v="0"/>
    <m/>
    <m/>
    <n v="0"/>
    <n v="26522000003"/>
    <s v="FMD"/>
    <m/>
    <m/>
    <m/>
    <m/>
    <m/>
    <m/>
    <n v="6"/>
    <e v="#N/A"/>
    <n v="6"/>
    <n v="0"/>
    <m/>
    <n v="0"/>
    <m/>
    <n v="0"/>
    <m/>
    <n v="0"/>
    <m/>
    <n v="0"/>
    <m/>
    <n v="0"/>
    <m/>
    <n v="0"/>
    <s v="FLINTSL"/>
    <n v="30"/>
    <n v="0"/>
    <n v="18.19178082191781"/>
    <n v="0"/>
    <s v="WHITE"/>
    <s v="P00418W"/>
    <s v="FLINTSL - WHITE"/>
    <n v="29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24"/>
    <n v="0"/>
    <n v="80.958904109589042"/>
    <n v="0"/>
    <n v="5"/>
    <n v="5"/>
    <n v="10"/>
    <n v="13"/>
    <n v="5"/>
    <n v="5"/>
    <n v="5"/>
    <n v="25"/>
    <n v="0.8"/>
    <n v="0.2"/>
    <m/>
    <m/>
    <m/>
    <n v="0"/>
    <n v="105"/>
    <n v="0"/>
    <n v="0"/>
    <n v="105"/>
    <n v="105"/>
    <n v="84"/>
    <n v="0"/>
    <n v="21"/>
    <n v="0"/>
    <n v="0"/>
    <n v="0"/>
    <n v="0"/>
    <n v="0"/>
    <n v="0"/>
    <n v="0"/>
    <n v="0"/>
    <n v="0"/>
    <n v="0"/>
    <m/>
    <n v="111.2"/>
    <n v="219.2"/>
    <n v="162"/>
    <s v="FLINTSLFLINTSLFLINTSLFLINTSLFLINTSLFLINTSLFLINTSLFLINTSL"/>
    <s v="+"/>
    <s v="+"/>
    <s v="+"/>
    <s v="+"/>
    <s v="+"/>
    <s v="+"/>
    <s v="+"/>
    <s v="+"/>
    <b v="0"/>
  </r>
  <r>
    <d v="2026-01-21T00:00:00"/>
    <s v="A"/>
    <x v="259"/>
    <n v="163"/>
    <n v="612"/>
    <n v="7200"/>
    <s v="II"/>
    <s v="N"/>
    <n v="1.68"/>
    <s v="BLACK"/>
    <s v="P00454B"/>
    <s v="FLINTSL - BLACK"/>
    <n v="24"/>
    <n v="0"/>
    <m/>
    <m/>
    <n v="0"/>
    <n v="2651900002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7.0833333333333321"/>
    <n v="0"/>
    <s v="REFLEX BLUE"/>
    <s v="P00454RB"/>
    <s v="FLINTSL - REFLEX BLUE"/>
    <n v="25"/>
    <n v="0"/>
    <m/>
    <m/>
    <n v="0"/>
    <n v="26520000006"/>
    <s v="FMD"/>
    <m/>
    <m/>
    <m/>
    <m/>
    <m/>
    <m/>
    <n v="2"/>
    <e v="#N/A"/>
    <n v="2"/>
    <n v="0"/>
    <m/>
    <n v="0"/>
    <m/>
    <n v="0"/>
    <m/>
    <n v="0"/>
    <m/>
    <n v="0"/>
    <m/>
    <n v="0"/>
    <m/>
    <n v="0"/>
    <s v="FLINTSL"/>
    <n v="27"/>
    <n v="0"/>
    <n v="7.0833333333333357"/>
    <n v="0"/>
    <s v="RED"/>
    <s v="E01030R"/>
    <s v="FLINTSL - RED"/>
    <n v="36"/>
    <n v="0"/>
    <m/>
    <m/>
    <n v="0"/>
    <n v="26521000005"/>
    <n v="26520000011"/>
    <m/>
    <m/>
    <m/>
    <m/>
    <m/>
    <m/>
    <n v="4"/>
    <e v="#N/A"/>
    <n v="2"/>
    <e v="#N/A"/>
    <m/>
    <n v="0"/>
    <m/>
    <n v="0"/>
    <m/>
    <n v="0"/>
    <m/>
    <n v="0"/>
    <m/>
    <n v="0"/>
    <m/>
    <n v="0"/>
    <s v="FLINTSL"/>
    <n v="28"/>
    <n v="0"/>
    <n v="19.083333333333336"/>
    <n v="0"/>
    <s v="RED"/>
    <s v="C01410R"/>
    <s v="FLINTSL - RED"/>
    <n v="10"/>
    <n v="0"/>
    <m/>
    <m/>
    <n v="0"/>
    <n v="26524000010"/>
    <s v="FMD"/>
    <n v="26521000005"/>
    <m/>
    <m/>
    <m/>
    <m/>
    <m/>
    <n v="10"/>
    <e v="#N/A"/>
    <n v="6"/>
    <n v="0"/>
    <n v="2"/>
    <e v="#N/A"/>
    <m/>
    <n v="0"/>
    <m/>
    <n v="0"/>
    <m/>
    <n v="0"/>
    <m/>
    <n v="0"/>
    <m/>
    <n v="0"/>
    <s v="FLINTSL"/>
    <n v="26"/>
    <n v="0"/>
    <n v="7.0833333333333357"/>
    <n v="0"/>
    <s v="CYAN"/>
    <s v="P00454C"/>
    <s v="FLINTSL - CYAN"/>
    <n v="24"/>
    <n v="0"/>
    <m/>
    <m/>
    <n v="0"/>
    <n v="26519000016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4.0833333333333321"/>
    <n v="0"/>
    <s v="MAGENTA"/>
    <s v="P00454M"/>
    <s v="FLINTSL - MAGENTA"/>
    <n v="24"/>
    <n v="0"/>
    <m/>
    <m/>
    <n v="0"/>
    <n v="26521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3.0833333333333321"/>
    <n v="0"/>
    <s v="YELLOW"/>
    <s v="P00454Y"/>
    <s v="FLINTSL - YELLOW"/>
    <n v="30"/>
    <n v="0"/>
    <m/>
    <m/>
    <n v="0"/>
    <n v="26519000026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9"/>
    <n v="0"/>
    <n v="8.0833333333333357"/>
    <n v="0"/>
    <s v="WHITE"/>
    <s v="P00454W"/>
    <s v="FLINTSL - WHITE"/>
    <n v="24"/>
    <n v="0"/>
    <m/>
    <m/>
    <n v="0"/>
    <s v="FW"/>
    <m/>
    <m/>
    <m/>
    <m/>
    <m/>
    <m/>
    <m/>
    <n v="33"/>
    <n v="0"/>
    <m/>
    <n v="0"/>
    <m/>
    <n v="0"/>
    <m/>
    <n v="0"/>
    <m/>
    <n v="0"/>
    <m/>
    <n v="0"/>
    <m/>
    <n v="0"/>
    <m/>
    <n v="0"/>
    <s v="FLINTSL"/>
    <n v="30"/>
    <n v="0"/>
    <n v="52.416666666666671"/>
    <n v="0"/>
    <n v="5"/>
    <n v="5"/>
    <n v="5"/>
    <n v="5"/>
    <n v="5"/>
    <n v="5"/>
    <n v="5"/>
    <n v="25"/>
    <n v="0.8"/>
    <n v="0.2"/>
    <m/>
    <m/>
    <m/>
    <n v="0"/>
    <n v="61"/>
    <n v="0"/>
    <n v="0"/>
    <n v="61"/>
    <n v="61"/>
    <n v="48.800000000000004"/>
    <n v="0"/>
    <n v="12.200000000000001"/>
    <n v="0"/>
    <n v="0"/>
    <n v="0"/>
    <n v="0"/>
    <n v="0"/>
    <n v="0"/>
    <n v="0"/>
    <n v="0"/>
    <n v="0"/>
    <n v="0"/>
    <m/>
    <n v="69"/>
    <n v="108"/>
    <n v="163"/>
    <s v="FLINTSLFLINTSLFLINTSLFLINTSLFLINTSLFLINTSLFLINTSLFLINTSL"/>
    <s v="+"/>
    <s v="+"/>
    <s v="+"/>
    <s v="+"/>
    <s v="+"/>
    <s v="+"/>
    <s v="+"/>
    <s v="+"/>
    <b v="0"/>
  </r>
  <r>
    <d v="2026-01-21T00:00:00"/>
    <s v="A"/>
    <x v="260"/>
    <n v="164"/>
    <n v="157"/>
    <n v="6900"/>
    <s v="II"/>
    <s v="N"/>
    <n v="2.2000000000000002"/>
    <s v="BLACK"/>
    <s v="P00452B"/>
    <s v="FLINTSL - BLACK"/>
    <n v="24"/>
    <n v="0"/>
    <m/>
    <m/>
    <n v="0"/>
    <n v="26521000010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5"/>
    <n v="0"/>
    <n v="8.7272727272727266"/>
    <n v="0"/>
    <s v="REFLEX BLUE"/>
    <s v="C01475P"/>
    <s v="FLINTSL - REFLEX BLUE"/>
    <n v="22"/>
    <n v="0"/>
    <s v="P00418P"/>
    <n v="8"/>
    <n v="0"/>
    <s v="FMD"/>
    <n v="26521000006"/>
    <n v="26520000006"/>
    <m/>
    <m/>
    <m/>
    <m/>
    <m/>
    <n v="20"/>
    <n v="0"/>
    <n v="2"/>
    <e v="#N/A"/>
    <n v="7"/>
    <e v="#N/A"/>
    <m/>
    <n v="0"/>
    <m/>
    <n v="0"/>
    <m/>
    <n v="0"/>
    <m/>
    <n v="0"/>
    <m/>
    <n v="0"/>
    <s v="FLINTSL"/>
    <n v="25"/>
    <n v="0"/>
    <n v="45.454545454545453"/>
    <n v="0"/>
    <s v="GREEN"/>
    <s v="G00403G"/>
    <s v="FLINTSL - GREEN"/>
    <n v="24"/>
    <n v="0"/>
    <m/>
    <m/>
    <n v="0"/>
    <n v="26522000003"/>
    <n v="26519000016"/>
    <m/>
    <m/>
    <m/>
    <m/>
    <m/>
    <m/>
    <n v="4"/>
    <e v="#N/A"/>
    <n v="2"/>
    <e v="#N/A"/>
    <m/>
    <n v="0"/>
    <m/>
    <n v="0"/>
    <m/>
    <n v="0"/>
    <m/>
    <n v="0"/>
    <m/>
    <n v="0"/>
    <m/>
    <n v="0"/>
    <s v="FLINTSL"/>
    <n v="24"/>
    <n v="0"/>
    <n v="11.727272727272727"/>
    <n v="0"/>
    <s v="YELLOW"/>
    <m/>
    <s v="FLINTSL - YELLOW"/>
    <m/>
    <n v="0"/>
    <m/>
    <m/>
    <n v="0"/>
    <n v="26522000003"/>
    <s v="FMD"/>
    <m/>
    <m/>
    <m/>
    <m/>
    <m/>
    <m/>
    <n v="20"/>
    <e v="#N/A"/>
    <n v="4"/>
    <n v="0"/>
    <m/>
    <n v="0"/>
    <m/>
    <n v="0"/>
    <m/>
    <n v="0"/>
    <m/>
    <n v="0"/>
    <m/>
    <n v="0"/>
    <m/>
    <n v="0"/>
    <s v="FLINTSL"/>
    <n v="25"/>
    <n v="0"/>
    <n v="10.454545454545453"/>
    <n v="0"/>
    <s v="MAGENTA"/>
    <s v="P00452M"/>
    <s v="FLINTSL - MAGENTA"/>
    <n v="28"/>
    <n v="0"/>
    <m/>
    <m/>
    <n v="0"/>
    <s v="FMD"/>
    <n v="26521000005"/>
    <m/>
    <m/>
    <m/>
    <m/>
    <m/>
    <m/>
    <n v="4"/>
    <n v="0"/>
    <n v="2"/>
    <e v="#N/A"/>
    <m/>
    <n v="0"/>
    <m/>
    <n v="0"/>
    <m/>
    <n v="0"/>
    <m/>
    <n v="0"/>
    <m/>
    <n v="0"/>
    <m/>
    <n v="0"/>
    <s v="FLINTSL"/>
    <n v="30"/>
    <n v="0"/>
    <n v="9.7272727272727266"/>
    <n v="0"/>
    <s v="YELLOW"/>
    <s v="P00452Y"/>
    <s v="FLINTSL - YELLOW"/>
    <n v="29"/>
    <n v="0"/>
    <m/>
    <m/>
    <n v="0"/>
    <n v="26522000003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5"/>
    <n v="0"/>
    <n v="15.727272727272727"/>
    <n v="0"/>
    <s v="WHITE"/>
    <s v="P00452W"/>
    <s v="FLINTSL - WHITE"/>
    <n v="30"/>
    <n v="0"/>
    <m/>
    <m/>
    <n v="0"/>
    <s v="FW"/>
    <m/>
    <m/>
    <m/>
    <m/>
    <m/>
    <m/>
    <m/>
    <n v="25"/>
    <n v="0"/>
    <m/>
    <n v="0"/>
    <m/>
    <n v="0"/>
    <m/>
    <n v="0"/>
    <m/>
    <n v="0"/>
    <m/>
    <n v="0"/>
    <m/>
    <n v="0"/>
    <m/>
    <n v="0"/>
    <s v="FLINTSL"/>
    <n v="24"/>
    <n v="0"/>
    <n v="48.18181818181818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5"/>
    <n v="10"/>
    <n v="5"/>
    <n v="5"/>
    <n v="15"/>
    <n v="0"/>
    <n v="0.8"/>
    <n v="0.2"/>
    <m/>
    <m/>
    <m/>
    <n v="0"/>
    <n v="63"/>
    <n v="0"/>
    <n v="0"/>
    <n v="63"/>
    <n v="63"/>
    <n v="50.400000000000006"/>
    <n v="0"/>
    <n v="12.600000000000001"/>
    <n v="0"/>
    <n v="0"/>
    <n v="0"/>
    <n v="0"/>
    <n v="0"/>
    <n v="0"/>
    <n v="0"/>
    <n v="0"/>
    <n v="0"/>
    <n v="0"/>
    <m/>
    <n v="100"/>
    <n v="150"/>
    <n v="164"/>
    <s v="FLINTSLFLINTSLFLINTSLFLINTSLFLINTSLFLINTSLFLINTSL"/>
    <s v="+"/>
    <s v="+"/>
    <s v="+"/>
    <s v="+"/>
    <s v="+"/>
    <s v="+"/>
    <s v="+"/>
    <s v="NIL"/>
    <b v="0"/>
  </r>
  <r>
    <d v="2026-01-21T00:00:00"/>
    <s v="A"/>
    <x v="261"/>
    <n v="165"/>
    <n v="487"/>
    <n v="20800"/>
    <s v="II"/>
    <s v="N"/>
    <n v="2"/>
    <s v="BLACK"/>
    <s v="N00892B"/>
    <s v="FLINTSL - BLACK"/>
    <n v="25"/>
    <n v="0"/>
    <m/>
    <m/>
    <n v="0"/>
    <n v="26519000016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4.474747474747474"/>
    <n v="0"/>
    <s v="GREEN"/>
    <s v="C01410G"/>
    <s v="FLINTSL - GREEN"/>
    <n v="10"/>
    <n v="0"/>
    <s v="P00465G"/>
    <n v="7"/>
    <n v="0"/>
    <n v="26519000016"/>
    <n v="26523000001"/>
    <m/>
    <m/>
    <m/>
    <m/>
    <m/>
    <m/>
    <n v="3"/>
    <e v="#N/A"/>
    <n v="2"/>
    <e v="#N/A"/>
    <m/>
    <n v="0"/>
    <m/>
    <n v="0"/>
    <m/>
    <n v="0"/>
    <m/>
    <n v="0"/>
    <m/>
    <n v="0"/>
    <m/>
    <n v="0"/>
    <s v="FLINTSL"/>
    <n v="23"/>
    <n v="0"/>
    <n v="6.3737373737373737"/>
    <n v="0"/>
    <s v="GREEN"/>
    <s v="C01446G"/>
    <s v="FLINTSL - GREEN"/>
    <n v="20"/>
    <n v="0"/>
    <s v="C01410G"/>
    <n v="15"/>
    <n v="0"/>
    <n v="26522000010"/>
    <n v="26519000016"/>
    <n v="26522000001"/>
    <m/>
    <m/>
    <m/>
    <m/>
    <m/>
    <n v="30"/>
    <e v="#N/A"/>
    <n v="4"/>
    <e v="#N/A"/>
    <n v="2"/>
    <e v="#N/A"/>
    <m/>
    <n v="0"/>
    <m/>
    <n v="0"/>
    <m/>
    <n v="0"/>
    <m/>
    <n v="0"/>
    <m/>
    <n v="0"/>
    <s v="FLINTSL"/>
    <n v="37"/>
    <n v="0"/>
    <n v="56.121212121212125"/>
    <n v="0"/>
    <s v="GREEN"/>
    <s v="C01505G"/>
    <s v="FLINTSL - GREEN"/>
    <n v="16"/>
    <n v="0"/>
    <m/>
    <m/>
    <n v="0"/>
    <n v="26522000010"/>
    <n v="26519000016"/>
    <m/>
    <m/>
    <m/>
    <m/>
    <m/>
    <m/>
    <n v="5"/>
    <e v="#N/A"/>
    <n v="0.5"/>
    <e v="#N/A"/>
    <m/>
    <n v="0"/>
    <m/>
    <n v="0"/>
    <m/>
    <n v="0"/>
    <m/>
    <n v="0"/>
    <m/>
    <n v="0"/>
    <m/>
    <n v="0"/>
    <s v="FLINTSL"/>
    <n v="24"/>
    <n v="0"/>
    <n v="7.8232323232323253"/>
    <n v="0"/>
    <s v="GREEN"/>
    <s v="C01505G"/>
    <s v="FLINTSL - GREEN"/>
    <n v="7"/>
    <n v="0"/>
    <m/>
    <m/>
    <n v="0"/>
    <n v="26523000001"/>
    <s v="FMD"/>
    <n v="26521000010"/>
    <m/>
    <m/>
    <m/>
    <m/>
    <m/>
    <n v="5"/>
    <e v="#N/A"/>
    <n v="7"/>
    <n v="0"/>
    <n v="0.2"/>
    <e v="#N/A"/>
    <m/>
    <n v="0"/>
    <m/>
    <n v="0"/>
    <m/>
    <n v="0"/>
    <m/>
    <n v="0"/>
    <m/>
    <n v="0"/>
    <s v="FLINTSL"/>
    <n v="28"/>
    <n v="0"/>
    <n v="2.9979797979797986"/>
    <n v="0"/>
    <s v="RED"/>
    <s v="P00452R"/>
    <s v="FLINTSL - RED"/>
    <n v="26"/>
    <n v="0"/>
    <m/>
    <m/>
    <n v="0"/>
    <n v="26521000005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4"/>
    <n v="0"/>
    <n v="3"/>
    <n v="0"/>
    <s v="YELLOW"/>
    <s v="N00892Y"/>
    <s v="FLINTSL - YELLOW"/>
    <n v="25"/>
    <n v="0"/>
    <m/>
    <m/>
    <n v="0"/>
    <n v="26523000001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5"/>
    <n v="0"/>
    <n v="9.4242424242424221"/>
    <n v="0"/>
    <s v="WHITE"/>
    <s v="N00892W"/>
    <s v="FLINTSL - WHITE"/>
    <n v="24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24"/>
    <n v="0"/>
    <n v="188.4848484848485"/>
    <n v="0"/>
    <n v="1"/>
    <n v="5"/>
    <n v="15"/>
    <n v="7"/>
    <n v="8"/>
    <n v="0"/>
    <n v="3"/>
    <n v="60"/>
    <n v="0.8"/>
    <n v="0.2"/>
    <m/>
    <m/>
    <m/>
    <n v="0"/>
    <n v="146"/>
    <n v="0"/>
    <n v="0"/>
    <n v="146"/>
    <n v="146"/>
    <n v="116.80000000000001"/>
    <n v="0"/>
    <n v="29.200000000000003"/>
    <n v="0"/>
    <n v="0"/>
    <n v="0"/>
    <n v="0"/>
    <n v="0"/>
    <n v="0"/>
    <n v="0"/>
    <n v="0"/>
    <n v="0"/>
    <n v="0"/>
    <m/>
    <n v="166.7"/>
    <n v="278.70000000000005"/>
    <n v="165"/>
    <s v="FLINTSLFLINTSLFLINTSLFLINTSLFLINTSLFLINTSLFLINTSLFLINTSL"/>
    <s v="+"/>
    <s v="+"/>
    <s v="+"/>
    <s v="+"/>
    <s v="+"/>
    <s v="+"/>
    <s v="+"/>
    <s v="+"/>
    <b v="0"/>
  </r>
  <r>
    <d v="2026-01-21T00:00:00"/>
    <s v="A"/>
    <x v="262"/>
    <n v="166"/>
    <n v="863"/>
    <n v="56100"/>
    <s v="II"/>
    <s v="N"/>
    <n v="0.51"/>
    <s v="BLACK"/>
    <s v="G01490B"/>
    <s v="FLINTSL - BLACK"/>
    <n v="24"/>
    <n v="0"/>
    <m/>
    <m/>
    <n v="0"/>
    <n v="26519000028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30"/>
    <n v="0"/>
    <n v="45.538461538461547"/>
    <n v="0"/>
    <s v="REFLEX BLUE"/>
    <s v="N00834RB"/>
    <s v="FLINTSL - REFLEX BLUE"/>
    <n v="16"/>
    <n v="0"/>
    <s v="P00452RB"/>
    <n v="10"/>
    <n v="0"/>
    <n v="2652100000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16"/>
    <n v="0"/>
    <n v="30.615384615384613"/>
    <n v="0"/>
    <s v="GREEN"/>
    <m/>
    <s v="FLINTSL - GREEN"/>
    <m/>
    <n v="0"/>
    <m/>
    <m/>
    <n v="0"/>
    <n v="26521000011"/>
    <n v="26521000013"/>
    <n v="26521000010"/>
    <n v="26521000012"/>
    <m/>
    <m/>
    <m/>
    <m/>
    <n v="120"/>
    <e v="#N/A"/>
    <n v="2"/>
    <e v="#N/A"/>
    <n v="1.5"/>
    <e v="#N/A"/>
    <n v="120"/>
    <e v="#N/A"/>
    <m/>
    <n v="0"/>
    <m/>
    <n v="0"/>
    <m/>
    <n v="0"/>
    <m/>
    <n v="0"/>
    <s v="FLINTSL"/>
    <n v="21"/>
    <n v="0"/>
    <n v="305.57692307692309"/>
    <n v="0"/>
    <s v="CYAN"/>
    <s v="P00452C"/>
    <s v="FLINTSL - CYAN"/>
    <n v="27"/>
    <n v="0"/>
    <m/>
    <m/>
    <n v="0"/>
    <n v="26519000028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8"/>
    <n v="0"/>
    <n v="18.615384615384613"/>
    <n v="0"/>
    <s v="MAGENTA"/>
    <s v="N00892M"/>
    <s v="FLINTSL - MAGENTA"/>
    <n v="30"/>
    <n v="0"/>
    <m/>
    <m/>
    <n v="0"/>
    <n v="2652100000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30"/>
    <n v="0"/>
    <n v="19.615384615384613"/>
    <n v="0"/>
    <s v="YELLOW"/>
    <s v="G01490Y"/>
    <s v="FLINTSL - YELLOW"/>
    <n v="25"/>
    <n v="0"/>
    <m/>
    <m/>
    <n v="0"/>
    <n v="26523000001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35"/>
    <n v="0"/>
    <n v="41.53846153846154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2"/>
    <n v="10"/>
    <n v="2"/>
    <n v="2"/>
    <n v="5"/>
    <n v="0"/>
    <n v="0"/>
    <n v="0.8"/>
    <n v="0.2"/>
    <m/>
    <m/>
    <m/>
    <n v="0"/>
    <n v="216"/>
    <n v="0"/>
    <n v="0"/>
    <n v="216"/>
    <n v="216"/>
    <n v="172.8"/>
    <n v="0"/>
    <n v="43.2"/>
    <n v="0"/>
    <n v="0"/>
    <n v="0"/>
    <n v="0"/>
    <n v="0"/>
    <n v="0"/>
    <n v="0"/>
    <n v="0"/>
    <n v="0"/>
    <n v="0"/>
    <m/>
    <n v="273.5"/>
    <n v="461.50000000000011"/>
    <n v="166"/>
    <s v="FLINTSLFLINTSLFLINTSLFLINTSLFLINTSLFLINTSL"/>
    <s v="+"/>
    <s v="+"/>
    <s v="+"/>
    <s v="+"/>
    <s v="+"/>
    <s v="+"/>
    <s v="NIL"/>
    <s v="NIL"/>
    <b v="0"/>
  </r>
  <r>
    <d v="2026-01-21T00:00:00"/>
    <s v="A"/>
    <x v="263"/>
    <n v="167"/>
    <n v="2146"/>
    <n v="72300"/>
    <s v="I"/>
    <s v="N"/>
    <n v="0.1"/>
    <s v="GOLD"/>
    <s v="N00893G"/>
    <s v="INK PRODUCT - GOLD"/>
    <n v="30"/>
    <n v="0"/>
    <s v="E01014G"/>
    <n v="25"/>
    <n v="0"/>
    <n v="24161"/>
    <n v="70271"/>
    <n v="165"/>
    <m/>
    <m/>
    <m/>
    <m/>
    <m/>
    <n v="7"/>
    <n v="0"/>
    <n v="10"/>
    <n v="0"/>
    <n v="1.33"/>
    <n v="0"/>
    <m/>
    <n v="0"/>
    <m/>
    <n v="0"/>
    <m/>
    <n v="0"/>
    <m/>
    <n v="0"/>
    <m/>
    <n v="0"/>
    <s v="INK PRODUCT"/>
    <n v="24"/>
    <n v="0"/>
    <n v="156.3299999999999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3"/>
    <n v="0"/>
    <n v="0"/>
    <n v="0"/>
    <n v="0"/>
    <n v="0"/>
    <n v="0"/>
    <n v="0"/>
    <n v="0.8"/>
    <n v="0.2"/>
    <m/>
    <m/>
    <m/>
    <n v="0"/>
    <n v="107"/>
    <n v="0"/>
    <n v="0"/>
    <n v="107"/>
    <n v="107"/>
    <n v="85.600000000000009"/>
    <n v="0"/>
    <n v="21.400000000000002"/>
    <n v="0"/>
    <n v="0"/>
    <n v="0"/>
    <n v="0"/>
    <n v="0"/>
    <n v="0"/>
    <n v="0"/>
    <n v="0"/>
    <n v="0"/>
    <n v="0"/>
    <m/>
    <n v="18.329999999999998"/>
    <n v="156.32999999999998"/>
    <n v="167"/>
    <s v="INK PRODUCT"/>
    <s v="+"/>
    <s v="NIL"/>
    <s v="NIL"/>
    <s v="NIL"/>
    <s v="NIL"/>
    <s v="NIL"/>
    <s v="NIL"/>
    <s v="NIL"/>
    <b v="0"/>
  </r>
  <r>
    <d v="2026-01-21T00:00:00"/>
    <s v="B"/>
    <x v="264"/>
    <n v="168"/>
    <n v="491"/>
    <n v="25300"/>
    <s v="II"/>
    <s v="N"/>
    <n v="1.8"/>
    <s v="BLACK"/>
    <s v="F00879B"/>
    <s v="FLINTSL - BLACK"/>
    <n v="30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31"/>
    <n v="0"/>
    <n v="7.058823529411768"/>
    <n v="0"/>
    <s v="REFLEX BLUE"/>
    <s v="B01055B"/>
    <s v="FLINTSL - REFLEX BLUE"/>
    <n v="30"/>
    <n v="0"/>
    <s v="P00418B/C01504B"/>
    <n v="18"/>
    <n v="0"/>
    <n v="26521000005"/>
    <n v="26521000010"/>
    <m/>
    <m/>
    <m/>
    <m/>
    <m/>
    <m/>
    <n v="2"/>
    <e v="#N/A"/>
    <n v="3"/>
    <e v="#N/A"/>
    <m/>
    <n v="0"/>
    <m/>
    <n v="0"/>
    <m/>
    <n v="0"/>
    <m/>
    <n v="0"/>
    <m/>
    <n v="0"/>
    <m/>
    <n v="0"/>
    <s v="FLINTSL"/>
    <n v="23"/>
    <n v="0"/>
    <n v="35.058823529411768"/>
    <n v="0"/>
    <s v="RED"/>
    <s v="N00952R"/>
    <s v="FLINTSL - RED"/>
    <n v="23"/>
    <n v="0"/>
    <s v="C01480R"/>
    <n v="25"/>
    <n v="0"/>
    <n v="2652100000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0"/>
    <n v="0"/>
    <n v="36.058823529411768"/>
    <n v="0"/>
    <s v="GREEN"/>
    <s v="F00876G"/>
    <s v="FLINTSL - GREEN"/>
    <n v="20"/>
    <n v="0"/>
    <m/>
    <m/>
    <n v="0"/>
    <n v="26521000010"/>
    <n v="26521000008"/>
    <m/>
    <m/>
    <m/>
    <m/>
    <m/>
    <m/>
    <n v="0.5"/>
    <e v="#N/A"/>
    <n v="1"/>
    <e v="#N/A"/>
    <m/>
    <n v="0"/>
    <m/>
    <n v="0"/>
    <m/>
    <n v="0"/>
    <m/>
    <n v="0"/>
    <m/>
    <n v="0"/>
    <m/>
    <n v="0"/>
    <s v="FLINTSL"/>
    <n v="21"/>
    <n v="0"/>
    <n v="5.5588235294117645"/>
    <n v="0"/>
    <s v="CYAN"/>
    <s v="F00879C"/>
    <s v="FLINTSL - CYAN"/>
    <n v="28"/>
    <n v="0"/>
    <m/>
    <m/>
    <n v="0"/>
    <s v="FMD"/>
    <m/>
    <m/>
    <m/>
    <m/>
    <m/>
    <m/>
    <m/>
    <n v="1"/>
    <n v="0"/>
    <m/>
    <n v="0"/>
    <m/>
    <n v="0"/>
    <m/>
    <n v="0"/>
    <m/>
    <n v="0"/>
    <m/>
    <n v="0"/>
    <m/>
    <n v="0"/>
    <m/>
    <n v="0"/>
    <s v="FLINTSL"/>
    <n v="30"/>
    <n v="0"/>
    <n v="4.058823529411768"/>
    <n v="0"/>
    <s v="MAGENTA"/>
    <s v="F00879M"/>
    <s v="FLINTSL - MAGENTA"/>
    <n v="30"/>
    <n v="0"/>
    <m/>
    <m/>
    <n v="0"/>
    <n v="2652100000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30"/>
    <n v="0"/>
    <n v="6.3725490196078454"/>
    <n v="0"/>
    <s v="YELLOW"/>
    <s v="F00879Y"/>
    <s v="FLINTSL - YELLOW"/>
    <n v="35"/>
    <n v="0"/>
    <m/>
    <m/>
    <n v="0"/>
    <s v="FMD"/>
    <m/>
    <m/>
    <m/>
    <m/>
    <m/>
    <m/>
    <m/>
    <n v="25"/>
    <n v="0"/>
    <m/>
    <n v="0"/>
    <m/>
    <n v="0"/>
    <m/>
    <n v="0"/>
    <m/>
    <n v="0"/>
    <m/>
    <n v="0"/>
    <m/>
    <n v="0"/>
    <m/>
    <n v="0"/>
    <s v="FLINTSL"/>
    <n v="28"/>
    <n v="0"/>
    <n v="74.156862745098039"/>
    <n v="0"/>
    <s v="WHITE"/>
    <s v="G01490W"/>
    <s v="FLINTSL - WHITE"/>
    <n v="24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195.1764705882353"/>
    <n v="0"/>
    <n v="3"/>
    <n v="3"/>
    <n v="3"/>
    <n v="3"/>
    <n v="3"/>
    <n v="2"/>
    <n v="25"/>
    <n v="60"/>
    <n v="0.8"/>
    <n v="0.2"/>
    <m/>
    <m/>
    <m/>
    <n v="0"/>
    <n v="172"/>
    <n v="0"/>
    <n v="0"/>
    <n v="172"/>
    <n v="172"/>
    <n v="137.6"/>
    <n v="0"/>
    <n v="34.4"/>
    <n v="0"/>
    <n v="0"/>
    <n v="0"/>
    <n v="0"/>
    <n v="0"/>
    <n v="0"/>
    <n v="0"/>
    <n v="0"/>
    <n v="0"/>
    <n v="0"/>
    <m/>
    <n v="141.5"/>
    <n v="363.5"/>
    <n v="168"/>
    <s v="FLINTSLFLINTSLFLINTSLFLINTSLFLINTSLFLINTSLFLINTSLFLINTSL"/>
    <s v="+"/>
    <s v="+"/>
    <s v="+"/>
    <s v="+"/>
    <s v="+"/>
    <s v="+"/>
    <s v="+"/>
    <s v="+"/>
    <b v="0"/>
  </r>
  <r>
    <d v="2026-01-21T00:00:00"/>
    <s v="B"/>
    <x v="265"/>
    <n v="169"/>
    <n v="2490"/>
    <n v="90000"/>
    <s v="II"/>
    <s v="N"/>
    <n v="1.75"/>
    <s v="BLACK"/>
    <s v="H01274B"/>
    <s v="FLINTSL - BLACK"/>
    <n v="31"/>
    <n v="0"/>
    <m/>
    <m/>
    <n v="0"/>
    <n v="26521000010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4"/>
    <n v="0"/>
    <n v="18.612903225806448"/>
    <n v="0"/>
    <s v="GREEN"/>
    <s v="G01490G"/>
    <s v="FLINTSL - GREEN"/>
    <n v="37"/>
    <n v="0"/>
    <s v="C01453G/.F00866F"/>
    <n v="41"/>
    <n v="0"/>
    <n v="26522000001"/>
    <n v="26523000001"/>
    <n v="26522000002"/>
    <n v="26521000013"/>
    <n v="26523000027"/>
    <m/>
    <m/>
    <m/>
    <n v="4"/>
    <e v="#N/A"/>
    <n v="15"/>
    <e v="#N/A"/>
    <n v="6"/>
    <e v="#N/A"/>
    <n v="6"/>
    <e v="#N/A"/>
    <n v="3"/>
    <e v="#N/A"/>
    <m/>
    <n v="0"/>
    <m/>
    <n v="0"/>
    <m/>
    <n v="0"/>
    <s v="FLINTSL"/>
    <n v="36"/>
    <n v="0"/>
    <n v="93.225806451612897"/>
    <n v="0"/>
    <s v="MEDIUM"/>
    <s v="J00931M"/>
    <s v="FLINTSL - MEDIUM"/>
    <n v="46"/>
    <n v="0"/>
    <m/>
    <m/>
    <n v="0"/>
    <n v="26523000001"/>
    <s v="FW"/>
    <n v="26522000001"/>
    <m/>
    <m/>
    <m/>
    <m/>
    <m/>
    <n v="8"/>
    <e v="#N/A"/>
    <n v="6"/>
    <n v="0"/>
    <n v="3"/>
    <e v="#N/A"/>
    <m/>
    <n v="0"/>
    <m/>
    <n v="0"/>
    <m/>
    <n v="0"/>
    <m/>
    <n v="0"/>
    <m/>
    <n v="0"/>
    <s v="FLINTSL"/>
    <n v="32"/>
    <n v="0"/>
    <n v="53.967741935483872"/>
    <n v="0"/>
    <s v="GREEN"/>
    <s v="P00465G"/>
    <s v="FLINTSL - GREEN"/>
    <n v="12"/>
    <n v="0"/>
    <m/>
    <m/>
    <n v="0"/>
    <n v="26521000013"/>
    <n v="26523000024"/>
    <n v="26523000001"/>
    <n v="26522000002"/>
    <m/>
    <m/>
    <m/>
    <m/>
    <n v="1.5"/>
    <e v="#N/A"/>
    <n v="10"/>
    <e v="#N/A"/>
    <n v="3"/>
    <e v="#N/A"/>
    <n v="8"/>
    <e v="#N/A"/>
    <m/>
    <n v="0"/>
    <m/>
    <n v="0"/>
    <m/>
    <n v="0"/>
    <m/>
    <n v="0"/>
    <s v="FLINTSL"/>
    <n v="27"/>
    <n v="0"/>
    <n v="21.854838709677423"/>
    <n v="0"/>
    <s v="CYAN"/>
    <s v="H01274C"/>
    <s v="FLINTSL - CYAN"/>
    <n v="30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30"/>
    <n v="0"/>
    <n v="16.483870967741936"/>
    <n v="0"/>
    <s v="MAGENTA"/>
    <s v="H01274M"/>
    <s v="FLINTSL - MAGENTA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0"/>
    <n v="9.6129032258064484"/>
    <n v="0"/>
    <s v="YELLOW"/>
    <s v="H01274Y"/>
    <s v="FLINTSL - YELLOW"/>
    <n v="28"/>
    <n v="0"/>
    <m/>
    <m/>
    <n v="0"/>
    <n v="26523000001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30"/>
    <n v="0"/>
    <n v="28.967741935483872"/>
    <n v="0"/>
    <s v="WHITE"/>
    <s v="N01274W"/>
    <s v="FLINTSL - WHITE"/>
    <n v="30"/>
    <n v="0"/>
    <m/>
    <m/>
    <n v="0"/>
    <s v="FW"/>
    <m/>
    <m/>
    <m/>
    <m/>
    <m/>
    <m/>
    <m/>
    <n v="350"/>
    <n v="0"/>
    <m/>
    <n v="0"/>
    <m/>
    <n v="0"/>
    <m/>
    <n v="0"/>
    <m/>
    <n v="0"/>
    <m/>
    <n v="0"/>
    <m/>
    <n v="0"/>
    <m/>
    <n v="0"/>
    <s v="FLINTSL"/>
    <n v="24"/>
    <n v="0"/>
    <n v="872.77419354838707"/>
    <n v="0"/>
    <n v="3"/>
    <n v="6"/>
    <n v="8"/>
    <n v="5"/>
    <n v="4"/>
    <n v="3"/>
    <n v="8"/>
    <n v="180"/>
    <n v="0.8"/>
    <n v="0.2"/>
    <m/>
    <m/>
    <m/>
    <n v="0"/>
    <n v="623"/>
    <n v="0"/>
    <n v="0"/>
    <n v="623"/>
    <n v="623"/>
    <n v="498.40000000000003"/>
    <n v="0"/>
    <n v="124.60000000000001"/>
    <n v="0"/>
    <n v="0"/>
    <n v="0"/>
    <n v="0"/>
    <n v="0"/>
    <n v="0"/>
    <n v="0"/>
    <n v="0"/>
    <n v="0"/>
    <n v="0"/>
    <m/>
    <n v="439.5"/>
    <n v="1115.5"/>
    <n v="169"/>
    <s v="FLINTSLFLINTSLFLINTSLFLINTSLFLINTSLFLINTSLFLINTSLFLINTSL"/>
    <s v="+"/>
    <s v="+"/>
    <s v="+"/>
    <s v="+"/>
    <s v="+"/>
    <s v="+"/>
    <s v="+"/>
    <s v="+"/>
    <b v="0"/>
  </r>
  <r>
    <d v="2026-01-21T00:00:00"/>
    <s v="B"/>
    <x v="266"/>
    <n v="170"/>
    <n v="325"/>
    <n v="20400"/>
    <s v="II"/>
    <s v="N"/>
    <n v="1.79"/>
    <s v="BLACK"/>
    <s v="J00967N"/>
    <s v="FLINTSL - BLACK"/>
    <n v="24"/>
    <n v="0"/>
    <m/>
    <m/>
    <n v="0"/>
    <n v="26523000027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6.816901408450704"/>
    <n v="0"/>
    <s v="REFLEX BLUE"/>
    <s v="C01504RB"/>
    <s v="FLINTSL - REFLEX BLUE"/>
    <n v="17"/>
    <n v="0"/>
    <m/>
    <m/>
    <n v="0"/>
    <n v="26521000013"/>
    <n v="26521000006"/>
    <m/>
    <m/>
    <m/>
    <m/>
    <m/>
    <m/>
    <n v="3"/>
    <e v="#N/A"/>
    <n v="2"/>
    <e v="#N/A"/>
    <m/>
    <n v="0"/>
    <m/>
    <n v="0"/>
    <m/>
    <n v="0"/>
    <m/>
    <n v="0"/>
    <m/>
    <n v="0"/>
    <m/>
    <n v="0"/>
    <s v="FLINTSL"/>
    <n v="22"/>
    <n v="0"/>
    <n v="8.0281690140845079"/>
    <n v="0"/>
    <s v="GREEN"/>
    <s v="G01490G"/>
    <s v="FLINTSL - GREEN"/>
    <n v="24"/>
    <n v="0"/>
    <m/>
    <m/>
    <n v="0"/>
    <n v="26523000001"/>
    <n v="26523000024"/>
    <n v="26523000011"/>
    <m/>
    <m/>
    <m/>
    <m/>
    <m/>
    <n v="3"/>
    <e v="#N/A"/>
    <n v="2"/>
    <e v="#N/A"/>
    <n v="0.5"/>
    <e v="#N/A"/>
    <m/>
    <n v="0"/>
    <m/>
    <n v="0"/>
    <m/>
    <n v="0"/>
    <m/>
    <n v="0"/>
    <m/>
    <n v="0"/>
    <s v="FLINTSL"/>
    <n v="26"/>
    <n v="0"/>
    <n v="11.528169014084511"/>
    <n v="0"/>
    <s v="RED"/>
    <s v="N00951R"/>
    <s v="FLINTSL - RED"/>
    <n v="15"/>
    <n v="0"/>
    <m/>
    <m/>
    <n v="0"/>
    <n v="26523000011"/>
    <n v="26521000005"/>
    <m/>
    <m/>
    <m/>
    <m/>
    <m/>
    <m/>
    <n v="4"/>
    <e v="#N/A"/>
    <n v="2"/>
    <e v="#N/A"/>
    <m/>
    <n v="0"/>
    <m/>
    <n v="0"/>
    <m/>
    <n v="0"/>
    <m/>
    <n v="0"/>
    <m/>
    <n v="0"/>
    <m/>
    <n v="0"/>
    <s v="FLINTSL"/>
    <n v="21"/>
    <n v="0"/>
    <n v="4.816901408450704"/>
    <n v="0"/>
    <s v="CYAN"/>
    <s v="J00967C"/>
    <s v="FLINTSL - CYAN"/>
    <n v="30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9"/>
    <n v="0"/>
    <n v="6.2112676056338003"/>
    <n v="0"/>
    <s v="MAGENTA"/>
    <s v="J00967M"/>
    <s v="FLINTSL - MAGENTA"/>
    <n v="29"/>
    <n v="0"/>
    <m/>
    <m/>
    <n v="0"/>
    <n v="2652100000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11.816901408450704"/>
    <n v="0"/>
    <s v="YELLOW"/>
    <s v="J00967Y"/>
    <s v="FLINTSL - YELLOW"/>
    <n v="30"/>
    <n v="0"/>
    <m/>
    <m/>
    <n v="0"/>
    <n v="26523000001"/>
    <s v="FMD"/>
    <m/>
    <m/>
    <m/>
    <m/>
    <m/>
    <m/>
    <n v="30"/>
    <e v="#N/A"/>
    <n v="10"/>
    <n v="0"/>
    <m/>
    <n v="0"/>
    <m/>
    <n v="0"/>
    <m/>
    <n v="0"/>
    <m/>
    <n v="0"/>
    <m/>
    <n v="0"/>
    <m/>
    <n v="0"/>
    <s v="FLINTSL"/>
    <n v="28"/>
    <n v="0"/>
    <n v="74.112676056338032"/>
    <n v="0"/>
    <s v="WHITE"/>
    <s v="J00967W"/>
    <s v="FLINTSL - WHITE"/>
    <n v="24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102.16901408450704"/>
    <n v="0"/>
    <n v="3"/>
    <n v="5"/>
    <n v="5"/>
    <n v="3"/>
    <n v="2"/>
    <n v="3"/>
    <n v="20"/>
    <n v="30"/>
    <n v="0.8"/>
    <n v="0.2"/>
    <m/>
    <m/>
    <m/>
    <n v="0"/>
    <n v="114"/>
    <n v="0"/>
    <n v="0"/>
    <n v="114"/>
    <n v="114"/>
    <n v="91.2"/>
    <n v="0"/>
    <n v="22.8"/>
    <n v="0"/>
    <n v="0"/>
    <n v="0"/>
    <n v="0"/>
    <n v="0"/>
    <n v="0"/>
    <n v="0"/>
    <n v="0"/>
    <n v="0"/>
    <n v="0"/>
    <m/>
    <n v="126.5"/>
    <n v="225.5"/>
    <n v="170"/>
    <s v="FLINTSLFLINTSLFLINTSLFLINTSLFLINTSLFLINTSLFLINTSLFLINTSL"/>
    <s v="+"/>
    <s v="+"/>
    <s v="+"/>
    <s v="+"/>
    <s v="+"/>
    <s v="+"/>
    <s v="+"/>
    <s v="+"/>
    <b v="0"/>
  </r>
  <r>
    <d v="2026-01-22T00:00:00"/>
    <s v="A"/>
    <x v="267"/>
    <n v="171"/>
    <n v="296"/>
    <n v="18600"/>
    <s v="II"/>
    <s v="N"/>
    <n v="1.83"/>
    <s v="BLACK"/>
    <s v="N00903B"/>
    <s v="FLINTSL - BLACK"/>
    <n v="26"/>
    <n v="0"/>
    <m/>
    <m/>
    <n v="0"/>
    <n v="26523000027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3"/>
    <n v="0"/>
    <n v="6.8493150684931514"/>
    <n v="0"/>
    <s v="REFLEX BLUE"/>
    <s v="N00903RB"/>
    <s v="FLINTSL - REFLEX BLUE"/>
    <n v="22"/>
    <n v="0"/>
    <m/>
    <m/>
    <n v="0"/>
    <n v="26521000006"/>
    <n v="26522000002"/>
    <m/>
    <m/>
    <m/>
    <m/>
    <m/>
    <m/>
    <n v="2"/>
    <e v="#N/A"/>
    <n v="2"/>
    <e v="#N/A"/>
    <m/>
    <n v="0"/>
    <m/>
    <n v="0"/>
    <m/>
    <n v="0"/>
    <m/>
    <n v="0"/>
    <m/>
    <n v="0"/>
    <m/>
    <n v="0"/>
    <s v="FLINTSL"/>
    <n v="24"/>
    <n v="0"/>
    <n v="7.6986301369863028"/>
    <n v="0"/>
    <s v="GREEN"/>
    <s v="N00903G"/>
    <s v="FLINTSL - GREEN"/>
    <n v="26"/>
    <n v="0"/>
    <m/>
    <m/>
    <n v="0"/>
    <n v="2652300000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8.6986301369863028"/>
    <n v="0"/>
    <s v="RED"/>
    <s v="N00903R"/>
    <s v="FLINTSL - RED"/>
    <n v="21"/>
    <n v="0"/>
    <m/>
    <m/>
    <n v="0"/>
    <n v="26523000011"/>
    <n v="26521000005"/>
    <m/>
    <m/>
    <m/>
    <m/>
    <m/>
    <m/>
    <n v="4"/>
    <e v="#N/A"/>
    <n v="1"/>
    <e v="#N/A"/>
    <m/>
    <n v="0"/>
    <m/>
    <n v="0"/>
    <m/>
    <n v="0"/>
    <m/>
    <n v="0"/>
    <m/>
    <n v="0"/>
    <m/>
    <n v="0"/>
    <s v="FLINTSL"/>
    <n v="24"/>
    <n v="0"/>
    <n v="9.1232876712328732"/>
    <n v="0"/>
    <s v="CYAN"/>
    <s v="N00903C"/>
    <s v="FLINTSL - CYAN"/>
    <n v="29"/>
    <n v="0"/>
    <m/>
    <m/>
    <n v="0"/>
    <n v="2652200000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9.6986301369863028"/>
    <n v="0"/>
    <s v="MAGENTA"/>
    <s v="N00903M"/>
    <s v="FLINTSL - MAGENTA"/>
    <n v="26"/>
    <n v="0"/>
    <m/>
    <m/>
    <n v="0"/>
    <n v="26521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9.6986301369863028"/>
    <n v="0"/>
    <s v="YELLOW"/>
    <s v="N00903Y"/>
    <s v="FLINTSL - YELLOW"/>
    <n v="28"/>
    <n v="0"/>
    <m/>
    <m/>
    <n v="0"/>
    <n v="26523000001"/>
    <s v="FMD"/>
    <m/>
    <m/>
    <m/>
    <m/>
    <m/>
    <m/>
    <n v="10"/>
    <e v="#N/A"/>
    <n v="15"/>
    <n v="0"/>
    <m/>
    <n v="0"/>
    <m/>
    <n v="0"/>
    <m/>
    <n v="0"/>
    <m/>
    <n v="0"/>
    <m/>
    <n v="0"/>
    <m/>
    <n v="0"/>
    <s v="FLINTSL"/>
    <n v="27"/>
    <n v="0"/>
    <n v="54.493150684931507"/>
    <n v="0"/>
    <s v="WHITE"/>
    <s v="N00903W"/>
    <s v="FLINTSL - WHITE"/>
    <n v="3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9"/>
    <n v="0"/>
    <n v="103.73972602739727"/>
    <n v="0"/>
    <n v="2"/>
    <n v="4"/>
    <n v="4"/>
    <n v="5"/>
    <n v="4"/>
    <n v="4"/>
    <n v="20"/>
    <n v="30"/>
    <n v="0.8"/>
    <n v="0.2"/>
    <m/>
    <m/>
    <m/>
    <n v="0"/>
    <n v="104"/>
    <n v="0"/>
    <n v="0"/>
    <n v="104"/>
    <n v="104"/>
    <n v="83.2"/>
    <n v="0"/>
    <n v="20.8"/>
    <n v="0"/>
    <n v="0"/>
    <n v="0"/>
    <n v="0"/>
    <n v="0"/>
    <n v="0"/>
    <n v="0"/>
    <n v="0"/>
    <n v="0"/>
    <n v="0"/>
    <m/>
    <n v="101"/>
    <n v="210"/>
    <n v="171"/>
    <s v="FLINTSLFLINTSLFLINTSLFLINTSLFLINTSLFLINTSLFLINTSLFLINTSL"/>
    <s v="+"/>
    <s v="+"/>
    <s v="+"/>
    <s v="+"/>
    <s v="+"/>
    <s v="+"/>
    <s v="+"/>
    <s v="+"/>
    <b v="0"/>
  </r>
  <r>
    <d v="2026-01-22T00:00:00"/>
    <s v="A"/>
    <x v="268"/>
    <n v="172"/>
    <n v="323"/>
    <n v="20300"/>
    <s v="II"/>
    <s v="N"/>
    <n v="1.81"/>
    <s v="BLACK"/>
    <s v="N00904B"/>
    <s v="FLINTSL - BLACK"/>
    <n v="23"/>
    <n v="0"/>
    <m/>
    <m/>
    <n v="0"/>
    <n v="26523000027"/>
    <s v="FMD"/>
    <m/>
    <m/>
    <m/>
    <m/>
    <m/>
    <m/>
    <n v="12"/>
    <e v="#N/A"/>
    <n v="7"/>
    <n v="0"/>
    <m/>
    <n v="0"/>
    <m/>
    <n v="0"/>
    <m/>
    <n v="0"/>
    <m/>
    <n v="0"/>
    <m/>
    <n v="0"/>
    <m/>
    <n v="0"/>
    <s v="FLINTSL"/>
    <n v="52"/>
    <n v="0"/>
    <n v="15.681818181818187"/>
    <n v="0"/>
    <s v="REFLEX BLUE"/>
    <s v="N00904B"/>
    <s v="FLINTSL - REFLEX BLUE"/>
    <n v="24"/>
    <n v="0"/>
    <m/>
    <m/>
    <n v="0"/>
    <n v="26521000013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0"/>
    <n v="0"/>
    <n v="8.8522727272727266"/>
    <n v="0"/>
    <s v="GREEN"/>
    <s v="N00904G"/>
    <s v="FLINTSL - GREEN"/>
    <n v="25"/>
    <n v="0"/>
    <m/>
    <m/>
    <n v="0"/>
    <n v="26523000003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5"/>
    <n v="0"/>
    <n v="5.5681818181818201"/>
    <n v="0"/>
    <s v="RED"/>
    <s v="N00904R"/>
    <s v="FLINTSL - RED"/>
    <n v="24"/>
    <n v="0"/>
    <m/>
    <m/>
    <n v="0"/>
    <n v="26521000005"/>
    <n v="26523000011"/>
    <m/>
    <m/>
    <m/>
    <m/>
    <m/>
    <m/>
    <n v="3"/>
    <e v="#N/A"/>
    <n v="5"/>
    <e v="#N/A"/>
    <m/>
    <n v="0"/>
    <m/>
    <n v="0"/>
    <m/>
    <n v="0"/>
    <m/>
    <n v="0"/>
    <m/>
    <n v="0"/>
    <m/>
    <n v="0"/>
    <s v="FLINTSL"/>
    <n v="32"/>
    <n v="0"/>
    <n v="8.9886363636363598"/>
    <n v="0"/>
    <s v="CYAN"/>
    <s v="N00904C"/>
    <s v="FLINTSL - CYAN"/>
    <n v="27"/>
    <n v="0"/>
    <m/>
    <m/>
    <n v="0"/>
    <n v="26522000002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1"/>
    <n v="0"/>
    <n v="24.98863636363636"/>
    <n v="0"/>
    <s v="MAGENTA"/>
    <s v="N00904M"/>
    <s v="FLINTSL - MAGENTA"/>
    <n v="24"/>
    <n v="0"/>
    <m/>
    <m/>
    <n v="0"/>
    <n v="2652100000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5"/>
    <n v="0"/>
    <n v="7.1363636363636402"/>
    <n v="0"/>
    <s v="YELLOW"/>
    <s v="N00904Y"/>
    <s v="FLINTSL - YELLOW"/>
    <n v="27"/>
    <n v="0"/>
    <m/>
    <m/>
    <n v="0"/>
    <n v="26522000004"/>
    <n v="26523000015"/>
    <n v="26523000003"/>
    <s v="FMD"/>
    <m/>
    <m/>
    <m/>
    <m/>
    <n v="35"/>
    <e v="#N/A"/>
    <n v="30"/>
    <e v="#N/A"/>
    <n v="10"/>
    <e v="#N/A"/>
    <n v="12"/>
    <n v="0"/>
    <m/>
    <n v="0"/>
    <m/>
    <n v="0"/>
    <m/>
    <n v="0"/>
    <m/>
    <n v="0"/>
    <s v="FLINTSL"/>
    <n v="28"/>
    <n v="0"/>
    <n v="105.26136363636363"/>
    <n v="0"/>
    <s v="WHITE"/>
    <s v="N00904W"/>
    <s v="FLINTSL - WHITE"/>
    <n v="29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97.52272727272728"/>
    <n v="0"/>
    <n v="20"/>
    <n v="3"/>
    <n v="2"/>
    <n v="7"/>
    <n v="7"/>
    <n v="4"/>
    <n v="15"/>
    <n v="30"/>
    <n v="0.8"/>
    <n v="0.2"/>
    <m/>
    <m/>
    <m/>
    <n v="0"/>
    <n v="113"/>
    <n v="0"/>
    <n v="0"/>
    <n v="113"/>
    <n v="113"/>
    <n v="90.4"/>
    <n v="0"/>
    <n v="22.6"/>
    <n v="0"/>
    <n v="0"/>
    <n v="0"/>
    <n v="0"/>
    <n v="0"/>
    <n v="0"/>
    <n v="0"/>
    <n v="0"/>
    <n v="0"/>
    <n v="0"/>
    <m/>
    <n v="191"/>
    <n v="274"/>
    <n v="172"/>
    <s v="FLINTSLFLINTSLFLINTSLFLINTSLFLINTSLFLINTSLFLINTSLFLINTSL"/>
    <s v="+"/>
    <s v="+"/>
    <s v="+"/>
    <s v="+"/>
    <s v="+"/>
    <s v="+"/>
    <s v="+"/>
    <s v="+"/>
    <b v="0"/>
  </r>
  <r>
    <d v="2026-01-22T00:00:00"/>
    <s v="A"/>
    <x v="269"/>
    <n v="173"/>
    <n v="543"/>
    <n v="19000"/>
    <s v="II"/>
    <s v="N"/>
    <n v="1.7"/>
    <s v="BLACK"/>
    <s v="N00905B"/>
    <s v="FLINTSL - BLACK"/>
    <n v="22"/>
    <n v="0"/>
    <m/>
    <m/>
    <n v="0"/>
    <n v="26523000027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5"/>
    <n v="0"/>
    <n v="11.066666666666663"/>
    <n v="0"/>
    <s v="REFLEX BLUE"/>
    <m/>
    <s v="FLINTSL - REFLEX BLUE"/>
    <m/>
    <n v="0"/>
    <m/>
    <m/>
    <n v="0"/>
    <n v="26522000009"/>
    <n v="26522000007"/>
    <n v="26522000002"/>
    <m/>
    <m/>
    <m/>
    <m/>
    <m/>
    <n v="20"/>
    <e v="#N/A"/>
    <n v="20"/>
    <e v="#N/A"/>
    <n v="3"/>
    <e v="#N/A"/>
    <m/>
    <n v="0"/>
    <m/>
    <n v="0"/>
    <m/>
    <n v="0"/>
    <m/>
    <n v="0"/>
    <m/>
    <n v="0"/>
    <s v="FLINTSL"/>
    <n v="25"/>
    <n v="0"/>
    <n v="29.333333333333329"/>
    <n v="0"/>
    <s v="REFLEX BLUE"/>
    <m/>
    <s v="FLINTSL - REFLEX BLUE"/>
    <m/>
    <n v="0"/>
    <m/>
    <m/>
    <n v="0"/>
    <n v="26522000013"/>
    <n v="26522000006"/>
    <n v="26522000005"/>
    <n v="26522000016"/>
    <n v="26522000011"/>
    <n v="26522000002"/>
    <n v="26521000005"/>
    <m/>
    <n v="10"/>
    <e v="#N/A"/>
    <n v="20"/>
    <e v="#N/A"/>
    <n v="20"/>
    <e v="#N/A"/>
    <n v="7"/>
    <e v="#N/A"/>
    <n v="30"/>
    <e v="#N/A"/>
    <n v="0.3"/>
    <e v="#N/A"/>
    <n v="0.4"/>
    <e v="#N/A"/>
    <m/>
    <n v="0"/>
    <s v="FLINTSL"/>
    <n v="24"/>
    <n v="0"/>
    <n v="97.7"/>
    <n v="0"/>
    <s v="CYAN"/>
    <s v="N00905C"/>
    <s v="FLINTSL - CYAN"/>
    <n v="21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4"/>
    <n v="0"/>
    <n v="13.333333333333329"/>
    <n v="0"/>
    <s v="MAGENTA"/>
    <s v="N00905M"/>
    <s v="FLINTSL - MAGENTA"/>
    <n v="25"/>
    <n v="0"/>
    <m/>
    <m/>
    <n v="0"/>
    <n v="2652100000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6"/>
    <n v="0"/>
    <n v="6.5333333333333314"/>
    <n v="0"/>
    <s v="YELLOW"/>
    <s v="N00905Y"/>
    <s v="FLINTSL - YELLOW"/>
    <n v="28"/>
    <n v="0"/>
    <m/>
    <m/>
    <n v="0"/>
    <n v="26523000003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9"/>
    <n v="0"/>
    <n v="12.066666666666663"/>
    <n v="0"/>
    <s v="WHITE"/>
    <s v="N00905W"/>
    <s v="FLINTSL - WHITE"/>
    <n v="30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20"/>
    <n v="0"/>
    <n v="106.6666666666666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5"/>
    <n v="15"/>
    <n v="5"/>
    <n v="2"/>
    <n v="4"/>
    <n v="25"/>
    <n v="0"/>
    <n v="0.8"/>
    <n v="0.2"/>
    <m/>
    <m/>
    <m/>
    <n v="0"/>
    <n v="136"/>
    <n v="0"/>
    <n v="0"/>
    <n v="136"/>
    <n v="136"/>
    <n v="108.80000000000001"/>
    <n v="0"/>
    <n v="27.200000000000003"/>
    <n v="0"/>
    <n v="0"/>
    <n v="0"/>
    <n v="0"/>
    <n v="0"/>
    <n v="0"/>
    <n v="0"/>
    <n v="0"/>
    <n v="0"/>
    <n v="0"/>
    <m/>
    <n v="187.70000000000002"/>
    <n v="276.7"/>
    <n v="173"/>
    <s v="FLINTSLFLINTSLFLINTSLFLINTSLFLINTSLFLINTSLFLINTSL"/>
    <s v="+"/>
    <s v="+"/>
    <s v="+"/>
    <s v="+"/>
    <s v="+"/>
    <s v="+"/>
    <s v="+"/>
    <s v="NIL"/>
    <b v="0"/>
  </r>
  <r>
    <d v="2026-01-22T00:00:00"/>
    <s v="A"/>
    <x v="270"/>
    <n v="174"/>
    <n v="288"/>
    <n v="12600"/>
    <s v="II"/>
    <s v="N"/>
    <n v="1.99"/>
    <s v="BLACK"/>
    <s v="P00464B"/>
    <s v="FLINTSL - BLACK"/>
    <n v="25"/>
    <n v="0"/>
    <m/>
    <m/>
    <n v="0"/>
    <n v="26523000027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8"/>
    <n v="0"/>
    <n v="2.879999999999999"/>
    <n v="0"/>
    <s v="RED"/>
    <m/>
    <s v="FLINTSL - RED"/>
    <m/>
    <n v="0"/>
    <m/>
    <m/>
    <n v="0"/>
    <n v="26524000007"/>
    <n v="26524000006"/>
    <n v="26521000005"/>
    <m/>
    <m/>
    <m/>
    <m/>
    <m/>
    <n v="12"/>
    <e v="#N/A"/>
    <n v="9"/>
    <e v="#N/A"/>
    <n v="4"/>
    <e v="#N/A"/>
    <m/>
    <n v="0"/>
    <m/>
    <n v="0"/>
    <m/>
    <n v="0"/>
    <m/>
    <n v="0"/>
    <m/>
    <n v="0"/>
    <s v="FLINTSL"/>
    <n v="25"/>
    <n v="0"/>
    <n v="7.2000000000000028"/>
    <n v="0"/>
    <s v="CYAN"/>
    <s v="P00464C"/>
    <s v="FLINTSL - CYAN"/>
    <n v="24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9"/>
    <n v="0"/>
    <n v="4.32"/>
    <n v="0"/>
    <s v="MAGENTA"/>
    <s v="P00464M"/>
    <s v="FLINTSL - MAGENTA"/>
    <n v="26"/>
    <n v="0"/>
    <m/>
    <m/>
    <n v="0"/>
    <s v="FMD"/>
    <m/>
    <m/>
    <m/>
    <m/>
    <m/>
    <m/>
    <m/>
    <n v="7"/>
    <n v="0"/>
    <m/>
    <n v="0"/>
    <m/>
    <n v="0"/>
    <m/>
    <n v="0"/>
    <m/>
    <n v="0"/>
    <m/>
    <n v="0"/>
    <m/>
    <n v="0"/>
    <m/>
    <n v="0"/>
    <s v="FLINTSL"/>
    <n v="35"/>
    <n v="0"/>
    <n v="12.399999999999999"/>
    <n v="0"/>
    <s v="YELLOW"/>
    <s v="P00464Y"/>
    <s v="FLINTSL - YELLOW"/>
    <n v="29"/>
    <n v="0"/>
    <m/>
    <m/>
    <n v="0"/>
    <n v="26523000003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7.32"/>
    <n v="0"/>
    <s v="YELLOW"/>
    <m/>
    <s v="FLINTSL - YELLOW"/>
    <m/>
    <n v="0"/>
    <m/>
    <m/>
    <n v="0"/>
    <n v="26522000014"/>
    <n v="26522000018"/>
    <s v="FMD"/>
    <m/>
    <m/>
    <m/>
    <m/>
    <m/>
    <n v="40"/>
    <e v="#N/A"/>
    <n v="12"/>
    <e v="#N/A"/>
    <n v="5"/>
    <n v="0"/>
    <m/>
    <n v="0"/>
    <m/>
    <n v="0"/>
    <m/>
    <n v="0"/>
    <m/>
    <n v="0"/>
    <m/>
    <n v="0"/>
    <s v="FLINTSL"/>
    <n v="32"/>
    <n v="0"/>
    <n v="35.08"/>
    <n v="0"/>
    <s v="WHITE"/>
    <s v="P00464W"/>
    <s v="FLINTSL - WHITE"/>
    <n v="20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30"/>
    <n v="0"/>
    <n v="58.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3"/>
    <n v="10"/>
    <n v="3"/>
    <n v="7"/>
    <n v="20"/>
    <n v="0"/>
    <n v="0.8"/>
    <n v="0.2"/>
    <m/>
    <m/>
    <m/>
    <n v="0"/>
    <n v="72"/>
    <n v="0"/>
    <n v="0"/>
    <n v="72"/>
    <n v="72"/>
    <n v="57.6"/>
    <n v="0"/>
    <n v="14.4"/>
    <n v="0"/>
    <n v="0"/>
    <n v="0"/>
    <n v="0"/>
    <n v="0"/>
    <n v="0"/>
    <n v="0"/>
    <n v="0"/>
    <n v="0"/>
    <n v="0"/>
    <m/>
    <n v="139"/>
    <n v="128"/>
    <n v="174"/>
    <s v="FLINTSLFLINTSLFLINTSLFLINTSLFLINTSLFLINTSLFLINTSL"/>
    <s v="+"/>
    <s v="+"/>
    <s v="+"/>
    <s v="+"/>
    <s v="+"/>
    <s v="+"/>
    <s v="+"/>
    <s v="NIL"/>
    <b v="0"/>
  </r>
  <r>
    <d v="2026-01-22T00:00:00"/>
    <s v="B"/>
    <x v="271"/>
    <n v="175"/>
    <n v="275"/>
    <n v="13000"/>
    <s v="II"/>
    <s v="N"/>
    <n v="1.8"/>
    <s v="BLACK"/>
    <s v="P00494B"/>
    <s v="FLINTSL - BLACK"/>
    <n v="28"/>
    <n v="0"/>
    <m/>
    <m/>
    <n v="0"/>
    <n v="26523000027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9"/>
    <n v="0"/>
    <n v="4.6923076923076934"/>
    <n v="0"/>
    <s v="RED"/>
    <s v="P00494R"/>
    <s v="FLINTSL - RED"/>
    <n v="25"/>
    <n v="0"/>
    <m/>
    <m/>
    <n v="0"/>
    <n v="26521000005"/>
    <n v="26523000011"/>
    <m/>
    <m/>
    <m/>
    <m/>
    <m/>
    <m/>
    <n v="5"/>
    <e v="#N/A"/>
    <n v="7"/>
    <e v="#N/A"/>
    <m/>
    <n v="0"/>
    <m/>
    <n v="0"/>
    <m/>
    <n v="0"/>
    <m/>
    <n v="0"/>
    <m/>
    <n v="0"/>
    <m/>
    <n v="0"/>
    <s v="FLINTSL"/>
    <n v="32"/>
    <n v="0"/>
    <n v="14.230769230769234"/>
    <n v="0"/>
    <s v="REFLEX BLUE"/>
    <s v="F00870RB"/>
    <s v="FLINTSL - REFLEX BLUE"/>
    <n v="20"/>
    <n v="0"/>
    <m/>
    <m/>
    <n v="0"/>
    <n v="26522000022"/>
    <n v="26523000002"/>
    <n v="26521000013"/>
    <m/>
    <m/>
    <m/>
    <m/>
    <m/>
    <n v="30"/>
    <e v="#N/A"/>
    <n v="12"/>
    <e v="#N/A"/>
    <n v="4"/>
    <e v="#N/A"/>
    <m/>
    <n v="0"/>
    <m/>
    <n v="0"/>
    <m/>
    <n v="0"/>
    <m/>
    <n v="0"/>
    <m/>
    <n v="0"/>
    <s v="FLINTSL"/>
    <n v="24"/>
    <n v="0"/>
    <n v="53.07692307692308"/>
    <n v="0"/>
    <s v="CYAN"/>
    <s v="P00494C"/>
    <s v="FLINTSL - CYAN"/>
    <n v="29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30"/>
    <n v="0"/>
    <n v="9.5384615384615401"/>
    <n v="0"/>
    <s v="MAGENTA"/>
    <s v="P00494M"/>
    <s v="FLINTSL - MAGENTA"/>
    <n v="35"/>
    <n v="0"/>
    <m/>
    <m/>
    <n v="0"/>
    <n v="26521000005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2"/>
    <n v="0"/>
    <n v="11.692307692307693"/>
    <n v="0"/>
    <s v="YELLOW"/>
    <s v="P00494Y"/>
    <s v="FLINTSL - YELLOW"/>
    <n v="28"/>
    <n v="0"/>
    <m/>
    <m/>
    <n v="0"/>
    <n v="26523000003"/>
    <s v="FMD"/>
    <m/>
    <m/>
    <m/>
    <m/>
    <m/>
    <m/>
    <n v="6"/>
    <e v="#N/A"/>
    <n v="3"/>
    <n v="0"/>
    <m/>
    <n v="0"/>
    <m/>
    <n v="0"/>
    <m/>
    <n v="0"/>
    <m/>
    <n v="0"/>
    <m/>
    <n v="0"/>
    <m/>
    <n v="0"/>
    <s v="FLINTSL"/>
    <n v="31"/>
    <n v="0"/>
    <n v="13.384615384615387"/>
    <n v="0"/>
    <s v="WHITE"/>
    <s v="P00494W"/>
    <s v="FLINTSL - WHITE"/>
    <n v="3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30"/>
    <n v="0"/>
    <n v="105.3846153846153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6"/>
    <n v="3"/>
    <n v="2"/>
    <n v="4"/>
    <n v="30"/>
    <n v="0"/>
    <n v="0.8"/>
    <n v="0.2"/>
    <m/>
    <m/>
    <m/>
    <n v="0"/>
    <n v="96"/>
    <n v="0"/>
    <n v="0"/>
    <n v="96"/>
    <n v="96"/>
    <n v="76.800000000000011"/>
    <n v="0"/>
    <n v="19.200000000000003"/>
    <n v="0"/>
    <n v="0"/>
    <n v="0"/>
    <n v="0"/>
    <n v="0"/>
    <n v="0"/>
    <n v="0"/>
    <n v="0"/>
    <n v="0"/>
    <n v="0"/>
    <m/>
    <n v="129"/>
    <n v="212"/>
    <n v="175"/>
    <s v="FLINTSLFLINTSLFLINTSLFLINTSLFLINTSLFLINTSLFLINTSL"/>
    <s v="+"/>
    <s v="+"/>
    <s v="+"/>
    <s v="+"/>
    <s v="+"/>
    <s v="+"/>
    <s v="+"/>
    <s v="NIL"/>
    <b v="0"/>
  </r>
  <r>
    <d v="2026-01-22T00:00:00"/>
    <s v="B"/>
    <x v="272"/>
    <n v="176"/>
    <n v="1503"/>
    <n v="77100"/>
    <s v="II"/>
    <s v="N"/>
    <n v="1.75"/>
    <s v="BLACK"/>
    <s v="F00887B"/>
    <s v="FLINTSL - BLACK"/>
    <n v="29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30"/>
    <n v="0"/>
    <n v="16.390109890109891"/>
    <n v="0"/>
    <s v="REFLEX BLUE"/>
    <s v="H01274B"/>
    <s v="FLINTSL - REFLEX BLUE"/>
    <n v="23"/>
    <n v="0"/>
    <s v="E01025B/N00953B/P00414B/P00464B"/>
    <n v="109"/>
    <n v="0"/>
    <n v="26521000013"/>
    <n v="26523000003"/>
    <n v="26522000024"/>
    <n v="26521000006"/>
    <n v="26524000014"/>
    <n v="26522000017"/>
    <m/>
    <m/>
    <n v="10"/>
    <e v="#N/A"/>
    <n v="2"/>
    <e v="#N/A"/>
    <n v="40"/>
    <e v="#N/A"/>
    <n v="15"/>
    <e v="#N/A"/>
    <n v="5"/>
    <e v="#N/A"/>
    <n v="25"/>
    <e v="#N/A"/>
    <m/>
    <n v="0"/>
    <m/>
    <n v="0"/>
    <s v="FLINTSL"/>
    <n v="35"/>
    <n v="0"/>
    <n v="231.17032967032969"/>
    <n v="0"/>
    <s v="RED"/>
    <s v="H01274R"/>
    <s v="FLINTSL - RED"/>
    <n v="20"/>
    <n v="0"/>
    <m/>
    <m/>
    <n v="0"/>
    <n v="26524000006"/>
    <n v="26524000007"/>
    <m/>
    <m/>
    <m/>
    <m/>
    <m/>
    <m/>
    <n v="3"/>
    <e v="#N/A"/>
    <n v="6"/>
    <e v="#N/A"/>
    <m/>
    <n v="0"/>
    <m/>
    <n v="0"/>
    <m/>
    <n v="0"/>
    <m/>
    <n v="0"/>
    <m/>
    <n v="0"/>
    <m/>
    <n v="0"/>
    <s v="FLINTSL"/>
    <n v="22"/>
    <n v="0"/>
    <n v="19.390109890109891"/>
    <n v="0"/>
    <s v="CYAN"/>
    <s v="F00887C"/>
    <s v="FLINTSL - CYAN"/>
    <n v="30"/>
    <n v="0"/>
    <m/>
    <m/>
    <n v="0"/>
    <n v="26522000002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9"/>
    <n v="0"/>
    <n v="13.434065934065934"/>
    <n v="0"/>
    <s v="MAGENTA"/>
    <s v="F00887M"/>
    <s v="FLINTSL - MAGENTA"/>
    <n v="32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30"/>
    <n v="0"/>
    <n v="15.912087912087912"/>
    <n v="0"/>
    <s v="YELLOW"/>
    <s v="F00887Y"/>
    <s v="FLINTSL - YELLOW"/>
    <n v="31"/>
    <n v="0"/>
    <m/>
    <m/>
    <n v="0"/>
    <s v="FMD"/>
    <n v="26523000003"/>
    <m/>
    <m/>
    <m/>
    <m/>
    <m/>
    <m/>
    <n v="19"/>
    <n v="0"/>
    <n v="8"/>
    <e v="#N/A"/>
    <m/>
    <n v="0"/>
    <m/>
    <n v="0"/>
    <m/>
    <n v="0"/>
    <m/>
    <n v="0"/>
    <m/>
    <n v="0"/>
    <m/>
    <n v="0"/>
    <s v="FLINTSL"/>
    <n v="26"/>
    <n v="0"/>
    <n v="93.95054945054946"/>
    <n v="0"/>
    <s v="WHITE"/>
    <s v="F00887W"/>
    <s v="FLINTSL - WHITE"/>
    <n v="30"/>
    <n v="0"/>
    <m/>
    <m/>
    <n v="0"/>
    <s v="FW"/>
    <m/>
    <m/>
    <m/>
    <m/>
    <m/>
    <m/>
    <m/>
    <n v="240"/>
    <n v="0"/>
    <m/>
    <n v="0"/>
    <m/>
    <n v="0"/>
    <m/>
    <n v="0"/>
    <m/>
    <n v="0"/>
    <m/>
    <n v="0"/>
    <m/>
    <n v="0"/>
    <m/>
    <n v="0"/>
    <s v="FLINTSL"/>
    <n v="30"/>
    <n v="0"/>
    <n v="549.7527472527472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5"/>
    <n v="5"/>
    <n v="3"/>
    <n v="4"/>
    <n v="25"/>
    <n v="125"/>
    <n v="0"/>
    <n v="0.8"/>
    <n v="0.2"/>
    <m/>
    <m/>
    <m/>
    <n v="0"/>
    <n v="451"/>
    <n v="0"/>
    <n v="0"/>
    <n v="451"/>
    <n v="451"/>
    <n v="360.8"/>
    <n v="0"/>
    <n v="90.2"/>
    <n v="0"/>
    <n v="0"/>
    <n v="0"/>
    <n v="0"/>
    <n v="0"/>
    <n v="0"/>
    <n v="0"/>
    <n v="0"/>
    <n v="0"/>
    <n v="0"/>
    <m/>
    <n v="387"/>
    <n v="940"/>
    <n v="176"/>
    <s v="FLINTSLFLINTSLFLINTSLFLINTSLFLINTSLFLINTSLFLINTSL"/>
    <s v="+"/>
    <s v="+"/>
    <s v="+"/>
    <s v="+"/>
    <s v="+"/>
    <s v="+"/>
    <s v="+"/>
    <s v="NIL"/>
    <b v="0"/>
  </r>
  <r>
    <d v="2026-01-22T00:00:00"/>
    <s v="B"/>
    <x v="273"/>
    <n v="177"/>
    <n v="284"/>
    <n v="16600"/>
    <s v="II"/>
    <s v="N"/>
    <n v="2"/>
    <s v="BLACK"/>
    <s v="E01026B"/>
    <s v="FLINTSL - BLACK"/>
    <n v="30"/>
    <n v="0"/>
    <m/>
    <m/>
    <n v="0"/>
    <s v="FMD"/>
    <m/>
    <m/>
    <m/>
    <m/>
    <m/>
    <m/>
    <m/>
    <n v="1"/>
    <n v="0"/>
    <m/>
    <n v="0"/>
    <m/>
    <n v="0"/>
    <m/>
    <n v="0"/>
    <m/>
    <n v="0"/>
    <m/>
    <n v="0"/>
    <m/>
    <n v="0"/>
    <m/>
    <n v="0"/>
    <s v="FLINTSL"/>
    <n v="28"/>
    <n v="0"/>
    <n v="4.8333333333333357"/>
    <n v="0"/>
    <s v="RED"/>
    <s v="F00887R"/>
    <s v="FLINTSL - RED"/>
    <n v="32"/>
    <n v="0"/>
    <m/>
    <m/>
    <n v="0"/>
    <n v="26524000006"/>
    <n v="26524000007"/>
    <m/>
    <m/>
    <m/>
    <m/>
    <m/>
    <m/>
    <n v="1"/>
    <e v="#N/A"/>
    <n v="1"/>
    <e v="#N/A"/>
    <m/>
    <n v="0"/>
    <m/>
    <n v="0"/>
    <m/>
    <n v="0"/>
    <m/>
    <n v="0"/>
    <m/>
    <n v="0"/>
    <m/>
    <n v="0"/>
    <s v="FLINTSL"/>
    <n v="30"/>
    <n v="0"/>
    <n v="7.6666666666666643"/>
    <n v="0"/>
    <s v="GREEN"/>
    <s v="N00952G"/>
    <s v="FLINTSL - GREEN"/>
    <n v="20"/>
    <n v="0"/>
    <m/>
    <m/>
    <n v="0"/>
    <n v="26523000003"/>
    <n v="26522000002"/>
    <m/>
    <m/>
    <m/>
    <m/>
    <m/>
    <m/>
    <n v="5"/>
    <e v="#N/A"/>
    <n v="3"/>
    <e v="#N/A"/>
    <m/>
    <n v="0"/>
    <m/>
    <n v="0"/>
    <m/>
    <n v="0"/>
    <m/>
    <n v="0"/>
    <m/>
    <n v="0"/>
    <m/>
    <n v="0"/>
    <s v="FLINTSL"/>
    <n v="30"/>
    <n v="0"/>
    <n v="5.3333333333333357"/>
    <n v="0"/>
    <s v="REFLEX BLUE"/>
    <s v="F00887B"/>
    <s v="FLINTSL - REFLEX BLUE"/>
    <n v="24"/>
    <n v="0"/>
    <m/>
    <m/>
    <n v="0"/>
    <n v="26523000022"/>
    <n v="26522000012"/>
    <m/>
    <m/>
    <m/>
    <m/>
    <m/>
    <m/>
    <n v="35"/>
    <e v="#N/A"/>
    <n v="4"/>
    <e v="#N/A"/>
    <m/>
    <n v="0"/>
    <m/>
    <n v="0"/>
    <m/>
    <n v="0"/>
    <m/>
    <n v="0"/>
    <m/>
    <n v="0"/>
    <m/>
    <n v="0"/>
    <s v="FLINTSL"/>
    <n v="30"/>
    <n v="0"/>
    <n v="60.5"/>
    <n v="0"/>
    <s v="MAGENTA"/>
    <s v="E01026M"/>
    <s v="FLINTSL - MAGENTA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5.6666666666666643"/>
    <n v="0"/>
    <s v="YELLOW"/>
    <s v="E01026Y"/>
    <s v="FLINTSL - YELLOW"/>
    <n v="26"/>
    <n v="0"/>
    <m/>
    <m/>
    <n v="0"/>
    <n v="26524000005"/>
    <s v="FMD"/>
    <m/>
    <m/>
    <m/>
    <m/>
    <m/>
    <m/>
    <n v="20"/>
    <e v="#N/A"/>
    <n v="5"/>
    <n v="0"/>
    <m/>
    <n v="0"/>
    <m/>
    <n v="0"/>
    <m/>
    <n v="0"/>
    <m/>
    <n v="0"/>
    <m/>
    <n v="0"/>
    <m/>
    <n v="0"/>
    <s v="FLINTSL"/>
    <n v="30"/>
    <n v="0"/>
    <n v="48.5"/>
    <n v="0"/>
    <s v="WHITE"/>
    <s v="E01026W"/>
    <s v="FLINTSL - WHITE"/>
    <n v="30"/>
    <n v="0"/>
    <m/>
    <m/>
    <n v="0"/>
    <s v="FW"/>
    <m/>
    <m/>
    <m/>
    <m/>
    <m/>
    <m/>
    <m/>
    <n v="30"/>
    <n v="0"/>
    <m/>
    <n v="0"/>
    <m/>
    <n v="0"/>
    <m/>
    <n v="0"/>
    <m/>
    <n v="0"/>
    <m/>
    <n v="0"/>
    <m/>
    <n v="0"/>
    <m/>
    <n v="0"/>
    <s v="FLINTSL"/>
    <n v="30"/>
    <n v="0"/>
    <n v="57.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n v="2"/>
    <n v="4"/>
    <n v="15"/>
    <n v="2"/>
    <n v="15"/>
    <n v="15"/>
    <n v="0"/>
    <n v="0.8"/>
    <n v="0.2"/>
    <m/>
    <m/>
    <m/>
    <n v="0"/>
    <n v="99"/>
    <n v="0"/>
    <n v="0"/>
    <n v="99"/>
    <n v="99"/>
    <n v="79.2"/>
    <n v="0"/>
    <n v="19.8"/>
    <n v="0"/>
    <n v="0"/>
    <n v="0"/>
    <n v="0"/>
    <n v="0"/>
    <n v="0"/>
    <n v="0"/>
    <n v="0"/>
    <n v="0"/>
    <n v="0"/>
    <m/>
    <n v="105"/>
    <n v="190"/>
    <n v="177"/>
    <s v="FLINTSLFLINTSLFLINTSLFLINTSLFLINTSLFLINTSLFLINTSL"/>
    <s v="+"/>
    <s v="+"/>
    <s v="+"/>
    <s v="+"/>
    <s v="+"/>
    <s v="+"/>
    <s v="+"/>
    <s v="NIL"/>
    <b v="0"/>
  </r>
  <r>
    <d v="2026-01-22T00:00:00"/>
    <s v="B"/>
    <x v="274"/>
    <n v="178"/>
    <n v="539"/>
    <n v="31500"/>
    <s v="II"/>
    <s v="N"/>
    <n v="2.2000000000000002"/>
    <s v="BLACK"/>
    <s v="F00886B"/>
    <s v="FLINTSL - BLACK"/>
    <n v="28"/>
    <n v="0"/>
    <m/>
    <m/>
    <n v="0"/>
    <n v="26524000014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6"/>
    <n v="0"/>
    <n v="12.399999999999999"/>
    <n v="0"/>
    <s v="GREEN"/>
    <s v="E00886G"/>
    <s v="FLINTSL - GREEN"/>
    <n v="30"/>
    <n v="0"/>
    <m/>
    <m/>
    <n v="0"/>
    <n v="26523000022"/>
    <n v="26521000013"/>
    <m/>
    <m/>
    <m/>
    <m/>
    <m/>
    <m/>
    <n v="5"/>
    <e v="#N/A"/>
    <n v="2.5"/>
    <e v="#N/A"/>
    <m/>
    <n v="0"/>
    <m/>
    <n v="0"/>
    <m/>
    <n v="0"/>
    <m/>
    <n v="0"/>
    <m/>
    <n v="0"/>
    <m/>
    <n v="0"/>
    <s v="FLINTSL"/>
    <n v="28"/>
    <n v="0"/>
    <n v="14.899999999999999"/>
    <n v="0"/>
    <s v="RED"/>
    <s v="F00886R"/>
    <s v="FLINTSL - RED"/>
    <n v="30"/>
    <n v="0"/>
    <m/>
    <m/>
    <n v="0"/>
    <n v="26524000006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8"/>
    <n v="0"/>
    <n v="10.399999999999999"/>
    <n v="0"/>
    <s v="YELLOW"/>
    <s v="P00494Y"/>
    <s v="FLINTSL - YELLOW"/>
    <n v="32"/>
    <n v="0"/>
    <s v="N00892Y"/>
    <n v="25"/>
    <n v="0"/>
    <n v="26524000014"/>
    <n v="26523000004"/>
    <n v="26525000017"/>
    <n v="26524000006"/>
    <n v="26523000005"/>
    <m/>
    <m/>
    <m/>
    <n v="0.5"/>
    <e v="#N/A"/>
    <n v="40"/>
    <e v="#N/A"/>
    <n v="30"/>
    <e v="#N/A"/>
    <n v="3"/>
    <e v="#N/A"/>
    <n v="16"/>
    <e v="#N/A"/>
    <m/>
    <n v="0"/>
    <m/>
    <n v="0"/>
    <m/>
    <n v="0"/>
    <s v="FLINTSL"/>
    <n v="25"/>
    <n v="0"/>
    <n v="139.5"/>
    <n v="0"/>
    <s v="MAGENTA"/>
    <s v="F00886M"/>
    <s v="FLINTSL - MAGENTA"/>
    <n v="28"/>
    <n v="0"/>
    <m/>
    <m/>
    <n v="0"/>
    <n v="26524000006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9"/>
    <n v="0"/>
    <n v="7.6000000000000014"/>
    <n v="0"/>
    <s v="YELLOW"/>
    <s v="F00886Y"/>
    <s v="FLINTSL - YELLOW"/>
    <n v="30"/>
    <n v="0"/>
    <m/>
    <m/>
    <n v="0"/>
    <n v="26525000017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8"/>
    <n v="0"/>
    <n v="14.200000000000003"/>
    <n v="0"/>
    <s v="WHITE"/>
    <s v="F00886W"/>
    <s v="FLINTSL - WHITE"/>
    <n v="30"/>
    <n v="0"/>
    <m/>
    <m/>
    <n v="0"/>
    <s v="FW"/>
    <m/>
    <m/>
    <m/>
    <m/>
    <m/>
    <m/>
    <m/>
    <n v="150"/>
    <n v="0"/>
    <m/>
    <n v="0"/>
    <m/>
    <n v="0"/>
    <m/>
    <n v="0"/>
    <m/>
    <n v="0"/>
    <m/>
    <n v="0"/>
    <m/>
    <n v="0"/>
    <m/>
    <n v="0"/>
    <s v="FLINTSL"/>
    <n v="27"/>
    <n v="0"/>
    <n v="29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3"/>
    <n v="3"/>
    <n v="10"/>
    <n v="2"/>
    <n v="4"/>
    <n v="80"/>
    <n v="0"/>
    <n v="0.8"/>
    <n v="0.2"/>
    <m/>
    <m/>
    <m/>
    <n v="0"/>
    <n v="189"/>
    <n v="0"/>
    <n v="0"/>
    <n v="189"/>
    <n v="189"/>
    <n v="151.20000000000002"/>
    <n v="0"/>
    <n v="37.800000000000004"/>
    <n v="0"/>
    <n v="0"/>
    <n v="0"/>
    <n v="0"/>
    <n v="0"/>
    <n v="0"/>
    <n v="0"/>
    <n v="0"/>
    <n v="0"/>
    <n v="0"/>
    <m/>
    <n v="265"/>
    <n v="496"/>
    <n v="178"/>
    <s v="FLINTSLFLINTSLFLINTSLFLINTSLFLINTSLFLINTSLFLINTSL"/>
    <s v="+"/>
    <s v="+"/>
    <s v="+"/>
    <s v="+"/>
    <s v="+"/>
    <s v="+"/>
    <s v="+"/>
    <s v="NIL"/>
    <b v="0"/>
  </r>
  <r>
    <d v="2026-01-23T00:00:00"/>
    <s v="A"/>
    <x v="275"/>
    <n v="179"/>
    <n v="543"/>
    <n v="31700"/>
    <s v="II"/>
    <s v="N"/>
    <n v="2.4"/>
    <s v="BLACK"/>
    <s v="F00891B"/>
    <s v="FLINTSL - BLACK"/>
    <n v="26"/>
    <n v="0"/>
    <m/>
    <m/>
    <n v="0"/>
    <n v="26524000014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7"/>
    <n v="0"/>
    <n v="8.588235294117645"/>
    <n v="0"/>
    <s v="RED"/>
    <s v="F00891R"/>
    <s v="FLINTSL - RED"/>
    <n v="28"/>
    <n v="0"/>
    <m/>
    <m/>
    <n v="0"/>
    <n v="26524000032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9"/>
    <n v="0"/>
    <n v="14.17647058823529"/>
    <n v="0"/>
    <s v="ORANGE"/>
    <s v="F00891O"/>
    <s v="FLINTSL - ORANGE"/>
    <n v="25"/>
    <n v="0"/>
    <m/>
    <m/>
    <n v="0"/>
    <n v="26525000014"/>
    <n v="26524000007"/>
    <s v="FMD"/>
    <n v="26524000006"/>
    <m/>
    <m/>
    <m/>
    <m/>
    <n v="25"/>
    <e v="#N/A"/>
    <n v="15"/>
    <e v="#N/A"/>
    <n v="10"/>
    <n v="0"/>
    <n v="3"/>
    <e v="#N/A"/>
    <m/>
    <n v="0"/>
    <m/>
    <n v="0"/>
    <m/>
    <n v="0"/>
    <m/>
    <n v="0"/>
    <s v="FLINTSL"/>
    <n v="25"/>
    <n v="0"/>
    <n v="80.941176470588232"/>
    <n v="0"/>
    <s v="CYAN"/>
    <s v="E01026C"/>
    <s v="FLINTSL - CYAN"/>
    <n v="29"/>
    <n v="0"/>
    <m/>
    <m/>
    <n v="0"/>
    <s v="FMD"/>
    <m/>
    <m/>
    <m/>
    <m/>
    <m/>
    <m/>
    <m/>
    <n v="7"/>
    <n v="0"/>
    <m/>
    <n v="0"/>
    <m/>
    <n v="0"/>
    <m/>
    <n v="0"/>
    <m/>
    <n v="0"/>
    <m/>
    <n v="0"/>
    <m/>
    <n v="0"/>
    <m/>
    <n v="0"/>
    <s v="FLINTSL"/>
    <n v="29"/>
    <n v="0"/>
    <n v="12.588235294117645"/>
    <n v="0"/>
    <s v="MAGENTA"/>
    <s v="F00891M"/>
    <s v="FLINTSL - MAGENTA"/>
    <n v="29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30"/>
    <n v="0"/>
    <n v="11.313725490196077"/>
    <n v="0"/>
    <s v="YELLOW"/>
    <s v="F00891Y"/>
    <s v="FLINTSL - YELLOW"/>
    <n v="28"/>
    <n v="0"/>
    <m/>
    <m/>
    <n v="0"/>
    <n v="26525000014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21.627450980392155"/>
    <n v="0"/>
    <s v="WHITE"/>
    <s v="F00891W"/>
    <s v="FLINTSL - WHITE"/>
    <n v="27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24"/>
    <n v="0"/>
    <n v="214.7647058823529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6"/>
    <n v="15"/>
    <n v="3"/>
    <n v="5"/>
    <n v="10"/>
    <n v="60"/>
    <n v="0"/>
    <n v="0.8"/>
    <n v="0.2"/>
    <m/>
    <m/>
    <m/>
    <n v="0"/>
    <n v="190"/>
    <n v="0"/>
    <n v="0"/>
    <n v="190"/>
    <n v="190"/>
    <n v="152"/>
    <n v="0"/>
    <n v="38"/>
    <n v="0"/>
    <n v="0"/>
    <n v="0"/>
    <n v="0"/>
    <n v="0"/>
    <n v="0"/>
    <n v="0"/>
    <n v="0"/>
    <n v="0"/>
    <n v="0"/>
    <m/>
    <n v="176"/>
    <n v="364"/>
    <n v="179"/>
    <s v="FLINTSLFLINTSLFLINTSLFLINTSLFLINTSLFLINTSLFLINTSL"/>
    <s v="+"/>
    <s v="+"/>
    <s v="+"/>
    <s v="+"/>
    <s v="+"/>
    <s v="+"/>
    <s v="+"/>
    <s v="NIL"/>
    <b v="0"/>
  </r>
  <r>
    <d v="2026-01-23T00:00:00"/>
    <s v="A"/>
    <x v="276"/>
    <n v="180"/>
    <n v="2452"/>
    <n v="121700"/>
    <s v="II"/>
    <s v="N"/>
    <n v="2.0699999999999998"/>
    <s v="BLACK"/>
    <s v="F00889B"/>
    <s v="FLINTSL - BLACK"/>
    <n v="27"/>
    <n v="0"/>
    <m/>
    <m/>
    <n v="0"/>
    <n v="26524000014"/>
    <s v="FMD"/>
    <m/>
    <m/>
    <m/>
    <m/>
    <m/>
    <m/>
    <n v="5"/>
    <e v="#N/A"/>
    <n v="10"/>
    <n v="0"/>
    <m/>
    <n v="0"/>
    <m/>
    <n v="0"/>
    <m/>
    <n v="0"/>
    <m/>
    <n v="0"/>
    <m/>
    <n v="0"/>
    <m/>
    <n v="0"/>
    <s v="FLINTSL"/>
    <n v="24"/>
    <n v="0"/>
    <n v="51.454545454545453"/>
    <n v="0"/>
    <s v="REFLEX BLUE"/>
    <s v="F00863B"/>
    <s v="FLINTSL - REFLEX BLUE"/>
    <n v="24"/>
    <n v="0"/>
    <s v="F00879B/P00452B/F00874B/N00903B/N00892B"/>
    <n v="116"/>
    <n v="0"/>
    <n v="26522000020"/>
    <n v="26522000012"/>
    <n v="26523000017"/>
    <n v="26523000002"/>
    <m/>
    <m/>
    <m/>
    <m/>
    <n v="15"/>
    <e v="#N/A"/>
    <n v="26"/>
    <e v="#N/A"/>
    <n v="20"/>
    <e v="#N/A"/>
    <n v="20"/>
    <e v="#N/A"/>
    <m/>
    <n v="0"/>
    <m/>
    <n v="0"/>
    <m/>
    <n v="0"/>
    <m/>
    <n v="0"/>
    <s v="FLINTSL"/>
    <n v="40"/>
    <n v="0"/>
    <n v="225.60606060606062"/>
    <n v="0"/>
    <s v="RED"/>
    <s v="F00889R"/>
    <s v="FLINTSL - RED"/>
    <n v="29"/>
    <n v="0"/>
    <m/>
    <m/>
    <n v="0"/>
    <n v="26524000014"/>
    <n v="26524000032"/>
    <n v="26524000006"/>
    <m/>
    <m/>
    <m/>
    <m/>
    <m/>
    <n v="0.2"/>
    <e v="#N/A"/>
    <n v="4"/>
    <e v="#N/A"/>
    <n v="2"/>
    <e v="#N/A"/>
    <m/>
    <n v="0"/>
    <m/>
    <n v="0"/>
    <m/>
    <n v="0"/>
    <m/>
    <n v="0"/>
    <m/>
    <n v="0"/>
    <s v="FLINTSL"/>
    <n v="26"/>
    <n v="0"/>
    <n v="20.351515151515159"/>
    <n v="0"/>
    <s v="CYAN"/>
    <s v="F00889C"/>
    <s v="FLINTSL - CYAN"/>
    <n v="29"/>
    <n v="0"/>
    <m/>
    <m/>
    <n v="0"/>
    <n v="26523000026"/>
    <s v="FMD"/>
    <m/>
    <m/>
    <m/>
    <m/>
    <m/>
    <m/>
    <n v="25"/>
    <e v="#N/A"/>
    <n v="10"/>
    <n v="0"/>
    <m/>
    <n v="0"/>
    <m/>
    <n v="0"/>
    <m/>
    <n v="0"/>
    <m/>
    <n v="0"/>
    <m/>
    <n v="0"/>
    <m/>
    <n v="0"/>
    <s v="FLINTSL"/>
    <n v="30"/>
    <n v="0"/>
    <n v="56.303030303030312"/>
    <n v="0"/>
    <s v="MAGENTA"/>
    <s v="F00889M"/>
    <s v="FLINTSL - MAGENTA"/>
    <n v="30"/>
    <n v="0"/>
    <m/>
    <m/>
    <n v="0"/>
    <n v="26524000022"/>
    <s v="FMD"/>
    <m/>
    <m/>
    <m/>
    <m/>
    <m/>
    <m/>
    <n v="10"/>
    <e v="#N/A"/>
    <n v="10"/>
    <n v="0"/>
    <m/>
    <n v="0"/>
    <m/>
    <n v="0"/>
    <m/>
    <n v="0"/>
    <m/>
    <n v="0"/>
    <m/>
    <n v="0"/>
    <m/>
    <n v="0"/>
    <s v="FLINTSL"/>
    <n v="27"/>
    <n v="0"/>
    <n v="45.303030303030312"/>
    <n v="0"/>
    <s v="YELLOW"/>
    <s v="F00889Y"/>
    <s v="FLINTSL - YELLOW"/>
    <n v="30"/>
    <n v="0"/>
    <m/>
    <m/>
    <n v="0"/>
    <n v="26523000024"/>
    <s v="FMD"/>
    <m/>
    <m/>
    <m/>
    <m/>
    <m/>
    <m/>
    <n v="18"/>
    <e v="#N/A"/>
    <n v="10"/>
    <n v="0"/>
    <m/>
    <n v="0"/>
    <m/>
    <n v="0"/>
    <m/>
    <n v="0"/>
    <m/>
    <n v="0"/>
    <m/>
    <n v="0"/>
    <m/>
    <n v="0"/>
    <s v="FLINTSL"/>
    <n v="30"/>
    <n v="0"/>
    <n v="50.303030303030312"/>
    <n v="0"/>
    <s v="WHITE"/>
    <s v="F00889W"/>
    <s v="FLINTSL - WHITE"/>
    <n v="24"/>
    <n v="0"/>
    <m/>
    <m/>
    <n v="0"/>
    <s v="FW"/>
    <m/>
    <m/>
    <m/>
    <m/>
    <m/>
    <m/>
    <m/>
    <n v="400"/>
    <n v="0"/>
    <m/>
    <n v="0"/>
    <m/>
    <n v="0"/>
    <m/>
    <n v="0"/>
    <m/>
    <n v="0"/>
    <m/>
    <n v="0"/>
    <m/>
    <n v="0"/>
    <m/>
    <n v="0"/>
    <s v="FLINTSL"/>
    <n v="30"/>
    <n v="0"/>
    <n v="973.8787878787878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5"/>
    <n v="20"/>
    <n v="5"/>
    <n v="10"/>
    <n v="10"/>
    <n v="10"/>
    <n v="260"/>
    <n v="0"/>
    <n v="0.8"/>
    <n v="0.2"/>
    <m/>
    <m/>
    <m/>
    <n v="0"/>
    <n v="736"/>
    <n v="0"/>
    <n v="0"/>
    <n v="736"/>
    <n v="736"/>
    <n v="588.80000000000007"/>
    <n v="0"/>
    <n v="147.20000000000002"/>
    <n v="0"/>
    <n v="0"/>
    <n v="0"/>
    <n v="0"/>
    <n v="0"/>
    <n v="0"/>
    <n v="0"/>
    <n v="0"/>
    <n v="0"/>
    <n v="0"/>
    <m/>
    <n v="585.20000000000005"/>
    <n v="1423.2"/>
    <n v="180"/>
    <s v="FLINTSLFLINTSLFLINTSLFLINTSLFLINTSLFLINTSLFLINTSL"/>
    <s v="+"/>
    <s v="+"/>
    <s v="+"/>
    <s v="+"/>
    <s v="+"/>
    <s v="+"/>
    <s v="+"/>
    <s v="NIL"/>
    <b v="0"/>
  </r>
  <r>
    <d v="2026-01-23T00:00:00"/>
    <s v="B"/>
    <x v="277"/>
    <n v="181"/>
    <n v="2753"/>
    <n v="46100"/>
    <s v="II"/>
    <s v="N"/>
    <n v="0.05"/>
    <s v="BLACK"/>
    <m/>
    <s v="FLINTSL - BLACK"/>
    <m/>
    <n v="0"/>
    <m/>
    <m/>
    <n v="0"/>
    <n v="26524000014"/>
    <n v="26521000006"/>
    <n v="26523000002"/>
    <m/>
    <m/>
    <m/>
    <m/>
    <m/>
    <n v="21"/>
    <e v="#N/A"/>
    <n v="1"/>
    <e v="#N/A"/>
    <n v="1"/>
    <e v="#N/A"/>
    <m/>
    <n v="0"/>
    <m/>
    <n v="0"/>
    <m/>
    <n v="0"/>
    <m/>
    <n v="0"/>
    <m/>
    <n v="0"/>
    <s v="FLINTSL"/>
    <n v="28"/>
    <n v="0"/>
    <n v="3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0"/>
    <n v="0"/>
    <n v="0"/>
    <n v="0"/>
    <n v="0"/>
    <n v="0"/>
    <n v="0"/>
    <n v="0.8"/>
    <n v="0.2"/>
    <m/>
    <m/>
    <m/>
    <n v="0"/>
    <n v="40"/>
    <n v="0"/>
    <n v="0"/>
    <n v="40"/>
    <n v="40"/>
    <n v="32"/>
    <n v="0"/>
    <n v="8"/>
    <n v="0"/>
    <n v="0"/>
    <n v="0"/>
    <n v="0"/>
    <n v="0"/>
    <n v="0"/>
    <n v="0"/>
    <n v="0"/>
    <n v="0"/>
    <n v="0"/>
    <m/>
    <n v="23"/>
    <n v="35"/>
    <n v="181"/>
    <s v="FLINTSL"/>
    <s v="+"/>
    <s v="NIL"/>
    <s v="NIL"/>
    <s v="NIL"/>
    <s v="NIL"/>
    <s v="NIL"/>
    <s v="NIL"/>
    <s v="NIL"/>
    <b v="0"/>
  </r>
  <r>
    <d v="2026-01-23T00:00:00"/>
    <s v="B"/>
    <x v="278"/>
    <n v="182"/>
    <n v="503"/>
    <n v="42800"/>
    <s v="II"/>
    <s v="N"/>
    <n v="0.1"/>
    <s v="BLACK"/>
    <s v="C01494B"/>
    <s v="FLINTSL - BLACK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4"/>
    <n v="0"/>
    <n v="13.142857142857139"/>
    <n v="0"/>
    <s v="WHITE"/>
    <s v="E01027W"/>
    <s v="FLINTSL - WHITE"/>
    <n v="30"/>
    <n v="0"/>
    <m/>
    <m/>
    <n v="0"/>
    <s v="FW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30"/>
    <n v="0"/>
    <n v="32.85714285714286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0"/>
    <n v="0"/>
    <n v="0"/>
    <n v="0"/>
    <n v="0"/>
    <n v="0"/>
    <n v="0.8"/>
    <n v="0.2"/>
    <m/>
    <m/>
    <m/>
    <n v="0"/>
    <n v="32"/>
    <n v="0"/>
    <n v="0"/>
    <n v="32"/>
    <n v="32"/>
    <n v="25.6"/>
    <n v="0"/>
    <n v="6.4"/>
    <n v="0"/>
    <n v="0"/>
    <n v="0"/>
    <n v="0"/>
    <n v="0"/>
    <n v="0"/>
    <n v="0"/>
    <n v="0"/>
    <n v="0"/>
    <n v="0"/>
    <m/>
    <n v="10"/>
    <n v="46"/>
    <n v="182"/>
    <s v="FLINTSLFLINTSL"/>
    <s v="+"/>
    <s v="+"/>
    <s v="NIL"/>
    <s v="NIL"/>
    <s v="NIL"/>
    <s v="NIL"/>
    <s v="NIL"/>
    <s v="NIL"/>
    <b v="0"/>
  </r>
  <r>
    <d v="2026-01-23T00:00:00"/>
    <s v="B"/>
    <x v="279"/>
    <n v="183"/>
    <n v="253"/>
    <n v="21300"/>
    <s v="II"/>
    <s v="N"/>
    <n v="1.4"/>
    <s v="BLACK"/>
    <m/>
    <s v="ToyoLi - BLACK"/>
    <m/>
    <n v="0"/>
    <m/>
    <m/>
    <n v="0"/>
    <s v="R92"/>
    <s v="RTMD"/>
    <m/>
    <m/>
    <m/>
    <m/>
    <m/>
    <m/>
    <n v="18"/>
    <n v="0"/>
    <n v="5"/>
    <n v="0"/>
    <m/>
    <n v="0"/>
    <m/>
    <n v="0"/>
    <m/>
    <n v="0"/>
    <m/>
    <n v="0"/>
    <m/>
    <n v="0"/>
    <m/>
    <n v="0"/>
    <s v="ToyoLi"/>
    <n v="26"/>
    <n v="0"/>
    <n v="10.810344827586206"/>
    <n v="0"/>
    <s v="GOLD"/>
    <s v="H01357G"/>
    <s v="FLINTSL - GOLD"/>
    <n v="24"/>
    <n v="0"/>
    <m/>
    <m/>
    <n v="0"/>
    <s v="FGO"/>
    <s v="TPT"/>
    <m/>
    <m/>
    <m/>
    <m/>
    <m/>
    <m/>
    <n v="8"/>
    <n v="0"/>
    <n v="4"/>
    <n v="0"/>
    <m/>
    <n v="0"/>
    <m/>
    <n v="0"/>
    <m/>
    <n v="0"/>
    <m/>
    <n v="0"/>
    <m/>
    <n v="0"/>
    <m/>
    <n v="0"/>
    <s v="FLINTSL"/>
    <n v="37"/>
    <n v="0"/>
    <n v="2.0689655172413808"/>
    <n v="0"/>
    <s v="RED"/>
    <s v="G00403R"/>
    <s v="FLINTSL - RED"/>
    <n v="20"/>
    <n v="0"/>
    <m/>
    <m/>
    <n v="0"/>
    <n v="26524000032"/>
    <n v="26525000003"/>
    <n v="26524000022"/>
    <m/>
    <m/>
    <m/>
    <m/>
    <m/>
    <n v="10"/>
    <e v="#N/A"/>
    <n v="4"/>
    <e v="#N/A"/>
    <n v="2"/>
    <e v="#N/A"/>
    <m/>
    <n v="0"/>
    <m/>
    <n v="0"/>
    <m/>
    <n v="0"/>
    <m/>
    <n v="0"/>
    <m/>
    <n v="0"/>
    <s v="FLINTSL"/>
    <n v="24"/>
    <n v="0"/>
    <n v="18.137931034482762"/>
    <n v="0"/>
    <s v="CYAN"/>
    <s v="E01027C"/>
    <s v="FLINTSL - CYAN"/>
    <n v="30"/>
    <n v="0"/>
    <m/>
    <m/>
    <n v="0"/>
    <n v="26523000002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3"/>
    <n v="0"/>
    <n v="5.6034482758620712"/>
    <n v="0"/>
    <s v="MAGENTA"/>
    <s v="E01027M"/>
    <s v="FLINTSL - MAGENTA"/>
    <n v="27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6"/>
    <n v="0"/>
    <n v="6.0689655172413808"/>
    <n v="0"/>
    <s v="YELLOW"/>
    <s v="E01027Y"/>
    <s v="FLINTSL - YELLOW"/>
    <n v="30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8"/>
    <n v="0"/>
    <n v="8.6034482758620712"/>
    <n v="0"/>
    <s v="YELLOW"/>
    <m/>
    <s v="FLINTSL - YELLOW"/>
    <m/>
    <n v="0"/>
    <m/>
    <m/>
    <n v="0"/>
    <n v="26524000002"/>
    <n v="26524000001"/>
    <n v="26524000003"/>
    <s v="TPT"/>
    <m/>
    <m/>
    <m/>
    <m/>
    <n v="30"/>
    <e v="#N/A"/>
    <n v="40"/>
    <e v="#N/A"/>
    <n v="20"/>
    <e v="#N/A"/>
    <n v="6"/>
    <n v="0"/>
    <m/>
    <n v="0"/>
    <m/>
    <n v="0"/>
    <m/>
    <n v="0"/>
    <m/>
    <n v="0"/>
    <s v="FLINTSL"/>
    <n v="24"/>
    <n v="0"/>
    <n v="79.672413793103445"/>
    <n v="0"/>
    <s v="WHITE"/>
    <s v="E01027W"/>
    <s v="FLINTSL - WHITE"/>
    <n v="3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20"/>
    <n v="0"/>
    <n v="106.0344827586207"/>
    <n v="0"/>
    <n v="9"/>
    <n v="2"/>
    <n v="4"/>
    <n v="3"/>
    <n v="2"/>
    <n v="3"/>
    <n v="5"/>
    <n v="30"/>
    <n v="0.8"/>
    <n v="0.2"/>
    <m/>
    <m/>
    <m/>
    <n v="0"/>
    <n v="89"/>
    <n v="0"/>
    <n v="0"/>
    <n v="89"/>
    <n v="89"/>
    <n v="71.2"/>
    <n v="0"/>
    <n v="17.8"/>
    <n v="0"/>
    <n v="0"/>
    <n v="0"/>
    <n v="0"/>
    <n v="0"/>
    <n v="0"/>
    <n v="0"/>
    <n v="0"/>
    <n v="0"/>
    <n v="0"/>
    <m/>
    <n v="205"/>
    <n v="237"/>
    <n v="183"/>
    <s v="ToyoLiFLINTSLFLINTSLFLINTSLFLINTSLFLINTSLFLINTSLFLINTSL"/>
    <s v="+"/>
    <s v="+"/>
    <s v="+"/>
    <s v="+"/>
    <s v="+"/>
    <s v="+"/>
    <s v="+"/>
    <s v="+"/>
    <b v="0"/>
  </r>
  <r>
    <d v="2026-01-24T00:00:00"/>
    <s v="A"/>
    <x v="280"/>
    <n v="184"/>
    <n v="292"/>
    <n v="20200"/>
    <s v="II"/>
    <s v="N"/>
    <n v="1.45"/>
    <s v="BLACK"/>
    <s v="E01029B"/>
    <s v="ToyoLi - BLACK"/>
    <n v="26"/>
    <n v="0"/>
    <m/>
    <m/>
    <n v="0"/>
    <s v="R92"/>
    <s v="RTMD"/>
    <m/>
    <m/>
    <m/>
    <m/>
    <m/>
    <m/>
    <n v="5"/>
    <n v="0"/>
    <n v="4"/>
    <n v="0"/>
    <m/>
    <n v="0"/>
    <m/>
    <n v="0"/>
    <m/>
    <n v="0"/>
    <m/>
    <n v="0"/>
    <m/>
    <n v="0"/>
    <m/>
    <n v="0"/>
    <s v="ToyoLi"/>
    <n v="35"/>
    <n v="0"/>
    <n v="9.6486486486486456"/>
    <n v="0"/>
    <s v="RED"/>
    <s v="E01029R"/>
    <s v="FLINTSL - RED"/>
    <n v="9"/>
    <n v="0"/>
    <s v="E01015R"/>
    <n v="12"/>
    <n v="0"/>
    <n v="26524000032"/>
    <n v="26524000022"/>
    <n v="26524000004"/>
    <m/>
    <m/>
    <m/>
    <m/>
    <m/>
    <n v="7"/>
    <e v="#N/A"/>
    <n v="5"/>
    <e v="#N/A"/>
    <n v="40"/>
    <e v="#N/A"/>
    <m/>
    <n v="0"/>
    <m/>
    <n v="0"/>
    <m/>
    <n v="0"/>
    <m/>
    <n v="0"/>
    <m/>
    <n v="0"/>
    <s v="FLINTSL"/>
    <n v="24"/>
    <n v="0"/>
    <n v="62.78378378378379"/>
    <n v="0"/>
    <s v="YELLOW"/>
    <s v="E01029Y"/>
    <s v="FLINTSL - YELLOW"/>
    <n v="24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8"/>
    <n v="0"/>
    <n v="7.8918918918918948"/>
    <n v="0"/>
    <s v="CYAN"/>
    <s v="E01029C"/>
    <s v="FLINTSL - CYAN"/>
    <n v="20"/>
    <n v="0"/>
    <m/>
    <m/>
    <n v="0"/>
    <n v="26523000028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27"/>
    <n v="0"/>
    <n v="9.2702702702702737"/>
    <n v="0"/>
    <s v="MAGENTA"/>
    <s v="E01029M"/>
    <s v="FLINTSL - MAGENTA"/>
    <n v="26"/>
    <n v="0"/>
    <m/>
    <m/>
    <n v="0"/>
    <n v="26524000006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8.5135135135135158"/>
    <n v="0"/>
    <s v="RED"/>
    <s v="E01029R"/>
    <s v="FLINTSL - RED"/>
    <n v="15"/>
    <n v="0"/>
    <m/>
    <m/>
    <n v="0"/>
    <n v="26524000022"/>
    <n v="26525000003"/>
    <m/>
    <m/>
    <m/>
    <m/>
    <m/>
    <m/>
    <n v="10"/>
    <e v="#N/A"/>
    <n v="5"/>
    <e v="#N/A"/>
    <m/>
    <n v="0"/>
    <m/>
    <n v="0"/>
    <m/>
    <n v="0"/>
    <m/>
    <n v="0"/>
    <m/>
    <n v="0"/>
    <m/>
    <n v="0"/>
    <s v="FLINTSL"/>
    <n v="33"/>
    <n v="0"/>
    <n v="10.783783783783782"/>
    <n v="0"/>
    <s v="YELLOW"/>
    <s v="E01029Y"/>
    <s v="FLINTSL - YELLOW"/>
    <n v="28"/>
    <n v="0"/>
    <m/>
    <m/>
    <n v="0"/>
    <n v="26524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6"/>
    <n v="0"/>
    <n v="6.7567567567567579"/>
    <n v="0"/>
    <s v="WHITE"/>
    <s v="E01029W"/>
    <s v="FLINTSL - WHITE"/>
    <n v="2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2"/>
    <n v="0"/>
    <n v="89.351351351351354"/>
    <n v="0"/>
    <n v="7"/>
    <n v="10"/>
    <n v="5"/>
    <n v="6"/>
    <n v="4"/>
    <n v="10"/>
    <n v="2"/>
    <n v="30"/>
    <n v="0.8"/>
    <n v="0.2"/>
    <m/>
    <m/>
    <m/>
    <n v="0"/>
    <n v="102"/>
    <n v="0"/>
    <n v="0"/>
    <n v="102"/>
    <n v="102"/>
    <n v="81.600000000000009"/>
    <n v="0"/>
    <n v="20.400000000000002"/>
    <n v="0"/>
    <n v="0"/>
    <n v="0"/>
    <n v="0"/>
    <n v="0"/>
    <n v="0"/>
    <n v="0"/>
    <n v="0"/>
    <n v="0"/>
    <n v="0"/>
    <m/>
    <n v="153"/>
    <n v="205"/>
    <n v="184"/>
    <s v="ToyoLiFLINTSLFLINTSLFLINTSLFLINTSLFLINTSLFLINTSLFLINTSL"/>
    <s v="+"/>
    <s v="+"/>
    <s v="+"/>
    <s v="+"/>
    <s v="+"/>
    <s v="+"/>
    <s v="+"/>
    <s v="+"/>
    <b v="0"/>
  </r>
  <r>
    <d v="2026-01-24T00:00:00"/>
    <s v="A"/>
    <x v="281"/>
    <n v="185"/>
    <n v="964"/>
    <n v="47900"/>
    <s v="II"/>
    <s v="N"/>
    <n v="2.15"/>
    <s v="BLACK"/>
    <s v="C01511B"/>
    <s v="FLINTSL - BLACK"/>
    <n v="25"/>
    <n v="0"/>
    <s v="N00905B"/>
    <n v="15"/>
    <n v="0"/>
    <n v="26521000006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0"/>
    <n v="0"/>
    <n v="20.127272727272725"/>
    <n v="0"/>
    <s v="RED"/>
    <s v="C01511R"/>
    <s v="FLINTSL - RED"/>
    <n v="30"/>
    <n v="0"/>
    <m/>
    <m/>
    <n v="0"/>
    <n v="2652400003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12.212121212121211"/>
    <n v="0"/>
    <s v="BLACK"/>
    <m/>
    <s v="FLINTSL - BLACK"/>
    <m/>
    <n v="0"/>
    <m/>
    <m/>
    <n v="0"/>
    <n v="26523000017"/>
    <n v="26524000011"/>
    <n v="26524000017"/>
    <n v="26524000016"/>
    <n v="26524000015"/>
    <m/>
    <m/>
    <m/>
    <n v="4"/>
    <e v="#N/A"/>
    <n v="40"/>
    <e v="#N/A"/>
    <n v="40"/>
    <e v="#N/A"/>
    <n v="20"/>
    <e v="#N/A"/>
    <n v="20"/>
    <e v="#N/A"/>
    <m/>
    <n v="0"/>
    <m/>
    <n v="0"/>
    <m/>
    <n v="0"/>
    <s v="FLINTSL"/>
    <n v="23"/>
    <n v="0"/>
    <n v="121.42424242424244"/>
    <n v="0"/>
    <s v="YELLOW"/>
    <s v="E01031Y"/>
    <s v="FLINTSL - YELLOW"/>
    <n v="20"/>
    <n v="0"/>
    <m/>
    <m/>
    <n v="0"/>
    <n v="26524000032"/>
    <n v="26524000022"/>
    <s v="TPT"/>
    <m/>
    <m/>
    <m/>
    <m/>
    <m/>
    <n v="1"/>
    <e v="#N/A"/>
    <n v="0.3"/>
    <e v="#N/A"/>
    <n v="4"/>
    <n v="0"/>
    <m/>
    <n v="0"/>
    <m/>
    <n v="0"/>
    <m/>
    <n v="0"/>
    <m/>
    <n v="0"/>
    <m/>
    <n v="0"/>
    <s v="FLINTSL"/>
    <n v="25"/>
    <n v="0"/>
    <n v="14.596969696969701"/>
    <n v="0"/>
    <s v="CYAN"/>
    <s v="C01511C"/>
    <s v="FLINTSL - CYAN"/>
    <n v="26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40"/>
    <n v="0"/>
    <n v="1.212121212121211"/>
    <n v="0"/>
    <s v="MAGENTA"/>
    <s v="C01511M"/>
    <s v="FLINTSL - MAGENTA"/>
    <n v="24"/>
    <n v="0"/>
    <m/>
    <m/>
    <n v="0"/>
    <n v="26524000022"/>
    <s v="FMD"/>
    <m/>
    <m/>
    <m/>
    <m/>
    <m/>
    <m/>
    <n v="2"/>
    <e v="#N/A"/>
    <n v="6"/>
    <n v="0"/>
    <m/>
    <n v="0"/>
    <m/>
    <n v="0"/>
    <m/>
    <n v="0"/>
    <m/>
    <n v="0"/>
    <m/>
    <n v="0"/>
    <m/>
    <n v="0"/>
    <s v="FLINTSL"/>
    <n v="30"/>
    <n v="0"/>
    <n v="12.212121212121211"/>
    <n v="0"/>
    <s v="YELLOW"/>
    <s v="C01511Y"/>
    <s v="FLINTSL - YELLOW"/>
    <n v="24"/>
    <n v="0"/>
    <m/>
    <m/>
    <n v="0"/>
    <s v="TPT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27"/>
    <n v="0"/>
    <n v="27.424242424242422"/>
    <n v="0"/>
    <s v="WHITE"/>
    <s v="C01511W"/>
    <s v="FLINTSL - WHITE"/>
    <n v="29"/>
    <n v="0"/>
    <m/>
    <m/>
    <n v="0"/>
    <s v="FW"/>
    <m/>
    <m/>
    <m/>
    <m/>
    <m/>
    <m/>
    <m/>
    <n v="200"/>
    <n v="0"/>
    <m/>
    <n v="0"/>
    <m/>
    <n v="0"/>
    <m/>
    <n v="0"/>
    <m/>
    <n v="0"/>
    <m/>
    <n v="0"/>
    <m/>
    <n v="0"/>
    <m/>
    <n v="0"/>
    <s v="FLINTSL"/>
    <n v="24"/>
    <n v="0"/>
    <n v="450.09090909090912"/>
    <n v="0"/>
    <n v="3"/>
    <n v="5"/>
    <n v="10"/>
    <n v="7"/>
    <n v="5"/>
    <n v="5"/>
    <n v="10"/>
    <n v="120"/>
    <n v="0.8"/>
    <n v="0.2"/>
    <m/>
    <m/>
    <m/>
    <n v="0"/>
    <n v="337"/>
    <n v="0"/>
    <n v="0"/>
    <n v="337"/>
    <n v="337"/>
    <n v="269.60000000000002"/>
    <n v="0"/>
    <n v="67.400000000000006"/>
    <n v="0"/>
    <n v="0"/>
    <n v="0"/>
    <n v="0"/>
    <n v="0"/>
    <n v="0"/>
    <n v="0"/>
    <n v="0"/>
    <n v="0"/>
    <n v="0"/>
    <m/>
    <n v="358.3"/>
    <n v="659.30000000000007"/>
    <n v="185"/>
    <s v="FLINTSLFLINTSLFLINTSLFLINTSLFLINTSLFLINTSLFLINTSLFLINTSL"/>
    <s v="+"/>
    <s v="+"/>
    <s v="+"/>
    <s v="+"/>
    <s v="+"/>
    <s v="+"/>
    <s v="+"/>
    <s v="+"/>
    <b v="0"/>
  </r>
  <r>
    <d v="2026-01-24T00:00:00"/>
    <s v="A"/>
    <x v="282"/>
    <n v="186"/>
    <n v="16"/>
    <n v="700"/>
    <s v="II"/>
    <s v="N"/>
    <n v="1.25"/>
    <s v="BLACK"/>
    <s v="H01394B"/>
    <s v="FLINTSL - BLACK"/>
    <n v="24"/>
    <n v="0"/>
    <m/>
    <m/>
    <n v="0"/>
    <n v="26523000002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5"/>
    <n v="0"/>
    <n v="5.4883720930232549"/>
    <n v="0"/>
    <s v="RED"/>
    <s v="E01031R"/>
    <s v="FLINTSL - RED"/>
    <n v="24"/>
    <n v="0"/>
    <m/>
    <m/>
    <n v="0"/>
    <n v="26525000003"/>
    <n v="26524000032"/>
    <n v="26524000006"/>
    <m/>
    <m/>
    <m/>
    <m/>
    <m/>
    <n v="7"/>
    <e v="#N/A"/>
    <n v="2"/>
    <e v="#N/A"/>
    <n v="1"/>
    <e v="#N/A"/>
    <m/>
    <n v="0"/>
    <m/>
    <n v="0"/>
    <m/>
    <n v="0"/>
    <m/>
    <n v="0"/>
    <m/>
    <n v="0"/>
    <s v="FLINTSL"/>
    <n v="30"/>
    <n v="0"/>
    <n v="15.627906976744185"/>
    <n v="0"/>
    <s v="CYAN"/>
    <s v="E01031C"/>
    <s v="FLINTSL - CYAN"/>
    <n v="27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6"/>
    <n v="0"/>
    <n v="7.3255813953488342"/>
    <n v="0"/>
    <s v="MAGENTA"/>
    <s v="E01031M"/>
    <s v="FLINTSL - MAGENTA"/>
    <n v="25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4"/>
    <n v="0"/>
    <n v="6.3255813953488378"/>
    <n v="0"/>
    <s v="YELLOW"/>
    <s v="E01031Y"/>
    <s v="FLINTSL - YELLOW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4"/>
    <n v="0"/>
    <n v="7.6511627906976756"/>
    <n v="0"/>
    <s v="GOLD"/>
    <s v="E01029G"/>
    <s v="INK PRODUCT - GOLD"/>
    <n v="37"/>
    <n v="0"/>
    <m/>
    <m/>
    <n v="0"/>
    <n v="26524000006"/>
    <m/>
    <m/>
    <m/>
    <m/>
    <m/>
    <m/>
    <m/>
    <n v="0.2"/>
    <e v="#N/A"/>
    <m/>
    <n v="0"/>
    <m/>
    <n v="0"/>
    <m/>
    <n v="0"/>
    <m/>
    <n v="0"/>
    <m/>
    <n v="0"/>
    <m/>
    <n v="0"/>
    <m/>
    <n v="0"/>
    <s v="INK PRODUCT"/>
    <n v="35"/>
    <n v="0"/>
    <n v="4.5255813953488371"/>
    <n v="0"/>
    <s v="WHITE"/>
    <s v="E01031W"/>
    <s v="FLINTSL - WHITE"/>
    <n v="32"/>
    <n v="0"/>
    <m/>
    <m/>
    <n v="0"/>
    <s v="FW"/>
    <m/>
    <m/>
    <m/>
    <m/>
    <m/>
    <m/>
    <m/>
    <n v="30"/>
    <n v="0"/>
    <m/>
    <n v="0"/>
    <m/>
    <n v="0"/>
    <m/>
    <n v="0"/>
    <m/>
    <n v="0"/>
    <m/>
    <n v="0"/>
    <m/>
    <n v="0"/>
    <m/>
    <n v="0"/>
    <s v="FLINTSL"/>
    <n v="29"/>
    <n v="0"/>
    <n v="56.25581395348837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10"/>
    <n v="2"/>
    <n v="2"/>
    <n v="4"/>
    <n v="2"/>
    <n v="20"/>
    <n v="0"/>
    <n v="0.8"/>
    <n v="0.2"/>
    <m/>
    <m/>
    <m/>
    <n v="0"/>
    <n v="50"/>
    <n v="0"/>
    <n v="0"/>
    <n v="50"/>
    <n v="50"/>
    <n v="40"/>
    <n v="0"/>
    <n v="10"/>
    <n v="0"/>
    <n v="0"/>
    <n v="0"/>
    <n v="0"/>
    <n v="0"/>
    <n v="0"/>
    <n v="0"/>
    <n v="0"/>
    <n v="0"/>
    <n v="0"/>
    <m/>
    <n v="50.2"/>
    <n v="103.19999999999999"/>
    <n v="186"/>
    <s v="FLINTSLFLINTSLFLINTSLFLINTSLFLINTSLINK PRODUCTFLINTSL"/>
    <s v="+"/>
    <s v="+"/>
    <s v="+"/>
    <s v="+"/>
    <s v="+"/>
    <s v="+"/>
    <s v="+"/>
    <s v="NIL"/>
    <b v="0"/>
  </r>
  <r>
    <d v="2026-01-19T00:00:00"/>
    <s v="A"/>
    <x v="283"/>
    <s v="TL95"/>
    <n v="752"/>
    <n v="49000"/>
    <s v="I"/>
    <s v="N"/>
    <n v="1.99"/>
    <s v="BLACK"/>
    <s v="J00979G"/>
    <s v="ToyoLi - BLACK"/>
    <n v="25"/>
    <n v="0"/>
    <m/>
    <m/>
    <n v="0"/>
    <s v="RTMD"/>
    <s v="R1205"/>
    <s v="R92"/>
    <s v="F23T"/>
    <s v="F121"/>
    <m/>
    <m/>
    <m/>
    <n v="5"/>
    <n v="0"/>
    <n v="5"/>
    <n v="0"/>
    <n v="2"/>
    <n v="0"/>
    <n v="3"/>
    <n v="0"/>
    <n v="2"/>
    <n v="0"/>
    <m/>
    <n v="0"/>
    <m/>
    <n v="0"/>
    <m/>
    <n v="0"/>
    <s v="ToyoLi"/>
    <n v="40"/>
    <n v="0"/>
    <n v="23.916666666666664"/>
    <n v="0"/>
    <s v="WHITE"/>
    <m/>
    <s v="ToyoLi - WHITE"/>
    <m/>
    <n v="0"/>
    <m/>
    <m/>
    <n v="0"/>
    <s v="F640"/>
    <m/>
    <m/>
    <m/>
    <m/>
    <m/>
    <m/>
    <m/>
    <n v="220"/>
    <n v="0"/>
    <m/>
    <n v="0"/>
    <m/>
    <n v="0"/>
    <m/>
    <n v="0"/>
    <m/>
    <n v="0"/>
    <m/>
    <n v="0"/>
    <m/>
    <n v="0"/>
    <m/>
    <n v="0"/>
    <s v="ToyoLi"/>
    <n v="25"/>
    <n v="0"/>
    <n v="436.0833333333333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110"/>
    <n v="0"/>
    <n v="0"/>
    <n v="0"/>
    <n v="0"/>
    <n v="0"/>
    <n v="0"/>
    <n v="0.3"/>
    <m/>
    <m/>
    <n v="0.5"/>
    <n v="0.2"/>
    <n v="0"/>
    <n v="263"/>
    <n v="0"/>
    <n v="0"/>
    <n v="263"/>
    <n v="263"/>
    <n v="78.899999999999991"/>
    <n v="0"/>
    <n v="0"/>
    <n v="0"/>
    <n v="0"/>
    <n v="0"/>
    <n v="131.5"/>
    <n v="0"/>
    <n v="52.6"/>
    <n v="0"/>
    <n v="0"/>
    <n v="0"/>
    <n v="0"/>
    <m/>
    <n v="237"/>
    <n v="460"/>
    <s v="TL95"/>
    <s v="ToyoLiToyoLi"/>
    <s v="+"/>
    <s v="+"/>
    <s v="NIL"/>
    <s v="NIL"/>
    <s v="NIL"/>
    <s v="NIL"/>
    <s v="NIL"/>
    <s v="NIL"/>
    <b v="0"/>
  </r>
  <r>
    <d v="2026-01-19T00:00:00"/>
    <s v="B"/>
    <x v="284"/>
    <s v="TL96"/>
    <n v="472"/>
    <n v="41400"/>
    <s v="I"/>
    <s v="N"/>
    <n v="2"/>
    <s v="BLACK"/>
    <s v="E01030B"/>
    <s v="ToyoLi - BLACK"/>
    <n v="12"/>
    <n v="0"/>
    <s v="F00812B"/>
    <n v="20"/>
    <n v="0"/>
    <s v="RTMD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8"/>
    <n v="0"/>
    <n v="12.160919540229884"/>
    <n v="0"/>
    <s v="BLACK"/>
    <s v="P00480B"/>
    <s v="ToyoLi - BLACK"/>
    <n v="10"/>
    <n v="0"/>
    <s v="C01485B"/>
    <n v="15"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2.2643678160919549"/>
    <n v="0"/>
    <s v="RED"/>
    <m/>
    <s v="ToyoLi - RED"/>
    <m/>
    <n v="0"/>
    <m/>
    <m/>
    <n v="0"/>
    <s v="F121"/>
    <s v="F53"/>
    <m/>
    <m/>
    <m/>
    <m/>
    <m/>
    <m/>
    <n v="20"/>
    <n v="0"/>
    <n v="20"/>
    <n v="0"/>
    <m/>
    <n v="0"/>
    <m/>
    <n v="0"/>
    <m/>
    <n v="0"/>
    <m/>
    <n v="0"/>
    <m/>
    <n v="0"/>
    <m/>
    <n v="0"/>
    <s v="ToyoLi"/>
    <n v="25"/>
    <n v="0"/>
    <n v="27.643678160919535"/>
    <n v="0"/>
    <s v="MAGENTA"/>
    <s v="B01049M"/>
    <s v="ToyoLi - MAGENTA"/>
    <n v="30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9"/>
    <n v="0"/>
    <n v="4.2643678160919549"/>
    <n v="0"/>
    <s v="ORANGE"/>
    <s v="J00984O"/>
    <s v="ToyoLi - ORANGE"/>
    <n v="10"/>
    <n v="0"/>
    <s v="J00984O"/>
    <n v="10"/>
    <n v="0"/>
    <s v="F53"/>
    <s v="F23T"/>
    <s v="F32"/>
    <m/>
    <m/>
    <m/>
    <m/>
    <m/>
    <n v="5"/>
    <n v="0"/>
    <n v="10"/>
    <n v="0"/>
    <n v="1"/>
    <n v="0"/>
    <m/>
    <n v="0"/>
    <m/>
    <n v="0"/>
    <m/>
    <n v="0"/>
    <m/>
    <n v="0"/>
    <m/>
    <n v="0"/>
    <s v="ToyoLi"/>
    <n v="26"/>
    <n v="0"/>
    <n v="14.425287356321839"/>
    <n v="0"/>
    <s v="YELLOW"/>
    <m/>
    <s v="ToyoLi - YELLOW"/>
    <m/>
    <n v="0"/>
    <m/>
    <m/>
    <n v="0"/>
    <s v="F23T"/>
    <s v="RTMD"/>
    <m/>
    <m/>
    <m/>
    <m/>
    <m/>
    <m/>
    <n v="10"/>
    <n v="0"/>
    <n v="10"/>
    <n v="0"/>
    <m/>
    <n v="0"/>
    <m/>
    <n v="0"/>
    <m/>
    <n v="0"/>
    <m/>
    <n v="0"/>
    <m/>
    <n v="0"/>
    <m/>
    <n v="0"/>
    <s v="ToyoLi"/>
    <n v="30"/>
    <n v="0"/>
    <n v="81.666666666666671"/>
    <n v="0"/>
    <s v="YELLOW"/>
    <s v="N00944Y"/>
    <s v="ToyoLi - YELLOW"/>
    <n v="15"/>
    <n v="0"/>
    <m/>
    <m/>
    <n v="0"/>
    <s v="F23T"/>
    <s v="F53"/>
    <m/>
    <m/>
    <m/>
    <m/>
    <m/>
    <m/>
    <n v="60"/>
    <n v="0"/>
    <n v="5"/>
    <n v="0"/>
    <m/>
    <n v="0"/>
    <m/>
    <n v="0"/>
    <m/>
    <n v="0"/>
    <m/>
    <n v="0"/>
    <m/>
    <n v="0"/>
    <m/>
    <n v="0"/>
    <s v="ToyoLi"/>
    <n v="34"/>
    <n v="0"/>
    <n v="64.965517241379303"/>
    <n v="0"/>
    <s v="WHITE"/>
    <m/>
    <s v="ToyoLi - WHITE"/>
    <m/>
    <n v="0"/>
    <m/>
    <m/>
    <n v="0"/>
    <s v="F640"/>
    <m/>
    <m/>
    <m/>
    <m/>
    <m/>
    <m/>
    <m/>
    <n v="100"/>
    <n v="0"/>
    <m/>
    <n v="0"/>
    <m/>
    <n v="0"/>
    <m/>
    <n v="0"/>
    <m/>
    <n v="0"/>
    <m/>
    <n v="0"/>
    <m/>
    <n v="0"/>
    <m/>
    <n v="0"/>
    <s v="ToyoLi"/>
    <n v="30"/>
    <n v="0"/>
    <n v="101.60919540229884"/>
    <n v="0"/>
    <n v="5"/>
    <n v="2"/>
    <n v="20"/>
    <n v="2"/>
    <n v="7"/>
    <n v="145"/>
    <n v="30"/>
    <n v="50"/>
    <n v="0.3"/>
    <m/>
    <m/>
    <n v="0.5"/>
    <n v="0.2"/>
    <n v="0"/>
    <n v="165"/>
    <n v="0"/>
    <n v="0"/>
    <n v="165"/>
    <n v="165"/>
    <n v="49.5"/>
    <n v="0"/>
    <n v="0"/>
    <n v="0"/>
    <n v="0"/>
    <n v="0"/>
    <n v="82.5"/>
    <n v="0"/>
    <n v="33"/>
    <n v="0"/>
    <n v="0"/>
    <n v="0"/>
    <n v="0"/>
    <m/>
    <n v="250"/>
    <n v="309"/>
    <s v="TL96"/>
    <s v="ToyoLiToyoLiToyoLiToyoLiToyoLiToyoLiToyoLiToyoLi"/>
    <s v="+"/>
    <s v="+"/>
    <s v="+"/>
    <s v="+"/>
    <s v="+"/>
    <s v="+"/>
    <s v="+"/>
    <s v="+"/>
    <b v="0"/>
  </r>
  <r>
    <d v="2026-01-20T00:00:00"/>
    <s v="A"/>
    <x v="285"/>
    <s v="TL97"/>
    <n v="80"/>
    <n v="4200"/>
    <s v="I"/>
    <s v="N"/>
    <n v="1.57"/>
    <s v="BLACK"/>
    <s v="P00485B"/>
    <s v="ToyoLi - BLACK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4.0512820512820511"/>
    <n v="0"/>
    <s v="RED"/>
    <s v="P00485R"/>
    <s v="ToyoLi - RED"/>
    <n v="10"/>
    <n v="0"/>
    <s v="J00869R/B01032R"/>
    <n v="16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2.0512820512820511"/>
    <n v="0"/>
    <s v="CYAN"/>
    <s v="B01049C"/>
    <s v="ToyoLi - CYAN"/>
    <n v="3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5"/>
    <n v="0"/>
    <n v="4.0512820512820511"/>
    <n v="0"/>
    <s v="MAGENTA"/>
    <s v="P00485M"/>
    <s v="ToyoLi - MAGENTA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5.0512820512820511"/>
    <n v="0"/>
    <s v="YELLOW"/>
    <s v="P00485Y"/>
    <s v="ToyoLi - YELLOW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0"/>
    <n v="5.0512820512820511"/>
    <n v="0"/>
    <s v="MEDIUM"/>
    <m/>
    <s v="ToyoLi - MEDIUM"/>
    <m/>
    <n v="0"/>
    <m/>
    <m/>
    <n v="0"/>
    <s v="F640"/>
    <s v="RTMD"/>
    <s v="F23T"/>
    <s v="F53"/>
    <m/>
    <m/>
    <m/>
    <m/>
    <n v="15"/>
    <n v="0"/>
    <n v="15"/>
    <n v="0"/>
    <n v="0.3"/>
    <n v="0"/>
    <n v="0.1"/>
    <n v="0"/>
    <m/>
    <n v="0"/>
    <m/>
    <n v="0"/>
    <m/>
    <n v="0"/>
    <m/>
    <n v="0"/>
    <s v="ToyoLi"/>
    <n v="40"/>
    <n v="0"/>
    <n v="4.7589743589743634"/>
    <n v="0"/>
    <s v="WHITE"/>
    <s v="P00485W"/>
    <s v="ToyoLi - WHITE"/>
    <n v="30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30"/>
    <n v="0"/>
    <n v="45.38461538461538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2"/>
    <n v="2"/>
    <n v="14"/>
    <n v="15"/>
    <n v="0"/>
    <n v="0.3"/>
    <m/>
    <m/>
    <n v="0.5"/>
    <n v="0.2"/>
    <n v="0"/>
    <n v="40"/>
    <n v="0"/>
    <n v="0"/>
    <n v="40"/>
    <n v="40"/>
    <n v="12"/>
    <n v="0"/>
    <n v="0"/>
    <n v="0"/>
    <n v="0"/>
    <n v="0"/>
    <n v="20"/>
    <n v="0"/>
    <n v="8"/>
    <n v="0"/>
    <n v="0"/>
    <n v="0"/>
    <n v="0"/>
    <m/>
    <n v="60.400000000000006"/>
    <n v="70.400000000000006"/>
    <s v="TL97"/>
    <s v="ToyoLiToyoLiToyoLiToyoLiToyoLiToyoLiToyoLi"/>
    <s v="+"/>
    <s v="+"/>
    <s v="+"/>
    <s v="+"/>
    <s v="+"/>
    <s v="+"/>
    <s v="+"/>
    <s v="NIL"/>
    <b v="0"/>
  </r>
  <r>
    <d v="2026-01-20T00:00:00"/>
    <s v="A"/>
    <x v="286"/>
    <s v="TL98"/>
    <n v="213"/>
    <n v="16300"/>
    <s v="I"/>
    <s v="N"/>
    <n v="1.96"/>
    <s v="BLACK"/>
    <s v="J00995B"/>
    <s v="ToyoLi - BLACK"/>
    <n v="26"/>
    <n v="0"/>
    <m/>
    <m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8"/>
    <n v="0"/>
    <n v="9.5217391304347814"/>
    <n v="0"/>
    <s v="REFLEX BLUE"/>
    <s v="N00797B"/>
    <s v="ToyoLi - REFLEX BLUE"/>
    <n v="16"/>
    <n v="0"/>
    <m/>
    <m/>
    <n v="0"/>
    <s v="R1205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0"/>
    <n v="0"/>
    <n v="5.891304347826086"/>
    <n v="0"/>
    <s v="RED"/>
    <s v="P00485R"/>
    <s v="ToyoLi - RED"/>
    <n v="15"/>
    <n v="0"/>
    <m/>
    <m/>
    <n v="0"/>
    <s v="F121"/>
    <s v="F32"/>
    <s v="F53"/>
    <m/>
    <m/>
    <m/>
    <m/>
    <m/>
    <n v="10"/>
    <n v="0"/>
    <n v="5"/>
    <n v="0"/>
    <n v="6"/>
    <n v="0"/>
    <m/>
    <n v="0"/>
    <m/>
    <n v="0"/>
    <m/>
    <n v="0"/>
    <m/>
    <n v="0"/>
    <m/>
    <n v="0"/>
    <s v="ToyoLi"/>
    <n v="25"/>
    <n v="0"/>
    <n v="20.782608695652172"/>
    <n v="0"/>
    <s v="BLACK"/>
    <m/>
    <s v="ToyoLi - BLACK"/>
    <m/>
    <n v="0"/>
    <m/>
    <m/>
    <n v="0"/>
    <s v="RTMD"/>
    <s v="R92"/>
    <m/>
    <m/>
    <m/>
    <m/>
    <m/>
    <m/>
    <n v="20"/>
    <n v="0"/>
    <n v="1"/>
    <n v="0"/>
    <m/>
    <n v="0"/>
    <m/>
    <n v="0"/>
    <m/>
    <n v="0"/>
    <m/>
    <n v="0"/>
    <m/>
    <n v="0"/>
    <m/>
    <n v="0"/>
    <s v="ToyoLi"/>
    <n v="30"/>
    <n v="0"/>
    <n v="2.4130434782608745"/>
    <n v="0"/>
    <s v="CYAN"/>
    <s v="J00995C"/>
    <s v="ToyoLi - CYAN"/>
    <n v="35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2"/>
    <n v="0"/>
    <n v="3"/>
    <n v="0"/>
    <s v="MAGENTA"/>
    <s v="J00995M"/>
    <s v="ToyoLi - MAGENTA"/>
    <n v="26"/>
    <n v="0"/>
    <m/>
    <m/>
    <n v="0"/>
    <s v="F121"/>
    <s v="RTMD"/>
    <m/>
    <m/>
    <m/>
    <m/>
    <m/>
    <m/>
    <n v="4"/>
    <n v="0"/>
    <n v="3"/>
    <n v="0"/>
    <m/>
    <n v="0"/>
    <m/>
    <n v="0"/>
    <m/>
    <n v="0"/>
    <m/>
    <n v="0"/>
    <m/>
    <n v="0"/>
    <m/>
    <n v="0"/>
    <s v="ToyoLi"/>
    <n v="30"/>
    <n v="0"/>
    <n v="9.5217391304347814"/>
    <n v="0"/>
    <s v="YELLOW"/>
    <s v="J00995Y"/>
    <s v="ToyoLi - YELLOW"/>
    <n v="27"/>
    <n v="0"/>
    <m/>
    <m/>
    <n v="0"/>
    <s v="F23T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5"/>
    <n v="0"/>
    <n v="8.2608695652173907"/>
    <n v="0"/>
    <s v="WHITE"/>
    <s v="J00995W"/>
    <s v="ToyoLi - WHITE"/>
    <n v="30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25"/>
    <n v="0"/>
    <n v="77.608695652173907"/>
    <n v="0"/>
    <n v="4"/>
    <n v="3"/>
    <n v="6"/>
    <n v="7"/>
    <n v="0"/>
    <n v="4"/>
    <n v="2"/>
    <n v="20"/>
    <n v="0.3"/>
    <m/>
    <m/>
    <n v="0.5"/>
    <n v="0.2"/>
    <n v="0"/>
    <n v="75"/>
    <n v="0"/>
    <n v="0"/>
    <n v="75"/>
    <n v="75"/>
    <n v="22.5"/>
    <n v="0"/>
    <n v="0"/>
    <n v="0"/>
    <n v="0"/>
    <n v="0"/>
    <n v="37.5"/>
    <n v="0"/>
    <n v="15"/>
    <n v="0"/>
    <n v="0"/>
    <n v="0"/>
    <n v="0"/>
    <m/>
    <n v="102"/>
    <n v="137"/>
    <s v="TL98"/>
    <s v="ToyoLiToyoLiToyoLiToyoLiToyoLiToyoLiToyoLiToyoLi"/>
    <s v="+"/>
    <s v="+"/>
    <s v="+"/>
    <s v="+"/>
    <s v="+"/>
    <s v="+"/>
    <s v="+"/>
    <s v="+"/>
    <b v="0"/>
  </r>
  <r>
    <d v="2026-01-20T00:00:00"/>
    <s v="A"/>
    <x v="287"/>
    <s v="TL99"/>
    <n v="180"/>
    <n v="10100"/>
    <s v="I"/>
    <s v="N"/>
    <n v="4.05"/>
    <s v="BLACK"/>
    <s v="J01001B"/>
    <s v="ToyoLi - BLACK"/>
    <n v="28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2"/>
    <n v="0"/>
    <s v="BLACK"/>
    <s v="B01023B"/>
    <s v="ToyoLi - BLACK"/>
    <n v="9"/>
    <n v="0"/>
    <s v="B01033B/C01485B/P00485B"/>
    <n v="64"/>
    <n v="0"/>
    <s v="F121"/>
    <s v="R39"/>
    <s v="R92"/>
    <m/>
    <m/>
    <m/>
    <m/>
    <m/>
    <n v="1"/>
    <n v="0"/>
    <n v="1"/>
    <n v="0"/>
    <n v="1"/>
    <n v="0"/>
    <m/>
    <n v="0"/>
    <m/>
    <n v="0"/>
    <m/>
    <n v="0"/>
    <m/>
    <n v="0"/>
    <m/>
    <n v="0"/>
    <s v="ToyoLi"/>
    <n v="22"/>
    <n v="0"/>
    <n v="54"/>
    <n v="0"/>
    <s v="WHITE"/>
    <s v="J01001W"/>
    <s v="ToyoLi - WHITE"/>
    <n v="25"/>
    <n v="0"/>
    <m/>
    <m/>
    <n v="0"/>
    <s v="F640"/>
    <m/>
    <m/>
    <m/>
    <m/>
    <m/>
    <m/>
    <m/>
    <n v="50"/>
    <n v="0"/>
    <m/>
    <n v="0"/>
    <m/>
    <n v="0"/>
    <m/>
    <n v="0"/>
    <m/>
    <n v="0"/>
    <m/>
    <n v="0"/>
    <m/>
    <n v="0"/>
    <m/>
    <n v="0"/>
    <s v="ToyoLi"/>
    <n v="30"/>
    <n v="0"/>
    <n v="136.2162162162162"/>
    <n v="0"/>
    <s v="MATT"/>
    <s v="J00959M"/>
    <s v="ToyoLi - MATT"/>
    <n v="15"/>
    <n v="0"/>
    <m/>
    <m/>
    <n v="0"/>
    <n v="55"/>
    <s v="NWBBK"/>
    <m/>
    <m/>
    <m/>
    <m/>
    <m/>
    <m/>
    <n v="60"/>
    <n v="0"/>
    <n v="15"/>
    <n v="0"/>
    <m/>
    <n v="0"/>
    <m/>
    <n v="0"/>
    <m/>
    <n v="0"/>
    <m/>
    <n v="0"/>
    <m/>
    <n v="0"/>
    <m/>
    <n v="0"/>
    <s v="ToyoLi"/>
    <n v="25"/>
    <n v="0"/>
    <n v="108.783783783783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0"/>
    <n v="0"/>
    <n v="25"/>
    <n v="12"/>
    <n v="0"/>
    <n v="0"/>
    <n v="0"/>
    <n v="0"/>
    <n v="0.3"/>
    <m/>
    <m/>
    <n v="0.5"/>
    <n v="0.2"/>
    <n v="0"/>
    <n v="135"/>
    <n v="0"/>
    <n v="0"/>
    <n v="135"/>
    <n v="135"/>
    <n v="40.5"/>
    <n v="0"/>
    <n v="0"/>
    <n v="0"/>
    <n v="0"/>
    <n v="0"/>
    <n v="67.5"/>
    <n v="0"/>
    <n v="27"/>
    <n v="0"/>
    <n v="0"/>
    <n v="0"/>
    <n v="0"/>
    <m/>
    <n v="130"/>
    <n v="301"/>
    <s v="TL99"/>
    <s v="ToyoLiToyoLiToyoLiToyoLi"/>
    <s v="+"/>
    <s v="+"/>
    <s v="+"/>
    <s v="+"/>
    <s v="NIL"/>
    <s v="NIL"/>
    <s v="NIL"/>
    <s v="NIL"/>
    <b v="0"/>
  </r>
  <r>
    <d v="2026-01-20T00:00:00"/>
    <s v="A"/>
    <x v="288"/>
    <s v="TL100"/>
    <n v="133"/>
    <n v="8400"/>
    <s v="I"/>
    <s v="N"/>
    <n v="3.11"/>
    <s v="BLACK"/>
    <s v="B01038B"/>
    <s v="ToyoLi - BLACK"/>
    <n v="28"/>
    <n v="0"/>
    <s v="B01049B"/>
    <n v="17"/>
    <n v="0"/>
    <s v="R39"/>
    <s v="F23T"/>
    <s v="R92"/>
    <m/>
    <m/>
    <m/>
    <m/>
    <m/>
    <n v="4"/>
    <n v="0"/>
    <n v="2"/>
    <n v="0"/>
    <n v="4"/>
    <n v="0"/>
    <m/>
    <n v="0"/>
    <m/>
    <n v="0"/>
    <m/>
    <n v="0"/>
    <m/>
    <n v="0"/>
    <m/>
    <n v="0"/>
    <s v="ToyoLi"/>
    <n v="40"/>
    <n v="0"/>
    <n v="22.5"/>
    <n v="0"/>
    <s v="REFLEX BLUE"/>
    <s v="J00975B"/>
    <s v="ToyoLi - REFLEX BLUE"/>
    <n v="16"/>
    <n v="0"/>
    <m/>
    <m/>
    <n v="0"/>
    <s v="F121"/>
    <s v="RTMD"/>
    <m/>
    <m/>
    <m/>
    <m/>
    <m/>
    <m/>
    <n v="1"/>
    <n v="0"/>
    <n v="5"/>
    <n v="0"/>
    <m/>
    <n v="0"/>
    <m/>
    <n v="0"/>
    <m/>
    <n v="0"/>
    <m/>
    <n v="0"/>
    <m/>
    <n v="0"/>
    <m/>
    <n v="0"/>
    <s v="ToyoLi"/>
    <n v="31"/>
    <n v="0"/>
    <n v="3.5"/>
    <n v="0"/>
    <s v="GOLD"/>
    <s v="F00848G"/>
    <s v="ToyoLi - GOLD"/>
    <n v="20"/>
    <n v="0"/>
    <m/>
    <m/>
    <n v="0"/>
    <s v="TLSI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6"/>
    <n v="0"/>
    <n v="7.5"/>
    <n v="0"/>
    <s v="SILVER"/>
    <s v="B01048S"/>
    <s v="ToyoLi - SILVER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7"/>
    <n v="0"/>
    <s v="GREEN"/>
    <s v="J00871G"/>
    <s v="ToyoLi - GREEN"/>
    <n v="16"/>
    <n v="0"/>
    <s v="N00826G"/>
    <n v="12"/>
    <n v="0"/>
    <s v="F23T"/>
    <s v="R39"/>
    <m/>
    <m/>
    <m/>
    <m/>
    <m/>
    <m/>
    <n v="3"/>
    <n v="0"/>
    <n v="2"/>
    <n v="0"/>
    <m/>
    <n v="0"/>
    <m/>
    <n v="0"/>
    <m/>
    <n v="0"/>
    <m/>
    <n v="0"/>
    <m/>
    <n v="0"/>
    <m/>
    <n v="0"/>
    <s v="ToyoLi"/>
    <n v="20"/>
    <n v="0"/>
    <n v="18"/>
    <n v="0"/>
    <s v="RED"/>
    <s v="J01001R"/>
    <s v="ToyoLi - RED"/>
    <n v="25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6"/>
    <n v="0"/>
    <n v="7"/>
    <n v="0"/>
    <s v="WHITE"/>
    <s v="B01038W"/>
    <s v="ToyoLi - WHITE"/>
    <n v="30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25"/>
    <n v="0"/>
    <n v="72.5"/>
    <n v="0"/>
    <s v="MATT"/>
    <s v="B01038M"/>
    <s v="ToyoLi - MATT"/>
    <n v="25"/>
    <n v="0"/>
    <m/>
    <m/>
    <n v="0"/>
    <n v="55"/>
    <s v="NWBBK"/>
    <m/>
    <m/>
    <m/>
    <m/>
    <m/>
    <m/>
    <n v="40"/>
    <n v="0"/>
    <n v="10"/>
    <n v="0"/>
    <m/>
    <n v="0"/>
    <m/>
    <n v="0"/>
    <m/>
    <n v="0"/>
    <m/>
    <n v="0"/>
    <m/>
    <n v="0"/>
    <m/>
    <n v="0"/>
    <s v="ToyoLi"/>
    <n v="25"/>
    <n v="0"/>
    <n v="70"/>
    <n v="0"/>
    <n v="3"/>
    <n v="5"/>
    <n v="3"/>
    <n v="2"/>
    <n v="2"/>
    <n v="2"/>
    <n v="15"/>
    <n v="8"/>
    <n v="0.3"/>
    <m/>
    <m/>
    <n v="0.5"/>
    <n v="0.2"/>
    <n v="0"/>
    <n v="100"/>
    <n v="0"/>
    <n v="0"/>
    <n v="100"/>
    <n v="100"/>
    <n v="30"/>
    <n v="0"/>
    <n v="0"/>
    <n v="0"/>
    <n v="0"/>
    <n v="0"/>
    <n v="50"/>
    <n v="0"/>
    <n v="20"/>
    <n v="0"/>
    <n v="0"/>
    <n v="0"/>
    <n v="0"/>
    <m/>
    <n v="110"/>
    <n v="208"/>
    <s v="TL100"/>
    <s v="ToyoLiToyoLiToyoLiToyoLiToyoLiToyoLiToyoLiToyoLi"/>
    <s v="+"/>
    <s v="+"/>
    <s v="+"/>
    <s v="+"/>
    <s v="+"/>
    <s v="+"/>
    <s v="+"/>
    <s v="+"/>
    <b v="0"/>
  </r>
  <r>
    <d v="2026-01-20T00:00:00"/>
    <s v="A"/>
    <x v="289"/>
    <s v="TL101"/>
    <n v="187"/>
    <n v="11800"/>
    <s v="I"/>
    <s v="N"/>
    <n v="3.0999999999999996"/>
    <s v="BLACK"/>
    <s v="J00992B"/>
    <s v="ToyoLi - BLACK"/>
    <n v="40"/>
    <n v="0"/>
    <m/>
    <m/>
    <n v="0"/>
    <s v="R92"/>
    <s v="R39"/>
    <m/>
    <m/>
    <m/>
    <m/>
    <m/>
    <m/>
    <n v="5"/>
    <n v="0"/>
    <n v="1"/>
    <n v="0"/>
    <m/>
    <n v="0"/>
    <m/>
    <n v="0"/>
    <m/>
    <n v="0"/>
    <m/>
    <n v="0"/>
    <m/>
    <n v="0"/>
    <m/>
    <n v="0"/>
    <s v="ToyoLi"/>
    <n v="20"/>
    <n v="0"/>
    <n v="34.235294117647058"/>
    <n v="0"/>
    <s v="GREEN"/>
    <s v="B01049G"/>
    <s v="ToyoLi - GREEN"/>
    <n v="33"/>
    <n v="0"/>
    <m/>
    <m/>
    <n v="0"/>
    <s v="F23T"/>
    <s v="R39"/>
    <m/>
    <m/>
    <m/>
    <m/>
    <m/>
    <m/>
    <n v="3"/>
    <n v="0"/>
    <n v="1"/>
    <n v="0"/>
    <m/>
    <n v="0"/>
    <m/>
    <n v="0"/>
    <m/>
    <n v="0"/>
    <m/>
    <n v="0"/>
    <m/>
    <n v="0"/>
    <m/>
    <n v="0"/>
    <s v="ToyoLi"/>
    <n v="35"/>
    <n v="0"/>
    <n v="10.235294117647058"/>
    <n v="0"/>
    <s v="GOLD"/>
    <s v="J00992G"/>
    <s v="ToyoLi - GOLD"/>
    <n v="26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0"/>
    <n v="2"/>
    <n v="0"/>
    <s v="SILVER"/>
    <s v="J00992S"/>
    <s v="ToyoLi - SILVER"/>
    <n v="26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0"/>
    <n v="2"/>
    <n v="0"/>
    <s v="GREEN"/>
    <s v="J00992G"/>
    <s v="ToyoLi - GREEN"/>
    <n v="20"/>
    <n v="0"/>
    <m/>
    <m/>
    <n v="0"/>
    <s v="F23T"/>
    <s v="R39"/>
    <m/>
    <m/>
    <m/>
    <m/>
    <m/>
    <m/>
    <n v="2"/>
    <n v="0"/>
    <n v="1"/>
    <n v="0"/>
    <m/>
    <n v="0"/>
    <m/>
    <n v="0"/>
    <m/>
    <n v="0"/>
    <m/>
    <n v="0"/>
    <m/>
    <n v="0"/>
    <m/>
    <n v="0"/>
    <s v="ToyoLi"/>
    <n v="21"/>
    <n v="0"/>
    <n v="2"/>
    <n v="0"/>
    <s v="RED"/>
    <s v="J00992R"/>
    <s v="ToyoLi - RED"/>
    <n v="26"/>
    <n v="0"/>
    <m/>
    <m/>
    <n v="0"/>
    <s v="F53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9.235294117647058"/>
    <n v="0"/>
    <s v="WHITE"/>
    <s v="J00992W"/>
    <s v="ToyoLi - WHITE"/>
    <n v="25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30"/>
    <n v="0"/>
    <n v="117.35294117647061"/>
    <n v="0"/>
    <s v="MATT"/>
    <s v="J00992M"/>
    <s v="ToyoLi - MATT"/>
    <n v="25"/>
    <n v="0"/>
    <s v="F00846M"/>
    <n v="13"/>
    <n v="0"/>
    <n v="55"/>
    <s v="NWBBK"/>
    <m/>
    <m/>
    <m/>
    <m/>
    <m/>
    <m/>
    <n v="40"/>
    <n v="0"/>
    <n v="10"/>
    <n v="0"/>
    <m/>
    <n v="0"/>
    <m/>
    <n v="0"/>
    <m/>
    <n v="0"/>
    <m/>
    <n v="0"/>
    <m/>
    <n v="0"/>
    <m/>
    <n v="0"/>
    <s v="ToyoLi"/>
    <n v="30"/>
    <n v="0"/>
    <n v="90.941176470588232"/>
    <n v="0"/>
    <n v="2"/>
    <n v="2"/>
    <n v="0"/>
    <n v="0"/>
    <n v="0"/>
    <n v="2"/>
    <n v="20"/>
    <n v="8"/>
    <n v="0.3"/>
    <m/>
    <m/>
    <n v="0.5"/>
    <n v="0.2"/>
    <n v="0"/>
    <n v="140"/>
    <n v="0"/>
    <n v="0"/>
    <n v="140"/>
    <n v="140"/>
    <n v="42"/>
    <n v="0"/>
    <n v="0"/>
    <n v="0"/>
    <n v="0"/>
    <n v="0"/>
    <n v="70"/>
    <n v="0"/>
    <n v="28"/>
    <n v="0"/>
    <n v="0"/>
    <n v="0"/>
    <n v="0"/>
    <m/>
    <n v="105"/>
    <n v="268"/>
    <s v="TL101"/>
    <s v="ToyoLiToyoLiToyoLiToyoLiToyoLiToyoLiToyoLiToyoLi"/>
    <s v="+"/>
    <s v="+"/>
    <s v="+"/>
    <s v="+"/>
    <s v="+"/>
    <s v="+"/>
    <s v="+"/>
    <s v="+"/>
    <b v="0"/>
  </r>
  <r>
    <d v="2026-01-20T00:00:00"/>
    <s v="A"/>
    <x v="290"/>
    <s v="TL102"/>
    <n v="325"/>
    <n v="20500"/>
    <s v="I"/>
    <s v="N"/>
    <n v="2.5"/>
    <s v="BLACK"/>
    <s v="J00994B"/>
    <s v="ToyoLi - BLACK"/>
    <n v="20"/>
    <n v="0"/>
    <s v="P00435B/J00882B"/>
    <n v="38"/>
    <n v="0"/>
    <s v="R39"/>
    <s v="R92"/>
    <s v="F23T"/>
    <s v="R79"/>
    <m/>
    <m/>
    <m/>
    <m/>
    <n v="4"/>
    <n v="0"/>
    <n v="5"/>
    <n v="0"/>
    <n v="5"/>
    <n v="0"/>
    <n v="1"/>
    <n v="0"/>
    <m/>
    <n v="0"/>
    <m/>
    <n v="0"/>
    <m/>
    <n v="0"/>
    <m/>
    <n v="0"/>
    <s v="ToyoLi"/>
    <n v="29"/>
    <n v="0"/>
    <n v="51.403508771929822"/>
    <n v="0"/>
    <s v="ORANGE"/>
    <s v="N00765O"/>
    <s v="ToyoLi - ORANGE"/>
    <n v="30"/>
    <n v="0"/>
    <m/>
    <m/>
    <n v="0"/>
    <s v="F23T"/>
    <s v="F53"/>
    <s v="RTMD"/>
    <m/>
    <m/>
    <m/>
    <m/>
    <m/>
    <n v="3"/>
    <n v="0"/>
    <n v="2"/>
    <n v="0"/>
    <n v="4"/>
    <n v="0"/>
    <m/>
    <n v="0"/>
    <m/>
    <n v="0"/>
    <m/>
    <n v="0"/>
    <m/>
    <n v="0"/>
    <m/>
    <n v="0"/>
    <s v="ToyoLi"/>
    <n v="31"/>
    <n v="0"/>
    <n v="19.10526315789474"/>
    <n v="0"/>
    <s v="GOLD"/>
    <s v="J00994G"/>
    <s v="ToyoLi - GOLD"/>
    <n v="24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0"/>
    <n v="1.4035087719298254"/>
    <n v="0"/>
    <s v="SILVER"/>
    <s v="J00994S"/>
    <s v="ToyoLi - SILVER"/>
    <n v="24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9"/>
    <n v="0"/>
    <n v="2.4035087719298254"/>
    <n v="0"/>
    <s v="GREEN"/>
    <s v="J00994G"/>
    <s v="ToyoLi - GREEN"/>
    <n v="21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0"/>
    <n v="12.10526315789474"/>
    <n v="0"/>
    <s v="RED"/>
    <s v="J00994R"/>
    <s v="ToyoLi - RED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0"/>
    <n v="9.4035087719298218"/>
    <n v="0"/>
    <s v="WHITE"/>
    <s v="J00994W"/>
    <s v="ToyoLi - WHITE"/>
    <n v="30"/>
    <n v="0"/>
    <m/>
    <m/>
    <n v="0"/>
    <s v="F640"/>
    <m/>
    <m/>
    <m/>
    <m/>
    <m/>
    <m/>
    <m/>
    <n v="60"/>
    <n v="0"/>
    <m/>
    <n v="0"/>
    <m/>
    <n v="0"/>
    <m/>
    <n v="0"/>
    <m/>
    <n v="0"/>
    <m/>
    <n v="0"/>
    <m/>
    <n v="0"/>
    <m/>
    <n v="0"/>
    <s v="ToyoLi"/>
    <n v="25"/>
    <n v="0"/>
    <n v="176.05263157894734"/>
    <n v="0"/>
    <s v="MATT"/>
    <s v="J00994M"/>
    <s v="ToyoLi - MATT"/>
    <n v="30"/>
    <n v="0"/>
    <m/>
    <m/>
    <n v="0"/>
    <n v="55"/>
    <s v="NWBBK"/>
    <m/>
    <m/>
    <m/>
    <m/>
    <m/>
    <m/>
    <n v="60"/>
    <n v="0"/>
    <n v="15"/>
    <n v="0"/>
    <m/>
    <n v="0"/>
    <m/>
    <n v="0"/>
    <m/>
    <n v="0"/>
    <m/>
    <n v="0"/>
    <m/>
    <n v="0"/>
    <m/>
    <n v="0"/>
    <s v="ToyoLi"/>
    <n v="40"/>
    <n v="0"/>
    <n v="113.12280701754386"/>
    <n v="0"/>
    <n v="2"/>
    <n v="3"/>
    <n v="2"/>
    <n v="2"/>
    <n v="3"/>
    <n v="2"/>
    <n v="30"/>
    <n v="13"/>
    <n v="0.3"/>
    <m/>
    <m/>
    <n v="0.5"/>
    <n v="0.2"/>
    <n v="0"/>
    <n v="211"/>
    <n v="0"/>
    <n v="0"/>
    <n v="211"/>
    <n v="211"/>
    <n v="63.3"/>
    <n v="0"/>
    <n v="0"/>
    <n v="0"/>
    <n v="0"/>
    <n v="0"/>
    <n v="105.5"/>
    <n v="0"/>
    <n v="42.2"/>
    <n v="0"/>
    <n v="0"/>
    <n v="0"/>
    <n v="0"/>
    <m/>
    <n v="159"/>
    <n v="385"/>
    <s v="TL102"/>
    <s v="ToyoLiToyoLiToyoLiToyoLiToyoLiToyoLiToyoLiToyoLi"/>
    <s v="+"/>
    <s v="+"/>
    <s v="+"/>
    <s v="+"/>
    <s v="+"/>
    <s v="+"/>
    <s v="+"/>
    <s v="+"/>
    <b v="0"/>
  </r>
  <r>
    <d v="2026-01-20T00:00:00"/>
    <s v="B"/>
    <x v="291"/>
    <s v="TL103"/>
    <n v="761"/>
    <n v="55400"/>
    <s v="I"/>
    <s v="N"/>
    <n v="1.7"/>
    <s v="BLACK"/>
    <s v="C01492B"/>
    <s v="ToyoLi - BLACK"/>
    <n v="20"/>
    <n v="0"/>
    <m/>
    <m/>
    <n v="0"/>
    <s v="R92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30"/>
    <n v="0"/>
    <n v="25.825242718446603"/>
    <n v="0"/>
    <s v="RED"/>
    <s v="J00991R"/>
    <s v="ToyoLi - RED"/>
    <n v="25"/>
    <n v="0"/>
    <m/>
    <m/>
    <n v="0"/>
    <s v="F53"/>
    <s v="F121"/>
    <m/>
    <m/>
    <m/>
    <m/>
    <m/>
    <m/>
    <n v="5"/>
    <n v="0"/>
    <n v="5"/>
    <n v="0"/>
    <m/>
    <n v="0"/>
    <m/>
    <n v="0"/>
    <m/>
    <n v="0"/>
    <m/>
    <n v="0"/>
    <m/>
    <n v="0"/>
    <m/>
    <n v="0"/>
    <s v="ToyoLi"/>
    <n v="38"/>
    <n v="0"/>
    <n v="9.9126213592233015"/>
    <n v="0"/>
    <s v="GREEN"/>
    <s v="P00480G"/>
    <s v="ToyoLi - GREEN"/>
    <n v="20"/>
    <n v="0"/>
    <s v="J00871G"/>
    <n v="15"/>
    <n v="0"/>
    <s v="R79"/>
    <s v="F23T"/>
    <m/>
    <m/>
    <m/>
    <m/>
    <m/>
    <m/>
    <n v="1"/>
    <n v="0"/>
    <n v="2"/>
    <n v="0"/>
    <m/>
    <n v="0"/>
    <m/>
    <n v="0"/>
    <m/>
    <n v="0"/>
    <m/>
    <n v="0"/>
    <m/>
    <n v="0"/>
    <m/>
    <n v="0"/>
    <s v="ToyoLi"/>
    <n v="28"/>
    <n v="0"/>
    <n v="15.165048543689323"/>
    <n v="0"/>
    <s v="MEDIUM"/>
    <s v="J00995M"/>
    <s v="ToyoLi - MEDIUM"/>
    <n v="40"/>
    <n v="0"/>
    <s v="P00408M"/>
    <n v="14"/>
    <n v="0"/>
    <s v="F640"/>
    <s v="F23T"/>
    <s v="F53"/>
    <m/>
    <m/>
    <m/>
    <m/>
    <m/>
    <n v="30"/>
    <n v="0"/>
    <n v="0.5"/>
    <n v="0"/>
    <n v="0.2"/>
    <n v="0"/>
    <m/>
    <n v="0"/>
    <m/>
    <n v="0"/>
    <m/>
    <n v="0"/>
    <m/>
    <n v="0"/>
    <m/>
    <n v="0"/>
    <s v="ToyoLi"/>
    <n v="18"/>
    <n v="0"/>
    <n v="118.35048543689322"/>
    <n v="0"/>
    <s v="CYAN"/>
    <s v="J01001C"/>
    <s v="ToyoLi - CYAN"/>
    <n v="32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9"/>
    <n v="0"/>
    <n v="10.165048543689323"/>
    <n v="0"/>
    <s v="MAGENTA"/>
    <s v="J01001M"/>
    <s v="ToyoLi - MAGENTA"/>
    <n v="30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7"/>
    <n v="0"/>
    <n v="11.165048543689323"/>
    <n v="0"/>
    <s v="YELLOW"/>
    <s v="J01001Y"/>
    <s v="ToyoLi - YELLOW"/>
    <n v="25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5"/>
    <n v="0"/>
    <n v="10.165048543689323"/>
    <n v="0"/>
    <s v="WHITE"/>
    <s v="J00991W"/>
    <s v="ToyoLi - WHITE"/>
    <n v="25"/>
    <n v="0"/>
    <m/>
    <m/>
    <n v="0"/>
    <s v="F640"/>
    <s v="HSLAS"/>
    <m/>
    <m/>
    <m/>
    <m/>
    <m/>
    <m/>
    <n v="160"/>
    <n v="0"/>
    <n v="9.81"/>
    <n v="0"/>
    <m/>
    <n v="0"/>
    <m/>
    <n v="0"/>
    <m/>
    <n v="0"/>
    <m/>
    <n v="0"/>
    <m/>
    <n v="0"/>
    <m/>
    <n v="0"/>
    <s v="ToyoLi"/>
    <n v="20"/>
    <n v="0"/>
    <n v="329.76145631067959"/>
    <n v="0"/>
    <n v="10"/>
    <n v="5"/>
    <n v="2"/>
    <n v="20"/>
    <n v="2"/>
    <n v="2"/>
    <n v="2"/>
    <n v="60"/>
    <n v="0.3"/>
    <m/>
    <m/>
    <n v="0.5"/>
    <n v="0.2"/>
    <n v="0"/>
    <n v="266"/>
    <n v="0"/>
    <n v="0"/>
    <n v="266"/>
    <n v="266"/>
    <n v="79.8"/>
    <n v="0"/>
    <n v="0"/>
    <n v="0"/>
    <n v="0"/>
    <n v="0"/>
    <n v="133"/>
    <n v="0"/>
    <n v="53.2"/>
    <n v="0"/>
    <n v="0"/>
    <n v="0"/>
    <n v="0"/>
    <m/>
    <n v="233.51"/>
    <n v="530.51"/>
    <s v="TL103"/>
    <s v="ToyoLiToyoLiToyoLiToyoLiToyoLiToyoLiToyoLiToyoLi"/>
    <s v="+"/>
    <s v="+"/>
    <s v="+"/>
    <s v="+"/>
    <s v="+"/>
    <s v="+"/>
    <s v="+"/>
    <s v="+"/>
    <b v="0"/>
  </r>
  <r>
    <d v="2026-01-20T00:00:00"/>
    <s v="B"/>
    <x v="292"/>
    <s v="TL104"/>
    <n v="383"/>
    <n v="23900"/>
    <s v="I"/>
    <s v="N"/>
    <n v="1.8"/>
    <s v="BLACK"/>
    <s v="N00989B"/>
    <s v="ToyoLi - BLACK"/>
    <n v="30"/>
    <n v="0"/>
    <m/>
    <m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0"/>
    <n v="0"/>
    <n v="9.2765957446808471"/>
    <n v="0"/>
    <s v="REFLEX BLUE"/>
    <s v="J00975P"/>
    <s v="ToyoLi - REFLEX BLUE"/>
    <n v="17"/>
    <n v="0"/>
    <m/>
    <m/>
    <n v="0"/>
    <s v="Z822"/>
    <s v="F121"/>
    <s v="RTMD"/>
    <m/>
    <m/>
    <m/>
    <m/>
    <m/>
    <n v="5"/>
    <n v="0"/>
    <n v="3"/>
    <n v="0"/>
    <n v="5"/>
    <n v="0"/>
    <m/>
    <n v="0"/>
    <m/>
    <n v="0"/>
    <m/>
    <n v="0"/>
    <m/>
    <n v="0"/>
    <m/>
    <n v="0"/>
    <s v="ToyoLi"/>
    <n v="28"/>
    <n v="0"/>
    <n v="4.8510638297872362"/>
    <n v="0"/>
    <s v="CYAN"/>
    <s v="N00989C"/>
    <s v="ToyoLi - CYAN"/>
    <n v="29"/>
    <n v="0"/>
    <m/>
    <m/>
    <n v="0"/>
    <s v="R39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5"/>
    <n v="0"/>
    <n v="7.8510638297872362"/>
    <n v="0"/>
    <s v="RED"/>
    <m/>
    <s v="ToyoLi - RED"/>
    <m/>
    <n v="0"/>
    <m/>
    <m/>
    <n v="0"/>
    <s v="F121"/>
    <s v="F53"/>
    <m/>
    <m/>
    <m/>
    <m/>
    <m/>
    <m/>
    <n v="20"/>
    <n v="0"/>
    <n v="30"/>
    <n v="0"/>
    <m/>
    <n v="0"/>
    <m/>
    <n v="0"/>
    <m/>
    <n v="0"/>
    <m/>
    <n v="0"/>
    <m/>
    <n v="0"/>
    <m/>
    <n v="0"/>
    <s v="ToyoLi"/>
    <n v="46"/>
    <n v="0"/>
    <n v="32.510638297872333"/>
    <n v="0"/>
    <s v="YELLOW"/>
    <s v="N00989Y"/>
    <s v="ToyoLi - YELLOW"/>
    <n v="25"/>
    <n v="0"/>
    <m/>
    <m/>
    <n v="0"/>
    <s v="F23T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6"/>
    <n v="0"/>
    <n v="4.8510638297872326"/>
    <n v="0"/>
    <s v="BLACK"/>
    <m/>
    <s v="ToyoLi - BLACK"/>
    <m/>
    <n v="0"/>
    <m/>
    <m/>
    <n v="0"/>
    <s v="F640"/>
    <s v="R92"/>
    <s v="RTMD"/>
    <m/>
    <m/>
    <m/>
    <m/>
    <m/>
    <n v="40"/>
    <n v="0"/>
    <n v="2"/>
    <n v="0"/>
    <n v="15"/>
    <n v="0"/>
    <m/>
    <n v="0"/>
    <m/>
    <n v="0"/>
    <m/>
    <n v="0"/>
    <m/>
    <n v="0"/>
    <m/>
    <n v="0"/>
    <s v="ToyoLi"/>
    <n v="35"/>
    <n v="0"/>
    <n v="64.765957446808514"/>
    <n v="0"/>
    <s v="WHITE"/>
    <s v="N00989W"/>
    <s v="ToyoLi - WHITE"/>
    <n v="20"/>
    <n v="0"/>
    <m/>
    <m/>
    <n v="0"/>
    <s v="F640"/>
    <s v="HSLAS"/>
    <m/>
    <m/>
    <m/>
    <m/>
    <m/>
    <m/>
    <n v="50"/>
    <n v="0"/>
    <n v="7.18"/>
    <n v="0"/>
    <m/>
    <n v="0"/>
    <m/>
    <n v="0"/>
    <m/>
    <n v="0"/>
    <m/>
    <n v="0"/>
    <m/>
    <n v="0"/>
    <m/>
    <n v="0"/>
    <s v="ToyoLi"/>
    <n v="30"/>
    <n v="0"/>
    <n v="97.0736170212765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2"/>
    <n v="2"/>
    <n v="20"/>
    <n v="2"/>
    <n v="30"/>
    <n v="35"/>
    <n v="0"/>
    <n v="0.3"/>
    <m/>
    <m/>
    <n v="0.5"/>
    <n v="0.2"/>
    <n v="0"/>
    <n v="134"/>
    <n v="0"/>
    <n v="0"/>
    <n v="134"/>
    <n v="134"/>
    <n v="40.199999999999996"/>
    <n v="0"/>
    <n v="0"/>
    <n v="0"/>
    <n v="0"/>
    <n v="0"/>
    <n v="67"/>
    <n v="0"/>
    <n v="26.8"/>
    <n v="0"/>
    <n v="0"/>
    <n v="0"/>
    <n v="0"/>
    <m/>
    <n v="186.18"/>
    <n v="221.18"/>
    <s v="TL104"/>
    <s v="ToyoLiToyoLiToyoLiToyoLiToyoLiToyoLiToyoLi"/>
    <s v="+"/>
    <s v="+"/>
    <s v="+"/>
    <s v="+"/>
    <s v="+"/>
    <s v="+"/>
    <s v="+"/>
    <s v="NIL"/>
    <b v="0"/>
  </r>
  <r>
    <d v="2026-01-20T00:00:00"/>
    <s v="B"/>
    <x v="293"/>
    <s v="TL105"/>
    <n v="73"/>
    <n v="4200"/>
    <s v="I"/>
    <s v="N"/>
    <n v="2.1"/>
    <s v="BLACK"/>
    <s v="B00974B"/>
    <s v="ToyoLi - BLACK"/>
    <n v="15"/>
    <n v="0"/>
    <m/>
    <m/>
    <n v="0"/>
    <s v="RTMD"/>
    <s v="R92"/>
    <m/>
    <m/>
    <m/>
    <m/>
    <m/>
    <m/>
    <n v="4"/>
    <n v="0"/>
    <n v="5"/>
    <n v="0"/>
    <m/>
    <n v="0"/>
    <m/>
    <n v="0"/>
    <m/>
    <n v="0"/>
    <m/>
    <n v="0"/>
    <m/>
    <n v="0"/>
    <m/>
    <n v="0"/>
    <s v="ToyoLi"/>
    <n v="25"/>
    <n v="0"/>
    <n v="3.2285714285714278"/>
    <n v="0"/>
    <s v="BLACK"/>
    <s v="B00974B"/>
    <s v="ToyoLi - BLACK"/>
    <n v="15"/>
    <n v="0"/>
    <m/>
    <m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0"/>
    <n v="0"/>
    <n v="3.1714285714285708"/>
    <n v="0"/>
    <s v="GOLD"/>
    <s v="N00878G"/>
    <s v="ToyoLi - GOLD"/>
    <n v="20"/>
    <n v="0"/>
    <s v="F00851G"/>
    <n v="2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0"/>
    <n v="15.114285714285714"/>
    <n v="0"/>
    <s v="CYAN"/>
    <s v="N00974C"/>
    <s v="ToyoLi - CYAN"/>
    <n v="25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2.0571428571428569"/>
    <n v="0"/>
    <s v="MAGENTA"/>
    <s v="N00989M"/>
    <s v="ToyoLi - MAGENTA"/>
    <n v="27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4.1142857142857139"/>
    <n v="0"/>
    <s v="YELLOW"/>
    <s v="N00974Y"/>
    <s v="ToyoLi - YELLOW"/>
    <n v="26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9"/>
    <n v="0"/>
    <n v="2.1714285714285708"/>
    <n v="0"/>
    <s v="MEDIUM"/>
    <s v="N00989M"/>
    <s v="ToyoLi - MEDIUM"/>
    <n v="18"/>
    <n v="0"/>
    <m/>
    <m/>
    <n v="0"/>
    <s v="F640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20"/>
    <n v="0"/>
    <n v="18.571428571428569"/>
    <n v="0"/>
    <s v="WHITE"/>
    <s v="N00974W"/>
    <s v="ToyoLi - WHITE"/>
    <n v="30"/>
    <n v="0"/>
    <m/>
    <m/>
    <n v="0"/>
    <s v="F640"/>
    <s v="HSLAS"/>
    <m/>
    <m/>
    <m/>
    <m/>
    <m/>
    <m/>
    <n v="20"/>
    <n v="0"/>
    <n v="4.4400000000000004"/>
    <n v="0"/>
    <m/>
    <n v="0"/>
    <m/>
    <n v="0"/>
    <m/>
    <n v="0"/>
    <m/>
    <n v="0"/>
    <m/>
    <n v="0"/>
    <m/>
    <n v="0"/>
    <s v="ToyoLi"/>
    <n v="30"/>
    <n v="0"/>
    <n v="35.011428571428567"/>
    <n v="0"/>
    <n v="4"/>
    <n v="3"/>
    <n v="2"/>
    <n v="1"/>
    <n v="2"/>
    <n v="3"/>
    <n v="10"/>
    <n v="10"/>
    <n v="0.3"/>
    <m/>
    <m/>
    <n v="0.5"/>
    <n v="0.2"/>
    <n v="0"/>
    <n v="37"/>
    <n v="0"/>
    <n v="0"/>
    <n v="37"/>
    <n v="37"/>
    <n v="11.1"/>
    <n v="0"/>
    <n v="0"/>
    <n v="0"/>
    <n v="0"/>
    <n v="0"/>
    <n v="18.5"/>
    <n v="0"/>
    <n v="7.4"/>
    <n v="0"/>
    <n v="0"/>
    <n v="0"/>
    <n v="0"/>
    <m/>
    <n v="54.44"/>
    <n v="83.44"/>
    <s v="TL105"/>
    <s v="ToyoLiToyoLiToyoLiToyoLiToyoLiToyoLiToyoLiToyoLi"/>
    <s v="+"/>
    <s v="+"/>
    <s v="+"/>
    <s v="+"/>
    <s v="+"/>
    <s v="+"/>
    <s v="+"/>
    <s v="+"/>
    <b v="0"/>
  </r>
  <r>
    <d v="2026-01-21T00:00:00"/>
    <s v="A"/>
    <x v="294"/>
    <s v="TL106"/>
    <n v="1521"/>
    <n v="88800"/>
    <s v="I"/>
    <s v="N"/>
    <n v="1.56"/>
    <s v="BLACK"/>
    <s v="F00882B"/>
    <s v="ToyoLi - BLACK"/>
    <n v="25"/>
    <n v="0"/>
    <m/>
    <m/>
    <n v="0"/>
    <s v="R92"/>
    <m/>
    <m/>
    <m/>
    <m/>
    <m/>
    <m/>
    <m/>
    <n v="15"/>
    <n v="0"/>
    <m/>
    <n v="0"/>
    <m/>
    <n v="0"/>
    <m/>
    <n v="0"/>
    <m/>
    <n v="0"/>
    <m/>
    <n v="0"/>
    <m/>
    <n v="0"/>
    <m/>
    <n v="0"/>
    <s v="ToyoLi"/>
    <n v="28"/>
    <n v="0"/>
    <n v="16.903225806451616"/>
    <n v="0"/>
    <s v="REFLEX BLUE"/>
    <s v="J01001B"/>
    <s v="ToyoLi - REFLEX BLUE"/>
    <n v="20"/>
    <n v="0"/>
    <s v="P00456B"/>
    <n v="20"/>
    <n v="0"/>
    <s v="R1205"/>
    <s v="F121"/>
    <s v="R92"/>
    <m/>
    <m/>
    <m/>
    <m/>
    <m/>
    <n v="35"/>
    <n v="0"/>
    <n v="15"/>
    <n v="0"/>
    <n v="1.5"/>
    <n v="0"/>
    <m/>
    <n v="0"/>
    <m/>
    <n v="0"/>
    <m/>
    <n v="0"/>
    <m/>
    <n v="0"/>
    <m/>
    <n v="0"/>
    <s v="ToyoLi"/>
    <n v="40"/>
    <n v="0"/>
    <n v="71.112903225806448"/>
    <n v="0"/>
    <s v="REFLEX BLUE"/>
    <s v="J00992B"/>
    <s v="ToyoLi - REFLEX BLUE"/>
    <n v="15"/>
    <n v="0"/>
    <s v="C01088B"/>
    <n v="14"/>
    <n v="0"/>
    <s v="R39"/>
    <s v="R79"/>
    <s v="RTMD"/>
    <m/>
    <m/>
    <m/>
    <m/>
    <m/>
    <n v="3"/>
    <n v="0"/>
    <n v="1"/>
    <n v="0"/>
    <n v="2"/>
    <n v="0"/>
    <m/>
    <n v="0"/>
    <m/>
    <n v="0"/>
    <m/>
    <n v="0"/>
    <m/>
    <n v="0"/>
    <m/>
    <n v="0"/>
    <s v="ToyoLi"/>
    <n v="32"/>
    <n v="0"/>
    <n v="7.9032258064516157"/>
    <n v="0"/>
    <s v="YELLOW"/>
    <s v="P00485Y"/>
    <s v="ToyoLi - YELLOW"/>
    <n v="30"/>
    <n v="0"/>
    <s v="P00485Y"/>
    <n v="13"/>
    <n v="0"/>
    <s v="F53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30"/>
    <n v="0"/>
    <n v="18.903225806451616"/>
    <n v="0"/>
    <s v="CYAN"/>
    <s v="F00882C"/>
    <s v="ToyoLi - CYAN"/>
    <n v="26"/>
    <n v="0"/>
    <m/>
    <m/>
    <n v="0"/>
    <s v="R39"/>
    <m/>
    <m/>
    <m/>
    <m/>
    <m/>
    <m/>
    <m/>
    <n v="8"/>
    <n v="0"/>
    <m/>
    <n v="0"/>
    <m/>
    <n v="0"/>
    <m/>
    <n v="0"/>
    <m/>
    <n v="0"/>
    <m/>
    <n v="0"/>
    <m/>
    <n v="0"/>
    <m/>
    <n v="0"/>
    <s v="ToyoLi"/>
    <n v="27"/>
    <n v="0"/>
    <n v="24.161290322580641"/>
    <n v="0"/>
    <s v="MAGENTA"/>
    <s v="F00882M"/>
    <s v="ToyoLi - MAGENTA"/>
    <n v="27"/>
    <n v="0"/>
    <m/>
    <m/>
    <n v="0"/>
    <s v="F121"/>
    <s v="RTMD"/>
    <m/>
    <m/>
    <m/>
    <m/>
    <m/>
    <m/>
    <n v="7"/>
    <n v="0"/>
    <n v="2"/>
    <n v="0"/>
    <m/>
    <n v="0"/>
    <m/>
    <n v="0"/>
    <m/>
    <n v="0"/>
    <m/>
    <n v="0"/>
    <m/>
    <n v="0"/>
    <m/>
    <n v="0"/>
    <s v="ToyoLi"/>
    <n v="28"/>
    <n v="0"/>
    <n v="17.806451612903224"/>
    <n v="0"/>
    <s v="YELLOW"/>
    <s v="F00882Y"/>
    <s v="ToyoLi - YELLOW"/>
    <n v="29"/>
    <n v="0"/>
    <m/>
    <m/>
    <n v="0"/>
    <s v="F23T"/>
    <s v="RTMD"/>
    <m/>
    <m/>
    <m/>
    <m/>
    <m/>
    <m/>
    <n v="33"/>
    <n v="0"/>
    <n v="5"/>
    <n v="0"/>
    <m/>
    <n v="0"/>
    <m/>
    <n v="0"/>
    <m/>
    <n v="0"/>
    <m/>
    <n v="0"/>
    <m/>
    <n v="0"/>
    <m/>
    <n v="0"/>
    <s v="ToyoLi"/>
    <n v="28"/>
    <n v="0"/>
    <n v="68.41935483870968"/>
    <n v="0"/>
    <s v="WHITE"/>
    <s v="F00882W"/>
    <s v="ToyoLi - WHITE"/>
    <n v="30"/>
    <n v="0"/>
    <m/>
    <m/>
    <n v="0"/>
    <s v="F640"/>
    <s v="HSLAS"/>
    <m/>
    <m/>
    <m/>
    <m/>
    <m/>
    <m/>
    <n v="300"/>
    <n v="0"/>
    <n v="16.600000000000001"/>
    <n v="0"/>
    <m/>
    <n v="0"/>
    <m/>
    <n v="0"/>
    <m/>
    <n v="0"/>
    <m/>
    <n v="0"/>
    <m/>
    <n v="0"/>
    <m/>
    <n v="0"/>
    <s v="ToyoLi"/>
    <n v="30"/>
    <n v="0"/>
    <n v="757.89032258064515"/>
    <n v="0"/>
    <n v="2"/>
    <n v="8"/>
    <n v="2"/>
    <n v="2"/>
    <n v="7"/>
    <n v="4"/>
    <n v="12"/>
    <n v="180"/>
    <n v="0.3"/>
    <m/>
    <m/>
    <n v="0.5"/>
    <n v="0.2"/>
    <n v="0"/>
    <n v="532"/>
    <n v="0"/>
    <n v="0"/>
    <n v="532"/>
    <n v="532"/>
    <n v="159.6"/>
    <n v="0"/>
    <n v="0"/>
    <n v="0"/>
    <n v="0"/>
    <n v="0"/>
    <n v="266"/>
    <n v="0"/>
    <n v="106.4"/>
    <n v="0"/>
    <n v="0"/>
    <n v="0"/>
    <n v="0"/>
    <m/>
    <n v="445.1"/>
    <n v="983.1"/>
    <s v="TL106"/>
    <s v="ToyoLiToyoLiToyoLiToyoLiToyoLiToyoLiToyoLiToyoLi"/>
    <s v="+"/>
    <s v="+"/>
    <s v="+"/>
    <s v="+"/>
    <s v="+"/>
    <s v="+"/>
    <s v="+"/>
    <s v="+"/>
    <b v="0"/>
  </r>
  <r>
    <d v="2026-01-21T00:00:00"/>
    <s v="A"/>
    <x v="295"/>
    <s v="TL107"/>
    <n v="77"/>
    <n v="6200"/>
    <s v="I"/>
    <s v="N"/>
    <n v="0.88"/>
    <s v="BLACK"/>
    <s v="B01068B"/>
    <s v="ToyoLi - BLACK"/>
    <n v="28"/>
    <n v="0"/>
    <m/>
    <m/>
    <n v="0"/>
    <s v="R92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30"/>
    <n v="0"/>
    <n v="7.1666666666666643"/>
    <n v="0"/>
    <s v="BLACK"/>
    <s v="P00485B"/>
    <s v="ToyoLi - BLACK"/>
    <n v="21"/>
    <n v="0"/>
    <m/>
    <m/>
    <n v="0"/>
    <s v="F53"/>
    <s v="F121"/>
    <s v="R92"/>
    <m/>
    <m/>
    <m/>
    <m/>
    <m/>
    <n v="5"/>
    <n v="0"/>
    <n v="2"/>
    <n v="0"/>
    <n v="3"/>
    <n v="0"/>
    <m/>
    <n v="0"/>
    <m/>
    <n v="0"/>
    <m/>
    <n v="0"/>
    <m/>
    <n v="0"/>
    <m/>
    <n v="0"/>
    <s v="ToyoLi"/>
    <n v="25"/>
    <n v="0"/>
    <n v="16.333333333333329"/>
    <n v="0"/>
    <s v="CYAN"/>
    <s v="B01068C"/>
    <s v="ToyoLi - CYAN"/>
    <n v="27"/>
    <n v="0"/>
    <m/>
    <m/>
    <n v="0"/>
    <s v="R39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7.1666666666666643"/>
    <n v="0"/>
    <s v="MAGENTA"/>
    <s v="B01068M"/>
    <s v="ToyoLi - MAGENTA"/>
    <n v="28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8.1666666666666643"/>
    <n v="0"/>
    <s v="YELLOW"/>
    <s v="B01068Y"/>
    <s v="ToyoLi - YELLOW"/>
    <n v="28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0"/>
    <n v="0"/>
    <n v="8.166666666666664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"/>
    <n v="2"/>
    <n v="2"/>
    <n v="2"/>
    <n v="0"/>
    <n v="0"/>
    <n v="0"/>
    <n v="0.3"/>
    <m/>
    <m/>
    <n v="0.5"/>
    <n v="0.2"/>
    <n v="0"/>
    <n v="31"/>
    <n v="0"/>
    <n v="0"/>
    <n v="31"/>
    <n v="31"/>
    <n v="9.2999999999999989"/>
    <n v="0"/>
    <n v="0"/>
    <n v="0"/>
    <n v="0"/>
    <n v="0"/>
    <n v="15.5"/>
    <n v="0"/>
    <n v="6.2"/>
    <n v="0"/>
    <n v="0"/>
    <n v="0"/>
    <n v="0"/>
    <m/>
    <n v="25"/>
    <n v="46.999999999999986"/>
    <s v="TL107"/>
    <s v="ToyoLiToyoLiToyoLiToyoLiToyoLi"/>
    <s v="+"/>
    <s v="+"/>
    <s v="+"/>
    <s v="+"/>
    <s v="+"/>
    <s v="NIL"/>
    <s v="NIL"/>
    <s v="NIL"/>
    <b v="0"/>
  </r>
  <r>
    <d v="2026-01-21T00:00:00"/>
    <s v="B"/>
    <x v="296"/>
    <s v="TL108"/>
    <n v="267"/>
    <n v="15400"/>
    <s v="I"/>
    <s v="N"/>
    <n v="1.65"/>
    <s v="BLACK"/>
    <s v="C01287B"/>
    <s v="ToyoLi - BLACK"/>
    <n v="30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30"/>
    <n v="0"/>
    <n v="6.6521739130434767"/>
    <n v="0"/>
    <s v="RED"/>
    <s v="B00974R"/>
    <s v="ToyoLi - RED"/>
    <n v="36"/>
    <n v="0"/>
    <m/>
    <m/>
    <n v="0"/>
    <s v="F121"/>
    <s v="R92"/>
    <m/>
    <m/>
    <m/>
    <m/>
    <m/>
    <m/>
    <n v="2"/>
    <n v="0"/>
    <n v="0.2"/>
    <n v="0"/>
    <m/>
    <n v="0"/>
    <m/>
    <n v="0"/>
    <m/>
    <n v="0"/>
    <m/>
    <n v="0"/>
    <m/>
    <n v="0"/>
    <m/>
    <n v="0"/>
    <s v="ToyoLi"/>
    <n v="38"/>
    <n v="0"/>
    <n v="7.1782608695652215"/>
    <n v="0"/>
    <s v="CYAN"/>
    <s v="C01287C"/>
    <s v="ToyoLi - CYAN"/>
    <n v="28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9"/>
    <n v="0"/>
    <n v="5.6521739130434767"/>
    <n v="0"/>
    <s v="MAGENTA"/>
    <s v="C01287M"/>
    <s v="ToyoLi - MAGENTA"/>
    <n v="28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7.6521739130434767"/>
    <n v="0"/>
    <s v="YELLOW"/>
    <s v="C01287Y"/>
    <s v="ToyoLi - YELLOW"/>
    <n v="30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11.652173913043477"/>
    <n v="0"/>
    <s v="REFLEX BLUE"/>
    <s v="F00882B"/>
    <s v="ToyoLi - REFLEX BLUE"/>
    <n v="10"/>
    <n v="0"/>
    <s v="J00992B/B00974B/P00480B"/>
    <n v="34"/>
    <n v="0"/>
    <s v="F23T"/>
    <s v="R1205"/>
    <s v="R39"/>
    <s v="R92"/>
    <m/>
    <m/>
    <m/>
    <m/>
    <n v="1"/>
    <n v="0"/>
    <n v="3"/>
    <n v="0"/>
    <n v="4"/>
    <n v="0"/>
    <n v="2"/>
    <n v="0"/>
    <m/>
    <n v="0"/>
    <m/>
    <n v="0"/>
    <m/>
    <n v="0"/>
    <m/>
    <n v="0"/>
    <s v="ToyoLi"/>
    <n v="36"/>
    <n v="0"/>
    <n v="29.630434782608688"/>
    <n v="0"/>
    <s v="REFLEX BLUE"/>
    <s v="G00406B"/>
    <s v="ToyoLi - REFLEX BLUE"/>
    <n v="16"/>
    <n v="0"/>
    <s v="C01488B"/>
    <n v="15"/>
    <n v="0"/>
    <s v="R39"/>
    <s v="R1205"/>
    <m/>
    <m/>
    <m/>
    <m/>
    <m/>
    <m/>
    <n v="10"/>
    <n v="0"/>
    <n v="3"/>
    <n v="0"/>
    <m/>
    <n v="0"/>
    <m/>
    <n v="0"/>
    <m/>
    <n v="0"/>
    <m/>
    <n v="0"/>
    <m/>
    <n v="0"/>
    <m/>
    <n v="0"/>
    <s v="ToyoLi"/>
    <n v="40"/>
    <n v="0"/>
    <n v="27.260869565217391"/>
    <n v="0"/>
    <s v="WHITE"/>
    <s v="B01068W"/>
    <s v="ToyoLi - WHITE"/>
    <n v="30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20"/>
    <n v="0"/>
    <n v="96.521739130434781"/>
    <n v="0"/>
    <n v="2"/>
    <n v="3"/>
    <n v="2"/>
    <n v="2"/>
    <n v="2"/>
    <n v="5"/>
    <n v="10"/>
    <n v="20"/>
    <n v="0.3"/>
    <m/>
    <m/>
    <n v="0.5"/>
    <n v="0.2"/>
    <n v="0"/>
    <n v="107"/>
    <n v="0"/>
    <n v="0"/>
    <n v="107"/>
    <n v="107"/>
    <n v="32.1"/>
    <n v="0"/>
    <n v="0"/>
    <n v="0"/>
    <n v="0"/>
    <n v="0"/>
    <n v="53.5"/>
    <n v="0"/>
    <n v="21.400000000000002"/>
    <n v="0"/>
    <n v="0"/>
    <n v="0"/>
    <n v="0"/>
    <m/>
    <n v="74.2"/>
    <n v="192.2"/>
    <s v="TL108"/>
    <s v="ToyoLiToyoLiToyoLiToyoLiToyoLiToyoLiToyoLiToyoLi"/>
    <s v="+"/>
    <s v="+"/>
    <s v="+"/>
    <s v="+"/>
    <s v="+"/>
    <s v="+"/>
    <s v="+"/>
    <s v="+"/>
    <b v="0"/>
  </r>
  <r>
    <d v="2026-01-21T00:00:00"/>
    <s v="B"/>
    <x v="297"/>
    <s v="TL109"/>
    <n v="578"/>
    <n v="26000"/>
    <s v="I"/>
    <s v="N"/>
    <n v="1.3"/>
    <s v="BLACK"/>
    <s v="R00007B"/>
    <s v="ToyoLi - BLACK"/>
    <n v="30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32"/>
    <n v="0"/>
    <n v="6.5806451612903203"/>
    <n v="0"/>
    <s v="REFLEX BLUE"/>
    <s v="B01067B"/>
    <s v="ToyoLi - REFLEX BLUE"/>
    <n v="20"/>
    <n v="0"/>
    <m/>
    <m/>
    <n v="0"/>
    <s v="R1205"/>
    <s v="R92"/>
    <m/>
    <m/>
    <m/>
    <m/>
    <m/>
    <m/>
    <n v="6"/>
    <n v="0"/>
    <n v="1"/>
    <n v="0"/>
    <m/>
    <n v="0"/>
    <m/>
    <n v="0"/>
    <m/>
    <n v="0"/>
    <m/>
    <n v="0"/>
    <m/>
    <n v="0"/>
    <m/>
    <n v="0"/>
    <s v="ToyoLi"/>
    <n v="25"/>
    <n v="0"/>
    <n v="13.161290322580641"/>
    <n v="0"/>
    <s v="ORANGE"/>
    <s v="B01067O"/>
    <s v="ToyoLi - ORANGE"/>
    <n v="20"/>
    <n v="0"/>
    <s v="J00991O"/>
    <n v="20"/>
    <n v="0"/>
    <s v="F640"/>
    <s v="F23T"/>
    <s v="F53"/>
    <s v="R92"/>
    <m/>
    <m/>
    <m/>
    <m/>
    <n v="8"/>
    <n v="0"/>
    <n v="15"/>
    <n v="0"/>
    <n v="9"/>
    <n v="0"/>
    <n v="0.3"/>
    <n v="0"/>
    <m/>
    <n v="0"/>
    <m/>
    <n v="0"/>
    <m/>
    <n v="0"/>
    <m/>
    <n v="0"/>
    <s v="ToyoLi"/>
    <n v="30"/>
    <n v="0"/>
    <n v="84.154838709677421"/>
    <n v="0"/>
    <s v="YELLOW"/>
    <s v="B01049Y"/>
    <s v="ToyoLi - YELLOW"/>
    <n v="17"/>
    <n v="0"/>
    <m/>
    <m/>
    <n v="0"/>
    <s v="F23T"/>
    <s v="F53"/>
    <m/>
    <m/>
    <m/>
    <m/>
    <m/>
    <m/>
    <n v="8"/>
    <n v="0"/>
    <n v="0.2"/>
    <n v="0"/>
    <m/>
    <n v="0"/>
    <m/>
    <n v="0"/>
    <m/>
    <n v="0"/>
    <m/>
    <n v="0"/>
    <m/>
    <n v="0"/>
    <m/>
    <n v="0"/>
    <s v="ToyoLi"/>
    <n v="18"/>
    <n v="0"/>
    <n v="12.780645161290323"/>
    <n v="0"/>
    <s v="CYAN"/>
    <s v="R00007C"/>
    <s v="ToyoLi - CYAN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0"/>
    <n v="7.5806451612903203"/>
    <n v="0"/>
    <s v="MAGENTA"/>
    <s v="R00007M"/>
    <s v="ToyoLi - MAGENTA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0"/>
    <n v="8.5806451612903203"/>
    <n v="0"/>
    <s v="YELLOW"/>
    <s v="R00007Y"/>
    <s v="ToyoLi - YELLOW"/>
    <n v="25"/>
    <n v="0"/>
    <m/>
    <m/>
    <n v="0"/>
    <s v="F23T"/>
    <s v="RTMD"/>
    <m/>
    <m/>
    <m/>
    <m/>
    <m/>
    <m/>
    <n v="5"/>
    <n v="0"/>
    <n v="3"/>
    <n v="0"/>
    <m/>
    <n v="0"/>
    <m/>
    <n v="0"/>
    <m/>
    <n v="0"/>
    <m/>
    <n v="0"/>
    <m/>
    <n v="0"/>
    <m/>
    <n v="0"/>
    <s v="ToyoLi"/>
    <n v="24"/>
    <n v="0"/>
    <n v="22.951612903225808"/>
    <n v="0"/>
    <s v="WHITE"/>
    <s v="R00007W"/>
    <s v="ToyoLi - WHITE"/>
    <n v="20"/>
    <n v="0"/>
    <m/>
    <m/>
    <n v="0"/>
    <s v="F640"/>
    <s v="HSLAS"/>
    <m/>
    <m/>
    <m/>
    <m/>
    <m/>
    <m/>
    <n v="100"/>
    <n v="0"/>
    <n v="8.0500000000000007"/>
    <n v="0"/>
    <m/>
    <n v="0"/>
    <m/>
    <n v="0"/>
    <m/>
    <n v="0"/>
    <m/>
    <n v="0"/>
    <m/>
    <n v="0"/>
    <m/>
    <n v="0"/>
    <s v="ToyoLi"/>
    <n v="25"/>
    <n v="0"/>
    <n v="186.75967741935486"/>
    <n v="0"/>
    <n v="2"/>
    <n v="4"/>
    <n v="15"/>
    <n v="2"/>
    <n v="2"/>
    <n v="2"/>
    <n v="5"/>
    <n v="30"/>
    <n v="0.3"/>
    <m/>
    <m/>
    <n v="0.5"/>
    <n v="0.2"/>
    <n v="0"/>
    <n v="173"/>
    <n v="0"/>
    <n v="0"/>
    <n v="173"/>
    <n v="173"/>
    <n v="51.9"/>
    <n v="0"/>
    <n v="0"/>
    <n v="0"/>
    <n v="0"/>
    <n v="0"/>
    <n v="86.5"/>
    <n v="0"/>
    <n v="34.6"/>
    <n v="0"/>
    <n v="0"/>
    <n v="0"/>
    <n v="0"/>
    <m/>
    <n v="166.55"/>
    <n v="342.54999999999995"/>
    <s v="TL109"/>
    <s v="ToyoLiToyoLiToyoLiToyoLiToyoLiToyoLiToyoLiToyoLi"/>
    <s v="+"/>
    <s v="+"/>
    <s v="+"/>
    <s v="+"/>
    <s v="+"/>
    <s v="+"/>
    <s v="+"/>
    <s v="+"/>
    <b v="0"/>
  </r>
  <r>
    <d v="2026-01-21T00:00:00"/>
    <s v="B"/>
    <x v="298"/>
    <s v="TL110"/>
    <n v="908"/>
    <n v="51600"/>
    <s v="I"/>
    <s v="N"/>
    <n v="1.7"/>
    <s v="BLACK"/>
    <s v="N00795B"/>
    <s v="ToyoLi - BLACK"/>
    <n v="32"/>
    <n v="0"/>
    <m/>
    <m/>
    <n v="0"/>
    <s v="R92"/>
    <s v="RTMD"/>
    <m/>
    <m/>
    <m/>
    <m/>
    <m/>
    <m/>
    <n v="15"/>
    <n v="0"/>
    <n v="5"/>
    <n v="0"/>
    <m/>
    <n v="0"/>
    <m/>
    <n v="0"/>
    <m/>
    <n v="0"/>
    <m/>
    <n v="0"/>
    <m/>
    <n v="0"/>
    <m/>
    <n v="0"/>
    <s v="ToyoLi"/>
    <n v="54"/>
    <n v="0"/>
    <n v="19.58371040723982"/>
    <n v="0"/>
    <s v="BLACK"/>
    <s v="N00795B"/>
    <s v="ToyoLi - BLACK"/>
    <n v="4"/>
    <n v="0"/>
    <m/>
    <m/>
    <n v="0"/>
    <s v="R92"/>
    <m/>
    <m/>
    <m/>
    <m/>
    <m/>
    <m/>
    <m/>
    <n v="20"/>
    <n v="0"/>
    <m/>
    <n v="0"/>
    <m/>
    <n v="0"/>
    <m/>
    <n v="0"/>
    <m/>
    <n v="0"/>
    <m/>
    <n v="0"/>
    <m/>
    <n v="0"/>
    <m/>
    <n v="0"/>
    <s v="ToyoLi"/>
    <n v="20"/>
    <n v="0"/>
    <n v="25.58371040723982"/>
    <n v="0"/>
    <s v="BLACK"/>
    <m/>
    <s v="ToyoLi - BLACK"/>
    <m/>
    <n v="0"/>
    <m/>
    <m/>
    <n v="0"/>
    <s v="RTMD"/>
    <s v="R92"/>
    <m/>
    <m/>
    <m/>
    <m/>
    <m/>
    <m/>
    <n v="20"/>
    <n v="0"/>
    <n v="0.5"/>
    <n v="0"/>
    <m/>
    <n v="0"/>
    <m/>
    <n v="0"/>
    <m/>
    <n v="0"/>
    <m/>
    <n v="0"/>
    <m/>
    <n v="0"/>
    <m/>
    <n v="0"/>
    <s v="ToyoLi"/>
    <n v="38"/>
    <n v="0"/>
    <n v="8.4004524886877832"/>
    <n v="0"/>
    <s v="MAGENTA"/>
    <s v="N00795M"/>
    <s v="ToyoLi - MAGENTA"/>
    <n v="25"/>
    <n v="0"/>
    <m/>
    <m/>
    <n v="0"/>
    <s v="RTMD"/>
    <s v="F121"/>
    <m/>
    <m/>
    <m/>
    <m/>
    <m/>
    <m/>
    <n v="4"/>
    <n v="0"/>
    <n v="3"/>
    <n v="0"/>
    <m/>
    <n v="0"/>
    <m/>
    <n v="0"/>
    <m/>
    <n v="0"/>
    <m/>
    <n v="0"/>
    <m/>
    <n v="0"/>
    <m/>
    <n v="0"/>
    <s v="ToyoLi"/>
    <n v="24"/>
    <n v="0"/>
    <n v="16.633484162895925"/>
    <n v="0"/>
    <s v="YELLOW"/>
    <s v="N00795Y"/>
    <s v="ToyoLi - YELLOW"/>
    <n v="24"/>
    <n v="0"/>
    <m/>
    <m/>
    <n v="0"/>
    <s v="F23T"/>
    <s v="RTMD"/>
    <m/>
    <m/>
    <m/>
    <m/>
    <m/>
    <m/>
    <n v="8"/>
    <n v="0"/>
    <n v="3"/>
    <n v="0"/>
    <m/>
    <n v="0"/>
    <m/>
    <n v="0"/>
    <m/>
    <n v="0"/>
    <m/>
    <n v="0"/>
    <m/>
    <n v="0"/>
    <m/>
    <n v="0"/>
    <s v="ToyoLi"/>
    <n v="25"/>
    <n v="0"/>
    <n v="20.072398190045249"/>
    <n v="0"/>
    <s v="BLACK"/>
    <m/>
    <s v="ToyoLi - BLACK"/>
    <m/>
    <n v="0"/>
    <m/>
    <m/>
    <n v="0"/>
    <s v="RTMD"/>
    <s v="R92"/>
    <m/>
    <m/>
    <m/>
    <m/>
    <m/>
    <m/>
    <n v="30"/>
    <n v="0"/>
    <n v="0.7"/>
    <n v="0"/>
    <m/>
    <n v="0"/>
    <m/>
    <n v="0"/>
    <m/>
    <n v="0"/>
    <m/>
    <n v="0"/>
    <m/>
    <n v="0"/>
    <m/>
    <n v="0"/>
    <s v="ToyoLi"/>
    <n v="46"/>
    <n v="0"/>
    <n v="13.478280542986425"/>
    <n v="0"/>
    <s v="RED"/>
    <m/>
    <s v="ToyoLi - RED"/>
    <m/>
    <n v="0"/>
    <m/>
    <m/>
    <n v="0"/>
    <s v="RTMD"/>
    <s v="F121"/>
    <s v="F23T"/>
    <m/>
    <m/>
    <m/>
    <m/>
    <m/>
    <n v="160"/>
    <n v="0"/>
    <n v="3"/>
    <n v="0"/>
    <n v="0.4"/>
    <n v="0"/>
    <m/>
    <n v="0"/>
    <m/>
    <n v="0"/>
    <m/>
    <n v="0"/>
    <m/>
    <n v="0"/>
    <m/>
    <n v="0"/>
    <s v="ToyoLi"/>
    <n v="36"/>
    <n v="0"/>
    <n v="199.34570135746606"/>
    <n v="0"/>
    <s v="WHITE"/>
    <s v="N00795W"/>
    <s v="ToyoLi - WHITE"/>
    <n v="25"/>
    <n v="0"/>
    <m/>
    <m/>
    <n v="0"/>
    <s v="F640"/>
    <m/>
    <m/>
    <m/>
    <m/>
    <m/>
    <m/>
    <m/>
    <n v="140"/>
    <n v="0"/>
    <m/>
    <n v="0"/>
    <m/>
    <n v="0"/>
    <m/>
    <n v="0"/>
    <m/>
    <n v="0"/>
    <m/>
    <n v="0"/>
    <m/>
    <n v="0"/>
    <m/>
    <n v="0"/>
    <s v="ToyoLi"/>
    <n v="25"/>
    <n v="0"/>
    <n v="269.50226244343889"/>
    <n v="0"/>
    <n v="15"/>
    <n v="15"/>
    <n v="18"/>
    <n v="6"/>
    <n v="7"/>
    <n v="20"/>
    <n v="50"/>
    <n v="90"/>
    <n v="0.3"/>
    <m/>
    <m/>
    <n v="0.5"/>
    <n v="0.2"/>
    <n v="0"/>
    <n v="318"/>
    <n v="0"/>
    <n v="0"/>
    <n v="318"/>
    <n v="318"/>
    <n v="95.399999999999991"/>
    <n v="0"/>
    <n v="0"/>
    <n v="0"/>
    <n v="0"/>
    <n v="0"/>
    <n v="159"/>
    <n v="0"/>
    <n v="63.6"/>
    <n v="0"/>
    <n v="0"/>
    <n v="0"/>
    <n v="0"/>
    <m/>
    <n v="412.59999999999997"/>
    <n v="572.59999999999991"/>
    <s v="TL110"/>
    <s v="ToyoLiToyoLiToyoLiToyoLiToyoLiToyoLiToyoLiToyoLi"/>
    <s v="+"/>
    <s v="+"/>
    <s v="+"/>
    <s v="+"/>
    <s v="+"/>
    <s v="+"/>
    <s v="+"/>
    <s v="+"/>
    <b v="0"/>
  </r>
  <r>
    <d v="2026-01-21T00:00:00"/>
    <s v="B"/>
    <x v="299"/>
    <s v="TL111"/>
    <n v="455"/>
    <n v="26100"/>
    <s v="I"/>
    <s v="N"/>
    <n v="1.9"/>
    <s v="BLACK"/>
    <s v="P00463B"/>
    <s v="ToyoLi - BLACK"/>
    <n v="26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7"/>
    <n v="0"/>
    <n v="6.4166666666666643"/>
    <n v="0"/>
    <s v="RED"/>
    <m/>
    <s v="ToyoLi - RED"/>
    <m/>
    <n v="0"/>
    <m/>
    <m/>
    <n v="0"/>
    <s v="F121"/>
    <s v="F53"/>
    <m/>
    <m/>
    <m/>
    <m/>
    <m/>
    <m/>
    <n v="40"/>
    <n v="0"/>
    <n v="45"/>
    <n v="0"/>
    <m/>
    <n v="0"/>
    <m/>
    <n v="0"/>
    <m/>
    <n v="0"/>
    <m/>
    <n v="0"/>
    <m/>
    <n v="0"/>
    <m/>
    <n v="0"/>
    <s v="ToyoLi"/>
    <n v="32"/>
    <n v="0"/>
    <n v="97.166666666666686"/>
    <n v="0"/>
    <s v="GREEN"/>
    <m/>
    <s v="ToyoLi - GREEN"/>
    <m/>
    <n v="0"/>
    <m/>
    <m/>
    <n v="0"/>
    <s v="F23T"/>
    <s v="R79"/>
    <m/>
    <m/>
    <m/>
    <m/>
    <m/>
    <m/>
    <n v="10"/>
    <n v="0"/>
    <n v="2"/>
    <n v="0"/>
    <m/>
    <n v="0"/>
    <m/>
    <n v="0"/>
    <m/>
    <n v="0"/>
    <m/>
    <n v="0"/>
    <m/>
    <n v="0"/>
    <m/>
    <n v="0"/>
    <s v="ToyoLi"/>
    <n v="16"/>
    <n v="0"/>
    <n v="13.666666666666664"/>
    <n v="0"/>
    <s v="YELLOW"/>
    <s v="P00463Y"/>
    <s v="ToyoLi - YELLOW"/>
    <n v="25"/>
    <n v="0"/>
    <m/>
    <m/>
    <n v="0"/>
    <s v="F23T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7"/>
    <n v="0"/>
    <n v="5.4166666666666643"/>
    <n v="0"/>
    <s v="WHITE"/>
    <s v="P00463W"/>
    <s v="ToyoLi - WHITE"/>
    <n v="25"/>
    <n v="0"/>
    <m/>
    <m/>
    <n v="0"/>
    <s v="F640"/>
    <s v="HSLAS"/>
    <m/>
    <m/>
    <m/>
    <m/>
    <m/>
    <m/>
    <n v="80"/>
    <n v="0"/>
    <n v="6.63"/>
    <n v="0"/>
    <m/>
    <n v="0"/>
    <m/>
    <n v="0"/>
    <m/>
    <n v="0"/>
    <m/>
    <n v="0"/>
    <m/>
    <n v="0"/>
    <m/>
    <n v="0"/>
    <s v="ToyoLi"/>
    <n v="30"/>
    <n v="0"/>
    <n v="169.9633333333333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0"/>
    <n v="8"/>
    <n v="2"/>
    <n v="40"/>
    <n v="0"/>
    <n v="0"/>
    <n v="0"/>
    <n v="0.3"/>
    <m/>
    <m/>
    <n v="0.5"/>
    <n v="0.2"/>
    <n v="0"/>
    <n v="159"/>
    <n v="0"/>
    <n v="0"/>
    <n v="159"/>
    <n v="159"/>
    <n v="47.699999999999996"/>
    <n v="0"/>
    <n v="0"/>
    <n v="0"/>
    <n v="0"/>
    <n v="0"/>
    <n v="79.5"/>
    <n v="0"/>
    <n v="31.8"/>
    <n v="0"/>
    <n v="0"/>
    <n v="0"/>
    <n v="0"/>
    <m/>
    <n v="189.63"/>
    <n v="292.63"/>
    <s v="TL111"/>
    <s v="ToyoLiToyoLiToyoLiToyoLiToyoLi"/>
    <s v="+"/>
    <s v="+"/>
    <s v="+"/>
    <s v="+"/>
    <s v="+"/>
    <s v="NIL"/>
    <s v="NIL"/>
    <s v="NIL"/>
    <b v="0"/>
  </r>
  <r>
    <d v="2026-01-21T00:00:00"/>
    <s v="A"/>
    <x v="300"/>
    <s v="TL112"/>
    <n v="173"/>
    <n v="13600"/>
    <s v="I"/>
    <s v="N"/>
    <n v="4.1399999999999997"/>
    <s v="BLACK"/>
    <s v="B01073B"/>
    <s v="ToyoLi - BLACK"/>
    <n v="27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2"/>
    <n v="0"/>
    <s v="BLACK"/>
    <s v="N00994B"/>
    <s v="ToyoLi - BLACK"/>
    <n v="15"/>
    <n v="0"/>
    <s v="B01051B"/>
    <n v="18"/>
    <n v="0"/>
    <s v="F23T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32"/>
    <n v="0"/>
    <n v="11.428571428571431"/>
    <n v="0"/>
    <s v="GREEN"/>
    <s v="B01073G"/>
    <s v="ToyoLi - GREEN"/>
    <n v="16"/>
    <n v="0"/>
    <s v="N00818G"/>
    <n v="10"/>
    <n v="0"/>
    <s v="F23T"/>
    <s v="R39"/>
    <m/>
    <m/>
    <m/>
    <m/>
    <m/>
    <m/>
    <n v="3"/>
    <n v="0"/>
    <n v="1"/>
    <n v="0"/>
    <m/>
    <n v="0"/>
    <m/>
    <n v="0"/>
    <m/>
    <n v="0"/>
    <m/>
    <n v="0"/>
    <m/>
    <n v="0"/>
    <m/>
    <n v="0"/>
    <s v="ToyoLi"/>
    <n v="25"/>
    <n v="0"/>
    <n v="12.428571428571431"/>
    <n v="0"/>
    <s v="CYAN"/>
    <s v="N00795C"/>
    <s v="ToyoLi - CYAN"/>
    <n v="27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4.7142857142857153"/>
    <n v="0"/>
    <s v="MAGENTA"/>
    <s v="P00463M"/>
    <s v="ToyoLi - MAGENTA"/>
    <n v="24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6"/>
    <n v="0"/>
    <n v="1"/>
    <n v="0"/>
    <s v="YELLOW"/>
    <s v="B01073Y"/>
    <s v="ToyoLi - YELLOW"/>
    <n v="27"/>
    <n v="0"/>
    <m/>
    <m/>
    <n v="0"/>
    <s v="F23T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2"/>
    <n v="0"/>
    <s v="WHITE"/>
    <s v="B01073W"/>
    <s v="ToyoLi - WHITE"/>
    <n v="30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30"/>
    <n v="0"/>
    <n v="114.28571428571428"/>
    <n v="0"/>
    <s v="MATT"/>
    <s v="J00991M"/>
    <s v="ToyoLi - MATT"/>
    <n v="20"/>
    <n v="0"/>
    <m/>
    <m/>
    <n v="0"/>
    <n v="55"/>
    <s v="NWBBK"/>
    <m/>
    <m/>
    <m/>
    <m/>
    <m/>
    <m/>
    <n v="60"/>
    <n v="0"/>
    <n v="15"/>
    <n v="0"/>
    <m/>
    <n v="0"/>
    <m/>
    <n v="0"/>
    <m/>
    <n v="0"/>
    <m/>
    <n v="0"/>
    <m/>
    <n v="0"/>
    <m/>
    <n v="0"/>
    <s v="ToyoLi"/>
    <n v="30"/>
    <n v="0"/>
    <n v="102.14285714285714"/>
    <n v="0"/>
    <n v="0"/>
    <n v="2"/>
    <n v="2"/>
    <n v="1"/>
    <n v="0"/>
    <n v="0"/>
    <n v="20"/>
    <n v="10"/>
    <n v="0.3"/>
    <m/>
    <m/>
    <n v="0.5"/>
    <n v="0.2"/>
    <n v="0"/>
    <n v="130"/>
    <n v="0"/>
    <n v="0"/>
    <n v="130"/>
    <n v="130"/>
    <n v="39"/>
    <n v="0"/>
    <n v="0"/>
    <n v="0"/>
    <n v="0"/>
    <n v="0"/>
    <n v="65"/>
    <n v="0"/>
    <n v="26"/>
    <n v="0"/>
    <n v="0"/>
    <n v="0"/>
    <n v="0"/>
    <m/>
    <n v="133"/>
    <n v="250"/>
    <s v="TL112"/>
    <s v="ToyoLiToyoLiToyoLiToyoLiToyoLiToyoLiToyoLiToyoLi"/>
    <s v="+"/>
    <s v="+"/>
    <s v="+"/>
    <s v="+"/>
    <s v="+"/>
    <s v="+"/>
    <s v="+"/>
    <s v="+"/>
    <b v="0"/>
  </r>
  <r>
    <d v="2026-01-22T00:00:00"/>
    <s v="A"/>
    <x v="301"/>
    <s v="TL113"/>
    <n v="194"/>
    <n v="13400"/>
    <s v="I"/>
    <s v="N"/>
    <n v="4.16"/>
    <s v="BLACK"/>
    <s v="F00860B"/>
    <s v="ToyoLi - BLACK"/>
    <n v="28"/>
    <n v="0"/>
    <m/>
    <m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0"/>
    <n v="0"/>
    <n v="9.3478260869565233"/>
    <n v="0"/>
    <s v="BLACK"/>
    <s v="F00860B"/>
    <s v="ToyoLi - BLACK"/>
    <n v="32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0"/>
    <n v="12"/>
    <n v="0"/>
    <s v="BLACK"/>
    <s v="B01051B"/>
    <s v="ToyoLi - BLACK"/>
    <n v="20"/>
    <n v="0"/>
    <m/>
    <m/>
    <n v="0"/>
    <s v="F121"/>
    <s v="F53"/>
    <m/>
    <m/>
    <m/>
    <m/>
    <m/>
    <m/>
    <n v="3"/>
    <n v="0"/>
    <n v="2"/>
    <n v="0"/>
    <m/>
    <n v="0"/>
    <m/>
    <n v="0"/>
    <m/>
    <n v="0"/>
    <m/>
    <n v="0"/>
    <m/>
    <n v="0"/>
    <m/>
    <n v="0"/>
    <s v="ToyoLi"/>
    <n v="26"/>
    <n v="0"/>
    <n v="14.869565217391305"/>
    <n v="0"/>
    <s v="CYAN"/>
    <s v="F00860C"/>
    <s v="ToyoLi - CYAN"/>
    <n v="28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8.3478260869565233"/>
    <n v="0"/>
    <s v="MAGENTA"/>
    <s v="F00860M"/>
    <s v="ToyoLi - MAGENTA"/>
    <n v="26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33"/>
    <n v="0"/>
    <n v="11.869565217391305"/>
    <n v="0"/>
    <s v="YELLOW"/>
    <s v="F00860Y"/>
    <s v="ToyoLi - YELLOW"/>
    <n v="28"/>
    <n v="0"/>
    <m/>
    <m/>
    <n v="0"/>
    <s v="F23T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30"/>
    <n v="0"/>
    <n v="8.3478260869565233"/>
    <n v="0"/>
    <s v="WHITE"/>
    <s v="F00860W"/>
    <s v="ToyoLi - WHITE"/>
    <n v="30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30"/>
    <n v="0"/>
    <n v="103.47826086956522"/>
    <n v="0"/>
    <s v="MATT"/>
    <s v="F00860M"/>
    <s v="ToyoLi - MATT"/>
    <n v="30"/>
    <n v="0"/>
    <m/>
    <m/>
    <n v="0"/>
    <n v="55"/>
    <s v="NWBBK"/>
    <m/>
    <m/>
    <m/>
    <m/>
    <m/>
    <m/>
    <n v="60"/>
    <n v="0"/>
    <n v="15"/>
    <n v="0"/>
    <m/>
    <n v="0"/>
    <m/>
    <n v="0"/>
    <m/>
    <n v="0"/>
    <m/>
    <n v="0"/>
    <m/>
    <n v="0"/>
    <m/>
    <n v="0"/>
    <s v="ToyoLi"/>
    <n v="30"/>
    <n v="0"/>
    <n v="106.73913043478262"/>
    <n v="0"/>
    <n v="2"/>
    <n v="0"/>
    <n v="5"/>
    <n v="2"/>
    <n v="5"/>
    <n v="2"/>
    <n v="20"/>
    <n v="10"/>
    <n v="0.3"/>
    <m/>
    <m/>
    <n v="0.5"/>
    <n v="0.2"/>
    <n v="0"/>
    <n v="146"/>
    <n v="0"/>
    <n v="0"/>
    <n v="146"/>
    <n v="146"/>
    <n v="43.8"/>
    <n v="0"/>
    <n v="0"/>
    <n v="0"/>
    <n v="0"/>
    <n v="0"/>
    <n v="73"/>
    <n v="0"/>
    <n v="29.200000000000003"/>
    <n v="0"/>
    <n v="0"/>
    <n v="0"/>
    <n v="0"/>
    <m/>
    <n v="134"/>
    <n v="275"/>
    <s v="TL113"/>
    <s v="ToyoLiToyoLiToyoLiToyoLiToyoLiToyoLiToyoLiToyoLi"/>
    <s v="+"/>
    <s v="+"/>
    <s v="+"/>
    <s v="+"/>
    <s v="+"/>
    <s v="+"/>
    <s v="+"/>
    <s v="+"/>
    <b v="0"/>
  </r>
  <r>
    <d v="2026-01-22T00:00:00"/>
    <s v="A"/>
    <x v="302"/>
    <s v="TL114"/>
    <n v="176"/>
    <n v="12200"/>
    <s v="I"/>
    <s v="N"/>
    <n v="2.06"/>
    <s v="BLACK"/>
    <s v="F00854B"/>
    <s v="ToyoLi - BLACK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7.7446808510638334"/>
    <n v="0"/>
    <s v="REFLEX BLUE"/>
    <s v="B01067B"/>
    <s v="ToyoLi - REFLEX BLUE"/>
    <n v="20"/>
    <n v="0"/>
    <m/>
    <m/>
    <n v="0"/>
    <s v="R1205"/>
    <s v="F121"/>
    <m/>
    <m/>
    <m/>
    <m/>
    <m/>
    <m/>
    <n v="3"/>
    <n v="0"/>
    <n v="2"/>
    <n v="0"/>
    <m/>
    <n v="0"/>
    <m/>
    <n v="0"/>
    <m/>
    <n v="0"/>
    <m/>
    <n v="0"/>
    <m/>
    <n v="0"/>
    <m/>
    <n v="0"/>
    <s v="ToyoLi"/>
    <n v="18"/>
    <n v="0"/>
    <n v="10.74468085106383"/>
    <n v="0"/>
    <s v="GREEN"/>
    <s v="G00397G"/>
    <s v="ToyoLi - GREEN"/>
    <n v="10"/>
    <n v="0"/>
    <m/>
    <m/>
    <n v="0"/>
    <s v="F23T"/>
    <s v="R39"/>
    <s v="R92"/>
    <m/>
    <m/>
    <m/>
    <m/>
    <m/>
    <n v="8"/>
    <n v="0"/>
    <n v="10"/>
    <n v="0"/>
    <n v="3"/>
    <n v="0"/>
    <m/>
    <n v="0"/>
    <m/>
    <n v="0"/>
    <m/>
    <n v="0"/>
    <m/>
    <n v="0"/>
    <m/>
    <n v="0"/>
    <s v="ToyoLi"/>
    <n v="34"/>
    <n v="0"/>
    <n v="6.3617021276595764"/>
    <n v="0"/>
    <s v="GREEN"/>
    <s v="B01043G"/>
    <s v="ToyoLi - GREEN"/>
    <n v="15"/>
    <n v="0"/>
    <m/>
    <m/>
    <n v="0"/>
    <s v="F23T"/>
    <s v="R39"/>
    <m/>
    <m/>
    <m/>
    <m/>
    <m/>
    <m/>
    <n v="6"/>
    <n v="0"/>
    <n v="2"/>
    <n v="0"/>
    <m/>
    <n v="0"/>
    <m/>
    <n v="0"/>
    <m/>
    <n v="0"/>
    <m/>
    <n v="0"/>
    <m/>
    <n v="0"/>
    <m/>
    <n v="0"/>
    <s v="ToyoLi"/>
    <n v="23"/>
    <n v="0"/>
    <n v="5.617021276595743"/>
    <n v="0"/>
    <s v="CYAN"/>
    <s v="F00859C"/>
    <s v="ToyoLi - CYAN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5.7446808510638299"/>
    <n v="0"/>
    <s v="MAGENTA"/>
    <m/>
    <s v="ToyoLi - MAGENTA"/>
    <m/>
    <n v="0"/>
    <m/>
    <m/>
    <n v="0"/>
    <s v="F121"/>
    <m/>
    <m/>
    <m/>
    <m/>
    <m/>
    <m/>
    <m/>
    <n v="16"/>
    <n v="0"/>
    <m/>
    <n v="0"/>
    <m/>
    <n v="0"/>
    <m/>
    <n v="0"/>
    <m/>
    <n v="0"/>
    <m/>
    <n v="0"/>
    <m/>
    <n v="0"/>
    <m/>
    <n v="0"/>
    <s v="ToyoLi"/>
    <n v="22"/>
    <n v="0"/>
    <n v="8.9787234042553195"/>
    <n v="0"/>
    <s v="YELLOW"/>
    <m/>
    <s v="ToyoLi - YELLOW"/>
    <m/>
    <n v="0"/>
    <m/>
    <m/>
    <n v="0"/>
    <s v="F23T"/>
    <s v="HSLAS"/>
    <m/>
    <m/>
    <m/>
    <m/>
    <m/>
    <m/>
    <n v="30"/>
    <n v="0"/>
    <n v="3.93"/>
    <n v="0"/>
    <m/>
    <n v="0"/>
    <m/>
    <n v="0"/>
    <m/>
    <n v="0"/>
    <m/>
    <n v="0"/>
    <m/>
    <n v="0"/>
    <m/>
    <n v="0"/>
    <s v="ToyoLi"/>
    <n v="30"/>
    <n v="0"/>
    <n v="22.653404255319145"/>
    <n v="0"/>
    <s v="MATT"/>
    <s v="F00859M"/>
    <s v="ToyoLi - MATT"/>
    <n v="30"/>
    <n v="0"/>
    <m/>
    <m/>
    <n v="0"/>
    <n v="55"/>
    <s v="NWBBK"/>
    <m/>
    <m/>
    <m/>
    <m/>
    <m/>
    <m/>
    <n v="60"/>
    <n v="0"/>
    <n v="15"/>
    <n v="0"/>
    <m/>
    <n v="0"/>
    <m/>
    <n v="0"/>
    <m/>
    <n v="0"/>
    <m/>
    <n v="0"/>
    <m/>
    <n v="0"/>
    <m/>
    <n v="0"/>
    <s v="ToyoLi"/>
    <n v="30"/>
    <n v="0"/>
    <n v="103.08510638297872"/>
    <n v="0"/>
    <n v="2"/>
    <n v="2"/>
    <n v="5"/>
    <n v="3"/>
    <n v="2"/>
    <n v="8"/>
    <n v="10"/>
    <n v="15"/>
    <n v="0.3"/>
    <m/>
    <m/>
    <n v="0.5"/>
    <n v="0.2"/>
    <n v="0"/>
    <n v="88"/>
    <n v="0"/>
    <n v="0"/>
    <n v="88"/>
    <n v="88"/>
    <n v="26.4"/>
    <n v="0"/>
    <n v="0"/>
    <n v="0"/>
    <n v="0"/>
    <n v="0"/>
    <n v="44"/>
    <n v="0"/>
    <n v="17.600000000000001"/>
    <n v="0"/>
    <n v="0"/>
    <n v="0"/>
    <n v="0"/>
    <m/>
    <n v="158.93"/>
    <n v="170.93"/>
    <s v="TL114"/>
    <s v="ToyoLiToyoLiToyoLiToyoLiToyoLiToyoLiToyoLiToyoLi"/>
    <s v="+"/>
    <s v="+"/>
    <s v="+"/>
    <s v="+"/>
    <s v="+"/>
    <s v="+"/>
    <s v="+"/>
    <s v="+"/>
    <b v="0"/>
  </r>
  <r>
    <d v="2026-01-22T00:00:00"/>
    <s v="A"/>
    <x v="303"/>
    <s v="TL115"/>
    <n v="329"/>
    <n v="17600"/>
    <s v="I"/>
    <s v="N"/>
    <n v="2.8200000000000003"/>
    <s v="REFLEX BLUE"/>
    <s v="C01471B"/>
    <s v="ToyoLi - REFLEX BLUE"/>
    <n v="8"/>
    <n v="0"/>
    <m/>
    <m/>
    <n v="0"/>
    <s v="F121"/>
    <s v="R1205"/>
    <m/>
    <m/>
    <m/>
    <m/>
    <m/>
    <m/>
    <n v="10"/>
    <n v="0"/>
    <n v="5"/>
    <n v="0"/>
    <m/>
    <n v="0"/>
    <m/>
    <n v="0"/>
    <m/>
    <n v="0"/>
    <m/>
    <n v="0"/>
    <m/>
    <n v="0"/>
    <m/>
    <n v="0"/>
    <s v="ToyoLi"/>
    <n v="27"/>
    <n v="0"/>
    <n v="20.25"/>
    <n v="0"/>
    <s v="RED"/>
    <s v="C01343P"/>
    <s v="ToyoLi - RED"/>
    <n v="39"/>
    <n v="0"/>
    <m/>
    <m/>
    <n v="0"/>
    <s v="RTMD"/>
    <s v="F32"/>
    <s v="F23T"/>
    <m/>
    <m/>
    <m/>
    <m/>
    <m/>
    <n v="40"/>
    <n v="0"/>
    <n v="0.5"/>
    <n v="0"/>
    <n v="0.2"/>
    <n v="0"/>
    <m/>
    <n v="0"/>
    <m/>
    <n v="0"/>
    <m/>
    <n v="0"/>
    <m/>
    <n v="0"/>
    <m/>
    <n v="0"/>
    <s v="ToyoLi"/>
    <n v="31"/>
    <n v="0"/>
    <n v="70.25555555555556"/>
    <n v="0"/>
    <s v="GREEN"/>
    <s v="C01471G"/>
    <s v="ToyoLi - GREEN"/>
    <n v="23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19"/>
    <n v="0"/>
    <n v="9.3888888888888893"/>
    <n v="0"/>
    <s v="CYAN"/>
    <s v="C01471C"/>
    <s v="ToyoLi - CYAN"/>
    <n v="26"/>
    <n v="0"/>
    <m/>
    <m/>
    <n v="0"/>
    <s v="R39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6"/>
    <n v="0"/>
    <n v="8.3888888888888857"/>
    <n v="0"/>
    <s v="MAGENTA"/>
    <s v="C01471M"/>
    <s v="ToyoLi - MAGENTA"/>
    <n v="22"/>
    <n v="0"/>
    <m/>
    <m/>
    <n v="0"/>
    <s v="F121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6"/>
    <n v="0"/>
    <n v="5.3888888888888893"/>
    <n v="0"/>
    <s v="YELLOW"/>
    <s v="C01471Y"/>
    <s v="ToyoLi - YELLOW"/>
    <n v="30"/>
    <n v="0"/>
    <m/>
    <m/>
    <n v="0"/>
    <s v="RTMD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0"/>
    <n v="0"/>
    <n v="15.777777777777779"/>
    <n v="0"/>
    <s v="WHITE"/>
    <m/>
    <s v="ToyoLi - WHITE"/>
    <m/>
    <n v="0"/>
    <m/>
    <m/>
    <n v="0"/>
    <s v="F640"/>
    <s v="HSLAS"/>
    <m/>
    <m/>
    <m/>
    <m/>
    <m/>
    <m/>
    <n v="60"/>
    <n v="0"/>
    <n v="6.06"/>
    <n v="0"/>
    <m/>
    <n v="0"/>
    <m/>
    <n v="0"/>
    <m/>
    <n v="0"/>
    <m/>
    <n v="0"/>
    <m/>
    <n v="0"/>
    <m/>
    <n v="0"/>
    <s v="ToyoLi"/>
    <n v="25"/>
    <n v="0"/>
    <n v="121.89333333333335"/>
    <n v="0"/>
    <s v="MATT"/>
    <s v="C01471M"/>
    <s v="ToyoLi - MATT"/>
    <n v="30"/>
    <n v="0"/>
    <m/>
    <m/>
    <n v="0"/>
    <n v="55"/>
    <s v="NWBBK"/>
    <m/>
    <m/>
    <m/>
    <m/>
    <m/>
    <m/>
    <n v="60"/>
    <n v="0"/>
    <n v="15"/>
    <n v="0"/>
    <m/>
    <n v="0"/>
    <m/>
    <n v="0"/>
    <m/>
    <n v="0"/>
    <m/>
    <n v="0"/>
    <m/>
    <n v="0"/>
    <m/>
    <n v="0"/>
    <s v="ToyoLi"/>
    <n v="30"/>
    <n v="0"/>
    <n v="115.41666666666669"/>
    <n v="0"/>
    <n v="9"/>
    <n v="8"/>
    <n v="2"/>
    <n v="2"/>
    <n v="2"/>
    <n v="4"/>
    <n v="30"/>
    <n v="15"/>
    <n v="0.3"/>
    <m/>
    <m/>
    <n v="0.5"/>
    <n v="0.2"/>
    <n v="0"/>
    <n v="194"/>
    <n v="0"/>
    <n v="0"/>
    <n v="194"/>
    <n v="194"/>
    <n v="58.199999999999996"/>
    <n v="0"/>
    <n v="0"/>
    <n v="0"/>
    <n v="0"/>
    <n v="0"/>
    <n v="97"/>
    <n v="0"/>
    <n v="38.800000000000004"/>
    <n v="0"/>
    <n v="0"/>
    <n v="0"/>
    <n v="0"/>
    <m/>
    <n v="208.76"/>
    <n v="366.76"/>
    <s v="TL115"/>
    <s v="ToyoLiToyoLiToyoLiToyoLiToyoLiToyoLiToyoLiToyoLi"/>
    <s v="+"/>
    <s v="+"/>
    <s v="+"/>
    <s v="+"/>
    <s v="+"/>
    <s v="+"/>
    <s v="+"/>
    <s v="+"/>
    <b v="0"/>
  </r>
  <r>
    <d v="2026-01-22T00:00:00"/>
    <s v="B"/>
    <x v="304"/>
    <s v="TL116"/>
    <n v="168"/>
    <n v="9000"/>
    <s v="I"/>
    <s v="N"/>
    <n v="2.5"/>
    <s v="REFLEX BLUE"/>
    <s v="C01470B"/>
    <s v="ToyoLi - REFLEX BLUE"/>
    <n v="27"/>
    <n v="0"/>
    <m/>
    <m/>
    <n v="0"/>
    <s v="R1205"/>
    <s v="R39"/>
    <m/>
    <m/>
    <m/>
    <m/>
    <m/>
    <m/>
    <n v="2"/>
    <n v="0"/>
    <n v="2"/>
    <n v="0"/>
    <m/>
    <n v="0"/>
    <m/>
    <n v="0"/>
    <m/>
    <n v="0"/>
    <m/>
    <n v="0"/>
    <m/>
    <n v="0"/>
    <m/>
    <n v="0"/>
    <s v="ToyoLi"/>
    <n v="25"/>
    <n v="0"/>
    <n v="8.3191489361702153"/>
    <n v="0"/>
    <s v="MAGENTA"/>
    <s v="C01470M"/>
    <s v="ToyoLi - MAGENTA"/>
    <n v="26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5"/>
    <n v="0"/>
    <n v="32.98936170212766"/>
    <n v="0"/>
    <s v="YELLOW"/>
    <s v="C01470Y"/>
    <s v="ToyoLi - YELLOW"/>
    <n v="30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2"/>
    <n v="0"/>
    <n v="38.51063829787234"/>
    <n v="0"/>
    <s v="WHITE"/>
    <s v="C01470W"/>
    <s v="ToyoLi - WHITE"/>
    <n v="25"/>
    <n v="0"/>
    <m/>
    <m/>
    <n v="0"/>
    <s v="F640"/>
    <s v="HSLAS"/>
    <m/>
    <m/>
    <m/>
    <m/>
    <m/>
    <m/>
    <n v="60"/>
    <n v="0"/>
    <n v="3.78"/>
    <n v="0"/>
    <m/>
    <n v="0"/>
    <m/>
    <n v="0"/>
    <m/>
    <n v="0"/>
    <m/>
    <n v="0"/>
    <m/>
    <n v="0"/>
    <m/>
    <n v="0"/>
    <s v="ToyoLi"/>
    <n v="30"/>
    <n v="0"/>
    <n v="93.567234042553196"/>
    <n v="0"/>
    <s v="MATT"/>
    <s v="C01470M"/>
    <s v="ToyoLi - MATT"/>
    <n v="30"/>
    <n v="0"/>
    <m/>
    <m/>
    <n v="0"/>
    <n v="55"/>
    <s v="NWBBK"/>
    <m/>
    <m/>
    <m/>
    <m/>
    <m/>
    <m/>
    <n v="40"/>
    <n v="0"/>
    <n v="10"/>
    <n v="0"/>
    <m/>
    <n v="0"/>
    <m/>
    <n v="0"/>
    <m/>
    <n v="0"/>
    <m/>
    <n v="0"/>
    <m/>
    <n v="0"/>
    <m/>
    <n v="0"/>
    <s v="ToyoLi"/>
    <n v="20"/>
    <n v="0"/>
    <n v="77.39361702127659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5"/>
    <n v="22"/>
    <n v="30"/>
    <n v="15"/>
    <n v="0"/>
    <n v="0"/>
    <n v="0"/>
    <n v="0.3"/>
    <m/>
    <m/>
    <n v="0.5"/>
    <n v="0.2"/>
    <n v="0"/>
    <n v="109"/>
    <n v="0"/>
    <n v="0"/>
    <n v="109"/>
    <n v="109"/>
    <n v="32.699999999999996"/>
    <n v="0"/>
    <n v="0"/>
    <n v="0"/>
    <n v="0"/>
    <n v="0"/>
    <n v="54.5"/>
    <n v="0"/>
    <n v="21.8"/>
    <n v="0"/>
    <n v="0"/>
    <n v="0"/>
    <n v="0"/>
    <m/>
    <n v="125.78"/>
    <n v="250.78000000000003"/>
    <s v="TL116"/>
    <s v="ToyoLiToyoLiToyoLiToyoLiToyoLi"/>
    <s v="+"/>
    <s v="+"/>
    <s v="+"/>
    <s v="+"/>
    <s v="+"/>
    <s v="NIL"/>
    <s v="NIL"/>
    <s v="NIL"/>
    <b v="0"/>
  </r>
  <r>
    <d v="2026-01-22T00:00:00"/>
    <s v="B"/>
    <x v="305"/>
    <s v="TL117"/>
    <n v="190"/>
    <n v="9200"/>
    <s v="I"/>
    <s v="N"/>
    <n v="3.4"/>
    <s v="BLACK"/>
    <s v="C01471B"/>
    <s v="ToyoLi - BLACK"/>
    <n v="26"/>
    <n v="0"/>
    <m/>
    <m/>
    <n v="0"/>
    <s v="RTMD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5"/>
    <n v="0"/>
    <n v="10.045454545454547"/>
    <n v="0"/>
    <s v="REFLEX BLUE"/>
    <s v="C01451B"/>
    <s v="ToyoLi - REFLEX BLUE"/>
    <n v="25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17"/>
    <n v="0"/>
    <n v="16.045454545454547"/>
    <n v="0"/>
    <s v="REFLEX BLUE"/>
    <s v="L00294P"/>
    <s v="ToyoLi - REFLEX BLUE"/>
    <n v="12"/>
    <n v="0"/>
    <m/>
    <m/>
    <n v="0"/>
    <s v="F121"/>
    <s v="R1205"/>
    <s v="Z822"/>
    <s v="RTMD"/>
    <m/>
    <m/>
    <m/>
    <m/>
    <n v="7"/>
    <n v="0"/>
    <n v="1"/>
    <n v="0"/>
    <n v="5"/>
    <n v="0"/>
    <n v="10"/>
    <n v="0"/>
    <m/>
    <n v="0"/>
    <m/>
    <n v="0"/>
    <m/>
    <n v="0"/>
    <m/>
    <n v="0"/>
    <s v="ToyoLi"/>
    <n v="22"/>
    <n v="0"/>
    <n v="28.11363636363636"/>
    <n v="0"/>
    <s v="CYAN"/>
    <s v="C01470C"/>
    <s v="ToyoLi - CYAN"/>
    <n v="26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0"/>
    <n v="13.06818181818182"/>
    <n v="0"/>
    <s v="MAGENTA"/>
    <s v="C01451M"/>
    <s v="ToyoLi - MAGENTA"/>
    <n v="25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4"/>
    <n v="0"/>
    <n v="12.06818181818182"/>
    <n v="0"/>
    <s v="YELLOW"/>
    <s v="C01451Y"/>
    <s v="ToyoLi - YELLOW"/>
    <n v="22"/>
    <n v="0"/>
    <m/>
    <m/>
    <n v="0"/>
    <s v="RTMD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3"/>
    <n v="0"/>
    <n v="15.090909090909093"/>
    <n v="0"/>
    <s v="WHITE"/>
    <s v="C01451W"/>
    <s v="ToyoLi - WHITE"/>
    <n v="30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30"/>
    <n v="0"/>
    <n v="60.22727272727272"/>
    <n v="0"/>
    <s v="MATT"/>
    <s v="C01451M"/>
    <s v="ToyoLi - MATT"/>
    <n v="20"/>
    <n v="0"/>
    <m/>
    <m/>
    <n v="0"/>
    <n v="55"/>
    <s v="NWBBK"/>
    <m/>
    <m/>
    <m/>
    <m/>
    <m/>
    <m/>
    <n v="60"/>
    <n v="0"/>
    <n v="15"/>
    <n v="0"/>
    <m/>
    <n v="0"/>
    <m/>
    <n v="0"/>
    <m/>
    <n v="0"/>
    <m/>
    <n v="0"/>
    <m/>
    <n v="0"/>
    <m/>
    <n v="0"/>
    <s v="ToyoLi"/>
    <n v="16"/>
    <n v="0"/>
    <n v="124.34090909090909"/>
    <n v="0"/>
    <n v="2"/>
    <n v="2"/>
    <n v="5"/>
    <n v="3"/>
    <n v="3"/>
    <n v="4"/>
    <n v="10"/>
    <n v="15"/>
    <n v="0.3"/>
    <m/>
    <m/>
    <n v="0.5"/>
    <n v="0.2"/>
    <n v="0"/>
    <n v="133"/>
    <n v="0"/>
    <n v="0"/>
    <n v="133"/>
    <n v="133"/>
    <n v="39.9"/>
    <n v="0"/>
    <n v="0"/>
    <n v="0"/>
    <n v="0"/>
    <n v="0"/>
    <n v="66.5"/>
    <n v="0"/>
    <n v="26.6"/>
    <n v="0"/>
    <n v="0"/>
    <n v="0"/>
    <n v="0"/>
    <m/>
    <n v="139"/>
    <n v="279"/>
    <s v="TL117"/>
    <s v="ToyoLiToyoLiToyoLiToyoLiToyoLiToyoLiToyoLiToyoLi"/>
    <s v="+"/>
    <s v="+"/>
    <s v="+"/>
    <s v="+"/>
    <s v="+"/>
    <s v="+"/>
    <s v="+"/>
    <s v="+"/>
    <b v="0"/>
  </r>
  <r>
    <d v="2026-01-22T00:00:00"/>
    <s v="B"/>
    <x v="306"/>
    <s v="TL118"/>
    <n v="7386"/>
    <n v="367300"/>
    <s v="I"/>
    <s v="N"/>
    <n v="1.3"/>
    <s v="BLACK"/>
    <s v="J01003B"/>
    <s v="ToyoLi - BLACK"/>
    <n v="25"/>
    <n v="0"/>
    <m/>
    <m/>
    <n v="0"/>
    <s v="R92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20"/>
    <n v="0"/>
    <n v="25.934856175972925"/>
    <n v="0"/>
    <s v="REFLEX BLUE"/>
    <s v="J00977B"/>
    <s v="ToyoLi - REFLEX BLUE"/>
    <n v="17"/>
    <n v="0"/>
    <s v="J00977B/J00975B/B01067B/J00992B/C01471B/N00795B/N00784B/P00456B/J010030B/G00406B/P00456B"/>
    <n v="197"/>
    <n v="0"/>
    <s v="R1205"/>
    <s v="F121"/>
    <s v="R1205"/>
    <s v="F121"/>
    <m/>
    <m/>
    <m/>
    <m/>
    <n v="180"/>
    <n v="0"/>
    <n v="90"/>
    <n v="0"/>
    <n v="160"/>
    <n v="0"/>
    <n v="140"/>
    <n v="0"/>
    <m/>
    <n v="0"/>
    <m/>
    <n v="0"/>
    <m/>
    <n v="0"/>
    <m/>
    <n v="0"/>
    <s v="ToyoLi"/>
    <n v="36"/>
    <n v="0"/>
    <n v="1316.6125211505923"/>
    <n v="0"/>
    <s v="MAGENTA"/>
    <s v="F00859M"/>
    <s v="ToyoLi - MAGENTA"/>
    <n v="33"/>
    <n v="0"/>
    <m/>
    <m/>
    <n v="0"/>
    <s v="F121"/>
    <s v="RTMD"/>
    <m/>
    <m/>
    <m/>
    <m/>
    <m/>
    <m/>
    <n v="20"/>
    <n v="0"/>
    <n v="15"/>
    <n v="0"/>
    <m/>
    <n v="0"/>
    <m/>
    <n v="0"/>
    <m/>
    <n v="0"/>
    <m/>
    <n v="0"/>
    <m/>
    <n v="0"/>
    <m/>
    <n v="0"/>
    <s v="ToyoLi"/>
    <n v="33"/>
    <n v="0"/>
    <n v="100.60913705583755"/>
    <n v="0"/>
    <s v="YELLOW"/>
    <m/>
    <s v="ToyoLi - YELLOW"/>
    <m/>
    <n v="0"/>
    <m/>
    <m/>
    <n v="0"/>
    <s v="F23T"/>
    <s v="F53"/>
    <m/>
    <m/>
    <m/>
    <m/>
    <m/>
    <m/>
    <n v="50"/>
    <n v="0"/>
    <n v="0.5"/>
    <n v="0"/>
    <m/>
    <n v="0"/>
    <m/>
    <n v="0"/>
    <m/>
    <n v="0"/>
    <m/>
    <n v="0"/>
    <m/>
    <n v="0"/>
    <m/>
    <n v="0"/>
    <s v="ToyoLi"/>
    <n v="25"/>
    <n v="0"/>
    <n v="58.304568527918775"/>
    <n v="0"/>
    <s v="CYAN"/>
    <s v="J00399C"/>
    <s v="ToyoLi - CYAN"/>
    <n v="18"/>
    <n v="0"/>
    <s v="F00889C/R00007R/G00399C/P00463C/P00463C"/>
    <n v="146"/>
    <n v="0"/>
    <s v="R39"/>
    <s v="RTMD"/>
    <s v="RTMD"/>
    <s v="R39"/>
    <m/>
    <m/>
    <m/>
    <m/>
    <n v="85"/>
    <n v="0"/>
    <n v="90"/>
    <n v="0"/>
    <n v="140"/>
    <n v="0"/>
    <n v="180"/>
    <n v="0"/>
    <m/>
    <n v="0"/>
    <m/>
    <n v="0"/>
    <m/>
    <n v="0"/>
    <m/>
    <n v="0"/>
    <s v="ToyoLi"/>
    <n v="32"/>
    <n v="0"/>
    <n v="1261.2216582064298"/>
    <n v="0"/>
    <s v="MAGENTA"/>
    <s v="J01003M"/>
    <s v="ToyoLi - MAGENTA"/>
    <n v="24"/>
    <n v="0"/>
    <m/>
    <m/>
    <n v="0"/>
    <s v="F121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0"/>
    <n v="0"/>
    <n v="14.308798646362099"/>
    <n v="0"/>
    <s v="YELLOW"/>
    <s v="J01003Y"/>
    <s v="ToyoLi - YELLOW"/>
    <n v="23"/>
    <n v="0"/>
    <m/>
    <m/>
    <n v="0"/>
    <s v="F23T"/>
    <m/>
    <m/>
    <m/>
    <m/>
    <m/>
    <m/>
    <m/>
    <n v="160"/>
    <n v="0"/>
    <m/>
    <n v="0"/>
    <m/>
    <n v="0"/>
    <m/>
    <n v="0"/>
    <m/>
    <n v="0"/>
    <m/>
    <n v="0"/>
    <m/>
    <n v="0"/>
    <m/>
    <n v="0"/>
    <s v="ToyoLi"/>
    <n v="24"/>
    <n v="0"/>
    <n v="366.76226734348563"/>
    <n v="0"/>
    <s v="WHITE"/>
    <s v="J01003W"/>
    <s v="ToyoLi - WHITE"/>
    <n v="30"/>
    <n v="0"/>
    <m/>
    <m/>
    <n v="0"/>
    <s v="F640"/>
    <m/>
    <m/>
    <m/>
    <m/>
    <m/>
    <m/>
    <m/>
    <n v="900"/>
    <n v="0"/>
    <m/>
    <n v="0"/>
    <m/>
    <n v="0"/>
    <m/>
    <n v="0"/>
    <m/>
    <n v="0"/>
    <m/>
    <n v="0"/>
    <m/>
    <n v="0"/>
    <m/>
    <n v="0"/>
    <s v="ToyoLi"/>
    <n v="25"/>
    <n v="0"/>
    <n v="1954.746192893401"/>
    <n v="0"/>
    <n v="5"/>
    <n v="260"/>
    <n v="30"/>
    <n v="15"/>
    <n v="290"/>
    <n v="7"/>
    <n v="95"/>
    <n v="480"/>
    <n v="0.3"/>
    <m/>
    <m/>
    <n v="0.5"/>
    <n v="0.2"/>
    <n v="0"/>
    <n v="2585"/>
    <n v="0"/>
    <n v="0"/>
    <n v="2585"/>
    <n v="2585"/>
    <n v="775.5"/>
    <n v="0"/>
    <n v="0"/>
    <n v="0"/>
    <n v="0"/>
    <n v="0"/>
    <n v="1292.5"/>
    <n v="0"/>
    <n v="517"/>
    <n v="0"/>
    <n v="0"/>
    <n v="0"/>
    <n v="0"/>
    <m/>
    <n v="2225.5"/>
    <n v="5098.5"/>
    <s v="TL118"/>
    <s v="ToyoLiToyoLiToyoLiToyoLiToyoLiToyoLiToyoLiToyoLi"/>
    <s v="+"/>
    <s v="+"/>
    <s v="+"/>
    <s v="+"/>
    <s v="+"/>
    <s v="+"/>
    <s v="+"/>
    <s v="+"/>
    <b v="0"/>
  </r>
  <r>
    <d v="2026-01-23T00:00:00"/>
    <s v="B"/>
    <x v="307"/>
    <s v="TL119"/>
    <n v="25"/>
    <n v="1600"/>
    <s v="I"/>
    <s v="N"/>
    <n v="0.5"/>
    <s v="BLACK"/>
    <s v="L00324B"/>
    <s v="ToyoLi - BLACK"/>
    <n v="20"/>
    <n v="0"/>
    <m/>
    <m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5"/>
    <n v="0"/>
    <n v="12"/>
    <n v="0"/>
    <s v="ORANGE"/>
    <s v="L00324O"/>
    <s v="ToyoLi - ORANGE"/>
    <n v="25"/>
    <n v="0"/>
    <m/>
    <m/>
    <n v="0"/>
    <s v="F23T"/>
    <s v="F53"/>
    <m/>
    <m/>
    <m/>
    <m/>
    <m/>
    <m/>
    <n v="2"/>
    <n v="0"/>
    <n v="3"/>
    <n v="0"/>
    <m/>
    <n v="0"/>
    <m/>
    <n v="0"/>
    <m/>
    <n v="0"/>
    <m/>
    <n v="0"/>
    <m/>
    <n v="0"/>
    <m/>
    <n v="0"/>
    <s v="ToyoLi"/>
    <n v="18"/>
    <n v="0"/>
    <n v="2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2"/>
    <n v="0"/>
    <n v="0"/>
    <n v="0"/>
    <n v="0"/>
    <n v="0"/>
    <n v="0"/>
    <n v="0.3"/>
    <m/>
    <m/>
    <n v="0.5"/>
    <n v="0.2"/>
    <n v="0"/>
    <n v="20"/>
    <n v="0"/>
    <n v="0"/>
    <n v="20"/>
    <n v="20"/>
    <n v="6"/>
    <n v="0"/>
    <n v="0"/>
    <n v="0"/>
    <n v="0"/>
    <n v="0"/>
    <n v="10"/>
    <n v="0"/>
    <n v="4"/>
    <n v="0"/>
    <n v="0"/>
    <n v="0"/>
    <n v="0"/>
    <m/>
    <n v="10"/>
    <n v="32"/>
    <s v="TL119"/>
    <s v="ToyoLiToyoLi"/>
    <s v="+"/>
    <s v="+"/>
    <s v="NIL"/>
    <s v="NIL"/>
    <s v="NIL"/>
    <s v="NIL"/>
    <s v="NIL"/>
    <s v="NIL"/>
    <b v="0"/>
  </r>
  <r>
    <d v="2026-01-23T00:00:00"/>
    <s v="B"/>
    <x v="308"/>
    <s v="TL120"/>
    <n v="166"/>
    <n v="10800"/>
    <s v="I"/>
    <s v="N"/>
    <n v="0.5"/>
    <s v="BLACK"/>
    <s v="C01513B"/>
    <s v="ToyoLi - BLACK"/>
    <n v="25"/>
    <n v="0"/>
    <m/>
    <m/>
    <n v="0"/>
    <s v="R92"/>
    <m/>
    <m/>
    <m/>
    <m/>
    <m/>
    <m/>
    <m/>
    <n v="7"/>
    <n v="0"/>
    <m/>
    <n v="0"/>
    <m/>
    <n v="0"/>
    <m/>
    <n v="0"/>
    <m/>
    <n v="0"/>
    <m/>
    <n v="0"/>
    <m/>
    <n v="0"/>
    <m/>
    <n v="0"/>
    <s v="ToyoLi"/>
    <n v="24"/>
    <n v="0"/>
    <n v="14"/>
    <n v="0"/>
    <s v="YELLOW"/>
    <s v="L00324Y"/>
    <s v="ToyoLi - YELLOW"/>
    <n v="24"/>
    <n v="0"/>
    <m/>
    <m/>
    <n v="0"/>
    <s v="F23T"/>
    <m/>
    <m/>
    <m/>
    <m/>
    <m/>
    <m/>
    <m/>
    <n v="28"/>
    <n v="0"/>
    <m/>
    <n v="0"/>
    <m/>
    <n v="0"/>
    <m/>
    <n v="0"/>
    <m/>
    <n v="0"/>
    <m/>
    <n v="0"/>
    <m/>
    <n v="0"/>
    <m/>
    <n v="0"/>
    <s v="ToyoLi"/>
    <n v="22"/>
    <n v="0"/>
    <n v="6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17"/>
    <n v="0"/>
    <n v="0"/>
    <n v="0"/>
    <n v="0"/>
    <n v="0"/>
    <n v="0"/>
    <n v="0.3"/>
    <m/>
    <m/>
    <n v="0.5"/>
    <n v="0.2"/>
    <n v="0"/>
    <n v="40"/>
    <n v="0"/>
    <n v="0"/>
    <n v="40"/>
    <n v="40"/>
    <n v="12"/>
    <n v="0"/>
    <n v="0"/>
    <n v="0"/>
    <n v="0"/>
    <n v="0"/>
    <n v="20"/>
    <n v="0"/>
    <n v="8"/>
    <n v="0"/>
    <n v="0"/>
    <n v="0"/>
    <n v="0"/>
    <m/>
    <n v="35"/>
    <n v="78"/>
    <s v="TL120"/>
    <s v="ToyoLiToyoLi"/>
    <s v="+"/>
    <s v="+"/>
    <s v="NIL"/>
    <s v="NIL"/>
    <s v="NIL"/>
    <s v="NIL"/>
    <s v="NIL"/>
    <s v="NIL"/>
    <b v="0"/>
  </r>
  <r>
    <d v="2026-01-23T00:00:00"/>
    <s v="B"/>
    <x v="309"/>
    <s v="TL121"/>
    <n v="25"/>
    <n v="1600"/>
    <s v="I"/>
    <s v="N"/>
    <n v="0.5"/>
    <s v="BLACK"/>
    <s v="C01512B"/>
    <s v="ToyoLi - BLACK"/>
    <n v="24"/>
    <n v="0"/>
    <m/>
    <m/>
    <n v="0"/>
    <s v="R92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5"/>
    <n v="0"/>
    <n v="3.5714285714285694"/>
    <n v="0"/>
    <s v="RED"/>
    <m/>
    <s v="ToyoLi - RED"/>
    <m/>
    <n v="0"/>
    <m/>
    <m/>
    <n v="0"/>
    <s v="F121"/>
    <s v="F53"/>
    <s v="R92"/>
    <m/>
    <m/>
    <m/>
    <m/>
    <m/>
    <n v="10"/>
    <n v="0"/>
    <n v="8"/>
    <n v="0"/>
    <n v="0.2"/>
    <n v="0"/>
    <m/>
    <n v="0"/>
    <m/>
    <n v="0"/>
    <m/>
    <n v="0"/>
    <m/>
    <n v="0"/>
    <m/>
    <n v="0"/>
    <s v="ToyoLi"/>
    <n v="24"/>
    <n v="0"/>
    <n v="15.62857142857142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2"/>
    <n v="0"/>
    <n v="0"/>
    <n v="0"/>
    <n v="0"/>
    <n v="0"/>
    <n v="0"/>
    <n v="0.3"/>
    <m/>
    <m/>
    <n v="0.5"/>
    <n v="0.2"/>
    <n v="0"/>
    <n v="25"/>
    <n v="0"/>
    <n v="0"/>
    <n v="25"/>
    <n v="25"/>
    <n v="7.5"/>
    <n v="0"/>
    <n v="0"/>
    <n v="0"/>
    <n v="0"/>
    <n v="0"/>
    <n v="12.5"/>
    <n v="0"/>
    <n v="5"/>
    <n v="0"/>
    <n v="0"/>
    <n v="0"/>
    <n v="0"/>
    <m/>
    <n v="19.2"/>
    <n v="19.199999999999996"/>
    <s v="TL121"/>
    <s v="ToyoLiToyoLi"/>
    <s v="+"/>
    <s v="+"/>
    <s v="NIL"/>
    <s v="NIL"/>
    <s v="NIL"/>
    <s v="NIL"/>
    <s v="NIL"/>
    <s v="NIL"/>
    <b v="0"/>
  </r>
  <r>
    <d v="2026-01-23T00:00:00"/>
    <s v="B"/>
    <x v="310"/>
    <s v="TL122"/>
    <n v="41"/>
    <n v="2700"/>
    <s v="I"/>
    <s v="N"/>
    <n v="0.5"/>
    <s v="BLACK"/>
    <s v="C01517B"/>
    <s v="ToyoLi - BLACK"/>
    <n v="25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4"/>
    <n v="0"/>
    <n v="8.5555555555555571"/>
    <n v="0"/>
    <s v="CYAN"/>
    <s v="L00324C"/>
    <s v="ToyoLi - CYAN"/>
    <n v="12"/>
    <n v="0"/>
    <m/>
    <m/>
    <n v="0"/>
    <s v="R39"/>
    <s v="RTMD"/>
    <m/>
    <m/>
    <m/>
    <m/>
    <m/>
    <m/>
    <n v="8"/>
    <n v="0"/>
    <n v="8"/>
    <n v="0"/>
    <m/>
    <n v="0"/>
    <m/>
    <n v="0"/>
    <m/>
    <n v="0"/>
    <m/>
    <n v="0"/>
    <m/>
    <n v="0"/>
    <m/>
    <n v="0"/>
    <s v="ToyoLi"/>
    <n v="25"/>
    <n v="0"/>
    <n v="22.44444444444444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7"/>
    <n v="0"/>
    <n v="0"/>
    <n v="0"/>
    <n v="0"/>
    <n v="0"/>
    <n v="0"/>
    <n v="0.3"/>
    <m/>
    <m/>
    <n v="0.5"/>
    <n v="0.2"/>
    <n v="0"/>
    <n v="25"/>
    <n v="0"/>
    <n v="0"/>
    <n v="25"/>
    <n v="25"/>
    <n v="7.5"/>
    <n v="0"/>
    <n v="0"/>
    <n v="0"/>
    <n v="0"/>
    <n v="0"/>
    <n v="12.5"/>
    <n v="0"/>
    <n v="5"/>
    <n v="0"/>
    <n v="0"/>
    <n v="0"/>
    <n v="0"/>
    <m/>
    <n v="18"/>
    <n v="31"/>
    <s v="TL122"/>
    <s v="ToyoLiToyoLi"/>
    <s v="+"/>
    <s v="+"/>
    <s v="NIL"/>
    <s v="NIL"/>
    <s v="NIL"/>
    <s v="NIL"/>
    <s v="NIL"/>
    <s v="NIL"/>
    <b v="0"/>
  </r>
  <r>
    <d v="2026-01-23T00:00:00"/>
    <s v="B"/>
    <x v="311"/>
    <s v="TL123"/>
    <n v="293"/>
    <n v="15100"/>
    <s v="I"/>
    <s v="N"/>
    <n v="0.4"/>
    <s v="BLACK"/>
    <s v="C01515B"/>
    <s v="ToyoLi - BLACK"/>
    <n v="24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10"/>
    <n v="0"/>
    <s v="YELLOW"/>
    <s v="C01512Y"/>
    <s v="ToyoLi - YELLOW"/>
    <n v="22"/>
    <n v="0"/>
    <m/>
    <m/>
    <n v="0"/>
    <s v="F23T"/>
    <s v="F53"/>
    <m/>
    <m/>
    <m/>
    <m/>
    <m/>
    <m/>
    <n v="8"/>
    <n v="0"/>
    <n v="2"/>
    <n v="0"/>
    <m/>
    <n v="0"/>
    <m/>
    <n v="0"/>
    <m/>
    <n v="0"/>
    <m/>
    <n v="0"/>
    <m/>
    <n v="0"/>
    <m/>
    <n v="0"/>
    <s v="ToyoLi"/>
    <n v="17"/>
    <n v="0"/>
    <n v="28.5"/>
    <n v="0"/>
    <s v="WHITE"/>
    <s v="L00324W"/>
    <s v="ToyoLi - WHITE"/>
    <n v="25"/>
    <n v="0"/>
    <m/>
    <m/>
    <n v="0"/>
    <s v="F640"/>
    <s v="HSLAS"/>
    <m/>
    <m/>
    <m/>
    <m/>
    <m/>
    <m/>
    <n v="20"/>
    <n v="0"/>
    <n v="2.02"/>
    <n v="0"/>
    <m/>
    <n v="0"/>
    <m/>
    <n v="0"/>
    <m/>
    <n v="0"/>
    <m/>
    <n v="0"/>
    <m/>
    <n v="0"/>
    <m/>
    <n v="0"/>
    <s v="ToyoLi"/>
    <n v="22"/>
    <n v="0"/>
    <n v="47.5200000000000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5"/>
    <n v="0"/>
    <n v="0"/>
    <n v="0"/>
    <n v="0"/>
    <n v="0"/>
    <n v="0.3"/>
    <m/>
    <m/>
    <n v="0.5"/>
    <n v="0.2"/>
    <n v="0"/>
    <n v="45"/>
    <n v="0"/>
    <n v="0"/>
    <n v="45"/>
    <n v="45"/>
    <n v="13.5"/>
    <n v="0"/>
    <n v="0"/>
    <n v="0"/>
    <n v="0"/>
    <n v="0"/>
    <n v="22.5"/>
    <n v="0"/>
    <n v="9"/>
    <n v="0"/>
    <n v="0"/>
    <n v="0"/>
    <n v="0"/>
    <m/>
    <n v="34.020000000000003"/>
    <n v="86.02000000000001"/>
    <s v="TL123"/>
    <s v="ToyoLiToyoLiToyoLi"/>
    <s v="+"/>
    <s v="+"/>
    <s v="+"/>
    <s v="NIL"/>
    <s v="NIL"/>
    <s v="NIL"/>
    <s v="NIL"/>
    <s v="NIL"/>
    <b v="0"/>
  </r>
  <r>
    <d v="2026-01-23T00:00:00"/>
    <s v="B"/>
    <x v="312"/>
    <s v="TL124"/>
    <n v="737"/>
    <n v="43300"/>
    <s v="I"/>
    <s v="N"/>
    <n v="1.76"/>
    <s v="BLACK"/>
    <s v="N00960B"/>
    <s v="ToyoLi - BLACK"/>
    <n v="25"/>
    <n v="0"/>
    <m/>
    <m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8"/>
    <n v="0"/>
    <n v="8.8800000000000026"/>
    <n v="0"/>
    <s v="GREEN"/>
    <s v="B01043G+"/>
    <s v="ToyoLi - GREEN"/>
    <n v="15"/>
    <n v="0"/>
    <m/>
    <m/>
    <n v="0"/>
    <s v="F23T"/>
    <s v="R79"/>
    <m/>
    <m/>
    <m/>
    <m/>
    <m/>
    <m/>
    <n v="5"/>
    <n v="0"/>
    <n v="1"/>
    <n v="0"/>
    <m/>
    <n v="0"/>
    <m/>
    <n v="0"/>
    <m/>
    <n v="0"/>
    <m/>
    <n v="0"/>
    <m/>
    <n v="0"/>
    <m/>
    <n v="0"/>
    <s v="ToyoLi"/>
    <n v="20"/>
    <n v="0"/>
    <n v="11.32"/>
    <n v="0"/>
    <s v="RED"/>
    <s v="B01073R"/>
    <s v="ToyoLi - RED"/>
    <n v="32"/>
    <n v="0"/>
    <m/>
    <m/>
    <n v="0"/>
    <s v="F121"/>
    <s v="F53"/>
    <m/>
    <m/>
    <m/>
    <m/>
    <m/>
    <m/>
    <n v="60"/>
    <n v="0"/>
    <n v="70"/>
    <n v="0"/>
    <m/>
    <n v="0"/>
    <m/>
    <n v="0"/>
    <m/>
    <n v="0"/>
    <m/>
    <n v="0"/>
    <m/>
    <n v="0"/>
    <m/>
    <n v="0"/>
    <s v="ToyoLi"/>
    <n v="30"/>
    <n v="0"/>
    <n v="218"/>
    <n v="0"/>
    <s v="YELLOW"/>
    <s v="B01049Y"/>
    <s v="ToyoLi - YELLOW"/>
    <n v="10"/>
    <n v="0"/>
    <m/>
    <m/>
    <n v="0"/>
    <s v="F23T"/>
    <m/>
    <m/>
    <m/>
    <m/>
    <m/>
    <m/>
    <m/>
    <n v="15"/>
    <n v="0"/>
    <m/>
    <n v="0"/>
    <m/>
    <n v="0"/>
    <m/>
    <n v="0"/>
    <m/>
    <n v="0"/>
    <m/>
    <n v="0"/>
    <m/>
    <n v="0"/>
    <m/>
    <n v="0"/>
    <s v="ToyoLi"/>
    <n v="27"/>
    <n v="0"/>
    <n v="15.200000000000003"/>
    <n v="0"/>
    <s v="WHITE"/>
    <s v="N00960W"/>
    <s v="ToyoLi - WHITE"/>
    <n v="22"/>
    <n v="0"/>
    <m/>
    <m/>
    <n v="0"/>
    <s v="F640"/>
    <s v="HSLAS"/>
    <m/>
    <m/>
    <m/>
    <m/>
    <m/>
    <m/>
    <n v="80"/>
    <n v="0"/>
    <n v="8.64"/>
    <n v="0"/>
    <m/>
    <n v="0"/>
    <m/>
    <n v="0"/>
    <m/>
    <n v="0"/>
    <m/>
    <n v="0"/>
    <m/>
    <n v="0"/>
    <m/>
    <n v="0"/>
    <s v="ToyoLi"/>
    <n v="30"/>
    <n v="0"/>
    <n v="218.2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25"/>
    <n v="5"/>
    <n v="40"/>
    <n v="0"/>
    <n v="0"/>
    <n v="0"/>
    <n v="0.3"/>
    <m/>
    <m/>
    <n v="0.5"/>
    <n v="0.2"/>
    <n v="0"/>
    <n v="258"/>
    <n v="0"/>
    <n v="0"/>
    <n v="258"/>
    <n v="258"/>
    <n v="77.399999999999991"/>
    <n v="0"/>
    <n v="0"/>
    <n v="0"/>
    <n v="0"/>
    <n v="0"/>
    <n v="129"/>
    <n v="0"/>
    <n v="51.6"/>
    <n v="0"/>
    <n v="0"/>
    <n v="0"/>
    <n v="0"/>
    <m/>
    <n v="244.64"/>
    <n v="471.64"/>
    <s v="TL124"/>
    <s v="ToyoLiToyoLiToyoLiToyoLiToyoLi"/>
    <s v="+"/>
    <s v="+"/>
    <s v="+"/>
    <s v="+"/>
    <s v="+"/>
    <s v="NIL"/>
    <s v="NIL"/>
    <s v="NIL"/>
    <b v="0"/>
  </r>
  <r>
    <d v="2026-01-24T00:00:00"/>
    <s v="A"/>
    <x v="313"/>
    <s v="TL125"/>
    <n v="278"/>
    <n v="17500"/>
    <s v="I"/>
    <s v="N"/>
    <n v="1.2"/>
    <s v="BLACK"/>
    <s v="B01070B"/>
    <s v="ToyoLi - BLACK"/>
    <n v="28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9.759999999999998"/>
    <n v="0"/>
    <s v="RED"/>
    <s v="B01070R"/>
    <s v="ToyoLi - RED"/>
    <n v="30"/>
    <n v="0"/>
    <m/>
    <m/>
    <n v="0"/>
    <s v="F121"/>
    <s v="F53"/>
    <m/>
    <m/>
    <m/>
    <m/>
    <m/>
    <m/>
    <n v="20"/>
    <n v="0"/>
    <n v="25"/>
    <n v="0"/>
    <m/>
    <n v="0"/>
    <m/>
    <n v="0"/>
    <m/>
    <n v="0"/>
    <m/>
    <n v="0"/>
    <m/>
    <n v="0"/>
    <m/>
    <n v="0"/>
    <s v="ToyoLi"/>
    <n v="28"/>
    <n v="0"/>
    <n v="70.28"/>
    <n v="0"/>
    <s v="GREEN"/>
    <s v="B01070G"/>
    <s v="ToyoLi - GREEN"/>
    <n v="20"/>
    <n v="0"/>
    <m/>
    <m/>
    <n v="0"/>
    <s v="F23T"/>
    <s v="R39"/>
    <m/>
    <m/>
    <m/>
    <m/>
    <m/>
    <m/>
    <n v="6"/>
    <n v="0"/>
    <n v="1"/>
    <n v="0"/>
    <m/>
    <n v="0"/>
    <m/>
    <n v="0"/>
    <m/>
    <n v="0"/>
    <m/>
    <n v="0"/>
    <m/>
    <n v="0"/>
    <m/>
    <n v="0"/>
    <s v="ToyoLi"/>
    <n v="27"/>
    <n v="0"/>
    <n v="7.759999999999998"/>
    <n v="0"/>
    <s v="WHITE"/>
    <s v="B01070W"/>
    <s v="ToyoLi - WHITE"/>
    <n v="30"/>
    <n v="0"/>
    <m/>
    <m/>
    <n v="0"/>
    <s v="F640"/>
    <s v="HSLAS"/>
    <m/>
    <m/>
    <m/>
    <m/>
    <m/>
    <m/>
    <n v="30"/>
    <n v="0"/>
    <n v="4.1399999999999997"/>
    <n v="0"/>
    <m/>
    <n v="0"/>
    <m/>
    <n v="0"/>
    <m/>
    <n v="0"/>
    <m/>
    <n v="0"/>
    <m/>
    <n v="0"/>
    <m/>
    <n v="0"/>
    <s v="ToyoLi"/>
    <n v="30"/>
    <n v="0"/>
    <n v="92.3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"/>
    <n v="2"/>
    <n v="15"/>
    <n v="0"/>
    <n v="0"/>
    <n v="0"/>
    <n v="0"/>
    <n v="0.3"/>
    <m/>
    <m/>
    <n v="0.5"/>
    <n v="0.2"/>
    <n v="0"/>
    <n v="97"/>
    <n v="0"/>
    <n v="0"/>
    <n v="97"/>
    <n v="97"/>
    <n v="29.099999999999998"/>
    <n v="0"/>
    <n v="0"/>
    <n v="0"/>
    <n v="0"/>
    <n v="0"/>
    <n v="48.5"/>
    <n v="0"/>
    <n v="19.400000000000002"/>
    <n v="0"/>
    <n v="0"/>
    <n v="0"/>
    <n v="0"/>
    <m/>
    <n v="88.14"/>
    <n v="180.14"/>
    <s v="TL125"/>
    <s v="ToyoLiToyoLiToyoLiToyoLi"/>
    <s v="+"/>
    <s v="+"/>
    <s v="+"/>
    <s v="+"/>
    <s v="NIL"/>
    <s v="NIL"/>
    <s v="NIL"/>
    <s v="NIL"/>
    <b v="0"/>
  </r>
  <r>
    <d v="2026-01-24T00:00:00"/>
    <s v="A"/>
    <x v="314"/>
    <s v="TL126"/>
    <n v="237"/>
    <n v="15100"/>
    <s v="I"/>
    <s v="N"/>
    <n v="2"/>
    <s v="BLACK"/>
    <s v="B01075B"/>
    <s v="ToyoLi - BLACK"/>
    <n v="28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9.5454545454545467"/>
    <n v="0"/>
    <s v="RED"/>
    <s v="B01075R"/>
    <s v="ToyoLi - RED"/>
    <n v="28"/>
    <n v="0"/>
    <m/>
    <m/>
    <n v="0"/>
    <s v="F121"/>
    <s v="F53"/>
    <m/>
    <m/>
    <m/>
    <m/>
    <m/>
    <m/>
    <n v="15"/>
    <n v="0"/>
    <n v="20"/>
    <n v="0"/>
    <m/>
    <n v="0"/>
    <m/>
    <n v="0"/>
    <m/>
    <n v="0"/>
    <m/>
    <n v="0"/>
    <m/>
    <n v="0"/>
    <m/>
    <n v="0"/>
    <s v="ToyoLi"/>
    <n v="30"/>
    <n v="0"/>
    <n v="55.636363636363626"/>
    <n v="0"/>
    <s v="GREEN"/>
    <s v="B01075G"/>
    <s v="ToyoLi - GREEN"/>
    <n v="27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9.5454545454545467"/>
    <n v="0"/>
    <s v="YELLOW"/>
    <s v="B01070Y"/>
    <s v="ToyoLi - YELLOW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0"/>
    <n v="9.5454545454545467"/>
    <n v="0"/>
    <s v="WHITE"/>
    <s v="B01075W"/>
    <s v="ToyoLi - WHITE"/>
    <n v="30"/>
    <n v="0"/>
    <m/>
    <m/>
    <n v="0"/>
    <s v="F640"/>
    <s v="HSLAS"/>
    <m/>
    <m/>
    <m/>
    <m/>
    <m/>
    <m/>
    <n v="25"/>
    <n v="0"/>
    <n v="4.0199999999999996"/>
    <n v="0"/>
    <m/>
    <n v="0"/>
    <m/>
    <n v="0"/>
    <m/>
    <n v="0"/>
    <m/>
    <n v="0"/>
    <m/>
    <n v="0"/>
    <m/>
    <n v="0"/>
    <s v="ToyoLi"/>
    <n v="30"/>
    <n v="0"/>
    <n v="66.7472727272727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"/>
    <n v="2"/>
    <n v="2"/>
    <n v="10"/>
    <n v="0"/>
    <n v="0"/>
    <n v="0"/>
    <n v="0.3"/>
    <m/>
    <m/>
    <n v="0.5"/>
    <n v="0.2"/>
    <n v="0"/>
    <n v="83"/>
    <n v="0"/>
    <n v="0"/>
    <n v="83"/>
    <n v="83"/>
    <n v="24.9"/>
    <n v="0"/>
    <n v="0"/>
    <n v="0"/>
    <n v="0"/>
    <n v="0"/>
    <n v="41.5"/>
    <n v="0"/>
    <n v="16.600000000000001"/>
    <n v="0"/>
    <n v="0"/>
    <n v="0"/>
    <n v="0"/>
    <m/>
    <n v="68.02"/>
    <n v="151.01999999999998"/>
    <s v="TL126"/>
    <s v="ToyoLiToyoLiToyoLiToyoLiToyoLi"/>
    <s v="+"/>
    <s v="+"/>
    <s v="+"/>
    <s v="+"/>
    <s v="+"/>
    <s v="NIL"/>
    <s v="NIL"/>
    <s v="NIL"/>
    <b v="0"/>
  </r>
  <r>
    <d v="2026-01-24T00:00:00"/>
    <s v="A"/>
    <x v="315"/>
    <s v="TL127"/>
    <n v="788"/>
    <n v="65800"/>
    <s v="I"/>
    <s v="N"/>
    <n v="1.21"/>
    <s v="BLACK"/>
    <s v="B01072B"/>
    <s v="ToyoLi - BLACK"/>
    <n v="28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7"/>
    <n v="0"/>
    <n v="10.899999999999999"/>
    <n v="0"/>
    <s v="RED"/>
    <s v="B01072R"/>
    <s v="ToyoLi - RED"/>
    <n v="30"/>
    <n v="0"/>
    <m/>
    <m/>
    <n v="0"/>
    <s v="F121"/>
    <s v="F53"/>
    <m/>
    <m/>
    <m/>
    <m/>
    <m/>
    <m/>
    <n v="50"/>
    <n v="0"/>
    <n v="60"/>
    <n v="0"/>
    <m/>
    <n v="0"/>
    <m/>
    <n v="0"/>
    <m/>
    <n v="0"/>
    <m/>
    <n v="0"/>
    <m/>
    <n v="0"/>
    <m/>
    <n v="0"/>
    <s v="ToyoLi"/>
    <n v="27"/>
    <n v="0"/>
    <n v="168.2"/>
    <n v="0"/>
    <s v="GREEN"/>
    <s v="B01072G"/>
    <s v="ToyoLi - GREEN"/>
    <n v="27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0"/>
    <n v="0"/>
    <n v="15.899999999999999"/>
    <n v="0"/>
    <s v="WHITE"/>
    <s v="B01072W"/>
    <s v="ToyoLi - WHITE"/>
    <n v="30"/>
    <n v="0"/>
    <m/>
    <m/>
    <n v="0"/>
    <s v="F640"/>
    <s v="HSLAS"/>
    <m/>
    <m/>
    <m/>
    <m/>
    <m/>
    <m/>
    <n v="140"/>
    <n v="0"/>
    <n v="9.3699999999999992"/>
    <n v="0"/>
    <m/>
    <n v="0"/>
    <m/>
    <n v="0"/>
    <m/>
    <n v="0"/>
    <m/>
    <n v="0"/>
    <m/>
    <n v="0"/>
    <m/>
    <n v="0"/>
    <s v="ToyoLi"/>
    <n v="30"/>
    <n v="0"/>
    <n v="356.3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6"/>
    <n v="2"/>
    <n v="60"/>
    <n v="0"/>
    <n v="0"/>
    <n v="0"/>
    <n v="0"/>
    <n v="0.3"/>
    <m/>
    <m/>
    <n v="0.5"/>
    <n v="0.2"/>
    <n v="0"/>
    <n v="276"/>
    <n v="0"/>
    <n v="0"/>
    <n v="276"/>
    <n v="276"/>
    <n v="82.8"/>
    <n v="0"/>
    <n v="0"/>
    <n v="0"/>
    <n v="0"/>
    <n v="0"/>
    <n v="138"/>
    <n v="0"/>
    <n v="55.2"/>
    <n v="0"/>
    <n v="0"/>
    <n v="0"/>
    <n v="0"/>
    <m/>
    <n v="264.37"/>
    <n v="551.37"/>
    <s v="TL127"/>
    <s v="ToyoLiToyoLiToyoLiToyoLi"/>
    <s v="+"/>
    <s v="+"/>
    <s v="+"/>
    <s v="+"/>
    <s v="NIL"/>
    <s v="NIL"/>
    <s v="NIL"/>
    <s v="NIL"/>
    <b v="0"/>
  </r>
  <r>
    <d v="2026-01-24T00:00:00"/>
    <s v="A"/>
    <x v="316"/>
    <s v="TL128"/>
    <n v="254"/>
    <n v="13600"/>
    <s v="I"/>
    <s v="N"/>
    <n v="1.62"/>
    <s v="BLACK"/>
    <s v="N00795G"/>
    <s v="ToyoLi - BLACK"/>
    <n v="18"/>
    <n v="0"/>
    <s v="J01001G"/>
    <n v="17"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4"/>
    <n v="0"/>
    <n v="18.629629629629633"/>
    <n v="0"/>
    <s v="BLACK"/>
    <s v="F00859B"/>
    <s v="ToyoLi - BLACK"/>
    <n v="20"/>
    <n v="0"/>
    <s v="F00859B/C01513B/C01466B"/>
    <n v="42"/>
    <n v="0"/>
    <s v="R92"/>
    <s v="F121"/>
    <s v="F53"/>
    <m/>
    <m/>
    <m/>
    <m/>
    <m/>
    <n v="6"/>
    <n v="0"/>
    <n v="2"/>
    <n v="0"/>
    <n v="5"/>
    <n v="0"/>
    <m/>
    <n v="0"/>
    <m/>
    <n v="0"/>
    <m/>
    <n v="0"/>
    <m/>
    <n v="0"/>
    <m/>
    <n v="0"/>
    <s v="ToyoLi"/>
    <n v="36"/>
    <n v="0"/>
    <n v="67.148148148148152"/>
    <n v="0"/>
    <s v="WHITE"/>
    <s v="B01076W"/>
    <s v="ToyoLi - WHITE"/>
    <n v="30"/>
    <n v="0"/>
    <m/>
    <m/>
    <n v="0"/>
    <s v="F640"/>
    <s v="HSLAS"/>
    <m/>
    <m/>
    <m/>
    <m/>
    <m/>
    <m/>
    <n v="30"/>
    <n v="0"/>
    <n v="3.25"/>
    <n v="0"/>
    <m/>
    <n v="0"/>
    <m/>
    <n v="0"/>
    <m/>
    <n v="0"/>
    <m/>
    <n v="0"/>
    <m/>
    <n v="0"/>
    <m/>
    <n v="0"/>
    <s v="ToyoLi"/>
    <n v="25"/>
    <n v="0"/>
    <n v="80.47222222222222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15"/>
    <n v="0"/>
    <n v="0"/>
    <n v="0"/>
    <n v="0"/>
    <n v="0"/>
    <n v="0.3"/>
    <m/>
    <m/>
    <n v="0.5"/>
    <n v="0.2"/>
    <n v="0"/>
    <n v="76"/>
    <n v="0"/>
    <n v="0"/>
    <n v="76"/>
    <n v="76"/>
    <n v="22.8"/>
    <n v="0"/>
    <n v="0"/>
    <n v="0"/>
    <n v="0"/>
    <n v="0"/>
    <n v="38"/>
    <n v="0"/>
    <n v="15.200000000000001"/>
    <n v="0"/>
    <n v="0"/>
    <n v="0"/>
    <n v="0"/>
    <m/>
    <n v="48.25"/>
    <n v="166.25"/>
    <s v="TL128"/>
    <s v="ToyoLiToyoLiToyoLi"/>
    <s v="+"/>
    <s v="+"/>
    <s v="+"/>
    <s v="NIL"/>
    <s v="NIL"/>
    <s v="NIL"/>
    <s v="NIL"/>
    <s v="NIL"/>
    <b v="0"/>
  </r>
  <r>
    <d v="2026-01-24T00:00:00"/>
    <s v="B"/>
    <x v="317"/>
    <s v="TL129"/>
    <n v="255"/>
    <n v="12500"/>
    <s v="I"/>
    <s v="N"/>
    <n v="0.92"/>
    <s v="BLACK"/>
    <s v="B01076B"/>
    <s v="ToyoLi - BLACK"/>
    <n v="27"/>
    <n v="0"/>
    <m/>
    <m/>
    <n v="0"/>
    <s v="R92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5"/>
    <n v="0"/>
    <n v="5.375"/>
    <n v="0"/>
    <s v="RED"/>
    <s v="B01076R"/>
    <s v="ToyoLi - RED"/>
    <n v="27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5.375"/>
    <n v="0"/>
    <s v="ORANGE"/>
    <m/>
    <s v="ToyoLi - ORANGE"/>
    <m/>
    <n v="0"/>
    <m/>
    <m/>
    <n v="0"/>
    <s v="F53"/>
    <s v="F32"/>
    <m/>
    <m/>
    <m/>
    <m/>
    <m/>
    <m/>
    <n v="20"/>
    <n v="0"/>
    <n v="8"/>
    <n v="0"/>
    <m/>
    <n v="0"/>
    <m/>
    <n v="0"/>
    <m/>
    <n v="0"/>
    <m/>
    <n v="0"/>
    <m/>
    <n v="0"/>
    <m/>
    <n v="0"/>
    <s v="ToyoLi"/>
    <n v="22"/>
    <n v="0"/>
    <n v="34.5"/>
    <n v="0"/>
    <s v="GREEN"/>
    <s v="J00994G"/>
    <s v="ToyoLi - GREEN"/>
    <n v="14"/>
    <n v="0"/>
    <m/>
    <m/>
    <n v="0"/>
    <s v="R79"/>
    <s v="R39"/>
    <s v="F23T"/>
    <m/>
    <m/>
    <m/>
    <m/>
    <m/>
    <n v="3"/>
    <n v="0"/>
    <n v="2"/>
    <n v="0"/>
    <n v="4"/>
    <n v="0"/>
    <m/>
    <n v="0"/>
    <m/>
    <n v="0"/>
    <m/>
    <n v="0"/>
    <m/>
    <n v="0"/>
    <m/>
    <n v="0"/>
    <s v="ToyoLi"/>
    <n v="23"/>
    <n v="0"/>
    <n v="11.875"/>
    <n v="0"/>
    <s v="YELLOW"/>
    <s v="N00795Y"/>
    <s v="ToyoLi - YELLOW"/>
    <n v="18"/>
    <n v="0"/>
    <m/>
    <m/>
    <n v="0"/>
    <s v="F23T"/>
    <s v="F53"/>
    <s v="F640"/>
    <m/>
    <m/>
    <m/>
    <m/>
    <m/>
    <n v="2"/>
    <n v="0"/>
    <n v="2"/>
    <n v="0"/>
    <n v="5"/>
    <n v="0"/>
    <m/>
    <n v="0"/>
    <m/>
    <n v="0"/>
    <m/>
    <n v="0"/>
    <m/>
    <n v="0"/>
    <m/>
    <n v="0"/>
    <s v="ToyoLi"/>
    <n v="24"/>
    <n v="0"/>
    <n v="10.125"/>
    <n v="0"/>
    <s v="WHITE"/>
    <s v="G00409W"/>
    <s v="ToyoLi - WHITE"/>
    <n v="25"/>
    <n v="0"/>
    <m/>
    <m/>
    <n v="0"/>
    <s v="F640"/>
    <s v="HSLAS"/>
    <m/>
    <m/>
    <m/>
    <m/>
    <m/>
    <m/>
    <n v="20"/>
    <n v="0"/>
    <n v="3.73"/>
    <n v="0"/>
    <m/>
    <n v="0"/>
    <m/>
    <n v="0"/>
    <m/>
    <n v="0"/>
    <m/>
    <n v="0"/>
    <m/>
    <n v="0"/>
    <m/>
    <n v="0"/>
    <s v="ToyoLi"/>
    <n v="20"/>
    <n v="0"/>
    <n v="52.4799999999999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n v="1"/>
    <n v="12"/>
    <n v="5"/>
    <n v="3"/>
    <n v="10"/>
    <n v="0"/>
    <n v="0"/>
    <n v="0.3"/>
    <m/>
    <m/>
    <n v="0.5"/>
    <n v="0.2"/>
    <n v="0"/>
    <n v="76"/>
    <n v="0"/>
    <n v="0"/>
    <n v="76"/>
    <n v="76"/>
    <n v="22.8"/>
    <n v="0"/>
    <n v="0"/>
    <n v="0"/>
    <n v="0"/>
    <n v="0"/>
    <n v="38"/>
    <n v="0"/>
    <n v="15.200000000000001"/>
    <n v="0"/>
    <n v="0"/>
    <n v="0"/>
    <n v="0"/>
    <m/>
    <n v="72.73"/>
    <n v="119.72999999999999"/>
    <s v="TL129"/>
    <s v="ToyoLiToyoLiToyoLiToyoLiToyoLiToyoLi"/>
    <s v="+"/>
    <s v="+"/>
    <s v="+"/>
    <s v="+"/>
    <s v="+"/>
    <s v="+"/>
    <s v="NIL"/>
    <s v="NIL"/>
    <b v="0"/>
  </r>
  <r>
    <d v="2026-01-24T00:00:00"/>
    <s v="B"/>
    <x v="318"/>
    <s v="TL130"/>
    <n v="80"/>
    <n v="5200"/>
    <s v="I"/>
    <s v="N"/>
    <n v="0.5"/>
    <s v="BLACK"/>
    <m/>
    <s v="ToyoLi - BLACK"/>
    <m/>
    <n v="0"/>
    <m/>
    <m/>
    <n v="0"/>
    <s v="R92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16"/>
    <n v="0"/>
    <n v="9.6521739130434767"/>
    <n v="0"/>
    <s v="RED"/>
    <m/>
    <s v="ToyoLi - RED"/>
    <m/>
    <n v="0"/>
    <m/>
    <m/>
    <n v="0"/>
    <s v="F121"/>
    <s v="F53"/>
    <s v="R92"/>
    <m/>
    <m/>
    <m/>
    <m/>
    <m/>
    <n v="10"/>
    <n v="0"/>
    <n v="5"/>
    <n v="0"/>
    <n v="0.2"/>
    <n v="0"/>
    <m/>
    <n v="0"/>
    <m/>
    <n v="0"/>
    <m/>
    <n v="0"/>
    <m/>
    <n v="0"/>
    <m/>
    <n v="0"/>
    <s v="ToyoLi"/>
    <n v="22"/>
    <n v="0"/>
    <n v="12.765217391304347"/>
    <n v="0"/>
    <s v="YELLOW"/>
    <s v="B01072Y"/>
    <s v="ToyoLi - YELLOW"/>
    <n v="25"/>
    <n v="0"/>
    <m/>
    <m/>
    <n v="0"/>
    <s v="F23T"/>
    <s v="RTMD"/>
    <m/>
    <m/>
    <m/>
    <m/>
    <m/>
    <m/>
    <n v="10"/>
    <n v="0"/>
    <n v="5"/>
    <n v="0"/>
    <m/>
    <n v="0"/>
    <m/>
    <n v="0"/>
    <m/>
    <n v="0"/>
    <m/>
    <n v="0"/>
    <m/>
    <n v="0"/>
    <m/>
    <n v="0"/>
    <s v="ToyoLi"/>
    <n v="20"/>
    <n v="0"/>
    <n v="29.78260869565217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8"/>
    <n v="10"/>
    <n v="5"/>
    <n v="0"/>
    <n v="0"/>
    <n v="0"/>
    <n v="0"/>
    <n v="0"/>
    <n v="0.3"/>
    <m/>
    <m/>
    <n v="0.5"/>
    <n v="0.2"/>
    <n v="0"/>
    <n v="45"/>
    <n v="0"/>
    <n v="0"/>
    <n v="45"/>
    <n v="45"/>
    <n v="13.5"/>
    <n v="0"/>
    <n v="0"/>
    <n v="0"/>
    <n v="0"/>
    <n v="0"/>
    <n v="22.5"/>
    <n v="0"/>
    <n v="9"/>
    <n v="0"/>
    <n v="0"/>
    <n v="0"/>
    <n v="0"/>
    <m/>
    <n v="40.200000000000003"/>
    <n v="52.199999999999996"/>
    <s v="TL130"/>
    <s v="ToyoLiToyoLiToyoLi"/>
    <s v="+"/>
    <s v="+"/>
    <s v="+"/>
    <s v="NIL"/>
    <s v="NIL"/>
    <s v="NIL"/>
    <s v="NIL"/>
    <s v="NIL"/>
    <b v="0"/>
  </r>
  <r>
    <d v="2026-01-24T00:00:00"/>
    <s v="B"/>
    <x v="319"/>
    <s v="TL131"/>
    <n v="705"/>
    <n v="41400"/>
    <s v="I"/>
    <s v="N"/>
    <n v="1.4"/>
    <s v="BLACK"/>
    <s v="C01519B"/>
    <s v="ToyoLi - BLACK"/>
    <n v="16"/>
    <n v="0"/>
    <s v="G00410B"/>
    <n v="15"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11.678160919540232"/>
    <n v="0"/>
    <s v="REFLEX BLUE"/>
    <m/>
    <s v="ToyoLi - REFLEX BLUE"/>
    <m/>
    <n v="0"/>
    <m/>
    <m/>
    <n v="0"/>
    <s v="F121"/>
    <s v="Z822"/>
    <s v="R1205"/>
    <s v="R92"/>
    <m/>
    <m/>
    <m/>
    <m/>
    <n v="10"/>
    <n v="0"/>
    <n v="5"/>
    <n v="0"/>
    <n v="3"/>
    <n v="0"/>
    <n v="4"/>
    <n v="0"/>
    <m/>
    <n v="0"/>
    <m/>
    <n v="0"/>
    <m/>
    <n v="0"/>
    <m/>
    <n v="0"/>
    <s v="ToyoLi"/>
    <n v="26"/>
    <n v="0"/>
    <n v="17.293103448275865"/>
    <n v="0"/>
    <s v="RED"/>
    <s v="C01519R"/>
    <s v="ToyoLi - RED"/>
    <n v="22"/>
    <n v="0"/>
    <s v="G00410R"/>
    <n v="10"/>
    <n v="0"/>
    <s v="F121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2"/>
    <n v="0"/>
    <n v="19.258620689655174"/>
    <n v="0"/>
    <s v="REFLEX BLUE"/>
    <s v="C00324RB"/>
    <s v="ToyoLi - REFLEX BLUE"/>
    <n v="20"/>
    <n v="0"/>
    <s v="C01515B"/>
    <n v="25"/>
    <n v="0"/>
    <s v="R39"/>
    <s v="RTMD"/>
    <s v="F23T"/>
    <m/>
    <m/>
    <m/>
    <m/>
    <m/>
    <n v="20"/>
    <n v="0"/>
    <n v="20"/>
    <n v="0"/>
    <n v="1"/>
    <n v="0"/>
    <m/>
    <n v="0"/>
    <m/>
    <n v="0"/>
    <m/>
    <n v="0"/>
    <m/>
    <n v="0"/>
    <m/>
    <n v="0"/>
    <s v="ToyoLi"/>
    <n v="22"/>
    <n v="0"/>
    <n v="89.551724137931032"/>
    <n v="0"/>
    <s v="CYAN"/>
    <m/>
    <s v="ToyoLi - CYAN"/>
    <m/>
    <n v="0"/>
    <m/>
    <m/>
    <n v="0"/>
    <s v="R39"/>
    <s v="RTMD"/>
    <m/>
    <m/>
    <m/>
    <m/>
    <m/>
    <m/>
    <n v="15"/>
    <n v="0"/>
    <n v="10"/>
    <n v="0"/>
    <m/>
    <n v="0"/>
    <m/>
    <n v="0"/>
    <m/>
    <n v="0"/>
    <m/>
    <n v="0"/>
    <m/>
    <n v="0"/>
    <m/>
    <n v="0"/>
    <s v="ToyoLi"/>
    <n v="30"/>
    <n v="0"/>
    <n v="16.293103448275865"/>
    <n v="0"/>
    <s v="MAGENTA"/>
    <m/>
    <s v="ToyoLi - MAGENTA"/>
    <m/>
    <n v="0"/>
    <m/>
    <m/>
    <n v="0"/>
    <s v="F121"/>
    <s v="RTMD"/>
    <m/>
    <m/>
    <m/>
    <m/>
    <m/>
    <m/>
    <n v="10"/>
    <n v="0"/>
    <n v="8"/>
    <n v="0"/>
    <m/>
    <n v="0"/>
    <m/>
    <n v="0"/>
    <m/>
    <n v="0"/>
    <m/>
    <n v="0"/>
    <m/>
    <n v="0"/>
    <m/>
    <n v="0"/>
    <s v="ToyoLi"/>
    <n v="26"/>
    <n v="0"/>
    <n v="11.8735632183908"/>
    <n v="0"/>
    <s v="YELLOW"/>
    <s v="C01519Y"/>
    <s v="ToyoLi - YELLOW"/>
    <n v="20"/>
    <n v="0"/>
    <m/>
    <m/>
    <n v="0"/>
    <s v="RTMD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5"/>
    <n v="0"/>
    <n v="7.0977011494252906"/>
    <n v="0"/>
    <s v="WHITE"/>
    <s v="G00410W"/>
    <s v="ToyoLi - WHITE"/>
    <n v="20"/>
    <n v="0"/>
    <m/>
    <m/>
    <n v="0"/>
    <s v="F640"/>
    <s v="HSLAS"/>
    <m/>
    <m/>
    <m/>
    <m/>
    <m/>
    <m/>
    <n v="150"/>
    <n v="0"/>
    <n v="9.9600000000000009"/>
    <n v="0"/>
    <m/>
    <n v="0"/>
    <m/>
    <n v="0"/>
    <m/>
    <n v="0"/>
    <m/>
    <n v="0"/>
    <m/>
    <n v="0"/>
    <m/>
    <n v="0"/>
    <s v="ToyoLi"/>
    <n v="40"/>
    <n v="0"/>
    <n v="281.91402298850574"/>
    <n v="0"/>
    <n v="4"/>
    <n v="15"/>
    <n v="3"/>
    <n v="18"/>
    <n v="15"/>
    <n v="14"/>
    <n v="5"/>
    <n v="100"/>
    <n v="0.3"/>
    <m/>
    <m/>
    <n v="0.5"/>
    <n v="0.2"/>
    <n v="0"/>
    <n v="247"/>
    <n v="0"/>
    <n v="0"/>
    <n v="247"/>
    <n v="247"/>
    <n v="74.099999999999994"/>
    <n v="0"/>
    <n v="0"/>
    <n v="0"/>
    <n v="0"/>
    <n v="0"/>
    <n v="123.5"/>
    <n v="0"/>
    <n v="49.400000000000006"/>
    <n v="0"/>
    <n v="0"/>
    <n v="0"/>
    <n v="0"/>
    <m/>
    <n v="277.95999999999998"/>
    <n v="454.96"/>
    <s v="TL131"/>
    <s v="ToyoLiToyoLiToyoLiToyoLiToyoLiToyoLiToyoLiToyoLi"/>
    <s v="+"/>
    <s v="+"/>
    <s v="+"/>
    <s v="+"/>
    <s v="+"/>
    <s v="+"/>
    <s v="+"/>
    <s v="+"/>
    <b v="0"/>
  </r>
  <r>
    <d v="2026-01-24T00:00:00"/>
    <s v="B"/>
    <x v="320"/>
    <s v="TL132"/>
    <n v="705"/>
    <n v="41400"/>
    <s v="I"/>
    <s v="N"/>
    <n v="1.4"/>
    <s v="BLACK"/>
    <s v="L00333B"/>
    <s v="ToyoLi - BLACK"/>
    <n v="27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4"/>
    <n v="0"/>
    <n v="9.2586206896551744"/>
    <n v="0"/>
    <s v="REFLEX BLUE"/>
    <s v="N00795B"/>
    <s v="ToyoLi - REFLEX BLUE"/>
    <n v="20"/>
    <n v="0"/>
    <m/>
    <m/>
    <n v="0"/>
    <s v="Z822"/>
    <s v="RTMD"/>
    <m/>
    <m/>
    <m/>
    <m/>
    <m/>
    <m/>
    <n v="3"/>
    <n v="0"/>
    <n v="3"/>
    <n v="0"/>
    <m/>
    <n v="0"/>
    <m/>
    <n v="0"/>
    <m/>
    <n v="0"/>
    <m/>
    <n v="0"/>
    <m/>
    <n v="0"/>
    <m/>
    <n v="0"/>
    <s v="ToyoLi"/>
    <n v="23"/>
    <n v="0"/>
    <n v="7.2586206896551744"/>
    <n v="0"/>
    <s v="RED"/>
    <s v="L00333R"/>
    <s v="ToyoLi - RED"/>
    <n v="22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0"/>
    <n v="0"/>
    <n v="4"/>
    <n v="0"/>
    <s v="YELLOW"/>
    <s v="G00410Y"/>
    <s v="ToyoLi - YELLOW"/>
    <n v="24"/>
    <n v="0"/>
    <s v="C01513Y"/>
    <n v="5"/>
    <n v="0"/>
    <s v="F23T"/>
    <s v="R92"/>
    <s v="F53"/>
    <m/>
    <m/>
    <m/>
    <m/>
    <m/>
    <n v="20"/>
    <n v="0"/>
    <n v="0.3"/>
    <n v="0"/>
    <n v="8"/>
    <n v="0"/>
    <m/>
    <n v="0"/>
    <m/>
    <n v="0"/>
    <m/>
    <n v="0"/>
    <m/>
    <n v="0"/>
    <m/>
    <n v="0"/>
    <s v="ToyoLi"/>
    <n v="21"/>
    <n v="0"/>
    <n v="61.851724137931029"/>
    <n v="0"/>
    <s v="CYAN"/>
    <s v="L00333C"/>
    <s v="ToyoLi - CYAN"/>
    <n v="30"/>
    <n v="0"/>
    <m/>
    <m/>
    <n v="0"/>
    <s v="R39"/>
    <s v="RTMD"/>
    <m/>
    <m/>
    <m/>
    <m/>
    <m/>
    <m/>
    <n v="35"/>
    <n v="0"/>
    <n v="10"/>
    <n v="0"/>
    <m/>
    <n v="0"/>
    <m/>
    <n v="0"/>
    <m/>
    <n v="0"/>
    <m/>
    <n v="0"/>
    <m/>
    <n v="0"/>
    <m/>
    <n v="0"/>
    <s v="ToyoLi"/>
    <n v="65"/>
    <n v="0"/>
    <n v="52.58620689655173"/>
    <n v="0"/>
    <s v="MAGENTA"/>
    <s v="L00333M"/>
    <s v="ToyoLi - MAGENTA"/>
    <n v="26"/>
    <n v="0"/>
    <m/>
    <m/>
    <n v="0"/>
    <s v="F121"/>
    <s v="RTMD"/>
    <m/>
    <m/>
    <m/>
    <m/>
    <m/>
    <m/>
    <n v="5"/>
    <n v="0"/>
    <n v="3"/>
    <n v="0"/>
    <m/>
    <n v="0"/>
    <m/>
    <n v="0"/>
    <m/>
    <n v="0"/>
    <m/>
    <n v="0"/>
    <m/>
    <n v="0"/>
    <m/>
    <n v="0"/>
    <s v="ToyoLi"/>
    <n v="24"/>
    <n v="0"/>
    <n v="20.646551724137936"/>
    <n v="0"/>
    <s v="YELLOW"/>
    <s v="L00333Y"/>
    <s v="ToyoLi - YELLOW"/>
    <n v="25"/>
    <n v="0"/>
    <m/>
    <m/>
    <n v="0"/>
    <s v="F23T"/>
    <s v="RTMD"/>
    <m/>
    <m/>
    <m/>
    <m/>
    <m/>
    <m/>
    <n v="30"/>
    <n v="0"/>
    <n v="15"/>
    <n v="0"/>
    <m/>
    <n v="0"/>
    <m/>
    <n v="0"/>
    <m/>
    <n v="0"/>
    <m/>
    <n v="0"/>
    <m/>
    <n v="0"/>
    <m/>
    <n v="0"/>
    <s v="ToyoLi"/>
    <n v="25"/>
    <n v="0"/>
    <n v="98.232758620689651"/>
    <n v="0"/>
    <s v="WHITE"/>
    <s v="L00333W"/>
    <s v="ToyoLi - WHITE"/>
    <n v="40"/>
    <n v="0"/>
    <m/>
    <m/>
    <n v="0"/>
    <s v="F640"/>
    <s v="HSLAS"/>
    <m/>
    <m/>
    <m/>
    <m/>
    <m/>
    <m/>
    <n v="80"/>
    <n v="0"/>
    <n v="9.4600000000000009"/>
    <n v="0"/>
    <m/>
    <n v="0"/>
    <m/>
    <n v="0"/>
    <m/>
    <n v="0"/>
    <m/>
    <n v="0"/>
    <m/>
    <n v="0"/>
    <m/>
    <n v="0"/>
    <s v="ToyoLi"/>
    <n v="30"/>
    <n v="0"/>
    <n v="205.92551724137931"/>
    <n v="0"/>
    <n v="2"/>
    <n v="2"/>
    <n v="0"/>
    <n v="12"/>
    <n v="20"/>
    <n v="5"/>
    <n v="25"/>
    <n v="50"/>
    <n v="0.3"/>
    <m/>
    <m/>
    <n v="0.5"/>
    <n v="0.2"/>
    <n v="0"/>
    <n v="247"/>
    <n v="0"/>
    <n v="0"/>
    <n v="247"/>
    <n v="247"/>
    <n v="74.099999999999994"/>
    <n v="0"/>
    <n v="0"/>
    <n v="0"/>
    <n v="0"/>
    <n v="0"/>
    <n v="123.5"/>
    <n v="0"/>
    <n v="49.400000000000006"/>
    <n v="0"/>
    <n v="0"/>
    <n v="0"/>
    <n v="0"/>
    <m/>
    <n v="225.76000000000002"/>
    <n v="459.76"/>
    <s v="TL132"/>
    <s v="ToyoLiToyoLiToyoLiToyoLiToyoLiToyoLiToyoLiToyoLi"/>
    <s v="+"/>
    <s v="+"/>
    <s v="+"/>
    <s v="+"/>
    <s v="+"/>
    <s v="+"/>
    <s v="+"/>
    <s v="+"/>
    <b v="0"/>
  </r>
  <r>
    <d v="2026-01-24T00:00:00"/>
    <s v="B"/>
    <x v="321"/>
    <s v="TL133"/>
    <n v="710"/>
    <n v="41700"/>
    <s v="I"/>
    <s v="N"/>
    <n v="1.25"/>
    <s v="BLACK"/>
    <s v="L00331B"/>
    <s v="ToyoLi - BLACK"/>
    <n v="24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2"/>
    <n v="0"/>
    <n v="8.7368421052631575"/>
    <n v="0"/>
    <s v="REFLEX BLUE"/>
    <s v="L00331B"/>
    <s v="ToyoLi - REFLEX BLUE"/>
    <n v="23"/>
    <n v="0"/>
    <m/>
    <m/>
    <n v="0"/>
    <s v="RTMD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31"/>
    <n v="0"/>
    <n v="1.6052631578947398"/>
    <n v="0"/>
    <s v="RED"/>
    <s v="L00331R"/>
    <s v="ToyoLi - RED"/>
    <n v="20"/>
    <n v="0"/>
    <s v="B01049R"/>
    <n v="18"/>
    <n v="0"/>
    <s v="F53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18"/>
    <n v="0"/>
    <n v="27.60526315789474"/>
    <n v="0"/>
    <s v="RED"/>
    <s v="N00879R"/>
    <s v="ToyoLi - RED"/>
    <n v="20"/>
    <n v="0"/>
    <s v="G00410R"/>
    <n v="22"/>
    <n v="0"/>
    <s v="F121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36"/>
    <n v="0"/>
    <n v="64.026315789473685"/>
    <n v="0"/>
    <s v="CYAN"/>
    <s v="L00331C"/>
    <s v="ToyoLi - CYAN"/>
    <n v="25"/>
    <n v="0"/>
    <m/>
    <m/>
    <n v="0"/>
    <s v="RTMD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34"/>
    <n v="0"/>
    <n v="0.60526315789473983"/>
    <n v="0"/>
    <s v="MAGENTA"/>
    <s v="L00331M"/>
    <s v="ToyoLi - MAGENTA"/>
    <n v="24"/>
    <n v="0"/>
    <s v="L00324M"/>
    <n v="14"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19.60526315789474"/>
    <n v="0"/>
    <s v="YELLOW"/>
    <s v="L00331Y"/>
    <s v="ToyoLi - YELLOW"/>
    <n v="25"/>
    <n v="0"/>
    <m/>
    <m/>
    <n v="0"/>
    <s v="F23T"/>
    <s v="RTMD"/>
    <m/>
    <m/>
    <m/>
    <m/>
    <m/>
    <m/>
    <n v="20"/>
    <n v="0"/>
    <n v="10"/>
    <n v="0"/>
    <m/>
    <n v="0"/>
    <m/>
    <n v="0"/>
    <m/>
    <n v="0"/>
    <m/>
    <n v="0"/>
    <m/>
    <n v="0"/>
    <m/>
    <n v="0"/>
    <s v="ToyoLi"/>
    <n v="99"/>
    <n v="0"/>
    <n v="2.7105263157894797"/>
    <n v="0"/>
    <s v="WHITE"/>
    <s v="L00331W"/>
    <s v="ToyoLi - WHITE"/>
    <n v="30"/>
    <n v="0"/>
    <m/>
    <m/>
    <n v="0"/>
    <s v="F640"/>
    <s v="HSLAS"/>
    <m/>
    <m/>
    <m/>
    <m/>
    <m/>
    <m/>
    <n v="100"/>
    <n v="0"/>
    <n v="8.8800000000000008"/>
    <n v="0"/>
    <m/>
    <n v="0"/>
    <m/>
    <n v="0"/>
    <m/>
    <n v="0"/>
    <m/>
    <n v="0"/>
    <m/>
    <n v="0"/>
    <m/>
    <n v="0"/>
    <s v="ToyoLi"/>
    <n v="30"/>
    <n v="0"/>
    <n v="220.98526315789474"/>
    <n v="0"/>
    <n v="2"/>
    <n v="3"/>
    <n v="3"/>
    <n v="15"/>
    <n v="3"/>
    <n v="3"/>
    <n v="25"/>
    <n v="60"/>
    <n v="0.3"/>
    <m/>
    <m/>
    <n v="0.5"/>
    <n v="0.2"/>
    <n v="0"/>
    <n v="213"/>
    <n v="0"/>
    <n v="0"/>
    <n v="213"/>
    <n v="213"/>
    <n v="63.9"/>
    <n v="0"/>
    <n v="0"/>
    <n v="0"/>
    <n v="0"/>
    <n v="0"/>
    <n v="106.5"/>
    <n v="0"/>
    <n v="42.6"/>
    <n v="0"/>
    <n v="0"/>
    <n v="0"/>
    <n v="0"/>
    <m/>
    <n v="183.88"/>
    <n v="345.88"/>
    <s v="TL133"/>
    <s v="ToyoLiToyoLiToyoLiToyoLiToyoLiToyoLiToyoLiToyoLi"/>
    <s v="+"/>
    <s v="+"/>
    <s v="+"/>
    <s v="+"/>
    <s v="+"/>
    <s v="+"/>
    <s v="+"/>
    <s v="+"/>
    <b v="0"/>
  </r>
  <r>
    <d v="2026-01-25T00:00:00"/>
    <s v="A"/>
    <x v="322"/>
    <s v="TL134"/>
    <n v="293"/>
    <n v="15100"/>
    <s v="I"/>
    <s v="N"/>
    <n v="0.31"/>
    <s v="BLACK"/>
    <s v="L00330B"/>
    <s v="ToyoLi - BLACK"/>
    <n v="22"/>
    <n v="0"/>
    <m/>
    <m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4"/>
    <n v="0"/>
    <n v="10.333333333333336"/>
    <n v="0"/>
    <s v="WHITE"/>
    <s v="L00330W"/>
    <s v="ToyoLi - WHITE"/>
    <n v="30"/>
    <n v="0"/>
    <m/>
    <m/>
    <n v="0"/>
    <s v="F640"/>
    <s v="HSLAS"/>
    <m/>
    <m/>
    <m/>
    <m/>
    <m/>
    <m/>
    <n v="20"/>
    <n v="0"/>
    <n v="1.5"/>
    <n v="0"/>
    <m/>
    <n v="0"/>
    <m/>
    <n v="0"/>
    <m/>
    <n v="0"/>
    <m/>
    <n v="0"/>
    <m/>
    <n v="0"/>
    <m/>
    <n v="0"/>
    <s v="ToyoLi"/>
    <n v="30"/>
    <n v="0"/>
    <n v="58.16666666666667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0"/>
    <n v="0"/>
    <n v="0"/>
    <n v="0"/>
    <n v="0"/>
    <n v="0"/>
    <n v="0.3"/>
    <m/>
    <m/>
    <n v="0.5"/>
    <n v="0.2"/>
    <n v="0"/>
    <n v="44"/>
    <n v="0"/>
    <n v="0"/>
    <n v="44"/>
    <n v="44"/>
    <n v="13.2"/>
    <n v="0"/>
    <n v="0"/>
    <n v="0"/>
    <n v="0"/>
    <n v="0"/>
    <n v="22"/>
    <n v="0"/>
    <n v="8.8000000000000007"/>
    <n v="0"/>
    <n v="0"/>
    <n v="0"/>
    <n v="0"/>
    <m/>
    <n v="26.5"/>
    <n v="68.5"/>
    <s v="TL134"/>
    <s v="ToyoLiToyoLi"/>
    <s v="+"/>
    <s v="+"/>
    <s v="NIL"/>
    <s v="NIL"/>
    <s v="NIL"/>
    <s v="NIL"/>
    <s v="NIL"/>
    <s v="NIL"/>
    <b v="0"/>
  </r>
  <r>
    <d v="2026-01-26T00:00:00"/>
    <s v="A"/>
    <x v="323"/>
    <s v="TL135"/>
    <n v="3599"/>
    <n v="220200"/>
    <s v="I"/>
    <s v="N"/>
    <n v="1.95"/>
    <s v="BLACK"/>
    <m/>
    <s v="ToyoLi - BLACK"/>
    <m/>
    <n v="0"/>
    <m/>
    <m/>
    <n v="0"/>
    <s v="R92"/>
    <s v="RTMD"/>
    <m/>
    <m/>
    <m/>
    <m/>
    <m/>
    <m/>
    <n v="25"/>
    <n v="0"/>
    <n v="5"/>
    <n v="0"/>
    <m/>
    <n v="0"/>
    <m/>
    <n v="0"/>
    <m/>
    <n v="0"/>
    <m/>
    <n v="0"/>
    <m/>
    <n v="0"/>
    <m/>
    <n v="0"/>
    <s v="ToyoLi"/>
    <n v="28"/>
    <n v="0"/>
    <n v="56.966442953020135"/>
    <n v="0"/>
    <s v="BLACK"/>
    <s v="N00961B"/>
    <s v="ToyoLi - BLACK"/>
    <n v="16"/>
    <n v="0"/>
    <s v="C01444B/P00435B"/>
    <n v="38"/>
    <n v="0"/>
    <s v="R92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24"/>
    <n v="0"/>
    <n v="137.65100671140939"/>
    <n v="0"/>
    <s v="RED"/>
    <s v="L00330R"/>
    <s v="ToyoLi - RED"/>
    <n v="18"/>
    <n v="0"/>
    <s v="C01557R"/>
    <n v="8"/>
    <n v="0"/>
    <s v="F53"/>
    <s v="F121"/>
    <s v="F32"/>
    <m/>
    <m/>
    <m/>
    <m/>
    <m/>
    <n v="215"/>
    <n v="0"/>
    <n v="215"/>
    <n v="0"/>
    <n v="10"/>
    <n v="0"/>
    <m/>
    <n v="0"/>
    <m/>
    <n v="0"/>
    <m/>
    <n v="0"/>
    <m/>
    <n v="0"/>
    <m/>
    <n v="0"/>
    <s v="ToyoLi"/>
    <n v="39"/>
    <n v="0"/>
    <n v="680.69127516778519"/>
    <n v="0"/>
    <s v="CYAN"/>
    <s v="L00330C"/>
    <s v="ToyoLi - CYAN"/>
    <n v="10"/>
    <n v="0"/>
    <m/>
    <m/>
    <n v="0"/>
    <s v="R39"/>
    <m/>
    <m/>
    <m/>
    <m/>
    <m/>
    <m/>
    <m/>
    <n v="11"/>
    <n v="0"/>
    <m/>
    <n v="0"/>
    <m/>
    <n v="0"/>
    <m/>
    <n v="0"/>
    <m/>
    <n v="0"/>
    <m/>
    <n v="0"/>
    <m/>
    <n v="0"/>
    <m/>
    <n v="0"/>
    <s v="ToyoLi"/>
    <n v="24"/>
    <n v="0"/>
    <n v="13.912751677852349"/>
    <n v="0"/>
    <s v="MAGENTA"/>
    <s v="L00330M"/>
    <s v="ToyoLi - MAGENTA"/>
    <n v="26"/>
    <n v="0"/>
    <s v="B01067M"/>
    <n v="18"/>
    <n v="0"/>
    <s v="RTMD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8"/>
    <n v="0"/>
    <n v="31.570469798657719"/>
    <n v="0"/>
    <s v="YELLOW"/>
    <s v="L00330Y"/>
    <s v="ToyoLi - YELLOW"/>
    <n v="10"/>
    <n v="0"/>
    <m/>
    <m/>
    <n v="0"/>
    <s v="F23T"/>
    <m/>
    <m/>
    <m/>
    <m/>
    <m/>
    <m/>
    <m/>
    <n v="60"/>
    <n v="0"/>
    <m/>
    <n v="0"/>
    <m/>
    <n v="0"/>
    <m/>
    <n v="0"/>
    <m/>
    <n v="0"/>
    <m/>
    <n v="0"/>
    <m/>
    <n v="0"/>
    <m/>
    <n v="0"/>
    <s v="ToyoLi"/>
    <n v="31"/>
    <n v="0"/>
    <n v="134.13422818791946"/>
    <n v="0"/>
    <s v="WHITE"/>
    <m/>
    <s v="ToyoLi - WHITE"/>
    <m/>
    <n v="0"/>
    <m/>
    <m/>
    <n v="0"/>
    <s v="F640"/>
    <m/>
    <m/>
    <m/>
    <m/>
    <m/>
    <m/>
    <m/>
    <n v="600"/>
    <n v="0"/>
    <m/>
    <n v="0"/>
    <m/>
    <n v="0"/>
    <m/>
    <n v="0"/>
    <m/>
    <n v="0"/>
    <m/>
    <n v="0"/>
    <m/>
    <n v="0"/>
    <m/>
    <n v="0"/>
    <s v="ToyoLi"/>
    <n v="21"/>
    <n v="0"/>
    <n v="1340.073825503355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6"/>
    <n v="32"/>
    <n v="120"/>
    <n v="8"/>
    <n v="5"/>
    <n v="45"/>
    <n v="360"/>
    <n v="0"/>
    <n v="0.3"/>
    <m/>
    <m/>
    <n v="0.5"/>
    <n v="0.2"/>
    <n v="0"/>
    <n v="1260"/>
    <n v="0"/>
    <n v="0"/>
    <n v="1260"/>
    <n v="1260"/>
    <n v="378"/>
    <n v="0"/>
    <n v="0"/>
    <n v="0"/>
    <n v="0"/>
    <n v="0"/>
    <n v="630"/>
    <n v="0"/>
    <n v="252"/>
    <n v="0"/>
    <n v="0"/>
    <n v="0"/>
    <n v="0"/>
    <m/>
    <n v="1186"/>
    <n v="2395"/>
    <s v="TL135"/>
    <s v="ToyoLiToyoLiToyoLiToyoLiToyoLiToyoLiToyoLi"/>
    <s v="+"/>
    <s v="+"/>
    <s v="+"/>
    <s v="+"/>
    <s v="+"/>
    <s v="+"/>
    <s v="+"/>
    <s v="NIL"/>
    <b v="0"/>
  </r>
  <r>
    <d v="2026-01-27T00:00:00"/>
    <s v="A"/>
    <x v="324"/>
    <s v="TL136"/>
    <n v="597"/>
    <n v="52600"/>
    <s v="I"/>
    <s v="N"/>
    <n v="1.5"/>
    <s v="BLACK"/>
    <s v="P00461B"/>
    <s v="ToyoLi - BLACK"/>
    <n v="24"/>
    <n v="0"/>
    <m/>
    <m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5"/>
    <n v="0"/>
    <n v="10.712499999999999"/>
    <n v="0"/>
    <s v="ORANGE"/>
    <s v="N00944O"/>
    <s v="ToyoLi - ORANGE"/>
    <n v="20"/>
    <n v="0"/>
    <s v="N00795O/J00945O/N00795O/N00944O"/>
    <n v="68"/>
    <n v="0"/>
    <s v="F53"/>
    <s v="F121"/>
    <s v="F23T"/>
    <m/>
    <m/>
    <m/>
    <m/>
    <m/>
    <n v="15"/>
    <n v="0"/>
    <n v="2"/>
    <n v="0"/>
    <n v="10"/>
    <n v="0"/>
    <m/>
    <n v="0"/>
    <m/>
    <n v="0"/>
    <m/>
    <n v="0"/>
    <m/>
    <n v="0"/>
    <m/>
    <n v="0"/>
    <s v="ToyoLi"/>
    <n v="26"/>
    <n v="0"/>
    <n v="100.1875"/>
    <n v="0"/>
    <s v="CYAN"/>
    <s v="P00461C"/>
    <s v="ToyoLi - CYAN"/>
    <n v="24"/>
    <n v="0"/>
    <m/>
    <m/>
    <n v="0"/>
    <s v="R39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4"/>
    <n v="0"/>
    <n v="7.4750000000000014"/>
    <n v="0"/>
    <s v="MAGENTA"/>
    <s v="P00461M"/>
    <s v="ToyoLi - MAGENTA"/>
    <n v="28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6"/>
    <n v="0"/>
    <n v="9.4750000000000014"/>
    <n v="0"/>
    <s v="YELLOW"/>
    <s v="L00330Y"/>
    <s v="ToyoLi - YELLOW"/>
    <n v="28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5"/>
    <n v="0"/>
    <n v="14.712499999999999"/>
    <n v="0"/>
    <s v="YELLOW"/>
    <s v="P00461U"/>
    <s v="ToyoLi - YELLOW"/>
    <n v="31"/>
    <n v="0"/>
    <m/>
    <m/>
    <n v="0"/>
    <s v="F23T"/>
    <s v="F53"/>
    <m/>
    <m/>
    <m/>
    <m/>
    <m/>
    <m/>
    <n v="15"/>
    <n v="0"/>
    <n v="0.1"/>
    <n v="0"/>
    <m/>
    <n v="0"/>
    <m/>
    <n v="0"/>
    <m/>
    <n v="0"/>
    <m/>
    <n v="0"/>
    <m/>
    <n v="0"/>
    <m/>
    <n v="0"/>
    <s v="ToyoLi"/>
    <n v="20"/>
    <n v="0"/>
    <n v="37.287500000000001"/>
    <n v="0"/>
    <s v="WHITE"/>
    <m/>
    <s v="ToyoLi - WHITE"/>
    <m/>
    <n v="0"/>
    <m/>
    <m/>
    <n v="0"/>
    <s v="F640"/>
    <s v="HSLAS"/>
    <m/>
    <m/>
    <m/>
    <m/>
    <m/>
    <m/>
    <n v="80"/>
    <n v="0"/>
    <n v="7.24"/>
    <n v="0"/>
    <m/>
    <n v="0"/>
    <m/>
    <n v="0"/>
    <m/>
    <n v="0"/>
    <m/>
    <n v="0"/>
    <m/>
    <n v="0"/>
    <m/>
    <n v="0"/>
    <s v="ToyoLi"/>
    <n v="20"/>
    <n v="0"/>
    <n v="201.4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5"/>
    <n v="2"/>
    <n v="2"/>
    <n v="3"/>
    <n v="5"/>
    <n v="60"/>
    <n v="0"/>
    <n v="0.3"/>
    <m/>
    <m/>
    <n v="0.5"/>
    <n v="0.2"/>
    <n v="0"/>
    <n v="179"/>
    <n v="0"/>
    <n v="0"/>
    <n v="179"/>
    <n v="179"/>
    <n v="53.699999999999996"/>
    <n v="0"/>
    <n v="0"/>
    <n v="0"/>
    <n v="0"/>
    <n v="0"/>
    <n v="89.5"/>
    <n v="0"/>
    <n v="35.800000000000004"/>
    <n v="0"/>
    <n v="0"/>
    <n v="0"/>
    <n v="0"/>
    <m/>
    <n v="145.34"/>
    <n v="381.34000000000003"/>
    <s v="TL136"/>
    <s v="ToyoLiToyoLiToyoLiToyoLiToyoLiToyoLiToyoLi"/>
    <s v="+"/>
    <s v="+"/>
    <s v="+"/>
    <s v="+"/>
    <s v="+"/>
    <s v="+"/>
    <s v="+"/>
    <s v="NIL"/>
    <b v="0"/>
  </r>
  <r>
    <d v="2026-01-27T00:00:00"/>
    <s v="A"/>
    <x v="325"/>
    <s v="TL137"/>
    <n v="596"/>
    <n v="52500"/>
    <s v="I"/>
    <s v="N"/>
    <n v="1.5"/>
    <s v="BLACK"/>
    <s v="J00873B"/>
    <s v="ToyoLi - BLACK"/>
    <n v="25"/>
    <n v="0"/>
    <m/>
    <m/>
    <n v="0"/>
    <s v="RTMD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4.0192307692307665"/>
    <n v="0"/>
    <s v="REFLEX BLUE"/>
    <s v="L00330B"/>
    <s v="ToyoLi - REFLEX BLUE"/>
    <n v="16"/>
    <n v="0"/>
    <s v="L00324B"/>
    <n v="36"/>
    <n v="0"/>
    <s v="R1205"/>
    <s v="R39"/>
    <m/>
    <m/>
    <m/>
    <m/>
    <m/>
    <m/>
    <n v="40"/>
    <n v="0"/>
    <n v="15"/>
    <n v="0"/>
    <m/>
    <n v="0"/>
    <m/>
    <n v="0"/>
    <m/>
    <n v="0"/>
    <m/>
    <n v="0"/>
    <m/>
    <n v="0"/>
    <m/>
    <n v="0"/>
    <s v="ToyoLi"/>
    <n v="20"/>
    <n v="0"/>
    <n v="137.24038461538461"/>
    <n v="0"/>
    <s v="CYAN"/>
    <s v="J00873C"/>
    <s v="ToyoLi - CYAN"/>
    <n v="24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4.0288461538461533"/>
    <n v="0"/>
    <s v="MAGENTA"/>
    <s v="J00873M"/>
    <s v="ToyoLi - MAGENTA"/>
    <n v="26"/>
    <n v="0"/>
    <m/>
    <m/>
    <n v="0"/>
    <s v="F121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6"/>
    <n v="0"/>
    <n v="10.028846153846153"/>
    <n v="0"/>
    <s v="YELLOW"/>
    <s v="J00873Y"/>
    <s v="ToyoLi - YELLOW"/>
    <n v="25"/>
    <n v="0"/>
    <m/>
    <m/>
    <n v="0"/>
    <s v="F23T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30"/>
    <n v="0"/>
    <n v="15.04807692307692"/>
    <n v="0"/>
    <s v="REFLEX BLUE"/>
    <m/>
    <s v="ToyoLi - REFLEX BLUE"/>
    <m/>
    <n v="0"/>
    <m/>
    <m/>
    <n v="0"/>
    <s v="R39"/>
    <s v="RTMD"/>
    <m/>
    <m/>
    <m/>
    <m/>
    <m/>
    <m/>
    <n v="5"/>
    <n v="0"/>
    <n v="20"/>
    <n v="0"/>
    <m/>
    <n v="0"/>
    <m/>
    <n v="0"/>
    <m/>
    <n v="0"/>
    <m/>
    <n v="0"/>
    <m/>
    <n v="0"/>
    <m/>
    <n v="0"/>
    <s v="ToyoLi"/>
    <n v="20"/>
    <n v="0"/>
    <n v="37.153846153846153"/>
    <n v="0"/>
    <s v="WHITE"/>
    <s v="J00873W"/>
    <s v="ToyoLi - WHITE"/>
    <n v="20"/>
    <n v="0"/>
    <m/>
    <m/>
    <n v="0"/>
    <s v="F640"/>
    <s v="HSLAS"/>
    <m/>
    <m/>
    <m/>
    <m/>
    <m/>
    <m/>
    <n v="90"/>
    <n v="0"/>
    <n v="8.25"/>
    <n v="0"/>
    <m/>
    <n v="0"/>
    <m/>
    <n v="0"/>
    <m/>
    <n v="0"/>
    <m/>
    <n v="0"/>
    <m/>
    <n v="0"/>
    <m/>
    <n v="0"/>
    <s v="ToyoLi"/>
    <n v="30"/>
    <n v="0"/>
    <n v="188.7307692307692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5"/>
    <n v="3"/>
    <n v="3"/>
    <n v="5"/>
    <n v="16"/>
    <n v="50"/>
    <n v="0"/>
    <n v="0.3"/>
    <m/>
    <m/>
    <n v="0.5"/>
    <n v="0.2"/>
    <n v="0"/>
    <n v="209"/>
    <n v="0"/>
    <n v="0"/>
    <n v="209"/>
    <n v="209"/>
    <n v="62.699999999999996"/>
    <n v="0"/>
    <n v="0"/>
    <n v="0"/>
    <n v="0"/>
    <n v="0"/>
    <n v="104.5"/>
    <n v="0"/>
    <n v="41.800000000000004"/>
    <n v="0"/>
    <n v="0"/>
    <n v="0"/>
    <n v="0"/>
    <m/>
    <n v="197.25"/>
    <n v="396.25"/>
    <s v="TL137"/>
    <s v="ToyoLiToyoLiToyoLiToyoLiToyoLiToyoLiToyoLi"/>
    <s v="+"/>
    <s v="+"/>
    <s v="+"/>
    <s v="+"/>
    <s v="+"/>
    <s v="+"/>
    <s v="+"/>
    <s v="NIL"/>
    <b v="0"/>
  </r>
  <r>
    <d v="2026-01-27T00:00:00"/>
    <s v="B"/>
    <x v="326"/>
    <s v="TL138"/>
    <n v="596"/>
    <n v="52500"/>
    <s v="I"/>
    <s v="N"/>
    <n v="1.5"/>
    <s v="BLACK"/>
    <s v="J00877B"/>
    <s v="ToyoLi - BLACK"/>
    <n v="28"/>
    <n v="0"/>
    <m/>
    <m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8"/>
    <n v="0"/>
    <n v="5"/>
    <n v="0"/>
    <s v="GREEN"/>
    <s v="G00397G"/>
    <s v="ToyoLi - GREEN"/>
    <n v="10"/>
    <n v="0"/>
    <s v="C01471G/J00871G/N00826G"/>
    <n v="51"/>
    <n v="0"/>
    <s v="R39"/>
    <s v="F23T"/>
    <s v="R92"/>
    <s v="RTMD"/>
    <m/>
    <m/>
    <m/>
    <m/>
    <n v="25"/>
    <n v="0"/>
    <n v="5"/>
    <n v="0"/>
    <n v="0.5"/>
    <n v="0"/>
    <n v="3"/>
    <n v="0"/>
    <m/>
    <n v="0"/>
    <m/>
    <n v="0"/>
    <m/>
    <n v="0"/>
    <m/>
    <n v="0"/>
    <s v="ToyoLi"/>
    <n v="29"/>
    <n v="0"/>
    <n v="78.661764705882348"/>
    <n v="0"/>
    <s v="CYAN"/>
    <s v="J00877C"/>
    <s v="ToyoLi - CYAN"/>
    <n v="28"/>
    <n v="0"/>
    <m/>
    <m/>
    <n v="0"/>
    <s v="R39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30"/>
    <n v="0"/>
    <n v="9.264705882352942"/>
    <n v="0"/>
    <s v="MAGENTA"/>
    <s v="J00877M"/>
    <s v="ToyoLi - MAGENTA"/>
    <n v="26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7.897058823529413"/>
    <n v="0"/>
    <s v="YELLOW"/>
    <s v="J00877Y"/>
    <s v="ToyoLi - YELLOW"/>
    <n v="30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7"/>
    <n v="0"/>
    <n v="15.897058823529413"/>
    <n v="0"/>
    <s v="GREEN"/>
    <s v="J00873G"/>
    <s v="ToyoLi - GREEN"/>
    <n v="20"/>
    <n v="0"/>
    <m/>
    <m/>
    <n v="0"/>
    <s v="F23T"/>
    <s v="F640"/>
    <s v="R79"/>
    <s v="RTMD"/>
    <m/>
    <m/>
    <m/>
    <m/>
    <n v="5"/>
    <n v="0"/>
    <n v="5"/>
    <n v="0"/>
    <n v="1"/>
    <n v="0"/>
    <n v="5"/>
    <n v="0"/>
    <m/>
    <n v="0"/>
    <m/>
    <n v="0"/>
    <m/>
    <n v="0"/>
    <m/>
    <n v="0"/>
    <s v="ToyoLi"/>
    <n v="25"/>
    <n v="0"/>
    <n v="24.161764705882355"/>
    <n v="0"/>
    <s v="WHITE"/>
    <s v="J00877W"/>
    <s v="ToyoLi - WHITE"/>
    <n v="30"/>
    <n v="0"/>
    <m/>
    <m/>
    <n v="0"/>
    <s v="F640"/>
    <s v="HSLAS"/>
    <m/>
    <m/>
    <m/>
    <m/>
    <m/>
    <m/>
    <n v="80"/>
    <n v="0"/>
    <n v="7.78"/>
    <n v="0"/>
    <m/>
    <n v="0"/>
    <m/>
    <n v="0"/>
    <m/>
    <n v="0"/>
    <m/>
    <n v="0"/>
    <m/>
    <n v="0"/>
    <m/>
    <n v="0"/>
    <s v="ToyoLi"/>
    <n v="30"/>
    <n v="0"/>
    <n v="219.3976470588235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0"/>
    <n v="5"/>
    <n v="2"/>
    <n v="3"/>
    <n v="3"/>
    <n v="5"/>
    <n v="50"/>
    <n v="0"/>
    <n v="0.3"/>
    <m/>
    <m/>
    <n v="0.5"/>
    <n v="0.2"/>
    <n v="0"/>
    <n v="179"/>
    <n v="0"/>
    <n v="0"/>
    <n v="179"/>
    <n v="179"/>
    <n v="53.699999999999996"/>
    <n v="0"/>
    <n v="0"/>
    <n v="0"/>
    <n v="0"/>
    <n v="0"/>
    <n v="89.5"/>
    <n v="0"/>
    <n v="35.800000000000004"/>
    <n v="0"/>
    <n v="0"/>
    <n v="0"/>
    <n v="0"/>
    <m/>
    <n v="155.28"/>
    <n v="360.28"/>
    <s v="TL138"/>
    <s v="ToyoLiToyoLiToyoLiToyoLiToyoLiToyoLiToyoLi"/>
    <s v="+"/>
    <s v="+"/>
    <s v="+"/>
    <s v="+"/>
    <s v="+"/>
    <s v="+"/>
    <s v="+"/>
    <s v="NIL"/>
    <b v="0"/>
  </r>
  <r>
    <d v="2026-01-27T00:00:00"/>
    <s v="B"/>
    <x v="327"/>
    <s v="TL139"/>
    <n v="163"/>
    <n v="8000"/>
    <s v="I"/>
    <s v="N"/>
    <n v="1.98"/>
    <s v="BLACK"/>
    <s v="J00875B"/>
    <s v="ToyoLi - BLACK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0"/>
    <n v="2.9545454545454533"/>
    <n v="0"/>
    <s v="RED"/>
    <s v="P00461R"/>
    <s v="ToyoLi - RED"/>
    <n v="19"/>
    <n v="0"/>
    <m/>
    <m/>
    <n v="0"/>
    <s v="F121"/>
    <s v="F53"/>
    <m/>
    <m/>
    <m/>
    <m/>
    <m/>
    <m/>
    <n v="10"/>
    <n v="0"/>
    <n v="8"/>
    <n v="0"/>
    <m/>
    <n v="0"/>
    <m/>
    <n v="0"/>
    <m/>
    <n v="0"/>
    <m/>
    <n v="0"/>
    <m/>
    <n v="0"/>
    <m/>
    <n v="0"/>
    <s v="ToyoLi"/>
    <n v="40"/>
    <n v="0"/>
    <n v="7.3409090909090935"/>
    <n v="0"/>
    <s v="RED"/>
    <m/>
    <s v="ToyoLi - RED"/>
    <m/>
    <n v="0"/>
    <m/>
    <m/>
    <n v="0"/>
    <s v="RTMD"/>
    <s v="F121"/>
    <s v="F32"/>
    <m/>
    <m/>
    <m/>
    <m/>
    <m/>
    <n v="15"/>
    <n v="0"/>
    <n v="1"/>
    <n v="0"/>
    <n v="0.5"/>
    <n v="0"/>
    <m/>
    <n v="0"/>
    <m/>
    <n v="0"/>
    <m/>
    <n v="0"/>
    <m/>
    <n v="0"/>
    <m/>
    <n v="0"/>
    <s v="ToyoLi"/>
    <n v="20"/>
    <n v="0"/>
    <n v="11.272727272727273"/>
    <n v="0"/>
    <s v="GREEN"/>
    <s v="B01076G"/>
    <s v="ToyoLi - GREEN"/>
    <n v="16"/>
    <n v="0"/>
    <m/>
    <m/>
    <n v="0"/>
    <s v="F23T"/>
    <s v="R39"/>
    <s v="RTMD"/>
    <m/>
    <m/>
    <m/>
    <m/>
    <m/>
    <n v="5"/>
    <n v="0"/>
    <n v="1"/>
    <n v="0"/>
    <n v="3"/>
    <n v="0"/>
    <m/>
    <n v="0"/>
    <m/>
    <n v="0"/>
    <m/>
    <n v="0"/>
    <m/>
    <n v="0"/>
    <m/>
    <n v="0"/>
    <s v="ToyoLi"/>
    <n v="25"/>
    <n v="0"/>
    <n v="5.9090909090909101"/>
    <n v="0"/>
    <s v="CYAN"/>
    <s v="J00875C"/>
    <s v="ToyoLi - CYAN"/>
    <n v="30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30"/>
    <n v="0"/>
    <n v="4.9545454545454533"/>
    <n v="0"/>
    <s v="MAGENTA"/>
    <s v="J00875M"/>
    <s v="ToyoLi - MAGENTA"/>
    <n v="28"/>
    <n v="0"/>
    <m/>
    <m/>
    <n v="0"/>
    <s v="RTMD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9"/>
    <n v="0"/>
    <n v="4.9545454545454533"/>
    <n v="0"/>
    <s v="YELLOW"/>
    <s v="J00875Y"/>
    <s v="ToyoLi - YELLOW"/>
    <n v="27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4.9545454545454533"/>
    <n v="0"/>
    <s v="WHITE"/>
    <s v="J00875W"/>
    <s v="ToyoLi - WHITE"/>
    <n v="30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30"/>
    <n v="0"/>
    <n v="52.159090909090907"/>
    <n v="0"/>
    <n v="2"/>
    <n v="7"/>
    <n v="10"/>
    <n v="4"/>
    <n v="2"/>
    <n v="2"/>
    <n v="2"/>
    <n v="15"/>
    <n v="0.3"/>
    <m/>
    <m/>
    <n v="0.5"/>
    <n v="0.2"/>
    <n v="0"/>
    <n v="65"/>
    <n v="0"/>
    <n v="0"/>
    <n v="65"/>
    <n v="65"/>
    <n v="19.5"/>
    <n v="0"/>
    <n v="0"/>
    <n v="0"/>
    <n v="0"/>
    <n v="0"/>
    <n v="32.5"/>
    <n v="0"/>
    <n v="13"/>
    <n v="0"/>
    <n v="0"/>
    <n v="0"/>
    <n v="0"/>
    <m/>
    <n v="80.5"/>
    <n v="94.5"/>
    <s v="TL139"/>
    <s v="ToyoLiToyoLiToyoLiToyoLiToyoLiToyoLiToyoLiToyoLi"/>
    <s v="+"/>
    <s v="+"/>
    <s v="+"/>
    <s v="+"/>
    <s v="+"/>
    <s v="+"/>
    <s v="+"/>
    <s v="+"/>
    <b v="0"/>
  </r>
  <r>
    <d v="2026-01-27T00:00:00"/>
    <s v="B"/>
    <x v="328"/>
    <s v="TL140"/>
    <n v="372"/>
    <n v="18900"/>
    <s v="I"/>
    <s v="N"/>
    <n v="0.8"/>
    <s v="GREEN"/>
    <s v="N00877G"/>
    <s v="ToyoLi - GREEN"/>
    <n v="18"/>
    <n v="0"/>
    <s v="N00826G"/>
    <n v="7"/>
    <n v="0"/>
    <s v="R39"/>
    <s v="F23T"/>
    <s v="R79"/>
    <m/>
    <m/>
    <m/>
    <m/>
    <m/>
    <n v="2"/>
    <n v="0"/>
    <n v="2"/>
    <n v="0"/>
    <n v="1"/>
    <n v="0"/>
    <m/>
    <n v="0"/>
    <m/>
    <n v="0"/>
    <m/>
    <n v="0"/>
    <m/>
    <n v="0"/>
    <m/>
    <n v="0"/>
    <s v="ToyoLi"/>
    <n v="27"/>
    <n v="0"/>
    <n v="10.047619047619051"/>
    <n v="0"/>
    <s v="GREEN"/>
    <s v="B01011G"/>
    <s v="ToyoLi - GREEN"/>
    <n v="25"/>
    <n v="0"/>
    <m/>
    <m/>
    <n v="0"/>
    <s v="F23T"/>
    <s v="R39"/>
    <m/>
    <m/>
    <m/>
    <m/>
    <m/>
    <m/>
    <n v="4"/>
    <n v="0"/>
    <n v="1"/>
    <n v="0"/>
    <m/>
    <n v="0"/>
    <m/>
    <n v="0"/>
    <m/>
    <n v="0"/>
    <m/>
    <n v="0"/>
    <m/>
    <n v="0"/>
    <m/>
    <n v="0"/>
    <s v="ToyoLi"/>
    <n v="26"/>
    <n v="0"/>
    <n v="11.047619047619051"/>
    <n v="0"/>
    <s v="RED"/>
    <s v="B01011R"/>
    <s v="ToyoLi - RED"/>
    <n v="40"/>
    <n v="0"/>
    <m/>
    <m/>
    <n v="0"/>
    <s v="F121"/>
    <s v="F53"/>
    <m/>
    <m/>
    <m/>
    <m/>
    <m/>
    <m/>
    <n v="6"/>
    <n v="0"/>
    <n v="2"/>
    <n v="0"/>
    <m/>
    <n v="0"/>
    <m/>
    <n v="0"/>
    <m/>
    <n v="0"/>
    <m/>
    <n v="0"/>
    <m/>
    <n v="0"/>
    <m/>
    <n v="0"/>
    <s v="ToyoLi"/>
    <n v="37"/>
    <n v="0"/>
    <n v="18.047619047619051"/>
    <n v="0"/>
    <s v="WHITE"/>
    <s v="B01011W"/>
    <s v="ToyoLi - WHITE"/>
    <n v="30"/>
    <n v="0"/>
    <m/>
    <m/>
    <n v="0"/>
    <s v="F640"/>
    <s v="HSLAS"/>
    <m/>
    <m/>
    <m/>
    <m/>
    <m/>
    <m/>
    <n v="30"/>
    <n v="0"/>
    <n v="3.18"/>
    <n v="0"/>
    <m/>
    <n v="0"/>
    <m/>
    <n v="0"/>
    <m/>
    <n v="0"/>
    <m/>
    <n v="0"/>
    <m/>
    <n v="0"/>
    <m/>
    <n v="0"/>
    <s v="ToyoLi"/>
    <n v="30"/>
    <n v="0"/>
    <n v="86.03714285714286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15"/>
    <n v="0"/>
    <n v="0"/>
    <n v="0"/>
    <n v="0"/>
    <n v="0.3"/>
    <m/>
    <m/>
    <n v="0.5"/>
    <n v="0.2"/>
    <n v="0"/>
    <n v="74"/>
    <n v="0"/>
    <n v="0"/>
    <n v="74"/>
    <n v="74"/>
    <n v="22.2"/>
    <n v="0"/>
    <n v="0"/>
    <n v="0"/>
    <n v="0"/>
    <n v="0"/>
    <n v="37"/>
    <n v="0"/>
    <n v="14.8"/>
    <n v="0"/>
    <n v="0"/>
    <n v="0"/>
    <n v="0"/>
    <m/>
    <n v="51.18"/>
    <n v="125.18000000000002"/>
    <s v="TL140"/>
    <s v="ToyoLiToyoLiToyoLiToyoLi"/>
    <s v="+"/>
    <s v="+"/>
    <s v="+"/>
    <s v="+"/>
    <s v="NIL"/>
    <s v="NIL"/>
    <s v="NIL"/>
    <s v="NIL"/>
    <b v="0"/>
  </r>
  <r>
    <d v="2026-01-27T00:00:00"/>
    <s v="B"/>
    <x v="329"/>
    <s v="TL141"/>
    <n v="482"/>
    <n v="27500"/>
    <s v="I"/>
    <s v="N"/>
    <n v="1.1499999999999999"/>
    <s v="GOLD"/>
    <s v="F00830G"/>
    <s v="ToyoLi - GOLD"/>
    <n v="16"/>
    <n v="0"/>
    <s v="F00882G"/>
    <n v="10"/>
    <n v="0"/>
    <s v="TLSI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5"/>
    <n v="0"/>
    <n v="21.519999999999996"/>
    <n v="0"/>
    <s v="REFLEX BLUE"/>
    <s v="L00330B"/>
    <s v="ToyoLi - REFLEX BLUE"/>
    <n v="15"/>
    <n v="0"/>
    <m/>
    <m/>
    <n v="0"/>
    <s v="R1205"/>
    <s v="F121"/>
    <m/>
    <m/>
    <m/>
    <m/>
    <m/>
    <m/>
    <n v="8"/>
    <n v="0"/>
    <n v="3"/>
    <n v="0"/>
    <m/>
    <n v="0"/>
    <m/>
    <n v="0"/>
    <m/>
    <n v="0"/>
    <m/>
    <n v="0"/>
    <m/>
    <n v="0"/>
    <m/>
    <n v="0"/>
    <s v="ToyoLi"/>
    <n v="35"/>
    <n v="0"/>
    <n v="0.67999999999999972"/>
    <n v="0"/>
    <s v="GREEN"/>
    <s v="G00413G"/>
    <s v="ToyoLi - GREEN"/>
    <n v="26"/>
    <n v="0"/>
    <m/>
    <m/>
    <n v="0"/>
    <s v="F23T"/>
    <s v="R39"/>
    <m/>
    <m/>
    <m/>
    <m/>
    <m/>
    <m/>
    <n v="4"/>
    <n v="0"/>
    <n v="1"/>
    <n v="0"/>
    <m/>
    <n v="0"/>
    <m/>
    <n v="0"/>
    <m/>
    <n v="0"/>
    <m/>
    <n v="0"/>
    <m/>
    <n v="0"/>
    <m/>
    <n v="0"/>
    <s v="ToyoLi"/>
    <n v="27"/>
    <n v="0"/>
    <n v="8.8400000000000034"/>
    <n v="0"/>
    <s v="YELLOW"/>
    <s v="B01011Y"/>
    <s v="ToyoLi - YELLOW"/>
    <n v="27"/>
    <n v="0"/>
    <m/>
    <m/>
    <n v="0"/>
    <s v="F23T"/>
    <m/>
    <m/>
    <m/>
    <m/>
    <m/>
    <m/>
    <m/>
    <n v="15"/>
    <n v="0"/>
    <m/>
    <n v="0"/>
    <m/>
    <n v="0"/>
    <m/>
    <n v="0"/>
    <m/>
    <n v="0"/>
    <m/>
    <n v="0"/>
    <m/>
    <n v="0"/>
    <m/>
    <n v="0"/>
    <s v="ToyoLi"/>
    <n v="28"/>
    <n v="0"/>
    <n v="21.259999999999998"/>
    <n v="0"/>
    <s v="WHITE"/>
    <s v="G00413W"/>
    <s v="ToyoLi - WHITE"/>
    <n v="30"/>
    <n v="0"/>
    <m/>
    <m/>
    <n v="0"/>
    <s v="F640"/>
    <s v="HSLAS"/>
    <m/>
    <m/>
    <m/>
    <m/>
    <m/>
    <m/>
    <n v="70"/>
    <n v="0"/>
    <n v="5.07"/>
    <n v="0"/>
    <m/>
    <n v="0"/>
    <m/>
    <n v="0"/>
    <m/>
    <n v="0"/>
    <m/>
    <n v="0"/>
    <m/>
    <n v="0"/>
    <m/>
    <n v="0"/>
    <s v="ToyoLi"/>
    <n v="25"/>
    <n v="0"/>
    <n v="164.7699999999999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6"/>
    <n v="4"/>
    <n v="2"/>
    <n v="3"/>
    <n v="35"/>
    <n v="0"/>
    <n v="0"/>
    <n v="0"/>
    <n v="0.3"/>
    <m/>
    <m/>
    <n v="0.5"/>
    <n v="0.2"/>
    <n v="0"/>
    <n v="121"/>
    <n v="0"/>
    <n v="0"/>
    <n v="121"/>
    <n v="121"/>
    <n v="36.299999999999997"/>
    <n v="0"/>
    <n v="0"/>
    <n v="0"/>
    <n v="0"/>
    <n v="0"/>
    <n v="60.5"/>
    <n v="0"/>
    <n v="24.200000000000003"/>
    <n v="0"/>
    <n v="0"/>
    <n v="0"/>
    <n v="0"/>
    <m/>
    <n v="112.07"/>
    <n v="217.07"/>
    <s v="TL141"/>
    <s v="ToyoLiToyoLiToyoLiToyoLiToyoLi"/>
    <s v="+"/>
    <s v="+"/>
    <s v="+"/>
    <s v="+"/>
    <s v="+"/>
    <s v="NIL"/>
    <s v="NIL"/>
    <s v="NIL"/>
    <b v="0"/>
  </r>
  <r>
    <d v="2026-01-28T00:00:00"/>
    <s v="A"/>
    <x v="330"/>
    <s v="TL142"/>
    <n v="241"/>
    <n v="15700"/>
    <s v="I"/>
    <s v="N"/>
    <n v="0.4"/>
    <s v="GREEN"/>
    <s v="G00415G"/>
    <s v="ToyoLi - GREEN"/>
    <n v="27"/>
    <n v="0"/>
    <m/>
    <m/>
    <n v="0"/>
    <s v="F23T"/>
    <s v="R39"/>
    <m/>
    <m/>
    <m/>
    <m/>
    <m/>
    <m/>
    <n v="2"/>
    <n v="0"/>
    <n v="3"/>
    <n v="0"/>
    <m/>
    <n v="0"/>
    <m/>
    <n v="0"/>
    <m/>
    <n v="0"/>
    <m/>
    <n v="0"/>
    <m/>
    <n v="0"/>
    <m/>
    <n v="0"/>
    <s v="ToyoLi"/>
    <n v="33"/>
    <n v="0"/>
    <n v="10.428571428571431"/>
    <n v="0"/>
    <s v="RED"/>
    <s v="G00413R"/>
    <s v="ToyoLi - RED"/>
    <n v="18"/>
    <n v="0"/>
    <m/>
    <m/>
    <n v="0"/>
    <s v="F53"/>
    <s v="F121"/>
    <m/>
    <m/>
    <m/>
    <m/>
    <m/>
    <m/>
    <n v="5"/>
    <n v="0"/>
    <n v="2"/>
    <n v="0"/>
    <m/>
    <n v="0"/>
    <m/>
    <n v="0"/>
    <m/>
    <n v="0"/>
    <m/>
    <n v="0"/>
    <m/>
    <n v="0"/>
    <m/>
    <n v="0"/>
    <s v="ToyoLi"/>
    <n v="26"/>
    <n v="0"/>
    <n v="5.8571428571428577"/>
    <n v="0"/>
    <s v="YELLOW"/>
    <s v="G00415Y"/>
    <s v="ToyoLi - YELLOW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0"/>
    <n v="19.428571428571431"/>
    <n v="0"/>
    <s v="WHITE"/>
    <s v="G00415W"/>
    <s v="ToyoLi - WHITE"/>
    <n v="25"/>
    <n v="0"/>
    <m/>
    <m/>
    <n v="0"/>
    <s v="F640"/>
    <s v="HSLAS"/>
    <m/>
    <m/>
    <m/>
    <m/>
    <m/>
    <m/>
    <n v="15"/>
    <n v="0"/>
    <n v="2.2799999999999998"/>
    <n v="0"/>
    <m/>
    <n v="0"/>
    <m/>
    <n v="0"/>
    <m/>
    <n v="0"/>
    <m/>
    <n v="0"/>
    <m/>
    <n v="0"/>
    <m/>
    <n v="0"/>
    <s v="ToyoLi"/>
    <n v="27"/>
    <n v="0"/>
    <n v="33.56571428571428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3"/>
    <n v="5"/>
    <n v="8"/>
    <n v="0"/>
    <n v="0"/>
    <n v="0"/>
    <n v="0"/>
    <n v="0.3"/>
    <m/>
    <m/>
    <n v="0.5"/>
    <n v="0.2"/>
    <n v="0"/>
    <n v="48"/>
    <n v="0"/>
    <n v="0"/>
    <n v="48"/>
    <n v="48"/>
    <n v="14.399999999999999"/>
    <n v="0"/>
    <n v="0"/>
    <n v="0"/>
    <n v="0"/>
    <n v="0"/>
    <n v="24"/>
    <n v="0"/>
    <n v="9.6000000000000014"/>
    <n v="0"/>
    <n v="0"/>
    <n v="0"/>
    <n v="0"/>
    <m/>
    <n v="29.28"/>
    <n v="69.28"/>
    <s v="TL142"/>
    <s v="ToyoLiToyoLiToyoLiToyoLi"/>
    <s v="+"/>
    <s v="+"/>
    <s v="+"/>
    <s v="+"/>
    <s v="NIL"/>
    <s v="NIL"/>
    <s v="NIL"/>
    <s v="NIL"/>
    <b v="0"/>
  </r>
  <r>
    <d v="2026-01-28T00:00:00"/>
    <s v="A"/>
    <x v="331"/>
    <s v="TL143"/>
    <n v="84"/>
    <n v="4500"/>
    <s v="I"/>
    <s v="N"/>
    <n v="1.2"/>
    <s v="BLACK"/>
    <s v="B01011B"/>
    <s v="ToyoLi - BLACK"/>
    <n v="28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7.3999999999999986"/>
    <n v="0"/>
    <s v="REFLEX BLUE"/>
    <s v="L00333RB"/>
    <s v="ToyoLi - REFLEX BLUE"/>
    <n v="10"/>
    <n v="0"/>
    <m/>
    <m/>
    <n v="0"/>
    <s v="R1205"/>
    <s v="F121"/>
    <s v="Z822"/>
    <s v="R92"/>
    <s v="TP"/>
    <m/>
    <m/>
    <m/>
    <n v="2"/>
    <n v="0"/>
    <n v="8"/>
    <n v="0"/>
    <n v="5"/>
    <n v="0"/>
    <n v="2"/>
    <n v="0"/>
    <n v="4"/>
    <n v="0"/>
    <m/>
    <n v="0"/>
    <m/>
    <n v="0"/>
    <m/>
    <n v="0"/>
    <s v="ToyoLi"/>
    <n v="18"/>
    <n v="0"/>
    <n v="16.600000000000001"/>
    <n v="0"/>
    <s v="RED"/>
    <m/>
    <s v="ToyoLi - RED"/>
    <m/>
    <n v="0"/>
    <m/>
    <m/>
    <n v="0"/>
    <s v="F53"/>
    <s v="F121"/>
    <s v="F32"/>
    <m/>
    <m/>
    <m/>
    <m/>
    <m/>
    <n v="10"/>
    <n v="0"/>
    <n v="8"/>
    <n v="0"/>
    <n v="5"/>
    <n v="0"/>
    <m/>
    <n v="0"/>
    <m/>
    <n v="0"/>
    <m/>
    <n v="0"/>
    <m/>
    <n v="0"/>
    <m/>
    <n v="0"/>
    <s v="ToyoLi"/>
    <n v="35"/>
    <n v="0"/>
    <n v="6"/>
    <n v="0"/>
    <s v="CYAN"/>
    <s v="B01011C"/>
    <s v="ToyoLi - CYAN"/>
    <n v="30"/>
    <n v="0"/>
    <m/>
    <m/>
    <n v="0"/>
    <s v="R39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9"/>
    <n v="0"/>
    <n v="3.2000000000000028"/>
    <n v="0"/>
    <s v="MAGENTA"/>
    <s v="B01011M"/>
    <s v="ToyoLi - MAGENTA"/>
    <n v="29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6.3999999999999986"/>
    <n v="0"/>
    <s v="YELLOW"/>
    <s v="G00416Y"/>
    <s v="ToyoLi - YELLOW"/>
    <n v="20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3"/>
    <n v="0"/>
    <n v="8"/>
    <n v="0"/>
    <s v="GOLD"/>
    <s v="G00415G"/>
    <s v="ToyoLi - GOLD"/>
    <n v="17"/>
    <n v="0"/>
    <m/>
    <m/>
    <n v="0"/>
    <s v="TLGO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19"/>
    <n v="0"/>
    <n v="5.3999999999999986"/>
    <n v="0"/>
    <s v="WHITE"/>
    <s v="G00416W"/>
    <s v="ToyoLi - WHITE"/>
    <n v="27"/>
    <n v="0"/>
    <m/>
    <m/>
    <n v="0"/>
    <s v="F640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25"/>
    <n v="0"/>
    <n v="18"/>
    <n v="0"/>
    <n v="2"/>
    <n v="3"/>
    <n v="15"/>
    <n v="1"/>
    <n v="2"/>
    <n v="5"/>
    <n v="2"/>
    <n v="5"/>
    <n v="0.3"/>
    <m/>
    <m/>
    <n v="0.5"/>
    <n v="0.2"/>
    <n v="0"/>
    <n v="42"/>
    <n v="0"/>
    <n v="0"/>
    <n v="42"/>
    <n v="42"/>
    <n v="12.6"/>
    <n v="0"/>
    <n v="0"/>
    <n v="0"/>
    <n v="0"/>
    <n v="0"/>
    <n v="21"/>
    <n v="0"/>
    <n v="8.4"/>
    <n v="0"/>
    <n v="0"/>
    <n v="0"/>
    <n v="0"/>
    <m/>
    <n v="69"/>
    <n v="71"/>
    <s v="TL143"/>
    <s v="ToyoLiToyoLiToyoLiToyoLiToyoLiToyoLiToyoLiToyoLi"/>
    <s v="+"/>
    <s v="+"/>
    <s v="+"/>
    <s v="+"/>
    <s v="+"/>
    <s v="+"/>
    <s v="+"/>
    <s v="+"/>
    <b v="0"/>
  </r>
  <r>
    <d v="2026-01-28T00:00:00"/>
    <s v="A"/>
    <x v="332"/>
    <s v="TL144"/>
    <n v="5926"/>
    <n v="300700"/>
    <s v="I"/>
    <s v="N"/>
    <n v="0.6"/>
    <s v="BLACK"/>
    <m/>
    <s v="ToyoLi - BLACK"/>
    <m/>
    <n v="0"/>
    <m/>
    <m/>
    <n v="0"/>
    <s v="R92"/>
    <s v="RTMD"/>
    <m/>
    <m/>
    <m/>
    <m/>
    <m/>
    <m/>
    <n v="15"/>
    <n v="0"/>
    <n v="5"/>
    <n v="0"/>
    <m/>
    <n v="0"/>
    <m/>
    <n v="0"/>
    <m/>
    <n v="0"/>
    <m/>
    <n v="0"/>
    <m/>
    <n v="0"/>
    <m/>
    <n v="0"/>
    <s v="ToyoLi"/>
    <n v="25"/>
    <n v="0"/>
    <n v="40.492813141683769"/>
    <n v="0"/>
    <s v="REFLEX BLUE"/>
    <m/>
    <s v="ToyoLi - REFLEX BLUE"/>
    <m/>
    <n v="0"/>
    <m/>
    <m/>
    <n v="0"/>
    <s v="R1205"/>
    <s v="F121"/>
    <s v="R92"/>
    <m/>
    <m/>
    <m/>
    <m/>
    <m/>
    <n v="150"/>
    <n v="0"/>
    <n v="21"/>
    <n v="0"/>
    <n v="6"/>
    <n v="0"/>
    <m/>
    <n v="0"/>
    <m/>
    <n v="0"/>
    <m/>
    <n v="0"/>
    <m/>
    <n v="0"/>
    <m/>
    <n v="0"/>
    <s v="ToyoLi"/>
    <n v="22"/>
    <n v="0"/>
    <n v="352.13552361396307"/>
    <n v="0"/>
    <s v="ORANGE"/>
    <m/>
    <s v="ToyoLi - ORANGE"/>
    <m/>
    <n v="0"/>
    <m/>
    <m/>
    <n v="0"/>
    <s v="F23T"/>
    <s v="F53"/>
    <m/>
    <m/>
    <m/>
    <m/>
    <m/>
    <m/>
    <n v="60"/>
    <n v="0"/>
    <n v="5"/>
    <n v="0"/>
    <m/>
    <n v="0"/>
    <m/>
    <n v="0"/>
    <m/>
    <n v="0"/>
    <m/>
    <n v="0"/>
    <m/>
    <n v="0"/>
    <m/>
    <n v="0"/>
    <s v="ToyoLi"/>
    <n v="23"/>
    <n v="0"/>
    <n v="154.21560574948666"/>
    <n v="0"/>
    <s v="REFLEX BLUE"/>
    <m/>
    <s v="ToyoLi - REFLEX BLUE"/>
    <m/>
    <n v="0"/>
    <m/>
    <m/>
    <n v="0"/>
    <s v="RTMD"/>
    <s v="R39"/>
    <s v="F121"/>
    <s v="R1205"/>
    <m/>
    <m/>
    <m/>
    <m/>
    <n v="120"/>
    <n v="0"/>
    <n v="18"/>
    <n v="0"/>
    <n v="0.3"/>
    <n v="0"/>
    <n v="3.2"/>
    <n v="0"/>
    <m/>
    <n v="0"/>
    <m/>
    <n v="0"/>
    <m/>
    <n v="0"/>
    <m/>
    <n v="0"/>
    <s v="ToyoLi"/>
    <n v="34"/>
    <n v="0"/>
    <n v="319.79979466119096"/>
    <n v="0"/>
    <s v="CYAN"/>
    <m/>
    <s v="ToyoLi - CYAN"/>
    <m/>
    <n v="0"/>
    <m/>
    <m/>
    <n v="0"/>
    <s v="R39"/>
    <s v="RTMD"/>
    <m/>
    <m/>
    <m/>
    <m/>
    <m/>
    <m/>
    <n v="15"/>
    <n v="0"/>
    <n v="5"/>
    <n v="0"/>
    <m/>
    <n v="0"/>
    <m/>
    <n v="0"/>
    <m/>
    <n v="0"/>
    <m/>
    <n v="0"/>
    <m/>
    <n v="0"/>
    <m/>
    <n v="0"/>
    <s v="ToyoLi"/>
    <n v="29"/>
    <n v="0"/>
    <n v="39.525667351129357"/>
    <n v="0"/>
    <s v="MAGENTA"/>
    <m/>
    <s v="ToyoLi - MAGENTA"/>
    <m/>
    <n v="0"/>
    <m/>
    <m/>
    <n v="0"/>
    <s v="F121"/>
    <s v="RTMD"/>
    <m/>
    <m/>
    <m/>
    <m/>
    <m/>
    <m/>
    <n v="20"/>
    <n v="0"/>
    <n v="18"/>
    <n v="0"/>
    <m/>
    <n v="0"/>
    <m/>
    <n v="0"/>
    <m/>
    <n v="0"/>
    <m/>
    <n v="0"/>
    <m/>
    <n v="0"/>
    <m/>
    <n v="0"/>
    <s v="ToyoLi"/>
    <n v="26"/>
    <n v="0"/>
    <n v="99.952772073921977"/>
    <n v="0"/>
    <s v="YELLOW"/>
    <m/>
    <s v="ToyoLi - YELLOW"/>
    <m/>
    <n v="0"/>
    <m/>
    <m/>
    <n v="0"/>
    <s v="F23T"/>
    <s v="RTMD"/>
    <m/>
    <m/>
    <m/>
    <m/>
    <m/>
    <m/>
    <n v="120"/>
    <n v="0"/>
    <n v="28"/>
    <n v="0"/>
    <m/>
    <n v="0"/>
    <m/>
    <n v="0"/>
    <m/>
    <n v="0"/>
    <m/>
    <n v="0"/>
    <m/>
    <n v="0"/>
    <m/>
    <n v="0"/>
    <s v="ToyoLi"/>
    <n v="33"/>
    <n v="0"/>
    <n v="372.79260780287473"/>
    <n v="0"/>
    <s v="WHITE"/>
    <m/>
    <s v="ToyoLi - WHITE"/>
    <m/>
    <n v="0"/>
    <m/>
    <m/>
    <n v="0"/>
    <s v="F640"/>
    <s v="HSLAS"/>
    <m/>
    <m/>
    <m/>
    <m/>
    <m/>
    <m/>
    <n v="320"/>
    <n v="0"/>
    <n v="27.9"/>
    <n v="0"/>
    <m/>
    <n v="0"/>
    <m/>
    <n v="0"/>
    <m/>
    <n v="0"/>
    <m/>
    <n v="0"/>
    <m/>
    <n v="0"/>
    <m/>
    <n v="0"/>
    <s v="ToyoLi"/>
    <n v="29"/>
    <n v="0"/>
    <n v="834.48521560574943"/>
    <n v="0"/>
    <n v="15"/>
    <n v="65"/>
    <n v="37"/>
    <n v="70"/>
    <n v="16"/>
    <n v="29"/>
    <n v="85"/>
    <n v="170"/>
    <n v="0.3"/>
    <m/>
    <m/>
    <n v="0.5"/>
    <n v="0.2"/>
    <n v="0"/>
    <n v="1477"/>
    <n v="0"/>
    <n v="0"/>
    <n v="1477"/>
    <n v="1477"/>
    <n v="443.09999999999997"/>
    <n v="0"/>
    <n v="0"/>
    <n v="0"/>
    <n v="0"/>
    <n v="0"/>
    <n v="738.5"/>
    <n v="0"/>
    <n v="295.40000000000003"/>
    <n v="0"/>
    <n v="0"/>
    <n v="0"/>
    <n v="0"/>
    <m/>
    <n v="957.4"/>
    <n v="2213.4"/>
    <s v="TL144"/>
    <s v="ToyoLiToyoLiToyoLiToyoLiToyoLiToyoLiToyoLiToyoLi"/>
    <s v="+"/>
    <s v="+"/>
    <s v="+"/>
    <s v="+"/>
    <s v="+"/>
    <s v="+"/>
    <s v="+"/>
    <s v="+"/>
    <b v="0"/>
  </r>
  <r>
    <d v="2026-01-24T00:00:00"/>
    <s v="A"/>
    <x v="333"/>
    <n v="187"/>
    <n v="1024"/>
    <n v="53200"/>
    <s v="I"/>
    <s v="N"/>
    <n v="2.11"/>
    <s v="BLACK"/>
    <s v="F00888B"/>
    <s v="FLINTSL - BLACK"/>
    <n v="30"/>
    <n v="0"/>
    <m/>
    <m/>
    <n v="0"/>
    <s v="FMD"/>
    <m/>
    <m/>
    <m/>
    <m/>
    <m/>
    <m/>
    <m/>
    <n v="8"/>
    <n v="0"/>
    <m/>
    <n v="0"/>
    <m/>
    <n v="0"/>
    <m/>
    <n v="0"/>
    <m/>
    <n v="0"/>
    <m/>
    <n v="0"/>
    <m/>
    <n v="0"/>
    <m/>
    <n v="0"/>
    <s v="FLINTSL"/>
    <n v="40"/>
    <n v="0"/>
    <n v="30.252252252252248"/>
    <n v="0"/>
    <s v="RED"/>
    <m/>
    <s v="FLINTSL - RED"/>
    <m/>
    <n v="0"/>
    <m/>
    <m/>
    <n v="0"/>
    <n v="26525000003"/>
    <n v="26524000006"/>
    <n v="26529000011"/>
    <m/>
    <m/>
    <m/>
    <m/>
    <m/>
    <n v="15"/>
    <e v="#N/A"/>
    <n v="1"/>
    <e v="#N/A"/>
    <n v="7"/>
    <e v="#N/A"/>
    <m/>
    <n v="0"/>
    <m/>
    <n v="0"/>
    <m/>
    <n v="0"/>
    <m/>
    <n v="0"/>
    <m/>
    <n v="0"/>
    <s v="FLINTSL"/>
    <n v="25"/>
    <n v="0"/>
    <n v="30.252252252252248"/>
    <n v="0"/>
    <s v="REFLEX BLUE"/>
    <m/>
    <s v="FLINTSL - REFLEX BLUE"/>
    <m/>
    <n v="0"/>
    <m/>
    <m/>
    <n v="0"/>
    <n v="26524000023"/>
    <n v="26524000021"/>
    <m/>
    <m/>
    <m/>
    <m/>
    <m/>
    <m/>
    <n v="40"/>
    <e v="#N/A"/>
    <n v="35"/>
    <e v="#N/A"/>
    <m/>
    <n v="0"/>
    <m/>
    <n v="0"/>
    <m/>
    <n v="0"/>
    <m/>
    <n v="0"/>
    <m/>
    <n v="0"/>
    <m/>
    <n v="0"/>
    <s v="FLINTSL"/>
    <n v="20"/>
    <n v="0"/>
    <n v="55"/>
    <n v="0"/>
    <s v="GREEN"/>
    <s v="G01490G"/>
    <s v="FLINTSL - GREEN"/>
    <n v="23"/>
    <n v="0"/>
    <m/>
    <m/>
    <n v="0"/>
    <n v="2652400000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6"/>
    <n v="0"/>
    <n v="16.126126126126124"/>
    <n v="0"/>
    <s v="MAGENTA"/>
    <s v="F00888M"/>
    <s v="FLINTSL - MAGENTA"/>
    <n v="30"/>
    <n v="0"/>
    <m/>
    <m/>
    <n v="0"/>
    <n v="26524000028"/>
    <s v="FMD"/>
    <m/>
    <m/>
    <m/>
    <m/>
    <m/>
    <m/>
    <n v="7"/>
    <e v="#N/A"/>
    <n v="6"/>
    <n v="0"/>
    <m/>
    <n v="0"/>
    <m/>
    <n v="0"/>
    <m/>
    <n v="0"/>
    <m/>
    <n v="0"/>
    <m/>
    <n v="0"/>
    <m/>
    <n v="0"/>
    <s v="FLINTSL"/>
    <n v="40"/>
    <n v="0"/>
    <n v="35.252252252252248"/>
    <n v="0"/>
    <s v="YELLOW"/>
    <s v="F00888Y"/>
    <s v="FLINTSL - YELLOW"/>
    <n v="27"/>
    <n v="0"/>
    <m/>
    <m/>
    <n v="0"/>
    <n v="26526000035"/>
    <s v="FMD"/>
    <m/>
    <m/>
    <m/>
    <m/>
    <m/>
    <m/>
    <n v="16"/>
    <e v="#N/A"/>
    <n v="10"/>
    <n v="0"/>
    <m/>
    <n v="0"/>
    <m/>
    <n v="0"/>
    <m/>
    <n v="0"/>
    <m/>
    <n v="0"/>
    <m/>
    <n v="0"/>
    <m/>
    <n v="0"/>
    <s v="FLINTSL"/>
    <n v="30"/>
    <n v="0"/>
    <n v="55.252252252252248"/>
    <n v="0"/>
    <s v="YELLOW"/>
    <m/>
    <s v="FLINTSL - YELLOW"/>
    <m/>
    <n v="0"/>
    <m/>
    <m/>
    <n v="0"/>
    <n v="26524000020"/>
    <n v="26524000025"/>
    <n v="26524000024"/>
    <n v="26524000026"/>
    <n v="26524000019"/>
    <n v="26524000022"/>
    <m/>
    <m/>
    <n v="40"/>
    <e v="#N/A"/>
    <n v="40"/>
    <e v="#N/A"/>
    <n v="35"/>
    <e v="#N/A"/>
    <n v="40"/>
    <e v="#N/A"/>
    <n v="40"/>
    <e v="#N/A"/>
    <n v="20"/>
    <e v="#N/A"/>
    <m/>
    <n v="0"/>
    <m/>
    <n v="0"/>
    <s v="FLINTSL"/>
    <n v="28"/>
    <n v="0"/>
    <n v="187"/>
    <n v="0"/>
    <s v="WHITE"/>
    <s v="F00888W"/>
    <s v="FLINTSL - WHITE"/>
    <n v="24"/>
    <n v="0"/>
    <m/>
    <m/>
    <n v="0"/>
    <s v="FW"/>
    <s v="WRK6-028K"/>
    <m/>
    <m/>
    <m/>
    <m/>
    <m/>
    <m/>
    <n v="200"/>
    <n v="0"/>
    <n v="6"/>
    <n v="0"/>
    <m/>
    <n v="0"/>
    <m/>
    <n v="0"/>
    <m/>
    <n v="0"/>
    <m/>
    <n v="0"/>
    <m/>
    <n v="0"/>
    <m/>
    <n v="0"/>
    <s v="FLINTSL"/>
    <n v="30"/>
    <n v="0"/>
    <n v="412.8648648648649"/>
    <n v="0"/>
    <n v="10"/>
    <n v="10"/>
    <n v="0"/>
    <n v="5"/>
    <n v="10"/>
    <n v="10"/>
    <n v="0"/>
    <n v="66"/>
    <n v="0.3"/>
    <m/>
    <m/>
    <n v="0.5"/>
    <n v="0.2"/>
    <n v="0"/>
    <n v="358"/>
    <n v="0"/>
    <n v="0"/>
    <n v="358"/>
    <n v="358"/>
    <n v="107.39999999999999"/>
    <n v="0"/>
    <n v="0"/>
    <n v="0"/>
    <n v="0"/>
    <n v="0"/>
    <n v="179"/>
    <n v="0"/>
    <n v="71.600000000000009"/>
    <n v="0"/>
    <n v="0"/>
    <n v="0"/>
    <n v="0"/>
    <m/>
    <n v="569"/>
    <n v="822"/>
    <n v="187"/>
    <s v="FLINTSLFLINTSLFLINTSLFLINTSLFLINTSLFLINTSLFLINTSLFLINTSL"/>
    <s v="+"/>
    <s v="+"/>
    <s v="+"/>
    <s v="+"/>
    <s v="+"/>
    <s v="+"/>
    <s v="+"/>
    <s v="+"/>
    <b v="0"/>
  </r>
  <r>
    <d v="2026-01-24T00:00:00"/>
    <s v="B"/>
    <x v="282"/>
    <n v="188"/>
    <n v="199"/>
    <n v="8900"/>
    <s v="I"/>
    <s v="N"/>
    <n v="1.2"/>
    <s v="BLACK"/>
    <s v="H01308B"/>
    <s v="FLINTSL - BLACK"/>
    <n v="40"/>
    <n v="0"/>
    <m/>
    <m/>
    <n v="0"/>
    <n v="26526000029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8"/>
    <n v="0"/>
    <n v="7.4146341463414629"/>
    <n v="0"/>
    <s v="GOLD"/>
    <s v="C01511G"/>
    <s v="FLINTSL - GOLD"/>
    <n v="35"/>
    <n v="0"/>
    <m/>
    <m/>
    <n v="0"/>
    <n v="26525000003"/>
    <m/>
    <m/>
    <m/>
    <m/>
    <m/>
    <m/>
    <m/>
    <n v="0.3"/>
    <e v="#N/A"/>
    <m/>
    <n v="0"/>
    <m/>
    <n v="0"/>
    <m/>
    <n v="0"/>
    <m/>
    <n v="0"/>
    <m/>
    <n v="0"/>
    <m/>
    <n v="0"/>
    <m/>
    <n v="0"/>
    <s v="FLINTSL"/>
    <n v="30"/>
    <n v="0"/>
    <n v="8.7146341463414601"/>
    <n v="0"/>
    <s v="RED"/>
    <s v="H01308R"/>
    <s v="FLINTSL - RED"/>
    <n v="25"/>
    <n v="0"/>
    <m/>
    <m/>
    <n v="0"/>
    <s v="FMD"/>
    <n v="26524000028"/>
    <n v="26525000003"/>
    <n v="26529000011"/>
    <m/>
    <m/>
    <m/>
    <m/>
    <n v="5"/>
    <n v="0"/>
    <n v="5"/>
    <e v="#N/A"/>
    <n v="7"/>
    <e v="#N/A"/>
    <n v="10"/>
    <e v="#N/A"/>
    <m/>
    <n v="0"/>
    <m/>
    <n v="0"/>
    <m/>
    <n v="0"/>
    <m/>
    <n v="0"/>
    <s v="FLINTSL"/>
    <n v="33"/>
    <n v="0"/>
    <n v="36.073170731707322"/>
    <n v="0"/>
    <s v="CYAN"/>
    <s v="C01511C"/>
    <s v="FLINTSL - CYAN"/>
    <n v="26"/>
    <n v="0"/>
    <m/>
    <m/>
    <n v="0"/>
    <n v="26523000026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4.4146341463414629"/>
    <n v="0"/>
    <s v="MAGENTA"/>
    <s v="H01308M"/>
    <s v="FLINTSL - MAGENTA"/>
    <n v="40"/>
    <n v="0"/>
    <m/>
    <m/>
    <n v="0"/>
    <n v="2652400002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8"/>
    <n v="0"/>
    <n v="9.1219512195121979"/>
    <n v="0"/>
    <s v="YELLOW"/>
    <s v="H01308Y"/>
    <s v="FLINTSL - YELLOW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0"/>
    <n v="4.4146341463414629"/>
    <n v="0"/>
    <s v="WHITE"/>
    <s v="H01308W"/>
    <s v="FLINTSL - WHITE"/>
    <n v="30"/>
    <n v="0"/>
    <m/>
    <m/>
    <n v="0"/>
    <s v="FW"/>
    <m/>
    <m/>
    <m/>
    <m/>
    <m/>
    <m/>
    <m/>
    <n v="30"/>
    <n v="0"/>
    <m/>
    <n v="0"/>
    <m/>
    <n v="0"/>
    <m/>
    <n v="0"/>
    <m/>
    <n v="0"/>
    <m/>
    <n v="0"/>
    <m/>
    <n v="0"/>
    <m/>
    <n v="0"/>
    <s v="FLINTSL"/>
    <n v="30"/>
    <n v="0"/>
    <n v="64.14634146341464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10"/>
    <n v="2"/>
    <n v="3"/>
    <n v="2"/>
    <n v="20"/>
    <n v="0"/>
    <n v="0.8"/>
    <n v="0.2"/>
    <m/>
    <m/>
    <m/>
    <n v="0"/>
    <n v="70"/>
    <n v="0"/>
    <n v="0"/>
    <n v="70"/>
    <n v="70"/>
    <n v="56"/>
    <n v="0"/>
    <n v="14"/>
    <n v="0"/>
    <n v="0"/>
    <n v="0"/>
    <n v="0"/>
    <n v="0"/>
    <n v="0"/>
    <n v="0"/>
    <n v="0"/>
    <n v="0"/>
    <n v="0"/>
    <m/>
    <n v="66.3"/>
    <n v="134.30000000000001"/>
    <n v="188"/>
    <s v="FLINTSLFLINTSLFLINTSLFLINTSLFLINTSLFLINTSLFLINTSL"/>
    <s v="+"/>
    <s v="+"/>
    <s v="+"/>
    <s v="+"/>
    <s v="+"/>
    <s v="+"/>
    <s v="+"/>
    <s v="NIL"/>
    <b v="0"/>
  </r>
  <r>
    <d v="2026-01-24T00:00:00"/>
    <s v="B"/>
    <x v="334"/>
    <n v="189"/>
    <n v="479"/>
    <n v="25600"/>
    <s v="I"/>
    <s v="N"/>
    <n v="2"/>
    <s v="BLACK"/>
    <s v="C01511B"/>
    <s v="FLINTSL - BLACK"/>
    <n v="3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5"/>
    <n v="0"/>
    <n v="10"/>
    <n v="0"/>
    <s v="ORANGE"/>
    <m/>
    <s v="FLINTSL - ORANGE"/>
    <m/>
    <n v="0"/>
    <m/>
    <m/>
    <n v="0"/>
    <n v="26524000030"/>
    <n v="26524000029"/>
    <n v="26524000031"/>
    <n v="26525000022"/>
    <m/>
    <m/>
    <m/>
    <m/>
    <n v="40"/>
    <e v="#N/A"/>
    <n v="40"/>
    <e v="#N/A"/>
    <n v="20"/>
    <e v="#N/A"/>
    <n v="15"/>
    <e v="#N/A"/>
    <m/>
    <n v="0"/>
    <m/>
    <n v="0"/>
    <m/>
    <n v="0"/>
    <m/>
    <n v="0"/>
    <s v="FLINTSL"/>
    <n v="18"/>
    <n v="0"/>
    <n v="118"/>
    <n v="0"/>
    <s v="YELLOW"/>
    <s v="H01308Y"/>
    <s v="FLINTSL - YELLOW"/>
    <n v="28"/>
    <n v="0"/>
    <m/>
    <m/>
    <n v="0"/>
    <n v="26525000014"/>
    <n v="26525000003"/>
    <m/>
    <m/>
    <m/>
    <m/>
    <m/>
    <m/>
    <n v="5"/>
    <e v="#N/A"/>
    <n v="0.3"/>
    <e v="#N/A"/>
    <m/>
    <n v="0"/>
    <m/>
    <n v="0"/>
    <m/>
    <n v="0"/>
    <m/>
    <n v="0"/>
    <m/>
    <n v="0"/>
    <m/>
    <n v="0"/>
    <s v="FLINTSL"/>
    <n v="24"/>
    <n v="0"/>
    <n v="23.299999999999997"/>
    <n v="0"/>
    <s v="CYAN"/>
    <s v="C01511C"/>
    <s v="FLINTSL - CYAN"/>
    <n v="30"/>
    <n v="0"/>
    <m/>
    <m/>
    <n v="0"/>
    <n v="2652300002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9"/>
    <n v="0"/>
    <n v="13.5"/>
    <n v="0"/>
    <s v="MAGENTA"/>
    <s v="C01511M"/>
    <s v="FLINTSL - MAGENTA"/>
    <n v="3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6"/>
    <n v="0"/>
    <n v="5.5"/>
    <n v="0"/>
    <s v="YELLOW"/>
    <s v="C01511Y"/>
    <s v="FLINTSL - YELLOW"/>
    <n v="29"/>
    <n v="0"/>
    <m/>
    <m/>
    <n v="0"/>
    <n v="26526000035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30"/>
    <n v="0"/>
    <n v="14"/>
    <n v="0"/>
    <s v="WHITE"/>
    <s v="C01511W"/>
    <s v="FLINTSL - WHITE"/>
    <n v="3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16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"/>
    <n v="4"/>
    <n v="3"/>
    <n v="1"/>
    <n v="2"/>
    <n v="30"/>
    <n v="0"/>
    <n v="0.8"/>
    <n v="0.2"/>
    <m/>
    <m/>
    <m/>
    <n v="0"/>
    <n v="168"/>
    <n v="0"/>
    <n v="0"/>
    <n v="168"/>
    <n v="168"/>
    <n v="134.4"/>
    <n v="0"/>
    <n v="33.6"/>
    <n v="0"/>
    <n v="0"/>
    <n v="0"/>
    <n v="0"/>
    <n v="0"/>
    <n v="0"/>
    <n v="0"/>
    <n v="0"/>
    <n v="0"/>
    <n v="0"/>
    <m/>
    <n v="190.3"/>
    <n v="349.3"/>
    <n v="189"/>
    <s v="FLINTSLFLINTSLFLINTSLFLINTSLFLINTSLFLINTSLFLINTSL"/>
    <s v="+"/>
    <s v="+"/>
    <s v="+"/>
    <s v="+"/>
    <s v="+"/>
    <s v="+"/>
    <s v="+"/>
    <s v="NIL"/>
    <b v="0"/>
  </r>
  <r>
    <d v="2026-01-24T00:00:00"/>
    <s v="B"/>
    <x v="335"/>
    <n v="190"/>
    <n v="504"/>
    <n v="26800"/>
    <s v="I"/>
    <s v="N"/>
    <n v="2.1"/>
    <s v="BLACK"/>
    <s v="H01388B"/>
    <s v="FLINTSL - BLACK"/>
    <n v="35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0"/>
    <n v="5"/>
    <n v="0"/>
    <s v="RED"/>
    <s v="C01511R"/>
    <s v="FLINTSL - RED"/>
    <n v="33"/>
    <n v="0"/>
    <m/>
    <m/>
    <n v="0"/>
    <n v="26525000001"/>
    <n v="26524000028"/>
    <n v="26525000022"/>
    <m/>
    <m/>
    <m/>
    <m/>
    <m/>
    <n v="40"/>
    <e v="#N/A"/>
    <n v="6"/>
    <e v="#N/A"/>
    <n v="4"/>
    <e v="#N/A"/>
    <m/>
    <n v="0"/>
    <m/>
    <n v="0"/>
    <m/>
    <n v="0"/>
    <m/>
    <n v="0"/>
    <m/>
    <n v="0"/>
    <s v="FLINTSL"/>
    <n v="27"/>
    <n v="0"/>
    <n v="74.414634146341456"/>
    <n v="0"/>
    <s v="REFLEX BLUE"/>
    <s v="E01026B"/>
    <s v="FLINTSL - REFLEX BLUE"/>
    <n v="17"/>
    <n v="0"/>
    <s v="C01507B"/>
    <n v="10"/>
    <n v="0"/>
    <n v="26525000002"/>
    <n v="26524000028"/>
    <m/>
    <m/>
    <m/>
    <m/>
    <m/>
    <m/>
    <n v="6"/>
    <e v="#N/A"/>
    <n v="1"/>
    <e v="#N/A"/>
    <m/>
    <n v="0"/>
    <m/>
    <n v="0"/>
    <m/>
    <n v="0"/>
    <m/>
    <n v="0"/>
    <m/>
    <n v="0"/>
    <m/>
    <n v="0"/>
    <s v="FLINTSL"/>
    <n v="28"/>
    <n v="0"/>
    <n v="17.048780487804876"/>
    <n v="0"/>
    <s v="CYAN"/>
    <s v="H01388C"/>
    <s v="FLINTSL - CYAN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4.6829268292682897"/>
    <n v="0"/>
    <s v="MAGENTA"/>
    <s v="H01388M"/>
    <s v="FLINTSL - MAGENTA"/>
    <n v="36"/>
    <n v="0"/>
    <m/>
    <m/>
    <n v="0"/>
    <n v="2652400002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3"/>
    <n v="0"/>
    <n v="6.8414634146341484"/>
    <n v="0"/>
    <s v="YELLOW"/>
    <s v="H01388Y"/>
    <s v="FLINTSL - YELLOW"/>
    <n v="30"/>
    <n v="0"/>
    <m/>
    <m/>
    <n v="0"/>
    <n v="2652600003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7.5243902439024382"/>
    <n v="0"/>
    <s v="WHITE"/>
    <s v="H01388W"/>
    <s v="FLINTSL - WHITE"/>
    <n v="30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210.4878048780487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0"/>
    <n v="10"/>
    <n v="6"/>
    <n v="2"/>
    <n v="1"/>
    <n v="3"/>
    <n v="60"/>
    <n v="0"/>
    <n v="0.8"/>
    <n v="0.2"/>
    <m/>
    <m/>
    <m/>
    <n v="0"/>
    <n v="151"/>
    <n v="0"/>
    <n v="0"/>
    <n v="151"/>
    <n v="151"/>
    <n v="120.80000000000001"/>
    <n v="0"/>
    <n v="30.200000000000003"/>
    <n v="0"/>
    <n v="0"/>
    <n v="0"/>
    <n v="0"/>
    <n v="0"/>
    <n v="0"/>
    <n v="0"/>
    <n v="0"/>
    <n v="0"/>
    <n v="0"/>
    <m/>
    <n v="161"/>
    <n v="326"/>
    <n v="190"/>
    <s v="FLINTSLFLINTSLFLINTSLFLINTSLFLINTSLFLINTSLFLINTSL"/>
    <s v="+"/>
    <s v="+"/>
    <s v="+"/>
    <s v="+"/>
    <s v="+"/>
    <s v="+"/>
    <s v="+"/>
    <s v="NIL"/>
    <b v="0"/>
  </r>
  <r>
    <d v="2026-01-24T00:00:00"/>
    <s v="B"/>
    <x v="336"/>
    <n v="191"/>
    <n v="299"/>
    <n v="10000"/>
    <s v="I"/>
    <s v="N"/>
    <n v="2"/>
    <s v="BLACK"/>
    <s v="F00890B"/>
    <s v="FLINTSL - BLACK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0"/>
    <n v="2.8571428571428541"/>
    <n v="0"/>
    <s v="BLACK"/>
    <s v="F00888B"/>
    <s v="FLINTSL - BLACK"/>
    <n v="23"/>
    <n v="0"/>
    <s v="B01055B"/>
    <n v="20"/>
    <n v="0"/>
    <n v="26526000035"/>
    <n v="26524000028"/>
    <n v="26525000002"/>
    <n v="26526000029"/>
    <m/>
    <m/>
    <m/>
    <m/>
    <n v="4"/>
    <e v="#N/A"/>
    <n v="5"/>
    <e v="#N/A"/>
    <n v="5"/>
    <e v="#N/A"/>
    <n v="2"/>
    <e v="#N/A"/>
    <m/>
    <n v="0"/>
    <m/>
    <n v="0"/>
    <m/>
    <n v="0"/>
    <m/>
    <n v="0"/>
    <s v="FLINTSL"/>
    <n v="30"/>
    <n v="0"/>
    <n v="43.285714285714278"/>
    <n v="0"/>
    <s v="RED"/>
    <s v="F00890R"/>
    <s v="FLINTSL - RED"/>
    <n v="28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9"/>
    <n v="0"/>
    <n v="4.8571428571428541"/>
    <n v="0"/>
    <s v="CYAN"/>
    <s v="F00890C"/>
    <s v="FLINTSL - CYAN"/>
    <n v="28"/>
    <n v="0"/>
    <m/>
    <m/>
    <n v="0"/>
    <n v="26523000028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7"/>
    <n v="0"/>
    <n v="7.8571428571428541"/>
    <n v="0"/>
    <s v="MAGENTA"/>
    <s v="F00890M"/>
    <s v="FLINTSL - MAGENTA"/>
    <n v="33"/>
    <n v="0"/>
    <m/>
    <m/>
    <n v="0"/>
    <n v="26524000028"/>
    <n v="26525000002"/>
    <m/>
    <m/>
    <m/>
    <m/>
    <m/>
    <m/>
    <n v="2"/>
    <e v="#N/A"/>
    <n v="0.3"/>
    <e v="#N/A"/>
    <m/>
    <n v="0"/>
    <m/>
    <n v="0"/>
    <m/>
    <n v="0"/>
    <m/>
    <n v="0"/>
    <m/>
    <n v="0"/>
    <m/>
    <n v="0"/>
    <s v="FLINTSL"/>
    <n v="29"/>
    <n v="0"/>
    <n v="9.1571428571428513"/>
    <n v="0"/>
    <s v="YELLOW"/>
    <s v="F00890Y"/>
    <s v="FLINTSL - YELLOW"/>
    <n v="30"/>
    <n v="0"/>
    <m/>
    <m/>
    <n v="0"/>
    <n v="26527000009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9"/>
    <n v="0"/>
    <n v="12.714285714285715"/>
    <n v="0"/>
    <s v="WHITE"/>
    <s v="F00890W"/>
    <s v="FLINTSL - WHITE"/>
    <n v="30"/>
    <n v="0"/>
    <m/>
    <m/>
    <n v="0"/>
    <s v="FW"/>
    <m/>
    <m/>
    <m/>
    <m/>
    <m/>
    <m/>
    <m/>
    <n v="30"/>
    <n v="0"/>
    <m/>
    <n v="0"/>
    <m/>
    <n v="0"/>
    <m/>
    <n v="0"/>
    <m/>
    <n v="0"/>
    <m/>
    <n v="0"/>
    <m/>
    <n v="0"/>
    <m/>
    <n v="0"/>
    <s v="FLINTSL"/>
    <n v="30"/>
    <n v="0"/>
    <n v="58.57142857142856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2"/>
    <n v="2"/>
    <n v="2"/>
    <n v="4"/>
    <n v="20"/>
    <n v="0"/>
    <n v="0.8"/>
    <n v="0.2"/>
    <m/>
    <m/>
    <m/>
    <n v="0"/>
    <n v="60"/>
    <n v="0"/>
    <n v="0"/>
    <n v="60"/>
    <n v="60"/>
    <n v="48"/>
    <n v="0"/>
    <n v="12"/>
    <n v="0"/>
    <n v="0"/>
    <n v="0"/>
    <n v="0"/>
    <n v="0"/>
    <n v="0"/>
    <n v="0"/>
    <n v="0"/>
    <n v="0"/>
    <n v="0"/>
    <m/>
    <n v="61.3"/>
    <n v="139.29999999999995"/>
    <n v="191"/>
    <s v="FLINTSLFLINTSLFLINTSLFLINTSLFLINTSLFLINTSLFLINTSL"/>
    <s v="+"/>
    <s v="+"/>
    <s v="+"/>
    <s v="+"/>
    <s v="+"/>
    <s v="+"/>
    <s v="+"/>
    <s v="NIL"/>
    <b v="0"/>
  </r>
  <r>
    <d v="2026-01-24T00:00:00"/>
    <s v="B"/>
    <x v="337"/>
    <n v="192"/>
    <n v="402"/>
    <n v="23600"/>
    <s v="I"/>
    <s v="N"/>
    <n v="0.65"/>
    <s v="BLACK"/>
    <s v="C01448B"/>
    <s v="FLINTSL - BLACK"/>
    <n v="30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30"/>
    <n v="0"/>
    <n v="7.1063829787234027"/>
    <n v="0"/>
    <s v="RED"/>
    <s v="C01448R"/>
    <s v="FLINTSL - RED"/>
    <n v="29"/>
    <n v="0"/>
    <m/>
    <m/>
    <n v="0"/>
    <n v="26524000028"/>
    <n v="26526000027"/>
    <m/>
    <m/>
    <m/>
    <m/>
    <m/>
    <m/>
    <n v="6"/>
    <e v="#N/A"/>
    <n v="11"/>
    <e v="#N/A"/>
    <m/>
    <n v="0"/>
    <m/>
    <n v="0"/>
    <m/>
    <n v="0"/>
    <m/>
    <n v="0"/>
    <m/>
    <n v="0"/>
    <m/>
    <n v="0"/>
    <s v="FLINTSL"/>
    <n v="30"/>
    <n v="0"/>
    <n v="26.212765957446805"/>
    <n v="0"/>
    <s v="GREEN"/>
    <s v="J00967G"/>
    <s v="FLINTSL - GREEN"/>
    <n v="27"/>
    <n v="0"/>
    <m/>
    <m/>
    <n v="0"/>
    <n v="26525000002"/>
    <n v="26526000029"/>
    <m/>
    <m/>
    <m/>
    <m/>
    <m/>
    <m/>
    <n v="4"/>
    <e v="#N/A"/>
    <n v="1.5"/>
    <e v="#N/A"/>
    <m/>
    <n v="0"/>
    <m/>
    <n v="0"/>
    <m/>
    <n v="0"/>
    <m/>
    <n v="0"/>
    <m/>
    <n v="0"/>
    <m/>
    <n v="0"/>
    <s v="FLINTSL"/>
    <n v="37"/>
    <n v="0"/>
    <n v="2.3085106382978751"/>
    <n v="0"/>
    <s v="CYAN"/>
    <s v="C01448C"/>
    <s v="FLINTSL - CYAN"/>
    <n v="27"/>
    <n v="0"/>
    <m/>
    <m/>
    <n v="0"/>
    <n v="2652300002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0.70212765957446877"/>
    <n v="0"/>
    <s v="MAGENTA"/>
    <s v="C01448M"/>
    <s v="FLINTSL - MAGENTA"/>
    <n v="29"/>
    <n v="0"/>
    <m/>
    <m/>
    <n v="0"/>
    <n v="26524000028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0"/>
    <n v="0"/>
    <n v="4.7021276595744652"/>
    <n v="0"/>
    <s v="YELLOW"/>
    <s v="C01448Y"/>
    <s v="FLINTSL - YELLOW"/>
    <n v="29"/>
    <n v="0"/>
    <m/>
    <m/>
    <n v="0"/>
    <n v="26525000014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4.4042553191489375"/>
    <n v="0"/>
    <s v="WHITE"/>
    <s v="C01448W"/>
    <s v="FLINTSL - WHITE"/>
    <n v="3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24"/>
    <n v="0"/>
    <n v="107.0638297872340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6"/>
    <n v="4"/>
    <n v="1"/>
    <n v="1"/>
    <n v="2"/>
    <n v="30"/>
    <n v="0"/>
    <n v="0.8"/>
    <n v="0.2"/>
    <m/>
    <m/>
    <m/>
    <n v="0"/>
    <n v="80"/>
    <n v="0"/>
    <n v="0"/>
    <n v="80"/>
    <n v="80"/>
    <n v="64"/>
    <n v="0"/>
    <n v="16"/>
    <n v="0"/>
    <n v="0"/>
    <n v="0"/>
    <n v="0"/>
    <n v="0"/>
    <n v="0"/>
    <n v="0"/>
    <n v="0"/>
    <n v="0"/>
    <n v="0"/>
    <m/>
    <n v="82.5"/>
    <n v="152.5"/>
    <n v="192"/>
    <s v="FLINTSLFLINTSLFLINTSLFLINTSLFLINTSLFLINTSLFLINTSL"/>
    <s v="+"/>
    <s v="+"/>
    <s v="+"/>
    <s v="+"/>
    <s v="+"/>
    <s v="+"/>
    <s v="+"/>
    <s v="NIL"/>
    <b v="0"/>
  </r>
  <r>
    <d v="2026-01-25T00:00:00"/>
    <s v="B"/>
    <x v="338"/>
    <n v="193"/>
    <n v="406"/>
    <n v="19900"/>
    <s v="I"/>
    <s v="N"/>
    <n v="0.74"/>
    <s v="BLACK"/>
    <s v="C01522B"/>
    <s v="FLINTSL - BLACK"/>
    <n v="30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30"/>
    <n v="0"/>
    <n v="12.228070175438596"/>
    <n v="0"/>
    <s v="RED"/>
    <s v="C01522R"/>
    <s v="FLINTSL - RED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0"/>
    <n v="7.2280701754385959"/>
    <n v="0"/>
    <s v="GREEN"/>
    <s v="C01522G"/>
    <s v="FLINTSL - GREEN"/>
    <n v="3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6"/>
    <n v="0"/>
    <n v="3.4912280701754383"/>
    <n v="0"/>
    <s v="REFLEX BLUE"/>
    <m/>
    <s v="FLINTSL - REFLEX BLUE"/>
    <m/>
    <n v="0"/>
    <m/>
    <m/>
    <n v="0"/>
    <n v="26526000026"/>
    <s v="FMD"/>
    <n v="26523000017"/>
    <n v="26525000002"/>
    <m/>
    <m/>
    <m/>
    <m/>
    <n v="10"/>
    <e v="#N/A"/>
    <n v="25"/>
    <n v="0"/>
    <n v="1"/>
    <e v="#N/A"/>
    <n v="1"/>
    <e v="#N/A"/>
    <m/>
    <n v="0"/>
    <m/>
    <n v="0"/>
    <m/>
    <n v="0"/>
    <m/>
    <n v="0"/>
    <s v="FLINTSL"/>
    <n v="25"/>
    <n v="0"/>
    <n v="30.684210526315788"/>
    <n v="0"/>
    <s v="CYAN"/>
    <s v="C01522C"/>
    <s v="FLINTSL - CYAN"/>
    <n v="30"/>
    <n v="0"/>
    <m/>
    <m/>
    <n v="0"/>
    <n v="26523000028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0"/>
    <n v="0"/>
    <n v="10.228070175438596"/>
    <n v="0"/>
    <s v="MAGENTA"/>
    <s v="C01522M"/>
    <s v="FLINTSL - MAGENTA"/>
    <n v="30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9"/>
    <n v="0"/>
    <n v="11.228070175438596"/>
    <n v="0"/>
    <s v="YELLOW"/>
    <s v="C01522Y"/>
    <s v="FLINTSL - YELLOW"/>
    <n v="30"/>
    <n v="0"/>
    <m/>
    <m/>
    <n v="0"/>
    <n v="26525000014"/>
    <s v="FMD"/>
    <m/>
    <m/>
    <m/>
    <m/>
    <m/>
    <m/>
    <n v="3"/>
    <e v="#N/A"/>
    <n v="4"/>
    <n v="0"/>
    <m/>
    <n v="0"/>
    <m/>
    <n v="0"/>
    <m/>
    <n v="0"/>
    <m/>
    <n v="0"/>
    <m/>
    <n v="0"/>
    <m/>
    <n v="0"/>
    <s v="FLINTSL"/>
    <n v="30"/>
    <n v="0"/>
    <n v="13.228070175438596"/>
    <n v="0"/>
    <s v="WHITE"/>
    <s v="C01522W"/>
    <s v="FLINTSL - WHITE"/>
    <n v="29"/>
    <n v="0"/>
    <m/>
    <m/>
    <n v="0"/>
    <s v="FW"/>
    <m/>
    <m/>
    <m/>
    <m/>
    <m/>
    <m/>
    <m/>
    <n v="25"/>
    <n v="0"/>
    <m/>
    <n v="0"/>
    <m/>
    <n v="0"/>
    <m/>
    <n v="0"/>
    <m/>
    <n v="0"/>
    <m/>
    <n v="0"/>
    <m/>
    <n v="0"/>
    <m/>
    <n v="0"/>
    <s v="FLINTSL"/>
    <n v="24"/>
    <n v="0"/>
    <n v="48.68421052631578"/>
    <n v="0"/>
    <n v="5"/>
    <n v="5"/>
    <n v="2"/>
    <n v="15"/>
    <n v="5"/>
    <n v="5"/>
    <n v="5"/>
    <n v="15"/>
    <n v="0.8"/>
    <n v="0.2"/>
    <m/>
    <m/>
    <m/>
    <n v="0"/>
    <n v="71"/>
    <n v="0"/>
    <n v="0"/>
    <n v="71"/>
    <n v="71"/>
    <n v="56.800000000000004"/>
    <n v="0"/>
    <n v="14.200000000000001"/>
    <n v="0"/>
    <n v="0"/>
    <n v="0"/>
    <n v="0"/>
    <n v="0"/>
    <n v="0"/>
    <n v="0"/>
    <n v="0"/>
    <n v="0"/>
    <n v="0"/>
    <m/>
    <n v="83"/>
    <n v="137"/>
    <n v="193"/>
    <s v="FLINTSLFLINTSLFLINTSLFLINTSLFLINTSLFLINTSLFLINTSLFLINTSL"/>
    <s v="+"/>
    <s v="+"/>
    <s v="+"/>
    <s v="+"/>
    <s v="+"/>
    <s v="+"/>
    <s v="+"/>
    <s v="+"/>
    <b v="0"/>
  </r>
  <r>
    <d v="2026-01-25T00:00:00"/>
    <s v="B"/>
    <x v="339"/>
    <n v="194"/>
    <n v="404"/>
    <n v="19800"/>
    <s v="I"/>
    <s v="N"/>
    <n v="1.23"/>
    <s v="BLACK"/>
    <s v="C01522B"/>
    <s v="FLINTSL - BLACK"/>
    <n v="20"/>
    <n v="0"/>
    <m/>
    <m/>
    <n v="0"/>
    <n v="26526000029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9"/>
    <n v="0"/>
    <n v="16.512820512820511"/>
    <n v="0"/>
    <s v="BLACK"/>
    <s v="H01358B"/>
    <s v="FLINTSL - BLACK"/>
    <n v="19"/>
    <n v="0"/>
    <m/>
    <m/>
    <n v="0"/>
    <n v="26526000026"/>
    <n v="26527000009"/>
    <m/>
    <m/>
    <m/>
    <m/>
    <m/>
    <m/>
    <n v="4"/>
    <e v="#N/A"/>
    <n v="2"/>
    <e v="#N/A"/>
    <m/>
    <n v="0"/>
    <m/>
    <n v="0"/>
    <m/>
    <n v="0"/>
    <m/>
    <n v="0"/>
    <m/>
    <n v="0"/>
    <m/>
    <n v="0"/>
    <s v="FLINTSL"/>
    <n v="25"/>
    <n v="0"/>
    <n v="7.7564102564102555"/>
    <n v="0"/>
    <s v="RED"/>
    <s v="C01522R"/>
    <s v="FLINTSL - RED"/>
    <n v="29"/>
    <n v="0"/>
    <s v="F00888R"/>
    <n v="30"/>
    <n v="0"/>
    <n v="26526000027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5"/>
    <n v="0"/>
    <n v="56.410256410256409"/>
    <n v="0"/>
    <s v="GREEN"/>
    <s v="N00892G"/>
    <s v="FLINTSL - GREEN"/>
    <n v="24"/>
    <n v="0"/>
    <m/>
    <m/>
    <n v="0"/>
    <n v="26523000028"/>
    <n v="26527000009"/>
    <m/>
    <m/>
    <m/>
    <m/>
    <m/>
    <m/>
    <n v="4"/>
    <e v="#N/A"/>
    <n v="6"/>
    <e v="#N/A"/>
    <m/>
    <n v="0"/>
    <m/>
    <n v="0"/>
    <m/>
    <n v="0"/>
    <m/>
    <n v="0"/>
    <m/>
    <n v="0"/>
    <m/>
    <n v="0"/>
    <s v="FLINTSL"/>
    <n v="30"/>
    <n v="0"/>
    <n v="11.756410256410255"/>
    <n v="0"/>
    <s v="CYAN"/>
    <s v="C01522CV"/>
    <s v="FLINTSL - CYAN"/>
    <n v="30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31"/>
    <n v="0"/>
    <n v="10.756410256410255"/>
    <n v="0"/>
    <s v="MAGENTA"/>
    <s v="C01522M"/>
    <s v="FLINTSL - MAGENTA"/>
    <n v="29"/>
    <n v="0"/>
    <m/>
    <m/>
    <n v="0"/>
    <n v="26526000026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0"/>
    <n v="0"/>
    <n v="10.756410256410255"/>
    <n v="0"/>
    <s v="YELLOW"/>
    <s v="C01522Y"/>
    <s v="FLINTSL - YELLOW"/>
    <n v="30"/>
    <n v="0"/>
    <m/>
    <m/>
    <n v="0"/>
    <n v="26527000009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4"/>
    <n v="0"/>
    <n v="19.756410256410255"/>
    <n v="0"/>
    <s v="WHITE"/>
    <s v="C01522W"/>
    <s v="FLINTSL - WHITE"/>
    <n v="24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4"/>
    <n v="0"/>
    <n v="114.2948717948718"/>
    <n v="0"/>
    <n v="10"/>
    <n v="5"/>
    <n v="8"/>
    <n v="5"/>
    <n v="5"/>
    <n v="5"/>
    <n v="5"/>
    <n v="35"/>
    <n v="0.8"/>
    <n v="0.2"/>
    <m/>
    <m/>
    <m/>
    <n v="0"/>
    <n v="121"/>
    <n v="0"/>
    <n v="0"/>
    <n v="121"/>
    <n v="121"/>
    <n v="96.800000000000011"/>
    <n v="0"/>
    <n v="24.200000000000003"/>
    <n v="0"/>
    <n v="0"/>
    <n v="0"/>
    <n v="0"/>
    <n v="0"/>
    <n v="0"/>
    <n v="0"/>
    <n v="0"/>
    <n v="0"/>
    <n v="0"/>
    <m/>
    <n v="110"/>
    <n v="247.99999999999997"/>
    <n v="194"/>
    <s v="FLINTSLFLINTSLFLINTSLFLINTSLFLINTSLFLINTSLFLINTSLFLINTSL"/>
    <s v="+"/>
    <s v="+"/>
    <s v="+"/>
    <s v="+"/>
    <s v="+"/>
    <s v="+"/>
    <s v="+"/>
    <s v="+"/>
    <b v="0"/>
  </r>
  <r>
    <d v="2026-01-25T00:00:00"/>
    <s v="B"/>
    <x v="340"/>
    <n v="195"/>
    <n v="6267"/>
    <n v="322700"/>
    <s v="II"/>
    <s v="N"/>
    <n v="1.54"/>
    <s v="BLACK"/>
    <s v="C01520B"/>
    <s v="FLINTSL - BLACK"/>
    <n v="29"/>
    <n v="0"/>
    <s v="F00870B"/>
    <n v="30"/>
    <n v="0"/>
    <n v="26526000029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0"/>
    <n v="0"/>
    <n v="80.25"/>
    <n v="0"/>
    <s v="REFLEX BLUE"/>
    <s v="C01520R"/>
    <s v="FLINTSL - REFLEX BLUE"/>
    <n v="10"/>
    <n v="0"/>
    <m/>
    <m/>
    <n v="0"/>
    <n v="26525000006"/>
    <n v="26524000018"/>
    <m/>
    <m/>
    <m/>
    <m/>
    <m/>
    <m/>
    <n v="13"/>
    <e v="#N/A"/>
    <n v="20"/>
    <e v="#N/A"/>
    <m/>
    <n v="0"/>
    <m/>
    <n v="0"/>
    <m/>
    <n v="0"/>
    <m/>
    <n v="0"/>
    <m/>
    <n v="0"/>
    <m/>
    <n v="0"/>
    <s v="FLINTSL"/>
    <n v="22"/>
    <n v="0"/>
    <n v="55.375"/>
    <n v="0"/>
    <s v="RED"/>
    <m/>
    <m/>
    <m/>
    <n v="0"/>
    <m/>
    <m/>
    <n v="0"/>
    <n v="26525000013"/>
    <n v="26525000010"/>
    <n v="26525000009"/>
    <n v="26525000007"/>
    <n v="26527000022"/>
    <n v="26527000012"/>
    <n v="26526000012"/>
    <n v="26526000008"/>
    <n v="40"/>
    <e v="#N/A"/>
    <n v="30"/>
    <e v="#N/A"/>
    <n v="40"/>
    <e v="#N/A"/>
    <n v="40"/>
    <e v="#N/A"/>
    <n v="26"/>
    <e v="#N/A"/>
    <n v="30"/>
    <e v="#N/A"/>
    <n v="100"/>
    <e v="#N/A"/>
    <n v="50"/>
    <e v="#N/A"/>
    <s v="FLINTSL"/>
    <n v="35"/>
    <n v="0"/>
    <n v="352.25"/>
    <n v="0"/>
    <s v="GREEN"/>
    <s v="C01520G"/>
    <s v="FLINTSL - GREEN"/>
    <n v="30"/>
    <n v="0"/>
    <m/>
    <m/>
    <n v="0"/>
    <n v="26526000029"/>
    <n v="26523000028"/>
    <m/>
    <m/>
    <m/>
    <m/>
    <m/>
    <m/>
    <n v="1"/>
    <e v="#N/A"/>
    <n v="2"/>
    <e v="#N/A"/>
    <m/>
    <n v="0"/>
    <m/>
    <n v="0"/>
    <m/>
    <n v="0"/>
    <m/>
    <n v="0"/>
    <m/>
    <n v="0"/>
    <m/>
    <n v="0"/>
    <s v="FLINTSL"/>
    <n v="28"/>
    <n v="0"/>
    <n v="14.375"/>
    <n v="0"/>
    <s v="CYAN"/>
    <s v="C01520C"/>
    <s v="FLINTSL - CYAN"/>
    <n v="31"/>
    <n v="0"/>
    <s v="H01205C"/>
    <n v="25"/>
    <n v="0"/>
    <n v="26523000028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5"/>
    <n v="0"/>
    <n v="72.25"/>
    <n v="0"/>
    <s v="MAGENTA"/>
    <s v="C01520M"/>
    <s v="FLINTSL - MAGENTA"/>
    <n v="30"/>
    <n v="0"/>
    <m/>
    <m/>
    <n v="0"/>
    <n v="26527000022"/>
    <s v="FMD"/>
    <m/>
    <m/>
    <m/>
    <m/>
    <m/>
    <m/>
    <n v="25"/>
    <e v="#N/A"/>
    <n v="14"/>
    <n v="0"/>
    <m/>
    <n v="0"/>
    <m/>
    <n v="0"/>
    <m/>
    <n v="0"/>
    <m/>
    <n v="0"/>
    <m/>
    <n v="0"/>
    <m/>
    <n v="0"/>
    <s v="FLINTSL"/>
    <n v="24"/>
    <n v="0"/>
    <n v="107.5"/>
    <n v="0"/>
    <s v="YELLOW"/>
    <s v="C01520Y"/>
    <s v="FLINTSL - YELLOW"/>
    <n v="24"/>
    <n v="0"/>
    <s v="H01205Y"/>
    <n v="32"/>
    <n v="0"/>
    <n v="26525000008"/>
    <n v="26527000009"/>
    <s v="FMD"/>
    <n v="26525000021"/>
    <n v="26525000019"/>
    <n v="26526000004"/>
    <n v="26526000016"/>
    <n v="26526000013"/>
    <n v="40"/>
    <e v="#N/A"/>
    <n v="11"/>
    <e v="#N/A"/>
    <n v="10"/>
    <n v="0"/>
    <n v="40"/>
    <e v="#N/A"/>
    <n v="40"/>
    <e v="#N/A"/>
    <n v="40"/>
    <e v="#N/A"/>
    <n v="40"/>
    <e v="#N/A"/>
    <n v="40"/>
    <e v="#N/A"/>
    <s v="FLINTSL"/>
    <n v="25"/>
    <n v="0"/>
    <n v="292"/>
    <n v="0"/>
    <s v="WHITE"/>
    <s v="C01520W"/>
    <s v="FLINTSL - WHITE"/>
    <n v="24"/>
    <n v="0"/>
    <m/>
    <m/>
    <n v="0"/>
    <s v="FW"/>
    <m/>
    <m/>
    <m/>
    <m/>
    <m/>
    <m/>
    <m/>
    <n v="800"/>
    <n v="0"/>
    <m/>
    <n v="0"/>
    <m/>
    <n v="0"/>
    <m/>
    <n v="0"/>
    <m/>
    <n v="0"/>
    <m/>
    <n v="0"/>
    <m/>
    <n v="0"/>
    <m/>
    <n v="0"/>
    <s v="FLINTSL"/>
    <n v="30"/>
    <n v="0"/>
    <n v="2294"/>
    <n v="0"/>
    <n v="10"/>
    <n v="11"/>
    <n v="10"/>
    <n v="3"/>
    <n v="10"/>
    <n v="20"/>
    <n v="0"/>
    <n v="480"/>
    <n v="0.8"/>
    <n v="0.2"/>
    <m/>
    <m/>
    <m/>
    <n v="0"/>
    <n v="1700"/>
    <n v="0"/>
    <n v="0"/>
    <n v="1700"/>
    <n v="1700"/>
    <n v="1360"/>
    <n v="0"/>
    <n v="340"/>
    <n v="0"/>
    <n v="0"/>
    <n v="0"/>
    <n v="0"/>
    <n v="0"/>
    <n v="0"/>
    <n v="0"/>
    <n v="0"/>
    <n v="0"/>
    <n v="0"/>
    <m/>
    <n v="1512"/>
    <n v="3268"/>
    <n v="195"/>
    <s v="FLINTSLFLINTSLFLINTSLFLINTSLFLINTSLFLINTSLFLINTSLFLINTSL"/>
    <s v="+"/>
    <s v="+"/>
    <s v="+"/>
    <s v="+"/>
    <s v="+"/>
    <s v="+"/>
    <s v="+"/>
    <s v="+"/>
    <b v="0"/>
  </r>
  <r>
    <d v="2026-01-25T00:00:00"/>
    <s v="B"/>
    <x v="340"/>
    <n v="195"/>
    <n v="0"/>
    <n v="0"/>
    <s v="II"/>
    <s v="N"/>
    <n v="0"/>
    <s v="RED"/>
    <n v="0"/>
    <s v="0 - RED"/>
    <n v="0"/>
    <n v="0"/>
    <m/>
    <m/>
    <n v="0"/>
    <n v="26526000007"/>
    <n v="26526000006"/>
    <n v="26526000017"/>
    <n v="26526000024"/>
    <m/>
    <m/>
    <m/>
    <m/>
    <n v="50"/>
    <e v="#N/A"/>
    <n v="40"/>
    <e v="#N/A"/>
    <n v="30"/>
    <e v="#N/A"/>
    <n v="140"/>
    <e v="#N/A"/>
    <m/>
    <n v="0"/>
    <m/>
    <n v="0"/>
    <m/>
    <n v="0"/>
    <m/>
    <n v="0"/>
    <n v="0"/>
    <n v="0"/>
    <n v="0"/>
    <n v="0"/>
    <n v="0"/>
    <s v="WHITE"/>
    <n v="0"/>
    <s v=" - WHITE"/>
    <n v="0"/>
    <n v="0"/>
    <m/>
    <m/>
    <n v="0"/>
    <n v="26525000011"/>
    <n v="26526000009"/>
    <n v="26525000008"/>
    <n v="26526000011"/>
    <n v="26526000019"/>
    <n v="26526000025"/>
    <m/>
    <m/>
    <n v="40"/>
    <e v="#N/A"/>
    <n v="40"/>
    <e v="#N/A"/>
    <n v="40"/>
    <e v="#N/A"/>
    <n v="40"/>
    <e v="#N/A"/>
    <n v="40"/>
    <e v="#N/A"/>
    <n v="40"/>
    <e v="#N/A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00"/>
    <n v="0"/>
    <n v="195"/>
    <s v="0"/>
    <s v="-"/>
    <s v="NIL"/>
    <s v="NIL"/>
    <s v="NIL"/>
    <s v="NIL"/>
    <s v="NIL"/>
    <s v="NIL"/>
    <s v="NIL"/>
    <b v="1"/>
  </r>
  <r>
    <d v="2026-01-25T00:00:00"/>
    <s v="A"/>
    <x v="341"/>
    <n v="196"/>
    <n v="2065"/>
    <n v="106600"/>
    <s v="I"/>
    <s v="N"/>
    <n v="1.76"/>
    <s v="REFLEX BLUE"/>
    <s v="F00886B"/>
    <s v="FLINTSL - REFLEX BLUE"/>
    <n v="30"/>
    <n v="0"/>
    <m/>
    <m/>
    <n v="0"/>
    <n v="26523000016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15"/>
    <n v="0"/>
    <n v="33.086956521739133"/>
    <n v="0"/>
    <s v="GREEN"/>
    <s v="H01308G"/>
    <s v="FLINTSL - GREEN"/>
    <n v="26"/>
    <n v="0"/>
    <m/>
    <m/>
    <n v="0"/>
    <n v="26526000029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0"/>
    <n v="0"/>
    <n v="14.391304347826086"/>
    <n v="0"/>
    <s v="CYAN"/>
    <m/>
    <s v="FLINTSL - CYAN"/>
    <m/>
    <n v="0"/>
    <m/>
    <m/>
    <n v="0"/>
    <n v="26525000004"/>
    <n v="26525000005"/>
    <m/>
    <m/>
    <m/>
    <m/>
    <m/>
    <m/>
    <n v="40"/>
    <e v="#N/A"/>
    <n v="40"/>
    <e v="#N/A"/>
    <m/>
    <n v="0"/>
    <m/>
    <n v="0"/>
    <m/>
    <n v="0"/>
    <m/>
    <n v="0"/>
    <m/>
    <n v="0"/>
    <m/>
    <n v="0"/>
    <s v="FLINTSL"/>
    <n v="25"/>
    <n v="0"/>
    <n v="55"/>
    <n v="0"/>
    <s v="RED"/>
    <m/>
    <s v="FLINTSL - RED"/>
    <m/>
    <n v="0"/>
    <m/>
    <m/>
    <n v="0"/>
    <n v="26526000026"/>
    <n v="26526000027"/>
    <m/>
    <m/>
    <m/>
    <m/>
    <m/>
    <m/>
    <n v="15"/>
    <e v="#N/A"/>
    <n v="10"/>
    <e v="#N/A"/>
    <m/>
    <n v="0"/>
    <m/>
    <n v="0"/>
    <m/>
    <n v="0"/>
    <m/>
    <n v="0"/>
    <m/>
    <n v="0"/>
    <m/>
    <n v="0"/>
    <s v="FLINTSL"/>
    <n v="22"/>
    <n v="0"/>
    <n v="29.956521739130437"/>
    <n v="0"/>
    <s v="RED"/>
    <m/>
    <s v="FLINTSL - RED"/>
    <m/>
    <n v="0"/>
    <m/>
    <m/>
    <n v="0"/>
    <n v="26527000022"/>
    <n v="26526000027"/>
    <m/>
    <m/>
    <m/>
    <m/>
    <m/>
    <m/>
    <n v="15"/>
    <e v="#N/A"/>
    <n v="9"/>
    <e v="#N/A"/>
    <m/>
    <n v="0"/>
    <m/>
    <n v="0"/>
    <m/>
    <n v="0"/>
    <m/>
    <n v="0"/>
    <m/>
    <n v="0"/>
    <m/>
    <n v="0"/>
    <s v="FLINTSL"/>
    <n v="20"/>
    <n v="0"/>
    <n v="36.347826086956523"/>
    <n v="0"/>
    <s v="CYAN"/>
    <s v="F00888C"/>
    <s v="FLINTSL - CYAN"/>
    <n v="35"/>
    <n v="0"/>
    <m/>
    <m/>
    <n v="0"/>
    <n v="26525000012"/>
    <n v="26525000018"/>
    <n v="26524000018"/>
    <n v="26527000009"/>
    <n v="26525000020"/>
    <m/>
    <m/>
    <m/>
    <n v="30"/>
    <e v="#N/A"/>
    <n v="30"/>
    <e v="#N/A"/>
    <n v="25"/>
    <e v="#N/A"/>
    <n v="3"/>
    <e v="#N/A"/>
    <n v="20"/>
    <e v="#N/A"/>
    <m/>
    <n v="0"/>
    <m/>
    <n v="0"/>
    <m/>
    <n v="0"/>
    <s v="FLINTSL"/>
    <n v="23"/>
    <n v="0"/>
    <n v="120"/>
    <n v="0"/>
    <s v="YELLOW"/>
    <m/>
    <s v="FLINTSL - YELLOW"/>
    <m/>
    <n v="0"/>
    <m/>
    <m/>
    <n v="0"/>
    <n v="26527000024"/>
    <s v="FMD"/>
    <m/>
    <m/>
    <m/>
    <m/>
    <m/>
    <m/>
    <n v="45"/>
    <e v="#N/A"/>
    <n v="18"/>
    <n v="0"/>
    <m/>
    <n v="0"/>
    <m/>
    <n v="0"/>
    <m/>
    <n v="0"/>
    <m/>
    <n v="0"/>
    <m/>
    <n v="0"/>
    <m/>
    <n v="0"/>
    <s v="FLINTSL"/>
    <n v="32"/>
    <n v="0"/>
    <n v="93"/>
    <n v="0"/>
    <s v="WHITE"/>
    <m/>
    <s v="FLINTSL - WHITE"/>
    <m/>
    <n v="0"/>
    <m/>
    <m/>
    <n v="0"/>
    <s v="FW"/>
    <m/>
    <m/>
    <m/>
    <m/>
    <m/>
    <m/>
    <m/>
    <n v="300"/>
    <n v="0"/>
    <m/>
    <n v="0"/>
    <m/>
    <n v="0"/>
    <m/>
    <n v="0"/>
    <m/>
    <n v="0"/>
    <m/>
    <n v="0"/>
    <m/>
    <n v="0"/>
    <m/>
    <n v="0"/>
    <s v="FLINTSL"/>
    <n v="29"/>
    <n v="0"/>
    <n v="756.21739130434787"/>
    <n v="0"/>
    <n v="3"/>
    <n v="2"/>
    <n v="0"/>
    <n v="10"/>
    <n v="12"/>
    <n v="0"/>
    <n v="23"/>
    <n v="180"/>
    <n v="0.8"/>
    <n v="0.2"/>
    <m/>
    <m/>
    <m/>
    <n v="0"/>
    <n v="620"/>
    <n v="0"/>
    <n v="0"/>
    <n v="620"/>
    <n v="620"/>
    <n v="496"/>
    <n v="0"/>
    <n v="124"/>
    <n v="0"/>
    <n v="0"/>
    <n v="0"/>
    <n v="0"/>
    <n v="0"/>
    <n v="0"/>
    <n v="0"/>
    <n v="0"/>
    <n v="0"/>
    <n v="0"/>
    <m/>
    <n v="613"/>
    <n v="1138"/>
    <n v="196"/>
    <s v="FLINTSLFLINTSLFLINTSLFLINTSLFLINTSLFLINTSLFLINTSLFLINTSL"/>
    <s v="+"/>
    <s v="+"/>
    <s v="+"/>
    <s v="+"/>
    <s v="+"/>
    <s v="+"/>
    <s v="+"/>
    <s v="+"/>
    <b v="0"/>
  </r>
  <r>
    <d v="2026-01-26T00:00:00"/>
    <s v="A"/>
    <x v="342"/>
    <n v="197"/>
    <n v="501"/>
    <n v="22800"/>
    <s v="I"/>
    <s v="N"/>
    <n v="1.95"/>
    <s v="BLACK"/>
    <s v="N00905B"/>
    <s v="FLINTSL - BLACK"/>
    <n v="15"/>
    <n v="0"/>
    <m/>
    <m/>
    <n v="0"/>
    <n v="26526000029"/>
    <s v="FMD"/>
    <m/>
    <m/>
    <m/>
    <m/>
    <m/>
    <m/>
    <n v="6"/>
    <e v="#N/A"/>
    <n v="4"/>
    <n v="0"/>
    <m/>
    <n v="0"/>
    <m/>
    <n v="0"/>
    <m/>
    <n v="0"/>
    <m/>
    <n v="0"/>
    <m/>
    <n v="0"/>
    <m/>
    <n v="0"/>
    <s v="FLINTSL"/>
    <n v="29"/>
    <n v="0"/>
    <n v="4.720930232558139"/>
    <n v="0"/>
    <s v="RED"/>
    <m/>
    <s v="FLINTSL - RED"/>
    <m/>
    <n v="0"/>
    <m/>
    <m/>
    <n v="0"/>
    <n v="26526000033"/>
    <n v="26526000032"/>
    <s v="FMD"/>
    <m/>
    <m/>
    <m/>
    <m/>
    <m/>
    <n v="25"/>
    <e v="#N/A"/>
    <n v="40"/>
    <e v="#N/A"/>
    <n v="6"/>
    <n v="0"/>
    <m/>
    <n v="0"/>
    <m/>
    <n v="0"/>
    <m/>
    <n v="0"/>
    <m/>
    <n v="0"/>
    <m/>
    <n v="0"/>
    <s v="FLINTSL"/>
    <n v="30"/>
    <n v="0"/>
    <n v="49.720930232558146"/>
    <n v="0"/>
    <s v="BLACK"/>
    <m/>
    <s v="FLINTSL - BLACK"/>
    <m/>
    <n v="0"/>
    <m/>
    <m/>
    <n v="0"/>
    <n v="26526000034"/>
    <n v="26526000031"/>
    <n v="26527000009"/>
    <n v="26526000029"/>
    <m/>
    <m/>
    <m/>
    <m/>
    <n v="25"/>
    <e v="#N/A"/>
    <n v="40"/>
    <e v="#N/A"/>
    <n v="6"/>
    <e v="#N/A"/>
    <n v="0.2"/>
    <e v="#N/A"/>
    <m/>
    <n v="0"/>
    <m/>
    <n v="0"/>
    <m/>
    <n v="0"/>
    <m/>
    <n v="0"/>
    <s v="FLINTSL"/>
    <n v="32"/>
    <n v="0"/>
    <n v="47.920930232558135"/>
    <n v="0"/>
    <s v="GREEN"/>
    <s v="G00403G"/>
    <s v="FLINTSL - GREEN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0"/>
    <n v="1"/>
    <n v="0"/>
    <s v="MAGENTA"/>
    <m/>
    <s v="FLINTSL - MAGENTA"/>
    <m/>
    <n v="0"/>
    <m/>
    <m/>
    <n v="0"/>
    <n v="26527000022"/>
    <s v="FMD"/>
    <m/>
    <m/>
    <m/>
    <m/>
    <m/>
    <m/>
    <n v="10"/>
    <e v="#N/A"/>
    <n v="10"/>
    <n v="0"/>
    <m/>
    <n v="0"/>
    <m/>
    <n v="0"/>
    <m/>
    <n v="0"/>
    <m/>
    <n v="0"/>
    <m/>
    <n v="0"/>
    <m/>
    <n v="0"/>
    <s v="FLINTSL"/>
    <n v="25"/>
    <n v="0"/>
    <n v="12.441860465116278"/>
    <n v="0"/>
    <s v="YELLOW"/>
    <m/>
    <s v="FLINTSL - YELLOW"/>
    <m/>
    <n v="0"/>
    <m/>
    <m/>
    <n v="0"/>
    <n v="26527000011"/>
    <s v="FMD"/>
    <m/>
    <m/>
    <m/>
    <m/>
    <m/>
    <m/>
    <n v="20"/>
    <e v="#N/A"/>
    <n v="10"/>
    <n v="0"/>
    <m/>
    <n v="0"/>
    <m/>
    <n v="0"/>
    <m/>
    <n v="0"/>
    <m/>
    <n v="0"/>
    <m/>
    <n v="0"/>
    <m/>
    <n v="0"/>
    <s v="FLINTSL"/>
    <n v="24"/>
    <n v="0"/>
    <n v="7.7441860465116292"/>
    <n v="0"/>
    <s v="WHITE"/>
    <m/>
    <s v="FLINTSL - WHITE"/>
    <m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29"/>
    <n v="0"/>
    <n v="175.651162790697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0"/>
    <n v="10"/>
    <n v="1"/>
    <n v="60"/>
    <n v="0"/>
    <n v="0.8"/>
    <n v="0.2"/>
    <m/>
    <m/>
    <m/>
    <n v="0"/>
    <n v="150"/>
    <n v="0"/>
    <n v="0"/>
    <n v="150"/>
    <n v="150"/>
    <n v="120"/>
    <n v="0"/>
    <n v="30"/>
    <n v="0"/>
    <n v="0"/>
    <n v="0"/>
    <n v="0"/>
    <n v="0"/>
    <n v="0"/>
    <n v="0"/>
    <n v="0"/>
    <n v="0"/>
    <n v="0"/>
    <m/>
    <n v="302.2"/>
    <n v="299.20000000000005"/>
    <n v="197"/>
    <s v="FLINTSLFLINTSLFLINTSLFLINTSLFLINTSLFLINTSLFLINTSL"/>
    <s v="+"/>
    <s v="+"/>
    <s v="+"/>
    <s v="+"/>
    <s v="+"/>
    <s v="+"/>
    <s v="+"/>
    <s v="NIL"/>
    <b v="0"/>
  </r>
  <r>
    <d v="2026-01-26T00:00:00"/>
    <s v="B"/>
    <x v="343"/>
    <n v="198"/>
    <n v="246"/>
    <n v="10500"/>
    <s v="II"/>
    <s v="N"/>
    <n v="1.9"/>
    <s v="GREEN"/>
    <s v="H01215G"/>
    <s v="FLINTSL - GREEN"/>
    <n v="10"/>
    <n v="0"/>
    <s v="H01229G"/>
    <n v="7"/>
    <n v="0"/>
    <n v="26523000028"/>
    <n v="26527000010"/>
    <m/>
    <m/>
    <m/>
    <m/>
    <m/>
    <m/>
    <n v="3"/>
    <e v="#N/A"/>
    <n v="7"/>
    <e v="#N/A"/>
    <m/>
    <n v="0"/>
    <m/>
    <n v="0"/>
    <m/>
    <n v="0"/>
    <m/>
    <n v="0"/>
    <m/>
    <n v="0"/>
    <m/>
    <n v="0"/>
    <s v="FLINTSL"/>
    <n v="29"/>
    <n v="0"/>
    <n v="5.0491803278688536"/>
    <n v="0"/>
    <s v="GREEN"/>
    <s v="C01446G"/>
    <s v="FLINTSL - GREEN"/>
    <n v="20"/>
    <n v="0"/>
    <m/>
    <m/>
    <n v="0"/>
    <n v="26527000010"/>
    <n v="26523000028"/>
    <m/>
    <m/>
    <m/>
    <m/>
    <m/>
    <m/>
    <n v="4"/>
    <e v="#N/A"/>
    <n v="1"/>
    <e v="#N/A"/>
    <m/>
    <n v="0"/>
    <m/>
    <n v="0"/>
    <m/>
    <n v="0"/>
    <m/>
    <n v="0"/>
    <m/>
    <n v="0"/>
    <m/>
    <n v="0"/>
    <s v="FLINTSL"/>
    <n v="24"/>
    <n v="0"/>
    <n v="5.2295081967213122"/>
    <n v="0"/>
    <s v="RED"/>
    <s v="H01215R"/>
    <s v="FLINTSL - RED"/>
    <n v="7"/>
    <n v="0"/>
    <m/>
    <m/>
    <n v="0"/>
    <n v="26529000010"/>
    <n v="26527000005"/>
    <n v="26526000026"/>
    <m/>
    <m/>
    <m/>
    <m/>
    <m/>
    <n v="5"/>
    <e v="#N/A"/>
    <n v="10"/>
    <e v="#N/A"/>
    <n v="5"/>
    <e v="#N/A"/>
    <m/>
    <n v="0"/>
    <m/>
    <n v="0"/>
    <m/>
    <n v="0"/>
    <m/>
    <n v="0"/>
    <m/>
    <n v="0"/>
    <s v="FLINTSL"/>
    <n v="28"/>
    <n v="0"/>
    <n v="8.8688524590163951"/>
    <n v="0"/>
    <s v="RED"/>
    <s v="H01215R"/>
    <s v="FLINTSL - RED"/>
    <n v="15"/>
    <n v="0"/>
    <m/>
    <m/>
    <n v="0"/>
    <n v="26526000030"/>
    <s v="FMD"/>
    <m/>
    <m/>
    <m/>
    <m/>
    <m/>
    <m/>
    <n v="4"/>
    <e v="#N/A"/>
    <n v="4"/>
    <n v="0"/>
    <m/>
    <n v="0"/>
    <m/>
    <n v="0"/>
    <m/>
    <n v="0"/>
    <m/>
    <n v="0"/>
    <m/>
    <n v="0"/>
    <m/>
    <n v="0"/>
    <s v="FLINTSL"/>
    <n v="20"/>
    <n v="0"/>
    <n v="10.049180327868854"/>
    <n v="0"/>
    <s v="CYAN"/>
    <s v="H01215C"/>
    <s v="FLINTSL - CYAN"/>
    <n v="24"/>
    <n v="0"/>
    <m/>
    <m/>
    <n v="0"/>
    <n v="2652400001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2"/>
    <n v="0"/>
    <n v="8.2295081967213122"/>
    <n v="0"/>
    <s v="MAGENTA"/>
    <s v="H01215M"/>
    <s v="FLINTSL - MAGENTA"/>
    <n v="25"/>
    <n v="0"/>
    <m/>
    <m/>
    <n v="0"/>
    <s v="FMD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24"/>
    <n v="0"/>
    <n v="18.049180327868854"/>
    <n v="0"/>
    <s v="YELLOW"/>
    <s v="H01215Y"/>
    <s v="FLINTSL - YELLOW"/>
    <n v="25"/>
    <n v="0"/>
    <m/>
    <m/>
    <n v="0"/>
    <n v="26527000010"/>
    <s v="FMD"/>
    <m/>
    <m/>
    <m/>
    <m/>
    <m/>
    <m/>
    <n v="25"/>
    <e v="#N/A"/>
    <n v="2"/>
    <n v="0"/>
    <m/>
    <n v="0"/>
    <m/>
    <n v="0"/>
    <m/>
    <n v="0"/>
    <m/>
    <n v="0"/>
    <m/>
    <n v="0"/>
    <m/>
    <n v="0"/>
    <s v="FLINTSL"/>
    <n v="23"/>
    <n v="0"/>
    <n v="47.327868852459019"/>
    <n v="0"/>
    <s v="WHITE"/>
    <s v="H01215W"/>
    <s v="FLINTSL - WHITE"/>
    <n v="30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25"/>
    <n v="0"/>
    <n v="73.196721311475414"/>
    <n v="0"/>
    <n v="5"/>
    <n v="3"/>
    <n v="7"/>
    <n v="5"/>
    <n v="3"/>
    <n v="5"/>
    <n v="13"/>
    <n v="20"/>
    <n v="0.8"/>
    <n v="0.2"/>
    <m/>
    <m/>
    <m/>
    <n v="0"/>
    <n v="86"/>
    <n v="0"/>
    <n v="0"/>
    <n v="86"/>
    <n v="86"/>
    <n v="68.8"/>
    <n v="0"/>
    <n v="17.2"/>
    <n v="0"/>
    <n v="0"/>
    <n v="0"/>
    <n v="0"/>
    <n v="0"/>
    <n v="0"/>
    <n v="0"/>
    <n v="0"/>
    <n v="0"/>
    <n v="0"/>
    <m/>
    <n v="122"/>
    <n v="176"/>
    <n v="198"/>
    <s v="FLINTSLFLINTSLFLINTSLFLINTSLFLINTSLFLINTSLFLINTSLFLINTSL"/>
    <s v="+"/>
    <s v="+"/>
    <s v="+"/>
    <s v="+"/>
    <s v="+"/>
    <s v="+"/>
    <s v="+"/>
    <s v="+"/>
    <b v="0"/>
  </r>
  <r>
    <d v="2026-01-26T00:00:00"/>
    <s v="B"/>
    <x v="344"/>
    <n v="199"/>
    <n v="791"/>
    <n v="41700"/>
    <s v="I"/>
    <s v="N"/>
    <n v="1.21"/>
    <s v="BLACK"/>
    <s v="N00869B"/>
    <s v="FLINTSL - BLACK"/>
    <n v="29"/>
    <n v="0"/>
    <m/>
    <m/>
    <n v="0"/>
    <n v="26526000029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4"/>
    <n v="0"/>
    <n v="19.480000000000004"/>
    <n v="0"/>
    <s v="RED"/>
    <s v="N00869R"/>
    <s v="FLINTSL - RED"/>
    <n v="30"/>
    <n v="0"/>
    <m/>
    <m/>
    <n v="0"/>
    <n v="26527000005"/>
    <n v="26528000002"/>
    <n v="26529000011"/>
    <m/>
    <m/>
    <m/>
    <m/>
    <m/>
    <n v="10"/>
    <e v="#N/A"/>
    <n v="12"/>
    <e v="#N/A"/>
    <n v="6"/>
    <e v="#N/A"/>
    <m/>
    <n v="0"/>
    <m/>
    <n v="0"/>
    <m/>
    <n v="0"/>
    <m/>
    <n v="0"/>
    <m/>
    <n v="0"/>
    <s v="FLINTSL"/>
    <n v="30"/>
    <n v="0"/>
    <n v="46.960000000000008"/>
    <n v="0"/>
    <s v="CYAN"/>
    <m/>
    <s v="FLINTSL - CYAN"/>
    <m/>
    <n v="0"/>
    <m/>
    <m/>
    <n v="0"/>
    <n v="26524000018"/>
    <s v="FMD"/>
    <m/>
    <m/>
    <m/>
    <m/>
    <m/>
    <m/>
    <n v="10"/>
    <e v="#N/A"/>
    <n v="6"/>
    <n v="0"/>
    <m/>
    <n v="0"/>
    <m/>
    <n v="0"/>
    <m/>
    <n v="0"/>
    <m/>
    <n v="0"/>
    <m/>
    <n v="0"/>
    <m/>
    <n v="0"/>
    <s v="FLINTSL"/>
    <n v="24"/>
    <n v="0"/>
    <n v="10.96"/>
    <n v="0"/>
    <s v="MAGENTA"/>
    <s v="N00869M"/>
    <s v="FLINTSL - MAGENTA"/>
    <n v="25"/>
    <n v="0"/>
    <m/>
    <m/>
    <n v="0"/>
    <n v="26528000002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6"/>
    <n v="0"/>
    <n v="14.480000000000004"/>
    <n v="0"/>
    <s v="YELLOW"/>
    <s v="N00869Y"/>
    <s v="FLINTSL - YELLOW"/>
    <n v="24"/>
    <n v="0"/>
    <m/>
    <m/>
    <n v="0"/>
    <n v="26527000018"/>
    <s v="FMD"/>
    <m/>
    <m/>
    <m/>
    <m/>
    <m/>
    <m/>
    <n v="8"/>
    <e v="#N/A"/>
    <n v="4"/>
    <n v="0"/>
    <m/>
    <n v="0"/>
    <m/>
    <n v="0"/>
    <m/>
    <n v="0"/>
    <m/>
    <n v="0"/>
    <m/>
    <n v="0"/>
    <m/>
    <n v="0"/>
    <s v="FLINTSL"/>
    <n v="30"/>
    <n v="0"/>
    <n v="15.480000000000004"/>
    <n v="0"/>
    <s v="GOLD"/>
    <s v="C01511G"/>
    <s v="FLINTSL - GOLD"/>
    <n v="30"/>
    <n v="0"/>
    <m/>
    <m/>
    <n v="0"/>
    <s v="FGO"/>
    <s v="FSI"/>
    <m/>
    <m/>
    <m/>
    <m/>
    <m/>
    <m/>
    <n v="6"/>
    <n v="0"/>
    <n v="6"/>
    <n v="0"/>
    <m/>
    <n v="0"/>
    <m/>
    <n v="0"/>
    <m/>
    <n v="0"/>
    <m/>
    <n v="0"/>
    <m/>
    <n v="0"/>
    <m/>
    <n v="0"/>
    <s v="FLINTSL"/>
    <n v="30"/>
    <n v="0"/>
    <n v="21.480000000000004"/>
    <n v="0"/>
    <s v="WHITE"/>
    <s v="N00869W"/>
    <s v="FLINTSL - WHITE"/>
    <n v="29"/>
    <n v="0"/>
    <m/>
    <m/>
    <n v="0"/>
    <s v="FW"/>
    <s v="fsi"/>
    <m/>
    <m/>
    <m/>
    <m/>
    <m/>
    <m/>
    <n v="50"/>
    <n v="0"/>
    <n v="100"/>
    <n v="0"/>
    <m/>
    <n v="0"/>
    <m/>
    <n v="0"/>
    <m/>
    <n v="0"/>
    <m/>
    <n v="0"/>
    <m/>
    <n v="0"/>
    <m/>
    <n v="0"/>
    <s v="FLINTSL"/>
    <n v="24"/>
    <n v="0"/>
    <n v="316.1600000000000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10"/>
    <n v="5"/>
    <n v="5"/>
    <n v="5"/>
    <n v="85"/>
    <n v="0"/>
    <n v="0.8"/>
    <n v="0.2"/>
    <m/>
    <m/>
    <m/>
    <n v="0"/>
    <n v="237"/>
    <n v="0"/>
    <n v="0"/>
    <n v="237"/>
    <n v="237"/>
    <n v="189.60000000000002"/>
    <n v="0"/>
    <n v="47.400000000000006"/>
    <n v="0"/>
    <n v="0"/>
    <n v="0"/>
    <n v="0"/>
    <n v="0"/>
    <n v="0"/>
    <n v="0"/>
    <n v="0"/>
    <n v="0"/>
    <n v="0"/>
    <m/>
    <n v="229"/>
    <n v="445.00000000000006"/>
    <n v="199"/>
    <s v="FLINTSLFLINTSLFLINTSLFLINTSLFLINTSLFLINTSLFLINTSL"/>
    <s v="+"/>
    <s v="+"/>
    <s v="+"/>
    <s v="+"/>
    <s v="+"/>
    <s v="+"/>
    <s v="+"/>
    <s v="NIL"/>
    <b v="0"/>
  </r>
  <r>
    <d v="2026-01-26T00:00:00"/>
    <s v="B"/>
    <x v="345"/>
    <n v="200"/>
    <n v="1690"/>
    <n v="99300"/>
    <s v="I"/>
    <s v="N"/>
    <n v="2"/>
    <s v="BLACK"/>
    <s v="C01525B"/>
    <s v="FLINTSL - BLACK"/>
    <n v="24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0"/>
    <n v="11.640552995391708"/>
    <n v="0"/>
    <s v="RED"/>
    <s v="E01015R"/>
    <s v="FLINTSL - RED"/>
    <n v="10"/>
    <n v="0"/>
    <m/>
    <m/>
    <n v="0"/>
    <n v="26528000002"/>
    <n v="26527000012"/>
    <n v="26527000015"/>
    <m/>
    <m/>
    <m/>
    <m/>
    <m/>
    <n v="10"/>
    <e v="#N/A"/>
    <n v="8"/>
    <e v="#N/A"/>
    <n v="0.2"/>
    <e v="#N/A"/>
    <m/>
    <n v="0"/>
    <m/>
    <n v="0"/>
    <m/>
    <n v="0"/>
    <m/>
    <n v="0"/>
    <m/>
    <n v="0"/>
    <s v="FLINTSL"/>
    <n v="25"/>
    <n v="0"/>
    <n v="30.481105990783412"/>
    <n v="0"/>
    <s v="BLACK"/>
    <s v="N00869B"/>
    <s v="FLINTSL - BLACK"/>
    <n v="32"/>
    <n v="0"/>
    <m/>
    <m/>
    <n v="0"/>
    <n v="26527000002"/>
    <m/>
    <m/>
    <m/>
    <m/>
    <m/>
    <m/>
    <m/>
    <n v="130"/>
    <e v="#N/A"/>
    <m/>
    <n v="0"/>
    <m/>
    <n v="0"/>
    <m/>
    <n v="0"/>
    <m/>
    <n v="0"/>
    <m/>
    <n v="0"/>
    <m/>
    <n v="0"/>
    <m/>
    <n v="0"/>
    <s v="FLINTSL"/>
    <n v="40"/>
    <n v="0"/>
    <n v="135.64055299539172"/>
    <n v="0"/>
    <s v="GREEN"/>
    <s v="C01435G"/>
    <s v="FLINTSL - GREEN"/>
    <n v="24"/>
    <n v="0"/>
    <m/>
    <m/>
    <n v="0"/>
    <n v="26524000018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1"/>
    <n v="0"/>
    <n v="22.640552995391708"/>
    <n v="0"/>
    <s v="MAGENTA"/>
    <s v="C01525M"/>
    <s v="FLINTSL - MAGENTA"/>
    <n v="30"/>
    <n v="0"/>
    <m/>
    <m/>
    <n v="0"/>
    <n v="26528000002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7"/>
    <n v="0"/>
    <n v="20.640552995391708"/>
    <n v="0"/>
    <s v="YELLOW"/>
    <s v="C01525Y"/>
    <s v="FLINTSL - YELLOW"/>
    <n v="30"/>
    <n v="0"/>
    <m/>
    <m/>
    <n v="0"/>
    <s v="FMD"/>
    <n v="26527000018"/>
    <m/>
    <m/>
    <m/>
    <m/>
    <m/>
    <m/>
    <n v="6"/>
    <n v="0"/>
    <n v="6"/>
    <e v="#N/A"/>
    <m/>
    <n v="0"/>
    <m/>
    <n v="0"/>
    <m/>
    <n v="0"/>
    <m/>
    <n v="0"/>
    <m/>
    <n v="0"/>
    <m/>
    <n v="0"/>
    <s v="FLINTSL"/>
    <n v="30"/>
    <n v="0"/>
    <n v="25.640552995391708"/>
    <n v="0"/>
    <s v="MEDIUM"/>
    <m/>
    <s v="FLINTSL - MEDIUM"/>
    <m/>
    <n v="0"/>
    <m/>
    <m/>
    <n v="0"/>
    <n v="26527000001"/>
    <m/>
    <m/>
    <m/>
    <m/>
    <m/>
    <m/>
    <m/>
    <n v="120"/>
    <e v="#N/A"/>
    <m/>
    <n v="0"/>
    <m/>
    <n v="0"/>
    <m/>
    <n v="0"/>
    <m/>
    <n v="0"/>
    <m/>
    <n v="0"/>
    <m/>
    <n v="0"/>
    <m/>
    <n v="0"/>
    <s v="FLINTSL"/>
    <n v="25"/>
    <n v="0"/>
    <n v="100.45622119815668"/>
    <n v="0"/>
    <s v="WHITE"/>
    <s v="C01525W"/>
    <s v="FLINTSL - WHITE"/>
    <n v="24"/>
    <n v="0"/>
    <m/>
    <m/>
    <n v="0"/>
    <s v="FW"/>
    <s v="WRK6-028K"/>
    <m/>
    <m/>
    <m/>
    <m/>
    <m/>
    <m/>
    <n v="300"/>
    <n v="0"/>
    <n v="9"/>
    <n v="0"/>
    <m/>
    <n v="0"/>
    <m/>
    <n v="0"/>
    <m/>
    <n v="0"/>
    <m/>
    <n v="0"/>
    <m/>
    <n v="0"/>
    <m/>
    <n v="0"/>
    <s v="FLINTSL"/>
    <n v="50"/>
    <n v="0"/>
    <n v="774.0599078341013"/>
    <n v="0"/>
    <n v="5"/>
    <n v="10"/>
    <n v="5"/>
    <n v="5"/>
    <n v="5"/>
    <n v="5"/>
    <n v="2"/>
    <n v="180"/>
    <n v="0.8"/>
    <n v="0.2"/>
    <m/>
    <m/>
    <m/>
    <n v="0"/>
    <n v="592"/>
    <n v="0"/>
    <n v="0"/>
    <n v="592"/>
    <n v="592"/>
    <n v="473.6"/>
    <n v="0"/>
    <n v="118.4"/>
    <n v="0"/>
    <n v="0"/>
    <n v="0"/>
    <n v="0"/>
    <n v="0"/>
    <n v="0"/>
    <n v="0"/>
    <n v="0"/>
    <n v="0"/>
    <n v="0"/>
    <m/>
    <n v="599.20000000000005"/>
    <n v="1121.2"/>
    <n v="200"/>
    <s v="FLINTSLFLINTSLFLINTSLFLINTSLFLINTSLFLINTSLFLINTSLFLINTSL"/>
    <s v="+"/>
    <s v="+"/>
    <s v="+"/>
    <s v="+"/>
    <s v="+"/>
    <s v="+"/>
    <s v="+"/>
    <s v="+"/>
    <b v="0"/>
  </r>
  <r>
    <d v="2026-01-26T00:00:00"/>
    <s v="B"/>
    <x v="346"/>
    <n v="201"/>
    <n v="950"/>
    <n v="44100"/>
    <s v="II"/>
    <s v="N"/>
    <n v="1.93"/>
    <s v="BLACK"/>
    <s v="H01215B"/>
    <s v="FLINTSL - BLACK"/>
    <n v="20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2"/>
    <n v="0"/>
    <n v="14.482758620689651"/>
    <n v="0"/>
    <s v="REFLEX BLUE"/>
    <s v="N00811P"/>
    <s v="FLINTSL - REFLEX BLUE"/>
    <n v="20"/>
    <n v="0"/>
    <s v="H01308P"/>
    <n v="7"/>
    <n v="0"/>
    <n v="26523000017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0"/>
    <n v="0"/>
    <n v="23.482758620689651"/>
    <n v="0"/>
    <s v="GREEN"/>
    <s v="C01435G"/>
    <s v="FLINTSL - GREEN"/>
    <n v="24"/>
    <n v="0"/>
    <m/>
    <m/>
    <n v="0"/>
    <n v="26524000018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8"/>
    <n v="0"/>
    <n v="8.1862068965517238"/>
    <n v="0"/>
    <s v="CYAN"/>
    <s v="C01435C"/>
    <s v="FLINTSL - CYAN"/>
    <n v="22"/>
    <n v="0"/>
    <m/>
    <m/>
    <n v="0"/>
    <n v="2652400001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1"/>
    <n v="0"/>
    <n v="12.186206896551724"/>
    <n v="0"/>
    <s v="MAGENTA"/>
    <s v="C01435M"/>
    <s v="FLINTSL - MAGENTA"/>
    <n v="24"/>
    <n v="0"/>
    <m/>
    <m/>
    <n v="0"/>
    <s v="FMD"/>
    <n v="26528000002"/>
    <m/>
    <m/>
    <m/>
    <m/>
    <m/>
    <m/>
    <n v="5"/>
    <n v="0"/>
    <n v="3"/>
    <e v="#N/A"/>
    <m/>
    <n v="0"/>
    <m/>
    <n v="0"/>
    <m/>
    <n v="0"/>
    <m/>
    <n v="0"/>
    <m/>
    <n v="0"/>
    <m/>
    <n v="0"/>
    <s v="FLINTSL"/>
    <n v="22"/>
    <n v="0"/>
    <n v="21.482758620689651"/>
    <n v="0"/>
    <s v="YELLOW"/>
    <s v="C01435Y"/>
    <s v="FLINTSL - YELLOW"/>
    <n v="23"/>
    <n v="0"/>
    <m/>
    <m/>
    <n v="0"/>
    <s v="FMD"/>
    <n v="26527000011"/>
    <m/>
    <m/>
    <m/>
    <m/>
    <m/>
    <m/>
    <n v="10"/>
    <n v="0"/>
    <n v="5"/>
    <e v="#N/A"/>
    <m/>
    <n v="0"/>
    <m/>
    <n v="0"/>
    <m/>
    <n v="0"/>
    <m/>
    <n v="0"/>
    <m/>
    <n v="0"/>
    <m/>
    <n v="0"/>
    <s v="FLINTSL"/>
    <n v="21"/>
    <n v="0"/>
    <n v="44.558620689655172"/>
    <n v="0"/>
    <s v="YELLOW"/>
    <m/>
    <s v="FLINTSL - YELLOW"/>
    <m/>
    <n v="0"/>
    <m/>
    <m/>
    <n v="0"/>
    <n v="26526000037"/>
    <n v="26526000036"/>
    <n v="26527000003"/>
    <n v="26527000018"/>
    <n v="26525000003"/>
    <m/>
    <m/>
    <m/>
    <n v="100"/>
    <e v="#N/A"/>
    <n v="40"/>
    <e v="#N/A"/>
    <n v="10"/>
    <e v="#N/A"/>
    <n v="5"/>
    <e v="#N/A"/>
    <n v="0.4"/>
    <e v="#N/A"/>
    <m/>
    <n v="0"/>
    <m/>
    <n v="0"/>
    <m/>
    <n v="0"/>
    <s v="FLINTSL"/>
    <n v="30"/>
    <n v="0"/>
    <n v="148.36551724137931"/>
    <n v="0"/>
    <s v="WHITE"/>
    <s v="C01435W"/>
    <s v="FLINTSL - WHITE"/>
    <n v="25"/>
    <n v="0"/>
    <m/>
    <m/>
    <n v="0"/>
    <s v="FW"/>
    <m/>
    <m/>
    <m/>
    <m/>
    <m/>
    <m/>
    <m/>
    <n v="160"/>
    <n v="0"/>
    <m/>
    <n v="0"/>
    <m/>
    <n v="0"/>
    <m/>
    <n v="0"/>
    <m/>
    <n v="0"/>
    <m/>
    <n v="0"/>
    <m/>
    <n v="0"/>
    <m/>
    <n v="0"/>
    <s v="FLINTSL"/>
    <n v="20"/>
    <n v="0"/>
    <n v="394.65517241379314"/>
    <n v="0"/>
    <n v="5"/>
    <n v="5"/>
    <n v="4"/>
    <n v="4"/>
    <n v="5"/>
    <n v="12"/>
    <n v="10"/>
    <n v="100"/>
    <n v="0.8"/>
    <n v="0.2"/>
    <m/>
    <m/>
    <m/>
    <n v="0"/>
    <n v="333"/>
    <n v="0"/>
    <n v="0"/>
    <n v="333"/>
    <n v="333"/>
    <n v="266.40000000000003"/>
    <n v="0"/>
    <n v="66.600000000000009"/>
    <n v="0"/>
    <n v="0"/>
    <n v="0"/>
    <n v="0"/>
    <n v="0"/>
    <n v="0"/>
    <n v="0"/>
    <n v="0"/>
    <n v="0"/>
    <n v="0"/>
    <m/>
    <n v="353.4"/>
    <n v="667.40000000000009"/>
    <n v="201"/>
    <s v="FLINTSLFLINTSLFLINTSLFLINTSLFLINTSLFLINTSLFLINTSLFLINTSL"/>
    <s v="+"/>
    <s v="+"/>
    <s v="+"/>
    <s v="+"/>
    <s v="+"/>
    <s v="+"/>
    <s v="+"/>
    <s v="+"/>
    <b v="0"/>
  </r>
  <r>
    <d v="2026-01-26T00:00:00"/>
    <s v="B"/>
    <x v="347"/>
    <n v="202"/>
    <n v="752"/>
    <n v="25800"/>
    <s v="II"/>
    <s v="N"/>
    <n v="1.26"/>
    <s v="BLACK"/>
    <s v="C01429B"/>
    <s v="FLINTSL - BLACK"/>
    <n v="22"/>
    <n v="0"/>
    <m/>
    <m/>
    <n v="0"/>
    <n v="26527000015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6"/>
    <n v="0"/>
    <n v="5.9450549450549453"/>
    <n v="0"/>
    <s v="REFLEX BLUE"/>
    <s v="E01026B"/>
    <s v="FLINTSL - REFLEX BLUE"/>
    <n v="16"/>
    <n v="0"/>
    <m/>
    <m/>
    <n v="0"/>
    <n v="26524000018"/>
    <n v="26526000026"/>
    <m/>
    <m/>
    <m/>
    <m/>
    <m/>
    <m/>
    <n v="5"/>
    <e v="#N/A"/>
    <n v="2"/>
    <e v="#N/A"/>
    <m/>
    <n v="0"/>
    <m/>
    <n v="0"/>
    <m/>
    <n v="0"/>
    <m/>
    <n v="0"/>
    <m/>
    <n v="0"/>
    <m/>
    <n v="0"/>
    <s v="FLINTSL"/>
    <n v="23"/>
    <n v="0"/>
    <n v="11.53846153846154"/>
    <n v="0"/>
    <s v="REFLEX BLUE"/>
    <m/>
    <s v="FLINTSL - REFLEX BLUE"/>
    <m/>
    <n v="0"/>
    <m/>
    <m/>
    <n v="0"/>
    <n v="26527000004"/>
    <n v="26527000006"/>
    <s v="FMD"/>
    <m/>
    <m/>
    <m/>
    <m/>
    <m/>
    <n v="40"/>
    <e v="#N/A"/>
    <n v="10"/>
    <e v="#N/A"/>
    <n v="10"/>
    <n v="0"/>
    <m/>
    <n v="0"/>
    <m/>
    <n v="0"/>
    <m/>
    <n v="0"/>
    <m/>
    <n v="0"/>
    <m/>
    <n v="0"/>
    <s v="FLINTSL"/>
    <n v="25"/>
    <n v="0"/>
    <n v="46.538461538461533"/>
    <n v="0"/>
    <s v="CYAN"/>
    <s v="C01429C"/>
    <s v="FLINTSL - CYAN"/>
    <n v="21"/>
    <n v="0"/>
    <m/>
    <m/>
    <n v="0"/>
    <n v="26524000018"/>
    <n v="26525000002"/>
    <s v="FMD"/>
    <m/>
    <m/>
    <m/>
    <m/>
    <m/>
    <n v="7"/>
    <e v="#N/A"/>
    <n v="0.5"/>
    <e v="#N/A"/>
    <n v="4"/>
    <n v="0"/>
    <m/>
    <n v="0"/>
    <m/>
    <n v="0"/>
    <m/>
    <n v="0"/>
    <m/>
    <n v="0"/>
    <m/>
    <n v="0"/>
    <s v="FLINTSL"/>
    <n v="25"/>
    <n v="0"/>
    <n v="15.741758241758241"/>
    <n v="0"/>
    <s v="MAGENTA"/>
    <s v="C01429M"/>
    <s v="FLINTSL - MAGENTA"/>
    <n v="22"/>
    <n v="0"/>
    <m/>
    <m/>
    <n v="0"/>
    <n v="26528000002"/>
    <s v="FMD"/>
    <m/>
    <m/>
    <m/>
    <m/>
    <m/>
    <m/>
    <n v="5"/>
    <e v="#N/A"/>
    <n v="6"/>
    <n v="0"/>
    <m/>
    <n v="0"/>
    <m/>
    <n v="0"/>
    <m/>
    <n v="0"/>
    <m/>
    <n v="0"/>
    <m/>
    <n v="0"/>
    <m/>
    <n v="0"/>
    <s v="FLINTSL"/>
    <n v="28"/>
    <n v="0"/>
    <n v="11.593406593406591"/>
    <n v="0"/>
    <s v="YELLOW"/>
    <s v="C01429Y"/>
    <s v="FLINTSL - YELLOW"/>
    <n v="21"/>
    <n v="0"/>
    <m/>
    <m/>
    <n v="0"/>
    <n v="26527000018"/>
    <m/>
    <m/>
    <m/>
    <m/>
    <m/>
    <m/>
    <m/>
    <n v="7"/>
    <e v="#N/A"/>
    <m/>
    <n v="0"/>
    <m/>
    <n v="0"/>
    <m/>
    <n v="0"/>
    <m/>
    <n v="0"/>
    <m/>
    <n v="0"/>
    <m/>
    <n v="0"/>
    <m/>
    <n v="0"/>
    <s v="FLINTSL"/>
    <n v="26"/>
    <n v="0"/>
    <n v="10.241758241758241"/>
    <n v="0"/>
    <s v="WHITE"/>
    <s v="C01429W"/>
    <s v="FLINTSL - WHITE"/>
    <n v="20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2"/>
    <n v="0"/>
    <n v="186.9010989010989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7"/>
    <n v="7"/>
    <n v="5"/>
    <n v="4"/>
    <n v="5"/>
    <n v="60"/>
    <n v="0"/>
    <n v="0.8"/>
    <n v="0.2"/>
    <m/>
    <m/>
    <m/>
    <n v="0"/>
    <n v="150"/>
    <n v="0"/>
    <n v="0"/>
    <n v="150"/>
    <n v="150"/>
    <n v="120"/>
    <n v="0"/>
    <n v="30"/>
    <n v="0"/>
    <n v="0"/>
    <n v="0"/>
    <n v="0"/>
    <n v="0"/>
    <n v="0"/>
    <n v="0"/>
    <n v="0"/>
    <n v="0"/>
    <n v="0"/>
    <m/>
    <n v="201.5"/>
    <n v="288.5"/>
    <n v="202"/>
    <s v="FLINTSLFLINTSLFLINTSLFLINTSLFLINTSLFLINTSLFLINTSL"/>
    <s v="+"/>
    <s v="+"/>
    <s v="+"/>
    <s v="+"/>
    <s v="+"/>
    <s v="+"/>
    <s v="+"/>
    <s v="NIL"/>
    <b v="0"/>
  </r>
  <r>
    <d v="2026-01-26T00:00:00"/>
    <s v="B"/>
    <x v="348"/>
    <n v="203"/>
    <n v="938"/>
    <n v="52700"/>
    <s v="II"/>
    <s v="N"/>
    <n v="2"/>
    <s v="BLACK"/>
    <s v="B01018B"/>
    <s v="FLINTSL - BLACK"/>
    <n v="26"/>
    <n v="0"/>
    <m/>
    <m/>
    <n v="0"/>
    <n v="2652700001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8.3478260869565233"/>
    <n v="0"/>
    <s v="REFLEX BLUE"/>
    <s v="B01018B"/>
    <s v="FLINTSL - REFLEX BLUE"/>
    <n v="23"/>
    <n v="0"/>
    <m/>
    <m/>
    <n v="0"/>
    <n v="26524000018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6.9130434782608674"/>
    <n v="0"/>
    <s v="GREEN"/>
    <s v="J00967G"/>
    <s v="FLINTSL - GREEN"/>
    <n v="27"/>
    <n v="0"/>
    <m/>
    <m/>
    <n v="0"/>
    <n v="26527000010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2"/>
    <n v="0"/>
    <n v="9"/>
    <n v="0"/>
    <s v="RED"/>
    <s v="C01435R"/>
    <s v="FLINTSL - RED"/>
    <n v="28"/>
    <n v="0"/>
    <m/>
    <m/>
    <n v="0"/>
    <n v="26525000022"/>
    <n v="26528000020"/>
    <m/>
    <m/>
    <m/>
    <m/>
    <m/>
    <m/>
    <n v="6"/>
    <e v="#N/A"/>
    <n v="5"/>
    <e v="#N/A"/>
    <m/>
    <n v="0"/>
    <m/>
    <n v="0"/>
    <m/>
    <n v="0"/>
    <m/>
    <n v="0"/>
    <m/>
    <n v="0"/>
    <m/>
    <n v="0"/>
    <s v="FLINTSL"/>
    <n v="28"/>
    <n v="0"/>
    <n v="25.260869565217391"/>
    <n v="0"/>
    <s v="CYAN"/>
    <s v="B01018C"/>
    <s v="FLINTSL - CYAN"/>
    <n v="25"/>
    <n v="0"/>
    <m/>
    <m/>
    <n v="0"/>
    <n v="26524000018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4"/>
    <n v="0"/>
    <n v="13.913043478260867"/>
    <n v="0"/>
    <s v="MAGENTA"/>
    <s v="B01018M"/>
    <s v="FLINTSL - MAGENTA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15"/>
    <n v="0"/>
    <n v="18.347826086956523"/>
    <n v="0"/>
    <s v="YELLOW"/>
    <s v="B01018Y"/>
    <s v="FLINTSL - YELLOW"/>
    <n v="26"/>
    <n v="0"/>
    <m/>
    <m/>
    <n v="0"/>
    <n v="26527000020"/>
    <n v="26527000024"/>
    <s v="FMD"/>
    <m/>
    <m/>
    <m/>
    <m/>
    <m/>
    <n v="40"/>
    <e v="#N/A"/>
    <n v="60"/>
    <e v="#N/A"/>
    <n v="15"/>
    <n v="0"/>
    <m/>
    <n v="0"/>
    <m/>
    <n v="0"/>
    <m/>
    <n v="0"/>
    <m/>
    <n v="0"/>
    <m/>
    <n v="0"/>
    <s v="FLINTSL"/>
    <n v="30"/>
    <n v="0"/>
    <n v="217.95652173913044"/>
    <n v="0"/>
    <s v="WHITE"/>
    <s v="B01018W"/>
    <s v="FLINTSL - WHITE"/>
    <n v="32"/>
    <n v="0"/>
    <m/>
    <m/>
    <n v="0"/>
    <s v="FW"/>
    <m/>
    <m/>
    <m/>
    <m/>
    <m/>
    <m/>
    <m/>
    <n v="160"/>
    <n v="0"/>
    <m/>
    <n v="0"/>
    <m/>
    <n v="0"/>
    <m/>
    <n v="0"/>
    <m/>
    <n v="0"/>
    <m/>
    <n v="0"/>
    <m/>
    <n v="0"/>
    <m/>
    <n v="0"/>
    <s v="FLINTSL"/>
    <n v="30"/>
    <n v="0"/>
    <n v="340.26086956521738"/>
    <n v="0"/>
    <n v="3"/>
    <n v="5"/>
    <n v="0"/>
    <n v="8"/>
    <n v="5"/>
    <n v="3"/>
    <n v="60"/>
    <n v="100"/>
    <n v="0.8"/>
    <n v="0.2"/>
    <m/>
    <m/>
    <m/>
    <n v="0"/>
    <n v="328"/>
    <n v="0"/>
    <n v="0"/>
    <n v="328"/>
    <n v="328"/>
    <n v="262.40000000000003"/>
    <n v="0"/>
    <n v="65.600000000000009"/>
    <n v="0"/>
    <n v="0"/>
    <n v="0"/>
    <n v="0"/>
    <n v="0"/>
    <n v="0"/>
    <n v="0"/>
    <n v="0"/>
    <n v="0"/>
    <n v="0"/>
    <m/>
    <n v="301"/>
    <n v="640"/>
    <n v="203"/>
    <s v="FLINTSLFLINTSLFLINTSLFLINTSLFLINTSLFLINTSLFLINTSLFLINTSL"/>
    <s v="+"/>
    <s v="+"/>
    <s v="+"/>
    <s v="+"/>
    <s v="+"/>
    <s v="+"/>
    <s v="+"/>
    <s v="+"/>
    <b v="0"/>
  </r>
  <r>
    <d v="2026-01-27T00:00:00"/>
    <s v="A"/>
    <x v="349"/>
    <n v="204"/>
    <n v="1261"/>
    <n v="47500"/>
    <s v="II"/>
    <s v="N"/>
    <n v="1.1000000000000001"/>
    <s v="BLACK"/>
    <s v="N00894B"/>
    <s v="FLINTSL - BLACK"/>
    <n v="25"/>
    <n v="0"/>
    <m/>
    <m/>
    <n v="0"/>
    <n v="26527000015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5"/>
    <n v="0"/>
    <n v="10.90625"/>
    <n v="0"/>
    <s v="REFLEX BLUE"/>
    <m/>
    <s v="FLINTSL - REFLEX BLUE"/>
    <m/>
    <n v="0"/>
    <m/>
    <m/>
    <n v="0"/>
    <s v="FMD"/>
    <n v="26524000018"/>
    <n v="26523000020"/>
    <m/>
    <m/>
    <m/>
    <m/>
    <m/>
    <n v="7"/>
    <n v="0"/>
    <n v="6"/>
    <e v="#N/A"/>
    <n v="10"/>
    <e v="#N/A"/>
    <m/>
    <n v="0"/>
    <m/>
    <n v="0"/>
    <m/>
    <n v="0"/>
    <m/>
    <n v="0"/>
    <m/>
    <n v="0"/>
    <s v="FLINTSL"/>
    <n v="24"/>
    <n v="0"/>
    <n v="18.6875"/>
    <n v="0"/>
    <s v="CYAN"/>
    <s v="N00894C"/>
    <s v="FLINTSL - CYAN"/>
    <n v="24"/>
    <n v="0"/>
    <m/>
    <m/>
    <n v="0"/>
    <s v="FMD"/>
    <n v="26524000018"/>
    <m/>
    <m/>
    <m/>
    <m/>
    <m/>
    <m/>
    <n v="28"/>
    <n v="0"/>
    <n v="10"/>
    <e v="#N/A"/>
    <m/>
    <n v="0"/>
    <m/>
    <n v="0"/>
    <m/>
    <n v="0"/>
    <m/>
    <n v="0"/>
    <m/>
    <n v="0"/>
    <m/>
    <n v="0"/>
    <s v="FLINTSL"/>
    <n v="24"/>
    <n v="0"/>
    <n v="67.53125"/>
    <n v="0"/>
    <s v="REFLEX BLUE"/>
    <s v="H01308RB"/>
    <s v="FLINTSL - REFLEX BLUE"/>
    <n v="6"/>
    <n v="0"/>
    <s v="E01026B/E00988B"/>
    <n v="43"/>
    <n v="0"/>
    <n v="26525000006"/>
    <s v="FMD"/>
    <n v="26524000018"/>
    <m/>
    <m/>
    <m/>
    <m/>
    <m/>
    <n v="10"/>
    <e v="#N/A"/>
    <n v="10"/>
    <n v="0"/>
    <n v="8"/>
    <e v="#N/A"/>
    <m/>
    <n v="0"/>
    <m/>
    <n v="0"/>
    <m/>
    <n v="0"/>
    <m/>
    <n v="0"/>
    <m/>
    <n v="0"/>
    <s v="FLINTSL"/>
    <n v="30"/>
    <n v="0"/>
    <n v="66.6875"/>
    <n v="0"/>
    <s v="REFLEX BLUE"/>
    <s v="H01279B"/>
    <s v="FLINTSL - REFLEX BLUE"/>
    <n v="23"/>
    <n v="0"/>
    <s v="C01453B/H01205B/H01215B"/>
    <n v="65"/>
    <n v="0"/>
    <n v="26527000015"/>
    <n v="26524000018"/>
    <m/>
    <m/>
    <m/>
    <m/>
    <m/>
    <m/>
    <n v="15"/>
    <e v="#N/A"/>
    <n v="10"/>
    <e v="#N/A"/>
    <m/>
    <n v="0"/>
    <m/>
    <n v="0"/>
    <m/>
    <n v="0"/>
    <m/>
    <n v="0"/>
    <m/>
    <n v="0"/>
    <m/>
    <n v="0"/>
    <s v="FLINTSL"/>
    <n v="30"/>
    <n v="0"/>
    <n v="122.375"/>
    <n v="0"/>
    <s v="OPV"/>
    <s v="H0125O"/>
    <s v="INK PRODUCT - OPV"/>
    <n v="18"/>
    <n v="0"/>
    <m/>
    <m/>
    <n v="0"/>
    <s v="1200W"/>
    <s v="1100J"/>
    <m/>
    <m/>
    <m/>
    <m/>
    <m/>
    <m/>
    <n v="90"/>
    <n v="0"/>
    <n v="90"/>
    <n v="0"/>
    <m/>
    <n v="0"/>
    <m/>
    <n v="0"/>
    <m/>
    <n v="0"/>
    <m/>
    <n v="0"/>
    <m/>
    <n v="0"/>
    <m/>
    <n v="0"/>
    <s v="INK PRODUCT"/>
    <n v="36"/>
    <n v="0"/>
    <n v="299.812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10"/>
    <n v="15"/>
    <n v="10"/>
    <n v="20"/>
    <n v="70"/>
    <n v="0"/>
    <n v="0"/>
    <n v="0.8"/>
    <n v="0.2"/>
    <m/>
    <m/>
    <m/>
    <n v="0"/>
    <n v="252"/>
    <n v="0"/>
    <n v="0"/>
    <n v="252"/>
    <n v="252"/>
    <n v="201.60000000000002"/>
    <n v="0"/>
    <n v="50.400000000000006"/>
    <n v="0"/>
    <n v="0"/>
    <n v="0"/>
    <n v="0"/>
    <n v="0"/>
    <n v="0"/>
    <n v="0"/>
    <n v="0"/>
    <n v="0"/>
    <n v="0"/>
    <m/>
    <n v="299"/>
    <n v="586"/>
    <n v="204"/>
    <s v="FLINTSLFLINTSLFLINTSLFLINTSLFLINTSLINK PRODUCT"/>
    <s v="+"/>
    <s v="+"/>
    <s v="+"/>
    <s v="+"/>
    <s v="+"/>
    <s v="+"/>
    <s v="NIL"/>
    <s v="NIL"/>
    <b v="0"/>
  </r>
  <r>
    <d v="2026-01-27T00:00:00"/>
    <s v="A"/>
    <x v="350"/>
    <n v="205"/>
    <n v="1877"/>
    <n v="95600"/>
    <s v="II"/>
    <s v="N"/>
    <n v="1.8"/>
    <s v="BLACK"/>
    <s v="H01395B"/>
    <s v="FLINTSL - BLACK"/>
    <n v="25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6"/>
    <n v="0"/>
    <n v="9.7040816326530575"/>
    <n v="0"/>
    <s v="REFLEX BLUE"/>
    <m/>
    <s v="FLINTSL - REFLEX BLUE"/>
    <m/>
    <n v="0"/>
    <m/>
    <m/>
    <n v="0"/>
    <n v="26527000017"/>
    <n v="26524000018"/>
    <m/>
    <m/>
    <m/>
    <m/>
    <m/>
    <m/>
    <n v="30"/>
    <e v="#N/A"/>
    <n v="4"/>
    <e v="#N/A"/>
    <m/>
    <n v="0"/>
    <m/>
    <n v="0"/>
    <m/>
    <n v="0"/>
    <m/>
    <n v="0"/>
    <m/>
    <n v="0"/>
    <m/>
    <n v="0"/>
    <s v="FLINTSL"/>
    <n v="26"/>
    <n v="0"/>
    <n v="19.173469387755105"/>
    <n v="0"/>
    <s v="GREEN"/>
    <m/>
    <s v="FLINTSL - GREEN"/>
    <m/>
    <n v="0"/>
    <m/>
    <m/>
    <n v="0"/>
    <n v="26527000024"/>
    <n v="26527000023"/>
    <m/>
    <m/>
    <m/>
    <m/>
    <m/>
    <m/>
    <n v="20"/>
    <e v="#N/A"/>
    <n v="3"/>
    <e v="#N/A"/>
    <m/>
    <n v="0"/>
    <m/>
    <n v="0"/>
    <m/>
    <n v="0"/>
    <m/>
    <n v="0"/>
    <m/>
    <n v="0"/>
    <m/>
    <n v="0"/>
    <s v="FLINTSL"/>
    <n v="24"/>
    <n v="0"/>
    <n v="21.34693877551021"/>
    <n v="0"/>
    <s v="RED"/>
    <s v="N00894R"/>
    <s v="FLINTSL - RED"/>
    <n v="28"/>
    <n v="0"/>
    <m/>
    <m/>
    <n v="0"/>
    <n v="26527000012"/>
    <n v="26528000020"/>
    <m/>
    <m/>
    <m/>
    <m/>
    <m/>
    <m/>
    <n v="9"/>
    <e v="#N/A"/>
    <n v="3"/>
    <e v="#N/A"/>
    <m/>
    <n v="0"/>
    <m/>
    <n v="0"/>
    <m/>
    <n v="0"/>
    <m/>
    <n v="0"/>
    <m/>
    <n v="0"/>
    <m/>
    <n v="0"/>
    <s v="FLINTSL"/>
    <n v="26"/>
    <n v="0"/>
    <n v="38.58163265306122"/>
    <n v="0"/>
    <s v="CYAN"/>
    <s v="N00894C"/>
    <s v="FLINTSL - CYAN"/>
    <n v="24"/>
    <n v="0"/>
    <s v="H01395C"/>
    <n v="24"/>
    <n v="0"/>
    <n v="26526000010"/>
    <s v="FMD"/>
    <m/>
    <m/>
    <m/>
    <m/>
    <m/>
    <m/>
    <n v="29"/>
    <e v="#N/A"/>
    <n v="14"/>
    <n v="0"/>
    <m/>
    <n v="0"/>
    <m/>
    <n v="0"/>
    <m/>
    <n v="0"/>
    <m/>
    <n v="0"/>
    <m/>
    <n v="0"/>
    <m/>
    <n v="0"/>
    <s v="FLINTSL"/>
    <n v="32"/>
    <n v="0"/>
    <n v="114.86734693877551"/>
    <n v="0"/>
    <s v="MAGENTA"/>
    <s v="N00894M"/>
    <s v="FLINTSL - MAGENTA"/>
    <n v="15"/>
    <n v="0"/>
    <s v="E01045M"/>
    <n v="27"/>
    <n v="0"/>
    <n v="26528000020"/>
    <s v="FMD"/>
    <m/>
    <m/>
    <m/>
    <m/>
    <m/>
    <m/>
    <n v="8"/>
    <e v="#N/A"/>
    <n v="10"/>
    <n v="0"/>
    <m/>
    <n v="0"/>
    <m/>
    <n v="0"/>
    <m/>
    <n v="0"/>
    <m/>
    <n v="0"/>
    <m/>
    <n v="0"/>
    <m/>
    <n v="0"/>
    <s v="FLINTSL"/>
    <n v="30"/>
    <n v="0"/>
    <n v="56.816326530612244"/>
    <n v="0"/>
    <s v="YELLOW"/>
    <s v="N00894Y"/>
    <s v="FLINTSL - YELLOW"/>
    <n v="30"/>
    <n v="0"/>
    <m/>
    <m/>
    <n v="0"/>
    <s v="TPT"/>
    <s v="FMD"/>
    <m/>
    <m/>
    <m/>
    <m/>
    <m/>
    <m/>
    <n v="85"/>
    <n v="0"/>
    <n v="20"/>
    <n v="0"/>
    <m/>
    <n v="0"/>
    <m/>
    <n v="0"/>
    <m/>
    <n v="0"/>
    <m/>
    <n v="0"/>
    <m/>
    <n v="0"/>
    <m/>
    <n v="0"/>
    <s v="FLINTSL"/>
    <n v="38"/>
    <n v="0"/>
    <n v="137.22448979591837"/>
    <n v="0"/>
    <s v="WHITE"/>
    <s v="N00894W"/>
    <s v="FLINTSL - WHITE"/>
    <n v="30"/>
    <n v="0"/>
    <m/>
    <m/>
    <n v="0"/>
    <s v="FW"/>
    <m/>
    <m/>
    <m/>
    <m/>
    <m/>
    <m/>
    <m/>
    <n v="360"/>
    <n v="0"/>
    <m/>
    <n v="0"/>
    <m/>
    <n v="0"/>
    <m/>
    <n v="0"/>
    <m/>
    <n v="0"/>
    <m/>
    <n v="0"/>
    <m/>
    <n v="0"/>
    <m/>
    <n v="0"/>
    <s v="FLINTSL"/>
    <n v="27"/>
    <n v="0"/>
    <n v="832.28571428571422"/>
    <n v="0"/>
    <n v="3"/>
    <n v="5"/>
    <n v="10"/>
    <n v="11"/>
    <n v="25"/>
    <n v="12"/>
    <n v="18"/>
    <n v="210"/>
    <n v="0.8"/>
    <n v="0.2"/>
    <m/>
    <m/>
    <m/>
    <n v="0"/>
    <n v="657"/>
    <n v="0"/>
    <n v="0"/>
    <n v="657"/>
    <n v="657"/>
    <n v="525.6"/>
    <n v="0"/>
    <n v="131.4"/>
    <n v="0"/>
    <n v="0"/>
    <n v="0"/>
    <n v="0"/>
    <n v="0"/>
    <n v="0"/>
    <n v="0"/>
    <n v="0"/>
    <n v="0"/>
    <n v="0"/>
    <m/>
    <n v="599"/>
    <n v="1230"/>
    <n v="205"/>
    <s v="FLINTSLFLINTSLFLINTSLFLINTSLFLINTSLFLINTSLFLINTSLFLINTSL"/>
    <s v="+"/>
    <s v="+"/>
    <s v="+"/>
    <s v="+"/>
    <s v="+"/>
    <s v="+"/>
    <s v="+"/>
    <s v="+"/>
    <b v="0"/>
  </r>
  <r>
    <d v="2026-01-27T00:00:00"/>
    <s v="A"/>
    <x v="351"/>
    <n v="206"/>
    <n v="989"/>
    <n v="48000"/>
    <s v="II"/>
    <s v="N"/>
    <n v="2.2000000000000002"/>
    <s v="BLACK"/>
    <s v="N00899B"/>
    <s v="FLINTSL - BLACK"/>
    <n v="26"/>
    <n v="0"/>
    <m/>
    <m/>
    <n v="0"/>
    <n v="26527000021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26"/>
    <n v="0"/>
    <n v="16.649999999999999"/>
    <n v="0"/>
    <s v="RED"/>
    <s v="N00899R"/>
    <s v="FLINTSL - RED"/>
    <n v="26"/>
    <n v="0"/>
    <m/>
    <m/>
    <n v="0"/>
    <n v="26527000012"/>
    <n v="26527000022"/>
    <m/>
    <m/>
    <m/>
    <m/>
    <m/>
    <m/>
    <n v="6"/>
    <e v="#N/A"/>
    <n v="2"/>
    <e v="#N/A"/>
    <m/>
    <n v="0"/>
    <m/>
    <n v="0"/>
    <m/>
    <n v="0"/>
    <m/>
    <n v="0"/>
    <m/>
    <n v="0"/>
    <m/>
    <n v="0"/>
    <s v="FLINTSL"/>
    <n v="29"/>
    <n v="0"/>
    <n v="13.649999999999999"/>
    <n v="0"/>
    <s v="CYAN"/>
    <s v="N00899C"/>
    <s v="FLINTSL - CYAN"/>
    <n v="20"/>
    <n v="0"/>
    <m/>
    <m/>
    <n v="0"/>
    <n v="26524000018"/>
    <s v="FMD"/>
    <m/>
    <m/>
    <m/>
    <m/>
    <m/>
    <m/>
    <n v="1"/>
    <e v="#N/A"/>
    <n v="6"/>
    <n v="0"/>
    <m/>
    <n v="0"/>
    <m/>
    <n v="0"/>
    <m/>
    <n v="0"/>
    <m/>
    <n v="0"/>
    <m/>
    <n v="0"/>
    <m/>
    <n v="0"/>
    <s v="FLINTSL"/>
    <n v="24"/>
    <n v="0"/>
    <n v="11.649999999999999"/>
    <n v="0"/>
    <s v="MAGENTA"/>
    <s v="N00899M"/>
    <s v="FLINTSL - MAGENTA"/>
    <n v="30"/>
    <n v="0"/>
    <m/>
    <m/>
    <n v="0"/>
    <n v="26528000020"/>
    <s v="FMD"/>
    <m/>
    <m/>
    <m/>
    <m/>
    <m/>
    <m/>
    <n v="2"/>
    <e v="#N/A"/>
    <n v="6"/>
    <n v="0"/>
    <m/>
    <n v="0"/>
    <m/>
    <n v="0"/>
    <m/>
    <n v="0"/>
    <m/>
    <n v="0"/>
    <m/>
    <n v="0"/>
    <m/>
    <n v="0"/>
    <s v="FLINTSL"/>
    <n v="23"/>
    <n v="0"/>
    <n v="23.65"/>
    <n v="0"/>
    <s v="YELLOW"/>
    <m/>
    <s v="FLINTSL - YELLOW"/>
    <m/>
    <n v="0"/>
    <m/>
    <m/>
    <n v="0"/>
    <n v="26527000018"/>
    <s v="FMD"/>
    <m/>
    <m/>
    <m/>
    <m/>
    <m/>
    <m/>
    <n v="10"/>
    <e v="#N/A"/>
    <n v="7"/>
    <n v="0"/>
    <m/>
    <n v="0"/>
    <m/>
    <n v="0"/>
    <m/>
    <n v="0"/>
    <m/>
    <n v="0"/>
    <m/>
    <n v="0"/>
    <m/>
    <n v="0"/>
    <s v="FLINTSL"/>
    <n v="24"/>
    <n v="0"/>
    <n v="1.6499999999999986"/>
    <n v="0"/>
    <s v="MEDIUM"/>
    <s v="E01015M"/>
    <s v="FLINTSL - MEDIUM"/>
    <n v="40"/>
    <n v="0"/>
    <s v="C01429M"/>
    <n v="22"/>
    <n v="0"/>
    <n v="26528000001"/>
    <n v="26527000026"/>
    <s v="FMD"/>
    <s v="FW"/>
    <m/>
    <m/>
    <m/>
    <m/>
    <n v="30"/>
    <e v="#N/A"/>
    <n v="25"/>
    <e v="#N/A"/>
    <n v="20"/>
    <n v="0"/>
    <n v="10"/>
    <n v="0"/>
    <m/>
    <n v="0"/>
    <m/>
    <n v="0"/>
    <m/>
    <n v="0"/>
    <m/>
    <n v="0"/>
    <s v="FLINTSL"/>
    <n v="30"/>
    <n v="0"/>
    <n v="117"/>
    <n v="0"/>
    <s v="GOLD"/>
    <s v="C01525G"/>
    <s v="FLINTSL - GOLD"/>
    <n v="30"/>
    <n v="0"/>
    <m/>
    <m/>
    <n v="0"/>
    <n v="70271"/>
    <n v="26527000024"/>
    <n v="165"/>
    <m/>
    <m/>
    <m/>
    <m/>
    <m/>
    <n v="8"/>
    <n v="0"/>
    <n v="2"/>
    <e v="#N/A"/>
    <n v="0.75"/>
    <n v="0"/>
    <m/>
    <n v="0"/>
    <m/>
    <n v="0"/>
    <m/>
    <n v="0"/>
    <m/>
    <n v="0"/>
    <m/>
    <n v="0"/>
    <s v="FLINTSL"/>
    <n v="30"/>
    <n v="0"/>
    <n v="28.049999999999997"/>
    <n v="0"/>
    <s v="WHITE"/>
    <s v="N00899W"/>
    <s v="FLINTSL - WHITE"/>
    <n v="27"/>
    <n v="0"/>
    <m/>
    <m/>
    <n v="0"/>
    <s v="FW"/>
    <m/>
    <m/>
    <m/>
    <m/>
    <m/>
    <m/>
    <m/>
    <n v="275"/>
    <n v="0"/>
    <m/>
    <n v="0"/>
    <m/>
    <n v="0"/>
    <m/>
    <n v="0"/>
    <m/>
    <n v="0"/>
    <m/>
    <n v="0"/>
    <m/>
    <n v="0"/>
    <m/>
    <n v="0"/>
    <s v="FLINTSL"/>
    <n v="24"/>
    <n v="0"/>
    <n v="563.45000000000005"/>
    <n v="0"/>
    <n v="5"/>
    <n v="5"/>
    <n v="5"/>
    <n v="5"/>
    <n v="5"/>
    <n v="0"/>
    <n v="10"/>
    <n v="165"/>
    <n v="0.8"/>
    <n v="0.2"/>
    <m/>
    <m/>
    <m/>
    <n v="0"/>
    <n v="346"/>
    <n v="0"/>
    <n v="0"/>
    <n v="346"/>
    <n v="346"/>
    <n v="276.8"/>
    <n v="0"/>
    <n v="69.2"/>
    <n v="0"/>
    <n v="0"/>
    <n v="0"/>
    <n v="0"/>
    <n v="0"/>
    <n v="0"/>
    <n v="0"/>
    <n v="0"/>
    <n v="0"/>
    <n v="0"/>
    <m/>
    <n v="418.75"/>
    <n v="775.75"/>
    <n v="206"/>
    <s v="FLINTSLFLINTSLFLINTSLFLINTSLFLINTSLFLINTSLFLINTSLFLINTSL"/>
    <s v="+"/>
    <s v="+"/>
    <s v="+"/>
    <s v="+"/>
    <s v="+"/>
    <s v="+"/>
    <s v="+"/>
    <s v="+"/>
    <b v="0"/>
  </r>
  <r>
    <d v="2026-01-27T00:00:00"/>
    <s v="A"/>
    <x v="352"/>
    <n v="207"/>
    <n v="8527"/>
    <n v="100300"/>
    <s v="II"/>
    <s v="N"/>
    <n v="1.1299999999999999"/>
    <s v="BLACK"/>
    <s v="H01380B"/>
    <s v="FLINTSL - BLACK"/>
    <n v="26"/>
    <n v="0"/>
    <m/>
    <m/>
    <n v="0"/>
    <n v="26527000021"/>
    <s v="FMD"/>
    <n v="26527000018"/>
    <m/>
    <m/>
    <m/>
    <m/>
    <m/>
    <n v="11"/>
    <e v="#N/A"/>
    <n v="4"/>
    <n v="0"/>
    <n v="4"/>
    <e v="#N/A"/>
    <m/>
    <n v="0"/>
    <m/>
    <n v="0"/>
    <m/>
    <n v="0"/>
    <m/>
    <n v="0"/>
    <m/>
    <n v="0"/>
    <s v="FLINTSL"/>
    <n v="28"/>
    <n v="0"/>
    <n v="46.190114068441062"/>
    <n v="0"/>
    <s v="GOLD"/>
    <s v="H01380G"/>
    <s v="FLINTSL - GOLD"/>
    <n v="30"/>
    <n v="0"/>
    <m/>
    <m/>
    <n v="0"/>
    <n v="70271"/>
    <n v="24161"/>
    <s v="FMD"/>
    <m/>
    <m/>
    <m/>
    <m/>
    <m/>
    <n v="11"/>
    <n v="0"/>
    <n v="10"/>
    <n v="0"/>
    <n v="3"/>
    <n v="0"/>
    <m/>
    <n v="0"/>
    <m/>
    <n v="0"/>
    <m/>
    <n v="0"/>
    <m/>
    <n v="0"/>
    <m/>
    <n v="0"/>
    <s v="FLINTSL"/>
    <n v="36"/>
    <n v="0"/>
    <n v="43.946768060836504"/>
    <n v="0"/>
    <s v="RED"/>
    <m/>
    <s v="FLINTSL - RED"/>
    <m/>
    <n v="0"/>
    <m/>
    <m/>
    <n v="0"/>
    <n v="26529000008"/>
    <s v="FMD"/>
    <n v="26528000003"/>
    <m/>
    <m/>
    <m/>
    <m/>
    <m/>
    <n v="37"/>
    <e v="#N/A"/>
    <n v="35"/>
    <n v="0"/>
    <n v="40"/>
    <e v="#N/A"/>
    <m/>
    <n v="0"/>
    <m/>
    <n v="0"/>
    <m/>
    <n v="0"/>
    <m/>
    <n v="0"/>
    <m/>
    <n v="0"/>
    <s v="FLINTSL"/>
    <n v="32"/>
    <n v="0"/>
    <n v="200.00380228136885"/>
    <n v="0"/>
    <s v="CYAN"/>
    <s v="N00899C"/>
    <s v="FLINTSL - CYAN"/>
    <n v="12"/>
    <n v="0"/>
    <m/>
    <m/>
    <n v="0"/>
    <n v="26527000016"/>
    <m/>
    <m/>
    <m/>
    <m/>
    <m/>
    <m/>
    <m/>
    <n v="14"/>
    <e v="#N/A"/>
    <m/>
    <n v="0"/>
    <m/>
    <n v="0"/>
    <m/>
    <n v="0"/>
    <m/>
    <n v="0"/>
    <m/>
    <n v="0"/>
    <m/>
    <n v="0"/>
    <m/>
    <n v="0"/>
    <s v="FLINTSL"/>
    <n v="30"/>
    <n v="0"/>
    <n v="38.163498098859321"/>
    <n v="0"/>
    <s v="MAGENTA"/>
    <s v="H01380M"/>
    <s v="FLINTSL - MAGENTA"/>
    <n v="23"/>
    <n v="0"/>
    <m/>
    <m/>
    <n v="0"/>
    <n v="26528000020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30"/>
    <n v="0"/>
    <n v="17.216730038022817"/>
    <n v="0"/>
    <s v="YELLOW"/>
    <s v="H01380Y"/>
    <s v="FLINTSL - YELLOW"/>
    <n v="24"/>
    <n v="0"/>
    <m/>
    <m/>
    <n v="0"/>
    <s v="FMD"/>
    <n v="26527000025"/>
    <m/>
    <m/>
    <m/>
    <m/>
    <m/>
    <m/>
    <n v="12"/>
    <n v="0"/>
    <n v="16"/>
    <e v="#N/A"/>
    <m/>
    <n v="0"/>
    <m/>
    <n v="0"/>
    <m/>
    <n v="0"/>
    <m/>
    <n v="0"/>
    <m/>
    <n v="0"/>
    <m/>
    <n v="0"/>
    <s v="FLINTSL"/>
    <n v="28"/>
    <n v="0"/>
    <n v="59.676806083650177"/>
    <n v="0"/>
    <s v="WHITE"/>
    <s v="H01380W"/>
    <s v="FLINTSL - WHITE"/>
    <n v="24"/>
    <n v="0"/>
    <m/>
    <m/>
    <n v="0"/>
    <s v="FW"/>
    <m/>
    <m/>
    <m/>
    <m/>
    <m/>
    <m/>
    <m/>
    <n v="300"/>
    <n v="0"/>
    <m/>
    <n v="0"/>
    <m/>
    <n v="0"/>
    <m/>
    <n v="0"/>
    <m/>
    <n v="0"/>
    <m/>
    <n v="0"/>
    <m/>
    <n v="0"/>
    <m/>
    <n v="0"/>
    <s v="FLINTSL"/>
    <n v="30"/>
    <n v="0"/>
    <n v="877.8022813688212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9"/>
    <n v="8"/>
    <n v="37"/>
    <n v="13"/>
    <n v="5"/>
    <n v="11"/>
    <n v="180"/>
    <n v="0"/>
    <n v="0.8"/>
    <n v="0.2"/>
    <m/>
    <m/>
    <m/>
    <n v="0"/>
    <n v="853"/>
    <n v="0"/>
    <n v="0"/>
    <n v="853"/>
    <n v="853"/>
    <n v="682.40000000000009"/>
    <n v="0"/>
    <n v="170.60000000000002"/>
    <n v="0"/>
    <n v="0"/>
    <n v="0"/>
    <n v="0"/>
    <n v="0"/>
    <n v="0"/>
    <n v="0"/>
    <n v="0"/>
    <n v="0"/>
    <n v="0"/>
    <m/>
    <n v="505"/>
    <n v="1283"/>
    <n v="207"/>
    <s v="FLINTSLFLINTSLFLINTSLFLINTSLFLINTSLFLINTSLFLINTSL"/>
    <s v="+"/>
    <s v="+"/>
    <s v="+"/>
    <s v="+"/>
    <s v="+"/>
    <s v="+"/>
    <s v="+"/>
    <s v="NIL"/>
    <b v="0"/>
  </r>
  <r>
    <d v="2026-01-28T00:00:00"/>
    <s v="A"/>
    <x v="259"/>
    <n v="208"/>
    <n v="612"/>
    <n v="7200"/>
    <s v="II"/>
    <s v="N"/>
    <n v="1.6"/>
    <s v="BLACK"/>
    <s v="P00419B"/>
    <s v="FLINTSL - BLACK"/>
    <n v="28"/>
    <n v="0"/>
    <m/>
    <m/>
    <n v="0"/>
    <n v="2652700001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4.6521739130434767"/>
    <n v="0"/>
    <s v="REFLEX BLUE"/>
    <s v="F00890B"/>
    <s v="FLINTSL - REFLEX BLUE"/>
    <n v="28"/>
    <n v="0"/>
    <s v="C01429B"/>
    <n v="10"/>
    <n v="0"/>
    <n v="26524000018"/>
    <n v="26527000015"/>
    <m/>
    <m/>
    <m/>
    <m/>
    <m/>
    <m/>
    <n v="2"/>
    <e v="#N/A"/>
    <n v="0.3"/>
    <e v="#N/A"/>
    <m/>
    <n v="0"/>
    <m/>
    <n v="0"/>
    <m/>
    <n v="0"/>
    <m/>
    <n v="0"/>
    <m/>
    <n v="0"/>
    <m/>
    <n v="0"/>
    <s v="FLINTSL"/>
    <n v="30"/>
    <n v="0"/>
    <n v="15.604347826086951"/>
    <n v="0"/>
    <s v="RED"/>
    <s v="E01027R"/>
    <s v="FLINTSL - RED"/>
    <n v="26"/>
    <n v="0"/>
    <s v="H01215R"/>
    <n v="10"/>
    <n v="0"/>
    <n v="26527000015"/>
    <n v="26529000007"/>
    <n v="26527000005"/>
    <m/>
    <m/>
    <m/>
    <m/>
    <m/>
    <n v="0.3"/>
    <e v="#N/A"/>
    <n v="5"/>
    <e v="#N/A"/>
    <n v="2"/>
    <e v="#N/A"/>
    <m/>
    <n v="0"/>
    <m/>
    <n v="0"/>
    <m/>
    <n v="0"/>
    <m/>
    <n v="0"/>
    <m/>
    <n v="0"/>
    <s v="FLINTSL"/>
    <n v="22"/>
    <n v="0"/>
    <n v="29.256521739130434"/>
    <n v="0"/>
    <s v="RED"/>
    <s v="C01525R"/>
    <s v="FLINTSL - RED"/>
    <n v="30"/>
    <n v="0"/>
    <m/>
    <m/>
    <n v="0"/>
    <n v="26527000005"/>
    <n v="26529000011"/>
    <s v="FMD"/>
    <m/>
    <m/>
    <m/>
    <m/>
    <m/>
    <n v="3"/>
    <e v="#N/A"/>
    <n v="2"/>
    <e v="#N/A"/>
    <n v="3"/>
    <n v="0"/>
    <m/>
    <n v="0"/>
    <m/>
    <n v="0"/>
    <m/>
    <n v="0"/>
    <m/>
    <n v="0"/>
    <m/>
    <n v="0"/>
    <s v="FLINTSL"/>
    <n v="20"/>
    <n v="0"/>
    <n v="25.956521739130437"/>
    <n v="0"/>
    <s v="CYAN"/>
    <s v="P00419C"/>
    <s v="FLINTSL - CYAN"/>
    <n v="30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30"/>
    <n v="0"/>
    <n v="4.6521739130434767"/>
    <n v="0"/>
    <s v="MAGENTA"/>
    <s v="P00419M"/>
    <s v="FLINTSL - MAGENTA"/>
    <n v="30"/>
    <n v="0"/>
    <m/>
    <m/>
    <n v="0"/>
    <n v="2652800002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4.6521739130434767"/>
    <n v="0"/>
    <s v="YELLOW"/>
    <s v="P00419Y"/>
    <s v="FLINTSL - YELLOW"/>
    <n v="28"/>
    <n v="0"/>
    <m/>
    <m/>
    <n v="0"/>
    <n v="2652700002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8"/>
    <n v="0"/>
    <n v="8.3043478260869534"/>
    <n v="0"/>
    <s v="WHITE"/>
    <s v="P00419W"/>
    <s v="FLINTSL - WHITE"/>
    <n v="30"/>
    <n v="0"/>
    <m/>
    <m/>
    <n v="0"/>
    <s v="FW"/>
    <m/>
    <m/>
    <m/>
    <m/>
    <m/>
    <m/>
    <m/>
    <n v="20"/>
    <n v="0"/>
    <m/>
    <n v="0"/>
    <m/>
    <n v="0"/>
    <m/>
    <n v="0"/>
    <m/>
    <n v="0"/>
    <m/>
    <n v="0"/>
    <m/>
    <n v="0"/>
    <m/>
    <n v="0"/>
    <s v="FLINTSL"/>
    <n v="30"/>
    <n v="0"/>
    <n v="46.521739130434781"/>
    <n v="0"/>
    <n v="1"/>
    <n v="2"/>
    <n v="3"/>
    <n v="3"/>
    <n v="1"/>
    <n v="1"/>
    <n v="2"/>
    <n v="10"/>
    <n v="0.8"/>
    <n v="0.2"/>
    <m/>
    <m/>
    <m/>
    <n v="0"/>
    <n v="61"/>
    <n v="0"/>
    <n v="0"/>
    <n v="61"/>
    <n v="61"/>
    <n v="48.800000000000004"/>
    <n v="0"/>
    <n v="12.200000000000001"/>
    <n v="0"/>
    <n v="0"/>
    <n v="0"/>
    <n v="0"/>
    <n v="0"/>
    <n v="0"/>
    <n v="0"/>
    <n v="0"/>
    <n v="0"/>
    <n v="0"/>
    <m/>
    <n v="46.6"/>
    <n v="139.59999999999997"/>
    <n v="208"/>
    <s v="FLINTSLFLINTSLFLINTSLFLINTSLFLINTSLFLINTSLFLINTSLFLINTSL"/>
    <s v="+"/>
    <s v="+"/>
    <s v="+"/>
    <s v="+"/>
    <s v="+"/>
    <s v="+"/>
    <s v="+"/>
    <s v="+"/>
    <b v="0"/>
  </r>
  <r>
    <d v="2026-01-28T00:00:00"/>
    <s v="A"/>
    <x v="353"/>
    <n v="209"/>
    <n v="498"/>
    <n v="22700"/>
    <s v="II"/>
    <s v="N"/>
    <n v="2"/>
    <s v="BLACK"/>
    <s v="P00452B"/>
    <s v="FLINTSL - BLACK"/>
    <n v="28"/>
    <n v="0"/>
    <m/>
    <m/>
    <n v="0"/>
    <n v="2652700002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6.0465116279069804"/>
    <n v="0"/>
    <s v="GREEN"/>
    <s v="N00894G"/>
    <s v="FLINTSL - GREEN"/>
    <n v="22"/>
    <n v="0"/>
    <m/>
    <m/>
    <n v="0"/>
    <n v="26524000018"/>
    <n v="26525000002"/>
    <m/>
    <m/>
    <m/>
    <m/>
    <m/>
    <m/>
    <n v="2"/>
    <e v="#N/A"/>
    <n v="1"/>
    <e v="#N/A"/>
    <m/>
    <n v="0"/>
    <m/>
    <n v="0"/>
    <m/>
    <n v="0"/>
    <m/>
    <n v="0"/>
    <m/>
    <n v="0"/>
    <m/>
    <n v="0"/>
    <s v="FLINTSL"/>
    <n v="28"/>
    <n v="0"/>
    <n v="17.232558139534888"/>
    <n v="0"/>
    <s v="CYAN"/>
    <s v="P00452C"/>
    <s v="FLINTSL - CYAN"/>
    <n v="30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30"/>
    <n v="0"/>
    <n v="6.0465116279069804"/>
    <n v="0"/>
    <s v="MAGENTA"/>
    <s v="P00452M"/>
    <s v="FLINTSL - MAGENTA"/>
    <n v="30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30"/>
    <n v="0"/>
    <n v="11.093023255813954"/>
    <n v="0"/>
    <s v="YELLOW"/>
    <s v="P00452Y"/>
    <s v="FLINTSL - YELLOW"/>
    <n v="28"/>
    <n v="0"/>
    <m/>
    <m/>
    <n v="0"/>
    <n v="26527000025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9"/>
    <n v="0"/>
    <n v="12.093023255813954"/>
    <n v="0"/>
    <s v="MEDIUM"/>
    <m/>
    <s v="FLINTSL - MEDIUM"/>
    <m/>
    <n v="0"/>
    <m/>
    <m/>
    <n v="0"/>
    <n v="26528000007"/>
    <n v="26528000004"/>
    <n v="26528000008"/>
    <n v="26528000009"/>
    <n v="26528000010"/>
    <m/>
    <m/>
    <m/>
    <n v="35"/>
    <e v="#N/A"/>
    <n v="30"/>
    <e v="#N/A"/>
    <n v="40"/>
    <e v="#N/A"/>
    <n v="20"/>
    <e v="#N/A"/>
    <n v="10"/>
    <e v="#N/A"/>
    <m/>
    <n v="0"/>
    <m/>
    <n v="0"/>
    <m/>
    <n v="0"/>
    <s v="FLINTSL"/>
    <n v="12"/>
    <n v="0"/>
    <n v="123"/>
    <n v="0"/>
    <s v="ORANGE"/>
    <s v="N00900O"/>
    <s v="FLINTSL - ORANGE"/>
    <n v="25"/>
    <n v="0"/>
    <m/>
    <m/>
    <n v="0"/>
    <n v="26527000012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8"/>
    <n v="0"/>
    <n v="9.0930232558139537"/>
    <n v="0"/>
    <s v="WHITE"/>
    <s v="P00452W"/>
    <s v="FLINTSL - WHITE"/>
    <n v="3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181.39534883720933"/>
    <n v="0"/>
    <n v="1"/>
    <n v="5"/>
    <n v="1"/>
    <n v="2"/>
    <n v="2"/>
    <n v="0"/>
    <n v="2"/>
    <n v="30"/>
    <n v="0.8"/>
    <n v="0.2"/>
    <m/>
    <m/>
    <m/>
    <n v="0"/>
    <n v="174"/>
    <n v="0"/>
    <n v="0"/>
    <n v="174"/>
    <n v="174"/>
    <n v="139.20000000000002"/>
    <n v="0"/>
    <n v="34.800000000000004"/>
    <n v="0"/>
    <n v="0"/>
    <n v="0"/>
    <n v="0"/>
    <n v="0"/>
    <n v="0"/>
    <n v="0"/>
    <n v="0"/>
    <n v="0"/>
    <n v="0"/>
    <m/>
    <n v="214"/>
    <n v="366"/>
    <n v="209"/>
    <s v="FLINTSLFLINTSLFLINTSLFLINTSLFLINTSLFLINTSLFLINTSLFLINTSL"/>
    <s v="+"/>
    <s v="+"/>
    <s v="+"/>
    <s v="+"/>
    <s v="+"/>
    <s v="+"/>
    <s v="+"/>
    <s v="+"/>
    <b v="0"/>
  </r>
  <r>
    <d v="2026-01-28T00:00:00"/>
    <s v="A"/>
    <x v="354"/>
    <n v="210"/>
    <n v="494"/>
    <n v="22500"/>
    <s v="II"/>
    <s v="N"/>
    <n v="2"/>
    <s v="BLACK"/>
    <s v="N00862B"/>
    <s v="FLINTSL - BLACK"/>
    <n v="28"/>
    <n v="0"/>
    <m/>
    <m/>
    <n v="0"/>
    <n v="26527000021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30"/>
    <n v="0"/>
    <n v="4.9200000000000017"/>
    <n v="0"/>
    <s v="GREEN"/>
    <s v="N00862G"/>
    <s v="FLINTSL - GREEN"/>
    <n v="28"/>
    <n v="0"/>
    <m/>
    <m/>
    <n v="0"/>
    <n v="26524000018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30"/>
    <n v="0"/>
    <n v="1.9600000000000009"/>
    <n v="0"/>
    <s v="CYAN"/>
    <s v="N00862C"/>
    <s v="FLINTSL - CYAN"/>
    <n v="30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30"/>
    <n v="0"/>
    <n v="8.9200000000000017"/>
    <n v="0"/>
    <s v="MAGENTA"/>
    <s v="N00862M"/>
    <s v="FLINTSL - MAGENTA"/>
    <n v="30"/>
    <n v="0"/>
    <m/>
    <m/>
    <n v="0"/>
    <n v="2652800002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1"/>
    <n v="0"/>
    <n v="6.9200000000000017"/>
    <n v="0"/>
    <s v="YELLOW"/>
    <s v="N00862Y"/>
    <s v="FLINTSL - YELLOW"/>
    <n v="29"/>
    <n v="0"/>
    <m/>
    <m/>
    <n v="0"/>
    <s v="FMD"/>
    <n v="26527000025"/>
    <m/>
    <m/>
    <m/>
    <m/>
    <m/>
    <m/>
    <n v="5"/>
    <n v="0"/>
    <n v="2"/>
    <e v="#N/A"/>
    <m/>
    <n v="0"/>
    <m/>
    <n v="0"/>
    <m/>
    <n v="0"/>
    <m/>
    <n v="0"/>
    <m/>
    <n v="0"/>
    <m/>
    <n v="0"/>
    <s v="FLINTSL"/>
    <n v="29"/>
    <n v="0"/>
    <n v="15.879999999999995"/>
    <n v="0"/>
    <s v="RED"/>
    <s v="N00862R"/>
    <s v="FLINTSL - RED"/>
    <n v="12"/>
    <n v="0"/>
    <m/>
    <m/>
    <n v="0"/>
    <n v="26528000011"/>
    <n v="26528000012"/>
    <n v="26528000005"/>
    <n v="26529000007"/>
    <m/>
    <m/>
    <m/>
    <m/>
    <n v="40"/>
    <e v="#N/A"/>
    <n v="40"/>
    <e v="#N/A"/>
    <n v="43"/>
    <e v="#N/A"/>
    <n v="2"/>
    <e v="#N/A"/>
    <m/>
    <n v="0"/>
    <m/>
    <n v="0"/>
    <m/>
    <n v="0"/>
    <m/>
    <n v="0"/>
    <s v="FLINTSL"/>
    <n v="38"/>
    <n v="0"/>
    <n v="122.68"/>
    <n v="0"/>
    <s v="ORANGE"/>
    <s v="N00862O"/>
    <s v="FLINTSL - ORANGE"/>
    <n v="28"/>
    <n v="0"/>
    <m/>
    <m/>
    <n v="0"/>
    <n v="2652700001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5.9200000000000017"/>
    <n v="0"/>
    <s v="WHITE"/>
    <s v="N00862W"/>
    <s v="FLINTSL - WHITE"/>
    <n v="3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9"/>
    <n v="0"/>
    <n v="149.80000000000001"/>
    <n v="0"/>
    <n v="2"/>
    <n v="1"/>
    <n v="2"/>
    <n v="2"/>
    <n v="3"/>
    <n v="8"/>
    <n v="2"/>
    <n v="30"/>
    <n v="0.8"/>
    <n v="0.2"/>
    <m/>
    <m/>
    <m/>
    <n v="0"/>
    <n v="148"/>
    <n v="0"/>
    <n v="0"/>
    <n v="148"/>
    <n v="148"/>
    <n v="118.4"/>
    <n v="0"/>
    <n v="29.6"/>
    <n v="0"/>
    <n v="0"/>
    <n v="0"/>
    <n v="0"/>
    <n v="0"/>
    <n v="0"/>
    <n v="0"/>
    <n v="0"/>
    <n v="0"/>
    <n v="0"/>
    <m/>
    <n v="201"/>
    <n v="317"/>
    <n v="210"/>
    <s v="FLINTSLFLINTSLFLINTSLFLINTSLFLINTSLFLINTSLFLINTSLFLINTSL"/>
    <s v="+"/>
    <s v="+"/>
    <s v="+"/>
    <s v="+"/>
    <s v="+"/>
    <s v="+"/>
    <s v="+"/>
    <s v="+"/>
    <b v="0"/>
  </r>
  <r>
    <d v="2026-01-28T00:00:00"/>
    <s v="A"/>
    <x v="355"/>
    <n v="211"/>
    <n v="498"/>
    <n v="22700"/>
    <s v="II"/>
    <s v="N"/>
    <n v="1.9"/>
    <s v="BLACK"/>
    <s v="N00861B"/>
    <s v="FLINTSL - BLACK"/>
    <n v="30"/>
    <n v="0"/>
    <m/>
    <m/>
    <n v="0"/>
    <n v="26523000020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30"/>
    <n v="0"/>
    <n v="23.400000000000006"/>
    <n v="0"/>
    <s v="GREEN"/>
    <s v="N00861G"/>
    <s v="FLINTSL - GREEN"/>
    <n v="30"/>
    <n v="0"/>
    <m/>
    <m/>
    <n v="0"/>
    <n v="26527000025"/>
    <n v="26526000010"/>
    <m/>
    <m/>
    <m/>
    <m/>
    <m/>
    <m/>
    <n v="2"/>
    <e v="#N/A"/>
    <n v="2"/>
    <e v="#N/A"/>
    <m/>
    <n v="0"/>
    <m/>
    <n v="0"/>
    <m/>
    <n v="0"/>
    <m/>
    <n v="0"/>
    <m/>
    <n v="0"/>
    <m/>
    <n v="0"/>
    <s v="FLINTSL"/>
    <n v="29"/>
    <n v="0"/>
    <n v="11.96"/>
    <n v="0"/>
    <s v="CYAN"/>
    <s v="N00861C"/>
    <s v="FLINTSL - CYAN"/>
    <n v="30"/>
    <n v="0"/>
    <m/>
    <m/>
    <n v="0"/>
    <n v="26524000018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0"/>
    <n v="0"/>
    <n v="21.400000000000006"/>
    <n v="0"/>
    <s v="MAGENTA"/>
    <s v="N00861M"/>
    <s v="FLINTSL - MAGENTA"/>
    <n v="31"/>
    <n v="0"/>
    <m/>
    <m/>
    <n v="0"/>
    <n v="26529000007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30"/>
    <n v="0"/>
    <n v="13.96"/>
    <n v="0"/>
    <s v="YELLOW"/>
    <s v="N00861Y"/>
    <s v="FLINTSL - YELLOW"/>
    <n v="29"/>
    <n v="0"/>
    <m/>
    <m/>
    <n v="0"/>
    <n v="26527000025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9"/>
    <n v="0"/>
    <n v="12.96"/>
    <n v="0"/>
    <s v="RED"/>
    <m/>
    <s v="FLINTSL - RED"/>
    <m/>
    <n v="0"/>
    <m/>
    <m/>
    <n v="0"/>
    <n v="26528000006"/>
    <n v="26528000015"/>
    <n v="26528000014"/>
    <m/>
    <m/>
    <m/>
    <m/>
    <m/>
    <n v="26.6"/>
    <e v="#N/A"/>
    <n v="40"/>
    <e v="#N/A"/>
    <n v="40"/>
    <e v="#N/A"/>
    <m/>
    <n v="0"/>
    <m/>
    <n v="0"/>
    <m/>
    <n v="0"/>
    <m/>
    <n v="0"/>
    <m/>
    <n v="0"/>
    <s v="FLINTSL"/>
    <n v="38"/>
    <n v="0"/>
    <n v="75.559999999999988"/>
    <n v="0"/>
    <s v="ORANGE"/>
    <s v="N00861O"/>
    <s v="FLINTSL - ORANGE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8.9600000000000009"/>
    <n v="0"/>
    <s v="WHITE"/>
    <s v="N00861W"/>
    <s v="FLINTSL - WHITE"/>
    <n v="29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24"/>
    <n v="0"/>
    <n v="159.39999999999998"/>
    <n v="0"/>
    <n v="5"/>
    <n v="2"/>
    <n v="5"/>
    <n v="2"/>
    <n v="2"/>
    <n v="2"/>
    <n v="2"/>
    <n v="30"/>
    <n v="0.8"/>
    <n v="0.2"/>
    <m/>
    <m/>
    <m/>
    <n v="0"/>
    <n v="174"/>
    <n v="0"/>
    <n v="0"/>
    <n v="174"/>
    <n v="174"/>
    <n v="139.20000000000002"/>
    <n v="0"/>
    <n v="34.800000000000004"/>
    <n v="0"/>
    <n v="0"/>
    <n v="0"/>
    <n v="0"/>
    <n v="0"/>
    <n v="0"/>
    <n v="0"/>
    <n v="0"/>
    <n v="0"/>
    <n v="0"/>
    <m/>
    <n v="182.6"/>
    <n v="327.60000000000002"/>
    <n v="211"/>
    <s v="FLINTSLFLINTSLFLINTSLFLINTSLFLINTSLFLINTSLFLINTSLFLINTSL"/>
    <s v="+"/>
    <s v="+"/>
    <s v="+"/>
    <s v="+"/>
    <s v="+"/>
    <s v="+"/>
    <s v="+"/>
    <s v="+"/>
    <b v="0"/>
  </r>
  <r>
    <d v="2026-01-28T00:00:00"/>
    <s v="A"/>
    <x v="356"/>
    <n v="212"/>
    <n v="742"/>
    <n v="33800"/>
    <s v="II"/>
    <s v="N"/>
    <n v="2.16"/>
    <s v="BLACK"/>
    <s v="N00860B"/>
    <s v="FLINTSL - BLACK"/>
    <n v="30"/>
    <n v="0"/>
    <m/>
    <m/>
    <n v="0"/>
    <n v="2652300002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24.25"/>
    <n v="0"/>
    <s v="BLACK"/>
    <m/>
    <s v="FLINTSL - BLACK"/>
    <m/>
    <n v="0"/>
    <m/>
    <m/>
    <n v="0"/>
    <n v="26528000018"/>
    <n v="26528000016"/>
    <n v="26528000017"/>
    <n v="26527000012"/>
    <n v="26529000007"/>
    <m/>
    <m/>
    <m/>
    <n v="40"/>
    <e v="#N/A"/>
    <n v="40"/>
    <e v="#N/A"/>
    <n v="40"/>
    <e v="#N/A"/>
    <n v="6"/>
    <e v="#N/A"/>
    <n v="4"/>
    <e v="#N/A"/>
    <m/>
    <n v="0"/>
    <m/>
    <n v="0"/>
    <m/>
    <n v="0"/>
    <s v="FLINTSL"/>
    <n v="29"/>
    <n v="0"/>
    <n v="117.25"/>
    <n v="0"/>
    <s v="GREEN"/>
    <s v="N00860G"/>
    <s v="FLINTSL - GREEN"/>
    <n v="29"/>
    <n v="0"/>
    <m/>
    <m/>
    <n v="0"/>
    <n v="26527000027"/>
    <n v="26526000010"/>
    <m/>
    <m/>
    <m/>
    <m/>
    <m/>
    <m/>
    <n v="2"/>
    <e v="#N/A"/>
    <n v="2"/>
    <e v="#N/A"/>
    <m/>
    <n v="0"/>
    <m/>
    <n v="0"/>
    <m/>
    <n v="0"/>
    <m/>
    <n v="0"/>
    <m/>
    <n v="0"/>
    <m/>
    <n v="0"/>
    <s v="FLINTSL"/>
    <n v="26"/>
    <n v="0"/>
    <n v="23.25"/>
    <n v="0"/>
    <s v="MAGENTA"/>
    <s v="N00860M"/>
    <s v="FLINTSL - MAGENTA"/>
    <n v="30"/>
    <n v="0"/>
    <m/>
    <m/>
    <n v="0"/>
    <n v="26529000007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18.25"/>
    <n v="0"/>
    <s v="YELLOW"/>
    <s v="N00860Y"/>
    <s v="FLINTSL - YELLOW"/>
    <n v="29"/>
    <n v="0"/>
    <m/>
    <m/>
    <n v="0"/>
    <n v="26527000025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30"/>
    <n v="0"/>
    <n v="21.25"/>
    <n v="0"/>
    <s v="GOLD"/>
    <s v="P00419G"/>
    <s v="INK PRODUCT - GOLD"/>
    <n v="20"/>
    <n v="0"/>
    <m/>
    <m/>
    <n v="0"/>
    <n v="24161"/>
    <n v="165"/>
    <m/>
    <m/>
    <m/>
    <m/>
    <m/>
    <m/>
    <n v="30"/>
    <n v="0"/>
    <n v="1.2"/>
    <n v="0"/>
    <m/>
    <n v="0"/>
    <m/>
    <n v="0"/>
    <m/>
    <n v="0"/>
    <m/>
    <n v="0"/>
    <m/>
    <n v="0"/>
    <m/>
    <n v="0"/>
    <s v="INK PRODUCT"/>
    <n v="28"/>
    <n v="0"/>
    <n v="55.7"/>
    <n v="0"/>
    <s v="WHITE"/>
    <s v="N00860W"/>
    <s v="FLINTSL - WHITE"/>
    <n v="24"/>
    <n v="0"/>
    <m/>
    <m/>
    <n v="0"/>
    <s v="FW"/>
    <m/>
    <m/>
    <m/>
    <m/>
    <m/>
    <m/>
    <m/>
    <n v="75"/>
    <n v="0"/>
    <m/>
    <n v="0"/>
    <m/>
    <n v="0"/>
    <m/>
    <n v="0"/>
    <m/>
    <n v="0"/>
    <m/>
    <n v="0"/>
    <m/>
    <n v="0"/>
    <m/>
    <n v="0"/>
    <s v="FLINTSL"/>
    <n v="30"/>
    <n v="0"/>
    <n v="215.2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5"/>
    <n v="10"/>
    <n v="45"/>
    <n v="0"/>
    <n v="0.8"/>
    <n v="0.2"/>
    <m/>
    <m/>
    <m/>
    <n v="0"/>
    <n v="260"/>
    <n v="0"/>
    <n v="0"/>
    <n v="260"/>
    <n v="260"/>
    <n v="208"/>
    <n v="0"/>
    <n v="52"/>
    <n v="0"/>
    <n v="0"/>
    <n v="0"/>
    <n v="0"/>
    <n v="0"/>
    <n v="0"/>
    <n v="0"/>
    <n v="0"/>
    <n v="0"/>
    <n v="0"/>
    <m/>
    <n v="250.2"/>
    <n v="475.2"/>
    <n v="212"/>
    <s v="FLINTSLFLINTSLFLINTSLFLINTSLFLINTSLINK PRODUCTFLINTSL"/>
    <s v="+"/>
    <s v="+"/>
    <s v="+"/>
    <s v="+"/>
    <s v="+"/>
    <s v="+"/>
    <s v="+"/>
    <s v="NIL"/>
    <b v="0"/>
  </r>
  <r>
    <d v="2026-01-28T00:00:00"/>
    <s v="A"/>
    <x v="357"/>
    <n v="214"/>
    <n v="4858"/>
    <n v="178400"/>
    <s v="II"/>
    <s v="N"/>
    <n v="2"/>
    <s v="BLACK"/>
    <s v="E01045B"/>
    <s v="FLINTSL - BLACK"/>
    <n v="26"/>
    <n v="0"/>
    <m/>
    <m/>
    <n v="0"/>
    <n v="26523000020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11.542299349240778"/>
    <n v="0"/>
    <s v="REFLEX BLUE"/>
    <s v="N00900B"/>
    <s v="FLINTSL - REFLEX BLUE"/>
    <n v="26"/>
    <n v="0"/>
    <m/>
    <m/>
    <n v="0"/>
    <n v="26529000015"/>
    <n v="26529000007"/>
    <n v="26523000020"/>
    <m/>
    <m/>
    <m/>
    <m/>
    <m/>
    <n v="30"/>
    <e v="#N/A"/>
    <n v="5"/>
    <e v="#N/A"/>
    <n v="4"/>
    <e v="#N/A"/>
    <m/>
    <n v="0"/>
    <m/>
    <n v="0"/>
    <m/>
    <n v="0"/>
    <m/>
    <n v="0"/>
    <m/>
    <n v="0"/>
    <s v="FLINTSL"/>
    <n v="24"/>
    <n v="0"/>
    <n v="93.711496746203906"/>
    <n v="0"/>
    <s v="MEDIUM"/>
    <m/>
    <s v="FLINTSL - MEDIUM"/>
    <m/>
    <n v="0"/>
    <m/>
    <m/>
    <n v="0"/>
    <s v="FW"/>
    <n v="26525000003"/>
    <s v="TPT"/>
    <m/>
    <m/>
    <m/>
    <m/>
    <m/>
    <n v="20"/>
    <n v="0"/>
    <n v="0.1"/>
    <e v="#N/A"/>
    <n v="0.1"/>
    <n v="0"/>
    <m/>
    <n v="0"/>
    <m/>
    <n v="0"/>
    <m/>
    <n v="0"/>
    <m/>
    <n v="0"/>
    <m/>
    <n v="0"/>
    <s v="FLINTSL"/>
    <n v="20"/>
    <n v="0"/>
    <n v="31.826898047722345"/>
    <n v="0"/>
    <s v="MAGENTA"/>
    <s v="P00419M"/>
    <s v="FLINTSL - MAGENTA"/>
    <n v="32"/>
    <n v="0"/>
    <m/>
    <m/>
    <n v="0"/>
    <n v="26529000007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2"/>
    <n v="0"/>
    <n v="16.65075921908894"/>
    <n v="0"/>
    <s v="YELLOW"/>
    <m/>
    <s v="FLINTSL - YELLOW"/>
    <m/>
    <n v="0"/>
    <m/>
    <m/>
    <n v="0"/>
    <s v="TP"/>
    <s v="FMD"/>
    <s v="FW"/>
    <m/>
    <m/>
    <m/>
    <m/>
    <m/>
    <n v="15"/>
    <n v="0"/>
    <n v="5"/>
    <n v="0"/>
    <n v="6"/>
    <n v="0"/>
    <m/>
    <n v="0"/>
    <m/>
    <n v="0"/>
    <m/>
    <n v="0"/>
    <m/>
    <n v="0"/>
    <m/>
    <n v="0"/>
    <s v="FLINTSL"/>
    <n v="28"/>
    <n v="0"/>
    <n v="40.169197396963114"/>
    <n v="0"/>
    <s v="YELLOW"/>
    <s v="H01337Y"/>
    <s v="FLINTSL - YELLOW"/>
    <n v="15"/>
    <n v="0"/>
    <s v="C01429Y/G00403Y/J00865Y"/>
    <n v="52"/>
    <n v="0"/>
    <n v="26529000014"/>
    <n v="26528000015"/>
    <n v="26529000017"/>
    <n v="26529000035"/>
    <n v="26529000031"/>
    <s v="TPT"/>
    <s v="FW"/>
    <n v="26527000012"/>
    <n v="40"/>
    <e v="#N/A"/>
    <n v="40"/>
    <e v="#N/A"/>
    <n v="44"/>
    <e v="#N/A"/>
    <n v="9"/>
    <e v="#N/A"/>
    <n v="16"/>
    <e v="#N/A"/>
    <n v="60"/>
    <n v="0"/>
    <n v="35"/>
    <n v="0"/>
    <n v="5"/>
    <e v="#N/A"/>
    <s v="FLINTSL"/>
    <n v="15"/>
    <n v="0"/>
    <n v="448.59219088937095"/>
    <n v="0"/>
    <s v="WHITE"/>
    <s v="N00861W"/>
    <s v="FLINTSL - WHITE"/>
    <n v="38"/>
    <n v="0"/>
    <s v="H01380W"/>
    <n v="30"/>
    <n v="0"/>
    <s v="FW"/>
    <m/>
    <m/>
    <m/>
    <m/>
    <m/>
    <m/>
    <m/>
    <n v="560"/>
    <n v="0"/>
    <m/>
    <n v="0"/>
    <m/>
    <n v="0"/>
    <m/>
    <n v="0"/>
    <m/>
    <n v="0"/>
    <m/>
    <n v="0"/>
    <m/>
    <n v="0"/>
    <m/>
    <n v="0"/>
    <s v="FLINTSL"/>
    <n v="30"/>
    <n v="0"/>
    <n v="1272.707158351409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25"/>
    <n v="15"/>
    <n v="6"/>
    <n v="20"/>
    <n v="70"/>
    <n v="320"/>
    <n v="0"/>
    <n v="0.8"/>
    <n v="0.2"/>
    <m/>
    <m/>
    <m/>
    <n v="0"/>
    <n v="972"/>
    <n v="0"/>
    <n v="0"/>
    <n v="972"/>
    <n v="972"/>
    <n v="777.6"/>
    <n v="0"/>
    <n v="194.4"/>
    <n v="0"/>
    <n v="0"/>
    <n v="0"/>
    <n v="0"/>
    <n v="0"/>
    <n v="0"/>
    <n v="0"/>
    <n v="0"/>
    <n v="0"/>
    <n v="0"/>
    <m/>
    <n v="903.2"/>
    <n v="1915.1999999999998"/>
    <n v="214"/>
    <s v="FLINTSLFLINTSLFLINTSLFLINTSLFLINTSLFLINTSLFLINTSL"/>
    <s v="+"/>
    <s v="+"/>
    <s v="+"/>
    <s v="+"/>
    <s v="+"/>
    <s v="+"/>
    <s v="+"/>
    <s v="NIL"/>
    <b v="0"/>
  </r>
  <r>
    <d v="2026-01-29T00:00:00"/>
    <s v="B"/>
    <x v="358"/>
    <n v="215"/>
    <n v="255"/>
    <n v="11600"/>
    <s v="I"/>
    <s v="N"/>
    <n v="2"/>
    <s v="GOLD"/>
    <s v="P00419G"/>
    <s v="INK PRODUCT - GOLD"/>
    <n v="36"/>
    <n v="0"/>
    <m/>
    <m/>
    <n v="0"/>
    <n v="70271"/>
    <m/>
    <m/>
    <m/>
    <m/>
    <m/>
    <m/>
    <m/>
    <n v="5"/>
    <n v="0"/>
    <m/>
    <n v="0"/>
    <m/>
    <n v="0"/>
    <m/>
    <n v="0"/>
    <m/>
    <n v="0"/>
    <m/>
    <n v="0"/>
    <m/>
    <n v="0"/>
    <m/>
    <n v="0"/>
    <s v="INK PRODUCT"/>
    <n v="32"/>
    <n v="0"/>
    <n v="13.810810810810814"/>
    <n v="0"/>
    <s v="BLACK"/>
    <s v="J00974B"/>
    <s v="FLINTSL - BLACK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0"/>
    <n v="7.8108108108108141"/>
    <n v="0"/>
    <s v="REFLEX BLUE"/>
    <s v="N00900RB"/>
    <s v="FLINTSL - REFLEX BLUE"/>
    <n v="26"/>
    <n v="0"/>
    <m/>
    <m/>
    <n v="0"/>
    <n v="26525000006"/>
    <n v="26523000020"/>
    <m/>
    <m/>
    <m/>
    <m/>
    <m/>
    <m/>
    <n v="5"/>
    <e v="#N/A"/>
    <n v="9"/>
    <e v="#N/A"/>
    <m/>
    <n v="0"/>
    <m/>
    <n v="0"/>
    <m/>
    <n v="0"/>
    <m/>
    <n v="0"/>
    <m/>
    <n v="0"/>
    <m/>
    <n v="0"/>
    <s v="FLINTSL"/>
    <n v="30"/>
    <n v="0"/>
    <n v="14.810810810810814"/>
    <n v="0"/>
    <s v="GREEN"/>
    <s v="C01435G"/>
    <s v="FLINTSL - GREEN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4"/>
    <n v="0"/>
    <n v="9.8108108108108141"/>
    <n v="0"/>
    <s v="BLACK"/>
    <m/>
    <s v="FLINTSL - BLACK"/>
    <m/>
    <n v="0"/>
    <m/>
    <m/>
    <n v="0"/>
    <n v="26527000012"/>
    <n v="26527000023"/>
    <n v="26529000018"/>
    <m/>
    <m/>
    <m/>
    <m/>
    <m/>
    <n v="6"/>
    <e v="#N/A"/>
    <n v="20"/>
    <e v="#N/A"/>
    <n v="10"/>
    <e v="#N/A"/>
    <m/>
    <n v="0"/>
    <m/>
    <n v="0"/>
    <m/>
    <n v="0"/>
    <m/>
    <n v="0"/>
    <m/>
    <n v="0"/>
    <s v="FLINTSL"/>
    <n v="20"/>
    <n v="0"/>
    <n v="28.027027027027032"/>
    <n v="0"/>
    <s v="MAGENTA"/>
    <s v="J00974M"/>
    <s v="FLINTSL - MAGENTA"/>
    <n v="32"/>
    <n v="0"/>
    <m/>
    <m/>
    <n v="0"/>
    <n v="26529000018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3"/>
    <n v="0"/>
    <n v="8.8108108108108141"/>
    <n v="0"/>
    <s v="YELLOW"/>
    <s v="J00974Y"/>
    <s v="FLINTSL - YELLOW"/>
    <n v="28"/>
    <n v="0"/>
    <m/>
    <m/>
    <n v="0"/>
    <n v="26527000023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6.8108108108108141"/>
    <n v="0"/>
    <s v="WHITE"/>
    <s v="J00974W"/>
    <s v="FLINTSL - WHITE"/>
    <n v="30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30"/>
    <n v="0"/>
    <n v="88.108108108108112"/>
    <n v="0"/>
    <n v="2"/>
    <n v="2"/>
    <n v="2"/>
    <n v="2"/>
    <n v="5"/>
    <n v="2"/>
    <n v="2"/>
    <n v="20"/>
    <n v="0.8"/>
    <n v="0.2"/>
    <m/>
    <m/>
    <m/>
    <n v="0"/>
    <n v="89"/>
    <n v="0"/>
    <n v="0"/>
    <n v="89"/>
    <n v="89"/>
    <n v="71.2"/>
    <n v="0"/>
    <n v="17.8"/>
    <n v="0"/>
    <n v="0"/>
    <n v="0"/>
    <n v="0"/>
    <n v="0"/>
    <n v="0"/>
    <n v="0"/>
    <n v="0"/>
    <n v="0"/>
    <n v="0"/>
    <m/>
    <n v="102"/>
    <n v="178"/>
    <n v="215"/>
    <s v="INK PRODUCTFLINTSLFLINTSLFLINTSLFLINTSLFLINTSLFLINTSLFLINTSL"/>
    <s v="+"/>
    <s v="+"/>
    <s v="+"/>
    <s v="+"/>
    <s v="+"/>
    <s v="+"/>
    <s v="+"/>
    <s v="+"/>
    <b v="0"/>
  </r>
  <r>
    <d v="2026-01-29T00:00:00"/>
    <s v="B"/>
    <x v="359"/>
    <n v="216"/>
    <n v="381"/>
    <n v="11000"/>
    <s v="I"/>
    <s v="N"/>
    <n v="2.2400000000000002"/>
    <s v="BLACK"/>
    <s v="N00870B"/>
    <s v="FLINTSL - BLACK"/>
    <n v="27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9"/>
    <n v="0"/>
    <n v="6.0140845070422557"/>
    <n v="0"/>
    <s v="REFLEX BLUE"/>
    <s v="N00870B"/>
    <s v="FLINTSL - REFLEX BLUE"/>
    <n v="20"/>
    <n v="0"/>
    <m/>
    <m/>
    <n v="0"/>
    <n v="26527000014"/>
    <n v="26525000006"/>
    <s v="FMD"/>
    <m/>
    <m/>
    <m/>
    <m/>
    <m/>
    <n v="2"/>
    <e v="#N/A"/>
    <n v="7"/>
    <e v="#N/A"/>
    <n v="4"/>
    <n v="0"/>
    <m/>
    <n v="0"/>
    <m/>
    <n v="0"/>
    <m/>
    <n v="0"/>
    <m/>
    <n v="0"/>
    <m/>
    <n v="0"/>
    <s v="FLINTSL"/>
    <n v="30"/>
    <n v="0"/>
    <n v="7.0140845070422557"/>
    <n v="0"/>
    <s v="REFLEX BLUE"/>
    <s v="N00870RB"/>
    <s v="FLINTSL - REFLEX BLUE"/>
    <n v="10"/>
    <n v="0"/>
    <m/>
    <m/>
    <n v="0"/>
    <n v="26529000015"/>
    <n v="26527000016"/>
    <m/>
    <m/>
    <m/>
    <m/>
    <m/>
    <m/>
    <n v="8"/>
    <e v="#N/A"/>
    <n v="8"/>
    <e v="#N/A"/>
    <m/>
    <n v="0"/>
    <m/>
    <n v="0"/>
    <m/>
    <n v="0"/>
    <m/>
    <n v="0"/>
    <m/>
    <n v="0"/>
    <m/>
    <n v="0"/>
    <s v="FLINTSL"/>
    <n v="23"/>
    <n v="0"/>
    <n v="7.0140845070422522"/>
    <n v="0"/>
    <s v="MEDIUM"/>
    <m/>
    <s v="FLINTSL - MEDIUM"/>
    <m/>
    <n v="0"/>
    <m/>
    <m/>
    <n v="0"/>
    <s v="FW"/>
    <s v="FMD"/>
    <n v="26526000010"/>
    <n v="26525000002"/>
    <m/>
    <m/>
    <m/>
    <m/>
    <n v="25"/>
    <n v="0"/>
    <n v="20"/>
    <n v="0"/>
    <n v="3"/>
    <e v="#N/A"/>
    <n v="0.5"/>
    <e v="#N/A"/>
    <m/>
    <n v="0"/>
    <m/>
    <n v="0"/>
    <m/>
    <n v="0"/>
    <m/>
    <n v="0"/>
    <s v="FLINTSL"/>
    <n v="46"/>
    <n v="0"/>
    <n v="42.640845070422529"/>
    <n v="0"/>
    <s v="CYAN"/>
    <m/>
    <s v="FLINTSL - CYAN"/>
    <m/>
    <n v="0"/>
    <m/>
    <m/>
    <n v="0"/>
    <n v="26527000016"/>
    <s v="FMD"/>
    <m/>
    <m/>
    <m/>
    <m/>
    <m/>
    <m/>
    <n v="12"/>
    <e v="#N/A"/>
    <n v="6"/>
    <n v="0"/>
    <m/>
    <n v="0"/>
    <m/>
    <n v="0"/>
    <m/>
    <n v="0"/>
    <m/>
    <n v="0"/>
    <m/>
    <n v="0"/>
    <m/>
    <n v="0"/>
    <s v="FLINTSL"/>
    <n v="22"/>
    <n v="0"/>
    <n v="6.704225352112676"/>
    <n v="0"/>
    <s v="MAGENTA"/>
    <s v="N00870M"/>
    <s v="FLINTSL - MAGENTA"/>
    <n v="33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30"/>
    <n v="0"/>
    <n v="7.6760563380281681"/>
    <n v="0"/>
    <s v="YELLOW"/>
    <s v="N00870Y"/>
    <s v="FLINTSL - YELLOW"/>
    <n v="28"/>
    <n v="0"/>
    <m/>
    <m/>
    <n v="0"/>
    <n v="26527000027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9"/>
    <n v="0"/>
    <n v="4.6760563380281681"/>
    <n v="0"/>
    <s v="WHITE"/>
    <s v="N00870W"/>
    <s v="FLINTSL - WHITE"/>
    <n v="30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30"/>
    <n v="0"/>
    <n v="66.760563380281695"/>
    <n v="0"/>
    <n v="3"/>
    <n v="3"/>
    <n v="3"/>
    <n v="30"/>
    <n v="8"/>
    <n v="2"/>
    <n v="2"/>
    <n v="20"/>
    <n v="0.8"/>
    <n v="0.2"/>
    <m/>
    <m/>
    <m/>
    <n v="0"/>
    <n v="95"/>
    <n v="0"/>
    <n v="0"/>
    <n v="95"/>
    <n v="95"/>
    <n v="76"/>
    <n v="0"/>
    <n v="19"/>
    <n v="0"/>
    <n v="0"/>
    <n v="0"/>
    <n v="0"/>
    <n v="0"/>
    <n v="0"/>
    <n v="0"/>
    <n v="0"/>
    <n v="0"/>
    <n v="0"/>
    <m/>
    <n v="144.5"/>
    <n v="148.5"/>
    <n v="216"/>
    <s v="FLINTSLFLINTSLFLINTSLFLINTSLFLINTSLFLINTSLFLINTSLFLINTSL"/>
    <s v="+"/>
    <s v="+"/>
    <s v="+"/>
    <s v="+"/>
    <s v="+"/>
    <s v="+"/>
    <s v="+"/>
    <s v="+"/>
    <b v="0"/>
  </r>
  <r>
    <d v="2026-01-29T00:00:00"/>
    <s v="B"/>
    <x v="360"/>
    <n v="217"/>
    <n v="929"/>
    <n v="44100"/>
    <s v="I"/>
    <s v="N"/>
    <n v="1.76"/>
    <s v="BLACK"/>
    <s v="J00942B"/>
    <s v="FLINTSL - BLACK"/>
    <n v="29"/>
    <n v="0"/>
    <m/>
    <m/>
    <n v="0"/>
    <n v="26530000023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7"/>
    <n v="0"/>
    <n v="5"/>
    <n v="0"/>
    <s v="GOLD"/>
    <s v="N00870G"/>
    <s v="INK PRODUCT - GOLD"/>
    <n v="32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INK PRODUCT"/>
    <n v="26"/>
    <n v="0"/>
    <n v="6"/>
    <n v="0"/>
    <s v="BLACK"/>
    <m/>
    <s v="FLINTSL - BLACK"/>
    <m/>
    <n v="0"/>
    <m/>
    <m/>
    <n v="0"/>
    <n v="26529000046"/>
    <n v="26530000005"/>
    <n v="26529000018"/>
    <n v="26530000023"/>
    <m/>
    <m/>
    <m/>
    <m/>
    <n v="40"/>
    <e v="#N/A"/>
    <n v="30"/>
    <e v="#N/A"/>
    <n v="6"/>
    <e v="#N/A"/>
    <n v="4"/>
    <e v="#N/A"/>
    <m/>
    <n v="0"/>
    <m/>
    <n v="0"/>
    <m/>
    <n v="0"/>
    <m/>
    <n v="0"/>
    <s v="FLINTSL"/>
    <n v="30"/>
    <n v="0"/>
    <n v="63.343999999999994"/>
    <n v="0"/>
    <s v="REFLEX BLUE"/>
    <s v="J00942B"/>
    <s v="FLINTSL - REFLEX BLUE"/>
    <n v="23"/>
    <n v="0"/>
    <m/>
    <m/>
    <n v="0"/>
    <n v="26527000014"/>
    <n v="26525000002"/>
    <m/>
    <m/>
    <m/>
    <m/>
    <m/>
    <m/>
    <n v="2"/>
    <e v="#N/A"/>
    <n v="2"/>
    <e v="#N/A"/>
    <m/>
    <n v="0"/>
    <m/>
    <n v="0"/>
    <m/>
    <n v="0"/>
    <m/>
    <n v="0"/>
    <m/>
    <n v="0"/>
    <m/>
    <n v="0"/>
    <s v="FLINTSL"/>
    <n v="26"/>
    <n v="0"/>
    <n v="5.4480000000000004"/>
    <n v="0"/>
    <s v="CYAN"/>
    <s v="J00942C"/>
    <s v="FLINTSL - CYAN"/>
    <n v="22"/>
    <n v="0"/>
    <m/>
    <m/>
    <n v="0"/>
    <n v="26526000010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3"/>
    <n v="0"/>
    <n v="7.4480000000000004"/>
    <n v="0"/>
    <s v="MAGENTA"/>
    <s v="J00942M"/>
    <s v="FLINTSL - MAGENTA"/>
    <n v="30"/>
    <n v="0"/>
    <m/>
    <m/>
    <n v="0"/>
    <n v="26529000018"/>
    <s v="FMD"/>
    <m/>
    <m/>
    <m/>
    <m/>
    <m/>
    <m/>
    <n v="5"/>
    <e v="#N/A"/>
    <n v="4"/>
    <n v="0"/>
    <m/>
    <n v="0"/>
    <m/>
    <n v="0"/>
    <m/>
    <n v="0"/>
    <m/>
    <n v="0"/>
    <m/>
    <n v="0"/>
    <m/>
    <n v="0"/>
    <s v="FLINTSL"/>
    <n v="22"/>
    <n v="0"/>
    <n v="28.120000000000005"/>
    <n v="0"/>
    <s v="YELLOW"/>
    <s v="J00942Y"/>
    <s v="FLINTSL - YELLOW"/>
    <n v="29"/>
    <n v="0"/>
    <m/>
    <m/>
    <n v="0"/>
    <n v="26529000013"/>
    <s v="FMD"/>
    <m/>
    <m/>
    <m/>
    <m/>
    <m/>
    <m/>
    <n v="15"/>
    <e v="#N/A"/>
    <n v="5"/>
    <n v="0"/>
    <m/>
    <n v="0"/>
    <m/>
    <n v="0"/>
    <m/>
    <n v="0"/>
    <m/>
    <n v="0"/>
    <m/>
    <n v="0"/>
    <m/>
    <n v="0"/>
    <s v="FLINTSL"/>
    <n v="22"/>
    <n v="0"/>
    <n v="49.240000000000009"/>
    <n v="0"/>
    <s v="WHITE"/>
    <s v="J00942W"/>
    <s v="FLINTSL - WHITE"/>
    <n v="30"/>
    <n v="0"/>
    <m/>
    <m/>
    <n v="0"/>
    <s v="FW"/>
    <m/>
    <m/>
    <m/>
    <m/>
    <m/>
    <m/>
    <m/>
    <n v="160"/>
    <n v="0"/>
    <m/>
    <n v="0"/>
    <m/>
    <n v="0"/>
    <m/>
    <n v="0"/>
    <m/>
    <n v="0"/>
    <m/>
    <n v="0"/>
    <m/>
    <n v="0"/>
    <m/>
    <n v="0"/>
    <s v="FLINTSL"/>
    <n v="30"/>
    <n v="0"/>
    <n v="382.4"/>
    <n v="0"/>
    <n v="0"/>
    <n v="0"/>
    <n v="6"/>
    <n v="2"/>
    <n v="2"/>
    <n v="5"/>
    <n v="10"/>
    <n v="100"/>
    <n v="0.8"/>
    <n v="0.2"/>
    <m/>
    <m/>
    <m/>
    <n v="0"/>
    <n v="278"/>
    <n v="0"/>
    <n v="0"/>
    <n v="278"/>
    <n v="278"/>
    <n v="222.4"/>
    <n v="0"/>
    <n v="55.6"/>
    <n v="0"/>
    <n v="0"/>
    <n v="0"/>
    <n v="0"/>
    <n v="0"/>
    <n v="0"/>
    <n v="0"/>
    <n v="0"/>
    <n v="0"/>
    <n v="0"/>
    <m/>
    <n v="280"/>
    <n v="547"/>
    <n v="217"/>
    <s v="FLINTSLINK PRODUCTFLINTSLFLINTSLFLINTSLFLINTSLFLINTSLFLINTSL"/>
    <s v="+"/>
    <s v="+"/>
    <s v="+"/>
    <s v="+"/>
    <s v="+"/>
    <s v="+"/>
    <s v="+"/>
    <s v="+"/>
    <b v="0"/>
  </r>
  <r>
    <d v="2026-01-29T00:00:00"/>
    <s v="B"/>
    <x v="361"/>
    <n v="218"/>
    <n v="463"/>
    <n v="22000"/>
    <s v="I"/>
    <s v="N"/>
    <n v="0.78"/>
    <s v="BLACK"/>
    <s v="E01021B"/>
    <s v="FLINTSL - BLACK"/>
    <n v="27"/>
    <n v="0"/>
    <m/>
    <m/>
    <n v="0"/>
    <n v="26530000023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6"/>
    <n v="0"/>
    <n v="9.9487179487179489"/>
    <n v="0"/>
    <s v="RED"/>
    <m/>
    <s v="FLINTSL - RED"/>
    <m/>
    <n v="0"/>
    <m/>
    <m/>
    <n v="0"/>
    <n v="26529000023"/>
    <n v="26527000012"/>
    <m/>
    <m/>
    <m/>
    <m/>
    <m/>
    <m/>
    <n v="15"/>
    <e v="#N/A"/>
    <n v="6"/>
    <e v="#N/A"/>
    <m/>
    <n v="0"/>
    <m/>
    <n v="0"/>
    <m/>
    <n v="0"/>
    <m/>
    <n v="0"/>
    <m/>
    <n v="0"/>
    <m/>
    <n v="0"/>
    <s v="FLINTSL"/>
    <n v="22"/>
    <n v="0"/>
    <n v="28.743589743589737"/>
    <n v="0"/>
    <s v="ORANGE"/>
    <m/>
    <s v="FLINTSL - ORANGE"/>
    <m/>
    <n v="0"/>
    <m/>
    <m/>
    <n v="0"/>
    <n v="26527000012"/>
    <n v="26527000027"/>
    <s v="FMD"/>
    <n v="26530000009"/>
    <m/>
    <m/>
    <m/>
    <m/>
    <n v="3"/>
    <e v="#N/A"/>
    <n v="10"/>
    <e v="#N/A"/>
    <n v="6"/>
    <n v="0"/>
    <n v="20"/>
    <e v="#N/A"/>
    <m/>
    <n v="0"/>
    <m/>
    <n v="0"/>
    <m/>
    <n v="0"/>
    <m/>
    <n v="0"/>
    <s v="FLINTSL"/>
    <n v="30"/>
    <n v="0"/>
    <n v="38.743589743589737"/>
    <n v="0"/>
    <s v="BLACK"/>
    <s v="E01021B"/>
    <s v="FLINTSL - BLACK"/>
    <n v="15"/>
    <n v="0"/>
    <m/>
    <m/>
    <n v="0"/>
    <n v="26529000018"/>
    <n v="26530000006"/>
    <n v="26527000012"/>
    <n v="26529000013"/>
    <m/>
    <m/>
    <m/>
    <m/>
    <n v="3"/>
    <e v="#N/A"/>
    <n v="40"/>
    <e v="#N/A"/>
    <n v="10"/>
    <e v="#N/A"/>
    <n v="5"/>
    <e v="#N/A"/>
    <m/>
    <n v="0"/>
    <m/>
    <n v="0"/>
    <m/>
    <n v="0"/>
    <m/>
    <n v="0"/>
    <s v="FLINTSL"/>
    <n v="23"/>
    <n v="0"/>
    <n v="67.84615384615384"/>
    <n v="0"/>
    <s v="CYAN"/>
    <s v="E01021C"/>
    <s v="FLINTSL - CYAN"/>
    <n v="23"/>
    <n v="0"/>
    <m/>
    <m/>
    <n v="0"/>
    <n v="26527000016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6"/>
    <n v="0"/>
    <n v="8.9487179487179489"/>
    <n v="0"/>
    <s v="BLACK"/>
    <s v="E01021B"/>
    <s v="FLINTSL - BLACK"/>
    <n v="15"/>
    <n v="0"/>
    <m/>
    <m/>
    <n v="0"/>
    <n v="26527000012"/>
    <n v="26530000035"/>
    <m/>
    <m/>
    <m/>
    <m/>
    <m/>
    <m/>
    <n v="3"/>
    <e v="#N/A"/>
    <n v="2"/>
    <e v="#N/A"/>
    <m/>
    <n v="0"/>
    <m/>
    <n v="0"/>
    <m/>
    <n v="0"/>
    <m/>
    <n v="0"/>
    <m/>
    <n v="0"/>
    <m/>
    <n v="0"/>
    <s v="FLINTSL"/>
    <n v="24"/>
    <n v="0"/>
    <n v="4.9230769230769234"/>
    <n v="0"/>
    <s v="MAGENTA"/>
    <s v="E01021M"/>
    <s v="FLINTSL - MAGENTA"/>
    <n v="22"/>
    <n v="0"/>
    <m/>
    <m/>
    <n v="0"/>
    <n v="26529000018"/>
    <s v="FMD"/>
    <m/>
    <m/>
    <m/>
    <m/>
    <m/>
    <m/>
    <n v="4"/>
    <e v="#N/A"/>
    <n v="3"/>
    <n v="0"/>
    <m/>
    <n v="0"/>
    <m/>
    <n v="0"/>
    <m/>
    <n v="0"/>
    <m/>
    <n v="0"/>
    <m/>
    <n v="0"/>
    <m/>
    <n v="0"/>
    <s v="FLINTSL"/>
    <n v="28"/>
    <n v="0"/>
    <n v="12.897435897435898"/>
    <n v="0"/>
    <s v="YELLOW"/>
    <s v="E01021Y"/>
    <s v="FLINTSL - YELLOW"/>
    <n v="22"/>
    <n v="0"/>
    <m/>
    <m/>
    <n v="0"/>
    <n v="26529000013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30"/>
    <n v="0"/>
    <n v="7.9487179487179489"/>
    <n v="0"/>
    <n v="2"/>
    <n v="10"/>
    <n v="10"/>
    <n v="6"/>
    <n v="2"/>
    <n v="3"/>
    <n v="4"/>
    <n v="2"/>
    <n v="0.8"/>
    <n v="0.2"/>
    <m/>
    <m/>
    <m/>
    <n v="0"/>
    <n v="116"/>
    <n v="0"/>
    <n v="0"/>
    <n v="116"/>
    <n v="116"/>
    <n v="92.800000000000011"/>
    <n v="0"/>
    <n v="23.200000000000003"/>
    <n v="0"/>
    <n v="0"/>
    <n v="0"/>
    <n v="0"/>
    <n v="0"/>
    <n v="0"/>
    <n v="0"/>
    <n v="0"/>
    <n v="0"/>
    <n v="0"/>
    <m/>
    <n v="149"/>
    <n v="180"/>
    <n v="218"/>
    <s v="FLINTSLFLINTSLFLINTSLFLINTSLFLINTSLFLINTSLFLINTSLFLINTSL"/>
    <s v="+"/>
    <s v="+"/>
    <s v="+"/>
    <s v="+"/>
    <s v="+"/>
    <s v="+"/>
    <s v="+"/>
    <s v="+"/>
    <b v="0"/>
  </r>
  <r>
    <d v="2026-01-28T00:00:00"/>
    <s v="A"/>
    <x v="362"/>
    <n v="213"/>
    <n v="11551"/>
    <n v="583900"/>
    <s v="II"/>
    <s v="N"/>
    <n v="2.16"/>
    <s v="BLACK"/>
    <s v="N00704B"/>
    <s v="FLINTSL - BLACK"/>
    <n v="24"/>
    <n v="0"/>
    <s v="C01522B"/>
    <n v="22"/>
    <n v="0"/>
    <n v="26531000019"/>
    <m/>
    <m/>
    <m/>
    <m/>
    <m/>
    <m/>
    <m/>
    <n v="26"/>
    <e v="#N/A"/>
    <m/>
    <n v="0"/>
    <m/>
    <n v="0"/>
    <m/>
    <n v="0"/>
    <m/>
    <n v="0"/>
    <m/>
    <n v="0"/>
    <m/>
    <n v="0"/>
    <m/>
    <n v="0"/>
    <s v="FLINTSL"/>
    <n v="26"/>
    <n v="0"/>
    <n v="130.71047619047619"/>
    <n v="0"/>
    <s v="GREEN"/>
    <s v="N00704G"/>
    <s v="FLINTSL - GREEN"/>
    <n v="26"/>
    <n v="0"/>
    <m/>
    <m/>
    <n v="0"/>
    <n v="25851000006"/>
    <s v="FC"/>
    <s v="TPT"/>
    <m/>
    <m/>
    <m/>
    <m/>
    <m/>
    <n v="8"/>
    <e v="#N/A"/>
    <n v="3"/>
    <n v="0"/>
    <n v="1"/>
    <n v="0"/>
    <m/>
    <n v="0"/>
    <m/>
    <n v="0"/>
    <m/>
    <n v="0"/>
    <m/>
    <n v="0"/>
    <m/>
    <n v="0"/>
    <s v="FLINTSL"/>
    <n v="20"/>
    <n v="0"/>
    <n v="37.252380952380953"/>
    <n v="0"/>
    <s v="REFLEX BLUE"/>
    <s v="C01429RB"/>
    <s v="FLINTSL - REFLEX BLUE"/>
    <n v="10"/>
    <n v="0"/>
    <s v="P00452B/H01380B/E01014B/H01205B/H01395B"/>
    <n v="135"/>
    <n v="0"/>
    <n v="26529000001"/>
    <n v="26529000002"/>
    <n v="26529000003"/>
    <s v="FRB"/>
    <n v="26530000007"/>
    <n v="26529000043"/>
    <n v="26530000012"/>
    <s v="FC"/>
    <n v="40"/>
    <e v="#N/A"/>
    <n v="100"/>
    <e v="#N/A"/>
    <n v="130"/>
    <e v="#N/A"/>
    <n v="80"/>
    <n v="0"/>
    <n v="1"/>
    <e v="#N/A"/>
    <n v="40"/>
    <e v="#N/A"/>
    <n v="30"/>
    <e v="#N/A"/>
    <n v="6"/>
    <n v="0"/>
    <s v="FLINTSL"/>
    <n v="36"/>
    <n v="0"/>
    <n v="901.79523809523812"/>
    <n v="0"/>
    <s v="RED"/>
    <s v="E01045R"/>
    <s v="FLINTSL - RED"/>
    <n v="25"/>
    <n v="0"/>
    <s v="P00452R/H01215R/F00870R/P00452R/F00888R/E01031R/N00704R/N00860R/N00860R/F00889R"/>
    <n v="255"/>
    <n v="0"/>
    <n v="26529000019"/>
    <n v="26529000010"/>
    <n v="26531000021"/>
    <n v="26530000035"/>
    <s v="FO"/>
    <s v="FMG"/>
    <n v="26530000014"/>
    <n v="26530000001"/>
    <n v="40"/>
    <e v="#N/A"/>
    <n v="130"/>
    <e v="#N/A"/>
    <n v="16"/>
    <e v="#N/A"/>
    <n v="2"/>
    <e v="#N/A"/>
    <n v="8"/>
    <n v="0"/>
    <n v="200"/>
    <n v="0"/>
    <n v="29"/>
    <e v="#N/A"/>
    <n v="90"/>
    <e v="#N/A"/>
    <s v="FLINTSL"/>
    <n v="27"/>
    <n v="0"/>
    <n v="1364.8238095238096"/>
    <n v="0"/>
    <s v="CYAN"/>
    <s v="N00860C"/>
    <s v="FLINTSL - CYAN"/>
    <n v="30"/>
    <n v="0"/>
    <m/>
    <m/>
    <n v="0"/>
    <s v="FC"/>
    <m/>
    <m/>
    <m/>
    <m/>
    <m/>
    <m/>
    <m/>
    <n v="8"/>
    <n v="0"/>
    <m/>
    <n v="0"/>
    <m/>
    <n v="0"/>
    <m/>
    <n v="0"/>
    <m/>
    <n v="0"/>
    <m/>
    <n v="0"/>
    <m/>
    <n v="0"/>
    <m/>
    <n v="0"/>
    <s v="FLINTSL"/>
    <n v="28"/>
    <n v="0"/>
    <n v="60.05619047619048"/>
    <n v="0"/>
    <s v="MAGENTA"/>
    <s v="N00704M"/>
    <s v="FLINTSL - MAGENTA"/>
    <n v="30"/>
    <n v="0"/>
    <m/>
    <m/>
    <n v="0"/>
    <s v="FMG"/>
    <s v="FMD"/>
    <m/>
    <m/>
    <m/>
    <m/>
    <m/>
    <m/>
    <n v="13"/>
    <n v="0"/>
    <n v="2"/>
    <n v="0"/>
    <m/>
    <n v="0"/>
    <m/>
    <n v="0"/>
    <m/>
    <n v="0"/>
    <m/>
    <n v="0"/>
    <m/>
    <n v="0"/>
    <m/>
    <n v="0"/>
    <s v="FLINTSL"/>
    <n v="28"/>
    <n v="0"/>
    <n v="55.504761904761907"/>
    <n v="0"/>
    <s v="YELLOW"/>
    <s v="N00704Y"/>
    <s v="FLINTSL - YELLOW"/>
    <n v="30"/>
    <n v="0"/>
    <m/>
    <m/>
    <n v="0"/>
    <s v="TPT"/>
    <s v="TPT"/>
    <n v="26530000021"/>
    <n v="26530000026"/>
    <n v="26531000014"/>
    <n v="26531000033"/>
    <n v="26504000008"/>
    <n v="26505000005"/>
    <n v="120"/>
    <n v="0"/>
    <n v="80"/>
    <n v="0"/>
    <n v="10"/>
    <e v="#N/A"/>
    <n v="6"/>
    <e v="#N/A"/>
    <n v="10"/>
    <e v="#N/A"/>
    <n v="15"/>
    <e v="#N/A"/>
    <n v="9"/>
    <e v="#N/A"/>
    <n v="6"/>
    <e v="#N/A"/>
    <s v="FLINTSL"/>
    <n v="35"/>
    <n v="0"/>
    <n v="597.5428571428572"/>
    <n v="0"/>
    <s v="WHITE"/>
    <s v="N00704W"/>
    <s v="FLINTSL - WHITE"/>
    <n v="30"/>
    <n v="0"/>
    <m/>
    <m/>
    <n v="0"/>
    <s v="FW"/>
    <m/>
    <m/>
    <m/>
    <m/>
    <m/>
    <m/>
    <m/>
    <n v="1480"/>
    <s v="`"/>
    <m/>
    <n v="0"/>
    <m/>
    <n v="0"/>
    <m/>
    <n v="0"/>
    <m/>
    <n v="0"/>
    <m/>
    <n v="0"/>
    <m/>
    <n v="0"/>
    <m/>
    <n v="0"/>
    <s v="FLINTSL"/>
    <n v="30"/>
    <n v="0"/>
    <n v="4021.3142857142857"/>
    <n v="0"/>
    <n v="22"/>
    <n v="5"/>
    <n v="95"/>
    <n v="155"/>
    <n v="13"/>
    <n v="10"/>
    <n v="90"/>
    <n v="660"/>
    <n v="0.8"/>
    <n v="0.2"/>
    <m/>
    <m/>
    <m/>
    <n v="0"/>
    <n v="4043"/>
    <n v="0"/>
    <n v="0"/>
    <n v="4043"/>
    <n v="4043"/>
    <n v="3234.4"/>
    <n v="0"/>
    <n v="808.6"/>
    <n v="0"/>
    <n v="0"/>
    <n v="0"/>
    <n v="0"/>
    <n v="0"/>
    <n v="0"/>
    <n v="0"/>
    <n v="0"/>
    <n v="0"/>
    <n v="0"/>
    <m/>
    <n v="2739"/>
    <n v="7169"/>
    <n v="213"/>
    <s v="FLINTSLFLINTSLFLINTSLFLINTSLFLINTSLFLINTSLFLINTSLFLINTSL"/>
    <s v="+"/>
    <s v="+"/>
    <s v="+"/>
    <s v="+"/>
    <s v="+"/>
    <s v="+"/>
    <s v="+"/>
    <s v="+"/>
    <b v="0"/>
  </r>
  <r>
    <d v="2026-01-28T00:00:00"/>
    <s v="A"/>
    <x v="362"/>
    <n v="213"/>
    <n v="0"/>
    <n v="0"/>
    <n v="0"/>
    <n v="0"/>
    <n v="0"/>
    <s v="REFLEX BLUE"/>
    <m/>
    <s v="FLINTSL - REFLEX BLUE"/>
    <m/>
    <n v="0"/>
    <m/>
    <m/>
    <n v="0"/>
    <n v="26530000002"/>
    <n v="26529000016"/>
    <n v="26530000013"/>
    <n v="26530000008"/>
    <n v="26529000045"/>
    <n v="26508000024"/>
    <n v="26511000001"/>
    <n v="26511000002"/>
    <n v="115.5"/>
    <e v="#N/A"/>
    <n v="148"/>
    <e v="#N/A"/>
    <n v="120"/>
    <e v="#N/A"/>
    <n v="40"/>
    <e v="#N/A"/>
    <n v="10"/>
    <e v="#N/A"/>
    <n v="20"/>
    <e v="#N/A"/>
    <n v="25"/>
    <e v="#N/A"/>
    <n v="10"/>
    <e v="#N/A"/>
    <s v="FLINTSL"/>
    <n v="0"/>
    <n v="0"/>
    <n v="0"/>
    <n v="0"/>
    <s v="RED"/>
    <m/>
    <s v="FLINTSL - RED"/>
    <m/>
    <n v="0"/>
    <m/>
    <m/>
    <n v="0"/>
    <n v="26529000029"/>
    <s v="FMG"/>
    <s v="FK"/>
    <n v="26529000030"/>
    <n v="26530000004"/>
    <n v="26530000016"/>
    <n v="26514000010"/>
    <n v="26507000009"/>
    <n v="30"/>
    <e v="#N/A"/>
    <n v="178"/>
    <n v="0"/>
    <n v="0.3"/>
    <n v="0"/>
    <n v="86"/>
    <e v="#N/A"/>
    <n v="118"/>
    <e v="#N/A"/>
    <n v="28"/>
    <e v="#N/A"/>
    <n v="6"/>
    <e v="#N/A"/>
    <n v="9"/>
    <e v="#N/A"/>
    <s v="FLINTSL"/>
    <n v="0"/>
    <n v="0"/>
    <n v="0"/>
    <n v="0"/>
    <s v="RED"/>
    <m/>
    <s v="FLINTSL - RED"/>
    <m/>
    <n v="0"/>
    <m/>
    <m/>
    <n v="0"/>
    <n v="26507000018"/>
    <n v="26507000019"/>
    <n v="26513000020"/>
    <m/>
    <m/>
    <m/>
    <m/>
    <m/>
    <n v="6.5"/>
    <e v="#N/A"/>
    <n v="8"/>
    <e v="#N/A"/>
    <n v="6"/>
    <e v="#N/A"/>
    <m/>
    <n v="0"/>
    <m/>
    <n v="0"/>
    <m/>
    <n v="0"/>
    <m/>
    <n v="0"/>
    <m/>
    <n v="0"/>
    <s v="FLINTSL"/>
    <n v="0"/>
    <n v="0"/>
    <n v="0"/>
    <n v="0"/>
    <s v="REFLEX BLUE"/>
    <m/>
    <s v="FLINTSL - REFLEX BLUE"/>
    <m/>
    <n v="0"/>
    <m/>
    <m/>
    <n v="0"/>
    <n v="26512000001"/>
    <m/>
    <m/>
    <m/>
    <m/>
    <m/>
    <m/>
    <m/>
    <n v="15"/>
    <e v="#N/A"/>
    <m/>
    <n v="0"/>
    <m/>
    <n v="0"/>
    <m/>
    <n v="0"/>
    <m/>
    <n v="0"/>
    <m/>
    <n v="0"/>
    <m/>
    <n v="0"/>
    <m/>
    <n v="0"/>
    <s v="FLINTSL"/>
    <n v="0"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79.3"/>
    <n v="0"/>
    <n v="213"/>
    <s v="FLINTSLFLINTSLFLINTSLFLINTSL"/>
    <s v="-"/>
    <s v="-"/>
    <s v="-"/>
    <s v="-"/>
    <s v="NIL"/>
    <s v="NIL"/>
    <s v="NIL"/>
    <s v="NIL"/>
    <b v="1"/>
  </r>
  <r>
    <d v="2026-01-30T00:00:00"/>
    <s v="A"/>
    <x v="363"/>
    <n v="219"/>
    <n v="494"/>
    <n v="22700"/>
    <s v="I"/>
    <s v="N"/>
    <n v="1.9"/>
    <s v="BLACK"/>
    <s v="E01018B"/>
    <s v="FLINTSL - BLACK"/>
    <n v="26"/>
    <n v="0"/>
    <m/>
    <m/>
    <n v="0"/>
    <n v="26530000023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3"/>
    <n v="0"/>
    <n v="8.6097560975609753"/>
    <n v="0"/>
    <s v="REFLEX BLUE"/>
    <m/>
    <s v="FLINTSL - REFLEX BLUE"/>
    <m/>
    <n v="0"/>
    <m/>
    <m/>
    <n v="0"/>
    <n v="26527000014"/>
    <n v="26529000021"/>
    <n v="26529000023"/>
    <s v="FMD"/>
    <m/>
    <m/>
    <m/>
    <m/>
    <n v="11"/>
    <e v="#N/A"/>
    <n v="5"/>
    <e v="#N/A"/>
    <n v="20"/>
    <e v="#N/A"/>
    <n v="20"/>
    <n v="0"/>
    <m/>
    <n v="0"/>
    <m/>
    <n v="0"/>
    <m/>
    <n v="0"/>
    <m/>
    <n v="0"/>
    <s v="FLINTSL"/>
    <n v="24"/>
    <n v="0"/>
    <n v="86.146341463414643"/>
    <n v="0"/>
    <s v="CYAN"/>
    <s v="E01018C"/>
    <s v="FLINTSL - CYAN"/>
    <n v="26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5"/>
    <n v="0"/>
    <n v="6.6097560975609753"/>
    <n v="0"/>
    <s v="MAGENTA"/>
    <s v="E01018M"/>
    <s v="FLINTSL - MAGENTA"/>
    <n v="28"/>
    <n v="0"/>
    <m/>
    <m/>
    <n v="0"/>
    <n v="26529000023"/>
    <s v="FMD"/>
    <m/>
    <m/>
    <m/>
    <m/>
    <m/>
    <m/>
    <n v="5"/>
    <e v="#N/A"/>
    <n v="2"/>
    <n v="0"/>
    <m/>
    <n v="0"/>
    <m/>
    <n v="0"/>
    <m/>
    <n v="0"/>
    <m/>
    <n v="0"/>
    <m/>
    <n v="0"/>
    <m/>
    <n v="0"/>
    <s v="FLINTSL"/>
    <n v="26"/>
    <n v="0"/>
    <n v="21.634146341463413"/>
    <n v="0"/>
    <s v="YELLOW"/>
    <s v="E01018Y"/>
    <s v="FLINTSL - YELLOW"/>
    <n v="30"/>
    <n v="0"/>
    <m/>
    <m/>
    <n v="0"/>
    <n v="26529000019"/>
    <s v="FMD"/>
    <m/>
    <m/>
    <m/>
    <m/>
    <m/>
    <m/>
    <n v="10"/>
    <e v="#N/A"/>
    <n v="5"/>
    <n v="0"/>
    <m/>
    <n v="0"/>
    <m/>
    <n v="0"/>
    <m/>
    <n v="0"/>
    <m/>
    <n v="0"/>
    <m/>
    <n v="0"/>
    <m/>
    <n v="0"/>
    <s v="FLINTSL"/>
    <n v="26"/>
    <n v="0"/>
    <n v="37.048780487804876"/>
    <n v="0"/>
    <s v="GOLD"/>
    <s v="E01021G"/>
    <s v="FLINTSL - GOLD"/>
    <n v="26"/>
    <n v="0"/>
    <m/>
    <m/>
    <n v="0"/>
    <n v="2653000002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4.8048780487804876"/>
    <n v="0"/>
    <s v="WHITE"/>
    <s v="E01021W"/>
    <s v="FLINTSL - WHITE"/>
    <n v="3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0"/>
    <n v="0"/>
    <n v="124.1463414634146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0"/>
    <n v="2"/>
    <n v="7"/>
    <n v="10"/>
    <n v="1"/>
    <n v="30"/>
    <n v="0"/>
    <n v="0.8"/>
    <n v="0.2"/>
    <m/>
    <m/>
    <m/>
    <n v="0"/>
    <n v="148"/>
    <n v="0"/>
    <n v="0"/>
    <n v="148"/>
    <n v="148"/>
    <n v="118.4"/>
    <n v="0"/>
    <n v="29.6"/>
    <n v="0"/>
    <n v="0"/>
    <n v="0"/>
    <n v="0"/>
    <n v="0"/>
    <n v="0"/>
    <n v="0"/>
    <n v="0"/>
    <n v="0"/>
    <n v="0"/>
    <m/>
    <n v="144"/>
    <n v="289"/>
    <n v="219"/>
    <s v="FLINTSLFLINTSLFLINTSLFLINTSLFLINTSLFLINTSLFLINTSL"/>
    <s v="+"/>
    <s v="+"/>
    <s v="+"/>
    <s v="+"/>
    <s v="+"/>
    <s v="+"/>
    <s v="+"/>
    <s v="NIL"/>
    <b v="0"/>
  </r>
  <r>
    <d v="2026-01-30T00:00:00"/>
    <s v="A"/>
    <x v="364"/>
    <n v="220"/>
    <n v="486"/>
    <n v="22300"/>
    <s v="I"/>
    <s v="N"/>
    <n v="1.8"/>
    <s v="BLACK"/>
    <s v="H01355B"/>
    <s v="FLINTSL - BLACK"/>
    <n v="23"/>
    <n v="0"/>
    <m/>
    <m/>
    <n v="0"/>
    <n v="26530000023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5"/>
    <n v="0"/>
    <n v="5.9491525423728824"/>
    <n v="0"/>
    <s v="BLACK"/>
    <s v="E01018B"/>
    <s v="FLINTSL - BLACK"/>
    <n v="23"/>
    <n v="0"/>
    <m/>
    <m/>
    <n v="0"/>
    <n v="26527000012"/>
    <n v="26529000019"/>
    <n v="26530000015"/>
    <m/>
    <m/>
    <m/>
    <m/>
    <m/>
    <n v="3"/>
    <e v="#N/A"/>
    <n v="2"/>
    <e v="#N/A"/>
    <n v="32"/>
    <e v="#N/A"/>
    <m/>
    <n v="0"/>
    <m/>
    <n v="0"/>
    <m/>
    <n v="0"/>
    <m/>
    <n v="0"/>
    <m/>
    <n v="0"/>
    <s v="FLINTSL"/>
    <n v="26"/>
    <n v="0"/>
    <n v="41.423728813559322"/>
    <n v="0"/>
    <s v="BLACK"/>
    <m/>
    <s v="FLINTSL - BLACK"/>
    <m/>
    <n v="0"/>
    <m/>
    <m/>
    <n v="0"/>
    <n v="26530000017"/>
    <n v="26530000018"/>
    <n v="26529000019"/>
    <n v="26530000023"/>
    <m/>
    <m/>
    <m/>
    <m/>
    <n v="28"/>
    <e v="#N/A"/>
    <n v="40"/>
    <e v="#N/A"/>
    <n v="15"/>
    <e v="#N/A"/>
    <n v="1"/>
    <e v="#N/A"/>
    <m/>
    <n v="0"/>
    <m/>
    <n v="0"/>
    <m/>
    <n v="0"/>
    <m/>
    <n v="0"/>
    <s v="FLINTSL"/>
    <n v="28"/>
    <n v="0"/>
    <n v="60.949152542372886"/>
    <n v="0"/>
    <s v="CYAN"/>
    <s v="H01355C"/>
    <s v="FLINTSL - CYAN"/>
    <n v="25"/>
    <n v="0"/>
    <m/>
    <m/>
    <n v="0"/>
    <n v="26527000019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6"/>
    <n v="0"/>
    <n v="6.9491525423728788"/>
    <n v="0"/>
    <s v="MAGENTA"/>
    <s v="H01355M"/>
    <s v="FLINTSL - MAGENTA"/>
    <n v="26"/>
    <n v="0"/>
    <m/>
    <m/>
    <n v="0"/>
    <n v="26529000018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7"/>
    <n v="0"/>
    <n v="11.423728813559322"/>
    <n v="0"/>
    <s v="YELLOW"/>
    <s v="H01355Y"/>
    <s v="FLINTSL - YELLOW"/>
    <n v="26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4"/>
    <n v="0"/>
    <n v="20.372881355932201"/>
    <n v="0"/>
    <s v="GOLD"/>
    <s v="H01355G"/>
    <s v="FLINTSL - GOLD"/>
    <n v="25"/>
    <n v="0"/>
    <m/>
    <m/>
    <n v="0"/>
    <s v="FGO"/>
    <n v="26529000019"/>
    <m/>
    <m/>
    <m/>
    <m/>
    <m/>
    <m/>
    <n v="3"/>
    <n v="0"/>
    <n v="2"/>
    <e v="#N/A"/>
    <m/>
    <n v="0"/>
    <m/>
    <n v="0"/>
    <m/>
    <n v="0"/>
    <m/>
    <n v="0"/>
    <m/>
    <n v="0"/>
    <m/>
    <n v="0"/>
    <s v="FLINTSL"/>
    <n v="29"/>
    <n v="0"/>
    <n v="5.9491525423728788"/>
    <n v="0"/>
    <s v="WHITE"/>
    <s v="H01355W"/>
    <s v="FLINTSL - WHITE"/>
    <n v="20"/>
    <n v="0"/>
    <m/>
    <m/>
    <n v="0"/>
    <s v="FW"/>
    <m/>
    <m/>
    <m/>
    <m/>
    <m/>
    <m/>
    <m/>
    <n v="80"/>
    <n v="0"/>
    <m/>
    <n v="0"/>
    <m/>
    <n v="0"/>
    <m/>
    <n v="0"/>
    <m/>
    <n v="0"/>
    <m/>
    <n v="0"/>
    <m/>
    <n v="0"/>
    <m/>
    <n v="0"/>
    <s v="FLINTSL"/>
    <n v="22"/>
    <n v="0"/>
    <n v="176.9830508474576"/>
    <n v="0"/>
    <n v="2"/>
    <n v="3"/>
    <n v="2"/>
    <n v="2"/>
    <n v="3"/>
    <n v="5"/>
    <n v="2"/>
    <n v="40"/>
    <n v="0.8"/>
    <n v="0.2"/>
    <m/>
    <m/>
    <m/>
    <n v="0"/>
    <n v="146"/>
    <n v="0"/>
    <n v="0"/>
    <n v="146"/>
    <n v="146"/>
    <n v="116.80000000000001"/>
    <n v="0"/>
    <n v="29.200000000000003"/>
    <n v="0"/>
    <n v="0"/>
    <n v="0"/>
    <n v="0"/>
    <n v="0"/>
    <n v="0"/>
    <n v="0"/>
    <n v="0"/>
    <n v="0"/>
    <n v="0"/>
    <m/>
    <n v="223"/>
    <n v="330"/>
    <n v="220"/>
    <s v="FLINTSLFLINTSLFLINTSLFLINTSLFLINTSLFLINTSLFLINTSLFLINTSL"/>
    <s v="+"/>
    <s v="+"/>
    <s v="+"/>
    <s v="+"/>
    <s v="+"/>
    <s v="+"/>
    <s v="+"/>
    <s v="+"/>
    <b v="0"/>
  </r>
  <r>
    <d v="2026-01-30T00:00:00"/>
    <s v="A"/>
    <x v="365"/>
    <n v="221"/>
    <n v="637"/>
    <n v="12300"/>
    <s v="II"/>
    <s v="N"/>
    <n v="2"/>
    <s v="YELLOW"/>
    <s v="H01266Y"/>
    <s v="FLINTSL - YELLOW"/>
    <n v="12"/>
    <n v="0"/>
    <m/>
    <m/>
    <n v="0"/>
    <n v="26529000019"/>
    <n v="26525000003"/>
    <m/>
    <m/>
    <m/>
    <m/>
    <m/>
    <m/>
    <n v="8"/>
    <e v="#N/A"/>
    <n v="0.6"/>
    <e v="#N/A"/>
    <m/>
    <n v="0"/>
    <m/>
    <n v="0"/>
    <m/>
    <n v="0"/>
    <m/>
    <n v="0"/>
    <m/>
    <n v="0"/>
    <m/>
    <n v="0"/>
    <s v="FLINTSL"/>
    <n v="20"/>
    <n v="0"/>
    <n v="14.513043478260869"/>
    <n v="0"/>
    <s v="BLACK"/>
    <s v="H01366B"/>
    <s v="FLINTSL - BLACK"/>
    <n v="26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3"/>
    <n v="0"/>
    <n v="8.7826086956521721"/>
    <n v="0"/>
    <s v="RED"/>
    <s v="E01018R"/>
    <s v="FLINTSL - RED"/>
    <n v="22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0"/>
    <n v="0"/>
    <n v="7.5652173913043477"/>
    <n v="0"/>
    <s v="OPV"/>
    <m/>
    <s v="FLINTSL - OPV"/>
    <m/>
    <n v="0"/>
    <m/>
    <m/>
    <n v="0"/>
    <s v="1100J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18"/>
    <n v="0"/>
    <n v="73.73913043478260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"/>
    <n v="2"/>
    <n v="15"/>
    <n v="0"/>
    <n v="0"/>
    <n v="0"/>
    <n v="0"/>
    <n v="0.8"/>
    <n v="0.2"/>
    <m/>
    <m/>
    <m/>
    <n v="0"/>
    <n v="64"/>
    <n v="0"/>
    <n v="0"/>
    <n v="64"/>
    <n v="64"/>
    <n v="51.2"/>
    <n v="0"/>
    <n v="12.8"/>
    <n v="0"/>
    <n v="0"/>
    <n v="0"/>
    <n v="0"/>
    <n v="0"/>
    <n v="0"/>
    <n v="0"/>
    <n v="0"/>
    <n v="0"/>
    <n v="0"/>
    <m/>
    <n v="61.6"/>
    <n v="104.6"/>
    <n v="221"/>
    <s v="FLINTSLFLINTSLFLINTSLFLINTSL"/>
    <s v="+"/>
    <s v="+"/>
    <s v="+"/>
    <s v="+"/>
    <s v="NIL"/>
    <s v="NIL"/>
    <s v="NIL"/>
    <s v="NIL"/>
    <b v="0"/>
  </r>
  <r>
    <d v="2026-01-30T00:00:00"/>
    <s v="A"/>
    <x v="366"/>
    <n v="222"/>
    <n v="476"/>
    <n v="29000"/>
    <s v="I"/>
    <s v="N"/>
    <n v="1.4"/>
    <s v="BLACK"/>
    <s v="H01391B"/>
    <s v="FLINTSL - BLACK"/>
    <n v="25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6"/>
    <n v="0"/>
    <n v="12.986842105263158"/>
    <n v="0"/>
    <s v="BLACK"/>
    <s v="H01391B"/>
    <s v="FLINTSL - BLACK"/>
    <n v="21"/>
    <n v="0"/>
    <m/>
    <m/>
    <n v="0"/>
    <s v="FMG"/>
    <n v="26530000035"/>
    <s v="FMD"/>
    <m/>
    <m/>
    <m/>
    <m/>
    <m/>
    <n v="5"/>
    <n v="0"/>
    <n v="2"/>
    <e v="#N/A"/>
    <n v="2"/>
    <n v="0"/>
    <m/>
    <n v="0"/>
    <m/>
    <n v="0"/>
    <m/>
    <n v="0"/>
    <m/>
    <n v="0"/>
    <m/>
    <n v="0"/>
    <s v="FLINTSL"/>
    <n v="25"/>
    <n v="0"/>
    <n v="18.184210526315788"/>
    <n v="0"/>
    <s v="ORANGE"/>
    <s v="H01391O"/>
    <s v="FLINTSL - ORANGE"/>
    <n v="2"/>
    <n v="0"/>
    <m/>
    <m/>
    <n v="0"/>
    <n v="26530000015"/>
    <n v="26529000020"/>
    <n v="26527000012"/>
    <m/>
    <m/>
    <m/>
    <m/>
    <m/>
    <n v="40"/>
    <e v="#N/A"/>
    <n v="5"/>
    <e v="#N/A"/>
    <n v="5"/>
    <e v="#N/A"/>
    <m/>
    <n v="0"/>
    <m/>
    <n v="0"/>
    <m/>
    <n v="0"/>
    <m/>
    <n v="0"/>
    <m/>
    <n v="0"/>
    <s v="FLINTSL"/>
    <n v="28"/>
    <n v="0"/>
    <n v="39.381578947368425"/>
    <n v="0"/>
    <s v="CYAN"/>
    <s v="H01391C"/>
    <s v="FLINTSL - CYAN"/>
    <n v="26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7"/>
    <n v="0"/>
    <n v="6.3947368421052602"/>
    <n v="0"/>
    <s v="MAGENTA"/>
    <s v="H01391M"/>
    <s v="FLINTSL - MAGENTA"/>
    <n v="27"/>
    <n v="0"/>
    <m/>
    <m/>
    <n v="0"/>
    <s v="FMG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6"/>
    <n v="0"/>
    <n v="11.592105263157897"/>
    <n v="0"/>
    <s v="YELLOW"/>
    <s v="H01391Y"/>
    <s v="FLINTSL - YELLOW"/>
    <n v="24"/>
    <n v="0"/>
    <m/>
    <m/>
    <n v="0"/>
    <n v="26529000020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5"/>
    <n v="0"/>
    <n v="9.5921052631578974"/>
    <n v="0"/>
    <s v="GOLD"/>
    <m/>
    <s v="INK PRODUCT - GOLD"/>
    <m/>
    <n v="0"/>
    <m/>
    <m/>
    <n v="0"/>
    <n v="24161"/>
    <n v="70271"/>
    <n v="9336"/>
    <n v="165"/>
    <m/>
    <m/>
    <m/>
    <m/>
    <n v="80"/>
    <n v="0"/>
    <n v="30"/>
    <n v="0"/>
    <n v="40"/>
    <n v="0"/>
    <n v="4.5"/>
    <n v="0"/>
    <m/>
    <n v="0"/>
    <m/>
    <n v="0"/>
    <m/>
    <n v="0"/>
    <m/>
    <n v="0"/>
    <s v="INK PRODUCT"/>
    <n v="36"/>
    <n v="0"/>
    <n v="184.42105263157896"/>
    <n v="0"/>
    <s v="WHITE"/>
    <s v="H01391W"/>
    <s v="FLINTSL - WHITE"/>
    <n v="22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24"/>
    <n v="0"/>
    <n v="81.94736842105263"/>
    <n v="0"/>
    <n v="5"/>
    <n v="6"/>
    <n v="7"/>
    <n v="2"/>
    <n v="3"/>
    <n v="3"/>
    <n v="30"/>
    <n v="20"/>
    <n v="0.8"/>
    <n v="0.2"/>
    <m/>
    <m/>
    <m/>
    <n v="0"/>
    <n v="167"/>
    <n v="0"/>
    <n v="0"/>
    <n v="167"/>
    <n v="167"/>
    <n v="133.6"/>
    <n v="0"/>
    <n v="33.4"/>
    <n v="0"/>
    <n v="0"/>
    <n v="0"/>
    <n v="0"/>
    <n v="0"/>
    <n v="0"/>
    <n v="0"/>
    <n v="0"/>
    <n v="0"/>
    <n v="0"/>
    <m/>
    <n v="267.5"/>
    <n v="364.5"/>
    <n v="222"/>
    <s v="FLINTSLFLINTSLFLINTSLFLINTSLFLINTSLFLINTSLINK PRODUCTFLINTSL"/>
    <s v="+"/>
    <s v="+"/>
    <s v="+"/>
    <s v="+"/>
    <s v="+"/>
    <s v="+"/>
    <s v="+"/>
    <s v="+"/>
    <b v="0"/>
  </r>
  <r>
    <d v="2026-01-30T00:00:00"/>
    <s v="A"/>
    <x v="367"/>
    <n v="223"/>
    <n v="8339"/>
    <n v="107700"/>
    <s v="II"/>
    <s v="N"/>
    <n v="0.4"/>
    <s v="WHITE"/>
    <s v="H01266W"/>
    <s v="FLINTSL - WHITE"/>
    <n v="30"/>
    <n v="0"/>
    <m/>
    <m/>
    <n v="0"/>
    <s v="FW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30"/>
    <n v="0"/>
    <n v="35.27272727272728"/>
    <n v="0"/>
    <s v="GREEN"/>
    <m/>
    <s v="FLINTSL - GREEN"/>
    <m/>
    <n v="0"/>
    <m/>
    <m/>
    <n v="0"/>
    <n v="26529000020"/>
    <n v="26527000023"/>
    <m/>
    <m/>
    <m/>
    <m/>
    <m/>
    <m/>
    <n v="20"/>
    <e v="#N/A"/>
    <n v="7"/>
    <e v="#N/A"/>
    <m/>
    <n v="0"/>
    <m/>
    <n v="0"/>
    <m/>
    <n v="0"/>
    <m/>
    <n v="0"/>
    <m/>
    <n v="0"/>
    <m/>
    <n v="0"/>
    <s v="FLINTSL"/>
    <n v="28"/>
    <n v="0"/>
    <n v="100.09090909090909"/>
    <n v="0"/>
    <s v="GREEN"/>
    <m/>
    <s v="FLINTSL - GREEN"/>
    <m/>
    <n v="0"/>
    <m/>
    <m/>
    <n v="0"/>
    <n v="26529000020"/>
    <n v="26530000023"/>
    <s v="FC"/>
    <n v="26529000021"/>
    <m/>
    <m/>
    <m/>
    <m/>
    <n v="8"/>
    <e v="#N/A"/>
    <n v="2"/>
    <e v="#N/A"/>
    <n v="18"/>
    <n v="0"/>
    <n v="3"/>
    <e v="#N/A"/>
    <m/>
    <n v="0"/>
    <m/>
    <n v="0"/>
    <m/>
    <n v="0"/>
    <m/>
    <n v="0"/>
    <s v="FLINTSL"/>
    <n v="30"/>
    <n v="0"/>
    <n v="51.545454545454547"/>
    <n v="0"/>
    <s v="RED"/>
    <s v="J00945R"/>
    <s v="FLINTSL - RED"/>
    <n v="20"/>
    <n v="0"/>
    <m/>
    <m/>
    <n v="0"/>
    <n v="26530000035"/>
    <n v="26527000012"/>
    <s v="FMG"/>
    <m/>
    <m/>
    <m/>
    <m/>
    <m/>
    <n v="6"/>
    <e v="#N/A"/>
    <n v="22"/>
    <e v="#N/A"/>
    <n v="5"/>
    <n v="0"/>
    <m/>
    <n v="0"/>
    <m/>
    <n v="0"/>
    <m/>
    <n v="0"/>
    <m/>
    <n v="0"/>
    <m/>
    <n v="0"/>
    <s v="FLINTSL"/>
    <n v="30"/>
    <n v="0"/>
    <n v="149.36363636363637"/>
    <n v="0"/>
    <s v="REFLEX BLUE"/>
    <s v="H01266B"/>
    <s v="FLINTSL - REFLEX BLUE"/>
    <n v="20"/>
    <n v="0"/>
    <m/>
    <m/>
    <n v="0"/>
    <n v="26529000021"/>
    <m/>
    <m/>
    <m/>
    <m/>
    <m/>
    <m/>
    <m/>
    <n v="22"/>
    <e v="#N/A"/>
    <m/>
    <n v="0"/>
    <m/>
    <n v="0"/>
    <m/>
    <n v="0"/>
    <m/>
    <n v="0"/>
    <m/>
    <n v="0"/>
    <m/>
    <n v="0"/>
    <m/>
    <n v="0"/>
    <s v="FLINTSL"/>
    <n v="36"/>
    <n v="0"/>
    <n v="81.818181818181827"/>
    <n v="0"/>
    <s v="BLACK"/>
    <s v="H01266B"/>
    <s v="FLINTSL - BLACK"/>
    <n v="26"/>
    <n v="0"/>
    <m/>
    <m/>
    <n v="0"/>
    <n v="26530000023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32"/>
    <n v="0"/>
    <n v="37.90909090909090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8"/>
    <n v="4"/>
    <n v="10"/>
    <n v="6"/>
    <n v="3"/>
    <n v="0"/>
    <n v="0"/>
    <n v="0.8"/>
    <n v="0.2"/>
    <m/>
    <m/>
    <m/>
    <n v="0"/>
    <n v="417"/>
    <n v="0"/>
    <n v="0"/>
    <n v="417"/>
    <n v="417"/>
    <n v="333.6"/>
    <n v="0"/>
    <n v="83.4"/>
    <n v="0"/>
    <n v="0"/>
    <n v="0"/>
    <n v="0"/>
    <n v="0"/>
    <n v="0"/>
    <n v="0"/>
    <n v="0"/>
    <n v="0"/>
    <n v="0"/>
    <m/>
    <n v="129"/>
    <n v="456"/>
    <n v="223"/>
    <s v="FLINTSLFLINTSLFLINTSLFLINTSLFLINTSLFLINTSL"/>
    <s v="+"/>
    <s v="+"/>
    <s v="+"/>
    <s v="+"/>
    <s v="+"/>
    <s v="+"/>
    <s v="NIL"/>
    <s v="NIL"/>
    <b v="0"/>
  </r>
  <r>
    <d v="2026-01-30T00:00:00"/>
    <s v="A"/>
    <x v="368"/>
    <n v="224"/>
    <n v="367"/>
    <n v="22900"/>
    <s v="I"/>
    <s v="N"/>
    <n v="1.86"/>
    <s v="BLACK"/>
    <s v="H01387B"/>
    <s v="FLINTSL - BLACK"/>
    <n v="26"/>
    <n v="0"/>
    <m/>
    <m/>
    <n v="0"/>
    <n v="26530000023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7.6808510638297847"/>
    <n v="0"/>
    <s v="REFLEX BLUE"/>
    <s v="H01266B"/>
    <s v="FLINTSL - REFLEX BLUE"/>
    <n v="18"/>
    <n v="0"/>
    <m/>
    <m/>
    <n v="0"/>
    <s v="FV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4"/>
    <n v="0"/>
    <n v="3.6808510638297882"/>
    <n v="0"/>
    <s v="GREEN"/>
    <s v="N00900G"/>
    <s v="FLINTSL - GREEN"/>
    <n v="24"/>
    <n v="0"/>
    <m/>
    <m/>
    <n v="0"/>
    <n v="26527000019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2"/>
    <n v="0"/>
    <n v="7.6808510638297882"/>
    <n v="0"/>
    <s v="RED"/>
    <m/>
    <s v="FLINTSL - RED"/>
    <m/>
    <n v="0"/>
    <m/>
    <m/>
    <n v="0"/>
    <s v="FMG"/>
    <n v="26527000012"/>
    <m/>
    <m/>
    <m/>
    <m/>
    <m/>
    <m/>
    <n v="8"/>
    <n v="0"/>
    <n v="10"/>
    <e v="#N/A"/>
    <m/>
    <n v="0"/>
    <m/>
    <n v="0"/>
    <m/>
    <n v="0"/>
    <m/>
    <n v="0"/>
    <m/>
    <n v="0"/>
    <m/>
    <n v="0"/>
    <s v="FLINTSL"/>
    <n v="24"/>
    <n v="0"/>
    <n v="17.404255319148938"/>
    <n v="0"/>
    <s v="CYAN"/>
    <s v="H01387C"/>
    <s v="FLINTSL - CYAN"/>
    <n v="27"/>
    <n v="0"/>
    <m/>
    <m/>
    <n v="0"/>
    <s v="FC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23"/>
    <n v="0"/>
    <n v="18.680851063829785"/>
    <n v="0"/>
    <s v="MAGENTA"/>
    <s v="H01387M"/>
    <s v="FLINTSL - MAGENTA"/>
    <n v="26"/>
    <n v="0"/>
    <m/>
    <m/>
    <n v="0"/>
    <s v="FMG"/>
    <s v="FMD"/>
    <m/>
    <m/>
    <m/>
    <m/>
    <m/>
    <m/>
    <n v="8"/>
    <n v="0"/>
    <n v="8"/>
    <n v="0"/>
    <m/>
    <n v="0"/>
    <m/>
    <n v="0"/>
    <m/>
    <n v="0"/>
    <m/>
    <n v="0"/>
    <m/>
    <n v="0"/>
    <m/>
    <n v="0"/>
    <s v="FLINTSL"/>
    <n v="22"/>
    <n v="0"/>
    <n v="31.702127659574472"/>
    <n v="0"/>
    <s v="YELLOW"/>
    <s v="H01387Y"/>
    <s v="FLINTSL - YELLOW"/>
    <n v="25"/>
    <n v="0"/>
    <m/>
    <m/>
    <n v="0"/>
    <n v="26529000026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8"/>
    <n v="0"/>
    <n v="12.361702127659576"/>
    <n v="0"/>
    <s v="WHITE"/>
    <s v="H01387W"/>
    <s v="FLINTSL - WHITE"/>
    <n v="24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25"/>
    <n v="0"/>
    <n v="85.808510638297875"/>
    <n v="0"/>
    <n v="2"/>
    <n v="2"/>
    <n v="2"/>
    <n v="10"/>
    <n v="2"/>
    <n v="5"/>
    <n v="4"/>
    <n v="20"/>
    <n v="0.8"/>
    <n v="0.2"/>
    <m/>
    <m/>
    <m/>
    <n v="0"/>
    <n v="110"/>
    <n v="0"/>
    <n v="0"/>
    <n v="110"/>
    <n v="110"/>
    <n v="88"/>
    <n v="0"/>
    <n v="22"/>
    <n v="0"/>
    <n v="0"/>
    <n v="0"/>
    <n v="0"/>
    <n v="0"/>
    <n v="0"/>
    <n v="0"/>
    <n v="0"/>
    <n v="0"/>
    <n v="0"/>
    <m/>
    <n v="98"/>
    <n v="185"/>
    <n v="224"/>
    <s v="FLINTSLFLINTSLFLINTSLFLINTSLFLINTSLFLINTSLFLINTSLFLINTSL"/>
    <s v="+"/>
    <s v="+"/>
    <s v="+"/>
    <s v="+"/>
    <s v="+"/>
    <s v="+"/>
    <s v="+"/>
    <s v="+"/>
    <b v="0"/>
  </r>
  <r>
    <d v="2026-01-30T00:00:00"/>
    <s v="A"/>
    <x v="369"/>
    <n v="225"/>
    <n v="469"/>
    <n v="24400"/>
    <s v="II"/>
    <s v="N"/>
    <n v="1.1000000000000001"/>
    <s v="BLACK"/>
    <s v="H01293B"/>
    <s v="FLINTSL - BLACK"/>
    <n v="20"/>
    <n v="0"/>
    <m/>
    <m/>
    <n v="0"/>
    <s v="FMD"/>
    <m/>
    <m/>
    <m/>
    <m/>
    <m/>
    <m/>
    <m/>
    <n v="12"/>
    <n v="0"/>
    <m/>
    <n v="0"/>
    <m/>
    <n v="0"/>
    <m/>
    <n v="0"/>
    <m/>
    <n v="0"/>
    <m/>
    <n v="0"/>
    <m/>
    <n v="0"/>
    <m/>
    <n v="0"/>
    <s v="FLINTSL"/>
    <n v="27"/>
    <n v="0"/>
    <n v="15.846153846153847"/>
    <n v="0"/>
    <s v="BLACK"/>
    <s v="E00018B"/>
    <s v="FLINTSL - BLACK"/>
    <n v="24"/>
    <n v="0"/>
    <m/>
    <m/>
    <n v="0"/>
    <s v="FMG"/>
    <n v="26530000023"/>
    <m/>
    <m/>
    <m/>
    <m/>
    <m/>
    <m/>
    <n v="6"/>
    <n v="0"/>
    <n v="2"/>
    <e v="#N/A"/>
    <m/>
    <n v="0"/>
    <m/>
    <n v="0"/>
    <m/>
    <n v="0"/>
    <m/>
    <n v="0"/>
    <m/>
    <n v="0"/>
    <m/>
    <n v="0"/>
    <s v="FLINTSL"/>
    <n v="25"/>
    <n v="0"/>
    <n v="17.846153846153847"/>
    <n v="0"/>
    <s v="REFLEX BLUE"/>
    <m/>
    <s v="FLINTSL - REFLEX BLUE"/>
    <m/>
    <n v="0"/>
    <m/>
    <m/>
    <n v="0"/>
    <n v="26530000032"/>
    <n v="26530000028"/>
    <n v="83234"/>
    <s v="FMD"/>
    <m/>
    <m/>
    <m/>
    <m/>
    <n v="30"/>
    <e v="#N/A"/>
    <n v="40"/>
    <e v="#N/A"/>
    <n v="8"/>
    <n v="0"/>
    <n v="6"/>
    <n v="0"/>
    <m/>
    <n v="0"/>
    <m/>
    <n v="0"/>
    <m/>
    <n v="0"/>
    <m/>
    <n v="0"/>
    <s v="FLINTSL"/>
    <n v="22"/>
    <n v="0"/>
    <n v="72.84615384615384"/>
    <n v="0"/>
    <s v="CYAN"/>
    <m/>
    <s v="FLINTSL - CYAN"/>
    <m/>
    <n v="0"/>
    <m/>
    <m/>
    <n v="0"/>
    <s v="FC"/>
    <s v="FMD"/>
    <m/>
    <m/>
    <m/>
    <m/>
    <m/>
    <m/>
    <n v="10"/>
    <n v="0"/>
    <n v="7"/>
    <n v="0"/>
    <m/>
    <n v="0"/>
    <m/>
    <n v="0"/>
    <m/>
    <n v="0"/>
    <m/>
    <n v="0"/>
    <m/>
    <n v="0"/>
    <m/>
    <n v="0"/>
    <s v="FLINTSL"/>
    <n v="26"/>
    <n v="0"/>
    <n v="12.692307692307693"/>
    <n v="0"/>
    <s v="MAGENTA"/>
    <m/>
    <s v="FLINTSL - MAGENTA"/>
    <m/>
    <n v="0"/>
    <m/>
    <m/>
    <n v="0"/>
    <s v="FMG"/>
    <s v="FMD"/>
    <m/>
    <m/>
    <m/>
    <m/>
    <m/>
    <m/>
    <n v="13"/>
    <n v="0"/>
    <n v="7"/>
    <n v="0"/>
    <m/>
    <n v="0"/>
    <m/>
    <n v="0"/>
    <m/>
    <n v="0"/>
    <m/>
    <n v="0"/>
    <m/>
    <n v="0"/>
    <m/>
    <n v="0"/>
    <s v="FLINTSL"/>
    <n v="29"/>
    <n v="0"/>
    <n v="12.692307692307693"/>
    <n v="0"/>
    <s v="YELLOW"/>
    <m/>
    <s v="FLINTSL - YELLOW"/>
    <m/>
    <n v="0"/>
    <m/>
    <m/>
    <n v="0"/>
    <n v="26529000026"/>
    <s v="FMD"/>
    <m/>
    <m/>
    <m/>
    <m/>
    <m/>
    <m/>
    <n v="10"/>
    <e v="#N/A"/>
    <n v="8"/>
    <n v="0"/>
    <m/>
    <n v="0"/>
    <m/>
    <n v="0"/>
    <m/>
    <n v="0"/>
    <m/>
    <n v="0"/>
    <m/>
    <n v="0"/>
    <m/>
    <n v="0"/>
    <s v="FLINTSL"/>
    <n v="29"/>
    <n v="0"/>
    <n v="10.692307692307693"/>
    <n v="0"/>
    <s v="ORANGE"/>
    <m/>
    <s v="FLINTSL - ORANGE"/>
    <m/>
    <n v="0"/>
    <m/>
    <m/>
    <n v="0"/>
    <n v="26527000012"/>
    <n v="26529000018"/>
    <m/>
    <m/>
    <m/>
    <m/>
    <m/>
    <m/>
    <n v="15"/>
    <e v="#N/A"/>
    <n v="3"/>
    <e v="#N/A"/>
    <m/>
    <n v="0"/>
    <m/>
    <n v="0"/>
    <m/>
    <n v="0"/>
    <m/>
    <n v="0"/>
    <m/>
    <n v="0"/>
    <m/>
    <n v="0"/>
    <s v="FLINTSL"/>
    <n v="23"/>
    <n v="0"/>
    <n v="16.692307692307693"/>
    <n v="0"/>
    <s v="WHITE"/>
    <s v="H01293W"/>
    <s v="FLINTSL - WHITE"/>
    <n v="30"/>
    <n v="0"/>
    <m/>
    <m/>
    <n v="0"/>
    <s v="FW"/>
    <m/>
    <m/>
    <m/>
    <m/>
    <m/>
    <m/>
    <m/>
    <n v="20"/>
    <n v="0"/>
    <m/>
    <n v="0"/>
    <m/>
    <n v="0"/>
    <m/>
    <n v="0"/>
    <m/>
    <n v="0"/>
    <m/>
    <n v="0"/>
    <m/>
    <n v="0"/>
    <m/>
    <n v="0"/>
    <s v="FLINTSL"/>
    <n v="25"/>
    <n v="0"/>
    <n v="46.692307692307693"/>
    <n v="0"/>
    <n v="5"/>
    <n v="5"/>
    <n v="5"/>
    <n v="10"/>
    <n v="10"/>
    <n v="10"/>
    <n v="10"/>
    <n v="10"/>
    <n v="0.8"/>
    <n v="0.2"/>
    <m/>
    <m/>
    <m/>
    <n v="0"/>
    <n v="141"/>
    <n v="0"/>
    <n v="0"/>
    <n v="141"/>
    <n v="141"/>
    <n v="112.80000000000001"/>
    <n v="0"/>
    <n v="28.200000000000003"/>
    <n v="0"/>
    <n v="0"/>
    <n v="0"/>
    <n v="0"/>
    <n v="0"/>
    <n v="0"/>
    <n v="0"/>
    <n v="0"/>
    <n v="0"/>
    <n v="0"/>
    <m/>
    <n v="197"/>
    <n v="205.99999999999994"/>
    <n v="225"/>
    <s v="FLINTSLFLINTSLFLINTSLFLINTSLFLINTSLFLINTSLFLINTSLFLINTSL"/>
    <s v="+"/>
    <s v="+"/>
    <s v="+"/>
    <s v="+"/>
    <s v="+"/>
    <s v="+"/>
    <s v="+"/>
    <s v="+"/>
    <b v="0"/>
  </r>
  <r>
    <d v="2026-01-30T00:00:00"/>
    <s v="A"/>
    <x v="370"/>
    <n v="226"/>
    <n v="248"/>
    <n v="13500"/>
    <s v="II"/>
    <s v="N"/>
    <n v="1.26"/>
    <s v="BLACK"/>
    <s v="C01523B"/>
    <s v="FLINTSL - BLACK"/>
    <n v="27"/>
    <n v="0"/>
    <m/>
    <m/>
    <n v="0"/>
    <n v="26530000023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11.692307692307693"/>
    <n v="0"/>
    <s v="RED"/>
    <s v="H01293R"/>
    <s v="FLINTSL - RED"/>
    <n v="30"/>
    <n v="0"/>
    <m/>
    <m/>
    <n v="0"/>
    <s v="FMG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9"/>
    <n v="0"/>
    <n v="13.692307692307693"/>
    <n v="0"/>
    <s v="RED"/>
    <s v="H01266R"/>
    <s v="FLINTSL - RED"/>
    <n v="27"/>
    <n v="0"/>
    <m/>
    <m/>
    <n v="0"/>
    <s v="FMD"/>
    <n v="26530000035"/>
    <s v="FMG"/>
    <m/>
    <m/>
    <m/>
    <m/>
    <m/>
    <n v="8"/>
    <n v="0"/>
    <n v="2"/>
    <e v="#N/A"/>
    <n v="2"/>
    <n v="0"/>
    <m/>
    <n v="0"/>
    <m/>
    <n v="0"/>
    <m/>
    <n v="0"/>
    <m/>
    <n v="0"/>
    <m/>
    <n v="0"/>
    <s v="FLINTSL"/>
    <n v="30"/>
    <n v="0"/>
    <n v="15.692307692307693"/>
    <n v="0"/>
    <s v="ORANGE"/>
    <m/>
    <s v="FLINTSL - ORANGE"/>
    <m/>
    <n v="0"/>
    <m/>
    <m/>
    <n v="0"/>
    <n v="26529000026"/>
    <n v="26529000042"/>
    <s v="FMG"/>
    <n v="26530000035"/>
    <n v="26530000023"/>
    <m/>
    <m/>
    <m/>
    <n v="20"/>
    <e v="#N/A"/>
    <n v="30"/>
    <e v="#N/A"/>
    <n v="0.2"/>
    <n v="0"/>
    <n v="4"/>
    <e v="#N/A"/>
    <n v="0.2"/>
    <e v="#N/A"/>
    <m/>
    <n v="0"/>
    <m/>
    <n v="0"/>
    <m/>
    <n v="0"/>
    <s v="FLINTSL"/>
    <n v="27"/>
    <n v="0"/>
    <n v="54.169230769230779"/>
    <n v="0"/>
    <s v="CYAN"/>
    <s v="C01523C"/>
    <s v="FLINTSL - CYAN"/>
    <n v="26"/>
    <n v="0"/>
    <m/>
    <m/>
    <n v="0"/>
    <n v="26527000019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8"/>
    <n v="0"/>
    <n v="10.692307692307693"/>
    <n v="0"/>
    <s v="MAGENTA"/>
    <s v="C01523M"/>
    <s v="FLINTSL - MAGENTA"/>
    <n v="29"/>
    <n v="0"/>
    <m/>
    <m/>
    <n v="0"/>
    <s v="FMG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9"/>
    <n v="0"/>
    <n v="10.692307692307693"/>
    <n v="0"/>
    <s v="YELLOW"/>
    <s v="C01523Y"/>
    <s v="FLINTSL - YELLOW"/>
    <n v="29"/>
    <n v="0"/>
    <m/>
    <m/>
    <n v="0"/>
    <n v="26529000026"/>
    <s v="FMD"/>
    <m/>
    <m/>
    <m/>
    <m/>
    <m/>
    <m/>
    <n v="6"/>
    <e v="#N/A"/>
    <n v="4"/>
    <n v="0"/>
    <m/>
    <n v="0"/>
    <m/>
    <n v="0"/>
    <m/>
    <n v="0"/>
    <m/>
    <n v="0"/>
    <m/>
    <n v="0"/>
    <m/>
    <n v="0"/>
    <s v="FLINTSL"/>
    <n v="28"/>
    <n v="0"/>
    <n v="17.692307692307693"/>
    <n v="0"/>
    <s v="WHITE"/>
    <s v="C01523W"/>
    <s v="FLINTSL - WHITE"/>
    <n v="25"/>
    <n v="0"/>
    <m/>
    <m/>
    <n v="0"/>
    <s v="FW"/>
    <m/>
    <m/>
    <m/>
    <m/>
    <m/>
    <m/>
    <m/>
    <n v="15"/>
    <n v="0"/>
    <m/>
    <n v="0"/>
    <m/>
    <n v="0"/>
    <m/>
    <n v="0"/>
    <m/>
    <n v="0"/>
    <m/>
    <n v="0"/>
    <m/>
    <n v="0"/>
    <m/>
    <n v="0"/>
    <s v="FLINTSL"/>
    <n v="25"/>
    <n v="0"/>
    <n v="35.07692307692308"/>
    <n v="0"/>
    <n v="5"/>
    <n v="5"/>
    <n v="5"/>
    <n v="20"/>
    <n v="5"/>
    <n v="5"/>
    <n v="5"/>
    <n v="15"/>
    <n v="0.8"/>
    <n v="0.2"/>
    <m/>
    <m/>
    <m/>
    <n v="0"/>
    <n v="87"/>
    <n v="0"/>
    <n v="0"/>
    <n v="87"/>
    <n v="87"/>
    <n v="69.600000000000009"/>
    <n v="0"/>
    <n v="17.400000000000002"/>
    <n v="0"/>
    <n v="0"/>
    <n v="0"/>
    <n v="0"/>
    <n v="0"/>
    <n v="0"/>
    <n v="0"/>
    <n v="0"/>
    <n v="0"/>
    <n v="0"/>
    <m/>
    <n v="109.4"/>
    <n v="169.40000000000003"/>
    <n v="226"/>
    <s v="FLINTSLFLINTSLFLINTSLFLINTSLFLINTSLFLINTSLFLINTSLFLINTSL"/>
    <s v="+"/>
    <s v="+"/>
    <s v="+"/>
    <s v="+"/>
    <s v="+"/>
    <s v="+"/>
    <s v="+"/>
    <s v="+"/>
    <b v="0"/>
  </r>
  <r>
    <d v="2026-01-30T00:00:00"/>
    <s v="B"/>
    <x v="371"/>
    <n v="227"/>
    <n v="976"/>
    <n v="43900"/>
    <s v="I"/>
    <s v="N"/>
    <n v="1.93"/>
    <s v="BLACK"/>
    <s v="N00902B"/>
    <s v="FLINTSL - BLACK"/>
    <n v="25"/>
    <n v="0"/>
    <m/>
    <m/>
    <n v="0"/>
    <n v="26530000023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8"/>
    <n v="0"/>
    <n v="6.2792792792792795"/>
    <n v="0"/>
    <s v="RED"/>
    <m/>
    <s v="FLINTSL - RED"/>
    <m/>
    <n v="0"/>
    <m/>
    <m/>
    <n v="0"/>
    <n v="26530000022"/>
    <n v="26531000001"/>
    <s v="FMG"/>
    <n v="26527000012"/>
    <m/>
    <m/>
    <m/>
    <m/>
    <n v="40"/>
    <e v="#N/A"/>
    <n v="40"/>
    <e v="#N/A"/>
    <n v="10"/>
    <n v="0"/>
    <n v="8"/>
    <e v="#N/A"/>
    <m/>
    <n v="0"/>
    <m/>
    <n v="0"/>
    <m/>
    <n v="0"/>
    <m/>
    <n v="0"/>
    <s v="FLINTSL"/>
    <n v="18"/>
    <n v="0"/>
    <n v="106.3963963963964"/>
    <n v="0"/>
    <s v="GREEN"/>
    <s v="N00870G"/>
    <s v="FLINTSL - GREEN"/>
    <n v="24"/>
    <n v="0"/>
    <m/>
    <m/>
    <n v="0"/>
    <n v="26529000019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3"/>
    <n v="0"/>
    <n v="11.918918918918919"/>
    <n v="0"/>
    <s v="CYAN"/>
    <s v="N00870G"/>
    <s v="FLINTSL - CYAN"/>
    <n v="24"/>
    <n v="0"/>
    <m/>
    <m/>
    <n v="0"/>
    <n v="26529000019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3"/>
    <n v="0"/>
    <n v="9.2792792792792795"/>
    <n v="0"/>
    <s v="CYAN"/>
    <s v="N00902C"/>
    <s v="FLINTSL - CYAN"/>
    <n v="23"/>
    <n v="0"/>
    <m/>
    <m/>
    <n v="0"/>
    <s v="FC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5"/>
    <n v="0"/>
    <n v="15.837837837837839"/>
    <n v="0"/>
    <s v="MAGENTA"/>
    <s v="N00902M"/>
    <s v="FLINTSL - MAGENTA"/>
    <n v="22"/>
    <n v="0"/>
    <m/>
    <m/>
    <n v="0"/>
    <s v="FMG"/>
    <s v="FMD"/>
    <m/>
    <m/>
    <m/>
    <m/>
    <m/>
    <m/>
    <n v="6"/>
    <n v="0"/>
    <n v="4"/>
    <n v="0"/>
    <m/>
    <n v="0"/>
    <m/>
    <n v="0"/>
    <m/>
    <n v="0"/>
    <m/>
    <n v="0"/>
    <m/>
    <n v="0"/>
    <m/>
    <n v="0"/>
    <s v="FLINTSL"/>
    <n v="27"/>
    <n v="0"/>
    <n v="26.117117117117118"/>
    <n v="0"/>
    <s v="YELLOW"/>
    <s v="N00902Y"/>
    <s v="FLINTSL - YELLOW"/>
    <n v="28"/>
    <n v="0"/>
    <m/>
    <m/>
    <n v="0"/>
    <n v="26529000027"/>
    <s v="FMD"/>
    <m/>
    <m/>
    <m/>
    <m/>
    <m/>
    <m/>
    <n v="10"/>
    <e v="#N/A"/>
    <n v="5"/>
    <n v="0"/>
    <m/>
    <n v="0"/>
    <m/>
    <n v="0"/>
    <m/>
    <n v="0"/>
    <m/>
    <n v="0"/>
    <m/>
    <n v="0"/>
    <m/>
    <n v="0"/>
    <s v="FLINTSL"/>
    <n v="30"/>
    <n v="0"/>
    <n v="224.1711711711711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3"/>
    <n v="2"/>
    <n v="6"/>
    <n v="8"/>
    <n v="80"/>
    <n v="0"/>
    <n v="0.8"/>
    <n v="0.2"/>
    <m/>
    <m/>
    <m/>
    <n v="0"/>
    <n v="293"/>
    <n v="0"/>
    <n v="0"/>
    <n v="293"/>
    <n v="293"/>
    <n v="234.4"/>
    <n v="0"/>
    <n v="58.6"/>
    <n v="0"/>
    <n v="0"/>
    <n v="0"/>
    <n v="0"/>
    <n v="0"/>
    <n v="0"/>
    <n v="0"/>
    <n v="0"/>
    <n v="0"/>
    <n v="0"/>
    <m/>
    <n v="135"/>
    <n v="400"/>
    <n v="227"/>
    <s v="FLINTSLFLINTSLFLINTSLFLINTSLFLINTSLFLINTSLFLINTSL"/>
    <s v="+"/>
    <s v="+"/>
    <s v="+"/>
    <s v="+"/>
    <s v="+"/>
    <s v="+"/>
    <s v="+"/>
    <s v="NIL"/>
    <b v="0"/>
  </r>
  <r>
    <d v="2026-01-30T00:00:00"/>
    <s v="B"/>
    <x v="372"/>
    <n v="228"/>
    <n v="989"/>
    <n v="46600"/>
    <s v="I"/>
    <s v="N"/>
    <n v="2.0699999999999998"/>
    <s v="BLACK"/>
    <s v="N00890B"/>
    <s v="FLINTSL - BLACK"/>
    <n v="28"/>
    <n v="0"/>
    <m/>
    <m/>
    <n v="0"/>
    <n v="26530000023"/>
    <s v="FMD"/>
    <m/>
    <m/>
    <m/>
    <m/>
    <m/>
    <m/>
    <n v="2"/>
    <e v="#N/A"/>
    <n v="5"/>
    <n v="0"/>
    <m/>
    <n v="0"/>
    <m/>
    <n v="0"/>
    <m/>
    <n v="0"/>
    <m/>
    <n v="0"/>
    <m/>
    <n v="0"/>
    <m/>
    <n v="0"/>
    <s v="FLINTSL"/>
    <n v="28"/>
    <n v="0"/>
    <n v="20.054945054945058"/>
    <n v="0"/>
    <s v="RED"/>
    <s v="N00890R"/>
    <s v="FLINTSL - RED"/>
    <n v="5"/>
    <n v="0"/>
    <m/>
    <m/>
    <n v="0"/>
    <s v="FMG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20"/>
    <n v="0"/>
    <n v="21.109890109890117"/>
    <n v="0"/>
    <s v="BLACK"/>
    <s v="H01391B"/>
    <s v="FLINTSL - BLACK"/>
    <n v="28"/>
    <n v="0"/>
    <m/>
    <m/>
    <n v="0"/>
    <n v="26531000009"/>
    <s v="FMD"/>
    <s v="FMG"/>
    <n v="26527000013"/>
    <m/>
    <m/>
    <m/>
    <m/>
    <n v="30"/>
    <e v="#N/A"/>
    <n v="6"/>
    <n v="0"/>
    <n v="10"/>
    <n v="0"/>
    <n v="8"/>
    <e v="#N/A"/>
    <m/>
    <n v="0"/>
    <m/>
    <n v="0"/>
    <m/>
    <n v="0"/>
    <m/>
    <n v="0"/>
    <s v="FLINTSL"/>
    <n v="20"/>
    <n v="0"/>
    <n v="94.637362637362628"/>
    <n v="0"/>
    <s v="MEDIUM"/>
    <m/>
    <s v="FLINTSL - MEDIUM"/>
    <m/>
    <n v="0"/>
    <m/>
    <m/>
    <n v="0"/>
    <n v="26531000002"/>
    <n v="26531000004"/>
    <n v="26531000003"/>
    <m/>
    <m/>
    <m/>
    <m/>
    <m/>
    <n v="40"/>
    <e v="#N/A"/>
    <n v="40"/>
    <e v="#N/A"/>
    <n v="28"/>
    <e v="#N/A"/>
    <m/>
    <n v="0"/>
    <m/>
    <n v="0"/>
    <m/>
    <n v="0"/>
    <m/>
    <n v="0"/>
    <m/>
    <n v="0"/>
    <s v="FLINTSL"/>
    <n v="30"/>
    <n v="0"/>
    <n v="78"/>
    <n v="0"/>
    <s v="CYAN"/>
    <s v="N00890C"/>
    <s v="FLINTSL - CYAN"/>
    <n v="25"/>
    <n v="0"/>
    <m/>
    <m/>
    <n v="0"/>
    <s v="FC"/>
    <s v="FMD"/>
    <m/>
    <m/>
    <m/>
    <m/>
    <m/>
    <m/>
    <n v="2"/>
    <n v="0"/>
    <n v="4"/>
    <n v="0"/>
    <m/>
    <n v="0"/>
    <m/>
    <n v="0"/>
    <m/>
    <n v="0"/>
    <m/>
    <n v="0"/>
    <m/>
    <n v="0"/>
    <m/>
    <n v="0"/>
    <s v="FLINTSL"/>
    <n v="28"/>
    <n v="0"/>
    <n v="16.054945054945058"/>
    <n v="0"/>
    <s v="MAGENTA"/>
    <s v="N00890M"/>
    <s v="FLINTSL - MAGENTA"/>
    <n v="27"/>
    <n v="0"/>
    <m/>
    <m/>
    <n v="0"/>
    <s v="FMG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8"/>
    <n v="0"/>
    <n v="10.527472527472526"/>
    <n v="0"/>
    <s v="YELLOW"/>
    <s v="N00890Y"/>
    <s v="FLINTSL - YELLOW"/>
    <n v="26"/>
    <n v="0"/>
    <m/>
    <m/>
    <n v="0"/>
    <n v="26529000026"/>
    <s v="FMD"/>
    <m/>
    <m/>
    <m/>
    <m/>
    <m/>
    <m/>
    <n v="6"/>
    <e v="#N/A"/>
    <n v="3"/>
    <n v="0"/>
    <m/>
    <n v="0"/>
    <m/>
    <n v="0"/>
    <m/>
    <n v="0"/>
    <m/>
    <n v="0"/>
    <m/>
    <n v="0"/>
    <m/>
    <n v="0"/>
    <s v="FLINTSL"/>
    <n v="29"/>
    <n v="0"/>
    <n v="15.791208791208788"/>
    <n v="0"/>
    <s v="WHITE"/>
    <s v="N00890W"/>
    <s v="FLINTSL - WHITE"/>
    <n v="30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295.82417582417582"/>
    <n v="0"/>
    <n v="4"/>
    <n v="8"/>
    <n v="10"/>
    <n v="0"/>
    <n v="4"/>
    <n v="2"/>
    <n v="3"/>
    <n v="60"/>
    <n v="0.8"/>
    <n v="0.2"/>
    <m/>
    <m/>
    <m/>
    <n v="0"/>
    <n v="297"/>
    <n v="0"/>
    <n v="0"/>
    <n v="297"/>
    <n v="297"/>
    <n v="237.60000000000002"/>
    <n v="0"/>
    <n v="59.400000000000006"/>
    <n v="0"/>
    <n v="0"/>
    <n v="0"/>
    <n v="0"/>
    <n v="0"/>
    <n v="0"/>
    <n v="0"/>
    <n v="0"/>
    <n v="0"/>
    <n v="0"/>
    <m/>
    <n v="299"/>
    <n v="552"/>
    <n v="228"/>
    <s v="FLINTSLFLINTSLFLINTSLFLINTSLFLINTSLFLINTSLFLINTSLFLINTSL"/>
    <s v="+"/>
    <s v="+"/>
    <s v="+"/>
    <s v="+"/>
    <s v="+"/>
    <s v="+"/>
    <s v="+"/>
    <s v="+"/>
    <b v="0"/>
  </r>
  <r>
    <d v="2026-01-30T00:00:00"/>
    <s v="B"/>
    <x v="373"/>
    <n v="229"/>
    <n v="1002"/>
    <n v="47200"/>
    <s v="I"/>
    <s v="N"/>
    <n v="2.06"/>
    <s v="BLACK"/>
    <s v="P00491B"/>
    <s v="FLINTSL - BLACK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0"/>
    <n v="7.6792452830188651"/>
    <n v="0"/>
    <s v="RED"/>
    <s v="P00491R"/>
    <s v="FLINTSL - RED"/>
    <n v="20"/>
    <n v="0"/>
    <m/>
    <m/>
    <n v="0"/>
    <s v="FMG"/>
    <n v="26527000013"/>
    <m/>
    <m/>
    <m/>
    <m/>
    <m/>
    <m/>
    <n v="5"/>
    <n v="0"/>
    <n v="3"/>
    <e v="#N/A"/>
    <m/>
    <n v="0"/>
    <m/>
    <n v="0"/>
    <m/>
    <n v="0"/>
    <m/>
    <n v="0"/>
    <m/>
    <n v="0"/>
    <m/>
    <n v="0"/>
    <s v="FLINTSL"/>
    <n v="28"/>
    <n v="0"/>
    <n v="11.358490566037737"/>
    <n v="0"/>
    <s v="REFLEX BLUE"/>
    <m/>
    <s v="FLINTSL - REFLEX BLUE"/>
    <m/>
    <n v="0"/>
    <m/>
    <m/>
    <n v="0"/>
    <n v="26531000006"/>
    <n v="26531000007"/>
    <n v="26531000011"/>
    <n v="26531000013"/>
    <m/>
    <m/>
    <m/>
    <m/>
    <n v="40"/>
    <e v="#N/A"/>
    <n v="40"/>
    <e v="#N/A"/>
    <n v="20"/>
    <e v="#N/A"/>
    <n v="15"/>
    <e v="#N/A"/>
    <m/>
    <n v="0"/>
    <m/>
    <n v="0"/>
    <m/>
    <n v="0"/>
    <m/>
    <n v="0"/>
    <s v="FLINTSL"/>
    <n v="23"/>
    <n v="0"/>
    <n v="97.679245283018872"/>
    <n v="0"/>
    <s v="MEDIUM"/>
    <s v="P00491M"/>
    <s v="FLINTSL - MEDIUM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0"/>
    <n v="5.6792452830188651"/>
    <n v="0"/>
    <s v="CYAN"/>
    <s v="P00491C"/>
    <s v="FLINTSL - CYAN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0"/>
    <n v="7.6792452830188651"/>
    <n v="0"/>
    <s v="MAGENTA"/>
    <s v="P00491M"/>
    <s v="FLINTSL - MAGENTA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8.6792452830188651"/>
    <n v="0"/>
    <s v="YELLOW"/>
    <s v="P00491Y"/>
    <s v="FLINTSL - YELLOW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9.6792452830188651"/>
    <n v="0"/>
    <s v="WHITE"/>
    <s v="P00491W"/>
    <s v="FLINTSL - WHITE"/>
    <n v="30"/>
    <n v="0"/>
    <m/>
    <m/>
    <n v="0"/>
    <s v="FW"/>
    <m/>
    <m/>
    <m/>
    <m/>
    <m/>
    <m/>
    <m/>
    <n v="160"/>
    <n v="0"/>
    <m/>
    <n v="0"/>
    <m/>
    <n v="0"/>
    <m/>
    <n v="0"/>
    <m/>
    <n v="0"/>
    <m/>
    <n v="0"/>
    <m/>
    <n v="0"/>
    <m/>
    <n v="0"/>
    <s v="FLINTSL"/>
    <n v="20"/>
    <n v="0"/>
    <n v="425.56603773584908"/>
    <n v="0"/>
    <n v="2"/>
    <n v="4"/>
    <n v="2"/>
    <n v="2"/>
    <n v="2"/>
    <n v="2"/>
    <n v="2"/>
    <n v="90"/>
    <n v="0.8"/>
    <n v="0.2"/>
    <m/>
    <m/>
    <m/>
    <n v="0"/>
    <n v="301"/>
    <n v="0"/>
    <n v="0"/>
    <n v="301"/>
    <n v="301"/>
    <n v="240.8"/>
    <n v="0"/>
    <n v="60.2"/>
    <n v="0"/>
    <n v="0"/>
    <n v="0"/>
    <n v="0"/>
    <n v="0"/>
    <n v="0"/>
    <n v="0"/>
    <n v="0"/>
    <n v="0"/>
    <n v="0"/>
    <m/>
    <n v="283"/>
    <n v="574"/>
    <n v="229"/>
    <s v="FLINTSLFLINTSLFLINTSLFLINTSLFLINTSLFLINTSLFLINTSLFLINTSL"/>
    <s v="+"/>
    <s v="+"/>
    <s v="+"/>
    <s v="+"/>
    <s v="+"/>
    <s v="+"/>
    <s v="+"/>
    <s v="+"/>
    <b v="0"/>
  </r>
  <r>
    <d v="2026-01-30T00:00:00"/>
    <s v="B"/>
    <x v="374"/>
    <n v="230"/>
    <n v="961"/>
    <n v="52400"/>
    <s v="I"/>
    <s v="N"/>
    <n v="1.25"/>
    <s v="BLACK"/>
    <s v="C01325B"/>
    <s v="FLINTSL - BLACK"/>
    <n v="24"/>
    <n v="0"/>
    <m/>
    <m/>
    <n v="0"/>
    <n v="26530000023"/>
    <s v="FMD"/>
    <m/>
    <m/>
    <m/>
    <m/>
    <m/>
    <m/>
    <n v="4"/>
    <e v="#N/A"/>
    <n v="3"/>
    <n v="0"/>
    <m/>
    <n v="0"/>
    <m/>
    <n v="0"/>
    <m/>
    <n v="0"/>
    <m/>
    <n v="0"/>
    <m/>
    <n v="0"/>
    <m/>
    <n v="0"/>
    <s v="FLINTSL"/>
    <n v="28"/>
    <n v="0"/>
    <n v="14.519999999999996"/>
    <n v="0"/>
    <s v="RED"/>
    <s v="C01325R"/>
    <s v="FLINTSL - RED"/>
    <n v="29"/>
    <n v="0"/>
    <m/>
    <m/>
    <n v="0"/>
    <s v="FMG"/>
    <n v="26530000025"/>
    <m/>
    <m/>
    <m/>
    <m/>
    <m/>
    <m/>
    <n v="5"/>
    <n v="0"/>
    <n v="6"/>
    <e v="#N/A"/>
    <m/>
    <n v="0"/>
    <m/>
    <n v="0"/>
    <m/>
    <n v="0"/>
    <m/>
    <n v="0"/>
    <m/>
    <n v="0"/>
    <m/>
    <n v="0"/>
    <s v="FLINTSL"/>
    <n v="30"/>
    <n v="0"/>
    <n v="21.519999999999996"/>
    <n v="0"/>
    <s v="RED"/>
    <s v="C01325R"/>
    <s v="FLINTSL - RED"/>
    <n v="30"/>
    <n v="0"/>
    <m/>
    <m/>
    <n v="0"/>
    <s v="FMG"/>
    <n v="26530000035"/>
    <s v="FMD"/>
    <n v="26530000023"/>
    <m/>
    <m/>
    <m/>
    <m/>
    <n v="6"/>
    <n v="0"/>
    <n v="4"/>
    <e v="#N/A"/>
    <n v="2"/>
    <n v="0"/>
    <n v="0.3"/>
    <e v="#N/A"/>
    <m/>
    <n v="0"/>
    <m/>
    <n v="0"/>
    <m/>
    <n v="0"/>
    <m/>
    <n v="0"/>
    <s v="FLINTSL"/>
    <n v="30"/>
    <n v="0"/>
    <n v="23.819999999999993"/>
    <n v="0"/>
    <s v="ORANGE"/>
    <s v="C01325O"/>
    <s v="FLINTSL - ORANGE"/>
    <n v="27"/>
    <n v="0"/>
    <m/>
    <m/>
    <n v="0"/>
    <s v="TPT"/>
    <n v="26527000013"/>
    <n v="26530000035"/>
    <s v="FMG"/>
    <m/>
    <m/>
    <m/>
    <m/>
    <n v="58"/>
    <n v="0"/>
    <n v="17"/>
    <e v="#N/A"/>
    <n v="8"/>
    <e v="#N/A"/>
    <n v="10"/>
    <n v="0"/>
    <m/>
    <n v="0"/>
    <m/>
    <n v="0"/>
    <m/>
    <n v="0"/>
    <m/>
    <n v="0"/>
    <s v="FLINTSL"/>
    <n v="34"/>
    <n v="0"/>
    <n v="143.6"/>
    <n v="0"/>
    <s v="CYAN"/>
    <s v="C01325C"/>
    <s v="FLINTSL - CYAN"/>
    <n v="28"/>
    <n v="0"/>
    <m/>
    <m/>
    <n v="0"/>
    <s v="FC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8"/>
    <n v="0"/>
    <n v="13.519999999999996"/>
    <n v="0"/>
    <s v="MAGENTA"/>
    <s v="C01325M"/>
    <s v="FLINTSL - MAGENTA"/>
    <n v="29"/>
    <n v="0"/>
    <m/>
    <m/>
    <n v="0"/>
    <s v="FMG"/>
    <s v="FMD"/>
    <m/>
    <m/>
    <m/>
    <m/>
    <m/>
    <m/>
    <n v="8"/>
    <n v="0"/>
    <n v="4"/>
    <n v="0"/>
    <m/>
    <n v="0"/>
    <m/>
    <n v="0"/>
    <m/>
    <n v="0"/>
    <m/>
    <n v="0"/>
    <m/>
    <n v="0"/>
    <m/>
    <n v="0"/>
    <s v="FLINTSL"/>
    <n v="29"/>
    <n v="0"/>
    <n v="23.519999999999996"/>
    <n v="0"/>
    <s v="YELLOW"/>
    <s v="C01325Y"/>
    <s v="FLINTSL - YELLOW"/>
    <n v="28"/>
    <n v="0"/>
    <m/>
    <m/>
    <n v="0"/>
    <n v="26530000021"/>
    <s v="FMD"/>
    <m/>
    <m/>
    <m/>
    <m/>
    <m/>
    <m/>
    <n v="14"/>
    <e v="#N/A"/>
    <n v="2"/>
    <n v="0"/>
    <m/>
    <n v="0"/>
    <m/>
    <n v="0"/>
    <m/>
    <n v="0"/>
    <m/>
    <n v="0"/>
    <m/>
    <n v="0"/>
    <m/>
    <n v="0"/>
    <s v="FLINTSL"/>
    <n v="28"/>
    <n v="0"/>
    <n v="27.519999999999996"/>
    <n v="0"/>
    <s v="WHITE"/>
    <s v="C01325W"/>
    <s v="FLINTSL - WHITE"/>
    <n v="25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256.28000000000003"/>
    <n v="0"/>
    <n v="5"/>
    <n v="5"/>
    <n v="5"/>
    <n v="25"/>
    <n v="5"/>
    <n v="5"/>
    <n v="5"/>
    <n v="70"/>
    <n v="0.8"/>
    <n v="0.2"/>
    <m/>
    <m/>
    <m/>
    <n v="0"/>
    <n v="288"/>
    <n v="0"/>
    <n v="0"/>
    <n v="288"/>
    <n v="288"/>
    <n v="230.4"/>
    <n v="0"/>
    <n v="57.6"/>
    <n v="0"/>
    <n v="0"/>
    <n v="0"/>
    <n v="0"/>
    <n v="0"/>
    <n v="0"/>
    <n v="0"/>
    <n v="0"/>
    <n v="0"/>
    <n v="0"/>
    <m/>
    <n v="253.3"/>
    <n v="524.29999999999995"/>
    <n v="230"/>
    <s v="FLINTSLFLINTSLFLINTSLFLINTSLFLINTSLFLINTSLFLINTSLFLINTSL"/>
    <s v="+"/>
    <s v="+"/>
    <s v="+"/>
    <s v="+"/>
    <s v="+"/>
    <s v="+"/>
    <s v="+"/>
    <s v="+"/>
    <b v="0"/>
  </r>
  <r>
    <d v="2026-01-30T00:00:00"/>
    <s v="A"/>
    <x v="375"/>
    <n v="231"/>
    <n v="998"/>
    <n v="47000"/>
    <s v="I"/>
    <s v="N"/>
    <n v="1.85"/>
    <s v="BLACK"/>
    <s v="P00492B"/>
    <s v="FLINTSL - BLACK"/>
    <n v="26"/>
    <n v="0"/>
    <m/>
    <m/>
    <n v="0"/>
    <s v="FK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5"/>
    <n v="0"/>
    <n v="13.666666666666664"/>
    <n v="0"/>
    <s v="RED"/>
    <s v="P00492R"/>
    <s v="FLINTSL - RED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16"/>
    <n v="0"/>
    <n v="17.111111111111114"/>
    <n v="0"/>
    <s v="RED"/>
    <m/>
    <s v="FLINTSL - RED"/>
    <m/>
    <n v="0"/>
    <m/>
    <m/>
    <n v="0"/>
    <n v="26531000012"/>
    <n v="26531000023"/>
    <m/>
    <m/>
    <m/>
    <m/>
    <m/>
    <m/>
    <n v="50"/>
    <e v="#N/A"/>
    <n v="20"/>
    <e v="#N/A"/>
    <m/>
    <n v="0"/>
    <m/>
    <n v="0"/>
    <m/>
    <n v="0"/>
    <m/>
    <n v="0"/>
    <m/>
    <n v="0"/>
    <m/>
    <n v="0"/>
    <s v="FLINTSL"/>
    <n v="24"/>
    <n v="0"/>
    <n v="46"/>
    <n v="0"/>
    <s v="MEDIUM"/>
    <s v="P00492M"/>
    <s v="FLINTSL - MEDIUM"/>
    <n v="30"/>
    <n v="0"/>
    <m/>
    <m/>
    <n v="0"/>
    <n v="26530000024"/>
    <n v="26531000016"/>
    <n v="26531000024"/>
    <m/>
    <m/>
    <m/>
    <m/>
    <m/>
    <n v="3.6"/>
    <e v="#N/A"/>
    <n v="40"/>
    <e v="#N/A"/>
    <n v="20"/>
    <e v="#N/A"/>
    <m/>
    <n v="0"/>
    <m/>
    <n v="0"/>
    <m/>
    <n v="0"/>
    <m/>
    <n v="0"/>
    <m/>
    <n v="0"/>
    <s v="FLINTSL"/>
    <n v="33"/>
    <n v="0"/>
    <n v="60.599999999999994"/>
    <n v="0"/>
    <s v="CYAN"/>
    <s v="P00492C"/>
    <s v="FLINTSL - CYAN"/>
    <n v="26"/>
    <n v="0"/>
    <m/>
    <m/>
    <n v="0"/>
    <s v="FC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6"/>
    <n v="0"/>
    <n v="7.1111111111111143"/>
    <n v="0"/>
    <s v="MAGENTA"/>
    <s v="P00492M"/>
    <s v="FLINTSL - MAGENTA"/>
    <n v="25"/>
    <n v="0"/>
    <m/>
    <m/>
    <n v="0"/>
    <s v="FMG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4"/>
    <n v="0"/>
    <n v="9.1111111111111143"/>
    <n v="0"/>
    <s v="YELLOW"/>
    <s v="P00492Y"/>
    <s v="FLINTSL - YELLOW"/>
    <n v="25"/>
    <n v="0"/>
    <m/>
    <m/>
    <n v="0"/>
    <n v="26530000021"/>
    <s v="FMD"/>
    <m/>
    <m/>
    <m/>
    <m/>
    <m/>
    <m/>
    <n v="4"/>
    <e v="#N/A"/>
    <n v="3"/>
    <n v="0"/>
    <m/>
    <n v="0"/>
    <m/>
    <n v="0"/>
    <m/>
    <n v="0"/>
    <m/>
    <n v="0"/>
    <m/>
    <n v="0"/>
    <m/>
    <n v="0"/>
    <s v="FLINTSL"/>
    <n v="18"/>
    <n v="0"/>
    <n v="21.666666666666664"/>
    <n v="0"/>
    <s v="WHITE"/>
    <s v="P00492W"/>
    <s v="FLINTSL - WHITE"/>
    <n v="20"/>
    <n v="0"/>
    <m/>
    <m/>
    <n v="0"/>
    <s v="FW"/>
    <m/>
    <m/>
    <m/>
    <m/>
    <m/>
    <m/>
    <m/>
    <n v="160"/>
    <n v="0"/>
    <m/>
    <n v="0"/>
    <m/>
    <n v="0"/>
    <m/>
    <n v="0"/>
    <m/>
    <n v="0"/>
    <m/>
    <n v="0"/>
    <m/>
    <n v="0"/>
    <m/>
    <n v="0"/>
    <s v="FLINTSL"/>
    <n v="25"/>
    <n v="0"/>
    <n v="423.33333333333331"/>
    <n v="0"/>
    <n v="3"/>
    <n v="2"/>
    <n v="0"/>
    <n v="0"/>
    <n v="2"/>
    <n v="2"/>
    <n v="3"/>
    <n v="105"/>
    <n v="0.8"/>
    <n v="0.2"/>
    <m/>
    <m/>
    <m/>
    <n v="0"/>
    <n v="299"/>
    <n v="0"/>
    <n v="0"/>
    <n v="299"/>
    <n v="299"/>
    <n v="239.20000000000002"/>
    <n v="0"/>
    <n v="59.800000000000004"/>
    <n v="0"/>
    <n v="0"/>
    <n v="0"/>
    <n v="0"/>
    <n v="0"/>
    <n v="0"/>
    <n v="0"/>
    <n v="0"/>
    <n v="0"/>
    <n v="0"/>
    <m/>
    <n v="310.60000000000002"/>
    <n v="598.59999999999991"/>
    <n v="231"/>
    <s v="FLINTSLFLINTSLFLINTSLFLINTSLFLINTSLFLINTSLFLINTSLFLINTSL"/>
    <s v="+"/>
    <s v="+"/>
    <s v="+"/>
    <s v="+"/>
    <s v="+"/>
    <s v="+"/>
    <s v="+"/>
    <s v="+"/>
    <b v="0"/>
  </r>
  <r>
    <d v="2026-01-31T00:00:00"/>
    <s v="A"/>
    <x v="376"/>
    <n v="232"/>
    <n v="959"/>
    <n v="52300"/>
    <s v="I"/>
    <s v="N"/>
    <n v="1.3"/>
    <s v="BLACK"/>
    <s v="C01497B"/>
    <s v="FLINTSL - BLACK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0"/>
    <n v="5.760330578512395"/>
    <n v="0"/>
    <s v="RED"/>
    <s v="C01497R"/>
    <s v="FLINTSL - RED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9.760330578512395"/>
    <n v="0"/>
    <s v="GREEN"/>
    <s v="H01215G"/>
    <s v="FLINTSL - GREEN"/>
    <n v="28"/>
    <n v="0"/>
    <m/>
    <m/>
    <n v="0"/>
    <s v="FK"/>
    <n v="26529000021"/>
    <s v="FC"/>
    <m/>
    <m/>
    <m/>
    <m/>
    <m/>
    <n v="0.5"/>
    <n v="0"/>
    <n v="1"/>
    <e v="#N/A"/>
    <n v="2"/>
    <n v="0"/>
    <m/>
    <n v="0"/>
    <m/>
    <n v="0"/>
    <m/>
    <n v="0"/>
    <m/>
    <n v="0"/>
    <m/>
    <n v="0"/>
    <s v="FLINTSL"/>
    <n v="20"/>
    <n v="0"/>
    <n v="18.640495867768593"/>
    <n v="0"/>
    <s v="GREEN"/>
    <s v="N00890G"/>
    <s v="FLINTSL - GREEN"/>
    <n v="26"/>
    <n v="0"/>
    <s v="E00996G"/>
    <n v="25"/>
    <n v="0"/>
    <n v="26531000022"/>
    <s v="FC"/>
    <n v="26530000034"/>
    <s v="FK"/>
    <m/>
    <m/>
    <m/>
    <m/>
    <n v="20"/>
    <e v="#N/A"/>
    <n v="30"/>
    <n v="0"/>
    <n v="30"/>
    <e v="#N/A"/>
    <n v="1.5"/>
    <n v="0"/>
    <m/>
    <n v="0"/>
    <m/>
    <n v="0"/>
    <m/>
    <n v="0"/>
    <m/>
    <n v="0"/>
    <s v="FLINTSL"/>
    <n v="24"/>
    <n v="0"/>
    <n v="144.20247933884298"/>
    <n v="0"/>
    <s v="CYAN"/>
    <s v="C01497C"/>
    <s v="FLINTSL - CYAN"/>
    <n v="28"/>
    <n v="0"/>
    <m/>
    <m/>
    <n v="0"/>
    <n v="26531000017"/>
    <s v="FMD"/>
    <m/>
    <m/>
    <m/>
    <m/>
    <m/>
    <m/>
    <n v="20"/>
    <e v="#N/A"/>
    <n v="3"/>
    <n v="0"/>
    <m/>
    <n v="0"/>
    <m/>
    <n v="0"/>
    <m/>
    <n v="0"/>
    <m/>
    <n v="0"/>
    <m/>
    <n v="0"/>
    <m/>
    <n v="0"/>
    <s v="FLINTSL"/>
    <n v="27"/>
    <n v="0"/>
    <n v="28.760330578512395"/>
    <n v="0"/>
    <s v="MAGENTA"/>
    <s v="C01497M"/>
    <s v="FLINTSL - MAGENTA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5.760330578512395"/>
    <n v="0"/>
    <s v="YELLOW"/>
    <s v="C01497Y"/>
    <s v="FLINTSL - YELLOW"/>
    <n v="28"/>
    <n v="0"/>
    <m/>
    <m/>
    <n v="0"/>
    <n v="2653000002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7"/>
    <n v="0"/>
    <n v="16.900826446280988"/>
    <n v="0"/>
    <s v="WHITE"/>
    <s v="C01497W"/>
    <s v="FLINTSL - WHITE"/>
    <n v="30"/>
    <n v="0"/>
    <m/>
    <m/>
    <n v="0"/>
    <s v="FW"/>
    <m/>
    <m/>
    <m/>
    <m/>
    <m/>
    <m/>
    <m/>
    <n v="150"/>
    <n v="0"/>
    <m/>
    <n v="0"/>
    <m/>
    <n v="0"/>
    <m/>
    <n v="0"/>
    <m/>
    <n v="0"/>
    <m/>
    <n v="0"/>
    <m/>
    <n v="0"/>
    <m/>
    <n v="0"/>
    <s v="FLINTSL"/>
    <n v="30"/>
    <n v="0"/>
    <n v="364.21487603305786"/>
    <n v="0"/>
    <n v="2"/>
    <n v="2"/>
    <n v="3"/>
    <n v="15"/>
    <n v="2"/>
    <n v="2"/>
    <n v="5"/>
    <n v="90"/>
    <n v="0.8"/>
    <n v="0.2"/>
    <m/>
    <m/>
    <m/>
    <n v="0"/>
    <n v="288"/>
    <n v="0"/>
    <n v="0"/>
    <n v="288"/>
    <n v="288"/>
    <n v="230.4"/>
    <n v="0"/>
    <n v="57.6"/>
    <n v="0"/>
    <n v="0"/>
    <n v="0"/>
    <n v="0"/>
    <n v="0"/>
    <n v="0"/>
    <n v="0"/>
    <n v="0"/>
    <n v="0"/>
    <n v="0"/>
    <m/>
    <n v="262"/>
    <n v="594"/>
    <n v="232"/>
    <s v="FLINTSLFLINTSLFLINTSLFLINTSLFLINTSLFLINTSLFLINTSLFLINTSL"/>
    <s v="+"/>
    <s v="+"/>
    <s v="+"/>
    <s v="+"/>
    <s v="+"/>
    <s v="+"/>
    <s v="+"/>
    <s v="+"/>
    <b v="0"/>
  </r>
  <r>
    <d v="2026-01-31T00:00:00"/>
    <s v="A"/>
    <x v="377"/>
    <n v="233"/>
    <n v="740"/>
    <n v="25400"/>
    <s v="I"/>
    <s v="N"/>
    <n v="1.25"/>
    <s v="BLACK"/>
    <s v="C01499B"/>
    <s v="FLINTSL - BLACK"/>
    <n v="27"/>
    <n v="0"/>
    <m/>
    <m/>
    <n v="0"/>
    <s v="FK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8"/>
    <n v="0"/>
    <n v="11.655172413793103"/>
    <n v="0"/>
    <s v="REFLEX BLUE"/>
    <s v="N00902B"/>
    <s v="FLINTSL - REFLEX BLUE"/>
    <n v="26"/>
    <n v="0"/>
    <m/>
    <m/>
    <n v="0"/>
    <s v="FC"/>
    <s v="FMG"/>
    <m/>
    <m/>
    <m/>
    <m/>
    <m/>
    <m/>
    <n v="4"/>
    <n v="0"/>
    <n v="3"/>
    <n v="0"/>
    <m/>
    <n v="0"/>
    <m/>
    <n v="0"/>
    <m/>
    <n v="0"/>
    <m/>
    <n v="0"/>
    <m/>
    <n v="0"/>
    <m/>
    <n v="0"/>
    <s v="FLINTSL"/>
    <n v="28"/>
    <n v="0"/>
    <n v="12.655172413793103"/>
    <n v="0"/>
    <s v="RED"/>
    <m/>
    <s v="FLINTSL - RED"/>
    <m/>
    <n v="0"/>
    <m/>
    <m/>
    <n v="0"/>
    <n v="26531000028"/>
    <s v="FMD"/>
    <s v="FMG"/>
    <n v="26531000021"/>
    <m/>
    <m/>
    <m/>
    <m/>
    <n v="40"/>
    <e v="#N/A"/>
    <n v="7"/>
    <n v="0"/>
    <n v="2"/>
    <n v="0"/>
    <n v="4"/>
    <e v="#N/A"/>
    <m/>
    <n v="0"/>
    <m/>
    <n v="0"/>
    <m/>
    <n v="0"/>
    <m/>
    <n v="0"/>
    <s v="FLINTSL"/>
    <n v="24"/>
    <n v="0"/>
    <n v="54.517241379310349"/>
    <n v="0"/>
    <s v="CYAN"/>
    <s v="C01499C"/>
    <s v="FLINTSL - CYAN"/>
    <n v="27"/>
    <n v="0"/>
    <m/>
    <m/>
    <n v="0"/>
    <s v="FC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30"/>
    <n v="0"/>
    <n v="22.310344827586206"/>
    <n v="0"/>
    <s v="MAGENTA"/>
    <s v="C01499M"/>
    <s v="FLINTSL - MAGENTA"/>
    <n v="28"/>
    <n v="0"/>
    <m/>
    <m/>
    <n v="0"/>
    <s v="FMG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9"/>
    <n v="0"/>
    <n v="8.1034482758620712"/>
    <n v="0"/>
    <s v="YELLOW"/>
    <s v="C01499Y"/>
    <s v="FLINTSL - YELLOW"/>
    <n v="27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5"/>
    <n v="0"/>
    <n v="17.206896551724135"/>
    <n v="0"/>
    <s v="WHITE"/>
    <s v="C01499W"/>
    <s v="FLINTSL - WHITE"/>
    <n v="3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30"/>
    <n v="0"/>
    <n v="126.5517241379310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3"/>
    <n v="10"/>
    <n v="6"/>
    <n v="2"/>
    <n v="4"/>
    <n v="30"/>
    <n v="0"/>
    <n v="0.8"/>
    <n v="0.2"/>
    <m/>
    <m/>
    <m/>
    <n v="0"/>
    <n v="148"/>
    <n v="0"/>
    <n v="0"/>
    <n v="148"/>
    <n v="148"/>
    <n v="118.4"/>
    <n v="0"/>
    <n v="29.6"/>
    <n v="0"/>
    <n v="0"/>
    <n v="0"/>
    <n v="0"/>
    <n v="0"/>
    <n v="0"/>
    <n v="0"/>
    <n v="0"/>
    <n v="0"/>
    <n v="0"/>
    <m/>
    <n v="134"/>
    <n v="253"/>
    <n v="233"/>
    <s v="FLINTSLFLINTSLFLINTSLFLINTSLFLINTSLFLINTSLFLINTSL"/>
    <s v="+"/>
    <s v="+"/>
    <s v="+"/>
    <s v="+"/>
    <s v="+"/>
    <s v="+"/>
    <s v="+"/>
    <s v="NIL"/>
    <b v="0"/>
  </r>
  <r>
    <d v="2026-01-31T00:00:00"/>
    <s v="A"/>
    <x v="378"/>
    <n v="234"/>
    <n v="248"/>
    <n v="10600"/>
    <s v="I"/>
    <s v="N"/>
    <n v="2"/>
    <s v="GREEN"/>
    <s v="E01045G"/>
    <s v="FLINTSL - GREEN"/>
    <n v="21"/>
    <n v="0"/>
    <m/>
    <m/>
    <n v="0"/>
    <s v="FC"/>
    <s v="FK"/>
    <m/>
    <m/>
    <m/>
    <m/>
    <m/>
    <m/>
    <n v="5"/>
    <n v="0"/>
    <n v="1"/>
    <n v="0"/>
    <m/>
    <n v="0"/>
    <m/>
    <n v="0"/>
    <m/>
    <n v="0"/>
    <m/>
    <n v="0"/>
    <m/>
    <n v="0"/>
    <m/>
    <n v="0"/>
    <s v="FLINTSL"/>
    <n v="24"/>
    <n v="0"/>
    <n v="7.0135135135135158"/>
    <n v="0"/>
    <s v="GREEN"/>
    <s v="N00890G"/>
    <s v="FLINTSL - GREEN"/>
    <n v="18"/>
    <n v="0"/>
    <m/>
    <m/>
    <n v="0"/>
    <s v="FC"/>
    <n v="26529000020"/>
    <m/>
    <m/>
    <m/>
    <m/>
    <m/>
    <m/>
    <n v="2"/>
    <n v="0"/>
    <n v="2"/>
    <e v="#N/A"/>
    <m/>
    <n v="0"/>
    <m/>
    <n v="0"/>
    <m/>
    <n v="0"/>
    <m/>
    <n v="0"/>
    <m/>
    <n v="0"/>
    <m/>
    <n v="0"/>
    <s v="FLINTSL"/>
    <n v="21"/>
    <n v="0"/>
    <n v="3.6756756756756772"/>
    <n v="0"/>
    <s v="RED"/>
    <m/>
    <s v="FLINTSL - RED"/>
    <m/>
    <n v="0"/>
    <m/>
    <m/>
    <n v="0"/>
    <n v="26531000005"/>
    <s v="FMG"/>
    <m/>
    <m/>
    <m/>
    <m/>
    <m/>
    <m/>
    <n v="10"/>
    <e v="#N/A"/>
    <n v="10"/>
    <n v="0"/>
    <m/>
    <n v="0"/>
    <m/>
    <n v="0"/>
    <m/>
    <n v="0"/>
    <m/>
    <n v="0"/>
    <m/>
    <n v="0"/>
    <m/>
    <n v="0"/>
    <s v="FLINTSL"/>
    <n v="23"/>
    <n v="0"/>
    <n v="6.3648648648648631"/>
    <n v="0"/>
    <s v="GREEN"/>
    <s v="G01490G"/>
    <s v="FLINTSL - GREEN"/>
    <n v="20"/>
    <n v="0"/>
    <m/>
    <m/>
    <n v="0"/>
    <s v="FMD"/>
    <n v="26530000026"/>
    <s v="FC"/>
    <s v="FK"/>
    <m/>
    <m/>
    <m/>
    <m/>
    <n v="5"/>
    <n v="0"/>
    <n v="20"/>
    <e v="#N/A"/>
    <n v="15"/>
    <n v="0"/>
    <n v="3"/>
    <n v="0"/>
    <m/>
    <n v="0"/>
    <m/>
    <n v="0"/>
    <m/>
    <n v="0"/>
    <m/>
    <n v="0"/>
    <s v="FLINTSL"/>
    <n v="20"/>
    <n v="0"/>
    <n v="69.756756756756758"/>
    <n v="0"/>
    <s v="GREEN"/>
    <m/>
    <s v="FLINTSL - GREEN"/>
    <m/>
    <n v="0"/>
    <m/>
    <m/>
    <n v="0"/>
    <n v="26531000014"/>
    <s v="FC"/>
    <m/>
    <m/>
    <m/>
    <m/>
    <m/>
    <m/>
    <n v="20"/>
    <e v="#N/A"/>
    <n v="30"/>
    <n v="0"/>
    <m/>
    <n v="0"/>
    <m/>
    <n v="0"/>
    <m/>
    <n v="0"/>
    <m/>
    <n v="0"/>
    <m/>
    <n v="0"/>
    <m/>
    <n v="0"/>
    <s v="FLINTSL"/>
    <n v="21"/>
    <n v="0"/>
    <n v="42.378378378378379"/>
    <n v="0"/>
    <s v="ORANGE"/>
    <s v="E01818O"/>
    <s v="FLINTSL - ORANGE"/>
    <n v="10"/>
    <n v="0"/>
    <m/>
    <m/>
    <n v="0"/>
    <n v="26531000005"/>
    <n v="26530000026"/>
    <m/>
    <m/>
    <m/>
    <m/>
    <m/>
    <m/>
    <n v="5"/>
    <e v="#N/A"/>
    <n v="5"/>
    <e v="#N/A"/>
    <m/>
    <n v="0"/>
    <m/>
    <n v="0"/>
    <m/>
    <n v="0"/>
    <m/>
    <n v="0"/>
    <m/>
    <n v="0"/>
    <m/>
    <n v="0"/>
    <s v="FLINTSL"/>
    <n v="29"/>
    <n v="0"/>
    <n v="0.36486486486486314"/>
    <n v="0"/>
    <s v="WHITE"/>
    <s v="P00493W"/>
    <s v="FLINTSL - WHITE"/>
    <n v="25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30"/>
    <n v="0"/>
    <n v="68.44594594594593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2"/>
    <n v="7"/>
    <n v="20"/>
    <n v="10"/>
    <n v="7"/>
    <n v="25"/>
    <n v="0"/>
    <n v="0.8"/>
    <n v="0.2"/>
    <m/>
    <m/>
    <m/>
    <n v="0"/>
    <n v="99"/>
    <n v="0"/>
    <n v="0"/>
    <n v="99"/>
    <n v="99"/>
    <n v="79.2"/>
    <n v="0"/>
    <n v="19.8"/>
    <n v="0"/>
    <n v="0"/>
    <n v="0"/>
    <n v="0"/>
    <n v="0"/>
    <n v="0"/>
    <n v="0"/>
    <n v="0"/>
    <n v="0"/>
    <n v="0"/>
    <m/>
    <n v="173"/>
    <n v="198"/>
    <n v="234"/>
    <s v="FLINTSLFLINTSLFLINTSLFLINTSLFLINTSLFLINTSLFLINTSL"/>
    <s v="+"/>
    <s v="+"/>
    <s v="+"/>
    <s v="+"/>
    <s v="+"/>
    <s v="+"/>
    <s v="+"/>
    <s v="NIL"/>
    <b v="0"/>
  </r>
  <r>
    <d v="2026-01-31T00:00:00"/>
    <s v="A"/>
    <x v="379"/>
    <n v="235"/>
    <n v="2092"/>
    <n v="107700"/>
    <s v="I"/>
    <s v="N"/>
    <n v="1.81"/>
    <s v="BLACK"/>
    <s v="B01084B"/>
    <s v="FLINTSL - BLACK"/>
    <n v="28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7"/>
    <n v="0"/>
    <n v="12.587412587412587"/>
    <n v="0"/>
    <s v="RED"/>
    <s v="C01499R"/>
    <s v="FLINTSL - RED"/>
    <n v="25"/>
    <n v="0"/>
    <s v="C01531R"/>
    <n v="23"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30"/>
    <n v="0"/>
    <n v="31.783216783216787"/>
    <n v="0"/>
    <s v="GREEN"/>
    <s v="C01499G"/>
    <s v="FLINTSL - GREEN"/>
    <n v="25"/>
    <n v="0"/>
    <m/>
    <m/>
    <n v="0"/>
    <s v="FC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9"/>
    <n v="0"/>
    <n v="0.19580419580419672"/>
    <n v="0"/>
    <s v="GREEN"/>
    <s v="C01531G"/>
    <s v="FLINTSL - GREEN"/>
    <n v="20"/>
    <n v="0"/>
    <m/>
    <m/>
    <n v="0"/>
    <n v="26530000021"/>
    <s v="FC"/>
    <m/>
    <m/>
    <m/>
    <m/>
    <m/>
    <m/>
    <n v="8"/>
    <e v="#N/A"/>
    <n v="4"/>
    <n v="0"/>
    <m/>
    <n v="0"/>
    <m/>
    <n v="0"/>
    <m/>
    <n v="0"/>
    <m/>
    <n v="0"/>
    <m/>
    <n v="0"/>
    <m/>
    <n v="0"/>
    <s v="FLINTSL"/>
    <n v="28"/>
    <n v="0"/>
    <n v="12.783216783216787"/>
    <n v="0"/>
    <s v="MAGENTA"/>
    <s v="B01084M"/>
    <s v="FLINTSL - MAGENTA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0"/>
    <n v="3.3916083916083934"/>
    <n v="0"/>
    <s v="YELLOW"/>
    <s v="B01084Y"/>
    <s v="FLINTSL - YELLOW"/>
    <n v="25"/>
    <n v="0"/>
    <m/>
    <m/>
    <n v="0"/>
    <n v="26531000030"/>
    <n v="26531000031"/>
    <n v="26531000029"/>
    <n v="26531000034"/>
    <s v="TPT"/>
    <s v="FMD"/>
    <m/>
    <m/>
    <n v="40"/>
    <e v="#N/A"/>
    <n v="130"/>
    <e v="#N/A"/>
    <n v="40"/>
    <e v="#N/A"/>
    <n v="100"/>
    <e v="#N/A"/>
    <m/>
    <n v="0"/>
    <m/>
    <n v="0"/>
    <m/>
    <n v="0"/>
    <m/>
    <n v="0"/>
    <s v="FLINTSL"/>
    <n v="29"/>
    <n v="0"/>
    <n v="332.34965034965035"/>
    <n v="0"/>
    <s v="WHITE"/>
    <s v="B01084W"/>
    <s v="FLINTSL - WHITE"/>
    <n v="30"/>
    <n v="0"/>
    <m/>
    <m/>
    <n v="0"/>
    <s v="FW"/>
    <m/>
    <m/>
    <m/>
    <m/>
    <m/>
    <m/>
    <m/>
    <n v="450"/>
    <n v="0"/>
    <m/>
    <n v="0"/>
    <m/>
    <n v="0"/>
    <m/>
    <n v="0"/>
    <m/>
    <n v="0"/>
    <m/>
    <n v="0"/>
    <m/>
    <n v="0"/>
    <m/>
    <n v="0"/>
    <s v="FLINTSL"/>
    <n v="30"/>
    <n v="0"/>
    <n v="1020.90909090909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4"/>
    <n v="1"/>
    <n v="4"/>
    <n v="2"/>
    <n v="12"/>
    <n v="260"/>
    <n v="0"/>
    <n v="0.8"/>
    <n v="0.2"/>
    <m/>
    <m/>
    <m/>
    <n v="0"/>
    <n v="628"/>
    <n v="0"/>
    <n v="0"/>
    <n v="628"/>
    <n v="628"/>
    <n v="502.40000000000003"/>
    <n v="0"/>
    <n v="125.60000000000001"/>
    <n v="0"/>
    <n v="0"/>
    <n v="0"/>
    <n v="0"/>
    <n v="0"/>
    <n v="0"/>
    <n v="0"/>
    <n v="0"/>
    <n v="0"/>
    <n v="0"/>
    <m/>
    <n v="784"/>
    <n v="1414"/>
    <n v="235"/>
    <s v="FLINTSLFLINTSLFLINTSLFLINTSLFLINTSLFLINTSLFLINTSL"/>
    <s v="+"/>
    <s v="+"/>
    <s v="+"/>
    <s v="+"/>
    <s v="+"/>
    <s v="+"/>
    <s v="+"/>
    <s v="NIL"/>
    <b v="0"/>
  </r>
  <r>
    <d v="2026-01-31T00:00:00"/>
    <s v="A"/>
    <x v="380"/>
    <n v="236"/>
    <n v="1432"/>
    <n v="69500"/>
    <s v="II"/>
    <s v="N"/>
    <n v="1.36"/>
    <s v="BLACK"/>
    <s v="H01270B"/>
    <s v="FLINTSL - BLACK"/>
    <n v="27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30"/>
    <n v="0"/>
    <n v="14.474358974358971"/>
    <n v="0"/>
    <s v="REFLEX BLUE"/>
    <s v="P00492B"/>
    <s v="FLINTSL - REFLEX BLUE"/>
    <n v="23"/>
    <n v="0"/>
    <s v="H01293B"/>
    <n v="16"/>
    <n v="0"/>
    <n v="26529000021"/>
    <s v="FMG"/>
    <m/>
    <m/>
    <m/>
    <m/>
    <m/>
    <m/>
    <n v="8"/>
    <e v="#N/A"/>
    <n v="6"/>
    <n v="0"/>
    <m/>
    <n v="0"/>
    <m/>
    <n v="0"/>
    <m/>
    <n v="0"/>
    <m/>
    <n v="0"/>
    <m/>
    <n v="0"/>
    <m/>
    <n v="0"/>
    <s v="FLINTSL"/>
    <n v="23"/>
    <n v="0"/>
    <n v="41.474358974358978"/>
    <n v="0"/>
    <s v="RED"/>
    <s v="H01270R"/>
    <s v="FLINTSL - RED"/>
    <n v="30"/>
    <n v="0"/>
    <m/>
    <m/>
    <n v="0"/>
    <s v="FMG"/>
    <n v="26529000026"/>
    <n v="26531000005"/>
    <s v="FK"/>
    <m/>
    <m/>
    <m/>
    <m/>
    <n v="6"/>
    <n v="0"/>
    <n v="2"/>
    <e v="#N/A"/>
    <n v="6"/>
    <e v="#N/A"/>
    <n v="0.2"/>
    <n v="0"/>
    <m/>
    <n v="0"/>
    <m/>
    <n v="0"/>
    <m/>
    <n v="0"/>
    <m/>
    <n v="0"/>
    <s v="FLINTSL"/>
    <n v="26"/>
    <n v="0"/>
    <n v="29.674358974358974"/>
    <n v="0"/>
    <s v="CYAN"/>
    <s v="P00493C"/>
    <s v="FLINTSL - CYAN"/>
    <n v="26"/>
    <n v="0"/>
    <s v="H01266C"/>
    <n v="28"/>
    <n v="0"/>
    <s v="FC"/>
    <s v="FMD"/>
    <m/>
    <m/>
    <m/>
    <m/>
    <m/>
    <m/>
    <n v="60"/>
    <n v="0"/>
    <n v="10"/>
    <n v="0"/>
    <m/>
    <n v="0"/>
    <m/>
    <n v="0"/>
    <m/>
    <n v="0"/>
    <m/>
    <n v="0"/>
    <m/>
    <n v="0"/>
    <m/>
    <n v="0"/>
    <s v="FLINTSL"/>
    <n v="27"/>
    <n v="0"/>
    <n v="188.79487179487177"/>
    <n v="0"/>
    <s v="MAGENTA"/>
    <s v="H01270M"/>
    <s v="FLINTSL - MAGENTA"/>
    <n v="30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6"/>
    <n v="0"/>
    <n v="21.474358974358971"/>
    <n v="0"/>
    <s v="YELLOW"/>
    <s v="H01270Y"/>
    <s v="FLINTSL - YELLOW"/>
    <n v="29"/>
    <n v="0"/>
    <m/>
    <m/>
    <n v="0"/>
    <n v="26530000030"/>
    <m/>
    <m/>
    <m/>
    <m/>
    <m/>
    <m/>
    <m/>
    <n v="15"/>
    <e v="#N/A"/>
    <m/>
    <n v="0"/>
    <m/>
    <n v="0"/>
    <m/>
    <n v="0"/>
    <m/>
    <n v="0"/>
    <m/>
    <n v="0"/>
    <m/>
    <n v="0"/>
    <m/>
    <n v="0"/>
    <s v="FLINTSL"/>
    <n v="26"/>
    <n v="0"/>
    <n v="31.769230769230774"/>
    <n v="0"/>
    <s v="WHITE"/>
    <s v="H01270W"/>
    <s v="FLINTSL - WHITE"/>
    <n v="30"/>
    <n v="0"/>
    <m/>
    <m/>
    <n v="0"/>
    <s v="FW"/>
    <m/>
    <m/>
    <m/>
    <m/>
    <m/>
    <m/>
    <m/>
    <n v="150"/>
    <n v="0"/>
    <m/>
    <n v="0"/>
    <m/>
    <n v="0"/>
    <m/>
    <n v="0"/>
    <m/>
    <n v="0"/>
    <m/>
    <n v="0"/>
    <m/>
    <n v="0"/>
    <m/>
    <n v="0"/>
    <s v="FLINTSL"/>
    <n v="24"/>
    <n v="0"/>
    <n v="362.5384615384615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40"/>
    <n v="5"/>
    <n v="6"/>
    <n v="90"/>
    <n v="0"/>
    <n v="0.8"/>
    <n v="0.2"/>
    <m/>
    <m/>
    <m/>
    <n v="0"/>
    <n v="358"/>
    <n v="0"/>
    <n v="0"/>
    <n v="358"/>
    <n v="358"/>
    <n v="286.40000000000003"/>
    <n v="0"/>
    <n v="71.600000000000009"/>
    <n v="0"/>
    <n v="0"/>
    <n v="0"/>
    <n v="0"/>
    <n v="0"/>
    <n v="0"/>
    <n v="0"/>
    <n v="0"/>
    <n v="0"/>
    <n v="0"/>
    <m/>
    <n v="275.2"/>
    <n v="690.19999999999993"/>
    <n v="236"/>
    <s v="FLINTSLFLINTSLFLINTSLFLINTSLFLINTSLFLINTSLFLINTSL"/>
    <s v="+"/>
    <s v="+"/>
    <s v="+"/>
    <s v="+"/>
    <s v="+"/>
    <s v="+"/>
    <s v="+"/>
    <s v="NIL"/>
    <b v="0"/>
  </r>
  <r>
    <d v="2026-01-31T00:00:00"/>
    <s v="A"/>
    <x v="381"/>
    <s v="TL145"/>
    <n v="72"/>
    <n v="3300"/>
    <s v="I"/>
    <s v="N"/>
    <n v="1.8"/>
    <s v="BLACK"/>
    <s v="F00893B"/>
    <s v="ToyoLi - BLACK"/>
    <n v="4"/>
    <n v="0"/>
    <s v="P00461B"/>
    <n v="13"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0"/>
    <n v="0"/>
    <n v="3.8947368421052637"/>
    <n v="0"/>
    <s v="REFLEX BLUE"/>
    <s v="B01015B"/>
    <s v="ToyoLi - REFLEX BLUE"/>
    <n v="15"/>
    <n v="0"/>
    <m/>
    <m/>
    <n v="0"/>
    <s v="Z822"/>
    <s v="R39"/>
    <s v="F640"/>
    <s v="R1205"/>
    <s v="RTMD"/>
    <m/>
    <m/>
    <m/>
    <n v="3"/>
    <n v="0"/>
    <n v="5"/>
    <n v="0"/>
    <n v="5"/>
    <n v="0"/>
    <n v="4"/>
    <n v="0"/>
    <n v="6"/>
    <n v="0"/>
    <m/>
    <n v="0"/>
    <m/>
    <n v="0"/>
    <m/>
    <n v="0"/>
    <s v="ToyoLi"/>
    <n v="20"/>
    <n v="0"/>
    <n v="20.842105263157897"/>
    <n v="0"/>
    <s v="GREEN"/>
    <m/>
    <s v="ToyoLi - GREEN"/>
    <m/>
    <n v="0"/>
    <m/>
    <m/>
    <n v="0"/>
    <s v="RTMD"/>
    <s v="F640"/>
    <s v="F53"/>
    <s v="F23T"/>
    <s v="R39"/>
    <m/>
    <m/>
    <m/>
    <n v="10"/>
    <n v="0"/>
    <n v="5"/>
    <n v="0"/>
    <n v="0.2"/>
    <n v="0"/>
    <n v="0.3"/>
    <n v="0"/>
    <n v="0.1"/>
    <n v="0"/>
    <m/>
    <n v="0"/>
    <m/>
    <n v="0"/>
    <m/>
    <n v="0"/>
    <s v="ToyoLi"/>
    <n v="20"/>
    <n v="0"/>
    <n v="5.0736842105263165"/>
    <n v="0"/>
    <s v="CYAN"/>
    <s v="B01065C"/>
    <s v="ToyoLi - CYAN"/>
    <n v="29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31"/>
    <n v="0"/>
    <n v="1.8947368421052602"/>
    <n v="0"/>
    <s v="MAGENTA"/>
    <s v="B01065M"/>
    <s v="ToyoLi - MAGENTA"/>
    <n v="26"/>
    <n v="0"/>
    <m/>
    <m/>
    <n v="0"/>
    <s v="RTMD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0"/>
    <n v="0"/>
    <n v="5.7368421052631575"/>
    <n v="0"/>
    <s v="YELLOW"/>
    <s v="B01065Y"/>
    <s v="ToyoLi - YELLOW"/>
    <n v="33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0"/>
    <n v="11"/>
    <n v="0"/>
    <s v="MEDIUM"/>
    <s v="G00400M"/>
    <s v="ToyoLi - MEDIUM"/>
    <n v="11"/>
    <n v="0"/>
    <m/>
    <m/>
    <n v="0"/>
    <s v="F640"/>
    <s v="RTMD"/>
    <s v="F23T"/>
    <m/>
    <m/>
    <m/>
    <m/>
    <m/>
    <n v="5"/>
    <n v="0"/>
    <n v="5"/>
    <n v="0"/>
    <n v="1"/>
    <n v="0"/>
    <m/>
    <n v="0"/>
    <m/>
    <n v="0"/>
    <m/>
    <n v="0"/>
    <m/>
    <n v="0"/>
    <m/>
    <n v="0"/>
    <s v="ToyoLi"/>
    <n v="21"/>
    <n v="0"/>
    <n v="6.6842105263157876"/>
    <n v="0"/>
    <s v="WHITE"/>
    <m/>
    <s v="ToyoLi - WHITE"/>
    <m/>
    <n v="0"/>
    <m/>
    <m/>
    <n v="0"/>
    <s v="F640"/>
    <s v="HSLAS"/>
    <m/>
    <m/>
    <m/>
    <m/>
    <m/>
    <m/>
    <n v="20"/>
    <n v="0"/>
    <n v="4.42"/>
    <n v="0"/>
    <m/>
    <n v="0"/>
    <m/>
    <n v="0"/>
    <m/>
    <n v="0"/>
    <m/>
    <n v="0"/>
    <m/>
    <n v="0"/>
    <m/>
    <n v="0"/>
    <s v="ToyoLi"/>
    <n v="20"/>
    <n v="0"/>
    <n v="13.893684210526317"/>
    <n v="0"/>
    <n v="2"/>
    <n v="3"/>
    <n v="10"/>
    <n v="2"/>
    <n v="5"/>
    <n v="0"/>
    <n v="6"/>
    <n v="10"/>
    <n v="0.3"/>
    <m/>
    <m/>
    <n v="0.5"/>
    <n v="0.2"/>
    <n v="0"/>
    <n v="36"/>
    <n v="0"/>
    <n v="0"/>
    <n v="36"/>
    <n v="36"/>
    <n v="10.799999999999999"/>
    <n v="0"/>
    <n v="0"/>
    <n v="0"/>
    <n v="0"/>
    <n v="0"/>
    <n v="18"/>
    <n v="0"/>
    <n v="7.2"/>
    <n v="0"/>
    <n v="0"/>
    <n v="0"/>
    <n v="0"/>
    <m/>
    <n v="86.02"/>
    <n v="69.02000000000001"/>
    <s v="TL145"/>
    <s v="ToyoLiToyoLiToyoLiToyoLiToyoLiToyoLiToyoLiToyoLi"/>
    <s v="+"/>
    <s v="+"/>
    <s v="+"/>
    <s v="+"/>
    <s v="+"/>
    <s v="+"/>
    <s v="+"/>
    <s v="+"/>
    <b v="0"/>
  </r>
  <r>
    <d v="2026-01-31T00:00:00"/>
    <s v="A"/>
    <x v="382"/>
    <s v="TL146"/>
    <n v="314"/>
    <n v="18200"/>
    <s v="I"/>
    <s v="N"/>
    <n v="1.43"/>
    <s v="BLACK"/>
    <s v="H01360B"/>
    <s v="ToyoLi - BLACK"/>
    <n v="20"/>
    <n v="0"/>
    <m/>
    <m/>
    <n v="0"/>
    <s v="R92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2"/>
    <n v="0"/>
    <n v="10.379746835443036"/>
    <n v="0"/>
    <s v="REFLEX BLUE"/>
    <s v="B00415B"/>
    <s v="ToyoLi - REFLEX BLUE"/>
    <n v="10"/>
    <n v="0"/>
    <m/>
    <m/>
    <n v="0"/>
    <s v="RTMD"/>
    <s v="R39"/>
    <s v="F121"/>
    <s v="R1205"/>
    <m/>
    <m/>
    <m/>
    <m/>
    <n v="5"/>
    <n v="0"/>
    <n v="4"/>
    <n v="0"/>
    <n v="5"/>
    <n v="0"/>
    <n v="7"/>
    <n v="0"/>
    <m/>
    <n v="0"/>
    <m/>
    <n v="0"/>
    <m/>
    <n v="0"/>
    <m/>
    <n v="0"/>
    <s v="ToyoLi"/>
    <n v="37"/>
    <n v="0"/>
    <n v="8.3544303797468373"/>
    <n v="0"/>
    <s v="RED"/>
    <s v="F00892R"/>
    <s v="ToyoLi - RED"/>
    <n v="12"/>
    <n v="0"/>
    <m/>
    <m/>
    <n v="0"/>
    <s v="F53"/>
    <s v="F121"/>
    <m/>
    <m/>
    <m/>
    <m/>
    <m/>
    <m/>
    <n v="11"/>
    <n v="0"/>
    <n v="13"/>
    <n v="0"/>
    <m/>
    <n v="0"/>
    <m/>
    <n v="0"/>
    <m/>
    <n v="0"/>
    <m/>
    <n v="0"/>
    <m/>
    <n v="0"/>
    <m/>
    <n v="0"/>
    <s v="ToyoLi"/>
    <n v="25"/>
    <n v="0"/>
    <n v="25.354430379746837"/>
    <n v="0"/>
    <s v="GREEN"/>
    <s v="G00416G"/>
    <s v="ToyoLi - GREEN"/>
    <n v="15"/>
    <n v="0"/>
    <m/>
    <m/>
    <n v="0"/>
    <s v="F23T"/>
    <s v="R39"/>
    <m/>
    <m/>
    <m/>
    <m/>
    <m/>
    <m/>
    <n v="5"/>
    <n v="0"/>
    <n v="3"/>
    <n v="0"/>
    <m/>
    <n v="0"/>
    <m/>
    <n v="0"/>
    <m/>
    <n v="0"/>
    <m/>
    <n v="0"/>
    <m/>
    <n v="0"/>
    <m/>
    <n v="0"/>
    <s v="ToyoLi"/>
    <n v="22"/>
    <n v="0"/>
    <n v="7.3797468354430364"/>
    <n v="0"/>
    <s v="ORANGE"/>
    <m/>
    <s v="ToyoLi - ORANGE"/>
    <m/>
    <n v="0"/>
    <m/>
    <m/>
    <n v="0"/>
    <s v="F23T"/>
    <s v="F53"/>
    <s v="RTMD"/>
    <m/>
    <m/>
    <m/>
    <m/>
    <m/>
    <n v="18"/>
    <n v="0"/>
    <n v="9"/>
    <n v="0"/>
    <n v="7"/>
    <n v="0"/>
    <m/>
    <n v="0"/>
    <m/>
    <n v="0"/>
    <m/>
    <n v="0"/>
    <m/>
    <n v="0"/>
    <m/>
    <n v="0"/>
    <s v="ToyoLi"/>
    <n v="20"/>
    <n v="0"/>
    <n v="42.708860759493675"/>
    <n v="0"/>
    <s v="YELLOW"/>
    <s v="H01360Y"/>
    <s v="ToyoLi - YELLOW"/>
    <n v="22"/>
    <n v="0"/>
    <m/>
    <m/>
    <n v="0"/>
    <s v="F23T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6"/>
    <n v="0"/>
    <n v="4.7848101265822791"/>
    <n v="0"/>
    <s v="GOLD"/>
    <s v="F00892G"/>
    <s v="ToyoLi - GOLD"/>
    <n v="19"/>
    <n v="0"/>
    <m/>
    <m/>
    <n v="0"/>
    <s v="TLSI"/>
    <s v="F23T"/>
    <m/>
    <m/>
    <m/>
    <m/>
    <m/>
    <m/>
    <n v="14"/>
    <n v="0"/>
    <n v="5"/>
    <n v="0"/>
    <m/>
    <n v="0"/>
    <m/>
    <n v="0"/>
    <m/>
    <n v="0"/>
    <m/>
    <n v="0"/>
    <m/>
    <n v="0"/>
    <m/>
    <n v="0"/>
    <s v="ToyoLi"/>
    <n v="25"/>
    <n v="0"/>
    <n v="24.164556962025316"/>
    <n v="0"/>
    <s v="WHITE"/>
    <s v="H01360W"/>
    <s v="ToyoLi - WHITE"/>
    <n v="27"/>
    <n v="0"/>
    <m/>
    <m/>
    <n v="0"/>
    <s v="F640"/>
    <s v="HSLAS"/>
    <m/>
    <m/>
    <m/>
    <m/>
    <m/>
    <m/>
    <n v="50"/>
    <n v="0"/>
    <n v="6.85"/>
    <n v="0"/>
    <m/>
    <n v="0"/>
    <m/>
    <n v="0"/>
    <m/>
    <n v="0"/>
    <m/>
    <n v="0"/>
    <m/>
    <n v="0"/>
    <m/>
    <n v="0"/>
    <s v="ToyoLi"/>
    <n v="30"/>
    <n v="0"/>
    <n v="93.723417721518985"/>
    <n v="0"/>
    <n v="4"/>
    <n v="9"/>
    <n v="9"/>
    <n v="4"/>
    <n v="18"/>
    <n v="3"/>
    <n v="7"/>
    <n v="25"/>
    <n v="0.3"/>
    <m/>
    <m/>
    <n v="0.5"/>
    <n v="0.2"/>
    <n v="0"/>
    <n v="126"/>
    <n v="0"/>
    <n v="0"/>
    <n v="126"/>
    <n v="126"/>
    <n v="37.799999999999997"/>
    <n v="0"/>
    <n v="0"/>
    <n v="0"/>
    <n v="0"/>
    <n v="0"/>
    <n v="63"/>
    <n v="0"/>
    <n v="25.200000000000003"/>
    <n v="0"/>
    <n v="0"/>
    <n v="0"/>
    <n v="0"/>
    <m/>
    <n v="172.85"/>
    <n v="216.85000000000002"/>
    <s v="TL146"/>
    <s v="ToyoLiToyoLiToyoLiToyoLiToyoLiToyoLiToyoLiToyoLi"/>
    <s v="+"/>
    <s v="+"/>
    <s v="+"/>
    <s v="+"/>
    <s v="+"/>
    <s v="+"/>
    <s v="+"/>
    <s v="+"/>
    <b v="0"/>
  </r>
  <r>
    <d v="2026-01-31T00:00:00"/>
    <s v="B"/>
    <x v="383"/>
    <s v="TL147"/>
    <n v="447"/>
    <n v="20800"/>
    <s v="I"/>
    <s v="N"/>
    <n v="1.39"/>
    <s v="BLACK"/>
    <s v="H01365B"/>
    <s v="ToyoLi - BLACK"/>
    <n v="22"/>
    <n v="0"/>
    <m/>
    <m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6"/>
    <n v="0"/>
    <n v="6.5714285714285694"/>
    <n v="0"/>
    <s v="REFLEX BLUE"/>
    <m/>
    <s v="ToyoLi - REFLEX BLUE"/>
    <m/>
    <n v="0"/>
    <m/>
    <m/>
    <n v="0"/>
    <s v="R1205"/>
    <s v="R39"/>
    <m/>
    <m/>
    <m/>
    <m/>
    <m/>
    <m/>
    <n v="40"/>
    <n v="0"/>
    <n v="10"/>
    <n v="0"/>
    <m/>
    <n v="0"/>
    <m/>
    <n v="0"/>
    <m/>
    <n v="0"/>
    <m/>
    <n v="0"/>
    <m/>
    <n v="0"/>
    <m/>
    <n v="0"/>
    <s v="ToyoLi"/>
    <n v="28"/>
    <n v="0"/>
    <n v="59.142857142857139"/>
    <n v="0"/>
    <s v="GREEN"/>
    <m/>
    <s v="ToyoLi - GREEN"/>
    <m/>
    <n v="0"/>
    <m/>
    <m/>
    <n v="0"/>
    <s v="F23T"/>
    <s v="R79"/>
    <s v="R39"/>
    <s v="RTMD"/>
    <m/>
    <m/>
    <m/>
    <m/>
    <n v="14"/>
    <n v="0"/>
    <n v="4"/>
    <n v="0"/>
    <n v="2"/>
    <n v="0"/>
    <n v="7"/>
    <n v="0"/>
    <m/>
    <n v="0"/>
    <m/>
    <n v="0"/>
    <m/>
    <n v="0"/>
    <m/>
    <n v="0"/>
    <s v="ToyoLi"/>
    <n v="34"/>
    <n v="0"/>
    <n v="15.285714285714285"/>
    <n v="0"/>
    <s v="CYAN"/>
    <s v="H01360C"/>
    <s v="ToyoLi - CYAN"/>
    <n v="18"/>
    <n v="0"/>
    <m/>
    <m/>
    <n v="0"/>
    <s v="RTMD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5"/>
    <n v="0"/>
    <n v="7.2857142857142847"/>
    <n v="0"/>
    <s v="MAGENTA"/>
    <s v="H01360M"/>
    <s v="ToyoLi - MAGENTA"/>
    <n v="30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7"/>
    <n v="0"/>
    <n v="9.7142857142857153"/>
    <n v="0"/>
    <s v="YELLOW"/>
    <s v="H01365Y"/>
    <s v="ToyoLi - YELLOW"/>
    <n v="26"/>
    <n v="0"/>
    <m/>
    <m/>
    <n v="0"/>
    <s v="RTMD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4.7142857142857153"/>
    <n v="0"/>
    <s v="WHITE"/>
    <s v="H01365W"/>
    <s v="ToyoLi - WHITE"/>
    <n v="30"/>
    <n v="0"/>
    <m/>
    <m/>
    <n v="0"/>
    <s v="F640"/>
    <s v="HSLAS"/>
    <m/>
    <m/>
    <m/>
    <m/>
    <m/>
    <m/>
    <n v="80"/>
    <n v="0"/>
    <n v="7.08"/>
    <n v="0"/>
    <m/>
    <n v="0"/>
    <m/>
    <n v="0"/>
    <m/>
    <n v="0"/>
    <m/>
    <n v="0"/>
    <m/>
    <n v="0"/>
    <m/>
    <n v="0"/>
    <s v="ToyoLi"/>
    <n v="30"/>
    <n v="0"/>
    <n v="161.3657142857142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20"/>
    <n v="12"/>
    <n v="5"/>
    <n v="2"/>
    <n v="2"/>
    <n v="40"/>
    <n v="0"/>
    <n v="0.3"/>
    <m/>
    <m/>
    <n v="0.5"/>
    <n v="0.2"/>
    <n v="0"/>
    <n v="156"/>
    <n v="0"/>
    <n v="0"/>
    <n v="156"/>
    <n v="156"/>
    <n v="46.8"/>
    <n v="0"/>
    <n v="0"/>
    <n v="0"/>
    <n v="0"/>
    <n v="0"/>
    <n v="78"/>
    <n v="0"/>
    <n v="31.200000000000003"/>
    <n v="0"/>
    <n v="0"/>
    <n v="0"/>
    <n v="0"/>
    <m/>
    <n v="180.08"/>
    <n v="264.08"/>
    <s v="TL147"/>
    <s v="ToyoLiToyoLiToyoLiToyoLiToyoLiToyoLiToyoLi"/>
    <s v="+"/>
    <s v="+"/>
    <s v="+"/>
    <s v="+"/>
    <s v="+"/>
    <s v="+"/>
    <s v="+"/>
    <s v="NIL"/>
    <b v="0"/>
  </r>
  <r>
    <d v="2026-01-31T00:00:00"/>
    <s v="B"/>
    <x v="384"/>
    <s v="TL148"/>
    <n v="64"/>
    <n v="5400"/>
    <s v="I"/>
    <s v="N"/>
    <n v="1.3"/>
    <s v="BLACK"/>
    <s v="B01058B"/>
    <s v="ToyoLi - BLACK"/>
    <n v="26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0"/>
    <n v="5.8787878787878789"/>
    <n v="0"/>
    <s v="RED"/>
    <s v="H01365R"/>
    <s v="ToyoLi - RED"/>
    <n v="5"/>
    <n v="0"/>
    <m/>
    <m/>
    <n v="0"/>
    <s v="F32"/>
    <m/>
    <m/>
    <m/>
    <m/>
    <m/>
    <m/>
    <m/>
    <n v="12"/>
    <n v="0"/>
    <m/>
    <n v="0"/>
    <m/>
    <n v="0"/>
    <m/>
    <n v="0"/>
    <m/>
    <n v="0"/>
    <m/>
    <n v="0"/>
    <m/>
    <n v="0"/>
    <m/>
    <n v="0"/>
    <s v="ToyoLi"/>
    <n v="22"/>
    <n v="0"/>
    <n v="6.6363636363636367"/>
    <n v="0"/>
    <s v="BLACK"/>
    <s v="C01287B"/>
    <s v="ToyoLi - BLACK"/>
    <n v="8"/>
    <n v="0"/>
    <s v="P00480B"/>
    <n v="19"/>
    <n v="0"/>
    <s v="F121"/>
    <s v="R92"/>
    <m/>
    <m/>
    <m/>
    <m/>
    <m/>
    <m/>
    <n v="2"/>
    <n v="0"/>
    <n v="3"/>
    <n v="0"/>
    <m/>
    <n v="0"/>
    <m/>
    <n v="0"/>
    <m/>
    <n v="0"/>
    <m/>
    <n v="0"/>
    <m/>
    <n v="0"/>
    <m/>
    <n v="0"/>
    <s v="ToyoLi"/>
    <n v="25"/>
    <n v="0"/>
    <n v="10.878787878787875"/>
    <n v="0"/>
    <s v="CYAN"/>
    <s v="B01058C"/>
    <s v="ToyoLi - CYAN"/>
    <n v="25"/>
    <n v="0"/>
    <m/>
    <m/>
    <n v="0"/>
    <s v="R39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3.8787878787878789"/>
    <n v="0"/>
    <s v="MAGENTA"/>
    <s v="B01058M"/>
    <s v="ToyoLi - MAGENTA"/>
    <n v="27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6.8787878787878753"/>
    <n v="0"/>
    <s v="YELLOW"/>
    <s v="B01058Y"/>
    <s v="ToyoLi - YELLOW"/>
    <n v="28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5.8787878787878753"/>
    <n v="0"/>
    <s v="GOLD"/>
    <s v="H01365G"/>
    <s v="ToyoLi - GOLD"/>
    <n v="25"/>
    <n v="0"/>
    <m/>
    <m/>
    <n v="0"/>
    <s v="TLGO"/>
    <s v="F32"/>
    <m/>
    <m/>
    <m/>
    <m/>
    <m/>
    <m/>
    <n v="8"/>
    <n v="0"/>
    <n v="0.2"/>
    <n v="0"/>
    <m/>
    <n v="0"/>
    <m/>
    <n v="0"/>
    <m/>
    <n v="0"/>
    <m/>
    <n v="0"/>
    <m/>
    <n v="0"/>
    <m/>
    <n v="0"/>
    <s v="ToyoLi"/>
    <n v="30"/>
    <n v="0"/>
    <n v="7.0787878787878782"/>
    <n v="0"/>
    <s v="WHITE"/>
    <s v="B01058W"/>
    <s v="ToyoLi - WHITE"/>
    <n v="30"/>
    <n v="0"/>
    <m/>
    <m/>
    <n v="0"/>
    <s v="F640"/>
    <s v="HSLAS"/>
    <m/>
    <m/>
    <m/>
    <m/>
    <m/>
    <m/>
    <n v="30"/>
    <n v="0"/>
    <n v="4.75"/>
    <n v="0"/>
    <m/>
    <n v="0"/>
    <m/>
    <n v="0"/>
    <m/>
    <n v="0"/>
    <m/>
    <n v="0"/>
    <m/>
    <n v="0"/>
    <m/>
    <n v="0"/>
    <s v="ToyoLi"/>
    <n v="30"/>
    <n v="0"/>
    <n v="63.840909090909093"/>
    <n v="0"/>
    <n v="2"/>
    <n v="6"/>
    <n v="2"/>
    <n v="2"/>
    <n v="2"/>
    <n v="2"/>
    <n v="2"/>
    <n v="15"/>
    <n v="0.3"/>
    <m/>
    <m/>
    <n v="0.5"/>
    <n v="0.2"/>
    <n v="0"/>
    <n v="64"/>
    <n v="0"/>
    <n v="0"/>
    <n v="64"/>
    <n v="64"/>
    <n v="19.2"/>
    <n v="0"/>
    <n v="0"/>
    <n v="0"/>
    <n v="0"/>
    <n v="0"/>
    <n v="32"/>
    <n v="0"/>
    <n v="12.8"/>
    <n v="0"/>
    <n v="0"/>
    <n v="0"/>
    <n v="0"/>
    <m/>
    <n v="66.95"/>
    <n v="110.94999999999999"/>
    <s v="TL148"/>
    <s v="ToyoLiToyoLiToyoLiToyoLiToyoLiToyoLiToyoLiToyoLi"/>
    <s v="+"/>
    <s v="+"/>
    <s v="+"/>
    <s v="+"/>
    <s v="+"/>
    <s v="+"/>
    <s v="+"/>
    <s v="+"/>
    <b v="0"/>
  </r>
  <r>
    <d v="2026-01-31T00:00:00"/>
    <s v="B"/>
    <x v="385"/>
    <s v="TL148"/>
    <n v="62"/>
    <n v="5300"/>
    <s v="I"/>
    <s v="N"/>
    <n v="1.18"/>
    <s v="BLACK"/>
    <s v="F00897B"/>
    <s v="ToyoLi - BLACK"/>
    <n v="24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0"/>
    <n v="9.1666666666666643"/>
    <n v="0"/>
    <s v="BLACK"/>
    <s v="F00897B"/>
    <s v="ToyoLi - BLACK"/>
    <n v="22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0"/>
    <n v="7.1666666666666643"/>
    <n v="0"/>
    <s v="BLACK"/>
    <s v="F00897B"/>
    <s v="ToyoLi - BLACK"/>
    <n v="25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0"/>
    <n v="10.166666666666664"/>
    <n v="0"/>
    <s v="CYAN"/>
    <s v="F0087C"/>
    <s v="ToyoLi - CYAN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0"/>
    <n v="3.1666666666666643"/>
    <n v="0"/>
    <s v="MAGENTA"/>
    <s v="F00897M"/>
    <s v="ToyoLi - MAGENTA"/>
    <n v="26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0"/>
    <n v="1.1666666666666643"/>
    <n v="0"/>
    <s v="YELLOW"/>
    <s v="F00897Y"/>
    <s v="ToyoLi - YELLOW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0"/>
    <n v="8.1666666666666643"/>
    <n v="0"/>
    <s v="GOLD"/>
    <s v="F00897G"/>
    <s v="ToyoLi - GOLD"/>
    <n v="30"/>
    <n v="0"/>
    <m/>
    <m/>
    <n v="0"/>
    <s v="TLGO"/>
    <s v="F32"/>
    <m/>
    <m/>
    <m/>
    <m/>
    <m/>
    <m/>
    <n v="5"/>
    <n v="0"/>
    <n v="0.3"/>
    <n v="0"/>
    <m/>
    <n v="0"/>
    <m/>
    <n v="0"/>
    <m/>
    <n v="0"/>
    <m/>
    <n v="0"/>
    <m/>
    <n v="0"/>
    <m/>
    <n v="0"/>
    <s v="ToyoLi"/>
    <n v="31"/>
    <n v="0"/>
    <n v="9.4666666666666615"/>
    <n v="0"/>
    <s v="WHITE"/>
    <s v="F00897W"/>
    <s v="ToyoLi - WHITE"/>
    <n v="30"/>
    <n v="0"/>
    <m/>
    <m/>
    <n v="0"/>
    <s v="F640"/>
    <s v="HSLAS"/>
    <m/>
    <m/>
    <m/>
    <m/>
    <m/>
    <m/>
    <n v="20"/>
    <n v="0"/>
    <n v="3.94"/>
    <n v="0"/>
    <m/>
    <n v="0"/>
    <m/>
    <n v="0"/>
    <m/>
    <n v="0"/>
    <m/>
    <n v="0"/>
    <m/>
    <n v="0"/>
    <m/>
    <n v="0"/>
    <s v="ToyoLi"/>
    <n v="30"/>
    <n v="0"/>
    <n v="49.773333333333341"/>
    <n v="0"/>
    <n v="2"/>
    <n v="2"/>
    <n v="2"/>
    <n v="2"/>
    <n v="2"/>
    <n v="2"/>
    <n v="2"/>
    <n v="10"/>
    <n v="0.3"/>
    <m/>
    <m/>
    <n v="0.5"/>
    <n v="0.2"/>
    <n v="0"/>
    <n v="62"/>
    <n v="0"/>
    <n v="0"/>
    <n v="62"/>
    <n v="62"/>
    <n v="18.599999999999998"/>
    <n v="0"/>
    <n v="0"/>
    <n v="0"/>
    <n v="0"/>
    <n v="0"/>
    <n v="31"/>
    <n v="0"/>
    <n v="12.4"/>
    <n v="0"/>
    <n v="0"/>
    <n v="0"/>
    <n v="0"/>
    <m/>
    <n v="29.240000000000002"/>
    <n v="98.239999999999981"/>
    <s v="TL148"/>
    <s v="ToyoLiToyoLiToyoLiToyoLiToyoLiToyoLiToyoLiToyoLi"/>
    <s v="+"/>
    <s v="+"/>
    <s v="+"/>
    <s v="+"/>
    <s v="+"/>
    <s v="+"/>
    <s v="+"/>
    <s v="+"/>
    <b v="0"/>
  </r>
  <r>
    <d v="2026-01-31T00:00:00"/>
    <s v="B"/>
    <x v="386"/>
    <s v="TL149"/>
    <n v="22"/>
    <n v="1400"/>
    <s v="I"/>
    <s v="N"/>
    <n v="0.52"/>
    <s v="BLACK"/>
    <s v="F00893B"/>
    <s v="ToyoLi - BLACK"/>
    <n v="20"/>
    <n v="0"/>
    <m/>
    <m/>
    <n v="0"/>
    <s v="R92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3"/>
    <n v="0"/>
    <n v="13.333333333333329"/>
    <n v="0"/>
    <s v="RED"/>
    <s v="F00893R"/>
    <s v="ToyoLi - RED"/>
    <n v="20"/>
    <n v="0"/>
    <m/>
    <m/>
    <n v="0"/>
    <s v="F121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27"/>
    <n v="0"/>
    <n v="13.333333333333329"/>
    <n v="0"/>
    <s v="YELLOW"/>
    <s v="F00893Y"/>
    <s v="ToyoLi - YELLOW"/>
    <n v="25"/>
    <n v="0"/>
    <m/>
    <m/>
    <n v="0"/>
    <s v="F23T"/>
    <m/>
    <m/>
    <m/>
    <m/>
    <m/>
    <m/>
    <m/>
    <n v="8"/>
    <n v="0"/>
    <m/>
    <n v="0"/>
    <m/>
    <n v="0"/>
    <m/>
    <n v="0"/>
    <m/>
    <n v="0"/>
    <m/>
    <n v="0"/>
    <m/>
    <n v="0"/>
    <m/>
    <n v="0"/>
    <s v="ToyoLi"/>
    <n v="26"/>
    <n v="0"/>
    <n v="17.33333333333332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0"/>
    <n v="0"/>
    <n v="0"/>
    <n v="0"/>
    <n v="0"/>
    <n v="0.3"/>
    <m/>
    <m/>
    <n v="0.5"/>
    <n v="0.2"/>
    <n v="0"/>
    <n v="31"/>
    <n v="0"/>
    <n v="0"/>
    <n v="31"/>
    <n v="31"/>
    <n v="9.2999999999999989"/>
    <n v="0"/>
    <n v="0"/>
    <n v="0"/>
    <n v="0"/>
    <n v="0"/>
    <n v="15.5"/>
    <n v="0"/>
    <n v="6.2"/>
    <n v="0"/>
    <n v="0"/>
    <n v="0"/>
    <n v="0"/>
    <m/>
    <n v="24"/>
    <n v="43.999999999999986"/>
    <s v="TL149"/>
    <s v="ToyoLiToyoLiToyoLi"/>
    <s v="+"/>
    <s v="+"/>
    <s v="+"/>
    <s v="NIL"/>
    <s v="NIL"/>
    <s v="NIL"/>
    <s v="NIL"/>
    <s v="NIL"/>
    <b v="0"/>
  </r>
  <r>
    <d v="2026-01-31T00:00:00"/>
    <s v="B"/>
    <x v="387"/>
    <n v="150"/>
    <n v="100"/>
    <n v="6500"/>
    <s v="I"/>
    <s v="N"/>
    <n v="0.53"/>
    <s v="BLACK"/>
    <s v="C01554B"/>
    <s v="ToyoLi - BLACK"/>
    <n v="23"/>
    <n v="0"/>
    <m/>
    <m/>
    <n v="0"/>
    <s v="R92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4"/>
    <n v="0"/>
    <n v="13.25"/>
    <n v="0"/>
    <s v="YELLOW"/>
    <s v="C01554Y"/>
    <s v="ToyoLi - YELLOW"/>
    <n v="26"/>
    <n v="0"/>
    <m/>
    <m/>
    <n v="0"/>
    <s v="F23T"/>
    <m/>
    <m/>
    <m/>
    <m/>
    <m/>
    <m/>
    <m/>
    <n v="12"/>
    <n v="0"/>
    <m/>
    <n v="0"/>
    <m/>
    <n v="0"/>
    <m/>
    <n v="0"/>
    <m/>
    <n v="0"/>
    <m/>
    <n v="0"/>
    <m/>
    <n v="0"/>
    <m/>
    <n v="0"/>
    <s v="ToyoLi"/>
    <n v="17"/>
    <n v="0"/>
    <n v="45.7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"/>
    <n v="0"/>
    <n v="0"/>
    <n v="0"/>
    <n v="0"/>
    <n v="0"/>
    <n v="0"/>
    <n v="0.3"/>
    <m/>
    <m/>
    <n v="0.5"/>
    <n v="0.2"/>
    <n v="0"/>
    <n v="33"/>
    <n v="0"/>
    <n v="0"/>
    <n v="33"/>
    <n v="33"/>
    <n v="9.9"/>
    <n v="0"/>
    <n v="0"/>
    <n v="0"/>
    <n v="0"/>
    <n v="0"/>
    <n v="16.5"/>
    <n v="0"/>
    <n v="6.6000000000000005"/>
    <n v="0"/>
    <n v="0"/>
    <n v="0"/>
    <n v="0"/>
    <m/>
    <n v="18"/>
    <n v="59"/>
    <n v="150"/>
    <s v="ToyoLiToyoLi"/>
    <s v="+"/>
    <s v="+"/>
    <s v="NIL"/>
    <s v="NIL"/>
    <s v="NIL"/>
    <s v="NIL"/>
    <s v="NIL"/>
    <s v="NIL"/>
    <b v="0"/>
  </r>
  <r>
    <d v="2026-01-31T00:00:00"/>
    <s v="B"/>
    <x v="388"/>
    <n v="151"/>
    <n v="92"/>
    <n v="6000"/>
    <s v="I"/>
    <s v="N"/>
    <n v="0.68"/>
    <s v="BLACK"/>
    <s v="C01552B"/>
    <s v="ToyoLi - BLACK"/>
    <n v="24"/>
    <n v="0"/>
    <m/>
    <m/>
    <n v="0"/>
    <s v="R92"/>
    <m/>
    <m/>
    <m/>
    <m/>
    <m/>
    <m/>
    <m/>
    <n v="12"/>
    <n v="0"/>
    <m/>
    <n v="0"/>
    <m/>
    <n v="0"/>
    <m/>
    <n v="0"/>
    <m/>
    <n v="0"/>
    <m/>
    <n v="0"/>
    <m/>
    <n v="0"/>
    <m/>
    <n v="0"/>
    <s v="ToyoLi"/>
    <n v="36"/>
    <n v="0"/>
    <n v="25"/>
    <n v="0"/>
    <s v="RED"/>
    <s v="C01554R"/>
    <s v="ToyoLi - RED"/>
    <n v="27"/>
    <n v="0"/>
    <m/>
    <m/>
    <n v="0"/>
    <s v="F53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0"/>
    <n v="0"/>
    <n v="2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4"/>
    <n v="0"/>
    <n v="0"/>
    <n v="0"/>
    <n v="0"/>
    <n v="0"/>
    <n v="0"/>
    <n v="0.3"/>
    <m/>
    <m/>
    <n v="0.5"/>
    <n v="0.2"/>
    <n v="0"/>
    <n v="35"/>
    <n v="0"/>
    <n v="0"/>
    <n v="35"/>
    <n v="35"/>
    <n v="10.5"/>
    <n v="0"/>
    <n v="0"/>
    <n v="0"/>
    <n v="0"/>
    <n v="0"/>
    <n v="17.5"/>
    <n v="0"/>
    <n v="7"/>
    <n v="0"/>
    <n v="0"/>
    <n v="0"/>
    <n v="0"/>
    <m/>
    <n v="18"/>
    <n v="48"/>
    <n v="151"/>
    <s v="ToyoLiToyoLi"/>
    <s v="+"/>
    <s v="+"/>
    <s v="NIL"/>
    <s v="NIL"/>
    <s v="NIL"/>
    <s v="NIL"/>
    <s v="NIL"/>
    <s v="NIL"/>
    <b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7"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">
  <r>
    <d v="2026-01-02T00:00:00"/>
    <s v="A"/>
    <x v="0"/>
    <s v="TL1"/>
    <n v="77"/>
    <n v="4300"/>
    <s v="I"/>
    <s v="N"/>
    <n v="2.2000000000000002"/>
    <s v="BLACK"/>
    <s v="H01300B"/>
    <s v="ToyoLi - BLACK"/>
    <n v="33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0"/>
    <n v="6.5813953488372121"/>
    <n v="0"/>
    <s v="GREEN"/>
    <s v="H01300G"/>
    <s v="ToyoLi - GREEN"/>
    <n v="17"/>
    <n v="0"/>
    <m/>
    <m/>
    <n v="0"/>
    <s v="R39"/>
    <s v="R1205"/>
    <s v="R92"/>
    <m/>
    <m/>
    <m/>
    <m/>
    <m/>
    <n v="2"/>
    <n v="0"/>
    <n v="0.5"/>
    <n v="0"/>
    <n v="0.5"/>
    <n v="0"/>
    <m/>
    <n v="0"/>
    <m/>
    <n v="0"/>
    <m/>
    <n v="0"/>
    <m/>
    <n v="0"/>
    <m/>
    <n v="0"/>
    <s v="ToyoLi"/>
    <n v="18"/>
    <n v="0"/>
    <n v="5.5813953488372086"/>
    <n v="0"/>
    <s v="BLACK"/>
    <s v="B01023B"/>
    <s v="ToyoLi - BLACK"/>
    <n v="20"/>
    <n v="0"/>
    <m/>
    <m/>
    <n v="0"/>
    <s v="R39"/>
    <s v="R1205"/>
    <s v="R92"/>
    <m/>
    <m/>
    <m/>
    <m/>
    <m/>
    <n v="2"/>
    <n v="0"/>
    <n v="0.5"/>
    <n v="0"/>
    <n v="0.5"/>
    <n v="0"/>
    <m/>
    <n v="0"/>
    <m/>
    <n v="0"/>
    <m/>
    <n v="0"/>
    <m/>
    <n v="0"/>
    <m/>
    <n v="0"/>
    <s v="ToyoLi"/>
    <n v="23"/>
    <n v="0"/>
    <n v="3.5813953488372086"/>
    <n v="0"/>
    <s v="MAGENTA"/>
    <s v="F00848M"/>
    <s v="ToyoLi - MAGENTA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6.5813953488372121"/>
    <n v="0"/>
    <s v="YELLOW"/>
    <s v="H01300Y"/>
    <s v="ToyoLi - YELLOW"/>
    <n v="15"/>
    <n v="0"/>
    <m/>
    <m/>
    <n v="0"/>
    <s v="F23T"/>
    <m/>
    <m/>
    <m/>
    <m/>
    <m/>
    <m/>
    <m/>
    <n v="8"/>
    <n v="0"/>
    <m/>
    <n v="0"/>
    <m/>
    <n v="0"/>
    <m/>
    <n v="0"/>
    <m/>
    <n v="0"/>
    <m/>
    <n v="0"/>
    <m/>
    <n v="0"/>
    <m/>
    <n v="0"/>
    <s v="ToyoLi"/>
    <n v="25"/>
    <n v="0"/>
    <n v="3.3720930232558146"/>
    <n v="0"/>
    <s v="GOLD"/>
    <s v="N00875G"/>
    <s v="ToyoLi - GOLD"/>
    <n v="20"/>
    <n v="0"/>
    <m/>
    <m/>
    <n v="0"/>
    <s v="TLSI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0"/>
    <n v="0"/>
    <n v="8.5813953488372086"/>
    <n v="0"/>
    <s v="WHITE"/>
    <m/>
    <s v="ToyoLi - WHITE"/>
    <m/>
    <n v="0"/>
    <m/>
    <m/>
    <n v="0"/>
    <s v="F640"/>
    <s v="HSLAS"/>
    <m/>
    <m/>
    <m/>
    <m/>
    <m/>
    <m/>
    <n v="40"/>
    <n v="0"/>
    <n v="4.0199999999999996"/>
    <n v="0"/>
    <m/>
    <n v="0"/>
    <m/>
    <n v="0"/>
    <m/>
    <n v="0"/>
    <m/>
    <n v="0"/>
    <m/>
    <n v="0"/>
    <m/>
    <n v="0"/>
    <s v="ToyoLi"/>
    <n v="30"/>
    <n v="0"/>
    <n v="67.74093023255812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2"/>
    <n v="3"/>
    <n v="2"/>
    <n v="30"/>
    <n v="0"/>
    <n v="0.3"/>
    <m/>
    <m/>
    <n v="0.5"/>
    <n v="0.2"/>
    <n v="0"/>
    <n v="77"/>
    <n v="0"/>
    <n v="0"/>
    <n v="77"/>
    <n v="77"/>
    <n v="23.099999999999998"/>
    <n v="0"/>
    <n v="0"/>
    <n v="0"/>
    <n v="0"/>
    <n v="0"/>
    <n v="38.5"/>
    <n v="0"/>
    <n v="15.4"/>
    <n v="0"/>
    <n v="0"/>
    <n v="0"/>
    <n v="0"/>
    <m/>
    <n v="63.019999999999996"/>
    <n v="102.02"/>
    <s v="TL1"/>
    <s v="ToyoLiToyoLiToyoLiToyoLiToyoLiToyoLiToyoLi"/>
    <s v="+"/>
    <s v="+"/>
    <s v="+"/>
    <s v="+"/>
    <s v="+"/>
    <s v="+"/>
    <s v="+"/>
    <s v="NIL"/>
  </r>
  <r>
    <d v="2026-01-02T00:00:00"/>
    <s v="A"/>
    <x v="1"/>
    <s v="TL2"/>
    <n v="46"/>
    <n v="2600"/>
    <s v="I"/>
    <s v="N"/>
    <n v="1.5"/>
    <s v="BLACK"/>
    <s v="N00878B"/>
    <s v="ToyoLi - BLACK"/>
    <n v="30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9"/>
    <n v="0"/>
    <n v="3"/>
    <n v="0"/>
    <s v="BLACK"/>
    <s v="N00875B"/>
    <s v="ToyoLi - BLACK"/>
    <n v="17"/>
    <n v="0"/>
    <s v="N00878B"/>
    <n v="5"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1"/>
    <n v="0"/>
    <n v="5.2000000000000028"/>
    <n v="0"/>
    <s v="BLACK"/>
    <s v="C01177G"/>
    <s v="ToyoLi - BLACK"/>
    <n v="16"/>
    <n v="0"/>
    <s v="N00886G"/>
    <n v="15"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31"/>
    <n v="0"/>
    <n v="6.68"/>
    <n v="0"/>
    <s v="GREEN"/>
    <s v="N00878G"/>
    <s v="ToyoLi - GREEN"/>
    <n v="18"/>
    <n v="0"/>
    <m/>
    <m/>
    <n v="0"/>
    <s v="F23T"/>
    <s v="R79"/>
    <m/>
    <m/>
    <m/>
    <m/>
    <m/>
    <m/>
    <n v="4"/>
    <n v="0"/>
    <n v="2"/>
    <n v="0"/>
    <m/>
    <n v="0"/>
    <m/>
    <n v="0"/>
    <m/>
    <n v="0"/>
    <m/>
    <n v="0"/>
    <m/>
    <n v="0"/>
    <m/>
    <n v="0"/>
    <s v="ToyoLi"/>
    <n v="26"/>
    <n v="0"/>
    <n v="3.5199999999999996"/>
    <n v="0"/>
    <s v="MAGENTA"/>
    <s v="N00878M"/>
    <s v="ToyoLi - MAGENTA"/>
    <n v="26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5.519999999999996"/>
    <n v="0"/>
    <s v="YELLOW"/>
    <s v="N00878Y"/>
    <s v="ToyoLi - YELLOW"/>
    <n v="25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5.68"/>
    <n v="0"/>
    <s v="WHITE"/>
    <s v="N00878W"/>
    <s v="ToyoLi - WHITE"/>
    <n v="30"/>
    <n v="0"/>
    <m/>
    <m/>
    <n v="0"/>
    <s v="F640"/>
    <s v="HSLAS"/>
    <m/>
    <m/>
    <m/>
    <m/>
    <m/>
    <m/>
    <n v="20"/>
    <n v="0"/>
    <n v="3.93"/>
    <n v="0"/>
    <m/>
    <n v="0"/>
    <m/>
    <n v="0"/>
    <m/>
    <n v="0"/>
    <m/>
    <n v="0"/>
    <m/>
    <n v="0"/>
    <m/>
    <n v="0"/>
    <s v="ToyoLi"/>
    <n v="28"/>
    <n v="0"/>
    <n v="44.3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0"/>
    <n v="5"/>
    <n v="2"/>
    <n v="3"/>
    <n v="3"/>
    <n v="2"/>
    <n v="10"/>
    <n v="0"/>
    <n v="0.3"/>
    <m/>
    <m/>
    <n v="0.5"/>
    <n v="0.2"/>
    <n v="0"/>
    <n v="46"/>
    <n v="0"/>
    <n v="0"/>
    <n v="46"/>
    <n v="46"/>
    <n v="13.799999999999999"/>
    <n v="0"/>
    <n v="0"/>
    <n v="0"/>
    <n v="0"/>
    <n v="0"/>
    <n v="23"/>
    <n v="0"/>
    <n v="9.2000000000000011"/>
    <n v="0"/>
    <n v="0"/>
    <n v="0"/>
    <n v="0"/>
    <m/>
    <n v="43.93"/>
    <n v="73.929999999999993"/>
    <s v="TL2"/>
    <s v="ToyoLiToyoLiToyoLiToyoLiToyoLiToyoLiToyoLi"/>
    <s v="+"/>
    <s v="+"/>
    <s v="+"/>
    <s v="+"/>
    <s v="+"/>
    <s v="+"/>
    <s v="+"/>
    <s v="NIL"/>
  </r>
  <r>
    <d v="2026-01-02T00:00:00"/>
    <s v="A"/>
    <x v="2"/>
    <s v="TL3"/>
    <n v="134"/>
    <n v="7700"/>
    <s v="I"/>
    <s v="N"/>
    <n v="3"/>
    <s v="BLACK"/>
    <s v="N00706B"/>
    <s v="ToyoLi - BLACK"/>
    <n v="29"/>
    <n v="0"/>
    <m/>
    <m/>
    <n v="0"/>
    <s v="R92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8"/>
    <n v="0"/>
    <n v="2"/>
    <n v="0"/>
    <s v="REFLEX BLUE"/>
    <s v="J00933P"/>
    <s v="ToyoLi - REFLEX BLUE"/>
    <n v="15"/>
    <n v="0"/>
    <s v="H01361P"/>
    <n v="14"/>
    <n v="0"/>
    <s v="R1205"/>
    <s v="Z822"/>
    <m/>
    <m/>
    <m/>
    <m/>
    <m/>
    <m/>
    <n v="2"/>
    <n v="0"/>
    <n v="5"/>
    <n v="0"/>
    <m/>
    <n v="0"/>
    <m/>
    <n v="0"/>
    <m/>
    <n v="0"/>
    <m/>
    <n v="0"/>
    <m/>
    <n v="0"/>
    <m/>
    <n v="0"/>
    <s v="ToyoLi"/>
    <n v="22"/>
    <n v="0"/>
    <n v="21.309090909090912"/>
    <n v="0"/>
    <s v="RED"/>
    <s v="H01300R"/>
    <s v="ToyoLi - RED"/>
    <n v="31"/>
    <n v="0"/>
    <m/>
    <m/>
    <n v="0"/>
    <s v="F53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30"/>
    <n v="0"/>
    <n v="4"/>
    <n v="0"/>
    <s v="CYAN"/>
    <s v="F00846C"/>
    <s v="ToyoLi - CYAN"/>
    <n v="16"/>
    <n v="0"/>
    <m/>
    <m/>
    <n v="0"/>
    <s v="R39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25"/>
    <n v="0"/>
    <n v="13.18181818181818"/>
    <n v="0"/>
    <s v="MAGENTA"/>
    <s v="N00706M"/>
    <s v="ToyoLi - MAGENTA"/>
    <n v="28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3"/>
    <n v="0"/>
    <s v="YELLOW"/>
    <s v="N00706Y"/>
    <s v="ToyoLi - YELLOW"/>
    <n v="25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6"/>
    <n v="0"/>
    <n v="8.8727272727272748"/>
    <n v="0"/>
    <s v="WHITE"/>
    <s v="N00706W"/>
    <s v="ToyoLi - WHITE"/>
    <n v="28"/>
    <n v="0"/>
    <m/>
    <m/>
    <n v="0"/>
    <s v="F640"/>
    <m/>
    <m/>
    <m/>
    <m/>
    <m/>
    <m/>
    <m/>
    <n v="60"/>
    <n v="0"/>
    <m/>
    <n v="0"/>
    <m/>
    <n v="0"/>
    <m/>
    <n v="0"/>
    <m/>
    <n v="0"/>
    <m/>
    <n v="0"/>
    <m/>
    <n v="0"/>
    <m/>
    <n v="0"/>
    <s v="ToyoLi"/>
    <n v="30"/>
    <n v="0"/>
    <n v="131.09090909090907"/>
    <n v="0"/>
    <s v="MATT"/>
    <m/>
    <s v="HI-TECH INK - MATT"/>
    <m/>
    <n v="0"/>
    <m/>
    <m/>
    <n v="0"/>
    <n v="2066"/>
    <m/>
    <m/>
    <m/>
    <m/>
    <m/>
    <m/>
    <m/>
    <n v="40"/>
    <n v="0"/>
    <m/>
    <n v="0"/>
    <m/>
    <n v="0"/>
    <m/>
    <n v="0"/>
    <m/>
    <n v="0"/>
    <m/>
    <n v="0"/>
    <m/>
    <n v="0"/>
    <m/>
    <n v="0"/>
    <s v="HI-TECH INK"/>
    <n v="20"/>
    <n v="0"/>
    <n v="56.545454545454533"/>
    <n v="0"/>
    <n v="0"/>
    <n v="3"/>
    <n v="0"/>
    <n v="5"/>
    <n v="0"/>
    <n v="2"/>
    <n v="30"/>
    <n v="15"/>
    <n v="0.3"/>
    <m/>
    <m/>
    <n v="0.5"/>
    <n v="0.2"/>
    <n v="0"/>
    <n v="134"/>
    <n v="0"/>
    <n v="0"/>
    <n v="134"/>
    <n v="134"/>
    <n v="40.199999999999996"/>
    <n v="0"/>
    <n v="0"/>
    <n v="0"/>
    <n v="0"/>
    <n v="0"/>
    <n v="67"/>
    <n v="0"/>
    <n v="26.8"/>
    <n v="0"/>
    <n v="0"/>
    <n v="0"/>
    <n v="0"/>
    <m/>
    <n v="128"/>
    <n v="239.99999999999997"/>
    <s v="TL3"/>
    <s v="ToyoLiToyoLiToyoLiToyoLiToyoLiToyoLiToyoLiHI-TECH INK"/>
    <s v="+"/>
    <s v="+"/>
    <s v="+"/>
    <s v="+"/>
    <s v="+"/>
    <s v="+"/>
    <s v="+"/>
    <s v="+"/>
  </r>
  <r>
    <d v="2026-01-02T00:00:00"/>
    <s v="A"/>
    <x v="3"/>
    <s v="TL4"/>
    <n v="134"/>
    <n v="7700"/>
    <s v="I"/>
    <s v="N"/>
    <n v="2.9000000000000004"/>
    <s v="BLACK"/>
    <s v="R00011B"/>
    <s v="ToyoLi - BLACK"/>
    <n v="28"/>
    <n v="0"/>
    <m/>
    <m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0"/>
    <n v="0"/>
    <n v="8.1538461538461533"/>
    <n v="0"/>
    <s v="REFLEX BLUE"/>
    <s v="R00011B"/>
    <s v="ToyoLi - REFLEX BLUE"/>
    <n v="22"/>
    <n v="0"/>
    <s v="N00913B"/>
    <n v="14"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16.153846153846153"/>
    <n v="0"/>
    <s v="RED"/>
    <s v="R00011R"/>
    <s v="ToyoLi - RED"/>
    <n v="30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10.153846153846153"/>
    <n v="0"/>
    <s v="CYAN"/>
    <s v="R00011C"/>
    <s v="ToyoLi - CYAN"/>
    <n v="25"/>
    <n v="0"/>
    <m/>
    <m/>
    <n v="0"/>
    <s v="R39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6"/>
    <n v="0"/>
    <n v="9.1538461538461533"/>
    <n v="0"/>
    <s v="MAGENTA"/>
    <s v="R00011M"/>
    <s v="ToyoLi - MAGENTA"/>
    <n v="27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7.1538461538461533"/>
    <n v="0"/>
    <s v="YELLOW"/>
    <s v="R00011Y"/>
    <s v="ToyoLi - YELLOW"/>
    <n v="26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6"/>
    <n v="0"/>
    <n v="10.153846153846153"/>
    <n v="0"/>
    <s v="WHITE"/>
    <s v="R00011W"/>
    <s v="ToyoLi - WHITE"/>
    <n v="30"/>
    <n v="0"/>
    <m/>
    <m/>
    <n v="0"/>
    <s v="F640"/>
    <m/>
    <m/>
    <m/>
    <m/>
    <m/>
    <m/>
    <m/>
    <n v="50"/>
    <n v="0"/>
    <m/>
    <n v="0"/>
    <m/>
    <n v="0"/>
    <m/>
    <n v="0"/>
    <m/>
    <n v="0"/>
    <m/>
    <n v="0"/>
    <m/>
    <n v="0"/>
    <m/>
    <n v="0"/>
    <s v="ToyoLi"/>
    <n v="20"/>
    <n v="0"/>
    <n v="124.42307692307691"/>
    <n v="0"/>
    <s v="MATT"/>
    <s v="R00011M"/>
    <s v="HI-TECH INK - MATT"/>
    <n v="20"/>
    <n v="0"/>
    <m/>
    <m/>
    <n v="0"/>
    <n v="2066"/>
    <m/>
    <m/>
    <m/>
    <m/>
    <m/>
    <m/>
    <m/>
    <n v="40"/>
    <n v="0"/>
    <m/>
    <n v="0"/>
    <m/>
    <n v="0"/>
    <m/>
    <n v="0"/>
    <m/>
    <n v="0"/>
    <m/>
    <n v="0"/>
    <m/>
    <n v="0"/>
    <m/>
    <n v="0"/>
    <s v="HI-TECH INK"/>
    <n v="20"/>
    <n v="0"/>
    <n v="78.65384615384616"/>
    <n v="0"/>
    <n v="2"/>
    <n v="2"/>
    <n v="2"/>
    <n v="2"/>
    <n v="2"/>
    <n v="2"/>
    <n v="25"/>
    <n v="15"/>
    <n v="0.3"/>
    <m/>
    <m/>
    <n v="0.5"/>
    <n v="0.2"/>
    <n v="0"/>
    <n v="134"/>
    <n v="0"/>
    <n v="0"/>
    <n v="134"/>
    <n v="134"/>
    <n v="40.199999999999996"/>
    <n v="0"/>
    <n v="0"/>
    <n v="0"/>
    <n v="0"/>
    <n v="0"/>
    <n v="67"/>
    <n v="0"/>
    <n v="26.8"/>
    <n v="0"/>
    <n v="0"/>
    <n v="0"/>
    <n v="0"/>
    <m/>
    <n v="111"/>
    <n v="264"/>
    <s v="TL4"/>
    <s v="ToyoLiToyoLiToyoLiToyoLiToyoLiToyoLiToyoLiHI-TECH INK"/>
    <s v="+"/>
    <s v="+"/>
    <s v="+"/>
    <s v="+"/>
    <s v="+"/>
    <s v="+"/>
    <s v="+"/>
    <s v="+"/>
  </r>
  <r>
    <d v="2026-01-02T00:00:00"/>
    <s v="A"/>
    <x v="4"/>
    <s v="TL5"/>
    <n v="134"/>
    <n v="7700"/>
    <s v="I"/>
    <s v="N"/>
    <n v="2.9"/>
    <s v="BLACK"/>
    <s v="R00010B"/>
    <s v="ToyoLi - BLACK"/>
    <n v="30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7.9777777777777743"/>
    <n v="0"/>
    <s v="REFLEX BLUE"/>
    <s v="H01361B"/>
    <s v="ToyoLi - REFLEX BLUE"/>
    <n v="17"/>
    <n v="0"/>
    <m/>
    <m/>
    <n v="0"/>
    <s v="R1205"/>
    <s v="F121"/>
    <s v="R92"/>
    <m/>
    <m/>
    <m/>
    <m/>
    <m/>
    <n v="3"/>
    <n v="0"/>
    <n v="2"/>
    <n v="0"/>
    <n v="1"/>
    <n v="0"/>
    <m/>
    <n v="0"/>
    <m/>
    <n v="0"/>
    <m/>
    <n v="0"/>
    <m/>
    <n v="0"/>
    <m/>
    <n v="0"/>
    <s v="ToyoLi"/>
    <n v="20"/>
    <n v="0"/>
    <n v="8.9555555555555557"/>
    <n v="0"/>
    <s v="RED"/>
    <s v="R00010R"/>
    <s v="ToyoLi - RED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0"/>
    <n v="7.9555555555555557"/>
    <n v="0"/>
    <s v="CYAN"/>
    <s v="R00010C"/>
    <s v="ToyoLi - CYAN"/>
    <n v="26"/>
    <n v="0"/>
    <s v="H01309C"/>
    <n v="21"/>
    <n v="0"/>
    <s v="R39"/>
    <s v="RTMD"/>
    <m/>
    <m/>
    <m/>
    <m/>
    <m/>
    <m/>
    <n v="3"/>
    <n v="0"/>
    <n v="2"/>
    <n v="0"/>
    <m/>
    <n v="0"/>
    <m/>
    <n v="0"/>
    <m/>
    <n v="0"/>
    <m/>
    <n v="0"/>
    <m/>
    <n v="0"/>
    <m/>
    <n v="0"/>
    <s v="ToyoLi"/>
    <n v="26"/>
    <n v="0"/>
    <n v="31.955555555555556"/>
    <n v="0"/>
    <s v="MAGENTA"/>
    <s v="R00010M"/>
    <s v="ToyoLi - MAGENTA"/>
    <n v="27"/>
    <n v="0"/>
    <m/>
    <m/>
    <n v="0"/>
    <s v="F121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5"/>
    <n v="0"/>
    <n v="5.9777777777777779"/>
    <n v="0"/>
    <s v="YELLOW"/>
    <s v="R00010Y"/>
    <s v="ToyoLi - YELLOW"/>
    <n v="26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4"/>
    <n v="0"/>
    <n v="9.9555555555555557"/>
    <n v="0"/>
    <s v="WHITE"/>
    <s v="R00010W"/>
    <s v="ToyoLi - WHITE"/>
    <n v="20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20"/>
    <n v="0"/>
    <n v="99.555555555555543"/>
    <n v="0"/>
    <s v="MATT"/>
    <s v="R00010M"/>
    <s v="HI-TECH INK - MATT"/>
    <n v="20"/>
    <n v="0"/>
    <m/>
    <m/>
    <n v="0"/>
    <n v="2066"/>
    <m/>
    <m/>
    <m/>
    <m/>
    <m/>
    <m/>
    <m/>
    <n v="40"/>
    <n v="0"/>
    <m/>
    <n v="0"/>
    <m/>
    <n v="0"/>
    <m/>
    <n v="0"/>
    <m/>
    <n v="0"/>
    <m/>
    <n v="0"/>
    <m/>
    <n v="0"/>
    <m/>
    <n v="0"/>
    <s v="HI-TECH INK"/>
    <n v="21"/>
    <n v="0"/>
    <n v="83.666666666666657"/>
    <n v="0"/>
    <n v="1"/>
    <n v="2"/>
    <n v="2"/>
    <n v="2"/>
    <n v="1"/>
    <n v="2"/>
    <n v="20"/>
    <n v="15"/>
    <n v="0.3"/>
    <m/>
    <m/>
    <n v="0.5"/>
    <n v="0.2"/>
    <n v="0"/>
    <n v="134"/>
    <n v="0"/>
    <n v="0"/>
    <n v="134"/>
    <n v="134"/>
    <n v="40.199999999999996"/>
    <n v="0"/>
    <n v="0"/>
    <n v="0"/>
    <n v="0"/>
    <n v="0"/>
    <n v="67"/>
    <n v="0"/>
    <n v="26.8"/>
    <n v="0"/>
    <n v="0"/>
    <n v="0"/>
    <n v="0"/>
    <m/>
    <n v="96"/>
    <n v="255.99999999999997"/>
    <s v="TL5"/>
    <s v="ToyoLiToyoLiToyoLiToyoLiToyoLiToyoLiToyoLiHI-TECH INK"/>
    <s v="+"/>
    <s v="+"/>
    <s v="+"/>
    <s v="+"/>
    <s v="+"/>
    <s v="+"/>
    <s v="+"/>
    <s v="+"/>
  </r>
  <r>
    <d v="2026-01-02T00:00:00"/>
    <s v="A"/>
    <x v="5"/>
    <s v="TL6"/>
    <n v="149"/>
    <n v="7800"/>
    <s v="I"/>
    <s v="N"/>
    <n v="2.9"/>
    <s v="BLACK"/>
    <s v="R00008B"/>
    <s v="ToyoLi - BLACK"/>
    <n v="27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7.7301587301587276"/>
    <n v="0"/>
    <s v="REFLEX BLUE"/>
    <s v="J00933P"/>
    <s v="ToyoLi - REFLEX BLUE"/>
    <n v="15"/>
    <n v="0"/>
    <m/>
    <m/>
    <n v="0"/>
    <s v="R1205"/>
    <s v="F121"/>
    <s v="Z822"/>
    <m/>
    <m/>
    <m/>
    <m/>
    <m/>
    <n v="2"/>
    <n v="0"/>
    <n v="3"/>
    <n v="0"/>
    <n v="3"/>
    <n v="0"/>
    <m/>
    <n v="0"/>
    <m/>
    <n v="0"/>
    <m/>
    <n v="0"/>
    <m/>
    <n v="0"/>
    <m/>
    <n v="0"/>
    <s v="ToyoLi"/>
    <n v="24"/>
    <n v="0"/>
    <n v="10.825396825396822"/>
    <n v="0"/>
    <s v="RED"/>
    <s v="R00008R"/>
    <s v="ToyoLi - RED"/>
    <n v="25"/>
    <n v="0"/>
    <m/>
    <m/>
    <n v="0"/>
    <s v="F53"/>
    <s v="F121"/>
    <m/>
    <m/>
    <m/>
    <m/>
    <m/>
    <m/>
    <n v="2"/>
    <n v="0"/>
    <n v="3"/>
    <n v="0"/>
    <m/>
    <n v="0"/>
    <m/>
    <n v="0"/>
    <m/>
    <n v="0"/>
    <m/>
    <n v="0"/>
    <m/>
    <n v="0"/>
    <m/>
    <n v="0"/>
    <s v="ToyoLi"/>
    <n v="27"/>
    <n v="0"/>
    <n v="7.7301587301587276"/>
    <n v="0"/>
    <s v="CYAN"/>
    <s v="R00008C"/>
    <s v="ToyoLi - CYAN"/>
    <n v="26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5.7301587301587276"/>
    <n v="0"/>
    <s v="MAGENTA"/>
    <s v="R00008M"/>
    <s v="ToyoLi - MAGENTA"/>
    <n v="25"/>
    <n v="0"/>
    <m/>
    <m/>
    <n v="0"/>
    <s v="RTMD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6"/>
    <n v="0"/>
    <n v="9.0952380952380949"/>
    <n v="0"/>
    <s v="YELLOW"/>
    <s v="R00008Y"/>
    <s v="ToyoLi - YELLOW"/>
    <n v="24"/>
    <n v="0"/>
    <m/>
    <m/>
    <n v="0"/>
    <s v="F23T"/>
    <m/>
    <m/>
    <m/>
    <m/>
    <m/>
    <m/>
    <m/>
    <n v="8"/>
    <n v="0"/>
    <m/>
    <n v="0"/>
    <m/>
    <n v="0"/>
    <m/>
    <n v="0"/>
    <m/>
    <n v="0"/>
    <m/>
    <n v="0"/>
    <m/>
    <n v="0"/>
    <m/>
    <n v="0"/>
    <s v="ToyoLi"/>
    <n v="28"/>
    <n v="0"/>
    <n v="13.460317460317462"/>
    <n v="0"/>
    <s v="WHITE"/>
    <s v="R00008W"/>
    <s v="ToyoLi - WHITE"/>
    <n v="20"/>
    <n v="0"/>
    <m/>
    <m/>
    <n v="0"/>
    <s v="F640"/>
    <m/>
    <m/>
    <m/>
    <m/>
    <m/>
    <m/>
    <m/>
    <n v="60"/>
    <n v="0"/>
    <m/>
    <n v="0"/>
    <m/>
    <n v="0"/>
    <m/>
    <n v="0"/>
    <m/>
    <n v="0"/>
    <m/>
    <n v="0"/>
    <m/>
    <n v="0"/>
    <m/>
    <n v="0"/>
    <s v="ToyoLi"/>
    <n v="30"/>
    <n v="0"/>
    <n v="120.95238095238096"/>
    <n v="0"/>
    <s v="MATT"/>
    <s v="R000008M"/>
    <s v="HI-TECH INK - MATT"/>
    <n v="21"/>
    <n v="0"/>
    <m/>
    <m/>
    <n v="0"/>
    <n v="2066"/>
    <m/>
    <m/>
    <m/>
    <m/>
    <m/>
    <m/>
    <m/>
    <n v="40"/>
    <n v="0"/>
    <m/>
    <n v="0"/>
    <m/>
    <n v="0"/>
    <m/>
    <n v="0"/>
    <m/>
    <n v="0"/>
    <m/>
    <n v="0"/>
    <m/>
    <n v="0"/>
    <m/>
    <n v="0"/>
    <s v="HI-TECH INK"/>
    <n v="15"/>
    <n v="0"/>
    <n v="81.476190476190482"/>
    <n v="0"/>
    <n v="2"/>
    <n v="5"/>
    <n v="2"/>
    <n v="2"/>
    <n v="3"/>
    <n v="4"/>
    <n v="30"/>
    <n v="15"/>
    <n v="0.3"/>
    <m/>
    <m/>
    <n v="0.5"/>
    <n v="0.2"/>
    <n v="0"/>
    <n v="149"/>
    <n v="0"/>
    <n v="0"/>
    <n v="149"/>
    <n v="149"/>
    <n v="44.699999999999996"/>
    <n v="0"/>
    <n v="0"/>
    <n v="0"/>
    <n v="0"/>
    <n v="0"/>
    <n v="74.5"/>
    <n v="0"/>
    <n v="29.8"/>
    <n v="0"/>
    <n v="0"/>
    <n v="0"/>
    <n v="0"/>
    <m/>
    <n v="128"/>
    <n v="257"/>
    <s v="TL6"/>
    <s v="ToyoLiToyoLiToyoLiToyoLiToyoLiToyoLiToyoLiHI-TECH INK"/>
    <s v="+"/>
    <s v="+"/>
    <s v="+"/>
    <s v="+"/>
    <s v="+"/>
    <s v="+"/>
    <s v="+"/>
    <s v="+"/>
  </r>
  <r>
    <d v="2026-01-02T00:00:00"/>
    <s v="A"/>
    <x v="6"/>
    <s v="TL7"/>
    <n v="135"/>
    <n v="9100"/>
    <s v="I"/>
    <s v="N"/>
    <n v="2.9"/>
    <s v="BLACK"/>
    <s v="R00009B"/>
    <s v="ToyoLi - BLACK"/>
    <n v="26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0"/>
    <n v="4.9272727272727259"/>
    <n v="0"/>
    <s v="RED"/>
    <s v="R00009R"/>
    <s v="ToyoLi - RED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4.9272727272727259"/>
    <n v="0"/>
    <s v="CYAN"/>
    <s v="R00009C"/>
    <s v="ToyoLi - CYAN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0"/>
    <n v="5.9272727272727259"/>
    <n v="0"/>
    <s v="MAGENTA"/>
    <s v="R00009M"/>
    <s v="ToyoLi - MAGENTA"/>
    <n v="26"/>
    <n v="0"/>
    <s v="P000438M"/>
    <n v="12"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16.927272727272729"/>
    <n v="0"/>
    <s v="YELLOW"/>
    <s v="R00009Y"/>
    <s v="ToyoLi - YELLOW"/>
    <n v="28"/>
    <n v="0"/>
    <m/>
    <m/>
    <n v="0"/>
    <s v="F23T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30"/>
    <n v="0"/>
    <n v="4.9272727272727295"/>
    <n v="0"/>
    <s v="BLACK"/>
    <m/>
    <s v="ToyoLi - BLACK"/>
    <m/>
    <n v="0"/>
    <m/>
    <m/>
    <n v="0"/>
    <s v="R92"/>
    <m/>
    <m/>
    <m/>
    <m/>
    <m/>
    <m/>
    <m/>
    <n v="25"/>
    <n v="0"/>
    <m/>
    <n v="0"/>
    <m/>
    <n v="0"/>
    <m/>
    <n v="0"/>
    <m/>
    <n v="0"/>
    <m/>
    <n v="0"/>
    <m/>
    <n v="0"/>
    <m/>
    <n v="0"/>
    <s v="ToyoLi"/>
    <n v="30"/>
    <n v="0"/>
    <n v="24.454545454545453"/>
    <n v="0"/>
    <s v="WHITE"/>
    <s v="R00009W"/>
    <s v="ToyoLi - WHITE"/>
    <n v="30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28"/>
    <n v="0"/>
    <n v="81.27272727272728"/>
    <n v="0"/>
    <s v="MATT"/>
    <s v="R00009M"/>
    <s v="HI-TECH INK - MATT"/>
    <n v="15"/>
    <n v="0"/>
    <m/>
    <m/>
    <n v="0"/>
    <n v="2066"/>
    <m/>
    <m/>
    <m/>
    <m/>
    <m/>
    <m/>
    <m/>
    <n v="30"/>
    <n v="0"/>
    <m/>
    <n v="0"/>
    <m/>
    <n v="0"/>
    <m/>
    <n v="0"/>
    <m/>
    <n v="0"/>
    <m/>
    <n v="0"/>
    <m/>
    <n v="0"/>
    <m/>
    <n v="0"/>
    <s v="HI-TECH INK"/>
    <n v="30"/>
    <n v="0"/>
    <n v="34.63636363636364"/>
    <n v="0"/>
    <n v="2"/>
    <n v="2"/>
    <n v="2"/>
    <n v="2"/>
    <n v="2"/>
    <n v="15"/>
    <n v="20"/>
    <n v="10"/>
    <n v="0.3"/>
    <m/>
    <m/>
    <n v="0.5"/>
    <n v="0.2"/>
    <n v="0"/>
    <n v="108"/>
    <n v="0"/>
    <n v="0"/>
    <n v="108"/>
    <n v="108"/>
    <n v="32.4"/>
    <n v="0"/>
    <n v="0"/>
    <n v="0"/>
    <n v="0"/>
    <n v="0"/>
    <n v="54"/>
    <n v="0"/>
    <n v="21.6"/>
    <n v="0"/>
    <n v="0"/>
    <n v="0"/>
    <n v="0"/>
    <m/>
    <n v="100"/>
    <n v="178"/>
    <s v="TL7"/>
    <s v="ToyoLiToyoLiToyoLiToyoLiToyoLiToyoLiToyoLiHI-TECH INK"/>
    <s v="+"/>
    <s v="+"/>
    <s v="+"/>
    <s v="+"/>
    <s v="+"/>
    <s v="+"/>
    <s v="+"/>
    <s v="+"/>
  </r>
  <r>
    <d v="2026-01-02T00:00:00"/>
    <s v="B"/>
    <x v="7"/>
    <s v="TL8"/>
    <n v="136"/>
    <n v="9200"/>
    <s v="I"/>
    <s v="N"/>
    <n v="2.92"/>
    <s v="BLACK"/>
    <s v="R00012B"/>
    <s v="ToyoLi - BLACK"/>
    <n v="25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4.6842105263157876"/>
    <n v="0"/>
    <s v="RED"/>
    <s v="R00012R"/>
    <s v="ToyoLi - RED"/>
    <n v="26"/>
    <n v="0"/>
    <m/>
    <m/>
    <n v="0"/>
    <s v="F53"/>
    <s v="F121"/>
    <m/>
    <m/>
    <m/>
    <m/>
    <m/>
    <m/>
    <n v="2"/>
    <n v="0"/>
    <n v="1"/>
    <n v="0"/>
    <m/>
    <n v="0"/>
    <m/>
    <n v="0"/>
    <m/>
    <n v="0"/>
    <m/>
    <n v="0"/>
    <m/>
    <n v="0"/>
    <m/>
    <n v="0"/>
    <s v="ToyoLi"/>
    <n v="28"/>
    <n v="0"/>
    <n v="3.6842105263157876"/>
    <n v="0"/>
    <s v="CYAN"/>
    <s v="R00012C"/>
    <s v="ToyoLi - CYAN"/>
    <n v="25"/>
    <n v="0"/>
    <m/>
    <m/>
    <n v="0"/>
    <s v="R39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6"/>
    <n v="0"/>
    <n v="7.3684210526315752"/>
    <n v="0"/>
    <s v="MAGENTA"/>
    <s v="R00012M"/>
    <s v="ToyoLi - MAGENTA"/>
    <n v="27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9"/>
    <n v="0"/>
    <n v="6.3684210526315752"/>
    <n v="0"/>
    <s v="YELLOW"/>
    <s v="R00012Y"/>
    <s v="ToyoLi - YELLOW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0"/>
    <n v="2"/>
    <n v="0"/>
    <s v="GREEN"/>
    <s v="F00846G"/>
    <s v="ToyoLi - GREEN"/>
    <n v="14"/>
    <n v="0"/>
    <m/>
    <m/>
    <n v="0"/>
    <s v="R1205"/>
    <s v="R92"/>
    <s v="R39"/>
    <s v="F23T"/>
    <m/>
    <m/>
    <m/>
    <m/>
    <n v="2"/>
    <n v="0"/>
    <n v="1"/>
    <n v="0"/>
    <n v="6"/>
    <n v="0"/>
    <n v="5"/>
    <n v="0"/>
    <m/>
    <n v="0"/>
    <m/>
    <n v="0"/>
    <m/>
    <n v="0"/>
    <m/>
    <n v="0"/>
    <s v="ToyoLi"/>
    <n v="20"/>
    <n v="0"/>
    <n v="21.421052631578945"/>
    <n v="0"/>
    <s v="WHITE"/>
    <s v="R00012W"/>
    <s v="ToyoLi - WHITE"/>
    <n v="28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30"/>
    <n v="0"/>
    <n v="91.68421052631578"/>
    <n v="0"/>
    <s v="MATT"/>
    <s v="R00012M"/>
    <s v="HI-TECH INK - MATT"/>
    <n v="30"/>
    <n v="0"/>
    <m/>
    <m/>
    <n v="0"/>
    <n v="2066"/>
    <m/>
    <m/>
    <m/>
    <m/>
    <m/>
    <m/>
    <m/>
    <n v="20"/>
    <n v="0"/>
    <m/>
    <n v="0"/>
    <m/>
    <n v="0"/>
    <m/>
    <n v="0"/>
    <m/>
    <n v="0"/>
    <m/>
    <n v="0"/>
    <m/>
    <n v="0"/>
    <m/>
    <n v="0"/>
    <s v="HI-TECH INK"/>
    <n v="25"/>
    <n v="0"/>
    <n v="43.78947368421052"/>
    <n v="0"/>
    <n v="1"/>
    <n v="1"/>
    <n v="2"/>
    <n v="2"/>
    <n v="0"/>
    <n v="5"/>
    <n v="20"/>
    <n v="7"/>
    <n v="0.3"/>
    <m/>
    <m/>
    <n v="0.5"/>
    <n v="0.2"/>
    <n v="0"/>
    <n v="102"/>
    <n v="0"/>
    <n v="0"/>
    <n v="102"/>
    <n v="102"/>
    <n v="30.599999999999998"/>
    <n v="0"/>
    <n v="0"/>
    <n v="0"/>
    <n v="0"/>
    <n v="0"/>
    <n v="51"/>
    <n v="0"/>
    <n v="20.400000000000002"/>
    <n v="0"/>
    <n v="0"/>
    <n v="0"/>
    <n v="0"/>
    <m/>
    <n v="85"/>
    <n v="180.99999999999997"/>
    <s v="TL8"/>
    <s v="ToyoLiToyoLiToyoLiToyoLiToyoLiToyoLiToyoLiHI-TECH INK"/>
    <s v="+"/>
    <s v="+"/>
    <s v="+"/>
    <s v="+"/>
    <s v="+"/>
    <s v="+"/>
    <s v="+"/>
    <s v="+"/>
  </r>
  <r>
    <d v="2026-01-02T00:00:00"/>
    <s v="B"/>
    <x v="8"/>
    <s v="TL9"/>
    <n v="2398"/>
    <n v="146700"/>
    <s v="I"/>
    <s v="N"/>
    <n v="2.1"/>
    <s v="BLACK"/>
    <m/>
    <s v="ToyoLi - BLACK"/>
    <m/>
    <n v="0"/>
    <m/>
    <m/>
    <n v="0"/>
    <s v="R92"/>
    <m/>
    <m/>
    <m/>
    <m/>
    <m/>
    <m/>
    <m/>
    <n v="18"/>
    <n v="0"/>
    <m/>
    <n v="0"/>
    <m/>
    <n v="0"/>
    <m/>
    <n v="0"/>
    <m/>
    <n v="0"/>
    <m/>
    <n v="0"/>
    <m/>
    <n v="0"/>
    <m/>
    <n v="0"/>
    <s v="ToyoLi"/>
    <n v="29"/>
    <n v="0"/>
    <n v="24.550847457627114"/>
    <n v="0"/>
    <s v="BLACK"/>
    <s v="R000013B"/>
    <s v="ToyoLi - BLACK"/>
    <n v="25"/>
    <n v="0"/>
    <m/>
    <m/>
    <n v="0"/>
    <s v="R92"/>
    <m/>
    <m/>
    <m/>
    <m/>
    <m/>
    <m/>
    <m/>
    <n v="34"/>
    <n v="0"/>
    <m/>
    <n v="0"/>
    <m/>
    <n v="0"/>
    <m/>
    <n v="0"/>
    <m/>
    <n v="0"/>
    <m/>
    <n v="0"/>
    <m/>
    <n v="0"/>
    <m/>
    <n v="0"/>
    <s v="ToyoLi"/>
    <n v="34"/>
    <n v="0"/>
    <n v="74.771186440677965"/>
    <n v="0"/>
    <s v="RED"/>
    <s v="F00850R"/>
    <s v="ToyoLi - RED"/>
    <n v="16"/>
    <n v="0"/>
    <s v="J00929R/R00013R/H01300R/H01300R/J00938R"/>
    <n v="93"/>
    <n v="0"/>
    <s v="F121"/>
    <s v="F53"/>
    <s v="F32"/>
    <m/>
    <m/>
    <m/>
    <m/>
    <m/>
    <n v="100"/>
    <n v="0"/>
    <n v="100"/>
    <n v="0"/>
    <n v="22"/>
    <n v="0"/>
    <m/>
    <n v="0"/>
    <m/>
    <n v="0"/>
    <m/>
    <n v="0"/>
    <m/>
    <n v="0"/>
    <m/>
    <n v="0"/>
    <s v="ToyoLi"/>
    <n v="16"/>
    <n v="0"/>
    <n v="445.3531073446328"/>
    <n v="0"/>
    <s v="CYAN"/>
    <s v="R00013C"/>
    <s v="ToyoLi - CYAN"/>
    <n v="26"/>
    <n v="0"/>
    <m/>
    <m/>
    <n v="0"/>
    <s v="R39"/>
    <s v="RTMD"/>
    <m/>
    <m/>
    <m/>
    <m/>
    <m/>
    <m/>
    <n v="4"/>
    <n v="0"/>
    <n v="5"/>
    <n v="0"/>
    <m/>
    <n v="0"/>
    <m/>
    <n v="0"/>
    <m/>
    <n v="0"/>
    <m/>
    <n v="0"/>
    <m/>
    <n v="0"/>
    <m/>
    <n v="0"/>
    <s v="ToyoLi"/>
    <n v="35"/>
    <n v="0"/>
    <n v="4.7401129943502838"/>
    <n v="0"/>
    <s v="MAGENTA"/>
    <s v="R00013M"/>
    <s v="ToyoLi - MAGENTA"/>
    <n v="29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2"/>
    <n v="0"/>
    <n v="17.110169491525426"/>
    <n v="0"/>
    <s v="YELLOW"/>
    <s v="R00013Y"/>
    <s v="ToyoLi - YELLOW"/>
    <n v="28"/>
    <n v="0"/>
    <m/>
    <m/>
    <n v="0"/>
    <s v="F23T"/>
    <m/>
    <m/>
    <m/>
    <m/>
    <m/>
    <m/>
    <m/>
    <n v="35"/>
    <n v="0"/>
    <m/>
    <n v="0"/>
    <m/>
    <n v="0"/>
    <m/>
    <n v="0"/>
    <m/>
    <n v="0"/>
    <m/>
    <n v="0"/>
    <m/>
    <n v="0"/>
    <m/>
    <n v="0"/>
    <s v="ToyoLi"/>
    <n v="43"/>
    <n v="0"/>
    <n v="62.661016949152554"/>
    <n v="0"/>
    <s v="WHITE"/>
    <s v="R00013W"/>
    <s v="ToyoLi - WHITE"/>
    <n v="30"/>
    <n v="0"/>
    <m/>
    <m/>
    <n v="0"/>
    <s v="F640"/>
    <m/>
    <m/>
    <m/>
    <m/>
    <m/>
    <m/>
    <m/>
    <n v="460"/>
    <n v="0"/>
    <m/>
    <n v="0"/>
    <m/>
    <n v="0"/>
    <m/>
    <n v="0"/>
    <m/>
    <n v="0"/>
    <m/>
    <n v="0"/>
    <m/>
    <n v="0"/>
    <m/>
    <n v="0"/>
    <s v="ToyoLi"/>
    <n v="30"/>
    <n v="0"/>
    <n v="1028.813559322033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5"/>
    <n v="21"/>
    <n v="55"/>
    <n v="2"/>
    <n v="3"/>
    <n v="18"/>
    <n v="240"/>
    <n v="0"/>
    <n v="0.3"/>
    <m/>
    <m/>
    <n v="0.5"/>
    <n v="0.2"/>
    <n v="0"/>
    <n v="839"/>
    <n v="0"/>
    <n v="0"/>
    <n v="839"/>
    <n v="839"/>
    <n v="251.7"/>
    <n v="0"/>
    <n v="0"/>
    <n v="0"/>
    <n v="0"/>
    <n v="0"/>
    <n v="419.5"/>
    <n v="0"/>
    <n v="167.8"/>
    <n v="0"/>
    <n v="0"/>
    <n v="0"/>
    <n v="0"/>
    <m/>
    <n v="781"/>
    <n v="1658"/>
    <s v="TL9"/>
    <s v="ToyoLiToyoLiToyoLiToyoLiToyoLiToyoLiToyoLi"/>
    <s v="+"/>
    <s v="+"/>
    <s v="+"/>
    <s v="+"/>
    <s v="+"/>
    <s v="+"/>
    <s v="+"/>
    <s v="NIL"/>
  </r>
  <r>
    <d v="2026-01-03T00:00:00"/>
    <s v="A"/>
    <x v="9"/>
    <s v="TL10"/>
    <n v="126"/>
    <n v="6800"/>
    <s v="I"/>
    <s v="N"/>
    <n v="2.14"/>
    <s v="BLACK"/>
    <s v="P00435B"/>
    <s v="ToyoLi - BLACK"/>
    <n v="31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30"/>
    <n v="0"/>
    <n v="7.6000000000000014"/>
    <n v="0"/>
    <s v="BLACK"/>
    <s v="N00757B"/>
    <s v="ToyoLi - BLACK"/>
    <n v="4"/>
    <n v="0"/>
    <s v="F00833B/N00815B"/>
    <n v="12"/>
    <n v="0"/>
    <s v="F121"/>
    <s v="F53"/>
    <m/>
    <m/>
    <m/>
    <m/>
    <m/>
    <m/>
    <n v="7"/>
    <n v="0"/>
    <n v="5"/>
    <n v="0"/>
    <m/>
    <n v="0"/>
    <m/>
    <n v="0"/>
    <m/>
    <n v="0"/>
    <m/>
    <n v="0"/>
    <m/>
    <n v="0"/>
    <m/>
    <n v="0"/>
    <s v="ToyoLi"/>
    <n v="32"/>
    <n v="0"/>
    <n v="12.200000000000003"/>
    <n v="0"/>
    <s v="CYAN"/>
    <s v="P00435C"/>
    <s v="ToyoLi - CYAN"/>
    <n v="19"/>
    <n v="0"/>
    <m/>
    <m/>
    <n v="0"/>
    <s v="RTMD"/>
    <m/>
    <m/>
    <m/>
    <m/>
    <m/>
    <m/>
    <m/>
    <n v="8"/>
    <n v="0"/>
    <m/>
    <n v="0"/>
    <m/>
    <n v="0"/>
    <m/>
    <n v="0"/>
    <m/>
    <n v="0"/>
    <m/>
    <n v="0"/>
    <m/>
    <n v="0"/>
    <m/>
    <n v="0"/>
    <s v="ToyoLi"/>
    <n v="28"/>
    <n v="0"/>
    <n v="2.6000000000000014"/>
    <n v="0"/>
    <s v="MAGENTA"/>
    <s v="P00435M"/>
    <s v="ToyoLi - MAGENTA"/>
    <n v="22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5"/>
    <n v="0"/>
    <n v="3.6000000000000014"/>
    <n v="0"/>
    <s v="YELLOW"/>
    <s v="P00435Y"/>
    <s v="ToyoLi - YELLOW"/>
    <n v="29"/>
    <n v="0"/>
    <m/>
    <m/>
    <n v="0"/>
    <s v="RTMD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4"/>
    <n v="0"/>
    <n v="19"/>
    <n v="0"/>
    <s v="WHITE"/>
    <s v="P00435W"/>
    <s v="ToyoLi - WHITE"/>
    <n v="30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30"/>
    <n v="0"/>
    <n v="5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9"/>
    <n v="2"/>
    <n v="2"/>
    <n v="5"/>
    <n v="15"/>
    <n v="0"/>
    <n v="0"/>
    <n v="0.3"/>
    <m/>
    <m/>
    <n v="0.5"/>
    <n v="0.2"/>
    <n v="0"/>
    <n v="63"/>
    <n v="0"/>
    <n v="0"/>
    <n v="63"/>
    <n v="63"/>
    <n v="18.899999999999999"/>
    <n v="0"/>
    <n v="0"/>
    <n v="0"/>
    <n v="0"/>
    <n v="0"/>
    <n v="31.5"/>
    <n v="0"/>
    <n v="12.600000000000001"/>
    <n v="0"/>
    <n v="0"/>
    <n v="0"/>
    <n v="0"/>
    <m/>
    <n v="61"/>
    <n v="102"/>
    <s v="TL10"/>
    <s v="ToyoLiToyoLiToyoLiToyoLiToyoLiToyoLi"/>
    <s v="+"/>
    <s v="+"/>
    <s v="+"/>
    <s v="+"/>
    <s v="+"/>
    <s v="+"/>
    <s v="NIL"/>
    <s v="NIL"/>
  </r>
  <r>
    <d v="2026-01-03T00:00:00"/>
    <s v="B"/>
    <x v="10"/>
    <s v="TL11"/>
    <n v="77"/>
    <n v="3500"/>
    <s v="I"/>
    <s v="N"/>
    <n v="1.99"/>
    <s v="REFLEX BLUE"/>
    <s v="B00973RB"/>
    <s v="ToyoLi - REFLEX BLUE"/>
    <n v="19"/>
    <n v="0"/>
    <s v="B00857B"/>
    <n v="6"/>
    <n v="0"/>
    <s v="R1205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1"/>
    <n v="0"/>
    <n v="9.6000000000000014"/>
    <n v="0"/>
    <s v="GREEN"/>
    <s v="J00833G"/>
    <s v="ToyoLi - GREEN"/>
    <n v="5"/>
    <n v="0"/>
    <s v="G00373G"/>
    <n v="19"/>
    <n v="0"/>
    <s v="R39"/>
    <s v="F23T"/>
    <s v="R92"/>
    <m/>
    <m/>
    <m/>
    <m/>
    <m/>
    <n v="2"/>
    <n v="0"/>
    <n v="1"/>
    <n v="0"/>
    <n v="0.5"/>
    <n v="0"/>
    <m/>
    <n v="0"/>
    <m/>
    <n v="0"/>
    <m/>
    <n v="0"/>
    <m/>
    <n v="0"/>
    <m/>
    <n v="0"/>
    <s v="ToyoLi"/>
    <n v="29"/>
    <n v="0"/>
    <n v="3.1000000000000014"/>
    <n v="0"/>
    <s v="MEDIUM"/>
    <s v="J00929B"/>
    <s v="ToyoLi - MEDIUM"/>
    <n v="20"/>
    <n v="0"/>
    <s v="J00929B"/>
    <n v="10"/>
    <n v="0"/>
    <s v="RTMD"/>
    <s v="F23T"/>
    <m/>
    <m/>
    <m/>
    <m/>
    <m/>
    <m/>
    <n v="3"/>
    <n v="0"/>
    <n v="0.5"/>
    <n v="0"/>
    <m/>
    <n v="0"/>
    <m/>
    <n v="0"/>
    <m/>
    <n v="0"/>
    <m/>
    <n v="0"/>
    <m/>
    <n v="0"/>
    <m/>
    <n v="0"/>
    <s v="ToyoLi"/>
    <n v="24"/>
    <n v="0"/>
    <n v="14.100000000000001"/>
    <n v="0"/>
    <s v="GREEN"/>
    <s v="F00846G"/>
    <s v="ToyoLi - GREEN"/>
    <n v="16"/>
    <n v="0"/>
    <m/>
    <m/>
    <n v="0"/>
    <s v="F23T"/>
    <s v="R79"/>
    <m/>
    <m/>
    <m/>
    <m/>
    <m/>
    <m/>
    <n v="4"/>
    <n v="0"/>
    <n v="1"/>
    <n v="0"/>
    <m/>
    <n v="0"/>
    <m/>
    <n v="0"/>
    <m/>
    <n v="0"/>
    <m/>
    <n v="0"/>
    <m/>
    <n v="0"/>
    <m/>
    <n v="0"/>
    <s v="ToyoLi"/>
    <n v="20"/>
    <n v="0"/>
    <n v="5.6000000000000014"/>
    <n v="0"/>
    <s v="YELLOW"/>
    <s v="P00434Y"/>
    <s v="ToyoLi - YELLOW"/>
    <n v="14"/>
    <n v="0"/>
    <m/>
    <m/>
    <n v="0"/>
    <s v="F23T"/>
    <s v="F53"/>
    <m/>
    <m/>
    <m/>
    <m/>
    <m/>
    <m/>
    <n v="3"/>
    <n v="0"/>
    <n v="1"/>
    <n v="0"/>
    <m/>
    <n v="0"/>
    <m/>
    <n v="0"/>
    <m/>
    <n v="0"/>
    <m/>
    <n v="0"/>
    <m/>
    <n v="0"/>
    <m/>
    <n v="0"/>
    <s v="ToyoLi"/>
    <n v="18"/>
    <n v="0"/>
    <n v="4.6000000000000014"/>
    <n v="0"/>
    <s v="WHITE"/>
    <s v="G00376W"/>
    <s v="ToyoLi - WHITE"/>
    <n v="30"/>
    <n v="0"/>
    <m/>
    <m/>
    <n v="0"/>
    <s v="F640"/>
    <s v="HSLAS"/>
    <m/>
    <m/>
    <m/>
    <m/>
    <m/>
    <m/>
    <n v="20"/>
    <n v="0"/>
    <n v="3.34"/>
    <n v="0"/>
    <m/>
    <n v="0"/>
    <m/>
    <n v="0"/>
    <m/>
    <n v="0"/>
    <m/>
    <n v="0"/>
    <m/>
    <n v="0"/>
    <m/>
    <n v="0"/>
    <s v="ToyoLi"/>
    <n v="30"/>
    <n v="0"/>
    <n v="46.3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2"/>
    <n v="2"/>
    <n v="10"/>
    <n v="0"/>
    <n v="0"/>
    <n v="0.3"/>
    <m/>
    <m/>
    <n v="0.5"/>
    <n v="0.2"/>
    <n v="0"/>
    <n v="46"/>
    <n v="0"/>
    <n v="0"/>
    <n v="46"/>
    <n v="46"/>
    <n v="13.799999999999999"/>
    <n v="0"/>
    <n v="0"/>
    <n v="0"/>
    <n v="0"/>
    <n v="0"/>
    <n v="23"/>
    <n v="0"/>
    <n v="9.2000000000000011"/>
    <n v="0"/>
    <n v="0"/>
    <n v="0"/>
    <n v="0"/>
    <m/>
    <n v="40.340000000000003"/>
    <n v="83.34"/>
    <s v="TL11"/>
    <s v="ToyoLiToyoLiToyoLiToyoLiToyoLiToyoLi"/>
    <s v="+"/>
    <s v="+"/>
    <s v="+"/>
    <s v="+"/>
    <s v="+"/>
    <s v="+"/>
    <s v="NIL"/>
    <s v="NIL"/>
  </r>
  <r>
    <d v="2026-01-03T00:00:00"/>
    <s v="B"/>
    <x v="11"/>
    <s v="TL12"/>
    <n v="768"/>
    <n v="42000"/>
    <s v="I"/>
    <s v="N"/>
    <n v="1.21"/>
    <s v="BLACK"/>
    <s v="G00376B"/>
    <s v="ToyoLi - BLACK"/>
    <n v="30"/>
    <n v="0"/>
    <m/>
    <m/>
    <n v="0"/>
    <s v="R92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8"/>
    <n v="0"/>
    <n v="12.833333333333336"/>
    <n v="0"/>
    <s v="GREEN"/>
    <m/>
    <s v="ToyoLi - GREEN"/>
    <m/>
    <n v="0"/>
    <m/>
    <m/>
    <n v="0"/>
    <n v="262"/>
    <s v="R39"/>
    <s v="R92"/>
    <s v="F23T"/>
    <m/>
    <m/>
    <m/>
    <m/>
    <n v="23"/>
    <n v="0"/>
    <n v="16"/>
    <n v="0"/>
    <n v="3"/>
    <n v="0"/>
    <n v="9"/>
    <n v="0"/>
    <m/>
    <n v="0"/>
    <m/>
    <n v="0"/>
    <m/>
    <n v="0"/>
    <m/>
    <n v="0"/>
    <s v="ToyoLi"/>
    <n v="38"/>
    <n v="0"/>
    <n v="60.833333333333329"/>
    <n v="0"/>
    <s v="RED"/>
    <m/>
    <s v="ToyoLi - RED"/>
    <m/>
    <n v="0"/>
    <m/>
    <m/>
    <n v="0"/>
    <s v="F121"/>
    <s v="F53"/>
    <m/>
    <m/>
    <m/>
    <m/>
    <m/>
    <m/>
    <n v="30"/>
    <n v="0"/>
    <n v="25"/>
    <n v="0"/>
    <m/>
    <n v="0"/>
    <m/>
    <n v="0"/>
    <m/>
    <n v="0"/>
    <m/>
    <n v="0"/>
    <m/>
    <n v="0"/>
    <m/>
    <n v="0"/>
    <s v="ToyoLi"/>
    <n v="25"/>
    <n v="0"/>
    <n v="81.25"/>
    <n v="0"/>
    <s v="CYAN"/>
    <s v="G00376C"/>
    <s v="ToyoLi - CYAN"/>
    <n v="28"/>
    <n v="0"/>
    <m/>
    <m/>
    <n v="0"/>
    <s v="R39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7"/>
    <n v="0"/>
    <n v="11.833333333333336"/>
    <n v="0"/>
    <s v="MAGENTA"/>
    <s v="G00376M"/>
    <s v="ToyoLi - MAGENTA"/>
    <n v="25"/>
    <n v="0"/>
    <m/>
    <m/>
    <n v="0"/>
    <s v="RTMD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6"/>
    <n v="0"/>
    <n v="32.333333333333329"/>
    <n v="0"/>
    <s v="YELLOW"/>
    <s v="G00376Y"/>
    <s v="ToyoLi - YELLOW"/>
    <n v="24"/>
    <n v="0"/>
    <m/>
    <m/>
    <n v="0"/>
    <s v="F23T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23"/>
    <n v="0"/>
    <n v="34.916666666666664"/>
    <n v="0"/>
    <s v="WHITE"/>
    <s v="B01041W"/>
    <s v="ToyoLi - WHITE"/>
    <n v="30"/>
    <n v="0"/>
    <m/>
    <m/>
    <n v="0"/>
    <s v="F640"/>
    <s v="HSLAS"/>
    <m/>
    <m/>
    <m/>
    <m/>
    <m/>
    <m/>
    <n v="120"/>
    <n v="0"/>
    <n v="9.5500000000000007"/>
    <n v="0"/>
    <m/>
    <n v="0"/>
    <m/>
    <n v="0"/>
    <m/>
    <n v="0"/>
    <m/>
    <n v="0"/>
    <m/>
    <n v="0"/>
    <m/>
    <n v="0"/>
    <s v="ToyoLi"/>
    <n v="30"/>
    <n v="0"/>
    <n v="334.5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4"/>
    <n v="15"/>
    <n v="2"/>
    <n v="8"/>
    <n v="7"/>
    <n v="60"/>
    <n v="0"/>
    <n v="0.3"/>
    <m/>
    <m/>
    <n v="0.5"/>
    <n v="0.2"/>
    <n v="0"/>
    <n v="369"/>
    <n v="0"/>
    <n v="0"/>
    <n v="369"/>
    <n v="369"/>
    <n v="110.7"/>
    <n v="0"/>
    <n v="0"/>
    <n v="0"/>
    <n v="0"/>
    <n v="0"/>
    <n v="184.5"/>
    <n v="0"/>
    <n v="73.8"/>
    <n v="0"/>
    <n v="0"/>
    <n v="0"/>
    <n v="0"/>
    <m/>
    <n v="259.55"/>
    <n v="568.54999999999995"/>
    <s v="TL12"/>
    <s v="ToyoLiToyoLiToyoLiToyoLiToyoLiToyoLiToyoLi"/>
    <s v="+"/>
    <s v="+"/>
    <s v="+"/>
    <s v="+"/>
    <s v="+"/>
    <s v="+"/>
    <s v="+"/>
    <s v="NIL"/>
  </r>
  <r>
    <d v="2026-01-03T00:00:00"/>
    <s v="B"/>
    <x v="12"/>
    <s v="TL13"/>
    <n v="683"/>
    <n v="32850"/>
    <s v="I"/>
    <s v="N"/>
    <n v="2.2400000000000002"/>
    <s v="RED"/>
    <s v="H01361R"/>
    <s v="ToyoLi - RED"/>
    <n v="29"/>
    <n v="0"/>
    <s v="N00761R/N00818R/P00434R/G00396R"/>
    <n v="73"/>
    <n v="0"/>
    <s v="F121"/>
    <s v="F53"/>
    <m/>
    <m/>
    <m/>
    <m/>
    <m/>
    <m/>
    <n v="60"/>
    <n v="0"/>
    <n v="50"/>
    <n v="0"/>
    <m/>
    <n v="0"/>
    <m/>
    <n v="0"/>
    <m/>
    <n v="0"/>
    <m/>
    <n v="0"/>
    <m/>
    <n v="0"/>
    <m/>
    <n v="0"/>
    <s v="ToyoLi"/>
    <n v="38"/>
    <n v="0"/>
    <n v="242.25"/>
    <n v="0"/>
    <s v="WHITE"/>
    <s v="G00396W"/>
    <s v="ToyoLi - WHITE"/>
    <n v="30"/>
    <n v="0"/>
    <m/>
    <m/>
    <n v="0"/>
    <s v="F640"/>
    <s v="HSLAS"/>
    <m/>
    <m/>
    <m/>
    <m/>
    <m/>
    <m/>
    <n v="100"/>
    <n v="0"/>
    <n v="8.2799999999999994"/>
    <n v="0"/>
    <m/>
    <n v="0"/>
    <m/>
    <n v="0"/>
    <m/>
    <n v="0"/>
    <m/>
    <n v="0"/>
    <m/>
    <n v="0"/>
    <m/>
    <n v="0"/>
    <s v="ToyoLi"/>
    <n v="25"/>
    <n v="0"/>
    <n v="318.0299999999999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0"/>
    <n v="60"/>
    <n v="0"/>
    <n v="0"/>
    <n v="0"/>
    <n v="0"/>
    <n v="0"/>
    <n v="0"/>
    <n v="0.3"/>
    <m/>
    <m/>
    <n v="0.5"/>
    <n v="0.2"/>
    <n v="0"/>
    <n v="273"/>
    <n v="0"/>
    <n v="0"/>
    <n v="273"/>
    <n v="273"/>
    <n v="81.899999999999991"/>
    <n v="0"/>
    <n v="0"/>
    <n v="0"/>
    <n v="0"/>
    <n v="0"/>
    <n v="136.5"/>
    <n v="0"/>
    <n v="54.6"/>
    <n v="0"/>
    <n v="0"/>
    <n v="0"/>
    <n v="0"/>
    <m/>
    <n v="218.28"/>
    <n v="560.28"/>
    <s v="TL13"/>
    <s v="ToyoLiToyoLi"/>
    <s v="+"/>
    <s v="+"/>
    <s v="NIL"/>
    <s v="NIL"/>
    <s v="NIL"/>
    <s v="NIL"/>
    <s v="NIL"/>
    <s v="NIL"/>
  </r>
  <r>
    <d v="2026-01-03T00:00:00"/>
    <s v="B"/>
    <x v="13"/>
    <s v="TL14"/>
    <n v="111"/>
    <n v="5700"/>
    <s v="I"/>
    <s v="N"/>
    <n v="1.8"/>
    <s v="BLACK"/>
    <s v="G00396B"/>
    <s v="ToyoLi - BLACK"/>
    <n v="28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3"/>
    <n v="0"/>
    <s v="REFLEX BLUE"/>
    <s v="H01300B"/>
    <s v="ToyoLi - REFLEX BLUE"/>
    <n v="18"/>
    <n v="0"/>
    <m/>
    <m/>
    <n v="0"/>
    <s v="R1205"/>
    <s v="R92"/>
    <m/>
    <m/>
    <m/>
    <m/>
    <m/>
    <m/>
    <n v="5"/>
    <n v="0"/>
    <n v="1"/>
    <n v="0"/>
    <m/>
    <n v="0"/>
    <m/>
    <n v="0"/>
    <m/>
    <n v="0"/>
    <m/>
    <n v="0"/>
    <m/>
    <n v="0"/>
    <m/>
    <n v="0"/>
    <s v="ToyoLi"/>
    <n v="25"/>
    <n v="0"/>
    <n v="4.4193548387096762"/>
    <n v="0"/>
    <s v="RED"/>
    <s v="G00375P"/>
    <s v="ToyoLi - RED"/>
    <n v="10"/>
    <n v="0"/>
    <s v="B01002P"/>
    <n v="12"/>
    <n v="0"/>
    <s v="RTMD"/>
    <s v="R1205"/>
    <s v="TP"/>
    <m/>
    <m/>
    <m/>
    <m/>
    <m/>
    <n v="2"/>
    <n v="0"/>
    <n v="0.5"/>
    <n v="0"/>
    <n v="3"/>
    <n v="0"/>
    <m/>
    <n v="0"/>
    <m/>
    <n v="0"/>
    <m/>
    <n v="0"/>
    <m/>
    <n v="0"/>
    <m/>
    <n v="0"/>
    <s v="ToyoLi"/>
    <n v="14"/>
    <n v="0"/>
    <n v="17.112903225806452"/>
    <n v="0"/>
    <s v="RED"/>
    <s v="L00293P"/>
    <s v="ToyoLi - RED"/>
    <n v="15"/>
    <n v="0"/>
    <m/>
    <m/>
    <n v="0"/>
    <s v="RTMD"/>
    <s v="F121"/>
    <s v="R1205"/>
    <m/>
    <m/>
    <m/>
    <m/>
    <m/>
    <n v="5"/>
    <n v="0"/>
    <n v="1"/>
    <n v="0"/>
    <n v="0.2"/>
    <n v="0"/>
    <m/>
    <n v="0"/>
    <m/>
    <n v="0"/>
    <m/>
    <n v="0"/>
    <m/>
    <n v="0"/>
    <m/>
    <n v="0"/>
    <s v="ToyoLi"/>
    <n v="20"/>
    <n v="0"/>
    <n v="8.4258064516129032"/>
    <n v="0"/>
    <s v="CYAN"/>
    <s v="G00396C"/>
    <s v="ToyoLi - CYAN"/>
    <n v="27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5.6129032258064484"/>
    <n v="0"/>
    <s v="MAGENTA"/>
    <s v="G00396M"/>
    <s v="ToyoLi - MAGENTA"/>
    <n v="26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5"/>
    <n v="0"/>
    <n v="5.8064516129032242"/>
    <n v="0"/>
    <s v="YELLOW"/>
    <s v="G00396Y"/>
    <s v="ToyoLi - YELLOW"/>
    <n v="23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6"/>
    <n v="0"/>
    <n v="9.2258064516129039"/>
    <n v="0"/>
    <s v="WHITE"/>
    <s v="B01032W"/>
    <s v="ToyoLi - WHITE"/>
    <n v="25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20"/>
    <n v="0"/>
    <n v="62.096774193548384"/>
    <n v="0"/>
    <n v="0"/>
    <n v="3"/>
    <n v="2"/>
    <n v="4"/>
    <n v="2"/>
    <n v="1"/>
    <n v="4"/>
    <n v="15"/>
    <n v="0.3"/>
    <m/>
    <m/>
    <n v="0.5"/>
    <n v="0.2"/>
    <n v="0"/>
    <n v="56"/>
    <n v="0"/>
    <n v="0"/>
    <n v="56"/>
    <n v="56"/>
    <n v="16.8"/>
    <n v="0"/>
    <n v="0"/>
    <n v="0"/>
    <n v="0"/>
    <n v="0"/>
    <n v="28"/>
    <n v="0"/>
    <n v="11.200000000000001"/>
    <n v="0"/>
    <n v="0"/>
    <n v="0"/>
    <n v="0"/>
    <m/>
    <n v="59.7"/>
    <n v="115.69999999999999"/>
    <s v="TL14"/>
    <s v="ToyoLiToyoLiToyoLiToyoLiToyoLiToyoLiToyoLiToyoLi"/>
    <s v="+"/>
    <s v="+"/>
    <s v="+"/>
    <s v="+"/>
    <s v="+"/>
    <s v="+"/>
    <s v="+"/>
    <s v="+"/>
  </r>
  <r>
    <d v="2026-01-04T00:00:00"/>
    <s v="A"/>
    <x v="14"/>
    <s v="TL15"/>
    <n v="113"/>
    <n v="5800"/>
    <s v="I"/>
    <s v="N"/>
    <n v="1.8"/>
    <s v="BLACK"/>
    <s v="J00950B"/>
    <s v="ToyoLi - BLACK"/>
    <n v="27"/>
    <n v="0"/>
    <m/>
    <m/>
    <n v="0"/>
    <s v="R92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6"/>
    <n v="0"/>
    <n v="3.0684931506849296"/>
    <n v="0"/>
    <s v="REFLEX BLUE"/>
    <s v="J00950B"/>
    <s v="ToyoLi - REFLEX BLUE"/>
    <n v="25"/>
    <n v="0"/>
    <m/>
    <m/>
    <n v="0"/>
    <s v="R1205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3"/>
    <n v="0"/>
    <n v="27.575342465753423"/>
    <n v="0"/>
    <s v="ORANGE"/>
    <m/>
    <s v="ToyoLi - ORANGE"/>
    <m/>
    <n v="0"/>
    <m/>
    <m/>
    <n v="0"/>
    <s v="F53"/>
    <s v="F23T"/>
    <s v="R92"/>
    <m/>
    <m/>
    <m/>
    <m/>
    <m/>
    <n v="15"/>
    <n v="0"/>
    <n v="10"/>
    <n v="0"/>
    <n v="0.2"/>
    <n v="0"/>
    <m/>
    <n v="0"/>
    <m/>
    <n v="0"/>
    <m/>
    <n v="0"/>
    <m/>
    <n v="0"/>
    <m/>
    <n v="0"/>
    <s v="ToyoLi"/>
    <n v="14"/>
    <n v="0"/>
    <n v="21.884931506849313"/>
    <n v="0"/>
    <s v="ORANGE"/>
    <s v="J00950O"/>
    <s v="ToyoLi - ORANGE"/>
    <n v="2"/>
    <n v="0"/>
    <m/>
    <m/>
    <n v="0"/>
    <s v="RTMD"/>
    <s v="F53"/>
    <s v="F32"/>
    <m/>
    <m/>
    <m/>
    <m/>
    <m/>
    <n v="17"/>
    <n v="0"/>
    <n v="3"/>
    <n v="0"/>
    <n v="1"/>
    <n v="0"/>
    <m/>
    <n v="0"/>
    <m/>
    <n v="0"/>
    <m/>
    <n v="0"/>
    <m/>
    <n v="0"/>
    <m/>
    <n v="0"/>
    <s v="ToyoLi"/>
    <n v="33"/>
    <n v="0"/>
    <n v="6.0273972602739718"/>
    <n v="0"/>
    <s v="CYAN"/>
    <s v="J00950C"/>
    <s v="ToyoLi - CYAN"/>
    <n v="27"/>
    <n v="0"/>
    <m/>
    <m/>
    <n v="0"/>
    <s v="R39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5"/>
    <n v="0"/>
    <n v="4.0684931506849296"/>
    <n v="0"/>
    <s v="MAGENTA"/>
    <s v="J00950M"/>
    <s v="ToyoLi - MAGENTA"/>
    <n v="25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2.0684931506849296"/>
    <n v="0"/>
    <s v="YELLOW"/>
    <s v="J00950Y"/>
    <s v="ToyoLi - YELLOW"/>
    <n v="26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5.1369863013698627"/>
    <n v="0"/>
    <s v="WHITE"/>
    <s v="J00950W"/>
    <s v="ToyoLi - WHITE"/>
    <n v="20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15"/>
    <n v="0"/>
    <n v="66.369863013698634"/>
    <n v="0"/>
    <n v="1"/>
    <n v="23"/>
    <n v="10"/>
    <n v="15"/>
    <n v="1"/>
    <n v="1"/>
    <n v="2"/>
    <n v="20"/>
    <n v="0.3"/>
    <m/>
    <m/>
    <n v="0.5"/>
    <n v="0.2"/>
    <n v="0"/>
    <n v="78"/>
    <n v="0"/>
    <n v="0"/>
    <n v="78"/>
    <n v="78"/>
    <n v="23.4"/>
    <n v="0"/>
    <n v="0"/>
    <n v="0"/>
    <n v="0"/>
    <n v="0"/>
    <n v="39"/>
    <n v="0"/>
    <n v="15.600000000000001"/>
    <n v="0"/>
    <n v="0"/>
    <n v="0"/>
    <n v="0"/>
    <m/>
    <n v="93.2"/>
    <n v="136.19999999999999"/>
    <s v="TL15"/>
    <s v="ToyoLiToyoLiToyoLiToyoLiToyoLiToyoLiToyoLiToyoLi"/>
    <s v="+"/>
    <s v="+"/>
    <s v="+"/>
    <s v="+"/>
    <s v="+"/>
    <s v="+"/>
    <s v="+"/>
    <s v="+"/>
  </r>
  <r>
    <d v="2026-01-04T00:00:00"/>
    <s v="A"/>
    <x v="15"/>
    <s v="TL16"/>
    <n v="109"/>
    <n v="5700"/>
    <s v="II"/>
    <s v="N"/>
    <n v="1.8"/>
    <s v="BLACK"/>
    <s v="J00951B"/>
    <s v="ToyoLi - BLACK"/>
    <n v="26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4"/>
    <n v="0"/>
    <n v="5.3653846153846168"/>
    <n v="0"/>
    <s v="REFLEX BLUE"/>
    <s v="P00446B"/>
    <s v="ToyoLi - REFLEX BLUE"/>
    <n v="10"/>
    <n v="0"/>
    <s v="H01300B"/>
    <n v="18"/>
    <n v="0"/>
    <s v="R1205"/>
    <s v="R39"/>
    <s v="Z822"/>
    <m/>
    <m/>
    <m/>
    <m/>
    <m/>
    <n v="20"/>
    <n v="0"/>
    <n v="5"/>
    <n v="0"/>
    <n v="2"/>
    <n v="0"/>
    <m/>
    <n v="0"/>
    <m/>
    <n v="0"/>
    <m/>
    <n v="0"/>
    <m/>
    <n v="0"/>
    <m/>
    <n v="0"/>
    <s v="ToyoLi"/>
    <n v="48"/>
    <n v="0"/>
    <n v="20.65384615384616"/>
    <n v="0"/>
    <s v="REFLEX BLUE"/>
    <s v="J00951B"/>
    <s v="ToyoLi - REFLEX BLUE"/>
    <n v="23"/>
    <n v="0"/>
    <m/>
    <m/>
    <n v="0"/>
    <s v="RTMD"/>
    <s v="R1205"/>
    <s v="R39"/>
    <m/>
    <m/>
    <m/>
    <m/>
    <m/>
    <n v="1"/>
    <n v="0"/>
    <n v="0.5"/>
    <n v="0"/>
    <n v="0.5"/>
    <n v="0"/>
    <m/>
    <n v="0"/>
    <m/>
    <n v="0"/>
    <m/>
    <n v="0"/>
    <m/>
    <n v="0"/>
    <m/>
    <n v="0"/>
    <s v="ToyoLi"/>
    <n v="23"/>
    <n v="0"/>
    <n v="4.7307692307692299"/>
    <n v="0"/>
    <s v="REFLEX BLUE"/>
    <m/>
    <s v="ToyoLi - REFLEX BLUE"/>
    <m/>
    <n v="0"/>
    <m/>
    <m/>
    <n v="0"/>
    <s v="RTMD"/>
    <s v="R1205"/>
    <s v="R39"/>
    <m/>
    <m/>
    <m/>
    <m/>
    <m/>
    <n v="15"/>
    <n v="0"/>
    <n v="2"/>
    <n v="0"/>
    <n v="1"/>
    <n v="0"/>
    <m/>
    <n v="0"/>
    <m/>
    <n v="0"/>
    <m/>
    <n v="0"/>
    <m/>
    <n v="0"/>
    <m/>
    <n v="0"/>
    <s v="ToyoLi"/>
    <n v="27"/>
    <n v="0"/>
    <n v="7.3846153846153868"/>
    <n v="0"/>
    <s v="CYAN"/>
    <s v="J00951C"/>
    <s v="ToyoLi - CYAN"/>
    <n v="25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3.7307692307692299"/>
    <n v="0"/>
    <s v="MAGENTA"/>
    <s v="J00951M"/>
    <s v="ToyoLi - MAGENTA"/>
    <n v="26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0"/>
    <n v="4.7307692307692299"/>
    <n v="0"/>
    <s v="YELLOW"/>
    <s v="J00951Y"/>
    <s v="ToyoLi - YELLOW"/>
    <n v="25"/>
    <n v="0"/>
    <m/>
    <m/>
    <n v="0"/>
    <s v="F23T"/>
    <s v="RTMD"/>
    <m/>
    <m/>
    <m/>
    <m/>
    <m/>
    <m/>
    <n v="5"/>
    <n v="0"/>
    <n v="2"/>
    <n v="0"/>
    <m/>
    <n v="0"/>
    <m/>
    <n v="0"/>
    <m/>
    <n v="0"/>
    <m/>
    <n v="0"/>
    <m/>
    <n v="0"/>
    <m/>
    <n v="0"/>
    <s v="ToyoLi"/>
    <n v="30"/>
    <n v="0"/>
    <n v="6.0961538461538467"/>
    <n v="0"/>
    <s v="WHITE"/>
    <s v="J00951W"/>
    <s v="ToyoLi - WHITE"/>
    <n v="15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20"/>
    <n v="0"/>
    <n v="62.307692307692307"/>
    <n v="0"/>
    <n v="1"/>
    <n v="10"/>
    <n v="2"/>
    <n v="12"/>
    <n v="2"/>
    <n v="2"/>
    <n v="3"/>
    <n v="20"/>
    <n v="0.3"/>
    <m/>
    <m/>
    <n v="0.5"/>
    <n v="0.2"/>
    <n v="0"/>
    <n v="71"/>
    <n v="0"/>
    <n v="0"/>
    <n v="71"/>
    <n v="71"/>
    <n v="21.3"/>
    <n v="0"/>
    <n v="0"/>
    <n v="0"/>
    <n v="0"/>
    <n v="0"/>
    <n v="35.5"/>
    <n v="0"/>
    <n v="14.200000000000001"/>
    <n v="0"/>
    <n v="0"/>
    <n v="0"/>
    <n v="0"/>
    <m/>
    <n v="98"/>
    <n v="115"/>
    <s v="TL16"/>
    <s v="ToyoLiToyoLiToyoLiToyoLiToyoLiToyoLiToyoLiToyoLi"/>
    <s v="+"/>
    <s v="+"/>
    <s v="+"/>
    <s v="+"/>
    <s v="+"/>
    <s v="+"/>
    <s v="+"/>
    <s v="+"/>
  </r>
  <r>
    <d v="2026-01-04T00:00:00"/>
    <s v="A"/>
    <x v="16"/>
    <s v="TL17"/>
    <n v="111"/>
    <n v="5700"/>
    <s v="I"/>
    <s v="N"/>
    <n v="1.8"/>
    <s v="BLACK"/>
    <s v="J00952B"/>
    <s v="ToyoLi - BLACK"/>
    <n v="24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5"/>
    <n v="0"/>
    <s v="REFLEX BLUE"/>
    <s v="J00952B"/>
    <s v="ToyoLi - REFLEX BLUE"/>
    <n v="23"/>
    <n v="0"/>
    <m/>
    <m/>
    <n v="0"/>
    <s v="R1205"/>
    <s v="R92"/>
    <s v="F23T"/>
    <m/>
    <m/>
    <m/>
    <m/>
    <m/>
    <n v="5"/>
    <n v="0"/>
    <n v="0.2"/>
    <n v="0"/>
    <n v="0.1"/>
    <n v="0"/>
    <m/>
    <n v="0"/>
    <m/>
    <n v="0"/>
    <m/>
    <n v="0"/>
    <m/>
    <n v="0"/>
    <m/>
    <n v="0"/>
    <s v="ToyoLi"/>
    <n v="20"/>
    <n v="0"/>
    <n v="12.299999999999997"/>
    <n v="0"/>
    <s v="GREEN"/>
    <s v="H01300G"/>
    <s v="ToyoLi - GREEN"/>
    <n v="18"/>
    <n v="0"/>
    <s v="N00706G"/>
    <n v="14"/>
    <n v="0"/>
    <s v="F23T"/>
    <s v="R79"/>
    <m/>
    <m/>
    <m/>
    <m/>
    <m/>
    <m/>
    <n v="5"/>
    <n v="0"/>
    <n v="5"/>
    <n v="0"/>
    <m/>
    <n v="0"/>
    <m/>
    <n v="0"/>
    <m/>
    <n v="0"/>
    <m/>
    <n v="0"/>
    <m/>
    <n v="0"/>
    <m/>
    <n v="0"/>
    <s v="ToyoLi"/>
    <n v="24"/>
    <n v="0"/>
    <n v="22"/>
    <n v="0"/>
    <s v="GREEN"/>
    <s v="J00750G"/>
    <s v="ToyoLi - GREEN"/>
    <n v="10"/>
    <n v="0"/>
    <m/>
    <m/>
    <n v="0"/>
    <s v="R79"/>
    <s v="F23T"/>
    <m/>
    <m/>
    <m/>
    <m/>
    <m/>
    <m/>
    <n v="7"/>
    <n v="0"/>
    <n v="6"/>
    <n v="0"/>
    <m/>
    <n v="0"/>
    <m/>
    <n v="0"/>
    <m/>
    <n v="0"/>
    <m/>
    <n v="0"/>
    <m/>
    <n v="0"/>
    <m/>
    <n v="0"/>
    <s v="ToyoLi"/>
    <n v="25"/>
    <n v="0"/>
    <n v="8"/>
    <n v="0"/>
    <s v="CYAN"/>
    <s v="J00952C"/>
    <s v="ToyoLi - CYAN"/>
    <n v="26"/>
    <n v="0"/>
    <m/>
    <m/>
    <n v="0"/>
    <s v="R39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7"/>
    <n v="0"/>
    <n v="4"/>
    <n v="0"/>
    <s v="MAGENTA"/>
    <s v="J00952M"/>
    <s v="ToyoLi - MAGENTA"/>
    <n v="24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0"/>
    <n v="5"/>
    <n v="0"/>
    <s v="YELLOW"/>
    <s v="J00952Y"/>
    <s v="ToyoLi - YELLOW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0"/>
    <n v="6"/>
    <n v="0"/>
    <s v="WHITE"/>
    <s v="J00952W"/>
    <s v="ToyoLi - WHITE"/>
    <n v="20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20"/>
    <n v="0"/>
    <n v="76"/>
    <n v="0"/>
    <n v="2"/>
    <n v="2"/>
    <n v="2"/>
    <n v="5"/>
    <n v="2"/>
    <n v="3"/>
    <n v="2"/>
    <n v="18"/>
    <n v="0.3"/>
    <m/>
    <m/>
    <n v="0.5"/>
    <n v="0.2"/>
    <n v="0"/>
    <n v="72"/>
    <n v="0"/>
    <n v="0"/>
    <n v="72"/>
    <n v="72"/>
    <n v="21.599999999999998"/>
    <n v="0"/>
    <n v="0"/>
    <n v="0"/>
    <n v="0"/>
    <n v="0"/>
    <n v="36"/>
    <n v="0"/>
    <n v="14.4"/>
    <n v="0"/>
    <n v="0"/>
    <n v="0"/>
    <n v="0"/>
    <m/>
    <n v="71.3"/>
    <n v="138.30000000000001"/>
    <s v="TL17"/>
    <s v="ToyoLiToyoLiToyoLiToyoLiToyoLiToyoLiToyoLiToyoLi"/>
    <s v="+"/>
    <s v="+"/>
    <s v="+"/>
    <s v="+"/>
    <s v="+"/>
    <s v="+"/>
    <s v="+"/>
    <s v="+"/>
  </r>
  <r>
    <d v="2026-01-04T00:00:00"/>
    <s v="A"/>
    <x v="17"/>
    <s v="TL18"/>
    <n v="82"/>
    <n v="4200"/>
    <s v="I"/>
    <s v="N"/>
    <n v="1.7"/>
    <s v="BLACK"/>
    <s v="J00953B"/>
    <s v="ToyoLi - BLACK"/>
    <n v="25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2.4651162790697683"/>
    <n v="0"/>
    <s v="RED"/>
    <m/>
    <s v="ToyoLi - RED"/>
    <m/>
    <n v="0"/>
    <m/>
    <m/>
    <n v="0"/>
    <s v="F121"/>
    <s v="F53"/>
    <s v="R92"/>
    <s v="F23T"/>
    <m/>
    <m/>
    <m/>
    <m/>
    <n v="4"/>
    <n v="0"/>
    <n v="4"/>
    <n v="0"/>
    <n v="0.5"/>
    <n v="0"/>
    <n v="6"/>
    <n v="0"/>
    <m/>
    <n v="0"/>
    <m/>
    <n v="0"/>
    <m/>
    <n v="0"/>
    <m/>
    <n v="0"/>
    <s v="ToyoLi"/>
    <n v="20"/>
    <n v="0"/>
    <n v="6.8255813953488378"/>
    <n v="0"/>
    <s v="CYAN"/>
    <s v="J00953C"/>
    <s v="ToyoLi - CYAN"/>
    <n v="27"/>
    <n v="0"/>
    <m/>
    <m/>
    <n v="0"/>
    <s v="RTMD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9"/>
    <n v="0"/>
    <n v="3.4651162790697683"/>
    <n v="0"/>
    <s v="MAGENTA"/>
    <s v="J00953M"/>
    <s v="ToyoLi - MAGENTA"/>
    <n v="25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3"/>
    <n v="0"/>
    <n v="2"/>
    <n v="0"/>
    <s v="YELLOW"/>
    <s v="J00953Y"/>
    <s v="ToyoLi - YELLOW"/>
    <n v="28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4.4651162790697683"/>
    <n v="0"/>
    <s v="MEDIUM"/>
    <m/>
    <s v="ToyoLi - MEDIUM"/>
    <m/>
    <n v="0"/>
    <m/>
    <m/>
    <n v="0"/>
    <s v="F640"/>
    <s v="RTMD"/>
    <s v="F23T"/>
    <s v="F53"/>
    <m/>
    <m/>
    <m/>
    <m/>
    <n v="10"/>
    <n v="0"/>
    <n v="6"/>
    <n v="0"/>
    <n v="0.2"/>
    <n v="0"/>
    <n v="0.1"/>
    <n v="0"/>
    <m/>
    <n v="0"/>
    <m/>
    <n v="0"/>
    <m/>
    <n v="0"/>
    <m/>
    <n v="0"/>
    <s v="ToyoLi"/>
    <n v="22"/>
    <n v="0"/>
    <n v="9.0906976744186068"/>
    <n v="0"/>
    <s v="WHITE"/>
    <s v="J00983W"/>
    <s v="ToyoLi - WHITE"/>
    <n v="20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20"/>
    <n v="0"/>
    <n v="48.48837209302325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2"/>
    <n v="0"/>
    <n v="2"/>
    <n v="12"/>
    <n v="15"/>
    <n v="0"/>
    <n v="0.3"/>
    <m/>
    <m/>
    <n v="0.5"/>
    <n v="0.2"/>
    <n v="0"/>
    <n v="53"/>
    <n v="0"/>
    <n v="0"/>
    <n v="53"/>
    <n v="53"/>
    <n v="15.899999999999999"/>
    <n v="0"/>
    <n v="0"/>
    <n v="0"/>
    <n v="0"/>
    <n v="0"/>
    <n v="26.5"/>
    <n v="0"/>
    <n v="10.600000000000001"/>
    <n v="0"/>
    <n v="0"/>
    <n v="0"/>
    <n v="0"/>
    <m/>
    <n v="67.800000000000011"/>
    <n v="76.800000000000011"/>
    <s v="TL18"/>
    <s v="ToyoLiToyoLiToyoLiToyoLiToyoLiToyoLiToyoLi"/>
    <s v="+"/>
    <s v="+"/>
    <s v="+"/>
    <s v="+"/>
    <s v="+"/>
    <s v="+"/>
    <s v="+"/>
    <s v="NIL"/>
  </r>
  <r>
    <d v="2026-01-04T00:00:00"/>
    <s v="A"/>
    <x v="18"/>
    <s v="TL19"/>
    <n v="36"/>
    <n v="1700"/>
    <s v="I"/>
    <s v="N"/>
    <n v="0.5"/>
    <s v="BLACK"/>
    <s v="J00954B"/>
    <s v="ToyoLi - BLACK"/>
    <n v="27"/>
    <n v="0"/>
    <m/>
    <m/>
    <n v="0"/>
    <s v="R92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4"/>
    <n v="0"/>
    <n v="19"/>
    <n v="0"/>
    <s v="CYAN"/>
    <s v="J00954C"/>
    <s v="ToyoLi - CYAN"/>
    <n v="29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2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0"/>
    <n v="0"/>
    <n v="0"/>
    <n v="0"/>
    <n v="0"/>
    <n v="0"/>
    <n v="0.3"/>
    <m/>
    <m/>
    <n v="0.5"/>
    <n v="0.2"/>
    <n v="0"/>
    <n v="30"/>
    <n v="0"/>
    <n v="0"/>
    <n v="30"/>
    <n v="30"/>
    <n v="9"/>
    <n v="0"/>
    <n v="0"/>
    <n v="0"/>
    <n v="0"/>
    <n v="0"/>
    <n v="15"/>
    <n v="0"/>
    <n v="6"/>
    <n v="0"/>
    <n v="0"/>
    <n v="0"/>
    <n v="0"/>
    <m/>
    <n v="3"/>
    <n v="40"/>
    <s v="TL19"/>
    <s v="ToyoLiToyoLi"/>
    <s v="+"/>
    <s v="+"/>
    <s v="NIL"/>
    <s v="NIL"/>
    <s v="NIL"/>
    <s v="NIL"/>
    <s v="NIL"/>
    <s v="NIL"/>
  </r>
  <r>
    <d v="2026-01-04T00:00:00"/>
    <s v="A"/>
    <x v="19"/>
    <s v="TL20"/>
    <n v="72"/>
    <n v="3400"/>
    <s v="I"/>
    <s v="N"/>
    <n v="0.5"/>
    <s v="BLACK"/>
    <s v="C01392B"/>
    <s v="ToyoLi - BLACK"/>
    <n v="24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3"/>
    <n v="0"/>
    <n v="10.5"/>
    <n v="0"/>
    <s v="YELLOW"/>
    <s v="J00954Y"/>
    <s v="ToyoLi - YELLOW"/>
    <n v="28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4"/>
    <n v="0"/>
    <n v="31.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n v="3"/>
    <n v="0"/>
    <n v="0"/>
    <n v="0"/>
    <n v="0"/>
    <n v="0"/>
    <n v="0"/>
    <n v="0.3"/>
    <m/>
    <m/>
    <n v="0.5"/>
    <n v="0.2"/>
    <n v="0"/>
    <n v="30"/>
    <n v="0"/>
    <n v="0"/>
    <n v="30"/>
    <n v="30"/>
    <n v="9"/>
    <n v="0"/>
    <n v="0"/>
    <n v="0"/>
    <n v="0"/>
    <n v="0"/>
    <n v="15"/>
    <n v="0"/>
    <n v="6"/>
    <n v="0"/>
    <n v="0"/>
    <n v="0"/>
    <n v="0"/>
    <m/>
    <n v="7"/>
    <n v="42"/>
    <s v="TL20"/>
    <s v="ToyoLiToyoLi"/>
    <s v="+"/>
    <s v="+"/>
    <s v="NIL"/>
    <s v="NIL"/>
    <s v="NIL"/>
    <s v="NIL"/>
    <s v="NIL"/>
    <s v="NIL"/>
  </r>
  <r>
    <d v="2026-01-04T00:00:00"/>
    <s v="A"/>
    <x v="20"/>
    <s v="TL21"/>
    <n v="138"/>
    <n v="8800"/>
    <s v="I"/>
    <s v="N"/>
    <n v="1.1000000000000001"/>
    <s v="BLACK"/>
    <s v="C01390B"/>
    <s v="ToyoLi - BLACK"/>
    <n v="23"/>
    <n v="0"/>
    <m/>
    <m/>
    <n v="0"/>
    <s v="RTMD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6"/>
    <n v="0"/>
    <n v="3.3658536585365866"/>
    <n v="0"/>
    <s v="REFLEX BLUE"/>
    <s v="J00952B"/>
    <s v="ToyoLi - REFLEX BLUE"/>
    <n v="11"/>
    <n v="0"/>
    <m/>
    <m/>
    <n v="0"/>
    <s v="R1205"/>
    <s v="R39"/>
    <m/>
    <m/>
    <m/>
    <m/>
    <m/>
    <m/>
    <n v="10"/>
    <n v="0"/>
    <n v="4"/>
    <n v="0"/>
    <m/>
    <n v="0"/>
    <m/>
    <n v="0"/>
    <m/>
    <n v="0"/>
    <m/>
    <n v="0"/>
    <m/>
    <n v="0"/>
    <m/>
    <n v="0"/>
    <s v="ToyoLi"/>
    <n v="28"/>
    <n v="0"/>
    <n v="10.463414634146346"/>
    <n v="0"/>
    <s v="RED"/>
    <s v="J00954R"/>
    <s v="ToyoLi - RED"/>
    <n v="20"/>
    <n v="0"/>
    <m/>
    <m/>
    <n v="0"/>
    <s v="F32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7"/>
    <n v="0"/>
    <n v="4.0487804878048763"/>
    <n v="0"/>
    <s v="GREEN"/>
    <m/>
    <s v="ToyoLi - GREEN"/>
    <m/>
    <n v="0"/>
    <m/>
    <m/>
    <n v="0"/>
    <s v="F23T"/>
    <s v="R79"/>
    <m/>
    <m/>
    <m/>
    <m/>
    <m/>
    <m/>
    <n v="15"/>
    <n v="0"/>
    <n v="3"/>
    <n v="0"/>
    <m/>
    <n v="0"/>
    <m/>
    <n v="0"/>
    <m/>
    <n v="0"/>
    <m/>
    <n v="0"/>
    <m/>
    <n v="0"/>
    <m/>
    <n v="0"/>
    <s v="ToyoLi"/>
    <n v="25"/>
    <n v="0"/>
    <n v="6.4634146341463428"/>
    <n v="0"/>
    <s v="CYAN"/>
    <s v="C01392C"/>
    <s v="ToyoLi - CYAN"/>
    <n v="25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4.0487804878048763"/>
    <n v="0"/>
    <s v="MAGENTA"/>
    <s v="J00954M"/>
    <s v="ToyoLi - MAGENTA"/>
    <n v="23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3.3658536585365866"/>
    <n v="0"/>
    <s v="YELLOW"/>
    <s v="C01390Y"/>
    <s v="ToyoLi - YELLOW"/>
    <n v="24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2"/>
    <n v="0"/>
    <n v="5.4146341463414629"/>
    <n v="0"/>
    <s v="WHITE"/>
    <s v="J00954W"/>
    <s v="ToyoLi - WHITE"/>
    <n v="20"/>
    <n v="0"/>
    <m/>
    <m/>
    <n v="0"/>
    <s v="F640"/>
    <s v="HSLAS"/>
    <m/>
    <m/>
    <m/>
    <m/>
    <m/>
    <m/>
    <n v="20"/>
    <n v="0"/>
    <n v="4.29"/>
    <n v="0"/>
    <m/>
    <n v="0"/>
    <m/>
    <n v="0"/>
    <m/>
    <n v="0"/>
    <m/>
    <n v="0"/>
    <m/>
    <n v="0"/>
    <m/>
    <n v="0"/>
    <s v="ToyoLi"/>
    <n v="20"/>
    <n v="0"/>
    <n v="41.119268292682925"/>
    <n v="0"/>
    <n v="2"/>
    <n v="8"/>
    <n v="3"/>
    <n v="8"/>
    <n v="3"/>
    <n v="2"/>
    <n v="5"/>
    <n v="10"/>
    <n v="0.3"/>
    <m/>
    <m/>
    <n v="0.5"/>
    <n v="0.2"/>
    <n v="0"/>
    <n v="69"/>
    <n v="0"/>
    <n v="0"/>
    <n v="69"/>
    <n v="69"/>
    <n v="20.7"/>
    <n v="0"/>
    <n v="0"/>
    <n v="0"/>
    <n v="0"/>
    <n v="0"/>
    <n v="34.5"/>
    <n v="0"/>
    <n v="13.8"/>
    <n v="0"/>
    <n v="0"/>
    <n v="0"/>
    <n v="0"/>
    <m/>
    <n v="74.290000000000006"/>
    <n v="78.289999999999992"/>
    <s v="TL21"/>
    <s v="ToyoLiToyoLiToyoLiToyoLiToyoLiToyoLiToyoLiToyoLi"/>
    <s v="+"/>
    <s v="+"/>
    <s v="+"/>
    <s v="+"/>
    <s v="+"/>
    <s v="+"/>
    <s v="+"/>
    <s v="+"/>
  </r>
  <r>
    <d v="2026-01-04T00:00:00"/>
    <s v="B"/>
    <x v="21"/>
    <s v="TL22"/>
    <n v="379"/>
    <n v="26200"/>
    <s v="I"/>
    <s v="N"/>
    <n v="1.32"/>
    <s v="BLACK"/>
    <s v="B01043B"/>
    <s v="ToyoLi - BLACK"/>
    <n v="26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7"/>
    <n v="0"/>
    <n v="7.8965517241379288"/>
    <n v="0"/>
    <s v="REFLEX BLUE"/>
    <s v="B01043B"/>
    <s v="ToyoLi - REFLEX BLUE"/>
    <n v="10"/>
    <n v="0"/>
    <m/>
    <m/>
    <n v="0"/>
    <s v="Z822"/>
    <s v="F121"/>
    <s v="R1205"/>
    <m/>
    <m/>
    <m/>
    <m/>
    <m/>
    <n v="9"/>
    <n v="0"/>
    <n v="7"/>
    <n v="0"/>
    <n v="2"/>
    <n v="0"/>
    <m/>
    <n v="0"/>
    <m/>
    <n v="0"/>
    <m/>
    <n v="0"/>
    <m/>
    <n v="0"/>
    <m/>
    <n v="0"/>
    <s v="ToyoLi"/>
    <n v="24"/>
    <n v="0"/>
    <n v="24.637931034482762"/>
    <n v="0"/>
    <s v="CYAN"/>
    <s v="B01043C"/>
    <s v="ToyoLi - CYAN"/>
    <n v="28"/>
    <n v="0"/>
    <m/>
    <m/>
    <n v="0"/>
    <s v="R39"/>
    <s v="RTMD"/>
    <m/>
    <m/>
    <m/>
    <m/>
    <m/>
    <m/>
    <n v="3"/>
    <n v="0"/>
    <n v="4"/>
    <n v="0"/>
    <m/>
    <n v="0"/>
    <m/>
    <n v="0"/>
    <m/>
    <n v="0"/>
    <m/>
    <n v="0"/>
    <m/>
    <n v="0"/>
    <m/>
    <n v="0"/>
    <s v="ToyoLi"/>
    <n v="30"/>
    <n v="0"/>
    <n v="16.793103448275858"/>
    <n v="0"/>
    <s v="MAGENTA"/>
    <s v="B01043M"/>
    <s v="ToyoLi - MAGENTA"/>
    <n v="25"/>
    <n v="0"/>
    <m/>
    <m/>
    <n v="0"/>
    <s v="F121"/>
    <s v="RTMD"/>
    <m/>
    <m/>
    <m/>
    <m/>
    <m/>
    <m/>
    <n v="5"/>
    <n v="0"/>
    <n v="4"/>
    <n v="0"/>
    <m/>
    <n v="0"/>
    <m/>
    <n v="0"/>
    <m/>
    <n v="0"/>
    <m/>
    <n v="0"/>
    <m/>
    <n v="0"/>
    <m/>
    <n v="0"/>
    <s v="ToyoLi"/>
    <n v="28"/>
    <n v="0"/>
    <n v="20.741379310344826"/>
    <n v="0"/>
    <s v="YELLOW"/>
    <s v="B01043U"/>
    <s v="ToyoLi - YELLOW"/>
    <n v="32"/>
    <n v="0"/>
    <m/>
    <m/>
    <n v="0"/>
    <s v="F23T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6"/>
    <n v="0"/>
    <n v="26.741379310344826"/>
    <n v="0"/>
    <s v="GOLD"/>
    <s v="H01203G"/>
    <s v="INK PRODUCT - GOLD"/>
    <n v="36"/>
    <n v="0"/>
    <m/>
    <m/>
    <n v="0"/>
    <n v="70271"/>
    <n v="165"/>
    <m/>
    <m/>
    <m/>
    <m/>
    <m/>
    <m/>
    <n v="60"/>
    <n v="0"/>
    <n v="2.34"/>
    <n v="0"/>
    <m/>
    <n v="0"/>
    <m/>
    <n v="0"/>
    <m/>
    <n v="0"/>
    <m/>
    <n v="0"/>
    <m/>
    <n v="0"/>
    <m/>
    <n v="0"/>
    <s v="INK PRODUCT"/>
    <n v="30"/>
    <n v="0"/>
    <n v="112.56413793103448"/>
    <n v="0"/>
    <s v="WHITE"/>
    <s v="B01043W"/>
    <s v="ToyoLi - WHITE"/>
    <n v="20"/>
    <n v="0"/>
    <m/>
    <m/>
    <n v="0"/>
    <s v="F640"/>
    <s v="HSLAS"/>
    <m/>
    <m/>
    <m/>
    <m/>
    <m/>
    <m/>
    <n v="40"/>
    <n v="0"/>
    <n v="4.5999999999999996"/>
    <n v="0"/>
    <m/>
    <n v="0"/>
    <m/>
    <n v="0"/>
    <m/>
    <n v="0"/>
    <m/>
    <n v="0"/>
    <m/>
    <n v="0"/>
    <m/>
    <n v="0"/>
    <s v="ToyoLi"/>
    <n v="25"/>
    <n v="0"/>
    <n v="98.56551724137931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7"/>
    <n v="4"/>
    <n v="5"/>
    <n v="5"/>
    <n v="15"/>
    <n v="20"/>
    <n v="0"/>
    <n v="0.3"/>
    <m/>
    <m/>
    <n v="0.5"/>
    <n v="0.2"/>
    <n v="0"/>
    <n v="171"/>
    <n v="0"/>
    <n v="0"/>
    <n v="171"/>
    <n v="171"/>
    <n v="51.3"/>
    <n v="0"/>
    <n v="0"/>
    <n v="0"/>
    <n v="0"/>
    <n v="0"/>
    <n v="85.5"/>
    <n v="0"/>
    <n v="34.200000000000003"/>
    <n v="0"/>
    <n v="0"/>
    <n v="0"/>
    <n v="0"/>
    <m/>
    <n v="149.94"/>
    <n v="307.94"/>
    <s v="TL22"/>
    <s v="ToyoLiToyoLiToyoLiToyoLiToyoLiINK PRODUCTToyoLi"/>
    <s v="+"/>
    <s v="+"/>
    <s v="+"/>
    <s v="+"/>
    <s v="+"/>
    <s v="+"/>
    <s v="+"/>
    <s v="NIL"/>
  </r>
  <r>
    <d v="2026-01-04T00:00:00"/>
    <s v="B"/>
    <x v="22"/>
    <s v="TL22"/>
    <n v="84"/>
    <n v="4500"/>
    <s v="I"/>
    <s v="N"/>
    <n v="1.25"/>
    <s v="BLACK"/>
    <s v="F00834B"/>
    <s v="ToyoLi - BLACK"/>
    <n v="27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4.5862068965517224"/>
    <n v="0"/>
    <s v="REFLEX BLUE"/>
    <s v="R00009RB"/>
    <s v="ToyoLi - REFLEX BLUE"/>
    <n v="15"/>
    <n v="0"/>
    <m/>
    <m/>
    <n v="0"/>
    <s v="F121"/>
    <s v="R1205"/>
    <s v="R92"/>
    <m/>
    <m/>
    <m/>
    <m/>
    <m/>
    <n v="10"/>
    <n v="0"/>
    <n v="3"/>
    <n v="0"/>
    <n v="1"/>
    <n v="0"/>
    <m/>
    <n v="0"/>
    <m/>
    <n v="0"/>
    <m/>
    <n v="0"/>
    <m/>
    <n v="0"/>
    <m/>
    <n v="0"/>
    <s v="ToyoLi"/>
    <n v="20"/>
    <n v="0"/>
    <n v="16.931034482758619"/>
    <n v="0"/>
    <s v="RED"/>
    <s v="B01043R"/>
    <s v="ToyoLi - RED"/>
    <n v="27"/>
    <n v="0"/>
    <m/>
    <m/>
    <n v="0"/>
    <s v="F32"/>
    <s v="F53"/>
    <m/>
    <m/>
    <m/>
    <m/>
    <m/>
    <m/>
    <n v="3"/>
    <n v="0"/>
    <n v="3"/>
    <n v="0"/>
    <m/>
    <n v="0"/>
    <m/>
    <n v="0"/>
    <m/>
    <n v="0"/>
    <m/>
    <n v="0"/>
    <m/>
    <n v="0"/>
    <m/>
    <n v="0"/>
    <s v="ToyoLi"/>
    <n v="33"/>
    <n v="0"/>
    <n v="7.9310344827586192"/>
    <n v="0"/>
    <s v="CYAN"/>
    <s v="F00834C"/>
    <s v="ToyoLi - CYAN"/>
    <n v="30"/>
    <n v="0"/>
    <m/>
    <m/>
    <n v="0"/>
    <s v="R39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30"/>
    <n v="0"/>
    <n v="4.1724137931034448"/>
    <n v="0"/>
    <s v="MAGENTA"/>
    <s v="F00834M"/>
    <s v="ToyoLi - MAGENTA"/>
    <n v="28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5.1724137931034448"/>
    <n v="0"/>
    <s v="YELLOW"/>
    <s v="F00834Y"/>
    <s v="ToyoLi - YELLOW"/>
    <n v="26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3.1724137931034484"/>
    <n v="0"/>
    <s v="GOLD"/>
    <s v="F00848G"/>
    <s v="ToyoLi - GOLD"/>
    <n v="20"/>
    <n v="0"/>
    <m/>
    <m/>
    <n v="0"/>
    <s v="TLSI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0"/>
    <n v="0"/>
    <n v="5.1724137931034484"/>
    <n v="0"/>
    <s v="WHITE"/>
    <s v="F00834W"/>
    <s v="ToyoLi - WHITE"/>
    <n v="25"/>
    <n v="0"/>
    <m/>
    <m/>
    <n v="0"/>
    <s v="F640"/>
    <m/>
    <m/>
    <m/>
    <m/>
    <m/>
    <m/>
    <m/>
    <n v="20"/>
    <n v="0"/>
    <m/>
    <n v="0"/>
    <m/>
    <n v="0"/>
    <m/>
    <n v="0"/>
    <m/>
    <n v="0"/>
    <m/>
    <n v="0"/>
    <m/>
    <n v="0"/>
    <m/>
    <n v="0"/>
    <s v="ToyoLi"/>
    <n v="30"/>
    <n v="0"/>
    <n v="30.862068965517238"/>
    <n v="0"/>
    <n v="1"/>
    <n v="5"/>
    <n v="5"/>
    <n v="2"/>
    <n v="2"/>
    <n v="2"/>
    <n v="2"/>
    <n v="10"/>
    <n v="0.3"/>
    <m/>
    <m/>
    <n v="0.5"/>
    <n v="0.2"/>
    <n v="0"/>
    <n v="46"/>
    <n v="0"/>
    <n v="0"/>
    <n v="46"/>
    <n v="46"/>
    <n v="13.799999999999999"/>
    <n v="0"/>
    <n v="0"/>
    <n v="0"/>
    <n v="0"/>
    <n v="0"/>
    <n v="23"/>
    <n v="0"/>
    <n v="9.2000000000000011"/>
    <n v="0"/>
    <n v="0"/>
    <n v="0"/>
    <n v="0"/>
    <m/>
    <n v="49"/>
    <n v="77.999999999999986"/>
    <s v="TL22"/>
    <s v="ToyoLiToyoLiToyoLiToyoLiToyoLiToyoLiToyoLiToyoLi"/>
    <s v="+"/>
    <s v="+"/>
    <s v="+"/>
    <s v="+"/>
    <s v="+"/>
    <s v="+"/>
    <s v="+"/>
    <s v="+"/>
  </r>
  <r>
    <d v="2026-01-04T00:00:00"/>
    <s v="B"/>
    <x v="23"/>
    <s v="TL23"/>
    <n v="161"/>
    <n v="8600"/>
    <s v="I"/>
    <s v="N"/>
    <n v="1.99"/>
    <s v="BLACK"/>
    <s v="F00851B"/>
    <s v="ToyoLi - BLACK"/>
    <n v="26"/>
    <n v="0"/>
    <m/>
    <m/>
    <n v="0"/>
    <s v="R92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33"/>
    <n v="0"/>
    <n v="7.8043478260869534"/>
    <n v="0"/>
    <s v="CYAN"/>
    <s v="F00851C"/>
    <s v="ToyoLi - CYAN"/>
    <n v="30"/>
    <n v="0"/>
    <m/>
    <m/>
    <n v="0"/>
    <s v="R39"/>
    <s v="RTMD"/>
    <m/>
    <m/>
    <m/>
    <m/>
    <m/>
    <m/>
    <n v="6"/>
    <n v="0"/>
    <n v="4"/>
    <n v="0"/>
    <m/>
    <n v="0"/>
    <m/>
    <n v="0"/>
    <m/>
    <n v="0"/>
    <m/>
    <n v="0"/>
    <m/>
    <n v="0"/>
    <m/>
    <n v="0"/>
    <s v="ToyoLi"/>
    <n v="40"/>
    <n v="0"/>
    <n v="8.8043478260869534"/>
    <n v="0"/>
    <s v="MAGENTA"/>
    <s v="F00851M"/>
    <s v="ToyoLi - MAGENTA"/>
    <n v="28"/>
    <n v="0"/>
    <m/>
    <m/>
    <n v="0"/>
    <s v="F121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30"/>
    <n v="0"/>
    <n v="9.0434782608695627"/>
    <n v="0"/>
    <s v="YELLOW"/>
    <s v="F00851Y"/>
    <s v="ToyoLi - YELLOW"/>
    <n v="28"/>
    <n v="0"/>
    <m/>
    <m/>
    <n v="0"/>
    <s v="F23T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7"/>
    <n v="0"/>
    <n v="8.5217391304347814"/>
    <n v="0"/>
    <s v="GREEN"/>
    <m/>
    <s v="ToyoLi - GREEN"/>
    <m/>
    <n v="0"/>
    <m/>
    <m/>
    <n v="0"/>
    <s v="F23T"/>
    <s v="R79"/>
    <s v="R39"/>
    <m/>
    <m/>
    <m/>
    <m/>
    <m/>
    <n v="33"/>
    <n v="0"/>
    <n v="2"/>
    <n v="0"/>
    <n v="0.5"/>
    <n v="0"/>
    <m/>
    <n v="0"/>
    <m/>
    <n v="0"/>
    <m/>
    <n v="0"/>
    <m/>
    <n v="0"/>
    <m/>
    <n v="0"/>
    <s v="ToyoLi"/>
    <n v="34"/>
    <n v="0"/>
    <n v="19.108695652173914"/>
    <n v="0"/>
    <s v="WHITE"/>
    <s v="F00851W"/>
    <s v="ToyoLi - WHITE"/>
    <n v="30"/>
    <n v="0"/>
    <m/>
    <m/>
    <n v="0"/>
    <s v="F640"/>
    <s v="HSLAS"/>
    <m/>
    <m/>
    <m/>
    <m/>
    <m/>
    <m/>
    <n v="40"/>
    <n v="0"/>
    <n v="5.0999999999999996"/>
    <n v="0"/>
    <m/>
    <n v="0"/>
    <m/>
    <n v="0"/>
    <m/>
    <n v="0"/>
    <m/>
    <n v="0"/>
    <m/>
    <n v="0"/>
    <m/>
    <n v="0"/>
    <s v="ToyoLi"/>
    <n v="25"/>
    <n v="0"/>
    <n v="85.31739130434782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4"/>
    <n v="2"/>
    <n v="10"/>
    <n v="20"/>
    <n v="0"/>
    <n v="0"/>
    <n v="0.3"/>
    <m/>
    <m/>
    <n v="0.5"/>
    <n v="0.2"/>
    <n v="0"/>
    <n v="81"/>
    <n v="0"/>
    <n v="0"/>
    <n v="81"/>
    <n v="81"/>
    <n v="24.3"/>
    <n v="0"/>
    <n v="0"/>
    <n v="0"/>
    <n v="0"/>
    <n v="0"/>
    <n v="40.5"/>
    <n v="0"/>
    <n v="16.2"/>
    <n v="0"/>
    <n v="0"/>
    <n v="0"/>
    <n v="0"/>
    <m/>
    <n v="104.6"/>
    <n v="138.6"/>
    <s v="TL23"/>
    <s v="ToyoLiToyoLiToyoLiToyoLiToyoLiToyoLi"/>
    <s v="+"/>
    <s v="+"/>
    <s v="+"/>
    <s v="+"/>
    <s v="+"/>
    <s v="+"/>
    <s v="NIL"/>
    <s v="NIL"/>
  </r>
  <r>
    <d v="2026-01-05T00:00:00"/>
    <s v="A"/>
    <x v="24"/>
    <s v="TL24"/>
    <n v="144"/>
    <n v="9400"/>
    <s v="I"/>
    <s v="N"/>
    <n v="0.49"/>
    <s v="BLACK"/>
    <s v="F00857B"/>
    <s v="ToyoLi - BLACK"/>
    <n v="15"/>
    <n v="0"/>
    <m/>
    <m/>
    <n v="0"/>
    <s v="R92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24"/>
    <n v="0"/>
    <n v="21"/>
    <n v="0"/>
    <s v="CYAN"/>
    <s v="L00293C"/>
    <s v="ToyoLi - CYAN"/>
    <n v="19"/>
    <n v="0"/>
    <s v="F00857C"/>
    <n v="4"/>
    <n v="0"/>
    <s v="R39"/>
    <s v="RTMD"/>
    <m/>
    <m/>
    <m/>
    <m/>
    <m/>
    <m/>
    <n v="8"/>
    <n v="0"/>
    <n v="8"/>
    <n v="0"/>
    <m/>
    <n v="0"/>
    <m/>
    <n v="0"/>
    <m/>
    <n v="0"/>
    <m/>
    <n v="0"/>
    <m/>
    <n v="0"/>
    <m/>
    <n v="0"/>
    <s v="ToyoLi"/>
    <n v="11"/>
    <n v="0"/>
    <n v="4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0"/>
    <n v="0"/>
    <n v="0"/>
    <n v="0"/>
    <n v="0"/>
    <n v="0"/>
    <n v="0.3"/>
    <m/>
    <m/>
    <n v="0.5"/>
    <n v="0.2"/>
    <n v="0"/>
    <n v="40"/>
    <n v="0"/>
    <n v="0"/>
    <n v="40"/>
    <n v="40"/>
    <n v="12"/>
    <n v="0"/>
    <n v="0"/>
    <n v="0"/>
    <n v="0"/>
    <n v="0"/>
    <n v="20"/>
    <n v="0"/>
    <n v="8"/>
    <n v="0"/>
    <n v="0"/>
    <n v="0"/>
    <n v="0"/>
    <m/>
    <n v="26"/>
    <n v="69"/>
    <s v="TL24"/>
    <s v="ToyoLiToyoLi"/>
    <s v="+"/>
    <s v="+"/>
    <s v="NIL"/>
    <s v="NIL"/>
    <s v="NIL"/>
    <s v="NIL"/>
    <s v="NIL"/>
    <s v="NIL"/>
  </r>
  <r>
    <d v="2026-01-06T00:00:00"/>
    <s v="A"/>
    <x v="25"/>
    <s v="TL25"/>
    <n v="225"/>
    <n v="10800"/>
    <s v="I"/>
    <s v="N"/>
    <n v="1.39"/>
    <s v="BLACK"/>
    <s v="C01449B"/>
    <s v="ToyoLi - BLACK"/>
    <n v="24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6"/>
    <n v="0"/>
    <n v="4.8846153846153868"/>
    <n v="0"/>
    <s v="ORANGE"/>
    <s v="B00966O"/>
    <s v="ToyoLi - ORANGE"/>
    <n v="16"/>
    <n v="0"/>
    <s v="B01041O"/>
    <n v="18"/>
    <n v="0"/>
    <s v="F53"/>
    <s v="F23T"/>
    <s v="F121"/>
    <s v="R92"/>
    <m/>
    <m/>
    <m/>
    <m/>
    <n v="10"/>
    <n v="0"/>
    <n v="5"/>
    <n v="0"/>
    <n v="1"/>
    <n v="0"/>
    <n v="0.5"/>
    <n v="0"/>
    <m/>
    <n v="0"/>
    <m/>
    <n v="0"/>
    <m/>
    <n v="0"/>
    <m/>
    <n v="0"/>
    <s v="ToyoLi"/>
    <n v="34"/>
    <n v="0"/>
    <n v="28.153846153846153"/>
    <n v="0"/>
    <s v="CYAN"/>
    <s v="F00857C"/>
    <s v="ToyoLi - CYAN"/>
    <n v="24"/>
    <n v="0"/>
    <m/>
    <m/>
    <n v="0"/>
    <s v="R39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8"/>
    <n v="0"/>
    <n v="5.8846153846153868"/>
    <n v="0"/>
    <s v="MAGENTA"/>
    <s v="F00857M"/>
    <s v="ToyoLi - MAGENTA"/>
    <n v="17"/>
    <n v="0"/>
    <m/>
    <m/>
    <n v="0"/>
    <s v="F121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1"/>
    <n v="0"/>
    <n v="3.8846153846153868"/>
    <n v="0"/>
    <s v="YELLOW"/>
    <s v="F00857Y"/>
    <s v="ToyoLi - YELLOW"/>
    <n v="22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6"/>
    <n v="0"/>
    <n v="1"/>
    <n v="0"/>
    <s v="YELLOW"/>
    <m/>
    <s v="ToyoLi - YELLOW"/>
    <m/>
    <n v="0"/>
    <m/>
    <m/>
    <n v="0"/>
    <s v="F23T"/>
    <m/>
    <m/>
    <m/>
    <m/>
    <m/>
    <m/>
    <m/>
    <n v="20"/>
    <n v="0"/>
    <m/>
    <n v="0"/>
    <m/>
    <n v="0"/>
    <m/>
    <n v="0"/>
    <m/>
    <n v="0"/>
    <m/>
    <n v="0"/>
    <m/>
    <n v="0"/>
    <m/>
    <n v="0"/>
    <s v="ToyoLi"/>
    <n v="17"/>
    <n v="0"/>
    <n v="22.42307692307692"/>
    <n v="0"/>
    <s v="WHITE"/>
    <m/>
    <s v="ToyoLi - WHITE"/>
    <m/>
    <n v="0"/>
    <m/>
    <m/>
    <n v="0"/>
    <s v="F640"/>
    <s v="HSLAS"/>
    <m/>
    <m/>
    <m/>
    <m/>
    <m/>
    <m/>
    <n v="60"/>
    <n v="0"/>
    <n v="5.26"/>
    <n v="0"/>
    <m/>
    <n v="0"/>
    <m/>
    <n v="0"/>
    <m/>
    <n v="0"/>
    <m/>
    <n v="0"/>
    <m/>
    <n v="0"/>
    <m/>
    <n v="0"/>
    <s v="ToyoLi"/>
    <n v="30"/>
    <n v="0"/>
    <n v="93.52923076923076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"/>
    <n v="2"/>
    <n v="2"/>
    <n v="0"/>
    <n v="10"/>
    <n v="30"/>
    <n v="0"/>
    <n v="0.3"/>
    <m/>
    <m/>
    <n v="0.5"/>
    <n v="0.2"/>
    <n v="0"/>
    <n v="101"/>
    <n v="0"/>
    <n v="0"/>
    <n v="101"/>
    <n v="101"/>
    <n v="30.299999999999997"/>
    <n v="0"/>
    <n v="0"/>
    <n v="0"/>
    <n v="0"/>
    <n v="0"/>
    <n v="50.5"/>
    <n v="0"/>
    <n v="20.200000000000003"/>
    <n v="0"/>
    <n v="0"/>
    <n v="0"/>
    <n v="0"/>
    <m/>
    <n v="119.76"/>
    <n v="159.76"/>
    <s v="TL25"/>
    <s v="ToyoLiToyoLiToyoLiToyoLiToyoLiToyoLiToyoLi"/>
    <s v="+"/>
    <s v="+"/>
    <s v="+"/>
    <s v="+"/>
    <s v="+"/>
    <s v="+"/>
    <s v="+"/>
    <s v="NIL"/>
  </r>
  <r>
    <d v="2026-01-06T00:00:00"/>
    <s v="A"/>
    <x v="26"/>
    <s v="TL26"/>
    <n v="223"/>
    <n v="10700"/>
    <s v="I"/>
    <s v="N"/>
    <n v="1.4"/>
    <s v="BLACK"/>
    <s v="J00869B"/>
    <s v="ToyoLi - BLACK"/>
    <n v="26"/>
    <n v="0"/>
    <m/>
    <m/>
    <n v="0"/>
    <s v="R92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8"/>
    <n v="0"/>
    <n v="8.25"/>
    <n v="0"/>
    <s v="REFLEX BLUE"/>
    <s v="B01043B"/>
    <s v="ToyoLi - REFLEX BLUE"/>
    <n v="16"/>
    <n v="0"/>
    <s v="J00953B/J00952B"/>
    <n v="27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21.166666666666664"/>
    <n v="0"/>
    <s v="CYAN"/>
    <s v="J00869C"/>
    <s v="ToyoLi - CYAN"/>
    <n v="28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9.25"/>
    <n v="0"/>
    <s v="MAGENTA"/>
    <s v="J00869M"/>
    <s v="ToyoLi - MAGENTA"/>
    <n v="21"/>
    <n v="0"/>
    <m/>
    <m/>
    <n v="0"/>
    <s v="F121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6"/>
    <n v="0"/>
    <n v="5.1666666666666643"/>
    <n v="0"/>
    <s v="YELLOW"/>
    <s v="J00869Y"/>
    <s v="ToyoLi - YELLOW"/>
    <n v="26"/>
    <n v="0"/>
    <m/>
    <m/>
    <n v="0"/>
    <s v="F23T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5"/>
    <n v="0"/>
    <n v="41.5"/>
    <n v="0"/>
    <s v="CYAN"/>
    <s v="C01449C"/>
    <s v="ToyoLi - CYAN"/>
    <n v="11"/>
    <n v="0"/>
    <m/>
    <m/>
    <n v="0"/>
    <s v="RTMD"/>
    <s v="F121"/>
    <m/>
    <m/>
    <m/>
    <m/>
    <m/>
    <m/>
    <n v="35"/>
    <n v="0"/>
    <n v="0.5"/>
    <n v="0"/>
    <m/>
    <n v="0"/>
    <m/>
    <n v="0"/>
    <m/>
    <n v="0"/>
    <m/>
    <n v="0"/>
    <m/>
    <n v="0"/>
    <m/>
    <n v="0"/>
    <s v="ToyoLi"/>
    <n v="57"/>
    <n v="0"/>
    <n v="31.166666666666671"/>
    <n v="0"/>
    <s v="WHITE"/>
    <s v="J00869W"/>
    <s v="ToyoLi - WHITE"/>
    <n v="30"/>
    <n v="0"/>
    <m/>
    <m/>
    <n v="0"/>
    <s v="F640"/>
    <s v="HSLAS"/>
    <m/>
    <m/>
    <m/>
    <m/>
    <m/>
    <m/>
    <n v="40"/>
    <n v="0"/>
    <n v="5.5"/>
    <n v="0"/>
    <m/>
    <n v="0"/>
    <m/>
    <n v="0"/>
    <m/>
    <n v="0"/>
    <m/>
    <n v="0"/>
    <m/>
    <n v="0"/>
    <m/>
    <n v="0"/>
    <s v="ToyoLi"/>
    <n v="30"/>
    <n v="0"/>
    <n v="45.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2"/>
    <n v="3"/>
    <n v="2"/>
    <n v="18"/>
    <n v="20"/>
    <n v="0"/>
    <n v="0"/>
    <n v="0.3"/>
    <m/>
    <m/>
    <n v="0.5"/>
    <n v="0.2"/>
    <n v="0"/>
    <n v="100"/>
    <n v="0"/>
    <n v="0"/>
    <n v="100"/>
    <n v="100"/>
    <n v="30"/>
    <n v="0"/>
    <n v="0"/>
    <n v="0"/>
    <n v="0"/>
    <n v="0"/>
    <n v="50"/>
    <n v="0"/>
    <n v="20"/>
    <n v="0"/>
    <n v="0"/>
    <n v="0"/>
    <n v="0"/>
    <m/>
    <n v="96"/>
    <n v="162"/>
    <s v="TL26"/>
    <s v="ToyoLiToyoLiToyoLiToyoLiToyoLiToyoLiToyoLi"/>
    <s v="+"/>
    <s v="+"/>
    <s v="+"/>
    <s v="+"/>
    <s v="+"/>
    <s v="+"/>
    <s v="+"/>
    <s v="NIL"/>
  </r>
  <r>
    <d v="2026-01-06T00:00:00"/>
    <s v="A"/>
    <x v="27"/>
    <s v="TL27"/>
    <n v="235"/>
    <n v="10800"/>
    <s v="I"/>
    <s v="N"/>
    <n v="1.4"/>
    <s v="BLACK"/>
    <s v="J00870B"/>
    <s v="ToyoLi - BLACK"/>
    <n v="28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7"/>
    <n v="0"/>
    <n v="8.1568627450980387"/>
    <n v="0"/>
    <s v="REFLEX BLUE"/>
    <s v="J00950P"/>
    <s v="ToyoLi - REFLEX BLUE"/>
    <n v="20"/>
    <n v="0"/>
    <m/>
    <m/>
    <n v="0"/>
    <s v="F121"/>
    <s v="Z822"/>
    <m/>
    <m/>
    <m/>
    <m/>
    <m/>
    <m/>
    <n v="20"/>
    <n v="0"/>
    <n v="4"/>
    <n v="0"/>
    <m/>
    <n v="0"/>
    <m/>
    <n v="0"/>
    <m/>
    <n v="0"/>
    <m/>
    <n v="0"/>
    <m/>
    <n v="0"/>
    <m/>
    <n v="0"/>
    <s v="ToyoLi"/>
    <n v="27"/>
    <n v="0"/>
    <n v="37.784313725490193"/>
    <n v="0"/>
    <s v="CYAN"/>
    <s v="J00870C"/>
    <s v="ToyoLi - CYAN"/>
    <n v="27"/>
    <n v="0"/>
    <m/>
    <m/>
    <n v="0"/>
    <s v="R39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6.1568627450980387"/>
    <n v="0"/>
    <s v="MAGENTA"/>
    <s v="J00870M"/>
    <s v="ToyoLi - MAGENTA"/>
    <n v="26"/>
    <n v="0"/>
    <m/>
    <m/>
    <n v="0"/>
    <s v="F121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8"/>
    <n v="0"/>
    <n v="6.1568627450980387"/>
    <n v="0"/>
    <s v="YELLOW"/>
    <s v="J00870Y"/>
    <s v="ToyoLi - YELLOW"/>
    <n v="25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4"/>
    <n v="0"/>
    <n v="10.156862745098039"/>
    <n v="0"/>
    <s v="RED"/>
    <m/>
    <s v="ToyoLi - RED"/>
    <m/>
    <n v="0"/>
    <m/>
    <m/>
    <n v="0"/>
    <s v="RTMD"/>
    <s v="F121"/>
    <s v="F53"/>
    <m/>
    <m/>
    <m/>
    <m/>
    <m/>
    <n v="20"/>
    <n v="0"/>
    <n v="0.5"/>
    <n v="0"/>
    <n v="0.1"/>
    <n v="0"/>
    <m/>
    <n v="0"/>
    <m/>
    <n v="0"/>
    <m/>
    <n v="0"/>
    <m/>
    <n v="0"/>
    <m/>
    <n v="0"/>
    <s v="ToyoLi"/>
    <n v="29"/>
    <n v="0"/>
    <n v="18.619607843137253"/>
    <n v="0"/>
    <s v="WHITE"/>
    <s v="J00870W"/>
    <s v="ToyoLi - WHITE"/>
    <n v="30"/>
    <n v="0"/>
    <m/>
    <m/>
    <n v="0"/>
    <s v="F640"/>
    <s v="HSLAS"/>
    <m/>
    <m/>
    <m/>
    <m/>
    <m/>
    <m/>
    <n v="40"/>
    <n v="0"/>
    <n v="5.34"/>
    <n v="0"/>
    <m/>
    <n v="0"/>
    <m/>
    <n v="0"/>
    <m/>
    <n v="0"/>
    <m/>
    <n v="0"/>
    <m/>
    <n v="0"/>
    <m/>
    <n v="0"/>
    <s v="ToyoLi"/>
    <n v="30"/>
    <n v="0"/>
    <n v="86.9086274509803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2"/>
    <n v="2"/>
    <n v="2"/>
    <n v="13"/>
    <n v="20"/>
    <n v="0"/>
    <n v="0.3"/>
    <m/>
    <m/>
    <n v="0.5"/>
    <n v="0.2"/>
    <n v="0"/>
    <n v="106"/>
    <n v="0"/>
    <n v="0"/>
    <n v="106"/>
    <n v="106"/>
    <n v="31.799999999999997"/>
    <n v="0"/>
    <n v="0"/>
    <n v="0"/>
    <n v="0"/>
    <n v="0"/>
    <n v="53"/>
    <n v="0"/>
    <n v="21.200000000000003"/>
    <n v="0"/>
    <n v="0"/>
    <n v="0"/>
    <n v="0"/>
    <m/>
    <n v="104.94"/>
    <n v="173.94"/>
    <s v="TL27"/>
    <s v="ToyoLiToyoLiToyoLiToyoLiToyoLiToyoLiToyoLi"/>
    <s v="+"/>
    <s v="+"/>
    <s v="+"/>
    <s v="+"/>
    <s v="+"/>
    <s v="+"/>
    <s v="+"/>
    <s v="NIL"/>
  </r>
  <r>
    <d v="2026-01-06T00:00:00"/>
    <s v="A"/>
    <x v="28"/>
    <s v="TL28"/>
    <n v="237"/>
    <n v="10900"/>
    <s v="I"/>
    <s v="N"/>
    <n v="1.5"/>
    <s v="BLACK"/>
    <s v="J00872B"/>
    <s v="ToyoLi - BLACK"/>
    <n v="27"/>
    <n v="0"/>
    <m/>
    <m/>
    <n v="0"/>
    <s v="R92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24"/>
    <n v="0"/>
    <n v="54.400000000000006"/>
    <n v="0"/>
    <s v="RED"/>
    <s v="B01034R"/>
    <s v="ToyoLi - RED"/>
    <n v="20"/>
    <n v="0"/>
    <m/>
    <m/>
    <n v="0"/>
    <s v="F32"/>
    <s v="F121"/>
    <m/>
    <m/>
    <m/>
    <m/>
    <m/>
    <m/>
    <n v="10"/>
    <n v="0"/>
    <n v="5"/>
    <n v="0"/>
    <m/>
    <n v="0"/>
    <m/>
    <n v="0"/>
    <m/>
    <n v="0"/>
    <m/>
    <n v="0"/>
    <m/>
    <n v="0"/>
    <m/>
    <n v="0"/>
    <s v="ToyoLi"/>
    <n v="31"/>
    <n v="0"/>
    <n v="10.420000000000002"/>
    <n v="0"/>
    <s v="CYAN"/>
    <s v="J00872C"/>
    <s v="ToyoLi - CYAN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3"/>
    <n v="0"/>
    <n v="13.560000000000002"/>
    <n v="0"/>
    <s v="MAGENTA"/>
    <s v="J00872M"/>
    <s v="ToyoLi - MAGENTA"/>
    <n v="28"/>
    <n v="0"/>
    <m/>
    <m/>
    <n v="0"/>
    <s v="F121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31"/>
    <n v="0"/>
    <n v="7.4200000000000017"/>
    <n v="0"/>
    <s v="YELLOW"/>
    <s v="J00872Y"/>
    <s v="ToyoLi - YELLOW"/>
    <n v="24"/>
    <n v="0"/>
    <m/>
    <m/>
    <n v="0"/>
    <s v="F23T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0"/>
    <n v="0"/>
    <n v="11.280000000000001"/>
    <n v="0"/>
    <s v="YELLOW"/>
    <s v="J00869Y"/>
    <s v="ToyoLi - YELLOW"/>
    <n v="17"/>
    <n v="0"/>
    <m/>
    <m/>
    <n v="0"/>
    <s v="F23T"/>
    <s v="F53"/>
    <s v="RTMD"/>
    <m/>
    <m/>
    <m/>
    <m/>
    <m/>
    <n v="10"/>
    <n v="0"/>
    <n v="1"/>
    <n v="0"/>
    <n v="6"/>
    <n v="0"/>
    <m/>
    <n v="0"/>
    <m/>
    <n v="0"/>
    <m/>
    <n v="0"/>
    <m/>
    <n v="0"/>
    <m/>
    <n v="0"/>
    <s v="ToyoLi"/>
    <n v="35"/>
    <n v="0"/>
    <n v="16.120000000000005"/>
    <n v="0"/>
    <s v="WHITE"/>
    <s v="J00872W"/>
    <s v="ToyoLi - WHITE"/>
    <n v="30"/>
    <n v="0"/>
    <m/>
    <m/>
    <n v="0"/>
    <s v="F640"/>
    <s v="HSLAS"/>
    <m/>
    <m/>
    <m/>
    <m/>
    <m/>
    <m/>
    <n v="40"/>
    <n v="0"/>
    <n v="5.88"/>
    <n v="0"/>
    <m/>
    <n v="0"/>
    <m/>
    <n v="0"/>
    <m/>
    <n v="0"/>
    <m/>
    <n v="0"/>
    <m/>
    <n v="0"/>
    <m/>
    <n v="0"/>
    <s v="ToyoLi"/>
    <n v="27"/>
    <n v="0"/>
    <n v="91.6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3"/>
    <n v="4"/>
    <n v="3"/>
    <n v="2"/>
    <n v="8"/>
    <n v="20"/>
    <n v="0"/>
    <n v="0.3"/>
    <m/>
    <m/>
    <n v="0.5"/>
    <n v="0.2"/>
    <n v="0"/>
    <n v="107"/>
    <n v="0"/>
    <n v="0"/>
    <n v="107"/>
    <n v="107"/>
    <n v="32.1"/>
    <n v="0"/>
    <n v="0"/>
    <n v="0"/>
    <n v="0"/>
    <n v="0"/>
    <n v="53.5"/>
    <n v="0"/>
    <n v="21.400000000000002"/>
    <n v="0"/>
    <n v="0"/>
    <n v="0"/>
    <n v="0"/>
    <m/>
    <n v="114.88"/>
    <n v="204.88000000000002"/>
    <s v="TL28"/>
    <s v="ToyoLiToyoLiToyoLiToyoLiToyoLiToyoLiToyoLi"/>
    <s v="+"/>
    <s v="+"/>
    <s v="+"/>
    <s v="+"/>
    <s v="+"/>
    <s v="+"/>
    <s v="+"/>
    <s v="NIL"/>
  </r>
  <r>
    <d v="2026-01-06T00:00:00"/>
    <s v="A"/>
    <x v="29"/>
    <s v="TL29"/>
    <n v="217"/>
    <n v="10400"/>
    <s v="I"/>
    <s v="N"/>
    <n v="1.4"/>
    <s v="BLACK"/>
    <s v="J00874B"/>
    <s v="ToyoLi - BLACK"/>
    <n v="24"/>
    <n v="0"/>
    <m/>
    <m/>
    <n v="0"/>
    <s v="R92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7"/>
    <n v="0"/>
    <n v="13.543478260869563"/>
    <n v="0"/>
    <s v="GREEN"/>
    <s v="B01041G"/>
    <s v="ToyoLi - GREEN"/>
    <n v="10"/>
    <n v="0"/>
    <s v="N00818G"/>
    <n v="15"/>
    <n v="0"/>
    <s v="F23T"/>
    <s v="R39"/>
    <s v="R1205"/>
    <s v="R92"/>
    <m/>
    <m/>
    <m/>
    <m/>
    <n v="10"/>
    <n v="0"/>
    <n v="15"/>
    <n v="0"/>
    <n v="2"/>
    <n v="0"/>
    <n v="1"/>
    <n v="0"/>
    <m/>
    <n v="0"/>
    <m/>
    <n v="0"/>
    <m/>
    <n v="0"/>
    <m/>
    <n v="0"/>
    <s v="ToyoLi"/>
    <n v="38"/>
    <n v="0"/>
    <n v="31.869565217391312"/>
    <n v="0"/>
    <s v="CYAN"/>
    <s v="J00874C"/>
    <s v="ToyoLi - CYAN"/>
    <n v="23"/>
    <n v="0"/>
    <m/>
    <m/>
    <n v="0"/>
    <s v="R39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7"/>
    <n v="0"/>
    <n v="10.543478260869563"/>
    <n v="0"/>
    <s v="MAGENTA"/>
    <s v="J00834M"/>
    <s v="ToyoLi - MAGENTA"/>
    <n v="20"/>
    <n v="0"/>
    <m/>
    <m/>
    <n v="0"/>
    <s v="RTMD"/>
    <s v="F121"/>
    <m/>
    <m/>
    <m/>
    <m/>
    <m/>
    <m/>
    <n v="6"/>
    <n v="0"/>
    <n v="6"/>
    <n v="0"/>
    <m/>
    <n v="0"/>
    <m/>
    <n v="0"/>
    <m/>
    <n v="0"/>
    <m/>
    <n v="0"/>
    <m/>
    <n v="0"/>
    <m/>
    <n v="0"/>
    <s v="ToyoLi"/>
    <n v="30"/>
    <n v="0"/>
    <n v="18.869565217391305"/>
    <n v="0"/>
    <s v="YELLOW"/>
    <s v="J00874Y"/>
    <s v="ToyoLi - YELLOW"/>
    <n v="20"/>
    <n v="0"/>
    <m/>
    <m/>
    <n v="0"/>
    <s v="F23T"/>
    <s v="RTMD"/>
    <m/>
    <m/>
    <m/>
    <m/>
    <m/>
    <m/>
    <n v="8"/>
    <n v="0"/>
    <n v="6"/>
    <n v="0"/>
    <m/>
    <n v="0"/>
    <m/>
    <n v="0"/>
    <m/>
    <n v="0"/>
    <m/>
    <n v="0"/>
    <m/>
    <n v="0"/>
    <m/>
    <n v="0"/>
    <s v="ToyoLi"/>
    <n v="25"/>
    <n v="0"/>
    <n v="19.543478260869563"/>
    <n v="0"/>
    <s v="GREEN"/>
    <s v="B01043G"/>
    <s v="ToyoLi - GREEN"/>
    <n v="10"/>
    <n v="0"/>
    <m/>
    <m/>
    <n v="0"/>
    <s v="RTMD"/>
    <s v="F23T"/>
    <s v="R79"/>
    <m/>
    <m/>
    <m/>
    <m/>
    <m/>
    <n v="10"/>
    <n v="0"/>
    <n v="7"/>
    <n v="0"/>
    <n v="2"/>
    <n v="0"/>
    <m/>
    <n v="0"/>
    <m/>
    <n v="0"/>
    <m/>
    <n v="0"/>
    <m/>
    <n v="0"/>
    <m/>
    <n v="0"/>
    <s v="ToyoLi"/>
    <n v="31"/>
    <n v="0"/>
    <n v="8.5434782608695627"/>
    <n v="0"/>
    <s v="WHITE"/>
    <s v="J00874W"/>
    <s v="ToyoLi - WHITE"/>
    <n v="27"/>
    <n v="0"/>
    <m/>
    <m/>
    <n v="0"/>
    <s v="F640"/>
    <s v="HSLAS"/>
    <m/>
    <m/>
    <m/>
    <m/>
    <m/>
    <m/>
    <n v="25"/>
    <n v="0"/>
    <n v="5.47"/>
    <n v="0"/>
    <m/>
    <n v="0"/>
    <m/>
    <n v="0"/>
    <m/>
    <n v="0"/>
    <m/>
    <n v="0"/>
    <m/>
    <n v="0"/>
    <m/>
    <n v="0"/>
    <s v="ToyoLi"/>
    <n v="24"/>
    <n v="0"/>
    <n v="54.55695652173912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8"/>
    <n v="5"/>
    <n v="8"/>
    <n v="5"/>
    <n v="5"/>
    <n v="10"/>
    <n v="0"/>
    <n v="0.3"/>
    <m/>
    <m/>
    <n v="0.5"/>
    <n v="0.2"/>
    <n v="0"/>
    <n v="97"/>
    <n v="0"/>
    <n v="0"/>
    <n v="97"/>
    <n v="97"/>
    <n v="29.099999999999998"/>
    <n v="0"/>
    <n v="0"/>
    <n v="0"/>
    <n v="0"/>
    <n v="0"/>
    <n v="48.5"/>
    <n v="0"/>
    <n v="19.400000000000002"/>
    <n v="0"/>
    <n v="0"/>
    <n v="0"/>
    <n v="0"/>
    <m/>
    <n v="113.47"/>
    <n v="157.47"/>
    <s v="TL29"/>
    <s v="ToyoLiToyoLiToyoLiToyoLiToyoLiToyoLiToyoLi"/>
    <s v="+"/>
    <s v="+"/>
    <s v="+"/>
    <s v="+"/>
    <s v="+"/>
    <s v="+"/>
    <s v="+"/>
    <s v="NIL"/>
  </r>
  <r>
    <d v="2026-01-06T00:00:00"/>
    <s v="A"/>
    <x v="30"/>
    <s v="TL30"/>
    <n v="194"/>
    <n v="12600"/>
    <s v="I"/>
    <s v="N"/>
    <n v="1.4"/>
    <s v="BLACK"/>
    <s v="J00871B"/>
    <s v="ToyoLi - BLACK"/>
    <n v="27"/>
    <n v="0"/>
    <m/>
    <m/>
    <n v="0"/>
    <s v="R92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9"/>
    <n v="0"/>
    <n v="13.666666666666664"/>
    <n v="0"/>
    <s v="REFLEX BLUE"/>
    <s v="F008359"/>
    <s v="ToyoLi - REFLEX BLUE"/>
    <n v="9"/>
    <n v="0"/>
    <m/>
    <m/>
    <n v="0"/>
    <s v="R1205"/>
    <s v="F121"/>
    <s v="R39"/>
    <s v="R92"/>
    <m/>
    <m/>
    <m/>
    <m/>
    <n v="20"/>
    <n v="0"/>
    <n v="8"/>
    <n v="0"/>
    <n v="10"/>
    <n v="0"/>
    <n v="2"/>
    <n v="0"/>
    <m/>
    <n v="0"/>
    <m/>
    <n v="0"/>
    <m/>
    <n v="0"/>
    <m/>
    <n v="0"/>
    <s v="ToyoLi"/>
    <n v="26"/>
    <n v="0"/>
    <n v="42.333333333333329"/>
    <n v="0"/>
    <s v="REFLEX BLUE"/>
    <s v="R00008RB"/>
    <s v="ToyoLi - REFLEX BLUE"/>
    <n v="20"/>
    <n v="0"/>
    <m/>
    <m/>
    <n v="0"/>
    <s v="RTMD"/>
    <s v="R39"/>
    <m/>
    <m/>
    <m/>
    <m/>
    <m/>
    <m/>
    <n v="6"/>
    <n v="0"/>
    <n v="4"/>
    <n v="0"/>
    <m/>
    <n v="0"/>
    <m/>
    <n v="0"/>
    <m/>
    <n v="0"/>
    <m/>
    <n v="0"/>
    <m/>
    <n v="0"/>
    <m/>
    <n v="0"/>
    <s v="ToyoLi"/>
    <n v="27"/>
    <n v="0"/>
    <n v="12.666666666666664"/>
    <n v="0"/>
    <s v="YELLOW"/>
    <s v="J00874Y"/>
    <s v="ToyoLi - YELLOW"/>
    <n v="18"/>
    <n v="0"/>
    <m/>
    <m/>
    <n v="0"/>
    <s v="F23T"/>
    <s v="F53"/>
    <m/>
    <m/>
    <m/>
    <m/>
    <m/>
    <m/>
    <n v="2"/>
    <n v="0"/>
    <n v="2"/>
    <n v="0"/>
    <m/>
    <n v="0"/>
    <m/>
    <n v="0"/>
    <m/>
    <n v="0"/>
    <m/>
    <n v="0"/>
    <m/>
    <n v="0"/>
    <m/>
    <n v="0"/>
    <s v="ToyoLi"/>
    <n v="17"/>
    <n v="0"/>
    <n v="14.666666666666664"/>
    <n v="0"/>
    <s v="CYAN"/>
    <s v="J00871C"/>
    <s v="ToyoLi - CYAN"/>
    <n v="27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11.666666666666664"/>
    <n v="0"/>
    <s v="MAGENTA"/>
    <s v="J00871M"/>
    <s v="ToyoLi - MAGENTA"/>
    <n v="10"/>
    <n v="0"/>
    <m/>
    <m/>
    <n v="0"/>
    <s v="F121"/>
    <s v="RTMD"/>
    <m/>
    <m/>
    <m/>
    <m/>
    <m/>
    <m/>
    <n v="10"/>
    <n v="0"/>
    <n v="7"/>
    <n v="0"/>
    <m/>
    <n v="0"/>
    <m/>
    <n v="0"/>
    <m/>
    <n v="0"/>
    <m/>
    <n v="0"/>
    <m/>
    <n v="0"/>
    <m/>
    <n v="0"/>
    <s v="ToyoLi"/>
    <n v="24"/>
    <n v="0"/>
    <n v="22.333333333333329"/>
    <n v="0"/>
    <s v="YELLOW"/>
    <s v="J00871Y"/>
    <s v="ToyoLi - YELLOW"/>
    <n v="25"/>
    <n v="0"/>
    <m/>
    <m/>
    <n v="0"/>
    <s v="F23T"/>
    <s v="RTMD"/>
    <m/>
    <m/>
    <m/>
    <m/>
    <m/>
    <m/>
    <n v="10"/>
    <n v="0"/>
    <n v="6"/>
    <n v="0"/>
    <m/>
    <n v="0"/>
    <m/>
    <n v="0"/>
    <m/>
    <n v="0"/>
    <m/>
    <n v="0"/>
    <m/>
    <n v="0"/>
    <m/>
    <n v="0"/>
    <s v="ToyoLi"/>
    <n v="29"/>
    <n v="0"/>
    <n v="21.666666666666664"/>
    <n v="0"/>
    <s v="WHITE"/>
    <s v="J00871W"/>
    <s v="ToyoLi - WHITE"/>
    <n v="24"/>
    <n v="0"/>
    <m/>
    <m/>
    <n v="0"/>
    <s v="F640"/>
    <s v="HSLAS"/>
    <m/>
    <m/>
    <m/>
    <m/>
    <m/>
    <m/>
    <n v="25"/>
    <n v="0"/>
    <n v="6"/>
    <n v="0"/>
    <m/>
    <n v="0"/>
    <m/>
    <n v="0"/>
    <m/>
    <n v="0"/>
    <m/>
    <n v="0"/>
    <m/>
    <n v="0"/>
    <m/>
    <n v="0"/>
    <s v="ToyoLi"/>
    <n v="25"/>
    <n v="0"/>
    <n v="59"/>
    <n v="0"/>
    <n v="5"/>
    <n v="10"/>
    <n v="5"/>
    <n v="5"/>
    <n v="5"/>
    <n v="10"/>
    <n v="5"/>
    <n v="15"/>
    <n v="0.3"/>
    <m/>
    <m/>
    <n v="0.5"/>
    <n v="0.2"/>
    <n v="0"/>
    <n v="116"/>
    <n v="0"/>
    <n v="0"/>
    <n v="116"/>
    <n v="116"/>
    <n v="34.799999999999997"/>
    <n v="0"/>
    <n v="0"/>
    <n v="0"/>
    <n v="0"/>
    <n v="0"/>
    <n v="58"/>
    <n v="0"/>
    <n v="23.200000000000003"/>
    <n v="0"/>
    <n v="0"/>
    <n v="0"/>
    <n v="0"/>
    <m/>
    <n v="126"/>
    <n v="197.99999999999997"/>
    <s v="TL30"/>
    <s v="ToyoLiToyoLiToyoLiToyoLiToyoLiToyoLiToyoLiToyoLi"/>
    <s v="+"/>
    <s v="+"/>
    <s v="+"/>
    <s v="+"/>
    <s v="+"/>
    <s v="+"/>
    <s v="+"/>
    <s v="+"/>
  </r>
  <r>
    <d v="2026-01-06T00:00:00"/>
    <s v="A"/>
    <x v="31"/>
    <s v="TL31"/>
    <n v="302"/>
    <n v="24700"/>
    <s v="I"/>
    <s v="N"/>
    <n v="1.4"/>
    <s v="BLACK"/>
    <s v="R01025B"/>
    <s v="ToyoLi - BLACK"/>
    <n v="29"/>
    <n v="0"/>
    <m/>
    <m/>
    <n v="0"/>
    <s v="R92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8"/>
    <n v="0"/>
    <n v="11.722222222222221"/>
    <n v="0"/>
    <s v="BLACK"/>
    <s v="B00970B"/>
    <s v="ToyoLi - BLACK"/>
    <n v="7"/>
    <n v="0"/>
    <s v="N00706B/F00844B"/>
    <n v="26"/>
    <n v="0"/>
    <s v="F121"/>
    <s v="F53"/>
    <s v="R92"/>
    <m/>
    <m/>
    <m/>
    <m/>
    <m/>
    <n v="12"/>
    <n v="0"/>
    <n v="15"/>
    <n v="0"/>
    <n v="3"/>
    <n v="0"/>
    <m/>
    <n v="0"/>
    <m/>
    <n v="0"/>
    <m/>
    <n v="0"/>
    <m/>
    <n v="0"/>
    <m/>
    <n v="0"/>
    <s v="ToyoLi"/>
    <n v="67"/>
    <n v="0"/>
    <n v="16.166666666666657"/>
    <n v="0"/>
    <s v="RED"/>
    <s v="F00851R"/>
    <s v="ToyoLi - RED"/>
    <n v="17"/>
    <n v="0"/>
    <m/>
    <m/>
    <n v="0"/>
    <s v="F121"/>
    <s v="F53"/>
    <m/>
    <m/>
    <m/>
    <m/>
    <m/>
    <m/>
    <n v="6"/>
    <n v="0"/>
    <n v="6"/>
    <n v="0"/>
    <m/>
    <n v="0"/>
    <m/>
    <n v="0"/>
    <m/>
    <n v="0"/>
    <m/>
    <n v="0"/>
    <m/>
    <n v="0"/>
    <m/>
    <n v="0"/>
    <s v="ToyoLi"/>
    <n v="30"/>
    <n v="0"/>
    <n v="5.7222222222222214"/>
    <n v="0"/>
    <s v="GREEN"/>
    <s v="F00857G"/>
    <s v="ToyoLi - GREEN"/>
    <n v="18"/>
    <n v="0"/>
    <m/>
    <m/>
    <n v="0"/>
    <s v="F23T"/>
    <s v="R39"/>
    <s v="RTMD"/>
    <m/>
    <m/>
    <m/>
    <m/>
    <m/>
    <n v="2"/>
    <n v="0"/>
    <n v="1"/>
    <n v="0"/>
    <n v="2"/>
    <n v="0"/>
    <m/>
    <n v="0"/>
    <m/>
    <n v="0"/>
    <m/>
    <n v="0"/>
    <m/>
    <n v="0"/>
    <m/>
    <n v="0"/>
    <s v="ToyoLi"/>
    <n v="20"/>
    <n v="0"/>
    <n v="9.7222222222222214"/>
    <n v="0"/>
    <s v="CYAN"/>
    <s v="B01025C"/>
    <s v="ToyoLi - CYAN"/>
    <n v="27"/>
    <n v="0"/>
    <m/>
    <m/>
    <n v="0"/>
    <s v="RTMD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8"/>
    <n v="0"/>
    <n v="11.722222222222221"/>
    <n v="0"/>
    <s v="MAGENTA"/>
    <s v="B01025M"/>
    <s v="ToyoLi - MAGENTA"/>
    <n v="24"/>
    <n v="0"/>
    <m/>
    <m/>
    <n v="0"/>
    <s v="F121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7"/>
    <n v="0"/>
    <n v="7.7222222222222214"/>
    <n v="0"/>
    <s v="YELLOW"/>
    <s v="B01025Y"/>
    <s v="ToyoLi - YELLOW"/>
    <n v="25"/>
    <n v="0"/>
    <m/>
    <m/>
    <n v="0"/>
    <s v="F23T"/>
    <m/>
    <m/>
    <m/>
    <m/>
    <m/>
    <m/>
    <m/>
    <n v="7"/>
    <n v="0"/>
    <m/>
    <n v="0"/>
    <m/>
    <n v="0"/>
    <m/>
    <n v="0"/>
    <m/>
    <n v="0"/>
    <m/>
    <n v="0"/>
    <m/>
    <n v="0"/>
    <m/>
    <n v="0"/>
    <s v="ToyoLi"/>
    <n v="30"/>
    <n v="0"/>
    <n v="8.7222222222222214"/>
    <n v="0"/>
    <s v="WHITE"/>
    <s v="B01025W"/>
    <s v="ToyoLi - WHITE"/>
    <n v="25"/>
    <n v="0"/>
    <m/>
    <m/>
    <n v="0"/>
    <s v="F640"/>
    <s v="HSLAS"/>
    <m/>
    <m/>
    <m/>
    <m/>
    <m/>
    <m/>
    <n v="75"/>
    <n v="0"/>
    <n v="7.32"/>
    <n v="0"/>
    <m/>
    <n v="0"/>
    <m/>
    <n v="0"/>
    <m/>
    <n v="0"/>
    <m/>
    <n v="0"/>
    <m/>
    <n v="0"/>
    <m/>
    <n v="0"/>
    <s v="ToyoLi"/>
    <n v="24"/>
    <n v="0"/>
    <n v="143.82"/>
    <n v="0"/>
    <n v="5"/>
    <n v="15"/>
    <n v="5"/>
    <n v="5"/>
    <n v="5"/>
    <n v="5"/>
    <n v="5"/>
    <n v="45"/>
    <n v="0.3"/>
    <m/>
    <m/>
    <n v="0.5"/>
    <n v="0.2"/>
    <n v="0"/>
    <n v="121"/>
    <n v="0"/>
    <n v="0"/>
    <n v="121"/>
    <n v="121"/>
    <n v="36.299999999999997"/>
    <n v="0"/>
    <n v="0"/>
    <n v="0"/>
    <n v="0"/>
    <n v="0"/>
    <n v="60.5"/>
    <n v="0"/>
    <n v="24.200000000000003"/>
    <n v="0"/>
    <n v="0"/>
    <n v="0"/>
    <n v="0"/>
    <m/>
    <n v="150.32"/>
    <n v="215.32"/>
    <s v="TL31"/>
    <s v="ToyoLiToyoLiToyoLiToyoLiToyoLiToyoLiToyoLiToyoLi"/>
    <s v="+"/>
    <s v="+"/>
    <s v="+"/>
    <s v="+"/>
    <s v="+"/>
    <s v="+"/>
    <s v="+"/>
    <s v="+"/>
  </r>
  <r>
    <d v="2026-01-06T00:00:00"/>
    <s v="A"/>
    <x v="32"/>
    <s v="TL32"/>
    <n v="293"/>
    <n v="18800"/>
    <s v="I"/>
    <s v="N"/>
    <n v="2"/>
    <s v="REFLEX BLUE"/>
    <s v="B01025B"/>
    <s v="ToyoLi - REFLEX BLUE"/>
    <n v="27"/>
    <n v="0"/>
    <m/>
    <m/>
    <n v="0"/>
    <s v="R92"/>
    <s v="F121"/>
    <m/>
    <m/>
    <m/>
    <m/>
    <m/>
    <m/>
    <n v="2"/>
    <n v="0"/>
    <n v="1"/>
    <n v="0"/>
    <m/>
    <n v="0"/>
    <m/>
    <n v="0"/>
    <m/>
    <n v="0"/>
    <m/>
    <n v="0"/>
    <m/>
    <n v="0"/>
    <m/>
    <n v="0"/>
    <s v="ToyoLi"/>
    <n v="26"/>
    <n v="0"/>
    <n v="15.037735849056602"/>
    <n v="0"/>
    <s v="CYAN"/>
    <m/>
    <m/>
    <m/>
    <n v="0"/>
    <m/>
    <m/>
    <n v="0"/>
    <s v="RTMD"/>
    <s v="R39"/>
    <s v="R1205"/>
    <m/>
    <m/>
    <m/>
    <m/>
    <m/>
    <n v="15"/>
    <n v="0"/>
    <n v="6"/>
    <n v="0"/>
    <n v="0.2"/>
    <n v="0"/>
    <m/>
    <n v="0"/>
    <m/>
    <n v="0"/>
    <m/>
    <n v="0"/>
    <m/>
    <n v="0"/>
    <m/>
    <n v="0"/>
    <s v="ToyoLi"/>
    <n v="19"/>
    <n v="0"/>
    <n v="24.275471698113208"/>
    <n v="0"/>
    <s v="RED"/>
    <s v="H01361P"/>
    <s v="ToyoLi - RED"/>
    <n v="18"/>
    <n v="0"/>
    <m/>
    <m/>
    <n v="0"/>
    <s v="RTMD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18"/>
    <n v="0"/>
    <n v="21.660377358490564"/>
    <n v="0"/>
    <s v="MEDIUM"/>
    <s v="J00954B"/>
    <s v="ToyoLi - MEDIUM"/>
    <n v="22"/>
    <n v="0"/>
    <s v="B00952B"/>
    <n v="34"/>
    <n v="0"/>
    <s v="F640"/>
    <s v="F23T"/>
    <s v="F32"/>
    <s v="R92"/>
    <m/>
    <m/>
    <m/>
    <m/>
    <n v="25"/>
    <n v="0"/>
    <n v="0.5"/>
    <n v="0"/>
    <n v="0.5"/>
    <n v="0"/>
    <n v="0.2"/>
    <n v="0"/>
    <m/>
    <n v="0"/>
    <m/>
    <n v="0"/>
    <m/>
    <n v="0"/>
    <m/>
    <n v="0"/>
    <s v="ToyoLi"/>
    <n v="25"/>
    <n v="0"/>
    <n v="123.42641509433963"/>
    <n v="0"/>
    <s v="WHITE"/>
    <s v="N00907W"/>
    <s v="ToyoLi - WHITE"/>
    <n v="24"/>
    <n v="0"/>
    <m/>
    <m/>
    <n v="0"/>
    <s v="F640"/>
    <m/>
    <m/>
    <m/>
    <m/>
    <m/>
    <m/>
    <m/>
    <n v="50"/>
    <n v="0"/>
    <m/>
    <n v="0"/>
    <m/>
    <n v="0"/>
    <m/>
    <n v="0"/>
    <m/>
    <n v="0"/>
    <m/>
    <n v="0"/>
    <m/>
    <n v="0"/>
    <m/>
    <n v="0"/>
    <s v="ToyoLi"/>
    <n v="24"/>
    <n v="0"/>
    <n v="5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8"/>
    <n v="30"/>
    <n v="0"/>
    <n v="0"/>
    <n v="0"/>
    <n v="0"/>
    <n v="0.3"/>
    <m/>
    <m/>
    <n v="0.5"/>
    <n v="0.2"/>
    <n v="0"/>
    <n v="117"/>
    <n v="0"/>
    <n v="0"/>
    <n v="117"/>
    <n v="117"/>
    <n v="35.1"/>
    <n v="0"/>
    <n v="0"/>
    <n v="0"/>
    <n v="0"/>
    <n v="0"/>
    <n v="58.5"/>
    <n v="0"/>
    <n v="23.400000000000002"/>
    <n v="0"/>
    <n v="0"/>
    <n v="0"/>
    <n v="0"/>
    <m/>
    <n v="104.4"/>
    <n v="234.4"/>
    <s v="TL32"/>
    <s v="ToyoLiToyoLiToyoLiToyoLiToyoLi"/>
    <s v="+"/>
    <s v="+"/>
    <s v="+"/>
    <s v="+"/>
    <s v="+"/>
    <s v="NIL"/>
    <s v="NIL"/>
    <s v="NIL"/>
  </r>
  <r>
    <d v="2026-01-06T00:00:00"/>
    <s v="A"/>
    <x v="33"/>
    <s v="TL33"/>
    <n v="484"/>
    <n v="27100"/>
    <s v="I"/>
    <s v="N"/>
    <n v="1.6"/>
    <s v="REFLEX BLUE"/>
    <s v="N00893B"/>
    <s v="ToyoLi - REFLEX BLUE"/>
    <n v="28"/>
    <n v="0"/>
    <m/>
    <m/>
    <n v="0"/>
    <s v="R39"/>
    <s v="R1205"/>
    <m/>
    <m/>
    <m/>
    <m/>
    <m/>
    <m/>
    <n v="18"/>
    <n v="0"/>
    <n v="0.5"/>
    <n v="0"/>
    <m/>
    <n v="0"/>
    <m/>
    <n v="0"/>
    <m/>
    <n v="0"/>
    <m/>
    <n v="0"/>
    <m/>
    <n v="0"/>
    <m/>
    <n v="0"/>
    <s v="ToyoLi"/>
    <n v="26"/>
    <n v="0"/>
    <n v="32.571428571428569"/>
    <n v="0"/>
    <s v="WHITE"/>
    <s v="H01307W"/>
    <s v="ToyoLi - WHITE"/>
    <n v="24"/>
    <n v="0"/>
    <m/>
    <m/>
    <n v="0"/>
    <s v="F640"/>
    <m/>
    <m/>
    <m/>
    <m/>
    <m/>
    <m/>
    <m/>
    <n v="110"/>
    <n v="0"/>
    <m/>
    <n v="0"/>
    <m/>
    <n v="0"/>
    <m/>
    <n v="0"/>
    <m/>
    <n v="0"/>
    <m/>
    <n v="0"/>
    <m/>
    <n v="0"/>
    <m/>
    <n v="0"/>
    <s v="ToyoLi"/>
    <n v="30"/>
    <n v="0"/>
    <n v="260.9285714285714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65"/>
    <n v="0"/>
    <n v="0"/>
    <n v="0"/>
    <n v="0"/>
    <n v="0"/>
    <n v="0"/>
    <n v="0.3"/>
    <m/>
    <m/>
    <n v="0.5"/>
    <n v="0.2"/>
    <n v="0"/>
    <n v="169"/>
    <n v="0"/>
    <n v="0"/>
    <n v="169"/>
    <n v="169"/>
    <n v="50.699999999999996"/>
    <n v="0"/>
    <n v="0"/>
    <n v="0"/>
    <n v="0"/>
    <n v="0"/>
    <n v="84.5"/>
    <n v="0"/>
    <n v="33.800000000000004"/>
    <n v="0"/>
    <n v="0"/>
    <n v="0"/>
    <n v="0"/>
    <m/>
    <n v="128.5"/>
    <n v="293.5"/>
    <s v="TL33"/>
    <s v="ToyoLiToyoLi"/>
    <s v="+"/>
    <s v="+"/>
    <s v="NIL"/>
    <s v="NIL"/>
    <s v="NIL"/>
    <s v="NIL"/>
    <s v="NIL"/>
    <s v="NIL"/>
  </r>
  <r>
    <d v="2026-01-06T00:00:00"/>
    <s v="A"/>
    <x v="34"/>
    <s v="TL34"/>
    <n v="468"/>
    <n v="30000"/>
    <s v="I"/>
    <s v="N"/>
    <n v="1.91"/>
    <s v="REFLEX BLUE"/>
    <s v="H01307RB"/>
    <s v="ToyoLi - REFLEX BLUE"/>
    <n v="26"/>
    <n v="0"/>
    <m/>
    <m/>
    <n v="0"/>
    <s v="R1205"/>
    <s v="R39"/>
    <m/>
    <m/>
    <m/>
    <m/>
    <m/>
    <m/>
    <n v="2"/>
    <n v="0"/>
    <n v="2"/>
    <n v="0"/>
    <m/>
    <n v="0"/>
    <m/>
    <n v="0"/>
    <m/>
    <n v="0"/>
    <m/>
    <n v="0"/>
    <m/>
    <n v="0"/>
    <m/>
    <n v="0"/>
    <s v="ToyoLi"/>
    <n v="17"/>
    <n v="0"/>
    <n v="24.265060240963855"/>
    <n v="0"/>
    <s v="RED"/>
    <s v="N00893R"/>
    <s v="ToyoLi - RED"/>
    <n v="30"/>
    <n v="0"/>
    <s v="J00869R/B01032R"/>
    <n v="38"/>
    <n v="0"/>
    <s v="R92"/>
    <s v="F121"/>
    <s v="F53"/>
    <s v="R92"/>
    <m/>
    <m/>
    <m/>
    <m/>
    <n v="0.5"/>
    <n v="0"/>
    <n v="20"/>
    <n v="0"/>
    <n v="25"/>
    <n v="0"/>
    <n v="1"/>
    <n v="0"/>
    <m/>
    <n v="0"/>
    <m/>
    <n v="0"/>
    <m/>
    <n v="0"/>
    <m/>
    <n v="0"/>
    <s v="ToyoLi"/>
    <n v="45"/>
    <n v="0"/>
    <n v="94.283132530120497"/>
    <n v="0"/>
    <s v="MEDIUM"/>
    <s v="H01307B"/>
    <s v="ToyoLi - MEDIUM"/>
    <n v="12"/>
    <n v="0"/>
    <s v="H01307B/N00815M"/>
    <n v="22"/>
    <n v="0"/>
    <s v="RTMD"/>
    <m/>
    <m/>
    <m/>
    <m/>
    <m/>
    <m/>
    <m/>
    <n v="9"/>
    <n v="0"/>
    <m/>
    <n v="0"/>
    <m/>
    <n v="0"/>
    <m/>
    <n v="0"/>
    <m/>
    <n v="0"/>
    <m/>
    <n v="0"/>
    <m/>
    <n v="0"/>
    <m/>
    <n v="0"/>
    <s v="ToyoLi"/>
    <n v="34"/>
    <n v="0"/>
    <n v="29.277108433734938"/>
    <n v="0"/>
    <s v="CYAN"/>
    <s v="H01362C"/>
    <s v="ToyoLi - CYAN"/>
    <n v="26"/>
    <n v="0"/>
    <m/>
    <m/>
    <n v="0"/>
    <s v="R39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34"/>
    <n v="0"/>
    <n v="9.2650602409638552"/>
    <n v="0"/>
    <s v="MAGENTA"/>
    <s v="N00893M"/>
    <s v="ToyoLi - MAGENTA"/>
    <n v="28"/>
    <n v="0"/>
    <m/>
    <m/>
    <n v="0"/>
    <s v="F121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30"/>
    <n v="0"/>
    <n v="8.7590361445783103"/>
    <n v="0"/>
    <s v="YELLOW"/>
    <s v="N00893Y"/>
    <s v="ToyoLi - YELLOW"/>
    <n v="30"/>
    <n v="0"/>
    <m/>
    <m/>
    <n v="0"/>
    <s v="F23T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32"/>
    <n v="0"/>
    <n v="13.265060240963855"/>
    <n v="0"/>
    <s v="WHITE"/>
    <s v="H01362W"/>
    <s v="ToyoLi - WHITE"/>
    <n v="30"/>
    <n v="0"/>
    <m/>
    <m/>
    <n v="0"/>
    <s v="F640"/>
    <m/>
    <m/>
    <m/>
    <m/>
    <m/>
    <m/>
    <m/>
    <n v="75"/>
    <n v="0"/>
    <m/>
    <n v="0"/>
    <m/>
    <n v="0"/>
    <m/>
    <n v="0"/>
    <m/>
    <n v="0"/>
    <m/>
    <n v="0"/>
    <m/>
    <n v="0"/>
    <m/>
    <n v="0"/>
    <s v="ToyoLi"/>
    <n v="25"/>
    <n v="0"/>
    <n v="181.385542168674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1"/>
    <n v="9"/>
    <n v="5"/>
    <n v="3"/>
    <n v="5"/>
    <n v="45"/>
    <n v="0"/>
    <n v="0.3"/>
    <m/>
    <m/>
    <n v="0.5"/>
    <n v="0.2"/>
    <n v="0"/>
    <n v="187"/>
    <n v="0"/>
    <n v="0"/>
    <n v="187"/>
    <n v="187"/>
    <n v="56.1"/>
    <n v="0"/>
    <n v="0"/>
    <n v="0"/>
    <n v="0"/>
    <n v="0"/>
    <n v="93.5"/>
    <n v="0"/>
    <n v="37.4"/>
    <n v="0"/>
    <n v="0"/>
    <n v="0"/>
    <n v="0"/>
    <m/>
    <n v="148.5"/>
    <n v="360.50000000000006"/>
    <s v="TL34"/>
    <s v="ToyoLiToyoLiToyoLiToyoLiToyoLiToyoLiToyoLi"/>
    <s v="+"/>
    <s v="+"/>
    <s v="+"/>
    <s v="+"/>
    <s v="+"/>
    <s v="+"/>
    <s v="+"/>
    <s v="NIL"/>
  </r>
  <r>
    <d v="2026-01-07T00:00:00"/>
    <s v="A"/>
    <x v="35"/>
    <s v="TL35"/>
    <n v="86"/>
    <n v="4800"/>
    <s v="I"/>
    <s v="N"/>
    <n v="2.16"/>
    <s v="BLACK"/>
    <s v="N00893B"/>
    <s v="ToyoLi - BLACK"/>
    <n v="28"/>
    <n v="0"/>
    <m/>
    <m/>
    <n v="0"/>
    <s v="R92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30"/>
    <n v="0"/>
    <n v="7.7333333333333343"/>
    <n v="0"/>
    <s v="GREEN"/>
    <s v="J00953G"/>
    <s v="ToyoLi - GREEN"/>
    <n v="7"/>
    <n v="0"/>
    <m/>
    <m/>
    <n v="0"/>
    <s v="F23T"/>
    <s v="R39"/>
    <m/>
    <m/>
    <m/>
    <m/>
    <m/>
    <m/>
    <n v="10"/>
    <n v="0"/>
    <n v="5"/>
    <n v="0"/>
    <m/>
    <n v="0"/>
    <m/>
    <n v="0"/>
    <m/>
    <n v="0"/>
    <m/>
    <n v="0"/>
    <m/>
    <n v="0"/>
    <m/>
    <n v="0"/>
    <s v="ToyoLi"/>
    <n v="28"/>
    <n v="0"/>
    <n v="9.2888888888888914"/>
    <n v="0"/>
    <s v="REFLEX BLUE"/>
    <s v="B01043B"/>
    <s v="ToyoLi - REFLEX BLUE"/>
    <n v="18"/>
    <n v="0"/>
    <m/>
    <m/>
    <n v="0"/>
    <s v="R39"/>
    <s v="R1205"/>
    <m/>
    <m/>
    <m/>
    <m/>
    <m/>
    <m/>
    <n v="20"/>
    <n v="0"/>
    <n v="1"/>
    <n v="0"/>
    <m/>
    <n v="0"/>
    <m/>
    <n v="0"/>
    <m/>
    <n v="0"/>
    <m/>
    <n v="0"/>
    <m/>
    <n v="0"/>
    <m/>
    <n v="0"/>
    <s v="ToyoLi"/>
    <n v="26"/>
    <n v="0"/>
    <n v="22.555555555555557"/>
    <n v="0"/>
    <s v="MAGENTA"/>
    <s v="H01306M"/>
    <s v="ToyoLi - MAGENTA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0"/>
    <n v="5.8222222222222229"/>
    <n v="0"/>
    <s v="YELLOW"/>
    <s v="H01306Y"/>
    <s v="ToyoLi - YELLOW"/>
    <n v="32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3"/>
    <n v="0"/>
    <n v="2.8222222222222229"/>
    <n v="0"/>
    <s v="GOLD"/>
    <s v="H01300G"/>
    <s v="ToyoLi - GOLD"/>
    <n v="18"/>
    <n v="0"/>
    <m/>
    <m/>
    <n v="0"/>
    <s v="TLSI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26"/>
    <n v="0"/>
    <n v="11.555555555555557"/>
    <n v="0"/>
    <s v="WHITE"/>
    <s v="H01306W"/>
    <s v="ToyoLi - WHITE"/>
    <n v="25"/>
    <n v="0"/>
    <m/>
    <m/>
    <n v="0"/>
    <s v="F640"/>
    <s v="HSLAS"/>
    <m/>
    <m/>
    <m/>
    <m/>
    <m/>
    <m/>
    <n v="40"/>
    <n v="0"/>
    <n v="5.07"/>
    <n v="0"/>
    <m/>
    <n v="0"/>
    <m/>
    <n v="0"/>
    <m/>
    <n v="0"/>
    <m/>
    <n v="0"/>
    <m/>
    <n v="0"/>
    <m/>
    <n v="0"/>
    <s v="ToyoLi"/>
    <n v="30"/>
    <n v="0"/>
    <n v="78.29222222222222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8"/>
    <n v="5"/>
    <n v="2"/>
    <n v="2"/>
    <n v="5"/>
    <n v="20"/>
    <n v="0"/>
    <n v="0.3"/>
    <m/>
    <m/>
    <n v="0.5"/>
    <n v="0.2"/>
    <n v="0"/>
    <n v="86"/>
    <n v="0"/>
    <n v="0"/>
    <n v="86"/>
    <n v="86"/>
    <n v="25.8"/>
    <n v="0"/>
    <n v="0"/>
    <n v="0"/>
    <n v="0"/>
    <n v="0"/>
    <n v="43"/>
    <n v="0"/>
    <n v="17.2"/>
    <n v="0"/>
    <n v="0"/>
    <n v="0"/>
    <n v="0"/>
    <m/>
    <n v="95.07"/>
    <n v="138.07"/>
    <s v="TL35"/>
    <s v="ToyoLiToyoLiToyoLiToyoLiToyoLiToyoLiToyoLi"/>
    <s v="+"/>
    <s v="+"/>
    <s v="+"/>
    <s v="+"/>
    <s v="+"/>
    <s v="+"/>
    <s v="+"/>
    <s v="NIL"/>
  </r>
  <r>
    <d v="2026-01-02T00:00:00"/>
    <s v="B"/>
    <x v="36"/>
    <n v="1"/>
    <n v="243"/>
    <n v="10400"/>
    <s v="II"/>
    <s v="N"/>
    <n v="2.16"/>
    <s v="GREEN"/>
    <s v="H01284G"/>
    <s v="FLINTSL - GREEN"/>
    <n v="17"/>
    <n v="0"/>
    <m/>
    <m/>
    <n v="0"/>
    <n v="25863000002"/>
    <n v="25864000008"/>
    <m/>
    <m/>
    <m/>
    <m/>
    <m/>
    <m/>
    <n v="2"/>
    <e v="#N/A"/>
    <n v="4"/>
    <e v="#N/A"/>
    <m/>
    <n v="0"/>
    <m/>
    <n v="0"/>
    <m/>
    <n v="0"/>
    <m/>
    <n v="0"/>
    <m/>
    <n v="0"/>
    <m/>
    <n v="0"/>
    <s v="FLINTSL"/>
    <n v="22"/>
    <n v="0"/>
    <n v="6.1904761904761898"/>
    <n v="0"/>
    <s v="GREEN"/>
    <s v="C01420G"/>
    <s v="FLINTSL - GREEN"/>
    <n v="12"/>
    <n v="0"/>
    <m/>
    <m/>
    <n v="0"/>
    <n v="26502000001"/>
    <n v="25864000008"/>
    <n v="25851000006"/>
    <m/>
    <m/>
    <m/>
    <m/>
    <m/>
    <n v="30"/>
    <e v="#N/A"/>
    <n v="8"/>
    <e v="#N/A"/>
    <n v="2"/>
    <e v="#N/A"/>
    <m/>
    <n v="0"/>
    <m/>
    <n v="0"/>
    <m/>
    <n v="0"/>
    <m/>
    <n v="0"/>
    <m/>
    <n v="0"/>
    <s v="FLINTSL"/>
    <n v="27"/>
    <n v="0"/>
    <n v="42.301587301587304"/>
    <n v="0"/>
    <s v="RED"/>
    <s v="F00837R"/>
    <s v="FLINTSL - RED"/>
    <n v="24"/>
    <n v="0"/>
    <m/>
    <m/>
    <n v="0"/>
    <n v="25862000010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6"/>
    <n v="0"/>
    <n v="11.650793650793652"/>
    <n v="0"/>
    <s v="GREEN"/>
    <m/>
    <s v="FLINTSL - GREEN"/>
    <m/>
    <n v="0"/>
    <m/>
    <m/>
    <n v="0"/>
    <n v="26502000002"/>
    <n v="26502000007"/>
    <m/>
    <m/>
    <m/>
    <m/>
    <m/>
    <m/>
    <n v="30"/>
    <e v="#N/A"/>
    <n v="40"/>
    <e v="#N/A"/>
    <m/>
    <n v="0"/>
    <m/>
    <n v="0"/>
    <m/>
    <n v="0"/>
    <m/>
    <n v="0"/>
    <m/>
    <n v="0"/>
    <m/>
    <n v="0"/>
    <s v="FLINTSL"/>
    <n v="28"/>
    <n v="0"/>
    <n v="55.841269841269835"/>
    <n v="0"/>
    <s v="GREEN"/>
    <m/>
    <s v="FLINTSL - GREEN"/>
    <m/>
    <n v="0"/>
    <m/>
    <m/>
    <n v="0"/>
    <n v="25864000008"/>
    <n v="25863000002"/>
    <n v="26502000008"/>
    <m/>
    <m/>
    <m/>
    <m/>
    <m/>
    <n v="4"/>
    <e v="#N/A"/>
    <n v="1"/>
    <e v="#N/A"/>
    <n v="15"/>
    <e v="#N/A"/>
    <m/>
    <n v="0"/>
    <m/>
    <n v="0"/>
    <m/>
    <n v="0"/>
    <m/>
    <n v="0"/>
    <m/>
    <n v="0"/>
    <s v="FLINTSL"/>
    <n v="25"/>
    <n v="0"/>
    <n v="3.650793650793652"/>
    <n v="0"/>
    <s v="ORANGE"/>
    <s v="G00392O"/>
    <s v="FLINTSL - ORANGE"/>
    <n v="27"/>
    <n v="0"/>
    <m/>
    <m/>
    <n v="0"/>
    <n v="25862000010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4"/>
    <n v="0"/>
    <n v="7.4603174603174587"/>
    <n v="0"/>
    <s v="WHITE"/>
    <m/>
    <s v="FLINTSL - WHITE"/>
    <m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5"/>
    <n v="0"/>
    <n v="76.90476190476189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10"/>
    <n v="5"/>
    <n v="8"/>
    <n v="5"/>
    <n v="2"/>
    <n v="30"/>
    <n v="0"/>
    <n v="0.8"/>
    <n v="0.2"/>
    <m/>
    <m/>
    <m/>
    <n v="0"/>
    <n v="109"/>
    <n v="0"/>
    <n v="0"/>
    <n v="109"/>
    <n v="109"/>
    <n v="87.2"/>
    <n v="0"/>
    <n v="21.8"/>
    <n v="0"/>
    <n v="0"/>
    <n v="0"/>
    <n v="0"/>
    <n v="0"/>
    <n v="0"/>
    <n v="0"/>
    <n v="0"/>
    <n v="0"/>
    <n v="0"/>
    <m/>
    <n v="202"/>
    <n v="204"/>
    <n v="1"/>
    <s v="FLINTSLFLINTSLFLINTSLFLINTSLFLINTSLFLINTSLFLINTSL"/>
    <s v="+"/>
    <s v="+"/>
    <s v="+"/>
    <s v="+"/>
    <s v="+"/>
    <s v="+"/>
    <s v="+"/>
    <s v="NIL"/>
  </r>
  <r>
    <d v="2026-01-02T00:00:00"/>
    <s v="B"/>
    <x v="37"/>
    <n v="2"/>
    <n v="471"/>
    <n v="24700"/>
    <s v="II"/>
    <s v="N"/>
    <n v="0.61"/>
    <s v="BLACK"/>
    <s v="H01284B"/>
    <s v="FLINTSL - BLACK"/>
    <n v="29"/>
    <n v="0"/>
    <m/>
    <m/>
    <n v="0"/>
    <n v="25862000007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7"/>
    <n v="0"/>
    <n v="10.151515151515149"/>
    <n v="0"/>
    <s v="RED"/>
    <s v="C01434R"/>
    <s v="FLINTSL - RED"/>
    <n v="26"/>
    <n v="0"/>
    <m/>
    <m/>
    <n v="0"/>
    <n v="25863000024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10.151515151515149"/>
    <n v="0"/>
    <s v="BLACK"/>
    <s v="E00986B"/>
    <s v="FLINTSL - BLACK"/>
    <n v="15"/>
    <n v="0"/>
    <m/>
    <m/>
    <n v="0"/>
    <n v="25862000007"/>
    <n v="25863000024"/>
    <n v="25864000008"/>
    <m/>
    <m/>
    <m/>
    <m/>
    <m/>
    <n v="4"/>
    <e v="#N/A"/>
    <n v="2"/>
    <e v="#N/A"/>
    <n v="2"/>
    <e v="#N/A"/>
    <m/>
    <n v="0"/>
    <m/>
    <n v="0"/>
    <m/>
    <n v="0"/>
    <m/>
    <n v="0"/>
    <m/>
    <n v="0"/>
    <s v="FLINTSL"/>
    <n v="24"/>
    <n v="0"/>
    <n v="16.878787878787875"/>
    <n v="0"/>
    <s v="BLACK"/>
    <s v="C01372B"/>
    <s v="FLINTSL - BLACK"/>
    <n v="11"/>
    <n v="0"/>
    <m/>
    <m/>
    <n v="0"/>
    <n v="25864000008"/>
    <n v="25863000024"/>
    <m/>
    <m/>
    <m/>
    <m/>
    <m/>
    <m/>
    <n v="8"/>
    <e v="#N/A"/>
    <n v="1"/>
    <e v="#N/A"/>
    <m/>
    <n v="0"/>
    <m/>
    <n v="0"/>
    <m/>
    <n v="0"/>
    <m/>
    <n v="0"/>
    <m/>
    <n v="0"/>
    <m/>
    <n v="0"/>
    <s v="FLINTSL"/>
    <n v="21"/>
    <n v="0"/>
    <n v="16.878787878787875"/>
    <n v="0"/>
    <s v="REFLEX BLUE"/>
    <m/>
    <s v="FLINTSL - REFLEX BLUE"/>
    <m/>
    <n v="0"/>
    <m/>
    <m/>
    <n v="0"/>
    <n v="26501000002"/>
    <s v="FMD"/>
    <n v="25863000002"/>
    <n v="26502000003"/>
    <n v="26502000009"/>
    <m/>
    <m/>
    <m/>
    <n v="10"/>
    <e v="#N/A"/>
    <n v="7"/>
    <n v="0"/>
    <n v="4"/>
    <e v="#N/A"/>
    <n v="40"/>
    <e v="#N/A"/>
    <n v="40"/>
    <e v="#N/A"/>
    <m/>
    <n v="0"/>
    <m/>
    <n v="0"/>
    <m/>
    <n v="0"/>
    <s v="FLINTSL"/>
    <n v="15"/>
    <n v="0"/>
    <n v="121.75757575757575"/>
    <n v="0"/>
    <s v="CYAN"/>
    <s v="H01284C"/>
    <s v="FLINTSL - CYAN"/>
    <n v="26"/>
    <n v="0"/>
    <m/>
    <m/>
    <n v="0"/>
    <n v="25863000002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4"/>
    <n v="0"/>
    <n v="10.151515151515149"/>
    <n v="0"/>
    <s v="MAGENTA"/>
    <s v="H01284M"/>
    <s v="FLINTSL - MAGENTA"/>
    <n v="24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6"/>
    <n v="0"/>
    <n v="19.878787878787875"/>
    <n v="0"/>
    <s v="YELLOW"/>
    <s v="H01284Y"/>
    <s v="FLINTSL - YELLOW"/>
    <n v="28"/>
    <n v="0"/>
    <m/>
    <m/>
    <n v="0"/>
    <n v="25864000008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5"/>
    <n v="0"/>
    <n v="14.151515151515149"/>
    <n v="0"/>
    <n v="2"/>
    <n v="2"/>
    <n v="5"/>
    <n v="5"/>
    <n v="10"/>
    <n v="2"/>
    <n v="5"/>
    <n v="2"/>
    <n v="0.8"/>
    <n v="0.2"/>
    <m/>
    <m/>
    <m/>
    <n v="0"/>
    <n v="118"/>
    <n v="0"/>
    <n v="0"/>
    <n v="118"/>
    <n v="118"/>
    <n v="94.4"/>
    <n v="0"/>
    <n v="23.6"/>
    <n v="0"/>
    <n v="0"/>
    <n v="0"/>
    <n v="0"/>
    <n v="0"/>
    <n v="0"/>
    <n v="0"/>
    <n v="0"/>
    <n v="0"/>
    <n v="0"/>
    <m/>
    <n v="130"/>
    <n v="220"/>
    <n v="2"/>
    <s v="FLINTSLFLINTSLFLINTSLFLINTSLFLINTSLFLINTSLFLINTSLFLINTSL"/>
    <s v="+"/>
    <s v="+"/>
    <s v="+"/>
    <s v="+"/>
    <s v="+"/>
    <s v="+"/>
    <s v="+"/>
    <s v="+"/>
  </r>
  <r>
    <d v="2026-01-02T00:00:00"/>
    <s v="B"/>
    <x v="38"/>
    <n v="3"/>
    <n v="478"/>
    <n v="25100"/>
    <s v="II"/>
    <s v="N"/>
    <n v="0.61"/>
    <s v="BLACK"/>
    <s v="E00996B"/>
    <s v="FLINTSL - BLACK"/>
    <n v="27"/>
    <n v="0"/>
    <m/>
    <m/>
    <n v="0"/>
    <n v="25862000007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5"/>
    <n v="0"/>
    <n v="12.600000000000001"/>
    <n v="0"/>
    <s v="RED"/>
    <s v="E00996R"/>
    <s v="FLINTSL - RED"/>
    <n v="25"/>
    <n v="0"/>
    <m/>
    <m/>
    <n v="0"/>
    <n v="25863000024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2"/>
    <n v="0"/>
    <n v="13.600000000000001"/>
    <n v="0"/>
    <s v="BLACK"/>
    <s v="E00996B"/>
    <s v="FLINTSL - BLACK"/>
    <n v="24"/>
    <n v="0"/>
    <m/>
    <m/>
    <n v="0"/>
    <n v="25862000007"/>
    <n v="25864000008"/>
    <m/>
    <m/>
    <m/>
    <m/>
    <m/>
    <m/>
    <n v="0.4"/>
    <e v="#N/A"/>
    <n v="2"/>
    <e v="#N/A"/>
    <m/>
    <n v="0"/>
    <m/>
    <n v="0"/>
    <m/>
    <n v="0"/>
    <m/>
    <n v="0"/>
    <m/>
    <n v="0"/>
    <m/>
    <n v="0"/>
    <s v="FLINTSL"/>
    <n v="23"/>
    <n v="0"/>
    <n v="27.4"/>
    <n v="0"/>
    <s v="BLACK"/>
    <s v="E00996B"/>
    <s v="FLINTSL - BLACK"/>
    <n v="21"/>
    <n v="0"/>
    <m/>
    <m/>
    <n v="0"/>
    <n v="25863000024"/>
    <m/>
    <m/>
    <m/>
    <m/>
    <m/>
    <m/>
    <m/>
    <n v="0.5"/>
    <e v="#N/A"/>
    <m/>
    <n v="0"/>
    <m/>
    <n v="0"/>
    <m/>
    <n v="0"/>
    <m/>
    <n v="0"/>
    <m/>
    <n v="0"/>
    <m/>
    <n v="0"/>
    <m/>
    <n v="0"/>
    <s v="FLINTSL"/>
    <n v="20"/>
    <n v="0"/>
    <n v="15.899999999999999"/>
    <n v="0"/>
    <s v="BLACK"/>
    <m/>
    <s v="FLINTSL - BLACK"/>
    <m/>
    <n v="0"/>
    <m/>
    <m/>
    <n v="0"/>
    <n v="26503000001"/>
    <n v="26502000004"/>
    <n v="25862000007"/>
    <m/>
    <m/>
    <m/>
    <m/>
    <m/>
    <n v="40"/>
    <e v="#N/A"/>
    <n v="40"/>
    <e v="#N/A"/>
    <n v="2"/>
    <e v="#N/A"/>
    <m/>
    <n v="0"/>
    <m/>
    <n v="0"/>
    <m/>
    <n v="0"/>
    <m/>
    <n v="0"/>
    <m/>
    <n v="0"/>
    <s v="FLINTSL"/>
    <n v="20"/>
    <n v="0"/>
    <n v="95.6"/>
    <n v="0"/>
    <s v="CYAN"/>
    <s v="E00996C"/>
    <s v="FLINTSL - CYAN"/>
    <n v="24"/>
    <n v="0"/>
    <m/>
    <m/>
    <n v="0"/>
    <n v="25863000002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2"/>
    <n v="0"/>
    <n v="12.600000000000001"/>
    <n v="0"/>
    <s v="MAGENTA"/>
    <s v="E00996M"/>
    <s v="FLINTSL - MAGENTA"/>
    <n v="26"/>
    <n v="0"/>
    <m/>
    <m/>
    <n v="0"/>
    <n v="25862000007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8.7999999999999972"/>
    <n v="0"/>
    <s v="YELLOW"/>
    <s v="E00996Y"/>
    <s v="FLINTSL - YELLOW"/>
    <n v="25"/>
    <n v="0"/>
    <m/>
    <m/>
    <n v="0"/>
    <n v="25864000008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4"/>
    <n v="0"/>
    <n v="18.399999999999999"/>
    <n v="0"/>
    <n v="2"/>
    <n v="2"/>
    <n v="5"/>
    <n v="3"/>
    <n v="7"/>
    <n v="2"/>
    <n v="1"/>
    <n v="3"/>
    <n v="0.8"/>
    <n v="0.2"/>
    <m/>
    <m/>
    <m/>
    <n v="0"/>
    <n v="120"/>
    <n v="0"/>
    <n v="0"/>
    <n v="120"/>
    <n v="120"/>
    <n v="96"/>
    <n v="0"/>
    <n v="24"/>
    <n v="0"/>
    <n v="0"/>
    <n v="0"/>
    <n v="0"/>
    <n v="0"/>
    <n v="0"/>
    <n v="0"/>
    <n v="0"/>
    <n v="0"/>
    <n v="0"/>
    <m/>
    <n v="92.9"/>
    <n v="204.9"/>
    <n v="3"/>
    <s v="FLINTSLFLINTSLFLINTSLFLINTSLFLINTSLFLINTSLFLINTSLFLINTSL"/>
    <s v="+"/>
    <s v="+"/>
    <s v="+"/>
    <s v="+"/>
    <s v="+"/>
    <s v="+"/>
    <s v="+"/>
    <s v="+"/>
  </r>
  <r>
    <d v="2026-01-02T00:00:00"/>
    <s v="B"/>
    <x v="39"/>
    <n v="4"/>
    <n v="744"/>
    <n v="33900"/>
    <s v="II"/>
    <s v="N"/>
    <n v="1.65"/>
    <s v="BLACK"/>
    <s v="E00997B"/>
    <s v="FLINTSL - BLACK"/>
    <n v="25"/>
    <n v="0"/>
    <m/>
    <m/>
    <n v="0"/>
    <n v="25862000007"/>
    <m/>
    <m/>
    <m/>
    <m/>
    <m/>
    <m/>
    <m/>
    <n v="13"/>
    <e v="#N/A"/>
    <m/>
    <n v="0"/>
    <m/>
    <n v="0"/>
    <m/>
    <n v="0"/>
    <m/>
    <n v="0"/>
    <m/>
    <n v="0"/>
    <m/>
    <n v="0"/>
    <m/>
    <n v="0"/>
    <s v="FLINTSL"/>
    <n v="24"/>
    <n v="0"/>
    <n v="21.450000000000003"/>
    <n v="0"/>
    <s v="BLACK"/>
    <s v="E00997B"/>
    <s v="FLINTSL - BLACK"/>
    <n v="20"/>
    <n v="0"/>
    <m/>
    <m/>
    <n v="0"/>
    <n v="25862000007"/>
    <n v="25863000009"/>
    <n v="25864000008"/>
    <m/>
    <m/>
    <m/>
    <m/>
    <m/>
    <n v="1"/>
    <e v="#N/A"/>
    <n v="3"/>
    <e v="#N/A"/>
    <n v="4"/>
    <e v="#N/A"/>
    <m/>
    <n v="0"/>
    <m/>
    <n v="0"/>
    <m/>
    <n v="0"/>
    <m/>
    <n v="0"/>
    <m/>
    <n v="0"/>
    <s v="FLINTSL"/>
    <n v="29"/>
    <n v="0"/>
    <n v="11.416666666666664"/>
    <n v="0"/>
    <s v="MEDIUM"/>
    <s v="N00867M"/>
    <s v="FLINTSL - MEDIUM"/>
    <n v="10"/>
    <n v="0"/>
    <s v="N00865M"/>
    <n v="30"/>
    <n v="0"/>
    <s v="FW"/>
    <s v="FMD"/>
    <n v="25864000008"/>
    <m/>
    <m/>
    <m/>
    <m/>
    <m/>
    <n v="15"/>
    <n v="0"/>
    <n v="5"/>
    <n v="0"/>
    <n v="2"/>
    <e v="#N/A"/>
    <m/>
    <n v="0"/>
    <m/>
    <n v="0"/>
    <m/>
    <n v="0"/>
    <m/>
    <n v="0"/>
    <m/>
    <n v="0"/>
    <s v="FLINTSL"/>
    <n v="44"/>
    <n v="0"/>
    <n v="47.8"/>
    <n v="0"/>
    <s v="GREEN"/>
    <s v="C01434G"/>
    <s v="FLINTSL - GREEN"/>
    <n v="25"/>
    <n v="0"/>
    <m/>
    <m/>
    <n v="0"/>
    <n v="25863000002"/>
    <m/>
    <m/>
    <m/>
    <m/>
    <m/>
    <m/>
    <m/>
    <n v="12"/>
    <e v="#N/A"/>
    <m/>
    <n v="0"/>
    <m/>
    <n v="0"/>
    <m/>
    <n v="0"/>
    <m/>
    <n v="0"/>
    <m/>
    <n v="0"/>
    <m/>
    <n v="0"/>
    <m/>
    <n v="0"/>
    <s v="FLINTSL"/>
    <n v="24"/>
    <n v="0"/>
    <n v="20.450000000000003"/>
    <n v="0"/>
    <s v="MAGENTA"/>
    <s v="E00997M"/>
    <s v="FLINTSL - MAGENTA"/>
    <n v="24"/>
    <n v="0"/>
    <m/>
    <m/>
    <n v="0"/>
    <n v="25863000024"/>
    <m/>
    <m/>
    <m/>
    <m/>
    <m/>
    <m/>
    <m/>
    <n v="13"/>
    <e v="#N/A"/>
    <m/>
    <n v="0"/>
    <m/>
    <n v="0"/>
    <m/>
    <n v="0"/>
    <m/>
    <n v="0"/>
    <m/>
    <n v="0"/>
    <m/>
    <n v="0"/>
    <m/>
    <n v="0"/>
    <s v="FLINTSL"/>
    <n v="22"/>
    <n v="0"/>
    <n v="19.966666666666669"/>
    <n v="0"/>
    <s v="YELLOW"/>
    <s v="E00997Y"/>
    <s v="FLINTSL - YELLOW"/>
    <n v="24"/>
    <n v="0"/>
    <m/>
    <m/>
    <n v="0"/>
    <s v="FMD"/>
    <m/>
    <m/>
    <m/>
    <m/>
    <m/>
    <m/>
    <m/>
    <n v="14"/>
    <n v="0"/>
    <m/>
    <n v="0"/>
    <m/>
    <n v="0"/>
    <m/>
    <n v="0"/>
    <m/>
    <n v="0"/>
    <m/>
    <n v="0"/>
    <m/>
    <n v="0"/>
    <m/>
    <n v="0"/>
    <s v="FLINTSL"/>
    <n v="25"/>
    <n v="0"/>
    <n v="25.416666666666664"/>
    <n v="0"/>
    <s v="WHITE"/>
    <s v="C01434W"/>
    <s v="FLINTSL - WHITE"/>
    <n v="35"/>
    <n v="0"/>
    <m/>
    <m/>
    <n v="0"/>
    <s v="FW"/>
    <m/>
    <m/>
    <m/>
    <m/>
    <m/>
    <m/>
    <m/>
    <n v="160"/>
    <n v="0"/>
    <m/>
    <n v="0"/>
    <m/>
    <n v="0"/>
    <m/>
    <n v="0"/>
    <m/>
    <n v="0"/>
    <m/>
    <n v="0"/>
    <m/>
    <n v="0"/>
    <m/>
    <n v="0"/>
    <s v="FLINTSL"/>
    <n v="29"/>
    <n v="0"/>
    <n v="389.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5"/>
    <n v="12"/>
    <n v="3"/>
    <n v="2"/>
    <n v="5"/>
    <n v="90"/>
    <n v="0"/>
    <n v="0.8"/>
    <n v="0.2"/>
    <m/>
    <m/>
    <m/>
    <n v="0"/>
    <n v="298"/>
    <n v="0"/>
    <n v="0"/>
    <n v="298"/>
    <n v="298"/>
    <n v="238.4"/>
    <n v="0"/>
    <n v="59.6"/>
    <n v="0"/>
    <n v="0"/>
    <n v="0"/>
    <n v="0"/>
    <n v="0"/>
    <n v="0"/>
    <n v="0"/>
    <n v="0"/>
    <n v="0"/>
    <n v="0"/>
    <m/>
    <n v="242"/>
    <n v="536"/>
    <n v="4"/>
    <s v="FLINTSLFLINTSLFLINTSLFLINTSLFLINTSLFLINTSLFLINTSL"/>
    <s v="+"/>
    <s v="+"/>
    <s v="+"/>
    <s v="+"/>
    <s v="+"/>
    <s v="+"/>
    <s v="+"/>
    <s v="NIL"/>
  </r>
  <r>
    <d v="2026-01-02T00:00:00"/>
    <s v="B"/>
    <x v="40"/>
    <n v="5"/>
    <n v="473"/>
    <n v="23500"/>
    <s v="II"/>
    <s v="N"/>
    <n v="2.1"/>
    <s v="BLACK"/>
    <s v="N00703B"/>
    <s v="FLINTSL - BLACK"/>
    <n v="24"/>
    <n v="0"/>
    <m/>
    <m/>
    <n v="0"/>
    <n v="25862000007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9.125"/>
    <n v="0"/>
    <s v="REFLEX BLUE"/>
    <s v="E00996BN"/>
    <s v="FLINTSL - REFLEX BLUE"/>
    <n v="15"/>
    <n v="0"/>
    <s v="H01284B"/>
    <n v="7"/>
    <n v="0"/>
    <s v="FMD"/>
    <n v="25863000002"/>
    <m/>
    <m/>
    <m/>
    <m/>
    <m/>
    <m/>
    <n v="5"/>
    <n v="0"/>
    <n v="2"/>
    <e v="#N/A"/>
    <m/>
    <n v="0"/>
    <m/>
    <n v="0"/>
    <m/>
    <n v="0"/>
    <m/>
    <n v="0"/>
    <m/>
    <n v="0"/>
    <m/>
    <n v="0"/>
    <s v="FLINTSL"/>
    <n v="25"/>
    <n v="0"/>
    <n v="20.875"/>
    <n v="0"/>
    <s v="RED"/>
    <s v="E00997R"/>
    <s v="FLINTSL - RED"/>
    <n v="20"/>
    <n v="0"/>
    <m/>
    <m/>
    <n v="0"/>
    <n v="26502000005"/>
    <n v="25863000024"/>
    <m/>
    <m/>
    <m/>
    <m/>
    <m/>
    <m/>
    <n v="40"/>
    <e v="#N/A"/>
    <n v="7"/>
    <e v="#N/A"/>
    <m/>
    <n v="0"/>
    <m/>
    <n v="0"/>
    <m/>
    <n v="0"/>
    <m/>
    <n v="0"/>
    <m/>
    <n v="0"/>
    <m/>
    <n v="0"/>
    <s v="FLINTSL"/>
    <n v="30"/>
    <n v="0"/>
    <n v="50.5"/>
    <n v="0"/>
    <s v="CYAN"/>
    <s v="E00997C"/>
    <s v="FLINTSL - CYAN"/>
    <n v="22"/>
    <n v="0"/>
    <m/>
    <m/>
    <n v="0"/>
    <n v="25863000002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10.125"/>
    <n v="0"/>
    <s v="MAGENTA"/>
    <s v="N00703Y"/>
    <s v="FLINTSL - MAGENTA"/>
    <n v="22"/>
    <n v="0"/>
    <m/>
    <m/>
    <n v="0"/>
    <n v="25863000024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5"/>
    <n v="0"/>
    <n v="10.125"/>
    <n v="0"/>
    <s v="YELLOW"/>
    <s v="N00703Y"/>
    <s v="FLINTSL - YELLOW"/>
    <n v="25"/>
    <n v="0"/>
    <m/>
    <m/>
    <n v="0"/>
    <n v="25864000008"/>
    <s v="FMD"/>
    <m/>
    <m/>
    <m/>
    <m/>
    <m/>
    <m/>
    <n v="4"/>
    <e v="#N/A"/>
    <n v="5"/>
    <n v="0"/>
    <m/>
    <n v="0"/>
    <m/>
    <n v="0"/>
    <m/>
    <n v="0"/>
    <m/>
    <n v="0"/>
    <m/>
    <n v="0"/>
    <m/>
    <n v="0"/>
    <s v="FLINTSL"/>
    <n v="30"/>
    <n v="0"/>
    <n v="17.5"/>
    <n v="0"/>
    <s v="YELLOW"/>
    <m/>
    <s v="FLINTSL - YELLOW"/>
    <m/>
    <n v="0"/>
    <m/>
    <m/>
    <n v="0"/>
    <n v="26502000006"/>
    <n v="25864000008"/>
    <n v="26503000004"/>
    <m/>
    <m/>
    <m/>
    <m/>
    <m/>
    <n v="40"/>
    <e v="#N/A"/>
    <n v="5"/>
    <e v="#N/A"/>
    <n v="30"/>
    <e v="#N/A"/>
    <m/>
    <n v="0"/>
    <m/>
    <n v="0"/>
    <m/>
    <n v="0"/>
    <m/>
    <n v="0"/>
    <m/>
    <n v="0"/>
    <s v="FLINTSL"/>
    <n v="30"/>
    <n v="0"/>
    <n v="58.5"/>
    <n v="0"/>
    <s v="WHITE"/>
    <s v="N00703W"/>
    <s v="KSA Ink Product - WHITE"/>
    <n v="29"/>
    <n v="0"/>
    <m/>
    <m/>
    <n v="0"/>
    <n v="2000"/>
    <n v="165"/>
    <m/>
    <m/>
    <m/>
    <m/>
    <m/>
    <m/>
    <n v="50"/>
    <n v="0"/>
    <n v="1.93"/>
    <n v="0"/>
    <m/>
    <n v="0"/>
    <m/>
    <n v="0"/>
    <m/>
    <n v="0"/>
    <m/>
    <n v="0"/>
    <m/>
    <n v="0"/>
    <m/>
    <n v="0"/>
    <s v="KSA Ink Product"/>
    <n v="30"/>
    <n v="0"/>
    <n v="152.18"/>
    <n v="0"/>
    <n v="3"/>
    <n v="5"/>
    <n v="4"/>
    <n v="3"/>
    <n v="3"/>
    <n v="4"/>
    <n v="4"/>
    <n v="30"/>
    <n v="0.8"/>
    <n v="0.2"/>
    <m/>
    <m/>
    <m/>
    <n v="0"/>
    <n v="189"/>
    <n v="0"/>
    <n v="0"/>
    <n v="189"/>
    <n v="189"/>
    <n v="151.20000000000002"/>
    <n v="0"/>
    <n v="37.800000000000004"/>
    <n v="0"/>
    <n v="0"/>
    <n v="0"/>
    <n v="0"/>
    <n v="0"/>
    <n v="0"/>
    <n v="0"/>
    <n v="0"/>
    <n v="0"/>
    <n v="0"/>
    <m/>
    <n v="198.93"/>
    <n v="328.93"/>
    <n v="5"/>
    <s v="FLINTSLFLINTSLFLINTSLFLINTSLFLINTSLFLINTSLFLINTSLKSA Ink Product"/>
    <s v="+"/>
    <s v="+"/>
    <s v="+"/>
    <s v="+"/>
    <s v="+"/>
    <s v="+"/>
    <s v="+"/>
    <s v="+"/>
  </r>
  <r>
    <d v="2026-01-03T00:00:00"/>
    <s v="A"/>
    <x v="41"/>
    <n v="6"/>
    <n v="497"/>
    <n v="26200"/>
    <s v="II"/>
    <s v="N"/>
    <n v="0.1"/>
    <s v="BLACK"/>
    <s v="C01421B"/>
    <s v="FLINTSL - BLACK"/>
    <n v="27"/>
    <n v="0"/>
    <m/>
    <m/>
    <n v="0"/>
    <n v="25862000007"/>
    <m/>
    <m/>
    <m/>
    <m/>
    <m/>
    <m/>
    <m/>
    <n v="14"/>
    <e v="#N/A"/>
    <m/>
    <n v="0"/>
    <m/>
    <n v="0"/>
    <m/>
    <n v="0"/>
    <m/>
    <n v="0"/>
    <m/>
    <n v="0"/>
    <m/>
    <n v="0"/>
    <m/>
    <n v="0"/>
    <s v="FLINTSL"/>
    <n v="29"/>
    <n v="0"/>
    <n v="5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2"/>
    <n v="0"/>
    <n v="0"/>
    <n v="0"/>
    <n v="0"/>
    <n v="0"/>
    <n v="0"/>
    <n v="0"/>
    <n v="0.8"/>
    <n v="0.2"/>
    <m/>
    <m/>
    <m/>
    <n v="0"/>
    <n v="42"/>
    <n v="0"/>
    <n v="0"/>
    <n v="42"/>
    <n v="42"/>
    <n v="33.6"/>
    <n v="0"/>
    <n v="8.4"/>
    <n v="0"/>
    <n v="0"/>
    <n v="0"/>
    <n v="0"/>
    <n v="0"/>
    <n v="0"/>
    <n v="0"/>
    <n v="0"/>
    <n v="0"/>
    <n v="0"/>
    <m/>
    <n v="14"/>
    <n v="54"/>
    <n v="6"/>
    <s v="FLINTSL"/>
    <s v="+"/>
    <s v="NIL"/>
    <s v="NIL"/>
    <s v="NIL"/>
    <s v="NIL"/>
    <s v="NIL"/>
    <s v="NIL"/>
    <s v="NIL"/>
  </r>
  <r>
    <d v="2026-01-03T00:00:00"/>
    <s v="A"/>
    <x v="42"/>
    <n v="7"/>
    <n v="248"/>
    <n v="13500"/>
    <s v="II"/>
    <s v="N"/>
    <n v="1.3"/>
    <s v="BLACK"/>
    <s v="C01430B"/>
    <s v="FLINTSL - BLACK"/>
    <n v="29"/>
    <n v="0"/>
    <m/>
    <m/>
    <n v="0"/>
    <n v="26503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5.6052631578947398"/>
    <n v="0"/>
    <s v="RED"/>
    <s v="C01421R"/>
    <s v="FLINTSL - RED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2"/>
    <n v="0"/>
    <n v="13.210526315789473"/>
    <n v="0"/>
    <s v="GREEN"/>
    <s v="C01434G"/>
    <s v="FLINTSL - GREEN"/>
    <n v="22"/>
    <n v="0"/>
    <m/>
    <m/>
    <n v="0"/>
    <n v="26503000005"/>
    <n v="25863000002"/>
    <m/>
    <m/>
    <m/>
    <m/>
    <m/>
    <m/>
    <n v="2"/>
    <e v="#N/A"/>
    <n v="3"/>
    <e v="#N/A"/>
    <m/>
    <n v="0"/>
    <m/>
    <n v="0"/>
    <m/>
    <n v="0"/>
    <m/>
    <n v="0"/>
    <m/>
    <n v="0"/>
    <m/>
    <n v="0"/>
    <s v="FLINTSL"/>
    <n v="24"/>
    <n v="0"/>
    <n v="8.2105263157894726"/>
    <n v="0"/>
    <s v="GREEN"/>
    <s v="C01421C"/>
    <s v="FLINTSL - GREEN"/>
    <n v="25"/>
    <n v="0"/>
    <m/>
    <m/>
    <n v="0"/>
    <n v="25863000002"/>
    <n v="25864000008"/>
    <n v="25862000007"/>
    <m/>
    <m/>
    <m/>
    <m/>
    <m/>
    <n v="5"/>
    <e v="#N/A"/>
    <n v="4"/>
    <e v="#N/A"/>
    <n v="1.5"/>
    <e v="#N/A"/>
    <m/>
    <n v="0"/>
    <m/>
    <n v="0"/>
    <m/>
    <n v="0"/>
    <m/>
    <n v="0"/>
    <m/>
    <n v="0"/>
    <s v="FLINTSL"/>
    <n v="25"/>
    <n v="0"/>
    <n v="26.131578947368418"/>
    <n v="0"/>
    <s v="CYAN"/>
    <s v="C01421C"/>
    <s v="FLINTSL - CYAN"/>
    <n v="25"/>
    <n v="0"/>
    <m/>
    <m/>
    <n v="0"/>
    <n v="25863000002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7"/>
    <n v="0"/>
    <n v="6.2105263157894726"/>
    <n v="0"/>
    <s v="MAGENTA"/>
    <s v="C01421M"/>
    <s v="FLINTSL - MAGENTA"/>
    <n v="30"/>
    <n v="0"/>
    <m/>
    <m/>
    <n v="0"/>
    <n v="25863000024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9.8157894736842124"/>
    <n v="0"/>
    <s v="YELLOW"/>
    <s v="C01421Y"/>
    <s v="FLINTSL - YELLOW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7.2105263157894726"/>
    <n v="0"/>
    <s v="WHITE"/>
    <s v="C01421W"/>
    <s v="FLINTSL - WHITE"/>
    <n v="30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30"/>
    <n v="0"/>
    <n v="92.10526315789474"/>
    <n v="0"/>
    <n v="1"/>
    <n v="2"/>
    <n v="2"/>
    <n v="6"/>
    <n v="2"/>
    <n v="3"/>
    <n v="2"/>
    <n v="20"/>
    <n v="0.8"/>
    <n v="0.2"/>
    <m/>
    <m/>
    <m/>
    <n v="0"/>
    <n v="99"/>
    <n v="0"/>
    <n v="0"/>
    <n v="99"/>
    <n v="99"/>
    <n v="79.2"/>
    <n v="0"/>
    <n v="19.8"/>
    <n v="0"/>
    <n v="0"/>
    <n v="0"/>
    <n v="0"/>
    <n v="0"/>
    <n v="0"/>
    <n v="0"/>
    <n v="0"/>
    <n v="0"/>
    <n v="0"/>
    <m/>
    <n v="62.5"/>
    <n v="168.5"/>
    <n v="7"/>
    <s v="FLINTSLFLINTSLFLINTSLFLINTSLFLINTSLFLINTSLFLINTSLFLINTSL"/>
    <s v="+"/>
    <s v="+"/>
    <s v="+"/>
    <s v="+"/>
    <s v="+"/>
    <s v="+"/>
    <s v="+"/>
    <s v="+"/>
  </r>
  <r>
    <d v="2026-01-03T00:00:00"/>
    <s v="A"/>
    <x v="43"/>
    <n v="8"/>
    <n v="1021"/>
    <n v="65200"/>
    <s v="II"/>
    <s v="N"/>
    <n v="1.9"/>
    <s v="BLACK"/>
    <s v="C01431B"/>
    <s v="FLINTSL - BLACK"/>
    <n v="28"/>
    <n v="0"/>
    <m/>
    <m/>
    <n v="0"/>
    <n v="26503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18.118811881188122"/>
    <n v="0"/>
    <s v="REFLEX BLUE"/>
    <m/>
    <s v="FLINTSL - REFLEX BLUE"/>
    <m/>
    <n v="0"/>
    <m/>
    <m/>
    <n v="0"/>
    <n v="26503000007"/>
    <m/>
    <m/>
    <m/>
    <m/>
    <m/>
    <m/>
    <m/>
    <n v="20"/>
    <e v="#N/A"/>
    <m/>
    <n v="0"/>
    <m/>
    <n v="0"/>
    <m/>
    <n v="0"/>
    <m/>
    <n v="0"/>
    <m/>
    <n v="0"/>
    <m/>
    <n v="0"/>
    <m/>
    <n v="0"/>
    <s v="FLINTSL"/>
    <n v="19"/>
    <n v="0"/>
    <n v="21.198019801980195"/>
    <n v="0"/>
    <s v="BLACK"/>
    <m/>
    <s v="FLINTSL - BLACK"/>
    <m/>
    <n v="0"/>
    <m/>
    <m/>
    <n v="0"/>
    <n v="26503000005"/>
    <n v="26503000006"/>
    <n v="26503000008"/>
    <n v="26503000011"/>
    <n v="26503000013"/>
    <n v="26503000016"/>
    <m/>
    <m/>
    <n v="1"/>
    <e v="#N/A"/>
    <n v="46"/>
    <e v="#N/A"/>
    <n v="35"/>
    <e v="#N/A"/>
    <n v="40"/>
    <e v="#N/A"/>
    <n v="40"/>
    <e v="#N/A"/>
    <n v="15"/>
    <e v="#N/A"/>
    <m/>
    <n v="0"/>
    <m/>
    <n v="0"/>
    <s v="FLINTSL"/>
    <n v="20"/>
    <n v="0"/>
    <n v="157"/>
    <n v="0"/>
    <s v="GREEN"/>
    <s v="C01431G"/>
    <s v="FLINTSL - GREEN"/>
    <n v="25"/>
    <n v="0"/>
    <m/>
    <m/>
    <n v="0"/>
    <n v="2586400000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0"/>
    <n v="0"/>
    <n v="15.079207920792079"/>
    <n v="0"/>
    <s v="CYAN"/>
    <s v="C01431C"/>
    <s v="FLINTSL - CYAN"/>
    <n v="27"/>
    <n v="0"/>
    <m/>
    <m/>
    <n v="0"/>
    <n v="25863000002"/>
    <s v="FMD"/>
    <m/>
    <m/>
    <m/>
    <m/>
    <m/>
    <m/>
    <n v="5"/>
    <e v="#N/A"/>
    <n v="5"/>
    <n v="0"/>
    <m/>
    <n v="0"/>
    <m/>
    <n v="0"/>
    <m/>
    <n v="0"/>
    <m/>
    <n v="0"/>
    <m/>
    <n v="0"/>
    <m/>
    <n v="0"/>
    <s v="FLINTSL"/>
    <n v="26"/>
    <n v="0"/>
    <n v="35.237623762376238"/>
    <n v="0"/>
    <s v="MAGENTA"/>
    <s v="C01431M"/>
    <s v="FLINTSL - MAGENTA"/>
    <n v="30"/>
    <n v="0"/>
    <m/>
    <m/>
    <n v="0"/>
    <n v="25863000024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5"/>
    <n v="0"/>
    <n v="22.118811881188122"/>
    <n v="0"/>
    <s v="YELLOW"/>
    <s v="C01431Y"/>
    <s v="FLINTSL - YELLOW"/>
    <n v="28"/>
    <n v="0"/>
    <m/>
    <m/>
    <n v="0"/>
    <n v="25864000008"/>
    <s v="FMD"/>
    <m/>
    <m/>
    <m/>
    <m/>
    <m/>
    <m/>
    <n v="15"/>
    <e v="#N/A"/>
    <n v="10"/>
    <n v="0"/>
    <m/>
    <n v="0"/>
    <m/>
    <n v="0"/>
    <m/>
    <n v="0"/>
    <m/>
    <n v="0"/>
    <m/>
    <n v="0"/>
    <m/>
    <n v="0"/>
    <s v="FLINTSL"/>
    <n v="28"/>
    <n v="0"/>
    <n v="113.87128712871288"/>
    <n v="0"/>
    <s v="WHITE"/>
    <s v="C01431W"/>
    <s v="FLINTSL - WHITE"/>
    <n v="30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342.37623762376234"/>
    <n v="0"/>
    <n v="3"/>
    <n v="5"/>
    <n v="0"/>
    <n v="2"/>
    <n v="6"/>
    <n v="3"/>
    <n v="22"/>
    <n v="60"/>
    <n v="0.8"/>
    <n v="0.2"/>
    <m/>
    <m/>
    <m/>
    <n v="0"/>
    <n v="408"/>
    <n v="0"/>
    <n v="0"/>
    <n v="408"/>
    <n v="408"/>
    <n v="326.40000000000003"/>
    <n v="0"/>
    <n v="81.600000000000009"/>
    <n v="0"/>
    <n v="0"/>
    <n v="0"/>
    <n v="0"/>
    <n v="0"/>
    <n v="0"/>
    <n v="0"/>
    <n v="0"/>
    <n v="0"/>
    <n v="0"/>
    <m/>
    <n v="341"/>
    <n v="725"/>
    <n v="8"/>
    <s v="FLINTSLFLINTSLFLINTSLFLINTSLFLINTSLFLINTSLFLINTSLFLINTSL"/>
    <s v="+"/>
    <s v="+"/>
    <s v="+"/>
    <s v="+"/>
    <s v="+"/>
    <s v="+"/>
    <s v="+"/>
    <s v="+"/>
  </r>
  <r>
    <d v="2026-01-03T00:00:00"/>
    <s v="B"/>
    <x v="44"/>
    <n v="9"/>
    <n v="1026"/>
    <n v="65500"/>
    <s v="II"/>
    <s v="N"/>
    <n v="1.57"/>
    <s v="REFLEX BLUE"/>
    <m/>
    <s v="FLINTSL - REFLEX BLUE"/>
    <m/>
    <n v="0"/>
    <m/>
    <m/>
    <n v="0"/>
    <n v="26503000009"/>
    <n v="26503000018"/>
    <n v="25863000002"/>
    <s v="FMD"/>
    <m/>
    <m/>
    <m/>
    <m/>
    <n v="55"/>
    <e v="#N/A"/>
    <n v="28"/>
    <e v="#N/A"/>
    <n v="7"/>
    <e v="#N/A"/>
    <n v="10"/>
    <n v="0"/>
    <m/>
    <n v="0"/>
    <m/>
    <n v="0"/>
    <m/>
    <n v="0"/>
    <m/>
    <n v="0"/>
    <s v="FLINTSL"/>
    <n v="30"/>
    <n v="0"/>
    <n v="91.851851851851848"/>
    <n v="0"/>
    <s v="REFLEX BLUE"/>
    <s v="H01292B"/>
    <s v="FLINTSL - REFLEX BLUE"/>
    <n v="15"/>
    <n v="0"/>
    <m/>
    <m/>
    <n v="0"/>
    <n v="25864000013"/>
    <n v="25863000002"/>
    <m/>
    <m/>
    <m/>
    <m/>
    <m/>
    <m/>
    <n v="7"/>
    <e v="#N/A"/>
    <n v="3"/>
    <e v="#N/A"/>
    <m/>
    <n v="0"/>
    <m/>
    <n v="0"/>
    <m/>
    <n v="0"/>
    <m/>
    <n v="0"/>
    <m/>
    <n v="0"/>
    <m/>
    <n v="0"/>
    <s v="FLINTSL"/>
    <n v="25"/>
    <n v="0"/>
    <n v="17.481481481481481"/>
    <n v="0"/>
    <s v="RED"/>
    <s v="C01431R"/>
    <s v="FLINTSL - RED"/>
    <n v="15"/>
    <n v="0"/>
    <s v="J00868R"/>
    <n v="23"/>
    <n v="0"/>
    <n v="25863000024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0"/>
    <n v="0"/>
    <n v="33.925925925925924"/>
    <n v="0"/>
    <s v="ORANGE"/>
    <s v="E00975O"/>
    <s v="FLINTSL - ORANGE"/>
    <n v="10"/>
    <n v="0"/>
    <m/>
    <m/>
    <n v="0"/>
    <n v="25864000008"/>
    <n v="25863000024"/>
    <s v="FMD"/>
    <m/>
    <m/>
    <m/>
    <m/>
    <m/>
    <n v="2"/>
    <e v="#N/A"/>
    <n v="2"/>
    <e v="#N/A"/>
    <n v="4"/>
    <n v="0"/>
    <m/>
    <n v="0"/>
    <m/>
    <n v="0"/>
    <m/>
    <n v="0"/>
    <m/>
    <n v="0"/>
    <m/>
    <n v="0"/>
    <s v="FLINTSL"/>
    <n v="22"/>
    <n v="0"/>
    <n v="6.9259259259259238"/>
    <n v="0"/>
    <s v="CYAN"/>
    <s v="H01292C"/>
    <s v="FLINTSL - CYAN"/>
    <n v="26"/>
    <n v="0"/>
    <m/>
    <m/>
    <n v="0"/>
    <n v="2586300000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8.3703703703703667"/>
    <n v="0"/>
    <s v="MAGENTA"/>
    <s v="H01292M"/>
    <s v="FLINTSL - MAGENTA"/>
    <n v="25"/>
    <n v="0"/>
    <m/>
    <m/>
    <n v="0"/>
    <n v="25863000024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3"/>
    <n v="0"/>
    <n v="7.3703703703703702"/>
    <n v="0"/>
    <s v="YELLOW"/>
    <s v="H01292Y"/>
    <s v="FLINTSL - YELLOW"/>
    <n v="28"/>
    <n v="0"/>
    <m/>
    <m/>
    <n v="0"/>
    <n v="25864000008"/>
    <s v="FMD"/>
    <m/>
    <m/>
    <m/>
    <m/>
    <m/>
    <m/>
    <n v="15"/>
    <e v="#N/A"/>
    <n v="5"/>
    <n v="0"/>
    <m/>
    <n v="0"/>
    <m/>
    <n v="0"/>
    <m/>
    <n v="0"/>
    <m/>
    <n v="0"/>
    <m/>
    <n v="0"/>
    <m/>
    <n v="0"/>
    <s v="FLINTSL"/>
    <n v="27"/>
    <n v="0"/>
    <n v="42.851851851851848"/>
    <n v="0"/>
    <s v="WHITE"/>
    <s v="H01292W"/>
    <s v="FLINTSL - WHITE"/>
    <n v="30"/>
    <n v="0"/>
    <m/>
    <m/>
    <n v="0"/>
    <s v="FW"/>
    <m/>
    <m/>
    <m/>
    <m/>
    <m/>
    <m/>
    <m/>
    <n v="200"/>
    <n v="0"/>
    <m/>
    <n v="0"/>
    <m/>
    <n v="0"/>
    <m/>
    <n v="0"/>
    <m/>
    <n v="0"/>
    <m/>
    <n v="0"/>
    <m/>
    <n v="0"/>
    <m/>
    <n v="0"/>
    <s v="FLINTSL"/>
    <n v="30"/>
    <n v="0"/>
    <n v="462.22222222222223"/>
    <n v="0"/>
    <n v="10"/>
    <n v="8"/>
    <n v="5"/>
    <n v="5"/>
    <n v="2"/>
    <n v="2"/>
    <n v="10"/>
    <n v="120"/>
    <n v="0.8"/>
    <n v="0.2"/>
    <m/>
    <m/>
    <m/>
    <n v="0"/>
    <n v="354"/>
    <n v="0"/>
    <n v="0"/>
    <n v="354"/>
    <n v="354"/>
    <n v="283.2"/>
    <n v="0"/>
    <n v="70.8"/>
    <n v="0"/>
    <n v="0"/>
    <n v="0"/>
    <n v="0"/>
    <n v="0"/>
    <n v="0"/>
    <n v="0"/>
    <n v="0"/>
    <n v="0"/>
    <n v="0"/>
    <m/>
    <n v="346"/>
    <n v="671"/>
    <n v="9"/>
    <s v="FLINTSLFLINTSLFLINTSLFLINTSLFLINTSLFLINTSLFLINTSLFLINTSL"/>
    <s v="+"/>
    <s v="+"/>
    <s v="+"/>
    <s v="+"/>
    <s v="+"/>
    <s v="+"/>
    <s v="+"/>
    <s v="+"/>
  </r>
  <r>
    <d v="2026-01-03T00:00:00"/>
    <s v="B"/>
    <x v="45"/>
    <n v="10"/>
    <n v="1558"/>
    <n v="99500"/>
    <s v="II"/>
    <s v="N"/>
    <n v="2"/>
    <s v="BLACK"/>
    <s v="H01292B"/>
    <s v="FLINTSL - BLACK"/>
    <n v="24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30"/>
    <n v="0"/>
    <n v="14.055248618784532"/>
    <n v="0"/>
    <s v="REFLEX BLUE"/>
    <s v="H01282B"/>
    <s v="FLINTSL - REFLEX BLUE"/>
    <n v="25"/>
    <n v="0"/>
    <m/>
    <m/>
    <n v="0"/>
    <n v="25864000009"/>
    <s v="FMD"/>
    <m/>
    <m/>
    <m/>
    <m/>
    <m/>
    <m/>
    <n v="4"/>
    <e v="#N/A"/>
    <n v="4"/>
    <n v="0"/>
    <m/>
    <n v="0"/>
    <m/>
    <n v="0"/>
    <m/>
    <n v="0"/>
    <m/>
    <n v="0"/>
    <m/>
    <n v="0"/>
    <m/>
    <n v="0"/>
    <s v="FLINTSL"/>
    <n v="29"/>
    <n v="0"/>
    <n v="13.033149171270722"/>
    <n v="0"/>
    <s v="RED"/>
    <m/>
    <s v="FLINTSL - RED"/>
    <m/>
    <n v="0"/>
    <m/>
    <m/>
    <n v="0"/>
    <n v="26504000002"/>
    <n v="26503000012"/>
    <n v="25862000010"/>
    <n v="25863000024"/>
    <n v="25863000009"/>
    <m/>
    <m/>
    <m/>
    <n v="15"/>
    <e v="#N/A"/>
    <n v="30"/>
    <e v="#N/A"/>
    <n v="15"/>
    <e v="#N/A"/>
    <n v="14"/>
    <e v="#N/A"/>
    <n v="33"/>
    <e v="#N/A"/>
    <m/>
    <n v="0"/>
    <m/>
    <n v="0"/>
    <m/>
    <n v="0"/>
    <s v="FLINTSL"/>
    <n v="32"/>
    <n v="0"/>
    <n v="165.33149171270719"/>
    <n v="0"/>
    <s v="CYAN"/>
    <s v="H01282C"/>
    <s v="FLINTSL - CYAN"/>
    <n v="24"/>
    <n v="0"/>
    <m/>
    <m/>
    <n v="0"/>
    <n v="25864000009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8.0331491712707219"/>
    <n v="0"/>
    <s v="MAGENTA"/>
    <s v="H01282M"/>
    <s v="FLINTSL - MAGENTA"/>
    <n v="23"/>
    <n v="0"/>
    <m/>
    <m/>
    <n v="0"/>
    <n v="26503000003"/>
    <s v="FMD"/>
    <m/>
    <m/>
    <m/>
    <m/>
    <m/>
    <m/>
    <n v="5"/>
    <e v="#N/A"/>
    <n v="3"/>
    <n v="0"/>
    <m/>
    <n v="0"/>
    <m/>
    <n v="0"/>
    <m/>
    <n v="0"/>
    <m/>
    <n v="0"/>
    <m/>
    <n v="0"/>
    <m/>
    <n v="0"/>
    <s v="FLINTSL"/>
    <n v="30"/>
    <n v="0"/>
    <n v="1"/>
    <n v="0"/>
    <s v="YELLOW"/>
    <s v="H01282Y"/>
    <s v="FLINTSL - YELLOW"/>
    <n v="27"/>
    <n v="0"/>
    <m/>
    <m/>
    <n v="0"/>
    <n v="26503000021"/>
    <s v="FMD"/>
    <n v="25864000008"/>
    <m/>
    <m/>
    <m/>
    <m/>
    <m/>
    <n v="80"/>
    <e v="#N/A"/>
    <n v="10"/>
    <n v="0"/>
    <n v="20"/>
    <e v="#N/A"/>
    <m/>
    <n v="0"/>
    <m/>
    <n v="0"/>
    <m/>
    <n v="0"/>
    <m/>
    <n v="0"/>
    <m/>
    <n v="0"/>
    <s v="FLINTSL"/>
    <n v="31"/>
    <n v="0"/>
    <n v="151.1657458563536"/>
    <n v="0"/>
    <s v="GOLD"/>
    <s v="E00980G"/>
    <s v="FLINTSL - GOLD"/>
    <n v="26"/>
    <n v="0"/>
    <m/>
    <m/>
    <n v="0"/>
    <s v="FGO"/>
    <s v="FSI"/>
    <m/>
    <m/>
    <m/>
    <m/>
    <m/>
    <m/>
    <n v="5"/>
    <n v="0"/>
    <n v="4"/>
    <n v="0"/>
    <m/>
    <n v="0"/>
    <m/>
    <n v="0"/>
    <m/>
    <n v="0"/>
    <m/>
    <n v="0"/>
    <m/>
    <n v="0"/>
    <m/>
    <n v="0"/>
    <s v="FLINTSL"/>
    <n v="36"/>
    <n v="0"/>
    <n v="14.055248618784532"/>
    <n v="0"/>
    <s v="WHITE"/>
    <s v="H01282W"/>
    <s v="FLINTSL - WHITE"/>
    <n v="30"/>
    <n v="0"/>
    <m/>
    <m/>
    <n v="0"/>
    <s v="FW"/>
    <m/>
    <m/>
    <m/>
    <m/>
    <m/>
    <m/>
    <m/>
    <n v="200"/>
    <n v="0"/>
    <m/>
    <n v="0"/>
    <m/>
    <n v="0"/>
    <m/>
    <n v="0"/>
    <m/>
    <n v="0"/>
    <m/>
    <n v="0"/>
    <m/>
    <n v="0"/>
    <m/>
    <n v="0"/>
    <s v="FLINTSL"/>
    <n v="24"/>
    <n v="0"/>
    <n v="567.32596685082876"/>
    <n v="0"/>
    <n v="5"/>
    <n v="3"/>
    <n v="30"/>
    <n v="3"/>
    <n v="0"/>
    <n v="15"/>
    <n v="5"/>
    <n v="120"/>
    <n v="0.8"/>
    <n v="0.2"/>
    <m/>
    <m/>
    <m/>
    <n v="0"/>
    <n v="545"/>
    <n v="0"/>
    <n v="0"/>
    <n v="545"/>
    <n v="545"/>
    <n v="436"/>
    <n v="0"/>
    <n v="109"/>
    <n v="0"/>
    <n v="0"/>
    <n v="0"/>
    <n v="0"/>
    <n v="0"/>
    <n v="0"/>
    <n v="0"/>
    <n v="0"/>
    <n v="0"/>
    <n v="0"/>
    <m/>
    <n v="452"/>
    <n v="934"/>
    <n v="10"/>
    <s v="FLINTSLFLINTSLFLINTSLFLINTSLFLINTSLFLINTSLFLINTSLFLINTSL"/>
    <s v="+"/>
    <s v="+"/>
    <s v="+"/>
    <s v="+"/>
    <s v="+"/>
    <s v="+"/>
    <s v="+"/>
    <s v="+"/>
  </r>
  <r>
    <d v="2026-01-03T00:00:00"/>
    <s v="B"/>
    <x v="46"/>
    <n v="11"/>
    <n v="2451"/>
    <n v="129200"/>
    <s v="II"/>
    <s v="N"/>
    <n v="2.0499999999999998"/>
    <s v="BLACK"/>
    <s v="H01203B"/>
    <s v="FLINTSL - BLACK"/>
    <n v="30"/>
    <n v="0"/>
    <m/>
    <m/>
    <n v="0"/>
    <n v="26503000005"/>
    <m/>
    <m/>
    <m/>
    <m/>
    <m/>
    <m/>
    <m/>
    <n v="12"/>
    <e v="#N/A"/>
    <m/>
    <n v="0"/>
    <m/>
    <n v="0"/>
    <m/>
    <n v="0"/>
    <m/>
    <n v="0"/>
    <m/>
    <n v="0"/>
    <m/>
    <n v="0"/>
    <m/>
    <n v="0"/>
    <s v="FLINTSL"/>
    <n v="29"/>
    <n v="0"/>
    <n v="39.56346749226006"/>
    <n v="0"/>
    <s v="REFLEX BLUE"/>
    <s v="J00868B"/>
    <s v="FLINTSL - REFLEX BLUE"/>
    <n v="22"/>
    <n v="0"/>
    <s v="F00840B"/>
    <n v="10"/>
    <n v="0"/>
    <n v="26504000004"/>
    <n v="26504000003"/>
    <n v="9472"/>
    <n v="26503000003"/>
    <n v="26504000006"/>
    <n v="26503000014"/>
    <m/>
    <m/>
    <n v="140"/>
    <e v="#N/A"/>
    <n v="40"/>
    <e v="#N/A"/>
    <n v="70"/>
    <n v="0"/>
    <n v="26"/>
    <e v="#N/A"/>
    <n v="40"/>
    <e v="#N/A"/>
    <n v="42"/>
    <e v="#N/A"/>
    <m/>
    <n v="0"/>
    <m/>
    <n v="0"/>
    <s v="FLINTSL"/>
    <n v="30"/>
    <n v="0"/>
    <n v="413.12693498452012"/>
    <n v="0"/>
    <s v="RED"/>
    <s v="H01203R"/>
    <s v="FLINTSL - RED"/>
    <n v="32"/>
    <n v="0"/>
    <m/>
    <m/>
    <n v="0"/>
    <n v="25862000010"/>
    <n v="26503000003"/>
    <n v="25863000009"/>
    <m/>
    <m/>
    <m/>
    <m/>
    <m/>
    <n v="11"/>
    <e v="#N/A"/>
    <n v="6"/>
    <e v="#N/A"/>
    <n v="4"/>
    <e v="#N/A"/>
    <m/>
    <n v="0"/>
    <m/>
    <n v="0"/>
    <m/>
    <n v="0"/>
    <m/>
    <n v="0"/>
    <m/>
    <n v="0"/>
    <s v="FLINTSL"/>
    <n v="30"/>
    <n v="0"/>
    <n v="49.56346749226006"/>
    <n v="0"/>
    <s v="CYAN"/>
    <s v="H01203C"/>
    <s v="FLINTSL - CYAN"/>
    <n v="30"/>
    <n v="0"/>
    <m/>
    <m/>
    <n v="0"/>
    <n v="25864000009"/>
    <s v="FMD"/>
    <m/>
    <m/>
    <m/>
    <m/>
    <m/>
    <m/>
    <n v="10"/>
    <e v="#N/A"/>
    <n v="6"/>
    <n v="0"/>
    <m/>
    <n v="0"/>
    <m/>
    <n v="0"/>
    <m/>
    <n v="0"/>
    <m/>
    <n v="0"/>
    <m/>
    <n v="0"/>
    <m/>
    <n v="0"/>
    <s v="FLINTSL"/>
    <n v="31"/>
    <n v="0"/>
    <n v="41.56346749226006"/>
    <n v="0"/>
    <s v="MAGENTA"/>
    <s v="H01203M"/>
    <s v="FLINTSL - MAGENTA"/>
    <n v="30"/>
    <n v="0"/>
    <m/>
    <m/>
    <n v="0"/>
    <n v="26503000003"/>
    <s v="FMD"/>
    <m/>
    <m/>
    <m/>
    <m/>
    <m/>
    <m/>
    <n v="8"/>
    <e v="#N/A"/>
    <n v="6"/>
    <n v="0"/>
    <m/>
    <n v="0"/>
    <m/>
    <n v="0"/>
    <m/>
    <n v="0"/>
    <m/>
    <n v="0"/>
    <m/>
    <n v="0"/>
    <m/>
    <n v="0"/>
    <s v="FLINTSL"/>
    <n v="30"/>
    <n v="0"/>
    <n v="48.532507739938083"/>
    <n v="0"/>
    <s v="YELLOW"/>
    <s v="H01203Y"/>
    <s v="FLINTSL - YELLOW"/>
    <n v="31"/>
    <n v="0"/>
    <m/>
    <m/>
    <n v="0"/>
    <n v="26503000002"/>
    <s v="FMD"/>
    <m/>
    <m/>
    <m/>
    <m/>
    <m/>
    <m/>
    <n v="20"/>
    <e v="#N/A"/>
    <n v="10"/>
    <n v="0"/>
    <m/>
    <n v="0"/>
    <m/>
    <n v="0"/>
    <m/>
    <n v="0"/>
    <m/>
    <n v="0"/>
    <m/>
    <n v="0"/>
    <m/>
    <n v="0"/>
    <s v="FLINTSL"/>
    <n v="32"/>
    <n v="0"/>
    <n v="82.126934984520119"/>
    <n v="0"/>
    <s v="WHITE"/>
    <s v="H01203W"/>
    <s v="FLINTSL - WHITE"/>
    <n v="24"/>
    <n v="0"/>
    <m/>
    <m/>
    <n v="0"/>
    <n v="2000"/>
    <n v="165"/>
    <m/>
    <m/>
    <m/>
    <m/>
    <m/>
    <m/>
    <n v="400"/>
    <n v="0"/>
    <n v="12.36"/>
    <n v="0"/>
    <m/>
    <n v="0"/>
    <m/>
    <n v="0"/>
    <m/>
    <n v="0"/>
    <m/>
    <n v="0"/>
    <m/>
    <n v="0"/>
    <m/>
    <n v="0"/>
    <s v="FLINTSL"/>
    <n v="24"/>
    <n v="0"/>
    <n v="1049.883219814241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20"/>
    <n v="10"/>
    <n v="10"/>
    <n v="13"/>
    <n v="20"/>
    <n v="240"/>
    <n v="0"/>
    <n v="0.8"/>
    <n v="0.2"/>
    <m/>
    <m/>
    <m/>
    <n v="0"/>
    <n v="858"/>
    <n v="0"/>
    <n v="0"/>
    <n v="858"/>
    <n v="858"/>
    <n v="686.40000000000009"/>
    <n v="0"/>
    <n v="171.60000000000002"/>
    <n v="0"/>
    <n v="0"/>
    <n v="0"/>
    <n v="0"/>
    <n v="0"/>
    <n v="0"/>
    <n v="0"/>
    <n v="0"/>
    <n v="0"/>
    <n v="0"/>
    <m/>
    <n v="863.36"/>
    <n v="1724.3600000000001"/>
    <n v="11"/>
    <s v="FLINTSLFLINTSLFLINTSLFLINTSLFLINTSLFLINTSLFLINTSL"/>
    <s v="+"/>
    <s v="+"/>
    <s v="+"/>
    <s v="+"/>
    <s v="+"/>
    <s v="+"/>
    <s v="+"/>
    <s v="NIL"/>
  </r>
  <r>
    <d v="2026-01-04T00:00:00"/>
    <s v="A"/>
    <x v="47"/>
    <n v="12"/>
    <n v="1724"/>
    <n v="92900"/>
    <s v="II"/>
    <s v="N"/>
    <n v="1.9"/>
    <s v="BLACK"/>
    <s v="E00976B"/>
    <s v="FLINTSL - BLACK"/>
    <n v="29"/>
    <n v="0"/>
    <m/>
    <m/>
    <n v="0"/>
    <n v="26503000005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30"/>
    <n v="0"/>
    <n v="21.85221674876847"/>
    <n v="0"/>
    <s v="REFLEX BLUE"/>
    <s v="H01282RB"/>
    <s v="FLINTSL - REFLEX BLUE"/>
    <n v="30"/>
    <n v="0"/>
    <s v="E00976RB"/>
    <n v="30"/>
    <n v="0"/>
    <n v="9472"/>
    <n v="25864000009"/>
    <n v="26504000007"/>
    <n v="26503000017"/>
    <m/>
    <m/>
    <m/>
    <m/>
    <n v="130"/>
    <n v="0"/>
    <n v="20"/>
    <e v="#N/A"/>
    <n v="164"/>
    <e v="#N/A"/>
    <n v="10"/>
    <e v="#N/A"/>
    <m/>
    <n v="0"/>
    <m/>
    <n v="0"/>
    <m/>
    <n v="0"/>
    <m/>
    <n v="0"/>
    <s v="FLINTSL"/>
    <n v="32"/>
    <n v="0"/>
    <n v="366.85221674876846"/>
    <n v="0"/>
    <s v="RED"/>
    <s v="E00976R"/>
    <s v="FLINTSL - RED"/>
    <n v="32"/>
    <n v="0"/>
    <m/>
    <m/>
    <n v="0"/>
    <n v="26504000005"/>
    <n v="26503000005"/>
    <m/>
    <m/>
    <m/>
    <m/>
    <m/>
    <m/>
    <n v="10"/>
    <e v="#N/A"/>
    <n v="0.2"/>
    <e v="#N/A"/>
    <m/>
    <n v="0"/>
    <m/>
    <n v="0"/>
    <m/>
    <n v="0"/>
    <m/>
    <n v="0"/>
    <m/>
    <n v="0"/>
    <m/>
    <n v="0"/>
    <s v="FLINTSL"/>
    <n v="35"/>
    <n v="0"/>
    <n v="7.2000000000000028"/>
    <n v="0"/>
    <s v="CYAN"/>
    <s v="E00976C"/>
    <s v="FLINTSL - CYAN"/>
    <n v="31"/>
    <n v="0"/>
    <m/>
    <m/>
    <n v="0"/>
    <n v="25864000009"/>
    <s v="FMD"/>
    <m/>
    <m/>
    <m/>
    <m/>
    <m/>
    <m/>
    <n v="12"/>
    <e v="#N/A"/>
    <n v="6"/>
    <n v="0"/>
    <m/>
    <n v="0"/>
    <m/>
    <n v="0"/>
    <m/>
    <n v="0"/>
    <m/>
    <n v="0"/>
    <m/>
    <n v="0"/>
    <m/>
    <n v="0"/>
    <s v="FLINTSL"/>
    <n v="45"/>
    <n v="0"/>
    <n v="27.763546798029552"/>
    <n v="0"/>
    <s v="MAGENTA"/>
    <s v="E00976M"/>
    <s v="FLINTSL - MAGENTA"/>
    <n v="30"/>
    <n v="0"/>
    <m/>
    <m/>
    <n v="0"/>
    <s v="FMD"/>
    <n v="26504000005"/>
    <m/>
    <m/>
    <m/>
    <m/>
    <m/>
    <m/>
    <n v="7"/>
    <n v="0"/>
    <n v="12"/>
    <e v="#N/A"/>
    <m/>
    <n v="0"/>
    <m/>
    <n v="0"/>
    <m/>
    <n v="0"/>
    <m/>
    <n v="0"/>
    <m/>
    <n v="0"/>
    <m/>
    <n v="0"/>
    <s v="FLINTSL"/>
    <n v="30"/>
    <n v="0"/>
    <n v="48.70443349753694"/>
    <n v="0"/>
    <s v="YELLOW"/>
    <s v="E00976Y"/>
    <s v="FLINTSL - YELLOW"/>
    <n v="32"/>
    <n v="0"/>
    <m/>
    <m/>
    <n v="0"/>
    <n v="26503000002"/>
    <s v="FMD"/>
    <m/>
    <m/>
    <m/>
    <m/>
    <m/>
    <m/>
    <n v="20"/>
    <e v="#N/A"/>
    <n v="10"/>
    <n v="0"/>
    <m/>
    <n v="0"/>
    <m/>
    <n v="0"/>
    <m/>
    <n v="0"/>
    <m/>
    <n v="0"/>
    <m/>
    <n v="0"/>
    <m/>
    <n v="0"/>
    <s v="FLINTSL"/>
    <n v="25"/>
    <n v="0"/>
    <n v="66.70443349753694"/>
    <n v="0"/>
    <s v="WHITE"/>
    <s v="E00976W"/>
    <s v="FLINTSL - WHITE"/>
    <n v="24"/>
    <n v="0"/>
    <m/>
    <m/>
    <n v="0"/>
    <s v="FW"/>
    <m/>
    <m/>
    <m/>
    <m/>
    <m/>
    <m/>
    <m/>
    <n v="260"/>
    <n v="0"/>
    <m/>
    <n v="0"/>
    <m/>
    <n v="0"/>
    <m/>
    <n v="0"/>
    <m/>
    <n v="0"/>
    <m/>
    <n v="0"/>
    <m/>
    <n v="0"/>
    <m/>
    <n v="0"/>
    <s v="FLINTSL"/>
    <n v="30"/>
    <n v="0"/>
    <n v="298.5566502463054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445.56650246305418"/>
    <n v="0"/>
    <n v="5"/>
    <n v="5"/>
    <n v="0"/>
    <n v="8"/>
    <n v="10"/>
    <n v="10"/>
    <n v="15"/>
    <n v="150"/>
    <n v="0.8"/>
    <n v="0.2"/>
    <m/>
    <m/>
    <m/>
    <n v="0"/>
    <n v="603"/>
    <n v="0"/>
    <n v="0"/>
    <n v="603"/>
    <n v="603"/>
    <n v="482.40000000000003"/>
    <n v="0"/>
    <n v="120.60000000000001"/>
    <n v="0"/>
    <n v="0"/>
    <n v="0"/>
    <n v="0"/>
    <n v="0"/>
    <n v="0"/>
    <n v="0"/>
    <n v="0"/>
    <n v="0"/>
    <n v="0"/>
    <m/>
    <n v="669.2"/>
    <n v="1283.1999999999998"/>
    <n v="12"/>
    <s v="FLINTSLFLINTSLFLINTSLFLINTSLFLINTSLFLINTSLFLINTSL"/>
    <s v="+"/>
    <s v="+"/>
    <s v="+"/>
    <s v="+"/>
    <s v="+"/>
    <s v="+"/>
    <s v="+"/>
    <s v="NIL"/>
  </r>
  <r>
    <d v="2026-01-04T00:00:00"/>
    <s v="B"/>
    <x v="48"/>
    <n v="13"/>
    <n v="497"/>
    <n v="26800"/>
    <s v="II"/>
    <s v="N"/>
    <n v="1.56"/>
    <s v="BLACK"/>
    <s v="E00990B"/>
    <s v="FLINTSL - BLACK"/>
    <n v="30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30"/>
    <n v="0"/>
    <n v="11.96"/>
    <n v="0"/>
    <s v="RED"/>
    <s v="E00990R"/>
    <s v="FLINTSL - RED"/>
    <n v="5"/>
    <n v="0"/>
    <m/>
    <m/>
    <n v="0"/>
    <n v="26504000005"/>
    <n v="25862000010"/>
    <m/>
    <m/>
    <m/>
    <m/>
    <m/>
    <m/>
    <n v="6"/>
    <e v="#N/A"/>
    <n v="4"/>
    <e v="#N/A"/>
    <m/>
    <n v="0"/>
    <m/>
    <n v="0"/>
    <m/>
    <n v="0"/>
    <m/>
    <n v="0"/>
    <m/>
    <n v="0"/>
    <m/>
    <n v="0"/>
    <s v="FLINTSL"/>
    <n v="21"/>
    <n v="0"/>
    <n v="17.200000000000003"/>
    <n v="0"/>
    <s v="REFLEX BLUE"/>
    <m/>
    <s v="FLINTSL - REFLEX BLUE"/>
    <m/>
    <n v="0"/>
    <m/>
    <m/>
    <n v="0"/>
    <n v="26503000015"/>
    <n v="26504000010"/>
    <n v="26504000009"/>
    <n v="26504000011"/>
    <m/>
    <m/>
    <m/>
    <m/>
    <n v="30"/>
    <e v="#N/A"/>
    <n v="40"/>
    <e v="#N/A"/>
    <n v="40"/>
    <e v="#N/A"/>
    <n v="10"/>
    <e v="#N/A"/>
    <m/>
    <n v="0"/>
    <m/>
    <n v="0"/>
    <m/>
    <n v="0"/>
    <m/>
    <n v="0"/>
    <s v="FLINTSL"/>
    <n v="23"/>
    <n v="0"/>
    <n v="97"/>
    <n v="0"/>
    <s v="CYAN"/>
    <s v="E00990C"/>
    <s v="FLINTSL - CYAN"/>
    <n v="10"/>
    <n v="0"/>
    <m/>
    <m/>
    <n v="0"/>
    <s v="FMD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29"/>
    <n v="0"/>
    <n v="14.200000000000003"/>
    <n v="0"/>
    <s v="MAGENTA"/>
    <s v="E00990M"/>
    <s v="FLINTSL - MAGENTA"/>
    <n v="30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33"/>
    <n v="0"/>
    <n v="9.2800000000000011"/>
    <n v="0"/>
    <s v="YELLOW"/>
    <m/>
    <s v="FLINTSL - YELLOW"/>
    <m/>
    <n v="0"/>
    <m/>
    <m/>
    <n v="0"/>
    <n v="26503000002"/>
    <m/>
    <m/>
    <m/>
    <m/>
    <m/>
    <m/>
    <m/>
    <n v="15"/>
    <e v="#N/A"/>
    <m/>
    <n v="0"/>
    <m/>
    <n v="0"/>
    <m/>
    <n v="0"/>
    <m/>
    <n v="0"/>
    <m/>
    <n v="0"/>
    <m/>
    <n v="0"/>
    <m/>
    <n v="0"/>
    <s v="FLINTSL"/>
    <n v="23"/>
    <n v="0"/>
    <n v="15.200000000000003"/>
    <n v="0"/>
    <s v="YELLOW"/>
    <m/>
    <s v="FLINTSL - YELLOW"/>
    <m/>
    <n v="0"/>
    <m/>
    <m/>
    <n v="0"/>
    <n v="26503000002"/>
    <s v="FMD"/>
    <n v="26504000005"/>
    <m/>
    <m/>
    <m/>
    <m/>
    <m/>
    <n v="15"/>
    <e v="#N/A"/>
    <n v="8"/>
    <n v="0"/>
    <n v="1"/>
    <e v="#N/A"/>
    <m/>
    <n v="0"/>
    <m/>
    <n v="0"/>
    <m/>
    <n v="0"/>
    <m/>
    <n v="0"/>
    <m/>
    <n v="0"/>
    <s v="FLINTSL"/>
    <n v="30"/>
    <n v="0"/>
    <n v="12.560000000000002"/>
    <n v="0"/>
    <s v="WHITE"/>
    <s v="E00990W"/>
    <s v="FLINTSL - WHITE"/>
    <n v="3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30"/>
    <n v="0"/>
    <n v="119.60000000000002"/>
    <n v="0"/>
    <n v="3"/>
    <n v="10"/>
    <n v="0"/>
    <n v="10"/>
    <n v="4"/>
    <n v="10"/>
    <n v="8"/>
    <n v="30"/>
    <n v="0.8"/>
    <n v="0.2"/>
    <m/>
    <m/>
    <m/>
    <n v="0"/>
    <n v="174"/>
    <n v="0"/>
    <n v="0"/>
    <n v="174"/>
    <n v="174"/>
    <n v="139.20000000000002"/>
    <n v="0"/>
    <n v="34.800000000000004"/>
    <n v="0"/>
    <n v="0"/>
    <n v="0"/>
    <n v="0"/>
    <n v="0"/>
    <n v="0"/>
    <n v="0"/>
    <n v="0"/>
    <n v="0"/>
    <n v="0"/>
    <m/>
    <n v="237"/>
    <n v="297.00000000000006"/>
    <n v="13"/>
    <s v="FLINTSLFLINTSLFLINTSLFLINTSLFLINTSLFLINTSLFLINTSLFLINTSL"/>
    <s v="+"/>
    <s v="+"/>
    <s v="+"/>
    <s v="+"/>
    <s v="+"/>
    <s v="+"/>
    <s v="+"/>
    <s v="+"/>
  </r>
  <r>
    <d v="2026-01-04T00:00:00"/>
    <s v="B"/>
    <x v="49"/>
    <n v="14"/>
    <n v="1992"/>
    <n v="98900"/>
    <s v="II"/>
    <s v="N"/>
    <n v="1.89"/>
    <s v="BLACK"/>
    <s v="E00978B"/>
    <s v="FLINTSL - BLACK"/>
    <n v="30"/>
    <n v="0"/>
    <s v="C01336B"/>
    <n v="10"/>
    <n v="0"/>
    <n v="26503000005"/>
    <s v="FMD"/>
    <m/>
    <m/>
    <m/>
    <m/>
    <m/>
    <m/>
    <n v="6"/>
    <e v="#N/A"/>
    <n v="8"/>
    <n v="0"/>
    <m/>
    <n v="0"/>
    <m/>
    <n v="0"/>
    <m/>
    <n v="0"/>
    <m/>
    <n v="0"/>
    <m/>
    <n v="0"/>
    <m/>
    <n v="0"/>
    <s v="FLINTSL"/>
    <n v="25"/>
    <n v="0"/>
    <n v="52.079470198675494"/>
    <n v="0"/>
    <s v="BLACK"/>
    <s v="E00997B"/>
    <s v="FLINTSL - BLACK"/>
    <n v="20"/>
    <n v="0"/>
    <s v="H01292B"/>
    <n v="20"/>
    <n v="0"/>
    <n v="26503000005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4"/>
    <n v="0"/>
    <n v="44.079470198675494"/>
    <n v="0"/>
    <s v="GREEN"/>
    <s v="N00703G"/>
    <s v="FLINTSL - GREEN"/>
    <n v="14"/>
    <n v="0"/>
    <s v="H01284G"/>
    <n v="20"/>
    <n v="0"/>
    <n v="25864000009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5"/>
    <n v="0"/>
    <n v="20.923841059602651"/>
    <n v="0"/>
    <s v="CYAN"/>
    <s v="E00978C"/>
    <s v="FLINTSL - CYAN"/>
    <n v="29"/>
    <n v="0"/>
    <m/>
    <m/>
    <n v="0"/>
    <s v="FMD"/>
    <m/>
    <m/>
    <m/>
    <m/>
    <m/>
    <m/>
    <m/>
    <n v="7"/>
    <n v="0"/>
    <m/>
    <n v="0"/>
    <m/>
    <n v="0"/>
    <m/>
    <n v="0"/>
    <m/>
    <n v="0"/>
    <m/>
    <n v="0"/>
    <m/>
    <n v="0"/>
    <m/>
    <n v="0"/>
    <s v="FLINTSL"/>
    <n v="23"/>
    <n v="0"/>
    <n v="31.463576158940398"/>
    <n v="0"/>
    <s v="MAGENTA"/>
    <s v="E00978M"/>
    <s v="FLINTSL - MAGENTA"/>
    <n v="33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7"/>
    <n v="0"/>
    <n v="15.923841059602651"/>
    <n v="0"/>
    <s v="YELLOW"/>
    <s v="E00978Y"/>
    <s v="FLINTSL - YELLOW"/>
    <n v="23"/>
    <n v="0"/>
    <m/>
    <m/>
    <n v="0"/>
    <n v="26503000002"/>
    <s v="FMD"/>
    <m/>
    <m/>
    <m/>
    <m/>
    <m/>
    <m/>
    <n v="20"/>
    <e v="#N/A"/>
    <n v="10"/>
    <n v="0"/>
    <m/>
    <n v="0"/>
    <m/>
    <n v="0"/>
    <m/>
    <n v="0"/>
    <m/>
    <n v="0"/>
    <m/>
    <n v="0"/>
    <m/>
    <n v="0"/>
    <s v="FLINTSL"/>
    <n v="28"/>
    <n v="0"/>
    <n v="66.543046357615893"/>
    <n v="0"/>
    <s v="GOLD"/>
    <s v="F00834G"/>
    <s v="FLINTSL - GOLD"/>
    <n v="20"/>
    <n v="0"/>
    <m/>
    <m/>
    <n v="0"/>
    <n v="24161"/>
    <n v="70271"/>
    <n v="26503000002"/>
    <n v="165"/>
    <m/>
    <m/>
    <m/>
    <m/>
    <n v="220"/>
    <n v="0"/>
    <n v="40"/>
    <n v="0"/>
    <n v="18"/>
    <e v="#N/A"/>
    <n v="8.34"/>
    <n v="0"/>
    <m/>
    <n v="0"/>
    <m/>
    <n v="0"/>
    <m/>
    <n v="0"/>
    <m/>
    <n v="0"/>
    <s v="FLINTSL"/>
    <n v="37"/>
    <n v="0"/>
    <n v="430.89629139072844"/>
    <n v="0"/>
    <s v="WHITE"/>
    <s v="E00978W"/>
    <s v="FLINTSL - WHITE"/>
    <n v="30"/>
    <n v="0"/>
    <m/>
    <m/>
    <n v="0"/>
    <s v="FW"/>
    <m/>
    <m/>
    <m/>
    <m/>
    <m/>
    <m/>
    <m/>
    <n v="300"/>
    <n v="0"/>
    <m/>
    <n v="0"/>
    <m/>
    <n v="0"/>
    <m/>
    <n v="0"/>
    <m/>
    <n v="0"/>
    <m/>
    <n v="0"/>
    <m/>
    <n v="0"/>
    <m/>
    <n v="0"/>
    <s v="FLINTSL"/>
    <n v="30"/>
    <n v="0"/>
    <n v="715.4304635761589"/>
    <n v="0"/>
    <n v="10"/>
    <n v="10"/>
    <n v="3"/>
    <n v="8"/>
    <n v="3"/>
    <n v="18"/>
    <n v="70"/>
    <n v="180"/>
    <n v="0.8"/>
    <n v="0.2"/>
    <m/>
    <m/>
    <m/>
    <n v="0"/>
    <n v="697"/>
    <n v="0"/>
    <n v="0"/>
    <n v="697"/>
    <n v="697"/>
    <n v="557.6"/>
    <n v="0"/>
    <n v="139.4"/>
    <n v="0"/>
    <n v="0"/>
    <n v="0"/>
    <n v="0"/>
    <n v="0"/>
    <n v="0"/>
    <n v="0"/>
    <n v="0"/>
    <n v="0"/>
    <n v="0"/>
    <m/>
    <n v="650.33999999999992"/>
    <n v="1377.34"/>
    <n v="14"/>
    <s v="FLINTSLFLINTSLFLINTSLFLINTSLFLINTSLFLINTSLFLINTSLFLINTSL"/>
    <s v="+"/>
    <s v="+"/>
    <s v="+"/>
    <s v="+"/>
    <s v="+"/>
    <s v="+"/>
    <s v="+"/>
    <s v="+"/>
  </r>
  <r>
    <d v="2026-01-04T00:00:00"/>
    <s v="B"/>
    <x v="50"/>
    <n v="15"/>
    <n v="519"/>
    <n v="26500"/>
    <s v="I"/>
    <s v="N"/>
    <n v="2.0099999999999998"/>
    <s v="BLACK"/>
    <m/>
    <s v="FLINTSL - BLACK"/>
    <m/>
    <n v="0"/>
    <m/>
    <m/>
    <n v="0"/>
    <n v="26503000005"/>
    <m/>
    <m/>
    <m/>
    <m/>
    <m/>
    <m/>
    <m/>
    <n v="20"/>
    <e v="#N/A"/>
    <m/>
    <n v="0"/>
    <m/>
    <n v="0"/>
    <m/>
    <n v="0"/>
    <m/>
    <n v="0"/>
    <m/>
    <n v="0"/>
    <m/>
    <n v="0"/>
    <m/>
    <n v="0"/>
    <s v="FLINTSL"/>
    <n v="30"/>
    <n v="0"/>
    <n v="15.78512396694215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s v="RED"/>
    <s v="H01282R"/>
    <s v="FLINTSL - RED"/>
    <n v="22"/>
    <n v="0"/>
    <m/>
    <m/>
    <n v="0"/>
    <n v="26505000005"/>
    <n v="25862000014"/>
    <n v="25863000019"/>
    <m/>
    <m/>
    <m/>
    <m/>
    <m/>
    <n v="25"/>
    <e v="#N/A"/>
    <n v="20"/>
    <e v="#N/A"/>
    <n v="15"/>
    <e v="#N/A"/>
    <m/>
    <n v="0"/>
    <m/>
    <n v="0"/>
    <m/>
    <n v="0"/>
    <m/>
    <n v="0"/>
    <m/>
    <n v="0"/>
    <s v="FLINTSL"/>
    <n v="21"/>
    <n v="0"/>
    <n v="95.380165289256198"/>
    <n v="0"/>
    <s v="CYAN"/>
    <s v="H01292G"/>
    <s v="FLINTSL - CYAN"/>
    <n v="20"/>
    <n v="0"/>
    <m/>
    <m/>
    <n v="0"/>
    <n v="26503000005"/>
    <n v="25864000009"/>
    <m/>
    <m/>
    <m/>
    <m/>
    <m/>
    <m/>
    <n v="1"/>
    <e v="#N/A"/>
    <n v="2"/>
    <e v="#N/A"/>
    <m/>
    <n v="0"/>
    <m/>
    <n v="0"/>
    <m/>
    <n v="0"/>
    <m/>
    <n v="0"/>
    <m/>
    <n v="0"/>
    <m/>
    <n v="0"/>
    <s v="FLINTSL"/>
    <n v="21"/>
    <n v="0"/>
    <n v="5.438016528925619"/>
    <n v="0"/>
    <s v="CYAN"/>
    <s v="E00980C"/>
    <s v="FLINTSL - CYAN"/>
    <n v="22"/>
    <n v="0"/>
    <m/>
    <m/>
    <n v="0"/>
    <n v="25864000009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3.438016528925619"/>
    <n v="0"/>
    <s v="MAGENTA"/>
    <m/>
    <s v="FLINTSL - MAGENTA"/>
    <m/>
    <n v="0"/>
    <m/>
    <m/>
    <n v="0"/>
    <n v="26504000005"/>
    <s v="FMD"/>
    <m/>
    <m/>
    <m/>
    <m/>
    <m/>
    <m/>
    <n v="15"/>
    <e v="#N/A"/>
    <n v="8"/>
    <n v="0"/>
    <m/>
    <n v="0"/>
    <m/>
    <n v="0"/>
    <m/>
    <n v="0"/>
    <m/>
    <n v="0"/>
    <m/>
    <n v="0"/>
    <m/>
    <n v="0"/>
    <s v="FLINTSL"/>
    <n v="32"/>
    <n v="0"/>
    <n v="11.628099173553721"/>
    <n v="0"/>
    <s v="YELLOW"/>
    <m/>
    <s v="FLINTSL - YELLOW"/>
    <m/>
    <n v="0"/>
    <m/>
    <m/>
    <n v="0"/>
    <s v="TPT"/>
    <s v="FMD"/>
    <m/>
    <m/>
    <m/>
    <m/>
    <m/>
    <m/>
    <n v="20"/>
    <n v="0"/>
    <n v="6"/>
    <n v="0"/>
    <m/>
    <n v="0"/>
    <m/>
    <n v="0"/>
    <m/>
    <n v="0"/>
    <m/>
    <n v="0"/>
    <m/>
    <n v="0"/>
    <m/>
    <n v="0"/>
    <s v="FLINTSL"/>
    <n v="33"/>
    <n v="0"/>
    <n v="10.190082644628099"/>
    <n v="0"/>
    <s v="WHITE"/>
    <m/>
    <s v="FLINTSL - WHITE"/>
    <m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173.14049586776861"/>
    <n v="0"/>
    <n v="15"/>
    <n v="0"/>
    <n v="20"/>
    <n v="2"/>
    <n v="2"/>
    <n v="12"/>
    <n v="10"/>
    <n v="60"/>
    <n v="0.8"/>
    <n v="0.2"/>
    <m/>
    <m/>
    <m/>
    <n v="0"/>
    <n v="208"/>
    <n v="0"/>
    <n v="0"/>
    <n v="208"/>
    <n v="208"/>
    <n v="166.4"/>
    <n v="0"/>
    <n v="41.6"/>
    <n v="0"/>
    <n v="0"/>
    <n v="0"/>
    <n v="0"/>
    <n v="0"/>
    <n v="0"/>
    <n v="0"/>
    <n v="0"/>
    <n v="0"/>
    <n v="0"/>
    <m/>
    <n v="236"/>
    <n v="315"/>
    <n v="15"/>
    <s v="FLINTSLFLINTSLFLINTSLFLINTSLFLINTSLFLINTSLFLINTSL"/>
    <s v="+"/>
    <s v="NIL"/>
    <s v="+"/>
    <s v="+"/>
    <s v="+"/>
    <s v="+"/>
    <s v="+"/>
    <s v="+"/>
  </r>
  <r>
    <d v="2026-01-04T00:00:00"/>
    <s v="B"/>
    <x v="51"/>
    <n v="16"/>
    <n v="523"/>
    <n v="25400"/>
    <s v="I"/>
    <s v="N"/>
    <n v="0.04"/>
    <s v="BLACK"/>
    <s v="H01278B"/>
    <s v="FLINTSL - BLACK"/>
    <n v="30"/>
    <n v="0"/>
    <m/>
    <m/>
    <n v="0"/>
    <n v="26503000005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25"/>
    <n v="0"/>
    <n v="5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0"/>
    <n v="0"/>
    <n v="0"/>
    <n v="0"/>
    <n v="0"/>
    <n v="0"/>
    <n v="0"/>
    <n v="0.8"/>
    <n v="0.2"/>
    <m/>
    <m/>
    <m/>
    <n v="0"/>
    <n v="40"/>
    <n v="0"/>
    <n v="0"/>
    <n v="40"/>
    <n v="40"/>
    <n v="32"/>
    <n v="0"/>
    <n v="8"/>
    <n v="0"/>
    <n v="0"/>
    <n v="0"/>
    <n v="0"/>
    <n v="0"/>
    <n v="0"/>
    <n v="0"/>
    <n v="0"/>
    <n v="0"/>
    <n v="0"/>
    <m/>
    <n v="8"/>
    <n v="53"/>
    <n v="16"/>
    <s v="FLINTSL"/>
    <s v="+"/>
    <s v="NIL"/>
    <s v="NIL"/>
    <s v="NIL"/>
    <s v="NIL"/>
    <s v="NIL"/>
    <s v="NIL"/>
    <s v="NIL"/>
  </r>
  <r>
    <d v="2026-01-04T00:00:00"/>
    <s v="B"/>
    <x v="52"/>
    <n v="17"/>
    <n v="493"/>
    <n v="26600"/>
    <s v="II"/>
    <s v="N"/>
    <n v="2.15"/>
    <s v="BLACK"/>
    <s v="E00985B"/>
    <s v="FLINTSL - BLACK"/>
    <n v="25"/>
    <n v="0"/>
    <m/>
    <m/>
    <n v="0"/>
    <s v="FMD"/>
    <m/>
    <m/>
    <m/>
    <m/>
    <m/>
    <m/>
    <m/>
    <n v="7"/>
    <n v="0"/>
    <m/>
    <n v="0"/>
    <m/>
    <n v="0"/>
    <m/>
    <n v="0"/>
    <m/>
    <n v="0"/>
    <m/>
    <n v="0"/>
    <m/>
    <n v="0"/>
    <m/>
    <n v="0"/>
    <s v="FLINTSL"/>
    <n v="29"/>
    <n v="0"/>
    <n v="17.485294117647058"/>
    <n v="0"/>
    <s v="BLACK"/>
    <s v="E00985B"/>
    <s v="FLINTSL - BLACK"/>
    <n v="24"/>
    <n v="0"/>
    <m/>
    <m/>
    <n v="0"/>
    <n v="26503000005"/>
    <n v="25862000010"/>
    <m/>
    <m/>
    <m/>
    <m/>
    <m/>
    <m/>
    <n v="3"/>
    <e v="#N/A"/>
    <n v="4"/>
    <e v="#N/A"/>
    <m/>
    <n v="0"/>
    <m/>
    <n v="0"/>
    <m/>
    <n v="0"/>
    <m/>
    <n v="0"/>
    <m/>
    <n v="0"/>
    <m/>
    <n v="0"/>
    <s v="FLINTSL"/>
    <n v="32"/>
    <n v="0"/>
    <n v="19.279411764705884"/>
    <n v="0"/>
    <s v="RED"/>
    <m/>
    <s v="FLINTSL - RED"/>
    <m/>
    <n v="0"/>
    <m/>
    <m/>
    <n v="0"/>
    <n v="26503000003"/>
    <n v="26505000001"/>
    <n v="26505000003"/>
    <n v="25863000019"/>
    <m/>
    <m/>
    <m/>
    <m/>
    <n v="5"/>
    <e v="#N/A"/>
    <n v="40"/>
    <e v="#N/A"/>
    <n v="25"/>
    <e v="#N/A"/>
    <n v="10"/>
    <e v="#N/A"/>
    <m/>
    <n v="0"/>
    <m/>
    <n v="0"/>
    <m/>
    <n v="0"/>
    <m/>
    <n v="0"/>
    <s v="FLINTSL"/>
    <n v="20"/>
    <n v="0"/>
    <n v="94.764705882352942"/>
    <n v="0"/>
    <s v="CYAN"/>
    <s v="E00985C"/>
    <s v="FLINTSL - CYAN"/>
    <n v="23"/>
    <n v="0"/>
    <m/>
    <m/>
    <n v="0"/>
    <s v="FMD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28"/>
    <n v="0"/>
    <n v="19.485294117647058"/>
    <n v="0"/>
    <s v="MAGENTA"/>
    <s v="E00985M"/>
    <s v="FLINTSL - MAGENTA"/>
    <n v="27"/>
    <n v="0"/>
    <m/>
    <m/>
    <n v="0"/>
    <n v="2650400000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10.794117647058826"/>
    <n v="0"/>
    <s v="YELLOW"/>
    <s v="E00985Y"/>
    <s v="FLINTSL - YELLOW"/>
    <n v="28"/>
    <n v="0"/>
    <m/>
    <m/>
    <n v="0"/>
    <n v="26503000002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7"/>
    <n v="0"/>
    <n v="11.794117647058826"/>
    <n v="0"/>
    <s v="YELLOW"/>
    <s v="E00990Y"/>
    <s v="FLINTSL - YELLOW"/>
    <n v="25"/>
    <n v="0"/>
    <m/>
    <m/>
    <n v="0"/>
    <n v="25862000014"/>
    <n v="26503000002"/>
    <m/>
    <m/>
    <m/>
    <m/>
    <m/>
    <m/>
    <n v="1"/>
    <e v="#N/A"/>
    <n v="10"/>
    <e v="#N/A"/>
    <m/>
    <n v="0"/>
    <m/>
    <n v="0"/>
    <m/>
    <n v="0"/>
    <m/>
    <n v="0"/>
    <m/>
    <n v="0"/>
    <m/>
    <n v="0"/>
    <s v="FLINTSL"/>
    <n v="15"/>
    <n v="0"/>
    <n v="35.485294117647058"/>
    <n v="0"/>
    <s v="WHITE"/>
    <s v="E00985W"/>
    <s v="FLINTSL - WHITE"/>
    <n v="3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0"/>
    <n v="0"/>
    <n v="156.91176470588235"/>
    <n v="0"/>
    <n v="5"/>
    <n v="7"/>
    <n v="12"/>
    <n v="5"/>
    <n v="2"/>
    <n v="2"/>
    <n v="5"/>
    <n v="30"/>
    <n v="0.8"/>
    <n v="0.2"/>
    <m/>
    <m/>
    <m/>
    <n v="0"/>
    <n v="197"/>
    <n v="0"/>
    <n v="0"/>
    <n v="197"/>
    <n v="197"/>
    <n v="157.60000000000002"/>
    <n v="0"/>
    <n v="39.400000000000006"/>
    <n v="0"/>
    <n v="0"/>
    <n v="0"/>
    <n v="0"/>
    <n v="0"/>
    <n v="0"/>
    <n v="0"/>
    <n v="0"/>
    <n v="0"/>
    <n v="0"/>
    <m/>
    <n v="184"/>
    <n v="366"/>
    <n v="17"/>
    <s v="FLINTSLFLINTSLFLINTSLFLINTSLFLINTSLFLINTSLFLINTSLFLINTSL"/>
    <s v="+"/>
    <s v="+"/>
    <s v="+"/>
    <s v="+"/>
    <s v="+"/>
    <s v="+"/>
    <s v="+"/>
    <s v="+"/>
  </r>
  <r>
    <d v="2026-01-05T00:00:00"/>
    <s v="A"/>
    <x v="53"/>
    <n v="18"/>
    <n v="960"/>
    <n v="46600"/>
    <s v="I"/>
    <s v="N"/>
    <n v="1.3"/>
    <s v="BLACK"/>
    <s v="C01414B"/>
    <s v="FLINTSL - BLACK"/>
    <n v="25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18"/>
    <n v="0"/>
    <n v="24.262773722627735"/>
    <n v="0"/>
    <s v="REFLEX BLUE"/>
    <s v="H01278B"/>
    <s v="FLINTSL - REFLEX BLUE"/>
    <n v="22"/>
    <n v="0"/>
    <m/>
    <m/>
    <n v="0"/>
    <s v="FRB"/>
    <n v="25864000013"/>
    <m/>
    <m/>
    <m/>
    <m/>
    <m/>
    <m/>
    <n v="4"/>
    <n v="0"/>
    <n v="7"/>
    <e v="#N/A"/>
    <m/>
    <n v="0"/>
    <m/>
    <n v="0"/>
    <m/>
    <n v="0"/>
    <m/>
    <n v="0"/>
    <m/>
    <n v="0"/>
    <m/>
    <n v="0"/>
    <s v="FLINTSL"/>
    <n v="20"/>
    <n v="0"/>
    <n v="30.167883211678827"/>
    <n v="0"/>
    <s v="RED"/>
    <s v="H01278R"/>
    <s v="FLINTSL - RED"/>
    <n v="24"/>
    <n v="0"/>
    <m/>
    <m/>
    <n v="0"/>
    <n v="26505000005"/>
    <n v="26503000005"/>
    <m/>
    <m/>
    <m/>
    <m/>
    <m/>
    <m/>
    <n v="3"/>
    <e v="#N/A"/>
    <n v="0.2"/>
    <e v="#N/A"/>
    <m/>
    <n v="0"/>
    <m/>
    <n v="0"/>
    <m/>
    <n v="0"/>
    <m/>
    <n v="0"/>
    <m/>
    <n v="0"/>
    <m/>
    <n v="0"/>
    <s v="FLINTSL"/>
    <n v="23"/>
    <n v="0"/>
    <n v="9.1051094890510953"/>
    <n v="0"/>
    <s v="CYAN"/>
    <s v="H01278C"/>
    <s v="FLINTSL - CYAN"/>
    <n v="26"/>
    <n v="0"/>
    <s v="E00990C"/>
    <n v="25"/>
    <n v="0"/>
    <n v="25864000009"/>
    <s v="FMD"/>
    <m/>
    <m/>
    <m/>
    <m/>
    <m/>
    <m/>
    <n v="50"/>
    <e v="#N/A"/>
    <n v="20"/>
    <n v="0"/>
    <m/>
    <n v="0"/>
    <m/>
    <n v="0"/>
    <m/>
    <n v="0"/>
    <m/>
    <n v="0"/>
    <m/>
    <n v="0"/>
    <m/>
    <n v="0"/>
    <s v="FLINTSL"/>
    <n v="20"/>
    <n v="0"/>
    <n v="150.05109489051094"/>
    <n v="0"/>
    <s v="MAGENTA"/>
    <s v="H01278M"/>
    <s v="FLINTSL - MAGENTA"/>
    <n v="32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30"/>
    <n v="0"/>
    <n v="15.810218978102192"/>
    <n v="0"/>
    <s v="YELLOW"/>
    <s v="H01278Y"/>
    <s v="FLINTSL - YELLOW"/>
    <n v="33"/>
    <n v="0"/>
    <m/>
    <m/>
    <n v="0"/>
    <n v="26503000002"/>
    <m/>
    <m/>
    <m/>
    <m/>
    <m/>
    <m/>
    <m/>
    <n v="18"/>
    <e v="#N/A"/>
    <m/>
    <n v="0"/>
    <m/>
    <n v="0"/>
    <m/>
    <n v="0"/>
    <m/>
    <n v="0"/>
    <m/>
    <n v="0"/>
    <m/>
    <n v="0"/>
    <m/>
    <n v="0"/>
    <s v="FLINTSL"/>
    <n v="28"/>
    <n v="0"/>
    <n v="32.810218978102192"/>
    <n v="0"/>
    <s v="WHITE"/>
    <s v="H01278W"/>
    <s v="FLINTSL - WHITE"/>
    <n v="30"/>
    <n v="0"/>
    <m/>
    <m/>
    <n v="0"/>
    <s v="FW"/>
    <m/>
    <m/>
    <m/>
    <m/>
    <m/>
    <m/>
    <m/>
    <n v="170"/>
    <n v="0"/>
    <m/>
    <n v="0"/>
    <m/>
    <n v="0"/>
    <m/>
    <n v="0"/>
    <m/>
    <n v="0"/>
    <m/>
    <n v="0"/>
    <m/>
    <n v="0"/>
    <m/>
    <n v="0"/>
    <s v="FLINTSL"/>
    <n v="25"/>
    <n v="0"/>
    <n v="407.9927007299270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7"/>
    <n v="2"/>
    <n v="20"/>
    <n v="4"/>
    <n v="4"/>
    <n v="95"/>
    <n v="0"/>
    <n v="0.8"/>
    <n v="0.2"/>
    <m/>
    <m/>
    <m/>
    <n v="0"/>
    <n v="336"/>
    <n v="0"/>
    <n v="0"/>
    <n v="336"/>
    <n v="336"/>
    <n v="268.8"/>
    <n v="0"/>
    <n v="67.2"/>
    <n v="0"/>
    <n v="0"/>
    <n v="0"/>
    <n v="0"/>
    <n v="0"/>
    <n v="0"/>
    <n v="0"/>
    <n v="0"/>
    <n v="0"/>
    <n v="0"/>
    <m/>
    <n v="281.2"/>
    <n v="670.2"/>
    <n v="18"/>
    <s v="FLINTSLFLINTSLFLINTSLFLINTSLFLINTSLFLINTSLFLINTSL"/>
    <s v="+"/>
    <s v="+"/>
    <s v="+"/>
    <s v="+"/>
    <s v="+"/>
    <s v="+"/>
    <s v="+"/>
    <s v="NIL"/>
  </r>
  <r>
    <d v="2026-01-05T00:00:00"/>
    <s v="A"/>
    <x v="54"/>
    <n v="19"/>
    <n v="502"/>
    <n v="16900"/>
    <s v="II"/>
    <s v="N"/>
    <n v="1.9"/>
    <s v="BLACK"/>
    <s v="N00836B"/>
    <s v="FLINTSL - BLACK"/>
    <n v="29"/>
    <n v="0"/>
    <m/>
    <m/>
    <n v="0"/>
    <n v="2650300000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8"/>
    <n v="0"/>
    <n v="7.3599999999999994"/>
    <n v="0"/>
    <s v="REFLEX BLUE"/>
    <s v="E00981B"/>
    <s v="FLINTSL - REFLEX BLUE"/>
    <n v="7"/>
    <n v="0"/>
    <m/>
    <m/>
    <n v="0"/>
    <n v="25864000013"/>
    <n v="9472"/>
    <m/>
    <m/>
    <m/>
    <m/>
    <m/>
    <m/>
    <n v="10"/>
    <e v="#N/A"/>
    <n v="5"/>
    <n v="0"/>
    <m/>
    <n v="0"/>
    <m/>
    <n v="0"/>
    <m/>
    <n v="0"/>
    <m/>
    <n v="0"/>
    <m/>
    <n v="0"/>
    <m/>
    <n v="0"/>
    <s v="FLINTSL"/>
    <n v="23"/>
    <n v="0"/>
    <n v="10.759999999999998"/>
    <n v="0"/>
    <s v="ORANGE"/>
    <s v="N00836O"/>
    <s v="FLINTSL - ORANGE"/>
    <n v="15"/>
    <n v="0"/>
    <m/>
    <m/>
    <n v="0"/>
    <n v="26504000008"/>
    <n v="25863000019"/>
    <m/>
    <m/>
    <m/>
    <m/>
    <m/>
    <m/>
    <n v="10"/>
    <e v="#N/A"/>
    <n v="1"/>
    <e v="#N/A"/>
    <m/>
    <n v="0"/>
    <m/>
    <n v="0"/>
    <m/>
    <n v="0"/>
    <m/>
    <n v="0"/>
    <m/>
    <n v="0"/>
    <m/>
    <n v="0"/>
    <s v="FLINTSL"/>
    <n v="26"/>
    <n v="0"/>
    <n v="8.3999999999999986"/>
    <n v="0"/>
    <s v="CYAN"/>
    <s v="N00836C"/>
    <s v="FLINTSL - CYAN"/>
    <n v="8"/>
    <n v="0"/>
    <m/>
    <m/>
    <n v="0"/>
    <n v="25851000006"/>
    <n v="26504000001"/>
    <s v="FMD"/>
    <m/>
    <m/>
    <m/>
    <m/>
    <m/>
    <n v="0.3"/>
    <e v="#N/A"/>
    <n v="30"/>
    <e v="#N/A"/>
    <n v="18"/>
    <n v="0"/>
    <m/>
    <n v="0"/>
    <m/>
    <n v="0"/>
    <m/>
    <n v="0"/>
    <m/>
    <n v="0"/>
    <m/>
    <n v="0"/>
    <s v="FLINTSL"/>
    <n v="20"/>
    <n v="0"/>
    <n v="69.900000000000006"/>
    <n v="0"/>
    <s v="CYAN"/>
    <s v="N00836C"/>
    <s v="FLINTSL - CYAN"/>
    <n v="20"/>
    <n v="0"/>
    <m/>
    <m/>
    <n v="0"/>
    <n v="25864000009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4"/>
    <n v="0"/>
    <n v="7.7199999999999989"/>
    <n v="0"/>
    <s v="MAGENTA"/>
    <s v="N00836M"/>
    <s v="FLINTSL - MAGENTA"/>
    <n v="26"/>
    <n v="0"/>
    <m/>
    <m/>
    <n v="0"/>
    <n v="26505000005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8"/>
    <n v="0"/>
    <n v="6.3599999999999994"/>
    <n v="0"/>
    <s v="YELLOW"/>
    <s v="N00836Y"/>
    <s v="FLINTSL - YELLOW"/>
    <n v="27"/>
    <n v="0"/>
    <m/>
    <m/>
    <n v="0"/>
    <n v="25864000008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6"/>
    <n v="0"/>
    <n v="10.399999999999999"/>
    <n v="0"/>
    <s v="WHITE"/>
    <s v="N00836W"/>
    <s v="FLINTSL - WHITE"/>
    <n v="2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1"/>
    <n v="0"/>
    <n v="99.4"/>
    <n v="0"/>
    <n v="2"/>
    <n v="7"/>
    <n v="5"/>
    <n v="20"/>
    <n v="4"/>
    <n v="2"/>
    <n v="5"/>
    <n v="30"/>
    <n v="0.8"/>
    <n v="0.2"/>
    <m/>
    <m/>
    <m/>
    <n v="0"/>
    <n v="126"/>
    <n v="0"/>
    <n v="0"/>
    <n v="126"/>
    <n v="126"/>
    <n v="100.80000000000001"/>
    <n v="0"/>
    <n v="25.200000000000003"/>
    <n v="0"/>
    <n v="0"/>
    <n v="0"/>
    <n v="0"/>
    <n v="0"/>
    <n v="0"/>
    <n v="0"/>
    <n v="0"/>
    <n v="0"/>
    <n v="0"/>
    <m/>
    <n v="148.30000000000001"/>
    <n v="220.3"/>
    <n v="19"/>
    <s v="FLINTSLFLINTSLFLINTSLFLINTSLFLINTSLFLINTSLFLINTSLFLINTSL"/>
    <s v="+"/>
    <s v="+"/>
    <s v="+"/>
    <s v="+"/>
    <s v="+"/>
    <s v="+"/>
    <s v="+"/>
    <s v="+"/>
  </r>
  <r>
    <d v="2026-01-05T00:00:00"/>
    <s v="A"/>
    <x v="55"/>
    <n v="20"/>
    <n v="482"/>
    <n v="26300"/>
    <s v="I"/>
    <s v="N"/>
    <n v="1.31"/>
    <s v="BLACK"/>
    <s v="C01416B"/>
    <s v="FLINTSL - BLACK"/>
    <n v="18"/>
    <n v="0"/>
    <m/>
    <m/>
    <n v="0"/>
    <n v="26503000005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4"/>
    <n v="0"/>
    <n v="4.9647058823529413"/>
    <n v="0"/>
    <s v="RED"/>
    <s v="C01416R"/>
    <s v="FLINTSL - RED"/>
    <n v="23"/>
    <n v="0"/>
    <m/>
    <m/>
    <n v="0"/>
    <n v="26504000005"/>
    <n v="25862000014"/>
    <m/>
    <m/>
    <m/>
    <m/>
    <m/>
    <m/>
    <n v="2"/>
    <e v="#N/A"/>
    <n v="2"/>
    <e v="#N/A"/>
    <m/>
    <n v="0"/>
    <m/>
    <n v="0"/>
    <m/>
    <n v="0"/>
    <m/>
    <n v="0"/>
    <m/>
    <n v="0"/>
    <m/>
    <n v="0"/>
    <s v="FLINTSL"/>
    <n v="24"/>
    <n v="0"/>
    <n v="4.9882352941176471"/>
    <n v="0"/>
    <s v="GREEN"/>
    <s v="C01431G"/>
    <s v="FLINTSL - GREEN"/>
    <n v="24"/>
    <n v="0"/>
    <m/>
    <m/>
    <n v="0"/>
    <n v="2650400000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0"/>
    <n v="0"/>
    <n v="11.976470588235294"/>
    <n v="0"/>
    <s v="GREEN"/>
    <s v="H01278G"/>
    <s v="FLINTSL - GREEN"/>
    <n v="21"/>
    <n v="0"/>
    <s v="F00834G"/>
    <n v="25"/>
    <n v="0"/>
    <n v="25864000009"/>
    <n v="26504000008"/>
    <s v="FMD"/>
    <m/>
    <m/>
    <m/>
    <m/>
    <m/>
    <n v="10"/>
    <e v="#N/A"/>
    <n v="15"/>
    <e v="#N/A"/>
    <n v="5"/>
    <n v="0"/>
    <m/>
    <n v="0"/>
    <m/>
    <n v="0"/>
    <m/>
    <n v="0"/>
    <m/>
    <n v="0"/>
    <m/>
    <n v="0"/>
    <s v="FLINTSL"/>
    <n v="30"/>
    <n v="0"/>
    <n v="65.882352941176464"/>
    <n v="0"/>
    <s v="CYAN"/>
    <s v="C01416C"/>
    <s v="FLINTSL - CYAN"/>
    <n v="20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6"/>
    <n v="0"/>
    <n v="8.941176470588232"/>
    <n v="0"/>
    <s v="MAGENTA"/>
    <s v="C01416M"/>
    <s v="FLINTSL - MAGENTA"/>
    <n v="30"/>
    <n v="0"/>
    <m/>
    <m/>
    <n v="0"/>
    <n v="26505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8.9764705882352942"/>
    <n v="0"/>
    <s v="YELLOW"/>
    <s v="C01416Y"/>
    <s v="FLINTSL - YELLOW"/>
    <n v="28"/>
    <n v="0"/>
    <m/>
    <m/>
    <n v="0"/>
    <n v="25864000008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6"/>
    <n v="0"/>
    <n v="11.976470588235294"/>
    <n v="0"/>
    <s v="WHITE"/>
    <s v="C01416W"/>
    <s v="FLINTSL - WHITE"/>
    <n v="25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20"/>
    <n v="0"/>
    <n v="224.29411764705884"/>
    <n v="0"/>
    <n v="3"/>
    <n v="1"/>
    <n v="2"/>
    <n v="10"/>
    <n v="5"/>
    <n v="2"/>
    <n v="2"/>
    <n v="60"/>
    <n v="0.8"/>
    <n v="0.2"/>
    <m/>
    <m/>
    <m/>
    <n v="0"/>
    <n v="169"/>
    <n v="0"/>
    <n v="0"/>
    <n v="169"/>
    <n v="169"/>
    <n v="135.20000000000002"/>
    <n v="0"/>
    <n v="33.800000000000004"/>
    <n v="0"/>
    <n v="0"/>
    <n v="0"/>
    <n v="0"/>
    <n v="0"/>
    <n v="0"/>
    <n v="0"/>
    <n v="0"/>
    <n v="0"/>
    <n v="0"/>
    <m/>
    <n v="156"/>
    <n v="342"/>
    <n v="20"/>
    <s v="FLINTSLFLINTSLFLINTSLFLINTSLFLINTSLFLINTSLFLINTSLFLINTSL"/>
    <s v="+"/>
    <s v="+"/>
    <s v="+"/>
    <s v="+"/>
    <s v="+"/>
    <s v="+"/>
    <s v="+"/>
    <s v="+"/>
  </r>
  <r>
    <d v="2026-01-05T00:00:00"/>
    <s v="A"/>
    <x v="56"/>
    <n v="21"/>
    <n v="495"/>
    <n v="27000"/>
    <s v="I"/>
    <s v="N"/>
    <n v="1.31"/>
    <s v="BLACK"/>
    <s v="C01417B"/>
    <s v="FLINTSL - BLACK"/>
    <n v="24"/>
    <n v="0"/>
    <m/>
    <m/>
    <n v="0"/>
    <n v="2650300000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2"/>
    <n v="0"/>
    <n v="11.920000000000002"/>
    <n v="0"/>
    <s v="RED"/>
    <s v="C01417R"/>
    <s v="FLINTSL - RED"/>
    <n v="24"/>
    <n v="0"/>
    <m/>
    <m/>
    <n v="0"/>
    <n v="26505000005"/>
    <n v="25862000014"/>
    <m/>
    <m/>
    <m/>
    <m/>
    <m/>
    <m/>
    <n v="2"/>
    <e v="#N/A"/>
    <n v="1"/>
    <e v="#N/A"/>
    <m/>
    <n v="0"/>
    <m/>
    <n v="0"/>
    <m/>
    <n v="0"/>
    <m/>
    <n v="0"/>
    <m/>
    <n v="0"/>
    <m/>
    <n v="0"/>
    <s v="FLINTSL"/>
    <n v="24"/>
    <n v="0"/>
    <n v="9.9200000000000017"/>
    <n v="0"/>
    <s v="REFLEX BLUE"/>
    <s v="C01416RB"/>
    <s v="FLINTSL - REFLEX BLUE"/>
    <n v="20"/>
    <n v="0"/>
    <m/>
    <m/>
    <n v="0"/>
    <n v="26504000001"/>
    <n v="26503000002"/>
    <n v="26503000005"/>
    <m/>
    <m/>
    <m/>
    <m/>
    <m/>
    <n v="5"/>
    <e v="#N/A"/>
    <n v="2"/>
    <e v="#N/A"/>
    <n v="0.2"/>
    <e v="#N/A"/>
    <m/>
    <n v="0"/>
    <m/>
    <n v="0"/>
    <m/>
    <n v="0"/>
    <m/>
    <n v="0"/>
    <m/>
    <n v="0"/>
    <s v="FLINTSL"/>
    <n v="27"/>
    <n v="0"/>
    <n v="10.579999999999998"/>
    <n v="0"/>
    <s v="REFLEX BLUE"/>
    <s v="E00990B"/>
    <s v="FLINTSL - REFLEX BLUE"/>
    <n v="20"/>
    <n v="0"/>
    <m/>
    <m/>
    <n v="0"/>
    <n v="26505000008"/>
    <n v="26505000009"/>
    <n v="26505000011"/>
    <n v="9472"/>
    <m/>
    <m/>
    <m/>
    <m/>
    <n v="40"/>
    <e v="#N/A"/>
    <n v="30"/>
    <e v="#N/A"/>
    <n v="30"/>
    <e v="#N/A"/>
    <n v="5"/>
    <n v="0"/>
    <m/>
    <n v="0"/>
    <m/>
    <n v="0"/>
    <m/>
    <n v="0"/>
    <m/>
    <n v="0"/>
    <s v="FLINTSL"/>
    <n v="25"/>
    <n v="0"/>
    <n v="134.6"/>
    <n v="0"/>
    <s v="CYAN"/>
    <s v="C01417C"/>
    <s v="FLINTSL - CYAN"/>
    <n v="26"/>
    <n v="0"/>
    <m/>
    <m/>
    <n v="0"/>
    <n v="25864000009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2"/>
    <n v="0"/>
    <n v="10.46"/>
    <n v="0"/>
    <s v="MAGENTA"/>
    <s v="C01417M"/>
    <s v="FLINTSL - MAGENTA"/>
    <n v="27"/>
    <n v="0"/>
    <m/>
    <m/>
    <n v="0"/>
    <s v="FMD"/>
    <m/>
    <m/>
    <m/>
    <m/>
    <m/>
    <m/>
    <m/>
    <n v="1"/>
    <n v="0"/>
    <m/>
    <n v="0"/>
    <m/>
    <n v="0"/>
    <m/>
    <n v="0"/>
    <m/>
    <n v="0"/>
    <m/>
    <n v="0"/>
    <m/>
    <n v="0"/>
    <m/>
    <n v="0"/>
    <s v="FLINTSL"/>
    <n v="22"/>
    <n v="0"/>
    <n v="9.4600000000000009"/>
    <n v="0"/>
    <s v="YELLOW"/>
    <s v="C01417Y"/>
    <s v="FLINTSL - YELLOW"/>
    <n v="26"/>
    <n v="0"/>
    <m/>
    <m/>
    <n v="0"/>
    <n v="2650300000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7.4600000000000009"/>
    <n v="0"/>
    <s v="WHITE"/>
    <s v="C01417W"/>
    <s v="FLINTSL - WHITE"/>
    <n v="2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6"/>
    <n v="0"/>
    <n v="157.80000000000001"/>
    <n v="0"/>
    <n v="2"/>
    <n v="2"/>
    <n v="3"/>
    <n v="10"/>
    <n v="1"/>
    <n v="1"/>
    <n v="1"/>
    <n v="30"/>
    <n v="0.8"/>
    <n v="0.2"/>
    <m/>
    <m/>
    <m/>
    <n v="0"/>
    <n v="173"/>
    <n v="0"/>
    <n v="0"/>
    <n v="173"/>
    <n v="173"/>
    <n v="138.4"/>
    <n v="0"/>
    <n v="34.6"/>
    <n v="0"/>
    <n v="0"/>
    <n v="0"/>
    <n v="0"/>
    <n v="0"/>
    <n v="0"/>
    <n v="0"/>
    <n v="0"/>
    <n v="0"/>
    <n v="0"/>
    <m/>
    <n v="184.2"/>
    <n v="352.20000000000005"/>
    <n v="21"/>
    <s v="FLINTSLFLINTSLFLINTSLFLINTSLFLINTSLFLINTSLFLINTSLFLINTSL"/>
    <s v="+"/>
    <s v="+"/>
    <s v="+"/>
    <s v="+"/>
    <s v="+"/>
    <s v="+"/>
    <s v="+"/>
    <s v="+"/>
  </r>
  <r>
    <d v="2026-01-05T00:00:00"/>
    <s v="A"/>
    <x v="57"/>
    <n v="22"/>
    <n v="718"/>
    <n v="24200"/>
    <s v="II"/>
    <s v="N"/>
    <n v="1.86"/>
    <s v="BLACK"/>
    <s v="N00827B"/>
    <s v="FLINTSL - BLACK"/>
    <n v="24"/>
    <n v="0"/>
    <m/>
    <m/>
    <n v="0"/>
    <n v="2650600000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7"/>
    <n v="0"/>
    <n v="3.2432432432432421"/>
    <n v="0"/>
    <s v="REFLEX BLUE"/>
    <s v="N00827B"/>
    <s v="FLINTSL - REFLEX BLUE"/>
    <n v="26"/>
    <n v="0"/>
    <m/>
    <m/>
    <n v="0"/>
    <n v="26505000024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8"/>
    <n v="0"/>
    <n v="2.2432432432432421"/>
    <n v="0"/>
    <s v="GREEN"/>
    <s v="C01434G"/>
    <s v="FLINTSL - GREEN"/>
    <n v="27"/>
    <n v="0"/>
    <m/>
    <m/>
    <n v="0"/>
    <n v="25851000006"/>
    <n v="26505000024"/>
    <n v="26504000008"/>
    <m/>
    <m/>
    <m/>
    <m/>
    <m/>
    <n v="12"/>
    <e v="#N/A"/>
    <n v="5"/>
    <e v="#N/A"/>
    <n v="6"/>
    <e v="#N/A"/>
    <m/>
    <n v="0"/>
    <m/>
    <n v="0"/>
    <m/>
    <n v="0"/>
    <m/>
    <n v="0"/>
    <m/>
    <n v="0"/>
    <s v="FLINTSL"/>
    <n v="38"/>
    <n v="0"/>
    <n v="16.864864864864863"/>
    <n v="0"/>
    <s v="BLACK"/>
    <m/>
    <s v="FLINTSL - BLACK"/>
    <m/>
    <n v="0"/>
    <m/>
    <m/>
    <n v="0"/>
    <n v="26503000005"/>
    <m/>
    <m/>
    <m/>
    <m/>
    <m/>
    <m/>
    <m/>
    <n v="48"/>
    <e v="#N/A"/>
    <m/>
    <n v="0"/>
    <m/>
    <n v="0"/>
    <m/>
    <n v="0"/>
    <m/>
    <n v="0"/>
    <m/>
    <n v="0"/>
    <m/>
    <n v="0"/>
    <m/>
    <n v="0"/>
    <s v="FLINTSL"/>
    <n v="23"/>
    <n v="0"/>
    <n v="76.891891891891902"/>
    <n v="0"/>
    <s v="CYAN"/>
    <s v="N00827C"/>
    <s v="FLINTSL - CYAN"/>
    <n v="23"/>
    <n v="0"/>
    <m/>
    <m/>
    <n v="0"/>
    <n v="2650400000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9"/>
    <n v="0"/>
    <n v="6.1081081081081052"/>
    <n v="0"/>
    <s v="MAGENTA"/>
    <s v="N00827M"/>
    <s v="FLINTSL - MAGENTA"/>
    <n v="25"/>
    <n v="0"/>
    <m/>
    <m/>
    <n v="0"/>
    <n v="26505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2.2432432432432421"/>
    <n v="0"/>
    <s v="YELLOW"/>
    <s v="N00827Y"/>
    <s v="FLINTSL - YELLOW"/>
    <n v="25"/>
    <n v="0"/>
    <m/>
    <m/>
    <n v="0"/>
    <n v="26503000002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8.1081081081081052"/>
    <n v="0"/>
    <s v="WHITE"/>
    <s v="N00827W"/>
    <s v="FLINTSL - WHITE"/>
    <n v="26"/>
    <n v="0"/>
    <m/>
    <m/>
    <n v="0"/>
    <s v="FW"/>
    <m/>
    <m/>
    <m/>
    <m/>
    <m/>
    <m/>
    <m/>
    <n v="120"/>
    <n v="0"/>
    <m/>
    <n v="0"/>
    <m/>
    <n v="0"/>
    <m/>
    <n v="0"/>
    <m/>
    <n v="0"/>
    <m/>
    <n v="0"/>
    <m/>
    <n v="0"/>
    <m/>
    <n v="0"/>
    <s v="FLINTSL"/>
    <n v="30"/>
    <n v="0"/>
    <n v="213.29729729729729"/>
    <n v="0"/>
    <n v="2"/>
    <n v="2"/>
    <n v="3"/>
    <n v="32"/>
    <n v="5"/>
    <n v="2"/>
    <n v="5"/>
    <n v="60"/>
    <n v="0.8"/>
    <n v="0.2"/>
    <m/>
    <m/>
    <m/>
    <n v="0"/>
    <n v="180"/>
    <n v="0"/>
    <n v="0"/>
    <n v="180"/>
    <n v="180"/>
    <n v="144"/>
    <n v="0"/>
    <n v="36"/>
    <n v="0"/>
    <n v="0"/>
    <n v="0"/>
    <n v="0"/>
    <n v="0"/>
    <n v="0"/>
    <n v="0"/>
    <n v="0"/>
    <n v="0"/>
    <n v="0"/>
    <m/>
    <n v="206"/>
    <n v="329"/>
    <n v="22"/>
    <s v="FLINTSLFLINTSLFLINTSLFLINTSLFLINTSLFLINTSLFLINTSLFLINTSL"/>
    <s v="+"/>
    <s v="+"/>
    <s v="+"/>
    <s v="+"/>
    <s v="+"/>
    <s v="+"/>
    <s v="+"/>
    <s v="+"/>
  </r>
  <r>
    <d v="2026-01-05T00:00:00"/>
    <s v="A"/>
    <x v="58"/>
    <n v="23"/>
    <n v="772"/>
    <n v="26000"/>
    <s v="II"/>
    <s v="N"/>
    <n v="1.89"/>
    <s v="BLACK"/>
    <s v="N00830B"/>
    <s v="FLINTSL - BLACK"/>
    <n v="28"/>
    <n v="0"/>
    <m/>
    <m/>
    <n v="0"/>
    <n v="26506000004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13.283018867924525"/>
    <n v="0"/>
    <s v="REFLEX BLUE"/>
    <s v="N00830B"/>
    <s v="FLINTSL - REFLEX BLUE"/>
    <n v="23"/>
    <n v="0"/>
    <m/>
    <m/>
    <n v="0"/>
    <n v="25864000013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19.20754716981132"/>
    <n v="0"/>
    <s v="YELLOW"/>
    <s v="N00830Y"/>
    <s v="FLINTSL - YELLOW"/>
    <n v="26"/>
    <n v="0"/>
    <m/>
    <m/>
    <n v="0"/>
    <n v="25862000014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3"/>
    <n v="0"/>
    <n v="11.283018867924525"/>
    <n v="0"/>
    <s v="RED"/>
    <s v="N00836R"/>
    <s v="FLINTSL - RED"/>
    <n v="20"/>
    <n v="0"/>
    <m/>
    <m/>
    <n v="0"/>
    <n v="25863000019"/>
    <n v="26505000006"/>
    <n v="26505000007"/>
    <m/>
    <m/>
    <m/>
    <m/>
    <m/>
    <n v="5"/>
    <e v="#N/A"/>
    <n v="40"/>
    <e v="#N/A"/>
    <n v="30"/>
    <e v="#N/A"/>
    <m/>
    <n v="0"/>
    <m/>
    <n v="0"/>
    <m/>
    <n v="0"/>
    <m/>
    <n v="0"/>
    <m/>
    <n v="0"/>
    <s v="FLINTSL"/>
    <n v="24"/>
    <n v="0"/>
    <n v="89.20754716981132"/>
    <n v="0"/>
    <s v="CYAN"/>
    <s v="N00830C"/>
    <s v="FLINTSL - CYAN"/>
    <n v="24"/>
    <n v="0"/>
    <m/>
    <m/>
    <n v="0"/>
    <n v="2650400000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4"/>
    <n v="0"/>
    <n v="11.283018867924525"/>
    <n v="0"/>
    <s v="MAGENTA"/>
    <s v="N00830M"/>
    <s v="FLINTSL - MAGENTA"/>
    <n v="28"/>
    <n v="0"/>
    <m/>
    <m/>
    <n v="0"/>
    <n v="2650500000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5"/>
    <n v="0"/>
    <n v="14.283018867924525"/>
    <n v="0"/>
    <s v="YELLOW"/>
    <s v="N00830Y"/>
    <s v="FLINTSL - YELLOW"/>
    <n v="26"/>
    <n v="0"/>
    <m/>
    <m/>
    <n v="0"/>
    <n v="26505000004"/>
    <s v="FMD"/>
    <m/>
    <m/>
    <m/>
    <m/>
    <m/>
    <m/>
    <n v="4"/>
    <e v="#N/A"/>
    <n v="2"/>
    <n v="0"/>
    <m/>
    <n v="0"/>
    <m/>
    <n v="0"/>
    <m/>
    <n v="0"/>
    <m/>
    <n v="0"/>
    <m/>
    <n v="0"/>
    <m/>
    <n v="0"/>
    <s v="FLINTSL"/>
    <n v="20"/>
    <n v="0"/>
    <n v="30.20754716981132"/>
    <n v="0"/>
    <s v="WHITE"/>
    <s v="N00830W"/>
    <s v="FLINTSL - WHITE"/>
    <n v="31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7"/>
    <n v="0"/>
    <n v="173.24528301886792"/>
    <n v="0"/>
    <n v="2"/>
    <n v="5"/>
    <n v="2"/>
    <n v="5"/>
    <n v="2"/>
    <n v="2"/>
    <n v="5"/>
    <n v="30"/>
    <n v="0.8"/>
    <n v="0.2"/>
    <m/>
    <m/>
    <m/>
    <n v="0"/>
    <n v="193"/>
    <n v="0"/>
    <n v="0"/>
    <n v="193"/>
    <n v="193"/>
    <n v="154.4"/>
    <n v="0"/>
    <n v="38.6"/>
    <n v="0"/>
    <n v="0"/>
    <n v="0"/>
    <n v="0"/>
    <n v="0"/>
    <n v="0"/>
    <n v="0"/>
    <n v="0"/>
    <n v="0"/>
    <n v="0"/>
    <m/>
    <n v="154"/>
    <n v="362"/>
    <n v="23"/>
    <s v="FLINTSLFLINTSLFLINTSLFLINTSLFLINTSLFLINTSLFLINTSLFLINTSL"/>
    <s v="+"/>
    <s v="+"/>
    <s v="+"/>
    <s v="+"/>
    <s v="+"/>
    <s v="+"/>
    <s v="+"/>
    <s v="+"/>
  </r>
  <r>
    <d v="2026-01-05T00:00:00"/>
    <s v="A"/>
    <x v="59"/>
    <n v="24"/>
    <n v="772"/>
    <n v="26000"/>
    <s v="II"/>
    <s v="N"/>
    <n v="1.81"/>
    <s v="BLACK"/>
    <s v="N00829B"/>
    <s v="FLINTSL - BLACK"/>
    <n v="24"/>
    <n v="0"/>
    <m/>
    <m/>
    <n v="0"/>
    <n v="26506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13.696969696969695"/>
    <n v="0"/>
    <s v="REFLEX BLUE"/>
    <s v="N00829B"/>
    <s v="FLINTSL - REFLEX BLUE"/>
    <n v="24"/>
    <n v="0"/>
    <m/>
    <m/>
    <n v="0"/>
    <n v="25864000013"/>
    <n v="26504000001"/>
    <m/>
    <m/>
    <m/>
    <m/>
    <m/>
    <m/>
    <n v="3"/>
    <e v="#N/A"/>
    <n v="4"/>
    <e v="#N/A"/>
    <m/>
    <n v="0"/>
    <m/>
    <n v="0"/>
    <m/>
    <n v="0"/>
    <m/>
    <n v="0"/>
    <m/>
    <n v="0"/>
    <m/>
    <n v="0"/>
    <s v="FLINTSL"/>
    <n v="26"/>
    <n v="0"/>
    <n v="16.696969696969695"/>
    <n v="0"/>
    <s v="ORANGE"/>
    <s v="N00829O"/>
    <s v="FLINTSL - ORANGE"/>
    <n v="23"/>
    <n v="0"/>
    <m/>
    <m/>
    <n v="0"/>
    <n v="26505000004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4"/>
    <n v="0"/>
    <n v="13.696969696969695"/>
    <n v="0"/>
    <s v="ORANGE"/>
    <m/>
    <s v="FLINTSL - ORANGE"/>
    <m/>
    <n v="0"/>
    <m/>
    <m/>
    <n v="0"/>
    <n v="26505000010"/>
    <n v="26505000012"/>
    <n v="26505000015"/>
    <n v="25862000014"/>
    <m/>
    <m/>
    <m/>
    <m/>
    <n v="40"/>
    <e v="#N/A"/>
    <n v="20"/>
    <e v="#N/A"/>
    <n v="30"/>
    <e v="#N/A"/>
    <n v="3"/>
    <e v="#N/A"/>
    <m/>
    <n v="0"/>
    <m/>
    <n v="0"/>
    <m/>
    <n v="0"/>
    <m/>
    <n v="0"/>
    <s v="FLINTSL"/>
    <n v="13"/>
    <n v="0"/>
    <n v="100.46969696969697"/>
    <n v="0"/>
    <s v="CYAN"/>
    <s v="N00829C"/>
    <s v="FLINTSL - CYAN"/>
    <n v="24"/>
    <n v="0"/>
    <m/>
    <m/>
    <n v="0"/>
    <n v="26504000001"/>
    <s v="FMD"/>
    <m/>
    <m/>
    <m/>
    <m/>
    <m/>
    <m/>
    <n v="2"/>
    <e v="#N/A"/>
    <n v="5"/>
    <n v="0"/>
    <m/>
    <n v="0"/>
    <m/>
    <n v="0"/>
    <m/>
    <n v="0"/>
    <m/>
    <n v="0"/>
    <m/>
    <n v="0"/>
    <m/>
    <n v="0"/>
    <s v="FLINTSL"/>
    <n v="23"/>
    <n v="0"/>
    <n v="13.848484848484851"/>
    <n v="0"/>
    <s v="MAGENTA"/>
    <s v="N00829M"/>
    <s v="FLINTSL - MAGENTA"/>
    <n v="25"/>
    <n v="0"/>
    <m/>
    <m/>
    <n v="0"/>
    <n v="2650500000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5"/>
    <n v="0"/>
    <n v="18.621212121212125"/>
    <n v="0"/>
    <s v="YELLOW"/>
    <s v="N00829Y"/>
    <s v="FLINTSL - YELLOW"/>
    <n v="20"/>
    <n v="0"/>
    <m/>
    <m/>
    <n v="0"/>
    <n v="26505000004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5"/>
    <n v="0"/>
    <n v="34.242424242424242"/>
    <n v="0"/>
    <s v="WHITE"/>
    <s v="N00829W"/>
    <s v="FLINTSL - WHITE"/>
    <n v="27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6"/>
    <n v="0"/>
    <n v="148.72727272727272"/>
    <n v="0"/>
    <n v="4"/>
    <n v="4"/>
    <n v="4"/>
    <n v="7"/>
    <n v="2"/>
    <n v="5"/>
    <n v="10"/>
    <n v="30"/>
    <n v="0.8"/>
    <n v="0.2"/>
    <m/>
    <m/>
    <m/>
    <n v="0"/>
    <n v="193"/>
    <n v="0"/>
    <n v="0"/>
    <n v="193"/>
    <n v="193"/>
    <n v="154.4"/>
    <n v="0"/>
    <n v="38.6"/>
    <n v="0"/>
    <n v="0"/>
    <n v="0"/>
    <n v="0"/>
    <n v="0"/>
    <n v="0"/>
    <n v="0"/>
    <n v="0"/>
    <n v="0"/>
    <n v="0"/>
    <m/>
    <n v="186"/>
    <n v="360"/>
    <n v="24"/>
    <s v="FLINTSLFLINTSLFLINTSLFLINTSLFLINTSLFLINTSLFLINTSLFLINTSL"/>
    <s v="+"/>
    <s v="+"/>
    <s v="+"/>
    <s v="+"/>
    <s v="+"/>
    <s v="+"/>
    <s v="+"/>
    <s v="+"/>
  </r>
  <r>
    <d v="2026-01-05T00:00:00"/>
    <s v="A"/>
    <x v="60"/>
    <n v="25"/>
    <n v="472"/>
    <n v="23900"/>
    <s v="I"/>
    <s v="N"/>
    <n v="1.21"/>
    <s v="BLACK"/>
    <s v="C01418B"/>
    <s v="FLINTSL - BLACK"/>
    <n v="22"/>
    <n v="0"/>
    <m/>
    <m/>
    <n v="0"/>
    <n v="26506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9"/>
    <n v="0"/>
    <n v="2.3880597014925371"/>
    <n v="0"/>
    <s v="RED"/>
    <s v="C01418R"/>
    <s v="FLINTSL - RED"/>
    <n v="24"/>
    <n v="0"/>
    <m/>
    <m/>
    <n v="0"/>
    <n v="25862000014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1.4626865671641802"/>
    <n v="0"/>
    <s v="GREEN"/>
    <m/>
    <s v="FLINTSL - GREEN"/>
    <m/>
    <n v="0"/>
    <m/>
    <m/>
    <n v="0"/>
    <n v="26505000019"/>
    <n v="26505000020"/>
    <n v="26505000004"/>
    <n v="26504000001"/>
    <s v="FMD"/>
    <m/>
    <m/>
    <m/>
    <n v="0.18"/>
    <e v="#N/A"/>
    <n v="30"/>
    <e v="#N/A"/>
    <n v="20"/>
    <e v="#N/A"/>
    <n v="30"/>
    <e v="#N/A"/>
    <n v="5"/>
    <n v="0"/>
    <m/>
    <n v="0"/>
    <m/>
    <n v="0"/>
    <m/>
    <n v="0"/>
    <s v="FLINTSL"/>
    <n v="40"/>
    <n v="0"/>
    <n v="69.806865671641788"/>
    <n v="0"/>
    <s v="CYAN"/>
    <s v="C01418C"/>
    <s v="FLINTSL - CYAN"/>
    <n v="22"/>
    <n v="0"/>
    <m/>
    <m/>
    <n v="0"/>
    <n v="26505000021"/>
    <m/>
    <m/>
    <m/>
    <m/>
    <m/>
    <m/>
    <m/>
    <n v="40"/>
    <e v="#N/A"/>
    <m/>
    <n v="0"/>
    <m/>
    <n v="0"/>
    <m/>
    <n v="0"/>
    <m/>
    <n v="0"/>
    <m/>
    <n v="0"/>
    <m/>
    <n v="0"/>
    <m/>
    <n v="0"/>
    <s v="FLINTSL"/>
    <n v="29"/>
    <n v="0"/>
    <n v="33"/>
    <n v="0"/>
    <s v="MAGENTA"/>
    <s v="C01418M"/>
    <s v="FLINTSL - MAGENTA"/>
    <n v="22"/>
    <n v="0"/>
    <m/>
    <m/>
    <n v="0"/>
    <n v="26505000005"/>
    <s v="FMD"/>
    <m/>
    <m/>
    <m/>
    <m/>
    <m/>
    <m/>
    <n v="5"/>
    <e v="#N/A"/>
    <n v="10"/>
    <n v="0"/>
    <m/>
    <n v="0"/>
    <m/>
    <n v="0"/>
    <m/>
    <n v="0"/>
    <m/>
    <n v="0"/>
    <m/>
    <n v="0"/>
    <m/>
    <n v="0"/>
    <s v="FLINTSL"/>
    <n v="42"/>
    <n v="0"/>
    <n v="2.3880597014925371"/>
    <n v="0"/>
    <s v="YELLOW"/>
    <s v="C01418Y"/>
    <s v="FLINTSL - YELLOW"/>
    <n v="24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9"/>
    <n v="0"/>
    <n v="12.31343283582089"/>
    <n v="0"/>
    <s v="WHITE"/>
    <s v="C01418W"/>
    <s v="FLINTSL - WHITE"/>
    <n v="26"/>
    <n v="0"/>
    <m/>
    <m/>
    <n v="0"/>
    <s v="FW"/>
    <m/>
    <m/>
    <m/>
    <m/>
    <m/>
    <m/>
    <m/>
    <n v="80"/>
    <n v="0"/>
    <m/>
    <n v="0"/>
    <m/>
    <n v="0"/>
    <m/>
    <n v="0"/>
    <m/>
    <n v="0"/>
    <m/>
    <n v="0"/>
    <m/>
    <n v="0"/>
    <m/>
    <n v="0"/>
    <s v="FLINTSL"/>
    <n v="30"/>
    <n v="0"/>
    <n v="186.8208955223880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1"/>
    <n v="10"/>
    <n v="0"/>
    <n v="3"/>
    <n v="5"/>
    <n v="45"/>
    <n v="0"/>
    <n v="0.8"/>
    <n v="0.2"/>
    <m/>
    <m/>
    <m/>
    <n v="0"/>
    <n v="165"/>
    <n v="0"/>
    <n v="0"/>
    <n v="165"/>
    <n v="165"/>
    <n v="132"/>
    <n v="0"/>
    <n v="33"/>
    <n v="0"/>
    <n v="0"/>
    <n v="0"/>
    <n v="0"/>
    <n v="0"/>
    <n v="0"/>
    <n v="0"/>
    <n v="0"/>
    <n v="0"/>
    <n v="0"/>
    <m/>
    <n v="229.18"/>
    <n v="308.18"/>
    <n v="25"/>
    <s v="FLINTSLFLINTSLFLINTSLFLINTSLFLINTSLFLINTSLFLINTSL"/>
    <s v="+"/>
    <s v="+"/>
    <s v="+"/>
    <s v="+"/>
    <s v="+"/>
    <s v="+"/>
    <s v="+"/>
    <s v="NIL"/>
  </r>
  <r>
    <d v="2026-01-05T00:00:00"/>
    <s v="A"/>
    <x v="61"/>
    <n v="26"/>
    <n v="691"/>
    <n v="23300"/>
    <s v="II"/>
    <s v="N"/>
    <n v="1.85"/>
    <s v="BLACK"/>
    <s v="N00828B"/>
    <s v="FLINTSL - BLACK"/>
    <n v="27"/>
    <n v="0"/>
    <s v="N00828B"/>
    <n v="23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0"/>
    <n v="30.117647058823529"/>
    <n v="0"/>
    <s v="REFLEX BLUE"/>
    <s v="N00828B"/>
    <s v="FLINTSL - REFLEX BLUE"/>
    <n v="28"/>
    <n v="0"/>
    <m/>
    <m/>
    <n v="0"/>
    <n v="25864000013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9"/>
    <n v="0"/>
    <n v="15.141176470588235"/>
    <n v="0"/>
    <s v="YELLOW"/>
    <s v="N00827Y"/>
    <s v="FLINTSL - YELLOW"/>
    <n v="24"/>
    <n v="0"/>
    <m/>
    <m/>
    <n v="0"/>
    <n v="26505000004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6"/>
    <n v="0"/>
    <n v="6.0705882352941174"/>
    <n v="0"/>
    <s v="REFLEX BLUE"/>
    <s v="E00981B"/>
    <s v="FLINTSL - REFLEX BLUE"/>
    <n v="20"/>
    <n v="0"/>
    <m/>
    <m/>
    <n v="0"/>
    <n v="25864000013"/>
    <n v="26505000016"/>
    <n v="26505000017"/>
    <m/>
    <m/>
    <m/>
    <m/>
    <m/>
    <n v="7"/>
    <e v="#N/A"/>
    <n v="10"/>
    <e v="#N/A"/>
    <n v="20"/>
    <e v="#N/A"/>
    <m/>
    <n v="0"/>
    <m/>
    <n v="0"/>
    <m/>
    <n v="0"/>
    <m/>
    <n v="0"/>
    <m/>
    <n v="0"/>
    <s v="FLINTSL"/>
    <n v="22"/>
    <n v="0"/>
    <n v="51.188235294117646"/>
    <n v="0"/>
    <s v="CYAN"/>
    <s v="N00828C"/>
    <s v="FLINTSL - CYAN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5.0470588235294116"/>
    <n v="0"/>
    <s v="MAGENTA"/>
    <s v="N00828M"/>
    <s v="FLINTSL - MAGENTA"/>
    <n v="28"/>
    <n v="0"/>
    <m/>
    <m/>
    <n v="0"/>
    <n v="26505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9"/>
    <n v="0"/>
    <n v="7.0705882352941174"/>
    <n v="0"/>
    <s v="YELLOW"/>
    <s v="N00828Y"/>
    <s v="FLINTSL - YELLOW"/>
    <n v="30"/>
    <n v="0"/>
    <m/>
    <m/>
    <n v="0"/>
    <n v="26505000004"/>
    <s v="FMD"/>
    <m/>
    <m/>
    <m/>
    <m/>
    <m/>
    <m/>
    <n v="6"/>
    <e v="#N/A"/>
    <n v="5"/>
    <n v="0"/>
    <m/>
    <n v="0"/>
    <m/>
    <n v="0"/>
    <m/>
    <n v="0"/>
    <m/>
    <n v="0"/>
    <m/>
    <n v="0"/>
    <m/>
    <n v="0"/>
    <s v="FLINTSL"/>
    <n v="30"/>
    <n v="0"/>
    <n v="27.188235294117646"/>
    <n v="0"/>
    <s v="WHITE"/>
    <s v="N00828W"/>
    <s v="FLINTSL - WHITE"/>
    <n v="30"/>
    <n v="0"/>
    <m/>
    <m/>
    <n v="0"/>
    <s v="FW"/>
    <m/>
    <m/>
    <m/>
    <m/>
    <m/>
    <m/>
    <m/>
    <n v="70"/>
    <n v="0"/>
    <m/>
    <n v="0"/>
    <m/>
    <n v="0"/>
    <m/>
    <n v="0"/>
    <m/>
    <n v="0"/>
    <m/>
    <n v="0"/>
    <m/>
    <n v="0"/>
    <m/>
    <n v="0"/>
    <s v="FLINTSL"/>
    <n v="30"/>
    <n v="0"/>
    <n v="171.1764705882353"/>
    <n v="0"/>
    <n v="5"/>
    <n v="6"/>
    <n v="3"/>
    <n v="8"/>
    <n v="2"/>
    <n v="3"/>
    <n v="8"/>
    <n v="50"/>
    <n v="0.8"/>
    <n v="0.2"/>
    <m/>
    <m/>
    <m/>
    <n v="0"/>
    <n v="172"/>
    <n v="0"/>
    <n v="0"/>
    <n v="172"/>
    <n v="172"/>
    <n v="137.6"/>
    <n v="0"/>
    <n v="34.4"/>
    <n v="0"/>
    <n v="0"/>
    <n v="0"/>
    <n v="0"/>
    <n v="0"/>
    <n v="0"/>
    <n v="0"/>
    <n v="0"/>
    <n v="0"/>
    <n v="0"/>
    <m/>
    <n v="126"/>
    <n v="313"/>
    <n v="26"/>
    <s v="FLINTSLFLINTSLFLINTSLFLINTSLFLINTSLFLINTSLFLINTSLFLINTSL"/>
    <s v="+"/>
    <s v="+"/>
    <s v="+"/>
    <s v="+"/>
    <s v="+"/>
    <s v="+"/>
    <s v="+"/>
    <s v="+"/>
  </r>
  <r>
    <d v="2026-01-05T00:00:00"/>
    <s v="A"/>
    <x v="62"/>
    <n v="27"/>
    <n v="478"/>
    <n v="24200"/>
    <s v="I"/>
    <s v="N"/>
    <n v="1.0900000000000001"/>
    <s v="BLACK"/>
    <s v="N00812B"/>
    <s v="FLINTSL - BLACK"/>
    <n v="29"/>
    <n v="0"/>
    <m/>
    <m/>
    <n v="0"/>
    <n v="26506000005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6"/>
    <n v="0"/>
    <n v="22"/>
    <n v="0"/>
    <s v="RED"/>
    <s v="N00812R"/>
    <s v="FLINTSL - RED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2"/>
    <n v="0"/>
    <s v="RED"/>
    <m/>
    <s v="FLINTSL - RED"/>
    <m/>
    <n v="0"/>
    <m/>
    <m/>
    <n v="0"/>
    <n v="26505000022"/>
    <n v="26505000026"/>
    <m/>
    <m/>
    <m/>
    <m/>
    <m/>
    <m/>
    <n v="40"/>
    <e v="#N/A"/>
    <n v="28.6"/>
    <e v="#N/A"/>
    <m/>
    <n v="0"/>
    <m/>
    <n v="0"/>
    <m/>
    <n v="0"/>
    <m/>
    <n v="0"/>
    <m/>
    <n v="0"/>
    <m/>
    <n v="0"/>
    <s v="FLINTSL"/>
    <n v="24"/>
    <n v="0"/>
    <n v="57.599999999999994"/>
    <n v="0"/>
    <s v="CYAN"/>
    <s v="N00812C"/>
    <s v="FLINTSL - CYAN"/>
    <n v="29"/>
    <n v="0"/>
    <m/>
    <m/>
    <n v="0"/>
    <n v="2650400000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17"/>
    <n v="0"/>
    <s v="MAGENTA"/>
    <s v="N00812M"/>
    <s v="FLINTSL - MAGENTA"/>
    <n v="30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9"/>
    <n v="0"/>
    <n v="20"/>
    <n v="0"/>
    <s v="YELLOW"/>
    <s v="N00812Y"/>
    <s v="FLINTSL - YELLOW"/>
    <n v="29"/>
    <n v="0"/>
    <m/>
    <m/>
    <n v="0"/>
    <n v="26505000004"/>
    <s v="FMD"/>
    <m/>
    <m/>
    <m/>
    <m/>
    <m/>
    <m/>
    <n v="10"/>
    <e v="#N/A"/>
    <n v="6"/>
    <n v="0"/>
    <m/>
    <n v="0"/>
    <m/>
    <n v="0"/>
    <m/>
    <n v="0"/>
    <m/>
    <n v="0"/>
    <m/>
    <n v="0"/>
    <m/>
    <n v="0"/>
    <s v="FLINTSL"/>
    <n v="26"/>
    <n v="0"/>
    <n v="32"/>
    <n v="0"/>
    <s v="WHITE"/>
    <s v="N00812W"/>
    <s v="FLINTSL - WHITE"/>
    <n v="3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24"/>
    <n v="0"/>
    <n v="13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0"/>
    <n v="5"/>
    <n v="5"/>
    <n v="5"/>
    <n v="5"/>
    <n v="30"/>
    <n v="0"/>
    <n v="0.8"/>
    <n v="0.2"/>
    <m/>
    <m/>
    <m/>
    <n v="0"/>
    <n v="143"/>
    <n v="0"/>
    <n v="0"/>
    <n v="143"/>
    <n v="143"/>
    <n v="114.4"/>
    <n v="0"/>
    <n v="28.6"/>
    <n v="0"/>
    <n v="0"/>
    <n v="0"/>
    <n v="0"/>
    <n v="0"/>
    <n v="0"/>
    <n v="0"/>
    <n v="0"/>
    <n v="0"/>
    <n v="0"/>
    <m/>
    <n v="148.6"/>
    <n v="284.60000000000002"/>
    <n v="27"/>
    <s v="FLINTSLFLINTSLFLINTSLFLINTSLFLINTSLFLINTSLFLINTSL"/>
    <s v="+"/>
    <s v="+"/>
    <s v="+"/>
    <s v="+"/>
    <s v="+"/>
    <s v="+"/>
    <s v="+"/>
    <s v="NIL"/>
  </r>
  <r>
    <d v="2026-01-05T00:00:00"/>
    <s v="A"/>
    <x v="63"/>
    <n v="28"/>
    <n v="519"/>
    <n v="26700"/>
    <s v="II"/>
    <s v="N"/>
    <n v="1.73"/>
    <s v="BLACK"/>
    <s v="N00831B"/>
    <s v="FLINTSL - BLACK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12.833333333333329"/>
    <n v="0"/>
    <s v="BLACK"/>
    <s v="N00836B"/>
    <s v="FLINTSL - BLACK"/>
    <n v="32"/>
    <n v="0"/>
    <m/>
    <m/>
    <n v="0"/>
    <n v="26506000005"/>
    <n v="9472"/>
    <m/>
    <m/>
    <m/>
    <m/>
    <m/>
    <m/>
    <n v="1"/>
    <e v="#N/A"/>
    <n v="2"/>
    <n v="0"/>
    <m/>
    <n v="0"/>
    <m/>
    <n v="0"/>
    <m/>
    <n v="0"/>
    <m/>
    <n v="0"/>
    <m/>
    <n v="0"/>
    <m/>
    <n v="0"/>
    <s v="FLINTSL"/>
    <n v="20"/>
    <n v="0"/>
    <n v="23.666666666666664"/>
    <n v="0"/>
    <s v="RED"/>
    <s v="N00829R"/>
    <s v="FLINTSL - RED"/>
    <n v="24"/>
    <n v="0"/>
    <s v="H01282R/N00831R"/>
    <n v="46"/>
    <n v="0"/>
    <n v="26505000005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9"/>
    <n v="0"/>
    <n v="61.833333333333329"/>
    <n v="0"/>
    <s v="CYAN"/>
    <s v="N00831C"/>
    <s v="FLINTSL - CYAN"/>
    <n v="28"/>
    <n v="0"/>
    <m/>
    <m/>
    <n v="0"/>
    <n v="26504000001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8"/>
    <n v="0"/>
    <n v="7.5"/>
    <n v="0"/>
    <s v="MAGENTA"/>
    <s v="N00831M"/>
    <s v="FLINTSL - MAGENTA"/>
    <n v="29"/>
    <n v="0"/>
    <m/>
    <m/>
    <n v="0"/>
    <n v="26505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8.3333333333333357"/>
    <n v="0"/>
    <s v="YELLOW"/>
    <s v="N00831Y"/>
    <s v="FLINTSL - YELLOW"/>
    <n v="30"/>
    <n v="0"/>
    <m/>
    <m/>
    <n v="0"/>
    <n v="26505000004"/>
    <s v="FMD"/>
    <m/>
    <m/>
    <m/>
    <m/>
    <m/>
    <m/>
    <n v="15"/>
    <e v="#N/A"/>
    <n v="10"/>
    <n v="0"/>
    <m/>
    <n v="0"/>
    <m/>
    <n v="0"/>
    <m/>
    <n v="0"/>
    <m/>
    <n v="0"/>
    <m/>
    <n v="0"/>
    <m/>
    <n v="0"/>
    <s v="FLINTSL"/>
    <n v="29"/>
    <n v="0"/>
    <n v="58.5"/>
    <n v="0"/>
    <s v="WHITE"/>
    <s v="N00831W"/>
    <s v="FLINTSL - WHITE"/>
    <n v="30"/>
    <n v="0"/>
    <m/>
    <m/>
    <n v="0"/>
    <s v="FW"/>
    <m/>
    <m/>
    <m/>
    <m/>
    <m/>
    <m/>
    <m/>
    <n v="90"/>
    <n v="0"/>
    <m/>
    <n v="0"/>
    <m/>
    <n v="0"/>
    <m/>
    <n v="0"/>
    <m/>
    <n v="0"/>
    <m/>
    <n v="0"/>
    <m/>
    <n v="0"/>
    <m/>
    <n v="0"/>
    <s v="FLINTSL"/>
    <n v="25"/>
    <n v="0"/>
    <n v="203.3333333333333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4"/>
    <n v="5"/>
    <n v="3"/>
    <n v="2"/>
    <n v="15"/>
    <n v="50"/>
    <n v="0"/>
    <n v="0.8"/>
    <n v="0.2"/>
    <m/>
    <m/>
    <m/>
    <n v="0"/>
    <n v="182"/>
    <n v="0"/>
    <n v="0"/>
    <n v="182"/>
    <n v="182"/>
    <n v="145.6"/>
    <n v="0"/>
    <n v="36.4"/>
    <n v="0"/>
    <n v="0"/>
    <n v="0"/>
    <n v="0"/>
    <n v="0"/>
    <n v="0"/>
    <n v="0"/>
    <n v="0"/>
    <n v="0"/>
    <n v="0"/>
    <m/>
    <n v="131"/>
    <n v="376"/>
    <n v="28"/>
    <s v="FLINTSLFLINTSLFLINTSLFLINTSLFLINTSLFLINTSLFLINTSL"/>
    <s v="+"/>
    <s v="+"/>
    <s v="+"/>
    <s v="+"/>
    <s v="+"/>
    <s v="+"/>
    <s v="+"/>
    <s v="NIL"/>
  </r>
  <r>
    <d v="2026-01-05T00:00:00"/>
    <s v="A"/>
    <x v="64"/>
    <n v="29"/>
    <n v="476"/>
    <n v="24100"/>
    <s v="I"/>
    <s v="N"/>
    <n v="1.1200000000000001"/>
    <s v="BLACK"/>
    <s v="N00810B"/>
    <s v="FLINTSL - BLACK"/>
    <n v="26"/>
    <n v="0"/>
    <m/>
    <m/>
    <n v="0"/>
    <n v="26506000005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5"/>
    <n v="0"/>
    <n v="25.555555555555557"/>
    <n v="0"/>
    <s v="RED"/>
    <s v="N00810R"/>
    <s v="FLINTSL - RED"/>
    <n v="25"/>
    <n v="0"/>
    <m/>
    <m/>
    <n v="0"/>
    <n v="26505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9"/>
    <n v="0"/>
    <n v="16.555555555555557"/>
    <n v="0"/>
    <s v="REFLEX BLUE"/>
    <m/>
    <s v="FLINTSL - REFLEX BLUE"/>
    <m/>
    <n v="0"/>
    <m/>
    <m/>
    <n v="0"/>
    <n v="26505000030"/>
    <n v="26505000023"/>
    <n v="26505000031"/>
    <m/>
    <m/>
    <m/>
    <m/>
    <m/>
    <n v="28.5"/>
    <e v="#N/A"/>
    <n v="40"/>
    <e v="#N/A"/>
    <n v="25"/>
    <e v="#N/A"/>
    <m/>
    <n v="0"/>
    <m/>
    <n v="0"/>
    <m/>
    <n v="0"/>
    <m/>
    <n v="0"/>
    <m/>
    <n v="0"/>
    <s v="FLINTSL"/>
    <n v="20"/>
    <n v="0"/>
    <n v="92.055555555555557"/>
    <n v="0"/>
    <s v="CYAN"/>
    <s v="N00810C"/>
    <s v="FLINTSL - CYAN"/>
    <n v="27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8"/>
    <n v="0"/>
    <n v="23.555555555555557"/>
    <n v="0"/>
    <s v="MAGENTA"/>
    <s v="N00810M"/>
    <s v="FLINTSL - MAGENTA"/>
    <n v="29"/>
    <n v="0"/>
    <m/>
    <m/>
    <n v="0"/>
    <n v="26505000005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27"/>
    <n v="0"/>
    <n v="28.555555555555557"/>
    <n v="0"/>
    <s v="YELLOW"/>
    <s v="N00810Y"/>
    <s v="FLINTSL - YELLOW"/>
    <n v="26"/>
    <n v="0"/>
    <m/>
    <m/>
    <n v="0"/>
    <n v="26505000004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5"/>
    <n v="0"/>
    <n v="25.555555555555557"/>
    <n v="0"/>
    <s v="WHITE"/>
    <s v="N00810W"/>
    <s v="FLINTSL - WHITE"/>
    <n v="24"/>
    <n v="0"/>
    <m/>
    <m/>
    <n v="0"/>
    <s v="FW"/>
    <m/>
    <m/>
    <m/>
    <m/>
    <m/>
    <m/>
    <m/>
    <n v="25"/>
    <n v="0"/>
    <m/>
    <n v="0"/>
    <m/>
    <n v="0"/>
    <m/>
    <n v="0"/>
    <m/>
    <n v="0"/>
    <m/>
    <n v="0"/>
    <m/>
    <n v="0"/>
    <m/>
    <n v="0"/>
    <s v="FLINTSL"/>
    <n v="24"/>
    <n v="0"/>
    <n v="80.66666666666665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5"/>
    <n v="5"/>
    <n v="15"/>
    <n v="0"/>
    <n v="0.8"/>
    <n v="0.2"/>
    <m/>
    <m/>
    <m/>
    <n v="0"/>
    <n v="167"/>
    <n v="0"/>
    <n v="0"/>
    <n v="167"/>
    <n v="167"/>
    <n v="133.6"/>
    <n v="0"/>
    <n v="33.4"/>
    <n v="0"/>
    <n v="0"/>
    <n v="0"/>
    <n v="0"/>
    <n v="0"/>
    <n v="0"/>
    <n v="0"/>
    <n v="0"/>
    <n v="0"/>
    <n v="0"/>
    <m/>
    <n v="146.5"/>
    <n v="292.5"/>
    <n v="29"/>
    <s v="FLINTSLFLINTSLFLINTSLFLINTSLFLINTSLFLINTSLFLINTSL"/>
    <s v="+"/>
    <s v="+"/>
    <s v="+"/>
    <s v="+"/>
    <s v="+"/>
    <s v="+"/>
    <s v="+"/>
    <s v="NIL"/>
  </r>
  <r>
    <d v="2026-01-05T00:00:00"/>
    <s v="A"/>
    <x v="65"/>
    <n v="30"/>
    <n v="474"/>
    <n v="24000"/>
    <s v="I"/>
    <s v="N"/>
    <n v="2"/>
    <s v="BLACK"/>
    <s v="N00811B"/>
    <s v="FLINTSL - BLACK"/>
    <n v="25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9"/>
    <n v="0"/>
    <n v="11.43181818181818"/>
    <n v="0"/>
    <s v="BLACK"/>
    <s v="N00811B"/>
    <s v="FLINTSL - BLACK"/>
    <n v="29"/>
    <n v="0"/>
    <m/>
    <m/>
    <n v="0"/>
    <n v="26506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12.43181818181818"/>
    <n v="0"/>
    <s v="BLACK"/>
    <s v="E00986B"/>
    <s v="FLINTSL - BLACK"/>
    <n v="13"/>
    <n v="0"/>
    <m/>
    <m/>
    <n v="0"/>
    <n v="26505000005"/>
    <n v="26506000005"/>
    <n v="25862000014"/>
    <m/>
    <m/>
    <m/>
    <m/>
    <m/>
    <n v="10"/>
    <e v="#N/A"/>
    <n v="2"/>
    <e v="#N/A"/>
    <n v="6"/>
    <e v="#N/A"/>
    <m/>
    <n v="0"/>
    <m/>
    <n v="0"/>
    <m/>
    <n v="0"/>
    <m/>
    <n v="0"/>
    <m/>
    <n v="0"/>
    <s v="FLINTSL"/>
    <n v="29"/>
    <n v="0"/>
    <n v="17.090909090909093"/>
    <n v="0"/>
    <s v="CYAN"/>
    <s v="N00811C"/>
    <s v="FLINTSL - CYAN"/>
    <n v="28"/>
    <n v="0"/>
    <m/>
    <m/>
    <n v="0"/>
    <n v="2650400000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9.4318181818181799"/>
    <n v="0"/>
    <s v="MAGENTA"/>
    <s v="N00811M"/>
    <s v="FLINTSL - MAGENTA"/>
    <n v="27"/>
    <n v="0"/>
    <m/>
    <m/>
    <n v="0"/>
    <n v="26505000005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28"/>
    <n v="0"/>
    <n v="16.43181818181818"/>
    <n v="0"/>
    <s v="YELLOW"/>
    <s v="N00811Y"/>
    <s v="FLINTSL - YELLOW"/>
    <n v="25"/>
    <n v="0"/>
    <m/>
    <m/>
    <n v="0"/>
    <n v="26505000004"/>
    <s v="FMD"/>
    <m/>
    <m/>
    <m/>
    <m/>
    <m/>
    <m/>
    <n v="25"/>
    <e v="#N/A"/>
    <n v="10"/>
    <n v="0"/>
    <m/>
    <n v="0"/>
    <m/>
    <n v="0"/>
    <m/>
    <n v="0"/>
    <m/>
    <n v="0"/>
    <m/>
    <n v="0"/>
    <m/>
    <n v="0"/>
    <s v="FLINTSL"/>
    <n v="26"/>
    <n v="0"/>
    <n v="52.86363636363636"/>
    <n v="0"/>
    <s v="WHITE"/>
    <s v="N00811W"/>
    <s v="FLINTSL - WHITE"/>
    <n v="24"/>
    <n v="0"/>
    <m/>
    <m/>
    <n v="0"/>
    <s v="FW"/>
    <m/>
    <m/>
    <m/>
    <m/>
    <m/>
    <m/>
    <m/>
    <n v="70"/>
    <n v="0"/>
    <m/>
    <n v="0"/>
    <m/>
    <n v="0"/>
    <m/>
    <n v="0"/>
    <m/>
    <n v="0"/>
    <m/>
    <n v="0"/>
    <m/>
    <n v="0"/>
    <m/>
    <n v="0"/>
    <s v="FLINTSL"/>
    <n v="24"/>
    <n v="0"/>
    <n v="164.3181818181818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8"/>
    <n v="5"/>
    <n v="5"/>
    <n v="10"/>
    <n v="50"/>
    <n v="0"/>
    <n v="0.8"/>
    <n v="0.2"/>
    <m/>
    <m/>
    <m/>
    <n v="0"/>
    <n v="166"/>
    <n v="0"/>
    <n v="0"/>
    <n v="166"/>
    <n v="166"/>
    <n v="132.80000000000001"/>
    <n v="0"/>
    <n v="33.200000000000003"/>
    <n v="0"/>
    <n v="0"/>
    <n v="0"/>
    <n v="0"/>
    <n v="0"/>
    <n v="0"/>
    <n v="0"/>
    <n v="0"/>
    <n v="0"/>
    <n v="0"/>
    <m/>
    <n v="141"/>
    <n v="284"/>
    <n v="30"/>
    <s v="FLINTSLFLINTSLFLINTSLFLINTSLFLINTSLFLINTSLFLINTSL"/>
    <s v="+"/>
    <s v="+"/>
    <s v="+"/>
    <s v="+"/>
    <s v="+"/>
    <s v="+"/>
    <s v="+"/>
    <s v="NIL"/>
  </r>
  <r>
    <d v="2026-01-05T00:00:00"/>
    <s v="A"/>
    <x v="66"/>
    <n v="31"/>
    <n v="517"/>
    <n v="26600"/>
    <s v="I"/>
    <s v="N"/>
    <n v="1.78"/>
    <s v="BLACK"/>
    <s v="H01325B"/>
    <s v="FLINTSL - BLACK"/>
    <n v="28"/>
    <n v="0"/>
    <m/>
    <m/>
    <n v="0"/>
    <n v="26506000005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7"/>
    <n v="0"/>
    <n v="6.5249999999999986"/>
    <n v="0"/>
    <s v="REFLEX BLUE"/>
    <s v="N00831B"/>
    <s v="FLINTSL - REFLEX BLUE"/>
    <n v="29"/>
    <n v="0"/>
    <m/>
    <m/>
    <n v="0"/>
    <n v="26506000005"/>
    <m/>
    <m/>
    <m/>
    <m/>
    <m/>
    <m/>
    <m/>
    <n v="0.3"/>
    <e v="#N/A"/>
    <m/>
    <n v="0"/>
    <m/>
    <n v="0"/>
    <m/>
    <n v="0"/>
    <m/>
    <n v="0"/>
    <m/>
    <n v="0"/>
    <m/>
    <n v="0"/>
    <m/>
    <n v="0"/>
    <s v="FLINTSL"/>
    <n v="27"/>
    <n v="0"/>
    <n v="6.8250000000000028"/>
    <n v="0"/>
    <s v="GREEN"/>
    <s v="N00810G"/>
    <s v="FLINTSL - GREEN"/>
    <n v="40"/>
    <n v="0"/>
    <m/>
    <m/>
    <n v="0"/>
    <n v="26504000001"/>
    <n v="26505000004"/>
    <m/>
    <m/>
    <m/>
    <m/>
    <m/>
    <m/>
    <n v="5"/>
    <e v="#N/A"/>
    <n v="8"/>
    <e v="#N/A"/>
    <m/>
    <n v="0"/>
    <m/>
    <n v="0"/>
    <m/>
    <n v="0"/>
    <m/>
    <n v="0"/>
    <m/>
    <n v="0"/>
    <m/>
    <n v="0"/>
    <s v="FLINTSL"/>
    <n v="28"/>
    <n v="0"/>
    <n v="36.3125"/>
    <n v="0"/>
    <s v="CYAN"/>
    <s v="H01325C"/>
    <s v="FLINTSL - CYAN"/>
    <n v="28"/>
    <n v="0"/>
    <m/>
    <m/>
    <n v="0"/>
    <n v="2650400000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9"/>
    <n v="0"/>
    <n v="7.5249999999999986"/>
    <n v="0"/>
    <s v="MAGENTA"/>
    <s v="H01325M"/>
    <s v="FLINTSL - MAGENTA"/>
    <n v="27"/>
    <n v="0"/>
    <m/>
    <m/>
    <n v="0"/>
    <n v="26507000017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30"/>
    <n v="0"/>
    <n v="12.049999999999997"/>
    <n v="0"/>
    <s v="YELLOW"/>
    <s v="H01325Y"/>
    <s v="FLINTSL - YELLOW"/>
    <n v="29"/>
    <n v="0"/>
    <m/>
    <m/>
    <n v="0"/>
    <n v="26505000004"/>
    <s v="FMD"/>
    <m/>
    <m/>
    <m/>
    <m/>
    <m/>
    <m/>
    <n v="15"/>
    <e v="#N/A"/>
    <n v="16"/>
    <n v="0"/>
    <m/>
    <n v="0"/>
    <m/>
    <n v="0"/>
    <m/>
    <n v="0"/>
    <m/>
    <n v="0"/>
    <m/>
    <n v="0"/>
    <m/>
    <n v="0"/>
    <s v="FLINTSL"/>
    <n v="28"/>
    <n v="0"/>
    <n v="43.3125"/>
    <n v="0"/>
    <s v="WHITE"/>
    <s v="H01325W"/>
    <s v="FLINTSL - WHITE"/>
    <n v="25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230.7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5"/>
    <n v="2"/>
    <n v="4"/>
    <n v="5"/>
    <n v="60"/>
    <n v="0"/>
    <n v="0.8"/>
    <n v="0.2"/>
    <m/>
    <m/>
    <m/>
    <n v="0"/>
    <n v="181"/>
    <n v="0"/>
    <n v="0"/>
    <n v="181"/>
    <n v="181"/>
    <n v="144.80000000000001"/>
    <n v="0"/>
    <n v="36.200000000000003"/>
    <n v="0"/>
    <n v="0"/>
    <n v="0"/>
    <n v="0"/>
    <n v="0"/>
    <n v="0"/>
    <n v="0"/>
    <n v="0"/>
    <n v="0"/>
    <n v="0"/>
    <m/>
    <n v="155.30000000000001"/>
    <n v="343.3"/>
    <n v="31"/>
    <s v="FLINTSLFLINTSLFLINTSLFLINTSLFLINTSLFLINTSLFLINTSL"/>
    <s v="+"/>
    <s v="+"/>
    <s v="+"/>
    <s v="+"/>
    <s v="+"/>
    <s v="+"/>
    <s v="+"/>
    <s v="NIL"/>
  </r>
  <r>
    <d v="2026-01-05T00:00:00"/>
    <s v="B"/>
    <x v="67"/>
    <n v="32"/>
    <n v="519"/>
    <n v="26700"/>
    <s v="II"/>
    <s v="N"/>
    <n v="1.62"/>
    <s v="BLACK"/>
    <s v="H01206B"/>
    <s v="FLINTSL - BLACK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2.8999999999999986"/>
    <n v="0"/>
    <s v="REFLEX BLUE"/>
    <s v="H01206B"/>
    <s v="FLINTSL - REFLEX BLUE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13"/>
    <n v="0"/>
    <n v="14"/>
    <n v="0"/>
    <s v="RED"/>
    <s v="H01325R"/>
    <s v="FLINTSL - RED"/>
    <n v="29"/>
    <n v="0"/>
    <m/>
    <m/>
    <n v="0"/>
    <n v="25862000014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2"/>
    <n v="0"/>
    <n v="9.7999999999999972"/>
    <n v="0"/>
    <s v="GREEN"/>
    <s v="H01206G"/>
    <s v="FLINTSL - GREEN"/>
    <n v="28"/>
    <n v="0"/>
    <m/>
    <m/>
    <n v="0"/>
    <n v="25851000006"/>
    <s v="FMD"/>
    <m/>
    <m/>
    <m/>
    <m/>
    <m/>
    <m/>
    <n v="13"/>
    <e v="#N/A"/>
    <n v="2"/>
    <n v="0"/>
    <m/>
    <n v="0"/>
    <m/>
    <n v="0"/>
    <m/>
    <n v="0"/>
    <m/>
    <n v="0"/>
    <m/>
    <n v="0"/>
    <m/>
    <n v="0"/>
    <s v="FLINTSL"/>
    <n v="30"/>
    <n v="0"/>
    <n v="20.799999999999997"/>
    <n v="0"/>
    <s v="CYAN"/>
    <s v="H01206C"/>
    <s v="FLINTSL - CYAN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0"/>
    <n v="3.8999999999999986"/>
    <n v="0"/>
    <s v="MAGENTA"/>
    <s v="H01206M"/>
    <s v="FLINTSL - MAGENTA"/>
    <n v="30"/>
    <n v="0"/>
    <m/>
    <m/>
    <n v="0"/>
    <n v="26507000017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30"/>
    <n v="0"/>
    <n v="8.8500000000000014"/>
    <n v="0"/>
    <s v="YELLOW"/>
    <s v="H01206Y"/>
    <s v="FLINTSL - YELLOW"/>
    <n v="28"/>
    <n v="0"/>
    <m/>
    <m/>
    <n v="0"/>
    <n v="26505000033"/>
    <s v="FMD"/>
    <m/>
    <m/>
    <m/>
    <m/>
    <m/>
    <m/>
    <n v="20"/>
    <e v="#N/A"/>
    <n v="20"/>
    <n v="0"/>
    <m/>
    <n v="0"/>
    <m/>
    <n v="0"/>
    <m/>
    <n v="0"/>
    <m/>
    <n v="0"/>
    <m/>
    <n v="0"/>
    <m/>
    <n v="0"/>
    <s v="FLINTSL"/>
    <n v="25"/>
    <n v="0"/>
    <n v="91.75"/>
    <n v="0"/>
    <s v="WHITE"/>
    <s v="H01206W"/>
    <s v="FLINTSL - WHITE"/>
    <n v="30"/>
    <n v="0"/>
    <m/>
    <m/>
    <n v="0"/>
    <s v="FW"/>
    <m/>
    <m/>
    <m/>
    <m/>
    <m/>
    <m/>
    <m/>
    <n v="70"/>
    <n v="0"/>
    <m/>
    <n v="0"/>
    <m/>
    <n v="0"/>
    <m/>
    <n v="0"/>
    <m/>
    <n v="0"/>
    <m/>
    <n v="0"/>
    <m/>
    <n v="0"/>
    <m/>
    <n v="0"/>
    <s v="FLINTSL"/>
    <n v="30"/>
    <n v="0"/>
    <n v="148"/>
    <n v="0"/>
    <n v="2"/>
    <n v="0"/>
    <n v="4"/>
    <n v="4"/>
    <n v="2"/>
    <n v="3"/>
    <n v="25"/>
    <n v="40"/>
    <n v="0.8"/>
    <n v="0.2"/>
    <m/>
    <m/>
    <m/>
    <n v="0"/>
    <n v="156"/>
    <n v="0"/>
    <n v="0"/>
    <n v="156"/>
    <n v="156"/>
    <n v="124.80000000000001"/>
    <n v="0"/>
    <n v="31.200000000000003"/>
    <n v="0"/>
    <n v="0"/>
    <n v="0"/>
    <n v="0"/>
    <n v="0"/>
    <n v="0"/>
    <n v="0"/>
    <n v="0"/>
    <n v="0"/>
    <n v="0"/>
    <m/>
    <n v="133"/>
    <n v="300"/>
    <n v="32"/>
    <s v="FLINTSLFLINTSLFLINTSLFLINTSLFLINTSLFLINTSLFLINTSLFLINTSL"/>
    <s v="+"/>
    <s v="+"/>
    <s v="+"/>
    <s v="+"/>
    <s v="+"/>
    <s v="+"/>
    <s v="+"/>
    <s v="+"/>
  </r>
  <r>
    <d v="2026-01-05T00:00:00"/>
    <s v="B"/>
    <x v="68"/>
    <n v="33"/>
    <n v="1018"/>
    <n v="52400"/>
    <s v="I"/>
    <s v="N"/>
    <n v="1.86"/>
    <s v="BLACK"/>
    <s v="N00813B"/>
    <s v="FLINTSL - BLACK"/>
    <n v="29"/>
    <n v="0"/>
    <m/>
    <m/>
    <n v="0"/>
    <n v="26506000005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8"/>
    <n v="0"/>
    <n v="19.447552447552447"/>
    <n v="0"/>
    <s v="REFLEX BLUE"/>
    <s v="F00990B"/>
    <s v="FLINTSL - REFLEX BLUE"/>
    <n v="32"/>
    <n v="0"/>
    <m/>
    <m/>
    <n v="0"/>
    <n v="2650400000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19.447552447552447"/>
    <n v="0"/>
    <s v="BLACK"/>
    <s v="N00813B"/>
    <s v="FLINTSL - BLACK"/>
    <n v="28"/>
    <n v="0"/>
    <s v="N00813B/H01325B"/>
    <n v="44"/>
    <n v="0"/>
    <n v="26507000017"/>
    <n v="25863000007"/>
    <n v="25863000019"/>
    <m/>
    <m/>
    <m/>
    <m/>
    <m/>
    <n v="30"/>
    <e v="#N/A"/>
    <n v="20"/>
    <e v="#N/A"/>
    <n v="10"/>
    <e v="#N/A"/>
    <m/>
    <n v="0"/>
    <m/>
    <n v="0"/>
    <m/>
    <n v="0"/>
    <m/>
    <n v="0"/>
    <m/>
    <n v="0"/>
    <s v="FLINTSL"/>
    <n v="25"/>
    <n v="0"/>
    <n v="169.23776223776224"/>
    <n v="0"/>
    <s v="CYAN"/>
    <s v="N00813C"/>
    <s v="FLINTSL - CYAN"/>
    <n v="30"/>
    <n v="0"/>
    <m/>
    <m/>
    <n v="0"/>
    <n v="26504000001"/>
    <s v="FMD"/>
    <m/>
    <m/>
    <m/>
    <m/>
    <m/>
    <m/>
    <n v="4"/>
    <e v="#N/A"/>
    <n v="2"/>
    <n v="0"/>
    <m/>
    <n v="0"/>
    <m/>
    <n v="0"/>
    <m/>
    <n v="0"/>
    <m/>
    <n v="0"/>
    <m/>
    <n v="0"/>
    <m/>
    <n v="0"/>
    <s v="FLINTSL"/>
    <n v="29"/>
    <n v="0"/>
    <n v="19.447552447552447"/>
    <n v="0"/>
    <s v="MAGENTA"/>
    <s v="N00813M"/>
    <s v="FLINTSL - MAGENTA"/>
    <n v="28"/>
    <n v="0"/>
    <s v="E00975M"/>
    <n v="27"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0"/>
    <n v="0"/>
    <n v="53.447552447552454"/>
    <n v="0"/>
    <s v="YELLOW"/>
    <s v="N00813Y"/>
    <s v="FLINTSL - YELLOW"/>
    <n v="26"/>
    <n v="0"/>
    <m/>
    <m/>
    <n v="0"/>
    <n v="26505000033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32"/>
    <n v="0"/>
    <n v="23.91608391608392"/>
    <n v="0"/>
    <s v="WHITE"/>
    <s v="N00813W"/>
    <s v="FLINTSL - WHITE"/>
    <n v="24"/>
    <n v="0"/>
    <m/>
    <m/>
    <n v="0"/>
    <s v="FW"/>
    <m/>
    <m/>
    <m/>
    <m/>
    <m/>
    <m/>
    <m/>
    <n v="150"/>
    <n v="0"/>
    <m/>
    <n v="0"/>
    <m/>
    <n v="0"/>
    <m/>
    <n v="0"/>
    <m/>
    <n v="0"/>
    <m/>
    <n v="0"/>
    <m/>
    <n v="0"/>
    <m/>
    <n v="0"/>
    <s v="FLINTSL"/>
    <n v="30"/>
    <n v="0"/>
    <n v="368.05594405594405"/>
    <n v="0"/>
    <s v="GREEN"/>
    <s v="N00812G"/>
    <s v="FLINTSL - GREEN"/>
    <n v="30"/>
    <n v="0"/>
    <m/>
    <m/>
    <n v="0"/>
    <n v="26506000005"/>
    <m/>
    <m/>
    <m/>
    <m/>
    <m/>
    <m/>
    <m/>
    <n v="0.5"/>
    <e v="#N/A"/>
    <m/>
    <n v="0"/>
    <m/>
    <n v="0"/>
    <m/>
    <n v="0"/>
    <m/>
    <n v="0"/>
    <m/>
    <n v="0"/>
    <m/>
    <n v="0"/>
    <m/>
    <n v="0"/>
    <s v="FLINTSL"/>
    <n v="23"/>
    <n v="0"/>
    <n v="7.5"/>
    <n v="0"/>
    <n v="5"/>
    <n v="5"/>
    <n v="25"/>
    <n v="5"/>
    <n v="5"/>
    <n v="8"/>
    <n v="90"/>
    <n v="0"/>
    <n v="0.8"/>
    <n v="0.2"/>
    <m/>
    <m/>
    <m/>
    <n v="0"/>
    <n v="356"/>
    <n v="0"/>
    <n v="0"/>
    <n v="356"/>
    <n v="356"/>
    <n v="284.8"/>
    <n v="0"/>
    <n v="71.2"/>
    <n v="0"/>
    <n v="0"/>
    <n v="0"/>
    <n v="0"/>
    <n v="0"/>
    <n v="0"/>
    <n v="0"/>
    <n v="0"/>
    <n v="0"/>
    <n v="0"/>
    <m/>
    <n v="240.5"/>
    <n v="680.5"/>
    <n v="33"/>
    <s v="FLINTSLFLINTSLFLINTSLFLINTSLFLINTSLFLINTSLFLINTSLFLINTSL"/>
    <s v="+"/>
    <s v="+"/>
    <s v="+"/>
    <s v="+"/>
    <s v="+"/>
    <s v="+"/>
    <s v="+"/>
    <s v="+"/>
  </r>
  <r>
    <d v="2026-01-05T00:00:00"/>
    <s v="B"/>
    <x v="69"/>
    <n v="34"/>
    <n v="486"/>
    <n v="25000"/>
    <s v="II"/>
    <s v="N"/>
    <n v="1.87"/>
    <s v="BLACK"/>
    <s v="H01323B"/>
    <s v="FLINTSL - BLACK"/>
    <n v="28"/>
    <n v="0"/>
    <m/>
    <m/>
    <n v="0"/>
    <n v="26506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6"/>
    <n v="0"/>
    <n v="9.3684210526315752"/>
    <n v="0"/>
    <s v="REFLEX BLUE"/>
    <s v="C01418B"/>
    <s v="FLINTSL - REFLEX BLUE"/>
    <n v="27"/>
    <n v="0"/>
    <s v="C01418B"/>
    <n v="15"/>
    <n v="0"/>
    <n v="26507000017"/>
    <n v="26506000005"/>
    <m/>
    <m/>
    <m/>
    <m/>
    <m/>
    <m/>
    <n v="2"/>
    <e v="#N/A"/>
    <n v="2"/>
    <e v="#N/A"/>
    <m/>
    <n v="0"/>
    <m/>
    <n v="0"/>
    <m/>
    <n v="0"/>
    <m/>
    <n v="0"/>
    <m/>
    <n v="0"/>
    <m/>
    <n v="0"/>
    <s v="FLINTSL"/>
    <n v="24"/>
    <n v="0"/>
    <n v="29.157894736842103"/>
    <n v="0"/>
    <s v="RED"/>
    <s v="H01323R"/>
    <s v="FLINTSL - RED"/>
    <n v="32"/>
    <n v="0"/>
    <m/>
    <m/>
    <n v="0"/>
    <n v="26507000017"/>
    <n v="25863000007"/>
    <m/>
    <m/>
    <m/>
    <m/>
    <m/>
    <m/>
    <n v="6"/>
    <e v="#N/A"/>
    <n v="4"/>
    <e v="#N/A"/>
    <m/>
    <n v="0"/>
    <m/>
    <n v="0"/>
    <m/>
    <n v="0"/>
    <m/>
    <n v="0"/>
    <m/>
    <n v="0"/>
    <m/>
    <n v="0"/>
    <s v="FLINTSL"/>
    <n v="27"/>
    <n v="0"/>
    <n v="23.94736842105263"/>
    <n v="0"/>
    <s v="GREEN"/>
    <s v="C01417G"/>
    <s v="FLINTSL - GREEN"/>
    <n v="28"/>
    <n v="0"/>
    <m/>
    <m/>
    <n v="0"/>
    <n v="26506000005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9"/>
    <n v="0"/>
    <n v="5.3684210526315752"/>
    <n v="0"/>
    <s v="CYAN"/>
    <s v="H01323C"/>
    <s v="FLINTSL - CYAN"/>
    <n v="29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4"/>
    <n v="0"/>
    <n v="13.368421052631575"/>
    <n v="0"/>
    <s v="MAGENTA"/>
    <s v="H01323M"/>
    <s v="FLINTSL - MAGENTA"/>
    <n v="30"/>
    <n v="0"/>
    <m/>
    <m/>
    <n v="0"/>
    <n v="26507000017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6"/>
    <n v="0"/>
    <n v="10.578947368421055"/>
    <n v="0"/>
    <s v="YELLOW"/>
    <s v="H01323Y"/>
    <s v="FLINTSL - YELLOW"/>
    <n v="25"/>
    <n v="0"/>
    <m/>
    <m/>
    <n v="0"/>
    <n v="26505000033"/>
    <s v="FMD"/>
    <m/>
    <m/>
    <m/>
    <m/>
    <m/>
    <m/>
    <n v="15"/>
    <e v="#N/A"/>
    <n v="20"/>
    <n v="0"/>
    <m/>
    <n v="0"/>
    <m/>
    <n v="0"/>
    <m/>
    <n v="0"/>
    <m/>
    <n v="0"/>
    <m/>
    <n v="0"/>
    <m/>
    <n v="0"/>
    <s v="FLINTSL"/>
    <n v="22"/>
    <n v="0"/>
    <n v="82.73684210526315"/>
    <n v="0"/>
    <s v="WHITE"/>
    <s v="H01323W"/>
    <s v="FLINTSL - WHITE"/>
    <n v="30"/>
    <n v="0"/>
    <m/>
    <m/>
    <n v="0"/>
    <s v="FW"/>
    <m/>
    <m/>
    <m/>
    <m/>
    <m/>
    <m/>
    <m/>
    <n v="90"/>
    <n v="0"/>
    <m/>
    <n v="0"/>
    <m/>
    <n v="0"/>
    <m/>
    <n v="0"/>
    <m/>
    <n v="0"/>
    <m/>
    <n v="0"/>
    <m/>
    <n v="0"/>
    <m/>
    <n v="0"/>
    <s v="FLINTSL"/>
    <n v="25"/>
    <n v="0"/>
    <n v="184.4736842105263"/>
    <n v="0"/>
    <n v="3"/>
    <n v="4"/>
    <n v="5"/>
    <n v="3"/>
    <n v="3"/>
    <n v="2"/>
    <n v="25"/>
    <n v="50"/>
    <n v="0.8"/>
    <n v="0.2"/>
    <m/>
    <m/>
    <m/>
    <n v="0"/>
    <n v="170"/>
    <n v="0"/>
    <n v="0"/>
    <n v="170"/>
    <n v="170"/>
    <n v="136"/>
    <n v="0"/>
    <n v="34"/>
    <n v="0"/>
    <n v="0"/>
    <n v="0"/>
    <n v="0"/>
    <n v="0"/>
    <n v="0"/>
    <n v="0"/>
    <n v="0"/>
    <n v="0"/>
    <n v="0"/>
    <m/>
    <n v="148"/>
    <n v="359"/>
    <n v="34"/>
    <s v="FLINTSLFLINTSLFLINTSLFLINTSLFLINTSLFLINTSLFLINTSLFLINTSL"/>
    <s v="+"/>
    <s v="+"/>
    <s v="+"/>
    <s v="+"/>
    <s v="+"/>
    <s v="+"/>
    <s v="+"/>
    <s v="+"/>
  </r>
  <r>
    <d v="2026-01-06T00:00:00"/>
    <s v="A"/>
    <x v="70"/>
    <n v="35"/>
    <n v="272"/>
    <n v="15900"/>
    <s v="I"/>
    <s v="N"/>
    <n v="1.87"/>
    <s v="BLACK"/>
    <s v="H01335B"/>
    <s v="FLINTSL - BLACK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0"/>
    <n v="0"/>
    <n v="14.142857142857139"/>
    <n v="0"/>
    <s v="GREEN"/>
    <s v="H01323G"/>
    <s v="FLINTSL - GREEN"/>
    <n v="30"/>
    <n v="0"/>
    <m/>
    <m/>
    <n v="0"/>
    <n v="26505000033"/>
    <n v="25851000006"/>
    <n v="26504000001"/>
    <m/>
    <m/>
    <m/>
    <m/>
    <m/>
    <n v="10"/>
    <e v="#N/A"/>
    <n v="15"/>
    <e v="#N/A"/>
    <n v="5"/>
    <e v="#N/A"/>
    <m/>
    <n v="0"/>
    <m/>
    <n v="0"/>
    <m/>
    <n v="0"/>
    <m/>
    <n v="0"/>
    <m/>
    <n v="0"/>
    <s v="FLINTSL"/>
    <n v="32"/>
    <n v="0"/>
    <n v="38.357142857142861"/>
    <n v="0"/>
    <s v="MAGENTA"/>
    <s v="N00810M"/>
    <s v="FLINTSL - MAGENTA"/>
    <n v="24"/>
    <n v="0"/>
    <m/>
    <m/>
    <n v="0"/>
    <n v="26507000017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8.2142857142857153"/>
    <n v="0"/>
    <s v="YELLOW"/>
    <s v="H01335Y"/>
    <s v="FLINTSL - YELLOW"/>
    <n v="32"/>
    <n v="0"/>
    <m/>
    <m/>
    <n v="0"/>
    <n v="26505000033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30"/>
    <n v="0"/>
    <n v="16.142857142857139"/>
    <n v="0"/>
    <s v="WHITE"/>
    <s v="H01335W"/>
    <s v="FLINTSL - WHITE"/>
    <n v="3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122.1428571428571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3"/>
    <n v="2"/>
    <n v="30"/>
    <n v="0"/>
    <n v="0"/>
    <n v="0"/>
    <n v="0.8"/>
    <n v="0.2"/>
    <m/>
    <m/>
    <m/>
    <n v="0"/>
    <n v="87"/>
    <n v="0"/>
    <n v="0"/>
    <n v="87"/>
    <n v="87"/>
    <n v="69.600000000000009"/>
    <n v="0"/>
    <n v="17.400000000000002"/>
    <n v="0"/>
    <n v="0"/>
    <n v="0"/>
    <n v="0"/>
    <n v="0"/>
    <n v="0"/>
    <n v="0"/>
    <n v="0"/>
    <n v="0"/>
    <n v="0"/>
    <m/>
    <n v="104"/>
    <n v="199"/>
    <n v="35"/>
    <s v="FLINTSLFLINTSLFLINTSLFLINTSLFLINTSL"/>
    <s v="+"/>
    <s v="+"/>
    <s v="+"/>
    <s v="+"/>
    <s v="+"/>
    <s v="NIL"/>
    <s v="NIL"/>
    <s v="NIL"/>
  </r>
  <r>
    <d v="2026-01-06T00:00:00"/>
    <s v="A"/>
    <x v="71"/>
    <n v="36"/>
    <n v="515"/>
    <n v="26500"/>
    <s v="II"/>
    <s v="N"/>
    <n v="1.63"/>
    <s v="BLACK"/>
    <s v="H01273B"/>
    <s v="FLINTSL - BLACK"/>
    <n v="26"/>
    <n v="0"/>
    <m/>
    <m/>
    <n v="0"/>
    <n v="26506000005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4"/>
    <n v="0"/>
    <n v="8.8064516129032242"/>
    <n v="0"/>
    <s v="REFLEX BLUE"/>
    <s v="H01273B"/>
    <s v="FLINTSL - REFLEX BLUE"/>
    <n v="10"/>
    <n v="0"/>
    <s v="H01335B"/>
    <n v="10"/>
    <n v="0"/>
    <n v="26506000005"/>
    <n v="26505000013"/>
    <n v="9472"/>
    <m/>
    <m/>
    <m/>
    <m/>
    <m/>
    <n v="0.5"/>
    <e v="#N/A"/>
    <n v="4"/>
    <e v="#N/A"/>
    <n v="5"/>
    <n v="0"/>
    <m/>
    <n v="0"/>
    <m/>
    <n v="0"/>
    <m/>
    <n v="0"/>
    <m/>
    <n v="0"/>
    <m/>
    <n v="0"/>
    <s v="FLINTSL"/>
    <n v="28"/>
    <n v="0"/>
    <n v="11.177419354838712"/>
    <n v="0"/>
    <s v="RED"/>
    <s v="H01273R"/>
    <s v="FLINTSL - RED"/>
    <n v="27"/>
    <n v="0"/>
    <m/>
    <m/>
    <n v="0"/>
    <n v="25863000007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5"/>
    <n v="0"/>
    <n v="9.8709677419354875"/>
    <n v="0"/>
    <s v="CYAN"/>
    <s v="H01273C"/>
    <s v="FLINTSL - CYAN"/>
    <n v="24"/>
    <n v="0"/>
    <s v="H01335C"/>
    <n v="29"/>
    <n v="0"/>
    <n v="26504000001"/>
    <s v="FMD"/>
    <m/>
    <m/>
    <m/>
    <m/>
    <m/>
    <m/>
    <n v="10"/>
    <e v="#N/A"/>
    <n v="7"/>
    <n v="0"/>
    <m/>
    <n v="0"/>
    <m/>
    <n v="0"/>
    <m/>
    <n v="0"/>
    <m/>
    <n v="0"/>
    <m/>
    <n v="0"/>
    <m/>
    <n v="0"/>
    <s v="FLINTSL"/>
    <n v="25"/>
    <n v="0"/>
    <n v="74.032258064516128"/>
    <n v="0"/>
    <s v="MAGENTA"/>
    <s v="H01273M"/>
    <s v="FLINTSL - MAGENTA"/>
    <n v="26"/>
    <n v="0"/>
    <m/>
    <m/>
    <n v="0"/>
    <n v="26507000017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7.870967741935484"/>
    <n v="0"/>
    <s v="YELLOW"/>
    <s v="H01273Y"/>
    <s v="FLINTSL - YELLOW"/>
    <n v="22"/>
    <n v="0"/>
    <s v="H01335Y"/>
    <n v="15"/>
    <n v="0"/>
    <n v="26505000033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19.741935483870968"/>
    <n v="0"/>
    <s v="YELLOW"/>
    <s v="E00978Y"/>
    <s v="FLINTSL - YELLOW"/>
    <n v="30"/>
    <n v="0"/>
    <m/>
    <m/>
    <n v="0"/>
    <n v="26505000033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4"/>
    <n v="0"/>
    <n v="13.870967741935488"/>
    <n v="0"/>
    <s v="WHITE"/>
    <s v="H01273W"/>
    <s v="FLINTSL - WHITE"/>
    <n v="25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2"/>
    <n v="0"/>
    <n v="209.12903225806451"/>
    <n v="0"/>
    <n v="3"/>
    <n v="5"/>
    <n v="2"/>
    <n v="15"/>
    <n v="2"/>
    <n v="4"/>
    <n v="2"/>
    <n v="60"/>
    <n v="0.8"/>
    <n v="0.2"/>
    <m/>
    <m/>
    <m/>
    <n v="0"/>
    <n v="180"/>
    <n v="0"/>
    <n v="0"/>
    <n v="180"/>
    <n v="180"/>
    <n v="144"/>
    <n v="0"/>
    <n v="36"/>
    <n v="0"/>
    <n v="0"/>
    <n v="0"/>
    <n v="0"/>
    <n v="0"/>
    <n v="0"/>
    <n v="0"/>
    <n v="0"/>
    <n v="0"/>
    <n v="0"/>
    <m/>
    <n v="142.5"/>
    <n v="354.5"/>
    <n v="36"/>
    <s v="FLINTSLFLINTSLFLINTSLFLINTSLFLINTSLFLINTSLFLINTSLFLINTSL"/>
    <s v="+"/>
    <s v="+"/>
    <s v="+"/>
    <s v="+"/>
    <s v="+"/>
    <s v="+"/>
    <s v="+"/>
    <s v="+"/>
  </r>
  <r>
    <d v="2026-01-06T00:00:00"/>
    <s v="A"/>
    <x v="72"/>
    <n v="37"/>
    <n v="509"/>
    <n v="26200"/>
    <s v="II"/>
    <s v="N"/>
    <n v="1.95"/>
    <s v="BLACK"/>
    <s v="H01312B"/>
    <s v="FLINTSL - BLACK"/>
    <n v="24"/>
    <n v="0"/>
    <m/>
    <m/>
    <n v="0"/>
    <n v="26506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2"/>
    <n v="0"/>
    <n v="8.0454545454545467"/>
    <n v="0"/>
    <s v="REFLEX BLUE"/>
    <m/>
    <s v="FLINTSL - REFLEX BLUE"/>
    <m/>
    <n v="0"/>
    <m/>
    <m/>
    <n v="0"/>
    <n v="9472"/>
    <s v="FMD"/>
    <n v="26504000001"/>
    <n v="25851000006"/>
    <m/>
    <m/>
    <m/>
    <m/>
    <n v="30"/>
    <n v="0"/>
    <n v="10"/>
    <n v="0"/>
    <n v="2"/>
    <e v="#N/A"/>
    <n v="0.5"/>
    <e v="#N/A"/>
    <m/>
    <n v="0"/>
    <m/>
    <n v="0"/>
    <m/>
    <n v="0"/>
    <m/>
    <n v="0"/>
    <s v="FLINTSL"/>
    <n v="34"/>
    <n v="0"/>
    <n v="28.727272727272727"/>
    <n v="0"/>
    <s v="CYAN"/>
    <s v="H01312C"/>
    <s v="FLINTSL - CYAN"/>
    <n v="24"/>
    <n v="0"/>
    <m/>
    <m/>
    <n v="0"/>
    <n v="26504000001"/>
    <s v="FMD"/>
    <m/>
    <m/>
    <m/>
    <m/>
    <m/>
    <m/>
    <n v="10"/>
    <e v="#N/A"/>
    <n v="7"/>
    <n v="0"/>
    <m/>
    <n v="0"/>
    <m/>
    <n v="0"/>
    <m/>
    <n v="0"/>
    <m/>
    <n v="0"/>
    <m/>
    <n v="0"/>
    <m/>
    <n v="0"/>
    <s v="FLINTSL"/>
    <n v="23"/>
    <n v="0"/>
    <n v="38.227272727272727"/>
    <n v="0"/>
    <s v="MAGENTA"/>
    <s v="H01312M"/>
    <s v="FLINTSL - MAGENTA"/>
    <n v="25"/>
    <n v="0"/>
    <m/>
    <m/>
    <n v="0"/>
    <n v="26507000017"/>
    <s v="FMD"/>
    <m/>
    <m/>
    <m/>
    <m/>
    <m/>
    <m/>
    <n v="2"/>
    <e v="#N/A"/>
    <n v="5"/>
    <n v="0"/>
    <m/>
    <n v="0"/>
    <m/>
    <n v="0"/>
    <m/>
    <n v="0"/>
    <m/>
    <n v="0"/>
    <m/>
    <n v="0"/>
    <m/>
    <n v="0"/>
    <s v="FLINTSL"/>
    <n v="24"/>
    <n v="0"/>
    <n v="16.090909090909093"/>
    <n v="0"/>
    <s v="YELLOW"/>
    <s v="H01312Y"/>
    <s v="FLINTSL - YELLOW"/>
    <n v="30"/>
    <n v="0"/>
    <m/>
    <m/>
    <n v="0"/>
    <n v="26505000004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6"/>
    <n v="0"/>
    <n v="14.045454545454547"/>
    <n v="0"/>
    <s v="WHITE"/>
    <s v="H01312W"/>
    <s v="FLINTSL - WHITE"/>
    <n v="32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25"/>
    <n v="0"/>
    <n v="228.3636363636363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10"/>
    <n v="4"/>
    <n v="2"/>
    <n v="60"/>
    <n v="0"/>
    <n v="0"/>
    <n v="0.8"/>
    <n v="0.2"/>
    <m/>
    <m/>
    <m/>
    <n v="0"/>
    <n v="178"/>
    <n v="0"/>
    <n v="0"/>
    <n v="178"/>
    <n v="178"/>
    <n v="142.4"/>
    <n v="0"/>
    <n v="35.6"/>
    <n v="0"/>
    <n v="0"/>
    <n v="0"/>
    <n v="0"/>
    <n v="0"/>
    <n v="0"/>
    <n v="0"/>
    <n v="0"/>
    <n v="0"/>
    <n v="0"/>
    <m/>
    <n v="174.5"/>
    <n v="333.5"/>
    <n v="37"/>
    <s v="FLINTSLFLINTSLFLINTSLFLINTSLFLINTSLFLINTSL"/>
    <s v="+"/>
    <s v="+"/>
    <s v="+"/>
    <s v="+"/>
    <s v="+"/>
    <s v="+"/>
    <s v="NIL"/>
    <s v="NIL"/>
  </r>
  <r>
    <d v="2026-01-06T00:00:00"/>
    <s v="A"/>
    <x v="73"/>
    <n v="38"/>
    <n v="517"/>
    <n v="26600"/>
    <s v="II"/>
    <s v="N"/>
    <n v="1.78"/>
    <s v="BLACK"/>
    <s v="H01327B"/>
    <s v="FLINTSL - BLACK"/>
    <n v="22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0"/>
    <n v="0"/>
    <n v="9.0674157303370784"/>
    <n v="0"/>
    <s v="REFLEX BLUE"/>
    <m/>
    <s v="FLINTSL - REFLEX BLUE"/>
    <m/>
    <n v="0"/>
    <m/>
    <m/>
    <n v="0"/>
    <n v="26506000003"/>
    <s v="FMD"/>
    <n v="26505000032"/>
    <m/>
    <m/>
    <m/>
    <m/>
    <m/>
    <n v="40"/>
    <e v="#N/A"/>
    <n v="7"/>
    <n v="0"/>
    <n v="4"/>
    <e v="#N/A"/>
    <m/>
    <n v="0"/>
    <m/>
    <n v="0"/>
    <m/>
    <n v="0"/>
    <m/>
    <n v="0"/>
    <m/>
    <n v="0"/>
    <s v="FLINTSL"/>
    <n v="24"/>
    <n v="0"/>
    <n v="47.337078651685388"/>
    <n v="0"/>
    <s v="CYAN"/>
    <s v="H01327C"/>
    <s v="FLINTSL - CYAN"/>
    <n v="23"/>
    <n v="0"/>
    <m/>
    <m/>
    <n v="0"/>
    <n v="26505000032"/>
    <s v="FMD"/>
    <m/>
    <m/>
    <m/>
    <m/>
    <m/>
    <m/>
    <n v="8"/>
    <e v="#N/A"/>
    <n v="5"/>
    <n v="0"/>
    <m/>
    <n v="0"/>
    <m/>
    <n v="0"/>
    <m/>
    <n v="0"/>
    <m/>
    <n v="0"/>
    <m/>
    <n v="0"/>
    <m/>
    <n v="0"/>
    <s v="FLINTSL"/>
    <n v="27"/>
    <n v="0"/>
    <n v="29.337078651685388"/>
    <n v="0"/>
    <s v="MAGENTA"/>
    <s v="H01327M"/>
    <s v="FLINTSL - MAGENTA"/>
    <n v="24"/>
    <n v="0"/>
    <m/>
    <m/>
    <n v="0"/>
    <n v="26507000017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1"/>
    <n v="0"/>
    <n v="13.134831460674157"/>
    <n v="0"/>
    <s v="YELLOW"/>
    <s v="H01327Y"/>
    <s v="FLINTSL - YELLOW"/>
    <n v="26"/>
    <n v="0"/>
    <s v="H01208Y"/>
    <n v="15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0"/>
    <n v="17.101123595505619"/>
    <n v="0"/>
    <s v="WHITE"/>
    <s v="H01327W"/>
    <s v="FLINTSL - WHITE"/>
    <n v="25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29"/>
    <n v="0"/>
    <n v="218.0224719101123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10"/>
    <n v="4"/>
    <n v="3"/>
    <n v="60"/>
    <n v="0"/>
    <n v="0"/>
    <n v="0.8"/>
    <n v="0.2"/>
    <m/>
    <m/>
    <m/>
    <n v="0"/>
    <n v="181"/>
    <n v="0"/>
    <n v="0"/>
    <n v="181"/>
    <n v="181"/>
    <n v="144.80000000000001"/>
    <n v="0"/>
    <n v="36.200000000000003"/>
    <n v="0"/>
    <n v="0"/>
    <n v="0"/>
    <n v="0"/>
    <n v="0"/>
    <n v="0"/>
    <n v="0"/>
    <n v="0"/>
    <n v="0"/>
    <n v="0"/>
    <m/>
    <n v="169"/>
    <n v="334"/>
    <n v="38"/>
    <s v="FLINTSLFLINTSLFLINTSLFLINTSLFLINTSLFLINTSL"/>
    <s v="+"/>
    <s v="+"/>
    <s v="+"/>
    <s v="+"/>
    <s v="+"/>
    <s v="+"/>
    <s v="NIL"/>
    <s v="NIL"/>
  </r>
  <r>
    <d v="2026-01-06T00:00:00"/>
    <s v="A"/>
    <x v="74"/>
    <n v="39"/>
    <n v="269"/>
    <n v="15900"/>
    <s v="II"/>
    <s v="N"/>
    <n v="1.41"/>
    <s v="BLACK"/>
    <s v="H01330B"/>
    <s v="FLINTSL - BLACK"/>
    <n v="20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4"/>
    <n v="0"/>
    <n v="10.81818181818182"/>
    <n v="0"/>
    <s v="REFLEX BLUE"/>
    <s v="H01327B"/>
    <s v="FLINTSL - REFLEX BLUE"/>
    <n v="34"/>
    <n v="0"/>
    <m/>
    <m/>
    <n v="0"/>
    <n v="26505000013"/>
    <n v="9472"/>
    <m/>
    <m/>
    <m/>
    <m/>
    <m/>
    <m/>
    <n v="5"/>
    <e v="#N/A"/>
    <n v="4"/>
    <n v="0"/>
    <m/>
    <n v="0"/>
    <m/>
    <n v="0"/>
    <m/>
    <n v="0"/>
    <m/>
    <n v="0"/>
    <m/>
    <n v="0"/>
    <m/>
    <n v="0"/>
    <s v="FLINTSL"/>
    <n v="31"/>
    <n v="0"/>
    <n v="31.63636363636364"/>
    <n v="0"/>
    <s v="RED"/>
    <s v="H01312R"/>
    <s v="FLINTSL - RED"/>
    <n v="25"/>
    <n v="0"/>
    <s v="H01208R"/>
    <n v="26"/>
    <n v="0"/>
    <n v="26501000001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8"/>
    <n v="0"/>
    <n v="52.63636363636364"/>
    <n v="0"/>
    <s v="CYAN"/>
    <s v="H01330C"/>
    <s v="FLINTSL - CYAN"/>
    <n v="27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4"/>
    <n v="0"/>
    <n v="12.890909090909091"/>
    <n v="0"/>
    <s v="MAGENTA"/>
    <s v="H01330M"/>
    <s v="FLINTSL - MAGENTA"/>
    <n v="21"/>
    <n v="0"/>
    <m/>
    <m/>
    <n v="0"/>
    <n v="26507000017"/>
    <s v="FMD"/>
    <m/>
    <m/>
    <m/>
    <m/>
    <m/>
    <m/>
    <n v="5"/>
    <e v="#N/A"/>
    <n v="2"/>
    <n v="0"/>
    <m/>
    <n v="0"/>
    <m/>
    <n v="0"/>
    <m/>
    <n v="0"/>
    <m/>
    <n v="0"/>
    <m/>
    <n v="0"/>
    <m/>
    <n v="0"/>
    <s v="FLINTSL"/>
    <n v="25"/>
    <n v="0"/>
    <n v="12.81818181818182"/>
    <n v="0"/>
    <s v="YELLOW"/>
    <s v="H01330Y"/>
    <s v="FLINTSL - YELLOW"/>
    <n v="30"/>
    <n v="0"/>
    <m/>
    <m/>
    <n v="0"/>
    <n v="26505000033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6"/>
    <n v="0"/>
    <n v="12.927272727272729"/>
    <n v="0"/>
    <s v="WHITE"/>
    <s v="H01330W"/>
    <s v="FLINTSL - WHITE"/>
    <n v="29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27"/>
    <n v="0"/>
    <n v="81.2727272727272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10"/>
    <n v="3"/>
    <n v="5"/>
    <n v="2"/>
    <n v="20"/>
    <n v="0"/>
    <n v="0.8"/>
    <n v="0.2"/>
    <m/>
    <m/>
    <m/>
    <n v="0"/>
    <n v="108"/>
    <n v="0"/>
    <n v="0"/>
    <n v="108"/>
    <n v="108"/>
    <n v="86.4"/>
    <n v="0"/>
    <n v="21.6"/>
    <n v="0"/>
    <n v="0"/>
    <n v="0"/>
    <n v="0"/>
    <n v="0"/>
    <n v="0"/>
    <n v="0"/>
    <n v="0"/>
    <n v="0"/>
    <n v="0"/>
    <m/>
    <n v="80"/>
    <n v="215.00000000000003"/>
    <n v="39"/>
    <s v="FLINTSLFLINTSLFLINTSLFLINTSLFLINTSLFLINTSLFLINTSL"/>
    <s v="+"/>
    <s v="+"/>
    <s v="+"/>
    <s v="+"/>
    <s v="+"/>
    <s v="+"/>
    <s v="+"/>
    <s v="NIL"/>
  </r>
  <r>
    <d v="2026-01-06T00:00:00"/>
    <s v="A"/>
    <x v="75"/>
    <n v="40"/>
    <n v="389"/>
    <n v="12000"/>
    <s v="II"/>
    <s v="N"/>
    <n v="1.7"/>
    <s v="BLACK"/>
    <s v="H01322B"/>
    <s v="FLINTSL - BLACK"/>
    <n v="24"/>
    <n v="0"/>
    <m/>
    <m/>
    <n v="0"/>
    <n v="26506000005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8"/>
    <n v="0"/>
    <n v="4.0793650793650755"/>
    <n v="0"/>
    <s v="GREEN"/>
    <m/>
    <s v="FLINTSL - GREEN"/>
    <m/>
    <n v="0"/>
    <m/>
    <m/>
    <n v="0"/>
    <n v="9472"/>
    <n v="26505000032"/>
    <n v="26505000033"/>
    <m/>
    <m/>
    <m/>
    <m/>
    <m/>
    <n v="0.5"/>
    <n v="0"/>
    <n v="8"/>
    <e v="#N/A"/>
    <n v="10"/>
    <e v="#N/A"/>
    <m/>
    <n v="0"/>
    <m/>
    <n v="0"/>
    <m/>
    <n v="0"/>
    <m/>
    <n v="0"/>
    <m/>
    <n v="0"/>
    <s v="FLINTSL"/>
    <n v="17"/>
    <n v="0"/>
    <n v="16.896825396825392"/>
    <n v="0"/>
    <s v="RED"/>
    <m/>
    <s v="FLINTSL - RED"/>
    <m/>
    <n v="0"/>
    <m/>
    <m/>
    <n v="0"/>
    <n v="25863000007"/>
    <n v="26507000017"/>
    <s v="FMD"/>
    <n v="66701"/>
    <m/>
    <m/>
    <m/>
    <m/>
    <n v="0.2"/>
    <e v="#N/A"/>
    <n v="7"/>
    <e v="#N/A"/>
    <n v="27"/>
    <n v="0"/>
    <n v="3"/>
    <n v="0"/>
    <m/>
    <n v="0"/>
    <m/>
    <n v="0"/>
    <m/>
    <n v="0"/>
    <m/>
    <n v="0"/>
    <s v="FLINTSL"/>
    <n v="49"/>
    <n v="0"/>
    <n v="14.37460317460318"/>
    <n v="0"/>
    <s v="CYAN"/>
    <s v="H01322C"/>
    <s v="FLINTSL - CYAN"/>
    <n v="24"/>
    <n v="0"/>
    <m/>
    <m/>
    <n v="0"/>
    <n v="26505000032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3.6190476190476204"/>
    <n v="0"/>
    <s v="MAGENTA"/>
    <s v="H01322M"/>
    <s v="FLINTSL - MAGENTA"/>
    <n v="25"/>
    <n v="0"/>
    <m/>
    <m/>
    <n v="0"/>
    <n v="26507000017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3.0793650793650791"/>
    <n v="0"/>
    <s v="YELLOW"/>
    <s v="H01322Y"/>
    <s v="FLINTSL - YELLOW"/>
    <n v="26"/>
    <n v="0"/>
    <m/>
    <m/>
    <n v="0"/>
    <n v="26505000033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6.1587301587301582"/>
    <n v="0"/>
    <s v="BLACK"/>
    <s v="N00730G"/>
    <s v="FLINTSL - BLACK"/>
    <n v="14"/>
    <n v="0"/>
    <m/>
    <m/>
    <n v="0"/>
    <s v="FMD"/>
    <n v="26505000033"/>
    <n v="26506000005"/>
    <m/>
    <m/>
    <m/>
    <m/>
    <m/>
    <n v="10"/>
    <n v="0"/>
    <n v="0.2"/>
    <e v="#N/A"/>
    <n v="1"/>
    <e v="#N/A"/>
    <m/>
    <n v="0"/>
    <m/>
    <n v="0"/>
    <m/>
    <n v="0"/>
    <m/>
    <n v="0"/>
    <m/>
    <n v="0"/>
    <s v="FLINTSL"/>
    <n v="22"/>
    <n v="0"/>
    <n v="18.596825396825395"/>
    <n v="0"/>
    <s v="WHITE"/>
    <s v="H01322W"/>
    <s v="FLINTSL - WHITE"/>
    <n v="27"/>
    <n v="0"/>
    <m/>
    <m/>
    <n v="0"/>
    <s v="FW"/>
    <m/>
    <m/>
    <m/>
    <m/>
    <m/>
    <m/>
    <m/>
    <n v="30"/>
    <n v="0"/>
    <m/>
    <n v="0"/>
    <m/>
    <n v="0"/>
    <m/>
    <n v="0"/>
    <m/>
    <n v="0"/>
    <m/>
    <n v="0"/>
    <m/>
    <n v="0"/>
    <m/>
    <n v="0"/>
    <s v="FLINTSL"/>
    <n v="30"/>
    <n v="0"/>
    <n v="50.095238095238102"/>
    <n v="0"/>
    <n v="2"/>
    <n v="10"/>
    <n v="17"/>
    <n v="3"/>
    <n v="2"/>
    <n v="4"/>
    <n v="10"/>
    <n v="15"/>
    <n v="0.8"/>
    <n v="0.2"/>
    <m/>
    <m/>
    <m/>
    <n v="0"/>
    <n v="97"/>
    <n v="0"/>
    <n v="0"/>
    <n v="97"/>
    <n v="97"/>
    <n v="77.600000000000009"/>
    <n v="0"/>
    <n v="19.400000000000002"/>
    <n v="0"/>
    <n v="0"/>
    <n v="0"/>
    <n v="0"/>
    <n v="0"/>
    <n v="0"/>
    <n v="0"/>
    <n v="0"/>
    <n v="0"/>
    <n v="0"/>
    <m/>
    <n v="110.9"/>
    <n v="116.9"/>
    <n v="40"/>
    <s v="FLINTSLFLINTSLFLINTSLFLINTSLFLINTSLFLINTSLFLINTSLFLINTSL"/>
    <s v="+"/>
    <s v="+"/>
    <s v="+"/>
    <s v="+"/>
    <s v="+"/>
    <s v="+"/>
    <s v="+"/>
    <s v="+"/>
  </r>
  <r>
    <d v="2026-01-06T00:00:00"/>
    <s v="B"/>
    <x v="76"/>
    <n v="41"/>
    <n v="2562"/>
    <n v="138800"/>
    <s v="II"/>
    <s v="N"/>
    <n v="1.7"/>
    <s v="BLACK"/>
    <s v="J00827B"/>
    <s v="FLINTSL - BLACK"/>
    <n v="28"/>
    <n v="0"/>
    <m/>
    <m/>
    <n v="0"/>
    <n v="26506000005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30"/>
    <n v="0"/>
    <n v="30.239669421487605"/>
    <n v="0"/>
    <s v="REFLEX BLUE"/>
    <m/>
    <s v="FLINTSL - REFLEX BLUE"/>
    <m/>
    <n v="0"/>
    <m/>
    <m/>
    <n v="0"/>
    <n v="26507000001"/>
    <n v="26506000008"/>
    <n v="26506000009"/>
    <n v="26506000010"/>
    <n v="26506000012"/>
    <n v="26506000011"/>
    <m/>
    <m/>
    <n v="140"/>
    <e v="#N/A"/>
    <n v="21"/>
    <e v="#N/A"/>
    <n v="20"/>
    <e v="#N/A"/>
    <n v="40"/>
    <e v="#N/A"/>
    <n v="140"/>
    <e v="#N/A"/>
    <n v="140"/>
    <e v="#N/A"/>
    <m/>
    <n v="0"/>
    <m/>
    <n v="0"/>
    <s v="FLINTSL"/>
    <n v="29"/>
    <n v="0"/>
    <n v="472"/>
    <n v="0"/>
    <s v="RED"/>
    <m/>
    <s v="FLINTSL - RED"/>
    <m/>
    <n v="0"/>
    <m/>
    <m/>
    <n v="0"/>
    <n v="26501000001"/>
    <n v="25863000007"/>
    <n v="26507000017"/>
    <m/>
    <m/>
    <m/>
    <m/>
    <m/>
    <n v="5"/>
    <e v="#N/A"/>
    <n v="15"/>
    <e v="#N/A"/>
    <n v="2"/>
    <e v="#N/A"/>
    <m/>
    <n v="0"/>
    <m/>
    <n v="0"/>
    <m/>
    <n v="0"/>
    <m/>
    <n v="0"/>
    <m/>
    <n v="0"/>
    <s v="FLINTSL"/>
    <n v="20"/>
    <n v="0"/>
    <n v="39.066115702479337"/>
    <n v="0"/>
    <s v="BLACK"/>
    <s v="J00827G"/>
    <s v="FLINTSL - BLACK"/>
    <n v="12"/>
    <n v="0"/>
    <m/>
    <m/>
    <n v="0"/>
    <s v="FMD"/>
    <m/>
    <m/>
    <m/>
    <m/>
    <m/>
    <m/>
    <m/>
    <n v="15"/>
    <n v="0"/>
    <m/>
    <n v="0"/>
    <m/>
    <n v="0"/>
    <m/>
    <n v="0"/>
    <m/>
    <n v="0"/>
    <m/>
    <n v="0"/>
    <m/>
    <n v="0"/>
    <m/>
    <n v="0"/>
    <s v="FLINTSL"/>
    <n v="25"/>
    <n v="0"/>
    <n v="39.066115702479337"/>
    <n v="0"/>
    <s v="CYAN"/>
    <s v="J00827M"/>
    <s v="FLINTSL - CYAN"/>
    <n v="30"/>
    <n v="0"/>
    <m/>
    <m/>
    <n v="0"/>
    <n v="26505000032"/>
    <s v="FMD"/>
    <m/>
    <m/>
    <m/>
    <m/>
    <m/>
    <m/>
    <n v="13"/>
    <e v="#N/A"/>
    <n v="6"/>
    <n v="0"/>
    <m/>
    <n v="0"/>
    <m/>
    <n v="0"/>
    <m/>
    <n v="0"/>
    <m/>
    <n v="0"/>
    <m/>
    <n v="0"/>
    <m/>
    <n v="0"/>
    <s v="FLINTSL"/>
    <n v="30"/>
    <n v="0"/>
    <n v="67.185950413223139"/>
    <n v="0"/>
    <s v="MAGENTA"/>
    <s v="J00827M"/>
    <s v="FLINTSL - MAGENTA"/>
    <n v="27"/>
    <n v="0"/>
    <m/>
    <m/>
    <n v="0"/>
    <n v="26507000017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9"/>
    <n v="0"/>
    <n v="25.239669421487605"/>
    <n v="0"/>
    <s v="YELLOW"/>
    <s v="J00827Y"/>
    <s v="FLINTSL - YELLOW"/>
    <n v="28"/>
    <n v="0"/>
    <m/>
    <m/>
    <n v="0"/>
    <n v="26505000033"/>
    <s v="FMD"/>
    <m/>
    <m/>
    <m/>
    <m/>
    <m/>
    <m/>
    <n v="12"/>
    <e v="#N/A"/>
    <n v="4"/>
    <n v="0"/>
    <m/>
    <n v="0"/>
    <m/>
    <n v="0"/>
    <m/>
    <n v="0"/>
    <m/>
    <n v="0"/>
    <m/>
    <n v="0"/>
    <m/>
    <n v="0"/>
    <s v="FLINTSL"/>
    <n v="30"/>
    <n v="0"/>
    <n v="77.012396694214885"/>
    <n v="0"/>
    <s v="WHITE"/>
    <s v="J00827W"/>
    <s v="FLINTSL - WHITE"/>
    <n v="30"/>
    <n v="0"/>
    <m/>
    <m/>
    <n v="0"/>
    <s v="FW"/>
    <m/>
    <m/>
    <m/>
    <m/>
    <m/>
    <m/>
    <m/>
    <n v="300"/>
    <n v="0"/>
    <m/>
    <n v="0"/>
    <m/>
    <n v="0"/>
    <m/>
    <n v="0"/>
    <m/>
    <n v="0"/>
    <m/>
    <n v="0"/>
    <m/>
    <n v="0"/>
    <m/>
    <n v="0"/>
    <s v="FLINTSL"/>
    <n v="30"/>
    <n v="0"/>
    <n v="967.19008264462809"/>
    <n v="0"/>
    <n v="6"/>
    <n v="0"/>
    <n v="10"/>
    <n v="10"/>
    <n v="13"/>
    <n v="6"/>
    <n v="17"/>
    <n v="180"/>
    <n v="0.8"/>
    <n v="0.2"/>
    <m/>
    <m/>
    <m/>
    <n v="0"/>
    <n v="897"/>
    <n v="0"/>
    <n v="0"/>
    <n v="897"/>
    <n v="897"/>
    <n v="717.6"/>
    <n v="0"/>
    <n v="179.4"/>
    <n v="0"/>
    <n v="0"/>
    <n v="0"/>
    <n v="0"/>
    <n v="0"/>
    <n v="0"/>
    <n v="0"/>
    <n v="0"/>
    <n v="0"/>
    <n v="0"/>
    <m/>
    <n v="888"/>
    <n v="1717"/>
    <n v="41"/>
    <s v="FLINTSLFLINTSLFLINTSLFLINTSLFLINTSLFLINTSLFLINTSLFLINTSL"/>
    <s v="+"/>
    <s v="+"/>
    <s v="+"/>
    <s v="+"/>
    <s v="+"/>
    <s v="+"/>
    <s v="+"/>
    <s v="+"/>
  </r>
  <r>
    <d v="2026-01-06T00:00:00"/>
    <s v="B"/>
    <x v="77"/>
    <n v="42"/>
    <n v="496"/>
    <n v="22600"/>
    <s v="II"/>
    <s v="N"/>
    <n v="1.45"/>
    <s v="BLACK"/>
    <s v="H01221B"/>
    <s v="FLINTSL - BLACK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0"/>
    <n v="9.327272727272728"/>
    <n v="0"/>
    <s v="GOLD"/>
    <s v="E00834G"/>
    <s v="FLINTSL - GOLD"/>
    <n v="10"/>
    <n v="0"/>
    <s v="E00985G"/>
    <n v="7"/>
    <n v="0"/>
    <s v="FGO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1"/>
    <n v="0"/>
    <n v="8.4909090909090921"/>
    <n v="0"/>
    <s v="MEDIUM"/>
    <s v="E00986M"/>
    <s v="FLINTSL - MEDIUM"/>
    <n v="26"/>
    <n v="0"/>
    <m/>
    <m/>
    <n v="0"/>
    <n v="25863000007"/>
    <n v="26505000033"/>
    <s v="FW"/>
    <m/>
    <m/>
    <m/>
    <m/>
    <m/>
    <n v="0.5"/>
    <e v="#N/A"/>
    <n v="1"/>
    <e v="#N/A"/>
    <n v="10"/>
    <n v="0"/>
    <m/>
    <n v="0"/>
    <m/>
    <n v="0"/>
    <m/>
    <n v="0"/>
    <m/>
    <n v="0"/>
    <m/>
    <n v="0"/>
    <s v="FLINTSL"/>
    <n v="26"/>
    <n v="0"/>
    <n v="27.31818181818182"/>
    <n v="0"/>
    <s v="RED"/>
    <s v="H01335R"/>
    <s v="FLINTSL - RED"/>
    <n v="20"/>
    <n v="0"/>
    <m/>
    <m/>
    <n v="0"/>
    <n v="26506000005"/>
    <m/>
    <m/>
    <m/>
    <m/>
    <m/>
    <m/>
    <m/>
    <n v="0.5"/>
    <e v="#N/A"/>
    <m/>
    <n v="0"/>
    <m/>
    <n v="0"/>
    <m/>
    <n v="0"/>
    <m/>
    <n v="0"/>
    <m/>
    <n v="0"/>
    <m/>
    <n v="0"/>
    <m/>
    <n v="0"/>
    <s v="FLINTSL"/>
    <n v="18"/>
    <n v="0"/>
    <n v="18.31818181818182"/>
    <n v="0"/>
    <s v="GREEN"/>
    <s v="H01208G"/>
    <s v="FLINTSL - GREEN"/>
    <n v="32"/>
    <n v="0"/>
    <m/>
    <m/>
    <n v="0"/>
    <n v="9472"/>
    <n v="26501000001"/>
    <m/>
    <m/>
    <m/>
    <m/>
    <m/>
    <m/>
    <n v="1"/>
    <n v="0"/>
    <n v="1"/>
    <e v="#N/A"/>
    <m/>
    <n v="0"/>
    <m/>
    <n v="0"/>
    <m/>
    <n v="0"/>
    <m/>
    <n v="0"/>
    <m/>
    <n v="0"/>
    <m/>
    <n v="0"/>
    <s v="FLINTSL"/>
    <n v="30"/>
    <n v="0"/>
    <n v="16.654545454545456"/>
    <n v="0"/>
    <s v="REFLEX BLUE"/>
    <m/>
    <s v="FLINTSL - REFLEX BLUE"/>
    <m/>
    <n v="0"/>
    <m/>
    <m/>
    <n v="0"/>
    <s v="FMD"/>
    <n v="26505000014"/>
    <n v="26507000002"/>
    <n v="26505000033"/>
    <m/>
    <m/>
    <m/>
    <m/>
    <n v="7"/>
    <n v="0"/>
    <n v="20"/>
    <e v="#N/A"/>
    <n v="25"/>
    <e v="#N/A"/>
    <n v="1"/>
    <e v="#N/A"/>
    <m/>
    <n v="0"/>
    <m/>
    <n v="0"/>
    <m/>
    <n v="0"/>
    <m/>
    <n v="0"/>
    <s v="FLINTSL"/>
    <n v="20"/>
    <n v="0"/>
    <n v="51.981818181818184"/>
    <n v="0"/>
    <s v="WHITE"/>
    <s v="H01221W"/>
    <s v="FLINTSL - WHITE"/>
    <n v="30"/>
    <n v="0"/>
    <m/>
    <m/>
    <n v="0"/>
    <s v="FW"/>
    <m/>
    <m/>
    <m/>
    <m/>
    <m/>
    <m/>
    <m/>
    <n v="80"/>
    <n v="0"/>
    <m/>
    <n v="0"/>
    <m/>
    <n v="0"/>
    <m/>
    <n v="0"/>
    <m/>
    <n v="0"/>
    <m/>
    <n v="0"/>
    <m/>
    <n v="0"/>
    <m/>
    <n v="0"/>
    <s v="FLINTSL"/>
    <n v="25"/>
    <n v="0"/>
    <n v="179.9090909090909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5"/>
    <n v="5"/>
    <n v="4"/>
    <n v="6"/>
    <n v="30"/>
    <n v="0"/>
    <n v="0.8"/>
    <n v="0.2"/>
    <m/>
    <m/>
    <m/>
    <n v="0"/>
    <n v="174"/>
    <n v="0"/>
    <n v="0"/>
    <n v="174"/>
    <n v="174"/>
    <n v="139.20000000000002"/>
    <n v="0"/>
    <n v="34.800000000000004"/>
    <n v="0"/>
    <n v="0"/>
    <n v="0"/>
    <n v="0"/>
    <n v="0"/>
    <n v="0"/>
    <n v="0"/>
    <n v="0"/>
    <n v="0"/>
    <n v="0"/>
    <m/>
    <n v="150"/>
    <n v="312"/>
    <n v="42"/>
    <s v="FLINTSLFLINTSLFLINTSLFLINTSLFLINTSLFLINTSLFLINTSL"/>
    <s v="+"/>
    <s v="+"/>
    <s v="+"/>
    <s v="+"/>
    <s v="+"/>
    <s v="+"/>
    <s v="+"/>
    <s v="NIL"/>
  </r>
  <r>
    <d v="2026-01-06T00:00:00"/>
    <s v="A"/>
    <x v="78"/>
    <n v="43"/>
    <n v="255"/>
    <n v="11600"/>
    <s v="II"/>
    <s v="N"/>
    <n v="1.92"/>
    <s v="GOLD"/>
    <s v="N00700G"/>
    <s v="FLINTSL - GOLD"/>
    <n v="21"/>
    <n v="0"/>
    <m/>
    <m/>
    <n v="0"/>
    <s v="FGO"/>
    <n v="26505000033"/>
    <m/>
    <m/>
    <m/>
    <m/>
    <m/>
    <m/>
    <n v="5"/>
    <n v="0"/>
    <n v="1"/>
    <e v="#N/A"/>
    <m/>
    <n v="0"/>
    <m/>
    <n v="0"/>
    <m/>
    <n v="0"/>
    <m/>
    <n v="0"/>
    <m/>
    <n v="0"/>
    <m/>
    <n v="0"/>
    <s v="FLINTSL"/>
    <n v="26"/>
    <n v="0"/>
    <n v="5.9444444444444429"/>
    <n v="0"/>
    <s v="BLACK"/>
    <s v="N00700B"/>
    <s v="FLINTSL - BLACK"/>
    <n v="27"/>
    <n v="0"/>
    <m/>
    <m/>
    <n v="0"/>
    <n v="26506000005"/>
    <s v="FMD"/>
    <m/>
    <m/>
    <m/>
    <m/>
    <m/>
    <m/>
    <n v="3"/>
    <e v="#N/A"/>
    <n v="2"/>
    <n v="0"/>
    <m/>
    <n v="0"/>
    <m/>
    <n v="0"/>
    <m/>
    <n v="0"/>
    <m/>
    <n v="0"/>
    <m/>
    <n v="0"/>
    <m/>
    <n v="0"/>
    <s v="FLINTSL"/>
    <n v="26"/>
    <n v="0"/>
    <n v="9.2962962962962976"/>
    <n v="0"/>
    <s v="REFLEX BLUE"/>
    <m/>
    <s v="FLINTSL - REFLEX BLUE"/>
    <m/>
    <n v="0"/>
    <m/>
    <m/>
    <n v="0"/>
    <n v="9472"/>
    <n v="26505000013"/>
    <n v="26507000017"/>
    <m/>
    <m/>
    <m/>
    <m/>
    <m/>
    <n v="8"/>
    <n v="0"/>
    <n v="11"/>
    <e v="#N/A"/>
    <n v="4"/>
    <e v="#N/A"/>
    <m/>
    <n v="0"/>
    <m/>
    <n v="0"/>
    <m/>
    <n v="0"/>
    <m/>
    <n v="0"/>
    <m/>
    <n v="0"/>
    <s v="FLINTSL"/>
    <n v="28"/>
    <n v="0"/>
    <n v="11.481481481481481"/>
    <n v="0"/>
    <s v="GREEN"/>
    <m/>
    <s v="FLINTSL - GREEN"/>
    <m/>
    <n v="0"/>
    <m/>
    <m/>
    <n v="0"/>
    <n v="26505000033"/>
    <n v="26505000032"/>
    <n v="26505000033"/>
    <m/>
    <m/>
    <m/>
    <m/>
    <m/>
    <n v="10"/>
    <e v="#N/A"/>
    <n v="12"/>
    <e v="#N/A"/>
    <n v="5"/>
    <e v="#N/A"/>
    <m/>
    <n v="0"/>
    <m/>
    <n v="0"/>
    <m/>
    <n v="0"/>
    <m/>
    <n v="0"/>
    <m/>
    <n v="0"/>
    <s v="FLINTSL"/>
    <n v="20"/>
    <n v="0"/>
    <n v="23.481481481481481"/>
    <n v="0"/>
    <s v="MAGENTA"/>
    <s v="H01221M"/>
    <s v="FLINTSL - MAGENTA"/>
    <n v="29"/>
    <n v="0"/>
    <m/>
    <m/>
    <n v="0"/>
    <n v="26507000017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7"/>
    <n v="0"/>
    <n v="9.2962962962962976"/>
    <n v="0"/>
    <s v="YELLOW"/>
    <s v="H01221Y"/>
    <s v="FLINTSL - YELLOW"/>
    <n v="30"/>
    <n v="0"/>
    <m/>
    <m/>
    <n v="0"/>
    <n v="26505000033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8"/>
    <n v="0"/>
    <n v="10.296296296296298"/>
    <n v="0"/>
    <s v="WHITE"/>
    <s v="N00700W"/>
    <s v="FLINTSL - WHITE"/>
    <n v="25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26"/>
    <n v="0"/>
    <n v="90.20370370370369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2"/>
    <n v="10"/>
    <n v="10"/>
    <n v="2"/>
    <n v="2"/>
    <n v="25"/>
    <n v="0"/>
    <n v="0.8"/>
    <n v="0.2"/>
    <m/>
    <m/>
    <m/>
    <n v="0"/>
    <n v="89"/>
    <n v="0"/>
    <n v="0"/>
    <n v="89"/>
    <n v="89"/>
    <n v="71.2"/>
    <n v="0"/>
    <n v="17.8"/>
    <n v="0"/>
    <n v="0"/>
    <n v="0"/>
    <n v="0"/>
    <n v="0"/>
    <n v="0"/>
    <n v="0"/>
    <n v="0"/>
    <n v="0"/>
    <n v="0"/>
    <m/>
    <n v="120"/>
    <n v="160"/>
    <n v="43"/>
    <s v="FLINTSLFLINTSLFLINTSLFLINTSLFLINTSLFLINTSLFLINTSL"/>
    <s v="+"/>
    <s v="+"/>
    <s v="+"/>
    <s v="+"/>
    <s v="+"/>
    <s v="+"/>
    <s v="+"/>
    <s v="NIL"/>
  </r>
  <r>
    <d v="2026-01-06T00:00:00"/>
    <s v="A"/>
    <x v="79"/>
    <n v="44"/>
    <n v="756"/>
    <n v="52300"/>
    <s v="II"/>
    <s v="N"/>
    <n v="1.38"/>
    <s v="BLACK"/>
    <s v="N00871B"/>
    <s v="FLINTSL - BLACK"/>
    <n v="26"/>
    <n v="0"/>
    <m/>
    <m/>
    <n v="0"/>
    <n v="2650600000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2"/>
    <n v="0"/>
    <n v="12.090090090090087"/>
    <n v="0"/>
    <s v="CYAN"/>
    <s v="H01221C"/>
    <s v="FLINTSL - CYAN"/>
    <n v="30"/>
    <n v="0"/>
    <m/>
    <m/>
    <n v="0"/>
    <n v="26505000032"/>
    <s v="FMD"/>
    <m/>
    <m/>
    <m/>
    <m/>
    <m/>
    <m/>
    <n v="25"/>
    <e v="#N/A"/>
    <n v="15"/>
    <n v="0"/>
    <m/>
    <n v="0"/>
    <m/>
    <n v="0"/>
    <m/>
    <n v="0"/>
    <m/>
    <n v="0"/>
    <m/>
    <n v="0"/>
    <m/>
    <n v="0"/>
    <s v="FLINTSL"/>
    <n v="26"/>
    <n v="0"/>
    <n v="95.126126126126124"/>
    <n v="0"/>
    <s v="MAGENTA"/>
    <s v="N00871M"/>
    <s v="FLINTSL - MAGENTA"/>
    <n v="27"/>
    <n v="0"/>
    <s v="J00827M"/>
    <n v="18"/>
    <n v="0"/>
    <n v="26507000017"/>
    <s v="FMD"/>
    <m/>
    <m/>
    <m/>
    <m/>
    <m/>
    <m/>
    <n v="20"/>
    <e v="#N/A"/>
    <n v="5"/>
    <n v="0"/>
    <m/>
    <n v="0"/>
    <m/>
    <n v="0"/>
    <m/>
    <n v="0"/>
    <m/>
    <n v="0"/>
    <m/>
    <n v="0"/>
    <m/>
    <n v="0"/>
    <s v="FLINTSL"/>
    <n v="24"/>
    <n v="0"/>
    <n v="86.900900900900893"/>
    <n v="0"/>
    <s v="YELLOW"/>
    <s v="N00871Y"/>
    <s v="FLINTSL - YELLOW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11.18018018018018"/>
    <n v="0"/>
    <s v="WHITE"/>
    <s v="N00871W"/>
    <s v="FLINTSL - WHITE"/>
    <n v="25"/>
    <n v="0"/>
    <m/>
    <m/>
    <n v="0"/>
    <s v="FW"/>
    <m/>
    <m/>
    <m/>
    <m/>
    <m/>
    <m/>
    <m/>
    <n v="130"/>
    <n v="0"/>
    <m/>
    <n v="0"/>
    <m/>
    <n v="0"/>
    <m/>
    <n v="0"/>
    <m/>
    <n v="0"/>
    <m/>
    <n v="0"/>
    <m/>
    <n v="0"/>
    <m/>
    <n v="0"/>
    <s v="FLINTSL"/>
    <n v="26"/>
    <n v="0"/>
    <n v="251.7027027027027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5"/>
    <n v="20"/>
    <n v="4"/>
    <n v="60"/>
    <n v="0"/>
    <n v="0"/>
    <n v="0"/>
    <n v="0.8"/>
    <n v="0.2"/>
    <m/>
    <m/>
    <m/>
    <n v="0"/>
    <n v="227"/>
    <n v="0"/>
    <n v="0"/>
    <n v="227"/>
    <n v="227"/>
    <n v="181.60000000000002"/>
    <n v="0"/>
    <n v="45.400000000000006"/>
    <n v="0"/>
    <n v="0"/>
    <n v="0"/>
    <n v="0"/>
    <n v="0"/>
    <n v="0"/>
    <n v="0"/>
    <n v="0"/>
    <n v="0"/>
    <n v="0"/>
    <m/>
    <n v="199"/>
    <n v="457"/>
    <n v="44"/>
    <s v="FLINTSLFLINTSLFLINTSLFLINTSLFLINTSL"/>
    <s v="+"/>
    <s v="+"/>
    <s v="+"/>
    <s v="+"/>
    <s v="+"/>
    <s v="NIL"/>
    <s v="NIL"/>
    <s v="NIL"/>
  </r>
  <r>
    <d v="2026-01-07T00:00:00"/>
    <s v="A"/>
    <x v="80"/>
    <n v="45"/>
    <n v="2065"/>
    <n v="105200"/>
    <s v="I"/>
    <s v="N"/>
    <n v="3.3"/>
    <s v="BLACK"/>
    <m/>
    <s v="FLINTSL - BLACK"/>
    <m/>
    <n v="0"/>
    <m/>
    <m/>
    <n v="0"/>
    <n v="26506000005"/>
    <m/>
    <m/>
    <m/>
    <m/>
    <m/>
    <m/>
    <m/>
    <n v="28"/>
    <e v="#N/A"/>
    <m/>
    <n v="0"/>
    <m/>
    <n v="0"/>
    <m/>
    <n v="0"/>
    <m/>
    <n v="0"/>
    <m/>
    <n v="0"/>
    <m/>
    <n v="0"/>
    <m/>
    <n v="0"/>
    <s v="FLINTSL"/>
    <n v="27"/>
    <n v="0"/>
    <n v="59.443396226415103"/>
    <n v="0"/>
    <s v="BLACK"/>
    <m/>
    <s v="FLINTSL - BLACK"/>
    <m/>
    <n v="0"/>
    <m/>
    <m/>
    <n v="0"/>
    <s v="FR"/>
    <s v="FK"/>
    <s v="FMG"/>
    <m/>
    <m/>
    <m/>
    <m/>
    <m/>
    <n v="10"/>
    <n v="0"/>
    <n v="2"/>
    <n v="0"/>
    <n v="3"/>
    <n v="0"/>
    <m/>
    <n v="0"/>
    <m/>
    <n v="0"/>
    <m/>
    <n v="0"/>
    <m/>
    <n v="0"/>
    <m/>
    <n v="0"/>
    <s v="FLINTSL"/>
    <n v="23"/>
    <n v="0"/>
    <n v="30.962264150943398"/>
    <n v="0"/>
    <s v="RED"/>
    <m/>
    <s v="FLINTSL - RED"/>
    <m/>
    <n v="0"/>
    <m/>
    <m/>
    <n v="0"/>
    <n v="26507000017"/>
    <n v="25863000007"/>
    <m/>
    <m/>
    <m/>
    <m/>
    <m/>
    <m/>
    <n v="15"/>
    <e v="#N/A"/>
    <n v="5"/>
    <e v="#N/A"/>
    <m/>
    <n v="0"/>
    <m/>
    <n v="0"/>
    <m/>
    <n v="0"/>
    <m/>
    <n v="0"/>
    <m/>
    <n v="0"/>
    <m/>
    <n v="0"/>
    <s v="FLINTSL"/>
    <n v="22"/>
    <n v="0"/>
    <n v="29.169811320754718"/>
    <n v="0"/>
    <s v="GREEN"/>
    <s v="C01417G"/>
    <s v="FLINTSL - GREEN"/>
    <n v="23"/>
    <n v="0"/>
    <m/>
    <m/>
    <n v="0"/>
    <s v="FMD"/>
    <n v="26505000033"/>
    <m/>
    <m/>
    <m/>
    <m/>
    <m/>
    <m/>
    <n v="3"/>
    <n v="0"/>
    <n v="3"/>
    <e v="#N/A"/>
    <m/>
    <n v="0"/>
    <m/>
    <n v="0"/>
    <m/>
    <n v="0"/>
    <m/>
    <n v="0"/>
    <m/>
    <n v="0"/>
    <m/>
    <n v="0"/>
    <s v="FLINTSL"/>
    <n v="20"/>
    <n v="0"/>
    <n v="28.481132075471699"/>
    <n v="0"/>
    <s v="MEDIUM"/>
    <m/>
    <s v="FLINTSL - MEDIUM"/>
    <m/>
    <n v="0"/>
    <m/>
    <m/>
    <n v="0"/>
    <n v="26507000003"/>
    <n v="26507000004"/>
    <n v="26507000007"/>
    <n v="26507000008"/>
    <n v="26507000021"/>
    <n v="26507000009"/>
    <n v="26507000013"/>
    <s v="FW"/>
    <n v="41.5"/>
    <e v="#N/A"/>
    <n v="40"/>
    <e v="#N/A"/>
    <n v="30"/>
    <e v="#N/A"/>
    <n v="30"/>
    <e v="#N/A"/>
    <n v="40"/>
    <e v="#N/A"/>
    <n v="30"/>
    <e v="#N/A"/>
    <n v="30"/>
    <e v="#N/A"/>
    <n v="70"/>
    <n v="0"/>
    <s v="FLINTSL"/>
    <n v="15"/>
    <n v="0"/>
    <n v="296.5"/>
    <n v="0"/>
    <s v="WHITE"/>
    <m/>
    <s v="FLINTSL - WHITE"/>
    <m/>
    <n v="0"/>
    <m/>
    <m/>
    <n v="0"/>
    <s v="FW"/>
    <m/>
    <m/>
    <m/>
    <m/>
    <m/>
    <m/>
    <m/>
    <n v="360"/>
    <n v="0"/>
    <m/>
    <n v="0"/>
    <m/>
    <n v="0"/>
    <m/>
    <n v="0"/>
    <m/>
    <n v="0"/>
    <m/>
    <n v="0"/>
    <m/>
    <n v="0"/>
    <m/>
    <n v="0"/>
    <s v="FLINTSL"/>
    <n v="25"/>
    <n v="0"/>
    <n v="1114.2452830188679"/>
    <n v="0"/>
    <s v="MATT"/>
    <m/>
    <s v="ToyoLi - MATT"/>
    <m/>
    <n v="0"/>
    <m/>
    <m/>
    <n v="0"/>
    <n v="55"/>
    <s v="NWBBK"/>
    <m/>
    <m/>
    <m/>
    <m/>
    <m/>
    <m/>
    <n v="420"/>
    <n v="0"/>
    <n v="115"/>
    <n v="0"/>
    <m/>
    <n v="0"/>
    <m/>
    <n v="0"/>
    <m/>
    <n v="0"/>
    <m/>
    <n v="0"/>
    <m/>
    <n v="0"/>
    <m/>
    <n v="0"/>
    <s v="ToyoLi"/>
    <n v="20"/>
    <n v="0"/>
    <n v="826.69811320754718"/>
    <n v="0"/>
    <m/>
    <m/>
    <s v=" - "/>
    <m/>
    <n v="0"/>
    <m/>
    <m/>
    <n v="0"/>
    <n v="26507000019"/>
    <n v="26501000001"/>
    <n v="26507000015"/>
    <n v="26507000005"/>
    <m/>
    <m/>
    <m/>
    <m/>
    <n v="3"/>
    <e v="#N/A"/>
    <n v="2"/>
    <e v="#N/A"/>
    <n v="30"/>
    <e v="#N/A"/>
    <n v="30"/>
    <e v="#N/A"/>
    <m/>
    <n v="0"/>
    <m/>
    <n v="0"/>
    <m/>
    <n v="0"/>
    <m/>
    <n v="0"/>
    <m/>
    <m/>
    <n v="0"/>
    <n v="65"/>
    <n v="0"/>
    <n v="15"/>
    <n v="10"/>
    <n v="8"/>
    <n v="5"/>
    <n v="0"/>
    <n v="200"/>
    <n v="80"/>
    <n v="0"/>
    <n v="0.8"/>
    <n v="0.2"/>
    <m/>
    <m/>
    <m/>
    <n v="0"/>
    <n v="1239"/>
    <n v="0"/>
    <n v="0"/>
    <n v="1239"/>
    <n v="1239"/>
    <n v="991.2"/>
    <n v="0"/>
    <n v="247.8"/>
    <n v="0"/>
    <n v="0"/>
    <n v="0"/>
    <n v="0"/>
    <n v="0"/>
    <n v="0"/>
    <n v="0"/>
    <n v="0"/>
    <n v="0"/>
    <n v="0"/>
    <m/>
    <n v="1340.5"/>
    <n v="2450.5"/>
    <n v="45"/>
    <s v="FLINTSLFLINTSLFLINTSLFLINTSLFLINTSLFLINTSLToyoLi"/>
    <s v="+"/>
    <s v="+"/>
    <s v="+"/>
    <s v="+"/>
    <s v="+"/>
    <s v="+"/>
    <s v="+"/>
    <s v="NIL"/>
  </r>
  <r>
    <d v="2026-01-07T00:00:00"/>
    <s v="A"/>
    <x v="81"/>
    <n v="46"/>
    <n v="2458"/>
    <n v="129600"/>
    <s v="II"/>
    <s v="N"/>
    <n v="1.86"/>
    <s v="BLACK"/>
    <s v="C01442B"/>
    <s v="FLINTSL - BLACK"/>
    <n v="22"/>
    <n v="0"/>
    <m/>
    <m/>
    <n v="0"/>
    <n v="26506000006"/>
    <m/>
    <m/>
    <m/>
    <m/>
    <m/>
    <m/>
    <m/>
    <n v="11"/>
    <e v="#N/A"/>
    <m/>
    <n v="0"/>
    <m/>
    <n v="0"/>
    <m/>
    <n v="0"/>
    <m/>
    <n v="0"/>
    <m/>
    <n v="0"/>
    <m/>
    <n v="0"/>
    <m/>
    <n v="0"/>
    <s v="FLINTSL"/>
    <n v="27"/>
    <n v="0"/>
    <n v="29.369565217391305"/>
    <n v="0"/>
    <s v="REFLEX BLUE"/>
    <s v="H01330B"/>
    <s v="FLINTSL - REFLEX BLUE"/>
    <n v="24"/>
    <n v="0"/>
    <s v="H01322B/C01421B/H01335B/H01273B/H01323B/H01221B"/>
    <n v="149"/>
    <n v="0"/>
    <n v="26508000003"/>
    <n v="26505000029"/>
    <n v="26506000006"/>
    <n v="26507000019"/>
    <n v="26505000032"/>
    <n v="9472"/>
    <m/>
    <m/>
    <n v="30"/>
    <e v="#N/A"/>
    <n v="20"/>
    <e v="#N/A"/>
    <n v="10"/>
    <e v="#N/A"/>
    <n v="4"/>
    <e v="#N/A"/>
    <n v="20"/>
    <e v="#N/A"/>
    <n v="40"/>
    <n v="0"/>
    <m/>
    <n v="0"/>
    <m/>
    <n v="0"/>
    <s v="FLINTSL"/>
    <n v="20"/>
    <n v="0"/>
    <n v="300.36956521739131"/>
    <n v="0"/>
    <s v="RED"/>
    <s v="E00978R"/>
    <s v="FLINTSL - RED"/>
    <n v="20"/>
    <n v="0"/>
    <m/>
    <m/>
    <n v="0"/>
    <n v="25863000007"/>
    <n v="26508000003"/>
    <m/>
    <m/>
    <m/>
    <m/>
    <m/>
    <m/>
    <n v="10"/>
    <e v="#N/A"/>
    <n v="7"/>
    <e v="#N/A"/>
    <m/>
    <n v="0"/>
    <m/>
    <n v="0"/>
    <m/>
    <n v="0"/>
    <m/>
    <n v="0"/>
    <m/>
    <n v="0"/>
    <m/>
    <n v="0"/>
    <s v="FLINTSL"/>
    <n v="24"/>
    <n v="0"/>
    <n v="31.695652173913047"/>
    <n v="0"/>
    <s v="CYAN"/>
    <s v="C01442C"/>
    <s v="FLINTSL - CYAN"/>
    <n v="26"/>
    <n v="0"/>
    <m/>
    <m/>
    <n v="0"/>
    <n v="26505000032"/>
    <s v="FMD"/>
    <m/>
    <m/>
    <m/>
    <m/>
    <m/>
    <m/>
    <n v="10"/>
    <e v="#N/A"/>
    <n v="7"/>
    <n v="0"/>
    <m/>
    <n v="0"/>
    <m/>
    <n v="0"/>
    <m/>
    <n v="0"/>
    <m/>
    <n v="0"/>
    <m/>
    <n v="0"/>
    <m/>
    <n v="0"/>
    <s v="FLINTSL"/>
    <n v="30"/>
    <n v="0"/>
    <n v="48.054347826086968"/>
    <n v="0"/>
    <s v="MAGENTA"/>
    <s v="C01142M"/>
    <s v="FLINTSL - MAGENTA"/>
    <n v="24"/>
    <n v="0"/>
    <s v="J00827M"/>
    <n v="10"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30"/>
    <n v="0"/>
    <n v="32.369565217391305"/>
    <n v="0"/>
    <s v="YELLOW"/>
    <s v="C01142Y"/>
    <s v="FLINTSL - YELLOW"/>
    <n v="25"/>
    <n v="0"/>
    <m/>
    <m/>
    <n v="0"/>
    <s v="FMD"/>
    <n v="26507000019"/>
    <m/>
    <m/>
    <m/>
    <m/>
    <m/>
    <m/>
    <n v="20"/>
    <n v="0"/>
    <n v="15"/>
    <e v="#N/A"/>
    <m/>
    <n v="0"/>
    <m/>
    <n v="0"/>
    <m/>
    <n v="0"/>
    <m/>
    <n v="0"/>
    <m/>
    <n v="0"/>
    <m/>
    <n v="0"/>
    <s v="FLINTSL"/>
    <n v="32"/>
    <n v="0"/>
    <n v="63.054347826086968"/>
    <n v="0"/>
    <s v="WHITE"/>
    <s v="C01442W"/>
    <s v="FLINTSL - WHITE"/>
    <n v="26"/>
    <n v="0"/>
    <m/>
    <m/>
    <n v="0"/>
    <s v="FW"/>
    <m/>
    <m/>
    <m/>
    <m/>
    <m/>
    <m/>
    <m/>
    <n v="500"/>
    <n v="0"/>
    <m/>
    <n v="0"/>
    <m/>
    <n v="0"/>
    <m/>
    <n v="0"/>
    <m/>
    <n v="0"/>
    <m/>
    <n v="0"/>
    <m/>
    <n v="0"/>
    <m/>
    <n v="0"/>
    <s v="FLINTSL"/>
    <n v="24"/>
    <n v="0"/>
    <n v="1203.08695652173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10"/>
    <n v="8"/>
    <n v="15"/>
    <n v="10"/>
    <n v="15"/>
    <n v="300"/>
    <n v="0"/>
    <n v="0.8"/>
    <n v="0.2"/>
    <m/>
    <m/>
    <m/>
    <n v="0"/>
    <n v="860"/>
    <n v="0"/>
    <n v="0"/>
    <n v="860"/>
    <n v="860"/>
    <n v="688"/>
    <n v="0"/>
    <n v="172"/>
    <n v="0"/>
    <n v="0"/>
    <n v="0"/>
    <n v="0"/>
    <n v="0"/>
    <n v="0"/>
    <n v="0"/>
    <n v="0"/>
    <n v="0"/>
    <n v="0"/>
    <m/>
    <n v="709"/>
    <n v="1708"/>
    <n v="46"/>
    <s v="FLINTSLFLINTSLFLINTSLFLINTSLFLINTSLFLINTSLFLINTSL"/>
    <s v="+"/>
    <s v="+"/>
    <s v="+"/>
    <s v="+"/>
    <s v="+"/>
    <s v="+"/>
    <s v="+"/>
    <s v="NIL"/>
  </r>
  <r>
    <d v="2026-01-07T00:00:00"/>
    <s v="A"/>
    <x v="82"/>
    <n v="47"/>
    <n v="490"/>
    <n v="26200"/>
    <s v="II"/>
    <s v="N"/>
    <n v="1.3"/>
    <s v="BLACK"/>
    <s v="E00979B"/>
    <s v="FLINTSL - BLACK"/>
    <n v="27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7"/>
    <n v="0"/>
    <n v="12.117647058823529"/>
    <n v="0"/>
    <s v="REFLEX BLUE"/>
    <m/>
    <s v="FLINTSL - REFLEX BLUE"/>
    <m/>
    <n v="0"/>
    <m/>
    <m/>
    <n v="0"/>
    <n v="9472"/>
    <n v="26507000017"/>
    <m/>
    <m/>
    <m/>
    <m/>
    <m/>
    <m/>
    <n v="30"/>
    <n v="0"/>
    <n v="6"/>
    <e v="#N/A"/>
    <m/>
    <n v="0"/>
    <m/>
    <n v="0"/>
    <m/>
    <n v="0"/>
    <m/>
    <n v="0"/>
    <m/>
    <n v="0"/>
    <m/>
    <n v="0"/>
    <s v="FLINTSL"/>
    <n v="27"/>
    <n v="0"/>
    <n v="29.235294117647058"/>
    <n v="0"/>
    <s v="RED"/>
    <s v="H01322R"/>
    <s v="FLINTSL - RED"/>
    <n v="28"/>
    <n v="0"/>
    <m/>
    <m/>
    <n v="0"/>
    <n v="25863000007"/>
    <n v="26508000003"/>
    <m/>
    <m/>
    <m/>
    <m/>
    <m/>
    <m/>
    <n v="6"/>
    <e v="#N/A"/>
    <n v="4"/>
    <e v="#N/A"/>
    <m/>
    <n v="0"/>
    <m/>
    <n v="0"/>
    <m/>
    <n v="0"/>
    <m/>
    <n v="0"/>
    <m/>
    <n v="0"/>
    <m/>
    <n v="0"/>
    <s v="FLINTSL"/>
    <n v="29"/>
    <n v="0"/>
    <n v="19.117647058823529"/>
    <n v="0"/>
    <s v="CYAN"/>
    <s v="E00979C"/>
    <s v="FLINTSL - CYAN"/>
    <n v="30"/>
    <n v="0"/>
    <m/>
    <m/>
    <n v="0"/>
    <n v="26505000032"/>
    <s v="FMD"/>
    <m/>
    <m/>
    <m/>
    <m/>
    <m/>
    <m/>
    <n v="25"/>
    <e v="#N/A"/>
    <n v="7"/>
    <n v="0"/>
    <m/>
    <n v="0"/>
    <m/>
    <n v="0"/>
    <m/>
    <n v="0"/>
    <m/>
    <n v="0"/>
    <m/>
    <n v="0"/>
    <m/>
    <n v="0"/>
    <s v="FLINTSL"/>
    <n v="27"/>
    <n v="0"/>
    <n v="65.352941176470594"/>
    <n v="0"/>
    <s v="MAGENTA"/>
    <s v="E00979M"/>
    <s v="FLINTSL - MAGENTA"/>
    <n v="30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8"/>
    <n v="0"/>
    <n v="18.117647058823529"/>
    <n v="0"/>
    <s v="YELLOW"/>
    <s v="E00979Y"/>
    <s v="FLINTSL - YELLOW"/>
    <n v="32"/>
    <n v="0"/>
    <m/>
    <m/>
    <n v="0"/>
    <n v="26507000019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9"/>
    <n v="0"/>
    <n v="19.117647058823529"/>
    <n v="0"/>
    <s v="WHITE"/>
    <s v="E00979W"/>
    <s v="FLINTSL - WHITE"/>
    <n v="24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4"/>
    <n v="0"/>
    <n v="140.9411764705882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5"/>
    <n v="15"/>
    <n v="5"/>
    <n v="5"/>
    <n v="40"/>
    <n v="0"/>
    <n v="0.8"/>
    <n v="0.2"/>
    <m/>
    <m/>
    <m/>
    <n v="0"/>
    <n v="172"/>
    <n v="0"/>
    <n v="0"/>
    <n v="172"/>
    <n v="172"/>
    <n v="137.6"/>
    <n v="0"/>
    <n v="34.4"/>
    <n v="0"/>
    <n v="0"/>
    <n v="0"/>
    <n v="0"/>
    <n v="0"/>
    <n v="0"/>
    <n v="0"/>
    <n v="0"/>
    <n v="0"/>
    <n v="0"/>
    <m/>
    <n v="152"/>
    <n v="304"/>
    <n v="47"/>
    <s v="FLINTSLFLINTSLFLINTSLFLINTSLFLINTSLFLINTSLFLINTSL"/>
    <s v="+"/>
    <s v="+"/>
    <s v="+"/>
    <s v="+"/>
    <s v="+"/>
    <s v="+"/>
    <s v="+"/>
    <s v="NIL"/>
  </r>
  <r>
    <d v="2026-01-07T00:00:00"/>
    <s v="A"/>
    <x v="83"/>
    <n v="48"/>
    <n v="504"/>
    <n v="25000"/>
    <s v="II"/>
    <s v="N"/>
    <n v="0.13"/>
    <s v="BLACK"/>
    <s v="N00700B"/>
    <s v="FLINTSL - BLACK"/>
    <n v="12"/>
    <n v="0"/>
    <s v="H01335B"/>
    <n v="5"/>
    <n v="0"/>
    <n v="26508000003"/>
    <s v="FMD"/>
    <n v="25863000007"/>
    <n v="26507000019"/>
    <n v="26506000006"/>
    <m/>
    <m/>
    <m/>
    <n v="6"/>
    <e v="#N/A"/>
    <n v="2"/>
    <n v="0"/>
    <n v="2"/>
    <e v="#N/A"/>
    <n v="2"/>
    <e v="#N/A"/>
    <n v="2"/>
    <e v="#N/A"/>
    <m/>
    <n v="0"/>
    <m/>
    <n v="0"/>
    <m/>
    <n v="0"/>
    <s v="FLINTSL"/>
    <n v="24"/>
    <n v="0"/>
    <n v="30"/>
    <n v="0"/>
    <s v="WHITE"/>
    <s v="C01458W"/>
    <s v="FLINTSL - WHITE"/>
    <n v="24"/>
    <n v="0"/>
    <m/>
    <m/>
    <n v="0"/>
    <s v="FW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25"/>
    <n v="0"/>
    <n v="3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8"/>
    <n v="8"/>
    <n v="0"/>
    <n v="0"/>
    <n v="0"/>
    <n v="0"/>
    <n v="0"/>
    <n v="0"/>
    <n v="0.8"/>
    <n v="0.2"/>
    <m/>
    <m/>
    <m/>
    <n v="0"/>
    <n v="46"/>
    <n v="0"/>
    <n v="0"/>
    <n v="46"/>
    <n v="46"/>
    <n v="36.800000000000004"/>
    <n v="0"/>
    <n v="9.2000000000000011"/>
    <n v="0"/>
    <n v="0"/>
    <n v="0"/>
    <n v="0"/>
    <n v="0"/>
    <n v="0"/>
    <n v="0"/>
    <n v="0"/>
    <n v="0"/>
    <n v="0"/>
    <m/>
    <n v="24"/>
    <n v="62"/>
    <n v="48"/>
    <s v="FLINTSLFLINTSL"/>
    <s v="+"/>
    <s v="+"/>
    <s v="NIL"/>
    <s v="NIL"/>
    <s v="NIL"/>
    <s v="NIL"/>
    <s v="NIL"/>
    <s v="NIL"/>
  </r>
  <r>
    <d v="2026-01-07T00:00:00"/>
    <s v="A"/>
    <x v="84"/>
    <n v="49"/>
    <n v="249"/>
    <n v="11000"/>
    <s v="II"/>
    <s v="N"/>
    <n v="1.7"/>
    <s v="BLACK"/>
    <s v="C01458B"/>
    <s v="FLINTSL - BLACK"/>
    <n v="27"/>
    <n v="0"/>
    <m/>
    <m/>
    <n v="0"/>
    <n v="26506000006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4"/>
    <n v="0"/>
    <n v="16.372881355932201"/>
    <n v="0"/>
    <s v="REFLEX BLUE"/>
    <s v="H01327RB"/>
    <s v="FLINTSL - REFLEX BLUE"/>
    <n v="10"/>
    <n v="0"/>
    <m/>
    <m/>
    <n v="0"/>
    <n v="26507000016"/>
    <s v="FMD"/>
    <n v="26507000018"/>
    <m/>
    <m/>
    <m/>
    <m/>
    <m/>
    <n v="6"/>
    <e v="#N/A"/>
    <n v="6"/>
    <n v="0"/>
    <n v="10"/>
    <e v="#N/A"/>
    <m/>
    <n v="0"/>
    <m/>
    <n v="0"/>
    <m/>
    <n v="0"/>
    <m/>
    <n v="0"/>
    <m/>
    <n v="0"/>
    <s v="FLINTSL"/>
    <n v="26"/>
    <n v="0"/>
    <n v="20.745762711864408"/>
    <n v="0"/>
    <s v="RED"/>
    <s v="C01458R"/>
    <s v="FLINTSL - RED"/>
    <n v="27"/>
    <n v="0"/>
    <m/>
    <m/>
    <n v="0"/>
    <n v="25863000007"/>
    <n v="26508000003"/>
    <m/>
    <m/>
    <m/>
    <m/>
    <m/>
    <m/>
    <n v="8"/>
    <e v="#N/A"/>
    <n v="6"/>
    <e v="#N/A"/>
    <m/>
    <n v="0"/>
    <m/>
    <n v="0"/>
    <m/>
    <n v="0"/>
    <m/>
    <n v="0"/>
    <m/>
    <n v="0"/>
    <m/>
    <n v="0"/>
    <s v="FLINTSL"/>
    <n v="26"/>
    <n v="0"/>
    <n v="23.847457627118644"/>
    <n v="0"/>
    <s v="CYAN"/>
    <s v="C01458C"/>
    <s v="FLINTSL - CYAN"/>
    <n v="27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5"/>
    <n v="0"/>
    <n v="15.372881355932201"/>
    <n v="0"/>
    <s v="MAGENTA"/>
    <s v="C01458M"/>
    <s v="FLINTSL - MAGENTA"/>
    <n v="28"/>
    <n v="0"/>
    <m/>
    <m/>
    <n v="0"/>
    <s v="FMD"/>
    <n v="26508000003"/>
    <m/>
    <m/>
    <m/>
    <m/>
    <m/>
    <m/>
    <n v="3"/>
    <n v="0"/>
    <n v="2"/>
    <e v="#N/A"/>
    <m/>
    <n v="0"/>
    <m/>
    <n v="0"/>
    <m/>
    <n v="0"/>
    <m/>
    <n v="0"/>
    <m/>
    <n v="0"/>
    <m/>
    <n v="0"/>
    <s v="FLINTSL"/>
    <n v="28"/>
    <n v="0"/>
    <n v="12.372881355932201"/>
    <n v="0"/>
    <s v="YELLOW"/>
    <s v="C01458Y"/>
    <s v="FLINTSL - YELLOW"/>
    <n v="29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4"/>
    <n v="0"/>
    <n v="18.372881355932201"/>
    <n v="0"/>
    <s v="YELLOW"/>
    <m/>
    <s v="FLINTSL - YELLOW"/>
    <m/>
    <n v="0"/>
    <m/>
    <m/>
    <n v="0"/>
    <n v="26507000019"/>
    <s v="FMD"/>
    <m/>
    <m/>
    <m/>
    <m/>
    <m/>
    <m/>
    <n v="30"/>
    <e v="#N/A"/>
    <n v="6"/>
    <n v="0"/>
    <m/>
    <n v="0"/>
    <m/>
    <n v="0"/>
    <m/>
    <n v="0"/>
    <m/>
    <n v="0"/>
    <m/>
    <n v="0"/>
    <m/>
    <n v="0"/>
    <s v="FLINTSL"/>
    <n v="23"/>
    <n v="0"/>
    <n v="24.79661016949153"/>
    <n v="0"/>
    <s v="WHITE"/>
    <s v="C01455W"/>
    <s v="FLINTSL - WHITE"/>
    <n v="25"/>
    <n v="0"/>
    <m/>
    <m/>
    <n v="0"/>
    <s v="FW"/>
    <m/>
    <m/>
    <m/>
    <m/>
    <m/>
    <m/>
    <m/>
    <n v="25"/>
    <n v="0"/>
    <m/>
    <n v="0"/>
    <m/>
    <n v="0"/>
    <m/>
    <n v="0"/>
    <m/>
    <n v="0"/>
    <m/>
    <n v="0"/>
    <m/>
    <n v="0"/>
    <m/>
    <n v="0"/>
    <s v="FLINTSL"/>
    <n v="30"/>
    <n v="0"/>
    <n v="42.118644067796609"/>
    <n v="0"/>
    <n v="5"/>
    <n v="10"/>
    <n v="6"/>
    <n v="5"/>
    <n v="5"/>
    <n v="5"/>
    <n v="8"/>
    <n v="15"/>
    <n v="0.8"/>
    <n v="0.2"/>
    <m/>
    <m/>
    <m/>
    <n v="0"/>
    <n v="87"/>
    <n v="0"/>
    <n v="0"/>
    <n v="87"/>
    <n v="87"/>
    <n v="69.600000000000009"/>
    <n v="0"/>
    <n v="17.400000000000002"/>
    <n v="0"/>
    <n v="0"/>
    <n v="0"/>
    <n v="0"/>
    <n v="0"/>
    <n v="0"/>
    <n v="0"/>
    <n v="0"/>
    <n v="0"/>
    <n v="0"/>
    <m/>
    <n v="120"/>
    <n v="174"/>
    <n v="49"/>
    <s v="FLINTSLFLINTSLFLINTSLFLINTSLFLINTSLFLINTSLFLINTSLFLINTSL"/>
    <s v="+"/>
    <s v="+"/>
    <s v="+"/>
    <s v="+"/>
    <s v="+"/>
    <s v="+"/>
    <s v="+"/>
    <s v="+"/>
  </r>
  <r>
    <d v="2026-01-07T00:00:00"/>
    <s v="B"/>
    <x v="85"/>
    <n v="50"/>
    <n v="930"/>
    <n v="53800"/>
    <s v="I"/>
    <s v="N"/>
    <n v="3.2"/>
    <s v="BLACK"/>
    <s v="C00965B"/>
    <s v="FLINTSL - BLACK"/>
    <n v="27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6"/>
    <n v="0"/>
    <n v="14.852017937219728"/>
    <n v="0"/>
    <s v="RED"/>
    <s v="C00965R"/>
    <s v="FLINTSL - RED"/>
    <n v="22"/>
    <n v="0"/>
    <m/>
    <m/>
    <n v="0"/>
    <n v="26501000001"/>
    <s v="TPT"/>
    <m/>
    <m/>
    <m/>
    <m/>
    <m/>
    <m/>
    <n v="5"/>
    <e v="#N/A"/>
    <n v="3"/>
    <n v="0"/>
    <m/>
    <n v="0"/>
    <m/>
    <n v="0"/>
    <m/>
    <n v="0"/>
    <m/>
    <n v="0"/>
    <m/>
    <n v="0"/>
    <m/>
    <n v="0"/>
    <s v="FLINTSL"/>
    <n v="24"/>
    <n v="0"/>
    <n v="14.139013452914796"/>
    <n v="0"/>
    <s v="GREEN"/>
    <m/>
    <s v="FLINTSL - GREEN"/>
    <m/>
    <n v="0"/>
    <m/>
    <m/>
    <n v="0"/>
    <n v="26507000012"/>
    <n v="26507000006"/>
    <n v="26507000011"/>
    <n v="26507000019"/>
    <n v="26501000004"/>
    <m/>
    <m/>
    <m/>
    <n v="35"/>
    <e v="#N/A"/>
    <n v="21.5"/>
    <e v="#N/A"/>
    <n v="20"/>
    <e v="#N/A"/>
    <n v="35"/>
    <e v="#N/A"/>
    <n v="10"/>
    <e v="#N/A"/>
    <m/>
    <n v="0"/>
    <m/>
    <n v="0"/>
    <m/>
    <n v="0"/>
    <s v="FLINTSL"/>
    <n v="15"/>
    <n v="0"/>
    <n v="160.76008968609864"/>
    <n v="0"/>
    <s v="CYAN"/>
    <m/>
    <s v="FLINTSL - CYAN"/>
    <m/>
    <n v="0"/>
    <m/>
    <m/>
    <n v="0"/>
    <n v="26507000018"/>
    <s v="FMD"/>
    <m/>
    <m/>
    <m/>
    <m/>
    <m/>
    <m/>
    <n v="10"/>
    <e v="#N/A"/>
    <n v="10"/>
    <n v="0"/>
    <m/>
    <n v="0"/>
    <m/>
    <n v="0"/>
    <m/>
    <n v="0"/>
    <m/>
    <n v="0"/>
    <m/>
    <n v="0"/>
    <m/>
    <n v="0"/>
    <s v="FLINTSL"/>
    <n v="27"/>
    <n v="0"/>
    <n v="33.695067264573993"/>
    <n v="0"/>
    <s v="MAGENTA"/>
    <m/>
    <s v="FLINTSL - MAGENTA"/>
    <m/>
    <n v="0"/>
    <m/>
    <m/>
    <n v="0"/>
    <n v="26508000003"/>
    <s v="FMD"/>
    <m/>
    <m/>
    <m/>
    <m/>
    <m/>
    <m/>
    <n v="12"/>
    <e v="#N/A"/>
    <n v="8"/>
    <n v="0"/>
    <m/>
    <n v="0"/>
    <m/>
    <n v="0"/>
    <m/>
    <n v="0"/>
    <m/>
    <n v="0"/>
    <m/>
    <n v="0"/>
    <m/>
    <n v="0"/>
    <s v="FLINTSL"/>
    <n v="25"/>
    <n v="0"/>
    <n v="38.408071748878925"/>
    <n v="0"/>
    <s v="YELLOW"/>
    <m/>
    <s v="FLINTSL - YELLOW"/>
    <m/>
    <n v="0"/>
    <m/>
    <m/>
    <n v="0"/>
    <n v="26507000019"/>
    <s v="FMD"/>
    <m/>
    <m/>
    <m/>
    <m/>
    <m/>
    <m/>
    <n v="10"/>
    <e v="#N/A"/>
    <n v="5"/>
    <n v="0"/>
    <m/>
    <n v="0"/>
    <m/>
    <n v="0"/>
    <m/>
    <n v="0"/>
    <m/>
    <n v="0"/>
    <m/>
    <n v="0"/>
    <m/>
    <n v="0"/>
    <s v="FLINTSL"/>
    <n v="20"/>
    <n v="0"/>
    <n v="35.695067264573993"/>
    <n v="0"/>
    <s v="WHITE"/>
    <s v="C00965W"/>
    <s v="FLINTSL - WHITE"/>
    <n v="25"/>
    <n v="0"/>
    <m/>
    <m/>
    <n v="0"/>
    <s v="FW"/>
    <m/>
    <m/>
    <m/>
    <m/>
    <m/>
    <m/>
    <m/>
    <n v="200"/>
    <n v="0"/>
    <m/>
    <n v="0"/>
    <m/>
    <n v="0"/>
    <m/>
    <n v="0"/>
    <m/>
    <n v="0"/>
    <m/>
    <n v="0"/>
    <m/>
    <n v="0"/>
    <m/>
    <n v="0"/>
    <s v="FLINTSL"/>
    <n v="25"/>
    <n v="0"/>
    <n v="525.56053811659194"/>
    <n v="0"/>
    <s v="MATT"/>
    <s v="C00965M"/>
    <s v="ToyoLi - MATT"/>
    <n v="20"/>
    <n v="0"/>
    <m/>
    <m/>
    <n v="0"/>
    <n v="55"/>
    <s v="NWBBK"/>
    <m/>
    <m/>
    <m/>
    <m/>
    <m/>
    <m/>
    <n v="220"/>
    <n v="0"/>
    <n v="55"/>
    <n v="0"/>
    <m/>
    <n v="0"/>
    <m/>
    <n v="0"/>
    <m/>
    <n v="0"/>
    <m/>
    <n v="0"/>
    <m/>
    <n v="0"/>
    <m/>
    <n v="0"/>
    <s v="ToyoLi"/>
    <n v="20"/>
    <n v="0"/>
    <n v="356.39013452914799"/>
    <n v="0"/>
    <n v="4"/>
    <n v="3"/>
    <n v="20"/>
    <n v="15"/>
    <n v="16"/>
    <n v="15"/>
    <n v="120"/>
    <n v="30"/>
    <n v="0.8"/>
    <n v="0.2"/>
    <m/>
    <m/>
    <m/>
    <n v="0"/>
    <n v="605"/>
    <n v="0"/>
    <n v="0"/>
    <n v="605"/>
    <n v="605"/>
    <n v="484"/>
    <n v="0"/>
    <n v="121"/>
    <n v="0"/>
    <n v="0"/>
    <n v="0"/>
    <n v="0"/>
    <n v="0"/>
    <n v="0"/>
    <n v="0"/>
    <n v="0"/>
    <n v="0"/>
    <n v="0"/>
    <m/>
    <n v="662.5"/>
    <n v="1179.5"/>
    <n v="50"/>
    <s v="FLINTSLFLINTSLFLINTSLFLINTSLFLINTSLFLINTSLFLINTSLToyoLi"/>
    <s v="+"/>
    <s v="+"/>
    <s v="+"/>
    <s v="+"/>
    <s v="+"/>
    <s v="+"/>
    <s v="+"/>
    <s v="+"/>
  </r>
  <r>
    <d v="2026-01-07T00:00:00"/>
    <s v="B"/>
    <x v="86"/>
    <n v="51"/>
    <n v="304"/>
    <n v="18000"/>
    <s v="I"/>
    <s v="N"/>
    <n v="3.3"/>
    <s v="BLACK"/>
    <s v="H01352B"/>
    <s v="FLINTSL - BLACK"/>
    <n v="26"/>
    <n v="0"/>
    <m/>
    <m/>
    <n v="0"/>
    <n v="26506000006"/>
    <m/>
    <m/>
    <m/>
    <m/>
    <m/>
    <m/>
    <m/>
    <n v="7"/>
    <e v="#N/A"/>
    <m/>
    <n v="0"/>
    <m/>
    <n v="0"/>
    <m/>
    <n v="0"/>
    <m/>
    <n v="0"/>
    <m/>
    <n v="0"/>
    <m/>
    <n v="0"/>
    <m/>
    <n v="0"/>
    <s v="FLINTSL"/>
    <n v="30"/>
    <n v="0"/>
    <n v="12.428571428571431"/>
    <n v="0"/>
    <s v="BLACK"/>
    <m/>
    <s v="FLINTSL - BLACK"/>
    <m/>
    <n v="0"/>
    <m/>
    <m/>
    <n v="0"/>
    <s v="FMD"/>
    <n v="26506000007"/>
    <m/>
    <m/>
    <m/>
    <m/>
    <m/>
    <m/>
    <n v="25"/>
    <n v="0"/>
    <n v="5"/>
    <e v="#N/A"/>
    <m/>
    <n v="0"/>
    <m/>
    <n v="0"/>
    <m/>
    <n v="0"/>
    <m/>
    <n v="0"/>
    <m/>
    <n v="0"/>
    <m/>
    <n v="0"/>
    <s v="FLINTSL"/>
    <n v="26"/>
    <n v="0"/>
    <n v="27.571428571428569"/>
    <n v="0"/>
    <s v="CYAN"/>
    <s v="H01352C"/>
    <s v="FLINTSL - CYAN"/>
    <n v="27"/>
    <n v="0"/>
    <m/>
    <m/>
    <n v="0"/>
    <n v="26507000018"/>
    <s v="FMD"/>
    <n v="26501000001"/>
    <m/>
    <m/>
    <m/>
    <m/>
    <m/>
    <n v="12"/>
    <e v="#N/A"/>
    <n v="25"/>
    <n v="0"/>
    <n v="0.5"/>
    <e v="#N/A"/>
    <m/>
    <n v="0"/>
    <m/>
    <n v="0"/>
    <m/>
    <n v="0"/>
    <m/>
    <n v="0"/>
    <m/>
    <n v="0"/>
    <s v="FLINTSL"/>
    <n v="28"/>
    <n v="0"/>
    <n v="67.142857142857139"/>
    <n v="0"/>
    <s v="MAGENTA"/>
    <s v="H01352M"/>
    <s v="FLINTSL - MAGENTA"/>
    <n v="25"/>
    <n v="0"/>
    <m/>
    <m/>
    <n v="0"/>
    <n v="26508000003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35"/>
    <n v="0"/>
    <n v="16.5"/>
    <n v="0"/>
    <s v="YELLOW"/>
    <s v="H01352U"/>
    <s v="FLINTSL - YELLOW"/>
    <n v="20"/>
    <n v="0"/>
    <m/>
    <m/>
    <n v="0"/>
    <n v="26507000019"/>
    <s v="FMD"/>
    <m/>
    <m/>
    <m/>
    <m/>
    <m/>
    <m/>
    <n v="10"/>
    <e v="#N/A"/>
    <n v="5"/>
    <n v="0"/>
    <m/>
    <n v="0"/>
    <m/>
    <n v="0"/>
    <m/>
    <n v="0"/>
    <m/>
    <n v="0"/>
    <m/>
    <n v="0"/>
    <m/>
    <n v="0"/>
    <s v="FLINTSL"/>
    <n v="28"/>
    <n v="0"/>
    <n v="18.785714285714285"/>
    <n v="0"/>
    <s v="WHITE"/>
    <s v="H01352W"/>
    <s v="FLINTSL - WHITE"/>
    <n v="25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125.71428571428572"/>
    <n v="0"/>
    <s v="MATT"/>
    <s v="H01352M"/>
    <s v="ToyoLi - MATT"/>
    <n v="20"/>
    <n v="0"/>
    <m/>
    <m/>
    <n v="0"/>
    <n v="55"/>
    <s v="NWBBK"/>
    <m/>
    <m/>
    <m/>
    <m/>
    <m/>
    <m/>
    <n v="60"/>
    <n v="0"/>
    <n v="10"/>
    <n v="0"/>
    <m/>
    <n v="0"/>
    <m/>
    <n v="0"/>
    <m/>
    <n v="0"/>
    <m/>
    <n v="0"/>
    <m/>
    <n v="0"/>
    <m/>
    <n v="0"/>
    <s v="ToyoLi"/>
    <n v="20"/>
    <n v="0"/>
    <n v="105.3571428571428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10"/>
    <n v="13"/>
    <n v="7"/>
    <n v="5"/>
    <n v="30"/>
    <n v="15"/>
    <n v="0"/>
    <n v="0.8"/>
    <n v="0.2"/>
    <m/>
    <m/>
    <m/>
    <n v="0"/>
    <n v="198"/>
    <n v="0"/>
    <n v="0"/>
    <n v="198"/>
    <n v="198"/>
    <n v="158.4"/>
    <n v="0"/>
    <n v="39.6"/>
    <n v="0"/>
    <n v="0"/>
    <n v="0"/>
    <n v="0"/>
    <n v="0"/>
    <n v="0"/>
    <n v="0"/>
    <n v="0"/>
    <n v="0"/>
    <n v="0"/>
    <m/>
    <n v="229.5"/>
    <n v="373.5"/>
    <n v="51"/>
    <s v="FLINTSLFLINTSLFLINTSLFLINTSLFLINTSLFLINTSLToyoLi"/>
    <s v="+"/>
    <s v="+"/>
    <s v="+"/>
    <s v="+"/>
    <s v="+"/>
    <s v="+"/>
    <s v="+"/>
    <s v="NIL"/>
  </r>
  <r>
    <d v="2026-01-08T00:00:00"/>
    <s v="A"/>
    <x v="87"/>
    <n v="52"/>
    <n v="398"/>
    <n v="17200"/>
    <s v="II"/>
    <s v="N"/>
    <n v="1.72"/>
    <s v="BLACK"/>
    <s v="C01459B"/>
    <s v="FLINTSL - BLACK"/>
    <n v="24"/>
    <n v="0"/>
    <m/>
    <m/>
    <n v="0"/>
    <n v="26506000007"/>
    <m/>
    <m/>
    <m/>
    <m/>
    <m/>
    <m/>
    <m/>
    <n v="12"/>
    <e v="#N/A"/>
    <m/>
    <n v="0"/>
    <m/>
    <n v="0"/>
    <m/>
    <n v="0"/>
    <m/>
    <n v="0"/>
    <m/>
    <n v="0"/>
    <m/>
    <n v="0"/>
    <m/>
    <n v="0"/>
    <s v="FLINTSL"/>
    <n v="23"/>
    <n v="0"/>
    <n v="21.019230769230774"/>
    <n v="0"/>
    <s v="RED"/>
    <m/>
    <s v="FLINTSL - RED"/>
    <m/>
    <n v="0"/>
    <m/>
    <m/>
    <n v="0"/>
    <n v="25863000007"/>
    <n v="26508000003"/>
    <n v="26501000001"/>
    <m/>
    <m/>
    <m/>
    <m/>
    <m/>
    <n v="7"/>
    <e v="#N/A"/>
    <n v="8"/>
    <e v="#N/A"/>
    <n v="5"/>
    <e v="#N/A"/>
    <m/>
    <n v="0"/>
    <m/>
    <n v="0"/>
    <m/>
    <n v="0"/>
    <m/>
    <n v="0"/>
    <m/>
    <n v="0"/>
    <s v="FLINTSL"/>
    <n v="20"/>
    <n v="0"/>
    <n v="26.730769230769234"/>
    <n v="0"/>
    <s v="CYAN"/>
    <s v="C01459C"/>
    <s v="FLINTSL - CYAN"/>
    <n v="25"/>
    <n v="0"/>
    <m/>
    <m/>
    <n v="0"/>
    <n v="26507000018"/>
    <m/>
    <m/>
    <m/>
    <m/>
    <m/>
    <m/>
    <m/>
    <n v="14"/>
    <e v="#N/A"/>
    <m/>
    <n v="0"/>
    <m/>
    <n v="0"/>
    <m/>
    <n v="0"/>
    <m/>
    <n v="0"/>
    <m/>
    <n v="0"/>
    <m/>
    <n v="0"/>
    <m/>
    <n v="0"/>
    <s v="FLINTSL"/>
    <n v="26"/>
    <n v="0"/>
    <n v="26.365384615384613"/>
    <n v="0"/>
    <s v="MAGENTA"/>
    <s v="C01459M"/>
    <s v="FLINTSL - MAGENTA"/>
    <n v="28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4"/>
    <n v="0"/>
    <n v="13.346153846153847"/>
    <n v="0"/>
    <s v="YELLOW"/>
    <s v="C01459Y"/>
    <s v="FLINTSL - YELLOW"/>
    <n v="24"/>
    <n v="0"/>
    <m/>
    <m/>
    <n v="0"/>
    <n v="26507000019"/>
    <m/>
    <m/>
    <m/>
    <m/>
    <m/>
    <m/>
    <m/>
    <n v="15"/>
    <e v="#N/A"/>
    <m/>
    <n v="0"/>
    <m/>
    <n v="0"/>
    <m/>
    <n v="0"/>
    <m/>
    <n v="0"/>
    <m/>
    <n v="0"/>
    <m/>
    <n v="0"/>
    <m/>
    <n v="0"/>
    <s v="FLINTSL"/>
    <n v="27"/>
    <n v="0"/>
    <n v="25.365384615384613"/>
    <n v="0"/>
    <s v="GOLD"/>
    <s v="N00871G"/>
    <s v="FLINTSL - GOLD"/>
    <n v="26"/>
    <n v="0"/>
    <m/>
    <m/>
    <n v="0"/>
    <n v="26507000019"/>
    <m/>
    <m/>
    <m/>
    <m/>
    <m/>
    <m/>
    <m/>
    <n v="12"/>
    <e v="#N/A"/>
    <m/>
    <n v="0"/>
    <m/>
    <n v="0"/>
    <m/>
    <n v="0"/>
    <m/>
    <n v="0"/>
    <m/>
    <n v="0"/>
    <m/>
    <n v="0"/>
    <m/>
    <n v="0"/>
    <s v="FLINTSL"/>
    <n v="25"/>
    <n v="0"/>
    <n v="18.346153846153847"/>
    <n v="0"/>
    <s v="WHITE"/>
    <s v="C01459W"/>
    <s v="FLINTSL - WHITE"/>
    <n v="30"/>
    <n v="0"/>
    <m/>
    <m/>
    <n v="0"/>
    <s v="FW"/>
    <m/>
    <m/>
    <m/>
    <m/>
    <m/>
    <m/>
    <m/>
    <n v="70"/>
    <n v="0"/>
    <m/>
    <n v="0"/>
    <m/>
    <n v="0"/>
    <m/>
    <n v="0"/>
    <m/>
    <n v="0"/>
    <m/>
    <n v="0"/>
    <m/>
    <n v="0"/>
    <m/>
    <n v="0"/>
    <s v="FLINTSL"/>
    <n v="29"/>
    <n v="0"/>
    <n v="137.8269230769230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10"/>
    <n v="5"/>
    <n v="2"/>
    <n v="5"/>
    <n v="2"/>
    <n v="25"/>
    <n v="0"/>
    <n v="0.8"/>
    <n v="0.2"/>
    <m/>
    <m/>
    <m/>
    <n v="0"/>
    <n v="139"/>
    <n v="0"/>
    <n v="0"/>
    <n v="139"/>
    <n v="139"/>
    <n v="111.2"/>
    <n v="0"/>
    <n v="27.8"/>
    <n v="0"/>
    <n v="0"/>
    <n v="0"/>
    <n v="0"/>
    <n v="0"/>
    <n v="0"/>
    <n v="0"/>
    <n v="0"/>
    <n v="0"/>
    <n v="0"/>
    <m/>
    <n v="147"/>
    <n v="269"/>
    <n v="52"/>
    <s v="FLINTSLFLINTSLFLINTSLFLINTSLFLINTSLFLINTSLFLINTSL"/>
    <s v="+"/>
    <s v="+"/>
    <s v="+"/>
    <s v="+"/>
    <s v="+"/>
    <s v="+"/>
    <s v="+"/>
    <s v="NIL"/>
  </r>
  <r>
    <d v="2026-01-08T00:00:00"/>
    <s v="A"/>
    <x v="88"/>
    <n v="53"/>
    <n v="931"/>
    <n v="52300"/>
    <s v="II"/>
    <s v="N"/>
    <n v="2.02"/>
    <s v="BLACK"/>
    <s v="C01330B"/>
    <s v="FLINTSL - BLACK"/>
    <n v="23"/>
    <n v="0"/>
    <m/>
    <m/>
    <n v="0"/>
    <n v="26506000007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7"/>
    <n v="0"/>
    <n v="24.418079096045197"/>
    <n v="0"/>
    <s v="REFLEX BLUE"/>
    <s v="C01459B"/>
    <s v="FLINTSL - REFLEX BLUE"/>
    <n v="26"/>
    <n v="0"/>
    <m/>
    <m/>
    <n v="0"/>
    <n v="26508000011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3"/>
    <n v="0"/>
    <n v="7.683615819209038"/>
    <n v="0"/>
    <s v="GREEN"/>
    <s v="C01417G"/>
    <s v="FLINTSL - GREEN"/>
    <n v="7"/>
    <n v="0"/>
    <s v="H01352G"/>
    <n v="15"/>
    <n v="0"/>
    <n v="26508000024"/>
    <n v="26501000001"/>
    <m/>
    <m/>
    <m/>
    <m/>
    <m/>
    <m/>
    <n v="2"/>
    <e v="#N/A"/>
    <n v="2"/>
    <e v="#N/A"/>
    <m/>
    <n v="0"/>
    <m/>
    <n v="0"/>
    <m/>
    <n v="0"/>
    <m/>
    <n v="0"/>
    <m/>
    <n v="0"/>
    <m/>
    <n v="0"/>
    <s v="FLINTSL"/>
    <n v="24"/>
    <n v="0"/>
    <n v="11.209039548022602"/>
    <n v="0"/>
    <s v="RED"/>
    <s v="C01330R"/>
    <s v="FLINTSL - RED"/>
    <n v="20"/>
    <n v="0"/>
    <m/>
    <m/>
    <n v="0"/>
    <n v="25863000007"/>
    <n v="26508000011"/>
    <n v="26501000001"/>
    <m/>
    <m/>
    <m/>
    <m/>
    <m/>
    <n v="7"/>
    <e v="#N/A"/>
    <n v="2"/>
    <e v="#N/A"/>
    <n v="6"/>
    <e v="#N/A"/>
    <m/>
    <n v="0"/>
    <m/>
    <n v="0"/>
    <m/>
    <n v="0"/>
    <m/>
    <n v="0"/>
    <m/>
    <n v="0"/>
    <s v="FLINTSL"/>
    <n v="24"/>
    <n v="0"/>
    <n v="29.418079096045197"/>
    <n v="0"/>
    <s v="CYAN"/>
    <s v="C01330C"/>
    <s v="FLINTSL - CYAN"/>
    <n v="26"/>
    <n v="0"/>
    <s v="H01366C"/>
    <n v="13"/>
    <n v="0"/>
    <n v="26507000018"/>
    <m/>
    <m/>
    <m/>
    <m/>
    <m/>
    <m/>
    <m/>
    <n v="7"/>
    <e v="#N/A"/>
    <m/>
    <n v="0"/>
    <m/>
    <n v="0"/>
    <m/>
    <n v="0"/>
    <m/>
    <n v="0"/>
    <m/>
    <n v="0"/>
    <m/>
    <n v="0"/>
    <m/>
    <n v="0"/>
    <s v="FLINTSL"/>
    <n v="25"/>
    <n v="0"/>
    <n v="30.209039548022602"/>
    <n v="0"/>
    <s v="MAGENTA"/>
    <s v="C01330M"/>
    <s v="FLINTSL - MAGENTA"/>
    <n v="24"/>
    <n v="0"/>
    <s v="H01366M"/>
    <n v="15"/>
    <n v="0"/>
    <n v="26508000011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8"/>
    <n v="0"/>
    <n v="23.209039548022602"/>
    <n v="0"/>
    <s v="YELLOW"/>
    <s v="C01330Y"/>
    <s v="FLINTSL - YELLOW"/>
    <n v="27"/>
    <n v="0"/>
    <m/>
    <m/>
    <n v="0"/>
    <n v="26508000009"/>
    <n v="26508000012"/>
    <s v="TPT"/>
    <s v="FMD"/>
    <n v="26508000013"/>
    <m/>
    <m/>
    <m/>
    <n v="30"/>
    <e v="#N/A"/>
    <n v="40"/>
    <e v="#N/A"/>
    <n v="20"/>
    <n v="0"/>
    <n v="15"/>
    <n v="0"/>
    <n v="100"/>
    <e v="#N/A"/>
    <m/>
    <n v="0"/>
    <m/>
    <n v="0"/>
    <m/>
    <n v="0"/>
    <s v="FLINTSL"/>
    <n v="25"/>
    <n v="0"/>
    <n v="243.83615819209041"/>
    <n v="0"/>
    <s v="WHITE"/>
    <s v="C01330W"/>
    <s v="FLINTSL - WHITE"/>
    <n v="29"/>
    <n v="0"/>
    <m/>
    <m/>
    <n v="0"/>
    <s v="FW"/>
    <m/>
    <m/>
    <m/>
    <m/>
    <m/>
    <m/>
    <m/>
    <n v="200"/>
    <n v="0"/>
    <m/>
    <n v="0"/>
    <m/>
    <n v="0"/>
    <m/>
    <n v="0"/>
    <m/>
    <n v="0"/>
    <m/>
    <n v="0"/>
    <m/>
    <n v="0"/>
    <m/>
    <n v="0"/>
    <s v="FLINTSL"/>
    <n v="30"/>
    <n v="0"/>
    <n v="420.01694915254234"/>
    <n v="0"/>
    <n v="10"/>
    <n v="2"/>
    <n v="5"/>
    <n v="10"/>
    <n v="5"/>
    <n v="5"/>
    <n v="20"/>
    <n v="120"/>
    <n v="0.8"/>
    <n v="0.2"/>
    <m/>
    <m/>
    <m/>
    <n v="0"/>
    <n v="326"/>
    <n v="0"/>
    <n v="0"/>
    <n v="326"/>
    <n v="326"/>
    <n v="260.8"/>
    <n v="0"/>
    <n v="65.2"/>
    <n v="0"/>
    <n v="0"/>
    <n v="0"/>
    <n v="0"/>
    <n v="0"/>
    <n v="0"/>
    <n v="0"/>
    <n v="0"/>
    <n v="0"/>
    <n v="0"/>
    <m/>
    <n v="445"/>
    <n v="790"/>
    <n v="53"/>
    <s v="FLINTSLFLINTSLFLINTSLFLINTSLFLINTSLFLINTSLFLINTSLFLINTSL"/>
    <s v="+"/>
    <s v="+"/>
    <s v="+"/>
    <s v="+"/>
    <s v="+"/>
    <s v="+"/>
    <s v="+"/>
    <s v="+"/>
  </r>
  <r>
    <d v="2026-01-08T00:00:00"/>
    <s v="A"/>
    <x v="89"/>
    <n v="54"/>
    <n v="729"/>
    <n v="44600"/>
    <s v="II"/>
    <s v="N"/>
    <n v="1.7"/>
    <s v="BLACK"/>
    <s v="N00809B"/>
    <s v="FLINTSL - BLACK"/>
    <n v="27"/>
    <n v="0"/>
    <m/>
    <m/>
    <n v="0"/>
    <n v="26507000010"/>
    <m/>
    <m/>
    <m/>
    <m/>
    <m/>
    <m/>
    <m/>
    <n v="12"/>
    <e v="#N/A"/>
    <m/>
    <n v="0"/>
    <m/>
    <n v="0"/>
    <m/>
    <n v="0"/>
    <m/>
    <n v="0"/>
    <m/>
    <n v="0"/>
    <m/>
    <n v="0"/>
    <m/>
    <n v="0"/>
    <s v="FLINTSL"/>
    <n v="28"/>
    <n v="0"/>
    <n v="14.591549295774648"/>
    <n v="0"/>
    <s v="RED"/>
    <s v="C00965R"/>
    <s v="FLINTSL - RED"/>
    <n v="23"/>
    <n v="0"/>
    <s v="C01455R"/>
    <n v="14"/>
    <n v="0"/>
    <n v="25863000007"/>
    <s v="FMD"/>
    <m/>
    <m/>
    <m/>
    <m/>
    <m/>
    <m/>
    <n v="5"/>
    <e v="#N/A"/>
    <n v="7"/>
    <n v="0"/>
    <m/>
    <n v="0"/>
    <m/>
    <n v="0"/>
    <m/>
    <n v="0"/>
    <m/>
    <n v="0"/>
    <m/>
    <n v="0"/>
    <m/>
    <n v="0"/>
    <s v="FLINTSL"/>
    <n v="40"/>
    <n v="0"/>
    <n v="35.936619718309856"/>
    <n v="0"/>
    <s v="CYAN"/>
    <s v="N00809C"/>
    <s v="FLINTSL - CYAN"/>
    <n v="25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30"/>
    <n v="0"/>
    <n v="12.570422535211264"/>
    <n v="0"/>
    <s v="MAGENTA"/>
    <s v="N00809M"/>
    <s v="FLINTSL - MAGENTA"/>
    <n v="28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30"/>
    <n v="0"/>
    <n v="11.978873239436624"/>
    <n v="0"/>
    <s v="YELLOW"/>
    <s v="N00809Y"/>
    <s v="FLINTSL - YELLOW"/>
    <n v="25"/>
    <n v="0"/>
    <m/>
    <m/>
    <n v="0"/>
    <s v="FMD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29"/>
    <n v="0"/>
    <n v="23.95774647887324"/>
    <n v="0"/>
    <s v="GOLD"/>
    <s v="E00985G"/>
    <s v="FLINTSL - GOLD"/>
    <n v="30"/>
    <n v="0"/>
    <m/>
    <m/>
    <n v="0"/>
    <s v="FSI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31"/>
    <n v="0"/>
    <n v="8.3873239436619684"/>
    <n v="0"/>
    <s v="YELLOW"/>
    <m/>
    <s v="FLINTSL - YELLOW"/>
    <m/>
    <n v="0"/>
    <m/>
    <m/>
    <n v="0"/>
    <n v="26508000015"/>
    <n v="26508000014"/>
    <n v="26508000024"/>
    <n v="26508000016"/>
    <n v="26508000017"/>
    <m/>
    <m/>
    <m/>
    <n v="20"/>
    <e v="#N/A"/>
    <n v="20"/>
    <e v="#N/A"/>
    <n v="5"/>
    <e v="#N/A"/>
    <n v="40"/>
    <e v="#N/A"/>
    <n v="40"/>
    <e v="#N/A"/>
    <m/>
    <n v="0"/>
    <m/>
    <n v="0"/>
    <m/>
    <n v="0"/>
    <s v="FLINTSL"/>
    <n v="24"/>
    <n v="0"/>
    <n v="118.95774647887325"/>
    <n v="0"/>
    <s v="WHITE"/>
    <s v="N00809W"/>
    <s v="FLINTSL - WHITE"/>
    <n v="30"/>
    <n v="0"/>
    <m/>
    <m/>
    <n v="0"/>
    <s v="FW"/>
    <m/>
    <m/>
    <m/>
    <m/>
    <m/>
    <m/>
    <m/>
    <n v="160"/>
    <n v="0"/>
    <m/>
    <n v="0"/>
    <m/>
    <n v="0"/>
    <m/>
    <n v="0"/>
    <m/>
    <n v="0"/>
    <m/>
    <n v="0"/>
    <m/>
    <n v="0"/>
    <m/>
    <n v="0"/>
    <s v="FLINTSL"/>
    <n v="30"/>
    <n v="0"/>
    <n v="321.61971830985919"/>
    <n v="0"/>
    <n v="2"/>
    <n v="15"/>
    <n v="7"/>
    <n v="5"/>
    <n v="10"/>
    <n v="3"/>
    <n v="10"/>
    <n v="90"/>
    <n v="0.8"/>
    <n v="0.2"/>
    <m/>
    <m/>
    <m/>
    <n v="0"/>
    <n v="255"/>
    <n v="0"/>
    <n v="0"/>
    <n v="255"/>
    <n v="255"/>
    <n v="204"/>
    <n v="0"/>
    <n v="51"/>
    <n v="0"/>
    <n v="0"/>
    <n v="0"/>
    <n v="0"/>
    <n v="0"/>
    <n v="0"/>
    <n v="0"/>
    <n v="0"/>
    <n v="0"/>
    <n v="0"/>
    <m/>
    <n v="333"/>
    <n v="548"/>
    <n v="54"/>
    <s v="FLINTSLFLINTSLFLINTSLFLINTSLFLINTSLFLINTSLFLINTSLFLINTSL"/>
    <s v="+"/>
    <s v="+"/>
    <s v="+"/>
    <s v="+"/>
    <s v="+"/>
    <s v="+"/>
    <s v="+"/>
    <s v="+"/>
  </r>
  <r>
    <d v="2026-01-08T00:00:00"/>
    <s v="B"/>
    <x v="90"/>
    <n v="55"/>
    <n v="416"/>
    <n v="24300"/>
    <s v="II"/>
    <s v="N"/>
    <n v="0.5"/>
    <s v="BLACK"/>
    <s v="N00876B"/>
    <s v="ToyoLi - BLACK"/>
    <n v="40"/>
    <n v="0"/>
    <m/>
    <m/>
    <n v="0"/>
    <s v="R92"/>
    <s v="HSLAS"/>
    <m/>
    <m/>
    <m/>
    <m/>
    <m/>
    <m/>
    <n v="40"/>
    <n v="0"/>
    <n v="1.8"/>
    <n v="0"/>
    <m/>
    <n v="0"/>
    <m/>
    <n v="0"/>
    <m/>
    <n v="0"/>
    <m/>
    <n v="0"/>
    <m/>
    <n v="0"/>
    <m/>
    <n v="0"/>
    <s v="ToyoLi"/>
    <n v="25"/>
    <n v="0"/>
    <n v="80.514285714285705"/>
    <n v="0"/>
    <s v="YELLOW"/>
    <m/>
    <s v="FLINTSL - YELLOW"/>
    <m/>
    <n v="0"/>
    <m/>
    <m/>
    <n v="0"/>
    <n v="26508000024"/>
    <n v="25863000007"/>
    <m/>
    <m/>
    <m/>
    <m/>
    <m/>
    <m/>
    <n v="25"/>
    <e v="#N/A"/>
    <n v="3"/>
    <e v="#N/A"/>
    <m/>
    <n v="0"/>
    <m/>
    <n v="0"/>
    <m/>
    <n v="0"/>
    <m/>
    <n v="0"/>
    <m/>
    <n v="0"/>
    <m/>
    <n v="0"/>
    <s v="FLINTSL"/>
    <n v="30"/>
    <n v="0"/>
    <n v="21.714285714285708"/>
    <n v="0"/>
    <s v="GOLD"/>
    <s v="P00432G"/>
    <s v="FLINTSL - GOLD"/>
    <n v="31"/>
    <n v="0"/>
    <m/>
    <m/>
    <n v="0"/>
    <s v="FGO"/>
    <n v="26506000007"/>
    <m/>
    <m/>
    <m/>
    <m/>
    <m/>
    <m/>
    <n v="3"/>
    <n v="0"/>
    <n v="0.3"/>
    <e v="#N/A"/>
    <m/>
    <n v="0"/>
    <m/>
    <n v="0"/>
    <m/>
    <n v="0"/>
    <m/>
    <n v="0"/>
    <m/>
    <n v="0"/>
    <m/>
    <n v="0"/>
    <s v="FLINTSL"/>
    <n v="34"/>
    <n v="0"/>
    <n v="5.0428571428571374"/>
    <n v="0"/>
    <s v="RED"/>
    <s v="H01221R"/>
    <s v="FLINTSL - RED"/>
    <n v="20"/>
    <n v="0"/>
    <m/>
    <m/>
    <n v="0"/>
    <n v="26508000011"/>
    <n v="25863000007"/>
    <m/>
    <m/>
    <m/>
    <m/>
    <m/>
    <m/>
    <n v="5"/>
    <e v="#N/A"/>
    <n v="3"/>
    <e v="#N/A"/>
    <m/>
    <n v="0"/>
    <m/>
    <n v="0"/>
    <m/>
    <n v="0"/>
    <m/>
    <n v="0"/>
    <m/>
    <n v="0"/>
    <m/>
    <n v="0"/>
    <s v="FLINTSL"/>
    <n v="32"/>
    <n v="0"/>
    <n v="7.8571428571428541"/>
    <n v="0"/>
    <s v="CYAN"/>
    <s v="P00432C"/>
    <s v="FLINTSL - CYAN"/>
    <n v="30"/>
    <n v="0"/>
    <m/>
    <m/>
    <n v="0"/>
    <n v="26507000018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1"/>
    <n v="0"/>
    <n v="10.114285714285714"/>
    <n v="0"/>
    <s v="MAGENTA"/>
    <s v="P00432M"/>
    <s v="FLINTSL - MAGENTA"/>
    <n v="30"/>
    <n v="0"/>
    <m/>
    <m/>
    <n v="0"/>
    <n v="26508000011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30"/>
    <n v="0"/>
    <n v="7.7428571428571402"/>
    <n v="0"/>
    <s v="YELLOW"/>
    <s v="P00432Y"/>
    <s v="FLINTSL - YELLOW"/>
    <n v="29"/>
    <n v="0"/>
    <m/>
    <m/>
    <n v="0"/>
    <n v="26508000024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11.11428571428571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10"/>
    <n v="2"/>
    <n v="5"/>
    <n v="3"/>
    <n v="2"/>
    <n v="3"/>
    <n v="0"/>
    <n v="0.8"/>
    <n v="0.2"/>
    <m/>
    <m/>
    <m/>
    <n v="0"/>
    <n v="83"/>
    <n v="0"/>
    <n v="0"/>
    <n v="83"/>
    <n v="83"/>
    <n v="66.400000000000006"/>
    <n v="0"/>
    <n v="16.600000000000001"/>
    <n v="0"/>
    <n v="0"/>
    <n v="0"/>
    <n v="0"/>
    <n v="0"/>
    <n v="0"/>
    <n v="0"/>
    <n v="0"/>
    <n v="0"/>
    <n v="0"/>
    <m/>
    <n v="93.1"/>
    <n v="144.09999999999997"/>
    <n v="55"/>
    <s v="ToyoLiFLINTSLFLINTSLFLINTSLFLINTSLFLINTSLFLINTSL"/>
    <s v="+"/>
    <s v="+"/>
    <s v="+"/>
    <s v="+"/>
    <s v="+"/>
    <s v="+"/>
    <s v="+"/>
    <s v="NIL"/>
  </r>
  <r>
    <d v="2026-01-08T00:00:00"/>
    <s v="B"/>
    <x v="91"/>
    <n v="56"/>
    <n v="866"/>
    <n v="56300"/>
    <s v="II"/>
    <s v="N"/>
    <n v="0.52"/>
    <s v="BLACK"/>
    <s v="P00432B"/>
    <s v="FLINTSL - BLACK"/>
    <n v="28"/>
    <n v="0"/>
    <m/>
    <m/>
    <n v="0"/>
    <n v="26506000007"/>
    <m/>
    <m/>
    <m/>
    <m/>
    <m/>
    <m/>
    <m/>
    <n v="8.5"/>
    <e v="#N/A"/>
    <m/>
    <n v="0"/>
    <m/>
    <n v="0"/>
    <m/>
    <n v="0"/>
    <m/>
    <n v="0"/>
    <m/>
    <n v="0"/>
    <m/>
    <n v="0"/>
    <m/>
    <n v="0"/>
    <s v="FLINTSL"/>
    <n v="30"/>
    <n v="0"/>
    <n v="49.7"/>
    <n v="0"/>
    <s v="REFLEX BLUE"/>
    <s v="C01421B"/>
    <s v="FLINTSL - REFLEX BLUE"/>
    <n v="25"/>
    <n v="0"/>
    <m/>
    <m/>
    <n v="0"/>
    <n v="26506000001"/>
    <n v="26507000010"/>
    <n v="26508000011"/>
    <m/>
    <m/>
    <m/>
    <m/>
    <m/>
    <n v="2"/>
    <e v="#N/A"/>
    <n v="0.3"/>
    <e v="#N/A"/>
    <n v="6"/>
    <e v="#N/A"/>
    <m/>
    <n v="0"/>
    <m/>
    <n v="0"/>
    <m/>
    <n v="0"/>
    <m/>
    <n v="0"/>
    <m/>
    <n v="0"/>
    <s v="FLINTSL"/>
    <n v="28"/>
    <n v="0"/>
    <n v="48.5"/>
    <n v="0"/>
    <s v="CYAN"/>
    <m/>
    <s v="FLINTSL - CYAN"/>
    <m/>
    <n v="0"/>
    <m/>
    <m/>
    <n v="0"/>
    <n v="26508000018"/>
    <n v="26509000002"/>
    <n v="26508000025"/>
    <n v="26509000003"/>
    <m/>
    <m/>
    <m/>
    <m/>
    <n v="20"/>
    <e v="#N/A"/>
    <n v="40"/>
    <e v="#N/A"/>
    <n v="130"/>
    <e v="#N/A"/>
    <n v="30"/>
    <e v="#N/A"/>
    <m/>
    <n v="0"/>
    <m/>
    <n v="0"/>
    <m/>
    <n v="0"/>
    <m/>
    <n v="0"/>
    <s v="FLINTSL"/>
    <n v="20"/>
    <n v="0"/>
    <n v="254"/>
    <n v="0"/>
    <s v="CYAN"/>
    <s v="N00887C"/>
    <s v="FLINTSL - CYAN"/>
    <n v="31"/>
    <n v="0"/>
    <m/>
    <m/>
    <n v="0"/>
    <n v="26508000019"/>
    <n v="26507000018"/>
    <m/>
    <m/>
    <m/>
    <m/>
    <m/>
    <m/>
    <n v="20"/>
    <e v="#N/A"/>
    <n v="1"/>
    <e v="#N/A"/>
    <m/>
    <n v="0"/>
    <m/>
    <n v="0"/>
    <m/>
    <n v="0"/>
    <m/>
    <n v="0"/>
    <m/>
    <n v="0"/>
    <m/>
    <n v="0"/>
    <s v="FLINTSL"/>
    <n v="30"/>
    <n v="0"/>
    <n v="43.599999999999994"/>
    <n v="0"/>
    <s v="MAGENTA"/>
    <s v="N00887M"/>
    <s v="FLINTSL - MAGENTA"/>
    <n v="30"/>
    <n v="0"/>
    <m/>
    <m/>
    <n v="0"/>
    <n v="26508000011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9"/>
    <n v="0"/>
    <n v="25.6"/>
    <n v="0"/>
    <s v="YELLOW"/>
    <s v="N00887Y"/>
    <s v="FLINTSL - YELLOW"/>
    <n v="30"/>
    <n v="0"/>
    <m/>
    <m/>
    <n v="0"/>
    <n v="26508000024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30"/>
    <n v="0"/>
    <n v="35.40000000000000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4"/>
    <n v="5"/>
    <n v="2"/>
    <n v="2"/>
    <n v="3"/>
    <n v="0"/>
    <n v="0"/>
    <n v="0.8"/>
    <n v="0.2"/>
    <m/>
    <m/>
    <m/>
    <n v="0"/>
    <n v="216"/>
    <n v="0"/>
    <n v="0"/>
    <n v="216"/>
    <n v="216"/>
    <n v="172.8"/>
    <n v="0"/>
    <n v="43.2"/>
    <n v="0"/>
    <n v="0"/>
    <n v="0"/>
    <n v="0"/>
    <n v="0"/>
    <n v="0"/>
    <n v="0"/>
    <n v="0"/>
    <n v="0"/>
    <n v="0"/>
    <m/>
    <n v="263.8"/>
    <n v="456.79999999999995"/>
    <n v="56"/>
    <s v="FLINTSLFLINTSLFLINTSLFLINTSLFLINTSLFLINTSL"/>
    <s v="+"/>
    <s v="+"/>
    <s v="+"/>
    <s v="+"/>
    <s v="+"/>
    <s v="+"/>
    <s v="NIL"/>
    <s v="NIL"/>
  </r>
  <r>
    <d v="2026-01-08T00:00:00"/>
    <s v="B"/>
    <x v="92"/>
    <n v="57"/>
    <n v="863"/>
    <n v="56100"/>
    <s v="II"/>
    <s v="N"/>
    <n v="0.52"/>
    <s v="BLACK"/>
    <s v="F00852B"/>
    <s v="FLINTSL - BLACK"/>
    <n v="30"/>
    <n v="0"/>
    <m/>
    <m/>
    <n v="0"/>
    <n v="2650700001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9"/>
    <n v="0"/>
    <n v="17.416666666666664"/>
    <n v="0"/>
    <s v="REFLEX BLUE"/>
    <s v="F00852B"/>
    <s v="FLINTSL - REFLEX BLUE"/>
    <n v="28"/>
    <n v="0"/>
    <m/>
    <m/>
    <n v="0"/>
    <n v="2650600000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19.416666666666664"/>
    <n v="0"/>
    <s v="RED"/>
    <s v="E00925P"/>
    <s v="FLINTSL - RED"/>
    <n v="25"/>
    <n v="0"/>
    <m/>
    <m/>
    <n v="0"/>
    <n v="26501000001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5"/>
    <n v="0"/>
    <n v="39.041666666666671"/>
    <n v="0"/>
    <s v="RED"/>
    <s v="H01352R"/>
    <s v="FLINTSL - RED"/>
    <n v="24"/>
    <n v="0"/>
    <s v="H01335R"/>
    <n v="30"/>
    <n v="0"/>
    <n v="26509000001"/>
    <n v="26508000020"/>
    <n v="26509000005"/>
    <n v="26508000011"/>
    <m/>
    <m/>
    <m/>
    <m/>
    <n v="30"/>
    <e v="#N/A"/>
    <n v="30"/>
    <e v="#N/A"/>
    <n v="30"/>
    <e v="#N/A"/>
    <n v="5"/>
    <e v="#N/A"/>
    <m/>
    <n v="0"/>
    <m/>
    <n v="0"/>
    <m/>
    <n v="0"/>
    <m/>
    <n v="0"/>
    <s v="FLINTSL"/>
    <n v="20"/>
    <n v="0"/>
    <n v="172.25"/>
    <n v="0"/>
    <s v="CYAN"/>
    <s v="F00852C"/>
    <s v="FLINTSL - CYAN"/>
    <n v="30"/>
    <n v="0"/>
    <m/>
    <m/>
    <n v="0"/>
    <n v="2650700001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25.625"/>
    <n v="0"/>
    <s v="MAGENTA"/>
    <s v="F00852M"/>
    <s v="FLINTSL - MAGENTA"/>
    <n v="29"/>
    <n v="0"/>
    <m/>
    <m/>
    <n v="0"/>
    <n v="2650800001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8"/>
    <n v="0"/>
    <n v="26.625"/>
    <n v="0"/>
    <s v="YELLOW"/>
    <s v="F00852Y"/>
    <s v="FLINTSL - YELLOW"/>
    <n v="30"/>
    <n v="0"/>
    <m/>
    <m/>
    <n v="0"/>
    <n v="26508000024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23.62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5"/>
    <n v="6"/>
    <n v="3"/>
    <n v="3"/>
    <n v="3"/>
    <n v="0"/>
    <n v="0.8"/>
    <n v="0.2"/>
    <m/>
    <m/>
    <m/>
    <n v="0"/>
    <n v="173"/>
    <n v="0"/>
    <n v="0"/>
    <n v="173"/>
    <n v="173"/>
    <n v="138.4"/>
    <n v="0"/>
    <n v="34.6"/>
    <n v="0"/>
    <n v="0"/>
    <n v="0"/>
    <n v="0"/>
    <n v="0"/>
    <n v="0"/>
    <n v="0"/>
    <n v="0"/>
    <n v="0"/>
    <n v="0"/>
    <m/>
    <n v="110"/>
    <n v="324"/>
    <n v="57"/>
    <s v="FLINTSLFLINTSLFLINTSLFLINTSLFLINTSLFLINTSLFLINTSL"/>
    <s v="+"/>
    <s v="+"/>
    <s v="+"/>
    <s v="+"/>
    <s v="+"/>
    <s v="+"/>
    <s v="+"/>
    <s v="NIL"/>
  </r>
  <r>
    <d v="2026-01-08T00:00:00"/>
    <s v="B"/>
    <x v="93"/>
    <n v="58"/>
    <n v="972"/>
    <n v="63200"/>
    <s v="II"/>
    <s v="N"/>
    <n v="0.8"/>
    <s v="BLACK"/>
    <s v="F00854B"/>
    <s v="FLINTSL - BLACK"/>
    <n v="29"/>
    <n v="0"/>
    <m/>
    <m/>
    <n v="0"/>
    <n v="2650700001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2"/>
    <n v="0"/>
    <n v="17"/>
    <n v="0"/>
    <s v="REFLEX BLUE"/>
    <s v="F00854B"/>
    <s v="FLINTSL - REFLEX BLUE"/>
    <n v="25"/>
    <n v="0"/>
    <m/>
    <m/>
    <n v="0"/>
    <n v="2650600000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0"/>
    <n v="0"/>
    <n v="21"/>
    <n v="0"/>
    <s v="GREEN"/>
    <s v="N00871G"/>
    <s v="FLINTSL - GREEN"/>
    <n v="28"/>
    <n v="0"/>
    <m/>
    <m/>
    <n v="0"/>
    <n v="26508000024"/>
    <n v="26507000018"/>
    <m/>
    <m/>
    <m/>
    <m/>
    <m/>
    <m/>
    <n v="2"/>
    <e v="#N/A"/>
    <n v="4"/>
    <e v="#N/A"/>
    <m/>
    <n v="0"/>
    <m/>
    <n v="0"/>
    <m/>
    <n v="0"/>
    <m/>
    <n v="0"/>
    <m/>
    <n v="0"/>
    <m/>
    <n v="0"/>
    <s v="FLINTSL"/>
    <n v="15"/>
    <n v="0"/>
    <n v="47"/>
    <n v="0"/>
    <s v="CYAN"/>
    <s v="F00854C"/>
    <s v="FLINTSL - CYAN"/>
    <n v="28"/>
    <n v="0"/>
    <m/>
    <m/>
    <n v="0"/>
    <n v="26507000018"/>
    <s v="FMD"/>
    <m/>
    <m/>
    <m/>
    <m/>
    <m/>
    <m/>
    <n v="7"/>
    <e v="#N/A"/>
    <n v="5"/>
    <n v="0"/>
    <m/>
    <n v="0"/>
    <m/>
    <n v="0"/>
    <m/>
    <n v="0"/>
    <m/>
    <n v="0"/>
    <m/>
    <n v="0"/>
    <m/>
    <n v="0"/>
    <s v="FLINTSL"/>
    <n v="26"/>
    <n v="0"/>
    <n v="34"/>
    <n v="0"/>
    <s v="MAGENTA"/>
    <s v="F00854M"/>
    <s v="FLINTSL - MAGENTA"/>
    <n v="28"/>
    <n v="0"/>
    <m/>
    <m/>
    <n v="0"/>
    <n v="2650800001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2"/>
    <n v="0"/>
    <n v="12"/>
    <n v="0"/>
    <s v="YELLOW"/>
    <s v="F00854Y"/>
    <s v="FLINTSL - YELLOW"/>
    <n v="30"/>
    <n v="0"/>
    <m/>
    <m/>
    <n v="0"/>
    <s v="FMD"/>
    <n v="26508000024"/>
    <m/>
    <m/>
    <m/>
    <m/>
    <m/>
    <m/>
    <n v="8"/>
    <n v="0"/>
    <n v="15"/>
    <e v="#N/A"/>
    <m/>
    <n v="0"/>
    <m/>
    <n v="0"/>
    <m/>
    <n v="0"/>
    <m/>
    <n v="0"/>
    <m/>
    <n v="0"/>
    <m/>
    <n v="0"/>
    <s v="FLINTSL"/>
    <n v="24"/>
    <n v="0"/>
    <n v="69"/>
    <n v="0"/>
    <s v="MEDIUM"/>
    <m/>
    <s v="FLINTSL - MEDIUM"/>
    <m/>
    <n v="0"/>
    <m/>
    <m/>
    <n v="0"/>
    <n v="26509000008"/>
    <n v="26509000007"/>
    <n v="26508000021"/>
    <s v="FMD"/>
    <s v="FW"/>
    <m/>
    <m/>
    <m/>
    <n v="40"/>
    <e v="#N/A"/>
    <n v="40"/>
    <e v="#N/A"/>
    <n v="30"/>
    <e v="#N/A"/>
    <n v="30"/>
    <n v="0"/>
    <n v="2"/>
    <n v="0"/>
    <m/>
    <n v="0"/>
    <m/>
    <n v="0"/>
    <m/>
    <n v="0"/>
    <s v="FLINTSL"/>
    <n v="20"/>
    <n v="0"/>
    <n v="20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7"/>
    <n v="5"/>
    <n v="1"/>
    <n v="10"/>
    <n v="20"/>
    <n v="0"/>
    <n v="0.8"/>
    <n v="0.2"/>
    <m/>
    <m/>
    <m/>
    <n v="0"/>
    <n v="192"/>
    <n v="0"/>
    <n v="0"/>
    <n v="192"/>
    <n v="192"/>
    <n v="153.60000000000002"/>
    <n v="0"/>
    <n v="38.400000000000006"/>
    <n v="0"/>
    <n v="0"/>
    <n v="0"/>
    <n v="0"/>
    <n v="0"/>
    <n v="0"/>
    <n v="0"/>
    <n v="0"/>
    <n v="0"/>
    <n v="0"/>
    <m/>
    <n v="191"/>
    <n v="402"/>
    <n v="58"/>
    <s v="FLINTSLFLINTSLFLINTSLFLINTSLFLINTSLFLINTSLFLINTSL"/>
    <s v="+"/>
    <s v="+"/>
    <s v="+"/>
    <s v="+"/>
    <s v="+"/>
    <s v="+"/>
    <s v="+"/>
    <s v="NIL"/>
  </r>
  <r>
    <d v="2026-01-08T00:00:00"/>
    <s v="A"/>
    <x v="94"/>
    <n v="59"/>
    <n v="221"/>
    <n v="17100"/>
    <s v="II"/>
    <s v="N"/>
    <n v="0.92"/>
    <s v="BLACK"/>
    <s v="F00853B"/>
    <s v="FLINTSL - BLACK"/>
    <n v="22"/>
    <n v="0"/>
    <m/>
    <m/>
    <n v="0"/>
    <n v="26507000010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1"/>
    <n v="0"/>
    <n v="16.405405405405403"/>
    <n v="0"/>
    <s v="BLACK"/>
    <s v="C01455B"/>
    <s v="FLINTSL - BLACK"/>
    <n v="10"/>
    <n v="0"/>
    <s v="P00432B"/>
    <n v="10"/>
    <n v="0"/>
    <n v="26507000010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6"/>
    <n v="0"/>
    <n v="7.3243243243243228"/>
    <n v="0"/>
    <s v="REFLEX BLUE"/>
    <s v="F00853RB"/>
    <s v="FLINTSL - REFLEX BLUE"/>
    <n v="20"/>
    <n v="0"/>
    <m/>
    <m/>
    <n v="0"/>
    <n v="2650800001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0"/>
    <n v="0"/>
    <n v="10.324324324324323"/>
    <n v="0"/>
    <s v="REFLEX BLUE"/>
    <s v="N00809RB"/>
    <s v="FLINTSL - REFLEX BLUE"/>
    <n v="22"/>
    <n v="0"/>
    <s v="F00852B"/>
    <n v="20"/>
    <n v="0"/>
    <n v="26509000009"/>
    <n v="26507000018"/>
    <m/>
    <m/>
    <m/>
    <m/>
    <m/>
    <m/>
    <n v="22.8"/>
    <e v="#N/A"/>
    <n v="10"/>
    <e v="#N/A"/>
    <m/>
    <n v="0"/>
    <m/>
    <n v="0"/>
    <m/>
    <n v="0"/>
    <m/>
    <n v="0"/>
    <m/>
    <n v="0"/>
    <m/>
    <n v="0"/>
    <s v="FLINTSL"/>
    <n v="32"/>
    <n v="0"/>
    <n v="63.610810810810804"/>
    <n v="0"/>
    <s v="CYAN"/>
    <s v="F00853C"/>
    <s v="FLINTSL - CYAN"/>
    <n v="26"/>
    <n v="0"/>
    <m/>
    <m/>
    <n v="0"/>
    <s v="FMD"/>
    <m/>
    <m/>
    <m/>
    <m/>
    <m/>
    <m/>
    <m/>
    <n v="7"/>
    <n v="0"/>
    <m/>
    <n v="0"/>
    <m/>
    <n v="0"/>
    <m/>
    <n v="0"/>
    <m/>
    <n v="0"/>
    <m/>
    <n v="0"/>
    <m/>
    <n v="0"/>
    <m/>
    <n v="0"/>
    <s v="FLINTSL"/>
    <n v="30"/>
    <n v="0"/>
    <n v="13.405405405405403"/>
    <n v="0"/>
    <s v="MAGENTA"/>
    <s v="F00853M"/>
    <s v="FLINTSL - MAGENTA"/>
    <n v="22"/>
    <n v="0"/>
    <m/>
    <m/>
    <n v="0"/>
    <n v="2650800001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5"/>
    <n v="0"/>
    <n v="11.405405405405403"/>
    <n v="0"/>
    <s v="YELLOW"/>
    <s v="F00853Y"/>
    <s v="FLINTSL - YELLOW"/>
    <n v="24"/>
    <n v="0"/>
    <m/>
    <m/>
    <n v="0"/>
    <n v="26508000024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8"/>
    <n v="0"/>
    <n v="10.32432432432432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4"/>
    <n v="4"/>
    <n v="10"/>
    <n v="5"/>
    <n v="5"/>
    <n v="4"/>
    <n v="0"/>
    <n v="0.8"/>
    <n v="0.2"/>
    <m/>
    <m/>
    <m/>
    <n v="0"/>
    <n v="77"/>
    <n v="0"/>
    <n v="0"/>
    <n v="77"/>
    <n v="77"/>
    <n v="61.6"/>
    <n v="0"/>
    <n v="15.4"/>
    <n v="0"/>
    <n v="0"/>
    <n v="0"/>
    <n v="0"/>
    <n v="0"/>
    <n v="0"/>
    <n v="0"/>
    <n v="0"/>
    <n v="0"/>
    <n v="0"/>
    <m/>
    <n v="61.8"/>
    <n v="132.79999999999998"/>
    <n v="59"/>
    <s v="FLINTSLFLINTSLFLINTSLFLINTSLFLINTSLFLINTSLFLINTSL"/>
    <s v="+"/>
    <s v="+"/>
    <s v="+"/>
    <s v="+"/>
    <s v="+"/>
    <s v="+"/>
    <s v="+"/>
    <s v="NIL"/>
  </r>
  <r>
    <d v="2026-01-09T00:00:00"/>
    <s v="A"/>
    <x v="95"/>
    <n v="60"/>
    <n v="398"/>
    <n v="17200"/>
    <s v="II"/>
    <s v="N"/>
    <n v="1.22"/>
    <s v="BLACK"/>
    <s v="F00855B"/>
    <s v="FLINTSL - BLACK"/>
    <n v="26"/>
    <n v="0"/>
    <m/>
    <m/>
    <n v="0"/>
    <n v="26507000010"/>
    <n v="26508000024"/>
    <m/>
    <m/>
    <m/>
    <m/>
    <m/>
    <m/>
    <n v="5"/>
    <e v="#N/A"/>
    <n v="4"/>
    <e v="#N/A"/>
    <m/>
    <n v="0"/>
    <m/>
    <n v="0"/>
    <m/>
    <n v="0"/>
    <m/>
    <n v="0"/>
    <m/>
    <n v="0"/>
    <m/>
    <n v="0"/>
    <s v="FLINTSL"/>
    <n v="32"/>
    <n v="0"/>
    <n v="12.652777777777779"/>
    <n v="0"/>
    <s v="GOLD"/>
    <s v="N00887G"/>
    <s v="FLINTSL - GOLD"/>
    <n v="34"/>
    <n v="0"/>
    <m/>
    <m/>
    <n v="0"/>
    <n v="26508000024"/>
    <s v="FGO"/>
    <n v="26508000011"/>
    <m/>
    <m/>
    <m/>
    <m/>
    <m/>
    <n v="2"/>
    <e v="#N/A"/>
    <n v="10"/>
    <n v="0"/>
    <n v="0.1"/>
    <e v="#N/A"/>
    <m/>
    <n v="0"/>
    <m/>
    <n v="0"/>
    <m/>
    <n v="0"/>
    <m/>
    <n v="0"/>
    <m/>
    <n v="0"/>
    <s v="FLINTSL"/>
    <n v="20"/>
    <n v="0"/>
    <n v="45.405555555555566"/>
    <n v="0"/>
    <s v="RED"/>
    <s v="H01221R"/>
    <s v="FLINTSL - RED"/>
    <n v="20"/>
    <n v="0"/>
    <m/>
    <m/>
    <n v="0"/>
    <n v="26508000011"/>
    <n v="26505000002"/>
    <n v="25863000007"/>
    <m/>
    <m/>
    <m/>
    <m/>
    <m/>
    <n v="3"/>
    <e v="#N/A"/>
    <n v="7"/>
    <e v="#N/A"/>
    <n v="2"/>
    <e v="#N/A"/>
    <m/>
    <n v="0"/>
    <m/>
    <n v="0"/>
    <m/>
    <n v="0"/>
    <m/>
    <n v="0"/>
    <m/>
    <n v="0"/>
    <s v="FLINTSL"/>
    <n v="26"/>
    <n v="0"/>
    <n v="25.305555555555557"/>
    <n v="0"/>
    <s v="CYAN"/>
    <s v="F00855C"/>
    <s v="FLINTSL - CYAN"/>
    <n v="30"/>
    <n v="0"/>
    <m/>
    <m/>
    <n v="0"/>
    <n v="26507000018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32"/>
    <n v="0"/>
    <n v="7.8611111111111143"/>
    <n v="0"/>
    <s v="MAGENTA"/>
    <s v="F00855M"/>
    <s v="FLINTSL - MAGENTA"/>
    <n v="25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4"/>
    <n v="0"/>
    <n v="11.791666666666664"/>
    <n v="0"/>
    <s v="YELLOW"/>
    <s v="F00855Y"/>
    <s v="FLINTSL - YELLOW"/>
    <n v="28"/>
    <n v="0"/>
    <m/>
    <m/>
    <n v="0"/>
    <n v="26508000024"/>
    <m/>
    <m/>
    <m/>
    <m/>
    <m/>
    <m/>
    <m/>
    <n v="15"/>
    <e v="#N/A"/>
    <m/>
    <n v="0"/>
    <m/>
    <n v="0"/>
    <m/>
    <n v="0"/>
    <m/>
    <n v="0"/>
    <m/>
    <n v="0"/>
    <m/>
    <n v="0"/>
    <m/>
    <n v="0"/>
    <s v="FLINTSL"/>
    <n v="26"/>
    <n v="0"/>
    <n v="20.861111111111114"/>
    <n v="0"/>
    <s v="WHITE"/>
    <m/>
    <s v="FLINTSL - WHITE"/>
    <m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107.2222222222222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10"/>
    <n v="2"/>
    <n v="3"/>
    <n v="2"/>
    <n v="40"/>
    <n v="0"/>
    <n v="0.8"/>
    <n v="0.2"/>
    <m/>
    <m/>
    <m/>
    <n v="0"/>
    <n v="139"/>
    <n v="0"/>
    <n v="0"/>
    <n v="139"/>
    <n v="139"/>
    <n v="111.2"/>
    <n v="0"/>
    <n v="27.8"/>
    <n v="0"/>
    <n v="0"/>
    <n v="0"/>
    <n v="0"/>
    <n v="0"/>
    <n v="0"/>
    <n v="0"/>
    <n v="0"/>
    <n v="0"/>
    <n v="0"/>
    <m/>
    <n v="119.1"/>
    <n v="231.10000000000002"/>
    <n v="60"/>
    <s v="FLINTSLFLINTSLFLINTSLFLINTSLFLINTSLFLINTSLFLINTSL"/>
    <s v="+"/>
    <s v="+"/>
    <s v="+"/>
    <s v="+"/>
    <s v="+"/>
    <s v="+"/>
    <s v="+"/>
    <s v="NIL"/>
  </r>
  <r>
    <d v="2026-01-09T00:00:00"/>
    <s v="A"/>
    <x v="96"/>
    <n v="61"/>
    <n v="544"/>
    <n v="25700"/>
    <s v="II"/>
    <s v="N"/>
    <n v="2.23"/>
    <s v="BLACK"/>
    <s v="F00855B"/>
    <s v="FLINTSL - BLACK"/>
    <n v="21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4"/>
    <n v="0"/>
    <n v="11.582524271844662"/>
    <n v="0"/>
    <s v="RED"/>
    <s v="C01354R"/>
    <s v="FLINTSL - RED"/>
    <n v="26"/>
    <n v="0"/>
    <m/>
    <m/>
    <n v="0"/>
    <n v="25863000007"/>
    <n v="26509000014"/>
    <m/>
    <m/>
    <m/>
    <m/>
    <m/>
    <m/>
    <n v="5"/>
    <e v="#N/A"/>
    <n v="40"/>
    <e v="#N/A"/>
    <m/>
    <n v="0"/>
    <m/>
    <n v="0"/>
    <m/>
    <n v="0"/>
    <m/>
    <n v="0"/>
    <m/>
    <n v="0"/>
    <m/>
    <n v="0"/>
    <s v="FLINTSL"/>
    <n v="27"/>
    <n v="0"/>
    <n v="50.349514563106794"/>
    <n v="0"/>
    <s v="RED"/>
    <m/>
    <s v="FLINTSL - RED"/>
    <m/>
    <n v="0"/>
    <m/>
    <m/>
    <n v="0"/>
    <n v="26509000018"/>
    <n v="26509000019"/>
    <n v="26509000010"/>
    <n v="26508000011"/>
    <m/>
    <m/>
    <m/>
    <m/>
    <n v="40"/>
    <e v="#N/A"/>
    <n v="25"/>
    <e v="#N/A"/>
    <n v="20"/>
    <e v="#N/A"/>
    <n v="4"/>
    <e v="#N/A"/>
    <m/>
    <n v="0"/>
    <m/>
    <n v="0"/>
    <m/>
    <n v="0"/>
    <m/>
    <n v="0"/>
    <s v="FLINTSL"/>
    <n v="30"/>
    <n v="0"/>
    <n v="80.165048543689323"/>
    <n v="0"/>
    <s v="YELLOW"/>
    <m/>
    <s v="FLINTSL - YELLOW"/>
    <m/>
    <n v="0"/>
    <m/>
    <m/>
    <n v="0"/>
    <n v="26508000024"/>
    <s v="FMD"/>
    <m/>
    <m/>
    <m/>
    <m/>
    <m/>
    <m/>
    <n v="24"/>
    <e v="#N/A"/>
    <n v="5"/>
    <n v="0"/>
    <m/>
    <n v="0"/>
    <m/>
    <n v="0"/>
    <m/>
    <n v="0"/>
    <m/>
    <n v="0"/>
    <m/>
    <n v="0"/>
    <m/>
    <n v="0"/>
    <s v="FLINTSL"/>
    <n v="24"/>
    <n v="0"/>
    <n v="36.747572815533978"/>
    <n v="0"/>
    <s v="MAGENTA"/>
    <s v="C01354M"/>
    <s v="FLINTSL - MAGENTA"/>
    <n v="24"/>
    <n v="0"/>
    <m/>
    <m/>
    <n v="0"/>
    <s v="FMD"/>
    <n v="26512000010"/>
    <m/>
    <m/>
    <m/>
    <m/>
    <m/>
    <m/>
    <n v="4"/>
    <n v="0"/>
    <n v="2"/>
    <e v="#N/A"/>
    <m/>
    <n v="0"/>
    <m/>
    <n v="0"/>
    <m/>
    <n v="0"/>
    <m/>
    <n v="0"/>
    <m/>
    <n v="0"/>
    <m/>
    <n v="0"/>
    <s v="FLINTSL"/>
    <n v="30"/>
    <n v="0"/>
    <n v="10.582524271844662"/>
    <n v="0"/>
    <s v="YELLOW"/>
    <s v="C01354Y"/>
    <s v="FLINTSL - YELLOW"/>
    <n v="26"/>
    <n v="0"/>
    <m/>
    <m/>
    <n v="0"/>
    <n v="26508000029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8"/>
    <n v="0"/>
    <n v="18.582524271844662"/>
    <n v="0"/>
    <s v="WHITE"/>
    <s v="C01354W"/>
    <s v="FLINTSL - WHITE"/>
    <n v="30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226.9902912621358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3"/>
    <n v="10"/>
    <n v="15"/>
    <n v="5"/>
    <n v="5"/>
    <n v="60"/>
    <n v="0"/>
    <n v="0.8"/>
    <n v="0.2"/>
    <m/>
    <m/>
    <m/>
    <n v="0"/>
    <n v="218"/>
    <n v="0"/>
    <n v="0"/>
    <n v="218"/>
    <n v="218"/>
    <n v="174.4"/>
    <n v="0"/>
    <n v="43.6"/>
    <n v="0"/>
    <n v="0"/>
    <n v="0"/>
    <n v="0"/>
    <n v="0"/>
    <n v="0"/>
    <n v="0"/>
    <n v="0"/>
    <n v="0"/>
    <n v="0"/>
    <m/>
    <n v="283"/>
    <n v="434.99999999999994"/>
    <n v="61"/>
    <s v="FLINTSLFLINTSLFLINTSLFLINTSLFLINTSLFLINTSLFLINTSL"/>
    <s v="+"/>
    <s v="+"/>
    <s v="+"/>
    <s v="+"/>
    <s v="+"/>
    <s v="+"/>
    <s v="+"/>
    <s v="NIL"/>
  </r>
  <r>
    <d v="2026-01-09T00:00:00"/>
    <s v="B"/>
    <x v="97"/>
    <n v="62"/>
    <n v="974"/>
    <n v="48400"/>
    <s v="II"/>
    <s v="N"/>
    <n v="1.85"/>
    <s v="BLACK"/>
    <s v="F00841B"/>
    <s v="FLINTSL - BLACK"/>
    <n v="24"/>
    <n v="0"/>
    <m/>
    <m/>
    <n v="0"/>
    <n v="26507000010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4"/>
    <n v="0"/>
    <n v="16.819548872180448"/>
    <n v="0"/>
    <s v="RED"/>
    <s v="F00841R"/>
    <s v="FLINTSL - RED"/>
    <n v="27"/>
    <n v="0"/>
    <m/>
    <m/>
    <n v="0"/>
    <n v="26505000002"/>
    <s v="FMG"/>
    <n v="26509000011"/>
    <m/>
    <m/>
    <m/>
    <m/>
    <m/>
    <n v="6"/>
    <e v="#N/A"/>
    <n v="2"/>
    <n v="0"/>
    <n v="23.8"/>
    <e v="#N/A"/>
    <m/>
    <n v="0"/>
    <m/>
    <n v="0"/>
    <m/>
    <n v="0"/>
    <m/>
    <n v="0"/>
    <m/>
    <n v="0"/>
    <s v="FLINTSL"/>
    <n v="27"/>
    <n v="0"/>
    <n v="44.619548872180445"/>
    <n v="0"/>
    <s v="REFLEX BLUE"/>
    <m/>
    <s v="FLINTSL - REFLEX BLUE"/>
    <m/>
    <n v="0"/>
    <m/>
    <m/>
    <n v="0"/>
    <n v="26509000020"/>
    <n v="26509000021"/>
    <n v="26509000022"/>
    <n v="26509000023"/>
    <m/>
    <m/>
    <m/>
    <m/>
    <n v="40"/>
    <e v="#N/A"/>
    <n v="30"/>
    <e v="#N/A"/>
    <n v="30"/>
    <e v="#N/A"/>
    <n v="10"/>
    <e v="#N/A"/>
    <m/>
    <n v="0"/>
    <m/>
    <n v="0"/>
    <m/>
    <n v="0"/>
    <m/>
    <n v="0"/>
    <s v="FLINTSL"/>
    <n v="23"/>
    <n v="0"/>
    <n v="120.33082706766916"/>
    <n v="0"/>
    <s v="ORANGE"/>
    <s v="F00841O"/>
    <s v="FLINTSL - ORANGE"/>
    <n v="24"/>
    <n v="0"/>
    <m/>
    <m/>
    <n v="0"/>
    <n v="25863000007"/>
    <n v="26505000002"/>
    <m/>
    <m/>
    <m/>
    <m/>
    <m/>
    <m/>
    <n v="13"/>
    <e v="#N/A"/>
    <n v="1"/>
    <e v="#N/A"/>
    <m/>
    <n v="0"/>
    <m/>
    <n v="0"/>
    <m/>
    <n v="0"/>
    <m/>
    <n v="0"/>
    <m/>
    <n v="0"/>
    <m/>
    <n v="0"/>
    <s v="FLINTSL"/>
    <n v="18"/>
    <n v="0"/>
    <n v="32.819548872180448"/>
    <n v="0"/>
    <s v="CYAN"/>
    <s v="C01354C"/>
    <s v="FLINTSL - CYAN"/>
    <n v="32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4"/>
    <n v="0"/>
    <n v="24.819548872180448"/>
    <n v="0"/>
    <s v="MAGENTA"/>
    <s v="F00841M"/>
    <s v="FLINTSL - MAGENTA"/>
    <n v="30"/>
    <n v="0"/>
    <m/>
    <m/>
    <n v="0"/>
    <n v="2651200001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19.819548872180448"/>
    <n v="0"/>
    <s v="YELLOW"/>
    <s v="F00841Y"/>
    <s v="FLINTSL - YELLOW"/>
    <n v="28"/>
    <n v="0"/>
    <m/>
    <m/>
    <n v="0"/>
    <n v="26508000029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18.819548872180448"/>
    <n v="0"/>
    <s v="WHITE"/>
    <s v="F00841W"/>
    <s v="FLINTSL - WHITE"/>
    <n v="30"/>
    <n v="0"/>
    <m/>
    <m/>
    <n v="0"/>
    <s v="FW"/>
    <m/>
    <m/>
    <m/>
    <m/>
    <m/>
    <m/>
    <m/>
    <n v="150"/>
    <n v="0"/>
    <m/>
    <n v="0"/>
    <m/>
    <n v="0"/>
    <m/>
    <n v="0"/>
    <m/>
    <n v="0"/>
    <m/>
    <n v="0"/>
    <m/>
    <n v="0"/>
    <m/>
    <n v="0"/>
    <s v="FLINTSL"/>
    <n v="27"/>
    <n v="0"/>
    <n v="383.75187969924809"/>
    <n v="0"/>
    <n v="5"/>
    <n v="5"/>
    <n v="13"/>
    <n v="5"/>
    <n v="5"/>
    <n v="5"/>
    <n v="5"/>
    <n v="90"/>
    <n v="0.8"/>
    <n v="0.2"/>
    <m/>
    <m/>
    <m/>
    <n v="0"/>
    <n v="341"/>
    <n v="0"/>
    <n v="0"/>
    <n v="341"/>
    <n v="341"/>
    <n v="272.8"/>
    <n v="0"/>
    <n v="68.2"/>
    <n v="0"/>
    <n v="0"/>
    <n v="0"/>
    <n v="0"/>
    <n v="0"/>
    <n v="0"/>
    <n v="0"/>
    <n v="0"/>
    <n v="0"/>
    <n v="0"/>
    <m/>
    <n v="319.8"/>
    <n v="661.8"/>
    <n v="62"/>
    <s v="FLINTSLFLINTSLFLINTSLFLINTSLFLINTSLFLINTSLFLINTSLFLINTSL"/>
    <s v="+"/>
    <s v="+"/>
    <s v="+"/>
    <s v="+"/>
    <s v="+"/>
    <s v="+"/>
    <s v="+"/>
    <s v="+"/>
  </r>
  <r>
    <d v="2026-01-09T00:00:00"/>
    <s v="A"/>
    <x v="98"/>
    <n v="63"/>
    <n v="760"/>
    <n v="36900"/>
    <s v="II"/>
    <s v="N"/>
    <n v="1.5"/>
    <s v="BLACK"/>
    <s v="F00825B"/>
    <s v="FLINTSL - BLACK"/>
    <n v="24"/>
    <n v="0"/>
    <m/>
    <m/>
    <n v="0"/>
    <n v="26507000010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4"/>
    <n v="0"/>
    <n v="17.083333333333329"/>
    <n v="0"/>
    <s v="RED"/>
    <s v="F00841R"/>
    <s v="FLINTSL - RED"/>
    <n v="30"/>
    <n v="0"/>
    <s v="F00825R"/>
    <n v="14"/>
    <n v="0"/>
    <n v="26512000010"/>
    <n v="26505000028"/>
    <m/>
    <m/>
    <m/>
    <m/>
    <m/>
    <m/>
    <n v="6"/>
    <e v="#N/A"/>
    <n v="10"/>
    <e v="#N/A"/>
    <m/>
    <n v="0"/>
    <m/>
    <n v="0"/>
    <m/>
    <n v="0"/>
    <m/>
    <n v="0"/>
    <m/>
    <n v="0"/>
    <m/>
    <n v="0"/>
    <s v="FLINTSL"/>
    <n v="20"/>
    <n v="0"/>
    <n v="62.166666666666657"/>
    <n v="0"/>
    <s v="CYAN"/>
    <s v="F00825C"/>
    <s v="FLINTSL - CYAN"/>
    <n v="24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5"/>
    <n v="0"/>
    <n v="16.083333333333329"/>
    <n v="0"/>
    <s v="MAGENTA"/>
    <s v="F00825M"/>
    <s v="FLINTSL - MAGENTA"/>
    <n v="25"/>
    <n v="0"/>
    <m/>
    <m/>
    <n v="0"/>
    <n v="26512000010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7"/>
    <n v="0"/>
    <n v="15.083333333333329"/>
    <n v="0"/>
    <s v="YELLOW"/>
    <s v="F00825Y"/>
    <s v="FLINTSL - YELLOW"/>
    <n v="26"/>
    <n v="0"/>
    <m/>
    <m/>
    <n v="0"/>
    <n v="26508000029"/>
    <s v="FMD"/>
    <m/>
    <m/>
    <m/>
    <m/>
    <m/>
    <m/>
    <n v="2"/>
    <e v="#N/A"/>
    <n v="7"/>
    <n v="0"/>
    <m/>
    <n v="0"/>
    <m/>
    <n v="0"/>
    <m/>
    <n v="0"/>
    <m/>
    <n v="0"/>
    <m/>
    <n v="0"/>
    <m/>
    <n v="0"/>
    <s v="FLINTSL"/>
    <n v="26"/>
    <n v="0"/>
    <n v="20.083333333333329"/>
    <n v="0"/>
    <s v="WHITE"/>
    <s v="F00825W"/>
    <s v="FLINTSL - WHITE"/>
    <n v="27"/>
    <n v="0"/>
    <m/>
    <m/>
    <n v="0"/>
    <s v="FW"/>
    <m/>
    <m/>
    <m/>
    <m/>
    <m/>
    <m/>
    <m/>
    <n v="150"/>
    <n v="0"/>
    <m/>
    <n v="0"/>
    <m/>
    <n v="0"/>
    <m/>
    <n v="0"/>
    <m/>
    <n v="0"/>
    <m/>
    <n v="0"/>
    <m/>
    <n v="0"/>
    <m/>
    <n v="0"/>
    <s v="FLINTSL"/>
    <n v="28"/>
    <n v="0"/>
    <n v="348.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5"/>
    <n v="5"/>
    <n v="5"/>
    <n v="90"/>
    <n v="0"/>
    <n v="0"/>
    <n v="0.8"/>
    <n v="0.2"/>
    <m/>
    <m/>
    <m/>
    <n v="0"/>
    <n v="266"/>
    <n v="0"/>
    <n v="0"/>
    <n v="266"/>
    <n v="266"/>
    <n v="212.8"/>
    <n v="0"/>
    <n v="53.2"/>
    <n v="0"/>
    <n v="0"/>
    <n v="0"/>
    <n v="0"/>
    <n v="0"/>
    <n v="0"/>
    <n v="0"/>
    <n v="0"/>
    <n v="0"/>
    <n v="0"/>
    <m/>
    <n v="193"/>
    <n v="479"/>
    <n v="63"/>
    <s v="FLINTSLFLINTSLFLINTSLFLINTSLFLINTSLFLINTSL"/>
    <s v="+"/>
    <s v="+"/>
    <s v="+"/>
    <s v="+"/>
    <s v="+"/>
    <s v="+"/>
    <s v="NIL"/>
    <s v="NIL"/>
  </r>
  <r>
    <d v="2026-01-09T00:00:00"/>
    <s v="A"/>
    <x v="99"/>
    <n v="64"/>
    <n v="482"/>
    <n v="23300"/>
    <s v="II"/>
    <s v="N"/>
    <n v="1.9"/>
    <s v="BLACK"/>
    <s v="B01042B"/>
    <s v="FLINTSL - BLACK"/>
    <n v="24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4"/>
    <n v="0"/>
    <n v="11.388888888888886"/>
    <n v="0"/>
    <s v="GREEN"/>
    <s v="J00827G"/>
    <s v="FLINTSL - GREEN"/>
    <n v="7"/>
    <n v="0"/>
    <s v="F00852G"/>
    <n v="18"/>
    <n v="0"/>
    <n v="26508000029"/>
    <n v="26505000002"/>
    <s v="FMD"/>
    <n v="26507000018"/>
    <m/>
    <m/>
    <m/>
    <m/>
    <n v="2"/>
    <e v="#N/A"/>
    <n v="6"/>
    <e v="#N/A"/>
    <n v="3"/>
    <n v="0"/>
    <n v="3"/>
    <e v="#N/A"/>
    <m/>
    <n v="0"/>
    <m/>
    <n v="0"/>
    <m/>
    <n v="0"/>
    <m/>
    <n v="0"/>
    <s v="FLINTSL"/>
    <n v="28"/>
    <n v="0"/>
    <n v="20.388888888888886"/>
    <n v="0"/>
    <s v="GREEN"/>
    <s v="H01352G"/>
    <s v="FLINTSL - GREEN"/>
    <n v="7"/>
    <n v="0"/>
    <s v="F00852G"/>
    <n v="2"/>
    <n v="0"/>
    <n v="26507000018"/>
    <n v="26505000027"/>
    <n v="26509000012"/>
    <m/>
    <m/>
    <m/>
    <m/>
    <m/>
    <n v="0.5"/>
    <e v="#N/A"/>
    <n v="1.4"/>
    <e v="#N/A"/>
    <n v="20"/>
    <e v="#N/A"/>
    <m/>
    <n v="0"/>
    <m/>
    <n v="0"/>
    <m/>
    <n v="0"/>
    <m/>
    <n v="0"/>
    <m/>
    <n v="0"/>
    <s v="FLINTSL"/>
    <n v="13"/>
    <n v="0"/>
    <n v="24.159259259259258"/>
    <n v="0"/>
    <s v="YELLOW"/>
    <m/>
    <s v="FLINTSL - YELLOW"/>
    <m/>
    <n v="0"/>
    <m/>
    <m/>
    <n v="0"/>
    <n v="26509000016"/>
    <n v="26510000001"/>
    <s v="FW"/>
    <m/>
    <m/>
    <m/>
    <m/>
    <m/>
    <n v="20"/>
    <e v="#N/A"/>
    <n v="30"/>
    <e v="#N/A"/>
    <n v="2"/>
    <n v="0"/>
    <m/>
    <n v="0"/>
    <m/>
    <n v="0"/>
    <m/>
    <n v="0"/>
    <m/>
    <n v="0"/>
    <m/>
    <n v="0"/>
    <s v="FLINTSL"/>
    <n v="20"/>
    <n v="0"/>
    <n v="47.648148148148152"/>
    <n v="0"/>
    <s v="CYAN"/>
    <s v="B01042C"/>
    <s v="FLINTSL - CYAN"/>
    <n v="25"/>
    <n v="0"/>
    <m/>
    <m/>
    <n v="0"/>
    <n v="26507000018"/>
    <s v="FMD"/>
    <m/>
    <m/>
    <m/>
    <m/>
    <m/>
    <m/>
    <n v="2"/>
    <e v="#N/A"/>
    <n v="1"/>
    <n v="0"/>
    <m/>
    <n v="0"/>
    <m/>
    <n v="0"/>
    <m/>
    <n v="0"/>
    <m/>
    <n v="0"/>
    <m/>
    <n v="0"/>
    <m/>
    <n v="0"/>
    <s v="FLINTSL"/>
    <n v="27"/>
    <n v="0"/>
    <n v="13.518518518518519"/>
    <n v="0"/>
    <s v="MAGENTA"/>
    <s v="B01042M"/>
    <s v="FLINTSL - MAGENTA"/>
    <n v="27"/>
    <n v="0"/>
    <m/>
    <m/>
    <n v="0"/>
    <n v="26512000010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4"/>
    <n v="0"/>
    <n v="15.388888888888886"/>
    <n v="0"/>
    <s v="YELLOW"/>
    <s v="B01042Y"/>
    <s v="FLINTSL - YELLOW"/>
    <n v="26"/>
    <n v="0"/>
    <m/>
    <m/>
    <n v="0"/>
    <n v="26508000029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6"/>
    <n v="0"/>
    <n v="15.518518518518519"/>
    <n v="0"/>
    <s v="WHITE"/>
    <s v="B01042W"/>
    <s v="FLINTSL - WHITE"/>
    <n v="28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28"/>
    <n v="0"/>
    <n v="193.88888888888891"/>
    <n v="0"/>
    <n v="3"/>
    <n v="3"/>
    <n v="2"/>
    <n v="5"/>
    <n v="4"/>
    <n v="3"/>
    <n v="4"/>
    <n v="30"/>
    <n v="0.8"/>
    <n v="0.2"/>
    <m/>
    <m/>
    <m/>
    <n v="0"/>
    <n v="169"/>
    <n v="0"/>
    <n v="0"/>
    <n v="169"/>
    <n v="169"/>
    <n v="135.20000000000002"/>
    <n v="0"/>
    <n v="33.800000000000004"/>
    <n v="0"/>
    <n v="0"/>
    <n v="0"/>
    <n v="0"/>
    <n v="0"/>
    <n v="0"/>
    <n v="0"/>
    <n v="0"/>
    <n v="0"/>
    <n v="0"/>
    <m/>
    <n v="198.9"/>
    <n v="341.90000000000003"/>
    <n v="64"/>
    <s v="FLINTSLFLINTSLFLINTSLFLINTSLFLINTSLFLINTSLFLINTSLFLINTSL"/>
    <s v="+"/>
    <s v="+"/>
    <s v="+"/>
    <s v="+"/>
    <s v="+"/>
    <s v="+"/>
    <s v="+"/>
    <s v="+"/>
  </r>
  <r>
    <d v="2026-01-09T00:00:00"/>
    <s v="A"/>
    <x v="100"/>
    <n v="65"/>
    <n v="480"/>
    <n v="23300"/>
    <s v="II"/>
    <s v="N"/>
    <n v="1.38"/>
    <s v="BLACK"/>
    <s v="C01425B"/>
    <s v="FLINTSL - BLACK"/>
    <n v="24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5"/>
    <n v="0"/>
    <n v="10"/>
    <n v="0"/>
    <s v="REFLEX BLUE"/>
    <s v="N00700RB"/>
    <s v="FLINTSL - REFLEX BLUE"/>
    <n v="20"/>
    <n v="0"/>
    <m/>
    <m/>
    <n v="0"/>
    <n v="26507000016"/>
    <n v="26506000001"/>
    <m/>
    <m/>
    <m/>
    <m/>
    <m/>
    <m/>
    <n v="3"/>
    <e v="#N/A"/>
    <n v="2"/>
    <e v="#N/A"/>
    <m/>
    <n v="0"/>
    <m/>
    <n v="0"/>
    <m/>
    <n v="0"/>
    <m/>
    <n v="0"/>
    <m/>
    <n v="0"/>
    <m/>
    <n v="0"/>
    <s v="FLINTSL"/>
    <n v="17"/>
    <n v="0"/>
    <n v="14"/>
    <n v="0"/>
    <s v="RED"/>
    <s v="F00841R"/>
    <s v="FLINTSL - RED"/>
    <n v="13"/>
    <n v="0"/>
    <s v="B01042R/F00854R"/>
    <n v="22"/>
    <n v="0"/>
    <n v="26512000010"/>
    <n v="26505000028"/>
    <m/>
    <m/>
    <m/>
    <m/>
    <m/>
    <m/>
    <n v="2"/>
    <e v="#N/A"/>
    <n v="2"/>
    <e v="#N/A"/>
    <m/>
    <n v="0"/>
    <m/>
    <n v="0"/>
    <m/>
    <n v="0"/>
    <m/>
    <n v="0"/>
    <m/>
    <n v="0"/>
    <m/>
    <n v="0"/>
    <s v="FLINTSL"/>
    <n v="27"/>
    <n v="0"/>
    <n v="22"/>
    <n v="0"/>
    <s v="CYAN"/>
    <s v="C01425C"/>
    <s v="FLINTSL - CYAN"/>
    <n v="37"/>
    <n v="0"/>
    <m/>
    <m/>
    <n v="0"/>
    <n v="26507000016"/>
    <s v="FMD"/>
    <m/>
    <m/>
    <m/>
    <m/>
    <m/>
    <m/>
    <n v="5"/>
    <e v="#N/A"/>
    <n v="4"/>
    <n v="0"/>
    <m/>
    <n v="0"/>
    <m/>
    <n v="0"/>
    <m/>
    <n v="0"/>
    <m/>
    <n v="0"/>
    <m/>
    <n v="0"/>
    <m/>
    <n v="0"/>
    <s v="FLINTSL"/>
    <n v="22"/>
    <n v="0"/>
    <n v="34"/>
    <n v="0"/>
    <s v="MAGENTA"/>
    <s v="C01425M"/>
    <s v="FLINTSL - MAGENTA"/>
    <n v="10"/>
    <n v="0"/>
    <m/>
    <m/>
    <n v="0"/>
    <s v="FMD"/>
    <m/>
    <m/>
    <m/>
    <m/>
    <m/>
    <m/>
    <m/>
    <n v="15"/>
    <n v="0"/>
    <m/>
    <n v="0"/>
    <m/>
    <n v="0"/>
    <m/>
    <n v="0"/>
    <m/>
    <n v="0"/>
    <m/>
    <n v="0"/>
    <m/>
    <n v="0"/>
    <m/>
    <n v="0"/>
    <s v="FLINTSL"/>
    <n v="29"/>
    <n v="0"/>
    <n v="16"/>
    <n v="0"/>
    <s v="YELLOW"/>
    <s v="C01425Y"/>
    <s v="FLINTSL - YELLOW"/>
    <n v="26"/>
    <n v="0"/>
    <m/>
    <m/>
    <n v="0"/>
    <n v="26508000029"/>
    <m/>
    <m/>
    <m/>
    <m/>
    <m/>
    <m/>
    <m/>
    <n v="7"/>
    <e v="#N/A"/>
    <m/>
    <n v="0"/>
    <m/>
    <n v="0"/>
    <m/>
    <n v="0"/>
    <m/>
    <n v="0"/>
    <m/>
    <n v="0"/>
    <m/>
    <n v="0"/>
    <m/>
    <n v="0"/>
    <s v="FLINTSL"/>
    <n v="25"/>
    <n v="0"/>
    <n v="16"/>
    <n v="0"/>
    <s v="WHITE"/>
    <s v="C01425W"/>
    <s v="FLINTSL - WHITE"/>
    <n v="28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8"/>
    <n v="0"/>
    <n v="12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3"/>
    <n v="5"/>
    <n v="5"/>
    <n v="10"/>
    <n v="4"/>
    <n v="30"/>
    <n v="0"/>
    <n v="0.8"/>
    <n v="0.2"/>
    <m/>
    <m/>
    <m/>
    <n v="0"/>
    <n v="120"/>
    <n v="0"/>
    <n v="0"/>
    <n v="120"/>
    <n v="120"/>
    <n v="96"/>
    <n v="0"/>
    <n v="24"/>
    <n v="0"/>
    <n v="0"/>
    <n v="0"/>
    <n v="0"/>
    <n v="0"/>
    <n v="0"/>
    <n v="0"/>
    <n v="0"/>
    <n v="0"/>
    <n v="0"/>
    <m/>
    <n v="105"/>
    <n v="232"/>
    <n v="65"/>
    <s v="FLINTSLFLINTSLFLINTSLFLINTSLFLINTSLFLINTSLFLINTSL"/>
    <s v="+"/>
    <s v="+"/>
    <s v="+"/>
    <s v="+"/>
    <s v="+"/>
    <s v="+"/>
    <s v="+"/>
    <s v="NIL"/>
  </r>
  <r>
    <d v="2026-01-09T00:00:00"/>
    <s v="B"/>
    <x v="101"/>
    <n v="66"/>
    <n v="495"/>
    <n v="24300"/>
    <s v="II"/>
    <s v="N"/>
    <n v="0.1"/>
    <s v="BLACK"/>
    <m/>
    <s v="FLINTSL - BLACK"/>
    <m/>
    <n v="0"/>
    <m/>
    <m/>
    <n v="0"/>
    <n v="26507000010"/>
    <n v="26507000016"/>
    <m/>
    <m/>
    <m/>
    <m/>
    <m/>
    <m/>
    <n v="26"/>
    <e v="#N/A"/>
    <n v="1"/>
    <e v="#N/A"/>
    <m/>
    <n v="0"/>
    <m/>
    <n v="0"/>
    <m/>
    <n v="0"/>
    <m/>
    <n v="0"/>
    <m/>
    <n v="0"/>
    <m/>
    <n v="0"/>
    <s v="FLINTSL"/>
    <n v="19"/>
    <n v="0"/>
    <n v="4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0"/>
    <n v="0"/>
    <n v="0"/>
    <n v="0"/>
    <n v="0"/>
    <n v="0"/>
    <n v="0"/>
    <n v="0.8"/>
    <n v="0.2"/>
    <m/>
    <m/>
    <m/>
    <n v="0"/>
    <n v="35"/>
    <n v="0"/>
    <n v="0"/>
    <n v="35"/>
    <n v="35"/>
    <n v="28"/>
    <n v="0"/>
    <n v="7"/>
    <n v="0"/>
    <n v="0"/>
    <n v="0"/>
    <n v="0"/>
    <n v="0"/>
    <n v="0"/>
    <n v="0"/>
    <n v="0"/>
    <n v="0"/>
    <n v="0"/>
    <m/>
    <n v="27"/>
    <n v="43"/>
    <n v="66"/>
    <s v="FLINTSL"/>
    <s v="+"/>
    <s v="NIL"/>
    <s v="NIL"/>
    <s v="NIL"/>
    <s v="NIL"/>
    <s v="NIL"/>
    <s v="NIL"/>
    <s v="NIL"/>
  </r>
  <r>
    <d v="2026-01-09T00:00:00"/>
    <s v="A"/>
    <x v="102"/>
    <n v="67"/>
    <n v="478"/>
    <n v="24900"/>
    <s v="II"/>
    <s v="N"/>
    <n v="1.91"/>
    <s v="BLACK"/>
    <s v="C01426B"/>
    <s v="FLINTSL - BLACK"/>
    <n v="25"/>
    <n v="0"/>
    <m/>
    <m/>
    <n v="0"/>
    <n v="2650700001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3"/>
    <n v="0"/>
    <n v="10.863013698630134"/>
    <n v="0"/>
    <s v="REFLEX BLUE"/>
    <m/>
    <s v="FLINTSL - REFLEX BLUE"/>
    <m/>
    <n v="0"/>
    <m/>
    <m/>
    <n v="0"/>
    <n v="26510000011"/>
    <n v="26509000013"/>
    <n v="26512000010"/>
    <m/>
    <m/>
    <m/>
    <m/>
    <m/>
    <n v="5"/>
    <e v="#N/A"/>
    <n v="20"/>
    <e v="#N/A"/>
    <n v="1"/>
    <e v="#N/A"/>
    <m/>
    <n v="0"/>
    <m/>
    <n v="0"/>
    <m/>
    <n v="0"/>
    <m/>
    <n v="0"/>
    <m/>
    <n v="0"/>
    <s v="FLINTSL"/>
    <n v="18"/>
    <n v="0"/>
    <n v="17.150684931506845"/>
    <n v="0"/>
    <s v="GREEN"/>
    <s v="N00700G"/>
    <s v="FLINTSL - GREEN"/>
    <n v="26"/>
    <n v="0"/>
    <m/>
    <m/>
    <n v="0"/>
    <n v="26508000029"/>
    <n v="26507000016"/>
    <m/>
    <m/>
    <m/>
    <m/>
    <m/>
    <m/>
    <n v="5"/>
    <e v="#N/A"/>
    <n v="2"/>
    <e v="#N/A"/>
    <m/>
    <n v="0"/>
    <m/>
    <n v="0"/>
    <m/>
    <n v="0"/>
    <m/>
    <n v="0"/>
    <m/>
    <n v="0"/>
    <m/>
    <n v="0"/>
    <s v="FLINTSL"/>
    <n v="24"/>
    <n v="0"/>
    <n v="20.438356164383563"/>
    <n v="0"/>
    <s v="CYAN"/>
    <s v="C01426C"/>
    <s v="FLINTSL - CYAN"/>
    <n v="22"/>
    <n v="0"/>
    <m/>
    <m/>
    <n v="0"/>
    <n v="26507000018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4"/>
    <n v="0"/>
    <n v="13.438356164383563"/>
    <n v="0"/>
    <s v="MAGENTA"/>
    <s v="C01426M"/>
    <s v="FLINTSL - MAGENTA"/>
    <n v="29"/>
    <n v="0"/>
    <m/>
    <m/>
    <n v="0"/>
    <s v="FMD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30"/>
    <n v="0"/>
    <n v="20.438356164383563"/>
    <n v="0"/>
    <s v="YELLOW"/>
    <s v="0C1426Y"/>
    <s v="FLINTSL - YELLOW"/>
    <n v="25"/>
    <n v="0"/>
    <m/>
    <m/>
    <n v="0"/>
    <n v="26508000029"/>
    <s v="FMD"/>
    <m/>
    <m/>
    <m/>
    <m/>
    <m/>
    <m/>
    <n v="7"/>
    <e v="#N/A"/>
    <n v="3"/>
    <n v="0"/>
    <m/>
    <n v="0"/>
    <m/>
    <n v="0"/>
    <m/>
    <n v="0"/>
    <m/>
    <n v="0"/>
    <m/>
    <n v="0"/>
    <m/>
    <n v="0"/>
    <s v="FLINTSL"/>
    <n v="26"/>
    <n v="0"/>
    <n v="22.726027397260275"/>
    <n v="0"/>
    <s v="YELLOW"/>
    <m/>
    <s v="FLINTSL - YELLOW"/>
    <m/>
    <n v="0"/>
    <m/>
    <m/>
    <n v="0"/>
    <n v="26510000010"/>
    <n v="26509000015"/>
    <n v="26510000016"/>
    <m/>
    <m/>
    <m/>
    <m/>
    <m/>
    <n v="40"/>
    <e v="#N/A"/>
    <n v="40"/>
    <e v="#N/A"/>
    <n v="10"/>
    <e v="#N/A"/>
    <m/>
    <n v="0"/>
    <m/>
    <n v="0"/>
    <m/>
    <n v="0"/>
    <m/>
    <n v="0"/>
    <m/>
    <n v="0"/>
    <s v="FLINTSL"/>
    <n v="35"/>
    <n v="0"/>
    <n v="77.876712328767127"/>
    <n v="0"/>
    <s v="WHITE"/>
    <s v="C01426W"/>
    <s v="FLINTSL - WHITE"/>
    <n v="28"/>
    <n v="0"/>
    <m/>
    <m/>
    <n v="0"/>
    <s v="FW"/>
    <m/>
    <m/>
    <m/>
    <m/>
    <m/>
    <m/>
    <m/>
    <n v="70"/>
    <n v="0"/>
    <m/>
    <n v="0"/>
    <m/>
    <n v="0"/>
    <m/>
    <n v="0"/>
    <m/>
    <n v="0"/>
    <m/>
    <n v="0"/>
    <m/>
    <n v="0"/>
    <m/>
    <n v="0"/>
    <s v="FLINTSL"/>
    <n v="29"/>
    <n v="0"/>
    <n v="149.06849315068493"/>
    <n v="0"/>
    <n v="3"/>
    <n v="4"/>
    <n v="5"/>
    <n v="5"/>
    <n v="5"/>
    <n v="6"/>
    <n v="10"/>
    <n v="35"/>
    <n v="0.8"/>
    <n v="0.2"/>
    <m/>
    <m/>
    <m/>
    <n v="0"/>
    <n v="167"/>
    <n v="0"/>
    <n v="0"/>
    <n v="167"/>
    <n v="167"/>
    <n v="133.6"/>
    <n v="0"/>
    <n v="33.4"/>
    <n v="0"/>
    <n v="0"/>
    <n v="0"/>
    <n v="0"/>
    <n v="0"/>
    <n v="0"/>
    <n v="0"/>
    <n v="0"/>
    <n v="0"/>
    <n v="0"/>
    <m/>
    <n v="219"/>
    <n v="332"/>
    <n v="67"/>
    <s v="FLINTSLFLINTSLFLINTSLFLINTSLFLINTSLFLINTSLFLINTSLFLINTSL"/>
    <s v="+"/>
    <s v="+"/>
    <s v="+"/>
    <s v="+"/>
    <s v="+"/>
    <s v="+"/>
    <s v="+"/>
    <s v="+"/>
  </r>
  <r>
    <d v="2026-01-10T00:00:00"/>
    <s v="A"/>
    <x v="103"/>
    <n v="68"/>
    <n v="2066"/>
    <n v="38300"/>
    <s v="II"/>
    <s v="N"/>
    <n v="0.72"/>
    <s v="WHITE"/>
    <s v="C01424W"/>
    <s v="FLINTSL - WHITE"/>
    <n v="29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250.46341463414637"/>
    <n v="0"/>
    <s v="GREEN"/>
    <s v="C01424G"/>
    <s v="FLINTSL - GREEN"/>
    <n v="10"/>
    <n v="0"/>
    <m/>
    <m/>
    <n v="0"/>
    <n v="26510000016"/>
    <n v="26507000016"/>
    <n v="26507000010"/>
    <m/>
    <m/>
    <m/>
    <m/>
    <m/>
    <n v="10"/>
    <e v="#N/A"/>
    <n v="4"/>
    <e v="#N/A"/>
    <n v="2"/>
    <e v="#N/A"/>
    <m/>
    <n v="0"/>
    <m/>
    <n v="0"/>
    <m/>
    <n v="0"/>
    <m/>
    <n v="0"/>
    <m/>
    <n v="0"/>
    <s v="FLINTSL"/>
    <n v="20"/>
    <n v="0"/>
    <n v="31.243902439024389"/>
    <n v="0"/>
    <s v="RED"/>
    <s v="C01426R"/>
    <s v="FLINTSL - RED"/>
    <n v="27"/>
    <n v="0"/>
    <m/>
    <m/>
    <n v="0"/>
    <n v="2650500002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9.0487804878048763"/>
    <n v="0"/>
    <s v="GREEN"/>
    <s v="C01426G"/>
    <s v="FLINTSL - GREEN"/>
    <n v="5"/>
    <n v="0"/>
    <m/>
    <m/>
    <n v="0"/>
    <n v="26510000016"/>
    <n v="26507000018"/>
    <n v="26507000010"/>
    <m/>
    <m/>
    <m/>
    <m/>
    <m/>
    <n v="10"/>
    <e v="#N/A"/>
    <n v="8"/>
    <e v="#N/A"/>
    <n v="0.4"/>
    <e v="#N/A"/>
    <m/>
    <n v="0"/>
    <m/>
    <n v="0"/>
    <m/>
    <n v="0"/>
    <m/>
    <n v="0"/>
    <m/>
    <n v="0"/>
    <s v="FLINTSL"/>
    <n v="24"/>
    <n v="0"/>
    <n v="12.021951219512189"/>
    <n v="0"/>
    <s v="BLACK"/>
    <s v="C01424B"/>
    <s v="FLINTSL - BLACK"/>
    <n v="23"/>
    <n v="0"/>
    <m/>
    <m/>
    <n v="0"/>
    <n v="26507000010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6"/>
    <n v="0"/>
    <n v="19.62195121951219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60"/>
    <n v="10"/>
    <n v="2"/>
    <n v="5"/>
    <n v="5"/>
    <n v="0"/>
    <n v="0"/>
    <n v="0"/>
    <n v="0.8"/>
    <n v="0.2"/>
    <m/>
    <m/>
    <m/>
    <n v="0"/>
    <n v="207"/>
    <n v="0"/>
    <n v="0"/>
    <n v="207"/>
    <n v="207"/>
    <n v="165.60000000000002"/>
    <n v="0"/>
    <n v="41.400000000000006"/>
    <n v="0"/>
    <n v="0"/>
    <n v="0"/>
    <n v="0"/>
    <n v="0"/>
    <n v="0"/>
    <n v="0"/>
    <n v="0"/>
    <n v="0"/>
    <n v="0"/>
    <m/>
    <n v="146.4"/>
    <n v="322.40000000000003"/>
    <n v="68"/>
    <s v="FLINTSLFLINTSLFLINTSLFLINTSLFLINTSL"/>
    <s v="+"/>
    <s v="+"/>
    <s v="+"/>
    <s v="+"/>
    <s v="+"/>
    <s v="NIL"/>
    <s v="NIL"/>
    <s v="NIL"/>
  </r>
  <r>
    <d v="2026-01-10T00:00:00"/>
    <s v="A"/>
    <x v="104"/>
    <n v="69"/>
    <n v="2084"/>
    <n v="38600"/>
    <s v="II"/>
    <s v="N"/>
    <n v="0.91"/>
    <s v="WHITE"/>
    <s v="C01452W"/>
    <s v="FLINTSL - WHITE"/>
    <n v="30"/>
    <n v="0"/>
    <m/>
    <m/>
    <n v="0"/>
    <s v="FW"/>
    <m/>
    <m/>
    <m/>
    <m/>
    <m/>
    <m/>
    <m/>
    <n v="120"/>
    <n v="0"/>
    <m/>
    <n v="0"/>
    <m/>
    <n v="0"/>
    <m/>
    <n v="0"/>
    <m/>
    <n v="0"/>
    <m/>
    <n v="0"/>
    <m/>
    <n v="0"/>
    <m/>
    <n v="0"/>
    <s v="FLINTSL"/>
    <n v="27"/>
    <n v="0"/>
    <n v="279"/>
    <n v="0"/>
    <s v="REFLEX BLUE"/>
    <m/>
    <s v="FLINTSL - REFLEX BLUE"/>
    <m/>
    <n v="0"/>
    <m/>
    <m/>
    <n v="0"/>
    <n v="26507000018"/>
    <s v="FMD"/>
    <n v="26507000016"/>
    <n v="26510000016"/>
    <m/>
    <m/>
    <m/>
    <m/>
    <n v="2"/>
    <e v="#N/A"/>
    <n v="20"/>
    <n v="0"/>
    <n v="0.3"/>
    <e v="#N/A"/>
    <n v="0.2"/>
    <e v="#N/A"/>
    <m/>
    <n v="0"/>
    <m/>
    <n v="0"/>
    <m/>
    <n v="0"/>
    <m/>
    <n v="0"/>
    <s v="FLINTSL"/>
    <n v="23"/>
    <n v="0"/>
    <n v="38.5"/>
    <n v="0"/>
    <s v="RED"/>
    <s v="C01452R"/>
    <s v="FLINTSL - RED"/>
    <n v="25"/>
    <n v="0"/>
    <m/>
    <m/>
    <n v="0"/>
    <n v="26505000028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6"/>
    <n v="0"/>
    <n v="7.7999999999999972"/>
    <n v="0"/>
    <s v="GREEN"/>
    <s v="C01452G"/>
    <s v="FLINTSL - GREEN"/>
    <n v="24"/>
    <n v="0"/>
    <m/>
    <m/>
    <n v="0"/>
    <n v="26507000018"/>
    <n v="26510000016"/>
    <m/>
    <m/>
    <m/>
    <m/>
    <m/>
    <m/>
    <n v="2"/>
    <e v="#N/A"/>
    <n v="1"/>
    <e v="#N/A"/>
    <m/>
    <n v="0"/>
    <m/>
    <n v="0"/>
    <m/>
    <n v="0"/>
    <m/>
    <n v="0"/>
    <m/>
    <n v="0"/>
    <m/>
    <n v="0"/>
    <s v="FLINTSL"/>
    <n v="25"/>
    <n v="0"/>
    <n v="4.6000000000000014"/>
    <n v="0"/>
    <s v="BLACK"/>
    <s v="C01452B"/>
    <s v="FLINTSL - BLACK"/>
    <n v="26"/>
    <n v="0"/>
    <m/>
    <m/>
    <n v="0"/>
    <n v="2650700001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6.600000000000001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60"/>
    <n v="15"/>
    <n v="3"/>
    <n v="1"/>
    <n v="1"/>
    <n v="0"/>
    <n v="0"/>
    <n v="0"/>
    <n v="0.8"/>
    <n v="0.2"/>
    <m/>
    <m/>
    <m/>
    <n v="0"/>
    <n v="208"/>
    <n v="0"/>
    <n v="0"/>
    <n v="208"/>
    <n v="208"/>
    <n v="166.4"/>
    <n v="0"/>
    <n v="41.6"/>
    <n v="0"/>
    <n v="0"/>
    <n v="0"/>
    <n v="0"/>
    <n v="0"/>
    <n v="0"/>
    <n v="0"/>
    <n v="0"/>
    <n v="0"/>
    <n v="0"/>
    <m/>
    <n v="148.5"/>
    <n v="336.50000000000006"/>
    <n v="69"/>
    <s v="FLINTSLFLINTSLFLINTSLFLINTSLFLINTSL"/>
    <s v="+"/>
    <s v="+"/>
    <s v="+"/>
    <s v="+"/>
    <s v="+"/>
    <s v="NIL"/>
    <s v="NIL"/>
    <s v="NIL"/>
  </r>
  <r>
    <d v="2026-01-10T00:00:00"/>
    <s v="B"/>
    <x v="105"/>
    <n v="70"/>
    <n v="474"/>
    <n v="22500"/>
    <s v="II"/>
    <s v="N"/>
    <n v="1.4"/>
    <s v="BLACK"/>
    <s v="C01453B"/>
    <s v="FLINTSL - BLACK"/>
    <n v="24"/>
    <n v="0"/>
    <m/>
    <m/>
    <n v="0"/>
    <n v="26507000010"/>
    <s v="FMD"/>
    <m/>
    <m/>
    <m/>
    <m/>
    <m/>
    <m/>
    <n v="4"/>
    <e v="#N/A"/>
    <n v="5"/>
    <n v="0"/>
    <m/>
    <n v="0"/>
    <m/>
    <n v="0"/>
    <m/>
    <n v="0"/>
    <m/>
    <n v="0"/>
    <m/>
    <n v="0"/>
    <m/>
    <n v="0"/>
    <s v="FLINTSL"/>
    <n v="30"/>
    <n v="0"/>
    <n v="15.909090909090907"/>
    <n v="0"/>
    <s v="GOLD"/>
    <s v="C01354G"/>
    <s v="INK PRODUCT - GOLD"/>
    <n v="20"/>
    <n v="0"/>
    <m/>
    <m/>
    <n v="0"/>
    <s v="FGO"/>
    <m/>
    <m/>
    <m/>
    <m/>
    <m/>
    <m/>
    <m/>
    <n v="3"/>
    <n v="0"/>
    <m/>
    <n v="0"/>
    <m/>
    <n v="0"/>
    <m/>
    <n v="0"/>
    <m/>
    <n v="0"/>
    <m/>
    <n v="0"/>
    <m/>
    <n v="0"/>
    <m/>
    <n v="0"/>
    <s v="INK PRODUCT"/>
    <n v="20"/>
    <n v="0"/>
    <n v="9.4545454545454533"/>
    <n v="0"/>
    <s v="BLACK"/>
    <m/>
    <s v="FLINTSL - BLACK"/>
    <m/>
    <n v="0"/>
    <m/>
    <m/>
    <n v="0"/>
    <n v="26510000015"/>
    <n v="26510000014"/>
    <n v="26510000017"/>
    <m/>
    <m/>
    <m/>
    <m/>
    <m/>
    <n v="40"/>
    <e v="#N/A"/>
    <n v="30"/>
    <e v="#N/A"/>
    <n v="30"/>
    <e v="#N/A"/>
    <m/>
    <n v="0"/>
    <m/>
    <n v="0"/>
    <m/>
    <n v="0"/>
    <m/>
    <n v="0"/>
    <m/>
    <n v="0"/>
    <s v="FLINTSL"/>
    <n v="41"/>
    <n v="0"/>
    <n v="59"/>
    <n v="0"/>
    <s v="REFLEX BLUE"/>
    <s v="C01426B"/>
    <s v="FLINTSL - REFLEX BLUE"/>
    <n v="15"/>
    <n v="0"/>
    <s v="F00825RB"/>
    <n v="10"/>
    <n v="0"/>
    <n v="26512000010"/>
    <n v="26507000010"/>
    <m/>
    <m/>
    <m/>
    <m/>
    <m/>
    <m/>
    <n v="3"/>
    <e v="#N/A"/>
    <n v="1"/>
    <e v="#N/A"/>
    <m/>
    <n v="0"/>
    <m/>
    <n v="0"/>
    <m/>
    <n v="0"/>
    <m/>
    <n v="0"/>
    <m/>
    <n v="0"/>
    <m/>
    <n v="0"/>
    <s v="FLINTSL"/>
    <n v="27"/>
    <n v="0"/>
    <n v="11.68181818181818"/>
    <n v="0"/>
    <s v="CYAN"/>
    <s v="C01424C"/>
    <s v="FLINTSL - CYAN"/>
    <n v="24"/>
    <n v="0"/>
    <m/>
    <m/>
    <n v="0"/>
    <n v="26507000018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7"/>
    <n v="0"/>
    <n v="11.68181818181818"/>
    <n v="0"/>
    <s v="MAGENTA"/>
    <s v="C01424M"/>
    <s v="FLINTSL - MAGENTA"/>
    <n v="30"/>
    <n v="0"/>
    <m/>
    <m/>
    <n v="0"/>
    <n v="26512000010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11.454545454545453"/>
    <n v="0"/>
    <s v="YELLOW"/>
    <s v="C01424Y"/>
    <s v="FLINTSL - YELLOW"/>
    <n v="26"/>
    <n v="0"/>
    <m/>
    <m/>
    <n v="0"/>
    <n v="26511000001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5"/>
    <n v="0"/>
    <n v="27.13636363636364"/>
    <n v="0"/>
    <s v="WHITE"/>
    <s v="C01453W"/>
    <s v="FLINTSL - WHITE"/>
    <n v="27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30"/>
    <n v="0"/>
    <n v="127.68181818181819"/>
    <n v="0"/>
    <n v="4"/>
    <n v="2"/>
    <n v="0"/>
    <n v="3"/>
    <n v="3"/>
    <n v="2"/>
    <n v="5"/>
    <n v="25"/>
    <n v="0.8"/>
    <n v="0.2"/>
    <m/>
    <m/>
    <m/>
    <n v="0"/>
    <n v="142"/>
    <n v="0"/>
    <n v="0"/>
    <n v="142"/>
    <n v="142"/>
    <n v="113.60000000000001"/>
    <n v="0"/>
    <n v="28.400000000000002"/>
    <n v="0"/>
    <n v="0"/>
    <n v="0"/>
    <n v="0"/>
    <n v="0"/>
    <n v="0"/>
    <n v="0"/>
    <n v="0"/>
    <n v="0"/>
    <n v="0"/>
    <m/>
    <n v="186"/>
    <n v="274"/>
    <n v="70"/>
    <s v="FLINTSLINK PRODUCTFLINTSLFLINTSLFLINTSLFLINTSLFLINTSLFLINTSL"/>
    <s v="+"/>
    <s v="+"/>
    <s v="+"/>
    <s v="+"/>
    <s v="+"/>
    <s v="+"/>
    <s v="+"/>
    <s v="+"/>
  </r>
  <r>
    <d v="2026-01-10T00:00:00"/>
    <s v="B"/>
    <x v="106"/>
    <n v="71"/>
    <n v="476"/>
    <n v="23400"/>
    <s v="II"/>
    <s v="N"/>
    <n v="1.75"/>
    <s v="BLACK"/>
    <s v="E00988B"/>
    <s v="FLINTSL - BLACK"/>
    <n v="30"/>
    <n v="0"/>
    <m/>
    <m/>
    <n v="0"/>
    <n v="2650700001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6"/>
    <n v="0"/>
    <n v="14.246913580246911"/>
    <n v="0"/>
    <s v="REFLEX BLUE"/>
    <s v="F00825B"/>
    <s v="FLINTSL - REFLEX BLUE"/>
    <n v="23"/>
    <n v="0"/>
    <m/>
    <m/>
    <n v="0"/>
    <n v="26507000010"/>
    <s v="FMD"/>
    <n v="26507000016"/>
    <m/>
    <m/>
    <m/>
    <m/>
    <m/>
    <n v="0.5"/>
    <e v="#N/A"/>
    <n v="8"/>
    <n v="0"/>
    <n v="4"/>
    <e v="#N/A"/>
    <m/>
    <n v="0"/>
    <m/>
    <n v="0"/>
    <m/>
    <n v="0"/>
    <m/>
    <n v="0"/>
    <m/>
    <n v="0"/>
    <s v="FLINTSL"/>
    <n v="21"/>
    <n v="0"/>
    <n v="20.685185185185183"/>
    <n v="0"/>
    <s v="RED"/>
    <s v="B01042R"/>
    <s v="FLINTSL - RED"/>
    <n v="10"/>
    <n v="0"/>
    <s v="F00854R"/>
    <n v="30"/>
    <n v="0"/>
    <n v="26512000010"/>
    <s v="FR"/>
    <m/>
    <m/>
    <m/>
    <m/>
    <m/>
    <m/>
    <n v="8"/>
    <e v="#N/A"/>
    <n v="2"/>
    <n v="0"/>
    <m/>
    <n v="0"/>
    <m/>
    <n v="0"/>
    <m/>
    <n v="0"/>
    <m/>
    <n v="0"/>
    <m/>
    <n v="0"/>
    <m/>
    <n v="0"/>
    <s v="FLINTSL"/>
    <n v="24"/>
    <n v="0"/>
    <n v="36.308641975308639"/>
    <n v="0"/>
    <s v="CYAN"/>
    <s v="E00988C"/>
    <s v="FLINTSL - CYAN"/>
    <n v="27"/>
    <n v="0"/>
    <m/>
    <m/>
    <n v="0"/>
    <n v="26507000018"/>
    <s v="FMD"/>
    <m/>
    <m/>
    <m/>
    <m/>
    <m/>
    <m/>
    <n v="2"/>
    <e v="#N/A"/>
    <n v="3"/>
    <n v="0"/>
    <m/>
    <n v="0"/>
    <m/>
    <n v="0"/>
    <m/>
    <n v="0"/>
    <m/>
    <n v="0"/>
    <m/>
    <n v="0"/>
    <m/>
    <n v="0"/>
    <s v="FLINTSL"/>
    <n v="25"/>
    <n v="0"/>
    <n v="15.246913580246911"/>
    <n v="0"/>
    <s v="MAGENTA"/>
    <s v="E00988M"/>
    <s v="FLINTSL - MAGENTA"/>
    <n v="30"/>
    <n v="0"/>
    <m/>
    <m/>
    <n v="0"/>
    <n v="26512000010"/>
    <s v="FMD"/>
    <m/>
    <m/>
    <m/>
    <m/>
    <m/>
    <m/>
    <n v="3"/>
    <e v="#N/A"/>
    <n v="2"/>
    <n v="0"/>
    <m/>
    <n v="0"/>
    <m/>
    <n v="0"/>
    <m/>
    <n v="0"/>
    <m/>
    <n v="0"/>
    <m/>
    <n v="0"/>
    <m/>
    <n v="0"/>
    <s v="FLINTSL"/>
    <n v="24"/>
    <n v="0"/>
    <n v="17.185185185185183"/>
    <n v="0"/>
    <s v="YELLOW"/>
    <s v="E00988Y"/>
    <s v="FLINTSL - YELLOW"/>
    <n v="25"/>
    <n v="0"/>
    <m/>
    <m/>
    <n v="0"/>
    <n v="26510000013"/>
    <n v="26510000012"/>
    <m/>
    <m/>
    <m/>
    <m/>
    <m/>
    <m/>
    <n v="40"/>
    <e v="#N/A"/>
    <n v="40"/>
    <e v="#N/A"/>
    <m/>
    <n v="0"/>
    <m/>
    <n v="0"/>
    <m/>
    <n v="0"/>
    <m/>
    <n v="0"/>
    <m/>
    <n v="0"/>
    <m/>
    <n v="0"/>
    <s v="FLINTSL"/>
    <n v="27"/>
    <n v="0"/>
    <n v="78"/>
    <n v="0"/>
    <s v="GOLD"/>
    <s v="E00988G"/>
    <s v="FLINTSL - GOLD"/>
    <n v="20"/>
    <n v="0"/>
    <s v="N00871G"/>
    <n v="16"/>
    <n v="0"/>
    <n v="26507000010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8"/>
    <n v="0"/>
    <n v="13.123456790123456"/>
    <n v="0"/>
    <s v="WHITE"/>
    <s v="E00988W"/>
    <s v="FLINTSL - WHITE"/>
    <n v="30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28"/>
    <n v="0"/>
    <n v="225.7037037037037"/>
    <n v="0"/>
    <n v="4"/>
    <n v="3"/>
    <n v="5"/>
    <n v="4"/>
    <n v="3"/>
    <n v="0"/>
    <n v="2"/>
    <n v="60"/>
    <n v="0.8"/>
    <n v="0.2"/>
    <m/>
    <m/>
    <m/>
    <n v="0"/>
    <n v="167"/>
    <n v="0"/>
    <n v="0"/>
    <n v="167"/>
    <n v="167"/>
    <n v="133.6"/>
    <n v="0"/>
    <n v="33.4"/>
    <n v="0"/>
    <n v="0"/>
    <n v="0"/>
    <n v="0"/>
    <n v="0"/>
    <n v="0"/>
    <n v="0"/>
    <n v="0"/>
    <n v="0"/>
    <n v="0"/>
    <m/>
    <n v="215.5"/>
    <n v="420.5"/>
    <n v="71"/>
    <s v="FLINTSLFLINTSLFLINTSLFLINTSLFLINTSLFLINTSLFLINTSLFLINTSL"/>
    <s v="+"/>
    <s v="+"/>
    <s v="+"/>
    <s v="+"/>
    <s v="+"/>
    <s v="+"/>
    <s v="+"/>
    <s v="+"/>
  </r>
  <r>
    <d v="2026-01-10T00:00:00"/>
    <s v="B"/>
    <x v="107"/>
    <n v="72"/>
    <n v="278"/>
    <n v="13300"/>
    <s v="II"/>
    <s v="N"/>
    <n v="1.3"/>
    <s v="BLACK"/>
    <s v="C01457B"/>
    <s v="FLINTSL - BLACK"/>
    <n v="26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5"/>
    <n v="0"/>
    <n v="7.4769230769230788"/>
    <n v="0"/>
    <s v="REFLEX BLUE"/>
    <m/>
    <s v="FLINTSL - REFLEX BLUE"/>
    <m/>
    <n v="0"/>
    <m/>
    <m/>
    <n v="0"/>
    <n v="26506000001"/>
    <n v="26507000020"/>
    <n v="26512000010"/>
    <m/>
    <m/>
    <m/>
    <m/>
    <m/>
    <n v="8"/>
    <e v="#N/A"/>
    <n v="10"/>
    <e v="#N/A"/>
    <n v="4"/>
    <e v="#N/A"/>
    <m/>
    <n v="0"/>
    <m/>
    <n v="0"/>
    <m/>
    <n v="0"/>
    <m/>
    <n v="0"/>
    <m/>
    <n v="0"/>
    <s v="FLINTSL"/>
    <n v="28"/>
    <n v="0"/>
    <n v="5.9384615384615387"/>
    <n v="0"/>
    <s v="RED"/>
    <s v="C01457R"/>
    <s v="FLINTSL - RED"/>
    <n v="24"/>
    <n v="0"/>
    <m/>
    <m/>
    <n v="0"/>
    <n v="26512000010"/>
    <n v="26505000028"/>
    <m/>
    <m/>
    <m/>
    <m/>
    <m/>
    <m/>
    <n v="2"/>
    <e v="#N/A"/>
    <n v="5"/>
    <e v="#N/A"/>
    <m/>
    <n v="0"/>
    <m/>
    <n v="0"/>
    <m/>
    <n v="0"/>
    <m/>
    <n v="0"/>
    <m/>
    <n v="0"/>
    <m/>
    <n v="0"/>
    <s v="FLINTSL"/>
    <n v="28"/>
    <n v="0"/>
    <n v="8.9692307692307693"/>
    <n v="0"/>
    <s v="CYAN"/>
    <s v="C01457C"/>
    <s v="FLINTSL - CYAN"/>
    <n v="25"/>
    <n v="0"/>
    <m/>
    <m/>
    <n v="0"/>
    <n v="26507000018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4"/>
    <n v="0"/>
    <n v="4.9846153846153847"/>
    <n v="0"/>
    <s v="MAGENTA"/>
    <s v="C01457M"/>
    <s v="FLINTSL - MAGENTA"/>
    <n v="24"/>
    <n v="0"/>
    <m/>
    <m/>
    <n v="0"/>
    <n v="26512000010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6"/>
    <n v="0"/>
    <n v="5.4769230769230788"/>
    <n v="0"/>
    <s v="YELLOW"/>
    <s v="C01457Y"/>
    <s v="FLINTSL - YELLOW"/>
    <n v="27"/>
    <n v="0"/>
    <m/>
    <m/>
    <n v="0"/>
    <n v="26510000016"/>
    <s v="FMD"/>
    <m/>
    <m/>
    <m/>
    <m/>
    <m/>
    <m/>
    <n v="2"/>
    <e v="#N/A"/>
    <n v="2"/>
    <n v="0"/>
    <m/>
    <n v="0"/>
    <m/>
    <n v="0"/>
    <m/>
    <n v="0"/>
    <m/>
    <n v="0"/>
    <m/>
    <n v="0"/>
    <m/>
    <n v="0"/>
    <s v="FLINTSL"/>
    <n v="29"/>
    <n v="0"/>
    <n v="9.4615384615384599"/>
    <n v="0"/>
    <s v="WHITE"/>
    <s v="C01457W"/>
    <s v="FLINTSL - WHITE"/>
    <n v="28"/>
    <n v="0"/>
    <m/>
    <m/>
    <n v="0"/>
    <s v="FW"/>
    <m/>
    <m/>
    <m/>
    <m/>
    <m/>
    <m/>
    <m/>
    <n v="80"/>
    <n v="0"/>
    <m/>
    <n v="0"/>
    <m/>
    <n v="0"/>
    <m/>
    <n v="0"/>
    <m/>
    <n v="0"/>
    <m/>
    <n v="0"/>
    <m/>
    <n v="0"/>
    <m/>
    <n v="0"/>
    <s v="FLINTSL"/>
    <n v="26"/>
    <n v="0"/>
    <n v="141.6923076923076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8"/>
    <n v="4"/>
    <n v="2"/>
    <n v="3"/>
    <n v="5"/>
    <n v="40"/>
    <n v="0"/>
    <n v="0.8"/>
    <n v="0.2"/>
    <m/>
    <m/>
    <m/>
    <n v="0"/>
    <n v="97"/>
    <n v="0"/>
    <n v="0"/>
    <n v="97"/>
    <n v="97"/>
    <n v="77.600000000000009"/>
    <n v="0"/>
    <n v="19.400000000000002"/>
    <n v="0"/>
    <n v="0"/>
    <n v="0"/>
    <n v="0"/>
    <n v="0"/>
    <n v="0"/>
    <n v="0"/>
    <n v="0"/>
    <n v="0"/>
    <n v="0"/>
    <m/>
    <n v="119"/>
    <n v="184"/>
    <n v="72"/>
    <s v="FLINTSLFLINTSLFLINTSLFLINTSLFLINTSLFLINTSLFLINTSL"/>
    <s v="+"/>
    <s v="+"/>
    <s v="+"/>
    <s v="+"/>
    <s v="+"/>
    <s v="+"/>
    <s v="+"/>
    <s v="NIL"/>
  </r>
  <r>
    <d v="2026-01-10T00:00:00"/>
    <s v="B"/>
    <x v="108"/>
    <n v="73"/>
    <n v="304"/>
    <n v="14900"/>
    <s v="II"/>
    <s v="N"/>
    <n v="0.3"/>
    <s v="GREEN"/>
    <s v="H01273G"/>
    <s v="FLINTSL - GREEN"/>
    <n v="29"/>
    <n v="0"/>
    <m/>
    <m/>
    <n v="0"/>
    <n v="2650700001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8.6923076923076934"/>
    <n v="0"/>
    <s v="GREEN"/>
    <s v="C01452G"/>
    <s v="FLINTSL - GREEN"/>
    <n v="20"/>
    <n v="0"/>
    <m/>
    <m/>
    <n v="0"/>
    <n v="26507000018"/>
    <n v="26510000016"/>
    <m/>
    <m/>
    <m/>
    <m/>
    <m/>
    <m/>
    <n v="4"/>
    <e v="#N/A"/>
    <n v="7"/>
    <e v="#N/A"/>
    <m/>
    <n v="0"/>
    <m/>
    <n v="0"/>
    <m/>
    <n v="0"/>
    <m/>
    <n v="0"/>
    <m/>
    <n v="0"/>
    <m/>
    <n v="0"/>
    <s v="FLINTSL"/>
    <n v="25"/>
    <n v="0"/>
    <n v="13.03846153846154"/>
    <n v="0"/>
    <s v="RED"/>
    <s v="H01216R"/>
    <s v="FLINTSL - RED"/>
    <n v="15"/>
    <n v="0"/>
    <m/>
    <m/>
    <n v="0"/>
    <n v="26505000028"/>
    <n v="26512000010"/>
    <m/>
    <m/>
    <m/>
    <m/>
    <m/>
    <m/>
    <n v="10"/>
    <e v="#N/A"/>
    <n v="1"/>
    <e v="#N/A"/>
    <m/>
    <n v="0"/>
    <m/>
    <n v="0"/>
    <m/>
    <n v="0"/>
    <m/>
    <n v="0"/>
    <m/>
    <n v="0"/>
    <m/>
    <n v="0"/>
    <s v="FLINTSL"/>
    <n v="25"/>
    <n v="0"/>
    <n v="10.384615384615387"/>
    <n v="0"/>
    <s v="YELLOW"/>
    <s v="C01424Y"/>
    <s v="FLINTSL - YELLOW"/>
    <n v="20"/>
    <n v="0"/>
    <m/>
    <m/>
    <n v="0"/>
    <n v="26506000002"/>
    <n v="26505000028"/>
    <n v="26507000010"/>
    <m/>
    <m/>
    <m/>
    <m/>
    <m/>
    <n v="3"/>
    <e v="#N/A"/>
    <n v="0.5"/>
    <e v="#N/A"/>
    <n v="0.1"/>
    <e v="#N/A"/>
    <m/>
    <n v="0"/>
    <m/>
    <n v="0"/>
    <m/>
    <n v="0"/>
    <m/>
    <n v="0"/>
    <m/>
    <n v="0"/>
    <s v="FLINTSL"/>
    <n v="20"/>
    <n v="0"/>
    <n v="8.2923076923076948"/>
    <n v="0"/>
    <s v="WHITE"/>
    <s v="H01216W"/>
    <s v="FLINTSL - WHITE"/>
    <n v="26"/>
    <n v="0"/>
    <m/>
    <m/>
    <n v="0"/>
    <s v="FW"/>
    <m/>
    <m/>
    <m/>
    <m/>
    <m/>
    <m/>
    <m/>
    <n v="30"/>
    <n v="0"/>
    <m/>
    <n v="0"/>
    <m/>
    <n v="0"/>
    <m/>
    <n v="0"/>
    <m/>
    <n v="0"/>
    <m/>
    <n v="0"/>
    <m/>
    <n v="0"/>
    <m/>
    <n v="0"/>
    <s v="FLINTSL"/>
    <n v="27"/>
    <n v="0"/>
    <n v="64.19230769230767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4"/>
    <n v="2"/>
    <n v="15"/>
    <n v="0"/>
    <n v="0"/>
    <n v="0"/>
    <n v="0.8"/>
    <n v="0.2"/>
    <m/>
    <m/>
    <m/>
    <n v="0"/>
    <n v="61"/>
    <n v="0"/>
    <n v="0"/>
    <n v="61"/>
    <n v="61"/>
    <n v="48.800000000000004"/>
    <n v="0"/>
    <n v="12.200000000000001"/>
    <n v="0"/>
    <n v="0"/>
    <n v="0"/>
    <n v="0"/>
    <n v="0"/>
    <n v="0"/>
    <n v="0"/>
    <n v="0"/>
    <n v="0"/>
    <n v="0"/>
    <m/>
    <n v="57.6"/>
    <n v="104.6"/>
    <n v="73"/>
    <s v="FLINTSLFLINTSLFLINTSLFLINTSLFLINTSL"/>
    <s v="+"/>
    <s v="+"/>
    <s v="+"/>
    <s v="+"/>
    <s v="+"/>
    <s v="NIL"/>
    <s v="NIL"/>
    <s v="NIL"/>
  </r>
  <r>
    <d v="2026-01-11T00:00:00"/>
    <s v="A"/>
    <x v="109"/>
    <n v="74"/>
    <n v="537"/>
    <n v="19400"/>
    <s v="II"/>
    <s v="N"/>
    <n v="2.48"/>
    <s v="BLACK"/>
    <s v="H01216B"/>
    <s v="FLINTSL - BLACK"/>
    <n v="25"/>
    <n v="0"/>
    <m/>
    <m/>
    <n v="0"/>
    <n v="26507000010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30"/>
    <n v="0"/>
    <n v="9.4090909090909065"/>
    <n v="0"/>
    <s v="GREEN"/>
    <s v="G00402G"/>
    <s v="FLINTSL - GREEN"/>
    <n v="25"/>
    <n v="0"/>
    <m/>
    <m/>
    <n v="0"/>
    <n v="26508000030"/>
    <n v="26513000011"/>
    <m/>
    <m/>
    <m/>
    <m/>
    <m/>
    <m/>
    <n v="6"/>
    <e v="#N/A"/>
    <n v="1"/>
    <e v="#N/A"/>
    <m/>
    <n v="0"/>
    <m/>
    <n v="0"/>
    <m/>
    <n v="0"/>
    <m/>
    <n v="0"/>
    <m/>
    <n v="0"/>
    <m/>
    <n v="0"/>
    <s v="FLINTSL"/>
    <n v="29"/>
    <n v="0"/>
    <n v="13.68181818181818"/>
    <n v="0"/>
    <s v="CYAN"/>
    <s v="H01216C"/>
    <s v="FLINTSL - CYAN"/>
    <n v="24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9"/>
    <n v="0"/>
    <n v="6.4090909090909065"/>
    <n v="0"/>
    <s v="MAGENTA"/>
    <s v="H01216M"/>
    <s v="FLINTSL - MAGENTA"/>
    <n v="26"/>
    <n v="0"/>
    <m/>
    <m/>
    <n v="0"/>
    <n v="26512000010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1"/>
    <n v="0"/>
    <n v="6.4090909090909065"/>
    <n v="0"/>
    <s v="YELLOW"/>
    <s v="H01216Y"/>
    <s v="FLINTSL - YELLOW"/>
    <n v="29"/>
    <n v="0"/>
    <m/>
    <m/>
    <n v="0"/>
    <n v="26505000028"/>
    <m/>
    <m/>
    <m/>
    <m/>
    <m/>
    <m/>
    <m/>
    <n v="0.2"/>
    <e v="#N/A"/>
    <m/>
    <n v="0"/>
    <m/>
    <n v="0"/>
    <m/>
    <n v="0"/>
    <m/>
    <n v="0"/>
    <m/>
    <n v="0"/>
    <m/>
    <n v="0"/>
    <m/>
    <n v="0"/>
    <s v="FLINTSL"/>
    <n v="28"/>
    <n v="0"/>
    <n v="7.6090909090909093"/>
    <n v="0"/>
    <s v="YELLOW"/>
    <m/>
    <s v="FLINTSL - YELLOW"/>
    <m/>
    <n v="0"/>
    <m/>
    <m/>
    <n v="0"/>
    <n v="26511000002"/>
    <s v="FO"/>
    <m/>
    <m/>
    <m/>
    <m/>
    <m/>
    <m/>
    <n v="15"/>
    <e v="#N/A"/>
    <n v="3"/>
    <n v="0"/>
    <m/>
    <n v="0"/>
    <m/>
    <n v="0"/>
    <m/>
    <n v="0"/>
    <m/>
    <n v="0"/>
    <m/>
    <n v="0"/>
    <m/>
    <n v="0"/>
    <s v="FLINTSL"/>
    <n v="24"/>
    <n v="0"/>
    <n v="6.8181818181818166"/>
    <n v="0"/>
    <s v="MEDIUM"/>
    <m/>
    <s v="FLINTSL - MEDIUM"/>
    <m/>
    <n v="0"/>
    <m/>
    <m/>
    <n v="0"/>
    <s v="FMD"/>
    <s v="FW"/>
    <n v="26511000002"/>
    <m/>
    <m/>
    <m/>
    <m/>
    <m/>
    <n v="20"/>
    <n v="0"/>
    <n v="20"/>
    <n v="0"/>
    <n v="2"/>
    <e v="#N/A"/>
    <m/>
    <n v="0"/>
    <m/>
    <n v="0"/>
    <m/>
    <n v="0"/>
    <m/>
    <n v="0"/>
    <m/>
    <n v="0"/>
    <s v="FLINTSL"/>
    <n v="22"/>
    <n v="0"/>
    <n v="52.045454545454533"/>
    <n v="0"/>
    <s v="WHITE"/>
    <s v="H01216W"/>
    <s v="FLINTSL - WHITE"/>
    <n v="26"/>
    <n v="0"/>
    <m/>
    <m/>
    <n v="0"/>
    <s v="FW"/>
    <m/>
    <m/>
    <m/>
    <m/>
    <m/>
    <m/>
    <m/>
    <n v="80"/>
    <n v="0"/>
    <m/>
    <n v="0"/>
    <m/>
    <n v="0"/>
    <m/>
    <n v="0"/>
    <m/>
    <n v="0"/>
    <m/>
    <n v="0"/>
    <m/>
    <n v="0"/>
    <m/>
    <n v="0"/>
    <s v="FLINTSL"/>
    <n v="30"/>
    <n v="0"/>
    <n v="182.81818181818181"/>
    <n v="0"/>
    <n v="3"/>
    <n v="5"/>
    <n v="3"/>
    <n v="3"/>
    <n v="3"/>
    <n v="6"/>
    <n v="15"/>
    <n v="50"/>
    <n v="0.8"/>
    <n v="0.2"/>
    <m/>
    <m/>
    <m/>
    <n v="0"/>
    <n v="188"/>
    <n v="0"/>
    <n v="0"/>
    <n v="188"/>
    <n v="188"/>
    <n v="150.4"/>
    <n v="0"/>
    <n v="37.6"/>
    <n v="0"/>
    <n v="0"/>
    <n v="0"/>
    <n v="0"/>
    <n v="0"/>
    <n v="0"/>
    <n v="0"/>
    <n v="0"/>
    <n v="0"/>
    <n v="0"/>
    <m/>
    <n v="165.2"/>
    <n v="285.2"/>
    <n v="74"/>
    <s v="FLINTSLFLINTSLFLINTSLFLINTSLFLINTSLFLINTSLFLINTSLFLINTSL"/>
    <s v="+"/>
    <s v="+"/>
    <s v="+"/>
    <s v="+"/>
    <s v="+"/>
    <s v="+"/>
    <s v="+"/>
    <s v="+"/>
  </r>
  <r>
    <d v="2026-01-11T00:00:00"/>
    <s v="A"/>
    <x v="110"/>
    <n v="75"/>
    <n v="506"/>
    <n v="19100"/>
    <s v="II"/>
    <s v="N"/>
    <n v="2.1"/>
    <s v="BLACK"/>
    <s v="J00969B"/>
    <s v="FLINTSL - BLACK"/>
    <n v="30"/>
    <n v="0"/>
    <m/>
    <m/>
    <n v="0"/>
    <n v="26513000022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9"/>
    <n v="0"/>
    <n v="7.0799999999999983"/>
    <n v="0"/>
    <s v="BLACK"/>
    <s v="G00402B"/>
    <s v="FLINTSL - BLACK"/>
    <n v="20"/>
    <n v="0"/>
    <s v="E00978B"/>
    <n v="10"/>
    <n v="0"/>
    <n v="26511000002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30"/>
    <n v="0"/>
    <n v="8.0799999999999983"/>
    <n v="0"/>
    <s v="GREEN"/>
    <s v="G00402G"/>
    <s v="FLINTSL - GREEN"/>
    <n v="27"/>
    <n v="0"/>
    <s v="C01424G"/>
    <n v="18"/>
    <n v="0"/>
    <n v="26513000022"/>
    <n v="26513000011"/>
    <m/>
    <m/>
    <m/>
    <m/>
    <m/>
    <m/>
    <n v="2"/>
    <e v="#N/A"/>
    <n v="2"/>
    <e v="#N/A"/>
    <m/>
    <n v="0"/>
    <m/>
    <n v="0"/>
    <m/>
    <n v="0"/>
    <m/>
    <n v="0"/>
    <m/>
    <n v="0"/>
    <m/>
    <n v="0"/>
    <s v="FLINTSL"/>
    <n v="20"/>
    <n v="0"/>
    <n v="39.159999999999997"/>
    <n v="0"/>
    <s v="MEDIUM"/>
    <s v="J00969M"/>
    <s v="FLINTSL - MEDIUM"/>
    <n v="22"/>
    <n v="0"/>
    <s v="C00965M/F00853M/N00700B"/>
    <n v="51"/>
    <n v="0"/>
    <n v="26511000002"/>
    <n v="26505000028"/>
    <m/>
    <m/>
    <m/>
    <m/>
    <m/>
    <m/>
    <n v="3"/>
    <e v="#N/A"/>
    <n v="0.3"/>
    <e v="#N/A"/>
    <m/>
    <n v="0"/>
    <m/>
    <n v="0"/>
    <m/>
    <n v="0"/>
    <m/>
    <n v="0"/>
    <m/>
    <n v="0"/>
    <m/>
    <n v="0"/>
    <s v="FLINTSL"/>
    <n v="18"/>
    <n v="0"/>
    <n v="71"/>
    <n v="0"/>
    <s v="CYAN"/>
    <s v="J00969C"/>
    <s v="FLINTSL - CYAN"/>
    <n v="29"/>
    <n v="0"/>
    <m/>
    <m/>
    <n v="0"/>
    <n v="2650600000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10.619999999999997"/>
    <n v="0"/>
    <s v="MAGENTA"/>
    <s v="J00969M"/>
    <s v="FLINTSL - MAGENTA"/>
    <n v="31"/>
    <n v="0"/>
    <m/>
    <m/>
    <n v="0"/>
    <n v="26512000010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9"/>
    <n v="0"/>
    <n v="8.0799999999999983"/>
    <n v="0"/>
    <s v="YELLOW"/>
    <s v="J00969Y"/>
    <s v="FLINTSL - YELLOW"/>
    <n v="28"/>
    <n v="0"/>
    <m/>
    <m/>
    <n v="0"/>
    <n v="26506000002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8"/>
    <n v="0"/>
    <n v="8.0799999999999983"/>
    <n v="0"/>
    <s v="WHITE"/>
    <s v="H00969W"/>
    <s v="FLINTSL - WHITE"/>
    <n v="3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30"/>
    <n v="0"/>
    <n v="126.19999999999999"/>
    <n v="0"/>
    <n v="2"/>
    <n v="2"/>
    <n v="4"/>
    <n v="5"/>
    <n v="3"/>
    <n v="2"/>
    <n v="2"/>
    <n v="30"/>
    <n v="0.8"/>
    <n v="0.2"/>
    <m/>
    <m/>
    <m/>
    <n v="0"/>
    <n v="127"/>
    <n v="0"/>
    <n v="0"/>
    <n v="127"/>
    <n v="127"/>
    <n v="101.60000000000001"/>
    <n v="0"/>
    <n v="25.400000000000002"/>
    <n v="0"/>
    <n v="0"/>
    <n v="0"/>
    <n v="0"/>
    <n v="0"/>
    <n v="0"/>
    <n v="0"/>
    <n v="0"/>
    <n v="0"/>
    <n v="0"/>
    <m/>
    <n v="67.3"/>
    <n v="278.29999999999995"/>
    <n v="75"/>
    <s v="FLINTSLFLINTSLFLINTSLFLINTSLFLINTSLFLINTSLFLINTSLFLINTSL"/>
    <s v="+"/>
    <s v="+"/>
    <s v="+"/>
    <s v="+"/>
    <s v="+"/>
    <s v="+"/>
    <s v="+"/>
    <s v="+"/>
  </r>
  <r>
    <d v="2026-01-11T00:00:00"/>
    <s v="A"/>
    <x v="111"/>
    <n v="76"/>
    <n v="507"/>
    <n v="20100"/>
    <s v="II"/>
    <s v="N"/>
    <n v="1.71"/>
    <s v="BLACK"/>
    <s v="J00968B"/>
    <s v="FLINTSL - BLACK"/>
    <n v="29"/>
    <n v="0"/>
    <m/>
    <m/>
    <n v="0"/>
    <n v="2651300002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7.8846153846153868"/>
    <n v="0"/>
    <s v="GREEN"/>
    <s v="J00968G"/>
    <s v="FLINTSL - GREEN"/>
    <n v="20"/>
    <n v="0"/>
    <m/>
    <m/>
    <n v="0"/>
    <n v="26508000030"/>
    <n v="26511000002"/>
    <n v="26513000022"/>
    <m/>
    <m/>
    <m/>
    <m/>
    <m/>
    <n v="8"/>
    <e v="#N/A"/>
    <n v="5"/>
    <e v="#N/A"/>
    <n v="1"/>
    <e v="#N/A"/>
    <m/>
    <n v="0"/>
    <m/>
    <n v="0"/>
    <m/>
    <n v="0"/>
    <m/>
    <n v="0"/>
    <m/>
    <n v="0"/>
    <s v="FLINTSL"/>
    <n v="20"/>
    <n v="0"/>
    <n v="28.653846153846153"/>
    <n v="0"/>
    <s v="GREEN"/>
    <m/>
    <s v="FLINTSL - GREEN"/>
    <m/>
    <n v="0"/>
    <m/>
    <m/>
    <n v="0"/>
    <n v="26511000002"/>
    <n v="26505000028"/>
    <n v="26507000018"/>
    <m/>
    <m/>
    <m/>
    <m/>
    <m/>
    <n v="18"/>
    <e v="#N/A"/>
    <n v="2"/>
    <e v="#N/A"/>
    <n v="1"/>
    <e v="#N/A"/>
    <m/>
    <n v="0"/>
    <m/>
    <n v="0"/>
    <m/>
    <n v="0"/>
    <m/>
    <n v="0"/>
    <m/>
    <n v="0"/>
    <s v="FLINTSL"/>
    <n v="22"/>
    <n v="0"/>
    <n v="13.653846153846153"/>
    <n v="0"/>
    <s v="GREEN"/>
    <s v="J00969G"/>
    <s v="FLINTSL - GREEN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15"/>
    <n v="0"/>
    <n v="14"/>
    <n v="0"/>
    <s v="CYAN"/>
    <s v="J00968C"/>
    <s v="FLINTSL - CYAN"/>
    <n v="28"/>
    <n v="0"/>
    <m/>
    <m/>
    <n v="0"/>
    <n v="2650700001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10.32692307692308"/>
    <n v="0"/>
    <s v="MAGENTA"/>
    <s v="J00968M"/>
    <s v="FLINTSL - MAGENTA"/>
    <n v="29"/>
    <n v="0"/>
    <m/>
    <m/>
    <n v="0"/>
    <n v="26506000002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9"/>
    <n v="0"/>
    <n v="7.8846153846153868"/>
    <n v="0"/>
    <s v="YELLOW"/>
    <s v="J00968Y"/>
    <s v="FLINTSL - YELLOW"/>
    <n v="28"/>
    <n v="0"/>
    <m/>
    <m/>
    <n v="0"/>
    <n v="2651100000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12.32692307692308"/>
    <n v="0"/>
    <s v="WHITE"/>
    <s v="J00968W"/>
    <s v="FLINTSL - WHITE"/>
    <n v="3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30"/>
    <n v="0"/>
    <n v="123.26923076923077"/>
    <n v="0"/>
    <n v="2"/>
    <n v="6"/>
    <n v="6"/>
    <n v="0"/>
    <n v="3"/>
    <n v="2"/>
    <n v="3"/>
    <n v="30"/>
    <n v="0.8"/>
    <n v="0.2"/>
    <m/>
    <m/>
    <m/>
    <n v="0"/>
    <n v="127"/>
    <n v="0"/>
    <n v="0"/>
    <n v="127"/>
    <n v="127"/>
    <n v="101.60000000000001"/>
    <n v="0"/>
    <n v="25.400000000000002"/>
    <n v="0"/>
    <n v="0"/>
    <n v="0"/>
    <n v="0"/>
    <n v="0"/>
    <n v="0"/>
    <n v="0"/>
    <n v="0"/>
    <n v="0"/>
    <n v="0"/>
    <m/>
    <n v="94"/>
    <n v="218"/>
    <n v="76"/>
    <s v="FLINTSLFLINTSLFLINTSLFLINTSLFLINTSLFLINTSLFLINTSLFLINTSL"/>
    <s v="+"/>
    <s v="+"/>
    <s v="+"/>
    <s v="+"/>
    <s v="+"/>
    <s v="+"/>
    <s v="+"/>
    <s v="+"/>
  </r>
  <r>
    <d v="2026-01-11T00:00:00"/>
    <s v="A"/>
    <x v="112"/>
    <n v="77"/>
    <n v="487"/>
    <n v="31100"/>
    <s v="II"/>
    <s v="N"/>
    <n v="1.65"/>
    <s v="BLACK"/>
    <s v="J00966B"/>
    <s v="FLINTSL - BLACK"/>
    <n v="28"/>
    <n v="0"/>
    <m/>
    <m/>
    <n v="0"/>
    <n v="2651300002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6.5180722891566276"/>
    <n v="0"/>
    <s v="REFLEX BLUE"/>
    <s v="N00871RB"/>
    <s v="FLINTSL - REFLEX BLUE"/>
    <n v="28"/>
    <n v="0"/>
    <s v="C01457B"/>
    <n v="6"/>
    <n v="0"/>
    <n v="26512000010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32"/>
    <n v="0"/>
    <n v="8.5180722891566276"/>
    <n v="0"/>
    <s v="RED"/>
    <s v="N00887R"/>
    <s v="FLINTSL - RED"/>
    <n v="20"/>
    <n v="0"/>
    <s v="G00402R"/>
    <n v="25"/>
    <n v="0"/>
    <n v="26512000010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0"/>
    <n v="0"/>
    <n v="22.518072289156628"/>
    <n v="0"/>
    <s v="CYAN"/>
    <s v="J00966C"/>
    <s v="FLINTSL - CYAN"/>
    <n v="27"/>
    <n v="0"/>
    <m/>
    <m/>
    <n v="0"/>
    <n v="26508000030"/>
    <n v="26506000002"/>
    <m/>
    <m/>
    <m/>
    <m/>
    <m/>
    <m/>
    <n v="16"/>
    <e v="#N/A"/>
    <n v="10"/>
    <e v="#N/A"/>
    <m/>
    <n v="0"/>
    <m/>
    <n v="0"/>
    <m/>
    <n v="0"/>
    <m/>
    <n v="0"/>
    <m/>
    <n v="0"/>
    <m/>
    <n v="0"/>
    <s v="FLINTSL"/>
    <n v="28"/>
    <n v="0"/>
    <n v="42.590361445783131"/>
    <n v="0"/>
    <s v="MAGENTA"/>
    <s v="J00966M"/>
    <s v="FLINTSL - MAGENTA"/>
    <n v="29"/>
    <n v="0"/>
    <m/>
    <m/>
    <n v="0"/>
    <n v="2651200001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6.5180722891566276"/>
    <n v="0"/>
    <s v="YELLOW"/>
    <s v="J00966Y"/>
    <s v="FLINTSL - YELLOW"/>
    <n v="25"/>
    <n v="0"/>
    <m/>
    <m/>
    <n v="0"/>
    <n v="26511000002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6"/>
    <n v="0"/>
    <n v="13.795180722891565"/>
    <n v="0"/>
    <s v="GOLD"/>
    <s v="C01457G"/>
    <s v="FLINTSL - GOLD"/>
    <n v="28"/>
    <n v="0"/>
    <m/>
    <m/>
    <n v="0"/>
    <n v="26511000002"/>
    <n v="26505000028"/>
    <m/>
    <m/>
    <m/>
    <m/>
    <m/>
    <m/>
    <n v="3"/>
    <e v="#N/A"/>
    <n v="0.5"/>
    <e v="#N/A"/>
    <m/>
    <n v="0"/>
    <m/>
    <n v="0"/>
    <m/>
    <n v="0"/>
    <m/>
    <n v="0"/>
    <m/>
    <n v="0"/>
    <m/>
    <n v="0"/>
    <s v="FLINTSL"/>
    <n v="26"/>
    <n v="0"/>
    <n v="5.5"/>
    <n v="0"/>
    <s v="WHITE"/>
    <s v="J00966W"/>
    <s v="FLINTSL - WHITE"/>
    <n v="30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205.54216867469881"/>
    <n v="0"/>
    <n v="2"/>
    <n v="2"/>
    <n v="2"/>
    <n v="10"/>
    <n v="2"/>
    <n v="5"/>
    <n v="0"/>
    <n v="60"/>
    <n v="0.8"/>
    <n v="0.2"/>
    <m/>
    <m/>
    <m/>
    <n v="0"/>
    <n v="146"/>
    <n v="0"/>
    <n v="0"/>
    <n v="146"/>
    <n v="146"/>
    <n v="116.80000000000001"/>
    <n v="0"/>
    <n v="29.200000000000003"/>
    <n v="0"/>
    <n v="0"/>
    <n v="0"/>
    <n v="0"/>
    <n v="0"/>
    <n v="0"/>
    <n v="0"/>
    <n v="0"/>
    <n v="0"/>
    <n v="0"/>
    <m/>
    <n v="146.5"/>
    <n v="311.5"/>
    <n v="77"/>
    <s v="FLINTSLFLINTSLFLINTSLFLINTSLFLINTSLFLINTSLFLINTSLFLINTSL"/>
    <s v="+"/>
    <s v="+"/>
    <s v="+"/>
    <s v="+"/>
    <s v="+"/>
    <s v="+"/>
    <s v="+"/>
    <s v="+"/>
  </r>
  <r>
    <d v="2026-01-12T00:00:00"/>
    <s v="A"/>
    <x v="113"/>
    <n v="78"/>
    <n v="919"/>
    <n v="58700"/>
    <s v="II"/>
    <s v="N"/>
    <n v="1.7"/>
    <s v="BLACK"/>
    <s v="H01337B"/>
    <s v="FLINTSL - BLACK"/>
    <n v="27"/>
    <n v="0"/>
    <m/>
    <m/>
    <n v="0"/>
    <n v="26513000022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9"/>
    <n v="0"/>
    <n v="12.571428571428569"/>
    <n v="0"/>
    <s v="REFLEX BLUE"/>
    <s v="F00855B"/>
    <s v="FLINTSL - REFLEX BLUE"/>
    <n v="32"/>
    <n v="0"/>
    <m/>
    <m/>
    <n v="0"/>
    <n v="26510000009"/>
    <n v="26511000002"/>
    <n v="26512000010"/>
    <m/>
    <m/>
    <m/>
    <m/>
    <m/>
    <n v="6"/>
    <e v="#N/A"/>
    <n v="3"/>
    <e v="#N/A"/>
    <n v="3"/>
    <e v="#N/A"/>
    <m/>
    <n v="0"/>
    <m/>
    <n v="0"/>
    <m/>
    <n v="0"/>
    <m/>
    <n v="0"/>
    <m/>
    <n v="0"/>
    <s v="FLINTSL"/>
    <n v="31"/>
    <n v="0"/>
    <n v="30.142857142857139"/>
    <n v="0"/>
    <s v="CYAN"/>
    <s v="H01337C"/>
    <s v="FLINTSL - CYAN"/>
    <n v="28"/>
    <n v="0"/>
    <m/>
    <m/>
    <n v="0"/>
    <n v="26510000009"/>
    <n v="26506000002"/>
    <m/>
    <m/>
    <m/>
    <m/>
    <m/>
    <m/>
    <n v="20"/>
    <e v="#N/A"/>
    <n v="18"/>
    <e v="#N/A"/>
    <m/>
    <n v="0"/>
    <m/>
    <n v="0"/>
    <m/>
    <n v="0"/>
    <m/>
    <n v="0"/>
    <m/>
    <n v="0"/>
    <m/>
    <n v="0"/>
    <s v="FLINTSL"/>
    <n v="28"/>
    <n v="0"/>
    <n v="65.428571428571431"/>
    <n v="0"/>
    <s v="MAGENTA"/>
    <s v="H01337M"/>
    <s v="FLINTSL - MAGENTA"/>
    <n v="28"/>
    <n v="0"/>
    <m/>
    <m/>
    <n v="0"/>
    <n v="26512000010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8"/>
    <n v="0"/>
    <n v="12.857142857142854"/>
    <n v="0"/>
    <s v="YELLOW"/>
    <s v="H01337Y"/>
    <s v="FLINTSL - YELLOW"/>
    <n v="26"/>
    <n v="0"/>
    <m/>
    <m/>
    <n v="0"/>
    <n v="26506000002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6"/>
    <n v="0"/>
    <n v="16.285714285714285"/>
    <n v="0"/>
    <s v="WHITE"/>
    <s v="H01337W"/>
    <s v="FLINTSL - WHITE"/>
    <n v="30"/>
    <n v="0"/>
    <m/>
    <m/>
    <n v="0"/>
    <s v="FW"/>
    <m/>
    <m/>
    <m/>
    <m/>
    <m/>
    <m/>
    <m/>
    <n v="200"/>
    <n v="0"/>
    <m/>
    <n v="0"/>
    <m/>
    <n v="0"/>
    <m/>
    <n v="0"/>
    <m/>
    <n v="0"/>
    <m/>
    <n v="0"/>
    <m/>
    <n v="0"/>
    <m/>
    <n v="0"/>
    <s v="FLINTSL"/>
    <n v="30"/>
    <n v="0"/>
    <n v="405.7142857142856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16"/>
    <n v="4"/>
    <n v="6"/>
    <n v="120"/>
    <n v="0"/>
    <n v="0"/>
    <n v="0.8"/>
    <n v="0.2"/>
    <m/>
    <m/>
    <m/>
    <n v="0"/>
    <n v="276"/>
    <n v="0"/>
    <n v="0"/>
    <n v="276"/>
    <n v="276"/>
    <n v="220.8"/>
    <n v="0"/>
    <n v="55.2"/>
    <n v="0"/>
    <n v="0"/>
    <n v="0"/>
    <n v="0"/>
    <n v="0"/>
    <n v="0"/>
    <n v="0"/>
    <n v="0"/>
    <n v="0"/>
    <n v="0"/>
    <m/>
    <n v="268"/>
    <n v="543"/>
    <n v="78"/>
    <s v="FLINTSLFLINTSLFLINTSLFLINTSLFLINTSLFLINTSL"/>
    <s v="+"/>
    <s v="+"/>
    <s v="+"/>
    <s v="+"/>
    <s v="+"/>
    <s v="+"/>
    <s v="NIL"/>
    <s v="NIL"/>
  </r>
  <r>
    <d v="2026-01-12T00:00:00"/>
    <s v="A"/>
    <x v="114"/>
    <n v="79"/>
    <n v="849"/>
    <n v="43400"/>
    <s v="II"/>
    <s v="N"/>
    <n v="2"/>
    <s v="BLACK"/>
    <s v="H01342B"/>
    <s v="FLINTSL - BLACK"/>
    <n v="29"/>
    <n v="0"/>
    <m/>
    <m/>
    <n v="0"/>
    <n v="26513000022"/>
    <s v="FO"/>
    <m/>
    <m/>
    <m/>
    <m/>
    <m/>
    <m/>
    <n v="2"/>
    <e v="#N/A"/>
    <n v="10"/>
    <n v="0"/>
    <m/>
    <n v="0"/>
    <m/>
    <n v="0"/>
    <m/>
    <n v="0"/>
    <m/>
    <n v="0"/>
    <m/>
    <n v="0"/>
    <m/>
    <n v="0"/>
    <s v="FLINTSL"/>
    <n v="28"/>
    <n v="0"/>
    <n v="19.699248120300751"/>
    <n v="0"/>
    <s v="RED"/>
    <m/>
    <s v="FLINTSL - RED"/>
    <m/>
    <n v="0"/>
    <m/>
    <m/>
    <n v="0"/>
    <n v="26508000001"/>
    <n v="26512000010"/>
    <n v="26512000004"/>
    <n v="26512000003"/>
    <m/>
    <m/>
    <m/>
    <m/>
    <n v="10"/>
    <e v="#N/A"/>
    <n v="20"/>
    <e v="#N/A"/>
    <n v="40"/>
    <e v="#N/A"/>
    <n v="20"/>
    <e v="#N/A"/>
    <m/>
    <n v="0"/>
    <m/>
    <n v="0"/>
    <m/>
    <n v="0"/>
    <m/>
    <n v="0"/>
    <s v="FLINTSL"/>
    <n v="35"/>
    <n v="0"/>
    <n v="110.82706766917292"/>
    <n v="0"/>
    <s v="RED"/>
    <m/>
    <s v="FLINTSL - RED"/>
    <m/>
    <n v="0"/>
    <m/>
    <m/>
    <n v="0"/>
    <n v="26512000006"/>
    <n v="26512000008"/>
    <n v="26512000010"/>
    <m/>
    <m/>
    <m/>
    <m/>
    <m/>
    <n v="40"/>
    <e v="#N/A"/>
    <n v="8"/>
    <e v="#N/A"/>
    <n v="16"/>
    <e v="#N/A"/>
    <m/>
    <n v="0"/>
    <m/>
    <n v="0"/>
    <m/>
    <n v="0"/>
    <m/>
    <n v="0"/>
    <m/>
    <n v="0"/>
    <s v="FLINTSL"/>
    <n v="36"/>
    <n v="0"/>
    <n v="45.864661654135332"/>
    <n v="0"/>
    <s v="RED"/>
    <m/>
    <s v="FLINTSL - RED"/>
    <m/>
    <n v="0"/>
    <m/>
    <m/>
    <n v="0"/>
    <n v="26512000005"/>
    <n v="26512000010"/>
    <n v="26505000028"/>
    <m/>
    <m/>
    <m/>
    <m/>
    <m/>
    <n v="40"/>
    <e v="#N/A"/>
    <n v="5"/>
    <e v="#N/A"/>
    <n v="6"/>
    <e v="#N/A"/>
    <m/>
    <n v="0"/>
    <m/>
    <n v="0"/>
    <m/>
    <n v="0"/>
    <m/>
    <n v="0"/>
    <m/>
    <n v="0"/>
    <s v="FLINTSL"/>
    <n v="30"/>
    <n v="0"/>
    <n v="32.165413533834588"/>
    <n v="0"/>
    <s v="CYAN"/>
    <s v="H01342C"/>
    <s v="FLINTSL - CYAN"/>
    <n v="28"/>
    <n v="0"/>
    <m/>
    <m/>
    <n v="0"/>
    <n v="26506000002"/>
    <m/>
    <m/>
    <m/>
    <m/>
    <m/>
    <m/>
    <m/>
    <n v="7"/>
    <e v="#N/A"/>
    <m/>
    <n v="0"/>
    <m/>
    <n v="0"/>
    <m/>
    <n v="0"/>
    <m/>
    <n v="0"/>
    <m/>
    <n v="0"/>
    <m/>
    <n v="0"/>
    <m/>
    <n v="0"/>
    <s v="FLINTSL"/>
    <n v="28"/>
    <n v="0"/>
    <n v="20.398496240601503"/>
    <n v="0"/>
    <s v="MAGENTA"/>
    <s v="H01342M"/>
    <s v="FLINTSL - MAGENTA"/>
    <n v="28"/>
    <n v="0"/>
    <m/>
    <m/>
    <n v="0"/>
    <n v="26512000010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8"/>
    <n v="0"/>
    <n v="18.398496240601503"/>
    <n v="0"/>
    <s v="YELLOW"/>
    <s v="H01342Y"/>
    <s v="FLINTSL - YELLOW"/>
    <n v="26"/>
    <n v="0"/>
    <m/>
    <m/>
    <n v="0"/>
    <n v="26506000002"/>
    <n v="26511000002"/>
    <m/>
    <m/>
    <m/>
    <m/>
    <m/>
    <m/>
    <n v="20"/>
    <e v="#N/A"/>
    <n v="10"/>
    <e v="#N/A"/>
    <m/>
    <n v="0"/>
    <m/>
    <n v="0"/>
    <m/>
    <n v="0"/>
    <m/>
    <n v="0"/>
    <m/>
    <n v="0"/>
    <m/>
    <n v="0"/>
    <s v="FLINTSL"/>
    <n v="30"/>
    <n v="0"/>
    <n v="70.661654135338352"/>
    <n v="0"/>
    <s v="WHITE"/>
    <s v="H01342W"/>
    <s v="FLINTSL - WHITE"/>
    <n v="30"/>
    <n v="0"/>
    <m/>
    <m/>
    <n v="0"/>
    <s v="FW"/>
    <s v="WRK6-028K"/>
    <m/>
    <m/>
    <m/>
    <m/>
    <m/>
    <m/>
    <n v="100"/>
    <n v="0"/>
    <n v="3"/>
    <n v="0"/>
    <m/>
    <n v="0"/>
    <m/>
    <n v="0"/>
    <m/>
    <n v="0"/>
    <m/>
    <n v="0"/>
    <m/>
    <n v="0"/>
    <m/>
    <n v="0"/>
    <s v="FLINTSL"/>
    <n v="30"/>
    <n v="0"/>
    <n v="236.98496240601503"/>
    <n v="0"/>
    <n v="3"/>
    <n v="25"/>
    <n v="8"/>
    <n v="5"/>
    <n v="6"/>
    <n v="6"/>
    <n v="20"/>
    <n v="60"/>
    <n v="0.8"/>
    <n v="0.2"/>
    <m/>
    <m/>
    <m/>
    <n v="0"/>
    <n v="297"/>
    <n v="0"/>
    <n v="0"/>
    <n v="297"/>
    <n v="297"/>
    <n v="237.60000000000002"/>
    <n v="0"/>
    <n v="59.400000000000006"/>
    <n v="0"/>
    <n v="0"/>
    <n v="0"/>
    <n v="0"/>
    <n v="0"/>
    <n v="0"/>
    <n v="0"/>
    <n v="0"/>
    <n v="0"/>
    <n v="0"/>
    <m/>
    <n v="362"/>
    <n v="555"/>
    <n v="79"/>
    <s v="FLINTSLFLINTSLFLINTSLFLINTSLFLINTSLFLINTSLFLINTSLFLINTSL"/>
    <s v="+"/>
    <s v="+"/>
    <s v="+"/>
    <s v="+"/>
    <s v="+"/>
    <s v="+"/>
    <s v="+"/>
    <s v="+"/>
  </r>
  <r>
    <d v="2026-01-12T00:00:00"/>
    <s v="A"/>
    <x v="115"/>
    <n v="80"/>
    <n v="846"/>
    <n v="43200"/>
    <s v="II"/>
    <s v="N"/>
    <n v="2"/>
    <s v="BLACK"/>
    <s v="E01016B"/>
    <s v="FLINTSL - BLACK"/>
    <n v="28"/>
    <n v="0"/>
    <m/>
    <m/>
    <n v="0"/>
    <n v="2651300002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9.5054945054945037"/>
    <n v="0"/>
    <s v="REFLEX BLUE"/>
    <s v="H01216B"/>
    <s v="FLINTSL - REFLEX BLUE"/>
    <n v="25"/>
    <n v="0"/>
    <m/>
    <m/>
    <n v="0"/>
    <n v="26506000002"/>
    <n v="26512000011"/>
    <m/>
    <m/>
    <m/>
    <m/>
    <m/>
    <m/>
    <n v="3"/>
    <e v="#N/A"/>
    <n v="40"/>
    <e v="#N/A"/>
    <m/>
    <n v="0"/>
    <m/>
    <n v="0"/>
    <m/>
    <n v="0"/>
    <m/>
    <n v="0"/>
    <m/>
    <n v="0"/>
    <m/>
    <n v="0"/>
    <s v="FLINTSL"/>
    <n v="22"/>
    <n v="0"/>
    <n v="55.758241758241752"/>
    <n v="0"/>
    <s v="REFLEX BLUE"/>
    <m/>
    <s v="FLINTSL - REFLEX BLUE"/>
    <m/>
    <n v="0"/>
    <m/>
    <m/>
    <n v="0"/>
    <n v="26512000012"/>
    <n v="26512000009"/>
    <n v="26512000007"/>
    <n v="26512000013"/>
    <m/>
    <m/>
    <m/>
    <m/>
    <n v="40"/>
    <e v="#N/A"/>
    <n v="18.399999999999999"/>
    <e v="#N/A"/>
    <n v="18.399999999999999"/>
    <e v="#N/A"/>
    <n v="40"/>
    <e v="#N/A"/>
    <m/>
    <n v="0"/>
    <m/>
    <n v="0"/>
    <m/>
    <n v="0"/>
    <m/>
    <n v="0"/>
    <s v="FLINTSL"/>
    <n v="20"/>
    <n v="0"/>
    <n v="113.06373626373625"/>
    <n v="0"/>
    <s v="RED"/>
    <s v="E01016R"/>
    <s v="FLINTSL - RED"/>
    <n v="30"/>
    <n v="0"/>
    <m/>
    <m/>
    <n v="0"/>
    <n v="26512000015"/>
    <m/>
    <m/>
    <m/>
    <m/>
    <m/>
    <m/>
    <m/>
    <n v="20"/>
    <e v="#N/A"/>
    <m/>
    <n v="0"/>
    <m/>
    <n v="0"/>
    <m/>
    <n v="0"/>
    <m/>
    <n v="0"/>
    <m/>
    <n v="0"/>
    <m/>
    <n v="0"/>
    <m/>
    <n v="0"/>
    <s v="FLINTSL"/>
    <n v="27"/>
    <n v="0"/>
    <n v="32.758241758241759"/>
    <n v="0"/>
    <s v="CYAN"/>
    <s v="E01016C"/>
    <s v="FLINTSL - CYAN"/>
    <n v="28"/>
    <n v="0"/>
    <m/>
    <m/>
    <n v="0"/>
    <n v="26510000009"/>
    <n v="26506000002"/>
    <m/>
    <m/>
    <m/>
    <m/>
    <m/>
    <m/>
    <n v="12"/>
    <e v="#N/A"/>
    <n v="2"/>
    <e v="#N/A"/>
    <m/>
    <n v="0"/>
    <m/>
    <n v="0"/>
    <m/>
    <n v="0"/>
    <m/>
    <n v="0"/>
    <m/>
    <n v="0"/>
    <m/>
    <n v="0"/>
    <s v="FLINTSL"/>
    <n v="32"/>
    <n v="0"/>
    <n v="42.527472527472526"/>
    <n v="0"/>
    <s v="MAGENTA"/>
    <s v="E01016M"/>
    <s v="FLINTSL - MAGENTA"/>
    <n v="28"/>
    <n v="0"/>
    <m/>
    <m/>
    <n v="0"/>
    <n v="26506000002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8"/>
    <n v="0"/>
    <n v="12.758241758241759"/>
    <n v="0"/>
    <s v="YELLOW"/>
    <s v="E01016Y"/>
    <s v="FLINTSL - YELLOW"/>
    <n v="30"/>
    <n v="0"/>
    <m/>
    <m/>
    <n v="0"/>
    <n v="26506000002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21.263736263736263"/>
    <n v="0"/>
    <s v="WHITE"/>
    <s v="E01016W"/>
    <s v="FLINTSL - WHITE"/>
    <n v="30"/>
    <n v="0"/>
    <m/>
    <m/>
    <n v="0"/>
    <s v="FW"/>
    <s v="WRK6-028K"/>
    <m/>
    <m/>
    <m/>
    <m/>
    <m/>
    <m/>
    <n v="100"/>
    <n v="0"/>
    <n v="3"/>
    <n v="0"/>
    <m/>
    <n v="0"/>
    <m/>
    <n v="0"/>
    <m/>
    <n v="0"/>
    <m/>
    <n v="0"/>
    <m/>
    <n v="0"/>
    <m/>
    <n v="0"/>
    <s v="FLINTSL"/>
    <n v="30"/>
    <n v="0"/>
    <n v="298.16483516483515"/>
    <n v="0"/>
    <n v="2"/>
    <n v="3"/>
    <n v="5"/>
    <n v="3"/>
    <n v="10"/>
    <n v="3"/>
    <n v="5"/>
    <n v="60"/>
    <n v="0.8"/>
    <n v="0.2"/>
    <m/>
    <m/>
    <m/>
    <n v="0"/>
    <n v="296"/>
    <n v="0"/>
    <n v="0"/>
    <n v="296"/>
    <n v="296"/>
    <n v="236.8"/>
    <n v="0"/>
    <n v="59.2"/>
    <n v="0"/>
    <n v="0"/>
    <n v="0"/>
    <n v="0"/>
    <n v="0"/>
    <n v="0"/>
    <n v="0"/>
    <n v="0"/>
    <n v="0"/>
    <n v="0"/>
    <m/>
    <n v="306.8"/>
    <n v="585.79999999999995"/>
    <n v="80"/>
    <s v="FLINTSLFLINTSLFLINTSLFLINTSLFLINTSLFLINTSLFLINTSLFLINTSL"/>
    <s v="+"/>
    <s v="+"/>
    <s v="+"/>
    <s v="+"/>
    <s v="+"/>
    <s v="+"/>
    <s v="+"/>
    <s v="+"/>
  </r>
  <r>
    <d v="2026-01-12T00:00:00"/>
    <s v="A"/>
    <x v="116"/>
    <n v="81"/>
    <n v="482"/>
    <n v="23100"/>
    <s v="II"/>
    <s v="N"/>
    <n v="1.8"/>
    <s v="BLACK"/>
    <s v="E01017B"/>
    <s v="FLINTSL - BLACK"/>
    <n v="27"/>
    <n v="0"/>
    <m/>
    <m/>
    <n v="0"/>
    <n v="26513000022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4"/>
    <n v="0"/>
    <n v="15.24285714285714"/>
    <n v="0"/>
    <s v="BLACK"/>
    <s v="E00988B"/>
    <s v="FLINTSL - BLACK"/>
    <n v="10"/>
    <n v="0"/>
    <m/>
    <m/>
    <n v="0"/>
    <n v="26511000002"/>
    <n v="26513000022"/>
    <n v="26512000014"/>
    <m/>
    <m/>
    <m/>
    <m/>
    <m/>
    <n v="1"/>
    <e v="#N/A"/>
    <n v="2"/>
    <e v="#N/A"/>
    <n v="12"/>
    <e v="#N/A"/>
    <m/>
    <n v="0"/>
    <m/>
    <n v="0"/>
    <m/>
    <n v="0"/>
    <m/>
    <n v="0"/>
    <m/>
    <n v="0"/>
    <s v="FLINTSL"/>
    <n v="29"/>
    <n v="0"/>
    <n v="8.0714285714285694"/>
    <n v="0"/>
    <s v="RED"/>
    <m/>
    <s v="FLINTSL - RED"/>
    <m/>
    <n v="0"/>
    <m/>
    <m/>
    <n v="0"/>
    <n v="26508000001"/>
    <n v="26512000010"/>
    <m/>
    <m/>
    <m/>
    <m/>
    <m/>
    <m/>
    <n v="10"/>
    <e v="#N/A"/>
    <n v="6"/>
    <e v="#N/A"/>
    <m/>
    <n v="0"/>
    <m/>
    <n v="0"/>
    <m/>
    <n v="0"/>
    <m/>
    <n v="0"/>
    <m/>
    <n v="0"/>
    <m/>
    <n v="0"/>
    <s v="FLINTSL"/>
    <n v="20"/>
    <n v="0"/>
    <n v="20.142857142857139"/>
    <n v="0"/>
    <s v="MEDIUM"/>
    <s v="N00700M"/>
    <s v="FLINTSL - MEDIUM"/>
    <n v="10"/>
    <n v="0"/>
    <s v="J00968M"/>
    <n v="18"/>
    <n v="0"/>
    <s v="FW"/>
    <n v="26511000002"/>
    <n v="26508000001"/>
    <m/>
    <m/>
    <m/>
    <m/>
    <m/>
    <n v="8"/>
    <n v="0"/>
    <n v="2"/>
    <e v="#N/A"/>
    <n v="0.4"/>
    <e v="#N/A"/>
    <m/>
    <n v="0"/>
    <m/>
    <n v="0"/>
    <m/>
    <n v="0"/>
    <m/>
    <n v="0"/>
    <m/>
    <n v="0"/>
    <s v="FLINTSL"/>
    <n v="27"/>
    <n v="0"/>
    <n v="23.471428571428568"/>
    <n v="0"/>
    <s v="CYAN"/>
    <s v="E01017C"/>
    <s v="FLINTSL - CYAN"/>
    <n v="32"/>
    <n v="0"/>
    <m/>
    <m/>
    <n v="0"/>
    <n v="26510000009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6"/>
    <n v="0"/>
    <n v="15.828571428571429"/>
    <n v="0"/>
    <s v="MAGENTA"/>
    <s v="E01017M"/>
    <s v="FLINTSL - MAGENTA"/>
    <n v="28"/>
    <n v="0"/>
    <m/>
    <m/>
    <n v="0"/>
    <n v="26506000002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4"/>
    <n v="0"/>
    <n v="26.071428571428569"/>
    <n v="0"/>
    <s v="YELLOW"/>
    <s v="E01017Y"/>
    <s v="FLINTSL - YELLOW"/>
    <n v="30"/>
    <n v="0"/>
    <m/>
    <m/>
    <n v="0"/>
    <n v="26511000002"/>
    <m/>
    <m/>
    <m/>
    <m/>
    <m/>
    <m/>
    <m/>
    <n v="40"/>
    <e v="#N/A"/>
    <m/>
    <n v="0"/>
    <m/>
    <n v="0"/>
    <m/>
    <n v="0"/>
    <m/>
    <n v="0"/>
    <m/>
    <n v="0"/>
    <m/>
    <n v="0"/>
    <m/>
    <n v="0"/>
    <s v="FLINTSL"/>
    <n v="28"/>
    <n v="0"/>
    <n v="66.142857142857139"/>
    <n v="0"/>
    <s v="WHITE"/>
    <s v="E01017W"/>
    <s v="FLINTSL - WHITE"/>
    <n v="3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7"/>
    <n v="0"/>
    <n v="135.42857142857144"/>
    <n v="0"/>
    <n v="3"/>
    <n v="5"/>
    <n v="10"/>
    <n v="5"/>
    <n v="2"/>
    <n v="5"/>
    <n v="10"/>
    <n v="30"/>
    <n v="0.8"/>
    <n v="0.2"/>
    <m/>
    <m/>
    <m/>
    <n v="0"/>
    <n v="169"/>
    <n v="0"/>
    <n v="0"/>
    <n v="169"/>
    <n v="169"/>
    <n v="135.20000000000002"/>
    <n v="0"/>
    <n v="33.800000000000004"/>
    <n v="0"/>
    <n v="0"/>
    <n v="0"/>
    <n v="0"/>
    <n v="0"/>
    <n v="0"/>
    <n v="0"/>
    <n v="0"/>
    <n v="0"/>
    <n v="0"/>
    <m/>
    <n v="161.4"/>
    <n v="310.39999999999998"/>
    <n v="81"/>
    <s v="FLINTSLFLINTSLFLINTSLFLINTSLFLINTSLFLINTSLFLINTSLFLINTSL"/>
    <s v="+"/>
    <s v="+"/>
    <s v="+"/>
    <s v="+"/>
    <s v="+"/>
    <s v="+"/>
    <s v="+"/>
    <s v="+"/>
  </r>
  <r>
    <d v="2026-01-12T00:00:00"/>
    <s v="B"/>
    <x v="117"/>
    <n v="82"/>
    <n v="217"/>
    <n v="11300"/>
    <s v="II"/>
    <s v="N"/>
    <n v="1.4"/>
    <s v="BLACK"/>
    <s v="C01482B"/>
    <s v="FLINTSL - BLACK"/>
    <n v="24"/>
    <n v="0"/>
    <m/>
    <m/>
    <n v="0"/>
    <n v="26506000002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2"/>
    <n v="0"/>
    <n v="8.304347826086957"/>
    <n v="0"/>
    <s v="GREEN"/>
    <s v="C01424G"/>
    <s v="FLINTSL - GREEN"/>
    <n v="6"/>
    <n v="0"/>
    <m/>
    <m/>
    <n v="0"/>
    <n v="26513000018"/>
    <n v="26506000002"/>
    <m/>
    <m/>
    <m/>
    <m/>
    <m/>
    <m/>
    <n v="10"/>
    <e v="#N/A"/>
    <n v="4"/>
    <e v="#N/A"/>
    <m/>
    <n v="0"/>
    <m/>
    <n v="0"/>
    <m/>
    <n v="0"/>
    <m/>
    <n v="0"/>
    <m/>
    <n v="0"/>
    <m/>
    <n v="0"/>
    <s v="FLINTSL"/>
    <n v="21"/>
    <n v="0"/>
    <n v="15.521739130434781"/>
    <n v="0"/>
    <s v="MAGENTA"/>
    <s v="C01482M"/>
    <s v="FLINTSL - MAGENTA"/>
    <n v="24"/>
    <n v="0"/>
    <m/>
    <m/>
    <n v="0"/>
    <n v="26512000010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3"/>
    <n v="0"/>
    <n v="7.304347826086957"/>
    <n v="0"/>
    <s v="YELLOW"/>
    <s v="C01482Y"/>
    <s v="FLINTSL - YELLOW"/>
    <n v="28"/>
    <n v="0"/>
    <m/>
    <m/>
    <n v="0"/>
    <n v="2651100000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6"/>
    <n v="0"/>
    <n v="7.3043478260869534"/>
    <n v="0"/>
    <s v="REFLEX BLUE"/>
    <m/>
    <s v="FLINTSL - REFLEX BLUE"/>
    <m/>
    <n v="0"/>
    <m/>
    <m/>
    <n v="0"/>
    <n v="26512000018"/>
    <n v="26506000001"/>
    <n v="26506000002"/>
    <m/>
    <m/>
    <m/>
    <m/>
    <m/>
    <n v="20"/>
    <e v="#N/A"/>
    <n v="2"/>
    <e v="#N/A"/>
    <n v="4"/>
    <e v="#N/A"/>
    <m/>
    <n v="0"/>
    <m/>
    <n v="0"/>
    <m/>
    <n v="0"/>
    <m/>
    <n v="0"/>
    <m/>
    <n v="0"/>
    <s v="FLINTSL"/>
    <n v="22"/>
    <n v="0"/>
    <n v="12.260869565217391"/>
    <n v="0"/>
    <s v="REFLEX BLUE"/>
    <m/>
    <s v="FLINTSL - REFLEX BLUE"/>
    <m/>
    <n v="0"/>
    <m/>
    <m/>
    <n v="0"/>
    <n v="26512000020"/>
    <n v="26512000016"/>
    <n v="26512000019"/>
    <m/>
    <m/>
    <m/>
    <m/>
    <m/>
    <n v="10"/>
    <e v="#N/A"/>
    <n v="23"/>
    <e v="#N/A"/>
    <n v="20"/>
    <e v="#N/A"/>
    <m/>
    <n v="0"/>
    <m/>
    <n v="0"/>
    <m/>
    <n v="0"/>
    <m/>
    <n v="0"/>
    <m/>
    <n v="0"/>
    <s v="FLINTSL"/>
    <n v="27"/>
    <n v="0"/>
    <n v="34.260869565217391"/>
    <n v="0"/>
    <s v="WHITE"/>
    <s v="C01482W"/>
    <s v="FLINTSL - WHITE"/>
    <n v="27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32"/>
    <n v="0"/>
    <n v="68.04347826086956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2"/>
    <n v="2"/>
    <n v="5"/>
    <n v="5"/>
    <n v="20"/>
    <n v="0"/>
    <n v="0.8"/>
    <n v="0.2"/>
    <m/>
    <m/>
    <m/>
    <n v="0"/>
    <n v="76"/>
    <n v="0"/>
    <n v="0"/>
    <n v="76"/>
    <n v="76"/>
    <n v="60.800000000000004"/>
    <n v="0"/>
    <n v="15.200000000000001"/>
    <n v="0"/>
    <n v="0"/>
    <n v="0"/>
    <n v="0"/>
    <n v="0"/>
    <n v="0"/>
    <n v="0"/>
    <n v="0"/>
    <n v="0"/>
    <n v="0"/>
    <m/>
    <n v="141"/>
    <n v="153"/>
    <n v="82"/>
    <s v="FLINTSLFLINTSLFLINTSLFLINTSLFLINTSLFLINTSLFLINTSL"/>
    <s v="+"/>
    <s v="+"/>
    <s v="+"/>
    <s v="+"/>
    <s v="+"/>
    <s v="+"/>
    <s v="+"/>
    <s v="NIL"/>
  </r>
  <r>
    <d v="2026-01-12T00:00:00"/>
    <s v="B"/>
    <x v="118"/>
    <n v="83"/>
    <n v="2486"/>
    <n v="100300"/>
    <s v="II"/>
    <s v="N"/>
    <n v="2.11"/>
    <s v="BLACK"/>
    <s v="C01475B"/>
    <s v="FLINTSL - BLACK"/>
    <n v="22"/>
    <n v="0"/>
    <m/>
    <m/>
    <n v="0"/>
    <n v="26513000022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31"/>
    <n v="0"/>
    <n v="11.817391304347822"/>
    <n v="0"/>
    <s v="BLACK"/>
    <m/>
    <s v="FLINTSL - BLACK"/>
    <m/>
    <n v="0"/>
    <m/>
    <m/>
    <n v="0"/>
    <n v="26514000007"/>
    <n v="26506000002"/>
    <m/>
    <m/>
    <m/>
    <m/>
    <m/>
    <m/>
    <n v="15"/>
    <e v="#N/A"/>
    <n v="3"/>
    <e v="#N/A"/>
    <m/>
    <n v="0"/>
    <m/>
    <n v="0"/>
    <m/>
    <n v="0"/>
    <m/>
    <n v="0"/>
    <m/>
    <n v="0"/>
    <m/>
    <n v="0"/>
    <s v="FLINTSL"/>
    <n v="18"/>
    <n v="0"/>
    <n v="27.043478260869563"/>
    <n v="0"/>
    <s v="GREEN"/>
    <s v="N00871G"/>
    <s v="FLINTSL - GREEN"/>
    <n v="20"/>
    <n v="0"/>
    <s v="C00965G"/>
    <n v="20"/>
    <n v="0"/>
    <n v="26514000007"/>
    <n v="26508000001"/>
    <n v="26510000009"/>
    <m/>
    <m/>
    <m/>
    <m/>
    <m/>
    <n v="2"/>
    <e v="#N/A"/>
    <n v="1"/>
    <e v="#N/A"/>
    <n v="4"/>
    <e v="#N/A"/>
    <m/>
    <n v="0"/>
    <m/>
    <n v="0"/>
    <m/>
    <n v="0"/>
    <m/>
    <n v="0"/>
    <m/>
    <n v="0"/>
    <s v="FLINTSL"/>
    <n v="26"/>
    <n v="0"/>
    <n v="34.521739130434781"/>
    <n v="0"/>
    <s v="CYAN"/>
    <s v="C01482C"/>
    <s v="FLINTSL - CYAN"/>
    <n v="26"/>
    <n v="0"/>
    <m/>
    <m/>
    <n v="0"/>
    <s v="FMD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30"/>
    <n v="0"/>
    <n v="19.521739130434781"/>
    <n v="0"/>
    <s v="MAGENTA"/>
    <s v="C01475M"/>
    <s v="FLINTSL - MAGENTA"/>
    <n v="23"/>
    <n v="0"/>
    <m/>
    <m/>
    <n v="0"/>
    <n v="26513000019"/>
    <s v="FMD"/>
    <m/>
    <m/>
    <m/>
    <m/>
    <m/>
    <m/>
    <n v="5"/>
    <e v="#N/A"/>
    <n v="4"/>
    <n v="0"/>
    <m/>
    <n v="0"/>
    <m/>
    <n v="0"/>
    <m/>
    <n v="0"/>
    <m/>
    <n v="0"/>
    <m/>
    <n v="0"/>
    <m/>
    <n v="0"/>
    <s v="FLINTSL"/>
    <n v="24"/>
    <n v="0"/>
    <n v="24.22608695652174"/>
    <n v="0"/>
    <s v="YELLOW"/>
    <s v="C01475Y"/>
    <s v="FLINTSL - YELLOW"/>
    <n v="26"/>
    <n v="0"/>
    <m/>
    <m/>
    <n v="0"/>
    <n v="26513000018"/>
    <n v="26506000002"/>
    <m/>
    <m/>
    <m/>
    <m/>
    <m/>
    <m/>
    <n v="15"/>
    <e v="#N/A"/>
    <n v="9"/>
    <e v="#N/A"/>
    <m/>
    <n v="0"/>
    <m/>
    <n v="0"/>
    <m/>
    <n v="0"/>
    <m/>
    <n v="0"/>
    <m/>
    <n v="0"/>
    <m/>
    <n v="0"/>
    <s v="FLINTSL"/>
    <n v="27"/>
    <n v="0"/>
    <n v="77.086956521739125"/>
    <n v="0"/>
    <s v="WHITE"/>
    <s v="C01475W"/>
    <s v="FLINTSL - WHITE"/>
    <n v="32"/>
    <n v="0"/>
    <m/>
    <m/>
    <n v="0"/>
    <s v="FW"/>
    <m/>
    <m/>
    <m/>
    <m/>
    <m/>
    <m/>
    <m/>
    <n v="300"/>
    <n v="0"/>
    <m/>
    <n v="0"/>
    <m/>
    <n v="0"/>
    <m/>
    <n v="0"/>
    <m/>
    <n v="0"/>
    <m/>
    <n v="0"/>
    <m/>
    <n v="0"/>
    <m/>
    <n v="0"/>
    <s v="FLINTSL"/>
    <n v="26"/>
    <n v="0"/>
    <n v="792.78260869565224"/>
    <n v="0"/>
    <s v="GREEN"/>
    <m/>
    <s v="FLINTSL - GREEN"/>
    <m/>
    <n v="0"/>
    <m/>
    <m/>
    <n v="0"/>
    <n v="26513000005"/>
    <n v="26513000004"/>
    <n v="26513000003"/>
    <n v="26513000002"/>
    <n v="26512000021"/>
    <m/>
    <m/>
    <m/>
    <n v="40"/>
    <e v="#N/A"/>
    <n v="40"/>
    <e v="#N/A"/>
    <n v="40"/>
    <e v="#N/A"/>
    <n v="40"/>
    <e v="#N/A"/>
    <n v="40"/>
    <e v="#N/A"/>
    <m/>
    <n v="0"/>
    <m/>
    <n v="0"/>
    <m/>
    <n v="0"/>
    <s v="FLINTSL"/>
    <n v="29"/>
    <n v="0"/>
    <n v="171"/>
    <n v="0"/>
    <n v="4"/>
    <n v="10"/>
    <n v="5"/>
    <n v="5"/>
    <n v="6"/>
    <n v="20"/>
    <n v="180"/>
    <n v="0"/>
    <n v="0.8"/>
    <n v="0.2"/>
    <m/>
    <m/>
    <m/>
    <n v="0"/>
    <n v="622"/>
    <n v="0"/>
    <n v="0"/>
    <n v="622"/>
    <n v="622"/>
    <n v="497.6"/>
    <n v="0"/>
    <n v="124.4"/>
    <n v="0"/>
    <n v="0"/>
    <n v="0"/>
    <n v="0"/>
    <n v="0"/>
    <n v="0"/>
    <n v="0"/>
    <n v="0"/>
    <n v="0"/>
    <n v="0"/>
    <m/>
    <n v="578"/>
    <n v="1158"/>
    <n v="83"/>
    <s v="FLINTSLFLINTSLFLINTSLFLINTSLFLINTSLFLINTSLFLINTSLFLINTSL"/>
    <s v="+"/>
    <s v="+"/>
    <s v="+"/>
    <s v="+"/>
    <s v="+"/>
    <s v="+"/>
    <s v="+"/>
    <s v="+"/>
  </r>
  <r>
    <d v="2026-01-12T00:00:00"/>
    <s v="B"/>
    <x v="119"/>
    <n v="84"/>
    <n v="728"/>
    <n v="44600"/>
    <s v="II"/>
    <s v="N"/>
    <n v="0.53"/>
    <s v="BLACK"/>
    <s v="C01482B"/>
    <s v="FLINTSL - BLACK"/>
    <n v="15"/>
    <n v="0"/>
    <s v="E01016B"/>
    <n v="7"/>
    <n v="0"/>
    <n v="26513000019"/>
    <n v="26514000010"/>
    <n v="26514000007"/>
    <m/>
    <m/>
    <m/>
    <m/>
    <m/>
    <n v="7"/>
    <e v="#N/A"/>
    <n v="7"/>
    <e v="#N/A"/>
    <n v="4"/>
    <e v="#N/A"/>
    <m/>
    <n v="0"/>
    <m/>
    <n v="0"/>
    <m/>
    <n v="0"/>
    <m/>
    <n v="0"/>
    <m/>
    <n v="0"/>
    <s v="FLINTSL"/>
    <n v="26"/>
    <n v="0"/>
    <n v="26.372881355932201"/>
    <n v="0"/>
    <s v="RED"/>
    <s v="E01017R"/>
    <s v="FLINTSL - RED"/>
    <n v="10"/>
    <n v="0"/>
    <m/>
    <m/>
    <n v="0"/>
    <n v="26508000001"/>
    <n v="26513000019"/>
    <s v="FMD"/>
    <n v="26508000010"/>
    <m/>
    <m/>
    <m/>
    <m/>
    <n v="5"/>
    <e v="#N/A"/>
    <n v="4"/>
    <e v="#N/A"/>
    <n v="8"/>
    <n v="0"/>
    <n v="5"/>
    <e v="#N/A"/>
    <m/>
    <n v="0"/>
    <m/>
    <n v="0"/>
    <m/>
    <n v="0"/>
    <m/>
    <n v="0"/>
    <s v="FLINTSL"/>
    <n v="33"/>
    <n v="0"/>
    <n v="21.271186440677965"/>
    <n v="0"/>
    <s v="WHITE"/>
    <s v="J00790W"/>
    <s v="FLINTSL - WHITE"/>
    <n v="26"/>
    <n v="0"/>
    <m/>
    <m/>
    <n v="0"/>
    <s v="FW"/>
    <m/>
    <m/>
    <m/>
    <m/>
    <m/>
    <m/>
    <m/>
    <n v="80"/>
    <n v="0"/>
    <m/>
    <n v="0"/>
    <m/>
    <n v="0"/>
    <m/>
    <n v="0"/>
    <m/>
    <n v="0"/>
    <m/>
    <n v="0"/>
    <m/>
    <n v="0"/>
    <m/>
    <n v="0"/>
    <s v="FLINTSL"/>
    <n v="30"/>
    <n v="0"/>
    <n v="187.3559322033898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9"/>
    <n v="45"/>
    <n v="0"/>
    <n v="0"/>
    <n v="0"/>
    <n v="0"/>
    <n v="0"/>
    <n v="0.8"/>
    <n v="0.2"/>
    <m/>
    <m/>
    <m/>
    <n v="0"/>
    <n v="146"/>
    <n v="0"/>
    <n v="0"/>
    <n v="146"/>
    <n v="146"/>
    <n v="116.80000000000001"/>
    <n v="0"/>
    <n v="29.200000000000003"/>
    <n v="0"/>
    <n v="0"/>
    <n v="0"/>
    <n v="0"/>
    <n v="0"/>
    <n v="0"/>
    <n v="0"/>
    <n v="0"/>
    <n v="0"/>
    <n v="0"/>
    <m/>
    <n v="120"/>
    <n v="235"/>
    <n v="84"/>
    <s v="FLINTSLFLINTSLFLINTSL"/>
    <s v="+"/>
    <s v="+"/>
    <s v="+"/>
    <s v="NIL"/>
    <s v="NIL"/>
    <s v="NIL"/>
    <s v="NIL"/>
    <s v="NIL"/>
  </r>
  <r>
    <d v="2026-01-12T00:00:00"/>
    <s v="A"/>
    <x v="120"/>
    <n v="85"/>
    <n v="0"/>
    <n v="0"/>
    <s v="II"/>
    <s v="N"/>
    <n v="0"/>
    <s v="BLACK"/>
    <s v="J00970B"/>
    <s v="FLINTSL - BLACK"/>
    <n v="20"/>
    <n v="0"/>
    <m/>
    <m/>
    <n v="0"/>
    <n v="26514000007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32"/>
    <n v="0"/>
    <n v="3.3571428571428612"/>
    <n v="0"/>
    <s v="REFLEX BLUE"/>
    <s v="E01017B"/>
    <s v="FLINTSL - REFLEX BLUE"/>
    <n v="24"/>
    <n v="0"/>
    <m/>
    <m/>
    <n v="0"/>
    <n v="26506000001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31"/>
    <n v="0"/>
    <n v="8.3571428571428612"/>
    <n v="0"/>
    <s v="YELLOW"/>
    <s v="J00969Y"/>
    <s v="FLINTSL - YELLOW"/>
    <n v="24"/>
    <n v="0"/>
    <m/>
    <m/>
    <n v="0"/>
    <n v="26508000010"/>
    <n v="26514000010"/>
    <m/>
    <m/>
    <m/>
    <m/>
    <m/>
    <m/>
    <n v="0.5"/>
    <e v="#N/A"/>
    <n v="3"/>
    <e v="#N/A"/>
    <m/>
    <n v="0"/>
    <m/>
    <n v="0"/>
    <m/>
    <n v="0"/>
    <m/>
    <n v="0"/>
    <m/>
    <n v="0"/>
    <m/>
    <n v="0"/>
    <s v="FLINTSL"/>
    <n v="27"/>
    <n v="0"/>
    <n v="4.7857142857142847"/>
    <n v="0"/>
    <s v="ORANGE"/>
    <m/>
    <s v="FLINTSL - ORANGE"/>
    <m/>
    <n v="0"/>
    <m/>
    <m/>
    <n v="0"/>
    <n v="26513000009"/>
    <n v="26513000010"/>
    <s v="FMD"/>
    <m/>
    <m/>
    <m/>
    <m/>
    <m/>
    <n v="40"/>
    <e v="#N/A"/>
    <n v="25"/>
    <e v="#N/A"/>
    <n v="4"/>
    <n v="0"/>
    <m/>
    <n v="0"/>
    <m/>
    <n v="0"/>
    <m/>
    <n v="0"/>
    <m/>
    <n v="0"/>
    <m/>
    <n v="0"/>
    <s v="FLINTSL"/>
    <n v="70"/>
    <n v="0"/>
    <n v="3.2857142857142918"/>
    <n v="0"/>
    <s v="CYAN"/>
    <s v="J00970C"/>
    <s v="FLINTSL - CYAN"/>
    <n v="30"/>
    <n v="0"/>
    <m/>
    <m/>
    <n v="0"/>
    <n v="26510000009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32"/>
    <n v="0"/>
    <n v="2.0714285714285694"/>
    <n v="0"/>
    <s v="MAGENTA"/>
    <s v="J00970M"/>
    <s v="FLINTSL - MAGENTA"/>
    <n v="24"/>
    <n v="0"/>
    <m/>
    <m/>
    <n v="0"/>
    <n v="26513000019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7"/>
    <n v="0"/>
    <n v="2.1428571428571423"/>
    <n v="0"/>
    <s v="YELLOW"/>
    <s v="J00970U"/>
    <s v="FLINTSL - YELLOW"/>
    <n v="27"/>
    <n v="0"/>
    <m/>
    <m/>
    <n v="0"/>
    <n v="26513000019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33"/>
    <n v="0"/>
    <n v="2.3571428571428612"/>
    <n v="0"/>
    <s v="WHITE"/>
    <s v="C01479W"/>
    <s v="FLINTSL - WHITE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7.1428571428571459"/>
    <n v="0"/>
    <n v="5"/>
    <n v="5"/>
    <n v="4"/>
    <n v="4"/>
    <n v="1"/>
    <n v="2"/>
    <n v="5"/>
    <n v="2"/>
    <n v="0.8"/>
    <n v="0.2"/>
    <m/>
    <m/>
    <m/>
    <n v="0"/>
    <n v="30"/>
    <n v="0"/>
    <n v="0"/>
    <n v="30"/>
    <n v="30"/>
    <n v="24"/>
    <n v="0"/>
    <n v="6"/>
    <n v="0"/>
    <n v="0"/>
    <n v="0"/>
    <n v="0"/>
    <n v="0"/>
    <n v="0"/>
    <n v="0"/>
    <n v="0"/>
    <n v="0"/>
    <n v="0"/>
    <m/>
    <n v="101.5"/>
    <n v="33.500000000000014"/>
    <n v="85"/>
    <s v="FLINTSLFLINTSLFLINTSLFLINTSLFLINTSLFLINTSLFLINTSLFLINTSL"/>
    <s v="+"/>
    <s v="+"/>
    <s v="+"/>
    <s v="+"/>
    <s v="+"/>
    <s v="+"/>
    <s v="+"/>
    <s v="+"/>
  </r>
  <r>
    <d v="2026-01-12T00:00:00"/>
    <s v="A"/>
    <x v="121"/>
    <n v="86"/>
    <n v="863"/>
    <n v="15900"/>
    <s v="II"/>
    <s v="N"/>
    <n v="1.1000000000000001"/>
    <s v="BLACK"/>
    <s v="N00841B"/>
    <s v="FLINTSL - BLACK"/>
    <n v="32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0"/>
    <n v="7.7333333333333343"/>
    <n v="0"/>
    <s v="REFLEX BLUE"/>
    <s v="N00841B"/>
    <s v="FLINTSL - REFLEX BLUE"/>
    <n v="31"/>
    <n v="0"/>
    <m/>
    <m/>
    <n v="0"/>
    <n v="2651300001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5"/>
    <n v="0"/>
    <n v="15.733333333333334"/>
    <n v="0"/>
    <s v="YELLOW"/>
    <s v="N00841Y"/>
    <s v="FLINTSL - YELLOW"/>
    <n v="27"/>
    <n v="0"/>
    <m/>
    <m/>
    <n v="0"/>
    <n v="2651400001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2"/>
    <n v="0"/>
    <n v="12.733333333333334"/>
    <n v="0"/>
    <s v="REFLEX BLUE"/>
    <s v="F00855B"/>
    <s v="FLINTSL - REFLEX BLUE"/>
    <n v="20"/>
    <n v="0"/>
    <s v="E01017B"/>
    <n v="24"/>
    <n v="0"/>
    <n v="26513000011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25"/>
    <n v="0"/>
    <n v="32.733333333333334"/>
    <n v="0"/>
    <s v="CYAN"/>
    <s v="N00841C"/>
    <s v="FLINTSL - CYAN"/>
    <n v="32"/>
    <n v="0"/>
    <m/>
    <m/>
    <n v="0"/>
    <n v="26510000009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8"/>
    <n v="0"/>
    <n v="10.733333333333334"/>
    <n v="0"/>
    <s v="MAGENTA"/>
    <s v="N00841M"/>
    <s v="FLINTSL - MAGENTA"/>
    <n v="27"/>
    <n v="0"/>
    <m/>
    <m/>
    <n v="0"/>
    <n v="26513000019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7"/>
    <n v="0"/>
    <n v="10.733333333333334"/>
    <n v="0"/>
    <s v="YELLOW"/>
    <s v="N00841Y"/>
    <s v="FLINTSL - YELLOW"/>
    <n v="33"/>
    <n v="0"/>
    <m/>
    <m/>
    <n v="0"/>
    <n v="26513000018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2"/>
    <n v="0"/>
    <n v="14.600000000000001"/>
    <n v="0"/>
    <s v="WHITE"/>
    <s v="N00841W"/>
    <s v="FLINTSL - WHITE"/>
    <n v="25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30"/>
    <n v="0"/>
    <n v="131"/>
    <n v="0"/>
    <n v="2"/>
    <n v="2"/>
    <n v="2"/>
    <n v="2"/>
    <n v="2"/>
    <n v="2"/>
    <n v="3"/>
    <n v="30"/>
    <n v="0.8"/>
    <n v="0.2"/>
    <m/>
    <m/>
    <m/>
    <n v="0"/>
    <n v="129"/>
    <n v="0"/>
    <n v="0"/>
    <n v="129"/>
    <n v="129"/>
    <n v="103.2"/>
    <n v="0"/>
    <n v="25.8"/>
    <n v="0"/>
    <n v="0"/>
    <n v="0"/>
    <n v="0"/>
    <n v="0"/>
    <n v="0"/>
    <n v="0"/>
    <n v="0"/>
    <n v="0"/>
    <n v="0"/>
    <m/>
    <n v="75"/>
    <n v="236"/>
    <n v="86"/>
    <s v="FLINTSLFLINTSLFLINTSLFLINTSLFLINTSLFLINTSLFLINTSLFLINTSL"/>
    <s v="+"/>
    <s v="+"/>
    <s v="+"/>
    <s v="+"/>
    <s v="+"/>
    <s v="+"/>
    <s v="+"/>
    <s v="+"/>
  </r>
  <r>
    <d v="2026-01-13T00:00:00"/>
    <s v="A"/>
    <x v="122"/>
    <n v="87"/>
    <n v="3260"/>
    <n v="46900"/>
    <s v="II"/>
    <s v="N"/>
    <n v="0.1"/>
    <s v="BLACK"/>
    <m/>
    <s v="FLINTSL - BLACK"/>
    <m/>
    <n v="0"/>
    <m/>
    <m/>
    <n v="0"/>
    <n v="26509000017"/>
    <m/>
    <m/>
    <m/>
    <m/>
    <m/>
    <m/>
    <m/>
    <n v="30"/>
    <e v="#N/A"/>
    <m/>
    <n v="0"/>
    <m/>
    <n v="0"/>
    <m/>
    <n v="0"/>
    <m/>
    <n v="0"/>
    <m/>
    <n v="0"/>
    <m/>
    <n v="0"/>
    <m/>
    <n v="0"/>
    <s v="FLINTSL"/>
    <n v="28"/>
    <n v="0"/>
    <n v="2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7"/>
    <n v="0"/>
    <n v="0"/>
    <n v="0"/>
    <n v="0"/>
    <n v="0"/>
    <n v="0"/>
    <n v="0"/>
    <n v="0.8"/>
    <n v="0.2"/>
    <m/>
    <m/>
    <m/>
    <n v="0"/>
    <n v="20"/>
    <n v="0"/>
    <n v="0"/>
    <n v="20"/>
    <n v="20"/>
    <n v="16"/>
    <n v="0"/>
    <n v="4"/>
    <n v="0"/>
    <n v="0"/>
    <n v="0"/>
    <n v="0"/>
    <n v="0"/>
    <n v="0"/>
    <n v="0"/>
    <n v="0"/>
    <n v="0"/>
    <n v="0"/>
    <m/>
    <n v="30"/>
    <n v="22"/>
    <n v="87"/>
    <s v="FLINTSL"/>
    <s v="+"/>
    <s v="NIL"/>
    <s v="NIL"/>
    <s v="NIL"/>
    <s v="NIL"/>
    <s v="NIL"/>
    <s v="NIL"/>
    <s v="NIL"/>
  </r>
  <r>
    <d v="2026-01-13T00:00:00"/>
    <s v="A"/>
    <x v="123"/>
    <n v="88"/>
    <n v="469"/>
    <n v="20100"/>
    <s v="II"/>
    <s v="N"/>
    <n v="1.74"/>
    <s v="RED"/>
    <s v="C01482R"/>
    <s v="FLINTSL - RED"/>
    <n v="22"/>
    <n v="0"/>
    <s v="N00841R"/>
    <n v="5"/>
    <n v="0"/>
    <n v="26513000019"/>
    <n v="26508000001"/>
    <m/>
    <m/>
    <m/>
    <m/>
    <m/>
    <m/>
    <n v="4"/>
    <e v="#N/A"/>
    <n v="4"/>
    <e v="#N/A"/>
    <m/>
    <n v="0"/>
    <m/>
    <n v="0"/>
    <m/>
    <n v="0"/>
    <m/>
    <n v="0"/>
    <m/>
    <n v="0"/>
    <m/>
    <n v="0"/>
    <s v="FLINTSL"/>
    <n v="25"/>
    <n v="0"/>
    <n v="16.220588235294116"/>
    <n v="0"/>
    <s v="RED"/>
    <s v="C01479R"/>
    <s v="FLINTSL - RED"/>
    <n v="33"/>
    <n v="0"/>
    <m/>
    <m/>
    <n v="0"/>
    <n v="26513000019"/>
    <n v="26508000001"/>
    <m/>
    <m/>
    <m/>
    <m/>
    <m/>
    <m/>
    <n v="7"/>
    <e v="#N/A"/>
    <n v="10"/>
    <e v="#N/A"/>
    <m/>
    <n v="0"/>
    <m/>
    <n v="0"/>
    <m/>
    <n v="0"/>
    <m/>
    <n v="0"/>
    <m/>
    <n v="0"/>
    <m/>
    <n v="0"/>
    <s v="FLINTSL"/>
    <n v="30"/>
    <n v="0"/>
    <n v="30.367647058823529"/>
    <n v="0"/>
    <s v="WHITE"/>
    <s v="N00843W"/>
    <s v="FLINTSL - WHITE"/>
    <n v="30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27"/>
    <n v="0"/>
    <n v="227.4117647058823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5"/>
    <n v="60"/>
    <n v="0"/>
    <n v="0"/>
    <n v="0"/>
    <n v="0"/>
    <n v="0"/>
    <n v="0.8"/>
    <n v="0.2"/>
    <m/>
    <m/>
    <m/>
    <n v="0"/>
    <n v="141"/>
    <n v="0"/>
    <n v="0"/>
    <n v="141"/>
    <n v="141"/>
    <n v="112.80000000000001"/>
    <n v="0"/>
    <n v="28.200000000000003"/>
    <n v="0"/>
    <n v="0"/>
    <n v="0"/>
    <n v="0"/>
    <n v="0"/>
    <n v="0"/>
    <n v="0"/>
    <n v="0"/>
    <n v="0"/>
    <n v="0"/>
    <m/>
    <n v="125"/>
    <n v="274"/>
    <n v="88"/>
    <s v="FLINTSLFLINTSLFLINTSL"/>
    <s v="+"/>
    <s v="+"/>
    <s v="+"/>
    <s v="NIL"/>
    <s v="NIL"/>
    <s v="NIL"/>
    <s v="NIL"/>
    <s v="NIL"/>
  </r>
  <r>
    <d v="2026-01-13T00:00:00"/>
    <s v="B"/>
    <x v="124"/>
    <n v="89"/>
    <n v="250"/>
    <n v="10800"/>
    <s v="II"/>
    <s v="N"/>
    <n v="1.96"/>
    <s v="BLACK"/>
    <s v="N00843B"/>
    <s v="FLINTSL - BLACK"/>
    <n v="30"/>
    <n v="0"/>
    <m/>
    <m/>
    <n v="0"/>
    <n v="26508000010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3"/>
    <n v="0"/>
    <n v="13"/>
    <n v="0"/>
    <s v="GREEN"/>
    <s v="C01453G"/>
    <s v="FLINTSL - GREEN"/>
    <n v="15"/>
    <n v="0"/>
    <m/>
    <m/>
    <n v="0"/>
    <n v="26510000009"/>
    <n v="26514000010"/>
    <n v="26513000011"/>
    <m/>
    <m/>
    <m/>
    <m/>
    <m/>
    <n v="5"/>
    <e v="#N/A"/>
    <n v="4"/>
    <e v="#N/A"/>
    <n v="0.2"/>
    <e v="#N/A"/>
    <m/>
    <n v="0"/>
    <m/>
    <n v="0"/>
    <m/>
    <n v="0"/>
    <m/>
    <n v="0"/>
    <m/>
    <n v="0"/>
    <s v="FLINTSL"/>
    <n v="24"/>
    <n v="0"/>
    <n v="7.1999999999999993"/>
    <n v="0"/>
    <s v="GREEN"/>
    <s v="C01425G"/>
    <s v="FLINTSL - GREEN"/>
    <n v="13"/>
    <n v="0"/>
    <m/>
    <m/>
    <n v="0"/>
    <n v="26513000024"/>
    <n v="26510000009"/>
    <n v="26513000020"/>
    <n v="26513000011"/>
    <m/>
    <m/>
    <m/>
    <m/>
    <n v="40"/>
    <e v="#N/A"/>
    <n v="5"/>
    <e v="#N/A"/>
    <n v="1"/>
    <e v="#N/A"/>
    <n v="0.4"/>
    <e v="#N/A"/>
    <m/>
    <n v="0"/>
    <m/>
    <n v="0"/>
    <m/>
    <n v="0"/>
    <m/>
    <n v="0"/>
    <s v="FLINTSL"/>
    <n v="38"/>
    <n v="0"/>
    <n v="31.400000000000006"/>
    <n v="0"/>
    <s v="GREEN"/>
    <s v="C01425G"/>
    <s v="FLINTSL - GREEN"/>
    <n v="10"/>
    <n v="0"/>
    <m/>
    <m/>
    <n v="0"/>
    <n v="26511000002"/>
    <n v="26513000020"/>
    <s v="FMD"/>
    <m/>
    <m/>
    <m/>
    <m/>
    <m/>
    <n v="5"/>
    <e v="#N/A"/>
    <n v="0.2"/>
    <e v="#N/A"/>
    <n v="4"/>
    <n v="0"/>
    <m/>
    <n v="0"/>
    <m/>
    <n v="0"/>
    <m/>
    <n v="0"/>
    <m/>
    <n v="0"/>
    <m/>
    <n v="0"/>
    <s v="FLINTSL"/>
    <n v="15"/>
    <n v="0"/>
    <n v="11.2"/>
    <n v="0"/>
    <s v="GREEN"/>
    <m/>
    <s v="FLINTSL - GREEN"/>
    <m/>
    <n v="0"/>
    <m/>
    <m/>
    <n v="0"/>
    <n v="26510000009"/>
    <n v="26514000010"/>
    <n v="26507000020"/>
    <s v="FMD"/>
    <m/>
    <m/>
    <m/>
    <m/>
    <n v="12"/>
    <e v="#N/A"/>
    <n v="10"/>
    <e v="#N/A"/>
    <n v="4"/>
    <e v="#N/A"/>
    <n v="5"/>
    <n v="0"/>
    <m/>
    <n v="0"/>
    <m/>
    <n v="0"/>
    <m/>
    <n v="0"/>
    <m/>
    <n v="0"/>
    <s v="FLINTSL"/>
    <n v="20"/>
    <n v="0"/>
    <n v="19"/>
    <n v="0"/>
    <s v="RED"/>
    <m/>
    <s v="FLINTSL - RED"/>
    <m/>
    <n v="0"/>
    <m/>
    <m/>
    <n v="0"/>
    <n v="26513000023"/>
    <n v="26513000020"/>
    <s v="FMD"/>
    <m/>
    <m/>
    <m/>
    <m/>
    <m/>
    <n v="10"/>
    <e v="#N/A"/>
    <n v="5"/>
    <e v="#N/A"/>
    <n v="5"/>
    <n v="0"/>
    <m/>
    <n v="0"/>
    <m/>
    <n v="0"/>
    <m/>
    <n v="0"/>
    <m/>
    <n v="0"/>
    <m/>
    <n v="0"/>
    <s v="FLINTSL"/>
    <n v="27"/>
    <n v="0"/>
    <n v="3"/>
    <n v="0"/>
    <s v="YELLOW"/>
    <s v="N00843Y"/>
    <s v="FLINTSL - YELLOW"/>
    <n v="32"/>
    <n v="0"/>
    <m/>
    <m/>
    <n v="0"/>
    <n v="26514000010"/>
    <s v="FMD"/>
    <m/>
    <m/>
    <m/>
    <m/>
    <m/>
    <m/>
    <n v="3"/>
    <e v="#N/A"/>
    <n v="1"/>
    <n v="0"/>
    <m/>
    <n v="0"/>
    <m/>
    <n v="0"/>
    <m/>
    <n v="0"/>
    <m/>
    <n v="0"/>
    <m/>
    <n v="0"/>
    <m/>
    <n v="0"/>
    <s v="FLINTSL"/>
    <n v="25"/>
    <n v="0"/>
    <n v="14"/>
    <n v="0"/>
    <s v="WHITE"/>
    <s v="B01046W"/>
    <s v="FLINTSL - WHITE"/>
    <n v="27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6"/>
    <n v="0"/>
    <n v="91"/>
    <n v="0"/>
    <n v="3"/>
    <n v="7"/>
    <n v="10"/>
    <n v="7"/>
    <n v="8"/>
    <n v="10"/>
    <n v="3"/>
    <n v="30"/>
    <n v="0.8"/>
    <n v="0.2"/>
    <m/>
    <m/>
    <m/>
    <n v="0"/>
    <n v="0"/>
    <n v="0"/>
    <n v="0"/>
    <n v="0"/>
    <n v="78"/>
    <n v="62.400000000000006"/>
    <n v="0"/>
    <n v="15.600000000000001"/>
    <n v="0"/>
    <n v="0"/>
    <n v="0"/>
    <n v="0"/>
    <n v="0"/>
    <n v="0"/>
    <n v="0"/>
    <n v="0"/>
    <n v="0"/>
    <n v="0"/>
    <m/>
    <n v="182.8"/>
    <n v="189.8"/>
    <n v="89"/>
    <s v="FLINTSLFLINTSLFLINTSLFLINTSLFLINTSLFLINTSLFLINTSLFLINTSL"/>
    <s v="+"/>
    <s v="+"/>
    <s v="+"/>
    <s v="+"/>
    <s v="+"/>
    <s v="+"/>
    <s v="+"/>
    <s v="+"/>
  </r>
  <r>
    <d v="2026-01-13T00:00:00"/>
    <s v="B"/>
    <x v="125"/>
    <n v="90"/>
    <n v="252"/>
    <n v="10900"/>
    <s v="II"/>
    <s v="N"/>
    <n v="0.2"/>
    <s v="GREEN"/>
    <s v="C01453G"/>
    <s v="FLINTSL - GREEN"/>
    <n v="28"/>
    <n v="0"/>
    <m/>
    <m/>
    <n v="0"/>
    <n v="26510000009"/>
    <n v="26514000011"/>
    <n v="26507000020"/>
    <m/>
    <m/>
    <m/>
    <m/>
    <m/>
    <n v="8"/>
    <e v="#N/A"/>
    <n v="13"/>
    <e v="#N/A"/>
    <n v="6"/>
    <e v="#N/A"/>
    <m/>
    <n v="0"/>
    <m/>
    <n v="0"/>
    <m/>
    <n v="0"/>
    <m/>
    <n v="0"/>
    <m/>
    <n v="0"/>
    <s v="FLINTSL"/>
    <n v="24"/>
    <n v="0"/>
    <n v="5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0"/>
    <n v="0"/>
    <n v="0"/>
    <n v="0"/>
    <n v="0"/>
    <n v="0"/>
    <n v="0"/>
    <n v="0.8"/>
    <n v="0.2"/>
    <m/>
    <m/>
    <m/>
    <n v="0"/>
    <n v="20"/>
    <n v="0"/>
    <n v="0"/>
    <n v="20"/>
    <n v="20"/>
    <n v="16"/>
    <n v="0"/>
    <n v="4"/>
    <n v="0"/>
    <n v="0"/>
    <n v="0"/>
    <n v="0"/>
    <n v="0"/>
    <n v="0"/>
    <n v="0"/>
    <n v="0"/>
    <n v="0"/>
    <n v="0"/>
    <m/>
    <n v="27"/>
    <n v="51"/>
    <n v="90"/>
    <s v="FLINTSL"/>
    <s v="+"/>
    <s v="NIL"/>
    <s v="NIL"/>
    <s v="NIL"/>
    <s v="NIL"/>
    <s v="NIL"/>
    <s v="NIL"/>
    <s v="NIL"/>
  </r>
  <r>
    <d v="2026-01-13T00:00:00"/>
    <s v="B"/>
    <x v="126"/>
    <n v="91"/>
    <n v="446"/>
    <n v="19500"/>
    <s v="II"/>
    <s v="N"/>
    <n v="1.98"/>
    <s v="BLACK"/>
    <s v="C01446B"/>
    <s v="FLINTSL - BLACK"/>
    <n v="23"/>
    <n v="0"/>
    <m/>
    <m/>
    <n v="0"/>
    <n v="26514000007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4"/>
    <n v="0"/>
    <n v="14.64179104477612"/>
    <n v="0"/>
    <s v="GREEN"/>
    <s v="C01425G"/>
    <s v="FLINTSL - GREEN"/>
    <n v="10"/>
    <n v="0"/>
    <s v="C01446G"/>
    <n v="12"/>
    <n v="0"/>
    <n v="26510000009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3"/>
    <n v="0"/>
    <n v="14.64179104477612"/>
    <n v="0"/>
    <s v="GREEN"/>
    <s v="J00970G"/>
    <s v="FLINTSL - GREEN"/>
    <n v="23"/>
    <n v="0"/>
    <m/>
    <m/>
    <n v="0"/>
    <n v="26514000011"/>
    <n v="26510000009"/>
    <m/>
    <m/>
    <m/>
    <m/>
    <m/>
    <m/>
    <n v="2"/>
    <e v="#N/A"/>
    <n v="0.2"/>
    <e v="#N/A"/>
    <m/>
    <n v="0"/>
    <m/>
    <n v="0"/>
    <m/>
    <n v="0"/>
    <m/>
    <n v="0"/>
    <m/>
    <n v="0"/>
    <m/>
    <n v="0"/>
    <s v="FLINTSL"/>
    <n v="23"/>
    <n v="0"/>
    <n v="9.1850746268656707"/>
    <n v="0"/>
    <s v="YELLOW"/>
    <m/>
    <s v="FLINTSL - YELLOW"/>
    <m/>
    <n v="0"/>
    <m/>
    <m/>
    <n v="0"/>
    <n v="26514000001"/>
    <n v="26514000003"/>
    <n v="26514000002"/>
    <m/>
    <m/>
    <m/>
    <m/>
    <m/>
    <n v="40"/>
    <e v="#N/A"/>
    <n v="40"/>
    <e v="#N/A"/>
    <n v="40"/>
    <e v="#N/A"/>
    <m/>
    <n v="0"/>
    <m/>
    <n v="0"/>
    <m/>
    <n v="0"/>
    <m/>
    <n v="0"/>
    <m/>
    <n v="0"/>
    <s v="FLINTSL"/>
    <n v="22"/>
    <n v="0"/>
    <n v="98"/>
    <n v="0"/>
    <s v="CYAN"/>
    <s v="N00843C"/>
    <s v="FLINTSL - CYAN"/>
    <n v="28"/>
    <n v="0"/>
    <m/>
    <m/>
    <n v="0"/>
    <n v="26510000009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10.656716417910445"/>
    <n v="0"/>
    <s v="MAGENTA"/>
    <s v="N00843M"/>
    <s v="FLINTSL - MAGENTA"/>
    <n v="27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4"/>
    <n v="0"/>
    <n v="19.64179104477612"/>
    <n v="0"/>
    <s v="YELLOW"/>
    <s v="C01446Y"/>
    <s v="FLINTSL - YELLOW"/>
    <n v="25"/>
    <n v="0"/>
    <m/>
    <m/>
    <n v="0"/>
    <n v="26514000011"/>
    <s v="FMD"/>
    <m/>
    <m/>
    <m/>
    <m/>
    <m/>
    <m/>
    <n v="8"/>
    <e v="#N/A"/>
    <n v="5"/>
    <n v="0"/>
    <m/>
    <n v="0"/>
    <m/>
    <n v="0"/>
    <m/>
    <n v="0"/>
    <m/>
    <n v="0"/>
    <m/>
    <n v="0"/>
    <m/>
    <n v="0"/>
    <s v="FLINTSL"/>
    <n v="20"/>
    <n v="0"/>
    <n v="34.298507462686565"/>
    <n v="0"/>
    <s v="WHITE"/>
    <s v="C01446W"/>
    <s v="FLINTSL - WHITE"/>
    <n v="26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7"/>
    <n v="0"/>
    <n v="152.13432835820896"/>
    <n v="0"/>
    <n v="5"/>
    <n v="5"/>
    <n v="3"/>
    <n v="0"/>
    <n v="2"/>
    <n v="5"/>
    <n v="7"/>
    <n v="40"/>
    <n v="0.8"/>
    <n v="0.2"/>
    <m/>
    <m/>
    <m/>
    <n v="0"/>
    <n v="156"/>
    <n v="0"/>
    <n v="0"/>
    <n v="156"/>
    <n v="156"/>
    <n v="124.80000000000001"/>
    <n v="0"/>
    <n v="31.200000000000003"/>
    <n v="0"/>
    <n v="0"/>
    <n v="0"/>
    <n v="0"/>
    <n v="0"/>
    <n v="0"/>
    <n v="0"/>
    <n v="0"/>
    <n v="0"/>
    <n v="0"/>
    <m/>
    <n v="212.2"/>
    <n v="353.2"/>
    <n v="91"/>
    <s v="FLINTSLFLINTSLFLINTSLFLINTSLFLINTSLFLINTSLFLINTSLFLINTSL"/>
    <s v="+"/>
    <s v="+"/>
    <s v="+"/>
    <s v="+"/>
    <s v="+"/>
    <s v="+"/>
    <s v="+"/>
    <s v="+"/>
  </r>
  <r>
    <d v="2026-01-13T00:00:00"/>
    <s v="B"/>
    <x v="127"/>
    <n v="92"/>
    <n v="517"/>
    <n v="25100"/>
    <s v="II"/>
    <s v="N"/>
    <n v="0.26"/>
    <s v="BLACK"/>
    <s v="J00911B"/>
    <s v="FLINTSL - BLACK"/>
    <n v="28"/>
    <n v="0"/>
    <m/>
    <m/>
    <n v="0"/>
    <n v="26507000025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0"/>
    <n v="0"/>
    <n v="3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0"/>
    <n v="0"/>
    <n v="0"/>
    <n v="0"/>
    <n v="0"/>
    <n v="0"/>
    <n v="0"/>
    <n v="0.8"/>
    <n v="0.2"/>
    <m/>
    <m/>
    <m/>
    <n v="0"/>
    <n v="20"/>
    <n v="0"/>
    <n v="0"/>
    <n v="20"/>
    <n v="20"/>
    <n v="16"/>
    <n v="0"/>
    <n v="4"/>
    <n v="0"/>
    <n v="0"/>
    <n v="0"/>
    <n v="0"/>
    <n v="0"/>
    <n v="0"/>
    <n v="0"/>
    <n v="0"/>
    <n v="0"/>
    <n v="0"/>
    <m/>
    <n v="10"/>
    <n v="38"/>
    <n v="92"/>
    <s v="FLINTSL"/>
    <s v="+"/>
    <s v="NIL"/>
    <s v="NIL"/>
    <s v="NIL"/>
    <s v="NIL"/>
    <s v="NIL"/>
    <s v="NIL"/>
    <s v="NIL"/>
  </r>
  <r>
    <d v="2026-01-13T00:00:00"/>
    <s v="B"/>
    <x v="128"/>
    <n v="93"/>
    <n v="956"/>
    <n v="50400"/>
    <s v="II"/>
    <s v="N"/>
    <n v="1.31"/>
    <s v="BLACK"/>
    <s v="C01489B"/>
    <s v="FLINTSL - BLACK"/>
    <n v="24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8"/>
    <n v="0"/>
    <n v="6.2887323943661997"/>
    <n v="0"/>
    <s v="REFLEX BLUE"/>
    <s v="N00843B"/>
    <s v="FLINTSL - REFLEX BLUE"/>
    <n v="25"/>
    <n v="0"/>
    <m/>
    <m/>
    <n v="0"/>
    <n v="26512000002"/>
    <n v="26513000011"/>
    <m/>
    <m/>
    <m/>
    <m/>
    <m/>
    <m/>
    <n v="3"/>
    <e v="#N/A"/>
    <n v="4"/>
    <e v="#N/A"/>
    <m/>
    <n v="0"/>
    <m/>
    <n v="0"/>
    <m/>
    <n v="0"/>
    <m/>
    <n v="0"/>
    <m/>
    <n v="0"/>
    <m/>
    <n v="0"/>
    <s v="FLINTSL"/>
    <n v="32"/>
    <n v="0"/>
    <n v="12.147887323943664"/>
    <n v="0"/>
    <s v="RED"/>
    <s v="B01046R"/>
    <s v="FLINTSL - RED"/>
    <n v="25"/>
    <n v="0"/>
    <m/>
    <m/>
    <n v="0"/>
    <n v="26513000020"/>
    <n v="26513000023"/>
    <n v="26507000025"/>
    <m/>
    <m/>
    <m/>
    <m/>
    <m/>
    <n v="2"/>
    <e v="#N/A"/>
    <n v="2"/>
    <e v="#N/A"/>
    <n v="0.1"/>
    <e v="#N/A"/>
    <m/>
    <n v="0"/>
    <m/>
    <n v="0"/>
    <m/>
    <n v="0"/>
    <m/>
    <n v="0"/>
    <m/>
    <n v="0"/>
    <s v="FLINTSL"/>
    <n v="24"/>
    <n v="0"/>
    <n v="14.81830985915493"/>
    <n v="0"/>
    <s v="CYAN"/>
    <s v="C01489C"/>
    <s v="FLINTSL - CYAN"/>
    <n v="26"/>
    <n v="0"/>
    <m/>
    <m/>
    <n v="0"/>
    <n v="26514000004"/>
    <n v="26510000009"/>
    <n v="26514000005"/>
    <m/>
    <m/>
    <m/>
    <m/>
    <m/>
    <n v="40"/>
    <e v="#N/A"/>
    <n v="9"/>
    <e v="#N/A"/>
    <n v="40"/>
    <e v="#N/A"/>
    <m/>
    <n v="0"/>
    <m/>
    <n v="0"/>
    <m/>
    <n v="0"/>
    <m/>
    <n v="0"/>
    <m/>
    <n v="0"/>
    <s v="FLINTSL"/>
    <n v="32"/>
    <n v="0"/>
    <n v="95.147887323943664"/>
    <n v="0"/>
    <s v="MAGENTA"/>
    <s v="C01489M"/>
    <s v="FLINTSL - MAGENTA"/>
    <n v="24"/>
    <n v="0"/>
    <m/>
    <m/>
    <n v="0"/>
    <n v="26513000023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30"/>
    <n v="0"/>
    <n v="6.8591549295774641"/>
    <n v="0"/>
    <s v="YELLOW"/>
    <s v="C01489Y"/>
    <s v="FLINTSL - YELLOW"/>
    <n v="20"/>
    <n v="0"/>
    <m/>
    <m/>
    <n v="0"/>
    <n v="26514000011"/>
    <s v="FMD"/>
    <m/>
    <m/>
    <m/>
    <m/>
    <m/>
    <m/>
    <n v="3"/>
    <e v="#N/A"/>
    <n v="1"/>
    <n v="0"/>
    <m/>
    <n v="0"/>
    <m/>
    <n v="0"/>
    <m/>
    <n v="0"/>
    <m/>
    <n v="0"/>
    <m/>
    <n v="0"/>
    <m/>
    <n v="0"/>
    <s v="FLINTSL"/>
    <n v="24"/>
    <n v="0"/>
    <n v="7.2887323943661961"/>
    <n v="0"/>
    <s v="WHITE"/>
    <s v="C01489W"/>
    <s v="FLINTSL - WHITE"/>
    <n v="27"/>
    <n v="0"/>
    <m/>
    <m/>
    <n v="0"/>
    <s v="FW"/>
    <m/>
    <m/>
    <m/>
    <m/>
    <m/>
    <m/>
    <m/>
    <n v="200"/>
    <n v="0"/>
    <m/>
    <n v="0"/>
    <m/>
    <n v="0"/>
    <m/>
    <n v="0"/>
    <m/>
    <n v="0"/>
    <m/>
    <n v="0"/>
    <m/>
    <n v="0"/>
    <m/>
    <n v="0"/>
    <s v="FLINTSL"/>
    <n v="30"/>
    <n v="0"/>
    <n v="488.5492957746478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5"/>
    <n v="4"/>
    <n v="5"/>
    <n v="2"/>
    <n v="3"/>
    <n v="120"/>
    <n v="0"/>
    <n v="0.8"/>
    <n v="0.2"/>
    <m/>
    <m/>
    <m/>
    <n v="0"/>
    <n v="345"/>
    <n v="0"/>
    <n v="0"/>
    <n v="345"/>
    <n v="345"/>
    <n v="276"/>
    <n v="0"/>
    <n v="69"/>
    <n v="0"/>
    <n v="0"/>
    <n v="0"/>
    <n v="0"/>
    <n v="0"/>
    <n v="0"/>
    <n v="0"/>
    <n v="0"/>
    <n v="0"/>
    <n v="0"/>
    <m/>
    <n v="315.10000000000002"/>
    <n v="631.09999999999991"/>
    <n v="93"/>
    <s v="FLINTSLFLINTSLFLINTSLFLINTSLFLINTSLFLINTSLFLINTSL"/>
    <s v="+"/>
    <s v="+"/>
    <s v="+"/>
    <s v="+"/>
    <s v="+"/>
    <s v="+"/>
    <s v="+"/>
    <s v="NIL"/>
  </r>
  <r>
    <d v="2026-01-08T00:00:00"/>
    <s v="A"/>
    <x v="129"/>
    <s v="TL36"/>
    <n v="86"/>
    <n v="4800"/>
    <s v="I"/>
    <s v="N"/>
    <n v="1.8"/>
    <s v="BLACK"/>
    <s v="N00877B"/>
    <s v="ToyoLi - BLACK"/>
    <n v="30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32"/>
    <n v="0"/>
    <n v="3.9090909090909065"/>
    <n v="0"/>
    <s v="GREEN"/>
    <s v="N00877G"/>
    <s v="ToyoLi - GREEN"/>
    <n v="10"/>
    <n v="0"/>
    <m/>
    <m/>
    <n v="0"/>
    <s v="R79"/>
    <s v="F23T"/>
    <s v="R39"/>
    <m/>
    <m/>
    <m/>
    <m/>
    <m/>
    <n v="1"/>
    <n v="0"/>
    <n v="5"/>
    <n v="0"/>
    <n v="3"/>
    <n v="0"/>
    <m/>
    <n v="0"/>
    <m/>
    <n v="0"/>
    <m/>
    <n v="0"/>
    <m/>
    <n v="0"/>
    <m/>
    <n v="0"/>
    <s v="ToyoLi"/>
    <n v="21"/>
    <n v="0"/>
    <n v="5.8181818181818201"/>
    <n v="0"/>
    <s v="BLACK"/>
    <s v="J00874B"/>
    <s v="ToyoLi - BLACK"/>
    <n v="15"/>
    <n v="0"/>
    <s v="H01306B"/>
    <n v="17"/>
    <n v="0"/>
    <s v="F121"/>
    <s v="R92"/>
    <m/>
    <m/>
    <m/>
    <m/>
    <m/>
    <m/>
    <n v="8"/>
    <n v="0"/>
    <n v="1"/>
    <n v="0"/>
    <m/>
    <n v="0"/>
    <m/>
    <n v="0"/>
    <m/>
    <n v="0"/>
    <m/>
    <n v="0"/>
    <m/>
    <n v="0"/>
    <m/>
    <n v="0"/>
    <s v="ToyoLi"/>
    <n v="20"/>
    <n v="0"/>
    <n v="28.81818181818182"/>
    <n v="0"/>
    <s v="MAGENTA"/>
    <s v="N00877M"/>
    <s v="ToyoLi - MAGENTA"/>
    <n v="14"/>
    <n v="0"/>
    <m/>
    <m/>
    <n v="0"/>
    <s v="F121"/>
    <s v="RTMD"/>
    <m/>
    <m/>
    <m/>
    <m/>
    <m/>
    <m/>
    <n v="5"/>
    <n v="0"/>
    <n v="3"/>
    <n v="0"/>
    <m/>
    <n v="0"/>
    <m/>
    <n v="0"/>
    <m/>
    <n v="0"/>
    <m/>
    <n v="0"/>
    <m/>
    <n v="0"/>
    <m/>
    <n v="0"/>
    <s v="ToyoLi"/>
    <n v="25"/>
    <n v="0"/>
    <n v="6.7727272727272734"/>
    <n v="0"/>
    <s v="YELLOW"/>
    <s v="N00877Y"/>
    <s v="ToyoLi - YELLOW"/>
    <n v="17"/>
    <n v="0"/>
    <m/>
    <m/>
    <n v="0"/>
    <s v="F23T"/>
    <s v="RTMD"/>
    <m/>
    <m/>
    <m/>
    <m/>
    <m/>
    <m/>
    <n v="6"/>
    <n v="0"/>
    <n v="2"/>
    <n v="0"/>
    <m/>
    <n v="0"/>
    <m/>
    <n v="0"/>
    <m/>
    <n v="0"/>
    <m/>
    <n v="0"/>
    <m/>
    <n v="0"/>
    <m/>
    <n v="0"/>
    <s v="ToyoLi"/>
    <n v="28"/>
    <n v="0"/>
    <n v="6.7727272727272734"/>
    <n v="0"/>
    <s v="GOLD"/>
    <s v="H01300G"/>
    <s v="ToyoLi - GOLD"/>
    <n v="14"/>
    <n v="0"/>
    <m/>
    <m/>
    <n v="0"/>
    <s v="TLGO"/>
    <s v="TLSI"/>
    <n v="262"/>
    <m/>
    <m/>
    <m/>
    <m/>
    <m/>
    <n v="10"/>
    <n v="0"/>
    <n v="2"/>
    <n v="0"/>
    <n v="4"/>
    <n v="0"/>
    <m/>
    <n v="0"/>
    <m/>
    <n v="0"/>
    <m/>
    <n v="0"/>
    <m/>
    <n v="0"/>
    <m/>
    <n v="0"/>
    <s v="ToyoLi"/>
    <n v="30"/>
    <n v="0"/>
    <n v="7.8181818181818201"/>
    <n v="0"/>
    <s v="WHITE"/>
    <m/>
    <s v="ToyoLi - WHITE"/>
    <m/>
    <n v="0"/>
    <m/>
    <m/>
    <n v="0"/>
    <s v="F640"/>
    <s v="HSLAS"/>
    <m/>
    <m/>
    <m/>
    <m/>
    <m/>
    <m/>
    <n v="40"/>
    <n v="0"/>
    <n v="4.51"/>
    <n v="0"/>
    <m/>
    <n v="0"/>
    <m/>
    <n v="0"/>
    <m/>
    <n v="0"/>
    <m/>
    <n v="0"/>
    <m/>
    <n v="0"/>
    <m/>
    <n v="0"/>
    <s v="ToyoLi"/>
    <n v="25"/>
    <n v="0"/>
    <n v="58.60090909090908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"/>
    <n v="4"/>
    <n v="5"/>
    <n v="5"/>
    <n v="4"/>
    <n v="20"/>
    <n v="0"/>
    <n v="0.3"/>
    <m/>
    <m/>
    <n v="0.5"/>
    <n v="0.2"/>
    <n v="0"/>
    <n v="86"/>
    <n v="0"/>
    <n v="0"/>
    <n v="86"/>
    <n v="86"/>
    <n v="25.8"/>
    <n v="0"/>
    <n v="0"/>
    <n v="0"/>
    <n v="0"/>
    <n v="0"/>
    <n v="43"/>
    <n v="0"/>
    <n v="17.2"/>
    <n v="0"/>
    <n v="0"/>
    <n v="0"/>
    <n v="0"/>
    <m/>
    <n v="96.51"/>
    <n v="118.50999999999999"/>
    <s v="TL36"/>
    <s v="ToyoLiToyoLiToyoLiToyoLiToyoLiToyoLiToyoLi"/>
    <s v="+"/>
    <s v="+"/>
    <s v="+"/>
    <s v="+"/>
    <s v="+"/>
    <s v="+"/>
    <s v="+"/>
    <s v="NIL"/>
  </r>
  <r>
    <d v="2026-01-08T00:00:00"/>
    <s v="A"/>
    <x v="130"/>
    <s v="TL37"/>
    <n v="85"/>
    <n v="4800"/>
    <s v="I"/>
    <s v="N"/>
    <n v="1.1599999999999999"/>
    <s v="BLACK"/>
    <s v="N00879B"/>
    <s v="ToyoLi - BLACK"/>
    <n v="32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0"/>
    <n v="2"/>
    <n v="0"/>
    <s v="REFLEX BLUE"/>
    <s v="F00851RB"/>
    <s v="ToyoLi - REFLEX BLUE"/>
    <n v="20"/>
    <n v="0"/>
    <m/>
    <m/>
    <n v="0"/>
    <s v="F121"/>
    <s v="R1205"/>
    <s v="R92"/>
    <m/>
    <m/>
    <m/>
    <m/>
    <m/>
    <n v="12"/>
    <n v="0"/>
    <n v="5"/>
    <n v="0"/>
    <n v="2"/>
    <n v="0"/>
    <m/>
    <n v="0"/>
    <m/>
    <n v="0"/>
    <m/>
    <n v="0"/>
    <m/>
    <n v="0"/>
    <m/>
    <n v="0"/>
    <s v="ToyoLi"/>
    <n v="26"/>
    <n v="0"/>
    <n v="24.184210526315788"/>
    <n v="0"/>
    <s v="CYAN"/>
    <s v="H01306C"/>
    <s v="ToyoLi - CYAN"/>
    <n v="17"/>
    <n v="0"/>
    <m/>
    <m/>
    <n v="0"/>
    <s v="R39"/>
    <s v="RTMD"/>
    <m/>
    <m/>
    <m/>
    <m/>
    <m/>
    <m/>
    <n v="4"/>
    <n v="0"/>
    <n v="5"/>
    <n v="0"/>
    <m/>
    <n v="0"/>
    <m/>
    <n v="0"/>
    <m/>
    <n v="0"/>
    <m/>
    <n v="0"/>
    <m/>
    <n v="0"/>
    <m/>
    <n v="0"/>
    <s v="ToyoLi"/>
    <n v="30"/>
    <n v="0"/>
    <n v="9.4210526315789451"/>
    <n v="0"/>
    <s v="MAGENTA"/>
    <s v="N00879M"/>
    <s v="ToyoLi - MAGENTA"/>
    <n v="25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4.473684210526315"/>
    <n v="0"/>
    <s v="YELLOW"/>
    <s v="N00879Y"/>
    <s v="ToyoLi - YELLOW"/>
    <n v="28"/>
    <n v="0"/>
    <m/>
    <m/>
    <n v="0"/>
    <s v="F23T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30"/>
    <n v="0"/>
    <n v="6.473684210526315"/>
    <n v="0"/>
    <s v="GOLD"/>
    <s v="N00879G"/>
    <s v="ToyoLi - GOLD"/>
    <n v="30"/>
    <n v="0"/>
    <m/>
    <m/>
    <n v="0"/>
    <n v="26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15.184210526315788"/>
    <n v="0"/>
    <s v="GREEN"/>
    <s v="N00879G"/>
    <s v="ToyoLi - GREEN"/>
    <n v="21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6"/>
    <n v="0"/>
    <n v="6.7105263157894726"/>
    <n v="0"/>
    <s v="WHITE"/>
    <s v="N00879W"/>
    <s v="ToyoLi - WHITE"/>
    <n v="25"/>
    <n v="0"/>
    <m/>
    <m/>
    <n v="0"/>
    <s v="F640"/>
    <s v="HSLAS"/>
    <m/>
    <m/>
    <m/>
    <m/>
    <m/>
    <m/>
    <n v="30"/>
    <n v="0"/>
    <n v="5.0999999999999996"/>
    <n v="0"/>
    <m/>
    <n v="0"/>
    <m/>
    <n v="0"/>
    <m/>
    <n v="0"/>
    <m/>
    <n v="0"/>
    <m/>
    <n v="0"/>
    <m/>
    <n v="0"/>
    <s v="ToyoLi"/>
    <n v="25"/>
    <n v="0"/>
    <n v="68.652631578947364"/>
    <n v="0"/>
    <n v="0"/>
    <n v="5"/>
    <n v="6"/>
    <n v="2"/>
    <n v="2"/>
    <n v="5"/>
    <n v="3"/>
    <n v="15"/>
    <n v="0.3"/>
    <m/>
    <m/>
    <n v="0.5"/>
    <n v="0.2"/>
    <n v="0"/>
    <n v="85"/>
    <n v="0"/>
    <n v="0"/>
    <n v="85"/>
    <n v="85"/>
    <n v="25.5"/>
    <n v="0"/>
    <n v="0"/>
    <n v="0"/>
    <n v="0"/>
    <n v="0"/>
    <n v="42.5"/>
    <n v="0"/>
    <n v="17"/>
    <n v="0"/>
    <n v="0"/>
    <n v="0"/>
    <n v="0"/>
    <m/>
    <n v="76.099999999999994"/>
    <n v="137.1"/>
    <s v="TL37"/>
    <s v="ToyoLiToyoLiToyoLiToyoLiToyoLiToyoLiToyoLiToyoLi"/>
    <s v="+"/>
    <s v="+"/>
    <s v="+"/>
    <s v="+"/>
    <s v="+"/>
    <s v="+"/>
    <s v="+"/>
    <s v="+"/>
  </r>
  <r>
    <d v="2026-01-08T00:00:00"/>
    <s v="A"/>
    <x v="131"/>
    <s v="TL38"/>
    <n v="1198"/>
    <n v="60800"/>
    <s v="I"/>
    <s v="N"/>
    <n v="0.68"/>
    <s v="BLACK"/>
    <m/>
    <s v="ToyoLi - BLACK"/>
    <m/>
    <n v="0"/>
    <m/>
    <m/>
    <n v="0"/>
    <s v="R92"/>
    <m/>
    <m/>
    <m/>
    <m/>
    <m/>
    <m/>
    <m/>
    <n v="20"/>
    <n v="0"/>
    <m/>
    <n v="0"/>
    <m/>
    <n v="0"/>
    <m/>
    <n v="0"/>
    <m/>
    <n v="0"/>
    <m/>
    <n v="0"/>
    <m/>
    <n v="0"/>
    <m/>
    <n v="0"/>
    <s v="ToyoLi"/>
    <n v="26"/>
    <n v="0"/>
    <n v="18.161073825503351"/>
    <n v="0"/>
    <s v="REFLEX BLUE"/>
    <m/>
    <s v="ToyoLi - REFLEX BLUE"/>
    <m/>
    <n v="0"/>
    <m/>
    <m/>
    <n v="0"/>
    <s v="R1205"/>
    <s v="F121"/>
    <m/>
    <m/>
    <m/>
    <m/>
    <m/>
    <m/>
    <n v="50"/>
    <n v="0"/>
    <n v="4"/>
    <n v="0"/>
    <m/>
    <n v="0"/>
    <m/>
    <n v="0"/>
    <m/>
    <n v="0"/>
    <m/>
    <n v="0"/>
    <m/>
    <n v="0"/>
    <m/>
    <n v="0"/>
    <s v="ToyoLi"/>
    <n v="27"/>
    <n v="0"/>
    <n v="51.161073825503351"/>
    <n v="0"/>
    <s v="REFLEX BLUE"/>
    <m/>
    <s v="ToyoLi - REFLEX BLUE"/>
    <m/>
    <n v="0"/>
    <m/>
    <m/>
    <n v="0"/>
    <s v="RTMD"/>
    <s v="R39"/>
    <m/>
    <m/>
    <m/>
    <m/>
    <m/>
    <m/>
    <n v="40"/>
    <n v="0"/>
    <n v="5"/>
    <n v="0"/>
    <m/>
    <n v="0"/>
    <m/>
    <n v="0"/>
    <m/>
    <n v="0"/>
    <m/>
    <n v="0"/>
    <m/>
    <n v="0"/>
    <m/>
    <n v="0"/>
    <s v="ToyoLi"/>
    <n v="33"/>
    <n v="0"/>
    <n v="60.322147651006702"/>
    <n v="0"/>
    <s v="RED"/>
    <s v="J00874R"/>
    <s v="ToyoLi - RED"/>
    <n v="35"/>
    <n v="0"/>
    <m/>
    <m/>
    <n v="0"/>
    <s v="F53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6"/>
    <n v="0"/>
    <n v="13.664429530201346"/>
    <n v="0"/>
    <s v="CYAN"/>
    <m/>
    <s v="ToyoLi - CYAN"/>
    <m/>
    <n v="0"/>
    <m/>
    <m/>
    <n v="0"/>
    <s v="R39"/>
    <s v="RTMD"/>
    <m/>
    <m/>
    <m/>
    <m/>
    <m/>
    <m/>
    <n v="15"/>
    <n v="0"/>
    <n v="6"/>
    <n v="0"/>
    <m/>
    <n v="0"/>
    <m/>
    <n v="0"/>
    <m/>
    <n v="0"/>
    <m/>
    <n v="0"/>
    <m/>
    <n v="0"/>
    <m/>
    <n v="0"/>
    <s v="ToyoLi"/>
    <n v="28"/>
    <n v="0"/>
    <n v="17.161073825503351"/>
    <n v="0"/>
    <s v="MAGENTA"/>
    <m/>
    <s v="ToyoLi - MAGENTA"/>
    <m/>
    <n v="0"/>
    <m/>
    <m/>
    <n v="0"/>
    <s v="F121"/>
    <s v="RTMD"/>
    <m/>
    <m/>
    <m/>
    <m/>
    <m/>
    <m/>
    <n v="15"/>
    <n v="0"/>
    <n v="5"/>
    <n v="0"/>
    <m/>
    <n v="0"/>
    <m/>
    <n v="0"/>
    <m/>
    <n v="0"/>
    <m/>
    <n v="0"/>
    <m/>
    <n v="0"/>
    <m/>
    <n v="0"/>
    <s v="ToyoLi"/>
    <n v="20"/>
    <n v="0"/>
    <n v="24.161073825503351"/>
    <n v="0"/>
    <s v="YELLOW"/>
    <m/>
    <s v="ToyoLi - YELLOW"/>
    <m/>
    <n v="0"/>
    <m/>
    <m/>
    <n v="0"/>
    <s v="F23T"/>
    <s v="RTMD"/>
    <m/>
    <m/>
    <m/>
    <m/>
    <m/>
    <m/>
    <n v="40"/>
    <n v="0"/>
    <n v="10"/>
    <n v="0"/>
    <m/>
    <n v="0"/>
    <m/>
    <n v="0"/>
    <m/>
    <n v="0"/>
    <m/>
    <n v="0"/>
    <m/>
    <n v="0"/>
    <m/>
    <n v="0"/>
    <s v="ToyoLi"/>
    <n v="30"/>
    <n v="0"/>
    <n v="80.402684563758385"/>
    <n v="0"/>
    <s v="WHITE"/>
    <m/>
    <s v="ToyoLi - WHITE"/>
    <m/>
    <n v="0"/>
    <m/>
    <m/>
    <n v="0"/>
    <s v="F640"/>
    <s v="HSLAS"/>
    <m/>
    <m/>
    <m/>
    <m/>
    <m/>
    <m/>
    <n v="100"/>
    <n v="0"/>
    <n v="9.99"/>
    <n v="0"/>
    <m/>
    <n v="0"/>
    <m/>
    <n v="0"/>
    <m/>
    <n v="0"/>
    <m/>
    <n v="0"/>
    <m/>
    <n v="0"/>
    <m/>
    <n v="0"/>
    <s v="ToyoLi"/>
    <n v="20"/>
    <n v="0"/>
    <n v="234.95644295302014"/>
    <n v="0"/>
    <n v="10"/>
    <n v="10"/>
    <n v="20"/>
    <n v="4"/>
    <n v="10"/>
    <n v="10"/>
    <n v="25"/>
    <n v="60"/>
    <n v="0.3"/>
    <m/>
    <m/>
    <n v="0.5"/>
    <n v="0.2"/>
    <n v="0"/>
    <n v="360"/>
    <n v="0"/>
    <n v="0"/>
    <n v="360"/>
    <n v="360"/>
    <n v="108"/>
    <n v="0"/>
    <n v="0"/>
    <n v="0"/>
    <n v="0"/>
    <n v="0"/>
    <n v="180"/>
    <n v="0"/>
    <n v="72"/>
    <n v="0"/>
    <n v="0"/>
    <n v="0"/>
    <n v="0"/>
    <m/>
    <n v="324.99"/>
    <n v="499.99"/>
    <s v="TL38"/>
    <s v="ToyoLiToyoLiToyoLiToyoLiToyoLiToyoLiToyoLiToyoLi"/>
    <s v="+"/>
    <s v="+"/>
    <s v="+"/>
    <s v="+"/>
    <s v="+"/>
    <s v="+"/>
    <s v="+"/>
    <s v="+"/>
  </r>
  <r>
    <d v="2026-01-08T00:00:00"/>
    <s v="A"/>
    <x v="132"/>
    <s v="TL39"/>
    <n v="34"/>
    <n v="1600"/>
    <s v="I"/>
    <s v="N"/>
    <n v="0.64"/>
    <s v="BLACK"/>
    <s v="B01030B"/>
    <s v="ToyoLi - BLACK"/>
    <n v="26"/>
    <n v="0"/>
    <m/>
    <m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8"/>
    <n v="0"/>
    <n v="3"/>
    <n v="0"/>
    <s v="RED"/>
    <m/>
    <s v="ToyoLi - RED"/>
    <m/>
    <n v="0"/>
    <m/>
    <m/>
    <n v="0"/>
    <s v="F32"/>
    <m/>
    <m/>
    <m/>
    <m/>
    <m/>
    <m/>
    <m/>
    <n v="15"/>
    <n v="0"/>
    <m/>
    <n v="0"/>
    <m/>
    <n v="0"/>
    <m/>
    <n v="0"/>
    <m/>
    <n v="0"/>
    <m/>
    <n v="0"/>
    <m/>
    <n v="0"/>
    <m/>
    <n v="0"/>
    <s v="ToyoLi"/>
    <n v="20"/>
    <n v="0"/>
    <n v="15"/>
    <n v="0"/>
    <s v="WHITE"/>
    <s v="B01030W"/>
    <s v="ToyoLi - WHITE"/>
    <n v="20"/>
    <n v="0"/>
    <m/>
    <m/>
    <n v="0"/>
    <s v="F640"/>
    <m/>
    <m/>
    <m/>
    <m/>
    <m/>
    <m/>
    <m/>
    <n v="20"/>
    <n v="0"/>
    <m/>
    <n v="0"/>
    <m/>
    <n v="0"/>
    <m/>
    <n v="0"/>
    <m/>
    <n v="0"/>
    <m/>
    <n v="0"/>
    <m/>
    <n v="0"/>
    <m/>
    <n v="0"/>
    <s v="ToyoLi"/>
    <n v="25"/>
    <n v="0"/>
    <n v="3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0"/>
    <n v="10"/>
    <n v="10"/>
    <n v="0"/>
    <n v="0"/>
    <n v="0"/>
    <n v="0"/>
    <n v="0"/>
    <n v="0.3"/>
    <m/>
    <m/>
    <n v="0.5"/>
    <n v="0.2"/>
    <n v="0"/>
    <n v="40"/>
    <n v="0"/>
    <n v="0"/>
    <n v="40"/>
    <n v="40"/>
    <n v="12"/>
    <n v="0"/>
    <n v="0"/>
    <n v="0"/>
    <n v="0"/>
    <n v="0"/>
    <n v="20"/>
    <n v="0"/>
    <n v="8"/>
    <n v="0"/>
    <n v="0"/>
    <n v="0"/>
    <n v="0"/>
    <m/>
    <n v="40"/>
    <n v="53"/>
    <s v="TL39"/>
    <s v="ToyoLiToyoLiToyoLi"/>
    <s v="+"/>
    <s v="+"/>
    <s v="+"/>
    <s v="NIL"/>
    <s v="NIL"/>
    <s v="NIL"/>
    <s v="NIL"/>
    <s v="NIL"/>
  </r>
  <r>
    <d v="2026-01-08T00:00:00"/>
    <s v="A"/>
    <x v="133"/>
    <s v="TL40"/>
    <n v="31"/>
    <n v="2000"/>
    <s v="I"/>
    <s v="N"/>
    <n v="0.53"/>
    <s v="BLACK"/>
    <s v="J00956B"/>
    <s v="ToyoLi - BLACK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2"/>
    <n v="0"/>
    <s v="YELLOW"/>
    <s v="B01030Y"/>
    <s v="ToyoLi - YELLOW"/>
    <n v="30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5"/>
    <n v="0"/>
    <n v="4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0"/>
    <n v="2"/>
    <n v="0"/>
    <n v="0"/>
    <n v="0"/>
    <n v="0"/>
    <n v="0"/>
    <n v="0"/>
    <n v="0.3"/>
    <m/>
    <m/>
    <n v="0.5"/>
    <n v="0.2"/>
    <n v="0"/>
    <n v="30"/>
    <n v="0"/>
    <n v="0"/>
    <n v="30"/>
    <n v="30"/>
    <n v="9"/>
    <n v="0"/>
    <n v="0"/>
    <n v="0"/>
    <n v="0"/>
    <n v="0"/>
    <n v="15"/>
    <n v="0"/>
    <n v="6"/>
    <n v="0"/>
    <n v="0"/>
    <n v="0"/>
    <n v="0"/>
    <m/>
    <n v="5"/>
    <n v="42"/>
    <s v="TL40"/>
    <s v="ToyoLiToyoLi"/>
    <s v="+"/>
    <s v="+"/>
    <s v="NIL"/>
    <s v="NIL"/>
    <s v="NIL"/>
    <s v="NIL"/>
    <s v="NIL"/>
    <s v="NIL"/>
  </r>
  <r>
    <d v="2026-01-08T00:00:00"/>
    <s v="B"/>
    <x v="134"/>
    <s v="TL41"/>
    <n v="1876"/>
    <n v="98100"/>
    <s v="I"/>
    <s v="N"/>
    <n v="0.9"/>
    <s v="BLACK"/>
    <s v="C01460B"/>
    <s v="ToyoLi - BLACK"/>
    <n v="26"/>
    <n v="0"/>
    <m/>
    <m/>
    <n v="0"/>
    <s v="R92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3"/>
    <n v="0"/>
    <n v="6.4692982456140342"/>
    <n v="0"/>
    <s v="ORANGE"/>
    <s v="H01361O"/>
    <s v="ToyoLi - ORANGE"/>
    <n v="7"/>
    <n v="0"/>
    <s v="H01307O/J00929O/H01306O"/>
    <n v="31"/>
    <n v="0"/>
    <s v="F23T"/>
    <s v="F121"/>
    <s v="R92"/>
    <m/>
    <m/>
    <m/>
    <m/>
    <m/>
    <n v="10"/>
    <n v="0"/>
    <n v="4"/>
    <n v="0"/>
    <n v="0.5"/>
    <n v="0"/>
    <m/>
    <n v="0"/>
    <m/>
    <n v="0"/>
    <m/>
    <n v="0"/>
    <m/>
    <n v="0"/>
    <m/>
    <n v="0"/>
    <s v="ToyoLi"/>
    <n v="40"/>
    <n v="0"/>
    <n v="61.885964912280699"/>
    <n v="0"/>
    <s v="CYAN"/>
    <s v="H01307C"/>
    <s v="ToyoLi - CYAN"/>
    <n v="18"/>
    <n v="0"/>
    <m/>
    <m/>
    <n v="0"/>
    <s v="R39"/>
    <m/>
    <m/>
    <m/>
    <m/>
    <m/>
    <m/>
    <m/>
    <n v="15"/>
    <n v="0"/>
    <m/>
    <n v="0"/>
    <m/>
    <n v="0"/>
    <m/>
    <n v="0"/>
    <m/>
    <n v="0"/>
    <m/>
    <n v="0"/>
    <m/>
    <n v="0"/>
    <m/>
    <n v="0"/>
    <s v="ToyoLi"/>
    <n v="25"/>
    <n v="0"/>
    <n v="40.100877192982452"/>
    <n v="0"/>
    <s v="MAGENTA"/>
    <s v="B01030M"/>
    <s v="ToyoLi - MAGENTA"/>
    <n v="20"/>
    <n v="0"/>
    <s v="L00293M"/>
    <n v="15"/>
    <n v="0"/>
    <s v="F121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0"/>
    <n v="0"/>
    <n v="10"/>
    <n v="0"/>
    <s v="YELLOW"/>
    <s v="C01460Y"/>
    <s v="ToyoLi - YELLOW"/>
    <n v="25"/>
    <n v="0"/>
    <m/>
    <m/>
    <n v="0"/>
    <s v="F23T"/>
    <s v="RTMD"/>
    <m/>
    <m/>
    <m/>
    <m/>
    <m/>
    <m/>
    <n v="10"/>
    <n v="0"/>
    <n v="5"/>
    <n v="0"/>
    <m/>
    <n v="0"/>
    <m/>
    <n v="0"/>
    <m/>
    <n v="0"/>
    <m/>
    <n v="0"/>
    <m/>
    <n v="0"/>
    <m/>
    <n v="0"/>
    <s v="ToyoLi"/>
    <n v="28"/>
    <n v="0"/>
    <n v="36.692982456140356"/>
    <n v="0"/>
    <s v="REFLEX BLUE"/>
    <s v="B01030B"/>
    <s v="ToyoLi - REFLEX BLUE"/>
    <n v="20"/>
    <n v="0"/>
    <m/>
    <m/>
    <n v="0"/>
    <s v="R39"/>
    <s v="R1205"/>
    <s v="RTMD"/>
    <m/>
    <m/>
    <m/>
    <m/>
    <m/>
    <n v="7"/>
    <n v="0"/>
    <n v="1"/>
    <n v="0"/>
    <n v="2"/>
    <n v="0"/>
    <m/>
    <n v="0"/>
    <m/>
    <n v="0"/>
    <m/>
    <n v="0"/>
    <m/>
    <n v="0"/>
    <m/>
    <n v="0"/>
    <s v="ToyoLi"/>
    <n v="31"/>
    <n v="0"/>
    <n v="8.8771929824561369"/>
    <n v="0"/>
    <s v="WHITE"/>
    <s v="J00956W"/>
    <s v="ToyoLi - WHITE"/>
    <n v="25"/>
    <n v="0"/>
    <m/>
    <m/>
    <n v="0"/>
    <s v="F640"/>
    <m/>
    <m/>
    <m/>
    <m/>
    <m/>
    <m/>
    <m/>
    <n v="360"/>
    <n v="0"/>
    <m/>
    <n v="0"/>
    <m/>
    <n v="0"/>
    <m/>
    <n v="0"/>
    <m/>
    <n v="0"/>
    <m/>
    <n v="0"/>
    <m/>
    <n v="0"/>
    <m/>
    <n v="0"/>
    <s v="ToyoLi"/>
    <n v="30"/>
    <n v="0"/>
    <n v="799.4736842105262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n v="20"/>
    <n v="13"/>
    <n v="0"/>
    <n v="10"/>
    <n v="4"/>
    <n v="180"/>
    <n v="0"/>
    <n v="0.3"/>
    <m/>
    <m/>
    <n v="0.5"/>
    <n v="0.2"/>
    <n v="0"/>
    <n v="563"/>
    <n v="0"/>
    <n v="0"/>
    <n v="563"/>
    <n v="563"/>
    <n v="168.9"/>
    <n v="0"/>
    <n v="0"/>
    <n v="0"/>
    <n v="0"/>
    <n v="0"/>
    <n v="281.5"/>
    <n v="0"/>
    <n v="112.60000000000001"/>
    <n v="0"/>
    <n v="0"/>
    <n v="0"/>
    <n v="0"/>
    <m/>
    <n v="420.5"/>
    <n v="963.49999999999989"/>
    <s v="TL41"/>
    <s v="ToyoLiToyoLiToyoLiToyoLiToyoLiToyoLiToyoLi"/>
    <s v="+"/>
    <s v="+"/>
    <s v="+"/>
    <s v="+"/>
    <s v="+"/>
    <s v="+"/>
    <s v="+"/>
    <s v="NIL"/>
  </r>
  <r>
    <d v="2026-01-08T00:00:00"/>
    <s v="B"/>
    <x v="135"/>
    <s v="TL42"/>
    <n v="77"/>
    <n v="4100"/>
    <s v="I"/>
    <s v="N"/>
    <n v="1.1000000000000001"/>
    <s v="BLACK"/>
    <s v="N00765B"/>
    <s v="ToyoLi - BLACK"/>
    <n v="23"/>
    <n v="0"/>
    <m/>
    <m/>
    <n v="0"/>
    <s v="R92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6"/>
    <n v="0"/>
    <n v="9.5555555555555571"/>
    <n v="0"/>
    <s v="GREEN"/>
    <s v="F00845G"/>
    <s v="ToyoLi - GREEN"/>
    <n v="17"/>
    <n v="0"/>
    <m/>
    <m/>
    <n v="0"/>
    <s v="R39"/>
    <s v="F23T"/>
    <s v="R1205"/>
    <m/>
    <m/>
    <m/>
    <m/>
    <m/>
    <n v="10"/>
    <n v="0"/>
    <n v="5"/>
    <n v="0"/>
    <n v="1"/>
    <n v="0"/>
    <m/>
    <n v="0"/>
    <m/>
    <n v="0"/>
    <m/>
    <n v="0"/>
    <m/>
    <n v="0"/>
    <m/>
    <n v="0"/>
    <s v="ToyoLi"/>
    <n v="27"/>
    <n v="0"/>
    <n v="27.388888888888886"/>
    <n v="0"/>
    <s v="CYAN"/>
    <s v="N00765C"/>
    <s v="ToyoLi - CYAN"/>
    <n v="10"/>
    <n v="0"/>
    <m/>
    <m/>
    <n v="0"/>
    <s v="RTMD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24"/>
    <n v="0"/>
    <n v="21.666666666666664"/>
    <n v="0"/>
    <s v="MAGENTA"/>
    <s v="N00765M"/>
    <s v="ToyoLi - MAGENTA"/>
    <n v="30"/>
    <n v="0"/>
    <m/>
    <m/>
    <n v="0"/>
    <s v="F121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8"/>
    <n v="0"/>
    <n v="3"/>
    <n v="0"/>
    <s v="YELLOW"/>
    <s v="N00765Y"/>
    <s v="ToyoLi - YELLOW"/>
    <n v="28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3"/>
    <n v="0"/>
    <s v="WHITE"/>
    <s v="N00765W"/>
    <s v="ToyoLi - WHITE"/>
    <n v="30"/>
    <n v="0"/>
    <m/>
    <m/>
    <n v="0"/>
    <s v="F640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25"/>
    <n v="0"/>
    <n v="36.38888888888888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6"/>
    <n v="0"/>
    <n v="0"/>
    <n v="5"/>
    <n v="0"/>
    <n v="0"/>
    <n v="0.3"/>
    <m/>
    <m/>
    <n v="0.5"/>
    <n v="0.2"/>
    <n v="0"/>
    <n v="77"/>
    <n v="0"/>
    <n v="0"/>
    <n v="77"/>
    <n v="77"/>
    <n v="23.099999999999998"/>
    <n v="0"/>
    <n v="0"/>
    <n v="0"/>
    <n v="0"/>
    <n v="0"/>
    <n v="38.5"/>
    <n v="0"/>
    <n v="15.4"/>
    <n v="0"/>
    <n v="0"/>
    <n v="0"/>
    <n v="0"/>
    <m/>
    <n v="43"/>
    <n v="101"/>
    <s v="TL42"/>
    <s v="ToyoLiToyoLiToyoLiToyoLiToyoLiToyoLi"/>
    <s v="+"/>
    <s v="+"/>
    <s v="+"/>
    <s v="+"/>
    <s v="+"/>
    <s v="+"/>
    <s v="NIL"/>
    <s v="NIL"/>
  </r>
  <r>
    <d v="2026-01-08T00:00:00"/>
    <s v="B"/>
    <x v="136"/>
    <s v="TL43"/>
    <n v="433"/>
    <n v="25000"/>
    <s v="I"/>
    <s v="N"/>
    <n v="0.9"/>
    <s v="REFLEX BLUE"/>
    <s v="J00949B"/>
    <s v="ToyoLi - REFLEX BLUE"/>
    <n v="20"/>
    <n v="0"/>
    <s v="F00835B/N00913B"/>
    <n v="29"/>
    <n v="0"/>
    <s v="R1205"/>
    <s v="R92"/>
    <m/>
    <m/>
    <m/>
    <m/>
    <m/>
    <m/>
    <n v="20"/>
    <n v="0"/>
    <n v="4"/>
    <n v="0"/>
    <m/>
    <n v="0"/>
    <m/>
    <n v="0"/>
    <m/>
    <n v="0"/>
    <m/>
    <n v="0"/>
    <m/>
    <n v="0"/>
    <m/>
    <n v="0"/>
    <s v="ToyoLi"/>
    <n v="40"/>
    <n v="0"/>
    <n v="56.63636363636364"/>
    <n v="0"/>
    <s v="REFLEX BLUE"/>
    <s v="J00870B"/>
    <s v="ToyoLi - REFLEX BLUE"/>
    <n v="38"/>
    <n v="0"/>
    <m/>
    <m/>
    <n v="0"/>
    <s v="RTMD"/>
    <s v="R1205"/>
    <s v="R39"/>
    <m/>
    <m/>
    <m/>
    <m/>
    <m/>
    <n v="20"/>
    <n v="0"/>
    <n v="2"/>
    <n v="0"/>
    <n v="1"/>
    <n v="0"/>
    <m/>
    <n v="0"/>
    <m/>
    <n v="0"/>
    <m/>
    <n v="0"/>
    <m/>
    <n v="0"/>
    <m/>
    <n v="0"/>
    <s v="ToyoLi"/>
    <n v="38"/>
    <n v="0"/>
    <n v="39.545454545454547"/>
    <n v="0"/>
    <s v="MAGENTA"/>
    <s v="F00858M"/>
    <s v="ToyoLi - MAGENTA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6.7272727272727266"/>
    <n v="0"/>
    <s v="YELLOW"/>
    <s v="F00858Y"/>
    <s v="ToyoLi - YELLOW"/>
    <n v="27"/>
    <n v="0"/>
    <m/>
    <m/>
    <n v="0"/>
    <s v="F23T"/>
    <s v="F53"/>
    <m/>
    <m/>
    <m/>
    <m/>
    <m/>
    <m/>
    <n v="2"/>
    <n v="0"/>
    <n v="0.2"/>
    <n v="0"/>
    <m/>
    <n v="0"/>
    <m/>
    <n v="0"/>
    <m/>
    <n v="0"/>
    <m/>
    <n v="0"/>
    <m/>
    <n v="0"/>
    <m/>
    <n v="0"/>
    <s v="ToyoLi"/>
    <n v="25"/>
    <n v="0"/>
    <n v="4.1999999999999993"/>
    <n v="0"/>
    <s v="BLACK"/>
    <s v="B01033G"/>
    <s v="ToyoLi - BLACK"/>
    <n v="14"/>
    <n v="0"/>
    <m/>
    <m/>
    <n v="0"/>
    <s v="RTMD"/>
    <s v="R92"/>
    <m/>
    <m/>
    <m/>
    <m/>
    <m/>
    <m/>
    <n v="10"/>
    <n v="0"/>
    <n v="0.3"/>
    <n v="0"/>
    <m/>
    <n v="0"/>
    <m/>
    <n v="0"/>
    <m/>
    <n v="0"/>
    <m/>
    <n v="0"/>
    <m/>
    <n v="0"/>
    <m/>
    <n v="0"/>
    <s v="ToyoLi"/>
    <n v="27"/>
    <n v="0"/>
    <n v="11.481818181818184"/>
    <n v="0"/>
    <s v="WHITE"/>
    <s v="F00858W"/>
    <s v="ToyoLi - WHITE"/>
    <n v="25"/>
    <n v="0"/>
    <m/>
    <m/>
    <n v="0"/>
    <s v="F640"/>
    <s v="HSLAS"/>
    <m/>
    <m/>
    <m/>
    <m/>
    <m/>
    <m/>
    <n v="60"/>
    <n v="0"/>
    <n v="6.28"/>
    <n v="0"/>
    <m/>
    <n v="0"/>
    <m/>
    <n v="0"/>
    <m/>
    <n v="0"/>
    <m/>
    <n v="0"/>
    <m/>
    <n v="0"/>
    <m/>
    <n v="0"/>
    <s v="ToyoLi"/>
    <n v="25"/>
    <n v="0"/>
    <n v="137.1890909090909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7"/>
    <n v="2"/>
    <n v="0"/>
    <n v="6"/>
    <n v="30"/>
    <n v="0"/>
    <n v="0"/>
    <n v="0.3"/>
    <m/>
    <m/>
    <n v="0.5"/>
    <n v="0.2"/>
    <n v="0"/>
    <n v="130"/>
    <n v="0"/>
    <n v="0"/>
    <n v="130"/>
    <n v="130"/>
    <n v="39"/>
    <n v="0"/>
    <n v="0"/>
    <n v="0"/>
    <n v="0"/>
    <n v="0"/>
    <n v="65"/>
    <n v="0"/>
    <n v="26"/>
    <n v="0"/>
    <n v="0"/>
    <n v="0"/>
    <n v="0"/>
    <m/>
    <n v="125.78"/>
    <n v="255.78"/>
    <s v="TL43"/>
    <s v="ToyoLiToyoLiToyoLiToyoLiToyoLiToyoLi"/>
    <s v="+"/>
    <s v="+"/>
    <s v="+"/>
    <s v="+"/>
    <s v="+"/>
    <s v="+"/>
    <s v="NIL"/>
    <s v="NIL"/>
  </r>
  <r>
    <d v="2026-01-08T00:00:00"/>
    <s v="B"/>
    <x v="137"/>
    <s v="TL44"/>
    <n v="432"/>
    <n v="24900"/>
    <s v="I"/>
    <s v="N"/>
    <n v="1.23"/>
    <s v="BLACK"/>
    <s v="F00858B"/>
    <s v="ToyoLi - BLACK"/>
    <n v="26"/>
    <n v="0"/>
    <m/>
    <m/>
    <n v="0"/>
    <s v="RTMD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4.6111111111111143"/>
    <n v="0"/>
    <s v="REFLEX BLUE"/>
    <s v="B01030B"/>
    <s v="ToyoLi - REFLEX BLUE"/>
    <n v="27"/>
    <n v="0"/>
    <s v="J00870B"/>
    <n v="12"/>
    <n v="0"/>
    <s v="R1205"/>
    <s v="Z822"/>
    <m/>
    <m/>
    <m/>
    <m/>
    <m/>
    <m/>
    <n v="10"/>
    <n v="0"/>
    <n v="15"/>
    <n v="0"/>
    <m/>
    <n v="0"/>
    <m/>
    <n v="0"/>
    <m/>
    <n v="0"/>
    <m/>
    <n v="0"/>
    <m/>
    <n v="0"/>
    <m/>
    <n v="0"/>
    <s v="ToyoLi"/>
    <n v="36"/>
    <n v="0"/>
    <n v="55.083333333333343"/>
    <n v="0"/>
    <s v="CYAN"/>
    <s v="F00858C"/>
    <s v="ToyoLi - CYAN"/>
    <n v="24"/>
    <n v="0"/>
    <m/>
    <m/>
    <n v="0"/>
    <s v="R39"/>
    <s v="RTMD"/>
    <m/>
    <m/>
    <m/>
    <m/>
    <m/>
    <m/>
    <n v="10"/>
    <n v="0"/>
    <n v="21"/>
    <n v="0"/>
    <m/>
    <n v="0"/>
    <m/>
    <n v="0"/>
    <m/>
    <n v="0"/>
    <m/>
    <n v="0"/>
    <m/>
    <n v="0"/>
    <m/>
    <n v="0"/>
    <s v="ToyoLi"/>
    <n v="25"/>
    <n v="0"/>
    <n v="66.111111111111114"/>
    <n v="0"/>
    <s v="MAGENTA"/>
    <s v="N00794M"/>
    <s v="ToyoLi - MAGENTA"/>
    <n v="26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4.6111111111111143"/>
    <n v="0"/>
    <s v="YELLOW"/>
    <s v="N00794Y"/>
    <s v="ToyoLi - YELLOW"/>
    <n v="25"/>
    <n v="0"/>
    <m/>
    <m/>
    <n v="0"/>
    <s v="F23T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4"/>
    <n v="0"/>
    <n v="9.4166666666666643"/>
    <n v="0"/>
    <s v="WHITE"/>
    <s v="N00794W"/>
    <s v="ToyoLi - WHITE"/>
    <n v="25"/>
    <n v="0"/>
    <m/>
    <m/>
    <n v="0"/>
    <s v="F640"/>
    <s v="HSLAS"/>
    <m/>
    <m/>
    <m/>
    <m/>
    <m/>
    <m/>
    <n v="60"/>
    <n v="0"/>
    <n v="6.22"/>
    <n v="0"/>
    <m/>
    <n v="0"/>
    <m/>
    <n v="0"/>
    <m/>
    <n v="0"/>
    <m/>
    <n v="0"/>
    <m/>
    <n v="0"/>
    <m/>
    <n v="0"/>
    <s v="ToyoLi"/>
    <n v="25"/>
    <n v="0"/>
    <n v="120.3866666666666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5"/>
    <n v="20"/>
    <n v="2"/>
    <n v="3"/>
    <n v="30"/>
    <n v="0"/>
    <n v="0"/>
    <n v="0.3"/>
    <m/>
    <m/>
    <n v="0.5"/>
    <n v="0.2"/>
    <n v="0"/>
    <n v="130"/>
    <n v="0"/>
    <n v="0"/>
    <n v="130"/>
    <n v="130"/>
    <n v="39"/>
    <n v="0"/>
    <n v="0"/>
    <n v="0"/>
    <n v="0"/>
    <n v="0"/>
    <n v="65"/>
    <n v="0"/>
    <n v="26"/>
    <n v="0"/>
    <n v="0"/>
    <n v="0"/>
    <n v="0"/>
    <m/>
    <n v="131.22"/>
    <n v="260.22000000000003"/>
    <s v="TL44"/>
    <s v="ToyoLiToyoLiToyoLiToyoLiToyoLiToyoLi"/>
    <s v="+"/>
    <s v="+"/>
    <s v="+"/>
    <s v="+"/>
    <s v="+"/>
    <s v="+"/>
    <s v="NIL"/>
    <s v="NIL"/>
  </r>
  <r>
    <d v="2026-01-09T00:00:00"/>
    <s v="A"/>
    <x v="138"/>
    <s v="TL45"/>
    <n v="222"/>
    <n v="12800"/>
    <s v="I"/>
    <s v="N"/>
    <n v="1.32"/>
    <s v="BLACK"/>
    <s v="G00376B"/>
    <s v="ToyoLi - BLACK"/>
    <n v="32"/>
    <n v="0"/>
    <m/>
    <m/>
    <n v="0"/>
    <s v="F121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8"/>
    <n v="0"/>
    <n v="9.9444444444444429"/>
    <n v="0"/>
    <s v="RED"/>
    <s v="J00956R"/>
    <s v="ToyoLi - RED"/>
    <n v="20"/>
    <n v="0"/>
    <s v="F00851R/C01342R"/>
    <n v="21"/>
    <n v="0"/>
    <s v="F121"/>
    <s v="F53"/>
    <m/>
    <m/>
    <m/>
    <m/>
    <m/>
    <m/>
    <n v="8"/>
    <n v="0"/>
    <n v="5"/>
    <n v="0"/>
    <m/>
    <n v="0"/>
    <m/>
    <n v="0"/>
    <m/>
    <n v="0"/>
    <m/>
    <n v="0"/>
    <m/>
    <n v="0"/>
    <m/>
    <n v="0"/>
    <s v="ToyoLi"/>
    <n v="37"/>
    <n v="0"/>
    <n v="26.888888888888886"/>
    <n v="0"/>
    <s v="CYAN"/>
    <s v="N00798C"/>
    <s v="ToyoLi - CYAN"/>
    <n v="25"/>
    <n v="0"/>
    <m/>
    <m/>
    <n v="0"/>
    <s v="R39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0"/>
    <n v="0"/>
    <n v="9.8888888888888857"/>
    <n v="0"/>
    <s v="MAGENTA"/>
    <s v="N00798M"/>
    <s v="ToyoLi - MAGENTA"/>
    <n v="28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9"/>
    <n v="0"/>
    <n v="5.9444444444444429"/>
    <n v="0"/>
    <s v="YELLOW"/>
    <s v="N00798Y"/>
    <s v="ToyoLi - YELLOW"/>
    <n v="24"/>
    <n v="0"/>
    <m/>
    <m/>
    <n v="0"/>
    <s v="F23T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5"/>
    <n v="0"/>
    <n v="7.9444444444444429"/>
    <n v="0"/>
    <s v="GOLD"/>
    <s v="N00876G"/>
    <s v="ToyoLi - GOLD"/>
    <n v="26"/>
    <n v="0"/>
    <m/>
    <m/>
    <n v="0"/>
    <n v="262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0"/>
    <n v="0"/>
    <n v="11.944444444444443"/>
    <n v="0"/>
    <s v="WHITE"/>
    <s v="N00798W"/>
    <s v="ToyoLi - WHITE"/>
    <n v="25"/>
    <n v="0"/>
    <m/>
    <m/>
    <n v="0"/>
    <s v="F640"/>
    <s v="HSLAS"/>
    <m/>
    <m/>
    <m/>
    <m/>
    <m/>
    <m/>
    <n v="40"/>
    <n v="0"/>
    <n v="4.99"/>
    <n v="0"/>
    <m/>
    <n v="0"/>
    <m/>
    <n v="0"/>
    <m/>
    <n v="0"/>
    <m/>
    <n v="0"/>
    <m/>
    <n v="0"/>
    <m/>
    <n v="0"/>
    <s v="ToyoLi"/>
    <n v="25"/>
    <n v="0"/>
    <n v="94.43444444444443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"/>
    <n v="4"/>
    <n v="2"/>
    <n v="2"/>
    <n v="2"/>
    <n v="20"/>
    <n v="0"/>
    <n v="0.3"/>
    <m/>
    <m/>
    <n v="0.5"/>
    <n v="0.2"/>
    <n v="0"/>
    <n v="89"/>
    <n v="0"/>
    <n v="0"/>
    <n v="89"/>
    <n v="89"/>
    <n v="26.7"/>
    <n v="0"/>
    <n v="0"/>
    <n v="0"/>
    <n v="0"/>
    <n v="0"/>
    <n v="44.5"/>
    <n v="0"/>
    <n v="17.8"/>
    <n v="0"/>
    <n v="0"/>
    <n v="0"/>
    <n v="0"/>
    <m/>
    <n v="70.989999999999995"/>
    <n v="166.98999999999998"/>
    <s v="TL45"/>
    <s v="ToyoLiToyoLiToyoLiToyoLiToyoLiToyoLiToyoLi"/>
    <s v="+"/>
    <s v="+"/>
    <s v="+"/>
    <s v="+"/>
    <s v="+"/>
    <s v="+"/>
    <s v="+"/>
    <s v="NIL"/>
  </r>
  <r>
    <d v="2026-01-09T00:00:00"/>
    <s v="A"/>
    <x v="139"/>
    <s v="TL46"/>
    <n v="583"/>
    <n v="33600"/>
    <s v="I"/>
    <s v="N"/>
    <n v="1.32"/>
    <s v="REFLEX BLUE"/>
    <s v="N00794B"/>
    <s v="ToyoLi - REFLEX BLUE"/>
    <n v="40"/>
    <n v="0"/>
    <s v="N00798B"/>
    <n v="19"/>
    <n v="0"/>
    <s v="R1205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5"/>
    <n v="0"/>
    <n v="37.333333333333329"/>
    <n v="0"/>
    <s v="REFLEX BLUE"/>
    <s v="N00794B"/>
    <s v="ToyoLi - REFLEX BLUE"/>
    <n v="38"/>
    <n v="0"/>
    <m/>
    <m/>
    <n v="0"/>
    <s v="RTMD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7"/>
    <n v="0"/>
    <n v="17.111111111111114"/>
    <n v="0"/>
    <s v="MAGENTA"/>
    <s v="N00791M"/>
    <s v="ToyoLi - MAGENTA"/>
    <n v="29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9.5555555555555571"/>
    <n v="0"/>
    <s v="YELLOW"/>
    <s v="N00791Y"/>
    <s v="ToyoLi - YELLOW"/>
    <n v="25"/>
    <n v="0"/>
    <m/>
    <m/>
    <n v="0"/>
    <s v="F23T"/>
    <m/>
    <m/>
    <m/>
    <m/>
    <m/>
    <m/>
    <m/>
    <n v="7"/>
    <n v="0"/>
    <m/>
    <n v="0"/>
    <m/>
    <n v="0"/>
    <m/>
    <n v="0"/>
    <m/>
    <n v="0"/>
    <m/>
    <n v="0"/>
    <m/>
    <n v="0"/>
    <m/>
    <n v="0"/>
    <s v="ToyoLi"/>
    <n v="30"/>
    <n v="0"/>
    <n v="7.5555555555555571"/>
    <n v="0"/>
    <s v="BLACK"/>
    <s v="N00794G"/>
    <s v="ToyoLi - BLACK"/>
    <n v="31"/>
    <n v="0"/>
    <m/>
    <m/>
    <n v="0"/>
    <s v="RTMD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3"/>
    <n v="0"/>
    <n v="19.555555555555557"/>
    <n v="0"/>
    <s v="WHITE"/>
    <s v="N00791W"/>
    <s v="ToyoLi - WHITE"/>
    <n v="25"/>
    <n v="0"/>
    <m/>
    <m/>
    <n v="0"/>
    <s v="F640"/>
    <s v="HSLAS"/>
    <m/>
    <m/>
    <m/>
    <m/>
    <m/>
    <m/>
    <n v="100"/>
    <n v="0"/>
    <n v="6.88"/>
    <n v="0"/>
    <m/>
    <n v="0"/>
    <m/>
    <n v="0"/>
    <m/>
    <n v="0"/>
    <m/>
    <n v="0"/>
    <m/>
    <n v="0"/>
    <m/>
    <n v="0"/>
    <s v="ToyoLi"/>
    <n v="30"/>
    <n v="0"/>
    <n v="240.7688888888889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4"/>
    <n v="2"/>
    <n v="2"/>
    <n v="2"/>
    <n v="50"/>
    <n v="0"/>
    <n v="0"/>
    <n v="0.3"/>
    <m/>
    <m/>
    <n v="0.5"/>
    <n v="0.2"/>
    <n v="0"/>
    <n v="175"/>
    <n v="0"/>
    <n v="0"/>
    <n v="175"/>
    <n v="175"/>
    <n v="52.5"/>
    <n v="0"/>
    <n v="0"/>
    <n v="0"/>
    <n v="0"/>
    <n v="0"/>
    <n v="87.5"/>
    <n v="0"/>
    <n v="35"/>
    <n v="0"/>
    <n v="0"/>
    <n v="0"/>
    <n v="0"/>
    <m/>
    <n v="132.88"/>
    <n v="331.88"/>
    <s v="TL46"/>
    <s v="ToyoLiToyoLiToyoLiToyoLiToyoLiToyoLi"/>
    <s v="+"/>
    <s v="+"/>
    <s v="+"/>
    <s v="+"/>
    <s v="+"/>
    <s v="+"/>
    <s v="NIL"/>
    <s v="NIL"/>
  </r>
  <r>
    <d v="2026-01-09T00:00:00"/>
    <s v="A"/>
    <x v="140"/>
    <s v="TL47"/>
    <n v="222"/>
    <n v="12800"/>
    <s v="I"/>
    <s v="N"/>
    <n v="1.32"/>
    <s v="BLACK"/>
    <s v="N00798B"/>
    <s v="ToyoLi - BLACK"/>
    <n v="28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11.739130434782609"/>
    <n v="0"/>
    <s v="WHITE"/>
    <s v="N00800W"/>
    <s v="ToyoLi - WHITE"/>
    <n v="30"/>
    <n v="0"/>
    <m/>
    <m/>
    <n v="0"/>
    <s v="F640"/>
    <s v="HSLAS"/>
    <m/>
    <m/>
    <m/>
    <m/>
    <m/>
    <m/>
    <n v="40"/>
    <n v="0"/>
    <n v="2.13"/>
    <n v="0"/>
    <m/>
    <n v="0"/>
    <m/>
    <n v="0"/>
    <m/>
    <n v="0"/>
    <m/>
    <n v="0"/>
    <m/>
    <n v="0"/>
    <m/>
    <n v="0"/>
    <s v="ToyoLi"/>
    <n v="30"/>
    <n v="0"/>
    <n v="100.3908695652173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20"/>
    <n v="0"/>
    <n v="0"/>
    <n v="0"/>
    <n v="0"/>
    <n v="0"/>
    <n v="0"/>
    <n v="0.3"/>
    <m/>
    <m/>
    <n v="0.5"/>
    <n v="0.2"/>
    <n v="0"/>
    <n v="67"/>
    <n v="0"/>
    <n v="0"/>
    <n v="67"/>
    <n v="67"/>
    <n v="20.099999999999998"/>
    <n v="0"/>
    <n v="0"/>
    <n v="0"/>
    <n v="0"/>
    <n v="0"/>
    <n v="33.5"/>
    <n v="0"/>
    <n v="13.4"/>
    <n v="0"/>
    <n v="0"/>
    <n v="0"/>
    <n v="0"/>
    <m/>
    <n v="44.13"/>
    <n v="112.12999999999998"/>
    <s v="TL47"/>
    <s v="ToyoLiToyoLi"/>
    <s v="+"/>
    <s v="+"/>
    <s v="NIL"/>
    <s v="NIL"/>
    <s v="NIL"/>
    <s v="NIL"/>
    <s v="NIL"/>
    <s v="NIL"/>
  </r>
  <r>
    <d v="2026-01-09T00:00:00"/>
    <s v="A"/>
    <x v="141"/>
    <s v="TL48"/>
    <n v="42"/>
    <n v="2000"/>
    <s v="I"/>
    <s v="N"/>
    <n v="0.5"/>
    <s v="BLACK"/>
    <s v="N00792B"/>
    <s v="ToyoLi - BLACK"/>
    <n v="27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6"/>
    <n v="0"/>
    <n v="12.571428571428569"/>
    <n v="0"/>
    <s v="CYAN"/>
    <s v="N00791C"/>
    <s v="ToyoLi - CYAN"/>
    <n v="30"/>
    <n v="0"/>
    <m/>
    <m/>
    <n v="0"/>
    <s v="RTMD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5"/>
    <n v="0"/>
    <n v="31.42857142857143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0"/>
    <n v="0"/>
    <n v="0"/>
    <n v="0"/>
    <n v="0"/>
    <n v="0"/>
    <n v="0.3"/>
    <m/>
    <m/>
    <n v="0.5"/>
    <n v="0.2"/>
    <n v="0"/>
    <n v="30"/>
    <n v="0"/>
    <n v="0"/>
    <n v="30"/>
    <n v="30"/>
    <n v="9"/>
    <n v="0"/>
    <n v="0"/>
    <n v="0"/>
    <n v="0"/>
    <n v="0"/>
    <n v="15"/>
    <n v="0"/>
    <n v="6"/>
    <n v="0"/>
    <n v="0"/>
    <n v="0"/>
    <n v="0"/>
    <m/>
    <n v="8"/>
    <n v="44"/>
    <s v="TL48"/>
    <s v="ToyoLiToyoLi"/>
    <s v="+"/>
    <s v="+"/>
    <s v="NIL"/>
    <s v="NIL"/>
    <s v="NIL"/>
    <s v="NIL"/>
    <s v="NIL"/>
    <s v="NIL"/>
  </r>
  <r>
    <d v="2026-01-09T00:00:00"/>
    <s v="A"/>
    <x v="142"/>
    <s v="TL49"/>
    <n v="11105"/>
    <n v="552200"/>
    <s v="I"/>
    <s v="N"/>
    <n v="1.55"/>
    <s v="BLACK"/>
    <s v="C01461B"/>
    <s v="ToyoLi - BLACK"/>
    <n v="26"/>
    <n v="0"/>
    <m/>
    <m/>
    <n v="0"/>
    <s v="R92"/>
    <m/>
    <m/>
    <m/>
    <m/>
    <m/>
    <m/>
    <m/>
    <n v="25"/>
    <n v="0"/>
    <m/>
    <n v="0"/>
    <m/>
    <n v="0"/>
    <m/>
    <n v="0"/>
    <m/>
    <n v="0"/>
    <m/>
    <n v="0"/>
    <m/>
    <n v="0"/>
    <m/>
    <n v="0"/>
    <s v="ToyoLi"/>
    <n v="30"/>
    <n v="0"/>
    <n v="71.784313725490193"/>
    <n v="0"/>
    <s v="REFLEX BLUE"/>
    <s v="P00010B"/>
    <s v="ToyoLi - REFLEX BLUE"/>
    <n v="10"/>
    <n v="0"/>
    <s v="J00870B/M00877B/J00072B/N00800B/J00952B/P00010B/P00439B/N00765B/N00877B/J00872B/N00798B/J00952B/N00913B/J00937B/F00857B/B01026B/B01025B/N00656B/H01306B/R00009B/J00953B/N00876B/J00870B/B00857B/P00441B/B01041B/J00949B/L00293B/B01010B/J00933B/L00293B/B00992B/N00817B/P00441B/H01149B/N00761B/N00765B/J00950B/R00015B/J00872B/P00430B/L01202B"/>
    <n v="723"/>
    <n v="0"/>
    <s v="F121"/>
    <s v="R1205"/>
    <s v="R1205"/>
    <s v="F121"/>
    <s v="R1205"/>
    <s v="F121"/>
    <m/>
    <m/>
    <n v="40"/>
    <n v="0"/>
    <n v="140"/>
    <n v="0"/>
    <n v="150"/>
    <n v="0"/>
    <n v="20"/>
    <n v="0"/>
    <n v="200"/>
    <n v="0"/>
    <n v="120"/>
    <n v="0"/>
    <m/>
    <n v="0"/>
    <m/>
    <n v="0"/>
    <s v="ToyoLi"/>
    <n v="18"/>
    <n v="0"/>
    <n v="2169.848484848485"/>
    <n v="0"/>
    <s v="MAGENTA"/>
    <s v="F00857M"/>
    <s v="ToyoLi - MAGENTA"/>
    <n v="13"/>
    <n v="0"/>
    <s v="J00874M/J00936M/J00871M"/>
    <n v="45"/>
    <n v="0"/>
    <s v="F121"/>
    <s v="RTMD"/>
    <m/>
    <m/>
    <m/>
    <m/>
    <m/>
    <m/>
    <n v="25"/>
    <n v="0"/>
    <n v="12"/>
    <n v="0"/>
    <m/>
    <n v="0"/>
    <m/>
    <n v="0"/>
    <m/>
    <n v="0"/>
    <m/>
    <n v="0"/>
    <m/>
    <n v="0"/>
    <m/>
    <n v="0"/>
    <s v="ToyoLi"/>
    <n v="32"/>
    <n v="0"/>
    <n v="111.475935828877"/>
    <n v="0"/>
    <s v="CYAN"/>
    <s v="P00435C"/>
    <s v="ToyoLi - CYAN"/>
    <n v="16"/>
    <n v="0"/>
    <s v="N00823C/B01024C/F00846C/F00848F/B01030C/J00870C/F00848C/H01309C/H01307C/B01030C/N00800C/P00297C/J00952C/B01010C/J00833C/N00833C/N00816C/P00420C/B01033C/G00351C/B00715C/B01033C/N00886C/B00462C"/>
    <n v="377"/>
    <n v="0"/>
    <s v="RTMD"/>
    <s v="R39"/>
    <s v="RTMD"/>
    <s v="R39"/>
    <s v="RTMD"/>
    <m/>
    <m/>
    <m/>
    <n v="20"/>
    <n v="0"/>
    <n v="160"/>
    <n v="0"/>
    <n v="180"/>
    <n v="0"/>
    <n v="110"/>
    <n v="0"/>
    <n v="100"/>
    <n v="0"/>
    <m/>
    <n v="0"/>
    <m/>
    <n v="0"/>
    <m/>
    <n v="0"/>
    <s v="ToyoLi"/>
    <n v="14"/>
    <n v="0"/>
    <n v="1479.9269162210339"/>
    <n v="0"/>
    <s v="MAGENTA"/>
    <s v="N00800M"/>
    <s v="ToyoLi - MAGENTA"/>
    <n v="28"/>
    <n v="0"/>
    <m/>
    <m/>
    <n v="0"/>
    <s v="F121"/>
    <m/>
    <m/>
    <m/>
    <m/>
    <m/>
    <m/>
    <m/>
    <n v="7"/>
    <n v="0"/>
    <m/>
    <n v="0"/>
    <m/>
    <n v="0"/>
    <m/>
    <n v="0"/>
    <m/>
    <n v="0"/>
    <m/>
    <n v="0"/>
    <m/>
    <n v="0"/>
    <m/>
    <n v="0"/>
    <s v="ToyoLi"/>
    <n v="22"/>
    <n v="0"/>
    <n v="24.541889483065951"/>
    <n v="0"/>
    <s v="YELLOW"/>
    <s v="N00800Y"/>
    <s v="ToyoLi - YELLOW"/>
    <n v="15"/>
    <n v="0"/>
    <m/>
    <m/>
    <n v="0"/>
    <s v="F23T"/>
    <s v="F53"/>
    <m/>
    <m/>
    <m/>
    <m/>
    <m/>
    <m/>
    <n v="60"/>
    <n v="0"/>
    <n v="0.70000000000000007"/>
    <n v="0"/>
    <m/>
    <n v="0"/>
    <m/>
    <n v="0"/>
    <m/>
    <n v="0"/>
    <m/>
    <n v="0"/>
    <m/>
    <n v="0"/>
    <m/>
    <n v="0"/>
    <s v="ToyoLi"/>
    <n v="25"/>
    <n v="0"/>
    <n v="131.49322638146168"/>
    <n v="0"/>
    <s v="YELLOW"/>
    <s v="N00800Y"/>
    <s v="ToyoLi - YELLOW"/>
    <n v="15"/>
    <n v="0"/>
    <m/>
    <m/>
    <n v="0"/>
    <s v="F23T"/>
    <m/>
    <m/>
    <m/>
    <m/>
    <m/>
    <m/>
    <m/>
    <n v="100"/>
    <n v="0"/>
    <m/>
    <n v="0"/>
    <m/>
    <n v="0"/>
    <m/>
    <n v="0"/>
    <m/>
    <n v="0"/>
    <m/>
    <n v="0"/>
    <m/>
    <n v="0"/>
    <m/>
    <n v="0"/>
    <s v="ToyoLi"/>
    <n v="24"/>
    <n v="0"/>
    <n v="229.50267379679144"/>
    <n v="0"/>
    <s v="WHITE"/>
    <s v="N000792W"/>
    <s v="ToyoLi - WHITE"/>
    <n v="30"/>
    <n v="0"/>
    <m/>
    <m/>
    <n v="0"/>
    <s v="F640"/>
    <m/>
    <m/>
    <m/>
    <m/>
    <m/>
    <m/>
    <m/>
    <n v="1530"/>
    <n v="0"/>
    <m/>
    <n v="0"/>
    <m/>
    <n v="0"/>
    <m/>
    <n v="0"/>
    <m/>
    <n v="0"/>
    <m/>
    <n v="0"/>
    <m/>
    <n v="0"/>
    <m/>
    <n v="0"/>
    <s v="ToyoLi"/>
    <n v="25"/>
    <n v="0"/>
    <n v="3774.1265597147949"/>
    <n v="0"/>
    <n v="22"/>
    <n v="340"/>
    <n v="21"/>
    <n v="230"/>
    <n v="5"/>
    <n v="35"/>
    <n v="60"/>
    <n v="970"/>
    <n v="0.3"/>
    <m/>
    <m/>
    <n v="0.5"/>
    <n v="0.2"/>
    <n v="0"/>
    <n v="3885"/>
    <n v="0"/>
    <n v="0"/>
    <n v="3885"/>
    <n v="3885"/>
    <n v="1165.5"/>
    <n v="0"/>
    <n v="0"/>
    <n v="0"/>
    <n v="0"/>
    <n v="0"/>
    <n v="1942.5"/>
    <n v="0"/>
    <n v="777"/>
    <n v="0"/>
    <n v="0"/>
    <n v="0"/>
    <n v="0"/>
    <m/>
    <n v="2999.7"/>
    <n v="7992.7"/>
    <s v="TL49"/>
    <s v="ToyoLiToyoLiToyoLiToyoLiToyoLiToyoLiToyoLiToyoLi"/>
    <s v="+"/>
    <s v="+"/>
    <s v="+"/>
    <s v="+"/>
    <s v="+"/>
    <s v="+"/>
    <s v="+"/>
    <s v="+"/>
  </r>
  <r>
    <d v="2026-01-10T00:00:00"/>
    <s v="B"/>
    <x v="143"/>
    <s v="TL50"/>
    <n v="84"/>
    <n v="5000"/>
    <s v="I"/>
    <s v="N"/>
    <n v="2.1"/>
    <s v="BLACK"/>
    <s v="L00294B"/>
    <s v="ToyoLi - BLACK"/>
    <n v="30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9"/>
    <n v="0"/>
    <n v="10"/>
    <n v="0"/>
    <s v="ORANGE"/>
    <s v="L00294O"/>
    <s v="ToyoLi - ORANGE"/>
    <n v="8"/>
    <n v="0"/>
    <s v="L00294O"/>
    <n v="5"/>
    <n v="0"/>
    <s v="RTMD"/>
    <s v="F53"/>
    <s v="R92"/>
    <s v="F640"/>
    <m/>
    <m/>
    <m/>
    <m/>
    <n v="3"/>
    <n v="0"/>
    <n v="2"/>
    <n v="0"/>
    <n v="0.3"/>
    <n v="0"/>
    <n v="5"/>
    <n v="0"/>
    <m/>
    <n v="0"/>
    <m/>
    <n v="0"/>
    <m/>
    <n v="0"/>
    <m/>
    <n v="0"/>
    <s v="ToyoLi"/>
    <n v="21"/>
    <n v="0"/>
    <n v="19.799999999999997"/>
    <n v="0"/>
    <s v="WHITE"/>
    <s v="L00294W"/>
    <s v="ToyoLi - WHITE"/>
    <n v="25"/>
    <n v="0"/>
    <m/>
    <m/>
    <n v="0"/>
    <s v="F640"/>
    <m/>
    <m/>
    <m/>
    <m/>
    <m/>
    <m/>
    <m/>
    <n v="15"/>
    <n v="0"/>
    <m/>
    <n v="0"/>
    <m/>
    <n v="0"/>
    <m/>
    <n v="0"/>
    <m/>
    <n v="0"/>
    <m/>
    <n v="0"/>
    <m/>
    <n v="0"/>
    <m/>
    <n v="0"/>
    <s v="ToyoLi"/>
    <n v="18"/>
    <n v="0"/>
    <n v="29"/>
    <n v="0"/>
    <s v="WHITE"/>
    <m/>
    <s v="ToyoLi - WHITE"/>
    <m/>
    <n v="0"/>
    <m/>
    <m/>
    <n v="0"/>
    <s v="F640"/>
    <s v="HSLAS"/>
    <m/>
    <m/>
    <m/>
    <m/>
    <m/>
    <m/>
    <n v="40"/>
    <n v="0"/>
    <n v="3.03"/>
    <n v="0"/>
    <m/>
    <n v="0"/>
    <m/>
    <n v="0"/>
    <m/>
    <n v="0"/>
    <m/>
    <n v="0"/>
    <m/>
    <n v="0"/>
    <m/>
    <n v="0"/>
    <s v="ToyoLi"/>
    <n v="27"/>
    <n v="0"/>
    <n v="68.5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2"/>
    <n v="15"/>
    <n v="0"/>
    <n v="0"/>
    <n v="0"/>
    <n v="0"/>
    <n v="0.3"/>
    <m/>
    <m/>
    <n v="0.5"/>
    <n v="0.2"/>
    <n v="0"/>
    <n v="84"/>
    <n v="0"/>
    <n v="0"/>
    <n v="84"/>
    <n v="84"/>
    <n v="25.2"/>
    <n v="0"/>
    <n v="0"/>
    <n v="0"/>
    <n v="0"/>
    <n v="0"/>
    <n v="42"/>
    <n v="0"/>
    <n v="16.8"/>
    <n v="0"/>
    <n v="0"/>
    <n v="0"/>
    <n v="0"/>
    <m/>
    <n v="70.33"/>
    <n v="127.33"/>
    <s v="TL50"/>
    <s v="ToyoLiToyoLiToyoLiToyoLi"/>
    <s v="+"/>
    <s v="+"/>
    <s v="+"/>
    <s v="+"/>
    <s v="NIL"/>
    <s v="NIL"/>
    <s v="NIL"/>
    <s v="NIL"/>
  </r>
  <r>
    <d v="2026-01-10T00:00:00"/>
    <s v="B"/>
    <x v="144"/>
    <s v="TL51"/>
    <n v="763"/>
    <n v="43000"/>
    <s v="I"/>
    <s v="N"/>
    <n v="0.3"/>
    <s v="REFLEX BLUE"/>
    <m/>
    <s v="ToyoLi - REFLEX BLUE"/>
    <m/>
    <n v="0"/>
    <m/>
    <m/>
    <n v="0"/>
    <s v="R1205"/>
    <s v="R39"/>
    <s v="Z822"/>
    <s v="F121"/>
    <m/>
    <m/>
    <m/>
    <m/>
    <n v="25"/>
    <n v="0"/>
    <n v="10"/>
    <n v="0"/>
    <n v="8"/>
    <n v="0"/>
    <n v="4"/>
    <n v="0"/>
    <m/>
    <n v="0"/>
    <m/>
    <n v="0"/>
    <m/>
    <n v="0"/>
    <m/>
    <n v="0"/>
    <s v="ToyoLi"/>
    <n v="24"/>
    <n v="0"/>
    <n v="71.857142857142861"/>
    <n v="0"/>
    <s v="WHITE"/>
    <s v="B01047W"/>
    <s v="ToyoLi - WHITE"/>
    <n v="27"/>
    <n v="0"/>
    <m/>
    <m/>
    <n v="0"/>
    <s v="F640"/>
    <s v="HSLAS"/>
    <m/>
    <m/>
    <m/>
    <m/>
    <m/>
    <m/>
    <n v="35"/>
    <n v="0"/>
    <n v="2.86"/>
    <n v="0"/>
    <m/>
    <n v="0"/>
    <m/>
    <n v="0"/>
    <m/>
    <n v="0"/>
    <m/>
    <n v="0"/>
    <m/>
    <n v="0"/>
    <m/>
    <n v="0"/>
    <s v="ToyoLi"/>
    <n v="24"/>
    <n v="0"/>
    <n v="106.0028571428571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5"/>
    <n v="20"/>
    <n v="0"/>
    <n v="0"/>
    <n v="0"/>
    <n v="0"/>
    <n v="0"/>
    <n v="0"/>
    <n v="0.3"/>
    <m/>
    <m/>
    <n v="0.5"/>
    <n v="0.2"/>
    <n v="0"/>
    <n v="114"/>
    <n v="0"/>
    <n v="0"/>
    <n v="114"/>
    <n v="114"/>
    <n v="34.199999999999996"/>
    <n v="0"/>
    <n v="0"/>
    <n v="0"/>
    <n v="0"/>
    <n v="0"/>
    <n v="57"/>
    <n v="0"/>
    <n v="22.8"/>
    <n v="0"/>
    <n v="0"/>
    <n v="0"/>
    <n v="0"/>
    <m/>
    <n v="84.86"/>
    <n v="177.85999999999999"/>
    <s v="TL51"/>
    <s v="ToyoLiToyoLi"/>
    <s v="+"/>
    <s v="+"/>
    <s v="NIL"/>
    <s v="NIL"/>
    <s v="NIL"/>
    <s v="NIL"/>
    <s v="NIL"/>
    <s v="NIL"/>
  </r>
  <r>
    <d v="2026-01-11T00:00:00"/>
    <s v="A"/>
    <x v="145"/>
    <s v="TL52"/>
    <n v="222"/>
    <n v="12800"/>
    <s v="I"/>
    <s v="N"/>
    <n v="1.22"/>
    <s v="BLACK"/>
    <s v="B01047B"/>
    <s v="ToyoLi - BLACK"/>
    <n v="29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8.2363636363636346"/>
    <n v="0"/>
    <s v="GOLD"/>
    <s v="E00910G"/>
    <s v="ToyoLi - GOLD"/>
    <n v="15"/>
    <n v="0"/>
    <s v="M00877G"/>
    <n v="9"/>
    <n v="0"/>
    <s v="TLSI"/>
    <m/>
    <m/>
    <m/>
    <m/>
    <m/>
    <m/>
    <m/>
    <n v="8"/>
    <n v="0"/>
    <m/>
    <n v="0"/>
    <m/>
    <n v="0"/>
    <m/>
    <n v="0"/>
    <m/>
    <n v="0"/>
    <m/>
    <n v="0"/>
    <m/>
    <n v="0"/>
    <m/>
    <n v="0"/>
    <s v="ToyoLi"/>
    <n v="26"/>
    <n v="0"/>
    <n v="14.090909090909093"/>
    <n v="0"/>
    <s v="GREEN"/>
    <s v="J00095G"/>
    <s v="ToyoLi - GREEN"/>
    <n v="17"/>
    <n v="0"/>
    <s v="M00877G"/>
    <n v="10"/>
    <n v="0"/>
    <s v="R79"/>
    <s v="F23T"/>
    <s v="R39"/>
    <m/>
    <m/>
    <m/>
    <m/>
    <m/>
    <n v="15"/>
    <n v="0"/>
    <n v="10"/>
    <n v="0"/>
    <n v="6"/>
    <n v="0"/>
    <m/>
    <n v="0"/>
    <m/>
    <n v="0"/>
    <m/>
    <n v="0"/>
    <m/>
    <n v="0"/>
    <m/>
    <n v="0"/>
    <s v="ToyoLi"/>
    <n v="29"/>
    <n v="0"/>
    <n v="41.945454545454538"/>
    <n v="0"/>
    <s v="CYAN"/>
    <s v="L00294C"/>
    <s v="ToyoLi - CYAN"/>
    <n v="17"/>
    <n v="0"/>
    <m/>
    <m/>
    <n v="0"/>
    <s v="R39"/>
    <m/>
    <m/>
    <m/>
    <m/>
    <m/>
    <m/>
    <m/>
    <n v="8"/>
    <n v="0"/>
    <m/>
    <n v="0"/>
    <m/>
    <n v="0"/>
    <m/>
    <n v="0"/>
    <m/>
    <n v="0"/>
    <m/>
    <n v="0"/>
    <m/>
    <n v="0"/>
    <m/>
    <n v="0"/>
    <s v="ToyoLi"/>
    <n v="25"/>
    <n v="0"/>
    <n v="16.181818181818187"/>
    <n v="0"/>
    <s v="GREEN"/>
    <s v="F00840G"/>
    <s v="ToyoLi - GREEN"/>
    <n v="20"/>
    <n v="0"/>
    <m/>
    <m/>
    <n v="0"/>
    <s v="R39"/>
    <s v="RTMD"/>
    <m/>
    <m/>
    <m/>
    <m/>
    <m/>
    <m/>
    <n v="2"/>
    <n v="0"/>
    <n v="4"/>
    <n v="0"/>
    <m/>
    <n v="0"/>
    <m/>
    <n v="0"/>
    <m/>
    <n v="0"/>
    <m/>
    <n v="0"/>
    <m/>
    <n v="0"/>
    <m/>
    <n v="0"/>
    <s v="ToyoLi"/>
    <n v="27"/>
    <n v="0"/>
    <n v="7.0909090909090935"/>
    <n v="0"/>
    <s v="MAGENTA"/>
    <s v="L00294M"/>
    <s v="ToyoLi - MAGENTA"/>
    <n v="20"/>
    <n v="0"/>
    <m/>
    <m/>
    <n v="0"/>
    <s v="F121"/>
    <m/>
    <m/>
    <m/>
    <m/>
    <m/>
    <m/>
    <m/>
    <n v="8"/>
    <n v="0"/>
    <m/>
    <n v="0"/>
    <m/>
    <n v="0"/>
    <m/>
    <n v="0"/>
    <m/>
    <n v="0"/>
    <m/>
    <n v="0"/>
    <m/>
    <n v="0"/>
    <m/>
    <n v="0"/>
    <s v="ToyoLi"/>
    <n v="29"/>
    <n v="0"/>
    <n v="7.0909090909090935"/>
    <n v="0"/>
    <s v="YELLOW"/>
    <s v="L00294Y"/>
    <s v="ToyoLi - YELLOW"/>
    <n v="19"/>
    <n v="0"/>
    <m/>
    <m/>
    <n v="0"/>
    <s v="F23T"/>
    <s v="RTMD"/>
    <m/>
    <m/>
    <m/>
    <m/>
    <m/>
    <m/>
    <n v="10"/>
    <n v="0"/>
    <n v="4"/>
    <n v="0"/>
    <m/>
    <n v="0"/>
    <m/>
    <n v="0"/>
    <m/>
    <n v="0"/>
    <m/>
    <n v="0"/>
    <m/>
    <n v="0"/>
    <m/>
    <n v="0"/>
    <s v="ToyoLi"/>
    <n v="29"/>
    <n v="0"/>
    <n v="12.090909090909093"/>
    <n v="0"/>
    <s v="WHITE"/>
    <s v="N00784W"/>
    <s v="ToyoLi - WHITE"/>
    <n v="24"/>
    <n v="0"/>
    <m/>
    <m/>
    <n v="0"/>
    <s v="F121"/>
    <s v="HSLAS"/>
    <m/>
    <m/>
    <m/>
    <m/>
    <m/>
    <m/>
    <n v="25"/>
    <n v="0"/>
    <n v="5.76"/>
    <n v="0"/>
    <m/>
    <n v="0"/>
    <m/>
    <n v="0"/>
    <m/>
    <n v="0"/>
    <m/>
    <n v="0"/>
    <m/>
    <n v="0"/>
    <m/>
    <n v="0"/>
    <s v="ToyoLi"/>
    <n v="24"/>
    <n v="0"/>
    <n v="55.032727272727271"/>
    <n v="0"/>
    <n v="2"/>
    <n v="5"/>
    <n v="8"/>
    <n v="10"/>
    <n v="5"/>
    <n v="5"/>
    <n v="5"/>
    <n v="15"/>
    <n v="0.3"/>
    <m/>
    <m/>
    <n v="0.5"/>
    <n v="0.2"/>
    <n v="0"/>
    <n v="89"/>
    <n v="0"/>
    <n v="0"/>
    <n v="89"/>
    <n v="89"/>
    <n v="26.7"/>
    <n v="0"/>
    <n v="0"/>
    <n v="0"/>
    <n v="0"/>
    <n v="0"/>
    <n v="44.5"/>
    <n v="0"/>
    <n v="17.8"/>
    <n v="0"/>
    <n v="0"/>
    <n v="0"/>
    <n v="0"/>
    <m/>
    <n v="107.76"/>
    <n v="161.76"/>
    <s v="TL52"/>
    <s v="ToyoLiToyoLiToyoLiToyoLiToyoLiToyoLiToyoLiToyoLi"/>
    <s v="+"/>
    <s v="+"/>
    <s v="+"/>
    <s v="+"/>
    <s v="+"/>
    <s v="+"/>
    <s v="+"/>
    <s v="+"/>
  </r>
  <r>
    <d v="2026-01-11T00:00:00"/>
    <s v="A"/>
    <x v="146"/>
    <s v="TL53"/>
    <n v="222"/>
    <n v="12800"/>
    <s v="I"/>
    <s v="N"/>
    <n v="1.58"/>
    <s v="BLACK"/>
    <s v="N00826B"/>
    <s v="ToyoLi - BLACK"/>
    <n v="26"/>
    <n v="0"/>
    <m/>
    <m/>
    <n v="0"/>
    <s v="RTMD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5"/>
    <n v="0"/>
    <n v="10.984126984126988"/>
    <n v="0"/>
    <s v="REFLEX BLUE"/>
    <m/>
    <s v="ToyoLi - REFLEX BLUE"/>
    <m/>
    <n v="0"/>
    <m/>
    <m/>
    <n v="0"/>
    <s v="R1205"/>
    <s v="R39"/>
    <s v="F121"/>
    <m/>
    <m/>
    <m/>
    <m/>
    <m/>
    <n v="12"/>
    <n v="0"/>
    <n v="8"/>
    <n v="0"/>
    <n v="1"/>
    <n v="0"/>
    <m/>
    <n v="0"/>
    <m/>
    <n v="0"/>
    <m/>
    <n v="0"/>
    <m/>
    <n v="0"/>
    <m/>
    <n v="0"/>
    <s v="ToyoLi"/>
    <n v="24"/>
    <n v="0"/>
    <n v="8.1746031746031775"/>
    <n v="0"/>
    <s v="RED"/>
    <s v="N00791R"/>
    <s v="ToyoLi - RED"/>
    <n v="17"/>
    <n v="0"/>
    <m/>
    <m/>
    <n v="0"/>
    <s v="F121"/>
    <s v="F53"/>
    <m/>
    <m/>
    <m/>
    <m/>
    <m/>
    <m/>
    <n v="6"/>
    <n v="0"/>
    <n v="2"/>
    <n v="0"/>
    <m/>
    <n v="0"/>
    <m/>
    <n v="0"/>
    <m/>
    <n v="0"/>
    <m/>
    <n v="0"/>
    <m/>
    <n v="0"/>
    <m/>
    <n v="0"/>
    <s v="ToyoLi"/>
    <n v="24"/>
    <n v="0"/>
    <n v="7.9841269841269842"/>
    <n v="0"/>
    <s v="CYAN"/>
    <s v="N00826C"/>
    <s v="ToyoLi - CYAN"/>
    <n v="25"/>
    <n v="0"/>
    <m/>
    <m/>
    <n v="0"/>
    <s v="RTMD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7"/>
    <n v="0"/>
    <n v="8.9841269841269877"/>
    <n v="0"/>
    <s v="MAGENTA"/>
    <s v="N00826M"/>
    <s v="ToyoLi - MAGENTA"/>
    <n v="29"/>
    <n v="0"/>
    <m/>
    <m/>
    <n v="0"/>
    <s v="RTMD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32"/>
    <n v="0"/>
    <n v="9.9841269841269877"/>
    <n v="0"/>
    <s v="YELLOW"/>
    <s v="N00826Y"/>
    <s v="ToyoLi - YELLOW"/>
    <n v="29"/>
    <n v="0"/>
    <m/>
    <m/>
    <n v="0"/>
    <s v="F23T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8"/>
    <n v="0"/>
    <n v="13.984126984126988"/>
    <n v="0"/>
    <s v="YELLOW"/>
    <s v="L00294Y"/>
    <s v="ToyoLi - YELLOW"/>
    <n v="17"/>
    <n v="0"/>
    <m/>
    <m/>
    <n v="0"/>
    <s v="F23T"/>
    <s v="RTMD"/>
    <s v="F53"/>
    <m/>
    <m/>
    <m/>
    <m/>
    <m/>
    <n v="18"/>
    <n v="0"/>
    <n v="2"/>
    <n v="0"/>
    <n v="1"/>
    <n v="0"/>
    <m/>
    <n v="0"/>
    <m/>
    <n v="0"/>
    <m/>
    <n v="0"/>
    <m/>
    <n v="0"/>
    <m/>
    <n v="0"/>
    <s v="ToyoLi"/>
    <n v="20"/>
    <n v="0"/>
    <n v="31.968253968253968"/>
    <n v="0"/>
    <s v="WHITE"/>
    <s v="N00826W"/>
    <s v="ToyoLi - WHITE"/>
    <n v="24"/>
    <n v="0"/>
    <m/>
    <m/>
    <n v="0"/>
    <s v="F640"/>
    <s v="HSLAS"/>
    <m/>
    <m/>
    <m/>
    <m/>
    <m/>
    <m/>
    <n v="25"/>
    <n v="0"/>
    <n v="5.32"/>
    <n v="0"/>
    <m/>
    <n v="0"/>
    <m/>
    <n v="0"/>
    <m/>
    <n v="0"/>
    <m/>
    <n v="0"/>
    <m/>
    <n v="0"/>
    <m/>
    <n v="0"/>
    <s v="ToyoLi"/>
    <n v="24"/>
    <n v="0"/>
    <n v="58.256507936507944"/>
    <n v="0"/>
    <n v="5"/>
    <n v="8"/>
    <n v="5"/>
    <n v="5"/>
    <n v="5"/>
    <n v="5"/>
    <n v="10"/>
    <n v="20"/>
    <n v="0.3"/>
    <m/>
    <m/>
    <n v="0.5"/>
    <n v="0.2"/>
    <n v="0"/>
    <n v="88"/>
    <n v="0"/>
    <n v="0"/>
    <n v="88"/>
    <n v="88"/>
    <n v="26.4"/>
    <n v="0"/>
    <n v="0"/>
    <n v="0"/>
    <n v="0"/>
    <n v="0"/>
    <n v="44"/>
    <n v="0"/>
    <n v="17.600000000000001"/>
    <n v="0"/>
    <n v="0"/>
    <n v="0"/>
    <n v="0"/>
    <m/>
    <n v="99.32"/>
    <n v="150.32000000000002"/>
    <s v="TL53"/>
    <s v="ToyoLiToyoLiToyoLiToyoLiToyoLiToyoLiToyoLiToyoLi"/>
    <s v="+"/>
    <s v="+"/>
    <s v="+"/>
    <s v="+"/>
    <s v="+"/>
    <s v="+"/>
    <s v="+"/>
    <s v="+"/>
  </r>
  <r>
    <d v="2026-01-11T00:00:00"/>
    <s v="A"/>
    <x v="147"/>
    <s v="TL54"/>
    <n v="432"/>
    <n v="24900"/>
    <s v="I"/>
    <s v="N"/>
    <n v="1.2"/>
    <s v="BLACK"/>
    <s v="N00793B"/>
    <s v="ToyoLi - BLACK"/>
    <n v="25"/>
    <n v="0"/>
    <m/>
    <m/>
    <n v="0"/>
    <s v="RTMD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6"/>
    <n v="0"/>
    <n v="16.984126984126988"/>
    <n v="0"/>
    <s v="REFLEX BLUE"/>
    <s v="N00793B"/>
    <s v="ToyoLi - REFLEX BLUE"/>
    <n v="24"/>
    <n v="0"/>
    <m/>
    <m/>
    <n v="0"/>
    <s v="R1205"/>
    <s v="Z822"/>
    <m/>
    <m/>
    <m/>
    <m/>
    <m/>
    <m/>
    <n v="20"/>
    <n v="0"/>
    <n v="12"/>
    <n v="0"/>
    <m/>
    <n v="0"/>
    <m/>
    <n v="0"/>
    <m/>
    <n v="0"/>
    <m/>
    <n v="0"/>
    <m/>
    <n v="0"/>
    <m/>
    <n v="0"/>
    <s v="ToyoLi"/>
    <n v="33"/>
    <n v="0"/>
    <n v="42.174603174603178"/>
    <n v="0"/>
    <s v="CYAN"/>
    <s v="N00793C"/>
    <s v="ToyoLi - CYAN"/>
    <n v="27"/>
    <n v="0"/>
    <m/>
    <m/>
    <n v="0"/>
    <s v="RTMD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25"/>
    <n v="0"/>
    <n v="55.968253968253975"/>
    <n v="0"/>
    <s v="MAGENTA"/>
    <s v="N00793M"/>
    <s v="ToyoLi - MAGENTA"/>
    <n v="24"/>
    <n v="0"/>
    <m/>
    <m/>
    <n v="0"/>
    <s v="F121"/>
    <m/>
    <m/>
    <m/>
    <m/>
    <m/>
    <m/>
    <m/>
    <n v="7"/>
    <n v="0"/>
    <m/>
    <n v="0"/>
    <m/>
    <n v="0"/>
    <m/>
    <n v="0"/>
    <m/>
    <n v="0"/>
    <m/>
    <n v="0"/>
    <m/>
    <n v="0"/>
    <m/>
    <n v="0"/>
    <s v="ToyoLi"/>
    <n v="20"/>
    <n v="0"/>
    <n v="22.984126984126988"/>
    <n v="0"/>
    <s v="YELLOW"/>
    <s v="N00793Y"/>
    <s v="ToyoLi - YELLOW"/>
    <n v="28"/>
    <n v="0"/>
    <m/>
    <m/>
    <n v="0"/>
    <s v="F23T"/>
    <m/>
    <m/>
    <m/>
    <m/>
    <m/>
    <m/>
    <m/>
    <n v="7"/>
    <n v="0"/>
    <m/>
    <n v="0"/>
    <m/>
    <n v="0"/>
    <m/>
    <n v="0"/>
    <m/>
    <n v="0"/>
    <m/>
    <n v="0"/>
    <m/>
    <n v="0"/>
    <m/>
    <n v="0"/>
    <s v="ToyoLi"/>
    <n v="27"/>
    <n v="0"/>
    <n v="19.984126984126988"/>
    <n v="0"/>
    <s v="WHITE"/>
    <s v="N00793W"/>
    <s v="ToyoLi - WHITE"/>
    <n v="24"/>
    <n v="0"/>
    <m/>
    <m/>
    <n v="0"/>
    <s v="F640"/>
    <s v="HSLAS"/>
    <m/>
    <m/>
    <m/>
    <m/>
    <m/>
    <m/>
    <n v="50"/>
    <n v="0"/>
    <n v="6.25"/>
    <n v="0"/>
    <m/>
    <n v="0"/>
    <m/>
    <n v="0"/>
    <m/>
    <n v="0"/>
    <m/>
    <n v="0"/>
    <m/>
    <n v="0"/>
    <m/>
    <n v="0"/>
    <s v="ToyoLi"/>
    <n v="24"/>
    <n v="0"/>
    <n v="128.154761904761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8"/>
    <n v="10"/>
    <n v="5"/>
    <n v="5"/>
    <n v="30"/>
    <n v="0"/>
    <n v="0"/>
    <n v="0.3"/>
    <m/>
    <m/>
    <n v="0.5"/>
    <n v="0.2"/>
    <n v="0"/>
    <n v="151"/>
    <n v="0"/>
    <n v="0"/>
    <n v="151"/>
    <n v="151"/>
    <n v="45.3"/>
    <n v="0"/>
    <n v="0"/>
    <n v="0"/>
    <n v="0"/>
    <n v="0"/>
    <n v="75.5"/>
    <n v="0"/>
    <n v="30.200000000000003"/>
    <n v="0"/>
    <n v="0"/>
    <n v="0"/>
    <n v="0"/>
    <m/>
    <n v="138.25"/>
    <n v="286.25"/>
    <s v="TL54"/>
    <s v="ToyoLiToyoLiToyoLiToyoLiToyoLiToyoLi"/>
    <s v="+"/>
    <s v="+"/>
    <s v="+"/>
    <s v="+"/>
    <s v="+"/>
    <s v="+"/>
    <s v="NIL"/>
    <s v="NIL"/>
  </r>
  <r>
    <d v="2026-01-11T00:00:00"/>
    <s v="A"/>
    <x v="148"/>
    <s v="TL55"/>
    <n v="145"/>
    <n v="7200"/>
    <s v="I"/>
    <s v="N"/>
    <n v="1.64"/>
    <s v="BLACK"/>
    <s v="N00797B"/>
    <s v="ToyoLi - BLACK"/>
    <n v="26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0"/>
    <n v="0.75409836065573899"/>
    <n v="0"/>
    <s v="REFLEX BLUE"/>
    <m/>
    <s v="ToyoLi - REFLEX BLUE"/>
    <m/>
    <n v="0"/>
    <m/>
    <m/>
    <n v="0"/>
    <s v="R1205"/>
    <s v="R39"/>
    <m/>
    <m/>
    <m/>
    <m/>
    <m/>
    <m/>
    <n v="9"/>
    <n v="0"/>
    <n v="13"/>
    <n v="0"/>
    <m/>
    <n v="0"/>
    <m/>
    <n v="0"/>
    <m/>
    <n v="0"/>
    <m/>
    <n v="0"/>
    <m/>
    <n v="0"/>
    <m/>
    <n v="0"/>
    <s v="ToyoLi"/>
    <n v="26"/>
    <n v="0"/>
    <n v="5.5081967213114744"/>
    <n v="0"/>
    <s v="RED"/>
    <s v="N00793R"/>
    <s v="ToyoLi - RED"/>
    <n v="24"/>
    <n v="0"/>
    <m/>
    <m/>
    <n v="0"/>
    <s v="F53"/>
    <s v="F121"/>
    <m/>
    <m/>
    <m/>
    <m/>
    <m/>
    <m/>
    <n v="6"/>
    <n v="0"/>
    <n v="2"/>
    <n v="0"/>
    <m/>
    <n v="0"/>
    <m/>
    <n v="0"/>
    <m/>
    <n v="0"/>
    <m/>
    <n v="0"/>
    <m/>
    <n v="0"/>
    <m/>
    <n v="0"/>
    <s v="ToyoLi"/>
    <n v="26"/>
    <n v="0"/>
    <n v="10.754098360655739"/>
    <n v="0"/>
    <s v="CYAN"/>
    <s v="N00797C"/>
    <s v="ToyoLi - CYAN"/>
    <n v="25"/>
    <n v="0"/>
    <m/>
    <m/>
    <n v="0"/>
    <s v="R39"/>
    <m/>
    <m/>
    <m/>
    <m/>
    <m/>
    <m/>
    <m/>
    <n v="8"/>
    <n v="0"/>
    <m/>
    <n v="0"/>
    <m/>
    <n v="0"/>
    <m/>
    <n v="0"/>
    <m/>
    <n v="0"/>
    <m/>
    <n v="0"/>
    <m/>
    <n v="0"/>
    <m/>
    <n v="0"/>
    <s v="ToyoLi"/>
    <n v="26"/>
    <n v="0"/>
    <n v="11.754098360655739"/>
    <n v="0"/>
    <s v="MAGENTA"/>
    <s v="N00797M"/>
    <s v="ToyoLi - MAGENTA"/>
    <n v="20"/>
    <n v="0"/>
    <m/>
    <m/>
    <n v="0"/>
    <s v="F121"/>
    <m/>
    <m/>
    <m/>
    <m/>
    <m/>
    <m/>
    <m/>
    <n v="9"/>
    <n v="0"/>
    <m/>
    <n v="0"/>
    <m/>
    <n v="0"/>
    <m/>
    <n v="0"/>
    <m/>
    <n v="0"/>
    <m/>
    <n v="0"/>
    <m/>
    <n v="0"/>
    <m/>
    <n v="0"/>
    <s v="ToyoLi"/>
    <n v="24"/>
    <n v="0"/>
    <n v="12.606557377049178"/>
    <n v="0"/>
    <s v="YELLOW"/>
    <s v="N00797Y"/>
    <s v="ToyoLi - YELLOW"/>
    <n v="27"/>
    <n v="0"/>
    <m/>
    <m/>
    <n v="0"/>
    <s v="F23T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7"/>
    <n v="0"/>
    <n v="10.754098360655739"/>
    <n v="0"/>
    <s v="REFLEX BLUE"/>
    <m/>
    <s v="ToyoLi - REFLEX BLUE"/>
    <m/>
    <n v="0"/>
    <m/>
    <m/>
    <n v="0"/>
    <s v="R39"/>
    <s v="R1205"/>
    <s v="F23T"/>
    <m/>
    <m/>
    <m/>
    <m/>
    <m/>
    <n v="20"/>
    <n v="0"/>
    <n v="2"/>
    <n v="0"/>
    <n v="0.5"/>
    <n v="0"/>
    <m/>
    <n v="0"/>
    <m/>
    <n v="0"/>
    <m/>
    <n v="0"/>
    <m/>
    <n v="0"/>
    <m/>
    <n v="0"/>
    <s v="ToyoLi"/>
    <n v="18"/>
    <n v="0"/>
    <n v="12.106557377049182"/>
    <n v="0"/>
    <s v="WHITE"/>
    <s v="N00797W"/>
    <s v="ToyoLi - WHITE"/>
    <n v="24"/>
    <n v="0"/>
    <m/>
    <m/>
    <n v="0"/>
    <s v="F640"/>
    <m/>
    <m/>
    <m/>
    <m/>
    <m/>
    <m/>
    <m/>
    <n v="35"/>
    <n v="0"/>
    <m/>
    <n v="0"/>
    <m/>
    <n v="0"/>
    <m/>
    <n v="0"/>
    <m/>
    <n v="0"/>
    <m/>
    <n v="0"/>
    <m/>
    <n v="0"/>
    <m/>
    <n v="0"/>
    <s v="ToyoLi"/>
    <n v="24"/>
    <n v="0"/>
    <n v="49.26229508196721"/>
    <n v="0"/>
    <n v="5"/>
    <n v="10"/>
    <n v="5"/>
    <n v="5"/>
    <n v="8"/>
    <n v="5"/>
    <n v="8"/>
    <n v="15"/>
    <n v="0.3"/>
    <m/>
    <m/>
    <n v="0.5"/>
    <n v="0.2"/>
    <n v="0"/>
    <n v="58"/>
    <n v="0"/>
    <n v="0"/>
    <n v="58"/>
    <n v="58"/>
    <n v="17.399999999999999"/>
    <n v="0"/>
    <n v="0"/>
    <n v="0"/>
    <n v="0"/>
    <n v="0"/>
    <n v="29"/>
    <n v="0"/>
    <n v="11.600000000000001"/>
    <n v="0"/>
    <n v="0"/>
    <n v="0"/>
    <n v="0"/>
    <m/>
    <n v="110.5"/>
    <n v="113.5"/>
    <s v="TL55"/>
    <s v="ToyoLiToyoLiToyoLiToyoLiToyoLiToyoLiToyoLiToyoLi"/>
    <s v="+"/>
    <s v="+"/>
    <s v="+"/>
    <s v="+"/>
    <s v="+"/>
    <s v="+"/>
    <s v="+"/>
    <s v="+"/>
  </r>
  <r>
    <d v="2026-01-11T00:00:00"/>
    <s v="A"/>
    <x v="149"/>
    <s v="TL56"/>
    <n v="185"/>
    <n v="9700"/>
    <s v="I"/>
    <s v="N"/>
    <n v="1.65"/>
    <s v="BLACK"/>
    <s v="G00399B"/>
    <s v="ToyoLi - BLACK"/>
    <n v="25"/>
    <n v="0"/>
    <m/>
    <m/>
    <n v="0"/>
    <s v="R92"/>
    <m/>
    <m/>
    <m/>
    <m/>
    <m/>
    <m/>
    <m/>
    <n v="9"/>
    <n v="0"/>
    <m/>
    <n v="0"/>
    <m/>
    <n v="0"/>
    <m/>
    <n v="0"/>
    <m/>
    <n v="0"/>
    <m/>
    <n v="0"/>
    <m/>
    <n v="0"/>
    <m/>
    <n v="0"/>
    <s v="ToyoLi"/>
    <n v="30"/>
    <n v="0"/>
    <n v="10.384615384615387"/>
    <n v="0"/>
    <s v="ORANGE"/>
    <s v="B01025O"/>
    <s v="ToyoLi - ORANGE"/>
    <n v="17"/>
    <n v="0"/>
    <s v="G00399O"/>
    <n v="6"/>
    <n v="0"/>
    <s v="F23T"/>
    <s v="F53"/>
    <m/>
    <m/>
    <m/>
    <m/>
    <m/>
    <m/>
    <n v="6"/>
    <n v="0"/>
    <n v="6"/>
    <n v="0"/>
    <m/>
    <n v="0"/>
    <m/>
    <n v="0"/>
    <m/>
    <n v="0"/>
    <m/>
    <n v="0"/>
    <m/>
    <n v="0"/>
    <m/>
    <n v="0"/>
    <s v="ToyoLi"/>
    <n v="30"/>
    <n v="0"/>
    <n v="17.769230769230774"/>
    <n v="0"/>
    <s v="CYAN"/>
    <s v="G00399C"/>
    <s v="ToyoLi - CYAN"/>
    <n v="26"/>
    <n v="0"/>
    <m/>
    <m/>
    <n v="0"/>
    <s v="R39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4"/>
    <n v="0"/>
    <n v="14.384615384615387"/>
    <n v="0"/>
    <s v="MAGENTA"/>
    <s v="G00399M"/>
    <s v="ToyoLi - MAGENTA"/>
    <n v="24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32"/>
    <n v="0"/>
    <n v="0.3846153846153868"/>
    <n v="0"/>
    <s v="YELLOW"/>
    <s v="G00399Y"/>
    <s v="ToyoLi - YELLOW"/>
    <n v="27"/>
    <n v="0"/>
    <m/>
    <m/>
    <n v="0"/>
    <s v="F23T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3"/>
    <n v="0"/>
    <n v="16.384615384615387"/>
    <n v="0"/>
    <s v="YELLOW"/>
    <m/>
    <s v="ToyoLi - YELLOW"/>
    <m/>
    <n v="0"/>
    <m/>
    <m/>
    <n v="0"/>
    <n v="262"/>
    <s v="RTMD"/>
    <s v="F32"/>
    <m/>
    <m/>
    <m/>
    <m/>
    <m/>
    <n v="10"/>
    <n v="0"/>
    <n v="20"/>
    <n v="0"/>
    <n v="0.2"/>
    <n v="0"/>
    <m/>
    <n v="0"/>
    <m/>
    <n v="0"/>
    <m/>
    <n v="0"/>
    <m/>
    <n v="0"/>
    <m/>
    <n v="0"/>
    <s v="ToyoLi"/>
    <n v="24"/>
    <n v="0"/>
    <n v="18.969230769230769"/>
    <n v="0"/>
    <s v="WHITE"/>
    <s v="G00399W"/>
    <s v="ToyoLi - WHITE"/>
    <n v="24"/>
    <n v="0"/>
    <m/>
    <m/>
    <n v="0"/>
    <s v="F640"/>
    <m/>
    <m/>
    <m/>
    <m/>
    <m/>
    <m/>
    <m/>
    <n v="50"/>
    <n v="0"/>
    <m/>
    <n v="0"/>
    <m/>
    <n v="0"/>
    <m/>
    <n v="0"/>
    <m/>
    <n v="0"/>
    <m/>
    <n v="0"/>
    <m/>
    <n v="0"/>
    <m/>
    <n v="0"/>
    <s v="ToyoLi"/>
    <n v="23"/>
    <n v="0"/>
    <n v="82.9230769230769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5"/>
    <n v="5"/>
    <n v="5"/>
    <n v="10"/>
    <n v="25"/>
    <n v="0"/>
    <n v="0.3"/>
    <m/>
    <m/>
    <n v="0.5"/>
    <n v="0.2"/>
    <n v="0"/>
    <n v="83"/>
    <n v="0"/>
    <n v="0"/>
    <n v="83"/>
    <n v="83"/>
    <n v="24.9"/>
    <n v="0"/>
    <n v="0"/>
    <n v="0"/>
    <n v="0"/>
    <n v="0"/>
    <n v="41.5"/>
    <n v="0"/>
    <n v="16.600000000000001"/>
    <n v="0"/>
    <n v="0"/>
    <n v="0"/>
    <n v="0"/>
    <m/>
    <n v="115.2"/>
    <n v="161.19999999999999"/>
    <s v="TL56"/>
    <s v="ToyoLiToyoLiToyoLiToyoLiToyoLiToyoLiToyoLi"/>
    <s v="+"/>
    <s v="+"/>
    <s v="+"/>
    <s v="+"/>
    <s v="+"/>
    <s v="+"/>
    <s v="+"/>
    <s v="NIL"/>
  </r>
  <r>
    <d v="2026-01-12T00:00:00"/>
    <s v="A"/>
    <x v="150"/>
    <s v="TL57"/>
    <n v="75"/>
    <n v="6000"/>
    <s v="I"/>
    <s v="N"/>
    <n v="1.8"/>
    <s v="BLACK"/>
    <s v="G00400B"/>
    <s v="ToyoLi - BLACK"/>
    <n v="10"/>
    <n v="0"/>
    <s v="L00294B/G00399B"/>
    <n v="25"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12.061224489795919"/>
    <n v="0"/>
    <s v="BLACK"/>
    <s v="N00791B"/>
    <s v="ToyoLi - BLACK"/>
    <n v="18"/>
    <n v="0"/>
    <m/>
    <m/>
    <n v="0"/>
    <s v="R92"/>
    <s v="F23T"/>
    <s v="R39"/>
    <m/>
    <m/>
    <m/>
    <m/>
    <m/>
    <n v="5"/>
    <n v="0"/>
    <n v="3"/>
    <n v="0"/>
    <n v="1"/>
    <n v="0"/>
    <m/>
    <n v="0"/>
    <m/>
    <n v="0"/>
    <m/>
    <n v="0"/>
    <m/>
    <n v="0"/>
    <m/>
    <n v="0"/>
    <s v="ToyoLi"/>
    <n v="28"/>
    <n v="0"/>
    <n v="2.0612244897959187"/>
    <n v="0"/>
    <s v="MEDIUM"/>
    <s v="R00015M"/>
    <s v="ToyoLi - MEDIUM"/>
    <n v="16"/>
    <n v="0"/>
    <m/>
    <m/>
    <n v="0"/>
    <s v="F23T"/>
    <s v="F53"/>
    <s v="F121"/>
    <m/>
    <m/>
    <m/>
    <m/>
    <m/>
    <n v="5"/>
    <n v="0"/>
    <n v="2"/>
    <n v="0"/>
    <n v="0.5"/>
    <n v="0"/>
    <m/>
    <n v="0"/>
    <m/>
    <n v="0"/>
    <m/>
    <n v="0"/>
    <m/>
    <n v="0"/>
    <m/>
    <n v="0"/>
    <s v="ToyoLi"/>
    <n v="17"/>
    <n v="0"/>
    <n v="12.622448979591837"/>
    <n v="0"/>
    <s v="CYAN"/>
    <s v="G00400C"/>
    <s v="ToyoLi - CYAN"/>
    <n v="24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4.0612244897959187"/>
    <n v="0"/>
    <s v="MAGENTA"/>
    <s v="G00400M"/>
    <s v="ToyoLi - MAGENTA"/>
    <n v="15"/>
    <n v="0"/>
    <m/>
    <m/>
    <n v="0"/>
    <s v="F121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2"/>
    <n v="0"/>
    <n v="3.1224489795918373"/>
    <n v="0"/>
    <s v="YELLOW"/>
    <s v="J00400Y"/>
    <s v="ToyoLi - YELLOW"/>
    <n v="23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7"/>
    <n v="0"/>
    <n v="5.591836734693878"/>
    <n v="0"/>
    <s v="YELLOW"/>
    <s v="N00793Y"/>
    <s v="ToyoLi - YELLOW"/>
    <n v="20"/>
    <n v="0"/>
    <m/>
    <m/>
    <n v="0"/>
    <s v="F23T"/>
    <s v="F53"/>
    <m/>
    <m/>
    <m/>
    <m/>
    <m/>
    <m/>
    <n v="3"/>
    <n v="0"/>
    <n v="2"/>
    <n v="0"/>
    <m/>
    <n v="0"/>
    <m/>
    <n v="0"/>
    <m/>
    <n v="0"/>
    <m/>
    <n v="0"/>
    <m/>
    <n v="0"/>
    <m/>
    <n v="0"/>
    <s v="ToyoLi"/>
    <n v="24"/>
    <n v="0"/>
    <n v="4.0612244897959187"/>
    <n v="0"/>
    <s v="WHITE"/>
    <m/>
    <s v="ToyoLi - WHITE"/>
    <m/>
    <n v="0"/>
    <m/>
    <m/>
    <n v="0"/>
    <s v="F640"/>
    <s v="HSLAS"/>
    <m/>
    <m/>
    <m/>
    <m/>
    <m/>
    <m/>
    <n v="60"/>
    <n v="0"/>
    <n v="5.08"/>
    <n v="0"/>
    <m/>
    <n v="0"/>
    <m/>
    <n v="0"/>
    <m/>
    <n v="0"/>
    <m/>
    <n v="0"/>
    <m/>
    <n v="0"/>
    <m/>
    <n v="0"/>
    <s v="ToyoLi"/>
    <n v="40"/>
    <n v="0"/>
    <n v="70.998367346938778"/>
    <n v="0"/>
    <n v="2"/>
    <n v="2"/>
    <n v="4"/>
    <n v="2"/>
    <n v="4"/>
    <n v="3"/>
    <n v="2"/>
    <n v="30"/>
    <n v="0.3"/>
    <m/>
    <m/>
    <n v="0.5"/>
    <n v="0.2"/>
    <n v="0"/>
    <n v="75"/>
    <n v="0"/>
    <n v="0"/>
    <n v="75"/>
    <n v="75"/>
    <n v="22.5"/>
    <n v="0"/>
    <n v="0"/>
    <n v="0"/>
    <n v="0"/>
    <n v="0"/>
    <n v="37.5"/>
    <n v="0"/>
    <n v="15"/>
    <n v="0"/>
    <n v="0"/>
    <n v="0"/>
    <n v="0"/>
    <m/>
    <n v="99.58"/>
    <n v="114.58000000000001"/>
    <s v="TL57"/>
    <s v="ToyoLiToyoLiToyoLiToyoLiToyoLiToyoLiToyoLiToyoLi"/>
    <s v="+"/>
    <s v="+"/>
    <s v="+"/>
    <s v="+"/>
    <s v="+"/>
    <s v="+"/>
    <s v="+"/>
    <s v="+"/>
  </r>
  <r>
    <d v="2026-01-12T00:00:00"/>
    <s v="A"/>
    <x v="151"/>
    <s v="TL58"/>
    <n v="325"/>
    <n v="20500"/>
    <s v="I"/>
    <s v="N"/>
    <n v="0.88"/>
    <s v="BLACK"/>
    <s v="N00815B"/>
    <s v="ToyoLi - BLACK"/>
    <n v="10"/>
    <n v="0"/>
    <s v="N00823B/N00919B/F00861B"/>
    <n v="37"/>
    <n v="0"/>
    <s v="R92"/>
    <s v="F23T"/>
    <s v="F53"/>
    <s v="F121"/>
    <s v="HSLAS"/>
    <m/>
    <m/>
    <m/>
    <n v="10"/>
    <n v="0"/>
    <n v="5"/>
    <n v="0"/>
    <n v="2"/>
    <n v="0"/>
    <n v="5"/>
    <n v="0"/>
    <n v="1.36"/>
    <n v="0"/>
    <m/>
    <n v="0"/>
    <m/>
    <n v="0"/>
    <m/>
    <n v="0"/>
    <s v="ToyoLi"/>
    <n v="48"/>
    <n v="0"/>
    <n v="87.36000000000001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7"/>
    <n v="0"/>
    <n v="0"/>
    <n v="0"/>
    <n v="0"/>
    <n v="0"/>
    <n v="0"/>
    <n v="0"/>
    <n v="0.3"/>
    <m/>
    <m/>
    <n v="0.5"/>
    <n v="0.2"/>
    <n v="0"/>
    <n v="65"/>
    <n v="0"/>
    <n v="0"/>
    <n v="65"/>
    <n v="65"/>
    <n v="19.5"/>
    <n v="0"/>
    <n v="0"/>
    <n v="0"/>
    <n v="0"/>
    <n v="0"/>
    <n v="32.5"/>
    <n v="0"/>
    <n v="13"/>
    <n v="0"/>
    <n v="0"/>
    <n v="0"/>
    <n v="0"/>
    <m/>
    <n v="23.36"/>
    <n v="87.360000000000014"/>
    <s v="TL58"/>
    <s v="ToyoLi"/>
    <s v="+"/>
    <s v="NIL"/>
    <s v="NIL"/>
    <s v="NIL"/>
    <s v="NIL"/>
    <s v="NIL"/>
    <s v="NIL"/>
    <s v="NIL"/>
  </r>
  <r>
    <d v="2026-01-12T00:00:00"/>
    <s v="A"/>
    <x v="152"/>
    <s v="TL59"/>
    <n v="167"/>
    <n v="10200"/>
    <s v="I"/>
    <s v="N"/>
    <n v="0.8"/>
    <s v="MEDIUM"/>
    <s v="J00846B"/>
    <s v="ToyoLi - MEDIUM"/>
    <n v="17"/>
    <n v="0"/>
    <s v="B01041B"/>
    <n v="24"/>
    <n v="0"/>
    <s v="F640"/>
    <s v="F23T"/>
    <s v="R92"/>
    <s v="F53"/>
    <s v="HSLAS"/>
    <m/>
    <m/>
    <m/>
    <n v="10"/>
    <n v="0"/>
    <n v="2"/>
    <n v="0"/>
    <n v="0.2"/>
    <n v="0"/>
    <n v="0.5"/>
    <n v="0"/>
    <n v="1"/>
    <n v="0"/>
    <m/>
    <n v="0"/>
    <m/>
    <n v="0"/>
    <m/>
    <n v="0"/>
    <s v="ToyoLi"/>
    <n v="31"/>
    <n v="0"/>
    <n v="65.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0"/>
    <n v="0"/>
    <n v="0"/>
    <n v="0"/>
    <n v="0"/>
    <n v="0"/>
    <n v="0"/>
    <n v="0.3"/>
    <m/>
    <m/>
    <n v="0.5"/>
    <n v="0.2"/>
    <n v="0"/>
    <n v="42"/>
    <n v="0"/>
    <n v="0"/>
    <n v="42"/>
    <n v="42"/>
    <n v="12.6"/>
    <n v="0"/>
    <n v="0"/>
    <n v="0"/>
    <n v="0"/>
    <n v="0"/>
    <n v="21"/>
    <n v="0"/>
    <n v="8.4"/>
    <n v="0"/>
    <n v="0"/>
    <n v="0"/>
    <n v="0"/>
    <m/>
    <n v="13.7"/>
    <n v="65.7"/>
    <s v="TL59"/>
    <s v="ToyoLi"/>
    <s v="+"/>
    <s v="NIL"/>
    <s v="NIL"/>
    <s v="NIL"/>
    <s v="NIL"/>
    <s v="NIL"/>
    <s v="NIL"/>
    <s v="NIL"/>
  </r>
  <r>
    <d v="2026-01-12T00:00:00"/>
    <s v="A"/>
    <x v="153"/>
    <s v="TL60"/>
    <n v="707"/>
    <n v="37000"/>
    <s v="I"/>
    <s v="N"/>
    <n v="0.9"/>
    <s v="BLACK"/>
    <s v="F00861B"/>
    <s v="ToyoLi - BLACK"/>
    <n v="28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4"/>
    <n v="0"/>
    <s v="GREEN"/>
    <s v="J00750G"/>
    <s v="ToyoLi - GREEN"/>
    <n v="18"/>
    <n v="0"/>
    <s v="56714G"/>
    <n v="20"/>
    <n v="0"/>
    <s v="R39"/>
    <s v="RTMD"/>
    <m/>
    <m/>
    <m/>
    <m/>
    <m/>
    <m/>
    <n v="2"/>
    <n v="0"/>
    <n v="20"/>
    <n v="0"/>
    <m/>
    <n v="0"/>
    <m/>
    <n v="0"/>
    <m/>
    <n v="0"/>
    <m/>
    <n v="0"/>
    <m/>
    <n v="0"/>
    <m/>
    <n v="0"/>
    <s v="ToyoLi"/>
    <n v="27"/>
    <n v="0"/>
    <n v="69.122448979591837"/>
    <n v="0"/>
    <s v="CYAN"/>
    <s v="F00861C"/>
    <s v="ToyoLi - CYAN"/>
    <n v="25"/>
    <n v="0"/>
    <m/>
    <m/>
    <n v="0"/>
    <s v="RTMD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3.612244897959183"/>
    <n v="0"/>
    <s v="MAGENTA"/>
    <s v="F00861M"/>
    <s v="ToyoLi - MAGENTA"/>
    <n v="22"/>
    <n v="0"/>
    <m/>
    <m/>
    <n v="0"/>
    <s v="RTMD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9"/>
    <n v="0"/>
    <n v="7.0306122448979593"/>
    <n v="0"/>
    <s v="YELLOW"/>
    <s v="F00861Y"/>
    <s v="ToyoLi - YELLOW"/>
    <n v="27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8.4183673469387728"/>
    <n v="0"/>
    <s v="REFLEX BLUE"/>
    <m/>
    <s v="ToyoLi - REFLEX BLUE"/>
    <m/>
    <n v="0"/>
    <m/>
    <m/>
    <n v="0"/>
    <s v="RTMD"/>
    <s v="R1205"/>
    <s v="Z822"/>
    <m/>
    <m/>
    <m/>
    <m/>
    <m/>
    <n v="15"/>
    <n v="0"/>
    <n v="1"/>
    <n v="0"/>
    <n v="1"/>
    <n v="0"/>
    <m/>
    <n v="0"/>
    <m/>
    <n v="0"/>
    <m/>
    <n v="0"/>
    <m/>
    <n v="0"/>
    <m/>
    <n v="0"/>
    <s v="ToyoLi"/>
    <n v="19.5"/>
    <n v="0"/>
    <n v="11.948979591836732"/>
    <n v="0"/>
    <s v="WHITE"/>
    <s v="F00861W"/>
    <s v="ToyoLi - WHITE"/>
    <n v="40"/>
    <n v="0"/>
    <m/>
    <m/>
    <n v="0"/>
    <s v="F640"/>
    <m/>
    <m/>
    <m/>
    <m/>
    <m/>
    <m/>
    <m/>
    <n v="100"/>
    <n v="0"/>
    <m/>
    <n v="0"/>
    <m/>
    <n v="0"/>
    <m/>
    <n v="0"/>
    <m/>
    <n v="0"/>
    <m/>
    <n v="0"/>
    <m/>
    <n v="0"/>
    <m/>
    <n v="0"/>
    <s v="ToyoLi"/>
    <n v="25"/>
    <n v="0"/>
    <n v="223.3673469387755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0"/>
    <n v="20"/>
    <n v="2"/>
    <n v="5"/>
    <n v="3"/>
    <n v="8"/>
    <n v="60"/>
    <n v="0"/>
    <n v="0.3"/>
    <m/>
    <m/>
    <n v="0.5"/>
    <n v="0.2"/>
    <n v="0"/>
    <n v="177"/>
    <n v="0"/>
    <n v="0"/>
    <n v="177"/>
    <n v="177"/>
    <n v="53.1"/>
    <n v="0"/>
    <n v="0"/>
    <n v="0"/>
    <n v="0"/>
    <n v="0"/>
    <n v="88.5"/>
    <n v="0"/>
    <n v="35.4"/>
    <n v="0"/>
    <n v="0"/>
    <n v="0"/>
    <n v="0"/>
    <m/>
    <n v="151"/>
    <n v="327.5"/>
    <s v="TL60"/>
    <s v="ToyoLiToyoLiToyoLiToyoLiToyoLiToyoLiToyoLi"/>
    <s v="+"/>
    <s v="+"/>
    <s v="+"/>
    <s v="+"/>
    <s v="+"/>
    <s v="+"/>
    <s v="+"/>
    <s v="NIL"/>
  </r>
  <r>
    <d v="2026-01-12T00:00:00"/>
    <s v="A"/>
    <x v="154"/>
    <s v="TL61"/>
    <n v="20"/>
    <n v="1100"/>
    <s v="I"/>
    <s v="N"/>
    <n v="1.06"/>
    <s v="WHITE"/>
    <m/>
    <s v="ToyoLi - WHITE"/>
    <m/>
    <n v="0"/>
    <m/>
    <m/>
    <n v="0"/>
    <s v="F640"/>
    <m/>
    <m/>
    <m/>
    <m/>
    <m/>
    <m/>
    <m/>
    <n v="20"/>
    <n v="0"/>
    <m/>
    <n v="0"/>
    <m/>
    <n v="0"/>
    <m/>
    <n v="0"/>
    <m/>
    <n v="0"/>
    <m/>
    <n v="0"/>
    <m/>
    <n v="0"/>
    <m/>
    <n v="0"/>
    <s v="ToyoLi"/>
    <n v="27"/>
    <n v="0"/>
    <n v="2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6"/>
    <n v="0"/>
    <n v="0"/>
    <n v="0"/>
    <n v="0"/>
    <n v="0"/>
    <n v="0"/>
    <n v="0"/>
    <n v="0.3"/>
    <m/>
    <m/>
    <n v="0.5"/>
    <n v="0.2"/>
    <n v="0"/>
    <n v="31"/>
    <n v="0"/>
    <n v="0"/>
    <n v="31"/>
    <n v="31"/>
    <n v="9.2999999999999989"/>
    <n v="0"/>
    <n v="0"/>
    <n v="0"/>
    <n v="0"/>
    <n v="0"/>
    <n v="15.5"/>
    <n v="0"/>
    <n v="6.2"/>
    <n v="0"/>
    <n v="0"/>
    <n v="0"/>
    <n v="0"/>
    <m/>
    <n v="20"/>
    <n v="24"/>
    <s v="TL61"/>
    <s v="ToyoLi"/>
    <s v="+"/>
    <s v="NIL"/>
    <s v="NIL"/>
    <s v="NIL"/>
    <s v="NIL"/>
    <s v="NIL"/>
    <s v="NIL"/>
    <s v="NIL"/>
  </r>
  <r>
    <d v="2026-01-12T00:00:00"/>
    <s v="A"/>
    <x v="155"/>
    <s v="TL62"/>
    <n v="161"/>
    <n v="7900"/>
    <s v="I"/>
    <s v="N"/>
    <n v="1.8"/>
    <s v="BLACK"/>
    <s v="N00764B"/>
    <s v="ToyoLi - BLACK"/>
    <n v="26"/>
    <n v="0"/>
    <m/>
    <m/>
    <n v="0"/>
    <s v="R92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5"/>
    <n v="0"/>
    <n v="4.25"/>
    <n v="0"/>
    <s v="REFLEX BLUE"/>
    <s v="N00797B"/>
    <s v="ToyoLi - REFLEX BLUE"/>
    <n v="17"/>
    <n v="0"/>
    <m/>
    <m/>
    <n v="0"/>
    <s v="Z822"/>
    <s v="R1205"/>
    <m/>
    <m/>
    <m/>
    <m/>
    <m/>
    <m/>
    <n v="2"/>
    <n v="0"/>
    <n v="2"/>
    <n v="0"/>
    <m/>
    <n v="0"/>
    <m/>
    <n v="0"/>
    <m/>
    <n v="0"/>
    <m/>
    <n v="0"/>
    <m/>
    <n v="0"/>
    <m/>
    <n v="0"/>
    <s v="ToyoLi"/>
    <n v="18"/>
    <n v="0"/>
    <n v="7.5"/>
    <n v="0"/>
    <s v="YELLOW"/>
    <s v="J00909Y"/>
    <s v="ToyoLi - YELLOW"/>
    <n v="20"/>
    <n v="0"/>
    <m/>
    <m/>
    <n v="0"/>
    <s v="F23T"/>
    <s v="F640"/>
    <m/>
    <m/>
    <m/>
    <m/>
    <m/>
    <m/>
    <n v="10"/>
    <n v="0"/>
    <n v="5"/>
    <n v="0"/>
    <m/>
    <n v="0"/>
    <m/>
    <n v="0"/>
    <m/>
    <n v="0"/>
    <m/>
    <n v="0"/>
    <m/>
    <n v="0"/>
    <m/>
    <n v="0"/>
    <s v="ToyoLi"/>
    <n v="15"/>
    <n v="0"/>
    <n v="31.25"/>
    <n v="0"/>
    <s v="CYAN"/>
    <s v="N00764C"/>
    <s v="ToyoLi - CYAN"/>
    <n v="28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5.25"/>
    <n v="0"/>
    <s v="MAGENTA"/>
    <s v="N00764M"/>
    <s v="ToyoLi - MAGENTA"/>
    <n v="29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6.25"/>
    <n v="0"/>
    <s v="YELLOW"/>
    <s v="N00764Y"/>
    <s v="ToyoLi - YELLOW"/>
    <n v="26"/>
    <n v="0"/>
    <m/>
    <m/>
    <n v="0"/>
    <s v="RTMD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5.5"/>
    <n v="0"/>
    <s v="WHITE"/>
    <s v="N00764W"/>
    <s v="ToyoLi - WHITE"/>
    <n v="25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20"/>
    <n v="0"/>
    <n v="9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n v="2"/>
    <n v="5"/>
    <n v="1"/>
    <n v="1"/>
    <n v="2"/>
    <n v="20"/>
    <n v="0"/>
    <n v="0.3"/>
    <m/>
    <m/>
    <n v="0.5"/>
    <n v="0.2"/>
    <n v="0"/>
    <n v="72"/>
    <n v="0"/>
    <n v="0"/>
    <n v="72"/>
    <n v="72"/>
    <n v="21.599999999999998"/>
    <n v="0"/>
    <n v="0"/>
    <n v="0"/>
    <n v="0"/>
    <n v="0"/>
    <n v="36"/>
    <n v="0"/>
    <n v="14.4"/>
    <n v="0"/>
    <n v="0"/>
    <n v="0"/>
    <n v="0"/>
    <m/>
    <n v="67"/>
    <n v="150"/>
    <s v="TL62"/>
    <s v="ToyoLiToyoLiToyoLiToyoLiToyoLiToyoLiToyoLi"/>
    <s v="+"/>
    <s v="+"/>
    <s v="+"/>
    <s v="+"/>
    <s v="+"/>
    <s v="+"/>
    <s v="+"/>
    <s v="NIL"/>
  </r>
  <r>
    <d v="2026-01-12T00:00:00"/>
    <s v="A"/>
    <x v="156"/>
    <s v="TL63"/>
    <n v="190"/>
    <n v="9600"/>
    <s v="I"/>
    <s v="N"/>
    <n v="1.86"/>
    <s v="BLACK"/>
    <s v="B01050B"/>
    <s v="ToyoLi - BLACK"/>
    <n v="25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2.6666666666666679"/>
    <n v="0"/>
    <s v="REFLEX BLUE"/>
    <m/>
    <s v="ToyoLi - REFLEX BLUE"/>
    <m/>
    <n v="0"/>
    <m/>
    <m/>
    <n v="0"/>
    <s v="RTMD"/>
    <s v="F121"/>
    <s v="R1205"/>
    <s v="Z822"/>
    <m/>
    <m/>
    <m/>
    <m/>
    <n v="4"/>
    <n v="0"/>
    <n v="8"/>
    <n v="0"/>
    <n v="2"/>
    <n v="0"/>
    <n v="3"/>
    <n v="0"/>
    <m/>
    <n v="0"/>
    <m/>
    <n v="0"/>
    <m/>
    <n v="0"/>
    <m/>
    <n v="0"/>
    <s v="ToyoLi"/>
    <n v="24"/>
    <n v="0"/>
    <n v="6.3333333333333321"/>
    <n v="0"/>
    <s v="RED"/>
    <m/>
    <s v="ToyoLi - RED"/>
    <m/>
    <n v="0"/>
    <m/>
    <m/>
    <n v="0"/>
    <s v="F53"/>
    <s v="F121"/>
    <s v="F32"/>
    <m/>
    <m/>
    <m/>
    <m/>
    <m/>
    <n v="10"/>
    <n v="0"/>
    <n v="6"/>
    <n v="0"/>
    <n v="6"/>
    <n v="0"/>
    <m/>
    <n v="0"/>
    <m/>
    <n v="0"/>
    <m/>
    <n v="0"/>
    <m/>
    <n v="0"/>
    <m/>
    <n v="0"/>
    <s v="ToyoLi"/>
    <n v="25"/>
    <n v="0"/>
    <n v="3.6666666666666643"/>
    <n v="0"/>
    <s v="REFLEX BLUE"/>
    <s v="B01050B"/>
    <s v="ToyoLi - REFLEX BLUE"/>
    <n v="18"/>
    <n v="0"/>
    <m/>
    <m/>
    <n v="0"/>
    <s v="RTMD"/>
    <s v="R39"/>
    <m/>
    <m/>
    <m/>
    <m/>
    <m/>
    <m/>
    <n v="5"/>
    <n v="0"/>
    <n v="4"/>
    <n v="0"/>
    <m/>
    <n v="0"/>
    <m/>
    <n v="0"/>
    <m/>
    <n v="0"/>
    <m/>
    <n v="0"/>
    <m/>
    <n v="0"/>
    <m/>
    <n v="0"/>
    <s v="ToyoLi"/>
    <n v="28"/>
    <n v="0"/>
    <n v="4.3333333333333357"/>
    <n v="0"/>
    <s v="CYAN"/>
    <s v="B01050C"/>
    <s v="ToyoLi - CYAN"/>
    <n v="27"/>
    <n v="0"/>
    <m/>
    <m/>
    <n v="0"/>
    <s v="R39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4"/>
    <n v="0"/>
    <n v="10.666666666666664"/>
    <n v="0"/>
    <s v="MAGENTA"/>
    <s v="B01050M"/>
    <s v="ToyoLi - MAGENTA"/>
    <n v="27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3.6666666666666679"/>
    <n v="0"/>
    <s v="YELLOW"/>
    <s v="B01050Y"/>
    <s v="ToyoLi - YELLOW"/>
    <n v="28"/>
    <n v="0"/>
    <m/>
    <m/>
    <n v="0"/>
    <s v="F23T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39"/>
    <n v="0"/>
    <n v="15"/>
    <n v="0"/>
    <s v="WHITE"/>
    <s v="B01050W"/>
    <s v="ToyoLi - WHITE"/>
    <n v="20"/>
    <n v="0"/>
    <m/>
    <m/>
    <n v="0"/>
    <s v="F640"/>
    <s v="HSLAS"/>
    <m/>
    <m/>
    <m/>
    <m/>
    <m/>
    <m/>
    <n v="40"/>
    <n v="0"/>
    <n v="5.38"/>
    <n v="0"/>
    <m/>
    <n v="0"/>
    <m/>
    <n v="0"/>
    <m/>
    <n v="0"/>
    <m/>
    <n v="0"/>
    <m/>
    <n v="0"/>
    <m/>
    <n v="0"/>
    <s v="ToyoLi"/>
    <n v="25"/>
    <n v="0"/>
    <n v="67.046666666666653"/>
    <n v="0"/>
    <n v="2"/>
    <n v="10"/>
    <n v="5"/>
    <n v="4"/>
    <n v="2"/>
    <n v="2"/>
    <n v="12"/>
    <n v="20"/>
    <n v="0.3"/>
    <m/>
    <m/>
    <n v="0.5"/>
    <n v="0.2"/>
    <n v="0"/>
    <n v="76"/>
    <n v="0"/>
    <n v="0"/>
    <n v="76"/>
    <n v="76"/>
    <n v="22.8"/>
    <n v="0"/>
    <n v="0"/>
    <n v="0"/>
    <n v="0"/>
    <n v="0"/>
    <n v="38"/>
    <n v="0"/>
    <n v="15.200000000000001"/>
    <n v="0"/>
    <n v="0"/>
    <n v="0"/>
    <n v="0"/>
    <m/>
    <n v="112.38"/>
    <n v="113.37999999999998"/>
    <s v="TL63"/>
    <s v="ToyoLiToyoLiToyoLiToyoLiToyoLiToyoLiToyoLiToyoLi"/>
    <s v="+"/>
    <s v="+"/>
    <s v="+"/>
    <s v="+"/>
    <s v="+"/>
    <s v="+"/>
    <s v="+"/>
    <s v="+"/>
  </r>
  <r>
    <d v="2026-01-12T00:00:00"/>
    <s v="B"/>
    <x v="157"/>
    <s v="TL64"/>
    <n v="190"/>
    <n v="9600"/>
    <s v="I"/>
    <s v="N"/>
    <n v="1.88"/>
    <s v="BLACK"/>
    <s v="C01485B"/>
    <s v="ToyoLi - BLACK"/>
    <n v="27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9"/>
    <n v="0"/>
    <n v="5.5609756097560989"/>
    <n v="0"/>
    <s v="ORANGE"/>
    <m/>
    <s v="ToyoLi - ORANGE"/>
    <m/>
    <n v="0"/>
    <m/>
    <m/>
    <n v="0"/>
    <s v="F53"/>
    <s v="F32"/>
    <m/>
    <m/>
    <m/>
    <m/>
    <m/>
    <m/>
    <n v="12"/>
    <n v="0"/>
    <n v="4"/>
    <n v="0"/>
    <m/>
    <n v="0"/>
    <m/>
    <n v="0"/>
    <m/>
    <n v="0"/>
    <m/>
    <n v="0"/>
    <m/>
    <n v="0"/>
    <m/>
    <n v="0"/>
    <s v="ToyoLi"/>
    <n v="20"/>
    <n v="0"/>
    <n v="7.1219512195121943"/>
    <n v="0"/>
    <s v="RED"/>
    <s v="C01485R"/>
    <s v="ToyoLi - RED"/>
    <n v="25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0"/>
    <n v="6.7073170731707314"/>
    <n v="0"/>
    <s v="REFLEX BLUE"/>
    <s v="C01485B"/>
    <s v="ToyoLi - REFLEX BLUE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5.7073170731707314"/>
    <n v="0"/>
    <s v="CYAN"/>
    <s v="C01485C"/>
    <s v="ToyoLi - CYAN"/>
    <n v="27"/>
    <n v="0"/>
    <m/>
    <m/>
    <n v="0"/>
    <s v="R39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6"/>
    <n v="0"/>
    <n v="13.414634146341463"/>
    <n v="0"/>
    <s v="MAGENTA"/>
    <s v="C01485M"/>
    <s v="ToyoLi - MAGENTA"/>
    <n v="28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7.707317073170735"/>
    <n v="0"/>
    <s v="YELLOW"/>
    <s v="C01485Y"/>
    <s v="ToyoLi - YELLOW"/>
    <n v="29"/>
    <n v="0"/>
    <m/>
    <m/>
    <n v="0"/>
    <s v="F23T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7.707317073170735"/>
    <n v="0"/>
    <s v="WHITE"/>
    <s v="C01485W"/>
    <s v="ToyoLi - WHITE"/>
    <n v="25"/>
    <n v="0"/>
    <m/>
    <m/>
    <n v="0"/>
    <s v="F640"/>
    <s v="HSLAS"/>
    <m/>
    <m/>
    <m/>
    <m/>
    <m/>
    <m/>
    <n v="40"/>
    <n v="0"/>
    <n v="4.8899999999999997"/>
    <n v="0"/>
    <m/>
    <n v="0"/>
    <m/>
    <n v="0"/>
    <m/>
    <n v="0"/>
    <m/>
    <n v="0"/>
    <m/>
    <n v="0"/>
    <m/>
    <n v="0"/>
    <s v="ToyoLi"/>
    <n v="25"/>
    <n v="0"/>
    <n v="81.963170731707322"/>
    <n v="0"/>
    <n v="3"/>
    <n v="6"/>
    <n v="2"/>
    <n v="2"/>
    <n v="4"/>
    <n v="2"/>
    <n v="2"/>
    <n v="20"/>
    <n v="0.3"/>
    <m/>
    <m/>
    <n v="0.5"/>
    <n v="0.2"/>
    <n v="0"/>
    <n v="76"/>
    <n v="0"/>
    <n v="0"/>
    <n v="76"/>
    <n v="76"/>
    <n v="22.8"/>
    <n v="0"/>
    <n v="0"/>
    <n v="0"/>
    <n v="0"/>
    <n v="0"/>
    <n v="38"/>
    <n v="0"/>
    <n v="15.200000000000001"/>
    <n v="0"/>
    <n v="0"/>
    <n v="0"/>
    <n v="0"/>
    <m/>
    <n v="72.89"/>
    <n v="135.89000000000001"/>
    <s v="TL64"/>
    <s v="ToyoLiToyoLiToyoLiToyoLiToyoLiToyoLiToyoLiToyoLi"/>
    <s v="+"/>
    <s v="+"/>
    <s v="+"/>
    <s v="+"/>
    <s v="+"/>
    <s v="+"/>
    <s v="+"/>
    <s v="+"/>
  </r>
  <r>
    <d v="2026-01-12T00:00:00"/>
    <s v="B"/>
    <x v="158"/>
    <s v="TL65"/>
    <n v="61"/>
    <n v="3900"/>
    <s v="I"/>
    <s v="N"/>
    <n v="1.89"/>
    <s v="BLACK"/>
    <s v="C01487B"/>
    <s v="ToyoLi - BLACK"/>
    <n v="29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9"/>
    <n v="0"/>
    <n v="4.4799999999999969"/>
    <n v="0"/>
    <s v="REFLEX BLUE"/>
    <s v="C01485P"/>
    <s v="ToyoLi - REFLEX BLUE"/>
    <n v="24"/>
    <n v="0"/>
    <m/>
    <m/>
    <n v="0"/>
    <s v="Z822"/>
    <s v="F121"/>
    <m/>
    <m/>
    <m/>
    <m/>
    <m/>
    <m/>
    <n v="5"/>
    <n v="0"/>
    <n v="6"/>
    <n v="0"/>
    <m/>
    <n v="0"/>
    <m/>
    <n v="0"/>
    <m/>
    <n v="0"/>
    <m/>
    <n v="0"/>
    <m/>
    <n v="0"/>
    <m/>
    <n v="0"/>
    <s v="ToyoLi"/>
    <n v="36"/>
    <n v="0"/>
    <n v="2.7199999999999989"/>
    <n v="0"/>
    <s v="REFLEX BLUE"/>
    <s v="C01487B"/>
    <s v="ToyoLi - REFLEX BLUE"/>
    <n v="26"/>
    <n v="0"/>
    <m/>
    <m/>
    <n v="0"/>
    <s v="R1205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9"/>
    <n v="0"/>
    <n v="3.7199999999999989"/>
    <n v="0"/>
    <s v="CYAN"/>
    <s v="C01487C"/>
    <s v="ToyoLi - CYAN"/>
    <n v="26"/>
    <n v="0"/>
    <m/>
    <m/>
    <n v="0"/>
    <s v="R39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6"/>
    <n v="0"/>
    <n v="7.7199999999999989"/>
    <n v="0"/>
    <s v="RED"/>
    <s v="C01487R"/>
    <s v="ToyoLi - RED"/>
    <n v="22"/>
    <n v="0"/>
    <m/>
    <m/>
    <n v="0"/>
    <s v="F3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4"/>
    <n v="0"/>
    <n v="3.4800000000000004"/>
    <n v="0"/>
    <s v="YELLOW"/>
    <s v="C01487Y"/>
    <s v="ToyoLi - YELLOW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0"/>
    <n v="5.48"/>
    <n v="0"/>
    <s v="WHITE"/>
    <s v="C01487W"/>
    <s v="ToyoLi - WHITE"/>
    <n v="25"/>
    <n v="0"/>
    <m/>
    <m/>
    <n v="0"/>
    <s v="F640"/>
    <s v="HSLAS"/>
    <m/>
    <m/>
    <m/>
    <m/>
    <m/>
    <m/>
    <n v="20"/>
    <n v="0"/>
    <n v="3.99"/>
    <n v="0"/>
    <m/>
    <n v="0"/>
    <m/>
    <n v="0"/>
    <m/>
    <n v="0"/>
    <m/>
    <n v="0"/>
    <m/>
    <n v="0"/>
    <m/>
    <n v="0"/>
    <s v="ToyoLi"/>
    <n v="25"/>
    <n v="0"/>
    <n v="36.3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3"/>
    <n v="3"/>
    <n v="2"/>
    <n v="2"/>
    <n v="10"/>
    <n v="0"/>
    <n v="0.3"/>
    <m/>
    <m/>
    <n v="0.5"/>
    <n v="0.2"/>
    <n v="0"/>
    <n v="31"/>
    <n v="0"/>
    <n v="0"/>
    <n v="31"/>
    <n v="31"/>
    <n v="9.2999999999999989"/>
    <n v="0"/>
    <n v="0"/>
    <n v="0"/>
    <n v="0"/>
    <n v="0"/>
    <n v="15.5"/>
    <n v="0"/>
    <n v="6.2"/>
    <n v="0"/>
    <n v="0"/>
    <n v="0"/>
    <n v="0"/>
    <m/>
    <n v="46.99"/>
    <n v="63.989999999999995"/>
    <s v="TL65"/>
    <s v="ToyoLiToyoLiToyoLiToyoLiToyoLiToyoLiToyoLi"/>
    <s v="+"/>
    <s v="+"/>
    <s v="+"/>
    <s v="+"/>
    <s v="+"/>
    <s v="+"/>
    <s v="+"/>
    <s v="NIL"/>
  </r>
  <r>
    <d v="2026-01-12T00:00:00"/>
    <s v="B"/>
    <x v="159"/>
    <s v="TL66"/>
    <n v="58"/>
    <n v="3700"/>
    <s v="I"/>
    <s v="N"/>
    <n v="1.85"/>
    <s v="BLACK"/>
    <s v="C01486B"/>
    <s v="ToyoLi - BLACK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5.6363636363636367"/>
    <n v="0"/>
    <s v="ORANGE"/>
    <s v="C01487O"/>
    <s v="ToyoLi - ORANGE"/>
    <n v="2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19"/>
    <n v="0"/>
    <n v="3.6363636363636367"/>
    <n v="0"/>
    <s v="RED"/>
    <s v="C01486R"/>
    <s v="ToyoLi - RED"/>
    <n v="24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0"/>
    <n v="4.6363636363636367"/>
    <n v="0"/>
    <s v="REFLEX BLUE"/>
    <s v="C01486B"/>
    <s v="ToyoLi - REFLEX BLUE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0"/>
    <n v="7.6363636363636367"/>
    <n v="0"/>
    <s v="CYAN"/>
    <s v="C01486C"/>
    <s v="ToyoLi - CYAN"/>
    <n v="26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0"/>
    <n v="8.6363636363636367"/>
    <n v="0"/>
    <s v="YELLOW"/>
    <s v="C01486Y"/>
    <s v="ToyoLi - YELLOW"/>
    <n v="25"/>
    <n v="0"/>
    <m/>
    <m/>
    <n v="0"/>
    <s v="F23T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7"/>
    <n v="0"/>
    <n v="4.6363636363636367"/>
    <n v="0"/>
    <s v="WHITE"/>
    <s v="C01486W"/>
    <s v="ToyoLi - WHITE"/>
    <n v="25"/>
    <n v="0"/>
    <m/>
    <m/>
    <n v="0"/>
    <s v="F640"/>
    <s v="HSLAS"/>
    <m/>
    <m/>
    <m/>
    <m/>
    <m/>
    <m/>
    <n v="20"/>
    <n v="0"/>
    <n v="3.39"/>
    <n v="0"/>
    <m/>
    <n v="0"/>
    <m/>
    <n v="0"/>
    <m/>
    <n v="0"/>
    <m/>
    <n v="0"/>
    <m/>
    <n v="0"/>
    <m/>
    <n v="0"/>
    <s v="ToyoLi"/>
    <n v="25"/>
    <n v="0"/>
    <n v="36.5718181818181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2"/>
    <n v="2"/>
    <n v="2"/>
    <n v="10"/>
    <n v="0"/>
    <n v="0.3"/>
    <m/>
    <m/>
    <n v="0.5"/>
    <n v="0.2"/>
    <n v="0"/>
    <n v="29"/>
    <n v="0"/>
    <n v="0"/>
    <n v="29"/>
    <n v="29"/>
    <n v="8.6999999999999993"/>
    <n v="0"/>
    <n v="0"/>
    <n v="0"/>
    <n v="0"/>
    <n v="0"/>
    <n v="14.5"/>
    <n v="0"/>
    <n v="5.8000000000000007"/>
    <n v="0"/>
    <n v="0"/>
    <n v="0"/>
    <n v="0"/>
    <m/>
    <n v="27.39"/>
    <n v="71.39"/>
    <s v="TL66"/>
    <s v="ToyoLiToyoLiToyoLiToyoLiToyoLiToyoLiToyoLi"/>
    <s v="+"/>
    <s v="+"/>
    <s v="+"/>
    <s v="+"/>
    <s v="+"/>
    <s v="+"/>
    <s v="+"/>
    <s v="NIL"/>
  </r>
  <r>
    <d v="2026-01-12T00:00:00"/>
    <s v="B"/>
    <x v="160"/>
    <s v="TL67"/>
    <n v="141"/>
    <n v="9200"/>
    <s v="I"/>
    <s v="N"/>
    <n v="2.4"/>
    <s v="BLACK"/>
    <s v="C01488B"/>
    <s v="ToyoLi - BLACK"/>
    <n v="26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0"/>
    <n v="7.0399999999999991"/>
    <n v="0"/>
    <s v="REFLEX BLUE"/>
    <s v="C01488B"/>
    <s v="ToyoLi - REFLEX BLUE"/>
    <n v="25"/>
    <n v="0"/>
    <m/>
    <m/>
    <n v="0"/>
    <s v="R1205"/>
    <s v="Z822"/>
    <m/>
    <m/>
    <m/>
    <m/>
    <m/>
    <m/>
    <n v="4"/>
    <n v="0"/>
    <n v="3"/>
    <n v="0"/>
    <m/>
    <n v="0"/>
    <m/>
    <n v="0"/>
    <m/>
    <n v="0"/>
    <m/>
    <n v="0"/>
    <m/>
    <n v="0"/>
    <m/>
    <n v="0"/>
    <s v="ToyoLi"/>
    <n v="18"/>
    <n v="0"/>
    <n v="19.04"/>
    <n v="0"/>
    <s v="REFLEX BLUE"/>
    <s v="C01488P"/>
    <s v="ToyoLi - REFLEX BLUE"/>
    <n v="15"/>
    <n v="0"/>
    <m/>
    <m/>
    <n v="0"/>
    <s v="F121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17"/>
    <n v="0"/>
    <n v="19.119999999999997"/>
    <n v="0"/>
    <s v="RED"/>
    <s v="C01488R"/>
    <s v="ToyoLi - RED"/>
    <n v="15"/>
    <n v="0"/>
    <m/>
    <m/>
    <n v="0"/>
    <s v="F121"/>
    <m/>
    <m/>
    <m/>
    <m/>
    <m/>
    <m/>
    <m/>
    <n v="12"/>
    <n v="0"/>
    <m/>
    <n v="0"/>
    <m/>
    <n v="0"/>
    <m/>
    <n v="0"/>
    <m/>
    <n v="0"/>
    <m/>
    <n v="0"/>
    <m/>
    <n v="0"/>
    <m/>
    <n v="0"/>
    <s v="ToyoLi"/>
    <n v="17"/>
    <n v="0"/>
    <n v="22.6"/>
    <n v="0"/>
    <s v="WHITE"/>
    <s v="C01488W"/>
    <s v="ToyoLi - WHITE"/>
    <n v="25"/>
    <n v="0"/>
    <m/>
    <m/>
    <n v="0"/>
    <s v="F640"/>
    <m/>
    <m/>
    <m/>
    <m/>
    <m/>
    <m/>
    <m/>
    <n v="20"/>
    <n v="0"/>
    <m/>
    <n v="0"/>
    <m/>
    <n v="0"/>
    <m/>
    <n v="0"/>
    <m/>
    <n v="0"/>
    <m/>
    <n v="0"/>
    <m/>
    <n v="0"/>
    <m/>
    <n v="0"/>
    <s v="ToyoLi"/>
    <n v="20"/>
    <n v="0"/>
    <n v="50.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6"/>
    <n v="5"/>
    <n v="10"/>
    <n v="0"/>
    <n v="0"/>
    <n v="0"/>
    <n v="0.3"/>
    <m/>
    <m/>
    <n v="0.5"/>
    <n v="0.2"/>
    <n v="0"/>
    <n v="63"/>
    <n v="0"/>
    <n v="0"/>
    <n v="63"/>
    <n v="63"/>
    <n v="18.899999999999999"/>
    <n v="0"/>
    <n v="0"/>
    <n v="0"/>
    <n v="0"/>
    <n v="0"/>
    <n v="31.5"/>
    <n v="0"/>
    <n v="12.600000000000001"/>
    <n v="0"/>
    <n v="0"/>
    <n v="0"/>
    <n v="0"/>
    <m/>
    <n v="45"/>
    <n v="118"/>
    <s v="TL67"/>
    <s v="ToyoLiToyoLiToyoLiToyoLiToyoLi"/>
    <s v="+"/>
    <s v="+"/>
    <s v="+"/>
    <s v="+"/>
    <s v="+"/>
    <s v="NIL"/>
    <s v="NIL"/>
    <s v="NIL"/>
  </r>
  <r>
    <d v="2026-01-12T00:00:00"/>
    <s v="B"/>
    <x v="161"/>
    <s v="TL68"/>
    <n v="626"/>
    <n v="40800"/>
    <s v="I"/>
    <s v="N"/>
    <n v="2.2000000000000002"/>
    <s v="BLACK"/>
    <s v="J00975B"/>
    <s v="ToyoLi - BLACK"/>
    <n v="24"/>
    <n v="0"/>
    <m/>
    <m/>
    <n v="0"/>
    <s v="R92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6"/>
    <n v="0"/>
    <n v="5.6000000000000014"/>
    <n v="0"/>
    <s v="REFLEX BLUE"/>
    <s v="J00975B"/>
    <s v="ToyoLi - REFLEX BLUE"/>
    <n v="16"/>
    <n v="0"/>
    <m/>
    <m/>
    <n v="0"/>
    <s v="R1205"/>
    <s v="R39"/>
    <m/>
    <m/>
    <m/>
    <m/>
    <m/>
    <m/>
    <n v="2"/>
    <n v="0"/>
    <n v="15"/>
    <n v="0"/>
    <m/>
    <n v="0"/>
    <m/>
    <n v="0"/>
    <m/>
    <n v="0"/>
    <m/>
    <n v="0"/>
    <m/>
    <n v="0"/>
    <m/>
    <n v="0"/>
    <s v="ToyoLi"/>
    <n v="20"/>
    <n v="0"/>
    <n v="27.4"/>
    <n v="0"/>
    <s v="WHITE"/>
    <s v="J00975W"/>
    <s v="ToyoLi - WHITE"/>
    <n v="20"/>
    <n v="0"/>
    <m/>
    <m/>
    <n v="0"/>
    <s v="F640"/>
    <m/>
    <m/>
    <m/>
    <m/>
    <m/>
    <m/>
    <m/>
    <n v="160"/>
    <n v="0"/>
    <m/>
    <n v="0"/>
    <m/>
    <n v="0"/>
    <m/>
    <n v="0"/>
    <m/>
    <n v="0"/>
    <m/>
    <n v="0"/>
    <m/>
    <n v="0"/>
    <m/>
    <n v="0"/>
    <s v="ToyoLi"/>
    <n v="30"/>
    <n v="0"/>
    <n v="31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8"/>
    <n v="90"/>
    <n v="0"/>
    <n v="0"/>
    <n v="0"/>
    <n v="0"/>
    <n v="0"/>
    <n v="0.3"/>
    <m/>
    <m/>
    <n v="0.5"/>
    <n v="0.2"/>
    <n v="0"/>
    <n v="180"/>
    <n v="0"/>
    <n v="0"/>
    <n v="180"/>
    <n v="180"/>
    <n v="54"/>
    <n v="0"/>
    <n v="0"/>
    <n v="0"/>
    <n v="0"/>
    <n v="0"/>
    <n v="90"/>
    <n v="0"/>
    <n v="36"/>
    <n v="0"/>
    <n v="0"/>
    <n v="0"/>
    <n v="0"/>
    <m/>
    <n v="181"/>
    <n v="345"/>
    <s v="TL68"/>
    <s v="ToyoLiToyoLiToyoLi"/>
    <s v="+"/>
    <s v="+"/>
    <s v="+"/>
    <s v="NIL"/>
    <s v="NIL"/>
    <s v="NIL"/>
    <s v="NIL"/>
    <s v="NIL"/>
  </r>
  <r>
    <d v="2026-01-12T00:00:00"/>
    <s v="B"/>
    <x v="162"/>
    <s v="TL69"/>
    <n v="373"/>
    <n v="24300"/>
    <s v="I"/>
    <s v="N"/>
    <n v="2"/>
    <s v="BLACK"/>
    <s v="N00800G"/>
    <s v="ToyoLi - BLACK"/>
    <n v="10"/>
    <n v="0"/>
    <s v="G00351G"/>
    <n v="17"/>
    <n v="0"/>
    <s v="RTMD"/>
    <s v="F121"/>
    <m/>
    <m/>
    <m/>
    <m/>
    <m/>
    <m/>
    <n v="5"/>
    <n v="0"/>
    <n v="0.2"/>
    <n v="0"/>
    <m/>
    <n v="0"/>
    <m/>
    <n v="0"/>
    <m/>
    <n v="0"/>
    <m/>
    <n v="0"/>
    <m/>
    <n v="0"/>
    <m/>
    <n v="0"/>
    <s v="ToyoLi"/>
    <n v="25"/>
    <n v="0"/>
    <n v="14.295238095238098"/>
    <n v="0"/>
    <s v="WHITE"/>
    <s v="J00977W"/>
    <s v="ToyoLi - WHITE"/>
    <n v="30"/>
    <n v="0"/>
    <m/>
    <m/>
    <n v="0"/>
    <s v="F640"/>
    <m/>
    <m/>
    <m/>
    <m/>
    <m/>
    <m/>
    <m/>
    <n v="100"/>
    <n v="0"/>
    <m/>
    <n v="0"/>
    <m/>
    <n v="0"/>
    <m/>
    <n v="0"/>
    <m/>
    <n v="0"/>
    <m/>
    <n v="0"/>
    <m/>
    <n v="0"/>
    <m/>
    <n v="0"/>
    <s v="ToyoLi"/>
    <n v="30"/>
    <n v="0"/>
    <n v="241.9047619047619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60"/>
    <n v="0"/>
    <n v="0"/>
    <n v="0"/>
    <n v="0"/>
    <n v="0"/>
    <n v="0"/>
    <n v="0.3"/>
    <m/>
    <m/>
    <n v="0.5"/>
    <n v="0.2"/>
    <n v="0"/>
    <n v="149"/>
    <n v="0"/>
    <n v="0"/>
    <n v="149"/>
    <n v="149"/>
    <n v="44.699999999999996"/>
    <n v="0"/>
    <n v="0"/>
    <n v="0"/>
    <n v="0"/>
    <n v="0"/>
    <n v="74.5"/>
    <n v="0"/>
    <n v="29.8"/>
    <n v="0"/>
    <n v="0"/>
    <n v="0"/>
    <n v="0"/>
    <m/>
    <n v="105.2"/>
    <n v="256.20000000000005"/>
    <s v="TL69"/>
    <s v="ToyoLiToyoLi"/>
    <s v="+"/>
    <s v="+"/>
    <s v="NIL"/>
    <s v="NIL"/>
    <s v="NIL"/>
    <s v="NIL"/>
    <s v="NIL"/>
    <s v="NIL"/>
  </r>
  <r>
    <d v="2026-01-13T00:00:00"/>
    <s v="A"/>
    <x v="163"/>
    <s v="TL70"/>
    <n v="126"/>
    <n v="8200"/>
    <s v="I"/>
    <s v="N"/>
    <n v="2"/>
    <s v="BLACK"/>
    <s v="J00977B"/>
    <s v="ToyoLi - BLACK"/>
    <n v="26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7"/>
    <n v="0"/>
    <n v="8.2999999999999972"/>
    <n v="0"/>
    <s v="RED"/>
    <s v="J00975R"/>
    <s v="ToyoLi - RED"/>
    <n v="17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2"/>
    <n v="0"/>
    <n v="7.4499999999999993"/>
    <n v="0"/>
    <s v="WHITE"/>
    <s v="J00979W"/>
    <s v="ToyoLi - WHITE"/>
    <n v="30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25"/>
    <n v="0"/>
    <n v="92.2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15"/>
    <n v="0"/>
    <n v="0"/>
    <n v="0"/>
    <n v="0"/>
    <n v="0"/>
    <n v="0.3"/>
    <m/>
    <m/>
    <n v="0.5"/>
    <n v="0.2"/>
    <n v="0"/>
    <n v="63"/>
    <n v="0"/>
    <n v="0"/>
    <n v="63"/>
    <n v="63"/>
    <n v="18.899999999999999"/>
    <n v="0"/>
    <n v="0"/>
    <n v="0"/>
    <n v="0"/>
    <n v="0"/>
    <n v="31.5"/>
    <n v="0"/>
    <n v="12.600000000000001"/>
    <n v="0"/>
    <n v="0"/>
    <n v="0"/>
    <n v="0"/>
    <m/>
    <n v="46"/>
    <n v="108"/>
    <s v="TL70"/>
    <s v="ToyoLiToyoLiToyoLi"/>
    <s v="+"/>
    <s v="+"/>
    <s v="+"/>
    <s v="NIL"/>
    <s v="NIL"/>
    <s v="NIL"/>
    <s v="NIL"/>
    <s v="NIL"/>
  </r>
  <r>
    <d v="2026-01-13T00:00:00"/>
    <s v="A"/>
    <x v="164"/>
    <s v="TL71"/>
    <n v="372"/>
    <n v="23500"/>
    <s v="I"/>
    <s v="N"/>
    <n v="2.1"/>
    <s v="BLACK"/>
    <s v="J00986B"/>
    <s v="ToyoLi - BLACK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0"/>
    <n v="6.1935483870967758"/>
    <n v="0"/>
    <s v="GREEN"/>
    <m/>
    <s v="ToyoLi - GREEN"/>
    <m/>
    <n v="0"/>
    <m/>
    <m/>
    <n v="0"/>
    <s v="R79"/>
    <s v="F23T"/>
    <s v="RTMD"/>
    <m/>
    <m/>
    <m/>
    <m/>
    <m/>
    <n v="20"/>
    <n v="0"/>
    <n v="10"/>
    <n v="0"/>
    <n v="20"/>
    <n v="0"/>
    <m/>
    <n v="0"/>
    <m/>
    <n v="0"/>
    <m/>
    <n v="0"/>
    <m/>
    <n v="0"/>
    <m/>
    <n v="0"/>
    <s v="ToyoLi"/>
    <n v="30"/>
    <n v="0"/>
    <n v="61.935483870967744"/>
    <n v="0"/>
    <s v="WHITE"/>
    <s v="J00986W"/>
    <s v="ToyoLi - WHITE"/>
    <n v="25"/>
    <n v="0"/>
    <m/>
    <m/>
    <n v="0"/>
    <s v="F640"/>
    <m/>
    <m/>
    <m/>
    <m/>
    <m/>
    <m/>
    <m/>
    <n v="110"/>
    <n v="0"/>
    <m/>
    <n v="0"/>
    <m/>
    <n v="0"/>
    <m/>
    <n v="0"/>
    <m/>
    <n v="0"/>
    <m/>
    <n v="0"/>
    <m/>
    <n v="0"/>
    <m/>
    <n v="0"/>
    <s v="ToyoLi"/>
    <n v="28"/>
    <n v="0"/>
    <n v="190.8709677419354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0"/>
    <n v="40"/>
    <n v="0"/>
    <n v="0"/>
    <n v="0"/>
    <n v="0"/>
    <n v="0"/>
    <n v="0.3"/>
    <m/>
    <m/>
    <n v="0.5"/>
    <n v="0.2"/>
    <n v="0"/>
    <n v="130"/>
    <n v="0"/>
    <n v="0"/>
    <n v="130"/>
    <n v="130"/>
    <n v="39"/>
    <n v="0"/>
    <n v="0"/>
    <n v="0"/>
    <n v="0"/>
    <n v="0"/>
    <n v="65"/>
    <n v="0"/>
    <n v="26"/>
    <n v="0"/>
    <n v="0"/>
    <n v="0"/>
    <n v="0"/>
    <m/>
    <n v="160"/>
    <n v="259"/>
    <s v="TL71"/>
    <s v="ToyoLiToyoLiToyoLi"/>
    <s v="+"/>
    <s v="+"/>
    <s v="+"/>
    <s v="NIL"/>
    <s v="NIL"/>
    <s v="NIL"/>
    <s v="NIL"/>
    <s v="NIL"/>
  </r>
  <r>
    <d v="2026-01-13T00:00:00"/>
    <s v="A"/>
    <x v="165"/>
    <s v="TL72"/>
    <n v="501"/>
    <n v="31700"/>
    <s v="I"/>
    <s v="N"/>
    <n v="2.2000000000000002"/>
    <s v="BLACK"/>
    <s v="J00980B"/>
    <s v="ToyoLi - BLACK"/>
    <n v="25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4.3653846153846168"/>
    <n v="0"/>
    <s v="GREEN"/>
    <s v="J00980G"/>
    <s v="ToyoLi - GREEN"/>
    <n v="30"/>
    <n v="0"/>
    <m/>
    <m/>
    <n v="0"/>
    <s v="R79"/>
    <s v="RTMD"/>
    <s v="F23T"/>
    <m/>
    <m/>
    <m/>
    <m/>
    <m/>
    <n v="20"/>
    <n v="0"/>
    <n v="15"/>
    <n v="0"/>
    <n v="9"/>
    <n v="0"/>
    <m/>
    <n v="0"/>
    <m/>
    <n v="0"/>
    <m/>
    <n v="0"/>
    <m/>
    <n v="0"/>
    <m/>
    <n v="0"/>
    <s v="ToyoLi"/>
    <n v="25"/>
    <n v="0"/>
    <n v="77.605769230769226"/>
    <n v="0"/>
    <s v="WHITE"/>
    <s v="J00980W"/>
    <s v="ToyoLi - WHITE"/>
    <n v="28"/>
    <n v="0"/>
    <m/>
    <m/>
    <n v="0"/>
    <s v="F640"/>
    <m/>
    <m/>
    <m/>
    <m/>
    <m/>
    <m/>
    <m/>
    <n v="140"/>
    <n v="0"/>
    <m/>
    <n v="0"/>
    <m/>
    <n v="0"/>
    <m/>
    <n v="0"/>
    <m/>
    <n v="0"/>
    <m/>
    <n v="0"/>
    <m/>
    <n v="0"/>
    <m/>
    <n v="0"/>
    <s v="ToyoLi"/>
    <n v="35"/>
    <n v="0"/>
    <n v="276.0288461538461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7"/>
    <n v="85"/>
    <n v="0"/>
    <n v="0"/>
    <n v="0"/>
    <n v="0"/>
    <n v="0"/>
    <n v="0.3"/>
    <m/>
    <m/>
    <n v="0.5"/>
    <n v="0.2"/>
    <n v="0"/>
    <n v="175"/>
    <n v="0"/>
    <n v="0"/>
    <n v="175"/>
    <n v="175"/>
    <n v="52.5"/>
    <n v="0"/>
    <n v="0"/>
    <n v="0"/>
    <n v="0"/>
    <n v="0"/>
    <n v="87.5"/>
    <n v="0"/>
    <n v="35"/>
    <n v="0"/>
    <n v="0"/>
    <n v="0"/>
    <n v="0"/>
    <m/>
    <n v="186"/>
    <n v="358"/>
    <s v="TL72"/>
    <s v="ToyoLiToyoLiToyoLi"/>
    <s v="+"/>
    <s v="+"/>
    <s v="+"/>
    <s v="NIL"/>
    <s v="NIL"/>
    <s v="NIL"/>
    <s v="NIL"/>
    <s v="NIL"/>
  </r>
  <r>
    <d v="2026-01-13T00:00:00"/>
    <s v="A"/>
    <x v="166"/>
    <s v="TL73"/>
    <n v="146"/>
    <n v="9200"/>
    <s v="I"/>
    <s v="N"/>
    <n v="2.1"/>
    <s v="BLACK"/>
    <s v="J00982B"/>
    <s v="ToyoLi - BLACK"/>
    <n v="26"/>
    <n v="0"/>
    <m/>
    <m/>
    <n v="0"/>
    <s v="R92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5"/>
    <n v="0"/>
    <n v="4.1886792452830193"/>
    <n v="0"/>
    <s v="GREEN"/>
    <s v="J00982G"/>
    <s v="ToyoLi - GREEN"/>
    <n v="25"/>
    <n v="0"/>
    <m/>
    <m/>
    <n v="0"/>
    <s v="R79"/>
    <s v="RTMD"/>
    <m/>
    <m/>
    <m/>
    <m/>
    <m/>
    <m/>
    <n v="1"/>
    <n v="0"/>
    <n v="2"/>
    <n v="0"/>
    <m/>
    <n v="0"/>
    <m/>
    <n v="0"/>
    <m/>
    <n v="0"/>
    <m/>
    <n v="0"/>
    <m/>
    <n v="0"/>
    <m/>
    <n v="0"/>
    <s v="ToyoLi"/>
    <n v="25"/>
    <n v="0"/>
    <n v="4.0943396226415096"/>
    <n v="0"/>
    <s v="YELLOW"/>
    <s v="J00937Y"/>
    <s v="ToyoLi - YELLOW"/>
    <n v="18"/>
    <n v="0"/>
    <s v="J00908Y/B01050Y"/>
    <n v="38"/>
    <n v="0"/>
    <s v="F23T"/>
    <s v="F640"/>
    <s v="F53"/>
    <m/>
    <m/>
    <m/>
    <m/>
    <m/>
    <n v="5"/>
    <n v="0"/>
    <n v="10"/>
    <n v="0"/>
    <n v="0.5"/>
    <n v="0"/>
    <m/>
    <n v="0"/>
    <m/>
    <n v="0"/>
    <m/>
    <n v="0"/>
    <m/>
    <n v="0"/>
    <m/>
    <n v="0"/>
    <s v="ToyoLi"/>
    <n v="30"/>
    <n v="0"/>
    <n v="52.443396226415089"/>
    <n v="0"/>
    <s v="WHITE"/>
    <s v="J00982W"/>
    <s v="ToyoLi - WHITE"/>
    <n v="35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25"/>
    <n v="0"/>
    <n v="83.77358490566038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n v="0.5"/>
    <n v="5"/>
    <n v="20"/>
    <n v="0"/>
    <n v="0"/>
    <n v="0"/>
    <n v="0"/>
    <n v="0.3"/>
    <m/>
    <m/>
    <n v="0.5"/>
    <n v="0.2"/>
    <n v="0"/>
    <n v="58"/>
    <n v="0"/>
    <n v="0"/>
    <n v="58"/>
    <n v="58"/>
    <n v="17.399999999999999"/>
    <n v="0"/>
    <n v="0"/>
    <n v="0"/>
    <n v="0"/>
    <n v="0"/>
    <n v="29"/>
    <n v="0"/>
    <n v="11.600000000000001"/>
    <n v="0"/>
    <n v="0"/>
    <n v="0"/>
    <n v="0"/>
    <m/>
    <n v="49.5"/>
    <n v="144.5"/>
    <s v="TL73"/>
    <s v="ToyoLiToyoLiToyoLiToyoLi"/>
    <s v="+"/>
    <s v="+"/>
    <s v="+"/>
    <s v="+"/>
    <s v="NIL"/>
    <s v="NIL"/>
    <s v="NIL"/>
    <s v="NIL"/>
  </r>
  <r>
    <d v="2026-01-13T00:00:00"/>
    <s v="A"/>
    <x v="167"/>
    <s v="TL74"/>
    <n v="125"/>
    <n v="7900"/>
    <s v="I"/>
    <s v="N"/>
    <n v="2.4"/>
    <s v="BLACK"/>
    <s v="J00983B"/>
    <s v="ToyoLi - BLACK"/>
    <n v="25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3"/>
    <n v="0"/>
    <n v="7.125"/>
    <n v="0"/>
    <s v="GREEN"/>
    <s v="J00983G"/>
    <s v="ToyoLi - GREEN"/>
    <n v="25"/>
    <n v="0"/>
    <m/>
    <m/>
    <n v="0"/>
    <s v="R79"/>
    <s v="RTMD"/>
    <s v="F23T"/>
    <m/>
    <m/>
    <m/>
    <m/>
    <m/>
    <n v="3"/>
    <n v="0"/>
    <n v="2"/>
    <n v="0"/>
    <n v="1"/>
    <n v="0"/>
    <m/>
    <n v="0"/>
    <m/>
    <n v="0"/>
    <m/>
    <n v="0"/>
    <m/>
    <n v="0"/>
    <m/>
    <n v="0"/>
    <s v="ToyoLi"/>
    <n v="27"/>
    <n v="0"/>
    <n v="10.25"/>
    <n v="0"/>
    <s v="YELLOW"/>
    <s v="J00983Y"/>
    <s v="ToyoLi - YELLOW"/>
    <n v="30"/>
    <n v="0"/>
    <m/>
    <m/>
    <n v="0"/>
    <s v="F640"/>
    <s v="F23T"/>
    <m/>
    <m/>
    <m/>
    <m/>
    <m/>
    <m/>
    <n v="5"/>
    <n v="0"/>
    <n v="2"/>
    <n v="0"/>
    <m/>
    <n v="0"/>
    <m/>
    <n v="0"/>
    <m/>
    <n v="0"/>
    <m/>
    <n v="0"/>
    <m/>
    <n v="0"/>
    <m/>
    <n v="0"/>
    <s v="ToyoLi"/>
    <n v="33"/>
    <n v="0"/>
    <n v="13.375"/>
    <n v="0"/>
    <s v="WHITE"/>
    <s v="J00983W"/>
    <s v="ToyoLi - WHITE"/>
    <n v="25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20"/>
    <n v="0"/>
    <n v="66.2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n v="2"/>
    <n v="3"/>
    <n v="10"/>
    <n v="0"/>
    <n v="0"/>
    <n v="0"/>
    <n v="0"/>
    <n v="0.3"/>
    <m/>
    <m/>
    <n v="0.5"/>
    <n v="0.2"/>
    <n v="0"/>
    <n v="50"/>
    <n v="0"/>
    <n v="0"/>
    <n v="50"/>
    <n v="50"/>
    <n v="15"/>
    <n v="0"/>
    <n v="0"/>
    <n v="0"/>
    <n v="0"/>
    <n v="0"/>
    <n v="25"/>
    <n v="0"/>
    <n v="10"/>
    <n v="0"/>
    <n v="0"/>
    <n v="0"/>
    <n v="0"/>
    <m/>
    <n v="45"/>
    <n v="97"/>
    <s v="TL74"/>
    <s v="ToyoLiToyoLiToyoLiToyoLi"/>
    <s v="+"/>
    <s v="+"/>
    <s v="+"/>
    <s v="+"/>
    <s v="NIL"/>
    <s v="NIL"/>
    <s v="NIL"/>
    <s v="NIL"/>
  </r>
  <r>
    <d v="2026-01-13T00:00:00"/>
    <s v="A"/>
    <x v="168"/>
    <s v="TL75"/>
    <n v="1687"/>
    <n v="137000"/>
    <s v="I"/>
    <s v="N"/>
    <n v="1.8"/>
    <s v="BLACK"/>
    <m/>
    <s v="ToyoLi - BLACK"/>
    <m/>
    <n v="0"/>
    <m/>
    <m/>
    <n v="0"/>
    <s v="R92"/>
    <s v="RTMD"/>
    <m/>
    <m/>
    <m/>
    <m/>
    <m/>
    <m/>
    <n v="30"/>
    <n v="0"/>
    <n v="8"/>
    <n v="0"/>
    <m/>
    <n v="0"/>
    <m/>
    <n v="0"/>
    <m/>
    <n v="0"/>
    <m/>
    <n v="0"/>
    <m/>
    <n v="0"/>
    <m/>
    <n v="0"/>
    <s v="ToyoLi"/>
    <n v="55"/>
    <n v="0"/>
    <n v="31.360655737704917"/>
    <n v="0"/>
    <s v="BLACK"/>
    <s v="J00985B"/>
    <s v="ToyoLi - BLACK"/>
    <n v="23"/>
    <n v="0"/>
    <m/>
    <m/>
    <n v="0"/>
    <s v="R92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20"/>
    <n v="0"/>
    <n v="65.885245901639337"/>
    <n v="0"/>
    <s v="RED"/>
    <s v="J00975R"/>
    <s v="ToyoLi - RED"/>
    <n v="17"/>
    <n v="0"/>
    <s v="N00791R/C01488R"/>
    <n v="40"/>
    <n v="0"/>
    <s v="F121"/>
    <s v="F53"/>
    <m/>
    <m/>
    <m/>
    <m/>
    <m/>
    <m/>
    <n v="80"/>
    <n v="0"/>
    <n v="60"/>
    <n v="0"/>
    <m/>
    <n v="0"/>
    <m/>
    <n v="0"/>
    <m/>
    <n v="0"/>
    <m/>
    <n v="0"/>
    <m/>
    <n v="0"/>
    <m/>
    <n v="0"/>
    <s v="ToyoLi"/>
    <n v="30"/>
    <n v="0"/>
    <n v="263.72131147540983"/>
    <n v="0"/>
    <s v="CYAN"/>
    <s v="B01050C"/>
    <s v="ToyoLi - CYAN"/>
    <n v="20"/>
    <n v="0"/>
    <m/>
    <m/>
    <n v="0"/>
    <s v="R39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9"/>
    <n v="0"/>
    <n v="5.6721311475409806"/>
    <n v="0"/>
    <s v="MAGENTA"/>
    <s v="C01487M"/>
    <s v="ToyoLi - MAGENTA"/>
    <n v="10"/>
    <n v="0"/>
    <s v="L00294M"/>
    <n v="12"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1.8032786885245926"/>
    <n v="0"/>
    <s v="YELLOW"/>
    <s v="C0148Y"/>
    <s v="ToyoLi - YELLOW"/>
    <n v="27"/>
    <n v="0"/>
    <m/>
    <m/>
    <n v="0"/>
    <s v="F23T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27"/>
    <n v="0"/>
    <n v="19.672131147540981"/>
    <n v="0"/>
    <s v="WHITE"/>
    <s v="J00985W"/>
    <s v="ToyoLi - WHITE"/>
    <n v="20"/>
    <n v="0"/>
    <m/>
    <m/>
    <n v="0"/>
    <s v="F640"/>
    <m/>
    <m/>
    <m/>
    <m/>
    <m/>
    <m/>
    <m/>
    <n v="330"/>
    <n v="0"/>
    <m/>
    <n v="0"/>
    <m/>
    <n v="0"/>
    <m/>
    <n v="0"/>
    <m/>
    <n v="0"/>
    <m/>
    <n v="0"/>
    <m/>
    <n v="0"/>
    <m/>
    <n v="0"/>
    <s v="ToyoLi"/>
    <n v="30"/>
    <n v="0"/>
    <n v="706.8852459016393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5"/>
    <n v="17"/>
    <n v="50"/>
    <n v="5"/>
    <n v="3"/>
    <n v="5"/>
    <n v="200"/>
    <n v="0"/>
    <n v="0.3"/>
    <m/>
    <m/>
    <n v="0.5"/>
    <n v="0.2"/>
    <n v="0"/>
    <n v="590"/>
    <n v="0"/>
    <n v="0"/>
    <n v="590"/>
    <n v="590"/>
    <n v="177"/>
    <n v="0"/>
    <n v="0"/>
    <n v="0"/>
    <n v="0"/>
    <n v="0"/>
    <n v="295"/>
    <n v="0"/>
    <n v="118"/>
    <n v="0"/>
    <n v="0"/>
    <n v="0"/>
    <n v="0"/>
    <m/>
    <n v="555"/>
    <n v="1095"/>
    <s v="TL75"/>
    <s v="ToyoLiToyoLiToyoLiToyoLiToyoLiToyoLiToyoLi"/>
    <s v="+"/>
    <s v="+"/>
    <s v="+"/>
    <s v="+"/>
    <s v="+"/>
    <s v="+"/>
    <s v="+"/>
    <s v="NIL"/>
  </r>
  <r>
    <d v="2026-01-13T00:00:00"/>
    <s v="B"/>
    <x v="169"/>
    <s v="TL76"/>
    <n v="143"/>
    <n v="9500"/>
    <s v="I"/>
    <s v="N"/>
    <n v="1.42"/>
    <s v="BLACK"/>
    <s v="P00460B"/>
    <s v="ToyoLi - BLACK"/>
    <n v="25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3.4545454545454533"/>
    <n v="0"/>
    <s v="REFLEX BLUE"/>
    <s v="C01487P"/>
    <s v="ToyoLi - REFLEX BLUE"/>
    <n v="20"/>
    <n v="0"/>
    <s v="G00400P"/>
    <n v="17"/>
    <n v="0"/>
    <s v="F121"/>
    <s v="R1205"/>
    <s v="F53"/>
    <m/>
    <m/>
    <m/>
    <m/>
    <m/>
    <n v="10"/>
    <n v="0"/>
    <n v="1"/>
    <n v="0"/>
    <n v="3"/>
    <n v="0"/>
    <m/>
    <n v="0"/>
    <m/>
    <n v="0"/>
    <m/>
    <n v="0"/>
    <m/>
    <n v="0"/>
    <m/>
    <n v="0"/>
    <s v="ToyoLi"/>
    <n v="38"/>
    <n v="0"/>
    <n v="23.36363636363636"/>
    <n v="0"/>
    <s v="CYAN"/>
    <s v="P00460C"/>
    <s v="ToyoLi - CYAN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1"/>
    <n v="0"/>
    <n v="1.4545454545454533"/>
    <n v="0"/>
    <s v="MAGENTA"/>
    <s v="P00460M"/>
    <s v="ToyoLi - MAGENTA"/>
    <n v="28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5.4545454545454533"/>
    <n v="0"/>
    <s v="YELLOW"/>
    <s v="P00460Y"/>
    <s v="ToyoLi - YELLOW"/>
    <n v="27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6"/>
    <n v="0"/>
    <n v="11.18181818181818"/>
    <n v="0"/>
    <s v="YELLOW"/>
    <m/>
    <s v="ToyoLi - YELLOW"/>
    <m/>
    <n v="0"/>
    <m/>
    <m/>
    <n v="0"/>
    <s v="F23T"/>
    <s v="F53"/>
    <m/>
    <m/>
    <m/>
    <m/>
    <m/>
    <m/>
    <n v="14"/>
    <n v="0"/>
    <n v="0.5"/>
    <n v="0"/>
    <m/>
    <n v="0"/>
    <m/>
    <n v="0"/>
    <m/>
    <n v="0"/>
    <m/>
    <n v="0"/>
    <m/>
    <n v="0"/>
    <m/>
    <n v="0"/>
    <s v="ToyoLi"/>
    <n v="20"/>
    <n v="0"/>
    <n v="8.3181818181818201"/>
    <n v="0"/>
    <s v="WHITE"/>
    <s v="P00460W"/>
    <s v="ToyoLi - WHITE"/>
    <n v="30"/>
    <n v="0"/>
    <m/>
    <m/>
    <n v="0"/>
    <s v="F640"/>
    <m/>
    <m/>
    <m/>
    <m/>
    <m/>
    <m/>
    <m/>
    <n v="20"/>
    <n v="0"/>
    <m/>
    <n v="0"/>
    <m/>
    <n v="0"/>
    <m/>
    <n v="0"/>
    <m/>
    <n v="0"/>
    <m/>
    <n v="0"/>
    <m/>
    <n v="0"/>
    <m/>
    <n v="0"/>
    <s v="ToyoLi"/>
    <n v="30"/>
    <n v="0"/>
    <n v="37.2727272727272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"/>
    <n v="2"/>
    <n v="2"/>
    <n v="3"/>
    <n v="8"/>
    <n v="10"/>
    <n v="0"/>
    <n v="0.3"/>
    <m/>
    <m/>
    <n v="0.5"/>
    <n v="0.2"/>
    <n v="0"/>
    <n v="57"/>
    <n v="0"/>
    <n v="0"/>
    <n v="57"/>
    <n v="57"/>
    <n v="17.099999999999998"/>
    <n v="0"/>
    <n v="0"/>
    <n v="0"/>
    <n v="0"/>
    <n v="0"/>
    <n v="28.5"/>
    <n v="0"/>
    <n v="11.4"/>
    <n v="0"/>
    <n v="0"/>
    <n v="0"/>
    <n v="0"/>
    <m/>
    <n v="57.5"/>
    <n v="90.5"/>
    <s v="TL76"/>
    <s v="ToyoLiToyoLiToyoLiToyoLiToyoLiToyoLiToyoLi"/>
    <s v="+"/>
    <s v="+"/>
    <s v="+"/>
    <s v="+"/>
    <s v="+"/>
    <s v="+"/>
    <s v="+"/>
    <s v="NIL"/>
  </r>
  <r>
    <d v="2026-01-13T00:00:00"/>
    <s v="B"/>
    <x v="170"/>
    <s v="TL77"/>
    <n v="154"/>
    <n v="10300"/>
    <s v="I"/>
    <s v="N"/>
    <n v="2.77"/>
    <s v="BLACK"/>
    <s v="G00406B"/>
    <s v="ToyoLi - BLACK"/>
    <n v="27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9"/>
    <n v="0"/>
    <n v="5.8378378378378386"/>
    <n v="0"/>
    <s v="BLACK"/>
    <s v="G00647G"/>
    <s v="ToyoLi - BLACK"/>
    <n v="20"/>
    <n v="0"/>
    <s v="N00800G"/>
    <n v="13"/>
    <n v="0"/>
    <s v="RTMD"/>
    <s v="F121"/>
    <s v="R92"/>
    <m/>
    <m/>
    <m/>
    <m/>
    <m/>
    <n v="5"/>
    <n v="0"/>
    <n v="0.2"/>
    <n v="0"/>
    <n v="0.1"/>
    <n v="0"/>
    <m/>
    <n v="0"/>
    <m/>
    <n v="0"/>
    <m/>
    <n v="0"/>
    <m/>
    <n v="0"/>
    <m/>
    <n v="0"/>
    <s v="ToyoLi"/>
    <n v="26"/>
    <n v="0"/>
    <n v="21.056756756756762"/>
    <n v="0"/>
    <s v="RED"/>
    <s v="P00460R"/>
    <s v="ToyoLi - RED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0"/>
    <n v="7.8378378378378386"/>
    <n v="0"/>
    <s v="MAGENTA"/>
    <s v="G00406M"/>
    <s v="ToyoLi - MAGENTA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0"/>
    <n v="5.8378378378378386"/>
    <n v="0"/>
    <s v="YELLOW"/>
    <s v="G00406Y"/>
    <s v="ToyoLi - YELLOW"/>
    <n v="26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0"/>
    <n v="0"/>
    <n v="6.8378378378378386"/>
    <n v="0"/>
    <s v="WHITE"/>
    <s v="G00406W+"/>
    <s v="ToyoLi - WHITE"/>
    <n v="30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30"/>
    <n v="0"/>
    <n v="98.378378378378386"/>
    <n v="0"/>
    <s v="MATT"/>
    <s v="H01366M"/>
    <s v="ToyoLi - MATT"/>
    <n v="20"/>
    <n v="0"/>
    <m/>
    <m/>
    <n v="0"/>
    <n v="55"/>
    <s v="NWBBK"/>
    <m/>
    <m/>
    <m/>
    <m/>
    <m/>
    <m/>
    <n v="40"/>
    <n v="0"/>
    <n v="10"/>
    <n v="0"/>
    <m/>
    <n v="0"/>
    <m/>
    <n v="0"/>
    <m/>
    <n v="0"/>
    <m/>
    <n v="0"/>
    <m/>
    <n v="0"/>
    <m/>
    <n v="0"/>
    <s v="ToyoLi"/>
    <n v="25"/>
    <n v="0"/>
    <n v="62.51351351351351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2"/>
    <n v="2"/>
    <n v="2"/>
    <n v="20"/>
    <n v="6"/>
    <n v="0"/>
    <n v="0.3"/>
    <m/>
    <m/>
    <n v="0.5"/>
    <n v="0.2"/>
    <n v="0"/>
    <n v="108"/>
    <n v="0"/>
    <n v="0"/>
    <n v="108"/>
    <n v="108"/>
    <n v="32.4"/>
    <n v="0"/>
    <n v="0"/>
    <n v="0"/>
    <n v="0"/>
    <n v="0"/>
    <n v="54"/>
    <n v="0"/>
    <n v="21.6"/>
    <n v="0"/>
    <n v="0"/>
    <n v="0"/>
    <n v="0"/>
    <m/>
    <n v="102.3"/>
    <n v="208.3"/>
    <s v="TL77"/>
    <s v="ToyoLiToyoLiToyoLiToyoLiToyoLiToyoLiToyoLi"/>
    <s v="+"/>
    <s v="+"/>
    <s v="+"/>
    <s v="+"/>
    <s v="+"/>
    <s v="+"/>
    <s v="+"/>
    <s v="NIL"/>
  </r>
  <r>
    <d v="2026-01-13T00:00:00"/>
    <s v="B"/>
    <x v="171"/>
    <s v="TL78"/>
    <n v="147"/>
    <n v="9800"/>
    <s v="I"/>
    <s v="N"/>
    <n v="2.7"/>
    <s v="BLACK"/>
    <s v="N00938B"/>
    <s v="ToyoLi - BLACK"/>
    <n v="29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30"/>
    <n v="0"/>
    <n v="6.7894736842105274"/>
    <n v="0"/>
    <s v="ORANGE"/>
    <s v="G00400O"/>
    <s v="ToyoLi - ORANGE"/>
    <n v="30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11.789473684210527"/>
    <n v="0"/>
    <s v="RED"/>
    <s v="N00938R"/>
    <s v="ToyoLi - RED"/>
    <n v="28"/>
    <n v="0"/>
    <m/>
    <m/>
    <n v="0"/>
    <s v="F53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2"/>
    <n v="0"/>
    <s v="ORANGE"/>
    <s v="P00861O"/>
    <s v="ToyoLi - ORANGE"/>
    <n v="19"/>
    <n v="0"/>
    <m/>
    <m/>
    <n v="0"/>
    <s v="F53"/>
    <s v="RTMD"/>
    <s v="R92"/>
    <m/>
    <m/>
    <m/>
    <m/>
    <m/>
    <n v="6"/>
    <n v="0"/>
    <n v="3"/>
    <n v="0"/>
    <n v="0.5"/>
    <n v="0"/>
    <m/>
    <n v="0"/>
    <m/>
    <n v="0"/>
    <m/>
    <n v="0"/>
    <m/>
    <n v="0"/>
    <m/>
    <n v="0"/>
    <s v="ToyoLi"/>
    <n v="20"/>
    <n v="0"/>
    <n v="20.078947368421055"/>
    <n v="0"/>
    <s v="MAGENTA"/>
    <s v="N00938M"/>
    <s v="ToyoLi - MAGENTA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0"/>
    <n v="5.7894736842105274"/>
    <n v="0"/>
    <s v="YELLOW"/>
    <s v="N00938Y"/>
    <s v="ToyoLi - YELLOW"/>
    <n v="30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32"/>
    <n v="0"/>
    <n v="8.6842105263157876"/>
    <n v="0"/>
    <s v="WHITE"/>
    <s v="N00938W"/>
    <s v="ToyoLi - WHITE"/>
    <n v="30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25"/>
    <n v="0"/>
    <n v="102.89473684210526"/>
    <n v="0"/>
    <s v="MATT"/>
    <s v="N00938M"/>
    <s v="ToyoLi - MATT"/>
    <n v="25"/>
    <n v="0"/>
    <m/>
    <m/>
    <n v="0"/>
    <n v="55"/>
    <s v="NWBBK"/>
    <m/>
    <m/>
    <m/>
    <m/>
    <m/>
    <m/>
    <n v="20"/>
    <n v="0"/>
    <n v="5"/>
    <n v="0"/>
    <m/>
    <n v="0"/>
    <m/>
    <n v="0"/>
    <m/>
    <n v="0"/>
    <m/>
    <n v="0"/>
    <m/>
    <n v="0"/>
    <m/>
    <n v="0"/>
    <s v="ToyoLi"/>
    <n v="18"/>
    <n v="0"/>
    <n v="46.473684210526315"/>
    <n v="0"/>
    <n v="2"/>
    <n v="2"/>
    <n v="0"/>
    <n v="4"/>
    <n v="2"/>
    <n v="3"/>
    <n v="20"/>
    <n v="5"/>
    <n v="0.3"/>
    <m/>
    <m/>
    <n v="0.5"/>
    <n v="0.2"/>
    <n v="0"/>
    <n v="110"/>
    <n v="0"/>
    <n v="0"/>
    <n v="110"/>
    <n v="110"/>
    <n v="33"/>
    <n v="0"/>
    <n v="0"/>
    <n v="0"/>
    <n v="0"/>
    <n v="0"/>
    <n v="55"/>
    <n v="0"/>
    <n v="22"/>
    <n v="0"/>
    <n v="0"/>
    <n v="0"/>
    <n v="0"/>
    <m/>
    <n v="82.5"/>
    <n v="204.5"/>
    <s v="TL78"/>
    <s v="ToyoLiToyoLiToyoLiToyoLiToyoLiToyoLiToyoLiToyoLi"/>
    <s v="+"/>
    <s v="+"/>
    <s v="+"/>
    <s v="+"/>
    <s v="+"/>
    <s v="+"/>
    <s v="+"/>
    <s v="+"/>
  </r>
  <r>
    <d v="2026-01-14T00:00:00"/>
    <s v="A"/>
    <x v="172"/>
    <s v="TL79"/>
    <n v="78"/>
    <n v="5800"/>
    <s v="I"/>
    <s v="N"/>
    <n v="2.7"/>
    <s v="BLACK"/>
    <s v="N00943B"/>
    <s v="ToyoLi - BLACK"/>
    <n v="30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4"/>
    <n v="0"/>
    <s v="BLACK"/>
    <s v="N00938G"/>
    <s v="ToyoLi - BLACK"/>
    <n v="26"/>
    <n v="0"/>
    <m/>
    <m/>
    <n v="0"/>
    <s v="R92"/>
    <s v="RTMD"/>
    <m/>
    <m/>
    <m/>
    <m/>
    <m/>
    <m/>
    <n v="2"/>
    <n v="0"/>
    <n v="5"/>
    <n v="0"/>
    <m/>
    <n v="0"/>
    <m/>
    <n v="0"/>
    <m/>
    <n v="0"/>
    <m/>
    <n v="0"/>
    <m/>
    <n v="0"/>
    <m/>
    <n v="0"/>
    <s v="ToyoLi"/>
    <n v="25"/>
    <n v="0"/>
    <n v="22.307692307692307"/>
    <n v="0"/>
    <s v="WHITE"/>
    <s v="N00943W"/>
    <s v="ToyoLi - WHITE"/>
    <n v="25"/>
    <n v="0"/>
    <m/>
    <m/>
    <n v="0"/>
    <s v="F640"/>
    <m/>
    <m/>
    <m/>
    <m/>
    <m/>
    <m/>
    <m/>
    <n v="15"/>
    <n v="0"/>
    <m/>
    <n v="0"/>
    <m/>
    <n v="0"/>
    <m/>
    <n v="0"/>
    <m/>
    <n v="0"/>
    <m/>
    <n v="0"/>
    <m/>
    <n v="0"/>
    <m/>
    <n v="0"/>
    <s v="ToyoLi"/>
    <n v="20"/>
    <n v="0"/>
    <n v="43.846153846153847"/>
    <n v="0"/>
    <s v="MATT"/>
    <s v="N00943M"/>
    <s v="ToyoLi - MATT"/>
    <n v="18"/>
    <n v="0"/>
    <m/>
    <m/>
    <n v="0"/>
    <n v="55"/>
    <s v="NWBBK"/>
    <m/>
    <m/>
    <m/>
    <m/>
    <m/>
    <m/>
    <n v="20"/>
    <n v="0"/>
    <n v="5"/>
    <n v="0"/>
    <m/>
    <n v="0"/>
    <m/>
    <n v="0"/>
    <m/>
    <n v="0"/>
    <m/>
    <n v="0"/>
    <m/>
    <n v="0"/>
    <m/>
    <n v="0"/>
    <s v="ToyoLi"/>
    <n v="15"/>
    <n v="0"/>
    <n v="51.8461538461538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0"/>
    <n v="3"/>
    <n v="5"/>
    <n v="5"/>
    <n v="0"/>
    <n v="0"/>
    <n v="0"/>
    <n v="0"/>
    <n v="0.3"/>
    <m/>
    <m/>
    <n v="0.5"/>
    <n v="0.2"/>
    <n v="0"/>
    <n v="62"/>
    <n v="0"/>
    <n v="0"/>
    <n v="62"/>
    <n v="62"/>
    <n v="18.599999999999998"/>
    <n v="0"/>
    <n v="0"/>
    <n v="0"/>
    <n v="0"/>
    <n v="0"/>
    <n v="31"/>
    <n v="0"/>
    <n v="12.4"/>
    <n v="0"/>
    <n v="0"/>
    <n v="0"/>
    <n v="0"/>
    <m/>
    <n v="49"/>
    <n v="122"/>
    <s v="TL79"/>
    <s v="ToyoLiToyoLiToyoLiToyoLi"/>
    <s v="+"/>
    <s v="+"/>
    <s v="+"/>
    <s v="+"/>
    <s v="NIL"/>
    <s v="NIL"/>
    <s v="NIL"/>
    <s v="NIL"/>
  </r>
  <r>
    <d v="2026-01-14T00:00:00"/>
    <s v="A"/>
    <x v="173"/>
    <s v="TL80"/>
    <n v="77"/>
    <n v="5700"/>
    <s v="I"/>
    <s v="N"/>
    <n v="2.5"/>
    <s v="BLACK"/>
    <s v="N00939B"/>
    <s v="ToyoLi - BLACK"/>
    <n v="28"/>
    <n v="0"/>
    <m/>
    <m/>
    <n v="0"/>
    <s v="R92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7"/>
    <n v="0"/>
    <n v="5.2631578947368425"/>
    <n v="0"/>
    <s v="ORANGE"/>
    <s v="N00943O"/>
    <s v="ToyoLi - ORANGE"/>
    <n v="26"/>
    <n v="0"/>
    <m/>
    <m/>
    <n v="0"/>
    <s v="F121"/>
    <s v="F53"/>
    <s v="R92"/>
    <m/>
    <m/>
    <m/>
    <m/>
    <m/>
    <n v="3"/>
    <n v="0"/>
    <n v="4"/>
    <n v="0"/>
    <n v="1"/>
    <n v="0"/>
    <m/>
    <n v="0"/>
    <m/>
    <n v="0"/>
    <m/>
    <n v="0"/>
    <m/>
    <n v="0"/>
    <m/>
    <n v="0"/>
    <s v="ToyoLi"/>
    <n v="27"/>
    <n v="0"/>
    <n v="15.157894736842103"/>
    <n v="0"/>
    <s v="ORANGE"/>
    <s v="N00943O"/>
    <s v="ToyoLi - ORANGE"/>
    <n v="20"/>
    <n v="0"/>
    <m/>
    <m/>
    <n v="0"/>
    <s v="F23T"/>
    <s v="F53"/>
    <m/>
    <m/>
    <m/>
    <m/>
    <m/>
    <m/>
    <n v="15"/>
    <n v="0"/>
    <n v="3"/>
    <n v="0"/>
    <m/>
    <n v="0"/>
    <m/>
    <n v="0"/>
    <m/>
    <n v="0"/>
    <m/>
    <n v="0"/>
    <m/>
    <n v="0"/>
    <m/>
    <n v="0"/>
    <s v="ToyoLi"/>
    <n v="40"/>
    <n v="0"/>
    <n v="14.315789473684205"/>
    <n v="0"/>
    <s v="WHITE"/>
    <s v="N00939W"/>
    <s v="ToyoLi - WHITE"/>
    <n v="20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20"/>
    <n v="0"/>
    <n v="56.10526315789474"/>
    <n v="0"/>
    <s v="MATT"/>
    <s v="N00939M"/>
    <s v="ToyoLi - MATT"/>
    <n v="15"/>
    <n v="0"/>
    <m/>
    <m/>
    <n v="0"/>
    <n v="55"/>
    <s v="NWBBK"/>
    <m/>
    <m/>
    <m/>
    <m/>
    <m/>
    <m/>
    <n v="20"/>
    <n v="0"/>
    <n v="5"/>
    <n v="0"/>
    <m/>
    <n v="0"/>
    <m/>
    <n v="0"/>
    <m/>
    <n v="0"/>
    <m/>
    <n v="0"/>
    <m/>
    <n v="0"/>
    <m/>
    <n v="0"/>
    <s v="ToyoLi"/>
    <n v="23"/>
    <n v="0"/>
    <n v="25.15789473684210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10"/>
    <n v="16"/>
    <n v="5"/>
    <n v="0"/>
    <n v="0"/>
    <n v="0"/>
    <n v="0.3"/>
    <m/>
    <m/>
    <n v="0.5"/>
    <n v="0.2"/>
    <n v="0"/>
    <n v="62"/>
    <n v="0"/>
    <n v="0"/>
    <n v="62"/>
    <n v="62"/>
    <n v="18.599999999999998"/>
    <n v="0"/>
    <n v="0"/>
    <n v="0"/>
    <n v="0"/>
    <n v="0"/>
    <n v="31"/>
    <n v="0"/>
    <n v="12.4"/>
    <n v="0"/>
    <n v="0"/>
    <n v="0"/>
    <n v="0"/>
    <m/>
    <n v="82"/>
    <n v="116"/>
    <s v="TL80"/>
    <s v="ToyoLiToyoLiToyoLiToyoLiToyoLi"/>
    <s v="+"/>
    <s v="+"/>
    <s v="+"/>
    <s v="+"/>
    <s v="+"/>
    <s v="NIL"/>
    <s v="NIL"/>
    <s v="NIL"/>
  </r>
  <r>
    <d v="2026-01-14T00:00:00"/>
    <s v="A"/>
    <x v="174"/>
    <s v="TL81"/>
    <n v="241"/>
    <n v="12600"/>
    <s v="I"/>
    <s v="N"/>
    <n v="2.5"/>
    <s v="BLACK"/>
    <s v="N00944B"/>
    <s v="ToyoLi - BLACK"/>
    <n v="27"/>
    <n v="0"/>
    <m/>
    <m/>
    <n v="0"/>
    <s v="RTMD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6"/>
    <n v="0"/>
    <n v="9.6333333333333329"/>
    <n v="0"/>
    <s v="GREEN"/>
    <s v="R00013G"/>
    <s v="ToyoLi - GREEN"/>
    <n v="20"/>
    <n v="0"/>
    <m/>
    <m/>
    <n v="0"/>
    <s v="F23T"/>
    <s v="F53"/>
    <s v="R92"/>
    <m/>
    <m/>
    <m/>
    <m/>
    <m/>
    <n v="2"/>
    <n v="0"/>
    <n v="1"/>
    <n v="0"/>
    <n v="1"/>
    <n v="0"/>
    <m/>
    <n v="0"/>
    <m/>
    <n v="0"/>
    <m/>
    <n v="0"/>
    <m/>
    <n v="0"/>
    <m/>
    <n v="0"/>
    <s v="ToyoLi"/>
    <n v="25"/>
    <n v="0"/>
    <n v="7.4500000000000028"/>
    <n v="0"/>
    <s v="BLACK"/>
    <s v="F00844B"/>
    <s v="ToyoLi - BLACK"/>
    <n v="11"/>
    <n v="0"/>
    <s v="C01465B"/>
    <n v="20"/>
    <n v="0"/>
    <s v="F121"/>
    <s v="F23T"/>
    <s v="F53"/>
    <m/>
    <m/>
    <m/>
    <m/>
    <m/>
    <n v="3"/>
    <n v="0"/>
    <n v="2"/>
    <n v="0"/>
    <n v="2"/>
    <n v="0"/>
    <m/>
    <n v="0"/>
    <m/>
    <n v="0"/>
    <m/>
    <n v="0"/>
    <m/>
    <n v="0"/>
    <m/>
    <n v="0"/>
    <s v="ToyoLi"/>
    <n v="38"/>
    <n v="0"/>
    <n v="8.4500000000000028"/>
    <n v="0"/>
    <s v="GREEN"/>
    <s v="F00857G"/>
    <s v="ToyoLi - GREEN"/>
    <n v="16"/>
    <n v="0"/>
    <s v="N00893G"/>
    <n v="20"/>
    <n v="0"/>
    <s v="R7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13"/>
    <n v="0"/>
    <s v="MEDIUM"/>
    <s v="C01467M"/>
    <s v="ToyoLi - MEDIUM"/>
    <n v="20"/>
    <n v="0"/>
    <s v="H01306M"/>
    <n v="19"/>
    <n v="0"/>
    <s v="R92"/>
    <s v="F640"/>
    <s v="F23T"/>
    <s v="RTMD"/>
    <m/>
    <m/>
    <m/>
    <m/>
    <n v="0.5"/>
    <n v="0"/>
    <n v="10"/>
    <n v="0"/>
    <n v="2"/>
    <n v="0"/>
    <n v="10"/>
    <n v="0"/>
    <m/>
    <n v="0"/>
    <m/>
    <n v="0"/>
    <m/>
    <n v="0"/>
    <m/>
    <n v="0"/>
    <s v="ToyoLi"/>
    <n v="39"/>
    <n v="0"/>
    <n v="50.666666666666657"/>
    <n v="0"/>
    <s v="REFLEX BLUE"/>
    <s v="G00405B"/>
    <s v="ToyoLi - REFLEX BLUE"/>
    <n v="31"/>
    <n v="0"/>
    <m/>
    <m/>
    <n v="0"/>
    <s v="F23T"/>
    <s v="RTMD"/>
    <s v="R39"/>
    <m/>
    <m/>
    <m/>
    <m/>
    <m/>
    <n v="1"/>
    <n v="0"/>
    <n v="3"/>
    <n v="0"/>
    <n v="3"/>
    <n v="0"/>
    <m/>
    <n v="0"/>
    <m/>
    <n v="0"/>
    <m/>
    <n v="0"/>
    <m/>
    <n v="0"/>
    <m/>
    <n v="0"/>
    <s v="ToyoLi"/>
    <n v="37"/>
    <n v="0"/>
    <n v="6.6333333333333329"/>
    <n v="0"/>
    <s v="WHITE"/>
    <s v="N00944W"/>
    <s v="ToyoLi - WHITE"/>
    <n v="20"/>
    <n v="0"/>
    <m/>
    <m/>
    <n v="0"/>
    <s v="F640"/>
    <m/>
    <m/>
    <m/>
    <m/>
    <m/>
    <m/>
    <m/>
    <n v="60"/>
    <n v="0"/>
    <m/>
    <n v="0"/>
    <m/>
    <n v="0"/>
    <m/>
    <n v="0"/>
    <m/>
    <n v="0"/>
    <m/>
    <n v="0"/>
    <m/>
    <n v="0"/>
    <m/>
    <n v="0"/>
    <s v="ToyoLi"/>
    <n v="25"/>
    <n v="0"/>
    <n v="139.5"/>
    <n v="0"/>
    <s v="MATT"/>
    <s v="N00757M"/>
    <s v="HI-TECH INK - MATT"/>
    <n v="23"/>
    <n v="0"/>
    <m/>
    <m/>
    <n v="0"/>
    <n v="2066"/>
    <m/>
    <m/>
    <m/>
    <m/>
    <m/>
    <m/>
    <m/>
    <n v="60"/>
    <n v="0"/>
    <m/>
    <n v="0"/>
    <m/>
    <n v="0"/>
    <m/>
    <n v="0"/>
    <m/>
    <n v="0"/>
    <m/>
    <n v="0"/>
    <m/>
    <n v="0"/>
    <m/>
    <n v="0"/>
    <s v="HI-TECH INK"/>
    <n v="18"/>
    <n v="0"/>
    <n v="93.166666666666657"/>
    <n v="0"/>
    <n v="2"/>
    <n v="3"/>
    <n v="3"/>
    <n v="0"/>
    <n v="10"/>
    <n v="2"/>
    <n v="30"/>
    <n v="10"/>
    <n v="0.3"/>
    <m/>
    <m/>
    <n v="0.5"/>
    <n v="0.2"/>
    <n v="0"/>
    <n v="169"/>
    <n v="0"/>
    <n v="0"/>
    <n v="169"/>
    <n v="169"/>
    <n v="50.699999999999996"/>
    <n v="0"/>
    <n v="0"/>
    <n v="0"/>
    <n v="0"/>
    <n v="0"/>
    <n v="84.5"/>
    <n v="0"/>
    <n v="33.800000000000004"/>
    <n v="0"/>
    <n v="0"/>
    <n v="0"/>
    <n v="0"/>
    <m/>
    <n v="165.5"/>
    <n v="328.5"/>
    <s v="TL81"/>
    <s v="ToyoLiToyoLiToyoLiToyoLiToyoLiToyoLiToyoLiHI-TECH INK"/>
    <s v="+"/>
    <s v="+"/>
    <s v="+"/>
    <s v="+"/>
    <s v="+"/>
    <s v="+"/>
    <s v="+"/>
    <s v="+"/>
  </r>
  <r>
    <d v="2026-01-14T00:00:00"/>
    <s v="A"/>
    <x v="175"/>
    <s v="TL82"/>
    <n v="147"/>
    <n v="8000"/>
    <s v="I"/>
    <s v="N"/>
    <n v="3"/>
    <s v="BLACK"/>
    <s v="P00840B"/>
    <s v="ToyoLi - BLACK"/>
    <n v="26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7.6274509803921546"/>
    <n v="0"/>
    <s v="BLACK"/>
    <s v="P00460B"/>
    <s v="ToyoLi - BLACK"/>
    <n v="35"/>
    <n v="0"/>
    <s v="N00887B"/>
    <n v="7"/>
    <n v="0"/>
    <s v="R92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18"/>
    <n v="0"/>
    <n v="45.568627450980394"/>
    <n v="0"/>
    <s v="GREEN"/>
    <s v="P00840G"/>
    <s v="ToyoLi - GREEN"/>
    <n v="25"/>
    <n v="0"/>
    <m/>
    <m/>
    <n v="0"/>
    <s v="F23T"/>
    <s v="R79"/>
    <s v="RTMD"/>
    <m/>
    <m/>
    <m/>
    <m/>
    <m/>
    <n v="2"/>
    <n v="0"/>
    <n v="2"/>
    <n v="0"/>
    <n v="2"/>
    <n v="0"/>
    <m/>
    <n v="0"/>
    <m/>
    <n v="0"/>
    <m/>
    <n v="0"/>
    <m/>
    <n v="0"/>
    <m/>
    <n v="0"/>
    <s v="ToyoLi"/>
    <n v="28"/>
    <n v="0"/>
    <n v="9.941176470588232"/>
    <n v="0"/>
    <s v="ORANGE"/>
    <s v="P00861O"/>
    <s v="ToyoLi - ORANGE"/>
    <n v="5"/>
    <n v="0"/>
    <s v="J00951O"/>
    <n v="13"/>
    <n v="0"/>
    <s v="F23T"/>
    <s v="RTMD"/>
    <s v="R92"/>
    <m/>
    <m/>
    <m/>
    <m/>
    <m/>
    <n v="2"/>
    <n v="0"/>
    <n v="1"/>
    <n v="0"/>
    <n v="0.2"/>
    <n v="0"/>
    <m/>
    <n v="0"/>
    <m/>
    <n v="0"/>
    <m/>
    <n v="0"/>
    <m/>
    <n v="0"/>
    <m/>
    <n v="0"/>
    <s v="ToyoLi"/>
    <n v="23"/>
    <n v="0"/>
    <n v="2.8274509803921575"/>
    <n v="0"/>
    <s v="MAGENTA"/>
    <s v="N00943M"/>
    <s v="ToyoLi - MAGENTA"/>
    <n v="28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7.6274509803921546"/>
    <n v="0"/>
    <s v="YELLOW"/>
    <s v="N00943YU"/>
    <s v="ToyoLi - YELLOW"/>
    <n v="32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12.627450980392155"/>
    <n v="0"/>
    <s v="WHITE"/>
    <s v="P00840W"/>
    <s v="ToyoLi - WHITE"/>
    <n v="20"/>
    <n v="0"/>
    <m/>
    <m/>
    <n v="0"/>
    <s v="F640"/>
    <m/>
    <m/>
    <m/>
    <m/>
    <m/>
    <m/>
    <m/>
    <n v="60"/>
    <n v="0"/>
    <m/>
    <n v="0"/>
    <m/>
    <n v="0"/>
    <m/>
    <n v="0"/>
    <m/>
    <n v="0"/>
    <m/>
    <n v="0"/>
    <m/>
    <n v="0"/>
    <m/>
    <n v="0"/>
    <s v="ToyoLi"/>
    <n v="22"/>
    <n v="0"/>
    <n v="127.41176470588238"/>
    <n v="0"/>
    <s v="MATT"/>
    <s v="P00840M"/>
    <s v="HI-TECH INK - MATT"/>
    <n v="30"/>
    <n v="0"/>
    <m/>
    <m/>
    <n v="0"/>
    <n v="2066"/>
    <m/>
    <m/>
    <m/>
    <m/>
    <m/>
    <m/>
    <m/>
    <n v="20"/>
    <n v="0"/>
    <m/>
    <n v="0"/>
    <m/>
    <n v="0"/>
    <m/>
    <n v="0"/>
    <m/>
    <n v="0"/>
    <m/>
    <n v="0"/>
    <m/>
    <n v="0"/>
    <m/>
    <n v="0"/>
    <s v="HI-TECH INK"/>
    <n v="15"/>
    <n v="0"/>
    <n v="46.568627450980394"/>
    <n v="0"/>
    <n v="2"/>
    <n v="5"/>
    <n v="3"/>
    <n v="2"/>
    <n v="2"/>
    <n v="2"/>
    <n v="30"/>
    <n v="5"/>
    <n v="0.3"/>
    <m/>
    <m/>
    <n v="0.5"/>
    <n v="0.2"/>
    <n v="0"/>
    <n v="118"/>
    <n v="0"/>
    <n v="0"/>
    <n v="118"/>
    <n v="118"/>
    <n v="35.4"/>
    <n v="0"/>
    <n v="0"/>
    <n v="0"/>
    <n v="0"/>
    <n v="0"/>
    <n v="59"/>
    <n v="0"/>
    <n v="23.6"/>
    <n v="0"/>
    <n v="0"/>
    <n v="0"/>
    <n v="0"/>
    <m/>
    <n v="105.2"/>
    <n v="260.20000000000005"/>
    <s v="TL82"/>
    <s v="ToyoLiToyoLiToyoLiToyoLiToyoLiToyoLiToyoLiHI-TECH INK"/>
    <s v="+"/>
    <s v="+"/>
    <s v="+"/>
    <s v="+"/>
    <s v="+"/>
    <s v="+"/>
    <s v="+"/>
    <s v="+"/>
  </r>
  <r>
    <d v="2026-01-14T00:00:00"/>
    <s v="A"/>
    <x v="176"/>
    <s v="TL83"/>
    <n v="148"/>
    <n v="7800"/>
    <s v="I"/>
    <s v="N"/>
    <n v="2.9"/>
    <s v="BLACK"/>
    <s v="P00459B"/>
    <s v="ToyoLi - BLACK"/>
    <n v="25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7.3030303030303045"/>
    <n v="0"/>
    <s v="GREEN"/>
    <s v="P00459G"/>
    <s v="ToyoLi - GREEN"/>
    <n v="28"/>
    <n v="0"/>
    <s v="P00440G"/>
    <n v="20"/>
    <n v="0"/>
    <s v="RTMD"/>
    <s v="F53"/>
    <m/>
    <m/>
    <m/>
    <m/>
    <m/>
    <m/>
    <n v="5"/>
    <n v="0"/>
    <n v="1"/>
    <n v="0"/>
    <m/>
    <n v="0"/>
    <m/>
    <n v="0"/>
    <m/>
    <n v="0"/>
    <m/>
    <n v="0"/>
    <m/>
    <n v="0"/>
    <m/>
    <n v="0"/>
    <s v="ToyoLi"/>
    <n v="24"/>
    <n v="0"/>
    <n v="36.303030303030305"/>
    <n v="0"/>
    <s v="ORANGE"/>
    <s v="P00459O"/>
    <s v="ToyoLi - ORANGE"/>
    <n v="23"/>
    <n v="0"/>
    <m/>
    <m/>
    <n v="0"/>
    <s v="F53"/>
    <s v="F23T"/>
    <s v="F32"/>
    <m/>
    <m/>
    <m/>
    <m/>
    <m/>
    <n v="2"/>
    <n v="0"/>
    <n v="1"/>
    <n v="0"/>
    <n v="0.5"/>
    <n v="0"/>
    <m/>
    <n v="0"/>
    <m/>
    <n v="0"/>
    <m/>
    <n v="0"/>
    <m/>
    <n v="0"/>
    <m/>
    <n v="0"/>
    <s v="ToyoLi"/>
    <n v="25"/>
    <n v="0"/>
    <n v="7.8030303030303045"/>
    <n v="0"/>
    <s v="MAGENTA"/>
    <s v="P00459M"/>
    <s v="ToyoLi - MAGENTA"/>
    <n v="27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9.3030303030303045"/>
    <n v="0"/>
    <s v="YELLOW"/>
    <s v="P00459Y"/>
    <s v="ToyoLi - YELLOW"/>
    <n v="26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9.4545454545454533"/>
    <n v="0"/>
    <s v="WHITE"/>
    <s v="P00459W"/>
    <s v="ToyoLi - WHITE"/>
    <n v="22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20"/>
    <n v="0"/>
    <n v="79.27272727272728"/>
    <n v="0"/>
    <s v="MATT"/>
    <s v="P00459M"/>
    <s v="HI-TECH INK - MATT"/>
    <n v="15"/>
    <n v="0"/>
    <m/>
    <m/>
    <n v="0"/>
    <n v="2066"/>
    <m/>
    <m/>
    <m/>
    <m/>
    <m/>
    <m/>
    <m/>
    <n v="30"/>
    <n v="0"/>
    <m/>
    <n v="0"/>
    <m/>
    <n v="0"/>
    <m/>
    <n v="0"/>
    <m/>
    <n v="0"/>
    <m/>
    <n v="0"/>
    <m/>
    <n v="0"/>
    <m/>
    <n v="0"/>
    <s v="HI-TECH INK"/>
    <n v="17"/>
    <n v="0"/>
    <n v="50.06060606060606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2"/>
    <n v="3"/>
    <n v="15"/>
    <n v="7"/>
    <n v="0"/>
    <n v="0.3"/>
    <m/>
    <m/>
    <n v="0.5"/>
    <n v="0.2"/>
    <n v="0"/>
    <n v="104"/>
    <n v="0"/>
    <n v="0"/>
    <n v="104"/>
    <n v="104"/>
    <n v="31.2"/>
    <n v="0"/>
    <n v="0"/>
    <n v="0"/>
    <n v="0"/>
    <n v="0"/>
    <n v="52"/>
    <n v="0"/>
    <n v="20.8"/>
    <n v="0"/>
    <n v="0"/>
    <n v="0"/>
    <n v="0"/>
    <m/>
    <n v="75.5"/>
    <n v="199.5"/>
    <s v="TL83"/>
    <s v="ToyoLiToyoLiToyoLiToyoLiToyoLiToyoLiHI-TECH INK"/>
    <s v="+"/>
    <s v="+"/>
    <s v="+"/>
    <s v="+"/>
    <s v="+"/>
    <s v="+"/>
    <s v="+"/>
    <s v="NIL"/>
  </r>
  <r>
    <d v="2026-01-14T00:00:00"/>
    <s v="A"/>
    <x v="177"/>
    <s v="TL84"/>
    <n v="151"/>
    <n v="7800"/>
    <s v="I"/>
    <s v="N"/>
    <n v="3.0999999999999996"/>
    <s v="BLACK"/>
    <s v="P00447B"/>
    <s v="ToyoLi - BLACK"/>
    <n v="26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5"/>
    <n v="0"/>
    <n v="8.7450980392156836"/>
    <n v="0"/>
    <s v="RED"/>
    <s v="N00943R"/>
    <s v="ToyoLi - RED"/>
    <n v="28"/>
    <n v="0"/>
    <m/>
    <m/>
    <n v="0"/>
    <s v="F121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22"/>
    <n v="0"/>
    <n v="30.235294117647058"/>
    <n v="0"/>
    <s v="GREEN"/>
    <s v="P00447G"/>
    <s v="ToyoLi - GREEN"/>
    <n v="24"/>
    <n v="0"/>
    <m/>
    <m/>
    <n v="0"/>
    <s v="R92"/>
    <s v="F53"/>
    <s v="F23T"/>
    <m/>
    <m/>
    <m/>
    <m/>
    <m/>
    <n v="0.2"/>
    <n v="0"/>
    <n v="0.3"/>
    <n v="0"/>
    <n v="1"/>
    <n v="0"/>
    <m/>
    <n v="0"/>
    <m/>
    <n v="0"/>
    <m/>
    <n v="0"/>
    <m/>
    <n v="0"/>
    <m/>
    <n v="0"/>
    <s v="ToyoLi"/>
    <n v="23"/>
    <n v="0"/>
    <n v="7.2450980392156872"/>
    <n v="0"/>
    <s v="ORANGE"/>
    <s v="P00447O"/>
    <s v="ToyoLi - ORANGE"/>
    <n v="25"/>
    <n v="0"/>
    <m/>
    <m/>
    <n v="0"/>
    <s v="F53"/>
    <s v="F23T"/>
    <s v="RTMD"/>
    <m/>
    <m/>
    <m/>
    <m/>
    <m/>
    <n v="4"/>
    <n v="0"/>
    <n v="3"/>
    <n v="0"/>
    <n v="2"/>
    <n v="0"/>
    <m/>
    <n v="0"/>
    <m/>
    <n v="0"/>
    <m/>
    <n v="0"/>
    <m/>
    <n v="0"/>
    <m/>
    <n v="0"/>
    <s v="ToyoLi"/>
    <n v="28"/>
    <n v="0"/>
    <n v="17.862745098039213"/>
    <n v="0"/>
    <s v="MAGENTA"/>
    <s v="P00447M"/>
    <s v="ToyoLi - MAGENTA"/>
    <n v="26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8.117647058823529"/>
    <n v="0"/>
    <s v="YELLOW"/>
    <s v="P00447Y"/>
    <s v="ToyoLi - YELLOW"/>
    <n v="28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12.117647058823529"/>
    <n v="0"/>
    <s v="WHITE"/>
    <s v="P00447W"/>
    <s v="ToyoLi - WHITE"/>
    <n v="20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23"/>
    <n v="0"/>
    <n v="84.450980392156865"/>
    <n v="0"/>
    <s v="MATT"/>
    <s v="P00447M"/>
    <s v="HI-TECH INK - MATT"/>
    <n v="17"/>
    <n v="0"/>
    <m/>
    <m/>
    <n v="0"/>
    <n v="2066"/>
    <m/>
    <m/>
    <m/>
    <m/>
    <m/>
    <m/>
    <m/>
    <n v="30"/>
    <n v="0"/>
    <m/>
    <n v="0"/>
    <m/>
    <n v="0"/>
    <m/>
    <n v="0"/>
    <m/>
    <n v="0"/>
    <m/>
    <n v="0"/>
    <m/>
    <n v="0"/>
    <m/>
    <n v="0"/>
    <s v="HI-TECH INK"/>
    <n v="18"/>
    <n v="0"/>
    <n v="52.725490196078425"/>
    <n v="0"/>
    <n v="2"/>
    <n v="6"/>
    <n v="2"/>
    <n v="5"/>
    <n v="3"/>
    <n v="3"/>
    <n v="20"/>
    <n v="10"/>
    <n v="0.3"/>
    <m/>
    <m/>
    <n v="0.5"/>
    <n v="0.2"/>
    <n v="0"/>
    <n v="121"/>
    <n v="0"/>
    <n v="0"/>
    <n v="121"/>
    <n v="121"/>
    <n v="36.299999999999997"/>
    <n v="0"/>
    <n v="0"/>
    <n v="0"/>
    <n v="0"/>
    <n v="0"/>
    <n v="60.5"/>
    <n v="0"/>
    <n v="24.200000000000003"/>
    <n v="0"/>
    <n v="0"/>
    <n v="0"/>
    <n v="0"/>
    <m/>
    <n v="98.5"/>
    <n v="221.49999999999997"/>
    <s v="TL84"/>
    <s v="ToyoLiToyoLiToyoLiToyoLiToyoLiToyoLiToyoLiHI-TECH INK"/>
    <s v="+"/>
    <s v="+"/>
    <s v="+"/>
    <s v="+"/>
    <s v="+"/>
    <s v="+"/>
    <s v="+"/>
    <s v="+"/>
  </r>
  <r>
    <d v="2026-01-14T00:00:00"/>
    <s v="A"/>
    <x v="178"/>
    <s v="TL85"/>
    <n v="89"/>
    <n v="5800"/>
    <s v="I"/>
    <s v="N"/>
    <n v="0.56000000000000005"/>
    <s v="BLACK"/>
    <s v="P00448B"/>
    <s v="ToyoLi - BLACK"/>
    <n v="25"/>
    <n v="0"/>
    <m/>
    <m/>
    <n v="0"/>
    <s v="R92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30"/>
    <n v="0"/>
    <n v="9.235294117647058"/>
    <n v="0"/>
    <s v="RED"/>
    <m/>
    <s v="ToyoLi - RED"/>
    <m/>
    <n v="0"/>
    <m/>
    <m/>
    <n v="0"/>
    <s v="F53"/>
    <s v="F121"/>
    <m/>
    <m/>
    <m/>
    <m/>
    <m/>
    <m/>
    <n v="5"/>
    <n v="0"/>
    <n v="13"/>
    <n v="0"/>
    <m/>
    <n v="0"/>
    <m/>
    <n v="0"/>
    <m/>
    <n v="0"/>
    <m/>
    <n v="0"/>
    <m/>
    <n v="0"/>
    <m/>
    <n v="0"/>
    <s v="ToyoLi"/>
    <n v="20"/>
    <n v="0"/>
    <n v="19.17647058823529"/>
    <n v="0"/>
    <s v="YELLOW"/>
    <s v="P00448Y"/>
    <s v="ToyoLi - YELLOW"/>
    <n v="25"/>
    <n v="0"/>
    <m/>
    <m/>
    <n v="0"/>
    <s v="F23T"/>
    <m/>
    <m/>
    <m/>
    <m/>
    <m/>
    <m/>
    <m/>
    <n v="15"/>
    <n v="0"/>
    <m/>
    <n v="0"/>
    <m/>
    <n v="0"/>
    <m/>
    <n v="0"/>
    <m/>
    <n v="0"/>
    <m/>
    <n v="0"/>
    <m/>
    <n v="0"/>
    <m/>
    <n v="0"/>
    <s v="ToyoLi"/>
    <n v="25"/>
    <n v="0"/>
    <n v="25.58823529411764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5"/>
    <n v="0"/>
    <n v="0"/>
    <n v="0"/>
    <n v="0"/>
    <n v="0"/>
    <n v="0.3"/>
    <m/>
    <m/>
    <n v="0.5"/>
    <n v="0.2"/>
    <n v="0"/>
    <n v="36"/>
    <n v="0"/>
    <n v="0"/>
    <n v="36"/>
    <n v="36"/>
    <n v="10.799999999999999"/>
    <n v="0"/>
    <n v="0"/>
    <n v="0"/>
    <n v="0"/>
    <n v="0"/>
    <n v="18"/>
    <n v="0"/>
    <n v="7.2"/>
    <n v="0"/>
    <n v="0"/>
    <n v="0"/>
    <n v="0"/>
    <m/>
    <n v="43"/>
    <n v="53.999999999999993"/>
    <s v="TL85"/>
    <s v="ToyoLiToyoLiToyoLi"/>
    <s v="+"/>
    <s v="+"/>
    <s v="+"/>
    <s v="NIL"/>
    <s v="NIL"/>
    <s v="NIL"/>
    <s v="NIL"/>
    <s v="NIL"/>
  </r>
  <r>
    <d v="2026-01-14T00:00:00"/>
    <s v="B"/>
    <x v="179"/>
    <s v="TL86"/>
    <n v="23"/>
    <n v="1500"/>
    <s v="I"/>
    <s v="N"/>
    <n v="0.56000000000000005"/>
    <s v="BLACK"/>
    <s v="C01491B"/>
    <s v="ToyoLi - BLACK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0"/>
    <n v="13"/>
    <n v="0"/>
    <s v="YELLOW"/>
    <s v="C01491Y"/>
    <s v="ToyoLi - YELLOW"/>
    <n v="25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6"/>
    <n v="0"/>
    <n v="1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0"/>
    <n v="0"/>
    <n v="0"/>
    <n v="0"/>
    <n v="0"/>
    <n v="0"/>
    <n v="0.3"/>
    <m/>
    <m/>
    <n v="0.5"/>
    <n v="0.2"/>
    <n v="0"/>
    <n v="20"/>
    <n v="0"/>
    <n v="0"/>
    <n v="20"/>
    <n v="20"/>
    <n v="6"/>
    <n v="0"/>
    <n v="0"/>
    <n v="0"/>
    <n v="0"/>
    <n v="0"/>
    <n v="10"/>
    <n v="0"/>
    <n v="4"/>
    <n v="0"/>
    <n v="0"/>
    <n v="0"/>
    <n v="0"/>
    <m/>
    <n v="5"/>
    <n v="27"/>
    <s v="TL86"/>
    <s v="ToyoLiToyoLi"/>
    <s v="+"/>
    <s v="+"/>
    <s v="NIL"/>
    <s v="NIL"/>
    <s v="NIL"/>
    <s v="NIL"/>
    <s v="NIL"/>
    <s v="NIL"/>
  </r>
  <r>
    <d v="2026-01-14T00:00:00"/>
    <s v="B"/>
    <x v="180"/>
    <s v="TL87"/>
    <n v="222"/>
    <n v="12100"/>
    <s v="I"/>
    <s v="N"/>
    <n v="2.8899999999999997"/>
    <s v="BLACK"/>
    <s v="C01493B"/>
    <s v="ToyoLi - BLACK"/>
    <n v="27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9"/>
    <n v="0"/>
    <n v="10.787878787878789"/>
    <n v="0"/>
    <s v="RED"/>
    <s v="P00448R"/>
    <s v="ToyoLi - RED"/>
    <n v="22"/>
    <n v="0"/>
    <s v="C01491R"/>
    <n v="20"/>
    <n v="0"/>
    <s v="F121"/>
    <s v="F53"/>
    <m/>
    <m/>
    <m/>
    <m/>
    <m/>
    <m/>
    <n v="8"/>
    <n v="0"/>
    <n v="3"/>
    <n v="0"/>
    <m/>
    <n v="0"/>
    <m/>
    <n v="0"/>
    <m/>
    <n v="0"/>
    <m/>
    <n v="0"/>
    <m/>
    <n v="0"/>
    <m/>
    <n v="0"/>
    <s v="ToyoLi"/>
    <n v="20"/>
    <n v="0"/>
    <n v="46.484848484848484"/>
    <n v="0"/>
    <s v="GREEN"/>
    <s v="P00448G"/>
    <s v="ToyoLi - GREEN"/>
    <n v="23"/>
    <n v="0"/>
    <m/>
    <m/>
    <n v="0"/>
    <s v="R39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5"/>
    <n v="0"/>
    <n v="4.3939393939393945"/>
    <n v="0"/>
    <s v="ORANGE"/>
    <s v="P00448O"/>
    <s v="ToyoLi - ORANGE"/>
    <n v="28"/>
    <n v="0"/>
    <m/>
    <m/>
    <n v="0"/>
    <s v="F23T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7"/>
    <n v="0"/>
    <n v="2"/>
    <n v="0"/>
    <s v="MAGENTA"/>
    <s v="P00448M"/>
    <s v="ToyoLi - MAGENTA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2"/>
    <n v="0"/>
    <s v="YELLOW"/>
    <m/>
    <s v="ToyoLi - YELLOW"/>
    <m/>
    <n v="0"/>
    <m/>
    <m/>
    <n v="0"/>
    <s v="F23T"/>
    <m/>
    <m/>
    <m/>
    <m/>
    <m/>
    <m/>
    <m/>
    <n v="16"/>
    <n v="0"/>
    <m/>
    <n v="0"/>
    <m/>
    <n v="0"/>
    <m/>
    <n v="0"/>
    <m/>
    <n v="0"/>
    <m/>
    <n v="0"/>
    <m/>
    <n v="0"/>
    <m/>
    <n v="0"/>
    <s v="ToyoLi"/>
    <n v="23"/>
    <n v="0"/>
    <n v="19.969696969696969"/>
    <n v="0"/>
    <s v="WHITE"/>
    <s v="P00448W"/>
    <s v="ToyoLi - WHITE"/>
    <n v="23"/>
    <n v="0"/>
    <m/>
    <m/>
    <n v="0"/>
    <s v="F640"/>
    <m/>
    <m/>
    <m/>
    <m/>
    <m/>
    <m/>
    <m/>
    <n v="60"/>
    <n v="0"/>
    <m/>
    <n v="0"/>
    <m/>
    <n v="0"/>
    <m/>
    <n v="0"/>
    <m/>
    <n v="0"/>
    <m/>
    <n v="0"/>
    <m/>
    <n v="0"/>
    <m/>
    <n v="0"/>
    <s v="ToyoLi"/>
    <n v="25"/>
    <n v="0"/>
    <n v="138.90909090909091"/>
    <n v="0"/>
    <s v="MATT"/>
    <s v="P00448M"/>
    <s v="HI-TECH INK - MATT"/>
    <n v="18"/>
    <n v="0"/>
    <m/>
    <m/>
    <n v="0"/>
    <n v="2066"/>
    <m/>
    <m/>
    <m/>
    <m/>
    <m/>
    <m/>
    <m/>
    <n v="60"/>
    <n v="0"/>
    <m/>
    <n v="0"/>
    <m/>
    <n v="0"/>
    <m/>
    <n v="0"/>
    <m/>
    <n v="0"/>
    <m/>
    <n v="0"/>
    <m/>
    <n v="0"/>
    <m/>
    <n v="0"/>
    <s v="HI-TECH INK"/>
    <n v="20"/>
    <n v="0"/>
    <n v="98.454545454545453"/>
    <n v="0"/>
    <n v="4"/>
    <n v="5"/>
    <n v="2"/>
    <n v="0"/>
    <n v="0"/>
    <n v="10"/>
    <n v="30"/>
    <n v="15"/>
    <n v="0.3"/>
    <m/>
    <m/>
    <n v="0.5"/>
    <n v="0.2"/>
    <n v="0"/>
    <n v="178"/>
    <n v="0"/>
    <n v="0"/>
    <n v="178"/>
    <n v="178"/>
    <n v="53.4"/>
    <n v="0"/>
    <n v="0"/>
    <n v="0"/>
    <n v="0"/>
    <n v="0"/>
    <n v="89"/>
    <n v="0"/>
    <n v="35.6"/>
    <n v="0"/>
    <n v="0"/>
    <n v="0"/>
    <n v="0"/>
    <m/>
    <n v="151"/>
    <n v="323"/>
    <s v="TL87"/>
    <s v="ToyoLiToyoLiToyoLiToyoLiToyoLiToyoLiToyoLiHI-TECH INK"/>
    <s v="+"/>
    <s v="+"/>
    <s v="+"/>
    <s v="+"/>
    <s v="+"/>
    <s v="+"/>
    <s v="+"/>
    <s v="+"/>
  </r>
  <r>
    <d v="2026-01-14T00:00:00"/>
    <s v="B"/>
    <x v="181"/>
    <s v="TL88"/>
    <n v="222"/>
    <n v="12100"/>
    <s v="I"/>
    <s v="N"/>
    <n v="2.9"/>
    <s v="BLACK"/>
    <s v="P00473B"/>
    <s v="ToyoLi - BLACK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0"/>
    <n v="8.4727272727272691"/>
    <n v="0"/>
    <s v="GREEN"/>
    <s v="P00441G"/>
    <s v="ToyoLi - GREEN"/>
    <n v="20"/>
    <n v="0"/>
    <s v="N00706G/P00473G"/>
    <n v="37"/>
    <n v="0"/>
    <s v="F23T"/>
    <s v="R39"/>
    <s v="R92"/>
    <m/>
    <m/>
    <m/>
    <m/>
    <m/>
    <n v="2"/>
    <n v="0"/>
    <n v="1"/>
    <n v="0"/>
    <n v="0.5"/>
    <n v="0"/>
    <m/>
    <n v="0"/>
    <m/>
    <n v="0"/>
    <m/>
    <n v="0"/>
    <m/>
    <n v="0"/>
    <m/>
    <n v="0"/>
    <s v="ToyoLi"/>
    <n v="20"/>
    <n v="0"/>
    <n v="46.972727272727269"/>
    <n v="0"/>
    <s v="ORANGE"/>
    <s v="P00473O"/>
    <s v="ToyoLi - ORANGE"/>
    <n v="27"/>
    <n v="0"/>
    <m/>
    <m/>
    <n v="0"/>
    <s v="F53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7.4727272727272691"/>
    <n v="0"/>
    <s v="MAGENTA"/>
    <s v="P00473M"/>
    <s v="ToyoLi - MAGENTA"/>
    <n v="26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7.4727272727272691"/>
    <n v="0"/>
    <s v="YELLOW"/>
    <s v="P00473Y"/>
    <s v="ToyoLi - YELLOW"/>
    <n v="23"/>
    <n v="0"/>
    <m/>
    <m/>
    <n v="0"/>
    <s v="F23T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6"/>
    <n v="0"/>
    <n v="7.4727272727272691"/>
    <n v="0"/>
    <s v="WHITE"/>
    <s v="P00473W"/>
    <s v="ToyoLi - WHITE"/>
    <n v="25"/>
    <n v="0"/>
    <m/>
    <m/>
    <n v="0"/>
    <s v="F640"/>
    <m/>
    <m/>
    <m/>
    <m/>
    <m/>
    <m/>
    <m/>
    <n v="60"/>
    <n v="0"/>
    <m/>
    <n v="0"/>
    <m/>
    <n v="0"/>
    <m/>
    <n v="0"/>
    <m/>
    <n v="0"/>
    <m/>
    <n v="0"/>
    <m/>
    <n v="0"/>
    <m/>
    <n v="0"/>
    <s v="ToyoLi"/>
    <n v="30"/>
    <n v="0"/>
    <n v="152.09090909090907"/>
    <n v="0"/>
    <s v="MATT"/>
    <s v="P00473M"/>
    <s v="HI-TECH INK - MATT"/>
    <n v="20"/>
    <n v="0"/>
    <m/>
    <m/>
    <n v="0"/>
    <n v="2066"/>
    <m/>
    <m/>
    <m/>
    <m/>
    <m/>
    <m/>
    <m/>
    <n v="60"/>
    <n v="0"/>
    <m/>
    <n v="0"/>
    <m/>
    <n v="0"/>
    <m/>
    <n v="0"/>
    <m/>
    <n v="0"/>
    <m/>
    <n v="0"/>
    <m/>
    <n v="0"/>
    <m/>
    <n v="0"/>
    <s v="HI-TECH INK"/>
    <n v="27"/>
    <n v="0"/>
    <n v="101.5454545454545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2"/>
    <n v="2"/>
    <n v="30"/>
    <n v="15"/>
    <n v="0"/>
    <n v="0.3"/>
    <m/>
    <m/>
    <n v="0.5"/>
    <n v="0.2"/>
    <n v="0"/>
    <n v="178"/>
    <n v="0"/>
    <n v="0"/>
    <n v="178"/>
    <n v="178"/>
    <n v="53.4"/>
    <n v="0"/>
    <n v="0"/>
    <n v="0"/>
    <n v="0"/>
    <n v="0"/>
    <n v="89"/>
    <n v="0"/>
    <n v="35.6"/>
    <n v="0"/>
    <n v="0"/>
    <n v="0"/>
    <n v="0"/>
    <m/>
    <n v="132.5"/>
    <n v="331.49999999999994"/>
    <s v="TL88"/>
    <s v="ToyoLiToyoLiToyoLiToyoLiToyoLiToyoLiHI-TECH INK"/>
    <s v="+"/>
    <s v="+"/>
    <s v="+"/>
    <s v="+"/>
    <s v="+"/>
    <s v="+"/>
    <s v="+"/>
    <s v="NIL"/>
  </r>
  <r>
    <d v="2026-01-14T00:00:00"/>
    <s v="B"/>
    <x v="182"/>
    <s v="TL89"/>
    <n v="684"/>
    <n v="39400"/>
    <s v="I"/>
    <s v="N"/>
    <n v="1.93"/>
    <s v="BLACK"/>
    <s v="P00437B"/>
    <s v="ToyoLi - BLACK"/>
    <n v="27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6.3063063063063041"/>
    <n v="0"/>
    <s v="RED"/>
    <s v="P00473R"/>
    <s v="ToyoLi - RED"/>
    <n v="20"/>
    <n v="0"/>
    <s v="P00437R/B01030R"/>
    <n v="44"/>
    <n v="0"/>
    <s v="F121"/>
    <s v="F53"/>
    <s v="F23T"/>
    <s v="R92"/>
    <m/>
    <m/>
    <m/>
    <m/>
    <n v="16"/>
    <n v="0"/>
    <n v="25"/>
    <n v="0"/>
    <n v="10"/>
    <n v="0"/>
    <n v="0.5"/>
    <n v="0"/>
    <m/>
    <n v="0"/>
    <m/>
    <n v="0"/>
    <m/>
    <n v="0"/>
    <m/>
    <n v="0"/>
    <s v="ToyoLi"/>
    <n v="20"/>
    <n v="0"/>
    <n v="129.95045045045043"/>
    <n v="0"/>
    <s v="GREEN"/>
    <s v="C01493G"/>
    <s v="ToyoLi - GREEN"/>
    <n v="20"/>
    <n v="0"/>
    <m/>
    <m/>
    <n v="0"/>
    <s v="R39"/>
    <s v="RTMD"/>
    <m/>
    <m/>
    <m/>
    <m/>
    <m/>
    <m/>
    <n v="4"/>
    <n v="0"/>
    <n v="3"/>
    <n v="0"/>
    <m/>
    <n v="0"/>
    <m/>
    <n v="0"/>
    <m/>
    <n v="0"/>
    <m/>
    <n v="0"/>
    <m/>
    <n v="0"/>
    <m/>
    <n v="0"/>
    <s v="ToyoLi"/>
    <n v="27"/>
    <n v="0"/>
    <n v="10.765765765765764"/>
    <n v="0"/>
    <s v="YELLOW"/>
    <s v="P00437Y"/>
    <s v="ToyoLi - YELLOW"/>
    <n v="26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8"/>
    <n v="0"/>
    <n v="9.4594594594594597"/>
    <n v="0"/>
    <s v="WHITE"/>
    <s v="P00437W"/>
    <s v="ToyoLi - WHITE"/>
    <n v="30"/>
    <n v="0"/>
    <m/>
    <m/>
    <n v="0"/>
    <s v="F640"/>
    <m/>
    <m/>
    <m/>
    <m/>
    <m/>
    <m/>
    <m/>
    <n v="140"/>
    <n v="0"/>
    <m/>
    <n v="0"/>
    <m/>
    <n v="0"/>
    <m/>
    <n v="0"/>
    <m/>
    <n v="0"/>
    <m/>
    <n v="0"/>
    <m/>
    <n v="0"/>
    <m/>
    <n v="0"/>
    <s v="ToyoLi"/>
    <n v="25"/>
    <n v="0"/>
    <n v="328.0180180180179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6"/>
    <n v="5"/>
    <n v="3"/>
    <n v="85"/>
    <n v="0"/>
    <n v="0"/>
    <n v="0"/>
    <n v="0.3"/>
    <m/>
    <m/>
    <n v="0.5"/>
    <n v="0.2"/>
    <n v="0"/>
    <n v="239"/>
    <n v="0"/>
    <n v="0"/>
    <n v="239"/>
    <n v="239"/>
    <n v="71.7"/>
    <n v="0"/>
    <n v="0"/>
    <n v="0"/>
    <n v="0"/>
    <n v="0"/>
    <n v="119.5"/>
    <n v="0"/>
    <n v="47.800000000000004"/>
    <n v="0"/>
    <n v="0"/>
    <n v="0"/>
    <n v="0"/>
    <m/>
    <n v="206.5"/>
    <n v="484.49999999999994"/>
    <s v="TL89"/>
    <s v="ToyoLiToyoLiToyoLiToyoLiToyoLi"/>
    <s v="+"/>
    <s v="+"/>
    <s v="+"/>
    <s v="+"/>
    <s v="+"/>
    <s v="NIL"/>
    <s v="NIL"/>
    <s v="NIL"/>
  </r>
  <r>
    <d v="2026-01-14T00:00:00"/>
    <s v="B"/>
    <x v="183"/>
    <s v="TL90"/>
    <n v="1102"/>
    <n v="56900"/>
    <s v="I"/>
    <s v="N"/>
    <n v="1.43"/>
    <s v="BLACK"/>
    <s v="B01054B"/>
    <s v="ToyoLi - BLACK"/>
    <n v="28"/>
    <n v="0"/>
    <m/>
    <m/>
    <n v="0"/>
    <s v="R92"/>
    <m/>
    <m/>
    <m/>
    <m/>
    <m/>
    <m/>
    <m/>
    <n v="15"/>
    <n v="0"/>
    <m/>
    <n v="0"/>
    <m/>
    <n v="0"/>
    <m/>
    <n v="0"/>
    <m/>
    <n v="0"/>
    <m/>
    <n v="0"/>
    <m/>
    <n v="0"/>
    <m/>
    <n v="0"/>
    <s v="ToyoLi"/>
    <n v="27"/>
    <n v="0"/>
    <n v="20.036585365853661"/>
    <n v="0"/>
    <s v="BLACK"/>
    <m/>
    <s v="ToyoLi - BLACK"/>
    <m/>
    <n v="0"/>
    <m/>
    <m/>
    <n v="0"/>
    <s v="R92"/>
    <m/>
    <m/>
    <m/>
    <m/>
    <m/>
    <m/>
    <m/>
    <n v="25"/>
    <n v="0"/>
    <m/>
    <n v="0"/>
    <m/>
    <n v="0"/>
    <m/>
    <n v="0"/>
    <m/>
    <n v="0"/>
    <m/>
    <n v="0"/>
    <m/>
    <n v="0"/>
    <m/>
    <n v="0"/>
    <s v="ToyoLi"/>
    <n v="28"/>
    <n v="0"/>
    <n v="27.274390243902438"/>
    <n v="0"/>
    <s v="GREEN"/>
    <s v="P00437G"/>
    <s v="ToyoLi - GREEN"/>
    <n v="20"/>
    <n v="0"/>
    <s v="F00808G/G00397G"/>
    <n v="30"/>
    <n v="0"/>
    <s v="F23T"/>
    <s v="R39"/>
    <s v="R92"/>
    <m/>
    <m/>
    <m/>
    <m/>
    <m/>
    <n v="10"/>
    <n v="0"/>
    <n v="6"/>
    <n v="0"/>
    <n v="1"/>
    <n v="0"/>
    <m/>
    <n v="0"/>
    <m/>
    <n v="0"/>
    <m/>
    <n v="0"/>
    <m/>
    <n v="0"/>
    <m/>
    <n v="0"/>
    <s v="ToyoLi"/>
    <n v="15"/>
    <n v="0"/>
    <n v="72.182926829268297"/>
    <n v="0"/>
    <s v="GREEN"/>
    <s v="B01054G"/>
    <s v="ToyoLi - GREEN"/>
    <n v="27"/>
    <n v="0"/>
    <m/>
    <m/>
    <n v="0"/>
    <s v="F23T"/>
    <s v="R39"/>
    <s v="R79"/>
    <m/>
    <m/>
    <m/>
    <m/>
    <m/>
    <n v="4"/>
    <n v="0"/>
    <n v="2"/>
    <n v="0"/>
    <n v="3"/>
    <n v="0"/>
    <m/>
    <n v="0"/>
    <m/>
    <n v="0"/>
    <m/>
    <n v="0"/>
    <m/>
    <n v="0"/>
    <m/>
    <n v="0"/>
    <s v="ToyoLi"/>
    <n v="27"/>
    <n v="0"/>
    <n v="15.054878048780488"/>
    <n v="0"/>
    <s v="CYAN"/>
    <s v="P00466C"/>
    <s v="ToyoLi - CYAN"/>
    <n v="15"/>
    <n v="0"/>
    <m/>
    <m/>
    <n v="0"/>
    <s v="RTMD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5"/>
    <n v="0"/>
    <n v="8.1097560975609753"/>
    <n v="0"/>
    <s v="MAGENTA"/>
    <s v="P00437M"/>
    <s v="ToyoLi - MAGENTA"/>
    <n v="28"/>
    <n v="0"/>
    <m/>
    <m/>
    <n v="0"/>
    <s v="F121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6"/>
    <n v="0"/>
    <n v="12.054878048780488"/>
    <n v="0"/>
    <s v="YELLOW"/>
    <s v="B01054Y"/>
    <s v="ToyoLi - YELLOW"/>
    <n v="28"/>
    <n v="0"/>
    <m/>
    <m/>
    <n v="0"/>
    <s v="F23T"/>
    <m/>
    <m/>
    <m/>
    <m/>
    <m/>
    <m/>
    <m/>
    <n v="18"/>
    <n v="0"/>
    <m/>
    <n v="0"/>
    <m/>
    <n v="0"/>
    <m/>
    <n v="0"/>
    <m/>
    <n v="0"/>
    <m/>
    <n v="0"/>
    <m/>
    <n v="0"/>
    <m/>
    <n v="0"/>
    <s v="ToyoLi"/>
    <n v="25"/>
    <n v="0"/>
    <n v="31.091463414634148"/>
    <n v="0"/>
    <s v="WHITE"/>
    <s v="B01054W"/>
    <s v="ToyoLi - WHITE"/>
    <n v="25"/>
    <n v="0"/>
    <m/>
    <m/>
    <n v="0"/>
    <s v="F640"/>
    <s v="HSLAS"/>
    <m/>
    <m/>
    <m/>
    <m/>
    <m/>
    <m/>
    <n v="220"/>
    <n v="0"/>
    <n v="12.73"/>
    <n v="0"/>
    <m/>
    <n v="0"/>
    <m/>
    <n v="0"/>
    <m/>
    <n v="0"/>
    <m/>
    <n v="0"/>
    <m/>
    <n v="0"/>
    <m/>
    <n v="0"/>
    <s v="ToyoLi"/>
    <n v="30"/>
    <n v="0"/>
    <n v="469.92512195121952"/>
    <n v="0"/>
    <n v="2"/>
    <n v="15"/>
    <n v="10"/>
    <n v="3"/>
    <n v="6"/>
    <n v="3"/>
    <n v="5"/>
    <n v="120"/>
    <n v="0.3"/>
    <m/>
    <m/>
    <n v="0.5"/>
    <n v="0.2"/>
    <n v="0"/>
    <n v="331"/>
    <n v="0"/>
    <n v="0"/>
    <n v="331"/>
    <n v="331"/>
    <n v="99.3"/>
    <n v="0"/>
    <n v="0"/>
    <n v="0"/>
    <n v="0"/>
    <n v="0"/>
    <n v="165.5"/>
    <n v="0"/>
    <n v="66.2"/>
    <n v="0"/>
    <n v="0"/>
    <n v="0"/>
    <n v="0"/>
    <m/>
    <n v="326.73"/>
    <n v="655.73"/>
    <s v="TL90"/>
    <s v="ToyoLiToyoLiToyoLiToyoLiToyoLiToyoLiToyoLiToyoLi"/>
    <s v="+"/>
    <s v="+"/>
    <s v="+"/>
    <s v="+"/>
    <s v="+"/>
    <s v="+"/>
    <s v="+"/>
    <s v="+"/>
  </r>
  <r>
    <d v="2026-01-15T00:00:00"/>
    <s v="A"/>
    <x v="184"/>
    <s v="TL91"/>
    <n v="409"/>
    <n v="27900"/>
    <s v="I"/>
    <s v="N"/>
    <n v="1.8"/>
    <s v="BLACK"/>
    <s v="G00407B"/>
    <s v="ToyoLi - BLACK"/>
    <n v="27"/>
    <n v="0"/>
    <m/>
    <m/>
    <n v="0"/>
    <s v="R92"/>
    <s v="RTMD"/>
    <m/>
    <m/>
    <m/>
    <m/>
    <m/>
    <m/>
    <n v="3"/>
    <n v="0"/>
    <n v="5"/>
    <n v="0"/>
    <m/>
    <n v="0"/>
    <m/>
    <n v="0"/>
    <m/>
    <n v="0"/>
    <m/>
    <n v="0"/>
    <m/>
    <n v="0"/>
    <m/>
    <n v="0"/>
    <s v="ToyoLi"/>
    <n v="34"/>
    <n v="0"/>
    <n v="4.9518072289156621"/>
    <n v="0"/>
    <s v="BLACK"/>
    <s v="G00407B"/>
    <s v="ToyoLi - BLACK"/>
    <n v="28"/>
    <n v="0"/>
    <m/>
    <m/>
    <n v="0"/>
    <s v="R92"/>
    <s v="RTMD"/>
    <m/>
    <m/>
    <m/>
    <m/>
    <m/>
    <m/>
    <n v="4"/>
    <n v="0"/>
    <n v="6"/>
    <n v="0"/>
    <m/>
    <n v="0"/>
    <m/>
    <n v="0"/>
    <m/>
    <n v="0"/>
    <m/>
    <n v="0"/>
    <m/>
    <n v="0"/>
    <m/>
    <n v="0"/>
    <s v="ToyoLi"/>
    <n v="40"/>
    <n v="0"/>
    <n v="9.8554216867469862"/>
    <n v="0"/>
    <s v="REFLEX BLUE"/>
    <s v="C01486P"/>
    <s v="ToyoLi - REFLEX BLUE"/>
    <n v="36"/>
    <n v="0"/>
    <m/>
    <m/>
    <n v="0"/>
    <s v="F121"/>
    <s v="Z822"/>
    <s v="R1205"/>
    <s v="RTMD"/>
    <s v="TP"/>
    <m/>
    <m/>
    <m/>
    <n v="15"/>
    <n v="0"/>
    <n v="20"/>
    <n v="0"/>
    <n v="2"/>
    <n v="0"/>
    <n v="15"/>
    <n v="0"/>
    <n v="10"/>
    <n v="0"/>
    <m/>
    <n v="0"/>
    <m/>
    <n v="0"/>
    <m/>
    <n v="0"/>
    <s v="ToyoLi"/>
    <n v="39"/>
    <n v="0"/>
    <n v="88.638554216867476"/>
    <n v="0"/>
    <s v="RED"/>
    <s v="G00406R"/>
    <s v="ToyoLi - RED"/>
    <n v="20"/>
    <n v="0"/>
    <m/>
    <m/>
    <n v="0"/>
    <s v="F121"/>
    <s v="R92"/>
    <s v="F53"/>
    <m/>
    <m/>
    <m/>
    <m/>
    <m/>
    <n v="5"/>
    <n v="0"/>
    <n v="2"/>
    <n v="0"/>
    <n v="4"/>
    <n v="0"/>
    <m/>
    <n v="0"/>
    <m/>
    <n v="0"/>
    <m/>
    <n v="0"/>
    <m/>
    <n v="0"/>
    <m/>
    <n v="0"/>
    <s v="ToyoLi"/>
    <n v="25"/>
    <n v="0"/>
    <n v="17.855421686746986"/>
    <n v="0"/>
    <s v="CYAN"/>
    <s v="G00407C"/>
    <s v="ToyoLi - CYAN"/>
    <n v="25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6.9036144578313241"/>
    <n v="0"/>
    <s v="MAGENTA"/>
    <s v="G00407M"/>
    <s v="ToyoLi - MAGENTA"/>
    <n v="26"/>
    <n v="0"/>
    <m/>
    <m/>
    <n v="0"/>
    <s v="F121"/>
    <s v="RTMD"/>
    <m/>
    <m/>
    <m/>
    <m/>
    <m/>
    <m/>
    <n v="7"/>
    <n v="0"/>
    <n v="5"/>
    <n v="0"/>
    <m/>
    <n v="0"/>
    <m/>
    <n v="0"/>
    <m/>
    <n v="0"/>
    <m/>
    <n v="0"/>
    <m/>
    <n v="0"/>
    <m/>
    <n v="0"/>
    <s v="ToyoLi"/>
    <n v="40"/>
    <n v="0"/>
    <n v="7.8795180722891587"/>
    <n v="0"/>
    <s v="YELLOW"/>
    <s v="G00407Y"/>
    <s v="ToyoLi - YELLOW"/>
    <n v="25"/>
    <n v="0"/>
    <m/>
    <m/>
    <n v="0"/>
    <s v="F23T"/>
    <s v="RTMD"/>
    <m/>
    <m/>
    <m/>
    <m/>
    <m/>
    <m/>
    <n v="10"/>
    <n v="0"/>
    <n v="5"/>
    <n v="0"/>
    <m/>
    <n v="0"/>
    <m/>
    <n v="0"/>
    <m/>
    <n v="0"/>
    <m/>
    <n v="0"/>
    <m/>
    <n v="0"/>
    <m/>
    <n v="0"/>
    <s v="ToyoLi"/>
    <n v="25"/>
    <n v="0"/>
    <n v="34.759036144578317"/>
    <n v="0"/>
    <s v="WHITE"/>
    <s v="G00407W"/>
    <s v="ToyoLi - WHITE"/>
    <n v="30"/>
    <n v="0"/>
    <m/>
    <m/>
    <n v="0"/>
    <s v="F640"/>
    <m/>
    <m/>
    <m/>
    <m/>
    <m/>
    <m/>
    <m/>
    <n v="75"/>
    <n v="0"/>
    <m/>
    <n v="0"/>
    <m/>
    <n v="0"/>
    <m/>
    <n v="0"/>
    <m/>
    <n v="0"/>
    <m/>
    <n v="0"/>
    <m/>
    <n v="0"/>
    <m/>
    <n v="0"/>
    <s v="ToyoLi"/>
    <n v="35"/>
    <n v="0"/>
    <n v="139.15662650602411"/>
    <n v="0"/>
    <n v="2"/>
    <n v="6"/>
    <n v="15"/>
    <n v="6"/>
    <n v="4"/>
    <n v="5"/>
    <n v="10"/>
    <n v="35"/>
    <n v="0.3"/>
    <m/>
    <m/>
    <n v="0.5"/>
    <n v="0.2"/>
    <n v="0"/>
    <n v="164"/>
    <n v="0"/>
    <n v="0"/>
    <n v="164"/>
    <n v="164"/>
    <n v="49.199999999999996"/>
    <n v="0"/>
    <n v="0"/>
    <n v="0"/>
    <n v="0"/>
    <n v="0"/>
    <n v="82"/>
    <n v="0"/>
    <n v="32.800000000000004"/>
    <n v="0"/>
    <n v="0"/>
    <n v="0"/>
    <n v="0"/>
    <m/>
    <n v="195"/>
    <n v="310"/>
    <s v="TL91"/>
    <s v="ToyoLiToyoLiToyoLiToyoLiToyoLiToyoLiToyoLiToyoLi"/>
    <s v="+"/>
    <s v="+"/>
    <s v="+"/>
    <s v="+"/>
    <s v="+"/>
    <s v="+"/>
    <s v="+"/>
    <s v="+"/>
  </r>
  <r>
    <d v="2026-01-16T00:00:00"/>
    <s v="B"/>
    <x v="185"/>
    <s v="TL92"/>
    <n v="460"/>
    <n v="29000"/>
    <s v="I"/>
    <s v="N"/>
    <n v="1.69"/>
    <s v="BLACK"/>
    <s v="F00857B"/>
    <s v="ToyoLi - BLACK"/>
    <n v="18"/>
    <n v="0"/>
    <s v="C01368B"/>
    <n v="18"/>
    <n v="0"/>
    <s v="R92"/>
    <m/>
    <m/>
    <m/>
    <m/>
    <m/>
    <m/>
    <m/>
    <n v="13"/>
    <n v="0"/>
    <m/>
    <n v="0"/>
    <m/>
    <n v="0"/>
    <m/>
    <n v="0"/>
    <m/>
    <n v="0"/>
    <m/>
    <n v="0"/>
    <m/>
    <n v="0"/>
    <m/>
    <n v="0"/>
    <s v="ToyoLi"/>
    <n v="30"/>
    <n v="0"/>
    <n v="24.111111111111114"/>
    <n v="0"/>
    <s v="BLACK"/>
    <s v="P00456B"/>
    <s v="ToyoLi - BLACK"/>
    <n v="40"/>
    <n v="0"/>
    <s v="B01019B/P00460B"/>
    <n v="35"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18"/>
    <n v="0"/>
    <n v="74.777777777777771"/>
    <n v="0"/>
    <s v="MEDIUM"/>
    <s v="C01467B"/>
    <s v="ToyoLi - MEDIUM"/>
    <n v="11"/>
    <n v="0"/>
    <s v="G00400M"/>
    <n v="13"/>
    <n v="0"/>
    <s v="RTMD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0"/>
    <n v="0"/>
    <n v="15.666666666666664"/>
    <n v="0"/>
    <s v="CYAN"/>
    <s v="P00456C"/>
    <s v="ToyoLi - CYAN"/>
    <n v="28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30"/>
    <n v="0"/>
    <n v="12.777777777777779"/>
    <n v="0"/>
    <s v="MAGENTA"/>
    <s v="P00456M"/>
    <s v="ToyoLi - MAGENTA"/>
    <n v="4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3"/>
    <n v="0"/>
    <n v="12.111111111111114"/>
    <n v="0"/>
    <s v="YELLOW"/>
    <s v="P00456Y"/>
    <s v="ToyoLi - YELLOW"/>
    <n v="25"/>
    <n v="0"/>
    <m/>
    <m/>
    <n v="0"/>
    <s v="F23T"/>
    <m/>
    <m/>
    <m/>
    <m/>
    <m/>
    <m/>
    <m/>
    <n v="15"/>
    <n v="0"/>
    <m/>
    <n v="0"/>
    <m/>
    <n v="0"/>
    <m/>
    <n v="0"/>
    <m/>
    <n v="0"/>
    <m/>
    <n v="0"/>
    <m/>
    <n v="0"/>
    <m/>
    <n v="0"/>
    <s v="ToyoLi"/>
    <n v="28"/>
    <n v="0"/>
    <n v="24.777777777777779"/>
    <n v="0"/>
    <s v="WHITE"/>
    <m/>
    <s v="ToyoLi - WHITE"/>
    <m/>
    <n v="0"/>
    <m/>
    <m/>
    <n v="0"/>
    <s v="F640"/>
    <m/>
    <m/>
    <m/>
    <m/>
    <m/>
    <m/>
    <m/>
    <n v="100"/>
    <n v="0"/>
    <m/>
    <n v="0"/>
    <m/>
    <n v="0"/>
    <m/>
    <n v="0"/>
    <m/>
    <n v="0"/>
    <m/>
    <n v="0"/>
    <m/>
    <n v="0"/>
    <m/>
    <n v="0"/>
    <s v="ToyoLi"/>
    <n v="30"/>
    <n v="0"/>
    <n v="197.7777777777777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3"/>
    <n v="5"/>
    <n v="2"/>
    <n v="5"/>
    <n v="50"/>
    <n v="0"/>
    <n v="0.3"/>
    <m/>
    <m/>
    <n v="0.5"/>
    <n v="0.2"/>
    <n v="0"/>
    <n v="184"/>
    <n v="0"/>
    <n v="0"/>
    <n v="184"/>
    <n v="184"/>
    <n v="55.199999999999996"/>
    <n v="0"/>
    <n v="0"/>
    <n v="0"/>
    <n v="0"/>
    <n v="0"/>
    <n v="92"/>
    <n v="0"/>
    <n v="36.800000000000004"/>
    <n v="0"/>
    <n v="0"/>
    <n v="0"/>
    <n v="0"/>
    <m/>
    <n v="139"/>
    <n v="362"/>
    <s v="TL92"/>
    <s v="ToyoLiToyoLiToyoLiToyoLiToyoLiToyoLiToyoLi"/>
    <s v="+"/>
    <s v="+"/>
    <s v="+"/>
    <s v="+"/>
    <s v="+"/>
    <s v="+"/>
    <s v="+"/>
    <s v="NIL"/>
  </r>
  <r>
    <d v="2026-01-16T00:00:00"/>
    <s v="B"/>
    <x v="186"/>
    <s v="TL93"/>
    <n v="128"/>
    <n v="8100"/>
    <s v="I"/>
    <s v="N"/>
    <n v="2.23"/>
    <s v="BLACK"/>
    <s v="B01037B"/>
    <s v="ToyoLi - BLACK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0"/>
    <n v="5.6428571428571459"/>
    <n v="0"/>
    <s v="GREEN"/>
    <s v="J00985G"/>
    <s v="ToyoLi - GREEN"/>
    <n v="7"/>
    <n v="0"/>
    <m/>
    <m/>
    <n v="0"/>
    <s v="F23T"/>
    <s v="R79"/>
    <s v="RTMD"/>
    <m/>
    <m/>
    <m/>
    <m/>
    <m/>
    <n v="5"/>
    <n v="0"/>
    <n v="8"/>
    <n v="0"/>
    <n v="8"/>
    <n v="0"/>
    <m/>
    <n v="0"/>
    <m/>
    <n v="0"/>
    <m/>
    <n v="0"/>
    <m/>
    <n v="0"/>
    <m/>
    <n v="0"/>
    <s v="ToyoLi"/>
    <n v="18"/>
    <n v="0"/>
    <n v="20.928571428571431"/>
    <n v="0"/>
    <s v="YELLOW"/>
    <s v="G00406Y"/>
    <s v="ToyoLi - YELLOW"/>
    <n v="20"/>
    <n v="0"/>
    <s v="J00985Y"/>
    <n v="33"/>
    <n v="0"/>
    <s v="F53"/>
    <s v="RTMD"/>
    <m/>
    <m/>
    <m/>
    <m/>
    <m/>
    <m/>
    <n v="2"/>
    <n v="0"/>
    <n v="10"/>
    <n v="0"/>
    <m/>
    <n v="0"/>
    <m/>
    <n v="0"/>
    <m/>
    <n v="0"/>
    <m/>
    <n v="0"/>
    <m/>
    <n v="0"/>
    <m/>
    <n v="0"/>
    <s v="ToyoLi"/>
    <n v="28"/>
    <n v="0"/>
    <n v="46.107142857142861"/>
    <n v="0"/>
    <s v="WHITE"/>
    <s v="B01037W"/>
    <s v="ToyoLi - WHITE"/>
    <n v="30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30"/>
    <n v="0"/>
    <n v="57.32142857142856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"/>
    <n v="5"/>
    <n v="15"/>
    <n v="0"/>
    <n v="0"/>
    <n v="0"/>
    <n v="0"/>
    <n v="0.3"/>
    <m/>
    <m/>
    <n v="0.5"/>
    <n v="0.2"/>
    <n v="0"/>
    <n v="51"/>
    <n v="0"/>
    <n v="0"/>
    <n v="51"/>
    <n v="51"/>
    <n v="15.299999999999999"/>
    <n v="0"/>
    <n v="0"/>
    <n v="0"/>
    <n v="0"/>
    <n v="0"/>
    <n v="25.5"/>
    <n v="0"/>
    <n v="10.200000000000001"/>
    <n v="0"/>
    <n v="0"/>
    <n v="0"/>
    <n v="0"/>
    <m/>
    <n v="63"/>
    <n v="130"/>
    <s v="TL93"/>
    <s v="ToyoLiToyoLiToyoLiToyoLi"/>
    <s v="+"/>
    <s v="+"/>
    <s v="+"/>
    <s v="+"/>
    <s v="NIL"/>
    <s v="NIL"/>
    <s v="NIL"/>
    <s v="NIL"/>
  </r>
  <r>
    <d v="2026-01-16T00:00:00"/>
    <s v="B"/>
    <x v="187"/>
    <s v="TL94"/>
    <n v="968"/>
    <n v="54200"/>
    <s v="I"/>
    <s v="N"/>
    <n v="1.76"/>
    <s v="REFLEX BLUE"/>
    <s v="B01037B"/>
    <s v="ToyoLi - REFLEX BLUE"/>
    <n v="30"/>
    <n v="0"/>
    <m/>
    <m/>
    <n v="0"/>
    <s v="R1205"/>
    <s v="R39"/>
    <s v="RTMD"/>
    <m/>
    <m/>
    <m/>
    <m/>
    <m/>
    <n v="1"/>
    <n v="0"/>
    <n v="5"/>
    <n v="0"/>
    <n v="5"/>
    <n v="0"/>
    <m/>
    <n v="0"/>
    <m/>
    <n v="0"/>
    <m/>
    <n v="0"/>
    <m/>
    <n v="0"/>
    <m/>
    <n v="0"/>
    <s v="ToyoLi"/>
    <n v="20"/>
    <n v="0"/>
    <n v="30.416666666666664"/>
    <n v="0"/>
    <s v="WHITE"/>
    <s v="J00984W"/>
    <s v="ToyoLi - WHITE"/>
    <n v="30"/>
    <n v="0"/>
    <m/>
    <m/>
    <n v="0"/>
    <s v="F640"/>
    <m/>
    <m/>
    <m/>
    <m/>
    <m/>
    <m/>
    <m/>
    <n v="260"/>
    <n v="0"/>
    <m/>
    <n v="0"/>
    <m/>
    <n v="0"/>
    <m/>
    <n v="0"/>
    <m/>
    <n v="0"/>
    <m/>
    <n v="0"/>
    <m/>
    <n v="0"/>
    <m/>
    <n v="0"/>
    <s v="ToyoLi"/>
    <n v="30"/>
    <n v="0"/>
    <n v="589.5833333333332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140"/>
    <n v="0"/>
    <n v="0"/>
    <n v="0"/>
    <n v="0"/>
    <n v="0"/>
    <n v="0"/>
    <n v="0.3"/>
    <m/>
    <m/>
    <n v="0.5"/>
    <n v="0.2"/>
    <n v="0"/>
    <n v="339"/>
    <n v="0"/>
    <n v="0"/>
    <n v="339"/>
    <n v="339"/>
    <n v="101.7"/>
    <n v="0"/>
    <n v="0"/>
    <n v="0"/>
    <n v="0"/>
    <n v="0"/>
    <n v="169.5"/>
    <n v="0"/>
    <n v="67.8"/>
    <n v="0"/>
    <n v="0"/>
    <n v="0"/>
    <n v="0"/>
    <m/>
    <n v="271"/>
    <n v="619.99999999999989"/>
    <s v="TL94"/>
    <s v="ToyoLiToyoLi"/>
    <s v="+"/>
    <s v="+"/>
    <s v="NIL"/>
    <s v="NIL"/>
    <s v="NIL"/>
    <s v="NIL"/>
    <s v="NIL"/>
    <s v="NIL"/>
  </r>
  <r>
    <d v="2026-01-16T00:00:00"/>
    <s v="B"/>
    <x v="188"/>
    <s v="TL95"/>
    <n v="179"/>
    <n v="8800"/>
    <s v="I"/>
    <s v="N"/>
    <n v="1.96"/>
    <s v="BLACK"/>
    <s v="J00984B"/>
    <s v="ToyoLi - BLACK"/>
    <n v="28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9"/>
    <n v="0"/>
    <n v="4.3488372093023244"/>
    <n v="0"/>
    <s v="GREEN"/>
    <s v="B01041G"/>
    <s v="ToyoLi - GREEN"/>
    <n v="20"/>
    <n v="0"/>
    <m/>
    <m/>
    <n v="0"/>
    <s v="F23T"/>
    <s v="R79"/>
    <m/>
    <m/>
    <m/>
    <m/>
    <m/>
    <m/>
    <n v="5"/>
    <n v="0"/>
    <n v="4"/>
    <n v="0"/>
    <m/>
    <n v="0"/>
    <m/>
    <n v="0"/>
    <m/>
    <n v="0"/>
    <m/>
    <n v="0"/>
    <m/>
    <n v="0"/>
    <m/>
    <n v="0"/>
    <s v="ToyoLi"/>
    <n v="25"/>
    <n v="0"/>
    <n v="9.0232558139534902"/>
    <n v="0"/>
    <s v="RED"/>
    <m/>
    <s v="ToyoLi - RED"/>
    <m/>
    <n v="0"/>
    <m/>
    <m/>
    <n v="0"/>
    <s v="F121"/>
    <s v="F53"/>
    <m/>
    <m/>
    <m/>
    <m/>
    <m/>
    <m/>
    <n v="10"/>
    <n v="0"/>
    <n v="7"/>
    <n v="0"/>
    <m/>
    <n v="0"/>
    <m/>
    <n v="0"/>
    <m/>
    <n v="0"/>
    <m/>
    <n v="0"/>
    <m/>
    <n v="0"/>
    <m/>
    <n v="0"/>
    <s v="ToyoLi"/>
    <n v="22"/>
    <n v="0"/>
    <n v="8.3953488372093013"/>
    <n v="0"/>
    <s v="BLACK"/>
    <s v="H01306B"/>
    <s v="ToyoLi - BLACK"/>
    <n v="25"/>
    <n v="0"/>
    <s v="N00944B"/>
    <n v="5"/>
    <n v="0"/>
    <s v="F23T"/>
    <s v="R92"/>
    <s v="RTMD"/>
    <m/>
    <m/>
    <m/>
    <m/>
    <m/>
    <n v="2"/>
    <n v="0"/>
    <n v="3"/>
    <n v="0"/>
    <n v="5"/>
    <n v="0"/>
    <m/>
    <n v="0"/>
    <m/>
    <n v="0"/>
    <m/>
    <n v="0"/>
    <m/>
    <n v="0"/>
    <m/>
    <n v="0"/>
    <s v="ToyoLi"/>
    <n v="35"/>
    <n v="0"/>
    <n v="13.372093023255815"/>
    <n v="0"/>
    <s v="CYAN"/>
    <s v="H01378C"/>
    <s v="ToyoLi - CYAN"/>
    <n v="20"/>
    <n v="0"/>
    <m/>
    <m/>
    <n v="0"/>
    <s v="R39"/>
    <s v="RTMD"/>
    <m/>
    <m/>
    <m/>
    <m/>
    <m/>
    <m/>
    <n v="5"/>
    <n v="0"/>
    <n v="4"/>
    <n v="0"/>
    <m/>
    <n v="0"/>
    <m/>
    <n v="0"/>
    <m/>
    <n v="0"/>
    <m/>
    <n v="0"/>
    <m/>
    <n v="0"/>
    <m/>
    <n v="0"/>
    <s v="ToyoLi"/>
    <n v="30"/>
    <n v="0"/>
    <n v="9.0465116279069804"/>
    <n v="0"/>
    <s v="MAGENTA"/>
    <s v="B01037M"/>
    <s v="ToyoLi - MAGENTA"/>
    <n v="33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0"/>
    <n v="6.3488372093023244"/>
    <n v="0"/>
    <s v="YELLOW"/>
    <s v="B01037Y"/>
    <s v="ToyoLi - YELLOW"/>
    <n v="28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30"/>
    <n v="0"/>
    <n v="3.3488372093023244"/>
    <n v="0"/>
    <s v="WHITE"/>
    <s v="H01378W"/>
    <s v="ToyoLi - WHITE"/>
    <n v="30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30"/>
    <n v="0"/>
    <n v="55.116279069767444"/>
    <n v="0"/>
    <n v="2"/>
    <n v="3"/>
    <n v="8"/>
    <n v="5"/>
    <n v="6"/>
    <n v="2"/>
    <n v="2"/>
    <n v="15"/>
    <n v="0.3"/>
    <m/>
    <m/>
    <n v="0.5"/>
    <n v="0.2"/>
    <n v="0"/>
    <n v="72"/>
    <n v="0"/>
    <n v="0"/>
    <n v="72"/>
    <n v="72"/>
    <n v="21.599999999999998"/>
    <n v="0"/>
    <n v="0"/>
    <n v="0"/>
    <n v="0"/>
    <n v="0"/>
    <n v="36"/>
    <n v="0"/>
    <n v="14.4"/>
    <n v="0"/>
    <n v="0"/>
    <n v="0"/>
    <n v="0"/>
    <m/>
    <n v="79"/>
    <n v="109"/>
    <s v="TL95"/>
    <s v="ToyoLiToyoLiToyoLiToyoLiToyoLiToyoLiToyoLiToyoLi"/>
    <s v="+"/>
    <s v="+"/>
    <s v="+"/>
    <s v="+"/>
    <s v="+"/>
    <s v="+"/>
    <s v="+"/>
    <s v="+"/>
  </r>
  <r>
    <d v="2026-01-16T00:00:00"/>
    <s v="B"/>
    <x v="189"/>
    <s v="TL93"/>
    <n v="175"/>
    <n v="8600"/>
    <s v="I"/>
    <s v="N"/>
    <n v="1.96"/>
    <s v="BLACK"/>
    <s v="B01051B"/>
    <s v="ToyoLi - BLACK"/>
    <n v="29"/>
    <n v="0"/>
    <m/>
    <m/>
    <n v="0"/>
    <s v="RTMD"/>
    <m/>
    <m/>
    <m/>
    <m/>
    <m/>
    <m/>
    <m/>
    <n v="9"/>
    <n v="0"/>
    <m/>
    <n v="0"/>
    <m/>
    <n v="0"/>
    <m/>
    <n v="0"/>
    <m/>
    <n v="0"/>
    <m/>
    <n v="0"/>
    <m/>
    <n v="0"/>
    <m/>
    <n v="0"/>
    <s v="ToyoLi"/>
    <n v="37"/>
    <n v="0"/>
    <n v="5.5161290322580641"/>
    <n v="0"/>
    <s v="GREEN"/>
    <s v="B01051G"/>
    <s v="ToyoLi - GREEN"/>
    <n v="25"/>
    <n v="0"/>
    <m/>
    <m/>
    <n v="0"/>
    <s v="RTMD"/>
    <m/>
    <m/>
    <m/>
    <m/>
    <m/>
    <m/>
    <m/>
    <n v="9"/>
    <n v="0"/>
    <m/>
    <n v="0"/>
    <m/>
    <n v="0"/>
    <m/>
    <n v="0"/>
    <m/>
    <n v="0"/>
    <m/>
    <n v="0"/>
    <m/>
    <n v="0"/>
    <m/>
    <n v="0"/>
    <s v="ToyoLi"/>
    <n v="33"/>
    <n v="0"/>
    <n v="5.5161290322580641"/>
    <n v="0"/>
    <s v="RED"/>
    <s v="B01051R"/>
    <s v="ToyoLi - RED"/>
    <n v="22"/>
    <n v="0"/>
    <m/>
    <m/>
    <n v="0"/>
    <s v="F53"/>
    <m/>
    <m/>
    <m/>
    <m/>
    <m/>
    <m/>
    <m/>
    <n v="13"/>
    <n v="0"/>
    <m/>
    <n v="0"/>
    <m/>
    <n v="0"/>
    <m/>
    <n v="0"/>
    <m/>
    <n v="0"/>
    <m/>
    <n v="0"/>
    <m/>
    <n v="0"/>
    <m/>
    <n v="0"/>
    <s v="ToyoLi"/>
    <n v="34"/>
    <n v="0"/>
    <n v="5.5161290322580641"/>
    <n v="0"/>
    <s v="CYAN"/>
    <s v="B01051C"/>
    <s v="ToyoLi - CYAN"/>
    <n v="30"/>
    <n v="0"/>
    <m/>
    <m/>
    <n v="0"/>
    <s v="R39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37"/>
    <n v="0"/>
    <n v="12.548387096774192"/>
    <n v="0"/>
    <s v="MAGENTA"/>
    <s v="B01051M"/>
    <s v="ToyoLi - MAGENTA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0"/>
    <n v="4.5161290322580641"/>
    <n v="0"/>
    <s v="YELLOW"/>
    <s v="B01051Y"/>
    <s v="ToyoLi - YELLOW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0"/>
    <n v="7.5161290322580641"/>
    <n v="0"/>
    <s v="WHITE"/>
    <s v="B01051W"/>
    <s v="ToyoLi - WHITE"/>
    <n v="30"/>
    <n v="0"/>
    <m/>
    <m/>
    <n v="0"/>
    <s v="F640"/>
    <m/>
    <m/>
    <m/>
    <m/>
    <m/>
    <m/>
    <m/>
    <n v="50"/>
    <n v="0"/>
    <m/>
    <n v="0"/>
    <m/>
    <n v="0"/>
    <m/>
    <n v="0"/>
    <m/>
    <n v="0"/>
    <m/>
    <n v="0"/>
    <m/>
    <n v="0"/>
    <m/>
    <n v="0"/>
    <s v="ToyoLi"/>
    <n v="30"/>
    <n v="0"/>
    <n v="83.87096774193548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6"/>
    <n v="2"/>
    <n v="2"/>
    <n v="15"/>
    <n v="0"/>
    <n v="0.3"/>
    <m/>
    <m/>
    <n v="0.5"/>
    <n v="0.2"/>
    <n v="0"/>
    <n v="70"/>
    <n v="0"/>
    <n v="0"/>
    <n v="70"/>
    <n v="70"/>
    <n v="21"/>
    <n v="0"/>
    <n v="0"/>
    <n v="0"/>
    <n v="0"/>
    <n v="0"/>
    <n v="35"/>
    <n v="0"/>
    <n v="14"/>
    <n v="0"/>
    <n v="0"/>
    <n v="0"/>
    <n v="0"/>
    <m/>
    <n v="87"/>
    <n v="125"/>
    <s v="TL93"/>
    <s v="ToyoLiToyoLiToyoLiToyoLiToyoLiToyoLiToyoLi"/>
    <s v="+"/>
    <s v="+"/>
    <s v="+"/>
    <s v="+"/>
    <s v="+"/>
    <s v="+"/>
    <s v="+"/>
    <s v="NIL"/>
  </r>
  <r>
    <d v="2026-01-17T00:00:00"/>
    <s v="B"/>
    <x v="190"/>
    <s v="TL94"/>
    <n v="35"/>
    <n v="1700"/>
    <s v="I"/>
    <s v="N"/>
    <n v="0.76"/>
    <s v="BLACK"/>
    <s v="B01037B"/>
    <s v="ToyoLi - BLACK"/>
    <n v="18"/>
    <n v="0"/>
    <m/>
    <m/>
    <n v="0"/>
    <s v="R92"/>
    <m/>
    <m/>
    <m/>
    <m/>
    <m/>
    <m/>
    <m/>
    <n v="7"/>
    <n v="0"/>
    <m/>
    <n v="0"/>
    <m/>
    <n v="0"/>
    <m/>
    <n v="0"/>
    <m/>
    <n v="0"/>
    <m/>
    <n v="0"/>
    <m/>
    <n v="0"/>
    <m/>
    <n v="0"/>
    <s v="ToyoLi"/>
    <n v="20"/>
    <n v="0"/>
    <n v="11.285714285714285"/>
    <n v="0"/>
    <s v="RED"/>
    <m/>
    <s v="ToyoLi - RED"/>
    <m/>
    <n v="0"/>
    <m/>
    <m/>
    <n v="0"/>
    <s v="F121"/>
    <s v="F53"/>
    <m/>
    <m/>
    <m/>
    <m/>
    <m/>
    <m/>
    <n v="12"/>
    <n v="0"/>
    <n v="11"/>
    <n v="0"/>
    <m/>
    <n v="0"/>
    <m/>
    <n v="0"/>
    <m/>
    <n v="0"/>
    <m/>
    <n v="0"/>
    <m/>
    <n v="0"/>
    <m/>
    <n v="0"/>
    <s v="ToyoLi"/>
    <n v="20"/>
    <n v="0"/>
    <n v="18.71428571428571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0"/>
    <n v="0"/>
    <n v="0"/>
    <n v="0"/>
    <n v="0"/>
    <n v="0"/>
    <n v="0.3"/>
    <m/>
    <m/>
    <n v="0.5"/>
    <n v="0.2"/>
    <n v="0"/>
    <n v="22"/>
    <n v="0"/>
    <n v="0"/>
    <n v="22"/>
    <n v="22"/>
    <n v="6.6"/>
    <n v="0"/>
    <n v="0"/>
    <n v="0"/>
    <n v="0"/>
    <n v="0"/>
    <n v="11"/>
    <n v="0"/>
    <n v="4.4000000000000004"/>
    <n v="0"/>
    <n v="0"/>
    <n v="0"/>
    <n v="0"/>
    <m/>
    <n v="30"/>
    <n v="30"/>
    <s v="TL94"/>
    <s v="ToyoLiToyoLi"/>
    <s v="+"/>
    <s v="+"/>
    <s v="NIL"/>
    <s v="NIL"/>
    <s v="NIL"/>
    <s v="NIL"/>
    <s v="NIL"/>
    <s v="NIL"/>
  </r>
  <r>
    <d v="2026-01-14T00:00:00"/>
    <s v="A"/>
    <x v="191"/>
    <n v="94"/>
    <n v="515"/>
    <n v="26500"/>
    <s v="II"/>
    <s v="N"/>
    <n v="1.9"/>
    <s v="BLACK"/>
    <s v="C01433B"/>
    <s v="FLINTSL - BLACK"/>
    <n v="28"/>
    <n v="0"/>
    <m/>
    <m/>
    <n v="0"/>
    <n v="2651700003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6.5853658536585371"/>
    <n v="0"/>
    <s v="RED"/>
    <s v="B01046B"/>
    <s v="FLINTSL - RED"/>
    <n v="30"/>
    <n v="0"/>
    <s v="C01433R"/>
    <n v="24"/>
    <n v="0"/>
    <n v="26514000006"/>
    <n v="26508000010"/>
    <m/>
    <m/>
    <m/>
    <m/>
    <m/>
    <m/>
    <n v="6"/>
    <e v="#N/A"/>
    <n v="4"/>
    <e v="#N/A"/>
    <m/>
    <n v="0"/>
    <m/>
    <n v="0"/>
    <m/>
    <n v="0"/>
    <m/>
    <n v="0"/>
    <m/>
    <n v="0"/>
    <m/>
    <n v="0"/>
    <s v="FLINTSL"/>
    <n v="28"/>
    <n v="0"/>
    <n v="49.756097560975604"/>
    <n v="0"/>
    <s v="GREEN"/>
    <s v="J00968G"/>
    <s v="FLINTSL - GREEN"/>
    <n v="18"/>
    <n v="0"/>
    <s v="F00853G"/>
    <n v="15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2"/>
    <n v="0"/>
    <n v="5.5853658536585371"/>
    <n v="0"/>
    <s v="GREEN"/>
    <m/>
    <s v="FLINTSL - GREEN"/>
    <m/>
    <n v="0"/>
    <m/>
    <m/>
    <n v="0"/>
    <n v="26510000009"/>
    <n v="26515000007"/>
    <m/>
    <m/>
    <m/>
    <m/>
    <m/>
    <m/>
    <n v="9"/>
    <e v="#N/A"/>
    <n v="12"/>
    <e v="#N/A"/>
    <m/>
    <n v="0"/>
    <m/>
    <n v="0"/>
    <m/>
    <n v="0"/>
    <m/>
    <n v="0"/>
    <m/>
    <n v="0"/>
    <m/>
    <n v="0"/>
    <s v="FLINTSL"/>
    <n v="26"/>
    <n v="0"/>
    <n v="1.8780487804878057"/>
    <n v="0"/>
    <s v="CYAN"/>
    <s v="C01433C"/>
    <s v="FLINTSL - CYAN"/>
    <n v="32"/>
    <n v="0"/>
    <m/>
    <m/>
    <n v="0"/>
    <s v="FMD"/>
    <m/>
    <m/>
    <m/>
    <m/>
    <m/>
    <m/>
    <m/>
    <n v="13"/>
    <n v="0"/>
    <m/>
    <n v="0"/>
    <m/>
    <n v="0"/>
    <m/>
    <n v="0"/>
    <m/>
    <n v="0"/>
    <m/>
    <n v="0"/>
    <m/>
    <n v="0"/>
    <m/>
    <n v="0"/>
    <s v="FLINTSL"/>
    <n v="33"/>
    <n v="0"/>
    <n v="16.585365853658537"/>
    <n v="0"/>
    <s v="MAGENTA"/>
    <s v="C01433M"/>
    <s v="FLINTSL - MAGENTA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0"/>
    <n v="7.8780487804878021"/>
    <n v="0"/>
    <s v="YELLOW"/>
    <s v="C01433Y"/>
    <s v="FLINTSL - YELLOW"/>
    <n v="24"/>
    <n v="0"/>
    <s v="C01489Y"/>
    <n v="22"/>
    <n v="0"/>
    <n v="26515000007"/>
    <m/>
    <m/>
    <m/>
    <m/>
    <m/>
    <m/>
    <m/>
    <n v="12"/>
    <e v="#N/A"/>
    <m/>
    <n v="0"/>
    <m/>
    <n v="0"/>
    <m/>
    <n v="0"/>
    <m/>
    <n v="0"/>
    <m/>
    <n v="0"/>
    <m/>
    <n v="0"/>
    <m/>
    <n v="0"/>
    <s v="FLINTSL"/>
    <n v="30"/>
    <n v="0"/>
    <n v="37.170731707317074"/>
    <n v="0"/>
    <s v="WHITE"/>
    <s v="C01433W"/>
    <s v="FLINTSL - WHITE"/>
    <n v="30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237.5609756097561"/>
    <n v="0"/>
    <n v="2"/>
    <n v="6"/>
    <n v="2"/>
    <n v="3"/>
    <n v="2"/>
    <n v="3"/>
    <n v="4"/>
    <n v="60"/>
    <n v="0.3"/>
    <m/>
    <m/>
    <n v="0.5"/>
    <n v="0.2"/>
    <n v="0"/>
    <n v="188"/>
    <n v="0"/>
    <n v="0"/>
    <n v="188"/>
    <n v="188"/>
    <n v="56.4"/>
    <n v="0"/>
    <n v="0"/>
    <n v="0"/>
    <n v="0"/>
    <n v="0"/>
    <n v="94"/>
    <n v="0"/>
    <n v="37.6"/>
    <n v="0"/>
    <n v="0"/>
    <n v="0"/>
    <n v="0"/>
    <m/>
    <n v="158"/>
    <n v="363"/>
    <n v="94"/>
    <s v="FLINTSLFLINTSLFLINTSLFLINTSLFLINTSLFLINTSLFLINTSLFLINTSL"/>
    <s v="+"/>
    <s v="+"/>
    <s v="+"/>
    <s v="+"/>
    <s v="+"/>
    <s v="+"/>
    <s v="+"/>
    <s v="+"/>
  </r>
  <r>
    <d v="2026-01-14T00:00:00"/>
    <s v="A"/>
    <x v="192"/>
    <n v="95"/>
    <n v="509"/>
    <n v="26200"/>
    <s v="II"/>
    <s v="N"/>
    <n v="2"/>
    <s v="BLACK"/>
    <s v="H01331B"/>
    <s v="FLINTSL - BLACK"/>
    <n v="28"/>
    <n v="0"/>
    <m/>
    <m/>
    <n v="0"/>
    <n v="2651700003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9"/>
    <n v="0"/>
    <n v="5.6849315068493169"/>
    <n v="0"/>
    <s v="RED"/>
    <s v="E01017R"/>
    <s v="FLINTSL - RED"/>
    <n v="27"/>
    <n v="0"/>
    <m/>
    <m/>
    <n v="0"/>
    <n v="26514000009"/>
    <n v="26514000006"/>
    <n v="26517000031"/>
    <m/>
    <m/>
    <m/>
    <m/>
    <m/>
    <n v="40"/>
    <e v="#N/A"/>
    <n v="18"/>
    <e v="#N/A"/>
    <n v="0.5"/>
    <e v="#N/A"/>
    <m/>
    <n v="0"/>
    <m/>
    <n v="0"/>
    <m/>
    <n v="0"/>
    <m/>
    <n v="0"/>
    <m/>
    <n v="0"/>
    <s v="FLINTSL"/>
    <n v="39"/>
    <n v="0"/>
    <n v="58.212328767123282"/>
    <n v="0"/>
    <s v="ORANGE"/>
    <s v="P00432O"/>
    <s v="FLINTSL - ORANGE"/>
    <n v="24"/>
    <n v="0"/>
    <s v="N00843O"/>
    <n v="22"/>
    <n v="0"/>
    <n v="26508000010"/>
    <n v="26515000007"/>
    <n v="26514000006"/>
    <m/>
    <m/>
    <m/>
    <m/>
    <m/>
    <n v="1"/>
    <e v="#N/A"/>
    <n v="10"/>
    <e v="#N/A"/>
    <n v="1"/>
    <e v="#N/A"/>
    <m/>
    <n v="0"/>
    <m/>
    <n v="0"/>
    <m/>
    <n v="0"/>
    <m/>
    <n v="0"/>
    <m/>
    <n v="0"/>
    <s v="FLINTSL"/>
    <n v="16"/>
    <n v="0"/>
    <n v="53.712328767123282"/>
    <n v="0"/>
    <s v="CYAN"/>
    <s v="H01331C"/>
    <s v="FLINTSL - CYAN"/>
    <n v="33"/>
    <n v="0"/>
    <m/>
    <m/>
    <n v="0"/>
    <n v="26512000001"/>
    <n v="26513000011"/>
    <m/>
    <m/>
    <m/>
    <m/>
    <m/>
    <m/>
    <n v="12"/>
    <e v="#N/A"/>
    <n v="1"/>
    <e v="#N/A"/>
    <m/>
    <n v="0"/>
    <m/>
    <n v="0"/>
    <m/>
    <n v="0"/>
    <m/>
    <n v="0"/>
    <m/>
    <n v="0"/>
    <m/>
    <n v="0"/>
    <s v="FLINTSL"/>
    <n v="28"/>
    <n v="0"/>
    <n v="36.739726027397268"/>
    <n v="0"/>
    <s v="MAGENTA"/>
    <s v="H01331M"/>
    <s v="FLINTSL - MAGENTA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0"/>
    <n v="6.0273972602739718"/>
    <n v="0"/>
    <s v="YELLOW"/>
    <s v="H01331Y"/>
    <s v="FLINTSL - YELLOW"/>
    <n v="30"/>
    <n v="0"/>
    <m/>
    <m/>
    <n v="0"/>
    <n v="26515000009"/>
    <s v="FMD"/>
    <m/>
    <m/>
    <m/>
    <m/>
    <m/>
    <m/>
    <n v="25"/>
    <e v="#N/A"/>
    <n v="10"/>
    <n v="0"/>
    <m/>
    <n v="0"/>
    <m/>
    <n v="0"/>
    <m/>
    <n v="0"/>
    <m/>
    <n v="0"/>
    <m/>
    <n v="0"/>
    <m/>
    <n v="0"/>
    <s v="FLINTSL"/>
    <n v="30"/>
    <n v="0"/>
    <n v="81.849315068493155"/>
    <n v="0"/>
    <s v="WHITE"/>
    <s v="H01331W"/>
    <s v="FLINTSL - WHITE"/>
    <n v="3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30"/>
    <n v="0"/>
    <n v="120.2739726027397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5"/>
    <n v="8"/>
    <n v="3"/>
    <n v="20"/>
    <n v="30"/>
    <n v="0"/>
    <n v="0.8"/>
    <n v="0.2"/>
    <m/>
    <m/>
    <m/>
    <n v="0"/>
    <n v="171"/>
    <n v="0"/>
    <n v="0"/>
    <n v="171"/>
    <n v="171"/>
    <n v="136.80000000000001"/>
    <n v="0"/>
    <n v="34.200000000000003"/>
    <n v="0"/>
    <n v="0"/>
    <n v="0"/>
    <n v="0"/>
    <n v="0"/>
    <n v="0"/>
    <n v="0"/>
    <n v="0"/>
    <n v="0"/>
    <n v="0"/>
    <m/>
    <n v="170.5"/>
    <n v="362.5"/>
    <n v="95"/>
    <s v="FLINTSLFLINTSLFLINTSLFLINTSLFLINTSLFLINTSLFLINTSL"/>
    <s v="+"/>
    <s v="+"/>
    <s v="+"/>
    <s v="+"/>
    <s v="+"/>
    <s v="+"/>
    <s v="+"/>
    <s v="NIL"/>
  </r>
  <r>
    <d v="2026-01-14T00:00:00"/>
    <s v="A"/>
    <x v="193"/>
    <n v="96"/>
    <n v="212"/>
    <n v="15500"/>
    <s v="II"/>
    <s v="N"/>
    <n v="0.6"/>
    <s v="BLACK"/>
    <s v="B01048B"/>
    <s v="FLINTSL - BLACK"/>
    <n v="28"/>
    <n v="0"/>
    <m/>
    <m/>
    <n v="0"/>
    <n v="2651700003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8"/>
    <n v="0"/>
    <s v="GREEN"/>
    <s v="H01331G"/>
    <s v="FLINTSL - GREEN"/>
    <n v="26"/>
    <n v="0"/>
    <m/>
    <m/>
    <n v="0"/>
    <n v="2651200000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5"/>
    <n v="0"/>
    <s v="RED"/>
    <s v="H01331R"/>
    <s v="FLINTSL - RED"/>
    <n v="28"/>
    <n v="0"/>
    <m/>
    <m/>
    <n v="0"/>
    <n v="26508000010"/>
    <m/>
    <m/>
    <m/>
    <m/>
    <m/>
    <m/>
    <m/>
    <n v="6.5"/>
    <e v="#N/A"/>
    <m/>
    <n v="0"/>
    <m/>
    <n v="0"/>
    <m/>
    <n v="0"/>
    <m/>
    <n v="0"/>
    <m/>
    <n v="0"/>
    <m/>
    <n v="0"/>
    <m/>
    <n v="0"/>
    <s v="FLINTSL"/>
    <n v="26"/>
    <n v="0"/>
    <n v="10.5"/>
    <n v="0"/>
    <s v="CYAN"/>
    <s v="B01048C"/>
    <s v="FLINTSL - CYAN"/>
    <n v="30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31"/>
    <n v="0"/>
    <n v="9"/>
    <n v="0"/>
    <s v="MAGENTA"/>
    <s v="H01332M"/>
    <s v="FLINTSL - MAGENTA"/>
    <n v="30"/>
    <n v="0"/>
    <m/>
    <m/>
    <n v="0"/>
    <n v="26514000006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2"/>
    <n v="0"/>
    <n v="4"/>
    <n v="0"/>
    <s v="YELLOW"/>
    <s v="H01332Y"/>
    <s v="FLINTSL - YELLOW"/>
    <n v="30"/>
    <n v="0"/>
    <m/>
    <m/>
    <n v="0"/>
    <n v="2651400001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10"/>
    <n v="0"/>
    <s v="YELLOW"/>
    <m/>
    <s v="FLINTSL - YELLOW"/>
    <m/>
    <n v="0"/>
    <m/>
    <m/>
    <n v="0"/>
    <n v="26515000009"/>
    <n v="26515000009"/>
    <n v="26514000006"/>
    <n v="26517000031"/>
    <m/>
    <m/>
    <m/>
    <m/>
    <n v="20"/>
    <e v="#N/A"/>
    <n v="20"/>
    <e v="#N/A"/>
    <n v="0.5"/>
    <e v="#N/A"/>
    <n v="0.5"/>
    <e v="#N/A"/>
    <m/>
    <n v="0"/>
    <m/>
    <n v="0"/>
    <m/>
    <n v="0"/>
    <m/>
    <n v="0"/>
    <s v="FLINTSL"/>
    <n v="20"/>
    <n v="0"/>
    <n v="5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n v="1"/>
    <n v="1"/>
    <n v="3"/>
    <n v="2"/>
    <n v="4"/>
    <n v="15"/>
    <n v="0"/>
    <n v="0.8"/>
    <n v="0.2"/>
    <m/>
    <m/>
    <m/>
    <n v="0"/>
    <n v="54"/>
    <n v="0"/>
    <n v="0"/>
    <n v="54"/>
    <n v="54"/>
    <n v="43.2"/>
    <n v="0"/>
    <n v="10.8"/>
    <n v="0"/>
    <n v="0"/>
    <n v="0"/>
    <n v="0"/>
    <n v="0"/>
    <n v="0"/>
    <n v="0"/>
    <n v="0"/>
    <n v="0"/>
    <n v="0"/>
    <m/>
    <n v="61.5"/>
    <n v="97.5"/>
    <n v="96"/>
    <s v="FLINTSLFLINTSLFLINTSLFLINTSLFLINTSLFLINTSLFLINTSL"/>
    <s v="+"/>
    <s v="+"/>
    <s v="+"/>
    <s v="+"/>
    <s v="+"/>
    <s v="+"/>
    <s v="+"/>
    <s v="NIL"/>
  </r>
  <r>
    <d v="2026-01-14T00:00:00"/>
    <s v="A"/>
    <x v="194"/>
    <n v="97"/>
    <n v="213"/>
    <n v="13600"/>
    <s v="II"/>
    <s v="N"/>
    <n v="1.3"/>
    <s v="BLACK"/>
    <s v="B01053B"/>
    <s v="FLINTSL - BLACK"/>
    <n v="26"/>
    <n v="0"/>
    <m/>
    <m/>
    <n v="0"/>
    <n v="26517000031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6"/>
    <n v="0"/>
    <n v="6.1724137931034448"/>
    <n v="0"/>
    <s v="SILVER"/>
    <m/>
    <s v="ToyoLi - SILVER"/>
    <m/>
    <n v="0"/>
    <m/>
    <m/>
    <n v="0"/>
    <s v="TLSI"/>
    <s v="HSLAS"/>
    <m/>
    <m/>
    <m/>
    <m/>
    <m/>
    <m/>
    <n v="28"/>
    <n v="0"/>
    <n v="0.84"/>
    <n v="0"/>
    <m/>
    <n v="0"/>
    <m/>
    <n v="0"/>
    <m/>
    <n v="0"/>
    <m/>
    <n v="0"/>
    <m/>
    <n v="0"/>
    <m/>
    <n v="0"/>
    <s v="ToyoLi"/>
    <n v="28"/>
    <n v="0"/>
    <n v="26.702068965517242"/>
    <n v="0"/>
    <s v="CYAN"/>
    <s v="B01053C"/>
    <s v="FLINTSL - CYAN"/>
    <n v="31"/>
    <n v="0"/>
    <m/>
    <m/>
    <n v="0"/>
    <n v="26512000001"/>
    <n v="26507000025"/>
    <m/>
    <m/>
    <m/>
    <m/>
    <m/>
    <m/>
    <n v="5"/>
    <e v="#N/A"/>
    <n v="1.5"/>
    <e v="#N/A"/>
    <m/>
    <n v="0"/>
    <m/>
    <n v="0"/>
    <m/>
    <n v="0"/>
    <m/>
    <n v="0"/>
    <m/>
    <n v="0"/>
    <m/>
    <n v="0"/>
    <s v="FLINTSL"/>
    <n v="26"/>
    <n v="0"/>
    <n v="16.672413793103445"/>
    <n v="0"/>
    <s v="WHITE"/>
    <s v="H01332W"/>
    <s v="FLINTSL - WHITE"/>
    <n v="30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30"/>
    <n v="0"/>
    <n v="78.79310344827587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2"/>
    <n v="15"/>
    <n v="0"/>
    <n v="0"/>
    <n v="0"/>
    <n v="0"/>
    <n v="0.8"/>
    <n v="0.2"/>
    <m/>
    <m/>
    <m/>
    <n v="0"/>
    <n v="75"/>
    <n v="0"/>
    <n v="0"/>
    <n v="75"/>
    <n v="75"/>
    <n v="60"/>
    <n v="0"/>
    <n v="15"/>
    <n v="0"/>
    <n v="0"/>
    <n v="0"/>
    <n v="0"/>
    <n v="0"/>
    <n v="0"/>
    <n v="0"/>
    <n v="0"/>
    <n v="0"/>
    <n v="0"/>
    <m/>
    <n v="76.34"/>
    <n v="128.34"/>
    <n v="97"/>
    <s v="FLINTSLToyoLiFLINTSLFLINTSL"/>
    <s v="+"/>
    <s v="+"/>
    <s v="+"/>
    <s v="+"/>
    <s v="NIL"/>
    <s v="NIL"/>
    <s v="NIL"/>
    <s v="NIL"/>
  </r>
  <r>
    <d v="2026-01-14T00:00:00"/>
    <s v="B"/>
    <x v="195"/>
    <n v="98"/>
    <n v="2521"/>
    <n v="101700"/>
    <s v="II"/>
    <s v="N"/>
    <n v="2"/>
    <s v="BLACK"/>
    <s v="B01048B"/>
    <s v="FLINTSL - BLACK"/>
    <n v="26"/>
    <n v="0"/>
    <m/>
    <m/>
    <n v="0"/>
    <n v="26517000042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4"/>
    <n v="0"/>
    <n v="18.101321585903086"/>
    <n v="0"/>
    <s v="REFLEX BLUE"/>
    <s v="H01342B"/>
    <s v="FLINTSL - REFLEX BLUE"/>
    <n v="31"/>
    <n v="0"/>
    <s v="C01457B"/>
    <n v="15"/>
    <n v="0"/>
    <n v="26514000006"/>
    <n v="26507000025"/>
    <n v="26512000001"/>
    <n v="26517000042"/>
    <m/>
    <m/>
    <m/>
    <m/>
    <n v="5"/>
    <e v="#N/A"/>
    <n v="5"/>
    <e v="#N/A"/>
    <n v="7"/>
    <e v="#N/A"/>
    <n v="1"/>
    <e v="#N/A"/>
    <m/>
    <n v="0"/>
    <m/>
    <n v="0"/>
    <m/>
    <n v="0"/>
    <m/>
    <n v="0"/>
    <s v="FLINTSL"/>
    <n v="25"/>
    <n v="0"/>
    <n v="76.744493392070481"/>
    <n v="0"/>
    <s v="GREEN"/>
    <s v="C01446G"/>
    <s v="FLINTSL - GREEN"/>
    <n v="16"/>
    <n v="0"/>
    <s v="B01053G"/>
    <n v="26"/>
    <n v="0"/>
    <n v="26517000042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32"/>
    <n v="0"/>
    <n v="22.101321585903086"/>
    <n v="0"/>
    <s v="CYAN"/>
    <s v="B01048C"/>
    <s v="FLINTSL - CYAN"/>
    <n v="20"/>
    <n v="0"/>
    <m/>
    <m/>
    <n v="0"/>
    <s v="FMD"/>
    <m/>
    <m/>
    <m/>
    <m/>
    <m/>
    <m/>
    <m/>
    <n v="7"/>
    <n v="0"/>
    <m/>
    <n v="0"/>
    <m/>
    <n v="0"/>
    <m/>
    <n v="0"/>
    <m/>
    <n v="0"/>
    <m/>
    <n v="0"/>
    <m/>
    <n v="0"/>
    <m/>
    <n v="0"/>
    <s v="FLINTSL"/>
    <n v="26"/>
    <n v="0"/>
    <n v="12.101321585903086"/>
    <n v="0"/>
    <s v="MAGENTA"/>
    <s v="B01053M"/>
    <s v="FLINTSL - MAGENTA"/>
    <n v="32"/>
    <n v="0"/>
    <m/>
    <m/>
    <n v="0"/>
    <n v="26514000008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21.101321585903086"/>
    <n v="0"/>
    <s v="YELLOW"/>
    <s v="B01053U"/>
    <s v="FLINTSL - YELLOW"/>
    <n v="30"/>
    <n v="0"/>
    <m/>
    <m/>
    <n v="0"/>
    <n v="26515000009"/>
    <s v="FMD"/>
    <n v="26514000015"/>
    <m/>
    <m/>
    <m/>
    <m/>
    <m/>
    <n v="15"/>
    <e v="#N/A"/>
    <n v="10"/>
    <n v="0"/>
    <n v="39"/>
    <e v="#N/A"/>
    <m/>
    <n v="0"/>
    <m/>
    <n v="0"/>
    <m/>
    <n v="0"/>
    <m/>
    <n v="0"/>
    <m/>
    <n v="0"/>
    <s v="FLINTSL"/>
    <n v="29"/>
    <n v="0"/>
    <n v="87.202643171806173"/>
    <n v="0"/>
    <s v="YELLOW"/>
    <m/>
    <s v="FLINTSL - YELLOW"/>
    <m/>
    <n v="0"/>
    <m/>
    <m/>
    <n v="0"/>
    <n v="26514000016"/>
    <n v="26514000014"/>
    <n v="26514000027"/>
    <n v="26515000001"/>
    <n v="26515000002"/>
    <m/>
    <m/>
    <m/>
    <n v="40"/>
    <e v="#N/A"/>
    <n v="40"/>
    <e v="#N/A"/>
    <n v="140"/>
    <e v="#N/A"/>
    <n v="20"/>
    <e v="#N/A"/>
    <n v="20"/>
    <e v="#N/A"/>
    <m/>
    <n v="0"/>
    <m/>
    <n v="0"/>
    <m/>
    <n v="0"/>
    <s v="FLINTSL"/>
    <n v="15"/>
    <n v="0"/>
    <n v="245"/>
    <n v="0"/>
    <s v="WHITE"/>
    <s v="B01048W"/>
    <s v="FLINTSL - WHITE"/>
    <n v="30"/>
    <n v="0"/>
    <m/>
    <m/>
    <n v="0"/>
    <s v="FW"/>
    <m/>
    <m/>
    <m/>
    <m/>
    <m/>
    <m/>
    <m/>
    <n v="300"/>
    <n v="0"/>
    <m/>
    <n v="0"/>
    <m/>
    <n v="0"/>
    <m/>
    <n v="0"/>
    <m/>
    <n v="0"/>
    <m/>
    <n v="0"/>
    <m/>
    <n v="0"/>
    <m/>
    <n v="0"/>
    <s v="FLINTSL"/>
    <n v="20"/>
    <n v="0"/>
    <n v="709.64757709251103"/>
    <n v="0"/>
    <n v="5"/>
    <n v="17"/>
    <n v="5"/>
    <n v="5"/>
    <n v="5"/>
    <n v="10"/>
    <n v="0"/>
    <n v="180"/>
    <n v="0.8"/>
    <n v="0.2"/>
    <m/>
    <m/>
    <m/>
    <n v="0"/>
    <n v="504"/>
    <n v="0"/>
    <n v="0"/>
    <n v="504"/>
    <n v="504"/>
    <n v="403.20000000000005"/>
    <n v="0"/>
    <n v="100.80000000000001"/>
    <n v="0"/>
    <n v="0"/>
    <n v="0"/>
    <n v="0"/>
    <n v="0"/>
    <n v="0"/>
    <n v="0"/>
    <n v="0"/>
    <n v="0"/>
    <n v="0"/>
    <m/>
    <n v="659"/>
    <n v="1192"/>
    <n v="98"/>
    <s v="FLINTSLFLINTSLFLINTSLFLINTSLFLINTSLFLINTSLFLINTSLFLINTSL"/>
    <s v="+"/>
    <s v="+"/>
    <s v="+"/>
    <s v="+"/>
    <s v="+"/>
    <s v="+"/>
    <s v="+"/>
    <s v="+"/>
  </r>
  <r>
    <d v="2026-01-14T00:00:00"/>
    <s v="B"/>
    <x v="196"/>
    <n v="99"/>
    <n v="2492"/>
    <n v="101500"/>
    <s v="II"/>
    <s v="N"/>
    <n v="2.06"/>
    <s v="BLACK"/>
    <s v="J00997B"/>
    <s v="FLINTSL - BLACK"/>
    <n v="24"/>
    <n v="0"/>
    <m/>
    <m/>
    <n v="0"/>
    <n v="26517000042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9"/>
    <n v="0"/>
    <n v="4.2564102564102555"/>
    <n v="0"/>
    <s v="REFLEX BLUE"/>
    <s v="J00997B"/>
    <s v="FLINTSL - REFLEX BLUE"/>
    <n v="25"/>
    <n v="0"/>
    <m/>
    <m/>
    <n v="0"/>
    <n v="26512000001"/>
    <n v="26514000008"/>
    <n v="26517000042"/>
    <n v="26515000009"/>
    <m/>
    <m/>
    <m/>
    <m/>
    <n v="10"/>
    <e v="#N/A"/>
    <n v="4"/>
    <e v="#N/A"/>
    <n v="1"/>
    <e v="#N/A"/>
    <n v="1"/>
    <e v="#N/A"/>
    <m/>
    <n v="0"/>
    <m/>
    <n v="0"/>
    <m/>
    <n v="0"/>
    <m/>
    <n v="0"/>
    <s v="FLINTSL"/>
    <n v="30"/>
    <n v="0"/>
    <n v="42.92307692307692"/>
    <n v="0"/>
    <s v="GREEN"/>
    <s v="J00997G"/>
    <s v="FLINTSL - GREEN"/>
    <n v="32"/>
    <n v="0"/>
    <m/>
    <m/>
    <n v="0"/>
    <n v="26515000009"/>
    <n v="26512000001"/>
    <m/>
    <m/>
    <m/>
    <m/>
    <m/>
    <m/>
    <n v="2"/>
    <e v="#N/A"/>
    <n v="5"/>
    <e v="#N/A"/>
    <m/>
    <n v="0"/>
    <m/>
    <n v="0"/>
    <m/>
    <n v="0"/>
    <m/>
    <n v="0"/>
    <m/>
    <n v="0"/>
    <m/>
    <n v="0"/>
    <s v="FLINTSL"/>
    <n v="40"/>
    <n v="0"/>
    <n v="3.2564102564102555"/>
    <n v="0"/>
    <s v="CYAN"/>
    <s v="J00997C"/>
    <s v="FLINTSL - CYAN"/>
    <n v="26"/>
    <n v="0"/>
    <m/>
    <m/>
    <n v="0"/>
    <n v="2651200000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9"/>
    <n v="0"/>
    <n v="5.3846153846153868"/>
    <n v="0"/>
    <s v="MAGENTA"/>
    <s v="J00997M"/>
    <s v="FLINTSL - MAGENTA"/>
    <n v="26"/>
    <n v="0"/>
    <m/>
    <m/>
    <n v="0"/>
    <n v="26514000008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0"/>
    <n v="0"/>
    <n v="10.641025641025642"/>
    <n v="0"/>
    <s v="YELLOW"/>
    <s v="J00997Y"/>
    <s v="FLINTSL - YELLOW"/>
    <n v="29"/>
    <n v="0"/>
    <m/>
    <m/>
    <n v="0"/>
    <n v="26515000009"/>
    <s v="FMD"/>
    <m/>
    <m/>
    <m/>
    <m/>
    <m/>
    <m/>
    <n v="10"/>
    <e v="#N/A"/>
    <n v="7"/>
    <n v="0"/>
    <m/>
    <n v="0"/>
    <m/>
    <n v="0"/>
    <m/>
    <n v="0"/>
    <m/>
    <n v="0"/>
    <m/>
    <n v="0"/>
    <m/>
    <n v="0"/>
    <s v="FLINTSL"/>
    <n v="30"/>
    <n v="0"/>
    <n v="41.538461538461533"/>
    <n v="0"/>
    <s v="REFLEX BLUE"/>
    <m/>
    <s v="FLINTSL - REFLEX BLUE"/>
    <m/>
    <n v="0"/>
    <m/>
    <m/>
    <n v="0"/>
    <n v="26512000001"/>
    <s v="FMD"/>
    <n v="26515000003"/>
    <n v="26515000004"/>
    <n v="26515000005"/>
    <n v="26515000006"/>
    <m/>
    <m/>
    <n v="4"/>
    <e v="#N/A"/>
    <n v="10"/>
    <n v="0"/>
    <n v="40"/>
    <e v="#N/A"/>
    <n v="40"/>
    <e v="#N/A"/>
    <n v="120"/>
    <e v="#N/A"/>
    <n v="80"/>
    <e v="#N/A"/>
    <m/>
    <n v="0"/>
    <m/>
    <n v="0"/>
    <s v="FLINTSL"/>
    <n v="33"/>
    <n v="0"/>
    <n v="292.92307692307691"/>
    <n v="0"/>
    <s v="WHITE"/>
    <s v="J00997W"/>
    <s v="FLINTSL - WHITE"/>
    <n v="20"/>
    <n v="0"/>
    <m/>
    <m/>
    <n v="0"/>
    <s v="FW"/>
    <m/>
    <m/>
    <m/>
    <m/>
    <m/>
    <m/>
    <m/>
    <n v="300"/>
    <n v="0"/>
    <m/>
    <n v="0"/>
    <m/>
    <n v="0"/>
    <m/>
    <n v="0"/>
    <m/>
    <n v="0"/>
    <m/>
    <n v="0"/>
    <m/>
    <n v="0"/>
    <m/>
    <n v="0"/>
    <s v="FLINTSL"/>
    <n v="30"/>
    <n v="0"/>
    <n v="673.07692307692309"/>
    <n v="0"/>
    <n v="2"/>
    <n v="15"/>
    <n v="2"/>
    <n v="3"/>
    <n v="5"/>
    <n v="12"/>
    <n v="15"/>
    <n v="180"/>
    <n v="0.8"/>
    <n v="0.2"/>
    <m/>
    <m/>
    <m/>
    <n v="0"/>
    <n v="498"/>
    <n v="0"/>
    <n v="0"/>
    <n v="498"/>
    <n v="498"/>
    <n v="398.40000000000003"/>
    <n v="0"/>
    <n v="99.600000000000009"/>
    <n v="0"/>
    <n v="0"/>
    <n v="0"/>
    <n v="0"/>
    <n v="0"/>
    <n v="0"/>
    <n v="0"/>
    <n v="0"/>
    <n v="0"/>
    <n v="0"/>
    <m/>
    <n v="645"/>
    <n v="1074"/>
    <n v="99"/>
    <s v="FLINTSLFLINTSLFLINTSLFLINTSLFLINTSLFLINTSLFLINTSLFLINTSL"/>
    <s v="+"/>
    <s v="+"/>
    <s v="+"/>
    <s v="+"/>
    <s v="+"/>
    <s v="+"/>
    <s v="+"/>
    <s v="+"/>
  </r>
  <r>
    <d v="2026-01-15T00:00:00"/>
    <s v="A"/>
    <x v="197"/>
    <n v="100"/>
    <n v="519"/>
    <n v="20400"/>
    <s v="II"/>
    <s v="N"/>
    <n v="1.95"/>
    <s v="BLACK"/>
    <s v="J00998B"/>
    <s v="FLINTSL - BLACK"/>
    <n v="29"/>
    <n v="0"/>
    <m/>
    <m/>
    <n v="0"/>
    <n v="2651700004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6.5135135135135158"/>
    <n v="0"/>
    <s v="REFLEX BLUE"/>
    <s v="J00998B"/>
    <s v="FLINTSL - REFLEX BLUE"/>
    <n v="30"/>
    <n v="0"/>
    <m/>
    <m/>
    <n v="0"/>
    <n v="26517000042"/>
    <n v="26507000025"/>
    <n v="26512000001"/>
    <n v="26514000011"/>
    <m/>
    <m/>
    <m/>
    <m/>
    <n v="4"/>
    <e v="#N/A"/>
    <n v="5"/>
    <e v="#N/A"/>
    <n v="10"/>
    <e v="#N/A"/>
    <n v="4"/>
    <e v="#N/A"/>
    <m/>
    <n v="0"/>
    <m/>
    <n v="0"/>
    <m/>
    <n v="0"/>
    <m/>
    <n v="0"/>
    <s v="FLINTSL"/>
    <n v="25"/>
    <n v="0"/>
    <n v="38.54054054054054"/>
    <n v="0"/>
    <s v="CYAN"/>
    <m/>
    <s v="FLINTSL - CYAN"/>
    <m/>
    <n v="0"/>
    <m/>
    <m/>
    <n v="0"/>
    <n v="26512000001"/>
    <s v="FMD"/>
    <m/>
    <m/>
    <m/>
    <m/>
    <m/>
    <m/>
    <n v="6"/>
    <e v="#N/A"/>
    <n v="20"/>
    <n v="0"/>
    <m/>
    <n v="0"/>
    <m/>
    <n v="0"/>
    <m/>
    <n v="0"/>
    <m/>
    <n v="0"/>
    <m/>
    <n v="0"/>
    <m/>
    <n v="0"/>
    <s v="FLINTSL"/>
    <n v="23"/>
    <n v="0"/>
    <n v="11.783783783783782"/>
    <n v="0"/>
    <s v="CYAN"/>
    <s v="J00998C"/>
    <s v="FLINTSL - CYAN"/>
    <n v="29"/>
    <n v="0"/>
    <m/>
    <m/>
    <n v="0"/>
    <n v="2651200000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6.5135135135135158"/>
    <n v="0"/>
    <s v="MAGENTA"/>
    <s v="J00998M"/>
    <s v="FLINTSL - MAGENTA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0"/>
    <n v="4.5135135135135158"/>
    <n v="0"/>
    <s v="YELLOW"/>
    <s v="J00998Y"/>
    <s v="FLINTSL - YELLOW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0"/>
    <n v="4.5135135135135158"/>
    <n v="0"/>
    <s v="MEDIUM"/>
    <s v="C01482M"/>
    <s v="FLINTSL - MEDIUM"/>
    <n v="27"/>
    <n v="0"/>
    <m/>
    <m/>
    <n v="0"/>
    <s v="FW"/>
    <n v="26514000011"/>
    <n v="26513000020"/>
    <m/>
    <m/>
    <m/>
    <m/>
    <m/>
    <n v="50"/>
    <n v="0"/>
    <n v="3"/>
    <e v="#N/A"/>
    <n v="2"/>
    <e v="#N/A"/>
    <m/>
    <n v="0"/>
    <m/>
    <n v="0"/>
    <m/>
    <n v="0"/>
    <m/>
    <n v="0"/>
    <m/>
    <n v="0"/>
    <s v="FLINTSL"/>
    <n v="36"/>
    <n v="0"/>
    <n v="89.918918918918919"/>
    <n v="0"/>
    <s v="WHITE"/>
    <s v="J00998W"/>
    <s v="FLINTSL - WHITE"/>
    <n v="3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30"/>
    <n v="0"/>
    <n v="102.70270270270271"/>
    <n v="0"/>
    <n v="2"/>
    <n v="6"/>
    <n v="5"/>
    <n v="2"/>
    <n v="2"/>
    <n v="2"/>
    <n v="25"/>
    <n v="30"/>
    <n v="0.8"/>
    <n v="0.2"/>
    <m/>
    <m/>
    <m/>
    <n v="0"/>
    <n v="130"/>
    <n v="0"/>
    <n v="0"/>
    <n v="130"/>
    <n v="130"/>
    <n v="104"/>
    <n v="0"/>
    <n v="26"/>
    <n v="0"/>
    <n v="0"/>
    <n v="0"/>
    <n v="0"/>
    <n v="0"/>
    <n v="0"/>
    <n v="0"/>
    <n v="0"/>
    <n v="0"/>
    <n v="0"/>
    <m/>
    <n v="158"/>
    <n v="265"/>
    <n v="100"/>
    <s v="FLINTSLFLINTSLFLINTSLFLINTSLFLINTSLFLINTSLFLINTSLFLINTSL"/>
    <s v="+"/>
    <s v="+"/>
    <s v="+"/>
    <s v="+"/>
    <s v="+"/>
    <s v="+"/>
    <s v="+"/>
    <s v="+"/>
  </r>
  <r>
    <d v="2026-01-15T00:00:00"/>
    <s v="A"/>
    <x v="198"/>
    <n v="101"/>
    <n v="748"/>
    <n v="36300"/>
    <s v="II"/>
    <s v="N"/>
    <n v="1.5"/>
    <s v="BLACK"/>
    <s v="J00999B"/>
    <s v="FLINTSL - BLACK"/>
    <n v="28"/>
    <n v="0"/>
    <m/>
    <m/>
    <n v="0"/>
    <n v="26517000042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5"/>
    <n v="0"/>
    <n v="12.89473684210526"/>
    <n v="0"/>
    <s v="REFLEX BLUE"/>
    <s v="J00998B"/>
    <s v="FLINTSL - REFLEX BLUE"/>
    <n v="33"/>
    <n v="0"/>
    <m/>
    <m/>
    <n v="0"/>
    <n v="26513000011"/>
    <s v="FC"/>
    <m/>
    <m/>
    <m/>
    <m/>
    <m/>
    <m/>
    <n v="1"/>
    <e v="#N/A"/>
    <n v="10"/>
    <n v="0"/>
    <m/>
    <n v="0"/>
    <m/>
    <n v="0"/>
    <m/>
    <n v="0"/>
    <m/>
    <n v="0"/>
    <m/>
    <n v="0"/>
    <m/>
    <n v="0"/>
    <s v="FLINTSL"/>
    <n v="16"/>
    <n v="0"/>
    <n v="36.84210526315789"/>
    <n v="0"/>
    <s v="ORANGE"/>
    <m/>
    <s v="FLINTSL - ORANGE"/>
    <m/>
    <n v="0"/>
    <m/>
    <m/>
    <n v="0"/>
    <n v="26515000010"/>
    <n v="26515000009"/>
    <n v="26514000008"/>
    <n v="26515000016"/>
    <m/>
    <m/>
    <m/>
    <m/>
    <n v="40"/>
    <e v="#N/A"/>
    <n v="10"/>
    <e v="#N/A"/>
    <n v="4"/>
    <e v="#N/A"/>
    <n v="15"/>
    <e v="#N/A"/>
    <m/>
    <n v="0"/>
    <m/>
    <n v="0"/>
    <m/>
    <n v="0"/>
    <m/>
    <n v="0"/>
    <s v="FLINTSL"/>
    <n v="20"/>
    <n v="0"/>
    <n v="57.84210526315789"/>
    <n v="0"/>
    <s v="GREEN"/>
    <m/>
    <s v="FLINTSL - GREEN"/>
    <m/>
    <n v="0"/>
    <m/>
    <m/>
    <n v="0"/>
    <n v="26515000011"/>
    <n v="26515000009"/>
    <s v="FC"/>
    <m/>
    <m/>
    <m/>
    <m/>
    <m/>
    <n v="40"/>
    <e v="#N/A"/>
    <n v="6"/>
    <e v="#N/A"/>
    <n v="6"/>
    <n v="0"/>
    <m/>
    <n v="0"/>
    <m/>
    <n v="0"/>
    <m/>
    <n v="0"/>
    <m/>
    <n v="0"/>
    <m/>
    <n v="0"/>
    <s v="FLINTSL"/>
    <n v="12"/>
    <n v="0"/>
    <n v="48.84210526315789"/>
    <n v="0"/>
    <s v="CYAN"/>
    <s v="J00999C"/>
    <s v="FLINTSL - CYAN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8.8947368421052602"/>
    <n v="0"/>
    <s v="MAGENTA"/>
    <s v="J00999M"/>
    <s v="FLINTSL - MAGENTA"/>
    <n v="29"/>
    <n v="0"/>
    <m/>
    <m/>
    <n v="0"/>
    <n v="26514000006"/>
    <m/>
    <m/>
    <m/>
    <m/>
    <m/>
    <m/>
    <m/>
    <n v="2.5"/>
    <e v="#N/A"/>
    <m/>
    <n v="0"/>
    <m/>
    <n v="0"/>
    <m/>
    <n v="0"/>
    <m/>
    <n v="0"/>
    <m/>
    <n v="0"/>
    <m/>
    <n v="0"/>
    <m/>
    <n v="0"/>
    <s v="FLINTSL"/>
    <n v="28"/>
    <n v="0"/>
    <n v="6.4473684210526301"/>
    <n v="0"/>
    <s v="YELLOW"/>
    <s v="J00999Y"/>
    <s v="FLINTSL - YELLOW"/>
    <n v="29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8"/>
    <n v="0"/>
    <n v="10.89473684210526"/>
    <n v="0"/>
    <s v="WHITE"/>
    <s v="J00999W"/>
    <s v="FLINTSL - WHITE"/>
    <n v="30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276.84210526315792"/>
    <n v="0"/>
    <n v="2"/>
    <n v="3"/>
    <n v="3"/>
    <n v="3"/>
    <n v="2"/>
    <n v="1"/>
    <n v="2"/>
    <n v="60"/>
    <n v="0.8"/>
    <n v="0.2"/>
    <m/>
    <m/>
    <m/>
    <n v="0"/>
    <n v="224"/>
    <n v="0"/>
    <n v="0"/>
    <n v="224"/>
    <n v="224"/>
    <n v="179.20000000000002"/>
    <n v="0"/>
    <n v="44.800000000000004"/>
    <n v="0"/>
    <n v="0"/>
    <n v="0"/>
    <n v="0"/>
    <n v="0"/>
    <n v="0"/>
    <n v="0"/>
    <n v="0"/>
    <n v="0"/>
    <n v="0"/>
    <m/>
    <n v="242.5"/>
    <n v="459.5"/>
    <n v="101"/>
    <s v="FLINTSLFLINTSLFLINTSLFLINTSLFLINTSLFLINTSLFLINTSLFLINTSL"/>
    <s v="+"/>
    <s v="+"/>
    <s v="+"/>
    <s v="+"/>
    <s v="+"/>
    <s v="+"/>
    <s v="+"/>
    <s v="+"/>
  </r>
  <r>
    <d v="2026-01-15T00:00:00"/>
    <s v="A"/>
    <x v="199"/>
    <n v="102"/>
    <n v="1952"/>
    <n v="102900"/>
    <s v="I"/>
    <s v="N"/>
    <n v="3.2"/>
    <s v="BLACK"/>
    <m/>
    <s v="FLINTSL - BLACK"/>
    <m/>
    <n v="0"/>
    <m/>
    <m/>
    <n v="0"/>
    <n v="26519000013"/>
    <s v="FMD"/>
    <m/>
    <m/>
    <m/>
    <m/>
    <m/>
    <m/>
    <n v="15"/>
    <e v="#N/A"/>
    <n v="3"/>
    <n v="0"/>
    <m/>
    <n v="0"/>
    <m/>
    <n v="0"/>
    <m/>
    <n v="0"/>
    <m/>
    <n v="0"/>
    <m/>
    <n v="0"/>
    <m/>
    <n v="0"/>
    <s v="FLINTSL"/>
    <n v="25"/>
    <n v="0"/>
    <n v="52.341216216216225"/>
    <n v="0"/>
    <s v="GREEN"/>
    <s v="C01446G"/>
    <s v="FLINTSL - GREEN"/>
    <n v="24"/>
    <n v="0"/>
    <m/>
    <m/>
    <n v="0"/>
    <n v="26519000013"/>
    <m/>
    <m/>
    <m/>
    <m/>
    <m/>
    <m/>
    <m/>
    <n v="0.2"/>
    <e v="#N/A"/>
    <m/>
    <n v="0"/>
    <m/>
    <n v="0"/>
    <m/>
    <n v="0"/>
    <m/>
    <n v="0"/>
    <m/>
    <n v="0"/>
    <m/>
    <n v="0"/>
    <m/>
    <n v="0"/>
    <s v="FLINTSL"/>
    <n v="20"/>
    <n v="0"/>
    <n v="23.980405405405406"/>
    <n v="0"/>
    <s v="RED"/>
    <m/>
    <s v="FLINTSL - RED"/>
    <m/>
    <n v="0"/>
    <m/>
    <m/>
    <n v="0"/>
    <n v="26515000013"/>
    <n v="26519000013"/>
    <n v="26514000008"/>
    <n v="26515000012"/>
    <m/>
    <m/>
    <m/>
    <m/>
    <n v="8"/>
    <e v="#N/A"/>
    <n v="0.5"/>
    <e v="#N/A"/>
    <n v="4"/>
    <e v="#N/A"/>
    <n v="24.8"/>
    <e v="#N/A"/>
    <m/>
    <n v="0"/>
    <m/>
    <n v="0"/>
    <m/>
    <n v="0"/>
    <m/>
    <n v="0"/>
    <s v="FLINTSL"/>
    <n v="28"/>
    <n v="0"/>
    <n v="17.212162162162159"/>
    <n v="0"/>
    <s v="RED"/>
    <m/>
    <s v="FLINTSL - RED"/>
    <m/>
    <n v="0"/>
    <m/>
    <m/>
    <n v="0"/>
    <n v="26515000014"/>
    <n v="26519000013"/>
    <n v="26514000008"/>
    <m/>
    <m/>
    <m/>
    <m/>
    <m/>
    <n v="25"/>
    <e v="#N/A"/>
    <n v="3"/>
    <e v="#N/A"/>
    <m/>
    <n v="0"/>
    <m/>
    <n v="0"/>
    <m/>
    <n v="0"/>
    <m/>
    <n v="0"/>
    <m/>
    <n v="0"/>
    <m/>
    <n v="0"/>
    <s v="FLINTSL"/>
    <n v="22"/>
    <n v="0"/>
    <n v="13.912162162162161"/>
    <n v="0"/>
    <s v="MEDIUM"/>
    <m/>
    <s v="FLINTSL - MEDIUM"/>
    <m/>
    <n v="0"/>
    <m/>
    <m/>
    <n v="0"/>
    <n v="26515000008"/>
    <n v="26515000018"/>
    <n v="26515000024"/>
    <n v="26515000027"/>
    <n v="26514000012"/>
    <m/>
    <m/>
    <m/>
    <n v="130"/>
    <e v="#N/A"/>
    <n v="130"/>
    <e v="#N/A"/>
    <n v="60"/>
    <e v="#N/A"/>
    <n v="20"/>
    <e v="#N/A"/>
    <n v="40"/>
    <e v="#N/A"/>
    <m/>
    <n v="0"/>
    <m/>
    <n v="0"/>
    <m/>
    <n v="0"/>
    <s v="FLINTSL"/>
    <n v="20"/>
    <n v="0"/>
    <n v="367.91216216216219"/>
    <n v="0"/>
    <s v="WHITE"/>
    <m/>
    <s v="FLINTSL - WHITE"/>
    <m/>
    <n v="0"/>
    <m/>
    <m/>
    <n v="0"/>
    <s v="FW"/>
    <m/>
    <m/>
    <m/>
    <m/>
    <m/>
    <m/>
    <m/>
    <n v="360"/>
    <n v="0"/>
    <m/>
    <n v="0"/>
    <m/>
    <n v="0"/>
    <m/>
    <n v="0"/>
    <m/>
    <n v="0"/>
    <m/>
    <n v="0"/>
    <m/>
    <n v="0"/>
    <m/>
    <n v="0"/>
    <s v="FLINTSL"/>
    <n v="30"/>
    <n v="0"/>
    <n v="1042.0945945945946"/>
    <n v="0"/>
    <s v="MATT"/>
    <s v="N00944M"/>
    <s v="ToyoLi - MATT"/>
    <n v="23"/>
    <n v="0"/>
    <m/>
    <m/>
    <n v="0"/>
    <n v="55"/>
    <s v="NWBBK"/>
    <m/>
    <m/>
    <m/>
    <m/>
    <m/>
    <m/>
    <n v="340"/>
    <n v="0"/>
    <n v="87"/>
    <n v="0"/>
    <m/>
    <n v="0"/>
    <m/>
    <n v="0"/>
    <m/>
    <n v="0"/>
    <m/>
    <n v="0"/>
    <m/>
    <n v="0"/>
    <m/>
    <n v="0"/>
    <s v="ToyoLi"/>
    <n v="30"/>
    <n v="0"/>
    <n v="776.0472972972972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5"/>
    <n v="5"/>
    <n v="2"/>
    <n v="2"/>
    <n v="2"/>
    <n v="180"/>
    <n v="90"/>
    <n v="0"/>
    <n v="0.8"/>
    <n v="0.2"/>
    <m/>
    <m/>
    <m/>
    <n v="0"/>
    <n v="1171"/>
    <n v="0"/>
    <n v="0"/>
    <n v="1171"/>
    <n v="1171"/>
    <n v="936.80000000000007"/>
    <n v="0"/>
    <n v="234.20000000000002"/>
    <n v="0"/>
    <n v="0"/>
    <n v="0"/>
    <n v="0"/>
    <n v="0"/>
    <n v="0"/>
    <n v="0"/>
    <n v="0"/>
    <n v="0"/>
    <n v="0"/>
    <m/>
    <n v="1250.5"/>
    <n v="2293.5"/>
    <n v="102"/>
    <s v="FLINTSLFLINTSLFLINTSLFLINTSLFLINTSLFLINTSLToyoLi"/>
    <s v="+"/>
    <s v="+"/>
    <s v="+"/>
    <s v="+"/>
    <s v="+"/>
    <s v="+"/>
    <s v="+"/>
    <s v="NIL"/>
  </r>
  <r>
    <d v="2026-01-15T00:00:00"/>
    <s v="A"/>
    <x v="200"/>
    <n v="103"/>
    <n v="1134"/>
    <n v="63500"/>
    <s v="II"/>
    <s v="N"/>
    <n v="1.2"/>
    <s v="BLACK"/>
    <s v="C01484B"/>
    <s v="FLINTSL - BLACK"/>
    <n v="25"/>
    <n v="0"/>
    <m/>
    <m/>
    <n v="0"/>
    <n v="26517000042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5"/>
    <n v="0"/>
    <n v="12.107784431137723"/>
    <n v="0"/>
    <s v="RED"/>
    <s v="N00841R"/>
    <s v="FLINTSL - RED"/>
    <n v="22"/>
    <n v="0"/>
    <m/>
    <m/>
    <n v="0"/>
    <n v="26516000012"/>
    <n v="26513000020"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8"/>
    <n v="0"/>
    <n v="10.179640718562872"/>
    <n v="0"/>
    <s v="CYAN"/>
    <s v="C01484C"/>
    <s v="FLINTSL - CYAN"/>
    <n v="25"/>
    <n v="0"/>
    <m/>
    <m/>
    <n v="0"/>
    <n v="26512000001"/>
    <s v="FMD"/>
    <m/>
    <m/>
    <m/>
    <m/>
    <m/>
    <m/>
    <n v="10"/>
    <e v="#N/A"/>
    <n v="10"/>
    <n v="0"/>
    <m/>
    <n v="0"/>
    <m/>
    <n v="0"/>
    <m/>
    <n v="0"/>
    <m/>
    <n v="0"/>
    <m/>
    <n v="0"/>
    <m/>
    <n v="0"/>
    <s v="FLINTSL"/>
    <n v="27"/>
    <n v="0"/>
    <n v="38.359281437125745"/>
    <n v="0"/>
    <s v="MAGENTA"/>
    <s v="C01484M"/>
    <s v="FLINTSL - MAGENTA"/>
    <n v="28"/>
    <n v="0"/>
    <m/>
    <m/>
    <n v="0"/>
    <n v="26514000008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5"/>
    <n v="0"/>
    <n v="10.071856287425149"/>
    <n v="0"/>
    <s v="YELLOW"/>
    <s v="C01484Y"/>
    <s v="FLINTSL - YELLOW"/>
    <n v="28"/>
    <n v="0"/>
    <m/>
    <m/>
    <n v="0"/>
    <s v="FMD"/>
    <n v="26516000007"/>
    <s v="FW"/>
    <n v="26512000001"/>
    <m/>
    <m/>
    <m/>
    <m/>
    <n v="10"/>
    <n v="0"/>
    <n v="43"/>
    <e v="#N/A"/>
    <n v="10"/>
    <n v="0"/>
    <n v="0.4"/>
    <e v="#N/A"/>
    <m/>
    <n v="0"/>
    <m/>
    <n v="0"/>
    <m/>
    <n v="0"/>
    <m/>
    <n v="0"/>
    <s v="FLINTSL"/>
    <n v="38"/>
    <n v="0"/>
    <n v="108.37005988023952"/>
    <n v="0"/>
    <s v="WHITE"/>
    <s v="C01484W"/>
    <s v="FLINTSL - WHITE"/>
    <n v="30"/>
    <n v="0"/>
    <m/>
    <m/>
    <n v="0"/>
    <s v="FW"/>
    <m/>
    <m/>
    <m/>
    <m/>
    <m/>
    <m/>
    <m/>
    <n v="200"/>
    <n v="0"/>
    <m/>
    <n v="0"/>
    <m/>
    <n v="0"/>
    <m/>
    <n v="0"/>
    <m/>
    <n v="0"/>
    <m/>
    <n v="0"/>
    <m/>
    <n v="0"/>
    <m/>
    <n v="0"/>
    <s v="FLINTSL"/>
    <n v="30"/>
    <n v="0"/>
    <n v="444.3113772455089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5"/>
    <n v="10"/>
    <n v="2"/>
    <n v="27"/>
    <n v="120"/>
    <n v="0"/>
    <n v="0"/>
    <n v="0.8"/>
    <n v="0.2"/>
    <m/>
    <m/>
    <m/>
    <n v="0"/>
    <n v="340"/>
    <n v="0"/>
    <n v="0"/>
    <n v="340"/>
    <n v="340"/>
    <n v="272"/>
    <n v="0"/>
    <n v="68"/>
    <n v="0"/>
    <n v="0"/>
    <n v="0"/>
    <n v="0"/>
    <n v="0"/>
    <n v="0"/>
    <n v="0"/>
    <n v="0"/>
    <n v="0"/>
    <n v="0"/>
    <m/>
    <n v="298.39999999999998"/>
    <n v="623.4"/>
    <n v="103"/>
    <s v="FLINTSLFLINTSLFLINTSLFLINTSLFLINTSLFLINTSL"/>
    <s v="+"/>
    <s v="+"/>
    <s v="+"/>
    <s v="+"/>
    <s v="+"/>
    <s v="+"/>
    <s v="NIL"/>
    <s v="NIL"/>
  </r>
  <r>
    <d v="2026-01-15T00:00:00"/>
    <s v="A"/>
    <x v="201"/>
    <n v="104"/>
    <n v="207"/>
    <n v="11600"/>
    <s v="II"/>
    <s v="N"/>
    <n v="1.81"/>
    <s v="BLACK"/>
    <s v="G00385B"/>
    <s v="FLINTSL - BLACK"/>
    <n v="25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0"/>
    <n v="0"/>
    <n v="5"/>
    <n v="0"/>
    <s v="REFLEX BLUE"/>
    <m/>
    <s v="FLINTSL - REFLEX BLUE"/>
    <m/>
    <n v="0"/>
    <m/>
    <m/>
    <n v="0"/>
    <s v="FMD"/>
    <n v="26515000019"/>
    <n v="26515000021"/>
    <m/>
    <m/>
    <m/>
    <m/>
    <m/>
    <n v="4"/>
    <n v="0"/>
    <n v="20"/>
    <e v="#N/A"/>
    <n v="15"/>
    <e v="#N/A"/>
    <m/>
    <n v="0"/>
    <m/>
    <n v="0"/>
    <m/>
    <n v="0"/>
    <m/>
    <n v="0"/>
    <m/>
    <n v="0"/>
    <s v="FLINTSL"/>
    <n v="24"/>
    <n v="0"/>
    <n v="28.090909090909093"/>
    <n v="0"/>
    <s v="GREEN"/>
    <m/>
    <s v="FLINTSL - GREEN"/>
    <m/>
    <n v="0"/>
    <m/>
    <m/>
    <n v="0"/>
    <s v="FMD"/>
    <n v="26515000020"/>
    <n v="26515000022"/>
    <n v="26513000020"/>
    <m/>
    <m/>
    <m/>
    <m/>
    <n v="3"/>
    <n v="0"/>
    <n v="20"/>
    <e v="#N/A"/>
    <n v="15"/>
    <e v="#N/A"/>
    <n v="0.5"/>
    <e v="#N/A"/>
    <m/>
    <n v="0"/>
    <m/>
    <n v="0"/>
    <m/>
    <n v="0"/>
    <m/>
    <n v="0"/>
    <s v="FLINTSL"/>
    <n v="21"/>
    <n v="0"/>
    <n v="27.318181818181813"/>
    <n v="0"/>
    <s v="WHITE"/>
    <s v="G00385W"/>
    <s v="FLINTSL - WHITE"/>
    <n v="30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28"/>
    <n v="0"/>
    <n v="91.09090909090909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0"/>
    <n v="4"/>
    <n v="3"/>
    <n v="15"/>
    <n v="0"/>
    <n v="0"/>
    <n v="0"/>
    <n v="0"/>
    <n v="0.8"/>
    <n v="0.2"/>
    <m/>
    <m/>
    <m/>
    <n v="0"/>
    <n v="72"/>
    <n v="0"/>
    <n v="0"/>
    <n v="72"/>
    <n v="72"/>
    <n v="57.6"/>
    <n v="0"/>
    <n v="14.4"/>
    <n v="0"/>
    <n v="0"/>
    <n v="0"/>
    <n v="0"/>
    <n v="0"/>
    <n v="0"/>
    <n v="0"/>
    <n v="0"/>
    <n v="0"/>
    <n v="0"/>
    <m/>
    <n v="117.5"/>
    <n v="151.5"/>
    <n v="104"/>
    <s v="FLINTSLFLINTSLFLINTSLFLINTSL"/>
    <s v="+"/>
    <s v="+"/>
    <s v="+"/>
    <s v="+"/>
    <s v="NIL"/>
    <s v="NIL"/>
    <s v="NIL"/>
    <s v="NIL"/>
  </r>
  <r>
    <d v="2026-01-15T00:00:00"/>
    <s v="B"/>
    <x v="202"/>
    <n v="105"/>
    <n v="864"/>
    <n v="61600"/>
    <s v="II"/>
    <s v="N"/>
    <n v="0.67"/>
    <s v="BLACK"/>
    <s v="G00390B"/>
    <s v="FLINTSL - BLACK"/>
    <n v="20"/>
    <n v="0"/>
    <m/>
    <m/>
    <n v="0"/>
    <n v="26519000013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19"/>
    <n v="0"/>
    <n v="35"/>
    <n v="0"/>
    <s v="REFLEX BLUE"/>
    <s v="C01433B"/>
    <s v="FLINTSL - REFLEX BLUE"/>
    <n v="5"/>
    <n v="0"/>
    <m/>
    <m/>
    <n v="0"/>
    <n v="26512000002"/>
    <n v="26513000011"/>
    <n v="26514000008"/>
    <n v="26512000001"/>
    <m/>
    <m/>
    <m/>
    <m/>
    <n v="3"/>
    <e v="#N/A"/>
    <n v="6"/>
    <e v="#N/A"/>
    <n v="2"/>
    <e v="#N/A"/>
    <n v="4"/>
    <e v="#N/A"/>
    <m/>
    <n v="0"/>
    <m/>
    <n v="0"/>
    <m/>
    <n v="0"/>
    <m/>
    <n v="0"/>
    <s v="FLINTSL"/>
    <n v="24"/>
    <n v="0"/>
    <n v="28"/>
    <n v="0"/>
    <s v="BLACK"/>
    <s v="C01489B"/>
    <s v="FLINTSL - BLACK"/>
    <n v="10"/>
    <n v="0"/>
    <s v="F01016B/C01446B"/>
    <n v="35"/>
    <n v="0"/>
    <n v="26515000023"/>
    <n v="26515000028"/>
    <n v="26515000026"/>
    <n v="26514000008"/>
    <n v="26519000013"/>
    <m/>
    <m/>
    <m/>
    <n v="30"/>
    <e v="#N/A"/>
    <n v="80"/>
    <e v="#N/A"/>
    <n v="40"/>
    <e v="#N/A"/>
    <n v="7"/>
    <e v="#N/A"/>
    <n v="2"/>
    <e v="#N/A"/>
    <m/>
    <n v="0"/>
    <m/>
    <n v="0"/>
    <m/>
    <n v="0"/>
    <s v="FLINTSL"/>
    <n v="27"/>
    <n v="0"/>
    <n v="217"/>
    <n v="0"/>
    <s v="CYAN"/>
    <s v="G00385C"/>
    <s v="FLINTSL - CYAN"/>
    <n v="27"/>
    <n v="0"/>
    <m/>
    <m/>
    <n v="0"/>
    <n v="2651200000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21"/>
    <n v="0"/>
    <s v="MAGENTA"/>
    <s v="G00385M"/>
    <s v="FLINTSL - MAGENTA"/>
    <n v="25"/>
    <n v="0"/>
    <s v="C01424M"/>
    <n v="30"/>
    <n v="0"/>
    <n v="26517000011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9"/>
    <n v="0"/>
    <n v="51"/>
    <n v="0"/>
    <s v="YELLOW"/>
    <s v="G00385Y"/>
    <s v="FLINTSL - YELLOW"/>
    <n v="20"/>
    <n v="0"/>
    <m/>
    <m/>
    <n v="0"/>
    <n v="26516000005"/>
    <s v="FMD"/>
    <m/>
    <m/>
    <m/>
    <m/>
    <m/>
    <m/>
    <n v="30"/>
    <e v="#N/A"/>
    <n v="10"/>
    <n v="0"/>
    <m/>
    <n v="0"/>
    <m/>
    <n v="0"/>
    <m/>
    <n v="0"/>
    <m/>
    <n v="0"/>
    <m/>
    <n v="0"/>
    <m/>
    <n v="0"/>
    <s v="FLINTSL"/>
    <n v="19"/>
    <n v="0"/>
    <n v="12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7"/>
    <n v="8"/>
    <n v="10"/>
    <n v="4"/>
    <n v="5"/>
    <n v="20"/>
    <n v="0"/>
    <n v="0"/>
    <n v="0.8"/>
    <n v="0.2"/>
    <m/>
    <m/>
    <m/>
    <n v="0"/>
    <n v="216"/>
    <n v="0"/>
    <n v="0"/>
    <n v="216"/>
    <n v="216"/>
    <n v="172.8"/>
    <n v="0"/>
    <n v="43.2"/>
    <n v="0"/>
    <n v="0"/>
    <n v="0"/>
    <n v="0"/>
    <n v="0"/>
    <n v="0"/>
    <n v="0"/>
    <n v="0"/>
    <n v="0"/>
    <n v="0"/>
    <m/>
    <n v="227"/>
    <n v="473"/>
    <n v="105"/>
    <s v="FLINTSLFLINTSLFLINTSLFLINTSLFLINTSLFLINTSL"/>
    <s v="+"/>
    <s v="+"/>
    <s v="+"/>
    <s v="+"/>
    <s v="+"/>
    <s v="+"/>
    <s v="NIL"/>
    <s v="NIL"/>
  </r>
  <r>
    <d v="2026-01-15T00:00:00"/>
    <s v="B"/>
    <x v="203"/>
    <n v="106"/>
    <n v="384"/>
    <n v="15200"/>
    <s v="I"/>
    <s v="N"/>
    <n v="3.7199999999999998"/>
    <s v="BLACK"/>
    <s v="C01474B"/>
    <s v="FLINTSL - BLACK"/>
    <n v="25"/>
    <n v="0"/>
    <m/>
    <m/>
    <n v="0"/>
    <n v="26519000013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7"/>
    <n v="0"/>
    <n v="6.8227848101265849"/>
    <n v="0"/>
    <s v="RED"/>
    <m/>
    <s v="FLINTSL - RED"/>
    <m/>
    <n v="0"/>
    <m/>
    <m/>
    <n v="0"/>
    <n v="26515000017"/>
    <n v="26515000030"/>
    <n v="26517000011"/>
    <m/>
    <m/>
    <m/>
    <m/>
    <m/>
    <n v="20"/>
    <e v="#N/A"/>
    <n v="40"/>
    <e v="#N/A"/>
    <n v="6"/>
    <e v="#N/A"/>
    <m/>
    <n v="0"/>
    <m/>
    <n v="0"/>
    <m/>
    <n v="0"/>
    <m/>
    <n v="0"/>
    <m/>
    <n v="0"/>
    <s v="FLINTSL"/>
    <n v="25"/>
    <n v="0"/>
    <n v="64.291139240506325"/>
    <n v="0"/>
    <s v="CYAN"/>
    <m/>
    <s v="FLINTSL - CYAN"/>
    <m/>
    <n v="0"/>
    <m/>
    <m/>
    <n v="0"/>
    <n v="26512000001"/>
    <s v="FMD"/>
    <m/>
    <m/>
    <m/>
    <m/>
    <m/>
    <m/>
    <n v="15"/>
    <e v="#N/A"/>
    <n v="5"/>
    <n v="0"/>
    <m/>
    <n v="0"/>
    <m/>
    <n v="0"/>
    <m/>
    <n v="0"/>
    <m/>
    <n v="0"/>
    <m/>
    <n v="0"/>
    <m/>
    <n v="0"/>
    <s v="FLINTSL"/>
    <n v="27"/>
    <n v="0"/>
    <n v="22.113924050632917"/>
    <n v="0"/>
    <s v="MAGENTA"/>
    <m/>
    <s v="FLINTSL - MAGENTA"/>
    <m/>
    <n v="0"/>
    <m/>
    <m/>
    <n v="0"/>
    <n v="26517000011"/>
    <s v="FMD"/>
    <m/>
    <m/>
    <m/>
    <m/>
    <m/>
    <m/>
    <n v="16"/>
    <e v="#N/A"/>
    <n v="4"/>
    <n v="0"/>
    <m/>
    <n v="0"/>
    <m/>
    <n v="0"/>
    <m/>
    <n v="0"/>
    <m/>
    <n v="0"/>
    <m/>
    <n v="0"/>
    <m/>
    <n v="0"/>
    <s v="FLINTSL"/>
    <n v="20"/>
    <n v="0"/>
    <n v="23.291139240506325"/>
    <n v="0"/>
    <s v="YELLOW"/>
    <m/>
    <s v="FLINTSL - YELLOW"/>
    <m/>
    <n v="0"/>
    <m/>
    <m/>
    <n v="0"/>
    <n v="26515000009"/>
    <s v="FMD"/>
    <m/>
    <m/>
    <m/>
    <m/>
    <m/>
    <m/>
    <n v="20"/>
    <e v="#N/A"/>
    <n v="5"/>
    <n v="0"/>
    <m/>
    <n v="0"/>
    <m/>
    <n v="0"/>
    <m/>
    <n v="0"/>
    <m/>
    <n v="0"/>
    <m/>
    <n v="0"/>
    <m/>
    <n v="0"/>
    <s v="FLINTSL"/>
    <n v="28"/>
    <n v="0"/>
    <n v="26.113924050632917"/>
    <n v="0"/>
    <s v="GREEN"/>
    <m/>
    <s v="FLINTSL - GREEN"/>
    <m/>
    <n v="0"/>
    <m/>
    <m/>
    <n v="0"/>
    <s v="FMD"/>
    <n v="26515000009"/>
    <n v="26512000001"/>
    <m/>
    <m/>
    <m/>
    <m/>
    <m/>
    <n v="20"/>
    <n v="0"/>
    <n v="0.5"/>
    <e v="#N/A"/>
    <n v="0.3"/>
    <e v="#N/A"/>
    <m/>
    <n v="0"/>
    <m/>
    <n v="0"/>
    <m/>
    <n v="0"/>
    <m/>
    <n v="0"/>
    <m/>
    <n v="0"/>
    <s v="FLINTSL"/>
    <n v="20"/>
    <n v="0"/>
    <n v="18.268354430379745"/>
    <n v="0"/>
    <s v="WHITE"/>
    <s v="C01474W"/>
    <s v="FLINTSL - WHITE"/>
    <n v="30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25"/>
    <n v="0"/>
    <n v="103.22784810126583"/>
    <n v="0"/>
    <s v="MATT"/>
    <s v="C01474M"/>
    <s v="ToyoLi - MATT"/>
    <n v="30"/>
    <n v="0"/>
    <m/>
    <m/>
    <n v="0"/>
    <n v="55"/>
    <s v="NWBBK"/>
    <m/>
    <m/>
    <m/>
    <m/>
    <m/>
    <m/>
    <n v="80"/>
    <n v="0"/>
    <n v="20"/>
    <n v="0"/>
    <m/>
    <n v="0"/>
    <m/>
    <n v="0"/>
    <m/>
    <n v="0"/>
    <m/>
    <n v="0"/>
    <m/>
    <n v="0"/>
    <m/>
    <n v="0"/>
    <s v="ToyoLi"/>
    <n v="25"/>
    <n v="0"/>
    <n v="148.67088607594937"/>
    <n v="0"/>
    <n v="2"/>
    <n v="8"/>
    <n v="10"/>
    <n v="8"/>
    <n v="10"/>
    <n v="6"/>
    <n v="20"/>
    <n v="15"/>
    <n v="0.8"/>
    <n v="0.2"/>
    <m/>
    <m/>
    <m/>
    <n v="0"/>
    <n v="230"/>
    <n v="0"/>
    <n v="0"/>
    <n v="230"/>
    <n v="230"/>
    <n v="184"/>
    <n v="0"/>
    <n v="46"/>
    <n v="0"/>
    <n v="0"/>
    <n v="0"/>
    <n v="0"/>
    <n v="0"/>
    <n v="0"/>
    <n v="0"/>
    <n v="0"/>
    <n v="0"/>
    <n v="0"/>
    <m/>
    <n v="294.8"/>
    <n v="412.80000000000007"/>
    <n v="106"/>
    <s v="FLINTSLFLINTSLFLINTSLFLINTSLFLINTSLFLINTSLFLINTSLToyoLi"/>
    <s v="+"/>
    <s v="+"/>
    <s v="+"/>
    <s v="+"/>
    <s v="+"/>
    <s v="+"/>
    <s v="+"/>
    <s v="+"/>
  </r>
  <r>
    <d v="2026-01-15T00:00:00"/>
    <s v="B"/>
    <x v="204"/>
    <n v="107"/>
    <n v="384"/>
    <n v="15200"/>
    <s v="I"/>
    <s v="N"/>
    <n v="3.67"/>
    <s v="BLACK"/>
    <s v="J00957B"/>
    <s v="FLINTSL - BLACK"/>
    <n v="27"/>
    <n v="0"/>
    <m/>
    <m/>
    <n v="0"/>
    <n v="26519000013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8"/>
    <n v="0"/>
    <n v="11"/>
    <n v="0"/>
    <s v="GREEN"/>
    <m/>
    <s v="FLINTSL - GREEN"/>
    <m/>
    <n v="0"/>
    <m/>
    <m/>
    <n v="0"/>
    <n v="26515000031"/>
    <n v="26516000001"/>
    <n v="26512000001"/>
    <m/>
    <m/>
    <m/>
    <m/>
    <m/>
    <n v="40"/>
    <e v="#N/A"/>
    <n v="40"/>
    <e v="#N/A"/>
    <n v="2"/>
    <e v="#N/A"/>
    <m/>
    <n v="0"/>
    <m/>
    <n v="0"/>
    <m/>
    <n v="0"/>
    <m/>
    <n v="0"/>
    <m/>
    <n v="0"/>
    <s v="FLINTSL"/>
    <n v="45"/>
    <n v="0"/>
    <n v="45"/>
    <n v="0"/>
    <s v="CYAN"/>
    <s v="J00957C"/>
    <s v="FLINTSL - CYAN"/>
    <n v="27"/>
    <n v="0"/>
    <m/>
    <m/>
    <n v="0"/>
    <n v="26512000001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8"/>
    <n v="0"/>
    <n v="10"/>
    <n v="0"/>
    <s v="MAGENTA"/>
    <s v="J00957M"/>
    <s v="FLINTSL - MAGENTA"/>
    <n v="20"/>
    <n v="0"/>
    <m/>
    <m/>
    <n v="0"/>
    <n v="26517000011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6"/>
    <n v="0"/>
    <n v="19"/>
    <n v="0"/>
    <s v="YELLOW"/>
    <s v="J00957Y"/>
    <s v="FLINTSL - YELLOW"/>
    <n v="28"/>
    <n v="0"/>
    <m/>
    <m/>
    <n v="0"/>
    <n v="26516000007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2"/>
    <n v="0"/>
    <n v="48"/>
    <n v="0"/>
    <s v="RED"/>
    <m/>
    <s v="FLINTSL - RED"/>
    <m/>
    <n v="0"/>
    <m/>
    <m/>
    <n v="0"/>
    <s v="FMD"/>
    <n v="26517000011"/>
    <n v="26512000002"/>
    <m/>
    <m/>
    <m/>
    <m/>
    <m/>
    <n v="20"/>
    <n v="0"/>
    <n v="1"/>
    <e v="#N/A"/>
    <n v="0.5"/>
    <e v="#N/A"/>
    <m/>
    <n v="0"/>
    <m/>
    <n v="0"/>
    <m/>
    <n v="0"/>
    <m/>
    <n v="0"/>
    <m/>
    <n v="0"/>
    <s v="FLINTSL"/>
    <n v="18"/>
    <n v="0"/>
    <n v="23.5"/>
    <n v="0"/>
    <s v="WHITE"/>
    <s v="J00957W"/>
    <s v="FLINTSL - WHITE"/>
    <n v="25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20"/>
    <n v="0"/>
    <n v="125"/>
    <n v="0"/>
    <s v="MATT"/>
    <s v="J00957M"/>
    <s v="ToyoLi - MATT"/>
    <n v="25"/>
    <n v="0"/>
    <m/>
    <m/>
    <n v="0"/>
    <n v="55"/>
    <s v="NWBBK"/>
    <m/>
    <m/>
    <m/>
    <m/>
    <m/>
    <m/>
    <n v="80"/>
    <n v="0"/>
    <n v="20"/>
    <n v="0"/>
    <m/>
    <n v="0"/>
    <m/>
    <n v="0"/>
    <m/>
    <n v="0"/>
    <m/>
    <n v="0"/>
    <m/>
    <n v="0"/>
    <m/>
    <n v="0"/>
    <s v="ToyoLi"/>
    <n v="20"/>
    <n v="0"/>
    <n v="145"/>
    <n v="0"/>
    <n v="2"/>
    <n v="2"/>
    <n v="2"/>
    <n v="5"/>
    <n v="8"/>
    <n v="5"/>
    <n v="20"/>
    <n v="10"/>
    <n v="0.8"/>
    <n v="0.2"/>
    <m/>
    <m/>
    <m/>
    <n v="0"/>
    <n v="216"/>
    <n v="0"/>
    <n v="0"/>
    <n v="216"/>
    <n v="216"/>
    <n v="172.8"/>
    <n v="0"/>
    <n v="43.2"/>
    <n v="0"/>
    <n v="0"/>
    <n v="0"/>
    <n v="0"/>
    <n v="0"/>
    <n v="0"/>
    <n v="0"/>
    <n v="0"/>
    <n v="0"/>
    <n v="0"/>
    <m/>
    <n v="265.5"/>
    <n v="426.5"/>
    <n v="107"/>
    <s v="FLINTSLFLINTSLFLINTSLFLINTSLFLINTSLFLINTSLFLINTSLToyoLi"/>
    <s v="+"/>
    <s v="+"/>
    <s v="+"/>
    <s v="+"/>
    <s v="+"/>
    <s v="+"/>
    <s v="+"/>
    <s v="+"/>
  </r>
  <r>
    <d v="2026-01-15T00:00:00"/>
    <s v="B"/>
    <x v="205"/>
    <n v="108"/>
    <n v="379"/>
    <n v="15000"/>
    <s v="I"/>
    <s v="N"/>
    <n v="3.78"/>
    <s v="BLACK"/>
    <s v="J00958B"/>
    <s v="FLINTSL - BLACK"/>
    <n v="28"/>
    <n v="0"/>
    <m/>
    <m/>
    <n v="0"/>
    <n v="2652000000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7"/>
    <n v="0"/>
    <n v="12.03846153846154"/>
    <n v="0"/>
    <m/>
    <m/>
    <s v="FLINTSL - "/>
    <m/>
    <n v="0"/>
    <m/>
    <m/>
    <n v="0"/>
    <n v="26516000003"/>
    <n v="26516000004"/>
    <m/>
    <m/>
    <m/>
    <m/>
    <m/>
    <m/>
    <n v="40"/>
    <e v="#N/A"/>
    <n v="30"/>
    <e v="#N/A"/>
    <m/>
    <n v="0"/>
    <m/>
    <n v="0"/>
    <m/>
    <n v="0"/>
    <m/>
    <n v="0"/>
    <m/>
    <n v="0"/>
    <m/>
    <n v="0"/>
    <s v="FLINTSL"/>
    <n v="40"/>
    <n v="0"/>
    <n v="38.038461538461533"/>
    <n v="0"/>
    <s v="CYAN"/>
    <s v="J00958C"/>
    <s v="FLINTSL - CYAN"/>
    <n v="28"/>
    <n v="0"/>
    <m/>
    <m/>
    <n v="0"/>
    <n v="2651200000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0"/>
    <n v="0"/>
    <n v="18.03846153846154"/>
    <n v="0"/>
    <s v="MAGENTA"/>
    <s v="J00958M"/>
    <s v="FLINTSL - MAGENTA"/>
    <n v="26"/>
    <n v="0"/>
    <m/>
    <m/>
    <n v="0"/>
    <n v="2651700001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11.03846153846154"/>
    <n v="0"/>
    <s v="YELLOW"/>
    <s v="J00958Y"/>
    <s v="FLINTSL - YELLOW"/>
    <n v="22"/>
    <n v="0"/>
    <m/>
    <m/>
    <n v="0"/>
    <n v="26516000007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6"/>
    <n v="0"/>
    <n v="17.07692307692308"/>
    <n v="0"/>
    <s v="YELLOW"/>
    <m/>
    <s v="FLINTSL - YELLOW"/>
    <m/>
    <n v="0"/>
    <m/>
    <m/>
    <n v="0"/>
    <s v="FMD"/>
    <n v="26516000007"/>
    <m/>
    <m/>
    <m/>
    <m/>
    <m/>
    <m/>
    <n v="20"/>
    <n v="0"/>
    <n v="1"/>
    <e v="#N/A"/>
    <m/>
    <n v="0"/>
    <m/>
    <n v="0"/>
    <m/>
    <n v="0"/>
    <m/>
    <n v="0"/>
    <m/>
    <n v="0"/>
    <m/>
    <n v="0"/>
    <s v="FLINTSL"/>
    <n v="15"/>
    <n v="0"/>
    <n v="26.096153846153847"/>
    <n v="0"/>
    <s v="WHITE"/>
    <s v="J00958W"/>
    <s v="FLINTSL - WHITE"/>
    <n v="20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20"/>
    <n v="0"/>
    <n v="120.38461538461539"/>
    <n v="0"/>
    <s v="MATT"/>
    <s v="J00958M"/>
    <s v="ToyoLi - MATT"/>
    <n v="20"/>
    <n v="0"/>
    <m/>
    <m/>
    <n v="0"/>
    <n v="55"/>
    <s v="NWBBK"/>
    <m/>
    <m/>
    <m/>
    <m/>
    <m/>
    <m/>
    <n v="80"/>
    <n v="0"/>
    <n v="20"/>
    <n v="0"/>
    <m/>
    <n v="0"/>
    <m/>
    <n v="0"/>
    <m/>
    <n v="0"/>
    <m/>
    <n v="0"/>
    <m/>
    <n v="0"/>
    <m/>
    <n v="0"/>
    <s v="ToyoLi"/>
    <n v="32"/>
    <n v="0"/>
    <n v="148.28846153846155"/>
    <n v="0"/>
    <n v="2"/>
    <n v="2"/>
    <n v="2"/>
    <n v="2"/>
    <n v="4"/>
    <n v="5"/>
    <n v="20"/>
    <n v="15"/>
    <n v="0.8"/>
    <n v="0.2"/>
    <m/>
    <m/>
    <m/>
    <n v="0"/>
    <n v="209"/>
    <n v="0"/>
    <n v="0"/>
    <n v="209"/>
    <n v="209"/>
    <n v="167.20000000000002"/>
    <n v="0"/>
    <n v="41.800000000000004"/>
    <n v="0"/>
    <n v="0"/>
    <n v="0"/>
    <n v="0"/>
    <n v="0"/>
    <n v="0"/>
    <n v="0"/>
    <n v="0"/>
    <n v="0"/>
    <n v="0"/>
    <m/>
    <n v="243"/>
    <n v="391"/>
    <n v="108"/>
    <s v="FLINTSLFLINTSLFLINTSLFLINTSLFLINTSLFLINTSLFLINTSLToyoLi"/>
    <s v="+"/>
    <s v="+"/>
    <s v="+"/>
    <s v="+"/>
    <s v="+"/>
    <s v="+"/>
    <s v="+"/>
    <s v="+"/>
  </r>
  <r>
    <d v="2026-01-15T00:00:00"/>
    <s v="B"/>
    <x v="206"/>
    <n v="109"/>
    <n v="884"/>
    <n v="63000"/>
    <s v="II"/>
    <s v="N"/>
    <n v="0.16"/>
    <s v="BLACK"/>
    <s v="F00864B"/>
    <s v="FLINTSL - BLACK"/>
    <n v="19"/>
    <n v="0"/>
    <s v="C01489B"/>
    <n v="14"/>
    <n v="0"/>
    <n v="2652000000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4"/>
    <n v="0"/>
    <n v="36.157894736842103"/>
    <n v="0"/>
    <s v="BLACK"/>
    <s v="H01332B"/>
    <s v="FLINTSL - BLACK"/>
    <n v="11"/>
    <n v="0"/>
    <s v="E00988B"/>
    <n v="15"/>
    <n v="0"/>
    <n v="26517000011"/>
    <n v="26517000042"/>
    <m/>
    <m/>
    <m/>
    <m/>
    <m/>
    <m/>
    <n v="2"/>
    <e v="#N/A"/>
    <n v="1"/>
    <e v="#N/A"/>
    <m/>
    <n v="0"/>
    <m/>
    <n v="0"/>
    <m/>
    <n v="0"/>
    <m/>
    <n v="0"/>
    <m/>
    <n v="0"/>
    <m/>
    <n v="0"/>
    <s v="FLINTSL"/>
    <n v="26"/>
    <n v="0"/>
    <n v="21.526315789473685"/>
    <n v="0"/>
    <s v="GOLD"/>
    <s v="N00871G"/>
    <s v="FLINTSL - GOLD"/>
    <n v="10"/>
    <n v="0"/>
    <s v="H01337G"/>
    <n v="28"/>
    <n v="0"/>
    <n v="26520000005"/>
    <s v="FSI"/>
    <s v="FMD"/>
    <m/>
    <m/>
    <m/>
    <m/>
    <m/>
    <n v="0.2"/>
    <e v="#N/A"/>
    <n v="10"/>
    <n v="0"/>
    <n v="5"/>
    <n v="0"/>
    <m/>
    <n v="0"/>
    <m/>
    <n v="0"/>
    <m/>
    <n v="0"/>
    <m/>
    <n v="0"/>
    <m/>
    <n v="0"/>
    <s v="FLINTSL"/>
    <n v="30"/>
    <n v="0"/>
    <n v="69.51578947368420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4"/>
    <n v="10"/>
    <n v="0"/>
    <n v="0"/>
    <n v="0"/>
    <n v="0"/>
    <n v="0"/>
    <n v="0.8"/>
    <n v="0.2"/>
    <m/>
    <m/>
    <m/>
    <n v="0"/>
    <n v="88"/>
    <n v="0"/>
    <n v="0"/>
    <n v="88"/>
    <n v="88"/>
    <n v="70.400000000000006"/>
    <n v="0"/>
    <n v="17.600000000000001"/>
    <n v="0"/>
    <n v="0"/>
    <n v="0"/>
    <n v="0"/>
    <n v="0"/>
    <n v="0"/>
    <n v="0"/>
    <n v="0"/>
    <n v="0"/>
    <n v="0"/>
    <m/>
    <n v="22.2"/>
    <n v="127.19999999999999"/>
    <n v="109"/>
    <s v="FLINTSLFLINTSLFLINTSL"/>
    <s v="+"/>
    <s v="+"/>
    <s v="+"/>
    <s v="NIL"/>
    <s v="NIL"/>
    <s v="NIL"/>
    <s v="NIL"/>
    <s v="NIL"/>
  </r>
  <r>
    <d v="2026-01-15T00:00:00"/>
    <s v="B"/>
    <x v="120"/>
    <n v="110"/>
    <n v="852"/>
    <n v="15700"/>
    <s v="II"/>
    <s v="N"/>
    <n v="1.76"/>
    <s v="BLACK"/>
    <s v="F00862B"/>
    <s v="FLINTSL - BLACK"/>
    <n v="24"/>
    <n v="0"/>
    <m/>
    <m/>
    <n v="0"/>
    <n v="26520000005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4.7313432835820919"/>
    <n v="0"/>
    <s v="REFLEX BLUE"/>
    <s v="F00864B"/>
    <s v="FLINTSL - REFLEX BLUE"/>
    <n v="24"/>
    <n v="0"/>
    <m/>
    <m/>
    <n v="0"/>
    <n v="26520000005"/>
    <n v="26513000011"/>
    <n v="26517000011"/>
    <m/>
    <m/>
    <m/>
    <m/>
    <m/>
    <n v="0.3"/>
    <e v="#N/A"/>
    <n v="5"/>
    <e v="#N/A"/>
    <n v="2"/>
    <e v="#N/A"/>
    <m/>
    <n v="0"/>
    <m/>
    <n v="0"/>
    <m/>
    <n v="0"/>
    <m/>
    <n v="0"/>
    <m/>
    <n v="0"/>
    <s v="FLINTSL"/>
    <n v="35"/>
    <n v="0"/>
    <n v="5.8522388059701456"/>
    <n v="0"/>
    <s v="YELLOW"/>
    <s v="F00825Y"/>
    <s v="FLINTSL - YELLOW"/>
    <n v="18"/>
    <n v="0"/>
    <m/>
    <m/>
    <n v="0"/>
    <n v="26517000011"/>
    <n v="26516000007"/>
    <s v="FMD"/>
    <m/>
    <m/>
    <m/>
    <m/>
    <m/>
    <n v="0.2"/>
    <e v="#N/A"/>
    <n v="3"/>
    <e v="#N/A"/>
    <n v="5"/>
    <n v="0"/>
    <m/>
    <n v="0"/>
    <m/>
    <n v="0"/>
    <m/>
    <n v="0"/>
    <m/>
    <n v="0"/>
    <m/>
    <n v="0"/>
    <s v="FLINTSL"/>
    <n v="23"/>
    <n v="0"/>
    <n v="12.752238805970151"/>
    <n v="0"/>
    <s v="ORANGE"/>
    <s v="N00841O"/>
    <s v="FLINTSL - ORANGE"/>
    <n v="25"/>
    <n v="0"/>
    <m/>
    <m/>
    <n v="0"/>
    <n v="26516000002"/>
    <m/>
    <m/>
    <m/>
    <m/>
    <m/>
    <m/>
    <m/>
    <n v="40"/>
    <e v="#N/A"/>
    <m/>
    <n v="0"/>
    <m/>
    <n v="0"/>
    <m/>
    <n v="0"/>
    <m/>
    <n v="0"/>
    <m/>
    <n v="0"/>
    <m/>
    <n v="0"/>
    <m/>
    <n v="0"/>
    <s v="FLINTSL"/>
    <n v="18"/>
    <n v="0"/>
    <n v="66.104477611940297"/>
    <n v="0"/>
    <s v="CYAN"/>
    <s v="F00864C"/>
    <s v="FLINTSL - CYAN"/>
    <n v="24"/>
    <n v="0"/>
    <m/>
    <m/>
    <n v="0"/>
    <n v="26512000001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2.8208955223880565"/>
    <n v="0"/>
    <s v="MAGENTA"/>
    <s v="F00864M"/>
    <s v="FLINTSL - MAGENTA"/>
    <n v="29"/>
    <n v="0"/>
    <m/>
    <m/>
    <n v="0"/>
    <n v="2651700001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1"/>
    <n v="0"/>
    <n v="3.8208955223880565"/>
    <n v="0"/>
    <s v="YELLOW"/>
    <s v="F00864Y"/>
    <s v="FLINTSL - YELLOW"/>
    <n v="19"/>
    <n v="0"/>
    <m/>
    <m/>
    <n v="0"/>
    <n v="26516000015"/>
    <s v="FMD"/>
    <m/>
    <m/>
    <m/>
    <m/>
    <m/>
    <m/>
    <n v="15"/>
    <e v="#N/A"/>
    <n v="10"/>
    <n v="0"/>
    <m/>
    <n v="0"/>
    <m/>
    <n v="0"/>
    <m/>
    <n v="0"/>
    <m/>
    <n v="0"/>
    <m/>
    <n v="0"/>
    <m/>
    <n v="0"/>
    <s v="FLINTSL"/>
    <n v="30"/>
    <n v="0"/>
    <n v="33.104477611940297"/>
    <n v="0"/>
    <s v="WHITE"/>
    <s v="G00390W"/>
    <s v="FLINTSL - WHITE"/>
    <n v="28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115.31343283582089"/>
    <n v="0"/>
    <n v="3"/>
    <n v="5"/>
    <n v="5"/>
    <n v="10"/>
    <n v="2"/>
    <n v="2"/>
    <n v="10"/>
    <n v="30"/>
    <n v="0.8"/>
    <n v="0.2"/>
    <m/>
    <m/>
    <m/>
    <n v="0"/>
    <n v="128"/>
    <n v="0"/>
    <n v="0"/>
    <n v="128"/>
    <n v="128"/>
    <n v="102.4"/>
    <n v="0"/>
    <n v="25.6"/>
    <n v="0"/>
    <n v="0"/>
    <n v="0"/>
    <n v="0"/>
    <n v="0"/>
    <n v="0"/>
    <n v="0"/>
    <n v="0"/>
    <n v="0"/>
    <n v="0"/>
    <m/>
    <n v="152.5"/>
    <n v="244.5"/>
    <n v="110"/>
    <s v="FLINTSLFLINTSLFLINTSLFLINTSLFLINTSLFLINTSLFLINTSLFLINTSL"/>
    <s v="+"/>
    <s v="+"/>
    <s v="+"/>
    <s v="+"/>
    <s v="+"/>
    <s v="+"/>
    <s v="+"/>
    <s v="+"/>
  </r>
  <r>
    <d v="2026-01-15T00:00:00"/>
    <s v="B"/>
    <x v="207"/>
    <n v="111"/>
    <n v="271"/>
    <n v="13000"/>
    <s v="I"/>
    <s v="N"/>
    <n v="1.66"/>
    <s v="BLACK"/>
    <s v="J00959B"/>
    <s v="FLINTSL - BLACK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5.6610169491525433"/>
    <n v="0"/>
    <s v="REFLEX BLUE"/>
    <m/>
    <s v="FLINTSL - REFLEX BLUE"/>
    <m/>
    <n v="0"/>
    <m/>
    <m/>
    <n v="0"/>
    <n v="26512000002"/>
    <n v="26513000011"/>
    <n v="26517000020"/>
    <m/>
    <m/>
    <m/>
    <m/>
    <m/>
    <n v="15"/>
    <e v="#N/A"/>
    <n v="2"/>
    <e v="#N/A"/>
    <n v="2"/>
    <e v="#N/A"/>
    <m/>
    <n v="0"/>
    <m/>
    <n v="0"/>
    <m/>
    <n v="0"/>
    <m/>
    <n v="0"/>
    <m/>
    <n v="0"/>
    <s v="FLINTSL"/>
    <n v="26"/>
    <n v="0"/>
    <n v="7.6440677966101731"/>
    <n v="0"/>
    <s v="RED"/>
    <s v="J00957R"/>
    <s v="FLINTSL - RED"/>
    <n v="25"/>
    <n v="0"/>
    <s v="C01474R"/>
    <n v="22"/>
    <n v="0"/>
    <n v="26517000020"/>
    <n v="26513000020"/>
    <m/>
    <m/>
    <m/>
    <m/>
    <m/>
    <m/>
    <n v="10"/>
    <e v="#N/A"/>
    <n v="8"/>
    <e v="#N/A"/>
    <m/>
    <n v="0"/>
    <m/>
    <n v="0"/>
    <m/>
    <n v="0"/>
    <m/>
    <n v="0"/>
    <m/>
    <n v="0"/>
    <m/>
    <n v="0"/>
    <s v="FLINTSL"/>
    <n v="27"/>
    <n v="0"/>
    <n v="47.152542372881356"/>
    <n v="0"/>
    <s v="CYAN"/>
    <s v="J00959C"/>
    <s v="FLINTSL - CYAN"/>
    <n v="26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4.6610169491525433"/>
    <n v="0"/>
    <s v="MAGENTA"/>
    <s v="J00959M"/>
    <s v="FLINTSL - MAGENTA"/>
    <n v="25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4"/>
    <n v="0"/>
    <n v="4.6610169491525433"/>
    <n v="0"/>
    <s v="YELLOW"/>
    <s v="J00959Y"/>
    <s v="FLINTSL - YELLOW"/>
    <n v="26"/>
    <n v="0"/>
    <m/>
    <m/>
    <n v="0"/>
    <n v="26515000007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7"/>
    <n v="0"/>
    <n v="14.152542372881356"/>
    <n v="0"/>
    <s v="WHITE"/>
    <s v="J00959W"/>
    <s v="FLINTSL - WHITE"/>
    <n v="2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25"/>
    <n v="0"/>
    <n v="109.0677966101694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8"/>
    <n v="5"/>
    <n v="2"/>
    <n v="2"/>
    <n v="5"/>
    <n v="35"/>
    <n v="0"/>
    <n v="0.8"/>
    <n v="0.2"/>
    <m/>
    <m/>
    <m/>
    <n v="0"/>
    <n v="108"/>
    <n v="0"/>
    <n v="0"/>
    <n v="108"/>
    <n v="108"/>
    <n v="86.4"/>
    <n v="0"/>
    <n v="21.6"/>
    <n v="0"/>
    <n v="0"/>
    <n v="0"/>
    <n v="0"/>
    <n v="0"/>
    <n v="0"/>
    <n v="0"/>
    <n v="0"/>
    <n v="0"/>
    <n v="0"/>
    <m/>
    <n v="93"/>
    <n v="193"/>
    <n v="111"/>
    <s v="FLINTSLFLINTSLFLINTSLFLINTSLFLINTSLFLINTSLFLINTSL"/>
    <s v="+"/>
    <s v="+"/>
    <s v="+"/>
    <s v="+"/>
    <s v="+"/>
    <s v="+"/>
    <s v="+"/>
    <s v="NIL"/>
  </r>
  <r>
    <d v="2026-01-16T00:00:00"/>
    <s v="A"/>
    <x v="208"/>
    <n v="112"/>
    <n v="886"/>
    <n v="55700"/>
    <s v="II"/>
    <s v="N"/>
    <n v="1.9"/>
    <s v="BLACK"/>
    <s v="N00841B"/>
    <s v="FLINTSL - BLACK"/>
    <n v="30"/>
    <n v="0"/>
    <m/>
    <m/>
    <n v="0"/>
    <n v="26520000005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8"/>
    <n v="0"/>
    <n v="21.434343434343432"/>
    <n v="0"/>
    <s v="REFLEX BLUE"/>
    <s v="N00841RB"/>
    <s v="FLINTSL - REFLEX BLUE"/>
    <n v="20"/>
    <n v="0"/>
    <m/>
    <m/>
    <n v="0"/>
    <n v="26513000011"/>
    <n v="26512000001"/>
    <m/>
    <m/>
    <m/>
    <m/>
    <m/>
    <m/>
    <n v="6"/>
    <e v="#N/A"/>
    <n v="6"/>
    <e v="#N/A"/>
    <m/>
    <n v="0"/>
    <m/>
    <n v="0"/>
    <m/>
    <n v="0"/>
    <m/>
    <n v="0"/>
    <m/>
    <n v="0"/>
    <m/>
    <n v="0"/>
    <s v="FLINTSL"/>
    <n v="25"/>
    <n v="0"/>
    <n v="20.434343434343432"/>
    <n v="0"/>
    <s v="GREEN"/>
    <s v="C01489G"/>
    <s v="FLINTSL - GREEN"/>
    <n v="23"/>
    <n v="0"/>
    <m/>
    <m/>
    <n v="0"/>
    <n v="26512000002"/>
    <n v="26516000015"/>
    <m/>
    <m/>
    <m/>
    <m/>
    <m/>
    <m/>
    <n v="1"/>
    <e v="#N/A"/>
    <n v="8"/>
    <e v="#N/A"/>
    <m/>
    <n v="0"/>
    <m/>
    <n v="0"/>
    <m/>
    <n v="0"/>
    <m/>
    <n v="0"/>
    <m/>
    <n v="0"/>
    <m/>
    <n v="0"/>
    <s v="FLINTSL"/>
    <n v="29"/>
    <n v="0"/>
    <n v="16.434343434343432"/>
    <n v="0"/>
    <s v="RED"/>
    <s v="B01053R"/>
    <s v="FLINTSL - RED"/>
    <n v="23"/>
    <n v="0"/>
    <s v="N00841R"/>
    <n v="18"/>
    <n v="0"/>
    <n v="26517000020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30"/>
    <n v="0"/>
    <n v="30.434343434343432"/>
    <n v="0"/>
    <s v="CYAN"/>
    <s v="N00841C"/>
    <s v="FLINTSL - CYAN"/>
    <n v="30"/>
    <n v="0"/>
    <m/>
    <m/>
    <n v="0"/>
    <n v="2651300002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9"/>
    <n v="0"/>
    <n v="8.3737373737373773"/>
    <n v="0"/>
    <s v="MAGENTA"/>
    <s v="N00841M"/>
    <s v="FLINTSL - MAGENTA"/>
    <n v="31"/>
    <n v="0"/>
    <m/>
    <m/>
    <n v="0"/>
    <n v="26517000020"/>
    <s v="FMD"/>
    <m/>
    <m/>
    <m/>
    <m/>
    <m/>
    <m/>
    <n v="10"/>
    <e v="#N/A"/>
    <n v="6"/>
    <n v="0"/>
    <m/>
    <n v="0"/>
    <m/>
    <n v="0"/>
    <m/>
    <n v="0"/>
    <m/>
    <n v="0"/>
    <m/>
    <n v="0"/>
    <m/>
    <n v="0"/>
    <s v="FLINTSL"/>
    <n v="30"/>
    <n v="0"/>
    <n v="57.303030303030312"/>
    <n v="0"/>
    <s v="YELLOW"/>
    <s v="N00841Y"/>
    <s v="FLINTSL - YELLOW"/>
    <n v="30"/>
    <n v="0"/>
    <m/>
    <m/>
    <n v="0"/>
    <n v="26516000014"/>
    <n v="26516000020"/>
    <m/>
    <m/>
    <m/>
    <m/>
    <m/>
    <m/>
    <n v="40"/>
    <e v="#N/A"/>
    <n v="40"/>
    <e v="#N/A"/>
    <m/>
    <n v="0"/>
    <m/>
    <n v="0"/>
    <m/>
    <n v="0"/>
    <m/>
    <n v="0"/>
    <m/>
    <n v="0"/>
    <m/>
    <n v="0"/>
    <s v="FLINTSL"/>
    <n v="24"/>
    <n v="0"/>
    <n v="91.37373737373737"/>
    <n v="0"/>
    <s v="WHITE"/>
    <s v="N00841W"/>
    <s v="FLINTSL - WHITE"/>
    <n v="30"/>
    <n v="0"/>
    <m/>
    <m/>
    <n v="0"/>
    <s v="FW"/>
    <m/>
    <m/>
    <m/>
    <m/>
    <m/>
    <m/>
    <m/>
    <n v="140"/>
    <n v="0"/>
    <m/>
    <n v="0"/>
    <m/>
    <n v="0"/>
    <m/>
    <n v="0"/>
    <m/>
    <n v="0"/>
    <m/>
    <n v="0"/>
    <m/>
    <n v="0"/>
    <m/>
    <n v="0"/>
    <s v="FLINTSL"/>
    <n v="24"/>
    <n v="0"/>
    <n v="307.21212121212125"/>
    <n v="0"/>
    <n v="5"/>
    <n v="5"/>
    <n v="5"/>
    <n v="5"/>
    <n v="2"/>
    <n v="15"/>
    <n v="2"/>
    <n v="60"/>
    <n v="0.8"/>
    <n v="0.2"/>
    <m/>
    <m/>
    <m/>
    <n v="0"/>
    <n v="266"/>
    <n v="0"/>
    <n v="0"/>
    <n v="266"/>
    <n v="266"/>
    <n v="212.8"/>
    <n v="0"/>
    <n v="53.2"/>
    <n v="0"/>
    <n v="0"/>
    <n v="0"/>
    <n v="0"/>
    <n v="0"/>
    <n v="0"/>
    <n v="0"/>
    <n v="0"/>
    <n v="0"/>
    <n v="0"/>
    <m/>
    <n v="271"/>
    <n v="553"/>
    <n v="112"/>
    <s v="FLINTSLFLINTSLFLINTSLFLINTSLFLINTSLFLINTSLFLINTSLFLINTSL"/>
    <s v="+"/>
    <s v="+"/>
    <s v="+"/>
    <s v="+"/>
    <s v="+"/>
    <s v="+"/>
    <s v="+"/>
    <s v="+"/>
  </r>
  <r>
    <d v="2026-01-16T00:00:00"/>
    <s v="A"/>
    <x v="209"/>
    <n v="113"/>
    <n v="204"/>
    <n v="10300"/>
    <s v="I"/>
    <s v="N"/>
    <n v="2"/>
    <s v="BLACK"/>
    <s v="H01318B"/>
    <s v="FLINTSL - BLACK"/>
    <n v="25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3"/>
    <n v="0"/>
    <n v="7.5454545454545467"/>
    <n v="0"/>
    <s v="REFLEX BLUE"/>
    <s v="C01424P"/>
    <s v="FLINTSL - REFLEX BLUE"/>
    <n v="18"/>
    <n v="0"/>
    <s v="G00390P"/>
    <n v="24"/>
    <n v="0"/>
    <n v="26513000021"/>
    <s v="FMD"/>
    <n v="26516000007"/>
    <m/>
    <m/>
    <m/>
    <m/>
    <m/>
    <n v="1"/>
    <e v="#N/A"/>
    <n v="4"/>
    <n v="0"/>
    <n v="0.5"/>
    <e v="#N/A"/>
    <m/>
    <n v="0"/>
    <m/>
    <n v="0"/>
    <m/>
    <n v="0"/>
    <m/>
    <n v="0"/>
    <m/>
    <n v="0"/>
    <s v="FLINTSL"/>
    <n v="35"/>
    <n v="0"/>
    <n v="18.045454545454547"/>
    <n v="0"/>
    <s v="CYAN"/>
    <s v="H01318C"/>
    <s v="FLINTSL - CYAN"/>
    <n v="25"/>
    <n v="0"/>
    <m/>
    <m/>
    <n v="0"/>
    <n v="2651300002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6.6969696969696955"/>
    <n v="0"/>
    <s v="MAGENTA"/>
    <s v="H01318M"/>
    <s v="FLINTSL - MAGENTA"/>
    <n v="24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5"/>
    <n v="0"/>
    <n v="5.6969696969696955"/>
    <n v="0"/>
    <s v="YELLOW"/>
    <s v="H01318Y"/>
    <s v="FLINTSL - YELLOW"/>
    <n v="27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0"/>
    <n v="0"/>
    <n v="14.545454545454547"/>
    <n v="0"/>
    <s v="MEDIUM"/>
    <s v="J00958M"/>
    <s v="FLINTSL - MEDIUM"/>
    <n v="18"/>
    <n v="0"/>
    <m/>
    <m/>
    <n v="0"/>
    <s v="FMD"/>
    <n v="26516000007"/>
    <m/>
    <m/>
    <m/>
    <m/>
    <m/>
    <m/>
    <n v="9"/>
    <n v="0"/>
    <n v="5"/>
    <e v="#N/A"/>
    <m/>
    <n v="0"/>
    <m/>
    <n v="0"/>
    <m/>
    <n v="0"/>
    <m/>
    <n v="0"/>
    <m/>
    <n v="0"/>
    <m/>
    <n v="0"/>
    <s v="FLINTSL"/>
    <n v="34"/>
    <n v="0"/>
    <n v="1.6969696969696955"/>
    <n v="0"/>
    <s v="GOLD"/>
    <s v="F00862G"/>
    <s v="FLINTSL - GOLD"/>
    <n v="20"/>
    <n v="0"/>
    <m/>
    <m/>
    <n v="0"/>
    <s v="FGO"/>
    <n v="26516000007"/>
    <n v="26513000021"/>
    <m/>
    <m/>
    <m/>
    <m/>
    <m/>
    <n v="5"/>
    <n v="0"/>
    <n v="2"/>
    <e v="#N/A"/>
    <n v="1"/>
    <e v="#N/A"/>
    <m/>
    <n v="0"/>
    <m/>
    <n v="0"/>
    <m/>
    <n v="0"/>
    <m/>
    <n v="0"/>
    <m/>
    <n v="0"/>
    <s v="FLINTSL"/>
    <n v="30"/>
    <n v="0"/>
    <n v="3.5454545454545467"/>
    <n v="0"/>
    <s v="WHITE"/>
    <s v="H01318W"/>
    <s v="FLINTSL - WHITE"/>
    <n v="25"/>
    <n v="0"/>
    <m/>
    <m/>
    <n v="0"/>
    <s v="FW"/>
    <m/>
    <m/>
    <m/>
    <m/>
    <m/>
    <m/>
    <m/>
    <n v="30"/>
    <n v="0"/>
    <m/>
    <n v="0"/>
    <m/>
    <n v="0"/>
    <m/>
    <n v="0"/>
    <m/>
    <n v="0"/>
    <m/>
    <n v="0"/>
    <m/>
    <n v="0"/>
    <m/>
    <n v="0"/>
    <s v="FLINTSL"/>
    <n v="18"/>
    <n v="0"/>
    <n v="64.72727272727272"/>
    <n v="0"/>
    <n v="3"/>
    <n v="3"/>
    <n v="2"/>
    <n v="2"/>
    <n v="3"/>
    <n v="2"/>
    <n v="3"/>
    <n v="15"/>
    <n v="0.8"/>
    <n v="0.2"/>
    <m/>
    <m/>
    <m/>
    <n v="0"/>
    <n v="61"/>
    <n v="0"/>
    <n v="0"/>
    <n v="61"/>
    <n v="61"/>
    <n v="48.800000000000004"/>
    <n v="0"/>
    <n v="12.200000000000001"/>
    <n v="0"/>
    <n v="0"/>
    <n v="0"/>
    <n v="0"/>
    <n v="0"/>
    <n v="0"/>
    <n v="0"/>
    <n v="0"/>
    <n v="0"/>
    <n v="0"/>
    <m/>
    <n v="64.5"/>
    <n v="122.5"/>
    <n v="113"/>
    <s v="FLINTSLFLINTSLFLINTSLFLINTSLFLINTSLFLINTSLFLINTSLFLINTSL"/>
    <s v="+"/>
    <s v="+"/>
    <s v="+"/>
    <s v="+"/>
    <s v="+"/>
    <s v="+"/>
    <s v="+"/>
    <s v="+"/>
  </r>
  <r>
    <d v="2026-01-16T00:00:00"/>
    <s v="A"/>
    <x v="210"/>
    <n v="114"/>
    <n v="510"/>
    <n v="26000"/>
    <s v="I"/>
    <s v="N"/>
    <n v="2"/>
    <s v="BLACK"/>
    <s v="H01356B"/>
    <s v="FLINTSL - BLACK"/>
    <n v="23"/>
    <n v="0"/>
    <m/>
    <m/>
    <n v="0"/>
    <n v="26520000005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4"/>
    <n v="0"/>
    <n v="12.267326732673268"/>
    <n v="0"/>
    <s v="REFLEX BLUE"/>
    <s v="H01318B"/>
    <s v="FLINTSL - REFLEX BLUE"/>
    <n v="26"/>
    <n v="0"/>
    <m/>
    <m/>
    <n v="0"/>
    <n v="26512000002"/>
    <n v="26513000021"/>
    <m/>
    <m/>
    <m/>
    <m/>
    <m/>
    <m/>
    <n v="7"/>
    <e v="#N/A"/>
    <n v="2"/>
    <e v="#N/A"/>
    <m/>
    <n v="0"/>
    <m/>
    <n v="0"/>
    <m/>
    <n v="0"/>
    <m/>
    <n v="0"/>
    <m/>
    <n v="0"/>
    <m/>
    <n v="0"/>
    <s v="FLINTSL"/>
    <n v="23"/>
    <n v="0"/>
    <n v="15.306930693069305"/>
    <n v="0"/>
    <s v="RED"/>
    <s v="H01318R"/>
    <s v="FLINTSL - RED"/>
    <n v="27"/>
    <n v="0"/>
    <m/>
    <m/>
    <n v="0"/>
    <n v="26517000020"/>
    <n v="26514000026"/>
    <n v="26516000012"/>
    <m/>
    <m/>
    <m/>
    <m/>
    <m/>
    <n v="10"/>
    <e v="#N/A"/>
    <n v="10"/>
    <e v="#N/A"/>
    <n v="20"/>
    <e v="#N/A"/>
    <m/>
    <n v="0"/>
    <m/>
    <n v="0"/>
    <m/>
    <n v="0"/>
    <m/>
    <n v="0"/>
    <m/>
    <n v="0"/>
    <s v="FLINTSL"/>
    <n v="25"/>
    <n v="0"/>
    <n v="83.336633663366342"/>
    <n v="0"/>
    <s v="GREEN"/>
    <s v="H01331G"/>
    <s v="FLINTSL - GREEN"/>
    <n v="32"/>
    <n v="0"/>
    <m/>
    <m/>
    <n v="0"/>
    <n v="26513000021"/>
    <n v="26516000015"/>
    <m/>
    <m/>
    <m/>
    <m/>
    <m/>
    <m/>
    <n v="2"/>
    <e v="#N/A"/>
    <n v="2"/>
    <e v="#N/A"/>
    <m/>
    <n v="0"/>
    <m/>
    <n v="0"/>
    <m/>
    <n v="0"/>
    <m/>
    <n v="0"/>
    <m/>
    <n v="0"/>
    <m/>
    <n v="0"/>
    <s v="FLINTSL"/>
    <n v="34"/>
    <n v="0"/>
    <n v="5.3069306930693045"/>
    <n v="0"/>
    <s v="CYAN"/>
    <s v="H01356C"/>
    <s v="FLINTSL - CYAN"/>
    <n v="24"/>
    <n v="0"/>
    <m/>
    <m/>
    <n v="0"/>
    <n v="2651300002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3"/>
    <n v="0"/>
    <n v="6.3069306930693081"/>
    <n v="0"/>
    <s v="MAGENTA"/>
    <s v="H01356M"/>
    <s v="FLINTSL - MAGENTA"/>
    <n v="25"/>
    <n v="0"/>
    <m/>
    <m/>
    <n v="0"/>
    <n v="26517000020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6"/>
    <n v="0"/>
    <n v="10.267326732673268"/>
    <n v="0"/>
    <s v="YELLOW"/>
    <s v="H01356Y"/>
    <s v="FLINTSL - YELLOW"/>
    <n v="20"/>
    <n v="0"/>
    <m/>
    <m/>
    <n v="0"/>
    <n v="26516000015"/>
    <s v="FMD"/>
    <m/>
    <m/>
    <m/>
    <m/>
    <m/>
    <m/>
    <n v="8"/>
    <e v="#N/A"/>
    <n v="10"/>
    <n v="0"/>
    <m/>
    <n v="0"/>
    <m/>
    <n v="0"/>
    <m/>
    <n v="0"/>
    <m/>
    <n v="0"/>
    <m/>
    <n v="0"/>
    <m/>
    <n v="0"/>
    <s v="FLINTSL"/>
    <n v="20"/>
    <n v="0"/>
    <n v="42.801980198019805"/>
    <n v="0"/>
    <s v="WHITE"/>
    <s v="H01356W"/>
    <s v="FLINTSL - WHITE"/>
    <n v="18"/>
    <n v="0"/>
    <m/>
    <m/>
    <n v="0"/>
    <s v="FW"/>
    <m/>
    <m/>
    <m/>
    <m/>
    <m/>
    <m/>
    <m/>
    <n v="90"/>
    <n v="0"/>
    <m/>
    <n v="0"/>
    <m/>
    <n v="0"/>
    <m/>
    <n v="0"/>
    <m/>
    <n v="0"/>
    <m/>
    <n v="0"/>
    <m/>
    <n v="0"/>
    <m/>
    <n v="0"/>
    <s v="FLINTSL"/>
    <n v="22"/>
    <n v="0"/>
    <n v="160.40594059405942"/>
    <n v="0"/>
    <n v="5"/>
    <n v="2"/>
    <n v="25"/>
    <n v="2"/>
    <n v="2"/>
    <n v="5"/>
    <n v="15"/>
    <n v="45"/>
    <n v="0.8"/>
    <n v="0.2"/>
    <m/>
    <m/>
    <m/>
    <n v="0"/>
    <n v="167"/>
    <n v="0"/>
    <n v="0"/>
    <n v="167"/>
    <n v="167"/>
    <n v="133.6"/>
    <n v="0"/>
    <n v="33.4"/>
    <n v="0"/>
    <n v="0"/>
    <n v="0"/>
    <n v="0"/>
    <n v="0"/>
    <n v="0"/>
    <n v="0"/>
    <n v="0"/>
    <n v="0"/>
    <n v="0"/>
    <m/>
    <n v="171"/>
    <n v="336"/>
    <n v="114"/>
    <s v="FLINTSLFLINTSLFLINTSLFLINTSLFLINTSLFLINTSLFLINTSLFLINTSL"/>
    <s v="+"/>
    <s v="+"/>
    <s v="+"/>
    <s v="+"/>
    <s v="+"/>
    <s v="+"/>
    <s v="+"/>
    <s v="+"/>
  </r>
  <r>
    <d v="2026-01-16T00:00:00"/>
    <s v="A"/>
    <x v="211"/>
    <n v="115"/>
    <n v="1471"/>
    <n v="79300"/>
    <s v="I"/>
    <s v="N"/>
    <n v="1.8"/>
    <s v="BLACK"/>
    <s v="H01279B"/>
    <s v="FLINTSL - BLACK"/>
    <n v="24"/>
    <n v="0"/>
    <m/>
    <m/>
    <n v="0"/>
    <n v="26520000005"/>
    <s v="FMD"/>
    <m/>
    <m/>
    <m/>
    <m/>
    <m/>
    <m/>
    <n v="5"/>
    <e v="#N/A"/>
    <n v="3"/>
    <n v="0"/>
    <m/>
    <n v="0"/>
    <m/>
    <n v="0"/>
    <m/>
    <n v="0"/>
    <m/>
    <n v="0"/>
    <m/>
    <n v="0"/>
    <m/>
    <n v="0"/>
    <s v="FLINTSL"/>
    <n v="26"/>
    <n v="0"/>
    <n v="19.75954198473282"/>
    <n v="0"/>
    <s v="REFLEX BLUE"/>
    <s v="C01484B"/>
    <s v="FLINTSL - REFLEX BLUE"/>
    <n v="25"/>
    <n v="0"/>
    <s v="C01433B/C01475B/C01484B"/>
    <n v="74"/>
    <n v="0"/>
    <n v="26516000018"/>
    <n v="26516000021"/>
    <n v="26520000010"/>
    <n v="26516000015"/>
    <m/>
    <m/>
    <m/>
    <m/>
    <n v="25"/>
    <e v="#N/A"/>
    <n v="10"/>
    <e v="#N/A"/>
    <n v="5"/>
    <e v="#N/A"/>
    <n v="2"/>
    <e v="#N/A"/>
    <m/>
    <n v="0"/>
    <m/>
    <n v="0"/>
    <m/>
    <n v="0"/>
    <m/>
    <n v="0"/>
    <s v="FLINTSL"/>
    <n v="35"/>
    <n v="0"/>
    <n v="145.31297709923663"/>
    <n v="0"/>
    <s v="RED"/>
    <s v="E01016R"/>
    <s v="FLINTSL - RED"/>
    <n v="14"/>
    <n v="0"/>
    <m/>
    <m/>
    <n v="0"/>
    <n v="26513000020"/>
    <n v="26517000020"/>
    <n v="26520000005"/>
    <m/>
    <m/>
    <m/>
    <m/>
    <m/>
    <n v="5"/>
    <e v="#N/A"/>
    <n v="7"/>
    <e v="#N/A"/>
    <n v="1"/>
    <e v="#N/A"/>
    <m/>
    <n v="0"/>
    <m/>
    <n v="0"/>
    <m/>
    <n v="0"/>
    <m/>
    <n v="0"/>
    <m/>
    <n v="0"/>
    <s v="FLINTSL"/>
    <n v="23"/>
    <n v="0"/>
    <n v="23.656488549618317"/>
    <n v="0"/>
    <s v="CYAN"/>
    <s v="H01279C"/>
    <s v="FLINTSL - CYAN"/>
    <n v="23"/>
    <n v="0"/>
    <m/>
    <m/>
    <n v="0"/>
    <n v="26513000021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4"/>
    <n v="0"/>
    <n v="13.828244274809158"/>
    <n v="0"/>
    <s v="MAGENTA"/>
    <s v="H01279M"/>
    <s v="FLINTSL - MAGENTA"/>
    <n v="26"/>
    <n v="0"/>
    <m/>
    <m/>
    <n v="0"/>
    <n v="26517000020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5"/>
    <n v="0"/>
    <n v="16.828244274809158"/>
    <n v="0"/>
    <s v="YELLOW"/>
    <s v="H01279U"/>
    <s v="FLINTSL - YELLOW"/>
    <n v="20"/>
    <n v="0"/>
    <m/>
    <m/>
    <n v="0"/>
    <n v="26516000015"/>
    <s v="FMD"/>
    <m/>
    <m/>
    <m/>
    <m/>
    <m/>
    <m/>
    <n v="40"/>
    <e v="#N/A"/>
    <n v="15"/>
    <n v="0"/>
    <m/>
    <n v="0"/>
    <m/>
    <n v="0"/>
    <m/>
    <n v="0"/>
    <m/>
    <n v="0"/>
    <m/>
    <n v="0"/>
    <m/>
    <n v="0"/>
    <s v="FLINTSL"/>
    <n v="30"/>
    <n v="0"/>
    <n v="113.79770992366412"/>
    <n v="0"/>
    <s v="WHITE"/>
    <s v="H01279W"/>
    <s v="FLINTSL - WHITE"/>
    <n v="22"/>
    <n v="0"/>
    <m/>
    <m/>
    <n v="0"/>
    <s v="FW"/>
    <m/>
    <m/>
    <m/>
    <m/>
    <m/>
    <m/>
    <m/>
    <n v="300"/>
    <n v="0"/>
    <m/>
    <n v="0"/>
    <m/>
    <n v="0"/>
    <m/>
    <n v="0"/>
    <m/>
    <n v="0"/>
    <m/>
    <n v="0"/>
    <m/>
    <n v="0"/>
    <m/>
    <n v="0"/>
    <s v="FLINTSL"/>
    <n v="25"/>
    <n v="0"/>
    <n v="650.8167938931297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7"/>
    <n v="20"/>
    <n v="10"/>
    <n v="5"/>
    <n v="5"/>
    <n v="35"/>
    <n v="180"/>
    <n v="0"/>
    <n v="0.8"/>
    <n v="0.2"/>
    <m/>
    <m/>
    <m/>
    <n v="0"/>
    <n v="515"/>
    <n v="0"/>
    <n v="0"/>
    <n v="515"/>
    <n v="515"/>
    <n v="412"/>
    <n v="0"/>
    <n v="103"/>
    <n v="0"/>
    <n v="0"/>
    <n v="0"/>
    <n v="0"/>
    <n v="0"/>
    <n v="0"/>
    <n v="0"/>
    <n v="0"/>
    <n v="0"/>
    <n v="0"/>
    <m/>
    <n v="429"/>
    <n v="984"/>
    <n v="115"/>
    <s v="FLINTSLFLINTSLFLINTSLFLINTSLFLINTSLFLINTSLFLINTSL"/>
    <s v="+"/>
    <s v="+"/>
    <s v="+"/>
    <s v="+"/>
    <s v="+"/>
    <s v="+"/>
    <s v="+"/>
    <s v="NIL"/>
  </r>
  <r>
    <d v="2026-01-16T00:00:00"/>
    <s v="A"/>
    <x v="212"/>
    <n v="116"/>
    <n v="644"/>
    <n v="40500"/>
    <s v="II"/>
    <s v="N"/>
    <n v="2"/>
    <s v="BLACK"/>
    <s v="N00805B"/>
    <s v="FLINTSL - BLACK"/>
    <n v="28"/>
    <n v="0"/>
    <m/>
    <m/>
    <n v="0"/>
    <n v="26520000010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5"/>
    <n v="0"/>
    <n v="17.333333333333329"/>
    <n v="0"/>
    <s v="REFLEX BLUE"/>
    <s v="N00805B"/>
    <s v="FLINTSL - REFLEX BLUE"/>
    <n v="25"/>
    <n v="0"/>
    <m/>
    <m/>
    <n v="0"/>
    <n v="2651600001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6"/>
    <n v="0"/>
    <n v="9.3333333333333286"/>
    <n v="0"/>
    <s v="GREEN"/>
    <s v="N00805G"/>
    <s v="FLINTSL - GREEN"/>
    <n v="29"/>
    <n v="0"/>
    <m/>
    <m/>
    <n v="0"/>
    <n v="26516000015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8"/>
    <n v="0"/>
    <n v="15.333333333333329"/>
    <n v="0"/>
    <s v="RED"/>
    <s v="N00805R"/>
    <s v="FLINTSL - RED"/>
    <n v="30"/>
    <n v="0"/>
    <m/>
    <m/>
    <n v="0"/>
    <n v="26516000011"/>
    <n v="26517000020"/>
    <m/>
    <m/>
    <m/>
    <m/>
    <m/>
    <m/>
    <n v="8"/>
    <e v="#N/A"/>
    <n v="4"/>
    <e v="#N/A"/>
    <m/>
    <n v="0"/>
    <m/>
    <n v="0"/>
    <m/>
    <n v="0"/>
    <m/>
    <n v="0"/>
    <m/>
    <n v="0"/>
    <m/>
    <n v="0"/>
    <s v="FLINTSL"/>
    <n v="29"/>
    <n v="0"/>
    <n v="21.333333333333329"/>
    <n v="0"/>
    <s v="CYAN"/>
    <s v="N00805C"/>
    <s v="FLINTSL - CYAN"/>
    <n v="29"/>
    <n v="0"/>
    <m/>
    <m/>
    <n v="0"/>
    <n v="26515000029"/>
    <s v="FMD"/>
    <m/>
    <m/>
    <m/>
    <m/>
    <m/>
    <m/>
    <n v="25"/>
    <e v="#N/A"/>
    <n v="7"/>
    <n v="0"/>
    <m/>
    <n v="0"/>
    <m/>
    <n v="0"/>
    <m/>
    <n v="0"/>
    <m/>
    <n v="0"/>
    <m/>
    <n v="0"/>
    <m/>
    <n v="0"/>
    <s v="FLINTSL"/>
    <n v="33"/>
    <n v="0"/>
    <n v="61.333333333333329"/>
    <n v="0"/>
    <s v="MAGENTA"/>
    <s v="N00805M"/>
    <s v="FLINTSL - MAGENTA"/>
    <n v="30"/>
    <n v="0"/>
    <m/>
    <m/>
    <n v="0"/>
    <n v="26517000020"/>
    <m/>
    <m/>
    <m/>
    <m/>
    <m/>
    <m/>
    <m/>
    <n v="7"/>
    <e v="#N/A"/>
    <m/>
    <n v="0"/>
    <m/>
    <n v="0"/>
    <m/>
    <n v="0"/>
    <m/>
    <n v="0"/>
    <m/>
    <n v="0"/>
    <m/>
    <n v="0"/>
    <m/>
    <n v="0"/>
    <s v="FLINTSL"/>
    <n v="33"/>
    <n v="0"/>
    <n v="12.333333333333329"/>
    <n v="0"/>
    <s v="YELLOW"/>
    <s v="N00805Y"/>
    <s v="FLINTSL - YELLOW"/>
    <n v="24"/>
    <n v="0"/>
    <m/>
    <m/>
    <n v="0"/>
    <n v="26516000022"/>
    <n v="26516000023"/>
    <n v="26516000015"/>
    <s v="FMD"/>
    <m/>
    <m/>
    <m/>
    <m/>
    <n v="40"/>
    <e v="#N/A"/>
    <n v="35"/>
    <e v="#N/A"/>
    <n v="16"/>
    <e v="#N/A"/>
    <n v="7"/>
    <n v="0"/>
    <m/>
    <n v="0"/>
    <m/>
    <n v="0"/>
    <m/>
    <n v="0"/>
    <m/>
    <n v="0"/>
    <s v="FLINTSL"/>
    <n v="24"/>
    <n v="0"/>
    <n v="123"/>
    <n v="0"/>
    <s v="WHITE"/>
    <s v="N00805W"/>
    <s v="FLINTSL - WHITE"/>
    <n v="29"/>
    <n v="0"/>
    <m/>
    <m/>
    <n v="0"/>
    <s v="FW"/>
    <m/>
    <m/>
    <m/>
    <m/>
    <m/>
    <m/>
    <m/>
    <n v="125"/>
    <n v="0"/>
    <m/>
    <n v="0"/>
    <m/>
    <n v="0"/>
    <m/>
    <n v="0"/>
    <m/>
    <n v="0"/>
    <m/>
    <n v="0"/>
    <m/>
    <n v="0"/>
    <m/>
    <n v="0"/>
    <s v="FLINTSL"/>
    <n v="24"/>
    <n v="0"/>
    <n v="255"/>
    <n v="0"/>
    <n v="5"/>
    <n v="5"/>
    <n v="5"/>
    <n v="5"/>
    <n v="20"/>
    <n v="5"/>
    <n v="15"/>
    <n v="75"/>
    <n v="0.8"/>
    <n v="0.2"/>
    <m/>
    <m/>
    <m/>
    <n v="0"/>
    <n v="225"/>
    <n v="0"/>
    <n v="0"/>
    <n v="225"/>
    <n v="225"/>
    <n v="180"/>
    <n v="0"/>
    <n v="45"/>
    <n v="0"/>
    <n v="0"/>
    <n v="0"/>
    <n v="0"/>
    <n v="0"/>
    <n v="0"/>
    <n v="0"/>
    <n v="0"/>
    <n v="0"/>
    <n v="0"/>
    <m/>
    <n v="288"/>
    <n v="515"/>
    <n v="116"/>
    <s v="FLINTSLFLINTSLFLINTSLFLINTSLFLINTSLFLINTSLFLINTSLFLINTSL"/>
    <s v="+"/>
    <s v="+"/>
    <s v="+"/>
    <s v="+"/>
    <s v="+"/>
    <s v="+"/>
    <s v="+"/>
    <s v="+"/>
  </r>
  <r>
    <d v="2026-01-16T00:00:00"/>
    <s v="A"/>
    <x v="213"/>
    <n v="117"/>
    <n v="339"/>
    <n v="21300"/>
    <s v="II"/>
    <s v="N"/>
    <n v="2"/>
    <s v="BLACK"/>
    <s v="N00807B"/>
    <s v="FLINTSL - BLACK"/>
    <n v="25"/>
    <n v="0"/>
    <m/>
    <m/>
    <n v="0"/>
    <n v="26520000010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30"/>
    <n v="0"/>
    <n v="16.866666666666667"/>
    <n v="0"/>
    <s v="REFLEX BLUE"/>
    <s v="N00807B"/>
    <s v="FLINTSL - REFLEX BLUE"/>
    <n v="26"/>
    <n v="0"/>
    <m/>
    <m/>
    <n v="0"/>
    <n v="2651600001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9"/>
    <n v="0"/>
    <n v="6.9333333333333371"/>
    <n v="0"/>
    <s v="GREEN"/>
    <s v="N00807G"/>
    <s v="FLINTSL - GREEN"/>
    <n v="28"/>
    <n v="0"/>
    <m/>
    <m/>
    <n v="0"/>
    <n v="2651600001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10.933333333333337"/>
    <n v="0"/>
    <s v="RED"/>
    <s v="N00807R"/>
    <s v="FLINTSL - RED"/>
    <n v="29"/>
    <n v="0"/>
    <m/>
    <m/>
    <n v="0"/>
    <n v="26516000011"/>
    <n v="26517000020"/>
    <m/>
    <m/>
    <m/>
    <m/>
    <m/>
    <m/>
    <n v="4"/>
    <e v="#N/A"/>
    <n v="2"/>
    <e v="#N/A"/>
    <m/>
    <n v="0"/>
    <m/>
    <n v="0"/>
    <m/>
    <n v="0"/>
    <m/>
    <n v="0"/>
    <m/>
    <n v="0"/>
    <m/>
    <n v="0"/>
    <s v="FLINTSL"/>
    <n v="30"/>
    <n v="0"/>
    <n v="12.933333333333337"/>
    <n v="0"/>
    <s v="CYAN"/>
    <s v="N00807C"/>
    <s v="FLINTSL - CYAN"/>
    <n v="33"/>
    <n v="0"/>
    <m/>
    <m/>
    <n v="0"/>
    <s v="FMD"/>
    <n v="26513000021"/>
    <m/>
    <m/>
    <m/>
    <m/>
    <m/>
    <m/>
    <n v="9"/>
    <n v="0"/>
    <n v="4"/>
    <e v="#N/A"/>
    <m/>
    <n v="0"/>
    <m/>
    <n v="0"/>
    <m/>
    <n v="0"/>
    <m/>
    <n v="0"/>
    <m/>
    <n v="0"/>
    <m/>
    <n v="0"/>
    <s v="FLINTSL"/>
    <n v="33"/>
    <n v="0"/>
    <n v="20.933333333333337"/>
    <n v="0"/>
    <s v="MAGENTA"/>
    <s v="N00807M"/>
    <s v="FLINTSL - MAGENTA"/>
    <n v="33"/>
    <n v="0"/>
    <m/>
    <m/>
    <n v="0"/>
    <s v="FMD"/>
    <n v="26517000020"/>
    <m/>
    <m/>
    <m/>
    <m/>
    <m/>
    <m/>
    <n v="9"/>
    <n v="0"/>
    <n v="6"/>
    <e v="#N/A"/>
    <m/>
    <n v="0"/>
    <m/>
    <n v="0"/>
    <m/>
    <n v="0"/>
    <m/>
    <n v="0"/>
    <m/>
    <n v="0"/>
    <m/>
    <n v="0"/>
    <s v="FLINTSL"/>
    <n v="30"/>
    <n v="0"/>
    <n v="33.866666666666667"/>
    <n v="0"/>
    <s v="YELLOW"/>
    <s v="N00807Y"/>
    <s v="FLINTSL - YELLOW"/>
    <n v="24"/>
    <n v="0"/>
    <m/>
    <m/>
    <n v="0"/>
    <n v="26516000025"/>
    <s v="FMD"/>
    <m/>
    <m/>
    <m/>
    <m/>
    <m/>
    <m/>
    <n v="35"/>
    <e v="#N/A"/>
    <n v="7"/>
    <n v="0"/>
    <m/>
    <n v="0"/>
    <m/>
    <n v="0"/>
    <m/>
    <n v="0"/>
    <m/>
    <n v="0"/>
    <m/>
    <n v="0"/>
    <m/>
    <n v="0"/>
    <s v="FLINTSL"/>
    <n v="29"/>
    <n v="0"/>
    <n v="44.933333333333337"/>
    <n v="0"/>
    <s v="WHITE"/>
    <s v="N00807W"/>
    <s v="FLINTSL - WHITE"/>
    <n v="24"/>
    <n v="0"/>
    <m/>
    <m/>
    <n v="0"/>
    <s v="FW"/>
    <m/>
    <m/>
    <m/>
    <m/>
    <m/>
    <m/>
    <m/>
    <n v="75"/>
    <n v="0"/>
    <m/>
    <n v="0"/>
    <m/>
    <n v="0"/>
    <m/>
    <n v="0"/>
    <m/>
    <n v="0"/>
    <m/>
    <n v="0"/>
    <m/>
    <n v="0"/>
    <m/>
    <n v="0"/>
    <s v="FLINTSL"/>
    <n v="24"/>
    <n v="0"/>
    <n v="122.6"/>
    <n v="0"/>
    <n v="10"/>
    <n v="5"/>
    <n v="5"/>
    <n v="5"/>
    <n v="5"/>
    <n v="10"/>
    <n v="5"/>
    <n v="30"/>
    <n v="0.8"/>
    <n v="0.2"/>
    <m/>
    <m/>
    <m/>
    <n v="0"/>
    <n v="119"/>
    <n v="0"/>
    <n v="0"/>
    <n v="119"/>
    <n v="119"/>
    <n v="95.2"/>
    <n v="0"/>
    <n v="23.8"/>
    <n v="0"/>
    <n v="0"/>
    <n v="0"/>
    <n v="0"/>
    <n v="0"/>
    <n v="0"/>
    <n v="0"/>
    <n v="0"/>
    <n v="0"/>
    <n v="0"/>
    <m/>
    <n v="161"/>
    <n v="270"/>
    <n v="117"/>
    <s v="FLINTSLFLINTSLFLINTSLFLINTSLFLINTSLFLINTSLFLINTSLFLINTSL"/>
    <s v="+"/>
    <s v="+"/>
    <s v="+"/>
    <s v="+"/>
    <s v="+"/>
    <s v="+"/>
    <s v="+"/>
    <s v="+"/>
  </r>
  <r>
    <d v="2026-01-16T00:00:00"/>
    <s v="A"/>
    <x v="214"/>
    <n v="118"/>
    <n v="301"/>
    <n v="18900"/>
    <s v="II"/>
    <s v="N"/>
    <n v="2"/>
    <s v="BLACK"/>
    <s v="N00901B"/>
    <s v="FLINTSL - BLACK"/>
    <n v="30"/>
    <n v="0"/>
    <m/>
    <m/>
    <n v="0"/>
    <n v="26520000005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6"/>
    <n v="0"/>
    <n v="7.625"/>
    <n v="0"/>
    <s v="REFLEX BLUE"/>
    <s v="N00901RB"/>
    <s v="FLINTSL - REFLEX BLUE"/>
    <n v="29"/>
    <n v="0"/>
    <m/>
    <m/>
    <n v="0"/>
    <n v="26513000021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6"/>
    <n v="0"/>
    <n v="7.9375"/>
    <n v="0"/>
    <s v="GREEN"/>
    <s v="N00901G"/>
    <s v="FLINTSL - GREEN"/>
    <n v="27"/>
    <n v="0"/>
    <m/>
    <m/>
    <n v="0"/>
    <n v="26516000015"/>
    <n v="26513000021"/>
    <m/>
    <m/>
    <m/>
    <m/>
    <m/>
    <m/>
    <n v="2"/>
    <e v="#N/A"/>
    <n v="3"/>
    <e v="#N/A"/>
    <m/>
    <n v="0"/>
    <m/>
    <n v="0"/>
    <m/>
    <n v="0"/>
    <m/>
    <n v="0"/>
    <m/>
    <n v="0"/>
    <m/>
    <n v="0"/>
    <s v="FLINTSL"/>
    <n v="28"/>
    <n v="0"/>
    <n v="7.9375"/>
    <n v="0"/>
    <s v="RED"/>
    <s v="N00901R"/>
    <s v="FLINTSL - RED"/>
    <n v="30"/>
    <n v="0"/>
    <m/>
    <m/>
    <n v="0"/>
    <n v="26516000011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7"/>
    <n v="0"/>
    <n v="6.625"/>
    <n v="0"/>
    <s v="CYAN"/>
    <s v="N00901C"/>
    <s v="FLINTSL - CYAN"/>
    <n v="33"/>
    <n v="0"/>
    <m/>
    <m/>
    <n v="0"/>
    <n v="26513000021"/>
    <s v="FMD"/>
    <m/>
    <m/>
    <m/>
    <m/>
    <m/>
    <m/>
    <n v="11"/>
    <e v="#N/A"/>
    <n v="5"/>
    <n v="0"/>
    <m/>
    <n v="0"/>
    <m/>
    <n v="0"/>
    <m/>
    <n v="0"/>
    <m/>
    <n v="0"/>
    <m/>
    <n v="0"/>
    <m/>
    <n v="0"/>
    <s v="FLINTSL"/>
    <n v="30"/>
    <n v="0"/>
    <n v="32.125"/>
    <n v="0"/>
    <s v="MAGENTA"/>
    <s v="N00901M"/>
    <s v="FLINTSL - MAGENTA"/>
    <n v="30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6"/>
    <n v="0"/>
    <n v="14.5625"/>
    <n v="0"/>
    <s v="YELLOW"/>
    <s v="N00901Y"/>
    <s v="FLINTSL - YELLOW"/>
    <n v="29"/>
    <n v="0"/>
    <m/>
    <m/>
    <n v="0"/>
    <n v="26516000015"/>
    <s v="FMD"/>
    <m/>
    <m/>
    <m/>
    <m/>
    <m/>
    <m/>
    <n v="10"/>
    <e v="#N/A"/>
    <n v="5"/>
    <n v="0"/>
    <m/>
    <n v="0"/>
    <m/>
    <n v="0"/>
    <m/>
    <n v="0"/>
    <m/>
    <n v="0"/>
    <m/>
    <n v="0"/>
    <m/>
    <n v="0"/>
    <s v="FLINTSL"/>
    <n v="32"/>
    <n v="0"/>
    <n v="25.125"/>
    <n v="0"/>
    <s v="WHITE"/>
    <s v="N00901W"/>
    <s v="FLINTSL - WHITE"/>
    <n v="24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113.0625"/>
    <n v="0"/>
    <n v="2"/>
    <n v="3"/>
    <n v="3"/>
    <n v="2"/>
    <n v="10"/>
    <n v="5"/>
    <n v="10"/>
    <n v="45"/>
    <n v="0.8"/>
    <n v="0.2"/>
    <m/>
    <m/>
    <m/>
    <n v="0"/>
    <n v="105"/>
    <n v="0"/>
    <n v="0"/>
    <n v="105"/>
    <n v="105"/>
    <n v="84"/>
    <n v="0"/>
    <n v="21"/>
    <n v="0"/>
    <n v="0"/>
    <n v="0"/>
    <n v="0"/>
    <n v="0"/>
    <n v="0"/>
    <n v="0"/>
    <n v="0"/>
    <n v="0"/>
    <n v="0"/>
    <m/>
    <n v="103"/>
    <n v="215"/>
    <n v="118"/>
    <s v="FLINTSLFLINTSLFLINTSLFLINTSLFLINTSLFLINTSLFLINTSLFLINTSL"/>
    <s v="+"/>
    <s v="+"/>
    <s v="+"/>
    <s v="+"/>
    <s v="+"/>
    <s v="+"/>
    <s v="+"/>
    <s v="+"/>
  </r>
  <r>
    <d v="2026-01-16T00:00:00"/>
    <s v="A"/>
    <x v="215"/>
    <n v="119"/>
    <n v="681"/>
    <n v="21300"/>
    <s v="I"/>
    <s v="N"/>
    <n v="1.9"/>
    <s v="BLACK"/>
    <s v="E01025B"/>
    <s v="FLINTSL - BLACK"/>
    <n v="26"/>
    <n v="0"/>
    <m/>
    <m/>
    <n v="0"/>
    <s v="FMD"/>
    <n v="26520000010"/>
    <m/>
    <m/>
    <m/>
    <m/>
    <m/>
    <m/>
    <n v="2"/>
    <n v="0"/>
    <n v="3"/>
    <e v="#N/A"/>
    <m/>
    <n v="0"/>
    <m/>
    <n v="0"/>
    <m/>
    <n v="0"/>
    <m/>
    <n v="0"/>
    <m/>
    <n v="0"/>
    <m/>
    <n v="0"/>
    <s v="FLINTSL"/>
    <n v="28"/>
    <n v="0"/>
    <n v="9.974358974358978"/>
    <n v="0"/>
    <s v="REFLEX BLUE"/>
    <m/>
    <s v="FLINTSL - REFLEX BLUE"/>
    <m/>
    <n v="0"/>
    <m/>
    <m/>
    <n v="0"/>
    <n v="26516000019"/>
    <n v="26517000041"/>
    <n v="26520000010"/>
    <m/>
    <m/>
    <m/>
    <m/>
    <m/>
    <n v="10"/>
    <e v="#N/A"/>
    <n v="10"/>
    <e v="#N/A"/>
    <n v="0.2"/>
    <e v="#N/A"/>
    <m/>
    <n v="0"/>
    <m/>
    <n v="0"/>
    <m/>
    <n v="0"/>
    <m/>
    <n v="0"/>
    <m/>
    <n v="0"/>
    <s v="FLINTSL"/>
    <n v="32"/>
    <n v="0"/>
    <n v="14.353846153846156"/>
    <n v="0"/>
    <s v="ORANGE"/>
    <s v="H01332O"/>
    <s v="FLINTSL - ORANGE"/>
    <n v="5"/>
    <n v="0"/>
    <s v="G00385O"/>
    <n v="24"/>
    <n v="0"/>
    <n v="26516000012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0"/>
    <n v="0"/>
    <n v="13.487179487179489"/>
    <n v="0"/>
    <s v="CYAN"/>
    <s v="E01025C"/>
    <s v="FLINTSL - CYAN"/>
    <n v="24"/>
    <n v="0"/>
    <m/>
    <m/>
    <n v="0"/>
    <n v="26515000029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8"/>
    <n v="0"/>
    <n v="10.717948717948715"/>
    <n v="0"/>
    <s v="MAGENTA"/>
    <s v="E01025M"/>
    <s v="FLINTSL - MAGENTA"/>
    <n v="25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5"/>
    <n v="0"/>
    <n v="11.974358974358978"/>
    <n v="0"/>
    <s v="YELLOW"/>
    <s v="E01025Y"/>
    <s v="FLINTSL - YELLOW"/>
    <n v="30"/>
    <n v="0"/>
    <m/>
    <m/>
    <n v="0"/>
    <n v="26516000015"/>
    <s v="FMD"/>
    <m/>
    <m/>
    <m/>
    <m/>
    <m/>
    <m/>
    <n v="7"/>
    <e v="#N/A"/>
    <n v="3"/>
    <n v="0"/>
    <m/>
    <n v="0"/>
    <m/>
    <n v="0"/>
    <m/>
    <n v="0"/>
    <m/>
    <n v="0"/>
    <m/>
    <n v="0"/>
    <m/>
    <n v="0"/>
    <s v="FLINTSL"/>
    <n v="20"/>
    <n v="0"/>
    <n v="33.948717948717949"/>
    <n v="0"/>
    <s v="REFLEX BLUE"/>
    <m/>
    <s v="FLINTSL - REFLEX BLUE"/>
    <m/>
    <n v="0"/>
    <m/>
    <m/>
    <n v="0"/>
    <n v="26516000024"/>
    <n v="26516000026"/>
    <n v="26516000027"/>
    <n v="26516000019"/>
    <m/>
    <m/>
    <m/>
    <m/>
    <n v="30"/>
    <e v="#N/A"/>
    <n v="40"/>
    <e v="#N/A"/>
    <n v="5"/>
    <e v="#N/A"/>
    <n v="0.3"/>
    <e v="#N/A"/>
    <m/>
    <n v="0"/>
    <m/>
    <n v="0"/>
    <m/>
    <n v="0"/>
    <m/>
    <n v="0"/>
    <s v="FLINTSL"/>
    <n v="15"/>
    <n v="0"/>
    <n v="77.735897435897428"/>
    <n v="0"/>
    <s v="WHITE"/>
    <s v="E01025W"/>
    <s v="FLINTSL - WHITE"/>
    <n v="25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5"/>
    <n v="0"/>
    <n v="112.30769230769232"/>
    <n v="0"/>
    <n v="4"/>
    <n v="15"/>
    <n v="2"/>
    <n v="5"/>
    <n v="4"/>
    <n v="8"/>
    <n v="10"/>
    <n v="30"/>
    <n v="0.8"/>
    <n v="0.2"/>
    <m/>
    <m/>
    <m/>
    <n v="0"/>
    <n v="136"/>
    <n v="0"/>
    <n v="0"/>
    <n v="136"/>
    <n v="136"/>
    <n v="108.80000000000001"/>
    <n v="0"/>
    <n v="27.200000000000003"/>
    <n v="0"/>
    <n v="0"/>
    <n v="0"/>
    <n v="0"/>
    <n v="0"/>
    <n v="0"/>
    <n v="0"/>
    <n v="0"/>
    <n v="0"/>
    <n v="0"/>
    <m/>
    <n v="182.5"/>
    <n v="284.5"/>
    <n v="119"/>
    <s v="FLINTSLFLINTSLFLINTSLFLINTSLFLINTSLFLINTSLFLINTSLFLINTSL"/>
    <s v="+"/>
    <s v="+"/>
    <s v="+"/>
    <s v="+"/>
    <s v="+"/>
    <s v="+"/>
    <s v="+"/>
    <s v="+"/>
  </r>
  <r>
    <d v="2026-01-16T00:00:00"/>
    <s v="B"/>
    <x v="216"/>
    <n v="120"/>
    <n v="895"/>
    <n v="58200"/>
    <s v="II"/>
    <s v="N"/>
    <n v="0.63"/>
    <s v="BLACK"/>
    <s v="N00751B"/>
    <s v="FLINTSL - BLACK"/>
    <n v="26"/>
    <n v="0"/>
    <m/>
    <m/>
    <n v="0"/>
    <n v="26520000010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4"/>
    <n v="0"/>
    <n v="22.592592592592595"/>
    <n v="0"/>
    <s v="REFLEX BLUE"/>
    <s v="N00751B"/>
    <s v="FLINTSL - REFLEX BLUE"/>
    <n v="26"/>
    <n v="0"/>
    <m/>
    <m/>
    <n v="0"/>
    <n v="26516000021"/>
    <n v="26517000020"/>
    <m/>
    <m/>
    <m/>
    <m/>
    <m/>
    <m/>
    <n v="4"/>
    <e v="#N/A"/>
    <n v="1"/>
    <e v="#N/A"/>
    <m/>
    <n v="0"/>
    <m/>
    <n v="0"/>
    <m/>
    <n v="0"/>
    <m/>
    <n v="0"/>
    <m/>
    <n v="0"/>
    <m/>
    <n v="0"/>
    <s v="FLINTSL"/>
    <n v="24"/>
    <n v="0"/>
    <n v="23.592592592592595"/>
    <n v="0"/>
    <s v="RED"/>
    <s v="N00751R"/>
    <s v="FLINTSL - RED"/>
    <n v="27"/>
    <n v="0"/>
    <m/>
    <m/>
    <n v="0"/>
    <n v="2651600001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5"/>
    <n v="0"/>
    <n v="30.888888888888886"/>
    <n v="0"/>
    <s v="CYAN"/>
    <s v="N00751C"/>
    <s v="FLINTSL - CYAN"/>
    <n v="30"/>
    <n v="0"/>
    <m/>
    <m/>
    <n v="0"/>
    <n v="26515000029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9"/>
    <n v="0"/>
    <n v="20.592592592592595"/>
    <n v="0"/>
    <s v="MAGENTA"/>
    <s v="N00751M"/>
    <s v="FLINTSL - MAGENTA"/>
    <n v="26"/>
    <n v="0"/>
    <m/>
    <m/>
    <n v="0"/>
    <n v="26517000020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7"/>
    <n v="0"/>
    <n v="27.888888888888886"/>
    <n v="0"/>
    <s v="YELLOW"/>
    <s v="N00751Y"/>
    <s v="FLINTSL - YELLOW"/>
    <n v="32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30"/>
    <n v="0"/>
    <n v="48.481481481481481"/>
    <n v="0"/>
    <s v="REFLEX BLUE"/>
    <s v="H01279B"/>
    <s v="FLINTSL - REFLEX BLUE"/>
    <n v="23"/>
    <n v="0"/>
    <s v="N00834B/J00959B"/>
    <n v="68"/>
    <n v="0"/>
    <n v="26516000006"/>
    <n v="26516000018"/>
    <n v="26516000015"/>
    <s v="FMD"/>
    <n v="26516000031"/>
    <m/>
    <m/>
    <m/>
    <n v="40"/>
    <e v="#N/A"/>
    <n v="5"/>
    <e v="#N/A"/>
    <n v="2"/>
    <e v="#N/A"/>
    <n v="10"/>
    <n v="0"/>
    <n v="20"/>
    <e v="#N/A"/>
    <m/>
    <n v="0"/>
    <m/>
    <n v="0"/>
    <m/>
    <n v="0"/>
    <s v="FLINTSL"/>
    <n v="20"/>
    <n v="0"/>
    <n v="230.9629629629629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3"/>
    <n v="2"/>
    <n v="3"/>
    <n v="5"/>
    <n v="10"/>
    <n v="0"/>
    <n v="0.8"/>
    <n v="0.2"/>
    <m/>
    <m/>
    <m/>
    <n v="0"/>
    <n v="224"/>
    <n v="0"/>
    <n v="0"/>
    <n v="224"/>
    <n v="224"/>
    <n v="179.20000000000002"/>
    <n v="0"/>
    <n v="44.800000000000004"/>
    <n v="0"/>
    <n v="0"/>
    <n v="0"/>
    <n v="0"/>
    <n v="0"/>
    <n v="0"/>
    <n v="0"/>
    <n v="0"/>
    <n v="0"/>
    <n v="0"/>
    <m/>
    <n v="102"/>
    <n v="405"/>
    <n v="120"/>
    <s v="FLINTSLFLINTSLFLINTSLFLINTSLFLINTSLFLINTSLFLINTSL"/>
    <s v="+"/>
    <s v="+"/>
    <s v="+"/>
    <s v="+"/>
    <s v="+"/>
    <s v="+"/>
    <s v="+"/>
    <s v="NIL"/>
  </r>
  <r>
    <d v="2026-01-16T00:00:00"/>
    <s v="B"/>
    <x v="217"/>
    <n v="121"/>
    <n v="479"/>
    <n v="27500"/>
    <s v="II"/>
    <s v="N"/>
    <n v="2.1"/>
    <s v="BLACK"/>
    <s v="F00863B"/>
    <s v="FLINTSL - BLACK"/>
    <n v="24"/>
    <n v="0"/>
    <m/>
    <m/>
    <n v="0"/>
    <n v="26520000010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2"/>
    <n v="0"/>
    <n v="9.0481927710843379"/>
    <n v="0"/>
    <s v="BLACK"/>
    <s v="C01482B"/>
    <s v="FLINTSL - BLACK"/>
    <n v="14"/>
    <n v="0"/>
    <m/>
    <m/>
    <n v="0"/>
    <n v="26516000015"/>
    <n v="26517000020"/>
    <n v="26520000010"/>
    <m/>
    <m/>
    <m/>
    <m/>
    <m/>
    <n v="4"/>
    <e v="#N/A"/>
    <n v="3"/>
    <e v="#N/A"/>
    <n v="3"/>
    <e v="#N/A"/>
    <m/>
    <n v="0"/>
    <m/>
    <n v="0"/>
    <m/>
    <n v="0"/>
    <m/>
    <n v="0"/>
    <m/>
    <n v="0"/>
    <s v="FLINTSL"/>
    <n v="19"/>
    <n v="0"/>
    <n v="15.120481927710841"/>
    <n v="0"/>
    <s v="CYAN"/>
    <s v="F00863C"/>
    <s v="FLINTSL - CYAN"/>
    <n v="29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8"/>
    <n v="0"/>
    <n v="10.048192771084338"/>
    <n v="0"/>
    <s v="MAGENTA"/>
    <s v="F00863M"/>
    <s v="FLINTSL - MAGENTA"/>
    <n v="27"/>
    <n v="0"/>
    <m/>
    <m/>
    <n v="0"/>
    <n v="2651700002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3"/>
    <n v="0"/>
    <n v="8.024096385542169"/>
    <n v="0"/>
    <s v="YELLOW"/>
    <s v="F00863Y"/>
    <s v="FLINTSL - YELLOW"/>
    <n v="30"/>
    <n v="0"/>
    <m/>
    <m/>
    <n v="0"/>
    <n v="2651600001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6"/>
    <n v="0"/>
    <n v="9.0240963855421654"/>
    <n v="0"/>
    <s v="ORANGE"/>
    <m/>
    <s v="FLINTSL - ORANGE"/>
    <m/>
    <n v="0"/>
    <m/>
    <m/>
    <n v="0"/>
    <n v="26517000006"/>
    <n v="26517000020"/>
    <n v="26517000007"/>
    <n v="26516000030"/>
    <m/>
    <m/>
    <m/>
    <m/>
    <n v="40"/>
    <e v="#N/A"/>
    <n v="1"/>
    <e v="#N/A"/>
    <n v="40"/>
    <e v="#N/A"/>
    <n v="20"/>
    <e v="#N/A"/>
    <m/>
    <n v="0"/>
    <m/>
    <n v="0"/>
    <m/>
    <n v="0"/>
    <m/>
    <n v="0"/>
    <s v="FLINTSL"/>
    <n v="15"/>
    <n v="0"/>
    <n v="100.16867469879517"/>
    <n v="0"/>
    <s v="GOLD"/>
    <m/>
    <s v="FLINTSL - GOLD"/>
    <m/>
    <n v="0"/>
    <m/>
    <m/>
    <n v="0"/>
    <n v="26516000015"/>
    <s v="FGO"/>
    <s v="TPT"/>
    <m/>
    <m/>
    <m/>
    <m/>
    <m/>
    <n v="2"/>
    <e v="#N/A"/>
    <n v="20"/>
    <n v="0"/>
    <n v="5"/>
    <n v="0"/>
    <m/>
    <n v="0"/>
    <m/>
    <n v="0"/>
    <m/>
    <n v="0"/>
    <m/>
    <n v="0"/>
    <m/>
    <n v="0"/>
    <s v="FLINTSL"/>
    <n v="29"/>
    <n v="0"/>
    <n v="8.1204819277108413"/>
    <n v="0"/>
    <s v="WHITE"/>
    <s v="N00751W"/>
    <s v="FLINTSL - WHITE"/>
    <n v="30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27"/>
    <n v="0"/>
    <n v="224.44578313253012"/>
    <n v="0"/>
    <n v="2"/>
    <n v="5"/>
    <n v="2"/>
    <n v="1"/>
    <n v="1"/>
    <n v="7"/>
    <n v="5"/>
    <n v="60"/>
    <n v="0.8"/>
    <n v="0.2"/>
    <m/>
    <m/>
    <m/>
    <n v="0"/>
    <n v="168"/>
    <n v="0"/>
    <n v="0"/>
    <n v="168"/>
    <n v="168"/>
    <n v="134.4"/>
    <n v="0"/>
    <n v="33.6"/>
    <n v="0"/>
    <n v="0"/>
    <n v="0"/>
    <n v="0"/>
    <n v="0"/>
    <n v="0"/>
    <n v="0"/>
    <n v="0"/>
    <n v="0"/>
    <n v="0"/>
    <m/>
    <n v="251"/>
    <n v="384"/>
    <n v="121"/>
    <s v="FLINTSLFLINTSLFLINTSLFLINTSLFLINTSLFLINTSLFLINTSLFLINTSL"/>
    <s v="+"/>
    <s v="+"/>
    <s v="+"/>
    <s v="+"/>
    <s v="+"/>
    <s v="+"/>
    <s v="+"/>
    <s v="+"/>
  </r>
  <r>
    <d v="2026-01-16T00:00:00"/>
    <s v="B"/>
    <x v="218"/>
    <n v="122"/>
    <n v="494"/>
    <n v="24300"/>
    <s v="II"/>
    <s v="N"/>
    <n v="2.34"/>
    <s v="BLACK"/>
    <s v="H01358B"/>
    <s v="FLINTSL - BLACK"/>
    <n v="22"/>
    <n v="0"/>
    <m/>
    <m/>
    <n v="0"/>
    <n v="26522000008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30"/>
    <n v="0"/>
    <n v="5.1386138613861405"/>
    <n v="0"/>
    <s v="RED"/>
    <m/>
    <s v="FLINTSL - RED"/>
    <m/>
    <n v="0"/>
    <m/>
    <m/>
    <n v="0"/>
    <n v="26516000013"/>
    <n v="26516000011"/>
    <m/>
    <m/>
    <m/>
    <m/>
    <m/>
    <m/>
    <n v="30"/>
    <e v="#N/A"/>
    <n v="10"/>
    <e v="#N/A"/>
    <m/>
    <n v="0"/>
    <m/>
    <n v="0"/>
    <m/>
    <n v="0"/>
    <m/>
    <n v="0"/>
    <m/>
    <n v="0"/>
    <m/>
    <n v="0"/>
    <s v="FLINTSL"/>
    <n v="35"/>
    <n v="0"/>
    <n v="22.128712871287128"/>
    <n v="0"/>
    <s v="CYAN"/>
    <s v="H01358C"/>
    <s v="FLINTSL - CYAN"/>
    <n v="28"/>
    <n v="0"/>
    <m/>
    <m/>
    <n v="0"/>
    <s v="FMD"/>
    <m/>
    <m/>
    <m/>
    <m/>
    <m/>
    <m/>
    <m/>
    <n v="8"/>
    <n v="0"/>
    <m/>
    <n v="0"/>
    <m/>
    <n v="0"/>
    <m/>
    <n v="0"/>
    <m/>
    <n v="0"/>
    <m/>
    <n v="0"/>
    <m/>
    <n v="0"/>
    <m/>
    <n v="0"/>
    <s v="FLINTSL"/>
    <n v="35"/>
    <n v="0"/>
    <n v="6.1386138613861405"/>
    <n v="0"/>
    <s v="MAGENTA"/>
    <s v="H01358M"/>
    <s v="FLINTSL - MAGENTA"/>
    <n v="23"/>
    <n v="0"/>
    <m/>
    <m/>
    <n v="0"/>
    <n v="26517000020"/>
    <s v="FMD"/>
    <m/>
    <m/>
    <m/>
    <m/>
    <m/>
    <m/>
    <n v="2"/>
    <e v="#N/A"/>
    <n v="5"/>
    <n v="0"/>
    <m/>
    <n v="0"/>
    <m/>
    <n v="0"/>
    <m/>
    <n v="0"/>
    <m/>
    <n v="0"/>
    <m/>
    <n v="0"/>
    <m/>
    <n v="0"/>
    <s v="FLINTSL"/>
    <n v="31"/>
    <n v="0"/>
    <n v="10.990099009900987"/>
    <n v="0"/>
    <s v="YELLOW"/>
    <s v="H01358Y"/>
    <s v="FLINTSL - YELLOW"/>
    <n v="26"/>
    <n v="0"/>
    <m/>
    <m/>
    <n v="0"/>
    <n v="2651600001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6.5643564356435604"/>
    <n v="0"/>
    <s v="MEDIUM"/>
    <s v="J00957M"/>
    <s v="FLINTSL - MEDIUM"/>
    <n v="20"/>
    <n v="0"/>
    <s v="G00385M"/>
    <n v="13"/>
    <n v="0"/>
    <s v="FW"/>
    <n v="26516000015"/>
    <m/>
    <m/>
    <m/>
    <m/>
    <m/>
    <m/>
    <n v="50"/>
    <n v="0"/>
    <n v="5"/>
    <e v="#N/A"/>
    <m/>
    <n v="0"/>
    <m/>
    <n v="0"/>
    <m/>
    <n v="0"/>
    <m/>
    <n v="0"/>
    <m/>
    <n v="0"/>
    <m/>
    <n v="0"/>
    <s v="FLINTSL"/>
    <n v="15"/>
    <n v="0"/>
    <n v="90.128712871287121"/>
    <n v="0"/>
    <s v="GOLD"/>
    <s v="H01358G"/>
    <s v="FLINTSL - GOLD"/>
    <n v="29"/>
    <n v="0"/>
    <m/>
    <m/>
    <n v="0"/>
    <n v="26516000015"/>
    <m/>
    <m/>
    <m/>
    <m/>
    <m/>
    <m/>
    <m/>
    <n v="14"/>
    <e v="#N/A"/>
    <m/>
    <n v="0"/>
    <m/>
    <n v="0"/>
    <m/>
    <n v="0"/>
    <m/>
    <n v="0"/>
    <m/>
    <n v="0"/>
    <m/>
    <n v="0"/>
    <m/>
    <n v="0"/>
    <s v="FLINTSL"/>
    <n v="40"/>
    <n v="0"/>
    <n v="8.1386138613861405"/>
    <n v="0"/>
    <s v="WHITE"/>
    <s v="H01358W"/>
    <s v="FLINTSL - WHITE"/>
    <n v="27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199.77227722772278"/>
    <n v="0"/>
    <n v="3"/>
    <n v="10"/>
    <n v="3"/>
    <n v="7"/>
    <n v="5"/>
    <n v="10"/>
    <n v="3"/>
    <n v="60"/>
    <n v="0.8"/>
    <n v="0.2"/>
    <m/>
    <m/>
    <m/>
    <n v="0"/>
    <n v="173"/>
    <n v="0"/>
    <n v="0"/>
    <n v="173"/>
    <n v="173"/>
    <n v="138.4"/>
    <n v="0"/>
    <n v="34.6"/>
    <n v="0"/>
    <n v="0"/>
    <n v="0"/>
    <n v="0"/>
    <n v="0"/>
    <n v="0"/>
    <n v="0"/>
    <n v="0"/>
    <n v="0"/>
    <n v="0"/>
    <m/>
    <n v="234"/>
    <n v="349"/>
    <n v="122"/>
    <s v="FLINTSLFLINTSLFLINTSLFLINTSLFLINTSLFLINTSLFLINTSLFLINTSL"/>
    <s v="+"/>
    <s v="+"/>
    <s v="+"/>
    <s v="+"/>
    <s v="+"/>
    <s v="+"/>
    <s v="+"/>
    <s v="+"/>
  </r>
  <r>
    <d v="2026-01-17T00:00:00"/>
    <s v="B"/>
    <x v="219"/>
    <n v="123"/>
    <n v="966"/>
    <n v="47300"/>
    <s v="II"/>
    <s v="N"/>
    <n v="1.8"/>
    <s v="BLACK"/>
    <s v="H01357B"/>
    <s v="FLINTSL - BLACK"/>
    <n v="30"/>
    <n v="0"/>
    <m/>
    <m/>
    <n v="0"/>
    <n v="26522000008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4"/>
    <n v="0"/>
    <n v="26.695652173913047"/>
    <n v="0"/>
    <s v="GREEN"/>
    <s v="N00751G"/>
    <s v="FLINTSL - GREEN"/>
    <n v="26"/>
    <n v="0"/>
    <m/>
    <m/>
    <n v="0"/>
    <n v="26516000015"/>
    <n v="26515000029"/>
    <n v="26517000021"/>
    <m/>
    <m/>
    <m/>
    <m/>
    <m/>
    <n v="6"/>
    <e v="#N/A"/>
    <n v="1"/>
    <e v="#N/A"/>
    <n v="40"/>
    <e v="#N/A"/>
    <m/>
    <n v="0"/>
    <m/>
    <n v="0"/>
    <m/>
    <n v="0"/>
    <m/>
    <n v="0"/>
    <m/>
    <n v="0"/>
    <s v="FLINTSL"/>
    <n v="30"/>
    <n v="0"/>
    <n v="57.695652173913047"/>
    <n v="0"/>
    <s v="GREEN"/>
    <s v="J00958G"/>
    <s v="FLINTSL - GREEN"/>
    <n v="30"/>
    <n v="0"/>
    <m/>
    <m/>
    <n v="0"/>
    <n v="26517000032"/>
    <n v="26515000029"/>
    <n v="26516000006"/>
    <n v="26516000022"/>
    <m/>
    <m/>
    <m/>
    <m/>
    <n v="75"/>
    <e v="#N/A"/>
    <n v="1"/>
    <e v="#N/A"/>
    <n v="0.2"/>
    <e v="#N/A"/>
    <n v="35"/>
    <e v="#N/A"/>
    <m/>
    <n v="0"/>
    <m/>
    <n v="0"/>
    <m/>
    <n v="0"/>
    <m/>
    <n v="0"/>
    <s v="FLINTSL"/>
    <n v="30"/>
    <n v="0"/>
    <n v="184.67826086956521"/>
    <n v="0"/>
    <s v="GREEN"/>
    <s v="J00997G"/>
    <s v="FLINTSL - GREEN"/>
    <n v="15"/>
    <n v="0"/>
    <m/>
    <m/>
    <n v="0"/>
    <s v="FMD"/>
    <n v="26516000015"/>
    <n v="26515000029"/>
    <n v="26522000008"/>
    <m/>
    <m/>
    <m/>
    <m/>
    <n v="9"/>
    <n v="0"/>
    <n v="20"/>
    <e v="#N/A"/>
    <n v="4"/>
    <e v="#N/A"/>
    <n v="0.2"/>
    <e v="#N/A"/>
    <m/>
    <n v="0"/>
    <m/>
    <n v="0"/>
    <m/>
    <n v="0"/>
    <m/>
    <n v="0"/>
    <s v="FLINTSL"/>
    <n v="25"/>
    <n v="0"/>
    <n v="37.895652173913049"/>
    <n v="0"/>
    <s v="GREEN"/>
    <s v="C01489G"/>
    <s v="FLINTSL - GREEN"/>
    <n v="23"/>
    <n v="0"/>
    <m/>
    <m/>
    <n v="0"/>
    <s v="FMD"/>
    <n v="26516000015"/>
    <n v="26515000029"/>
    <n v="26522000008"/>
    <m/>
    <m/>
    <m/>
    <m/>
    <n v="10"/>
    <n v="0"/>
    <n v="7"/>
    <e v="#N/A"/>
    <n v="2"/>
    <e v="#N/A"/>
    <n v="0.2"/>
    <e v="#N/A"/>
    <m/>
    <n v="0"/>
    <m/>
    <n v="0"/>
    <m/>
    <n v="0"/>
    <m/>
    <n v="0"/>
    <s v="FLINTSL"/>
    <n v="30"/>
    <n v="0"/>
    <n v="26.895652173913049"/>
    <n v="0"/>
    <s v="RED"/>
    <s v="H01357R"/>
    <s v="FLINTSL - RED"/>
    <n v="15"/>
    <n v="0"/>
    <m/>
    <m/>
    <n v="0"/>
    <s v="FMD"/>
    <n v="26517000020"/>
    <m/>
    <m/>
    <m/>
    <m/>
    <m/>
    <m/>
    <n v="8"/>
    <n v="0"/>
    <n v="2"/>
    <e v="#N/A"/>
    <m/>
    <n v="0"/>
    <m/>
    <n v="0"/>
    <m/>
    <n v="0"/>
    <m/>
    <n v="0"/>
    <m/>
    <n v="0"/>
    <m/>
    <n v="0"/>
    <s v="FLINTSL"/>
    <n v="33"/>
    <n v="0"/>
    <n v="6.6956521739130466"/>
    <n v="0"/>
    <s v="YELLOW"/>
    <s v="H01357Y"/>
    <s v="FLINTSL - YELLOW"/>
    <n v="30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4"/>
    <n v="0"/>
    <n v="24.695652173913047"/>
    <n v="0"/>
    <s v="WHITE"/>
    <s v="H01357W"/>
    <s v="FLINTSL - WHITE"/>
    <n v="30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276.3478260869565"/>
    <n v="0"/>
    <n v="5"/>
    <n v="5"/>
    <n v="25"/>
    <n v="5"/>
    <n v="5"/>
    <n v="5"/>
    <n v="5"/>
    <n v="60"/>
    <n v="0.8"/>
    <n v="0.2"/>
    <m/>
    <m/>
    <m/>
    <n v="0"/>
    <n v="338"/>
    <n v="0"/>
    <n v="0"/>
    <n v="338"/>
    <n v="338"/>
    <n v="270.40000000000003"/>
    <n v="0"/>
    <n v="67.600000000000009"/>
    <n v="0"/>
    <n v="0"/>
    <n v="0"/>
    <n v="0"/>
    <n v="0"/>
    <n v="0"/>
    <n v="0"/>
    <n v="0"/>
    <n v="0"/>
    <n v="0"/>
    <m/>
    <n v="330.59999999999997"/>
    <n v="641.6"/>
    <n v="123"/>
    <s v="FLINTSLFLINTSLFLINTSLFLINTSLFLINTSLFLINTSLFLINTSLFLINTSL"/>
    <s v="+"/>
    <s v="+"/>
    <s v="+"/>
    <s v="+"/>
    <s v="+"/>
    <s v="+"/>
    <s v="+"/>
    <s v="+"/>
  </r>
  <r>
    <d v="2026-01-17T00:00:00"/>
    <s v="A"/>
    <x v="220"/>
    <n v="124"/>
    <n v="1896"/>
    <n v="111400"/>
    <s v="I"/>
    <s v="N"/>
    <n v="2"/>
    <s v="BLACK"/>
    <s v="N00834B"/>
    <s v="FLINTSL - BLACK"/>
    <n v="28"/>
    <n v="0"/>
    <m/>
    <m/>
    <n v="0"/>
    <n v="2652200000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11.011320754716984"/>
    <n v="0"/>
    <s v="RED"/>
    <m/>
    <s v="FLINTSL - RED"/>
    <m/>
    <n v="0"/>
    <m/>
    <m/>
    <n v="0"/>
    <n v="26517000020"/>
    <n v="26516000011"/>
    <n v="26522000008"/>
    <m/>
    <m/>
    <m/>
    <m/>
    <m/>
    <n v="15"/>
    <e v="#N/A"/>
    <n v="8"/>
    <e v="#N/A"/>
    <n v="2"/>
    <e v="#N/A"/>
    <m/>
    <n v="0"/>
    <m/>
    <n v="0"/>
    <m/>
    <n v="0"/>
    <m/>
    <n v="0"/>
    <m/>
    <n v="0"/>
    <s v="FLINTSL"/>
    <n v="22"/>
    <n v="0"/>
    <n v="40.584905660377359"/>
    <n v="0"/>
    <s v="BLACK"/>
    <s v="H01358B"/>
    <s v="FLINTSL - BLACK"/>
    <n v="19"/>
    <n v="0"/>
    <s v="H01358B/H01332B/N00834B/E01025B/G00385B"/>
    <n v="110"/>
    <n v="0"/>
    <n v="26517000032"/>
    <n v="26517000020"/>
    <n v="26522000008"/>
    <n v="26517000024"/>
    <n v="26517000028"/>
    <m/>
    <m/>
    <m/>
    <n v="30"/>
    <e v="#N/A"/>
    <n v="15"/>
    <e v="#N/A"/>
    <n v="5"/>
    <e v="#N/A"/>
    <n v="30"/>
    <e v="#N/A"/>
    <n v="10"/>
    <e v="#N/A"/>
    <m/>
    <n v="0"/>
    <m/>
    <n v="0"/>
    <m/>
    <n v="0"/>
    <s v="FLINTSL"/>
    <n v="30"/>
    <n v="0"/>
    <n v="264.16981132075472"/>
    <n v="0"/>
    <s v="GREEN"/>
    <s v="J00957G"/>
    <s v="FLINTSL - GREEN"/>
    <n v="20"/>
    <n v="0"/>
    <m/>
    <m/>
    <n v="0"/>
    <n v="26516000006"/>
    <n v="26517000032"/>
    <m/>
    <m/>
    <m/>
    <m/>
    <m/>
    <m/>
    <n v="1"/>
    <e v="#N/A"/>
    <n v="2"/>
    <e v="#N/A"/>
    <m/>
    <n v="0"/>
    <m/>
    <n v="0"/>
    <m/>
    <n v="0"/>
    <m/>
    <n v="0"/>
    <m/>
    <n v="0"/>
    <m/>
    <n v="0"/>
    <s v="FLINTSL"/>
    <n v="20"/>
    <n v="0"/>
    <n v="10.516981132075472"/>
    <n v="0"/>
    <s v="MAGENTA"/>
    <s v="N00834M"/>
    <s v="FLINTSL - MAGENTA"/>
    <n v="25"/>
    <n v="0"/>
    <m/>
    <m/>
    <n v="0"/>
    <n v="26517000020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6"/>
    <n v="0"/>
    <n v="16.528301886792448"/>
    <n v="0"/>
    <s v="YELLOW"/>
    <s v="N00834Y"/>
    <s v="FLINTSL - YELLOW"/>
    <n v="20"/>
    <n v="0"/>
    <m/>
    <m/>
    <n v="0"/>
    <n v="26517000032"/>
    <s v="FMD"/>
    <m/>
    <m/>
    <m/>
    <m/>
    <m/>
    <m/>
    <n v="5"/>
    <e v="#N/A"/>
    <n v="5"/>
    <n v="0"/>
    <m/>
    <n v="0"/>
    <m/>
    <n v="0"/>
    <m/>
    <n v="0"/>
    <m/>
    <n v="0"/>
    <m/>
    <n v="0"/>
    <m/>
    <n v="0"/>
    <s v="FLINTSL"/>
    <n v="27"/>
    <n v="0"/>
    <n v="28.056603773584904"/>
    <n v="0"/>
    <s v="MEDIUM"/>
    <m/>
    <s v="FLINTSL - MEDIUM"/>
    <m/>
    <n v="0"/>
    <m/>
    <m/>
    <n v="0"/>
    <n v="26517000008"/>
    <n v="26517000014"/>
    <n v="26517000015"/>
    <n v="26517000023"/>
    <n v="26517000020"/>
    <n v="26516000012"/>
    <m/>
    <m/>
    <n v="25"/>
    <e v="#N/A"/>
    <n v="40"/>
    <e v="#N/A"/>
    <n v="30"/>
    <e v="#N/A"/>
    <n v="30"/>
    <e v="#N/A"/>
    <n v="2"/>
    <e v="#N/A"/>
    <n v="1"/>
    <e v="#N/A"/>
    <m/>
    <n v="0"/>
    <m/>
    <n v="0"/>
    <s v="FLINTSL"/>
    <n v="40"/>
    <n v="0"/>
    <n v="88"/>
    <n v="0"/>
    <s v="WHITE"/>
    <s v="N00834W"/>
    <s v="FLINTSL - WHITE"/>
    <n v="25"/>
    <n v="0"/>
    <m/>
    <m/>
    <n v="0"/>
    <s v="FW"/>
    <s v="WRK6-028K"/>
    <m/>
    <m/>
    <m/>
    <m/>
    <m/>
    <m/>
    <n v="360"/>
    <n v="0"/>
    <n v="10.8"/>
    <n v="0"/>
    <m/>
    <n v="0"/>
    <m/>
    <n v="0"/>
    <m/>
    <n v="0"/>
    <m/>
    <n v="0"/>
    <m/>
    <n v="0"/>
    <m/>
    <n v="0"/>
    <s v="FLINTSL"/>
    <n v="20"/>
    <n v="0"/>
    <n v="876.93207547169823"/>
    <n v="0"/>
    <n v="2"/>
    <n v="15"/>
    <n v="30"/>
    <n v="3"/>
    <n v="5"/>
    <n v="10"/>
    <n v="0"/>
    <n v="200"/>
    <n v="0.8"/>
    <n v="0.2"/>
    <m/>
    <m/>
    <m/>
    <n v="0"/>
    <n v="664"/>
    <n v="0"/>
    <n v="0"/>
    <n v="664"/>
    <n v="664"/>
    <n v="531.20000000000005"/>
    <n v="0"/>
    <n v="132.80000000000001"/>
    <n v="0"/>
    <n v="0"/>
    <n v="0"/>
    <n v="0"/>
    <n v="0"/>
    <n v="0"/>
    <n v="0"/>
    <n v="0"/>
    <n v="0"/>
    <n v="0"/>
    <m/>
    <n v="633.79999999999995"/>
    <n v="1335.8000000000002"/>
    <n v="124"/>
    <s v="FLINTSLFLINTSLFLINTSLFLINTSLFLINTSLFLINTSLFLINTSLFLINTSL"/>
    <s v="+"/>
    <s v="+"/>
    <s v="+"/>
    <s v="+"/>
    <s v="+"/>
    <s v="+"/>
    <s v="+"/>
    <s v="+"/>
  </r>
  <r>
    <d v="2026-01-17T00:00:00"/>
    <s v="A"/>
    <x v="221"/>
    <n v="125"/>
    <n v="575"/>
    <n v="17700"/>
    <s v="II"/>
    <s v="N"/>
    <n v="1.4"/>
    <s v="BLACK"/>
    <s v="C01410B"/>
    <s v="FLINTSL - BLACK"/>
    <n v="24"/>
    <n v="0"/>
    <m/>
    <m/>
    <n v="0"/>
    <n v="26522000008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30"/>
    <n v="0"/>
    <n v="12"/>
    <n v="0"/>
    <s v="MAGENTA"/>
    <m/>
    <s v="FLINTSL - MAGENTA"/>
    <m/>
    <n v="0"/>
    <m/>
    <m/>
    <n v="0"/>
    <n v="26517000045"/>
    <s v="FMD"/>
    <m/>
    <m/>
    <m/>
    <m/>
    <m/>
    <m/>
    <n v="10"/>
    <e v="#N/A"/>
    <n v="7"/>
    <n v="0"/>
    <m/>
    <n v="0"/>
    <m/>
    <n v="0"/>
    <m/>
    <n v="0"/>
    <m/>
    <n v="0"/>
    <m/>
    <n v="0"/>
    <m/>
    <n v="0"/>
    <s v="FLINTSL"/>
    <n v="30"/>
    <n v="0"/>
    <n v="11"/>
    <n v="0"/>
    <s v="CYAN"/>
    <s v="H01357C"/>
    <s v="FLINTSL - CYAN"/>
    <n v="10"/>
    <n v="0"/>
    <m/>
    <m/>
    <n v="0"/>
    <n v="26516000006"/>
    <s v="FMD"/>
    <m/>
    <m/>
    <m/>
    <m/>
    <m/>
    <m/>
    <n v="7"/>
    <e v="#N/A"/>
    <n v="12"/>
    <n v="0"/>
    <m/>
    <n v="0"/>
    <m/>
    <n v="0"/>
    <m/>
    <n v="0"/>
    <m/>
    <n v="0"/>
    <m/>
    <n v="0"/>
    <m/>
    <n v="0"/>
    <s v="FLINTSL"/>
    <n v="26"/>
    <n v="0"/>
    <n v="27"/>
    <n v="0"/>
    <s v="CYAN"/>
    <m/>
    <s v="FLINTSL - CYAN"/>
    <m/>
    <n v="0"/>
    <m/>
    <m/>
    <n v="0"/>
    <n v="26517000025"/>
    <n v="26516000006"/>
    <s v="FMD"/>
    <m/>
    <m/>
    <m/>
    <m/>
    <m/>
    <n v="30"/>
    <e v="#N/A"/>
    <n v="5"/>
    <e v="#N/A"/>
    <n v="10"/>
    <n v="0"/>
    <m/>
    <n v="0"/>
    <m/>
    <n v="0"/>
    <m/>
    <n v="0"/>
    <m/>
    <n v="0"/>
    <m/>
    <n v="0"/>
    <s v="FLINTSL"/>
    <n v="30"/>
    <n v="0"/>
    <n v="27"/>
    <n v="0"/>
    <s v="MAGENTA"/>
    <s v="H01357M"/>
    <s v="FLINTSL - MAGENTA"/>
    <n v="31"/>
    <n v="0"/>
    <m/>
    <m/>
    <n v="0"/>
    <n v="26517000020"/>
    <m/>
    <m/>
    <m/>
    <m/>
    <m/>
    <m/>
    <m/>
    <n v="7"/>
    <e v="#N/A"/>
    <m/>
    <n v="0"/>
    <m/>
    <n v="0"/>
    <m/>
    <n v="0"/>
    <m/>
    <n v="0"/>
    <m/>
    <n v="0"/>
    <m/>
    <n v="0"/>
    <m/>
    <n v="0"/>
    <s v="FLINTSL"/>
    <n v="29"/>
    <n v="0"/>
    <n v="21"/>
    <n v="0"/>
    <s v="YELLOW"/>
    <s v="C01410Y"/>
    <s v="FLINTSL - YELLOW"/>
    <n v="24"/>
    <n v="0"/>
    <m/>
    <m/>
    <n v="0"/>
    <n v="26517000013"/>
    <s v="FMD"/>
    <m/>
    <m/>
    <m/>
    <m/>
    <m/>
    <m/>
    <n v="25"/>
    <e v="#N/A"/>
    <n v="10"/>
    <n v="0"/>
    <m/>
    <n v="0"/>
    <m/>
    <n v="0"/>
    <m/>
    <n v="0"/>
    <m/>
    <n v="0"/>
    <m/>
    <n v="0"/>
    <m/>
    <n v="0"/>
    <s v="FLINTSL"/>
    <n v="24"/>
    <n v="0"/>
    <n v="59"/>
    <n v="0"/>
    <s v="WHITE"/>
    <s v="C01410W"/>
    <s v="FLINTSL - WHITE"/>
    <n v="30"/>
    <n v="0"/>
    <m/>
    <m/>
    <n v="0"/>
    <s v="FW"/>
    <m/>
    <m/>
    <m/>
    <m/>
    <m/>
    <m/>
    <m/>
    <n v="25"/>
    <n v="0"/>
    <m/>
    <n v="0"/>
    <m/>
    <n v="0"/>
    <m/>
    <n v="0"/>
    <m/>
    <n v="0"/>
    <m/>
    <n v="0"/>
    <m/>
    <n v="0"/>
    <m/>
    <n v="0"/>
    <s v="FLINTSL"/>
    <n v="24"/>
    <n v="0"/>
    <n v="6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10"/>
    <n v="5"/>
    <n v="5"/>
    <n v="10"/>
    <n v="15"/>
    <n v="0"/>
    <n v="0.8"/>
    <n v="0.2"/>
    <m/>
    <m/>
    <m/>
    <n v="0"/>
    <n v="144"/>
    <n v="0"/>
    <n v="0"/>
    <n v="144"/>
    <n v="144"/>
    <n v="115.2"/>
    <n v="0"/>
    <n v="28.8"/>
    <n v="0"/>
    <n v="0"/>
    <n v="0"/>
    <n v="0"/>
    <n v="0"/>
    <n v="0"/>
    <n v="0"/>
    <n v="0"/>
    <n v="0"/>
    <n v="0"/>
    <m/>
    <n v="154"/>
    <n v="224"/>
    <n v="125"/>
    <s v="FLINTSLFLINTSLFLINTSLFLINTSLFLINTSLFLINTSLFLINTSL"/>
    <s v="+"/>
    <s v="+"/>
    <s v="+"/>
    <s v="+"/>
    <s v="+"/>
    <s v="+"/>
    <s v="+"/>
    <s v="NIL"/>
  </r>
  <r>
    <d v="2026-01-17T00:00:00"/>
    <s v="A"/>
    <x v="222"/>
    <n v="126"/>
    <n v="424"/>
    <n v="24900"/>
    <s v="II"/>
    <s v="N"/>
    <n v="1.8"/>
    <s v="GOLD"/>
    <m/>
    <s v="FLINTSL - GOLD"/>
    <m/>
    <n v="0"/>
    <m/>
    <m/>
    <n v="0"/>
    <s v="FGO"/>
    <n v="26516000011"/>
    <m/>
    <m/>
    <m/>
    <m/>
    <m/>
    <m/>
    <n v="18"/>
    <n v="0"/>
    <n v="0.2"/>
    <e v="#N/A"/>
    <m/>
    <n v="0"/>
    <m/>
    <n v="0"/>
    <m/>
    <n v="0"/>
    <m/>
    <n v="0"/>
    <m/>
    <n v="0"/>
    <m/>
    <n v="0"/>
    <s v="FLINTSL"/>
    <n v="25"/>
    <n v="0"/>
    <n v="11.700000000000003"/>
    <n v="0"/>
    <s v="BLACK"/>
    <s v="E01019B"/>
    <s v="FLINTSL - BLACK"/>
    <n v="24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5"/>
    <n v="0"/>
    <n v="11.399999999999999"/>
    <n v="0"/>
    <s v="RED"/>
    <s v="H01357R"/>
    <s v="FLINTSL - RED"/>
    <n v="25"/>
    <n v="0"/>
    <m/>
    <m/>
    <n v="0"/>
    <n v="26517000026"/>
    <n v="26517000033"/>
    <n v="26517000045"/>
    <n v="26522000008"/>
    <n v="26516000011"/>
    <m/>
    <m/>
    <m/>
    <n v="40"/>
    <e v="#N/A"/>
    <n v="40"/>
    <e v="#N/A"/>
    <n v="10"/>
    <e v="#N/A"/>
    <n v="1"/>
    <e v="#N/A"/>
    <n v="5"/>
    <e v="#N/A"/>
    <m/>
    <n v="0"/>
    <m/>
    <n v="0"/>
    <m/>
    <n v="0"/>
    <s v="FLINTSL"/>
    <n v="27"/>
    <n v="0"/>
    <n v="106.94999999999999"/>
    <n v="0"/>
    <s v="BLACK"/>
    <s v="E01015B"/>
    <s v="FLINTSL - BLACK"/>
    <n v="30"/>
    <n v="0"/>
    <m/>
    <m/>
    <n v="0"/>
    <n v="26518000009"/>
    <n v="26522000008"/>
    <n v="26519000027"/>
    <m/>
    <m/>
    <m/>
    <m/>
    <m/>
    <n v="5"/>
    <e v="#N/A"/>
    <n v="5"/>
    <e v="#N/A"/>
    <n v="6"/>
    <e v="#N/A"/>
    <m/>
    <n v="0"/>
    <m/>
    <n v="0"/>
    <m/>
    <n v="0"/>
    <m/>
    <n v="0"/>
    <m/>
    <n v="0"/>
    <s v="FLINTSL"/>
    <n v="26"/>
    <n v="0"/>
    <n v="29.25"/>
    <n v="0"/>
    <s v="CYAN"/>
    <s v="H01387C"/>
    <s v="FLINTSL - CYAN"/>
    <n v="25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5"/>
    <n v="0"/>
    <n v="13.399999999999999"/>
    <n v="0"/>
    <s v="MAGENTA"/>
    <s v="E01014M"/>
    <s v="FLINTSL - MAGENTA"/>
    <n v="26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4"/>
    <n v="0"/>
    <n v="15.25"/>
    <n v="0"/>
    <s v="YELLOW"/>
    <s v="E01019Y"/>
    <s v="FLINTSL - YELLOW"/>
    <n v="27"/>
    <n v="0"/>
    <m/>
    <m/>
    <n v="0"/>
    <s v="FMD"/>
    <n v="26516000015"/>
    <m/>
    <m/>
    <m/>
    <m/>
    <m/>
    <m/>
    <n v="5"/>
    <n v="0"/>
    <n v="2"/>
    <e v="#N/A"/>
    <m/>
    <n v="0"/>
    <m/>
    <n v="0"/>
    <m/>
    <n v="0"/>
    <m/>
    <n v="0"/>
    <m/>
    <n v="0"/>
    <m/>
    <n v="0"/>
    <s v="FLINTSL"/>
    <n v="22"/>
    <n v="0"/>
    <n v="21.25"/>
    <n v="0"/>
    <s v="WHITE"/>
    <s v="E01019W"/>
    <s v="FLINTSL - WHITE"/>
    <n v="20"/>
    <n v="0"/>
    <m/>
    <m/>
    <n v="0"/>
    <s v="FW"/>
    <s v="WRK6-028K"/>
    <m/>
    <m/>
    <m/>
    <m/>
    <m/>
    <m/>
    <n v="80"/>
    <n v="0"/>
    <n v="9.61"/>
    <n v="0"/>
    <m/>
    <n v="0"/>
    <m/>
    <n v="0"/>
    <m/>
    <n v="0"/>
    <m/>
    <n v="0"/>
    <m/>
    <n v="0"/>
    <m/>
    <n v="0"/>
    <s v="FLINTSL"/>
    <n v="30"/>
    <n v="0"/>
    <n v="153.61000000000001"/>
    <n v="0"/>
    <n v="10"/>
    <n v="4"/>
    <n v="7"/>
    <n v="5"/>
    <n v="4"/>
    <n v="5"/>
    <n v="5"/>
    <n v="40"/>
    <n v="0.8"/>
    <n v="0.2"/>
    <m/>
    <m/>
    <m/>
    <n v="0"/>
    <n v="148"/>
    <n v="0"/>
    <n v="0"/>
    <n v="148"/>
    <n v="148"/>
    <n v="118.4"/>
    <n v="0"/>
    <n v="29.6"/>
    <n v="0"/>
    <n v="0"/>
    <n v="0"/>
    <n v="0"/>
    <n v="0"/>
    <n v="0"/>
    <n v="0"/>
    <n v="0"/>
    <n v="0"/>
    <n v="0"/>
    <m/>
    <n v="241.81"/>
    <n v="362.81"/>
    <n v="126"/>
    <s v="FLINTSLFLINTSLFLINTSLFLINTSLFLINTSLFLINTSLFLINTSLFLINTSL"/>
    <s v="+"/>
    <s v="+"/>
    <s v="+"/>
    <s v="+"/>
    <s v="+"/>
    <s v="+"/>
    <s v="+"/>
    <s v="+"/>
  </r>
  <r>
    <d v="2026-01-17T00:00:00"/>
    <s v="A"/>
    <x v="223"/>
    <n v="127"/>
    <n v="517"/>
    <n v="44700"/>
    <s v="II"/>
    <s v="N"/>
    <n v="1.4"/>
    <s v="BLACK"/>
    <s v="B01055B"/>
    <s v="FLINTSL - BLACK"/>
    <n v="30"/>
    <n v="0"/>
    <m/>
    <m/>
    <n v="0"/>
    <n v="26522000008"/>
    <s v="FMD"/>
    <m/>
    <m/>
    <m/>
    <m/>
    <m/>
    <m/>
    <n v="2"/>
    <e v="#N/A"/>
    <n v="5"/>
    <n v="0"/>
    <m/>
    <n v="0"/>
    <m/>
    <n v="0"/>
    <m/>
    <n v="0"/>
    <m/>
    <n v="0"/>
    <m/>
    <n v="0"/>
    <m/>
    <n v="0"/>
    <s v="FLINTSL"/>
    <n v="28"/>
    <n v="0"/>
    <n v="21.397260273972606"/>
    <n v="0"/>
    <s v="GOLD"/>
    <s v="H01357G"/>
    <s v="FLINTSL - GOLD"/>
    <n v="23"/>
    <n v="0"/>
    <m/>
    <m/>
    <n v="0"/>
    <n v="26516000015"/>
    <s v="FSI"/>
    <m/>
    <m/>
    <m/>
    <m/>
    <m/>
    <m/>
    <n v="2"/>
    <e v="#N/A"/>
    <n v="8"/>
    <n v="0"/>
    <m/>
    <n v="0"/>
    <m/>
    <n v="0"/>
    <m/>
    <n v="0"/>
    <m/>
    <n v="0"/>
    <m/>
    <n v="0"/>
    <m/>
    <n v="0"/>
    <s v="FLINTSL"/>
    <n v="29"/>
    <n v="0"/>
    <n v="16.397260273972606"/>
    <n v="0"/>
    <s v="RED"/>
    <s v="C01410R"/>
    <s v="FLINTSL - RED"/>
    <n v="23"/>
    <n v="0"/>
    <m/>
    <m/>
    <n v="0"/>
    <n v="26519000029"/>
    <n v="26516000012"/>
    <n v="26518000009"/>
    <m/>
    <m/>
    <m/>
    <m/>
    <m/>
    <n v="10"/>
    <e v="#N/A"/>
    <n v="2"/>
    <e v="#N/A"/>
    <n v="4"/>
    <e v="#N/A"/>
    <m/>
    <n v="0"/>
    <m/>
    <n v="0"/>
    <m/>
    <n v="0"/>
    <m/>
    <n v="0"/>
    <m/>
    <n v="0"/>
    <s v="FLINTSL"/>
    <n v="27"/>
    <n v="0"/>
    <n v="31.835616438356162"/>
    <n v="0"/>
    <s v="CYAN"/>
    <s v="B01055C"/>
    <s v="FLINTSL - CYAN"/>
    <n v="26"/>
    <n v="0"/>
    <m/>
    <m/>
    <n v="0"/>
    <n v="26516000006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30"/>
    <n v="0"/>
    <n v="16.397260273972606"/>
    <n v="0"/>
    <s v="MAGENTA"/>
    <s v="B01055M"/>
    <s v="FLINTSL - MAGENTA"/>
    <n v="29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8"/>
    <n v="0"/>
    <n v="19.397260273972606"/>
    <n v="0"/>
    <s v="YELLOW"/>
    <s v="B01055Y"/>
    <s v="FLINTSL - YELLOW"/>
    <n v="24"/>
    <n v="0"/>
    <m/>
    <m/>
    <n v="0"/>
    <n v="26516000015"/>
    <s v="FMD"/>
    <m/>
    <m/>
    <m/>
    <m/>
    <m/>
    <m/>
    <n v="6"/>
    <e v="#N/A"/>
    <n v="6"/>
    <n v="0"/>
    <m/>
    <n v="0"/>
    <m/>
    <n v="0"/>
    <m/>
    <n v="0"/>
    <m/>
    <n v="0"/>
    <m/>
    <n v="0"/>
    <m/>
    <n v="0"/>
    <s v="FLINTSL"/>
    <n v="27"/>
    <n v="0"/>
    <n v="21.397260273972606"/>
    <n v="0"/>
    <s v="YELLOW"/>
    <m/>
    <s v="FLINTSL - YELLOW"/>
    <m/>
    <n v="0"/>
    <m/>
    <m/>
    <n v="0"/>
    <n v="26517000040"/>
    <n v="26517000035"/>
    <n v="26517000034"/>
    <n v="26516000017"/>
    <m/>
    <m/>
    <m/>
    <m/>
    <n v="40"/>
    <e v="#N/A"/>
    <n v="40"/>
    <e v="#N/A"/>
    <n v="40"/>
    <e v="#N/A"/>
    <n v="30"/>
    <e v="#N/A"/>
    <m/>
    <n v="0"/>
    <m/>
    <n v="0"/>
    <m/>
    <n v="0"/>
    <m/>
    <n v="0"/>
    <s v="FLINTSL"/>
    <n v="29"/>
    <n v="0"/>
    <n v="145.79452054794521"/>
    <n v="0"/>
    <s v="WHITE"/>
    <s v="B01055W"/>
    <s v="FLINTSL - WHITE"/>
    <n v="24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30"/>
    <n v="0"/>
    <n v="118.38356164383561"/>
    <n v="0"/>
    <n v="5"/>
    <n v="5"/>
    <n v="8"/>
    <n v="5"/>
    <n v="5"/>
    <n v="5"/>
    <n v="10"/>
    <n v="30"/>
    <n v="0.8"/>
    <n v="0.2"/>
    <m/>
    <m/>
    <m/>
    <n v="0"/>
    <n v="181"/>
    <n v="0"/>
    <n v="0"/>
    <n v="181"/>
    <n v="181"/>
    <n v="144.80000000000001"/>
    <n v="0"/>
    <n v="36.200000000000003"/>
    <n v="0"/>
    <n v="0"/>
    <n v="0"/>
    <n v="0"/>
    <n v="0"/>
    <n v="0"/>
    <n v="0"/>
    <n v="0"/>
    <n v="0"/>
    <n v="0"/>
    <m/>
    <n v="259"/>
    <n v="391"/>
    <n v="127"/>
    <s v="FLINTSLFLINTSLFLINTSLFLINTSLFLINTSLFLINTSLFLINTSLFLINTSL"/>
    <s v="+"/>
    <s v="+"/>
    <s v="+"/>
    <s v="+"/>
    <s v="+"/>
    <s v="+"/>
    <s v="+"/>
    <s v="+"/>
  </r>
  <r>
    <d v="2026-01-17T00:00:00"/>
    <s v="A"/>
    <x v="224"/>
    <n v="128"/>
    <n v="1898"/>
    <n v="111500"/>
    <s v="I"/>
    <s v="N"/>
    <n v="1.8"/>
    <s v="GOLD"/>
    <s v="E01019G"/>
    <s v="FLINTSL - GOLD"/>
    <n v="25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4.3116883116883109"/>
    <n v="0"/>
    <s v="BLACK"/>
    <s v="E01019B"/>
    <s v="FLINTSL - BLACK"/>
    <n v="25"/>
    <n v="0"/>
    <m/>
    <m/>
    <n v="0"/>
    <n v="2652300002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4"/>
    <n v="0"/>
    <n v="11.467532467532465"/>
    <n v="0"/>
    <s v="BLACK"/>
    <s v="E01019B"/>
    <s v="FLINTSL - BLACK"/>
    <n v="26"/>
    <n v="0"/>
    <m/>
    <m/>
    <n v="0"/>
    <n v="26523000021"/>
    <n v="26516000015"/>
    <n v="26519000027"/>
    <m/>
    <m/>
    <m/>
    <m/>
    <m/>
    <n v="7"/>
    <e v="#N/A"/>
    <n v="2"/>
    <e v="#N/A"/>
    <n v="5"/>
    <e v="#N/A"/>
    <m/>
    <n v="0"/>
    <m/>
    <n v="0"/>
    <m/>
    <n v="0"/>
    <m/>
    <n v="0"/>
    <m/>
    <n v="0"/>
    <s v="FLINTSL"/>
    <n v="30"/>
    <n v="0"/>
    <n v="31.558441558441558"/>
    <n v="0"/>
    <s v="REFLEX BLUE"/>
    <m/>
    <s v="FLINTSL - REFLEX BLUE"/>
    <m/>
    <n v="0"/>
    <m/>
    <m/>
    <n v="0"/>
    <n v="26517000039"/>
    <n v="26521000005"/>
    <n v="66701"/>
    <n v="26516000028"/>
    <m/>
    <m/>
    <m/>
    <m/>
    <n v="130"/>
    <e v="#N/A"/>
    <n v="50"/>
    <e v="#N/A"/>
    <n v="50"/>
    <n v="0"/>
    <n v="17"/>
    <e v="#N/A"/>
    <m/>
    <n v="0"/>
    <m/>
    <n v="0"/>
    <m/>
    <n v="0"/>
    <m/>
    <n v="0"/>
    <s v="FLINTSL"/>
    <n v="32"/>
    <n v="0"/>
    <n v="290.45454545454544"/>
    <n v="0"/>
    <s v="CYAN"/>
    <s v="E01019C"/>
    <s v="FLINTSL - CYAN"/>
    <n v="25"/>
    <n v="0"/>
    <m/>
    <m/>
    <n v="0"/>
    <n v="26517000036"/>
    <n v="26517000037"/>
    <n v="26516000006"/>
    <m/>
    <m/>
    <m/>
    <m/>
    <m/>
    <n v="20"/>
    <e v="#N/A"/>
    <n v="20"/>
    <e v="#N/A"/>
    <n v="6"/>
    <e v="#N/A"/>
    <m/>
    <n v="0"/>
    <m/>
    <n v="0"/>
    <m/>
    <n v="0"/>
    <m/>
    <n v="0"/>
    <m/>
    <n v="0"/>
    <s v="FLINTSL"/>
    <n v="28"/>
    <n v="0"/>
    <n v="49.467532467532465"/>
    <n v="0"/>
    <s v="MAGENTA"/>
    <s v="E01019M"/>
    <s v="FLINTSL - MAGENTA"/>
    <n v="24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8"/>
    <n v="0"/>
    <n v="11.779220779220779"/>
    <n v="0"/>
    <s v="YELLOW"/>
    <s v="E01019Y"/>
    <s v="FLINTSL - YELLOW"/>
    <n v="22"/>
    <n v="0"/>
    <m/>
    <m/>
    <n v="0"/>
    <n v="26516000015"/>
    <s v="FMD"/>
    <m/>
    <m/>
    <m/>
    <m/>
    <m/>
    <m/>
    <n v="6"/>
    <e v="#N/A"/>
    <n v="4"/>
    <n v="0"/>
    <m/>
    <n v="0"/>
    <m/>
    <n v="0"/>
    <m/>
    <n v="0"/>
    <m/>
    <n v="0"/>
    <m/>
    <n v="0"/>
    <m/>
    <n v="0"/>
    <s v="FLINTSL"/>
    <n v="25"/>
    <n v="0"/>
    <n v="28.558441558441558"/>
    <n v="0"/>
    <s v="WHITE"/>
    <s v="H01019W"/>
    <s v="FLINTSL - WHITE"/>
    <n v="30"/>
    <n v="0"/>
    <m/>
    <m/>
    <n v="0"/>
    <s v="FW"/>
    <s v="WRK6-028K"/>
    <m/>
    <m/>
    <m/>
    <m/>
    <m/>
    <m/>
    <n v="300"/>
    <n v="0"/>
    <n v="12.45"/>
    <n v="0"/>
    <m/>
    <n v="0"/>
    <m/>
    <n v="0"/>
    <m/>
    <n v="0"/>
    <m/>
    <n v="0"/>
    <m/>
    <n v="0"/>
    <m/>
    <n v="0"/>
    <s v="FLINTSL"/>
    <n v="30"/>
    <n v="0"/>
    <n v="829.85259740259744"/>
    <n v="0"/>
    <n v="2"/>
    <n v="3"/>
    <n v="10"/>
    <n v="35"/>
    <n v="3"/>
    <n v="5"/>
    <n v="10"/>
    <n v="240"/>
    <n v="0.8"/>
    <n v="0.2"/>
    <m/>
    <m/>
    <m/>
    <n v="0"/>
    <n v="664"/>
    <n v="0"/>
    <n v="0"/>
    <n v="664"/>
    <n v="664"/>
    <n v="531.20000000000005"/>
    <n v="0"/>
    <n v="132.80000000000001"/>
    <n v="0"/>
    <n v="0"/>
    <n v="0"/>
    <n v="0"/>
    <n v="0"/>
    <n v="0"/>
    <n v="0"/>
    <n v="0"/>
    <n v="0"/>
    <n v="0"/>
    <m/>
    <n v="638.45000000000005"/>
    <n v="1257.45"/>
    <n v="128"/>
    <s v="FLINTSLFLINTSLFLINTSLFLINTSLFLINTSLFLINTSLFLINTSLFLINTSL"/>
    <s v="+"/>
    <s v="+"/>
    <s v="+"/>
    <s v="+"/>
    <s v="+"/>
    <s v="+"/>
    <s v="+"/>
    <s v="+"/>
  </r>
  <r>
    <d v="2026-01-17T00:00:00"/>
    <s v="A"/>
    <x v="225"/>
    <n v="129"/>
    <n v="407"/>
    <n v="35200"/>
    <s v="II"/>
    <s v="N"/>
    <n v="1.5"/>
    <s v="BLACK"/>
    <m/>
    <s v="ToyoLi - BLACK"/>
    <m/>
    <n v="0"/>
    <m/>
    <m/>
    <n v="0"/>
    <s v="R92"/>
    <s v="RTMD"/>
    <m/>
    <m/>
    <m/>
    <m/>
    <m/>
    <m/>
    <n v="10"/>
    <n v="0"/>
    <n v="5"/>
    <n v="0"/>
    <m/>
    <n v="0"/>
    <m/>
    <n v="0"/>
    <m/>
    <n v="0"/>
    <m/>
    <n v="0"/>
    <m/>
    <n v="0"/>
    <m/>
    <n v="0"/>
    <s v="ToyoLi"/>
    <n v="30"/>
    <n v="0"/>
    <n v="7.328767123287669"/>
    <n v="0"/>
    <s v="RED"/>
    <m/>
    <s v="FLINTSL - RED"/>
    <m/>
    <n v="0"/>
    <m/>
    <m/>
    <n v="0"/>
    <n v="26517000046"/>
    <n v="26518000009"/>
    <n v="26517000047"/>
    <n v="26517000043"/>
    <n v="26519000027"/>
    <m/>
    <m/>
    <m/>
    <n v="40"/>
    <e v="#N/A"/>
    <n v="2"/>
    <e v="#N/A"/>
    <n v="30"/>
    <e v="#N/A"/>
    <n v="40"/>
    <e v="#N/A"/>
    <n v="5"/>
    <e v="#N/A"/>
    <m/>
    <n v="0"/>
    <m/>
    <n v="0"/>
    <m/>
    <n v="0"/>
    <s v="FLINTSL"/>
    <n v="30"/>
    <n v="0"/>
    <n v="109.32876712328766"/>
    <n v="0"/>
    <s v="YELLOW"/>
    <s v="E01028Y"/>
    <s v="FLINTSL - YELLOW"/>
    <n v="29"/>
    <n v="0"/>
    <m/>
    <m/>
    <n v="0"/>
    <n v="26517000013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5"/>
    <n v="0"/>
    <n v="15.93150684931507"/>
    <n v="0"/>
    <s v="CYAN"/>
    <s v="E01028C"/>
    <s v="FLINTSL - CYAN"/>
    <n v="30"/>
    <n v="0"/>
    <m/>
    <m/>
    <n v="0"/>
    <s v="FMD"/>
    <n v="26516000006"/>
    <m/>
    <m/>
    <m/>
    <m/>
    <m/>
    <m/>
    <n v="3"/>
    <n v="0"/>
    <n v="2"/>
    <e v="#N/A"/>
    <m/>
    <n v="0"/>
    <m/>
    <n v="0"/>
    <m/>
    <n v="0"/>
    <m/>
    <n v="0"/>
    <m/>
    <n v="0"/>
    <m/>
    <n v="0"/>
    <s v="FLINTSL"/>
    <n v="27"/>
    <n v="0"/>
    <n v="14.698630136986303"/>
    <n v="0"/>
    <s v="MAGENTA"/>
    <s v="E01028M"/>
    <s v="FLINTSL - MAGENTA"/>
    <n v="28"/>
    <n v="0"/>
    <m/>
    <m/>
    <n v="0"/>
    <n v="26518000009"/>
    <s v="FMD"/>
    <m/>
    <m/>
    <m/>
    <m/>
    <m/>
    <m/>
    <n v="1"/>
    <e v="#N/A"/>
    <n v="2"/>
    <n v="0"/>
    <m/>
    <n v="0"/>
    <m/>
    <n v="0"/>
    <m/>
    <n v="0"/>
    <m/>
    <n v="0"/>
    <m/>
    <n v="0"/>
    <m/>
    <n v="0"/>
    <s v="FLINTSL"/>
    <n v="26"/>
    <n v="0"/>
    <n v="11.698630136986303"/>
    <n v="0"/>
    <s v="RED"/>
    <s v="E01028R"/>
    <s v="FLINTSL - RED"/>
    <n v="27"/>
    <n v="0"/>
    <m/>
    <m/>
    <n v="0"/>
    <n v="26518000009"/>
    <n v="26519000027"/>
    <n v="26518000001"/>
    <m/>
    <m/>
    <m/>
    <m/>
    <m/>
    <n v="4"/>
    <e v="#N/A"/>
    <n v="7"/>
    <e v="#N/A"/>
    <n v="0.5"/>
    <e v="#N/A"/>
    <m/>
    <n v="0"/>
    <m/>
    <n v="0"/>
    <m/>
    <n v="0"/>
    <m/>
    <n v="0"/>
    <m/>
    <n v="0"/>
    <s v="FLINTSL"/>
    <n v="36"/>
    <n v="0"/>
    <n v="11.43150684931507"/>
    <n v="0"/>
    <s v="YELLOW"/>
    <s v="E01028Y"/>
    <s v="FLINTSL - YELLOW"/>
    <n v="27"/>
    <n v="0"/>
    <m/>
    <m/>
    <n v="0"/>
    <n v="26517000013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4"/>
    <n v="0"/>
    <n v="14.93150684931507"/>
    <n v="0"/>
    <s v="WHITE"/>
    <s v="E01028W"/>
    <s v="FLINTSL - WHITE"/>
    <n v="30"/>
    <n v="0"/>
    <m/>
    <m/>
    <n v="0"/>
    <s v="FW"/>
    <m/>
    <m/>
    <m/>
    <m/>
    <m/>
    <m/>
    <m/>
    <n v="70"/>
    <n v="0"/>
    <m/>
    <n v="0"/>
    <m/>
    <n v="0"/>
    <m/>
    <n v="0"/>
    <m/>
    <n v="0"/>
    <m/>
    <n v="0"/>
    <m/>
    <n v="0"/>
    <m/>
    <n v="0"/>
    <s v="FLINTSL"/>
    <n v="27"/>
    <n v="0"/>
    <n v="151.15068493150685"/>
    <n v="0"/>
    <n v="10"/>
    <n v="10"/>
    <n v="4"/>
    <n v="3"/>
    <n v="3"/>
    <n v="4"/>
    <n v="4"/>
    <n v="35"/>
    <n v="0.8"/>
    <n v="0.2"/>
    <m/>
    <m/>
    <m/>
    <n v="0"/>
    <n v="163"/>
    <n v="0"/>
    <n v="0"/>
    <n v="163"/>
    <n v="163"/>
    <n v="130.4"/>
    <n v="0"/>
    <n v="32.6"/>
    <n v="0"/>
    <n v="0"/>
    <n v="0"/>
    <n v="0"/>
    <n v="0"/>
    <n v="0"/>
    <n v="0"/>
    <n v="0"/>
    <n v="0"/>
    <n v="0"/>
    <m/>
    <n v="227.5"/>
    <n v="336.5"/>
    <n v="129"/>
    <s v="ToyoLiFLINTSLFLINTSLFLINTSLFLINTSLFLINTSLFLINTSLFLINTSL"/>
    <s v="+"/>
    <s v="+"/>
    <s v="+"/>
    <s v="+"/>
    <s v="+"/>
    <s v="+"/>
    <s v="+"/>
    <s v="+"/>
  </r>
  <r>
    <d v="2026-01-17T00:00:00"/>
    <s v="B"/>
    <x v="226"/>
    <n v="130"/>
    <n v="555"/>
    <n v="26200"/>
    <s v="II"/>
    <s v="N"/>
    <n v="2.1800000000000002"/>
    <s v="BLACK"/>
    <s v="E01028B"/>
    <s v="FLINTSL - BLACK"/>
    <n v="28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30"/>
    <n v="0"/>
    <n v="14.829268292682926"/>
    <n v="0"/>
    <s v="RED"/>
    <s v="E01030R"/>
    <s v="FLINTSL - RED"/>
    <n v="15"/>
    <n v="0"/>
    <m/>
    <m/>
    <n v="0"/>
    <s v="FMD"/>
    <n v="26520000008"/>
    <n v="26519000029"/>
    <m/>
    <m/>
    <m/>
    <m/>
    <m/>
    <n v="7"/>
    <n v="0"/>
    <n v="2"/>
    <e v="#N/A"/>
    <m/>
    <n v="0"/>
    <m/>
    <n v="0"/>
    <m/>
    <n v="0"/>
    <m/>
    <n v="0"/>
    <m/>
    <n v="0"/>
    <m/>
    <n v="0"/>
    <s v="FLINTSL"/>
    <n v="27"/>
    <n v="0"/>
    <n v="20.658536585365852"/>
    <n v="0"/>
    <s v="CYAN"/>
    <s v="E01030C"/>
    <s v="FLINTSL - CYAN"/>
    <n v="27"/>
    <n v="0"/>
    <m/>
    <m/>
    <n v="0"/>
    <s v="FMD"/>
    <n v="26516000006"/>
    <m/>
    <m/>
    <m/>
    <m/>
    <m/>
    <m/>
    <n v="7"/>
    <n v="0"/>
    <n v="2"/>
    <e v="#N/A"/>
    <m/>
    <n v="0"/>
    <m/>
    <n v="0"/>
    <m/>
    <n v="0"/>
    <m/>
    <n v="0"/>
    <m/>
    <n v="0"/>
    <m/>
    <n v="0"/>
    <s v="FLINTSL"/>
    <n v="34"/>
    <n v="0"/>
    <n v="13.829268292682926"/>
    <n v="0"/>
    <s v="MAGENTA"/>
    <s v="E01030M"/>
    <s v="FLINTSL - MAGENTA"/>
    <n v="26"/>
    <n v="0"/>
    <m/>
    <m/>
    <n v="0"/>
    <n v="26518000009"/>
    <s v="FMD"/>
    <m/>
    <m/>
    <m/>
    <m/>
    <m/>
    <m/>
    <n v="4"/>
    <e v="#N/A"/>
    <n v="10"/>
    <n v="0"/>
    <m/>
    <n v="0"/>
    <m/>
    <n v="0"/>
    <m/>
    <n v="0"/>
    <m/>
    <n v="0"/>
    <m/>
    <n v="0"/>
    <m/>
    <n v="0"/>
    <s v="FLINTSL"/>
    <n v="35"/>
    <n v="0"/>
    <n v="28.658536585365852"/>
    <n v="0"/>
    <s v="YELLOW"/>
    <s v="E01030Y"/>
    <s v="FLINTSL - YELLOW"/>
    <n v="24"/>
    <n v="0"/>
    <m/>
    <m/>
    <n v="0"/>
    <n v="26517000032"/>
    <s v="FMD"/>
    <m/>
    <m/>
    <m/>
    <m/>
    <m/>
    <m/>
    <n v="10"/>
    <e v="#N/A"/>
    <n v="5"/>
    <n v="0"/>
    <m/>
    <n v="0"/>
    <m/>
    <n v="0"/>
    <m/>
    <n v="0"/>
    <m/>
    <n v="0"/>
    <m/>
    <n v="0"/>
    <m/>
    <n v="0"/>
    <s v="FLINTSL"/>
    <n v="25"/>
    <n v="0"/>
    <n v="30.560975609756099"/>
    <n v="0"/>
    <s v="YELLOW"/>
    <s v="E01030W"/>
    <s v="FLINTSL - YELLOW"/>
    <n v="27"/>
    <n v="0"/>
    <m/>
    <m/>
    <n v="0"/>
    <n v="26519000012"/>
    <n v="26519000027"/>
    <m/>
    <m/>
    <m/>
    <m/>
    <m/>
    <m/>
    <n v="80"/>
    <e v="#N/A"/>
    <n v="5"/>
    <e v="#N/A"/>
    <m/>
    <n v="0"/>
    <m/>
    <n v="0"/>
    <m/>
    <n v="0"/>
    <m/>
    <n v="0"/>
    <m/>
    <n v="0"/>
    <m/>
    <n v="0"/>
    <s v="FLINTSL"/>
    <n v="24"/>
    <n v="0"/>
    <n v="111.65853658536585"/>
    <n v="0"/>
    <s v="WHITE"/>
    <s v="E01030W"/>
    <s v="FLINTSL - WHITE"/>
    <n v="27"/>
    <n v="0"/>
    <m/>
    <m/>
    <n v="0"/>
    <s v="FW"/>
    <m/>
    <m/>
    <m/>
    <m/>
    <m/>
    <m/>
    <m/>
    <n v="70"/>
    <n v="0"/>
    <m/>
    <n v="0"/>
    <m/>
    <n v="0"/>
    <m/>
    <n v="0"/>
    <m/>
    <n v="0"/>
    <m/>
    <n v="0"/>
    <m/>
    <n v="0"/>
    <m/>
    <n v="0"/>
    <s v="FLINTSL"/>
    <n v="30"/>
    <n v="0"/>
    <n v="149.8048780487804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5"/>
    <n v="10"/>
    <n v="7"/>
    <n v="10"/>
    <n v="35"/>
    <n v="0"/>
    <n v="0.8"/>
    <n v="0.2"/>
    <m/>
    <m/>
    <m/>
    <n v="0"/>
    <n v="194"/>
    <n v="0"/>
    <n v="0"/>
    <n v="194"/>
    <n v="194"/>
    <n v="155.20000000000002"/>
    <n v="0"/>
    <n v="38.800000000000004"/>
    <n v="0"/>
    <n v="0"/>
    <n v="0"/>
    <n v="0"/>
    <n v="0"/>
    <n v="0"/>
    <n v="0"/>
    <n v="0"/>
    <n v="0"/>
    <n v="0"/>
    <m/>
    <n v="207"/>
    <n v="370"/>
    <n v="130"/>
    <s v="FLINTSLFLINTSLFLINTSLFLINTSLFLINTSLFLINTSLFLINTSL"/>
    <s v="+"/>
    <s v="+"/>
    <s v="+"/>
    <s v="+"/>
    <s v="+"/>
    <s v="+"/>
    <s v="+"/>
    <s v="NIL"/>
  </r>
  <r>
    <d v="2026-01-17T00:00:00"/>
    <s v="B"/>
    <x v="227"/>
    <n v="131"/>
    <n v="848"/>
    <n v="43300"/>
    <s v="I"/>
    <s v="N"/>
    <n v="1.82"/>
    <s v="BLACK"/>
    <s v="E01014B"/>
    <s v="FLINTSL - BLACK"/>
    <n v="24"/>
    <n v="0"/>
    <m/>
    <m/>
    <n v="0"/>
    <n v="26518000001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7"/>
    <n v="0"/>
    <n v="5.3999999999999986"/>
    <n v="0"/>
    <s v="BLACK"/>
    <s v="E01014B"/>
    <s v="FLINTSL - BLACK"/>
    <n v="30"/>
    <n v="0"/>
    <m/>
    <m/>
    <n v="0"/>
    <n v="26518000009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2"/>
    <n v="0"/>
    <n v="13.5"/>
    <n v="0"/>
    <s v="BLACK"/>
    <m/>
    <s v="FLINTSL - BLACK"/>
    <m/>
    <n v="0"/>
    <m/>
    <m/>
    <n v="0"/>
    <n v="26517000027"/>
    <n v="26517000030"/>
    <n v="26518000009"/>
    <n v="26518000001"/>
    <m/>
    <m/>
    <m/>
    <m/>
    <n v="93"/>
    <e v="#N/A"/>
    <n v="50"/>
    <e v="#N/A"/>
    <n v="5"/>
    <e v="#N/A"/>
    <n v="3"/>
    <e v="#N/A"/>
    <m/>
    <n v="0"/>
    <m/>
    <n v="0"/>
    <m/>
    <n v="0"/>
    <m/>
    <n v="0"/>
    <s v="FLINTSL"/>
    <n v="36"/>
    <n v="0"/>
    <n v="120.4"/>
    <n v="0"/>
    <s v="RED"/>
    <s v="H01357R"/>
    <s v="FLINTSL - RED"/>
    <n v="35"/>
    <n v="0"/>
    <m/>
    <m/>
    <n v="0"/>
    <n v="26518000009"/>
    <n v="26519000027"/>
    <m/>
    <m/>
    <m/>
    <m/>
    <m/>
    <m/>
    <n v="2"/>
    <e v="#N/A"/>
    <n v="2"/>
    <e v="#N/A"/>
    <m/>
    <n v="0"/>
    <m/>
    <n v="0"/>
    <m/>
    <n v="0"/>
    <m/>
    <n v="0"/>
    <m/>
    <n v="0"/>
    <m/>
    <n v="0"/>
    <s v="FLINTSL"/>
    <n v="35"/>
    <n v="0"/>
    <n v="9.3999999999999986"/>
    <n v="0"/>
    <s v="CYAN"/>
    <s v="E01014C"/>
    <s v="FLINTSL - CYAN"/>
    <n v="28"/>
    <n v="0"/>
    <m/>
    <m/>
    <n v="0"/>
    <n v="26516000006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7.3999999999999986"/>
    <n v="0"/>
    <s v="MAGENTA"/>
    <s v="E01014M"/>
    <s v="FLINTSL - MAGENTA"/>
    <n v="28"/>
    <n v="0"/>
    <m/>
    <m/>
    <n v="0"/>
    <n v="26518000009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7"/>
    <n v="0"/>
    <n v="9.3999999999999986"/>
    <n v="0"/>
    <s v="YELLOW"/>
    <s v="E01014Y"/>
    <s v="FLINTSL - YELLOW"/>
    <n v="25"/>
    <n v="0"/>
    <m/>
    <m/>
    <n v="0"/>
    <n v="26517000013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5"/>
    <n v="0"/>
    <n v="19.5"/>
    <n v="0"/>
    <s v="WHITE"/>
    <s v="E01014W"/>
    <s v="FLINTSL - WHITE"/>
    <n v="30"/>
    <n v="0"/>
    <m/>
    <m/>
    <n v="0"/>
    <s v="FW"/>
    <m/>
    <m/>
    <m/>
    <m/>
    <m/>
    <m/>
    <m/>
    <n v="160"/>
    <n v="0"/>
    <m/>
    <n v="0"/>
    <m/>
    <n v="0"/>
    <m/>
    <n v="0"/>
    <m/>
    <n v="0"/>
    <m/>
    <n v="0"/>
    <m/>
    <n v="0"/>
    <m/>
    <n v="0"/>
    <s v="FLINTSL"/>
    <n v="30"/>
    <n v="0"/>
    <n v="403"/>
    <n v="0"/>
    <n v="2"/>
    <n v="5"/>
    <n v="2"/>
    <n v="2"/>
    <n v="2"/>
    <n v="2"/>
    <n v="5"/>
    <n v="90"/>
    <n v="0.8"/>
    <n v="0.2"/>
    <m/>
    <m/>
    <m/>
    <n v="0"/>
    <n v="297"/>
    <n v="0"/>
    <n v="0"/>
    <n v="297"/>
    <n v="297"/>
    <n v="237.60000000000002"/>
    <n v="0"/>
    <n v="59.400000000000006"/>
    <n v="0"/>
    <n v="0"/>
    <n v="0"/>
    <n v="0"/>
    <n v="0"/>
    <n v="0"/>
    <n v="0"/>
    <n v="0"/>
    <n v="0"/>
    <n v="0"/>
    <m/>
    <n v="331"/>
    <n v="588"/>
    <n v="131"/>
    <s v="FLINTSLFLINTSLFLINTSLFLINTSLFLINTSLFLINTSLFLINTSLFLINTSL"/>
    <s v="+"/>
    <s v="+"/>
    <s v="+"/>
    <s v="+"/>
    <s v="+"/>
    <s v="+"/>
    <s v="+"/>
    <s v="+"/>
  </r>
  <r>
    <d v="2026-01-17T00:00:00"/>
    <s v="B"/>
    <x v="228"/>
    <n v="132"/>
    <n v="501"/>
    <n v="24600"/>
    <s v="II"/>
    <s v="N"/>
    <n v="1.8"/>
    <s v="BLACK"/>
    <s v="F00865B"/>
    <s v="FLINTSL - BLACK"/>
    <n v="30"/>
    <n v="0"/>
    <m/>
    <m/>
    <n v="0"/>
    <n v="26522000008"/>
    <m/>
    <m/>
    <m/>
    <m/>
    <m/>
    <m/>
    <m/>
    <n v="2.5"/>
    <e v="#N/A"/>
    <m/>
    <n v="0"/>
    <m/>
    <n v="0"/>
    <m/>
    <n v="0"/>
    <m/>
    <n v="0"/>
    <m/>
    <n v="0"/>
    <m/>
    <n v="0"/>
    <m/>
    <n v="0"/>
    <s v="FLINTSL"/>
    <n v="28"/>
    <n v="0"/>
    <n v="11.69178082191781"/>
    <n v="0"/>
    <s v="REFLEX BLUE"/>
    <m/>
    <s v="FLINTSL - REFLEX BLUE"/>
    <m/>
    <n v="0"/>
    <m/>
    <m/>
    <n v="0"/>
    <n v="26516000006"/>
    <n v="26517000041"/>
    <n v="26517000044"/>
    <m/>
    <m/>
    <m/>
    <m/>
    <m/>
    <n v="5"/>
    <e v="#N/A"/>
    <n v="8"/>
    <e v="#N/A"/>
    <n v="13"/>
    <e v="#N/A"/>
    <m/>
    <n v="0"/>
    <m/>
    <n v="0"/>
    <m/>
    <n v="0"/>
    <m/>
    <n v="0"/>
    <m/>
    <n v="0"/>
    <s v="FLINTSL"/>
    <n v="27"/>
    <n v="0"/>
    <n v="10.986301369863014"/>
    <n v="0"/>
    <s v="RED"/>
    <s v="F00865R"/>
    <s v="FLINTSL - RED"/>
    <n v="27"/>
    <n v="0"/>
    <m/>
    <m/>
    <n v="0"/>
    <n v="26520000008"/>
    <n v="26518000009"/>
    <m/>
    <m/>
    <m/>
    <m/>
    <m/>
    <m/>
    <n v="1"/>
    <e v="#N/A"/>
    <n v="3"/>
    <e v="#N/A"/>
    <m/>
    <n v="0"/>
    <m/>
    <n v="0"/>
    <m/>
    <n v="0"/>
    <m/>
    <n v="0"/>
    <m/>
    <n v="0"/>
    <m/>
    <n v="0"/>
    <s v="FLINTSL"/>
    <n v="26"/>
    <n v="0"/>
    <n v="14.589041095890408"/>
    <n v="0"/>
    <s v="ORANGE"/>
    <s v="F00865O"/>
    <s v="FLINTSL - ORANGE"/>
    <n v="10"/>
    <n v="0"/>
    <m/>
    <m/>
    <n v="0"/>
    <n v="26518000008"/>
    <n v="26518000007"/>
    <n v="26517000032"/>
    <n v="26518000010"/>
    <n v="26518000009"/>
    <m/>
    <m/>
    <m/>
    <n v="25"/>
    <e v="#N/A"/>
    <n v="40"/>
    <e v="#N/A"/>
    <n v="2"/>
    <e v="#N/A"/>
    <n v="10"/>
    <e v="#N/A"/>
    <n v="1"/>
    <e v="#N/A"/>
    <m/>
    <n v="0"/>
    <m/>
    <n v="0"/>
    <m/>
    <n v="0"/>
    <s v="FLINTSL"/>
    <n v="19"/>
    <n v="0"/>
    <n v="104.95890410958904"/>
    <n v="0"/>
    <s v="CYAN"/>
    <s v="F00865C"/>
    <s v="FLINTSL - CYAN"/>
    <n v="30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9"/>
    <n v="0"/>
    <n v="11.19178082191781"/>
    <n v="0"/>
    <s v="MAGENTA"/>
    <s v="F00865M"/>
    <s v="FLINTSL - MAGENTA"/>
    <n v="28"/>
    <n v="0"/>
    <m/>
    <m/>
    <n v="0"/>
    <n v="26518000009"/>
    <s v="FMD"/>
    <m/>
    <m/>
    <m/>
    <m/>
    <m/>
    <m/>
    <n v="4"/>
    <e v="#N/A"/>
    <n v="2"/>
    <n v="0"/>
    <m/>
    <n v="0"/>
    <m/>
    <n v="0"/>
    <m/>
    <n v="0"/>
    <m/>
    <n v="0"/>
    <m/>
    <n v="0"/>
    <m/>
    <n v="0"/>
    <s v="FLINTSL"/>
    <n v="27"/>
    <n v="0"/>
    <n v="16.589041095890408"/>
    <n v="0"/>
    <s v="YELLOW"/>
    <s v="F00865Y"/>
    <s v="FLINTSL - YELLOW"/>
    <n v="25"/>
    <n v="0"/>
    <m/>
    <m/>
    <n v="0"/>
    <n v="26517000032"/>
    <s v="FMD"/>
    <m/>
    <m/>
    <m/>
    <m/>
    <m/>
    <m/>
    <n v="4"/>
    <e v="#N/A"/>
    <n v="2"/>
    <n v="0"/>
    <m/>
    <n v="0"/>
    <m/>
    <n v="0"/>
    <m/>
    <n v="0"/>
    <m/>
    <n v="0"/>
    <m/>
    <n v="0"/>
    <m/>
    <n v="0"/>
    <s v="FLINTSL"/>
    <n v="26"/>
    <n v="0"/>
    <n v="14.589041095890408"/>
    <n v="0"/>
    <s v="WHITE"/>
    <s v="F00865W"/>
    <s v="FLINTSL - WHITE"/>
    <n v="3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5"/>
    <n v="0"/>
    <n v="148.90410958904107"/>
    <n v="0"/>
    <n v="3"/>
    <n v="5"/>
    <n v="4"/>
    <n v="15"/>
    <n v="3"/>
    <n v="4"/>
    <n v="4"/>
    <n v="35"/>
    <n v="0.8"/>
    <n v="0.2"/>
    <m/>
    <m/>
    <m/>
    <n v="0"/>
    <n v="175"/>
    <n v="0"/>
    <n v="0"/>
    <n v="175"/>
    <n v="175"/>
    <n v="140"/>
    <n v="0"/>
    <n v="35"/>
    <n v="0"/>
    <n v="0"/>
    <n v="0"/>
    <n v="0"/>
    <n v="0"/>
    <n v="0"/>
    <n v="0"/>
    <n v="0"/>
    <n v="0"/>
    <n v="0"/>
    <m/>
    <n v="185.5"/>
    <n v="333.5"/>
    <n v="132"/>
    <s v="FLINTSLFLINTSLFLINTSLFLINTSLFLINTSLFLINTSLFLINTSLFLINTSL"/>
    <s v="+"/>
    <s v="+"/>
    <s v="+"/>
    <s v="+"/>
    <s v="+"/>
    <s v="+"/>
    <s v="+"/>
    <s v="+"/>
  </r>
  <r>
    <d v="2026-01-17T00:00:00"/>
    <s v="B"/>
    <x v="229"/>
    <n v="133"/>
    <n v="381"/>
    <n v="19300"/>
    <s v="I"/>
    <s v="N"/>
    <n v="1.2"/>
    <s v="BLACK"/>
    <s v="E01024B"/>
    <s v="FLINTSL - BLACK"/>
    <n v="27"/>
    <n v="0"/>
    <m/>
    <m/>
    <n v="0"/>
    <n v="26523000021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10.3125"/>
    <n v="0"/>
    <s v="GREEN"/>
    <m/>
    <s v="FLINTSL - GREEN"/>
    <m/>
    <n v="0"/>
    <m/>
    <m/>
    <n v="0"/>
    <n v="26518000002"/>
    <n v="26516000006"/>
    <m/>
    <m/>
    <m/>
    <m/>
    <m/>
    <m/>
    <n v="35"/>
    <e v="#N/A"/>
    <n v="20"/>
    <e v="#N/A"/>
    <m/>
    <n v="0"/>
    <m/>
    <n v="0"/>
    <m/>
    <n v="0"/>
    <m/>
    <n v="0"/>
    <m/>
    <n v="0"/>
    <m/>
    <n v="0"/>
    <s v="FLINTSL"/>
    <n v="30"/>
    <n v="0"/>
    <n v="66.5625"/>
    <n v="0"/>
    <s v="RED"/>
    <s v="E01024R"/>
    <s v="FLINTSL - RED"/>
    <n v="35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2"/>
    <n v="0"/>
    <n v="3"/>
    <n v="0"/>
    <s v="CYAN"/>
    <s v="E01024C"/>
    <s v="FLINTSL - CYAN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0"/>
    <n v="2"/>
    <n v="0"/>
    <s v="MAGENTA"/>
    <s v="E01024M"/>
    <s v="FLINTSL - MAGENTA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0"/>
    <n v="1"/>
    <n v="0"/>
    <s v="YELLOW"/>
    <s v="E01024Y"/>
    <s v="FLINTSL - YELLOW"/>
    <n v="25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4"/>
    <n v="0"/>
    <n v="1"/>
    <n v="0"/>
    <s v="WHITE"/>
    <s v="E01024W"/>
    <s v="FLINTSL - WHITE"/>
    <n v="30"/>
    <n v="0"/>
    <m/>
    <m/>
    <n v="0"/>
    <s v="FW"/>
    <m/>
    <m/>
    <m/>
    <m/>
    <m/>
    <m/>
    <m/>
    <n v="80"/>
    <n v="0"/>
    <m/>
    <n v="0"/>
    <m/>
    <n v="0"/>
    <m/>
    <n v="0"/>
    <m/>
    <n v="0"/>
    <m/>
    <n v="0"/>
    <m/>
    <n v="0"/>
    <m/>
    <n v="0"/>
    <s v="FLINTSL"/>
    <n v="30"/>
    <n v="0"/>
    <n v="163.12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20"/>
    <n v="0"/>
    <n v="0"/>
    <n v="0"/>
    <n v="0"/>
    <n v="40"/>
    <n v="0"/>
    <n v="0.8"/>
    <n v="0.2"/>
    <m/>
    <m/>
    <m/>
    <n v="0"/>
    <n v="133"/>
    <n v="0"/>
    <n v="0"/>
    <n v="133"/>
    <n v="133"/>
    <n v="106.4"/>
    <n v="0"/>
    <n v="26.6"/>
    <n v="0"/>
    <n v="0"/>
    <n v="0"/>
    <n v="0"/>
    <n v="0"/>
    <n v="0"/>
    <n v="0"/>
    <n v="0"/>
    <n v="0"/>
    <n v="0"/>
    <m/>
    <n v="140"/>
    <n v="247"/>
    <n v="133"/>
    <s v="FLINTSLFLINTSLFLINTSLFLINTSLFLINTSLFLINTSLFLINTSL"/>
    <s v="+"/>
    <s v="+"/>
    <s v="+"/>
    <s v="+"/>
    <s v="+"/>
    <s v="+"/>
    <s v="+"/>
    <s v="NIL"/>
  </r>
  <r>
    <d v="2026-01-17T00:00:00"/>
    <s v="B"/>
    <x v="230"/>
    <n v="134"/>
    <n v="252"/>
    <n v="12400"/>
    <s v="II"/>
    <s v="N"/>
    <n v="1.75"/>
    <s v="BLACK"/>
    <s v="F00875B"/>
    <s v="FLINTSL - BLACK"/>
    <n v="28"/>
    <n v="0"/>
    <m/>
    <m/>
    <n v="0"/>
    <n v="26523000021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5"/>
    <n v="0"/>
    <n v="11.280000000000001"/>
    <n v="0"/>
    <s v="REFLEX BLUE"/>
    <s v="F00875B"/>
    <s v="FLINTSL - REFLEX BLUE"/>
    <n v="27"/>
    <n v="0"/>
    <m/>
    <m/>
    <n v="0"/>
    <n v="26516000019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6"/>
    <n v="0"/>
    <n v="10.039999999999999"/>
    <n v="0"/>
    <s v="RED"/>
    <s v="F00875R"/>
    <s v="FLINTSL - RED"/>
    <n v="26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5"/>
    <n v="0"/>
    <n v="6.52"/>
    <n v="0"/>
    <s v="CYAN"/>
    <m/>
    <s v="FLINTSL - CYAN"/>
    <m/>
    <n v="0"/>
    <m/>
    <m/>
    <n v="0"/>
    <n v="26516000032"/>
    <s v="FMD"/>
    <n v="26516000021"/>
    <m/>
    <m/>
    <m/>
    <m/>
    <m/>
    <n v="20"/>
    <e v="#N/A"/>
    <n v="20"/>
    <n v="0"/>
    <n v="0.4"/>
    <e v="#N/A"/>
    <m/>
    <n v="0"/>
    <m/>
    <n v="0"/>
    <m/>
    <n v="0"/>
    <m/>
    <n v="0"/>
    <m/>
    <n v="0"/>
    <s v="FLINTSL"/>
    <n v="26"/>
    <n v="0"/>
    <n v="37.28"/>
    <n v="0"/>
    <s v="CYAN"/>
    <s v="F00875C"/>
    <s v="FLINTSL - CYAN"/>
    <n v="29"/>
    <n v="0"/>
    <m/>
    <m/>
    <n v="0"/>
    <n v="26516000032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0"/>
    <n v="0"/>
    <n v="6.5200000000000031"/>
    <n v="0"/>
    <s v="MAGENTA"/>
    <s v="F00875M"/>
    <s v="FLINTSL - MAGENTA"/>
    <n v="27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9"/>
    <n v="0"/>
    <n v="8.0399999999999991"/>
    <n v="0"/>
    <s v="YELLOW"/>
    <s v="F00875Y"/>
    <s v="FLINTSL - YELLOW"/>
    <n v="26"/>
    <n v="0"/>
    <m/>
    <m/>
    <n v="0"/>
    <s v="FMD"/>
    <n v="26518000001"/>
    <m/>
    <m/>
    <m/>
    <m/>
    <m/>
    <m/>
    <n v="3"/>
    <n v="0"/>
    <n v="4"/>
    <e v="#N/A"/>
    <m/>
    <n v="0"/>
    <m/>
    <n v="0"/>
    <m/>
    <n v="0"/>
    <m/>
    <n v="0"/>
    <m/>
    <n v="0"/>
    <m/>
    <n v="0"/>
    <s v="FLINTSL"/>
    <n v="27"/>
    <n v="0"/>
    <n v="9.5200000000000031"/>
    <n v="0"/>
    <s v="WHITE"/>
    <s v="F00875W"/>
    <s v="FLINTSL - WHITE"/>
    <n v="25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28"/>
    <n v="0"/>
    <n v="72.2"/>
    <n v="0"/>
    <n v="3"/>
    <n v="4"/>
    <n v="2"/>
    <n v="13"/>
    <n v="2"/>
    <n v="4"/>
    <n v="2"/>
    <n v="20"/>
    <n v="0.8"/>
    <n v="0.2"/>
    <m/>
    <m/>
    <m/>
    <n v="0"/>
    <n v="88"/>
    <n v="0"/>
    <n v="0"/>
    <n v="88"/>
    <n v="88"/>
    <n v="70.400000000000006"/>
    <n v="0"/>
    <n v="17.600000000000001"/>
    <n v="0"/>
    <n v="0"/>
    <n v="0"/>
    <n v="0"/>
    <n v="0"/>
    <n v="0"/>
    <n v="0"/>
    <n v="0"/>
    <n v="0"/>
    <n v="0"/>
    <m/>
    <n v="101.4"/>
    <n v="161.40000000000003"/>
    <n v="134"/>
    <s v="FLINTSLFLINTSLFLINTSLFLINTSLFLINTSLFLINTSLFLINTSLFLINTSL"/>
    <s v="+"/>
    <s v="+"/>
    <s v="+"/>
    <s v="+"/>
    <s v="+"/>
    <s v="+"/>
    <s v="+"/>
    <s v="+"/>
  </r>
  <r>
    <d v="2026-01-17T00:00:00"/>
    <s v="A"/>
    <x v="231"/>
    <n v="135"/>
    <n v="248"/>
    <n v="12200"/>
    <s v="II"/>
    <s v="N"/>
    <n v="1.9"/>
    <s v="BLACK"/>
    <s v="F00877B"/>
    <s v="FLINTSL - BLACK"/>
    <n v="25"/>
    <n v="0"/>
    <m/>
    <m/>
    <n v="0"/>
    <n v="26516000033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6"/>
    <n v="0"/>
    <n v="7.9600000000000009"/>
    <n v="0"/>
    <s v="REFLEX BLUE"/>
    <s v="F00877B"/>
    <s v="FLINTSL - REFLEX BLUE"/>
    <n v="26"/>
    <n v="0"/>
    <m/>
    <m/>
    <n v="0"/>
    <n v="2651600003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8.2199999999999989"/>
    <n v="0"/>
    <s v="RED"/>
    <s v="F00877R"/>
    <s v="FLINTSL - RED"/>
    <n v="25"/>
    <n v="0"/>
    <m/>
    <m/>
    <n v="0"/>
    <n v="26519000029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6"/>
    <n v="0"/>
    <n v="7.9600000000000009"/>
    <n v="0"/>
    <s v="GREEN"/>
    <s v="J00966G"/>
    <s v="FLINTSL - GREEN"/>
    <n v="22"/>
    <n v="0"/>
    <s v="C01484G"/>
    <n v="12"/>
    <n v="0"/>
    <n v="26516000032"/>
    <n v="26518000001"/>
    <n v="26516000028"/>
    <m/>
    <m/>
    <m/>
    <m/>
    <m/>
    <n v="4"/>
    <e v="#N/A"/>
    <n v="7"/>
    <e v="#N/A"/>
    <n v="3"/>
    <e v="#N/A"/>
    <m/>
    <n v="0"/>
    <m/>
    <n v="0"/>
    <m/>
    <n v="0"/>
    <m/>
    <n v="0"/>
    <m/>
    <n v="0"/>
    <s v="FLINTSL"/>
    <n v="20"/>
    <n v="0"/>
    <n v="45.400000000000006"/>
    <n v="0"/>
    <s v="CYAN"/>
    <s v="F00877C"/>
    <s v="FLINTSL - CYAN"/>
    <n v="30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9"/>
    <n v="0"/>
    <n v="6.4799999999999969"/>
    <n v="0"/>
    <s v="MAGENTA"/>
    <s v="F00877M"/>
    <s v="FLINTSL - MAGENTA"/>
    <n v="29"/>
    <n v="0"/>
    <m/>
    <m/>
    <n v="0"/>
    <n v="26519000004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8"/>
    <n v="0"/>
    <n v="7.2199999999999989"/>
    <n v="0"/>
    <s v="YELLOW"/>
    <s v="F00877Y"/>
    <s v="FLINTSL - YELLOW"/>
    <n v="27"/>
    <n v="0"/>
    <m/>
    <m/>
    <n v="0"/>
    <n v="26518000001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9"/>
    <n v="0"/>
    <n v="9.9600000000000009"/>
    <n v="0"/>
    <s v="WHITE"/>
    <s v="F00877W"/>
    <s v="FLINTSL - WHITE"/>
    <n v="28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30"/>
    <n v="0"/>
    <n v="72.800000000000011"/>
    <n v="0"/>
    <n v="4"/>
    <n v="3"/>
    <n v="4"/>
    <n v="10"/>
    <n v="2"/>
    <n v="3"/>
    <n v="4"/>
    <n v="20"/>
    <n v="0.8"/>
    <n v="0.2"/>
    <m/>
    <m/>
    <m/>
    <n v="0"/>
    <n v="87"/>
    <n v="0"/>
    <n v="0"/>
    <n v="87"/>
    <n v="87"/>
    <n v="69.600000000000009"/>
    <n v="0"/>
    <n v="17.400000000000002"/>
    <n v="0"/>
    <n v="0"/>
    <n v="0"/>
    <n v="0"/>
    <n v="0"/>
    <n v="0"/>
    <n v="0"/>
    <n v="0"/>
    <n v="0"/>
    <n v="0"/>
    <m/>
    <n v="68"/>
    <n v="166.00000000000003"/>
    <n v="135"/>
    <s v="FLINTSLFLINTSLFLINTSLFLINTSLFLINTSLFLINTSLFLINTSLFLINTSL"/>
    <s v="+"/>
    <s v="+"/>
    <s v="+"/>
    <s v="+"/>
    <s v="+"/>
    <s v="+"/>
    <s v="+"/>
    <s v="+"/>
  </r>
  <r>
    <d v="2026-01-19T00:00:00"/>
    <s v="A"/>
    <x v="232"/>
    <n v="136"/>
    <n v="249"/>
    <n v="12800"/>
    <s v="II"/>
    <s v="N"/>
    <n v="1.9"/>
    <s v="BLACK"/>
    <s v="F00876B"/>
    <s v="FLINTSL - BLACK"/>
    <n v="26"/>
    <n v="0"/>
    <m/>
    <m/>
    <n v="0"/>
    <n v="26516000033"/>
    <m/>
    <m/>
    <m/>
    <m/>
    <m/>
    <m/>
    <m/>
    <n v="25"/>
    <e v="#N/A"/>
    <m/>
    <n v="0"/>
    <m/>
    <n v="0"/>
    <m/>
    <n v="0"/>
    <m/>
    <n v="0"/>
    <m/>
    <n v="0"/>
    <m/>
    <n v="0"/>
    <m/>
    <n v="0"/>
    <s v="FLINTSL"/>
    <n v="26"/>
    <n v="0"/>
    <n v="46.393442622950815"/>
    <n v="0"/>
    <s v="REFLEX BLUE"/>
    <s v="F00876B"/>
    <s v="FLINTSL - REFLEX BLUE"/>
    <n v="25"/>
    <n v="0"/>
    <m/>
    <m/>
    <n v="0"/>
    <n v="26516000019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8"/>
    <n v="0"/>
    <n v="8.1311475409836049"/>
    <n v="0"/>
    <s v="RED"/>
    <s v="F00876R"/>
    <s v="FLINTSL - RED"/>
    <n v="26"/>
    <n v="0"/>
    <m/>
    <m/>
    <n v="0"/>
    <n v="26519000029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7"/>
    <n v="0"/>
    <n v="10.131147540983605"/>
    <n v="0"/>
    <s v="ORANGE"/>
    <s v="N00875O"/>
    <s v="FLINTSL - ORANGE"/>
    <n v="23"/>
    <n v="0"/>
    <m/>
    <m/>
    <n v="0"/>
    <n v="26518000001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6"/>
    <n v="0"/>
    <n v="7.7049180327868854"/>
    <n v="0"/>
    <s v="CYAN"/>
    <s v="F00876C"/>
    <s v="FLINTSL - CYAN"/>
    <n v="29"/>
    <n v="0"/>
    <m/>
    <m/>
    <n v="0"/>
    <n v="26519000006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8"/>
    <n v="0"/>
    <n v="12.131147540983605"/>
    <n v="0"/>
    <s v="MAGENTA"/>
    <s v="F00876M"/>
    <s v="FLINTSL - MAGENTA"/>
    <n v="28"/>
    <n v="0"/>
    <m/>
    <m/>
    <n v="0"/>
    <n v="26519000004"/>
    <s v="FMD"/>
    <m/>
    <m/>
    <m/>
    <m/>
    <m/>
    <m/>
    <n v="2"/>
    <e v="#N/A"/>
    <n v="4"/>
    <n v="0"/>
    <m/>
    <n v="0"/>
    <m/>
    <n v="0"/>
    <m/>
    <n v="0"/>
    <m/>
    <n v="0"/>
    <m/>
    <n v="0"/>
    <m/>
    <n v="0"/>
    <s v="FLINTSL"/>
    <n v="29"/>
    <n v="0"/>
    <n v="12.131147540983605"/>
    <n v="0"/>
    <s v="YELLOW"/>
    <s v="F00876Y"/>
    <s v="FLINTSL - YELLOW"/>
    <n v="29"/>
    <n v="0"/>
    <m/>
    <m/>
    <n v="0"/>
    <n v="26518000001"/>
    <s v="FMD"/>
    <m/>
    <m/>
    <m/>
    <m/>
    <m/>
    <m/>
    <n v="6"/>
    <e v="#N/A"/>
    <n v="4"/>
    <n v="0"/>
    <m/>
    <n v="0"/>
    <m/>
    <n v="0"/>
    <m/>
    <n v="0"/>
    <m/>
    <n v="0"/>
    <m/>
    <n v="0"/>
    <m/>
    <n v="0"/>
    <s v="FLINTSL"/>
    <n v="30"/>
    <n v="0"/>
    <n v="18.983606557377051"/>
    <n v="0"/>
    <s v="WHITE"/>
    <s v="F00876W"/>
    <s v="FLINTSL - WHITE"/>
    <n v="30"/>
    <n v="0"/>
    <m/>
    <m/>
    <n v="0"/>
    <s v="FW"/>
    <m/>
    <m/>
    <m/>
    <m/>
    <m/>
    <m/>
    <m/>
    <n v="25"/>
    <n v="0"/>
    <m/>
    <n v="0"/>
    <m/>
    <n v="0"/>
    <m/>
    <n v="0"/>
    <m/>
    <n v="0"/>
    <m/>
    <n v="0"/>
    <m/>
    <n v="0"/>
    <m/>
    <n v="0"/>
    <s v="FLINTSL"/>
    <n v="25"/>
    <n v="0"/>
    <n v="51.393442622950815"/>
    <n v="0"/>
    <n v="15"/>
    <n v="5"/>
    <n v="5"/>
    <n v="4"/>
    <n v="5"/>
    <n v="5"/>
    <n v="7"/>
    <n v="15"/>
    <n v="0.8"/>
    <n v="0.2"/>
    <m/>
    <m/>
    <m/>
    <n v="0"/>
    <n v="87"/>
    <n v="0"/>
    <n v="0"/>
    <n v="87"/>
    <n v="87"/>
    <n v="69.600000000000009"/>
    <n v="0"/>
    <n v="17.400000000000002"/>
    <n v="0"/>
    <n v="0"/>
    <n v="0"/>
    <n v="0"/>
    <n v="0"/>
    <n v="0"/>
    <n v="0"/>
    <n v="0"/>
    <n v="0"/>
    <n v="0"/>
    <m/>
    <n v="83"/>
    <n v="167"/>
    <n v="136"/>
    <s v="FLINTSLFLINTSLFLINTSLFLINTSLFLINTSLFLINTSLFLINTSLFLINTSL"/>
    <s v="+"/>
    <s v="+"/>
    <s v="+"/>
    <s v="+"/>
    <s v="+"/>
    <s v="+"/>
    <s v="+"/>
    <s v="+"/>
  </r>
  <r>
    <d v="2026-01-19T00:00:00"/>
    <s v="A"/>
    <x v="233"/>
    <n v="137"/>
    <n v="487"/>
    <n v="24000"/>
    <s v="II"/>
    <s v="N"/>
    <n v="2.2400000000000002"/>
    <s v="BLACK"/>
    <s v="F00874B"/>
    <s v="FLINTSL - BLACK"/>
    <n v="26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7"/>
    <n v="0"/>
    <n v="11.950000000000003"/>
    <n v="0"/>
    <s v="RED"/>
    <s v="F00874R"/>
    <s v="FLINTSL - RED"/>
    <n v="27"/>
    <n v="0"/>
    <m/>
    <m/>
    <n v="0"/>
    <n v="26519000004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6"/>
    <n v="0"/>
    <n v="4.59"/>
    <n v="0"/>
    <s v="REFLEX BLUE"/>
    <s v="B010357B"/>
    <s v="FLINTSL - REFLEX BLUE"/>
    <n v="30"/>
    <n v="0"/>
    <s v="H01357B"/>
    <n v="10"/>
    <n v="0"/>
    <n v="26517000044"/>
    <n v="26519000006"/>
    <m/>
    <m/>
    <m/>
    <m/>
    <m/>
    <m/>
    <n v="10"/>
    <e v="#N/A"/>
    <n v="20"/>
    <e v="#N/A"/>
    <m/>
    <n v="0"/>
    <m/>
    <n v="0"/>
    <m/>
    <n v="0"/>
    <m/>
    <n v="0"/>
    <m/>
    <n v="0"/>
    <m/>
    <n v="0"/>
    <s v="FLINTSL"/>
    <n v="18"/>
    <n v="0"/>
    <n v="83.8"/>
    <n v="0"/>
    <s v="ORANGE"/>
    <s v="F00874O"/>
    <s v="FLINTSL - ORANGE"/>
    <n v="26"/>
    <n v="0"/>
    <m/>
    <m/>
    <n v="0"/>
    <n v="26517000013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4"/>
    <n v="0"/>
    <n v="16.130000000000003"/>
    <n v="0"/>
    <s v="CYAN"/>
    <s v="F00874C"/>
    <s v="FLINTSL - CYAN"/>
    <n v="28"/>
    <n v="0"/>
    <m/>
    <m/>
    <n v="0"/>
    <n v="26519000006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7"/>
    <n v="0"/>
    <n v="9.18"/>
    <n v="0"/>
    <s v="MAGENTA"/>
    <s v="F00874M"/>
    <s v="FLINTSL - MAGENTA"/>
    <n v="29"/>
    <n v="0"/>
    <m/>
    <m/>
    <n v="0"/>
    <n v="26519000004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7"/>
    <n v="0"/>
    <n v="8.18"/>
    <n v="0"/>
    <s v="YELLOW"/>
    <s v="F00874Y"/>
    <s v="FLINTSL - YELLOW"/>
    <n v="30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4"/>
    <n v="0"/>
    <n v="12.769999999999996"/>
    <n v="0"/>
    <s v="WHITE"/>
    <s v="F00874W"/>
    <s v="FLINTSL - WHITE"/>
    <n v="25"/>
    <n v="0"/>
    <m/>
    <m/>
    <n v="0"/>
    <s v="FW"/>
    <m/>
    <m/>
    <m/>
    <m/>
    <m/>
    <m/>
    <m/>
    <n v="110"/>
    <n v="0"/>
    <m/>
    <n v="0"/>
    <m/>
    <n v="0"/>
    <m/>
    <n v="0"/>
    <m/>
    <n v="0"/>
    <m/>
    <n v="0"/>
    <m/>
    <n v="0"/>
    <m/>
    <n v="0"/>
    <s v="FLINTSL"/>
    <n v="30"/>
    <n v="0"/>
    <n v="200.39999999999998"/>
    <n v="0"/>
    <n v="5"/>
    <n v="1"/>
    <n v="20"/>
    <n v="7"/>
    <n v="2"/>
    <n v="2"/>
    <n v="3"/>
    <n v="60"/>
    <n v="0.8"/>
    <n v="0.2"/>
    <m/>
    <m/>
    <m/>
    <n v="0"/>
    <n v="159"/>
    <n v="0"/>
    <n v="0"/>
    <n v="159"/>
    <n v="159"/>
    <n v="127.2"/>
    <n v="0"/>
    <n v="31.8"/>
    <n v="0"/>
    <n v="0"/>
    <n v="0"/>
    <n v="0"/>
    <n v="0"/>
    <n v="0"/>
    <n v="0"/>
    <n v="0"/>
    <n v="0"/>
    <n v="0"/>
    <m/>
    <n v="160"/>
    <n v="347"/>
    <n v="137"/>
    <s v="FLINTSLFLINTSLFLINTSLFLINTSLFLINTSLFLINTSLFLINTSLFLINTSL"/>
    <s v="+"/>
    <s v="+"/>
    <s v="+"/>
    <s v="+"/>
    <s v="+"/>
    <s v="+"/>
    <s v="+"/>
    <s v="+"/>
  </r>
  <r>
    <d v="2026-01-19T00:00:00"/>
    <s v="A"/>
    <x v="234"/>
    <n v="138"/>
    <n v="379"/>
    <n v="19200"/>
    <s v="I"/>
    <s v="N"/>
    <n v="0.92"/>
    <s v="BLACK"/>
    <s v="N00895B"/>
    <s v="FLINTSL - BLACK"/>
    <n v="30"/>
    <n v="0"/>
    <m/>
    <m/>
    <n v="0"/>
    <n v="26516000033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30"/>
    <n v="0"/>
    <n v="8.7000000000000028"/>
    <n v="0"/>
    <s v="GOLD"/>
    <s v="E01028G"/>
    <s v="FLINTSL - GOLD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9.7000000000000028"/>
    <n v="0"/>
    <s v="RED"/>
    <s v="N00895R"/>
    <s v="FLINTSL - RED"/>
    <n v="32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0"/>
    <n v="7.7000000000000028"/>
    <n v="0"/>
    <s v="REFLEX BLUE"/>
    <m/>
    <s v="FLINTSL - REFLEX BLUE"/>
    <m/>
    <n v="0"/>
    <m/>
    <m/>
    <n v="0"/>
    <n v="26519000001"/>
    <n v="26519000003"/>
    <n v="26519000015"/>
    <m/>
    <m/>
    <m/>
    <m/>
    <m/>
    <n v="40"/>
    <e v="#N/A"/>
    <n v="40"/>
    <e v="#N/A"/>
    <n v="6"/>
    <e v="#N/A"/>
    <m/>
    <n v="0"/>
    <m/>
    <n v="0"/>
    <m/>
    <n v="0"/>
    <m/>
    <n v="0"/>
    <m/>
    <n v="0"/>
    <s v="FLINTSL"/>
    <n v="25"/>
    <n v="0"/>
    <n v="69.55"/>
    <n v="0"/>
    <s v="CYAN"/>
    <s v="N00895C"/>
    <s v="FLINTSL - CYAN"/>
    <n v="26"/>
    <n v="0"/>
    <m/>
    <m/>
    <n v="0"/>
    <n v="2651900001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6"/>
    <n v="0"/>
    <n v="8.7000000000000028"/>
    <n v="0"/>
    <s v="MAGENTA"/>
    <s v="N00895M"/>
    <s v="FLINTSL - MAGENTA"/>
    <n v="26"/>
    <n v="0"/>
    <m/>
    <m/>
    <n v="0"/>
    <n v="26519000004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0"/>
    <n v="0"/>
    <n v="8.5499999999999972"/>
    <n v="0"/>
    <s v="YELLOW"/>
    <s v="N00895Y"/>
    <s v="FLINTSL - YELLOW"/>
    <n v="24"/>
    <n v="0"/>
    <m/>
    <m/>
    <n v="0"/>
    <n v="26518000002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6"/>
    <n v="0"/>
    <n v="20.099999999999994"/>
    <n v="0"/>
    <s v="WHITE"/>
    <s v="N00895W"/>
    <s v="FLINTSL - WHITE"/>
    <n v="30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30"/>
    <n v="0"/>
    <n v="97"/>
    <n v="0"/>
    <n v="2"/>
    <n v="2"/>
    <n v="2"/>
    <n v="3"/>
    <n v="2"/>
    <n v="3"/>
    <n v="6"/>
    <n v="20"/>
    <n v="0.8"/>
    <n v="0.2"/>
    <m/>
    <m/>
    <m/>
    <n v="0"/>
    <n v="114"/>
    <n v="0"/>
    <n v="0"/>
    <n v="114"/>
    <n v="114"/>
    <n v="91.2"/>
    <n v="0"/>
    <n v="22.8"/>
    <n v="0"/>
    <n v="0"/>
    <n v="0"/>
    <n v="0"/>
    <n v="0"/>
    <n v="0"/>
    <n v="0"/>
    <n v="0"/>
    <n v="0"/>
    <n v="0"/>
    <m/>
    <n v="141"/>
    <n v="230"/>
    <n v="138"/>
    <s v="FLINTSLFLINTSLFLINTSLFLINTSLFLINTSLFLINTSLFLINTSLFLINTSL"/>
    <s v="+"/>
    <s v="+"/>
    <s v="+"/>
    <s v="+"/>
    <s v="+"/>
    <s v="+"/>
    <s v="+"/>
    <s v="+"/>
  </r>
  <r>
    <d v="2026-01-19T00:00:00"/>
    <s v="A"/>
    <x v="235"/>
    <n v="139"/>
    <n v="461"/>
    <n v="25900"/>
    <s v="I"/>
    <s v="N"/>
    <n v="0.92"/>
    <s v="BLACK"/>
    <s v="N00896B"/>
    <s v="FLINTSL - BLACK"/>
    <n v="30"/>
    <n v="0"/>
    <m/>
    <m/>
    <n v="0"/>
    <n v="26516000033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7.4761904761904745"/>
    <n v="0"/>
    <s v="GOLD"/>
    <s v="N00896G"/>
    <s v="FLINTSL - GOLD"/>
    <n v="25"/>
    <n v="0"/>
    <m/>
    <m/>
    <n v="0"/>
    <s v="FSI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30"/>
    <n v="0"/>
    <n v="10.952380952380949"/>
    <n v="0"/>
    <s v="REFLEX BLUE"/>
    <s v="N00896B"/>
    <s v="FLINTSL - REFLEX BLUE"/>
    <n v="25"/>
    <n v="0"/>
    <m/>
    <m/>
    <n v="0"/>
    <n v="26519000007"/>
    <m/>
    <m/>
    <m/>
    <m/>
    <m/>
    <m/>
    <m/>
    <n v="15"/>
    <e v="#N/A"/>
    <m/>
    <n v="0"/>
    <m/>
    <n v="0"/>
    <m/>
    <n v="0"/>
    <m/>
    <n v="0"/>
    <m/>
    <n v="0"/>
    <m/>
    <n v="0"/>
    <m/>
    <n v="0"/>
    <s v="FLINTSL"/>
    <n v="25"/>
    <n v="0"/>
    <n v="28.69047619047619"/>
    <n v="0"/>
    <s v="RED"/>
    <s v="N00896R"/>
    <s v="FLINTSL - RED"/>
    <n v="30"/>
    <n v="0"/>
    <m/>
    <m/>
    <n v="0"/>
    <n v="26519000004"/>
    <n v="26520000008"/>
    <m/>
    <m/>
    <m/>
    <m/>
    <m/>
    <m/>
    <n v="5"/>
    <e v="#N/A"/>
    <n v="3"/>
    <e v="#N/A"/>
    <m/>
    <n v="0"/>
    <m/>
    <n v="0"/>
    <m/>
    <n v="0"/>
    <m/>
    <n v="0"/>
    <m/>
    <n v="0"/>
    <m/>
    <n v="0"/>
    <s v="FLINTSL"/>
    <n v="28"/>
    <n v="0"/>
    <n v="15.476190476190474"/>
    <n v="0"/>
    <s v="CYAN"/>
    <s v="N00896C"/>
    <s v="FLINTSL - CYAN"/>
    <n v="28"/>
    <n v="0"/>
    <m/>
    <m/>
    <n v="0"/>
    <n v="26519000015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9"/>
    <n v="0"/>
    <n v="9.4761904761904745"/>
    <n v="0"/>
    <s v="MAGENTA"/>
    <s v="N00896M"/>
    <s v="FLINTSL - MAGENTA"/>
    <n v="30"/>
    <n v="0"/>
    <m/>
    <m/>
    <n v="0"/>
    <n v="26519000004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9.4761904761904745"/>
    <n v="0"/>
    <s v="YELLOW"/>
    <s v="N00896Y"/>
    <s v="FLINTSL - YELLOW"/>
    <n v="26"/>
    <n v="0"/>
    <m/>
    <m/>
    <n v="0"/>
    <n v="26519000002"/>
    <s v="FMD"/>
    <m/>
    <m/>
    <m/>
    <m/>
    <m/>
    <m/>
    <n v="8"/>
    <e v="#N/A"/>
    <n v="3"/>
    <n v="0"/>
    <m/>
    <n v="0"/>
    <m/>
    <n v="0"/>
    <m/>
    <n v="0"/>
    <m/>
    <n v="0"/>
    <m/>
    <n v="0"/>
    <m/>
    <n v="0"/>
    <s v="FLINTSL"/>
    <n v="27"/>
    <n v="0"/>
    <n v="23.69047619047619"/>
    <n v="0"/>
    <s v="WHITE"/>
    <s v="N00896W"/>
    <s v="FLINTSL - WHITE"/>
    <n v="30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30"/>
    <n v="0"/>
    <n v="94.761904761904759"/>
    <n v="0"/>
    <n v="2"/>
    <n v="4"/>
    <n v="5"/>
    <n v="2"/>
    <n v="2"/>
    <n v="2"/>
    <n v="5"/>
    <n v="20"/>
    <n v="0.8"/>
    <n v="0.2"/>
    <m/>
    <m/>
    <m/>
    <n v="0"/>
    <n v="115"/>
    <n v="0"/>
    <n v="0"/>
    <n v="115"/>
    <n v="115"/>
    <n v="92"/>
    <n v="0"/>
    <n v="23"/>
    <n v="0"/>
    <n v="0"/>
    <n v="0"/>
    <n v="0"/>
    <n v="0"/>
    <n v="0"/>
    <n v="0"/>
    <n v="0"/>
    <n v="0"/>
    <n v="0"/>
    <m/>
    <n v="88"/>
    <n v="200"/>
    <n v="139"/>
    <s v="FLINTSLFLINTSLFLINTSLFLINTSLFLINTSLFLINTSLFLINTSLFLINTSL"/>
    <s v="+"/>
    <s v="+"/>
    <s v="+"/>
    <s v="+"/>
    <s v="+"/>
    <s v="+"/>
    <s v="+"/>
    <s v="+"/>
  </r>
  <r>
    <d v="2026-01-19T00:00:00"/>
    <s v="A"/>
    <x v="236"/>
    <n v="140"/>
    <n v="316"/>
    <n v="14400"/>
    <s v="II"/>
    <s v="N"/>
    <n v="1.2"/>
    <s v="BLACK"/>
    <s v="F00871B"/>
    <s v="FLINTSL - BLACK"/>
    <n v="27"/>
    <n v="0"/>
    <m/>
    <m/>
    <n v="0"/>
    <n v="26516000033"/>
    <s v="FMD"/>
    <m/>
    <m/>
    <m/>
    <m/>
    <m/>
    <m/>
    <n v="3"/>
    <e v="#N/A"/>
    <n v="2"/>
    <n v="0"/>
    <m/>
    <n v="0"/>
    <m/>
    <n v="0"/>
    <m/>
    <n v="0"/>
    <m/>
    <n v="0"/>
    <m/>
    <n v="0"/>
    <m/>
    <n v="0"/>
    <s v="FLINTSL"/>
    <n v="26"/>
    <n v="0"/>
    <n v="8.794117647058826"/>
    <n v="0"/>
    <s v="RED"/>
    <s v="F00871R"/>
    <s v="FLINTSL - RED"/>
    <n v="26"/>
    <n v="0"/>
    <m/>
    <m/>
    <n v="0"/>
    <n v="26520000008"/>
    <n v="26519000029"/>
    <n v="26519000004"/>
    <m/>
    <m/>
    <m/>
    <m/>
    <m/>
    <n v="2"/>
    <e v="#N/A"/>
    <n v="7"/>
    <e v="#N/A"/>
    <n v="2"/>
    <e v="#N/A"/>
    <m/>
    <n v="0"/>
    <m/>
    <n v="0"/>
    <m/>
    <n v="0"/>
    <m/>
    <n v="0"/>
    <m/>
    <n v="0"/>
    <s v="FLINTSL"/>
    <n v="30"/>
    <n v="0"/>
    <n v="13.985294117647058"/>
    <n v="0"/>
    <s v="GREEN"/>
    <s v="F01015G"/>
    <s v="FLINTSL - GREEN"/>
    <n v="20"/>
    <n v="0"/>
    <m/>
    <m/>
    <n v="0"/>
    <n v="26518000001"/>
    <n v="26519000006"/>
    <m/>
    <m/>
    <m/>
    <m/>
    <m/>
    <m/>
    <n v="6"/>
    <e v="#N/A"/>
    <n v="2"/>
    <e v="#N/A"/>
    <m/>
    <n v="0"/>
    <m/>
    <n v="0"/>
    <m/>
    <n v="0"/>
    <m/>
    <n v="0"/>
    <m/>
    <n v="0"/>
    <m/>
    <n v="0"/>
    <s v="FLINTSL"/>
    <n v="18"/>
    <n v="0"/>
    <n v="16.985294117647058"/>
    <n v="0"/>
    <s v="GREEN"/>
    <s v="F00877G"/>
    <s v="FLINTSL - GREEN"/>
    <n v="20"/>
    <n v="0"/>
    <m/>
    <m/>
    <n v="0"/>
    <n v="26519000002"/>
    <n v="26516000021"/>
    <m/>
    <m/>
    <m/>
    <m/>
    <m/>
    <m/>
    <n v="2"/>
    <e v="#N/A"/>
    <n v="4"/>
    <e v="#N/A"/>
    <m/>
    <n v="0"/>
    <m/>
    <n v="0"/>
    <m/>
    <n v="0"/>
    <m/>
    <n v="0"/>
    <m/>
    <n v="0"/>
    <m/>
    <n v="0"/>
    <s v="FLINTSL"/>
    <n v="19"/>
    <n v="0"/>
    <n v="13.985294117647058"/>
    <n v="0"/>
    <s v="CYAN"/>
    <s v="F00871C"/>
    <s v="FLINTSL - CYAN"/>
    <n v="27"/>
    <n v="0"/>
    <m/>
    <m/>
    <n v="0"/>
    <n v="2651900001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1.7941176470588225"/>
    <n v="0"/>
    <s v="MAGENTA"/>
    <s v="F00871M"/>
    <s v="FLINTSL - MAGENTA"/>
    <n v="27"/>
    <n v="0"/>
    <m/>
    <m/>
    <n v="0"/>
    <n v="26519000004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3.7941176470588225"/>
    <n v="0"/>
    <s v="YELLOW"/>
    <s v="F00871Y"/>
    <s v="FLINTSL - YELLOW"/>
    <n v="24"/>
    <n v="0"/>
    <m/>
    <m/>
    <n v="0"/>
    <n v="26519000002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9"/>
    <n v="0"/>
    <n v="10.779411764705884"/>
    <n v="0"/>
    <s v="WHITE"/>
    <s v="F00871W"/>
    <s v="FLINTSL - WHITE"/>
    <n v="30"/>
    <n v="0"/>
    <m/>
    <m/>
    <n v="0"/>
    <s v="FW"/>
    <m/>
    <m/>
    <m/>
    <m/>
    <m/>
    <m/>
    <m/>
    <n v="75"/>
    <n v="0"/>
    <m/>
    <n v="0"/>
    <m/>
    <n v="0"/>
    <m/>
    <n v="0"/>
    <m/>
    <n v="0"/>
    <m/>
    <n v="0"/>
    <m/>
    <n v="0"/>
    <m/>
    <n v="0"/>
    <s v="FLINTSL"/>
    <n v="24"/>
    <n v="0"/>
    <n v="136.88235294117646"/>
    <n v="0"/>
    <n v="2"/>
    <n v="5"/>
    <n v="5"/>
    <n v="5"/>
    <n v="2"/>
    <n v="2"/>
    <n v="7"/>
    <n v="40"/>
    <n v="0.8"/>
    <n v="0.2"/>
    <m/>
    <m/>
    <m/>
    <n v="0"/>
    <n v="95"/>
    <n v="0"/>
    <n v="0"/>
    <n v="95"/>
    <n v="95"/>
    <n v="76"/>
    <n v="0"/>
    <n v="19"/>
    <n v="0"/>
    <n v="0"/>
    <n v="0"/>
    <n v="0"/>
    <n v="0"/>
    <n v="0"/>
    <n v="0"/>
    <n v="0"/>
    <n v="0"/>
    <n v="0"/>
    <m/>
    <n v="115"/>
    <n v="207"/>
    <n v="140"/>
    <s v="FLINTSLFLINTSLFLINTSLFLINTSLFLINTSLFLINTSLFLINTSLFLINTSL"/>
    <s v="+"/>
    <s v="+"/>
    <s v="+"/>
    <s v="+"/>
    <s v="+"/>
    <s v="+"/>
    <s v="+"/>
    <s v="+"/>
  </r>
  <r>
    <d v="2026-01-19T00:00:00"/>
    <s v="A"/>
    <x v="237"/>
    <n v="141"/>
    <n v="541"/>
    <n v="31600"/>
    <s v="I"/>
    <s v="N"/>
    <n v="1.7"/>
    <s v="BLACK"/>
    <s v="N00893B"/>
    <s v="FLINTSL - BLACK"/>
    <n v="30"/>
    <n v="0"/>
    <m/>
    <m/>
    <n v="0"/>
    <n v="2651700004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13.918367346938773"/>
    <n v="0"/>
    <s v="RED"/>
    <s v="N00893R"/>
    <s v="FLINTSL - RED"/>
    <n v="28"/>
    <n v="0"/>
    <m/>
    <m/>
    <n v="0"/>
    <n v="26520000011"/>
    <n v="26520000008"/>
    <m/>
    <m/>
    <m/>
    <m/>
    <m/>
    <m/>
    <n v="1"/>
    <e v="#N/A"/>
    <n v="1"/>
    <e v="#N/A"/>
    <m/>
    <n v="0"/>
    <m/>
    <n v="0"/>
    <m/>
    <n v="0"/>
    <m/>
    <n v="0"/>
    <m/>
    <n v="0"/>
    <m/>
    <n v="0"/>
    <s v="FLINTSL"/>
    <n v="27"/>
    <n v="0"/>
    <n v="3"/>
    <n v="0"/>
    <s v="REFLEX BLUE"/>
    <m/>
    <s v="FLINTSL - REFLEX BLUE"/>
    <m/>
    <n v="0"/>
    <m/>
    <m/>
    <n v="0"/>
    <n v="26519000022"/>
    <n v="26519000023"/>
    <n v="26519000020"/>
    <n v="26519000019"/>
    <m/>
    <m/>
    <m/>
    <m/>
    <n v="30"/>
    <e v="#N/A"/>
    <n v="40"/>
    <e v="#N/A"/>
    <n v="20"/>
    <e v="#N/A"/>
    <n v="20"/>
    <e v="#N/A"/>
    <m/>
    <n v="0"/>
    <m/>
    <n v="0"/>
    <m/>
    <n v="0"/>
    <m/>
    <n v="0"/>
    <s v="FLINTSL"/>
    <n v="15"/>
    <n v="0"/>
    <n v="128.0612244897959"/>
    <n v="0"/>
    <s v="CYAN"/>
    <s v="N00893C"/>
    <s v="FLINTSL - CYAN"/>
    <n v="29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8"/>
    <n v="0"/>
    <n v="12.612244897959187"/>
    <n v="0"/>
    <s v="MAGENTA"/>
    <s v="N00893M"/>
    <s v="FLINTSL - MAGENTA"/>
    <n v="28"/>
    <n v="0"/>
    <m/>
    <m/>
    <n v="0"/>
    <n v="2651900002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9.6122448979591866"/>
    <n v="0"/>
    <s v="YELLOW"/>
    <s v="N00893Y"/>
    <s v="FLINTSL - YELLOW"/>
    <n v="27"/>
    <n v="0"/>
    <m/>
    <m/>
    <n v="0"/>
    <n v="26519000002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6"/>
    <n v="0"/>
    <n v="12.612244897959187"/>
    <n v="0"/>
    <s v="WHITE"/>
    <s v="N00893W"/>
    <s v="FLINTSL - WHITE"/>
    <n v="3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159.1836734693877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0"/>
    <n v="10"/>
    <n v="2"/>
    <n v="2"/>
    <n v="2"/>
    <n v="30"/>
    <n v="0"/>
    <n v="0.8"/>
    <n v="0.2"/>
    <m/>
    <m/>
    <m/>
    <n v="0"/>
    <n v="162"/>
    <n v="0"/>
    <n v="0"/>
    <n v="162"/>
    <n v="162"/>
    <n v="129.6"/>
    <n v="0"/>
    <n v="32.4"/>
    <n v="0"/>
    <n v="0"/>
    <n v="0"/>
    <n v="0"/>
    <n v="0"/>
    <n v="0"/>
    <n v="0"/>
    <n v="0"/>
    <n v="0"/>
    <n v="0"/>
    <m/>
    <n v="186"/>
    <n v="339"/>
    <n v="141"/>
    <s v="FLINTSLFLINTSLFLINTSLFLINTSLFLINTSLFLINTSLFLINTSL"/>
    <s v="+"/>
    <s v="+"/>
    <s v="+"/>
    <s v="+"/>
    <s v="+"/>
    <s v="+"/>
    <s v="+"/>
    <s v="NIL"/>
  </r>
  <r>
    <d v="2026-01-19T00:00:00"/>
    <s v="A"/>
    <x v="238"/>
    <n v="142"/>
    <n v="531"/>
    <n v="25100"/>
    <s v="II"/>
    <s v="N"/>
    <n v="2.1800000000000002"/>
    <s v="BLACK"/>
    <s v="P00465B"/>
    <s v="FLINTSL - BLACK"/>
    <n v="26"/>
    <n v="0"/>
    <m/>
    <m/>
    <n v="0"/>
    <n v="26516000019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9"/>
    <n v="0"/>
    <n v="10.117647058823529"/>
    <n v="0"/>
    <s v="RED"/>
    <s v="P00465R"/>
    <s v="FLINTSL - RED"/>
    <n v="30"/>
    <n v="0"/>
    <m/>
    <m/>
    <n v="0"/>
    <n v="26520000008"/>
    <n v="26519000021"/>
    <n v="26519000002"/>
    <m/>
    <m/>
    <m/>
    <m/>
    <m/>
    <n v="6"/>
    <e v="#N/A"/>
    <n v="6"/>
    <e v="#N/A"/>
    <n v="10"/>
    <e v="#N/A"/>
    <m/>
    <n v="0"/>
    <m/>
    <n v="0"/>
    <m/>
    <n v="0"/>
    <m/>
    <n v="0"/>
    <m/>
    <n v="0"/>
    <s v="FLINTSL"/>
    <n v="26"/>
    <n v="0"/>
    <n v="35.117647058823529"/>
    <n v="0"/>
    <s v="GREEN"/>
    <s v="C01410G"/>
    <s v="FLINTSL - GREEN"/>
    <n v="30"/>
    <n v="0"/>
    <m/>
    <m/>
    <n v="0"/>
    <n v="26519000012"/>
    <n v="26517000041"/>
    <m/>
    <m/>
    <m/>
    <m/>
    <m/>
    <m/>
    <n v="60"/>
    <e v="#N/A"/>
    <n v="4"/>
    <e v="#N/A"/>
    <m/>
    <n v="0"/>
    <m/>
    <n v="0"/>
    <m/>
    <n v="0"/>
    <m/>
    <n v="0"/>
    <m/>
    <n v="0"/>
    <m/>
    <n v="0"/>
    <s v="FLINTSL"/>
    <n v="34"/>
    <n v="0"/>
    <n v="96.470588235294116"/>
    <n v="0"/>
    <s v="CYAN"/>
    <s v="P00465C"/>
    <s v="FLINTSL - CYAN"/>
    <n v="30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30"/>
    <n v="0"/>
    <n v="15.117647058823529"/>
    <n v="0"/>
    <s v="MAGENTA"/>
    <s v="P00465M"/>
    <s v="FLINTSL - MAGENTA"/>
    <n v="28"/>
    <n v="0"/>
    <m/>
    <m/>
    <n v="0"/>
    <n v="2651900002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1"/>
    <n v="0"/>
    <n v="10.117647058823529"/>
    <n v="0"/>
    <s v="YELLOW"/>
    <s v="P00465Y"/>
    <s v="FLINTSL - YELLOW"/>
    <n v="29"/>
    <n v="0"/>
    <m/>
    <m/>
    <n v="0"/>
    <n v="26519000002"/>
    <s v="FMD"/>
    <m/>
    <m/>
    <m/>
    <m/>
    <m/>
    <m/>
    <n v="9"/>
    <e v="#N/A"/>
    <n v="6"/>
    <n v="0"/>
    <m/>
    <n v="0"/>
    <m/>
    <n v="0"/>
    <m/>
    <n v="0"/>
    <m/>
    <n v="0"/>
    <m/>
    <n v="0"/>
    <m/>
    <n v="0"/>
    <s v="FLINTSL"/>
    <n v="30"/>
    <n v="0"/>
    <n v="17.647058823529413"/>
    <n v="0"/>
    <s v="WHITE"/>
    <s v="P00465W"/>
    <s v="FLINTSL - WHITE"/>
    <n v="24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24"/>
    <n v="0"/>
    <n v="209.4117647058823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20"/>
    <n v="5"/>
    <n v="5"/>
    <n v="2"/>
    <n v="60"/>
    <n v="0"/>
    <n v="0.8"/>
    <n v="0.2"/>
    <m/>
    <m/>
    <m/>
    <n v="0"/>
    <n v="186"/>
    <n v="0"/>
    <n v="0"/>
    <n v="186"/>
    <n v="186"/>
    <n v="148.80000000000001"/>
    <n v="0"/>
    <n v="37.200000000000003"/>
    <n v="0"/>
    <n v="0"/>
    <n v="0"/>
    <n v="0"/>
    <n v="0"/>
    <n v="0"/>
    <n v="0"/>
    <n v="0"/>
    <n v="0"/>
    <n v="0"/>
    <m/>
    <n v="215"/>
    <n v="394"/>
    <n v="142"/>
    <s v="FLINTSLFLINTSLFLINTSLFLINTSLFLINTSLFLINTSLFLINTSL"/>
    <s v="+"/>
    <s v="+"/>
    <s v="+"/>
    <s v="+"/>
    <s v="+"/>
    <s v="+"/>
    <s v="+"/>
    <s v="NIL"/>
  </r>
  <r>
    <d v="2026-01-19T00:00:00"/>
    <s v="A"/>
    <x v="239"/>
    <n v="143"/>
    <n v="539"/>
    <n v="31500"/>
    <s v="I"/>
    <s v="N"/>
    <n v="1.84"/>
    <s v="BLACK"/>
    <s v="F00869B"/>
    <s v="FLINTSL - BLACK"/>
    <n v="28"/>
    <n v="0"/>
    <m/>
    <m/>
    <n v="0"/>
    <n v="26517000044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7"/>
    <n v="0"/>
    <n v="9.178082191780824"/>
    <n v="0"/>
    <s v="GREEN"/>
    <s v="N00895G"/>
    <s v="FLINTSL - GREEN"/>
    <n v="30"/>
    <n v="0"/>
    <s v="C01446G/C01410G"/>
    <n v="59"/>
    <n v="0"/>
    <n v="26519000017"/>
    <n v="26517000044"/>
    <n v="26519000032"/>
    <m/>
    <m/>
    <m/>
    <m/>
    <m/>
    <n v="2"/>
    <e v="#N/A"/>
    <n v="1"/>
    <e v="#N/A"/>
    <n v="40"/>
    <e v="#N/A"/>
    <m/>
    <n v="0"/>
    <m/>
    <n v="0"/>
    <m/>
    <n v="0"/>
    <m/>
    <n v="0"/>
    <m/>
    <n v="0"/>
    <s v="FLINTSL"/>
    <n v="32"/>
    <n v="0"/>
    <n v="105.17808219178082"/>
    <n v="0"/>
    <s v="RED"/>
    <s v="F00869R"/>
    <s v="FLINTSL - RED"/>
    <n v="27"/>
    <n v="0"/>
    <m/>
    <m/>
    <n v="0"/>
    <n v="2651900002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9.178082191780824"/>
    <n v="0"/>
    <s v="CYAN"/>
    <s v="F00869C"/>
    <s v="FLINTSL - CYAN"/>
    <n v="28"/>
    <n v="0"/>
    <m/>
    <m/>
    <n v="0"/>
    <n v="2651900001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7.178082191780824"/>
    <n v="0"/>
    <s v="MAGENTA"/>
    <s v="F00869M"/>
    <s v="FLINTSL - MAGENTA"/>
    <n v="27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8"/>
    <n v="0"/>
    <n v="10.767123287671232"/>
    <n v="0"/>
    <s v="YELLOW"/>
    <s v="F00869Y"/>
    <s v="FLINTSL - YELLOW"/>
    <n v="26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8"/>
    <n v="0"/>
    <n v="6.178082191780824"/>
    <n v="0"/>
    <s v="WHITE"/>
    <s v="F00869W"/>
    <s v="FLINTSL - WHITE"/>
    <n v="30"/>
    <n v="0"/>
    <m/>
    <m/>
    <n v="0"/>
    <s v="FW"/>
    <m/>
    <m/>
    <m/>
    <m/>
    <m/>
    <m/>
    <m/>
    <n v="120"/>
    <n v="0"/>
    <m/>
    <n v="0"/>
    <m/>
    <n v="0"/>
    <m/>
    <n v="0"/>
    <m/>
    <n v="0"/>
    <m/>
    <n v="0"/>
    <m/>
    <n v="0"/>
    <m/>
    <n v="0"/>
    <s v="FLINTSL"/>
    <n v="30"/>
    <n v="0"/>
    <n v="275.3424657534246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2"/>
    <n v="3"/>
    <n v="2"/>
    <n v="60"/>
    <n v="0"/>
    <n v="0.8"/>
    <n v="0.2"/>
    <m/>
    <m/>
    <m/>
    <n v="0"/>
    <n v="189"/>
    <n v="0"/>
    <n v="0"/>
    <n v="189"/>
    <n v="189"/>
    <n v="151.20000000000002"/>
    <n v="0"/>
    <n v="37.800000000000004"/>
    <n v="0"/>
    <n v="0"/>
    <n v="0"/>
    <n v="0"/>
    <n v="0"/>
    <n v="0"/>
    <n v="0"/>
    <n v="0"/>
    <n v="0"/>
    <n v="0"/>
    <m/>
    <n v="177"/>
    <n v="423"/>
    <n v="143"/>
    <s v="FLINTSLFLINTSLFLINTSLFLINTSLFLINTSLFLINTSLFLINTSL"/>
    <s v="+"/>
    <s v="+"/>
    <s v="+"/>
    <s v="+"/>
    <s v="+"/>
    <s v="+"/>
    <s v="+"/>
    <s v="NIL"/>
  </r>
  <r>
    <d v="2026-01-19T00:00:00"/>
    <s v="A"/>
    <x v="240"/>
    <n v="144"/>
    <n v="687"/>
    <n v="16200"/>
    <s v="II"/>
    <s v="N"/>
    <n v="1.9"/>
    <s v="BLACK"/>
    <s v="F00868B"/>
    <s v="FLINTSL - BLACK"/>
    <n v="29"/>
    <n v="0"/>
    <m/>
    <m/>
    <n v="0"/>
    <n v="2651700004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8"/>
    <n v="0"/>
    <n v="18.700000000000003"/>
    <n v="0"/>
    <s v="REFLEX BLUE"/>
    <m/>
    <s v="FLINTSL - REFLEX BLUE"/>
    <m/>
    <n v="0"/>
    <m/>
    <m/>
    <n v="0"/>
    <n v="26519000014"/>
    <n v="26519000033"/>
    <m/>
    <m/>
    <m/>
    <m/>
    <m/>
    <m/>
    <n v="7"/>
    <e v="#N/A"/>
    <n v="11"/>
    <e v="#N/A"/>
    <m/>
    <n v="0"/>
    <m/>
    <n v="0"/>
    <m/>
    <n v="0"/>
    <m/>
    <n v="0"/>
    <m/>
    <n v="0"/>
    <m/>
    <n v="0"/>
    <s v="FLINTSL"/>
    <n v="21"/>
    <n v="0"/>
    <n v="18.920000000000002"/>
    <n v="0"/>
    <s v="ORANGE"/>
    <m/>
    <s v="FLINTSL - ORANGE"/>
    <m/>
    <n v="0"/>
    <m/>
    <m/>
    <n v="0"/>
    <n v="26519000031"/>
    <n v="26519000030"/>
    <s v="FMD"/>
    <n v="26519000021"/>
    <m/>
    <m/>
    <m/>
    <m/>
    <n v="18"/>
    <e v="#N/A"/>
    <n v="35"/>
    <e v="#N/A"/>
    <n v="10"/>
    <n v="0"/>
    <n v="2"/>
    <e v="#N/A"/>
    <m/>
    <n v="0"/>
    <m/>
    <n v="0"/>
    <m/>
    <n v="0"/>
    <m/>
    <n v="0"/>
    <s v="FLINTSL"/>
    <n v="25"/>
    <n v="0"/>
    <n v="67.400000000000006"/>
    <n v="0"/>
    <s v="CYAN"/>
    <s v="F00868C"/>
    <s v="FLINTSL - CYAN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7.480000000000004"/>
    <n v="0"/>
    <s v="MAGENTA"/>
    <s v="F00868M"/>
    <s v="FLINTSL - MAGENTA"/>
    <n v="31"/>
    <n v="0"/>
    <m/>
    <m/>
    <n v="0"/>
    <n v="26519000021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30"/>
    <n v="0"/>
    <n v="9.480000000000004"/>
    <n v="0"/>
    <s v="YELLOW"/>
    <s v="F00868Y"/>
    <s v="FLINTSL - YELLOW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10.480000000000004"/>
    <n v="0"/>
    <s v="WHITE"/>
    <s v="F00868W"/>
    <s v="FLINTSL - WHITE"/>
    <n v="24"/>
    <n v="0"/>
    <m/>
    <m/>
    <n v="0"/>
    <s v="FW"/>
    <m/>
    <m/>
    <m/>
    <m/>
    <m/>
    <m/>
    <m/>
    <n v="45"/>
    <n v="0"/>
    <m/>
    <n v="0"/>
    <m/>
    <n v="0"/>
    <m/>
    <n v="0"/>
    <m/>
    <n v="0"/>
    <m/>
    <n v="0"/>
    <m/>
    <n v="0"/>
    <m/>
    <n v="0"/>
    <s v="FLINTSL"/>
    <n v="30"/>
    <n v="0"/>
    <n v="88.32"/>
    <n v="0"/>
    <s v="GREEN"/>
    <s v="P00465G"/>
    <s v="FLINTSL - GREEN"/>
    <n v="18"/>
    <n v="0"/>
    <m/>
    <m/>
    <n v="0"/>
    <n v="2651900001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16"/>
    <n v="0"/>
    <n v="14.219999999999999"/>
    <n v="0"/>
    <n v="5"/>
    <n v="8"/>
    <n v="10"/>
    <n v="2"/>
    <n v="2"/>
    <n v="2"/>
    <n v="18"/>
    <n v="3"/>
    <n v="0.8"/>
    <n v="0.2"/>
    <m/>
    <m/>
    <m/>
    <n v="0"/>
    <n v="137"/>
    <n v="0"/>
    <n v="0"/>
    <n v="137"/>
    <n v="137"/>
    <n v="109.60000000000001"/>
    <n v="0"/>
    <n v="27.400000000000002"/>
    <n v="0"/>
    <n v="0"/>
    <n v="0"/>
    <n v="0"/>
    <n v="0"/>
    <n v="0"/>
    <n v="0"/>
    <n v="0"/>
    <n v="0"/>
    <n v="0"/>
    <m/>
    <n v="139"/>
    <n v="235.00000000000003"/>
    <n v="144"/>
    <s v="FLINTSLFLINTSLFLINTSLFLINTSLFLINTSLFLINTSLFLINTSLFLINTSL"/>
    <s v="+"/>
    <s v="+"/>
    <s v="+"/>
    <s v="+"/>
    <s v="+"/>
    <s v="+"/>
    <s v="+"/>
    <s v="+"/>
  </r>
  <r>
    <d v="2026-01-19T00:00:00"/>
    <s v="B"/>
    <x v="241"/>
    <n v="145"/>
    <n v="473"/>
    <n v="23300"/>
    <s v="II"/>
    <s v="N"/>
    <n v="1.2"/>
    <s v="BLACK"/>
    <s v="N00948B"/>
    <s v="FLINTSL - BLACK"/>
    <n v="28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9"/>
    <n v="0"/>
    <n v="10.344827586206897"/>
    <n v="0"/>
    <s v="BLACK"/>
    <s v="E01024B"/>
    <s v="FLINTSL - BLACK"/>
    <n v="16"/>
    <n v="0"/>
    <s v="N00834B"/>
    <n v="15"/>
    <n v="0"/>
    <n v="26517000044"/>
    <n v="26519000021"/>
    <n v="26519000017"/>
    <m/>
    <m/>
    <m/>
    <m/>
    <m/>
    <n v="3"/>
    <e v="#N/A"/>
    <n v="2"/>
    <e v="#N/A"/>
    <n v="7"/>
    <e v="#N/A"/>
    <m/>
    <n v="0"/>
    <m/>
    <n v="0"/>
    <m/>
    <n v="0"/>
    <m/>
    <n v="0"/>
    <m/>
    <n v="0"/>
    <s v="FLINTSL"/>
    <n v="28"/>
    <n v="0"/>
    <n v="24.793103448275858"/>
    <n v="0"/>
    <s v="REFLEX BLUE"/>
    <s v="H01356P"/>
    <s v="FLINTSL - REFLEX BLUE"/>
    <n v="35"/>
    <n v="0"/>
    <s v="F00869P"/>
    <n v="15"/>
    <n v="0"/>
    <n v="26519000033"/>
    <n v="26519000021"/>
    <n v="26519000021"/>
    <n v="26519000007"/>
    <m/>
    <m/>
    <m/>
    <m/>
    <n v="10"/>
    <e v="#N/A"/>
    <n v="6"/>
    <e v="#N/A"/>
    <n v="5"/>
    <e v="#N/A"/>
    <n v="5"/>
    <e v="#N/A"/>
    <m/>
    <n v="0"/>
    <m/>
    <n v="0"/>
    <m/>
    <n v="0"/>
    <m/>
    <n v="0"/>
    <s v="FLINTSL"/>
    <n v="27"/>
    <n v="0"/>
    <n v="61.241379310344826"/>
    <n v="0"/>
    <s v="CYAN"/>
    <s v="N00948C"/>
    <s v="FLINTSL - CYAN"/>
    <n v="28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9"/>
    <n v="0"/>
    <n v="12.793103448275858"/>
    <n v="0"/>
    <s v="MAGENTA"/>
    <s v="N00948M"/>
    <s v="FLINTSL - MAGENTA"/>
    <n v="30"/>
    <n v="0"/>
    <m/>
    <m/>
    <n v="0"/>
    <n v="26519000021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9.8965517241379288"/>
    <n v="0"/>
    <s v="YELLOW"/>
    <s v="N00948Y"/>
    <s v="FLINTSL - YELLOW"/>
    <n v="25"/>
    <n v="0"/>
    <m/>
    <m/>
    <n v="0"/>
    <n v="26519000017"/>
    <s v="FMD"/>
    <m/>
    <m/>
    <m/>
    <m/>
    <m/>
    <m/>
    <n v="7"/>
    <e v="#N/A"/>
    <n v="4"/>
    <n v="0"/>
    <m/>
    <n v="0"/>
    <m/>
    <n v="0"/>
    <m/>
    <n v="0"/>
    <m/>
    <n v="0"/>
    <m/>
    <n v="0"/>
    <m/>
    <n v="0"/>
    <s v="FLINTSL"/>
    <n v="30"/>
    <n v="0"/>
    <n v="18.241379310344826"/>
    <n v="0"/>
    <s v="ORANGE"/>
    <s v="N00948O"/>
    <s v="FLINTSL - ORANGE"/>
    <n v="25"/>
    <n v="0"/>
    <m/>
    <m/>
    <n v="0"/>
    <n v="26520000008"/>
    <n v="26519000021"/>
    <m/>
    <m/>
    <m/>
    <m/>
    <m/>
    <m/>
    <n v="5"/>
    <e v="#N/A"/>
    <n v="3"/>
    <e v="#N/A"/>
    <m/>
    <n v="0"/>
    <m/>
    <n v="0"/>
    <m/>
    <n v="0"/>
    <m/>
    <n v="0"/>
    <m/>
    <n v="0"/>
    <m/>
    <n v="0"/>
    <s v="FLINTSL"/>
    <n v="25"/>
    <n v="0"/>
    <n v="20.241379310344826"/>
    <n v="0"/>
    <s v="WHITE"/>
    <s v="N00948W"/>
    <s v="FLINTSL - WHITE"/>
    <n v="3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30"/>
    <n v="0"/>
    <n v="123.44827586206895"/>
    <n v="0"/>
    <n v="3"/>
    <n v="4"/>
    <n v="5"/>
    <n v="4"/>
    <n v="2"/>
    <n v="5"/>
    <n v="5"/>
    <n v="30"/>
    <n v="0.8"/>
    <n v="0.2"/>
    <m/>
    <m/>
    <m/>
    <n v="0"/>
    <n v="142"/>
    <n v="0"/>
    <n v="0"/>
    <n v="142"/>
    <n v="142"/>
    <n v="113.60000000000001"/>
    <n v="0"/>
    <n v="28.400000000000002"/>
    <n v="0"/>
    <n v="0"/>
    <n v="0"/>
    <n v="0"/>
    <n v="0"/>
    <n v="0"/>
    <n v="0"/>
    <n v="0"/>
    <n v="0"/>
    <n v="0"/>
    <m/>
    <n v="120"/>
    <n v="281"/>
    <n v="145"/>
    <s v="FLINTSLFLINTSLFLINTSLFLINTSLFLINTSLFLINTSLFLINTSLFLINTSL"/>
    <s v="+"/>
    <s v="+"/>
    <s v="+"/>
    <s v="+"/>
    <s v="+"/>
    <s v="+"/>
    <s v="+"/>
    <s v="+"/>
  </r>
  <r>
    <d v="2026-01-19T00:00:00"/>
    <s v="B"/>
    <x v="242"/>
    <n v="146"/>
    <n v="538"/>
    <n v="31400"/>
    <s v="I"/>
    <s v="N"/>
    <n v="1.95"/>
    <s v="BLACK"/>
    <s v="F00873B"/>
    <s v="FLINTSL - BLACK"/>
    <n v="27"/>
    <n v="0"/>
    <m/>
    <m/>
    <n v="0"/>
    <n v="26519000016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30"/>
    <n v="0"/>
    <n v="32.405405405405403"/>
    <n v="0"/>
    <s v="RED"/>
    <s v="F00873R"/>
    <s v="FLINTSL - RED"/>
    <n v="10"/>
    <n v="0"/>
    <m/>
    <m/>
    <n v="0"/>
    <n v="26520000008"/>
    <n v="26520000011"/>
    <m/>
    <m/>
    <m/>
    <m/>
    <m/>
    <m/>
    <n v="3"/>
    <e v="#N/A"/>
    <n v="8"/>
    <e v="#N/A"/>
    <m/>
    <n v="0"/>
    <m/>
    <n v="0"/>
    <m/>
    <n v="0"/>
    <m/>
    <n v="0"/>
    <m/>
    <n v="0"/>
    <m/>
    <n v="0"/>
    <s v="FLINTSL"/>
    <n v="25"/>
    <n v="0"/>
    <n v="13.78378378378379"/>
    <n v="0"/>
    <s v="GREEN"/>
    <m/>
    <s v="FLINTSL - GREEN"/>
    <m/>
    <n v="0"/>
    <m/>
    <m/>
    <n v="0"/>
    <n v="26519000035"/>
    <n v="26519000037"/>
    <n v="26520000002"/>
    <n v="26519000017"/>
    <m/>
    <m/>
    <m/>
    <m/>
    <n v="40"/>
    <e v="#N/A"/>
    <n v="40"/>
    <e v="#N/A"/>
    <n v="20"/>
    <e v="#N/A"/>
    <n v="20"/>
    <e v="#N/A"/>
    <m/>
    <n v="0"/>
    <m/>
    <n v="0"/>
    <m/>
    <n v="0"/>
    <m/>
    <n v="0"/>
    <s v="FLINTSL"/>
    <n v="20"/>
    <n v="0"/>
    <n v="112.70270270270271"/>
    <n v="0"/>
    <s v="CYAN"/>
    <s v="F00873C"/>
    <s v="FLINTSL - CYAN"/>
    <n v="28"/>
    <n v="0"/>
    <m/>
    <m/>
    <n v="0"/>
    <n v="26520000003"/>
    <m/>
    <m/>
    <m/>
    <m/>
    <m/>
    <m/>
    <m/>
    <n v="15"/>
    <e v="#N/A"/>
    <m/>
    <n v="0"/>
    <m/>
    <n v="0"/>
    <m/>
    <n v="0"/>
    <m/>
    <n v="0"/>
    <m/>
    <n v="0"/>
    <m/>
    <n v="0"/>
    <m/>
    <n v="0"/>
    <s v="FLINTSL"/>
    <n v="25"/>
    <n v="0"/>
    <n v="23.081081081081081"/>
    <n v="0"/>
    <s v="MAGENTA"/>
    <s v="F00873M"/>
    <s v="FLINTSL - MAGENTA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8.0810810810810807"/>
    <n v="0"/>
    <s v="YELLOW"/>
    <s v="F00873Y"/>
    <s v="FLINTSL - YELLOW"/>
    <n v="28"/>
    <n v="0"/>
    <m/>
    <m/>
    <n v="0"/>
    <n v="26519000024"/>
    <m/>
    <m/>
    <m/>
    <m/>
    <m/>
    <m/>
    <m/>
    <n v="7"/>
    <e v="#N/A"/>
    <m/>
    <n v="0"/>
    <m/>
    <n v="0"/>
    <m/>
    <n v="0"/>
    <m/>
    <n v="0"/>
    <m/>
    <n v="0"/>
    <m/>
    <n v="0"/>
    <m/>
    <n v="0"/>
    <s v="FLINTSL"/>
    <n v="30"/>
    <n v="0"/>
    <n v="12.621621621621621"/>
    <n v="0"/>
    <s v="WHITE"/>
    <s v="F00873W"/>
    <s v="FLINTSL - WHITE"/>
    <n v="30"/>
    <n v="0"/>
    <m/>
    <m/>
    <n v="0"/>
    <s v="FW"/>
    <m/>
    <m/>
    <m/>
    <m/>
    <m/>
    <m/>
    <m/>
    <n v="90"/>
    <n v="0"/>
    <m/>
    <n v="0"/>
    <m/>
    <n v="0"/>
    <m/>
    <n v="0"/>
    <m/>
    <n v="0"/>
    <m/>
    <n v="0"/>
    <m/>
    <n v="0"/>
    <m/>
    <n v="0"/>
    <s v="FLINTSL"/>
    <n v="20"/>
    <n v="0"/>
    <n v="214.3243243243243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7"/>
    <n v="5"/>
    <n v="2"/>
    <n v="2"/>
    <n v="3"/>
    <n v="45"/>
    <n v="0"/>
    <n v="0.8"/>
    <n v="0.2"/>
    <m/>
    <m/>
    <m/>
    <n v="0"/>
    <n v="188"/>
    <n v="0"/>
    <n v="0"/>
    <n v="188"/>
    <n v="188"/>
    <n v="150.4"/>
    <n v="0"/>
    <n v="37.6"/>
    <n v="0"/>
    <n v="0"/>
    <n v="0"/>
    <n v="0"/>
    <n v="0"/>
    <n v="0"/>
    <n v="0"/>
    <n v="0"/>
    <n v="0"/>
    <n v="0"/>
    <m/>
    <n v="253"/>
    <n v="417"/>
    <n v="146"/>
    <s v="FLINTSLFLINTSLFLINTSLFLINTSLFLINTSLFLINTSLFLINTSL"/>
    <s v="+"/>
    <s v="+"/>
    <s v="+"/>
    <s v="+"/>
    <s v="+"/>
    <s v="+"/>
    <s v="+"/>
    <s v="NIL"/>
  </r>
  <r>
    <d v="2026-01-19T00:00:00"/>
    <s v="B"/>
    <x v="243"/>
    <n v="147"/>
    <n v="474"/>
    <n v="22900"/>
    <s v="II"/>
    <s v="N"/>
    <n v="1.9"/>
    <s v="BLACK"/>
    <s v="C01507B"/>
    <s v="FLINTSL - BLACK"/>
    <n v="29"/>
    <n v="0"/>
    <m/>
    <m/>
    <n v="0"/>
    <n v="2651700004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9.7368421052631575"/>
    <n v="0"/>
    <s v="GREEN"/>
    <s v="C01425G"/>
    <s v="FLINTSL - GREEN"/>
    <n v="5"/>
    <n v="0"/>
    <m/>
    <m/>
    <n v="0"/>
    <n v="26519000024"/>
    <n v="26519000015"/>
    <s v="FMD"/>
    <m/>
    <m/>
    <m/>
    <m/>
    <m/>
    <n v="5"/>
    <e v="#N/A"/>
    <n v="9"/>
    <e v="#N/A"/>
    <n v="3"/>
    <n v="0"/>
    <m/>
    <n v="0"/>
    <m/>
    <n v="0"/>
    <m/>
    <n v="0"/>
    <m/>
    <n v="0"/>
    <m/>
    <n v="0"/>
    <s v="FLINTSL"/>
    <n v="26"/>
    <n v="0"/>
    <n v="10.561403508771932"/>
    <n v="0"/>
    <s v="GREEN"/>
    <s v="C01410G"/>
    <s v="FLINTSL - GREEN"/>
    <n v="10"/>
    <n v="0"/>
    <m/>
    <m/>
    <n v="0"/>
    <n v="26519000024"/>
    <n v="26519000015"/>
    <m/>
    <m/>
    <m/>
    <m/>
    <m/>
    <m/>
    <n v="8"/>
    <e v="#N/A"/>
    <n v="0.5"/>
    <e v="#N/A"/>
    <m/>
    <n v="0"/>
    <m/>
    <n v="0"/>
    <m/>
    <n v="0"/>
    <m/>
    <n v="0"/>
    <m/>
    <n v="0"/>
    <m/>
    <n v="0"/>
    <s v="FLINTSL"/>
    <n v="23"/>
    <n v="0"/>
    <n v="12.973684210526315"/>
    <n v="0"/>
    <s v="YELLOW"/>
    <m/>
    <s v="FLINTSL - YELLOW"/>
    <m/>
    <n v="0"/>
    <m/>
    <m/>
    <n v="0"/>
    <n v="26519000038"/>
    <n v="26520000001"/>
    <n v="26520000004"/>
    <m/>
    <m/>
    <m/>
    <m/>
    <m/>
    <n v="40"/>
    <e v="#N/A"/>
    <n v="30"/>
    <e v="#N/A"/>
    <n v="40"/>
    <e v="#N/A"/>
    <m/>
    <n v="0"/>
    <m/>
    <n v="0"/>
    <m/>
    <n v="0"/>
    <m/>
    <n v="0"/>
    <m/>
    <n v="0"/>
    <s v="FLINTSL"/>
    <n v="25"/>
    <n v="0"/>
    <n v="99.561403508771932"/>
    <n v="0"/>
    <s v="CYAN"/>
    <s v="C01507C"/>
    <s v="FLINTSL - CYAN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7.824561403508774"/>
    <n v="0"/>
    <s v="MAGENTA"/>
    <s v="C01507M"/>
    <s v="FLINTSL - MAGENTA"/>
    <n v="30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30"/>
    <n v="0"/>
    <n v="11.736842105263158"/>
    <n v="0"/>
    <s v="YELLOW"/>
    <s v="C01507Y"/>
    <s v="FLINTSL - YELLOW"/>
    <n v="30"/>
    <n v="0"/>
    <m/>
    <m/>
    <n v="0"/>
    <n v="26519000024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15.736842105263158"/>
    <n v="0"/>
    <s v="WHITE"/>
    <s v="C01507W"/>
    <s v="FLINTSL - WHITE"/>
    <n v="3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147.36842105263156"/>
    <n v="0"/>
    <n v="3"/>
    <n v="5"/>
    <n v="6"/>
    <n v="5"/>
    <n v="2"/>
    <n v="3"/>
    <n v="3"/>
    <n v="30"/>
    <n v="0.8"/>
    <n v="0.2"/>
    <m/>
    <m/>
    <m/>
    <n v="0"/>
    <n v="166"/>
    <n v="0"/>
    <n v="0"/>
    <n v="166"/>
    <n v="166"/>
    <n v="132.80000000000001"/>
    <n v="0"/>
    <n v="33.200000000000003"/>
    <n v="0"/>
    <n v="0"/>
    <n v="0"/>
    <n v="0"/>
    <n v="0"/>
    <n v="0"/>
    <n v="0"/>
    <n v="0"/>
    <n v="0"/>
    <n v="0"/>
    <m/>
    <n v="202.5"/>
    <n v="315.5"/>
    <n v="147"/>
    <s v="FLINTSLFLINTSLFLINTSLFLINTSLFLINTSLFLINTSLFLINTSLFLINTSL"/>
    <s v="+"/>
    <s v="+"/>
    <s v="+"/>
    <s v="+"/>
    <s v="+"/>
    <s v="+"/>
    <s v="+"/>
    <s v="+"/>
  </r>
  <r>
    <d v="2026-01-19T00:00:00"/>
    <s v="B"/>
    <x v="244"/>
    <n v="148"/>
    <n v="486"/>
    <n v="25600"/>
    <s v="II"/>
    <s v="N"/>
    <n v="1.2"/>
    <s v="BLACK"/>
    <s v="C01505B"/>
    <s v="FLINTSL - BLACK"/>
    <n v="30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8"/>
    <n v="0"/>
    <n v="15.684210526315788"/>
    <n v="0"/>
    <s v="REFLEX BLUE"/>
    <s v="N00948B"/>
    <s v="FLINTSL - REFLEX BLUE"/>
    <n v="21"/>
    <n v="0"/>
    <s v="F00863B"/>
    <n v="24"/>
    <n v="0"/>
    <n v="26519000014"/>
    <n v="26519000036"/>
    <m/>
    <m/>
    <m/>
    <m/>
    <m/>
    <m/>
    <n v="3"/>
    <e v="#N/A"/>
    <n v="1"/>
    <e v="#N/A"/>
    <m/>
    <n v="0"/>
    <m/>
    <n v="0"/>
    <m/>
    <n v="0"/>
    <m/>
    <n v="0"/>
    <m/>
    <n v="0"/>
    <m/>
    <n v="0"/>
    <s v="FLINTSL"/>
    <n v="27"/>
    <n v="0"/>
    <n v="25.842105263157897"/>
    <n v="0"/>
    <s v="RED"/>
    <s v="F00868R"/>
    <s v="FLINTSL - RED"/>
    <n v="26"/>
    <n v="0"/>
    <m/>
    <m/>
    <n v="0"/>
    <n v="26519000036"/>
    <n v="26520000008"/>
    <m/>
    <m/>
    <m/>
    <m/>
    <m/>
    <m/>
    <n v="4"/>
    <e v="#N/A"/>
    <n v="4"/>
    <e v="#N/A"/>
    <m/>
    <n v="0"/>
    <m/>
    <n v="0"/>
    <m/>
    <n v="0"/>
    <m/>
    <n v="0"/>
    <m/>
    <n v="0"/>
    <m/>
    <n v="0"/>
    <s v="FLINTSL"/>
    <n v="30"/>
    <n v="0"/>
    <n v="9.7631578947368425"/>
    <n v="0"/>
    <s v="CYAN"/>
    <s v="C01505C"/>
    <s v="FLINTSL - CYAN"/>
    <n v="28"/>
    <n v="0"/>
    <m/>
    <m/>
    <n v="0"/>
    <n v="26519000015"/>
    <s v="FMD"/>
    <m/>
    <m/>
    <m/>
    <m/>
    <m/>
    <m/>
    <n v="18"/>
    <e v="#N/A"/>
    <n v="6"/>
    <n v="0"/>
    <m/>
    <n v="0"/>
    <m/>
    <n v="0"/>
    <m/>
    <n v="0"/>
    <m/>
    <n v="0"/>
    <m/>
    <n v="0"/>
    <m/>
    <n v="0"/>
    <s v="FLINTSL"/>
    <n v="30"/>
    <n v="0"/>
    <n v="37.368421052631575"/>
    <n v="0"/>
    <s v="MAGENTA"/>
    <s v="C01505M"/>
    <s v="FLINTSL - MAGENTA"/>
    <n v="30"/>
    <n v="0"/>
    <m/>
    <m/>
    <n v="0"/>
    <n v="26519000036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7"/>
    <n v="0"/>
    <n v="12.763157894736842"/>
    <n v="0"/>
    <s v="YELLOW"/>
    <s v="C01505Y"/>
    <s v="FLINTSL - YELLOW"/>
    <n v="25"/>
    <n v="0"/>
    <m/>
    <m/>
    <n v="0"/>
    <n v="26519000024"/>
    <s v="FMD"/>
    <m/>
    <m/>
    <m/>
    <m/>
    <m/>
    <m/>
    <n v="8"/>
    <e v="#N/A"/>
    <n v="6"/>
    <n v="0"/>
    <m/>
    <n v="0"/>
    <m/>
    <n v="0"/>
    <m/>
    <n v="0"/>
    <m/>
    <n v="0"/>
    <m/>
    <n v="0"/>
    <m/>
    <n v="0"/>
    <s v="FLINTSL"/>
    <n v="29"/>
    <n v="0"/>
    <n v="21.526315789473685"/>
    <n v="0"/>
    <s v="WHITE"/>
    <s v="C01505W"/>
    <s v="FLINTSL - WHITE"/>
    <n v="30"/>
    <n v="0"/>
    <m/>
    <m/>
    <n v="0"/>
    <s v="FW"/>
    <m/>
    <m/>
    <m/>
    <m/>
    <m/>
    <m/>
    <m/>
    <n v="80"/>
    <n v="0"/>
    <m/>
    <n v="0"/>
    <m/>
    <n v="0"/>
    <m/>
    <n v="0"/>
    <m/>
    <n v="0"/>
    <m/>
    <n v="0"/>
    <m/>
    <n v="0"/>
    <m/>
    <n v="0"/>
    <s v="FLINTSL"/>
    <n v="27"/>
    <n v="0"/>
    <n v="179.0526315789473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2"/>
    <n v="3"/>
    <n v="8"/>
    <n v="3"/>
    <n v="6"/>
    <n v="50"/>
    <n v="0"/>
    <n v="0.8"/>
    <n v="0.2"/>
    <m/>
    <m/>
    <m/>
    <n v="0"/>
    <n v="146"/>
    <n v="0"/>
    <n v="0"/>
    <n v="146"/>
    <n v="146"/>
    <n v="116.80000000000001"/>
    <n v="0"/>
    <n v="29.200000000000003"/>
    <n v="0"/>
    <n v="0"/>
    <n v="0"/>
    <n v="0"/>
    <n v="0"/>
    <n v="0"/>
    <n v="0"/>
    <n v="0"/>
    <n v="0"/>
    <n v="0"/>
    <m/>
    <n v="140"/>
    <n v="302"/>
    <n v="148"/>
    <s v="FLINTSLFLINTSLFLINTSLFLINTSLFLINTSLFLINTSLFLINTSL"/>
    <s v="+"/>
    <s v="+"/>
    <s v="+"/>
    <s v="+"/>
    <s v="+"/>
    <s v="+"/>
    <s v="+"/>
    <s v="NIL"/>
  </r>
  <r>
    <d v="2026-01-19T00:00:00"/>
    <s v="B"/>
    <x v="245"/>
    <n v="149"/>
    <n v="220"/>
    <n v="17500"/>
    <s v="I"/>
    <s v="N"/>
    <n v="0.3"/>
    <s v="GREEN"/>
    <m/>
    <s v="FLINTSL - GREEN"/>
    <m/>
    <n v="0"/>
    <m/>
    <m/>
    <n v="0"/>
    <n v="26517000012"/>
    <n v="26519000015"/>
    <n v="26519000026"/>
    <m/>
    <m/>
    <m/>
    <m/>
    <m/>
    <n v="29"/>
    <e v="#N/A"/>
    <n v="3"/>
    <e v="#N/A"/>
    <n v="3"/>
    <e v="#N/A"/>
    <m/>
    <n v="0"/>
    <m/>
    <n v="0"/>
    <m/>
    <n v="0"/>
    <m/>
    <n v="0"/>
    <m/>
    <n v="0"/>
    <s v="FLINTSL"/>
    <n v="24"/>
    <n v="0"/>
    <n v="17.470588235294116"/>
    <n v="0"/>
    <s v="GREEN"/>
    <m/>
    <s v="FLINTSL - GREEN"/>
    <m/>
    <n v="0"/>
    <m/>
    <m/>
    <n v="0"/>
    <n v="26517000038"/>
    <n v="26519000015"/>
    <n v="26519000016"/>
    <m/>
    <m/>
    <m/>
    <m/>
    <m/>
    <n v="30"/>
    <e v="#N/A"/>
    <n v="5"/>
    <e v="#N/A"/>
    <n v="3"/>
    <e v="#N/A"/>
    <m/>
    <n v="0"/>
    <m/>
    <n v="0"/>
    <m/>
    <n v="0"/>
    <m/>
    <n v="0"/>
    <m/>
    <n v="0"/>
    <s v="FLINTSL"/>
    <n v="28"/>
    <n v="0"/>
    <n v="12.588235294117645"/>
    <n v="0"/>
    <s v="RED"/>
    <s v="F00870R"/>
    <s v="FLINTSL - RED"/>
    <n v="25"/>
    <n v="0"/>
    <m/>
    <m/>
    <n v="0"/>
    <n v="26519000024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7"/>
    <n v="0"/>
    <n v="3.5882352941176485"/>
    <n v="0"/>
    <s v="YELLOW"/>
    <s v="F00870Y"/>
    <s v="FLINTSL - YELLOW"/>
    <n v="15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3"/>
    <n v="0"/>
    <n v="3.470588235294116"/>
    <n v="0"/>
    <s v="YELLOW"/>
    <s v="F00870Y"/>
    <s v="FLINTSL - YELLOW"/>
    <n v="15"/>
    <n v="0"/>
    <m/>
    <m/>
    <n v="0"/>
    <s v="FMD"/>
    <n v="26520000011"/>
    <s v="FW"/>
    <m/>
    <m/>
    <m/>
    <m/>
    <m/>
    <n v="6"/>
    <n v="0"/>
    <n v="0.4"/>
    <e v="#N/A"/>
    <n v="3"/>
    <n v="0"/>
    <m/>
    <n v="0"/>
    <m/>
    <n v="0"/>
    <m/>
    <n v="0"/>
    <m/>
    <n v="0"/>
    <m/>
    <n v="0"/>
    <s v="FLINTSL"/>
    <n v="23"/>
    <n v="0"/>
    <n v="9.1647058823529406"/>
    <n v="0"/>
    <s v="WHITE"/>
    <s v="F00870W"/>
    <s v="FLINTSL - WHITE"/>
    <n v="20"/>
    <n v="0"/>
    <m/>
    <m/>
    <n v="0"/>
    <s v="FW"/>
    <m/>
    <m/>
    <m/>
    <m/>
    <m/>
    <m/>
    <m/>
    <n v="28"/>
    <n v="0"/>
    <m/>
    <n v="0"/>
    <m/>
    <n v="0"/>
    <m/>
    <n v="0"/>
    <m/>
    <n v="0"/>
    <m/>
    <n v="0"/>
    <m/>
    <n v="0"/>
    <m/>
    <n v="0"/>
    <s v="FLINTSL"/>
    <n v="30"/>
    <n v="0"/>
    <n v="36.11764705882353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2"/>
    <n v="2"/>
    <n v="5"/>
    <n v="6"/>
    <n v="14"/>
    <n v="0"/>
    <n v="0"/>
    <n v="0.8"/>
    <n v="0.2"/>
    <m/>
    <m/>
    <m/>
    <n v="0"/>
    <n v="44"/>
    <n v="0"/>
    <n v="0"/>
    <n v="44"/>
    <n v="44"/>
    <n v="35.200000000000003"/>
    <n v="0"/>
    <n v="8.8000000000000007"/>
    <n v="0"/>
    <n v="0"/>
    <n v="0"/>
    <n v="0"/>
    <n v="0"/>
    <n v="0"/>
    <n v="0"/>
    <n v="0"/>
    <n v="0"/>
    <n v="0"/>
    <m/>
    <n v="118.4"/>
    <n v="82.4"/>
    <n v="149"/>
    <s v="FLINTSLFLINTSLFLINTSLFLINTSLFLINTSLFLINTSL"/>
    <s v="+"/>
    <s v="+"/>
    <s v="+"/>
    <s v="+"/>
    <s v="+"/>
    <s v="+"/>
    <s v="NIL"/>
    <s v="NIL"/>
  </r>
  <r>
    <d v="2026-01-19T00:00:00"/>
    <s v="B"/>
    <x v="246"/>
    <n v="150"/>
    <n v="300"/>
    <n v="14700"/>
    <s v="I"/>
    <s v="N"/>
    <n v="0.3"/>
    <s v="GREEN"/>
    <s v="G00401G"/>
    <s v="FLINTSL - GREEN"/>
    <n v="24"/>
    <n v="0"/>
    <m/>
    <m/>
    <n v="0"/>
    <n v="26519000024"/>
    <n v="26519000015"/>
    <m/>
    <m/>
    <m/>
    <m/>
    <m/>
    <m/>
    <n v="2"/>
    <e v="#N/A"/>
    <n v="1"/>
    <e v="#N/A"/>
    <m/>
    <n v="0"/>
    <m/>
    <n v="0"/>
    <m/>
    <n v="0"/>
    <m/>
    <n v="0"/>
    <m/>
    <n v="0"/>
    <m/>
    <n v="0"/>
    <s v="FLINTSL"/>
    <n v="27"/>
    <n v="0"/>
    <n v="7.058823529411768"/>
    <n v="0"/>
    <s v="GREEN"/>
    <s v="G00401G"/>
    <s v="FLINTSL - GREEN"/>
    <n v="28"/>
    <n v="0"/>
    <m/>
    <m/>
    <n v="0"/>
    <n v="26519000024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9.529411764705884"/>
    <n v="0"/>
    <s v="RED"/>
    <s v="G00401R"/>
    <s v="FLINTSL - RED"/>
    <n v="27"/>
    <n v="0"/>
    <m/>
    <m/>
    <n v="0"/>
    <n v="26522000001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6"/>
    <n v="0"/>
    <n v="9.058823529411768"/>
    <n v="0"/>
    <s v="YELLOW"/>
    <s v="G00401Y"/>
    <s v="FLINTSL - YELLOW"/>
    <n v="23"/>
    <n v="0"/>
    <m/>
    <m/>
    <n v="0"/>
    <n v="26519000024"/>
    <n v="26522000001"/>
    <m/>
    <m/>
    <m/>
    <m/>
    <m/>
    <m/>
    <n v="3"/>
    <e v="#N/A"/>
    <n v="0.2"/>
    <e v="#N/A"/>
    <m/>
    <n v="0"/>
    <m/>
    <n v="0"/>
    <m/>
    <n v="0"/>
    <m/>
    <n v="0"/>
    <m/>
    <n v="0"/>
    <m/>
    <n v="0"/>
    <s v="FLINTSL"/>
    <n v="20"/>
    <n v="0"/>
    <n v="13.258823529411764"/>
    <n v="0"/>
    <s v="WHITE"/>
    <s v="G00401W"/>
    <s v="FLINTSL - WHITE"/>
    <n v="30"/>
    <n v="0"/>
    <m/>
    <m/>
    <n v="0"/>
    <s v="FW"/>
    <m/>
    <m/>
    <m/>
    <m/>
    <m/>
    <m/>
    <m/>
    <n v="20"/>
    <n v="0"/>
    <m/>
    <n v="0"/>
    <m/>
    <n v="0"/>
    <m/>
    <n v="0"/>
    <m/>
    <n v="0"/>
    <m/>
    <n v="0"/>
    <m/>
    <n v="0"/>
    <m/>
    <n v="0"/>
    <s v="FLINTSL"/>
    <n v="35"/>
    <n v="0"/>
    <n v="50.29411764705882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"/>
    <n v="2"/>
    <n v="2"/>
    <n v="10"/>
    <n v="0"/>
    <n v="0"/>
    <n v="0"/>
    <n v="0.8"/>
    <n v="0.2"/>
    <m/>
    <m/>
    <m/>
    <n v="0"/>
    <n v="60"/>
    <n v="0"/>
    <n v="0"/>
    <n v="60"/>
    <n v="60"/>
    <n v="48"/>
    <n v="0"/>
    <n v="12"/>
    <n v="0"/>
    <n v="0"/>
    <n v="0"/>
    <n v="0"/>
    <n v="0"/>
    <n v="0"/>
    <n v="0"/>
    <n v="0"/>
    <n v="0"/>
    <n v="0"/>
    <m/>
    <n v="29.2"/>
    <n v="89.200000000000017"/>
    <n v="150"/>
    <s v="FLINTSLFLINTSLFLINTSLFLINTSLFLINTSL"/>
    <s v="+"/>
    <s v="+"/>
    <s v="+"/>
    <s v="+"/>
    <s v="+"/>
    <s v="NIL"/>
    <s v="NIL"/>
    <s v="NIL"/>
  </r>
  <r>
    <d v="2026-01-19T00:00:00"/>
    <s v="B"/>
    <x v="247"/>
    <n v="151"/>
    <n v="191"/>
    <n v="10000"/>
    <s v="II"/>
    <s v="N"/>
    <n v="0.5"/>
    <s v="BLACK"/>
    <s v="C01507B"/>
    <s v="FLINTSL - BLACK"/>
    <n v="28"/>
    <n v="0"/>
    <m/>
    <m/>
    <n v="0"/>
    <n v="26519000026"/>
    <n v="26519000025"/>
    <m/>
    <m/>
    <m/>
    <m/>
    <m/>
    <m/>
    <n v="1.5"/>
    <e v="#N/A"/>
    <n v="3"/>
    <e v="#N/A"/>
    <m/>
    <n v="0"/>
    <m/>
    <n v="0"/>
    <m/>
    <n v="0"/>
    <m/>
    <n v="0"/>
    <m/>
    <n v="0"/>
    <m/>
    <n v="0"/>
    <s v="FLINTSL"/>
    <n v="28"/>
    <n v="0"/>
    <n v="11.625"/>
    <n v="0"/>
    <s v="RED"/>
    <s v="C01504R"/>
    <s v="FLINTSL - RED"/>
    <n v="10"/>
    <n v="0"/>
    <m/>
    <m/>
    <n v="0"/>
    <n v="26519000036"/>
    <s v="FMD"/>
    <n v="26520000011"/>
    <n v="26522000001"/>
    <m/>
    <m/>
    <m/>
    <m/>
    <n v="2"/>
    <e v="#N/A"/>
    <n v="5"/>
    <n v="0"/>
    <n v="6"/>
    <e v="#N/A"/>
    <n v="1.5"/>
    <e v="#N/A"/>
    <m/>
    <n v="0"/>
    <m/>
    <n v="0"/>
    <m/>
    <n v="0"/>
    <m/>
    <n v="0"/>
    <s v="FLINTSL"/>
    <n v="25"/>
    <n v="0"/>
    <n v="13.75"/>
    <n v="0"/>
    <s v="WHITE"/>
    <s v="C01504W"/>
    <s v="FLINTSL - WHITE"/>
    <n v="30"/>
    <n v="0"/>
    <m/>
    <m/>
    <n v="0"/>
    <s v="FW"/>
    <m/>
    <m/>
    <m/>
    <m/>
    <m/>
    <m/>
    <m/>
    <n v="20"/>
    <n v="0"/>
    <m/>
    <n v="0"/>
    <m/>
    <n v="0"/>
    <m/>
    <n v="0"/>
    <m/>
    <n v="0"/>
    <m/>
    <n v="0"/>
    <m/>
    <n v="0"/>
    <m/>
    <n v="0"/>
    <s v="FLINTSL"/>
    <n v="27"/>
    <n v="0"/>
    <n v="58.62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"/>
    <n v="10"/>
    <n v="0"/>
    <n v="0"/>
    <n v="0"/>
    <n v="0"/>
    <n v="0"/>
    <n v="0.8"/>
    <n v="0.2"/>
    <m/>
    <m/>
    <m/>
    <n v="0"/>
    <n v="57"/>
    <n v="0"/>
    <n v="0"/>
    <n v="57"/>
    <n v="57"/>
    <n v="45.6"/>
    <n v="0"/>
    <n v="11.4"/>
    <n v="0"/>
    <n v="0"/>
    <n v="0"/>
    <n v="0"/>
    <n v="0"/>
    <n v="0"/>
    <n v="0"/>
    <n v="0"/>
    <n v="0"/>
    <n v="0"/>
    <m/>
    <n v="39"/>
    <n v="84"/>
    <n v="151"/>
    <s v="FLINTSLFLINTSLFLINTSL"/>
    <s v="+"/>
    <s v="+"/>
    <s v="+"/>
    <s v="NIL"/>
    <s v="NIL"/>
    <s v="NIL"/>
    <s v="NIL"/>
    <s v="NIL"/>
  </r>
  <r>
    <d v="2026-01-19T00:00:00"/>
    <s v="B"/>
    <x v="248"/>
    <n v="152"/>
    <n v="224"/>
    <n v="12700"/>
    <s v="II"/>
    <s v="N"/>
    <n v="2.21"/>
    <s v="BLACK"/>
    <s v="C01504B"/>
    <s v="FLINTSL - BLACK"/>
    <n v="28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6"/>
    <n v="0"/>
    <n v="15.258064516129032"/>
    <n v="0"/>
    <s v="RED"/>
    <s v="C01504R"/>
    <s v="FLINTSL - RED"/>
    <n v="22"/>
    <n v="0"/>
    <m/>
    <m/>
    <n v="0"/>
    <n v="26522000001"/>
    <n v="26520000011"/>
    <m/>
    <m/>
    <m/>
    <m/>
    <m/>
    <m/>
    <n v="4"/>
    <e v="#N/A"/>
    <n v="6"/>
    <e v="#N/A"/>
    <m/>
    <n v="0"/>
    <m/>
    <n v="0"/>
    <m/>
    <n v="0"/>
    <m/>
    <n v="0"/>
    <m/>
    <n v="0"/>
    <m/>
    <n v="0"/>
    <s v="FLINTSL"/>
    <n v="30"/>
    <n v="0"/>
    <n v="9.258064516129032"/>
    <n v="0"/>
    <s v="CYAN"/>
    <s v="C01504C"/>
    <s v="FLINTSL - CYAN"/>
    <n v="10"/>
    <n v="0"/>
    <m/>
    <m/>
    <n v="0"/>
    <s v="FMD"/>
    <m/>
    <m/>
    <m/>
    <m/>
    <m/>
    <m/>
    <m/>
    <n v="12"/>
    <n v="0"/>
    <m/>
    <n v="0"/>
    <m/>
    <n v="0"/>
    <m/>
    <n v="0"/>
    <m/>
    <n v="0"/>
    <m/>
    <n v="0"/>
    <m/>
    <n v="0"/>
    <m/>
    <n v="0"/>
    <s v="FLINTSL"/>
    <n v="29"/>
    <n v="0"/>
    <n v="7.5161290322580641"/>
    <n v="0"/>
    <s v="MAGENTA"/>
    <s v="C01504M"/>
    <s v="FLINTSL - MAGENTA"/>
    <n v="27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30"/>
    <n v="0"/>
    <n v="8.258064516129032"/>
    <n v="0"/>
    <s v="YELLOW"/>
    <s v="C01504Y"/>
    <s v="FLINTSL - YELLOW"/>
    <n v="29"/>
    <n v="0"/>
    <m/>
    <m/>
    <n v="0"/>
    <n v="26519000025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30"/>
    <n v="0"/>
    <n v="12.258064516129032"/>
    <n v="0"/>
    <s v="ORANGE"/>
    <s v="N00875O"/>
    <s v="FLINTSL - ORANGE"/>
    <n v="15"/>
    <n v="0"/>
    <s v="F00821O"/>
    <n v="30"/>
    <n v="0"/>
    <n v="26519000025"/>
    <n v="26519000036"/>
    <n v="26519000026"/>
    <m/>
    <m/>
    <m/>
    <m/>
    <m/>
    <n v="18"/>
    <e v="#N/A"/>
    <n v="0.2"/>
    <e v="#N/A"/>
    <n v="0.5"/>
    <e v="#N/A"/>
    <m/>
    <n v="0"/>
    <m/>
    <n v="0"/>
    <m/>
    <n v="0"/>
    <m/>
    <n v="0"/>
    <m/>
    <n v="0"/>
    <s v="FLINTSL"/>
    <n v="28"/>
    <n v="0"/>
    <n v="45.861290322580643"/>
    <n v="0"/>
    <s v="WHITE"/>
    <s v="C01480W"/>
    <s v="FLINTSL - WHITE"/>
    <n v="27"/>
    <n v="0"/>
    <m/>
    <m/>
    <n v="0"/>
    <s v="FW"/>
    <m/>
    <m/>
    <m/>
    <m/>
    <m/>
    <m/>
    <m/>
    <n v="35"/>
    <n v="0"/>
    <m/>
    <n v="0"/>
    <m/>
    <n v="0"/>
    <m/>
    <n v="0"/>
    <m/>
    <n v="0"/>
    <m/>
    <n v="0"/>
    <m/>
    <n v="0"/>
    <m/>
    <n v="0"/>
    <s v="FLINTSL"/>
    <n v="30"/>
    <n v="0"/>
    <n v="68.29032258064515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10"/>
    <n v="5"/>
    <n v="5"/>
    <n v="7"/>
    <n v="25"/>
    <n v="0"/>
    <n v="0.8"/>
    <n v="0.2"/>
    <m/>
    <m/>
    <m/>
    <n v="0"/>
    <n v="90"/>
    <n v="0"/>
    <n v="0"/>
    <n v="90"/>
    <n v="90"/>
    <n v="72"/>
    <n v="0"/>
    <n v="18"/>
    <n v="0"/>
    <n v="0"/>
    <n v="0"/>
    <n v="0"/>
    <n v="0"/>
    <n v="0"/>
    <n v="0"/>
    <n v="0"/>
    <n v="0"/>
    <n v="0"/>
    <m/>
    <n v="91.7"/>
    <n v="166.7"/>
    <n v="152"/>
    <s v="FLINTSLFLINTSLFLINTSLFLINTSLFLINTSLFLINTSLFLINTSL"/>
    <s v="+"/>
    <s v="+"/>
    <s v="+"/>
    <s v="+"/>
    <s v="+"/>
    <s v="+"/>
    <s v="+"/>
    <s v="NIL"/>
  </r>
  <r>
    <d v="2026-01-20T00:00:00"/>
    <s v="A"/>
    <x v="249"/>
    <n v="153"/>
    <n v="273"/>
    <n v="12900"/>
    <s v="II"/>
    <s v="N"/>
    <n v="2.2599999999999998"/>
    <s v="BLACK"/>
    <s v="F00867B"/>
    <s v="FLINTSL - BLACK"/>
    <n v="26"/>
    <n v="0"/>
    <m/>
    <m/>
    <n v="0"/>
    <n v="26519000016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13.909090909090907"/>
    <n v="0"/>
    <s v="RED"/>
    <s v="F00867R"/>
    <s v="FLINTSL - RED"/>
    <n v="30"/>
    <n v="0"/>
    <m/>
    <m/>
    <n v="0"/>
    <n v="26524000010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30"/>
    <n v="0"/>
    <n v="15.909090909090907"/>
    <n v="0"/>
    <s v="GREEN"/>
    <s v="N00948G"/>
    <s v="FLINTSL - GREEN"/>
    <n v="16"/>
    <n v="0"/>
    <s v="C01505G/F00873G"/>
    <n v="58"/>
    <n v="0"/>
    <n v="26521000007"/>
    <n v="26519000015"/>
    <m/>
    <m/>
    <m/>
    <m/>
    <m/>
    <m/>
    <n v="15"/>
    <e v="#N/A"/>
    <n v="7"/>
    <e v="#N/A"/>
    <m/>
    <n v="0"/>
    <m/>
    <n v="0"/>
    <m/>
    <n v="0"/>
    <m/>
    <n v="0"/>
    <m/>
    <n v="0"/>
    <m/>
    <n v="0"/>
    <s v="FLINTSL"/>
    <n v="26"/>
    <n v="0"/>
    <n v="79.909090909090907"/>
    <n v="0"/>
    <s v="CYAN"/>
    <s v="F00867C"/>
    <s v="FLINTSL - CYAN"/>
    <n v="30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9"/>
    <n v="0"/>
    <n v="14.909090909090907"/>
    <n v="0"/>
    <s v="MAGENTA"/>
    <s v="F00867M"/>
    <s v="FLINTSL - MAGENTA"/>
    <n v="30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7"/>
    <n v="0"/>
    <n v="14.909090909090907"/>
    <n v="0"/>
    <s v="YELLOW"/>
    <s v="F00867Y"/>
    <s v="FLINTSL - YELLOW"/>
    <n v="28"/>
    <n v="0"/>
    <m/>
    <m/>
    <n v="0"/>
    <s v="FMD"/>
    <n v="26519000025"/>
    <m/>
    <m/>
    <m/>
    <m/>
    <m/>
    <m/>
    <n v="4"/>
    <n v="0"/>
    <n v="2"/>
    <e v="#N/A"/>
    <m/>
    <n v="0"/>
    <m/>
    <n v="0"/>
    <m/>
    <n v="0"/>
    <m/>
    <n v="0"/>
    <m/>
    <n v="0"/>
    <m/>
    <n v="0"/>
    <s v="FLINTSL"/>
    <n v="30"/>
    <n v="0"/>
    <n v="13.909090909090907"/>
    <n v="0"/>
    <s v="WHITE"/>
    <s v="F00867W"/>
    <s v="FLINTSL - WHITE"/>
    <n v="30"/>
    <n v="0"/>
    <m/>
    <m/>
    <n v="0"/>
    <s v="FW"/>
    <m/>
    <m/>
    <m/>
    <m/>
    <m/>
    <m/>
    <m/>
    <n v="35"/>
    <n v="0"/>
    <m/>
    <n v="0"/>
    <m/>
    <n v="0"/>
    <m/>
    <n v="0"/>
    <m/>
    <n v="0"/>
    <m/>
    <n v="0"/>
    <m/>
    <n v="0"/>
    <m/>
    <n v="0"/>
    <s v="FLINTSL"/>
    <n v="24"/>
    <n v="0"/>
    <n v="90.54545454545454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5"/>
    <n v="5"/>
    <n v="25"/>
    <n v="0"/>
    <n v="0.8"/>
    <n v="0.2"/>
    <m/>
    <m/>
    <m/>
    <n v="0"/>
    <n v="109"/>
    <n v="0"/>
    <n v="0"/>
    <n v="109"/>
    <n v="109"/>
    <n v="87.2"/>
    <n v="0"/>
    <n v="21.8"/>
    <n v="0"/>
    <n v="0"/>
    <n v="0"/>
    <n v="0"/>
    <n v="0"/>
    <n v="0"/>
    <n v="0"/>
    <n v="0"/>
    <n v="0"/>
    <n v="0"/>
    <m/>
    <n v="79"/>
    <n v="244"/>
    <n v="153"/>
    <s v="FLINTSLFLINTSLFLINTSLFLINTSLFLINTSLFLINTSLFLINTSL"/>
    <s v="+"/>
    <s v="+"/>
    <s v="+"/>
    <s v="+"/>
    <s v="+"/>
    <s v="+"/>
    <s v="+"/>
    <s v="NIL"/>
  </r>
  <r>
    <d v="2026-01-20T00:00:00"/>
    <s v="A"/>
    <x v="250"/>
    <n v="154"/>
    <n v="854"/>
    <n v="22700"/>
    <s v="II"/>
    <s v="N"/>
    <n v="1.52"/>
    <s v="BLACK"/>
    <s v="F00866B"/>
    <s v="FLINTSL - BLACK"/>
    <n v="26"/>
    <n v="0"/>
    <m/>
    <m/>
    <n v="0"/>
    <n v="26519000026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14.666666666666664"/>
    <n v="0"/>
    <s v="REFLEX BLUE"/>
    <s v="N00834RB"/>
    <s v="FLINTSL - REFLEX BLUE"/>
    <n v="16"/>
    <n v="0"/>
    <m/>
    <m/>
    <n v="0"/>
    <n v="26519000014"/>
    <n v="26519000036"/>
    <m/>
    <m/>
    <m/>
    <m/>
    <m/>
    <m/>
    <n v="6"/>
    <e v="#N/A"/>
    <n v="4"/>
    <e v="#N/A"/>
    <m/>
    <n v="0"/>
    <m/>
    <n v="0"/>
    <m/>
    <n v="0"/>
    <m/>
    <n v="0"/>
    <m/>
    <n v="0"/>
    <m/>
    <n v="0"/>
    <s v="FLINTSL"/>
    <n v="26"/>
    <n v="0"/>
    <n v="10.666666666666664"/>
    <n v="0"/>
    <s v="CYAN"/>
    <s v="F00870C"/>
    <s v="FLINTSL - CYAN"/>
    <n v="25"/>
    <n v="0"/>
    <m/>
    <m/>
    <n v="0"/>
    <s v="FMD"/>
    <n v="26519000016"/>
    <m/>
    <m/>
    <m/>
    <m/>
    <m/>
    <m/>
    <n v="12"/>
    <n v="0"/>
    <n v="0.5"/>
    <e v="#N/A"/>
    <m/>
    <n v="0"/>
    <m/>
    <n v="0"/>
    <m/>
    <n v="0"/>
    <m/>
    <n v="0"/>
    <m/>
    <n v="0"/>
    <m/>
    <n v="0"/>
    <s v="FLINTSL"/>
    <n v="28"/>
    <n v="0"/>
    <n v="20.166666666666664"/>
    <n v="0"/>
    <s v="CYAN"/>
    <s v="F00866C"/>
    <s v="FLINTSL - CYAN"/>
    <n v="29"/>
    <n v="0"/>
    <m/>
    <m/>
    <n v="0"/>
    <n v="2651900001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17.666666666666664"/>
    <n v="0"/>
    <s v="MAGENTA"/>
    <s v="F00866M"/>
    <s v="FLINTSL - MAGENTA"/>
    <n v="27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0"/>
    <n v="0"/>
    <n v="19.666666666666664"/>
    <n v="0"/>
    <s v="YELLOW"/>
    <s v="F00866Y"/>
    <s v="FLINTSL - YELLOW"/>
    <n v="30"/>
    <n v="0"/>
    <m/>
    <m/>
    <n v="0"/>
    <n v="26519000025"/>
    <s v="FMD"/>
    <m/>
    <m/>
    <m/>
    <m/>
    <m/>
    <m/>
    <n v="2"/>
    <e v="#N/A"/>
    <n v="4"/>
    <n v="0"/>
    <m/>
    <n v="0"/>
    <m/>
    <n v="0"/>
    <m/>
    <n v="0"/>
    <m/>
    <n v="0"/>
    <m/>
    <n v="0"/>
    <m/>
    <n v="0"/>
    <s v="FLINTSL"/>
    <n v="29"/>
    <n v="0"/>
    <n v="17.666666666666664"/>
    <n v="0"/>
    <s v="GREEN"/>
    <s v="F00866G"/>
    <s v="FLINTSL - GREEN"/>
    <n v="26"/>
    <n v="0"/>
    <m/>
    <m/>
    <n v="0"/>
    <n v="26519000025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8"/>
    <n v="0"/>
    <n v="13.666666666666664"/>
    <n v="0"/>
    <s v="WHITE"/>
    <s v="F00866W"/>
    <s v="FLINTSL - WHITE"/>
    <n v="24"/>
    <n v="0"/>
    <m/>
    <m/>
    <n v="0"/>
    <s v="FW"/>
    <m/>
    <m/>
    <m/>
    <m/>
    <m/>
    <m/>
    <m/>
    <n v="35"/>
    <n v="0"/>
    <m/>
    <n v="0"/>
    <m/>
    <n v="0"/>
    <m/>
    <n v="0"/>
    <m/>
    <n v="0"/>
    <m/>
    <n v="0"/>
    <m/>
    <n v="0"/>
    <m/>
    <n v="0"/>
    <s v="FLINTSL"/>
    <n v="24"/>
    <n v="0"/>
    <n v="88.333333333333343"/>
    <n v="0"/>
    <n v="5"/>
    <n v="5"/>
    <n v="5"/>
    <n v="5"/>
    <n v="5"/>
    <n v="5"/>
    <n v="5"/>
    <n v="25"/>
    <n v="0.8"/>
    <n v="0.2"/>
    <m/>
    <m/>
    <m/>
    <n v="0"/>
    <n v="128"/>
    <n v="0"/>
    <n v="0"/>
    <n v="128"/>
    <n v="128"/>
    <n v="102.4"/>
    <n v="0"/>
    <n v="25.6"/>
    <n v="0"/>
    <n v="0"/>
    <n v="0"/>
    <n v="0"/>
    <n v="0"/>
    <n v="0"/>
    <n v="0"/>
    <n v="0"/>
    <n v="0"/>
    <n v="0"/>
    <m/>
    <n v="78.5"/>
    <n v="202.49999999999997"/>
    <n v="154"/>
    <s v="FLINTSLFLINTSLFLINTSLFLINTSLFLINTSLFLINTSLFLINTSLFLINTSL"/>
    <s v="+"/>
    <s v="+"/>
    <s v="+"/>
    <s v="+"/>
    <s v="+"/>
    <s v="+"/>
    <s v="+"/>
    <s v="+"/>
  </r>
  <r>
    <d v="2026-01-20T00:00:00"/>
    <s v="A"/>
    <x v="251"/>
    <n v="155"/>
    <n v="857"/>
    <n v="22800"/>
    <s v="II"/>
    <s v="N"/>
    <n v="1.54"/>
    <s v="BLACK"/>
    <s v="N00954B"/>
    <s v="FLINTSL - BLACK"/>
    <n v="26"/>
    <n v="0"/>
    <m/>
    <m/>
    <n v="0"/>
    <n v="26519000026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5"/>
    <n v="0"/>
    <n v="14.92307692307692"/>
    <n v="0"/>
    <s v="REFLEX BLUE"/>
    <s v="N00954RB"/>
    <s v="FLINTSL - REFLEX BLUE"/>
    <n v="27"/>
    <n v="0"/>
    <m/>
    <m/>
    <n v="0"/>
    <n v="26519000014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6"/>
    <n v="0"/>
    <n v="16.92307692307692"/>
    <n v="0"/>
    <s v="ORANGE"/>
    <m/>
    <s v="FLINTSL - ORANGE"/>
    <m/>
    <n v="0"/>
    <m/>
    <m/>
    <n v="0"/>
    <n v="26520000007"/>
    <n v="26518000003"/>
    <m/>
    <m/>
    <m/>
    <m/>
    <m/>
    <m/>
    <n v="35"/>
    <e v="#N/A"/>
    <n v="40"/>
    <e v="#N/A"/>
    <m/>
    <n v="0"/>
    <m/>
    <n v="0"/>
    <m/>
    <n v="0"/>
    <m/>
    <n v="0"/>
    <m/>
    <n v="0"/>
    <m/>
    <n v="0"/>
    <s v="FLINTSL"/>
    <n v="25"/>
    <n v="0"/>
    <n v="59.92307692307692"/>
    <n v="0"/>
    <s v="CYAN"/>
    <s v="N00954C"/>
    <s v="FLINTSL - CYAN"/>
    <n v="26"/>
    <n v="0"/>
    <m/>
    <m/>
    <n v="0"/>
    <n v="2651900001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7"/>
    <n v="0"/>
    <n v="12.92307692307692"/>
    <n v="0"/>
    <s v="MAGENTA"/>
    <s v="N00954M"/>
    <s v="FLINTSL - MAGENTA"/>
    <n v="20"/>
    <n v="0"/>
    <m/>
    <m/>
    <n v="0"/>
    <n v="26519000036"/>
    <s v="FMD"/>
    <m/>
    <m/>
    <m/>
    <m/>
    <m/>
    <m/>
    <n v="6"/>
    <e v="#N/A"/>
    <n v="4"/>
    <n v="0"/>
    <m/>
    <n v="0"/>
    <m/>
    <n v="0"/>
    <m/>
    <n v="0"/>
    <m/>
    <n v="0"/>
    <m/>
    <n v="0"/>
    <m/>
    <n v="0"/>
    <s v="FLINTSL"/>
    <n v="24"/>
    <n v="0"/>
    <n v="15.92307692307692"/>
    <n v="0"/>
    <s v="YELLOW"/>
    <s v="N00954Y"/>
    <s v="FLINTSL - YELLOW"/>
    <n v="29"/>
    <n v="0"/>
    <m/>
    <m/>
    <n v="0"/>
    <n v="26521000007"/>
    <s v="FMD"/>
    <m/>
    <m/>
    <m/>
    <m/>
    <m/>
    <m/>
    <n v="6"/>
    <e v="#N/A"/>
    <n v="6"/>
    <n v="0"/>
    <m/>
    <n v="0"/>
    <m/>
    <n v="0"/>
    <m/>
    <n v="0"/>
    <m/>
    <n v="0"/>
    <m/>
    <n v="0"/>
    <m/>
    <n v="0"/>
    <s v="FLINTSL"/>
    <n v="29"/>
    <n v="0"/>
    <n v="21.92307692307692"/>
    <n v="0"/>
    <s v="GREEN"/>
    <s v="N00954G"/>
    <s v="FLINTSL - GREEN"/>
    <n v="28"/>
    <n v="0"/>
    <m/>
    <m/>
    <n v="0"/>
    <n v="26519000025"/>
    <s v="FMD"/>
    <m/>
    <m/>
    <m/>
    <m/>
    <m/>
    <m/>
    <n v="2"/>
    <e v="#N/A"/>
    <n v="2"/>
    <n v="0"/>
    <m/>
    <n v="0"/>
    <m/>
    <n v="0"/>
    <m/>
    <n v="0"/>
    <m/>
    <n v="0"/>
    <m/>
    <n v="0"/>
    <m/>
    <n v="0"/>
    <s v="FLINTSL"/>
    <n v="26"/>
    <n v="0"/>
    <n v="15.92307692307692"/>
    <n v="0"/>
    <s v="WHITE"/>
    <s v="N00954W"/>
    <s v="FLINTSL - WHITE"/>
    <n v="24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24"/>
    <n v="0"/>
    <n v="109.53846153846155"/>
    <n v="0"/>
    <n v="5"/>
    <n v="5"/>
    <n v="5"/>
    <n v="5"/>
    <n v="5"/>
    <n v="5"/>
    <n v="5"/>
    <n v="30"/>
    <n v="0.8"/>
    <n v="0.2"/>
    <m/>
    <m/>
    <m/>
    <n v="0"/>
    <n v="129"/>
    <n v="0"/>
    <n v="0"/>
    <n v="129"/>
    <n v="129"/>
    <n v="103.2"/>
    <n v="0"/>
    <n v="25.8"/>
    <n v="0"/>
    <n v="0"/>
    <n v="0"/>
    <n v="0"/>
    <n v="0"/>
    <n v="0"/>
    <n v="0"/>
    <n v="0"/>
    <n v="0"/>
    <n v="0"/>
    <m/>
    <n v="165"/>
    <n v="268"/>
    <n v="155"/>
    <s v="FLINTSLFLINTSLFLINTSLFLINTSLFLINTSLFLINTSLFLINTSLFLINTSL"/>
    <s v="+"/>
    <s v="+"/>
    <s v="+"/>
    <s v="+"/>
    <s v="+"/>
    <s v="+"/>
    <s v="+"/>
    <s v="+"/>
  </r>
  <r>
    <d v="2026-01-20T00:00:00"/>
    <s v="A"/>
    <x v="252"/>
    <n v="156"/>
    <n v="854"/>
    <n v="22700"/>
    <s v="II"/>
    <s v="N"/>
    <n v="1.54"/>
    <s v="BLACK"/>
    <s v="N00951B"/>
    <s v="FLINTSL - BLACK"/>
    <n v="25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30"/>
    <n v="0"/>
    <n v="10.142857142857139"/>
    <n v="0"/>
    <s v="REFLEX BLUE"/>
    <s v="N00951RB"/>
    <s v="FLINTSL - REFLEX BLUE"/>
    <n v="26"/>
    <n v="0"/>
    <m/>
    <m/>
    <n v="0"/>
    <n v="26519000014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8"/>
    <n v="0"/>
    <n v="13.142857142857139"/>
    <n v="0"/>
    <s v="REFLEX BLUE"/>
    <s v="F00871RB"/>
    <s v="FLINTSL - REFLEX BLUE"/>
    <n v="18"/>
    <n v="0"/>
    <s v="N00893RB"/>
    <n v="25"/>
    <n v="0"/>
    <n v="26519000015"/>
    <n v="26519000014"/>
    <m/>
    <m/>
    <m/>
    <m/>
    <m/>
    <m/>
    <n v="10"/>
    <e v="#N/A"/>
    <n v="10"/>
    <e v="#N/A"/>
    <m/>
    <n v="0"/>
    <m/>
    <n v="0"/>
    <m/>
    <n v="0"/>
    <m/>
    <n v="0"/>
    <m/>
    <n v="0"/>
    <m/>
    <n v="0"/>
    <s v="FLINTSL"/>
    <n v="20"/>
    <n v="0"/>
    <n v="61.285714285714278"/>
    <n v="0"/>
    <s v="CYAN"/>
    <s v="N00951C"/>
    <s v="FLINTSL - CYAN"/>
    <n v="27"/>
    <n v="0"/>
    <m/>
    <m/>
    <n v="0"/>
    <n v="2651900001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0"/>
    <n v="0"/>
    <n v="10.142857142857139"/>
    <n v="0"/>
    <s v="MAGENTA"/>
    <s v="N00951M"/>
    <s v="FLINTSL - MAGENTA"/>
    <n v="24"/>
    <n v="0"/>
    <m/>
    <m/>
    <n v="0"/>
    <n v="2652100000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9"/>
    <n v="0"/>
    <n v="8.1428571428571388"/>
    <n v="0"/>
    <s v="YELLOW"/>
    <s v="N00951Y"/>
    <s v="FLINTSL - YELLOW"/>
    <n v="29"/>
    <n v="0"/>
    <m/>
    <m/>
    <n v="0"/>
    <n v="26521000008"/>
    <s v="FMD"/>
    <m/>
    <m/>
    <m/>
    <m/>
    <m/>
    <m/>
    <n v="6"/>
    <e v="#N/A"/>
    <n v="6"/>
    <n v="0"/>
    <m/>
    <n v="0"/>
    <m/>
    <n v="0"/>
    <m/>
    <n v="0"/>
    <m/>
    <n v="0"/>
    <m/>
    <n v="0"/>
    <m/>
    <n v="0"/>
    <s v="FLINTSL"/>
    <n v="25"/>
    <n v="0"/>
    <n v="25.142857142857139"/>
    <n v="0"/>
    <s v="GREEN"/>
    <s v="N00951G"/>
    <s v="FLINTSL - GREEN"/>
    <n v="26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7.1428571428571388"/>
    <n v="0"/>
    <s v="WHITE"/>
    <s v="N00951W"/>
    <s v="FLINTSL - WHITE"/>
    <n v="24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25"/>
    <n v="0"/>
    <n v="103.85714285714286"/>
    <n v="0"/>
    <n v="5"/>
    <n v="5"/>
    <n v="10"/>
    <n v="5"/>
    <n v="5"/>
    <n v="5"/>
    <n v="5"/>
    <n v="30"/>
    <n v="0.8"/>
    <n v="0.2"/>
    <m/>
    <m/>
    <m/>
    <n v="0"/>
    <n v="128"/>
    <n v="0"/>
    <n v="0"/>
    <n v="128"/>
    <n v="128"/>
    <n v="102.4"/>
    <n v="0"/>
    <n v="25.6"/>
    <n v="0"/>
    <n v="0"/>
    <n v="0"/>
    <n v="0"/>
    <n v="0"/>
    <n v="0"/>
    <n v="0"/>
    <n v="0"/>
    <n v="0"/>
    <n v="0"/>
    <m/>
    <n v="102"/>
    <n v="238.99999999999997"/>
    <n v="156"/>
    <s v="FLINTSLFLINTSLFLINTSLFLINTSLFLINTSLFLINTSLFLINTSLFLINTSL"/>
    <s v="+"/>
    <s v="+"/>
    <s v="+"/>
    <s v="+"/>
    <s v="+"/>
    <s v="+"/>
    <s v="+"/>
    <s v="+"/>
  </r>
  <r>
    <d v="2026-01-20T00:00:00"/>
    <s v="B"/>
    <x v="253"/>
    <n v="157"/>
    <n v="850"/>
    <n v="22600"/>
    <s v="II"/>
    <s v="N"/>
    <n v="1.5"/>
    <s v="BLACK"/>
    <s v="N00953B"/>
    <s v="FLINTSL - BLACK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0"/>
    <n v="7.1935483870967758"/>
    <n v="0"/>
    <s v="REFLEX BLUE"/>
    <s v="N00953B"/>
    <s v="FLINTSL - REFLEX BLUE"/>
    <n v="28"/>
    <n v="0"/>
    <m/>
    <m/>
    <n v="0"/>
    <n v="26520000006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8"/>
    <n v="0"/>
    <n v="10.193548387096776"/>
    <n v="0"/>
    <s v="BLACK"/>
    <s v="H01208B"/>
    <s v="FLINTSL - BLACK"/>
    <n v="20"/>
    <n v="0"/>
    <m/>
    <m/>
    <n v="0"/>
    <n v="26519000028"/>
    <s v="FMD"/>
    <m/>
    <m/>
    <m/>
    <m/>
    <m/>
    <m/>
    <n v="15"/>
    <e v="#N/A"/>
    <n v="10"/>
    <n v="0"/>
    <m/>
    <n v="0"/>
    <m/>
    <n v="0"/>
    <m/>
    <n v="0"/>
    <m/>
    <n v="0"/>
    <m/>
    <n v="0"/>
    <m/>
    <n v="0"/>
    <s v="FLINTSL"/>
    <n v="33"/>
    <n v="0"/>
    <n v="42.967741935483872"/>
    <n v="0"/>
    <s v="CYAN"/>
    <s v="N00953C"/>
    <s v="FLINTSL - CYAN"/>
    <n v="30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30"/>
    <n v="0"/>
    <n v="8.1935483870967758"/>
    <n v="0"/>
    <s v="MAGENTA"/>
    <s v="N00953M"/>
    <s v="FLINTSL - MAGENTA"/>
    <n v="29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30"/>
    <n v="0"/>
    <n v="7.1290322580645125"/>
    <n v="0"/>
    <s v="YELLOW"/>
    <s v="N00953Y"/>
    <s v="FLINTSL - YELLOW"/>
    <n v="25"/>
    <n v="0"/>
    <m/>
    <m/>
    <n v="0"/>
    <s v="FMD"/>
    <n v="26521000007"/>
    <m/>
    <m/>
    <m/>
    <m/>
    <m/>
    <m/>
    <n v="4"/>
    <n v="0"/>
    <n v="4"/>
    <e v="#N/A"/>
    <m/>
    <n v="0"/>
    <m/>
    <n v="0"/>
    <m/>
    <n v="0"/>
    <m/>
    <n v="0"/>
    <m/>
    <n v="0"/>
    <m/>
    <n v="0"/>
    <s v="FLINTSL"/>
    <n v="24"/>
    <n v="0"/>
    <n v="15.193548387096776"/>
    <n v="0"/>
    <s v="GREEN"/>
    <s v="N00953G"/>
    <s v="FLINTSL - GREEN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0"/>
    <n v="7.1935483870967758"/>
    <n v="0"/>
    <s v="WHITE"/>
    <s v="N00953W"/>
    <s v="FLINTSL - WHITE"/>
    <n v="25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116.93548387096774"/>
    <n v="0"/>
    <n v="3"/>
    <n v="3"/>
    <n v="15"/>
    <n v="3"/>
    <n v="2"/>
    <n v="3"/>
    <n v="3"/>
    <n v="30"/>
    <n v="0.8"/>
    <n v="0.2"/>
    <m/>
    <m/>
    <m/>
    <n v="0"/>
    <n v="128"/>
    <n v="0"/>
    <n v="0"/>
    <n v="128"/>
    <n v="128"/>
    <n v="102.4"/>
    <n v="0"/>
    <n v="25.6"/>
    <n v="0"/>
    <n v="0"/>
    <n v="0"/>
    <n v="0"/>
    <n v="0"/>
    <n v="0"/>
    <n v="0"/>
    <n v="0"/>
    <n v="0"/>
    <n v="0"/>
    <m/>
    <n v="103"/>
    <n v="215"/>
    <n v="157"/>
    <s v="FLINTSLFLINTSLFLINTSLFLINTSLFLINTSLFLINTSLFLINTSLFLINTSL"/>
    <s v="+"/>
    <s v="+"/>
    <s v="+"/>
    <s v="+"/>
    <s v="+"/>
    <s v="+"/>
    <s v="+"/>
    <s v="+"/>
  </r>
  <r>
    <d v="2026-01-20T00:00:00"/>
    <s v="B"/>
    <x v="254"/>
    <n v="158"/>
    <n v="842"/>
    <n v="22400"/>
    <s v="II"/>
    <s v="N"/>
    <n v="1.5"/>
    <s v="BLACK"/>
    <s v="N00950B"/>
    <s v="FLINTSL - BLACK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6.0399999999999991"/>
    <n v="0"/>
    <s v="REFLEX BLUE"/>
    <s v="N00950B"/>
    <s v="FLINTSL - REFLEX BLUE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0"/>
    <n v="6.0399999999999991"/>
    <n v="0"/>
    <s v="RED"/>
    <s v="F00866R"/>
    <s v="FLINTSL - RED"/>
    <n v="30"/>
    <n v="0"/>
    <m/>
    <m/>
    <n v="0"/>
    <n v="26524000010"/>
    <n v="26521000005"/>
    <s v="FMD"/>
    <m/>
    <m/>
    <m/>
    <m/>
    <m/>
    <n v="7"/>
    <e v="#N/A"/>
    <n v="4"/>
    <e v="#N/A"/>
    <n v="5"/>
    <n v="0"/>
    <m/>
    <n v="0"/>
    <m/>
    <n v="0"/>
    <m/>
    <n v="0"/>
    <m/>
    <n v="0"/>
    <m/>
    <n v="0"/>
    <s v="FLINTSL"/>
    <n v="23"/>
    <n v="0"/>
    <n v="35.6"/>
    <n v="0"/>
    <s v="CYAN"/>
    <s v="N00950C"/>
    <s v="FLINTSL - CYAN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7.0399999999999991"/>
    <n v="0"/>
    <s v="MAGENTA"/>
    <s v="N00950M"/>
    <s v="FLINTSL - MAGENTA"/>
    <n v="30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9"/>
    <n v="0"/>
    <n v="11.560000000000002"/>
    <n v="0"/>
    <s v="YELLOW"/>
    <s v="N00950Y"/>
    <s v="FLINTSL - YELLOW"/>
    <n v="24"/>
    <n v="0"/>
    <m/>
    <m/>
    <n v="0"/>
    <n v="26521000008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9"/>
    <n v="0"/>
    <n v="11.079999999999998"/>
    <n v="0"/>
    <s v="GREEN"/>
    <s v="N00950G"/>
    <s v="FLINTSL - GREEN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0"/>
    <n v="0"/>
    <n v="12.04"/>
    <n v="0"/>
    <s v="WHITE"/>
    <s v="N00950W"/>
    <s v="FLINTSL - WHITE"/>
    <n v="3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135.6"/>
    <n v="0"/>
    <n v="2"/>
    <n v="2"/>
    <n v="5"/>
    <n v="2"/>
    <n v="3"/>
    <n v="4"/>
    <n v="2"/>
    <n v="30"/>
    <n v="0.8"/>
    <n v="0.2"/>
    <m/>
    <m/>
    <m/>
    <n v="0"/>
    <n v="126"/>
    <n v="0"/>
    <n v="0"/>
    <n v="126"/>
    <n v="126"/>
    <n v="100.80000000000001"/>
    <n v="0"/>
    <n v="25.200000000000003"/>
    <n v="0"/>
    <n v="0"/>
    <n v="0"/>
    <n v="0"/>
    <n v="0"/>
    <n v="0"/>
    <n v="0"/>
    <n v="0"/>
    <n v="0"/>
    <n v="0"/>
    <m/>
    <n v="85"/>
    <n v="225"/>
    <n v="158"/>
    <s v="FLINTSLFLINTSLFLINTSLFLINTSLFLINTSLFLINTSLFLINTSLFLINTSL"/>
    <s v="+"/>
    <s v="+"/>
    <s v="+"/>
    <s v="+"/>
    <s v="+"/>
    <s v="+"/>
    <s v="+"/>
    <s v="+"/>
  </r>
  <r>
    <d v="2026-01-20T00:00:00"/>
    <s v="B"/>
    <x v="255"/>
    <n v="159"/>
    <n v="1080"/>
    <n v="12700"/>
    <s v="II"/>
    <s v="N"/>
    <n v="1.6"/>
    <s v="BLACK"/>
    <s v="N00952B"/>
    <s v="FLINTSL - BLACK"/>
    <n v="28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30"/>
    <n v="0"/>
    <n v="7"/>
    <n v="0"/>
    <s v="REFLEX BLUE"/>
    <s v="N00952B"/>
    <s v="FLINTSL - REFLEX BLUE"/>
    <n v="27"/>
    <n v="0"/>
    <m/>
    <m/>
    <n v="0"/>
    <n v="2652100000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0"/>
    <n v="0"/>
    <n v="7"/>
    <n v="0"/>
    <s v="GREEN"/>
    <m/>
    <s v="FLINTSL - GREEN"/>
    <m/>
    <n v="0"/>
    <m/>
    <m/>
    <n v="0"/>
    <n v="26521000001"/>
    <n v="26521000002"/>
    <n v="26521000008"/>
    <n v="26521000004"/>
    <m/>
    <m/>
    <m/>
    <m/>
    <n v="30"/>
    <e v="#N/A"/>
    <n v="10"/>
    <e v="#N/A"/>
    <n v="5"/>
    <e v="#N/A"/>
    <n v="10"/>
    <e v="#N/A"/>
    <m/>
    <n v="0"/>
    <m/>
    <n v="0"/>
    <m/>
    <n v="0"/>
    <m/>
    <n v="0"/>
    <s v="FLINTSL"/>
    <n v="16"/>
    <n v="0"/>
    <n v="51"/>
    <n v="0"/>
    <s v="CYAN"/>
    <s v="N00952C"/>
    <s v="FLINTSL - CYAN"/>
    <n v="28"/>
    <n v="0"/>
    <m/>
    <m/>
    <n v="0"/>
    <n v="26519000015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27"/>
    <n v="0"/>
    <n v="21"/>
    <n v="0"/>
    <s v="MAGENTA"/>
    <s v="N00952M"/>
    <s v="FLINTSL - MAGENTA"/>
    <n v="29"/>
    <n v="0"/>
    <m/>
    <m/>
    <n v="0"/>
    <n v="26519000036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7"/>
    <n v="0"/>
    <s v="YELLOW"/>
    <s v="N00952Y"/>
    <s v="FLINTSL - YELLOW"/>
    <n v="29"/>
    <n v="0"/>
    <m/>
    <m/>
    <n v="0"/>
    <n v="2651900003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9"/>
    <n v="0"/>
    <s v="WHITE"/>
    <s v="N00952W"/>
    <s v="FLINTSL - WHITE"/>
    <n v="30"/>
    <n v="0"/>
    <m/>
    <m/>
    <n v="0"/>
    <s v="FW"/>
    <m/>
    <m/>
    <m/>
    <m/>
    <m/>
    <m/>
    <m/>
    <n v="30"/>
    <n v="0"/>
    <m/>
    <n v="0"/>
    <m/>
    <n v="0"/>
    <m/>
    <n v="0"/>
    <m/>
    <n v="0"/>
    <m/>
    <n v="0"/>
    <m/>
    <n v="0"/>
    <m/>
    <n v="0"/>
    <s v="FLINTSL"/>
    <n v="30"/>
    <n v="0"/>
    <n v="9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4"/>
    <n v="4"/>
    <n v="2"/>
    <n v="2"/>
    <n v="20"/>
    <n v="0"/>
    <n v="0.8"/>
    <n v="0.2"/>
    <m/>
    <m/>
    <m/>
    <n v="0"/>
    <n v="108"/>
    <n v="0"/>
    <n v="0"/>
    <n v="108"/>
    <n v="108"/>
    <n v="86.4"/>
    <n v="0"/>
    <n v="21.6"/>
    <n v="0"/>
    <n v="0"/>
    <n v="0"/>
    <n v="0"/>
    <n v="0"/>
    <n v="0"/>
    <n v="0"/>
    <n v="0"/>
    <n v="0"/>
    <n v="0"/>
    <m/>
    <n v="104"/>
    <n v="192"/>
    <n v="159"/>
    <s v="FLINTSLFLINTSLFLINTSLFLINTSLFLINTSLFLINTSLFLINTSL"/>
    <s v="+"/>
    <s v="+"/>
    <s v="+"/>
    <s v="+"/>
    <s v="+"/>
    <s v="+"/>
    <s v="+"/>
    <s v="NIL"/>
  </r>
  <r>
    <d v="2026-01-20T00:00:00"/>
    <s v="B"/>
    <x v="256"/>
    <n v="160"/>
    <n v="1046"/>
    <n v="12300"/>
    <s v="II"/>
    <s v="N"/>
    <n v="1.63"/>
    <s v="BLACK"/>
    <s v="P00417B"/>
    <s v="FLINTSL - BLACK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15.125"/>
    <n v="0"/>
    <s v="REFLEX BLUE"/>
    <s v="P00417B"/>
    <s v="FLINTSL - REFLEX BLUE"/>
    <n v="30"/>
    <n v="0"/>
    <m/>
    <m/>
    <n v="0"/>
    <n v="26520000006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30"/>
    <n v="0"/>
    <n v="3"/>
    <n v="0"/>
    <s v="YELLOW"/>
    <m/>
    <s v="FLINTSL - YELLOW"/>
    <m/>
    <n v="0"/>
    <m/>
    <m/>
    <n v="0"/>
    <n v="26522000001"/>
    <n v="26521000008"/>
    <n v="26524000010"/>
    <m/>
    <m/>
    <m/>
    <m/>
    <m/>
    <n v="4"/>
    <e v="#N/A"/>
    <n v="20"/>
    <e v="#N/A"/>
    <n v="1"/>
    <e v="#N/A"/>
    <m/>
    <n v="0"/>
    <m/>
    <n v="0"/>
    <m/>
    <n v="0"/>
    <m/>
    <n v="0"/>
    <m/>
    <n v="0"/>
    <s v="FLINTSL"/>
    <n v="27"/>
    <n v="0"/>
    <n v="11.125"/>
    <n v="0"/>
    <s v="CYAN"/>
    <s v="P00417C"/>
    <s v="FLINTSL - CYAN"/>
    <n v="27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30"/>
    <n v="0"/>
    <n v="8.875"/>
    <n v="0"/>
    <s v="MAGENTA"/>
    <s v="P00417M"/>
    <s v="FLINTSL - MAGENTA"/>
    <n v="30"/>
    <n v="0"/>
    <m/>
    <m/>
    <n v="0"/>
    <n v="2652100000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0"/>
    <n v="0"/>
    <n v="9.25"/>
    <n v="0"/>
    <s v="YELLOW"/>
    <s v="P00417Y"/>
    <s v="FLINTSL - YELLOW"/>
    <n v="28"/>
    <n v="0"/>
    <s v="G00401Y"/>
    <n v="25"/>
    <n v="0"/>
    <n v="26522000003"/>
    <s v="FMD"/>
    <m/>
    <m/>
    <m/>
    <m/>
    <m/>
    <m/>
    <n v="2"/>
    <e v="#N/A"/>
    <n v="3"/>
    <n v="0"/>
    <m/>
    <n v="0"/>
    <m/>
    <n v="0"/>
    <m/>
    <n v="0"/>
    <m/>
    <n v="0"/>
    <m/>
    <n v="0"/>
    <m/>
    <n v="0"/>
    <s v="FLINTSL"/>
    <n v="29"/>
    <n v="0"/>
    <n v="42.125"/>
    <n v="0"/>
    <s v="WHITE"/>
    <s v="P00417W"/>
    <s v="FLINTSL - WHITE"/>
    <n v="30"/>
    <n v="0"/>
    <m/>
    <m/>
    <n v="0"/>
    <s v="FW"/>
    <m/>
    <m/>
    <m/>
    <m/>
    <m/>
    <m/>
    <m/>
    <n v="30"/>
    <n v="0"/>
    <m/>
    <n v="0"/>
    <m/>
    <n v="0"/>
    <m/>
    <n v="0"/>
    <m/>
    <n v="0"/>
    <m/>
    <n v="0"/>
    <m/>
    <n v="0"/>
    <m/>
    <n v="0"/>
    <s v="FLINTSL"/>
    <n v="30"/>
    <n v="0"/>
    <n v="82.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0"/>
    <n v="5"/>
    <n v="3"/>
    <n v="2"/>
    <n v="5"/>
    <n v="20"/>
    <n v="0"/>
    <n v="0.8"/>
    <n v="0.2"/>
    <m/>
    <m/>
    <m/>
    <n v="0"/>
    <n v="105"/>
    <n v="0"/>
    <n v="0"/>
    <n v="105"/>
    <n v="105"/>
    <n v="84"/>
    <n v="0"/>
    <n v="21"/>
    <n v="0"/>
    <n v="0"/>
    <n v="0"/>
    <n v="0"/>
    <n v="0"/>
    <n v="0"/>
    <n v="0"/>
    <n v="0"/>
    <n v="0"/>
    <n v="0"/>
    <m/>
    <n v="71"/>
    <n v="172"/>
    <n v="160"/>
    <s v="FLINTSLFLINTSLFLINTSLFLINTSLFLINTSLFLINTSLFLINTSL"/>
    <s v="+"/>
    <s v="+"/>
    <s v="+"/>
    <s v="+"/>
    <s v="+"/>
    <s v="+"/>
    <s v="+"/>
    <s v="NIL"/>
  </r>
  <r>
    <d v="2026-01-21T00:00:00"/>
    <s v="B"/>
    <x v="257"/>
    <n v="161"/>
    <n v="1081"/>
    <n v="12700"/>
    <s v="II"/>
    <s v="N"/>
    <n v="1.76"/>
    <s v="BLACK"/>
    <s v="P00453B"/>
    <s v="FLINTSL - BLACK"/>
    <n v="28"/>
    <n v="0"/>
    <m/>
    <m/>
    <n v="0"/>
    <n v="2652100001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9"/>
    <n v="0"/>
    <n v="8.7142857142857153"/>
    <n v="0"/>
    <s v="REFLEX BLUE"/>
    <m/>
    <s v="FLINTSL - REFLEX BLUE"/>
    <m/>
    <n v="0"/>
    <m/>
    <m/>
    <n v="0"/>
    <n v="26519000015"/>
    <s v="FMD"/>
    <n v="26520000006"/>
    <n v="26521000006"/>
    <m/>
    <m/>
    <m/>
    <m/>
    <n v="16"/>
    <e v="#N/A"/>
    <n v="7"/>
    <n v="0"/>
    <n v="8"/>
    <e v="#N/A"/>
    <n v="3"/>
    <e v="#N/A"/>
    <m/>
    <n v="0"/>
    <m/>
    <n v="0"/>
    <m/>
    <n v="0"/>
    <m/>
    <n v="0"/>
    <s v="FLINTSL"/>
    <n v="28"/>
    <n v="0"/>
    <n v="29.142857142857139"/>
    <n v="0"/>
    <s v="REFLEX BLUE"/>
    <s v="P00453B"/>
    <s v="FLINTSL - REFLEX BLUE"/>
    <n v="30"/>
    <n v="0"/>
    <m/>
    <m/>
    <n v="0"/>
    <n v="26521000005"/>
    <n v="26521000010"/>
    <m/>
    <m/>
    <m/>
    <m/>
    <m/>
    <m/>
    <n v="4"/>
    <e v="#N/A"/>
    <n v="0.2"/>
    <e v="#N/A"/>
    <m/>
    <n v="0"/>
    <m/>
    <n v="0"/>
    <m/>
    <n v="0"/>
    <m/>
    <n v="0"/>
    <m/>
    <n v="0"/>
    <m/>
    <n v="0"/>
    <s v="FLINTSL"/>
    <n v="32"/>
    <n v="0"/>
    <n v="9.9142857142857181"/>
    <n v="0"/>
    <s v="CYAN"/>
    <s v="P00453C"/>
    <s v="FLINTSL - CYAN"/>
    <n v="30"/>
    <n v="0"/>
    <m/>
    <m/>
    <n v="0"/>
    <n v="26519000015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29"/>
    <n v="0"/>
    <n v="16.714285714285715"/>
    <n v="0"/>
    <s v="MAGENTA"/>
    <s v="P00453M"/>
    <s v="FLINTSL - MAGENTA"/>
    <n v="30"/>
    <n v="0"/>
    <m/>
    <m/>
    <n v="0"/>
    <n v="26521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9.7142857142857153"/>
    <n v="0"/>
    <s v="YELLOW"/>
    <s v="P00453Y"/>
    <s v="FLINTSL - YELLOW"/>
    <n v="29"/>
    <n v="0"/>
    <m/>
    <m/>
    <n v="0"/>
    <n v="26522000003"/>
    <s v="FMD"/>
    <m/>
    <m/>
    <m/>
    <m/>
    <m/>
    <m/>
    <n v="2"/>
    <e v="#N/A"/>
    <n v="2"/>
    <n v="0"/>
    <m/>
    <n v="0"/>
    <m/>
    <n v="0"/>
    <m/>
    <n v="0"/>
    <m/>
    <n v="0"/>
    <m/>
    <n v="0"/>
    <m/>
    <n v="0"/>
    <s v="FLINTSL"/>
    <n v="29"/>
    <n v="0"/>
    <n v="11.714285714285715"/>
    <n v="0"/>
    <s v="WHITE"/>
    <s v="P00453W"/>
    <s v="FLINTSL - WHITE"/>
    <n v="3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24"/>
    <n v="0"/>
    <n v="102.2857142857142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5"/>
    <n v="5"/>
    <n v="5"/>
    <n v="5"/>
    <n v="5"/>
    <n v="30"/>
    <n v="0"/>
    <n v="0.8"/>
    <n v="0.2"/>
    <m/>
    <m/>
    <m/>
    <n v="0"/>
    <n v="108"/>
    <n v="0"/>
    <n v="0"/>
    <n v="108"/>
    <n v="108"/>
    <n v="86.4"/>
    <n v="0"/>
    <n v="21.6"/>
    <n v="0"/>
    <n v="0"/>
    <n v="0"/>
    <n v="0"/>
    <n v="0"/>
    <n v="0"/>
    <n v="0"/>
    <n v="0"/>
    <n v="0"/>
    <n v="0"/>
    <m/>
    <n v="104.2"/>
    <n v="188.20000000000002"/>
    <n v="161"/>
    <s v="FLINTSLFLINTSLFLINTSLFLINTSLFLINTSLFLINTSLFLINTSL"/>
    <s v="+"/>
    <s v="+"/>
    <s v="+"/>
    <s v="+"/>
    <s v="+"/>
    <s v="+"/>
    <s v="+"/>
    <s v="NIL"/>
  </r>
  <r>
    <d v="2026-01-21T00:00:00"/>
    <s v="B"/>
    <x v="258"/>
    <n v="162"/>
    <n v="1046"/>
    <n v="12300"/>
    <s v="II"/>
    <s v="N"/>
    <n v="1.77"/>
    <s v="BLACK"/>
    <s v="P00418B"/>
    <s v="FLINTSL - BLACK"/>
    <n v="29"/>
    <n v="0"/>
    <m/>
    <m/>
    <n v="0"/>
    <n v="26519000016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14.19178082191781"/>
    <n v="0"/>
    <s v="REFLEX BLUE"/>
    <s v="P00418RB"/>
    <s v="FLINTSL - REFLEX BLUE"/>
    <n v="20"/>
    <n v="0"/>
    <m/>
    <m/>
    <n v="0"/>
    <n v="26520000006"/>
    <n v="26519000015"/>
    <m/>
    <m/>
    <m/>
    <m/>
    <m/>
    <m/>
    <n v="6"/>
    <e v="#N/A"/>
    <n v="4"/>
    <e v="#N/A"/>
    <m/>
    <n v="0"/>
    <m/>
    <n v="0"/>
    <m/>
    <n v="0"/>
    <m/>
    <n v="0"/>
    <m/>
    <n v="0"/>
    <m/>
    <n v="0"/>
    <s v="FLINTSL"/>
    <n v="25"/>
    <n v="0"/>
    <n v="12.19178082191781"/>
    <n v="0"/>
    <s v="REFLEX BLUE"/>
    <s v="P00418B"/>
    <s v="FLINTSL - REFLEX BLUE"/>
    <n v="20"/>
    <n v="0"/>
    <m/>
    <m/>
    <n v="0"/>
    <s v="FMD"/>
    <n v="26519000014"/>
    <m/>
    <m/>
    <m/>
    <m/>
    <m/>
    <m/>
    <n v="15"/>
    <n v="0"/>
    <n v="2"/>
    <e v="#N/A"/>
    <m/>
    <n v="0"/>
    <m/>
    <n v="0"/>
    <m/>
    <n v="0"/>
    <m/>
    <n v="0"/>
    <m/>
    <n v="0"/>
    <m/>
    <n v="0"/>
    <s v="FLINTSL"/>
    <n v="20"/>
    <n v="0"/>
    <n v="31.38356164383562"/>
    <n v="0"/>
    <s v="CYAN"/>
    <s v="C01504C"/>
    <s v="FLINTSL - CYAN"/>
    <n v="15"/>
    <n v="0"/>
    <m/>
    <m/>
    <n v="0"/>
    <s v="FMD"/>
    <n v="26521000006"/>
    <n v="26519000015"/>
    <m/>
    <m/>
    <m/>
    <m/>
    <m/>
    <n v="20"/>
    <n v="0"/>
    <n v="0.2"/>
    <e v="#N/A"/>
    <n v="2"/>
    <e v="#N/A"/>
    <m/>
    <n v="0"/>
    <m/>
    <n v="0"/>
    <m/>
    <n v="0"/>
    <m/>
    <n v="0"/>
    <m/>
    <n v="0"/>
    <s v="FLINTSL"/>
    <n v="22"/>
    <n v="0"/>
    <n v="33.898630136986299"/>
    <n v="0"/>
    <s v="CYAN"/>
    <s v="P00418C"/>
    <s v="FLINTSL - CYAN"/>
    <n v="29"/>
    <n v="0"/>
    <m/>
    <m/>
    <n v="0"/>
    <n v="2651900001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4"/>
    <n v="0"/>
    <n v="16.19178082191781"/>
    <n v="0"/>
    <s v="MAGENTA"/>
    <s v="P00418M"/>
    <s v="FLINTSL - MAGENTA"/>
    <n v="30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9"/>
    <n v="0"/>
    <n v="12.19178082191781"/>
    <n v="0"/>
    <s v="YELLOW"/>
    <s v="P00418Y"/>
    <s v="FLINTSL - YELLOW"/>
    <n v="29"/>
    <n v="0"/>
    <m/>
    <m/>
    <n v="0"/>
    <n v="26522000003"/>
    <s v="FMD"/>
    <m/>
    <m/>
    <m/>
    <m/>
    <m/>
    <m/>
    <n v="6"/>
    <e v="#N/A"/>
    <n v="6"/>
    <n v="0"/>
    <m/>
    <n v="0"/>
    <m/>
    <n v="0"/>
    <m/>
    <n v="0"/>
    <m/>
    <n v="0"/>
    <m/>
    <n v="0"/>
    <m/>
    <n v="0"/>
    <s v="FLINTSL"/>
    <n v="30"/>
    <n v="0"/>
    <n v="18.19178082191781"/>
    <n v="0"/>
    <s v="WHITE"/>
    <s v="P00418W"/>
    <s v="FLINTSL - WHITE"/>
    <n v="29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24"/>
    <n v="0"/>
    <n v="80.958904109589042"/>
    <n v="0"/>
    <n v="5"/>
    <n v="5"/>
    <n v="10"/>
    <n v="13"/>
    <n v="5"/>
    <n v="5"/>
    <n v="5"/>
    <n v="25"/>
    <n v="0.8"/>
    <n v="0.2"/>
    <m/>
    <m/>
    <m/>
    <n v="0"/>
    <n v="105"/>
    <n v="0"/>
    <n v="0"/>
    <n v="105"/>
    <n v="105"/>
    <n v="84"/>
    <n v="0"/>
    <n v="21"/>
    <n v="0"/>
    <n v="0"/>
    <n v="0"/>
    <n v="0"/>
    <n v="0"/>
    <n v="0"/>
    <n v="0"/>
    <n v="0"/>
    <n v="0"/>
    <n v="0"/>
    <m/>
    <n v="111.2"/>
    <n v="219.2"/>
    <n v="162"/>
    <s v="FLINTSLFLINTSLFLINTSLFLINTSLFLINTSLFLINTSLFLINTSLFLINTSL"/>
    <s v="+"/>
    <s v="+"/>
    <s v="+"/>
    <s v="+"/>
    <s v="+"/>
    <s v="+"/>
    <s v="+"/>
    <s v="+"/>
  </r>
  <r>
    <d v="2026-01-21T00:00:00"/>
    <s v="A"/>
    <x v="259"/>
    <n v="163"/>
    <n v="612"/>
    <n v="7200"/>
    <s v="II"/>
    <s v="N"/>
    <n v="1.68"/>
    <s v="BLACK"/>
    <s v="P00454B"/>
    <s v="FLINTSL - BLACK"/>
    <n v="24"/>
    <n v="0"/>
    <m/>
    <m/>
    <n v="0"/>
    <n v="2651900002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7.0833333333333321"/>
    <n v="0"/>
    <s v="REFLEX BLUE"/>
    <s v="P00454RB"/>
    <s v="FLINTSL - REFLEX BLUE"/>
    <n v="25"/>
    <n v="0"/>
    <m/>
    <m/>
    <n v="0"/>
    <n v="26520000006"/>
    <s v="FMD"/>
    <m/>
    <m/>
    <m/>
    <m/>
    <m/>
    <m/>
    <n v="2"/>
    <e v="#N/A"/>
    <n v="2"/>
    <n v="0"/>
    <m/>
    <n v="0"/>
    <m/>
    <n v="0"/>
    <m/>
    <n v="0"/>
    <m/>
    <n v="0"/>
    <m/>
    <n v="0"/>
    <m/>
    <n v="0"/>
    <s v="FLINTSL"/>
    <n v="27"/>
    <n v="0"/>
    <n v="7.0833333333333357"/>
    <n v="0"/>
    <s v="RED"/>
    <s v="E01030R"/>
    <s v="FLINTSL - RED"/>
    <n v="36"/>
    <n v="0"/>
    <m/>
    <m/>
    <n v="0"/>
    <n v="26521000005"/>
    <n v="26520000011"/>
    <m/>
    <m/>
    <m/>
    <m/>
    <m/>
    <m/>
    <n v="4"/>
    <e v="#N/A"/>
    <n v="2"/>
    <e v="#N/A"/>
    <m/>
    <n v="0"/>
    <m/>
    <n v="0"/>
    <m/>
    <n v="0"/>
    <m/>
    <n v="0"/>
    <m/>
    <n v="0"/>
    <m/>
    <n v="0"/>
    <s v="FLINTSL"/>
    <n v="28"/>
    <n v="0"/>
    <n v="19.083333333333336"/>
    <n v="0"/>
    <s v="RED"/>
    <s v="C01410R"/>
    <s v="FLINTSL - RED"/>
    <n v="10"/>
    <n v="0"/>
    <m/>
    <m/>
    <n v="0"/>
    <n v="26524000010"/>
    <s v="FMD"/>
    <n v="26521000005"/>
    <m/>
    <m/>
    <m/>
    <m/>
    <m/>
    <n v="10"/>
    <e v="#N/A"/>
    <n v="6"/>
    <n v="0"/>
    <n v="2"/>
    <e v="#N/A"/>
    <m/>
    <n v="0"/>
    <m/>
    <n v="0"/>
    <m/>
    <n v="0"/>
    <m/>
    <n v="0"/>
    <m/>
    <n v="0"/>
    <s v="FLINTSL"/>
    <n v="26"/>
    <n v="0"/>
    <n v="7.0833333333333357"/>
    <n v="0"/>
    <s v="CYAN"/>
    <s v="P00454C"/>
    <s v="FLINTSL - CYAN"/>
    <n v="24"/>
    <n v="0"/>
    <m/>
    <m/>
    <n v="0"/>
    <n v="26519000016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4.0833333333333321"/>
    <n v="0"/>
    <s v="MAGENTA"/>
    <s v="P00454M"/>
    <s v="FLINTSL - MAGENTA"/>
    <n v="24"/>
    <n v="0"/>
    <m/>
    <m/>
    <n v="0"/>
    <n v="26521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3.0833333333333321"/>
    <n v="0"/>
    <s v="YELLOW"/>
    <s v="P00454Y"/>
    <s v="FLINTSL - YELLOW"/>
    <n v="30"/>
    <n v="0"/>
    <m/>
    <m/>
    <n v="0"/>
    <n v="26519000026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9"/>
    <n v="0"/>
    <n v="8.0833333333333357"/>
    <n v="0"/>
    <s v="WHITE"/>
    <s v="P00454W"/>
    <s v="FLINTSL - WHITE"/>
    <n v="24"/>
    <n v="0"/>
    <m/>
    <m/>
    <n v="0"/>
    <s v="FW"/>
    <m/>
    <m/>
    <m/>
    <m/>
    <m/>
    <m/>
    <m/>
    <n v="33"/>
    <n v="0"/>
    <m/>
    <n v="0"/>
    <m/>
    <n v="0"/>
    <m/>
    <n v="0"/>
    <m/>
    <n v="0"/>
    <m/>
    <n v="0"/>
    <m/>
    <n v="0"/>
    <m/>
    <n v="0"/>
    <s v="FLINTSL"/>
    <n v="30"/>
    <n v="0"/>
    <n v="52.416666666666671"/>
    <n v="0"/>
    <n v="5"/>
    <n v="5"/>
    <n v="5"/>
    <n v="5"/>
    <n v="5"/>
    <n v="5"/>
    <n v="5"/>
    <n v="25"/>
    <n v="0.8"/>
    <n v="0.2"/>
    <m/>
    <m/>
    <m/>
    <n v="0"/>
    <n v="61"/>
    <n v="0"/>
    <n v="0"/>
    <n v="61"/>
    <n v="61"/>
    <n v="48.800000000000004"/>
    <n v="0"/>
    <n v="12.200000000000001"/>
    <n v="0"/>
    <n v="0"/>
    <n v="0"/>
    <n v="0"/>
    <n v="0"/>
    <n v="0"/>
    <n v="0"/>
    <n v="0"/>
    <n v="0"/>
    <n v="0"/>
    <m/>
    <n v="69"/>
    <n v="108"/>
    <n v="163"/>
    <s v="FLINTSLFLINTSLFLINTSLFLINTSLFLINTSLFLINTSLFLINTSLFLINTSL"/>
    <s v="+"/>
    <s v="+"/>
    <s v="+"/>
    <s v="+"/>
    <s v="+"/>
    <s v="+"/>
    <s v="+"/>
    <s v="+"/>
  </r>
  <r>
    <d v="2026-01-21T00:00:00"/>
    <s v="A"/>
    <x v="260"/>
    <n v="164"/>
    <n v="157"/>
    <n v="6900"/>
    <s v="II"/>
    <s v="N"/>
    <n v="2.2000000000000002"/>
    <s v="BLACK"/>
    <s v="P00452B"/>
    <s v="FLINTSL - BLACK"/>
    <n v="24"/>
    <n v="0"/>
    <m/>
    <m/>
    <n v="0"/>
    <n v="26521000010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5"/>
    <n v="0"/>
    <n v="8.7272727272727266"/>
    <n v="0"/>
    <s v="REFLEX BLUE"/>
    <s v="C01475P"/>
    <s v="FLINTSL - REFLEX BLUE"/>
    <n v="22"/>
    <n v="0"/>
    <s v="P00418P"/>
    <n v="8"/>
    <n v="0"/>
    <s v="FMD"/>
    <n v="26521000006"/>
    <n v="26520000006"/>
    <m/>
    <m/>
    <m/>
    <m/>
    <m/>
    <n v="20"/>
    <n v="0"/>
    <n v="2"/>
    <e v="#N/A"/>
    <n v="7"/>
    <e v="#N/A"/>
    <m/>
    <n v="0"/>
    <m/>
    <n v="0"/>
    <m/>
    <n v="0"/>
    <m/>
    <n v="0"/>
    <m/>
    <n v="0"/>
    <s v="FLINTSL"/>
    <n v="25"/>
    <n v="0"/>
    <n v="45.454545454545453"/>
    <n v="0"/>
    <s v="GREEN"/>
    <s v="G00403G"/>
    <s v="FLINTSL - GREEN"/>
    <n v="24"/>
    <n v="0"/>
    <m/>
    <m/>
    <n v="0"/>
    <n v="26522000003"/>
    <n v="26519000016"/>
    <m/>
    <m/>
    <m/>
    <m/>
    <m/>
    <m/>
    <n v="4"/>
    <e v="#N/A"/>
    <n v="2"/>
    <e v="#N/A"/>
    <m/>
    <n v="0"/>
    <m/>
    <n v="0"/>
    <m/>
    <n v="0"/>
    <m/>
    <n v="0"/>
    <m/>
    <n v="0"/>
    <m/>
    <n v="0"/>
    <s v="FLINTSL"/>
    <n v="24"/>
    <n v="0"/>
    <n v="11.727272727272727"/>
    <n v="0"/>
    <s v="YELLOW"/>
    <m/>
    <s v="FLINTSL - YELLOW"/>
    <m/>
    <n v="0"/>
    <m/>
    <m/>
    <n v="0"/>
    <n v="26522000003"/>
    <s v="FMD"/>
    <m/>
    <m/>
    <m/>
    <m/>
    <m/>
    <m/>
    <n v="20"/>
    <e v="#N/A"/>
    <n v="4"/>
    <n v="0"/>
    <m/>
    <n v="0"/>
    <m/>
    <n v="0"/>
    <m/>
    <n v="0"/>
    <m/>
    <n v="0"/>
    <m/>
    <n v="0"/>
    <m/>
    <n v="0"/>
    <s v="FLINTSL"/>
    <n v="25"/>
    <n v="0"/>
    <n v="10.454545454545453"/>
    <n v="0"/>
    <s v="MAGENTA"/>
    <s v="P00452M"/>
    <s v="FLINTSL - MAGENTA"/>
    <n v="28"/>
    <n v="0"/>
    <m/>
    <m/>
    <n v="0"/>
    <s v="FMD"/>
    <n v="26521000005"/>
    <m/>
    <m/>
    <m/>
    <m/>
    <m/>
    <m/>
    <n v="4"/>
    <n v="0"/>
    <n v="2"/>
    <e v="#N/A"/>
    <m/>
    <n v="0"/>
    <m/>
    <n v="0"/>
    <m/>
    <n v="0"/>
    <m/>
    <n v="0"/>
    <m/>
    <n v="0"/>
    <m/>
    <n v="0"/>
    <s v="FLINTSL"/>
    <n v="30"/>
    <n v="0"/>
    <n v="9.7272727272727266"/>
    <n v="0"/>
    <s v="YELLOW"/>
    <s v="P00452Y"/>
    <s v="FLINTSL - YELLOW"/>
    <n v="29"/>
    <n v="0"/>
    <m/>
    <m/>
    <n v="0"/>
    <n v="26522000003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5"/>
    <n v="0"/>
    <n v="15.727272727272727"/>
    <n v="0"/>
    <s v="WHITE"/>
    <s v="P00452W"/>
    <s v="FLINTSL - WHITE"/>
    <n v="30"/>
    <n v="0"/>
    <m/>
    <m/>
    <n v="0"/>
    <s v="FW"/>
    <m/>
    <m/>
    <m/>
    <m/>
    <m/>
    <m/>
    <m/>
    <n v="25"/>
    <n v="0"/>
    <m/>
    <n v="0"/>
    <m/>
    <n v="0"/>
    <m/>
    <n v="0"/>
    <m/>
    <n v="0"/>
    <m/>
    <n v="0"/>
    <m/>
    <n v="0"/>
    <m/>
    <n v="0"/>
    <s v="FLINTSL"/>
    <n v="24"/>
    <n v="0"/>
    <n v="48.18181818181818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5"/>
    <n v="10"/>
    <n v="5"/>
    <n v="5"/>
    <n v="15"/>
    <n v="0"/>
    <n v="0.8"/>
    <n v="0.2"/>
    <m/>
    <m/>
    <m/>
    <n v="0"/>
    <n v="63"/>
    <n v="0"/>
    <n v="0"/>
    <n v="63"/>
    <n v="63"/>
    <n v="50.400000000000006"/>
    <n v="0"/>
    <n v="12.600000000000001"/>
    <n v="0"/>
    <n v="0"/>
    <n v="0"/>
    <n v="0"/>
    <n v="0"/>
    <n v="0"/>
    <n v="0"/>
    <n v="0"/>
    <n v="0"/>
    <n v="0"/>
    <m/>
    <n v="100"/>
    <n v="150"/>
    <n v="164"/>
    <s v="FLINTSLFLINTSLFLINTSLFLINTSLFLINTSLFLINTSLFLINTSL"/>
    <s v="+"/>
    <s v="+"/>
    <s v="+"/>
    <s v="+"/>
    <s v="+"/>
    <s v="+"/>
    <s v="+"/>
    <s v="NIL"/>
  </r>
  <r>
    <d v="2026-01-21T00:00:00"/>
    <s v="A"/>
    <x v="261"/>
    <n v="165"/>
    <n v="487"/>
    <n v="20800"/>
    <s v="II"/>
    <s v="N"/>
    <n v="2"/>
    <s v="BLACK"/>
    <s v="N00892B"/>
    <s v="FLINTSL - BLACK"/>
    <n v="25"/>
    <n v="0"/>
    <m/>
    <m/>
    <n v="0"/>
    <n v="26519000016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4.474747474747474"/>
    <n v="0"/>
    <s v="GREEN"/>
    <s v="C01410G"/>
    <s v="FLINTSL - GREEN"/>
    <n v="10"/>
    <n v="0"/>
    <s v="P00465G"/>
    <n v="7"/>
    <n v="0"/>
    <n v="26519000016"/>
    <n v="26523000001"/>
    <m/>
    <m/>
    <m/>
    <m/>
    <m/>
    <m/>
    <n v="3"/>
    <e v="#N/A"/>
    <n v="2"/>
    <e v="#N/A"/>
    <m/>
    <n v="0"/>
    <m/>
    <n v="0"/>
    <m/>
    <n v="0"/>
    <m/>
    <n v="0"/>
    <m/>
    <n v="0"/>
    <m/>
    <n v="0"/>
    <s v="FLINTSL"/>
    <n v="23"/>
    <n v="0"/>
    <n v="6.3737373737373737"/>
    <n v="0"/>
    <s v="GREEN"/>
    <s v="C01446G"/>
    <s v="FLINTSL - GREEN"/>
    <n v="20"/>
    <n v="0"/>
    <s v="C01410G"/>
    <n v="15"/>
    <n v="0"/>
    <n v="26522000010"/>
    <n v="26519000016"/>
    <n v="26522000001"/>
    <m/>
    <m/>
    <m/>
    <m/>
    <m/>
    <n v="30"/>
    <e v="#N/A"/>
    <n v="4"/>
    <e v="#N/A"/>
    <n v="2"/>
    <e v="#N/A"/>
    <m/>
    <n v="0"/>
    <m/>
    <n v="0"/>
    <m/>
    <n v="0"/>
    <m/>
    <n v="0"/>
    <m/>
    <n v="0"/>
    <s v="FLINTSL"/>
    <n v="37"/>
    <n v="0"/>
    <n v="56.121212121212125"/>
    <n v="0"/>
    <s v="GREEN"/>
    <s v="C01505G"/>
    <s v="FLINTSL - GREEN"/>
    <n v="16"/>
    <n v="0"/>
    <m/>
    <m/>
    <n v="0"/>
    <n v="26522000010"/>
    <n v="26519000016"/>
    <m/>
    <m/>
    <m/>
    <m/>
    <m/>
    <m/>
    <n v="5"/>
    <e v="#N/A"/>
    <n v="0.5"/>
    <e v="#N/A"/>
    <m/>
    <n v="0"/>
    <m/>
    <n v="0"/>
    <m/>
    <n v="0"/>
    <m/>
    <n v="0"/>
    <m/>
    <n v="0"/>
    <m/>
    <n v="0"/>
    <s v="FLINTSL"/>
    <n v="24"/>
    <n v="0"/>
    <n v="7.8232323232323253"/>
    <n v="0"/>
    <s v="GREEN"/>
    <s v="C01505G"/>
    <s v="FLINTSL - GREEN"/>
    <n v="7"/>
    <n v="0"/>
    <m/>
    <m/>
    <n v="0"/>
    <n v="26523000001"/>
    <s v="FMD"/>
    <n v="26521000010"/>
    <m/>
    <m/>
    <m/>
    <m/>
    <m/>
    <n v="5"/>
    <e v="#N/A"/>
    <n v="7"/>
    <n v="0"/>
    <n v="0.2"/>
    <e v="#N/A"/>
    <m/>
    <n v="0"/>
    <m/>
    <n v="0"/>
    <m/>
    <n v="0"/>
    <m/>
    <n v="0"/>
    <m/>
    <n v="0"/>
    <s v="FLINTSL"/>
    <n v="28"/>
    <n v="0"/>
    <n v="2.9979797979797986"/>
    <n v="0"/>
    <s v="RED"/>
    <s v="P00452R"/>
    <s v="FLINTSL - RED"/>
    <n v="26"/>
    <n v="0"/>
    <m/>
    <m/>
    <n v="0"/>
    <n v="26521000005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4"/>
    <n v="0"/>
    <n v="3"/>
    <n v="0"/>
    <s v="YELLOW"/>
    <s v="N00892Y"/>
    <s v="FLINTSL - YELLOW"/>
    <n v="25"/>
    <n v="0"/>
    <m/>
    <m/>
    <n v="0"/>
    <n v="26523000001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5"/>
    <n v="0"/>
    <n v="9.4242424242424221"/>
    <n v="0"/>
    <s v="WHITE"/>
    <s v="N00892W"/>
    <s v="FLINTSL - WHITE"/>
    <n v="24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24"/>
    <n v="0"/>
    <n v="188.4848484848485"/>
    <n v="0"/>
    <n v="1"/>
    <n v="5"/>
    <n v="15"/>
    <n v="7"/>
    <n v="8"/>
    <n v="0"/>
    <n v="3"/>
    <n v="60"/>
    <n v="0.8"/>
    <n v="0.2"/>
    <m/>
    <m/>
    <m/>
    <n v="0"/>
    <n v="146"/>
    <n v="0"/>
    <n v="0"/>
    <n v="146"/>
    <n v="146"/>
    <n v="116.80000000000001"/>
    <n v="0"/>
    <n v="29.200000000000003"/>
    <n v="0"/>
    <n v="0"/>
    <n v="0"/>
    <n v="0"/>
    <n v="0"/>
    <n v="0"/>
    <n v="0"/>
    <n v="0"/>
    <n v="0"/>
    <n v="0"/>
    <m/>
    <n v="166.7"/>
    <n v="278.70000000000005"/>
    <n v="165"/>
    <s v="FLINTSLFLINTSLFLINTSLFLINTSLFLINTSLFLINTSLFLINTSLFLINTSL"/>
    <s v="+"/>
    <s v="+"/>
    <s v="+"/>
    <s v="+"/>
    <s v="+"/>
    <s v="+"/>
    <s v="+"/>
    <s v="+"/>
  </r>
  <r>
    <d v="2026-01-21T00:00:00"/>
    <s v="A"/>
    <x v="262"/>
    <n v="166"/>
    <n v="863"/>
    <n v="56100"/>
    <s v="II"/>
    <s v="N"/>
    <n v="0.51"/>
    <s v="BLACK"/>
    <s v="G01490B"/>
    <s v="FLINTSL - BLACK"/>
    <n v="24"/>
    <n v="0"/>
    <m/>
    <m/>
    <n v="0"/>
    <n v="26519000028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30"/>
    <n v="0"/>
    <n v="45.538461538461547"/>
    <n v="0"/>
    <s v="REFLEX BLUE"/>
    <s v="N00834RB"/>
    <s v="FLINTSL - REFLEX BLUE"/>
    <n v="16"/>
    <n v="0"/>
    <s v="P00452RB"/>
    <n v="10"/>
    <n v="0"/>
    <n v="2652100000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16"/>
    <n v="0"/>
    <n v="30.615384615384613"/>
    <n v="0"/>
    <s v="GREEN"/>
    <m/>
    <s v="FLINTSL - GREEN"/>
    <m/>
    <n v="0"/>
    <m/>
    <m/>
    <n v="0"/>
    <n v="26521000011"/>
    <n v="26521000013"/>
    <n v="26521000010"/>
    <n v="26521000012"/>
    <m/>
    <m/>
    <m/>
    <m/>
    <n v="120"/>
    <e v="#N/A"/>
    <n v="2"/>
    <e v="#N/A"/>
    <n v="1.5"/>
    <e v="#N/A"/>
    <n v="120"/>
    <e v="#N/A"/>
    <m/>
    <n v="0"/>
    <m/>
    <n v="0"/>
    <m/>
    <n v="0"/>
    <m/>
    <n v="0"/>
    <s v="FLINTSL"/>
    <n v="21"/>
    <n v="0"/>
    <n v="305.57692307692309"/>
    <n v="0"/>
    <s v="CYAN"/>
    <s v="P00452C"/>
    <s v="FLINTSL - CYAN"/>
    <n v="27"/>
    <n v="0"/>
    <m/>
    <m/>
    <n v="0"/>
    <n v="26519000028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8"/>
    <n v="0"/>
    <n v="18.615384615384613"/>
    <n v="0"/>
    <s v="MAGENTA"/>
    <s v="N00892M"/>
    <s v="FLINTSL - MAGENTA"/>
    <n v="30"/>
    <n v="0"/>
    <m/>
    <m/>
    <n v="0"/>
    <n v="2652100000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30"/>
    <n v="0"/>
    <n v="19.615384615384613"/>
    <n v="0"/>
    <s v="YELLOW"/>
    <s v="G01490Y"/>
    <s v="FLINTSL - YELLOW"/>
    <n v="25"/>
    <n v="0"/>
    <m/>
    <m/>
    <n v="0"/>
    <n v="26523000001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35"/>
    <n v="0"/>
    <n v="41.53846153846154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2"/>
    <n v="10"/>
    <n v="2"/>
    <n v="2"/>
    <n v="5"/>
    <n v="0"/>
    <n v="0"/>
    <n v="0.8"/>
    <n v="0.2"/>
    <m/>
    <m/>
    <m/>
    <n v="0"/>
    <n v="216"/>
    <n v="0"/>
    <n v="0"/>
    <n v="216"/>
    <n v="216"/>
    <n v="172.8"/>
    <n v="0"/>
    <n v="43.2"/>
    <n v="0"/>
    <n v="0"/>
    <n v="0"/>
    <n v="0"/>
    <n v="0"/>
    <n v="0"/>
    <n v="0"/>
    <n v="0"/>
    <n v="0"/>
    <n v="0"/>
    <m/>
    <n v="273.5"/>
    <n v="461.50000000000011"/>
    <n v="166"/>
    <s v="FLINTSLFLINTSLFLINTSLFLINTSLFLINTSLFLINTSL"/>
    <s v="+"/>
    <s v="+"/>
    <s v="+"/>
    <s v="+"/>
    <s v="+"/>
    <s v="+"/>
    <s v="NIL"/>
    <s v="NIL"/>
  </r>
  <r>
    <d v="2026-01-21T00:00:00"/>
    <s v="A"/>
    <x v="263"/>
    <n v="167"/>
    <n v="2146"/>
    <n v="72300"/>
    <s v="I"/>
    <s v="N"/>
    <n v="0.1"/>
    <s v="GOLD"/>
    <s v="N00893G"/>
    <s v="INK PRODUCT - GOLD"/>
    <n v="30"/>
    <n v="0"/>
    <s v="E01014G"/>
    <n v="25"/>
    <n v="0"/>
    <n v="24161"/>
    <n v="70271"/>
    <n v="165"/>
    <m/>
    <m/>
    <m/>
    <m/>
    <m/>
    <n v="7"/>
    <n v="0"/>
    <n v="10"/>
    <n v="0"/>
    <n v="1.33"/>
    <n v="0"/>
    <m/>
    <n v="0"/>
    <m/>
    <n v="0"/>
    <m/>
    <n v="0"/>
    <m/>
    <n v="0"/>
    <m/>
    <n v="0"/>
    <s v="INK PRODUCT"/>
    <n v="24"/>
    <n v="0"/>
    <n v="156.3299999999999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3"/>
    <n v="0"/>
    <n v="0"/>
    <n v="0"/>
    <n v="0"/>
    <n v="0"/>
    <n v="0"/>
    <n v="0"/>
    <n v="0.8"/>
    <n v="0.2"/>
    <m/>
    <m/>
    <m/>
    <n v="0"/>
    <n v="107"/>
    <n v="0"/>
    <n v="0"/>
    <n v="107"/>
    <n v="107"/>
    <n v="85.600000000000009"/>
    <n v="0"/>
    <n v="21.400000000000002"/>
    <n v="0"/>
    <n v="0"/>
    <n v="0"/>
    <n v="0"/>
    <n v="0"/>
    <n v="0"/>
    <n v="0"/>
    <n v="0"/>
    <n v="0"/>
    <n v="0"/>
    <m/>
    <n v="18.329999999999998"/>
    <n v="156.32999999999998"/>
    <n v="167"/>
    <s v="INK PRODUCT"/>
    <s v="+"/>
    <s v="NIL"/>
    <s v="NIL"/>
    <s v="NIL"/>
    <s v="NIL"/>
    <s v="NIL"/>
    <s v="NIL"/>
    <s v="NIL"/>
  </r>
  <r>
    <d v="2026-01-21T00:00:00"/>
    <s v="B"/>
    <x v="264"/>
    <n v="168"/>
    <n v="491"/>
    <n v="25300"/>
    <s v="II"/>
    <s v="N"/>
    <n v="1.8"/>
    <s v="BLACK"/>
    <s v="F00879B"/>
    <s v="FLINTSL - BLACK"/>
    <n v="30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31"/>
    <n v="0"/>
    <n v="7.058823529411768"/>
    <n v="0"/>
    <s v="REFLEX BLUE"/>
    <s v="B01055B"/>
    <s v="FLINTSL - REFLEX BLUE"/>
    <n v="30"/>
    <n v="0"/>
    <s v="P00418B/C01504B"/>
    <n v="18"/>
    <n v="0"/>
    <n v="26521000005"/>
    <n v="26521000010"/>
    <m/>
    <m/>
    <m/>
    <m/>
    <m/>
    <m/>
    <n v="2"/>
    <e v="#N/A"/>
    <n v="3"/>
    <e v="#N/A"/>
    <m/>
    <n v="0"/>
    <m/>
    <n v="0"/>
    <m/>
    <n v="0"/>
    <m/>
    <n v="0"/>
    <m/>
    <n v="0"/>
    <m/>
    <n v="0"/>
    <s v="FLINTSL"/>
    <n v="23"/>
    <n v="0"/>
    <n v="35.058823529411768"/>
    <n v="0"/>
    <s v="RED"/>
    <s v="N00952R"/>
    <s v="FLINTSL - RED"/>
    <n v="23"/>
    <n v="0"/>
    <s v="C01480R"/>
    <n v="25"/>
    <n v="0"/>
    <n v="2652100000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0"/>
    <n v="0"/>
    <n v="36.058823529411768"/>
    <n v="0"/>
    <s v="GREEN"/>
    <s v="F00876G"/>
    <s v="FLINTSL - GREEN"/>
    <n v="20"/>
    <n v="0"/>
    <m/>
    <m/>
    <n v="0"/>
    <n v="26521000010"/>
    <n v="26521000008"/>
    <m/>
    <m/>
    <m/>
    <m/>
    <m/>
    <m/>
    <n v="0.5"/>
    <e v="#N/A"/>
    <n v="1"/>
    <e v="#N/A"/>
    <m/>
    <n v="0"/>
    <m/>
    <n v="0"/>
    <m/>
    <n v="0"/>
    <m/>
    <n v="0"/>
    <m/>
    <n v="0"/>
    <m/>
    <n v="0"/>
    <s v="FLINTSL"/>
    <n v="21"/>
    <n v="0"/>
    <n v="5.5588235294117645"/>
    <n v="0"/>
    <s v="CYAN"/>
    <s v="F00879C"/>
    <s v="FLINTSL - CYAN"/>
    <n v="28"/>
    <n v="0"/>
    <m/>
    <m/>
    <n v="0"/>
    <s v="FMD"/>
    <m/>
    <m/>
    <m/>
    <m/>
    <m/>
    <m/>
    <m/>
    <n v="1"/>
    <n v="0"/>
    <m/>
    <n v="0"/>
    <m/>
    <n v="0"/>
    <m/>
    <n v="0"/>
    <m/>
    <n v="0"/>
    <m/>
    <n v="0"/>
    <m/>
    <n v="0"/>
    <m/>
    <n v="0"/>
    <s v="FLINTSL"/>
    <n v="30"/>
    <n v="0"/>
    <n v="4.058823529411768"/>
    <n v="0"/>
    <s v="MAGENTA"/>
    <s v="F00879M"/>
    <s v="FLINTSL - MAGENTA"/>
    <n v="30"/>
    <n v="0"/>
    <m/>
    <m/>
    <n v="0"/>
    <n v="2652100000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30"/>
    <n v="0"/>
    <n v="6.3725490196078454"/>
    <n v="0"/>
    <s v="YELLOW"/>
    <s v="F00879Y"/>
    <s v="FLINTSL - YELLOW"/>
    <n v="35"/>
    <n v="0"/>
    <m/>
    <m/>
    <n v="0"/>
    <s v="FMD"/>
    <m/>
    <m/>
    <m/>
    <m/>
    <m/>
    <m/>
    <m/>
    <n v="25"/>
    <n v="0"/>
    <m/>
    <n v="0"/>
    <m/>
    <n v="0"/>
    <m/>
    <n v="0"/>
    <m/>
    <n v="0"/>
    <m/>
    <n v="0"/>
    <m/>
    <n v="0"/>
    <m/>
    <n v="0"/>
    <s v="FLINTSL"/>
    <n v="28"/>
    <n v="0"/>
    <n v="74.156862745098039"/>
    <n v="0"/>
    <s v="WHITE"/>
    <s v="G01490W"/>
    <s v="FLINTSL - WHITE"/>
    <n v="24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195.1764705882353"/>
    <n v="0"/>
    <n v="3"/>
    <n v="3"/>
    <n v="3"/>
    <n v="3"/>
    <n v="3"/>
    <n v="2"/>
    <n v="25"/>
    <n v="60"/>
    <n v="0.8"/>
    <n v="0.2"/>
    <m/>
    <m/>
    <m/>
    <n v="0"/>
    <n v="172"/>
    <n v="0"/>
    <n v="0"/>
    <n v="172"/>
    <n v="172"/>
    <n v="137.6"/>
    <n v="0"/>
    <n v="34.4"/>
    <n v="0"/>
    <n v="0"/>
    <n v="0"/>
    <n v="0"/>
    <n v="0"/>
    <n v="0"/>
    <n v="0"/>
    <n v="0"/>
    <n v="0"/>
    <n v="0"/>
    <m/>
    <n v="141.5"/>
    <n v="363.5"/>
    <n v="168"/>
    <s v="FLINTSLFLINTSLFLINTSLFLINTSLFLINTSLFLINTSLFLINTSLFLINTSL"/>
    <s v="+"/>
    <s v="+"/>
    <s v="+"/>
    <s v="+"/>
    <s v="+"/>
    <s v="+"/>
    <s v="+"/>
    <s v="+"/>
  </r>
  <r>
    <d v="2026-01-21T00:00:00"/>
    <s v="B"/>
    <x v="265"/>
    <n v="169"/>
    <n v="2490"/>
    <n v="90000"/>
    <s v="II"/>
    <s v="N"/>
    <n v="1.75"/>
    <s v="BLACK"/>
    <s v="H01274B"/>
    <s v="FLINTSL - BLACK"/>
    <n v="31"/>
    <n v="0"/>
    <m/>
    <m/>
    <n v="0"/>
    <n v="26521000010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4"/>
    <n v="0"/>
    <n v="18.612903225806448"/>
    <n v="0"/>
    <s v="GREEN"/>
    <s v="G01490G"/>
    <s v="FLINTSL - GREEN"/>
    <n v="37"/>
    <n v="0"/>
    <s v="C01453G/.F00866F"/>
    <n v="41"/>
    <n v="0"/>
    <n v="26522000001"/>
    <n v="26523000001"/>
    <n v="26522000002"/>
    <n v="26521000013"/>
    <n v="26523000027"/>
    <m/>
    <m/>
    <m/>
    <n v="4"/>
    <e v="#N/A"/>
    <n v="15"/>
    <e v="#N/A"/>
    <n v="6"/>
    <e v="#N/A"/>
    <n v="6"/>
    <e v="#N/A"/>
    <n v="3"/>
    <e v="#N/A"/>
    <m/>
    <n v="0"/>
    <m/>
    <n v="0"/>
    <m/>
    <n v="0"/>
    <s v="FLINTSL"/>
    <n v="36"/>
    <n v="0"/>
    <n v="93.225806451612897"/>
    <n v="0"/>
    <s v="MEDIUM"/>
    <s v="J00931M"/>
    <s v="FLINTSL - MEDIUM"/>
    <n v="46"/>
    <n v="0"/>
    <m/>
    <m/>
    <n v="0"/>
    <n v="26523000001"/>
    <s v="FW"/>
    <n v="26522000001"/>
    <m/>
    <m/>
    <m/>
    <m/>
    <m/>
    <n v="8"/>
    <e v="#N/A"/>
    <n v="6"/>
    <n v="0"/>
    <n v="3"/>
    <e v="#N/A"/>
    <m/>
    <n v="0"/>
    <m/>
    <n v="0"/>
    <m/>
    <n v="0"/>
    <m/>
    <n v="0"/>
    <m/>
    <n v="0"/>
    <s v="FLINTSL"/>
    <n v="32"/>
    <n v="0"/>
    <n v="53.967741935483872"/>
    <n v="0"/>
    <s v="GREEN"/>
    <s v="P00465G"/>
    <s v="FLINTSL - GREEN"/>
    <n v="12"/>
    <n v="0"/>
    <m/>
    <m/>
    <n v="0"/>
    <n v="26521000013"/>
    <n v="26523000024"/>
    <n v="26523000001"/>
    <n v="26522000002"/>
    <m/>
    <m/>
    <m/>
    <m/>
    <n v="1.5"/>
    <e v="#N/A"/>
    <n v="10"/>
    <e v="#N/A"/>
    <n v="3"/>
    <e v="#N/A"/>
    <n v="8"/>
    <e v="#N/A"/>
    <m/>
    <n v="0"/>
    <m/>
    <n v="0"/>
    <m/>
    <n v="0"/>
    <m/>
    <n v="0"/>
    <s v="FLINTSL"/>
    <n v="27"/>
    <n v="0"/>
    <n v="21.854838709677423"/>
    <n v="0"/>
    <s v="CYAN"/>
    <s v="H01274C"/>
    <s v="FLINTSL - CYAN"/>
    <n v="30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30"/>
    <n v="0"/>
    <n v="16.483870967741936"/>
    <n v="0"/>
    <s v="MAGENTA"/>
    <s v="H01274M"/>
    <s v="FLINTSL - MAGENTA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0"/>
    <n v="9.6129032258064484"/>
    <n v="0"/>
    <s v="YELLOW"/>
    <s v="H01274Y"/>
    <s v="FLINTSL - YELLOW"/>
    <n v="28"/>
    <n v="0"/>
    <m/>
    <m/>
    <n v="0"/>
    <n v="26523000001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30"/>
    <n v="0"/>
    <n v="28.967741935483872"/>
    <n v="0"/>
    <s v="WHITE"/>
    <s v="N01274W"/>
    <s v="FLINTSL - WHITE"/>
    <n v="30"/>
    <n v="0"/>
    <m/>
    <m/>
    <n v="0"/>
    <s v="FW"/>
    <m/>
    <m/>
    <m/>
    <m/>
    <m/>
    <m/>
    <m/>
    <n v="350"/>
    <n v="0"/>
    <m/>
    <n v="0"/>
    <m/>
    <n v="0"/>
    <m/>
    <n v="0"/>
    <m/>
    <n v="0"/>
    <m/>
    <n v="0"/>
    <m/>
    <n v="0"/>
    <m/>
    <n v="0"/>
    <s v="FLINTSL"/>
    <n v="24"/>
    <n v="0"/>
    <n v="872.77419354838707"/>
    <n v="0"/>
    <n v="3"/>
    <n v="6"/>
    <n v="8"/>
    <n v="5"/>
    <n v="4"/>
    <n v="3"/>
    <n v="8"/>
    <n v="180"/>
    <n v="0.8"/>
    <n v="0.2"/>
    <m/>
    <m/>
    <m/>
    <n v="0"/>
    <n v="623"/>
    <n v="0"/>
    <n v="0"/>
    <n v="623"/>
    <n v="623"/>
    <n v="498.40000000000003"/>
    <n v="0"/>
    <n v="124.60000000000001"/>
    <n v="0"/>
    <n v="0"/>
    <n v="0"/>
    <n v="0"/>
    <n v="0"/>
    <n v="0"/>
    <n v="0"/>
    <n v="0"/>
    <n v="0"/>
    <n v="0"/>
    <m/>
    <n v="439.5"/>
    <n v="1115.5"/>
    <n v="169"/>
    <s v="FLINTSLFLINTSLFLINTSLFLINTSLFLINTSLFLINTSLFLINTSLFLINTSL"/>
    <s v="+"/>
    <s v="+"/>
    <s v="+"/>
    <s v="+"/>
    <s v="+"/>
    <s v="+"/>
    <s v="+"/>
    <s v="+"/>
  </r>
  <r>
    <d v="2026-01-21T00:00:00"/>
    <s v="B"/>
    <x v="266"/>
    <n v="170"/>
    <n v="325"/>
    <n v="20400"/>
    <s v="II"/>
    <s v="N"/>
    <n v="1.79"/>
    <s v="BLACK"/>
    <s v="J00967N"/>
    <s v="FLINTSL - BLACK"/>
    <n v="24"/>
    <n v="0"/>
    <m/>
    <m/>
    <n v="0"/>
    <n v="26523000027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6.816901408450704"/>
    <n v="0"/>
    <s v="REFLEX BLUE"/>
    <s v="C01504RB"/>
    <s v="FLINTSL - REFLEX BLUE"/>
    <n v="17"/>
    <n v="0"/>
    <m/>
    <m/>
    <n v="0"/>
    <n v="26521000013"/>
    <n v="26521000006"/>
    <m/>
    <m/>
    <m/>
    <m/>
    <m/>
    <m/>
    <n v="3"/>
    <e v="#N/A"/>
    <n v="2"/>
    <e v="#N/A"/>
    <m/>
    <n v="0"/>
    <m/>
    <n v="0"/>
    <m/>
    <n v="0"/>
    <m/>
    <n v="0"/>
    <m/>
    <n v="0"/>
    <m/>
    <n v="0"/>
    <s v="FLINTSL"/>
    <n v="22"/>
    <n v="0"/>
    <n v="8.0281690140845079"/>
    <n v="0"/>
    <s v="GREEN"/>
    <s v="G01490G"/>
    <s v="FLINTSL - GREEN"/>
    <n v="24"/>
    <n v="0"/>
    <m/>
    <m/>
    <n v="0"/>
    <n v="26523000001"/>
    <n v="26523000024"/>
    <n v="26523000011"/>
    <m/>
    <m/>
    <m/>
    <m/>
    <m/>
    <n v="3"/>
    <e v="#N/A"/>
    <n v="2"/>
    <e v="#N/A"/>
    <n v="0.5"/>
    <e v="#N/A"/>
    <m/>
    <n v="0"/>
    <m/>
    <n v="0"/>
    <m/>
    <n v="0"/>
    <m/>
    <n v="0"/>
    <m/>
    <n v="0"/>
    <s v="FLINTSL"/>
    <n v="26"/>
    <n v="0"/>
    <n v="11.528169014084511"/>
    <n v="0"/>
    <s v="RED"/>
    <s v="N00951R"/>
    <s v="FLINTSL - RED"/>
    <n v="15"/>
    <n v="0"/>
    <m/>
    <m/>
    <n v="0"/>
    <n v="26523000011"/>
    <n v="26521000005"/>
    <m/>
    <m/>
    <m/>
    <m/>
    <m/>
    <m/>
    <n v="4"/>
    <e v="#N/A"/>
    <n v="2"/>
    <e v="#N/A"/>
    <m/>
    <n v="0"/>
    <m/>
    <n v="0"/>
    <m/>
    <n v="0"/>
    <m/>
    <n v="0"/>
    <m/>
    <n v="0"/>
    <m/>
    <n v="0"/>
    <s v="FLINTSL"/>
    <n v="21"/>
    <n v="0"/>
    <n v="4.816901408450704"/>
    <n v="0"/>
    <s v="CYAN"/>
    <s v="J00967C"/>
    <s v="FLINTSL - CYAN"/>
    <n v="30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9"/>
    <n v="0"/>
    <n v="6.2112676056338003"/>
    <n v="0"/>
    <s v="MAGENTA"/>
    <s v="J00967M"/>
    <s v="FLINTSL - MAGENTA"/>
    <n v="29"/>
    <n v="0"/>
    <m/>
    <m/>
    <n v="0"/>
    <n v="26521000005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6"/>
    <n v="0"/>
    <n v="11.816901408450704"/>
    <n v="0"/>
    <s v="YELLOW"/>
    <s v="J00967Y"/>
    <s v="FLINTSL - YELLOW"/>
    <n v="30"/>
    <n v="0"/>
    <m/>
    <m/>
    <n v="0"/>
    <n v="26523000001"/>
    <s v="FMD"/>
    <m/>
    <m/>
    <m/>
    <m/>
    <m/>
    <m/>
    <n v="30"/>
    <e v="#N/A"/>
    <n v="10"/>
    <n v="0"/>
    <m/>
    <n v="0"/>
    <m/>
    <n v="0"/>
    <m/>
    <n v="0"/>
    <m/>
    <n v="0"/>
    <m/>
    <n v="0"/>
    <m/>
    <n v="0"/>
    <s v="FLINTSL"/>
    <n v="28"/>
    <n v="0"/>
    <n v="74.112676056338032"/>
    <n v="0"/>
    <s v="WHITE"/>
    <s v="J00967W"/>
    <s v="FLINTSL - WHITE"/>
    <n v="24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102.16901408450704"/>
    <n v="0"/>
    <n v="3"/>
    <n v="5"/>
    <n v="5"/>
    <n v="3"/>
    <n v="2"/>
    <n v="3"/>
    <n v="20"/>
    <n v="30"/>
    <n v="0.8"/>
    <n v="0.2"/>
    <m/>
    <m/>
    <m/>
    <n v="0"/>
    <n v="114"/>
    <n v="0"/>
    <n v="0"/>
    <n v="114"/>
    <n v="114"/>
    <n v="91.2"/>
    <n v="0"/>
    <n v="22.8"/>
    <n v="0"/>
    <n v="0"/>
    <n v="0"/>
    <n v="0"/>
    <n v="0"/>
    <n v="0"/>
    <n v="0"/>
    <n v="0"/>
    <n v="0"/>
    <n v="0"/>
    <m/>
    <n v="126.5"/>
    <n v="225.5"/>
    <n v="170"/>
    <s v="FLINTSLFLINTSLFLINTSLFLINTSLFLINTSLFLINTSLFLINTSLFLINTSL"/>
    <s v="+"/>
    <s v="+"/>
    <s v="+"/>
    <s v="+"/>
    <s v="+"/>
    <s v="+"/>
    <s v="+"/>
    <s v="+"/>
  </r>
  <r>
    <d v="2026-01-22T00:00:00"/>
    <s v="A"/>
    <x v="267"/>
    <n v="171"/>
    <n v="296"/>
    <n v="18600"/>
    <s v="II"/>
    <s v="N"/>
    <n v="1.83"/>
    <s v="BLACK"/>
    <s v="N00903B"/>
    <s v="FLINTSL - BLACK"/>
    <n v="26"/>
    <n v="0"/>
    <m/>
    <m/>
    <n v="0"/>
    <n v="26523000027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3"/>
    <n v="0"/>
    <n v="6.8493150684931514"/>
    <n v="0"/>
    <s v="REFLEX BLUE"/>
    <s v="N00903RB"/>
    <s v="FLINTSL - REFLEX BLUE"/>
    <n v="22"/>
    <n v="0"/>
    <m/>
    <m/>
    <n v="0"/>
    <n v="26521000006"/>
    <n v="26522000002"/>
    <m/>
    <m/>
    <m/>
    <m/>
    <m/>
    <m/>
    <n v="2"/>
    <e v="#N/A"/>
    <n v="2"/>
    <e v="#N/A"/>
    <m/>
    <n v="0"/>
    <m/>
    <n v="0"/>
    <m/>
    <n v="0"/>
    <m/>
    <n v="0"/>
    <m/>
    <n v="0"/>
    <m/>
    <n v="0"/>
    <s v="FLINTSL"/>
    <n v="24"/>
    <n v="0"/>
    <n v="7.6986301369863028"/>
    <n v="0"/>
    <s v="GREEN"/>
    <s v="N00903G"/>
    <s v="FLINTSL - GREEN"/>
    <n v="26"/>
    <n v="0"/>
    <m/>
    <m/>
    <n v="0"/>
    <n v="2652300000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8.6986301369863028"/>
    <n v="0"/>
    <s v="RED"/>
    <s v="N00903R"/>
    <s v="FLINTSL - RED"/>
    <n v="21"/>
    <n v="0"/>
    <m/>
    <m/>
    <n v="0"/>
    <n v="26523000011"/>
    <n v="26521000005"/>
    <m/>
    <m/>
    <m/>
    <m/>
    <m/>
    <m/>
    <n v="4"/>
    <e v="#N/A"/>
    <n v="1"/>
    <e v="#N/A"/>
    <m/>
    <n v="0"/>
    <m/>
    <n v="0"/>
    <m/>
    <n v="0"/>
    <m/>
    <n v="0"/>
    <m/>
    <n v="0"/>
    <m/>
    <n v="0"/>
    <s v="FLINTSL"/>
    <n v="24"/>
    <n v="0"/>
    <n v="9.1232876712328732"/>
    <n v="0"/>
    <s v="CYAN"/>
    <s v="N00903C"/>
    <s v="FLINTSL - CYAN"/>
    <n v="29"/>
    <n v="0"/>
    <m/>
    <m/>
    <n v="0"/>
    <n v="2652200000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7"/>
    <n v="0"/>
    <n v="9.6986301369863028"/>
    <n v="0"/>
    <s v="MAGENTA"/>
    <s v="N00903M"/>
    <s v="FLINTSL - MAGENTA"/>
    <n v="26"/>
    <n v="0"/>
    <m/>
    <m/>
    <n v="0"/>
    <n v="26521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9.6986301369863028"/>
    <n v="0"/>
    <s v="YELLOW"/>
    <s v="N00903Y"/>
    <s v="FLINTSL - YELLOW"/>
    <n v="28"/>
    <n v="0"/>
    <m/>
    <m/>
    <n v="0"/>
    <n v="26523000001"/>
    <s v="FMD"/>
    <m/>
    <m/>
    <m/>
    <m/>
    <m/>
    <m/>
    <n v="10"/>
    <e v="#N/A"/>
    <n v="15"/>
    <n v="0"/>
    <m/>
    <n v="0"/>
    <m/>
    <n v="0"/>
    <m/>
    <n v="0"/>
    <m/>
    <n v="0"/>
    <m/>
    <n v="0"/>
    <m/>
    <n v="0"/>
    <s v="FLINTSL"/>
    <n v="27"/>
    <n v="0"/>
    <n v="54.493150684931507"/>
    <n v="0"/>
    <s v="WHITE"/>
    <s v="N00903W"/>
    <s v="FLINTSL - WHITE"/>
    <n v="3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9"/>
    <n v="0"/>
    <n v="103.73972602739727"/>
    <n v="0"/>
    <n v="2"/>
    <n v="4"/>
    <n v="4"/>
    <n v="5"/>
    <n v="4"/>
    <n v="4"/>
    <n v="20"/>
    <n v="30"/>
    <n v="0.8"/>
    <n v="0.2"/>
    <m/>
    <m/>
    <m/>
    <n v="0"/>
    <n v="104"/>
    <n v="0"/>
    <n v="0"/>
    <n v="104"/>
    <n v="104"/>
    <n v="83.2"/>
    <n v="0"/>
    <n v="20.8"/>
    <n v="0"/>
    <n v="0"/>
    <n v="0"/>
    <n v="0"/>
    <n v="0"/>
    <n v="0"/>
    <n v="0"/>
    <n v="0"/>
    <n v="0"/>
    <n v="0"/>
    <m/>
    <n v="101"/>
    <n v="210"/>
    <n v="171"/>
    <s v="FLINTSLFLINTSLFLINTSLFLINTSLFLINTSLFLINTSLFLINTSLFLINTSL"/>
    <s v="+"/>
    <s v="+"/>
    <s v="+"/>
    <s v="+"/>
    <s v="+"/>
    <s v="+"/>
    <s v="+"/>
    <s v="+"/>
  </r>
  <r>
    <d v="2026-01-22T00:00:00"/>
    <s v="A"/>
    <x v="268"/>
    <n v="172"/>
    <n v="323"/>
    <n v="20300"/>
    <s v="II"/>
    <s v="N"/>
    <n v="1.81"/>
    <s v="BLACK"/>
    <s v="N00904B"/>
    <s v="FLINTSL - BLACK"/>
    <n v="23"/>
    <n v="0"/>
    <m/>
    <m/>
    <n v="0"/>
    <n v="26523000027"/>
    <s v="FMD"/>
    <m/>
    <m/>
    <m/>
    <m/>
    <m/>
    <m/>
    <n v="12"/>
    <e v="#N/A"/>
    <n v="7"/>
    <n v="0"/>
    <m/>
    <n v="0"/>
    <m/>
    <n v="0"/>
    <m/>
    <n v="0"/>
    <m/>
    <n v="0"/>
    <m/>
    <n v="0"/>
    <m/>
    <n v="0"/>
    <s v="FLINTSL"/>
    <n v="52"/>
    <n v="0"/>
    <n v="15.681818181818187"/>
    <n v="0"/>
    <s v="REFLEX BLUE"/>
    <s v="N00904B"/>
    <s v="FLINTSL - REFLEX BLUE"/>
    <n v="24"/>
    <n v="0"/>
    <m/>
    <m/>
    <n v="0"/>
    <n v="26521000013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0"/>
    <n v="0"/>
    <n v="8.8522727272727266"/>
    <n v="0"/>
    <s v="GREEN"/>
    <s v="N00904G"/>
    <s v="FLINTSL - GREEN"/>
    <n v="25"/>
    <n v="0"/>
    <m/>
    <m/>
    <n v="0"/>
    <n v="26523000003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5"/>
    <n v="0"/>
    <n v="5.5681818181818201"/>
    <n v="0"/>
    <s v="RED"/>
    <s v="N00904R"/>
    <s v="FLINTSL - RED"/>
    <n v="24"/>
    <n v="0"/>
    <m/>
    <m/>
    <n v="0"/>
    <n v="26521000005"/>
    <n v="26523000011"/>
    <m/>
    <m/>
    <m/>
    <m/>
    <m/>
    <m/>
    <n v="3"/>
    <e v="#N/A"/>
    <n v="5"/>
    <e v="#N/A"/>
    <m/>
    <n v="0"/>
    <m/>
    <n v="0"/>
    <m/>
    <n v="0"/>
    <m/>
    <n v="0"/>
    <m/>
    <n v="0"/>
    <m/>
    <n v="0"/>
    <s v="FLINTSL"/>
    <n v="32"/>
    <n v="0"/>
    <n v="8.9886363636363598"/>
    <n v="0"/>
    <s v="CYAN"/>
    <s v="N00904C"/>
    <s v="FLINTSL - CYAN"/>
    <n v="27"/>
    <n v="0"/>
    <m/>
    <m/>
    <n v="0"/>
    <n v="26522000002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1"/>
    <n v="0"/>
    <n v="24.98863636363636"/>
    <n v="0"/>
    <s v="MAGENTA"/>
    <s v="N00904M"/>
    <s v="FLINTSL - MAGENTA"/>
    <n v="24"/>
    <n v="0"/>
    <m/>
    <m/>
    <n v="0"/>
    <n v="2652100000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5"/>
    <n v="0"/>
    <n v="7.1363636363636402"/>
    <n v="0"/>
    <s v="YELLOW"/>
    <s v="N00904Y"/>
    <s v="FLINTSL - YELLOW"/>
    <n v="27"/>
    <n v="0"/>
    <m/>
    <m/>
    <n v="0"/>
    <n v="26522000004"/>
    <n v="26523000015"/>
    <n v="26523000003"/>
    <s v="FMD"/>
    <m/>
    <m/>
    <m/>
    <m/>
    <n v="35"/>
    <e v="#N/A"/>
    <n v="30"/>
    <e v="#N/A"/>
    <n v="10"/>
    <e v="#N/A"/>
    <n v="12"/>
    <n v="0"/>
    <m/>
    <n v="0"/>
    <m/>
    <n v="0"/>
    <m/>
    <n v="0"/>
    <m/>
    <n v="0"/>
    <s v="FLINTSL"/>
    <n v="28"/>
    <n v="0"/>
    <n v="105.26136363636363"/>
    <n v="0"/>
    <s v="WHITE"/>
    <s v="N00904W"/>
    <s v="FLINTSL - WHITE"/>
    <n v="29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97.52272727272728"/>
    <n v="0"/>
    <n v="20"/>
    <n v="3"/>
    <n v="2"/>
    <n v="7"/>
    <n v="7"/>
    <n v="4"/>
    <n v="15"/>
    <n v="30"/>
    <n v="0.8"/>
    <n v="0.2"/>
    <m/>
    <m/>
    <m/>
    <n v="0"/>
    <n v="113"/>
    <n v="0"/>
    <n v="0"/>
    <n v="113"/>
    <n v="113"/>
    <n v="90.4"/>
    <n v="0"/>
    <n v="22.6"/>
    <n v="0"/>
    <n v="0"/>
    <n v="0"/>
    <n v="0"/>
    <n v="0"/>
    <n v="0"/>
    <n v="0"/>
    <n v="0"/>
    <n v="0"/>
    <n v="0"/>
    <m/>
    <n v="191"/>
    <n v="274"/>
    <n v="172"/>
    <s v="FLINTSLFLINTSLFLINTSLFLINTSLFLINTSLFLINTSLFLINTSLFLINTSL"/>
    <s v="+"/>
    <s v="+"/>
    <s v="+"/>
    <s v="+"/>
    <s v="+"/>
    <s v="+"/>
    <s v="+"/>
    <s v="+"/>
  </r>
  <r>
    <d v="2026-01-22T00:00:00"/>
    <s v="A"/>
    <x v="269"/>
    <n v="173"/>
    <n v="543"/>
    <n v="19000"/>
    <s v="II"/>
    <s v="N"/>
    <n v="1.7"/>
    <s v="BLACK"/>
    <s v="N00905B"/>
    <s v="FLINTSL - BLACK"/>
    <n v="22"/>
    <n v="0"/>
    <m/>
    <m/>
    <n v="0"/>
    <n v="26523000027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5"/>
    <n v="0"/>
    <n v="11.066666666666663"/>
    <n v="0"/>
    <s v="REFLEX BLUE"/>
    <m/>
    <s v="FLINTSL - REFLEX BLUE"/>
    <m/>
    <n v="0"/>
    <m/>
    <m/>
    <n v="0"/>
    <n v="26522000009"/>
    <n v="26522000007"/>
    <n v="26522000002"/>
    <m/>
    <m/>
    <m/>
    <m/>
    <m/>
    <n v="20"/>
    <e v="#N/A"/>
    <n v="20"/>
    <e v="#N/A"/>
    <n v="3"/>
    <e v="#N/A"/>
    <m/>
    <n v="0"/>
    <m/>
    <n v="0"/>
    <m/>
    <n v="0"/>
    <m/>
    <n v="0"/>
    <m/>
    <n v="0"/>
    <s v="FLINTSL"/>
    <n v="25"/>
    <n v="0"/>
    <n v="29.333333333333329"/>
    <n v="0"/>
    <s v="REFLEX BLUE"/>
    <m/>
    <s v="FLINTSL - REFLEX BLUE"/>
    <m/>
    <n v="0"/>
    <m/>
    <m/>
    <n v="0"/>
    <n v="26522000013"/>
    <n v="26522000006"/>
    <n v="26522000005"/>
    <n v="26522000016"/>
    <n v="26522000011"/>
    <n v="26522000002"/>
    <n v="26521000005"/>
    <m/>
    <n v="10"/>
    <e v="#N/A"/>
    <n v="20"/>
    <e v="#N/A"/>
    <n v="20"/>
    <e v="#N/A"/>
    <n v="7"/>
    <e v="#N/A"/>
    <n v="30"/>
    <e v="#N/A"/>
    <n v="0.3"/>
    <e v="#N/A"/>
    <n v="0.4"/>
    <e v="#N/A"/>
    <m/>
    <n v="0"/>
    <s v="FLINTSL"/>
    <n v="24"/>
    <n v="0"/>
    <n v="97.7"/>
    <n v="0"/>
    <s v="CYAN"/>
    <s v="N00905C"/>
    <s v="FLINTSL - CYAN"/>
    <n v="21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4"/>
    <n v="0"/>
    <n v="13.333333333333329"/>
    <n v="0"/>
    <s v="MAGENTA"/>
    <s v="N00905M"/>
    <s v="FLINTSL - MAGENTA"/>
    <n v="25"/>
    <n v="0"/>
    <m/>
    <m/>
    <n v="0"/>
    <n v="2652100000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6"/>
    <n v="0"/>
    <n v="6.5333333333333314"/>
    <n v="0"/>
    <s v="YELLOW"/>
    <s v="N00905Y"/>
    <s v="FLINTSL - YELLOW"/>
    <n v="28"/>
    <n v="0"/>
    <m/>
    <m/>
    <n v="0"/>
    <n v="26523000003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9"/>
    <n v="0"/>
    <n v="12.066666666666663"/>
    <n v="0"/>
    <s v="WHITE"/>
    <s v="N00905W"/>
    <s v="FLINTSL - WHITE"/>
    <n v="30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20"/>
    <n v="0"/>
    <n v="106.6666666666666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5"/>
    <n v="15"/>
    <n v="5"/>
    <n v="2"/>
    <n v="4"/>
    <n v="25"/>
    <n v="0"/>
    <n v="0.8"/>
    <n v="0.2"/>
    <m/>
    <m/>
    <m/>
    <n v="0"/>
    <n v="136"/>
    <n v="0"/>
    <n v="0"/>
    <n v="136"/>
    <n v="136"/>
    <n v="108.80000000000001"/>
    <n v="0"/>
    <n v="27.200000000000003"/>
    <n v="0"/>
    <n v="0"/>
    <n v="0"/>
    <n v="0"/>
    <n v="0"/>
    <n v="0"/>
    <n v="0"/>
    <n v="0"/>
    <n v="0"/>
    <n v="0"/>
    <m/>
    <n v="187.70000000000002"/>
    <n v="276.7"/>
    <n v="173"/>
    <s v="FLINTSLFLINTSLFLINTSLFLINTSLFLINTSLFLINTSLFLINTSL"/>
    <s v="+"/>
    <s v="+"/>
    <s v="+"/>
    <s v="+"/>
    <s v="+"/>
    <s v="+"/>
    <s v="+"/>
    <s v="NIL"/>
  </r>
  <r>
    <d v="2026-01-22T00:00:00"/>
    <s v="A"/>
    <x v="270"/>
    <n v="174"/>
    <n v="288"/>
    <n v="12600"/>
    <s v="II"/>
    <s v="N"/>
    <n v="1.99"/>
    <s v="BLACK"/>
    <s v="P00464B"/>
    <s v="FLINTSL - BLACK"/>
    <n v="25"/>
    <n v="0"/>
    <m/>
    <m/>
    <n v="0"/>
    <n v="26523000027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8"/>
    <n v="0"/>
    <n v="2.879999999999999"/>
    <n v="0"/>
    <s v="RED"/>
    <m/>
    <s v="FLINTSL - RED"/>
    <m/>
    <n v="0"/>
    <m/>
    <m/>
    <n v="0"/>
    <n v="26524000007"/>
    <n v="26524000006"/>
    <n v="26521000005"/>
    <m/>
    <m/>
    <m/>
    <m/>
    <m/>
    <n v="12"/>
    <e v="#N/A"/>
    <n v="9"/>
    <e v="#N/A"/>
    <n v="4"/>
    <e v="#N/A"/>
    <m/>
    <n v="0"/>
    <m/>
    <n v="0"/>
    <m/>
    <n v="0"/>
    <m/>
    <n v="0"/>
    <m/>
    <n v="0"/>
    <s v="FLINTSL"/>
    <n v="25"/>
    <n v="0"/>
    <n v="7.2000000000000028"/>
    <n v="0"/>
    <s v="CYAN"/>
    <s v="P00464C"/>
    <s v="FLINTSL - CYAN"/>
    <n v="24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9"/>
    <n v="0"/>
    <n v="4.32"/>
    <n v="0"/>
    <s v="MAGENTA"/>
    <s v="P00464M"/>
    <s v="FLINTSL - MAGENTA"/>
    <n v="26"/>
    <n v="0"/>
    <m/>
    <m/>
    <n v="0"/>
    <s v="FMD"/>
    <m/>
    <m/>
    <m/>
    <m/>
    <m/>
    <m/>
    <m/>
    <n v="7"/>
    <n v="0"/>
    <m/>
    <n v="0"/>
    <m/>
    <n v="0"/>
    <m/>
    <n v="0"/>
    <m/>
    <n v="0"/>
    <m/>
    <n v="0"/>
    <m/>
    <n v="0"/>
    <m/>
    <n v="0"/>
    <s v="FLINTSL"/>
    <n v="35"/>
    <n v="0"/>
    <n v="12.399999999999999"/>
    <n v="0"/>
    <s v="YELLOW"/>
    <s v="P00464Y"/>
    <s v="FLINTSL - YELLOW"/>
    <n v="29"/>
    <n v="0"/>
    <m/>
    <m/>
    <n v="0"/>
    <n v="26523000003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7.32"/>
    <n v="0"/>
    <s v="YELLOW"/>
    <m/>
    <s v="FLINTSL - YELLOW"/>
    <m/>
    <n v="0"/>
    <m/>
    <m/>
    <n v="0"/>
    <n v="26522000014"/>
    <n v="26522000018"/>
    <s v="FMD"/>
    <m/>
    <m/>
    <m/>
    <m/>
    <m/>
    <n v="40"/>
    <e v="#N/A"/>
    <n v="12"/>
    <e v="#N/A"/>
    <n v="5"/>
    <n v="0"/>
    <m/>
    <n v="0"/>
    <m/>
    <n v="0"/>
    <m/>
    <n v="0"/>
    <m/>
    <n v="0"/>
    <m/>
    <n v="0"/>
    <s v="FLINTSL"/>
    <n v="32"/>
    <n v="0"/>
    <n v="35.08"/>
    <n v="0"/>
    <s v="WHITE"/>
    <s v="P00464W"/>
    <s v="FLINTSL - WHITE"/>
    <n v="20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30"/>
    <n v="0"/>
    <n v="58.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3"/>
    <n v="10"/>
    <n v="3"/>
    <n v="7"/>
    <n v="20"/>
    <n v="0"/>
    <n v="0.8"/>
    <n v="0.2"/>
    <m/>
    <m/>
    <m/>
    <n v="0"/>
    <n v="72"/>
    <n v="0"/>
    <n v="0"/>
    <n v="72"/>
    <n v="72"/>
    <n v="57.6"/>
    <n v="0"/>
    <n v="14.4"/>
    <n v="0"/>
    <n v="0"/>
    <n v="0"/>
    <n v="0"/>
    <n v="0"/>
    <n v="0"/>
    <n v="0"/>
    <n v="0"/>
    <n v="0"/>
    <n v="0"/>
    <m/>
    <n v="139"/>
    <n v="128"/>
    <n v="174"/>
    <s v="FLINTSLFLINTSLFLINTSLFLINTSLFLINTSLFLINTSLFLINTSL"/>
    <s v="+"/>
    <s v="+"/>
    <s v="+"/>
    <s v="+"/>
    <s v="+"/>
    <s v="+"/>
    <s v="+"/>
    <s v="NIL"/>
  </r>
  <r>
    <d v="2026-01-22T00:00:00"/>
    <s v="B"/>
    <x v="271"/>
    <n v="175"/>
    <n v="275"/>
    <n v="13000"/>
    <s v="II"/>
    <s v="N"/>
    <n v="1.8"/>
    <s v="BLACK"/>
    <s v="P00494B"/>
    <s v="FLINTSL - BLACK"/>
    <n v="28"/>
    <n v="0"/>
    <m/>
    <m/>
    <n v="0"/>
    <n v="26523000027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9"/>
    <n v="0"/>
    <n v="4.6923076923076934"/>
    <n v="0"/>
    <s v="RED"/>
    <s v="P00494R"/>
    <s v="FLINTSL - RED"/>
    <n v="25"/>
    <n v="0"/>
    <m/>
    <m/>
    <n v="0"/>
    <n v="26521000005"/>
    <n v="26523000011"/>
    <m/>
    <m/>
    <m/>
    <m/>
    <m/>
    <m/>
    <n v="5"/>
    <e v="#N/A"/>
    <n v="7"/>
    <e v="#N/A"/>
    <m/>
    <n v="0"/>
    <m/>
    <n v="0"/>
    <m/>
    <n v="0"/>
    <m/>
    <n v="0"/>
    <m/>
    <n v="0"/>
    <m/>
    <n v="0"/>
    <s v="FLINTSL"/>
    <n v="32"/>
    <n v="0"/>
    <n v="14.230769230769234"/>
    <n v="0"/>
    <s v="REFLEX BLUE"/>
    <s v="F00870RB"/>
    <s v="FLINTSL - REFLEX BLUE"/>
    <n v="20"/>
    <n v="0"/>
    <m/>
    <m/>
    <n v="0"/>
    <n v="26522000022"/>
    <n v="26523000002"/>
    <n v="26521000013"/>
    <m/>
    <m/>
    <m/>
    <m/>
    <m/>
    <n v="30"/>
    <e v="#N/A"/>
    <n v="12"/>
    <e v="#N/A"/>
    <n v="4"/>
    <e v="#N/A"/>
    <m/>
    <n v="0"/>
    <m/>
    <n v="0"/>
    <m/>
    <n v="0"/>
    <m/>
    <n v="0"/>
    <m/>
    <n v="0"/>
    <s v="FLINTSL"/>
    <n v="24"/>
    <n v="0"/>
    <n v="53.07692307692308"/>
    <n v="0"/>
    <s v="CYAN"/>
    <s v="P00494C"/>
    <s v="FLINTSL - CYAN"/>
    <n v="29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30"/>
    <n v="0"/>
    <n v="9.5384615384615401"/>
    <n v="0"/>
    <s v="MAGENTA"/>
    <s v="P00494M"/>
    <s v="FLINTSL - MAGENTA"/>
    <n v="35"/>
    <n v="0"/>
    <m/>
    <m/>
    <n v="0"/>
    <n v="26521000005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2"/>
    <n v="0"/>
    <n v="11.692307692307693"/>
    <n v="0"/>
    <s v="YELLOW"/>
    <s v="P00494Y"/>
    <s v="FLINTSL - YELLOW"/>
    <n v="28"/>
    <n v="0"/>
    <m/>
    <m/>
    <n v="0"/>
    <n v="26523000003"/>
    <s v="FMD"/>
    <m/>
    <m/>
    <m/>
    <m/>
    <m/>
    <m/>
    <n v="6"/>
    <e v="#N/A"/>
    <n v="3"/>
    <n v="0"/>
    <m/>
    <n v="0"/>
    <m/>
    <n v="0"/>
    <m/>
    <n v="0"/>
    <m/>
    <n v="0"/>
    <m/>
    <n v="0"/>
    <m/>
    <n v="0"/>
    <s v="FLINTSL"/>
    <n v="31"/>
    <n v="0"/>
    <n v="13.384615384615387"/>
    <n v="0"/>
    <s v="WHITE"/>
    <s v="P00494W"/>
    <s v="FLINTSL - WHITE"/>
    <n v="3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30"/>
    <n v="0"/>
    <n v="105.3846153846153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6"/>
    <n v="3"/>
    <n v="2"/>
    <n v="4"/>
    <n v="30"/>
    <n v="0"/>
    <n v="0.8"/>
    <n v="0.2"/>
    <m/>
    <m/>
    <m/>
    <n v="0"/>
    <n v="96"/>
    <n v="0"/>
    <n v="0"/>
    <n v="96"/>
    <n v="96"/>
    <n v="76.800000000000011"/>
    <n v="0"/>
    <n v="19.200000000000003"/>
    <n v="0"/>
    <n v="0"/>
    <n v="0"/>
    <n v="0"/>
    <n v="0"/>
    <n v="0"/>
    <n v="0"/>
    <n v="0"/>
    <n v="0"/>
    <n v="0"/>
    <m/>
    <n v="129"/>
    <n v="212"/>
    <n v="175"/>
    <s v="FLINTSLFLINTSLFLINTSLFLINTSLFLINTSLFLINTSLFLINTSL"/>
    <s v="+"/>
    <s v="+"/>
    <s v="+"/>
    <s v="+"/>
    <s v="+"/>
    <s v="+"/>
    <s v="+"/>
    <s v="NIL"/>
  </r>
  <r>
    <d v="2026-01-22T00:00:00"/>
    <s v="B"/>
    <x v="272"/>
    <n v="176"/>
    <n v="1503"/>
    <n v="77100"/>
    <s v="II"/>
    <s v="N"/>
    <n v="1.75"/>
    <s v="BLACK"/>
    <s v="F00887B"/>
    <s v="FLINTSL - BLACK"/>
    <n v="29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30"/>
    <n v="0"/>
    <n v="16.390109890109891"/>
    <n v="0"/>
    <s v="REFLEX BLUE"/>
    <s v="H01274B"/>
    <s v="FLINTSL - REFLEX BLUE"/>
    <n v="23"/>
    <n v="0"/>
    <s v="E01025B/N00953B/P00414B/P00464B"/>
    <n v="109"/>
    <n v="0"/>
    <n v="26521000013"/>
    <n v="26523000003"/>
    <n v="26522000024"/>
    <n v="26521000006"/>
    <n v="26524000014"/>
    <n v="26522000017"/>
    <m/>
    <m/>
    <n v="10"/>
    <e v="#N/A"/>
    <n v="2"/>
    <e v="#N/A"/>
    <n v="40"/>
    <e v="#N/A"/>
    <n v="15"/>
    <e v="#N/A"/>
    <n v="5"/>
    <e v="#N/A"/>
    <n v="25"/>
    <e v="#N/A"/>
    <m/>
    <n v="0"/>
    <m/>
    <n v="0"/>
    <s v="FLINTSL"/>
    <n v="35"/>
    <n v="0"/>
    <n v="231.17032967032969"/>
    <n v="0"/>
    <s v="RED"/>
    <s v="H01274R"/>
    <s v="FLINTSL - RED"/>
    <n v="20"/>
    <n v="0"/>
    <m/>
    <m/>
    <n v="0"/>
    <n v="26524000006"/>
    <n v="26524000007"/>
    <m/>
    <m/>
    <m/>
    <m/>
    <m/>
    <m/>
    <n v="3"/>
    <e v="#N/A"/>
    <n v="6"/>
    <e v="#N/A"/>
    <m/>
    <n v="0"/>
    <m/>
    <n v="0"/>
    <m/>
    <n v="0"/>
    <m/>
    <n v="0"/>
    <m/>
    <n v="0"/>
    <m/>
    <n v="0"/>
    <s v="FLINTSL"/>
    <n v="22"/>
    <n v="0"/>
    <n v="19.390109890109891"/>
    <n v="0"/>
    <s v="CYAN"/>
    <s v="F00887C"/>
    <s v="FLINTSL - CYAN"/>
    <n v="30"/>
    <n v="0"/>
    <m/>
    <m/>
    <n v="0"/>
    <n v="26522000002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9"/>
    <n v="0"/>
    <n v="13.434065934065934"/>
    <n v="0"/>
    <s v="MAGENTA"/>
    <s v="F00887M"/>
    <s v="FLINTSL - MAGENTA"/>
    <n v="32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30"/>
    <n v="0"/>
    <n v="15.912087912087912"/>
    <n v="0"/>
    <s v="YELLOW"/>
    <s v="F00887Y"/>
    <s v="FLINTSL - YELLOW"/>
    <n v="31"/>
    <n v="0"/>
    <m/>
    <m/>
    <n v="0"/>
    <s v="FMD"/>
    <n v="26523000003"/>
    <m/>
    <m/>
    <m/>
    <m/>
    <m/>
    <m/>
    <n v="19"/>
    <n v="0"/>
    <n v="8"/>
    <e v="#N/A"/>
    <m/>
    <n v="0"/>
    <m/>
    <n v="0"/>
    <m/>
    <n v="0"/>
    <m/>
    <n v="0"/>
    <m/>
    <n v="0"/>
    <m/>
    <n v="0"/>
    <s v="FLINTSL"/>
    <n v="26"/>
    <n v="0"/>
    <n v="93.95054945054946"/>
    <n v="0"/>
    <s v="WHITE"/>
    <s v="F00887W"/>
    <s v="FLINTSL - WHITE"/>
    <n v="30"/>
    <n v="0"/>
    <m/>
    <m/>
    <n v="0"/>
    <s v="FW"/>
    <m/>
    <m/>
    <m/>
    <m/>
    <m/>
    <m/>
    <m/>
    <n v="240"/>
    <n v="0"/>
    <m/>
    <n v="0"/>
    <m/>
    <n v="0"/>
    <m/>
    <n v="0"/>
    <m/>
    <n v="0"/>
    <m/>
    <n v="0"/>
    <m/>
    <n v="0"/>
    <m/>
    <n v="0"/>
    <s v="FLINTSL"/>
    <n v="30"/>
    <n v="0"/>
    <n v="549.7527472527472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5"/>
    <n v="5"/>
    <n v="3"/>
    <n v="4"/>
    <n v="25"/>
    <n v="125"/>
    <n v="0"/>
    <n v="0.8"/>
    <n v="0.2"/>
    <m/>
    <m/>
    <m/>
    <n v="0"/>
    <n v="451"/>
    <n v="0"/>
    <n v="0"/>
    <n v="451"/>
    <n v="451"/>
    <n v="360.8"/>
    <n v="0"/>
    <n v="90.2"/>
    <n v="0"/>
    <n v="0"/>
    <n v="0"/>
    <n v="0"/>
    <n v="0"/>
    <n v="0"/>
    <n v="0"/>
    <n v="0"/>
    <n v="0"/>
    <n v="0"/>
    <m/>
    <n v="387"/>
    <n v="940"/>
    <n v="176"/>
    <s v="FLINTSLFLINTSLFLINTSLFLINTSLFLINTSLFLINTSLFLINTSL"/>
    <s v="+"/>
    <s v="+"/>
    <s v="+"/>
    <s v="+"/>
    <s v="+"/>
    <s v="+"/>
    <s v="+"/>
    <s v="NIL"/>
  </r>
  <r>
    <d v="2026-01-22T00:00:00"/>
    <s v="B"/>
    <x v="273"/>
    <n v="177"/>
    <n v="284"/>
    <n v="16600"/>
    <s v="II"/>
    <s v="N"/>
    <n v="2"/>
    <s v="BLACK"/>
    <s v="E01026B"/>
    <s v="FLINTSL - BLACK"/>
    <n v="30"/>
    <n v="0"/>
    <m/>
    <m/>
    <n v="0"/>
    <s v="FMD"/>
    <m/>
    <m/>
    <m/>
    <m/>
    <m/>
    <m/>
    <m/>
    <n v="1"/>
    <n v="0"/>
    <m/>
    <n v="0"/>
    <m/>
    <n v="0"/>
    <m/>
    <n v="0"/>
    <m/>
    <n v="0"/>
    <m/>
    <n v="0"/>
    <m/>
    <n v="0"/>
    <m/>
    <n v="0"/>
    <s v="FLINTSL"/>
    <n v="28"/>
    <n v="0"/>
    <n v="4.8333333333333357"/>
    <n v="0"/>
    <s v="RED"/>
    <s v="F00887R"/>
    <s v="FLINTSL - RED"/>
    <n v="32"/>
    <n v="0"/>
    <m/>
    <m/>
    <n v="0"/>
    <n v="26524000006"/>
    <n v="26524000007"/>
    <m/>
    <m/>
    <m/>
    <m/>
    <m/>
    <m/>
    <n v="1"/>
    <e v="#N/A"/>
    <n v="1"/>
    <e v="#N/A"/>
    <m/>
    <n v="0"/>
    <m/>
    <n v="0"/>
    <m/>
    <n v="0"/>
    <m/>
    <n v="0"/>
    <m/>
    <n v="0"/>
    <m/>
    <n v="0"/>
    <s v="FLINTSL"/>
    <n v="30"/>
    <n v="0"/>
    <n v="7.6666666666666643"/>
    <n v="0"/>
    <s v="GREEN"/>
    <s v="N00952G"/>
    <s v="FLINTSL - GREEN"/>
    <n v="20"/>
    <n v="0"/>
    <m/>
    <m/>
    <n v="0"/>
    <n v="26523000003"/>
    <n v="26522000002"/>
    <m/>
    <m/>
    <m/>
    <m/>
    <m/>
    <m/>
    <n v="5"/>
    <e v="#N/A"/>
    <n v="3"/>
    <e v="#N/A"/>
    <m/>
    <n v="0"/>
    <m/>
    <n v="0"/>
    <m/>
    <n v="0"/>
    <m/>
    <n v="0"/>
    <m/>
    <n v="0"/>
    <m/>
    <n v="0"/>
    <s v="FLINTSL"/>
    <n v="30"/>
    <n v="0"/>
    <n v="5.3333333333333357"/>
    <n v="0"/>
    <s v="REFLEX BLUE"/>
    <s v="F00887B"/>
    <s v="FLINTSL - REFLEX BLUE"/>
    <n v="24"/>
    <n v="0"/>
    <m/>
    <m/>
    <n v="0"/>
    <n v="26523000022"/>
    <n v="26522000012"/>
    <m/>
    <m/>
    <m/>
    <m/>
    <m/>
    <m/>
    <n v="35"/>
    <e v="#N/A"/>
    <n v="4"/>
    <e v="#N/A"/>
    <m/>
    <n v="0"/>
    <m/>
    <n v="0"/>
    <m/>
    <n v="0"/>
    <m/>
    <n v="0"/>
    <m/>
    <n v="0"/>
    <m/>
    <n v="0"/>
    <s v="FLINTSL"/>
    <n v="30"/>
    <n v="0"/>
    <n v="60.5"/>
    <n v="0"/>
    <s v="MAGENTA"/>
    <s v="E01026M"/>
    <s v="FLINTSL - MAGENTA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5.6666666666666643"/>
    <n v="0"/>
    <s v="YELLOW"/>
    <s v="E01026Y"/>
    <s v="FLINTSL - YELLOW"/>
    <n v="26"/>
    <n v="0"/>
    <m/>
    <m/>
    <n v="0"/>
    <n v="26524000005"/>
    <s v="FMD"/>
    <m/>
    <m/>
    <m/>
    <m/>
    <m/>
    <m/>
    <n v="20"/>
    <e v="#N/A"/>
    <n v="5"/>
    <n v="0"/>
    <m/>
    <n v="0"/>
    <m/>
    <n v="0"/>
    <m/>
    <n v="0"/>
    <m/>
    <n v="0"/>
    <m/>
    <n v="0"/>
    <m/>
    <n v="0"/>
    <s v="FLINTSL"/>
    <n v="30"/>
    <n v="0"/>
    <n v="48.5"/>
    <n v="0"/>
    <s v="WHITE"/>
    <s v="E01026W"/>
    <s v="FLINTSL - WHITE"/>
    <n v="30"/>
    <n v="0"/>
    <m/>
    <m/>
    <n v="0"/>
    <s v="FW"/>
    <m/>
    <m/>
    <m/>
    <m/>
    <m/>
    <m/>
    <m/>
    <n v="30"/>
    <n v="0"/>
    <m/>
    <n v="0"/>
    <m/>
    <n v="0"/>
    <m/>
    <n v="0"/>
    <m/>
    <n v="0"/>
    <m/>
    <n v="0"/>
    <m/>
    <n v="0"/>
    <m/>
    <n v="0"/>
    <s v="FLINTSL"/>
    <n v="30"/>
    <n v="0"/>
    <n v="57.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n v="2"/>
    <n v="4"/>
    <n v="15"/>
    <n v="2"/>
    <n v="15"/>
    <n v="15"/>
    <n v="0"/>
    <n v="0.8"/>
    <n v="0.2"/>
    <m/>
    <m/>
    <m/>
    <n v="0"/>
    <n v="99"/>
    <n v="0"/>
    <n v="0"/>
    <n v="99"/>
    <n v="99"/>
    <n v="79.2"/>
    <n v="0"/>
    <n v="19.8"/>
    <n v="0"/>
    <n v="0"/>
    <n v="0"/>
    <n v="0"/>
    <n v="0"/>
    <n v="0"/>
    <n v="0"/>
    <n v="0"/>
    <n v="0"/>
    <n v="0"/>
    <m/>
    <n v="105"/>
    <n v="190"/>
    <n v="177"/>
    <s v="FLINTSLFLINTSLFLINTSLFLINTSLFLINTSLFLINTSLFLINTSL"/>
    <s v="+"/>
    <s v="+"/>
    <s v="+"/>
    <s v="+"/>
    <s v="+"/>
    <s v="+"/>
    <s v="+"/>
    <s v="NIL"/>
  </r>
  <r>
    <d v="2026-01-22T00:00:00"/>
    <s v="B"/>
    <x v="274"/>
    <n v="178"/>
    <n v="539"/>
    <n v="31500"/>
    <s v="II"/>
    <s v="N"/>
    <n v="2.2000000000000002"/>
    <s v="BLACK"/>
    <s v="F00886B"/>
    <s v="FLINTSL - BLACK"/>
    <n v="28"/>
    <n v="0"/>
    <m/>
    <m/>
    <n v="0"/>
    <n v="26524000014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6"/>
    <n v="0"/>
    <n v="12.399999999999999"/>
    <n v="0"/>
    <s v="GREEN"/>
    <s v="E00886G"/>
    <s v="FLINTSL - GREEN"/>
    <n v="30"/>
    <n v="0"/>
    <m/>
    <m/>
    <n v="0"/>
    <n v="26523000022"/>
    <n v="26521000013"/>
    <m/>
    <m/>
    <m/>
    <m/>
    <m/>
    <m/>
    <n v="5"/>
    <e v="#N/A"/>
    <n v="2.5"/>
    <e v="#N/A"/>
    <m/>
    <n v="0"/>
    <m/>
    <n v="0"/>
    <m/>
    <n v="0"/>
    <m/>
    <n v="0"/>
    <m/>
    <n v="0"/>
    <m/>
    <n v="0"/>
    <s v="FLINTSL"/>
    <n v="28"/>
    <n v="0"/>
    <n v="14.899999999999999"/>
    <n v="0"/>
    <s v="RED"/>
    <s v="F00886R"/>
    <s v="FLINTSL - RED"/>
    <n v="30"/>
    <n v="0"/>
    <m/>
    <m/>
    <n v="0"/>
    <n v="26524000006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8"/>
    <n v="0"/>
    <n v="10.399999999999999"/>
    <n v="0"/>
    <s v="YELLOW"/>
    <s v="P00494Y"/>
    <s v="FLINTSL - YELLOW"/>
    <n v="32"/>
    <n v="0"/>
    <s v="N00892Y"/>
    <n v="25"/>
    <n v="0"/>
    <n v="26524000014"/>
    <n v="26523000004"/>
    <n v="26525000017"/>
    <n v="26524000006"/>
    <n v="26523000005"/>
    <m/>
    <m/>
    <m/>
    <n v="0.5"/>
    <e v="#N/A"/>
    <n v="40"/>
    <e v="#N/A"/>
    <n v="30"/>
    <e v="#N/A"/>
    <n v="3"/>
    <e v="#N/A"/>
    <n v="16"/>
    <e v="#N/A"/>
    <m/>
    <n v="0"/>
    <m/>
    <n v="0"/>
    <m/>
    <n v="0"/>
    <s v="FLINTSL"/>
    <n v="25"/>
    <n v="0"/>
    <n v="139.5"/>
    <n v="0"/>
    <s v="MAGENTA"/>
    <s v="F00886M"/>
    <s v="FLINTSL - MAGENTA"/>
    <n v="28"/>
    <n v="0"/>
    <m/>
    <m/>
    <n v="0"/>
    <n v="26524000006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9"/>
    <n v="0"/>
    <n v="7.6000000000000014"/>
    <n v="0"/>
    <s v="YELLOW"/>
    <s v="F00886Y"/>
    <s v="FLINTSL - YELLOW"/>
    <n v="30"/>
    <n v="0"/>
    <m/>
    <m/>
    <n v="0"/>
    <n v="26525000017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8"/>
    <n v="0"/>
    <n v="14.200000000000003"/>
    <n v="0"/>
    <s v="WHITE"/>
    <s v="F00886W"/>
    <s v="FLINTSL - WHITE"/>
    <n v="30"/>
    <n v="0"/>
    <m/>
    <m/>
    <n v="0"/>
    <s v="FW"/>
    <m/>
    <m/>
    <m/>
    <m/>
    <m/>
    <m/>
    <m/>
    <n v="150"/>
    <n v="0"/>
    <m/>
    <n v="0"/>
    <m/>
    <n v="0"/>
    <m/>
    <n v="0"/>
    <m/>
    <n v="0"/>
    <m/>
    <n v="0"/>
    <m/>
    <n v="0"/>
    <m/>
    <n v="0"/>
    <s v="FLINTSL"/>
    <n v="27"/>
    <n v="0"/>
    <n v="29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3"/>
    <n v="3"/>
    <n v="10"/>
    <n v="2"/>
    <n v="4"/>
    <n v="80"/>
    <n v="0"/>
    <n v="0.8"/>
    <n v="0.2"/>
    <m/>
    <m/>
    <m/>
    <n v="0"/>
    <n v="189"/>
    <n v="0"/>
    <n v="0"/>
    <n v="189"/>
    <n v="189"/>
    <n v="151.20000000000002"/>
    <n v="0"/>
    <n v="37.800000000000004"/>
    <n v="0"/>
    <n v="0"/>
    <n v="0"/>
    <n v="0"/>
    <n v="0"/>
    <n v="0"/>
    <n v="0"/>
    <n v="0"/>
    <n v="0"/>
    <n v="0"/>
    <m/>
    <n v="265"/>
    <n v="496"/>
    <n v="178"/>
    <s v="FLINTSLFLINTSLFLINTSLFLINTSLFLINTSLFLINTSLFLINTSL"/>
    <s v="+"/>
    <s v="+"/>
    <s v="+"/>
    <s v="+"/>
    <s v="+"/>
    <s v="+"/>
    <s v="+"/>
    <s v="NIL"/>
  </r>
  <r>
    <d v="2026-01-23T00:00:00"/>
    <s v="A"/>
    <x v="275"/>
    <n v="179"/>
    <n v="543"/>
    <n v="31700"/>
    <s v="II"/>
    <s v="N"/>
    <n v="2.4"/>
    <s v="BLACK"/>
    <s v="F00891B"/>
    <s v="FLINTSL - BLACK"/>
    <n v="26"/>
    <n v="0"/>
    <m/>
    <m/>
    <n v="0"/>
    <n v="26524000014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7"/>
    <n v="0"/>
    <n v="8.588235294117645"/>
    <n v="0"/>
    <s v="RED"/>
    <s v="F00891R"/>
    <s v="FLINTSL - RED"/>
    <n v="28"/>
    <n v="0"/>
    <m/>
    <m/>
    <n v="0"/>
    <n v="26524000032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9"/>
    <n v="0"/>
    <n v="14.17647058823529"/>
    <n v="0"/>
    <s v="ORANGE"/>
    <s v="F00891O"/>
    <s v="FLINTSL - ORANGE"/>
    <n v="25"/>
    <n v="0"/>
    <m/>
    <m/>
    <n v="0"/>
    <n v="26525000014"/>
    <n v="26524000007"/>
    <s v="FMD"/>
    <n v="26524000006"/>
    <m/>
    <m/>
    <m/>
    <m/>
    <n v="25"/>
    <e v="#N/A"/>
    <n v="15"/>
    <e v="#N/A"/>
    <n v="10"/>
    <n v="0"/>
    <n v="3"/>
    <e v="#N/A"/>
    <m/>
    <n v="0"/>
    <m/>
    <n v="0"/>
    <m/>
    <n v="0"/>
    <m/>
    <n v="0"/>
    <s v="FLINTSL"/>
    <n v="25"/>
    <n v="0"/>
    <n v="80.941176470588232"/>
    <n v="0"/>
    <s v="CYAN"/>
    <s v="E01026C"/>
    <s v="FLINTSL - CYAN"/>
    <n v="29"/>
    <n v="0"/>
    <m/>
    <m/>
    <n v="0"/>
    <s v="FMD"/>
    <m/>
    <m/>
    <m/>
    <m/>
    <m/>
    <m/>
    <m/>
    <n v="7"/>
    <n v="0"/>
    <m/>
    <n v="0"/>
    <m/>
    <n v="0"/>
    <m/>
    <n v="0"/>
    <m/>
    <n v="0"/>
    <m/>
    <n v="0"/>
    <m/>
    <n v="0"/>
    <m/>
    <n v="0"/>
    <s v="FLINTSL"/>
    <n v="29"/>
    <n v="0"/>
    <n v="12.588235294117645"/>
    <n v="0"/>
    <s v="MAGENTA"/>
    <s v="F00891M"/>
    <s v="FLINTSL - MAGENTA"/>
    <n v="29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30"/>
    <n v="0"/>
    <n v="11.313725490196077"/>
    <n v="0"/>
    <s v="YELLOW"/>
    <s v="F00891Y"/>
    <s v="FLINTSL - YELLOW"/>
    <n v="28"/>
    <n v="0"/>
    <m/>
    <m/>
    <n v="0"/>
    <n v="26525000014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21.627450980392155"/>
    <n v="0"/>
    <s v="WHITE"/>
    <s v="F00891W"/>
    <s v="FLINTSL - WHITE"/>
    <n v="27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24"/>
    <n v="0"/>
    <n v="214.7647058823529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6"/>
    <n v="15"/>
    <n v="3"/>
    <n v="5"/>
    <n v="10"/>
    <n v="60"/>
    <n v="0"/>
    <n v="0.8"/>
    <n v="0.2"/>
    <m/>
    <m/>
    <m/>
    <n v="0"/>
    <n v="190"/>
    <n v="0"/>
    <n v="0"/>
    <n v="190"/>
    <n v="190"/>
    <n v="152"/>
    <n v="0"/>
    <n v="38"/>
    <n v="0"/>
    <n v="0"/>
    <n v="0"/>
    <n v="0"/>
    <n v="0"/>
    <n v="0"/>
    <n v="0"/>
    <n v="0"/>
    <n v="0"/>
    <n v="0"/>
    <m/>
    <n v="176"/>
    <n v="364"/>
    <n v="179"/>
    <s v="FLINTSLFLINTSLFLINTSLFLINTSLFLINTSLFLINTSLFLINTSL"/>
    <s v="+"/>
    <s v="+"/>
    <s v="+"/>
    <s v="+"/>
    <s v="+"/>
    <s v="+"/>
    <s v="+"/>
    <s v="NIL"/>
  </r>
  <r>
    <d v="2026-01-23T00:00:00"/>
    <s v="A"/>
    <x v="276"/>
    <n v="180"/>
    <n v="2452"/>
    <n v="121700"/>
    <s v="II"/>
    <s v="N"/>
    <n v="2.0699999999999998"/>
    <s v="BLACK"/>
    <s v="F00889B"/>
    <s v="FLINTSL - BLACK"/>
    <n v="27"/>
    <n v="0"/>
    <m/>
    <m/>
    <n v="0"/>
    <n v="26524000014"/>
    <s v="FMD"/>
    <m/>
    <m/>
    <m/>
    <m/>
    <m/>
    <m/>
    <n v="5"/>
    <e v="#N/A"/>
    <n v="10"/>
    <n v="0"/>
    <m/>
    <n v="0"/>
    <m/>
    <n v="0"/>
    <m/>
    <n v="0"/>
    <m/>
    <n v="0"/>
    <m/>
    <n v="0"/>
    <m/>
    <n v="0"/>
    <s v="FLINTSL"/>
    <n v="24"/>
    <n v="0"/>
    <n v="51.454545454545453"/>
    <n v="0"/>
    <s v="REFLEX BLUE"/>
    <s v="F00863B"/>
    <s v="FLINTSL - REFLEX BLUE"/>
    <n v="24"/>
    <n v="0"/>
    <s v="F00879B/P00452B/F00874B/N00903B/N00892B"/>
    <n v="116"/>
    <n v="0"/>
    <n v="26522000020"/>
    <n v="26522000012"/>
    <n v="26523000017"/>
    <n v="26523000002"/>
    <m/>
    <m/>
    <m/>
    <m/>
    <n v="15"/>
    <e v="#N/A"/>
    <n v="26"/>
    <e v="#N/A"/>
    <n v="20"/>
    <e v="#N/A"/>
    <n v="20"/>
    <e v="#N/A"/>
    <m/>
    <n v="0"/>
    <m/>
    <n v="0"/>
    <m/>
    <n v="0"/>
    <m/>
    <n v="0"/>
    <s v="FLINTSL"/>
    <n v="40"/>
    <n v="0"/>
    <n v="225.60606060606062"/>
    <n v="0"/>
    <s v="RED"/>
    <s v="F00889R"/>
    <s v="FLINTSL - RED"/>
    <n v="29"/>
    <n v="0"/>
    <m/>
    <m/>
    <n v="0"/>
    <n v="26524000014"/>
    <n v="26524000032"/>
    <n v="26524000006"/>
    <m/>
    <m/>
    <m/>
    <m/>
    <m/>
    <n v="0.2"/>
    <e v="#N/A"/>
    <n v="4"/>
    <e v="#N/A"/>
    <n v="2"/>
    <e v="#N/A"/>
    <m/>
    <n v="0"/>
    <m/>
    <n v="0"/>
    <m/>
    <n v="0"/>
    <m/>
    <n v="0"/>
    <m/>
    <n v="0"/>
    <s v="FLINTSL"/>
    <n v="26"/>
    <n v="0"/>
    <n v="20.351515151515159"/>
    <n v="0"/>
    <s v="CYAN"/>
    <s v="F00889C"/>
    <s v="FLINTSL - CYAN"/>
    <n v="29"/>
    <n v="0"/>
    <m/>
    <m/>
    <n v="0"/>
    <n v="26523000026"/>
    <s v="FMD"/>
    <m/>
    <m/>
    <m/>
    <m/>
    <m/>
    <m/>
    <n v="25"/>
    <e v="#N/A"/>
    <n v="10"/>
    <n v="0"/>
    <m/>
    <n v="0"/>
    <m/>
    <n v="0"/>
    <m/>
    <n v="0"/>
    <m/>
    <n v="0"/>
    <m/>
    <n v="0"/>
    <m/>
    <n v="0"/>
    <s v="FLINTSL"/>
    <n v="30"/>
    <n v="0"/>
    <n v="56.303030303030312"/>
    <n v="0"/>
    <s v="MAGENTA"/>
    <s v="F00889M"/>
    <s v="FLINTSL - MAGENTA"/>
    <n v="30"/>
    <n v="0"/>
    <m/>
    <m/>
    <n v="0"/>
    <n v="26524000022"/>
    <s v="FMD"/>
    <m/>
    <m/>
    <m/>
    <m/>
    <m/>
    <m/>
    <n v="10"/>
    <e v="#N/A"/>
    <n v="10"/>
    <n v="0"/>
    <m/>
    <n v="0"/>
    <m/>
    <n v="0"/>
    <m/>
    <n v="0"/>
    <m/>
    <n v="0"/>
    <m/>
    <n v="0"/>
    <m/>
    <n v="0"/>
    <s v="FLINTSL"/>
    <n v="27"/>
    <n v="0"/>
    <n v="45.303030303030312"/>
    <n v="0"/>
    <s v="YELLOW"/>
    <s v="F00889Y"/>
    <s v="FLINTSL - YELLOW"/>
    <n v="30"/>
    <n v="0"/>
    <m/>
    <m/>
    <n v="0"/>
    <n v="26523000024"/>
    <s v="FMD"/>
    <m/>
    <m/>
    <m/>
    <m/>
    <m/>
    <m/>
    <n v="18"/>
    <e v="#N/A"/>
    <n v="10"/>
    <n v="0"/>
    <m/>
    <n v="0"/>
    <m/>
    <n v="0"/>
    <m/>
    <n v="0"/>
    <m/>
    <n v="0"/>
    <m/>
    <n v="0"/>
    <m/>
    <n v="0"/>
    <s v="FLINTSL"/>
    <n v="30"/>
    <n v="0"/>
    <n v="50.303030303030312"/>
    <n v="0"/>
    <s v="WHITE"/>
    <s v="F00889W"/>
    <s v="FLINTSL - WHITE"/>
    <n v="24"/>
    <n v="0"/>
    <m/>
    <m/>
    <n v="0"/>
    <s v="FW"/>
    <m/>
    <m/>
    <m/>
    <m/>
    <m/>
    <m/>
    <m/>
    <n v="400"/>
    <n v="0"/>
    <m/>
    <n v="0"/>
    <m/>
    <n v="0"/>
    <m/>
    <n v="0"/>
    <m/>
    <n v="0"/>
    <m/>
    <n v="0"/>
    <m/>
    <n v="0"/>
    <m/>
    <n v="0"/>
    <s v="FLINTSL"/>
    <n v="30"/>
    <n v="0"/>
    <n v="973.8787878787878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5"/>
    <n v="20"/>
    <n v="5"/>
    <n v="10"/>
    <n v="10"/>
    <n v="10"/>
    <n v="260"/>
    <n v="0"/>
    <n v="0.8"/>
    <n v="0.2"/>
    <m/>
    <m/>
    <m/>
    <n v="0"/>
    <n v="736"/>
    <n v="0"/>
    <n v="0"/>
    <n v="736"/>
    <n v="736"/>
    <n v="588.80000000000007"/>
    <n v="0"/>
    <n v="147.20000000000002"/>
    <n v="0"/>
    <n v="0"/>
    <n v="0"/>
    <n v="0"/>
    <n v="0"/>
    <n v="0"/>
    <n v="0"/>
    <n v="0"/>
    <n v="0"/>
    <n v="0"/>
    <m/>
    <n v="585.20000000000005"/>
    <n v="1423.2"/>
    <n v="180"/>
    <s v="FLINTSLFLINTSLFLINTSLFLINTSLFLINTSLFLINTSLFLINTSL"/>
    <s v="+"/>
    <s v="+"/>
    <s v="+"/>
    <s v="+"/>
    <s v="+"/>
    <s v="+"/>
    <s v="+"/>
    <s v="NIL"/>
  </r>
  <r>
    <d v="2026-01-23T00:00:00"/>
    <s v="B"/>
    <x v="277"/>
    <n v="181"/>
    <n v="2753"/>
    <n v="46100"/>
    <s v="II"/>
    <s v="N"/>
    <n v="0.05"/>
    <s v="BLACK"/>
    <m/>
    <s v="FLINTSL - BLACK"/>
    <m/>
    <n v="0"/>
    <m/>
    <m/>
    <n v="0"/>
    <n v="26524000014"/>
    <n v="26521000006"/>
    <n v="26523000002"/>
    <m/>
    <m/>
    <m/>
    <m/>
    <m/>
    <n v="21"/>
    <e v="#N/A"/>
    <n v="1"/>
    <e v="#N/A"/>
    <n v="1"/>
    <e v="#N/A"/>
    <m/>
    <n v="0"/>
    <m/>
    <n v="0"/>
    <m/>
    <n v="0"/>
    <m/>
    <n v="0"/>
    <m/>
    <n v="0"/>
    <s v="FLINTSL"/>
    <n v="28"/>
    <n v="0"/>
    <n v="3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0"/>
    <n v="0"/>
    <n v="0"/>
    <n v="0"/>
    <n v="0"/>
    <n v="0"/>
    <n v="0"/>
    <n v="0.8"/>
    <n v="0.2"/>
    <m/>
    <m/>
    <m/>
    <n v="0"/>
    <n v="40"/>
    <n v="0"/>
    <n v="0"/>
    <n v="40"/>
    <n v="40"/>
    <n v="32"/>
    <n v="0"/>
    <n v="8"/>
    <n v="0"/>
    <n v="0"/>
    <n v="0"/>
    <n v="0"/>
    <n v="0"/>
    <n v="0"/>
    <n v="0"/>
    <n v="0"/>
    <n v="0"/>
    <n v="0"/>
    <m/>
    <n v="23"/>
    <n v="35"/>
    <n v="181"/>
    <s v="FLINTSL"/>
    <s v="+"/>
    <s v="NIL"/>
    <s v="NIL"/>
    <s v="NIL"/>
    <s v="NIL"/>
    <s v="NIL"/>
    <s v="NIL"/>
    <s v="NIL"/>
  </r>
  <r>
    <d v="2026-01-23T00:00:00"/>
    <s v="B"/>
    <x v="278"/>
    <n v="182"/>
    <n v="503"/>
    <n v="42800"/>
    <s v="II"/>
    <s v="N"/>
    <n v="0.1"/>
    <s v="BLACK"/>
    <s v="C01494B"/>
    <s v="FLINTSL - BLACK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4"/>
    <n v="0"/>
    <n v="13.142857142857139"/>
    <n v="0"/>
    <s v="WHITE"/>
    <s v="E01027W"/>
    <s v="FLINTSL - WHITE"/>
    <n v="30"/>
    <n v="0"/>
    <m/>
    <m/>
    <n v="0"/>
    <s v="FW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30"/>
    <n v="0"/>
    <n v="32.85714285714286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0"/>
    <n v="0"/>
    <n v="0"/>
    <n v="0"/>
    <n v="0"/>
    <n v="0"/>
    <n v="0.8"/>
    <n v="0.2"/>
    <m/>
    <m/>
    <m/>
    <n v="0"/>
    <n v="32"/>
    <n v="0"/>
    <n v="0"/>
    <n v="32"/>
    <n v="32"/>
    <n v="25.6"/>
    <n v="0"/>
    <n v="6.4"/>
    <n v="0"/>
    <n v="0"/>
    <n v="0"/>
    <n v="0"/>
    <n v="0"/>
    <n v="0"/>
    <n v="0"/>
    <n v="0"/>
    <n v="0"/>
    <n v="0"/>
    <m/>
    <n v="10"/>
    <n v="46"/>
    <n v="182"/>
    <s v="FLINTSLFLINTSL"/>
    <s v="+"/>
    <s v="+"/>
    <s v="NIL"/>
    <s v="NIL"/>
    <s v="NIL"/>
    <s v="NIL"/>
    <s v="NIL"/>
    <s v="NIL"/>
  </r>
  <r>
    <d v="2026-01-23T00:00:00"/>
    <s v="B"/>
    <x v="279"/>
    <n v="183"/>
    <n v="253"/>
    <n v="21300"/>
    <s v="II"/>
    <s v="N"/>
    <n v="1.4"/>
    <s v="BLACK"/>
    <m/>
    <s v="ToyoLi - BLACK"/>
    <m/>
    <n v="0"/>
    <m/>
    <m/>
    <n v="0"/>
    <s v="R92"/>
    <s v="RTMD"/>
    <m/>
    <m/>
    <m/>
    <m/>
    <m/>
    <m/>
    <n v="18"/>
    <n v="0"/>
    <n v="5"/>
    <n v="0"/>
    <m/>
    <n v="0"/>
    <m/>
    <n v="0"/>
    <m/>
    <n v="0"/>
    <m/>
    <n v="0"/>
    <m/>
    <n v="0"/>
    <m/>
    <n v="0"/>
    <s v="ToyoLi"/>
    <n v="26"/>
    <n v="0"/>
    <n v="10.810344827586206"/>
    <n v="0"/>
    <s v="GOLD"/>
    <s v="H01357G"/>
    <s v="FLINTSL - GOLD"/>
    <n v="24"/>
    <n v="0"/>
    <m/>
    <m/>
    <n v="0"/>
    <s v="FGO"/>
    <s v="TPT"/>
    <m/>
    <m/>
    <m/>
    <m/>
    <m/>
    <m/>
    <n v="8"/>
    <n v="0"/>
    <n v="4"/>
    <n v="0"/>
    <m/>
    <n v="0"/>
    <m/>
    <n v="0"/>
    <m/>
    <n v="0"/>
    <m/>
    <n v="0"/>
    <m/>
    <n v="0"/>
    <m/>
    <n v="0"/>
    <s v="FLINTSL"/>
    <n v="37"/>
    <n v="0"/>
    <n v="2.0689655172413808"/>
    <n v="0"/>
    <s v="RED"/>
    <s v="G00403R"/>
    <s v="FLINTSL - RED"/>
    <n v="20"/>
    <n v="0"/>
    <m/>
    <m/>
    <n v="0"/>
    <n v="26524000032"/>
    <n v="26525000003"/>
    <n v="26524000022"/>
    <m/>
    <m/>
    <m/>
    <m/>
    <m/>
    <n v="10"/>
    <e v="#N/A"/>
    <n v="4"/>
    <e v="#N/A"/>
    <n v="2"/>
    <e v="#N/A"/>
    <m/>
    <n v="0"/>
    <m/>
    <n v="0"/>
    <m/>
    <n v="0"/>
    <m/>
    <n v="0"/>
    <m/>
    <n v="0"/>
    <s v="FLINTSL"/>
    <n v="24"/>
    <n v="0"/>
    <n v="18.137931034482762"/>
    <n v="0"/>
    <s v="CYAN"/>
    <s v="E01027C"/>
    <s v="FLINTSL - CYAN"/>
    <n v="30"/>
    <n v="0"/>
    <m/>
    <m/>
    <n v="0"/>
    <n v="26523000002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3"/>
    <n v="0"/>
    <n v="5.6034482758620712"/>
    <n v="0"/>
    <s v="MAGENTA"/>
    <s v="E01027M"/>
    <s v="FLINTSL - MAGENTA"/>
    <n v="27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6"/>
    <n v="0"/>
    <n v="6.0689655172413808"/>
    <n v="0"/>
    <s v="YELLOW"/>
    <s v="E01027Y"/>
    <s v="FLINTSL - YELLOW"/>
    <n v="30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8"/>
    <n v="0"/>
    <n v="8.6034482758620712"/>
    <n v="0"/>
    <s v="YELLOW"/>
    <m/>
    <s v="FLINTSL - YELLOW"/>
    <m/>
    <n v="0"/>
    <m/>
    <m/>
    <n v="0"/>
    <n v="26524000002"/>
    <n v="26524000001"/>
    <n v="26524000003"/>
    <s v="TPT"/>
    <m/>
    <m/>
    <m/>
    <m/>
    <n v="30"/>
    <e v="#N/A"/>
    <n v="40"/>
    <e v="#N/A"/>
    <n v="20"/>
    <e v="#N/A"/>
    <n v="6"/>
    <n v="0"/>
    <m/>
    <n v="0"/>
    <m/>
    <n v="0"/>
    <m/>
    <n v="0"/>
    <m/>
    <n v="0"/>
    <s v="FLINTSL"/>
    <n v="24"/>
    <n v="0"/>
    <n v="79.672413793103445"/>
    <n v="0"/>
    <s v="WHITE"/>
    <s v="E01027W"/>
    <s v="FLINTSL - WHITE"/>
    <n v="3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20"/>
    <n v="0"/>
    <n v="106.0344827586207"/>
    <n v="0"/>
    <n v="9"/>
    <n v="2"/>
    <n v="4"/>
    <n v="3"/>
    <n v="2"/>
    <n v="3"/>
    <n v="5"/>
    <n v="30"/>
    <n v="0.8"/>
    <n v="0.2"/>
    <m/>
    <m/>
    <m/>
    <n v="0"/>
    <n v="89"/>
    <n v="0"/>
    <n v="0"/>
    <n v="89"/>
    <n v="89"/>
    <n v="71.2"/>
    <n v="0"/>
    <n v="17.8"/>
    <n v="0"/>
    <n v="0"/>
    <n v="0"/>
    <n v="0"/>
    <n v="0"/>
    <n v="0"/>
    <n v="0"/>
    <n v="0"/>
    <n v="0"/>
    <n v="0"/>
    <m/>
    <n v="205"/>
    <n v="237"/>
    <n v="183"/>
    <s v="ToyoLiFLINTSLFLINTSLFLINTSLFLINTSLFLINTSLFLINTSLFLINTSL"/>
    <s v="+"/>
    <s v="+"/>
    <s v="+"/>
    <s v="+"/>
    <s v="+"/>
    <s v="+"/>
    <s v="+"/>
    <s v="+"/>
  </r>
  <r>
    <d v="2026-01-24T00:00:00"/>
    <s v="A"/>
    <x v="280"/>
    <n v="184"/>
    <n v="292"/>
    <n v="20200"/>
    <s v="II"/>
    <s v="N"/>
    <n v="1.45"/>
    <s v="BLACK"/>
    <s v="E01029B"/>
    <s v="ToyoLi - BLACK"/>
    <n v="26"/>
    <n v="0"/>
    <m/>
    <m/>
    <n v="0"/>
    <s v="R92"/>
    <s v="RTMD"/>
    <m/>
    <m/>
    <m/>
    <m/>
    <m/>
    <m/>
    <n v="5"/>
    <n v="0"/>
    <n v="4"/>
    <n v="0"/>
    <m/>
    <n v="0"/>
    <m/>
    <n v="0"/>
    <m/>
    <n v="0"/>
    <m/>
    <n v="0"/>
    <m/>
    <n v="0"/>
    <m/>
    <n v="0"/>
    <s v="ToyoLi"/>
    <n v="35"/>
    <n v="0"/>
    <n v="9.6486486486486456"/>
    <n v="0"/>
    <s v="RED"/>
    <s v="E01029R"/>
    <s v="FLINTSL - RED"/>
    <n v="9"/>
    <n v="0"/>
    <s v="E01015R"/>
    <n v="12"/>
    <n v="0"/>
    <n v="26524000032"/>
    <n v="26524000022"/>
    <n v="26524000004"/>
    <m/>
    <m/>
    <m/>
    <m/>
    <m/>
    <n v="7"/>
    <e v="#N/A"/>
    <n v="5"/>
    <e v="#N/A"/>
    <n v="40"/>
    <e v="#N/A"/>
    <m/>
    <n v="0"/>
    <m/>
    <n v="0"/>
    <m/>
    <n v="0"/>
    <m/>
    <n v="0"/>
    <m/>
    <n v="0"/>
    <s v="FLINTSL"/>
    <n v="24"/>
    <n v="0"/>
    <n v="62.78378378378379"/>
    <n v="0"/>
    <s v="YELLOW"/>
    <s v="E01029Y"/>
    <s v="FLINTSL - YELLOW"/>
    <n v="24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8"/>
    <n v="0"/>
    <n v="7.8918918918918948"/>
    <n v="0"/>
    <s v="CYAN"/>
    <s v="E01029C"/>
    <s v="FLINTSL - CYAN"/>
    <n v="20"/>
    <n v="0"/>
    <m/>
    <m/>
    <n v="0"/>
    <n v="26523000028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27"/>
    <n v="0"/>
    <n v="9.2702702702702737"/>
    <n v="0"/>
    <s v="MAGENTA"/>
    <s v="E01029M"/>
    <s v="FLINTSL - MAGENTA"/>
    <n v="26"/>
    <n v="0"/>
    <m/>
    <m/>
    <n v="0"/>
    <n v="26524000006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8.5135135135135158"/>
    <n v="0"/>
    <s v="RED"/>
    <s v="E01029R"/>
    <s v="FLINTSL - RED"/>
    <n v="15"/>
    <n v="0"/>
    <m/>
    <m/>
    <n v="0"/>
    <n v="26524000022"/>
    <n v="26525000003"/>
    <m/>
    <m/>
    <m/>
    <m/>
    <m/>
    <m/>
    <n v="10"/>
    <e v="#N/A"/>
    <n v="5"/>
    <e v="#N/A"/>
    <m/>
    <n v="0"/>
    <m/>
    <n v="0"/>
    <m/>
    <n v="0"/>
    <m/>
    <n v="0"/>
    <m/>
    <n v="0"/>
    <m/>
    <n v="0"/>
    <s v="FLINTSL"/>
    <n v="33"/>
    <n v="0"/>
    <n v="10.783783783783782"/>
    <n v="0"/>
    <s v="YELLOW"/>
    <s v="E01029Y"/>
    <s v="FLINTSL - YELLOW"/>
    <n v="28"/>
    <n v="0"/>
    <m/>
    <m/>
    <n v="0"/>
    <n v="2652400000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6"/>
    <n v="0"/>
    <n v="6.7567567567567579"/>
    <n v="0"/>
    <s v="WHITE"/>
    <s v="E01029W"/>
    <s v="FLINTSL - WHITE"/>
    <n v="2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2"/>
    <n v="0"/>
    <n v="89.351351351351354"/>
    <n v="0"/>
    <n v="7"/>
    <n v="10"/>
    <n v="5"/>
    <n v="6"/>
    <n v="4"/>
    <n v="10"/>
    <n v="2"/>
    <n v="30"/>
    <n v="0.8"/>
    <n v="0.2"/>
    <m/>
    <m/>
    <m/>
    <n v="0"/>
    <n v="102"/>
    <n v="0"/>
    <n v="0"/>
    <n v="102"/>
    <n v="102"/>
    <n v="81.600000000000009"/>
    <n v="0"/>
    <n v="20.400000000000002"/>
    <n v="0"/>
    <n v="0"/>
    <n v="0"/>
    <n v="0"/>
    <n v="0"/>
    <n v="0"/>
    <n v="0"/>
    <n v="0"/>
    <n v="0"/>
    <n v="0"/>
    <m/>
    <n v="153"/>
    <n v="205"/>
    <n v="184"/>
    <s v="ToyoLiFLINTSLFLINTSLFLINTSLFLINTSLFLINTSLFLINTSLFLINTSL"/>
    <s v="+"/>
    <s v="+"/>
    <s v="+"/>
    <s v="+"/>
    <s v="+"/>
    <s v="+"/>
    <s v="+"/>
    <s v="+"/>
  </r>
  <r>
    <d v="2026-01-24T00:00:00"/>
    <s v="A"/>
    <x v="281"/>
    <n v="185"/>
    <n v="964"/>
    <n v="47900"/>
    <s v="II"/>
    <s v="N"/>
    <n v="2.15"/>
    <s v="BLACK"/>
    <s v="C01511B"/>
    <s v="FLINTSL - BLACK"/>
    <n v="25"/>
    <n v="0"/>
    <s v="N00905B"/>
    <n v="15"/>
    <n v="0"/>
    <n v="26521000006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0"/>
    <n v="0"/>
    <n v="20.127272727272725"/>
    <n v="0"/>
    <s v="RED"/>
    <s v="C01511R"/>
    <s v="FLINTSL - RED"/>
    <n v="30"/>
    <n v="0"/>
    <m/>
    <m/>
    <n v="0"/>
    <n v="2652400003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12.212121212121211"/>
    <n v="0"/>
    <s v="BLACK"/>
    <m/>
    <s v="FLINTSL - BLACK"/>
    <m/>
    <n v="0"/>
    <m/>
    <m/>
    <n v="0"/>
    <n v="26523000017"/>
    <n v="26524000011"/>
    <n v="26524000017"/>
    <n v="26524000016"/>
    <n v="26524000015"/>
    <m/>
    <m/>
    <m/>
    <n v="4"/>
    <e v="#N/A"/>
    <n v="40"/>
    <e v="#N/A"/>
    <n v="40"/>
    <e v="#N/A"/>
    <n v="20"/>
    <e v="#N/A"/>
    <n v="20"/>
    <e v="#N/A"/>
    <m/>
    <n v="0"/>
    <m/>
    <n v="0"/>
    <m/>
    <n v="0"/>
    <s v="FLINTSL"/>
    <n v="23"/>
    <n v="0"/>
    <n v="121.42424242424244"/>
    <n v="0"/>
    <s v="YELLOW"/>
    <s v="E01031Y"/>
    <s v="FLINTSL - YELLOW"/>
    <n v="20"/>
    <n v="0"/>
    <m/>
    <m/>
    <n v="0"/>
    <n v="26524000032"/>
    <n v="26524000022"/>
    <s v="TPT"/>
    <m/>
    <m/>
    <m/>
    <m/>
    <m/>
    <n v="1"/>
    <e v="#N/A"/>
    <n v="0.3"/>
    <e v="#N/A"/>
    <n v="4"/>
    <n v="0"/>
    <m/>
    <n v="0"/>
    <m/>
    <n v="0"/>
    <m/>
    <n v="0"/>
    <m/>
    <n v="0"/>
    <m/>
    <n v="0"/>
    <s v="FLINTSL"/>
    <n v="25"/>
    <n v="0"/>
    <n v="14.596969696969701"/>
    <n v="0"/>
    <s v="CYAN"/>
    <s v="C01511C"/>
    <s v="FLINTSL - CYAN"/>
    <n v="26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40"/>
    <n v="0"/>
    <n v="1.212121212121211"/>
    <n v="0"/>
    <s v="MAGENTA"/>
    <s v="C01511M"/>
    <s v="FLINTSL - MAGENTA"/>
    <n v="24"/>
    <n v="0"/>
    <m/>
    <m/>
    <n v="0"/>
    <n v="26524000022"/>
    <s v="FMD"/>
    <m/>
    <m/>
    <m/>
    <m/>
    <m/>
    <m/>
    <n v="2"/>
    <e v="#N/A"/>
    <n v="6"/>
    <n v="0"/>
    <m/>
    <n v="0"/>
    <m/>
    <n v="0"/>
    <m/>
    <n v="0"/>
    <m/>
    <n v="0"/>
    <m/>
    <n v="0"/>
    <m/>
    <n v="0"/>
    <s v="FLINTSL"/>
    <n v="30"/>
    <n v="0"/>
    <n v="12.212121212121211"/>
    <n v="0"/>
    <s v="YELLOW"/>
    <s v="C01511Y"/>
    <s v="FLINTSL - YELLOW"/>
    <n v="24"/>
    <n v="0"/>
    <m/>
    <m/>
    <n v="0"/>
    <s v="TPT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27"/>
    <n v="0"/>
    <n v="27.424242424242422"/>
    <n v="0"/>
    <s v="WHITE"/>
    <s v="C01511W"/>
    <s v="FLINTSL - WHITE"/>
    <n v="29"/>
    <n v="0"/>
    <m/>
    <m/>
    <n v="0"/>
    <s v="FW"/>
    <m/>
    <m/>
    <m/>
    <m/>
    <m/>
    <m/>
    <m/>
    <n v="200"/>
    <n v="0"/>
    <m/>
    <n v="0"/>
    <m/>
    <n v="0"/>
    <m/>
    <n v="0"/>
    <m/>
    <n v="0"/>
    <m/>
    <n v="0"/>
    <m/>
    <n v="0"/>
    <m/>
    <n v="0"/>
    <s v="FLINTSL"/>
    <n v="24"/>
    <n v="0"/>
    <n v="450.09090909090912"/>
    <n v="0"/>
    <n v="3"/>
    <n v="5"/>
    <n v="10"/>
    <n v="7"/>
    <n v="5"/>
    <n v="5"/>
    <n v="10"/>
    <n v="120"/>
    <n v="0.8"/>
    <n v="0.2"/>
    <m/>
    <m/>
    <m/>
    <n v="0"/>
    <n v="337"/>
    <n v="0"/>
    <n v="0"/>
    <n v="337"/>
    <n v="337"/>
    <n v="269.60000000000002"/>
    <n v="0"/>
    <n v="67.400000000000006"/>
    <n v="0"/>
    <n v="0"/>
    <n v="0"/>
    <n v="0"/>
    <n v="0"/>
    <n v="0"/>
    <n v="0"/>
    <n v="0"/>
    <n v="0"/>
    <n v="0"/>
    <m/>
    <n v="358.3"/>
    <n v="659.30000000000007"/>
    <n v="185"/>
    <s v="FLINTSLFLINTSLFLINTSLFLINTSLFLINTSLFLINTSLFLINTSLFLINTSL"/>
    <s v="+"/>
    <s v="+"/>
    <s v="+"/>
    <s v="+"/>
    <s v="+"/>
    <s v="+"/>
    <s v="+"/>
    <s v="+"/>
  </r>
  <r>
    <d v="2026-01-24T00:00:00"/>
    <s v="A"/>
    <x v="282"/>
    <n v="186"/>
    <n v="16"/>
    <n v="700"/>
    <s v="II"/>
    <s v="N"/>
    <n v="1.25"/>
    <s v="BLACK"/>
    <s v="H01394B"/>
    <s v="FLINTSL - BLACK"/>
    <n v="24"/>
    <n v="0"/>
    <m/>
    <m/>
    <n v="0"/>
    <n v="26523000002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5"/>
    <n v="0"/>
    <n v="5.4883720930232549"/>
    <n v="0"/>
    <s v="RED"/>
    <s v="E01031R"/>
    <s v="FLINTSL - RED"/>
    <n v="24"/>
    <n v="0"/>
    <m/>
    <m/>
    <n v="0"/>
    <n v="26525000003"/>
    <n v="26524000032"/>
    <n v="26524000006"/>
    <m/>
    <m/>
    <m/>
    <m/>
    <m/>
    <n v="7"/>
    <e v="#N/A"/>
    <n v="2"/>
    <e v="#N/A"/>
    <n v="1"/>
    <e v="#N/A"/>
    <m/>
    <n v="0"/>
    <m/>
    <n v="0"/>
    <m/>
    <n v="0"/>
    <m/>
    <n v="0"/>
    <m/>
    <n v="0"/>
    <s v="FLINTSL"/>
    <n v="30"/>
    <n v="0"/>
    <n v="15.627906976744185"/>
    <n v="0"/>
    <s v="CYAN"/>
    <s v="E01031C"/>
    <s v="FLINTSL - CYAN"/>
    <n v="27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6"/>
    <n v="0"/>
    <n v="7.3255813953488342"/>
    <n v="0"/>
    <s v="MAGENTA"/>
    <s v="E01031M"/>
    <s v="FLINTSL - MAGENTA"/>
    <n v="25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4"/>
    <n v="0"/>
    <n v="6.3255813953488378"/>
    <n v="0"/>
    <s v="YELLOW"/>
    <s v="E01031Y"/>
    <s v="FLINTSL - YELLOW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4"/>
    <n v="0"/>
    <n v="7.6511627906976756"/>
    <n v="0"/>
    <s v="GOLD"/>
    <s v="E01029G"/>
    <s v="INK PRODUCT - GOLD"/>
    <n v="37"/>
    <n v="0"/>
    <m/>
    <m/>
    <n v="0"/>
    <n v="26524000006"/>
    <m/>
    <m/>
    <m/>
    <m/>
    <m/>
    <m/>
    <m/>
    <n v="0.2"/>
    <e v="#N/A"/>
    <m/>
    <n v="0"/>
    <m/>
    <n v="0"/>
    <m/>
    <n v="0"/>
    <m/>
    <n v="0"/>
    <m/>
    <n v="0"/>
    <m/>
    <n v="0"/>
    <m/>
    <n v="0"/>
    <s v="INK PRODUCT"/>
    <n v="35"/>
    <n v="0"/>
    <n v="4.5255813953488371"/>
    <n v="0"/>
    <s v="WHITE"/>
    <s v="E01031W"/>
    <s v="FLINTSL - WHITE"/>
    <n v="32"/>
    <n v="0"/>
    <m/>
    <m/>
    <n v="0"/>
    <s v="FW"/>
    <m/>
    <m/>
    <m/>
    <m/>
    <m/>
    <m/>
    <m/>
    <n v="30"/>
    <n v="0"/>
    <m/>
    <n v="0"/>
    <m/>
    <n v="0"/>
    <m/>
    <n v="0"/>
    <m/>
    <n v="0"/>
    <m/>
    <n v="0"/>
    <m/>
    <n v="0"/>
    <m/>
    <n v="0"/>
    <s v="FLINTSL"/>
    <n v="29"/>
    <n v="0"/>
    <n v="56.25581395348837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10"/>
    <n v="2"/>
    <n v="2"/>
    <n v="4"/>
    <n v="2"/>
    <n v="20"/>
    <n v="0"/>
    <n v="0.8"/>
    <n v="0.2"/>
    <m/>
    <m/>
    <m/>
    <n v="0"/>
    <n v="50"/>
    <n v="0"/>
    <n v="0"/>
    <n v="50"/>
    <n v="50"/>
    <n v="40"/>
    <n v="0"/>
    <n v="10"/>
    <n v="0"/>
    <n v="0"/>
    <n v="0"/>
    <n v="0"/>
    <n v="0"/>
    <n v="0"/>
    <n v="0"/>
    <n v="0"/>
    <n v="0"/>
    <n v="0"/>
    <m/>
    <n v="50.2"/>
    <n v="103.19999999999999"/>
    <n v="186"/>
    <s v="FLINTSLFLINTSLFLINTSLFLINTSLFLINTSLINK PRODUCTFLINTSL"/>
    <s v="+"/>
    <s v="+"/>
    <s v="+"/>
    <s v="+"/>
    <s v="+"/>
    <s v="+"/>
    <s v="+"/>
    <s v="NIL"/>
  </r>
  <r>
    <d v="2026-01-19T00:00:00"/>
    <s v="A"/>
    <x v="283"/>
    <s v="TL95"/>
    <n v="752"/>
    <n v="49000"/>
    <s v="I"/>
    <s v="N"/>
    <n v="1.99"/>
    <s v="BLACK"/>
    <s v="J00979G"/>
    <s v="ToyoLi - BLACK"/>
    <n v="25"/>
    <n v="0"/>
    <m/>
    <m/>
    <n v="0"/>
    <s v="RTMD"/>
    <s v="R1205"/>
    <s v="R92"/>
    <s v="F23T"/>
    <s v="F121"/>
    <m/>
    <m/>
    <m/>
    <n v="5"/>
    <n v="0"/>
    <n v="5"/>
    <n v="0"/>
    <n v="2"/>
    <n v="0"/>
    <n v="3"/>
    <n v="0"/>
    <n v="2"/>
    <n v="0"/>
    <m/>
    <n v="0"/>
    <m/>
    <n v="0"/>
    <m/>
    <n v="0"/>
    <s v="ToyoLi"/>
    <n v="40"/>
    <n v="0"/>
    <n v="23.916666666666664"/>
    <n v="0"/>
    <s v="WHITE"/>
    <m/>
    <s v="ToyoLi - WHITE"/>
    <m/>
    <n v="0"/>
    <m/>
    <m/>
    <n v="0"/>
    <s v="F640"/>
    <m/>
    <m/>
    <m/>
    <m/>
    <m/>
    <m/>
    <m/>
    <n v="220"/>
    <n v="0"/>
    <m/>
    <n v="0"/>
    <m/>
    <n v="0"/>
    <m/>
    <n v="0"/>
    <m/>
    <n v="0"/>
    <m/>
    <n v="0"/>
    <m/>
    <n v="0"/>
    <m/>
    <n v="0"/>
    <s v="ToyoLi"/>
    <n v="25"/>
    <n v="0"/>
    <n v="436.0833333333333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110"/>
    <n v="0"/>
    <n v="0"/>
    <n v="0"/>
    <n v="0"/>
    <n v="0"/>
    <n v="0"/>
    <n v="0.3"/>
    <m/>
    <m/>
    <n v="0.5"/>
    <n v="0.2"/>
    <n v="0"/>
    <n v="263"/>
    <n v="0"/>
    <n v="0"/>
    <n v="263"/>
    <n v="263"/>
    <n v="78.899999999999991"/>
    <n v="0"/>
    <n v="0"/>
    <n v="0"/>
    <n v="0"/>
    <n v="0"/>
    <n v="131.5"/>
    <n v="0"/>
    <n v="52.6"/>
    <n v="0"/>
    <n v="0"/>
    <n v="0"/>
    <n v="0"/>
    <m/>
    <n v="237"/>
    <n v="460"/>
    <s v="TL95"/>
    <s v="ToyoLiToyoLi"/>
    <s v="+"/>
    <s v="+"/>
    <s v="NIL"/>
    <s v="NIL"/>
    <s v="NIL"/>
    <s v="NIL"/>
    <s v="NIL"/>
    <s v="NIL"/>
  </r>
  <r>
    <d v="2026-01-19T00:00:00"/>
    <s v="B"/>
    <x v="284"/>
    <s v="TL96"/>
    <n v="472"/>
    <n v="41400"/>
    <s v="I"/>
    <s v="N"/>
    <n v="2"/>
    <s v="BLACK"/>
    <s v="E01030B"/>
    <s v="ToyoLi - BLACK"/>
    <n v="12"/>
    <n v="0"/>
    <s v="F00812B"/>
    <n v="20"/>
    <n v="0"/>
    <s v="RTMD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8"/>
    <n v="0"/>
    <n v="12.160919540229884"/>
    <n v="0"/>
    <s v="BLACK"/>
    <s v="P00480B"/>
    <s v="ToyoLi - BLACK"/>
    <n v="10"/>
    <n v="0"/>
    <s v="C01485B"/>
    <n v="15"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2.2643678160919549"/>
    <n v="0"/>
    <s v="RED"/>
    <m/>
    <s v="ToyoLi - RED"/>
    <m/>
    <n v="0"/>
    <m/>
    <m/>
    <n v="0"/>
    <s v="F121"/>
    <s v="F53"/>
    <m/>
    <m/>
    <m/>
    <m/>
    <m/>
    <m/>
    <n v="20"/>
    <n v="0"/>
    <n v="20"/>
    <n v="0"/>
    <m/>
    <n v="0"/>
    <m/>
    <n v="0"/>
    <m/>
    <n v="0"/>
    <m/>
    <n v="0"/>
    <m/>
    <n v="0"/>
    <m/>
    <n v="0"/>
    <s v="ToyoLi"/>
    <n v="25"/>
    <n v="0"/>
    <n v="27.643678160919535"/>
    <n v="0"/>
    <s v="MAGENTA"/>
    <s v="B01049M"/>
    <s v="ToyoLi - MAGENTA"/>
    <n v="30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9"/>
    <n v="0"/>
    <n v="4.2643678160919549"/>
    <n v="0"/>
    <s v="ORANGE"/>
    <s v="J00984O"/>
    <s v="ToyoLi - ORANGE"/>
    <n v="10"/>
    <n v="0"/>
    <s v="J00984O"/>
    <n v="10"/>
    <n v="0"/>
    <s v="F53"/>
    <s v="F23T"/>
    <s v="F32"/>
    <m/>
    <m/>
    <m/>
    <m/>
    <m/>
    <n v="5"/>
    <n v="0"/>
    <n v="10"/>
    <n v="0"/>
    <n v="1"/>
    <n v="0"/>
    <m/>
    <n v="0"/>
    <m/>
    <n v="0"/>
    <m/>
    <n v="0"/>
    <m/>
    <n v="0"/>
    <m/>
    <n v="0"/>
    <s v="ToyoLi"/>
    <n v="26"/>
    <n v="0"/>
    <n v="14.425287356321839"/>
    <n v="0"/>
    <s v="YELLOW"/>
    <m/>
    <s v="ToyoLi - YELLOW"/>
    <m/>
    <n v="0"/>
    <m/>
    <m/>
    <n v="0"/>
    <s v="F23T"/>
    <s v="RTMD"/>
    <m/>
    <m/>
    <m/>
    <m/>
    <m/>
    <m/>
    <n v="10"/>
    <n v="0"/>
    <n v="10"/>
    <n v="0"/>
    <m/>
    <n v="0"/>
    <m/>
    <n v="0"/>
    <m/>
    <n v="0"/>
    <m/>
    <n v="0"/>
    <m/>
    <n v="0"/>
    <m/>
    <n v="0"/>
    <s v="ToyoLi"/>
    <n v="30"/>
    <n v="0"/>
    <n v="81.666666666666671"/>
    <n v="0"/>
    <s v="YELLOW"/>
    <s v="N00944Y"/>
    <s v="ToyoLi - YELLOW"/>
    <n v="15"/>
    <n v="0"/>
    <m/>
    <m/>
    <n v="0"/>
    <s v="F23T"/>
    <s v="F53"/>
    <m/>
    <m/>
    <m/>
    <m/>
    <m/>
    <m/>
    <n v="60"/>
    <n v="0"/>
    <n v="5"/>
    <n v="0"/>
    <m/>
    <n v="0"/>
    <m/>
    <n v="0"/>
    <m/>
    <n v="0"/>
    <m/>
    <n v="0"/>
    <m/>
    <n v="0"/>
    <m/>
    <n v="0"/>
    <s v="ToyoLi"/>
    <n v="34"/>
    <n v="0"/>
    <n v="64.965517241379303"/>
    <n v="0"/>
    <s v="WHITE"/>
    <m/>
    <s v="ToyoLi - WHITE"/>
    <m/>
    <n v="0"/>
    <m/>
    <m/>
    <n v="0"/>
    <s v="F640"/>
    <m/>
    <m/>
    <m/>
    <m/>
    <m/>
    <m/>
    <m/>
    <n v="100"/>
    <n v="0"/>
    <m/>
    <n v="0"/>
    <m/>
    <n v="0"/>
    <m/>
    <n v="0"/>
    <m/>
    <n v="0"/>
    <m/>
    <n v="0"/>
    <m/>
    <n v="0"/>
    <m/>
    <n v="0"/>
    <s v="ToyoLi"/>
    <n v="30"/>
    <n v="0"/>
    <n v="101.60919540229884"/>
    <n v="0"/>
    <n v="5"/>
    <n v="2"/>
    <n v="20"/>
    <n v="2"/>
    <n v="7"/>
    <n v="145"/>
    <n v="30"/>
    <n v="50"/>
    <n v="0.3"/>
    <m/>
    <m/>
    <n v="0.5"/>
    <n v="0.2"/>
    <n v="0"/>
    <n v="165"/>
    <n v="0"/>
    <n v="0"/>
    <n v="165"/>
    <n v="165"/>
    <n v="49.5"/>
    <n v="0"/>
    <n v="0"/>
    <n v="0"/>
    <n v="0"/>
    <n v="0"/>
    <n v="82.5"/>
    <n v="0"/>
    <n v="33"/>
    <n v="0"/>
    <n v="0"/>
    <n v="0"/>
    <n v="0"/>
    <m/>
    <n v="250"/>
    <n v="309"/>
    <s v="TL96"/>
    <s v="ToyoLiToyoLiToyoLiToyoLiToyoLiToyoLiToyoLiToyoLi"/>
    <s v="+"/>
    <s v="+"/>
    <s v="+"/>
    <s v="+"/>
    <s v="+"/>
    <s v="+"/>
    <s v="+"/>
    <s v="+"/>
  </r>
  <r>
    <d v="2026-01-20T00:00:00"/>
    <s v="A"/>
    <x v="285"/>
    <s v="TL97"/>
    <n v="80"/>
    <n v="4200"/>
    <s v="I"/>
    <s v="N"/>
    <n v="1.57"/>
    <s v="BLACK"/>
    <s v="P00485B"/>
    <s v="ToyoLi - BLACK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4.0512820512820511"/>
    <n v="0"/>
    <s v="RED"/>
    <s v="P00485R"/>
    <s v="ToyoLi - RED"/>
    <n v="10"/>
    <n v="0"/>
    <s v="J00869R/B01032R"/>
    <n v="16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2.0512820512820511"/>
    <n v="0"/>
    <s v="CYAN"/>
    <s v="B01049C"/>
    <s v="ToyoLi - CYAN"/>
    <n v="3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5"/>
    <n v="0"/>
    <n v="4.0512820512820511"/>
    <n v="0"/>
    <s v="MAGENTA"/>
    <s v="P00485M"/>
    <s v="ToyoLi - MAGENTA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5.0512820512820511"/>
    <n v="0"/>
    <s v="YELLOW"/>
    <s v="P00485Y"/>
    <s v="ToyoLi - YELLOW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0"/>
    <n v="5.0512820512820511"/>
    <n v="0"/>
    <s v="MEDIUM"/>
    <m/>
    <s v="ToyoLi - MEDIUM"/>
    <m/>
    <n v="0"/>
    <m/>
    <m/>
    <n v="0"/>
    <s v="F640"/>
    <s v="RTMD"/>
    <s v="F23T"/>
    <s v="F53"/>
    <m/>
    <m/>
    <m/>
    <m/>
    <n v="15"/>
    <n v="0"/>
    <n v="15"/>
    <n v="0"/>
    <n v="0.3"/>
    <n v="0"/>
    <n v="0.1"/>
    <n v="0"/>
    <m/>
    <n v="0"/>
    <m/>
    <n v="0"/>
    <m/>
    <n v="0"/>
    <m/>
    <n v="0"/>
    <s v="ToyoLi"/>
    <n v="40"/>
    <n v="0"/>
    <n v="4.7589743589743634"/>
    <n v="0"/>
    <s v="WHITE"/>
    <s v="P00485W"/>
    <s v="ToyoLi - WHITE"/>
    <n v="30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30"/>
    <n v="0"/>
    <n v="45.38461538461538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2"/>
    <n v="2"/>
    <n v="14"/>
    <n v="15"/>
    <n v="0"/>
    <n v="0.3"/>
    <m/>
    <m/>
    <n v="0.5"/>
    <n v="0.2"/>
    <n v="0"/>
    <n v="40"/>
    <n v="0"/>
    <n v="0"/>
    <n v="40"/>
    <n v="40"/>
    <n v="12"/>
    <n v="0"/>
    <n v="0"/>
    <n v="0"/>
    <n v="0"/>
    <n v="0"/>
    <n v="20"/>
    <n v="0"/>
    <n v="8"/>
    <n v="0"/>
    <n v="0"/>
    <n v="0"/>
    <n v="0"/>
    <m/>
    <n v="60.400000000000006"/>
    <n v="70.400000000000006"/>
    <s v="TL97"/>
    <s v="ToyoLiToyoLiToyoLiToyoLiToyoLiToyoLiToyoLi"/>
    <s v="+"/>
    <s v="+"/>
    <s v="+"/>
    <s v="+"/>
    <s v="+"/>
    <s v="+"/>
    <s v="+"/>
    <s v="NIL"/>
  </r>
  <r>
    <d v="2026-01-20T00:00:00"/>
    <s v="A"/>
    <x v="286"/>
    <s v="TL98"/>
    <n v="213"/>
    <n v="16300"/>
    <s v="I"/>
    <s v="N"/>
    <n v="1.96"/>
    <s v="BLACK"/>
    <s v="J00995B"/>
    <s v="ToyoLi - BLACK"/>
    <n v="26"/>
    <n v="0"/>
    <m/>
    <m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8"/>
    <n v="0"/>
    <n v="9.5217391304347814"/>
    <n v="0"/>
    <s v="REFLEX BLUE"/>
    <s v="N00797B"/>
    <s v="ToyoLi - REFLEX BLUE"/>
    <n v="16"/>
    <n v="0"/>
    <m/>
    <m/>
    <n v="0"/>
    <s v="R1205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0"/>
    <n v="0"/>
    <n v="5.891304347826086"/>
    <n v="0"/>
    <s v="RED"/>
    <s v="P00485R"/>
    <s v="ToyoLi - RED"/>
    <n v="15"/>
    <n v="0"/>
    <m/>
    <m/>
    <n v="0"/>
    <s v="F121"/>
    <s v="F32"/>
    <s v="F53"/>
    <m/>
    <m/>
    <m/>
    <m/>
    <m/>
    <n v="10"/>
    <n v="0"/>
    <n v="5"/>
    <n v="0"/>
    <n v="6"/>
    <n v="0"/>
    <m/>
    <n v="0"/>
    <m/>
    <n v="0"/>
    <m/>
    <n v="0"/>
    <m/>
    <n v="0"/>
    <m/>
    <n v="0"/>
    <s v="ToyoLi"/>
    <n v="25"/>
    <n v="0"/>
    <n v="20.782608695652172"/>
    <n v="0"/>
    <s v="BLACK"/>
    <m/>
    <s v="ToyoLi - BLACK"/>
    <m/>
    <n v="0"/>
    <m/>
    <m/>
    <n v="0"/>
    <s v="RTMD"/>
    <s v="R92"/>
    <m/>
    <m/>
    <m/>
    <m/>
    <m/>
    <m/>
    <n v="20"/>
    <n v="0"/>
    <n v="1"/>
    <n v="0"/>
    <m/>
    <n v="0"/>
    <m/>
    <n v="0"/>
    <m/>
    <n v="0"/>
    <m/>
    <n v="0"/>
    <m/>
    <n v="0"/>
    <m/>
    <n v="0"/>
    <s v="ToyoLi"/>
    <n v="30"/>
    <n v="0"/>
    <n v="2.4130434782608745"/>
    <n v="0"/>
    <s v="CYAN"/>
    <s v="J00995C"/>
    <s v="ToyoLi - CYAN"/>
    <n v="35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2"/>
    <n v="0"/>
    <n v="3"/>
    <n v="0"/>
    <s v="MAGENTA"/>
    <s v="J00995M"/>
    <s v="ToyoLi - MAGENTA"/>
    <n v="26"/>
    <n v="0"/>
    <m/>
    <m/>
    <n v="0"/>
    <s v="F121"/>
    <s v="RTMD"/>
    <m/>
    <m/>
    <m/>
    <m/>
    <m/>
    <m/>
    <n v="4"/>
    <n v="0"/>
    <n v="3"/>
    <n v="0"/>
    <m/>
    <n v="0"/>
    <m/>
    <n v="0"/>
    <m/>
    <n v="0"/>
    <m/>
    <n v="0"/>
    <m/>
    <n v="0"/>
    <m/>
    <n v="0"/>
    <s v="ToyoLi"/>
    <n v="30"/>
    <n v="0"/>
    <n v="9.5217391304347814"/>
    <n v="0"/>
    <s v="YELLOW"/>
    <s v="J00995Y"/>
    <s v="ToyoLi - YELLOW"/>
    <n v="27"/>
    <n v="0"/>
    <m/>
    <m/>
    <n v="0"/>
    <s v="F23T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5"/>
    <n v="0"/>
    <n v="8.2608695652173907"/>
    <n v="0"/>
    <s v="WHITE"/>
    <s v="J00995W"/>
    <s v="ToyoLi - WHITE"/>
    <n v="30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25"/>
    <n v="0"/>
    <n v="77.608695652173907"/>
    <n v="0"/>
    <n v="4"/>
    <n v="3"/>
    <n v="6"/>
    <n v="7"/>
    <n v="0"/>
    <n v="4"/>
    <n v="2"/>
    <n v="20"/>
    <n v="0.3"/>
    <m/>
    <m/>
    <n v="0.5"/>
    <n v="0.2"/>
    <n v="0"/>
    <n v="75"/>
    <n v="0"/>
    <n v="0"/>
    <n v="75"/>
    <n v="75"/>
    <n v="22.5"/>
    <n v="0"/>
    <n v="0"/>
    <n v="0"/>
    <n v="0"/>
    <n v="0"/>
    <n v="37.5"/>
    <n v="0"/>
    <n v="15"/>
    <n v="0"/>
    <n v="0"/>
    <n v="0"/>
    <n v="0"/>
    <m/>
    <n v="102"/>
    <n v="137"/>
    <s v="TL98"/>
    <s v="ToyoLiToyoLiToyoLiToyoLiToyoLiToyoLiToyoLiToyoLi"/>
    <s v="+"/>
    <s v="+"/>
    <s v="+"/>
    <s v="+"/>
    <s v="+"/>
    <s v="+"/>
    <s v="+"/>
    <s v="+"/>
  </r>
  <r>
    <d v="2026-01-20T00:00:00"/>
    <s v="A"/>
    <x v="287"/>
    <s v="TL99"/>
    <n v="180"/>
    <n v="10100"/>
    <s v="I"/>
    <s v="N"/>
    <n v="4.05"/>
    <s v="BLACK"/>
    <s v="J01001B"/>
    <s v="ToyoLi - BLACK"/>
    <n v="28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2"/>
    <n v="0"/>
    <s v="BLACK"/>
    <s v="B01023B"/>
    <s v="ToyoLi - BLACK"/>
    <n v="9"/>
    <n v="0"/>
    <s v="B01033B/C01485B/P00485B"/>
    <n v="64"/>
    <n v="0"/>
    <s v="F121"/>
    <s v="R39"/>
    <s v="R92"/>
    <m/>
    <m/>
    <m/>
    <m/>
    <m/>
    <n v="1"/>
    <n v="0"/>
    <n v="1"/>
    <n v="0"/>
    <n v="1"/>
    <n v="0"/>
    <m/>
    <n v="0"/>
    <m/>
    <n v="0"/>
    <m/>
    <n v="0"/>
    <m/>
    <n v="0"/>
    <m/>
    <n v="0"/>
    <s v="ToyoLi"/>
    <n v="22"/>
    <n v="0"/>
    <n v="54"/>
    <n v="0"/>
    <s v="WHITE"/>
    <s v="J01001W"/>
    <s v="ToyoLi - WHITE"/>
    <n v="25"/>
    <n v="0"/>
    <m/>
    <m/>
    <n v="0"/>
    <s v="F640"/>
    <m/>
    <m/>
    <m/>
    <m/>
    <m/>
    <m/>
    <m/>
    <n v="50"/>
    <n v="0"/>
    <m/>
    <n v="0"/>
    <m/>
    <n v="0"/>
    <m/>
    <n v="0"/>
    <m/>
    <n v="0"/>
    <m/>
    <n v="0"/>
    <m/>
    <n v="0"/>
    <m/>
    <n v="0"/>
    <s v="ToyoLi"/>
    <n v="30"/>
    <n v="0"/>
    <n v="136.2162162162162"/>
    <n v="0"/>
    <s v="MATT"/>
    <s v="J00959M"/>
    <s v="ToyoLi - MATT"/>
    <n v="15"/>
    <n v="0"/>
    <m/>
    <m/>
    <n v="0"/>
    <n v="55"/>
    <s v="NWBBK"/>
    <m/>
    <m/>
    <m/>
    <m/>
    <m/>
    <m/>
    <n v="60"/>
    <n v="0"/>
    <n v="15"/>
    <n v="0"/>
    <m/>
    <n v="0"/>
    <m/>
    <n v="0"/>
    <m/>
    <n v="0"/>
    <m/>
    <n v="0"/>
    <m/>
    <n v="0"/>
    <m/>
    <n v="0"/>
    <s v="ToyoLi"/>
    <n v="25"/>
    <n v="0"/>
    <n v="108.783783783783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0"/>
    <n v="0"/>
    <n v="25"/>
    <n v="12"/>
    <n v="0"/>
    <n v="0"/>
    <n v="0"/>
    <n v="0"/>
    <n v="0.3"/>
    <m/>
    <m/>
    <n v="0.5"/>
    <n v="0.2"/>
    <n v="0"/>
    <n v="135"/>
    <n v="0"/>
    <n v="0"/>
    <n v="135"/>
    <n v="135"/>
    <n v="40.5"/>
    <n v="0"/>
    <n v="0"/>
    <n v="0"/>
    <n v="0"/>
    <n v="0"/>
    <n v="67.5"/>
    <n v="0"/>
    <n v="27"/>
    <n v="0"/>
    <n v="0"/>
    <n v="0"/>
    <n v="0"/>
    <m/>
    <n v="130"/>
    <n v="301"/>
    <s v="TL99"/>
    <s v="ToyoLiToyoLiToyoLiToyoLi"/>
    <s v="+"/>
    <s v="+"/>
    <s v="+"/>
    <s v="+"/>
    <s v="NIL"/>
    <s v="NIL"/>
    <s v="NIL"/>
    <s v="NIL"/>
  </r>
  <r>
    <d v="2026-01-20T00:00:00"/>
    <s v="A"/>
    <x v="288"/>
    <s v="TL100"/>
    <n v="133"/>
    <n v="8400"/>
    <s v="I"/>
    <s v="N"/>
    <n v="3.11"/>
    <s v="BLACK"/>
    <s v="B01038B"/>
    <s v="ToyoLi - BLACK"/>
    <n v="28"/>
    <n v="0"/>
    <s v="B01049B"/>
    <n v="17"/>
    <n v="0"/>
    <s v="R39"/>
    <s v="F23T"/>
    <s v="R92"/>
    <m/>
    <m/>
    <m/>
    <m/>
    <m/>
    <n v="4"/>
    <n v="0"/>
    <n v="2"/>
    <n v="0"/>
    <n v="4"/>
    <n v="0"/>
    <m/>
    <n v="0"/>
    <m/>
    <n v="0"/>
    <m/>
    <n v="0"/>
    <m/>
    <n v="0"/>
    <m/>
    <n v="0"/>
    <s v="ToyoLi"/>
    <n v="40"/>
    <n v="0"/>
    <n v="22.5"/>
    <n v="0"/>
    <s v="REFLEX BLUE"/>
    <s v="J00975B"/>
    <s v="ToyoLi - REFLEX BLUE"/>
    <n v="16"/>
    <n v="0"/>
    <m/>
    <m/>
    <n v="0"/>
    <s v="F121"/>
    <s v="RTMD"/>
    <m/>
    <m/>
    <m/>
    <m/>
    <m/>
    <m/>
    <n v="1"/>
    <n v="0"/>
    <n v="5"/>
    <n v="0"/>
    <m/>
    <n v="0"/>
    <m/>
    <n v="0"/>
    <m/>
    <n v="0"/>
    <m/>
    <n v="0"/>
    <m/>
    <n v="0"/>
    <m/>
    <n v="0"/>
    <s v="ToyoLi"/>
    <n v="31"/>
    <n v="0"/>
    <n v="3.5"/>
    <n v="0"/>
    <s v="GOLD"/>
    <s v="F00848G"/>
    <s v="ToyoLi - GOLD"/>
    <n v="20"/>
    <n v="0"/>
    <m/>
    <m/>
    <n v="0"/>
    <s v="TLSI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6"/>
    <n v="0"/>
    <n v="7.5"/>
    <n v="0"/>
    <s v="SILVER"/>
    <s v="B01048S"/>
    <s v="ToyoLi - SILVER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7"/>
    <n v="0"/>
    <s v="GREEN"/>
    <s v="J00871G"/>
    <s v="ToyoLi - GREEN"/>
    <n v="16"/>
    <n v="0"/>
    <s v="N00826G"/>
    <n v="12"/>
    <n v="0"/>
    <s v="F23T"/>
    <s v="R39"/>
    <m/>
    <m/>
    <m/>
    <m/>
    <m/>
    <m/>
    <n v="3"/>
    <n v="0"/>
    <n v="2"/>
    <n v="0"/>
    <m/>
    <n v="0"/>
    <m/>
    <n v="0"/>
    <m/>
    <n v="0"/>
    <m/>
    <n v="0"/>
    <m/>
    <n v="0"/>
    <m/>
    <n v="0"/>
    <s v="ToyoLi"/>
    <n v="20"/>
    <n v="0"/>
    <n v="18"/>
    <n v="0"/>
    <s v="RED"/>
    <s v="J01001R"/>
    <s v="ToyoLi - RED"/>
    <n v="25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6"/>
    <n v="0"/>
    <n v="7"/>
    <n v="0"/>
    <s v="WHITE"/>
    <s v="B01038W"/>
    <s v="ToyoLi - WHITE"/>
    <n v="30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25"/>
    <n v="0"/>
    <n v="72.5"/>
    <n v="0"/>
    <s v="MATT"/>
    <s v="B01038M"/>
    <s v="ToyoLi - MATT"/>
    <n v="25"/>
    <n v="0"/>
    <m/>
    <m/>
    <n v="0"/>
    <n v="55"/>
    <s v="NWBBK"/>
    <m/>
    <m/>
    <m/>
    <m/>
    <m/>
    <m/>
    <n v="40"/>
    <n v="0"/>
    <n v="10"/>
    <n v="0"/>
    <m/>
    <n v="0"/>
    <m/>
    <n v="0"/>
    <m/>
    <n v="0"/>
    <m/>
    <n v="0"/>
    <m/>
    <n v="0"/>
    <m/>
    <n v="0"/>
    <s v="ToyoLi"/>
    <n v="25"/>
    <n v="0"/>
    <n v="70"/>
    <n v="0"/>
    <n v="3"/>
    <n v="5"/>
    <n v="3"/>
    <n v="2"/>
    <n v="2"/>
    <n v="2"/>
    <n v="15"/>
    <n v="8"/>
    <n v="0.3"/>
    <m/>
    <m/>
    <n v="0.5"/>
    <n v="0.2"/>
    <n v="0"/>
    <n v="100"/>
    <n v="0"/>
    <n v="0"/>
    <n v="100"/>
    <n v="100"/>
    <n v="30"/>
    <n v="0"/>
    <n v="0"/>
    <n v="0"/>
    <n v="0"/>
    <n v="0"/>
    <n v="50"/>
    <n v="0"/>
    <n v="20"/>
    <n v="0"/>
    <n v="0"/>
    <n v="0"/>
    <n v="0"/>
    <m/>
    <n v="110"/>
    <n v="208"/>
    <s v="TL100"/>
    <s v="ToyoLiToyoLiToyoLiToyoLiToyoLiToyoLiToyoLiToyoLi"/>
    <s v="+"/>
    <s v="+"/>
    <s v="+"/>
    <s v="+"/>
    <s v="+"/>
    <s v="+"/>
    <s v="+"/>
    <s v="+"/>
  </r>
  <r>
    <d v="2026-01-20T00:00:00"/>
    <s v="A"/>
    <x v="289"/>
    <s v="TL101"/>
    <n v="187"/>
    <n v="11800"/>
    <s v="I"/>
    <s v="N"/>
    <n v="3.0999999999999996"/>
    <s v="BLACK"/>
    <s v="J00992B"/>
    <s v="ToyoLi - BLACK"/>
    <n v="40"/>
    <n v="0"/>
    <m/>
    <m/>
    <n v="0"/>
    <s v="R92"/>
    <s v="R39"/>
    <m/>
    <m/>
    <m/>
    <m/>
    <m/>
    <m/>
    <n v="5"/>
    <n v="0"/>
    <n v="1"/>
    <n v="0"/>
    <m/>
    <n v="0"/>
    <m/>
    <n v="0"/>
    <m/>
    <n v="0"/>
    <m/>
    <n v="0"/>
    <m/>
    <n v="0"/>
    <m/>
    <n v="0"/>
    <s v="ToyoLi"/>
    <n v="20"/>
    <n v="0"/>
    <n v="34.235294117647058"/>
    <n v="0"/>
    <s v="GREEN"/>
    <s v="B01049G"/>
    <s v="ToyoLi - GREEN"/>
    <n v="33"/>
    <n v="0"/>
    <m/>
    <m/>
    <n v="0"/>
    <s v="F23T"/>
    <s v="R39"/>
    <m/>
    <m/>
    <m/>
    <m/>
    <m/>
    <m/>
    <n v="3"/>
    <n v="0"/>
    <n v="1"/>
    <n v="0"/>
    <m/>
    <n v="0"/>
    <m/>
    <n v="0"/>
    <m/>
    <n v="0"/>
    <m/>
    <n v="0"/>
    <m/>
    <n v="0"/>
    <m/>
    <n v="0"/>
    <s v="ToyoLi"/>
    <n v="35"/>
    <n v="0"/>
    <n v="10.235294117647058"/>
    <n v="0"/>
    <s v="GOLD"/>
    <s v="J00992G"/>
    <s v="ToyoLi - GOLD"/>
    <n v="26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0"/>
    <n v="2"/>
    <n v="0"/>
    <s v="SILVER"/>
    <s v="J00992S"/>
    <s v="ToyoLi - SILVER"/>
    <n v="26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0"/>
    <n v="2"/>
    <n v="0"/>
    <s v="GREEN"/>
    <s v="J00992G"/>
    <s v="ToyoLi - GREEN"/>
    <n v="20"/>
    <n v="0"/>
    <m/>
    <m/>
    <n v="0"/>
    <s v="F23T"/>
    <s v="R39"/>
    <m/>
    <m/>
    <m/>
    <m/>
    <m/>
    <m/>
    <n v="2"/>
    <n v="0"/>
    <n v="1"/>
    <n v="0"/>
    <m/>
    <n v="0"/>
    <m/>
    <n v="0"/>
    <m/>
    <n v="0"/>
    <m/>
    <n v="0"/>
    <m/>
    <n v="0"/>
    <m/>
    <n v="0"/>
    <s v="ToyoLi"/>
    <n v="21"/>
    <n v="0"/>
    <n v="2"/>
    <n v="0"/>
    <s v="RED"/>
    <s v="J00992R"/>
    <s v="ToyoLi - RED"/>
    <n v="26"/>
    <n v="0"/>
    <m/>
    <m/>
    <n v="0"/>
    <s v="F53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9.235294117647058"/>
    <n v="0"/>
    <s v="WHITE"/>
    <s v="J00992W"/>
    <s v="ToyoLi - WHITE"/>
    <n v="25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30"/>
    <n v="0"/>
    <n v="117.35294117647061"/>
    <n v="0"/>
    <s v="MATT"/>
    <s v="J00992M"/>
    <s v="ToyoLi - MATT"/>
    <n v="25"/>
    <n v="0"/>
    <s v="F00846M"/>
    <n v="13"/>
    <n v="0"/>
    <n v="55"/>
    <s v="NWBBK"/>
    <m/>
    <m/>
    <m/>
    <m/>
    <m/>
    <m/>
    <n v="40"/>
    <n v="0"/>
    <n v="10"/>
    <n v="0"/>
    <m/>
    <n v="0"/>
    <m/>
    <n v="0"/>
    <m/>
    <n v="0"/>
    <m/>
    <n v="0"/>
    <m/>
    <n v="0"/>
    <m/>
    <n v="0"/>
    <s v="ToyoLi"/>
    <n v="30"/>
    <n v="0"/>
    <n v="90.941176470588232"/>
    <n v="0"/>
    <n v="2"/>
    <n v="2"/>
    <n v="0"/>
    <n v="0"/>
    <n v="0"/>
    <n v="2"/>
    <n v="20"/>
    <n v="8"/>
    <n v="0.3"/>
    <m/>
    <m/>
    <n v="0.5"/>
    <n v="0.2"/>
    <n v="0"/>
    <n v="140"/>
    <n v="0"/>
    <n v="0"/>
    <n v="140"/>
    <n v="140"/>
    <n v="42"/>
    <n v="0"/>
    <n v="0"/>
    <n v="0"/>
    <n v="0"/>
    <n v="0"/>
    <n v="70"/>
    <n v="0"/>
    <n v="28"/>
    <n v="0"/>
    <n v="0"/>
    <n v="0"/>
    <n v="0"/>
    <m/>
    <n v="105"/>
    <n v="268"/>
    <s v="TL101"/>
    <s v="ToyoLiToyoLiToyoLiToyoLiToyoLiToyoLiToyoLiToyoLi"/>
    <s v="+"/>
    <s v="+"/>
    <s v="+"/>
    <s v="+"/>
    <s v="+"/>
    <s v="+"/>
    <s v="+"/>
    <s v="+"/>
  </r>
  <r>
    <d v="2026-01-20T00:00:00"/>
    <s v="A"/>
    <x v="290"/>
    <s v="TL102"/>
    <n v="325"/>
    <n v="20500"/>
    <s v="I"/>
    <s v="N"/>
    <n v="2.5"/>
    <s v="BLACK"/>
    <s v="J00994B"/>
    <s v="ToyoLi - BLACK"/>
    <n v="20"/>
    <n v="0"/>
    <s v="P00435B/J00882B"/>
    <n v="38"/>
    <n v="0"/>
    <s v="R39"/>
    <s v="R92"/>
    <s v="F23T"/>
    <s v="R79"/>
    <m/>
    <m/>
    <m/>
    <m/>
    <n v="4"/>
    <n v="0"/>
    <n v="5"/>
    <n v="0"/>
    <n v="5"/>
    <n v="0"/>
    <n v="1"/>
    <n v="0"/>
    <m/>
    <n v="0"/>
    <m/>
    <n v="0"/>
    <m/>
    <n v="0"/>
    <m/>
    <n v="0"/>
    <s v="ToyoLi"/>
    <n v="29"/>
    <n v="0"/>
    <n v="51.403508771929822"/>
    <n v="0"/>
    <s v="ORANGE"/>
    <s v="N00765O"/>
    <s v="ToyoLi - ORANGE"/>
    <n v="30"/>
    <n v="0"/>
    <m/>
    <m/>
    <n v="0"/>
    <s v="F23T"/>
    <s v="F53"/>
    <s v="RTMD"/>
    <m/>
    <m/>
    <m/>
    <m/>
    <m/>
    <n v="3"/>
    <n v="0"/>
    <n v="2"/>
    <n v="0"/>
    <n v="4"/>
    <n v="0"/>
    <m/>
    <n v="0"/>
    <m/>
    <n v="0"/>
    <m/>
    <n v="0"/>
    <m/>
    <n v="0"/>
    <m/>
    <n v="0"/>
    <s v="ToyoLi"/>
    <n v="31"/>
    <n v="0"/>
    <n v="19.10526315789474"/>
    <n v="0"/>
    <s v="GOLD"/>
    <s v="J00994G"/>
    <s v="ToyoLi - GOLD"/>
    <n v="24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0"/>
    <n v="1.4035087719298254"/>
    <n v="0"/>
    <s v="SILVER"/>
    <s v="J00994S"/>
    <s v="ToyoLi - SILVER"/>
    <n v="24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9"/>
    <n v="0"/>
    <n v="2.4035087719298254"/>
    <n v="0"/>
    <s v="GREEN"/>
    <s v="J00994G"/>
    <s v="ToyoLi - GREEN"/>
    <n v="21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0"/>
    <n v="12.10526315789474"/>
    <n v="0"/>
    <s v="RED"/>
    <s v="J00994R"/>
    <s v="ToyoLi - RED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0"/>
    <n v="9.4035087719298218"/>
    <n v="0"/>
    <s v="WHITE"/>
    <s v="J00994W"/>
    <s v="ToyoLi - WHITE"/>
    <n v="30"/>
    <n v="0"/>
    <m/>
    <m/>
    <n v="0"/>
    <s v="F640"/>
    <m/>
    <m/>
    <m/>
    <m/>
    <m/>
    <m/>
    <m/>
    <n v="60"/>
    <n v="0"/>
    <m/>
    <n v="0"/>
    <m/>
    <n v="0"/>
    <m/>
    <n v="0"/>
    <m/>
    <n v="0"/>
    <m/>
    <n v="0"/>
    <m/>
    <n v="0"/>
    <m/>
    <n v="0"/>
    <s v="ToyoLi"/>
    <n v="25"/>
    <n v="0"/>
    <n v="176.05263157894734"/>
    <n v="0"/>
    <s v="MATT"/>
    <s v="J00994M"/>
    <s v="ToyoLi - MATT"/>
    <n v="30"/>
    <n v="0"/>
    <m/>
    <m/>
    <n v="0"/>
    <n v="55"/>
    <s v="NWBBK"/>
    <m/>
    <m/>
    <m/>
    <m/>
    <m/>
    <m/>
    <n v="60"/>
    <n v="0"/>
    <n v="15"/>
    <n v="0"/>
    <m/>
    <n v="0"/>
    <m/>
    <n v="0"/>
    <m/>
    <n v="0"/>
    <m/>
    <n v="0"/>
    <m/>
    <n v="0"/>
    <m/>
    <n v="0"/>
    <s v="ToyoLi"/>
    <n v="40"/>
    <n v="0"/>
    <n v="113.12280701754386"/>
    <n v="0"/>
    <n v="2"/>
    <n v="3"/>
    <n v="2"/>
    <n v="2"/>
    <n v="3"/>
    <n v="2"/>
    <n v="30"/>
    <n v="13"/>
    <n v="0.3"/>
    <m/>
    <m/>
    <n v="0.5"/>
    <n v="0.2"/>
    <n v="0"/>
    <n v="211"/>
    <n v="0"/>
    <n v="0"/>
    <n v="211"/>
    <n v="211"/>
    <n v="63.3"/>
    <n v="0"/>
    <n v="0"/>
    <n v="0"/>
    <n v="0"/>
    <n v="0"/>
    <n v="105.5"/>
    <n v="0"/>
    <n v="42.2"/>
    <n v="0"/>
    <n v="0"/>
    <n v="0"/>
    <n v="0"/>
    <m/>
    <n v="159"/>
    <n v="385"/>
    <s v="TL102"/>
    <s v="ToyoLiToyoLiToyoLiToyoLiToyoLiToyoLiToyoLiToyoLi"/>
    <s v="+"/>
    <s v="+"/>
    <s v="+"/>
    <s v="+"/>
    <s v="+"/>
    <s v="+"/>
    <s v="+"/>
    <s v="+"/>
  </r>
  <r>
    <d v="2026-01-20T00:00:00"/>
    <s v="B"/>
    <x v="291"/>
    <s v="TL103"/>
    <n v="761"/>
    <n v="55400"/>
    <s v="I"/>
    <s v="N"/>
    <n v="1.7"/>
    <s v="BLACK"/>
    <s v="C01492B"/>
    <s v="ToyoLi - BLACK"/>
    <n v="20"/>
    <n v="0"/>
    <m/>
    <m/>
    <n v="0"/>
    <s v="R92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30"/>
    <n v="0"/>
    <n v="25.825242718446603"/>
    <n v="0"/>
    <s v="RED"/>
    <s v="J00991R"/>
    <s v="ToyoLi - RED"/>
    <n v="25"/>
    <n v="0"/>
    <m/>
    <m/>
    <n v="0"/>
    <s v="F53"/>
    <s v="F121"/>
    <m/>
    <m/>
    <m/>
    <m/>
    <m/>
    <m/>
    <n v="5"/>
    <n v="0"/>
    <n v="5"/>
    <n v="0"/>
    <m/>
    <n v="0"/>
    <m/>
    <n v="0"/>
    <m/>
    <n v="0"/>
    <m/>
    <n v="0"/>
    <m/>
    <n v="0"/>
    <m/>
    <n v="0"/>
    <s v="ToyoLi"/>
    <n v="38"/>
    <n v="0"/>
    <n v="9.9126213592233015"/>
    <n v="0"/>
    <s v="GREEN"/>
    <s v="P00480G"/>
    <s v="ToyoLi - GREEN"/>
    <n v="20"/>
    <n v="0"/>
    <s v="J00871G"/>
    <n v="15"/>
    <n v="0"/>
    <s v="R79"/>
    <s v="F23T"/>
    <m/>
    <m/>
    <m/>
    <m/>
    <m/>
    <m/>
    <n v="1"/>
    <n v="0"/>
    <n v="2"/>
    <n v="0"/>
    <m/>
    <n v="0"/>
    <m/>
    <n v="0"/>
    <m/>
    <n v="0"/>
    <m/>
    <n v="0"/>
    <m/>
    <n v="0"/>
    <m/>
    <n v="0"/>
    <s v="ToyoLi"/>
    <n v="28"/>
    <n v="0"/>
    <n v="15.165048543689323"/>
    <n v="0"/>
    <s v="MEDIUM"/>
    <s v="J00995M"/>
    <s v="ToyoLi - MEDIUM"/>
    <n v="40"/>
    <n v="0"/>
    <s v="P00408M"/>
    <n v="14"/>
    <n v="0"/>
    <s v="F640"/>
    <s v="F23T"/>
    <s v="F53"/>
    <m/>
    <m/>
    <m/>
    <m/>
    <m/>
    <n v="30"/>
    <n v="0"/>
    <n v="0.5"/>
    <n v="0"/>
    <n v="0.2"/>
    <n v="0"/>
    <m/>
    <n v="0"/>
    <m/>
    <n v="0"/>
    <m/>
    <n v="0"/>
    <m/>
    <n v="0"/>
    <m/>
    <n v="0"/>
    <s v="ToyoLi"/>
    <n v="18"/>
    <n v="0"/>
    <n v="118.35048543689322"/>
    <n v="0"/>
    <s v="CYAN"/>
    <s v="J01001C"/>
    <s v="ToyoLi - CYAN"/>
    <n v="32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9"/>
    <n v="0"/>
    <n v="10.165048543689323"/>
    <n v="0"/>
    <s v="MAGENTA"/>
    <s v="J01001M"/>
    <s v="ToyoLi - MAGENTA"/>
    <n v="30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7"/>
    <n v="0"/>
    <n v="11.165048543689323"/>
    <n v="0"/>
    <s v="YELLOW"/>
    <s v="J01001Y"/>
    <s v="ToyoLi - YELLOW"/>
    <n v="25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5"/>
    <n v="0"/>
    <n v="10.165048543689323"/>
    <n v="0"/>
    <s v="WHITE"/>
    <s v="J00991W"/>
    <s v="ToyoLi - WHITE"/>
    <n v="25"/>
    <n v="0"/>
    <m/>
    <m/>
    <n v="0"/>
    <s v="F640"/>
    <s v="HSLAS"/>
    <m/>
    <m/>
    <m/>
    <m/>
    <m/>
    <m/>
    <n v="160"/>
    <n v="0"/>
    <n v="9.81"/>
    <n v="0"/>
    <m/>
    <n v="0"/>
    <m/>
    <n v="0"/>
    <m/>
    <n v="0"/>
    <m/>
    <n v="0"/>
    <m/>
    <n v="0"/>
    <m/>
    <n v="0"/>
    <s v="ToyoLi"/>
    <n v="20"/>
    <n v="0"/>
    <n v="329.76145631067959"/>
    <n v="0"/>
    <n v="10"/>
    <n v="5"/>
    <n v="2"/>
    <n v="20"/>
    <n v="2"/>
    <n v="2"/>
    <n v="2"/>
    <n v="60"/>
    <n v="0.3"/>
    <m/>
    <m/>
    <n v="0.5"/>
    <n v="0.2"/>
    <n v="0"/>
    <n v="266"/>
    <n v="0"/>
    <n v="0"/>
    <n v="266"/>
    <n v="266"/>
    <n v="79.8"/>
    <n v="0"/>
    <n v="0"/>
    <n v="0"/>
    <n v="0"/>
    <n v="0"/>
    <n v="133"/>
    <n v="0"/>
    <n v="53.2"/>
    <n v="0"/>
    <n v="0"/>
    <n v="0"/>
    <n v="0"/>
    <m/>
    <n v="233.51"/>
    <n v="530.51"/>
    <s v="TL103"/>
    <s v="ToyoLiToyoLiToyoLiToyoLiToyoLiToyoLiToyoLiToyoLi"/>
    <s v="+"/>
    <s v="+"/>
    <s v="+"/>
    <s v="+"/>
    <s v="+"/>
    <s v="+"/>
    <s v="+"/>
    <s v="+"/>
  </r>
  <r>
    <d v="2026-01-20T00:00:00"/>
    <s v="B"/>
    <x v="292"/>
    <s v="TL104"/>
    <n v="383"/>
    <n v="23900"/>
    <s v="I"/>
    <s v="N"/>
    <n v="1.8"/>
    <s v="BLACK"/>
    <s v="N00989B"/>
    <s v="ToyoLi - BLACK"/>
    <n v="30"/>
    <n v="0"/>
    <m/>
    <m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0"/>
    <n v="0"/>
    <n v="9.2765957446808471"/>
    <n v="0"/>
    <s v="REFLEX BLUE"/>
    <s v="J00975P"/>
    <s v="ToyoLi - REFLEX BLUE"/>
    <n v="17"/>
    <n v="0"/>
    <m/>
    <m/>
    <n v="0"/>
    <s v="Z822"/>
    <s v="F121"/>
    <s v="RTMD"/>
    <m/>
    <m/>
    <m/>
    <m/>
    <m/>
    <n v="5"/>
    <n v="0"/>
    <n v="3"/>
    <n v="0"/>
    <n v="5"/>
    <n v="0"/>
    <m/>
    <n v="0"/>
    <m/>
    <n v="0"/>
    <m/>
    <n v="0"/>
    <m/>
    <n v="0"/>
    <m/>
    <n v="0"/>
    <s v="ToyoLi"/>
    <n v="28"/>
    <n v="0"/>
    <n v="4.8510638297872362"/>
    <n v="0"/>
    <s v="CYAN"/>
    <s v="N00989C"/>
    <s v="ToyoLi - CYAN"/>
    <n v="29"/>
    <n v="0"/>
    <m/>
    <m/>
    <n v="0"/>
    <s v="R39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5"/>
    <n v="0"/>
    <n v="7.8510638297872362"/>
    <n v="0"/>
    <s v="RED"/>
    <m/>
    <s v="ToyoLi - RED"/>
    <m/>
    <n v="0"/>
    <m/>
    <m/>
    <n v="0"/>
    <s v="F121"/>
    <s v="F53"/>
    <m/>
    <m/>
    <m/>
    <m/>
    <m/>
    <m/>
    <n v="20"/>
    <n v="0"/>
    <n v="30"/>
    <n v="0"/>
    <m/>
    <n v="0"/>
    <m/>
    <n v="0"/>
    <m/>
    <n v="0"/>
    <m/>
    <n v="0"/>
    <m/>
    <n v="0"/>
    <m/>
    <n v="0"/>
    <s v="ToyoLi"/>
    <n v="46"/>
    <n v="0"/>
    <n v="32.510638297872333"/>
    <n v="0"/>
    <s v="YELLOW"/>
    <s v="N00989Y"/>
    <s v="ToyoLi - YELLOW"/>
    <n v="25"/>
    <n v="0"/>
    <m/>
    <m/>
    <n v="0"/>
    <s v="F23T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6"/>
    <n v="0"/>
    <n v="4.8510638297872326"/>
    <n v="0"/>
    <s v="BLACK"/>
    <m/>
    <s v="ToyoLi - BLACK"/>
    <m/>
    <n v="0"/>
    <m/>
    <m/>
    <n v="0"/>
    <s v="F640"/>
    <s v="R92"/>
    <s v="RTMD"/>
    <m/>
    <m/>
    <m/>
    <m/>
    <m/>
    <n v="40"/>
    <n v="0"/>
    <n v="2"/>
    <n v="0"/>
    <n v="15"/>
    <n v="0"/>
    <m/>
    <n v="0"/>
    <m/>
    <n v="0"/>
    <m/>
    <n v="0"/>
    <m/>
    <n v="0"/>
    <m/>
    <n v="0"/>
    <s v="ToyoLi"/>
    <n v="35"/>
    <n v="0"/>
    <n v="64.765957446808514"/>
    <n v="0"/>
    <s v="WHITE"/>
    <s v="N00989W"/>
    <s v="ToyoLi - WHITE"/>
    <n v="20"/>
    <n v="0"/>
    <m/>
    <m/>
    <n v="0"/>
    <s v="F640"/>
    <s v="HSLAS"/>
    <m/>
    <m/>
    <m/>
    <m/>
    <m/>
    <m/>
    <n v="50"/>
    <n v="0"/>
    <n v="7.18"/>
    <n v="0"/>
    <m/>
    <n v="0"/>
    <m/>
    <n v="0"/>
    <m/>
    <n v="0"/>
    <m/>
    <n v="0"/>
    <m/>
    <n v="0"/>
    <m/>
    <n v="0"/>
    <s v="ToyoLi"/>
    <n v="30"/>
    <n v="0"/>
    <n v="97.0736170212765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2"/>
    <n v="2"/>
    <n v="20"/>
    <n v="2"/>
    <n v="30"/>
    <n v="35"/>
    <n v="0"/>
    <n v="0.3"/>
    <m/>
    <m/>
    <n v="0.5"/>
    <n v="0.2"/>
    <n v="0"/>
    <n v="134"/>
    <n v="0"/>
    <n v="0"/>
    <n v="134"/>
    <n v="134"/>
    <n v="40.199999999999996"/>
    <n v="0"/>
    <n v="0"/>
    <n v="0"/>
    <n v="0"/>
    <n v="0"/>
    <n v="67"/>
    <n v="0"/>
    <n v="26.8"/>
    <n v="0"/>
    <n v="0"/>
    <n v="0"/>
    <n v="0"/>
    <m/>
    <n v="186.18"/>
    <n v="221.18"/>
    <s v="TL104"/>
    <s v="ToyoLiToyoLiToyoLiToyoLiToyoLiToyoLiToyoLi"/>
    <s v="+"/>
    <s v="+"/>
    <s v="+"/>
    <s v="+"/>
    <s v="+"/>
    <s v="+"/>
    <s v="+"/>
    <s v="NIL"/>
  </r>
  <r>
    <d v="2026-01-20T00:00:00"/>
    <s v="B"/>
    <x v="293"/>
    <s v="TL105"/>
    <n v="73"/>
    <n v="4200"/>
    <s v="I"/>
    <s v="N"/>
    <n v="2.1"/>
    <s v="BLACK"/>
    <s v="B00974B"/>
    <s v="ToyoLi - BLACK"/>
    <n v="15"/>
    <n v="0"/>
    <m/>
    <m/>
    <n v="0"/>
    <s v="RTMD"/>
    <s v="R92"/>
    <m/>
    <m/>
    <m/>
    <m/>
    <m/>
    <m/>
    <n v="4"/>
    <n v="0"/>
    <n v="5"/>
    <n v="0"/>
    <m/>
    <n v="0"/>
    <m/>
    <n v="0"/>
    <m/>
    <n v="0"/>
    <m/>
    <n v="0"/>
    <m/>
    <n v="0"/>
    <m/>
    <n v="0"/>
    <s v="ToyoLi"/>
    <n v="25"/>
    <n v="0"/>
    <n v="3.2285714285714278"/>
    <n v="0"/>
    <s v="BLACK"/>
    <s v="B00974B"/>
    <s v="ToyoLi - BLACK"/>
    <n v="15"/>
    <n v="0"/>
    <m/>
    <m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0"/>
    <n v="0"/>
    <n v="3.1714285714285708"/>
    <n v="0"/>
    <s v="GOLD"/>
    <s v="N00878G"/>
    <s v="ToyoLi - GOLD"/>
    <n v="20"/>
    <n v="0"/>
    <s v="F00851G"/>
    <n v="2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0"/>
    <n v="15.114285714285714"/>
    <n v="0"/>
    <s v="CYAN"/>
    <s v="N00974C"/>
    <s v="ToyoLi - CYAN"/>
    <n v="25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2.0571428571428569"/>
    <n v="0"/>
    <s v="MAGENTA"/>
    <s v="N00989M"/>
    <s v="ToyoLi - MAGENTA"/>
    <n v="27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4.1142857142857139"/>
    <n v="0"/>
    <s v="YELLOW"/>
    <s v="N00974Y"/>
    <s v="ToyoLi - YELLOW"/>
    <n v="26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9"/>
    <n v="0"/>
    <n v="2.1714285714285708"/>
    <n v="0"/>
    <s v="MEDIUM"/>
    <s v="N00989M"/>
    <s v="ToyoLi - MEDIUM"/>
    <n v="18"/>
    <n v="0"/>
    <m/>
    <m/>
    <n v="0"/>
    <s v="F640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20"/>
    <n v="0"/>
    <n v="18.571428571428569"/>
    <n v="0"/>
    <s v="WHITE"/>
    <s v="N00974W"/>
    <s v="ToyoLi - WHITE"/>
    <n v="30"/>
    <n v="0"/>
    <m/>
    <m/>
    <n v="0"/>
    <s v="F640"/>
    <s v="HSLAS"/>
    <m/>
    <m/>
    <m/>
    <m/>
    <m/>
    <m/>
    <n v="20"/>
    <n v="0"/>
    <n v="4.4400000000000004"/>
    <n v="0"/>
    <m/>
    <n v="0"/>
    <m/>
    <n v="0"/>
    <m/>
    <n v="0"/>
    <m/>
    <n v="0"/>
    <m/>
    <n v="0"/>
    <m/>
    <n v="0"/>
    <s v="ToyoLi"/>
    <n v="30"/>
    <n v="0"/>
    <n v="35.011428571428567"/>
    <n v="0"/>
    <n v="4"/>
    <n v="3"/>
    <n v="2"/>
    <n v="1"/>
    <n v="2"/>
    <n v="3"/>
    <n v="10"/>
    <n v="10"/>
    <n v="0.3"/>
    <m/>
    <m/>
    <n v="0.5"/>
    <n v="0.2"/>
    <n v="0"/>
    <n v="37"/>
    <n v="0"/>
    <n v="0"/>
    <n v="37"/>
    <n v="37"/>
    <n v="11.1"/>
    <n v="0"/>
    <n v="0"/>
    <n v="0"/>
    <n v="0"/>
    <n v="0"/>
    <n v="18.5"/>
    <n v="0"/>
    <n v="7.4"/>
    <n v="0"/>
    <n v="0"/>
    <n v="0"/>
    <n v="0"/>
    <m/>
    <n v="54.44"/>
    <n v="83.44"/>
    <s v="TL105"/>
    <s v="ToyoLiToyoLiToyoLiToyoLiToyoLiToyoLiToyoLiToyoLi"/>
    <s v="+"/>
    <s v="+"/>
    <s v="+"/>
    <s v="+"/>
    <s v="+"/>
    <s v="+"/>
    <s v="+"/>
    <s v="+"/>
  </r>
  <r>
    <d v="2026-01-21T00:00:00"/>
    <s v="A"/>
    <x v="294"/>
    <s v="TL106"/>
    <n v="1521"/>
    <n v="88800"/>
    <s v="I"/>
    <s v="N"/>
    <n v="1.56"/>
    <s v="BLACK"/>
    <s v="F00882B"/>
    <s v="ToyoLi - BLACK"/>
    <n v="25"/>
    <n v="0"/>
    <m/>
    <m/>
    <n v="0"/>
    <s v="R92"/>
    <m/>
    <m/>
    <m/>
    <m/>
    <m/>
    <m/>
    <m/>
    <n v="15"/>
    <n v="0"/>
    <m/>
    <n v="0"/>
    <m/>
    <n v="0"/>
    <m/>
    <n v="0"/>
    <m/>
    <n v="0"/>
    <m/>
    <n v="0"/>
    <m/>
    <n v="0"/>
    <m/>
    <n v="0"/>
    <s v="ToyoLi"/>
    <n v="28"/>
    <n v="0"/>
    <n v="16.903225806451616"/>
    <n v="0"/>
    <s v="REFLEX BLUE"/>
    <s v="J01001B"/>
    <s v="ToyoLi - REFLEX BLUE"/>
    <n v="20"/>
    <n v="0"/>
    <s v="P00456B"/>
    <n v="20"/>
    <n v="0"/>
    <s v="R1205"/>
    <s v="F121"/>
    <s v="R92"/>
    <m/>
    <m/>
    <m/>
    <m/>
    <m/>
    <n v="35"/>
    <n v="0"/>
    <n v="15"/>
    <n v="0"/>
    <n v="1.5"/>
    <n v="0"/>
    <m/>
    <n v="0"/>
    <m/>
    <n v="0"/>
    <m/>
    <n v="0"/>
    <m/>
    <n v="0"/>
    <m/>
    <n v="0"/>
    <s v="ToyoLi"/>
    <n v="40"/>
    <n v="0"/>
    <n v="71.112903225806448"/>
    <n v="0"/>
    <s v="REFLEX BLUE"/>
    <s v="J00992B"/>
    <s v="ToyoLi - REFLEX BLUE"/>
    <n v="15"/>
    <n v="0"/>
    <s v="C01088B"/>
    <n v="14"/>
    <n v="0"/>
    <s v="R39"/>
    <s v="R79"/>
    <s v="RTMD"/>
    <m/>
    <m/>
    <m/>
    <m/>
    <m/>
    <n v="3"/>
    <n v="0"/>
    <n v="1"/>
    <n v="0"/>
    <n v="2"/>
    <n v="0"/>
    <m/>
    <n v="0"/>
    <m/>
    <n v="0"/>
    <m/>
    <n v="0"/>
    <m/>
    <n v="0"/>
    <m/>
    <n v="0"/>
    <s v="ToyoLi"/>
    <n v="32"/>
    <n v="0"/>
    <n v="7.9032258064516157"/>
    <n v="0"/>
    <s v="YELLOW"/>
    <s v="P00485Y"/>
    <s v="ToyoLi - YELLOW"/>
    <n v="30"/>
    <n v="0"/>
    <s v="P00485Y"/>
    <n v="13"/>
    <n v="0"/>
    <s v="F53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30"/>
    <n v="0"/>
    <n v="18.903225806451616"/>
    <n v="0"/>
    <s v="CYAN"/>
    <s v="F00882C"/>
    <s v="ToyoLi - CYAN"/>
    <n v="26"/>
    <n v="0"/>
    <m/>
    <m/>
    <n v="0"/>
    <s v="R39"/>
    <m/>
    <m/>
    <m/>
    <m/>
    <m/>
    <m/>
    <m/>
    <n v="8"/>
    <n v="0"/>
    <m/>
    <n v="0"/>
    <m/>
    <n v="0"/>
    <m/>
    <n v="0"/>
    <m/>
    <n v="0"/>
    <m/>
    <n v="0"/>
    <m/>
    <n v="0"/>
    <m/>
    <n v="0"/>
    <s v="ToyoLi"/>
    <n v="27"/>
    <n v="0"/>
    <n v="24.161290322580641"/>
    <n v="0"/>
    <s v="MAGENTA"/>
    <s v="F00882M"/>
    <s v="ToyoLi - MAGENTA"/>
    <n v="27"/>
    <n v="0"/>
    <m/>
    <m/>
    <n v="0"/>
    <s v="F121"/>
    <s v="RTMD"/>
    <m/>
    <m/>
    <m/>
    <m/>
    <m/>
    <m/>
    <n v="7"/>
    <n v="0"/>
    <n v="2"/>
    <n v="0"/>
    <m/>
    <n v="0"/>
    <m/>
    <n v="0"/>
    <m/>
    <n v="0"/>
    <m/>
    <n v="0"/>
    <m/>
    <n v="0"/>
    <m/>
    <n v="0"/>
    <s v="ToyoLi"/>
    <n v="28"/>
    <n v="0"/>
    <n v="17.806451612903224"/>
    <n v="0"/>
    <s v="YELLOW"/>
    <s v="F00882Y"/>
    <s v="ToyoLi - YELLOW"/>
    <n v="29"/>
    <n v="0"/>
    <m/>
    <m/>
    <n v="0"/>
    <s v="F23T"/>
    <s v="RTMD"/>
    <m/>
    <m/>
    <m/>
    <m/>
    <m/>
    <m/>
    <n v="33"/>
    <n v="0"/>
    <n v="5"/>
    <n v="0"/>
    <m/>
    <n v="0"/>
    <m/>
    <n v="0"/>
    <m/>
    <n v="0"/>
    <m/>
    <n v="0"/>
    <m/>
    <n v="0"/>
    <m/>
    <n v="0"/>
    <s v="ToyoLi"/>
    <n v="28"/>
    <n v="0"/>
    <n v="68.41935483870968"/>
    <n v="0"/>
    <s v="WHITE"/>
    <s v="F00882W"/>
    <s v="ToyoLi - WHITE"/>
    <n v="30"/>
    <n v="0"/>
    <m/>
    <m/>
    <n v="0"/>
    <s v="F640"/>
    <s v="HSLAS"/>
    <m/>
    <m/>
    <m/>
    <m/>
    <m/>
    <m/>
    <n v="300"/>
    <n v="0"/>
    <n v="16.600000000000001"/>
    <n v="0"/>
    <m/>
    <n v="0"/>
    <m/>
    <n v="0"/>
    <m/>
    <n v="0"/>
    <m/>
    <n v="0"/>
    <m/>
    <n v="0"/>
    <m/>
    <n v="0"/>
    <s v="ToyoLi"/>
    <n v="30"/>
    <n v="0"/>
    <n v="757.89032258064515"/>
    <n v="0"/>
    <n v="2"/>
    <n v="8"/>
    <n v="2"/>
    <n v="2"/>
    <n v="7"/>
    <n v="4"/>
    <n v="12"/>
    <n v="180"/>
    <n v="0.3"/>
    <m/>
    <m/>
    <n v="0.5"/>
    <n v="0.2"/>
    <n v="0"/>
    <n v="532"/>
    <n v="0"/>
    <n v="0"/>
    <n v="532"/>
    <n v="532"/>
    <n v="159.6"/>
    <n v="0"/>
    <n v="0"/>
    <n v="0"/>
    <n v="0"/>
    <n v="0"/>
    <n v="266"/>
    <n v="0"/>
    <n v="106.4"/>
    <n v="0"/>
    <n v="0"/>
    <n v="0"/>
    <n v="0"/>
    <m/>
    <n v="445.1"/>
    <n v="983.1"/>
    <s v="TL106"/>
    <s v="ToyoLiToyoLiToyoLiToyoLiToyoLiToyoLiToyoLiToyoLi"/>
    <s v="+"/>
    <s v="+"/>
    <s v="+"/>
    <s v="+"/>
    <s v="+"/>
    <s v="+"/>
    <s v="+"/>
    <s v="+"/>
  </r>
  <r>
    <d v="2026-01-21T00:00:00"/>
    <s v="A"/>
    <x v="295"/>
    <s v="TL107"/>
    <n v="77"/>
    <n v="6200"/>
    <s v="I"/>
    <s v="N"/>
    <n v="0.88"/>
    <s v="BLACK"/>
    <s v="B01068B"/>
    <s v="ToyoLi - BLACK"/>
    <n v="28"/>
    <n v="0"/>
    <m/>
    <m/>
    <n v="0"/>
    <s v="R92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30"/>
    <n v="0"/>
    <n v="7.1666666666666643"/>
    <n v="0"/>
    <s v="BLACK"/>
    <s v="P00485B"/>
    <s v="ToyoLi - BLACK"/>
    <n v="21"/>
    <n v="0"/>
    <m/>
    <m/>
    <n v="0"/>
    <s v="F53"/>
    <s v="F121"/>
    <s v="R92"/>
    <m/>
    <m/>
    <m/>
    <m/>
    <m/>
    <n v="5"/>
    <n v="0"/>
    <n v="2"/>
    <n v="0"/>
    <n v="3"/>
    <n v="0"/>
    <m/>
    <n v="0"/>
    <m/>
    <n v="0"/>
    <m/>
    <n v="0"/>
    <m/>
    <n v="0"/>
    <m/>
    <n v="0"/>
    <s v="ToyoLi"/>
    <n v="25"/>
    <n v="0"/>
    <n v="16.333333333333329"/>
    <n v="0"/>
    <s v="CYAN"/>
    <s v="B01068C"/>
    <s v="ToyoLi - CYAN"/>
    <n v="27"/>
    <n v="0"/>
    <m/>
    <m/>
    <n v="0"/>
    <s v="R39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7.1666666666666643"/>
    <n v="0"/>
    <s v="MAGENTA"/>
    <s v="B01068M"/>
    <s v="ToyoLi - MAGENTA"/>
    <n v="28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8.1666666666666643"/>
    <n v="0"/>
    <s v="YELLOW"/>
    <s v="B01068Y"/>
    <s v="ToyoLi - YELLOW"/>
    <n v="28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0"/>
    <n v="0"/>
    <n v="8.166666666666664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"/>
    <n v="2"/>
    <n v="2"/>
    <n v="2"/>
    <n v="0"/>
    <n v="0"/>
    <n v="0"/>
    <n v="0.3"/>
    <m/>
    <m/>
    <n v="0.5"/>
    <n v="0.2"/>
    <n v="0"/>
    <n v="31"/>
    <n v="0"/>
    <n v="0"/>
    <n v="31"/>
    <n v="31"/>
    <n v="9.2999999999999989"/>
    <n v="0"/>
    <n v="0"/>
    <n v="0"/>
    <n v="0"/>
    <n v="0"/>
    <n v="15.5"/>
    <n v="0"/>
    <n v="6.2"/>
    <n v="0"/>
    <n v="0"/>
    <n v="0"/>
    <n v="0"/>
    <m/>
    <n v="25"/>
    <n v="46.999999999999986"/>
    <s v="TL107"/>
    <s v="ToyoLiToyoLiToyoLiToyoLiToyoLi"/>
    <s v="+"/>
    <s v="+"/>
    <s v="+"/>
    <s v="+"/>
    <s v="+"/>
    <s v="NIL"/>
    <s v="NIL"/>
    <s v="NIL"/>
  </r>
  <r>
    <d v="2026-01-21T00:00:00"/>
    <s v="B"/>
    <x v="296"/>
    <s v="TL108"/>
    <n v="267"/>
    <n v="15400"/>
    <s v="I"/>
    <s v="N"/>
    <n v="1.65"/>
    <s v="BLACK"/>
    <s v="C01287B"/>
    <s v="ToyoLi - BLACK"/>
    <n v="30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30"/>
    <n v="0"/>
    <n v="6.6521739130434767"/>
    <n v="0"/>
    <s v="RED"/>
    <s v="B00974R"/>
    <s v="ToyoLi - RED"/>
    <n v="36"/>
    <n v="0"/>
    <m/>
    <m/>
    <n v="0"/>
    <s v="F121"/>
    <s v="R92"/>
    <m/>
    <m/>
    <m/>
    <m/>
    <m/>
    <m/>
    <n v="2"/>
    <n v="0"/>
    <n v="0.2"/>
    <n v="0"/>
    <m/>
    <n v="0"/>
    <m/>
    <n v="0"/>
    <m/>
    <n v="0"/>
    <m/>
    <n v="0"/>
    <m/>
    <n v="0"/>
    <m/>
    <n v="0"/>
    <s v="ToyoLi"/>
    <n v="38"/>
    <n v="0"/>
    <n v="7.1782608695652215"/>
    <n v="0"/>
    <s v="CYAN"/>
    <s v="C01287C"/>
    <s v="ToyoLi - CYAN"/>
    <n v="28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9"/>
    <n v="0"/>
    <n v="5.6521739130434767"/>
    <n v="0"/>
    <s v="MAGENTA"/>
    <s v="C01287M"/>
    <s v="ToyoLi - MAGENTA"/>
    <n v="28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7.6521739130434767"/>
    <n v="0"/>
    <s v="YELLOW"/>
    <s v="C01287Y"/>
    <s v="ToyoLi - YELLOW"/>
    <n v="30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11.652173913043477"/>
    <n v="0"/>
    <s v="REFLEX BLUE"/>
    <s v="F00882B"/>
    <s v="ToyoLi - REFLEX BLUE"/>
    <n v="10"/>
    <n v="0"/>
    <s v="J00992B/B00974B/P00480B"/>
    <n v="34"/>
    <n v="0"/>
    <s v="F23T"/>
    <s v="R1205"/>
    <s v="R39"/>
    <s v="R92"/>
    <m/>
    <m/>
    <m/>
    <m/>
    <n v="1"/>
    <n v="0"/>
    <n v="3"/>
    <n v="0"/>
    <n v="4"/>
    <n v="0"/>
    <n v="2"/>
    <n v="0"/>
    <m/>
    <n v="0"/>
    <m/>
    <n v="0"/>
    <m/>
    <n v="0"/>
    <m/>
    <n v="0"/>
    <s v="ToyoLi"/>
    <n v="36"/>
    <n v="0"/>
    <n v="29.630434782608688"/>
    <n v="0"/>
    <s v="REFLEX BLUE"/>
    <s v="G00406B"/>
    <s v="ToyoLi - REFLEX BLUE"/>
    <n v="16"/>
    <n v="0"/>
    <s v="C01488B"/>
    <n v="15"/>
    <n v="0"/>
    <s v="R39"/>
    <s v="R1205"/>
    <m/>
    <m/>
    <m/>
    <m/>
    <m/>
    <m/>
    <n v="10"/>
    <n v="0"/>
    <n v="3"/>
    <n v="0"/>
    <m/>
    <n v="0"/>
    <m/>
    <n v="0"/>
    <m/>
    <n v="0"/>
    <m/>
    <n v="0"/>
    <m/>
    <n v="0"/>
    <m/>
    <n v="0"/>
    <s v="ToyoLi"/>
    <n v="40"/>
    <n v="0"/>
    <n v="27.260869565217391"/>
    <n v="0"/>
    <s v="WHITE"/>
    <s v="B01068W"/>
    <s v="ToyoLi - WHITE"/>
    <n v="30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20"/>
    <n v="0"/>
    <n v="96.521739130434781"/>
    <n v="0"/>
    <n v="2"/>
    <n v="3"/>
    <n v="2"/>
    <n v="2"/>
    <n v="2"/>
    <n v="5"/>
    <n v="10"/>
    <n v="20"/>
    <n v="0.3"/>
    <m/>
    <m/>
    <n v="0.5"/>
    <n v="0.2"/>
    <n v="0"/>
    <n v="107"/>
    <n v="0"/>
    <n v="0"/>
    <n v="107"/>
    <n v="107"/>
    <n v="32.1"/>
    <n v="0"/>
    <n v="0"/>
    <n v="0"/>
    <n v="0"/>
    <n v="0"/>
    <n v="53.5"/>
    <n v="0"/>
    <n v="21.400000000000002"/>
    <n v="0"/>
    <n v="0"/>
    <n v="0"/>
    <n v="0"/>
    <m/>
    <n v="74.2"/>
    <n v="192.2"/>
    <s v="TL108"/>
    <s v="ToyoLiToyoLiToyoLiToyoLiToyoLiToyoLiToyoLiToyoLi"/>
    <s v="+"/>
    <s v="+"/>
    <s v="+"/>
    <s v="+"/>
    <s v="+"/>
    <s v="+"/>
    <s v="+"/>
    <s v="+"/>
  </r>
  <r>
    <d v="2026-01-21T00:00:00"/>
    <s v="B"/>
    <x v="297"/>
    <s v="TL109"/>
    <n v="578"/>
    <n v="26000"/>
    <s v="I"/>
    <s v="N"/>
    <n v="1.3"/>
    <s v="BLACK"/>
    <s v="R00007B"/>
    <s v="ToyoLi - BLACK"/>
    <n v="30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32"/>
    <n v="0"/>
    <n v="6.5806451612903203"/>
    <n v="0"/>
    <s v="REFLEX BLUE"/>
    <s v="B01067B"/>
    <s v="ToyoLi - REFLEX BLUE"/>
    <n v="20"/>
    <n v="0"/>
    <m/>
    <m/>
    <n v="0"/>
    <s v="R1205"/>
    <s v="R92"/>
    <m/>
    <m/>
    <m/>
    <m/>
    <m/>
    <m/>
    <n v="6"/>
    <n v="0"/>
    <n v="1"/>
    <n v="0"/>
    <m/>
    <n v="0"/>
    <m/>
    <n v="0"/>
    <m/>
    <n v="0"/>
    <m/>
    <n v="0"/>
    <m/>
    <n v="0"/>
    <m/>
    <n v="0"/>
    <s v="ToyoLi"/>
    <n v="25"/>
    <n v="0"/>
    <n v="13.161290322580641"/>
    <n v="0"/>
    <s v="ORANGE"/>
    <s v="B01067O"/>
    <s v="ToyoLi - ORANGE"/>
    <n v="20"/>
    <n v="0"/>
    <s v="J00991O"/>
    <n v="20"/>
    <n v="0"/>
    <s v="F640"/>
    <s v="F23T"/>
    <s v="F53"/>
    <s v="R92"/>
    <m/>
    <m/>
    <m/>
    <m/>
    <n v="8"/>
    <n v="0"/>
    <n v="15"/>
    <n v="0"/>
    <n v="9"/>
    <n v="0"/>
    <n v="0.3"/>
    <n v="0"/>
    <m/>
    <n v="0"/>
    <m/>
    <n v="0"/>
    <m/>
    <n v="0"/>
    <m/>
    <n v="0"/>
    <s v="ToyoLi"/>
    <n v="30"/>
    <n v="0"/>
    <n v="84.154838709677421"/>
    <n v="0"/>
    <s v="YELLOW"/>
    <s v="B01049Y"/>
    <s v="ToyoLi - YELLOW"/>
    <n v="17"/>
    <n v="0"/>
    <m/>
    <m/>
    <n v="0"/>
    <s v="F23T"/>
    <s v="F53"/>
    <m/>
    <m/>
    <m/>
    <m/>
    <m/>
    <m/>
    <n v="8"/>
    <n v="0"/>
    <n v="0.2"/>
    <n v="0"/>
    <m/>
    <n v="0"/>
    <m/>
    <n v="0"/>
    <m/>
    <n v="0"/>
    <m/>
    <n v="0"/>
    <m/>
    <n v="0"/>
    <m/>
    <n v="0"/>
    <s v="ToyoLi"/>
    <n v="18"/>
    <n v="0"/>
    <n v="12.780645161290323"/>
    <n v="0"/>
    <s v="CYAN"/>
    <s v="R00007C"/>
    <s v="ToyoLi - CYAN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0"/>
    <n v="7.5806451612903203"/>
    <n v="0"/>
    <s v="MAGENTA"/>
    <s v="R00007M"/>
    <s v="ToyoLi - MAGENTA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0"/>
    <n v="8.5806451612903203"/>
    <n v="0"/>
    <s v="YELLOW"/>
    <s v="R00007Y"/>
    <s v="ToyoLi - YELLOW"/>
    <n v="25"/>
    <n v="0"/>
    <m/>
    <m/>
    <n v="0"/>
    <s v="F23T"/>
    <s v="RTMD"/>
    <m/>
    <m/>
    <m/>
    <m/>
    <m/>
    <m/>
    <n v="5"/>
    <n v="0"/>
    <n v="3"/>
    <n v="0"/>
    <m/>
    <n v="0"/>
    <m/>
    <n v="0"/>
    <m/>
    <n v="0"/>
    <m/>
    <n v="0"/>
    <m/>
    <n v="0"/>
    <m/>
    <n v="0"/>
    <s v="ToyoLi"/>
    <n v="24"/>
    <n v="0"/>
    <n v="22.951612903225808"/>
    <n v="0"/>
    <s v="WHITE"/>
    <s v="R00007W"/>
    <s v="ToyoLi - WHITE"/>
    <n v="20"/>
    <n v="0"/>
    <m/>
    <m/>
    <n v="0"/>
    <s v="F640"/>
    <s v="HSLAS"/>
    <m/>
    <m/>
    <m/>
    <m/>
    <m/>
    <m/>
    <n v="100"/>
    <n v="0"/>
    <n v="8.0500000000000007"/>
    <n v="0"/>
    <m/>
    <n v="0"/>
    <m/>
    <n v="0"/>
    <m/>
    <n v="0"/>
    <m/>
    <n v="0"/>
    <m/>
    <n v="0"/>
    <m/>
    <n v="0"/>
    <s v="ToyoLi"/>
    <n v="25"/>
    <n v="0"/>
    <n v="186.75967741935486"/>
    <n v="0"/>
    <n v="2"/>
    <n v="4"/>
    <n v="15"/>
    <n v="2"/>
    <n v="2"/>
    <n v="2"/>
    <n v="5"/>
    <n v="30"/>
    <n v="0.3"/>
    <m/>
    <m/>
    <n v="0.5"/>
    <n v="0.2"/>
    <n v="0"/>
    <n v="173"/>
    <n v="0"/>
    <n v="0"/>
    <n v="173"/>
    <n v="173"/>
    <n v="51.9"/>
    <n v="0"/>
    <n v="0"/>
    <n v="0"/>
    <n v="0"/>
    <n v="0"/>
    <n v="86.5"/>
    <n v="0"/>
    <n v="34.6"/>
    <n v="0"/>
    <n v="0"/>
    <n v="0"/>
    <n v="0"/>
    <m/>
    <n v="166.55"/>
    <n v="342.54999999999995"/>
    <s v="TL109"/>
    <s v="ToyoLiToyoLiToyoLiToyoLiToyoLiToyoLiToyoLiToyoLi"/>
    <s v="+"/>
    <s v="+"/>
    <s v="+"/>
    <s v="+"/>
    <s v="+"/>
    <s v="+"/>
    <s v="+"/>
    <s v="+"/>
  </r>
  <r>
    <d v="2026-01-21T00:00:00"/>
    <s v="B"/>
    <x v="298"/>
    <s v="TL110"/>
    <n v="908"/>
    <n v="51600"/>
    <s v="I"/>
    <s v="N"/>
    <n v="1.7"/>
    <s v="BLACK"/>
    <s v="N00795B"/>
    <s v="ToyoLi - BLACK"/>
    <n v="32"/>
    <n v="0"/>
    <m/>
    <m/>
    <n v="0"/>
    <s v="R92"/>
    <s v="RTMD"/>
    <m/>
    <m/>
    <m/>
    <m/>
    <m/>
    <m/>
    <n v="15"/>
    <n v="0"/>
    <n v="5"/>
    <n v="0"/>
    <m/>
    <n v="0"/>
    <m/>
    <n v="0"/>
    <m/>
    <n v="0"/>
    <m/>
    <n v="0"/>
    <m/>
    <n v="0"/>
    <m/>
    <n v="0"/>
    <s v="ToyoLi"/>
    <n v="54"/>
    <n v="0"/>
    <n v="19.58371040723982"/>
    <n v="0"/>
    <s v="BLACK"/>
    <s v="N00795B"/>
    <s v="ToyoLi - BLACK"/>
    <n v="4"/>
    <n v="0"/>
    <m/>
    <m/>
    <n v="0"/>
    <s v="R92"/>
    <m/>
    <m/>
    <m/>
    <m/>
    <m/>
    <m/>
    <m/>
    <n v="20"/>
    <n v="0"/>
    <m/>
    <n v="0"/>
    <m/>
    <n v="0"/>
    <m/>
    <n v="0"/>
    <m/>
    <n v="0"/>
    <m/>
    <n v="0"/>
    <m/>
    <n v="0"/>
    <m/>
    <n v="0"/>
    <s v="ToyoLi"/>
    <n v="20"/>
    <n v="0"/>
    <n v="25.58371040723982"/>
    <n v="0"/>
    <s v="BLACK"/>
    <m/>
    <s v="ToyoLi - BLACK"/>
    <m/>
    <n v="0"/>
    <m/>
    <m/>
    <n v="0"/>
    <s v="RTMD"/>
    <s v="R92"/>
    <m/>
    <m/>
    <m/>
    <m/>
    <m/>
    <m/>
    <n v="20"/>
    <n v="0"/>
    <n v="0.5"/>
    <n v="0"/>
    <m/>
    <n v="0"/>
    <m/>
    <n v="0"/>
    <m/>
    <n v="0"/>
    <m/>
    <n v="0"/>
    <m/>
    <n v="0"/>
    <m/>
    <n v="0"/>
    <s v="ToyoLi"/>
    <n v="38"/>
    <n v="0"/>
    <n v="8.4004524886877832"/>
    <n v="0"/>
    <s v="MAGENTA"/>
    <s v="N00795M"/>
    <s v="ToyoLi - MAGENTA"/>
    <n v="25"/>
    <n v="0"/>
    <m/>
    <m/>
    <n v="0"/>
    <s v="RTMD"/>
    <s v="F121"/>
    <m/>
    <m/>
    <m/>
    <m/>
    <m/>
    <m/>
    <n v="4"/>
    <n v="0"/>
    <n v="3"/>
    <n v="0"/>
    <m/>
    <n v="0"/>
    <m/>
    <n v="0"/>
    <m/>
    <n v="0"/>
    <m/>
    <n v="0"/>
    <m/>
    <n v="0"/>
    <m/>
    <n v="0"/>
    <s v="ToyoLi"/>
    <n v="24"/>
    <n v="0"/>
    <n v="16.633484162895925"/>
    <n v="0"/>
    <s v="YELLOW"/>
    <s v="N00795Y"/>
    <s v="ToyoLi - YELLOW"/>
    <n v="24"/>
    <n v="0"/>
    <m/>
    <m/>
    <n v="0"/>
    <s v="F23T"/>
    <s v="RTMD"/>
    <m/>
    <m/>
    <m/>
    <m/>
    <m/>
    <m/>
    <n v="8"/>
    <n v="0"/>
    <n v="3"/>
    <n v="0"/>
    <m/>
    <n v="0"/>
    <m/>
    <n v="0"/>
    <m/>
    <n v="0"/>
    <m/>
    <n v="0"/>
    <m/>
    <n v="0"/>
    <m/>
    <n v="0"/>
    <s v="ToyoLi"/>
    <n v="25"/>
    <n v="0"/>
    <n v="20.072398190045249"/>
    <n v="0"/>
    <s v="BLACK"/>
    <m/>
    <s v="ToyoLi - BLACK"/>
    <m/>
    <n v="0"/>
    <m/>
    <m/>
    <n v="0"/>
    <s v="RTMD"/>
    <s v="R92"/>
    <m/>
    <m/>
    <m/>
    <m/>
    <m/>
    <m/>
    <n v="30"/>
    <n v="0"/>
    <n v="0.7"/>
    <n v="0"/>
    <m/>
    <n v="0"/>
    <m/>
    <n v="0"/>
    <m/>
    <n v="0"/>
    <m/>
    <n v="0"/>
    <m/>
    <n v="0"/>
    <m/>
    <n v="0"/>
    <s v="ToyoLi"/>
    <n v="46"/>
    <n v="0"/>
    <n v="13.478280542986425"/>
    <n v="0"/>
    <s v="RED"/>
    <m/>
    <s v="ToyoLi - RED"/>
    <m/>
    <n v="0"/>
    <m/>
    <m/>
    <n v="0"/>
    <s v="RTMD"/>
    <s v="F121"/>
    <s v="F23T"/>
    <m/>
    <m/>
    <m/>
    <m/>
    <m/>
    <n v="160"/>
    <n v="0"/>
    <n v="3"/>
    <n v="0"/>
    <n v="0.4"/>
    <n v="0"/>
    <m/>
    <n v="0"/>
    <m/>
    <n v="0"/>
    <m/>
    <n v="0"/>
    <m/>
    <n v="0"/>
    <m/>
    <n v="0"/>
    <s v="ToyoLi"/>
    <n v="36"/>
    <n v="0"/>
    <n v="199.34570135746606"/>
    <n v="0"/>
    <s v="WHITE"/>
    <s v="N00795W"/>
    <s v="ToyoLi - WHITE"/>
    <n v="25"/>
    <n v="0"/>
    <m/>
    <m/>
    <n v="0"/>
    <s v="F640"/>
    <m/>
    <m/>
    <m/>
    <m/>
    <m/>
    <m/>
    <m/>
    <n v="140"/>
    <n v="0"/>
    <m/>
    <n v="0"/>
    <m/>
    <n v="0"/>
    <m/>
    <n v="0"/>
    <m/>
    <n v="0"/>
    <m/>
    <n v="0"/>
    <m/>
    <n v="0"/>
    <m/>
    <n v="0"/>
    <s v="ToyoLi"/>
    <n v="25"/>
    <n v="0"/>
    <n v="269.50226244343889"/>
    <n v="0"/>
    <n v="15"/>
    <n v="15"/>
    <n v="18"/>
    <n v="6"/>
    <n v="7"/>
    <n v="20"/>
    <n v="50"/>
    <n v="90"/>
    <n v="0.3"/>
    <m/>
    <m/>
    <n v="0.5"/>
    <n v="0.2"/>
    <n v="0"/>
    <n v="318"/>
    <n v="0"/>
    <n v="0"/>
    <n v="318"/>
    <n v="318"/>
    <n v="95.399999999999991"/>
    <n v="0"/>
    <n v="0"/>
    <n v="0"/>
    <n v="0"/>
    <n v="0"/>
    <n v="159"/>
    <n v="0"/>
    <n v="63.6"/>
    <n v="0"/>
    <n v="0"/>
    <n v="0"/>
    <n v="0"/>
    <m/>
    <n v="412.59999999999997"/>
    <n v="572.59999999999991"/>
    <s v="TL110"/>
    <s v="ToyoLiToyoLiToyoLiToyoLiToyoLiToyoLiToyoLiToyoLi"/>
    <s v="+"/>
    <s v="+"/>
    <s v="+"/>
    <s v="+"/>
    <s v="+"/>
    <s v="+"/>
    <s v="+"/>
    <s v="+"/>
  </r>
  <r>
    <d v="2026-01-21T00:00:00"/>
    <s v="B"/>
    <x v="299"/>
    <s v="TL111"/>
    <n v="455"/>
    <n v="26100"/>
    <s v="I"/>
    <s v="N"/>
    <n v="1.9"/>
    <s v="BLACK"/>
    <s v="P00463B"/>
    <s v="ToyoLi - BLACK"/>
    <n v="26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7"/>
    <n v="0"/>
    <n v="6.4166666666666643"/>
    <n v="0"/>
    <s v="RED"/>
    <m/>
    <s v="ToyoLi - RED"/>
    <m/>
    <n v="0"/>
    <m/>
    <m/>
    <n v="0"/>
    <s v="F121"/>
    <s v="F53"/>
    <m/>
    <m/>
    <m/>
    <m/>
    <m/>
    <m/>
    <n v="40"/>
    <n v="0"/>
    <n v="45"/>
    <n v="0"/>
    <m/>
    <n v="0"/>
    <m/>
    <n v="0"/>
    <m/>
    <n v="0"/>
    <m/>
    <n v="0"/>
    <m/>
    <n v="0"/>
    <m/>
    <n v="0"/>
    <s v="ToyoLi"/>
    <n v="32"/>
    <n v="0"/>
    <n v="97.166666666666686"/>
    <n v="0"/>
    <s v="GREEN"/>
    <m/>
    <s v="ToyoLi - GREEN"/>
    <m/>
    <n v="0"/>
    <m/>
    <m/>
    <n v="0"/>
    <s v="F23T"/>
    <s v="R79"/>
    <m/>
    <m/>
    <m/>
    <m/>
    <m/>
    <m/>
    <n v="10"/>
    <n v="0"/>
    <n v="2"/>
    <n v="0"/>
    <m/>
    <n v="0"/>
    <m/>
    <n v="0"/>
    <m/>
    <n v="0"/>
    <m/>
    <n v="0"/>
    <m/>
    <n v="0"/>
    <m/>
    <n v="0"/>
    <s v="ToyoLi"/>
    <n v="16"/>
    <n v="0"/>
    <n v="13.666666666666664"/>
    <n v="0"/>
    <s v="YELLOW"/>
    <s v="P00463Y"/>
    <s v="ToyoLi - YELLOW"/>
    <n v="25"/>
    <n v="0"/>
    <m/>
    <m/>
    <n v="0"/>
    <s v="F23T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7"/>
    <n v="0"/>
    <n v="5.4166666666666643"/>
    <n v="0"/>
    <s v="WHITE"/>
    <s v="P00463W"/>
    <s v="ToyoLi - WHITE"/>
    <n v="25"/>
    <n v="0"/>
    <m/>
    <m/>
    <n v="0"/>
    <s v="F640"/>
    <s v="HSLAS"/>
    <m/>
    <m/>
    <m/>
    <m/>
    <m/>
    <m/>
    <n v="80"/>
    <n v="0"/>
    <n v="6.63"/>
    <n v="0"/>
    <m/>
    <n v="0"/>
    <m/>
    <n v="0"/>
    <m/>
    <n v="0"/>
    <m/>
    <n v="0"/>
    <m/>
    <n v="0"/>
    <m/>
    <n v="0"/>
    <s v="ToyoLi"/>
    <n v="30"/>
    <n v="0"/>
    <n v="169.9633333333333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0"/>
    <n v="8"/>
    <n v="2"/>
    <n v="40"/>
    <n v="0"/>
    <n v="0"/>
    <n v="0"/>
    <n v="0.3"/>
    <m/>
    <m/>
    <n v="0.5"/>
    <n v="0.2"/>
    <n v="0"/>
    <n v="159"/>
    <n v="0"/>
    <n v="0"/>
    <n v="159"/>
    <n v="159"/>
    <n v="47.699999999999996"/>
    <n v="0"/>
    <n v="0"/>
    <n v="0"/>
    <n v="0"/>
    <n v="0"/>
    <n v="79.5"/>
    <n v="0"/>
    <n v="31.8"/>
    <n v="0"/>
    <n v="0"/>
    <n v="0"/>
    <n v="0"/>
    <m/>
    <n v="189.63"/>
    <n v="292.63"/>
    <s v="TL111"/>
    <s v="ToyoLiToyoLiToyoLiToyoLiToyoLi"/>
    <s v="+"/>
    <s v="+"/>
    <s v="+"/>
    <s v="+"/>
    <s v="+"/>
    <s v="NIL"/>
    <s v="NIL"/>
    <s v="NIL"/>
  </r>
  <r>
    <d v="2026-01-21T00:00:00"/>
    <s v="A"/>
    <x v="300"/>
    <s v="TL112"/>
    <n v="173"/>
    <n v="13600"/>
    <s v="I"/>
    <s v="N"/>
    <n v="4.1399999999999997"/>
    <s v="BLACK"/>
    <s v="B01073B"/>
    <s v="ToyoLi - BLACK"/>
    <n v="27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2"/>
    <n v="0"/>
    <s v="BLACK"/>
    <s v="N00994B"/>
    <s v="ToyoLi - BLACK"/>
    <n v="15"/>
    <n v="0"/>
    <s v="B01051B"/>
    <n v="18"/>
    <n v="0"/>
    <s v="F23T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32"/>
    <n v="0"/>
    <n v="11.428571428571431"/>
    <n v="0"/>
    <s v="GREEN"/>
    <s v="B01073G"/>
    <s v="ToyoLi - GREEN"/>
    <n v="16"/>
    <n v="0"/>
    <s v="N00818G"/>
    <n v="10"/>
    <n v="0"/>
    <s v="F23T"/>
    <s v="R39"/>
    <m/>
    <m/>
    <m/>
    <m/>
    <m/>
    <m/>
    <n v="3"/>
    <n v="0"/>
    <n v="1"/>
    <n v="0"/>
    <m/>
    <n v="0"/>
    <m/>
    <n v="0"/>
    <m/>
    <n v="0"/>
    <m/>
    <n v="0"/>
    <m/>
    <n v="0"/>
    <m/>
    <n v="0"/>
    <s v="ToyoLi"/>
    <n v="25"/>
    <n v="0"/>
    <n v="12.428571428571431"/>
    <n v="0"/>
    <s v="CYAN"/>
    <s v="N00795C"/>
    <s v="ToyoLi - CYAN"/>
    <n v="27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4.7142857142857153"/>
    <n v="0"/>
    <s v="MAGENTA"/>
    <s v="P00463M"/>
    <s v="ToyoLi - MAGENTA"/>
    <n v="24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6"/>
    <n v="0"/>
    <n v="1"/>
    <n v="0"/>
    <s v="YELLOW"/>
    <s v="B01073Y"/>
    <s v="ToyoLi - YELLOW"/>
    <n v="27"/>
    <n v="0"/>
    <m/>
    <m/>
    <n v="0"/>
    <s v="F23T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2"/>
    <n v="0"/>
    <s v="WHITE"/>
    <s v="B01073W"/>
    <s v="ToyoLi - WHITE"/>
    <n v="30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30"/>
    <n v="0"/>
    <n v="114.28571428571428"/>
    <n v="0"/>
    <s v="MATT"/>
    <s v="J00991M"/>
    <s v="ToyoLi - MATT"/>
    <n v="20"/>
    <n v="0"/>
    <m/>
    <m/>
    <n v="0"/>
    <n v="55"/>
    <s v="NWBBK"/>
    <m/>
    <m/>
    <m/>
    <m/>
    <m/>
    <m/>
    <n v="60"/>
    <n v="0"/>
    <n v="15"/>
    <n v="0"/>
    <m/>
    <n v="0"/>
    <m/>
    <n v="0"/>
    <m/>
    <n v="0"/>
    <m/>
    <n v="0"/>
    <m/>
    <n v="0"/>
    <m/>
    <n v="0"/>
    <s v="ToyoLi"/>
    <n v="30"/>
    <n v="0"/>
    <n v="102.14285714285714"/>
    <n v="0"/>
    <n v="0"/>
    <n v="2"/>
    <n v="2"/>
    <n v="1"/>
    <n v="0"/>
    <n v="0"/>
    <n v="20"/>
    <n v="10"/>
    <n v="0.3"/>
    <m/>
    <m/>
    <n v="0.5"/>
    <n v="0.2"/>
    <n v="0"/>
    <n v="130"/>
    <n v="0"/>
    <n v="0"/>
    <n v="130"/>
    <n v="130"/>
    <n v="39"/>
    <n v="0"/>
    <n v="0"/>
    <n v="0"/>
    <n v="0"/>
    <n v="0"/>
    <n v="65"/>
    <n v="0"/>
    <n v="26"/>
    <n v="0"/>
    <n v="0"/>
    <n v="0"/>
    <n v="0"/>
    <m/>
    <n v="133"/>
    <n v="250"/>
    <s v="TL112"/>
    <s v="ToyoLiToyoLiToyoLiToyoLiToyoLiToyoLiToyoLiToyoLi"/>
    <s v="+"/>
    <s v="+"/>
    <s v="+"/>
    <s v="+"/>
    <s v="+"/>
    <s v="+"/>
    <s v="+"/>
    <s v="+"/>
  </r>
  <r>
    <d v="2026-01-22T00:00:00"/>
    <s v="A"/>
    <x v="301"/>
    <s v="TL113"/>
    <n v="194"/>
    <n v="13400"/>
    <s v="I"/>
    <s v="N"/>
    <n v="4.16"/>
    <s v="BLACK"/>
    <s v="F00860B"/>
    <s v="ToyoLi - BLACK"/>
    <n v="28"/>
    <n v="0"/>
    <m/>
    <m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0"/>
    <n v="0"/>
    <n v="9.3478260869565233"/>
    <n v="0"/>
    <s v="BLACK"/>
    <s v="F00860B"/>
    <s v="ToyoLi - BLACK"/>
    <n v="32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0"/>
    <n v="12"/>
    <n v="0"/>
    <s v="BLACK"/>
    <s v="B01051B"/>
    <s v="ToyoLi - BLACK"/>
    <n v="20"/>
    <n v="0"/>
    <m/>
    <m/>
    <n v="0"/>
    <s v="F121"/>
    <s v="F53"/>
    <m/>
    <m/>
    <m/>
    <m/>
    <m/>
    <m/>
    <n v="3"/>
    <n v="0"/>
    <n v="2"/>
    <n v="0"/>
    <m/>
    <n v="0"/>
    <m/>
    <n v="0"/>
    <m/>
    <n v="0"/>
    <m/>
    <n v="0"/>
    <m/>
    <n v="0"/>
    <m/>
    <n v="0"/>
    <s v="ToyoLi"/>
    <n v="26"/>
    <n v="0"/>
    <n v="14.869565217391305"/>
    <n v="0"/>
    <s v="CYAN"/>
    <s v="F00860C"/>
    <s v="ToyoLi - CYAN"/>
    <n v="28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8.3478260869565233"/>
    <n v="0"/>
    <s v="MAGENTA"/>
    <s v="F00860M"/>
    <s v="ToyoLi - MAGENTA"/>
    <n v="26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33"/>
    <n v="0"/>
    <n v="11.869565217391305"/>
    <n v="0"/>
    <s v="YELLOW"/>
    <s v="F00860Y"/>
    <s v="ToyoLi - YELLOW"/>
    <n v="28"/>
    <n v="0"/>
    <m/>
    <m/>
    <n v="0"/>
    <s v="F23T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30"/>
    <n v="0"/>
    <n v="8.3478260869565233"/>
    <n v="0"/>
    <s v="WHITE"/>
    <s v="F00860W"/>
    <s v="ToyoLi - WHITE"/>
    <n v="30"/>
    <n v="0"/>
    <m/>
    <m/>
    <n v="0"/>
    <s v="F640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30"/>
    <n v="0"/>
    <n v="103.47826086956522"/>
    <n v="0"/>
    <s v="MATT"/>
    <s v="F00860M"/>
    <s v="ToyoLi - MATT"/>
    <n v="30"/>
    <n v="0"/>
    <m/>
    <m/>
    <n v="0"/>
    <n v="55"/>
    <s v="NWBBK"/>
    <m/>
    <m/>
    <m/>
    <m/>
    <m/>
    <m/>
    <n v="60"/>
    <n v="0"/>
    <n v="15"/>
    <n v="0"/>
    <m/>
    <n v="0"/>
    <m/>
    <n v="0"/>
    <m/>
    <n v="0"/>
    <m/>
    <n v="0"/>
    <m/>
    <n v="0"/>
    <m/>
    <n v="0"/>
    <s v="ToyoLi"/>
    <n v="30"/>
    <n v="0"/>
    <n v="106.73913043478262"/>
    <n v="0"/>
    <n v="2"/>
    <n v="0"/>
    <n v="5"/>
    <n v="2"/>
    <n v="5"/>
    <n v="2"/>
    <n v="20"/>
    <n v="10"/>
    <n v="0.3"/>
    <m/>
    <m/>
    <n v="0.5"/>
    <n v="0.2"/>
    <n v="0"/>
    <n v="146"/>
    <n v="0"/>
    <n v="0"/>
    <n v="146"/>
    <n v="146"/>
    <n v="43.8"/>
    <n v="0"/>
    <n v="0"/>
    <n v="0"/>
    <n v="0"/>
    <n v="0"/>
    <n v="73"/>
    <n v="0"/>
    <n v="29.200000000000003"/>
    <n v="0"/>
    <n v="0"/>
    <n v="0"/>
    <n v="0"/>
    <m/>
    <n v="134"/>
    <n v="275"/>
    <s v="TL113"/>
    <s v="ToyoLiToyoLiToyoLiToyoLiToyoLiToyoLiToyoLiToyoLi"/>
    <s v="+"/>
    <s v="+"/>
    <s v="+"/>
    <s v="+"/>
    <s v="+"/>
    <s v="+"/>
    <s v="+"/>
    <s v="+"/>
  </r>
  <r>
    <d v="2026-01-22T00:00:00"/>
    <s v="A"/>
    <x v="302"/>
    <s v="TL114"/>
    <n v="176"/>
    <n v="12200"/>
    <s v="I"/>
    <s v="N"/>
    <n v="2.06"/>
    <s v="BLACK"/>
    <s v="F00854B"/>
    <s v="ToyoLi - BLACK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7.7446808510638334"/>
    <n v="0"/>
    <s v="REFLEX BLUE"/>
    <s v="B01067B"/>
    <s v="ToyoLi - REFLEX BLUE"/>
    <n v="20"/>
    <n v="0"/>
    <m/>
    <m/>
    <n v="0"/>
    <s v="R1205"/>
    <s v="F121"/>
    <m/>
    <m/>
    <m/>
    <m/>
    <m/>
    <m/>
    <n v="3"/>
    <n v="0"/>
    <n v="2"/>
    <n v="0"/>
    <m/>
    <n v="0"/>
    <m/>
    <n v="0"/>
    <m/>
    <n v="0"/>
    <m/>
    <n v="0"/>
    <m/>
    <n v="0"/>
    <m/>
    <n v="0"/>
    <s v="ToyoLi"/>
    <n v="18"/>
    <n v="0"/>
    <n v="10.74468085106383"/>
    <n v="0"/>
    <s v="GREEN"/>
    <s v="G00397G"/>
    <s v="ToyoLi - GREEN"/>
    <n v="10"/>
    <n v="0"/>
    <m/>
    <m/>
    <n v="0"/>
    <s v="F23T"/>
    <s v="R39"/>
    <s v="R92"/>
    <m/>
    <m/>
    <m/>
    <m/>
    <m/>
    <n v="8"/>
    <n v="0"/>
    <n v="10"/>
    <n v="0"/>
    <n v="3"/>
    <n v="0"/>
    <m/>
    <n v="0"/>
    <m/>
    <n v="0"/>
    <m/>
    <n v="0"/>
    <m/>
    <n v="0"/>
    <m/>
    <n v="0"/>
    <s v="ToyoLi"/>
    <n v="34"/>
    <n v="0"/>
    <n v="6.3617021276595764"/>
    <n v="0"/>
    <s v="GREEN"/>
    <s v="B01043G"/>
    <s v="ToyoLi - GREEN"/>
    <n v="15"/>
    <n v="0"/>
    <m/>
    <m/>
    <n v="0"/>
    <s v="F23T"/>
    <s v="R39"/>
    <m/>
    <m/>
    <m/>
    <m/>
    <m/>
    <m/>
    <n v="6"/>
    <n v="0"/>
    <n v="2"/>
    <n v="0"/>
    <m/>
    <n v="0"/>
    <m/>
    <n v="0"/>
    <m/>
    <n v="0"/>
    <m/>
    <n v="0"/>
    <m/>
    <n v="0"/>
    <m/>
    <n v="0"/>
    <s v="ToyoLi"/>
    <n v="23"/>
    <n v="0"/>
    <n v="5.617021276595743"/>
    <n v="0"/>
    <s v="CYAN"/>
    <s v="F00859C"/>
    <s v="ToyoLi - CYAN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0"/>
    <n v="5.7446808510638299"/>
    <n v="0"/>
    <s v="MAGENTA"/>
    <m/>
    <s v="ToyoLi - MAGENTA"/>
    <m/>
    <n v="0"/>
    <m/>
    <m/>
    <n v="0"/>
    <s v="F121"/>
    <m/>
    <m/>
    <m/>
    <m/>
    <m/>
    <m/>
    <m/>
    <n v="16"/>
    <n v="0"/>
    <m/>
    <n v="0"/>
    <m/>
    <n v="0"/>
    <m/>
    <n v="0"/>
    <m/>
    <n v="0"/>
    <m/>
    <n v="0"/>
    <m/>
    <n v="0"/>
    <m/>
    <n v="0"/>
    <s v="ToyoLi"/>
    <n v="22"/>
    <n v="0"/>
    <n v="8.9787234042553195"/>
    <n v="0"/>
    <s v="YELLOW"/>
    <m/>
    <s v="ToyoLi - YELLOW"/>
    <m/>
    <n v="0"/>
    <m/>
    <m/>
    <n v="0"/>
    <s v="F23T"/>
    <s v="HSLAS"/>
    <m/>
    <m/>
    <m/>
    <m/>
    <m/>
    <m/>
    <n v="30"/>
    <n v="0"/>
    <n v="3.93"/>
    <n v="0"/>
    <m/>
    <n v="0"/>
    <m/>
    <n v="0"/>
    <m/>
    <n v="0"/>
    <m/>
    <n v="0"/>
    <m/>
    <n v="0"/>
    <m/>
    <n v="0"/>
    <s v="ToyoLi"/>
    <n v="30"/>
    <n v="0"/>
    <n v="22.653404255319145"/>
    <n v="0"/>
    <s v="MATT"/>
    <s v="F00859M"/>
    <s v="ToyoLi - MATT"/>
    <n v="30"/>
    <n v="0"/>
    <m/>
    <m/>
    <n v="0"/>
    <n v="55"/>
    <s v="NWBBK"/>
    <m/>
    <m/>
    <m/>
    <m/>
    <m/>
    <m/>
    <n v="60"/>
    <n v="0"/>
    <n v="15"/>
    <n v="0"/>
    <m/>
    <n v="0"/>
    <m/>
    <n v="0"/>
    <m/>
    <n v="0"/>
    <m/>
    <n v="0"/>
    <m/>
    <n v="0"/>
    <m/>
    <n v="0"/>
    <s v="ToyoLi"/>
    <n v="30"/>
    <n v="0"/>
    <n v="103.08510638297872"/>
    <n v="0"/>
    <n v="2"/>
    <n v="2"/>
    <n v="5"/>
    <n v="3"/>
    <n v="2"/>
    <n v="8"/>
    <n v="10"/>
    <n v="15"/>
    <n v="0.3"/>
    <m/>
    <m/>
    <n v="0.5"/>
    <n v="0.2"/>
    <n v="0"/>
    <n v="88"/>
    <n v="0"/>
    <n v="0"/>
    <n v="88"/>
    <n v="88"/>
    <n v="26.4"/>
    <n v="0"/>
    <n v="0"/>
    <n v="0"/>
    <n v="0"/>
    <n v="0"/>
    <n v="44"/>
    <n v="0"/>
    <n v="17.600000000000001"/>
    <n v="0"/>
    <n v="0"/>
    <n v="0"/>
    <n v="0"/>
    <m/>
    <n v="158.93"/>
    <n v="170.93"/>
    <s v="TL114"/>
    <s v="ToyoLiToyoLiToyoLiToyoLiToyoLiToyoLiToyoLiToyoLi"/>
    <s v="+"/>
    <s v="+"/>
    <s v="+"/>
    <s v="+"/>
    <s v="+"/>
    <s v="+"/>
    <s v="+"/>
    <s v="+"/>
  </r>
  <r>
    <d v="2026-01-22T00:00:00"/>
    <s v="A"/>
    <x v="303"/>
    <s v="TL115"/>
    <n v="329"/>
    <n v="17600"/>
    <s v="I"/>
    <s v="N"/>
    <n v="2.8200000000000003"/>
    <s v="REFLEX BLUE"/>
    <s v="C01471B"/>
    <s v="ToyoLi - REFLEX BLUE"/>
    <n v="8"/>
    <n v="0"/>
    <m/>
    <m/>
    <n v="0"/>
    <s v="F121"/>
    <s v="R1205"/>
    <m/>
    <m/>
    <m/>
    <m/>
    <m/>
    <m/>
    <n v="10"/>
    <n v="0"/>
    <n v="5"/>
    <n v="0"/>
    <m/>
    <n v="0"/>
    <m/>
    <n v="0"/>
    <m/>
    <n v="0"/>
    <m/>
    <n v="0"/>
    <m/>
    <n v="0"/>
    <m/>
    <n v="0"/>
    <s v="ToyoLi"/>
    <n v="27"/>
    <n v="0"/>
    <n v="20.25"/>
    <n v="0"/>
    <s v="RED"/>
    <s v="C01343P"/>
    <s v="ToyoLi - RED"/>
    <n v="39"/>
    <n v="0"/>
    <m/>
    <m/>
    <n v="0"/>
    <s v="RTMD"/>
    <s v="F32"/>
    <s v="F23T"/>
    <m/>
    <m/>
    <m/>
    <m/>
    <m/>
    <n v="40"/>
    <n v="0"/>
    <n v="0.5"/>
    <n v="0"/>
    <n v="0.2"/>
    <n v="0"/>
    <m/>
    <n v="0"/>
    <m/>
    <n v="0"/>
    <m/>
    <n v="0"/>
    <m/>
    <n v="0"/>
    <m/>
    <n v="0"/>
    <s v="ToyoLi"/>
    <n v="31"/>
    <n v="0"/>
    <n v="70.25555555555556"/>
    <n v="0"/>
    <s v="GREEN"/>
    <s v="C01471G"/>
    <s v="ToyoLi - GREEN"/>
    <n v="23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19"/>
    <n v="0"/>
    <n v="9.3888888888888893"/>
    <n v="0"/>
    <s v="CYAN"/>
    <s v="C01471C"/>
    <s v="ToyoLi - CYAN"/>
    <n v="26"/>
    <n v="0"/>
    <m/>
    <m/>
    <n v="0"/>
    <s v="R39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6"/>
    <n v="0"/>
    <n v="8.3888888888888857"/>
    <n v="0"/>
    <s v="MAGENTA"/>
    <s v="C01471M"/>
    <s v="ToyoLi - MAGENTA"/>
    <n v="22"/>
    <n v="0"/>
    <m/>
    <m/>
    <n v="0"/>
    <s v="F121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6"/>
    <n v="0"/>
    <n v="5.3888888888888893"/>
    <n v="0"/>
    <s v="YELLOW"/>
    <s v="C01471Y"/>
    <s v="ToyoLi - YELLOW"/>
    <n v="30"/>
    <n v="0"/>
    <m/>
    <m/>
    <n v="0"/>
    <s v="RTMD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0"/>
    <n v="0"/>
    <n v="15.777777777777779"/>
    <n v="0"/>
    <s v="WHITE"/>
    <m/>
    <s v="ToyoLi - WHITE"/>
    <m/>
    <n v="0"/>
    <m/>
    <m/>
    <n v="0"/>
    <s v="F640"/>
    <s v="HSLAS"/>
    <m/>
    <m/>
    <m/>
    <m/>
    <m/>
    <m/>
    <n v="60"/>
    <n v="0"/>
    <n v="6.06"/>
    <n v="0"/>
    <m/>
    <n v="0"/>
    <m/>
    <n v="0"/>
    <m/>
    <n v="0"/>
    <m/>
    <n v="0"/>
    <m/>
    <n v="0"/>
    <m/>
    <n v="0"/>
    <s v="ToyoLi"/>
    <n v="25"/>
    <n v="0"/>
    <n v="121.89333333333335"/>
    <n v="0"/>
    <s v="MATT"/>
    <s v="C01471M"/>
    <s v="ToyoLi - MATT"/>
    <n v="30"/>
    <n v="0"/>
    <m/>
    <m/>
    <n v="0"/>
    <n v="55"/>
    <s v="NWBBK"/>
    <m/>
    <m/>
    <m/>
    <m/>
    <m/>
    <m/>
    <n v="60"/>
    <n v="0"/>
    <n v="15"/>
    <n v="0"/>
    <m/>
    <n v="0"/>
    <m/>
    <n v="0"/>
    <m/>
    <n v="0"/>
    <m/>
    <n v="0"/>
    <m/>
    <n v="0"/>
    <m/>
    <n v="0"/>
    <s v="ToyoLi"/>
    <n v="30"/>
    <n v="0"/>
    <n v="115.41666666666669"/>
    <n v="0"/>
    <n v="9"/>
    <n v="8"/>
    <n v="2"/>
    <n v="2"/>
    <n v="2"/>
    <n v="4"/>
    <n v="30"/>
    <n v="15"/>
    <n v="0.3"/>
    <m/>
    <m/>
    <n v="0.5"/>
    <n v="0.2"/>
    <n v="0"/>
    <n v="194"/>
    <n v="0"/>
    <n v="0"/>
    <n v="194"/>
    <n v="194"/>
    <n v="58.199999999999996"/>
    <n v="0"/>
    <n v="0"/>
    <n v="0"/>
    <n v="0"/>
    <n v="0"/>
    <n v="97"/>
    <n v="0"/>
    <n v="38.800000000000004"/>
    <n v="0"/>
    <n v="0"/>
    <n v="0"/>
    <n v="0"/>
    <m/>
    <n v="208.76"/>
    <n v="366.76"/>
    <s v="TL115"/>
    <s v="ToyoLiToyoLiToyoLiToyoLiToyoLiToyoLiToyoLiToyoLi"/>
    <s v="+"/>
    <s v="+"/>
    <s v="+"/>
    <s v="+"/>
    <s v="+"/>
    <s v="+"/>
    <s v="+"/>
    <s v="+"/>
  </r>
  <r>
    <d v="2026-01-22T00:00:00"/>
    <s v="B"/>
    <x v="304"/>
    <s v="TL116"/>
    <n v="168"/>
    <n v="9000"/>
    <s v="I"/>
    <s v="N"/>
    <n v="2.5"/>
    <s v="REFLEX BLUE"/>
    <s v="C01470B"/>
    <s v="ToyoLi - REFLEX BLUE"/>
    <n v="27"/>
    <n v="0"/>
    <m/>
    <m/>
    <n v="0"/>
    <s v="R1205"/>
    <s v="R39"/>
    <m/>
    <m/>
    <m/>
    <m/>
    <m/>
    <m/>
    <n v="2"/>
    <n v="0"/>
    <n v="2"/>
    <n v="0"/>
    <m/>
    <n v="0"/>
    <m/>
    <n v="0"/>
    <m/>
    <n v="0"/>
    <m/>
    <n v="0"/>
    <m/>
    <n v="0"/>
    <m/>
    <n v="0"/>
    <s v="ToyoLi"/>
    <n v="25"/>
    <n v="0"/>
    <n v="8.3191489361702153"/>
    <n v="0"/>
    <s v="MAGENTA"/>
    <s v="C01470M"/>
    <s v="ToyoLi - MAGENTA"/>
    <n v="26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5"/>
    <n v="0"/>
    <n v="32.98936170212766"/>
    <n v="0"/>
    <s v="YELLOW"/>
    <s v="C01470Y"/>
    <s v="ToyoLi - YELLOW"/>
    <n v="30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2"/>
    <n v="0"/>
    <n v="38.51063829787234"/>
    <n v="0"/>
    <s v="WHITE"/>
    <s v="C01470W"/>
    <s v="ToyoLi - WHITE"/>
    <n v="25"/>
    <n v="0"/>
    <m/>
    <m/>
    <n v="0"/>
    <s v="F640"/>
    <s v="HSLAS"/>
    <m/>
    <m/>
    <m/>
    <m/>
    <m/>
    <m/>
    <n v="60"/>
    <n v="0"/>
    <n v="3.78"/>
    <n v="0"/>
    <m/>
    <n v="0"/>
    <m/>
    <n v="0"/>
    <m/>
    <n v="0"/>
    <m/>
    <n v="0"/>
    <m/>
    <n v="0"/>
    <m/>
    <n v="0"/>
    <s v="ToyoLi"/>
    <n v="30"/>
    <n v="0"/>
    <n v="93.567234042553196"/>
    <n v="0"/>
    <s v="MATT"/>
    <s v="C01470M"/>
    <s v="ToyoLi - MATT"/>
    <n v="30"/>
    <n v="0"/>
    <m/>
    <m/>
    <n v="0"/>
    <n v="55"/>
    <s v="NWBBK"/>
    <m/>
    <m/>
    <m/>
    <m/>
    <m/>
    <m/>
    <n v="40"/>
    <n v="0"/>
    <n v="10"/>
    <n v="0"/>
    <m/>
    <n v="0"/>
    <m/>
    <n v="0"/>
    <m/>
    <n v="0"/>
    <m/>
    <n v="0"/>
    <m/>
    <n v="0"/>
    <m/>
    <n v="0"/>
    <s v="ToyoLi"/>
    <n v="20"/>
    <n v="0"/>
    <n v="77.39361702127659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5"/>
    <n v="22"/>
    <n v="30"/>
    <n v="15"/>
    <n v="0"/>
    <n v="0"/>
    <n v="0"/>
    <n v="0.3"/>
    <m/>
    <m/>
    <n v="0.5"/>
    <n v="0.2"/>
    <n v="0"/>
    <n v="109"/>
    <n v="0"/>
    <n v="0"/>
    <n v="109"/>
    <n v="109"/>
    <n v="32.699999999999996"/>
    <n v="0"/>
    <n v="0"/>
    <n v="0"/>
    <n v="0"/>
    <n v="0"/>
    <n v="54.5"/>
    <n v="0"/>
    <n v="21.8"/>
    <n v="0"/>
    <n v="0"/>
    <n v="0"/>
    <n v="0"/>
    <m/>
    <n v="125.78"/>
    <n v="250.78000000000003"/>
    <s v="TL116"/>
    <s v="ToyoLiToyoLiToyoLiToyoLiToyoLi"/>
    <s v="+"/>
    <s v="+"/>
    <s v="+"/>
    <s v="+"/>
    <s v="+"/>
    <s v="NIL"/>
    <s v="NIL"/>
    <s v="NIL"/>
  </r>
  <r>
    <d v="2026-01-22T00:00:00"/>
    <s v="B"/>
    <x v="305"/>
    <s v="TL117"/>
    <n v="190"/>
    <n v="9200"/>
    <s v="I"/>
    <s v="N"/>
    <n v="3.4"/>
    <s v="BLACK"/>
    <s v="C01471B"/>
    <s v="ToyoLi - BLACK"/>
    <n v="26"/>
    <n v="0"/>
    <m/>
    <m/>
    <n v="0"/>
    <s v="RTMD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5"/>
    <n v="0"/>
    <n v="10.045454545454547"/>
    <n v="0"/>
    <s v="REFLEX BLUE"/>
    <s v="C01451B"/>
    <s v="ToyoLi - REFLEX BLUE"/>
    <n v="25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17"/>
    <n v="0"/>
    <n v="16.045454545454547"/>
    <n v="0"/>
    <s v="REFLEX BLUE"/>
    <s v="L00294P"/>
    <s v="ToyoLi - REFLEX BLUE"/>
    <n v="12"/>
    <n v="0"/>
    <m/>
    <m/>
    <n v="0"/>
    <s v="F121"/>
    <s v="R1205"/>
    <s v="Z822"/>
    <s v="RTMD"/>
    <m/>
    <m/>
    <m/>
    <m/>
    <n v="7"/>
    <n v="0"/>
    <n v="1"/>
    <n v="0"/>
    <n v="5"/>
    <n v="0"/>
    <n v="10"/>
    <n v="0"/>
    <m/>
    <n v="0"/>
    <m/>
    <n v="0"/>
    <m/>
    <n v="0"/>
    <m/>
    <n v="0"/>
    <s v="ToyoLi"/>
    <n v="22"/>
    <n v="0"/>
    <n v="28.11363636363636"/>
    <n v="0"/>
    <s v="CYAN"/>
    <s v="C01470C"/>
    <s v="ToyoLi - CYAN"/>
    <n v="26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0"/>
    <n v="13.06818181818182"/>
    <n v="0"/>
    <s v="MAGENTA"/>
    <s v="C01451M"/>
    <s v="ToyoLi - MAGENTA"/>
    <n v="25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4"/>
    <n v="0"/>
    <n v="12.06818181818182"/>
    <n v="0"/>
    <s v="YELLOW"/>
    <s v="C01451Y"/>
    <s v="ToyoLi - YELLOW"/>
    <n v="22"/>
    <n v="0"/>
    <m/>
    <m/>
    <n v="0"/>
    <s v="RTMD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3"/>
    <n v="0"/>
    <n v="15.090909090909093"/>
    <n v="0"/>
    <s v="WHITE"/>
    <s v="C01451W"/>
    <s v="ToyoLi - WHITE"/>
    <n v="30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30"/>
    <n v="0"/>
    <n v="60.22727272727272"/>
    <n v="0"/>
    <s v="MATT"/>
    <s v="C01451M"/>
    <s v="ToyoLi - MATT"/>
    <n v="20"/>
    <n v="0"/>
    <m/>
    <m/>
    <n v="0"/>
    <n v="55"/>
    <s v="NWBBK"/>
    <m/>
    <m/>
    <m/>
    <m/>
    <m/>
    <m/>
    <n v="60"/>
    <n v="0"/>
    <n v="15"/>
    <n v="0"/>
    <m/>
    <n v="0"/>
    <m/>
    <n v="0"/>
    <m/>
    <n v="0"/>
    <m/>
    <n v="0"/>
    <m/>
    <n v="0"/>
    <m/>
    <n v="0"/>
    <s v="ToyoLi"/>
    <n v="16"/>
    <n v="0"/>
    <n v="124.34090909090909"/>
    <n v="0"/>
    <n v="2"/>
    <n v="2"/>
    <n v="5"/>
    <n v="3"/>
    <n v="3"/>
    <n v="4"/>
    <n v="10"/>
    <n v="15"/>
    <n v="0.3"/>
    <m/>
    <m/>
    <n v="0.5"/>
    <n v="0.2"/>
    <n v="0"/>
    <n v="133"/>
    <n v="0"/>
    <n v="0"/>
    <n v="133"/>
    <n v="133"/>
    <n v="39.9"/>
    <n v="0"/>
    <n v="0"/>
    <n v="0"/>
    <n v="0"/>
    <n v="0"/>
    <n v="66.5"/>
    <n v="0"/>
    <n v="26.6"/>
    <n v="0"/>
    <n v="0"/>
    <n v="0"/>
    <n v="0"/>
    <m/>
    <n v="139"/>
    <n v="279"/>
    <s v="TL117"/>
    <s v="ToyoLiToyoLiToyoLiToyoLiToyoLiToyoLiToyoLiToyoLi"/>
    <s v="+"/>
    <s v="+"/>
    <s v="+"/>
    <s v="+"/>
    <s v="+"/>
    <s v="+"/>
    <s v="+"/>
    <s v="+"/>
  </r>
  <r>
    <d v="2026-01-22T00:00:00"/>
    <s v="B"/>
    <x v="306"/>
    <s v="TL118"/>
    <n v="7386"/>
    <n v="367300"/>
    <s v="I"/>
    <s v="N"/>
    <n v="1.3"/>
    <s v="BLACK"/>
    <s v="J01003B"/>
    <s v="ToyoLi - BLACK"/>
    <n v="25"/>
    <n v="0"/>
    <m/>
    <m/>
    <n v="0"/>
    <s v="R92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20"/>
    <n v="0"/>
    <n v="25.934856175972925"/>
    <n v="0"/>
    <s v="REFLEX BLUE"/>
    <s v="J00977B"/>
    <s v="ToyoLi - REFLEX BLUE"/>
    <n v="17"/>
    <n v="0"/>
    <s v="J00977B/J00975B/B01067B/J00992B/C01471B/N00795B/N00784B/P00456B/J010030B/G00406B/P00456B"/>
    <n v="197"/>
    <n v="0"/>
    <s v="R1205"/>
    <s v="F121"/>
    <s v="R1205"/>
    <s v="F121"/>
    <m/>
    <m/>
    <m/>
    <m/>
    <n v="180"/>
    <n v="0"/>
    <n v="90"/>
    <n v="0"/>
    <n v="160"/>
    <n v="0"/>
    <n v="140"/>
    <n v="0"/>
    <m/>
    <n v="0"/>
    <m/>
    <n v="0"/>
    <m/>
    <n v="0"/>
    <m/>
    <n v="0"/>
    <s v="ToyoLi"/>
    <n v="36"/>
    <n v="0"/>
    <n v="1316.6125211505923"/>
    <n v="0"/>
    <s v="MAGENTA"/>
    <s v="F00859M"/>
    <s v="ToyoLi - MAGENTA"/>
    <n v="33"/>
    <n v="0"/>
    <m/>
    <m/>
    <n v="0"/>
    <s v="F121"/>
    <s v="RTMD"/>
    <m/>
    <m/>
    <m/>
    <m/>
    <m/>
    <m/>
    <n v="20"/>
    <n v="0"/>
    <n v="15"/>
    <n v="0"/>
    <m/>
    <n v="0"/>
    <m/>
    <n v="0"/>
    <m/>
    <n v="0"/>
    <m/>
    <n v="0"/>
    <m/>
    <n v="0"/>
    <m/>
    <n v="0"/>
    <s v="ToyoLi"/>
    <n v="33"/>
    <n v="0"/>
    <n v="100.60913705583755"/>
    <n v="0"/>
    <s v="YELLOW"/>
    <m/>
    <s v="ToyoLi - YELLOW"/>
    <m/>
    <n v="0"/>
    <m/>
    <m/>
    <n v="0"/>
    <s v="F23T"/>
    <s v="F53"/>
    <m/>
    <m/>
    <m/>
    <m/>
    <m/>
    <m/>
    <n v="50"/>
    <n v="0"/>
    <n v="0.5"/>
    <n v="0"/>
    <m/>
    <n v="0"/>
    <m/>
    <n v="0"/>
    <m/>
    <n v="0"/>
    <m/>
    <n v="0"/>
    <m/>
    <n v="0"/>
    <m/>
    <n v="0"/>
    <s v="ToyoLi"/>
    <n v="25"/>
    <n v="0"/>
    <n v="58.304568527918775"/>
    <n v="0"/>
    <s v="CYAN"/>
    <s v="J00399C"/>
    <s v="ToyoLi - CYAN"/>
    <n v="18"/>
    <n v="0"/>
    <s v="F00889C/R00007R/G00399C/P00463C/P00463C"/>
    <n v="146"/>
    <n v="0"/>
    <s v="R39"/>
    <s v="RTMD"/>
    <s v="RTMD"/>
    <s v="R39"/>
    <m/>
    <m/>
    <m/>
    <m/>
    <n v="85"/>
    <n v="0"/>
    <n v="90"/>
    <n v="0"/>
    <n v="140"/>
    <n v="0"/>
    <n v="180"/>
    <n v="0"/>
    <m/>
    <n v="0"/>
    <m/>
    <n v="0"/>
    <m/>
    <n v="0"/>
    <m/>
    <n v="0"/>
    <s v="ToyoLi"/>
    <n v="32"/>
    <n v="0"/>
    <n v="1261.2216582064298"/>
    <n v="0"/>
    <s v="MAGENTA"/>
    <s v="J01003M"/>
    <s v="ToyoLi - MAGENTA"/>
    <n v="24"/>
    <n v="0"/>
    <m/>
    <m/>
    <n v="0"/>
    <s v="F121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0"/>
    <n v="0"/>
    <n v="14.308798646362099"/>
    <n v="0"/>
    <s v="YELLOW"/>
    <s v="J01003Y"/>
    <s v="ToyoLi - YELLOW"/>
    <n v="23"/>
    <n v="0"/>
    <m/>
    <m/>
    <n v="0"/>
    <s v="F23T"/>
    <m/>
    <m/>
    <m/>
    <m/>
    <m/>
    <m/>
    <m/>
    <n v="160"/>
    <n v="0"/>
    <m/>
    <n v="0"/>
    <m/>
    <n v="0"/>
    <m/>
    <n v="0"/>
    <m/>
    <n v="0"/>
    <m/>
    <n v="0"/>
    <m/>
    <n v="0"/>
    <m/>
    <n v="0"/>
    <s v="ToyoLi"/>
    <n v="24"/>
    <n v="0"/>
    <n v="366.76226734348563"/>
    <n v="0"/>
    <s v="WHITE"/>
    <s v="J01003W"/>
    <s v="ToyoLi - WHITE"/>
    <n v="30"/>
    <n v="0"/>
    <m/>
    <m/>
    <n v="0"/>
    <s v="F640"/>
    <m/>
    <m/>
    <m/>
    <m/>
    <m/>
    <m/>
    <m/>
    <n v="900"/>
    <n v="0"/>
    <m/>
    <n v="0"/>
    <m/>
    <n v="0"/>
    <m/>
    <n v="0"/>
    <m/>
    <n v="0"/>
    <m/>
    <n v="0"/>
    <m/>
    <n v="0"/>
    <m/>
    <n v="0"/>
    <s v="ToyoLi"/>
    <n v="25"/>
    <n v="0"/>
    <n v="1954.746192893401"/>
    <n v="0"/>
    <n v="5"/>
    <n v="260"/>
    <n v="30"/>
    <n v="15"/>
    <n v="290"/>
    <n v="7"/>
    <n v="95"/>
    <n v="480"/>
    <n v="0.3"/>
    <m/>
    <m/>
    <n v="0.5"/>
    <n v="0.2"/>
    <n v="0"/>
    <n v="2585"/>
    <n v="0"/>
    <n v="0"/>
    <n v="2585"/>
    <n v="2585"/>
    <n v="775.5"/>
    <n v="0"/>
    <n v="0"/>
    <n v="0"/>
    <n v="0"/>
    <n v="0"/>
    <n v="1292.5"/>
    <n v="0"/>
    <n v="517"/>
    <n v="0"/>
    <n v="0"/>
    <n v="0"/>
    <n v="0"/>
    <m/>
    <n v="2225.5"/>
    <n v="5098.5"/>
    <s v="TL118"/>
    <s v="ToyoLiToyoLiToyoLiToyoLiToyoLiToyoLiToyoLiToyoLi"/>
    <s v="+"/>
    <s v="+"/>
    <s v="+"/>
    <s v="+"/>
    <s v="+"/>
    <s v="+"/>
    <s v="+"/>
    <s v="+"/>
  </r>
  <r>
    <d v="2026-01-23T00:00:00"/>
    <s v="B"/>
    <x v="307"/>
    <s v="TL119"/>
    <n v="25"/>
    <n v="1600"/>
    <s v="I"/>
    <s v="N"/>
    <n v="0.5"/>
    <s v="BLACK"/>
    <s v="L00324B"/>
    <s v="ToyoLi - BLACK"/>
    <n v="20"/>
    <n v="0"/>
    <m/>
    <m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5"/>
    <n v="0"/>
    <n v="12"/>
    <n v="0"/>
    <s v="ORANGE"/>
    <s v="L00324O"/>
    <s v="ToyoLi - ORANGE"/>
    <n v="25"/>
    <n v="0"/>
    <m/>
    <m/>
    <n v="0"/>
    <s v="F23T"/>
    <s v="F53"/>
    <m/>
    <m/>
    <m/>
    <m/>
    <m/>
    <m/>
    <n v="2"/>
    <n v="0"/>
    <n v="3"/>
    <n v="0"/>
    <m/>
    <n v="0"/>
    <m/>
    <n v="0"/>
    <m/>
    <n v="0"/>
    <m/>
    <n v="0"/>
    <m/>
    <n v="0"/>
    <m/>
    <n v="0"/>
    <s v="ToyoLi"/>
    <n v="18"/>
    <n v="0"/>
    <n v="2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2"/>
    <n v="0"/>
    <n v="0"/>
    <n v="0"/>
    <n v="0"/>
    <n v="0"/>
    <n v="0"/>
    <n v="0.3"/>
    <m/>
    <m/>
    <n v="0.5"/>
    <n v="0.2"/>
    <n v="0"/>
    <n v="20"/>
    <n v="0"/>
    <n v="0"/>
    <n v="20"/>
    <n v="20"/>
    <n v="6"/>
    <n v="0"/>
    <n v="0"/>
    <n v="0"/>
    <n v="0"/>
    <n v="0"/>
    <n v="10"/>
    <n v="0"/>
    <n v="4"/>
    <n v="0"/>
    <n v="0"/>
    <n v="0"/>
    <n v="0"/>
    <m/>
    <n v="10"/>
    <n v="32"/>
    <s v="TL119"/>
    <s v="ToyoLiToyoLi"/>
    <s v="+"/>
    <s v="+"/>
    <s v="NIL"/>
    <s v="NIL"/>
    <s v="NIL"/>
    <s v="NIL"/>
    <s v="NIL"/>
    <s v="NIL"/>
  </r>
  <r>
    <d v="2026-01-23T00:00:00"/>
    <s v="B"/>
    <x v="308"/>
    <s v="TL120"/>
    <n v="166"/>
    <n v="10800"/>
    <s v="I"/>
    <s v="N"/>
    <n v="0.5"/>
    <s v="BLACK"/>
    <s v="C01513B"/>
    <s v="ToyoLi - BLACK"/>
    <n v="25"/>
    <n v="0"/>
    <m/>
    <m/>
    <n v="0"/>
    <s v="R92"/>
    <m/>
    <m/>
    <m/>
    <m/>
    <m/>
    <m/>
    <m/>
    <n v="7"/>
    <n v="0"/>
    <m/>
    <n v="0"/>
    <m/>
    <n v="0"/>
    <m/>
    <n v="0"/>
    <m/>
    <n v="0"/>
    <m/>
    <n v="0"/>
    <m/>
    <n v="0"/>
    <m/>
    <n v="0"/>
    <s v="ToyoLi"/>
    <n v="24"/>
    <n v="0"/>
    <n v="14"/>
    <n v="0"/>
    <s v="YELLOW"/>
    <s v="L00324Y"/>
    <s v="ToyoLi - YELLOW"/>
    <n v="24"/>
    <n v="0"/>
    <m/>
    <m/>
    <n v="0"/>
    <s v="F23T"/>
    <m/>
    <m/>
    <m/>
    <m/>
    <m/>
    <m/>
    <m/>
    <n v="28"/>
    <n v="0"/>
    <m/>
    <n v="0"/>
    <m/>
    <n v="0"/>
    <m/>
    <n v="0"/>
    <m/>
    <n v="0"/>
    <m/>
    <n v="0"/>
    <m/>
    <n v="0"/>
    <m/>
    <n v="0"/>
    <s v="ToyoLi"/>
    <n v="22"/>
    <n v="0"/>
    <n v="6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17"/>
    <n v="0"/>
    <n v="0"/>
    <n v="0"/>
    <n v="0"/>
    <n v="0"/>
    <n v="0"/>
    <n v="0.3"/>
    <m/>
    <m/>
    <n v="0.5"/>
    <n v="0.2"/>
    <n v="0"/>
    <n v="40"/>
    <n v="0"/>
    <n v="0"/>
    <n v="40"/>
    <n v="40"/>
    <n v="12"/>
    <n v="0"/>
    <n v="0"/>
    <n v="0"/>
    <n v="0"/>
    <n v="0"/>
    <n v="20"/>
    <n v="0"/>
    <n v="8"/>
    <n v="0"/>
    <n v="0"/>
    <n v="0"/>
    <n v="0"/>
    <m/>
    <n v="35"/>
    <n v="78"/>
    <s v="TL120"/>
    <s v="ToyoLiToyoLi"/>
    <s v="+"/>
    <s v="+"/>
    <s v="NIL"/>
    <s v="NIL"/>
    <s v="NIL"/>
    <s v="NIL"/>
    <s v="NIL"/>
    <s v="NIL"/>
  </r>
  <r>
    <d v="2026-01-23T00:00:00"/>
    <s v="B"/>
    <x v="309"/>
    <s v="TL121"/>
    <n v="25"/>
    <n v="1600"/>
    <s v="I"/>
    <s v="N"/>
    <n v="0.5"/>
    <s v="BLACK"/>
    <s v="C01512B"/>
    <s v="ToyoLi - BLACK"/>
    <n v="24"/>
    <n v="0"/>
    <m/>
    <m/>
    <n v="0"/>
    <s v="R92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5"/>
    <n v="0"/>
    <n v="3.5714285714285694"/>
    <n v="0"/>
    <s v="RED"/>
    <m/>
    <s v="ToyoLi - RED"/>
    <m/>
    <n v="0"/>
    <m/>
    <m/>
    <n v="0"/>
    <s v="F121"/>
    <s v="F53"/>
    <s v="R92"/>
    <m/>
    <m/>
    <m/>
    <m/>
    <m/>
    <n v="10"/>
    <n v="0"/>
    <n v="8"/>
    <n v="0"/>
    <n v="0.2"/>
    <n v="0"/>
    <m/>
    <n v="0"/>
    <m/>
    <n v="0"/>
    <m/>
    <n v="0"/>
    <m/>
    <n v="0"/>
    <m/>
    <n v="0"/>
    <s v="ToyoLi"/>
    <n v="24"/>
    <n v="0"/>
    <n v="15.62857142857142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2"/>
    <n v="0"/>
    <n v="0"/>
    <n v="0"/>
    <n v="0"/>
    <n v="0"/>
    <n v="0"/>
    <n v="0.3"/>
    <m/>
    <m/>
    <n v="0.5"/>
    <n v="0.2"/>
    <n v="0"/>
    <n v="25"/>
    <n v="0"/>
    <n v="0"/>
    <n v="25"/>
    <n v="25"/>
    <n v="7.5"/>
    <n v="0"/>
    <n v="0"/>
    <n v="0"/>
    <n v="0"/>
    <n v="0"/>
    <n v="12.5"/>
    <n v="0"/>
    <n v="5"/>
    <n v="0"/>
    <n v="0"/>
    <n v="0"/>
    <n v="0"/>
    <m/>
    <n v="19.2"/>
    <n v="19.199999999999996"/>
    <s v="TL121"/>
    <s v="ToyoLiToyoLi"/>
    <s v="+"/>
    <s v="+"/>
    <s v="NIL"/>
    <s v="NIL"/>
    <s v="NIL"/>
    <s v="NIL"/>
    <s v="NIL"/>
    <s v="NIL"/>
  </r>
  <r>
    <d v="2026-01-23T00:00:00"/>
    <s v="B"/>
    <x v="310"/>
    <s v="TL122"/>
    <n v="41"/>
    <n v="2700"/>
    <s v="I"/>
    <s v="N"/>
    <n v="0.5"/>
    <s v="BLACK"/>
    <s v="C01517B"/>
    <s v="ToyoLi - BLACK"/>
    <n v="25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4"/>
    <n v="0"/>
    <n v="8.5555555555555571"/>
    <n v="0"/>
    <s v="CYAN"/>
    <s v="L00324C"/>
    <s v="ToyoLi - CYAN"/>
    <n v="12"/>
    <n v="0"/>
    <m/>
    <m/>
    <n v="0"/>
    <s v="R39"/>
    <s v="RTMD"/>
    <m/>
    <m/>
    <m/>
    <m/>
    <m/>
    <m/>
    <n v="8"/>
    <n v="0"/>
    <n v="8"/>
    <n v="0"/>
    <m/>
    <n v="0"/>
    <m/>
    <n v="0"/>
    <m/>
    <n v="0"/>
    <m/>
    <n v="0"/>
    <m/>
    <n v="0"/>
    <m/>
    <n v="0"/>
    <s v="ToyoLi"/>
    <n v="25"/>
    <n v="0"/>
    <n v="22.44444444444444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7"/>
    <n v="0"/>
    <n v="0"/>
    <n v="0"/>
    <n v="0"/>
    <n v="0"/>
    <n v="0"/>
    <n v="0.3"/>
    <m/>
    <m/>
    <n v="0.5"/>
    <n v="0.2"/>
    <n v="0"/>
    <n v="25"/>
    <n v="0"/>
    <n v="0"/>
    <n v="25"/>
    <n v="25"/>
    <n v="7.5"/>
    <n v="0"/>
    <n v="0"/>
    <n v="0"/>
    <n v="0"/>
    <n v="0"/>
    <n v="12.5"/>
    <n v="0"/>
    <n v="5"/>
    <n v="0"/>
    <n v="0"/>
    <n v="0"/>
    <n v="0"/>
    <m/>
    <n v="18"/>
    <n v="31"/>
    <s v="TL122"/>
    <s v="ToyoLiToyoLi"/>
    <s v="+"/>
    <s v="+"/>
    <s v="NIL"/>
    <s v="NIL"/>
    <s v="NIL"/>
    <s v="NIL"/>
    <s v="NIL"/>
    <s v="NIL"/>
  </r>
  <r>
    <d v="2026-01-23T00:00:00"/>
    <s v="B"/>
    <x v="311"/>
    <s v="TL123"/>
    <n v="293"/>
    <n v="15100"/>
    <s v="I"/>
    <s v="N"/>
    <n v="0.4"/>
    <s v="BLACK"/>
    <s v="C01515B"/>
    <s v="ToyoLi - BLACK"/>
    <n v="24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10"/>
    <n v="0"/>
    <s v="YELLOW"/>
    <s v="C01512Y"/>
    <s v="ToyoLi - YELLOW"/>
    <n v="22"/>
    <n v="0"/>
    <m/>
    <m/>
    <n v="0"/>
    <s v="F23T"/>
    <s v="F53"/>
    <m/>
    <m/>
    <m/>
    <m/>
    <m/>
    <m/>
    <n v="8"/>
    <n v="0"/>
    <n v="2"/>
    <n v="0"/>
    <m/>
    <n v="0"/>
    <m/>
    <n v="0"/>
    <m/>
    <n v="0"/>
    <m/>
    <n v="0"/>
    <m/>
    <n v="0"/>
    <m/>
    <n v="0"/>
    <s v="ToyoLi"/>
    <n v="17"/>
    <n v="0"/>
    <n v="28.5"/>
    <n v="0"/>
    <s v="WHITE"/>
    <s v="L00324W"/>
    <s v="ToyoLi - WHITE"/>
    <n v="25"/>
    <n v="0"/>
    <m/>
    <m/>
    <n v="0"/>
    <s v="F640"/>
    <s v="HSLAS"/>
    <m/>
    <m/>
    <m/>
    <m/>
    <m/>
    <m/>
    <n v="20"/>
    <n v="0"/>
    <n v="2.02"/>
    <n v="0"/>
    <m/>
    <n v="0"/>
    <m/>
    <n v="0"/>
    <m/>
    <n v="0"/>
    <m/>
    <n v="0"/>
    <m/>
    <n v="0"/>
    <m/>
    <n v="0"/>
    <s v="ToyoLi"/>
    <n v="22"/>
    <n v="0"/>
    <n v="47.5200000000000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5"/>
    <n v="0"/>
    <n v="0"/>
    <n v="0"/>
    <n v="0"/>
    <n v="0"/>
    <n v="0.3"/>
    <m/>
    <m/>
    <n v="0.5"/>
    <n v="0.2"/>
    <n v="0"/>
    <n v="45"/>
    <n v="0"/>
    <n v="0"/>
    <n v="45"/>
    <n v="45"/>
    <n v="13.5"/>
    <n v="0"/>
    <n v="0"/>
    <n v="0"/>
    <n v="0"/>
    <n v="0"/>
    <n v="22.5"/>
    <n v="0"/>
    <n v="9"/>
    <n v="0"/>
    <n v="0"/>
    <n v="0"/>
    <n v="0"/>
    <m/>
    <n v="34.020000000000003"/>
    <n v="86.02000000000001"/>
    <s v="TL123"/>
    <s v="ToyoLiToyoLiToyoLi"/>
    <s v="+"/>
    <s v="+"/>
    <s v="+"/>
    <s v="NIL"/>
    <s v="NIL"/>
    <s v="NIL"/>
    <s v="NIL"/>
    <s v="NIL"/>
  </r>
  <r>
    <d v="2026-01-23T00:00:00"/>
    <s v="B"/>
    <x v="312"/>
    <s v="TL124"/>
    <n v="737"/>
    <n v="43300"/>
    <s v="I"/>
    <s v="N"/>
    <n v="1.76"/>
    <s v="BLACK"/>
    <s v="N00960B"/>
    <s v="ToyoLi - BLACK"/>
    <n v="25"/>
    <n v="0"/>
    <m/>
    <m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8"/>
    <n v="0"/>
    <n v="8.8800000000000026"/>
    <n v="0"/>
    <s v="GREEN"/>
    <s v="B01043G+"/>
    <s v="ToyoLi - GREEN"/>
    <n v="15"/>
    <n v="0"/>
    <m/>
    <m/>
    <n v="0"/>
    <s v="F23T"/>
    <s v="R79"/>
    <m/>
    <m/>
    <m/>
    <m/>
    <m/>
    <m/>
    <n v="5"/>
    <n v="0"/>
    <n v="1"/>
    <n v="0"/>
    <m/>
    <n v="0"/>
    <m/>
    <n v="0"/>
    <m/>
    <n v="0"/>
    <m/>
    <n v="0"/>
    <m/>
    <n v="0"/>
    <m/>
    <n v="0"/>
    <s v="ToyoLi"/>
    <n v="20"/>
    <n v="0"/>
    <n v="11.32"/>
    <n v="0"/>
    <s v="RED"/>
    <s v="B01073R"/>
    <s v="ToyoLi - RED"/>
    <n v="32"/>
    <n v="0"/>
    <m/>
    <m/>
    <n v="0"/>
    <s v="F121"/>
    <s v="F53"/>
    <m/>
    <m/>
    <m/>
    <m/>
    <m/>
    <m/>
    <n v="60"/>
    <n v="0"/>
    <n v="70"/>
    <n v="0"/>
    <m/>
    <n v="0"/>
    <m/>
    <n v="0"/>
    <m/>
    <n v="0"/>
    <m/>
    <n v="0"/>
    <m/>
    <n v="0"/>
    <m/>
    <n v="0"/>
    <s v="ToyoLi"/>
    <n v="30"/>
    <n v="0"/>
    <n v="218"/>
    <n v="0"/>
    <s v="YELLOW"/>
    <s v="B01049Y"/>
    <s v="ToyoLi - YELLOW"/>
    <n v="10"/>
    <n v="0"/>
    <m/>
    <m/>
    <n v="0"/>
    <s v="F23T"/>
    <m/>
    <m/>
    <m/>
    <m/>
    <m/>
    <m/>
    <m/>
    <n v="15"/>
    <n v="0"/>
    <m/>
    <n v="0"/>
    <m/>
    <n v="0"/>
    <m/>
    <n v="0"/>
    <m/>
    <n v="0"/>
    <m/>
    <n v="0"/>
    <m/>
    <n v="0"/>
    <m/>
    <n v="0"/>
    <s v="ToyoLi"/>
    <n v="27"/>
    <n v="0"/>
    <n v="15.200000000000003"/>
    <n v="0"/>
    <s v="WHITE"/>
    <s v="N00960W"/>
    <s v="ToyoLi - WHITE"/>
    <n v="22"/>
    <n v="0"/>
    <m/>
    <m/>
    <n v="0"/>
    <s v="F640"/>
    <s v="HSLAS"/>
    <m/>
    <m/>
    <m/>
    <m/>
    <m/>
    <m/>
    <n v="80"/>
    <n v="0"/>
    <n v="8.64"/>
    <n v="0"/>
    <m/>
    <n v="0"/>
    <m/>
    <n v="0"/>
    <m/>
    <n v="0"/>
    <m/>
    <n v="0"/>
    <m/>
    <n v="0"/>
    <m/>
    <n v="0"/>
    <s v="ToyoLi"/>
    <n v="30"/>
    <n v="0"/>
    <n v="218.2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25"/>
    <n v="5"/>
    <n v="40"/>
    <n v="0"/>
    <n v="0"/>
    <n v="0"/>
    <n v="0.3"/>
    <m/>
    <m/>
    <n v="0.5"/>
    <n v="0.2"/>
    <n v="0"/>
    <n v="258"/>
    <n v="0"/>
    <n v="0"/>
    <n v="258"/>
    <n v="258"/>
    <n v="77.399999999999991"/>
    <n v="0"/>
    <n v="0"/>
    <n v="0"/>
    <n v="0"/>
    <n v="0"/>
    <n v="129"/>
    <n v="0"/>
    <n v="51.6"/>
    <n v="0"/>
    <n v="0"/>
    <n v="0"/>
    <n v="0"/>
    <m/>
    <n v="244.64"/>
    <n v="471.64"/>
    <s v="TL124"/>
    <s v="ToyoLiToyoLiToyoLiToyoLiToyoLi"/>
    <s v="+"/>
    <s v="+"/>
    <s v="+"/>
    <s v="+"/>
    <s v="+"/>
    <s v="NIL"/>
    <s v="NIL"/>
    <s v="NIL"/>
  </r>
  <r>
    <d v="2026-01-24T00:00:00"/>
    <s v="A"/>
    <x v="313"/>
    <s v="TL125"/>
    <n v="278"/>
    <n v="17500"/>
    <s v="I"/>
    <s v="N"/>
    <n v="1.2"/>
    <s v="BLACK"/>
    <s v="B01070B"/>
    <s v="ToyoLi - BLACK"/>
    <n v="28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9.759999999999998"/>
    <n v="0"/>
    <s v="RED"/>
    <s v="B01070R"/>
    <s v="ToyoLi - RED"/>
    <n v="30"/>
    <n v="0"/>
    <m/>
    <m/>
    <n v="0"/>
    <s v="F121"/>
    <s v="F53"/>
    <m/>
    <m/>
    <m/>
    <m/>
    <m/>
    <m/>
    <n v="20"/>
    <n v="0"/>
    <n v="25"/>
    <n v="0"/>
    <m/>
    <n v="0"/>
    <m/>
    <n v="0"/>
    <m/>
    <n v="0"/>
    <m/>
    <n v="0"/>
    <m/>
    <n v="0"/>
    <m/>
    <n v="0"/>
    <s v="ToyoLi"/>
    <n v="28"/>
    <n v="0"/>
    <n v="70.28"/>
    <n v="0"/>
    <s v="GREEN"/>
    <s v="B01070G"/>
    <s v="ToyoLi - GREEN"/>
    <n v="20"/>
    <n v="0"/>
    <m/>
    <m/>
    <n v="0"/>
    <s v="F23T"/>
    <s v="R39"/>
    <m/>
    <m/>
    <m/>
    <m/>
    <m/>
    <m/>
    <n v="6"/>
    <n v="0"/>
    <n v="1"/>
    <n v="0"/>
    <m/>
    <n v="0"/>
    <m/>
    <n v="0"/>
    <m/>
    <n v="0"/>
    <m/>
    <n v="0"/>
    <m/>
    <n v="0"/>
    <m/>
    <n v="0"/>
    <s v="ToyoLi"/>
    <n v="27"/>
    <n v="0"/>
    <n v="7.759999999999998"/>
    <n v="0"/>
    <s v="WHITE"/>
    <s v="B01070W"/>
    <s v="ToyoLi - WHITE"/>
    <n v="30"/>
    <n v="0"/>
    <m/>
    <m/>
    <n v="0"/>
    <s v="F640"/>
    <s v="HSLAS"/>
    <m/>
    <m/>
    <m/>
    <m/>
    <m/>
    <m/>
    <n v="30"/>
    <n v="0"/>
    <n v="4.1399999999999997"/>
    <n v="0"/>
    <m/>
    <n v="0"/>
    <m/>
    <n v="0"/>
    <m/>
    <n v="0"/>
    <m/>
    <n v="0"/>
    <m/>
    <n v="0"/>
    <m/>
    <n v="0"/>
    <s v="ToyoLi"/>
    <n v="30"/>
    <n v="0"/>
    <n v="92.3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"/>
    <n v="2"/>
    <n v="15"/>
    <n v="0"/>
    <n v="0"/>
    <n v="0"/>
    <n v="0"/>
    <n v="0.3"/>
    <m/>
    <m/>
    <n v="0.5"/>
    <n v="0.2"/>
    <n v="0"/>
    <n v="97"/>
    <n v="0"/>
    <n v="0"/>
    <n v="97"/>
    <n v="97"/>
    <n v="29.099999999999998"/>
    <n v="0"/>
    <n v="0"/>
    <n v="0"/>
    <n v="0"/>
    <n v="0"/>
    <n v="48.5"/>
    <n v="0"/>
    <n v="19.400000000000002"/>
    <n v="0"/>
    <n v="0"/>
    <n v="0"/>
    <n v="0"/>
    <m/>
    <n v="88.14"/>
    <n v="180.14"/>
    <s v="TL125"/>
    <s v="ToyoLiToyoLiToyoLiToyoLi"/>
    <s v="+"/>
    <s v="+"/>
    <s v="+"/>
    <s v="+"/>
    <s v="NIL"/>
    <s v="NIL"/>
    <s v="NIL"/>
    <s v="NIL"/>
  </r>
  <r>
    <d v="2026-01-24T00:00:00"/>
    <s v="A"/>
    <x v="314"/>
    <s v="TL126"/>
    <n v="237"/>
    <n v="15100"/>
    <s v="I"/>
    <s v="N"/>
    <n v="2"/>
    <s v="BLACK"/>
    <s v="B01075B"/>
    <s v="ToyoLi - BLACK"/>
    <n v="28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9.5454545454545467"/>
    <n v="0"/>
    <s v="RED"/>
    <s v="B01075R"/>
    <s v="ToyoLi - RED"/>
    <n v="28"/>
    <n v="0"/>
    <m/>
    <m/>
    <n v="0"/>
    <s v="F121"/>
    <s v="F53"/>
    <m/>
    <m/>
    <m/>
    <m/>
    <m/>
    <m/>
    <n v="15"/>
    <n v="0"/>
    <n v="20"/>
    <n v="0"/>
    <m/>
    <n v="0"/>
    <m/>
    <n v="0"/>
    <m/>
    <n v="0"/>
    <m/>
    <n v="0"/>
    <m/>
    <n v="0"/>
    <m/>
    <n v="0"/>
    <s v="ToyoLi"/>
    <n v="30"/>
    <n v="0"/>
    <n v="55.636363636363626"/>
    <n v="0"/>
    <s v="GREEN"/>
    <s v="B01075G"/>
    <s v="ToyoLi - GREEN"/>
    <n v="27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9.5454545454545467"/>
    <n v="0"/>
    <s v="YELLOW"/>
    <s v="B01070Y"/>
    <s v="ToyoLi - YELLOW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0"/>
    <n v="9.5454545454545467"/>
    <n v="0"/>
    <s v="WHITE"/>
    <s v="B01075W"/>
    <s v="ToyoLi - WHITE"/>
    <n v="30"/>
    <n v="0"/>
    <m/>
    <m/>
    <n v="0"/>
    <s v="F640"/>
    <s v="HSLAS"/>
    <m/>
    <m/>
    <m/>
    <m/>
    <m/>
    <m/>
    <n v="25"/>
    <n v="0"/>
    <n v="4.0199999999999996"/>
    <n v="0"/>
    <m/>
    <n v="0"/>
    <m/>
    <n v="0"/>
    <m/>
    <n v="0"/>
    <m/>
    <n v="0"/>
    <m/>
    <n v="0"/>
    <m/>
    <n v="0"/>
    <s v="ToyoLi"/>
    <n v="30"/>
    <n v="0"/>
    <n v="66.7472727272727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"/>
    <n v="2"/>
    <n v="2"/>
    <n v="10"/>
    <n v="0"/>
    <n v="0"/>
    <n v="0"/>
    <n v="0.3"/>
    <m/>
    <m/>
    <n v="0.5"/>
    <n v="0.2"/>
    <n v="0"/>
    <n v="83"/>
    <n v="0"/>
    <n v="0"/>
    <n v="83"/>
    <n v="83"/>
    <n v="24.9"/>
    <n v="0"/>
    <n v="0"/>
    <n v="0"/>
    <n v="0"/>
    <n v="0"/>
    <n v="41.5"/>
    <n v="0"/>
    <n v="16.600000000000001"/>
    <n v="0"/>
    <n v="0"/>
    <n v="0"/>
    <n v="0"/>
    <m/>
    <n v="68.02"/>
    <n v="151.01999999999998"/>
    <s v="TL126"/>
    <s v="ToyoLiToyoLiToyoLiToyoLiToyoLi"/>
    <s v="+"/>
    <s v="+"/>
    <s v="+"/>
    <s v="+"/>
    <s v="+"/>
    <s v="NIL"/>
    <s v="NIL"/>
    <s v="NIL"/>
  </r>
  <r>
    <d v="2026-01-24T00:00:00"/>
    <s v="A"/>
    <x v="315"/>
    <s v="TL127"/>
    <n v="788"/>
    <n v="65800"/>
    <s v="I"/>
    <s v="N"/>
    <n v="1.21"/>
    <s v="BLACK"/>
    <s v="B01072B"/>
    <s v="ToyoLi - BLACK"/>
    <n v="28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7"/>
    <n v="0"/>
    <n v="10.899999999999999"/>
    <n v="0"/>
    <s v="RED"/>
    <s v="B01072R"/>
    <s v="ToyoLi - RED"/>
    <n v="30"/>
    <n v="0"/>
    <m/>
    <m/>
    <n v="0"/>
    <s v="F121"/>
    <s v="F53"/>
    <m/>
    <m/>
    <m/>
    <m/>
    <m/>
    <m/>
    <n v="50"/>
    <n v="0"/>
    <n v="60"/>
    <n v="0"/>
    <m/>
    <n v="0"/>
    <m/>
    <n v="0"/>
    <m/>
    <n v="0"/>
    <m/>
    <n v="0"/>
    <m/>
    <n v="0"/>
    <m/>
    <n v="0"/>
    <s v="ToyoLi"/>
    <n v="27"/>
    <n v="0"/>
    <n v="168.2"/>
    <n v="0"/>
    <s v="GREEN"/>
    <s v="B01072G"/>
    <s v="ToyoLi - GREEN"/>
    <n v="27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0"/>
    <n v="0"/>
    <n v="15.899999999999999"/>
    <n v="0"/>
    <s v="WHITE"/>
    <s v="B01072W"/>
    <s v="ToyoLi - WHITE"/>
    <n v="30"/>
    <n v="0"/>
    <m/>
    <m/>
    <n v="0"/>
    <s v="F640"/>
    <s v="HSLAS"/>
    <m/>
    <m/>
    <m/>
    <m/>
    <m/>
    <m/>
    <n v="140"/>
    <n v="0"/>
    <n v="9.3699999999999992"/>
    <n v="0"/>
    <m/>
    <n v="0"/>
    <m/>
    <n v="0"/>
    <m/>
    <n v="0"/>
    <m/>
    <n v="0"/>
    <m/>
    <n v="0"/>
    <m/>
    <n v="0"/>
    <s v="ToyoLi"/>
    <n v="30"/>
    <n v="0"/>
    <n v="356.3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6"/>
    <n v="2"/>
    <n v="60"/>
    <n v="0"/>
    <n v="0"/>
    <n v="0"/>
    <n v="0"/>
    <n v="0.3"/>
    <m/>
    <m/>
    <n v="0.5"/>
    <n v="0.2"/>
    <n v="0"/>
    <n v="276"/>
    <n v="0"/>
    <n v="0"/>
    <n v="276"/>
    <n v="276"/>
    <n v="82.8"/>
    <n v="0"/>
    <n v="0"/>
    <n v="0"/>
    <n v="0"/>
    <n v="0"/>
    <n v="138"/>
    <n v="0"/>
    <n v="55.2"/>
    <n v="0"/>
    <n v="0"/>
    <n v="0"/>
    <n v="0"/>
    <m/>
    <n v="264.37"/>
    <n v="551.37"/>
    <s v="TL127"/>
    <s v="ToyoLiToyoLiToyoLiToyoLi"/>
    <s v="+"/>
    <s v="+"/>
    <s v="+"/>
    <s v="+"/>
    <s v="NIL"/>
    <s v="NIL"/>
    <s v="NIL"/>
    <s v="NIL"/>
  </r>
  <r>
    <d v="2026-01-24T00:00:00"/>
    <s v="A"/>
    <x v="316"/>
    <s v="TL128"/>
    <n v="254"/>
    <n v="13600"/>
    <s v="I"/>
    <s v="N"/>
    <n v="1.62"/>
    <s v="BLACK"/>
    <s v="N00795G"/>
    <s v="ToyoLi - BLACK"/>
    <n v="18"/>
    <n v="0"/>
    <s v="J01001G"/>
    <n v="17"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4"/>
    <n v="0"/>
    <n v="18.629629629629633"/>
    <n v="0"/>
    <s v="BLACK"/>
    <s v="F00859B"/>
    <s v="ToyoLi - BLACK"/>
    <n v="20"/>
    <n v="0"/>
    <s v="F00859B/C01513B/C01466B"/>
    <n v="42"/>
    <n v="0"/>
    <s v="R92"/>
    <s v="F121"/>
    <s v="F53"/>
    <m/>
    <m/>
    <m/>
    <m/>
    <m/>
    <n v="6"/>
    <n v="0"/>
    <n v="2"/>
    <n v="0"/>
    <n v="5"/>
    <n v="0"/>
    <m/>
    <n v="0"/>
    <m/>
    <n v="0"/>
    <m/>
    <n v="0"/>
    <m/>
    <n v="0"/>
    <m/>
    <n v="0"/>
    <s v="ToyoLi"/>
    <n v="36"/>
    <n v="0"/>
    <n v="67.148148148148152"/>
    <n v="0"/>
    <s v="WHITE"/>
    <s v="B01076W"/>
    <s v="ToyoLi - WHITE"/>
    <n v="30"/>
    <n v="0"/>
    <m/>
    <m/>
    <n v="0"/>
    <s v="F640"/>
    <s v="HSLAS"/>
    <m/>
    <m/>
    <m/>
    <m/>
    <m/>
    <m/>
    <n v="30"/>
    <n v="0"/>
    <n v="3.25"/>
    <n v="0"/>
    <m/>
    <n v="0"/>
    <m/>
    <n v="0"/>
    <m/>
    <n v="0"/>
    <m/>
    <n v="0"/>
    <m/>
    <n v="0"/>
    <m/>
    <n v="0"/>
    <s v="ToyoLi"/>
    <n v="25"/>
    <n v="0"/>
    <n v="80.47222222222222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15"/>
    <n v="0"/>
    <n v="0"/>
    <n v="0"/>
    <n v="0"/>
    <n v="0"/>
    <n v="0.3"/>
    <m/>
    <m/>
    <n v="0.5"/>
    <n v="0.2"/>
    <n v="0"/>
    <n v="76"/>
    <n v="0"/>
    <n v="0"/>
    <n v="76"/>
    <n v="76"/>
    <n v="22.8"/>
    <n v="0"/>
    <n v="0"/>
    <n v="0"/>
    <n v="0"/>
    <n v="0"/>
    <n v="38"/>
    <n v="0"/>
    <n v="15.200000000000001"/>
    <n v="0"/>
    <n v="0"/>
    <n v="0"/>
    <n v="0"/>
    <m/>
    <n v="48.25"/>
    <n v="166.25"/>
    <s v="TL128"/>
    <s v="ToyoLiToyoLiToyoLi"/>
    <s v="+"/>
    <s v="+"/>
    <s v="+"/>
    <s v="NIL"/>
    <s v="NIL"/>
    <s v="NIL"/>
    <s v="NIL"/>
    <s v="NIL"/>
  </r>
  <r>
    <d v="2026-01-24T00:00:00"/>
    <s v="B"/>
    <x v="317"/>
    <s v="TL129"/>
    <n v="255"/>
    <n v="12500"/>
    <s v="I"/>
    <s v="N"/>
    <n v="0.92"/>
    <s v="BLACK"/>
    <s v="B01076B"/>
    <s v="ToyoLi - BLACK"/>
    <n v="27"/>
    <n v="0"/>
    <m/>
    <m/>
    <n v="0"/>
    <s v="R92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5"/>
    <n v="0"/>
    <n v="5.375"/>
    <n v="0"/>
    <s v="RED"/>
    <s v="B01076R"/>
    <s v="ToyoLi - RED"/>
    <n v="27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5.375"/>
    <n v="0"/>
    <s v="ORANGE"/>
    <m/>
    <s v="ToyoLi - ORANGE"/>
    <m/>
    <n v="0"/>
    <m/>
    <m/>
    <n v="0"/>
    <s v="F53"/>
    <s v="F32"/>
    <m/>
    <m/>
    <m/>
    <m/>
    <m/>
    <m/>
    <n v="20"/>
    <n v="0"/>
    <n v="8"/>
    <n v="0"/>
    <m/>
    <n v="0"/>
    <m/>
    <n v="0"/>
    <m/>
    <n v="0"/>
    <m/>
    <n v="0"/>
    <m/>
    <n v="0"/>
    <m/>
    <n v="0"/>
    <s v="ToyoLi"/>
    <n v="22"/>
    <n v="0"/>
    <n v="34.5"/>
    <n v="0"/>
    <s v="GREEN"/>
    <s v="J00994G"/>
    <s v="ToyoLi - GREEN"/>
    <n v="14"/>
    <n v="0"/>
    <m/>
    <m/>
    <n v="0"/>
    <s v="R79"/>
    <s v="R39"/>
    <s v="F23T"/>
    <m/>
    <m/>
    <m/>
    <m/>
    <m/>
    <n v="3"/>
    <n v="0"/>
    <n v="2"/>
    <n v="0"/>
    <n v="4"/>
    <n v="0"/>
    <m/>
    <n v="0"/>
    <m/>
    <n v="0"/>
    <m/>
    <n v="0"/>
    <m/>
    <n v="0"/>
    <m/>
    <n v="0"/>
    <s v="ToyoLi"/>
    <n v="23"/>
    <n v="0"/>
    <n v="11.875"/>
    <n v="0"/>
    <s v="YELLOW"/>
    <s v="N00795Y"/>
    <s v="ToyoLi - YELLOW"/>
    <n v="18"/>
    <n v="0"/>
    <m/>
    <m/>
    <n v="0"/>
    <s v="F23T"/>
    <s v="F53"/>
    <s v="F640"/>
    <m/>
    <m/>
    <m/>
    <m/>
    <m/>
    <n v="2"/>
    <n v="0"/>
    <n v="2"/>
    <n v="0"/>
    <n v="5"/>
    <n v="0"/>
    <m/>
    <n v="0"/>
    <m/>
    <n v="0"/>
    <m/>
    <n v="0"/>
    <m/>
    <n v="0"/>
    <m/>
    <n v="0"/>
    <s v="ToyoLi"/>
    <n v="24"/>
    <n v="0"/>
    <n v="10.125"/>
    <n v="0"/>
    <s v="WHITE"/>
    <s v="G00409W"/>
    <s v="ToyoLi - WHITE"/>
    <n v="25"/>
    <n v="0"/>
    <m/>
    <m/>
    <n v="0"/>
    <s v="F640"/>
    <s v="HSLAS"/>
    <m/>
    <m/>
    <m/>
    <m/>
    <m/>
    <m/>
    <n v="20"/>
    <n v="0"/>
    <n v="3.73"/>
    <n v="0"/>
    <m/>
    <n v="0"/>
    <m/>
    <n v="0"/>
    <m/>
    <n v="0"/>
    <m/>
    <n v="0"/>
    <m/>
    <n v="0"/>
    <m/>
    <n v="0"/>
    <s v="ToyoLi"/>
    <n v="20"/>
    <n v="0"/>
    <n v="52.4799999999999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n v="1"/>
    <n v="12"/>
    <n v="5"/>
    <n v="3"/>
    <n v="10"/>
    <n v="0"/>
    <n v="0"/>
    <n v="0.3"/>
    <m/>
    <m/>
    <n v="0.5"/>
    <n v="0.2"/>
    <n v="0"/>
    <n v="76"/>
    <n v="0"/>
    <n v="0"/>
    <n v="76"/>
    <n v="76"/>
    <n v="22.8"/>
    <n v="0"/>
    <n v="0"/>
    <n v="0"/>
    <n v="0"/>
    <n v="0"/>
    <n v="38"/>
    <n v="0"/>
    <n v="15.200000000000001"/>
    <n v="0"/>
    <n v="0"/>
    <n v="0"/>
    <n v="0"/>
    <m/>
    <n v="72.73"/>
    <n v="119.72999999999999"/>
    <s v="TL129"/>
    <s v="ToyoLiToyoLiToyoLiToyoLiToyoLiToyoLi"/>
    <s v="+"/>
    <s v="+"/>
    <s v="+"/>
    <s v="+"/>
    <s v="+"/>
    <s v="+"/>
    <s v="NIL"/>
    <s v="NIL"/>
  </r>
  <r>
    <d v="2026-01-24T00:00:00"/>
    <s v="B"/>
    <x v="318"/>
    <s v="TL130"/>
    <n v="80"/>
    <n v="5200"/>
    <s v="I"/>
    <s v="N"/>
    <n v="0.5"/>
    <s v="BLACK"/>
    <m/>
    <s v="ToyoLi - BLACK"/>
    <m/>
    <n v="0"/>
    <m/>
    <m/>
    <n v="0"/>
    <s v="R92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16"/>
    <n v="0"/>
    <n v="9.6521739130434767"/>
    <n v="0"/>
    <s v="RED"/>
    <m/>
    <s v="ToyoLi - RED"/>
    <m/>
    <n v="0"/>
    <m/>
    <m/>
    <n v="0"/>
    <s v="F121"/>
    <s v="F53"/>
    <s v="R92"/>
    <m/>
    <m/>
    <m/>
    <m/>
    <m/>
    <n v="10"/>
    <n v="0"/>
    <n v="5"/>
    <n v="0"/>
    <n v="0.2"/>
    <n v="0"/>
    <m/>
    <n v="0"/>
    <m/>
    <n v="0"/>
    <m/>
    <n v="0"/>
    <m/>
    <n v="0"/>
    <m/>
    <n v="0"/>
    <s v="ToyoLi"/>
    <n v="22"/>
    <n v="0"/>
    <n v="12.765217391304347"/>
    <n v="0"/>
    <s v="YELLOW"/>
    <s v="B01072Y"/>
    <s v="ToyoLi - YELLOW"/>
    <n v="25"/>
    <n v="0"/>
    <m/>
    <m/>
    <n v="0"/>
    <s v="F23T"/>
    <s v="RTMD"/>
    <m/>
    <m/>
    <m/>
    <m/>
    <m/>
    <m/>
    <n v="10"/>
    <n v="0"/>
    <n v="5"/>
    <n v="0"/>
    <m/>
    <n v="0"/>
    <m/>
    <n v="0"/>
    <m/>
    <n v="0"/>
    <m/>
    <n v="0"/>
    <m/>
    <n v="0"/>
    <m/>
    <n v="0"/>
    <s v="ToyoLi"/>
    <n v="20"/>
    <n v="0"/>
    <n v="29.78260869565217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8"/>
    <n v="10"/>
    <n v="5"/>
    <n v="0"/>
    <n v="0"/>
    <n v="0"/>
    <n v="0"/>
    <n v="0"/>
    <n v="0.3"/>
    <m/>
    <m/>
    <n v="0.5"/>
    <n v="0.2"/>
    <n v="0"/>
    <n v="45"/>
    <n v="0"/>
    <n v="0"/>
    <n v="45"/>
    <n v="45"/>
    <n v="13.5"/>
    <n v="0"/>
    <n v="0"/>
    <n v="0"/>
    <n v="0"/>
    <n v="0"/>
    <n v="22.5"/>
    <n v="0"/>
    <n v="9"/>
    <n v="0"/>
    <n v="0"/>
    <n v="0"/>
    <n v="0"/>
    <m/>
    <n v="40.200000000000003"/>
    <n v="52.199999999999996"/>
    <s v="TL130"/>
    <s v="ToyoLiToyoLiToyoLi"/>
    <s v="+"/>
    <s v="+"/>
    <s v="+"/>
    <s v="NIL"/>
    <s v="NIL"/>
    <s v="NIL"/>
    <s v="NIL"/>
    <s v="NIL"/>
  </r>
  <r>
    <d v="2026-01-24T00:00:00"/>
    <s v="B"/>
    <x v="319"/>
    <s v="TL131"/>
    <n v="705"/>
    <n v="41400"/>
    <s v="I"/>
    <s v="N"/>
    <n v="1.4"/>
    <s v="BLACK"/>
    <s v="C01519B"/>
    <s v="ToyoLi - BLACK"/>
    <n v="16"/>
    <n v="0"/>
    <s v="G00410B"/>
    <n v="15"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11.678160919540232"/>
    <n v="0"/>
    <s v="REFLEX BLUE"/>
    <m/>
    <s v="ToyoLi - REFLEX BLUE"/>
    <m/>
    <n v="0"/>
    <m/>
    <m/>
    <n v="0"/>
    <s v="F121"/>
    <s v="Z822"/>
    <s v="R1205"/>
    <s v="R92"/>
    <m/>
    <m/>
    <m/>
    <m/>
    <n v="10"/>
    <n v="0"/>
    <n v="5"/>
    <n v="0"/>
    <n v="3"/>
    <n v="0"/>
    <n v="4"/>
    <n v="0"/>
    <m/>
    <n v="0"/>
    <m/>
    <n v="0"/>
    <m/>
    <n v="0"/>
    <m/>
    <n v="0"/>
    <s v="ToyoLi"/>
    <n v="26"/>
    <n v="0"/>
    <n v="17.293103448275865"/>
    <n v="0"/>
    <s v="RED"/>
    <s v="C01519R"/>
    <s v="ToyoLi - RED"/>
    <n v="22"/>
    <n v="0"/>
    <s v="G00410R"/>
    <n v="10"/>
    <n v="0"/>
    <s v="F121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2"/>
    <n v="0"/>
    <n v="19.258620689655174"/>
    <n v="0"/>
    <s v="REFLEX BLUE"/>
    <s v="C00324RB"/>
    <s v="ToyoLi - REFLEX BLUE"/>
    <n v="20"/>
    <n v="0"/>
    <s v="C01515B"/>
    <n v="25"/>
    <n v="0"/>
    <s v="R39"/>
    <s v="RTMD"/>
    <s v="F23T"/>
    <m/>
    <m/>
    <m/>
    <m/>
    <m/>
    <n v="20"/>
    <n v="0"/>
    <n v="20"/>
    <n v="0"/>
    <n v="1"/>
    <n v="0"/>
    <m/>
    <n v="0"/>
    <m/>
    <n v="0"/>
    <m/>
    <n v="0"/>
    <m/>
    <n v="0"/>
    <m/>
    <n v="0"/>
    <s v="ToyoLi"/>
    <n v="22"/>
    <n v="0"/>
    <n v="89.551724137931032"/>
    <n v="0"/>
    <s v="CYAN"/>
    <m/>
    <s v="ToyoLi - CYAN"/>
    <m/>
    <n v="0"/>
    <m/>
    <m/>
    <n v="0"/>
    <s v="R39"/>
    <s v="RTMD"/>
    <m/>
    <m/>
    <m/>
    <m/>
    <m/>
    <m/>
    <n v="15"/>
    <n v="0"/>
    <n v="10"/>
    <n v="0"/>
    <m/>
    <n v="0"/>
    <m/>
    <n v="0"/>
    <m/>
    <n v="0"/>
    <m/>
    <n v="0"/>
    <m/>
    <n v="0"/>
    <m/>
    <n v="0"/>
    <s v="ToyoLi"/>
    <n v="30"/>
    <n v="0"/>
    <n v="16.293103448275865"/>
    <n v="0"/>
    <s v="MAGENTA"/>
    <m/>
    <s v="ToyoLi - MAGENTA"/>
    <m/>
    <n v="0"/>
    <m/>
    <m/>
    <n v="0"/>
    <s v="F121"/>
    <s v="RTMD"/>
    <m/>
    <m/>
    <m/>
    <m/>
    <m/>
    <m/>
    <n v="10"/>
    <n v="0"/>
    <n v="8"/>
    <n v="0"/>
    <m/>
    <n v="0"/>
    <m/>
    <n v="0"/>
    <m/>
    <n v="0"/>
    <m/>
    <n v="0"/>
    <m/>
    <n v="0"/>
    <m/>
    <n v="0"/>
    <s v="ToyoLi"/>
    <n v="26"/>
    <n v="0"/>
    <n v="11.8735632183908"/>
    <n v="0"/>
    <s v="YELLOW"/>
    <s v="C01519Y"/>
    <s v="ToyoLi - YELLOW"/>
    <n v="20"/>
    <n v="0"/>
    <m/>
    <m/>
    <n v="0"/>
    <s v="RTMD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5"/>
    <n v="0"/>
    <n v="7.0977011494252906"/>
    <n v="0"/>
    <s v="WHITE"/>
    <s v="G00410W"/>
    <s v="ToyoLi - WHITE"/>
    <n v="20"/>
    <n v="0"/>
    <m/>
    <m/>
    <n v="0"/>
    <s v="F640"/>
    <s v="HSLAS"/>
    <m/>
    <m/>
    <m/>
    <m/>
    <m/>
    <m/>
    <n v="150"/>
    <n v="0"/>
    <n v="9.9600000000000009"/>
    <n v="0"/>
    <m/>
    <n v="0"/>
    <m/>
    <n v="0"/>
    <m/>
    <n v="0"/>
    <m/>
    <n v="0"/>
    <m/>
    <n v="0"/>
    <m/>
    <n v="0"/>
    <s v="ToyoLi"/>
    <n v="40"/>
    <n v="0"/>
    <n v="281.91402298850574"/>
    <n v="0"/>
    <n v="4"/>
    <n v="15"/>
    <n v="3"/>
    <n v="18"/>
    <n v="15"/>
    <n v="14"/>
    <n v="5"/>
    <n v="100"/>
    <n v="0.3"/>
    <m/>
    <m/>
    <n v="0.5"/>
    <n v="0.2"/>
    <n v="0"/>
    <n v="247"/>
    <n v="0"/>
    <n v="0"/>
    <n v="247"/>
    <n v="247"/>
    <n v="74.099999999999994"/>
    <n v="0"/>
    <n v="0"/>
    <n v="0"/>
    <n v="0"/>
    <n v="0"/>
    <n v="123.5"/>
    <n v="0"/>
    <n v="49.400000000000006"/>
    <n v="0"/>
    <n v="0"/>
    <n v="0"/>
    <n v="0"/>
    <m/>
    <n v="277.95999999999998"/>
    <n v="454.96"/>
    <s v="TL131"/>
    <s v="ToyoLiToyoLiToyoLiToyoLiToyoLiToyoLiToyoLiToyoLi"/>
    <s v="+"/>
    <s v="+"/>
    <s v="+"/>
    <s v="+"/>
    <s v="+"/>
    <s v="+"/>
    <s v="+"/>
    <s v="+"/>
  </r>
  <r>
    <d v="2026-01-24T00:00:00"/>
    <s v="B"/>
    <x v="320"/>
    <s v="TL132"/>
    <n v="705"/>
    <n v="41400"/>
    <s v="I"/>
    <s v="N"/>
    <n v="1.4"/>
    <s v="BLACK"/>
    <s v="L00333B"/>
    <s v="ToyoLi - BLACK"/>
    <n v="27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4"/>
    <n v="0"/>
    <n v="9.2586206896551744"/>
    <n v="0"/>
    <s v="REFLEX BLUE"/>
    <s v="N00795B"/>
    <s v="ToyoLi - REFLEX BLUE"/>
    <n v="20"/>
    <n v="0"/>
    <m/>
    <m/>
    <n v="0"/>
    <s v="Z822"/>
    <s v="RTMD"/>
    <m/>
    <m/>
    <m/>
    <m/>
    <m/>
    <m/>
    <n v="3"/>
    <n v="0"/>
    <n v="3"/>
    <n v="0"/>
    <m/>
    <n v="0"/>
    <m/>
    <n v="0"/>
    <m/>
    <n v="0"/>
    <m/>
    <n v="0"/>
    <m/>
    <n v="0"/>
    <m/>
    <n v="0"/>
    <s v="ToyoLi"/>
    <n v="23"/>
    <n v="0"/>
    <n v="7.2586206896551744"/>
    <n v="0"/>
    <s v="RED"/>
    <s v="L00333R"/>
    <s v="ToyoLi - RED"/>
    <n v="22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0"/>
    <n v="0"/>
    <n v="4"/>
    <n v="0"/>
    <s v="YELLOW"/>
    <s v="G00410Y"/>
    <s v="ToyoLi - YELLOW"/>
    <n v="24"/>
    <n v="0"/>
    <s v="C01513Y"/>
    <n v="5"/>
    <n v="0"/>
    <s v="F23T"/>
    <s v="R92"/>
    <s v="F53"/>
    <m/>
    <m/>
    <m/>
    <m/>
    <m/>
    <n v="20"/>
    <n v="0"/>
    <n v="0.3"/>
    <n v="0"/>
    <n v="8"/>
    <n v="0"/>
    <m/>
    <n v="0"/>
    <m/>
    <n v="0"/>
    <m/>
    <n v="0"/>
    <m/>
    <n v="0"/>
    <m/>
    <n v="0"/>
    <s v="ToyoLi"/>
    <n v="21"/>
    <n v="0"/>
    <n v="61.851724137931029"/>
    <n v="0"/>
    <s v="CYAN"/>
    <s v="L00333C"/>
    <s v="ToyoLi - CYAN"/>
    <n v="30"/>
    <n v="0"/>
    <m/>
    <m/>
    <n v="0"/>
    <s v="R39"/>
    <s v="RTMD"/>
    <m/>
    <m/>
    <m/>
    <m/>
    <m/>
    <m/>
    <n v="35"/>
    <n v="0"/>
    <n v="10"/>
    <n v="0"/>
    <m/>
    <n v="0"/>
    <m/>
    <n v="0"/>
    <m/>
    <n v="0"/>
    <m/>
    <n v="0"/>
    <m/>
    <n v="0"/>
    <m/>
    <n v="0"/>
    <s v="ToyoLi"/>
    <n v="65"/>
    <n v="0"/>
    <n v="52.58620689655173"/>
    <n v="0"/>
    <s v="MAGENTA"/>
    <s v="L00333M"/>
    <s v="ToyoLi - MAGENTA"/>
    <n v="26"/>
    <n v="0"/>
    <m/>
    <m/>
    <n v="0"/>
    <s v="F121"/>
    <s v="RTMD"/>
    <m/>
    <m/>
    <m/>
    <m/>
    <m/>
    <m/>
    <n v="5"/>
    <n v="0"/>
    <n v="3"/>
    <n v="0"/>
    <m/>
    <n v="0"/>
    <m/>
    <n v="0"/>
    <m/>
    <n v="0"/>
    <m/>
    <n v="0"/>
    <m/>
    <n v="0"/>
    <m/>
    <n v="0"/>
    <s v="ToyoLi"/>
    <n v="24"/>
    <n v="0"/>
    <n v="20.646551724137936"/>
    <n v="0"/>
    <s v="YELLOW"/>
    <s v="L00333Y"/>
    <s v="ToyoLi - YELLOW"/>
    <n v="25"/>
    <n v="0"/>
    <m/>
    <m/>
    <n v="0"/>
    <s v="F23T"/>
    <s v="RTMD"/>
    <m/>
    <m/>
    <m/>
    <m/>
    <m/>
    <m/>
    <n v="30"/>
    <n v="0"/>
    <n v="15"/>
    <n v="0"/>
    <m/>
    <n v="0"/>
    <m/>
    <n v="0"/>
    <m/>
    <n v="0"/>
    <m/>
    <n v="0"/>
    <m/>
    <n v="0"/>
    <m/>
    <n v="0"/>
    <s v="ToyoLi"/>
    <n v="25"/>
    <n v="0"/>
    <n v="98.232758620689651"/>
    <n v="0"/>
    <s v="WHITE"/>
    <s v="L00333W"/>
    <s v="ToyoLi - WHITE"/>
    <n v="40"/>
    <n v="0"/>
    <m/>
    <m/>
    <n v="0"/>
    <s v="F640"/>
    <s v="HSLAS"/>
    <m/>
    <m/>
    <m/>
    <m/>
    <m/>
    <m/>
    <n v="80"/>
    <n v="0"/>
    <n v="9.4600000000000009"/>
    <n v="0"/>
    <m/>
    <n v="0"/>
    <m/>
    <n v="0"/>
    <m/>
    <n v="0"/>
    <m/>
    <n v="0"/>
    <m/>
    <n v="0"/>
    <m/>
    <n v="0"/>
    <s v="ToyoLi"/>
    <n v="30"/>
    <n v="0"/>
    <n v="205.92551724137931"/>
    <n v="0"/>
    <n v="2"/>
    <n v="2"/>
    <n v="0"/>
    <n v="12"/>
    <n v="20"/>
    <n v="5"/>
    <n v="25"/>
    <n v="50"/>
    <n v="0.3"/>
    <m/>
    <m/>
    <n v="0.5"/>
    <n v="0.2"/>
    <n v="0"/>
    <n v="247"/>
    <n v="0"/>
    <n v="0"/>
    <n v="247"/>
    <n v="247"/>
    <n v="74.099999999999994"/>
    <n v="0"/>
    <n v="0"/>
    <n v="0"/>
    <n v="0"/>
    <n v="0"/>
    <n v="123.5"/>
    <n v="0"/>
    <n v="49.400000000000006"/>
    <n v="0"/>
    <n v="0"/>
    <n v="0"/>
    <n v="0"/>
    <m/>
    <n v="225.76000000000002"/>
    <n v="459.76"/>
    <s v="TL132"/>
    <s v="ToyoLiToyoLiToyoLiToyoLiToyoLiToyoLiToyoLiToyoLi"/>
    <s v="+"/>
    <s v="+"/>
    <s v="+"/>
    <s v="+"/>
    <s v="+"/>
    <s v="+"/>
    <s v="+"/>
    <s v="+"/>
  </r>
  <r>
    <d v="2026-01-24T00:00:00"/>
    <s v="B"/>
    <x v="321"/>
    <s v="TL133"/>
    <n v="710"/>
    <n v="41700"/>
    <s v="I"/>
    <s v="N"/>
    <n v="1.25"/>
    <s v="BLACK"/>
    <s v="L00331B"/>
    <s v="ToyoLi - BLACK"/>
    <n v="24"/>
    <n v="0"/>
    <m/>
    <m/>
    <n v="0"/>
    <s v="R92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2"/>
    <n v="0"/>
    <n v="8.7368421052631575"/>
    <n v="0"/>
    <s v="REFLEX BLUE"/>
    <s v="L00331B"/>
    <s v="ToyoLi - REFLEX BLUE"/>
    <n v="23"/>
    <n v="0"/>
    <m/>
    <m/>
    <n v="0"/>
    <s v="RTMD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31"/>
    <n v="0"/>
    <n v="1.6052631578947398"/>
    <n v="0"/>
    <s v="RED"/>
    <s v="L00331R"/>
    <s v="ToyoLi - RED"/>
    <n v="20"/>
    <n v="0"/>
    <s v="B01049R"/>
    <n v="18"/>
    <n v="0"/>
    <s v="F53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18"/>
    <n v="0"/>
    <n v="27.60526315789474"/>
    <n v="0"/>
    <s v="RED"/>
    <s v="N00879R"/>
    <s v="ToyoLi - RED"/>
    <n v="20"/>
    <n v="0"/>
    <s v="G00410R"/>
    <n v="22"/>
    <n v="0"/>
    <s v="F121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36"/>
    <n v="0"/>
    <n v="64.026315789473685"/>
    <n v="0"/>
    <s v="CYAN"/>
    <s v="L00331C"/>
    <s v="ToyoLi - CYAN"/>
    <n v="25"/>
    <n v="0"/>
    <m/>
    <m/>
    <n v="0"/>
    <s v="RTMD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34"/>
    <n v="0"/>
    <n v="0.60526315789473983"/>
    <n v="0"/>
    <s v="MAGENTA"/>
    <s v="L00331M"/>
    <s v="ToyoLi - MAGENTA"/>
    <n v="24"/>
    <n v="0"/>
    <s v="L00324M"/>
    <n v="14"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19.60526315789474"/>
    <n v="0"/>
    <s v="YELLOW"/>
    <s v="L00331Y"/>
    <s v="ToyoLi - YELLOW"/>
    <n v="25"/>
    <n v="0"/>
    <m/>
    <m/>
    <n v="0"/>
    <s v="F23T"/>
    <s v="RTMD"/>
    <m/>
    <m/>
    <m/>
    <m/>
    <m/>
    <m/>
    <n v="20"/>
    <n v="0"/>
    <n v="10"/>
    <n v="0"/>
    <m/>
    <n v="0"/>
    <m/>
    <n v="0"/>
    <m/>
    <n v="0"/>
    <m/>
    <n v="0"/>
    <m/>
    <n v="0"/>
    <m/>
    <n v="0"/>
    <s v="ToyoLi"/>
    <n v="99"/>
    <n v="0"/>
    <n v="2.7105263157894797"/>
    <n v="0"/>
    <s v="WHITE"/>
    <s v="L00331W"/>
    <s v="ToyoLi - WHITE"/>
    <n v="30"/>
    <n v="0"/>
    <m/>
    <m/>
    <n v="0"/>
    <s v="F640"/>
    <s v="HSLAS"/>
    <m/>
    <m/>
    <m/>
    <m/>
    <m/>
    <m/>
    <n v="100"/>
    <n v="0"/>
    <n v="8.8800000000000008"/>
    <n v="0"/>
    <m/>
    <n v="0"/>
    <m/>
    <n v="0"/>
    <m/>
    <n v="0"/>
    <m/>
    <n v="0"/>
    <m/>
    <n v="0"/>
    <m/>
    <n v="0"/>
    <s v="ToyoLi"/>
    <n v="30"/>
    <n v="0"/>
    <n v="220.98526315789474"/>
    <n v="0"/>
    <n v="2"/>
    <n v="3"/>
    <n v="3"/>
    <n v="15"/>
    <n v="3"/>
    <n v="3"/>
    <n v="25"/>
    <n v="60"/>
    <n v="0.3"/>
    <m/>
    <m/>
    <n v="0.5"/>
    <n v="0.2"/>
    <n v="0"/>
    <n v="213"/>
    <n v="0"/>
    <n v="0"/>
    <n v="213"/>
    <n v="213"/>
    <n v="63.9"/>
    <n v="0"/>
    <n v="0"/>
    <n v="0"/>
    <n v="0"/>
    <n v="0"/>
    <n v="106.5"/>
    <n v="0"/>
    <n v="42.6"/>
    <n v="0"/>
    <n v="0"/>
    <n v="0"/>
    <n v="0"/>
    <m/>
    <n v="183.88"/>
    <n v="345.88"/>
    <s v="TL133"/>
    <s v="ToyoLiToyoLiToyoLiToyoLiToyoLiToyoLiToyoLiToyoLi"/>
    <s v="+"/>
    <s v="+"/>
    <s v="+"/>
    <s v="+"/>
    <s v="+"/>
    <s v="+"/>
    <s v="+"/>
    <s v="+"/>
  </r>
  <r>
    <d v="2026-01-25T00:00:00"/>
    <s v="A"/>
    <x v="322"/>
    <s v="TL134"/>
    <n v="293"/>
    <n v="15100"/>
    <s v="I"/>
    <s v="N"/>
    <n v="0.31"/>
    <s v="BLACK"/>
    <s v="L00330B"/>
    <s v="ToyoLi - BLACK"/>
    <n v="22"/>
    <n v="0"/>
    <m/>
    <m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4"/>
    <n v="0"/>
    <n v="10.333333333333336"/>
    <n v="0"/>
    <s v="WHITE"/>
    <s v="L00330W"/>
    <s v="ToyoLi - WHITE"/>
    <n v="30"/>
    <n v="0"/>
    <m/>
    <m/>
    <n v="0"/>
    <s v="F640"/>
    <s v="HSLAS"/>
    <m/>
    <m/>
    <m/>
    <m/>
    <m/>
    <m/>
    <n v="20"/>
    <n v="0"/>
    <n v="1.5"/>
    <n v="0"/>
    <m/>
    <n v="0"/>
    <m/>
    <n v="0"/>
    <m/>
    <n v="0"/>
    <m/>
    <n v="0"/>
    <m/>
    <n v="0"/>
    <m/>
    <n v="0"/>
    <s v="ToyoLi"/>
    <n v="30"/>
    <n v="0"/>
    <n v="58.16666666666667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0"/>
    <n v="0"/>
    <n v="0"/>
    <n v="0"/>
    <n v="0"/>
    <n v="0"/>
    <n v="0.3"/>
    <m/>
    <m/>
    <n v="0.5"/>
    <n v="0.2"/>
    <n v="0"/>
    <n v="44"/>
    <n v="0"/>
    <n v="0"/>
    <n v="44"/>
    <n v="44"/>
    <n v="13.2"/>
    <n v="0"/>
    <n v="0"/>
    <n v="0"/>
    <n v="0"/>
    <n v="0"/>
    <n v="22"/>
    <n v="0"/>
    <n v="8.8000000000000007"/>
    <n v="0"/>
    <n v="0"/>
    <n v="0"/>
    <n v="0"/>
    <m/>
    <n v="26.5"/>
    <n v="68.5"/>
    <s v="TL134"/>
    <s v="ToyoLiToyoLi"/>
    <s v="+"/>
    <s v="+"/>
    <s v="NIL"/>
    <s v="NIL"/>
    <s v="NIL"/>
    <s v="NIL"/>
    <s v="NIL"/>
    <s v="NIL"/>
  </r>
  <r>
    <d v="2026-01-26T00:00:00"/>
    <s v="A"/>
    <x v="323"/>
    <s v="TL135"/>
    <n v="3599"/>
    <n v="220200"/>
    <s v="I"/>
    <s v="N"/>
    <n v="1.95"/>
    <s v="BLACK"/>
    <m/>
    <s v="ToyoLi - BLACK"/>
    <m/>
    <n v="0"/>
    <m/>
    <m/>
    <n v="0"/>
    <s v="R92"/>
    <s v="RTMD"/>
    <m/>
    <m/>
    <m/>
    <m/>
    <m/>
    <m/>
    <n v="25"/>
    <n v="0"/>
    <n v="5"/>
    <n v="0"/>
    <m/>
    <n v="0"/>
    <m/>
    <n v="0"/>
    <m/>
    <n v="0"/>
    <m/>
    <n v="0"/>
    <m/>
    <n v="0"/>
    <m/>
    <n v="0"/>
    <s v="ToyoLi"/>
    <n v="28"/>
    <n v="0"/>
    <n v="56.966442953020135"/>
    <n v="0"/>
    <s v="BLACK"/>
    <s v="N00961B"/>
    <s v="ToyoLi - BLACK"/>
    <n v="16"/>
    <n v="0"/>
    <s v="C01444B/P00435B"/>
    <n v="38"/>
    <n v="0"/>
    <s v="R92"/>
    <m/>
    <m/>
    <m/>
    <m/>
    <m/>
    <m/>
    <m/>
    <n v="40"/>
    <n v="0"/>
    <m/>
    <n v="0"/>
    <m/>
    <n v="0"/>
    <m/>
    <n v="0"/>
    <m/>
    <n v="0"/>
    <m/>
    <n v="0"/>
    <m/>
    <n v="0"/>
    <m/>
    <n v="0"/>
    <s v="ToyoLi"/>
    <n v="24"/>
    <n v="0"/>
    <n v="137.65100671140939"/>
    <n v="0"/>
    <s v="RED"/>
    <s v="L00330R"/>
    <s v="ToyoLi - RED"/>
    <n v="18"/>
    <n v="0"/>
    <s v="C01557R"/>
    <n v="8"/>
    <n v="0"/>
    <s v="F53"/>
    <s v="F121"/>
    <s v="F32"/>
    <m/>
    <m/>
    <m/>
    <m/>
    <m/>
    <n v="215"/>
    <n v="0"/>
    <n v="215"/>
    <n v="0"/>
    <n v="10"/>
    <n v="0"/>
    <m/>
    <n v="0"/>
    <m/>
    <n v="0"/>
    <m/>
    <n v="0"/>
    <m/>
    <n v="0"/>
    <m/>
    <n v="0"/>
    <s v="ToyoLi"/>
    <n v="39"/>
    <n v="0"/>
    <n v="680.69127516778519"/>
    <n v="0"/>
    <s v="CYAN"/>
    <s v="L00330C"/>
    <s v="ToyoLi - CYAN"/>
    <n v="10"/>
    <n v="0"/>
    <m/>
    <m/>
    <n v="0"/>
    <s v="R39"/>
    <m/>
    <m/>
    <m/>
    <m/>
    <m/>
    <m/>
    <m/>
    <n v="11"/>
    <n v="0"/>
    <m/>
    <n v="0"/>
    <m/>
    <n v="0"/>
    <m/>
    <n v="0"/>
    <m/>
    <n v="0"/>
    <m/>
    <n v="0"/>
    <m/>
    <n v="0"/>
    <m/>
    <n v="0"/>
    <s v="ToyoLi"/>
    <n v="24"/>
    <n v="0"/>
    <n v="13.912751677852349"/>
    <n v="0"/>
    <s v="MAGENTA"/>
    <s v="L00330M"/>
    <s v="ToyoLi - MAGENTA"/>
    <n v="26"/>
    <n v="0"/>
    <s v="B01067M"/>
    <n v="18"/>
    <n v="0"/>
    <s v="RTMD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8"/>
    <n v="0"/>
    <n v="31.570469798657719"/>
    <n v="0"/>
    <s v="YELLOW"/>
    <s v="L00330Y"/>
    <s v="ToyoLi - YELLOW"/>
    <n v="10"/>
    <n v="0"/>
    <m/>
    <m/>
    <n v="0"/>
    <s v="F23T"/>
    <m/>
    <m/>
    <m/>
    <m/>
    <m/>
    <m/>
    <m/>
    <n v="60"/>
    <n v="0"/>
    <m/>
    <n v="0"/>
    <m/>
    <n v="0"/>
    <m/>
    <n v="0"/>
    <m/>
    <n v="0"/>
    <m/>
    <n v="0"/>
    <m/>
    <n v="0"/>
    <m/>
    <n v="0"/>
    <s v="ToyoLi"/>
    <n v="31"/>
    <n v="0"/>
    <n v="134.13422818791946"/>
    <n v="0"/>
    <s v="WHITE"/>
    <m/>
    <s v="ToyoLi - WHITE"/>
    <m/>
    <n v="0"/>
    <m/>
    <m/>
    <n v="0"/>
    <s v="F640"/>
    <m/>
    <m/>
    <m/>
    <m/>
    <m/>
    <m/>
    <m/>
    <n v="600"/>
    <n v="0"/>
    <m/>
    <n v="0"/>
    <m/>
    <n v="0"/>
    <m/>
    <n v="0"/>
    <m/>
    <n v="0"/>
    <m/>
    <n v="0"/>
    <m/>
    <n v="0"/>
    <m/>
    <n v="0"/>
    <s v="ToyoLi"/>
    <n v="21"/>
    <n v="0"/>
    <n v="1340.073825503355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6"/>
    <n v="32"/>
    <n v="120"/>
    <n v="8"/>
    <n v="5"/>
    <n v="45"/>
    <n v="360"/>
    <n v="0"/>
    <n v="0.3"/>
    <m/>
    <m/>
    <n v="0.5"/>
    <n v="0.2"/>
    <n v="0"/>
    <n v="1260"/>
    <n v="0"/>
    <n v="0"/>
    <n v="1260"/>
    <n v="1260"/>
    <n v="378"/>
    <n v="0"/>
    <n v="0"/>
    <n v="0"/>
    <n v="0"/>
    <n v="0"/>
    <n v="630"/>
    <n v="0"/>
    <n v="252"/>
    <n v="0"/>
    <n v="0"/>
    <n v="0"/>
    <n v="0"/>
    <m/>
    <n v="1186"/>
    <n v="2395"/>
    <s v="TL135"/>
    <s v="ToyoLiToyoLiToyoLiToyoLiToyoLiToyoLiToyoLi"/>
    <s v="+"/>
    <s v="+"/>
    <s v="+"/>
    <s v="+"/>
    <s v="+"/>
    <s v="+"/>
    <s v="+"/>
    <s v="NIL"/>
  </r>
  <r>
    <d v="2026-01-27T00:00:00"/>
    <s v="A"/>
    <x v="324"/>
    <s v="TL136"/>
    <n v="597"/>
    <n v="52600"/>
    <s v="I"/>
    <s v="N"/>
    <n v="1.5"/>
    <s v="BLACK"/>
    <s v="P00461B"/>
    <s v="ToyoLi - BLACK"/>
    <n v="24"/>
    <n v="0"/>
    <m/>
    <m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5"/>
    <n v="0"/>
    <n v="10.712499999999999"/>
    <n v="0"/>
    <s v="ORANGE"/>
    <s v="N00944O"/>
    <s v="ToyoLi - ORANGE"/>
    <n v="20"/>
    <n v="0"/>
    <s v="N00795O/J00945O/N00795O/N00944O"/>
    <n v="68"/>
    <n v="0"/>
    <s v="F53"/>
    <s v="F121"/>
    <s v="F23T"/>
    <m/>
    <m/>
    <m/>
    <m/>
    <m/>
    <n v="15"/>
    <n v="0"/>
    <n v="2"/>
    <n v="0"/>
    <n v="10"/>
    <n v="0"/>
    <m/>
    <n v="0"/>
    <m/>
    <n v="0"/>
    <m/>
    <n v="0"/>
    <m/>
    <n v="0"/>
    <m/>
    <n v="0"/>
    <s v="ToyoLi"/>
    <n v="26"/>
    <n v="0"/>
    <n v="100.1875"/>
    <n v="0"/>
    <s v="CYAN"/>
    <s v="P00461C"/>
    <s v="ToyoLi - CYAN"/>
    <n v="24"/>
    <n v="0"/>
    <m/>
    <m/>
    <n v="0"/>
    <s v="R39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4"/>
    <n v="0"/>
    <n v="7.4750000000000014"/>
    <n v="0"/>
    <s v="MAGENTA"/>
    <s v="P00461M"/>
    <s v="ToyoLi - MAGENTA"/>
    <n v="28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6"/>
    <n v="0"/>
    <n v="9.4750000000000014"/>
    <n v="0"/>
    <s v="YELLOW"/>
    <s v="L00330Y"/>
    <s v="ToyoLi - YELLOW"/>
    <n v="28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5"/>
    <n v="0"/>
    <n v="14.712499999999999"/>
    <n v="0"/>
    <s v="YELLOW"/>
    <s v="P00461U"/>
    <s v="ToyoLi - YELLOW"/>
    <n v="31"/>
    <n v="0"/>
    <m/>
    <m/>
    <n v="0"/>
    <s v="F23T"/>
    <s v="F53"/>
    <m/>
    <m/>
    <m/>
    <m/>
    <m/>
    <m/>
    <n v="15"/>
    <n v="0"/>
    <n v="0.1"/>
    <n v="0"/>
    <m/>
    <n v="0"/>
    <m/>
    <n v="0"/>
    <m/>
    <n v="0"/>
    <m/>
    <n v="0"/>
    <m/>
    <n v="0"/>
    <m/>
    <n v="0"/>
    <s v="ToyoLi"/>
    <n v="20"/>
    <n v="0"/>
    <n v="37.287500000000001"/>
    <n v="0"/>
    <s v="WHITE"/>
    <m/>
    <s v="ToyoLi - WHITE"/>
    <m/>
    <n v="0"/>
    <m/>
    <m/>
    <n v="0"/>
    <s v="F640"/>
    <s v="HSLAS"/>
    <m/>
    <m/>
    <m/>
    <m/>
    <m/>
    <m/>
    <n v="80"/>
    <n v="0"/>
    <n v="7.24"/>
    <n v="0"/>
    <m/>
    <n v="0"/>
    <m/>
    <n v="0"/>
    <m/>
    <n v="0"/>
    <m/>
    <n v="0"/>
    <m/>
    <n v="0"/>
    <m/>
    <n v="0"/>
    <s v="ToyoLi"/>
    <n v="20"/>
    <n v="0"/>
    <n v="201.4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5"/>
    <n v="2"/>
    <n v="2"/>
    <n v="3"/>
    <n v="5"/>
    <n v="60"/>
    <n v="0"/>
    <n v="0.3"/>
    <m/>
    <m/>
    <n v="0.5"/>
    <n v="0.2"/>
    <n v="0"/>
    <n v="179"/>
    <n v="0"/>
    <n v="0"/>
    <n v="179"/>
    <n v="179"/>
    <n v="53.699999999999996"/>
    <n v="0"/>
    <n v="0"/>
    <n v="0"/>
    <n v="0"/>
    <n v="0"/>
    <n v="89.5"/>
    <n v="0"/>
    <n v="35.800000000000004"/>
    <n v="0"/>
    <n v="0"/>
    <n v="0"/>
    <n v="0"/>
    <m/>
    <n v="145.34"/>
    <n v="381.34000000000003"/>
    <s v="TL136"/>
    <s v="ToyoLiToyoLiToyoLiToyoLiToyoLiToyoLiToyoLi"/>
    <s v="+"/>
    <s v="+"/>
    <s v="+"/>
    <s v="+"/>
    <s v="+"/>
    <s v="+"/>
    <s v="+"/>
    <s v="NIL"/>
  </r>
  <r>
    <d v="2026-01-27T00:00:00"/>
    <s v="A"/>
    <x v="325"/>
    <s v="TL137"/>
    <n v="596"/>
    <n v="52500"/>
    <s v="I"/>
    <s v="N"/>
    <n v="1.5"/>
    <s v="BLACK"/>
    <s v="J00873B"/>
    <s v="ToyoLi - BLACK"/>
    <n v="25"/>
    <n v="0"/>
    <m/>
    <m/>
    <n v="0"/>
    <s v="RTMD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4.0192307692307665"/>
    <n v="0"/>
    <s v="REFLEX BLUE"/>
    <s v="L00330B"/>
    <s v="ToyoLi - REFLEX BLUE"/>
    <n v="16"/>
    <n v="0"/>
    <s v="L00324B"/>
    <n v="36"/>
    <n v="0"/>
    <s v="R1205"/>
    <s v="R39"/>
    <m/>
    <m/>
    <m/>
    <m/>
    <m/>
    <m/>
    <n v="40"/>
    <n v="0"/>
    <n v="15"/>
    <n v="0"/>
    <m/>
    <n v="0"/>
    <m/>
    <n v="0"/>
    <m/>
    <n v="0"/>
    <m/>
    <n v="0"/>
    <m/>
    <n v="0"/>
    <m/>
    <n v="0"/>
    <s v="ToyoLi"/>
    <n v="20"/>
    <n v="0"/>
    <n v="137.24038461538461"/>
    <n v="0"/>
    <s v="CYAN"/>
    <s v="J00873C"/>
    <s v="ToyoLi - CYAN"/>
    <n v="24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4.0288461538461533"/>
    <n v="0"/>
    <s v="MAGENTA"/>
    <s v="J00873M"/>
    <s v="ToyoLi - MAGENTA"/>
    <n v="26"/>
    <n v="0"/>
    <m/>
    <m/>
    <n v="0"/>
    <s v="F121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6"/>
    <n v="0"/>
    <n v="10.028846153846153"/>
    <n v="0"/>
    <s v="YELLOW"/>
    <s v="J00873Y"/>
    <s v="ToyoLi - YELLOW"/>
    <n v="25"/>
    <n v="0"/>
    <m/>
    <m/>
    <n v="0"/>
    <s v="F23T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30"/>
    <n v="0"/>
    <n v="15.04807692307692"/>
    <n v="0"/>
    <s v="REFLEX BLUE"/>
    <m/>
    <s v="ToyoLi - REFLEX BLUE"/>
    <m/>
    <n v="0"/>
    <m/>
    <m/>
    <n v="0"/>
    <s v="R39"/>
    <s v="RTMD"/>
    <m/>
    <m/>
    <m/>
    <m/>
    <m/>
    <m/>
    <n v="5"/>
    <n v="0"/>
    <n v="20"/>
    <n v="0"/>
    <m/>
    <n v="0"/>
    <m/>
    <n v="0"/>
    <m/>
    <n v="0"/>
    <m/>
    <n v="0"/>
    <m/>
    <n v="0"/>
    <m/>
    <n v="0"/>
    <s v="ToyoLi"/>
    <n v="20"/>
    <n v="0"/>
    <n v="37.153846153846153"/>
    <n v="0"/>
    <s v="WHITE"/>
    <s v="J00873W"/>
    <s v="ToyoLi - WHITE"/>
    <n v="20"/>
    <n v="0"/>
    <m/>
    <m/>
    <n v="0"/>
    <s v="F640"/>
    <s v="HSLAS"/>
    <m/>
    <m/>
    <m/>
    <m/>
    <m/>
    <m/>
    <n v="90"/>
    <n v="0"/>
    <n v="8.25"/>
    <n v="0"/>
    <m/>
    <n v="0"/>
    <m/>
    <n v="0"/>
    <m/>
    <n v="0"/>
    <m/>
    <n v="0"/>
    <m/>
    <n v="0"/>
    <m/>
    <n v="0"/>
    <s v="ToyoLi"/>
    <n v="30"/>
    <n v="0"/>
    <n v="188.7307692307692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5"/>
    <n v="3"/>
    <n v="3"/>
    <n v="5"/>
    <n v="16"/>
    <n v="50"/>
    <n v="0"/>
    <n v="0.3"/>
    <m/>
    <m/>
    <n v="0.5"/>
    <n v="0.2"/>
    <n v="0"/>
    <n v="209"/>
    <n v="0"/>
    <n v="0"/>
    <n v="209"/>
    <n v="209"/>
    <n v="62.699999999999996"/>
    <n v="0"/>
    <n v="0"/>
    <n v="0"/>
    <n v="0"/>
    <n v="0"/>
    <n v="104.5"/>
    <n v="0"/>
    <n v="41.800000000000004"/>
    <n v="0"/>
    <n v="0"/>
    <n v="0"/>
    <n v="0"/>
    <m/>
    <n v="197.25"/>
    <n v="396.25"/>
    <s v="TL137"/>
    <s v="ToyoLiToyoLiToyoLiToyoLiToyoLiToyoLiToyoLi"/>
    <s v="+"/>
    <s v="+"/>
    <s v="+"/>
    <s v="+"/>
    <s v="+"/>
    <s v="+"/>
    <s v="+"/>
    <s v="NIL"/>
  </r>
  <r>
    <d v="2026-01-27T00:00:00"/>
    <s v="B"/>
    <x v="326"/>
    <s v="TL138"/>
    <n v="596"/>
    <n v="52500"/>
    <s v="I"/>
    <s v="N"/>
    <n v="1.5"/>
    <s v="BLACK"/>
    <s v="J00877B"/>
    <s v="ToyoLi - BLACK"/>
    <n v="28"/>
    <n v="0"/>
    <m/>
    <m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8"/>
    <n v="0"/>
    <n v="5"/>
    <n v="0"/>
    <s v="GREEN"/>
    <s v="G00397G"/>
    <s v="ToyoLi - GREEN"/>
    <n v="10"/>
    <n v="0"/>
    <s v="C01471G/J00871G/N00826G"/>
    <n v="51"/>
    <n v="0"/>
    <s v="R39"/>
    <s v="F23T"/>
    <s v="R92"/>
    <s v="RTMD"/>
    <m/>
    <m/>
    <m/>
    <m/>
    <n v="25"/>
    <n v="0"/>
    <n v="5"/>
    <n v="0"/>
    <n v="0.5"/>
    <n v="0"/>
    <n v="3"/>
    <n v="0"/>
    <m/>
    <n v="0"/>
    <m/>
    <n v="0"/>
    <m/>
    <n v="0"/>
    <m/>
    <n v="0"/>
    <s v="ToyoLi"/>
    <n v="29"/>
    <n v="0"/>
    <n v="78.661764705882348"/>
    <n v="0"/>
    <s v="CYAN"/>
    <s v="J00877C"/>
    <s v="ToyoLi - CYAN"/>
    <n v="28"/>
    <n v="0"/>
    <m/>
    <m/>
    <n v="0"/>
    <s v="R39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30"/>
    <n v="0"/>
    <n v="9.264705882352942"/>
    <n v="0"/>
    <s v="MAGENTA"/>
    <s v="J00877M"/>
    <s v="ToyoLi - MAGENTA"/>
    <n v="26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7.897058823529413"/>
    <n v="0"/>
    <s v="YELLOW"/>
    <s v="J00877Y"/>
    <s v="ToyoLi - YELLOW"/>
    <n v="30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7"/>
    <n v="0"/>
    <n v="15.897058823529413"/>
    <n v="0"/>
    <s v="GREEN"/>
    <s v="J00873G"/>
    <s v="ToyoLi - GREEN"/>
    <n v="20"/>
    <n v="0"/>
    <m/>
    <m/>
    <n v="0"/>
    <s v="F23T"/>
    <s v="F640"/>
    <s v="R79"/>
    <s v="RTMD"/>
    <m/>
    <m/>
    <m/>
    <m/>
    <n v="5"/>
    <n v="0"/>
    <n v="5"/>
    <n v="0"/>
    <n v="1"/>
    <n v="0"/>
    <n v="5"/>
    <n v="0"/>
    <m/>
    <n v="0"/>
    <m/>
    <n v="0"/>
    <m/>
    <n v="0"/>
    <m/>
    <n v="0"/>
    <s v="ToyoLi"/>
    <n v="25"/>
    <n v="0"/>
    <n v="24.161764705882355"/>
    <n v="0"/>
    <s v="WHITE"/>
    <s v="J00877W"/>
    <s v="ToyoLi - WHITE"/>
    <n v="30"/>
    <n v="0"/>
    <m/>
    <m/>
    <n v="0"/>
    <s v="F640"/>
    <s v="HSLAS"/>
    <m/>
    <m/>
    <m/>
    <m/>
    <m/>
    <m/>
    <n v="80"/>
    <n v="0"/>
    <n v="7.78"/>
    <n v="0"/>
    <m/>
    <n v="0"/>
    <m/>
    <n v="0"/>
    <m/>
    <n v="0"/>
    <m/>
    <n v="0"/>
    <m/>
    <n v="0"/>
    <m/>
    <n v="0"/>
    <s v="ToyoLi"/>
    <n v="30"/>
    <n v="0"/>
    <n v="219.3976470588235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0"/>
    <n v="5"/>
    <n v="2"/>
    <n v="3"/>
    <n v="3"/>
    <n v="5"/>
    <n v="50"/>
    <n v="0"/>
    <n v="0.3"/>
    <m/>
    <m/>
    <n v="0.5"/>
    <n v="0.2"/>
    <n v="0"/>
    <n v="179"/>
    <n v="0"/>
    <n v="0"/>
    <n v="179"/>
    <n v="179"/>
    <n v="53.699999999999996"/>
    <n v="0"/>
    <n v="0"/>
    <n v="0"/>
    <n v="0"/>
    <n v="0"/>
    <n v="89.5"/>
    <n v="0"/>
    <n v="35.800000000000004"/>
    <n v="0"/>
    <n v="0"/>
    <n v="0"/>
    <n v="0"/>
    <m/>
    <n v="155.28"/>
    <n v="360.28"/>
    <s v="TL138"/>
    <s v="ToyoLiToyoLiToyoLiToyoLiToyoLiToyoLiToyoLi"/>
    <s v="+"/>
    <s v="+"/>
    <s v="+"/>
    <s v="+"/>
    <s v="+"/>
    <s v="+"/>
    <s v="+"/>
    <s v="NIL"/>
  </r>
  <r>
    <d v="2026-01-27T00:00:00"/>
    <s v="B"/>
    <x v="327"/>
    <s v="TL139"/>
    <n v="163"/>
    <n v="8000"/>
    <s v="I"/>
    <s v="N"/>
    <n v="1.98"/>
    <s v="BLACK"/>
    <s v="J00875B"/>
    <s v="ToyoLi - BLACK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0"/>
    <n v="2.9545454545454533"/>
    <n v="0"/>
    <s v="RED"/>
    <s v="P00461R"/>
    <s v="ToyoLi - RED"/>
    <n v="19"/>
    <n v="0"/>
    <m/>
    <m/>
    <n v="0"/>
    <s v="F121"/>
    <s v="F53"/>
    <m/>
    <m/>
    <m/>
    <m/>
    <m/>
    <m/>
    <n v="10"/>
    <n v="0"/>
    <n v="8"/>
    <n v="0"/>
    <m/>
    <n v="0"/>
    <m/>
    <n v="0"/>
    <m/>
    <n v="0"/>
    <m/>
    <n v="0"/>
    <m/>
    <n v="0"/>
    <m/>
    <n v="0"/>
    <s v="ToyoLi"/>
    <n v="40"/>
    <n v="0"/>
    <n v="7.3409090909090935"/>
    <n v="0"/>
    <s v="RED"/>
    <m/>
    <s v="ToyoLi - RED"/>
    <m/>
    <n v="0"/>
    <m/>
    <m/>
    <n v="0"/>
    <s v="RTMD"/>
    <s v="F121"/>
    <s v="F32"/>
    <m/>
    <m/>
    <m/>
    <m/>
    <m/>
    <n v="15"/>
    <n v="0"/>
    <n v="1"/>
    <n v="0"/>
    <n v="0.5"/>
    <n v="0"/>
    <m/>
    <n v="0"/>
    <m/>
    <n v="0"/>
    <m/>
    <n v="0"/>
    <m/>
    <n v="0"/>
    <m/>
    <n v="0"/>
    <s v="ToyoLi"/>
    <n v="20"/>
    <n v="0"/>
    <n v="11.272727272727273"/>
    <n v="0"/>
    <s v="GREEN"/>
    <s v="B01076G"/>
    <s v="ToyoLi - GREEN"/>
    <n v="16"/>
    <n v="0"/>
    <m/>
    <m/>
    <n v="0"/>
    <s v="F23T"/>
    <s v="R39"/>
    <s v="RTMD"/>
    <m/>
    <m/>
    <m/>
    <m/>
    <m/>
    <n v="5"/>
    <n v="0"/>
    <n v="1"/>
    <n v="0"/>
    <n v="3"/>
    <n v="0"/>
    <m/>
    <n v="0"/>
    <m/>
    <n v="0"/>
    <m/>
    <n v="0"/>
    <m/>
    <n v="0"/>
    <m/>
    <n v="0"/>
    <s v="ToyoLi"/>
    <n v="25"/>
    <n v="0"/>
    <n v="5.9090909090909101"/>
    <n v="0"/>
    <s v="CYAN"/>
    <s v="J00875C"/>
    <s v="ToyoLi - CYAN"/>
    <n v="30"/>
    <n v="0"/>
    <m/>
    <m/>
    <n v="0"/>
    <s v="RTMD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30"/>
    <n v="0"/>
    <n v="4.9545454545454533"/>
    <n v="0"/>
    <s v="MAGENTA"/>
    <s v="J00875M"/>
    <s v="ToyoLi - MAGENTA"/>
    <n v="28"/>
    <n v="0"/>
    <m/>
    <m/>
    <n v="0"/>
    <s v="RTMD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9"/>
    <n v="0"/>
    <n v="4.9545454545454533"/>
    <n v="0"/>
    <s v="YELLOW"/>
    <s v="J00875Y"/>
    <s v="ToyoLi - YELLOW"/>
    <n v="27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4.9545454545454533"/>
    <n v="0"/>
    <s v="WHITE"/>
    <s v="J00875W"/>
    <s v="ToyoLi - WHITE"/>
    <n v="30"/>
    <n v="0"/>
    <m/>
    <m/>
    <n v="0"/>
    <s v="F640"/>
    <m/>
    <m/>
    <m/>
    <m/>
    <m/>
    <m/>
    <m/>
    <n v="30"/>
    <n v="0"/>
    <m/>
    <n v="0"/>
    <m/>
    <n v="0"/>
    <m/>
    <n v="0"/>
    <m/>
    <n v="0"/>
    <m/>
    <n v="0"/>
    <m/>
    <n v="0"/>
    <m/>
    <n v="0"/>
    <s v="ToyoLi"/>
    <n v="30"/>
    <n v="0"/>
    <n v="52.159090909090907"/>
    <n v="0"/>
    <n v="2"/>
    <n v="7"/>
    <n v="10"/>
    <n v="4"/>
    <n v="2"/>
    <n v="2"/>
    <n v="2"/>
    <n v="15"/>
    <n v="0.3"/>
    <m/>
    <m/>
    <n v="0.5"/>
    <n v="0.2"/>
    <n v="0"/>
    <n v="65"/>
    <n v="0"/>
    <n v="0"/>
    <n v="65"/>
    <n v="65"/>
    <n v="19.5"/>
    <n v="0"/>
    <n v="0"/>
    <n v="0"/>
    <n v="0"/>
    <n v="0"/>
    <n v="32.5"/>
    <n v="0"/>
    <n v="13"/>
    <n v="0"/>
    <n v="0"/>
    <n v="0"/>
    <n v="0"/>
    <m/>
    <n v="80.5"/>
    <n v="94.5"/>
    <s v="TL139"/>
    <s v="ToyoLiToyoLiToyoLiToyoLiToyoLiToyoLiToyoLiToyoLi"/>
    <s v="+"/>
    <s v="+"/>
    <s v="+"/>
    <s v="+"/>
    <s v="+"/>
    <s v="+"/>
    <s v="+"/>
    <s v="+"/>
  </r>
  <r>
    <d v="2026-01-27T00:00:00"/>
    <s v="B"/>
    <x v="328"/>
    <s v="TL140"/>
    <n v="372"/>
    <n v="18900"/>
    <s v="I"/>
    <s v="N"/>
    <n v="0.8"/>
    <s v="GREEN"/>
    <s v="N00877G"/>
    <s v="ToyoLi - GREEN"/>
    <n v="18"/>
    <n v="0"/>
    <s v="N00826G"/>
    <n v="7"/>
    <n v="0"/>
    <s v="R39"/>
    <s v="F23T"/>
    <s v="R79"/>
    <m/>
    <m/>
    <m/>
    <m/>
    <m/>
    <n v="2"/>
    <n v="0"/>
    <n v="2"/>
    <n v="0"/>
    <n v="1"/>
    <n v="0"/>
    <m/>
    <n v="0"/>
    <m/>
    <n v="0"/>
    <m/>
    <n v="0"/>
    <m/>
    <n v="0"/>
    <m/>
    <n v="0"/>
    <s v="ToyoLi"/>
    <n v="27"/>
    <n v="0"/>
    <n v="10.047619047619051"/>
    <n v="0"/>
    <s v="GREEN"/>
    <s v="B01011G"/>
    <s v="ToyoLi - GREEN"/>
    <n v="25"/>
    <n v="0"/>
    <m/>
    <m/>
    <n v="0"/>
    <s v="F23T"/>
    <s v="R39"/>
    <m/>
    <m/>
    <m/>
    <m/>
    <m/>
    <m/>
    <n v="4"/>
    <n v="0"/>
    <n v="1"/>
    <n v="0"/>
    <m/>
    <n v="0"/>
    <m/>
    <n v="0"/>
    <m/>
    <n v="0"/>
    <m/>
    <n v="0"/>
    <m/>
    <n v="0"/>
    <m/>
    <n v="0"/>
    <s v="ToyoLi"/>
    <n v="26"/>
    <n v="0"/>
    <n v="11.047619047619051"/>
    <n v="0"/>
    <s v="RED"/>
    <s v="B01011R"/>
    <s v="ToyoLi - RED"/>
    <n v="40"/>
    <n v="0"/>
    <m/>
    <m/>
    <n v="0"/>
    <s v="F121"/>
    <s v="F53"/>
    <m/>
    <m/>
    <m/>
    <m/>
    <m/>
    <m/>
    <n v="6"/>
    <n v="0"/>
    <n v="2"/>
    <n v="0"/>
    <m/>
    <n v="0"/>
    <m/>
    <n v="0"/>
    <m/>
    <n v="0"/>
    <m/>
    <n v="0"/>
    <m/>
    <n v="0"/>
    <m/>
    <n v="0"/>
    <s v="ToyoLi"/>
    <n v="37"/>
    <n v="0"/>
    <n v="18.047619047619051"/>
    <n v="0"/>
    <s v="WHITE"/>
    <s v="B01011W"/>
    <s v="ToyoLi - WHITE"/>
    <n v="30"/>
    <n v="0"/>
    <m/>
    <m/>
    <n v="0"/>
    <s v="F640"/>
    <s v="HSLAS"/>
    <m/>
    <m/>
    <m/>
    <m/>
    <m/>
    <m/>
    <n v="30"/>
    <n v="0"/>
    <n v="3.18"/>
    <n v="0"/>
    <m/>
    <n v="0"/>
    <m/>
    <n v="0"/>
    <m/>
    <n v="0"/>
    <m/>
    <n v="0"/>
    <m/>
    <n v="0"/>
    <m/>
    <n v="0"/>
    <s v="ToyoLi"/>
    <n v="30"/>
    <n v="0"/>
    <n v="86.03714285714286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15"/>
    <n v="0"/>
    <n v="0"/>
    <n v="0"/>
    <n v="0"/>
    <n v="0.3"/>
    <m/>
    <m/>
    <n v="0.5"/>
    <n v="0.2"/>
    <n v="0"/>
    <n v="74"/>
    <n v="0"/>
    <n v="0"/>
    <n v="74"/>
    <n v="74"/>
    <n v="22.2"/>
    <n v="0"/>
    <n v="0"/>
    <n v="0"/>
    <n v="0"/>
    <n v="0"/>
    <n v="37"/>
    <n v="0"/>
    <n v="14.8"/>
    <n v="0"/>
    <n v="0"/>
    <n v="0"/>
    <n v="0"/>
    <m/>
    <n v="51.18"/>
    <n v="125.18000000000002"/>
    <s v="TL140"/>
    <s v="ToyoLiToyoLiToyoLiToyoLi"/>
    <s v="+"/>
    <s v="+"/>
    <s v="+"/>
    <s v="+"/>
    <s v="NIL"/>
    <s v="NIL"/>
    <s v="NIL"/>
    <s v="NIL"/>
  </r>
  <r>
    <d v="2026-01-27T00:00:00"/>
    <s v="B"/>
    <x v="329"/>
    <s v="TL141"/>
    <n v="482"/>
    <n v="27500"/>
    <s v="I"/>
    <s v="N"/>
    <n v="1.1499999999999999"/>
    <s v="GOLD"/>
    <s v="F00830G"/>
    <s v="ToyoLi - GOLD"/>
    <n v="16"/>
    <n v="0"/>
    <s v="F00882G"/>
    <n v="10"/>
    <n v="0"/>
    <s v="TLSI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5"/>
    <n v="0"/>
    <n v="21.519999999999996"/>
    <n v="0"/>
    <s v="REFLEX BLUE"/>
    <s v="L00330B"/>
    <s v="ToyoLi - REFLEX BLUE"/>
    <n v="15"/>
    <n v="0"/>
    <m/>
    <m/>
    <n v="0"/>
    <s v="R1205"/>
    <s v="F121"/>
    <m/>
    <m/>
    <m/>
    <m/>
    <m/>
    <m/>
    <n v="8"/>
    <n v="0"/>
    <n v="3"/>
    <n v="0"/>
    <m/>
    <n v="0"/>
    <m/>
    <n v="0"/>
    <m/>
    <n v="0"/>
    <m/>
    <n v="0"/>
    <m/>
    <n v="0"/>
    <m/>
    <n v="0"/>
    <s v="ToyoLi"/>
    <n v="35"/>
    <n v="0"/>
    <n v="0.67999999999999972"/>
    <n v="0"/>
    <s v="GREEN"/>
    <s v="G00413G"/>
    <s v="ToyoLi - GREEN"/>
    <n v="26"/>
    <n v="0"/>
    <m/>
    <m/>
    <n v="0"/>
    <s v="F23T"/>
    <s v="R39"/>
    <m/>
    <m/>
    <m/>
    <m/>
    <m/>
    <m/>
    <n v="4"/>
    <n v="0"/>
    <n v="1"/>
    <n v="0"/>
    <m/>
    <n v="0"/>
    <m/>
    <n v="0"/>
    <m/>
    <n v="0"/>
    <m/>
    <n v="0"/>
    <m/>
    <n v="0"/>
    <m/>
    <n v="0"/>
    <s v="ToyoLi"/>
    <n v="27"/>
    <n v="0"/>
    <n v="8.8400000000000034"/>
    <n v="0"/>
    <s v="YELLOW"/>
    <s v="B01011Y"/>
    <s v="ToyoLi - YELLOW"/>
    <n v="27"/>
    <n v="0"/>
    <m/>
    <m/>
    <n v="0"/>
    <s v="F23T"/>
    <m/>
    <m/>
    <m/>
    <m/>
    <m/>
    <m/>
    <m/>
    <n v="15"/>
    <n v="0"/>
    <m/>
    <n v="0"/>
    <m/>
    <n v="0"/>
    <m/>
    <n v="0"/>
    <m/>
    <n v="0"/>
    <m/>
    <n v="0"/>
    <m/>
    <n v="0"/>
    <m/>
    <n v="0"/>
    <s v="ToyoLi"/>
    <n v="28"/>
    <n v="0"/>
    <n v="21.259999999999998"/>
    <n v="0"/>
    <s v="WHITE"/>
    <s v="G00413W"/>
    <s v="ToyoLi - WHITE"/>
    <n v="30"/>
    <n v="0"/>
    <m/>
    <m/>
    <n v="0"/>
    <s v="F640"/>
    <s v="HSLAS"/>
    <m/>
    <m/>
    <m/>
    <m/>
    <m/>
    <m/>
    <n v="70"/>
    <n v="0"/>
    <n v="5.07"/>
    <n v="0"/>
    <m/>
    <n v="0"/>
    <m/>
    <n v="0"/>
    <m/>
    <n v="0"/>
    <m/>
    <n v="0"/>
    <m/>
    <n v="0"/>
    <m/>
    <n v="0"/>
    <s v="ToyoLi"/>
    <n v="25"/>
    <n v="0"/>
    <n v="164.7699999999999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6"/>
    <n v="4"/>
    <n v="2"/>
    <n v="3"/>
    <n v="35"/>
    <n v="0"/>
    <n v="0"/>
    <n v="0"/>
    <n v="0.3"/>
    <m/>
    <m/>
    <n v="0.5"/>
    <n v="0.2"/>
    <n v="0"/>
    <n v="121"/>
    <n v="0"/>
    <n v="0"/>
    <n v="121"/>
    <n v="121"/>
    <n v="36.299999999999997"/>
    <n v="0"/>
    <n v="0"/>
    <n v="0"/>
    <n v="0"/>
    <n v="0"/>
    <n v="60.5"/>
    <n v="0"/>
    <n v="24.200000000000003"/>
    <n v="0"/>
    <n v="0"/>
    <n v="0"/>
    <n v="0"/>
    <m/>
    <n v="112.07"/>
    <n v="217.07"/>
    <s v="TL141"/>
    <s v="ToyoLiToyoLiToyoLiToyoLiToyoLi"/>
    <s v="+"/>
    <s v="+"/>
    <s v="+"/>
    <s v="+"/>
    <s v="+"/>
    <s v="NIL"/>
    <s v="NIL"/>
    <s v="NIL"/>
  </r>
  <r>
    <d v="2026-01-28T00:00:00"/>
    <s v="A"/>
    <x v="330"/>
    <s v="TL142"/>
    <n v="241"/>
    <n v="15700"/>
    <s v="I"/>
    <s v="N"/>
    <n v="0.4"/>
    <s v="GREEN"/>
    <s v="G00415G"/>
    <s v="ToyoLi - GREEN"/>
    <n v="27"/>
    <n v="0"/>
    <m/>
    <m/>
    <n v="0"/>
    <s v="F23T"/>
    <s v="R39"/>
    <m/>
    <m/>
    <m/>
    <m/>
    <m/>
    <m/>
    <n v="2"/>
    <n v="0"/>
    <n v="3"/>
    <n v="0"/>
    <m/>
    <n v="0"/>
    <m/>
    <n v="0"/>
    <m/>
    <n v="0"/>
    <m/>
    <n v="0"/>
    <m/>
    <n v="0"/>
    <m/>
    <n v="0"/>
    <s v="ToyoLi"/>
    <n v="33"/>
    <n v="0"/>
    <n v="10.428571428571431"/>
    <n v="0"/>
    <s v="RED"/>
    <s v="G00413R"/>
    <s v="ToyoLi - RED"/>
    <n v="18"/>
    <n v="0"/>
    <m/>
    <m/>
    <n v="0"/>
    <s v="F53"/>
    <s v="F121"/>
    <m/>
    <m/>
    <m/>
    <m/>
    <m/>
    <m/>
    <n v="5"/>
    <n v="0"/>
    <n v="2"/>
    <n v="0"/>
    <m/>
    <n v="0"/>
    <m/>
    <n v="0"/>
    <m/>
    <n v="0"/>
    <m/>
    <n v="0"/>
    <m/>
    <n v="0"/>
    <m/>
    <n v="0"/>
    <s v="ToyoLi"/>
    <n v="26"/>
    <n v="0"/>
    <n v="5.8571428571428577"/>
    <n v="0"/>
    <s v="YELLOW"/>
    <s v="G00415Y"/>
    <s v="ToyoLi - YELLOW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0"/>
    <n v="19.428571428571431"/>
    <n v="0"/>
    <s v="WHITE"/>
    <s v="G00415W"/>
    <s v="ToyoLi - WHITE"/>
    <n v="25"/>
    <n v="0"/>
    <m/>
    <m/>
    <n v="0"/>
    <s v="F640"/>
    <s v="HSLAS"/>
    <m/>
    <m/>
    <m/>
    <m/>
    <m/>
    <m/>
    <n v="15"/>
    <n v="0"/>
    <n v="2.2799999999999998"/>
    <n v="0"/>
    <m/>
    <n v="0"/>
    <m/>
    <n v="0"/>
    <m/>
    <n v="0"/>
    <m/>
    <n v="0"/>
    <m/>
    <n v="0"/>
    <m/>
    <n v="0"/>
    <s v="ToyoLi"/>
    <n v="27"/>
    <n v="0"/>
    <n v="33.56571428571428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3"/>
    <n v="5"/>
    <n v="8"/>
    <n v="0"/>
    <n v="0"/>
    <n v="0"/>
    <n v="0"/>
    <n v="0.3"/>
    <m/>
    <m/>
    <n v="0.5"/>
    <n v="0.2"/>
    <n v="0"/>
    <n v="48"/>
    <n v="0"/>
    <n v="0"/>
    <n v="48"/>
    <n v="48"/>
    <n v="14.399999999999999"/>
    <n v="0"/>
    <n v="0"/>
    <n v="0"/>
    <n v="0"/>
    <n v="0"/>
    <n v="24"/>
    <n v="0"/>
    <n v="9.6000000000000014"/>
    <n v="0"/>
    <n v="0"/>
    <n v="0"/>
    <n v="0"/>
    <m/>
    <n v="29.28"/>
    <n v="69.28"/>
    <s v="TL142"/>
    <s v="ToyoLiToyoLiToyoLiToyoLi"/>
    <s v="+"/>
    <s v="+"/>
    <s v="+"/>
    <s v="+"/>
    <s v="NIL"/>
    <s v="NIL"/>
    <s v="NIL"/>
    <s v="NIL"/>
  </r>
  <r>
    <d v="2026-01-28T00:00:00"/>
    <s v="A"/>
    <x v="331"/>
    <s v="TL143"/>
    <n v="84"/>
    <n v="4500"/>
    <s v="I"/>
    <s v="N"/>
    <n v="1.2"/>
    <s v="BLACK"/>
    <s v="B01011B"/>
    <s v="ToyoLi - BLACK"/>
    <n v="28"/>
    <n v="0"/>
    <m/>
    <m/>
    <n v="0"/>
    <s v="R92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5"/>
    <n v="0"/>
    <n v="7.3999999999999986"/>
    <n v="0"/>
    <s v="REFLEX BLUE"/>
    <s v="L00333RB"/>
    <s v="ToyoLi - REFLEX BLUE"/>
    <n v="10"/>
    <n v="0"/>
    <m/>
    <m/>
    <n v="0"/>
    <s v="R1205"/>
    <s v="F121"/>
    <s v="Z822"/>
    <s v="R92"/>
    <s v="TP"/>
    <m/>
    <m/>
    <m/>
    <n v="2"/>
    <n v="0"/>
    <n v="8"/>
    <n v="0"/>
    <n v="5"/>
    <n v="0"/>
    <n v="2"/>
    <n v="0"/>
    <n v="4"/>
    <n v="0"/>
    <m/>
    <n v="0"/>
    <m/>
    <n v="0"/>
    <m/>
    <n v="0"/>
    <s v="ToyoLi"/>
    <n v="18"/>
    <n v="0"/>
    <n v="16.600000000000001"/>
    <n v="0"/>
    <s v="RED"/>
    <m/>
    <s v="ToyoLi - RED"/>
    <m/>
    <n v="0"/>
    <m/>
    <m/>
    <n v="0"/>
    <s v="F53"/>
    <s v="F121"/>
    <s v="F32"/>
    <m/>
    <m/>
    <m/>
    <m/>
    <m/>
    <n v="10"/>
    <n v="0"/>
    <n v="8"/>
    <n v="0"/>
    <n v="5"/>
    <n v="0"/>
    <m/>
    <n v="0"/>
    <m/>
    <n v="0"/>
    <m/>
    <n v="0"/>
    <m/>
    <n v="0"/>
    <m/>
    <n v="0"/>
    <s v="ToyoLi"/>
    <n v="35"/>
    <n v="0"/>
    <n v="6"/>
    <n v="0"/>
    <s v="CYAN"/>
    <s v="B01011C"/>
    <s v="ToyoLi - CYAN"/>
    <n v="30"/>
    <n v="0"/>
    <m/>
    <m/>
    <n v="0"/>
    <s v="R39"/>
    <m/>
    <m/>
    <m/>
    <m/>
    <m/>
    <m/>
    <m/>
    <n v="1"/>
    <n v="0"/>
    <m/>
    <n v="0"/>
    <m/>
    <n v="0"/>
    <m/>
    <n v="0"/>
    <m/>
    <n v="0"/>
    <m/>
    <n v="0"/>
    <m/>
    <n v="0"/>
    <m/>
    <n v="0"/>
    <s v="ToyoLi"/>
    <n v="29"/>
    <n v="0"/>
    <n v="3.2000000000000028"/>
    <n v="0"/>
    <s v="MAGENTA"/>
    <s v="B01011M"/>
    <s v="ToyoLi - MAGENTA"/>
    <n v="29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7"/>
    <n v="0"/>
    <n v="6.3999999999999986"/>
    <n v="0"/>
    <s v="YELLOW"/>
    <s v="G00416Y"/>
    <s v="ToyoLi - YELLOW"/>
    <n v="20"/>
    <n v="0"/>
    <m/>
    <m/>
    <n v="0"/>
    <s v="F23T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3"/>
    <n v="0"/>
    <n v="8"/>
    <n v="0"/>
    <s v="GOLD"/>
    <s v="G00415G"/>
    <s v="ToyoLi - GOLD"/>
    <n v="17"/>
    <n v="0"/>
    <m/>
    <m/>
    <n v="0"/>
    <s v="TLGO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19"/>
    <n v="0"/>
    <n v="5.3999999999999986"/>
    <n v="0"/>
    <s v="WHITE"/>
    <s v="G00416W"/>
    <s v="ToyoLi - WHITE"/>
    <n v="27"/>
    <n v="0"/>
    <m/>
    <m/>
    <n v="0"/>
    <s v="F640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25"/>
    <n v="0"/>
    <n v="18"/>
    <n v="0"/>
    <n v="2"/>
    <n v="3"/>
    <n v="15"/>
    <n v="1"/>
    <n v="2"/>
    <n v="5"/>
    <n v="2"/>
    <n v="5"/>
    <n v="0.3"/>
    <m/>
    <m/>
    <n v="0.5"/>
    <n v="0.2"/>
    <n v="0"/>
    <n v="42"/>
    <n v="0"/>
    <n v="0"/>
    <n v="42"/>
    <n v="42"/>
    <n v="12.6"/>
    <n v="0"/>
    <n v="0"/>
    <n v="0"/>
    <n v="0"/>
    <n v="0"/>
    <n v="21"/>
    <n v="0"/>
    <n v="8.4"/>
    <n v="0"/>
    <n v="0"/>
    <n v="0"/>
    <n v="0"/>
    <m/>
    <n v="69"/>
    <n v="71"/>
    <s v="TL143"/>
    <s v="ToyoLiToyoLiToyoLiToyoLiToyoLiToyoLiToyoLiToyoLi"/>
    <s v="+"/>
    <s v="+"/>
    <s v="+"/>
    <s v="+"/>
    <s v="+"/>
    <s v="+"/>
    <s v="+"/>
    <s v="+"/>
  </r>
  <r>
    <d v="2026-01-28T00:00:00"/>
    <s v="A"/>
    <x v="332"/>
    <s v="TL144"/>
    <n v="5926"/>
    <n v="300700"/>
    <s v="I"/>
    <s v="N"/>
    <n v="0.6"/>
    <s v="BLACK"/>
    <m/>
    <s v="ToyoLi - BLACK"/>
    <m/>
    <n v="0"/>
    <m/>
    <m/>
    <n v="0"/>
    <s v="R92"/>
    <s v="RTMD"/>
    <m/>
    <m/>
    <m/>
    <m/>
    <m/>
    <m/>
    <n v="15"/>
    <n v="0"/>
    <n v="5"/>
    <n v="0"/>
    <m/>
    <n v="0"/>
    <m/>
    <n v="0"/>
    <m/>
    <n v="0"/>
    <m/>
    <n v="0"/>
    <m/>
    <n v="0"/>
    <m/>
    <n v="0"/>
    <s v="ToyoLi"/>
    <n v="25"/>
    <n v="0"/>
    <n v="40.492813141683769"/>
    <n v="0"/>
    <s v="REFLEX BLUE"/>
    <m/>
    <s v="ToyoLi - REFLEX BLUE"/>
    <m/>
    <n v="0"/>
    <m/>
    <m/>
    <n v="0"/>
    <s v="R1205"/>
    <s v="F121"/>
    <s v="R92"/>
    <m/>
    <m/>
    <m/>
    <m/>
    <m/>
    <n v="150"/>
    <n v="0"/>
    <n v="21"/>
    <n v="0"/>
    <n v="6"/>
    <n v="0"/>
    <m/>
    <n v="0"/>
    <m/>
    <n v="0"/>
    <m/>
    <n v="0"/>
    <m/>
    <n v="0"/>
    <m/>
    <n v="0"/>
    <s v="ToyoLi"/>
    <n v="22"/>
    <n v="0"/>
    <n v="352.13552361396307"/>
    <n v="0"/>
    <s v="ORANGE"/>
    <m/>
    <s v="ToyoLi - ORANGE"/>
    <m/>
    <n v="0"/>
    <m/>
    <m/>
    <n v="0"/>
    <s v="F23T"/>
    <s v="F53"/>
    <m/>
    <m/>
    <m/>
    <m/>
    <m/>
    <m/>
    <n v="60"/>
    <n v="0"/>
    <n v="5"/>
    <n v="0"/>
    <m/>
    <n v="0"/>
    <m/>
    <n v="0"/>
    <m/>
    <n v="0"/>
    <m/>
    <n v="0"/>
    <m/>
    <n v="0"/>
    <m/>
    <n v="0"/>
    <s v="ToyoLi"/>
    <n v="23"/>
    <n v="0"/>
    <n v="154.21560574948666"/>
    <n v="0"/>
    <s v="REFLEX BLUE"/>
    <m/>
    <s v="ToyoLi - REFLEX BLUE"/>
    <m/>
    <n v="0"/>
    <m/>
    <m/>
    <n v="0"/>
    <s v="RTMD"/>
    <s v="R39"/>
    <s v="F121"/>
    <s v="R1205"/>
    <m/>
    <m/>
    <m/>
    <m/>
    <n v="120"/>
    <n v="0"/>
    <n v="18"/>
    <n v="0"/>
    <n v="0.3"/>
    <n v="0"/>
    <n v="3.2"/>
    <n v="0"/>
    <m/>
    <n v="0"/>
    <m/>
    <n v="0"/>
    <m/>
    <n v="0"/>
    <m/>
    <n v="0"/>
    <s v="ToyoLi"/>
    <n v="34"/>
    <n v="0"/>
    <n v="319.79979466119096"/>
    <n v="0"/>
    <s v="CYAN"/>
    <m/>
    <s v="ToyoLi - CYAN"/>
    <m/>
    <n v="0"/>
    <m/>
    <m/>
    <n v="0"/>
    <s v="R39"/>
    <s v="RTMD"/>
    <m/>
    <m/>
    <m/>
    <m/>
    <m/>
    <m/>
    <n v="15"/>
    <n v="0"/>
    <n v="5"/>
    <n v="0"/>
    <m/>
    <n v="0"/>
    <m/>
    <n v="0"/>
    <m/>
    <n v="0"/>
    <m/>
    <n v="0"/>
    <m/>
    <n v="0"/>
    <m/>
    <n v="0"/>
    <s v="ToyoLi"/>
    <n v="29"/>
    <n v="0"/>
    <n v="39.525667351129357"/>
    <n v="0"/>
    <s v="MAGENTA"/>
    <m/>
    <s v="ToyoLi - MAGENTA"/>
    <m/>
    <n v="0"/>
    <m/>
    <m/>
    <n v="0"/>
    <s v="F121"/>
    <s v="RTMD"/>
    <m/>
    <m/>
    <m/>
    <m/>
    <m/>
    <m/>
    <n v="20"/>
    <n v="0"/>
    <n v="18"/>
    <n v="0"/>
    <m/>
    <n v="0"/>
    <m/>
    <n v="0"/>
    <m/>
    <n v="0"/>
    <m/>
    <n v="0"/>
    <m/>
    <n v="0"/>
    <m/>
    <n v="0"/>
    <s v="ToyoLi"/>
    <n v="26"/>
    <n v="0"/>
    <n v="99.952772073921977"/>
    <n v="0"/>
    <s v="YELLOW"/>
    <m/>
    <s v="ToyoLi - YELLOW"/>
    <m/>
    <n v="0"/>
    <m/>
    <m/>
    <n v="0"/>
    <s v="F23T"/>
    <s v="RTMD"/>
    <m/>
    <m/>
    <m/>
    <m/>
    <m/>
    <m/>
    <n v="120"/>
    <n v="0"/>
    <n v="28"/>
    <n v="0"/>
    <m/>
    <n v="0"/>
    <m/>
    <n v="0"/>
    <m/>
    <n v="0"/>
    <m/>
    <n v="0"/>
    <m/>
    <n v="0"/>
    <m/>
    <n v="0"/>
    <s v="ToyoLi"/>
    <n v="33"/>
    <n v="0"/>
    <n v="372.79260780287473"/>
    <n v="0"/>
    <s v="WHITE"/>
    <m/>
    <s v="ToyoLi - WHITE"/>
    <m/>
    <n v="0"/>
    <m/>
    <m/>
    <n v="0"/>
    <s v="F640"/>
    <s v="HSLAS"/>
    <m/>
    <m/>
    <m/>
    <m/>
    <m/>
    <m/>
    <n v="320"/>
    <n v="0"/>
    <n v="27.9"/>
    <n v="0"/>
    <m/>
    <n v="0"/>
    <m/>
    <n v="0"/>
    <m/>
    <n v="0"/>
    <m/>
    <n v="0"/>
    <m/>
    <n v="0"/>
    <m/>
    <n v="0"/>
    <s v="ToyoLi"/>
    <n v="29"/>
    <n v="0"/>
    <n v="834.48521560574943"/>
    <n v="0"/>
    <n v="15"/>
    <n v="65"/>
    <n v="37"/>
    <n v="70"/>
    <n v="16"/>
    <n v="29"/>
    <n v="85"/>
    <n v="170"/>
    <n v="0.3"/>
    <m/>
    <m/>
    <n v="0.5"/>
    <n v="0.2"/>
    <n v="0"/>
    <n v="1477"/>
    <n v="0"/>
    <n v="0"/>
    <n v="1477"/>
    <n v="1477"/>
    <n v="443.09999999999997"/>
    <n v="0"/>
    <n v="0"/>
    <n v="0"/>
    <n v="0"/>
    <n v="0"/>
    <n v="738.5"/>
    <n v="0"/>
    <n v="295.40000000000003"/>
    <n v="0"/>
    <n v="0"/>
    <n v="0"/>
    <n v="0"/>
    <m/>
    <n v="957.4"/>
    <n v="2213.4"/>
    <s v="TL144"/>
    <s v="ToyoLiToyoLiToyoLiToyoLiToyoLiToyoLiToyoLiToyoLi"/>
    <s v="+"/>
    <s v="+"/>
    <s v="+"/>
    <s v="+"/>
    <s v="+"/>
    <s v="+"/>
    <s v="+"/>
    <s v="+"/>
  </r>
  <r>
    <d v="2026-01-24T00:00:00"/>
    <s v="A"/>
    <x v="333"/>
    <n v="187"/>
    <n v="1024"/>
    <n v="53200"/>
    <s v="I"/>
    <s v="N"/>
    <n v="2.11"/>
    <s v="BLACK"/>
    <s v="F00888B"/>
    <s v="FLINTSL - BLACK"/>
    <n v="30"/>
    <n v="0"/>
    <m/>
    <m/>
    <n v="0"/>
    <s v="FMD"/>
    <m/>
    <m/>
    <m/>
    <m/>
    <m/>
    <m/>
    <m/>
    <n v="8"/>
    <n v="0"/>
    <m/>
    <n v="0"/>
    <m/>
    <n v="0"/>
    <m/>
    <n v="0"/>
    <m/>
    <n v="0"/>
    <m/>
    <n v="0"/>
    <m/>
    <n v="0"/>
    <m/>
    <n v="0"/>
    <s v="FLINTSL"/>
    <n v="40"/>
    <n v="0"/>
    <n v="30.252252252252248"/>
    <n v="0"/>
    <s v="RED"/>
    <m/>
    <s v="FLINTSL - RED"/>
    <m/>
    <n v="0"/>
    <m/>
    <m/>
    <n v="0"/>
    <n v="26525000003"/>
    <n v="26524000006"/>
    <n v="26529000011"/>
    <m/>
    <m/>
    <m/>
    <m/>
    <m/>
    <n v="15"/>
    <e v="#N/A"/>
    <n v="1"/>
    <e v="#N/A"/>
    <n v="7"/>
    <e v="#N/A"/>
    <m/>
    <n v="0"/>
    <m/>
    <n v="0"/>
    <m/>
    <n v="0"/>
    <m/>
    <n v="0"/>
    <m/>
    <n v="0"/>
    <s v="FLINTSL"/>
    <n v="25"/>
    <n v="0"/>
    <n v="30.252252252252248"/>
    <n v="0"/>
    <s v="REFLEX BLUE"/>
    <m/>
    <s v="FLINTSL - REFLEX BLUE"/>
    <m/>
    <n v="0"/>
    <m/>
    <m/>
    <n v="0"/>
    <n v="26524000023"/>
    <n v="26524000021"/>
    <m/>
    <m/>
    <m/>
    <m/>
    <m/>
    <m/>
    <n v="40"/>
    <e v="#N/A"/>
    <n v="35"/>
    <e v="#N/A"/>
    <m/>
    <n v="0"/>
    <m/>
    <n v="0"/>
    <m/>
    <n v="0"/>
    <m/>
    <n v="0"/>
    <m/>
    <n v="0"/>
    <m/>
    <n v="0"/>
    <s v="FLINTSL"/>
    <n v="20"/>
    <n v="0"/>
    <n v="55"/>
    <n v="0"/>
    <s v="GREEN"/>
    <s v="G01490G"/>
    <s v="FLINTSL - GREEN"/>
    <n v="23"/>
    <n v="0"/>
    <m/>
    <m/>
    <n v="0"/>
    <n v="2652400000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6"/>
    <n v="0"/>
    <n v="16.126126126126124"/>
    <n v="0"/>
    <s v="MAGENTA"/>
    <s v="F00888M"/>
    <s v="FLINTSL - MAGENTA"/>
    <n v="30"/>
    <n v="0"/>
    <m/>
    <m/>
    <n v="0"/>
    <n v="26524000028"/>
    <s v="FMD"/>
    <m/>
    <m/>
    <m/>
    <m/>
    <m/>
    <m/>
    <n v="7"/>
    <e v="#N/A"/>
    <n v="6"/>
    <n v="0"/>
    <m/>
    <n v="0"/>
    <m/>
    <n v="0"/>
    <m/>
    <n v="0"/>
    <m/>
    <n v="0"/>
    <m/>
    <n v="0"/>
    <m/>
    <n v="0"/>
    <s v="FLINTSL"/>
    <n v="40"/>
    <n v="0"/>
    <n v="35.252252252252248"/>
    <n v="0"/>
    <s v="YELLOW"/>
    <s v="F00888Y"/>
    <s v="FLINTSL - YELLOW"/>
    <n v="27"/>
    <n v="0"/>
    <m/>
    <m/>
    <n v="0"/>
    <n v="26526000035"/>
    <s v="FMD"/>
    <m/>
    <m/>
    <m/>
    <m/>
    <m/>
    <m/>
    <n v="16"/>
    <e v="#N/A"/>
    <n v="10"/>
    <n v="0"/>
    <m/>
    <n v="0"/>
    <m/>
    <n v="0"/>
    <m/>
    <n v="0"/>
    <m/>
    <n v="0"/>
    <m/>
    <n v="0"/>
    <m/>
    <n v="0"/>
    <s v="FLINTSL"/>
    <n v="30"/>
    <n v="0"/>
    <n v="55.252252252252248"/>
    <n v="0"/>
    <s v="YELLOW"/>
    <m/>
    <s v="FLINTSL - YELLOW"/>
    <m/>
    <n v="0"/>
    <m/>
    <m/>
    <n v="0"/>
    <n v="26524000020"/>
    <n v="26524000025"/>
    <n v="26524000024"/>
    <n v="26524000026"/>
    <n v="26524000019"/>
    <n v="26524000022"/>
    <m/>
    <m/>
    <n v="40"/>
    <e v="#N/A"/>
    <n v="40"/>
    <e v="#N/A"/>
    <n v="35"/>
    <e v="#N/A"/>
    <n v="40"/>
    <e v="#N/A"/>
    <n v="40"/>
    <e v="#N/A"/>
    <n v="20"/>
    <e v="#N/A"/>
    <m/>
    <n v="0"/>
    <m/>
    <n v="0"/>
    <s v="FLINTSL"/>
    <n v="28"/>
    <n v="0"/>
    <n v="187"/>
    <n v="0"/>
    <s v="WHITE"/>
    <s v="F00888W"/>
    <s v="FLINTSL - WHITE"/>
    <n v="24"/>
    <n v="0"/>
    <m/>
    <m/>
    <n v="0"/>
    <s v="FW"/>
    <s v="WRK6-028K"/>
    <m/>
    <m/>
    <m/>
    <m/>
    <m/>
    <m/>
    <n v="200"/>
    <n v="0"/>
    <n v="6"/>
    <n v="0"/>
    <m/>
    <n v="0"/>
    <m/>
    <n v="0"/>
    <m/>
    <n v="0"/>
    <m/>
    <n v="0"/>
    <m/>
    <n v="0"/>
    <m/>
    <n v="0"/>
    <s v="FLINTSL"/>
    <n v="30"/>
    <n v="0"/>
    <n v="412.8648648648649"/>
    <n v="0"/>
    <n v="10"/>
    <n v="10"/>
    <n v="0"/>
    <n v="5"/>
    <n v="10"/>
    <n v="10"/>
    <n v="0"/>
    <n v="66"/>
    <n v="0.3"/>
    <m/>
    <m/>
    <n v="0.5"/>
    <n v="0.2"/>
    <n v="0"/>
    <n v="358"/>
    <n v="0"/>
    <n v="0"/>
    <n v="358"/>
    <n v="358"/>
    <n v="107.39999999999999"/>
    <n v="0"/>
    <n v="0"/>
    <n v="0"/>
    <n v="0"/>
    <n v="0"/>
    <n v="179"/>
    <n v="0"/>
    <n v="71.600000000000009"/>
    <n v="0"/>
    <n v="0"/>
    <n v="0"/>
    <n v="0"/>
    <m/>
    <n v="569"/>
    <n v="822"/>
    <n v="187"/>
    <s v="FLINTSLFLINTSLFLINTSLFLINTSLFLINTSLFLINTSLFLINTSLFLINTSL"/>
    <s v="+"/>
    <s v="+"/>
    <s v="+"/>
    <s v="+"/>
    <s v="+"/>
    <s v="+"/>
    <s v="+"/>
    <s v="+"/>
  </r>
  <r>
    <d v="2026-01-24T00:00:00"/>
    <s v="B"/>
    <x v="282"/>
    <n v="188"/>
    <n v="199"/>
    <n v="8900"/>
    <s v="I"/>
    <s v="N"/>
    <n v="1.2"/>
    <s v="BLACK"/>
    <s v="H01308B"/>
    <s v="FLINTSL - BLACK"/>
    <n v="40"/>
    <n v="0"/>
    <m/>
    <m/>
    <n v="0"/>
    <n v="26526000029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8"/>
    <n v="0"/>
    <n v="7.4146341463414629"/>
    <n v="0"/>
    <s v="GOLD"/>
    <s v="C01511G"/>
    <s v="FLINTSL - GOLD"/>
    <n v="35"/>
    <n v="0"/>
    <m/>
    <m/>
    <n v="0"/>
    <n v="26525000003"/>
    <m/>
    <m/>
    <m/>
    <m/>
    <m/>
    <m/>
    <m/>
    <n v="0.3"/>
    <e v="#N/A"/>
    <m/>
    <n v="0"/>
    <m/>
    <n v="0"/>
    <m/>
    <n v="0"/>
    <m/>
    <n v="0"/>
    <m/>
    <n v="0"/>
    <m/>
    <n v="0"/>
    <m/>
    <n v="0"/>
    <s v="FLINTSL"/>
    <n v="30"/>
    <n v="0"/>
    <n v="8.7146341463414601"/>
    <n v="0"/>
    <s v="RED"/>
    <s v="H01308R"/>
    <s v="FLINTSL - RED"/>
    <n v="25"/>
    <n v="0"/>
    <m/>
    <m/>
    <n v="0"/>
    <s v="FMD"/>
    <n v="26524000028"/>
    <n v="26525000003"/>
    <n v="26529000011"/>
    <m/>
    <m/>
    <m/>
    <m/>
    <n v="5"/>
    <n v="0"/>
    <n v="5"/>
    <e v="#N/A"/>
    <n v="7"/>
    <e v="#N/A"/>
    <n v="10"/>
    <e v="#N/A"/>
    <m/>
    <n v="0"/>
    <m/>
    <n v="0"/>
    <m/>
    <n v="0"/>
    <m/>
    <n v="0"/>
    <s v="FLINTSL"/>
    <n v="33"/>
    <n v="0"/>
    <n v="36.073170731707322"/>
    <n v="0"/>
    <s v="CYAN"/>
    <s v="C01511C"/>
    <s v="FLINTSL - CYAN"/>
    <n v="26"/>
    <n v="0"/>
    <m/>
    <m/>
    <n v="0"/>
    <n v="26523000026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4.4146341463414629"/>
    <n v="0"/>
    <s v="MAGENTA"/>
    <s v="H01308M"/>
    <s v="FLINTSL - MAGENTA"/>
    <n v="40"/>
    <n v="0"/>
    <m/>
    <m/>
    <n v="0"/>
    <n v="2652400002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8"/>
    <n v="0"/>
    <n v="9.1219512195121979"/>
    <n v="0"/>
    <s v="YELLOW"/>
    <s v="H01308Y"/>
    <s v="FLINTSL - YELLOW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0"/>
    <n v="4.4146341463414629"/>
    <n v="0"/>
    <s v="WHITE"/>
    <s v="H01308W"/>
    <s v="FLINTSL - WHITE"/>
    <n v="30"/>
    <n v="0"/>
    <m/>
    <m/>
    <n v="0"/>
    <s v="FW"/>
    <m/>
    <m/>
    <m/>
    <m/>
    <m/>
    <m/>
    <m/>
    <n v="30"/>
    <n v="0"/>
    <m/>
    <n v="0"/>
    <m/>
    <n v="0"/>
    <m/>
    <n v="0"/>
    <m/>
    <n v="0"/>
    <m/>
    <n v="0"/>
    <m/>
    <n v="0"/>
    <m/>
    <n v="0"/>
    <s v="FLINTSL"/>
    <n v="30"/>
    <n v="0"/>
    <n v="64.14634146341464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10"/>
    <n v="2"/>
    <n v="3"/>
    <n v="2"/>
    <n v="20"/>
    <n v="0"/>
    <n v="0.8"/>
    <n v="0.2"/>
    <m/>
    <m/>
    <m/>
    <n v="0"/>
    <n v="70"/>
    <n v="0"/>
    <n v="0"/>
    <n v="70"/>
    <n v="70"/>
    <n v="56"/>
    <n v="0"/>
    <n v="14"/>
    <n v="0"/>
    <n v="0"/>
    <n v="0"/>
    <n v="0"/>
    <n v="0"/>
    <n v="0"/>
    <n v="0"/>
    <n v="0"/>
    <n v="0"/>
    <n v="0"/>
    <m/>
    <n v="66.3"/>
    <n v="134.30000000000001"/>
    <n v="188"/>
    <s v="FLINTSLFLINTSLFLINTSLFLINTSLFLINTSLFLINTSLFLINTSL"/>
    <s v="+"/>
    <s v="+"/>
    <s v="+"/>
    <s v="+"/>
    <s v="+"/>
    <s v="+"/>
    <s v="+"/>
    <s v="NIL"/>
  </r>
  <r>
    <d v="2026-01-24T00:00:00"/>
    <s v="B"/>
    <x v="334"/>
    <n v="189"/>
    <n v="479"/>
    <n v="25600"/>
    <s v="I"/>
    <s v="N"/>
    <n v="2"/>
    <s v="BLACK"/>
    <s v="C01511B"/>
    <s v="FLINTSL - BLACK"/>
    <n v="3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5"/>
    <n v="0"/>
    <n v="10"/>
    <n v="0"/>
    <s v="ORANGE"/>
    <m/>
    <s v="FLINTSL - ORANGE"/>
    <m/>
    <n v="0"/>
    <m/>
    <m/>
    <n v="0"/>
    <n v="26524000030"/>
    <n v="26524000029"/>
    <n v="26524000031"/>
    <n v="26525000022"/>
    <m/>
    <m/>
    <m/>
    <m/>
    <n v="40"/>
    <e v="#N/A"/>
    <n v="40"/>
    <e v="#N/A"/>
    <n v="20"/>
    <e v="#N/A"/>
    <n v="15"/>
    <e v="#N/A"/>
    <m/>
    <n v="0"/>
    <m/>
    <n v="0"/>
    <m/>
    <n v="0"/>
    <m/>
    <n v="0"/>
    <s v="FLINTSL"/>
    <n v="18"/>
    <n v="0"/>
    <n v="118"/>
    <n v="0"/>
    <s v="YELLOW"/>
    <s v="H01308Y"/>
    <s v="FLINTSL - YELLOW"/>
    <n v="28"/>
    <n v="0"/>
    <m/>
    <m/>
    <n v="0"/>
    <n v="26525000014"/>
    <n v="26525000003"/>
    <m/>
    <m/>
    <m/>
    <m/>
    <m/>
    <m/>
    <n v="5"/>
    <e v="#N/A"/>
    <n v="0.3"/>
    <e v="#N/A"/>
    <m/>
    <n v="0"/>
    <m/>
    <n v="0"/>
    <m/>
    <n v="0"/>
    <m/>
    <n v="0"/>
    <m/>
    <n v="0"/>
    <m/>
    <n v="0"/>
    <s v="FLINTSL"/>
    <n v="24"/>
    <n v="0"/>
    <n v="23.299999999999997"/>
    <n v="0"/>
    <s v="CYAN"/>
    <s v="C01511C"/>
    <s v="FLINTSL - CYAN"/>
    <n v="30"/>
    <n v="0"/>
    <m/>
    <m/>
    <n v="0"/>
    <n v="2652300002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9"/>
    <n v="0"/>
    <n v="13.5"/>
    <n v="0"/>
    <s v="MAGENTA"/>
    <s v="C01511M"/>
    <s v="FLINTSL - MAGENTA"/>
    <n v="3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6"/>
    <n v="0"/>
    <n v="5.5"/>
    <n v="0"/>
    <s v="YELLOW"/>
    <s v="C01511Y"/>
    <s v="FLINTSL - YELLOW"/>
    <n v="29"/>
    <n v="0"/>
    <m/>
    <m/>
    <n v="0"/>
    <n v="26526000035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30"/>
    <n v="0"/>
    <n v="14"/>
    <n v="0"/>
    <s v="WHITE"/>
    <s v="C01511W"/>
    <s v="FLINTSL - WHITE"/>
    <n v="3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16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"/>
    <n v="4"/>
    <n v="3"/>
    <n v="1"/>
    <n v="2"/>
    <n v="30"/>
    <n v="0"/>
    <n v="0.8"/>
    <n v="0.2"/>
    <m/>
    <m/>
    <m/>
    <n v="0"/>
    <n v="168"/>
    <n v="0"/>
    <n v="0"/>
    <n v="168"/>
    <n v="168"/>
    <n v="134.4"/>
    <n v="0"/>
    <n v="33.6"/>
    <n v="0"/>
    <n v="0"/>
    <n v="0"/>
    <n v="0"/>
    <n v="0"/>
    <n v="0"/>
    <n v="0"/>
    <n v="0"/>
    <n v="0"/>
    <n v="0"/>
    <m/>
    <n v="190.3"/>
    <n v="349.3"/>
    <n v="189"/>
    <s v="FLINTSLFLINTSLFLINTSLFLINTSLFLINTSLFLINTSLFLINTSL"/>
    <s v="+"/>
    <s v="+"/>
    <s v="+"/>
    <s v="+"/>
    <s v="+"/>
    <s v="+"/>
    <s v="+"/>
    <s v="NIL"/>
  </r>
  <r>
    <d v="2026-01-24T00:00:00"/>
    <s v="B"/>
    <x v="335"/>
    <n v="190"/>
    <n v="504"/>
    <n v="26800"/>
    <s v="I"/>
    <s v="N"/>
    <n v="2.1"/>
    <s v="BLACK"/>
    <s v="H01388B"/>
    <s v="FLINTSL - BLACK"/>
    <n v="35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0"/>
    <n v="5"/>
    <n v="0"/>
    <s v="RED"/>
    <s v="C01511R"/>
    <s v="FLINTSL - RED"/>
    <n v="33"/>
    <n v="0"/>
    <m/>
    <m/>
    <n v="0"/>
    <n v="26525000001"/>
    <n v="26524000028"/>
    <n v="26525000022"/>
    <m/>
    <m/>
    <m/>
    <m/>
    <m/>
    <n v="40"/>
    <e v="#N/A"/>
    <n v="6"/>
    <e v="#N/A"/>
    <n v="4"/>
    <e v="#N/A"/>
    <m/>
    <n v="0"/>
    <m/>
    <n v="0"/>
    <m/>
    <n v="0"/>
    <m/>
    <n v="0"/>
    <m/>
    <n v="0"/>
    <s v="FLINTSL"/>
    <n v="27"/>
    <n v="0"/>
    <n v="74.414634146341456"/>
    <n v="0"/>
    <s v="REFLEX BLUE"/>
    <s v="E01026B"/>
    <s v="FLINTSL - REFLEX BLUE"/>
    <n v="17"/>
    <n v="0"/>
    <s v="C01507B"/>
    <n v="10"/>
    <n v="0"/>
    <n v="26525000002"/>
    <n v="26524000028"/>
    <m/>
    <m/>
    <m/>
    <m/>
    <m/>
    <m/>
    <n v="6"/>
    <e v="#N/A"/>
    <n v="1"/>
    <e v="#N/A"/>
    <m/>
    <n v="0"/>
    <m/>
    <n v="0"/>
    <m/>
    <n v="0"/>
    <m/>
    <n v="0"/>
    <m/>
    <n v="0"/>
    <m/>
    <n v="0"/>
    <s v="FLINTSL"/>
    <n v="28"/>
    <n v="0"/>
    <n v="17.048780487804876"/>
    <n v="0"/>
    <s v="CYAN"/>
    <s v="H01388C"/>
    <s v="FLINTSL - CYAN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4.6829268292682897"/>
    <n v="0"/>
    <s v="MAGENTA"/>
    <s v="H01388M"/>
    <s v="FLINTSL - MAGENTA"/>
    <n v="36"/>
    <n v="0"/>
    <m/>
    <m/>
    <n v="0"/>
    <n v="2652400002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3"/>
    <n v="0"/>
    <n v="6.8414634146341484"/>
    <n v="0"/>
    <s v="YELLOW"/>
    <s v="H01388Y"/>
    <s v="FLINTSL - YELLOW"/>
    <n v="30"/>
    <n v="0"/>
    <m/>
    <m/>
    <n v="0"/>
    <n v="2652600003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7.5243902439024382"/>
    <n v="0"/>
    <s v="WHITE"/>
    <s v="H01388W"/>
    <s v="FLINTSL - WHITE"/>
    <n v="30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210.4878048780487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0"/>
    <n v="10"/>
    <n v="6"/>
    <n v="2"/>
    <n v="1"/>
    <n v="3"/>
    <n v="60"/>
    <n v="0"/>
    <n v="0.8"/>
    <n v="0.2"/>
    <m/>
    <m/>
    <m/>
    <n v="0"/>
    <n v="151"/>
    <n v="0"/>
    <n v="0"/>
    <n v="151"/>
    <n v="151"/>
    <n v="120.80000000000001"/>
    <n v="0"/>
    <n v="30.200000000000003"/>
    <n v="0"/>
    <n v="0"/>
    <n v="0"/>
    <n v="0"/>
    <n v="0"/>
    <n v="0"/>
    <n v="0"/>
    <n v="0"/>
    <n v="0"/>
    <n v="0"/>
    <m/>
    <n v="161"/>
    <n v="326"/>
    <n v="190"/>
    <s v="FLINTSLFLINTSLFLINTSLFLINTSLFLINTSLFLINTSLFLINTSL"/>
    <s v="+"/>
    <s v="+"/>
    <s v="+"/>
    <s v="+"/>
    <s v="+"/>
    <s v="+"/>
    <s v="+"/>
    <s v="NIL"/>
  </r>
  <r>
    <d v="2026-01-24T00:00:00"/>
    <s v="B"/>
    <x v="336"/>
    <n v="191"/>
    <n v="299"/>
    <n v="10000"/>
    <s v="I"/>
    <s v="N"/>
    <n v="2"/>
    <s v="BLACK"/>
    <s v="F00890B"/>
    <s v="FLINTSL - BLACK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0"/>
    <n v="2.8571428571428541"/>
    <n v="0"/>
    <s v="BLACK"/>
    <s v="F00888B"/>
    <s v="FLINTSL - BLACK"/>
    <n v="23"/>
    <n v="0"/>
    <s v="B01055B"/>
    <n v="20"/>
    <n v="0"/>
    <n v="26526000035"/>
    <n v="26524000028"/>
    <n v="26525000002"/>
    <n v="26526000029"/>
    <m/>
    <m/>
    <m/>
    <m/>
    <n v="4"/>
    <e v="#N/A"/>
    <n v="5"/>
    <e v="#N/A"/>
    <n v="5"/>
    <e v="#N/A"/>
    <n v="2"/>
    <e v="#N/A"/>
    <m/>
    <n v="0"/>
    <m/>
    <n v="0"/>
    <m/>
    <n v="0"/>
    <m/>
    <n v="0"/>
    <s v="FLINTSL"/>
    <n v="30"/>
    <n v="0"/>
    <n v="43.285714285714278"/>
    <n v="0"/>
    <s v="RED"/>
    <s v="F00890R"/>
    <s v="FLINTSL - RED"/>
    <n v="28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9"/>
    <n v="0"/>
    <n v="4.8571428571428541"/>
    <n v="0"/>
    <s v="CYAN"/>
    <s v="F00890C"/>
    <s v="FLINTSL - CYAN"/>
    <n v="28"/>
    <n v="0"/>
    <m/>
    <m/>
    <n v="0"/>
    <n v="26523000028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7"/>
    <n v="0"/>
    <n v="7.8571428571428541"/>
    <n v="0"/>
    <s v="MAGENTA"/>
    <s v="F00890M"/>
    <s v="FLINTSL - MAGENTA"/>
    <n v="33"/>
    <n v="0"/>
    <m/>
    <m/>
    <n v="0"/>
    <n v="26524000028"/>
    <n v="26525000002"/>
    <m/>
    <m/>
    <m/>
    <m/>
    <m/>
    <m/>
    <n v="2"/>
    <e v="#N/A"/>
    <n v="0.3"/>
    <e v="#N/A"/>
    <m/>
    <n v="0"/>
    <m/>
    <n v="0"/>
    <m/>
    <n v="0"/>
    <m/>
    <n v="0"/>
    <m/>
    <n v="0"/>
    <m/>
    <n v="0"/>
    <s v="FLINTSL"/>
    <n v="29"/>
    <n v="0"/>
    <n v="9.1571428571428513"/>
    <n v="0"/>
    <s v="YELLOW"/>
    <s v="F00890Y"/>
    <s v="FLINTSL - YELLOW"/>
    <n v="30"/>
    <n v="0"/>
    <m/>
    <m/>
    <n v="0"/>
    <n v="26527000009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9"/>
    <n v="0"/>
    <n v="12.714285714285715"/>
    <n v="0"/>
    <s v="WHITE"/>
    <s v="F00890W"/>
    <s v="FLINTSL - WHITE"/>
    <n v="30"/>
    <n v="0"/>
    <m/>
    <m/>
    <n v="0"/>
    <s v="FW"/>
    <m/>
    <m/>
    <m/>
    <m/>
    <m/>
    <m/>
    <m/>
    <n v="30"/>
    <n v="0"/>
    <m/>
    <n v="0"/>
    <m/>
    <n v="0"/>
    <m/>
    <n v="0"/>
    <m/>
    <n v="0"/>
    <m/>
    <n v="0"/>
    <m/>
    <n v="0"/>
    <m/>
    <n v="0"/>
    <s v="FLINTSL"/>
    <n v="30"/>
    <n v="0"/>
    <n v="58.57142857142856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2"/>
    <n v="2"/>
    <n v="2"/>
    <n v="4"/>
    <n v="20"/>
    <n v="0"/>
    <n v="0.8"/>
    <n v="0.2"/>
    <m/>
    <m/>
    <m/>
    <n v="0"/>
    <n v="60"/>
    <n v="0"/>
    <n v="0"/>
    <n v="60"/>
    <n v="60"/>
    <n v="48"/>
    <n v="0"/>
    <n v="12"/>
    <n v="0"/>
    <n v="0"/>
    <n v="0"/>
    <n v="0"/>
    <n v="0"/>
    <n v="0"/>
    <n v="0"/>
    <n v="0"/>
    <n v="0"/>
    <n v="0"/>
    <m/>
    <n v="61.3"/>
    <n v="139.29999999999995"/>
    <n v="191"/>
    <s v="FLINTSLFLINTSLFLINTSLFLINTSLFLINTSLFLINTSLFLINTSL"/>
    <s v="+"/>
    <s v="+"/>
    <s v="+"/>
    <s v="+"/>
    <s v="+"/>
    <s v="+"/>
    <s v="+"/>
    <s v="NIL"/>
  </r>
  <r>
    <d v="2026-01-24T00:00:00"/>
    <s v="B"/>
    <x v="337"/>
    <n v="192"/>
    <n v="402"/>
    <n v="23600"/>
    <s v="I"/>
    <s v="N"/>
    <n v="0.65"/>
    <s v="BLACK"/>
    <s v="C01448B"/>
    <s v="FLINTSL - BLACK"/>
    <n v="30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30"/>
    <n v="0"/>
    <n v="7.1063829787234027"/>
    <n v="0"/>
    <s v="RED"/>
    <s v="C01448R"/>
    <s v="FLINTSL - RED"/>
    <n v="29"/>
    <n v="0"/>
    <m/>
    <m/>
    <n v="0"/>
    <n v="26524000028"/>
    <n v="26526000027"/>
    <m/>
    <m/>
    <m/>
    <m/>
    <m/>
    <m/>
    <n v="6"/>
    <e v="#N/A"/>
    <n v="11"/>
    <e v="#N/A"/>
    <m/>
    <n v="0"/>
    <m/>
    <n v="0"/>
    <m/>
    <n v="0"/>
    <m/>
    <n v="0"/>
    <m/>
    <n v="0"/>
    <m/>
    <n v="0"/>
    <s v="FLINTSL"/>
    <n v="30"/>
    <n v="0"/>
    <n v="26.212765957446805"/>
    <n v="0"/>
    <s v="GREEN"/>
    <s v="J00967G"/>
    <s v="FLINTSL - GREEN"/>
    <n v="27"/>
    <n v="0"/>
    <m/>
    <m/>
    <n v="0"/>
    <n v="26525000002"/>
    <n v="26526000029"/>
    <m/>
    <m/>
    <m/>
    <m/>
    <m/>
    <m/>
    <n v="4"/>
    <e v="#N/A"/>
    <n v="1.5"/>
    <e v="#N/A"/>
    <m/>
    <n v="0"/>
    <m/>
    <n v="0"/>
    <m/>
    <n v="0"/>
    <m/>
    <n v="0"/>
    <m/>
    <n v="0"/>
    <m/>
    <n v="0"/>
    <s v="FLINTSL"/>
    <n v="37"/>
    <n v="0"/>
    <n v="2.3085106382978751"/>
    <n v="0"/>
    <s v="CYAN"/>
    <s v="C01448C"/>
    <s v="FLINTSL - CYAN"/>
    <n v="27"/>
    <n v="0"/>
    <m/>
    <m/>
    <n v="0"/>
    <n v="2652300002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0.70212765957446877"/>
    <n v="0"/>
    <s v="MAGENTA"/>
    <s v="C01448M"/>
    <s v="FLINTSL - MAGENTA"/>
    <n v="29"/>
    <n v="0"/>
    <m/>
    <m/>
    <n v="0"/>
    <n v="26524000028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0"/>
    <n v="0"/>
    <n v="4.7021276595744652"/>
    <n v="0"/>
    <s v="YELLOW"/>
    <s v="C01448Y"/>
    <s v="FLINTSL - YELLOW"/>
    <n v="29"/>
    <n v="0"/>
    <m/>
    <m/>
    <n v="0"/>
    <n v="26525000014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4.4042553191489375"/>
    <n v="0"/>
    <s v="WHITE"/>
    <s v="C01448W"/>
    <s v="FLINTSL - WHITE"/>
    <n v="3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24"/>
    <n v="0"/>
    <n v="107.0638297872340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6"/>
    <n v="4"/>
    <n v="1"/>
    <n v="1"/>
    <n v="2"/>
    <n v="30"/>
    <n v="0"/>
    <n v="0.8"/>
    <n v="0.2"/>
    <m/>
    <m/>
    <m/>
    <n v="0"/>
    <n v="80"/>
    <n v="0"/>
    <n v="0"/>
    <n v="80"/>
    <n v="80"/>
    <n v="64"/>
    <n v="0"/>
    <n v="16"/>
    <n v="0"/>
    <n v="0"/>
    <n v="0"/>
    <n v="0"/>
    <n v="0"/>
    <n v="0"/>
    <n v="0"/>
    <n v="0"/>
    <n v="0"/>
    <n v="0"/>
    <m/>
    <n v="82.5"/>
    <n v="152.5"/>
    <n v="192"/>
    <s v="FLINTSLFLINTSLFLINTSLFLINTSLFLINTSLFLINTSLFLINTSL"/>
    <s v="+"/>
    <s v="+"/>
    <s v="+"/>
    <s v="+"/>
    <s v="+"/>
    <s v="+"/>
    <s v="+"/>
    <s v="NIL"/>
  </r>
  <r>
    <d v="2026-01-25T00:00:00"/>
    <s v="B"/>
    <x v="338"/>
    <n v="193"/>
    <n v="406"/>
    <n v="19900"/>
    <s v="I"/>
    <s v="N"/>
    <n v="0.74"/>
    <s v="BLACK"/>
    <s v="C01522B"/>
    <s v="FLINTSL - BLACK"/>
    <n v="30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30"/>
    <n v="0"/>
    <n v="12.228070175438596"/>
    <n v="0"/>
    <s v="RED"/>
    <s v="C01522R"/>
    <s v="FLINTSL - RED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0"/>
    <n v="7.2280701754385959"/>
    <n v="0"/>
    <s v="GREEN"/>
    <s v="C01522G"/>
    <s v="FLINTSL - GREEN"/>
    <n v="3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6"/>
    <n v="0"/>
    <n v="3.4912280701754383"/>
    <n v="0"/>
    <s v="REFLEX BLUE"/>
    <m/>
    <s v="FLINTSL - REFLEX BLUE"/>
    <m/>
    <n v="0"/>
    <m/>
    <m/>
    <n v="0"/>
    <n v="26526000026"/>
    <s v="FMD"/>
    <n v="26523000017"/>
    <n v="26525000002"/>
    <m/>
    <m/>
    <m/>
    <m/>
    <n v="10"/>
    <e v="#N/A"/>
    <n v="25"/>
    <n v="0"/>
    <n v="1"/>
    <e v="#N/A"/>
    <n v="1"/>
    <e v="#N/A"/>
    <m/>
    <n v="0"/>
    <m/>
    <n v="0"/>
    <m/>
    <n v="0"/>
    <m/>
    <n v="0"/>
    <s v="FLINTSL"/>
    <n v="25"/>
    <n v="0"/>
    <n v="30.684210526315788"/>
    <n v="0"/>
    <s v="CYAN"/>
    <s v="C01522C"/>
    <s v="FLINTSL - CYAN"/>
    <n v="30"/>
    <n v="0"/>
    <m/>
    <m/>
    <n v="0"/>
    <n v="26523000028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0"/>
    <n v="0"/>
    <n v="10.228070175438596"/>
    <n v="0"/>
    <s v="MAGENTA"/>
    <s v="C01522M"/>
    <s v="FLINTSL - MAGENTA"/>
    <n v="30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9"/>
    <n v="0"/>
    <n v="11.228070175438596"/>
    <n v="0"/>
    <s v="YELLOW"/>
    <s v="C01522Y"/>
    <s v="FLINTSL - YELLOW"/>
    <n v="30"/>
    <n v="0"/>
    <m/>
    <m/>
    <n v="0"/>
    <n v="26525000014"/>
    <s v="FMD"/>
    <m/>
    <m/>
    <m/>
    <m/>
    <m/>
    <m/>
    <n v="3"/>
    <e v="#N/A"/>
    <n v="4"/>
    <n v="0"/>
    <m/>
    <n v="0"/>
    <m/>
    <n v="0"/>
    <m/>
    <n v="0"/>
    <m/>
    <n v="0"/>
    <m/>
    <n v="0"/>
    <m/>
    <n v="0"/>
    <s v="FLINTSL"/>
    <n v="30"/>
    <n v="0"/>
    <n v="13.228070175438596"/>
    <n v="0"/>
    <s v="WHITE"/>
    <s v="C01522W"/>
    <s v="FLINTSL - WHITE"/>
    <n v="29"/>
    <n v="0"/>
    <m/>
    <m/>
    <n v="0"/>
    <s v="FW"/>
    <m/>
    <m/>
    <m/>
    <m/>
    <m/>
    <m/>
    <m/>
    <n v="25"/>
    <n v="0"/>
    <m/>
    <n v="0"/>
    <m/>
    <n v="0"/>
    <m/>
    <n v="0"/>
    <m/>
    <n v="0"/>
    <m/>
    <n v="0"/>
    <m/>
    <n v="0"/>
    <m/>
    <n v="0"/>
    <s v="FLINTSL"/>
    <n v="24"/>
    <n v="0"/>
    <n v="48.68421052631578"/>
    <n v="0"/>
    <n v="5"/>
    <n v="5"/>
    <n v="2"/>
    <n v="15"/>
    <n v="5"/>
    <n v="5"/>
    <n v="5"/>
    <n v="15"/>
    <n v="0.8"/>
    <n v="0.2"/>
    <m/>
    <m/>
    <m/>
    <n v="0"/>
    <n v="71"/>
    <n v="0"/>
    <n v="0"/>
    <n v="71"/>
    <n v="71"/>
    <n v="56.800000000000004"/>
    <n v="0"/>
    <n v="14.200000000000001"/>
    <n v="0"/>
    <n v="0"/>
    <n v="0"/>
    <n v="0"/>
    <n v="0"/>
    <n v="0"/>
    <n v="0"/>
    <n v="0"/>
    <n v="0"/>
    <n v="0"/>
    <m/>
    <n v="83"/>
    <n v="137"/>
    <n v="193"/>
    <s v="FLINTSLFLINTSLFLINTSLFLINTSLFLINTSLFLINTSLFLINTSLFLINTSL"/>
    <s v="+"/>
    <s v="+"/>
    <s v="+"/>
    <s v="+"/>
    <s v="+"/>
    <s v="+"/>
    <s v="+"/>
    <s v="+"/>
  </r>
  <r>
    <d v="2026-01-25T00:00:00"/>
    <s v="B"/>
    <x v="339"/>
    <n v="194"/>
    <n v="404"/>
    <n v="19800"/>
    <s v="I"/>
    <s v="N"/>
    <n v="1.23"/>
    <s v="BLACK"/>
    <s v="C01522B"/>
    <s v="FLINTSL - BLACK"/>
    <n v="20"/>
    <n v="0"/>
    <m/>
    <m/>
    <n v="0"/>
    <n v="26526000029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9"/>
    <n v="0"/>
    <n v="16.512820512820511"/>
    <n v="0"/>
    <s v="BLACK"/>
    <s v="H01358B"/>
    <s v="FLINTSL - BLACK"/>
    <n v="19"/>
    <n v="0"/>
    <m/>
    <m/>
    <n v="0"/>
    <n v="26526000026"/>
    <n v="26527000009"/>
    <m/>
    <m/>
    <m/>
    <m/>
    <m/>
    <m/>
    <n v="4"/>
    <e v="#N/A"/>
    <n v="2"/>
    <e v="#N/A"/>
    <m/>
    <n v="0"/>
    <m/>
    <n v="0"/>
    <m/>
    <n v="0"/>
    <m/>
    <n v="0"/>
    <m/>
    <n v="0"/>
    <m/>
    <n v="0"/>
    <s v="FLINTSL"/>
    <n v="25"/>
    <n v="0"/>
    <n v="7.7564102564102555"/>
    <n v="0"/>
    <s v="RED"/>
    <s v="C01522R"/>
    <s v="FLINTSL - RED"/>
    <n v="29"/>
    <n v="0"/>
    <s v="F00888R"/>
    <n v="30"/>
    <n v="0"/>
    <n v="26526000027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5"/>
    <n v="0"/>
    <n v="56.410256410256409"/>
    <n v="0"/>
    <s v="GREEN"/>
    <s v="N00892G"/>
    <s v="FLINTSL - GREEN"/>
    <n v="24"/>
    <n v="0"/>
    <m/>
    <m/>
    <n v="0"/>
    <n v="26523000028"/>
    <n v="26527000009"/>
    <m/>
    <m/>
    <m/>
    <m/>
    <m/>
    <m/>
    <n v="4"/>
    <e v="#N/A"/>
    <n v="6"/>
    <e v="#N/A"/>
    <m/>
    <n v="0"/>
    <m/>
    <n v="0"/>
    <m/>
    <n v="0"/>
    <m/>
    <n v="0"/>
    <m/>
    <n v="0"/>
    <m/>
    <n v="0"/>
    <s v="FLINTSL"/>
    <n v="30"/>
    <n v="0"/>
    <n v="11.756410256410255"/>
    <n v="0"/>
    <s v="CYAN"/>
    <s v="C01522CV"/>
    <s v="FLINTSL - CYAN"/>
    <n v="30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31"/>
    <n v="0"/>
    <n v="10.756410256410255"/>
    <n v="0"/>
    <s v="MAGENTA"/>
    <s v="C01522M"/>
    <s v="FLINTSL - MAGENTA"/>
    <n v="29"/>
    <n v="0"/>
    <m/>
    <m/>
    <n v="0"/>
    <n v="26526000026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0"/>
    <n v="0"/>
    <n v="10.756410256410255"/>
    <n v="0"/>
    <s v="YELLOW"/>
    <s v="C01522Y"/>
    <s v="FLINTSL - YELLOW"/>
    <n v="30"/>
    <n v="0"/>
    <m/>
    <m/>
    <n v="0"/>
    <n v="26527000009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4"/>
    <n v="0"/>
    <n v="19.756410256410255"/>
    <n v="0"/>
    <s v="WHITE"/>
    <s v="C01522W"/>
    <s v="FLINTSL - WHITE"/>
    <n v="24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4"/>
    <n v="0"/>
    <n v="114.2948717948718"/>
    <n v="0"/>
    <n v="10"/>
    <n v="5"/>
    <n v="8"/>
    <n v="5"/>
    <n v="5"/>
    <n v="5"/>
    <n v="5"/>
    <n v="35"/>
    <n v="0.8"/>
    <n v="0.2"/>
    <m/>
    <m/>
    <m/>
    <n v="0"/>
    <n v="121"/>
    <n v="0"/>
    <n v="0"/>
    <n v="121"/>
    <n v="121"/>
    <n v="96.800000000000011"/>
    <n v="0"/>
    <n v="24.200000000000003"/>
    <n v="0"/>
    <n v="0"/>
    <n v="0"/>
    <n v="0"/>
    <n v="0"/>
    <n v="0"/>
    <n v="0"/>
    <n v="0"/>
    <n v="0"/>
    <n v="0"/>
    <m/>
    <n v="110"/>
    <n v="247.99999999999997"/>
    <n v="194"/>
    <s v="FLINTSLFLINTSLFLINTSLFLINTSLFLINTSLFLINTSLFLINTSLFLINTSL"/>
    <s v="+"/>
    <s v="+"/>
    <s v="+"/>
    <s v="+"/>
    <s v="+"/>
    <s v="+"/>
    <s v="+"/>
    <s v="+"/>
  </r>
  <r>
    <d v="2026-01-25T00:00:00"/>
    <s v="B"/>
    <x v="340"/>
    <n v="195"/>
    <n v="6267"/>
    <n v="322700"/>
    <s v="II"/>
    <s v="N"/>
    <n v="1.54"/>
    <s v="BLACK"/>
    <s v="C01520B"/>
    <s v="FLINTSL - BLACK"/>
    <n v="29"/>
    <n v="0"/>
    <s v="F00870B"/>
    <n v="30"/>
    <n v="0"/>
    <n v="26526000029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0"/>
    <n v="0"/>
    <n v="80.25"/>
    <n v="0"/>
    <s v="REFLEX BLUE"/>
    <s v="C01520R"/>
    <s v="FLINTSL - REFLEX BLUE"/>
    <n v="10"/>
    <n v="0"/>
    <m/>
    <m/>
    <n v="0"/>
    <n v="26525000006"/>
    <n v="26524000018"/>
    <m/>
    <m/>
    <m/>
    <m/>
    <m/>
    <m/>
    <n v="13"/>
    <e v="#N/A"/>
    <n v="20"/>
    <e v="#N/A"/>
    <m/>
    <n v="0"/>
    <m/>
    <n v="0"/>
    <m/>
    <n v="0"/>
    <m/>
    <n v="0"/>
    <m/>
    <n v="0"/>
    <m/>
    <n v="0"/>
    <s v="FLINTSL"/>
    <n v="22"/>
    <n v="0"/>
    <n v="55.375"/>
    <n v="0"/>
    <s v="RED"/>
    <m/>
    <m/>
    <m/>
    <n v="0"/>
    <m/>
    <m/>
    <n v="0"/>
    <n v="26525000013"/>
    <n v="26525000010"/>
    <n v="26525000009"/>
    <n v="26525000007"/>
    <n v="26527000022"/>
    <n v="26527000012"/>
    <n v="26526000012"/>
    <n v="26526000008"/>
    <n v="40"/>
    <e v="#N/A"/>
    <n v="30"/>
    <e v="#N/A"/>
    <n v="40"/>
    <e v="#N/A"/>
    <n v="40"/>
    <e v="#N/A"/>
    <n v="26"/>
    <e v="#N/A"/>
    <n v="30"/>
    <e v="#N/A"/>
    <n v="100"/>
    <e v="#N/A"/>
    <n v="50"/>
    <e v="#N/A"/>
    <s v="FLINTSL"/>
    <n v="35"/>
    <n v="0"/>
    <n v="352.25"/>
    <n v="0"/>
    <s v="GREEN"/>
    <s v="C01520G"/>
    <s v="FLINTSL - GREEN"/>
    <n v="30"/>
    <n v="0"/>
    <m/>
    <m/>
    <n v="0"/>
    <n v="26526000029"/>
    <n v="26523000028"/>
    <m/>
    <m/>
    <m/>
    <m/>
    <m/>
    <m/>
    <n v="1"/>
    <e v="#N/A"/>
    <n v="2"/>
    <e v="#N/A"/>
    <m/>
    <n v="0"/>
    <m/>
    <n v="0"/>
    <m/>
    <n v="0"/>
    <m/>
    <n v="0"/>
    <m/>
    <n v="0"/>
    <m/>
    <n v="0"/>
    <s v="FLINTSL"/>
    <n v="28"/>
    <n v="0"/>
    <n v="14.375"/>
    <n v="0"/>
    <s v="CYAN"/>
    <s v="C01520C"/>
    <s v="FLINTSL - CYAN"/>
    <n v="31"/>
    <n v="0"/>
    <s v="H01205C"/>
    <n v="25"/>
    <n v="0"/>
    <n v="26523000028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25"/>
    <n v="0"/>
    <n v="72.25"/>
    <n v="0"/>
    <s v="MAGENTA"/>
    <s v="C01520M"/>
    <s v="FLINTSL - MAGENTA"/>
    <n v="30"/>
    <n v="0"/>
    <m/>
    <m/>
    <n v="0"/>
    <n v="26527000022"/>
    <s v="FMD"/>
    <m/>
    <m/>
    <m/>
    <m/>
    <m/>
    <m/>
    <n v="25"/>
    <e v="#N/A"/>
    <n v="14"/>
    <n v="0"/>
    <m/>
    <n v="0"/>
    <m/>
    <n v="0"/>
    <m/>
    <n v="0"/>
    <m/>
    <n v="0"/>
    <m/>
    <n v="0"/>
    <m/>
    <n v="0"/>
    <s v="FLINTSL"/>
    <n v="24"/>
    <n v="0"/>
    <n v="107.5"/>
    <n v="0"/>
    <s v="YELLOW"/>
    <s v="C01520Y"/>
    <s v="FLINTSL - YELLOW"/>
    <n v="24"/>
    <n v="0"/>
    <s v="H01205Y"/>
    <n v="32"/>
    <n v="0"/>
    <n v="26525000008"/>
    <n v="26527000009"/>
    <s v="FMD"/>
    <n v="26525000021"/>
    <n v="26525000019"/>
    <n v="26526000004"/>
    <n v="26526000016"/>
    <n v="26526000013"/>
    <n v="40"/>
    <e v="#N/A"/>
    <n v="11"/>
    <e v="#N/A"/>
    <n v="10"/>
    <n v="0"/>
    <n v="40"/>
    <e v="#N/A"/>
    <n v="40"/>
    <e v="#N/A"/>
    <n v="40"/>
    <e v="#N/A"/>
    <n v="40"/>
    <e v="#N/A"/>
    <n v="40"/>
    <e v="#N/A"/>
    <s v="FLINTSL"/>
    <n v="25"/>
    <n v="0"/>
    <n v="292"/>
    <n v="0"/>
    <s v="WHITE"/>
    <s v="C01520W"/>
    <s v="FLINTSL - WHITE"/>
    <n v="24"/>
    <n v="0"/>
    <m/>
    <m/>
    <n v="0"/>
    <s v="FW"/>
    <m/>
    <m/>
    <m/>
    <m/>
    <m/>
    <m/>
    <m/>
    <n v="800"/>
    <n v="0"/>
    <m/>
    <n v="0"/>
    <m/>
    <n v="0"/>
    <m/>
    <n v="0"/>
    <m/>
    <n v="0"/>
    <m/>
    <n v="0"/>
    <m/>
    <n v="0"/>
    <m/>
    <n v="0"/>
    <s v="FLINTSL"/>
    <n v="30"/>
    <n v="0"/>
    <n v="2294"/>
    <n v="0"/>
    <n v="10"/>
    <n v="11"/>
    <n v="10"/>
    <n v="3"/>
    <n v="10"/>
    <n v="20"/>
    <n v="0"/>
    <n v="480"/>
    <n v="0.8"/>
    <n v="0.2"/>
    <m/>
    <m/>
    <m/>
    <n v="0"/>
    <n v="1700"/>
    <n v="0"/>
    <n v="0"/>
    <n v="1700"/>
    <n v="1700"/>
    <n v="1360"/>
    <n v="0"/>
    <n v="340"/>
    <n v="0"/>
    <n v="0"/>
    <n v="0"/>
    <n v="0"/>
    <n v="0"/>
    <n v="0"/>
    <n v="0"/>
    <n v="0"/>
    <n v="0"/>
    <n v="0"/>
    <m/>
    <n v="1512"/>
    <n v="3268"/>
    <n v="195"/>
    <s v="FLINTSLFLINTSLFLINTSLFLINTSLFLINTSLFLINTSLFLINTSLFLINTSL"/>
    <s v="+"/>
    <s v="+"/>
    <s v="+"/>
    <s v="+"/>
    <s v="+"/>
    <s v="+"/>
    <s v="+"/>
    <s v="+"/>
  </r>
  <r>
    <d v="2026-01-25T00:00:00"/>
    <s v="B"/>
    <x v="340"/>
    <n v="195"/>
    <n v="0"/>
    <n v="0"/>
    <s v="II"/>
    <s v="N"/>
    <n v="0"/>
    <s v="RED"/>
    <n v="0"/>
    <s v="0 - RED"/>
    <n v="0"/>
    <n v="0"/>
    <m/>
    <m/>
    <n v="0"/>
    <n v="26526000007"/>
    <n v="26526000006"/>
    <n v="26526000017"/>
    <n v="26526000024"/>
    <m/>
    <m/>
    <m/>
    <m/>
    <n v="50"/>
    <e v="#N/A"/>
    <n v="40"/>
    <e v="#N/A"/>
    <n v="30"/>
    <e v="#N/A"/>
    <n v="140"/>
    <e v="#N/A"/>
    <m/>
    <n v="0"/>
    <m/>
    <n v="0"/>
    <m/>
    <n v="0"/>
    <m/>
    <n v="0"/>
    <n v="0"/>
    <n v="0"/>
    <n v="0"/>
    <n v="0"/>
    <n v="0"/>
    <s v="WHITE"/>
    <n v="0"/>
    <s v=" - WHITE"/>
    <n v="0"/>
    <n v="0"/>
    <m/>
    <m/>
    <n v="0"/>
    <n v="26525000011"/>
    <n v="26526000009"/>
    <n v="26525000008"/>
    <n v="26526000011"/>
    <n v="26526000019"/>
    <n v="26526000025"/>
    <m/>
    <m/>
    <n v="40"/>
    <e v="#N/A"/>
    <n v="40"/>
    <e v="#N/A"/>
    <n v="40"/>
    <e v="#N/A"/>
    <n v="40"/>
    <e v="#N/A"/>
    <n v="40"/>
    <e v="#N/A"/>
    <n v="40"/>
    <e v="#N/A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00"/>
    <n v="0"/>
    <n v="195"/>
    <s v="0"/>
    <s v="-"/>
    <s v="NIL"/>
    <s v="NIL"/>
    <s v="NIL"/>
    <s v="NIL"/>
    <s v="NIL"/>
    <s v="NIL"/>
    <s v="NIL"/>
  </r>
  <r>
    <d v="2026-01-25T00:00:00"/>
    <s v="A"/>
    <x v="341"/>
    <n v="196"/>
    <n v="2065"/>
    <n v="106600"/>
    <s v="I"/>
    <s v="N"/>
    <n v="1.76"/>
    <s v="REFLEX BLUE"/>
    <s v="F00886B"/>
    <s v="FLINTSL - REFLEX BLUE"/>
    <n v="30"/>
    <n v="0"/>
    <m/>
    <m/>
    <n v="0"/>
    <n v="26523000016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15"/>
    <n v="0"/>
    <n v="33.086956521739133"/>
    <n v="0"/>
    <s v="GREEN"/>
    <s v="H01308G"/>
    <s v="FLINTSL - GREEN"/>
    <n v="26"/>
    <n v="0"/>
    <m/>
    <m/>
    <n v="0"/>
    <n v="26526000029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0"/>
    <n v="0"/>
    <n v="14.391304347826086"/>
    <n v="0"/>
    <s v="CYAN"/>
    <m/>
    <s v="FLINTSL - CYAN"/>
    <m/>
    <n v="0"/>
    <m/>
    <m/>
    <n v="0"/>
    <n v="26525000004"/>
    <n v="26525000005"/>
    <m/>
    <m/>
    <m/>
    <m/>
    <m/>
    <m/>
    <n v="40"/>
    <e v="#N/A"/>
    <n v="40"/>
    <e v="#N/A"/>
    <m/>
    <n v="0"/>
    <m/>
    <n v="0"/>
    <m/>
    <n v="0"/>
    <m/>
    <n v="0"/>
    <m/>
    <n v="0"/>
    <m/>
    <n v="0"/>
    <s v="FLINTSL"/>
    <n v="25"/>
    <n v="0"/>
    <n v="55"/>
    <n v="0"/>
    <s v="RED"/>
    <m/>
    <s v="FLINTSL - RED"/>
    <m/>
    <n v="0"/>
    <m/>
    <m/>
    <n v="0"/>
    <n v="26526000026"/>
    <n v="26526000027"/>
    <m/>
    <m/>
    <m/>
    <m/>
    <m/>
    <m/>
    <n v="15"/>
    <e v="#N/A"/>
    <n v="10"/>
    <e v="#N/A"/>
    <m/>
    <n v="0"/>
    <m/>
    <n v="0"/>
    <m/>
    <n v="0"/>
    <m/>
    <n v="0"/>
    <m/>
    <n v="0"/>
    <m/>
    <n v="0"/>
    <s v="FLINTSL"/>
    <n v="22"/>
    <n v="0"/>
    <n v="29.956521739130437"/>
    <n v="0"/>
    <s v="RED"/>
    <m/>
    <s v="FLINTSL - RED"/>
    <m/>
    <n v="0"/>
    <m/>
    <m/>
    <n v="0"/>
    <n v="26527000022"/>
    <n v="26526000027"/>
    <m/>
    <m/>
    <m/>
    <m/>
    <m/>
    <m/>
    <n v="15"/>
    <e v="#N/A"/>
    <n v="9"/>
    <e v="#N/A"/>
    <m/>
    <n v="0"/>
    <m/>
    <n v="0"/>
    <m/>
    <n v="0"/>
    <m/>
    <n v="0"/>
    <m/>
    <n v="0"/>
    <m/>
    <n v="0"/>
    <s v="FLINTSL"/>
    <n v="20"/>
    <n v="0"/>
    <n v="36.347826086956523"/>
    <n v="0"/>
    <s v="CYAN"/>
    <s v="F00888C"/>
    <s v="FLINTSL - CYAN"/>
    <n v="35"/>
    <n v="0"/>
    <m/>
    <m/>
    <n v="0"/>
    <n v="26525000012"/>
    <n v="26525000018"/>
    <n v="26524000018"/>
    <n v="26527000009"/>
    <n v="26525000020"/>
    <m/>
    <m/>
    <m/>
    <n v="30"/>
    <e v="#N/A"/>
    <n v="30"/>
    <e v="#N/A"/>
    <n v="25"/>
    <e v="#N/A"/>
    <n v="3"/>
    <e v="#N/A"/>
    <n v="20"/>
    <e v="#N/A"/>
    <m/>
    <n v="0"/>
    <m/>
    <n v="0"/>
    <m/>
    <n v="0"/>
    <s v="FLINTSL"/>
    <n v="23"/>
    <n v="0"/>
    <n v="120"/>
    <n v="0"/>
    <s v="YELLOW"/>
    <m/>
    <s v="FLINTSL - YELLOW"/>
    <m/>
    <n v="0"/>
    <m/>
    <m/>
    <n v="0"/>
    <n v="26527000024"/>
    <s v="FMD"/>
    <m/>
    <m/>
    <m/>
    <m/>
    <m/>
    <m/>
    <n v="45"/>
    <e v="#N/A"/>
    <n v="18"/>
    <n v="0"/>
    <m/>
    <n v="0"/>
    <m/>
    <n v="0"/>
    <m/>
    <n v="0"/>
    <m/>
    <n v="0"/>
    <m/>
    <n v="0"/>
    <m/>
    <n v="0"/>
    <s v="FLINTSL"/>
    <n v="32"/>
    <n v="0"/>
    <n v="93"/>
    <n v="0"/>
    <s v="WHITE"/>
    <m/>
    <s v="FLINTSL - WHITE"/>
    <m/>
    <n v="0"/>
    <m/>
    <m/>
    <n v="0"/>
    <s v="FW"/>
    <m/>
    <m/>
    <m/>
    <m/>
    <m/>
    <m/>
    <m/>
    <n v="300"/>
    <n v="0"/>
    <m/>
    <n v="0"/>
    <m/>
    <n v="0"/>
    <m/>
    <n v="0"/>
    <m/>
    <n v="0"/>
    <m/>
    <n v="0"/>
    <m/>
    <n v="0"/>
    <m/>
    <n v="0"/>
    <s v="FLINTSL"/>
    <n v="29"/>
    <n v="0"/>
    <n v="756.21739130434787"/>
    <n v="0"/>
    <n v="3"/>
    <n v="2"/>
    <n v="0"/>
    <n v="10"/>
    <n v="12"/>
    <n v="0"/>
    <n v="23"/>
    <n v="180"/>
    <n v="0.8"/>
    <n v="0.2"/>
    <m/>
    <m/>
    <m/>
    <n v="0"/>
    <n v="620"/>
    <n v="0"/>
    <n v="0"/>
    <n v="620"/>
    <n v="620"/>
    <n v="496"/>
    <n v="0"/>
    <n v="124"/>
    <n v="0"/>
    <n v="0"/>
    <n v="0"/>
    <n v="0"/>
    <n v="0"/>
    <n v="0"/>
    <n v="0"/>
    <n v="0"/>
    <n v="0"/>
    <n v="0"/>
    <m/>
    <n v="613"/>
    <n v="1138"/>
    <n v="196"/>
    <s v="FLINTSLFLINTSLFLINTSLFLINTSLFLINTSLFLINTSLFLINTSLFLINTSL"/>
    <s v="+"/>
    <s v="+"/>
    <s v="+"/>
    <s v="+"/>
    <s v="+"/>
    <s v="+"/>
    <s v="+"/>
    <s v="+"/>
  </r>
  <r>
    <d v="2026-01-26T00:00:00"/>
    <s v="A"/>
    <x v="342"/>
    <n v="197"/>
    <n v="501"/>
    <n v="22800"/>
    <s v="I"/>
    <s v="N"/>
    <n v="1.95"/>
    <s v="BLACK"/>
    <s v="N00905B"/>
    <s v="FLINTSL - BLACK"/>
    <n v="15"/>
    <n v="0"/>
    <m/>
    <m/>
    <n v="0"/>
    <n v="26526000029"/>
    <s v="FMD"/>
    <m/>
    <m/>
    <m/>
    <m/>
    <m/>
    <m/>
    <n v="6"/>
    <e v="#N/A"/>
    <n v="4"/>
    <n v="0"/>
    <m/>
    <n v="0"/>
    <m/>
    <n v="0"/>
    <m/>
    <n v="0"/>
    <m/>
    <n v="0"/>
    <m/>
    <n v="0"/>
    <m/>
    <n v="0"/>
    <s v="FLINTSL"/>
    <n v="29"/>
    <n v="0"/>
    <n v="4.720930232558139"/>
    <n v="0"/>
    <s v="RED"/>
    <m/>
    <s v="FLINTSL - RED"/>
    <m/>
    <n v="0"/>
    <m/>
    <m/>
    <n v="0"/>
    <n v="26526000033"/>
    <n v="26526000032"/>
    <s v="FMD"/>
    <m/>
    <m/>
    <m/>
    <m/>
    <m/>
    <n v="25"/>
    <e v="#N/A"/>
    <n v="40"/>
    <e v="#N/A"/>
    <n v="6"/>
    <n v="0"/>
    <m/>
    <n v="0"/>
    <m/>
    <n v="0"/>
    <m/>
    <n v="0"/>
    <m/>
    <n v="0"/>
    <m/>
    <n v="0"/>
    <s v="FLINTSL"/>
    <n v="30"/>
    <n v="0"/>
    <n v="49.720930232558146"/>
    <n v="0"/>
    <s v="BLACK"/>
    <m/>
    <s v="FLINTSL - BLACK"/>
    <m/>
    <n v="0"/>
    <m/>
    <m/>
    <n v="0"/>
    <n v="26526000034"/>
    <n v="26526000031"/>
    <n v="26527000009"/>
    <n v="26526000029"/>
    <m/>
    <m/>
    <m/>
    <m/>
    <n v="25"/>
    <e v="#N/A"/>
    <n v="40"/>
    <e v="#N/A"/>
    <n v="6"/>
    <e v="#N/A"/>
    <n v="0.2"/>
    <e v="#N/A"/>
    <m/>
    <n v="0"/>
    <m/>
    <n v="0"/>
    <m/>
    <n v="0"/>
    <m/>
    <n v="0"/>
    <s v="FLINTSL"/>
    <n v="32"/>
    <n v="0"/>
    <n v="47.920930232558135"/>
    <n v="0"/>
    <s v="GREEN"/>
    <s v="G00403G"/>
    <s v="FLINTSL - GREEN"/>
    <n v="27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0"/>
    <n v="1"/>
    <n v="0"/>
    <s v="MAGENTA"/>
    <m/>
    <s v="FLINTSL - MAGENTA"/>
    <m/>
    <n v="0"/>
    <m/>
    <m/>
    <n v="0"/>
    <n v="26527000022"/>
    <s v="FMD"/>
    <m/>
    <m/>
    <m/>
    <m/>
    <m/>
    <m/>
    <n v="10"/>
    <e v="#N/A"/>
    <n v="10"/>
    <n v="0"/>
    <m/>
    <n v="0"/>
    <m/>
    <n v="0"/>
    <m/>
    <n v="0"/>
    <m/>
    <n v="0"/>
    <m/>
    <n v="0"/>
    <m/>
    <n v="0"/>
    <s v="FLINTSL"/>
    <n v="25"/>
    <n v="0"/>
    <n v="12.441860465116278"/>
    <n v="0"/>
    <s v="YELLOW"/>
    <m/>
    <s v="FLINTSL - YELLOW"/>
    <m/>
    <n v="0"/>
    <m/>
    <m/>
    <n v="0"/>
    <n v="26527000011"/>
    <s v="FMD"/>
    <m/>
    <m/>
    <m/>
    <m/>
    <m/>
    <m/>
    <n v="20"/>
    <e v="#N/A"/>
    <n v="10"/>
    <n v="0"/>
    <m/>
    <n v="0"/>
    <m/>
    <n v="0"/>
    <m/>
    <n v="0"/>
    <m/>
    <n v="0"/>
    <m/>
    <n v="0"/>
    <m/>
    <n v="0"/>
    <s v="FLINTSL"/>
    <n v="24"/>
    <n v="0"/>
    <n v="7.7441860465116292"/>
    <n v="0"/>
    <s v="WHITE"/>
    <m/>
    <s v="FLINTSL - WHITE"/>
    <m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29"/>
    <n v="0"/>
    <n v="175.651162790697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0"/>
    <n v="10"/>
    <n v="1"/>
    <n v="60"/>
    <n v="0"/>
    <n v="0.8"/>
    <n v="0.2"/>
    <m/>
    <m/>
    <m/>
    <n v="0"/>
    <n v="150"/>
    <n v="0"/>
    <n v="0"/>
    <n v="150"/>
    <n v="150"/>
    <n v="120"/>
    <n v="0"/>
    <n v="30"/>
    <n v="0"/>
    <n v="0"/>
    <n v="0"/>
    <n v="0"/>
    <n v="0"/>
    <n v="0"/>
    <n v="0"/>
    <n v="0"/>
    <n v="0"/>
    <n v="0"/>
    <m/>
    <n v="302.2"/>
    <n v="299.20000000000005"/>
    <n v="197"/>
    <s v="FLINTSLFLINTSLFLINTSLFLINTSLFLINTSLFLINTSLFLINTSL"/>
    <s v="+"/>
    <s v="+"/>
    <s v="+"/>
    <s v="+"/>
    <s v="+"/>
    <s v="+"/>
    <s v="+"/>
    <s v="NIL"/>
  </r>
  <r>
    <d v="2026-01-26T00:00:00"/>
    <s v="B"/>
    <x v="343"/>
    <n v="198"/>
    <n v="246"/>
    <n v="10500"/>
    <s v="II"/>
    <s v="N"/>
    <n v="1.9"/>
    <s v="GREEN"/>
    <s v="H01215G"/>
    <s v="FLINTSL - GREEN"/>
    <n v="10"/>
    <n v="0"/>
    <s v="H01229G"/>
    <n v="7"/>
    <n v="0"/>
    <n v="26523000028"/>
    <n v="26527000010"/>
    <m/>
    <m/>
    <m/>
    <m/>
    <m/>
    <m/>
    <n v="3"/>
    <e v="#N/A"/>
    <n v="7"/>
    <e v="#N/A"/>
    <m/>
    <n v="0"/>
    <m/>
    <n v="0"/>
    <m/>
    <n v="0"/>
    <m/>
    <n v="0"/>
    <m/>
    <n v="0"/>
    <m/>
    <n v="0"/>
    <s v="FLINTSL"/>
    <n v="29"/>
    <n v="0"/>
    <n v="5.0491803278688536"/>
    <n v="0"/>
    <s v="GREEN"/>
    <s v="C01446G"/>
    <s v="FLINTSL - GREEN"/>
    <n v="20"/>
    <n v="0"/>
    <m/>
    <m/>
    <n v="0"/>
    <n v="26527000010"/>
    <n v="26523000028"/>
    <m/>
    <m/>
    <m/>
    <m/>
    <m/>
    <m/>
    <n v="4"/>
    <e v="#N/A"/>
    <n v="1"/>
    <e v="#N/A"/>
    <m/>
    <n v="0"/>
    <m/>
    <n v="0"/>
    <m/>
    <n v="0"/>
    <m/>
    <n v="0"/>
    <m/>
    <n v="0"/>
    <m/>
    <n v="0"/>
    <s v="FLINTSL"/>
    <n v="24"/>
    <n v="0"/>
    <n v="5.2295081967213122"/>
    <n v="0"/>
    <s v="RED"/>
    <s v="H01215R"/>
    <s v="FLINTSL - RED"/>
    <n v="7"/>
    <n v="0"/>
    <m/>
    <m/>
    <n v="0"/>
    <n v="26529000010"/>
    <n v="26527000005"/>
    <n v="26526000026"/>
    <m/>
    <m/>
    <m/>
    <m/>
    <m/>
    <n v="5"/>
    <e v="#N/A"/>
    <n v="10"/>
    <e v="#N/A"/>
    <n v="5"/>
    <e v="#N/A"/>
    <m/>
    <n v="0"/>
    <m/>
    <n v="0"/>
    <m/>
    <n v="0"/>
    <m/>
    <n v="0"/>
    <m/>
    <n v="0"/>
    <s v="FLINTSL"/>
    <n v="28"/>
    <n v="0"/>
    <n v="8.8688524590163951"/>
    <n v="0"/>
    <s v="RED"/>
    <s v="H01215R"/>
    <s v="FLINTSL - RED"/>
    <n v="15"/>
    <n v="0"/>
    <m/>
    <m/>
    <n v="0"/>
    <n v="26526000030"/>
    <s v="FMD"/>
    <m/>
    <m/>
    <m/>
    <m/>
    <m/>
    <m/>
    <n v="4"/>
    <e v="#N/A"/>
    <n v="4"/>
    <n v="0"/>
    <m/>
    <n v="0"/>
    <m/>
    <n v="0"/>
    <m/>
    <n v="0"/>
    <m/>
    <n v="0"/>
    <m/>
    <n v="0"/>
    <m/>
    <n v="0"/>
    <s v="FLINTSL"/>
    <n v="20"/>
    <n v="0"/>
    <n v="10.049180327868854"/>
    <n v="0"/>
    <s v="CYAN"/>
    <s v="H01215C"/>
    <s v="FLINTSL - CYAN"/>
    <n v="24"/>
    <n v="0"/>
    <m/>
    <m/>
    <n v="0"/>
    <n v="2652400001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2"/>
    <n v="0"/>
    <n v="8.2295081967213122"/>
    <n v="0"/>
    <s v="MAGENTA"/>
    <s v="H01215M"/>
    <s v="FLINTSL - MAGENTA"/>
    <n v="25"/>
    <n v="0"/>
    <m/>
    <m/>
    <n v="0"/>
    <s v="FMD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24"/>
    <n v="0"/>
    <n v="18.049180327868854"/>
    <n v="0"/>
    <s v="YELLOW"/>
    <s v="H01215Y"/>
    <s v="FLINTSL - YELLOW"/>
    <n v="25"/>
    <n v="0"/>
    <m/>
    <m/>
    <n v="0"/>
    <n v="26527000010"/>
    <s v="FMD"/>
    <m/>
    <m/>
    <m/>
    <m/>
    <m/>
    <m/>
    <n v="25"/>
    <e v="#N/A"/>
    <n v="2"/>
    <n v="0"/>
    <m/>
    <n v="0"/>
    <m/>
    <n v="0"/>
    <m/>
    <n v="0"/>
    <m/>
    <n v="0"/>
    <m/>
    <n v="0"/>
    <m/>
    <n v="0"/>
    <s v="FLINTSL"/>
    <n v="23"/>
    <n v="0"/>
    <n v="47.327868852459019"/>
    <n v="0"/>
    <s v="WHITE"/>
    <s v="H01215W"/>
    <s v="FLINTSL - WHITE"/>
    <n v="30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25"/>
    <n v="0"/>
    <n v="73.196721311475414"/>
    <n v="0"/>
    <n v="5"/>
    <n v="3"/>
    <n v="7"/>
    <n v="5"/>
    <n v="3"/>
    <n v="5"/>
    <n v="13"/>
    <n v="20"/>
    <n v="0.8"/>
    <n v="0.2"/>
    <m/>
    <m/>
    <m/>
    <n v="0"/>
    <n v="86"/>
    <n v="0"/>
    <n v="0"/>
    <n v="86"/>
    <n v="86"/>
    <n v="68.8"/>
    <n v="0"/>
    <n v="17.2"/>
    <n v="0"/>
    <n v="0"/>
    <n v="0"/>
    <n v="0"/>
    <n v="0"/>
    <n v="0"/>
    <n v="0"/>
    <n v="0"/>
    <n v="0"/>
    <n v="0"/>
    <m/>
    <n v="122"/>
    <n v="176"/>
    <n v="198"/>
    <s v="FLINTSLFLINTSLFLINTSLFLINTSLFLINTSLFLINTSLFLINTSLFLINTSL"/>
    <s v="+"/>
    <s v="+"/>
    <s v="+"/>
    <s v="+"/>
    <s v="+"/>
    <s v="+"/>
    <s v="+"/>
    <s v="+"/>
  </r>
  <r>
    <d v="2026-01-26T00:00:00"/>
    <s v="B"/>
    <x v="344"/>
    <n v="199"/>
    <n v="791"/>
    <n v="41700"/>
    <s v="I"/>
    <s v="N"/>
    <n v="1.21"/>
    <s v="BLACK"/>
    <s v="N00869B"/>
    <s v="FLINTSL - BLACK"/>
    <n v="29"/>
    <n v="0"/>
    <m/>
    <m/>
    <n v="0"/>
    <n v="26526000029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4"/>
    <n v="0"/>
    <n v="19.480000000000004"/>
    <n v="0"/>
    <s v="RED"/>
    <s v="N00869R"/>
    <s v="FLINTSL - RED"/>
    <n v="30"/>
    <n v="0"/>
    <m/>
    <m/>
    <n v="0"/>
    <n v="26527000005"/>
    <n v="26528000002"/>
    <n v="26529000011"/>
    <m/>
    <m/>
    <m/>
    <m/>
    <m/>
    <n v="10"/>
    <e v="#N/A"/>
    <n v="12"/>
    <e v="#N/A"/>
    <n v="6"/>
    <e v="#N/A"/>
    <m/>
    <n v="0"/>
    <m/>
    <n v="0"/>
    <m/>
    <n v="0"/>
    <m/>
    <n v="0"/>
    <m/>
    <n v="0"/>
    <s v="FLINTSL"/>
    <n v="30"/>
    <n v="0"/>
    <n v="46.960000000000008"/>
    <n v="0"/>
    <s v="CYAN"/>
    <m/>
    <s v="FLINTSL - CYAN"/>
    <m/>
    <n v="0"/>
    <m/>
    <m/>
    <n v="0"/>
    <n v="26524000018"/>
    <s v="FMD"/>
    <m/>
    <m/>
    <m/>
    <m/>
    <m/>
    <m/>
    <n v="10"/>
    <e v="#N/A"/>
    <n v="6"/>
    <n v="0"/>
    <m/>
    <n v="0"/>
    <m/>
    <n v="0"/>
    <m/>
    <n v="0"/>
    <m/>
    <n v="0"/>
    <m/>
    <n v="0"/>
    <m/>
    <n v="0"/>
    <s v="FLINTSL"/>
    <n v="24"/>
    <n v="0"/>
    <n v="10.96"/>
    <n v="0"/>
    <s v="MAGENTA"/>
    <s v="N00869M"/>
    <s v="FLINTSL - MAGENTA"/>
    <n v="25"/>
    <n v="0"/>
    <m/>
    <m/>
    <n v="0"/>
    <n v="26528000002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6"/>
    <n v="0"/>
    <n v="14.480000000000004"/>
    <n v="0"/>
    <s v="YELLOW"/>
    <s v="N00869Y"/>
    <s v="FLINTSL - YELLOW"/>
    <n v="24"/>
    <n v="0"/>
    <m/>
    <m/>
    <n v="0"/>
    <n v="26527000018"/>
    <s v="FMD"/>
    <m/>
    <m/>
    <m/>
    <m/>
    <m/>
    <m/>
    <n v="8"/>
    <e v="#N/A"/>
    <n v="4"/>
    <n v="0"/>
    <m/>
    <n v="0"/>
    <m/>
    <n v="0"/>
    <m/>
    <n v="0"/>
    <m/>
    <n v="0"/>
    <m/>
    <n v="0"/>
    <m/>
    <n v="0"/>
    <s v="FLINTSL"/>
    <n v="30"/>
    <n v="0"/>
    <n v="15.480000000000004"/>
    <n v="0"/>
    <s v="GOLD"/>
    <s v="C01511G"/>
    <s v="FLINTSL - GOLD"/>
    <n v="30"/>
    <n v="0"/>
    <m/>
    <m/>
    <n v="0"/>
    <s v="FGO"/>
    <s v="FSI"/>
    <m/>
    <m/>
    <m/>
    <m/>
    <m/>
    <m/>
    <n v="6"/>
    <n v="0"/>
    <n v="6"/>
    <n v="0"/>
    <m/>
    <n v="0"/>
    <m/>
    <n v="0"/>
    <m/>
    <n v="0"/>
    <m/>
    <n v="0"/>
    <m/>
    <n v="0"/>
    <m/>
    <n v="0"/>
    <s v="FLINTSL"/>
    <n v="30"/>
    <n v="0"/>
    <n v="21.480000000000004"/>
    <n v="0"/>
    <s v="WHITE"/>
    <s v="N00869W"/>
    <s v="FLINTSL - WHITE"/>
    <n v="29"/>
    <n v="0"/>
    <m/>
    <m/>
    <n v="0"/>
    <s v="FW"/>
    <s v="fsi"/>
    <m/>
    <m/>
    <m/>
    <m/>
    <m/>
    <m/>
    <n v="50"/>
    <n v="0"/>
    <n v="100"/>
    <n v="0"/>
    <m/>
    <n v="0"/>
    <m/>
    <n v="0"/>
    <m/>
    <n v="0"/>
    <m/>
    <n v="0"/>
    <m/>
    <n v="0"/>
    <m/>
    <n v="0"/>
    <s v="FLINTSL"/>
    <n v="24"/>
    <n v="0"/>
    <n v="316.1600000000000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10"/>
    <n v="5"/>
    <n v="5"/>
    <n v="5"/>
    <n v="85"/>
    <n v="0"/>
    <n v="0.8"/>
    <n v="0.2"/>
    <m/>
    <m/>
    <m/>
    <n v="0"/>
    <n v="237"/>
    <n v="0"/>
    <n v="0"/>
    <n v="237"/>
    <n v="237"/>
    <n v="189.60000000000002"/>
    <n v="0"/>
    <n v="47.400000000000006"/>
    <n v="0"/>
    <n v="0"/>
    <n v="0"/>
    <n v="0"/>
    <n v="0"/>
    <n v="0"/>
    <n v="0"/>
    <n v="0"/>
    <n v="0"/>
    <n v="0"/>
    <m/>
    <n v="229"/>
    <n v="445.00000000000006"/>
    <n v="199"/>
    <s v="FLINTSLFLINTSLFLINTSLFLINTSLFLINTSLFLINTSLFLINTSL"/>
    <s v="+"/>
    <s v="+"/>
    <s v="+"/>
    <s v="+"/>
    <s v="+"/>
    <s v="+"/>
    <s v="+"/>
    <s v="NIL"/>
  </r>
  <r>
    <d v="2026-01-26T00:00:00"/>
    <s v="B"/>
    <x v="345"/>
    <n v="200"/>
    <n v="1690"/>
    <n v="99300"/>
    <s v="I"/>
    <s v="N"/>
    <n v="2"/>
    <s v="BLACK"/>
    <s v="C01525B"/>
    <s v="FLINTSL - BLACK"/>
    <n v="24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0"/>
    <n v="11.640552995391708"/>
    <n v="0"/>
    <s v="RED"/>
    <s v="E01015R"/>
    <s v="FLINTSL - RED"/>
    <n v="10"/>
    <n v="0"/>
    <m/>
    <m/>
    <n v="0"/>
    <n v="26528000002"/>
    <n v="26527000012"/>
    <n v="26527000015"/>
    <m/>
    <m/>
    <m/>
    <m/>
    <m/>
    <n v="10"/>
    <e v="#N/A"/>
    <n v="8"/>
    <e v="#N/A"/>
    <n v="0.2"/>
    <e v="#N/A"/>
    <m/>
    <n v="0"/>
    <m/>
    <n v="0"/>
    <m/>
    <n v="0"/>
    <m/>
    <n v="0"/>
    <m/>
    <n v="0"/>
    <s v="FLINTSL"/>
    <n v="25"/>
    <n v="0"/>
    <n v="30.481105990783412"/>
    <n v="0"/>
    <s v="BLACK"/>
    <s v="N00869B"/>
    <s v="FLINTSL - BLACK"/>
    <n v="32"/>
    <n v="0"/>
    <m/>
    <m/>
    <n v="0"/>
    <n v="26527000002"/>
    <m/>
    <m/>
    <m/>
    <m/>
    <m/>
    <m/>
    <m/>
    <n v="130"/>
    <e v="#N/A"/>
    <m/>
    <n v="0"/>
    <m/>
    <n v="0"/>
    <m/>
    <n v="0"/>
    <m/>
    <n v="0"/>
    <m/>
    <n v="0"/>
    <m/>
    <n v="0"/>
    <m/>
    <n v="0"/>
    <s v="FLINTSL"/>
    <n v="40"/>
    <n v="0"/>
    <n v="135.64055299539172"/>
    <n v="0"/>
    <s v="GREEN"/>
    <s v="C01435G"/>
    <s v="FLINTSL - GREEN"/>
    <n v="24"/>
    <n v="0"/>
    <m/>
    <m/>
    <n v="0"/>
    <n v="26524000018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1"/>
    <n v="0"/>
    <n v="22.640552995391708"/>
    <n v="0"/>
    <s v="MAGENTA"/>
    <s v="C01525M"/>
    <s v="FLINTSL - MAGENTA"/>
    <n v="30"/>
    <n v="0"/>
    <m/>
    <m/>
    <n v="0"/>
    <n v="26528000002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7"/>
    <n v="0"/>
    <n v="20.640552995391708"/>
    <n v="0"/>
    <s v="YELLOW"/>
    <s v="C01525Y"/>
    <s v="FLINTSL - YELLOW"/>
    <n v="30"/>
    <n v="0"/>
    <m/>
    <m/>
    <n v="0"/>
    <s v="FMD"/>
    <n v="26527000018"/>
    <m/>
    <m/>
    <m/>
    <m/>
    <m/>
    <m/>
    <n v="6"/>
    <n v="0"/>
    <n v="6"/>
    <e v="#N/A"/>
    <m/>
    <n v="0"/>
    <m/>
    <n v="0"/>
    <m/>
    <n v="0"/>
    <m/>
    <n v="0"/>
    <m/>
    <n v="0"/>
    <m/>
    <n v="0"/>
    <s v="FLINTSL"/>
    <n v="30"/>
    <n v="0"/>
    <n v="25.640552995391708"/>
    <n v="0"/>
    <s v="MEDIUM"/>
    <m/>
    <s v="FLINTSL - MEDIUM"/>
    <m/>
    <n v="0"/>
    <m/>
    <m/>
    <n v="0"/>
    <n v="26527000001"/>
    <m/>
    <m/>
    <m/>
    <m/>
    <m/>
    <m/>
    <m/>
    <n v="120"/>
    <e v="#N/A"/>
    <m/>
    <n v="0"/>
    <m/>
    <n v="0"/>
    <m/>
    <n v="0"/>
    <m/>
    <n v="0"/>
    <m/>
    <n v="0"/>
    <m/>
    <n v="0"/>
    <m/>
    <n v="0"/>
    <s v="FLINTSL"/>
    <n v="25"/>
    <n v="0"/>
    <n v="100.45622119815668"/>
    <n v="0"/>
    <s v="WHITE"/>
    <s v="C01525W"/>
    <s v="FLINTSL - WHITE"/>
    <n v="24"/>
    <n v="0"/>
    <m/>
    <m/>
    <n v="0"/>
    <s v="FW"/>
    <s v="WRK6-028K"/>
    <m/>
    <m/>
    <m/>
    <m/>
    <m/>
    <m/>
    <n v="300"/>
    <n v="0"/>
    <n v="9"/>
    <n v="0"/>
    <m/>
    <n v="0"/>
    <m/>
    <n v="0"/>
    <m/>
    <n v="0"/>
    <m/>
    <n v="0"/>
    <m/>
    <n v="0"/>
    <m/>
    <n v="0"/>
    <s v="FLINTSL"/>
    <n v="50"/>
    <n v="0"/>
    <n v="774.0599078341013"/>
    <n v="0"/>
    <n v="5"/>
    <n v="10"/>
    <n v="5"/>
    <n v="5"/>
    <n v="5"/>
    <n v="5"/>
    <n v="2"/>
    <n v="180"/>
    <n v="0.8"/>
    <n v="0.2"/>
    <m/>
    <m/>
    <m/>
    <n v="0"/>
    <n v="592"/>
    <n v="0"/>
    <n v="0"/>
    <n v="592"/>
    <n v="592"/>
    <n v="473.6"/>
    <n v="0"/>
    <n v="118.4"/>
    <n v="0"/>
    <n v="0"/>
    <n v="0"/>
    <n v="0"/>
    <n v="0"/>
    <n v="0"/>
    <n v="0"/>
    <n v="0"/>
    <n v="0"/>
    <n v="0"/>
    <m/>
    <n v="599.20000000000005"/>
    <n v="1121.2"/>
    <n v="200"/>
    <s v="FLINTSLFLINTSLFLINTSLFLINTSLFLINTSLFLINTSLFLINTSLFLINTSL"/>
    <s v="+"/>
    <s v="+"/>
    <s v="+"/>
    <s v="+"/>
    <s v="+"/>
    <s v="+"/>
    <s v="+"/>
    <s v="+"/>
  </r>
  <r>
    <d v="2026-01-26T00:00:00"/>
    <s v="B"/>
    <x v="346"/>
    <n v="201"/>
    <n v="950"/>
    <n v="44100"/>
    <s v="II"/>
    <s v="N"/>
    <n v="1.93"/>
    <s v="BLACK"/>
    <s v="H01215B"/>
    <s v="FLINTSL - BLACK"/>
    <n v="20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2"/>
    <n v="0"/>
    <n v="14.482758620689651"/>
    <n v="0"/>
    <s v="REFLEX BLUE"/>
    <s v="N00811P"/>
    <s v="FLINTSL - REFLEX BLUE"/>
    <n v="20"/>
    <n v="0"/>
    <s v="H01308P"/>
    <n v="7"/>
    <n v="0"/>
    <n v="26523000017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0"/>
    <n v="0"/>
    <n v="23.482758620689651"/>
    <n v="0"/>
    <s v="GREEN"/>
    <s v="C01435G"/>
    <s v="FLINTSL - GREEN"/>
    <n v="24"/>
    <n v="0"/>
    <m/>
    <m/>
    <n v="0"/>
    <n v="26524000018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8"/>
    <n v="0"/>
    <n v="8.1862068965517238"/>
    <n v="0"/>
    <s v="CYAN"/>
    <s v="C01435C"/>
    <s v="FLINTSL - CYAN"/>
    <n v="22"/>
    <n v="0"/>
    <m/>
    <m/>
    <n v="0"/>
    <n v="26524000018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1"/>
    <n v="0"/>
    <n v="12.186206896551724"/>
    <n v="0"/>
    <s v="MAGENTA"/>
    <s v="C01435M"/>
    <s v="FLINTSL - MAGENTA"/>
    <n v="24"/>
    <n v="0"/>
    <m/>
    <m/>
    <n v="0"/>
    <s v="FMD"/>
    <n v="26528000002"/>
    <m/>
    <m/>
    <m/>
    <m/>
    <m/>
    <m/>
    <n v="5"/>
    <n v="0"/>
    <n v="3"/>
    <e v="#N/A"/>
    <m/>
    <n v="0"/>
    <m/>
    <n v="0"/>
    <m/>
    <n v="0"/>
    <m/>
    <n v="0"/>
    <m/>
    <n v="0"/>
    <m/>
    <n v="0"/>
    <s v="FLINTSL"/>
    <n v="22"/>
    <n v="0"/>
    <n v="21.482758620689651"/>
    <n v="0"/>
    <s v="YELLOW"/>
    <s v="C01435Y"/>
    <s v="FLINTSL - YELLOW"/>
    <n v="23"/>
    <n v="0"/>
    <m/>
    <m/>
    <n v="0"/>
    <s v="FMD"/>
    <n v="26527000011"/>
    <m/>
    <m/>
    <m/>
    <m/>
    <m/>
    <m/>
    <n v="10"/>
    <n v="0"/>
    <n v="5"/>
    <e v="#N/A"/>
    <m/>
    <n v="0"/>
    <m/>
    <n v="0"/>
    <m/>
    <n v="0"/>
    <m/>
    <n v="0"/>
    <m/>
    <n v="0"/>
    <m/>
    <n v="0"/>
    <s v="FLINTSL"/>
    <n v="21"/>
    <n v="0"/>
    <n v="44.558620689655172"/>
    <n v="0"/>
    <s v="YELLOW"/>
    <m/>
    <s v="FLINTSL - YELLOW"/>
    <m/>
    <n v="0"/>
    <m/>
    <m/>
    <n v="0"/>
    <n v="26526000037"/>
    <n v="26526000036"/>
    <n v="26527000003"/>
    <n v="26527000018"/>
    <n v="26525000003"/>
    <m/>
    <m/>
    <m/>
    <n v="100"/>
    <e v="#N/A"/>
    <n v="40"/>
    <e v="#N/A"/>
    <n v="10"/>
    <e v="#N/A"/>
    <n v="5"/>
    <e v="#N/A"/>
    <n v="0.4"/>
    <e v="#N/A"/>
    <m/>
    <n v="0"/>
    <m/>
    <n v="0"/>
    <m/>
    <n v="0"/>
    <s v="FLINTSL"/>
    <n v="30"/>
    <n v="0"/>
    <n v="148.36551724137931"/>
    <n v="0"/>
    <s v="WHITE"/>
    <s v="C01435W"/>
    <s v="FLINTSL - WHITE"/>
    <n v="25"/>
    <n v="0"/>
    <m/>
    <m/>
    <n v="0"/>
    <s v="FW"/>
    <m/>
    <m/>
    <m/>
    <m/>
    <m/>
    <m/>
    <m/>
    <n v="160"/>
    <n v="0"/>
    <m/>
    <n v="0"/>
    <m/>
    <n v="0"/>
    <m/>
    <n v="0"/>
    <m/>
    <n v="0"/>
    <m/>
    <n v="0"/>
    <m/>
    <n v="0"/>
    <m/>
    <n v="0"/>
    <s v="FLINTSL"/>
    <n v="20"/>
    <n v="0"/>
    <n v="394.65517241379314"/>
    <n v="0"/>
    <n v="5"/>
    <n v="5"/>
    <n v="4"/>
    <n v="4"/>
    <n v="5"/>
    <n v="12"/>
    <n v="10"/>
    <n v="100"/>
    <n v="0.8"/>
    <n v="0.2"/>
    <m/>
    <m/>
    <m/>
    <n v="0"/>
    <n v="333"/>
    <n v="0"/>
    <n v="0"/>
    <n v="333"/>
    <n v="333"/>
    <n v="266.40000000000003"/>
    <n v="0"/>
    <n v="66.600000000000009"/>
    <n v="0"/>
    <n v="0"/>
    <n v="0"/>
    <n v="0"/>
    <n v="0"/>
    <n v="0"/>
    <n v="0"/>
    <n v="0"/>
    <n v="0"/>
    <n v="0"/>
    <m/>
    <n v="353.4"/>
    <n v="667.40000000000009"/>
    <n v="201"/>
    <s v="FLINTSLFLINTSLFLINTSLFLINTSLFLINTSLFLINTSLFLINTSLFLINTSL"/>
    <s v="+"/>
    <s v="+"/>
    <s v="+"/>
    <s v="+"/>
    <s v="+"/>
    <s v="+"/>
    <s v="+"/>
    <s v="+"/>
  </r>
  <r>
    <d v="2026-01-26T00:00:00"/>
    <s v="B"/>
    <x v="347"/>
    <n v="202"/>
    <n v="752"/>
    <n v="25800"/>
    <s v="II"/>
    <s v="N"/>
    <n v="1.26"/>
    <s v="BLACK"/>
    <s v="C01429B"/>
    <s v="FLINTSL - BLACK"/>
    <n v="22"/>
    <n v="0"/>
    <m/>
    <m/>
    <n v="0"/>
    <n v="26527000015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6"/>
    <n v="0"/>
    <n v="5.9450549450549453"/>
    <n v="0"/>
    <s v="REFLEX BLUE"/>
    <s v="E01026B"/>
    <s v="FLINTSL - REFLEX BLUE"/>
    <n v="16"/>
    <n v="0"/>
    <m/>
    <m/>
    <n v="0"/>
    <n v="26524000018"/>
    <n v="26526000026"/>
    <m/>
    <m/>
    <m/>
    <m/>
    <m/>
    <m/>
    <n v="5"/>
    <e v="#N/A"/>
    <n v="2"/>
    <e v="#N/A"/>
    <m/>
    <n v="0"/>
    <m/>
    <n v="0"/>
    <m/>
    <n v="0"/>
    <m/>
    <n v="0"/>
    <m/>
    <n v="0"/>
    <m/>
    <n v="0"/>
    <s v="FLINTSL"/>
    <n v="23"/>
    <n v="0"/>
    <n v="11.53846153846154"/>
    <n v="0"/>
    <s v="REFLEX BLUE"/>
    <m/>
    <s v="FLINTSL - REFLEX BLUE"/>
    <m/>
    <n v="0"/>
    <m/>
    <m/>
    <n v="0"/>
    <n v="26527000004"/>
    <n v="26527000006"/>
    <s v="FMD"/>
    <m/>
    <m/>
    <m/>
    <m/>
    <m/>
    <n v="40"/>
    <e v="#N/A"/>
    <n v="10"/>
    <e v="#N/A"/>
    <n v="10"/>
    <n v="0"/>
    <m/>
    <n v="0"/>
    <m/>
    <n v="0"/>
    <m/>
    <n v="0"/>
    <m/>
    <n v="0"/>
    <m/>
    <n v="0"/>
    <s v="FLINTSL"/>
    <n v="25"/>
    <n v="0"/>
    <n v="46.538461538461533"/>
    <n v="0"/>
    <s v="CYAN"/>
    <s v="C01429C"/>
    <s v="FLINTSL - CYAN"/>
    <n v="21"/>
    <n v="0"/>
    <m/>
    <m/>
    <n v="0"/>
    <n v="26524000018"/>
    <n v="26525000002"/>
    <s v="FMD"/>
    <m/>
    <m/>
    <m/>
    <m/>
    <m/>
    <n v="7"/>
    <e v="#N/A"/>
    <n v="0.5"/>
    <e v="#N/A"/>
    <n v="4"/>
    <n v="0"/>
    <m/>
    <n v="0"/>
    <m/>
    <n v="0"/>
    <m/>
    <n v="0"/>
    <m/>
    <n v="0"/>
    <m/>
    <n v="0"/>
    <s v="FLINTSL"/>
    <n v="25"/>
    <n v="0"/>
    <n v="15.741758241758241"/>
    <n v="0"/>
    <s v="MAGENTA"/>
    <s v="C01429M"/>
    <s v="FLINTSL - MAGENTA"/>
    <n v="22"/>
    <n v="0"/>
    <m/>
    <m/>
    <n v="0"/>
    <n v="26528000002"/>
    <s v="FMD"/>
    <m/>
    <m/>
    <m/>
    <m/>
    <m/>
    <m/>
    <n v="5"/>
    <e v="#N/A"/>
    <n v="6"/>
    <n v="0"/>
    <m/>
    <n v="0"/>
    <m/>
    <n v="0"/>
    <m/>
    <n v="0"/>
    <m/>
    <n v="0"/>
    <m/>
    <n v="0"/>
    <m/>
    <n v="0"/>
    <s v="FLINTSL"/>
    <n v="28"/>
    <n v="0"/>
    <n v="11.593406593406591"/>
    <n v="0"/>
    <s v="YELLOW"/>
    <s v="C01429Y"/>
    <s v="FLINTSL - YELLOW"/>
    <n v="21"/>
    <n v="0"/>
    <m/>
    <m/>
    <n v="0"/>
    <n v="26527000018"/>
    <m/>
    <m/>
    <m/>
    <m/>
    <m/>
    <m/>
    <m/>
    <n v="7"/>
    <e v="#N/A"/>
    <m/>
    <n v="0"/>
    <m/>
    <n v="0"/>
    <m/>
    <n v="0"/>
    <m/>
    <n v="0"/>
    <m/>
    <n v="0"/>
    <m/>
    <n v="0"/>
    <m/>
    <n v="0"/>
    <s v="FLINTSL"/>
    <n v="26"/>
    <n v="0"/>
    <n v="10.241758241758241"/>
    <n v="0"/>
    <s v="WHITE"/>
    <s v="C01429W"/>
    <s v="FLINTSL - WHITE"/>
    <n v="20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2"/>
    <n v="0"/>
    <n v="186.90109890109892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7"/>
    <n v="7"/>
    <n v="5"/>
    <n v="4"/>
    <n v="5"/>
    <n v="60"/>
    <n v="0"/>
    <n v="0.8"/>
    <n v="0.2"/>
    <m/>
    <m/>
    <m/>
    <n v="0"/>
    <n v="150"/>
    <n v="0"/>
    <n v="0"/>
    <n v="150"/>
    <n v="150"/>
    <n v="120"/>
    <n v="0"/>
    <n v="30"/>
    <n v="0"/>
    <n v="0"/>
    <n v="0"/>
    <n v="0"/>
    <n v="0"/>
    <n v="0"/>
    <n v="0"/>
    <n v="0"/>
    <n v="0"/>
    <n v="0"/>
    <m/>
    <n v="201.5"/>
    <n v="288.5"/>
    <n v="202"/>
    <s v="FLINTSLFLINTSLFLINTSLFLINTSLFLINTSLFLINTSLFLINTSL"/>
    <s v="+"/>
    <s v="+"/>
    <s v="+"/>
    <s v="+"/>
    <s v="+"/>
    <s v="+"/>
    <s v="+"/>
    <s v="NIL"/>
  </r>
  <r>
    <d v="2026-01-26T00:00:00"/>
    <s v="B"/>
    <x v="348"/>
    <n v="203"/>
    <n v="938"/>
    <n v="52700"/>
    <s v="II"/>
    <s v="N"/>
    <n v="2"/>
    <s v="BLACK"/>
    <s v="B01018B"/>
    <s v="FLINTSL - BLACK"/>
    <n v="26"/>
    <n v="0"/>
    <m/>
    <m/>
    <n v="0"/>
    <n v="2652700001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8.3478260869565233"/>
    <n v="0"/>
    <s v="REFLEX BLUE"/>
    <s v="B01018B"/>
    <s v="FLINTSL - REFLEX BLUE"/>
    <n v="23"/>
    <n v="0"/>
    <m/>
    <m/>
    <n v="0"/>
    <n v="26524000018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6.9130434782608674"/>
    <n v="0"/>
    <s v="GREEN"/>
    <s v="J00967G"/>
    <s v="FLINTSL - GREEN"/>
    <n v="27"/>
    <n v="0"/>
    <m/>
    <m/>
    <n v="0"/>
    <n v="26527000010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2"/>
    <n v="0"/>
    <n v="9"/>
    <n v="0"/>
    <s v="RED"/>
    <s v="C01435R"/>
    <s v="FLINTSL - RED"/>
    <n v="28"/>
    <n v="0"/>
    <m/>
    <m/>
    <n v="0"/>
    <n v="26525000022"/>
    <n v="26528000020"/>
    <m/>
    <m/>
    <m/>
    <m/>
    <m/>
    <m/>
    <n v="6"/>
    <e v="#N/A"/>
    <n v="5"/>
    <e v="#N/A"/>
    <m/>
    <n v="0"/>
    <m/>
    <n v="0"/>
    <m/>
    <n v="0"/>
    <m/>
    <n v="0"/>
    <m/>
    <n v="0"/>
    <m/>
    <n v="0"/>
    <s v="FLINTSL"/>
    <n v="28"/>
    <n v="0"/>
    <n v="25.260869565217391"/>
    <n v="0"/>
    <s v="CYAN"/>
    <s v="B01018C"/>
    <s v="FLINTSL - CYAN"/>
    <n v="25"/>
    <n v="0"/>
    <m/>
    <m/>
    <n v="0"/>
    <n v="26524000018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4"/>
    <n v="0"/>
    <n v="13.913043478260867"/>
    <n v="0"/>
    <s v="MAGENTA"/>
    <s v="B01018M"/>
    <s v="FLINTSL - MAGENTA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15"/>
    <n v="0"/>
    <n v="18.347826086956523"/>
    <n v="0"/>
    <s v="YELLOW"/>
    <s v="B01018Y"/>
    <s v="FLINTSL - YELLOW"/>
    <n v="26"/>
    <n v="0"/>
    <m/>
    <m/>
    <n v="0"/>
    <n v="26527000020"/>
    <n v="26527000024"/>
    <s v="FMD"/>
    <m/>
    <m/>
    <m/>
    <m/>
    <m/>
    <n v="40"/>
    <e v="#N/A"/>
    <n v="60"/>
    <e v="#N/A"/>
    <n v="15"/>
    <n v="0"/>
    <m/>
    <n v="0"/>
    <m/>
    <n v="0"/>
    <m/>
    <n v="0"/>
    <m/>
    <n v="0"/>
    <m/>
    <n v="0"/>
    <s v="FLINTSL"/>
    <n v="30"/>
    <n v="0"/>
    <n v="217.95652173913044"/>
    <n v="0"/>
    <s v="WHITE"/>
    <s v="B01018W"/>
    <s v="FLINTSL - WHITE"/>
    <n v="32"/>
    <n v="0"/>
    <m/>
    <m/>
    <n v="0"/>
    <s v="FW"/>
    <m/>
    <m/>
    <m/>
    <m/>
    <m/>
    <m/>
    <m/>
    <n v="160"/>
    <n v="0"/>
    <m/>
    <n v="0"/>
    <m/>
    <n v="0"/>
    <m/>
    <n v="0"/>
    <m/>
    <n v="0"/>
    <m/>
    <n v="0"/>
    <m/>
    <n v="0"/>
    <m/>
    <n v="0"/>
    <s v="FLINTSL"/>
    <n v="30"/>
    <n v="0"/>
    <n v="340.26086956521738"/>
    <n v="0"/>
    <n v="3"/>
    <n v="5"/>
    <n v="0"/>
    <n v="8"/>
    <n v="5"/>
    <n v="3"/>
    <n v="60"/>
    <n v="100"/>
    <n v="0.8"/>
    <n v="0.2"/>
    <m/>
    <m/>
    <m/>
    <n v="0"/>
    <n v="328"/>
    <n v="0"/>
    <n v="0"/>
    <n v="328"/>
    <n v="328"/>
    <n v="262.40000000000003"/>
    <n v="0"/>
    <n v="65.600000000000009"/>
    <n v="0"/>
    <n v="0"/>
    <n v="0"/>
    <n v="0"/>
    <n v="0"/>
    <n v="0"/>
    <n v="0"/>
    <n v="0"/>
    <n v="0"/>
    <n v="0"/>
    <m/>
    <n v="301"/>
    <n v="640"/>
    <n v="203"/>
    <s v="FLINTSLFLINTSLFLINTSLFLINTSLFLINTSLFLINTSLFLINTSLFLINTSL"/>
    <s v="+"/>
    <s v="+"/>
    <s v="+"/>
    <s v="+"/>
    <s v="+"/>
    <s v="+"/>
    <s v="+"/>
    <s v="+"/>
  </r>
  <r>
    <d v="2026-01-27T00:00:00"/>
    <s v="A"/>
    <x v="349"/>
    <n v="204"/>
    <n v="1261"/>
    <n v="47500"/>
    <s v="II"/>
    <s v="N"/>
    <n v="1.1000000000000001"/>
    <s v="BLACK"/>
    <s v="N00894B"/>
    <s v="FLINTSL - BLACK"/>
    <n v="25"/>
    <n v="0"/>
    <m/>
    <m/>
    <n v="0"/>
    <n v="26527000015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5"/>
    <n v="0"/>
    <n v="10.90625"/>
    <n v="0"/>
    <s v="REFLEX BLUE"/>
    <m/>
    <s v="FLINTSL - REFLEX BLUE"/>
    <m/>
    <n v="0"/>
    <m/>
    <m/>
    <n v="0"/>
    <s v="FMD"/>
    <n v="26524000018"/>
    <n v="26523000020"/>
    <m/>
    <m/>
    <m/>
    <m/>
    <m/>
    <n v="7"/>
    <n v="0"/>
    <n v="6"/>
    <e v="#N/A"/>
    <n v="10"/>
    <e v="#N/A"/>
    <m/>
    <n v="0"/>
    <m/>
    <n v="0"/>
    <m/>
    <n v="0"/>
    <m/>
    <n v="0"/>
    <m/>
    <n v="0"/>
    <s v="FLINTSL"/>
    <n v="24"/>
    <n v="0"/>
    <n v="18.6875"/>
    <n v="0"/>
    <s v="CYAN"/>
    <s v="N00894C"/>
    <s v="FLINTSL - CYAN"/>
    <n v="24"/>
    <n v="0"/>
    <m/>
    <m/>
    <n v="0"/>
    <s v="FMD"/>
    <n v="26524000018"/>
    <m/>
    <m/>
    <m/>
    <m/>
    <m/>
    <m/>
    <n v="28"/>
    <n v="0"/>
    <n v="10"/>
    <e v="#N/A"/>
    <m/>
    <n v="0"/>
    <m/>
    <n v="0"/>
    <m/>
    <n v="0"/>
    <m/>
    <n v="0"/>
    <m/>
    <n v="0"/>
    <m/>
    <n v="0"/>
    <s v="FLINTSL"/>
    <n v="24"/>
    <n v="0"/>
    <n v="67.53125"/>
    <n v="0"/>
    <s v="REFLEX BLUE"/>
    <s v="H01308RB"/>
    <s v="FLINTSL - REFLEX BLUE"/>
    <n v="6"/>
    <n v="0"/>
    <s v="E01026B/E00988B"/>
    <n v="43"/>
    <n v="0"/>
    <n v="26525000006"/>
    <s v="FMD"/>
    <n v="26524000018"/>
    <m/>
    <m/>
    <m/>
    <m/>
    <m/>
    <n v="10"/>
    <e v="#N/A"/>
    <n v="10"/>
    <n v="0"/>
    <n v="8"/>
    <e v="#N/A"/>
    <m/>
    <n v="0"/>
    <m/>
    <n v="0"/>
    <m/>
    <n v="0"/>
    <m/>
    <n v="0"/>
    <m/>
    <n v="0"/>
    <s v="FLINTSL"/>
    <n v="30"/>
    <n v="0"/>
    <n v="66.6875"/>
    <n v="0"/>
    <s v="REFLEX BLUE"/>
    <s v="H01279B"/>
    <s v="FLINTSL - REFLEX BLUE"/>
    <n v="23"/>
    <n v="0"/>
    <s v="C01453B/H01205B/H01215B"/>
    <n v="65"/>
    <n v="0"/>
    <n v="26527000015"/>
    <n v="26524000018"/>
    <m/>
    <m/>
    <m/>
    <m/>
    <m/>
    <m/>
    <n v="15"/>
    <e v="#N/A"/>
    <n v="10"/>
    <e v="#N/A"/>
    <m/>
    <n v="0"/>
    <m/>
    <n v="0"/>
    <m/>
    <n v="0"/>
    <m/>
    <n v="0"/>
    <m/>
    <n v="0"/>
    <m/>
    <n v="0"/>
    <s v="FLINTSL"/>
    <n v="30"/>
    <n v="0"/>
    <n v="122.375"/>
    <n v="0"/>
    <s v="OPV"/>
    <s v="H0125O"/>
    <s v="INK PRODUCT - OPV"/>
    <n v="18"/>
    <n v="0"/>
    <m/>
    <m/>
    <n v="0"/>
    <s v="1200W"/>
    <s v="1100J"/>
    <m/>
    <m/>
    <m/>
    <m/>
    <m/>
    <m/>
    <n v="90"/>
    <n v="0"/>
    <n v="90"/>
    <n v="0"/>
    <m/>
    <n v="0"/>
    <m/>
    <n v="0"/>
    <m/>
    <n v="0"/>
    <m/>
    <n v="0"/>
    <m/>
    <n v="0"/>
    <m/>
    <n v="0"/>
    <s v="INK PRODUCT"/>
    <n v="36"/>
    <n v="0"/>
    <n v="299.812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10"/>
    <n v="15"/>
    <n v="10"/>
    <n v="20"/>
    <n v="70"/>
    <n v="0"/>
    <n v="0"/>
    <n v="0.8"/>
    <n v="0.2"/>
    <m/>
    <m/>
    <m/>
    <n v="0"/>
    <n v="252"/>
    <n v="0"/>
    <n v="0"/>
    <n v="252"/>
    <n v="252"/>
    <n v="201.60000000000002"/>
    <n v="0"/>
    <n v="50.400000000000006"/>
    <n v="0"/>
    <n v="0"/>
    <n v="0"/>
    <n v="0"/>
    <n v="0"/>
    <n v="0"/>
    <n v="0"/>
    <n v="0"/>
    <n v="0"/>
    <n v="0"/>
    <m/>
    <n v="299"/>
    <n v="586"/>
    <n v="204"/>
    <s v="FLINTSLFLINTSLFLINTSLFLINTSLFLINTSLINK PRODUCT"/>
    <s v="+"/>
    <s v="+"/>
    <s v="+"/>
    <s v="+"/>
    <s v="+"/>
    <s v="+"/>
    <s v="NIL"/>
    <s v="NIL"/>
  </r>
  <r>
    <d v="2026-01-27T00:00:00"/>
    <s v="A"/>
    <x v="350"/>
    <n v="205"/>
    <n v="1877"/>
    <n v="95600"/>
    <s v="II"/>
    <s v="N"/>
    <n v="1.8"/>
    <s v="BLACK"/>
    <s v="H01395B"/>
    <s v="FLINTSL - BLACK"/>
    <n v="25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6"/>
    <n v="0"/>
    <n v="9.7040816326530575"/>
    <n v="0"/>
    <s v="REFLEX BLUE"/>
    <m/>
    <s v="FLINTSL - REFLEX BLUE"/>
    <m/>
    <n v="0"/>
    <m/>
    <m/>
    <n v="0"/>
    <n v="26527000017"/>
    <n v="26524000018"/>
    <m/>
    <m/>
    <m/>
    <m/>
    <m/>
    <m/>
    <n v="30"/>
    <e v="#N/A"/>
    <n v="4"/>
    <e v="#N/A"/>
    <m/>
    <n v="0"/>
    <m/>
    <n v="0"/>
    <m/>
    <n v="0"/>
    <m/>
    <n v="0"/>
    <m/>
    <n v="0"/>
    <m/>
    <n v="0"/>
    <s v="FLINTSL"/>
    <n v="26"/>
    <n v="0"/>
    <n v="19.173469387755105"/>
    <n v="0"/>
    <s v="GREEN"/>
    <m/>
    <s v="FLINTSL - GREEN"/>
    <m/>
    <n v="0"/>
    <m/>
    <m/>
    <n v="0"/>
    <n v="26527000024"/>
    <n v="26527000023"/>
    <m/>
    <m/>
    <m/>
    <m/>
    <m/>
    <m/>
    <n v="20"/>
    <e v="#N/A"/>
    <n v="3"/>
    <e v="#N/A"/>
    <m/>
    <n v="0"/>
    <m/>
    <n v="0"/>
    <m/>
    <n v="0"/>
    <m/>
    <n v="0"/>
    <m/>
    <n v="0"/>
    <m/>
    <n v="0"/>
    <s v="FLINTSL"/>
    <n v="24"/>
    <n v="0"/>
    <n v="21.34693877551021"/>
    <n v="0"/>
    <s v="RED"/>
    <s v="N00894R"/>
    <s v="FLINTSL - RED"/>
    <n v="28"/>
    <n v="0"/>
    <m/>
    <m/>
    <n v="0"/>
    <n v="26527000012"/>
    <n v="26528000020"/>
    <m/>
    <m/>
    <m/>
    <m/>
    <m/>
    <m/>
    <n v="9"/>
    <e v="#N/A"/>
    <n v="3"/>
    <e v="#N/A"/>
    <m/>
    <n v="0"/>
    <m/>
    <n v="0"/>
    <m/>
    <n v="0"/>
    <m/>
    <n v="0"/>
    <m/>
    <n v="0"/>
    <m/>
    <n v="0"/>
    <s v="FLINTSL"/>
    <n v="26"/>
    <n v="0"/>
    <n v="38.58163265306122"/>
    <n v="0"/>
    <s v="CYAN"/>
    <s v="N00894C"/>
    <s v="FLINTSL - CYAN"/>
    <n v="24"/>
    <n v="0"/>
    <s v="H01395C"/>
    <n v="24"/>
    <n v="0"/>
    <n v="26526000010"/>
    <s v="FMD"/>
    <m/>
    <m/>
    <m/>
    <m/>
    <m/>
    <m/>
    <n v="29"/>
    <e v="#N/A"/>
    <n v="14"/>
    <n v="0"/>
    <m/>
    <n v="0"/>
    <m/>
    <n v="0"/>
    <m/>
    <n v="0"/>
    <m/>
    <n v="0"/>
    <m/>
    <n v="0"/>
    <m/>
    <n v="0"/>
    <s v="FLINTSL"/>
    <n v="32"/>
    <n v="0"/>
    <n v="114.86734693877551"/>
    <n v="0"/>
    <s v="MAGENTA"/>
    <s v="N00894M"/>
    <s v="FLINTSL - MAGENTA"/>
    <n v="15"/>
    <n v="0"/>
    <s v="E01045M"/>
    <n v="27"/>
    <n v="0"/>
    <n v="26528000020"/>
    <s v="FMD"/>
    <m/>
    <m/>
    <m/>
    <m/>
    <m/>
    <m/>
    <n v="8"/>
    <e v="#N/A"/>
    <n v="10"/>
    <n v="0"/>
    <m/>
    <n v="0"/>
    <m/>
    <n v="0"/>
    <m/>
    <n v="0"/>
    <m/>
    <n v="0"/>
    <m/>
    <n v="0"/>
    <m/>
    <n v="0"/>
    <s v="FLINTSL"/>
    <n v="30"/>
    <n v="0"/>
    <n v="56.816326530612244"/>
    <n v="0"/>
    <s v="YELLOW"/>
    <s v="N00894Y"/>
    <s v="FLINTSL - YELLOW"/>
    <n v="30"/>
    <n v="0"/>
    <m/>
    <m/>
    <n v="0"/>
    <s v="TPT"/>
    <s v="FMD"/>
    <m/>
    <m/>
    <m/>
    <m/>
    <m/>
    <m/>
    <n v="85"/>
    <n v="0"/>
    <n v="20"/>
    <n v="0"/>
    <m/>
    <n v="0"/>
    <m/>
    <n v="0"/>
    <m/>
    <n v="0"/>
    <m/>
    <n v="0"/>
    <m/>
    <n v="0"/>
    <m/>
    <n v="0"/>
    <s v="FLINTSL"/>
    <n v="38"/>
    <n v="0"/>
    <n v="137.22448979591837"/>
    <n v="0"/>
    <s v="WHITE"/>
    <s v="N00894W"/>
    <s v="FLINTSL - WHITE"/>
    <n v="30"/>
    <n v="0"/>
    <m/>
    <m/>
    <n v="0"/>
    <s v="FW"/>
    <m/>
    <m/>
    <m/>
    <m/>
    <m/>
    <m/>
    <m/>
    <n v="360"/>
    <n v="0"/>
    <m/>
    <n v="0"/>
    <m/>
    <n v="0"/>
    <m/>
    <n v="0"/>
    <m/>
    <n v="0"/>
    <m/>
    <n v="0"/>
    <m/>
    <n v="0"/>
    <m/>
    <n v="0"/>
    <s v="FLINTSL"/>
    <n v="27"/>
    <n v="0"/>
    <n v="832.28571428571422"/>
    <n v="0"/>
    <n v="3"/>
    <n v="5"/>
    <n v="10"/>
    <n v="11"/>
    <n v="25"/>
    <n v="12"/>
    <n v="18"/>
    <n v="210"/>
    <n v="0.8"/>
    <n v="0.2"/>
    <m/>
    <m/>
    <m/>
    <n v="0"/>
    <n v="657"/>
    <n v="0"/>
    <n v="0"/>
    <n v="657"/>
    <n v="657"/>
    <n v="525.6"/>
    <n v="0"/>
    <n v="131.4"/>
    <n v="0"/>
    <n v="0"/>
    <n v="0"/>
    <n v="0"/>
    <n v="0"/>
    <n v="0"/>
    <n v="0"/>
    <n v="0"/>
    <n v="0"/>
    <n v="0"/>
    <m/>
    <n v="599"/>
    <n v="1230"/>
    <n v="205"/>
    <s v="FLINTSLFLINTSLFLINTSLFLINTSLFLINTSLFLINTSLFLINTSLFLINTSL"/>
    <s v="+"/>
    <s v="+"/>
    <s v="+"/>
    <s v="+"/>
    <s v="+"/>
    <s v="+"/>
    <s v="+"/>
    <s v="+"/>
  </r>
  <r>
    <d v="2026-01-27T00:00:00"/>
    <s v="A"/>
    <x v="351"/>
    <n v="206"/>
    <n v="989"/>
    <n v="48000"/>
    <s v="II"/>
    <s v="N"/>
    <n v="2.2000000000000002"/>
    <s v="BLACK"/>
    <s v="N00899B"/>
    <s v="FLINTSL - BLACK"/>
    <n v="26"/>
    <n v="0"/>
    <m/>
    <m/>
    <n v="0"/>
    <n v="26527000021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26"/>
    <n v="0"/>
    <n v="16.649999999999999"/>
    <n v="0"/>
    <s v="RED"/>
    <s v="N00899R"/>
    <s v="FLINTSL - RED"/>
    <n v="26"/>
    <n v="0"/>
    <m/>
    <m/>
    <n v="0"/>
    <n v="26527000012"/>
    <n v="26527000022"/>
    <m/>
    <m/>
    <m/>
    <m/>
    <m/>
    <m/>
    <n v="6"/>
    <e v="#N/A"/>
    <n v="2"/>
    <e v="#N/A"/>
    <m/>
    <n v="0"/>
    <m/>
    <n v="0"/>
    <m/>
    <n v="0"/>
    <m/>
    <n v="0"/>
    <m/>
    <n v="0"/>
    <m/>
    <n v="0"/>
    <s v="FLINTSL"/>
    <n v="29"/>
    <n v="0"/>
    <n v="13.649999999999999"/>
    <n v="0"/>
    <s v="CYAN"/>
    <s v="N00899C"/>
    <s v="FLINTSL - CYAN"/>
    <n v="20"/>
    <n v="0"/>
    <m/>
    <m/>
    <n v="0"/>
    <n v="26524000018"/>
    <s v="FMD"/>
    <m/>
    <m/>
    <m/>
    <m/>
    <m/>
    <m/>
    <n v="1"/>
    <e v="#N/A"/>
    <n v="6"/>
    <n v="0"/>
    <m/>
    <n v="0"/>
    <m/>
    <n v="0"/>
    <m/>
    <n v="0"/>
    <m/>
    <n v="0"/>
    <m/>
    <n v="0"/>
    <m/>
    <n v="0"/>
    <s v="FLINTSL"/>
    <n v="24"/>
    <n v="0"/>
    <n v="11.649999999999999"/>
    <n v="0"/>
    <s v="MAGENTA"/>
    <s v="N00899M"/>
    <s v="FLINTSL - MAGENTA"/>
    <n v="30"/>
    <n v="0"/>
    <m/>
    <m/>
    <n v="0"/>
    <n v="26528000020"/>
    <s v="FMD"/>
    <m/>
    <m/>
    <m/>
    <m/>
    <m/>
    <m/>
    <n v="2"/>
    <e v="#N/A"/>
    <n v="6"/>
    <n v="0"/>
    <m/>
    <n v="0"/>
    <m/>
    <n v="0"/>
    <m/>
    <n v="0"/>
    <m/>
    <n v="0"/>
    <m/>
    <n v="0"/>
    <m/>
    <n v="0"/>
    <s v="FLINTSL"/>
    <n v="23"/>
    <n v="0"/>
    <n v="23.65"/>
    <n v="0"/>
    <s v="YELLOW"/>
    <m/>
    <s v="FLINTSL - YELLOW"/>
    <m/>
    <n v="0"/>
    <m/>
    <m/>
    <n v="0"/>
    <n v="26527000018"/>
    <s v="FMD"/>
    <m/>
    <m/>
    <m/>
    <m/>
    <m/>
    <m/>
    <n v="10"/>
    <e v="#N/A"/>
    <n v="7"/>
    <n v="0"/>
    <m/>
    <n v="0"/>
    <m/>
    <n v="0"/>
    <m/>
    <n v="0"/>
    <m/>
    <n v="0"/>
    <m/>
    <n v="0"/>
    <m/>
    <n v="0"/>
    <s v="FLINTSL"/>
    <n v="24"/>
    <n v="0"/>
    <n v="1.6499999999999986"/>
    <n v="0"/>
    <s v="MEDIUM"/>
    <s v="E01015M"/>
    <s v="FLINTSL - MEDIUM"/>
    <n v="40"/>
    <n v="0"/>
    <s v="C01429M"/>
    <n v="22"/>
    <n v="0"/>
    <n v="26528000001"/>
    <n v="26527000026"/>
    <s v="FMD"/>
    <s v="FW"/>
    <m/>
    <m/>
    <m/>
    <m/>
    <n v="30"/>
    <e v="#N/A"/>
    <n v="25"/>
    <e v="#N/A"/>
    <n v="20"/>
    <n v="0"/>
    <n v="10"/>
    <n v="0"/>
    <m/>
    <n v="0"/>
    <m/>
    <n v="0"/>
    <m/>
    <n v="0"/>
    <m/>
    <n v="0"/>
    <s v="FLINTSL"/>
    <n v="30"/>
    <n v="0"/>
    <n v="117"/>
    <n v="0"/>
    <s v="GOLD"/>
    <s v="C01525G"/>
    <s v="FLINTSL - GOLD"/>
    <n v="30"/>
    <n v="0"/>
    <m/>
    <m/>
    <n v="0"/>
    <n v="70271"/>
    <n v="26527000024"/>
    <n v="165"/>
    <m/>
    <m/>
    <m/>
    <m/>
    <m/>
    <n v="8"/>
    <n v="0"/>
    <n v="2"/>
    <e v="#N/A"/>
    <n v="0.75"/>
    <n v="0"/>
    <m/>
    <n v="0"/>
    <m/>
    <n v="0"/>
    <m/>
    <n v="0"/>
    <m/>
    <n v="0"/>
    <m/>
    <n v="0"/>
    <s v="FLINTSL"/>
    <n v="30"/>
    <n v="0"/>
    <n v="28.049999999999997"/>
    <n v="0"/>
    <s v="WHITE"/>
    <s v="N00899W"/>
    <s v="FLINTSL - WHITE"/>
    <n v="27"/>
    <n v="0"/>
    <m/>
    <m/>
    <n v="0"/>
    <s v="FW"/>
    <m/>
    <m/>
    <m/>
    <m/>
    <m/>
    <m/>
    <m/>
    <n v="275"/>
    <n v="0"/>
    <m/>
    <n v="0"/>
    <m/>
    <n v="0"/>
    <m/>
    <n v="0"/>
    <m/>
    <n v="0"/>
    <m/>
    <n v="0"/>
    <m/>
    <n v="0"/>
    <m/>
    <n v="0"/>
    <s v="FLINTSL"/>
    <n v="24"/>
    <n v="0"/>
    <n v="563.45000000000005"/>
    <n v="0"/>
    <n v="5"/>
    <n v="5"/>
    <n v="5"/>
    <n v="5"/>
    <n v="5"/>
    <n v="0"/>
    <n v="10"/>
    <n v="165"/>
    <n v="0.8"/>
    <n v="0.2"/>
    <m/>
    <m/>
    <m/>
    <n v="0"/>
    <n v="346"/>
    <n v="0"/>
    <n v="0"/>
    <n v="346"/>
    <n v="346"/>
    <n v="276.8"/>
    <n v="0"/>
    <n v="69.2"/>
    <n v="0"/>
    <n v="0"/>
    <n v="0"/>
    <n v="0"/>
    <n v="0"/>
    <n v="0"/>
    <n v="0"/>
    <n v="0"/>
    <n v="0"/>
    <n v="0"/>
    <m/>
    <n v="418.75"/>
    <n v="775.75"/>
    <n v="206"/>
    <s v="FLINTSLFLINTSLFLINTSLFLINTSLFLINTSLFLINTSLFLINTSLFLINTSL"/>
    <s v="+"/>
    <s v="+"/>
    <s v="+"/>
    <s v="+"/>
    <s v="+"/>
    <s v="+"/>
    <s v="+"/>
    <s v="+"/>
  </r>
  <r>
    <d v="2026-01-27T00:00:00"/>
    <s v="A"/>
    <x v="352"/>
    <n v="207"/>
    <n v="8527"/>
    <n v="100300"/>
    <s v="II"/>
    <s v="N"/>
    <n v="1.1299999999999999"/>
    <s v="BLACK"/>
    <s v="H01380B"/>
    <s v="FLINTSL - BLACK"/>
    <n v="26"/>
    <n v="0"/>
    <m/>
    <m/>
    <n v="0"/>
    <n v="26527000021"/>
    <s v="FMD"/>
    <n v="26527000018"/>
    <m/>
    <m/>
    <m/>
    <m/>
    <m/>
    <n v="11"/>
    <e v="#N/A"/>
    <n v="4"/>
    <n v="0"/>
    <n v="4"/>
    <e v="#N/A"/>
    <m/>
    <n v="0"/>
    <m/>
    <n v="0"/>
    <m/>
    <n v="0"/>
    <m/>
    <n v="0"/>
    <m/>
    <n v="0"/>
    <s v="FLINTSL"/>
    <n v="28"/>
    <n v="0"/>
    <n v="46.190114068441062"/>
    <n v="0"/>
    <s v="GOLD"/>
    <s v="H01380G"/>
    <s v="FLINTSL - GOLD"/>
    <n v="30"/>
    <n v="0"/>
    <m/>
    <m/>
    <n v="0"/>
    <n v="70271"/>
    <n v="24161"/>
    <s v="FMD"/>
    <m/>
    <m/>
    <m/>
    <m/>
    <m/>
    <n v="11"/>
    <n v="0"/>
    <n v="10"/>
    <n v="0"/>
    <n v="3"/>
    <n v="0"/>
    <m/>
    <n v="0"/>
    <m/>
    <n v="0"/>
    <m/>
    <n v="0"/>
    <m/>
    <n v="0"/>
    <m/>
    <n v="0"/>
    <s v="FLINTSL"/>
    <n v="36"/>
    <n v="0"/>
    <n v="43.946768060836504"/>
    <n v="0"/>
    <s v="RED"/>
    <m/>
    <s v="FLINTSL - RED"/>
    <m/>
    <n v="0"/>
    <m/>
    <m/>
    <n v="0"/>
    <n v="26529000008"/>
    <s v="FMD"/>
    <n v="26528000003"/>
    <m/>
    <m/>
    <m/>
    <m/>
    <m/>
    <n v="37"/>
    <e v="#N/A"/>
    <n v="35"/>
    <n v="0"/>
    <n v="40"/>
    <e v="#N/A"/>
    <m/>
    <n v="0"/>
    <m/>
    <n v="0"/>
    <m/>
    <n v="0"/>
    <m/>
    <n v="0"/>
    <m/>
    <n v="0"/>
    <s v="FLINTSL"/>
    <n v="32"/>
    <n v="0"/>
    <n v="200.00380228136885"/>
    <n v="0"/>
    <s v="CYAN"/>
    <s v="N00899C"/>
    <s v="FLINTSL - CYAN"/>
    <n v="12"/>
    <n v="0"/>
    <m/>
    <m/>
    <n v="0"/>
    <n v="26527000016"/>
    <m/>
    <m/>
    <m/>
    <m/>
    <m/>
    <m/>
    <m/>
    <n v="14"/>
    <e v="#N/A"/>
    <m/>
    <n v="0"/>
    <m/>
    <n v="0"/>
    <m/>
    <n v="0"/>
    <m/>
    <n v="0"/>
    <m/>
    <n v="0"/>
    <m/>
    <n v="0"/>
    <m/>
    <n v="0"/>
    <s v="FLINTSL"/>
    <n v="30"/>
    <n v="0"/>
    <n v="38.163498098859321"/>
    <n v="0"/>
    <s v="MAGENTA"/>
    <s v="H01380M"/>
    <s v="FLINTSL - MAGENTA"/>
    <n v="23"/>
    <n v="0"/>
    <m/>
    <m/>
    <n v="0"/>
    <n v="26528000020"/>
    <m/>
    <m/>
    <m/>
    <m/>
    <m/>
    <m/>
    <m/>
    <n v="8"/>
    <e v="#N/A"/>
    <m/>
    <n v="0"/>
    <m/>
    <n v="0"/>
    <m/>
    <n v="0"/>
    <m/>
    <n v="0"/>
    <m/>
    <n v="0"/>
    <m/>
    <n v="0"/>
    <m/>
    <n v="0"/>
    <s v="FLINTSL"/>
    <n v="30"/>
    <n v="0"/>
    <n v="17.216730038022817"/>
    <n v="0"/>
    <s v="YELLOW"/>
    <s v="H01380Y"/>
    <s v="FLINTSL - YELLOW"/>
    <n v="24"/>
    <n v="0"/>
    <m/>
    <m/>
    <n v="0"/>
    <s v="FMD"/>
    <n v="26527000025"/>
    <m/>
    <m/>
    <m/>
    <m/>
    <m/>
    <m/>
    <n v="12"/>
    <n v="0"/>
    <n v="16"/>
    <e v="#N/A"/>
    <m/>
    <n v="0"/>
    <m/>
    <n v="0"/>
    <m/>
    <n v="0"/>
    <m/>
    <n v="0"/>
    <m/>
    <n v="0"/>
    <m/>
    <n v="0"/>
    <s v="FLINTSL"/>
    <n v="28"/>
    <n v="0"/>
    <n v="59.676806083650177"/>
    <n v="0"/>
    <s v="WHITE"/>
    <s v="H01380W"/>
    <s v="FLINTSL - WHITE"/>
    <n v="24"/>
    <n v="0"/>
    <m/>
    <m/>
    <n v="0"/>
    <s v="FW"/>
    <m/>
    <m/>
    <m/>
    <m/>
    <m/>
    <m/>
    <m/>
    <n v="300"/>
    <n v="0"/>
    <m/>
    <n v="0"/>
    <m/>
    <n v="0"/>
    <m/>
    <n v="0"/>
    <m/>
    <n v="0"/>
    <m/>
    <n v="0"/>
    <m/>
    <n v="0"/>
    <m/>
    <n v="0"/>
    <s v="FLINTSL"/>
    <n v="30"/>
    <n v="0"/>
    <n v="877.8022813688212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9"/>
    <n v="8"/>
    <n v="37"/>
    <n v="13"/>
    <n v="5"/>
    <n v="11"/>
    <n v="180"/>
    <n v="0"/>
    <n v="0.8"/>
    <n v="0.2"/>
    <m/>
    <m/>
    <m/>
    <n v="0"/>
    <n v="853"/>
    <n v="0"/>
    <n v="0"/>
    <n v="853"/>
    <n v="853"/>
    <n v="682.40000000000009"/>
    <n v="0"/>
    <n v="170.60000000000002"/>
    <n v="0"/>
    <n v="0"/>
    <n v="0"/>
    <n v="0"/>
    <n v="0"/>
    <n v="0"/>
    <n v="0"/>
    <n v="0"/>
    <n v="0"/>
    <n v="0"/>
    <m/>
    <n v="505"/>
    <n v="1283"/>
    <n v="207"/>
    <s v="FLINTSLFLINTSLFLINTSLFLINTSLFLINTSLFLINTSLFLINTSL"/>
    <s v="+"/>
    <s v="+"/>
    <s v="+"/>
    <s v="+"/>
    <s v="+"/>
    <s v="+"/>
    <s v="+"/>
    <s v="NIL"/>
  </r>
  <r>
    <d v="2026-01-28T00:00:00"/>
    <s v="A"/>
    <x v="259"/>
    <n v="208"/>
    <n v="612"/>
    <n v="7200"/>
    <s v="II"/>
    <s v="N"/>
    <n v="1.6"/>
    <s v="BLACK"/>
    <s v="P00419B"/>
    <s v="FLINTSL - BLACK"/>
    <n v="28"/>
    <n v="0"/>
    <m/>
    <m/>
    <n v="0"/>
    <n v="2652700001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4.6521739130434767"/>
    <n v="0"/>
    <s v="REFLEX BLUE"/>
    <s v="F00890B"/>
    <s v="FLINTSL - REFLEX BLUE"/>
    <n v="28"/>
    <n v="0"/>
    <s v="C01429B"/>
    <n v="10"/>
    <n v="0"/>
    <n v="26524000018"/>
    <n v="26527000015"/>
    <m/>
    <m/>
    <m/>
    <m/>
    <m/>
    <m/>
    <n v="2"/>
    <e v="#N/A"/>
    <n v="0.3"/>
    <e v="#N/A"/>
    <m/>
    <n v="0"/>
    <m/>
    <n v="0"/>
    <m/>
    <n v="0"/>
    <m/>
    <n v="0"/>
    <m/>
    <n v="0"/>
    <m/>
    <n v="0"/>
    <s v="FLINTSL"/>
    <n v="30"/>
    <n v="0"/>
    <n v="15.604347826086951"/>
    <n v="0"/>
    <s v="RED"/>
    <s v="E01027R"/>
    <s v="FLINTSL - RED"/>
    <n v="26"/>
    <n v="0"/>
    <s v="H01215R"/>
    <n v="10"/>
    <n v="0"/>
    <n v="26527000015"/>
    <n v="26529000007"/>
    <n v="26527000005"/>
    <m/>
    <m/>
    <m/>
    <m/>
    <m/>
    <n v="0.3"/>
    <e v="#N/A"/>
    <n v="5"/>
    <e v="#N/A"/>
    <n v="2"/>
    <e v="#N/A"/>
    <m/>
    <n v="0"/>
    <m/>
    <n v="0"/>
    <m/>
    <n v="0"/>
    <m/>
    <n v="0"/>
    <m/>
    <n v="0"/>
    <s v="FLINTSL"/>
    <n v="22"/>
    <n v="0"/>
    <n v="29.256521739130434"/>
    <n v="0"/>
    <s v="RED"/>
    <s v="C01525R"/>
    <s v="FLINTSL - RED"/>
    <n v="30"/>
    <n v="0"/>
    <m/>
    <m/>
    <n v="0"/>
    <n v="26527000005"/>
    <n v="26529000011"/>
    <s v="FMD"/>
    <m/>
    <m/>
    <m/>
    <m/>
    <m/>
    <n v="3"/>
    <e v="#N/A"/>
    <n v="2"/>
    <e v="#N/A"/>
    <n v="3"/>
    <n v="0"/>
    <m/>
    <n v="0"/>
    <m/>
    <n v="0"/>
    <m/>
    <n v="0"/>
    <m/>
    <n v="0"/>
    <m/>
    <n v="0"/>
    <s v="FLINTSL"/>
    <n v="20"/>
    <n v="0"/>
    <n v="25.956521739130437"/>
    <n v="0"/>
    <s v="CYAN"/>
    <s v="P00419C"/>
    <s v="FLINTSL - CYAN"/>
    <n v="30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30"/>
    <n v="0"/>
    <n v="4.6521739130434767"/>
    <n v="0"/>
    <s v="MAGENTA"/>
    <s v="P00419M"/>
    <s v="FLINTSL - MAGENTA"/>
    <n v="30"/>
    <n v="0"/>
    <m/>
    <m/>
    <n v="0"/>
    <n v="2652800002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4.6521739130434767"/>
    <n v="0"/>
    <s v="YELLOW"/>
    <s v="P00419Y"/>
    <s v="FLINTSL - YELLOW"/>
    <n v="28"/>
    <n v="0"/>
    <m/>
    <m/>
    <n v="0"/>
    <n v="26527000025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8"/>
    <n v="0"/>
    <n v="8.3043478260869534"/>
    <n v="0"/>
    <s v="WHITE"/>
    <s v="P00419W"/>
    <s v="FLINTSL - WHITE"/>
    <n v="30"/>
    <n v="0"/>
    <m/>
    <m/>
    <n v="0"/>
    <s v="FW"/>
    <m/>
    <m/>
    <m/>
    <m/>
    <m/>
    <m/>
    <m/>
    <n v="20"/>
    <n v="0"/>
    <m/>
    <n v="0"/>
    <m/>
    <n v="0"/>
    <m/>
    <n v="0"/>
    <m/>
    <n v="0"/>
    <m/>
    <n v="0"/>
    <m/>
    <n v="0"/>
    <m/>
    <n v="0"/>
    <s v="FLINTSL"/>
    <n v="30"/>
    <n v="0"/>
    <n v="46.521739130434781"/>
    <n v="0"/>
    <n v="1"/>
    <n v="2"/>
    <n v="3"/>
    <n v="3"/>
    <n v="1"/>
    <n v="1"/>
    <n v="2"/>
    <n v="10"/>
    <n v="0.8"/>
    <n v="0.2"/>
    <m/>
    <m/>
    <m/>
    <n v="0"/>
    <n v="61"/>
    <n v="0"/>
    <n v="0"/>
    <n v="61"/>
    <n v="61"/>
    <n v="48.800000000000004"/>
    <n v="0"/>
    <n v="12.200000000000001"/>
    <n v="0"/>
    <n v="0"/>
    <n v="0"/>
    <n v="0"/>
    <n v="0"/>
    <n v="0"/>
    <n v="0"/>
    <n v="0"/>
    <n v="0"/>
    <n v="0"/>
    <m/>
    <n v="46.6"/>
    <n v="139.59999999999997"/>
    <n v="208"/>
    <s v="FLINTSLFLINTSLFLINTSLFLINTSLFLINTSLFLINTSLFLINTSLFLINTSL"/>
    <s v="+"/>
    <s v="+"/>
    <s v="+"/>
    <s v="+"/>
    <s v="+"/>
    <s v="+"/>
    <s v="+"/>
    <s v="+"/>
  </r>
  <r>
    <d v="2026-01-28T00:00:00"/>
    <s v="A"/>
    <x v="353"/>
    <n v="209"/>
    <n v="498"/>
    <n v="22700"/>
    <s v="II"/>
    <s v="N"/>
    <n v="2"/>
    <s v="BLACK"/>
    <s v="P00452B"/>
    <s v="FLINTSL - BLACK"/>
    <n v="28"/>
    <n v="0"/>
    <m/>
    <m/>
    <n v="0"/>
    <n v="26527000021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6.0465116279069804"/>
    <n v="0"/>
    <s v="GREEN"/>
    <s v="N00894G"/>
    <s v="FLINTSL - GREEN"/>
    <n v="22"/>
    <n v="0"/>
    <m/>
    <m/>
    <n v="0"/>
    <n v="26524000018"/>
    <n v="26525000002"/>
    <m/>
    <m/>
    <m/>
    <m/>
    <m/>
    <m/>
    <n v="2"/>
    <e v="#N/A"/>
    <n v="1"/>
    <e v="#N/A"/>
    <m/>
    <n v="0"/>
    <m/>
    <n v="0"/>
    <m/>
    <n v="0"/>
    <m/>
    <n v="0"/>
    <m/>
    <n v="0"/>
    <m/>
    <n v="0"/>
    <s v="FLINTSL"/>
    <n v="28"/>
    <n v="0"/>
    <n v="17.232558139534888"/>
    <n v="0"/>
    <s v="CYAN"/>
    <s v="P00452C"/>
    <s v="FLINTSL - CYAN"/>
    <n v="30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30"/>
    <n v="0"/>
    <n v="6.0465116279069804"/>
    <n v="0"/>
    <s v="MAGENTA"/>
    <s v="P00452M"/>
    <s v="FLINTSL - MAGENTA"/>
    <n v="30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30"/>
    <n v="0"/>
    <n v="11.093023255813954"/>
    <n v="0"/>
    <s v="YELLOW"/>
    <s v="P00452Y"/>
    <s v="FLINTSL - YELLOW"/>
    <n v="28"/>
    <n v="0"/>
    <m/>
    <m/>
    <n v="0"/>
    <n v="26527000025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9"/>
    <n v="0"/>
    <n v="12.093023255813954"/>
    <n v="0"/>
    <s v="MEDIUM"/>
    <m/>
    <s v="FLINTSL - MEDIUM"/>
    <m/>
    <n v="0"/>
    <m/>
    <m/>
    <n v="0"/>
    <n v="26528000007"/>
    <n v="26528000004"/>
    <n v="26528000008"/>
    <n v="26528000009"/>
    <n v="26528000010"/>
    <m/>
    <m/>
    <m/>
    <n v="35"/>
    <e v="#N/A"/>
    <n v="30"/>
    <e v="#N/A"/>
    <n v="40"/>
    <e v="#N/A"/>
    <n v="20"/>
    <e v="#N/A"/>
    <n v="10"/>
    <e v="#N/A"/>
    <m/>
    <n v="0"/>
    <m/>
    <n v="0"/>
    <m/>
    <n v="0"/>
    <s v="FLINTSL"/>
    <n v="12"/>
    <n v="0"/>
    <n v="123"/>
    <n v="0"/>
    <s v="ORANGE"/>
    <s v="N00900O"/>
    <s v="FLINTSL - ORANGE"/>
    <n v="25"/>
    <n v="0"/>
    <m/>
    <m/>
    <n v="0"/>
    <n v="26527000012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8"/>
    <n v="0"/>
    <n v="9.0930232558139537"/>
    <n v="0"/>
    <s v="WHITE"/>
    <s v="P00452W"/>
    <s v="FLINTSL - WHITE"/>
    <n v="3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30"/>
    <n v="0"/>
    <n v="181.39534883720933"/>
    <n v="0"/>
    <n v="1"/>
    <n v="5"/>
    <n v="1"/>
    <n v="2"/>
    <n v="2"/>
    <n v="0"/>
    <n v="2"/>
    <n v="30"/>
    <n v="0.8"/>
    <n v="0.2"/>
    <m/>
    <m/>
    <m/>
    <n v="0"/>
    <n v="174"/>
    <n v="0"/>
    <n v="0"/>
    <n v="174"/>
    <n v="174"/>
    <n v="139.20000000000002"/>
    <n v="0"/>
    <n v="34.800000000000004"/>
    <n v="0"/>
    <n v="0"/>
    <n v="0"/>
    <n v="0"/>
    <n v="0"/>
    <n v="0"/>
    <n v="0"/>
    <n v="0"/>
    <n v="0"/>
    <n v="0"/>
    <m/>
    <n v="214"/>
    <n v="366"/>
    <n v="209"/>
    <s v="FLINTSLFLINTSLFLINTSLFLINTSLFLINTSLFLINTSLFLINTSLFLINTSL"/>
    <s v="+"/>
    <s v="+"/>
    <s v="+"/>
    <s v="+"/>
    <s v="+"/>
    <s v="+"/>
    <s v="+"/>
    <s v="+"/>
  </r>
  <r>
    <d v="2026-01-28T00:00:00"/>
    <s v="A"/>
    <x v="354"/>
    <n v="210"/>
    <n v="494"/>
    <n v="22500"/>
    <s v="II"/>
    <s v="N"/>
    <n v="2"/>
    <s v="BLACK"/>
    <s v="N00862B"/>
    <s v="FLINTSL - BLACK"/>
    <n v="28"/>
    <n v="0"/>
    <m/>
    <m/>
    <n v="0"/>
    <n v="26527000021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30"/>
    <n v="0"/>
    <n v="4.9200000000000017"/>
    <n v="0"/>
    <s v="GREEN"/>
    <s v="N00862G"/>
    <s v="FLINTSL - GREEN"/>
    <n v="28"/>
    <n v="0"/>
    <m/>
    <m/>
    <n v="0"/>
    <n v="26524000018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30"/>
    <n v="0"/>
    <n v="1.9600000000000009"/>
    <n v="0"/>
    <s v="CYAN"/>
    <s v="N00862C"/>
    <s v="FLINTSL - CYAN"/>
    <n v="30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30"/>
    <n v="0"/>
    <n v="8.9200000000000017"/>
    <n v="0"/>
    <s v="MAGENTA"/>
    <s v="N00862M"/>
    <s v="FLINTSL - MAGENTA"/>
    <n v="30"/>
    <n v="0"/>
    <m/>
    <m/>
    <n v="0"/>
    <n v="2652800002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1"/>
    <n v="0"/>
    <n v="6.9200000000000017"/>
    <n v="0"/>
    <s v="YELLOW"/>
    <s v="N00862Y"/>
    <s v="FLINTSL - YELLOW"/>
    <n v="29"/>
    <n v="0"/>
    <m/>
    <m/>
    <n v="0"/>
    <s v="FMD"/>
    <n v="26527000025"/>
    <m/>
    <m/>
    <m/>
    <m/>
    <m/>
    <m/>
    <n v="5"/>
    <n v="0"/>
    <n v="2"/>
    <e v="#N/A"/>
    <m/>
    <n v="0"/>
    <m/>
    <n v="0"/>
    <m/>
    <n v="0"/>
    <m/>
    <n v="0"/>
    <m/>
    <n v="0"/>
    <m/>
    <n v="0"/>
    <s v="FLINTSL"/>
    <n v="29"/>
    <n v="0"/>
    <n v="15.879999999999995"/>
    <n v="0"/>
    <s v="RED"/>
    <s v="N00862R"/>
    <s v="FLINTSL - RED"/>
    <n v="12"/>
    <n v="0"/>
    <m/>
    <m/>
    <n v="0"/>
    <n v="26528000011"/>
    <n v="26528000012"/>
    <n v="26528000005"/>
    <n v="26529000007"/>
    <m/>
    <m/>
    <m/>
    <m/>
    <n v="40"/>
    <e v="#N/A"/>
    <n v="40"/>
    <e v="#N/A"/>
    <n v="43"/>
    <e v="#N/A"/>
    <n v="2"/>
    <e v="#N/A"/>
    <m/>
    <n v="0"/>
    <m/>
    <n v="0"/>
    <m/>
    <n v="0"/>
    <m/>
    <n v="0"/>
    <s v="FLINTSL"/>
    <n v="38"/>
    <n v="0"/>
    <n v="122.68"/>
    <n v="0"/>
    <s v="ORANGE"/>
    <s v="N00862O"/>
    <s v="FLINTSL - ORANGE"/>
    <n v="28"/>
    <n v="0"/>
    <m/>
    <m/>
    <n v="0"/>
    <n v="26527000012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5.9200000000000017"/>
    <n v="0"/>
    <s v="WHITE"/>
    <s v="N00862W"/>
    <s v="FLINTSL - WHITE"/>
    <n v="3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9"/>
    <n v="0"/>
    <n v="149.80000000000001"/>
    <n v="0"/>
    <n v="2"/>
    <n v="1"/>
    <n v="2"/>
    <n v="2"/>
    <n v="3"/>
    <n v="8"/>
    <n v="2"/>
    <n v="30"/>
    <n v="0.8"/>
    <n v="0.2"/>
    <m/>
    <m/>
    <m/>
    <n v="0"/>
    <n v="148"/>
    <n v="0"/>
    <n v="0"/>
    <n v="148"/>
    <n v="148"/>
    <n v="118.4"/>
    <n v="0"/>
    <n v="29.6"/>
    <n v="0"/>
    <n v="0"/>
    <n v="0"/>
    <n v="0"/>
    <n v="0"/>
    <n v="0"/>
    <n v="0"/>
    <n v="0"/>
    <n v="0"/>
    <n v="0"/>
    <m/>
    <n v="201"/>
    <n v="317"/>
    <n v="210"/>
    <s v="FLINTSLFLINTSLFLINTSLFLINTSLFLINTSLFLINTSLFLINTSLFLINTSL"/>
    <s v="+"/>
    <s v="+"/>
    <s v="+"/>
    <s v="+"/>
    <s v="+"/>
    <s v="+"/>
    <s v="+"/>
    <s v="+"/>
  </r>
  <r>
    <d v="2026-01-28T00:00:00"/>
    <s v="A"/>
    <x v="355"/>
    <n v="211"/>
    <n v="498"/>
    <n v="22700"/>
    <s v="II"/>
    <s v="N"/>
    <n v="1.9"/>
    <s v="BLACK"/>
    <s v="N00861B"/>
    <s v="FLINTSL - BLACK"/>
    <n v="30"/>
    <n v="0"/>
    <m/>
    <m/>
    <n v="0"/>
    <n v="26523000020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30"/>
    <n v="0"/>
    <n v="23.400000000000006"/>
    <n v="0"/>
    <s v="GREEN"/>
    <s v="N00861G"/>
    <s v="FLINTSL - GREEN"/>
    <n v="30"/>
    <n v="0"/>
    <m/>
    <m/>
    <n v="0"/>
    <n v="26527000025"/>
    <n v="26526000010"/>
    <m/>
    <m/>
    <m/>
    <m/>
    <m/>
    <m/>
    <n v="2"/>
    <e v="#N/A"/>
    <n v="2"/>
    <e v="#N/A"/>
    <m/>
    <n v="0"/>
    <m/>
    <n v="0"/>
    <m/>
    <n v="0"/>
    <m/>
    <n v="0"/>
    <m/>
    <n v="0"/>
    <m/>
    <n v="0"/>
    <s v="FLINTSL"/>
    <n v="29"/>
    <n v="0"/>
    <n v="11.96"/>
    <n v="0"/>
    <s v="CYAN"/>
    <s v="N00861C"/>
    <s v="FLINTSL - CYAN"/>
    <n v="30"/>
    <n v="0"/>
    <m/>
    <m/>
    <n v="0"/>
    <n v="26524000018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0"/>
    <n v="0"/>
    <n v="21.400000000000006"/>
    <n v="0"/>
    <s v="MAGENTA"/>
    <s v="N00861M"/>
    <s v="FLINTSL - MAGENTA"/>
    <n v="31"/>
    <n v="0"/>
    <m/>
    <m/>
    <n v="0"/>
    <n v="26529000007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30"/>
    <n v="0"/>
    <n v="13.96"/>
    <n v="0"/>
    <s v="YELLOW"/>
    <s v="N00861Y"/>
    <s v="FLINTSL - YELLOW"/>
    <n v="29"/>
    <n v="0"/>
    <m/>
    <m/>
    <n v="0"/>
    <n v="26527000025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9"/>
    <n v="0"/>
    <n v="12.96"/>
    <n v="0"/>
    <s v="RED"/>
    <m/>
    <s v="FLINTSL - RED"/>
    <m/>
    <n v="0"/>
    <m/>
    <m/>
    <n v="0"/>
    <n v="26528000006"/>
    <n v="26528000015"/>
    <n v="26528000014"/>
    <m/>
    <m/>
    <m/>
    <m/>
    <m/>
    <n v="26.6"/>
    <e v="#N/A"/>
    <n v="40"/>
    <e v="#N/A"/>
    <n v="40"/>
    <e v="#N/A"/>
    <m/>
    <n v="0"/>
    <m/>
    <n v="0"/>
    <m/>
    <n v="0"/>
    <m/>
    <n v="0"/>
    <m/>
    <n v="0"/>
    <s v="FLINTSL"/>
    <n v="38"/>
    <n v="0"/>
    <n v="75.559999999999988"/>
    <n v="0"/>
    <s v="ORANGE"/>
    <s v="N00861O"/>
    <s v="FLINTSL - ORANGE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8.9600000000000009"/>
    <n v="0"/>
    <s v="WHITE"/>
    <s v="N00861W"/>
    <s v="FLINTSL - WHITE"/>
    <n v="29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24"/>
    <n v="0"/>
    <n v="159.39999999999998"/>
    <n v="0"/>
    <n v="5"/>
    <n v="2"/>
    <n v="5"/>
    <n v="2"/>
    <n v="2"/>
    <n v="2"/>
    <n v="2"/>
    <n v="30"/>
    <n v="0.8"/>
    <n v="0.2"/>
    <m/>
    <m/>
    <m/>
    <n v="0"/>
    <n v="174"/>
    <n v="0"/>
    <n v="0"/>
    <n v="174"/>
    <n v="174"/>
    <n v="139.20000000000002"/>
    <n v="0"/>
    <n v="34.800000000000004"/>
    <n v="0"/>
    <n v="0"/>
    <n v="0"/>
    <n v="0"/>
    <n v="0"/>
    <n v="0"/>
    <n v="0"/>
    <n v="0"/>
    <n v="0"/>
    <n v="0"/>
    <m/>
    <n v="182.6"/>
    <n v="327.60000000000002"/>
    <n v="211"/>
    <s v="FLINTSLFLINTSLFLINTSLFLINTSLFLINTSLFLINTSLFLINTSLFLINTSL"/>
    <s v="+"/>
    <s v="+"/>
    <s v="+"/>
    <s v="+"/>
    <s v="+"/>
    <s v="+"/>
    <s v="+"/>
    <s v="+"/>
  </r>
  <r>
    <d v="2026-01-28T00:00:00"/>
    <s v="A"/>
    <x v="356"/>
    <n v="212"/>
    <n v="742"/>
    <n v="33800"/>
    <s v="II"/>
    <s v="N"/>
    <n v="2.16"/>
    <s v="BLACK"/>
    <s v="N00860B"/>
    <s v="FLINTSL - BLACK"/>
    <n v="30"/>
    <n v="0"/>
    <m/>
    <m/>
    <n v="0"/>
    <n v="26523000020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24.25"/>
    <n v="0"/>
    <s v="BLACK"/>
    <m/>
    <s v="FLINTSL - BLACK"/>
    <m/>
    <n v="0"/>
    <m/>
    <m/>
    <n v="0"/>
    <n v="26528000018"/>
    <n v="26528000016"/>
    <n v="26528000017"/>
    <n v="26527000012"/>
    <n v="26529000007"/>
    <m/>
    <m/>
    <m/>
    <n v="40"/>
    <e v="#N/A"/>
    <n v="40"/>
    <e v="#N/A"/>
    <n v="40"/>
    <e v="#N/A"/>
    <n v="6"/>
    <e v="#N/A"/>
    <n v="4"/>
    <e v="#N/A"/>
    <m/>
    <n v="0"/>
    <m/>
    <n v="0"/>
    <m/>
    <n v="0"/>
    <s v="FLINTSL"/>
    <n v="29"/>
    <n v="0"/>
    <n v="117.25"/>
    <n v="0"/>
    <s v="GREEN"/>
    <s v="N00860G"/>
    <s v="FLINTSL - GREEN"/>
    <n v="29"/>
    <n v="0"/>
    <m/>
    <m/>
    <n v="0"/>
    <n v="26527000027"/>
    <n v="26526000010"/>
    <m/>
    <m/>
    <m/>
    <m/>
    <m/>
    <m/>
    <n v="2"/>
    <e v="#N/A"/>
    <n v="2"/>
    <e v="#N/A"/>
    <m/>
    <n v="0"/>
    <m/>
    <n v="0"/>
    <m/>
    <n v="0"/>
    <m/>
    <n v="0"/>
    <m/>
    <n v="0"/>
    <m/>
    <n v="0"/>
    <s v="FLINTSL"/>
    <n v="26"/>
    <n v="0"/>
    <n v="23.25"/>
    <n v="0"/>
    <s v="MAGENTA"/>
    <s v="N00860M"/>
    <s v="FLINTSL - MAGENTA"/>
    <n v="30"/>
    <n v="0"/>
    <m/>
    <m/>
    <n v="0"/>
    <n v="26529000007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30"/>
    <n v="0"/>
    <n v="18.25"/>
    <n v="0"/>
    <s v="YELLOW"/>
    <s v="N00860Y"/>
    <s v="FLINTSL - YELLOW"/>
    <n v="29"/>
    <n v="0"/>
    <m/>
    <m/>
    <n v="0"/>
    <n v="26527000025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30"/>
    <n v="0"/>
    <n v="21.25"/>
    <n v="0"/>
    <s v="GOLD"/>
    <s v="P00419G"/>
    <s v="INK PRODUCT - GOLD"/>
    <n v="20"/>
    <n v="0"/>
    <m/>
    <m/>
    <n v="0"/>
    <n v="24161"/>
    <n v="165"/>
    <m/>
    <m/>
    <m/>
    <m/>
    <m/>
    <m/>
    <n v="30"/>
    <n v="0"/>
    <n v="1.2"/>
    <n v="0"/>
    <m/>
    <n v="0"/>
    <m/>
    <n v="0"/>
    <m/>
    <n v="0"/>
    <m/>
    <n v="0"/>
    <m/>
    <n v="0"/>
    <m/>
    <n v="0"/>
    <s v="INK PRODUCT"/>
    <n v="28"/>
    <n v="0"/>
    <n v="55.7"/>
    <n v="0"/>
    <s v="WHITE"/>
    <s v="N00860W"/>
    <s v="FLINTSL - WHITE"/>
    <n v="24"/>
    <n v="0"/>
    <m/>
    <m/>
    <n v="0"/>
    <s v="FW"/>
    <m/>
    <m/>
    <m/>
    <m/>
    <m/>
    <m/>
    <m/>
    <n v="75"/>
    <n v="0"/>
    <m/>
    <n v="0"/>
    <m/>
    <n v="0"/>
    <m/>
    <n v="0"/>
    <m/>
    <n v="0"/>
    <m/>
    <n v="0"/>
    <m/>
    <n v="0"/>
    <m/>
    <n v="0"/>
    <s v="FLINTSL"/>
    <n v="30"/>
    <n v="0"/>
    <n v="215.2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5"/>
    <n v="10"/>
    <n v="45"/>
    <n v="0"/>
    <n v="0.8"/>
    <n v="0.2"/>
    <m/>
    <m/>
    <m/>
    <n v="0"/>
    <n v="260"/>
    <n v="0"/>
    <n v="0"/>
    <n v="260"/>
    <n v="260"/>
    <n v="208"/>
    <n v="0"/>
    <n v="52"/>
    <n v="0"/>
    <n v="0"/>
    <n v="0"/>
    <n v="0"/>
    <n v="0"/>
    <n v="0"/>
    <n v="0"/>
    <n v="0"/>
    <n v="0"/>
    <n v="0"/>
    <m/>
    <n v="250.2"/>
    <n v="475.2"/>
    <n v="212"/>
    <s v="FLINTSLFLINTSLFLINTSLFLINTSLFLINTSLINK PRODUCTFLINTSL"/>
    <s v="+"/>
    <s v="+"/>
    <s v="+"/>
    <s v="+"/>
    <s v="+"/>
    <s v="+"/>
    <s v="+"/>
    <s v="NIL"/>
  </r>
  <r>
    <d v="2026-01-28T00:00:00"/>
    <s v="A"/>
    <x v="357"/>
    <n v="214"/>
    <n v="4858"/>
    <n v="178400"/>
    <s v="II"/>
    <s v="N"/>
    <n v="2"/>
    <s v="BLACK"/>
    <s v="E01045B"/>
    <s v="FLINTSL - BLACK"/>
    <n v="26"/>
    <n v="0"/>
    <m/>
    <m/>
    <n v="0"/>
    <n v="26523000020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0"/>
    <n v="0"/>
    <n v="11.542299349240778"/>
    <n v="0"/>
    <s v="REFLEX BLUE"/>
    <s v="N00900B"/>
    <s v="FLINTSL - REFLEX BLUE"/>
    <n v="26"/>
    <n v="0"/>
    <m/>
    <m/>
    <n v="0"/>
    <n v="26529000015"/>
    <n v="26529000007"/>
    <n v="26523000020"/>
    <m/>
    <m/>
    <m/>
    <m/>
    <m/>
    <n v="30"/>
    <e v="#N/A"/>
    <n v="5"/>
    <e v="#N/A"/>
    <n v="4"/>
    <e v="#N/A"/>
    <m/>
    <n v="0"/>
    <m/>
    <n v="0"/>
    <m/>
    <n v="0"/>
    <m/>
    <n v="0"/>
    <m/>
    <n v="0"/>
    <s v="FLINTSL"/>
    <n v="24"/>
    <n v="0"/>
    <n v="93.711496746203906"/>
    <n v="0"/>
    <s v="MEDIUM"/>
    <m/>
    <s v="FLINTSL - MEDIUM"/>
    <m/>
    <n v="0"/>
    <m/>
    <m/>
    <n v="0"/>
    <s v="FW"/>
    <n v="26525000003"/>
    <s v="TPT"/>
    <m/>
    <m/>
    <m/>
    <m/>
    <m/>
    <n v="20"/>
    <n v="0"/>
    <n v="0.1"/>
    <e v="#N/A"/>
    <n v="0.1"/>
    <n v="0"/>
    <m/>
    <n v="0"/>
    <m/>
    <n v="0"/>
    <m/>
    <n v="0"/>
    <m/>
    <n v="0"/>
    <m/>
    <n v="0"/>
    <s v="FLINTSL"/>
    <n v="20"/>
    <n v="0"/>
    <n v="31.826898047722345"/>
    <n v="0"/>
    <s v="MAGENTA"/>
    <s v="P00419M"/>
    <s v="FLINTSL - MAGENTA"/>
    <n v="32"/>
    <n v="0"/>
    <m/>
    <m/>
    <n v="0"/>
    <n v="26529000007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32"/>
    <n v="0"/>
    <n v="16.65075921908894"/>
    <n v="0"/>
    <s v="YELLOW"/>
    <m/>
    <s v="FLINTSL - YELLOW"/>
    <m/>
    <n v="0"/>
    <m/>
    <m/>
    <n v="0"/>
    <s v="TP"/>
    <s v="FMD"/>
    <s v="FW"/>
    <m/>
    <m/>
    <m/>
    <m/>
    <m/>
    <n v="15"/>
    <n v="0"/>
    <n v="5"/>
    <n v="0"/>
    <n v="6"/>
    <n v="0"/>
    <m/>
    <n v="0"/>
    <m/>
    <n v="0"/>
    <m/>
    <n v="0"/>
    <m/>
    <n v="0"/>
    <m/>
    <n v="0"/>
    <s v="FLINTSL"/>
    <n v="28"/>
    <n v="0"/>
    <n v="40.169197396963114"/>
    <n v="0"/>
    <s v="YELLOW"/>
    <s v="H01337Y"/>
    <s v="FLINTSL - YELLOW"/>
    <n v="15"/>
    <n v="0"/>
    <s v="C01429Y/G00403Y/J00865Y"/>
    <n v="52"/>
    <n v="0"/>
    <n v="26529000014"/>
    <n v="26528000015"/>
    <n v="26529000017"/>
    <n v="26529000035"/>
    <n v="26529000031"/>
    <s v="TPT"/>
    <s v="FW"/>
    <n v="26527000012"/>
    <n v="40"/>
    <e v="#N/A"/>
    <n v="40"/>
    <e v="#N/A"/>
    <n v="44"/>
    <e v="#N/A"/>
    <n v="9"/>
    <e v="#N/A"/>
    <n v="16"/>
    <e v="#N/A"/>
    <n v="60"/>
    <n v="0"/>
    <n v="35"/>
    <n v="0"/>
    <n v="5"/>
    <e v="#N/A"/>
    <s v="FLINTSL"/>
    <n v="15"/>
    <n v="0"/>
    <n v="448.59219088937095"/>
    <n v="0"/>
    <s v="WHITE"/>
    <s v="N00861W"/>
    <s v="FLINTSL - WHITE"/>
    <n v="38"/>
    <n v="0"/>
    <s v="H01380W"/>
    <n v="30"/>
    <n v="0"/>
    <s v="FW"/>
    <m/>
    <m/>
    <m/>
    <m/>
    <m/>
    <m/>
    <m/>
    <n v="560"/>
    <n v="0"/>
    <m/>
    <n v="0"/>
    <m/>
    <n v="0"/>
    <m/>
    <n v="0"/>
    <m/>
    <n v="0"/>
    <m/>
    <n v="0"/>
    <m/>
    <n v="0"/>
    <m/>
    <n v="0"/>
    <s v="FLINTSL"/>
    <n v="30"/>
    <n v="0"/>
    <n v="1272.7071583514098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25"/>
    <n v="15"/>
    <n v="6"/>
    <n v="20"/>
    <n v="70"/>
    <n v="320"/>
    <n v="0"/>
    <n v="0.8"/>
    <n v="0.2"/>
    <m/>
    <m/>
    <m/>
    <n v="0"/>
    <n v="972"/>
    <n v="0"/>
    <n v="0"/>
    <n v="972"/>
    <n v="972"/>
    <n v="777.6"/>
    <n v="0"/>
    <n v="194.4"/>
    <n v="0"/>
    <n v="0"/>
    <n v="0"/>
    <n v="0"/>
    <n v="0"/>
    <n v="0"/>
    <n v="0"/>
    <n v="0"/>
    <n v="0"/>
    <n v="0"/>
    <m/>
    <n v="903.2"/>
    <n v="1915.1999999999998"/>
    <n v="214"/>
    <s v="FLINTSLFLINTSLFLINTSLFLINTSLFLINTSLFLINTSLFLINTSL"/>
    <s v="+"/>
    <s v="+"/>
    <s v="+"/>
    <s v="+"/>
    <s v="+"/>
    <s v="+"/>
    <s v="+"/>
    <s v="NIL"/>
  </r>
  <r>
    <d v="2026-01-29T00:00:00"/>
    <s v="B"/>
    <x v="358"/>
    <n v="215"/>
    <n v="255"/>
    <n v="11600"/>
    <s v="I"/>
    <s v="N"/>
    <n v="2"/>
    <s v="GOLD"/>
    <s v="P00419G"/>
    <s v="INK PRODUCT - GOLD"/>
    <n v="36"/>
    <n v="0"/>
    <m/>
    <m/>
    <n v="0"/>
    <n v="70271"/>
    <m/>
    <m/>
    <m/>
    <m/>
    <m/>
    <m/>
    <m/>
    <n v="5"/>
    <n v="0"/>
    <m/>
    <n v="0"/>
    <m/>
    <n v="0"/>
    <m/>
    <n v="0"/>
    <m/>
    <n v="0"/>
    <m/>
    <n v="0"/>
    <m/>
    <n v="0"/>
    <m/>
    <n v="0"/>
    <s v="INK PRODUCT"/>
    <n v="32"/>
    <n v="0"/>
    <n v="13.810810810810814"/>
    <n v="0"/>
    <s v="BLACK"/>
    <s v="J00974B"/>
    <s v="FLINTSL - BLACK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0"/>
    <n v="7.8108108108108141"/>
    <n v="0"/>
    <s v="REFLEX BLUE"/>
    <s v="N00900RB"/>
    <s v="FLINTSL - REFLEX BLUE"/>
    <n v="26"/>
    <n v="0"/>
    <m/>
    <m/>
    <n v="0"/>
    <n v="26525000006"/>
    <n v="26523000020"/>
    <m/>
    <m/>
    <m/>
    <m/>
    <m/>
    <m/>
    <n v="5"/>
    <e v="#N/A"/>
    <n v="9"/>
    <e v="#N/A"/>
    <m/>
    <n v="0"/>
    <m/>
    <n v="0"/>
    <m/>
    <n v="0"/>
    <m/>
    <n v="0"/>
    <m/>
    <n v="0"/>
    <m/>
    <n v="0"/>
    <s v="FLINTSL"/>
    <n v="30"/>
    <n v="0"/>
    <n v="14.810810810810814"/>
    <n v="0"/>
    <s v="GREEN"/>
    <s v="C01435G"/>
    <s v="FLINTSL - GREEN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4"/>
    <n v="0"/>
    <n v="9.8108108108108141"/>
    <n v="0"/>
    <s v="BLACK"/>
    <m/>
    <s v="FLINTSL - BLACK"/>
    <m/>
    <n v="0"/>
    <m/>
    <m/>
    <n v="0"/>
    <n v="26527000012"/>
    <n v="26527000023"/>
    <n v="26529000018"/>
    <m/>
    <m/>
    <m/>
    <m/>
    <m/>
    <n v="6"/>
    <e v="#N/A"/>
    <n v="20"/>
    <e v="#N/A"/>
    <n v="10"/>
    <e v="#N/A"/>
    <m/>
    <n v="0"/>
    <m/>
    <n v="0"/>
    <m/>
    <n v="0"/>
    <m/>
    <n v="0"/>
    <m/>
    <n v="0"/>
    <s v="FLINTSL"/>
    <n v="20"/>
    <n v="0"/>
    <n v="28.027027027027032"/>
    <n v="0"/>
    <s v="MAGENTA"/>
    <s v="J00974M"/>
    <s v="FLINTSL - MAGENTA"/>
    <n v="32"/>
    <n v="0"/>
    <m/>
    <m/>
    <n v="0"/>
    <n v="26529000018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33"/>
    <n v="0"/>
    <n v="8.8108108108108141"/>
    <n v="0"/>
    <s v="YELLOW"/>
    <s v="J00974Y"/>
    <s v="FLINTSL - YELLOW"/>
    <n v="28"/>
    <n v="0"/>
    <m/>
    <m/>
    <n v="0"/>
    <n v="26527000023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8"/>
    <n v="0"/>
    <n v="6.8108108108108141"/>
    <n v="0"/>
    <s v="WHITE"/>
    <s v="J00974W"/>
    <s v="FLINTSL - WHITE"/>
    <n v="30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30"/>
    <n v="0"/>
    <n v="88.108108108108112"/>
    <n v="0"/>
    <n v="2"/>
    <n v="2"/>
    <n v="2"/>
    <n v="2"/>
    <n v="5"/>
    <n v="2"/>
    <n v="2"/>
    <n v="20"/>
    <n v="0.8"/>
    <n v="0.2"/>
    <m/>
    <m/>
    <m/>
    <n v="0"/>
    <n v="89"/>
    <n v="0"/>
    <n v="0"/>
    <n v="89"/>
    <n v="89"/>
    <n v="71.2"/>
    <n v="0"/>
    <n v="17.8"/>
    <n v="0"/>
    <n v="0"/>
    <n v="0"/>
    <n v="0"/>
    <n v="0"/>
    <n v="0"/>
    <n v="0"/>
    <n v="0"/>
    <n v="0"/>
    <n v="0"/>
    <m/>
    <n v="102"/>
    <n v="178"/>
    <n v="215"/>
    <s v="INK PRODUCTFLINTSLFLINTSLFLINTSLFLINTSLFLINTSLFLINTSLFLINTSL"/>
    <s v="+"/>
    <s v="+"/>
    <s v="+"/>
    <s v="+"/>
    <s v="+"/>
    <s v="+"/>
    <s v="+"/>
    <s v="+"/>
  </r>
  <r>
    <d v="2026-01-29T00:00:00"/>
    <s v="B"/>
    <x v="359"/>
    <n v="216"/>
    <n v="381"/>
    <n v="11000"/>
    <s v="I"/>
    <s v="N"/>
    <n v="2.2400000000000002"/>
    <s v="BLACK"/>
    <s v="N00870B"/>
    <s v="FLINTSL - BLACK"/>
    <n v="27"/>
    <n v="0"/>
    <m/>
    <m/>
    <n v="0"/>
    <s v="FMD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9"/>
    <n v="0"/>
    <n v="6.0140845070422557"/>
    <n v="0"/>
    <s v="REFLEX BLUE"/>
    <s v="N00870B"/>
    <s v="FLINTSL - REFLEX BLUE"/>
    <n v="20"/>
    <n v="0"/>
    <m/>
    <m/>
    <n v="0"/>
    <n v="26527000014"/>
    <n v="26525000006"/>
    <s v="FMD"/>
    <m/>
    <m/>
    <m/>
    <m/>
    <m/>
    <n v="2"/>
    <e v="#N/A"/>
    <n v="7"/>
    <e v="#N/A"/>
    <n v="4"/>
    <n v="0"/>
    <m/>
    <n v="0"/>
    <m/>
    <n v="0"/>
    <m/>
    <n v="0"/>
    <m/>
    <n v="0"/>
    <m/>
    <n v="0"/>
    <s v="FLINTSL"/>
    <n v="30"/>
    <n v="0"/>
    <n v="7.0140845070422557"/>
    <n v="0"/>
    <s v="REFLEX BLUE"/>
    <s v="N00870RB"/>
    <s v="FLINTSL - REFLEX BLUE"/>
    <n v="10"/>
    <n v="0"/>
    <m/>
    <m/>
    <n v="0"/>
    <n v="26529000015"/>
    <n v="26527000016"/>
    <m/>
    <m/>
    <m/>
    <m/>
    <m/>
    <m/>
    <n v="8"/>
    <e v="#N/A"/>
    <n v="8"/>
    <e v="#N/A"/>
    <m/>
    <n v="0"/>
    <m/>
    <n v="0"/>
    <m/>
    <n v="0"/>
    <m/>
    <n v="0"/>
    <m/>
    <n v="0"/>
    <m/>
    <n v="0"/>
    <s v="FLINTSL"/>
    <n v="23"/>
    <n v="0"/>
    <n v="7.0140845070422522"/>
    <n v="0"/>
    <s v="MEDIUM"/>
    <m/>
    <s v="FLINTSL - MEDIUM"/>
    <m/>
    <n v="0"/>
    <m/>
    <m/>
    <n v="0"/>
    <s v="FW"/>
    <s v="FMD"/>
    <n v="26526000010"/>
    <n v="26525000002"/>
    <m/>
    <m/>
    <m/>
    <m/>
    <n v="25"/>
    <n v="0"/>
    <n v="20"/>
    <n v="0"/>
    <n v="3"/>
    <e v="#N/A"/>
    <n v="0.5"/>
    <e v="#N/A"/>
    <m/>
    <n v="0"/>
    <m/>
    <n v="0"/>
    <m/>
    <n v="0"/>
    <m/>
    <n v="0"/>
    <s v="FLINTSL"/>
    <n v="46"/>
    <n v="0"/>
    <n v="42.640845070422529"/>
    <n v="0"/>
    <s v="CYAN"/>
    <m/>
    <s v="FLINTSL - CYAN"/>
    <m/>
    <n v="0"/>
    <m/>
    <m/>
    <n v="0"/>
    <n v="26527000016"/>
    <s v="FMD"/>
    <m/>
    <m/>
    <m/>
    <m/>
    <m/>
    <m/>
    <n v="12"/>
    <e v="#N/A"/>
    <n v="6"/>
    <n v="0"/>
    <m/>
    <n v="0"/>
    <m/>
    <n v="0"/>
    <m/>
    <n v="0"/>
    <m/>
    <n v="0"/>
    <m/>
    <n v="0"/>
    <m/>
    <n v="0"/>
    <s v="FLINTSL"/>
    <n v="22"/>
    <n v="0"/>
    <n v="6.704225352112676"/>
    <n v="0"/>
    <s v="MAGENTA"/>
    <s v="N00870M"/>
    <s v="FLINTSL - MAGENTA"/>
    <n v="33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30"/>
    <n v="0"/>
    <n v="7.6760563380281681"/>
    <n v="0"/>
    <s v="YELLOW"/>
    <s v="N00870Y"/>
    <s v="FLINTSL - YELLOW"/>
    <n v="28"/>
    <n v="0"/>
    <m/>
    <m/>
    <n v="0"/>
    <n v="26527000027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9"/>
    <n v="0"/>
    <n v="4.6760563380281681"/>
    <n v="0"/>
    <s v="WHITE"/>
    <s v="N00870W"/>
    <s v="FLINTSL - WHITE"/>
    <n v="30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30"/>
    <n v="0"/>
    <n v="66.760563380281695"/>
    <n v="0"/>
    <n v="3"/>
    <n v="3"/>
    <n v="3"/>
    <n v="30"/>
    <n v="8"/>
    <n v="2"/>
    <n v="2"/>
    <n v="20"/>
    <n v="0.8"/>
    <n v="0.2"/>
    <m/>
    <m/>
    <m/>
    <n v="0"/>
    <n v="95"/>
    <n v="0"/>
    <n v="0"/>
    <n v="95"/>
    <n v="95"/>
    <n v="76"/>
    <n v="0"/>
    <n v="19"/>
    <n v="0"/>
    <n v="0"/>
    <n v="0"/>
    <n v="0"/>
    <n v="0"/>
    <n v="0"/>
    <n v="0"/>
    <n v="0"/>
    <n v="0"/>
    <n v="0"/>
    <m/>
    <n v="144.5"/>
    <n v="148.5"/>
    <n v="216"/>
    <s v="FLINTSLFLINTSLFLINTSLFLINTSLFLINTSLFLINTSLFLINTSLFLINTSL"/>
    <s v="+"/>
    <s v="+"/>
    <s v="+"/>
    <s v="+"/>
    <s v="+"/>
    <s v="+"/>
    <s v="+"/>
    <s v="+"/>
  </r>
  <r>
    <d v="2026-01-29T00:00:00"/>
    <s v="B"/>
    <x v="360"/>
    <n v="217"/>
    <n v="929"/>
    <n v="44100"/>
    <s v="I"/>
    <s v="N"/>
    <n v="1.76"/>
    <s v="BLACK"/>
    <s v="J00942B"/>
    <s v="FLINTSL - BLACK"/>
    <n v="29"/>
    <n v="0"/>
    <m/>
    <m/>
    <n v="0"/>
    <n v="26530000023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7"/>
    <n v="0"/>
    <n v="5"/>
    <n v="0"/>
    <s v="GOLD"/>
    <s v="N00870G"/>
    <s v="INK PRODUCT - GOLD"/>
    <n v="32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INK PRODUCT"/>
    <n v="26"/>
    <n v="0"/>
    <n v="6"/>
    <n v="0"/>
    <s v="BLACK"/>
    <m/>
    <s v="FLINTSL - BLACK"/>
    <m/>
    <n v="0"/>
    <m/>
    <m/>
    <n v="0"/>
    <n v="26529000046"/>
    <n v="26530000005"/>
    <n v="26529000018"/>
    <n v="26530000023"/>
    <m/>
    <m/>
    <m/>
    <m/>
    <n v="40"/>
    <e v="#N/A"/>
    <n v="30"/>
    <e v="#N/A"/>
    <n v="6"/>
    <e v="#N/A"/>
    <n v="4"/>
    <e v="#N/A"/>
    <m/>
    <n v="0"/>
    <m/>
    <n v="0"/>
    <m/>
    <n v="0"/>
    <m/>
    <n v="0"/>
    <s v="FLINTSL"/>
    <n v="30"/>
    <n v="0"/>
    <n v="63.343999999999994"/>
    <n v="0"/>
    <s v="REFLEX BLUE"/>
    <s v="J00942B"/>
    <s v="FLINTSL - REFLEX BLUE"/>
    <n v="23"/>
    <n v="0"/>
    <m/>
    <m/>
    <n v="0"/>
    <n v="26527000014"/>
    <n v="26525000002"/>
    <m/>
    <m/>
    <m/>
    <m/>
    <m/>
    <m/>
    <n v="2"/>
    <e v="#N/A"/>
    <n v="2"/>
    <e v="#N/A"/>
    <m/>
    <n v="0"/>
    <m/>
    <n v="0"/>
    <m/>
    <n v="0"/>
    <m/>
    <n v="0"/>
    <m/>
    <n v="0"/>
    <m/>
    <n v="0"/>
    <s v="FLINTSL"/>
    <n v="26"/>
    <n v="0"/>
    <n v="5.4480000000000004"/>
    <n v="0"/>
    <s v="CYAN"/>
    <s v="J00942C"/>
    <s v="FLINTSL - CYAN"/>
    <n v="22"/>
    <n v="0"/>
    <m/>
    <m/>
    <n v="0"/>
    <n v="26526000010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3"/>
    <n v="0"/>
    <n v="7.4480000000000004"/>
    <n v="0"/>
    <s v="MAGENTA"/>
    <s v="J00942M"/>
    <s v="FLINTSL - MAGENTA"/>
    <n v="30"/>
    <n v="0"/>
    <m/>
    <m/>
    <n v="0"/>
    <n v="26529000018"/>
    <s v="FMD"/>
    <m/>
    <m/>
    <m/>
    <m/>
    <m/>
    <m/>
    <n v="5"/>
    <e v="#N/A"/>
    <n v="4"/>
    <n v="0"/>
    <m/>
    <n v="0"/>
    <m/>
    <n v="0"/>
    <m/>
    <n v="0"/>
    <m/>
    <n v="0"/>
    <m/>
    <n v="0"/>
    <m/>
    <n v="0"/>
    <s v="FLINTSL"/>
    <n v="22"/>
    <n v="0"/>
    <n v="28.120000000000005"/>
    <n v="0"/>
    <s v="YELLOW"/>
    <s v="J00942Y"/>
    <s v="FLINTSL - YELLOW"/>
    <n v="29"/>
    <n v="0"/>
    <m/>
    <m/>
    <n v="0"/>
    <n v="26529000013"/>
    <s v="FMD"/>
    <m/>
    <m/>
    <m/>
    <m/>
    <m/>
    <m/>
    <n v="15"/>
    <e v="#N/A"/>
    <n v="5"/>
    <n v="0"/>
    <m/>
    <n v="0"/>
    <m/>
    <n v="0"/>
    <m/>
    <n v="0"/>
    <m/>
    <n v="0"/>
    <m/>
    <n v="0"/>
    <m/>
    <n v="0"/>
    <s v="FLINTSL"/>
    <n v="22"/>
    <n v="0"/>
    <n v="49.240000000000009"/>
    <n v="0"/>
    <s v="WHITE"/>
    <s v="J00942W"/>
    <s v="FLINTSL - WHITE"/>
    <n v="30"/>
    <n v="0"/>
    <m/>
    <m/>
    <n v="0"/>
    <s v="FW"/>
    <m/>
    <m/>
    <m/>
    <m/>
    <m/>
    <m/>
    <m/>
    <n v="160"/>
    <n v="0"/>
    <m/>
    <n v="0"/>
    <m/>
    <n v="0"/>
    <m/>
    <n v="0"/>
    <m/>
    <n v="0"/>
    <m/>
    <n v="0"/>
    <m/>
    <n v="0"/>
    <m/>
    <n v="0"/>
    <s v="FLINTSL"/>
    <n v="30"/>
    <n v="0"/>
    <n v="382.4"/>
    <n v="0"/>
    <n v="0"/>
    <n v="0"/>
    <n v="6"/>
    <n v="2"/>
    <n v="2"/>
    <n v="5"/>
    <n v="10"/>
    <n v="100"/>
    <n v="0.8"/>
    <n v="0.2"/>
    <m/>
    <m/>
    <m/>
    <n v="0"/>
    <n v="278"/>
    <n v="0"/>
    <n v="0"/>
    <n v="278"/>
    <n v="278"/>
    <n v="222.4"/>
    <n v="0"/>
    <n v="55.6"/>
    <n v="0"/>
    <n v="0"/>
    <n v="0"/>
    <n v="0"/>
    <n v="0"/>
    <n v="0"/>
    <n v="0"/>
    <n v="0"/>
    <n v="0"/>
    <n v="0"/>
    <m/>
    <n v="280"/>
    <n v="547"/>
    <n v="217"/>
    <s v="FLINTSLINK PRODUCTFLINTSLFLINTSLFLINTSLFLINTSLFLINTSLFLINTSL"/>
    <s v="+"/>
    <s v="+"/>
    <s v="+"/>
    <s v="+"/>
    <s v="+"/>
    <s v="+"/>
    <s v="+"/>
    <s v="+"/>
  </r>
  <r>
    <d v="2026-01-29T00:00:00"/>
    <s v="B"/>
    <x v="361"/>
    <n v="218"/>
    <n v="463"/>
    <n v="22000"/>
    <s v="I"/>
    <s v="N"/>
    <n v="0.78"/>
    <s v="BLACK"/>
    <s v="E01021B"/>
    <s v="FLINTSL - BLACK"/>
    <n v="27"/>
    <n v="0"/>
    <m/>
    <m/>
    <n v="0"/>
    <n v="26530000023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6"/>
    <n v="0"/>
    <n v="9.9487179487179489"/>
    <n v="0"/>
    <s v="RED"/>
    <m/>
    <s v="FLINTSL - RED"/>
    <m/>
    <n v="0"/>
    <m/>
    <m/>
    <n v="0"/>
    <n v="26529000023"/>
    <n v="26527000012"/>
    <m/>
    <m/>
    <m/>
    <m/>
    <m/>
    <m/>
    <n v="15"/>
    <e v="#N/A"/>
    <n v="6"/>
    <e v="#N/A"/>
    <m/>
    <n v="0"/>
    <m/>
    <n v="0"/>
    <m/>
    <n v="0"/>
    <m/>
    <n v="0"/>
    <m/>
    <n v="0"/>
    <m/>
    <n v="0"/>
    <s v="FLINTSL"/>
    <n v="22"/>
    <n v="0"/>
    <n v="28.743589743589737"/>
    <n v="0"/>
    <s v="ORANGE"/>
    <m/>
    <s v="FLINTSL - ORANGE"/>
    <m/>
    <n v="0"/>
    <m/>
    <m/>
    <n v="0"/>
    <n v="26527000012"/>
    <n v="26527000027"/>
    <s v="FMD"/>
    <n v="26530000009"/>
    <m/>
    <m/>
    <m/>
    <m/>
    <n v="3"/>
    <e v="#N/A"/>
    <n v="10"/>
    <e v="#N/A"/>
    <n v="6"/>
    <n v="0"/>
    <n v="20"/>
    <e v="#N/A"/>
    <m/>
    <n v="0"/>
    <m/>
    <n v="0"/>
    <m/>
    <n v="0"/>
    <m/>
    <n v="0"/>
    <s v="FLINTSL"/>
    <n v="30"/>
    <n v="0"/>
    <n v="38.743589743589737"/>
    <n v="0"/>
    <s v="BLACK"/>
    <s v="E01021B"/>
    <s v="FLINTSL - BLACK"/>
    <n v="15"/>
    <n v="0"/>
    <m/>
    <m/>
    <n v="0"/>
    <n v="26529000018"/>
    <n v="26530000006"/>
    <n v="26527000012"/>
    <n v="26529000013"/>
    <m/>
    <m/>
    <m/>
    <m/>
    <n v="3"/>
    <e v="#N/A"/>
    <n v="40"/>
    <e v="#N/A"/>
    <n v="10"/>
    <e v="#N/A"/>
    <n v="5"/>
    <e v="#N/A"/>
    <m/>
    <n v="0"/>
    <m/>
    <n v="0"/>
    <m/>
    <n v="0"/>
    <m/>
    <n v="0"/>
    <s v="FLINTSL"/>
    <n v="23"/>
    <n v="0"/>
    <n v="67.84615384615384"/>
    <n v="0"/>
    <s v="CYAN"/>
    <s v="E01021C"/>
    <s v="FLINTSL - CYAN"/>
    <n v="23"/>
    <n v="0"/>
    <m/>
    <m/>
    <n v="0"/>
    <n v="26527000016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6"/>
    <n v="0"/>
    <n v="8.9487179487179489"/>
    <n v="0"/>
    <s v="BLACK"/>
    <s v="E01021B"/>
    <s v="FLINTSL - BLACK"/>
    <n v="15"/>
    <n v="0"/>
    <m/>
    <m/>
    <n v="0"/>
    <n v="26527000012"/>
    <n v="26530000035"/>
    <m/>
    <m/>
    <m/>
    <m/>
    <m/>
    <m/>
    <n v="3"/>
    <e v="#N/A"/>
    <n v="2"/>
    <e v="#N/A"/>
    <m/>
    <n v="0"/>
    <m/>
    <n v="0"/>
    <m/>
    <n v="0"/>
    <m/>
    <n v="0"/>
    <m/>
    <n v="0"/>
    <m/>
    <n v="0"/>
    <s v="FLINTSL"/>
    <n v="24"/>
    <n v="0"/>
    <n v="4.9230769230769234"/>
    <n v="0"/>
    <s v="MAGENTA"/>
    <s v="E01021M"/>
    <s v="FLINTSL - MAGENTA"/>
    <n v="22"/>
    <n v="0"/>
    <m/>
    <m/>
    <n v="0"/>
    <n v="26529000018"/>
    <s v="FMD"/>
    <m/>
    <m/>
    <m/>
    <m/>
    <m/>
    <m/>
    <n v="4"/>
    <e v="#N/A"/>
    <n v="3"/>
    <n v="0"/>
    <m/>
    <n v="0"/>
    <m/>
    <n v="0"/>
    <m/>
    <n v="0"/>
    <m/>
    <n v="0"/>
    <m/>
    <n v="0"/>
    <m/>
    <n v="0"/>
    <s v="FLINTSL"/>
    <n v="28"/>
    <n v="0"/>
    <n v="12.897435897435898"/>
    <n v="0"/>
    <s v="YELLOW"/>
    <s v="E01021Y"/>
    <s v="FLINTSL - YELLOW"/>
    <n v="22"/>
    <n v="0"/>
    <m/>
    <m/>
    <n v="0"/>
    <n v="26529000013"/>
    <m/>
    <m/>
    <m/>
    <m/>
    <m/>
    <m/>
    <m/>
    <n v="10"/>
    <e v="#N/A"/>
    <m/>
    <n v="0"/>
    <m/>
    <n v="0"/>
    <m/>
    <n v="0"/>
    <m/>
    <n v="0"/>
    <m/>
    <n v="0"/>
    <m/>
    <n v="0"/>
    <m/>
    <n v="0"/>
    <s v="FLINTSL"/>
    <n v="30"/>
    <n v="0"/>
    <n v="7.9487179487179489"/>
    <n v="0"/>
    <n v="2"/>
    <n v="10"/>
    <n v="10"/>
    <n v="6"/>
    <n v="2"/>
    <n v="3"/>
    <n v="4"/>
    <n v="2"/>
    <n v="0.8"/>
    <n v="0.2"/>
    <m/>
    <m/>
    <m/>
    <n v="0"/>
    <n v="116"/>
    <n v="0"/>
    <n v="0"/>
    <n v="116"/>
    <n v="116"/>
    <n v="92.800000000000011"/>
    <n v="0"/>
    <n v="23.200000000000003"/>
    <n v="0"/>
    <n v="0"/>
    <n v="0"/>
    <n v="0"/>
    <n v="0"/>
    <n v="0"/>
    <n v="0"/>
    <n v="0"/>
    <n v="0"/>
    <n v="0"/>
    <m/>
    <n v="149"/>
    <n v="180"/>
    <n v="218"/>
    <s v="FLINTSLFLINTSLFLINTSLFLINTSLFLINTSLFLINTSLFLINTSLFLINTSL"/>
    <s v="+"/>
    <s v="+"/>
    <s v="+"/>
    <s v="+"/>
    <s v="+"/>
    <s v="+"/>
    <s v="+"/>
    <s v="+"/>
  </r>
  <r>
    <d v="2026-01-28T00:00:00"/>
    <s v="A"/>
    <x v="362"/>
    <n v="213"/>
    <n v="11551"/>
    <n v="583900"/>
    <s v="II"/>
    <s v="N"/>
    <n v="2.16"/>
    <s v="BLACK"/>
    <s v="N00704B"/>
    <s v="FLINTSL - BLACK"/>
    <n v="24"/>
    <n v="0"/>
    <s v="C01522B"/>
    <n v="22"/>
    <n v="0"/>
    <n v="26531000019"/>
    <m/>
    <m/>
    <m/>
    <m/>
    <m/>
    <m/>
    <m/>
    <n v="26"/>
    <e v="#N/A"/>
    <m/>
    <n v="0"/>
    <m/>
    <n v="0"/>
    <m/>
    <n v="0"/>
    <m/>
    <n v="0"/>
    <m/>
    <n v="0"/>
    <m/>
    <n v="0"/>
    <m/>
    <n v="0"/>
    <s v="FLINTSL"/>
    <n v="26"/>
    <n v="0"/>
    <n v="130.71047619047619"/>
    <n v="0"/>
    <s v="GREEN"/>
    <s v="N00704G"/>
    <s v="FLINTSL - GREEN"/>
    <n v="26"/>
    <n v="0"/>
    <m/>
    <m/>
    <n v="0"/>
    <n v="25851000006"/>
    <s v="FC"/>
    <s v="TPT"/>
    <m/>
    <m/>
    <m/>
    <m/>
    <m/>
    <n v="8"/>
    <e v="#N/A"/>
    <n v="3"/>
    <n v="0"/>
    <n v="1"/>
    <n v="0"/>
    <m/>
    <n v="0"/>
    <m/>
    <n v="0"/>
    <m/>
    <n v="0"/>
    <m/>
    <n v="0"/>
    <m/>
    <n v="0"/>
    <s v="FLINTSL"/>
    <n v="20"/>
    <n v="0"/>
    <n v="37.252380952380953"/>
    <n v="0"/>
    <s v="REFLEX BLUE"/>
    <s v="C01429RB"/>
    <s v="FLINTSL - REFLEX BLUE"/>
    <n v="10"/>
    <n v="0"/>
    <s v="P00452B/H01380B/E01014B/H01205B/H01395B"/>
    <n v="135"/>
    <n v="0"/>
    <n v="26529000001"/>
    <n v="26529000002"/>
    <n v="26529000003"/>
    <s v="FRB"/>
    <n v="26530000007"/>
    <n v="26529000043"/>
    <n v="26530000012"/>
    <s v="FC"/>
    <n v="40"/>
    <e v="#N/A"/>
    <n v="100"/>
    <e v="#N/A"/>
    <n v="130"/>
    <e v="#N/A"/>
    <n v="80"/>
    <n v="0"/>
    <n v="1"/>
    <e v="#N/A"/>
    <n v="40"/>
    <e v="#N/A"/>
    <n v="30"/>
    <e v="#N/A"/>
    <n v="6"/>
    <n v="0"/>
    <s v="FLINTSL"/>
    <n v="36"/>
    <n v="0"/>
    <n v="901.79523809523812"/>
    <n v="0"/>
    <s v="RED"/>
    <s v="E01045R"/>
    <s v="FLINTSL - RED"/>
    <n v="25"/>
    <n v="0"/>
    <s v="P00452R/H01215R/F00870R/P00452R/F00888R/E01031R/N00704R/N00860R/N00860R/F00889R"/>
    <n v="255"/>
    <n v="0"/>
    <n v="26529000019"/>
    <n v="26529000010"/>
    <n v="26531000021"/>
    <n v="26530000035"/>
    <s v="FO"/>
    <s v="FMG"/>
    <n v="26530000014"/>
    <n v="26530000001"/>
    <n v="40"/>
    <e v="#N/A"/>
    <n v="130"/>
    <e v="#N/A"/>
    <n v="16"/>
    <e v="#N/A"/>
    <n v="2"/>
    <e v="#N/A"/>
    <n v="8"/>
    <n v="0"/>
    <n v="200"/>
    <n v="0"/>
    <n v="29"/>
    <e v="#N/A"/>
    <n v="90"/>
    <e v="#N/A"/>
    <s v="FLINTSL"/>
    <n v="27"/>
    <n v="0"/>
    <n v="1364.8238095238096"/>
    <n v="0"/>
    <s v="CYAN"/>
    <s v="N00860C"/>
    <s v="FLINTSL - CYAN"/>
    <n v="30"/>
    <n v="0"/>
    <m/>
    <m/>
    <n v="0"/>
    <s v="FC"/>
    <m/>
    <m/>
    <m/>
    <m/>
    <m/>
    <m/>
    <m/>
    <n v="8"/>
    <n v="0"/>
    <m/>
    <n v="0"/>
    <m/>
    <n v="0"/>
    <m/>
    <n v="0"/>
    <m/>
    <n v="0"/>
    <m/>
    <n v="0"/>
    <m/>
    <n v="0"/>
    <m/>
    <n v="0"/>
    <s v="FLINTSL"/>
    <n v="28"/>
    <n v="0"/>
    <n v="60.05619047619048"/>
    <n v="0"/>
    <s v="MAGENTA"/>
    <s v="N00704M"/>
    <s v="FLINTSL - MAGENTA"/>
    <n v="30"/>
    <n v="0"/>
    <m/>
    <m/>
    <n v="0"/>
    <s v="FMG"/>
    <s v="FMD"/>
    <m/>
    <m/>
    <m/>
    <m/>
    <m/>
    <m/>
    <n v="13"/>
    <n v="0"/>
    <n v="2"/>
    <n v="0"/>
    <m/>
    <n v="0"/>
    <m/>
    <n v="0"/>
    <m/>
    <n v="0"/>
    <m/>
    <n v="0"/>
    <m/>
    <n v="0"/>
    <m/>
    <n v="0"/>
    <s v="FLINTSL"/>
    <n v="28"/>
    <n v="0"/>
    <n v="55.504761904761907"/>
    <n v="0"/>
    <s v="YELLOW"/>
    <s v="N00704Y"/>
    <s v="FLINTSL - YELLOW"/>
    <n v="30"/>
    <n v="0"/>
    <m/>
    <m/>
    <n v="0"/>
    <s v="TPT"/>
    <s v="TPT"/>
    <n v="26530000021"/>
    <n v="26530000026"/>
    <n v="26531000014"/>
    <n v="26531000033"/>
    <n v="26504000008"/>
    <n v="26505000005"/>
    <n v="120"/>
    <n v="0"/>
    <n v="80"/>
    <n v="0"/>
    <n v="10"/>
    <e v="#N/A"/>
    <n v="6"/>
    <e v="#N/A"/>
    <n v="10"/>
    <e v="#N/A"/>
    <n v="15"/>
    <e v="#N/A"/>
    <n v="9"/>
    <e v="#N/A"/>
    <n v="6"/>
    <e v="#N/A"/>
    <s v="FLINTSL"/>
    <n v="35"/>
    <n v="0"/>
    <n v="597.5428571428572"/>
    <n v="0"/>
    <s v="WHITE"/>
    <s v="N00704W"/>
    <s v="FLINTSL - WHITE"/>
    <n v="30"/>
    <n v="0"/>
    <m/>
    <m/>
    <n v="0"/>
    <s v="FW"/>
    <m/>
    <m/>
    <m/>
    <m/>
    <m/>
    <m/>
    <m/>
    <n v="1480"/>
    <s v="`"/>
    <m/>
    <n v="0"/>
    <m/>
    <n v="0"/>
    <m/>
    <n v="0"/>
    <m/>
    <n v="0"/>
    <m/>
    <n v="0"/>
    <m/>
    <n v="0"/>
    <m/>
    <n v="0"/>
    <s v="FLINTSL"/>
    <n v="30"/>
    <n v="0"/>
    <n v="4021.3142857142857"/>
    <n v="0"/>
    <n v="22"/>
    <n v="5"/>
    <n v="95"/>
    <n v="155"/>
    <n v="13"/>
    <n v="10"/>
    <n v="90"/>
    <n v="660"/>
    <n v="0.8"/>
    <n v="0.2"/>
    <m/>
    <m/>
    <m/>
    <n v="0"/>
    <n v="4043"/>
    <n v="0"/>
    <n v="0"/>
    <n v="4043"/>
    <n v="4043"/>
    <n v="3234.4"/>
    <n v="0"/>
    <n v="808.6"/>
    <n v="0"/>
    <n v="0"/>
    <n v="0"/>
    <n v="0"/>
    <n v="0"/>
    <n v="0"/>
    <n v="0"/>
    <n v="0"/>
    <n v="0"/>
    <n v="0"/>
    <m/>
    <n v="2739"/>
    <n v="7169"/>
    <n v="213"/>
    <s v="FLINTSLFLINTSLFLINTSLFLINTSLFLINTSLFLINTSLFLINTSLFLINTSL"/>
    <s v="+"/>
    <s v="+"/>
    <s v="+"/>
    <s v="+"/>
    <s v="+"/>
    <s v="+"/>
    <s v="+"/>
    <s v="+"/>
  </r>
  <r>
    <d v="2026-01-28T00:00:00"/>
    <s v="A"/>
    <x v="362"/>
    <n v="213"/>
    <n v="0"/>
    <n v="0"/>
    <n v="0"/>
    <n v="0"/>
    <n v="0"/>
    <s v="REFLEX BLUE"/>
    <m/>
    <s v="FLINTSL - REFLEX BLUE"/>
    <m/>
    <n v="0"/>
    <m/>
    <m/>
    <n v="0"/>
    <n v="26530000002"/>
    <n v="26529000016"/>
    <n v="26530000013"/>
    <n v="26530000008"/>
    <n v="26529000045"/>
    <n v="26508000024"/>
    <n v="26511000001"/>
    <n v="26511000002"/>
    <n v="115.5"/>
    <e v="#N/A"/>
    <n v="148"/>
    <e v="#N/A"/>
    <n v="120"/>
    <e v="#N/A"/>
    <n v="40"/>
    <e v="#N/A"/>
    <n v="10"/>
    <e v="#N/A"/>
    <n v="20"/>
    <e v="#N/A"/>
    <n v="25"/>
    <e v="#N/A"/>
    <n v="10"/>
    <e v="#N/A"/>
    <s v="FLINTSL"/>
    <n v="0"/>
    <n v="0"/>
    <n v="0"/>
    <n v="0"/>
    <s v="RED"/>
    <m/>
    <s v="FLINTSL - RED"/>
    <m/>
    <n v="0"/>
    <m/>
    <m/>
    <n v="0"/>
    <n v="26529000029"/>
    <s v="FMG"/>
    <s v="FK"/>
    <n v="26529000030"/>
    <n v="26530000004"/>
    <n v="26530000016"/>
    <n v="26514000010"/>
    <n v="26507000009"/>
    <n v="30"/>
    <e v="#N/A"/>
    <n v="178"/>
    <n v="0"/>
    <n v="0.3"/>
    <n v="0"/>
    <n v="86"/>
    <e v="#N/A"/>
    <n v="118"/>
    <e v="#N/A"/>
    <n v="28"/>
    <e v="#N/A"/>
    <n v="6"/>
    <e v="#N/A"/>
    <n v="9"/>
    <e v="#N/A"/>
    <s v="FLINTSL"/>
    <n v="0"/>
    <n v="0"/>
    <n v="0"/>
    <n v="0"/>
    <s v="RED"/>
    <m/>
    <s v="FLINTSL - RED"/>
    <m/>
    <n v="0"/>
    <m/>
    <m/>
    <n v="0"/>
    <n v="26507000018"/>
    <n v="26507000019"/>
    <n v="26513000020"/>
    <m/>
    <m/>
    <m/>
    <m/>
    <m/>
    <n v="6.5"/>
    <e v="#N/A"/>
    <n v="8"/>
    <e v="#N/A"/>
    <n v="6"/>
    <e v="#N/A"/>
    <m/>
    <n v="0"/>
    <m/>
    <n v="0"/>
    <m/>
    <n v="0"/>
    <m/>
    <n v="0"/>
    <m/>
    <n v="0"/>
    <s v="FLINTSL"/>
    <n v="0"/>
    <n v="0"/>
    <n v="0"/>
    <n v="0"/>
    <s v="REFLEX BLUE"/>
    <m/>
    <s v="FLINTSL - REFLEX BLUE"/>
    <m/>
    <n v="0"/>
    <m/>
    <m/>
    <n v="0"/>
    <n v="26512000001"/>
    <m/>
    <m/>
    <m/>
    <m/>
    <m/>
    <m/>
    <m/>
    <n v="15"/>
    <e v="#N/A"/>
    <m/>
    <n v="0"/>
    <m/>
    <n v="0"/>
    <m/>
    <n v="0"/>
    <m/>
    <n v="0"/>
    <m/>
    <n v="0"/>
    <m/>
    <n v="0"/>
    <m/>
    <n v="0"/>
    <s v="FLINTSL"/>
    <n v="0"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79.3"/>
    <n v="0"/>
    <n v="213"/>
    <s v="FLINTSLFLINTSLFLINTSLFLINTSL"/>
    <s v="-"/>
    <s v="-"/>
    <s v="-"/>
    <s v="-"/>
    <s v="NIL"/>
    <s v="NIL"/>
    <s v="NIL"/>
    <s v="NIL"/>
  </r>
  <r>
    <d v="2026-01-30T00:00:00"/>
    <s v="A"/>
    <x v="363"/>
    <n v="219"/>
    <n v="494"/>
    <n v="22700"/>
    <s v="I"/>
    <s v="N"/>
    <n v="1.9"/>
    <s v="BLACK"/>
    <s v="E01018B"/>
    <s v="FLINTSL - BLACK"/>
    <n v="26"/>
    <n v="0"/>
    <m/>
    <m/>
    <n v="0"/>
    <n v="26530000023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3"/>
    <n v="0"/>
    <n v="8.6097560975609753"/>
    <n v="0"/>
    <s v="REFLEX BLUE"/>
    <m/>
    <s v="FLINTSL - REFLEX BLUE"/>
    <m/>
    <n v="0"/>
    <m/>
    <m/>
    <n v="0"/>
    <n v="26527000014"/>
    <n v="26529000021"/>
    <n v="26529000023"/>
    <s v="FMD"/>
    <m/>
    <m/>
    <m/>
    <m/>
    <n v="11"/>
    <e v="#N/A"/>
    <n v="5"/>
    <e v="#N/A"/>
    <n v="20"/>
    <e v="#N/A"/>
    <n v="20"/>
    <n v="0"/>
    <m/>
    <n v="0"/>
    <m/>
    <n v="0"/>
    <m/>
    <n v="0"/>
    <m/>
    <n v="0"/>
    <s v="FLINTSL"/>
    <n v="24"/>
    <n v="0"/>
    <n v="86.146341463414643"/>
    <n v="0"/>
    <s v="CYAN"/>
    <s v="E01018C"/>
    <s v="FLINTSL - CYAN"/>
    <n v="26"/>
    <n v="0"/>
    <m/>
    <m/>
    <n v="0"/>
    <s v="FMD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5"/>
    <n v="0"/>
    <n v="6.6097560975609753"/>
    <n v="0"/>
    <s v="MAGENTA"/>
    <s v="E01018M"/>
    <s v="FLINTSL - MAGENTA"/>
    <n v="28"/>
    <n v="0"/>
    <m/>
    <m/>
    <n v="0"/>
    <n v="26529000023"/>
    <s v="FMD"/>
    <m/>
    <m/>
    <m/>
    <m/>
    <m/>
    <m/>
    <n v="5"/>
    <e v="#N/A"/>
    <n v="2"/>
    <n v="0"/>
    <m/>
    <n v="0"/>
    <m/>
    <n v="0"/>
    <m/>
    <n v="0"/>
    <m/>
    <n v="0"/>
    <m/>
    <n v="0"/>
    <m/>
    <n v="0"/>
    <s v="FLINTSL"/>
    <n v="26"/>
    <n v="0"/>
    <n v="21.634146341463413"/>
    <n v="0"/>
    <s v="YELLOW"/>
    <s v="E01018Y"/>
    <s v="FLINTSL - YELLOW"/>
    <n v="30"/>
    <n v="0"/>
    <m/>
    <m/>
    <n v="0"/>
    <n v="26529000019"/>
    <s v="FMD"/>
    <m/>
    <m/>
    <m/>
    <m/>
    <m/>
    <m/>
    <n v="10"/>
    <e v="#N/A"/>
    <n v="5"/>
    <n v="0"/>
    <m/>
    <n v="0"/>
    <m/>
    <n v="0"/>
    <m/>
    <n v="0"/>
    <m/>
    <n v="0"/>
    <m/>
    <n v="0"/>
    <m/>
    <n v="0"/>
    <s v="FLINTSL"/>
    <n v="26"/>
    <n v="0"/>
    <n v="37.048780487804876"/>
    <n v="0"/>
    <s v="GOLD"/>
    <s v="E01021G"/>
    <s v="FLINTSL - GOLD"/>
    <n v="26"/>
    <n v="0"/>
    <m/>
    <m/>
    <n v="0"/>
    <n v="26530000025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4.8048780487804876"/>
    <n v="0"/>
    <s v="WHITE"/>
    <s v="E01021W"/>
    <s v="FLINTSL - WHITE"/>
    <n v="30"/>
    <n v="0"/>
    <m/>
    <m/>
    <n v="0"/>
    <s v="FW"/>
    <m/>
    <m/>
    <m/>
    <m/>
    <m/>
    <m/>
    <m/>
    <n v="60"/>
    <n v="0"/>
    <m/>
    <n v="0"/>
    <m/>
    <n v="0"/>
    <m/>
    <n v="0"/>
    <m/>
    <n v="0"/>
    <m/>
    <n v="0"/>
    <m/>
    <n v="0"/>
    <m/>
    <n v="0"/>
    <s v="FLINTSL"/>
    <n v="20"/>
    <n v="0"/>
    <n v="124.14634146341464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0"/>
    <n v="2"/>
    <n v="7"/>
    <n v="10"/>
    <n v="1"/>
    <n v="30"/>
    <n v="0"/>
    <n v="0.8"/>
    <n v="0.2"/>
    <m/>
    <m/>
    <m/>
    <n v="0"/>
    <n v="148"/>
    <n v="0"/>
    <n v="0"/>
    <n v="148"/>
    <n v="148"/>
    <n v="118.4"/>
    <n v="0"/>
    <n v="29.6"/>
    <n v="0"/>
    <n v="0"/>
    <n v="0"/>
    <n v="0"/>
    <n v="0"/>
    <n v="0"/>
    <n v="0"/>
    <n v="0"/>
    <n v="0"/>
    <n v="0"/>
    <m/>
    <n v="144"/>
    <n v="289"/>
    <n v="219"/>
    <s v="FLINTSLFLINTSLFLINTSLFLINTSLFLINTSLFLINTSLFLINTSL"/>
    <s v="+"/>
    <s v="+"/>
    <s v="+"/>
    <s v="+"/>
    <s v="+"/>
    <s v="+"/>
    <s v="+"/>
    <s v="NIL"/>
  </r>
  <r>
    <d v="2026-01-30T00:00:00"/>
    <s v="A"/>
    <x v="364"/>
    <n v="220"/>
    <n v="486"/>
    <n v="22300"/>
    <s v="I"/>
    <s v="N"/>
    <n v="1.8"/>
    <s v="BLACK"/>
    <s v="H01355B"/>
    <s v="FLINTSL - BLACK"/>
    <n v="23"/>
    <n v="0"/>
    <m/>
    <m/>
    <n v="0"/>
    <n v="26530000023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5"/>
    <n v="0"/>
    <n v="5.9491525423728824"/>
    <n v="0"/>
    <s v="BLACK"/>
    <s v="E01018B"/>
    <s v="FLINTSL - BLACK"/>
    <n v="23"/>
    <n v="0"/>
    <m/>
    <m/>
    <n v="0"/>
    <n v="26527000012"/>
    <n v="26529000019"/>
    <n v="26530000015"/>
    <m/>
    <m/>
    <m/>
    <m/>
    <m/>
    <n v="3"/>
    <e v="#N/A"/>
    <n v="2"/>
    <e v="#N/A"/>
    <n v="32"/>
    <e v="#N/A"/>
    <m/>
    <n v="0"/>
    <m/>
    <n v="0"/>
    <m/>
    <n v="0"/>
    <m/>
    <n v="0"/>
    <m/>
    <n v="0"/>
    <s v="FLINTSL"/>
    <n v="26"/>
    <n v="0"/>
    <n v="41.423728813559322"/>
    <n v="0"/>
    <s v="BLACK"/>
    <m/>
    <s v="FLINTSL - BLACK"/>
    <m/>
    <n v="0"/>
    <m/>
    <m/>
    <n v="0"/>
    <n v="26530000017"/>
    <n v="26530000018"/>
    <n v="26529000019"/>
    <n v="26530000023"/>
    <m/>
    <m/>
    <m/>
    <m/>
    <n v="28"/>
    <e v="#N/A"/>
    <n v="40"/>
    <e v="#N/A"/>
    <n v="15"/>
    <e v="#N/A"/>
    <n v="1"/>
    <e v="#N/A"/>
    <m/>
    <n v="0"/>
    <m/>
    <n v="0"/>
    <m/>
    <n v="0"/>
    <m/>
    <n v="0"/>
    <s v="FLINTSL"/>
    <n v="28"/>
    <n v="0"/>
    <n v="60.949152542372886"/>
    <n v="0"/>
    <s v="CYAN"/>
    <s v="H01355C"/>
    <s v="FLINTSL - CYAN"/>
    <n v="25"/>
    <n v="0"/>
    <m/>
    <m/>
    <n v="0"/>
    <n v="26527000019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6"/>
    <n v="0"/>
    <n v="6.9491525423728788"/>
    <n v="0"/>
    <s v="MAGENTA"/>
    <s v="H01355M"/>
    <s v="FLINTSL - MAGENTA"/>
    <n v="26"/>
    <n v="0"/>
    <m/>
    <m/>
    <n v="0"/>
    <n v="26529000018"/>
    <m/>
    <m/>
    <m/>
    <m/>
    <m/>
    <m/>
    <m/>
    <n v="5"/>
    <e v="#N/A"/>
    <m/>
    <n v="0"/>
    <m/>
    <n v="0"/>
    <m/>
    <n v="0"/>
    <m/>
    <n v="0"/>
    <m/>
    <n v="0"/>
    <m/>
    <n v="0"/>
    <m/>
    <n v="0"/>
    <s v="FLINTSL"/>
    <n v="27"/>
    <n v="0"/>
    <n v="11.423728813559322"/>
    <n v="0"/>
    <s v="YELLOW"/>
    <s v="H01355Y"/>
    <s v="FLINTSL - YELLOW"/>
    <n v="26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4"/>
    <n v="0"/>
    <n v="20.372881355932201"/>
    <n v="0"/>
    <s v="GOLD"/>
    <s v="H01355G"/>
    <s v="FLINTSL - GOLD"/>
    <n v="25"/>
    <n v="0"/>
    <m/>
    <m/>
    <n v="0"/>
    <s v="FGO"/>
    <n v="26529000019"/>
    <m/>
    <m/>
    <m/>
    <m/>
    <m/>
    <m/>
    <n v="3"/>
    <n v="0"/>
    <n v="2"/>
    <e v="#N/A"/>
    <m/>
    <n v="0"/>
    <m/>
    <n v="0"/>
    <m/>
    <n v="0"/>
    <m/>
    <n v="0"/>
    <m/>
    <n v="0"/>
    <m/>
    <n v="0"/>
    <s v="FLINTSL"/>
    <n v="29"/>
    <n v="0"/>
    <n v="5.9491525423728788"/>
    <n v="0"/>
    <s v="WHITE"/>
    <s v="H01355W"/>
    <s v="FLINTSL - WHITE"/>
    <n v="20"/>
    <n v="0"/>
    <m/>
    <m/>
    <n v="0"/>
    <s v="FW"/>
    <m/>
    <m/>
    <m/>
    <m/>
    <m/>
    <m/>
    <m/>
    <n v="80"/>
    <n v="0"/>
    <m/>
    <n v="0"/>
    <m/>
    <n v="0"/>
    <m/>
    <n v="0"/>
    <m/>
    <n v="0"/>
    <m/>
    <n v="0"/>
    <m/>
    <n v="0"/>
    <m/>
    <n v="0"/>
    <s v="FLINTSL"/>
    <n v="22"/>
    <n v="0"/>
    <n v="176.9830508474576"/>
    <n v="0"/>
    <n v="2"/>
    <n v="3"/>
    <n v="2"/>
    <n v="2"/>
    <n v="3"/>
    <n v="5"/>
    <n v="2"/>
    <n v="40"/>
    <n v="0.8"/>
    <n v="0.2"/>
    <m/>
    <m/>
    <m/>
    <n v="0"/>
    <n v="146"/>
    <n v="0"/>
    <n v="0"/>
    <n v="146"/>
    <n v="146"/>
    <n v="116.80000000000001"/>
    <n v="0"/>
    <n v="29.200000000000003"/>
    <n v="0"/>
    <n v="0"/>
    <n v="0"/>
    <n v="0"/>
    <n v="0"/>
    <n v="0"/>
    <n v="0"/>
    <n v="0"/>
    <n v="0"/>
    <n v="0"/>
    <m/>
    <n v="223"/>
    <n v="330"/>
    <n v="220"/>
    <s v="FLINTSLFLINTSLFLINTSLFLINTSLFLINTSLFLINTSLFLINTSLFLINTSL"/>
    <s v="+"/>
    <s v="+"/>
    <s v="+"/>
    <s v="+"/>
    <s v="+"/>
    <s v="+"/>
    <s v="+"/>
    <s v="+"/>
  </r>
  <r>
    <d v="2026-01-30T00:00:00"/>
    <s v="A"/>
    <x v="365"/>
    <n v="221"/>
    <n v="637"/>
    <n v="12300"/>
    <s v="II"/>
    <s v="N"/>
    <n v="2"/>
    <s v="YELLOW"/>
    <s v="H01266Y"/>
    <s v="FLINTSL - YELLOW"/>
    <n v="12"/>
    <n v="0"/>
    <m/>
    <m/>
    <n v="0"/>
    <n v="26529000019"/>
    <n v="26525000003"/>
    <m/>
    <m/>
    <m/>
    <m/>
    <m/>
    <m/>
    <n v="8"/>
    <e v="#N/A"/>
    <n v="0.6"/>
    <e v="#N/A"/>
    <m/>
    <n v="0"/>
    <m/>
    <n v="0"/>
    <m/>
    <n v="0"/>
    <m/>
    <n v="0"/>
    <m/>
    <n v="0"/>
    <m/>
    <n v="0"/>
    <s v="FLINTSL"/>
    <n v="20"/>
    <n v="0"/>
    <n v="14.513043478260869"/>
    <n v="0"/>
    <s v="BLACK"/>
    <s v="H01366B"/>
    <s v="FLINTSL - BLACK"/>
    <n v="26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3"/>
    <n v="0"/>
    <n v="8.7826086956521721"/>
    <n v="0"/>
    <s v="RED"/>
    <s v="E01018R"/>
    <s v="FLINTSL - RED"/>
    <n v="22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0"/>
    <n v="0"/>
    <n v="7.5652173913043477"/>
    <n v="0"/>
    <s v="OPV"/>
    <m/>
    <s v="FLINTSL - OPV"/>
    <m/>
    <n v="0"/>
    <m/>
    <m/>
    <n v="0"/>
    <s v="1100J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18"/>
    <n v="0"/>
    <n v="73.73913043478260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"/>
    <n v="2"/>
    <n v="15"/>
    <n v="0"/>
    <n v="0"/>
    <n v="0"/>
    <n v="0"/>
    <n v="0.8"/>
    <n v="0.2"/>
    <m/>
    <m/>
    <m/>
    <n v="0"/>
    <n v="64"/>
    <n v="0"/>
    <n v="0"/>
    <n v="64"/>
    <n v="64"/>
    <n v="51.2"/>
    <n v="0"/>
    <n v="12.8"/>
    <n v="0"/>
    <n v="0"/>
    <n v="0"/>
    <n v="0"/>
    <n v="0"/>
    <n v="0"/>
    <n v="0"/>
    <n v="0"/>
    <n v="0"/>
    <n v="0"/>
    <m/>
    <n v="61.6"/>
    <n v="104.6"/>
    <n v="221"/>
    <s v="FLINTSLFLINTSLFLINTSLFLINTSL"/>
    <s v="+"/>
    <s v="+"/>
    <s v="+"/>
    <s v="+"/>
    <s v="NIL"/>
    <s v="NIL"/>
    <s v="NIL"/>
    <s v="NIL"/>
  </r>
  <r>
    <d v="2026-01-30T00:00:00"/>
    <s v="A"/>
    <x v="366"/>
    <n v="222"/>
    <n v="476"/>
    <n v="29000"/>
    <s v="I"/>
    <s v="N"/>
    <n v="1.4"/>
    <s v="BLACK"/>
    <s v="H01391B"/>
    <s v="FLINTSL - BLACK"/>
    <n v="25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6"/>
    <n v="0"/>
    <n v="12.986842105263158"/>
    <n v="0"/>
    <s v="BLACK"/>
    <s v="H01391B"/>
    <s v="FLINTSL - BLACK"/>
    <n v="21"/>
    <n v="0"/>
    <m/>
    <m/>
    <n v="0"/>
    <s v="FMG"/>
    <n v="26530000035"/>
    <s v="FMD"/>
    <m/>
    <m/>
    <m/>
    <m/>
    <m/>
    <n v="5"/>
    <n v="0"/>
    <n v="2"/>
    <e v="#N/A"/>
    <n v="2"/>
    <n v="0"/>
    <m/>
    <n v="0"/>
    <m/>
    <n v="0"/>
    <m/>
    <n v="0"/>
    <m/>
    <n v="0"/>
    <m/>
    <n v="0"/>
    <s v="FLINTSL"/>
    <n v="25"/>
    <n v="0"/>
    <n v="18.184210526315788"/>
    <n v="0"/>
    <s v="ORANGE"/>
    <s v="H01391O"/>
    <s v="FLINTSL - ORANGE"/>
    <n v="2"/>
    <n v="0"/>
    <m/>
    <m/>
    <n v="0"/>
    <n v="26530000015"/>
    <n v="26529000020"/>
    <n v="26527000012"/>
    <m/>
    <m/>
    <m/>
    <m/>
    <m/>
    <n v="40"/>
    <e v="#N/A"/>
    <n v="5"/>
    <e v="#N/A"/>
    <n v="5"/>
    <e v="#N/A"/>
    <m/>
    <n v="0"/>
    <m/>
    <n v="0"/>
    <m/>
    <n v="0"/>
    <m/>
    <n v="0"/>
    <m/>
    <n v="0"/>
    <s v="FLINTSL"/>
    <n v="28"/>
    <n v="0"/>
    <n v="39.381578947368425"/>
    <n v="0"/>
    <s v="CYAN"/>
    <s v="H01391C"/>
    <s v="FLINTSL - CYAN"/>
    <n v="26"/>
    <n v="0"/>
    <m/>
    <m/>
    <n v="0"/>
    <s v="FMD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7"/>
    <n v="0"/>
    <n v="6.3947368421052602"/>
    <n v="0"/>
    <s v="MAGENTA"/>
    <s v="H01391M"/>
    <s v="FLINTSL - MAGENTA"/>
    <n v="27"/>
    <n v="0"/>
    <m/>
    <m/>
    <n v="0"/>
    <s v="FMG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6"/>
    <n v="0"/>
    <n v="11.592105263157897"/>
    <n v="0"/>
    <s v="YELLOW"/>
    <s v="H01391Y"/>
    <s v="FLINTSL - YELLOW"/>
    <n v="24"/>
    <n v="0"/>
    <m/>
    <m/>
    <n v="0"/>
    <n v="26529000020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5"/>
    <n v="0"/>
    <n v="9.5921052631578974"/>
    <n v="0"/>
    <s v="GOLD"/>
    <m/>
    <s v="INK PRODUCT - GOLD"/>
    <m/>
    <n v="0"/>
    <m/>
    <m/>
    <n v="0"/>
    <n v="24161"/>
    <n v="70271"/>
    <n v="9336"/>
    <n v="165"/>
    <m/>
    <m/>
    <m/>
    <m/>
    <n v="80"/>
    <n v="0"/>
    <n v="30"/>
    <n v="0"/>
    <n v="40"/>
    <n v="0"/>
    <n v="4.5"/>
    <n v="0"/>
    <m/>
    <n v="0"/>
    <m/>
    <n v="0"/>
    <m/>
    <n v="0"/>
    <m/>
    <n v="0"/>
    <s v="INK PRODUCT"/>
    <n v="36"/>
    <n v="0"/>
    <n v="184.42105263157896"/>
    <n v="0"/>
    <s v="WHITE"/>
    <s v="H01391W"/>
    <s v="FLINTSL - WHITE"/>
    <n v="22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24"/>
    <n v="0"/>
    <n v="81.94736842105263"/>
    <n v="0"/>
    <n v="5"/>
    <n v="6"/>
    <n v="7"/>
    <n v="2"/>
    <n v="3"/>
    <n v="3"/>
    <n v="30"/>
    <n v="20"/>
    <n v="0.8"/>
    <n v="0.2"/>
    <m/>
    <m/>
    <m/>
    <n v="0"/>
    <n v="167"/>
    <n v="0"/>
    <n v="0"/>
    <n v="167"/>
    <n v="167"/>
    <n v="133.6"/>
    <n v="0"/>
    <n v="33.4"/>
    <n v="0"/>
    <n v="0"/>
    <n v="0"/>
    <n v="0"/>
    <n v="0"/>
    <n v="0"/>
    <n v="0"/>
    <n v="0"/>
    <n v="0"/>
    <n v="0"/>
    <m/>
    <n v="267.5"/>
    <n v="364.5"/>
    <n v="222"/>
    <s v="FLINTSLFLINTSLFLINTSLFLINTSLFLINTSLFLINTSLINK PRODUCTFLINTSL"/>
    <s v="+"/>
    <s v="+"/>
    <s v="+"/>
    <s v="+"/>
    <s v="+"/>
    <s v="+"/>
    <s v="+"/>
    <s v="+"/>
  </r>
  <r>
    <d v="2026-01-30T00:00:00"/>
    <s v="A"/>
    <x v="367"/>
    <n v="223"/>
    <n v="8339"/>
    <n v="107700"/>
    <s v="II"/>
    <s v="N"/>
    <n v="0.4"/>
    <s v="WHITE"/>
    <s v="H01266W"/>
    <s v="FLINTSL - WHITE"/>
    <n v="30"/>
    <n v="0"/>
    <m/>
    <m/>
    <n v="0"/>
    <s v="FW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30"/>
    <n v="0"/>
    <n v="35.27272727272728"/>
    <n v="0"/>
    <s v="GREEN"/>
    <m/>
    <s v="FLINTSL - GREEN"/>
    <m/>
    <n v="0"/>
    <m/>
    <m/>
    <n v="0"/>
    <n v="26529000020"/>
    <n v="26527000023"/>
    <m/>
    <m/>
    <m/>
    <m/>
    <m/>
    <m/>
    <n v="20"/>
    <e v="#N/A"/>
    <n v="7"/>
    <e v="#N/A"/>
    <m/>
    <n v="0"/>
    <m/>
    <n v="0"/>
    <m/>
    <n v="0"/>
    <m/>
    <n v="0"/>
    <m/>
    <n v="0"/>
    <m/>
    <n v="0"/>
    <s v="FLINTSL"/>
    <n v="28"/>
    <n v="0"/>
    <n v="100.09090909090909"/>
    <n v="0"/>
    <s v="GREEN"/>
    <m/>
    <s v="FLINTSL - GREEN"/>
    <m/>
    <n v="0"/>
    <m/>
    <m/>
    <n v="0"/>
    <n v="26529000020"/>
    <n v="26530000023"/>
    <s v="FC"/>
    <n v="26529000021"/>
    <m/>
    <m/>
    <m/>
    <m/>
    <n v="8"/>
    <e v="#N/A"/>
    <n v="2"/>
    <e v="#N/A"/>
    <n v="18"/>
    <n v="0"/>
    <n v="3"/>
    <e v="#N/A"/>
    <m/>
    <n v="0"/>
    <m/>
    <n v="0"/>
    <m/>
    <n v="0"/>
    <m/>
    <n v="0"/>
    <s v="FLINTSL"/>
    <n v="30"/>
    <n v="0"/>
    <n v="51.545454545454547"/>
    <n v="0"/>
    <s v="RED"/>
    <s v="J00945R"/>
    <s v="FLINTSL - RED"/>
    <n v="20"/>
    <n v="0"/>
    <m/>
    <m/>
    <n v="0"/>
    <n v="26530000035"/>
    <n v="26527000012"/>
    <s v="FMG"/>
    <m/>
    <m/>
    <m/>
    <m/>
    <m/>
    <n v="6"/>
    <e v="#N/A"/>
    <n v="22"/>
    <e v="#N/A"/>
    <n v="5"/>
    <n v="0"/>
    <m/>
    <n v="0"/>
    <m/>
    <n v="0"/>
    <m/>
    <n v="0"/>
    <m/>
    <n v="0"/>
    <m/>
    <n v="0"/>
    <s v="FLINTSL"/>
    <n v="30"/>
    <n v="0"/>
    <n v="149.36363636363637"/>
    <n v="0"/>
    <s v="REFLEX BLUE"/>
    <s v="H01266B"/>
    <s v="FLINTSL - REFLEX BLUE"/>
    <n v="20"/>
    <n v="0"/>
    <m/>
    <m/>
    <n v="0"/>
    <n v="26529000021"/>
    <m/>
    <m/>
    <m/>
    <m/>
    <m/>
    <m/>
    <m/>
    <n v="22"/>
    <e v="#N/A"/>
    <m/>
    <n v="0"/>
    <m/>
    <n v="0"/>
    <m/>
    <n v="0"/>
    <m/>
    <n v="0"/>
    <m/>
    <n v="0"/>
    <m/>
    <n v="0"/>
    <m/>
    <n v="0"/>
    <s v="FLINTSL"/>
    <n v="36"/>
    <n v="0"/>
    <n v="81.818181818181827"/>
    <n v="0"/>
    <s v="BLACK"/>
    <s v="H01266B"/>
    <s v="FLINTSL - BLACK"/>
    <n v="26"/>
    <n v="0"/>
    <m/>
    <m/>
    <n v="0"/>
    <n v="26530000023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32"/>
    <n v="0"/>
    <n v="37.90909090909090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8"/>
    <n v="4"/>
    <n v="10"/>
    <n v="6"/>
    <n v="3"/>
    <n v="0"/>
    <n v="0"/>
    <n v="0.8"/>
    <n v="0.2"/>
    <m/>
    <m/>
    <m/>
    <n v="0"/>
    <n v="417"/>
    <n v="0"/>
    <n v="0"/>
    <n v="417"/>
    <n v="417"/>
    <n v="333.6"/>
    <n v="0"/>
    <n v="83.4"/>
    <n v="0"/>
    <n v="0"/>
    <n v="0"/>
    <n v="0"/>
    <n v="0"/>
    <n v="0"/>
    <n v="0"/>
    <n v="0"/>
    <n v="0"/>
    <n v="0"/>
    <m/>
    <n v="129"/>
    <n v="456"/>
    <n v="223"/>
    <s v="FLINTSLFLINTSLFLINTSLFLINTSLFLINTSLFLINTSL"/>
    <s v="+"/>
    <s v="+"/>
    <s v="+"/>
    <s v="+"/>
    <s v="+"/>
    <s v="+"/>
    <s v="NIL"/>
    <s v="NIL"/>
  </r>
  <r>
    <d v="2026-01-30T00:00:00"/>
    <s v="A"/>
    <x v="368"/>
    <n v="224"/>
    <n v="367"/>
    <n v="22900"/>
    <s v="I"/>
    <s v="N"/>
    <n v="1.86"/>
    <s v="BLACK"/>
    <s v="H01387B"/>
    <s v="FLINTSL - BLACK"/>
    <n v="26"/>
    <n v="0"/>
    <m/>
    <m/>
    <n v="0"/>
    <n v="26530000023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5"/>
    <n v="0"/>
    <n v="7.6808510638297847"/>
    <n v="0"/>
    <s v="REFLEX BLUE"/>
    <s v="H01266B"/>
    <s v="FLINTSL - REFLEX BLUE"/>
    <n v="18"/>
    <n v="0"/>
    <m/>
    <m/>
    <n v="0"/>
    <s v="FV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4"/>
    <n v="0"/>
    <n v="3.6808510638297882"/>
    <n v="0"/>
    <s v="GREEN"/>
    <s v="N00900G"/>
    <s v="FLINTSL - GREEN"/>
    <n v="24"/>
    <n v="0"/>
    <m/>
    <m/>
    <n v="0"/>
    <n v="26527000019"/>
    <m/>
    <m/>
    <m/>
    <m/>
    <m/>
    <m/>
    <m/>
    <n v="1"/>
    <e v="#N/A"/>
    <m/>
    <n v="0"/>
    <m/>
    <n v="0"/>
    <m/>
    <n v="0"/>
    <m/>
    <n v="0"/>
    <m/>
    <n v="0"/>
    <m/>
    <n v="0"/>
    <m/>
    <n v="0"/>
    <s v="FLINTSL"/>
    <n v="22"/>
    <n v="0"/>
    <n v="7.6808510638297882"/>
    <n v="0"/>
    <s v="RED"/>
    <m/>
    <s v="FLINTSL - RED"/>
    <m/>
    <n v="0"/>
    <m/>
    <m/>
    <n v="0"/>
    <s v="FMG"/>
    <n v="26527000012"/>
    <m/>
    <m/>
    <m/>
    <m/>
    <m/>
    <m/>
    <n v="8"/>
    <n v="0"/>
    <n v="10"/>
    <e v="#N/A"/>
    <m/>
    <n v="0"/>
    <m/>
    <n v="0"/>
    <m/>
    <n v="0"/>
    <m/>
    <n v="0"/>
    <m/>
    <n v="0"/>
    <m/>
    <n v="0"/>
    <s v="FLINTSL"/>
    <n v="24"/>
    <n v="0"/>
    <n v="17.404255319148938"/>
    <n v="0"/>
    <s v="CYAN"/>
    <s v="H01387C"/>
    <s v="FLINTSL - CYAN"/>
    <n v="27"/>
    <n v="0"/>
    <m/>
    <m/>
    <n v="0"/>
    <s v="FC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23"/>
    <n v="0"/>
    <n v="18.680851063829785"/>
    <n v="0"/>
    <s v="MAGENTA"/>
    <s v="H01387M"/>
    <s v="FLINTSL - MAGENTA"/>
    <n v="26"/>
    <n v="0"/>
    <m/>
    <m/>
    <n v="0"/>
    <s v="FMG"/>
    <s v="FMD"/>
    <m/>
    <m/>
    <m/>
    <m/>
    <m/>
    <m/>
    <n v="8"/>
    <n v="0"/>
    <n v="8"/>
    <n v="0"/>
    <m/>
    <n v="0"/>
    <m/>
    <n v="0"/>
    <m/>
    <n v="0"/>
    <m/>
    <n v="0"/>
    <m/>
    <n v="0"/>
    <m/>
    <n v="0"/>
    <s v="FLINTSL"/>
    <n v="22"/>
    <n v="0"/>
    <n v="31.702127659574472"/>
    <n v="0"/>
    <s v="YELLOW"/>
    <s v="H01387Y"/>
    <s v="FLINTSL - YELLOW"/>
    <n v="25"/>
    <n v="0"/>
    <m/>
    <m/>
    <n v="0"/>
    <n v="26529000026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8"/>
    <n v="0"/>
    <n v="12.361702127659576"/>
    <n v="0"/>
    <s v="WHITE"/>
    <s v="H01387W"/>
    <s v="FLINTSL - WHITE"/>
    <n v="24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25"/>
    <n v="0"/>
    <n v="85.808510638297875"/>
    <n v="0"/>
    <n v="2"/>
    <n v="2"/>
    <n v="2"/>
    <n v="10"/>
    <n v="2"/>
    <n v="5"/>
    <n v="4"/>
    <n v="20"/>
    <n v="0.8"/>
    <n v="0.2"/>
    <m/>
    <m/>
    <m/>
    <n v="0"/>
    <n v="110"/>
    <n v="0"/>
    <n v="0"/>
    <n v="110"/>
    <n v="110"/>
    <n v="88"/>
    <n v="0"/>
    <n v="22"/>
    <n v="0"/>
    <n v="0"/>
    <n v="0"/>
    <n v="0"/>
    <n v="0"/>
    <n v="0"/>
    <n v="0"/>
    <n v="0"/>
    <n v="0"/>
    <n v="0"/>
    <m/>
    <n v="98"/>
    <n v="185"/>
    <n v="224"/>
    <s v="FLINTSLFLINTSLFLINTSLFLINTSLFLINTSLFLINTSLFLINTSLFLINTSL"/>
    <s v="+"/>
    <s v="+"/>
    <s v="+"/>
    <s v="+"/>
    <s v="+"/>
    <s v="+"/>
    <s v="+"/>
    <s v="+"/>
  </r>
  <r>
    <d v="2026-01-30T00:00:00"/>
    <s v="A"/>
    <x v="369"/>
    <n v="225"/>
    <n v="469"/>
    <n v="24400"/>
    <s v="II"/>
    <s v="N"/>
    <n v="1.1000000000000001"/>
    <s v="BLACK"/>
    <s v="H01293B"/>
    <s v="FLINTSL - BLACK"/>
    <n v="20"/>
    <n v="0"/>
    <m/>
    <m/>
    <n v="0"/>
    <s v="FMD"/>
    <m/>
    <m/>
    <m/>
    <m/>
    <m/>
    <m/>
    <m/>
    <n v="12"/>
    <n v="0"/>
    <m/>
    <n v="0"/>
    <m/>
    <n v="0"/>
    <m/>
    <n v="0"/>
    <m/>
    <n v="0"/>
    <m/>
    <n v="0"/>
    <m/>
    <n v="0"/>
    <m/>
    <n v="0"/>
    <s v="FLINTSL"/>
    <n v="27"/>
    <n v="0"/>
    <n v="15.846153846153847"/>
    <n v="0"/>
    <s v="BLACK"/>
    <s v="E00018B"/>
    <s v="FLINTSL - BLACK"/>
    <n v="24"/>
    <n v="0"/>
    <m/>
    <m/>
    <n v="0"/>
    <s v="FMG"/>
    <n v="26530000023"/>
    <m/>
    <m/>
    <m/>
    <m/>
    <m/>
    <m/>
    <n v="6"/>
    <n v="0"/>
    <n v="2"/>
    <e v="#N/A"/>
    <m/>
    <n v="0"/>
    <m/>
    <n v="0"/>
    <m/>
    <n v="0"/>
    <m/>
    <n v="0"/>
    <m/>
    <n v="0"/>
    <m/>
    <n v="0"/>
    <s v="FLINTSL"/>
    <n v="25"/>
    <n v="0"/>
    <n v="17.846153846153847"/>
    <n v="0"/>
    <s v="REFLEX BLUE"/>
    <m/>
    <s v="FLINTSL - REFLEX BLUE"/>
    <m/>
    <n v="0"/>
    <m/>
    <m/>
    <n v="0"/>
    <n v="26530000032"/>
    <n v="26530000028"/>
    <n v="83234"/>
    <s v="FMD"/>
    <m/>
    <m/>
    <m/>
    <m/>
    <n v="30"/>
    <e v="#N/A"/>
    <n v="40"/>
    <e v="#N/A"/>
    <n v="8"/>
    <n v="0"/>
    <n v="6"/>
    <n v="0"/>
    <m/>
    <n v="0"/>
    <m/>
    <n v="0"/>
    <m/>
    <n v="0"/>
    <m/>
    <n v="0"/>
    <s v="FLINTSL"/>
    <n v="22"/>
    <n v="0"/>
    <n v="72.84615384615384"/>
    <n v="0"/>
    <s v="CYAN"/>
    <m/>
    <s v="FLINTSL - CYAN"/>
    <m/>
    <n v="0"/>
    <m/>
    <m/>
    <n v="0"/>
    <s v="FC"/>
    <s v="FMD"/>
    <m/>
    <m/>
    <m/>
    <m/>
    <m/>
    <m/>
    <n v="10"/>
    <n v="0"/>
    <n v="7"/>
    <n v="0"/>
    <m/>
    <n v="0"/>
    <m/>
    <n v="0"/>
    <m/>
    <n v="0"/>
    <m/>
    <n v="0"/>
    <m/>
    <n v="0"/>
    <m/>
    <n v="0"/>
    <s v="FLINTSL"/>
    <n v="26"/>
    <n v="0"/>
    <n v="12.692307692307693"/>
    <n v="0"/>
    <s v="MAGENTA"/>
    <m/>
    <s v="FLINTSL - MAGENTA"/>
    <m/>
    <n v="0"/>
    <m/>
    <m/>
    <n v="0"/>
    <s v="FMG"/>
    <s v="FMD"/>
    <m/>
    <m/>
    <m/>
    <m/>
    <m/>
    <m/>
    <n v="13"/>
    <n v="0"/>
    <n v="7"/>
    <n v="0"/>
    <m/>
    <n v="0"/>
    <m/>
    <n v="0"/>
    <m/>
    <n v="0"/>
    <m/>
    <n v="0"/>
    <m/>
    <n v="0"/>
    <m/>
    <n v="0"/>
    <s v="FLINTSL"/>
    <n v="29"/>
    <n v="0"/>
    <n v="12.692307692307693"/>
    <n v="0"/>
    <s v="YELLOW"/>
    <m/>
    <s v="FLINTSL - YELLOW"/>
    <m/>
    <n v="0"/>
    <m/>
    <m/>
    <n v="0"/>
    <n v="26529000026"/>
    <s v="FMD"/>
    <m/>
    <m/>
    <m/>
    <m/>
    <m/>
    <m/>
    <n v="10"/>
    <e v="#N/A"/>
    <n v="8"/>
    <n v="0"/>
    <m/>
    <n v="0"/>
    <m/>
    <n v="0"/>
    <m/>
    <n v="0"/>
    <m/>
    <n v="0"/>
    <m/>
    <n v="0"/>
    <m/>
    <n v="0"/>
    <s v="FLINTSL"/>
    <n v="29"/>
    <n v="0"/>
    <n v="10.692307692307693"/>
    <n v="0"/>
    <s v="ORANGE"/>
    <m/>
    <s v="FLINTSL - ORANGE"/>
    <m/>
    <n v="0"/>
    <m/>
    <m/>
    <n v="0"/>
    <n v="26527000012"/>
    <n v="26529000018"/>
    <m/>
    <m/>
    <m/>
    <m/>
    <m/>
    <m/>
    <n v="15"/>
    <e v="#N/A"/>
    <n v="3"/>
    <e v="#N/A"/>
    <m/>
    <n v="0"/>
    <m/>
    <n v="0"/>
    <m/>
    <n v="0"/>
    <m/>
    <n v="0"/>
    <m/>
    <n v="0"/>
    <m/>
    <n v="0"/>
    <s v="FLINTSL"/>
    <n v="23"/>
    <n v="0"/>
    <n v="16.692307692307693"/>
    <n v="0"/>
    <s v="WHITE"/>
    <s v="H01293W"/>
    <s v="FLINTSL - WHITE"/>
    <n v="30"/>
    <n v="0"/>
    <m/>
    <m/>
    <n v="0"/>
    <s v="FW"/>
    <m/>
    <m/>
    <m/>
    <m/>
    <m/>
    <m/>
    <m/>
    <n v="20"/>
    <n v="0"/>
    <m/>
    <n v="0"/>
    <m/>
    <n v="0"/>
    <m/>
    <n v="0"/>
    <m/>
    <n v="0"/>
    <m/>
    <n v="0"/>
    <m/>
    <n v="0"/>
    <m/>
    <n v="0"/>
    <s v="FLINTSL"/>
    <n v="25"/>
    <n v="0"/>
    <n v="46.692307692307693"/>
    <n v="0"/>
    <n v="5"/>
    <n v="5"/>
    <n v="5"/>
    <n v="10"/>
    <n v="10"/>
    <n v="10"/>
    <n v="10"/>
    <n v="10"/>
    <n v="0.8"/>
    <n v="0.2"/>
    <m/>
    <m/>
    <m/>
    <n v="0"/>
    <n v="141"/>
    <n v="0"/>
    <n v="0"/>
    <n v="141"/>
    <n v="141"/>
    <n v="112.80000000000001"/>
    <n v="0"/>
    <n v="28.200000000000003"/>
    <n v="0"/>
    <n v="0"/>
    <n v="0"/>
    <n v="0"/>
    <n v="0"/>
    <n v="0"/>
    <n v="0"/>
    <n v="0"/>
    <n v="0"/>
    <n v="0"/>
    <m/>
    <n v="197"/>
    <n v="205.99999999999994"/>
    <n v="225"/>
    <s v="FLINTSLFLINTSLFLINTSLFLINTSLFLINTSLFLINTSLFLINTSLFLINTSL"/>
    <s v="+"/>
    <s v="+"/>
    <s v="+"/>
    <s v="+"/>
    <s v="+"/>
    <s v="+"/>
    <s v="+"/>
    <s v="+"/>
  </r>
  <r>
    <d v="2026-01-30T00:00:00"/>
    <s v="A"/>
    <x v="370"/>
    <n v="226"/>
    <n v="248"/>
    <n v="13500"/>
    <s v="II"/>
    <s v="N"/>
    <n v="1.26"/>
    <s v="BLACK"/>
    <s v="C01523B"/>
    <s v="FLINTSL - BLACK"/>
    <n v="27"/>
    <n v="0"/>
    <m/>
    <m/>
    <n v="0"/>
    <n v="26530000023"/>
    <m/>
    <m/>
    <m/>
    <m/>
    <m/>
    <m/>
    <m/>
    <n v="2"/>
    <e v="#N/A"/>
    <m/>
    <n v="0"/>
    <m/>
    <n v="0"/>
    <m/>
    <n v="0"/>
    <m/>
    <n v="0"/>
    <m/>
    <n v="0"/>
    <m/>
    <n v="0"/>
    <m/>
    <n v="0"/>
    <s v="FLINTSL"/>
    <n v="24"/>
    <n v="0"/>
    <n v="11.692307692307693"/>
    <n v="0"/>
    <s v="RED"/>
    <s v="H01293R"/>
    <s v="FLINTSL - RED"/>
    <n v="30"/>
    <n v="0"/>
    <m/>
    <m/>
    <n v="0"/>
    <s v="FMG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9"/>
    <n v="0"/>
    <n v="13.692307692307693"/>
    <n v="0"/>
    <s v="RED"/>
    <s v="H01266R"/>
    <s v="FLINTSL - RED"/>
    <n v="27"/>
    <n v="0"/>
    <m/>
    <m/>
    <n v="0"/>
    <s v="FMD"/>
    <n v="26530000035"/>
    <s v="FMG"/>
    <m/>
    <m/>
    <m/>
    <m/>
    <m/>
    <n v="8"/>
    <n v="0"/>
    <n v="2"/>
    <e v="#N/A"/>
    <n v="2"/>
    <n v="0"/>
    <m/>
    <n v="0"/>
    <m/>
    <n v="0"/>
    <m/>
    <n v="0"/>
    <m/>
    <n v="0"/>
    <m/>
    <n v="0"/>
    <s v="FLINTSL"/>
    <n v="30"/>
    <n v="0"/>
    <n v="15.692307692307693"/>
    <n v="0"/>
    <s v="ORANGE"/>
    <m/>
    <s v="FLINTSL - ORANGE"/>
    <m/>
    <n v="0"/>
    <m/>
    <m/>
    <n v="0"/>
    <n v="26529000026"/>
    <n v="26529000042"/>
    <s v="FMG"/>
    <n v="26530000035"/>
    <n v="26530000023"/>
    <m/>
    <m/>
    <m/>
    <n v="20"/>
    <e v="#N/A"/>
    <n v="30"/>
    <e v="#N/A"/>
    <n v="0.2"/>
    <n v="0"/>
    <n v="4"/>
    <e v="#N/A"/>
    <n v="0.2"/>
    <e v="#N/A"/>
    <m/>
    <n v="0"/>
    <m/>
    <n v="0"/>
    <m/>
    <n v="0"/>
    <s v="FLINTSL"/>
    <n v="27"/>
    <n v="0"/>
    <n v="54.169230769230779"/>
    <n v="0"/>
    <s v="CYAN"/>
    <s v="C01523C"/>
    <s v="FLINTSL - CYAN"/>
    <n v="26"/>
    <n v="0"/>
    <m/>
    <m/>
    <n v="0"/>
    <n v="26527000019"/>
    <m/>
    <m/>
    <m/>
    <m/>
    <m/>
    <m/>
    <m/>
    <n v="6"/>
    <e v="#N/A"/>
    <m/>
    <n v="0"/>
    <m/>
    <n v="0"/>
    <m/>
    <n v="0"/>
    <m/>
    <n v="0"/>
    <m/>
    <n v="0"/>
    <m/>
    <n v="0"/>
    <m/>
    <n v="0"/>
    <s v="FLINTSL"/>
    <n v="28"/>
    <n v="0"/>
    <n v="10.692307692307693"/>
    <n v="0"/>
    <s v="MAGENTA"/>
    <s v="C01523M"/>
    <s v="FLINTSL - MAGENTA"/>
    <n v="29"/>
    <n v="0"/>
    <m/>
    <m/>
    <n v="0"/>
    <s v="FMG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9"/>
    <n v="0"/>
    <n v="10.692307692307693"/>
    <n v="0"/>
    <s v="YELLOW"/>
    <s v="C01523Y"/>
    <s v="FLINTSL - YELLOW"/>
    <n v="29"/>
    <n v="0"/>
    <m/>
    <m/>
    <n v="0"/>
    <n v="26529000026"/>
    <s v="FMD"/>
    <m/>
    <m/>
    <m/>
    <m/>
    <m/>
    <m/>
    <n v="6"/>
    <e v="#N/A"/>
    <n v="4"/>
    <n v="0"/>
    <m/>
    <n v="0"/>
    <m/>
    <n v="0"/>
    <m/>
    <n v="0"/>
    <m/>
    <n v="0"/>
    <m/>
    <n v="0"/>
    <m/>
    <n v="0"/>
    <s v="FLINTSL"/>
    <n v="28"/>
    <n v="0"/>
    <n v="17.692307692307693"/>
    <n v="0"/>
    <s v="WHITE"/>
    <s v="C01523W"/>
    <s v="FLINTSL - WHITE"/>
    <n v="25"/>
    <n v="0"/>
    <m/>
    <m/>
    <n v="0"/>
    <s v="FW"/>
    <m/>
    <m/>
    <m/>
    <m/>
    <m/>
    <m/>
    <m/>
    <n v="15"/>
    <n v="0"/>
    <m/>
    <n v="0"/>
    <m/>
    <n v="0"/>
    <m/>
    <n v="0"/>
    <m/>
    <n v="0"/>
    <m/>
    <n v="0"/>
    <m/>
    <n v="0"/>
    <m/>
    <n v="0"/>
    <s v="FLINTSL"/>
    <n v="25"/>
    <n v="0"/>
    <n v="35.07692307692308"/>
    <n v="0"/>
    <n v="5"/>
    <n v="5"/>
    <n v="5"/>
    <n v="20"/>
    <n v="5"/>
    <n v="5"/>
    <n v="5"/>
    <n v="15"/>
    <n v="0.8"/>
    <n v="0.2"/>
    <m/>
    <m/>
    <m/>
    <n v="0"/>
    <n v="87"/>
    <n v="0"/>
    <n v="0"/>
    <n v="87"/>
    <n v="87"/>
    <n v="69.600000000000009"/>
    <n v="0"/>
    <n v="17.400000000000002"/>
    <n v="0"/>
    <n v="0"/>
    <n v="0"/>
    <n v="0"/>
    <n v="0"/>
    <n v="0"/>
    <n v="0"/>
    <n v="0"/>
    <n v="0"/>
    <n v="0"/>
    <m/>
    <n v="109.4"/>
    <n v="169.40000000000003"/>
    <n v="226"/>
    <s v="FLINTSLFLINTSLFLINTSLFLINTSLFLINTSLFLINTSLFLINTSLFLINTSL"/>
    <s v="+"/>
    <s v="+"/>
    <s v="+"/>
    <s v="+"/>
    <s v="+"/>
    <s v="+"/>
    <s v="+"/>
    <s v="+"/>
  </r>
  <r>
    <d v="2026-01-30T00:00:00"/>
    <s v="B"/>
    <x v="371"/>
    <n v="227"/>
    <n v="976"/>
    <n v="43900"/>
    <s v="I"/>
    <s v="N"/>
    <n v="1.93"/>
    <s v="BLACK"/>
    <s v="N00902B"/>
    <s v="FLINTSL - BLACK"/>
    <n v="25"/>
    <n v="0"/>
    <m/>
    <m/>
    <n v="0"/>
    <n v="26530000023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8"/>
    <n v="0"/>
    <n v="6.2792792792792795"/>
    <n v="0"/>
    <s v="RED"/>
    <m/>
    <s v="FLINTSL - RED"/>
    <m/>
    <n v="0"/>
    <m/>
    <m/>
    <n v="0"/>
    <n v="26530000022"/>
    <n v="26531000001"/>
    <s v="FMG"/>
    <n v="26527000012"/>
    <m/>
    <m/>
    <m/>
    <m/>
    <n v="40"/>
    <e v="#N/A"/>
    <n v="40"/>
    <e v="#N/A"/>
    <n v="10"/>
    <n v="0"/>
    <n v="8"/>
    <e v="#N/A"/>
    <m/>
    <n v="0"/>
    <m/>
    <n v="0"/>
    <m/>
    <n v="0"/>
    <m/>
    <n v="0"/>
    <s v="FLINTSL"/>
    <n v="18"/>
    <n v="0"/>
    <n v="106.3963963963964"/>
    <n v="0"/>
    <s v="GREEN"/>
    <s v="N00870G"/>
    <s v="FLINTSL - GREEN"/>
    <n v="24"/>
    <n v="0"/>
    <m/>
    <m/>
    <n v="0"/>
    <n v="26529000019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3"/>
    <n v="0"/>
    <n v="11.918918918918919"/>
    <n v="0"/>
    <s v="CYAN"/>
    <s v="N00870G"/>
    <s v="FLINTSL - CYAN"/>
    <n v="24"/>
    <n v="0"/>
    <m/>
    <m/>
    <n v="0"/>
    <n v="26529000019"/>
    <m/>
    <m/>
    <m/>
    <m/>
    <m/>
    <m/>
    <m/>
    <n v="3"/>
    <e v="#N/A"/>
    <m/>
    <n v="0"/>
    <m/>
    <n v="0"/>
    <m/>
    <n v="0"/>
    <m/>
    <n v="0"/>
    <m/>
    <n v="0"/>
    <m/>
    <n v="0"/>
    <m/>
    <n v="0"/>
    <s v="FLINTSL"/>
    <n v="23"/>
    <n v="0"/>
    <n v="9.2792792792792795"/>
    <n v="0"/>
    <s v="CYAN"/>
    <s v="N00902C"/>
    <s v="FLINTSL - CYAN"/>
    <n v="23"/>
    <n v="0"/>
    <m/>
    <m/>
    <n v="0"/>
    <s v="FC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5"/>
    <n v="0"/>
    <n v="15.837837837837839"/>
    <n v="0"/>
    <s v="MAGENTA"/>
    <s v="N00902M"/>
    <s v="FLINTSL - MAGENTA"/>
    <n v="22"/>
    <n v="0"/>
    <m/>
    <m/>
    <n v="0"/>
    <s v="FMG"/>
    <s v="FMD"/>
    <m/>
    <m/>
    <m/>
    <m/>
    <m/>
    <m/>
    <n v="6"/>
    <n v="0"/>
    <n v="4"/>
    <n v="0"/>
    <m/>
    <n v="0"/>
    <m/>
    <n v="0"/>
    <m/>
    <n v="0"/>
    <m/>
    <n v="0"/>
    <m/>
    <n v="0"/>
    <m/>
    <n v="0"/>
    <s v="FLINTSL"/>
    <n v="27"/>
    <n v="0"/>
    <n v="26.117117117117118"/>
    <n v="0"/>
    <s v="YELLOW"/>
    <s v="N00902Y"/>
    <s v="FLINTSL - YELLOW"/>
    <n v="28"/>
    <n v="0"/>
    <m/>
    <m/>
    <n v="0"/>
    <n v="26529000027"/>
    <s v="FMD"/>
    <m/>
    <m/>
    <m/>
    <m/>
    <m/>
    <m/>
    <n v="10"/>
    <e v="#N/A"/>
    <n v="5"/>
    <n v="0"/>
    <m/>
    <n v="0"/>
    <m/>
    <n v="0"/>
    <m/>
    <n v="0"/>
    <m/>
    <n v="0"/>
    <m/>
    <n v="0"/>
    <m/>
    <n v="0"/>
    <s v="FLINTSL"/>
    <n v="30"/>
    <n v="0"/>
    <n v="224.1711711711711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3"/>
    <n v="2"/>
    <n v="6"/>
    <n v="8"/>
    <n v="80"/>
    <n v="0"/>
    <n v="0.8"/>
    <n v="0.2"/>
    <m/>
    <m/>
    <m/>
    <n v="0"/>
    <n v="293"/>
    <n v="0"/>
    <n v="0"/>
    <n v="293"/>
    <n v="293"/>
    <n v="234.4"/>
    <n v="0"/>
    <n v="58.6"/>
    <n v="0"/>
    <n v="0"/>
    <n v="0"/>
    <n v="0"/>
    <n v="0"/>
    <n v="0"/>
    <n v="0"/>
    <n v="0"/>
    <n v="0"/>
    <n v="0"/>
    <m/>
    <n v="135"/>
    <n v="400"/>
    <n v="227"/>
    <s v="FLINTSLFLINTSLFLINTSLFLINTSLFLINTSLFLINTSLFLINTSL"/>
    <s v="+"/>
    <s v="+"/>
    <s v="+"/>
    <s v="+"/>
    <s v="+"/>
    <s v="+"/>
    <s v="+"/>
    <s v="NIL"/>
  </r>
  <r>
    <d v="2026-01-30T00:00:00"/>
    <s v="B"/>
    <x v="372"/>
    <n v="228"/>
    <n v="989"/>
    <n v="46600"/>
    <s v="I"/>
    <s v="N"/>
    <n v="2.0699999999999998"/>
    <s v="BLACK"/>
    <s v="N00890B"/>
    <s v="FLINTSL - BLACK"/>
    <n v="28"/>
    <n v="0"/>
    <m/>
    <m/>
    <n v="0"/>
    <n v="26530000023"/>
    <s v="FMD"/>
    <m/>
    <m/>
    <m/>
    <m/>
    <m/>
    <m/>
    <n v="2"/>
    <e v="#N/A"/>
    <n v="5"/>
    <n v="0"/>
    <m/>
    <n v="0"/>
    <m/>
    <n v="0"/>
    <m/>
    <n v="0"/>
    <m/>
    <n v="0"/>
    <m/>
    <n v="0"/>
    <m/>
    <n v="0"/>
    <s v="FLINTSL"/>
    <n v="28"/>
    <n v="0"/>
    <n v="20.054945054945058"/>
    <n v="0"/>
    <s v="RED"/>
    <s v="N00890R"/>
    <s v="FLINTSL - RED"/>
    <n v="5"/>
    <n v="0"/>
    <m/>
    <m/>
    <n v="0"/>
    <s v="FMG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20"/>
    <n v="0"/>
    <n v="21.109890109890117"/>
    <n v="0"/>
    <s v="BLACK"/>
    <s v="H01391B"/>
    <s v="FLINTSL - BLACK"/>
    <n v="28"/>
    <n v="0"/>
    <m/>
    <m/>
    <n v="0"/>
    <n v="26531000009"/>
    <s v="FMD"/>
    <s v="FMG"/>
    <n v="26527000013"/>
    <m/>
    <m/>
    <m/>
    <m/>
    <n v="30"/>
    <e v="#N/A"/>
    <n v="6"/>
    <n v="0"/>
    <n v="10"/>
    <n v="0"/>
    <n v="8"/>
    <e v="#N/A"/>
    <m/>
    <n v="0"/>
    <m/>
    <n v="0"/>
    <m/>
    <n v="0"/>
    <m/>
    <n v="0"/>
    <s v="FLINTSL"/>
    <n v="20"/>
    <n v="0"/>
    <n v="94.637362637362628"/>
    <n v="0"/>
    <s v="MEDIUM"/>
    <m/>
    <s v="FLINTSL - MEDIUM"/>
    <m/>
    <n v="0"/>
    <m/>
    <m/>
    <n v="0"/>
    <n v="26531000002"/>
    <n v="26531000004"/>
    <n v="26531000003"/>
    <m/>
    <m/>
    <m/>
    <m/>
    <m/>
    <n v="40"/>
    <e v="#N/A"/>
    <n v="40"/>
    <e v="#N/A"/>
    <n v="28"/>
    <e v="#N/A"/>
    <m/>
    <n v="0"/>
    <m/>
    <n v="0"/>
    <m/>
    <n v="0"/>
    <m/>
    <n v="0"/>
    <m/>
    <n v="0"/>
    <s v="FLINTSL"/>
    <n v="30"/>
    <n v="0"/>
    <n v="78"/>
    <n v="0"/>
    <s v="CYAN"/>
    <s v="N00890C"/>
    <s v="FLINTSL - CYAN"/>
    <n v="25"/>
    <n v="0"/>
    <m/>
    <m/>
    <n v="0"/>
    <s v="FC"/>
    <s v="FMD"/>
    <m/>
    <m/>
    <m/>
    <m/>
    <m/>
    <m/>
    <n v="2"/>
    <n v="0"/>
    <n v="4"/>
    <n v="0"/>
    <m/>
    <n v="0"/>
    <m/>
    <n v="0"/>
    <m/>
    <n v="0"/>
    <m/>
    <n v="0"/>
    <m/>
    <n v="0"/>
    <m/>
    <n v="0"/>
    <s v="FLINTSL"/>
    <n v="28"/>
    <n v="0"/>
    <n v="16.054945054945058"/>
    <n v="0"/>
    <s v="MAGENTA"/>
    <s v="N00890M"/>
    <s v="FLINTSL - MAGENTA"/>
    <n v="27"/>
    <n v="0"/>
    <m/>
    <m/>
    <n v="0"/>
    <s v="FMG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8"/>
    <n v="0"/>
    <n v="10.527472527472526"/>
    <n v="0"/>
    <s v="YELLOW"/>
    <s v="N00890Y"/>
    <s v="FLINTSL - YELLOW"/>
    <n v="26"/>
    <n v="0"/>
    <m/>
    <m/>
    <n v="0"/>
    <n v="26529000026"/>
    <s v="FMD"/>
    <m/>
    <m/>
    <m/>
    <m/>
    <m/>
    <m/>
    <n v="6"/>
    <e v="#N/A"/>
    <n v="3"/>
    <n v="0"/>
    <m/>
    <n v="0"/>
    <m/>
    <n v="0"/>
    <m/>
    <n v="0"/>
    <m/>
    <n v="0"/>
    <m/>
    <n v="0"/>
    <m/>
    <n v="0"/>
    <s v="FLINTSL"/>
    <n v="29"/>
    <n v="0"/>
    <n v="15.791208791208788"/>
    <n v="0"/>
    <s v="WHITE"/>
    <s v="N00890W"/>
    <s v="FLINTSL - WHITE"/>
    <n v="30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295.82417582417582"/>
    <n v="0"/>
    <n v="4"/>
    <n v="8"/>
    <n v="10"/>
    <n v="0"/>
    <n v="4"/>
    <n v="2"/>
    <n v="3"/>
    <n v="60"/>
    <n v="0.8"/>
    <n v="0.2"/>
    <m/>
    <m/>
    <m/>
    <n v="0"/>
    <n v="297"/>
    <n v="0"/>
    <n v="0"/>
    <n v="297"/>
    <n v="297"/>
    <n v="237.60000000000002"/>
    <n v="0"/>
    <n v="59.400000000000006"/>
    <n v="0"/>
    <n v="0"/>
    <n v="0"/>
    <n v="0"/>
    <n v="0"/>
    <n v="0"/>
    <n v="0"/>
    <n v="0"/>
    <n v="0"/>
    <n v="0"/>
    <m/>
    <n v="299"/>
    <n v="552"/>
    <n v="228"/>
    <s v="FLINTSLFLINTSLFLINTSLFLINTSLFLINTSLFLINTSLFLINTSLFLINTSL"/>
    <s v="+"/>
    <s v="+"/>
    <s v="+"/>
    <s v="+"/>
    <s v="+"/>
    <s v="+"/>
    <s v="+"/>
    <s v="+"/>
  </r>
  <r>
    <d v="2026-01-30T00:00:00"/>
    <s v="B"/>
    <x v="373"/>
    <n v="229"/>
    <n v="1002"/>
    <n v="47200"/>
    <s v="I"/>
    <s v="N"/>
    <n v="2.06"/>
    <s v="BLACK"/>
    <s v="P00491B"/>
    <s v="FLINTSL - BLACK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0"/>
    <n v="7.6792452830188651"/>
    <n v="0"/>
    <s v="RED"/>
    <s v="P00491R"/>
    <s v="FLINTSL - RED"/>
    <n v="20"/>
    <n v="0"/>
    <m/>
    <m/>
    <n v="0"/>
    <s v="FMG"/>
    <n v="26527000013"/>
    <m/>
    <m/>
    <m/>
    <m/>
    <m/>
    <m/>
    <n v="5"/>
    <n v="0"/>
    <n v="3"/>
    <e v="#N/A"/>
    <m/>
    <n v="0"/>
    <m/>
    <n v="0"/>
    <m/>
    <n v="0"/>
    <m/>
    <n v="0"/>
    <m/>
    <n v="0"/>
    <m/>
    <n v="0"/>
    <s v="FLINTSL"/>
    <n v="28"/>
    <n v="0"/>
    <n v="11.358490566037737"/>
    <n v="0"/>
    <s v="REFLEX BLUE"/>
    <m/>
    <s v="FLINTSL - REFLEX BLUE"/>
    <m/>
    <n v="0"/>
    <m/>
    <m/>
    <n v="0"/>
    <n v="26531000006"/>
    <n v="26531000007"/>
    <n v="26531000011"/>
    <n v="26531000013"/>
    <m/>
    <m/>
    <m/>
    <m/>
    <n v="40"/>
    <e v="#N/A"/>
    <n v="40"/>
    <e v="#N/A"/>
    <n v="20"/>
    <e v="#N/A"/>
    <n v="15"/>
    <e v="#N/A"/>
    <m/>
    <n v="0"/>
    <m/>
    <n v="0"/>
    <m/>
    <n v="0"/>
    <m/>
    <n v="0"/>
    <s v="FLINTSL"/>
    <n v="23"/>
    <n v="0"/>
    <n v="97.679245283018872"/>
    <n v="0"/>
    <s v="MEDIUM"/>
    <s v="P00491M"/>
    <s v="FLINTSL - MEDIUM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0"/>
    <n v="5.6792452830188651"/>
    <n v="0"/>
    <s v="CYAN"/>
    <s v="P00491C"/>
    <s v="FLINTSL - CYAN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0"/>
    <n v="7.6792452830188651"/>
    <n v="0"/>
    <s v="MAGENTA"/>
    <s v="P00491M"/>
    <s v="FLINTSL - MAGENTA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8.6792452830188651"/>
    <n v="0"/>
    <s v="YELLOW"/>
    <s v="P00491Y"/>
    <s v="FLINTSL - YELLOW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9.6792452830188651"/>
    <n v="0"/>
    <s v="WHITE"/>
    <s v="P00491W"/>
    <s v="FLINTSL - WHITE"/>
    <n v="30"/>
    <n v="0"/>
    <m/>
    <m/>
    <n v="0"/>
    <s v="FW"/>
    <m/>
    <m/>
    <m/>
    <m/>
    <m/>
    <m/>
    <m/>
    <n v="160"/>
    <n v="0"/>
    <m/>
    <n v="0"/>
    <m/>
    <n v="0"/>
    <m/>
    <n v="0"/>
    <m/>
    <n v="0"/>
    <m/>
    <n v="0"/>
    <m/>
    <n v="0"/>
    <m/>
    <n v="0"/>
    <s v="FLINTSL"/>
    <n v="20"/>
    <n v="0"/>
    <n v="425.56603773584908"/>
    <n v="0"/>
    <n v="2"/>
    <n v="4"/>
    <n v="2"/>
    <n v="2"/>
    <n v="2"/>
    <n v="2"/>
    <n v="2"/>
    <n v="90"/>
    <n v="0.8"/>
    <n v="0.2"/>
    <m/>
    <m/>
    <m/>
    <n v="0"/>
    <n v="301"/>
    <n v="0"/>
    <n v="0"/>
    <n v="301"/>
    <n v="301"/>
    <n v="240.8"/>
    <n v="0"/>
    <n v="60.2"/>
    <n v="0"/>
    <n v="0"/>
    <n v="0"/>
    <n v="0"/>
    <n v="0"/>
    <n v="0"/>
    <n v="0"/>
    <n v="0"/>
    <n v="0"/>
    <n v="0"/>
    <m/>
    <n v="283"/>
    <n v="574"/>
    <n v="229"/>
    <s v="FLINTSLFLINTSLFLINTSLFLINTSLFLINTSLFLINTSLFLINTSLFLINTSL"/>
    <s v="+"/>
    <s v="+"/>
    <s v="+"/>
    <s v="+"/>
    <s v="+"/>
    <s v="+"/>
    <s v="+"/>
    <s v="+"/>
  </r>
  <r>
    <d v="2026-01-30T00:00:00"/>
    <s v="B"/>
    <x v="374"/>
    <n v="230"/>
    <n v="961"/>
    <n v="52400"/>
    <s v="I"/>
    <s v="N"/>
    <n v="1.25"/>
    <s v="BLACK"/>
    <s v="C01325B"/>
    <s v="FLINTSL - BLACK"/>
    <n v="24"/>
    <n v="0"/>
    <m/>
    <m/>
    <n v="0"/>
    <n v="26530000023"/>
    <s v="FMD"/>
    <m/>
    <m/>
    <m/>
    <m/>
    <m/>
    <m/>
    <n v="4"/>
    <e v="#N/A"/>
    <n v="3"/>
    <n v="0"/>
    <m/>
    <n v="0"/>
    <m/>
    <n v="0"/>
    <m/>
    <n v="0"/>
    <m/>
    <n v="0"/>
    <m/>
    <n v="0"/>
    <m/>
    <n v="0"/>
    <s v="FLINTSL"/>
    <n v="28"/>
    <n v="0"/>
    <n v="14.519999999999996"/>
    <n v="0"/>
    <s v="RED"/>
    <s v="C01325R"/>
    <s v="FLINTSL - RED"/>
    <n v="29"/>
    <n v="0"/>
    <m/>
    <m/>
    <n v="0"/>
    <s v="FMG"/>
    <n v="26530000025"/>
    <m/>
    <m/>
    <m/>
    <m/>
    <m/>
    <m/>
    <n v="5"/>
    <n v="0"/>
    <n v="6"/>
    <e v="#N/A"/>
    <m/>
    <n v="0"/>
    <m/>
    <n v="0"/>
    <m/>
    <n v="0"/>
    <m/>
    <n v="0"/>
    <m/>
    <n v="0"/>
    <m/>
    <n v="0"/>
    <s v="FLINTSL"/>
    <n v="30"/>
    <n v="0"/>
    <n v="21.519999999999996"/>
    <n v="0"/>
    <s v="RED"/>
    <s v="C01325R"/>
    <s v="FLINTSL - RED"/>
    <n v="30"/>
    <n v="0"/>
    <m/>
    <m/>
    <n v="0"/>
    <s v="FMG"/>
    <n v="26530000035"/>
    <s v="FMD"/>
    <n v="26530000023"/>
    <m/>
    <m/>
    <m/>
    <m/>
    <n v="6"/>
    <n v="0"/>
    <n v="4"/>
    <e v="#N/A"/>
    <n v="2"/>
    <n v="0"/>
    <n v="0.3"/>
    <e v="#N/A"/>
    <m/>
    <n v="0"/>
    <m/>
    <n v="0"/>
    <m/>
    <n v="0"/>
    <m/>
    <n v="0"/>
    <s v="FLINTSL"/>
    <n v="30"/>
    <n v="0"/>
    <n v="23.819999999999993"/>
    <n v="0"/>
    <s v="ORANGE"/>
    <s v="C01325O"/>
    <s v="FLINTSL - ORANGE"/>
    <n v="27"/>
    <n v="0"/>
    <m/>
    <m/>
    <n v="0"/>
    <s v="TPT"/>
    <n v="26527000013"/>
    <n v="26530000035"/>
    <s v="FMG"/>
    <m/>
    <m/>
    <m/>
    <m/>
    <n v="58"/>
    <n v="0"/>
    <n v="17"/>
    <e v="#N/A"/>
    <n v="8"/>
    <e v="#N/A"/>
    <n v="10"/>
    <n v="0"/>
    <m/>
    <n v="0"/>
    <m/>
    <n v="0"/>
    <m/>
    <n v="0"/>
    <m/>
    <n v="0"/>
    <s v="FLINTSL"/>
    <n v="34"/>
    <n v="0"/>
    <n v="143.6"/>
    <n v="0"/>
    <s v="CYAN"/>
    <s v="C01325C"/>
    <s v="FLINTSL - CYAN"/>
    <n v="28"/>
    <n v="0"/>
    <m/>
    <m/>
    <n v="0"/>
    <s v="FC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8"/>
    <n v="0"/>
    <n v="13.519999999999996"/>
    <n v="0"/>
    <s v="MAGENTA"/>
    <s v="C01325M"/>
    <s v="FLINTSL - MAGENTA"/>
    <n v="29"/>
    <n v="0"/>
    <m/>
    <m/>
    <n v="0"/>
    <s v="FMG"/>
    <s v="FMD"/>
    <m/>
    <m/>
    <m/>
    <m/>
    <m/>
    <m/>
    <n v="8"/>
    <n v="0"/>
    <n v="4"/>
    <n v="0"/>
    <m/>
    <n v="0"/>
    <m/>
    <n v="0"/>
    <m/>
    <n v="0"/>
    <m/>
    <n v="0"/>
    <m/>
    <n v="0"/>
    <m/>
    <n v="0"/>
    <s v="FLINTSL"/>
    <n v="29"/>
    <n v="0"/>
    <n v="23.519999999999996"/>
    <n v="0"/>
    <s v="YELLOW"/>
    <s v="C01325Y"/>
    <s v="FLINTSL - YELLOW"/>
    <n v="28"/>
    <n v="0"/>
    <m/>
    <m/>
    <n v="0"/>
    <n v="26530000021"/>
    <s v="FMD"/>
    <m/>
    <m/>
    <m/>
    <m/>
    <m/>
    <m/>
    <n v="14"/>
    <e v="#N/A"/>
    <n v="2"/>
    <n v="0"/>
    <m/>
    <n v="0"/>
    <m/>
    <n v="0"/>
    <m/>
    <n v="0"/>
    <m/>
    <n v="0"/>
    <m/>
    <n v="0"/>
    <m/>
    <n v="0"/>
    <s v="FLINTSL"/>
    <n v="28"/>
    <n v="0"/>
    <n v="27.519999999999996"/>
    <n v="0"/>
    <s v="WHITE"/>
    <s v="C01325W"/>
    <s v="FLINTSL - WHITE"/>
    <n v="25"/>
    <n v="0"/>
    <m/>
    <m/>
    <n v="0"/>
    <s v="FW"/>
    <m/>
    <m/>
    <m/>
    <m/>
    <m/>
    <m/>
    <m/>
    <n v="100"/>
    <n v="0"/>
    <m/>
    <n v="0"/>
    <m/>
    <n v="0"/>
    <m/>
    <n v="0"/>
    <m/>
    <n v="0"/>
    <m/>
    <n v="0"/>
    <m/>
    <n v="0"/>
    <m/>
    <n v="0"/>
    <s v="FLINTSL"/>
    <n v="30"/>
    <n v="0"/>
    <n v="256.28000000000003"/>
    <n v="0"/>
    <n v="5"/>
    <n v="5"/>
    <n v="5"/>
    <n v="25"/>
    <n v="5"/>
    <n v="5"/>
    <n v="5"/>
    <n v="70"/>
    <n v="0.8"/>
    <n v="0.2"/>
    <m/>
    <m/>
    <m/>
    <n v="0"/>
    <n v="288"/>
    <n v="0"/>
    <n v="0"/>
    <n v="288"/>
    <n v="288"/>
    <n v="230.4"/>
    <n v="0"/>
    <n v="57.6"/>
    <n v="0"/>
    <n v="0"/>
    <n v="0"/>
    <n v="0"/>
    <n v="0"/>
    <n v="0"/>
    <n v="0"/>
    <n v="0"/>
    <n v="0"/>
    <n v="0"/>
    <m/>
    <n v="253.3"/>
    <n v="524.29999999999995"/>
    <n v="230"/>
    <s v="FLINTSLFLINTSLFLINTSLFLINTSLFLINTSLFLINTSLFLINTSLFLINTSL"/>
    <s v="+"/>
    <s v="+"/>
    <s v="+"/>
    <s v="+"/>
    <s v="+"/>
    <s v="+"/>
    <s v="+"/>
    <s v="+"/>
  </r>
  <r>
    <d v="2026-01-30T00:00:00"/>
    <s v="A"/>
    <x v="375"/>
    <n v="231"/>
    <n v="998"/>
    <n v="47000"/>
    <s v="I"/>
    <s v="N"/>
    <n v="1.85"/>
    <s v="BLACK"/>
    <s v="P00492B"/>
    <s v="FLINTSL - BLACK"/>
    <n v="26"/>
    <n v="0"/>
    <m/>
    <m/>
    <n v="0"/>
    <s v="FK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5"/>
    <n v="0"/>
    <n v="13.666666666666664"/>
    <n v="0"/>
    <s v="RED"/>
    <s v="P00492R"/>
    <s v="FLINTSL - RED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16"/>
    <n v="0"/>
    <n v="17.111111111111114"/>
    <n v="0"/>
    <s v="RED"/>
    <m/>
    <s v="FLINTSL - RED"/>
    <m/>
    <n v="0"/>
    <m/>
    <m/>
    <n v="0"/>
    <n v="26531000012"/>
    <n v="26531000023"/>
    <m/>
    <m/>
    <m/>
    <m/>
    <m/>
    <m/>
    <n v="50"/>
    <e v="#N/A"/>
    <n v="20"/>
    <e v="#N/A"/>
    <m/>
    <n v="0"/>
    <m/>
    <n v="0"/>
    <m/>
    <n v="0"/>
    <m/>
    <n v="0"/>
    <m/>
    <n v="0"/>
    <m/>
    <n v="0"/>
    <s v="FLINTSL"/>
    <n v="24"/>
    <n v="0"/>
    <n v="46"/>
    <n v="0"/>
    <s v="MEDIUM"/>
    <s v="P00492M"/>
    <s v="FLINTSL - MEDIUM"/>
    <n v="30"/>
    <n v="0"/>
    <m/>
    <m/>
    <n v="0"/>
    <n v="26530000024"/>
    <n v="26531000016"/>
    <n v="26531000024"/>
    <m/>
    <m/>
    <m/>
    <m/>
    <m/>
    <n v="3.6"/>
    <e v="#N/A"/>
    <n v="40"/>
    <e v="#N/A"/>
    <n v="20"/>
    <e v="#N/A"/>
    <m/>
    <n v="0"/>
    <m/>
    <n v="0"/>
    <m/>
    <n v="0"/>
    <m/>
    <n v="0"/>
    <m/>
    <n v="0"/>
    <s v="FLINTSL"/>
    <n v="33"/>
    <n v="0"/>
    <n v="60.599999999999994"/>
    <n v="0"/>
    <s v="CYAN"/>
    <s v="P00492C"/>
    <s v="FLINTSL - CYAN"/>
    <n v="26"/>
    <n v="0"/>
    <m/>
    <m/>
    <n v="0"/>
    <s v="FC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6"/>
    <n v="0"/>
    <n v="7.1111111111111143"/>
    <n v="0"/>
    <s v="MAGENTA"/>
    <s v="P00492M"/>
    <s v="FLINTSL - MAGENTA"/>
    <n v="25"/>
    <n v="0"/>
    <m/>
    <m/>
    <n v="0"/>
    <s v="FMG"/>
    <m/>
    <m/>
    <m/>
    <m/>
    <m/>
    <m/>
    <m/>
    <n v="3"/>
    <n v="0"/>
    <m/>
    <n v="0"/>
    <m/>
    <n v="0"/>
    <m/>
    <n v="0"/>
    <m/>
    <n v="0"/>
    <m/>
    <n v="0"/>
    <m/>
    <n v="0"/>
    <m/>
    <n v="0"/>
    <s v="FLINTSL"/>
    <n v="24"/>
    <n v="0"/>
    <n v="9.1111111111111143"/>
    <n v="0"/>
    <s v="YELLOW"/>
    <s v="P00492Y"/>
    <s v="FLINTSL - YELLOW"/>
    <n v="25"/>
    <n v="0"/>
    <m/>
    <m/>
    <n v="0"/>
    <n v="26530000021"/>
    <s v="FMD"/>
    <m/>
    <m/>
    <m/>
    <m/>
    <m/>
    <m/>
    <n v="4"/>
    <e v="#N/A"/>
    <n v="3"/>
    <n v="0"/>
    <m/>
    <n v="0"/>
    <m/>
    <n v="0"/>
    <m/>
    <n v="0"/>
    <m/>
    <n v="0"/>
    <m/>
    <n v="0"/>
    <m/>
    <n v="0"/>
    <s v="FLINTSL"/>
    <n v="18"/>
    <n v="0"/>
    <n v="21.666666666666664"/>
    <n v="0"/>
    <s v="WHITE"/>
    <s v="P00492W"/>
    <s v="FLINTSL - WHITE"/>
    <n v="20"/>
    <n v="0"/>
    <m/>
    <m/>
    <n v="0"/>
    <s v="FW"/>
    <m/>
    <m/>
    <m/>
    <m/>
    <m/>
    <m/>
    <m/>
    <n v="160"/>
    <n v="0"/>
    <m/>
    <n v="0"/>
    <m/>
    <n v="0"/>
    <m/>
    <n v="0"/>
    <m/>
    <n v="0"/>
    <m/>
    <n v="0"/>
    <m/>
    <n v="0"/>
    <m/>
    <n v="0"/>
    <s v="FLINTSL"/>
    <n v="25"/>
    <n v="0"/>
    <n v="423.33333333333331"/>
    <n v="0"/>
    <n v="3"/>
    <n v="2"/>
    <n v="0"/>
    <n v="0"/>
    <n v="2"/>
    <n v="2"/>
    <n v="3"/>
    <n v="105"/>
    <n v="0.8"/>
    <n v="0.2"/>
    <m/>
    <m/>
    <m/>
    <n v="0"/>
    <n v="299"/>
    <n v="0"/>
    <n v="0"/>
    <n v="299"/>
    <n v="299"/>
    <n v="239.20000000000002"/>
    <n v="0"/>
    <n v="59.800000000000004"/>
    <n v="0"/>
    <n v="0"/>
    <n v="0"/>
    <n v="0"/>
    <n v="0"/>
    <n v="0"/>
    <n v="0"/>
    <n v="0"/>
    <n v="0"/>
    <n v="0"/>
    <m/>
    <n v="310.60000000000002"/>
    <n v="598.59999999999991"/>
    <n v="231"/>
    <s v="FLINTSLFLINTSLFLINTSLFLINTSLFLINTSLFLINTSLFLINTSLFLINTSL"/>
    <s v="+"/>
    <s v="+"/>
    <s v="+"/>
    <s v="+"/>
    <s v="+"/>
    <s v="+"/>
    <s v="+"/>
    <s v="+"/>
  </r>
  <r>
    <d v="2026-01-31T00:00:00"/>
    <s v="A"/>
    <x v="376"/>
    <n v="232"/>
    <n v="959"/>
    <n v="52300"/>
    <s v="I"/>
    <s v="N"/>
    <n v="1.3"/>
    <s v="BLACK"/>
    <s v="C01497B"/>
    <s v="FLINTSL - BLACK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0"/>
    <n v="5.760330578512395"/>
    <n v="0"/>
    <s v="RED"/>
    <s v="C01497R"/>
    <s v="FLINTSL - RED"/>
    <n v="30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0"/>
    <n v="9.760330578512395"/>
    <n v="0"/>
    <s v="GREEN"/>
    <s v="H01215G"/>
    <s v="FLINTSL - GREEN"/>
    <n v="28"/>
    <n v="0"/>
    <m/>
    <m/>
    <n v="0"/>
    <s v="FK"/>
    <n v="26529000021"/>
    <s v="FC"/>
    <m/>
    <m/>
    <m/>
    <m/>
    <m/>
    <n v="0.5"/>
    <n v="0"/>
    <n v="1"/>
    <e v="#N/A"/>
    <n v="2"/>
    <n v="0"/>
    <m/>
    <n v="0"/>
    <m/>
    <n v="0"/>
    <m/>
    <n v="0"/>
    <m/>
    <n v="0"/>
    <m/>
    <n v="0"/>
    <s v="FLINTSL"/>
    <n v="20"/>
    <n v="0"/>
    <n v="18.640495867768593"/>
    <n v="0"/>
    <s v="GREEN"/>
    <s v="N00890G"/>
    <s v="FLINTSL - GREEN"/>
    <n v="26"/>
    <n v="0"/>
    <s v="E00996G"/>
    <n v="25"/>
    <n v="0"/>
    <n v="26531000022"/>
    <s v="FC"/>
    <n v="26530000034"/>
    <s v="FK"/>
    <m/>
    <m/>
    <m/>
    <m/>
    <n v="20"/>
    <e v="#N/A"/>
    <n v="30"/>
    <n v="0"/>
    <n v="30"/>
    <e v="#N/A"/>
    <n v="1.5"/>
    <n v="0"/>
    <m/>
    <n v="0"/>
    <m/>
    <n v="0"/>
    <m/>
    <n v="0"/>
    <m/>
    <n v="0"/>
    <s v="FLINTSL"/>
    <n v="24"/>
    <n v="0"/>
    <n v="144.20247933884298"/>
    <n v="0"/>
    <s v="CYAN"/>
    <s v="C01497C"/>
    <s v="FLINTSL - CYAN"/>
    <n v="28"/>
    <n v="0"/>
    <m/>
    <m/>
    <n v="0"/>
    <n v="26531000017"/>
    <s v="FMD"/>
    <m/>
    <m/>
    <m/>
    <m/>
    <m/>
    <m/>
    <n v="20"/>
    <e v="#N/A"/>
    <n v="3"/>
    <n v="0"/>
    <m/>
    <n v="0"/>
    <m/>
    <n v="0"/>
    <m/>
    <n v="0"/>
    <m/>
    <n v="0"/>
    <m/>
    <n v="0"/>
    <m/>
    <n v="0"/>
    <s v="FLINTSL"/>
    <n v="27"/>
    <n v="0"/>
    <n v="28.760330578512395"/>
    <n v="0"/>
    <s v="MAGENTA"/>
    <s v="C01497M"/>
    <s v="FLINTSL - MAGENTA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0"/>
    <n v="5.760330578512395"/>
    <n v="0"/>
    <s v="YELLOW"/>
    <s v="C01497Y"/>
    <s v="FLINTSL - YELLOW"/>
    <n v="28"/>
    <n v="0"/>
    <m/>
    <m/>
    <n v="0"/>
    <n v="26530000021"/>
    <m/>
    <m/>
    <m/>
    <m/>
    <m/>
    <m/>
    <m/>
    <n v="4"/>
    <e v="#N/A"/>
    <m/>
    <n v="0"/>
    <m/>
    <n v="0"/>
    <m/>
    <n v="0"/>
    <m/>
    <n v="0"/>
    <m/>
    <n v="0"/>
    <m/>
    <n v="0"/>
    <m/>
    <n v="0"/>
    <s v="FLINTSL"/>
    <n v="27"/>
    <n v="0"/>
    <n v="16.900826446280988"/>
    <n v="0"/>
    <s v="WHITE"/>
    <s v="C01497W"/>
    <s v="FLINTSL - WHITE"/>
    <n v="30"/>
    <n v="0"/>
    <m/>
    <m/>
    <n v="0"/>
    <s v="FW"/>
    <m/>
    <m/>
    <m/>
    <m/>
    <m/>
    <m/>
    <m/>
    <n v="150"/>
    <n v="0"/>
    <m/>
    <n v="0"/>
    <m/>
    <n v="0"/>
    <m/>
    <n v="0"/>
    <m/>
    <n v="0"/>
    <m/>
    <n v="0"/>
    <m/>
    <n v="0"/>
    <m/>
    <n v="0"/>
    <s v="FLINTSL"/>
    <n v="30"/>
    <n v="0"/>
    <n v="364.21487603305786"/>
    <n v="0"/>
    <n v="2"/>
    <n v="2"/>
    <n v="3"/>
    <n v="15"/>
    <n v="2"/>
    <n v="2"/>
    <n v="5"/>
    <n v="90"/>
    <n v="0.8"/>
    <n v="0.2"/>
    <m/>
    <m/>
    <m/>
    <n v="0"/>
    <n v="288"/>
    <n v="0"/>
    <n v="0"/>
    <n v="288"/>
    <n v="288"/>
    <n v="230.4"/>
    <n v="0"/>
    <n v="57.6"/>
    <n v="0"/>
    <n v="0"/>
    <n v="0"/>
    <n v="0"/>
    <n v="0"/>
    <n v="0"/>
    <n v="0"/>
    <n v="0"/>
    <n v="0"/>
    <n v="0"/>
    <m/>
    <n v="262"/>
    <n v="594"/>
    <n v="232"/>
    <s v="FLINTSLFLINTSLFLINTSLFLINTSLFLINTSLFLINTSLFLINTSLFLINTSL"/>
    <s v="+"/>
    <s v="+"/>
    <s v="+"/>
    <s v="+"/>
    <s v="+"/>
    <s v="+"/>
    <s v="+"/>
    <s v="+"/>
  </r>
  <r>
    <d v="2026-01-31T00:00:00"/>
    <s v="A"/>
    <x v="377"/>
    <n v="233"/>
    <n v="740"/>
    <n v="25400"/>
    <s v="I"/>
    <s v="N"/>
    <n v="1.25"/>
    <s v="BLACK"/>
    <s v="C01499B"/>
    <s v="FLINTSL - BLACK"/>
    <n v="27"/>
    <n v="0"/>
    <m/>
    <m/>
    <n v="0"/>
    <s v="FK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8"/>
    <n v="0"/>
    <n v="11.655172413793103"/>
    <n v="0"/>
    <s v="REFLEX BLUE"/>
    <s v="N00902B"/>
    <s v="FLINTSL - REFLEX BLUE"/>
    <n v="26"/>
    <n v="0"/>
    <m/>
    <m/>
    <n v="0"/>
    <s v="FC"/>
    <s v="FMG"/>
    <m/>
    <m/>
    <m/>
    <m/>
    <m/>
    <m/>
    <n v="4"/>
    <n v="0"/>
    <n v="3"/>
    <n v="0"/>
    <m/>
    <n v="0"/>
    <m/>
    <n v="0"/>
    <m/>
    <n v="0"/>
    <m/>
    <n v="0"/>
    <m/>
    <n v="0"/>
    <m/>
    <n v="0"/>
    <s v="FLINTSL"/>
    <n v="28"/>
    <n v="0"/>
    <n v="12.655172413793103"/>
    <n v="0"/>
    <s v="RED"/>
    <m/>
    <s v="FLINTSL - RED"/>
    <m/>
    <n v="0"/>
    <m/>
    <m/>
    <n v="0"/>
    <n v="26531000028"/>
    <s v="FMD"/>
    <s v="FMG"/>
    <n v="26531000021"/>
    <m/>
    <m/>
    <m/>
    <m/>
    <n v="40"/>
    <e v="#N/A"/>
    <n v="7"/>
    <n v="0"/>
    <n v="2"/>
    <n v="0"/>
    <n v="4"/>
    <e v="#N/A"/>
    <m/>
    <n v="0"/>
    <m/>
    <n v="0"/>
    <m/>
    <n v="0"/>
    <m/>
    <n v="0"/>
    <s v="FLINTSL"/>
    <n v="24"/>
    <n v="0"/>
    <n v="54.517241379310349"/>
    <n v="0"/>
    <s v="CYAN"/>
    <s v="C01499C"/>
    <s v="FLINTSL - CYAN"/>
    <n v="27"/>
    <n v="0"/>
    <m/>
    <m/>
    <n v="0"/>
    <s v="FC"/>
    <m/>
    <m/>
    <m/>
    <m/>
    <m/>
    <m/>
    <m/>
    <n v="10"/>
    <n v="0"/>
    <m/>
    <n v="0"/>
    <m/>
    <n v="0"/>
    <m/>
    <n v="0"/>
    <m/>
    <n v="0"/>
    <m/>
    <n v="0"/>
    <m/>
    <n v="0"/>
    <m/>
    <n v="0"/>
    <s v="FLINTSL"/>
    <n v="30"/>
    <n v="0"/>
    <n v="22.310344827586206"/>
    <n v="0"/>
    <s v="MAGENTA"/>
    <s v="C01499M"/>
    <s v="FLINTSL - MAGENTA"/>
    <n v="28"/>
    <n v="0"/>
    <m/>
    <m/>
    <n v="0"/>
    <s v="FMG"/>
    <m/>
    <m/>
    <m/>
    <m/>
    <m/>
    <m/>
    <m/>
    <n v="4"/>
    <n v="0"/>
    <m/>
    <n v="0"/>
    <m/>
    <n v="0"/>
    <m/>
    <n v="0"/>
    <m/>
    <n v="0"/>
    <m/>
    <n v="0"/>
    <m/>
    <n v="0"/>
    <m/>
    <n v="0"/>
    <s v="FLINTSL"/>
    <n v="29"/>
    <n v="0"/>
    <n v="8.1034482758620712"/>
    <n v="0"/>
    <s v="YELLOW"/>
    <s v="C01499Y"/>
    <s v="FLINTSL - YELLOW"/>
    <n v="27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5"/>
    <n v="0"/>
    <n v="17.206896551724135"/>
    <n v="0"/>
    <s v="WHITE"/>
    <s v="C01499W"/>
    <s v="FLINTSL - WHITE"/>
    <n v="30"/>
    <n v="0"/>
    <m/>
    <m/>
    <n v="0"/>
    <s v="FW"/>
    <m/>
    <m/>
    <m/>
    <m/>
    <m/>
    <m/>
    <m/>
    <n v="50"/>
    <n v="0"/>
    <m/>
    <n v="0"/>
    <m/>
    <n v="0"/>
    <m/>
    <n v="0"/>
    <m/>
    <n v="0"/>
    <m/>
    <n v="0"/>
    <m/>
    <n v="0"/>
    <m/>
    <n v="0"/>
    <s v="FLINTSL"/>
    <n v="30"/>
    <n v="0"/>
    <n v="126.5517241379310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3"/>
    <n v="10"/>
    <n v="6"/>
    <n v="2"/>
    <n v="4"/>
    <n v="30"/>
    <n v="0"/>
    <n v="0.8"/>
    <n v="0.2"/>
    <m/>
    <m/>
    <m/>
    <n v="0"/>
    <n v="148"/>
    <n v="0"/>
    <n v="0"/>
    <n v="148"/>
    <n v="148"/>
    <n v="118.4"/>
    <n v="0"/>
    <n v="29.6"/>
    <n v="0"/>
    <n v="0"/>
    <n v="0"/>
    <n v="0"/>
    <n v="0"/>
    <n v="0"/>
    <n v="0"/>
    <n v="0"/>
    <n v="0"/>
    <n v="0"/>
    <m/>
    <n v="134"/>
    <n v="253"/>
    <n v="233"/>
    <s v="FLINTSLFLINTSLFLINTSLFLINTSLFLINTSLFLINTSLFLINTSL"/>
    <s v="+"/>
    <s v="+"/>
    <s v="+"/>
    <s v="+"/>
    <s v="+"/>
    <s v="+"/>
    <s v="+"/>
    <s v="NIL"/>
  </r>
  <r>
    <d v="2026-01-31T00:00:00"/>
    <s v="A"/>
    <x v="378"/>
    <n v="234"/>
    <n v="248"/>
    <n v="10600"/>
    <s v="I"/>
    <s v="N"/>
    <n v="2"/>
    <s v="GREEN"/>
    <s v="E01045G"/>
    <s v="FLINTSL - GREEN"/>
    <n v="21"/>
    <n v="0"/>
    <m/>
    <m/>
    <n v="0"/>
    <s v="FC"/>
    <s v="FK"/>
    <m/>
    <m/>
    <m/>
    <m/>
    <m/>
    <m/>
    <n v="5"/>
    <n v="0"/>
    <n v="1"/>
    <n v="0"/>
    <m/>
    <n v="0"/>
    <m/>
    <n v="0"/>
    <m/>
    <n v="0"/>
    <m/>
    <n v="0"/>
    <m/>
    <n v="0"/>
    <m/>
    <n v="0"/>
    <s v="FLINTSL"/>
    <n v="24"/>
    <n v="0"/>
    <n v="7.0135135135135158"/>
    <n v="0"/>
    <s v="GREEN"/>
    <s v="N00890G"/>
    <s v="FLINTSL - GREEN"/>
    <n v="18"/>
    <n v="0"/>
    <m/>
    <m/>
    <n v="0"/>
    <s v="FC"/>
    <n v="26529000020"/>
    <m/>
    <m/>
    <m/>
    <m/>
    <m/>
    <m/>
    <n v="2"/>
    <n v="0"/>
    <n v="2"/>
    <e v="#N/A"/>
    <m/>
    <n v="0"/>
    <m/>
    <n v="0"/>
    <m/>
    <n v="0"/>
    <m/>
    <n v="0"/>
    <m/>
    <n v="0"/>
    <m/>
    <n v="0"/>
    <s v="FLINTSL"/>
    <n v="21"/>
    <n v="0"/>
    <n v="3.6756756756756772"/>
    <n v="0"/>
    <s v="RED"/>
    <m/>
    <s v="FLINTSL - RED"/>
    <m/>
    <n v="0"/>
    <m/>
    <m/>
    <n v="0"/>
    <n v="26531000005"/>
    <s v="FMG"/>
    <m/>
    <m/>
    <m/>
    <m/>
    <m/>
    <m/>
    <n v="10"/>
    <e v="#N/A"/>
    <n v="10"/>
    <n v="0"/>
    <m/>
    <n v="0"/>
    <m/>
    <n v="0"/>
    <m/>
    <n v="0"/>
    <m/>
    <n v="0"/>
    <m/>
    <n v="0"/>
    <m/>
    <n v="0"/>
    <s v="FLINTSL"/>
    <n v="23"/>
    <n v="0"/>
    <n v="6.3648648648648631"/>
    <n v="0"/>
    <s v="GREEN"/>
    <s v="G01490G"/>
    <s v="FLINTSL - GREEN"/>
    <n v="20"/>
    <n v="0"/>
    <m/>
    <m/>
    <n v="0"/>
    <s v="FMD"/>
    <n v="26530000026"/>
    <s v="FC"/>
    <s v="FK"/>
    <m/>
    <m/>
    <m/>
    <m/>
    <n v="5"/>
    <n v="0"/>
    <n v="20"/>
    <e v="#N/A"/>
    <n v="15"/>
    <n v="0"/>
    <n v="3"/>
    <n v="0"/>
    <m/>
    <n v="0"/>
    <m/>
    <n v="0"/>
    <m/>
    <n v="0"/>
    <m/>
    <n v="0"/>
    <s v="FLINTSL"/>
    <n v="20"/>
    <n v="0"/>
    <n v="69.756756756756758"/>
    <n v="0"/>
    <s v="GREEN"/>
    <m/>
    <s v="FLINTSL - GREEN"/>
    <m/>
    <n v="0"/>
    <m/>
    <m/>
    <n v="0"/>
    <n v="26531000014"/>
    <s v="FC"/>
    <m/>
    <m/>
    <m/>
    <m/>
    <m/>
    <m/>
    <n v="20"/>
    <e v="#N/A"/>
    <n v="30"/>
    <n v="0"/>
    <m/>
    <n v="0"/>
    <m/>
    <n v="0"/>
    <m/>
    <n v="0"/>
    <m/>
    <n v="0"/>
    <m/>
    <n v="0"/>
    <m/>
    <n v="0"/>
    <s v="FLINTSL"/>
    <n v="21"/>
    <n v="0"/>
    <n v="42.378378378378379"/>
    <n v="0"/>
    <s v="ORANGE"/>
    <s v="E01818O"/>
    <s v="FLINTSL - ORANGE"/>
    <n v="10"/>
    <n v="0"/>
    <m/>
    <m/>
    <n v="0"/>
    <n v="26531000005"/>
    <n v="26530000026"/>
    <m/>
    <m/>
    <m/>
    <m/>
    <m/>
    <m/>
    <n v="5"/>
    <e v="#N/A"/>
    <n v="5"/>
    <e v="#N/A"/>
    <m/>
    <n v="0"/>
    <m/>
    <n v="0"/>
    <m/>
    <n v="0"/>
    <m/>
    <n v="0"/>
    <m/>
    <n v="0"/>
    <m/>
    <n v="0"/>
    <s v="FLINTSL"/>
    <n v="29"/>
    <n v="0"/>
    <n v="0.36486486486486314"/>
    <n v="0"/>
    <s v="WHITE"/>
    <s v="P00493W"/>
    <s v="FLINTSL - WHITE"/>
    <n v="25"/>
    <n v="0"/>
    <m/>
    <m/>
    <n v="0"/>
    <s v="FW"/>
    <m/>
    <m/>
    <m/>
    <m/>
    <m/>
    <m/>
    <m/>
    <n v="40"/>
    <n v="0"/>
    <m/>
    <n v="0"/>
    <m/>
    <n v="0"/>
    <m/>
    <n v="0"/>
    <m/>
    <n v="0"/>
    <m/>
    <n v="0"/>
    <m/>
    <n v="0"/>
    <m/>
    <n v="0"/>
    <s v="FLINTSL"/>
    <n v="30"/>
    <n v="0"/>
    <n v="68.445945945945937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2"/>
    <n v="7"/>
    <n v="20"/>
    <n v="10"/>
    <n v="7"/>
    <n v="25"/>
    <n v="0"/>
    <n v="0.8"/>
    <n v="0.2"/>
    <m/>
    <m/>
    <m/>
    <n v="0"/>
    <n v="99"/>
    <n v="0"/>
    <n v="0"/>
    <n v="99"/>
    <n v="99"/>
    <n v="79.2"/>
    <n v="0"/>
    <n v="19.8"/>
    <n v="0"/>
    <n v="0"/>
    <n v="0"/>
    <n v="0"/>
    <n v="0"/>
    <n v="0"/>
    <n v="0"/>
    <n v="0"/>
    <n v="0"/>
    <n v="0"/>
    <m/>
    <n v="173"/>
    <n v="198"/>
    <n v="234"/>
    <s v="FLINTSLFLINTSLFLINTSLFLINTSLFLINTSLFLINTSLFLINTSL"/>
    <s v="+"/>
    <s v="+"/>
    <s v="+"/>
    <s v="+"/>
    <s v="+"/>
    <s v="+"/>
    <s v="+"/>
    <s v="NIL"/>
  </r>
  <r>
    <d v="2026-01-31T00:00:00"/>
    <s v="A"/>
    <x v="379"/>
    <n v="235"/>
    <n v="2092"/>
    <n v="107700"/>
    <s v="I"/>
    <s v="N"/>
    <n v="1.81"/>
    <s v="BLACK"/>
    <s v="B01084B"/>
    <s v="FLINTSL - BLACK"/>
    <n v="28"/>
    <n v="0"/>
    <m/>
    <m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27"/>
    <n v="0"/>
    <n v="12.587412587412587"/>
    <n v="0"/>
    <s v="RED"/>
    <s v="C01499R"/>
    <s v="FLINTSL - RED"/>
    <n v="25"/>
    <n v="0"/>
    <s v="C01531R"/>
    <n v="23"/>
    <n v="0"/>
    <s v="FMD"/>
    <m/>
    <m/>
    <m/>
    <m/>
    <m/>
    <m/>
    <m/>
    <n v="5"/>
    <n v="0"/>
    <m/>
    <n v="0"/>
    <m/>
    <n v="0"/>
    <m/>
    <n v="0"/>
    <m/>
    <n v="0"/>
    <m/>
    <n v="0"/>
    <m/>
    <n v="0"/>
    <m/>
    <n v="0"/>
    <s v="FLINTSL"/>
    <n v="30"/>
    <n v="0"/>
    <n v="31.783216783216787"/>
    <n v="0"/>
    <s v="GREEN"/>
    <s v="C01499G"/>
    <s v="FLINTSL - GREEN"/>
    <n v="25"/>
    <n v="0"/>
    <m/>
    <m/>
    <n v="0"/>
    <s v="FC"/>
    <m/>
    <m/>
    <m/>
    <m/>
    <m/>
    <m/>
    <m/>
    <n v="2"/>
    <n v="0"/>
    <m/>
    <n v="0"/>
    <m/>
    <n v="0"/>
    <m/>
    <n v="0"/>
    <m/>
    <n v="0"/>
    <m/>
    <n v="0"/>
    <m/>
    <n v="0"/>
    <m/>
    <n v="0"/>
    <s v="FLINTSL"/>
    <n v="29"/>
    <n v="0"/>
    <n v="0.19580419580419672"/>
    <n v="0"/>
    <s v="GREEN"/>
    <s v="C01531G"/>
    <s v="FLINTSL - GREEN"/>
    <n v="20"/>
    <n v="0"/>
    <m/>
    <m/>
    <n v="0"/>
    <n v="26530000021"/>
    <s v="FC"/>
    <m/>
    <m/>
    <m/>
    <m/>
    <m/>
    <m/>
    <n v="8"/>
    <e v="#N/A"/>
    <n v="4"/>
    <n v="0"/>
    <m/>
    <n v="0"/>
    <m/>
    <n v="0"/>
    <m/>
    <n v="0"/>
    <m/>
    <n v="0"/>
    <m/>
    <n v="0"/>
    <m/>
    <n v="0"/>
    <s v="FLINTSL"/>
    <n v="28"/>
    <n v="0"/>
    <n v="12.783216783216787"/>
    <n v="0"/>
    <s v="MAGENTA"/>
    <s v="B01084M"/>
    <s v="FLINTSL - MAGENTA"/>
    <n v="29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0"/>
    <n v="3.3916083916083934"/>
    <n v="0"/>
    <s v="YELLOW"/>
    <s v="B01084Y"/>
    <s v="FLINTSL - YELLOW"/>
    <n v="25"/>
    <n v="0"/>
    <m/>
    <m/>
    <n v="0"/>
    <n v="26531000030"/>
    <n v="26531000031"/>
    <n v="26531000029"/>
    <n v="26531000034"/>
    <s v="TPT"/>
    <s v="FMD"/>
    <m/>
    <m/>
    <n v="40"/>
    <e v="#N/A"/>
    <n v="130"/>
    <e v="#N/A"/>
    <n v="40"/>
    <e v="#N/A"/>
    <n v="100"/>
    <e v="#N/A"/>
    <m/>
    <n v="0"/>
    <m/>
    <n v="0"/>
    <m/>
    <n v="0"/>
    <m/>
    <n v="0"/>
    <s v="FLINTSL"/>
    <n v="29"/>
    <n v="0"/>
    <n v="332.34965034965035"/>
    <n v="0"/>
    <s v="WHITE"/>
    <s v="B01084W"/>
    <s v="FLINTSL - WHITE"/>
    <n v="30"/>
    <n v="0"/>
    <m/>
    <m/>
    <n v="0"/>
    <s v="FW"/>
    <m/>
    <m/>
    <m/>
    <m/>
    <m/>
    <m/>
    <m/>
    <n v="450"/>
    <n v="0"/>
    <m/>
    <n v="0"/>
    <m/>
    <n v="0"/>
    <m/>
    <n v="0"/>
    <m/>
    <n v="0"/>
    <m/>
    <n v="0"/>
    <m/>
    <n v="0"/>
    <m/>
    <n v="0"/>
    <s v="FLINTSL"/>
    <n v="30"/>
    <n v="0"/>
    <n v="1020.909090909091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4"/>
    <n v="1"/>
    <n v="4"/>
    <n v="2"/>
    <n v="12"/>
    <n v="260"/>
    <n v="0"/>
    <n v="0.8"/>
    <n v="0.2"/>
    <m/>
    <m/>
    <m/>
    <n v="0"/>
    <n v="628"/>
    <n v="0"/>
    <n v="0"/>
    <n v="628"/>
    <n v="628"/>
    <n v="502.40000000000003"/>
    <n v="0"/>
    <n v="125.60000000000001"/>
    <n v="0"/>
    <n v="0"/>
    <n v="0"/>
    <n v="0"/>
    <n v="0"/>
    <n v="0"/>
    <n v="0"/>
    <n v="0"/>
    <n v="0"/>
    <n v="0"/>
    <m/>
    <n v="784"/>
    <n v="1414"/>
    <n v="235"/>
    <s v="FLINTSLFLINTSLFLINTSLFLINTSLFLINTSLFLINTSLFLINTSL"/>
    <s v="+"/>
    <s v="+"/>
    <s v="+"/>
    <s v="+"/>
    <s v="+"/>
    <s v="+"/>
    <s v="+"/>
    <s v="NIL"/>
  </r>
  <r>
    <d v="2026-01-31T00:00:00"/>
    <s v="A"/>
    <x v="380"/>
    <n v="236"/>
    <n v="1432"/>
    <n v="69500"/>
    <s v="II"/>
    <s v="N"/>
    <n v="1.36"/>
    <s v="BLACK"/>
    <s v="H01270B"/>
    <s v="FLINTSL - BLACK"/>
    <n v="27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30"/>
    <n v="0"/>
    <n v="14.474358974358971"/>
    <n v="0"/>
    <s v="REFLEX BLUE"/>
    <s v="P00492B"/>
    <s v="FLINTSL - REFLEX BLUE"/>
    <n v="23"/>
    <n v="0"/>
    <s v="H01293B"/>
    <n v="16"/>
    <n v="0"/>
    <n v="26529000021"/>
    <s v="FMG"/>
    <m/>
    <m/>
    <m/>
    <m/>
    <m/>
    <m/>
    <n v="8"/>
    <e v="#N/A"/>
    <n v="6"/>
    <n v="0"/>
    <m/>
    <n v="0"/>
    <m/>
    <n v="0"/>
    <m/>
    <n v="0"/>
    <m/>
    <n v="0"/>
    <m/>
    <n v="0"/>
    <m/>
    <n v="0"/>
    <s v="FLINTSL"/>
    <n v="23"/>
    <n v="0"/>
    <n v="41.474358974358978"/>
    <n v="0"/>
    <s v="RED"/>
    <s v="H01270R"/>
    <s v="FLINTSL - RED"/>
    <n v="30"/>
    <n v="0"/>
    <m/>
    <m/>
    <n v="0"/>
    <s v="FMG"/>
    <n v="26529000026"/>
    <n v="26531000005"/>
    <s v="FK"/>
    <m/>
    <m/>
    <m/>
    <m/>
    <n v="6"/>
    <n v="0"/>
    <n v="2"/>
    <e v="#N/A"/>
    <n v="6"/>
    <e v="#N/A"/>
    <n v="0.2"/>
    <n v="0"/>
    <m/>
    <n v="0"/>
    <m/>
    <n v="0"/>
    <m/>
    <n v="0"/>
    <m/>
    <n v="0"/>
    <s v="FLINTSL"/>
    <n v="26"/>
    <n v="0"/>
    <n v="29.674358974358974"/>
    <n v="0"/>
    <s v="CYAN"/>
    <s v="P00493C"/>
    <s v="FLINTSL - CYAN"/>
    <n v="26"/>
    <n v="0"/>
    <s v="H01266C"/>
    <n v="28"/>
    <n v="0"/>
    <s v="FC"/>
    <s v="FMD"/>
    <m/>
    <m/>
    <m/>
    <m/>
    <m/>
    <m/>
    <n v="60"/>
    <n v="0"/>
    <n v="10"/>
    <n v="0"/>
    <m/>
    <n v="0"/>
    <m/>
    <n v="0"/>
    <m/>
    <n v="0"/>
    <m/>
    <n v="0"/>
    <m/>
    <n v="0"/>
    <m/>
    <n v="0"/>
    <s v="FLINTSL"/>
    <n v="27"/>
    <n v="0"/>
    <n v="188.79487179487177"/>
    <n v="0"/>
    <s v="MAGENTA"/>
    <s v="H01270M"/>
    <s v="FLINTSL - MAGENTA"/>
    <n v="30"/>
    <n v="0"/>
    <m/>
    <m/>
    <n v="0"/>
    <s v="FMD"/>
    <m/>
    <m/>
    <m/>
    <m/>
    <m/>
    <m/>
    <m/>
    <n v="6"/>
    <n v="0"/>
    <m/>
    <n v="0"/>
    <m/>
    <n v="0"/>
    <m/>
    <n v="0"/>
    <m/>
    <n v="0"/>
    <m/>
    <n v="0"/>
    <m/>
    <n v="0"/>
    <m/>
    <n v="0"/>
    <s v="FLINTSL"/>
    <n v="26"/>
    <n v="0"/>
    <n v="21.474358974358971"/>
    <n v="0"/>
    <s v="YELLOW"/>
    <s v="H01270Y"/>
    <s v="FLINTSL - YELLOW"/>
    <n v="29"/>
    <n v="0"/>
    <m/>
    <m/>
    <n v="0"/>
    <n v="26530000030"/>
    <m/>
    <m/>
    <m/>
    <m/>
    <m/>
    <m/>
    <m/>
    <n v="15"/>
    <e v="#N/A"/>
    <m/>
    <n v="0"/>
    <m/>
    <n v="0"/>
    <m/>
    <n v="0"/>
    <m/>
    <n v="0"/>
    <m/>
    <n v="0"/>
    <m/>
    <n v="0"/>
    <m/>
    <n v="0"/>
    <s v="FLINTSL"/>
    <n v="26"/>
    <n v="0"/>
    <n v="31.769230769230774"/>
    <n v="0"/>
    <s v="WHITE"/>
    <s v="H01270W"/>
    <s v="FLINTSL - WHITE"/>
    <n v="30"/>
    <n v="0"/>
    <m/>
    <m/>
    <n v="0"/>
    <s v="FW"/>
    <m/>
    <m/>
    <m/>
    <m/>
    <m/>
    <m/>
    <m/>
    <n v="150"/>
    <n v="0"/>
    <m/>
    <n v="0"/>
    <m/>
    <n v="0"/>
    <m/>
    <n v="0"/>
    <m/>
    <n v="0"/>
    <m/>
    <n v="0"/>
    <m/>
    <n v="0"/>
    <m/>
    <n v="0"/>
    <s v="FLINTSL"/>
    <n v="24"/>
    <n v="0"/>
    <n v="362.5384615384615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40"/>
    <n v="5"/>
    <n v="6"/>
    <n v="90"/>
    <n v="0"/>
    <n v="0.8"/>
    <n v="0.2"/>
    <m/>
    <m/>
    <m/>
    <n v="0"/>
    <n v="358"/>
    <n v="0"/>
    <n v="0"/>
    <n v="358"/>
    <n v="358"/>
    <n v="286.40000000000003"/>
    <n v="0"/>
    <n v="71.600000000000009"/>
    <n v="0"/>
    <n v="0"/>
    <n v="0"/>
    <n v="0"/>
    <n v="0"/>
    <n v="0"/>
    <n v="0"/>
    <n v="0"/>
    <n v="0"/>
    <n v="0"/>
    <m/>
    <n v="275.2"/>
    <n v="690.19999999999993"/>
    <n v="236"/>
    <s v="FLINTSLFLINTSLFLINTSLFLINTSLFLINTSLFLINTSLFLINTSL"/>
    <s v="+"/>
    <s v="+"/>
    <s v="+"/>
    <s v="+"/>
    <s v="+"/>
    <s v="+"/>
    <s v="+"/>
    <s v="NIL"/>
  </r>
  <r>
    <d v="2026-01-31T00:00:00"/>
    <s v="A"/>
    <x v="381"/>
    <s v="TL145"/>
    <n v="72"/>
    <n v="3300"/>
    <s v="I"/>
    <s v="N"/>
    <n v="1.8"/>
    <s v="BLACK"/>
    <s v="F00893B"/>
    <s v="ToyoLi - BLACK"/>
    <n v="4"/>
    <n v="0"/>
    <s v="P00461B"/>
    <n v="13"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0"/>
    <n v="0"/>
    <n v="3.8947368421052637"/>
    <n v="0"/>
    <s v="REFLEX BLUE"/>
    <s v="B01015B"/>
    <s v="ToyoLi - REFLEX BLUE"/>
    <n v="15"/>
    <n v="0"/>
    <m/>
    <m/>
    <n v="0"/>
    <s v="Z822"/>
    <s v="R39"/>
    <s v="F640"/>
    <s v="R1205"/>
    <s v="RTMD"/>
    <m/>
    <m/>
    <m/>
    <n v="3"/>
    <n v="0"/>
    <n v="5"/>
    <n v="0"/>
    <n v="5"/>
    <n v="0"/>
    <n v="4"/>
    <n v="0"/>
    <n v="6"/>
    <n v="0"/>
    <m/>
    <n v="0"/>
    <m/>
    <n v="0"/>
    <m/>
    <n v="0"/>
    <s v="ToyoLi"/>
    <n v="20"/>
    <n v="0"/>
    <n v="20.842105263157897"/>
    <n v="0"/>
    <s v="GREEN"/>
    <m/>
    <s v="ToyoLi - GREEN"/>
    <m/>
    <n v="0"/>
    <m/>
    <m/>
    <n v="0"/>
    <s v="RTMD"/>
    <s v="F640"/>
    <s v="F53"/>
    <s v="F23T"/>
    <s v="R39"/>
    <m/>
    <m/>
    <m/>
    <n v="10"/>
    <n v="0"/>
    <n v="5"/>
    <n v="0"/>
    <n v="0.2"/>
    <n v="0"/>
    <n v="0.3"/>
    <n v="0"/>
    <n v="0.1"/>
    <n v="0"/>
    <m/>
    <n v="0"/>
    <m/>
    <n v="0"/>
    <m/>
    <n v="0"/>
    <s v="ToyoLi"/>
    <n v="20"/>
    <n v="0"/>
    <n v="5.0736842105263165"/>
    <n v="0"/>
    <s v="CYAN"/>
    <s v="B01065C"/>
    <s v="ToyoLi - CYAN"/>
    <n v="29"/>
    <n v="0"/>
    <m/>
    <m/>
    <n v="0"/>
    <s v="R39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31"/>
    <n v="0"/>
    <n v="1.8947368421052602"/>
    <n v="0"/>
    <s v="MAGENTA"/>
    <s v="B01065M"/>
    <s v="ToyoLi - MAGENTA"/>
    <n v="26"/>
    <n v="0"/>
    <m/>
    <m/>
    <n v="0"/>
    <s v="RTMD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30"/>
    <n v="0"/>
    <n v="5.7368421052631575"/>
    <n v="0"/>
    <s v="YELLOW"/>
    <s v="B01065Y"/>
    <s v="ToyoLi - YELLOW"/>
    <n v="33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0"/>
    <n v="11"/>
    <n v="0"/>
    <s v="MEDIUM"/>
    <s v="G00400M"/>
    <s v="ToyoLi - MEDIUM"/>
    <n v="11"/>
    <n v="0"/>
    <m/>
    <m/>
    <n v="0"/>
    <s v="F640"/>
    <s v="RTMD"/>
    <s v="F23T"/>
    <m/>
    <m/>
    <m/>
    <m/>
    <m/>
    <n v="5"/>
    <n v="0"/>
    <n v="5"/>
    <n v="0"/>
    <n v="1"/>
    <n v="0"/>
    <m/>
    <n v="0"/>
    <m/>
    <n v="0"/>
    <m/>
    <n v="0"/>
    <m/>
    <n v="0"/>
    <m/>
    <n v="0"/>
    <s v="ToyoLi"/>
    <n v="21"/>
    <n v="0"/>
    <n v="6.6842105263157876"/>
    <n v="0"/>
    <s v="WHITE"/>
    <m/>
    <s v="ToyoLi - WHITE"/>
    <m/>
    <n v="0"/>
    <m/>
    <m/>
    <n v="0"/>
    <s v="F640"/>
    <s v="HSLAS"/>
    <m/>
    <m/>
    <m/>
    <m/>
    <m/>
    <m/>
    <n v="20"/>
    <n v="0"/>
    <n v="4.42"/>
    <n v="0"/>
    <m/>
    <n v="0"/>
    <m/>
    <n v="0"/>
    <m/>
    <n v="0"/>
    <m/>
    <n v="0"/>
    <m/>
    <n v="0"/>
    <m/>
    <n v="0"/>
    <s v="ToyoLi"/>
    <n v="20"/>
    <n v="0"/>
    <n v="13.893684210526317"/>
    <n v="0"/>
    <n v="2"/>
    <n v="3"/>
    <n v="10"/>
    <n v="2"/>
    <n v="5"/>
    <n v="0"/>
    <n v="6"/>
    <n v="10"/>
    <n v="0.3"/>
    <m/>
    <m/>
    <n v="0.5"/>
    <n v="0.2"/>
    <n v="0"/>
    <n v="36"/>
    <n v="0"/>
    <n v="0"/>
    <n v="36"/>
    <n v="36"/>
    <n v="10.799999999999999"/>
    <n v="0"/>
    <n v="0"/>
    <n v="0"/>
    <n v="0"/>
    <n v="0"/>
    <n v="18"/>
    <n v="0"/>
    <n v="7.2"/>
    <n v="0"/>
    <n v="0"/>
    <n v="0"/>
    <n v="0"/>
    <m/>
    <n v="86.02"/>
    <n v="69.02000000000001"/>
    <s v="TL145"/>
    <s v="ToyoLiToyoLiToyoLiToyoLiToyoLiToyoLiToyoLiToyoLi"/>
    <s v="+"/>
    <s v="+"/>
    <s v="+"/>
    <s v="+"/>
    <s v="+"/>
    <s v="+"/>
    <s v="+"/>
    <s v="+"/>
  </r>
  <r>
    <d v="2026-01-31T00:00:00"/>
    <s v="A"/>
    <x v="382"/>
    <s v="TL146"/>
    <n v="314"/>
    <n v="18200"/>
    <s v="I"/>
    <s v="N"/>
    <n v="1.43"/>
    <s v="BLACK"/>
    <s v="H01360B"/>
    <s v="ToyoLi - BLACK"/>
    <n v="20"/>
    <n v="0"/>
    <m/>
    <m/>
    <n v="0"/>
    <s v="R92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2"/>
    <n v="0"/>
    <n v="10.379746835443036"/>
    <n v="0"/>
    <s v="REFLEX BLUE"/>
    <s v="B00415B"/>
    <s v="ToyoLi - REFLEX BLUE"/>
    <n v="10"/>
    <n v="0"/>
    <m/>
    <m/>
    <n v="0"/>
    <s v="RTMD"/>
    <s v="R39"/>
    <s v="F121"/>
    <s v="R1205"/>
    <m/>
    <m/>
    <m/>
    <m/>
    <n v="5"/>
    <n v="0"/>
    <n v="4"/>
    <n v="0"/>
    <n v="5"/>
    <n v="0"/>
    <n v="7"/>
    <n v="0"/>
    <m/>
    <n v="0"/>
    <m/>
    <n v="0"/>
    <m/>
    <n v="0"/>
    <m/>
    <n v="0"/>
    <s v="ToyoLi"/>
    <n v="37"/>
    <n v="0"/>
    <n v="8.3544303797468373"/>
    <n v="0"/>
    <s v="RED"/>
    <s v="F00892R"/>
    <s v="ToyoLi - RED"/>
    <n v="12"/>
    <n v="0"/>
    <m/>
    <m/>
    <n v="0"/>
    <s v="F53"/>
    <s v="F121"/>
    <m/>
    <m/>
    <m/>
    <m/>
    <m/>
    <m/>
    <n v="11"/>
    <n v="0"/>
    <n v="13"/>
    <n v="0"/>
    <m/>
    <n v="0"/>
    <m/>
    <n v="0"/>
    <m/>
    <n v="0"/>
    <m/>
    <n v="0"/>
    <m/>
    <n v="0"/>
    <m/>
    <n v="0"/>
    <s v="ToyoLi"/>
    <n v="25"/>
    <n v="0"/>
    <n v="25.354430379746837"/>
    <n v="0"/>
    <s v="GREEN"/>
    <s v="G00416G"/>
    <s v="ToyoLi - GREEN"/>
    <n v="15"/>
    <n v="0"/>
    <m/>
    <m/>
    <n v="0"/>
    <s v="F23T"/>
    <s v="R39"/>
    <m/>
    <m/>
    <m/>
    <m/>
    <m/>
    <m/>
    <n v="5"/>
    <n v="0"/>
    <n v="3"/>
    <n v="0"/>
    <m/>
    <n v="0"/>
    <m/>
    <n v="0"/>
    <m/>
    <n v="0"/>
    <m/>
    <n v="0"/>
    <m/>
    <n v="0"/>
    <m/>
    <n v="0"/>
    <s v="ToyoLi"/>
    <n v="22"/>
    <n v="0"/>
    <n v="7.3797468354430364"/>
    <n v="0"/>
    <s v="ORANGE"/>
    <m/>
    <s v="ToyoLi - ORANGE"/>
    <m/>
    <n v="0"/>
    <m/>
    <m/>
    <n v="0"/>
    <s v="F23T"/>
    <s v="F53"/>
    <s v="RTMD"/>
    <m/>
    <m/>
    <m/>
    <m/>
    <m/>
    <n v="18"/>
    <n v="0"/>
    <n v="9"/>
    <n v="0"/>
    <n v="7"/>
    <n v="0"/>
    <m/>
    <n v="0"/>
    <m/>
    <n v="0"/>
    <m/>
    <n v="0"/>
    <m/>
    <n v="0"/>
    <m/>
    <n v="0"/>
    <s v="ToyoLi"/>
    <n v="20"/>
    <n v="0"/>
    <n v="42.708860759493675"/>
    <n v="0"/>
    <s v="YELLOW"/>
    <s v="H01360Y"/>
    <s v="ToyoLi - YELLOW"/>
    <n v="22"/>
    <n v="0"/>
    <m/>
    <m/>
    <n v="0"/>
    <s v="F23T"/>
    <m/>
    <m/>
    <m/>
    <m/>
    <m/>
    <m/>
    <m/>
    <n v="4"/>
    <n v="0"/>
    <m/>
    <n v="0"/>
    <m/>
    <n v="0"/>
    <m/>
    <n v="0"/>
    <m/>
    <n v="0"/>
    <m/>
    <n v="0"/>
    <m/>
    <n v="0"/>
    <m/>
    <n v="0"/>
    <s v="ToyoLi"/>
    <n v="26"/>
    <n v="0"/>
    <n v="4.7848101265822791"/>
    <n v="0"/>
    <s v="GOLD"/>
    <s v="F00892G"/>
    <s v="ToyoLi - GOLD"/>
    <n v="19"/>
    <n v="0"/>
    <m/>
    <m/>
    <n v="0"/>
    <s v="TLSI"/>
    <s v="F23T"/>
    <m/>
    <m/>
    <m/>
    <m/>
    <m/>
    <m/>
    <n v="14"/>
    <n v="0"/>
    <n v="5"/>
    <n v="0"/>
    <m/>
    <n v="0"/>
    <m/>
    <n v="0"/>
    <m/>
    <n v="0"/>
    <m/>
    <n v="0"/>
    <m/>
    <n v="0"/>
    <m/>
    <n v="0"/>
    <s v="ToyoLi"/>
    <n v="25"/>
    <n v="0"/>
    <n v="24.164556962025316"/>
    <n v="0"/>
    <s v="WHITE"/>
    <s v="H01360W"/>
    <s v="ToyoLi - WHITE"/>
    <n v="27"/>
    <n v="0"/>
    <m/>
    <m/>
    <n v="0"/>
    <s v="F640"/>
    <s v="HSLAS"/>
    <m/>
    <m/>
    <m/>
    <m/>
    <m/>
    <m/>
    <n v="50"/>
    <n v="0"/>
    <n v="6.85"/>
    <n v="0"/>
    <m/>
    <n v="0"/>
    <m/>
    <n v="0"/>
    <m/>
    <n v="0"/>
    <m/>
    <n v="0"/>
    <m/>
    <n v="0"/>
    <m/>
    <n v="0"/>
    <s v="ToyoLi"/>
    <n v="30"/>
    <n v="0"/>
    <n v="93.723417721518985"/>
    <n v="0"/>
    <n v="4"/>
    <n v="9"/>
    <n v="9"/>
    <n v="4"/>
    <n v="18"/>
    <n v="3"/>
    <n v="7"/>
    <n v="25"/>
    <n v="0.3"/>
    <m/>
    <m/>
    <n v="0.5"/>
    <n v="0.2"/>
    <n v="0"/>
    <n v="126"/>
    <n v="0"/>
    <n v="0"/>
    <n v="126"/>
    <n v="126"/>
    <n v="37.799999999999997"/>
    <n v="0"/>
    <n v="0"/>
    <n v="0"/>
    <n v="0"/>
    <n v="0"/>
    <n v="63"/>
    <n v="0"/>
    <n v="25.200000000000003"/>
    <n v="0"/>
    <n v="0"/>
    <n v="0"/>
    <n v="0"/>
    <m/>
    <n v="172.85"/>
    <n v="216.85000000000002"/>
    <s v="TL146"/>
    <s v="ToyoLiToyoLiToyoLiToyoLiToyoLiToyoLiToyoLiToyoLi"/>
    <s v="+"/>
    <s v="+"/>
    <s v="+"/>
    <s v="+"/>
    <s v="+"/>
    <s v="+"/>
    <s v="+"/>
    <s v="+"/>
  </r>
  <r>
    <d v="2026-01-31T00:00:00"/>
    <s v="B"/>
    <x v="383"/>
    <s v="TL147"/>
    <n v="447"/>
    <n v="20800"/>
    <s v="I"/>
    <s v="N"/>
    <n v="1.39"/>
    <s v="BLACK"/>
    <s v="H01365B"/>
    <s v="ToyoLi - BLACK"/>
    <n v="22"/>
    <n v="0"/>
    <m/>
    <m/>
    <n v="0"/>
    <s v="R92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6"/>
    <n v="0"/>
    <n v="6.5714285714285694"/>
    <n v="0"/>
    <s v="REFLEX BLUE"/>
    <m/>
    <s v="ToyoLi - REFLEX BLUE"/>
    <m/>
    <n v="0"/>
    <m/>
    <m/>
    <n v="0"/>
    <s v="R1205"/>
    <s v="R39"/>
    <m/>
    <m/>
    <m/>
    <m/>
    <m/>
    <m/>
    <n v="40"/>
    <n v="0"/>
    <n v="10"/>
    <n v="0"/>
    <m/>
    <n v="0"/>
    <m/>
    <n v="0"/>
    <m/>
    <n v="0"/>
    <m/>
    <n v="0"/>
    <m/>
    <n v="0"/>
    <m/>
    <n v="0"/>
    <s v="ToyoLi"/>
    <n v="28"/>
    <n v="0"/>
    <n v="59.142857142857139"/>
    <n v="0"/>
    <s v="GREEN"/>
    <m/>
    <s v="ToyoLi - GREEN"/>
    <m/>
    <n v="0"/>
    <m/>
    <m/>
    <n v="0"/>
    <s v="F23T"/>
    <s v="R79"/>
    <s v="R39"/>
    <s v="RTMD"/>
    <m/>
    <m/>
    <m/>
    <m/>
    <n v="14"/>
    <n v="0"/>
    <n v="4"/>
    <n v="0"/>
    <n v="2"/>
    <n v="0"/>
    <n v="7"/>
    <n v="0"/>
    <m/>
    <n v="0"/>
    <m/>
    <n v="0"/>
    <m/>
    <n v="0"/>
    <m/>
    <n v="0"/>
    <s v="ToyoLi"/>
    <n v="34"/>
    <n v="0"/>
    <n v="15.285714285714285"/>
    <n v="0"/>
    <s v="CYAN"/>
    <s v="H01360C"/>
    <s v="ToyoLi - CYAN"/>
    <n v="18"/>
    <n v="0"/>
    <m/>
    <m/>
    <n v="0"/>
    <s v="RTMD"/>
    <m/>
    <m/>
    <m/>
    <m/>
    <m/>
    <m/>
    <m/>
    <n v="5"/>
    <n v="0"/>
    <m/>
    <n v="0"/>
    <m/>
    <n v="0"/>
    <m/>
    <n v="0"/>
    <m/>
    <n v="0"/>
    <m/>
    <n v="0"/>
    <m/>
    <n v="0"/>
    <m/>
    <n v="0"/>
    <s v="ToyoLi"/>
    <n v="25"/>
    <n v="0"/>
    <n v="7.2857142857142847"/>
    <n v="0"/>
    <s v="MAGENTA"/>
    <s v="H01360M"/>
    <s v="ToyoLi - MAGENTA"/>
    <n v="30"/>
    <n v="0"/>
    <m/>
    <m/>
    <n v="0"/>
    <s v="F121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7"/>
    <n v="0"/>
    <n v="9.7142857142857153"/>
    <n v="0"/>
    <s v="YELLOW"/>
    <s v="H01365Y"/>
    <s v="ToyoLi - YELLOW"/>
    <n v="26"/>
    <n v="0"/>
    <m/>
    <m/>
    <n v="0"/>
    <s v="RTMD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4.7142857142857153"/>
    <n v="0"/>
    <s v="WHITE"/>
    <s v="H01365W"/>
    <s v="ToyoLi - WHITE"/>
    <n v="30"/>
    <n v="0"/>
    <m/>
    <m/>
    <n v="0"/>
    <s v="F640"/>
    <s v="HSLAS"/>
    <m/>
    <m/>
    <m/>
    <m/>
    <m/>
    <m/>
    <n v="80"/>
    <n v="0"/>
    <n v="7.08"/>
    <n v="0"/>
    <m/>
    <n v="0"/>
    <m/>
    <n v="0"/>
    <m/>
    <n v="0"/>
    <m/>
    <n v="0"/>
    <m/>
    <n v="0"/>
    <m/>
    <n v="0"/>
    <s v="ToyoLi"/>
    <n v="30"/>
    <n v="0"/>
    <n v="161.36571428571426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20"/>
    <n v="12"/>
    <n v="5"/>
    <n v="2"/>
    <n v="2"/>
    <n v="40"/>
    <n v="0"/>
    <n v="0.3"/>
    <m/>
    <m/>
    <n v="0.5"/>
    <n v="0.2"/>
    <n v="0"/>
    <n v="156"/>
    <n v="0"/>
    <n v="0"/>
    <n v="156"/>
    <n v="156"/>
    <n v="46.8"/>
    <n v="0"/>
    <n v="0"/>
    <n v="0"/>
    <n v="0"/>
    <n v="0"/>
    <n v="78"/>
    <n v="0"/>
    <n v="31.200000000000003"/>
    <n v="0"/>
    <n v="0"/>
    <n v="0"/>
    <n v="0"/>
    <m/>
    <n v="180.08"/>
    <n v="264.08"/>
    <s v="TL147"/>
    <s v="ToyoLiToyoLiToyoLiToyoLiToyoLiToyoLiToyoLi"/>
    <s v="+"/>
    <s v="+"/>
    <s v="+"/>
    <s v="+"/>
    <s v="+"/>
    <s v="+"/>
    <s v="+"/>
    <s v="NIL"/>
  </r>
  <r>
    <d v="2026-01-31T00:00:00"/>
    <s v="B"/>
    <x v="384"/>
    <s v="TL148"/>
    <n v="64"/>
    <n v="5400"/>
    <s v="I"/>
    <s v="N"/>
    <n v="1.3"/>
    <s v="BLACK"/>
    <s v="B01058B"/>
    <s v="ToyoLi - BLACK"/>
    <n v="26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0"/>
    <n v="5.8787878787878789"/>
    <n v="0"/>
    <s v="RED"/>
    <s v="H01365R"/>
    <s v="ToyoLi - RED"/>
    <n v="5"/>
    <n v="0"/>
    <m/>
    <m/>
    <n v="0"/>
    <s v="F32"/>
    <m/>
    <m/>
    <m/>
    <m/>
    <m/>
    <m/>
    <m/>
    <n v="12"/>
    <n v="0"/>
    <m/>
    <n v="0"/>
    <m/>
    <n v="0"/>
    <m/>
    <n v="0"/>
    <m/>
    <n v="0"/>
    <m/>
    <n v="0"/>
    <m/>
    <n v="0"/>
    <m/>
    <n v="0"/>
    <s v="ToyoLi"/>
    <n v="22"/>
    <n v="0"/>
    <n v="6.6363636363636367"/>
    <n v="0"/>
    <s v="BLACK"/>
    <s v="C01287B"/>
    <s v="ToyoLi - BLACK"/>
    <n v="8"/>
    <n v="0"/>
    <s v="P00480B"/>
    <n v="19"/>
    <n v="0"/>
    <s v="F121"/>
    <s v="R92"/>
    <m/>
    <m/>
    <m/>
    <m/>
    <m/>
    <m/>
    <n v="2"/>
    <n v="0"/>
    <n v="3"/>
    <n v="0"/>
    <m/>
    <n v="0"/>
    <m/>
    <n v="0"/>
    <m/>
    <n v="0"/>
    <m/>
    <n v="0"/>
    <m/>
    <n v="0"/>
    <m/>
    <n v="0"/>
    <s v="ToyoLi"/>
    <n v="25"/>
    <n v="0"/>
    <n v="10.878787878787875"/>
    <n v="0"/>
    <s v="CYAN"/>
    <s v="B01058C"/>
    <s v="ToyoLi - CYAN"/>
    <n v="25"/>
    <n v="0"/>
    <m/>
    <m/>
    <n v="0"/>
    <s v="R39"/>
    <m/>
    <m/>
    <m/>
    <m/>
    <m/>
    <m/>
    <m/>
    <n v="3"/>
    <n v="0"/>
    <m/>
    <n v="0"/>
    <m/>
    <n v="0"/>
    <m/>
    <n v="0"/>
    <m/>
    <n v="0"/>
    <m/>
    <n v="0"/>
    <m/>
    <n v="0"/>
    <m/>
    <n v="0"/>
    <s v="ToyoLi"/>
    <n v="28"/>
    <n v="0"/>
    <n v="3.8787878787878789"/>
    <n v="0"/>
    <s v="MAGENTA"/>
    <s v="B01058M"/>
    <s v="ToyoLi - MAGENTA"/>
    <n v="27"/>
    <n v="0"/>
    <m/>
    <m/>
    <n v="0"/>
    <s v="F121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6"/>
    <n v="0"/>
    <n v="6.8787878787878753"/>
    <n v="0"/>
    <s v="YELLOW"/>
    <s v="B01058Y"/>
    <s v="ToyoLi - YELLOW"/>
    <n v="28"/>
    <n v="0"/>
    <m/>
    <m/>
    <n v="0"/>
    <s v="F23T"/>
    <m/>
    <m/>
    <m/>
    <m/>
    <m/>
    <m/>
    <m/>
    <n v="2"/>
    <n v="0"/>
    <m/>
    <n v="0"/>
    <m/>
    <n v="0"/>
    <m/>
    <n v="0"/>
    <m/>
    <n v="0"/>
    <m/>
    <n v="0"/>
    <m/>
    <n v="0"/>
    <m/>
    <n v="0"/>
    <s v="ToyoLi"/>
    <n v="28"/>
    <n v="0"/>
    <n v="5.8787878787878753"/>
    <n v="0"/>
    <s v="GOLD"/>
    <s v="H01365G"/>
    <s v="ToyoLi - GOLD"/>
    <n v="25"/>
    <n v="0"/>
    <m/>
    <m/>
    <n v="0"/>
    <s v="TLGO"/>
    <s v="F32"/>
    <m/>
    <m/>
    <m/>
    <m/>
    <m/>
    <m/>
    <n v="8"/>
    <n v="0"/>
    <n v="0.2"/>
    <n v="0"/>
    <m/>
    <n v="0"/>
    <m/>
    <n v="0"/>
    <m/>
    <n v="0"/>
    <m/>
    <n v="0"/>
    <m/>
    <n v="0"/>
    <m/>
    <n v="0"/>
    <s v="ToyoLi"/>
    <n v="30"/>
    <n v="0"/>
    <n v="7.0787878787878782"/>
    <n v="0"/>
    <s v="WHITE"/>
    <s v="B01058W"/>
    <s v="ToyoLi - WHITE"/>
    <n v="30"/>
    <n v="0"/>
    <m/>
    <m/>
    <n v="0"/>
    <s v="F640"/>
    <s v="HSLAS"/>
    <m/>
    <m/>
    <m/>
    <m/>
    <m/>
    <m/>
    <n v="30"/>
    <n v="0"/>
    <n v="4.75"/>
    <n v="0"/>
    <m/>
    <n v="0"/>
    <m/>
    <n v="0"/>
    <m/>
    <n v="0"/>
    <m/>
    <n v="0"/>
    <m/>
    <n v="0"/>
    <m/>
    <n v="0"/>
    <s v="ToyoLi"/>
    <n v="30"/>
    <n v="0"/>
    <n v="63.840909090909093"/>
    <n v="0"/>
    <n v="2"/>
    <n v="6"/>
    <n v="2"/>
    <n v="2"/>
    <n v="2"/>
    <n v="2"/>
    <n v="2"/>
    <n v="15"/>
    <n v="0.3"/>
    <m/>
    <m/>
    <n v="0.5"/>
    <n v="0.2"/>
    <n v="0"/>
    <n v="64"/>
    <n v="0"/>
    <n v="0"/>
    <n v="64"/>
    <n v="64"/>
    <n v="19.2"/>
    <n v="0"/>
    <n v="0"/>
    <n v="0"/>
    <n v="0"/>
    <n v="0"/>
    <n v="32"/>
    <n v="0"/>
    <n v="12.8"/>
    <n v="0"/>
    <n v="0"/>
    <n v="0"/>
    <n v="0"/>
    <m/>
    <n v="66.95"/>
    <n v="110.94999999999999"/>
    <s v="TL148"/>
    <s v="ToyoLiToyoLiToyoLiToyoLiToyoLiToyoLiToyoLiToyoLi"/>
    <s v="+"/>
    <s v="+"/>
    <s v="+"/>
    <s v="+"/>
    <s v="+"/>
    <s v="+"/>
    <s v="+"/>
    <s v="+"/>
  </r>
  <r>
    <d v="2026-01-31T00:00:00"/>
    <s v="B"/>
    <x v="385"/>
    <s v="TL148"/>
    <n v="62"/>
    <n v="5300"/>
    <s v="I"/>
    <s v="N"/>
    <n v="1.18"/>
    <s v="BLACK"/>
    <s v="F00897B"/>
    <s v="ToyoLi - BLACK"/>
    <n v="24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0"/>
    <n v="9.1666666666666643"/>
    <n v="0"/>
    <s v="BLACK"/>
    <s v="F00897B"/>
    <s v="ToyoLi - BLACK"/>
    <n v="22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0"/>
    <n v="7.1666666666666643"/>
    <n v="0"/>
    <s v="BLACK"/>
    <s v="F00897B"/>
    <s v="ToyoLi - BLACK"/>
    <n v="25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0"/>
    <n v="10.166666666666664"/>
    <n v="0"/>
    <s v="CYAN"/>
    <s v="F0087C"/>
    <s v="ToyoLi - CYAN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0"/>
    <n v="3.1666666666666643"/>
    <n v="0"/>
    <s v="MAGENTA"/>
    <s v="F00897M"/>
    <s v="ToyoLi - MAGENTA"/>
    <n v="26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0"/>
    <n v="1.1666666666666643"/>
    <n v="0"/>
    <s v="YELLOW"/>
    <s v="F00897Y"/>
    <s v="ToyoLi - YELLOW"/>
    <n v="28"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0"/>
    <n v="8.1666666666666643"/>
    <n v="0"/>
    <s v="GOLD"/>
    <s v="F00897G"/>
    <s v="ToyoLi - GOLD"/>
    <n v="30"/>
    <n v="0"/>
    <m/>
    <m/>
    <n v="0"/>
    <s v="TLGO"/>
    <s v="F32"/>
    <m/>
    <m/>
    <m/>
    <m/>
    <m/>
    <m/>
    <n v="5"/>
    <n v="0"/>
    <n v="0.3"/>
    <n v="0"/>
    <m/>
    <n v="0"/>
    <m/>
    <n v="0"/>
    <m/>
    <n v="0"/>
    <m/>
    <n v="0"/>
    <m/>
    <n v="0"/>
    <m/>
    <n v="0"/>
    <s v="ToyoLi"/>
    <n v="31"/>
    <n v="0"/>
    <n v="9.4666666666666615"/>
    <n v="0"/>
    <s v="WHITE"/>
    <s v="F00897W"/>
    <s v="ToyoLi - WHITE"/>
    <n v="30"/>
    <n v="0"/>
    <m/>
    <m/>
    <n v="0"/>
    <s v="F640"/>
    <s v="HSLAS"/>
    <m/>
    <m/>
    <m/>
    <m/>
    <m/>
    <m/>
    <n v="20"/>
    <n v="0"/>
    <n v="3.94"/>
    <n v="0"/>
    <m/>
    <n v="0"/>
    <m/>
    <n v="0"/>
    <m/>
    <n v="0"/>
    <m/>
    <n v="0"/>
    <m/>
    <n v="0"/>
    <m/>
    <n v="0"/>
    <s v="ToyoLi"/>
    <n v="30"/>
    <n v="0"/>
    <n v="49.773333333333341"/>
    <n v="0"/>
    <n v="2"/>
    <n v="2"/>
    <n v="2"/>
    <n v="2"/>
    <n v="2"/>
    <n v="2"/>
    <n v="2"/>
    <n v="10"/>
    <n v="0.3"/>
    <m/>
    <m/>
    <n v="0.5"/>
    <n v="0.2"/>
    <n v="0"/>
    <n v="62"/>
    <n v="0"/>
    <n v="0"/>
    <n v="62"/>
    <n v="62"/>
    <n v="18.599999999999998"/>
    <n v="0"/>
    <n v="0"/>
    <n v="0"/>
    <n v="0"/>
    <n v="0"/>
    <n v="31"/>
    <n v="0"/>
    <n v="12.4"/>
    <n v="0"/>
    <n v="0"/>
    <n v="0"/>
    <n v="0"/>
    <m/>
    <n v="29.240000000000002"/>
    <n v="98.239999999999981"/>
    <s v="TL148"/>
    <s v="ToyoLiToyoLiToyoLiToyoLiToyoLiToyoLiToyoLiToyoLi"/>
    <s v="+"/>
    <s v="+"/>
    <s v="+"/>
    <s v="+"/>
    <s v="+"/>
    <s v="+"/>
    <s v="+"/>
    <s v="+"/>
  </r>
  <r>
    <d v="2026-01-31T00:00:00"/>
    <s v="B"/>
    <x v="386"/>
    <s v="TL149"/>
    <n v="22"/>
    <n v="1400"/>
    <s v="I"/>
    <s v="N"/>
    <n v="0.52"/>
    <s v="BLACK"/>
    <s v="F00893B"/>
    <s v="ToyoLi - BLACK"/>
    <n v="20"/>
    <n v="0"/>
    <m/>
    <m/>
    <n v="0"/>
    <s v="R92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3"/>
    <n v="0"/>
    <n v="13.333333333333329"/>
    <n v="0"/>
    <s v="RED"/>
    <s v="F00893R"/>
    <s v="ToyoLi - RED"/>
    <n v="20"/>
    <n v="0"/>
    <m/>
    <m/>
    <n v="0"/>
    <s v="F121"/>
    <m/>
    <m/>
    <m/>
    <m/>
    <m/>
    <m/>
    <m/>
    <n v="10"/>
    <n v="0"/>
    <m/>
    <n v="0"/>
    <m/>
    <n v="0"/>
    <m/>
    <n v="0"/>
    <m/>
    <n v="0"/>
    <m/>
    <n v="0"/>
    <m/>
    <n v="0"/>
    <m/>
    <n v="0"/>
    <s v="ToyoLi"/>
    <n v="27"/>
    <n v="0"/>
    <n v="13.333333333333329"/>
    <n v="0"/>
    <s v="YELLOW"/>
    <s v="F00893Y"/>
    <s v="ToyoLi - YELLOW"/>
    <n v="25"/>
    <n v="0"/>
    <m/>
    <m/>
    <n v="0"/>
    <s v="F23T"/>
    <m/>
    <m/>
    <m/>
    <m/>
    <m/>
    <m/>
    <m/>
    <n v="8"/>
    <n v="0"/>
    <m/>
    <n v="0"/>
    <m/>
    <n v="0"/>
    <m/>
    <n v="0"/>
    <m/>
    <n v="0"/>
    <m/>
    <n v="0"/>
    <m/>
    <n v="0"/>
    <m/>
    <n v="0"/>
    <s v="ToyoLi"/>
    <n v="26"/>
    <n v="0"/>
    <n v="17.333333333333329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0"/>
    <n v="0"/>
    <n v="0"/>
    <n v="0"/>
    <n v="0"/>
    <n v="0.3"/>
    <m/>
    <m/>
    <n v="0.5"/>
    <n v="0.2"/>
    <n v="0"/>
    <n v="31"/>
    <n v="0"/>
    <n v="0"/>
    <n v="31"/>
    <n v="31"/>
    <n v="9.2999999999999989"/>
    <n v="0"/>
    <n v="0"/>
    <n v="0"/>
    <n v="0"/>
    <n v="0"/>
    <n v="15.5"/>
    <n v="0"/>
    <n v="6.2"/>
    <n v="0"/>
    <n v="0"/>
    <n v="0"/>
    <n v="0"/>
    <m/>
    <n v="24"/>
    <n v="43.999999999999986"/>
    <s v="TL149"/>
    <s v="ToyoLiToyoLiToyoLi"/>
    <s v="+"/>
    <s v="+"/>
    <s v="+"/>
    <s v="NIL"/>
    <s v="NIL"/>
    <s v="NIL"/>
    <s v="NIL"/>
    <s v="NIL"/>
  </r>
  <r>
    <d v="2026-01-31T00:00:00"/>
    <s v="B"/>
    <x v="387"/>
    <n v="150"/>
    <n v="100"/>
    <n v="6500"/>
    <s v="I"/>
    <s v="N"/>
    <n v="0.53"/>
    <s v="BLACK"/>
    <s v="C01554B"/>
    <s v="ToyoLi - BLACK"/>
    <n v="23"/>
    <n v="0"/>
    <m/>
    <m/>
    <n v="0"/>
    <s v="R92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4"/>
    <n v="0"/>
    <n v="13.25"/>
    <n v="0"/>
    <s v="YELLOW"/>
    <s v="C01554Y"/>
    <s v="ToyoLi - YELLOW"/>
    <n v="26"/>
    <n v="0"/>
    <m/>
    <m/>
    <n v="0"/>
    <s v="F23T"/>
    <m/>
    <m/>
    <m/>
    <m/>
    <m/>
    <m/>
    <m/>
    <n v="12"/>
    <n v="0"/>
    <m/>
    <n v="0"/>
    <m/>
    <n v="0"/>
    <m/>
    <n v="0"/>
    <m/>
    <n v="0"/>
    <m/>
    <n v="0"/>
    <m/>
    <n v="0"/>
    <m/>
    <n v="0"/>
    <s v="ToyoLi"/>
    <n v="17"/>
    <n v="0"/>
    <n v="45.75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"/>
    <n v="0"/>
    <n v="0"/>
    <n v="0"/>
    <n v="0"/>
    <n v="0"/>
    <n v="0"/>
    <n v="0.3"/>
    <m/>
    <m/>
    <n v="0.5"/>
    <n v="0.2"/>
    <n v="0"/>
    <n v="33"/>
    <n v="0"/>
    <n v="0"/>
    <n v="33"/>
    <n v="33"/>
    <n v="9.9"/>
    <n v="0"/>
    <n v="0"/>
    <n v="0"/>
    <n v="0"/>
    <n v="0"/>
    <n v="16.5"/>
    <n v="0"/>
    <n v="6.6000000000000005"/>
    <n v="0"/>
    <n v="0"/>
    <n v="0"/>
    <n v="0"/>
    <m/>
    <n v="18"/>
    <n v="59"/>
    <n v="150"/>
    <s v="ToyoLiToyoLi"/>
    <s v="+"/>
    <s v="+"/>
    <s v="NIL"/>
    <s v="NIL"/>
    <s v="NIL"/>
    <s v="NIL"/>
    <s v="NIL"/>
    <s v="NIL"/>
  </r>
  <r>
    <d v="2026-01-31T00:00:00"/>
    <s v="B"/>
    <x v="388"/>
    <n v="151"/>
    <n v="92"/>
    <n v="6000"/>
    <s v="I"/>
    <s v="N"/>
    <n v="0.68"/>
    <s v="BLACK"/>
    <s v="C01552B"/>
    <s v="ToyoLi - BLACK"/>
    <n v="24"/>
    <n v="0"/>
    <m/>
    <m/>
    <n v="0"/>
    <s v="R92"/>
    <m/>
    <m/>
    <m/>
    <m/>
    <m/>
    <m/>
    <m/>
    <n v="12"/>
    <n v="0"/>
    <m/>
    <n v="0"/>
    <m/>
    <n v="0"/>
    <m/>
    <n v="0"/>
    <m/>
    <n v="0"/>
    <m/>
    <n v="0"/>
    <m/>
    <n v="0"/>
    <m/>
    <n v="0"/>
    <s v="ToyoLi"/>
    <n v="36"/>
    <n v="0"/>
    <n v="25"/>
    <n v="0"/>
    <s v="RED"/>
    <s v="C01554R"/>
    <s v="ToyoLi - RED"/>
    <n v="27"/>
    <n v="0"/>
    <m/>
    <m/>
    <n v="0"/>
    <s v="F53"/>
    <m/>
    <m/>
    <m/>
    <m/>
    <m/>
    <m/>
    <m/>
    <n v="6"/>
    <n v="0"/>
    <m/>
    <n v="0"/>
    <m/>
    <n v="0"/>
    <m/>
    <n v="0"/>
    <m/>
    <n v="0"/>
    <m/>
    <n v="0"/>
    <m/>
    <n v="0"/>
    <m/>
    <n v="0"/>
    <s v="ToyoLi"/>
    <n v="20"/>
    <n v="0"/>
    <n v="23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4"/>
    <n v="0"/>
    <n v="0"/>
    <n v="0"/>
    <n v="0"/>
    <n v="0"/>
    <n v="0"/>
    <n v="0.3"/>
    <m/>
    <m/>
    <n v="0.5"/>
    <n v="0.2"/>
    <n v="0"/>
    <n v="35"/>
    <n v="0"/>
    <n v="0"/>
    <n v="35"/>
    <n v="35"/>
    <n v="10.5"/>
    <n v="0"/>
    <n v="0"/>
    <n v="0"/>
    <n v="0"/>
    <n v="0"/>
    <n v="17.5"/>
    <n v="0"/>
    <n v="7"/>
    <n v="0"/>
    <n v="0"/>
    <n v="0"/>
    <n v="0"/>
    <m/>
    <n v="18"/>
    <n v="48"/>
    <n v="151"/>
    <s v="ToyoLiToyoLi"/>
    <s v="+"/>
    <s v="+"/>
    <s v="NIL"/>
    <s v="NIL"/>
    <s v="NIL"/>
    <s v="NIL"/>
    <s v="NIL"/>
    <s v="NI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4D1C2-AD9C-457F-B9BC-BEE91B7FFDB2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A3:C393" firstHeaderRow="0" firstDataRow="1" firstDataCol="1"/>
  <pivotFields count="351">
    <pivotField numFmtId="166" subtotalTop="0" showAll="0"/>
    <pivotField subtotalTop="0" showAll="0"/>
    <pivotField axis="axisRow" subtotalTop="0" showAll="0" sortType="ascending">
      <items count="390">
        <item x="292"/>
        <item x="327"/>
        <item x="347"/>
        <item x="30"/>
        <item x="131"/>
        <item x="12"/>
        <item x="185"/>
        <item x="287"/>
        <item x="10"/>
        <item x="98"/>
        <item x="20"/>
        <item x="123"/>
        <item x="143"/>
        <item x="194"/>
        <item x="189"/>
        <item x="155"/>
        <item x="188"/>
        <item x="193"/>
        <item x="182"/>
        <item x="221"/>
        <item x="383"/>
        <item x="332"/>
        <item x="294"/>
        <item x="312"/>
        <item x="314"/>
        <item x="299"/>
        <item x="313"/>
        <item x="315"/>
        <item x="377"/>
        <item x="80"/>
        <item x="295"/>
        <item x="124"/>
        <item x="370"/>
        <item x="87"/>
        <item x="95"/>
        <item x="18"/>
        <item x="19"/>
        <item x="219"/>
        <item x="51"/>
        <item x="53"/>
        <item x="55"/>
        <item x="56"/>
        <item x="40"/>
        <item x="101"/>
        <item x="102"/>
        <item x="99"/>
        <item x="100"/>
        <item x="346"/>
        <item x="41"/>
        <item x="42"/>
        <item x="128"/>
        <item x="36"/>
        <item x="343"/>
        <item x="79"/>
        <item x="127"/>
        <item x="125"/>
        <item x="336"/>
        <item x="24"/>
        <item x="304"/>
        <item x="103"/>
        <item x="104"/>
        <item x="83"/>
        <item x="106"/>
        <item x="82"/>
        <item x="84"/>
        <item x="133"/>
        <item x="141"/>
        <item x="151"/>
        <item x="152"/>
        <item x="303"/>
        <item x="302"/>
        <item x="199"/>
        <item x="117"/>
        <item x="119"/>
        <item x="247"/>
        <item x="116"/>
        <item x="198"/>
        <item x="156"/>
        <item x="158"/>
        <item x="157"/>
        <item x="159"/>
        <item x="126"/>
        <item x="261"/>
        <item x="178"/>
        <item x="190"/>
        <item x="179"/>
        <item x="277"/>
        <item x="308"/>
        <item x="374"/>
        <item x="376"/>
        <item x="380"/>
        <item x="244"/>
        <item x="243"/>
        <item x="241"/>
        <item x="282"/>
        <item x="307"/>
        <item x="310"/>
        <item x="309"/>
        <item x="318"/>
        <item x="339"/>
        <item x="337"/>
        <item x="338"/>
        <item x="369"/>
        <item x="344"/>
        <item x="387"/>
        <item x="378"/>
        <item x="388"/>
        <item x="386"/>
        <item x="46"/>
        <item x="48"/>
        <item x="81"/>
        <item x="49"/>
        <item x="105"/>
        <item x="360"/>
        <item x="47"/>
        <item x="37"/>
        <item x="38"/>
        <item x="224"/>
        <item x="220"/>
        <item x="114"/>
        <item x="115"/>
        <item x="361"/>
        <item x="222"/>
        <item x="227"/>
        <item x="211"/>
        <item x="272"/>
        <item x="276"/>
        <item x="223"/>
        <item x="279"/>
        <item x="225"/>
        <item x="280"/>
        <item x="345"/>
        <item x="97"/>
        <item x="21"/>
        <item x="52"/>
        <item x="96"/>
        <item x="22"/>
        <item x="91"/>
        <item x="93"/>
        <item x="92"/>
        <item x="94"/>
        <item x="23"/>
        <item x="135"/>
        <item x="301"/>
        <item x="300"/>
        <item x="150"/>
        <item x="206"/>
        <item x="216"/>
        <item x="202"/>
        <item x="226"/>
        <item x="249"/>
        <item x="248"/>
        <item x="238"/>
        <item x="237"/>
        <item x="242"/>
        <item x="233"/>
        <item x="239"/>
        <item x="232"/>
        <item x="228"/>
        <item x="231"/>
        <item x="230"/>
        <item x="262"/>
        <item x="293"/>
        <item x="273"/>
        <item x="271"/>
        <item x="281"/>
        <item x="275"/>
        <item x="335"/>
        <item x="274"/>
        <item x="331"/>
        <item x="385"/>
        <item x="384"/>
        <item x="9"/>
        <item x="200"/>
        <item x="201"/>
        <item x="11"/>
        <item x="148"/>
        <item x="149"/>
        <item x="245"/>
        <item x="246"/>
        <item x="108"/>
        <item x="169"/>
        <item x="183"/>
        <item x="316"/>
        <item x="317"/>
        <item x="328"/>
        <item x="329"/>
        <item x="330"/>
        <item x="45"/>
        <item x="66"/>
        <item x="70"/>
        <item x="340"/>
        <item x="107"/>
        <item x="76"/>
        <item x="362"/>
        <item x="341"/>
        <item x="379"/>
        <item x="69"/>
        <item x="264"/>
        <item x="50"/>
        <item x="210"/>
        <item x="44"/>
        <item x="43"/>
        <item x="367"/>
        <item x="34"/>
        <item x="32"/>
        <item x="333"/>
        <item x="71"/>
        <item x="207"/>
        <item x="74"/>
        <item x="67"/>
        <item x="63"/>
        <item x="72"/>
        <item x="73"/>
        <item x="191"/>
        <item x="192"/>
        <item x="68"/>
        <item x="112"/>
        <item x="113"/>
        <item x="85"/>
        <item x="363"/>
        <item x="209"/>
        <item x="218"/>
        <item x="217"/>
        <item x="381"/>
        <item x="33"/>
        <item x="382"/>
        <item x="86"/>
        <item x="187"/>
        <item x="351"/>
        <item x="366"/>
        <item x="334"/>
        <item x="364"/>
        <item x="278"/>
        <item x="349"/>
        <item x="75"/>
        <item x="25"/>
        <item x="26"/>
        <item x="29"/>
        <item x="27"/>
        <item x="324"/>
        <item x="28"/>
        <item x="326"/>
        <item x="325"/>
        <item x="122"/>
        <item x="359"/>
        <item x="365"/>
        <item x="13"/>
        <item x="14"/>
        <item x="15"/>
        <item x="16"/>
        <item x="17"/>
        <item x="132"/>
        <item x="203"/>
        <item x="204"/>
        <item x="205"/>
        <item x="111"/>
        <item x="265"/>
        <item x="110"/>
        <item x="109"/>
        <item x="118"/>
        <item x="357"/>
        <item x="160"/>
        <item x="161"/>
        <item x="283"/>
        <item x="162"/>
        <item x="164"/>
        <item x="165"/>
        <item x="166"/>
        <item x="186"/>
        <item x="167"/>
        <item x="163"/>
        <item x="288"/>
        <item x="290"/>
        <item x="289"/>
        <item x="285"/>
        <item x="195"/>
        <item x="196"/>
        <item x="197"/>
        <item x="286"/>
        <item x="305"/>
        <item x="154"/>
        <item x="142"/>
        <item x="306"/>
        <item x="321"/>
        <item x="320"/>
        <item x="319"/>
        <item x="77"/>
        <item x="39"/>
        <item x="356"/>
        <item x="263"/>
        <item x="1"/>
        <item x="214"/>
        <item x="153"/>
        <item x="134"/>
        <item x="138"/>
        <item x="140"/>
        <item x="146"/>
        <item x="136"/>
        <item x="297"/>
        <item x="147"/>
        <item x="137"/>
        <item x="139"/>
        <item x="208"/>
        <item x="212"/>
        <item x="88"/>
        <item x="62"/>
        <item x="64"/>
        <item x="60"/>
        <item x="65"/>
        <item x="145"/>
        <item x="59"/>
        <item x="57"/>
        <item x="58"/>
        <item x="54"/>
        <item x="61"/>
        <item x="215"/>
        <item x="120"/>
        <item x="121"/>
        <item x="355"/>
        <item x="354"/>
        <item x="353"/>
        <item x="342"/>
        <item x="358"/>
        <item x="78"/>
        <item x="130"/>
        <item x="35"/>
        <item x="0"/>
        <item x="129"/>
        <item x="90"/>
        <item x="371"/>
        <item x="260"/>
        <item x="235"/>
        <item x="348"/>
        <item x="229"/>
        <item x="234"/>
        <item x="350"/>
        <item x="213"/>
        <item x="368"/>
        <item x="266"/>
        <item x="267"/>
        <item x="268"/>
        <item x="31"/>
        <item x="144"/>
        <item x="170"/>
        <item x="172"/>
        <item x="171"/>
        <item x="173"/>
        <item x="240"/>
        <item x="253"/>
        <item x="251"/>
        <item x="254"/>
        <item x="252"/>
        <item x="250"/>
        <item x="311"/>
        <item x="322"/>
        <item x="291"/>
        <item x="255"/>
        <item x="257"/>
        <item x="352"/>
        <item x="89"/>
        <item x="8"/>
        <item x="181"/>
        <item x="176"/>
        <item x="177"/>
        <item x="259"/>
        <item x="256"/>
        <item x="258"/>
        <item x="184"/>
        <item x="175"/>
        <item x="168"/>
        <item x="323"/>
        <item x="298"/>
        <item x="269"/>
        <item x="236"/>
        <item x="180"/>
        <item x="174"/>
        <item x="284"/>
        <item x="372"/>
        <item x="373"/>
        <item x="375"/>
        <item x="270"/>
        <item x="296"/>
        <item x="4"/>
        <item x="5"/>
        <item x="3"/>
        <item x="2"/>
        <item x="6"/>
        <item x="7"/>
        <item t="default"/>
      </items>
    </pivotField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numFmtId="43"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numFmtId="43"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numFmtId="43"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numFmtId="43"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numFmtId="43"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numFmtId="43"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numFmtId="43" subtotalTop="0" showAll="0"/>
    <pivotField numFmtId="167"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numFmtId="43"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subtotalTop="0" showAll="0"/>
    <pivotField numFmtId="9"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numFmtId="43" subtotalTop="0" showAll="0"/>
    <pivotField numFmtId="43" subtotalTop="0" showAll="0"/>
    <pivotField numFmtId="167" subtotalTop="0" showAll="0"/>
    <pivotField numFmtId="167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dataField="1" numFmtId="167" subtotalTop="0" showAll="0"/>
    <pivotField subtotalTop="0" showAll="0"/>
    <pivotField numFmtId="43"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1">
    <field x="2"/>
  </rowFields>
  <rowItems count="3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x2" fld="5" baseField="2" baseItem="0"/>
    <dataField name="Sum of Value" fld="336" baseField="0" baseItem="0"/>
  </dataFields>
  <formats count="2">
    <format dxfId="206">
      <pivotArea outline="0" collapsedLevelsAreSubtotals="1" fieldPosition="0"/>
    </format>
    <format dxfId="2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4278C-237C-4545-BE74-77DAC3BD8C32}" name="PivotTable3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compact="0" compactData="0" multipleFieldFilters="0">
  <location ref="A3:F393" firstHeaderRow="0" firstDataRow="1" firstDataCol="1"/>
  <pivotFields count="350">
    <pivotField compact="0" outline="0" subtotalTop="0" showAll="0" defaultSubtotal="0"/>
    <pivotField compact="0" outline="0" subtotalTop="0" showAll="0" defaultSubtotal="0"/>
    <pivotField axis="axisRow" compact="0" outline="0" showAll="0" sortType="ascending" defaultSubtotal="0">
      <items count="389">
        <item x="292"/>
        <item x="327"/>
        <item x="347"/>
        <item x="30"/>
        <item x="131"/>
        <item x="12"/>
        <item x="185"/>
        <item x="287"/>
        <item x="10"/>
        <item x="98"/>
        <item x="20"/>
        <item x="123"/>
        <item x="143"/>
        <item x="194"/>
        <item x="189"/>
        <item x="155"/>
        <item x="188"/>
        <item x="193"/>
        <item x="182"/>
        <item x="221"/>
        <item x="383"/>
        <item x="332"/>
        <item x="294"/>
        <item x="312"/>
        <item x="314"/>
        <item x="299"/>
        <item x="313"/>
        <item x="315"/>
        <item x="377"/>
        <item x="80"/>
        <item x="295"/>
        <item x="124"/>
        <item x="370"/>
        <item x="87"/>
        <item x="95"/>
        <item x="18"/>
        <item x="19"/>
        <item x="219"/>
        <item x="51"/>
        <item x="53"/>
        <item x="55"/>
        <item x="56"/>
        <item x="40"/>
        <item x="101"/>
        <item x="102"/>
        <item x="99"/>
        <item x="100"/>
        <item x="346"/>
        <item x="41"/>
        <item x="42"/>
        <item x="128"/>
        <item x="36"/>
        <item x="343"/>
        <item x="79"/>
        <item x="127"/>
        <item x="125"/>
        <item x="336"/>
        <item x="24"/>
        <item x="304"/>
        <item x="103"/>
        <item x="104"/>
        <item x="83"/>
        <item x="106"/>
        <item x="82"/>
        <item x="84"/>
        <item x="133"/>
        <item x="141"/>
        <item x="151"/>
        <item x="152"/>
        <item x="303"/>
        <item x="302"/>
        <item x="199"/>
        <item x="117"/>
        <item x="119"/>
        <item x="247"/>
        <item x="116"/>
        <item x="198"/>
        <item x="156"/>
        <item x="158"/>
        <item x="157"/>
        <item x="159"/>
        <item x="126"/>
        <item x="261"/>
        <item x="178"/>
        <item x="190"/>
        <item x="179"/>
        <item x="277"/>
        <item x="308"/>
        <item x="374"/>
        <item x="376"/>
        <item x="380"/>
        <item x="244"/>
        <item x="243"/>
        <item x="241"/>
        <item x="282"/>
        <item x="307"/>
        <item x="310"/>
        <item x="309"/>
        <item x="318"/>
        <item x="339"/>
        <item x="337"/>
        <item x="338"/>
        <item x="369"/>
        <item x="344"/>
        <item x="387"/>
        <item x="378"/>
        <item x="388"/>
        <item x="386"/>
        <item x="46"/>
        <item x="48"/>
        <item x="81"/>
        <item x="49"/>
        <item x="105"/>
        <item x="360"/>
        <item x="47"/>
        <item x="37"/>
        <item x="38"/>
        <item x="224"/>
        <item x="220"/>
        <item x="114"/>
        <item x="115"/>
        <item x="361"/>
        <item x="222"/>
        <item x="227"/>
        <item x="211"/>
        <item x="272"/>
        <item x="276"/>
        <item x="223"/>
        <item x="279"/>
        <item x="225"/>
        <item x="280"/>
        <item x="345"/>
        <item x="97"/>
        <item x="21"/>
        <item x="52"/>
        <item x="96"/>
        <item x="22"/>
        <item x="91"/>
        <item x="93"/>
        <item x="92"/>
        <item x="94"/>
        <item x="23"/>
        <item x="135"/>
        <item x="301"/>
        <item x="300"/>
        <item x="150"/>
        <item x="206"/>
        <item x="216"/>
        <item x="202"/>
        <item x="226"/>
        <item x="249"/>
        <item x="248"/>
        <item x="238"/>
        <item x="237"/>
        <item x="242"/>
        <item x="233"/>
        <item x="239"/>
        <item x="232"/>
        <item x="228"/>
        <item x="231"/>
        <item x="230"/>
        <item x="262"/>
        <item x="293"/>
        <item x="273"/>
        <item x="271"/>
        <item x="281"/>
        <item x="275"/>
        <item x="335"/>
        <item x="274"/>
        <item x="331"/>
        <item x="385"/>
        <item x="384"/>
        <item x="9"/>
        <item x="200"/>
        <item x="201"/>
        <item x="11"/>
        <item x="148"/>
        <item x="149"/>
        <item x="245"/>
        <item x="246"/>
        <item x="108"/>
        <item x="169"/>
        <item x="183"/>
        <item x="316"/>
        <item x="317"/>
        <item x="328"/>
        <item x="329"/>
        <item x="330"/>
        <item x="45"/>
        <item x="66"/>
        <item x="70"/>
        <item x="340"/>
        <item x="107"/>
        <item x="76"/>
        <item x="362"/>
        <item x="341"/>
        <item x="379"/>
        <item x="69"/>
        <item x="264"/>
        <item x="50"/>
        <item x="210"/>
        <item x="44"/>
        <item x="43"/>
        <item x="367"/>
        <item x="34"/>
        <item x="32"/>
        <item x="333"/>
        <item x="71"/>
        <item x="207"/>
        <item x="74"/>
        <item x="67"/>
        <item x="63"/>
        <item x="72"/>
        <item x="73"/>
        <item x="191"/>
        <item x="192"/>
        <item x="68"/>
        <item x="112"/>
        <item x="113"/>
        <item x="85"/>
        <item x="363"/>
        <item x="209"/>
        <item x="218"/>
        <item x="217"/>
        <item x="381"/>
        <item x="33"/>
        <item x="382"/>
        <item x="86"/>
        <item x="187"/>
        <item x="351"/>
        <item x="366"/>
        <item x="334"/>
        <item x="364"/>
        <item x="278"/>
        <item x="349"/>
        <item x="75"/>
        <item x="25"/>
        <item x="26"/>
        <item x="29"/>
        <item x="27"/>
        <item x="324"/>
        <item x="28"/>
        <item x="326"/>
        <item x="325"/>
        <item x="122"/>
        <item x="359"/>
        <item x="365"/>
        <item x="13"/>
        <item x="14"/>
        <item x="15"/>
        <item x="16"/>
        <item x="17"/>
        <item x="132"/>
        <item x="203"/>
        <item x="204"/>
        <item x="205"/>
        <item x="111"/>
        <item x="265"/>
        <item x="110"/>
        <item x="109"/>
        <item x="118"/>
        <item x="357"/>
        <item x="160"/>
        <item x="161"/>
        <item x="283"/>
        <item x="162"/>
        <item x="164"/>
        <item x="165"/>
        <item x="166"/>
        <item x="186"/>
        <item x="167"/>
        <item x="163"/>
        <item x="288"/>
        <item x="290"/>
        <item x="289"/>
        <item x="285"/>
        <item x="195"/>
        <item x="196"/>
        <item x="197"/>
        <item x="286"/>
        <item x="305"/>
        <item x="154"/>
        <item x="142"/>
        <item x="306"/>
        <item x="321"/>
        <item x="320"/>
        <item x="319"/>
        <item x="77"/>
        <item x="39"/>
        <item x="356"/>
        <item x="263"/>
        <item x="1"/>
        <item x="214"/>
        <item x="153"/>
        <item x="134"/>
        <item x="138"/>
        <item x="140"/>
        <item x="146"/>
        <item x="136"/>
        <item x="297"/>
        <item x="147"/>
        <item x="137"/>
        <item x="139"/>
        <item x="208"/>
        <item x="212"/>
        <item x="88"/>
        <item x="62"/>
        <item x="64"/>
        <item x="60"/>
        <item x="65"/>
        <item x="145"/>
        <item x="59"/>
        <item x="57"/>
        <item x="58"/>
        <item x="54"/>
        <item x="61"/>
        <item x="215"/>
        <item x="120"/>
        <item x="121"/>
        <item x="355"/>
        <item x="354"/>
        <item x="353"/>
        <item x="342"/>
        <item x="358"/>
        <item x="78"/>
        <item x="130"/>
        <item x="35"/>
        <item x="0"/>
        <item x="129"/>
        <item x="90"/>
        <item x="371"/>
        <item x="260"/>
        <item x="235"/>
        <item x="348"/>
        <item x="229"/>
        <item x="234"/>
        <item x="350"/>
        <item x="213"/>
        <item x="368"/>
        <item x="266"/>
        <item x="267"/>
        <item x="268"/>
        <item x="31"/>
        <item x="144"/>
        <item x="170"/>
        <item x="172"/>
        <item x="171"/>
        <item x="173"/>
        <item x="240"/>
        <item x="253"/>
        <item x="251"/>
        <item x="254"/>
        <item x="252"/>
        <item x="250"/>
        <item x="311"/>
        <item x="322"/>
        <item x="291"/>
        <item x="255"/>
        <item x="257"/>
        <item x="352"/>
        <item x="89"/>
        <item x="8"/>
        <item x="181"/>
        <item x="176"/>
        <item x="177"/>
        <item x="259"/>
        <item x="256"/>
        <item x="258"/>
        <item x="184"/>
        <item x="175"/>
        <item x="168"/>
        <item x="323"/>
        <item x="298"/>
        <item x="269"/>
        <item x="236"/>
        <item x="180"/>
        <item x="174"/>
        <item x="284"/>
        <item x="372"/>
        <item x="373"/>
        <item x="375"/>
        <item x="270"/>
        <item x="296"/>
        <item x="4"/>
        <item x="5"/>
        <item x="3"/>
        <item x="2"/>
        <item x="6"/>
        <item x="7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ubtotalTop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numFmtId="43" outline="0" showAll="0" defaultSubtotal="0"/>
    <pivotField compact="0" numFmtId="167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outline="0" showAll="0" defaultSubtotal="0"/>
    <pivotField compact="0" numFmtId="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167" outline="0" showAll="0" defaultSubtotal="0"/>
    <pivotField dataField="1" compact="0" numFmtId="167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ubtotalTop="0" showAll="0" defaultSubtotal="0"/>
    <pivotField compact="0" numFmtId="43" outline="0" showAll="0" defaultSubtotal="0"/>
    <pivotField dataField="1" compact="0" numFmtId="43" outline="0" subtotalTop="0" showAll="0" defaultSubtotal="0"/>
    <pivotField compact="0" numFmtId="43" outline="0" showAll="0" defaultSubtotal="0"/>
    <pivotField compact="0" numFmtId="167" outline="0" showAll="0" defaultSubtotal="0"/>
    <pivotField compact="0" outline="0" showAll="0" defaultSubtotal="0"/>
    <pivotField dataField="1" compact="0" numFmtId="43" outline="0" showAll="0" defaultSubtotal="0"/>
    <pivotField dataField="1" compact="0" numFmtId="43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1">
    <field x="2"/>
  </rowFields>
  <rowItems count="3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Fresh Ink Issued" fld="338" baseField="0" baseItem="0"/>
    <dataField name="Sum of Solvent (Calculation)" fld="323" baseField="0" baseItem="0"/>
    <dataField name="Sum of Mix_x000a_ink consumed" fld="339" baseField="0" baseItem="0"/>
    <dataField name="Sum of x2" fld="5" baseField="2" baseItem="0"/>
    <dataField name="Sum of xSol" fld="334" baseField="0" baseItem="0"/>
  </dataFields>
  <formats count="7">
    <format dxfId="204">
      <pivotArea outline="0" collapsedLevelsAreSubtotals="1" fieldPosition="0"/>
    </format>
    <format dxfId="20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02">
      <pivotArea field="2" type="button" dataOnly="0" labelOnly="1" outline="0" axis="axisRow" fieldPosition="0"/>
    </format>
    <format dxfId="201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20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99">
      <pivotArea field="2" type="button" dataOnly="0" labelOnly="1" outline="0" axis="axisRow" fieldPosition="0"/>
    </format>
    <format dxfId="19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870CF-B66B-4B43-B204-114EAE51494A}" name="PivotTable1" cacheId="2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4:B5" firstHeaderRow="1" firstDataRow="1" firstDataCol="1"/>
  <pivotFields count="2">
    <pivotField axis="axisRow" showAll="0">
      <items count="444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21"/>
        <item m="1" x="14"/>
        <item m="1" x="15"/>
        <item m="1" x="16"/>
        <item m="1" x="17"/>
        <item m="1" x="18"/>
        <item m="1" x="19"/>
        <item m="1" x="20"/>
        <item m="1" x="27"/>
        <item m="1" x="22"/>
        <item m="1" x="23"/>
        <item m="1" x="24"/>
        <item m="1" x="25"/>
        <item m="1" x="26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7"/>
        <item m="1" x="43"/>
        <item m="1" x="44"/>
        <item m="1" x="45"/>
        <item m="1" x="46"/>
        <item m="1" x="56"/>
        <item m="1" x="48"/>
        <item m="1" x="49"/>
        <item m="1" x="50"/>
        <item m="1" x="51"/>
        <item m="1" x="52"/>
        <item m="1" x="53"/>
        <item m="1" x="54"/>
        <item m="1" x="55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83"/>
        <item m="1" x="76"/>
        <item m="1" x="77"/>
        <item m="1" x="78"/>
        <item m="1" x="79"/>
        <item m="1" x="80"/>
        <item m="1" x="81"/>
        <item m="1" x="82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6"/>
        <item m="1" x="110"/>
        <item m="1" x="111"/>
        <item m="1" x="112"/>
        <item m="1" x="113"/>
        <item m="1" x="114"/>
        <item m="1" x="115"/>
        <item m="1" x="123"/>
        <item m="1" x="117"/>
        <item m="1" x="118"/>
        <item m="1" x="119"/>
        <item m="1" x="120"/>
        <item m="1" x="121"/>
        <item m="1" x="122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74"/>
        <item m="1" x="167"/>
        <item m="1" x="168"/>
        <item m="1" x="169"/>
        <item m="1" x="170"/>
        <item m="1" x="171"/>
        <item m="1" x="172"/>
        <item m="1" x="173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230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8"/>
        <item m="1" x="240"/>
        <item m="1" x="241"/>
        <item m="1" x="242"/>
        <item m="1" x="243"/>
        <item m="1" x="244"/>
        <item m="1" x="245"/>
        <item m="1" x="246"/>
        <item m="1" x="247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9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9"/>
        <item m="1" x="291"/>
        <item m="1" x="292"/>
        <item m="1" x="293"/>
        <item m="1" x="294"/>
        <item m="1" x="295"/>
        <item m="1" x="296"/>
        <item m="1" x="297"/>
        <item m="1" x="298"/>
        <item m="1" x="300"/>
        <item m="1" x="301"/>
        <item m="1" x="302"/>
        <item m="1" x="303"/>
        <item m="1" x="304"/>
        <item m="1" x="305"/>
        <item m="1" x="306"/>
        <item m="1" x="315"/>
        <item m="1" x="307"/>
        <item m="1" x="308"/>
        <item m="1" x="309"/>
        <item m="1" x="310"/>
        <item m="1" x="311"/>
        <item m="1" x="312"/>
        <item m="1" x="313"/>
        <item m="1" x="314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7"/>
        <item m="1" x="341"/>
        <item m="1" x="342"/>
        <item m="1" x="343"/>
        <item m="1" x="344"/>
        <item m="1" x="345"/>
        <item m="1" x="346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38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9"/>
        <item m="1" x="440"/>
        <item m="1" x="441"/>
        <item m="1" x="442"/>
        <item x="0"/>
        <item t="default"/>
      </items>
    </pivotField>
    <pivotField dataField="1" showAll="0"/>
  </pivotFields>
  <rowFields count="1">
    <field x="0"/>
  </rowFields>
  <rowItems count="1">
    <i>
      <x v="442"/>
    </i>
  </rowItems>
  <colItems count="1">
    <i/>
  </colItems>
  <dataFields count="1">
    <dataField name="Sum of Sum of Output (Meters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078C7-D9AF-411A-9A10-462040DD6C46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B353" firstHeaderRow="2" firstDataRow="2" firstDataCol="1"/>
  <pivotFields count="6">
    <pivotField compact="0" numFmtId="166" outline="0" showAll="0"/>
    <pivotField compact="0" outline="0" showAll="0"/>
    <pivotField axis="axisRow" compact="0" outline="0" showAll="0">
      <items count="349">
        <item x="210"/>
        <item x="316"/>
        <item x="320"/>
        <item x="166"/>
        <item x="27"/>
        <item x="21"/>
        <item x="17"/>
        <item x="267"/>
        <item x="183"/>
        <item x="46"/>
        <item x="227"/>
        <item x="307"/>
        <item x="336"/>
        <item x="274"/>
        <item x="92"/>
        <item x="171"/>
        <item x="337"/>
        <item x="332"/>
        <item x="257"/>
        <item x="258"/>
        <item x="254"/>
        <item x="255"/>
        <item x="1"/>
        <item x="2"/>
        <item x="335"/>
        <item x="260"/>
        <item x="256"/>
        <item x="259"/>
        <item x="235"/>
        <item x="184"/>
        <item x="136"/>
        <item x="213"/>
        <item x="55"/>
        <item x="56"/>
        <item x="54"/>
        <item x="265"/>
        <item x="345"/>
        <item x="251"/>
        <item x="261"/>
        <item x="263"/>
        <item x="143"/>
        <item x="150"/>
        <item x="36"/>
        <item x="101"/>
        <item x="102"/>
        <item x="277"/>
        <item x="131"/>
        <item x="103"/>
        <item x="294"/>
        <item x="290"/>
        <item x="311"/>
        <item x="319"/>
        <item x="309"/>
        <item x="310"/>
        <item x="323"/>
        <item x="321"/>
        <item x="324"/>
        <item x="312"/>
        <item x="322"/>
        <item x="317"/>
        <item x="318"/>
        <item x="314"/>
        <item x="264"/>
        <item x="43"/>
        <item x="99"/>
        <item x="98"/>
        <item x="97"/>
        <item x="93"/>
        <item x="94"/>
        <item x="96"/>
        <item x="140"/>
        <item x="129"/>
        <item x="118"/>
        <item x="142"/>
        <item x="155"/>
        <item x="68"/>
        <item x="111"/>
        <item x="66"/>
        <item x="176"/>
        <item x="177"/>
        <item x="178"/>
        <item x="308"/>
        <item x="180"/>
        <item x="292"/>
        <item x="293"/>
        <item x="32"/>
        <item x="33"/>
        <item x="170"/>
        <item x="169"/>
        <item x="346"/>
        <item x="57"/>
        <item x="26"/>
        <item x="181"/>
        <item x="204"/>
        <item x="203"/>
        <item x="209"/>
        <item x="207"/>
        <item x="217"/>
        <item x="208"/>
        <item x="215"/>
        <item x="175"/>
        <item x="188"/>
        <item x="179"/>
        <item x="212"/>
        <item x="244"/>
        <item x="211"/>
        <item x="287"/>
        <item x="276"/>
        <item x="218"/>
        <item x="278"/>
        <item x="280"/>
        <item x="281"/>
        <item x="275"/>
        <item x="198"/>
        <item x="53"/>
        <item x="303"/>
        <item x="52"/>
        <item x="286"/>
        <item x="330"/>
        <item x="301"/>
        <item x="45"/>
        <item x="242"/>
        <item x="241"/>
        <item x="70"/>
        <item x="190"/>
        <item x="75"/>
        <item x="76"/>
        <item x="77"/>
        <item x="253"/>
        <item x="246"/>
        <item x="73"/>
        <item x="250"/>
        <item x="252"/>
        <item x="71"/>
        <item x="60"/>
        <item x="58"/>
        <item x="141"/>
        <item x="161"/>
        <item x="340"/>
        <item x="172"/>
        <item x="168"/>
        <item x="174"/>
        <item x="173"/>
        <item x="108"/>
        <item x="25"/>
        <item x="38"/>
        <item x="266"/>
        <item x="104"/>
        <item x="284"/>
        <item x="167"/>
        <item x="95"/>
        <item x="247"/>
        <item x="249"/>
        <item x="248"/>
        <item x="78"/>
        <item x="91"/>
        <item x="339"/>
        <item x="300"/>
        <item x="197"/>
        <item x="193"/>
        <item x="234"/>
        <item x="191"/>
        <item x="195"/>
        <item x="231"/>
        <item x="192"/>
        <item x="229"/>
        <item x="232"/>
        <item x="233"/>
        <item x="122"/>
        <item x="344"/>
        <item x="304"/>
        <item x="164"/>
        <item x="305"/>
        <item x="306"/>
        <item x="333"/>
        <item x="50"/>
        <item x="79"/>
        <item x="109"/>
        <item x="29"/>
        <item x="194"/>
        <item x="189"/>
        <item x="199"/>
        <item x="67"/>
        <item x="41"/>
        <item x="74"/>
        <item x="34"/>
        <item x="160"/>
        <item x="144"/>
        <item x="4"/>
        <item x="8"/>
        <item x="114"/>
        <item x="112"/>
        <item x="151"/>
        <item x="149"/>
        <item x="153"/>
        <item x="154"/>
        <item x="279"/>
        <item x="125"/>
        <item x="262"/>
        <item x="7"/>
        <item x="145"/>
        <item x="37"/>
        <item x="19"/>
        <item x="18"/>
        <item x="59"/>
        <item x="40"/>
        <item x="124"/>
        <item x="148"/>
        <item x="221"/>
        <item x="205"/>
        <item x="31"/>
        <item x="268"/>
        <item x="269"/>
        <item x="270"/>
        <item x="271"/>
        <item x="283"/>
        <item x="24"/>
        <item x="35"/>
        <item x="157"/>
        <item x="110"/>
        <item x="187"/>
        <item x="240"/>
        <item x="225"/>
        <item x="226"/>
        <item x="182"/>
        <item x="121"/>
        <item x="117"/>
        <item x="119"/>
        <item x="120"/>
        <item x="116"/>
        <item x="113"/>
        <item x="147"/>
        <item x="115"/>
        <item x="107"/>
        <item x="65"/>
        <item x="138"/>
        <item x="139"/>
        <item x="186"/>
        <item x="237"/>
        <item x="132"/>
        <item x="223"/>
        <item x="238"/>
        <item x="239"/>
        <item x="236"/>
        <item x="80"/>
        <item x="133"/>
        <item x="202"/>
        <item x="243"/>
        <item x="245"/>
        <item x="69"/>
        <item x="100"/>
        <item x="82"/>
        <item x="87"/>
        <item x="84"/>
        <item x="49"/>
        <item x="81"/>
        <item x="137"/>
        <item x="83"/>
        <item x="86"/>
        <item x="134"/>
        <item x="206"/>
        <item x="30"/>
        <item x="338"/>
        <item x="343"/>
        <item x="230"/>
        <item x="222"/>
        <item x="291"/>
        <item x="289"/>
        <item x="219"/>
        <item x="61"/>
        <item x="72"/>
        <item x="298"/>
        <item x="63"/>
        <item x="64"/>
        <item x="128"/>
        <item x="288"/>
        <item x="214"/>
        <item x="185"/>
        <item x="342"/>
        <item x="220"/>
        <item x="62"/>
        <item x="201"/>
        <item x="127"/>
        <item x="295"/>
        <item x="89"/>
        <item x="90"/>
        <item x="88"/>
        <item x="302"/>
        <item x="224"/>
        <item x="48"/>
        <item x="325"/>
        <item x="341"/>
        <item x="285"/>
        <item x="12"/>
        <item x="13"/>
        <item x="14"/>
        <item x="5"/>
        <item x="331"/>
        <item x="329"/>
        <item x="328"/>
        <item x="22"/>
        <item x="23"/>
        <item x="85"/>
        <item x="299"/>
        <item x="105"/>
        <item x="152"/>
        <item x="296"/>
        <item x="297"/>
        <item x="15"/>
        <item x="0"/>
        <item x="10"/>
        <item x="11"/>
        <item x="156"/>
        <item x="165"/>
        <item x="200"/>
        <item x="47"/>
        <item x="228"/>
        <item x="51"/>
        <item x="282"/>
        <item x="130"/>
        <item x="313"/>
        <item x="315"/>
        <item x="273"/>
        <item x="272"/>
        <item x="196"/>
        <item x="334"/>
        <item x="126"/>
        <item x="327"/>
        <item x="9"/>
        <item x="326"/>
        <item x="347"/>
        <item x="159"/>
        <item x="6"/>
        <item x="158"/>
        <item x="162"/>
        <item x="16"/>
        <item x="146"/>
        <item x="163"/>
        <item x="135"/>
        <item x="20"/>
        <item x="216"/>
        <item x="39"/>
        <item x="28"/>
        <item x="123"/>
        <item x="3"/>
        <item x="106"/>
        <item x="44"/>
        <item x="42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3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 t="grand">
      <x/>
    </i>
  </rowItems>
  <colItems count="1">
    <i/>
  </colItems>
  <dataFields count="1">
    <dataField name="Sum of x2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878B1-A59B-44A5-8C75-17FC879CCC08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401" firstHeaderRow="1" firstDataRow="1" firstDataCol="1"/>
  <pivotFields count="4">
    <pivotField axis="axisRow" showAll="0">
      <items count="398">
        <item x="4"/>
        <item x="3"/>
        <item x="188"/>
        <item x="242"/>
        <item x="371"/>
        <item x="372"/>
        <item x="375"/>
        <item x="374"/>
        <item x="373"/>
        <item x="291"/>
        <item x="290"/>
        <item x="376"/>
        <item x="5"/>
        <item x="335"/>
        <item x="311"/>
        <item x="309"/>
        <item x="25"/>
        <item x="73"/>
        <item x="75"/>
        <item x="76"/>
        <item x="71"/>
        <item x="183"/>
        <item x="9"/>
        <item x="6"/>
        <item x="205"/>
        <item x="301"/>
        <item x="95"/>
        <item x="306"/>
        <item x="307"/>
        <item x="168"/>
        <item x="169"/>
        <item x="170"/>
        <item x="196"/>
        <item x="200"/>
        <item x="195"/>
        <item x="193"/>
        <item x="56"/>
        <item x="50"/>
        <item x="293"/>
        <item x="292"/>
        <item x="198"/>
        <item x="55"/>
        <item x="54"/>
        <item x="282"/>
        <item x="283"/>
        <item x="284"/>
        <item x="134"/>
        <item x="63"/>
        <item x="192"/>
        <item x="47"/>
        <item x="38"/>
        <item x="37"/>
        <item x="223"/>
        <item x="288"/>
        <item x="231"/>
        <item x="266"/>
        <item x="185"/>
        <item x="226"/>
        <item x="225"/>
        <item x="318"/>
        <item x="360"/>
        <item x="49"/>
        <item x="31"/>
        <item x="30"/>
        <item x="379"/>
        <item x="381"/>
        <item x="88"/>
        <item x="94"/>
        <item x="104"/>
        <item x="91"/>
        <item x="92"/>
        <item x="165"/>
        <item x="161"/>
        <item x="166"/>
        <item x="164"/>
        <item x="163"/>
        <item x="186"/>
        <item x="213"/>
        <item x="69"/>
        <item x="1"/>
        <item x="2"/>
        <item x="259"/>
        <item x="390"/>
        <item x="391"/>
        <item x="388"/>
        <item x="389"/>
        <item x="387"/>
        <item x="229"/>
        <item x="240"/>
        <item x="230"/>
        <item x="52"/>
        <item x="131"/>
        <item x="93"/>
        <item x="317"/>
        <item x="239"/>
        <item x="236"/>
        <item x="237"/>
        <item x="127"/>
        <item x="126"/>
        <item x="77"/>
        <item x="72"/>
        <item x="85"/>
        <item x="86"/>
        <item x="304"/>
        <item x="308"/>
        <item x="70"/>
        <item x="204"/>
        <item x="241"/>
        <item x="45"/>
        <item x="252"/>
        <item x="34"/>
        <item x="357"/>
        <item x="44"/>
        <item x="355"/>
        <item x="274"/>
        <item x="251"/>
        <item x="356"/>
        <item x="39"/>
        <item x="21"/>
        <item x="320"/>
        <item x="370"/>
        <item x="116"/>
        <item x="117"/>
        <item x="378"/>
        <item x="115"/>
        <item x="273"/>
        <item x="270"/>
        <item x="341"/>
        <item x="287"/>
        <item x="244"/>
        <item x="8"/>
        <item x="395"/>
        <item x="272"/>
        <item x="97"/>
        <item x="32"/>
        <item x="208"/>
        <item x="210"/>
        <item x="171"/>
        <item x="175"/>
        <item x="256"/>
        <item x="255"/>
        <item x="222"/>
        <item x="275"/>
        <item x="46"/>
        <item x="362"/>
        <item x="36"/>
        <item x="361"/>
        <item x="42"/>
        <item x="363"/>
        <item x="43"/>
        <item x="359"/>
        <item x="41"/>
        <item x="358"/>
        <item x="35"/>
        <item x="369"/>
        <item x="365"/>
        <item x="214"/>
        <item x="215"/>
        <item x="158"/>
        <item x="159"/>
        <item x="105"/>
        <item x="106"/>
        <item x="207"/>
        <item x="74"/>
        <item x="83"/>
        <item x="181"/>
        <item x="174"/>
        <item x="316"/>
        <item x="299"/>
        <item x="298"/>
        <item x="199"/>
        <item x="212"/>
        <item x="332"/>
        <item x="178"/>
        <item x="180"/>
        <item x="141"/>
        <item x="145"/>
        <item x="146"/>
        <item x="142"/>
        <item x="331"/>
        <item x="53"/>
        <item x="281"/>
        <item x="135"/>
        <item x="137"/>
        <item x="257"/>
        <item x="366"/>
        <item x="368"/>
        <item x="367"/>
        <item x="393"/>
        <item x="392"/>
        <item x="12"/>
        <item x="132"/>
        <item x="130"/>
        <item x="157"/>
        <item x="156"/>
        <item x="128"/>
        <item x="133"/>
        <item x="111"/>
        <item x="79"/>
        <item x="64"/>
        <item x="80"/>
        <item x="81"/>
        <item x="82"/>
        <item x="394"/>
        <item x="149"/>
        <item x="263"/>
        <item x="194"/>
        <item x="22"/>
        <item x="119"/>
        <item x="122"/>
        <item x="343"/>
        <item x="345"/>
        <item x="264"/>
        <item x="217"/>
        <item x="216"/>
        <item x="350"/>
        <item x="305"/>
        <item x="220"/>
        <item x="344"/>
        <item x="267"/>
        <item x="339"/>
        <item x="250"/>
        <item x="326"/>
        <item x="228"/>
        <item x="184"/>
        <item x="0"/>
        <item x="384"/>
        <item x="148"/>
        <item x="138"/>
        <item x="101"/>
        <item x="147"/>
        <item x="124"/>
        <item x="140"/>
        <item x="325"/>
        <item x="123"/>
        <item x="121"/>
        <item x="227"/>
        <item x="342"/>
        <item x="349"/>
        <item x="340"/>
        <item x="276"/>
        <item x="109"/>
        <item x="383"/>
        <item x="386"/>
        <item x="347"/>
        <item x="346"/>
        <item x="348"/>
        <item x="271"/>
        <item x="221"/>
        <item x="314"/>
        <item x="102"/>
        <item x="253"/>
        <item x="233"/>
        <item x="234"/>
        <item x="235"/>
        <item x="66"/>
        <item x="67"/>
        <item x="258"/>
        <item x="120"/>
        <item x="248"/>
        <item x="150"/>
        <item x="338"/>
        <item x="187"/>
        <item x="51"/>
        <item x="285"/>
        <item x="202"/>
        <item x="321"/>
        <item x="322"/>
        <item x="323"/>
        <item x="197"/>
        <item x="139"/>
        <item x="354"/>
        <item x="286"/>
        <item x="60"/>
        <item x="61"/>
        <item x="99"/>
        <item x="114"/>
        <item x="103"/>
        <item x="129"/>
        <item x="136"/>
        <item x="151"/>
        <item x="162"/>
        <item x="249"/>
        <item x="218"/>
        <item x="254"/>
        <item x="219"/>
        <item x="324"/>
        <item x="246"/>
        <item x="59"/>
        <item x="19"/>
        <item x="125"/>
        <item x="277"/>
        <item x="245"/>
        <item x="57"/>
        <item x="247"/>
        <item x="87"/>
        <item x="96"/>
        <item x="279"/>
        <item x="278"/>
        <item x="280"/>
        <item x="294"/>
        <item x="265"/>
        <item x="333"/>
        <item x="262"/>
        <item x="143"/>
        <item x="144"/>
        <item x="90"/>
        <item x="319"/>
        <item x="40"/>
        <item x="28"/>
        <item x="27"/>
        <item x="26"/>
        <item x="328"/>
        <item x="329"/>
        <item x="100"/>
        <item x="155"/>
        <item x="98"/>
        <item x="62"/>
        <item x="108"/>
        <item x="153"/>
        <item x="152"/>
        <item x="330"/>
        <item x="364"/>
        <item x="337"/>
        <item x="29"/>
        <item x="112"/>
        <item x="336"/>
        <item x="113"/>
        <item x="176"/>
        <item x="17"/>
        <item x="18"/>
        <item x="182"/>
        <item x="118"/>
        <item x="15"/>
        <item x="16"/>
        <item x="13"/>
        <item x="14"/>
        <item x="160"/>
        <item x="289"/>
        <item x="296"/>
        <item x="315"/>
        <item x="302"/>
        <item x="313"/>
        <item x="167"/>
        <item x="396"/>
        <item x="206"/>
        <item x="203"/>
        <item x="201"/>
        <item x="48"/>
        <item x="23"/>
        <item x="380"/>
        <item x="190"/>
        <item x="269"/>
        <item x="107"/>
        <item x="209"/>
        <item x="224"/>
        <item x="58"/>
        <item x="238"/>
        <item x="20"/>
        <item x="211"/>
        <item x="310"/>
        <item x="172"/>
        <item x="177"/>
        <item x="173"/>
        <item x="297"/>
        <item x="300"/>
        <item x="191"/>
        <item x="312"/>
        <item x="179"/>
        <item x="334"/>
        <item x="303"/>
        <item x="243"/>
        <item x="260"/>
        <item x="261"/>
        <item x="68"/>
        <item x="78"/>
        <item x="65"/>
        <item x="7"/>
        <item x="11"/>
        <item x="268"/>
        <item x="352"/>
        <item x="232"/>
        <item x="327"/>
        <item x="189"/>
        <item x="353"/>
        <item x="89"/>
        <item x="24"/>
        <item x="295"/>
        <item x="33"/>
        <item x="84"/>
        <item x="110"/>
        <item x="10"/>
        <item x="154"/>
        <item x="385"/>
        <item x="382"/>
        <item x="351"/>
        <item x="377"/>
        <item t="default"/>
      </items>
    </pivotField>
    <pivotField showAll="0"/>
    <pivotField showAll="0"/>
    <pivotField dataField="1" showAll="0"/>
  </pivotFields>
  <rowFields count="1">
    <field x="0"/>
  </rowFields>
  <rowItems count="3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 t="grand">
      <x/>
    </i>
  </rowItems>
  <colItems count="1">
    <i/>
  </colItems>
  <dataFields count="1">
    <dataField name="Sum of x2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4693-C67C-4EBF-9644-EAA1A227901A}">
  <sheetPr codeName="Sheet3">
    <tabColor rgb="FFFF9933"/>
  </sheetPr>
  <dimension ref="A1:J512"/>
  <sheetViews>
    <sheetView showGridLines="0" tabSelected="1" topLeftCell="B1" zoomScale="85" zoomScaleNormal="85" workbookViewId="0">
      <pane ySplit="4" topLeftCell="A5" activePane="bottomLeft" state="frozen"/>
      <selection activeCell="T16" sqref="T16"/>
      <selection pane="bottomLeft" activeCell="E6" sqref="E6"/>
    </sheetView>
  </sheetViews>
  <sheetFormatPr defaultRowHeight="15"/>
  <cols>
    <col min="1" max="1" width="2.85546875" hidden="1" customWidth="1"/>
    <col min="2" max="2" width="13.140625" bestFit="1" customWidth="1"/>
    <col min="3" max="3" width="13" style="264" customWidth="1"/>
    <col min="4" max="4" width="10.5703125" bestFit="1" customWidth="1"/>
    <col min="5" max="5" width="11.28515625" bestFit="1" customWidth="1"/>
    <col min="6" max="6" width="13.7109375" bestFit="1" customWidth="1"/>
    <col min="7" max="7" width="13.140625" customWidth="1"/>
    <col min="8" max="8" width="11.28515625" bestFit="1" customWidth="1"/>
    <col min="9" max="9" width="10.5703125" bestFit="1" customWidth="1"/>
  </cols>
  <sheetData>
    <row r="1" spans="2:10" ht="18.75">
      <c r="B1" s="263" t="s">
        <v>2575</v>
      </c>
      <c r="F1" s="265" t="s">
        <v>987</v>
      </c>
    </row>
    <row r="2" spans="2:10" ht="15.75" thickBot="1">
      <c r="C2" s="266">
        <f>SUBTOTAL(9,C4:C1048576)</f>
        <v>0</v>
      </c>
      <c r="D2" s="268">
        <v>0</v>
      </c>
      <c r="F2" s="267">
        <f>SUMIF(D:D,F1,C:C)</f>
        <v>0</v>
      </c>
      <c r="G2" s="264">
        <f>+C2-F2</f>
        <v>0</v>
      </c>
      <c r="H2" s="268"/>
      <c r="I2" s="268"/>
    </row>
    <row r="3" spans="2:10" ht="45">
      <c r="B3" s="269" t="s">
        <v>988</v>
      </c>
      <c r="C3" s="270" t="s">
        <v>989</v>
      </c>
      <c r="D3" s="271" t="s">
        <v>319</v>
      </c>
      <c r="G3" s="268"/>
      <c r="H3" s="268"/>
      <c r="J3" s="142"/>
    </row>
    <row r="4" spans="2:10">
      <c r="B4" s="142">
        <v>64411</v>
      </c>
      <c r="C4" s="274">
        <f>SUMIF(Calculation!$A:$A,Summary!B4,Calculation!$C:$C)</f>
        <v>0</v>
      </c>
      <c r="D4" s="272" t="s">
        <v>2576</v>
      </c>
      <c r="E4" s="268"/>
      <c r="F4" s="268"/>
      <c r="G4" s="268"/>
      <c r="H4" s="268"/>
      <c r="I4" s="268"/>
      <c r="J4" s="268"/>
    </row>
    <row r="5" spans="2:10">
      <c r="B5" s="142">
        <v>64437</v>
      </c>
      <c r="C5" s="274">
        <f>SUMIF(Calculation!$A:$A,Summary!B5,Calculation!$C:$C)</f>
        <v>0</v>
      </c>
      <c r="D5" s="272" t="s">
        <v>2576</v>
      </c>
      <c r="E5" s="268"/>
      <c r="F5" s="268"/>
      <c r="G5" s="268"/>
      <c r="H5" s="268"/>
      <c r="I5" s="268"/>
      <c r="J5" s="268"/>
    </row>
    <row r="6" spans="2:10">
      <c r="B6" s="142">
        <v>64438</v>
      </c>
      <c r="C6" s="274">
        <f>SUMIF(Calculation!$A:$A,Summary!B6,Calculation!$C:$C)</f>
        <v>0</v>
      </c>
      <c r="D6" s="272" t="s">
        <v>2577</v>
      </c>
      <c r="E6" s="268"/>
      <c r="F6" s="268"/>
      <c r="G6" s="268"/>
      <c r="I6" s="268"/>
      <c r="J6" s="268"/>
    </row>
    <row r="7" spans="2:10">
      <c r="B7" s="142" t="s">
        <v>2210</v>
      </c>
      <c r="C7" s="274">
        <f>SUMIF(Calculation!$A:$A,Summary!B7,Calculation!$C:$C)</f>
        <v>0</v>
      </c>
      <c r="D7" s="272" t="s">
        <v>2577</v>
      </c>
      <c r="E7" s="268"/>
      <c r="F7" s="268"/>
      <c r="G7" s="268"/>
      <c r="I7" s="268"/>
      <c r="J7" s="268"/>
    </row>
    <row r="8" spans="2:10">
      <c r="B8" s="142" t="s">
        <v>2264</v>
      </c>
      <c r="C8" s="274">
        <f>SUMIF(Calculation!$A:$A,Summary!B8,Calculation!$C:$C)</f>
        <v>0</v>
      </c>
      <c r="D8" s="272" t="s">
        <v>2577</v>
      </c>
      <c r="E8" s="268"/>
      <c r="F8" s="268"/>
      <c r="G8" s="268"/>
      <c r="I8" s="268"/>
      <c r="J8" s="268"/>
    </row>
    <row r="9" spans="2:10">
      <c r="B9" s="142" t="s">
        <v>2115</v>
      </c>
      <c r="C9" s="274">
        <f>SUMIF(Calculation!$A:$A,Summary!B9,Calculation!$C:$C)</f>
        <v>0</v>
      </c>
      <c r="D9" s="272" t="s">
        <v>2577</v>
      </c>
      <c r="E9" s="268"/>
      <c r="F9" s="268"/>
      <c r="G9" s="268"/>
      <c r="I9" s="268"/>
      <c r="J9" s="268"/>
    </row>
    <row r="10" spans="2:10">
      <c r="B10" s="142" t="s">
        <v>2130</v>
      </c>
      <c r="C10" s="274">
        <f>SUMIF(Calculation!$A:$A,Summary!B10,Calculation!$C:$C)</f>
        <v>0</v>
      </c>
      <c r="D10" s="272" t="s">
        <v>2577</v>
      </c>
      <c r="E10" s="268"/>
      <c r="F10" s="268"/>
      <c r="G10" s="268"/>
      <c r="I10" s="268"/>
      <c r="J10" s="268"/>
    </row>
    <row r="11" spans="2:10">
      <c r="B11" s="142" t="s">
        <v>2263</v>
      </c>
      <c r="C11" s="274">
        <f>SUMIF(Calculation!$A:$A,Summary!B11,Calculation!$C:$C)</f>
        <v>0</v>
      </c>
      <c r="D11" s="272" t="s">
        <v>2577</v>
      </c>
      <c r="E11" s="268"/>
      <c r="F11" s="268"/>
      <c r="G11" s="268"/>
      <c r="I11" s="268"/>
      <c r="J11" s="268"/>
    </row>
    <row r="12" spans="2:10">
      <c r="B12" s="142" t="s">
        <v>2251</v>
      </c>
      <c r="C12" s="274">
        <f>SUMIF(Calculation!$A:$A,Summary!B12,Calculation!$C:$C)</f>
        <v>0</v>
      </c>
      <c r="D12" s="272" t="s">
        <v>2577</v>
      </c>
      <c r="E12" s="268"/>
      <c r="F12" s="268"/>
      <c r="G12" s="268"/>
      <c r="I12" s="268"/>
      <c r="J12" s="268"/>
    </row>
    <row r="13" spans="2:10">
      <c r="B13" s="142" t="s">
        <v>2097</v>
      </c>
      <c r="C13" s="274">
        <f>SUMIF(Calculation!$A:$A,Summary!B13,Calculation!$C:$C)</f>
        <v>0</v>
      </c>
      <c r="D13" s="272" t="s">
        <v>2577</v>
      </c>
      <c r="E13" s="268"/>
      <c r="F13" s="268"/>
      <c r="G13" s="268"/>
      <c r="I13" s="268"/>
      <c r="J13" s="268"/>
    </row>
    <row r="14" spans="2:10">
      <c r="B14" s="142" t="s">
        <v>2117</v>
      </c>
      <c r="C14" s="274">
        <f>SUMIF(Calculation!$A:$A,Summary!B14,Calculation!$C:$C)</f>
        <v>0</v>
      </c>
      <c r="D14" s="272" t="s">
        <v>2577</v>
      </c>
      <c r="E14" s="268"/>
      <c r="F14" s="268"/>
      <c r="G14" s="268"/>
      <c r="I14" s="268"/>
      <c r="J14" s="268"/>
    </row>
    <row r="15" spans="2:10">
      <c r="B15" s="142" t="s">
        <v>2145</v>
      </c>
      <c r="C15" s="274">
        <f>SUMIF(Calculation!$A:$A,Summary!B15,Calculation!$C:$C)</f>
        <v>0</v>
      </c>
      <c r="D15" s="272" t="s">
        <v>2577</v>
      </c>
      <c r="E15" s="268"/>
      <c r="F15" s="268"/>
      <c r="G15" s="268"/>
      <c r="I15" s="268"/>
      <c r="J15" s="268"/>
    </row>
    <row r="16" spans="2:10">
      <c r="B16" s="142" t="s">
        <v>2239</v>
      </c>
      <c r="C16" s="274">
        <f>SUMIF(Calculation!$A:$A,Summary!B16,Calculation!$C:$C)</f>
        <v>0</v>
      </c>
      <c r="D16" s="272" t="s">
        <v>2577</v>
      </c>
      <c r="E16" s="268"/>
      <c r="F16" s="268"/>
      <c r="G16" s="268"/>
      <c r="I16" s="268"/>
      <c r="J16" s="268"/>
    </row>
    <row r="17" spans="2:10">
      <c r="B17" s="142" t="s">
        <v>2309</v>
      </c>
      <c r="C17" s="274">
        <f>SUMIF(Calculation!$A:$A,Summary!B17,Calculation!$C:$C)</f>
        <v>0</v>
      </c>
      <c r="D17" s="272" t="s">
        <v>2577</v>
      </c>
      <c r="E17" s="268"/>
      <c r="F17" s="268"/>
      <c r="G17" s="268"/>
      <c r="I17" s="268"/>
      <c r="J17" s="268"/>
    </row>
    <row r="18" spans="2:10">
      <c r="B18" s="142" t="s">
        <v>2310</v>
      </c>
      <c r="C18" s="274">
        <f>SUMIF(Calculation!$A:$A,Summary!B18,Calculation!$C:$C)</f>
        <v>0</v>
      </c>
      <c r="D18" s="272" t="s">
        <v>2577</v>
      </c>
      <c r="E18" s="268"/>
      <c r="F18" s="268"/>
      <c r="G18" s="268"/>
      <c r="I18" s="268"/>
      <c r="J18" s="268"/>
    </row>
    <row r="19" spans="2:10">
      <c r="B19" s="142" t="s">
        <v>2114</v>
      </c>
      <c r="C19" s="274">
        <f>SUMIF(Calculation!$A:$A,Summary!B19,Calculation!$C:$C)</f>
        <v>0</v>
      </c>
      <c r="D19" s="272" t="s">
        <v>2577</v>
      </c>
      <c r="E19" s="268"/>
      <c r="F19" s="268"/>
      <c r="G19" s="268"/>
      <c r="I19" s="268"/>
      <c r="J19" s="268"/>
    </row>
    <row r="20" spans="2:10">
      <c r="B20" s="142" t="s">
        <v>2164</v>
      </c>
      <c r="C20" s="274">
        <f>SUMIF(Calculation!$A:$A,Summary!B20,Calculation!$C:$C)</f>
        <v>0</v>
      </c>
      <c r="D20" s="272" t="s">
        <v>2577</v>
      </c>
      <c r="E20" s="268"/>
      <c r="F20" s="268"/>
      <c r="G20" s="268"/>
      <c r="I20" s="268"/>
      <c r="J20" s="268"/>
    </row>
    <row r="21" spans="2:10">
      <c r="B21" s="142" t="s">
        <v>2116</v>
      </c>
      <c r="C21" s="274">
        <f>SUMIF(Calculation!$A:$A,Summary!B21,Calculation!$C:$C)</f>
        <v>0</v>
      </c>
      <c r="D21" s="272" t="s">
        <v>2577</v>
      </c>
      <c r="E21" s="268"/>
      <c r="F21" s="268"/>
      <c r="G21" s="268"/>
      <c r="I21" s="268"/>
      <c r="J21" s="268"/>
    </row>
    <row r="22" spans="2:10">
      <c r="B22" s="142" t="s">
        <v>2267</v>
      </c>
      <c r="C22" s="274">
        <f>SUMIF(Calculation!$A:$A,Summary!B22,Calculation!$C:$C)</f>
        <v>0</v>
      </c>
      <c r="D22" s="272" t="s">
        <v>2577</v>
      </c>
      <c r="E22" s="268"/>
      <c r="F22" s="268"/>
      <c r="G22" s="268"/>
      <c r="I22" s="268"/>
      <c r="J22" s="268"/>
    </row>
    <row r="23" spans="2:10">
      <c r="B23" s="142" t="s">
        <v>2266</v>
      </c>
      <c r="C23" s="274">
        <f>SUMIF(Calculation!$A:$A,Summary!B23,Calculation!$C:$C)</f>
        <v>0</v>
      </c>
      <c r="D23" s="272" t="s">
        <v>2577</v>
      </c>
      <c r="E23" s="268"/>
      <c r="F23" s="268"/>
      <c r="G23" s="268"/>
      <c r="I23" s="268"/>
      <c r="J23" s="268"/>
    </row>
    <row r="24" spans="2:10">
      <c r="B24" s="142" t="s">
        <v>2165</v>
      </c>
      <c r="C24" s="274">
        <f>SUMIF(Calculation!$A:$A,Summary!B24,Calculation!$C:$C)</f>
        <v>0</v>
      </c>
      <c r="D24" s="272" t="s">
        <v>2577</v>
      </c>
      <c r="E24" s="268"/>
      <c r="F24" s="268"/>
      <c r="G24" s="268"/>
      <c r="I24" s="268"/>
      <c r="J24" s="268"/>
    </row>
    <row r="25" spans="2:10">
      <c r="B25" s="142" t="s">
        <v>2166</v>
      </c>
      <c r="C25" s="274">
        <f>SUMIF(Calculation!$A:$A,Summary!B25,Calculation!$C:$C)</f>
        <v>0</v>
      </c>
      <c r="D25" s="272" t="s">
        <v>2577</v>
      </c>
      <c r="E25" s="268"/>
      <c r="F25" s="268"/>
      <c r="G25" s="268"/>
      <c r="I25" s="268"/>
      <c r="J25" s="268"/>
    </row>
    <row r="26" spans="2:10">
      <c r="B26" s="142" t="s">
        <v>2262</v>
      </c>
      <c r="C26" s="274">
        <f>SUMIF(Calculation!$A:$A,Summary!B26,Calculation!$C:$C)</f>
        <v>0</v>
      </c>
      <c r="D26" s="272" t="s">
        <v>2577</v>
      </c>
      <c r="E26" s="268"/>
      <c r="F26" s="268"/>
      <c r="G26" s="268"/>
      <c r="I26" s="268"/>
      <c r="J26" s="268"/>
    </row>
    <row r="27" spans="2:10">
      <c r="B27" s="142" t="s">
        <v>2167</v>
      </c>
      <c r="C27" s="274">
        <f>SUMIF(Calculation!$A:$A,Summary!B27,Calculation!$C:$C)</f>
        <v>0</v>
      </c>
      <c r="D27" s="272" t="s">
        <v>2577</v>
      </c>
      <c r="E27" s="268"/>
      <c r="F27" s="268"/>
      <c r="G27" s="268"/>
      <c r="I27" s="268"/>
      <c r="J27" s="268"/>
    </row>
    <row r="28" spans="2:10">
      <c r="B28" s="142" t="s">
        <v>2080</v>
      </c>
      <c r="C28" s="274">
        <f>SUMIF(Calculation!$A:$A,Summary!B28,Calculation!$C:$C)</f>
        <v>0</v>
      </c>
      <c r="D28" s="272" t="s">
        <v>2577</v>
      </c>
      <c r="E28" s="268"/>
      <c r="F28" s="268"/>
      <c r="G28" s="268"/>
      <c r="I28" s="268"/>
      <c r="J28" s="268"/>
    </row>
    <row r="29" spans="2:10">
      <c r="B29" s="142" t="s">
        <v>2268</v>
      </c>
      <c r="C29" s="274">
        <f>SUMIF(Calculation!$A:$A,Summary!B29,Calculation!$C:$C)</f>
        <v>0</v>
      </c>
      <c r="D29" s="272" t="s">
        <v>2577</v>
      </c>
      <c r="E29" s="268"/>
      <c r="F29" s="268"/>
      <c r="G29" s="268"/>
      <c r="I29" s="268"/>
      <c r="J29" s="268"/>
    </row>
    <row r="30" spans="2:10">
      <c r="B30" s="142" t="s">
        <v>2184</v>
      </c>
      <c r="C30" s="274">
        <f>SUMIF(Calculation!$A:$A,Summary!B30,Calculation!$C:$C)</f>
        <v>0</v>
      </c>
      <c r="D30" s="272" t="s">
        <v>2577</v>
      </c>
      <c r="E30" s="268"/>
      <c r="F30" s="268"/>
      <c r="G30" s="268"/>
      <c r="I30" s="268"/>
      <c r="J30" s="268"/>
    </row>
    <row r="31" spans="2:10">
      <c r="B31" s="142" t="s">
        <v>2147</v>
      </c>
      <c r="C31" s="274">
        <f>SUMIF(Calculation!$A:$A,Summary!B31,Calculation!$C:$C)</f>
        <v>0</v>
      </c>
      <c r="D31" s="272" t="s">
        <v>2577</v>
      </c>
      <c r="E31" s="268"/>
      <c r="F31" s="268"/>
      <c r="G31" s="268"/>
      <c r="I31" s="268"/>
      <c r="J31" s="268"/>
    </row>
    <row r="32" spans="2:10">
      <c r="B32" s="142" t="s">
        <v>2240</v>
      </c>
      <c r="C32" s="274">
        <f>SUMIF(Calculation!$A:$A,Summary!B32,Calculation!$C:$C)</f>
        <v>0</v>
      </c>
      <c r="D32" s="272" t="s">
        <v>2577</v>
      </c>
      <c r="E32" s="268"/>
      <c r="F32" s="268"/>
      <c r="G32" s="268"/>
      <c r="I32" s="268"/>
      <c r="J32" s="268"/>
    </row>
    <row r="33" spans="2:10">
      <c r="B33" s="142" t="s">
        <v>2134</v>
      </c>
      <c r="C33" s="274">
        <f>SUMIF(Calculation!$A:$A,Summary!B33,Calculation!$C:$C)</f>
        <v>0</v>
      </c>
      <c r="D33" s="272" t="s">
        <v>2577</v>
      </c>
      <c r="E33" s="268"/>
      <c r="F33" s="268"/>
      <c r="G33" s="268"/>
      <c r="I33" s="268"/>
      <c r="J33" s="268"/>
    </row>
    <row r="34" spans="2:10">
      <c r="B34" s="142" t="s">
        <v>2304</v>
      </c>
      <c r="C34" s="274">
        <f>SUMIF(Calculation!$A:$A,Summary!B34,Calculation!$C:$C)</f>
        <v>0</v>
      </c>
      <c r="D34" s="272" t="s">
        <v>2577</v>
      </c>
      <c r="E34" s="268"/>
      <c r="F34" s="268"/>
      <c r="G34" s="268"/>
      <c r="I34" s="268"/>
      <c r="J34" s="268"/>
    </row>
    <row r="35" spans="2:10">
      <c r="B35" s="142" t="s">
        <v>2307</v>
      </c>
      <c r="C35" s="274">
        <f>SUMIF(Calculation!$A:$A,Summary!B35,Calculation!$C:$C)</f>
        <v>0</v>
      </c>
      <c r="D35" s="272" t="s">
        <v>2577</v>
      </c>
      <c r="E35" s="268"/>
      <c r="F35" s="268"/>
      <c r="G35" s="268"/>
      <c r="I35" s="268"/>
      <c r="J35" s="268"/>
    </row>
    <row r="36" spans="2:10">
      <c r="B36" s="142" t="s">
        <v>2431</v>
      </c>
      <c r="C36" s="274">
        <f>SUMIF(Calculation!$A:$A,Summary!B36,Calculation!$C:$C)</f>
        <v>0</v>
      </c>
      <c r="D36" s="272" t="s">
        <v>2577</v>
      </c>
      <c r="E36" s="268"/>
      <c r="F36" s="268"/>
      <c r="G36" s="268"/>
      <c r="I36" s="268"/>
      <c r="J36" s="268"/>
    </row>
    <row r="37" spans="2:10">
      <c r="B37" s="142" t="s">
        <v>2322</v>
      </c>
      <c r="C37" s="274">
        <f>SUMIF(Calculation!$A:$A,Summary!B37,Calculation!$C:$C)</f>
        <v>0</v>
      </c>
      <c r="D37" s="272" t="s">
        <v>2577</v>
      </c>
      <c r="E37" s="268"/>
      <c r="F37" s="268"/>
      <c r="G37" s="268"/>
      <c r="I37" s="268"/>
      <c r="J37" s="268"/>
    </row>
    <row r="38" spans="2:10">
      <c r="B38" s="142" t="s">
        <v>2339</v>
      </c>
      <c r="C38" s="274">
        <f>SUMIF(Calculation!$A:$A,Summary!B38,Calculation!$C:$C)</f>
        <v>0</v>
      </c>
      <c r="D38" s="272" t="s">
        <v>2577</v>
      </c>
      <c r="E38" s="268"/>
      <c r="F38" s="268"/>
      <c r="G38" s="268"/>
      <c r="I38" s="268"/>
      <c r="J38" s="268"/>
    </row>
    <row r="39" spans="2:10">
      <c r="B39" s="142" t="s">
        <v>2427</v>
      </c>
      <c r="C39" s="274">
        <f>SUMIF(Calculation!$A:$A,Summary!B39,Calculation!$C:$C)</f>
        <v>0</v>
      </c>
      <c r="D39" s="272" t="s">
        <v>2577</v>
      </c>
      <c r="E39" s="268"/>
      <c r="F39" s="268"/>
      <c r="G39" s="268"/>
      <c r="I39" s="268"/>
      <c r="J39" s="268"/>
    </row>
    <row r="40" spans="2:10">
      <c r="B40" s="142" t="s">
        <v>2410</v>
      </c>
      <c r="C40" s="274">
        <f>SUMIF(Calculation!$A:$A,Summary!B40,Calculation!$C:$C)</f>
        <v>0</v>
      </c>
      <c r="D40" s="272" t="s">
        <v>2577</v>
      </c>
      <c r="E40" s="268"/>
      <c r="F40" s="268"/>
      <c r="G40" s="268"/>
      <c r="I40" s="268"/>
      <c r="J40" s="268"/>
    </row>
    <row r="41" spans="2:10">
      <c r="B41" s="142" t="s">
        <v>2287</v>
      </c>
      <c r="C41" s="274">
        <f>SUMIF(Calculation!$A:$A,Summary!B41,Calculation!$C:$C)</f>
        <v>0</v>
      </c>
      <c r="D41" s="272" t="s">
        <v>2577</v>
      </c>
      <c r="E41" s="268"/>
      <c r="F41" s="268"/>
      <c r="G41" s="268"/>
      <c r="I41" s="268"/>
      <c r="J41" s="268"/>
    </row>
    <row r="42" spans="2:10">
      <c r="B42" s="142" t="s">
        <v>2142</v>
      </c>
      <c r="C42" s="274">
        <f>SUMIF(Calculation!$A:$A,Summary!B42,Calculation!$C:$C)</f>
        <v>0</v>
      </c>
      <c r="D42" s="272" t="s">
        <v>2577</v>
      </c>
      <c r="E42" s="268"/>
      <c r="F42" s="268"/>
      <c r="G42" s="268"/>
      <c r="I42" s="268"/>
      <c r="J42" s="268"/>
    </row>
    <row r="43" spans="2:10">
      <c r="B43" s="142" t="s">
        <v>2096</v>
      </c>
      <c r="C43" s="274">
        <f>SUMIF(Calculation!$A:$A,Summary!B43,Calculation!$C:$C)</f>
        <v>0</v>
      </c>
      <c r="D43" s="272" t="s">
        <v>2577</v>
      </c>
      <c r="E43" s="268"/>
      <c r="F43" s="268"/>
      <c r="G43" s="268"/>
      <c r="I43" s="268"/>
      <c r="J43" s="268"/>
    </row>
    <row r="44" spans="2:10">
      <c r="B44" s="142" t="s">
        <v>2118</v>
      </c>
      <c r="C44" s="274">
        <f>SUMIF(Calculation!$A:$A,Summary!B44,Calculation!$C:$C)</f>
        <v>0</v>
      </c>
      <c r="D44" s="272" t="s">
        <v>2577</v>
      </c>
      <c r="E44" s="268"/>
      <c r="F44" s="268"/>
      <c r="G44" s="268"/>
      <c r="I44" s="268"/>
      <c r="J44" s="268"/>
    </row>
    <row r="45" spans="2:10">
      <c r="B45" s="142" t="s">
        <v>2127</v>
      </c>
      <c r="C45" s="274">
        <f>SUMIF(Calculation!$A:$A,Summary!B45,Calculation!$C:$C)</f>
        <v>0</v>
      </c>
      <c r="D45" s="272" t="s">
        <v>2577</v>
      </c>
      <c r="E45" s="321"/>
      <c r="F45" s="268"/>
      <c r="G45" s="268"/>
      <c r="I45" s="268"/>
      <c r="J45" s="268"/>
    </row>
    <row r="46" spans="2:10">
      <c r="B46" s="142" t="s">
        <v>2126</v>
      </c>
      <c r="C46" s="274">
        <f>SUMIF(Calculation!$A:$A,Summary!B46,Calculation!$C:$C)</f>
        <v>0</v>
      </c>
      <c r="D46" s="272" t="s">
        <v>2577</v>
      </c>
      <c r="E46" s="268"/>
      <c r="F46" s="268"/>
      <c r="G46" s="268"/>
      <c r="I46" s="268"/>
      <c r="J46" s="268"/>
    </row>
    <row r="47" spans="2:10">
      <c r="B47" s="142" t="s">
        <v>2193</v>
      </c>
      <c r="C47" s="274">
        <f>SUMIF(Calculation!$A:$A,Summary!B47,Calculation!$C:$C)</f>
        <v>0</v>
      </c>
      <c r="D47" s="272" t="s">
        <v>2577</v>
      </c>
      <c r="E47" s="268"/>
      <c r="F47" s="268"/>
      <c r="G47" s="268"/>
      <c r="I47" s="268"/>
      <c r="J47" s="268"/>
    </row>
    <row r="48" spans="2:10">
      <c r="B48" s="142" t="s">
        <v>2175</v>
      </c>
      <c r="C48" s="274">
        <f>SUMIF(Calculation!$A:$A,Summary!B48,Calculation!$C:$C)</f>
        <v>0</v>
      </c>
      <c r="D48" s="272" t="s">
        <v>2577</v>
      </c>
      <c r="E48" s="268"/>
      <c r="F48" s="268"/>
      <c r="G48" s="268"/>
      <c r="I48" s="268"/>
      <c r="J48" s="268"/>
    </row>
    <row r="49" spans="2:10">
      <c r="B49" s="142" t="s">
        <v>2183</v>
      </c>
      <c r="C49" s="274">
        <f>SUMIF(Calculation!$A:$A,Summary!B49,Calculation!$C:$C)</f>
        <v>0</v>
      </c>
      <c r="D49" s="272" t="s">
        <v>2577</v>
      </c>
      <c r="E49" s="268"/>
      <c r="F49" s="268"/>
      <c r="G49" s="268"/>
      <c r="I49" s="268"/>
      <c r="J49" s="268"/>
    </row>
    <row r="50" spans="2:10">
      <c r="B50" s="142" t="s">
        <v>2098</v>
      </c>
      <c r="C50" s="274">
        <f>SUMIF(Calculation!$A:$A,Summary!B50,Calculation!$C:$C)</f>
        <v>0</v>
      </c>
      <c r="D50" s="272" t="s">
        <v>2577</v>
      </c>
      <c r="E50" s="268"/>
      <c r="F50" s="268"/>
      <c r="G50" s="268"/>
      <c r="I50" s="268"/>
      <c r="J50" s="268"/>
    </row>
    <row r="51" spans="2:10">
      <c r="B51" s="142" t="s">
        <v>2100</v>
      </c>
      <c r="C51" s="274">
        <f>SUMIF(Calculation!$A:$A,Summary!B51,Calculation!$C:$C)</f>
        <v>0</v>
      </c>
      <c r="D51" s="272" t="s">
        <v>2577</v>
      </c>
      <c r="E51" s="268"/>
      <c r="F51" s="268"/>
      <c r="G51" s="268"/>
      <c r="I51" s="268"/>
      <c r="J51" s="268"/>
    </row>
    <row r="52" spans="2:10">
      <c r="B52" s="142" t="s">
        <v>2099</v>
      </c>
      <c r="C52" s="274">
        <f>SUMIF(Calculation!$A:$A,Summary!B52,Calculation!$C:$C)</f>
        <v>0</v>
      </c>
      <c r="D52" s="272" t="s">
        <v>2577</v>
      </c>
      <c r="E52" s="268"/>
      <c r="F52" s="268"/>
      <c r="G52" s="268"/>
      <c r="I52" s="268"/>
      <c r="J52" s="268"/>
    </row>
    <row r="53" spans="2:10">
      <c r="B53" s="142" t="s">
        <v>2141</v>
      </c>
      <c r="C53" s="274">
        <f>SUMIF(Calculation!$A:$A,Summary!B53,Calculation!$C:$C)</f>
        <v>0</v>
      </c>
      <c r="D53" s="272" t="s">
        <v>2577</v>
      </c>
      <c r="E53" s="268"/>
      <c r="F53" s="268"/>
      <c r="G53" s="268"/>
      <c r="I53" s="268"/>
      <c r="J53" s="268"/>
    </row>
    <row r="54" spans="2:10">
      <c r="B54" s="142" t="s">
        <v>2188</v>
      </c>
      <c r="C54" s="274">
        <f>SUMIF(Calculation!$A:$A,Summary!B54,Calculation!$C:$C)</f>
        <v>0</v>
      </c>
      <c r="D54" s="272" t="s">
        <v>2577</v>
      </c>
      <c r="E54" s="268"/>
      <c r="F54" s="268"/>
      <c r="G54" s="268"/>
      <c r="I54" s="268"/>
      <c r="J54" s="268"/>
    </row>
    <row r="55" spans="2:10">
      <c r="B55" s="142" t="s">
        <v>2185</v>
      </c>
      <c r="C55" s="274">
        <f>SUMIF(Calculation!$A:$A,Summary!B55,Calculation!$C:$C)</f>
        <v>0</v>
      </c>
      <c r="D55" s="272" t="s">
        <v>2577</v>
      </c>
      <c r="E55" s="268"/>
      <c r="F55" s="268"/>
      <c r="G55" s="268"/>
      <c r="I55" s="268"/>
      <c r="J55" s="268"/>
    </row>
    <row r="56" spans="2:10">
      <c r="B56" s="142" t="s">
        <v>2186</v>
      </c>
      <c r="C56" s="274">
        <f>SUMIF(Calculation!$A:$A,Summary!B56,Calculation!$C:$C)</f>
        <v>0</v>
      </c>
      <c r="D56" s="272" t="s">
        <v>2577</v>
      </c>
      <c r="E56" s="268"/>
      <c r="F56" s="268"/>
      <c r="G56" s="268"/>
      <c r="I56" s="268"/>
      <c r="J56" s="268"/>
    </row>
    <row r="57" spans="2:10">
      <c r="B57" s="142" t="s">
        <v>2187</v>
      </c>
      <c r="C57" s="274">
        <f>SUMIF(Calculation!$A:$A,Summary!B57,Calculation!$C:$C)</f>
        <v>0</v>
      </c>
      <c r="D57" s="272" t="s">
        <v>2577</v>
      </c>
      <c r="E57" s="268"/>
      <c r="F57" s="268"/>
      <c r="G57" s="268"/>
      <c r="I57" s="268"/>
      <c r="J57" s="268"/>
    </row>
    <row r="58" spans="2:10">
      <c r="B58" s="142" t="s">
        <v>2278</v>
      </c>
      <c r="C58" s="274">
        <f>SUMIF(Calculation!$A:$A,Summary!B58,Calculation!$C:$C)</f>
        <v>0</v>
      </c>
      <c r="D58" s="272" t="s">
        <v>2577</v>
      </c>
      <c r="E58" s="268"/>
      <c r="F58" s="268"/>
      <c r="G58" s="268"/>
      <c r="I58" s="268"/>
      <c r="J58" s="268"/>
    </row>
    <row r="59" spans="2:10">
      <c r="B59" s="142" t="s">
        <v>2176</v>
      </c>
      <c r="C59" s="274">
        <f>SUMIF(Calculation!$A:$A,Summary!B59,Calculation!$C:$C)</f>
        <v>0</v>
      </c>
      <c r="D59" s="272" t="s">
        <v>2577</v>
      </c>
      <c r="E59" s="268"/>
      <c r="F59" s="268"/>
      <c r="G59" s="268"/>
      <c r="I59" s="268"/>
      <c r="J59" s="268"/>
    </row>
    <row r="60" spans="2:10">
      <c r="B60" s="142" t="s">
        <v>2157</v>
      </c>
      <c r="C60" s="274">
        <f>SUMIF(Calculation!$A:$A,Summary!B60,Calculation!$C:$C)</f>
        <v>0</v>
      </c>
      <c r="D60" s="272" t="s">
        <v>2577</v>
      </c>
      <c r="E60" s="268"/>
      <c r="F60" s="268"/>
      <c r="G60" s="268"/>
      <c r="I60" s="268"/>
      <c r="J60" s="268"/>
    </row>
    <row r="61" spans="2:10">
      <c r="B61" s="142" t="s">
        <v>2101</v>
      </c>
      <c r="C61" s="274">
        <f>SUMIF(Calculation!$A:$A,Summary!B61,Calculation!$C:$C)</f>
        <v>0</v>
      </c>
      <c r="D61" s="272" t="s">
        <v>2577</v>
      </c>
      <c r="E61" s="268"/>
      <c r="F61" s="268"/>
      <c r="G61" s="268"/>
      <c r="I61" s="268"/>
      <c r="J61" s="268"/>
    </row>
    <row r="62" spans="2:10">
      <c r="B62" s="142" t="s">
        <v>2288</v>
      </c>
      <c r="C62" s="274">
        <f>SUMIF(Calculation!$A:$A,Summary!B62,Calculation!$C:$C)</f>
        <v>0</v>
      </c>
      <c r="D62" s="272" t="s">
        <v>2577</v>
      </c>
      <c r="E62" s="268"/>
      <c r="F62" s="268"/>
      <c r="G62" s="268"/>
      <c r="I62" s="268"/>
      <c r="J62" s="268"/>
    </row>
    <row r="63" spans="2:10">
      <c r="B63" s="142" t="s">
        <v>2336</v>
      </c>
      <c r="C63" s="274">
        <f>SUMIF(Calculation!$A:$A,Summary!B63,Calculation!$C:$C)</f>
        <v>0</v>
      </c>
      <c r="D63" s="272" t="s">
        <v>2577</v>
      </c>
      <c r="E63" s="268"/>
      <c r="F63" s="268"/>
      <c r="G63" s="268"/>
      <c r="I63" s="268"/>
      <c r="J63" s="268"/>
    </row>
    <row r="64" spans="2:10">
      <c r="B64" s="142" t="s">
        <v>2247</v>
      </c>
      <c r="C64" s="274">
        <f>SUMIF(Calculation!$A:$A,Summary!B64,Calculation!$C:$C)</f>
        <v>0</v>
      </c>
      <c r="D64" s="272" t="s">
        <v>2577</v>
      </c>
      <c r="E64" s="268"/>
      <c r="F64" s="268"/>
      <c r="G64" s="268"/>
      <c r="I64" s="268"/>
      <c r="J64" s="268"/>
    </row>
    <row r="65" spans="2:10">
      <c r="B65" s="142" t="s">
        <v>2246</v>
      </c>
      <c r="C65" s="274">
        <f>SUMIF(Calculation!$A:$A,Summary!B65,Calculation!$C:$C)</f>
        <v>0</v>
      </c>
      <c r="D65" s="272" t="s">
        <v>2577</v>
      </c>
      <c r="E65" s="268"/>
      <c r="F65" s="268"/>
      <c r="G65" s="268"/>
      <c r="I65" s="268"/>
      <c r="J65" s="268"/>
    </row>
    <row r="66" spans="2:10">
      <c r="B66" s="142" t="s">
        <v>2146</v>
      </c>
      <c r="C66" s="274">
        <f>SUMIF(Calculation!$A:$A,Summary!B66,Calculation!$C:$C)</f>
        <v>0</v>
      </c>
      <c r="D66" s="272" t="s">
        <v>2577</v>
      </c>
      <c r="E66" s="268"/>
      <c r="F66" s="268"/>
      <c r="G66" s="268"/>
      <c r="I66" s="268"/>
      <c r="J66" s="268"/>
    </row>
    <row r="67" spans="2:10">
      <c r="B67" s="142" t="s">
        <v>2109</v>
      </c>
      <c r="C67" s="274">
        <f>SUMIF(Calculation!$A:$A,Summary!B67,Calculation!$C:$C)</f>
        <v>0</v>
      </c>
      <c r="D67" s="272" t="s">
        <v>2577</v>
      </c>
      <c r="E67" s="268"/>
      <c r="F67" s="268"/>
      <c r="G67" s="268"/>
      <c r="I67" s="268"/>
      <c r="J67" s="268"/>
    </row>
    <row r="68" spans="2:10">
      <c r="B68" s="142" t="s">
        <v>2337</v>
      </c>
      <c r="C68" s="274">
        <f>SUMIF(Calculation!$A:$A,Summary!B68,Calculation!$C:$C)</f>
        <v>0</v>
      </c>
      <c r="D68" s="272" t="s">
        <v>2577</v>
      </c>
      <c r="E68" s="268"/>
      <c r="F68" s="268"/>
      <c r="G68" s="268"/>
      <c r="I68" s="268"/>
      <c r="J68" s="268"/>
    </row>
    <row r="69" spans="2:10">
      <c r="B69" s="142" t="s">
        <v>2277</v>
      </c>
      <c r="C69" s="274">
        <f>SUMIF(Calculation!$A:$A,Summary!B69,Calculation!$C:$C)</f>
        <v>0</v>
      </c>
      <c r="D69" s="272" t="s">
        <v>2577</v>
      </c>
      <c r="E69" s="268"/>
      <c r="F69" s="268"/>
      <c r="G69" s="268"/>
      <c r="I69" s="268"/>
      <c r="J69" s="268"/>
    </row>
    <row r="70" spans="2:10">
      <c r="B70" s="142" t="s">
        <v>2213</v>
      </c>
      <c r="C70" s="274">
        <f>SUMIF(Calculation!$A:$A,Summary!B70,Calculation!$C:$C)</f>
        <v>0</v>
      </c>
      <c r="D70" s="272" t="s">
        <v>2577</v>
      </c>
      <c r="E70" s="268"/>
      <c r="F70" s="268"/>
      <c r="G70" s="268"/>
      <c r="I70" s="268"/>
      <c r="J70" s="268"/>
    </row>
    <row r="71" spans="2:10">
      <c r="B71" s="142" t="s">
        <v>2214</v>
      </c>
      <c r="C71" s="274">
        <f>SUMIF(Calculation!$A:$A,Summary!B71,Calculation!$C:$C)</f>
        <v>0</v>
      </c>
      <c r="D71" s="272" t="s">
        <v>2577</v>
      </c>
      <c r="E71" s="268"/>
      <c r="F71" s="268"/>
      <c r="G71" s="268"/>
      <c r="I71" s="268"/>
      <c r="J71" s="268"/>
    </row>
    <row r="72" spans="2:10">
      <c r="B72" s="142" t="s">
        <v>2305</v>
      </c>
      <c r="C72" s="274">
        <f>SUMIF(Calculation!$A:$A,Summary!B72,Calculation!$C:$C)</f>
        <v>0</v>
      </c>
      <c r="D72" s="272" t="s">
        <v>2577</v>
      </c>
      <c r="E72" s="268"/>
      <c r="F72" s="268"/>
      <c r="G72" s="268"/>
      <c r="I72" s="268"/>
      <c r="J72" s="268"/>
    </row>
    <row r="73" spans="2:10">
      <c r="B73" s="142" t="s">
        <v>2389</v>
      </c>
      <c r="C73" s="274">
        <f>SUMIF(Calculation!$A:$A,Summary!B73,Calculation!$C:$C)</f>
        <v>0</v>
      </c>
      <c r="D73" s="272" t="s">
        <v>2577</v>
      </c>
      <c r="E73" s="268"/>
      <c r="F73" s="268"/>
      <c r="G73" s="268"/>
      <c r="I73" s="268"/>
      <c r="J73" s="268"/>
    </row>
    <row r="74" spans="2:10">
      <c r="B74" s="142" t="s">
        <v>2194</v>
      </c>
      <c r="C74" s="274">
        <f>SUMIF(Calculation!$A:$A,Summary!B74,Calculation!$C:$C)</f>
        <v>0</v>
      </c>
      <c r="D74" s="272" t="s">
        <v>2577</v>
      </c>
      <c r="E74" s="268"/>
      <c r="F74" s="268"/>
      <c r="G74" s="268"/>
      <c r="I74" s="268"/>
      <c r="J74" s="268"/>
    </row>
    <row r="75" spans="2:10">
      <c r="B75" s="142" t="s">
        <v>2279</v>
      </c>
      <c r="C75" s="274">
        <f>SUMIF(Calculation!$A:$A,Summary!B75,Calculation!$C:$C)</f>
        <v>0</v>
      </c>
      <c r="D75" s="272" t="s">
        <v>2577</v>
      </c>
      <c r="E75" s="268"/>
      <c r="F75" s="268"/>
      <c r="G75" s="268"/>
      <c r="I75" s="268"/>
      <c r="J75" s="268"/>
    </row>
    <row r="76" spans="2:10">
      <c r="B76" s="142" t="s">
        <v>2256</v>
      </c>
      <c r="C76" s="274">
        <f>SUMIF(Calculation!$A:$A,Summary!B76,Calculation!$C:$C)</f>
        <v>0</v>
      </c>
      <c r="D76" s="272" t="s">
        <v>2577</v>
      </c>
      <c r="E76" s="268"/>
      <c r="F76" s="268"/>
      <c r="G76" s="268"/>
      <c r="I76" s="268"/>
      <c r="J76" s="268"/>
    </row>
    <row r="77" spans="2:10">
      <c r="B77" s="142" t="s">
        <v>2215</v>
      </c>
      <c r="C77" s="274">
        <f>SUMIF(Calculation!$A:$A,Summary!B77,Calculation!$C:$C)</f>
        <v>0</v>
      </c>
      <c r="D77" s="272" t="s">
        <v>2577</v>
      </c>
      <c r="E77" s="268"/>
      <c r="F77" s="268"/>
      <c r="G77" s="268"/>
      <c r="I77" s="268"/>
      <c r="J77" s="268"/>
    </row>
    <row r="78" spans="2:10">
      <c r="B78" s="142" t="s">
        <v>2257</v>
      </c>
      <c r="C78" s="274">
        <f>SUMIF(Calculation!$A:$A,Summary!B78,Calculation!$C:$C)</f>
        <v>0</v>
      </c>
      <c r="D78" s="272" t="s">
        <v>2577</v>
      </c>
      <c r="E78" s="268"/>
      <c r="F78" s="268"/>
      <c r="G78" s="268"/>
      <c r="I78" s="268"/>
      <c r="J78" s="268"/>
    </row>
    <row r="79" spans="2:10">
      <c r="B79" s="142" t="s">
        <v>2255</v>
      </c>
      <c r="C79" s="274">
        <f>SUMIF(Calculation!$A:$A,Summary!B79,Calculation!$C:$C)</f>
        <v>0</v>
      </c>
      <c r="D79" s="272" t="s">
        <v>2577</v>
      </c>
      <c r="E79" s="268"/>
      <c r="F79" s="268"/>
      <c r="G79" s="268"/>
      <c r="I79" s="268"/>
      <c r="J79" s="268"/>
    </row>
    <row r="80" spans="2:10">
      <c r="B80" s="142" t="s">
        <v>2212</v>
      </c>
      <c r="C80" s="274">
        <f>SUMIF(Calculation!$A:$A,Summary!B80,Calculation!$C:$C)</f>
        <v>0</v>
      </c>
      <c r="D80" s="272" t="s">
        <v>2577</v>
      </c>
      <c r="E80" s="268"/>
      <c r="F80" s="268"/>
      <c r="G80" s="268"/>
      <c r="I80" s="268"/>
      <c r="J80" s="268"/>
    </row>
    <row r="81" spans="2:10">
      <c r="B81" s="142" t="s">
        <v>2370</v>
      </c>
      <c r="C81" s="274">
        <f>SUMIF(Calculation!$A:$A,Summary!B81,Calculation!$C:$C)</f>
        <v>0</v>
      </c>
      <c r="D81" s="272" t="s">
        <v>2577</v>
      </c>
      <c r="E81" s="268"/>
      <c r="F81" s="268"/>
      <c r="G81" s="268"/>
      <c r="I81" s="268"/>
      <c r="J81" s="268"/>
    </row>
    <row r="82" spans="2:10">
      <c r="B82" s="142" t="s">
        <v>2302</v>
      </c>
      <c r="C82" s="274">
        <f>SUMIF(Calculation!$A:$A,Summary!B82,Calculation!$C:$C)</f>
        <v>0</v>
      </c>
      <c r="D82" s="272" t="s">
        <v>2577</v>
      </c>
      <c r="E82" s="268"/>
      <c r="F82" s="268"/>
      <c r="G82" s="268"/>
      <c r="I82" s="268"/>
      <c r="J82" s="268"/>
    </row>
    <row r="83" spans="2:10">
      <c r="B83" s="142" t="s">
        <v>2405</v>
      </c>
      <c r="C83" s="274">
        <f>SUMIF(Calculation!$A:$A,Summary!B83,Calculation!$C:$C)</f>
        <v>0</v>
      </c>
      <c r="D83" s="272" t="s">
        <v>2577</v>
      </c>
      <c r="E83" s="268"/>
      <c r="F83" s="268"/>
      <c r="G83" s="268"/>
      <c r="I83" s="268"/>
      <c r="J83" s="268"/>
    </row>
    <row r="84" spans="2:10">
      <c r="B84" s="142" t="s">
        <v>2390</v>
      </c>
      <c r="C84" s="274">
        <f>SUMIF(Calculation!$A:$A,Summary!B84,Calculation!$C:$C)</f>
        <v>0</v>
      </c>
      <c r="D84" s="272" t="s">
        <v>2577</v>
      </c>
      <c r="E84" s="268"/>
      <c r="F84" s="268"/>
      <c r="G84" s="268"/>
      <c r="I84" s="268"/>
      <c r="J84" s="268"/>
    </row>
    <row r="85" spans="2:10">
      <c r="B85" s="142" t="s">
        <v>2412</v>
      </c>
      <c r="C85" s="274">
        <f>SUMIF(Calculation!$A:$A,Summary!B85,Calculation!$C:$C)</f>
        <v>0</v>
      </c>
      <c r="D85" s="272" t="s">
        <v>2577</v>
      </c>
      <c r="E85" s="268"/>
      <c r="F85" s="268"/>
      <c r="G85" s="268"/>
      <c r="I85" s="268"/>
      <c r="J85" s="268"/>
    </row>
    <row r="86" spans="2:10">
      <c r="B86" s="142" t="s">
        <v>2102</v>
      </c>
      <c r="C86" s="274">
        <f>SUMIF(Calculation!$A:$A,Summary!B86,Calculation!$C:$C)</f>
        <v>0</v>
      </c>
      <c r="D86" s="272" t="s">
        <v>2577</v>
      </c>
      <c r="E86" s="268"/>
      <c r="F86" s="268"/>
      <c r="G86" s="268"/>
      <c r="I86" s="268"/>
      <c r="J86" s="268"/>
    </row>
    <row r="87" spans="2:10">
      <c r="B87" s="142" t="s">
        <v>2132</v>
      </c>
      <c r="C87" s="274">
        <f>SUMIF(Calculation!$A:$A,Summary!B87,Calculation!$C:$C)</f>
        <v>0</v>
      </c>
      <c r="D87" s="272" t="s">
        <v>2577</v>
      </c>
      <c r="E87" s="268"/>
      <c r="F87" s="268"/>
      <c r="G87" s="268"/>
      <c r="I87" s="268"/>
      <c r="J87" s="268"/>
    </row>
    <row r="88" spans="2:10">
      <c r="B88" s="142" t="s">
        <v>2131</v>
      </c>
      <c r="C88" s="274">
        <f>SUMIF(Calculation!$A:$A,Summary!B88,Calculation!$C:$C)</f>
        <v>0</v>
      </c>
      <c r="D88" s="272" t="s">
        <v>2577</v>
      </c>
      <c r="E88" s="268"/>
      <c r="F88" s="268"/>
      <c r="G88" s="268"/>
      <c r="I88" s="268"/>
      <c r="J88" s="268"/>
    </row>
    <row r="89" spans="2:10">
      <c r="B89" s="142" t="s">
        <v>2087</v>
      </c>
      <c r="C89" s="274">
        <f>SUMIF(Calculation!$A:$A,Summary!B89,Calculation!$C:$C)</f>
        <v>0</v>
      </c>
      <c r="D89" s="272" t="s">
        <v>2577</v>
      </c>
      <c r="E89" s="268"/>
      <c r="F89" s="268"/>
      <c r="G89" s="268"/>
      <c r="I89" s="268"/>
      <c r="J89" s="268"/>
    </row>
    <row r="90" spans="2:10">
      <c r="B90" s="142" t="s">
        <v>2229</v>
      </c>
      <c r="C90" s="274">
        <f>SUMIF(Calculation!$A:$A,Summary!B90,Calculation!$C:$C)</f>
        <v>0</v>
      </c>
      <c r="D90" s="272" t="s">
        <v>2577</v>
      </c>
      <c r="E90" s="268"/>
      <c r="F90" s="268"/>
      <c r="G90" s="268"/>
      <c r="I90" s="268"/>
      <c r="J90" s="268"/>
    </row>
    <row r="91" spans="2:10">
      <c r="B91" s="142" t="s">
        <v>2228</v>
      </c>
      <c r="C91" s="274">
        <f>SUMIF(Calculation!$A:$A,Summary!B91,Calculation!$C:$C)</f>
        <v>0</v>
      </c>
      <c r="D91" s="272" t="s">
        <v>2577</v>
      </c>
      <c r="E91" s="268"/>
      <c r="F91" s="268"/>
      <c r="G91" s="268"/>
      <c r="I91" s="268"/>
      <c r="J91" s="268"/>
    </row>
    <row r="92" spans="2:10">
      <c r="B92" s="142" t="s">
        <v>2085</v>
      </c>
      <c r="C92" s="274">
        <f>SUMIF(Calculation!$A:$A,Summary!B92,Calculation!$C:$C)</f>
        <v>0</v>
      </c>
      <c r="D92" s="272" t="s">
        <v>2577</v>
      </c>
      <c r="E92" s="268"/>
      <c r="F92" s="268"/>
      <c r="G92" s="268"/>
      <c r="I92" s="268"/>
      <c r="J92" s="268"/>
    </row>
    <row r="93" spans="2:10">
      <c r="B93" s="142" t="s">
        <v>2088</v>
      </c>
      <c r="C93" s="274">
        <f>SUMIF(Calculation!$A:$A,Summary!B93,Calculation!$C:$C)</f>
        <v>0</v>
      </c>
      <c r="D93" s="272" t="s">
        <v>2577</v>
      </c>
      <c r="E93" s="268"/>
      <c r="F93" s="268"/>
      <c r="G93" s="268"/>
      <c r="I93" s="268"/>
      <c r="J93" s="268"/>
    </row>
    <row r="94" spans="2:10">
      <c r="B94" s="142" t="s">
        <v>2231</v>
      </c>
      <c r="C94" s="274">
        <f>SUMIF(Calculation!$A:$A,Summary!B94,Calculation!$C:$C)</f>
        <v>0</v>
      </c>
      <c r="D94" s="272" t="s">
        <v>2577</v>
      </c>
      <c r="E94" s="268"/>
      <c r="F94" s="268"/>
      <c r="G94" s="268"/>
      <c r="I94" s="268"/>
      <c r="J94" s="268"/>
    </row>
    <row r="95" spans="2:10">
      <c r="B95" s="142" t="s">
        <v>2232</v>
      </c>
      <c r="C95" s="274">
        <f>SUMIF(Calculation!$A:$A,Summary!B95,Calculation!$C:$C)</f>
        <v>0</v>
      </c>
      <c r="D95" s="272" t="s">
        <v>2577</v>
      </c>
      <c r="E95" s="268"/>
      <c r="F95" s="268"/>
      <c r="G95" s="268"/>
      <c r="I95" s="268"/>
      <c r="J95" s="268"/>
    </row>
    <row r="96" spans="2:10">
      <c r="B96" s="142" t="s">
        <v>2135</v>
      </c>
      <c r="C96" s="274">
        <f>SUMIF(Calculation!$A:$A,Summary!B96,Calculation!$C:$C)</f>
        <v>0</v>
      </c>
      <c r="D96" s="272" t="s">
        <v>2577</v>
      </c>
      <c r="E96" s="268"/>
      <c r="F96" s="268"/>
      <c r="G96" s="268"/>
      <c r="I96" s="268"/>
      <c r="J96" s="268"/>
    </row>
    <row r="97" spans="2:10">
      <c r="B97" s="142" t="s">
        <v>2153</v>
      </c>
      <c r="C97" s="274">
        <f>SUMIF(Calculation!$A:$A,Summary!B97,Calculation!$C:$C)</f>
        <v>0</v>
      </c>
      <c r="D97" s="272" t="s">
        <v>2577</v>
      </c>
      <c r="E97" s="268"/>
      <c r="F97" s="268"/>
      <c r="G97" s="268"/>
      <c r="I97" s="268"/>
      <c r="J97" s="268"/>
    </row>
    <row r="98" spans="2:10">
      <c r="B98" s="142" t="s">
        <v>2086</v>
      </c>
      <c r="C98" s="274">
        <f>SUMIF(Calculation!$A:$A,Summary!B98,Calculation!$C:$C)</f>
        <v>0</v>
      </c>
      <c r="D98" s="272" t="s">
        <v>2577</v>
      </c>
      <c r="E98" s="268"/>
      <c r="F98" s="268"/>
      <c r="G98" s="268"/>
      <c r="I98" s="268"/>
      <c r="J98" s="268"/>
    </row>
    <row r="99" spans="2:10">
      <c r="B99" s="142" t="s">
        <v>2154</v>
      </c>
      <c r="C99" s="274">
        <f>SUMIF(Calculation!$A:$A,Summary!B99,Calculation!$C:$C)</f>
        <v>0</v>
      </c>
      <c r="D99" s="272" t="s">
        <v>2577</v>
      </c>
      <c r="E99" s="268"/>
      <c r="F99" s="268"/>
      <c r="G99" s="268"/>
      <c r="I99" s="268"/>
      <c r="J99" s="268"/>
    </row>
    <row r="100" spans="2:10">
      <c r="B100" s="142" t="s">
        <v>2111</v>
      </c>
      <c r="C100" s="274">
        <f>SUMIF(Calculation!$A:$A,Summary!B100,Calculation!$C:$C)</f>
        <v>0</v>
      </c>
      <c r="D100" s="272" t="s">
        <v>2577</v>
      </c>
      <c r="E100" s="268"/>
      <c r="F100" s="268"/>
      <c r="G100" s="268"/>
      <c r="I100" s="268"/>
      <c r="J100" s="268"/>
    </row>
    <row r="101" spans="2:10">
      <c r="B101" s="142" t="s">
        <v>2104</v>
      </c>
      <c r="C101" s="274">
        <f>SUMIF(Calculation!$A:$A,Summary!B101,Calculation!$C:$C)</f>
        <v>0</v>
      </c>
      <c r="D101" s="272" t="s">
        <v>2577</v>
      </c>
      <c r="E101" s="268"/>
      <c r="F101" s="268"/>
      <c r="G101" s="268"/>
      <c r="I101" s="268"/>
      <c r="J101" s="268"/>
    </row>
    <row r="102" spans="2:10">
      <c r="B102" s="142" t="s">
        <v>2110</v>
      </c>
      <c r="C102" s="274">
        <f>SUMIF(Calculation!$A:$A,Summary!B102,Calculation!$C:$C)</f>
        <v>0</v>
      </c>
      <c r="D102" s="272" t="s">
        <v>2577</v>
      </c>
      <c r="E102" s="268"/>
      <c r="F102" s="268"/>
      <c r="G102" s="268"/>
      <c r="I102" s="268"/>
      <c r="J102" s="268"/>
    </row>
    <row r="103" spans="2:10">
      <c r="B103" s="142" t="s">
        <v>2230</v>
      </c>
      <c r="C103" s="274">
        <f>SUMIF(Calculation!$A:$A,Summary!B103,Calculation!$C:$C)</f>
        <v>0</v>
      </c>
      <c r="D103" s="272" t="s">
        <v>2577</v>
      </c>
      <c r="E103" s="268"/>
      <c r="F103" s="268"/>
      <c r="G103" s="268"/>
      <c r="I103" s="268"/>
      <c r="J103" s="268"/>
    </row>
    <row r="104" spans="2:10">
      <c r="B104" s="142" t="s">
        <v>2195</v>
      </c>
      <c r="C104" s="274">
        <f>SUMIF(Calculation!$A:$A,Summary!B104,Calculation!$C:$C)</f>
        <v>0</v>
      </c>
      <c r="D104" s="272" t="s">
        <v>2577</v>
      </c>
      <c r="E104" s="268"/>
      <c r="F104" s="268"/>
      <c r="G104" s="268"/>
      <c r="I104" s="268"/>
      <c r="J104" s="268"/>
    </row>
    <row r="105" spans="2:10">
      <c r="B105" s="142" t="s">
        <v>2286</v>
      </c>
      <c r="C105" s="274">
        <f>SUMIF(Calculation!$A:$A,Summary!B105,Calculation!$C:$C)</f>
        <v>0</v>
      </c>
      <c r="D105" s="272" t="s">
        <v>2577</v>
      </c>
      <c r="E105" s="268"/>
      <c r="F105" s="268"/>
      <c r="G105" s="268"/>
      <c r="I105" s="268"/>
      <c r="J105" s="268"/>
    </row>
    <row r="106" spans="2:10">
      <c r="B106" s="142" t="s">
        <v>2377</v>
      </c>
      <c r="C106" s="274">
        <f>SUMIF(Calculation!$A:$A,Summary!B106,Calculation!$C:$C)</f>
        <v>0</v>
      </c>
      <c r="D106" s="272" t="s">
        <v>2577</v>
      </c>
      <c r="E106" s="268"/>
      <c r="F106" s="268"/>
      <c r="G106" s="268"/>
      <c r="I106" s="268"/>
      <c r="J106" s="268"/>
    </row>
    <row r="107" spans="2:10">
      <c r="B107" s="142" t="s">
        <v>2285</v>
      </c>
      <c r="C107" s="274">
        <f>SUMIF(Calculation!$A:$A,Summary!B107,Calculation!$C:$C)</f>
        <v>0</v>
      </c>
      <c r="D107" s="272" t="s">
        <v>2577</v>
      </c>
      <c r="E107" s="268"/>
      <c r="F107" s="268"/>
      <c r="G107" s="268"/>
      <c r="I107" s="268"/>
      <c r="J107" s="268"/>
    </row>
    <row r="108" spans="2:10">
      <c r="B108" s="142" t="s">
        <v>2388</v>
      </c>
      <c r="C108" s="274">
        <f>SUMIF(Calculation!$A:$A,Summary!B108,Calculation!$C:$C)</f>
        <v>0</v>
      </c>
      <c r="D108" s="272" t="s">
        <v>2577</v>
      </c>
      <c r="E108" s="268"/>
      <c r="F108" s="268"/>
      <c r="G108" s="268"/>
      <c r="I108" s="268"/>
      <c r="J108" s="268"/>
    </row>
    <row r="109" spans="2:10">
      <c r="B109" s="142" t="s">
        <v>2334</v>
      </c>
      <c r="C109" s="274">
        <f>SUMIF(Calculation!$A:$A,Summary!B109,Calculation!$C:$C)</f>
        <v>0</v>
      </c>
      <c r="D109" s="272" t="s">
        <v>2577</v>
      </c>
      <c r="E109" s="268"/>
      <c r="F109" s="268"/>
      <c r="G109" s="268"/>
      <c r="I109" s="268"/>
      <c r="J109" s="268"/>
    </row>
    <row r="110" spans="2:10">
      <c r="B110" s="142" t="s">
        <v>2384</v>
      </c>
      <c r="C110" s="274">
        <f>SUMIF(Calculation!$A:$A,Summary!B110,Calculation!$C:$C)</f>
        <v>0</v>
      </c>
      <c r="D110" s="272" t="s">
        <v>2577</v>
      </c>
      <c r="E110" s="268"/>
      <c r="F110" s="268"/>
      <c r="G110" s="268"/>
      <c r="I110" s="268"/>
      <c r="J110" s="268"/>
    </row>
    <row r="111" spans="2:10">
      <c r="B111" s="142" t="s">
        <v>2383</v>
      </c>
      <c r="C111" s="274">
        <f>SUMIF(Calculation!$A:$A,Summary!B111,Calculation!$C:$C)</f>
        <v>0</v>
      </c>
      <c r="D111" s="272" t="s">
        <v>2577</v>
      </c>
      <c r="E111" s="268"/>
      <c r="F111" s="268"/>
      <c r="G111" s="268"/>
      <c r="I111" s="268"/>
      <c r="J111" s="268"/>
    </row>
    <row r="112" spans="2:10">
      <c r="B112" s="142" t="s">
        <v>2196</v>
      </c>
      <c r="C112" s="274">
        <f>SUMIF(Calculation!$A:$A,Summary!B112,Calculation!$C:$C)</f>
        <v>0</v>
      </c>
      <c r="D112" s="272" t="s">
        <v>2577</v>
      </c>
      <c r="E112" s="268"/>
      <c r="F112" s="268"/>
      <c r="G112" s="268"/>
      <c r="I112" s="268"/>
      <c r="J112" s="268"/>
    </row>
    <row r="113" spans="2:10">
      <c r="B113" s="142" t="s">
        <v>2392</v>
      </c>
      <c r="C113" s="274">
        <f>SUMIF(Calculation!$A:$A,Summary!B113,Calculation!$C:$C)</f>
        <v>0</v>
      </c>
      <c r="D113" s="272" t="s">
        <v>2577</v>
      </c>
      <c r="E113" s="268"/>
      <c r="F113" s="268"/>
      <c r="G113" s="268"/>
      <c r="I113" s="268"/>
      <c r="J113" s="268"/>
    </row>
    <row r="114" spans="2:10">
      <c r="B114" s="142" t="s">
        <v>2393</v>
      </c>
      <c r="C114" s="274">
        <f>SUMIF(Calculation!$A:$A,Summary!B114,Calculation!$C:$C)</f>
        <v>0</v>
      </c>
      <c r="D114" s="272" t="s">
        <v>2577</v>
      </c>
      <c r="E114" s="268"/>
      <c r="F114" s="268"/>
      <c r="G114" s="268"/>
      <c r="I114" s="268"/>
      <c r="J114" s="268"/>
    </row>
    <row r="115" spans="2:10">
      <c r="B115" s="142" t="s">
        <v>2335</v>
      </c>
      <c r="C115" s="274">
        <f>SUMIF(Calculation!$A:$A,Summary!B115,Calculation!$C:$C)</f>
        <v>0</v>
      </c>
      <c r="D115" s="272" t="s">
        <v>2577</v>
      </c>
      <c r="E115" s="268"/>
      <c r="F115" s="268"/>
      <c r="G115" s="268"/>
      <c r="I115" s="268"/>
      <c r="J115" s="268"/>
    </row>
    <row r="116" spans="2:10">
      <c r="B116" s="142" t="s">
        <v>2189</v>
      </c>
      <c r="C116" s="274">
        <f>SUMIF(Calculation!$A:$A,Summary!B116,Calculation!$C:$C)</f>
        <v>0</v>
      </c>
      <c r="D116" s="272" t="s">
        <v>2577</v>
      </c>
      <c r="E116" s="268"/>
      <c r="F116" s="268"/>
      <c r="G116" s="268"/>
      <c r="I116" s="268"/>
      <c r="J116" s="268"/>
    </row>
    <row r="117" spans="2:10">
      <c r="B117" s="142" t="s">
        <v>1926</v>
      </c>
      <c r="C117" s="274">
        <f>SUMIF(Calculation!$A:$A,Summary!B117,Calculation!$C:$C)</f>
        <v>0</v>
      </c>
      <c r="D117" s="272" t="s">
        <v>2577</v>
      </c>
      <c r="E117" s="268"/>
      <c r="F117" s="268"/>
      <c r="G117" s="268"/>
      <c r="I117" s="268"/>
      <c r="J117" s="268"/>
    </row>
    <row r="118" spans="2:10">
      <c r="B118" s="142" t="s">
        <v>2191</v>
      </c>
      <c r="C118" s="274">
        <f>SUMIF(Calculation!$A:$A,Summary!B118,Calculation!$C:$C)</f>
        <v>0</v>
      </c>
      <c r="D118" s="272" t="s">
        <v>2577</v>
      </c>
      <c r="E118" s="268"/>
      <c r="F118" s="268"/>
      <c r="G118" s="268"/>
      <c r="I118" s="268"/>
      <c r="J118" s="268"/>
    </row>
    <row r="119" spans="2:10">
      <c r="B119" s="142" t="s">
        <v>2192</v>
      </c>
      <c r="C119" s="274">
        <f>SUMIF(Calculation!$A:$A,Summary!B119,Calculation!$C:$C)</f>
        <v>0</v>
      </c>
      <c r="D119" s="272" t="s">
        <v>2577</v>
      </c>
      <c r="E119" s="268"/>
      <c r="F119" s="268"/>
      <c r="G119" s="268"/>
      <c r="I119" s="268"/>
      <c r="J119" s="268"/>
    </row>
    <row r="120" spans="2:10">
      <c r="B120" s="142" t="s">
        <v>2190</v>
      </c>
      <c r="C120" s="274">
        <f>SUMIF(Calculation!$A:$A,Summary!B120,Calculation!$C:$C)</f>
        <v>0</v>
      </c>
      <c r="D120" s="272" t="s">
        <v>2577</v>
      </c>
      <c r="E120" s="268"/>
      <c r="F120" s="268"/>
      <c r="G120" s="268"/>
      <c r="I120" s="268"/>
      <c r="J120" s="268"/>
    </row>
    <row r="121" spans="2:10">
      <c r="B121" s="142" t="s">
        <v>2245</v>
      </c>
      <c r="C121" s="274">
        <f>SUMIF(Calculation!$A:$A,Summary!B121,Calculation!$C:$C)</f>
        <v>0</v>
      </c>
      <c r="D121" s="272" t="s">
        <v>2577</v>
      </c>
      <c r="E121" s="268"/>
      <c r="F121" s="268"/>
      <c r="G121" s="268"/>
      <c r="I121" s="268"/>
      <c r="J121" s="268"/>
    </row>
    <row r="122" spans="2:10">
      <c r="B122" s="142" t="s">
        <v>2244</v>
      </c>
      <c r="C122" s="274">
        <f>SUMIF(Calculation!$A:$A,Summary!B122,Calculation!$C:$C)</f>
        <v>0</v>
      </c>
      <c r="D122" s="272" t="s">
        <v>2577</v>
      </c>
      <c r="E122" s="268"/>
      <c r="F122" s="268"/>
      <c r="G122" s="268"/>
      <c r="I122" s="268"/>
      <c r="J122" s="268"/>
    </row>
    <row r="123" spans="2:10">
      <c r="B123" s="142" t="s">
        <v>2119</v>
      </c>
      <c r="C123" s="274">
        <f>SUMIF(Calculation!$A:$A,Summary!B123,Calculation!$C:$C)</f>
        <v>0</v>
      </c>
      <c r="D123" s="272" t="s">
        <v>2577</v>
      </c>
      <c r="E123" s="268"/>
      <c r="F123" s="268"/>
      <c r="G123" s="268"/>
      <c r="I123" s="268"/>
      <c r="J123" s="268"/>
    </row>
    <row r="124" spans="2:10">
      <c r="B124" s="142" t="s">
        <v>2121</v>
      </c>
      <c r="C124" s="274">
        <f>SUMIF(Calculation!$A:$A,Summary!B124,Calculation!$C:$C)</f>
        <v>0</v>
      </c>
      <c r="D124" s="272" t="s">
        <v>2577</v>
      </c>
      <c r="E124" s="268"/>
      <c r="F124" s="268"/>
      <c r="G124" s="268"/>
      <c r="I124" s="268"/>
      <c r="J124" s="268"/>
    </row>
    <row r="125" spans="2:10">
      <c r="B125" s="142" t="s">
        <v>2120</v>
      </c>
      <c r="C125" s="274">
        <f>SUMIF(Calculation!$A:$A,Summary!B125,Calculation!$C:$C)</f>
        <v>0</v>
      </c>
      <c r="D125" s="272" t="s">
        <v>2577</v>
      </c>
      <c r="E125" s="268"/>
      <c r="F125" s="268"/>
      <c r="G125" s="268"/>
      <c r="I125" s="268"/>
      <c r="J125" s="268"/>
    </row>
    <row r="126" spans="2:10">
      <c r="B126" s="142" t="s">
        <v>2122</v>
      </c>
      <c r="C126" s="274">
        <f>SUMIF(Calculation!$A:$A,Summary!B126,Calculation!$C:$C)</f>
        <v>0</v>
      </c>
      <c r="D126" s="272" t="s">
        <v>2577</v>
      </c>
      <c r="E126" s="268"/>
      <c r="F126" s="268"/>
      <c r="G126" s="268"/>
      <c r="I126" s="268"/>
      <c r="J126" s="268"/>
    </row>
    <row r="127" spans="2:10">
      <c r="B127" s="142" t="s">
        <v>2158</v>
      </c>
      <c r="C127" s="274">
        <f>SUMIF(Calculation!$A:$A,Summary!B127,Calculation!$C:$C)</f>
        <v>0</v>
      </c>
      <c r="D127" s="272" t="s">
        <v>2577</v>
      </c>
      <c r="E127" s="268"/>
      <c r="F127" s="268"/>
      <c r="G127" s="268"/>
      <c r="I127" s="268"/>
      <c r="J127" s="268"/>
    </row>
    <row r="128" spans="2:10">
      <c r="B128" s="142" t="s">
        <v>2149</v>
      </c>
      <c r="C128" s="274">
        <f>SUMIF(Calculation!$A:$A,Summary!B128,Calculation!$C:$C)</f>
        <v>0</v>
      </c>
      <c r="D128" s="272" t="s">
        <v>2577</v>
      </c>
      <c r="E128" s="268"/>
      <c r="F128" s="268"/>
      <c r="G128" s="268"/>
      <c r="I128" s="268"/>
      <c r="J128" s="268"/>
    </row>
    <row r="129" spans="2:10">
      <c r="B129" s="142" t="s">
        <v>2152</v>
      </c>
      <c r="C129" s="274">
        <f>SUMIF(Calculation!$A:$A,Summary!B129,Calculation!$C:$C)</f>
        <v>0</v>
      </c>
      <c r="D129" s="272" t="s">
        <v>2577</v>
      </c>
      <c r="E129" s="268"/>
      <c r="F129" s="268"/>
      <c r="G129" s="268"/>
      <c r="I129" s="268"/>
      <c r="J129" s="268"/>
    </row>
    <row r="130" spans="2:10">
      <c r="B130" s="142" t="s">
        <v>2243</v>
      </c>
      <c r="C130" s="274">
        <f>SUMIF(Calculation!$A:$A,Summary!B130,Calculation!$C:$C)</f>
        <v>0</v>
      </c>
      <c r="D130" s="272" t="s">
        <v>2577</v>
      </c>
      <c r="E130" s="268"/>
      <c r="F130" s="268"/>
      <c r="G130" s="268"/>
      <c r="I130" s="268"/>
      <c r="J130" s="268"/>
    </row>
    <row r="131" spans="2:10">
      <c r="B131" s="142" t="s">
        <v>2150</v>
      </c>
      <c r="C131" s="274">
        <f>SUMIF(Calculation!$A:$A,Summary!B131,Calculation!$C:$C)</f>
        <v>0</v>
      </c>
      <c r="D131" s="272" t="s">
        <v>2577</v>
      </c>
      <c r="E131" s="268"/>
      <c r="F131" s="268"/>
      <c r="G131" s="268"/>
      <c r="I131" s="268"/>
      <c r="J131" s="268"/>
    </row>
    <row r="132" spans="2:10">
      <c r="B132" s="142" t="s">
        <v>2151</v>
      </c>
      <c r="C132" s="274">
        <f>SUMIF(Calculation!$A:$A,Summary!B132,Calculation!$C:$C)</f>
        <v>0</v>
      </c>
      <c r="D132" s="272" t="s">
        <v>2577</v>
      </c>
      <c r="E132" s="268"/>
      <c r="F132" s="268"/>
      <c r="G132" s="268"/>
      <c r="I132" s="268"/>
      <c r="J132" s="268"/>
    </row>
    <row r="133" spans="2:10">
      <c r="B133" s="142" t="s">
        <v>2233</v>
      </c>
      <c r="C133" s="274">
        <f>SUMIF(Calculation!$A:$A,Summary!B133,Calculation!$C:$C)</f>
        <v>0</v>
      </c>
      <c r="D133" s="272" t="s">
        <v>2577</v>
      </c>
      <c r="E133" s="268"/>
      <c r="F133" s="268"/>
      <c r="G133" s="268"/>
      <c r="I133" s="268"/>
      <c r="J133" s="268"/>
    </row>
    <row r="134" spans="2:10">
      <c r="B134" s="142" t="s">
        <v>2209</v>
      </c>
      <c r="C134" s="274">
        <f>SUMIF(Calculation!$A:$A,Summary!B134,Calculation!$C:$C)</f>
        <v>0</v>
      </c>
      <c r="D134" s="272" t="s">
        <v>2577</v>
      </c>
      <c r="E134" s="268"/>
      <c r="F134" s="268"/>
      <c r="G134" s="268"/>
      <c r="I134" s="268"/>
      <c r="J134" s="268"/>
    </row>
    <row r="135" spans="2:10">
      <c r="B135" s="142" t="s">
        <v>2207</v>
      </c>
      <c r="C135" s="274">
        <f>SUMIF(Calculation!$A:$A,Summary!B135,Calculation!$C:$C)</f>
        <v>0</v>
      </c>
      <c r="D135" s="272" t="s">
        <v>2577</v>
      </c>
      <c r="E135" s="268"/>
      <c r="F135" s="268"/>
      <c r="G135" s="268"/>
      <c r="I135" s="268"/>
      <c r="J135" s="268"/>
    </row>
    <row r="136" spans="2:10">
      <c r="B136" s="142" t="s">
        <v>2205</v>
      </c>
      <c r="C136" s="274">
        <f>SUMIF(Calculation!$A:$A,Summary!B136,Calculation!$C:$C)</f>
        <v>0</v>
      </c>
      <c r="D136" s="272" t="s">
        <v>2577</v>
      </c>
      <c r="E136" s="268"/>
      <c r="F136" s="268"/>
      <c r="G136" s="268"/>
      <c r="I136" s="268"/>
      <c r="J136" s="268"/>
    </row>
    <row r="137" spans="2:10">
      <c r="B137" s="142" t="s">
        <v>2208</v>
      </c>
      <c r="C137" s="274">
        <f>SUMIF(Calculation!$A:$A,Summary!B137,Calculation!$C:$C)</f>
        <v>0</v>
      </c>
      <c r="D137" s="272" t="s">
        <v>2577</v>
      </c>
      <c r="E137" s="268"/>
      <c r="F137" s="268"/>
      <c r="G137" s="268"/>
      <c r="I137" s="268"/>
      <c r="J137" s="268"/>
    </row>
    <row r="138" spans="2:10">
      <c r="B138" s="142" t="s">
        <v>2400</v>
      </c>
      <c r="C138" s="274">
        <f>SUMIF(Calculation!$A:$A,Summary!B138,Calculation!$C:$C)</f>
        <v>0</v>
      </c>
      <c r="D138" s="272" t="s">
        <v>2577</v>
      </c>
      <c r="E138" s="268"/>
      <c r="F138" s="268"/>
      <c r="G138" s="268"/>
      <c r="I138" s="268"/>
      <c r="J138" s="268"/>
    </row>
    <row r="139" spans="2:10">
      <c r="B139" s="142" t="s">
        <v>2299</v>
      </c>
      <c r="C139" s="274">
        <f>SUMIF(Calculation!$A:$A,Summary!B139,Calculation!$C:$C)</f>
        <v>0</v>
      </c>
      <c r="D139" s="272" t="s">
        <v>2577</v>
      </c>
      <c r="E139" s="268"/>
      <c r="F139" s="268"/>
      <c r="G139" s="268"/>
      <c r="I139" s="268"/>
      <c r="J139" s="268"/>
    </row>
    <row r="140" spans="2:10">
      <c r="B140" s="142" t="s">
        <v>2399</v>
      </c>
      <c r="C140" s="274">
        <f>SUMIF(Calculation!$A:$A,Summary!B140,Calculation!$C:$C)</f>
        <v>0</v>
      </c>
      <c r="D140" s="272" t="s">
        <v>2577</v>
      </c>
      <c r="E140" s="268"/>
      <c r="F140" s="268"/>
      <c r="G140" s="268"/>
      <c r="I140" s="268"/>
      <c r="J140" s="268"/>
    </row>
    <row r="141" spans="2:10">
      <c r="B141" s="142" t="s">
        <v>2284</v>
      </c>
      <c r="C141" s="274">
        <f>SUMIF(Calculation!$A:$A,Summary!B141,Calculation!$C:$C)</f>
        <v>0</v>
      </c>
      <c r="D141" s="272" t="s">
        <v>2577</v>
      </c>
      <c r="E141" s="268"/>
      <c r="F141" s="268"/>
      <c r="G141" s="268"/>
      <c r="I141" s="268"/>
      <c r="J141" s="268"/>
    </row>
    <row r="142" spans="2:10">
      <c r="B142" s="142" t="s">
        <v>2327</v>
      </c>
      <c r="C142" s="274">
        <f>SUMIF(Calculation!$A:$A,Summary!B142,Calculation!$C:$C)</f>
        <v>0</v>
      </c>
      <c r="D142" s="272" t="s">
        <v>2577</v>
      </c>
      <c r="E142" s="268"/>
      <c r="F142" s="268"/>
      <c r="G142" s="268"/>
      <c r="I142" s="268"/>
      <c r="J142" s="268"/>
    </row>
    <row r="143" spans="2:10">
      <c r="B143" s="142" t="s">
        <v>2312</v>
      </c>
      <c r="C143" s="274">
        <f>SUMIF(Calculation!$A:$A,Summary!B143,Calculation!$C:$C)</f>
        <v>0</v>
      </c>
      <c r="D143" s="272" t="s">
        <v>2577</v>
      </c>
      <c r="E143" s="268"/>
      <c r="F143" s="268"/>
      <c r="G143" s="268"/>
      <c r="I143" s="268"/>
      <c r="J143" s="268"/>
    </row>
    <row r="144" spans="2:10">
      <c r="B144" s="142" t="s">
        <v>2311</v>
      </c>
      <c r="C144" s="274">
        <f>SUMIF(Calculation!$A:$A,Summary!B144,Calculation!$C:$C)</f>
        <v>0</v>
      </c>
      <c r="D144" s="272" t="s">
        <v>2577</v>
      </c>
      <c r="E144" s="268"/>
      <c r="F144" s="268"/>
      <c r="G144" s="268"/>
      <c r="I144" s="268"/>
      <c r="J144" s="268"/>
    </row>
    <row r="145" spans="2:10">
      <c r="B145" s="142" t="s">
        <v>2425</v>
      </c>
      <c r="C145" s="274">
        <f>SUMIF(Calculation!$A:$A,Summary!B145,Calculation!$C:$C)</f>
        <v>0</v>
      </c>
      <c r="D145" s="272" t="s">
        <v>2577</v>
      </c>
      <c r="E145" s="268"/>
      <c r="F145" s="268"/>
      <c r="G145" s="268"/>
      <c r="I145" s="268"/>
      <c r="J145" s="268"/>
    </row>
    <row r="146" spans="2:10">
      <c r="B146" s="142" t="s">
        <v>2428</v>
      </c>
      <c r="C146" s="274">
        <f>SUMIF(Calculation!$A:$A,Summary!B146,Calculation!$C:$C)</f>
        <v>0</v>
      </c>
      <c r="D146" s="272" t="s">
        <v>2577</v>
      </c>
      <c r="E146" s="268"/>
      <c r="F146" s="268"/>
      <c r="G146" s="268"/>
      <c r="I146" s="268"/>
      <c r="J146" s="268"/>
    </row>
    <row r="147" spans="2:10">
      <c r="B147" s="142" t="s">
        <v>2435</v>
      </c>
      <c r="C147" s="274">
        <f>SUMIF(Calculation!$A:$A,Summary!B147,Calculation!$C:$C)</f>
        <v>0</v>
      </c>
      <c r="D147" s="272" t="s">
        <v>2577</v>
      </c>
      <c r="E147" s="268"/>
      <c r="F147" s="268"/>
      <c r="G147" s="268"/>
      <c r="I147" s="268"/>
      <c r="J147" s="268"/>
    </row>
    <row r="148" spans="2:10">
      <c r="B148" s="142" t="s">
        <v>2395</v>
      </c>
      <c r="C148" s="274">
        <f>SUMIF(Calculation!$A:$A,Summary!B148,Calculation!$C:$C)</f>
        <v>0</v>
      </c>
      <c r="D148" s="272" t="s">
        <v>2577</v>
      </c>
      <c r="E148" s="268"/>
      <c r="F148" s="268"/>
      <c r="G148" s="268"/>
      <c r="I148" s="268"/>
      <c r="J148" s="268"/>
    </row>
    <row r="149" spans="2:10">
      <c r="B149" s="142" t="s">
        <v>2430</v>
      </c>
      <c r="C149" s="274">
        <f>SUMIF(Calculation!$A:$A,Summary!B149,Calculation!$C:$C)</f>
        <v>0</v>
      </c>
      <c r="D149" s="272" t="s">
        <v>2577</v>
      </c>
      <c r="E149" s="268"/>
      <c r="F149" s="268"/>
      <c r="G149" s="268"/>
      <c r="I149" s="268"/>
      <c r="J149" s="268"/>
    </row>
    <row r="150" spans="2:10">
      <c r="B150" s="142" t="s">
        <v>2179</v>
      </c>
      <c r="C150" s="274">
        <f>SUMIF(Calculation!$A:$A,Summary!B150,Calculation!$C:$C)</f>
        <v>0</v>
      </c>
      <c r="D150" s="272" t="s">
        <v>2577</v>
      </c>
      <c r="E150" s="268"/>
      <c r="F150" s="268"/>
      <c r="G150" s="268"/>
      <c r="I150" s="268"/>
      <c r="J150" s="268"/>
    </row>
    <row r="151" spans="2:10">
      <c r="B151" s="142" t="s">
        <v>2168</v>
      </c>
      <c r="C151" s="274">
        <f>SUMIF(Calculation!$A:$A,Summary!B151,Calculation!$C:$C)</f>
        <v>0</v>
      </c>
      <c r="D151" s="272" t="s">
        <v>2577</v>
      </c>
      <c r="E151" s="268"/>
      <c r="F151" s="268"/>
      <c r="G151" s="268"/>
      <c r="I151" s="268"/>
      <c r="J151" s="268"/>
    </row>
    <row r="152" spans="2:10">
      <c r="B152" s="142" t="s">
        <v>2211</v>
      </c>
      <c r="C152" s="274">
        <f>SUMIF(Calculation!$A:$A,Summary!B152,Calculation!$C:$C)</f>
        <v>0</v>
      </c>
      <c r="D152" s="272" t="s">
        <v>2577</v>
      </c>
      <c r="E152" s="268"/>
      <c r="F152" s="268"/>
      <c r="G152" s="268"/>
      <c r="I152" s="268"/>
      <c r="J152" s="268"/>
    </row>
    <row r="153" spans="2:10">
      <c r="B153" s="142" t="s">
        <v>2133</v>
      </c>
      <c r="C153" s="274">
        <f>SUMIF(Calculation!$A:$A,Summary!B153,Calculation!$C:$C)</f>
        <v>0</v>
      </c>
      <c r="D153" s="272" t="s">
        <v>2577</v>
      </c>
      <c r="E153" s="268"/>
      <c r="F153" s="268"/>
      <c r="G153" s="268"/>
      <c r="I153" s="268"/>
      <c r="J153" s="268"/>
    </row>
    <row r="154" spans="2:10">
      <c r="B154" s="142" t="s">
        <v>2411</v>
      </c>
      <c r="C154" s="274">
        <f>SUMIF(Calculation!$A:$A,Summary!B154,Calculation!$C:$C)</f>
        <v>0</v>
      </c>
      <c r="D154" s="272" t="s">
        <v>2577</v>
      </c>
      <c r="E154" s="268"/>
      <c r="F154" s="268"/>
      <c r="G154" s="268"/>
      <c r="I154" s="268"/>
      <c r="J154" s="268"/>
    </row>
    <row r="155" spans="2:10">
      <c r="B155" s="142" t="s">
        <v>2221</v>
      </c>
      <c r="C155" s="274">
        <f>SUMIF(Calculation!$A:$A,Summary!B155,Calculation!$C:$C)</f>
        <v>0</v>
      </c>
      <c r="D155" s="272" t="s">
        <v>2577</v>
      </c>
      <c r="E155" s="268"/>
      <c r="F155" s="268"/>
      <c r="G155" s="268"/>
      <c r="I155" s="268"/>
      <c r="J155" s="268"/>
    </row>
    <row r="156" spans="2:10">
      <c r="B156" s="142" t="s">
        <v>2178</v>
      </c>
      <c r="C156" s="274">
        <f>SUMIF(Calculation!$A:$A,Summary!B156,Calculation!$C:$C)</f>
        <v>0</v>
      </c>
      <c r="D156" s="272" t="s">
        <v>2577</v>
      </c>
      <c r="E156" s="268"/>
      <c r="F156" s="268"/>
      <c r="G156" s="268"/>
      <c r="I156" s="268"/>
      <c r="J156" s="268"/>
    </row>
    <row r="157" spans="2:10">
      <c r="B157" s="142" t="s">
        <v>2226</v>
      </c>
      <c r="C157" s="274">
        <f>SUMIF(Calculation!$A:$A,Summary!B157,Calculation!$C:$C)</f>
        <v>0</v>
      </c>
      <c r="D157" s="272" t="s">
        <v>2577</v>
      </c>
      <c r="E157" s="268"/>
      <c r="F157" s="268"/>
      <c r="G157" s="268"/>
      <c r="I157" s="268"/>
      <c r="J157" s="268"/>
    </row>
    <row r="158" spans="2:10">
      <c r="B158" s="142" t="s">
        <v>2315</v>
      </c>
      <c r="C158" s="274">
        <f>SUMIF(Calculation!$A:$A,Summary!B158,Calculation!$C:$C)</f>
        <v>0</v>
      </c>
      <c r="D158" s="272" t="s">
        <v>2577</v>
      </c>
      <c r="E158" s="268"/>
      <c r="F158" s="268"/>
      <c r="G158" s="268"/>
      <c r="I158" s="268"/>
      <c r="J158" s="268"/>
    </row>
    <row r="159" spans="2:10">
      <c r="B159" s="142" t="s">
        <v>2333</v>
      </c>
      <c r="C159" s="274">
        <f>SUMIF(Calculation!$A:$A,Summary!B159,Calculation!$C:$C)</f>
        <v>0</v>
      </c>
      <c r="D159" s="272" t="s">
        <v>2577</v>
      </c>
      <c r="E159" s="268"/>
      <c r="F159" s="268"/>
      <c r="G159" s="268"/>
      <c r="I159" s="268"/>
      <c r="J159" s="268"/>
    </row>
    <row r="160" spans="2:10">
      <c r="B160" s="142" t="s">
        <v>2091</v>
      </c>
      <c r="C160" s="274">
        <f>SUMIF(Calculation!$A:$A,Summary!B160,Calculation!$C:$C)</f>
        <v>0</v>
      </c>
      <c r="D160" s="272" t="s">
        <v>2577</v>
      </c>
      <c r="E160" s="268"/>
      <c r="F160" s="268"/>
      <c r="G160" s="268"/>
      <c r="I160" s="268"/>
      <c r="J160" s="268"/>
    </row>
    <row r="161" spans="2:10">
      <c r="B161" s="142" t="s">
        <v>2090</v>
      </c>
      <c r="C161" s="274">
        <f>SUMIF(Calculation!$A:$A,Summary!B161,Calculation!$C:$C)</f>
        <v>0</v>
      </c>
      <c r="D161" s="272" t="s">
        <v>2577</v>
      </c>
      <c r="E161" s="268"/>
      <c r="F161" s="268"/>
      <c r="G161" s="268"/>
      <c r="I161" s="268"/>
      <c r="J161" s="268"/>
    </row>
    <row r="162" spans="2:10">
      <c r="B162" s="142" t="s">
        <v>2093</v>
      </c>
      <c r="C162" s="274">
        <f>SUMIF(Calculation!$A:$A,Summary!B162,Calculation!$C:$C)</f>
        <v>0</v>
      </c>
      <c r="D162" s="272" t="s">
        <v>2577</v>
      </c>
      <c r="E162" s="268"/>
      <c r="F162" s="268"/>
      <c r="G162" s="268"/>
      <c r="I162" s="268"/>
      <c r="J162" s="268"/>
    </row>
    <row r="163" spans="2:10">
      <c r="B163" s="142" t="s">
        <v>2092</v>
      </c>
      <c r="C163" s="274">
        <f>SUMIF(Calculation!$A:$A,Summary!B163,Calculation!$C:$C)</f>
        <v>0</v>
      </c>
      <c r="D163" s="272" t="s">
        <v>2577</v>
      </c>
      <c r="E163" s="268"/>
      <c r="F163" s="268"/>
      <c r="G163" s="268"/>
      <c r="I163" s="268"/>
      <c r="J163" s="268"/>
    </row>
    <row r="164" spans="2:10">
      <c r="B164" s="142" t="s">
        <v>2094</v>
      </c>
      <c r="C164" s="274">
        <f>SUMIF(Calculation!$A:$A,Summary!B164,Calculation!$C:$C)</f>
        <v>0</v>
      </c>
      <c r="D164" s="272" t="s">
        <v>2577</v>
      </c>
      <c r="E164" s="268"/>
      <c r="F164" s="268"/>
      <c r="G164" s="268"/>
      <c r="I164" s="268"/>
      <c r="J164" s="268"/>
    </row>
    <row r="165" spans="2:10">
      <c r="B165" s="142" t="s">
        <v>2303</v>
      </c>
      <c r="C165" s="274">
        <f>SUMIF(Calculation!$A:$A,Summary!B165,Calculation!$C:$C)</f>
        <v>0</v>
      </c>
      <c r="D165" s="272" t="s">
        <v>2576</v>
      </c>
      <c r="E165" s="268"/>
      <c r="F165" s="268"/>
      <c r="G165" s="268"/>
      <c r="I165" s="268"/>
      <c r="J165" s="268"/>
    </row>
    <row r="166" spans="2:10">
      <c r="B166" s="142" t="s">
        <v>2338</v>
      </c>
      <c r="C166" s="274">
        <f>SUMIF(Calculation!$A:$A,Summary!B166,Calculation!$C:$C)</f>
        <v>0</v>
      </c>
      <c r="D166" s="272" t="s">
        <v>2577</v>
      </c>
      <c r="E166" s="268"/>
      <c r="F166" s="268"/>
      <c r="G166" s="268"/>
      <c r="I166" s="268"/>
      <c r="J166" s="268"/>
    </row>
    <row r="167" spans="2:10">
      <c r="B167" s="142" t="s">
        <v>2353</v>
      </c>
      <c r="C167" s="274">
        <f>SUMIF(Calculation!$A:$A,Summary!B167,Calculation!$C:$C)</f>
        <v>0</v>
      </c>
      <c r="D167" s="272" t="s">
        <v>2577</v>
      </c>
      <c r="E167" s="268"/>
      <c r="F167" s="268"/>
      <c r="G167" s="268"/>
      <c r="I167" s="268"/>
      <c r="J167" s="268"/>
    </row>
    <row r="168" spans="2:10">
      <c r="B168" s="142" t="s">
        <v>1927</v>
      </c>
      <c r="C168" s="274">
        <f>SUMIF(Calculation!$A:$A,Summary!B168,Calculation!$C:$C)</f>
        <v>0</v>
      </c>
      <c r="D168" s="272" t="s">
        <v>2577</v>
      </c>
      <c r="E168" s="268"/>
      <c r="F168" s="268"/>
      <c r="G168" s="268"/>
      <c r="I168" s="268"/>
      <c r="J168" s="268"/>
    </row>
    <row r="169" spans="2:10">
      <c r="B169" s="142" t="s">
        <v>2351</v>
      </c>
      <c r="C169" s="274">
        <f>SUMIF(Calculation!$A:$A,Summary!B169,Calculation!$C:$C)</f>
        <v>0</v>
      </c>
      <c r="D169" s="272" t="s">
        <v>2577</v>
      </c>
      <c r="E169" s="268"/>
      <c r="F169" s="268"/>
      <c r="G169" s="268"/>
      <c r="I169" s="268"/>
      <c r="J169" s="268"/>
    </row>
    <row r="170" spans="2:10">
      <c r="B170" s="142" t="s">
        <v>2156</v>
      </c>
      <c r="C170" s="274">
        <f>SUMIF(Calculation!$A:$A,Summary!B170,Calculation!$C:$C)</f>
        <v>0</v>
      </c>
      <c r="D170" s="272" t="s">
        <v>2577</v>
      </c>
      <c r="E170" s="268"/>
      <c r="F170" s="268"/>
      <c r="G170" s="268"/>
      <c r="I170" s="268"/>
      <c r="J170" s="268"/>
    </row>
    <row r="171" spans="2:10">
      <c r="B171" s="142" t="s">
        <v>2112</v>
      </c>
      <c r="C171" s="274">
        <f>SUMIF(Calculation!$A:$A,Summary!B171,Calculation!$C:$C)</f>
        <v>0</v>
      </c>
      <c r="D171" s="272" t="s">
        <v>2577</v>
      </c>
      <c r="E171" s="268"/>
      <c r="F171" s="268"/>
      <c r="G171" s="268"/>
      <c r="I171" s="268"/>
      <c r="J171" s="268"/>
    </row>
    <row r="172" spans="2:10">
      <c r="B172" s="142" t="s">
        <v>2331</v>
      </c>
      <c r="C172" s="274">
        <f>SUMIF(Calculation!$A:$A,Summary!B172,Calculation!$C:$C)</f>
        <v>0</v>
      </c>
      <c r="D172" s="272" t="s">
        <v>2577</v>
      </c>
      <c r="E172" s="268"/>
      <c r="F172" s="268"/>
      <c r="G172" s="268"/>
      <c r="I172" s="268"/>
      <c r="J172" s="268"/>
    </row>
    <row r="173" spans="2:10">
      <c r="B173" s="142" t="s">
        <v>2113</v>
      </c>
      <c r="C173" s="274">
        <f>SUMIF(Calculation!$A:$A,Summary!B173,Calculation!$C:$C)</f>
        <v>0</v>
      </c>
      <c r="D173" s="272" t="s">
        <v>2577</v>
      </c>
      <c r="E173" s="268"/>
      <c r="F173" s="268"/>
      <c r="G173" s="268"/>
      <c r="I173" s="268"/>
      <c r="J173" s="268"/>
    </row>
    <row r="174" spans="2:10">
      <c r="B174" s="142" t="s">
        <v>2352</v>
      </c>
      <c r="C174" s="274">
        <f>SUMIF(Calculation!$A:$A,Summary!B174,Calculation!$C:$C)</f>
        <v>0</v>
      </c>
      <c r="D174" s="272" t="s">
        <v>2577</v>
      </c>
      <c r="E174" s="268"/>
      <c r="F174" s="268"/>
      <c r="G174" s="268"/>
      <c r="I174" s="268"/>
      <c r="J174" s="268"/>
    </row>
    <row r="175" spans="2:10">
      <c r="B175" s="142" t="s">
        <v>2136</v>
      </c>
      <c r="C175" s="274">
        <f>SUMIF(Calculation!$A:$A,Summary!B175,Calculation!$C:$C)</f>
        <v>0</v>
      </c>
      <c r="D175" s="272" t="s">
        <v>2577</v>
      </c>
      <c r="E175" s="268"/>
      <c r="F175" s="268"/>
      <c r="G175" s="268"/>
      <c r="I175" s="268"/>
      <c r="J175" s="268"/>
    </row>
    <row r="176" spans="2:10">
      <c r="B176" s="142" t="s">
        <v>2107</v>
      </c>
      <c r="C176" s="274">
        <f>SUMIF(Calculation!$A:$A,Summary!B176,Calculation!$C:$C)</f>
        <v>0</v>
      </c>
      <c r="D176" s="272" t="s">
        <v>2577</v>
      </c>
      <c r="E176" s="268"/>
      <c r="F176" s="268"/>
      <c r="G176" s="268"/>
      <c r="I176" s="268"/>
      <c r="J176" s="268"/>
    </row>
    <row r="177" spans="2:10">
      <c r="B177" s="142" t="s">
        <v>2084</v>
      </c>
      <c r="C177" s="274">
        <f>SUMIF(Calculation!$A:$A,Summary!B177,Calculation!$C:$C)</f>
        <v>0</v>
      </c>
      <c r="D177" s="272" t="s">
        <v>2577</v>
      </c>
      <c r="E177" s="268"/>
      <c r="F177" s="268"/>
      <c r="G177" s="268"/>
      <c r="I177" s="268"/>
      <c r="J177" s="268"/>
    </row>
    <row r="178" spans="2:10">
      <c r="B178" s="142" t="s">
        <v>2095</v>
      </c>
      <c r="C178" s="274">
        <f>SUMIF(Calculation!$A:$A,Summary!B178,Calculation!$C:$C)</f>
        <v>0</v>
      </c>
      <c r="D178" s="272" t="s">
        <v>2577</v>
      </c>
      <c r="E178" s="268"/>
      <c r="F178" s="268"/>
      <c r="G178" s="268"/>
      <c r="I178" s="268"/>
      <c r="J178" s="268"/>
    </row>
    <row r="179" spans="2:10">
      <c r="B179" s="142" t="s">
        <v>2143</v>
      </c>
      <c r="C179" s="274">
        <f>SUMIF(Calculation!$A:$A,Summary!B179,Calculation!$C:$C)</f>
        <v>0</v>
      </c>
      <c r="D179" s="272" t="s">
        <v>2577</v>
      </c>
      <c r="E179" s="268"/>
      <c r="F179" s="268"/>
      <c r="G179" s="268"/>
      <c r="I179" s="268"/>
      <c r="J179" s="268"/>
    </row>
    <row r="180" spans="2:10">
      <c r="B180" s="142" t="s">
        <v>2355</v>
      </c>
      <c r="C180" s="274">
        <f>SUMIF(Calculation!$A:$A,Summary!B180,Calculation!$C:$C)</f>
        <v>0</v>
      </c>
      <c r="D180" s="272" t="s">
        <v>2577</v>
      </c>
      <c r="E180" s="268"/>
      <c r="F180" s="268"/>
      <c r="G180" s="268"/>
      <c r="I180" s="268"/>
      <c r="J180" s="268"/>
    </row>
    <row r="181" spans="2:10">
      <c r="B181" s="142" t="s">
        <v>2236</v>
      </c>
      <c r="C181" s="274">
        <f>SUMIF(Calculation!$A:$A,Summary!B181,Calculation!$C:$C)</f>
        <v>0</v>
      </c>
      <c r="D181" s="272" t="s">
        <v>2577</v>
      </c>
      <c r="E181" s="268"/>
      <c r="F181" s="268"/>
      <c r="G181" s="268"/>
      <c r="I181" s="268"/>
      <c r="J181" s="268"/>
    </row>
    <row r="182" spans="2:10">
      <c r="B182" s="142" t="s">
        <v>2381</v>
      </c>
      <c r="C182" s="274">
        <f>SUMIF(Calculation!$A:$A,Summary!B182,Calculation!$C:$C)</f>
        <v>0</v>
      </c>
      <c r="D182" s="272" t="s">
        <v>2577</v>
      </c>
      <c r="E182" s="268"/>
      <c r="F182" s="268"/>
      <c r="G182" s="268"/>
      <c r="I182" s="268"/>
      <c r="J182" s="268"/>
    </row>
    <row r="183" spans="2:10">
      <c r="B183" s="142" t="s">
        <v>2367</v>
      </c>
      <c r="C183" s="274">
        <f>SUMIF(Calculation!$A:$A,Summary!B183,Calculation!$C:$C)</f>
        <v>0</v>
      </c>
      <c r="D183" s="272" t="s">
        <v>2577</v>
      </c>
      <c r="E183" s="268"/>
      <c r="F183" s="268"/>
      <c r="G183" s="268"/>
      <c r="I183" s="268"/>
      <c r="J183" s="268"/>
    </row>
    <row r="184" spans="2:10">
      <c r="B184" s="142" t="s">
        <v>2155</v>
      </c>
      <c r="C184" s="274">
        <f>SUMIF(Calculation!$A:$A,Summary!B184,Calculation!$C:$C)</f>
        <v>0</v>
      </c>
      <c r="D184" s="272" t="s">
        <v>2577</v>
      </c>
      <c r="E184" s="268"/>
      <c r="F184" s="268"/>
      <c r="G184" s="268"/>
      <c r="I184" s="268"/>
      <c r="J184" s="268"/>
    </row>
    <row r="185" spans="2:10">
      <c r="B185" s="142" t="s">
        <v>2332</v>
      </c>
      <c r="C185" s="274">
        <f>SUMIF(Calculation!$A:$A,Summary!B185,Calculation!$C:$C)</f>
        <v>0</v>
      </c>
      <c r="D185" s="272" t="s">
        <v>2577</v>
      </c>
      <c r="E185" s="268"/>
      <c r="F185" s="268"/>
      <c r="G185" s="268"/>
      <c r="I185" s="268"/>
      <c r="J185" s="268"/>
    </row>
    <row r="186" spans="2:10">
      <c r="B186" s="142" t="s">
        <v>2181</v>
      </c>
      <c r="C186" s="274">
        <f>SUMIF(Calculation!$A:$A,Summary!B186,Calculation!$C:$C)</f>
        <v>0</v>
      </c>
      <c r="D186" s="272" t="s">
        <v>2577</v>
      </c>
      <c r="E186" s="268"/>
      <c r="F186" s="268"/>
      <c r="G186" s="268"/>
      <c r="I186" s="268"/>
      <c r="J186" s="268"/>
    </row>
    <row r="187" spans="2:10">
      <c r="B187" s="142" t="s">
        <v>2170</v>
      </c>
      <c r="C187" s="274">
        <f>SUMIF(Calculation!$A:$A,Summary!B187,Calculation!$C:$C)</f>
        <v>0</v>
      </c>
      <c r="D187" s="272" t="s">
        <v>2577</v>
      </c>
      <c r="E187" s="268"/>
      <c r="F187" s="268"/>
      <c r="G187" s="268"/>
      <c r="I187" s="268"/>
      <c r="J187" s="268"/>
    </row>
    <row r="188" spans="2:10">
      <c r="B188" s="142" t="s">
        <v>2182</v>
      </c>
      <c r="C188" s="274">
        <f>SUMIF(Calculation!$A:$A,Summary!B188,Calculation!$C:$C)</f>
        <v>0</v>
      </c>
      <c r="D188" s="272" t="s">
        <v>2577</v>
      </c>
      <c r="E188" s="268"/>
      <c r="F188" s="268"/>
      <c r="G188" s="268"/>
      <c r="I188" s="268"/>
      <c r="J188" s="268"/>
    </row>
    <row r="189" spans="2:10">
      <c r="B189" s="142" t="s">
        <v>2144</v>
      </c>
      <c r="C189" s="274">
        <f>SUMIF(Calculation!$A:$A,Summary!B189,Calculation!$C:$C)</f>
        <v>0</v>
      </c>
      <c r="D189" s="272" t="s">
        <v>2577</v>
      </c>
      <c r="E189" s="268"/>
      <c r="F189" s="268"/>
      <c r="G189" s="268"/>
      <c r="I189" s="268"/>
      <c r="J189" s="268"/>
    </row>
    <row r="190" spans="2:10">
      <c r="B190" s="142" t="s">
        <v>2238</v>
      </c>
      <c r="C190" s="274">
        <f>SUMIF(Calculation!$A:$A,Summary!B190,Calculation!$C:$C)</f>
        <v>0</v>
      </c>
      <c r="D190" s="272" t="s">
        <v>2577</v>
      </c>
      <c r="E190" s="268"/>
      <c r="F190" s="268"/>
      <c r="G190" s="268"/>
      <c r="I190" s="268"/>
      <c r="J190" s="268"/>
    </row>
    <row r="191" spans="2:10">
      <c r="B191" s="142" t="s">
        <v>2138</v>
      </c>
      <c r="C191" s="274">
        <f>SUMIF(Calculation!$A:$A,Summary!B191,Calculation!$C:$C)</f>
        <v>0</v>
      </c>
      <c r="D191" s="272" t="s">
        <v>2577</v>
      </c>
      <c r="E191" s="268"/>
      <c r="F191" s="268"/>
      <c r="G191" s="268"/>
      <c r="I191" s="268"/>
      <c r="J191" s="268"/>
    </row>
    <row r="192" spans="2:10">
      <c r="B192" s="142" t="s">
        <v>2297</v>
      </c>
      <c r="C192" s="274">
        <f>SUMIF(Calculation!$A:$A,Summary!B192,Calculation!$C:$C)</f>
        <v>0</v>
      </c>
      <c r="D192" s="272" t="s">
        <v>2577</v>
      </c>
      <c r="E192" s="268"/>
      <c r="F192" s="268"/>
      <c r="G192" s="268"/>
      <c r="I192" s="268"/>
      <c r="J192" s="268"/>
    </row>
    <row r="193" spans="2:10">
      <c r="B193" s="142" t="s">
        <v>2241</v>
      </c>
      <c r="C193" s="274">
        <f>SUMIF(Calculation!$A:$A,Summary!B193,Calculation!$C:$C)</f>
        <v>0</v>
      </c>
      <c r="D193" s="272" t="s">
        <v>2577</v>
      </c>
      <c r="E193" s="268"/>
      <c r="F193" s="268"/>
      <c r="G193" s="268"/>
      <c r="I193" s="268"/>
      <c r="J193" s="268"/>
    </row>
    <row r="194" spans="2:10">
      <c r="B194" s="142" t="s">
        <v>2276</v>
      </c>
      <c r="C194" s="274">
        <f>SUMIF(Calculation!$A:$A,Summary!B194,Calculation!$C:$C)</f>
        <v>0</v>
      </c>
      <c r="D194" s="272" t="s">
        <v>2577</v>
      </c>
      <c r="E194" s="268"/>
      <c r="F194" s="268"/>
      <c r="G194" s="268"/>
      <c r="I194" s="268"/>
      <c r="J194" s="268"/>
    </row>
    <row r="195" spans="2:10">
      <c r="B195" s="142" t="s">
        <v>2235</v>
      </c>
      <c r="C195" s="274">
        <f>SUMIF(Calculation!$A:$A,Summary!B195,Calculation!$C:$C)</f>
        <v>0</v>
      </c>
      <c r="D195" s="272" t="s">
        <v>2577</v>
      </c>
      <c r="E195" s="268"/>
      <c r="F195" s="268"/>
      <c r="G195" s="268"/>
      <c r="I195" s="268"/>
      <c r="J195" s="268"/>
    </row>
    <row r="196" spans="2:10">
      <c r="B196" s="142" t="s">
        <v>2108</v>
      </c>
      <c r="C196" s="274">
        <f>SUMIF(Calculation!$A:$A,Summary!B196,Calculation!$C:$C)</f>
        <v>0</v>
      </c>
      <c r="D196" s="272" t="s">
        <v>2577</v>
      </c>
      <c r="E196" s="268"/>
      <c r="F196" s="268"/>
      <c r="G196" s="268"/>
      <c r="I196" s="268"/>
      <c r="J196" s="268"/>
    </row>
    <row r="197" spans="2:10">
      <c r="B197" s="142" t="s">
        <v>2242</v>
      </c>
      <c r="C197" s="274">
        <f>SUMIF(Calculation!$A:$A,Summary!B197,Calculation!$C:$C)</f>
        <v>0</v>
      </c>
      <c r="D197" s="272" t="s">
        <v>2577</v>
      </c>
      <c r="E197" s="268"/>
      <c r="F197" s="268"/>
      <c r="G197" s="268"/>
      <c r="I197" s="268"/>
      <c r="J197" s="268"/>
    </row>
    <row r="198" spans="2:10">
      <c r="B198" s="142" t="s">
        <v>2103</v>
      </c>
      <c r="C198" s="274">
        <f>SUMIF(Calculation!$A:$A,Summary!B198,Calculation!$C:$C)</f>
        <v>0</v>
      </c>
      <c r="D198" s="272" t="s">
        <v>2577</v>
      </c>
      <c r="E198" s="268"/>
      <c r="F198" s="268"/>
      <c r="G198" s="268"/>
      <c r="I198" s="268"/>
      <c r="J198" s="268"/>
    </row>
    <row r="199" spans="2:10">
      <c r="B199" s="142" t="s">
        <v>2105</v>
      </c>
      <c r="C199" s="274">
        <f>SUMIF(Calculation!$A:$A,Summary!B199,Calculation!$C:$C)</f>
        <v>0</v>
      </c>
      <c r="D199" s="272" t="s">
        <v>2577</v>
      </c>
      <c r="E199" s="268"/>
      <c r="F199" s="268"/>
      <c r="G199" s="268"/>
      <c r="I199" s="268"/>
      <c r="J199" s="268"/>
    </row>
    <row r="200" spans="2:10">
      <c r="B200" s="142" t="s">
        <v>2106</v>
      </c>
      <c r="C200" s="274">
        <f>SUMIF(Calculation!$A:$A,Summary!B200,Calculation!$C:$C)</f>
        <v>0</v>
      </c>
      <c r="D200" s="272" t="s">
        <v>2577</v>
      </c>
      <c r="E200" s="268"/>
      <c r="F200" s="268"/>
      <c r="G200" s="268"/>
      <c r="I200" s="268"/>
      <c r="J200" s="268"/>
    </row>
    <row r="201" spans="2:10">
      <c r="B201" s="142" t="s">
        <v>2356</v>
      </c>
      <c r="C201" s="274">
        <f>SUMIF(Calculation!$A:$A,Summary!B201,Calculation!$C:$C)</f>
        <v>0</v>
      </c>
      <c r="D201" s="272" t="s">
        <v>2577</v>
      </c>
      <c r="E201" s="268"/>
      <c r="F201" s="268"/>
      <c r="G201" s="268"/>
      <c r="I201" s="268"/>
      <c r="J201" s="268"/>
    </row>
    <row r="202" spans="2:10">
      <c r="B202" s="142" t="s">
        <v>2368</v>
      </c>
      <c r="C202" s="274">
        <f>SUMIF(Calculation!$A:$A,Summary!B202,Calculation!$C:$C)</f>
        <v>0</v>
      </c>
      <c r="D202" s="272" t="s">
        <v>2577</v>
      </c>
      <c r="E202" s="268"/>
      <c r="F202" s="268"/>
      <c r="G202" s="268"/>
      <c r="I202" s="268"/>
      <c r="J202" s="268"/>
    </row>
    <row r="203" spans="2:10">
      <c r="B203" s="142" t="s">
        <v>2354</v>
      </c>
      <c r="C203" s="274">
        <f>SUMIF(Calculation!$A:$A,Summary!B203,Calculation!$C:$C)</f>
        <v>0</v>
      </c>
      <c r="D203" s="272" t="s">
        <v>2577</v>
      </c>
      <c r="E203" s="268"/>
      <c r="F203" s="268"/>
      <c r="G203" s="268"/>
      <c r="I203" s="268"/>
      <c r="J203" s="268"/>
    </row>
    <row r="204" spans="2:10">
      <c r="B204" s="142" t="s">
        <v>2372</v>
      </c>
      <c r="C204" s="274">
        <f>SUMIF(Calculation!$A:$A,Summary!B204,Calculation!$C:$C)</f>
        <v>0</v>
      </c>
      <c r="D204" s="272" t="s">
        <v>2577</v>
      </c>
      <c r="E204" s="268"/>
      <c r="F204" s="268"/>
      <c r="G204" s="268"/>
      <c r="I204" s="268"/>
      <c r="J204" s="268"/>
    </row>
    <row r="205" spans="2:10">
      <c r="B205" s="142" t="s">
        <v>2386</v>
      </c>
      <c r="C205" s="274">
        <f>SUMIF(Calculation!$A:$A,Summary!B205,Calculation!$C:$C)</f>
        <v>0</v>
      </c>
      <c r="D205" s="272" t="s">
        <v>2577</v>
      </c>
      <c r="E205" s="268"/>
      <c r="F205" s="268"/>
      <c r="G205" s="268"/>
      <c r="I205" s="268"/>
      <c r="J205" s="268"/>
    </row>
    <row r="206" spans="2:10">
      <c r="B206" s="142" t="s">
        <v>2177</v>
      </c>
      <c r="C206" s="274">
        <f>SUMIF(Calculation!$A:$A,Summary!B206,Calculation!$C:$C)</f>
        <v>0</v>
      </c>
      <c r="D206" s="272" t="s">
        <v>2577</v>
      </c>
      <c r="E206" s="268"/>
      <c r="F206" s="268"/>
      <c r="G206" s="268"/>
      <c r="I206" s="268"/>
      <c r="J206" s="268"/>
    </row>
    <row r="207" spans="2:10">
      <c r="B207" s="142" t="s">
        <v>2296</v>
      </c>
      <c r="C207" s="274">
        <f>SUMIF(Calculation!$A:$A,Summary!B207,Calculation!$C:$C)</f>
        <v>0</v>
      </c>
      <c r="D207" s="272" t="s">
        <v>2577</v>
      </c>
      <c r="E207" s="268"/>
      <c r="F207" s="268"/>
      <c r="G207" s="268"/>
      <c r="I207" s="268"/>
      <c r="J207" s="268"/>
    </row>
    <row r="208" spans="2:10">
      <c r="B208" s="142" t="s">
        <v>2180</v>
      </c>
      <c r="C208" s="274">
        <f>SUMIF(Calculation!$A:$A,Summary!B208,Calculation!$C:$C)</f>
        <v>0</v>
      </c>
      <c r="D208" s="272" t="s">
        <v>2577</v>
      </c>
      <c r="E208" s="268"/>
      <c r="F208" s="268"/>
      <c r="G208" s="268"/>
      <c r="I208" s="268"/>
      <c r="J208" s="268"/>
    </row>
    <row r="209" spans="2:10">
      <c r="B209" s="142" t="s">
        <v>2357</v>
      </c>
      <c r="C209" s="274">
        <f>SUMIF(Calculation!$A:$A,Summary!B209,Calculation!$C:$C)</f>
        <v>0</v>
      </c>
      <c r="D209" s="272" t="s">
        <v>2577</v>
      </c>
      <c r="E209" s="268"/>
      <c r="F209" s="268"/>
      <c r="G209" s="268"/>
      <c r="I209" s="268"/>
      <c r="J209" s="268"/>
    </row>
    <row r="210" spans="2:10">
      <c r="B210" s="142" t="s">
        <v>2089</v>
      </c>
      <c r="C210" s="274">
        <f>SUMIF(Calculation!$A:$A,Summary!B210,Calculation!$C:$C)</f>
        <v>0</v>
      </c>
      <c r="D210" s="272" t="s">
        <v>2577</v>
      </c>
      <c r="E210" s="268"/>
      <c r="F210" s="268"/>
      <c r="G210" s="268"/>
      <c r="I210" s="268"/>
      <c r="J210" s="268"/>
    </row>
    <row r="211" spans="2:10">
      <c r="B211" s="142" t="s">
        <v>2283</v>
      </c>
      <c r="C211" s="274">
        <f>SUMIF(Calculation!$A:$A,Summary!B211,Calculation!$C:$C)</f>
        <v>0</v>
      </c>
      <c r="D211" s="272" t="s">
        <v>2577</v>
      </c>
      <c r="E211" s="268"/>
      <c r="F211" s="268"/>
      <c r="G211" s="268"/>
      <c r="I211" s="268"/>
      <c r="J211" s="268"/>
    </row>
    <row r="212" spans="2:10">
      <c r="B212" s="142" t="s">
        <v>2282</v>
      </c>
      <c r="C212" s="274">
        <f>SUMIF(Calculation!$A:$A,Summary!B212,Calculation!$C:$C)</f>
        <v>0</v>
      </c>
      <c r="D212" s="272" t="s">
        <v>2577</v>
      </c>
      <c r="E212" s="268"/>
      <c r="F212" s="268"/>
      <c r="G212" s="268"/>
      <c r="I212" s="268"/>
      <c r="J212" s="268"/>
    </row>
    <row r="213" spans="2:10">
      <c r="B213" s="142" t="s">
        <v>2330</v>
      </c>
      <c r="C213" s="274">
        <f>SUMIF(Calculation!$A:$A,Summary!B213,Calculation!$C:$C)</f>
        <v>0</v>
      </c>
      <c r="D213" s="272" t="s">
        <v>2577</v>
      </c>
      <c r="E213" s="268"/>
      <c r="F213" s="268"/>
      <c r="G213" s="268"/>
      <c r="I213" s="268"/>
      <c r="J213" s="268"/>
    </row>
    <row r="214" spans="2:10">
      <c r="B214" s="142" t="s">
        <v>2369</v>
      </c>
      <c r="C214" s="274">
        <f>SUMIF(Calculation!$A:$A,Summary!B214,Calculation!$C:$C)</f>
        <v>0</v>
      </c>
      <c r="D214" s="272" t="s">
        <v>2577</v>
      </c>
      <c r="E214" s="268"/>
      <c r="F214" s="268"/>
      <c r="G214" s="268"/>
      <c r="I214" s="268"/>
      <c r="J214" s="268"/>
    </row>
    <row r="215" spans="2:10">
      <c r="B215" s="142" t="s">
        <v>2402</v>
      </c>
      <c r="C215" s="274">
        <f>SUMIF(Calculation!$A:$A,Summary!B215,Calculation!$C:$C)</f>
        <v>0</v>
      </c>
      <c r="D215" s="272" t="s">
        <v>2577</v>
      </c>
      <c r="E215" s="268"/>
      <c r="F215" s="268"/>
      <c r="G215" s="268"/>
      <c r="I215" s="268"/>
      <c r="J215" s="268"/>
    </row>
    <row r="216" spans="2:10">
      <c r="B216" s="142" t="s">
        <v>2340</v>
      </c>
      <c r="C216" s="274">
        <f>SUMIF(Calculation!$A:$A,Summary!B216,Calculation!$C:$C)</f>
        <v>0</v>
      </c>
      <c r="D216" s="272" t="s">
        <v>2577</v>
      </c>
      <c r="E216" s="268"/>
      <c r="F216" s="268"/>
      <c r="G216" s="268"/>
      <c r="I216" s="268"/>
      <c r="J216" s="268"/>
    </row>
    <row r="217" spans="2:10">
      <c r="B217" s="142" t="s">
        <v>2398</v>
      </c>
      <c r="C217" s="274">
        <f>SUMIF(Calculation!$A:$A,Summary!B217,Calculation!$C:$C)</f>
        <v>0</v>
      </c>
      <c r="D217" s="272" t="s">
        <v>2577</v>
      </c>
      <c r="E217" s="268"/>
      <c r="F217" s="268"/>
      <c r="G217" s="268"/>
      <c r="I217" s="268"/>
      <c r="J217" s="268"/>
    </row>
    <row r="218" spans="2:10">
      <c r="B218" s="142" t="s">
        <v>2290</v>
      </c>
      <c r="C218" s="274">
        <f>SUMIF(Calculation!$A:$A,Summary!B218,Calculation!$C:$C)</f>
        <v>0</v>
      </c>
      <c r="D218" s="272" t="s">
        <v>2577</v>
      </c>
      <c r="E218" s="268"/>
      <c r="F218" s="268"/>
      <c r="G218" s="268"/>
      <c r="I218" s="268"/>
      <c r="J218" s="268"/>
    </row>
    <row r="219" spans="2:10">
      <c r="B219" s="142" t="s">
        <v>2293</v>
      </c>
      <c r="C219" s="274">
        <f>SUMIF(Calculation!$A:$A,Summary!B219,Calculation!$C:$C)</f>
        <v>0</v>
      </c>
      <c r="D219" s="272" t="s">
        <v>2577</v>
      </c>
      <c r="E219" s="268"/>
      <c r="F219" s="268"/>
      <c r="G219" s="268"/>
      <c r="I219" s="268"/>
      <c r="J219" s="268"/>
    </row>
    <row r="220" spans="2:10">
      <c r="B220" s="142" t="s">
        <v>2291</v>
      </c>
      <c r="C220" s="274">
        <f>SUMIF(Calculation!$A:$A,Summary!B220,Calculation!$C:$C)</f>
        <v>0</v>
      </c>
      <c r="D220" s="272" t="s">
        <v>2577</v>
      </c>
      <c r="E220" s="268"/>
      <c r="F220" s="268"/>
      <c r="G220" s="268"/>
      <c r="I220" s="268"/>
      <c r="J220" s="268"/>
    </row>
    <row r="221" spans="2:10">
      <c r="B221" s="142" t="s">
        <v>2295</v>
      </c>
      <c r="C221" s="274">
        <f>SUMIF(Calculation!$A:$A,Summary!B221,Calculation!$C:$C)</f>
        <v>0</v>
      </c>
      <c r="D221" s="272" t="s">
        <v>2577</v>
      </c>
      <c r="E221" s="268"/>
      <c r="F221" s="268"/>
      <c r="G221" s="268"/>
      <c r="I221" s="268"/>
      <c r="J221" s="268"/>
    </row>
    <row r="222" spans="2:10">
      <c r="B222" s="142" t="s">
        <v>2292</v>
      </c>
      <c r="C222" s="274">
        <f>SUMIF(Calculation!$A:$A,Summary!B222,Calculation!$C:$C)</f>
        <v>0</v>
      </c>
      <c r="D222" s="272" t="s">
        <v>2577</v>
      </c>
      <c r="E222" s="268"/>
      <c r="F222" s="268"/>
      <c r="G222" s="268"/>
      <c r="I222" s="268"/>
      <c r="J222" s="268"/>
    </row>
    <row r="223" spans="2:10">
      <c r="B223" s="142" t="s">
        <v>2434</v>
      </c>
      <c r="C223" s="274">
        <f>SUMIF(Calculation!$A:$A,Summary!B223,Calculation!$C:$C)</f>
        <v>0</v>
      </c>
      <c r="D223" s="272" t="s">
        <v>2577</v>
      </c>
      <c r="E223" s="268"/>
      <c r="F223" s="268"/>
      <c r="G223" s="268"/>
      <c r="I223" s="268"/>
      <c r="J223" s="268"/>
    </row>
    <row r="224" spans="2:10">
      <c r="B224" s="142" t="s">
        <v>2379</v>
      </c>
      <c r="C224" s="274">
        <f>SUMIF(Calculation!$A:$A,Summary!B224,Calculation!$C:$C)</f>
        <v>0</v>
      </c>
      <c r="D224" s="272" t="s">
        <v>2577</v>
      </c>
      <c r="E224" s="268"/>
      <c r="F224" s="268"/>
      <c r="G224" s="268"/>
      <c r="I224" s="268"/>
      <c r="J224" s="268"/>
    </row>
    <row r="225" spans="2:10">
      <c r="B225" s="142" t="s">
        <v>2432</v>
      </c>
      <c r="C225" s="274">
        <f>SUMIF(Calculation!$A:$A,Summary!B225,Calculation!$C:$C)</f>
        <v>0</v>
      </c>
      <c r="D225" s="272" t="s">
        <v>2576</v>
      </c>
      <c r="E225" s="268"/>
      <c r="F225" s="268"/>
      <c r="G225" s="268"/>
      <c r="I225" s="268"/>
      <c r="J225" s="268"/>
    </row>
    <row r="226" spans="2:10">
      <c r="B226" s="142" t="s">
        <v>2259</v>
      </c>
      <c r="C226" s="274">
        <f>SUMIF(Calculation!$A:$A,Summary!B226,Calculation!$C:$C)</f>
        <v>0</v>
      </c>
      <c r="D226" s="272" t="s">
        <v>2577</v>
      </c>
      <c r="E226" s="268"/>
      <c r="F226" s="268"/>
      <c r="G226" s="268"/>
      <c r="I226" s="268"/>
      <c r="J226" s="268"/>
    </row>
    <row r="227" spans="2:10">
      <c r="B227" s="142" t="s">
        <v>2260</v>
      </c>
      <c r="C227" s="274">
        <f>SUMIF(Calculation!$A:$A,Summary!B227,Calculation!$C:$C)</f>
        <v>0</v>
      </c>
      <c r="D227" s="272" t="s">
        <v>2577</v>
      </c>
      <c r="E227" s="268"/>
      <c r="F227" s="268"/>
      <c r="G227" s="268"/>
      <c r="I227" s="268"/>
      <c r="J227" s="268"/>
    </row>
    <row r="228" spans="2:10">
      <c r="B228" s="142" t="s">
        <v>2258</v>
      </c>
      <c r="C228" s="274">
        <f>SUMIF(Calculation!$A:$A,Summary!B228,Calculation!$C:$C)</f>
        <v>0</v>
      </c>
      <c r="D228" s="272" t="s">
        <v>2577</v>
      </c>
      <c r="E228" s="268"/>
      <c r="F228" s="268"/>
      <c r="G228" s="268"/>
      <c r="I228" s="268"/>
      <c r="J228" s="268"/>
    </row>
    <row r="229" spans="2:10">
      <c r="B229" s="142" t="s">
        <v>2362</v>
      </c>
      <c r="C229" s="274">
        <f>SUMIF(Calculation!$A:$A,Summary!B229,Calculation!$C:$C)</f>
        <v>0</v>
      </c>
      <c r="D229" s="272" t="s">
        <v>2577</v>
      </c>
      <c r="E229" s="268"/>
      <c r="F229" s="268"/>
      <c r="G229" s="268"/>
      <c r="I229" s="268"/>
      <c r="J229" s="268"/>
    </row>
    <row r="230" spans="2:10">
      <c r="B230" s="142" t="s">
        <v>2361</v>
      </c>
      <c r="C230" s="274">
        <f>SUMIF(Calculation!$A:$A,Summary!B230,Calculation!$C:$C)</f>
        <v>0</v>
      </c>
      <c r="D230" s="272" t="s">
        <v>2577</v>
      </c>
      <c r="E230" s="268"/>
      <c r="F230" s="268"/>
      <c r="G230" s="268"/>
      <c r="I230" s="268"/>
      <c r="J230" s="268"/>
    </row>
    <row r="231" spans="2:10">
      <c r="B231" s="142" t="s">
        <v>2366</v>
      </c>
      <c r="C231" s="274">
        <f>SUMIF(Calculation!$A:$A,Summary!B231,Calculation!$C:$C)</f>
        <v>0</v>
      </c>
      <c r="D231" s="272" t="s">
        <v>2577</v>
      </c>
      <c r="E231" s="268"/>
      <c r="F231" s="268"/>
      <c r="G231" s="268"/>
      <c r="I231" s="268"/>
      <c r="J231" s="268"/>
    </row>
    <row r="232" spans="2:10">
      <c r="B232" s="142" t="s">
        <v>2363</v>
      </c>
      <c r="C232" s="274">
        <f>SUMIF(Calculation!$A:$A,Summary!B232,Calculation!$C:$C)</f>
        <v>0</v>
      </c>
      <c r="D232" s="272" t="s">
        <v>2577</v>
      </c>
      <c r="E232" s="268"/>
      <c r="F232" s="268"/>
      <c r="G232" s="268"/>
      <c r="I232" s="268"/>
      <c r="J232" s="268"/>
    </row>
    <row r="233" spans="2:10">
      <c r="B233" s="142" t="s">
        <v>2358</v>
      </c>
      <c r="C233" s="274">
        <f>SUMIF(Calculation!$A:$A,Summary!B233,Calculation!$C:$C)</f>
        <v>0</v>
      </c>
      <c r="D233" s="272" t="s">
        <v>2577</v>
      </c>
      <c r="E233" s="268"/>
      <c r="F233" s="268"/>
      <c r="G233" s="268"/>
      <c r="I233" s="268"/>
      <c r="J233" s="268"/>
    </row>
    <row r="234" spans="2:10">
      <c r="B234" s="142" t="s">
        <v>2359</v>
      </c>
      <c r="C234" s="274">
        <f>SUMIF(Calculation!$A:$A,Summary!B234,Calculation!$C:$C)</f>
        <v>0</v>
      </c>
      <c r="D234" s="272" t="s">
        <v>2577</v>
      </c>
      <c r="E234" s="268"/>
      <c r="F234" s="268"/>
      <c r="G234" s="268"/>
      <c r="I234" s="268"/>
      <c r="J234" s="268"/>
    </row>
    <row r="235" spans="2:10">
      <c r="B235" s="142" t="s">
        <v>2365</v>
      </c>
      <c r="C235" s="274">
        <f>SUMIF(Calculation!$A:$A,Summary!B235,Calculation!$C:$C)</f>
        <v>0</v>
      </c>
      <c r="D235" s="272" t="s">
        <v>2577</v>
      </c>
      <c r="E235" s="268"/>
      <c r="F235" s="268"/>
      <c r="G235" s="268"/>
      <c r="I235" s="268"/>
      <c r="J235" s="268"/>
    </row>
    <row r="236" spans="2:10">
      <c r="B236" s="142" t="s">
        <v>2360</v>
      </c>
      <c r="C236" s="274">
        <f>SUMIF(Calculation!$A:$A,Summary!B236,Calculation!$C:$C)</f>
        <v>0</v>
      </c>
      <c r="D236" s="272" t="s">
        <v>2577</v>
      </c>
      <c r="E236" s="268"/>
      <c r="F236" s="268"/>
      <c r="G236" s="268"/>
      <c r="I236" s="268"/>
      <c r="J236" s="268"/>
    </row>
    <row r="237" spans="2:10">
      <c r="B237" s="142" t="s">
        <v>2201</v>
      </c>
      <c r="C237" s="274">
        <f>SUMIF(Calculation!$A:$A,Summary!B237,Calculation!$C:$C)</f>
        <v>0</v>
      </c>
      <c r="D237" s="272" t="s">
        <v>2577</v>
      </c>
      <c r="E237" s="268"/>
      <c r="F237" s="268"/>
      <c r="G237" s="268"/>
      <c r="I237" s="268"/>
      <c r="J237" s="268"/>
    </row>
    <row r="238" spans="2:10">
      <c r="B238" s="142" t="s">
        <v>2202</v>
      </c>
      <c r="C238" s="274">
        <f>SUMIF(Calculation!$A:$A,Summary!B238,Calculation!$C:$C)</f>
        <v>0</v>
      </c>
      <c r="D238" s="272" t="s">
        <v>2577</v>
      </c>
      <c r="E238" s="268"/>
      <c r="F238" s="268"/>
      <c r="G238" s="268"/>
      <c r="I238" s="268"/>
      <c r="J238" s="268"/>
    </row>
    <row r="239" spans="2:10">
      <c r="B239" s="142" t="s">
        <v>2169</v>
      </c>
      <c r="C239" s="274">
        <f>SUMIF(Calculation!$A:$A,Summary!B239,Calculation!$C:$C)</f>
        <v>0</v>
      </c>
      <c r="D239" s="272" t="s">
        <v>2577</v>
      </c>
      <c r="E239" s="268"/>
      <c r="F239" s="268"/>
      <c r="G239" s="268"/>
      <c r="I239" s="268"/>
      <c r="J239" s="268"/>
    </row>
    <row r="240" spans="2:10">
      <c r="B240" s="142" t="s">
        <v>2424</v>
      </c>
      <c r="C240" s="274">
        <f>SUMIF(Calculation!$A:$A,Summary!B240,Calculation!$C:$C)</f>
        <v>0</v>
      </c>
      <c r="D240" s="272" t="s">
        <v>2577</v>
      </c>
      <c r="E240" s="268"/>
      <c r="F240" s="268"/>
      <c r="G240" s="268"/>
      <c r="I240" s="268"/>
      <c r="J240" s="268"/>
    </row>
    <row r="241" spans="2:10">
      <c r="B241" s="142" t="s">
        <v>2225</v>
      </c>
      <c r="C241" s="274">
        <f>SUMIF(Calculation!$A:$A,Summary!B241,Calculation!$C:$C)</f>
        <v>0</v>
      </c>
      <c r="D241" s="272" t="s">
        <v>2577</v>
      </c>
      <c r="E241" s="268"/>
      <c r="F241" s="268"/>
      <c r="G241" s="268"/>
      <c r="I241" s="268"/>
      <c r="J241" s="268"/>
    </row>
    <row r="242" spans="2:10">
      <c r="B242" s="142" t="s">
        <v>2271</v>
      </c>
      <c r="C242" s="274">
        <f>SUMIF(Calculation!$A:$A,Summary!B242,Calculation!$C:$C)</f>
        <v>0</v>
      </c>
      <c r="D242" s="272" t="s">
        <v>2577</v>
      </c>
      <c r="E242" s="268"/>
      <c r="F242" s="268"/>
      <c r="G242" s="268"/>
      <c r="I242" s="268"/>
      <c r="J242" s="268"/>
    </row>
    <row r="243" spans="2:10">
      <c r="B243" s="142" t="s">
        <v>2140</v>
      </c>
      <c r="C243" s="274">
        <f>SUMIF(Calculation!$A:$A,Summary!B243,Calculation!$C:$C)</f>
        <v>0</v>
      </c>
      <c r="D243" s="272" t="s">
        <v>2577</v>
      </c>
      <c r="E243" s="268"/>
      <c r="F243" s="268"/>
      <c r="G243" s="268"/>
      <c r="I243" s="268"/>
      <c r="J243" s="268"/>
    </row>
    <row r="244" spans="2:10">
      <c r="B244" s="142" t="s">
        <v>2250</v>
      </c>
      <c r="C244" s="274">
        <f>SUMIF(Calculation!$A:$A,Summary!B244,Calculation!$C:$C)</f>
        <v>0</v>
      </c>
      <c r="D244" s="272" t="s">
        <v>2577</v>
      </c>
      <c r="E244" s="268"/>
      <c r="F244" s="268"/>
      <c r="G244" s="268"/>
      <c r="I244" s="268"/>
      <c r="J244" s="268"/>
    </row>
    <row r="245" spans="2:10">
      <c r="B245" s="142" t="s">
        <v>2249</v>
      </c>
      <c r="C245" s="274">
        <f>SUMIF(Calculation!$A:$A,Summary!B245,Calculation!$C:$C)</f>
        <v>0</v>
      </c>
      <c r="D245" s="272" t="s">
        <v>2577</v>
      </c>
      <c r="E245" s="268"/>
      <c r="F245" s="268"/>
      <c r="G245" s="268"/>
      <c r="I245" s="268"/>
      <c r="J245" s="268"/>
    </row>
    <row r="246" spans="2:10">
      <c r="B246" s="142" t="s">
        <v>2320</v>
      </c>
      <c r="C246" s="274">
        <f>SUMIF(Calculation!$A:$A,Summary!B246,Calculation!$C:$C)</f>
        <v>0</v>
      </c>
      <c r="D246" s="272" t="s">
        <v>2577</v>
      </c>
      <c r="E246" s="268"/>
      <c r="F246" s="268"/>
      <c r="G246" s="268"/>
      <c r="I246" s="268"/>
      <c r="J246" s="268"/>
    </row>
    <row r="247" spans="2:10">
      <c r="B247" s="142" t="s">
        <v>2317</v>
      </c>
      <c r="C247" s="274">
        <f>SUMIF(Calculation!$A:$A,Summary!B247,Calculation!$C:$C)</f>
        <v>0</v>
      </c>
      <c r="D247" s="272" t="s">
        <v>2577</v>
      </c>
      <c r="E247" s="321"/>
      <c r="F247" s="268"/>
      <c r="G247" s="268"/>
      <c r="I247" s="268"/>
      <c r="J247" s="268"/>
    </row>
    <row r="248" spans="2:10">
      <c r="B248" s="142" t="s">
        <v>2321</v>
      </c>
      <c r="C248" s="274">
        <f>SUMIF(Calculation!$A:$A,Summary!B248,Calculation!$C:$C)</f>
        <v>0</v>
      </c>
      <c r="D248" s="272" t="s">
        <v>2577</v>
      </c>
      <c r="E248" s="268"/>
      <c r="F248" s="268"/>
      <c r="G248" s="268"/>
      <c r="I248" s="268"/>
      <c r="J248" s="268"/>
    </row>
    <row r="249" spans="2:10">
      <c r="B249" s="142" t="s">
        <v>2319</v>
      </c>
      <c r="C249" s="274">
        <f>SUMIF(Calculation!$A:$A,Summary!B249,Calculation!$C:$C)</f>
        <v>0</v>
      </c>
      <c r="D249" s="272" t="s">
        <v>2577</v>
      </c>
      <c r="E249" s="268"/>
      <c r="F249" s="268"/>
      <c r="G249" s="268"/>
      <c r="I249" s="268"/>
      <c r="J249" s="268"/>
    </row>
    <row r="250" spans="2:10">
      <c r="B250" s="142" t="s">
        <v>2234</v>
      </c>
      <c r="C250" s="274">
        <f>SUMIF(Calculation!$A:$A,Summary!B250,Calculation!$C:$C)</f>
        <v>0</v>
      </c>
      <c r="D250" s="272" t="s">
        <v>2577</v>
      </c>
      <c r="E250" s="268"/>
      <c r="F250" s="268"/>
      <c r="G250" s="268"/>
      <c r="I250" s="268"/>
      <c r="J250" s="268"/>
    </row>
    <row r="251" spans="2:10">
      <c r="B251" s="142" t="s">
        <v>2298</v>
      </c>
      <c r="C251" s="274">
        <f>SUMIF(Calculation!$A:$A,Summary!B251,Calculation!$C:$C)</f>
        <v>0</v>
      </c>
      <c r="D251" s="272" t="s">
        <v>2576</v>
      </c>
      <c r="E251" s="268"/>
      <c r="F251" s="268"/>
      <c r="G251" s="268"/>
      <c r="I251" s="268"/>
      <c r="J251" s="268"/>
    </row>
    <row r="252" spans="2:10">
      <c r="B252" s="142" t="s">
        <v>2421</v>
      </c>
      <c r="C252" s="274">
        <f>SUMIF(Calculation!$A:$A,Summary!B252,Calculation!$C:$C)</f>
        <v>0</v>
      </c>
      <c r="D252" s="272" t="s">
        <v>2577</v>
      </c>
      <c r="E252" s="268"/>
      <c r="F252" s="268"/>
      <c r="G252" s="268"/>
      <c r="I252" s="268"/>
      <c r="J252" s="268"/>
    </row>
    <row r="253" spans="2:10">
      <c r="B253" s="142" t="s">
        <v>2128</v>
      </c>
      <c r="C253" s="274">
        <f>SUMIF(Calculation!$A:$A,Summary!B253,Calculation!$C:$C)</f>
        <v>0</v>
      </c>
      <c r="D253" s="272" t="s">
        <v>2577</v>
      </c>
      <c r="E253" s="268"/>
      <c r="F253" s="268"/>
      <c r="G253" s="268"/>
      <c r="I253" s="268"/>
      <c r="J253" s="268"/>
    </row>
    <row r="254" spans="2:10">
      <c r="B254" s="142" t="s">
        <v>2129</v>
      </c>
      <c r="C254" s="274">
        <f>SUMIF(Calculation!$A:$A,Summary!B254,Calculation!$C:$C)</f>
        <v>0</v>
      </c>
      <c r="D254" s="272" t="s">
        <v>2577</v>
      </c>
      <c r="E254" s="268"/>
      <c r="F254" s="268"/>
      <c r="G254" s="268"/>
      <c r="I254" s="268"/>
      <c r="J254" s="268"/>
    </row>
    <row r="255" spans="2:10">
      <c r="B255" s="142" t="s">
        <v>2200</v>
      </c>
      <c r="C255" s="274">
        <f>SUMIF(Calculation!$A:$A,Summary!B255,Calculation!$C:$C)</f>
        <v>0</v>
      </c>
      <c r="D255" s="272" t="s">
        <v>2577</v>
      </c>
      <c r="E255" s="268"/>
      <c r="F255" s="268"/>
      <c r="G255" s="268"/>
      <c r="I255" s="268"/>
      <c r="J255" s="268"/>
    </row>
    <row r="256" spans="2:10">
      <c r="B256" s="142" t="s">
        <v>2272</v>
      </c>
      <c r="C256" s="274">
        <f>SUMIF(Calculation!$A:$A,Summary!B256,Calculation!$C:$C)</f>
        <v>0</v>
      </c>
      <c r="D256" s="272" t="s">
        <v>2577</v>
      </c>
      <c r="E256" s="268"/>
      <c r="F256" s="268"/>
      <c r="G256" s="268"/>
      <c r="I256" s="268"/>
      <c r="J256" s="268"/>
    </row>
    <row r="257" spans="2:10">
      <c r="B257" s="142" t="s">
        <v>2274</v>
      </c>
      <c r="C257" s="274">
        <f>SUMIF(Calculation!$A:$A,Summary!B257,Calculation!$C:$C)</f>
        <v>0</v>
      </c>
      <c r="D257" s="272" t="s">
        <v>2577</v>
      </c>
      <c r="E257" s="268"/>
      <c r="F257" s="268"/>
      <c r="G257" s="268"/>
      <c r="I257" s="268"/>
      <c r="J257" s="268"/>
    </row>
    <row r="258" spans="2:10">
      <c r="B258" s="142" t="s">
        <v>2275</v>
      </c>
      <c r="C258" s="274">
        <f>SUMIF(Calculation!$A:$A,Summary!B258,Calculation!$C:$C)</f>
        <v>0</v>
      </c>
      <c r="D258" s="272" t="s">
        <v>2577</v>
      </c>
      <c r="E258" s="268"/>
      <c r="F258" s="268"/>
      <c r="G258" s="268"/>
      <c r="I258" s="268"/>
      <c r="J258" s="268"/>
    </row>
    <row r="259" spans="2:10">
      <c r="B259" s="142" t="s">
        <v>2237</v>
      </c>
      <c r="C259" s="274">
        <f>SUMIF(Calculation!$A:$A,Summary!B259,Calculation!$C:$C)</f>
        <v>0</v>
      </c>
      <c r="D259" s="272" t="s">
        <v>2577</v>
      </c>
      <c r="E259" s="268"/>
      <c r="F259" s="268"/>
      <c r="G259" s="268"/>
      <c r="I259" s="268"/>
      <c r="J259" s="268"/>
    </row>
    <row r="260" spans="2:10">
      <c r="B260" s="142" t="s">
        <v>2227</v>
      </c>
      <c r="C260" s="274">
        <f>SUMIF(Calculation!$A:$A,Summary!B260,Calculation!$C:$C)</f>
        <v>0</v>
      </c>
      <c r="D260" s="272" t="s">
        <v>2577</v>
      </c>
      <c r="E260" s="268"/>
      <c r="F260" s="268"/>
      <c r="G260" s="268"/>
      <c r="I260" s="268"/>
      <c r="J260" s="268"/>
    </row>
    <row r="261" spans="2:10">
      <c r="B261" s="142" t="s">
        <v>2281</v>
      </c>
      <c r="C261" s="274">
        <f>SUMIF(Calculation!$A:$A,Summary!B261,Calculation!$C:$C)</f>
        <v>0</v>
      </c>
      <c r="D261" s="272" t="s">
        <v>2577</v>
      </c>
      <c r="E261" s="268"/>
      <c r="F261" s="268"/>
      <c r="G261" s="268"/>
      <c r="I261" s="268"/>
      <c r="J261" s="268"/>
    </row>
    <row r="262" spans="2:10">
      <c r="B262" s="142" t="s">
        <v>2280</v>
      </c>
      <c r="C262" s="274">
        <f>SUMIF(Calculation!$A:$A,Summary!B262,Calculation!$C:$C)</f>
        <v>0</v>
      </c>
      <c r="D262" s="272" t="s">
        <v>2577</v>
      </c>
      <c r="E262" s="268"/>
      <c r="F262" s="268"/>
      <c r="G262" s="268"/>
      <c r="I262" s="268"/>
      <c r="J262" s="268"/>
    </row>
    <row r="263" spans="2:10">
      <c r="B263" s="142" t="s">
        <v>2269</v>
      </c>
      <c r="C263" s="274">
        <f>SUMIF(Calculation!$A:$A,Summary!B263,Calculation!$C:$C)</f>
        <v>0</v>
      </c>
      <c r="D263" s="272" t="s">
        <v>2577</v>
      </c>
      <c r="E263" s="268"/>
      <c r="F263" s="268"/>
      <c r="G263" s="268"/>
      <c r="I263" s="268"/>
      <c r="J263" s="268"/>
    </row>
    <row r="264" spans="2:10">
      <c r="B264" s="142" t="s">
        <v>1928</v>
      </c>
      <c r="C264" s="274">
        <f>SUMIF(Calculation!$A:$A,Summary!B264,Calculation!$C:$C)</f>
        <v>0</v>
      </c>
      <c r="D264" s="272" t="s">
        <v>2578</v>
      </c>
      <c r="E264" s="268"/>
      <c r="F264" s="268"/>
      <c r="G264" s="268"/>
      <c r="I264" s="268"/>
      <c r="J264" s="268"/>
    </row>
    <row r="265" spans="2:10">
      <c r="B265" s="142" t="s">
        <v>2300</v>
      </c>
      <c r="C265" s="274">
        <f>SUMIF(Calculation!$A:$A,Summary!B265,Calculation!$C:$C)</f>
        <v>0</v>
      </c>
      <c r="D265" s="272" t="s">
        <v>2577</v>
      </c>
      <c r="E265" s="268"/>
      <c r="F265" s="268"/>
      <c r="G265" s="268"/>
      <c r="I265" s="268"/>
      <c r="J265" s="268"/>
    </row>
    <row r="266" spans="2:10">
      <c r="B266" s="142" t="s">
        <v>2420</v>
      </c>
      <c r="C266" s="274">
        <f>SUMIF(Calculation!$A:$A,Summary!B266,Calculation!$C:$C)</f>
        <v>0</v>
      </c>
      <c r="D266" s="272" t="s">
        <v>2577</v>
      </c>
      <c r="E266" s="268"/>
      <c r="F266" s="268"/>
      <c r="G266" s="268"/>
      <c r="I266" s="268"/>
      <c r="J266" s="268"/>
    </row>
    <row r="267" spans="2:10">
      <c r="B267" s="142" t="s">
        <v>2254</v>
      </c>
      <c r="C267" s="274">
        <f>SUMIF(Calculation!$A:$A,Summary!B267,Calculation!$C:$C)</f>
        <v>0</v>
      </c>
      <c r="D267" s="272" t="s">
        <v>2577</v>
      </c>
      <c r="E267" s="268"/>
      <c r="F267" s="268"/>
      <c r="G267" s="268"/>
      <c r="I267" s="268"/>
      <c r="J267" s="268"/>
    </row>
    <row r="268" spans="2:10">
      <c r="B268" s="142" t="s">
        <v>2123</v>
      </c>
      <c r="C268" s="274">
        <f>SUMIF(Calculation!$A:$A,Summary!B268,Calculation!$C:$C)</f>
        <v>0</v>
      </c>
      <c r="D268" s="272" t="s">
        <v>2577</v>
      </c>
      <c r="E268" s="268"/>
      <c r="F268" s="268"/>
      <c r="G268" s="268"/>
      <c r="I268" s="268"/>
      <c r="J268" s="268"/>
    </row>
    <row r="269" spans="2:10">
      <c r="B269" s="142" t="s">
        <v>2173</v>
      </c>
      <c r="C269" s="274">
        <f>SUMIF(Calculation!$A:$A,Summary!B269,Calculation!$C:$C)</f>
        <v>0</v>
      </c>
      <c r="D269" s="272" t="s">
        <v>2577</v>
      </c>
      <c r="E269" s="268"/>
      <c r="F269" s="268"/>
      <c r="G269" s="268"/>
      <c r="I269" s="268"/>
      <c r="J269" s="268"/>
    </row>
    <row r="270" spans="2:10">
      <c r="B270" s="142" t="s">
        <v>2219</v>
      </c>
      <c r="C270" s="274">
        <f>SUMIF(Calculation!$A:$A,Summary!B270,Calculation!$C:$C)</f>
        <v>0</v>
      </c>
      <c r="D270" s="272" t="s">
        <v>2577</v>
      </c>
      <c r="E270" s="268"/>
      <c r="F270" s="268"/>
      <c r="G270" s="268"/>
      <c r="I270" s="268"/>
      <c r="J270" s="268"/>
    </row>
    <row r="271" spans="2:10">
      <c r="B271" s="142" t="s">
        <v>2174</v>
      </c>
      <c r="C271" s="274">
        <f>SUMIF(Calculation!$A:$A,Summary!B271,Calculation!$C:$C)</f>
        <v>0</v>
      </c>
      <c r="D271" s="272" t="s">
        <v>2577</v>
      </c>
      <c r="E271" s="268"/>
      <c r="F271" s="268"/>
      <c r="G271" s="268"/>
      <c r="I271" s="268"/>
      <c r="J271" s="268"/>
    </row>
    <row r="272" spans="2:10">
      <c r="B272" s="142" t="s">
        <v>2139</v>
      </c>
      <c r="C272" s="274">
        <f>SUMIF(Calculation!$A:$A,Summary!B272,Calculation!$C:$C)</f>
        <v>0</v>
      </c>
      <c r="D272" s="272" t="s">
        <v>2577</v>
      </c>
      <c r="E272" s="268"/>
      <c r="F272" s="268"/>
      <c r="G272" s="268"/>
      <c r="I272" s="268"/>
      <c r="J272" s="268"/>
    </row>
    <row r="273" spans="2:10">
      <c r="B273" s="142" t="s">
        <v>2137</v>
      </c>
      <c r="C273" s="274">
        <f>SUMIF(Calculation!$A:$A,Summary!B273,Calculation!$C:$C)</f>
        <v>0</v>
      </c>
      <c r="D273" s="272" t="s">
        <v>2578</v>
      </c>
      <c r="E273" s="268"/>
      <c r="F273" s="268"/>
      <c r="G273" s="268"/>
      <c r="I273" s="268"/>
      <c r="J273" s="268"/>
    </row>
    <row r="274" spans="2:10">
      <c r="B274" s="142" t="s">
        <v>2382</v>
      </c>
      <c r="C274" s="274">
        <f>SUMIF(Calculation!$A:$A,Summary!B274,Calculation!$C:$C)</f>
        <v>0</v>
      </c>
      <c r="D274" s="272" t="s">
        <v>2577</v>
      </c>
      <c r="E274" s="268"/>
      <c r="F274" s="268"/>
      <c r="G274" s="268"/>
      <c r="I274" s="268"/>
      <c r="J274" s="268"/>
    </row>
    <row r="275" spans="2:10">
      <c r="B275" s="142" t="s">
        <v>2216</v>
      </c>
      <c r="C275" s="274">
        <f>SUMIF(Calculation!$A:$A,Summary!B275,Calculation!$C:$C)</f>
        <v>0</v>
      </c>
      <c r="D275" s="272" t="s">
        <v>2577</v>
      </c>
      <c r="E275" s="268"/>
      <c r="F275" s="268"/>
      <c r="G275" s="268"/>
      <c r="I275" s="268"/>
      <c r="J275" s="268"/>
    </row>
    <row r="276" spans="2:10">
      <c r="B276" s="142" t="s">
        <v>2417</v>
      </c>
      <c r="C276" s="274">
        <f>SUMIF(Calculation!$A:$A,Summary!B276,Calculation!$C:$C)</f>
        <v>0</v>
      </c>
      <c r="D276" s="272" t="s">
        <v>2577</v>
      </c>
      <c r="E276" s="268"/>
      <c r="F276" s="268"/>
      <c r="G276" s="268"/>
      <c r="I276" s="268"/>
      <c r="J276" s="268"/>
    </row>
    <row r="277" spans="2:10">
      <c r="B277" s="142" t="s">
        <v>2418</v>
      </c>
      <c r="C277" s="274">
        <f>SUMIF(Calculation!$A:$A,Summary!B277,Calculation!$C:$C)</f>
        <v>0</v>
      </c>
      <c r="D277" s="272" t="s">
        <v>2577</v>
      </c>
      <c r="E277" s="268"/>
      <c r="F277" s="268"/>
      <c r="G277" s="268"/>
      <c r="I277" s="268"/>
      <c r="J277" s="268"/>
    </row>
    <row r="278" spans="2:10">
      <c r="B278" s="142" t="s">
        <v>2419</v>
      </c>
      <c r="C278" s="274">
        <f>SUMIF(Calculation!$A:$A,Summary!B278,Calculation!$C:$C)</f>
        <v>0</v>
      </c>
      <c r="D278" s="272" t="s">
        <v>2577</v>
      </c>
      <c r="E278" s="268"/>
      <c r="F278" s="268"/>
      <c r="G278" s="268"/>
      <c r="I278" s="268"/>
      <c r="J278" s="268"/>
    </row>
    <row r="279" spans="2:10">
      <c r="B279" s="142" t="s">
        <v>2406</v>
      </c>
      <c r="C279" s="274">
        <f>SUMIF(Calculation!$A:$A,Summary!B279,Calculation!$C:$C)</f>
        <v>0</v>
      </c>
      <c r="D279" s="272" t="s">
        <v>2577</v>
      </c>
      <c r="E279" s="268"/>
      <c r="F279" s="268"/>
      <c r="G279" s="268"/>
      <c r="I279" s="268"/>
      <c r="J279" s="268"/>
    </row>
    <row r="280" spans="2:10">
      <c r="B280" s="142" t="s">
        <v>2350</v>
      </c>
      <c r="C280" s="274">
        <f>SUMIF(Calculation!$A:$A,Summary!B280,Calculation!$C:$C)</f>
        <v>0</v>
      </c>
      <c r="D280" s="272" t="s">
        <v>2577</v>
      </c>
      <c r="E280" s="268"/>
      <c r="F280" s="268"/>
      <c r="G280" s="268"/>
      <c r="I280" s="268"/>
      <c r="J280" s="268"/>
    </row>
    <row r="281" spans="2:10">
      <c r="B281" s="142" t="s">
        <v>2344</v>
      </c>
      <c r="C281" s="274">
        <f>SUMIF(Calculation!$A:$A,Summary!B281,Calculation!$C:$C)</f>
        <v>0</v>
      </c>
      <c r="D281" s="272" t="s">
        <v>2577</v>
      </c>
      <c r="E281" s="268"/>
      <c r="F281" s="268"/>
      <c r="G281" s="268"/>
      <c r="I281" s="268"/>
      <c r="J281" s="268"/>
    </row>
    <row r="282" spans="2:10">
      <c r="B282" s="142" t="s">
        <v>2301</v>
      </c>
      <c r="C282" s="274">
        <f>SUMIF(Calculation!$A:$A,Summary!B282,Calculation!$C:$C)</f>
        <v>0</v>
      </c>
      <c r="D282" s="272" t="s">
        <v>2577</v>
      </c>
      <c r="E282" s="268"/>
      <c r="F282" s="268"/>
      <c r="G282" s="268"/>
      <c r="I282" s="268"/>
      <c r="J282" s="268"/>
    </row>
    <row r="283" spans="2:10">
      <c r="B283" s="142" t="s">
        <v>2343</v>
      </c>
      <c r="C283" s="274">
        <f>SUMIF(Calculation!$A:$A,Summary!B283,Calculation!$C:$C)</f>
        <v>0</v>
      </c>
      <c r="D283" s="272" t="s">
        <v>2577</v>
      </c>
      <c r="E283" s="268"/>
      <c r="F283" s="268"/>
      <c r="G283" s="268"/>
      <c r="I283" s="268"/>
      <c r="J283" s="268"/>
    </row>
    <row r="284" spans="2:10">
      <c r="B284" s="142" t="s">
        <v>2342</v>
      </c>
      <c r="C284" s="274">
        <f>SUMIF(Calculation!$A:$A,Summary!B284,Calculation!$C:$C)</f>
        <v>0</v>
      </c>
      <c r="D284" s="272" t="s">
        <v>2577</v>
      </c>
      <c r="E284" s="268"/>
      <c r="F284" s="268"/>
      <c r="G284" s="268"/>
      <c r="I284" s="268"/>
      <c r="J284" s="268"/>
    </row>
    <row r="285" spans="2:10">
      <c r="B285" s="142" t="s">
        <v>2341</v>
      </c>
      <c r="C285" s="274">
        <f>SUMIF(Calculation!$A:$A,Summary!B285,Calculation!$C:$C)</f>
        <v>0</v>
      </c>
      <c r="D285" s="272" t="s">
        <v>2577</v>
      </c>
      <c r="E285" s="268"/>
      <c r="F285" s="268"/>
      <c r="G285" s="268"/>
      <c r="I285" s="268"/>
      <c r="J285" s="268"/>
    </row>
    <row r="286" spans="2:10">
      <c r="B286" s="142" t="s">
        <v>2172</v>
      </c>
      <c r="C286" s="274">
        <f>SUMIF(Calculation!$A:$A,Summary!B286,Calculation!$C:$C)</f>
        <v>0</v>
      </c>
      <c r="D286" s="272" t="s">
        <v>2577</v>
      </c>
      <c r="E286" s="268"/>
      <c r="F286" s="268"/>
      <c r="G286" s="268"/>
      <c r="I286" s="268"/>
      <c r="J286" s="268"/>
    </row>
    <row r="287" spans="2:10">
      <c r="B287" s="142" t="s">
        <v>2171</v>
      </c>
      <c r="C287" s="274">
        <f>SUMIF(Calculation!$A:$A,Summary!B287,Calculation!$C:$C)</f>
        <v>0</v>
      </c>
      <c r="D287" s="272" t="s">
        <v>2577</v>
      </c>
      <c r="E287" s="268"/>
      <c r="F287" s="268"/>
      <c r="G287" s="268"/>
      <c r="I287" s="268"/>
      <c r="J287" s="268"/>
    </row>
    <row r="288" spans="2:10">
      <c r="B288" s="142" t="s">
        <v>2404</v>
      </c>
      <c r="C288" s="274">
        <f>SUMIF(Calculation!$A:$A,Summary!B288,Calculation!$C:$C)</f>
        <v>0</v>
      </c>
      <c r="D288" s="272" t="s">
        <v>2577</v>
      </c>
      <c r="E288" s="268"/>
      <c r="F288" s="268"/>
      <c r="G288" s="268"/>
      <c r="I288" s="268"/>
      <c r="J288" s="268"/>
    </row>
    <row r="289" spans="2:10">
      <c r="B289" s="142" t="s">
        <v>2371</v>
      </c>
      <c r="C289" s="274">
        <f>SUMIF(Calculation!$A:$A,Summary!B289,Calculation!$C:$C)</f>
        <v>0</v>
      </c>
      <c r="D289" s="272" t="s">
        <v>2577</v>
      </c>
      <c r="E289" s="268"/>
      <c r="F289" s="268"/>
      <c r="G289" s="268"/>
      <c r="I289" s="268"/>
      <c r="J289" s="268"/>
    </row>
    <row r="290" spans="2:10">
      <c r="B290" s="142" t="s">
        <v>2374</v>
      </c>
      <c r="C290" s="274">
        <f>SUMIF(Calculation!$A:$A,Summary!B290,Calculation!$C:$C)</f>
        <v>0</v>
      </c>
      <c r="D290" s="272" t="s">
        <v>2577</v>
      </c>
      <c r="E290" s="268"/>
      <c r="F290" s="268"/>
      <c r="G290" s="268"/>
      <c r="I290" s="268"/>
      <c r="J290" s="268"/>
    </row>
    <row r="291" spans="2:10">
      <c r="B291" s="142" t="s">
        <v>2373</v>
      </c>
      <c r="C291" s="274">
        <f>SUMIF(Calculation!$A:$A,Summary!B291,Calculation!$C:$C)</f>
        <v>0</v>
      </c>
      <c r="D291" s="272" t="s">
        <v>2577</v>
      </c>
      <c r="E291" s="268"/>
      <c r="F291" s="268"/>
      <c r="G291" s="268"/>
      <c r="I291" s="268"/>
      <c r="J291" s="268"/>
    </row>
    <row r="292" spans="2:10">
      <c r="B292" s="142" t="s">
        <v>2375</v>
      </c>
      <c r="C292" s="274">
        <f>SUMIF(Calculation!$A:$A,Summary!B292,Calculation!$C:$C)</f>
        <v>0</v>
      </c>
      <c r="D292" s="272" t="s">
        <v>2577</v>
      </c>
      <c r="E292" s="268"/>
      <c r="F292" s="268"/>
      <c r="G292" s="268"/>
      <c r="I292" s="268"/>
      <c r="J292" s="268"/>
    </row>
    <row r="293" spans="2:10">
      <c r="B293" s="142" t="s">
        <v>2218</v>
      </c>
      <c r="C293" s="274">
        <f>SUMIF(Calculation!$A:$A,Summary!B293,Calculation!$C:$C)</f>
        <v>0</v>
      </c>
      <c r="D293" s="272" t="s">
        <v>2577</v>
      </c>
      <c r="E293" s="268"/>
      <c r="F293" s="268"/>
      <c r="G293" s="268"/>
      <c r="I293" s="268"/>
      <c r="J293" s="268"/>
    </row>
    <row r="294" spans="2:10">
      <c r="B294" s="142" t="s">
        <v>2204</v>
      </c>
      <c r="C294" s="274">
        <f>SUMIF(Calculation!$A:$A,Summary!B294,Calculation!$C:$C)</f>
        <v>0</v>
      </c>
      <c r="D294" s="272" t="s">
        <v>2577</v>
      </c>
      <c r="E294" s="268"/>
      <c r="F294" s="268"/>
      <c r="G294" s="268"/>
      <c r="I294" s="268"/>
      <c r="J294" s="268"/>
    </row>
    <row r="295" spans="2:10">
      <c r="B295" s="142" t="s">
        <v>2125</v>
      </c>
      <c r="C295" s="274">
        <f>SUMIF(Calculation!$A:$A,Summary!B295,Calculation!$C:$C)</f>
        <v>0</v>
      </c>
      <c r="D295" s="272" t="s">
        <v>2576</v>
      </c>
      <c r="E295" s="268"/>
      <c r="F295" s="268"/>
      <c r="G295" s="268"/>
      <c r="I295" s="268"/>
      <c r="J295" s="268"/>
    </row>
    <row r="296" spans="2:10">
      <c r="B296" s="142" t="s">
        <v>2162</v>
      </c>
      <c r="C296" s="274">
        <f>SUMIF(Calculation!$A:$A,Summary!B296,Calculation!$C:$C)</f>
        <v>0</v>
      </c>
      <c r="D296" s="272" t="s">
        <v>2577</v>
      </c>
      <c r="E296" s="268"/>
      <c r="F296" s="268"/>
      <c r="G296" s="268"/>
      <c r="H296" s="142"/>
      <c r="I296" s="268"/>
      <c r="J296" s="268"/>
    </row>
    <row r="297" spans="2:10">
      <c r="B297" s="142" t="s">
        <v>2163</v>
      </c>
      <c r="C297" s="274">
        <f>SUMIF(Calculation!$A:$A,Summary!B297,Calculation!$C:$C)</f>
        <v>0</v>
      </c>
      <c r="D297" s="272" t="s">
        <v>2577</v>
      </c>
      <c r="E297" s="268"/>
      <c r="F297" s="268"/>
      <c r="G297" s="268"/>
      <c r="H297" s="142"/>
      <c r="I297" s="268"/>
      <c r="J297" s="268"/>
    </row>
    <row r="298" spans="2:10">
      <c r="B298" s="142" t="s">
        <v>2161</v>
      </c>
      <c r="C298" s="274">
        <f>SUMIF(Calculation!$A:$A,Summary!B298,Calculation!$C:$C)</f>
        <v>0</v>
      </c>
      <c r="D298" s="272" t="s">
        <v>2577</v>
      </c>
      <c r="E298" s="268"/>
      <c r="F298" s="268"/>
      <c r="G298" s="268"/>
      <c r="H298" s="142"/>
      <c r="I298" s="268"/>
      <c r="J298" s="268"/>
    </row>
    <row r="299" spans="2:10">
      <c r="B299" s="142" t="s">
        <v>2329</v>
      </c>
      <c r="C299" s="274">
        <f>SUMIF(Calculation!$A:$A,Summary!B299,Calculation!$C:$C)</f>
        <v>0</v>
      </c>
      <c r="D299" s="272" t="s">
        <v>2577</v>
      </c>
      <c r="E299" s="268"/>
      <c r="F299" s="268"/>
      <c r="G299" s="268"/>
      <c r="H299" s="142"/>
      <c r="I299" s="268"/>
      <c r="J299" s="268"/>
    </row>
    <row r="300" spans="2:10">
      <c r="B300" s="142" t="s">
        <v>2328</v>
      </c>
      <c r="C300" s="274">
        <f>SUMIF(Calculation!$A:$A,Summary!B300,Calculation!$C:$C)</f>
        <v>0</v>
      </c>
      <c r="D300" s="272" t="s">
        <v>2577</v>
      </c>
      <c r="E300" s="268"/>
      <c r="F300" s="268"/>
      <c r="G300" s="268"/>
      <c r="H300" s="142"/>
      <c r="I300" s="268"/>
      <c r="J300" s="268"/>
    </row>
    <row r="301" spans="2:10">
      <c r="B301" s="142" t="s">
        <v>2324</v>
      </c>
      <c r="C301" s="274">
        <f>SUMIF(Calculation!$A:$A,Summary!B301,Calculation!$C:$C)</f>
        <v>0</v>
      </c>
      <c r="D301" s="272" t="s">
        <v>2577</v>
      </c>
      <c r="E301" s="268"/>
      <c r="F301" s="268"/>
      <c r="G301" s="268"/>
      <c r="H301" s="142"/>
      <c r="I301" s="268"/>
      <c r="J301" s="268"/>
    </row>
    <row r="302" spans="2:10">
      <c r="B302" s="142" t="s">
        <v>2325</v>
      </c>
      <c r="C302" s="274">
        <f>SUMIF(Calculation!$A:$A,Summary!B302,Calculation!$C:$C)</f>
        <v>0</v>
      </c>
      <c r="D302" s="272" t="s">
        <v>2577</v>
      </c>
      <c r="E302" s="268"/>
      <c r="F302" s="268"/>
      <c r="G302" s="268"/>
      <c r="H302" s="142"/>
      <c r="I302" s="268"/>
      <c r="J302" s="268"/>
    </row>
    <row r="303" spans="2:10">
      <c r="B303" s="142" t="s">
        <v>2326</v>
      </c>
      <c r="C303" s="274">
        <f>SUMIF(Calculation!$A:$A,Summary!B303,Calculation!$C:$C)</f>
        <v>0</v>
      </c>
      <c r="D303" s="272" t="s">
        <v>2577</v>
      </c>
      <c r="E303" s="268"/>
      <c r="F303" s="268"/>
      <c r="G303" s="268"/>
      <c r="H303" s="142"/>
      <c r="I303" s="268"/>
      <c r="J303" s="268"/>
    </row>
    <row r="304" spans="2:10">
      <c r="B304" s="142" t="s">
        <v>2313</v>
      </c>
      <c r="C304" s="274">
        <f>SUMIF(Calculation!$A:$A,Summary!B304,Calculation!$C:$C)</f>
        <v>0</v>
      </c>
      <c r="D304" s="272" t="s">
        <v>2577</v>
      </c>
      <c r="E304" s="268"/>
      <c r="F304" s="268"/>
      <c r="G304" s="268"/>
      <c r="H304" s="142"/>
      <c r="I304" s="268"/>
      <c r="J304" s="268"/>
    </row>
    <row r="305" spans="2:10">
      <c r="B305" s="142" t="s">
        <v>2198</v>
      </c>
      <c r="C305" s="274">
        <f>SUMIF(Calculation!$A:$A,Summary!B305,Calculation!$C:$C)</f>
        <v>0</v>
      </c>
      <c r="D305" s="272" t="s">
        <v>2577</v>
      </c>
      <c r="E305" s="321"/>
      <c r="F305" s="268"/>
      <c r="G305" s="268"/>
      <c r="H305" s="142"/>
      <c r="I305" s="268"/>
      <c r="J305" s="268"/>
    </row>
    <row r="306" spans="2:10">
      <c r="B306" s="142" t="s">
        <v>2224</v>
      </c>
      <c r="C306" s="274">
        <f>SUMIF(Calculation!$A:$A,Summary!B306,Calculation!$C:$C)</f>
        <v>0</v>
      </c>
      <c r="D306" s="272" t="s">
        <v>2577</v>
      </c>
      <c r="E306" s="268"/>
      <c r="F306" s="268"/>
      <c r="G306" s="268"/>
      <c r="H306" s="142"/>
      <c r="I306" s="268"/>
      <c r="J306" s="268"/>
    </row>
    <row r="307" spans="2:10">
      <c r="B307" s="142" t="s">
        <v>2294</v>
      </c>
      <c r="C307" s="274">
        <f>SUMIF(Calculation!$A:$A,Summary!B307,Calculation!$C:$C)</f>
        <v>0</v>
      </c>
      <c r="D307" s="272" t="s">
        <v>2577</v>
      </c>
      <c r="E307" s="268"/>
      <c r="F307" s="268"/>
      <c r="G307" s="268"/>
      <c r="H307" s="142"/>
      <c r="I307" s="268"/>
      <c r="J307" s="268"/>
    </row>
    <row r="308" spans="2:10" ht="16.5">
      <c r="B308" s="142" t="s">
        <v>2223</v>
      </c>
      <c r="C308" s="274">
        <f>SUMIF(Calculation!$A:$A,Summary!B308,Calculation!$C:$C)</f>
        <v>0</v>
      </c>
      <c r="D308" s="272" t="s">
        <v>2577</v>
      </c>
      <c r="E308" s="320"/>
      <c r="F308" s="268"/>
      <c r="G308" s="268"/>
      <c r="H308" s="142"/>
      <c r="I308" s="268"/>
      <c r="J308" s="268"/>
    </row>
    <row r="309" spans="2:10">
      <c r="B309" s="142" t="s">
        <v>2199</v>
      </c>
      <c r="C309" s="274">
        <f>SUMIF(Calculation!$A:$A,Summary!B309,Calculation!$C:$C)</f>
        <v>0</v>
      </c>
      <c r="D309" s="272" t="s">
        <v>2577</v>
      </c>
      <c r="E309" s="268"/>
      <c r="F309" s="268"/>
      <c r="G309" s="268"/>
      <c r="H309" s="142"/>
      <c r="I309" s="268"/>
      <c r="J309" s="268"/>
    </row>
    <row r="310" spans="2:10">
      <c r="B310" s="142" t="s">
        <v>2217</v>
      </c>
      <c r="C310" s="274">
        <f>SUMIF(Calculation!$A:$A,Summary!B310,Calculation!$C:$C)</f>
        <v>0</v>
      </c>
      <c r="D310" s="272" t="s">
        <v>2577</v>
      </c>
      <c r="E310" s="268"/>
      <c r="F310" s="268"/>
      <c r="G310" s="268"/>
      <c r="H310" s="142"/>
      <c r="I310" s="268"/>
      <c r="J310" s="268"/>
    </row>
    <row r="311" spans="2:10">
      <c r="B311" s="142" t="s">
        <v>2261</v>
      </c>
      <c r="C311" s="274">
        <f>SUMIF(Calculation!$A:$A,Summary!B311,Calculation!$C:$C)</f>
        <v>0</v>
      </c>
      <c r="D311" s="272" t="s">
        <v>2577</v>
      </c>
      <c r="E311" s="268"/>
      <c r="F311" s="268"/>
      <c r="G311" s="268"/>
      <c r="H311" s="142"/>
      <c r="I311" s="268"/>
      <c r="J311" s="268"/>
    </row>
    <row r="312" spans="2:10">
      <c r="B312" s="142" t="s">
        <v>2408</v>
      </c>
      <c r="C312" s="274">
        <f>SUMIF(Calculation!$A:$A,Summary!B312,Calculation!$C:$C)</f>
        <v>0</v>
      </c>
      <c r="D312" s="272" t="s">
        <v>2577</v>
      </c>
      <c r="E312" s="268"/>
      <c r="F312" s="268"/>
      <c r="G312" s="268"/>
      <c r="H312" s="142"/>
      <c r="I312" s="268"/>
      <c r="J312" s="268"/>
    </row>
    <row r="313" spans="2:10">
      <c r="B313" s="142" t="s">
        <v>2252</v>
      </c>
      <c r="C313" s="274">
        <f>SUMIF(Calculation!$A:$A,Summary!B313,Calculation!$C:$C)</f>
        <v>0</v>
      </c>
      <c r="D313" s="272" t="s">
        <v>2577</v>
      </c>
      <c r="E313" s="268"/>
      <c r="F313" s="268"/>
      <c r="G313" s="268"/>
      <c r="H313" s="142"/>
      <c r="I313" s="268"/>
      <c r="J313" s="268"/>
    </row>
    <row r="314" spans="2:10">
      <c r="B314" s="142" t="s">
        <v>2414</v>
      </c>
      <c r="C314" s="274">
        <f>SUMIF(Calculation!$A:$A,Summary!B314,Calculation!$C:$C)</f>
        <v>0</v>
      </c>
      <c r="D314" s="272" t="s">
        <v>2577</v>
      </c>
      <c r="E314" s="268"/>
      <c r="F314" s="268"/>
      <c r="G314" s="268"/>
      <c r="H314" s="142"/>
      <c r="I314" s="268"/>
      <c r="J314" s="268"/>
    </row>
    <row r="315" spans="2:10">
      <c r="B315" s="142" t="s">
        <v>2413</v>
      </c>
      <c r="C315" s="274">
        <f>SUMIF(Calculation!$A:$A,Summary!B315,Calculation!$C:$C)</f>
        <v>0</v>
      </c>
      <c r="D315" s="272" t="s">
        <v>2577</v>
      </c>
      <c r="E315" s="268"/>
      <c r="F315" s="268"/>
      <c r="G315" s="268"/>
      <c r="H315" s="142"/>
      <c r="I315" s="268"/>
      <c r="J315" s="268"/>
    </row>
    <row r="316" spans="2:10">
      <c r="B316" s="142" t="s">
        <v>2407</v>
      </c>
      <c r="C316" s="274">
        <f>SUMIF(Calculation!$A:$A,Summary!B316,Calculation!$C:$C)</f>
        <v>0</v>
      </c>
      <c r="D316" s="272" t="s">
        <v>2577</v>
      </c>
      <c r="E316" s="268"/>
      <c r="F316" s="268"/>
      <c r="G316" s="268"/>
      <c r="H316" s="142"/>
      <c r="I316" s="268"/>
      <c r="J316" s="268"/>
    </row>
    <row r="317" spans="2:10">
      <c r="B317" s="142" t="s">
        <v>2403</v>
      </c>
      <c r="C317" s="274">
        <f>SUMIF(Calculation!$A:$A,Summary!B317,Calculation!$C:$C)</f>
        <v>0</v>
      </c>
      <c r="D317" s="272" t="s">
        <v>2577</v>
      </c>
      <c r="E317" s="268"/>
      <c r="F317" s="268"/>
      <c r="G317" s="268"/>
      <c r="H317" s="142"/>
      <c r="I317" s="268"/>
      <c r="J317" s="268"/>
    </row>
    <row r="318" spans="2:10">
      <c r="B318" s="142" t="s">
        <v>2270</v>
      </c>
      <c r="C318" s="274">
        <f>SUMIF(Calculation!$A:$A,Summary!B318,Calculation!$C:$C)</f>
        <v>0</v>
      </c>
      <c r="D318" s="272" t="s">
        <v>2577</v>
      </c>
      <c r="E318" s="268"/>
      <c r="F318" s="268"/>
      <c r="G318" s="268"/>
      <c r="H318" s="142"/>
      <c r="I318" s="268"/>
      <c r="J318" s="268"/>
    </row>
    <row r="319" spans="2:10">
      <c r="B319" s="142" t="s">
        <v>2316</v>
      </c>
      <c r="C319" s="274">
        <f>SUMIF(Calculation!$A:$A,Summary!B319,Calculation!$C:$C)</f>
        <v>0</v>
      </c>
      <c r="D319" s="272" t="s">
        <v>2577</v>
      </c>
      <c r="E319" s="268"/>
      <c r="F319" s="268"/>
      <c r="G319" s="268"/>
      <c r="H319" s="142"/>
      <c r="I319" s="268"/>
      <c r="J319" s="268"/>
    </row>
    <row r="320" spans="2:10">
      <c r="B320" s="142" t="s">
        <v>2465</v>
      </c>
      <c r="C320" s="274">
        <f>SUMIF(Calculation!$A:$A,Summary!B320,Calculation!$C:$C)</f>
        <v>0</v>
      </c>
      <c r="D320" s="272" t="s">
        <v>2577</v>
      </c>
      <c r="E320" s="268"/>
      <c r="F320" s="268"/>
      <c r="G320" s="268"/>
      <c r="H320" s="142"/>
      <c r="I320" s="268"/>
      <c r="J320" s="268"/>
    </row>
    <row r="321" spans="2:10">
      <c r="B321" s="142" t="s">
        <v>2466</v>
      </c>
      <c r="C321" s="274">
        <f>SUMIF(Calculation!$A:$A,Summary!B321,Calculation!$C:$C)</f>
        <v>0</v>
      </c>
      <c r="D321" s="272" t="s">
        <v>2577</v>
      </c>
      <c r="E321" s="268"/>
      <c r="F321" s="268"/>
      <c r="G321" s="268"/>
      <c r="H321" s="142"/>
      <c r="I321" s="268"/>
      <c r="J321" s="268"/>
    </row>
    <row r="322" spans="2:10">
      <c r="B322" s="142" t="s">
        <v>2467</v>
      </c>
      <c r="C322" s="274">
        <f>SUMIF(Calculation!$A:$A,Summary!B322,Calculation!$C:$C)</f>
        <v>0</v>
      </c>
      <c r="D322" s="272" t="s">
        <v>2577</v>
      </c>
      <c r="E322" s="268"/>
      <c r="F322" s="268"/>
      <c r="G322" s="268"/>
      <c r="H322" s="142"/>
      <c r="I322" s="268"/>
      <c r="J322" s="268"/>
    </row>
    <row r="323" spans="2:10">
      <c r="B323" t="s">
        <v>2468</v>
      </c>
      <c r="C323" s="274">
        <f>SUMIF(Calculation!$A:$A,Summary!B323,Calculation!$C:$C)</f>
        <v>0</v>
      </c>
      <c r="D323" s="272" t="s">
        <v>2577</v>
      </c>
      <c r="E323" s="268"/>
      <c r="F323" s="268"/>
      <c r="G323" s="268"/>
      <c r="H323" s="142"/>
      <c r="I323" s="268"/>
      <c r="J323" s="268"/>
    </row>
    <row r="324" spans="2:10">
      <c r="B324" t="s">
        <v>2469</v>
      </c>
      <c r="C324" s="274">
        <f>SUMIF(Calculation!$A:$A,Summary!B324,Calculation!$C:$C)</f>
        <v>0</v>
      </c>
      <c r="D324" s="272" t="s">
        <v>2577</v>
      </c>
      <c r="E324" s="268"/>
      <c r="F324" s="268"/>
      <c r="G324" s="268"/>
      <c r="H324" s="142"/>
      <c r="I324" s="268"/>
      <c r="J324" s="268"/>
    </row>
    <row r="325" spans="2:10">
      <c r="B325" s="142" t="s">
        <v>2470</v>
      </c>
      <c r="C325" s="274">
        <f>SUMIF(Calculation!$A:$A,Summary!B325,Calculation!$C:$C)</f>
        <v>0</v>
      </c>
      <c r="D325" s="272" t="s">
        <v>2577</v>
      </c>
      <c r="E325" s="268"/>
      <c r="F325" s="268"/>
      <c r="G325" s="268"/>
      <c r="H325" s="142"/>
      <c r="I325" s="268"/>
      <c r="J325" s="268"/>
    </row>
    <row r="326" spans="2:10">
      <c r="B326" s="142" t="s">
        <v>2471</v>
      </c>
      <c r="C326" s="274">
        <f>SUMIF(Calculation!$A:$A,Summary!B326,Calculation!$C:$C)</f>
        <v>0</v>
      </c>
      <c r="D326" s="272" t="s">
        <v>2577</v>
      </c>
      <c r="E326" s="268"/>
      <c r="F326" s="268"/>
      <c r="G326" s="268"/>
      <c r="H326" s="142"/>
      <c r="I326" s="268"/>
      <c r="J326" s="268"/>
    </row>
    <row r="327" spans="2:10">
      <c r="B327" s="142" t="s">
        <v>2472</v>
      </c>
      <c r="C327" s="274">
        <f>SUMIF(Calculation!$A:$A,Summary!B327,Calculation!$C:$C)</f>
        <v>0</v>
      </c>
      <c r="D327" s="272" t="s">
        <v>2577</v>
      </c>
      <c r="E327" s="268"/>
      <c r="F327" s="268"/>
      <c r="G327" s="268"/>
      <c r="H327" s="142"/>
      <c r="I327" s="268"/>
      <c r="J327" s="268"/>
    </row>
    <row r="328" spans="2:10">
      <c r="B328" s="142" t="s">
        <v>2473</v>
      </c>
      <c r="C328" s="274">
        <f>SUMIF(Calculation!$A:$A,Summary!B328,Calculation!$C:$C)</f>
        <v>0</v>
      </c>
      <c r="D328" s="272" t="s">
        <v>2577</v>
      </c>
      <c r="E328" s="268"/>
      <c r="F328" s="268"/>
      <c r="G328" s="268"/>
      <c r="H328" s="142"/>
      <c r="I328" s="268"/>
      <c r="J328" s="268"/>
    </row>
    <row r="329" spans="2:10">
      <c r="B329" s="142" t="s">
        <v>2474</v>
      </c>
      <c r="C329" s="274">
        <f>SUMIF(Calculation!$A:$A,Summary!B329,Calculation!$C:$C)</f>
        <v>0</v>
      </c>
      <c r="D329" s="272" t="s">
        <v>2577</v>
      </c>
      <c r="E329" s="268"/>
      <c r="F329" s="268"/>
      <c r="G329" s="268"/>
      <c r="H329" s="142"/>
      <c r="I329" s="268"/>
      <c r="J329" s="268"/>
    </row>
    <row r="330" spans="2:10">
      <c r="B330" s="142" t="s">
        <v>2475</v>
      </c>
      <c r="C330" s="274">
        <f>SUMIF(Calculation!$A:$A,Summary!B330,Calculation!$C:$C)</f>
        <v>0</v>
      </c>
      <c r="D330" s="272" t="s">
        <v>2577</v>
      </c>
      <c r="E330" s="268"/>
      <c r="F330" s="268"/>
      <c r="G330" s="268"/>
      <c r="H330" s="142"/>
      <c r="I330" s="268"/>
      <c r="J330" s="268"/>
    </row>
    <row r="331" spans="2:10">
      <c r="B331" s="142" t="s">
        <v>2476</v>
      </c>
      <c r="C331" s="274">
        <f>SUMIF(Calculation!$A:$A,Summary!B331,Calculation!$C:$C)</f>
        <v>0</v>
      </c>
      <c r="D331" s="272" t="s">
        <v>2577</v>
      </c>
      <c r="E331" s="268"/>
      <c r="F331" s="268"/>
      <c r="G331" s="268"/>
      <c r="H331" s="142"/>
      <c r="I331" s="268"/>
      <c r="J331" s="268"/>
    </row>
    <row r="332" spans="2:10">
      <c r="B332" s="142" t="s">
        <v>2477</v>
      </c>
      <c r="C332" s="274">
        <f>SUMIF(Calculation!$A:$A,Summary!B332,Calculation!$C:$C)</f>
        <v>0</v>
      </c>
      <c r="D332" s="272" t="s">
        <v>2577</v>
      </c>
      <c r="E332" s="268"/>
      <c r="F332" s="268"/>
      <c r="G332" s="268"/>
      <c r="H332" s="142"/>
      <c r="I332" s="268"/>
      <c r="J332" s="268"/>
    </row>
    <row r="333" spans="2:10">
      <c r="B333" s="142" t="s">
        <v>2478</v>
      </c>
      <c r="C333" s="274">
        <f>SUMIF(Calculation!$A:$A,Summary!B333,Calculation!$C:$C)</f>
        <v>0</v>
      </c>
      <c r="D333" s="272" t="s">
        <v>2577</v>
      </c>
      <c r="E333" s="268"/>
      <c r="F333" s="268"/>
      <c r="G333" s="268"/>
      <c r="H333" s="142"/>
      <c r="I333" s="268"/>
      <c r="J333" s="268"/>
    </row>
    <row r="334" spans="2:10">
      <c r="B334" s="142" t="s">
        <v>2439</v>
      </c>
      <c r="C334" s="274">
        <f>SUMIF(Calculation!$A:$A,Summary!B334,Calculation!$C:$C)</f>
        <v>0</v>
      </c>
      <c r="D334" s="272" t="s">
        <v>2577</v>
      </c>
      <c r="E334" s="268"/>
      <c r="F334" s="268"/>
      <c r="G334" s="268"/>
      <c r="H334" s="142"/>
      <c r="I334" s="268"/>
      <c r="J334" s="268"/>
    </row>
    <row r="335" spans="2:10">
      <c r="B335" s="142" t="s">
        <v>2444</v>
      </c>
      <c r="C335" s="274">
        <f>SUMIF(Calculation!$A:$A,Summary!B335,Calculation!$C:$C)</f>
        <v>0</v>
      </c>
      <c r="D335" s="272" t="s">
        <v>2577</v>
      </c>
      <c r="E335" s="268"/>
      <c r="F335" s="268"/>
      <c r="G335" s="268"/>
      <c r="H335" s="142"/>
      <c r="I335" s="268"/>
      <c r="J335" s="268"/>
    </row>
    <row r="336" spans="2:10">
      <c r="B336" s="142" t="s">
        <v>2438</v>
      </c>
      <c r="C336" s="274">
        <f>SUMIF(Calculation!$A:$A,Summary!B336,Calculation!$C:$C)</f>
        <v>0</v>
      </c>
      <c r="D336" s="272" t="s">
        <v>2577</v>
      </c>
      <c r="E336" s="268"/>
      <c r="F336" s="268"/>
      <c r="G336" s="268"/>
      <c r="H336" s="142"/>
      <c r="I336" s="268"/>
      <c r="J336" s="268"/>
    </row>
    <row r="337" spans="2:10">
      <c r="B337" s="142" t="s">
        <v>2479</v>
      </c>
      <c r="C337" s="274">
        <f>SUMIF(Calculation!$A:$A,Summary!B337,Calculation!$C:$C)</f>
        <v>0</v>
      </c>
      <c r="D337" s="272" t="s">
        <v>2577</v>
      </c>
      <c r="E337" s="268"/>
      <c r="F337" s="268"/>
      <c r="G337" s="268"/>
      <c r="H337" s="142"/>
      <c r="I337" s="268"/>
      <c r="J337" s="268"/>
    </row>
    <row r="338" spans="2:10">
      <c r="B338" s="142" t="s">
        <v>2480</v>
      </c>
      <c r="C338" s="274">
        <f>SUMIF(Calculation!$A:$A,Summary!B338,Calculation!$C:$C)</f>
        <v>0</v>
      </c>
      <c r="D338" s="272" t="s">
        <v>2577</v>
      </c>
      <c r="E338" s="268"/>
      <c r="F338" s="268"/>
      <c r="G338" s="268"/>
      <c r="H338" s="142"/>
      <c r="I338" s="268"/>
      <c r="J338" s="268"/>
    </row>
    <row r="339" spans="2:10">
      <c r="B339" s="142" t="s">
        <v>2481</v>
      </c>
      <c r="C339" s="274">
        <f>SUMIF(Calculation!$A:$A,Summary!B339,Calculation!$C:$C)</f>
        <v>0</v>
      </c>
      <c r="D339" s="272" t="s">
        <v>2577</v>
      </c>
      <c r="E339" s="268"/>
      <c r="F339" s="268"/>
      <c r="G339" s="268"/>
      <c r="H339" s="142"/>
      <c r="I339" s="268"/>
      <c r="J339" s="268"/>
    </row>
    <row r="340" spans="2:10">
      <c r="B340" s="142" t="s">
        <v>2482</v>
      </c>
      <c r="C340" s="274">
        <f>SUMIF(Calculation!$A:$A,Summary!B340,Calculation!$C:$C)</f>
        <v>0</v>
      </c>
      <c r="D340" s="272" t="s">
        <v>2577</v>
      </c>
      <c r="E340" s="268"/>
      <c r="F340" s="268"/>
      <c r="G340" s="268"/>
      <c r="H340" s="142"/>
      <c r="I340" s="268"/>
      <c r="J340" s="268"/>
    </row>
    <row r="341" spans="2:10">
      <c r="B341" s="142" t="s">
        <v>2483</v>
      </c>
      <c r="C341" s="274">
        <f>SUMIF(Calculation!$A:$A,Summary!B341,Calculation!$C:$C)</f>
        <v>0</v>
      </c>
      <c r="D341" s="272" t="s">
        <v>2577</v>
      </c>
      <c r="E341" s="268"/>
      <c r="F341" s="268"/>
      <c r="G341" s="268"/>
      <c r="H341" s="142"/>
      <c r="I341" s="268"/>
      <c r="J341" s="268"/>
    </row>
    <row r="342" spans="2:10">
      <c r="B342" s="142" t="s">
        <v>2484</v>
      </c>
      <c r="C342" s="274">
        <f>SUMIF(Calculation!$A:$A,Summary!B342,Calculation!$C:$C)</f>
        <v>0</v>
      </c>
      <c r="D342" s="272" t="s">
        <v>2577</v>
      </c>
      <c r="E342" s="268"/>
      <c r="F342" s="268"/>
      <c r="G342" s="268"/>
      <c r="H342" s="142"/>
      <c r="I342" s="268"/>
      <c r="J342" s="268"/>
    </row>
    <row r="343" spans="2:10">
      <c r="B343" s="142" t="s">
        <v>2485</v>
      </c>
      <c r="C343" s="274">
        <f>SUMIF(Calculation!$A:$A,Summary!B343,Calculation!$C:$C)</f>
        <v>0</v>
      </c>
      <c r="D343" s="272" t="s">
        <v>2577</v>
      </c>
      <c r="E343" s="268"/>
      <c r="F343" s="268"/>
      <c r="G343" s="268"/>
      <c r="H343" s="142"/>
      <c r="I343" s="268"/>
      <c r="J343" s="268"/>
    </row>
    <row r="344" spans="2:10">
      <c r="B344" s="142" t="s">
        <v>2486</v>
      </c>
      <c r="C344" s="274">
        <f>SUMIF(Calculation!$A:$A,Summary!B344,Calculation!$C:$C)</f>
        <v>0</v>
      </c>
      <c r="D344" s="272" t="s">
        <v>2577</v>
      </c>
      <c r="E344" s="268"/>
      <c r="F344" s="268"/>
      <c r="G344" s="268"/>
      <c r="H344" s="142"/>
      <c r="I344" s="268"/>
      <c r="J344" s="268"/>
    </row>
    <row r="345" spans="2:10">
      <c r="B345" t="s">
        <v>2487</v>
      </c>
      <c r="C345" s="274">
        <f>SUMIF(Calculation!$A:$A,Summary!B345,Calculation!$C:$C)</f>
        <v>0</v>
      </c>
      <c r="D345" s="272" t="s">
        <v>2577</v>
      </c>
      <c r="E345" s="268"/>
      <c r="F345" s="268"/>
      <c r="G345" s="268"/>
      <c r="H345" s="142"/>
      <c r="I345" s="268"/>
      <c r="J345" s="268"/>
    </row>
    <row r="346" spans="2:10">
      <c r="B346" s="142" t="s">
        <v>2488</v>
      </c>
      <c r="C346" s="274">
        <f>SUMIF(Calculation!$A:$A,Summary!B346,Calculation!$C:$C)</f>
        <v>0</v>
      </c>
      <c r="D346" s="272" t="s">
        <v>2577</v>
      </c>
      <c r="E346" s="268"/>
      <c r="F346" s="268"/>
      <c r="G346" s="268"/>
      <c r="H346" s="142"/>
      <c r="I346" s="268"/>
      <c r="J346" s="268"/>
    </row>
    <row r="347" spans="2:10">
      <c r="B347" t="s">
        <v>2489</v>
      </c>
      <c r="C347" s="274">
        <f>SUMIF(Calculation!$A:$A,Summary!B347,Calculation!$C:$C)</f>
        <v>0</v>
      </c>
      <c r="D347" s="272" t="s">
        <v>2577</v>
      </c>
      <c r="E347" s="268"/>
      <c r="F347" s="268"/>
      <c r="G347" s="268"/>
      <c r="H347" s="142"/>
      <c r="I347" s="268"/>
      <c r="J347" s="268"/>
    </row>
    <row r="348" spans="2:10">
      <c r="B348" s="142" t="s">
        <v>2490</v>
      </c>
      <c r="C348" s="274">
        <f>SUMIF(Calculation!$A:$A,Summary!B348,Calculation!$C:$C)</f>
        <v>0</v>
      </c>
      <c r="D348" s="272" t="s">
        <v>2577</v>
      </c>
      <c r="E348" s="268"/>
      <c r="F348" s="268"/>
      <c r="G348" s="268"/>
      <c r="H348" s="142"/>
      <c r="I348" s="268"/>
      <c r="J348" s="268"/>
    </row>
    <row r="349" spans="2:10">
      <c r="B349" s="142" t="s">
        <v>2491</v>
      </c>
      <c r="C349" s="274">
        <f>SUMIF(Calculation!$A:$A,Summary!B349,Calculation!$C:$C)</f>
        <v>0</v>
      </c>
      <c r="D349" s="272" t="s">
        <v>2577</v>
      </c>
      <c r="E349" s="268"/>
      <c r="F349" s="268"/>
      <c r="G349" s="268"/>
      <c r="H349" s="142"/>
      <c r="I349" s="268"/>
      <c r="J349" s="268"/>
    </row>
    <row r="350" spans="2:10">
      <c r="B350" s="142" t="s">
        <v>2492</v>
      </c>
      <c r="C350" s="274">
        <f>SUMIF(Calculation!$A:$A,Summary!B350,Calculation!$C:$C)</f>
        <v>0</v>
      </c>
      <c r="D350" s="272" t="s">
        <v>2577</v>
      </c>
      <c r="E350" s="268"/>
      <c r="F350" s="268"/>
      <c r="G350" s="268"/>
      <c r="H350" s="142"/>
      <c r="I350" s="268"/>
      <c r="J350" s="268"/>
    </row>
    <row r="351" spans="2:10">
      <c r="B351" s="142" t="s">
        <v>2445</v>
      </c>
      <c r="C351" s="274">
        <f>SUMIF(Calculation!$A:$A,Summary!B351,Calculation!$C:$C)</f>
        <v>0</v>
      </c>
      <c r="D351" s="272" t="s">
        <v>2577</v>
      </c>
      <c r="E351" s="268"/>
      <c r="F351" s="268"/>
      <c r="G351" s="268"/>
      <c r="H351" s="142"/>
      <c r="I351" s="268"/>
      <c r="J351" s="268"/>
    </row>
    <row r="352" spans="2:10">
      <c r="B352" s="142" t="s">
        <v>2493</v>
      </c>
      <c r="C352" s="274">
        <f>SUMIF(Calculation!$A:$A,Summary!B352,Calculation!$C:$C)</f>
        <v>0</v>
      </c>
      <c r="D352" s="272" t="s">
        <v>2577</v>
      </c>
      <c r="E352" s="268"/>
      <c r="F352" s="268"/>
      <c r="G352" s="268"/>
      <c r="H352" s="142"/>
      <c r="I352" s="268"/>
      <c r="J352" s="268"/>
    </row>
    <row r="353" spans="2:10">
      <c r="B353" s="142" t="s">
        <v>2494</v>
      </c>
      <c r="C353" s="274">
        <f>SUMIF(Calculation!$A:$A,Summary!B353,Calculation!$C:$C)</f>
        <v>0</v>
      </c>
      <c r="D353" s="272" t="s">
        <v>2577</v>
      </c>
      <c r="E353" s="268"/>
      <c r="F353" s="268"/>
      <c r="G353" s="268"/>
      <c r="H353" s="142"/>
      <c r="I353" s="268"/>
      <c r="J353" s="268"/>
    </row>
    <row r="354" spans="2:10">
      <c r="B354" s="142" t="s">
        <v>2495</v>
      </c>
      <c r="C354" s="274">
        <f>SUMIF(Calculation!$A:$A,Summary!B354,Calculation!$C:$C)</f>
        <v>0</v>
      </c>
      <c r="D354" s="272" t="s">
        <v>2577</v>
      </c>
      <c r="E354" s="268"/>
      <c r="F354" s="268"/>
      <c r="G354" s="268"/>
      <c r="H354" s="142"/>
      <c r="I354" s="268"/>
      <c r="J354" s="268"/>
    </row>
    <row r="355" spans="2:10">
      <c r="B355" s="142" t="s">
        <v>2443</v>
      </c>
      <c r="C355" s="274">
        <f>SUMIF(Calculation!$A:$A,Summary!B355,Calculation!$C:$C)</f>
        <v>0</v>
      </c>
      <c r="D355" s="272" t="s">
        <v>2577</v>
      </c>
      <c r="E355" s="268"/>
      <c r="F355" s="268"/>
      <c r="G355" s="268"/>
      <c r="H355" s="142"/>
      <c r="I355" s="268"/>
      <c r="J355" s="268"/>
    </row>
    <row r="356" spans="2:10">
      <c r="B356" s="142" t="s">
        <v>2442</v>
      </c>
      <c r="C356" s="274">
        <f>SUMIF(Calculation!$A:$A,Summary!B356,Calculation!$C:$C)</f>
        <v>0</v>
      </c>
      <c r="D356" s="272" t="s">
        <v>2577</v>
      </c>
      <c r="E356" s="268"/>
      <c r="F356" s="268"/>
      <c r="G356" s="268"/>
      <c r="H356" s="142"/>
      <c r="I356" s="268"/>
      <c r="J356" s="268"/>
    </row>
    <row r="357" spans="2:10">
      <c r="B357" s="142" t="s">
        <v>2441</v>
      </c>
      <c r="C357" s="274">
        <f>SUMIF(Calculation!$A:$A,Summary!B357,Calculation!$C:$C)</f>
        <v>0</v>
      </c>
      <c r="D357" s="272" t="s">
        <v>2577</v>
      </c>
      <c r="E357" s="268"/>
      <c r="F357" s="268"/>
      <c r="G357" s="268"/>
      <c r="H357" s="142"/>
      <c r="I357" s="268"/>
      <c r="J357" s="268"/>
    </row>
    <row r="358" spans="2:10">
      <c r="B358" s="142" t="s">
        <v>2496</v>
      </c>
      <c r="C358" s="274">
        <f>SUMIF(Calculation!$A:$A,Summary!B358,Calculation!$C:$C)</f>
        <v>0</v>
      </c>
      <c r="D358" s="272" t="s">
        <v>2577</v>
      </c>
      <c r="E358" s="268"/>
      <c r="F358" s="268"/>
      <c r="G358" s="268"/>
      <c r="H358" s="142"/>
      <c r="I358" s="268"/>
      <c r="J358" s="268"/>
    </row>
    <row r="359" spans="2:10">
      <c r="B359" s="142" t="s">
        <v>2497</v>
      </c>
      <c r="C359" s="274">
        <f>SUMIF(Calculation!$A:$A,Summary!B359,Calculation!$C:$C)</f>
        <v>0</v>
      </c>
      <c r="D359" s="272" t="s">
        <v>2577</v>
      </c>
      <c r="E359" s="268"/>
      <c r="F359" s="268"/>
      <c r="G359" s="268"/>
      <c r="H359" s="142"/>
      <c r="I359" s="268"/>
      <c r="J359" s="268"/>
    </row>
    <row r="360" spans="2:10">
      <c r="B360" s="142" t="s">
        <v>2498</v>
      </c>
      <c r="C360" s="274">
        <f>SUMIF(Calculation!$A:$A,Summary!B360,Calculation!$C:$C)</f>
        <v>0</v>
      </c>
      <c r="D360" s="272" t="s">
        <v>2577</v>
      </c>
      <c r="E360" s="268"/>
      <c r="F360" s="268"/>
      <c r="G360" s="268"/>
      <c r="H360" s="142"/>
      <c r="I360" s="268"/>
      <c r="J360" s="268"/>
    </row>
    <row r="361" spans="2:10">
      <c r="B361" s="142" t="s">
        <v>2499</v>
      </c>
      <c r="C361" s="274">
        <f>SUMIF(Calculation!$A:$A,Summary!B361,Calculation!$C:$C)</f>
        <v>0</v>
      </c>
      <c r="D361" s="272" t="s">
        <v>2577</v>
      </c>
      <c r="E361" s="268"/>
      <c r="F361" s="268"/>
      <c r="G361" s="268"/>
      <c r="H361" s="142"/>
      <c r="I361" s="268"/>
      <c r="J361" s="268"/>
    </row>
    <row r="362" spans="2:10">
      <c r="B362" s="142" t="s">
        <v>2500</v>
      </c>
      <c r="C362" s="274">
        <f>SUMIF(Calculation!$A:$A,Summary!B362,Calculation!$C:$C)</f>
        <v>0</v>
      </c>
      <c r="D362" s="272" t="s">
        <v>2577</v>
      </c>
      <c r="E362" s="268"/>
      <c r="F362" s="268"/>
      <c r="G362" s="268"/>
      <c r="H362" s="142"/>
      <c r="I362" s="268"/>
      <c r="J362" s="268"/>
    </row>
    <row r="363" spans="2:10">
      <c r="B363" s="142" t="s">
        <v>2501</v>
      </c>
      <c r="C363" s="274">
        <f>SUMIF(Calculation!$A:$A,Summary!B363,Calculation!$C:$C)</f>
        <v>0</v>
      </c>
      <c r="D363" s="272" t="s">
        <v>2577</v>
      </c>
      <c r="E363" s="268"/>
      <c r="F363" s="268"/>
      <c r="G363" s="268"/>
      <c r="H363" s="142"/>
      <c r="I363" s="268"/>
      <c r="J363" s="268"/>
    </row>
    <row r="364" spans="2:10">
      <c r="B364" s="142" t="s">
        <v>2502</v>
      </c>
      <c r="C364" s="274">
        <f>SUMIF(Calculation!$A:$A,Summary!B364,Calculation!$C:$C)</f>
        <v>0</v>
      </c>
      <c r="D364" s="272" t="s">
        <v>2577</v>
      </c>
      <c r="E364" s="268"/>
      <c r="F364" s="268"/>
      <c r="G364" s="268"/>
      <c r="H364" s="142"/>
      <c r="I364" s="268"/>
      <c r="J364" s="268"/>
    </row>
    <row r="365" spans="2:10">
      <c r="B365" s="142" t="s">
        <v>2503</v>
      </c>
      <c r="C365" s="274">
        <f>SUMIF(Calculation!$A:$A,Summary!B365,Calculation!$C:$C)</f>
        <v>0</v>
      </c>
      <c r="D365" s="272" t="s">
        <v>2577</v>
      </c>
      <c r="E365" s="268"/>
      <c r="F365" s="268"/>
      <c r="G365" s="268"/>
      <c r="H365" s="142"/>
      <c r="I365" s="268"/>
      <c r="J365" s="268"/>
    </row>
    <row r="366" spans="2:10">
      <c r="B366" s="142" t="s">
        <v>2504</v>
      </c>
      <c r="C366" s="274">
        <f>SUMIF(Calculation!$A:$A,Summary!B366,Calculation!$C:$C)</f>
        <v>0</v>
      </c>
      <c r="D366" s="272" t="s">
        <v>2577</v>
      </c>
      <c r="E366" s="268"/>
      <c r="F366" s="268"/>
      <c r="G366" s="268"/>
      <c r="H366" s="142"/>
      <c r="I366" s="268"/>
      <c r="J366" s="268"/>
    </row>
    <row r="367" spans="2:10">
      <c r="B367" s="142" t="s">
        <v>2505</v>
      </c>
      <c r="C367" s="274">
        <f>SUMIF(Calculation!$A:$A,Summary!B367,Calculation!$C:$C)</f>
        <v>0</v>
      </c>
      <c r="D367" s="272" t="s">
        <v>2577</v>
      </c>
      <c r="E367" s="268"/>
      <c r="F367" s="268"/>
      <c r="G367" s="268"/>
      <c r="H367" s="142"/>
      <c r="I367" s="268"/>
      <c r="J367" s="268"/>
    </row>
    <row r="368" spans="2:10">
      <c r="B368" s="142" t="s">
        <v>2506</v>
      </c>
      <c r="C368" s="274">
        <f>SUMIF(Calculation!$A:$A,Summary!B368,Calculation!$C:$C)</f>
        <v>0</v>
      </c>
      <c r="D368" s="272" t="s">
        <v>2577</v>
      </c>
      <c r="E368" s="268"/>
      <c r="F368" s="268"/>
      <c r="G368" s="268"/>
      <c r="H368" s="142"/>
      <c r="I368" s="268"/>
      <c r="J368" s="268"/>
    </row>
    <row r="369" spans="2:10">
      <c r="B369" s="142" t="s">
        <v>2507</v>
      </c>
      <c r="C369" s="274">
        <f>SUMIF(Calculation!$A:$A,Summary!B369,Calculation!$C:$C)</f>
        <v>0</v>
      </c>
      <c r="D369" s="272" t="s">
        <v>2577</v>
      </c>
      <c r="E369" s="268"/>
      <c r="F369" s="268"/>
      <c r="G369" s="268"/>
      <c r="H369" s="142"/>
      <c r="I369" s="268"/>
      <c r="J369" s="268"/>
    </row>
    <row r="370" spans="2:10">
      <c r="B370" s="142" t="s">
        <v>2508</v>
      </c>
      <c r="C370" s="274">
        <f>SUMIF(Calculation!$A:$A,Summary!B370,Calculation!$C:$C)</f>
        <v>0</v>
      </c>
      <c r="D370" s="272" t="s">
        <v>2577</v>
      </c>
      <c r="E370" s="268"/>
      <c r="F370" s="268"/>
      <c r="G370" s="268"/>
      <c r="H370" s="142"/>
      <c r="I370" s="268"/>
      <c r="J370" s="268"/>
    </row>
    <row r="371" spans="2:10">
      <c r="B371" s="142" t="s">
        <v>2509</v>
      </c>
      <c r="C371" s="274">
        <f>SUMIF(Calculation!$A:$A,Summary!B371,Calculation!$C:$C)</f>
        <v>0</v>
      </c>
      <c r="D371" s="272" t="s">
        <v>2577</v>
      </c>
      <c r="E371" s="268"/>
      <c r="F371" s="268"/>
      <c r="G371" s="268"/>
      <c r="H371" s="142"/>
      <c r="I371" s="268"/>
      <c r="J371" s="268"/>
    </row>
    <row r="372" spans="2:10">
      <c r="B372" s="142" t="s">
        <v>2510</v>
      </c>
      <c r="C372" s="274">
        <f>SUMIF(Calculation!$A:$A,Summary!B372,Calculation!$C:$C)</f>
        <v>0</v>
      </c>
      <c r="D372" s="272" t="s">
        <v>2577</v>
      </c>
      <c r="E372" s="268"/>
      <c r="F372" s="268"/>
      <c r="G372" s="268"/>
      <c r="H372" s="142"/>
      <c r="I372" s="268"/>
      <c r="J372" s="268"/>
    </row>
    <row r="373" spans="2:10">
      <c r="B373" s="142" t="s">
        <v>2511</v>
      </c>
      <c r="C373" s="274">
        <f>SUMIF(Calculation!$A:$A,Summary!B373,Calculation!$C:$C)</f>
        <v>0</v>
      </c>
      <c r="D373" s="272" t="s">
        <v>2577</v>
      </c>
      <c r="E373" s="268"/>
      <c r="F373" s="268"/>
      <c r="G373" s="268"/>
      <c r="H373" s="142"/>
      <c r="I373" s="268"/>
      <c r="J373" s="268"/>
    </row>
    <row r="374" spans="2:10">
      <c r="B374" s="142" t="s">
        <v>2512</v>
      </c>
      <c r="C374" s="274">
        <f>SUMIF(Calculation!$A:$A,Summary!B374,Calculation!$C:$C)</f>
        <v>0</v>
      </c>
      <c r="D374" s="272" t="s">
        <v>2577</v>
      </c>
      <c r="E374" s="268"/>
      <c r="F374" s="268"/>
      <c r="G374" s="268"/>
      <c r="H374" s="142"/>
      <c r="I374" s="268"/>
      <c r="J374" s="268"/>
    </row>
    <row r="375" spans="2:10">
      <c r="B375" t="s">
        <v>2513</v>
      </c>
      <c r="C375" s="274">
        <f>SUMIF(Calculation!$A:$A,Summary!B375,Calculation!$C:$C)</f>
        <v>0</v>
      </c>
      <c r="D375" s="272" t="s">
        <v>2577</v>
      </c>
      <c r="E375" s="268"/>
      <c r="F375" s="268"/>
      <c r="G375" s="268"/>
      <c r="H375" s="142"/>
      <c r="I375" s="268"/>
      <c r="J375" s="268"/>
    </row>
    <row r="376" spans="2:10">
      <c r="B376" t="s">
        <v>2514</v>
      </c>
      <c r="C376" s="274">
        <f>SUMIF(Calculation!$A:$A,Summary!B376,Calculation!$C:$C)</f>
        <v>0</v>
      </c>
      <c r="D376" s="272" t="s">
        <v>2577</v>
      </c>
      <c r="E376" s="268"/>
      <c r="F376" s="268"/>
      <c r="G376" s="268"/>
      <c r="H376" s="142"/>
      <c r="I376" s="268"/>
      <c r="J376" s="268"/>
    </row>
    <row r="377" spans="2:10">
      <c r="B377" t="s">
        <v>2515</v>
      </c>
      <c r="C377" s="274">
        <f>SUMIF(Calculation!$A:$A,Summary!B377,Calculation!$C:$C)</f>
        <v>0</v>
      </c>
      <c r="D377" s="272" t="s">
        <v>2577</v>
      </c>
      <c r="E377" s="268"/>
      <c r="F377" s="268"/>
      <c r="G377" s="268"/>
      <c r="H377" s="142"/>
      <c r="I377" s="268"/>
      <c r="J377" s="268"/>
    </row>
    <row r="378" spans="2:10">
      <c r="B378" s="142" t="s">
        <v>2516</v>
      </c>
      <c r="C378" s="274">
        <f>SUMIF(Calculation!$A:$A,Summary!B378,Calculation!$C:$C)</f>
        <v>0</v>
      </c>
      <c r="D378" s="272" t="s">
        <v>2577</v>
      </c>
      <c r="E378" s="268"/>
      <c r="F378" s="268"/>
      <c r="G378" s="268"/>
      <c r="H378" s="357"/>
      <c r="I378" s="268"/>
      <c r="J378" s="268"/>
    </row>
    <row r="379" spans="2:10">
      <c r="B379" s="142" t="s">
        <v>2517</v>
      </c>
      <c r="C379" s="274">
        <f>SUMIF(Calculation!$A:$A,Summary!B379,Calculation!$C:$C)</f>
        <v>0</v>
      </c>
      <c r="D379" s="272" t="s">
        <v>2577</v>
      </c>
      <c r="E379" s="268"/>
      <c r="F379" s="268"/>
      <c r="G379" s="268"/>
      <c r="H379" s="142"/>
      <c r="I379" s="268"/>
      <c r="J379" s="268"/>
    </row>
    <row r="380" spans="2:10">
      <c r="B380" s="142" t="s">
        <v>2518</v>
      </c>
      <c r="C380" s="274">
        <f>SUMIF(Calculation!$A:$A,Summary!B380,Calculation!$C:$C)</f>
        <v>0</v>
      </c>
      <c r="D380" s="272" t="s">
        <v>2577</v>
      </c>
      <c r="E380" s="268"/>
      <c r="F380" s="268"/>
      <c r="G380" s="268"/>
      <c r="H380" s="142"/>
      <c r="I380" s="268"/>
      <c r="J380" s="268"/>
    </row>
    <row r="381" spans="2:10">
      <c r="B381" t="s">
        <v>2519</v>
      </c>
      <c r="C381" s="274">
        <f>SUMIF(Calculation!$A:$A,Summary!B381,Calculation!$C:$C)</f>
        <v>0</v>
      </c>
      <c r="D381" s="272" t="s">
        <v>2577</v>
      </c>
      <c r="E381" s="268"/>
      <c r="F381" s="268"/>
      <c r="G381" s="268"/>
      <c r="I381" s="268"/>
      <c r="J381" s="268"/>
    </row>
    <row r="382" spans="2:10">
      <c r="B382" s="142" t="s">
        <v>2520</v>
      </c>
      <c r="C382" s="274">
        <f>SUMIF(Calculation!$A:$A,Summary!B382,Calculation!$C:$C)</f>
        <v>0</v>
      </c>
      <c r="D382" s="272" t="s">
        <v>2577</v>
      </c>
      <c r="E382" s="268"/>
      <c r="F382" s="268"/>
      <c r="G382" s="268"/>
      <c r="I382" s="268"/>
      <c r="J382" s="268"/>
    </row>
    <row r="383" spans="2:10">
      <c r="B383" s="142" t="s">
        <v>2521</v>
      </c>
      <c r="C383" s="274">
        <f>SUMIF(Calculation!$A:$A,Summary!B383,Calculation!$C:$C)</f>
        <v>0</v>
      </c>
      <c r="D383" s="272" t="s">
        <v>2577</v>
      </c>
      <c r="E383" s="268"/>
      <c r="F383" s="268"/>
      <c r="G383" s="268"/>
      <c r="I383" s="268"/>
      <c r="J383" s="268"/>
    </row>
    <row r="384" spans="2:10">
      <c r="B384" s="142" t="s">
        <v>2522</v>
      </c>
      <c r="C384" s="274">
        <f>SUMIF(Calculation!$A:$A,Summary!B384,Calculation!$C:$C)</f>
        <v>0</v>
      </c>
      <c r="D384" s="272" t="s">
        <v>2577</v>
      </c>
      <c r="E384" s="268"/>
      <c r="F384" s="268"/>
      <c r="G384" s="268"/>
      <c r="I384" s="268"/>
      <c r="J384" s="268"/>
    </row>
    <row r="385" spans="2:10">
      <c r="B385" s="142" t="s">
        <v>2523</v>
      </c>
      <c r="C385" s="274">
        <f>SUMIF(Calculation!$A:$A,Summary!B385,Calculation!$C:$C)</f>
        <v>0</v>
      </c>
      <c r="D385" s="272" t="s">
        <v>2577</v>
      </c>
      <c r="E385" s="268"/>
      <c r="F385" s="268"/>
      <c r="G385" s="268"/>
      <c r="I385" s="268"/>
      <c r="J385" s="268"/>
    </row>
    <row r="386" spans="2:10">
      <c r="B386" s="142" t="s">
        <v>2524</v>
      </c>
      <c r="C386" s="274">
        <f>SUMIF(Calculation!$A:$A,Summary!B386,Calculation!$C:$C)</f>
        <v>0</v>
      </c>
      <c r="D386" s="272" t="s">
        <v>2577</v>
      </c>
      <c r="E386" s="268"/>
      <c r="F386" s="268"/>
      <c r="G386" s="268"/>
      <c r="I386" s="268"/>
      <c r="J386" s="268"/>
    </row>
    <row r="387" spans="2:10">
      <c r="B387" s="142" t="s">
        <v>2525</v>
      </c>
      <c r="C387" s="274">
        <f>SUMIF(Calculation!$A:$A,Summary!B387,Calculation!$C:$C)</f>
        <v>0</v>
      </c>
      <c r="D387" s="272" t="s">
        <v>2577</v>
      </c>
      <c r="E387" s="268"/>
      <c r="F387" s="268"/>
      <c r="G387" s="268"/>
      <c r="I387" s="268"/>
      <c r="J387" s="268"/>
    </row>
    <row r="388" spans="2:10">
      <c r="B388" s="142" t="s">
        <v>2526</v>
      </c>
      <c r="C388" s="274">
        <f>SUMIF(Calculation!$A:$A,Summary!B388,Calculation!$C:$C)</f>
        <v>0</v>
      </c>
      <c r="D388" s="272" t="s">
        <v>2577</v>
      </c>
      <c r="E388" s="268"/>
      <c r="F388" s="268"/>
      <c r="G388" s="268"/>
      <c r="I388" s="268"/>
      <c r="J388" s="268"/>
    </row>
    <row r="389" spans="2:10">
      <c r="B389" s="142" t="s">
        <v>2527</v>
      </c>
      <c r="C389" s="274">
        <f>SUMIF(Calculation!$A:$A,Summary!B389,Calculation!$C:$C)</f>
        <v>0</v>
      </c>
      <c r="D389" s="272" t="s">
        <v>2577</v>
      </c>
      <c r="E389" s="268"/>
      <c r="F389" s="268"/>
      <c r="G389" s="268"/>
      <c r="I389" s="268"/>
      <c r="J389" s="268"/>
    </row>
    <row r="390" spans="2:10">
      <c r="B390" s="142" t="s">
        <v>2528</v>
      </c>
      <c r="C390" s="274">
        <f>SUMIF(Calculation!$A:$A,Summary!B390,Calculation!$C:$C)</f>
        <v>0</v>
      </c>
      <c r="D390" s="272" t="s">
        <v>2577</v>
      </c>
      <c r="E390" s="268"/>
      <c r="F390" s="268"/>
      <c r="G390" s="268"/>
      <c r="I390" s="268"/>
      <c r="J390" s="268"/>
    </row>
    <row r="391" spans="2:10">
      <c r="B391" s="142" t="s">
        <v>2529</v>
      </c>
      <c r="C391" s="274">
        <f>SUMIF(Calculation!$A:$A,Summary!B391,Calculation!$C:$C)</f>
        <v>0</v>
      </c>
      <c r="D391" s="272" t="s">
        <v>2577</v>
      </c>
      <c r="E391" s="268"/>
      <c r="F391" s="268"/>
      <c r="G391" s="268"/>
      <c r="I391" s="268"/>
      <c r="J391" s="268"/>
    </row>
    <row r="392" spans="2:10">
      <c r="B392" s="142" t="s">
        <v>2530</v>
      </c>
      <c r="C392" s="274">
        <f>SUMIF(Calculation!$A:$A,Summary!B392,Calculation!$C:$C)</f>
        <v>0</v>
      </c>
      <c r="D392" s="272" t="s">
        <v>2577</v>
      </c>
      <c r="E392" s="268"/>
      <c r="F392" s="268"/>
      <c r="G392" s="268"/>
      <c r="I392" s="268"/>
      <c r="J392" s="268"/>
    </row>
    <row r="393" spans="2:10">
      <c r="B393" s="357" t="s">
        <v>2531</v>
      </c>
      <c r="C393" s="274">
        <f>SUMIF(Calculation!$A:$A,Summary!B393,Calculation!$C:$C)</f>
        <v>0</v>
      </c>
      <c r="D393" s="272" t="s">
        <v>2577</v>
      </c>
      <c r="E393" s="268"/>
      <c r="F393" s="268"/>
      <c r="G393" s="268"/>
      <c r="I393" s="268"/>
      <c r="J393" s="268"/>
    </row>
    <row r="394" spans="2:10">
      <c r="B394" s="142" t="s">
        <v>2532</v>
      </c>
      <c r="C394" s="274">
        <f>SUMIF(Calculation!$A:$A,Summary!B394,Calculation!$C:$C)</f>
        <v>0</v>
      </c>
      <c r="D394" s="272" t="s">
        <v>2577</v>
      </c>
      <c r="E394" s="268"/>
      <c r="F394" s="268"/>
      <c r="G394" s="268"/>
      <c r="I394" s="268"/>
      <c r="J394" s="268"/>
    </row>
    <row r="395" spans="2:10">
      <c r="B395" s="142" t="s">
        <v>2533</v>
      </c>
      <c r="C395" s="274">
        <f>SUMIF(Calculation!$A:$A,Summary!B395,Calculation!$C:$C)</f>
        <v>0</v>
      </c>
      <c r="D395" s="272" t="s">
        <v>2577</v>
      </c>
      <c r="E395" s="268"/>
      <c r="F395" s="268"/>
      <c r="G395" s="268"/>
      <c r="I395" s="268"/>
      <c r="J395" s="268"/>
    </row>
    <row r="396" spans="2:10">
      <c r="B396" t="s">
        <v>2534</v>
      </c>
      <c r="C396" s="274">
        <f>SUMIF(Calculation!$A:$A,Summary!B396,Calculation!$C:$C)</f>
        <v>0</v>
      </c>
      <c r="D396" s="272" t="s">
        <v>2577</v>
      </c>
      <c r="E396" s="268"/>
      <c r="F396" s="268"/>
      <c r="G396" s="268"/>
      <c r="I396" s="268"/>
      <c r="J396" s="268"/>
    </row>
    <row r="397" spans="2:10">
      <c r="B397" t="s">
        <v>2535</v>
      </c>
      <c r="C397" s="274">
        <f>SUMIF(Calculation!$A:$A,Summary!B397,Calculation!$C:$C)</f>
        <v>0</v>
      </c>
      <c r="D397" s="272" t="s">
        <v>2577</v>
      </c>
      <c r="E397" s="268"/>
      <c r="F397" s="268"/>
      <c r="G397" s="268"/>
      <c r="I397" s="268"/>
      <c r="J397" s="268"/>
    </row>
    <row r="398" spans="2:10">
      <c r="B398" s="142" t="s">
        <v>2536</v>
      </c>
      <c r="C398" s="274">
        <f>SUMIF(Calculation!$A:$A,Summary!B398,Calculation!$C:$C)</f>
        <v>0</v>
      </c>
      <c r="D398" s="272" t="s">
        <v>2577</v>
      </c>
      <c r="E398" s="268"/>
      <c r="F398" s="268"/>
      <c r="G398" s="268"/>
      <c r="I398" s="268"/>
      <c r="J398" s="268"/>
    </row>
    <row r="399" spans="2:10">
      <c r="B399" s="142" t="s">
        <v>2537</v>
      </c>
      <c r="C399" s="274">
        <f>SUMIF(Calculation!$A:$A,Summary!B399,Calculation!$C:$C)</f>
        <v>0</v>
      </c>
      <c r="D399" s="272" t="s">
        <v>2577</v>
      </c>
      <c r="E399" s="268"/>
      <c r="F399" s="268"/>
      <c r="G399" s="268"/>
      <c r="I399" s="268"/>
      <c r="J399" s="268"/>
    </row>
    <row r="400" spans="2:10">
      <c r="B400" s="142" t="s">
        <v>2538</v>
      </c>
      <c r="C400" s="274">
        <f>SUMIF(Calculation!$A:$A,Summary!B400,Calculation!$C:$C)</f>
        <v>0</v>
      </c>
      <c r="D400" s="272" t="s">
        <v>2577</v>
      </c>
      <c r="E400" s="268"/>
      <c r="F400" s="268"/>
      <c r="G400" s="268"/>
      <c r="I400" s="268"/>
      <c r="J400" s="268"/>
    </row>
    <row r="401" spans="2:10">
      <c r="B401" s="142" t="s">
        <v>2539</v>
      </c>
      <c r="C401" s="274">
        <f>SUMIF(Calculation!$A:$A,Summary!B401,Calculation!$C:$C)</f>
        <v>0</v>
      </c>
      <c r="D401" s="272" t="s">
        <v>2577</v>
      </c>
      <c r="E401" s="268"/>
      <c r="F401" s="268"/>
      <c r="G401" s="268"/>
      <c r="I401" s="268"/>
      <c r="J401" s="268"/>
    </row>
    <row r="402" spans="2:10">
      <c r="B402" s="142" t="s">
        <v>2540</v>
      </c>
      <c r="C402" s="274">
        <f>SUMIF(Calculation!$A:$A,Summary!B402,Calculation!$C:$C)</f>
        <v>0</v>
      </c>
      <c r="D402" s="272" t="s">
        <v>2577</v>
      </c>
      <c r="E402" s="268"/>
      <c r="F402" s="268"/>
      <c r="I402" s="268"/>
      <c r="J402" s="268"/>
    </row>
    <row r="403" spans="2:10">
      <c r="B403" s="273" t="s">
        <v>2446</v>
      </c>
      <c r="C403" s="274">
        <f>SUMIF(Calculation!$A:$A,Summary!B403,Calculation!$C:$C)</f>
        <v>0</v>
      </c>
      <c r="D403" s="272" t="s">
        <v>2577</v>
      </c>
      <c r="E403" s="268"/>
      <c r="F403" s="268"/>
      <c r="G403" s="268"/>
      <c r="I403" s="268"/>
      <c r="J403" s="268"/>
    </row>
    <row r="404" spans="2:10">
      <c r="B404" s="273" t="s">
        <v>2541</v>
      </c>
      <c r="C404" s="274">
        <f>SUMIF(Calculation!$A:$A,Summary!B404,Calculation!$C:$C)</f>
        <v>0</v>
      </c>
      <c r="D404" s="272" t="s">
        <v>2577</v>
      </c>
      <c r="E404" s="268"/>
      <c r="F404" s="268"/>
    </row>
    <row r="405" spans="2:10">
      <c r="B405" s="273" t="s">
        <v>2542</v>
      </c>
      <c r="C405" s="274">
        <f>SUMIF(Calculation!$A:$A,Summary!B405,Calculation!$C:$C)</f>
        <v>0</v>
      </c>
      <c r="D405" s="272" t="s">
        <v>2577</v>
      </c>
      <c r="E405" s="268"/>
      <c r="F405" s="268"/>
    </row>
    <row r="406" spans="2:10">
      <c r="B406" s="273" t="s">
        <v>2543</v>
      </c>
      <c r="C406" s="274">
        <f>SUMIF(Calculation!$A:$A,Summary!B406,Calculation!$C:$C)</f>
        <v>0</v>
      </c>
      <c r="D406" s="272" t="s">
        <v>2577</v>
      </c>
      <c r="E406" s="268"/>
      <c r="F406" s="268"/>
    </row>
    <row r="407" spans="2:10">
      <c r="B407" s="273" t="s">
        <v>2544</v>
      </c>
      <c r="C407" s="274">
        <f>SUMIF(Calculation!$A:$A,Summary!B407,Calculation!$C:$C)</f>
        <v>0</v>
      </c>
      <c r="D407" s="272" t="s">
        <v>2577</v>
      </c>
      <c r="E407" s="268"/>
      <c r="F407" s="268"/>
    </row>
    <row r="408" spans="2:10">
      <c r="B408" s="273" t="s">
        <v>2545</v>
      </c>
      <c r="C408" s="274">
        <f>SUMIF(Calculation!$A:$A,Summary!B408,Calculation!$C:$C)</f>
        <v>0</v>
      </c>
      <c r="D408" s="272" t="s">
        <v>2577</v>
      </c>
      <c r="E408" s="268"/>
      <c r="F408" s="268"/>
    </row>
    <row r="409" spans="2:10">
      <c r="B409" s="362" t="s">
        <v>2546</v>
      </c>
      <c r="C409" s="274">
        <f>SUMIF(Calculation!$A:$A,Summary!B409,Calculation!$C:$C)</f>
        <v>0</v>
      </c>
      <c r="D409" s="272" t="s">
        <v>2577</v>
      </c>
      <c r="E409" s="268"/>
      <c r="F409" s="268"/>
    </row>
    <row r="410" spans="2:10">
      <c r="B410" s="273" t="s">
        <v>2547</v>
      </c>
      <c r="C410" s="274">
        <f>SUMIF(Calculation!$A:$A,Summary!B410,Calculation!$C:$C)</f>
        <v>0</v>
      </c>
      <c r="D410" s="272" t="s">
        <v>2577</v>
      </c>
      <c r="E410" s="268"/>
      <c r="F410" s="268"/>
    </row>
    <row r="411" spans="2:10">
      <c r="B411" s="362" t="s">
        <v>2548</v>
      </c>
      <c r="C411" s="274">
        <f>SUMIF(Calculation!$A:$A,Summary!B411,Calculation!$C:$C)</f>
        <v>0</v>
      </c>
      <c r="D411" s="272" t="s">
        <v>2577</v>
      </c>
      <c r="E411" s="268"/>
      <c r="F411" s="268"/>
    </row>
    <row r="412" spans="2:10">
      <c r="B412" s="362" t="s">
        <v>2549</v>
      </c>
      <c r="C412" s="274">
        <f>SUMIF(Calculation!$A:$A,Summary!B412,Calculation!$C:$C)</f>
        <v>0</v>
      </c>
      <c r="D412" s="272" t="s">
        <v>2577</v>
      </c>
      <c r="E412" s="268"/>
      <c r="F412" s="268"/>
    </row>
    <row r="413" spans="2:10">
      <c r="B413" s="362" t="s">
        <v>2550</v>
      </c>
      <c r="C413" s="274">
        <f>SUMIF(Calculation!$A:$A,Summary!B413,Calculation!$C:$C)</f>
        <v>0</v>
      </c>
      <c r="D413" s="272" t="s">
        <v>2577</v>
      </c>
      <c r="E413" s="268"/>
      <c r="F413" s="268"/>
    </row>
    <row r="414" spans="2:10">
      <c r="B414" s="362" t="s">
        <v>2551</v>
      </c>
      <c r="C414" s="274">
        <f>SUMIF(Calculation!$A:$A,Summary!B414,Calculation!$C:$C)</f>
        <v>0</v>
      </c>
      <c r="D414" s="272" t="s">
        <v>2576</v>
      </c>
      <c r="E414" s="268"/>
      <c r="F414" s="268"/>
    </row>
    <row r="415" spans="2:10">
      <c r="B415" t="s">
        <v>2552</v>
      </c>
      <c r="C415" s="274">
        <f>SUMIF(Calculation!$A:$A,Summary!B415,Calculation!$C:$C)</f>
        <v>0</v>
      </c>
      <c r="D415" s="272" t="s">
        <v>2577</v>
      </c>
      <c r="E415" s="268"/>
      <c r="F415" s="268"/>
    </row>
    <row r="416" spans="2:10">
      <c r="B416" t="s">
        <v>2553</v>
      </c>
      <c r="C416" s="274">
        <f>SUMIF(Calculation!$A:$A,Summary!B416,Calculation!$C:$C)</f>
        <v>0</v>
      </c>
      <c r="D416" s="272" t="s">
        <v>2577</v>
      </c>
      <c r="E416" s="268"/>
      <c r="F416" s="268"/>
    </row>
    <row r="417" spans="2:7">
      <c r="B417" t="s">
        <v>2440</v>
      </c>
      <c r="C417" s="274">
        <f>SUMIF(Calculation!$A:$A,Summary!B417,Calculation!$C:$C)</f>
        <v>0</v>
      </c>
      <c r="D417" s="272" t="s">
        <v>2577</v>
      </c>
      <c r="E417" s="268"/>
      <c r="F417" s="268"/>
    </row>
    <row r="418" spans="2:7">
      <c r="B418" t="s">
        <v>2554</v>
      </c>
      <c r="C418" s="274">
        <f>SUMIF(Calculation!$A:$A,Summary!B418,Calculation!$C:$C)</f>
        <v>0</v>
      </c>
      <c r="D418" s="272" t="s">
        <v>2577</v>
      </c>
      <c r="E418" s="268"/>
      <c r="F418" s="268"/>
    </row>
    <row r="419" spans="2:7">
      <c r="B419" t="s">
        <v>2555</v>
      </c>
      <c r="C419" s="274">
        <f>SUMIF(Calculation!$A:$A,Summary!B419,Calculation!$C:$C)</f>
        <v>0</v>
      </c>
      <c r="D419" s="272" t="s">
        <v>2577</v>
      </c>
      <c r="E419" s="268"/>
      <c r="F419" s="268"/>
    </row>
    <row r="420" spans="2:7">
      <c r="B420" t="s">
        <v>2556</v>
      </c>
      <c r="C420" s="274">
        <f>SUMIF(Calculation!$A:$A,Summary!B420,Calculation!$C:$C)</f>
        <v>0</v>
      </c>
      <c r="D420" s="272" t="s">
        <v>2577</v>
      </c>
      <c r="E420" s="268"/>
      <c r="F420" s="268"/>
    </row>
    <row r="421" spans="2:7">
      <c r="B421" t="s">
        <v>2557</v>
      </c>
      <c r="C421" s="274">
        <f>SUMIF(Calculation!$A:$A,Summary!B421,Calculation!$C:$C)</f>
        <v>0</v>
      </c>
      <c r="D421" s="272" t="s">
        <v>2577</v>
      </c>
      <c r="E421" s="268"/>
      <c r="F421" s="268"/>
    </row>
    <row r="422" spans="2:7">
      <c r="B422" t="s">
        <v>2558</v>
      </c>
      <c r="C422" s="274">
        <f>SUMIF(Calculation!$A:$A,Summary!B422,Calculation!$C:$C)</f>
        <v>0</v>
      </c>
      <c r="D422" s="272" t="s">
        <v>2577</v>
      </c>
      <c r="E422" s="268"/>
      <c r="F422" s="268"/>
    </row>
    <row r="423" spans="2:7">
      <c r="B423" t="s">
        <v>2559</v>
      </c>
      <c r="C423" s="274">
        <f>SUMIF(Calculation!$A:$A,Summary!B423,Calculation!$C:$C)</f>
        <v>0</v>
      </c>
      <c r="D423" s="272" t="s">
        <v>2577</v>
      </c>
      <c r="E423" s="268"/>
      <c r="F423" s="268"/>
    </row>
    <row r="424" spans="2:7">
      <c r="B424" t="s">
        <v>2560</v>
      </c>
      <c r="C424" s="274">
        <f>SUMIF(Calculation!$A:$A,Summary!B424,Calculation!$C:$C)</f>
        <v>0</v>
      </c>
      <c r="D424" s="272" t="s">
        <v>2577</v>
      </c>
      <c r="E424" s="268"/>
      <c r="F424" s="268"/>
    </row>
    <row r="425" spans="2:7">
      <c r="B425" t="s">
        <v>2561</v>
      </c>
      <c r="C425" s="274">
        <f>SUMIF(Calculation!$A:$A,Summary!B425,Calculation!$C:$C)</f>
        <v>0</v>
      </c>
      <c r="D425" s="272" t="s">
        <v>2577</v>
      </c>
      <c r="E425" s="268"/>
      <c r="F425" s="268"/>
    </row>
    <row r="426" spans="2:7">
      <c r="B426" t="s">
        <v>2562</v>
      </c>
      <c r="C426" s="274">
        <f>SUMIF(Calculation!$A:$A,Summary!B426,Calculation!$C:$C)</f>
        <v>0</v>
      </c>
      <c r="D426" s="272" t="s">
        <v>2577</v>
      </c>
      <c r="E426" s="268"/>
      <c r="F426" s="268"/>
    </row>
    <row r="427" spans="2:7">
      <c r="B427" t="s">
        <v>2563</v>
      </c>
      <c r="C427" s="274">
        <f>SUMIF(Calculation!$A:$A,Summary!B427,Calculation!$C:$C)</f>
        <v>0</v>
      </c>
      <c r="D427" s="272" t="s">
        <v>2577</v>
      </c>
      <c r="E427" s="268"/>
      <c r="F427" s="268"/>
    </row>
    <row r="428" spans="2:7">
      <c r="B428" t="s">
        <v>2564</v>
      </c>
      <c r="C428" s="274">
        <f>SUMIF(Calculation!$A:$A,Summary!B428,Calculation!$C:$C)</f>
        <v>0</v>
      </c>
      <c r="D428" s="272" t="s">
        <v>2577</v>
      </c>
      <c r="E428" s="268"/>
      <c r="F428" s="268"/>
    </row>
    <row r="429" spans="2:7">
      <c r="B429" t="s">
        <v>2565</v>
      </c>
      <c r="C429" s="274">
        <f>SUMIF(Calculation!$A:$A,Summary!B429,Calculation!$C:$C)</f>
        <v>0</v>
      </c>
      <c r="D429" s="272" t="s">
        <v>2577</v>
      </c>
      <c r="E429" s="268"/>
      <c r="F429" s="268"/>
    </row>
    <row r="430" spans="2:7">
      <c r="B430" t="s">
        <v>2566</v>
      </c>
      <c r="C430" s="274">
        <f>SUMIF(Calculation!$A:$A,Summary!B430,Calculation!$C:$C)</f>
        <v>0</v>
      </c>
      <c r="D430" s="272" t="s">
        <v>2577</v>
      </c>
      <c r="E430" s="268"/>
      <c r="F430" s="268"/>
    </row>
    <row r="431" spans="2:7">
      <c r="B431" t="s">
        <v>2567</v>
      </c>
      <c r="C431" s="274">
        <f>SUMIF(Calculation!$A:$A,Summary!B431,Calculation!$C:$C)</f>
        <v>0</v>
      </c>
      <c r="D431" s="272" t="s">
        <v>2577</v>
      </c>
      <c r="E431" s="268"/>
      <c r="F431" s="268"/>
      <c r="G431" s="268"/>
    </row>
    <row r="432" spans="2:7">
      <c r="B432" t="s">
        <v>2568</v>
      </c>
      <c r="C432" s="274">
        <f>SUMIF(Calculation!$A:$A,Summary!B432,Calculation!$C:$C)</f>
        <v>0</v>
      </c>
      <c r="D432" s="272" t="s">
        <v>2577</v>
      </c>
      <c r="E432" s="268"/>
      <c r="F432" s="268"/>
    </row>
    <row r="433" spans="2:6">
      <c r="B433" t="s">
        <v>2569</v>
      </c>
      <c r="C433" s="274">
        <f>SUMIF(Calculation!$A:$A,Summary!B433,Calculation!$C:$C)</f>
        <v>0</v>
      </c>
      <c r="D433" s="272" t="s">
        <v>2577</v>
      </c>
      <c r="E433" s="268"/>
      <c r="F433" s="268"/>
    </row>
    <row r="434" spans="2:6">
      <c r="B434" t="s">
        <v>2570</v>
      </c>
      <c r="C434" s="274">
        <f>SUMIF(Calculation!$A:$A,Summary!B434,Calculation!$C:$C)</f>
        <v>0</v>
      </c>
      <c r="D434" s="272" t="s">
        <v>2577</v>
      </c>
      <c r="E434" s="268"/>
      <c r="F434" s="268"/>
    </row>
    <row r="435" spans="2:6">
      <c r="B435" t="s">
        <v>2571</v>
      </c>
      <c r="C435" s="274">
        <f>SUMIF(Calculation!$A:$A,Summary!B435,Calculation!$C:$C)</f>
        <v>0</v>
      </c>
      <c r="D435" s="272" t="s">
        <v>2577</v>
      </c>
      <c r="E435" s="268"/>
      <c r="F435" s="268"/>
    </row>
    <row r="436" spans="2:6">
      <c r="B436" t="s">
        <v>2572</v>
      </c>
      <c r="C436" s="274">
        <f>SUMIF(Calculation!$A:$A,Summary!B436,Calculation!$C:$C)</f>
        <v>0</v>
      </c>
      <c r="D436" s="272" t="s">
        <v>2577</v>
      </c>
      <c r="E436" s="268"/>
      <c r="F436" s="268"/>
    </row>
    <row r="437" spans="2:6">
      <c r="B437" t="s">
        <v>2573</v>
      </c>
      <c r="C437" s="274">
        <f>SUMIF(Calculation!$A:$A,Summary!B437,Calculation!$C:$C)</f>
        <v>0</v>
      </c>
      <c r="D437" s="272" t="s">
        <v>2577</v>
      </c>
      <c r="E437" s="268"/>
      <c r="F437" s="268"/>
    </row>
    <row r="438" spans="2:6">
      <c r="B438" t="s">
        <v>2574</v>
      </c>
      <c r="C438" s="274">
        <f>SUMIF(Calculation!$A:$A,Summary!B438,Calculation!$C:$C)</f>
        <v>0</v>
      </c>
      <c r="D438" s="272" t="s">
        <v>2577</v>
      </c>
      <c r="E438" s="268"/>
      <c r="F438" s="268"/>
    </row>
    <row r="439" spans="2:6">
      <c r="C439" s="274">
        <f>SUMIF(Calculation!$A:$A,Summary!B439,Calculation!$C:$C)</f>
        <v>0</v>
      </c>
      <c r="D439" s="272" t="s">
        <v>835</v>
      </c>
      <c r="E439" s="268"/>
      <c r="F439" s="268"/>
    </row>
    <row r="440" spans="2:6">
      <c r="C440" s="274">
        <f>SUMIF(Calculation!$A:$A,Summary!B440,Calculation!$C:$C)</f>
        <v>0</v>
      </c>
      <c r="D440" s="272">
        <v>0</v>
      </c>
      <c r="E440" s="268"/>
      <c r="F440" s="268"/>
    </row>
    <row r="441" spans="2:6">
      <c r="C441" s="274">
        <f>SUMIF(Calculation!$A:$A,Summary!B441,Calculation!$C:$C)</f>
        <v>0</v>
      </c>
      <c r="D441" s="272" t="s">
        <v>835</v>
      </c>
      <c r="E441" s="268"/>
      <c r="F441" s="268"/>
    </row>
    <row r="442" spans="2:6">
      <c r="C442" s="274">
        <f>SUMIF(Calculation!$A:$A,Summary!B442,Calculation!$C:$C)</f>
        <v>0</v>
      </c>
      <c r="D442" s="272" t="s">
        <v>835</v>
      </c>
      <c r="E442" s="268"/>
      <c r="F442" s="268"/>
    </row>
    <row r="443" spans="2:6">
      <c r="B443" s="142"/>
      <c r="C443" s="274">
        <f>SUMIF(Calculation!$A:$A,Summary!B443,Calculation!$C:$C)</f>
        <v>0</v>
      </c>
      <c r="D443" s="272">
        <v>0</v>
      </c>
      <c r="E443" s="268"/>
      <c r="F443" s="268"/>
    </row>
    <row r="444" spans="2:6">
      <c r="C444" s="274">
        <f>SUMIF(Calculation!$A:$A,Summary!B444,Calculation!$C:$C)</f>
        <v>0</v>
      </c>
      <c r="D444" s="272" t="s">
        <v>835</v>
      </c>
      <c r="E444" s="268"/>
      <c r="F444" s="268"/>
    </row>
    <row r="445" spans="2:6">
      <c r="C445" s="274">
        <f>SUMIF(Calculation!$A:$A,Summary!B445,Calculation!$C:$C)</f>
        <v>0</v>
      </c>
      <c r="D445" s="272" t="s">
        <v>835</v>
      </c>
      <c r="E445" s="268"/>
      <c r="F445" s="268"/>
    </row>
    <row r="446" spans="2:6">
      <c r="C446" s="274">
        <f>SUMIF(Calculation!$A:$A,Summary!B446,Calculation!$C:$C)</f>
        <v>0</v>
      </c>
      <c r="D446" s="272">
        <v>0</v>
      </c>
      <c r="E446" s="268"/>
      <c r="F446" s="268"/>
    </row>
    <row r="447" spans="2:6">
      <c r="C447" s="274">
        <f>SUMIF(Calculation!$A:$A,Summary!B447,Calculation!$C:$C)</f>
        <v>0</v>
      </c>
      <c r="D447" s="272" t="s">
        <v>835</v>
      </c>
      <c r="E447" s="268"/>
      <c r="F447" s="268"/>
    </row>
    <row r="448" spans="2:6">
      <c r="C448"/>
      <c r="D448" s="272"/>
      <c r="E448" s="268"/>
      <c r="F448" s="268"/>
    </row>
    <row r="449" spans="3:6">
      <c r="C449"/>
      <c r="D449" s="272"/>
      <c r="E449" s="268"/>
      <c r="F449" s="268"/>
    </row>
    <row r="450" spans="3:6">
      <c r="C450"/>
      <c r="D450" s="272"/>
      <c r="E450" s="268"/>
      <c r="F450" s="268"/>
    </row>
    <row r="451" spans="3:6">
      <c r="C451"/>
      <c r="D451" s="272"/>
      <c r="E451" s="268"/>
      <c r="F451" s="268"/>
    </row>
    <row r="452" spans="3:6">
      <c r="C452"/>
      <c r="D452" s="272"/>
      <c r="E452" s="268"/>
      <c r="F452" s="268"/>
    </row>
    <row r="453" spans="3:6">
      <c r="C453"/>
      <c r="D453" s="272"/>
      <c r="E453" s="268"/>
      <c r="F453" s="268"/>
    </row>
    <row r="454" spans="3:6">
      <c r="C454"/>
      <c r="D454" s="272"/>
      <c r="E454" s="268"/>
    </row>
    <row r="455" spans="3:6">
      <c r="C455"/>
      <c r="D455" s="272"/>
    </row>
    <row r="456" spans="3:6">
      <c r="C456"/>
    </row>
    <row r="457" spans="3:6">
      <c r="C457"/>
    </row>
    <row r="458" spans="3:6">
      <c r="C458"/>
    </row>
    <row r="459" spans="3:6">
      <c r="C459"/>
    </row>
    <row r="460" spans="3:6">
      <c r="C460"/>
    </row>
    <row r="461" spans="3:6">
      <c r="C461"/>
    </row>
    <row r="462" spans="3:6">
      <c r="C462"/>
    </row>
    <row r="463" spans="3:6">
      <c r="C463"/>
    </row>
    <row r="464" spans="3:6">
      <c r="C464"/>
    </row>
    <row r="465" spans="3:3">
      <c r="C465"/>
    </row>
    <row r="466" spans="3:3">
      <c r="C466"/>
    </row>
    <row r="467" spans="3:3">
      <c r="C467"/>
    </row>
    <row r="468" spans="3:3">
      <c r="C468"/>
    </row>
    <row r="469" spans="3:3">
      <c r="C469"/>
    </row>
    <row r="470" spans="3:3">
      <c r="C470"/>
    </row>
    <row r="471" spans="3:3">
      <c r="C471"/>
    </row>
    <row r="472" spans="3:3">
      <c r="C472"/>
    </row>
    <row r="473" spans="3:3">
      <c r="C473"/>
    </row>
    <row r="474" spans="3:3">
      <c r="C474"/>
    </row>
    <row r="475" spans="3:3">
      <c r="C475"/>
    </row>
    <row r="476" spans="3:3">
      <c r="C476"/>
    </row>
    <row r="477" spans="3:3">
      <c r="C477"/>
    </row>
    <row r="478" spans="3:3">
      <c r="C478"/>
    </row>
    <row r="479" spans="3:3">
      <c r="C479"/>
    </row>
    <row r="480" spans="3:3">
      <c r="C480"/>
    </row>
    <row r="481" spans="3:3">
      <c r="C481"/>
    </row>
    <row r="482" spans="3:3">
      <c r="C482"/>
    </row>
    <row r="483" spans="3:3">
      <c r="C483"/>
    </row>
    <row r="484" spans="3:3">
      <c r="C484"/>
    </row>
    <row r="485" spans="3:3">
      <c r="C485"/>
    </row>
    <row r="486" spans="3:3">
      <c r="C486"/>
    </row>
    <row r="487" spans="3:3">
      <c r="C487"/>
    </row>
    <row r="488" spans="3:3">
      <c r="C488"/>
    </row>
    <row r="489" spans="3:3">
      <c r="C489"/>
    </row>
    <row r="490" spans="3:3">
      <c r="C490"/>
    </row>
    <row r="491" spans="3:3">
      <c r="C491"/>
    </row>
    <row r="492" spans="3:3">
      <c r="C492"/>
    </row>
    <row r="493" spans="3:3">
      <c r="C493"/>
    </row>
    <row r="494" spans="3:3">
      <c r="C494"/>
    </row>
    <row r="495" spans="3:3">
      <c r="C495"/>
    </row>
    <row r="496" spans="3:3">
      <c r="C496"/>
    </row>
    <row r="497" spans="3:3">
      <c r="C497"/>
    </row>
    <row r="498" spans="3:3">
      <c r="C498"/>
    </row>
    <row r="499" spans="3:3">
      <c r="C499"/>
    </row>
    <row r="500" spans="3:3">
      <c r="C500"/>
    </row>
    <row r="501" spans="3:3">
      <c r="C501"/>
    </row>
    <row r="502" spans="3:3">
      <c r="C502"/>
    </row>
    <row r="503" spans="3:3">
      <c r="C503"/>
    </row>
    <row r="504" spans="3:3">
      <c r="C504"/>
    </row>
    <row r="505" spans="3:3">
      <c r="C505"/>
    </row>
    <row r="506" spans="3:3">
      <c r="C506"/>
    </row>
    <row r="507" spans="3:3">
      <c r="C507"/>
    </row>
    <row r="508" spans="3:3">
      <c r="C508"/>
    </row>
    <row r="509" spans="3:3">
      <c r="C509"/>
    </row>
    <row r="510" spans="3:3">
      <c r="C510"/>
    </row>
    <row r="511" spans="3:3">
      <c r="C511"/>
    </row>
    <row r="512" spans="3:3">
      <c r="C512"/>
    </row>
  </sheetData>
  <autoFilter ref="B3:J455" xr:uid="{73174693-C67C-4EBF-9644-EAA1A227901A}"/>
  <conditionalFormatting sqref="B1">
    <cfRule type="duplicateValues" dxfId="197" priority="8"/>
    <cfRule type="duplicateValues" dxfId="196" priority="9"/>
    <cfRule type="duplicateValues" dxfId="195" priority="10"/>
    <cfRule type="duplicateValues" dxfId="194" priority="11"/>
    <cfRule type="duplicateValues" dxfId="193" priority="12"/>
    <cfRule type="duplicateValues" dxfId="192" priority="13"/>
    <cfRule type="duplicateValues" dxfId="191" priority="14"/>
    <cfRule type="duplicateValues" dxfId="190" priority="15"/>
    <cfRule type="duplicateValues" dxfId="189" priority="16"/>
  </conditionalFormatting>
  <conditionalFormatting sqref="B2">
    <cfRule type="duplicateValues" dxfId="188" priority="107"/>
    <cfRule type="duplicateValues" dxfId="187" priority="105"/>
  </conditionalFormatting>
  <conditionalFormatting sqref="B2:B3">
    <cfRule type="duplicateValues" dxfId="186" priority="5882"/>
    <cfRule type="duplicateValues" dxfId="185" priority="5881"/>
    <cfRule type="duplicateValues" dxfId="184" priority="5880"/>
  </conditionalFormatting>
  <conditionalFormatting sqref="B3">
    <cfRule type="duplicateValues" dxfId="183" priority="5886"/>
    <cfRule type="duplicateValues" dxfId="182" priority="109"/>
    <cfRule type="duplicateValues" dxfId="181" priority="108"/>
  </conditionalFormatting>
  <conditionalFormatting sqref="B4:B312">
    <cfRule type="duplicateValues" dxfId="180" priority="6339"/>
  </conditionalFormatting>
  <conditionalFormatting sqref="B4:B316">
    <cfRule type="duplicateValues" dxfId="179" priority="6344"/>
    <cfRule type="duplicateValues" dxfId="178" priority="6343"/>
  </conditionalFormatting>
  <conditionalFormatting sqref="B311:B312">
    <cfRule type="duplicateValues" dxfId="177" priority="56"/>
  </conditionalFormatting>
  <conditionalFormatting sqref="B317:B325 B328:B346">
    <cfRule type="duplicateValues" dxfId="176" priority="8551"/>
  </conditionalFormatting>
  <conditionalFormatting sqref="B349:B357 B317:B325 B328:B346">
    <cfRule type="duplicateValues" dxfId="175" priority="45"/>
  </conditionalFormatting>
  <conditionalFormatting sqref="B392:B395 B398:B400">
    <cfRule type="duplicateValues" dxfId="174" priority="42"/>
    <cfRule type="duplicateValues" dxfId="173" priority="43"/>
    <cfRule type="duplicateValues" dxfId="172" priority="44"/>
    <cfRule type="duplicateValues" dxfId="171" priority="47"/>
  </conditionalFormatting>
  <conditionalFormatting sqref="B396:B397">
    <cfRule type="duplicateValues" dxfId="170" priority="38"/>
    <cfRule type="duplicateValues" dxfId="169" priority="39"/>
    <cfRule type="duplicateValues" dxfId="168" priority="40"/>
    <cfRule type="duplicateValues" dxfId="167" priority="41"/>
  </conditionalFormatting>
  <conditionalFormatting sqref="B403:B414 B4:B316">
    <cfRule type="duplicateValues" dxfId="166" priority="6292"/>
  </conditionalFormatting>
  <conditionalFormatting sqref="B403:B414">
    <cfRule type="duplicateValues" dxfId="165" priority="6283"/>
    <cfRule type="duplicateValues" dxfId="164" priority="6280"/>
    <cfRule type="duplicateValues" dxfId="163" priority="6281"/>
    <cfRule type="duplicateValues" dxfId="162" priority="6282"/>
    <cfRule type="duplicateValues" dxfId="161" priority="6284"/>
    <cfRule type="duplicateValues" dxfId="160" priority="6285"/>
  </conditionalFormatting>
  <conditionalFormatting sqref="B415">
    <cfRule type="duplicateValues" dxfId="159" priority="36"/>
    <cfRule type="duplicateValues" dxfId="158" priority="35"/>
    <cfRule type="duplicateValues" dxfId="157" priority="34"/>
  </conditionalFormatting>
  <conditionalFormatting sqref="B417">
    <cfRule type="duplicateValues" dxfId="156" priority="20"/>
    <cfRule type="duplicateValues" dxfId="155" priority="19"/>
    <cfRule type="duplicateValues" dxfId="154" priority="18"/>
    <cfRule type="duplicateValues" dxfId="153" priority="17"/>
  </conditionalFormatting>
  <conditionalFormatting sqref="B451:B1048576 B2:B325 B418:B426 B383:B416 B379:B381 B328:B346 B349:B375 B429:B447">
    <cfRule type="duplicateValues" dxfId="152" priority="21"/>
  </conditionalFormatting>
  <conditionalFormatting sqref="B513:B1048576 B2:B3">
    <cfRule type="duplicateValues" dxfId="151" priority="82"/>
    <cfRule type="duplicateValues" dxfId="150" priority="93"/>
    <cfRule type="duplicateValues" dxfId="149" priority="99"/>
  </conditionalFormatting>
  <conditionalFormatting sqref="B513:B1048576 B403:B414 B2:B3">
    <cfRule type="duplicateValues" dxfId="148" priority="75"/>
  </conditionalFormatting>
  <conditionalFormatting sqref="E45">
    <cfRule type="duplicateValues" dxfId="147" priority="70"/>
    <cfRule type="duplicateValues" dxfId="146" priority="69"/>
  </conditionalFormatting>
  <conditionalFormatting sqref="E247">
    <cfRule type="duplicateValues" dxfId="145" priority="67"/>
    <cfRule type="duplicateValues" dxfId="144" priority="68"/>
  </conditionalFormatting>
  <conditionalFormatting sqref="E305">
    <cfRule type="duplicateValues" dxfId="143" priority="71"/>
    <cfRule type="duplicateValues" dxfId="142" priority="72"/>
  </conditionalFormatting>
  <conditionalFormatting sqref="H296:H327">
    <cfRule type="duplicateValues" dxfId="141" priority="52"/>
  </conditionalFormatting>
  <conditionalFormatting sqref="H296:H336">
    <cfRule type="duplicateValues" dxfId="140" priority="8564"/>
  </conditionalFormatting>
  <conditionalFormatting sqref="H372:H380">
    <cfRule type="duplicateValues" dxfId="139" priority="49"/>
    <cfRule type="duplicateValues" dxfId="138" priority="48"/>
    <cfRule type="duplicateValues" dxfId="137" priority="53"/>
    <cfRule type="duplicateValues" dxfId="136" priority="50"/>
  </conditionalFormatting>
  <conditionalFormatting sqref="J3">
    <cfRule type="duplicateValues" dxfId="135" priority="24"/>
    <cfRule type="duplicateValues" dxfId="134" priority="23"/>
    <cfRule type="duplicateValues" dxfId="133" priority="2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15E4-F37D-4E7C-B5E2-57B9EA66A5D1}">
  <sheetPr codeName="Sheet4">
    <tabColor rgb="FFFFC000"/>
  </sheetPr>
  <dimension ref="A1:BT563"/>
  <sheetViews>
    <sheetView zoomScaleNormal="100" workbookViewId="0">
      <pane ySplit="3" topLeftCell="A4" activePane="bottomLeft" state="frozen"/>
      <selection pane="bottomLeft" activeCell="A7" sqref="A7"/>
    </sheetView>
  </sheetViews>
  <sheetFormatPr defaultRowHeight="15"/>
  <cols>
    <col min="1" max="1" width="43.28515625" bestFit="1" customWidth="1"/>
    <col min="2" max="2" width="11.5703125" style="264" bestFit="1" customWidth="1"/>
    <col min="3" max="3" width="14.28515625" style="264" bestFit="1" customWidth="1"/>
    <col min="4" max="4" width="14.28515625" style="264" customWidth="1"/>
    <col min="5" max="5" width="13.28515625" bestFit="1" customWidth="1"/>
    <col min="6" max="6" width="11.5703125" bestFit="1" customWidth="1"/>
    <col min="7" max="7" width="10.5703125" bestFit="1" customWidth="1"/>
    <col min="8" max="8" width="10.5703125" style="264" bestFit="1" customWidth="1"/>
    <col min="9" max="9" width="11" bestFit="1" customWidth="1"/>
    <col min="11" max="11" width="10.5703125" style="264" bestFit="1" customWidth="1"/>
    <col min="14" max="14" width="10.5703125" style="264" bestFit="1" customWidth="1"/>
    <col min="17" max="17" width="9.5703125" style="264" bestFit="1" customWidth="1"/>
    <col min="20" max="20" width="9.5703125" style="264" bestFit="1" customWidth="1"/>
    <col min="23" max="23" width="9.5703125" style="264" bestFit="1" customWidth="1"/>
    <col min="26" max="26" width="9.5703125" style="264" bestFit="1" customWidth="1"/>
    <col min="27" max="28" width="9.140625" customWidth="1"/>
    <col min="29" max="29" width="9.5703125" style="264" customWidth="1"/>
    <col min="30" max="31" width="9.140625" customWidth="1"/>
    <col min="32" max="32" width="9.5703125" style="264" customWidth="1"/>
    <col min="33" max="34" width="9.140625" customWidth="1"/>
    <col min="35" max="35" width="9.5703125" style="264" customWidth="1"/>
    <col min="36" max="37" width="9.140625" customWidth="1"/>
    <col min="38" max="38" width="9.5703125" style="264" customWidth="1"/>
    <col min="39" max="40" width="9.140625" customWidth="1"/>
    <col min="41" max="41" width="9.5703125" style="264" customWidth="1"/>
    <col min="42" max="43" width="9.140625" customWidth="1"/>
    <col min="44" max="44" width="9.5703125" style="264" customWidth="1"/>
    <col min="45" max="46" width="9.140625" customWidth="1"/>
    <col min="47" max="47" width="9.5703125" style="264" customWidth="1"/>
    <col min="48" max="49" width="9.140625" customWidth="1"/>
    <col min="50" max="50" width="9.5703125" style="264" customWidth="1"/>
    <col min="51" max="52" width="9.140625" customWidth="1"/>
    <col min="53" max="53" width="9.5703125" style="264" customWidth="1"/>
    <col min="54" max="55" width="9.140625" customWidth="1"/>
    <col min="56" max="56" width="9.5703125" style="264" customWidth="1"/>
    <col min="57" max="58" width="9.140625" customWidth="1"/>
    <col min="59" max="59" width="9.5703125" style="264" customWidth="1"/>
    <col min="60" max="61" width="9.140625" customWidth="1"/>
    <col min="62" max="62" width="9.5703125" style="264" customWidth="1"/>
    <col min="63" max="64" width="9.140625" customWidth="1"/>
    <col min="65" max="65" width="9.5703125" style="264" customWidth="1"/>
    <col min="66" max="67" width="9.140625" customWidth="1"/>
    <col min="68" max="68" width="9.5703125" style="264" customWidth="1"/>
    <col min="70" max="70" width="10.7109375" bestFit="1" customWidth="1"/>
  </cols>
  <sheetData>
    <row r="1" spans="1:70">
      <c r="I1" s="268"/>
    </row>
    <row r="2" spans="1:70">
      <c r="A2" t="s">
        <v>1925</v>
      </c>
      <c r="I2" s="268"/>
    </row>
    <row r="3" spans="1:70">
      <c r="A3" s="281" t="s">
        <v>990</v>
      </c>
      <c r="B3" s="268" t="s">
        <v>991</v>
      </c>
      <c r="C3" s="268" t="s">
        <v>992</v>
      </c>
      <c r="D3" s="147"/>
      <c r="E3" s="330"/>
      <c r="F3" s="331"/>
      <c r="G3" s="332"/>
      <c r="H3" s="332"/>
      <c r="I3" s="331"/>
      <c r="J3" s="332"/>
      <c r="K3" s="332"/>
      <c r="L3" s="331"/>
      <c r="M3" s="332"/>
      <c r="N3" s="332"/>
      <c r="O3" s="331"/>
      <c r="P3" s="332"/>
      <c r="Q3" s="332"/>
      <c r="R3" s="331"/>
      <c r="S3" s="332"/>
      <c r="T3" s="332"/>
      <c r="U3" s="331"/>
      <c r="V3" s="332"/>
      <c r="W3" s="332"/>
      <c r="X3" s="331"/>
      <c r="Y3" s="332"/>
      <c r="Z3" s="332"/>
      <c r="AA3" s="331"/>
      <c r="AB3" s="332"/>
      <c r="AC3" s="332"/>
      <c r="AD3" s="331"/>
      <c r="AE3" s="332"/>
      <c r="AF3" s="332"/>
      <c r="AG3" s="331"/>
      <c r="AH3" s="332"/>
      <c r="AI3" s="332"/>
      <c r="AJ3" s="331"/>
      <c r="AK3" s="332"/>
      <c r="AL3" s="332"/>
      <c r="AM3" s="331"/>
      <c r="AN3" s="332"/>
      <c r="AO3" s="332"/>
      <c r="AP3" s="331"/>
      <c r="AQ3" s="332"/>
      <c r="AR3" s="332"/>
      <c r="AS3" s="331"/>
      <c r="AT3" s="332"/>
      <c r="AU3" s="332"/>
      <c r="AV3" s="331"/>
      <c r="AW3" s="332"/>
      <c r="AX3" s="332"/>
      <c r="AY3" s="331"/>
      <c r="AZ3" s="332"/>
      <c r="BA3" s="332"/>
      <c r="BB3" s="331"/>
      <c r="BC3" s="332"/>
      <c r="BD3" s="332"/>
      <c r="BE3" s="331"/>
      <c r="BF3" s="332"/>
      <c r="BG3" s="332"/>
      <c r="BH3" s="331"/>
      <c r="BI3" s="332"/>
      <c r="BJ3" s="332"/>
      <c r="BK3" s="331"/>
      <c r="BL3" s="332"/>
      <c r="BM3" s="332"/>
      <c r="BN3" s="331"/>
      <c r="BO3" s="332"/>
      <c r="BP3" s="332"/>
      <c r="BQ3" s="331"/>
      <c r="BR3" s="332"/>
    </row>
    <row r="4" spans="1:70">
      <c r="A4" s="142" t="s">
        <v>4437</v>
      </c>
      <c r="B4" s="268">
        <v>23900</v>
      </c>
      <c r="C4" s="268">
        <v>0</v>
      </c>
      <c r="D4" s="333"/>
      <c r="E4" s="333"/>
      <c r="F4" s="331"/>
      <c r="G4" s="334"/>
      <c r="H4" s="334"/>
      <c r="I4" s="331"/>
      <c r="J4" s="334"/>
      <c r="K4" s="334"/>
      <c r="L4" s="331"/>
      <c r="M4" s="334"/>
      <c r="N4" s="334"/>
      <c r="O4" s="331"/>
      <c r="P4" s="334"/>
      <c r="Q4" s="334"/>
      <c r="R4" s="331"/>
      <c r="S4" s="334"/>
      <c r="T4" s="334"/>
      <c r="U4" s="331"/>
      <c r="V4" s="334"/>
      <c r="W4" s="334"/>
      <c r="X4" s="331"/>
      <c r="Y4" s="334"/>
      <c r="Z4" s="334"/>
      <c r="AA4" s="331"/>
      <c r="AB4" s="334"/>
      <c r="AC4" s="334"/>
      <c r="AD4" s="331"/>
      <c r="AE4" s="334"/>
      <c r="AF4" s="334"/>
      <c r="AG4" s="331"/>
      <c r="AH4" s="334"/>
      <c r="AI4" s="334"/>
      <c r="AJ4" s="331"/>
      <c r="AK4" s="334"/>
      <c r="AL4" s="334"/>
      <c r="AM4" s="331"/>
      <c r="AN4" s="334"/>
      <c r="AO4" s="334"/>
      <c r="AP4" s="331"/>
      <c r="AQ4" s="334"/>
      <c r="AR4" s="334"/>
      <c r="AS4" s="331"/>
      <c r="AT4" s="334"/>
      <c r="AU4" s="334"/>
      <c r="AV4" s="331"/>
      <c r="AW4" s="334"/>
      <c r="AX4" s="334"/>
      <c r="AY4" s="331"/>
      <c r="AZ4" s="334"/>
      <c r="BA4" s="334"/>
      <c r="BB4" s="331"/>
      <c r="BC4" s="334"/>
      <c r="BD4" s="334"/>
      <c r="BE4" s="331"/>
      <c r="BF4" s="334"/>
      <c r="BG4" s="334"/>
      <c r="BH4" s="331"/>
      <c r="BI4" s="334"/>
      <c r="BJ4" s="334"/>
      <c r="BK4" s="331"/>
      <c r="BL4" s="334"/>
      <c r="BM4" s="334"/>
      <c r="BN4" s="331"/>
      <c r="BO4" s="334"/>
      <c r="BP4" s="334"/>
      <c r="BQ4" s="331"/>
      <c r="BR4" s="332"/>
    </row>
    <row r="5" spans="1:70">
      <c r="A5" s="142" t="s">
        <v>4641</v>
      </c>
      <c r="B5" s="268">
        <v>8000</v>
      </c>
      <c r="C5" s="268">
        <v>0</v>
      </c>
      <c r="D5" s="333"/>
      <c r="E5" s="333"/>
      <c r="F5" s="331"/>
      <c r="G5" s="334"/>
      <c r="H5" s="334"/>
      <c r="I5" s="331"/>
      <c r="J5" s="334"/>
      <c r="K5" s="334"/>
      <c r="L5" s="331"/>
      <c r="M5" s="334"/>
      <c r="N5" s="334"/>
      <c r="O5" s="331"/>
      <c r="P5" s="334"/>
      <c r="Q5" s="334"/>
      <c r="R5" s="331"/>
      <c r="S5" s="334"/>
      <c r="T5" s="334"/>
      <c r="U5" s="331"/>
      <c r="V5" s="334"/>
      <c r="W5" s="334"/>
      <c r="X5" s="331"/>
      <c r="Y5" s="334"/>
      <c r="Z5" s="334"/>
      <c r="AA5" s="331"/>
      <c r="AB5" s="334"/>
      <c r="AC5" s="334"/>
      <c r="AD5" s="331"/>
      <c r="AE5" s="334"/>
      <c r="AF5" s="334"/>
      <c r="AG5" s="331"/>
      <c r="AH5" s="334"/>
      <c r="AI5" s="334"/>
      <c r="AJ5" s="331"/>
      <c r="AK5" s="334"/>
      <c r="AL5" s="334"/>
      <c r="AM5" s="331"/>
      <c r="AN5" s="334"/>
      <c r="AO5" s="334"/>
      <c r="AP5" s="331"/>
      <c r="AQ5" s="334"/>
      <c r="AR5" s="334"/>
      <c r="AS5" s="331"/>
      <c r="AT5" s="334"/>
      <c r="AU5" s="334"/>
      <c r="AV5" s="331"/>
      <c r="AW5" s="334"/>
      <c r="AX5" s="334"/>
      <c r="AY5" s="331"/>
      <c r="AZ5" s="334"/>
      <c r="BA5" s="334"/>
      <c r="BB5" s="331"/>
      <c r="BC5" s="334"/>
      <c r="BD5" s="334"/>
      <c r="BE5" s="331"/>
      <c r="BF5" s="334"/>
      <c r="BG5" s="334"/>
      <c r="BH5" s="331"/>
      <c r="BI5" s="334"/>
      <c r="BJ5" s="334"/>
      <c r="BK5" s="331"/>
      <c r="BL5" s="334"/>
      <c r="BM5" s="334"/>
      <c r="BN5" s="331"/>
      <c r="BO5" s="334"/>
      <c r="BP5" s="334"/>
      <c r="BQ5" s="331"/>
      <c r="BR5" s="332"/>
    </row>
    <row r="6" spans="1:70">
      <c r="A6" s="142" t="s">
        <v>4760</v>
      </c>
      <c r="B6" s="268">
        <v>25800</v>
      </c>
      <c r="C6" s="268">
        <v>0</v>
      </c>
      <c r="D6" s="333"/>
      <c r="E6" s="333"/>
      <c r="F6" s="331"/>
      <c r="G6" s="334"/>
      <c r="H6" s="334"/>
      <c r="I6" s="331"/>
      <c r="J6" s="334"/>
      <c r="K6" s="334"/>
      <c r="L6" s="331"/>
      <c r="M6" s="334"/>
      <c r="N6" s="334"/>
      <c r="O6" s="331"/>
      <c r="P6" s="334"/>
      <c r="Q6" s="334"/>
      <c r="R6" s="331"/>
      <c r="S6" s="334"/>
      <c r="T6" s="334"/>
      <c r="U6" s="331"/>
      <c r="V6" s="334"/>
      <c r="W6" s="334"/>
      <c r="X6" s="331"/>
      <c r="Y6" s="334"/>
      <c r="Z6" s="334"/>
      <c r="AA6" s="331"/>
      <c r="AB6" s="334"/>
      <c r="AC6" s="334"/>
      <c r="AD6" s="331"/>
      <c r="AE6" s="334"/>
      <c r="AF6" s="334"/>
      <c r="AG6" s="331"/>
      <c r="AH6" s="334"/>
      <c r="AI6" s="334"/>
      <c r="AJ6" s="331"/>
      <c r="AK6" s="334"/>
      <c r="AL6" s="334"/>
      <c r="AM6" s="331"/>
      <c r="AN6" s="334"/>
      <c r="AO6" s="334"/>
      <c r="AP6" s="331"/>
      <c r="AQ6" s="334"/>
      <c r="AR6" s="334"/>
      <c r="AS6" s="331"/>
      <c r="AT6" s="334"/>
      <c r="AU6" s="334"/>
      <c r="AV6" s="331"/>
      <c r="AW6" s="334"/>
      <c r="AX6" s="334"/>
      <c r="AY6" s="331"/>
      <c r="AZ6" s="334"/>
      <c r="BA6" s="334"/>
      <c r="BB6" s="331"/>
      <c r="BC6" s="334"/>
      <c r="BD6" s="334"/>
      <c r="BE6" s="331"/>
      <c r="BF6" s="334"/>
      <c r="BG6" s="334"/>
      <c r="BH6" s="331"/>
      <c r="BI6" s="334"/>
      <c r="BJ6" s="334"/>
      <c r="BK6" s="331"/>
      <c r="BL6" s="334"/>
      <c r="BM6" s="334"/>
      <c r="BN6" s="331"/>
      <c r="BO6" s="334"/>
      <c r="BP6" s="334"/>
      <c r="BQ6" s="331"/>
      <c r="BR6" s="332"/>
    </row>
    <row r="7" spans="1:70">
      <c r="A7" s="142" t="s">
        <v>2779</v>
      </c>
      <c r="B7" s="268">
        <v>12600</v>
      </c>
      <c r="C7" s="268">
        <v>0</v>
      </c>
      <c r="D7" s="333"/>
      <c r="E7" s="333"/>
      <c r="F7" s="331"/>
      <c r="G7" s="334"/>
      <c r="H7" s="334"/>
      <c r="I7" s="331"/>
      <c r="J7" s="334"/>
      <c r="K7" s="334"/>
      <c r="L7" s="331"/>
      <c r="M7" s="334"/>
      <c r="N7" s="334"/>
      <c r="O7" s="331"/>
      <c r="P7" s="334"/>
      <c r="Q7" s="334"/>
      <c r="R7" s="331"/>
      <c r="S7" s="334"/>
      <c r="T7" s="334"/>
      <c r="U7" s="331"/>
      <c r="V7" s="334"/>
      <c r="W7" s="334"/>
      <c r="X7" s="331"/>
      <c r="Y7" s="334"/>
      <c r="Z7" s="334"/>
      <c r="AA7" s="331"/>
      <c r="AB7" s="334"/>
      <c r="AC7" s="334"/>
      <c r="AD7" s="331"/>
      <c r="AE7" s="334"/>
      <c r="AF7" s="334"/>
      <c r="AG7" s="331"/>
      <c r="AH7" s="334"/>
      <c r="AI7" s="334"/>
      <c r="AJ7" s="331"/>
      <c r="AK7" s="334"/>
      <c r="AL7" s="334"/>
      <c r="AM7" s="331"/>
      <c r="AN7" s="334"/>
      <c r="AO7" s="334"/>
      <c r="AP7" s="331"/>
      <c r="AQ7" s="334"/>
      <c r="AR7" s="334"/>
      <c r="AS7" s="331"/>
      <c r="AT7" s="334"/>
      <c r="AU7" s="334"/>
      <c r="AV7" s="331"/>
      <c r="AW7" s="334"/>
      <c r="AX7" s="334"/>
      <c r="AY7" s="331"/>
      <c r="AZ7" s="334"/>
      <c r="BA7" s="334"/>
      <c r="BB7" s="331"/>
      <c r="BC7" s="334"/>
      <c r="BD7" s="334"/>
      <c r="BE7" s="331"/>
      <c r="BF7" s="334"/>
      <c r="BG7" s="334"/>
      <c r="BH7" s="331"/>
      <c r="BI7" s="334"/>
      <c r="BJ7" s="334"/>
      <c r="BK7" s="331"/>
      <c r="BL7" s="334"/>
      <c r="BM7" s="334"/>
      <c r="BN7" s="331"/>
      <c r="BO7" s="334"/>
      <c r="BP7" s="334"/>
      <c r="BQ7" s="331"/>
      <c r="BR7" s="332"/>
    </row>
    <row r="8" spans="1:70">
      <c r="A8" s="142" t="s">
        <v>3412</v>
      </c>
      <c r="B8" s="268">
        <v>60800</v>
      </c>
      <c r="C8" s="268">
        <v>0</v>
      </c>
      <c r="D8" s="333"/>
      <c r="E8" s="333"/>
      <c r="F8" s="331"/>
      <c r="G8" s="334"/>
      <c r="H8" s="334"/>
      <c r="I8" s="331"/>
      <c r="J8" s="334"/>
      <c r="K8" s="334"/>
      <c r="L8" s="331"/>
      <c r="M8" s="334"/>
      <c r="N8" s="334"/>
      <c r="O8" s="331"/>
      <c r="P8" s="334"/>
      <c r="Q8" s="334"/>
      <c r="R8" s="331"/>
      <c r="S8" s="334"/>
      <c r="T8" s="334"/>
      <c r="U8" s="331"/>
      <c r="V8" s="334"/>
      <c r="W8" s="334"/>
      <c r="X8" s="331"/>
      <c r="Y8" s="334"/>
      <c r="Z8" s="334"/>
      <c r="AA8" s="331"/>
      <c r="AB8" s="334"/>
      <c r="AC8" s="334"/>
      <c r="AD8" s="331"/>
      <c r="AE8" s="334"/>
      <c r="AF8" s="334"/>
      <c r="AG8" s="331"/>
      <c r="AH8" s="334"/>
      <c r="AI8" s="334"/>
      <c r="AJ8" s="331"/>
      <c r="AK8" s="334"/>
      <c r="AL8" s="334"/>
      <c r="AM8" s="331"/>
      <c r="AN8" s="334"/>
      <c r="AO8" s="334"/>
      <c r="AP8" s="331"/>
      <c r="AQ8" s="334"/>
      <c r="AR8" s="334"/>
      <c r="AS8" s="331"/>
      <c r="AT8" s="334"/>
      <c r="AU8" s="334"/>
      <c r="AV8" s="331"/>
      <c r="AW8" s="334"/>
      <c r="AX8" s="334"/>
      <c r="AY8" s="331"/>
      <c r="AZ8" s="334"/>
      <c r="BA8" s="334"/>
      <c r="BB8" s="331"/>
      <c r="BC8" s="334"/>
      <c r="BD8" s="334"/>
      <c r="BE8" s="331"/>
      <c r="BF8" s="334"/>
      <c r="BG8" s="334"/>
      <c r="BH8" s="331"/>
      <c r="BI8" s="334"/>
      <c r="BJ8" s="334"/>
      <c r="BK8" s="331"/>
      <c r="BL8" s="334"/>
      <c r="BM8" s="334"/>
      <c r="BN8" s="331"/>
      <c r="BO8" s="334"/>
      <c r="BP8" s="334"/>
      <c r="BQ8" s="331"/>
      <c r="BR8" s="332"/>
    </row>
    <row r="9" spans="1:70">
      <c r="A9" s="142" t="s">
        <v>2665</v>
      </c>
      <c r="B9" s="268">
        <v>32850</v>
      </c>
      <c r="C9" s="268">
        <v>0</v>
      </c>
      <c r="D9" s="333"/>
      <c r="E9" s="333"/>
      <c r="F9" s="331"/>
      <c r="G9" s="334"/>
      <c r="H9" s="334"/>
      <c r="I9" s="331"/>
      <c r="J9" s="334"/>
      <c r="K9" s="334"/>
      <c r="L9" s="331"/>
      <c r="M9" s="334"/>
      <c r="N9" s="334"/>
      <c r="O9" s="331"/>
      <c r="P9" s="334"/>
      <c r="Q9" s="334"/>
      <c r="R9" s="331"/>
      <c r="S9" s="334"/>
      <c r="T9" s="334"/>
      <c r="U9" s="331"/>
      <c r="V9" s="334"/>
      <c r="W9" s="334"/>
      <c r="X9" s="331"/>
      <c r="Y9" s="334"/>
      <c r="Z9" s="334"/>
      <c r="AA9" s="331"/>
      <c r="AB9" s="334"/>
      <c r="AC9" s="334"/>
      <c r="AD9" s="331"/>
      <c r="AE9" s="334"/>
      <c r="AF9" s="334"/>
      <c r="AG9" s="331"/>
      <c r="AH9" s="334"/>
      <c r="AI9" s="334"/>
      <c r="AJ9" s="331"/>
      <c r="AK9" s="334"/>
      <c r="AL9" s="334"/>
      <c r="AM9" s="331"/>
      <c r="AN9" s="334"/>
      <c r="AO9" s="334"/>
      <c r="AP9" s="331"/>
      <c r="AQ9" s="334"/>
      <c r="AR9" s="334"/>
      <c r="AS9" s="331"/>
      <c r="AT9" s="334"/>
      <c r="AU9" s="334"/>
      <c r="AV9" s="331"/>
      <c r="AW9" s="334"/>
      <c r="AX9" s="334"/>
      <c r="AY9" s="331"/>
      <c r="AZ9" s="334"/>
      <c r="BA9" s="334"/>
      <c r="BB9" s="331"/>
      <c r="BC9" s="334"/>
      <c r="BD9" s="334"/>
      <c r="BE9" s="331"/>
      <c r="BF9" s="334"/>
      <c r="BG9" s="334"/>
      <c r="BH9" s="331"/>
      <c r="BI9" s="334"/>
      <c r="BJ9" s="334"/>
      <c r="BK9" s="331"/>
      <c r="BL9" s="334"/>
      <c r="BM9" s="334"/>
      <c r="BN9" s="331"/>
      <c r="BO9" s="334"/>
      <c r="BP9" s="334"/>
      <c r="BQ9" s="331"/>
      <c r="BR9" s="332"/>
    </row>
    <row r="10" spans="1:70">
      <c r="A10" s="142" t="s">
        <v>3721</v>
      </c>
      <c r="B10" s="268">
        <v>29000</v>
      </c>
      <c r="C10" s="268">
        <v>0</v>
      </c>
      <c r="D10" s="333"/>
      <c r="E10" s="333"/>
      <c r="F10" s="331"/>
      <c r="G10" s="334"/>
      <c r="H10" s="334"/>
      <c r="I10" s="331"/>
      <c r="J10" s="334"/>
      <c r="K10" s="334"/>
      <c r="L10" s="331"/>
      <c r="M10" s="334"/>
      <c r="N10" s="334"/>
      <c r="O10" s="331"/>
      <c r="P10" s="334"/>
      <c r="Q10" s="334"/>
      <c r="R10" s="331"/>
      <c r="S10" s="334"/>
      <c r="T10" s="334"/>
      <c r="U10" s="331"/>
      <c r="V10" s="334"/>
      <c r="W10" s="334"/>
      <c r="X10" s="331"/>
      <c r="Y10" s="334"/>
      <c r="Z10" s="334"/>
      <c r="AA10" s="331"/>
      <c r="AB10" s="334"/>
      <c r="AC10" s="334"/>
      <c r="AD10" s="331"/>
      <c r="AE10" s="334"/>
      <c r="AF10" s="334"/>
      <c r="AG10" s="331"/>
      <c r="AH10" s="334"/>
      <c r="AI10" s="334"/>
      <c r="AJ10" s="331"/>
      <c r="AK10" s="334"/>
      <c r="AL10" s="334"/>
      <c r="AM10" s="331"/>
      <c r="AN10" s="334"/>
      <c r="AO10" s="334"/>
      <c r="AP10" s="331"/>
      <c r="AQ10" s="334"/>
      <c r="AR10" s="334"/>
      <c r="AS10" s="331"/>
      <c r="AT10" s="334"/>
      <c r="AU10" s="334"/>
      <c r="AV10" s="331"/>
      <c r="AW10" s="334"/>
      <c r="AX10" s="334"/>
      <c r="AY10" s="331"/>
      <c r="AZ10" s="334"/>
      <c r="BA10" s="334"/>
      <c r="BB10" s="331"/>
      <c r="BC10" s="334"/>
      <c r="BD10" s="334"/>
      <c r="BE10" s="331"/>
      <c r="BF10" s="334"/>
      <c r="BG10" s="334"/>
      <c r="BH10" s="331"/>
      <c r="BI10" s="334"/>
      <c r="BJ10" s="334"/>
      <c r="BK10" s="331"/>
      <c r="BL10" s="334"/>
      <c r="BM10" s="334"/>
      <c r="BN10" s="331"/>
      <c r="BO10" s="334"/>
      <c r="BP10" s="334"/>
      <c r="BQ10" s="331"/>
      <c r="BR10" s="332"/>
    </row>
    <row r="11" spans="1:70">
      <c r="A11" s="142" t="s">
        <v>4397</v>
      </c>
      <c r="B11" s="268">
        <v>10100</v>
      </c>
      <c r="C11" s="268">
        <v>0</v>
      </c>
      <c r="D11" s="333"/>
      <c r="E11" s="333"/>
      <c r="F11" s="331"/>
      <c r="G11" s="334"/>
      <c r="H11" s="334"/>
      <c r="I11" s="331"/>
      <c r="J11" s="334"/>
      <c r="K11" s="334"/>
      <c r="L11" s="331"/>
      <c r="M11" s="334"/>
      <c r="N11" s="334"/>
      <c r="O11" s="331"/>
      <c r="P11" s="334"/>
      <c r="Q11" s="334"/>
      <c r="R11" s="331"/>
      <c r="S11" s="334"/>
      <c r="T11" s="334"/>
      <c r="U11" s="331"/>
      <c r="V11" s="334"/>
      <c r="W11" s="334"/>
      <c r="X11" s="331"/>
      <c r="Y11" s="334"/>
      <c r="Z11" s="334"/>
      <c r="AA11" s="331"/>
      <c r="AB11" s="334"/>
      <c r="AC11" s="334"/>
      <c r="AD11" s="331"/>
      <c r="AE11" s="334"/>
      <c r="AF11" s="334"/>
      <c r="AG11" s="331"/>
      <c r="AH11" s="334"/>
      <c r="AI11" s="334"/>
      <c r="AJ11" s="331"/>
      <c r="AK11" s="334"/>
      <c r="AL11" s="334"/>
      <c r="AM11" s="331"/>
      <c r="AN11" s="334"/>
      <c r="AO11" s="334"/>
      <c r="AP11" s="331"/>
      <c r="AQ11" s="334"/>
      <c r="AR11" s="334"/>
      <c r="AS11" s="331"/>
      <c r="AT11" s="334"/>
      <c r="AU11" s="334"/>
      <c r="AV11" s="331"/>
      <c r="AW11" s="334"/>
      <c r="AX11" s="334"/>
      <c r="AY11" s="331"/>
      <c r="AZ11" s="334"/>
      <c r="BA11" s="334"/>
      <c r="BB11" s="331"/>
      <c r="BC11" s="334"/>
      <c r="BD11" s="334"/>
      <c r="BE11" s="331"/>
      <c r="BF11" s="334"/>
      <c r="BG11" s="334"/>
      <c r="BH11" s="331"/>
      <c r="BI11" s="334"/>
      <c r="BJ11" s="334"/>
      <c r="BK11" s="331"/>
      <c r="BL11" s="334"/>
      <c r="BM11" s="334"/>
      <c r="BN11" s="331"/>
      <c r="BO11" s="334"/>
      <c r="BP11" s="334"/>
      <c r="BQ11" s="331"/>
      <c r="BR11" s="332"/>
    </row>
    <row r="12" spans="1:70">
      <c r="A12" s="142" t="s">
        <v>2654</v>
      </c>
      <c r="B12" s="268">
        <v>3500</v>
      </c>
      <c r="C12" s="268">
        <v>0</v>
      </c>
      <c r="D12" s="333"/>
      <c r="E12" s="333"/>
      <c r="F12" s="331"/>
      <c r="G12" s="334"/>
      <c r="H12" s="334"/>
      <c r="I12" s="331"/>
      <c r="J12" s="334"/>
      <c r="K12" s="334"/>
      <c r="L12" s="331"/>
      <c r="M12" s="334"/>
      <c r="N12" s="334"/>
      <c r="O12" s="331"/>
      <c r="P12" s="334"/>
      <c r="Q12" s="334"/>
      <c r="R12" s="331"/>
      <c r="S12" s="334"/>
      <c r="T12" s="334"/>
      <c r="U12" s="331"/>
      <c r="V12" s="334"/>
      <c r="W12" s="334"/>
      <c r="X12" s="331"/>
      <c r="Y12" s="334"/>
      <c r="Z12" s="334"/>
      <c r="AA12" s="331"/>
      <c r="AB12" s="334"/>
      <c r="AC12" s="334"/>
      <c r="AD12" s="331"/>
      <c r="AE12" s="334"/>
      <c r="AF12" s="334"/>
      <c r="AG12" s="331"/>
      <c r="AH12" s="334"/>
      <c r="AI12" s="334"/>
      <c r="AJ12" s="331"/>
      <c r="AK12" s="334"/>
      <c r="AL12" s="334"/>
      <c r="AM12" s="331"/>
      <c r="AN12" s="334"/>
      <c r="AO12" s="334"/>
      <c r="AP12" s="331"/>
      <c r="AQ12" s="334"/>
      <c r="AR12" s="334"/>
      <c r="AS12" s="331"/>
      <c r="AT12" s="334"/>
      <c r="AU12" s="334"/>
      <c r="AV12" s="331"/>
      <c r="AW12" s="334"/>
      <c r="AX12" s="334"/>
      <c r="AY12" s="331"/>
      <c r="AZ12" s="334"/>
      <c r="BA12" s="334"/>
      <c r="BB12" s="331"/>
      <c r="BC12" s="334"/>
      <c r="BD12" s="334"/>
      <c r="BE12" s="331"/>
      <c r="BF12" s="334"/>
      <c r="BG12" s="334"/>
      <c r="BH12" s="331"/>
      <c r="BI12" s="334"/>
      <c r="BJ12" s="334"/>
      <c r="BK12" s="331"/>
      <c r="BL12" s="334"/>
      <c r="BM12" s="334"/>
      <c r="BN12" s="331"/>
      <c r="BO12" s="334"/>
      <c r="BP12" s="334"/>
      <c r="BQ12" s="331"/>
      <c r="BR12" s="332"/>
    </row>
    <row r="13" spans="1:70">
      <c r="A13" s="142" t="s">
        <v>3216</v>
      </c>
      <c r="B13" s="268">
        <v>36900</v>
      </c>
      <c r="C13" s="268">
        <v>0</v>
      </c>
      <c r="D13" s="333"/>
      <c r="E13" s="333"/>
      <c r="F13" s="331"/>
      <c r="G13" s="334"/>
      <c r="H13" s="334"/>
      <c r="I13" s="331"/>
      <c r="J13" s="334"/>
      <c r="K13" s="334"/>
      <c r="L13" s="331"/>
      <c r="M13" s="334"/>
      <c r="N13" s="334"/>
      <c r="O13" s="331"/>
      <c r="P13" s="334"/>
      <c r="Q13" s="334"/>
      <c r="R13" s="331"/>
      <c r="S13" s="334"/>
      <c r="T13" s="334"/>
      <c r="U13" s="331"/>
      <c r="V13" s="334"/>
      <c r="W13" s="334"/>
      <c r="X13" s="331"/>
      <c r="Y13" s="334"/>
      <c r="Z13" s="334"/>
      <c r="AA13" s="331"/>
      <c r="AB13" s="334"/>
      <c r="AC13" s="334"/>
      <c r="AD13" s="331"/>
      <c r="AE13" s="334"/>
      <c r="AF13" s="334"/>
      <c r="AG13" s="331"/>
      <c r="AH13" s="334"/>
      <c r="AI13" s="334"/>
      <c r="AJ13" s="331"/>
      <c r="AK13" s="334"/>
      <c r="AL13" s="334"/>
      <c r="AM13" s="331"/>
      <c r="AN13" s="334"/>
      <c r="AO13" s="334"/>
      <c r="AP13" s="331"/>
      <c r="AQ13" s="334"/>
      <c r="AR13" s="334"/>
      <c r="AS13" s="331"/>
      <c r="AT13" s="334"/>
      <c r="AU13" s="334"/>
      <c r="AV13" s="331"/>
      <c r="AW13" s="334"/>
      <c r="AX13" s="334"/>
      <c r="AY13" s="331"/>
      <c r="AZ13" s="334"/>
      <c r="BA13" s="334"/>
      <c r="BB13" s="331"/>
      <c r="BC13" s="334"/>
      <c r="BD13" s="334"/>
      <c r="BE13" s="331"/>
      <c r="BF13" s="334"/>
      <c r="BG13" s="334"/>
      <c r="BH13" s="331"/>
      <c r="BI13" s="334"/>
      <c r="BJ13" s="334"/>
      <c r="BK13" s="331"/>
      <c r="BL13" s="334"/>
      <c r="BM13" s="334"/>
      <c r="BN13" s="331"/>
      <c r="BO13" s="334"/>
      <c r="BP13" s="334"/>
      <c r="BQ13" s="331"/>
      <c r="BR13" s="332"/>
    </row>
    <row r="14" spans="1:70">
      <c r="A14" s="142" t="s">
        <v>2710</v>
      </c>
      <c r="B14" s="268">
        <v>8800</v>
      </c>
      <c r="C14" s="268">
        <v>0</v>
      </c>
      <c r="D14" s="333"/>
      <c r="E14" s="333"/>
      <c r="F14" s="331"/>
      <c r="G14" s="334"/>
      <c r="H14" s="334"/>
      <c r="I14" s="331"/>
      <c r="J14" s="334"/>
      <c r="K14" s="334"/>
      <c r="L14" s="331"/>
      <c r="M14" s="334"/>
      <c r="N14" s="334"/>
      <c r="O14" s="331"/>
      <c r="P14" s="334"/>
      <c r="Q14" s="334"/>
      <c r="R14" s="331"/>
      <c r="S14" s="334"/>
      <c r="T14" s="334"/>
      <c r="U14" s="331"/>
      <c r="V14" s="334"/>
      <c r="W14" s="334"/>
      <c r="X14" s="331"/>
      <c r="Y14" s="334"/>
      <c r="Z14" s="334"/>
      <c r="AA14" s="331"/>
      <c r="AB14" s="334"/>
      <c r="AC14" s="334"/>
      <c r="AD14" s="331"/>
      <c r="AE14" s="334"/>
      <c r="AF14" s="334"/>
      <c r="AG14" s="331"/>
      <c r="AH14" s="334"/>
      <c r="AI14" s="334"/>
      <c r="AJ14" s="331"/>
      <c r="AK14" s="334"/>
      <c r="AL14" s="334"/>
      <c r="AM14" s="331"/>
      <c r="AN14" s="334"/>
      <c r="AO14" s="334"/>
      <c r="AP14" s="331"/>
      <c r="AQ14" s="334"/>
      <c r="AR14" s="334"/>
      <c r="AS14" s="331"/>
      <c r="AT14" s="334"/>
      <c r="AU14" s="334"/>
      <c r="AV14" s="331"/>
      <c r="AW14" s="334"/>
      <c r="AX14" s="334"/>
      <c r="AY14" s="331"/>
      <c r="AZ14" s="334"/>
      <c r="BA14" s="334"/>
      <c r="BB14" s="331"/>
      <c r="BC14" s="334"/>
      <c r="BD14" s="334"/>
      <c r="BE14" s="331"/>
      <c r="BF14" s="334"/>
      <c r="BG14" s="334"/>
      <c r="BH14" s="331"/>
      <c r="BI14" s="334"/>
      <c r="BJ14" s="334"/>
      <c r="BK14" s="331"/>
      <c r="BL14" s="334"/>
      <c r="BM14" s="334"/>
      <c r="BN14" s="331"/>
      <c r="BO14" s="334"/>
      <c r="BP14" s="334"/>
      <c r="BQ14" s="331"/>
      <c r="BR14" s="332"/>
    </row>
    <row r="15" spans="1:70">
      <c r="A15" s="142" t="s">
        <v>3369</v>
      </c>
      <c r="B15" s="268">
        <v>20100</v>
      </c>
      <c r="C15" s="268">
        <v>0</v>
      </c>
      <c r="D15" s="333"/>
      <c r="E15" s="333"/>
      <c r="F15" s="331"/>
      <c r="G15" s="334"/>
      <c r="H15" s="334"/>
      <c r="I15" s="331"/>
      <c r="J15" s="334"/>
      <c r="K15" s="334"/>
      <c r="L15" s="331"/>
      <c r="M15" s="334"/>
      <c r="N15" s="334"/>
      <c r="O15" s="331"/>
      <c r="P15" s="334"/>
      <c r="Q15" s="334"/>
      <c r="R15" s="331"/>
      <c r="S15" s="334"/>
      <c r="T15" s="334"/>
      <c r="U15" s="331"/>
      <c r="V15" s="334"/>
      <c r="W15" s="334"/>
      <c r="X15" s="331"/>
      <c r="Y15" s="334"/>
      <c r="Z15" s="334"/>
      <c r="AA15" s="331"/>
      <c r="AB15" s="334"/>
      <c r="AC15" s="334"/>
      <c r="AD15" s="331"/>
      <c r="AE15" s="334"/>
      <c r="AF15" s="334"/>
      <c r="AG15" s="331"/>
      <c r="AH15" s="334"/>
      <c r="AI15" s="334"/>
      <c r="AJ15" s="331"/>
      <c r="AK15" s="334"/>
      <c r="AL15" s="334"/>
      <c r="AM15" s="331"/>
      <c r="AN15" s="334"/>
      <c r="AO15" s="334"/>
      <c r="AP15" s="331"/>
      <c r="AQ15" s="334"/>
      <c r="AR15" s="334"/>
      <c r="AS15" s="331"/>
      <c r="AT15" s="334"/>
      <c r="AU15" s="334"/>
      <c r="AV15" s="331"/>
      <c r="AW15" s="334"/>
      <c r="AX15" s="334"/>
      <c r="AY15" s="331"/>
      <c r="AZ15" s="334"/>
      <c r="BA15" s="334"/>
      <c r="BB15" s="331"/>
      <c r="BC15" s="334"/>
      <c r="BD15" s="334"/>
      <c r="BE15" s="331"/>
      <c r="BF15" s="334"/>
      <c r="BG15" s="334"/>
      <c r="BH15" s="331"/>
      <c r="BI15" s="334"/>
      <c r="BJ15" s="334"/>
      <c r="BK15" s="331"/>
      <c r="BL15" s="334"/>
      <c r="BM15" s="334"/>
      <c r="BN15" s="331"/>
      <c r="BO15" s="334"/>
      <c r="BP15" s="334"/>
      <c r="BQ15" s="331"/>
      <c r="BR15" s="332"/>
    </row>
    <row r="16" spans="1:70">
      <c r="A16" s="142" t="s">
        <v>3476</v>
      </c>
      <c r="B16" s="268">
        <v>5000</v>
      </c>
      <c r="C16" s="268">
        <v>0</v>
      </c>
      <c r="D16" s="333"/>
      <c r="E16" s="333"/>
      <c r="F16" s="331"/>
      <c r="G16" s="334"/>
      <c r="H16" s="334"/>
      <c r="I16" s="331"/>
      <c r="J16" s="334"/>
      <c r="K16" s="334"/>
      <c r="L16" s="331"/>
      <c r="M16" s="334"/>
      <c r="N16" s="334"/>
      <c r="O16" s="331"/>
      <c r="P16" s="334"/>
      <c r="Q16" s="334"/>
      <c r="R16" s="331"/>
      <c r="S16" s="334"/>
      <c r="T16" s="334"/>
      <c r="U16" s="331"/>
      <c r="V16" s="334"/>
      <c r="W16" s="334"/>
      <c r="X16" s="331"/>
      <c r="Y16" s="334"/>
      <c r="Z16" s="334"/>
      <c r="AA16" s="331"/>
      <c r="AB16" s="334"/>
      <c r="AC16" s="334"/>
      <c r="AD16" s="331"/>
      <c r="AE16" s="334"/>
      <c r="AF16" s="334"/>
      <c r="AG16" s="331"/>
      <c r="AH16" s="334"/>
      <c r="AI16" s="334"/>
      <c r="AJ16" s="331"/>
      <c r="AK16" s="334"/>
      <c r="AL16" s="334"/>
      <c r="AM16" s="331"/>
      <c r="AN16" s="334"/>
      <c r="AO16" s="334"/>
      <c r="AP16" s="331"/>
      <c r="AQ16" s="334"/>
      <c r="AR16" s="334"/>
      <c r="AS16" s="331"/>
      <c r="AT16" s="334"/>
      <c r="AU16" s="334"/>
      <c r="AV16" s="331"/>
      <c r="AW16" s="334"/>
      <c r="AX16" s="334"/>
      <c r="AY16" s="331"/>
      <c r="AZ16" s="334"/>
      <c r="BA16" s="334"/>
      <c r="BB16" s="331"/>
      <c r="BC16" s="334"/>
      <c r="BD16" s="334"/>
      <c r="BE16" s="331"/>
      <c r="BF16" s="334"/>
      <c r="BG16" s="334"/>
      <c r="BH16" s="331"/>
      <c r="BI16" s="334"/>
      <c r="BJ16" s="334"/>
      <c r="BK16" s="331"/>
      <c r="BL16" s="334"/>
      <c r="BM16" s="334"/>
      <c r="BN16" s="331"/>
      <c r="BO16" s="334"/>
      <c r="BP16" s="334"/>
      <c r="BQ16" s="331"/>
      <c r="BR16" s="332"/>
    </row>
    <row r="17" spans="1:70">
      <c r="A17" s="142" t="s">
        <v>3775</v>
      </c>
      <c r="B17" s="268">
        <v>13600</v>
      </c>
      <c r="C17" s="268">
        <v>0</v>
      </c>
      <c r="D17" s="333"/>
      <c r="E17" s="333"/>
      <c r="F17" s="331"/>
      <c r="G17" s="334"/>
      <c r="H17" s="334"/>
      <c r="I17" s="331"/>
      <c r="J17" s="334"/>
      <c r="K17" s="334"/>
      <c r="L17" s="331"/>
      <c r="M17" s="334"/>
      <c r="N17" s="334"/>
      <c r="O17" s="331"/>
      <c r="P17" s="334"/>
      <c r="Q17" s="334"/>
      <c r="R17" s="331"/>
      <c r="S17" s="334"/>
      <c r="T17" s="334"/>
      <c r="U17" s="331"/>
      <c r="V17" s="334"/>
      <c r="W17" s="334"/>
      <c r="X17" s="331"/>
      <c r="Y17" s="334"/>
      <c r="Z17" s="334"/>
      <c r="AA17" s="331"/>
      <c r="AB17" s="334"/>
      <c r="AC17" s="334"/>
      <c r="AD17" s="331"/>
      <c r="AE17" s="334"/>
      <c r="AF17" s="334"/>
      <c r="AG17" s="331"/>
      <c r="AH17" s="334"/>
      <c r="AI17" s="334"/>
      <c r="AJ17" s="331"/>
      <c r="AK17" s="334"/>
      <c r="AL17" s="334"/>
      <c r="AM17" s="331"/>
      <c r="AN17" s="334"/>
      <c r="AO17" s="334"/>
      <c r="AP17" s="331"/>
      <c r="AQ17" s="334"/>
      <c r="AR17" s="334"/>
      <c r="AS17" s="331"/>
      <c r="AT17" s="334"/>
      <c r="AU17" s="334"/>
      <c r="AV17" s="331"/>
      <c r="AW17" s="334"/>
      <c r="AX17" s="334"/>
      <c r="AY17" s="331"/>
      <c r="AZ17" s="334"/>
      <c r="BA17" s="334"/>
      <c r="BB17" s="331"/>
      <c r="BC17" s="334"/>
      <c r="BD17" s="334"/>
      <c r="BE17" s="331"/>
      <c r="BF17" s="334"/>
      <c r="BG17" s="334"/>
      <c r="BH17" s="331"/>
      <c r="BI17" s="334"/>
      <c r="BJ17" s="334"/>
      <c r="BK17" s="331"/>
      <c r="BL17" s="334"/>
      <c r="BM17" s="334"/>
      <c r="BN17" s="331"/>
      <c r="BO17" s="334"/>
      <c r="BP17" s="334"/>
      <c r="BQ17" s="331"/>
      <c r="BR17" s="332"/>
    </row>
    <row r="18" spans="1:70">
      <c r="A18" s="142" t="s">
        <v>3742</v>
      </c>
      <c r="B18" s="268">
        <v>8600</v>
      </c>
      <c r="C18" s="268">
        <v>0</v>
      </c>
      <c r="D18" s="333"/>
      <c r="E18" s="333"/>
      <c r="F18" s="331"/>
      <c r="G18" s="334"/>
      <c r="H18" s="334"/>
      <c r="I18" s="331"/>
      <c r="J18" s="334"/>
      <c r="K18" s="334"/>
      <c r="L18" s="331"/>
      <c r="M18" s="334"/>
      <c r="N18" s="334"/>
      <c r="O18" s="331"/>
      <c r="P18" s="334"/>
      <c r="Q18" s="334"/>
      <c r="R18" s="331"/>
      <c r="S18" s="334"/>
      <c r="T18" s="334"/>
      <c r="U18" s="331"/>
      <c r="V18" s="334"/>
      <c r="W18" s="334"/>
      <c r="X18" s="331"/>
      <c r="Y18" s="334"/>
      <c r="Z18" s="334"/>
      <c r="AA18" s="331"/>
      <c r="AB18" s="334"/>
      <c r="AC18" s="334"/>
      <c r="AD18" s="331"/>
      <c r="AE18" s="334"/>
      <c r="AF18" s="334"/>
      <c r="AG18" s="331"/>
      <c r="AH18" s="334"/>
      <c r="AI18" s="334"/>
      <c r="AJ18" s="331"/>
      <c r="AK18" s="334"/>
      <c r="AL18" s="334"/>
      <c r="AM18" s="331"/>
      <c r="AN18" s="334"/>
      <c r="AO18" s="334"/>
      <c r="AP18" s="331"/>
      <c r="AQ18" s="334"/>
      <c r="AR18" s="334"/>
      <c r="AS18" s="331"/>
      <c r="AT18" s="334"/>
      <c r="AU18" s="334"/>
      <c r="AV18" s="331"/>
      <c r="AW18" s="334"/>
      <c r="AX18" s="334"/>
      <c r="AY18" s="331"/>
      <c r="AZ18" s="334"/>
      <c r="BA18" s="334"/>
      <c r="BB18" s="331"/>
      <c r="BC18" s="334"/>
      <c r="BD18" s="334"/>
      <c r="BE18" s="331"/>
      <c r="BF18" s="334"/>
      <c r="BG18" s="334"/>
      <c r="BH18" s="331"/>
      <c r="BI18" s="334"/>
      <c r="BJ18" s="334"/>
      <c r="BK18" s="331"/>
      <c r="BL18" s="334"/>
      <c r="BM18" s="334"/>
      <c r="BN18" s="331"/>
      <c r="BO18" s="334"/>
      <c r="BP18" s="334"/>
      <c r="BQ18" s="331"/>
      <c r="BR18" s="332"/>
    </row>
    <row r="19" spans="1:70">
      <c r="A19" s="142" t="s">
        <v>3541</v>
      </c>
      <c r="B19" s="268">
        <v>7900</v>
      </c>
      <c r="C19" s="268">
        <v>0</v>
      </c>
      <c r="D19" s="333"/>
      <c r="E19" s="333"/>
      <c r="F19" s="331"/>
      <c r="G19" s="334"/>
      <c r="H19" s="334"/>
      <c r="I19" s="331"/>
      <c r="J19" s="334"/>
      <c r="K19" s="334"/>
      <c r="L19" s="331"/>
      <c r="M19" s="334"/>
      <c r="N19" s="334"/>
      <c r="O19" s="331"/>
      <c r="P19" s="334"/>
      <c r="Q19" s="334"/>
      <c r="R19" s="331"/>
      <c r="S19" s="334"/>
      <c r="T19" s="334"/>
      <c r="U19" s="331"/>
      <c r="V19" s="334"/>
      <c r="W19" s="334"/>
      <c r="X19" s="331"/>
      <c r="Y19" s="334"/>
      <c r="Z19" s="334"/>
      <c r="AA19" s="331"/>
      <c r="AB19" s="334"/>
      <c r="AC19" s="334"/>
      <c r="AD19" s="331"/>
      <c r="AE19" s="334"/>
      <c r="AF19" s="334"/>
      <c r="AG19" s="331"/>
      <c r="AH19" s="334"/>
      <c r="AI19" s="334"/>
      <c r="AJ19" s="331"/>
      <c r="AK19" s="334"/>
      <c r="AL19" s="334"/>
      <c r="AM19" s="331"/>
      <c r="AN19" s="334"/>
      <c r="AO19" s="334"/>
      <c r="AP19" s="331"/>
      <c r="AQ19" s="334"/>
      <c r="AR19" s="334"/>
      <c r="AS19" s="331"/>
      <c r="AT19" s="334"/>
      <c r="AU19" s="334"/>
      <c r="AV19" s="331"/>
      <c r="AW19" s="334"/>
      <c r="AX19" s="334"/>
      <c r="AY19" s="331"/>
      <c r="AZ19" s="334"/>
      <c r="BA19" s="334"/>
      <c r="BB19" s="331"/>
      <c r="BC19" s="334"/>
      <c r="BD19" s="334"/>
      <c r="BE19" s="331"/>
      <c r="BF19" s="334"/>
      <c r="BG19" s="334"/>
      <c r="BH19" s="331"/>
      <c r="BI19" s="334"/>
      <c r="BJ19" s="334"/>
      <c r="BK19" s="331"/>
      <c r="BL19" s="334"/>
      <c r="BM19" s="334"/>
      <c r="BN19" s="331"/>
      <c r="BO19" s="334"/>
      <c r="BP19" s="334"/>
      <c r="BQ19" s="331"/>
      <c r="BR19" s="332"/>
    </row>
    <row r="20" spans="1:70">
      <c r="A20" s="142" t="s">
        <v>3736</v>
      </c>
      <c r="B20" s="268">
        <v>8800</v>
      </c>
      <c r="C20" s="268">
        <v>0</v>
      </c>
      <c r="D20" s="333"/>
      <c r="E20" s="333"/>
      <c r="F20" s="331"/>
      <c r="G20" s="334"/>
      <c r="H20" s="334"/>
      <c r="I20" s="331"/>
      <c r="J20" s="334"/>
      <c r="K20" s="334"/>
      <c r="L20" s="331"/>
      <c r="M20" s="334"/>
      <c r="N20" s="334"/>
      <c r="O20" s="331"/>
      <c r="P20" s="334"/>
      <c r="Q20" s="334"/>
      <c r="R20" s="331"/>
      <c r="S20" s="334"/>
      <c r="T20" s="334"/>
      <c r="U20" s="331"/>
      <c r="V20" s="334"/>
      <c r="W20" s="334"/>
      <c r="X20" s="331"/>
      <c r="Y20" s="334"/>
      <c r="Z20" s="334"/>
      <c r="AA20" s="331"/>
      <c r="AB20" s="334"/>
      <c r="AC20" s="334"/>
      <c r="AD20" s="331"/>
      <c r="AE20" s="334"/>
      <c r="AF20" s="334"/>
      <c r="AG20" s="331"/>
      <c r="AH20" s="334"/>
      <c r="AI20" s="334"/>
      <c r="AJ20" s="331"/>
      <c r="AK20" s="334"/>
      <c r="AL20" s="334"/>
      <c r="AM20" s="331"/>
      <c r="AN20" s="334"/>
      <c r="AO20" s="334"/>
      <c r="AP20" s="331"/>
      <c r="AQ20" s="334"/>
      <c r="AR20" s="334"/>
      <c r="AS20" s="331"/>
      <c r="AT20" s="334"/>
      <c r="AU20" s="334"/>
      <c r="AV20" s="331"/>
      <c r="AW20" s="334"/>
      <c r="AX20" s="334"/>
      <c r="AY20" s="331"/>
      <c r="AZ20" s="334"/>
      <c r="BA20" s="334"/>
      <c r="BB20" s="331"/>
      <c r="BC20" s="334"/>
      <c r="BD20" s="334"/>
      <c r="BE20" s="331"/>
      <c r="BF20" s="334"/>
      <c r="BG20" s="334"/>
      <c r="BH20" s="331"/>
      <c r="BI20" s="334"/>
      <c r="BJ20" s="334"/>
      <c r="BK20" s="331"/>
      <c r="BL20" s="334"/>
      <c r="BM20" s="334"/>
      <c r="BN20" s="331"/>
      <c r="BO20" s="334"/>
      <c r="BP20" s="334"/>
      <c r="BQ20" s="331"/>
      <c r="BR20" s="332"/>
    </row>
    <row r="21" spans="1:70">
      <c r="A21" s="142" t="s">
        <v>3768</v>
      </c>
      <c r="B21" s="268">
        <v>15500</v>
      </c>
      <c r="C21" s="268">
        <v>0</v>
      </c>
      <c r="D21" s="333"/>
      <c r="E21" s="333"/>
      <c r="F21" s="331"/>
      <c r="G21" s="334"/>
      <c r="H21" s="334"/>
      <c r="I21" s="331"/>
      <c r="J21" s="334"/>
      <c r="K21" s="334"/>
      <c r="L21" s="331"/>
      <c r="M21" s="334"/>
      <c r="N21" s="334"/>
      <c r="O21" s="331"/>
      <c r="P21" s="334"/>
      <c r="Q21" s="334"/>
      <c r="R21" s="331"/>
      <c r="S21" s="334"/>
      <c r="T21" s="334"/>
      <c r="U21" s="331"/>
      <c r="V21" s="334"/>
      <c r="W21" s="334"/>
      <c r="X21" s="331"/>
      <c r="Y21" s="334"/>
      <c r="Z21" s="334"/>
      <c r="AA21" s="331"/>
      <c r="AB21" s="334"/>
      <c r="AC21" s="334"/>
      <c r="AD21" s="331"/>
      <c r="AE21" s="334"/>
      <c r="AF21" s="334"/>
      <c r="AG21" s="331"/>
      <c r="AH21" s="334"/>
      <c r="AI21" s="334"/>
      <c r="AJ21" s="331"/>
      <c r="AK21" s="334"/>
      <c r="AL21" s="334"/>
      <c r="AM21" s="331"/>
      <c r="AN21" s="334"/>
      <c r="AO21" s="334"/>
      <c r="AP21" s="331"/>
      <c r="AQ21" s="334"/>
      <c r="AR21" s="334"/>
      <c r="AS21" s="331"/>
      <c r="AT21" s="334"/>
      <c r="AU21" s="334"/>
      <c r="AV21" s="331"/>
      <c r="AW21" s="334"/>
      <c r="AX21" s="334"/>
      <c r="AY21" s="331"/>
      <c r="AZ21" s="334"/>
      <c r="BA21" s="334"/>
      <c r="BB21" s="331"/>
      <c r="BC21" s="334"/>
      <c r="BD21" s="334"/>
      <c r="BE21" s="331"/>
      <c r="BF21" s="334"/>
      <c r="BG21" s="334"/>
      <c r="BH21" s="331"/>
      <c r="BI21" s="334"/>
      <c r="BJ21" s="334"/>
      <c r="BK21" s="331"/>
      <c r="BL21" s="334"/>
      <c r="BM21" s="334"/>
      <c r="BN21" s="331"/>
      <c r="BO21" s="334"/>
      <c r="BP21" s="334"/>
      <c r="BQ21" s="331"/>
      <c r="BR21" s="332"/>
    </row>
    <row r="22" spans="1:70">
      <c r="A22" s="142" t="s">
        <v>3697</v>
      </c>
      <c r="B22" s="268">
        <v>39400</v>
      </c>
      <c r="C22" s="268">
        <v>0</v>
      </c>
      <c r="D22" s="333"/>
      <c r="E22" s="333"/>
      <c r="F22" s="331"/>
      <c r="G22" s="334"/>
      <c r="H22" s="334"/>
      <c r="I22" s="331"/>
      <c r="J22" s="334"/>
      <c r="K22" s="334"/>
      <c r="L22" s="331"/>
      <c r="M22" s="334"/>
      <c r="N22" s="334"/>
      <c r="O22" s="331"/>
      <c r="P22" s="334"/>
      <c r="Q22" s="334"/>
      <c r="R22" s="331"/>
      <c r="S22" s="334"/>
      <c r="T22" s="334"/>
      <c r="U22" s="331"/>
      <c r="V22" s="334"/>
      <c r="W22" s="334"/>
      <c r="X22" s="331"/>
      <c r="Y22" s="334"/>
      <c r="Z22" s="334"/>
      <c r="AA22" s="331"/>
      <c r="AB22" s="334"/>
      <c r="AC22" s="334"/>
      <c r="AD22" s="331"/>
      <c r="AE22" s="334"/>
      <c r="AF22" s="334"/>
      <c r="AG22" s="331"/>
      <c r="AH22" s="334"/>
      <c r="AI22" s="334"/>
      <c r="AJ22" s="331"/>
      <c r="AK22" s="334"/>
      <c r="AL22" s="334"/>
      <c r="AM22" s="331"/>
      <c r="AN22" s="334"/>
      <c r="AO22" s="334"/>
      <c r="AP22" s="331"/>
      <c r="AQ22" s="334"/>
      <c r="AR22" s="334"/>
      <c r="AS22" s="331"/>
      <c r="AT22" s="334"/>
      <c r="AU22" s="334"/>
      <c r="AV22" s="331"/>
      <c r="AW22" s="334"/>
      <c r="AX22" s="334"/>
      <c r="AY22" s="331"/>
      <c r="AZ22" s="334"/>
      <c r="BA22" s="334"/>
      <c r="BB22" s="331"/>
      <c r="BC22" s="334"/>
      <c r="BD22" s="334"/>
      <c r="BE22" s="331"/>
      <c r="BF22" s="334"/>
      <c r="BG22" s="334"/>
      <c r="BH22" s="331"/>
      <c r="BI22" s="334"/>
      <c r="BJ22" s="334"/>
      <c r="BK22" s="331"/>
      <c r="BL22" s="334"/>
      <c r="BM22" s="334"/>
      <c r="BN22" s="331"/>
      <c r="BO22" s="334"/>
      <c r="BP22" s="334"/>
      <c r="BQ22" s="331"/>
      <c r="BR22" s="332"/>
    </row>
    <row r="23" spans="1:70">
      <c r="A23" s="142" t="s">
        <v>3946</v>
      </c>
      <c r="B23" s="268">
        <v>17700</v>
      </c>
      <c r="C23" s="268">
        <v>0</v>
      </c>
      <c r="D23" s="333"/>
      <c r="E23" s="333"/>
      <c r="F23" s="331"/>
      <c r="G23" s="334"/>
      <c r="H23" s="334"/>
      <c r="I23" s="331"/>
      <c r="J23" s="334"/>
      <c r="K23" s="334"/>
      <c r="L23" s="331"/>
      <c r="M23" s="334"/>
      <c r="N23" s="334"/>
      <c r="O23" s="331"/>
      <c r="P23" s="334"/>
      <c r="Q23" s="334"/>
      <c r="R23" s="331"/>
      <c r="S23" s="334"/>
      <c r="T23" s="334"/>
      <c r="U23" s="331"/>
      <c r="V23" s="334"/>
      <c r="W23" s="334"/>
      <c r="X23" s="331"/>
      <c r="Y23" s="334"/>
      <c r="Z23" s="334"/>
      <c r="AA23" s="331"/>
      <c r="AB23" s="334"/>
      <c r="AC23" s="334"/>
      <c r="AD23" s="331"/>
      <c r="AE23" s="334"/>
      <c r="AF23" s="334"/>
      <c r="AG23" s="331"/>
      <c r="AH23" s="334"/>
      <c r="AI23" s="334"/>
      <c r="AJ23" s="331"/>
      <c r="AK23" s="334"/>
      <c r="AL23" s="334"/>
      <c r="AM23" s="331"/>
      <c r="AN23" s="334"/>
      <c r="AO23" s="334"/>
      <c r="AP23" s="331"/>
      <c r="AQ23" s="334"/>
      <c r="AR23" s="334"/>
      <c r="AS23" s="331"/>
      <c r="AT23" s="334"/>
      <c r="AU23" s="334"/>
      <c r="AV23" s="331"/>
      <c r="AW23" s="334"/>
      <c r="AX23" s="334"/>
      <c r="AY23" s="331"/>
      <c r="AZ23" s="334"/>
      <c r="BA23" s="334"/>
      <c r="BB23" s="331"/>
      <c r="BC23" s="334"/>
      <c r="BD23" s="334"/>
      <c r="BE23" s="331"/>
      <c r="BF23" s="334"/>
      <c r="BG23" s="334"/>
      <c r="BH23" s="331"/>
      <c r="BI23" s="334"/>
      <c r="BJ23" s="334"/>
      <c r="BK23" s="331"/>
      <c r="BL23" s="334"/>
      <c r="BM23" s="334"/>
      <c r="BN23" s="331"/>
      <c r="BO23" s="334"/>
      <c r="BP23" s="334"/>
      <c r="BQ23" s="331"/>
      <c r="BR23" s="332"/>
    </row>
    <row r="24" spans="1:70">
      <c r="A24" s="142" t="s">
        <v>5007</v>
      </c>
      <c r="B24" s="268">
        <v>20800</v>
      </c>
      <c r="C24" s="268">
        <v>0</v>
      </c>
      <c r="D24" s="333"/>
      <c r="E24" s="333"/>
      <c r="F24" s="331"/>
      <c r="G24" s="334"/>
      <c r="H24" s="334"/>
      <c r="I24" s="331"/>
      <c r="J24" s="334"/>
      <c r="K24" s="334"/>
      <c r="L24" s="331"/>
      <c r="M24" s="334"/>
      <c r="N24" s="334"/>
      <c r="O24" s="331"/>
      <c r="P24" s="334"/>
      <c r="Q24" s="334"/>
      <c r="R24" s="331"/>
      <c r="S24" s="334"/>
      <c r="T24" s="334"/>
      <c r="U24" s="331"/>
      <c r="V24" s="334"/>
      <c r="W24" s="334"/>
      <c r="X24" s="331"/>
      <c r="Y24" s="334"/>
      <c r="Z24" s="334"/>
      <c r="AA24" s="331"/>
      <c r="AB24" s="334"/>
      <c r="AC24" s="334"/>
      <c r="AD24" s="331"/>
      <c r="AE24" s="334"/>
      <c r="AF24" s="334"/>
      <c r="AG24" s="331"/>
      <c r="AH24" s="334"/>
      <c r="AI24" s="334"/>
      <c r="AJ24" s="331"/>
      <c r="AK24" s="334"/>
      <c r="AL24" s="334"/>
      <c r="AM24" s="331"/>
      <c r="AN24" s="334"/>
      <c r="AO24" s="334"/>
      <c r="AP24" s="331"/>
      <c r="AQ24" s="334"/>
      <c r="AR24" s="334"/>
      <c r="AS24" s="331"/>
      <c r="AT24" s="334"/>
      <c r="AU24" s="334"/>
      <c r="AV24" s="331"/>
      <c r="AW24" s="334"/>
      <c r="AX24" s="334"/>
      <c r="AY24" s="331"/>
      <c r="AZ24" s="334"/>
      <c r="BA24" s="334"/>
      <c r="BB24" s="331"/>
      <c r="BC24" s="334"/>
      <c r="BD24" s="334"/>
      <c r="BE24" s="331"/>
      <c r="BF24" s="334"/>
      <c r="BG24" s="334"/>
      <c r="BH24" s="331"/>
      <c r="BI24" s="334"/>
      <c r="BJ24" s="334"/>
      <c r="BK24" s="331"/>
      <c r="BL24" s="334"/>
      <c r="BM24" s="334"/>
      <c r="BN24" s="331"/>
      <c r="BO24" s="334"/>
      <c r="BP24" s="334"/>
      <c r="BQ24" s="331"/>
      <c r="BR24" s="332"/>
    </row>
    <row r="25" spans="1:70">
      <c r="A25" s="142" t="s">
        <v>4671</v>
      </c>
      <c r="B25" s="268">
        <v>300700</v>
      </c>
      <c r="C25" s="268">
        <v>0</v>
      </c>
      <c r="D25" s="333"/>
      <c r="E25" s="333"/>
      <c r="F25" s="331"/>
      <c r="G25" s="334"/>
      <c r="H25" s="334"/>
      <c r="I25" s="331"/>
      <c r="J25" s="334"/>
      <c r="K25" s="334"/>
      <c r="L25" s="331"/>
      <c r="M25" s="334"/>
      <c r="N25" s="334"/>
      <c r="O25" s="331"/>
      <c r="P25" s="334"/>
      <c r="Q25" s="334"/>
      <c r="R25" s="331"/>
      <c r="S25" s="334"/>
      <c r="T25" s="334"/>
      <c r="U25" s="331"/>
      <c r="V25" s="334"/>
      <c r="W25" s="334"/>
      <c r="X25" s="331"/>
      <c r="Y25" s="334"/>
      <c r="Z25" s="334"/>
      <c r="AA25" s="331"/>
      <c r="AB25" s="334"/>
      <c r="AC25" s="334"/>
      <c r="AD25" s="331"/>
      <c r="AE25" s="334"/>
      <c r="AF25" s="334"/>
      <c r="AG25" s="331"/>
      <c r="AH25" s="334"/>
      <c r="AI25" s="334"/>
      <c r="AJ25" s="331"/>
      <c r="AK25" s="334"/>
      <c r="AL25" s="334"/>
      <c r="AM25" s="331"/>
      <c r="AN25" s="334"/>
      <c r="AO25" s="334"/>
      <c r="AP25" s="331"/>
      <c r="AQ25" s="334"/>
      <c r="AR25" s="334"/>
      <c r="AS25" s="331"/>
      <c r="AT25" s="334"/>
      <c r="AU25" s="334"/>
      <c r="AV25" s="331"/>
      <c r="AW25" s="334"/>
      <c r="AX25" s="334"/>
      <c r="AY25" s="331"/>
      <c r="AZ25" s="334"/>
      <c r="BA25" s="334"/>
      <c r="BB25" s="331"/>
      <c r="BC25" s="334"/>
      <c r="BD25" s="334"/>
      <c r="BE25" s="331"/>
      <c r="BF25" s="334"/>
      <c r="BG25" s="334"/>
      <c r="BH25" s="331"/>
      <c r="BI25" s="334"/>
      <c r="BJ25" s="334"/>
      <c r="BK25" s="331"/>
      <c r="BL25" s="334"/>
      <c r="BM25" s="334"/>
      <c r="BN25" s="331"/>
      <c r="BO25" s="334"/>
      <c r="BP25" s="334"/>
      <c r="BQ25" s="331"/>
      <c r="BR25" s="332"/>
    </row>
    <row r="26" spans="1:70">
      <c r="A26" s="142" t="s">
        <v>4450</v>
      </c>
      <c r="B26" s="268">
        <v>88800</v>
      </c>
      <c r="C26" s="268">
        <v>0</v>
      </c>
      <c r="D26" s="333"/>
      <c r="E26" s="333"/>
      <c r="F26" s="331"/>
      <c r="G26" s="334"/>
      <c r="H26" s="334"/>
      <c r="I26" s="331"/>
      <c r="J26" s="334"/>
      <c r="K26" s="334"/>
      <c r="L26" s="331"/>
      <c r="M26" s="334"/>
      <c r="N26" s="334"/>
      <c r="O26" s="331"/>
      <c r="P26" s="334"/>
      <c r="Q26" s="334"/>
      <c r="R26" s="331"/>
      <c r="S26" s="334"/>
      <c r="T26" s="334"/>
      <c r="U26" s="331"/>
      <c r="V26" s="334"/>
      <c r="W26" s="334"/>
      <c r="X26" s="331"/>
      <c r="Y26" s="334"/>
      <c r="Z26" s="334"/>
      <c r="AA26" s="331"/>
      <c r="AB26" s="334"/>
      <c r="AC26" s="334"/>
      <c r="AD26" s="331"/>
      <c r="AE26" s="334"/>
      <c r="AF26" s="334"/>
      <c r="AG26" s="331"/>
      <c r="AH26" s="334"/>
      <c r="AI26" s="334"/>
      <c r="AJ26" s="331"/>
      <c r="AK26" s="334"/>
      <c r="AL26" s="334"/>
      <c r="AM26" s="331"/>
      <c r="AN26" s="334"/>
      <c r="AO26" s="334"/>
      <c r="AP26" s="331"/>
      <c r="AQ26" s="334"/>
      <c r="AR26" s="334"/>
      <c r="AS26" s="331"/>
      <c r="AT26" s="334"/>
      <c r="AU26" s="334"/>
      <c r="AV26" s="331"/>
      <c r="AW26" s="334"/>
      <c r="AX26" s="334"/>
      <c r="AY26" s="331"/>
      <c r="AZ26" s="334"/>
      <c r="BA26" s="334"/>
      <c r="BB26" s="331"/>
      <c r="BC26" s="334"/>
      <c r="BD26" s="334"/>
      <c r="BE26" s="331"/>
      <c r="BF26" s="334"/>
      <c r="BG26" s="334"/>
      <c r="BH26" s="331"/>
      <c r="BI26" s="334"/>
      <c r="BJ26" s="334"/>
      <c r="BK26" s="331"/>
      <c r="BL26" s="334"/>
      <c r="BM26" s="334"/>
      <c r="BN26" s="331"/>
      <c r="BO26" s="334"/>
      <c r="BP26" s="334"/>
      <c r="BQ26" s="331"/>
      <c r="BR26" s="332"/>
    </row>
    <row r="27" spans="1:70">
      <c r="A27" s="142" t="s">
        <v>4548</v>
      </c>
      <c r="B27" s="268">
        <v>43300</v>
      </c>
      <c r="C27" s="268">
        <v>0</v>
      </c>
      <c r="D27" s="333"/>
      <c r="E27" s="333"/>
      <c r="F27" s="331"/>
      <c r="G27" s="334"/>
      <c r="H27" s="334"/>
      <c r="I27" s="331"/>
      <c r="J27" s="334"/>
      <c r="K27" s="334"/>
      <c r="L27" s="331"/>
      <c r="M27" s="334"/>
      <c r="N27" s="334"/>
      <c r="O27" s="331"/>
      <c r="P27" s="334"/>
      <c r="Q27" s="334"/>
      <c r="R27" s="331"/>
      <c r="S27" s="334"/>
      <c r="T27" s="334"/>
      <c r="U27" s="331"/>
      <c r="V27" s="334"/>
      <c r="W27" s="334"/>
      <c r="X27" s="331"/>
      <c r="Y27" s="334"/>
      <c r="Z27" s="334"/>
      <c r="AA27" s="331"/>
      <c r="AB27" s="334"/>
      <c r="AC27" s="334"/>
      <c r="AD27" s="331"/>
      <c r="AE27" s="334"/>
      <c r="AF27" s="334"/>
      <c r="AG27" s="331"/>
      <c r="AH27" s="334"/>
      <c r="AI27" s="334"/>
      <c r="AJ27" s="331"/>
      <c r="AK27" s="334"/>
      <c r="AL27" s="334"/>
      <c r="AM27" s="331"/>
      <c r="AN27" s="334"/>
      <c r="AO27" s="334"/>
      <c r="AP27" s="331"/>
      <c r="AQ27" s="334"/>
      <c r="AR27" s="334"/>
      <c r="AS27" s="331"/>
      <c r="AT27" s="334"/>
      <c r="AU27" s="334"/>
      <c r="AV27" s="331"/>
      <c r="AW27" s="334"/>
      <c r="AX27" s="334"/>
      <c r="AY27" s="331"/>
      <c r="AZ27" s="334"/>
      <c r="BA27" s="334"/>
      <c r="BB27" s="331"/>
      <c r="BC27" s="334"/>
      <c r="BD27" s="334"/>
      <c r="BE27" s="331"/>
      <c r="BF27" s="334"/>
      <c r="BG27" s="334"/>
      <c r="BH27" s="331"/>
      <c r="BI27" s="334"/>
      <c r="BJ27" s="334"/>
      <c r="BK27" s="331"/>
      <c r="BL27" s="334"/>
      <c r="BM27" s="334"/>
      <c r="BN27" s="331"/>
      <c r="BO27" s="334"/>
      <c r="BP27" s="334"/>
      <c r="BQ27" s="331"/>
      <c r="BR27" s="332"/>
    </row>
    <row r="28" spans="1:70">
      <c r="A28" s="142" t="s">
        <v>4558</v>
      </c>
      <c r="B28" s="268">
        <v>15100</v>
      </c>
      <c r="C28" s="268">
        <v>0</v>
      </c>
      <c r="D28" s="333"/>
      <c r="E28" s="333"/>
      <c r="F28" s="331"/>
      <c r="G28" s="334"/>
      <c r="H28" s="334"/>
      <c r="I28" s="331"/>
      <c r="J28" s="334"/>
      <c r="K28" s="334"/>
      <c r="L28" s="331"/>
      <c r="M28" s="334"/>
      <c r="N28" s="334"/>
      <c r="O28" s="331"/>
      <c r="P28" s="334"/>
      <c r="Q28" s="334"/>
      <c r="R28" s="331"/>
      <c r="S28" s="334"/>
      <c r="T28" s="334"/>
      <c r="U28" s="331"/>
      <c r="V28" s="334"/>
      <c r="W28" s="334"/>
      <c r="X28" s="331"/>
      <c r="Y28" s="334"/>
      <c r="Z28" s="334"/>
      <c r="AA28" s="331"/>
      <c r="AB28" s="334"/>
      <c r="AC28" s="334"/>
      <c r="AD28" s="331"/>
      <c r="AE28" s="334"/>
      <c r="AF28" s="334"/>
      <c r="AG28" s="331"/>
      <c r="AH28" s="334"/>
      <c r="AI28" s="334"/>
      <c r="AJ28" s="331"/>
      <c r="AK28" s="334"/>
      <c r="AL28" s="334"/>
      <c r="AM28" s="331"/>
      <c r="AN28" s="334"/>
      <c r="AO28" s="334"/>
      <c r="AP28" s="331"/>
      <c r="AQ28" s="334"/>
      <c r="AR28" s="334"/>
      <c r="AS28" s="331"/>
      <c r="AT28" s="334"/>
      <c r="AU28" s="334"/>
      <c r="AV28" s="331"/>
      <c r="AW28" s="334"/>
      <c r="AX28" s="334"/>
      <c r="AY28" s="331"/>
      <c r="AZ28" s="334"/>
      <c r="BA28" s="334"/>
      <c r="BB28" s="331"/>
      <c r="BC28" s="334"/>
      <c r="BD28" s="334"/>
      <c r="BE28" s="331"/>
      <c r="BF28" s="334"/>
      <c r="BG28" s="334"/>
      <c r="BH28" s="331"/>
      <c r="BI28" s="334"/>
      <c r="BJ28" s="334"/>
      <c r="BK28" s="331"/>
      <c r="BL28" s="334"/>
      <c r="BM28" s="334"/>
      <c r="BN28" s="331"/>
      <c r="BO28" s="334"/>
      <c r="BP28" s="334"/>
      <c r="BQ28" s="331"/>
      <c r="BR28" s="332"/>
    </row>
    <row r="29" spans="1:70">
      <c r="A29" s="142" t="s">
        <v>4483</v>
      </c>
      <c r="B29" s="268">
        <v>26100</v>
      </c>
      <c r="C29" s="268">
        <v>0</v>
      </c>
      <c r="D29" s="333"/>
      <c r="E29" s="333"/>
      <c r="F29" s="331"/>
      <c r="G29" s="334"/>
      <c r="H29" s="334"/>
      <c r="I29" s="331"/>
      <c r="J29" s="334"/>
      <c r="K29" s="334"/>
      <c r="L29" s="331"/>
      <c r="M29" s="334"/>
      <c r="N29" s="334"/>
      <c r="O29" s="331"/>
      <c r="P29" s="334"/>
      <c r="Q29" s="334"/>
      <c r="R29" s="331"/>
      <c r="S29" s="334"/>
      <c r="T29" s="334"/>
      <c r="U29" s="331"/>
      <c r="V29" s="334"/>
      <c r="W29" s="334"/>
      <c r="X29" s="331"/>
      <c r="Y29" s="334"/>
      <c r="Z29" s="334"/>
      <c r="AA29" s="331"/>
      <c r="AB29" s="334"/>
      <c r="AC29" s="334"/>
      <c r="AD29" s="331"/>
      <c r="AE29" s="334"/>
      <c r="AF29" s="334"/>
      <c r="AG29" s="331"/>
      <c r="AH29" s="334"/>
      <c r="AI29" s="334"/>
      <c r="AJ29" s="331"/>
      <c r="AK29" s="334"/>
      <c r="AL29" s="334"/>
      <c r="AM29" s="331"/>
      <c r="AN29" s="334"/>
      <c r="AO29" s="334"/>
      <c r="AP29" s="331"/>
      <c r="AQ29" s="334"/>
      <c r="AR29" s="334"/>
      <c r="AS29" s="331"/>
      <c r="AT29" s="334"/>
      <c r="AU29" s="334"/>
      <c r="AV29" s="331"/>
      <c r="AW29" s="334"/>
      <c r="AX29" s="334"/>
      <c r="AY29" s="331"/>
      <c r="AZ29" s="334"/>
      <c r="BA29" s="334"/>
      <c r="BB29" s="331"/>
      <c r="BC29" s="334"/>
      <c r="BD29" s="334"/>
      <c r="BE29" s="331"/>
      <c r="BF29" s="334"/>
      <c r="BG29" s="334"/>
      <c r="BH29" s="331"/>
      <c r="BI29" s="334"/>
      <c r="BJ29" s="334"/>
      <c r="BK29" s="331"/>
      <c r="BL29" s="334"/>
      <c r="BM29" s="334"/>
      <c r="BN29" s="331"/>
      <c r="BO29" s="334"/>
      <c r="BP29" s="334"/>
      <c r="BQ29" s="331"/>
      <c r="BR29" s="332"/>
    </row>
    <row r="30" spans="1:70">
      <c r="A30" s="142" t="s">
        <v>4553</v>
      </c>
      <c r="B30" s="268">
        <v>17500</v>
      </c>
      <c r="C30" s="268">
        <v>0</v>
      </c>
      <c r="D30" s="333"/>
      <c r="E30" s="333"/>
      <c r="F30" s="331"/>
      <c r="G30" s="334"/>
      <c r="H30" s="334"/>
      <c r="I30" s="331"/>
      <c r="J30" s="334"/>
      <c r="K30" s="334"/>
      <c r="L30" s="331"/>
      <c r="M30" s="334"/>
      <c r="N30" s="334"/>
      <c r="O30" s="331"/>
      <c r="P30" s="334"/>
      <c r="Q30" s="334"/>
      <c r="R30" s="331"/>
      <c r="S30" s="334"/>
      <c r="T30" s="334"/>
      <c r="U30" s="331"/>
      <c r="V30" s="334"/>
      <c r="W30" s="334"/>
      <c r="X30" s="331"/>
      <c r="Y30" s="334"/>
      <c r="Z30" s="334"/>
      <c r="AA30" s="331"/>
      <c r="AB30" s="334"/>
      <c r="AC30" s="334"/>
      <c r="AD30" s="331"/>
      <c r="AE30" s="334"/>
      <c r="AF30" s="334"/>
      <c r="AG30" s="331"/>
      <c r="AH30" s="334"/>
      <c r="AI30" s="334"/>
      <c r="AJ30" s="331"/>
      <c r="AK30" s="334"/>
      <c r="AL30" s="334"/>
      <c r="AM30" s="331"/>
      <c r="AN30" s="334"/>
      <c r="AO30" s="334"/>
      <c r="AP30" s="331"/>
      <c r="AQ30" s="334"/>
      <c r="AR30" s="334"/>
      <c r="AS30" s="331"/>
      <c r="AT30" s="334"/>
      <c r="AU30" s="334"/>
      <c r="AV30" s="331"/>
      <c r="AW30" s="334"/>
      <c r="AX30" s="334"/>
      <c r="AY30" s="331"/>
      <c r="AZ30" s="334"/>
      <c r="BA30" s="334"/>
      <c r="BB30" s="331"/>
      <c r="BC30" s="334"/>
      <c r="BD30" s="334"/>
      <c r="BE30" s="331"/>
      <c r="BF30" s="334"/>
      <c r="BG30" s="334"/>
      <c r="BH30" s="331"/>
      <c r="BI30" s="334"/>
      <c r="BJ30" s="334"/>
      <c r="BK30" s="331"/>
      <c r="BL30" s="334"/>
      <c r="BM30" s="334"/>
      <c r="BN30" s="331"/>
      <c r="BO30" s="334"/>
      <c r="BP30" s="334"/>
      <c r="BQ30" s="331"/>
      <c r="BR30" s="332"/>
    </row>
    <row r="31" spans="1:70">
      <c r="A31" s="142" t="s">
        <v>4564</v>
      </c>
      <c r="B31" s="268">
        <v>65800</v>
      </c>
      <c r="C31" s="268">
        <v>0</v>
      </c>
      <c r="D31" s="333"/>
      <c r="E31" s="333"/>
      <c r="F31" s="331"/>
      <c r="G31" s="334"/>
      <c r="H31" s="334"/>
      <c r="I31" s="331"/>
      <c r="J31" s="334"/>
      <c r="K31" s="334"/>
      <c r="L31" s="331"/>
      <c r="M31" s="334"/>
      <c r="N31" s="334"/>
      <c r="O31" s="331"/>
      <c r="P31" s="334"/>
      <c r="Q31" s="334"/>
      <c r="R31" s="331"/>
      <c r="S31" s="334"/>
      <c r="T31" s="334"/>
      <c r="U31" s="331"/>
      <c r="V31" s="334"/>
      <c r="W31" s="334"/>
      <c r="X31" s="331"/>
      <c r="Y31" s="334"/>
      <c r="Z31" s="334"/>
      <c r="AA31" s="331"/>
      <c r="AB31" s="334"/>
      <c r="AC31" s="334"/>
      <c r="AD31" s="331"/>
      <c r="AE31" s="334"/>
      <c r="AF31" s="334"/>
      <c r="AG31" s="331"/>
      <c r="AH31" s="334"/>
      <c r="AI31" s="334"/>
      <c r="AJ31" s="331"/>
      <c r="AK31" s="334"/>
      <c r="AL31" s="334"/>
      <c r="AM31" s="331"/>
      <c r="AN31" s="334"/>
      <c r="AO31" s="334"/>
      <c r="AP31" s="331"/>
      <c r="AQ31" s="334"/>
      <c r="AR31" s="334"/>
      <c r="AS31" s="331"/>
      <c r="AT31" s="334"/>
      <c r="AU31" s="334"/>
      <c r="AV31" s="331"/>
      <c r="AW31" s="334"/>
      <c r="AX31" s="334"/>
      <c r="AY31" s="331"/>
      <c r="AZ31" s="334"/>
      <c r="BA31" s="334"/>
      <c r="BB31" s="331"/>
      <c r="BC31" s="334"/>
      <c r="BD31" s="334"/>
      <c r="BE31" s="331"/>
      <c r="BF31" s="334"/>
      <c r="BG31" s="334"/>
      <c r="BH31" s="331"/>
      <c r="BI31" s="334"/>
      <c r="BJ31" s="334"/>
      <c r="BK31" s="331"/>
      <c r="BL31" s="334"/>
      <c r="BM31" s="334"/>
      <c r="BN31" s="331"/>
      <c r="BO31" s="334"/>
      <c r="BP31" s="334"/>
      <c r="BQ31" s="331"/>
      <c r="BR31" s="332"/>
    </row>
    <row r="32" spans="1:70">
      <c r="A32" s="142" t="s">
        <v>4964</v>
      </c>
      <c r="B32" s="268">
        <v>25400</v>
      </c>
      <c r="C32" s="268">
        <v>0</v>
      </c>
      <c r="D32" s="333"/>
      <c r="E32" s="333"/>
      <c r="F32" s="331"/>
      <c r="G32" s="334"/>
      <c r="H32" s="334"/>
      <c r="I32" s="331"/>
      <c r="J32" s="334"/>
      <c r="K32" s="334"/>
      <c r="L32" s="331"/>
      <c r="M32" s="334"/>
      <c r="N32" s="334"/>
      <c r="O32" s="331"/>
      <c r="P32" s="334"/>
      <c r="Q32" s="334"/>
      <c r="R32" s="331"/>
      <c r="S32" s="334"/>
      <c r="T32" s="334"/>
      <c r="U32" s="331"/>
      <c r="V32" s="334"/>
      <c r="W32" s="334"/>
      <c r="X32" s="331"/>
      <c r="Y32" s="334"/>
      <c r="Z32" s="334"/>
      <c r="AA32" s="331"/>
      <c r="AB32" s="334"/>
      <c r="AC32" s="334"/>
      <c r="AD32" s="331"/>
      <c r="AE32" s="334"/>
      <c r="AF32" s="334"/>
      <c r="AG32" s="331"/>
      <c r="AH32" s="334"/>
      <c r="AI32" s="334"/>
      <c r="AJ32" s="331"/>
      <c r="AK32" s="334"/>
      <c r="AL32" s="334"/>
      <c r="AM32" s="331"/>
      <c r="AN32" s="334"/>
      <c r="AO32" s="334"/>
      <c r="AP32" s="331"/>
      <c r="AQ32" s="334"/>
      <c r="AR32" s="334"/>
      <c r="AS32" s="331"/>
      <c r="AT32" s="334"/>
      <c r="AU32" s="334"/>
      <c r="AV32" s="331"/>
      <c r="AW32" s="334"/>
      <c r="AX32" s="334"/>
      <c r="AY32" s="331"/>
      <c r="AZ32" s="334"/>
      <c r="BA32" s="334"/>
      <c r="BB32" s="331"/>
      <c r="BC32" s="334"/>
      <c r="BD32" s="334"/>
      <c r="BE32" s="331"/>
      <c r="BF32" s="334"/>
      <c r="BG32" s="334"/>
      <c r="BH32" s="331"/>
      <c r="BI32" s="334"/>
      <c r="BJ32" s="334"/>
      <c r="BK32" s="331"/>
      <c r="BL32" s="334"/>
      <c r="BM32" s="334"/>
      <c r="BN32" s="331"/>
      <c r="BO32" s="334"/>
      <c r="BP32" s="334"/>
      <c r="BQ32" s="331"/>
      <c r="BR32" s="332"/>
    </row>
    <row r="33" spans="1:70">
      <c r="A33" s="142" t="s">
        <v>3104</v>
      </c>
      <c r="B33" s="268">
        <v>105200</v>
      </c>
      <c r="C33" s="268">
        <v>0</v>
      </c>
      <c r="D33" s="333"/>
      <c r="E33" s="333"/>
      <c r="F33" s="331"/>
      <c r="G33" s="334"/>
      <c r="H33" s="334"/>
      <c r="I33" s="331"/>
      <c r="J33" s="334"/>
      <c r="K33" s="334"/>
      <c r="L33" s="331"/>
      <c r="M33" s="334"/>
      <c r="N33" s="334"/>
      <c r="O33" s="331"/>
      <c r="P33" s="334"/>
      <c r="Q33" s="334"/>
      <c r="R33" s="331"/>
      <c r="S33" s="334"/>
      <c r="T33" s="334"/>
      <c r="U33" s="331"/>
      <c r="V33" s="334"/>
      <c r="W33" s="334"/>
      <c r="X33" s="331"/>
      <c r="Y33" s="334"/>
      <c r="Z33" s="334"/>
      <c r="AA33" s="331"/>
      <c r="AB33" s="334"/>
      <c r="AC33" s="334"/>
      <c r="AD33" s="331"/>
      <c r="AE33" s="334"/>
      <c r="AF33" s="334"/>
      <c r="AG33" s="331"/>
      <c r="AH33" s="334"/>
      <c r="AI33" s="334"/>
      <c r="AJ33" s="331"/>
      <c r="AK33" s="334"/>
      <c r="AL33" s="334"/>
      <c r="AM33" s="331"/>
      <c r="AN33" s="334"/>
      <c r="AO33" s="334"/>
      <c r="AP33" s="331"/>
      <c r="AQ33" s="334"/>
      <c r="AR33" s="334"/>
      <c r="AS33" s="331"/>
      <c r="AT33" s="334"/>
      <c r="AU33" s="334"/>
      <c r="AV33" s="331"/>
      <c r="AW33" s="334"/>
      <c r="AX33" s="334"/>
      <c r="AY33" s="331"/>
      <c r="AZ33" s="334"/>
      <c r="BA33" s="334"/>
      <c r="BB33" s="331"/>
      <c r="BC33" s="334"/>
      <c r="BD33" s="334"/>
      <c r="BE33" s="331"/>
      <c r="BF33" s="334"/>
      <c r="BG33" s="334"/>
      <c r="BH33" s="331"/>
      <c r="BI33" s="334"/>
      <c r="BJ33" s="334"/>
      <c r="BK33" s="331"/>
      <c r="BL33" s="334"/>
      <c r="BM33" s="334"/>
      <c r="BN33" s="331"/>
      <c r="BO33" s="334"/>
      <c r="BP33" s="334"/>
      <c r="BQ33" s="331"/>
      <c r="BR33" s="332"/>
    </row>
    <row r="34" spans="1:70">
      <c r="A34" s="142" t="s">
        <v>4455</v>
      </c>
      <c r="B34" s="268">
        <v>6200</v>
      </c>
      <c r="C34" s="268">
        <v>0</v>
      </c>
      <c r="D34" s="333"/>
      <c r="E34" s="333"/>
      <c r="F34" s="331"/>
      <c r="G34" s="334"/>
      <c r="H34" s="334"/>
      <c r="I34" s="331"/>
      <c r="J34" s="334"/>
      <c r="K34" s="334"/>
      <c r="L34" s="331"/>
      <c r="M34" s="334"/>
      <c r="N34" s="334"/>
      <c r="O34" s="331"/>
      <c r="P34" s="334"/>
      <c r="Q34" s="334"/>
      <c r="R34" s="331"/>
      <c r="S34" s="334"/>
      <c r="T34" s="334"/>
      <c r="U34" s="331"/>
      <c r="V34" s="334"/>
      <c r="W34" s="334"/>
      <c r="X34" s="331"/>
      <c r="Y34" s="334"/>
      <c r="Z34" s="334"/>
      <c r="AA34" s="331"/>
      <c r="AB34" s="334"/>
      <c r="AC34" s="334"/>
      <c r="AD34" s="331"/>
      <c r="AE34" s="334"/>
      <c r="AF34" s="334"/>
      <c r="AG34" s="331"/>
      <c r="AH34" s="334"/>
      <c r="AI34" s="334"/>
      <c r="AJ34" s="331"/>
      <c r="AK34" s="334"/>
      <c r="AL34" s="334"/>
      <c r="AM34" s="331"/>
      <c r="AN34" s="334"/>
      <c r="AO34" s="334"/>
      <c r="AP34" s="331"/>
      <c r="AQ34" s="334"/>
      <c r="AR34" s="334"/>
      <c r="AS34" s="331"/>
      <c r="AT34" s="334"/>
      <c r="AU34" s="334"/>
      <c r="AV34" s="331"/>
      <c r="AW34" s="334"/>
      <c r="AX34" s="334"/>
      <c r="AY34" s="331"/>
      <c r="AZ34" s="334"/>
      <c r="BA34" s="334"/>
      <c r="BB34" s="331"/>
      <c r="BC34" s="334"/>
      <c r="BD34" s="334"/>
      <c r="BE34" s="331"/>
      <c r="BF34" s="334"/>
      <c r="BG34" s="334"/>
      <c r="BH34" s="331"/>
      <c r="BI34" s="334"/>
      <c r="BJ34" s="334"/>
      <c r="BK34" s="331"/>
      <c r="BL34" s="334"/>
      <c r="BM34" s="334"/>
      <c r="BN34" s="331"/>
      <c r="BO34" s="334"/>
      <c r="BP34" s="334"/>
      <c r="BQ34" s="331"/>
      <c r="BR34" s="332"/>
    </row>
    <row r="35" spans="1:70">
      <c r="A35" s="142" t="s">
        <v>3374</v>
      </c>
      <c r="B35" s="268">
        <v>10800</v>
      </c>
      <c r="C35" s="268">
        <v>0</v>
      </c>
      <c r="D35" s="333"/>
      <c r="E35" s="333"/>
      <c r="F35" s="331"/>
      <c r="G35" s="334"/>
      <c r="H35" s="334"/>
      <c r="I35" s="331"/>
      <c r="J35" s="334"/>
      <c r="K35" s="334"/>
      <c r="L35" s="331"/>
      <c r="M35" s="334"/>
      <c r="N35" s="334"/>
      <c r="O35" s="331"/>
      <c r="P35" s="334"/>
      <c r="Q35" s="334"/>
      <c r="R35" s="331"/>
      <c r="S35" s="334"/>
      <c r="T35" s="334"/>
      <c r="U35" s="331"/>
      <c r="V35" s="334"/>
      <c r="W35" s="334"/>
      <c r="X35" s="331"/>
      <c r="Y35" s="334"/>
      <c r="Z35" s="334"/>
      <c r="AA35" s="331"/>
      <c r="AB35" s="334"/>
      <c r="AC35" s="334"/>
      <c r="AD35" s="331"/>
      <c r="AE35" s="334"/>
      <c r="AF35" s="334"/>
      <c r="AG35" s="331"/>
      <c r="AH35" s="334"/>
      <c r="AI35" s="334"/>
      <c r="AJ35" s="331"/>
      <c r="AK35" s="334"/>
      <c r="AL35" s="334"/>
      <c r="AM35" s="331"/>
      <c r="AN35" s="334"/>
      <c r="AO35" s="334"/>
      <c r="AP35" s="331"/>
      <c r="AQ35" s="334"/>
      <c r="AR35" s="334"/>
      <c r="AS35" s="331"/>
      <c r="AT35" s="334"/>
      <c r="AU35" s="334"/>
      <c r="AV35" s="331"/>
      <c r="AW35" s="334"/>
      <c r="AX35" s="334"/>
      <c r="AY35" s="331"/>
      <c r="AZ35" s="334"/>
      <c r="BA35" s="334"/>
      <c r="BB35" s="331"/>
      <c r="BC35" s="334"/>
      <c r="BD35" s="334"/>
      <c r="BE35" s="331"/>
      <c r="BF35" s="334"/>
      <c r="BG35" s="334"/>
      <c r="BH35" s="331"/>
      <c r="BI35" s="334"/>
      <c r="BJ35" s="334"/>
      <c r="BK35" s="331"/>
      <c r="BL35" s="334"/>
      <c r="BM35" s="334"/>
      <c r="BN35" s="331"/>
      <c r="BO35" s="334"/>
      <c r="BP35" s="334"/>
      <c r="BQ35" s="331"/>
      <c r="BR35" s="332"/>
    </row>
    <row r="36" spans="1:70">
      <c r="A36" s="142" t="s">
        <v>4915</v>
      </c>
      <c r="B36" s="268">
        <v>13500</v>
      </c>
      <c r="C36" s="268">
        <v>0</v>
      </c>
      <c r="D36" s="333"/>
      <c r="E36" s="333"/>
      <c r="F36" s="331"/>
      <c r="G36" s="334"/>
      <c r="H36" s="334"/>
      <c r="I36" s="331"/>
      <c r="J36" s="334"/>
      <c r="K36" s="334"/>
      <c r="L36" s="331"/>
      <c r="M36" s="334"/>
      <c r="N36" s="334"/>
      <c r="O36" s="331"/>
      <c r="P36" s="334"/>
      <c r="Q36" s="334"/>
      <c r="R36" s="331"/>
      <c r="S36" s="334"/>
      <c r="T36" s="334"/>
      <c r="U36" s="331"/>
      <c r="V36" s="334"/>
      <c r="W36" s="334"/>
      <c r="X36" s="331"/>
      <c r="Y36" s="334"/>
      <c r="Z36" s="334"/>
      <c r="AA36" s="331"/>
      <c r="AB36" s="334"/>
      <c r="AC36" s="334"/>
      <c r="AD36" s="331"/>
      <c r="AE36" s="334"/>
      <c r="AF36" s="334"/>
      <c r="AG36" s="331"/>
      <c r="AH36" s="334"/>
      <c r="AI36" s="334"/>
      <c r="AJ36" s="331"/>
      <c r="AK36" s="334"/>
      <c r="AL36" s="334"/>
      <c r="AM36" s="331"/>
      <c r="AN36" s="334"/>
      <c r="AO36" s="334"/>
      <c r="AP36" s="331"/>
      <c r="AQ36" s="334"/>
      <c r="AR36" s="334"/>
      <c r="AS36" s="331"/>
      <c r="AT36" s="334"/>
      <c r="AU36" s="334"/>
      <c r="AV36" s="331"/>
      <c r="AW36" s="334"/>
      <c r="AX36" s="334"/>
      <c r="AY36" s="331"/>
      <c r="AZ36" s="334"/>
      <c r="BA36" s="334"/>
      <c r="BB36" s="331"/>
      <c r="BC36" s="334"/>
      <c r="BD36" s="334"/>
      <c r="BE36" s="331"/>
      <c r="BF36" s="334"/>
      <c r="BG36" s="334"/>
      <c r="BH36" s="331"/>
      <c r="BI36" s="334"/>
      <c r="BJ36" s="334"/>
      <c r="BK36" s="331"/>
      <c r="BL36" s="334"/>
      <c r="BM36" s="334"/>
      <c r="BN36" s="331"/>
      <c r="BO36" s="334"/>
      <c r="BP36" s="334"/>
      <c r="BQ36" s="331"/>
      <c r="BR36" s="332"/>
    </row>
    <row r="37" spans="1:70">
      <c r="A37" s="142" t="s">
        <v>3141</v>
      </c>
      <c r="B37" s="268">
        <v>17200</v>
      </c>
      <c r="C37" s="268">
        <v>0</v>
      </c>
      <c r="D37" s="333"/>
      <c r="E37" s="333"/>
      <c r="F37" s="331"/>
      <c r="G37" s="334"/>
      <c r="H37" s="334"/>
      <c r="I37" s="331"/>
      <c r="J37" s="334"/>
      <c r="K37" s="334"/>
      <c r="L37" s="331"/>
      <c r="M37" s="334"/>
      <c r="N37" s="334"/>
      <c r="O37" s="331"/>
      <c r="P37" s="334"/>
      <c r="Q37" s="334"/>
      <c r="R37" s="331"/>
      <c r="S37" s="334"/>
      <c r="T37" s="334"/>
      <c r="U37" s="331"/>
      <c r="V37" s="334"/>
      <c r="W37" s="334"/>
      <c r="X37" s="331"/>
      <c r="Y37" s="334"/>
      <c r="Z37" s="334"/>
      <c r="AA37" s="331"/>
      <c r="AB37" s="334"/>
      <c r="AC37" s="334"/>
      <c r="AD37" s="331"/>
      <c r="AE37" s="334"/>
      <c r="AF37" s="334"/>
      <c r="AG37" s="331"/>
      <c r="AH37" s="334"/>
      <c r="AI37" s="334"/>
      <c r="AJ37" s="331"/>
      <c r="AK37" s="334"/>
      <c r="AL37" s="334"/>
      <c r="AM37" s="331"/>
      <c r="AN37" s="334"/>
      <c r="AO37" s="334"/>
      <c r="AP37" s="331"/>
      <c r="AQ37" s="334"/>
      <c r="AR37" s="334"/>
      <c r="AS37" s="331"/>
      <c r="AT37" s="334"/>
      <c r="AU37" s="334"/>
      <c r="AV37" s="331"/>
      <c r="AW37" s="334"/>
      <c r="AX37" s="334"/>
      <c r="AY37" s="331"/>
      <c r="AZ37" s="334"/>
      <c r="BA37" s="334"/>
      <c r="BB37" s="331"/>
      <c r="BC37" s="334"/>
      <c r="BD37" s="334"/>
      <c r="BE37" s="331"/>
      <c r="BF37" s="334"/>
      <c r="BG37" s="334"/>
      <c r="BH37" s="331"/>
      <c r="BI37" s="334"/>
      <c r="BJ37" s="334"/>
      <c r="BK37" s="331"/>
      <c r="BL37" s="334"/>
      <c r="BM37" s="334"/>
      <c r="BN37" s="331"/>
      <c r="BO37" s="334"/>
      <c r="BP37" s="334"/>
      <c r="BQ37" s="331"/>
      <c r="BR37" s="332"/>
    </row>
    <row r="38" spans="1:70">
      <c r="A38" s="142" t="s">
        <v>3197</v>
      </c>
      <c r="B38" s="268">
        <v>17200</v>
      </c>
      <c r="C38" s="268">
        <v>0</v>
      </c>
      <c r="D38" s="333"/>
      <c r="E38" s="333"/>
      <c r="F38" s="331"/>
      <c r="G38" s="334"/>
      <c r="H38" s="334"/>
      <c r="I38" s="331"/>
      <c r="J38" s="334"/>
      <c r="K38" s="334"/>
      <c r="L38" s="331"/>
      <c r="M38" s="334"/>
      <c r="N38" s="334"/>
      <c r="O38" s="331"/>
      <c r="P38" s="334"/>
      <c r="Q38" s="334"/>
      <c r="R38" s="331"/>
      <c r="S38" s="334"/>
      <c r="T38" s="334"/>
      <c r="U38" s="331"/>
      <c r="V38" s="334"/>
      <c r="W38" s="334"/>
      <c r="X38" s="331"/>
      <c r="Y38" s="334"/>
      <c r="Z38" s="334"/>
      <c r="AA38" s="331"/>
      <c r="AB38" s="334"/>
      <c r="AC38" s="334"/>
      <c r="AD38" s="331"/>
      <c r="AE38" s="334"/>
      <c r="AF38" s="334"/>
      <c r="AG38" s="331"/>
      <c r="AH38" s="334"/>
      <c r="AI38" s="334"/>
      <c r="AJ38" s="331"/>
      <c r="AK38" s="334"/>
      <c r="AL38" s="334"/>
      <c r="AM38" s="331"/>
      <c r="AN38" s="334"/>
      <c r="AO38" s="334"/>
      <c r="AP38" s="331"/>
      <c r="AQ38" s="334"/>
      <c r="AR38" s="334"/>
      <c r="AS38" s="331"/>
      <c r="AT38" s="334"/>
      <c r="AU38" s="334"/>
      <c r="AV38" s="331"/>
      <c r="AW38" s="334"/>
      <c r="AX38" s="334"/>
      <c r="AY38" s="331"/>
      <c r="AZ38" s="334"/>
      <c r="BA38" s="334"/>
      <c r="BB38" s="331"/>
      <c r="BC38" s="334"/>
      <c r="BD38" s="334"/>
      <c r="BE38" s="331"/>
      <c r="BF38" s="334"/>
      <c r="BG38" s="334"/>
      <c r="BH38" s="331"/>
      <c r="BI38" s="334"/>
      <c r="BJ38" s="334"/>
      <c r="BK38" s="331"/>
      <c r="BL38" s="334"/>
      <c r="BM38" s="334"/>
      <c r="BN38" s="331"/>
      <c r="BO38" s="334"/>
      <c r="BP38" s="334"/>
      <c r="BQ38" s="331"/>
      <c r="BR38" s="332"/>
    </row>
    <row r="39" spans="1:70">
      <c r="A39" s="142" t="s">
        <v>2704</v>
      </c>
      <c r="B39" s="268">
        <v>1700</v>
      </c>
      <c r="C39" s="268">
        <v>0</v>
      </c>
      <c r="D39" s="333"/>
      <c r="E39" s="333"/>
      <c r="F39" s="331"/>
      <c r="G39" s="334"/>
      <c r="H39" s="334"/>
      <c r="I39" s="331"/>
      <c r="J39" s="334"/>
      <c r="K39" s="334"/>
      <c r="L39" s="331"/>
      <c r="M39" s="334"/>
      <c r="N39" s="334"/>
      <c r="O39" s="331"/>
      <c r="P39" s="334"/>
      <c r="Q39" s="334"/>
      <c r="R39" s="331"/>
      <c r="S39" s="334"/>
      <c r="T39" s="334"/>
      <c r="U39" s="331"/>
      <c r="V39" s="334"/>
      <c r="W39" s="334"/>
      <c r="X39" s="331"/>
      <c r="Y39" s="334"/>
      <c r="Z39" s="334"/>
      <c r="AA39" s="331"/>
      <c r="AB39" s="334"/>
      <c r="AC39" s="334"/>
      <c r="AD39" s="331"/>
      <c r="AE39" s="334"/>
      <c r="AF39" s="334"/>
      <c r="AG39" s="331"/>
      <c r="AH39" s="334"/>
      <c r="AI39" s="334"/>
      <c r="AJ39" s="331"/>
      <c r="AK39" s="334"/>
      <c r="AL39" s="334"/>
      <c r="AM39" s="331"/>
      <c r="AN39" s="334"/>
      <c r="AO39" s="334"/>
      <c r="AP39" s="331"/>
      <c r="AQ39" s="334"/>
      <c r="AR39" s="334"/>
      <c r="AS39" s="331"/>
      <c r="AT39" s="334"/>
      <c r="AU39" s="334"/>
      <c r="AV39" s="331"/>
      <c r="AW39" s="334"/>
      <c r="AX39" s="334"/>
      <c r="AY39" s="331"/>
      <c r="AZ39" s="334"/>
      <c r="BA39" s="334"/>
      <c r="BB39" s="331"/>
      <c r="BC39" s="334"/>
      <c r="BD39" s="334"/>
      <c r="BE39" s="331"/>
      <c r="BF39" s="334"/>
      <c r="BG39" s="334"/>
      <c r="BH39" s="331"/>
      <c r="BI39" s="334"/>
      <c r="BJ39" s="334"/>
      <c r="BK39" s="331"/>
      <c r="BL39" s="334"/>
      <c r="BM39" s="334"/>
      <c r="BN39" s="331"/>
      <c r="BO39" s="334"/>
      <c r="BP39" s="334"/>
      <c r="BQ39" s="331"/>
      <c r="BR39" s="332"/>
    </row>
    <row r="40" spans="1:70">
      <c r="A40" s="142" t="s">
        <v>2707</v>
      </c>
      <c r="B40" s="268">
        <v>3400</v>
      </c>
      <c r="C40" s="268">
        <v>0</v>
      </c>
      <c r="D40" s="333"/>
      <c r="E40" s="333"/>
      <c r="F40" s="331"/>
      <c r="G40" s="334"/>
      <c r="H40" s="334"/>
      <c r="I40" s="331"/>
      <c r="J40" s="334"/>
      <c r="K40" s="334"/>
      <c r="L40" s="331"/>
      <c r="M40" s="334"/>
      <c r="N40" s="334"/>
      <c r="O40" s="331"/>
      <c r="P40" s="334"/>
      <c r="Q40" s="334"/>
      <c r="R40" s="331"/>
      <c r="S40" s="334"/>
      <c r="T40" s="334"/>
      <c r="U40" s="331"/>
      <c r="V40" s="334"/>
      <c r="W40" s="334"/>
      <c r="X40" s="331"/>
      <c r="Y40" s="334"/>
      <c r="Z40" s="334"/>
      <c r="AA40" s="331"/>
      <c r="AB40" s="334"/>
      <c r="AC40" s="334"/>
      <c r="AD40" s="331"/>
      <c r="AE40" s="334"/>
      <c r="AF40" s="334"/>
      <c r="AG40" s="331"/>
      <c r="AH40" s="334"/>
      <c r="AI40" s="334"/>
      <c r="AJ40" s="331"/>
      <c r="AK40" s="334"/>
      <c r="AL40" s="334"/>
      <c r="AM40" s="331"/>
      <c r="AN40" s="334"/>
      <c r="AO40" s="334"/>
      <c r="AP40" s="331"/>
      <c r="AQ40" s="334"/>
      <c r="AR40" s="334"/>
      <c r="AS40" s="331"/>
      <c r="AT40" s="334"/>
      <c r="AU40" s="334"/>
      <c r="AV40" s="331"/>
      <c r="AW40" s="334"/>
      <c r="AX40" s="334"/>
      <c r="AY40" s="331"/>
      <c r="AZ40" s="334"/>
      <c r="BA40" s="334"/>
      <c r="BB40" s="331"/>
      <c r="BC40" s="334"/>
      <c r="BD40" s="334"/>
      <c r="BE40" s="331"/>
      <c r="BF40" s="334"/>
      <c r="BG40" s="334"/>
      <c r="BH40" s="331"/>
      <c r="BI40" s="334"/>
      <c r="BJ40" s="334"/>
      <c r="BK40" s="331"/>
      <c r="BL40" s="334"/>
      <c r="BM40" s="334"/>
      <c r="BN40" s="331"/>
      <c r="BO40" s="334"/>
      <c r="BP40" s="334"/>
      <c r="BQ40" s="331"/>
      <c r="BR40" s="332"/>
    </row>
    <row r="41" spans="1:70">
      <c r="A41" s="142" t="s">
        <v>3932</v>
      </c>
      <c r="B41" s="268">
        <v>47300</v>
      </c>
      <c r="C41" s="268">
        <v>0</v>
      </c>
      <c r="D41" s="333"/>
      <c r="E41" s="333"/>
      <c r="F41" s="331"/>
      <c r="G41" s="334"/>
      <c r="H41" s="334"/>
      <c r="I41" s="331"/>
      <c r="J41" s="334"/>
      <c r="K41" s="334"/>
      <c r="L41" s="331"/>
      <c r="M41" s="334"/>
      <c r="N41" s="334"/>
      <c r="O41" s="331"/>
      <c r="P41" s="334"/>
      <c r="Q41" s="334"/>
      <c r="R41" s="331"/>
      <c r="S41" s="334"/>
      <c r="T41" s="334"/>
      <c r="U41" s="331"/>
      <c r="V41" s="334"/>
      <c r="W41" s="334"/>
      <c r="X41" s="331"/>
      <c r="Y41" s="334"/>
      <c r="Z41" s="334"/>
      <c r="AA41" s="331"/>
      <c r="AB41" s="334"/>
      <c r="AC41" s="334"/>
      <c r="AD41" s="331"/>
      <c r="AE41" s="334"/>
      <c r="AF41" s="334"/>
      <c r="AG41" s="331"/>
      <c r="AH41" s="334"/>
      <c r="AI41" s="334"/>
      <c r="AJ41" s="331"/>
      <c r="AK41" s="334"/>
      <c r="AL41" s="334"/>
      <c r="AM41" s="331"/>
      <c r="AN41" s="334"/>
      <c r="AO41" s="334"/>
      <c r="AP41" s="331"/>
      <c r="AQ41" s="334"/>
      <c r="AR41" s="334"/>
      <c r="AS41" s="331"/>
      <c r="AT41" s="334"/>
      <c r="AU41" s="334"/>
      <c r="AV41" s="331"/>
      <c r="AW41" s="334"/>
      <c r="AX41" s="334"/>
      <c r="AY41" s="331"/>
      <c r="AZ41" s="334"/>
      <c r="BA41" s="334"/>
      <c r="BB41" s="331"/>
      <c r="BC41" s="334"/>
      <c r="BD41" s="334"/>
      <c r="BE41" s="331"/>
      <c r="BF41" s="334"/>
      <c r="BG41" s="334"/>
      <c r="BH41" s="331"/>
      <c r="BI41" s="334"/>
      <c r="BJ41" s="334"/>
      <c r="BK41" s="331"/>
      <c r="BL41" s="334"/>
      <c r="BM41" s="334"/>
      <c r="BN41" s="331"/>
      <c r="BO41" s="334"/>
      <c r="BP41" s="334"/>
      <c r="BQ41" s="331"/>
      <c r="BR41" s="332"/>
    </row>
    <row r="42" spans="1:70">
      <c r="A42" s="142" t="s">
        <v>2912</v>
      </c>
      <c r="B42" s="268">
        <v>25400</v>
      </c>
      <c r="C42" s="268">
        <v>0</v>
      </c>
      <c r="D42" s="333"/>
      <c r="E42" s="333"/>
      <c r="F42" s="331"/>
      <c r="G42" s="334"/>
      <c r="H42" s="334"/>
      <c r="I42" s="331"/>
      <c r="J42" s="334"/>
      <c r="K42" s="334"/>
      <c r="L42" s="331"/>
      <c r="M42" s="334"/>
      <c r="N42" s="334"/>
      <c r="O42" s="331"/>
      <c r="P42" s="334"/>
      <c r="Q42" s="334"/>
      <c r="R42" s="331"/>
      <c r="S42" s="334"/>
      <c r="T42" s="334"/>
      <c r="U42" s="331"/>
      <c r="V42" s="334"/>
      <c r="W42" s="334"/>
      <c r="X42" s="331"/>
      <c r="Y42" s="334"/>
      <c r="Z42" s="334"/>
      <c r="AA42" s="331"/>
      <c r="AB42" s="334"/>
      <c r="AC42" s="334"/>
      <c r="AD42" s="331"/>
      <c r="AE42" s="334"/>
      <c r="AF42" s="334"/>
      <c r="AG42" s="331"/>
      <c r="AH42" s="334"/>
      <c r="AI42" s="334"/>
      <c r="AJ42" s="331"/>
      <c r="AK42" s="334"/>
      <c r="AL42" s="334"/>
      <c r="AM42" s="331"/>
      <c r="AN42" s="334"/>
      <c r="AO42" s="334"/>
      <c r="AP42" s="331"/>
      <c r="AQ42" s="334"/>
      <c r="AR42" s="334"/>
      <c r="AS42" s="331"/>
      <c r="AT42" s="334"/>
      <c r="AU42" s="334"/>
      <c r="AV42" s="331"/>
      <c r="AW42" s="334"/>
      <c r="AX42" s="334"/>
      <c r="AY42" s="331"/>
      <c r="AZ42" s="334"/>
      <c r="BA42" s="334"/>
      <c r="BB42" s="331"/>
      <c r="BC42" s="334"/>
      <c r="BD42" s="334"/>
      <c r="BE42" s="331"/>
      <c r="BF42" s="334"/>
      <c r="BG42" s="334"/>
      <c r="BH42" s="331"/>
      <c r="BI42" s="334"/>
      <c r="BJ42" s="334"/>
      <c r="BK42" s="331"/>
      <c r="BL42" s="334"/>
      <c r="BM42" s="334"/>
      <c r="BN42" s="331"/>
      <c r="BO42" s="334"/>
      <c r="BP42" s="334"/>
      <c r="BQ42" s="331"/>
      <c r="BR42" s="332"/>
    </row>
    <row r="43" spans="1:70">
      <c r="A43" s="142" t="s">
        <v>2920</v>
      </c>
      <c r="B43" s="268">
        <v>46600</v>
      </c>
      <c r="C43" s="268">
        <v>0</v>
      </c>
      <c r="D43" s="333"/>
      <c r="E43" s="333"/>
      <c r="F43" s="331"/>
      <c r="G43" s="334"/>
      <c r="H43" s="334"/>
      <c r="I43" s="331"/>
      <c r="J43" s="334"/>
      <c r="K43" s="334"/>
      <c r="L43" s="331"/>
      <c r="M43" s="334"/>
      <c r="N43" s="334"/>
      <c r="O43" s="331"/>
      <c r="P43" s="334"/>
      <c r="Q43" s="334"/>
      <c r="R43" s="331"/>
      <c r="S43" s="334"/>
      <c r="T43" s="334"/>
      <c r="U43" s="331"/>
      <c r="V43" s="334"/>
      <c r="W43" s="334"/>
      <c r="X43" s="331"/>
      <c r="Y43" s="334"/>
      <c r="Z43" s="334"/>
      <c r="AA43" s="331"/>
      <c r="AB43" s="334"/>
      <c r="AC43" s="334"/>
      <c r="AD43" s="331"/>
      <c r="AE43" s="334"/>
      <c r="AF43" s="334"/>
      <c r="AG43" s="331"/>
      <c r="AH43" s="334"/>
      <c r="AI43" s="334"/>
      <c r="AJ43" s="331"/>
      <c r="AK43" s="334"/>
      <c r="AL43" s="334"/>
      <c r="AM43" s="331"/>
      <c r="AN43" s="334"/>
      <c r="AO43" s="334"/>
      <c r="AP43" s="331"/>
      <c r="AQ43" s="334"/>
      <c r="AR43" s="334"/>
      <c r="AS43" s="331"/>
      <c r="AT43" s="334"/>
      <c r="AU43" s="334"/>
      <c r="AV43" s="331"/>
      <c r="AW43" s="334"/>
      <c r="AX43" s="334"/>
      <c r="AY43" s="331"/>
      <c r="AZ43" s="334"/>
      <c r="BA43" s="334"/>
      <c r="BB43" s="331"/>
      <c r="BC43" s="334"/>
      <c r="BD43" s="334"/>
      <c r="BE43" s="331"/>
      <c r="BF43" s="334"/>
      <c r="BG43" s="334"/>
      <c r="BH43" s="331"/>
      <c r="BI43" s="334"/>
      <c r="BJ43" s="334"/>
      <c r="BK43" s="331"/>
      <c r="BL43" s="334"/>
      <c r="BM43" s="334"/>
      <c r="BN43" s="331"/>
      <c r="BO43" s="334"/>
      <c r="BP43" s="334"/>
      <c r="BQ43" s="331"/>
      <c r="BR43" s="332"/>
    </row>
    <row r="44" spans="1:70">
      <c r="A44" s="142" t="s">
        <v>2929</v>
      </c>
      <c r="B44" s="268">
        <v>26300</v>
      </c>
      <c r="C44" s="268">
        <v>0</v>
      </c>
      <c r="D44" s="333"/>
      <c r="E44" s="333"/>
      <c r="F44" s="331"/>
      <c r="G44" s="334"/>
      <c r="H44" s="334"/>
      <c r="I44" s="331"/>
      <c r="J44" s="334"/>
      <c r="K44" s="334"/>
      <c r="L44" s="331"/>
      <c r="M44" s="334"/>
      <c r="N44" s="334"/>
      <c r="O44" s="331"/>
      <c r="P44" s="334"/>
      <c r="Q44" s="334"/>
      <c r="R44" s="331"/>
      <c r="S44" s="334"/>
      <c r="T44" s="334"/>
      <c r="U44" s="331"/>
      <c r="V44" s="334"/>
      <c r="W44" s="334"/>
      <c r="X44" s="331"/>
      <c r="Y44" s="334"/>
      <c r="Z44" s="334"/>
      <c r="AA44" s="331"/>
      <c r="AB44" s="334"/>
      <c r="AC44" s="334"/>
      <c r="AD44" s="331"/>
      <c r="AE44" s="334"/>
      <c r="AF44" s="334"/>
      <c r="AG44" s="331"/>
      <c r="AH44" s="334"/>
      <c r="AI44" s="334"/>
      <c r="AJ44" s="331"/>
      <c r="AK44" s="334"/>
      <c r="AL44" s="334"/>
      <c r="AM44" s="331"/>
      <c r="AN44" s="334"/>
      <c r="AO44" s="334"/>
      <c r="AP44" s="331"/>
      <c r="AQ44" s="334"/>
      <c r="AR44" s="334"/>
      <c r="AS44" s="331"/>
      <c r="AT44" s="334"/>
      <c r="AU44" s="334"/>
      <c r="AV44" s="331"/>
      <c r="AW44" s="334"/>
      <c r="AX44" s="334"/>
      <c r="AY44" s="331"/>
      <c r="AZ44" s="334"/>
      <c r="BA44" s="334"/>
      <c r="BB44" s="331"/>
      <c r="BC44" s="334"/>
      <c r="BD44" s="334"/>
      <c r="BE44" s="331"/>
      <c r="BF44" s="334"/>
      <c r="BG44" s="334"/>
      <c r="BH44" s="331"/>
      <c r="BI44" s="334"/>
      <c r="BJ44" s="334"/>
      <c r="BK44" s="331"/>
      <c r="BL44" s="334"/>
      <c r="BM44" s="334"/>
      <c r="BN44" s="331"/>
      <c r="BO44" s="334"/>
      <c r="BP44" s="334"/>
      <c r="BQ44" s="331"/>
      <c r="BR44" s="332"/>
    </row>
    <row r="45" spans="1:70">
      <c r="A45" s="142" t="s">
        <v>2937</v>
      </c>
      <c r="B45" s="268">
        <v>27000</v>
      </c>
      <c r="C45" s="268">
        <v>0</v>
      </c>
      <c r="D45" s="333"/>
      <c r="E45" s="333"/>
      <c r="F45" s="331"/>
      <c r="G45" s="334"/>
      <c r="H45" s="334"/>
      <c r="I45" s="331"/>
      <c r="J45" s="334"/>
      <c r="K45" s="334"/>
      <c r="L45" s="331"/>
      <c r="M45" s="334"/>
      <c r="N45" s="334"/>
      <c r="O45" s="331"/>
      <c r="P45" s="334"/>
      <c r="Q45" s="334"/>
      <c r="R45" s="331"/>
      <c r="S45" s="334"/>
      <c r="T45" s="334"/>
      <c r="U45" s="331"/>
      <c r="V45" s="334"/>
      <c r="W45" s="334"/>
      <c r="X45" s="331"/>
      <c r="Y45" s="334"/>
      <c r="Z45" s="334"/>
      <c r="AA45" s="331"/>
      <c r="AB45" s="334"/>
      <c r="AC45" s="334"/>
      <c r="AD45" s="331"/>
      <c r="AE45" s="334"/>
      <c r="AF45" s="334"/>
      <c r="AG45" s="331"/>
      <c r="AH45" s="334"/>
      <c r="AI45" s="334"/>
      <c r="AJ45" s="331"/>
      <c r="AK45" s="334"/>
      <c r="AL45" s="334"/>
      <c r="AM45" s="331"/>
      <c r="AN45" s="334"/>
      <c r="AO45" s="334"/>
      <c r="AP45" s="331"/>
      <c r="AQ45" s="334"/>
      <c r="AR45" s="334"/>
      <c r="AS45" s="331"/>
      <c r="AT45" s="334"/>
      <c r="AU45" s="334"/>
      <c r="AV45" s="331"/>
      <c r="AW45" s="334"/>
      <c r="AX45" s="334"/>
      <c r="AY45" s="331"/>
      <c r="AZ45" s="334"/>
      <c r="BA45" s="334"/>
      <c r="BB45" s="331"/>
      <c r="BC45" s="334"/>
      <c r="BD45" s="334"/>
      <c r="BE45" s="331"/>
      <c r="BF45" s="334"/>
      <c r="BG45" s="334"/>
      <c r="BH45" s="331"/>
      <c r="BI45" s="334"/>
      <c r="BJ45" s="334"/>
      <c r="BK45" s="331"/>
      <c r="BL45" s="334"/>
      <c r="BM45" s="334"/>
      <c r="BN45" s="331"/>
      <c r="BO45" s="334"/>
      <c r="BP45" s="334"/>
      <c r="BQ45" s="331"/>
      <c r="BR45" s="332"/>
    </row>
    <row r="46" spans="1:70">
      <c r="A46" s="142" t="s">
        <v>2840</v>
      </c>
      <c r="B46" s="268">
        <v>23500</v>
      </c>
      <c r="C46" s="268">
        <v>0</v>
      </c>
      <c r="D46" s="333"/>
      <c r="E46" s="333"/>
      <c r="F46" s="331"/>
      <c r="G46" s="334"/>
      <c r="H46" s="334"/>
      <c r="I46" s="331"/>
      <c r="J46" s="334"/>
      <c r="K46" s="334"/>
      <c r="L46" s="331"/>
      <c r="M46" s="334"/>
      <c r="N46" s="334"/>
      <c r="O46" s="331"/>
      <c r="P46" s="334"/>
      <c r="Q46" s="334"/>
      <c r="R46" s="331"/>
      <c r="S46" s="334"/>
      <c r="T46" s="334"/>
      <c r="U46" s="331"/>
      <c r="V46" s="334"/>
      <c r="W46" s="334"/>
      <c r="X46" s="331"/>
      <c r="Y46" s="334"/>
      <c r="Z46" s="334"/>
      <c r="AA46" s="331"/>
      <c r="AB46" s="334"/>
      <c r="AC46" s="334"/>
      <c r="AD46" s="331"/>
      <c r="AE46" s="334"/>
      <c r="AF46" s="334"/>
      <c r="AG46" s="331"/>
      <c r="AH46" s="334"/>
      <c r="AI46" s="334"/>
      <c r="AJ46" s="331"/>
      <c r="AK46" s="334"/>
      <c r="AL46" s="334"/>
      <c r="AM46" s="331"/>
      <c r="AN46" s="334"/>
      <c r="AO46" s="334"/>
      <c r="AP46" s="331"/>
      <c r="AQ46" s="334"/>
      <c r="AR46" s="334"/>
      <c r="AS46" s="331"/>
      <c r="AT46" s="334"/>
      <c r="AU46" s="334"/>
      <c r="AV46" s="331"/>
      <c r="AW46" s="334"/>
      <c r="AX46" s="334"/>
      <c r="AY46" s="331"/>
      <c r="AZ46" s="334"/>
      <c r="BA46" s="334"/>
      <c r="BB46" s="331"/>
      <c r="BC46" s="334"/>
      <c r="BD46" s="334"/>
      <c r="BE46" s="331"/>
      <c r="BF46" s="334"/>
      <c r="BG46" s="334"/>
      <c r="BH46" s="331"/>
      <c r="BI46" s="334"/>
      <c r="BJ46" s="334"/>
      <c r="BK46" s="331"/>
      <c r="BL46" s="334"/>
      <c r="BM46" s="334"/>
      <c r="BN46" s="331"/>
      <c r="BO46" s="334"/>
      <c r="BP46" s="334"/>
      <c r="BQ46" s="331"/>
      <c r="BR46" s="332"/>
    </row>
    <row r="47" spans="1:70">
      <c r="A47" s="142" t="s">
        <v>3238</v>
      </c>
      <c r="B47" s="268">
        <v>24300</v>
      </c>
      <c r="C47" s="268">
        <v>0</v>
      </c>
      <c r="D47" s="333"/>
      <c r="E47" s="333"/>
      <c r="F47" s="331"/>
      <c r="G47" s="334"/>
      <c r="H47" s="334"/>
      <c r="I47" s="331"/>
      <c r="J47" s="334"/>
      <c r="K47" s="334"/>
      <c r="L47" s="331"/>
      <c r="M47" s="334"/>
      <c r="N47" s="334"/>
      <c r="O47" s="331"/>
      <c r="P47" s="334"/>
      <c r="Q47" s="334"/>
      <c r="R47" s="331"/>
      <c r="S47" s="334"/>
      <c r="T47" s="334"/>
      <c r="U47" s="331"/>
      <c r="V47" s="334"/>
      <c r="W47" s="334"/>
      <c r="X47" s="331"/>
      <c r="Y47" s="334"/>
      <c r="Z47" s="334"/>
      <c r="AA47" s="331"/>
      <c r="AB47" s="334"/>
      <c r="AC47" s="334"/>
      <c r="AD47" s="331"/>
      <c r="AE47" s="334"/>
      <c r="AF47" s="334"/>
      <c r="AG47" s="331"/>
      <c r="AH47" s="334"/>
      <c r="AI47" s="334"/>
      <c r="AJ47" s="331"/>
      <c r="AK47" s="334"/>
      <c r="AL47" s="334"/>
      <c r="AM47" s="331"/>
      <c r="AN47" s="334"/>
      <c r="AO47" s="334"/>
      <c r="AP47" s="331"/>
      <c r="AQ47" s="334"/>
      <c r="AR47" s="334"/>
      <c r="AS47" s="331"/>
      <c r="AT47" s="334"/>
      <c r="AU47" s="334"/>
      <c r="AV47" s="331"/>
      <c r="AW47" s="334"/>
      <c r="AX47" s="334"/>
      <c r="AY47" s="331"/>
      <c r="AZ47" s="334"/>
      <c r="BA47" s="334"/>
      <c r="BB47" s="331"/>
      <c r="BC47" s="334"/>
      <c r="BD47" s="334"/>
      <c r="BE47" s="331"/>
      <c r="BF47" s="334"/>
      <c r="BG47" s="334"/>
      <c r="BH47" s="331"/>
      <c r="BI47" s="334"/>
      <c r="BJ47" s="334"/>
      <c r="BK47" s="331"/>
      <c r="BL47" s="334"/>
      <c r="BM47" s="334"/>
      <c r="BN47" s="331"/>
      <c r="BO47" s="334"/>
      <c r="BP47" s="334"/>
      <c r="BQ47" s="331"/>
      <c r="BR47" s="332"/>
    </row>
    <row r="48" spans="1:70">
      <c r="A48" s="142" t="s">
        <v>3239</v>
      </c>
      <c r="B48" s="268">
        <v>24900</v>
      </c>
      <c r="C48" s="268">
        <v>0</v>
      </c>
      <c r="D48" s="333"/>
      <c r="E48" s="333"/>
      <c r="F48" s="331"/>
      <c r="G48" s="334"/>
      <c r="H48" s="334"/>
      <c r="I48" s="331"/>
      <c r="J48" s="334"/>
      <c r="K48" s="334"/>
      <c r="L48" s="331"/>
      <c r="M48" s="334"/>
      <c r="N48" s="334"/>
      <c r="O48" s="331"/>
      <c r="P48" s="334"/>
      <c r="Q48" s="334"/>
      <c r="R48" s="331"/>
      <c r="S48" s="334"/>
      <c r="T48" s="334"/>
      <c r="U48" s="331"/>
      <c r="V48" s="334"/>
      <c r="W48" s="334"/>
      <c r="X48" s="331"/>
      <c r="Y48" s="334"/>
      <c r="Z48" s="334"/>
      <c r="AA48" s="331"/>
      <c r="AB48" s="334"/>
      <c r="AC48" s="334"/>
      <c r="AD48" s="331"/>
      <c r="AE48" s="334"/>
      <c r="AF48" s="334"/>
      <c r="AG48" s="331"/>
      <c r="AH48" s="334"/>
      <c r="AI48" s="334"/>
      <c r="AJ48" s="331"/>
      <c r="AK48" s="334"/>
      <c r="AL48" s="334"/>
      <c r="AM48" s="331"/>
      <c r="AN48" s="334"/>
      <c r="AO48" s="334"/>
      <c r="AP48" s="331"/>
      <c r="AQ48" s="334"/>
      <c r="AR48" s="334"/>
      <c r="AS48" s="331"/>
      <c r="AT48" s="334"/>
      <c r="AU48" s="334"/>
      <c r="AV48" s="331"/>
      <c r="AW48" s="334"/>
      <c r="AX48" s="334"/>
      <c r="AY48" s="331"/>
      <c r="AZ48" s="334"/>
      <c r="BA48" s="334"/>
      <c r="BB48" s="331"/>
      <c r="BC48" s="334"/>
      <c r="BD48" s="334"/>
      <c r="BE48" s="331"/>
      <c r="BF48" s="334"/>
      <c r="BG48" s="334"/>
      <c r="BH48" s="331"/>
      <c r="BI48" s="334"/>
      <c r="BJ48" s="334"/>
      <c r="BK48" s="331"/>
      <c r="BL48" s="334"/>
      <c r="BM48" s="334"/>
      <c r="BN48" s="331"/>
      <c r="BO48" s="334"/>
      <c r="BP48" s="334"/>
      <c r="BQ48" s="331"/>
      <c r="BR48" s="332"/>
    </row>
    <row r="49" spans="1:70">
      <c r="A49" s="142" t="s">
        <v>3223</v>
      </c>
      <c r="B49" s="268">
        <v>23300</v>
      </c>
      <c r="C49" s="268">
        <v>0</v>
      </c>
      <c r="D49" s="333"/>
      <c r="E49" s="333"/>
      <c r="F49" s="331"/>
      <c r="G49" s="334"/>
      <c r="H49" s="334"/>
      <c r="I49" s="331"/>
      <c r="J49" s="334"/>
      <c r="K49" s="334"/>
      <c r="L49" s="331"/>
      <c r="M49" s="334"/>
      <c r="N49" s="334"/>
      <c r="O49" s="331"/>
      <c r="P49" s="334"/>
      <c r="Q49" s="334"/>
      <c r="R49" s="331"/>
      <c r="S49" s="334"/>
      <c r="T49" s="334"/>
      <c r="U49" s="331"/>
      <c r="V49" s="334"/>
      <c r="W49" s="334"/>
      <c r="X49" s="331"/>
      <c r="Y49" s="334"/>
      <c r="Z49" s="334"/>
      <c r="AA49" s="331"/>
      <c r="AB49" s="334"/>
      <c r="AC49" s="334"/>
      <c r="AD49" s="331"/>
      <c r="AE49" s="334"/>
      <c r="AF49" s="334"/>
      <c r="AG49" s="331"/>
      <c r="AH49" s="334"/>
      <c r="AI49" s="334"/>
      <c r="AJ49" s="331"/>
      <c r="AK49" s="334"/>
      <c r="AL49" s="334"/>
      <c r="AM49" s="331"/>
      <c r="AN49" s="334"/>
      <c r="AO49" s="334"/>
      <c r="AP49" s="331"/>
      <c r="AQ49" s="334"/>
      <c r="AR49" s="334"/>
      <c r="AS49" s="331"/>
      <c r="AT49" s="334"/>
      <c r="AU49" s="334"/>
      <c r="AV49" s="331"/>
      <c r="AW49" s="334"/>
      <c r="AX49" s="334"/>
      <c r="AY49" s="331"/>
      <c r="AZ49" s="334"/>
      <c r="BA49" s="334"/>
      <c r="BB49" s="331"/>
      <c r="BC49" s="334"/>
      <c r="BD49" s="334"/>
      <c r="BE49" s="331"/>
      <c r="BF49" s="334"/>
      <c r="BG49" s="334"/>
      <c r="BH49" s="331"/>
      <c r="BI49" s="334"/>
      <c r="BJ49" s="334"/>
      <c r="BK49" s="331"/>
      <c r="BL49" s="334"/>
      <c r="BM49" s="334"/>
      <c r="BN49" s="331"/>
      <c r="BO49" s="334"/>
      <c r="BP49" s="334"/>
      <c r="BQ49" s="331"/>
      <c r="BR49" s="332"/>
    </row>
    <row r="50" spans="1:70">
      <c r="A50" s="142" t="s">
        <v>3230</v>
      </c>
      <c r="B50" s="268">
        <v>23300</v>
      </c>
      <c r="C50" s="268">
        <v>0</v>
      </c>
      <c r="D50" s="333"/>
      <c r="E50" s="333"/>
      <c r="F50" s="331"/>
      <c r="G50" s="334"/>
      <c r="H50" s="334"/>
      <c r="I50" s="331"/>
      <c r="J50" s="334"/>
      <c r="K50" s="334"/>
      <c r="L50" s="331"/>
      <c r="M50" s="334"/>
      <c r="N50" s="334"/>
      <c r="O50" s="331"/>
      <c r="P50" s="334"/>
      <c r="Q50" s="334"/>
      <c r="R50" s="331"/>
      <c r="S50" s="334"/>
      <c r="T50" s="334"/>
      <c r="U50" s="331"/>
      <c r="V50" s="334"/>
      <c r="W50" s="334"/>
      <c r="X50" s="331"/>
      <c r="Y50" s="334"/>
      <c r="Z50" s="334"/>
      <c r="AA50" s="331"/>
      <c r="AB50" s="334"/>
      <c r="AC50" s="334"/>
      <c r="AD50" s="331"/>
      <c r="AE50" s="334"/>
      <c r="AF50" s="334"/>
      <c r="AG50" s="331"/>
      <c r="AH50" s="334"/>
      <c r="AI50" s="334"/>
      <c r="AJ50" s="331"/>
      <c r="AK50" s="334"/>
      <c r="AL50" s="334"/>
      <c r="AM50" s="331"/>
      <c r="AN50" s="334"/>
      <c r="AO50" s="334"/>
      <c r="AP50" s="331"/>
      <c r="AQ50" s="334"/>
      <c r="AR50" s="334"/>
      <c r="AS50" s="331"/>
      <c r="AT50" s="334"/>
      <c r="AU50" s="334"/>
      <c r="AV50" s="331"/>
      <c r="AW50" s="334"/>
      <c r="AX50" s="334"/>
      <c r="AY50" s="331"/>
      <c r="AZ50" s="334"/>
      <c r="BA50" s="334"/>
      <c r="BB50" s="331"/>
      <c r="BC50" s="334"/>
      <c r="BD50" s="334"/>
      <c r="BE50" s="331"/>
      <c r="BF50" s="334"/>
      <c r="BG50" s="334"/>
      <c r="BH50" s="331"/>
      <c r="BI50" s="334"/>
      <c r="BJ50" s="334"/>
      <c r="BK50" s="331"/>
      <c r="BL50" s="334"/>
      <c r="BM50" s="334"/>
      <c r="BN50" s="331"/>
      <c r="BO50" s="334"/>
      <c r="BP50" s="334"/>
      <c r="BQ50" s="331"/>
      <c r="BR50" s="332"/>
    </row>
    <row r="51" spans="1:70">
      <c r="A51" s="142" t="s">
        <v>4752</v>
      </c>
      <c r="B51" s="268">
        <v>44100</v>
      </c>
      <c r="C51" s="268">
        <v>0</v>
      </c>
      <c r="D51" s="333"/>
      <c r="E51" s="333"/>
      <c r="F51" s="331"/>
      <c r="G51" s="334"/>
      <c r="H51" s="334"/>
      <c r="I51" s="331"/>
      <c r="J51" s="334"/>
      <c r="K51" s="334"/>
      <c r="L51" s="331"/>
      <c r="M51" s="334"/>
      <c r="N51" s="334"/>
      <c r="O51" s="331"/>
      <c r="P51" s="334"/>
      <c r="Q51" s="334"/>
      <c r="R51" s="331"/>
      <c r="S51" s="334"/>
      <c r="T51" s="334"/>
      <c r="U51" s="331"/>
      <c r="V51" s="334"/>
      <c r="W51" s="334"/>
      <c r="X51" s="331"/>
      <c r="Y51" s="334"/>
      <c r="Z51" s="334"/>
      <c r="AA51" s="331"/>
      <c r="AB51" s="334"/>
      <c r="AC51" s="334"/>
      <c r="AD51" s="331"/>
      <c r="AE51" s="334"/>
      <c r="AF51" s="334"/>
      <c r="AG51" s="331"/>
      <c r="AH51" s="334"/>
      <c r="AI51" s="334"/>
      <c r="AJ51" s="331"/>
      <c r="AK51" s="334"/>
      <c r="AL51" s="334"/>
      <c r="AM51" s="331"/>
      <c r="AN51" s="334"/>
      <c r="AO51" s="334"/>
      <c r="AP51" s="331"/>
      <c r="AQ51" s="334"/>
      <c r="AR51" s="334"/>
      <c r="AS51" s="331"/>
      <c r="AT51" s="334"/>
      <c r="AU51" s="334"/>
      <c r="AV51" s="331"/>
      <c r="AW51" s="334"/>
      <c r="AX51" s="334"/>
      <c r="AY51" s="331"/>
      <c r="AZ51" s="334"/>
      <c r="BA51" s="334"/>
      <c r="BB51" s="331"/>
      <c r="BC51" s="334"/>
      <c r="BD51" s="334"/>
      <c r="BE51" s="331"/>
      <c r="BF51" s="334"/>
      <c r="BG51" s="334"/>
      <c r="BH51" s="331"/>
      <c r="BI51" s="334"/>
      <c r="BJ51" s="334"/>
      <c r="BK51" s="331"/>
      <c r="BL51" s="334"/>
      <c r="BM51" s="334"/>
      <c r="BN51" s="331"/>
      <c r="BO51" s="334"/>
      <c r="BP51" s="334"/>
      <c r="BQ51" s="331"/>
      <c r="BR51" s="332"/>
    </row>
    <row r="52" spans="1:70">
      <c r="A52" s="142" t="s">
        <v>2847</v>
      </c>
      <c r="B52" s="268">
        <v>26200</v>
      </c>
      <c r="C52" s="268">
        <v>0</v>
      </c>
      <c r="D52" s="333"/>
      <c r="E52" s="333"/>
      <c r="F52" s="331"/>
      <c r="G52" s="334"/>
      <c r="H52" s="334"/>
      <c r="I52" s="331"/>
      <c r="J52" s="334"/>
      <c r="K52" s="334"/>
      <c r="L52" s="331"/>
      <c r="M52" s="334"/>
      <c r="N52" s="334"/>
      <c r="O52" s="331"/>
      <c r="P52" s="334"/>
      <c r="Q52" s="334"/>
      <c r="R52" s="331"/>
      <c r="S52" s="334"/>
      <c r="T52" s="334"/>
      <c r="U52" s="331"/>
      <c r="V52" s="334"/>
      <c r="W52" s="334"/>
      <c r="X52" s="331"/>
      <c r="Y52" s="334"/>
      <c r="Z52" s="334"/>
      <c r="AA52" s="331"/>
      <c r="AB52" s="334"/>
      <c r="AC52" s="334"/>
      <c r="AD52" s="331"/>
      <c r="AE52" s="334"/>
      <c r="AF52" s="334"/>
      <c r="AG52" s="331"/>
      <c r="AH52" s="334"/>
      <c r="AI52" s="334"/>
      <c r="AJ52" s="331"/>
      <c r="AK52" s="334"/>
      <c r="AL52" s="334"/>
      <c r="AM52" s="331"/>
      <c r="AN52" s="334"/>
      <c r="AO52" s="334"/>
      <c r="AP52" s="331"/>
      <c r="AQ52" s="334"/>
      <c r="AR52" s="334"/>
      <c r="AS52" s="331"/>
      <c r="AT52" s="334"/>
      <c r="AU52" s="334"/>
      <c r="AV52" s="331"/>
      <c r="AW52" s="334"/>
      <c r="AX52" s="334"/>
      <c r="AY52" s="331"/>
      <c r="AZ52" s="334"/>
      <c r="BA52" s="334"/>
      <c r="BB52" s="331"/>
      <c r="BC52" s="334"/>
      <c r="BD52" s="334"/>
      <c r="BE52" s="331"/>
      <c r="BF52" s="334"/>
      <c r="BG52" s="334"/>
      <c r="BH52" s="331"/>
      <c r="BI52" s="334"/>
      <c r="BJ52" s="334"/>
      <c r="BK52" s="331"/>
      <c r="BL52" s="334"/>
      <c r="BM52" s="334"/>
      <c r="BN52" s="331"/>
      <c r="BO52" s="334"/>
      <c r="BP52" s="334"/>
      <c r="BQ52" s="331"/>
      <c r="BR52" s="332"/>
    </row>
    <row r="53" spans="1:70">
      <c r="A53" s="142" t="s">
        <v>2849</v>
      </c>
      <c r="B53" s="268">
        <v>13500</v>
      </c>
      <c r="C53" s="268">
        <v>0</v>
      </c>
      <c r="D53" s="333"/>
      <c r="E53" s="333"/>
      <c r="F53" s="331"/>
      <c r="G53" s="334"/>
      <c r="H53" s="334"/>
      <c r="I53" s="331"/>
      <c r="J53" s="334"/>
      <c r="K53" s="334"/>
      <c r="L53" s="331"/>
      <c r="M53" s="334"/>
      <c r="N53" s="334"/>
      <c r="O53" s="331"/>
      <c r="P53" s="334"/>
      <c r="Q53" s="334"/>
      <c r="R53" s="331"/>
      <c r="S53" s="334"/>
      <c r="T53" s="334"/>
      <c r="U53" s="331"/>
      <c r="V53" s="334"/>
      <c r="W53" s="334"/>
      <c r="X53" s="331"/>
      <c r="Y53" s="334"/>
      <c r="Z53" s="334"/>
      <c r="AA53" s="331"/>
      <c r="AB53" s="334"/>
      <c r="AC53" s="334"/>
      <c r="AD53" s="331"/>
      <c r="AE53" s="334"/>
      <c r="AF53" s="334"/>
      <c r="AG53" s="331"/>
      <c r="AH53" s="334"/>
      <c r="AI53" s="334"/>
      <c r="AJ53" s="331"/>
      <c r="AK53" s="334"/>
      <c r="AL53" s="334"/>
      <c r="AM53" s="331"/>
      <c r="AN53" s="334"/>
      <c r="AO53" s="334"/>
      <c r="AP53" s="331"/>
      <c r="AQ53" s="334"/>
      <c r="AR53" s="334"/>
      <c r="AS53" s="331"/>
      <c r="AT53" s="334"/>
      <c r="AU53" s="334"/>
      <c r="AV53" s="331"/>
      <c r="AW53" s="334"/>
      <c r="AX53" s="334"/>
      <c r="AY53" s="331"/>
      <c r="AZ53" s="334"/>
      <c r="BA53" s="334"/>
      <c r="BB53" s="331"/>
      <c r="BC53" s="334"/>
      <c r="BD53" s="334"/>
      <c r="BE53" s="331"/>
      <c r="BF53" s="334"/>
      <c r="BG53" s="334"/>
      <c r="BH53" s="331"/>
      <c r="BI53" s="334"/>
      <c r="BJ53" s="334"/>
      <c r="BK53" s="331"/>
      <c r="BL53" s="334"/>
      <c r="BM53" s="334"/>
      <c r="BN53" s="331"/>
      <c r="BO53" s="334"/>
      <c r="BP53" s="334"/>
      <c r="BQ53" s="331"/>
      <c r="BR53" s="332"/>
    </row>
    <row r="54" spans="1:70">
      <c r="A54" s="142" t="s">
        <v>3391</v>
      </c>
      <c r="B54" s="268">
        <v>50400</v>
      </c>
      <c r="C54" s="268">
        <v>0</v>
      </c>
      <c r="D54" s="333"/>
      <c r="E54" s="333"/>
      <c r="F54" s="331"/>
      <c r="G54" s="334"/>
      <c r="H54" s="334"/>
      <c r="I54" s="331"/>
      <c r="J54" s="334"/>
      <c r="K54" s="334"/>
      <c r="L54" s="331"/>
      <c r="M54" s="334"/>
      <c r="N54" s="334"/>
      <c r="O54" s="331"/>
      <c r="P54" s="334"/>
      <c r="Q54" s="334"/>
      <c r="R54" s="331"/>
      <c r="S54" s="334"/>
      <c r="T54" s="334"/>
      <c r="U54" s="331"/>
      <c r="V54" s="334"/>
      <c r="W54" s="334"/>
      <c r="X54" s="331"/>
      <c r="Y54" s="334"/>
      <c r="Z54" s="334"/>
      <c r="AA54" s="331"/>
      <c r="AB54" s="334"/>
      <c r="AC54" s="334"/>
      <c r="AD54" s="331"/>
      <c r="AE54" s="334"/>
      <c r="AF54" s="334"/>
      <c r="AG54" s="331"/>
      <c r="AH54" s="334"/>
      <c r="AI54" s="334"/>
      <c r="AJ54" s="331"/>
      <c r="AK54" s="334"/>
      <c r="AL54" s="334"/>
      <c r="AM54" s="331"/>
      <c r="AN54" s="334"/>
      <c r="AO54" s="334"/>
      <c r="AP54" s="331"/>
      <c r="AQ54" s="334"/>
      <c r="AR54" s="334"/>
      <c r="AS54" s="331"/>
      <c r="AT54" s="334"/>
      <c r="AU54" s="334"/>
      <c r="AV54" s="331"/>
      <c r="AW54" s="334"/>
      <c r="AX54" s="334"/>
      <c r="AY54" s="331"/>
      <c r="AZ54" s="334"/>
      <c r="BA54" s="334"/>
      <c r="BB54" s="331"/>
      <c r="BC54" s="334"/>
      <c r="BD54" s="334"/>
      <c r="BE54" s="331"/>
      <c r="BF54" s="334"/>
      <c r="BG54" s="334"/>
      <c r="BH54" s="331"/>
      <c r="BI54" s="334"/>
      <c r="BJ54" s="334"/>
      <c r="BK54" s="331"/>
      <c r="BL54" s="334"/>
      <c r="BM54" s="334"/>
      <c r="BN54" s="331"/>
      <c r="BO54" s="334"/>
      <c r="BP54" s="334"/>
      <c r="BQ54" s="331"/>
      <c r="BR54" s="332"/>
    </row>
    <row r="55" spans="1:70">
      <c r="A55" s="142" t="s">
        <v>2818</v>
      </c>
      <c r="B55" s="268">
        <v>10400</v>
      </c>
      <c r="C55" s="268">
        <v>0</v>
      </c>
      <c r="D55" s="333"/>
      <c r="E55" s="333"/>
      <c r="F55" s="331"/>
      <c r="G55" s="334"/>
      <c r="H55" s="334"/>
      <c r="I55" s="331"/>
      <c r="J55" s="334"/>
      <c r="K55" s="334"/>
      <c r="L55" s="331"/>
      <c r="M55" s="334"/>
      <c r="N55" s="334"/>
      <c r="O55" s="331"/>
      <c r="P55" s="334"/>
      <c r="Q55" s="334"/>
      <c r="R55" s="331"/>
      <c r="S55" s="334"/>
      <c r="T55" s="334"/>
      <c r="U55" s="331"/>
      <c r="V55" s="334"/>
      <c r="W55" s="334"/>
      <c r="X55" s="331"/>
      <c r="Y55" s="334"/>
      <c r="Z55" s="334"/>
      <c r="AA55" s="331"/>
      <c r="AB55" s="334"/>
      <c r="AC55" s="334"/>
      <c r="AD55" s="331"/>
      <c r="AE55" s="334"/>
      <c r="AF55" s="334"/>
      <c r="AG55" s="331"/>
      <c r="AH55" s="334"/>
      <c r="AI55" s="334"/>
      <c r="AJ55" s="331"/>
      <c r="AK55" s="334"/>
      <c r="AL55" s="334"/>
      <c r="AM55" s="331"/>
      <c r="AN55" s="334"/>
      <c r="AO55" s="334"/>
      <c r="AP55" s="331"/>
      <c r="AQ55" s="334"/>
      <c r="AR55" s="334"/>
      <c r="AS55" s="331"/>
      <c r="AT55" s="334"/>
      <c r="AU55" s="334"/>
      <c r="AV55" s="331"/>
      <c r="AW55" s="334"/>
      <c r="AX55" s="334"/>
      <c r="AY55" s="331"/>
      <c r="AZ55" s="334"/>
      <c r="BA55" s="334"/>
      <c r="BB55" s="331"/>
      <c r="BC55" s="334"/>
      <c r="BD55" s="334"/>
      <c r="BE55" s="331"/>
      <c r="BF55" s="334"/>
      <c r="BG55" s="334"/>
      <c r="BH55" s="331"/>
      <c r="BI55" s="334"/>
      <c r="BJ55" s="334"/>
      <c r="BK55" s="331"/>
      <c r="BL55" s="334"/>
      <c r="BM55" s="334"/>
      <c r="BN55" s="331"/>
      <c r="BO55" s="334"/>
      <c r="BP55" s="334"/>
      <c r="BQ55" s="331"/>
      <c r="BR55" s="332"/>
    </row>
    <row r="56" spans="1:70">
      <c r="A56" s="142" t="s">
        <v>4733</v>
      </c>
      <c r="B56" s="268">
        <v>10500</v>
      </c>
      <c r="C56" s="268">
        <v>0</v>
      </c>
      <c r="D56" s="333"/>
      <c r="E56" s="333"/>
      <c r="F56" s="331"/>
      <c r="G56" s="334"/>
      <c r="H56" s="334"/>
      <c r="I56" s="331"/>
      <c r="J56" s="334"/>
      <c r="K56" s="334"/>
      <c r="L56" s="331"/>
      <c r="M56" s="334"/>
      <c r="N56" s="334"/>
      <c r="O56" s="331"/>
      <c r="P56" s="334"/>
      <c r="Q56" s="334"/>
      <c r="R56" s="331"/>
      <c r="S56" s="334"/>
      <c r="T56" s="334"/>
      <c r="U56" s="331"/>
      <c r="V56" s="334"/>
      <c r="W56" s="334"/>
      <c r="X56" s="331"/>
      <c r="Y56" s="334"/>
      <c r="Z56" s="334"/>
      <c r="AA56" s="331"/>
      <c r="AB56" s="334"/>
      <c r="AC56" s="334"/>
      <c r="AD56" s="331"/>
      <c r="AE56" s="334"/>
      <c r="AF56" s="334"/>
      <c r="AG56" s="331"/>
      <c r="AH56" s="334"/>
      <c r="AI56" s="334"/>
      <c r="AJ56" s="331"/>
      <c r="AK56" s="334"/>
      <c r="AL56" s="334"/>
      <c r="AM56" s="331"/>
      <c r="AN56" s="334"/>
      <c r="AO56" s="334"/>
      <c r="AP56" s="331"/>
      <c r="AQ56" s="334"/>
      <c r="AR56" s="334"/>
      <c r="AS56" s="331"/>
      <c r="AT56" s="334"/>
      <c r="AU56" s="334"/>
      <c r="AV56" s="331"/>
      <c r="AW56" s="334"/>
      <c r="AX56" s="334"/>
      <c r="AY56" s="331"/>
      <c r="AZ56" s="334"/>
      <c r="BA56" s="334"/>
      <c r="BB56" s="331"/>
      <c r="BC56" s="334"/>
      <c r="BD56" s="334"/>
      <c r="BE56" s="331"/>
      <c r="BF56" s="334"/>
      <c r="BG56" s="334"/>
      <c r="BH56" s="331"/>
      <c r="BI56" s="334"/>
      <c r="BJ56" s="334"/>
      <c r="BK56" s="331"/>
      <c r="BL56" s="334"/>
      <c r="BM56" s="334"/>
      <c r="BN56" s="331"/>
      <c r="BO56" s="334"/>
      <c r="BP56" s="334"/>
      <c r="BQ56" s="331"/>
      <c r="BR56" s="332"/>
    </row>
    <row r="57" spans="1:70">
      <c r="A57" s="142" t="s">
        <v>5138</v>
      </c>
      <c r="B57" s="268">
        <v>52300</v>
      </c>
      <c r="C57" s="268">
        <v>0</v>
      </c>
      <c r="D57" s="333"/>
      <c r="E57" s="333"/>
      <c r="F57" s="331"/>
      <c r="G57" s="334"/>
      <c r="H57" s="334"/>
      <c r="I57" s="331"/>
      <c r="J57" s="334"/>
      <c r="K57" s="334"/>
      <c r="L57" s="331"/>
      <c r="M57" s="334"/>
      <c r="N57" s="334"/>
      <c r="O57" s="331"/>
      <c r="P57" s="334"/>
      <c r="Q57" s="334"/>
      <c r="R57" s="331"/>
      <c r="S57" s="334"/>
      <c r="T57" s="334"/>
      <c r="U57" s="331"/>
      <c r="V57" s="334"/>
      <c r="W57" s="334"/>
      <c r="X57" s="331"/>
      <c r="Y57" s="334"/>
      <c r="Z57" s="334"/>
      <c r="AA57" s="331"/>
      <c r="AB57" s="334"/>
      <c r="AC57" s="334"/>
      <c r="AD57" s="331"/>
      <c r="AE57" s="334"/>
      <c r="AF57" s="334"/>
      <c r="AG57" s="331"/>
      <c r="AH57" s="334"/>
      <c r="AI57" s="334"/>
      <c r="AJ57" s="331"/>
      <c r="AK57" s="334"/>
      <c r="AL57" s="334"/>
      <c r="AM57" s="331"/>
      <c r="AN57" s="334"/>
      <c r="AO57" s="334"/>
      <c r="AP57" s="331"/>
      <c r="AQ57" s="334"/>
      <c r="AR57" s="334"/>
      <c r="AS57" s="331"/>
      <c r="AT57" s="334"/>
      <c r="AU57" s="334"/>
      <c r="AV57" s="331"/>
      <c r="AW57" s="334"/>
      <c r="AX57" s="334"/>
      <c r="AY57" s="331"/>
      <c r="AZ57" s="334"/>
      <c r="BA57" s="334"/>
      <c r="BB57" s="331"/>
      <c r="BC57" s="334"/>
      <c r="BD57" s="334"/>
      <c r="BE57" s="331"/>
      <c r="BF57" s="334"/>
      <c r="BG57" s="334"/>
      <c r="BH57" s="331"/>
      <c r="BI57" s="334"/>
      <c r="BJ57" s="334"/>
      <c r="BK57" s="331"/>
      <c r="BL57" s="334"/>
      <c r="BM57" s="334"/>
      <c r="BN57" s="331"/>
      <c r="BO57" s="334"/>
      <c r="BP57" s="334"/>
      <c r="BQ57" s="331"/>
      <c r="BR57" s="332"/>
    </row>
    <row r="58" spans="1:70">
      <c r="A58" s="142" t="s">
        <v>3389</v>
      </c>
      <c r="B58" s="268">
        <v>25100</v>
      </c>
      <c r="C58" s="268">
        <v>0</v>
      </c>
      <c r="D58" s="333"/>
      <c r="E58" s="333"/>
      <c r="F58" s="331"/>
      <c r="G58" s="334"/>
      <c r="H58" s="334"/>
      <c r="I58" s="331"/>
      <c r="J58" s="334"/>
      <c r="K58" s="334"/>
      <c r="L58" s="331"/>
      <c r="M58" s="334"/>
      <c r="N58" s="334"/>
      <c r="O58" s="331"/>
      <c r="P58" s="334"/>
      <c r="Q58" s="334"/>
      <c r="R58" s="331"/>
      <c r="S58" s="334"/>
      <c r="T58" s="334"/>
      <c r="U58" s="331"/>
      <c r="V58" s="334"/>
      <c r="W58" s="334"/>
      <c r="X58" s="331"/>
      <c r="Y58" s="334"/>
      <c r="Z58" s="334"/>
      <c r="AA58" s="331"/>
      <c r="AB58" s="334"/>
      <c r="AC58" s="334"/>
      <c r="AD58" s="331"/>
      <c r="AE58" s="334"/>
      <c r="AF58" s="334"/>
      <c r="AG58" s="331"/>
      <c r="AH58" s="334"/>
      <c r="AI58" s="334"/>
      <c r="AJ58" s="331"/>
      <c r="AK58" s="334"/>
      <c r="AL58" s="334"/>
      <c r="AM58" s="331"/>
      <c r="AN58" s="334"/>
      <c r="AO58" s="334"/>
      <c r="AP58" s="331"/>
      <c r="AQ58" s="334"/>
      <c r="AR58" s="334"/>
      <c r="AS58" s="331"/>
      <c r="AT58" s="334"/>
      <c r="AU58" s="334"/>
      <c r="AV58" s="331"/>
      <c r="AW58" s="334"/>
      <c r="AX58" s="334"/>
      <c r="AY58" s="331"/>
      <c r="AZ58" s="334"/>
      <c r="BA58" s="334"/>
      <c r="BB58" s="331"/>
      <c r="BC58" s="334"/>
      <c r="BD58" s="334"/>
      <c r="BE58" s="331"/>
      <c r="BF58" s="334"/>
      <c r="BG58" s="334"/>
      <c r="BH58" s="331"/>
      <c r="BI58" s="334"/>
      <c r="BJ58" s="334"/>
      <c r="BK58" s="331"/>
      <c r="BL58" s="334"/>
      <c r="BM58" s="334"/>
      <c r="BN58" s="331"/>
      <c r="BO58" s="334"/>
      <c r="BP58" s="334"/>
      <c r="BQ58" s="331"/>
      <c r="BR58" s="332"/>
    </row>
    <row r="59" spans="1:70">
      <c r="A59" s="142" t="s">
        <v>3380</v>
      </c>
      <c r="B59" s="268">
        <v>10900</v>
      </c>
      <c r="C59" s="268">
        <v>0</v>
      </c>
      <c r="D59" s="333"/>
      <c r="E59" s="333"/>
      <c r="F59" s="331"/>
      <c r="G59" s="334"/>
      <c r="H59" s="334"/>
      <c r="I59" s="331"/>
      <c r="J59" s="334"/>
      <c r="K59" s="334"/>
      <c r="L59" s="331"/>
      <c r="M59" s="334"/>
      <c r="N59" s="334"/>
      <c r="O59" s="331"/>
      <c r="P59" s="334"/>
      <c r="Q59" s="334"/>
      <c r="R59" s="331"/>
      <c r="S59" s="334"/>
      <c r="T59" s="334"/>
      <c r="U59" s="331"/>
      <c r="V59" s="334"/>
      <c r="W59" s="334"/>
      <c r="X59" s="331"/>
      <c r="Y59" s="334"/>
      <c r="Z59" s="334"/>
      <c r="AA59" s="331"/>
      <c r="AB59" s="334"/>
      <c r="AC59" s="334"/>
      <c r="AD59" s="331"/>
      <c r="AE59" s="334"/>
      <c r="AF59" s="334"/>
      <c r="AG59" s="331"/>
      <c r="AH59" s="334"/>
      <c r="AI59" s="334"/>
      <c r="AJ59" s="331"/>
      <c r="AK59" s="334"/>
      <c r="AL59" s="334"/>
      <c r="AM59" s="331"/>
      <c r="AN59" s="334"/>
      <c r="AO59" s="334"/>
      <c r="AP59" s="331"/>
      <c r="AQ59" s="334"/>
      <c r="AR59" s="334"/>
      <c r="AS59" s="331"/>
      <c r="AT59" s="334"/>
      <c r="AU59" s="334"/>
      <c r="AV59" s="331"/>
      <c r="AW59" s="334"/>
      <c r="AX59" s="334"/>
      <c r="AY59" s="331"/>
      <c r="AZ59" s="334"/>
      <c r="BA59" s="334"/>
      <c r="BB59" s="331"/>
      <c r="BC59" s="334"/>
      <c r="BD59" s="334"/>
      <c r="BE59" s="331"/>
      <c r="BF59" s="334"/>
      <c r="BG59" s="334"/>
      <c r="BH59" s="331"/>
      <c r="BI59" s="334"/>
      <c r="BJ59" s="334"/>
      <c r="BK59" s="331"/>
      <c r="BL59" s="334"/>
      <c r="BM59" s="334"/>
      <c r="BN59" s="331"/>
      <c r="BO59" s="334"/>
      <c r="BP59" s="334"/>
      <c r="BQ59" s="331"/>
      <c r="BR59" s="332"/>
    </row>
    <row r="60" spans="1:70">
      <c r="A60" s="142" t="s">
        <v>4691</v>
      </c>
      <c r="B60" s="268">
        <v>10000</v>
      </c>
      <c r="C60" s="268">
        <v>0</v>
      </c>
      <c r="D60" s="333"/>
      <c r="E60" s="333"/>
      <c r="F60" s="331"/>
      <c r="G60" s="334"/>
      <c r="H60" s="334"/>
      <c r="I60" s="331"/>
      <c r="J60" s="334"/>
      <c r="K60" s="334"/>
      <c r="L60" s="331"/>
      <c r="M60" s="334"/>
      <c r="N60" s="334"/>
      <c r="O60" s="331"/>
      <c r="P60" s="334"/>
      <c r="Q60" s="334"/>
      <c r="R60" s="331"/>
      <c r="S60" s="334"/>
      <c r="T60" s="334"/>
      <c r="U60" s="331"/>
      <c r="V60" s="334"/>
      <c r="W60" s="334"/>
      <c r="X60" s="331"/>
      <c r="Y60" s="334"/>
      <c r="Z60" s="334"/>
      <c r="AA60" s="331"/>
      <c r="AB60" s="334"/>
      <c r="AC60" s="334"/>
      <c r="AD60" s="331"/>
      <c r="AE60" s="334"/>
      <c r="AF60" s="334"/>
      <c r="AG60" s="331"/>
      <c r="AH60" s="334"/>
      <c r="AI60" s="334"/>
      <c r="AJ60" s="331"/>
      <c r="AK60" s="334"/>
      <c r="AL60" s="334"/>
      <c r="AM60" s="331"/>
      <c r="AN60" s="334"/>
      <c r="AO60" s="334"/>
      <c r="AP60" s="331"/>
      <c r="AQ60" s="334"/>
      <c r="AR60" s="334"/>
      <c r="AS60" s="331"/>
      <c r="AT60" s="334"/>
      <c r="AU60" s="334"/>
      <c r="AV60" s="331"/>
      <c r="AW60" s="334"/>
      <c r="AX60" s="334"/>
      <c r="AY60" s="331"/>
      <c r="AZ60" s="334"/>
      <c r="BA60" s="334"/>
      <c r="BB60" s="331"/>
      <c r="BC60" s="334"/>
      <c r="BD60" s="334"/>
      <c r="BE60" s="331"/>
      <c r="BF60" s="334"/>
      <c r="BG60" s="334"/>
      <c r="BH60" s="331"/>
      <c r="BI60" s="334"/>
      <c r="BJ60" s="334"/>
      <c r="BK60" s="331"/>
      <c r="BL60" s="334"/>
      <c r="BM60" s="334"/>
      <c r="BN60" s="331"/>
      <c r="BO60" s="334"/>
      <c r="BP60" s="334"/>
      <c r="BQ60" s="331"/>
      <c r="BR60" s="332"/>
    </row>
    <row r="61" spans="1:70">
      <c r="A61" s="142" t="s">
        <v>2739</v>
      </c>
      <c r="B61" s="268">
        <v>9400</v>
      </c>
      <c r="C61" s="268">
        <v>0</v>
      </c>
      <c r="D61" s="333"/>
      <c r="E61" s="333"/>
      <c r="F61" s="331"/>
      <c r="G61" s="334"/>
      <c r="H61" s="334"/>
      <c r="I61" s="331"/>
      <c r="J61" s="334"/>
      <c r="K61" s="334"/>
      <c r="L61" s="331"/>
      <c r="M61" s="334"/>
      <c r="N61" s="334"/>
      <c r="O61" s="331"/>
      <c r="P61" s="334"/>
      <c r="Q61" s="334"/>
      <c r="R61" s="331"/>
      <c r="S61" s="334"/>
      <c r="T61" s="334"/>
      <c r="U61" s="331"/>
      <c r="V61" s="334"/>
      <c r="W61" s="334"/>
      <c r="X61" s="331"/>
      <c r="Y61" s="334"/>
      <c r="Z61" s="334"/>
      <c r="AA61" s="331"/>
      <c r="AB61" s="334"/>
      <c r="AC61" s="334"/>
      <c r="AD61" s="331"/>
      <c r="AE61" s="334"/>
      <c r="AF61" s="334"/>
      <c r="AG61" s="331"/>
      <c r="AH61" s="334"/>
      <c r="AI61" s="334"/>
      <c r="AJ61" s="331"/>
      <c r="AK61" s="334"/>
      <c r="AL61" s="334"/>
      <c r="AM61" s="331"/>
      <c r="AN61" s="334"/>
      <c r="AO61" s="334"/>
      <c r="AP61" s="331"/>
      <c r="AQ61" s="334"/>
      <c r="AR61" s="334"/>
      <c r="AS61" s="331"/>
      <c r="AT61" s="334"/>
      <c r="AU61" s="334"/>
      <c r="AV61" s="331"/>
      <c r="AW61" s="334"/>
      <c r="AX61" s="334"/>
      <c r="AY61" s="331"/>
      <c r="AZ61" s="334"/>
      <c r="BA61" s="334"/>
      <c r="BB61" s="331"/>
      <c r="BC61" s="334"/>
      <c r="BD61" s="334"/>
      <c r="BE61" s="331"/>
      <c r="BF61" s="334"/>
      <c r="BG61" s="334"/>
      <c r="BH61" s="331"/>
      <c r="BI61" s="334"/>
      <c r="BJ61" s="334"/>
      <c r="BK61" s="331"/>
      <c r="BL61" s="334"/>
      <c r="BM61" s="334"/>
      <c r="BN61" s="331"/>
      <c r="BO61" s="334"/>
      <c r="BP61" s="334"/>
      <c r="BQ61" s="331"/>
      <c r="BR61" s="332"/>
    </row>
    <row r="62" spans="1:70">
      <c r="A62" s="142" t="s">
        <v>4513</v>
      </c>
      <c r="B62" s="268">
        <v>9000</v>
      </c>
      <c r="C62" s="268">
        <v>0</v>
      </c>
      <c r="D62" s="333"/>
      <c r="E62" s="333"/>
      <c r="F62" s="331"/>
      <c r="G62" s="334"/>
      <c r="H62" s="334"/>
      <c r="I62" s="331"/>
      <c r="J62" s="334"/>
      <c r="K62" s="334"/>
      <c r="L62" s="331"/>
      <c r="M62" s="334"/>
      <c r="N62" s="334"/>
      <c r="O62" s="331"/>
      <c r="P62" s="334"/>
      <c r="Q62" s="334"/>
      <c r="R62" s="331"/>
      <c r="S62" s="334"/>
      <c r="T62" s="334"/>
      <c r="U62" s="331"/>
      <c r="V62" s="334"/>
      <c r="W62" s="334"/>
      <c r="X62" s="331"/>
      <c r="Y62" s="334"/>
      <c r="Z62" s="334"/>
      <c r="AA62" s="331"/>
      <c r="AB62" s="334"/>
      <c r="AC62" s="334"/>
      <c r="AD62" s="331"/>
      <c r="AE62" s="334"/>
      <c r="AF62" s="334"/>
      <c r="AG62" s="331"/>
      <c r="AH62" s="334"/>
      <c r="AI62" s="334"/>
      <c r="AJ62" s="331"/>
      <c r="AK62" s="334"/>
      <c r="AL62" s="334"/>
      <c r="AM62" s="331"/>
      <c r="AN62" s="334"/>
      <c r="AO62" s="334"/>
      <c r="AP62" s="331"/>
      <c r="AQ62" s="334"/>
      <c r="AR62" s="334"/>
      <c r="AS62" s="331"/>
      <c r="AT62" s="334"/>
      <c r="AU62" s="334"/>
      <c r="AV62" s="331"/>
      <c r="AW62" s="334"/>
      <c r="AX62" s="334"/>
      <c r="AY62" s="331"/>
      <c r="AZ62" s="334"/>
      <c r="BA62" s="334"/>
      <c r="BB62" s="331"/>
      <c r="BC62" s="334"/>
      <c r="BD62" s="334"/>
      <c r="BE62" s="331"/>
      <c r="BF62" s="334"/>
      <c r="BG62" s="334"/>
      <c r="BH62" s="331"/>
      <c r="BI62" s="334"/>
      <c r="BJ62" s="334"/>
      <c r="BK62" s="331"/>
      <c r="BL62" s="334"/>
      <c r="BM62" s="334"/>
      <c r="BN62" s="331"/>
      <c r="BO62" s="334"/>
      <c r="BP62" s="334"/>
      <c r="BQ62" s="331"/>
      <c r="BR62" s="332"/>
    </row>
    <row r="63" spans="1:70">
      <c r="A63" s="142" t="s">
        <v>3245</v>
      </c>
      <c r="B63" s="268">
        <v>38300</v>
      </c>
      <c r="C63" s="268">
        <v>0</v>
      </c>
      <c r="D63" s="333"/>
      <c r="E63" s="333"/>
      <c r="F63" s="331"/>
      <c r="G63" s="334"/>
      <c r="H63" s="334"/>
      <c r="I63" s="331"/>
      <c r="J63" s="334"/>
      <c r="K63" s="334"/>
      <c r="L63" s="331"/>
      <c r="M63" s="334"/>
      <c r="N63" s="334"/>
      <c r="O63" s="331"/>
      <c r="P63" s="334"/>
      <c r="Q63" s="334"/>
      <c r="R63" s="331"/>
      <c r="S63" s="334"/>
      <c r="T63" s="334"/>
      <c r="U63" s="331"/>
      <c r="V63" s="334"/>
      <c r="W63" s="334"/>
      <c r="X63" s="331"/>
      <c r="Y63" s="334"/>
      <c r="Z63" s="334"/>
      <c r="AA63" s="331"/>
      <c r="AB63" s="334"/>
      <c r="AC63" s="334"/>
      <c r="AD63" s="331"/>
      <c r="AE63" s="334"/>
      <c r="AF63" s="334"/>
      <c r="AG63" s="331"/>
      <c r="AH63" s="334"/>
      <c r="AI63" s="334"/>
      <c r="AJ63" s="331"/>
      <c r="AK63" s="334"/>
      <c r="AL63" s="334"/>
      <c r="AM63" s="331"/>
      <c r="AN63" s="334"/>
      <c r="AO63" s="334"/>
      <c r="AP63" s="331"/>
      <c r="AQ63" s="334"/>
      <c r="AR63" s="334"/>
      <c r="AS63" s="331"/>
      <c r="AT63" s="334"/>
      <c r="AU63" s="334"/>
      <c r="AV63" s="331"/>
      <c r="AW63" s="334"/>
      <c r="AX63" s="334"/>
      <c r="AY63" s="331"/>
      <c r="AZ63" s="334"/>
      <c r="BA63" s="334"/>
      <c r="BB63" s="331"/>
      <c r="BC63" s="334"/>
      <c r="BD63" s="334"/>
      <c r="BE63" s="331"/>
      <c r="BF63" s="334"/>
      <c r="BG63" s="334"/>
      <c r="BH63" s="331"/>
      <c r="BI63" s="334"/>
      <c r="BJ63" s="334"/>
      <c r="BK63" s="331"/>
      <c r="BL63" s="334"/>
      <c r="BM63" s="334"/>
      <c r="BN63" s="331"/>
      <c r="BO63" s="334"/>
      <c r="BP63" s="334"/>
      <c r="BQ63" s="331"/>
      <c r="BR63" s="332"/>
    </row>
    <row r="64" spans="1:70">
      <c r="A64" s="142" t="s">
        <v>3251</v>
      </c>
      <c r="B64" s="268">
        <v>38600</v>
      </c>
      <c r="C64" s="268">
        <v>0</v>
      </c>
      <c r="D64" s="333"/>
      <c r="E64" s="333"/>
      <c r="F64" s="331"/>
      <c r="G64" s="334"/>
      <c r="H64" s="334"/>
      <c r="I64" s="331"/>
      <c r="J64" s="334"/>
      <c r="K64" s="334"/>
      <c r="L64" s="331"/>
      <c r="M64" s="334"/>
      <c r="N64" s="334"/>
      <c r="O64" s="331"/>
      <c r="P64" s="334"/>
      <c r="Q64" s="334"/>
      <c r="R64" s="331"/>
      <c r="S64" s="334"/>
      <c r="T64" s="334"/>
      <c r="U64" s="331"/>
      <c r="V64" s="334"/>
      <c r="W64" s="334"/>
      <c r="X64" s="331"/>
      <c r="Y64" s="334"/>
      <c r="Z64" s="334"/>
      <c r="AA64" s="331"/>
      <c r="AB64" s="334"/>
      <c r="AC64" s="334"/>
      <c r="AD64" s="331"/>
      <c r="AE64" s="334"/>
      <c r="AF64" s="334"/>
      <c r="AG64" s="331"/>
      <c r="AH64" s="334"/>
      <c r="AI64" s="334"/>
      <c r="AJ64" s="331"/>
      <c r="AK64" s="334"/>
      <c r="AL64" s="334"/>
      <c r="AM64" s="331"/>
      <c r="AN64" s="334"/>
      <c r="AO64" s="334"/>
      <c r="AP64" s="331"/>
      <c r="AQ64" s="334"/>
      <c r="AR64" s="334"/>
      <c r="AS64" s="331"/>
      <c r="AT64" s="334"/>
      <c r="AU64" s="334"/>
      <c r="AV64" s="331"/>
      <c r="AW64" s="334"/>
      <c r="AX64" s="334"/>
      <c r="AY64" s="331"/>
      <c r="AZ64" s="334"/>
      <c r="BA64" s="334"/>
      <c r="BB64" s="331"/>
      <c r="BC64" s="334"/>
      <c r="BD64" s="334"/>
      <c r="BE64" s="331"/>
      <c r="BF64" s="334"/>
      <c r="BG64" s="334"/>
      <c r="BH64" s="331"/>
      <c r="BI64" s="334"/>
      <c r="BJ64" s="334"/>
      <c r="BK64" s="331"/>
      <c r="BL64" s="334"/>
      <c r="BM64" s="334"/>
      <c r="BN64" s="331"/>
      <c r="BO64" s="334"/>
      <c r="BP64" s="334"/>
      <c r="BQ64" s="331"/>
      <c r="BR64" s="332"/>
    </row>
    <row r="65" spans="1:70">
      <c r="A65" s="142" t="s">
        <v>3120</v>
      </c>
      <c r="B65" s="268">
        <v>25000</v>
      </c>
      <c r="C65" s="268">
        <v>0</v>
      </c>
      <c r="D65" s="333"/>
      <c r="E65" s="333"/>
      <c r="F65" s="331"/>
      <c r="G65" s="334"/>
      <c r="H65" s="334"/>
      <c r="I65" s="331"/>
      <c r="J65" s="334"/>
      <c r="K65" s="334"/>
      <c r="L65" s="331"/>
      <c r="M65" s="334"/>
      <c r="N65" s="334"/>
      <c r="O65" s="331"/>
      <c r="P65" s="334"/>
      <c r="Q65" s="334"/>
      <c r="R65" s="331"/>
      <c r="S65" s="334"/>
      <c r="T65" s="334"/>
      <c r="U65" s="331"/>
      <c r="V65" s="334"/>
      <c r="W65" s="334"/>
      <c r="X65" s="331"/>
      <c r="Y65" s="334"/>
      <c r="Z65" s="334"/>
      <c r="AA65" s="331"/>
      <c r="AB65" s="334"/>
      <c r="AC65" s="334"/>
      <c r="AD65" s="331"/>
      <c r="AE65" s="334"/>
      <c r="AF65" s="334"/>
      <c r="AG65" s="331"/>
      <c r="AH65" s="334"/>
      <c r="AI65" s="334"/>
      <c r="AJ65" s="331"/>
      <c r="AK65" s="334"/>
      <c r="AL65" s="334"/>
      <c r="AM65" s="331"/>
      <c r="AN65" s="334"/>
      <c r="AO65" s="334"/>
      <c r="AP65" s="331"/>
      <c r="AQ65" s="334"/>
      <c r="AR65" s="334"/>
      <c r="AS65" s="331"/>
      <c r="AT65" s="334"/>
      <c r="AU65" s="334"/>
      <c r="AV65" s="331"/>
      <c r="AW65" s="334"/>
      <c r="AX65" s="334"/>
      <c r="AY65" s="331"/>
      <c r="AZ65" s="334"/>
      <c r="BA65" s="334"/>
      <c r="BB65" s="331"/>
      <c r="BC65" s="334"/>
      <c r="BD65" s="334"/>
      <c r="BE65" s="331"/>
      <c r="BF65" s="334"/>
      <c r="BG65" s="334"/>
      <c r="BH65" s="331"/>
      <c r="BI65" s="334"/>
      <c r="BJ65" s="334"/>
      <c r="BK65" s="331"/>
      <c r="BL65" s="334"/>
      <c r="BM65" s="334"/>
      <c r="BN65" s="331"/>
      <c r="BO65" s="334"/>
      <c r="BP65" s="334"/>
      <c r="BQ65" s="331"/>
      <c r="BR65" s="332"/>
    </row>
    <row r="66" spans="1:70">
      <c r="A66" s="142" t="s">
        <v>3264</v>
      </c>
      <c r="B66" s="268">
        <v>23400</v>
      </c>
      <c r="C66" s="268">
        <v>0</v>
      </c>
      <c r="D66" s="333"/>
      <c r="E66" s="333"/>
      <c r="F66" s="331"/>
      <c r="G66" s="334"/>
      <c r="H66" s="334"/>
      <c r="I66" s="331"/>
      <c r="J66" s="334"/>
      <c r="K66" s="334"/>
      <c r="L66" s="331"/>
      <c r="M66" s="334"/>
      <c r="N66" s="334"/>
      <c r="O66" s="331"/>
      <c r="P66" s="334"/>
      <c r="Q66" s="334"/>
      <c r="R66" s="331"/>
      <c r="S66" s="334"/>
      <c r="T66" s="334"/>
      <c r="U66" s="331"/>
      <c r="V66" s="334"/>
      <c r="W66" s="334"/>
      <c r="X66" s="331"/>
      <c r="Y66" s="334"/>
      <c r="Z66" s="334"/>
      <c r="AA66" s="331"/>
      <c r="AB66" s="334"/>
      <c r="AC66" s="334"/>
      <c r="AD66" s="331"/>
      <c r="AE66" s="334"/>
      <c r="AF66" s="334"/>
      <c r="AG66" s="331"/>
      <c r="AH66" s="334"/>
      <c r="AI66" s="334"/>
      <c r="AJ66" s="331"/>
      <c r="AK66" s="334"/>
      <c r="AL66" s="334"/>
      <c r="AM66" s="331"/>
      <c r="AN66" s="334"/>
      <c r="AO66" s="334"/>
      <c r="AP66" s="331"/>
      <c r="AQ66" s="334"/>
      <c r="AR66" s="334"/>
      <c r="AS66" s="331"/>
      <c r="AT66" s="334"/>
      <c r="AU66" s="334"/>
      <c r="AV66" s="331"/>
      <c r="AW66" s="334"/>
      <c r="AX66" s="334"/>
      <c r="AY66" s="331"/>
      <c r="AZ66" s="334"/>
      <c r="BA66" s="334"/>
      <c r="BB66" s="331"/>
      <c r="BC66" s="334"/>
      <c r="BD66" s="334"/>
      <c r="BE66" s="331"/>
      <c r="BF66" s="334"/>
      <c r="BG66" s="334"/>
      <c r="BH66" s="331"/>
      <c r="BI66" s="334"/>
      <c r="BJ66" s="334"/>
      <c r="BK66" s="331"/>
      <c r="BL66" s="334"/>
      <c r="BM66" s="334"/>
      <c r="BN66" s="331"/>
      <c r="BO66" s="334"/>
      <c r="BP66" s="334"/>
      <c r="BQ66" s="331"/>
      <c r="BR66" s="332"/>
    </row>
    <row r="67" spans="1:70">
      <c r="A67" s="142" t="s">
        <v>3113</v>
      </c>
      <c r="B67" s="268">
        <v>26200</v>
      </c>
      <c r="C67" s="268">
        <v>0</v>
      </c>
      <c r="D67" s="333"/>
      <c r="E67" s="333"/>
      <c r="F67" s="331"/>
      <c r="G67" s="334"/>
      <c r="H67" s="334"/>
      <c r="I67" s="331"/>
      <c r="J67" s="334"/>
      <c r="K67" s="334"/>
      <c r="L67" s="331"/>
      <c r="M67" s="334"/>
      <c r="N67" s="334"/>
      <c r="O67" s="331"/>
      <c r="P67" s="334"/>
      <c r="Q67" s="334"/>
      <c r="R67" s="331"/>
      <c r="S67" s="334"/>
      <c r="T67" s="334"/>
      <c r="U67" s="331"/>
      <c r="V67" s="334"/>
      <c r="W67" s="334"/>
      <c r="X67" s="331"/>
      <c r="Y67" s="334"/>
      <c r="Z67" s="334"/>
      <c r="AA67" s="331"/>
      <c r="AB67" s="334"/>
      <c r="AC67" s="334"/>
      <c r="AD67" s="331"/>
      <c r="AE67" s="334"/>
      <c r="AF67" s="334"/>
      <c r="AG67" s="331"/>
      <c r="AH67" s="334"/>
      <c r="AI67" s="334"/>
      <c r="AJ67" s="331"/>
      <c r="AK67" s="334"/>
      <c r="AL67" s="334"/>
      <c r="AM67" s="331"/>
      <c r="AN67" s="334"/>
      <c r="AO67" s="334"/>
      <c r="AP67" s="331"/>
      <c r="AQ67" s="334"/>
      <c r="AR67" s="334"/>
      <c r="AS67" s="331"/>
      <c r="AT67" s="334"/>
      <c r="AU67" s="334"/>
      <c r="AV67" s="331"/>
      <c r="AW67" s="334"/>
      <c r="AX67" s="334"/>
      <c r="AY67" s="331"/>
      <c r="AZ67" s="334"/>
      <c r="BA67" s="334"/>
      <c r="BB67" s="331"/>
      <c r="BC67" s="334"/>
      <c r="BD67" s="334"/>
      <c r="BE67" s="331"/>
      <c r="BF67" s="334"/>
      <c r="BG67" s="334"/>
      <c r="BH67" s="331"/>
      <c r="BI67" s="334"/>
      <c r="BJ67" s="334"/>
      <c r="BK67" s="331"/>
      <c r="BL67" s="334"/>
      <c r="BM67" s="334"/>
      <c r="BN67" s="331"/>
      <c r="BO67" s="334"/>
      <c r="BP67" s="334"/>
      <c r="BQ67" s="331"/>
      <c r="BR67" s="332"/>
    </row>
    <row r="68" spans="1:70">
      <c r="A68" s="142" t="s">
        <v>3122</v>
      </c>
      <c r="B68" s="268">
        <v>11000</v>
      </c>
      <c r="C68" s="268">
        <v>0</v>
      </c>
      <c r="D68" s="333"/>
      <c r="E68" s="333"/>
      <c r="F68" s="331"/>
      <c r="G68" s="334"/>
      <c r="H68" s="334"/>
      <c r="I68" s="331"/>
      <c r="J68" s="334"/>
      <c r="K68" s="334"/>
      <c r="L68" s="331"/>
      <c r="M68" s="334"/>
      <c r="N68" s="334"/>
      <c r="O68" s="331"/>
      <c r="P68" s="334"/>
      <c r="Q68" s="334"/>
      <c r="R68" s="331"/>
      <c r="S68" s="334"/>
      <c r="T68" s="334"/>
      <c r="U68" s="331"/>
      <c r="V68" s="334"/>
      <c r="W68" s="334"/>
      <c r="X68" s="331"/>
      <c r="Y68" s="334"/>
      <c r="Z68" s="334"/>
      <c r="AA68" s="331"/>
      <c r="AB68" s="334"/>
      <c r="AC68" s="334"/>
      <c r="AD68" s="331"/>
      <c r="AE68" s="334"/>
      <c r="AF68" s="334"/>
      <c r="AG68" s="331"/>
      <c r="AH68" s="334"/>
      <c r="AI68" s="334"/>
      <c r="AJ68" s="331"/>
      <c r="AK68" s="334"/>
      <c r="AL68" s="334"/>
      <c r="AM68" s="331"/>
      <c r="AN68" s="334"/>
      <c r="AO68" s="334"/>
      <c r="AP68" s="331"/>
      <c r="AQ68" s="334"/>
      <c r="AR68" s="334"/>
      <c r="AS68" s="331"/>
      <c r="AT68" s="334"/>
      <c r="AU68" s="334"/>
      <c r="AV68" s="331"/>
      <c r="AW68" s="334"/>
      <c r="AX68" s="334"/>
      <c r="AY68" s="331"/>
      <c r="AZ68" s="334"/>
      <c r="BA68" s="334"/>
      <c r="BB68" s="331"/>
      <c r="BC68" s="334"/>
      <c r="BD68" s="334"/>
      <c r="BE68" s="331"/>
      <c r="BF68" s="334"/>
      <c r="BG68" s="334"/>
      <c r="BH68" s="331"/>
      <c r="BI68" s="334"/>
      <c r="BJ68" s="334"/>
      <c r="BK68" s="331"/>
      <c r="BL68" s="334"/>
      <c r="BM68" s="334"/>
      <c r="BN68" s="331"/>
      <c r="BO68" s="334"/>
      <c r="BP68" s="334"/>
      <c r="BQ68" s="331"/>
      <c r="BR68" s="332"/>
    </row>
    <row r="69" spans="1:70">
      <c r="A69" s="142" t="s">
        <v>3417</v>
      </c>
      <c r="B69" s="268">
        <v>2000</v>
      </c>
      <c r="C69" s="268">
        <v>0</v>
      </c>
      <c r="D69" s="333"/>
      <c r="E69" s="333"/>
      <c r="F69" s="331"/>
      <c r="G69" s="334"/>
      <c r="H69" s="334"/>
      <c r="I69" s="331"/>
      <c r="J69" s="334"/>
      <c r="K69" s="334"/>
      <c r="L69" s="331"/>
      <c r="M69" s="334"/>
      <c r="N69" s="334"/>
      <c r="O69" s="331"/>
      <c r="P69" s="334"/>
      <c r="Q69" s="334"/>
      <c r="R69" s="331"/>
      <c r="S69" s="334"/>
      <c r="T69" s="334"/>
      <c r="U69" s="331"/>
      <c r="V69" s="334"/>
      <c r="W69" s="334"/>
      <c r="X69" s="331"/>
      <c r="Y69" s="334"/>
      <c r="Z69" s="334"/>
      <c r="AA69" s="331"/>
      <c r="AB69" s="334"/>
      <c r="AC69" s="334"/>
      <c r="AD69" s="331"/>
      <c r="AE69" s="334"/>
      <c r="AF69" s="334"/>
      <c r="AG69" s="331"/>
      <c r="AH69" s="334"/>
      <c r="AI69" s="334"/>
      <c r="AJ69" s="331"/>
      <c r="AK69" s="334"/>
      <c r="AL69" s="334"/>
      <c r="AM69" s="331"/>
      <c r="AN69" s="334"/>
      <c r="AO69" s="334"/>
      <c r="AP69" s="331"/>
      <c r="AQ69" s="334"/>
      <c r="AR69" s="334"/>
      <c r="AS69" s="331"/>
      <c r="AT69" s="334"/>
      <c r="AU69" s="334"/>
      <c r="AV69" s="331"/>
      <c r="AW69" s="334"/>
      <c r="AX69" s="334"/>
      <c r="AY69" s="331"/>
      <c r="AZ69" s="334"/>
      <c r="BA69" s="334"/>
      <c r="BB69" s="331"/>
      <c r="BC69" s="334"/>
      <c r="BD69" s="334"/>
      <c r="BE69" s="331"/>
      <c r="BF69" s="334"/>
      <c r="BG69" s="334"/>
      <c r="BH69" s="331"/>
      <c r="BI69" s="334"/>
      <c r="BJ69" s="334"/>
      <c r="BK69" s="331"/>
      <c r="BL69" s="334"/>
      <c r="BM69" s="334"/>
      <c r="BN69" s="331"/>
      <c r="BO69" s="334"/>
      <c r="BP69" s="334"/>
      <c r="BQ69" s="331"/>
      <c r="BR69" s="332"/>
    </row>
    <row r="70" spans="1:70">
      <c r="A70" s="142" t="s">
        <v>3464</v>
      </c>
      <c r="B70" s="268">
        <v>2000</v>
      </c>
      <c r="C70" s="268">
        <v>0</v>
      </c>
      <c r="D70" s="333"/>
      <c r="E70" s="333"/>
      <c r="F70" s="331"/>
      <c r="G70" s="334"/>
      <c r="H70" s="334"/>
      <c r="I70" s="331"/>
      <c r="J70" s="334"/>
      <c r="K70" s="334"/>
      <c r="L70" s="331"/>
      <c r="M70" s="334"/>
      <c r="N70" s="334"/>
      <c r="O70" s="331"/>
      <c r="P70" s="334"/>
      <c r="Q70" s="334"/>
      <c r="R70" s="331"/>
      <c r="S70" s="334"/>
      <c r="T70" s="334"/>
      <c r="U70" s="331"/>
      <c r="V70" s="334"/>
      <c r="W70" s="334"/>
      <c r="X70" s="331"/>
      <c r="Y70" s="334"/>
      <c r="Z70" s="334"/>
      <c r="AA70" s="331"/>
      <c r="AB70" s="334"/>
      <c r="AC70" s="334"/>
      <c r="AD70" s="331"/>
      <c r="AE70" s="334"/>
      <c r="AF70" s="334"/>
      <c r="AG70" s="331"/>
      <c r="AH70" s="334"/>
      <c r="AI70" s="334"/>
      <c r="AJ70" s="331"/>
      <c r="AK70" s="334"/>
      <c r="AL70" s="334"/>
      <c r="AM70" s="331"/>
      <c r="AN70" s="334"/>
      <c r="AO70" s="334"/>
      <c r="AP70" s="331"/>
      <c r="AQ70" s="334"/>
      <c r="AR70" s="334"/>
      <c r="AS70" s="331"/>
      <c r="AT70" s="334"/>
      <c r="AU70" s="334"/>
      <c r="AV70" s="331"/>
      <c r="AW70" s="334"/>
      <c r="AX70" s="334"/>
      <c r="AY70" s="331"/>
      <c r="AZ70" s="334"/>
      <c r="BA70" s="334"/>
      <c r="BB70" s="331"/>
      <c r="BC70" s="334"/>
      <c r="BD70" s="334"/>
      <c r="BE70" s="331"/>
      <c r="BF70" s="334"/>
      <c r="BG70" s="334"/>
      <c r="BH70" s="331"/>
      <c r="BI70" s="334"/>
      <c r="BJ70" s="334"/>
      <c r="BK70" s="331"/>
      <c r="BL70" s="334"/>
      <c r="BM70" s="334"/>
      <c r="BN70" s="331"/>
      <c r="BO70" s="334"/>
      <c r="BP70" s="334"/>
      <c r="BQ70" s="331"/>
      <c r="BR70" s="332"/>
    </row>
    <row r="71" spans="1:70">
      <c r="A71" s="142" t="s">
        <v>3527</v>
      </c>
      <c r="B71" s="268">
        <v>20500</v>
      </c>
      <c r="C71" s="268">
        <v>0</v>
      </c>
      <c r="D71" s="333"/>
      <c r="E71" s="333"/>
      <c r="F71" s="331"/>
      <c r="G71" s="334"/>
      <c r="H71" s="334"/>
      <c r="I71" s="331"/>
      <c r="J71" s="334"/>
      <c r="K71" s="334"/>
      <c r="L71" s="331"/>
      <c r="M71" s="334"/>
      <c r="N71" s="334"/>
      <c r="O71" s="331"/>
      <c r="P71" s="334"/>
      <c r="Q71" s="334"/>
      <c r="R71" s="331"/>
      <c r="S71" s="334"/>
      <c r="T71" s="334"/>
      <c r="U71" s="331"/>
      <c r="V71" s="334"/>
      <c r="W71" s="334"/>
      <c r="X71" s="331"/>
      <c r="Y71" s="334"/>
      <c r="Z71" s="334"/>
      <c r="AA71" s="331"/>
      <c r="AB71" s="334"/>
      <c r="AC71" s="334"/>
      <c r="AD71" s="331"/>
      <c r="AE71" s="334"/>
      <c r="AF71" s="334"/>
      <c r="AG71" s="331"/>
      <c r="AH71" s="334"/>
      <c r="AI71" s="334"/>
      <c r="AJ71" s="331"/>
      <c r="AK71" s="334"/>
      <c r="AL71" s="334"/>
      <c r="AM71" s="331"/>
      <c r="AN71" s="334"/>
      <c r="AO71" s="334"/>
      <c r="AP71" s="331"/>
      <c r="AQ71" s="334"/>
      <c r="AR71" s="334"/>
      <c r="AS71" s="331"/>
      <c r="AT71" s="334"/>
      <c r="AU71" s="334"/>
      <c r="AV71" s="331"/>
      <c r="AW71" s="334"/>
      <c r="AX71" s="334"/>
      <c r="AY71" s="331"/>
      <c r="AZ71" s="334"/>
      <c r="BA71" s="334"/>
      <c r="BB71" s="331"/>
      <c r="BC71" s="334"/>
      <c r="BD71" s="334"/>
      <c r="BE71" s="331"/>
      <c r="BF71" s="334"/>
      <c r="BG71" s="334"/>
      <c r="BH71" s="331"/>
      <c r="BI71" s="334"/>
      <c r="BJ71" s="334"/>
      <c r="BK71" s="331"/>
      <c r="BL71" s="334"/>
      <c r="BM71" s="334"/>
      <c r="BN71" s="331"/>
      <c r="BO71" s="334"/>
      <c r="BP71" s="334"/>
      <c r="BQ71" s="331"/>
      <c r="BR71" s="332"/>
    </row>
    <row r="72" spans="1:70">
      <c r="A72" s="142" t="s">
        <v>3530</v>
      </c>
      <c r="B72" s="268">
        <v>10200</v>
      </c>
      <c r="C72" s="268">
        <v>0</v>
      </c>
      <c r="D72" s="333"/>
      <c r="E72" s="333"/>
      <c r="F72" s="331"/>
      <c r="G72" s="334"/>
      <c r="H72" s="334"/>
      <c r="I72" s="331"/>
      <c r="J72" s="334"/>
      <c r="K72" s="334"/>
      <c r="L72" s="331"/>
      <c r="M72" s="334"/>
      <c r="N72" s="334"/>
      <c r="O72" s="331"/>
      <c r="P72" s="334"/>
      <c r="Q72" s="334"/>
      <c r="R72" s="331"/>
      <c r="S72" s="334"/>
      <c r="T72" s="334"/>
      <c r="U72" s="331"/>
      <c r="V72" s="334"/>
      <c r="W72" s="334"/>
      <c r="X72" s="331"/>
      <c r="Y72" s="334"/>
      <c r="Z72" s="334"/>
      <c r="AA72" s="331"/>
      <c r="AB72" s="334"/>
      <c r="AC72" s="334"/>
      <c r="AD72" s="331"/>
      <c r="AE72" s="334"/>
      <c r="AF72" s="334"/>
      <c r="AG72" s="331"/>
      <c r="AH72" s="334"/>
      <c r="AI72" s="334"/>
      <c r="AJ72" s="331"/>
      <c r="AK72" s="334"/>
      <c r="AL72" s="334"/>
      <c r="AM72" s="331"/>
      <c r="AN72" s="334"/>
      <c r="AO72" s="334"/>
      <c r="AP72" s="331"/>
      <c r="AQ72" s="334"/>
      <c r="AR72" s="334"/>
      <c r="AS72" s="331"/>
      <c r="AT72" s="334"/>
      <c r="AU72" s="334"/>
      <c r="AV72" s="331"/>
      <c r="AW72" s="334"/>
      <c r="AX72" s="334"/>
      <c r="AY72" s="331"/>
      <c r="AZ72" s="334"/>
      <c r="BA72" s="334"/>
      <c r="BB72" s="331"/>
      <c r="BC72" s="334"/>
      <c r="BD72" s="334"/>
      <c r="BE72" s="331"/>
      <c r="BF72" s="334"/>
      <c r="BG72" s="334"/>
      <c r="BH72" s="331"/>
      <c r="BI72" s="334"/>
      <c r="BJ72" s="334"/>
      <c r="BK72" s="331"/>
      <c r="BL72" s="334"/>
      <c r="BM72" s="334"/>
      <c r="BN72" s="331"/>
      <c r="BO72" s="334"/>
      <c r="BP72" s="334"/>
      <c r="BQ72" s="331"/>
      <c r="BR72" s="332"/>
    </row>
    <row r="73" spans="1:70">
      <c r="A73" s="142" t="s">
        <v>4506</v>
      </c>
      <c r="B73" s="268">
        <v>17600</v>
      </c>
      <c r="C73" s="268">
        <v>0</v>
      </c>
      <c r="D73" s="333"/>
      <c r="E73" s="333"/>
      <c r="F73" s="331"/>
      <c r="G73" s="334"/>
      <c r="H73" s="334"/>
      <c r="I73" s="331"/>
      <c r="J73" s="334"/>
      <c r="K73" s="334"/>
      <c r="L73" s="331"/>
      <c r="M73" s="334"/>
      <c r="N73" s="334"/>
      <c r="O73" s="331"/>
      <c r="P73" s="334"/>
      <c r="Q73" s="334"/>
      <c r="R73" s="331"/>
      <c r="S73" s="334"/>
      <c r="T73" s="334"/>
      <c r="U73" s="331"/>
      <c r="V73" s="334"/>
      <c r="W73" s="334"/>
      <c r="X73" s="331"/>
      <c r="Y73" s="334"/>
      <c r="Z73" s="334"/>
      <c r="AA73" s="331"/>
      <c r="AB73" s="334"/>
      <c r="AC73" s="334"/>
      <c r="AD73" s="331"/>
      <c r="AE73" s="334"/>
      <c r="AF73" s="334"/>
      <c r="AG73" s="331"/>
      <c r="AH73" s="334"/>
      <c r="AI73" s="334"/>
      <c r="AJ73" s="331"/>
      <c r="AK73" s="334"/>
      <c r="AL73" s="334"/>
      <c r="AM73" s="331"/>
      <c r="AN73" s="334"/>
      <c r="AO73" s="334"/>
      <c r="AP73" s="331"/>
      <c r="AQ73" s="334"/>
      <c r="AR73" s="334"/>
      <c r="AS73" s="331"/>
      <c r="AT73" s="334"/>
      <c r="AU73" s="334"/>
      <c r="AV73" s="331"/>
      <c r="AW73" s="334"/>
      <c r="AX73" s="334"/>
      <c r="AY73" s="331"/>
      <c r="AZ73" s="334"/>
      <c r="BA73" s="334"/>
      <c r="BB73" s="331"/>
      <c r="BC73" s="334"/>
      <c r="BD73" s="334"/>
      <c r="BE73" s="331"/>
      <c r="BF73" s="334"/>
      <c r="BG73" s="334"/>
      <c r="BH73" s="331"/>
      <c r="BI73" s="334"/>
      <c r="BJ73" s="334"/>
      <c r="BK73" s="331"/>
      <c r="BL73" s="334"/>
      <c r="BM73" s="334"/>
      <c r="BN73" s="331"/>
      <c r="BO73" s="334"/>
      <c r="BP73" s="334"/>
      <c r="BQ73" s="331"/>
      <c r="BR73" s="332"/>
    </row>
    <row r="74" spans="1:70">
      <c r="A74" s="142" t="s">
        <v>4502</v>
      </c>
      <c r="B74" s="268">
        <v>12200</v>
      </c>
      <c r="C74" s="268">
        <v>0</v>
      </c>
      <c r="D74" s="333"/>
      <c r="E74" s="333"/>
      <c r="F74" s="331"/>
      <c r="G74" s="334"/>
      <c r="H74" s="334"/>
      <c r="I74" s="331"/>
      <c r="J74" s="334"/>
      <c r="K74" s="334"/>
      <c r="L74" s="331"/>
      <c r="M74" s="334"/>
      <c r="N74" s="334"/>
      <c r="O74" s="331"/>
      <c r="P74" s="334"/>
      <c r="Q74" s="334"/>
      <c r="R74" s="331"/>
      <c r="S74" s="334"/>
      <c r="T74" s="334"/>
      <c r="U74" s="331"/>
      <c r="V74" s="334"/>
      <c r="W74" s="334"/>
      <c r="X74" s="331"/>
      <c r="Y74" s="334"/>
      <c r="Z74" s="334"/>
      <c r="AA74" s="331"/>
      <c r="AB74" s="334"/>
      <c r="AC74" s="334"/>
      <c r="AD74" s="331"/>
      <c r="AE74" s="334"/>
      <c r="AF74" s="334"/>
      <c r="AG74" s="331"/>
      <c r="AH74" s="334"/>
      <c r="AI74" s="334"/>
      <c r="AJ74" s="331"/>
      <c r="AK74" s="334"/>
      <c r="AL74" s="334"/>
      <c r="AM74" s="331"/>
      <c r="AN74" s="334"/>
      <c r="AO74" s="334"/>
      <c r="AP74" s="331"/>
      <c r="AQ74" s="334"/>
      <c r="AR74" s="334"/>
      <c r="AS74" s="331"/>
      <c r="AT74" s="334"/>
      <c r="AU74" s="334"/>
      <c r="AV74" s="331"/>
      <c r="AW74" s="334"/>
      <c r="AX74" s="334"/>
      <c r="AY74" s="331"/>
      <c r="AZ74" s="334"/>
      <c r="BA74" s="334"/>
      <c r="BB74" s="331"/>
      <c r="BC74" s="334"/>
      <c r="BD74" s="334"/>
      <c r="BE74" s="331"/>
      <c r="BF74" s="334"/>
      <c r="BG74" s="334"/>
      <c r="BH74" s="331"/>
      <c r="BI74" s="334"/>
      <c r="BJ74" s="334"/>
      <c r="BK74" s="331"/>
      <c r="BL74" s="334"/>
      <c r="BM74" s="334"/>
      <c r="BN74" s="331"/>
      <c r="BO74" s="334"/>
      <c r="BP74" s="334"/>
      <c r="BQ74" s="331"/>
      <c r="BR74" s="332"/>
    </row>
    <row r="75" spans="1:70">
      <c r="A75" s="142" t="s">
        <v>3803</v>
      </c>
      <c r="B75" s="268">
        <v>102900</v>
      </c>
      <c r="C75" s="268">
        <v>0</v>
      </c>
      <c r="D75" s="333"/>
      <c r="E75" s="333"/>
      <c r="F75" s="331"/>
      <c r="G75" s="334"/>
      <c r="H75" s="334"/>
      <c r="I75" s="331"/>
      <c r="J75" s="334"/>
      <c r="K75" s="334"/>
      <c r="L75" s="331"/>
      <c r="M75" s="334"/>
      <c r="N75" s="334"/>
      <c r="O75" s="331"/>
      <c r="P75" s="334"/>
      <c r="Q75" s="334"/>
      <c r="R75" s="331"/>
      <c r="S75" s="334"/>
      <c r="T75" s="334"/>
      <c r="U75" s="331"/>
      <c r="V75" s="334"/>
      <c r="W75" s="334"/>
      <c r="X75" s="331"/>
      <c r="Y75" s="334"/>
      <c r="Z75" s="334"/>
      <c r="AA75" s="331"/>
      <c r="AB75" s="334"/>
      <c r="AC75" s="334"/>
      <c r="AD75" s="331"/>
      <c r="AE75" s="334"/>
      <c r="AF75" s="334"/>
      <c r="AG75" s="331"/>
      <c r="AH75" s="334"/>
      <c r="AI75" s="334"/>
      <c r="AJ75" s="331"/>
      <c r="AK75" s="334"/>
      <c r="AL75" s="334"/>
      <c r="AM75" s="331"/>
      <c r="AN75" s="334"/>
      <c r="AO75" s="334"/>
      <c r="AP75" s="331"/>
      <c r="AQ75" s="334"/>
      <c r="AR75" s="334"/>
      <c r="AS75" s="331"/>
      <c r="AT75" s="334"/>
      <c r="AU75" s="334"/>
      <c r="AV75" s="331"/>
      <c r="AW75" s="334"/>
      <c r="AX75" s="334"/>
      <c r="AY75" s="331"/>
      <c r="AZ75" s="334"/>
      <c r="BA75" s="334"/>
      <c r="BB75" s="331"/>
      <c r="BC75" s="334"/>
      <c r="BD75" s="334"/>
      <c r="BE75" s="331"/>
      <c r="BF75" s="334"/>
      <c r="BG75" s="334"/>
      <c r="BH75" s="331"/>
      <c r="BI75" s="334"/>
      <c r="BJ75" s="334"/>
      <c r="BK75" s="331"/>
      <c r="BL75" s="334"/>
      <c r="BM75" s="334"/>
      <c r="BN75" s="331"/>
      <c r="BO75" s="334"/>
      <c r="BP75" s="334"/>
      <c r="BQ75" s="331"/>
      <c r="BR75" s="332"/>
    </row>
    <row r="76" spans="1:70">
      <c r="A76" s="142" t="s">
        <v>3342</v>
      </c>
      <c r="B76" s="268">
        <v>11300</v>
      </c>
      <c r="C76" s="268">
        <v>0</v>
      </c>
      <c r="D76" s="333"/>
      <c r="E76" s="333"/>
      <c r="F76" s="331"/>
      <c r="G76" s="334"/>
      <c r="H76" s="334"/>
      <c r="I76" s="331"/>
      <c r="J76" s="334"/>
      <c r="K76" s="334"/>
      <c r="L76" s="331"/>
      <c r="M76" s="334"/>
      <c r="N76" s="334"/>
      <c r="O76" s="331"/>
      <c r="P76" s="334"/>
      <c r="Q76" s="334"/>
      <c r="R76" s="331"/>
      <c r="S76" s="334"/>
      <c r="T76" s="334"/>
      <c r="U76" s="331"/>
      <c r="V76" s="334"/>
      <c r="W76" s="334"/>
      <c r="X76" s="331"/>
      <c r="Y76" s="334"/>
      <c r="Z76" s="334"/>
      <c r="AA76" s="331"/>
      <c r="AB76" s="334"/>
      <c r="AC76" s="334"/>
      <c r="AD76" s="331"/>
      <c r="AE76" s="334"/>
      <c r="AF76" s="334"/>
      <c r="AG76" s="331"/>
      <c r="AH76" s="334"/>
      <c r="AI76" s="334"/>
      <c r="AJ76" s="331"/>
      <c r="AK76" s="334"/>
      <c r="AL76" s="334"/>
      <c r="AM76" s="331"/>
      <c r="AN76" s="334"/>
      <c r="AO76" s="334"/>
      <c r="AP76" s="331"/>
      <c r="AQ76" s="334"/>
      <c r="AR76" s="334"/>
      <c r="AS76" s="331"/>
      <c r="AT76" s="334"/>
      <c r="AU76" s="334"/>
      <c r="AV76" s="331"/>
      <c r="AW76" s="334"/>
      <c r="AX76" s="334"/>
      <c r="AY76" s="331"/>
      <c r="AZ76" s="334"/>
      <c r="BA76" s="334"/>
      <c r="BB76" s="331"/>
      <c r="BC76" s="334"/>
      <c r="BD76" s="334"/>
      <c r="BE76" s="331"/>
      <c r="BF76" s="334"/>
      <c r="BG76" s="334"/>
      <c r="BH76" s="331"/>
      <c r="BI76" s="334"/>
      <c r="BJ76" s="334"/>
      <c r="BK76" s="331"/>
      <c r="BL76" s="334"/>
      <c r="BM76" s="334"/>
      <c r="BN76" s="331"/>
      <c r="BO76" s="334"/>
      <c r="BP76" s="334"/>
      <c r="BQ76" s="331"/>
      <c r="BR76" s="332"/>
    </row>
    <row r="77" spans="1:70">
      <c r="A77" s="142" t="s">
        <v>5139</v>
      </c>
      <c r="B77" s="268">
        <v>44600</v>
      </c>
      <c r="C77" s="268">
        <v>0</v>
      </c>
      <c r="D77" s="333"/>
      <c r="E77" s="333"/>
      <c r="F77" s="331"/>
      <c r="G77" s="334"/>
      <c r="H77" s="334"/>
      <c r="I77" s="331"/>
      <c r="J77" s="334"/>
      <c r="K77" s="334"/>
      <c r="L77" s="331"/>
      <c r="M77" s="334"/>
      <c r="N77" s="334"/>
      <c r="O77" s="331"/>
      <c r="P77" s="334"/>
      <c r="Q77" s="334"/>
      <c r="R77" s="331"/>
      <c r="S77" s="334"/>
      <c r="T77" s="334"/>
      <c r="U77" s="331"/>
      <c r="V77" s="334"/>
      <c r="W77" s="334"/>
      <c r="X77" s="331"/>
      <c r="Y77" s="334"/>
      <c r="Z77" s="334"/>
      <c r="AA77" s="331"/>
      <c r="AB77" s="334"/>
      <c r="AC77" s="334"/>
      <c r="AD77" s="331"/>
      <c r="AE77" s="334"/>
      <c r="AF77" s="334"/>
      <c r="AG77" s="331"/>
      <c r="AH77" s="334"/>
      <c r="AI77" s="334"/>
      <c r="AJ77" s="331"/>
      <c r="AK77" s="334"/>
      <c r="AL77" s="334"/>
      <c r="AM77" s="331"/>
      <c r="AN77" s="334"/>
      <c r="AO77" s="334"/>
      <c r="AP77" s="331"/>
      <c r="AQ77" s="334"/>
      <c r="AR77" s="334"/>
      <c r="AS77" s="331"/>
      <c r="AT77" s="334"/>
      <c r="AU77" s="334"/>
      <c r="AV77" s="331"/>
      <c r="AW77" s="334"/>
      <c r="AX77" s="334"/>
      <c r="AY77" s="331"/>
      <c r="AZ77" s="334"/>
      <c r="BA77" s="334"/>
      <c r="BB77" s="331"/>
      <c r="BC77" s="334"/>
      <c r="BD77" s="334"/>
      <c r="BE77" s="331"/>
      <c r="BF77" s="334"/>
      <c r="BG77" s="334"/>
      <c r="BH77" s="331"/>
      <c r="BI77" s="334"/>
      <c r="BJ77" s="334"/>
      <c r="BK77" s="331"/>
      <c r="BL77" s="334"/>
      <c r="BM77" s="334"/>
      <c r="BN77" s="331"/>
      <c r="BO77" s="334"/>
      <c r="BP77" s="334"/>
      <c r="BQ77" s="331"/>
      <c r="BR77" s="332"/>
    </row>
    <row r="78" spans="1:70">
      <c r="A78" s="142" t="s">
        <v>4128</v>
      </c>
      <c r="B78" s="268">
        <v>10000</v>
      </c>
      <c r="C78" s="268">
        <v>0</v>
      </c>
      <c r="D78" s="333"/>
      <c r="E78" s="333"/>
      <c r="F78" s="331"/>
      <c r="G78" s="334"/>
      <c r="H78" s="334"/>
      <c r="I78" s="331"/>
      <c r="J78" s="334"/>
      <c r="K78" s="334"/>
      <c r="L78" s="331"/>
      <c r="M78" s="334"/>
      <c r="N78" s="334"/>
      <c r="O78" s="331"/>
      <c r="P78" s="334"/>
      <c r="Q78" s="334"/>
      <c r="R78" s="331"/>
      <c r="S78" s="334"/>
      <c r="T78" s="334"/>
      <c r="U78" s="331"/>
      <c r="V78" s="334"/>
      <c r="W78" s="334"/>
      <c r="X78" s="331"/>
      <c r="Y78" s="334"/>
      <c r="Z78" s="334"/>
      <c r="AA78" s="331"/>
      <c r="AB78" s="334"/>
      <c r="AC78" s="334"/>
      <c r="AD78" s="331"/>
      <c r="AE78" s="334"/>
      <c r="AF78" s="334"/>
      <c r="AG78" s="331"/>
      <c r="AH78" s="334"/>
      <c r="AI78" s="334"/>
      <c r="AJ78" s="331"/>
      <c r="AK78" s="334"/>
      <c r="AL78" s="334"/>
      <c r="AM78" s="331"/>
      <c r="AN78" s="334"/>
      <c r="AO78" s="334"/>
      <c r="AP78" s="331"/>
      <c r="AQ78" s="334"/>
      <c r="AR78" s="334"/>
      <c r="AS78" s="331"/>
      <c r="AT78" s="334"/>
      <c r="AU78" s="334"/>
      <c r="AV78" s="331"/>
      <c r="AW78" s="334"/>
      <c r="AX78" s="334"/>
      <c r="AY78" s="331"/>
      <c r="AZ78" s="334"/>
      <c r="BA78" s="334"/>
      <c r="BB78" s="331"/>
      <c r="BC78" s="334"/>
      <c r="BD78" s="334"/>
      <c r="BE78" s="331"/>
      <c r="BF78" s="334"/>
      <c r="BG78" s="334"/>
      <c r="BH78" s="331"/>
      <c r="BI78" s="334"/>
      <c r="BJ78" s="334"/>
      <c r="BK78" s="331"/>
      <c r="BL78" s="334"/>
      <c r="BM78" s="334"/>
      <c r="BN78" s="331"/>
      <c r="BO78" s="334"/>
      <c r="BP78" s="334"/>
      <c r="BQ78" s="331"/>
      <c r="BR78" s="332"/>
    </row>
    <row r="79" spans="1:70">
      <c r="A79" s="142" t="s">
        <v>3335</v>
      </c>
      <c r="B79" s="268">
        <v>23100</v>
      </c>
      <c r="C79" s="268">
        <v>0</v>
      </c>
      <c r="D79" s="333"/>
      <c r="E79" s="333"/>
      <c r="F79" s="331"/>
      <c r="G79" s="334"/>
      <c r="H79" s="334"/>
      <c r="I79" s="331"/>
      <c r="J79" s="334"/>
      <c r="K79" s="334"/>
      <c r="L79" s="331"/>
      <c r="M79" s="334"/>
      <c r="N79" s="334"/>
      <c r="O79" s="331"/>
      <c r="P79" s="334"/>
      <c r="Q79" s="334"/>
      <c r="R79" s="331"/>
      <c r="S79" s="334"/>
      <c r="T79" s="334"/>
      <c r="U79" s="331"/>
      <c r="V79" s="334"/>
      <c r="W79" s="334"/>
      <c r="X79" s="331"/>
      <c r="Y79" s="334"/>
      <c r="Z79" s="334"/>
      <c r="AA79" s="331"/>
      <c r="AB79" s="334"/>
      <c r="AC79" s="334"/>
      <c r="AD79" s="331"/>
      <c r="AE79" s="334"/>
      <c r="AF79" s="334"/>
      <c r="AG79" s="331"/>
      <c r="AH79" s="334"/>
      <c r="AI79" s="334"/>
      <c r="AJ79" s="331"/>
      <c r="AK79" s="334"/>
      <c r="AL79" s="334"/>
      <c r="AM79" s="331"/>
      <c r="AN79" s="334"/>
      <c r="AO79" s="334"/>
      <c r="AP79" s="331"/>
      <c r="AQ79" s="334"/>
      <c r="AR79" s="334"/>
      <c r="AS79" s="331"/>
      <c r="AT79" s="334"/>
      <c r="AU79" s="334"/>
      <c r="AV79" s="331"/>
      <c r="AW79" s="334"/>
      <c r="AX79" s="334"/>
      <c r="AY79" s="331"/>
      <c r="AZ79" s="334"/>
      <c r="BA79" s="334"/>
      <c r="BB79" s="331"/>
      <c r="BC79" s="334"/>
      <c r="BD79" s="334"/>
      <c r="BE79" s="331"/>
      <c r="BF79" s="334"/>
      <c r="BG79" s="334"/>
      <c r="BH79" s="331"/>
      <c r="BI79" s="334"/>
      <c r="BJ79" s="334"/>
      <c r="BK79" s="331"/>
      <c r="BL79" s="334"/>
      <c r="BM79" s="334"/>
      <c r="BN79" s="331"/>
      <c r="BO79" s="334"/>
      <c r="BP79" s="334"/>
      <c r="BQ79" s="331"/>
      <c r="BR79" s="332"/>
    </row>
    <row r="80" spans="1:70">
      <c r="A80" s="142" t="s">
        <v>3797</v>
      </c>
      <c r="B80" s="268">
        <v>36300</v>
      </c>
      <c r="C80" s="268">
        <v>0</v>
      </c>
      <c r="D80" s="333"/>
      <c r="E80" s="333"/>
      <c r="F80" s="331"/>
      <c r="G80" s="334"/>
      <c r="H80" s="334"/>
      <c r="I80" s="331"/>
      <c r="J80" s="334"/>
      <c r="K80" s="334"/>
      <c r="L80" s="331"/>
      <c r="M80" s="334"/>
      <c r="N80" s="334"/>
      <c r="O80" s="331"/>
      <c r="P80" s="334"/>
      <c r="Q80" s="334"/>
      <c r="R80" s="331"/>
      <c r="S80" s="334"/>
      <c r="T80" s="334"/>
      <c r="U80" s="331"/>
      <c r="V80" s="334"/>
      <c r="W80" s="334"/>
      <c r="X80" s="331"/>
      <c r="Y80" s="334"/>
      <c r="Z80" s="334"/>
      <c r="AA80" s="331"/>
      <c r="AB80" s="334"/>
      <c r="AC80" s="334"/>
      <c r="AD80" s="331"/>
      <c r="AE80" s="334"/>
      <c r="AF80" s="334"/>
      <c r="AG80" s="331"/>
      <c r="AH80" s="334"/>
      <c r="AI80" s="334"/>
      <c r="AJ80" s="331"/>
      <c r="AK80" s="334"/>
      <c r="AL80" s="334"/>
      <c r="AM80" s="331"/>
      <c r="AN80" s="334"/>
      <c r="AO80" s="334"/>
      <c r="AP80" s="331"/>
      <c r="AQ80" s="334"/>
      <c r="AR80" s="334"/>
      <c r="AS80" s="331"/>
      <c r="AT80" s="334"/>
      <c r="AU80" s="334"/>
      <c r="AV80" s="331"/>
      <c r="AW80" s="334"/>
      <c r="AX80" s="334"/>
      <c r="AY80" s="331"/>
      <c r="AZ80" s="334"/>
      <c r="BA80" s="334"/>
      <c r="BB80" s="331"/>
      <c r="BC80" s="334"/>
      <c r="BD80" s="334"/>
      <c r="BE80" s="331"/>
      <c r="BF80" s="334"/>
      <c r="BG80" s="334"/>
      <c r="BH80" s="331"/>
      <c r="BI80" s="334"/>
      <c r="BJ80" s="334"/>
      <c r="BK80" s="331"/>
      <c r="BL80" s="334"/>
      <c r="BM80" s="334"/>
      <c r="BN80" s="331"/>
      <c r="BO80" s="334"/>
      <c r="BP80" s="334"/>
      <c r="BQ80" s="331"/>
      <c r="BR80" s="332"/>
    </row>
    <row r="81" spans="1:70">
      <c r="A81" s="142" t="s">
        <v>3548</v>
      </c>
      <c r="B81" s="268">
        <v>9600</v>
      </c>
      <c r="C81" s="268">
        <v>0</v>
      </c>
      <c r="D81" s="333"/>
      <c r="E81" s="333"/>
      <c r="F81" s="331"/>
      <c r="G81" s="334"/>
      <c r="H81" s="334"/>
      <c r="I81" s="331"/>
      <c r="J81" s="334"/>
      <c r="K81" s="334"/>
      <c r="L81" s="331"/>
      <c r="M81" s="334"/>
      <c r="N81" s="334"/>
      <c r="O81" s="331"/>
      <c r="P81" s="334"/>
      <c r="Q81" s="334"/>
      <c r="R81" s="331"/>
      <c r="S81" s="334"/>
      <c r="T81" s="334"/>
      <c r="U81" s="331"/>
      <c r="V81" s="334"/>
      <c r="W81" s="334"/>
      <c r="X81" s="331"/>
      <c r="Y81" s="334"/>
      <c r="Z81" s="334"/>
      <c r="AA81" s="331"/>
      <c r="AB81" s="334"/>
      <c r="AC81" s="334"/>
      <c r="AD81" s="331"/>
      <c r="AE81" s="334"/>
      <c r="AF81" s="334"/>
      <c r="AG81" s="331"/>
      <c r="AH81" s="334"/>
      <c r="AI81" s="334"/>
      <c r="AJ81" s="331"/>
      <c r="AK81" s="334"/>
      <c r="AL81" s="334"/>
      <c r="AM81" s="331"/>
      <c r="AN81" s="334"/>
      <c r="AO81" s="334"/>
      <c r="AP81" s="331"/>
      <c r="AQ81" s="334"/>
      <c r="AR81" s="334"/>
      <c r="AS81" s="331"/>
      <c r="AT81" s="334"/>
      <c r="AU81" s="334"/>
      <c r="AV81" s="331"/>
      <c r="AW81" s="334"/>
      <c r="AX81" s="334"/>
      <c r="AY81" s="331"/>
      <c r="AZ81" s="334"/>
      <c r="BA81" s="334"/>
      <c r="BB81" s="331"/>
      <c r="BC81" s="334"/>
      <c r="BD81" s="334"/>
      <c r="BE81" s="331"/>
      <c r="BF81" s="334"/>
      <c r="BG81" s="334"/>
      <c r="BH81" s="331"/>
      <c r="BI81" s="334"/>
      <c r="BJ81" s="334"/>
      <c r="BK81" s="331"/>
      <c r="BL81" s="334"/>
      <c r="BM81" s="334"/>
      <c r="BN81" s="331"/>
      <c r="BO81" s="334"/>
      <c r="BP81" s="334"/>
      <c r="BQ81" s="331"/>
      <c r="BR81" s="332"/>
    </row>
    <row r="82" spans="1:70">
      <c r="A82" s="142" t="s">
        <v>3561</v>
      </c>
      <c r="B82" s="268">
        <v>3900</v>
      </c>
      <c r="C82" s="268">
        <v>0</v>
      </c>
      <c r="D82" s="333"/>
      <c r="E82" s="333"/>
      <c r="F82" s="331"/>
      <c r="G82" s="334"/>
      <c r="H82" s="334"/>
      <c r="I82" s="331"/>
      <c r="J82" s="334"/>
      <c r="K82" s="334"/>
      <c r="L82" s="331"/>
      <c r="M82" s="334"/>
      <c r="N82" s="334"/>
      <c r="O82" s="331"/>
      <c r="P82" s="334"/>
      <c r="Q82" s="334"/>
      <c r="R82" s="331"/>
      <c r="S82" s="334"/>
      <c r="T82" s="334"/>
      <c r="U82" s="331"/>
      <c r="V82" s="334"/>
      <c r="W82" s="334"/>
      <c r="X82" s="331"/>
      <c r="Y82" s="334"/>
      <c r="Z82" s="334"/>
      <c r="AA82" s="331"/>
      <c r="AB82" s="334"/>
      <c r="AC82" s="334"/>
      <c r="AD82" s="331"/>
      <c r="AE82" s="334"/>
      <c r="AF82" s="334"/>
      <c r="AG82" s="331"/>
      <c r="AH82" s="334"/>
      <c r="AI82" s="334"/>
      <c r="AJ82" s="331"/>
      <c r="AK82" s="334"/>
      <c r="AL82" s="334"/>
      <c r="AM82" s="331"/>
      <c r="AN82" s="334"/>
      <c r="AO82" s="334"/>
      <c r="AP82" s="331"/>
      <c r="AQ82" s="334"/>
      <c r="AR82" s="334"/>
      <c r="AS82" s="331"/>
      <c r="AT82" s="334"/>
      <c r="AU82" s="334"/>
      <c r="AV82" s="331"/>
      <c r="AW82" s="334"/>
      <c r="AX82" s="334"/>
      <c r="AY82" s="331"/>
      <c r="AZ82" s="334"/>
      <c r="BA82" s="334"/>
      <c r="BB82" s="331"/>
      <c r="BC82" s="334"/>
      <c r="BD82" s="334"/>
      <c r="BE82" s="331"/>
      <c r="BF82" s="334"/>
      <c r="BG82" s="334"/>
      <c r="BH82" s="331"/>
      <c r="BI82" s="334"/>
      <c r="BJ82" s="334"/>
      <c r="BK82" s="331"/>
      <c r="BL82" s="334"/>
      <c r="BM82" s="334"/>
      <c r="BN82" s="331"/>
      <c r="BO82" s="334"/>
      <c r="BP82" s="334"/>
      <c r="BQ82" s="331"/>
      <c r="BR82" s="332"/>
    </row>
    <row r="83" spans="1:70">
      <c r="A83" s="142" t="s">
        <v>3554</v>
      </c>
      <c r="B83" s="268">
        <v>9600</v>
      </c>
      <c r="C83" s="268">
        <v>0</v>
      </c>
      <c r="D83" s="333"/>
      <c r="E83" s="333"/>
      <c r="F83" s="331"/>
      <c r="G83" s="334"/>
      <c r="H83" s="334"/>
      <c r="I83" s="331"/>
      <c r="J83" s="334"/>
      <c r="K83" s="334"/>
      <c r="L83" s="331"/>
      <c r="M83" s="334"/>
      <c r="N83" s="334"/>
      <c r="O83" s="331"/>
      <c r="P83" s="334"/>
      <c r="Q83" s="334"/>
      <c r="R83" s="331"/>
      <c r="S83" s="334"/>
      <c r="T83" s="334"/>
      <c r="U83" s="331"/>
      <c r="V83" s="334"/>
      <c r="W83" s="334"/>
      <c r="X83" s="331"/>
      <c r="Y83" s="334"/>
      <c r="Z83" s="334"/>
      <c r="AA83" s="331"/>
      <c r="AB83" s="334"/>
      <c r="AC83" s="334"/>
      <c r="AD83" s="331"/>
      <c r="AE83" s="334"/>
      <c r="AF83" s="334"/>
      <c r="AG83" s="331"/>
      <c r="AH83" s="334"/>
      <c r="AI83" s="334"/>
      <c r="AJ83" s="331"/>
      <c r="AK83" s="334"/>
      <c r="AL83" s="334"/>
      <c r="AM83" s="331"/>
      <c r="AN83" s="334"/>
      <c r="AO83" s="334"/>
      <c r="AP83" s="331"/>
      <c r="AQ83" s="334"/>
      <c r="AR83" s="334"/>
      <c r="AS83" s="331"/>
      <c r="AT83" s="334"/>
      <c r="AU83" s="334"/>
      <c r="AV83" s="331"/>
      <c r="AW83" s="334"/>
      <c r="AX83" s="334"/>
      <c r="AY83" s="331"/>
      <c r="AZ83" s="334"/>
      <c r="BA83" s="334"/>
      <c r="BB83" s="331"/>
      <c r="BC83" s="334"/>
      <c r="BD83" s="334"/>
      <c r="BE83" s="331"/>
      <c r="BF83" s="334"/>
      <c r="BG83" s="334"/>
      <c r="BH83" s="331"/>
      <c r="BI83" s="334"/>
      <c r="BJ83" s="334"/>
      <c r="BK83" s="331"/>
      <c r="BL83" s="334"/>
      <c r="BM83" s="334"/>
      <c r="BN83" s="331"/>
      <c r="BO83" s="334"/>
      <c r="BP83" s="334"/>
      <c r="BQ83" s="331"/>
      <c r="BR83" s="332"/>
    </row>
    <row r="84" spans="1:70">
      <c r="A84" s="142" t="s">
        <v>3568</v>
      </c>
      <c r="B84" s="268">
        <v>3700</v>
      </c>
      <c r="C84" s="268">
        <v>0</v>
      </c>
      <c r="D84" s="333"/>
      <c r="E84" s="333"/>
      <c r="F84" s="331"/>
      <c r="G84" s="334"/>
      <c r="H84" s="334"/>
      <c r="I84" s="331"/>
      <c r="J84" s="334"/>
      <c r="K84" s="334"/>
      <c r="L84" s="331"/>
      <c r="M84" s="334"/>
      <c r="N84" s="334"/>
      <c r="O84" s="331"/>
      <c r="P84" s="334"/>
      <c r="Q84" s="334"/>
      <c r="R84" s="331"/>
      <c r="S84" s="334"/>
      <c r="T84" s="334"/>
      <c r="U84" s="331"/>
      <c r="V84" s="334"/>
      <c r="W84" s="334"/>
      <c r="X84" s="331"/>
      <c r="Y84" s="334"/>
      <c r="Z84" s="334"/>
      <c r="AA84" s="331"/>
      <c r="AB84" s="334"/>
      <c r="AC84" s="334"/>
      <c r="AD84" s="331"/>
      <c r="AE84" s="334"/>
      <c r="AF84" s="334"/>
      <c r="AG84" s="331"/>
      <c r="AH84" s="334"/>
      <c r="AI84" s="334"/>
      <c r="AJ84" s="331"/>
      <c r="AK84" s="334"/>
      <c r="AL84" s="334"/>
      <c r="AM84" s="331"/>
      <c r="AN84" s="334"/>
      <c r="AO84" s="334"/>
      <c r="AP84" s="331"/>
      <c r="AQ84" s="334"/>
      <c r="AR84" s="334"/>
      <c r="AS84" s="331"/>
      <c r="AT84" s="334"/>
      <c r="AU84" s="334"/>
      <c r="AV84" s="331"/>
      <c r="AW84" s="334"/>
      <c r="AX84" s="334"/>
      <c r="AY84" s="331"/>
      <c r="AZ84" s="334"/>
      <c r="BA84" s="334"/>
      <c r="BB84" s="331"/>
      <c r="BC84" s="334"/>
      <c r="BD84" s="334"/>
      <c r="BE84" s="331"/>
      <c r="BF84" s="334"/>
      <c r="BG84" s="334"/>
      <c r="BH84" s="331"/>
      <c r="BI84" s="334"/>
      <c r="BJ84" s="334"/>
      <c r="BK84" s="331"/>
      <c r="BL84" s="334"/>
      <c r="BM84" s="334"/>
      <c r="BN84" s="331"/>
      <c r="BO84" s="334"/>
      <c r="BP84" s="334"/>
      <c r="BQ84" s="331"/>
      <c r="BR84" s="332"/>
    </row>
    <row r="85" spans="1:70">
      <c r="A85" s="142" t="s">
        <v>3381</v>
      </c>
      <c r="B85" s="268">
        <v>19500</v>
      </c>
      <c r="C85" s="268">
        <v>0</v>
      </c>
      <c r="D85" s="333"/>
      <c r="E85" s="333"/>
      <c r="F85" s="331"/>
      <c r="G85" s="334"/>
      <c r="H85" s="334"/>
      <c r="I85" s="331"/>
      <c r="J85" s="334"/>
      <c r="K85" s="334"/>
      <c r="L85" s="331"/>
      <c r="M85" s="334"/>
      <c r="N85" s="334"/>
      <c r="O85" s="331"/>
      <c r="P85" s="334"/>
      <c r="Q85" s="334"/>
      <c r="R85" s="331"/>
      <c r="S85" s="334"/>
      <c r="T85" s="334"/>
      <c r="U85" s="331"/>
      <c r="V85" s="334"/>
      <c r="W85" s="334"/>
      <c r="X85" s="331"/>
      <c r="Y85" s="334"/>
      <c r="Z85" s="334"/>
      <c r="AA85" s="331"/>
      <c r="AB85" s="334"/>
      <c r="AC85" s="334"/>
      <c r="AD85" s="331"/>
      <c r="AE85" s="334"/>
      <c r="AF85" s="334"/>
      <c r="AG85" s="331"/>
      <c r="AH85" s="334"/>
      <c r="AI85" s="334"/>
      <c r="AJ85" s="331"/>
      <c r="AK85" s="334"/>
      <c r="AL85" s="334"/>
      <c r="AM85" s="331"/>
      <c r="AN85" s="334"/>
      <c r="AO85" s="334"/>
      <c r="AP85" s="331"/>
      <c r="AQ85" s="334"/>
      <c r="AR85" s="334"/>
      <c r="AS85" s="331"/>
      <c r="AT85" s="334"/>
      <c r="AU85" s="334"/>
      <c r="AV85" s="331"/>
      <c r="AW85" s="334"/>
      <c r="AX85" s="334"/>
      <c r="AY85" s="331"/>
      <c r="AZ85" s="334"/>
      <c r="BA85" s="334"/>
      <c r="BB85" s="331"/>
      <c r="BC85" s="334"/>
      <c r="BD85" s="334"/>
      <c r="BE85" s="331"/>
      <c r="BF85" s="334"/>
      <c r="BG85" s="334"/>
      <c r="BH85" s="331"/>
      <c r="BI85" s="334"/>
      <c r="BJ85" s="334"/>
      <c r="BK85" s="331"/>
      <c r="BL85" s="334"/>
      <c r="BM85" s="334"/>
      <c r="BN85" s="331"/>
      <c r="BO85" s="334"/>
      <c r="BP85" s="334"/>
      <c r="BQ85" s="331"/>
      <c r="BR85" s="332"/>
    </row>
    <row r="86" spans="1:70">
      <c r="A86" s="142" t="s">
        <v>5135</v>
      </c>
      <c r="B86" s="268">
        <v>20800</v>
      </c>
      <c r="C86" s="268">
        <v>0</v>
      </c>
      <c r="D86" s="333"/>
      <c r="E86" s="333"/>
      <c r="F86" s="331"/>
      <c r="G86" s="334"/>
      <c r="H86" s="334"/>
      <c r="I86" s="331"/>
      <c r="J86" s="334"/>
      <c r="K86" s="334"/>
      <c r="L86" s="331"/>
      <c r="M86" s="334"/>
      <c r="N86" s="334"/>
      <c r="O86" s="331"/>
      <c r="P86" s="334"/>
      <c r="Q86" s="334"/>
      <c r="R86" s="331"/>
      <c r="S86" s="334"/>
      <c r="T86" s="334"/>
      <c r="U86" s="331"/>
      <c r="V86" s="334"/>
      <c r="W86" s="334"/>
      <c r="X86" s="331"/>
      <c r="Y86" s="334"/>
      <c r="Z86" s="334"/>
      <c r="AA86" s="331"/>
      <c r="AB86" s="334"/>
      <c r="AC86" s="334"/>
      <c r="AD86" s="331"/>
      <c r="AE86" s="334"/>
      <c r="AF86" s="334"/>
      <c r="AG86" s="331"/>
      <c r="AH86" s="334"/>
      <c r="AI86" s="334"/>
      <c r="AJ86" s="331"/>
      <c r="AK86" s="334"/>
      <c r="AL86" s="334"/>
      <c r="AM86" s="331"/>
      <c r="AN86" s="334"/>
      <c r="AO86" s="334"/>
      <c r="AP86" s="331"/>
      <c r="AQ86" s="334"/>
      <c r="AR86" s="334"/>
      <c r="AS86" s="331"/>
      <c r="AT86" s="334"/>
      <c r="AU86" s="334"/>
      <c r="AV86" s="331"/>
      <c r="AW86" s="334"/>
      <c r="AX86" s="334"/>
      <c r="AY86" s="331"/>
      <c r="AZ86" s="334"/>
      <c r="BA86" s="334"/>
      <c r="BB86" s="331"/>
      <c r="BC86" s="334"/>
      <c r="BD86" s="334"/>
      <c r="BE86" s="331"/>
      <c r="BF86" s="334"/>
      <c r="BG86" s="334"/>
      <c r="BH86" s="331"/>
      <c r="BI86" s="334"/>
      <c r="BJ86" s="334"/>
      <c r="BK86" s="331"/>
      <c r="BL86" s="334"/>
      <c r="BM86" s="334"/>
      <c r="BN86" s="331"/>
      <c r="BO86" s="334"/>
      <c r="BP86" s="334"/>
      <c r="BQ86" s="331"/>
      <c r="BR86" s="332"/>
    </row>
    <row r="87" spans="1:70">
      <c r="A87" s="142" t="s">
        <v>3675</v>
      </c>
      <c r="B87" s="268">
        <v>5800</v>
      </c>
      <c r="C87" s="268">
        <v>0</v>
      </c>
      <c r="D87" s="333"/>
      <c r="E87" s="333"/>
      <c r="F87" s="331"/>
      <c r="G87" s="334"/>
      <c r="H87" s="334"/>
      <c r="I87" s="331"/>
      <c r="J87" s="334"/>
      <c r="K87" s="334"/>
      <c r="L87" s="331"/>
      <c r="M87" s="334"/>
      <c r="N87" s="334"/>
      <c r="O87" s="331"/>
      <c r="P87" s="334"/>
      <c r="Q87" s="334"/>
      <c r="R87" s="331"/>
      <c r="S87" s="334"/>
      <c r="T87" s="334"/>
      <c r="U87" s="331"/>
      <c r="V87" s="334"/>
      <c r="W87" s="334"/>
      <c r="X87" s="331"/>
      <c r="Y87" s="334"/>
      <c r="Z87" s="334"/>
      <c r="AA87" s="331"/>
      <c r="AB87" s="334"/>
      <c r="AC87" s="334"/>
      <c r="AD87" s="331"/>
      <c r="AE87" s="334"/>
      <c r="AF87" s="334"/>
      <c r="AG87" s="331"/>
      <c r="AH87" s="334"/>
      <c r="AI87" s="334"/>
      <c r="AJ87" s="331"/>
      <c r="AK87" s="334"/>
      <c r="AL87" s="334"/>
      <c r="AM87" s="331"/>
      <c r="AN87" s="334"/>
      <c r="AO87" s="334"/>
      <c r="AP87" s="331"/>
      <c r="AQ87" s="334"/>
      <c r="AR87" s="334"/>
      <c r="AS87" s="331"/>
      <c r="AT87" s="334"/>
      <c r="AU87" s="334"/>
      <c r="AV87" s="331"/>
      <c r="AW87" s="334"/>
      <c r="AX87" s="334"/>
      <c r="AY87" s="331"/>
      <c r="AZ87" s="334"/>
      <c r="BA87" s="334"/>
      <c r="BB87" s="331"/>
      <c r="BC87" s="334"/>
      <c r="BD87" s="334"/>
      <c r="BE87" s="331"/>
      <c r="BF87" s="334"/>
      <c r="BG87" s="334"/>
      <c r="BH87" s="331"/>
      <c r="BI87" s="334"/>
      <c r="BJ87" s="334"/>
      <c r="BK87" s="331"/>
      <c r="BL87" s="334"/>
      <c r="BM87" s="334"/>
      <c r="BN87" s="331"/>
      <c r="BO87" s="334"/>
      <c r="BP87" s="334"/>
      <c r="BQ87" s="331"/>
      <c r="BR87" s="332"/>
    </row>
    <row r="88" spans="1:70">
      <c r="A88" s="142" t="s">
        <v>3750</v>
      </c>
      <c r="B88" s="268">
        <v>1700</v>
      </c>
      <c r="C88" s="268">
        <v>0</v>
      </c>
      <c r="D88" s="333"/>
      <c r="E88" s="333"/>
      <c r="F88" s="331"/>
      <c r="G88" s="334"/>
      <c r="H88" s="334"/>
      <c r="I88" s="331"/>
      <c r="J88" s="334"/>
      <c r="K88" s="334"/>
      <c r="L88" s="331"/>
      <c r="M88" s="334"/>
      <c r="N88" s="334"/>
      <c r="O88" s="331"/>
      <c r="P88" s="334"/>
      <c r="Q88" s="334"/>
      <c r="R88" s="331"/>
      <c r="S88" s="334"/>
      <c r="T88" s="334"/>
      <c r="U88" s="331"/>
      <c r="V88" s="334"/>
      <c r="W88" s="334"/>
      <c r="X88" s="331"/>
      <c r="Y88" s="334"/>
      <c r="Z88" s="334"/>
      <c r="AA88" s="331"/>
      <c r="AB88" s="334"/>
      <c r="AC88" s="334"/>
      <c r="AD88" s="331"/>
      <c r="AE88" s="334"/>
      <c r="AF88" s="334"/>
      <c r="AG88" s="331"/>
      <c r="AH88" s="334"/>
      <c r="AI88" s="334"/>
      <c r="AJ88" s="331"/>
      <c r="AK88" s="334"/>
      <c r="AL88" s="334"/>
      <c r="AM88" s="331"/>
      <c r="AN88" s="334"/>
      <c r="AO88" s="334"/>
      <c r="AP88" s="331"/>
      <c r="AQ88" s="334"/>
      <c r="AR88" s="334"/>
      <c r="AS88" s="331"/>
      <c r="AT88" s="334"/>
      <c r="AU88" s="334"/>
      <c r="AV88" s="331"/>
      <c r="AW88" s="334"/>
      <c r="AX88" s="334"/>
      <c r="AY88" s="331"/>
      <c r="AZ88" s="334"/>
      <c r="BA88" s="334"/>
      <c r="BB88" s="331"/>
      <c r="BC88" s="334"/>
      <c r="BD88" s="334"/>
      <c r="BE88" s="331"/>
      <c r="BF88" s="334"/>
      <c r="BG88" s="334"/>
      <c r="BH88" s="331"/>
      <c r="BI88" s="334"/>
      <c r="BJ88" s="334"/>
      <c r="BK88" s="331"/>
      <c r="BL88" s="334"/>
      <c r="BM88" s="334"/>
      <c r="BN88" s="331"/>
      <c r="BO88" s="334"/>
      <c r="BP88" s="334"/>
      <c r="BQ88" s="331"/>
      <c r="BR88" s="332"/>
    </row>
    <row r="89" spans="1:70">
      <c r="A89" s="142" t="s">
        <v>3678</v>
      </c>
      <c r="B89" s="268">
        <v>1500</v>
      </c>
      <c r="C89" s="268">
        <v>0</v>
      </c>
      <c r="D89" s="333"/>
      <c r="E89" s="333"/>
      <c r="F89" s="331"/>
      <c r="G89" s="334"/>
      <c r="H89" s="334"/>
      <c r="I89" s="331"/>
      <c r="J89" s="334"/>
      <c r="K89" s="334"/>
      <c r="L89" s="331"/>
      <c r="M89" s="334"/>
      <c r="N89" s="334"/>
      <c r="O89" s="331"/>
      <c r="P89" s="334"/>
      <c r="Q89" s="334"/>
      <c r="R89" s="331"/>
      <c r="S89" s="334"/>
      <c r="T89" s="334"/>
      <c r="U89" s="331"/>
      <c r="V89" s="334"/>
      <c r="W89" s="334"/>
      <c r="X89" s="331"/>
      <c r="Y89" s="334"/>
      <c r="Z89" s="334"/>
      <c r="AA89" s="331"/>
      <c r="AB89" s="334"/>
      <c r="AC89" s="334"/>
      <c r="AD89" s="331"/>
      <c r="AE89" s="334"/>
      <c r="AF89" s="334"/>
      <c r="AG89" s="331"/>
      <c r="AH89" s="334"/>
      <c r="AI89" s="334"/>
      <c r="AJ89" s="331"/>
      <c r="AK89" s="334"/>
      <c r="AL89" s="334"/>
      <c r="AM89" s="331"/>
      <c r="AN89" s="334"/>
      <c r="AO89" s="334"/>
      <c r="AP89" s="331"/>
      <c r="AQ89" s="334"/>
      <c r="AR89" s="334"/>
      <c r="AS89" s="331"/>
      <c r="AT89" s="334"/>
      <c r="AU89" s="334"/>
      <c r="AV89" s="331"/>
      <c r="AW89" s="334"/>
      <c r="AX89" s="334"/>
      <c r="AY89" s="331"/>
      <c r="AZ89" s="334"/>
      <c r="BA89" s="334"/>
      <c r="BB89" s="331"/>
      <c r="BC89" s="334"/>
      <c r="BD89" s="334"/>
      <c r="BE89" s="331"/>
      <c r="BF89" s="334"/>
      <c r="BG89" s="334"/>
      <c r="BH89" s="331"/>
      <c r="BI89" s="334"/>
      <c r="BJ89" s="334"/>
      <c r="BK89" s="331"/>
      <c r="BL89" s="334"/>
      <c r="BM89" s="334"/>
      <c r="BN89" s="331"/>
      <c r="BO89" s="334"/>
      <c r="BP89" s="334"/>
      <c r="BQ89" s="331"/>
      <c r="BR89" s="332"/>
    </row>
    <row r="90" spans="1:70">
      <c r="A90" s="142" t="s">
        <v>4344</v>
      </c>
      <c r="B90" s="268">
        <v>46100</v>
      </c>
      <c r="C90" s="268">
        <v>0</v>
      </c>
      <c r="D90" s="333"/>
      <c r="E90" s="333"/>
      <c r="F90" s="331"/>
      <c r="G90" s="334"/>
      <c r="H90" s="334"/>
      <c r="I90" s="331"/>
      <c r="J90" s="334"/>
      <c r="K90" s="334"/>
      <c r="L90" s="331"/>
      <c r="M90" s="334"/>
      <c r="N90" s="334"/>
      <c r="O90" s="331"/>
      <c r="P90" s="334"/>
      <c r="Q90" s="334"/>
      <c r="R90" s="331"/>
      <c r="S90" s="334"/>
      <c r="T90" s="334"/>
      <c r="U90" s="331"/>
      <c r="V90" s="334"/>
      <c r="W90" s="334"/>
      <c r="X90" s="331"/>
      <c r="Y90" s="334"/>
      <c r="Z90" s="334"/>
      <c r="AA90" s="331"/>
      <c r="AB90" s="334"/>
      <c r="AC90" s="334"/>
      <c r="AD90" s="331"/>
      <c r="AE90" s="334"/>
      <c r="AF90" s="334"/>
      <c r="AG90" s="331"/>
      <c r="AH90" s="334"/>
      <c r="AI90" s="334"/>
      <c r="AJ90" s="331"/>
      <c r="AK90" s="334"/>
      <c r="AL90" s="334"/>
      <c r="AM90" s="331"/>
      <c r="AN90" s="334"/>
      <c r="AO90" s="334"/>
      <c r="AP90" s="331"/>
      <c r="AQ90" s="334"/>
      <c r="AR90" s="334"/>
      <c r="AS90" s="331"/>
      <c r="AT90" s="334"/>
      <c r="AU90" s="334"/>
      <c r="AV90" s="331"/>
      <c r="AW90" s="334"/>
      <c r="AX90" s="334"/>
      <c r="AY90" s="331"/>
      <c r="AZ90" s="334"/>
      <c r="BA90" s="334"/>
      <c r="BB90" s="331"/>
      <c r="BC90" s="334"/>
      <c r="BD90" s="334"/>
      <c r="BE90" s="331"/>
      <c r="BF90" s="334"/>
      <c r="BG90" s="334"/>
      <c r="BH90" s="331"/>
      <c r="BI90" s="334"/>
      <c r="BJ90" s="334"/>
      <c r="BK90" s="331"/>
      <c r="BL90" s="334"/>
      <c r="BM90" s="334"/>
      <c r="BN90" s="331"/>
      <c r="BO90" s="334"/>
      <c r="BP90" s="334"/>
      <c r="BQ90" s="331"/>
      <c r="BR90" s="332"/>
    </row>
    <row r="91" spans="1:70">
      <c r="A91" s="142" t="s">
        <v>4538</v>
      </c>
      <c r="B91" s="268">
        <v>10800</v>
      </c>
      <c r="C91" s="268">
        <v>0</v>
      </c>
      <c r="D91" s="333"/>
      <c r="E91" s="333"/>
      <c r="F91" s="331"/>
      <c r="G91" s="334"/>
      <c r="H91" s="334"/>
      <c r="I91" s="331"/>
      <c r="J91" s="334"/>
      <c r="K91" s="334"/>
      <c r="L91" s="331"/>
      <c r="M91" s="334"/>
      <c r="N91" s="334"/>
      <c r="O91" s="331"/>
      <c r="P91" s="334"/>
      <c r="Q91" s="334"/>
      <c r="R91" s="331"/>
      <c r="S91" s="334"/>
      <c r="T91" s="334"/>
      <c r="U91" s="331"/>
      <c r="V91" s="334"/>
      <c r="W91" s="334"/>
      <c r="X91" s="331"/>
      <c r="Y91" s="334"/>
      <c r="Z91" s="334"/>
      <c r="AA91" s="331"/>
      <c r="AB91" s="334"/>
      <c r="AC91" s="334"/>
      <c r="AD91" s="331"/>
      <c r="AE91" s="334"/>
      <c r="AF91" s="334"/>
      <c r="AG91" s="331"/>
      <c r="AH91" s="334"/>
      <c r="AI91" s="334"/>
      <c r="AJ91" s="331"/>
      <c r="AK91" s="334"/>
      <c r="AL91" s="334"/>
      <c r="AM91" s="331"/>
      <c r="AN91" s="334"/>
      <c r="AO91" s="334"/>
      <c r="AP91" s="331"/>
      <c r="AQ91" s="334"/>
      <c r="AR91" s="334"/>
      <c r="AS91" s="331"/>
      <c r="AT91" s="334"/>
      <c r="AU91" s="334"/>
      <c r="AV91" s="331"/>
      <c r="AW91" s="334"/>
      <c r="AX91" s="334"/>
      <c r="AY91" s="331"/>
      <c r="AZ91" s="334"/>
      <c r="BA91" s="334"/>
      <c r="BB91" s="331"/>
      <c r="BC91" s="334"/>
      <c r="BD91" s="334"/>
      <c r="BE91" s="331"/>
      <c r="BF91" s="334"/>
      <c r="BG91" s="334"/>
      <c r="BH91" s="331"/>
      <c r="BI91" s="334"/>
      <c r="BJ91" s="334"/>
      <c r="BK91" s="331"/>
      <c r="BL91" s="334"/>
      <c r="BM91" s="334"/>
      <c r="BN91" s="331"/>
      <c r="BO91" s="334"/>
      <c r="BP91" s="334"/>
      <c r="BQ91" s="331"/>
      <c r="BR91" s="332"/>
    </row>
    <row r="92" spans="1:70">
      <c r="A92" s="142" t="s">
        <v>5136</v>
      </c>
      <c r="B92" s="268">
        <v>52400</v>
      </c>
      <c r="C92" s="268">
        <v>0</v>
      </c>
      <c r="D92" s="333"/>
      <c r="E92" s="333"/>
      <c r="F92" s="331"/>
      <c r="G92" s="334"/>
      <c r="H92" s="334"/>
      <c r="I92" s="331"/>
      <c r="J92" s="334"/>
      <c r="K92" s="334"/>
      <c r="L92" s="331"/>
      <c r="M92" s="334"/>
      <c r="N92" s="334"/>
      <c r="O92" s="331"/>
      <c r="P92" s="334"/>
      <c r="Q92" s="334"/>
      <c r="R92" s="331"/>
      <c r="S92" s="334"/>
      <c r="T92" s="334"/>
      <c r="U92" s="331"/>
      <c r="V92" s="334"/>
      <c r="W92" s="334"/>
      <c r="X92" s="331"/>
      <c r="Y92" s="334"/>
      <c r="Z92" s="334"/>
      <c r="AA92" s="331"/>
      <c r="AB92" s="334"/>
      <c r="AC92" s="334"/>
      <c r="AD92" s="331"/>
      <c r="AE92" s="334"/>
      <c r="AF92" s="334"/>
      <c r="AG92" s="331"/>
      <c r="AH92" s="334"/>
      <c r="AI92" s="334"/>
      <c r="AJ92" s="331"/>
      <c r="AK92" s="334"/>
      <c r="AL92" s="334"/>
      <c r="AM92" s="331"/>
      <c r="AN92" s="334"/>
      <c r="AO92" s="334"/>
      <c r="AP92" s="331"/>
      <c r="AQ92" s="334"/>
      <c r="AR92" s="334"/>
      <c r="AS92" s="331"/>
      <c r="AT92" s="334"/>
      <c r="AU92" s="334"/>
      <c r="AV92" s="331"/>
      <c r="AW92" s="334"/>
      <c r="AX92" s="334"/>
      <c r="AY92" s="331"/>
      <c r="AZ92" s="334"/>
      <c r="BA92" s="334"/>
      <c r="BB92" s="331"/>
      <c r="BC92" s="334"/>
      <c r="BD92" s="334"/>
      <c r="BE92" s="331"/>
      <c r="BF92" s="334"/>
      <c r="BG92" s="334"/>
      <c r="BH92" s="331"/>
      <c r="BI92" s="334"/>
      <c r="BJ92" s="334"/>
      <c r="BK92" s="331"/>
      <c r="BL92" s="334"/>
      <c r="BM92" s="334"/>
      <c r="BN92" s="331"/>
      <c r="BO92" s="334"/>
      <c r="BP92" s="334"/>
      <c r="BQ92" s="331"/>
      <c r="BR92" s="332"/>
    </row>
    <row r="93" spans="1:70">
      <c r="A93" s="142" t="s">
        <v>4955</v>
      </c>
      <c r="B93" s="268">
        <v>52300</v>
      </c>
      <c r="C93" s="268">
        <v>0</v>
      </c>
      <c r="D93" s="333"/>
      <c r="E93" s="333"/>
      <c r="F93" s="331"/>
      <c r="G93" s="334"/>
      <c r="H93" s="334"/>
      <c r="I93" s="331"/>
      <c r="J93" s="334"/>
      <c r="K93" s="334"/>
      <c r="L93" s="331"/>
      <c r="M93" s="334"/>
      <c r="N93" s="334"/>
      <c r="O93" s="331"/>
      <c r="P93" s="334"/>
      <c r="Q93" s="334"/>
      <c r="R93" s="331"/>
      <c r="S93" s="334"/>
      <c r="T93" s="334"/>
      <c r="U93" s="331"/>
      <c r="V93" s="334"/>
      <c r="W93" s="334"/>
      <c r="X93" s="331"/>
      <c r="Y93" s="334"/>
      <c r="Z93" s="334"/>
      <c r="AA93" s="331"/>
      <c r="AB93" s="334"/>
      <c r="AC93" s="334"/>
      <c r="AD93" s="331"/>
      <c r="AE93" s="334"/>
      <c r="AF93" s="334"/>
      <c r="AG93" s="331"/>
      <c r="AH93" s="334"/>
      <c r="AI93" s="334"/>
      <c r="AJ93" s="331"/>
      <c r="AK93" s="334"/>
      <c r="AL93" s="334"/>
      <c r="AM93" s="331"/>
      <c r="AN93" s="334"/>
      <c r="AO93" s="334"/>
      <c r="AP93" s="331"/>
      <c r="AQ93" s="334"/>
      <c r="AR93" s="334"/>
      <c r="AS93" s="331"/>
      <c r="AT93" s="334"/>
      <c r="AU93" s="334"/>
      <c r="AV93" s="331"/>
      <c r="AW93" s="334"/>
      <c r="AX93" s="334"/>
      <c r="AY93" s="331"/>
      <c r="AZ93" s="334"/>
      <c r="BA93" s="334"/>
      <c r="BB93" s="331"/>
      <c r="BC93" s="334"/>
      <c r="BD93" s="334"/>
      <c r="BE93" s="331"/>
      <c r="BF93" s="334"/>
      <c r="BG93" s="334"/>
      <c r="BH93" s="331"/>
      <c r="BI93" s="334"/>
      <c r="BJ93" s="334"/>
      <c r="BK93" s="331"/>
      <c r="BL93" s="334"/>
      <c r="BM93" s="334"/>
      <c r="BN93" s="331"/>
      <c r="BO93" s="334"/>
      <c r="BP93" s="334"/>
      <c r="BQ93" s="331"/>
      <c r="BR93" s="332"/>
    </row>
    <row r="94" spans="1:70">
      <c r="A94" s="142" t="s">
        <v>4983</v>
      </c>
      <c r="B94" s="268">
        <v>69500</v>
      </c>
      <c r="C94" s="268">
        <v>0</v>
      </c>
      <c r="D94" s="333"/>
      <c r="E94" s="333"/>
      <c r="F94" s="331"/>
      <c r="G94" s="334"/>
      <c r="H94" s="334"/>
      <c r="I94" s="331"/>
      <c r="J94" s="334"/>
      <c r="K94" s="334"/>
      <c r="L94" s="331"/>
      <c r="M94" s="334"/>
      <c r="N94" s="334"/>
      <c r="O94" s="331"/>
      <c r="P94" s="334"/>
      <c r="Q94" s="334"/>
      <c r="R94" s="331"/>
      <c r="S94" s="334"/>
      <c r="T94" s="334"/>
      <c r="U94" s="331"/>
      <c r="V94" s="334"/>
      <c r="W94" s="334"/>
      <c r="X94" s="331"/>
      <c r="Y94" s="334"/>
      <c r="Z94" s="334"/>
      <c r="AA94" s="331"/>
      <c r="AB94" s="334"/>
      <c r="AC94" s="334"/>
      <c r="AD94" s="331"/>
      <c r="AE94" s="334"/>
      <c r="AF94" s="334"/>
      <c r="AG94" s="331"/>
      <c r="AH94" s="334"/>
      <c r="AI94" s="334"/>
      <c r="AJ94" s="331"/>
      <c r="AK94" s="334"/>
      <c r="AL94" s="334"/>
      <c r="AM94" s="331"/>
      <c r="AN94" s="334"/>
      <c r="AO94" s="334"/>
      <c r="AP94" s="331"/>
      <c r="AQ94" s="334"/>
      <c r="AR94" s="334"/>
      <c r="AS94" s="331"/>
      <c r="AT94" s="334"/>
      <c r="AU94" s="334"/>
      <c r="AV94" s="331"/>
      <c r="AW94" s="334"/>
      <c r="AX94" s="334"/>
      <c r="AY94" s="331"/>
      <c r="AZ94" s="334"/>
      <c r="BA94" s="334"/>
      <c r="BB94" s="331"/>
      <c r="BC94" s="334"/>
      <c r="BD94" s="334"/>
      <c r="BE94" s="331"/>
      <c r="BF94" s="334"/>
      <c r="BG94" s="334"/>
      <c r="BH94" s="331"/>
      <c r="BI94" s="334"/>
      <c r="BJ94" s="334"/>
      <c r="BK94" s="331"/>
      <c r="BL94" s="334"/>
      <c r="BM94" s="334"/>
      <c r="BN94" s="331"/>
      <c r="BO94" s="334"/>
      <c r="BP94" s="334"/>
      <c r="BQ94" s="331"/>
      <c r="BR94" s="332"/>
    </row>
    <row r="95" spans="1:70">
      <c r="A95" s="142" t="s">
        <v>4112</v>
      </c>
      <c r="B95" s="268">
        <v>25600</v>
      </c>
      <c r="C95" s="268">
        <v>0</v>
      </c>
      <c r="D95" s="333"/>
      <c r="E95" s="333"/>
      <c r="F95" s="331"/>
      <c r="G95" s="334"/>
      <c r="H95" s="334"/>
      <c r="I95" s="331"/>
      <c r="J95" s="334"/>
      <c r="K95" s="334"/>
      <c r="L95" s="331"/>
      <c r="M95" s="334"/>
      <c r="N95" s="334"/>
      <c r="O95" s="331"/>
      <c r="P95" s="334"/>
      <c r="Q95" s="334"/>
      <c r="R95" s="331"/>
      <c r="S95" s="334"/>
      <c r="T95" s="334"/>
      <c r="U95" s="331"/>
      <c r="V95" s="334"/>
      <c r="W95" s="334"/>
      <c r="X95" s="331"/>
      <c r="Y95" s="334"/>
      <c r="Z95" s="334"/>
      <c r="AA95" s="331"/>
      <c r="AB95" s="334"/>
      <c r="AC95" s="334"/>
      <c r="AD95" s="331"/>
      <c r="AE95" s="334"/>
      <c r="AF95" s="334"/>
      <c r="AG95" s="331"/>
      <c r="AH95" s="334"/>
      <c r="AI95" s="334"/>
      <c r="AJ95" s="331"/>
      <c r="AK95" s="334"/>
      <c r="AL95" s="334"/>
      <c r="AM95" s="331"/>
      <c r="AN95" s="334"/>
      <c r="AO95" s="334"/>
      <c r="AP95" s="331"/>
      <c r="AQ95" s="334"/>
      <c r="AR95" s="334"/>
      <c r="AS95" s="331"/>
      <c r="AT95" s="334"/>
      <c r="AU95" s="334"/>
      <c r="AV95" s="331"/>
      <c r="AW95" s="334"/>
      <c r="AX95" s="334"/>
      <c r="AY95" s="331"/>
      <c r="AZ95" s="334"/>
      <c r="BA95" s="334"/>
      <c r="BB95" s="331"/>
      <c r="BC95" s="334"/>
      <c r="BD95" s="334"/>
      <c r="BE95" s="331"/>
      <c r="BF95" s="334"/>
      <c r="BG95" s="334"/>
      <c r="BH95" s="331"/>
      <c r="BI95" s="334"/>
      <c r="BJ95" s="334"/>
      <c r="BK95" s="331"/>
      <c r="BL95" s="334"/>
      <c r="BM95" s="334"/>
      <c r="BN95" s="331"/>
      <c r="BO95" s="334"/>
      <c r="BP95" s="334"/>
      <c r="BQ95" s="331"/>
      <c r="BR95" s="332"/>
    </row>
    <row r="96" spans="1:70">
      <c r="A96" s="142" t="s">
        <v>4106</v>
      </c>
      <c r="B96" s="268">
        <v>22900</v>
      </c>
      <c r="C96" s="268">
        <v>0</v>
      </c>
      <c r="D96" s="333"/>
      <c r="E96" s="333"/>
      <c r="F96" s="331"/>
      <c r="G96" s="334"/>
      <c r="H96" s="334"/>
      <c r="I96" s="331"/>
      <c r="J96" s="334"/>
      <c r="K96" s="334"/>
      <c r="L96" s="331"/>
      <c r="M96" s="334"/>
      <c r="N96" s="334"/>
      <c r="O96" s="331"/>
      <c r="P96" s="334"/>
      <c r="Q96" s="334"/>
      <c r="R96" s="331"/>
      <c r="S96" s="334"/>
      <c r="T96" s="334"/>
      <c r="U96" s="331"/>
      <c r="V96" s="334"/>
      <c r="W96" s="334"/>
      <c r="X96" s="331"/>
      <c r="Y96" s="334"/>
      <c r="Z96" s="334"/>
      <c r="AA96" s="331"/>
      <c r="AB96" s="334"/>
      <c r="AC96" s="334"/>
      <c r="AD96" s="331"/>
      <c r="AE96" s="334"/>
      <c r="AF96" s="334"/>
      <c r="AG96" s="331"/>
      <c r="AH96" s="334"/>
      <c r="AI96" s="334"/>
      <c r="AJ96" s="331"/>
      <c r="AK96" s="334"/>
      <c r="AL96" s="334"/>
      <c r="AM96" s="331"/>
      <c r="AN96" s="334"/>
      <c r="AO96" s="334"/>
      <c r="AP96" s="331"/>
      <c r="AQ96" s="334"/>
      <c r="AR96" s="334"/>
      <c r="AS96" s="331"/>
      <c r="AT96" s="334"/>
      <c r="AU96" s="334"/>
      <c r="AV96" s="331"/>
      <c r="AW96" s="334"/>
      <c r="AX96" s="334"/>
      <c r="AY96" s="331"/>
      <c r="AZ96" s="334"/>
      <c r="BA96" s="334"/>
      <c r="BB96" s="331"/>
      <c r="BC96" s="334"/>
      <c r="BD96" s="334"/>
      <c r="BE96" s="331"/>
      <c r="BF96" s="334"/>
      <c r="BG96" s="334"/>
      <c r="BH96" s="331"/>
      <c r="BI96" s="334"/>
      <c r="BJ96" s="334"/>
      <c r="BK96" s="331"/>
      <c r="BL96" s="334"/>
      <c r="BM96" s="334"/>
      <c r="BN96" s="331"/>
      <c r="BO96" s="334"/>
      <c r="BP96" s="334"/>
      <c r="BQ96" s="331"/>
      <c r="BR96" s="332"/>
    </row>
    <row r="97" spans="1:70">
      <c r="A97" s="142" t="s">
        <v>4090</v>
      </c>
      <c r="B97" s="268">
        <v>23300</v>
      </c>
      <c r="C97" s="268">
        <v>0</v>
      </c>
      <c r="D97" s="333"/>
      <c r="E97" s="333"/>
      <c r="F97" s="331"/>
      <c r="G97" s="334"/>
      <c r="H97" s="334"/>
      <c r="I97" s="331"/>
      <c r="J97" s="334"/>
      <c r="K97" s="334"/>
      <c r="L97" s="331"/>
      <c r="M97" s="334"/>
      <c r="N97" s="334"/>
      <c r="O97" s="331"/>
      <c r="P97" s="334"/>
      <c r="Q97" s="334"/>
      <c r="R97" s="331"/>
      <c r="S97" s="334"/>
      <c r="T97" s="334"/>
      <c r="U97" s="331"/>
      <c r="V97" s="334"/>
      <c r="W97" s="334"/>
      <c r="X97" s="331"/>
      <c r="Y97" s="334"/>
      <c r="Z97" s="334"/>
      <c r="AA97" s="331"/>
      <c r="AB97" s="334"/>
      <c r="AC97" s="334"/>
      <c r="AD97" s="331"/>
      <c r="AE97" s="334"/>
      <c r="AF97" s="334"/>
      <c r="AG97" s="331"/>
      <c r="AH97" s="334"/>
      <c r="AI97" s="334"/>
      <c r="AJ97" s="331"/>
      <c r="AK97" s="334"/>
      <c r="AL97" s="334"/>
      <c r="AM97" s="331"/>
      <c r="AN97" s="334"/>
      <c r="AO97" s="334"/>
      <c r="AP97" s="331"/>
      <c r="AQ97" s="334"/>
      <c r="AR97" s="334"/>
      <c r="AS97" s="331"/>
      <c r="AT97" s="334"/>
      <c r="AU97" s="334"/>
      <c r="AV97" s="331"/>
      <c r="AW97" s="334"/>
      <c r="AX97" s="334"/>
      <c r="AY97" s="331"/>
      <c r="AZ97" s="334"/>
      <c r="BA97" s="334"/>
      <c r="BB97" s="331"/>
      <c r="BC97" s="334"/>
      <c r="BD97" s="334"/>
      <c r="BE97" s="331"/>
      <c r="BF97" s="334"/>
      <c r="BG97" s="334"/>
      <c r="BH97" s="331"/>
      <c r="BI97" s="334"/>
      <c r="BJ97" s="334"/>
      <c r="BK97" s="331"/>
      <c r="BL97" s="334"/>
      <c r="BM97" s="334"/>
      <c r="BN97" s="331"/>
      <c r="BO97" s="334"/>
      <c r="BP97" s="334"/>
      <c r="BQ97" s="331"/>
      <c r="BR97" s="332"/>
    </row>
    <row r="98" spans="1:70">
      <c r="A98" s="142" t="s">
        <v>4369</v>
      </c>
      <c r="B98" s="268">
        <v>9600</v>
      </c>
      <c r="C98" s="268">
        <v>0</v>
      </c>
      <c r="D98" s="333"/>
      <c r="E98" s="333"/>
      <c r="F98" s="331"/>
      <c r="G98" s="334"/>
      <c r="H98" s="334"/>
      <c r="I98" s="331"/>
      <c r="J98" s="334"/>
      <c r="K98" s="334"/>
      <c r="L98" s="331"/>
      <c r="M98" s="334"/>
      <c r="N98" s="334"/>
      <c r="O98" s="331"/>
      <c r="P98" s="334"/>
      <c r="Q98" s="334"/>
      <c r="R98" s="331"/>
      <c r="S98" s="334"/>
      <c r="T98" s="334"/>
      <c r="U98" s="331"/>
      <c r="V98" s="334"/>
      <c r="W98" s="334"/>
      <c r="X98" s="331"/>
      <c r="Y98" s="334"/>
      <c r="Z98" s="334"/>
      <c r="AA98" s="331"/>
      <c r="AB98" s="334"/>
      <c r="AC98" s="334"/>
      <c r="AD98" s="331"/>
      <c r="AE98" s="334"/>
      <c r="AF98" s="334"/>
      <c r="AG98" s="331"/>
      <c r="AH98" s="334"/>
      <c r="AI98" s="334"/>
      <c r="AJ98" s="331"/>
      <c r="AK98" s="334"/>
      <c r="AL98" s="334"/>
      <c r="AM98" s="331"/>
      <c r="AN98" s="334"/>
      <c r="AO98" s="334"/>
      <c r="AP98" s="331"/>
      <c r="AQ98" s="334"/>
      <c r="AR98" s="334"/>
      <c r="AS98" s="331"/>
      <c r="AT98" s="334"/>
      <c r="AU98" s="334"/>
      <c r="AV98" s="331"/>
      <c r="AW98" s="334"/>
      <c r="AX98" s="334"/>
      <c r="AY98" s="331"/>
      <c r="AZ98" s="334"/>
      <c r="BA98" s="334"/>
      <c r="BB98" s="331"/>
      <c r="BC98" s="334"/>
      <c r="BD98" s="334"/>
      <c r="BE98" s="331"/>
      <c r="BF98" s="334"/>
      <c r="BG98" s="334"/>
      <c r="BH98" s="331"/>
      <c r="BI98" s="334"/>
      <c r="BJ98" s="334"/>
      <c r="BK98" s="331"/>
      <c r="BL98" s="334"/>
      <c r="BM98" s="334"/>
      <c r="BN98" s="331"/>
      <c r="BO98" s="334"/>
      <c r="BP98" s="334"/>
      <c r="BQ98" s="331"/>
      <c r="BR98" s="332"/>
    </row>
    <row r="99" spans="1:70">
      <c r="A99" s="142" t="s">
        <v>4533</v>
      </c>
      <c r="B99" s="268">
        <v>1600</v>
      </c>
      <c r="C99" s="268">
        <v>0</v>
      </c>
      <c r="D99" s="333"/>
      <c r="E99" s="333"/>
      <c r="F99" s="331"/>
      <c r="G99" s="334"/>
      <c r="H99" s="334"/>
      <c r="I99" s="331"/>
      <c r="J99" s="334"/>
      <c r="K99" s="334"/>
      <c r="L99" s="331"/>
      <c r="M99" s="334"/>
      <c r="N99" s="334"/>
      <c r="O99" s="331"/>
      <c r="P99" s="334"/>
      <c r="Q99" s="334"/>
      <c r="R99" s="331"/>
      <c r="S99" s="334"/>
      <c r="T99" s="334"/>
      <c r="U99" s="331"/>
      <c r="V99" s="334"/>
      <c r="W99" s="334"/>
      <c r="X99" s="331"/>
      <c r="Y99" s="334"/>
      <c r="Z99" s="334"/>
      <c r="AA99" s="331"/>
      <c r="AB99" s="334"/>
      <c r="AC99" s="334"/>
      <c r="AD99" s="331"/>
      <c r="AE99" s="334"/>
      <c r="AF99" s="334"/>
      <c r="AG99" s="331"/>
      <c r="AH99" s="334"/>
      <c r="AI99" s="334"/>
      <c r="AJ99" s="331"/>
      <c r="AK99" s="334"/>
      <c r="AL99" s="334"/>
      <c r="AM99" s="331"/>
      <c r="AN99" s="334"/>
      <c r="AO99" s="334"/>
      <c r="AP99" s="331"/>
      <c r="AQ99" s="334"/>
      <c r="AR99" s="334"/>
      <c r="AS99" s="331"/>
      <c r="AT99" s="334"/>
      <c r="AU99" s="334"/>
      <c r="AV99" s="331"/>
      <c r="AW99" s="334"/>
      <c r="AX99" s="334"/>
      <c r="AY99" s="331"/>
      <c r="AZ99" s="334"/>
      <c r="BA99" s="334"/>
      <c r="BB99" s="331"/>
      <c r="BC99" s="334"/>
      <c r="BD99" s="334"/>
      <c r="BE99" s="331"/>
      <c r="BF99" s="334"/>
      <c r="BG99" s="334"/>
      <c r="BH99" s="331"/>
      <c r="BI99" s="334"/>
      <c r="BJ99" s="334"/>
      <c r="BK99" s="331"/>
      <c r="BL99" s="334"/>
      <c r="BM99" s="334"/>
      <c r="BN99" s="331"/>
      <c r="BO99" s="334"/>
      <c r="BP99" s="334"/>
      <c r="BQ99" s="331"/>
      <c r="BR99" s="332"/>
    </row>
    <row r="100" spans="1:70">
      <c r="A100" s="142" t="s">
        <v>4541</v>
      </c>
      <c r="B100" s="268">
        <v>2700</v>
      </c>
      <c r="C100" s="268">
        <v>0</v>
      </c>
      <c r="D100" s="333"/>
      <c r="E100" s="333"/>
      <c r="F100" s="331"/>
      <c r="G100" s="334"/>
      <c r="H100" s="334"/>
      <c r="I100" s="331"/>
      <c r="J100" s="334"/>
      <c r="K100" s="334"/>
      <c r="L100" s="331"/>
      <c r="M100" s="334"/>
      <c r="N100" s="334"/>
      <c r="O100" s="331"/>
      <c r="P100" s="334"/>
      <c r="Q100" s="334"/>
      <c r="R100" s="331"/>
      <c r="S100" s="334"/>
      <c r="T100" s="334"/>
      <c r="U100" s="331"/>
      <c r="V100" s="334"/>
      <c r="W100" s="334"/>
      <c r="X100" s="331"/>
      <c r="Y100" s="334"/>
      <c r="Z100" s="334"/>
      <c r="AA100" s="331"/>
      <c r="AB100" s="334"/>
      <c r="AC100" s="334"/>
      <c r="AD100" s="331"/>
      <c r="AE100" s="334"/>
      <c r="AF100" s="334"/>
      <c r="AG100" s="331"/>
      <c r="AH100" s="334"/>
      <c r="AI100" s="334"/>
      <c r="AJ100" s="331"/>
      <c r="AK100" s="334"/>
      <c r="AL100" s="334"/>
      <c r="AM100" s="331"/>
      <c r="AN100" s="334"/>
      <c r="AO100" s="334"/>
      <c r="AP100" s="331"/>
      <c r="AQ100" s="334"/>
      <c r="AR100" s="334"/>
      <c r="AS100" s="331"/>
      <c r="AT100" s="334"/>
      <c r="AU100" s="334"/>
      <c r="AV100" s="331"/>
      <c r="AW100" s="334"/>
      <c r="AX100" s="334"/>
      <c r="AY100" s="331"/>
      <c r="AZ100" s="334"/>
      <c r="BA100" s="334"/>
      <c r="BB100" s="331"/>
      <c r="BC100" s="334"/>
      <c r="BD100" s="334"/>
      <c r="BE100" s="331"/>
      <c r="BF100" s="334"/>
      <c r="BG100" s="334"/>
      <c r="BH100" s="331"/>
      <c r="BI100" s="334"/>
      <c r="BJ100" s="334"/>
      <c r="BK100" s="331"/>
      <c r="BL100" s="334"/>
      <c r="BM100" s="334"/>
      <c r="BN100" s="331"/>
      <c r="BO100" s="334"/>
      <c r="BP100" s="334"/>
      <c r="BQ100" s="331"/>
      <c r="BR100" s="332"/>
    </row>
    <row r="101" spans="1:70">
      <c r="A101" s="142" t="s">
        <v>4536</v>
      </c>
      <c r="B101" s="268">
        <v>1600</v>
      </c>
      <c r="C101" s="268">
        <v>0</v>
      </c>
      <c r="D101" s="333"/>
      <c r="E101" s="333"/>
      <c r="F101" s="331"/>
      <c r="G101" s="334"/>
      <c r="H101" s="334"/>
      <c r="I101" s="331"/>
      <c r="J101" s="334"/>
      <c r="K101" s="334"/>
      <c r="L101" s="331"/>
      <c r="M101" s="334"/>
      <c r="N101" s="334"/>
      <c r="O101" s="331"/>
      <c r="P101" s="334"/>
      <c r="Q101" s="334"/>
      <c r="R101" s="331"/>
      <c r="S101" s="334"/>
      <c r="T101" s="334"/>
      <c r="U101" s="331"/>
      <c r="V101" s="334"/>
      <c r="W101" s="334"/>
      <c r="X101" s="331"/>
      <c r="Y101" s="334"/>
      <c r="Z101" s="334"/>
      <c r="AA101" s="331"/>
      <c r="AB101" s="334"/>
      <c r="AC101" s="334"/>
      <c r="AD101" s="331"/>
      <c r="AE101" s="334"/>
      <c r="AF101" s="334"/>
      <c r="AG101" s="331"/>
      <c r="AH101" s="334"/>
      <c r="AI101" s="334"/>
      <c r="AJ101" s="331"/>
      <c r="AK101" s="334"/>
      <c r="AL101" s="334"/>
      <c r="AM101" s="331"/>
      <c r="AN101" s="334"/>
      <c r="AO101" s="334"/>
      <c r="AP101" s="331"/>
      <c r="AQ101" s="334"/>
      <c r="AR101" s="334"/>
      <c r="AS101" s="331"/>
      <c r="AT101" s="334"/>
      <c r="AU101" s="334"/>
      <c r="AV101" s="331"/>
      <c r="AW101" s="334"/>
      <c r="AX101" s="334"/>
      <c r="AY101" s="331"/>
      <c r="AZ101" s="334"/>
      <c r="BA101" s="334"/>
      <c r="BB101" s="331"/>
      <c r="BC101" s="334"/>
      <c r="BD101" s="334"/>
      <c r="BE101" s="331"/>
      <c r="BF101" s="334"/>
      <c r="BG101" s="334"/>
      <c r="BH101" s="331"/>
      <c r="BI101" s="334"/>
      <c r="BJ101" s="334"/>
      <c r="BK101" s="331"/>
      <c r="BL101" s="334"/>
      <c r="BM101" s="334"/>
      <c r="BN101" s="331"/>
      <c r="BO101" s="334"/>
      <c r="BP101" s="334"/>
      <c r="BQ101" s="331"/>
      <c r="BR101" s="332"/>
    </row>
    <row r="102" spans="1:70">
      <c r="A102" s="142" t="s">
        <v>4579</v>
      </c>
      <c r="B102" s="268">
        <v>5200</v>
      </c>
      <c r="C102" s="268">
        <v>0</v>
      </c>
      <c r="D102" s="333"/>
      <c r="E102" s="333"/>
      <c r="F102" s="331"/>
      <c r="G102" s="334"/>
      <c r="H102" s="334"/>
      <c r="I102" s="331"/>
      <c r="J102" s="334"/>
      <c r="K102" s="334"/>
      <c r="L102" s="331"/>
      <c r="M102" s="334"/>
      <c r="N102" s="334"/>
      <c r="O102" s="331"/>
      <c r="P102" s="334"/>
      <c r="Q102" s="334"/>
      <c r="R102" s="331"/>
      <c r="S102" s="334"/>
      <c r="T102" s="334"/>
      <c r="U102" s="331"/>
      <c r="V102" s="334"/>
      <c r="W102" s="334"/>
      <c r="X102" s="331"/>
      <c r="Y102" s="334"/>
      <c r="Z102" s="334"/>
      <c r="AA102" s="331"/>
      <c r="AB102" s="334"/>
      <c r="AC102" s="334"/>
      <c r="AD102" s="331"/>
      <c r="AE102" s="334"/>
      <c r="AF102" s="334"/>
      <c r="AG102" s="331"/>
      <c r="AH102" s="334"/>
      <c r="AI102" s="334"/>
      <c r="AJ102" s="331"/>
      <c r="AK102" s="334"/>
      <c r="AL102" s="334"/>
      <c r="AM102" s="331"/>
      <c r="AN102" s="334"/>
      <c r="AO102" s="334"/>
      <c r="AP102" s="331"/>
      <c r="AQ102" s="334"/>
      <c r="AR102" s="334"/>
      <c r="AS102" s="331"/>
      <c r="AT102" s="334"/>
      <c r="AU102" s="334"/>
      <c r="AV102" s="331"/>
      <c r="AW102" s="334"/>
      <c r="AX102" s="334"/>
      <c r="AY102" s="331"/>
      <c r="AZ102" s="334"/>
      <c r="BA102" s="334"/>
      <c r="BB102" s="331"/>
      <c r="BC102" s="334"/>
      <c r="BD102" s="334"/>
      <c r="BE102" s="331"/>
      <c r="BF102" s="334"/>
      <c r="BG102" s="334"/>
      <c r="BH102" s="331"/>
      <c r="BI102" s="334"/>
      <c r="BJ102" s="334"/>
      <c r="BK102" s="331"/>
      <c r="BL102" s="334"/>
      <c r="BM102" s="334"/>
      <c r="BN102" s="331"/>
      <c r="BO102" s="334"/>
      <c r="BP102" s="334"/>
      <c r="BQ102" s="331"/>
      <c r="BR102" s="332"/>
    </row>
    <row r="103" spans="1:70">
      <c r="A103" s="142" t="s">
        <v>4714</v>
      </c>
      <c r="B103" s="268">
        <v>19800</v>
      </c>
      <c r="C103" s="268">
        <v>0</v>
      </c>
      <c r="D103" s="333"/>
      <c r="E103" s="333"/>
      <c r="F103" s="331"/>
      <c r="G103" s="334"/>
      <c r="H103" s="334"/>
      <c r="I103" s="331"/>
      <c r="J103" s="334"/>
      <c r="K103" s="334"/>
      <c r="L103" s="331"/>
      <c r="M103" s="334"/>
      <c r="N103" s="334"/>
      <c r="O103" s="331"/>
      <c r="P103" s="334"/>
      <c r="Q103" s="334"/>
      <c r="R103" s="331"/>
      <c r="S103" s="334"/>
      <c r="T103" s="334"/>
      <c r="U103" s="331"/>
      <c r="V103" s="334"/>
      <c r="W103" s="334"/>
      <c r="X103" s="331"/>
      <c r="Y103" s="334"/>
      <c r="Z103" s="334"/>
      <c r="AA103" s="331"/>
      <c r="AB103" s="334"/>
      <c r="AC103" s="334"/>
      <c r="AD103" s="331"/>
      <c r="AE103" s="334"/>
      <c r="AF103" s="334"/>
      <c r="AG103" s="331"/>
      <c r="AH103" s="334"/>
      <c r="AI103" s="334"/>
      <c r="AJ103" s="331"/>
      <c r="AK103" s="334"/>
      <c r="AL103" s="334"/>
      <c r="AM103" s="331"/>
      <c r="AN103" s="334"/>
      <c r="AO103" s="334"/>
      <c r="AP103" s="331"/>
      <c r="AQ103" s="334"/>
      <c r="AR103" s="334"/>
      <c r="AS103" s="331"/>
      <c r="AT103" s="334"/>
      <c r="AU103" s="334"/>
      <c r="AV103" s="331"/>
      <c r="AW103" s="334"/>
      <c r="AX103" s="334"/>
      <c r="AY103" s="331"/>
      <c r="AZ103" s="334"/>
      <c r="BA103" s="334"/>
      <c r="BB103" s="331"/>
      <c r="BC103" s="334"/>
      <c r="BD103" s="334"/>
      <c r="BE103" s="331"/>
      <c r="BF103" s="334"/>
      <c r="BG103" s="334"/>
      <c r="BH103" s="331"/>
      <c r="BI103" s="334"/>
      <c r="BJ103" s="334"/>
      <c r="BK103" s="331"/>
      <c r="BL103" s="334"/>
      <c r="BM103" s="334"/>
      <c r="BN103" s="331"/>
      <c r="BO103" s="334"/>
      <c r="BP103" s="334"/>
      <c r="BQ103" s="331"/>
      <c r="BR103" s="332"/>
    </row>
    <row r="104" spans="1:70">
      <c r="A104" s="142" t="s">
        <v>4698</v>
      </c>
      <c r="B104" s="268">
        <v>23600</v>
      </c>
      <c r="C104" s="268">
        <v>0</v>
      </c>
      <c r="D104" s="333"/>
      <c r="E104" s="333"/>
      <c r="F104" s="331"/>
      <c r="G104" s="334"/>
      <c r="H104" s="334"/>
      <c r="I104" s="331"/>
      <c r="J104" s="334"/>
      <c r="K104" s="334"/>
      <c r="L104" s="331"/>
      <c r="M104" s="334"/>
      <c r="N104" s="334"/>
      <c r="O104" s="331"/>
      <c r="P104" s="334"/>
      <c r="Q104" s="334"/>
      <c r="R104" s="331"/>
      <c r="S104" s="334"/>
      <c r="T104" s="334"/>
      <c r="U104" s="331"/>
      <c r="V104" s="334"/>
      <c r="W104" s="334"/>
      <c r="X104" s="331"/>
      <c r="Y104" s="334"/>
      <c r="Z104" s="334"/>
      <c r="AA104" s="331"/>
      <c r="AB104" s="334"/>
      <c r="AC104" s="334"/>
      <c r="AD104" s="331"/>
      <c r="AE104" s="334"/>
      <c r="AF104" s="334"/>
      <c r="AG104" s="331"/>
      <c r="AH104" s="334"/>
      <c r="AI104" s="334"/>
      <c r="AJ104" s="331"/>
      <c r="AK104" s="334"/>
      <c r="AL104" s="334"/>
      <c r="AM104" s="331"/>
      <c r="AN104" s="334"/>
      <c r="AO104" s="334"/>
      <c r="AP104" s="331"/>
      <c r="AQ104" s="334"/>
      <c r="AR104" s="334"/>
      <c r="AS104" s="331"/>
      <c r="AT104" s="334"/>
      <c r="AU104" s="334"/>
      <c r="AV104" s="331"/>
      <c r="AW104" s="334"/>
      <c r="AX104" s="334"/>
      <c r="AY104" s="331"/>
      <c r="AZ104" s="334"/>
      <c r="BA104" s="334"/>
      <c r="BB104" s="331"/>
      <c r="BC104" s="334"/>
      <c r="BD104" s="334"/>
      <c r="BE104" s="331"/>
      <c r="BF104" s="334"/>
      <c r="BG104" s="334"/>
      <c r="BH104" s="331"/>
      <c r="BI104" s="334"/>
      <c r="BJ104" s="334"/>
      <c r="BK104" s="331"/>
      <c r="BL104" s="334"/>
      <c r="BM104" s="334"/>
      <c r="BN104" s="331"/>
      <c r="BO104" s="334"/>
      <c r="BP104" s="334"/>
      <c r="BQ104" s="331"/>
      <c r="BR104" s="332"/>
    </row>
    <row r="105" spans="1:70">
      <c r="A105" s="142" t="s">
        <v>4706</v>
      </c>
      <c r="B105" s="268">
        <v>19900</v>
      </c>
      <c r="C105" s="268">
        <v>0</v>
      </c>
      <c r="D105" s="333"/>
      <c r="E105" s="333"/>
      <c r="F105" s="331"/>
      <c r="G105" s="334"/>
      <c r="H105" s="334"/>
      <c r="I105" s="331"/>
      <c r="J105" s="334"/>
      <c r="K105" s="334"/>
      <c r="L105" s="331"/>
      <c r="M105" s="334"/>
      <c r="N105" s="334"/>
      <c r="O105" s="331"/>
      <c r="P105" s="334"/>
      <c r="Q105" s="334"/>
      <c r="R105" s="331"/>
      <c r="S105" s="334"/>
      <c r="T105" s="334"/>
      <c r="U105" s="331"/>
      <c r="V105" s="334"/>
      <c r="W105" s="334"/>
      <c r="X105" s="331"/>
      <c r="Y105" s="334"/>
      <c r="Z105" s="334"/>
      <c r="AA105" s="331"/>
      <c r="AB105" s="334"/>
      <c r="AC105" s="334"/>
      <c r="AD105" s="331"/>
      <c r="AE105" s="334"/>
      <c r="AF105" s="334"/>
      <c r="AG105" s="331"/>
      <c r="AH105" s="334"/>
      <c r="AI105" s="334"/>
      <c r="AJ105" s="331"/>
      <c r="AK105" s="334"/>
      <c r="AL105" s="334"/>
      <c r="AM105" s="331"/>
      <c r="AN105" s="334"/>
      <c r="AO105" s="334"/>
      <c r="AP105" s="331"/>
      <c r="AQ105" s="334"/>
      <c r="AR105" s="334"/>
      <c r="AS105" s="331"/>
      <c r="AT105" s="334"/>
      <c r="AU105" s="334"/>
      <c r="AV105" s="331"/>
      <c r="AW105" s="334"/>
      <c r="AX105" s="334"/>
      <c r="AY105" s="331"/>
      <c r="AZ105" s="334"/>
      <c r="BA105" s="334"/>
      <c r="BB105" s="331"/>
      <c r="BC105" s="334"/>
      <c r="BD105" s="334"/>
      <c r="BE105" s="331"/>
      <c r="BF105" s="334"/>
      <c r="BG105" s="334"/>
      <c r="BH105" s="331"/>
      <c r="BI105" s="334"/>
      <c r="BJ105" s="334"/>
      <c r="BK105" s="331"/>
      <c r="BL105" s="334"/>
      <c r="BM105" s="334"/>
      <c r="BN105" s="331"/>
      <c r="BO105" s="334"/>
      <c r="BP105" s="334"/>
      <c r="BQ105" s="331"/>
      <c r="BR105" s="332"/>
    </row>
    <row r="106" spans="1:70">
      <c r="A106" s="142" t="s">
        <v>4911</v>
      </c>
      <c r="B106" s="268">
        <v>24400</v>
      </c>
      <c r="C106" s="268">
        <v>0</v>
      </c>
      <c r="D106" s="333"/>
      <c r="E106" s="333"/>
      <c r="F106" s="331"/>
      <c r="G106" s="334"/>
      <c r="H106" s="334"/>
      <c r="I106" s="331"/>
      <c r="J106" s="334"/>
      <c r="K106" s="334"/>
      <c r="L106" s="331"/>
      <c r="M106" s="334"/>
      <c r="N106" s="334"/>
      <c r="O106" s="331"/>
      <c r="P106" s="334"/>
      <c r="Q106" s="334"/>
      <c r="R106" s="331"/>
      <c r="S106" s="334"/>
      <c r="T106" s="334"/>
      <c r="U106" s="331"/>
      <c r="V106" s="334"/>
      <c r="W106" s="334"/>
      <c r="X106" s="331"/>
      <c r="Y106" s="334"/>
      <c r="Z106" s="334"/>
      <c r="AA106" s="331"/>
      <c r="AB106" s="334"/>
      <c r="AC106" s="334"/>
      <c r="AD106" s="331"/>
      <c r="AE106" s="334"/>
      <c r="AF106" s="334"/>
      <c r="AG106" s="331"/>
      <c r="AH106" s="334"/>
      <c r="AI106" s="334"/>
      <c r="AJ106" s="331"/>
      <c r="AK106" s="334"/>
      <c r="AL106" s="334"/>
      <c r="AM106" s="331"/>
      <c r="AN106" s="334"/>
      <c r="AO106" s="334"/>
      <c r="AP106" s="331"/>
      <c r="AQ106" s="334"/>
      <c r="AR106" s="334"/>
      <c r="AS106" s="331"/>
      <c r="AT106" s="334"/>
      <c r="AU106" s="334"/>
      <c r="AV106" s="331"/>
      <c r="AW106" s="334"/>
      <c r="AX106" s="334"/>
      <c r="AY106" s="331"/>
      <c r="AZ106" s="334"/>
      <c r="BA106" s="334"/>
      <c r="BB106" s="331"/>
      <c r="BC106" s="334"/>
      <c r="BD106" s="334"/>
      <c r="BE106" s="331"/>
      <c r="BF106" s="334"/>
      <c r="BG106" s="334"/>
      <c r="BH106" s="331"/>
      <c r="BI106" s="334"/>
      <c r="BJ106" s="334"/>
      <c r="BK106" s="331"/>
      <c r="BL106" s="334"/>
      <c r="BM106" s="334"/>
      <c r="BN106" s="331"/>
      <c r="BO106" s="334"/>
      <c r="BP106" s="334"/>
      <c r="BQ106" s="331"/>
      <c r="BR106" s="332"/>
    </row>
    <row r="107" spans="1:70">
      <c r="A107" s="142" t="s">
        <v>4740</v>
      </c>
      <c r="B107" s="268">
        <v>41700</v>
      </c>
      <c r="C107" s="268">
        <v>0</v>
      </c>
      <c r="D107" s="333"/>
      <c r="E107" s="333"/>
      <c r="F107" s="331"/>
      <c r="G107" s="334"/>
      <c r="H107" s="334"/>
      <c r="I107" s="331"/>
      <c r="J107" s="334"/>
      <c r="K107" s="334"/>
      <c r="L107" s="331"/>
      <c r="M107" s="334"/>
      <c r="N107" s="334"/>
      <c r="O107" s="331"/>
      <c r="P107" s="334"/>
      <c r="Q107" s="334"/>
      <c r="R107" s="331"/>
      <c r="S107" s="334"/>
      <c r="T107" s="334"/>
      <c r="U107" s="331"/>
      <c r="V107" s="334"/>
      <c r="W107" s="334"/>
      <c r="X107" s="331"/>
      <c r="Y107" s="334"/>
      <c r="Z107" s="334"/>
      <c r="AA107" s="331"/>
      <c r="AB107" s="334"/>
      <c r="AC107" s="334"/>
      <c r="AD107" s="331"/>
      <c r="AE107" s="334"/>
      <c r="AF107" s="334"/>
      <c r="AG107" s="331"/>
      <c r="AH107" s="334"/>
      <c r="AI107" s="334"/>
      <c r="AJ107" s="331"/>
      <c r="AK107" s="334"/>
      <c r="AL107" s="334"/>
      <c r="AM107" s="331"/>
      <c r="AN107" s="334"/>
      <c r="AO107" s="334"/>
      <c r="AP107" s="331"/>
      <c r="AQ107" s="334"/>
      <c r="AR107" s="334"/>
      <c r="AS107" s="331"/>
      <c r="AT107" s="334"/>
      <c r="AU107" s="334"/>
      <c r="AV107" s="331"/>
      <c r="AW107" s="334"/>
      <c r="AX107" s="334"/>
      <c r="AY107" s="331"/>
      <c r="AZ107" s="334"/>
      <c r="BA107" s="334"/>
      <c r="BB107" s="331"/>
      <c r="BC107" s="334"/>
      <c r="BD107" s="334"/>
      <c r="BE107" s="331"/>
      <c r="BF107" s="334"/>
      <c r="BG107" s="334"/>
      <c r="BH107" s="331"/>
      <c r="BI107" s="334"/>
      <c r="BJ107" s="334"/>
      <c r="BK107" s="331"/>
      <c r="BL107" s="334"/>
      <c r="BM107" s="334"/>
      <c r="BN107" s="331"/>
      <c r="BO107" s="334"/>
      <c r="BP107" s="334"/>
      <c r="BQ107" s="331"/>
      <c r="BR107" s="332"/>
    </row>
    <row r="108" spans="1:70">
      <c r="A108" s="142" t="s">
        <v>5034</v>
      </c>
      <c r="B108" s="268">
        <v>6500</v>
      </c>
      <c r="C108" s="268">
        <v>0</v>
      </c>
      <c r="D108" s="333"/>
      <c r="E108" s="333"/>
      <c r="F108" s="331"/>
      <c r="G108" s="334"/>
      <c r="H108" s="334"/>
      <c r="I108" s="331"/>
      <c r="J108" s="334"/>
      <c r="K108" s="334"/>
      <c r="L108" s="331"/>
      <c r="M108" s="334"/>
      <c r="N108" s="334"/>
      <c r="O108" s="331"/>
      <c r="P108" s="334"/>
      <c r="Q108" s="334"/>
      <c r="R108" s="331"/>
      <c r="S108" s="334"/>
      <c r="T108" s="334"/>
      <c r="U108" s="331"/>
      <c r="V108" s="334"/>
      <c r="W108" s="334"/>
      <c r="X108" s="331"/>
      <c r="Y108" s="334"/>
      <c r="Z108" s="334"/>
      <c r="AA108" s="331"/>
      <c r="AB108" s="334"/>
      <c r="AC108" s="334"/>
      <c r="AD108" s="331"/>
      <c r="AE108" s="334"/>
      <c r="AF108" s="334"/>
      <c r="AG108" s="331"/>
      <c r="AH108" s="334"/>
      <c r="AI108" s="334"/>
      <c r="AJ108" s="331"/>
      <c r="AK108" s="334"/>
      <c r="AL108" s="334"/>
      <c r="AM108" s="331"/>
      <c r="AN108" s="334"/>
      <c r="AO108" s="334"/>
      <c r="AP108" s="331"/>
      <c r="AQ108" s="334"/>
      <c r="AR108" s="334"/>
      <c r="AS108" s="331"/>
      <c r="AT108" s="334"/>
      <c r="AU108" s="334"/>
      <c r="AV108" s="331"/>
      <c r="AW108" s="334"/>
      <c r="AX108" s="334"/>
      <c r="AY108" s="331"/>
      <c r="AZ108" s="334"/>
      <c r="BA108" s="334"/>
      <c r="BB108" s="331"/>
      <c r="BC108" s="334"/>
      <c r="BD108" s="334"/>
      <c r="BE108" s="331"/>
      <c r="BF108" s="334"/>
      <c r="BG108" s="334"/>
      <c r="BH108" s="331"/>
      <c r="BI108" s="334"/>
      <c r="BJ108" s="334"/>
      <c r="BK108" s="331"/>
      <c r="BL108" s="334"/>
      <c r="BM108" s="334"/>
      <c r="BN108" s="331"/>
      <c r="BO108" s="334"/>
      <c r="BP108" s="334"/>
      <c r="BQ108" s="331"/>
      <c r="BR108" s="332"/>
    </row>
    <row r="109" spans="1:70">
      <c r="A109" s="142" t="s">
        <v>4970</v>
      </c>
      <c r="B109" s="268">
        <v>10600</v>
      </c>
      <c r="C109" s="268">
        <v>0</v>
      </c>
      <c r="D109" s="333"/>
      <c r="E109" s="333"/>
      <c r="F109" s="331"/>
      <c r="G109" s="334"/>
      <c r="H109" s="334"/>
      <c r="I109" s="331"/>
      <c r="J109" s="334"/>
      <c r="K109" s="334"/>
      <c r="L109" s="331"/>
      <c r="M109" s="334"/>
      <c r="N109" s="334"/>
      <c r="O109" s="331"/>
      <c r="P109" s="334"/>
      <c r="Q109" s="334"/>
      <c r="R109" s="331"/>
      <c r="S109" s="334"/>
      <c r="T109" s="334"/>
      <c r="U109" s="331"/>
      <c r="V109" s="334"/>
      <c r="W109" s="334"/>
      <c r="X109" s="331"/>
      <c r="Y109" s="334"/>
      <c r="Z109" s="334"/>
      <c r="AA109" s="331"/>
      <c r="AB109" s="334"/>
      <c r="AC109" s="334"/>
      <c r="AD109" s="331"/>
      <c r="AE109" s="334"/>
      <c r="AF109" s="334"/>
      <c r="AG109" s="331"/>
      <c r="AH109" s="334"/>
      <c r="AI109" s="334"/>
      <c r="AJ109" s="331"/>
      <c r="AK109" s="334"/>
      <c r="AL109" s="334"/>
      <c r="AM109" s="331"/>
      <c r="AN109" s="334"/>
      <c r="AO109" s="334"/>
      <c r="AP109" s="331"/>
      <c r="AQ109" s="334"/>
      <c r="AR109" s="334"/>
      <c r="AS109" s="331"/>
      <c r="AT109" s="334"/>
      <c r="AU109" s="334"/>
      <c r="AV109" s="331"/>
      <c r="AW109" s="334"/>
      <c r="AX109" s="334"/>
      <c r="AY109" s="331"/>
      <c r="AZ109" s="334"/>
      <c r="BA109" s="334"/>
      <c r="BB109" s="331"/>
      <c r="BC109" s="334"/>
      <c r="BD109" s="334"/>
      <c r="BE109" s="331"/>
      <c r="BF109" s="334"/>
      <c r="BG109" s="334"/>
      <c r="BH109" s="331"/>
      <c r="BI109" s="334"/>
      <c r="BJ109" s="334"/>
      <c r="BK109" s="331"/>
      <c r="BL109" s="334"/>
      <c r="BM109" s="334"/>
      <c r="BN109" s="331"/>
      <c r="BO109" s="334"/>
      <c r="BP109" s="334"/>
      <c r="BQ109" s="331"/>
      <c r="BR109" s="332"/>
    </row>
    <row r="110" spans="1:70">
      <c r="A110" s="142" t="s">
        <v>5037</v>
      </c>
      <c r="B110" s="268">
        <v>6000</v>
      </c>
      <c r="C110" s="268">
        <v>0</v>
      </c>
      <c r="D110" s="333"/>
      <c r="E110" s="333"/>
      <c r="F110" s="331"/>
      <c r="G110" s="334"/>
      <c r="H110" s="334"/>
      <c r="I110" s="331"/>
      <c r="J110" s="334"/>
      <c r="K110" s="334"/>
      <c r="L110" s="331"/>
      <c r="M110" s="334"/>
      <c r="N110" s="334"/>
      <c r="O110" s="331"/>
      <c r="P110" s="334"/>
      <c r="Q110" s="334"/>
      <c r="R110" s="331"/>
      <c r="S110" s="334"/>
      <c r="T110" s="334"/>
      <c r="U110" s="331"/>
      <c r="V110" s="334"/>
      <c r="W110" s="334"/>
      <c r="X110" s="331"/>
      <c r="Y110" s="334"/>
      <c r="Z110" s="334"/>
      <c r="AA110" s="331"/>
      <c r="AB110" s="334"/>
      <c r="AC110" s="334"/>
      <c r="AD110" s="331"/>
      <c r="AE110" s="334"/>
      <c r="AF110" s="334"/>
      <c r="AG110" s="331"/>
      <c r="AH110" s="334"/>
      <c r="AI110" s="334"/>
      <c r="AJ110" s="331"/>
      <c r="AK110" s="334"/>
      <c r="AL110" s="334"/>
      <c r="AM110" s="331"/>
      <c r="AN110" s="334"/>
      <c r="AO110" s="334"/>
      <c r="AP110" s="331"/>
      <c r="AQ110" s="334"/>
      <c r="AR110" s="334"/>
      <c r="AS110" s="331"/>
      <c r="AT110" s="334"/>
      <c r="AU110" s="334"/>
      <c r="AV110" s="331"/>
      <c r="AW110" s="334"/>
      <c r="AX110" s="334"/>
      <c r="AY110" s="331"/>
      <c r="AZ110" s="334"/>
      <c r="BA110" s="334"/>
      <c r="BB110" s="331"/>
      <c r="BC110" s="334"/>
      <c r="BD110" s="334"/>
      <c r="BE110" s="331"/>
      <c r="BF110" s="334"/>
      <c r="BG110" s="334"/>
      <c r="BH110" s="331"/>
      <c r="BI110" s="334"/>
      <c r="BJ110" s="334"/>
      <c r="BK110" s="331"/>
      <c r="BL110" s="334"/>
      <c r="BM110" s="334"/>
      <c r="BN110" s="331"/>
      <c r="BO110" s="334"/>
      <c r="BP110" s="334"/>
      <c r="BQ110" s="331"/>
      <c r="BR110" s="332"/>
    </row>
    <row r="111" spans="1:70">
      <c r="A111" s="142" t="s">
        <v>5030</v>
      </c>
      <c r="B111" s="268">
        <v>1400</v>
      </c>
      <c r="C111" s="268">
        <v>0</v>
      </c>
      <c r="D111" s="333"/>
      <c r="E111" s="333"/>
      <c r="F111" s="331"/>
      <c r="G111" s="334"/>
      <c r="H111" s="334"/>
      <c r="I111" s="331"/>
      <c r="J111" s="334"/>
      <c r="K111" s="334"/>
      <c r="L111" s="331"/>
      <c r="M111" s="334"/>
      <c r="N111" s="334"/>
      <c r="O111" s="331"/>
      <c r="P111" s="334"/>
      <c r="Q111" s="334"/>
      <c r="R111" s="331"/>
      <c r="S111" s="334"/>
      <c r="T111" s="334"/>
      <c r="U111" s="331"/>
      <c r="V111" s="334"/>
      <c r="W111" s="334"/>
      <c r="X111" s="331"/>
      <c r="Y111" s="334"/>
      <c r="Z111" s="334"/>
      <c r="AA111" s="331"/>
      <c r="AB111" s="334"/>
      <c r="AC111" s="334"/>
      <c r="AD111" s="331"/>
      <c r="AE111" s="334"/>
      <c r="AF111" s="334"/>
      <c r="AG111" s="331"/>
      <c r="AH111" s="334"/>
      <c r="AI111" s="334"/>
      <c r="AJ111" s="331"/>
      <c r="AK111" s="334"/>
      <c r="AL111" s="334"/>
      <c r="AM111" s="331"/>
      <c r="AN111" s="334"/>
      <c r="AO111" s="334"/>
      <c r="AP111" s="331"/>
      <c r="AQ111" s="334"/>
      <c r="AR111" s="334"/>
      <c r="AS111" s="331"/>
      <c r="AT111" s="334"/>
      <c r="AU111" s="334"/>
      <c r="AV111" s="331"/>
      <c r="AW111" s="334"/>
      <c r="AX111" s="334"/>
      <c r="AY111" s="331"/>
      <c r="AZ111" s="334"/>
      <c r="BA111" s="334"/>
      <c r="BB111" s="331"/>
      <c r="BC111" s="334"/>
      <c r="BD111" s="334"/>
      <c r="BE111" s="331"/>
      <c r="BF111" s="334"/>
      <c r="BG111" s="334"/>
      <c r="BH111" s="331"/>
      <c r="BI111" s="334"/>
      <c r="BJ111" s="334"/>
      <c r="BK111" s="331"/>
      <c r="BL111" s="334"/>
      <c r="BM111" s="334"/>
      <c r="BN111" s="331"/>
      <c r="BO111" s="334"/>
      <c r="BP111" s="334"/>
      <c r="BQ111" s="331"/>
      <c r="BR111" s="332"/>
    </row>
    <row r="112" spans="1:70">
      <c r="A112" s="142" t="s">
        <v>2878</v>
      </c>
      <c r="B112" s="268">
        <v>129200</v>
      </c>
      <c r="C112" s="268">
        <v>0</v>
      </c>
      <c r="D112" s="333"/>
      <c r="E112" s="333"/>
      <c r="F112" s="331"/>
      <c r="G112" s="334"/>
      <c r="H112" s="334"/>
      <c r="I112" s="331"/>
      <c r="J112" s="334"/>
      <c r="K112" s="334"/>
      <c r="L112" s="331"/>
      <c r="M112" s="334"/>
      <c r="N112" s="334"/>
      <c r="O112" s="331"/>
      <c r="P112" s="334"/>
      <c r="Q112" s="334"/>
      <c r="R112" s="331"/>
      <c r="S112" s="334"/>
      <c r="T112" s="334"/>
      <c r="U112" s="331"/>
      <c r="V112" s="334"/>
      <c r="W112" s="334"/>
      <c r="X112" s="331"/>
      <c r="Y112" s="334"/>
      <c r="Z112" s="334"/>
      <c r="AA112" s="331"/>
      <c r="AB112" s="334"/>
      <c r="AC112" s="334"/>
      <c r="AD112" s="331"/>
      <c r="AE112" s="334"/>
      <c r="AF112" s="334"/>
      <c r="AG112" s="331"/>
      <c r="AH112" s="334"/>
      <c r="AI112" s="334"/>
      <c r="AJ112" s="331"/>
      <c r="AK112" s="334"/>
      <c r="AL112" s="334"/>
      <c r="AM112" s="331"/>
      <c r="AN112" s="334"/>
      <c r="AO112" s="334"/>
      <c r="AP112" s="331"/>
      <c r="AQ112" s="334"/>
      <c r="AR112" s="334"/>
      <c r="AS112" s="331"/>
      <c r="AT112" s="334"/>
      <c r="AU112" s="334"/>
      <c r="AV112" s="331"/>
      <c r="AW112" s="334"/>
      <c r="AX112" s="334"/>
      <c r="AY112" s="331"/>
      <c r="AZ112" s="334"/>
      <c r="BA112" s="334"/>
      <c r="BB112" s="331"/>
      <c r="BC112" s="334"/>
      <c r="BD112" s="334"/>
      <c r="BE112" s="331"/>
      <c r="BF112" s="334"/>
      <c r="BG112" s="334"/>
      <c r="BH112" s="331"/>
      <c r="BI112" s="334"/>
      <c r="BJ112" s="334"/>
      <c r="BK112" s="331"/>
      <c r="BL112" s="334"/>
      <c r="BM112" s="334"/>
      <c r="BN112" s="331"/>
      <c r="BO112" s="334"/>
      <c r="BP112" s="334"/>
      <c r="BQ112" s="331"/>
      <c r="BR112" s="332"/>
    </row>
    <row r="113" spans="1:70">
      <c r="A113" s="142" t="s">
        <v>2894</v>
      </c>
      <c r="B113" s="268">
        <v>26800</v>
      </c>
      <c r="C113" s="268">
        <v>0</v>
      </c>
      <c r="D113" s="333"/>
      <c r="E113" s="333"/>
      <c r="F113" s="331"/>
      <c r="G113" s="334"/>
      <c r="H113" s="334"/>
      <c r="I113" s="331"/>
      <c r="J113" s="334"/>
      <c r="K113" s="334"/>
      <c r="L113" s="331"/>
      <c r="M113" s="334"/>
      <c r="N113" s="334"/>
      <c r="O113" s="331"/>
      <c r="P113" s="334"/>
      <c r="Q113" s="334"/>
      <c r="R113" s="331"/>
      <c r="S113" s="334"/>
      <c r="T113" s="334"/>
      <c r="U113" s="331"/>
      <c r="V113" s="334"/>
      <c r="W113" s="334"/>
      <c r="X113" s="331"/>
      <c r="Y113" s="334"/>
      <c r="Z113" s="334"/>
      <c r="AA113" s="331"/>
      <c r="AB113" s="334"/>
      <c r="AC113" s="334"/>
      <c r="AD113" s="331"/>
      <c r="AE113" s="334"/>
      <c r="AF113" s="334"/>
      <c r="AG113" s="331"/>
      <c r="AH113" s="334"/>
      <c r="AI113" s="334"/>
      <c r="AJ113" s="331"/>
      <c r="AK113" s="334"/>
      <c r="AL113" s="334"/>
      <c r="AM113" s="331"/>
      <c r="AN113" s="334"/>
      <c r="AO113" s="334"/>
      <c r="AP113" s="331"/>
      <c r="AQ113" s="334"/>
      <c r="AR113" s="334"/>
      <c r="AS113" s="331"/>
      <c r="AT113" s="334"/>
      <c r="AU113" s="334"/>
      <c r="AV113" s="331"/>
      <c r="AW113" s="334"/>
      <c r="AX113" s="334"/>
      <c r="AY113" s="331"/>
      <c r="AZ113" s="334"/>
      <c r="BA113" s="334"/>
      <c r="BB113" s="331"/>
      <c r="BC113" s="334"/>
      <c r="BD113" s="334"/>
      <c r="BE113" s="331"/>
      <c r="BF113" s="334"/>
      <c r="BG113" s="334"/>
      <c r="BH113" s="331"/>
      <c r="BI113" s="334"/>
      <c r="BJ113" s="334"/>
      <c r="BK113" s="331"/>
      <c r="BL113" s="334"/>
      <c r="BM113" s="334"/>
      <c r="BN113" s="331"/>
      <c r="BO113" s="334"/>
      <c r="BP113" s="334"/>
      <c r="BQ113" s="331"/>
      <c r="BR113" s="332"/>
    </row>
    <row r="114" spans="1:70">
      <c r="A114" s="142" t="s">
        <v>3105</v>
      </c>
      <c r="B114" s="268">
        <v>129600</v>
      </c>
      <c r="C114" s="268">
        <v>0</v>
      </c>
      <c r="D114" s="333"/>
      <c r="E114" s="333"/>
      <c r="F114" s="331"/>
      <c r="G114" s="334"/>
      <c r="H114" s="334"/>
      <c r="I114" s="331"/>
      <c r="J114" s="334"/>
      <c r="K114" s="334"/>
      <c r="L114" s="331"/>
      <c r="M114" s="334"/>
      <c r="N114" s="334"/>
      <c r="O114" s="331"/>
      <c r="P114" s="334"/>
      <c r="Q114" s="334"/>
      <c r="R114" s="331"/>
      <c r="S114" s="334"/>
      <c r="T114" s="334"/>
      <c r="U114" s="331"/>
      <c r="V114" s="334"/>
      <c r="W114" s="334"/>
      <c r="X114" s="331"/>
      <c r="Y114" s="334"/>
      <c r="Z114" s="334"/>
      <c r="AA114" s="331"/>
      <c r="AB114" s="334"/>
      <c r="AC114" s="334"/>
      <c r="AD114" s="331"/>
      <c r="AE114" s="334"/>
      <c r="AF114" s="334"/>
      <c r="AG114" s="331"/>
      <c r="AH114" s="334"/>
      <c r="AI114" s="334"/>
      <c r="AJ114" s="331"/>
      <c r="AK114" s="334"/>
      <c r="AL114" s="334"/>
      <c r="AM114" s="331"/>
      <c r="AN114" s="334"/>
      <c r="AO114" s="334"/>
      <c r="AP114" s="331"/>
      <c r="AQ114" s="334"/>
      <c r="AR114" s="334"/>
      <c r="AS114" s="331"/>
      <c r="AT114" s="334"/>
      <c r="AU114" s="334"/>
      <c r="AV114" s="331"/>
      <c r="AW114" s="334"/>
      <c r="AX114" s="334"/>
      <c r="AY114" s="331"/>
      <c r="AZ114" s="334"/>
      <c r="BA114" s="334"/>
      <c r="BB114" s="331"/>
      <c r="BC114" s="334"/>
      <c r="BD114" s="334"/>
      <c r="BE114" s="331"/>
      <c r="BF114" s="334"/>
      <c r="BG114" s="334"/>
      <c r="BH114" s="331"/>
      <c r="BI114" s="334"/>
      <c r="BJ114" s="334"/>
      <c r="BK114" s="331"/>
      <c r="BL114" s="334"/>
      <c r="BM114" s="334"/>
      <c r="BN114" s="331"/>
      <c r="BO114" s="334"/>
      <c r="BP114" s="334"/>
      <c r="BQ114" s="331"/>
      <c r="BR114" s="332"/>
    </row>
    <row r="115" spans="1:70">
      <c r="A115" s="142" t="s">
        <v>2900</v>
      </c>
      <c r="B115" s="268">
        <v>98900</v>
      </c>
      <c r="C115" s="268">
        <v>0</v>
      </c>
      <c r="D115" s="333"/>
      <c r="E115" s="333"/>
      <c r="F115" s="331"/>
      <c r="G115" s="334"/>
      <c r="H115" s="334"/>
      <c r="I115" s="331"/>
      <c r="J115" s="334"/>
      <c r="K115" s="334"/>
      <c r="L115" s="331"/>
      <c r="M115" s="334"/>
      <c r="N115" s="334"/>
      <c r="O115" s="331"/>
      <c r="P115" s="334"/>
      <c r="Q115" s="334"/>
      <c r="R115" s="331"/>
      <c r="S115" s="334"/>
      <c r="T115" s="334"/>
      <c r="U115" s="331"/>
      <c r="V115" s="334"/>
      <c r="W115" s="334"/>
      <c r="X115" s="331"/>
      <c r="Y115" s="334"/>
      <c r="Z115" s="334"/>
      <c r="AA115" s="331"/>
      <c r="AB115" s="334"/>
      <c r="AC115" s="334"/>
      <c r="AD115" s="331"/>
      <c r="AE115" s="334"/>
      <c r="AF115" s="334"/>
      <c r="AG115" s="331"/>
      <c r="AH115" s="334"/>
      <c r="AI115" s="334"/>
      <c r="AJ115" s="331"/>
      <c r="AK115" s="334"/>
      <c r="AL115" s="334"/>
      <c r="AM115" s="331"/>
      <c r="AN115" s="334"/>
      <c r="AO115" s="334"/>
      <c r="AP115" s="331"/>
      <c r="AQ115" s="334"/>
      <c r="AR115" s="334"/>
      <c r="AS115" s="331"/>
      <c r="AT115" s="334"/>
      <c r="AU115" s="334"/>
      <c r="AV115" s="331"/>
      <c r="AW115" s="334"/>
      <c r="AX115" s="334"/>
      <c r="AY115" s="331"/>
      <c r="AZ115" s="334"/>
      <c r="BA115" s="334"/>
      <c r="BB115" s="331"/>
      <c r="BC115" s="334"/>
      <c r="BD115" s="334"/>
      <c r="BE115" s="331"/>
      <c r="BF115" s="334"/>
      <c r="BG115" s="334"/>
      <c r="BH115" s="331"/>
      <c r="BI115" s="334"/>
      <c r="BJ115" s="334"/>
      <c r="BK115" s="331"/>
      <c r="BL115" s="334"/>
      <c r="BM115" s="334"/>
      <c r="BN115" s="331"/>
      <c r="BO115" s="334"/>
      <c r="BP115" s="334"/>
      <c r="BQ115" s="331"/>
      <c r="BR115" s="332"/>
    </row>
    <row r="116" spans="1:70">
      <c r="A116" s="142" t="s">
        <v>3256</v>
      </c>
      <c r="B116" s="268">
        <v>22500</v>
      </c>
      <c r="C116" s="268">
        <v>0</v>
      </c>
      <c r="D116" s="333"/>
      <c r="E116" s="333"/>
      <c r="F116" s="331"/>
      <c r="G116" s="334"/>
      <c r="H116" s="334"/>
      <c r="I116" s="331"/>
      <c r="J116" s="334"/>
      <c r="K116" s="334"/>
      <c r="L116" s="331"/>
      <c r="M116" s="334"/>
      <c r="N116" s="334"/>
      <c r="O116" s="331"/>
      <c r="P116" s="334"/>
      <c r="Q116" s="334"/>
      <c r="R116" s="331"/>
      <c r="S116" s="334"/>
      <c r="T116" s="334"/>
      <c r="U116" s="331"/>
      <c r="V116" s="334"/>
      <c r="W116" s="334"/>
      <c r="X116" s="331"/>
      <c r="Y116" s="334"/>
      <c r="Z116" s="334"/>
      <c r="AA116" s="331"/>
      <c r="AB116" s="334"/>
      <c r="AC116" s="334"/>
      <c r="AD116" s="331"/>
      <c r="AE116" s="334"/>
      <c r="AF116" s="334"/>
      <c r="AG116" s="331"/>
      <c r="AH116" s="334"/>
      <c r="AI116" s="334"/>
      <c r="AJ116" s="331"/>
      <c r="AK116" s="334"/>
      <c r="AL116" s="334"/>
      <c r="AM116" s="331"/>
      <c r="AN116" s="334"/>
      <c r="AO116" s="334"/>
      <c r="AP116" s="331"/>
      <c r="AQ116" s="334"/>
      <c r="AR116" s="334"/>
      <c r="AS116" s="331"/>
      <c r="AT116" s="334"/>
      <c r="AU116" s="334"/>
      <c r="AV116" s="331"/>
      <c r="AW116" s="334"/>
      <c r="AX116" s="334"/>
      <c r="AY116" s="331"/>
      <c r="AZ116" s="334"/>
      <c r="BA116" s="334"/>
      <c r="BB116" s="331"/>
      <c r="BC116" s="334"/>
      <c r="BD116" s="334"/>
      <c r="BE116" s="331"/>
      <c r="BF116" s="334"/>
      <c r="BG116" s="334"/>
      <c r="BH116" s="331"/>
      <c r="BI116" s="334"/>
      <c r="BJ116" s="334"/>
      <c r="BK116" s="331"/>
      <c r="BL116" s="334"/>
      <c r="BM116" s="334"/>
      <c r="BN116" s="331"/>
      <c r="BO116" s="334"/>
      <c r="BP116" s="334"/>
      <c r="BQ116" s="331"/>
      <c r="BR116" s="332"/>
    </row>
    <row r="117" spans="1:70">
      <c r="A117" s="142" t="s">
        <v>4852</v>
      </c>
      <c r="B117" s="268">
        <v>44100</v>
      </c>
      <c r="C117" s="268">
        <v>0</v>
      </c>
      <c r="D117" s="333"/>
      <c r="E117" s="333"/>
      <c r="F117" s="331"/>
      <c r="G117" s="334"/>
      <c r="H117" s="334"/>
      <c r="I117" s="331"/>
      <c r="J117" s="334"/>
      <c r="K117" s="334"/>
      <c r="L117" s="331"/>
      <c r="M117" s="334"/>
      <c r="N117" s="334"/>
      <c r="O117" s="331"/>
      <c r="P117" s="334"/>
      <c r="Q117" s="334"/>
      <c r="R117" s="331"/>
      <c r="S117" s="334"/>
      <c r="T117" s="334"/>
      <c r="U117" s="331"/>
      <c r="V117" s="334"/>
      <c r="W117" s="334"/>
      <c r="X117" s="331"/>
      <c r="Y117" s="334"/>
      <c r="Z117" s="334"/>
      <c r="AA117" s="331"/>
      <c r="AB117" s="334"/>
      <c r="AC117" s="334"/>
      <c r="AD117" s="331"/>
      <c r="AE117" s="334"/>
      <c r="AF117" s="334"/>
      <c r="AG117" s="331"/>
      <c r="AH117" s="334"/>
      <c r="AI117" s="334"/>
      <c r="AJ117" s="331"/>
      <c r="AK117" s="334"/>
      <c r="AL117" s="334"/>
      <c r="AM117" s="331"/>
      <c r="AN117" s="334"/>
      <c r="AO117" s="334"/>
      <c r="AP117" s="331"/>
      <c r="AQ117" s="334"/>
      <c r="AR117" s="334"/>
      <c r="AS117" s="331"/>
      <c r="AT117" s="334"/>
      <c r="AU117" s="334"/>
      <c r="AV117" s="331"/>
      <c r="AW117" s="334"/>
      <c r="AX117" s="334"/>
      <c r="AY117" s="331"/>
      <c r="AZ117" s="334"/>
      <c r="BA117" s="334"/>
      <c r="BB117" s="331"/>
      <c r="BC117" s="334"/>
      <c r="BD117" s="334"/>
      <c r="BE117" s="331"/>
      <c r="BF117" s="334"/>
      <c r="BG117" s="334"/>
      <c r="BH117" s="331"/>
      <c r="BI117" s="334"/>
      <c r="BJ117" s="334"/>
      <c r="BK117" s="331"/>
      <c r="BL117" s="334"/>
      <c r="BM117" s="334"/>
      <c r="BN117" s="331"/>
      <c r="BO117" s="334"/>
      <c r="BP117" s="334"/>
      <c r="BQ117" s="331"/>
      <c r="BR117" s="332"/>
    </row>
    <row r="118" spans="1:70">
      <c r="A118" s="142" t="s">
        <v>2885</v>
      </c>
      <c r="B118" s="268">
        <v>92900</v>
      </c>
      <c r="C118" s="268">
        <v>0</v>
      </c>
      <c r="D118" s="333"/>
      <c r="E118" s="333"/>
      <c r="F118" s="331"/>
      <c r="G118" s="334"/>
      <c r="H118" s="334"/>
      <c r="I118" s="331"/>
      <c r="J118" s="334"/>
      <c r="K118" s="334"/>
      <c r="L118" s="331"/>
      <c r="M118" s="334"/>
      <c r="N118" s="334"/>
      <c r="O118" s="331"/>
      <c r="P118" s="334"/>
      <c r="Q118" s="334"/>
      <c r="R118" s="331"/>
      <c r="S118" s="334"/>
      <c r="T118" s="334"/>
      <c r="U118" s="331"/>
      <c r="V118" s="334"/>
      <c r="W118" s="334"/>
      <c r="X118" s="331"/>
      <c r="Y118" s="334"/>
      <c r="Z118" s="334"/>
      <c r="AA118" s="331"/>
      <c r="AB118" s="334"/>
      <c r="AC118" s="334"/>
      <c r="AD118" s="331"/>
      <c r="AE118" s="334"/>
      <c r="AF118" s="334"/>
      <c r="AG118" s="331"/>
      <c r="AH118" s="334"/>
      <c r="AI118" s="334"/>
      <c r="AJ118" s="331"/>
      <c r="AK118" s="334"/>
      <c r="AL118" s="334"/>
      <c r="AM118" s="331"/>
      <c r="AN118" s="334"/>
      <c r="AO118" s="334"/>
      <c r="AP118" s="331"/>
      <c r="AQ118" s="334"/>
      <c r="AR118" s="334"/>
      <c r="AS118" s="331"/>
      <c r="AT118" s="334"/>
      <c r="AU118" s="334"/>
      <c r="AV118" s="331"/>
      <c r="AW118" s="334"/>
      <c r="AX118" s="334"/>
      <c r="AY118" s="331"/>
      <c r="AZ118" s="334"/>
      <c r="BA118" s="334"/>
      <c r="BB118" s="331"/>
      <c r="BC118" s="334"/>
      <c r="BD118" s="334"/>
      <c r="BE118" s="331"/>
      <c r="BF118" s="334"/>
      <c r="BG118" s="334"/>
      <c r="BH118" s="331"/>
      <c r="BI118" s="334"/>
      <c r="BJ118" s="334"/>
      <c r="BK118" s="331"/>
      <c r="BL118" s="334"/>
      <c r="BM118" s="334"/>
      <c r="BN118" s="331"/>
      <c r="BO118" s="334"/>
      <c r="BP118" s="334"/>
      <c r="BQ118" s="331"/>
      <c r="BR118" s="332"/>
    </row>
    <row r="119" spans="1:70">
      <c r="A119" s="142" t="s">
        <v>2822</v>
      </c>
      <c r="B119" s="268">
        <v>24700</v>
      </c>
      <c r="C119" s="268">
        <v>0</v>
      </c>
      <c r="D119" s="333"/>
      <c r="E119" s="333"/>
      <c r="F119" s="331"/>
      <c r="G119" s="334"/>
      <c r="H119" s="334"/>
      <c r="I119" s="331"/>
      <c r="J119" s="334"/>
      <c r="K119" s="334"/>
      <c r="L119" s="331"/>
      <c r="M119" s="334"/>
      <c r="N119" s="334"/>
      <c r="O119" s="331"/>
      <c r="P119" s="334"/>
      <c r="Q119" s="334"/>
      <c r="R119" s="331"/>
      <c r="S119" s="334"/>
      <c r="T119" s="334"/>
      <c r="U119" s="331"/>
      <c r="V119" s="334"/>
      <c r="W119" s="334"/>
      <c r="X119" s="331"/>
      <c r="Y119" s="334"/>
      <c r="Z119" s="334"/>
      <c r="AA119" s="331"/>
      <c r="AB119" s="334"/>
      <c r="AC119" s="334"/>
      <c r="AD119" s="331"/>
      <c r="AE119" s="334"/>
      <c r="AF119" s="334"/>
      <c r="AG119" s="331"/>
      <c r="AH119" s="334"/>
      <c r="AI119" s="334"/>
      <c r="AJ119" s="331"/>
      <c r="AK119" s="334"/>
      <c r="AL119" s="334"/>
      <c r="AM119" s="331"/>
      <c r="AN119" s="334"/>
      <c r="AO119" s="334"/>
      <c r="AP119" s="331"/>
      <c r="AQ119" s="334"/>
      <c r="AR119" s="334"/>
      <c r="AS119" s="331"/>
      <c r="AT119" s="334"/>
      <c r="AU119" s="334"/>
      <c r="AV119" s="331"/>
      <c r="AW119" s="334"/>
      <c r="AX119" s="334"/>
      <c r="AY119" s="331"/>
      <c r="AZ119" s="334"/>
      <c r="BA119" s="334"/>
      <c r="BB119" s="331"/>
      <c r="BC119" s="334"/>
      <c r="BD119" s="334"/>
      <c r="BE119" s="331"/>
      <c r="BF119" s="334"/>
      <c r="BG119" s="334"/>
      <c r="BH119" s="331"/>
      <c r="BI119" s="334"/>
      <c r="BJ119" s="334"/>
      <c r="BK119" s="331"/>
      <c r="BL119" s="334"/>
      <c r="BM119" s="334"/>
      <c r="BN119" s="331"/>
      <c r="BO119" s="334"/>
      <c r="BP119" s="334"/>
      <c r="BQ119" s="331"/>
      <c r="BR119" s="332"/>
    </row>
    <row r="120" spans="1:70">
      <c r="A120" s="142" t="s">
        <v>2828</v>
      </c>
      <c r="B120" s="268">
        <v>25100</v>
      </c>
      <c r="C120" s="268">
        <v>0</v>
      </c>
      <c r="D120" s="333"/>
      <c r="E120" s="333"/>
      <c r="F120" s="331"/>
      <c r="G120" s="334"/>
      <c r="H120" s="334"/>
      <c r="I120" s="331"/>
      <c r="J120" s="334"/>
      <c r="K120" s="334"/>
      <c r="L120" s="331"/>
      <c r="M120" s="334"/>
      <c r="N120" s="334"/>
      <c r="O120" s="331"/>
      <c r="P120" s="334"/>
      <c r="Q120" s="334"/>
      <c r="R120" s="331"/>
      <c r="S120" s="334"/>
      <c r="T120" s="334"/>
      <c r="U120" s="331"/>
      <c r="V120" s="334"/>
      <c r="W120" s="334"/>
      <c r="X120" s="331"/>
      <c r="Y120" s="334"/>
      <c r="Z120" s="334"/>
      <c r="AA120" s="331"/>
      <c r="AB120" s="334"/>
      <c r="AC120" s="334"/>
      <c r="AD120" s="331"/>
      <c r="AE120" s="334"/>
      <c r="AF120" s="334"/>
      <c r="AG120" s="331"/>
      <c r="AH120" s="334"/>
      <c r="AI120" s="334"/>
      <c r="AJ120" s="331"/>
      <c r="AK120" s="334"/>
      <c r="AL120" s="334"/>
      <c r="AM120" s="331"/>
      <c r="AN120" s="334"/>
      <c r="AO120" s="334"/>
      <c r="AP120" s="331"/>
      <c r="AQ120" s="334"/>
      <c r="AR120" s="334"/>
      <c r="AS120" s="331"/>
      <c r="AT120" s="334"/>
      <c r="AU120" s="334"/>
      <c r="AV120" s="331"/>
      <c r="AW120" s="334"/>
      <c r="AX120" s="334"/>
      <c r="AY120" s="331"/>
      <c r="AZ120" s="334"/>
      <c r="BA120" s="334"/>
      <c r="BB120" s="331"/>
      <c r="BC120" s="334"/>
      <c r="BD120" s="334"/>
      <c r="BE120" s="331"/>
      <c r="BF120" s="334"/>
      <c r="BG120" s="334"/>
      <c r="BH120" s="331"/>
      <c r="BI120" s="334"/>
      <c r="BJ120" s="334"/>
      <c r="BK120" s="331"/>
      <c r="BL120" s="334"/>
      <c r="BM120" s="334"/>
      <c r="BN120" s="331"/>
      <c r="BO120" s="334"/>
      <c r="BP120" s="334"/>
      <c r="BQ120" s="331"/>
      <c r="BR120" s="332"/>
    </row>
    <row r="121" spans="1:70">
      <c r="A121" s="142" t="s">
        <v>3967</v>
      </c>
      <c r="B121" s="268">
        <v>111500</v>
      </c>
      <c r="C121" s="268">
        <v>0</v>
      </c>
      <c r="D121" s="333"/>
      <c r="E121" s="333"/>
      <c r="F121" s="331"/>
      <c r="G121" s="334"/>
      <c r="H121" s="334"/>
      <c r="I121" s="331"/>
      <c r="J121" s="334"/>
      <c r="K121" s="334"/>
      <c r="L121" s="331"/>
      <c r="M121" s="334"/>
      <c r="N121" s="334"/>
      <c r="O121" s="331"/>
      <c r="P121" s="334"/>
      <c r="Q121" s="334"/>
      <c r="R121" s="331"/>
      <c r="S121" s="334"/>
      <c r="T121" s="334"/>
      <c r="U121" s="331"/>
      <c r="V121" s="334"/>
      <c r="W121" s="334"/>
      <c r="X121" s="331"/>
      <c r="Y121" s="334"/>
      <c r="Z121" s="334"/>
      <c r="AA121" s="331"/>
      <c r="AB121" s="334"/>
      <c r="AC121" s="334"/>
      <c r="AD121" s="331"/>
      <c r="AE121" s="334"/>
      <c r="AF121" s="334"/>
      <c r="AG121" s="331"/>
      <c r="AH121" s="334"/>
      <c r="AI121" s="334"/>
      <c r="AJ121" s="331"/>
      <c r="AK121" s="334"/>
      <c r="AL121" s="334"/>
      <c r="AM121" s="331"/>
      <c r="AN121" s="334"/>
      <c r="AO121" s="334"/>
      <c r="AP121" s="331"/>
      <c r="AQ121" s="334"/>
      <c r="AR121" s="334"/>
      <c r="AS121" s="331"/>
      <c r="AT121" s="334"/>
      <c r="AU121" s="334"/>
      <c r="AV121" s="331"/>
      <c r="AW121" s="334"/>
      <c r="AX121" s="334"/>
      <c r="AY121" s="331"/>
      <c r="AZ121" s="334"/>
      <c r="BA121" s="334"/>
      <c r="BB121" s="331"/>
      <c r="BC121" s="334"/>
      <c r="BD121" s="334"/>
      <c r="BE121" s="331"/>
      <c r="BF121" s="334"/>
      <c r="BG121" s="334"/>
      <c r="BH121" s="331"/>
      <c r="BI121" s="334"/>
      <c r="BJ121" s="334"/>
      <c r="BK121" s="331"/>
      <c r="BL121" s="334"/>
      <c r="BM121" s="334"/>
      <c r="BN121" s="331"/>
      <c r="BO121" s="334"/>
      <c r="BP121" s="334"/>
      <c r="BQ121" s="331"/>
      <c r="BR121" s="332"/>
    </row>
    <row r="122" spans="1:70">
      <c r="A122" s="142" t="s">
        <v>3939</v>
      </c>
      <c r="B122" s="268">
        <v>111400</v>
      </c>
      <c r="C122" s="268">
        <v>0</v>
      </c>
      <c r="D122" s="333"/>
      <c r="E122" s="333"/>
      <c r="F122" s="331"/>
      <c r="G122" s="334"/>
      <c r="H122" s="334"/>
      <c r="I122" s="331"/>
      <c r="J122" s="334"/>
      <c r="K122" s="334"/>
      <c r="L122" s="331"/>
      <c r="M122" s="334"/>
      <c r="N122" s="334"/>
      <c r="O122" s="331"/>
      <c r="P122" s="334"/>
      <c r="Q122" s="334"/>
      <c r="R122" s="331"/>
      <c r="S122" s="334"/>
      <c r="T122" s="334"/>
      <c r="U122" s="331"/>
      <c r="V122" s="334"/>
      <c r="W122" s="334"/>
      <c r="X122" s="331"/>
      <c r="Y122" s="334"/>
      <c r="Z122" s="334"/>
      <c r="AA122" s="331"/>
      <c r="AB122" s="334"/>
      <c r="AC122" s="334"/>
      <c r="AD122" s="331"/>
      <c r="AE122" s="334"/>
      <c r="AF122" s="334"/>
      <c r="AG122" s="331"/>
      <c r="AH122" s="334"/>
      <c r="AI122" s="334"/>
      <c r="AJ122" s="331"/>
      <c r="AK122" s="334"/>
      <c r="AL122" s="334"/>
      <c r="AM122" s="331"/>
      <c r="AN122" s="334"/>
      <c r="AO122" s="334"/>
      <c r="AP122" s="331"/>
      <c r="AQ122" s="334"/>
      <c r="AR122" s="334"/>
      <c r="AS122" s="331"/>
      <c r="AT122" s="334"/>
      <c r="AU122" s="334"/>
      <c r="AV122" s="331"/>
      <c r="AW122" s="334"/>
      <c r="AX122" s="334"/>
      <c r="AY122" s="331"/>
      <c r="AZ122" s="334"/>
      <c r="BA122" s="334"/>
      <c r="BB122" s="331"/>
      <c r="BC122" s="334"/>
      <c r="BD122" s="334"/>
      <c r="BE122" s="331"/>
      <c r="BF122" s="334"/>
      <c r="BG122" s="334"/>
      <c r="BH122" s="331"/>
      <c r="BI122" s="334"/>
      <c r="BJ122" s="334"/>
      <c r="BK122" s="331"/>
      <c r="BL122" s="334"/>
      <c r="BM122" s="334"/>
      <c r="BN122" s="331"/>
      <c r="BO122" s="334"/>
      <c r="BP122" s="334"/>
      <c r="BQ122" s="331"/>
      <c r="BR122" s="332"/>
    </row>
    <row r="123" spans="1:70">
      <c r="A123" s="142" t="s">
        <v>3322</v>
      </c>
      <c r="B123" s="268">
        <v>43400</v>
      </c>
      <c r="C123" s="268">
        <v>0</v>
      </c>
      <c r="D123" s="333"/>
      <c r="E123" s="333"/>
      <c r="F123" s="331"/>
      <c r="G123" s="334"/>
      <c r="H123" s="334"/>
      <c r="I123" s="331"/>
      <c r="J123" s="334"/>
      <c r="K123" s="334"/>
      <c r="L123" s="331"/>
      <c r="M123" s="334"/>
      <c r="N123" s="334"/>
      <c r="O123" s="331"/>
      <c r="P123" s="334"/>
      <c r="Q123" s="334"/>
      <c r="R123" s="331"/>
      <c r="S123" s="334"/>
      <c r="T123" s="334"/>
      <c r="U123" s="331"/>
      <c r="V123" s="334"/>
      <c r="W123" s="334"/>
      <c r="X123" s="331"/>
      <c r="Y123" s="334"/>
      <c r="Z123" s="334"/>
      <c r="AA123" s="331"/>
      <c r="AB123" s="334"/>
      <c r="AC123" s="334"/>
      <c r="AD123" s="331"/>
      <c r="AE123" s="334"/>
      <c r="AF123" s="334"/>
      <c r="AG123" s="331"/>
      <c r="AH123" s="334"/>
      <c r="AI123" s="334"/>
      <c r="AJ123" s="331"/>
      <c r="AK123" s="334"/>
      <c r="AL123" s="334"/>
      <c r="AM123" s="331"/>
      <c r="AN123" s="334"/>
      <c r="AO123" s="334"/>
      <c r="AP123" s="331"/>
      <c r="AQ123" s="334"/>
      <c r="AR123" s="334"/>
      <c r="AS123" s="331"/>
      <c r="AT123" s="334"/>
      <c r="AU123" s="334"/>
      <c r="AV123" s="331"/>
      <c r="AW123" s="334"/>
      <c r="AX123" s="334"/>
      <c r="AY123" s="331"/>
      <c r="AZ123" s="334"/>
      <c r="BA123" s="334"/>
      <c r="BB123" s="331"/>
      <c r="BC123" s="334"/>
      <c r="BD123" s="334"/>
      <c r="BE123" s="331"/>
      <c r="BF123" s="334"/>
      <c r="BG123" s="334"/>
      <c r="BH123" s="331"/>
      <c r="BI123" s="334"/>
      <c r="BJ123" s="334"/>
      <c r="BK123" s="331"/>
      <c r="BL123" s="334"/>
      <c r="BM123" s="334"/>
      <c r="BN123" s="331"/>
      <c r="BO123" s="334"/>
      <c r="BP123" s="334"/>
      <c r="BQ123" s="331"/>
      <c r="BR123" s="332"/>
    </row>
    <row r="124" spans="1:70">
      <c r="A124" s="142" t="s">
        <v>3328</v>
      </c>
      <c r="B124" s="268">
        <v>43200</v>
      </c>
      <c r="C124" s="268">
        <v>0</v>
      </c>
      <c r="D124" s="333"/>
      <c r="E124" s="333"/>
      <c r="F124" s="331"/>
      <c r="G124" s="334"/>
      <c r="H124" s="334"/>
      <c r="I124" s="331"/>
      <c r="J124" s="334"/>
      <c r="K124" s="334"/>
      <c r="L124" s="331"/>
      <c r="M124" s="334"/>
      <c r="N124" s="334"/>
      <c r="O124" s="331"/>
      <c r="P124" s="334"/>
      <c r="Q124" s="334"/>
      <c r="R124" s="331"/>
      <c r="S124" s="334"/>
      <c r="T124" s="334"/>
      <c r="U124" s="331"/>
      <c r="V124" s="334"/>
      <c r="W124" s="334"/>
      <c r="X124" s="331"/>
      <c r="Y124" s="334"/>
      <c r="Z124" s="334"/>
      <c r="AA124" s="331"/>
      <c r="AB124" s="334"/>
      <c r="AC124" s="334"/>
      <c r="AD124" s="331"/>
      <c r="AE124" s="334"/>
      <c r="AF124" s="334"/>
      <c r="AG124" s="331"/>
      <c r="AH124" s="334"/>
      <c r="AI124" s="334"/>
      <c r="AJ124" s="331"/>
      <c r="AK124" s="334"/>
      <c r="AL124" s="334"/>
      <c r="AM124" s="331"/>
      <c r="AN124" s="334"/>
      <c r="AO124" s="334"/>
      <c r="AP124" s="331"/>
      <c r="AQ124" s="334"/>
      <c r="AR124" s="334"/>
      <c r="AS124" s="331"/>
      <c r="AT124" s="334"/>
      <c r="AU124" s="334"/>
      <c r="AV124" s="331"/>
      <c r="AW124" s="334"/>
      <c r="AX124" s="334"/>
      <c r="AY124" s="331"/>
      <c r="AZ124" s="334"/>
      <c r="BA124" s="334"/>
      <c r="BB124" s="331"/>
      <c r="BC124" s="334"/>
      <c r="BD124" s="334"/>
      <c r="BE124" s="331"/>
      <c r="BF124" s="334"/>
      <c r="BG124" s="334"/>
      <c r="BH124" s="331"/>
      <c r="BI124" s="334"/>
      <c r="BJ124" s="334"/>
      <c r="BK124" s="331"/>
      <c r="BL124" s="334"/>
      <c r="BM124" s="334"/>
      <c r="BN124" s="331"/>
      <c r="BO124" s="334"/>
      <c r="BP124" s="334"/>
      <c r="BQ124" s="331"/>
      <c r="BR124" s="332"/>
    </row>
    <row r="125" spans="1:70">
      <c r="A125" s="142" t="s">
        <v>4859</v>
      </c>
      <c r="B125" s="268">
        <v>22000</v>
      </c>
      <c r="C125" s="268">
        <v>0</v>
      </c>
      <c r="D125" s="333"/>
      <c r="E125" s="333"/>
      <c r="F125" s="331"/>
      <c r="G125" s="334"/>
      <c r="H125" s="334"/>
      <c r="I125" s="331"/>
      <c r="J125" s="334"/>
      <c r="K125" s="334"/>
      <c r="L125" s="331"/>
      <c r="M125" s="334"/>
      <c r="N125" s="334"/>
      <c r="O125" s="331"/>
      <c r="P125" s="334"/>
      <c r="Q125" s="334"/>
      <c r="R125" s="331"/>
      <c r="S125" s="334"/>
      <c r="T125" s="334"/>
      <c r="U125" s="331"/>
      <c r="V125" s="334"/>
      <c r="W125" s="334"/>
      <c r="X125" s="331"/>
      <c r="Y125" s="334"/>
      <c r="Z125" s="334"/>
      <c r="AA125" s="331"/>
      <c r="AB125" s="334"/>
      <c r="AC125" s="334"/>
      <c r="AD125" s="331"/>
      <c r="AE125" s="334"/>
      <c r="AF125" s="334"/>
      <c r="AG125" s="331"/>
      <c r="AH125" s="334"/>
      <c r="AI125" s="334"/>
      <c r="AJ125" s="331"/>
      <c r="AK125" s="334"/>
      <c r="AL125" s="334"/>
      <c r="AM125" s="331"/>
      <c r="AN125" s="334"/>
      <c r="AO125" s="334"/>
      <c r="AP125" s="331"/>
      <c r="AQ125" s="334"/>
      <c r="AR125" s="334"/>
      <c r="AS125" s="331"/>
      <c r="AT125" s="334"/>
      <c r="AU125" s="334"/>
      <c r="AV125" s="331"/>
      <c r="AW125" s="334"/>
      <c r="AX125" s="334"/>
      <c r="AY125" s="331"/>
      <c r="AZ125" s="334"/>
      <c r="BA125" s="334"/>
      <c r="BB125" s="331"/>
      <c r="BC125" s="334"/>
      <c r="BD125" s="334"/>
      <c r="BE125" s="331"/>
      <c r="BF125" s="334"/>
      <c r="BG125" s="334"/>
      <c r="BH125" s="331"/>
      <c r="BI125" s="334"/>
      <c r="BJ125" s="334"/>
      <c r="BK125" s="331"/>
      <c r="BL125" s="334"/>
      <c r="BM125" s="334"/>
      <c r="BN125" s="331"/>
      <c r="BO125" s="334"/>
      <c r="BP125" s="334"/>
      <c r="BQ125" s="331"/>
      <c r="BR125" s="332"/>
    </row>
    <row r="126" spans="1:70">
      <c r="A126" s="142" t="s">
        <v>3952</v>
      </c>
      <c r="B126" s="268">
        <v>24900</v>
      </c>
      <c r="C126" s="268">
        <v>0</v>
      </c>
      <c r="D126" s="333"/>
      <c r="E126" s="333"/>
      <c r="F126" s="331"/>
      <c r="G126" s="334"/>
      <c r="H126" s="334"/>
      <c r="I126" s="331"/>
      <c r="J126" s="334"/>
      <c r="K126" s="334"/>
      <c r="L126" s="331"/>
      <c r="M126" s="334"/>
      <c r="N126" s="334"/>
      <c r="O126" s="331"/>
      <c r="P126" s="334"/>
      <c r="Q126" s="334"/>
      <c r="R126" s="331"/>
      <c r="S126" s="334"/>
      <c r="T126" s="334"/>
      <c r="U126" s="331"/>
      <c r="V126" s="334"/>
      <c r="W126" s="334"/>
      <c r="X126" s="331"/>
      <c r="Y126" s="334"/>
      <c r="Z126" s="334"/>
      <c r="AA126" s="331"/>
      <c r="AB126" s="334"/>
      <c r="AC126" s="334"/>
      <c r="AD126" s="331"/>
      <c r="AE126" s="334"/>
      <c r="AF126" s="334"/>
      <c r="AG126" s="331"/>
      <c r="AH126" s="334"/>
      <c r="AI126" s="334"/>
      <c r="AJ126" s="331"/>
      <c r="AK126" s="334"/>
      <c r="AL126" s="334"/>
      <c r="AM126" s="331"/>
      <c r="AN126" s="334"/>
      <c r="AO126" s="334"/>
      <c r="AP126" s="331"/>
      <c r="AQ126" s="334"/>
      <c r="AR126" s="334"/>
      <c r="AS126" s="331"/>
      <c r="AT126" s="334"/>
      <c r="AU126" s="334"/>
      <c r="AV126" s="331"/>
      <c r="AW126" s="334"/>
      <c r="AX126" s="334"/>
      <c r="AY126" s="331"/>
      <c r="AZ126" s="334"/>
      <c r="BA126" s="334"/>
      <c r="BB126" s="331"/>
      <c r="BC126" s="334"/>
      <c r="BD126" s="334"/>
      <c r="BE126" s="331"/>
      <c r="BF126" s="334"/>
      <c r="BG126" s="334"/>
      <c r="BH126" s="331"/>
      <c r="BI126" s="334"/>
      <c r="BJ126" s="334"/>
      <c r="BK126" s="331"/>
      <c r="BL126" s="334"/>
      <c r="BM126" s="334"/>
      <c r="BN126" s="331"/>
      <c r="BO126" s="334"/>
      <c r="BP126" s="334"/>
      <c r="BQ126" s="331"/>
      <c r="BR126" s="332"/>
    </row>
    <row r="127" spans="1:70">
      <c r="A127" s="142" t="s">
        <v>3985</v>
      </c>
      <c r="B127" s="268">
        <v>43300</v>
      </c>
      <c r="C127" s="268">
        <v>0</v>
      </c>
      <c r="D127" s="333"/>
      <c r="E127" s="333"/>
      <c r="F127" s="331"/>
      <c r="G127" s="334"/>
      <c r="H127" s="334"/>
      <c r="I127" s="331"/>
      <c r="J127" s="334"/>
      <c r="K127" s="334"/>
      <c r="L127" s="331"/>
      <c r="M127" s="334"/>
      <c r="N127" s="334"/>
      <c r="O127" s="331"/>
      <c r="P127" s="334"/>
      <c r="Q127" s="334"/>
      <c r="R127" s="331"/>
      <c r="S127" s="334"/>
      <c r="T127" s="334"/>
      <c r="U127" s="331"/>
      <c r="V127" s="334"/>
      <c r="W127" s="334"/>
      <c r="X127" s="331"/>
      <c r="Y127" s="334"/>
      <c r="Z127" s="334"/>
      <c r="AA127" s="331"/>
      <c r="AB127" s="334"/>
      <c r="AC127" s="334"/>
      <c r="AD127" s="331"/>
      <c r="AE127" s="334"/>
      <c r="AF127" s="334"/>
      <c r="AG127" s="331"/>
      <c r="AH127" s="334"/>
      <c r="AI127" s="334"/>
      <c r="AJ127" s="331"/>
      <c r="AK127" s="334"/>
      <c r="AL127" s="334"/>
      <c r="AM127" s="331"/>
      <c r="AN127" s="334"/>
      <c r="AO127" s="334"/>
      <c r="AP127" s="331"/>
      <c r="AQ127" s="334"/>
      <c r="AR127" s="334"/>
      <c r="AS127" s="331"/>
      <c r="AT127" s="334"/>
      <c r="AU127" s="334"/>
      <c r="AV127" s="331"/>
      <c r="AW127" s="334"/>
      <c r="AX127" s="334"/>
      <c r="AY127" s="331"/>
      <c r="AZ127" s="334"/>
      <c r="BA127" s="334"/>
      <c r="BB127" s="331"/>
      <c r="BC127" s="334"/>
      <c r="BD127" s="334"/>
      <c r="BE127" s="331"/>
      <c r="BF127" s="334"/>
      <c r="BG127" s="334"/>
      <c r="BH127" s="331"/>
      <c r="BI127" s="334"/>
      <c r="BJ127" s="334"/>
      <c r="BK127" s="331"/>
      <c r="BL127" s="334"/>
      <c r="BM127" s="334"/>
      <c r="BN127" s="331"/>
      <c r="BO127" s="334"/>
      <c r="BP127" s="334"/>
      <c r="BQ127" s="331"/>
      <c r="BR127" s="332"/>
    </row>
    <row r="128" spans="1:70">
      <c r="A128" s="142" t="s">
        <v>3873</v>
      </c>
      <c r="B128" s="268">
        <v>79300</v>
      </c>
      <c r="C128" s="268">
        <v>0</v>
      </c>
      <c r="D128" s="333"/>
      <c r="E128" s="333"/>
      <c r="F128" s="331"/>
      <c r="G128" s="334"/>
      <c r="H128" s="334"/>
      <c r="I128" s="331"/>
      <c r="J128" s="334"/>
      <c r="K128" s="334"/>
      <c r="L128" s="331"/>
      <c r="M128" s="334"/>
      <c r="N128" s="334"/>
      <c r="O128" s="331"/>
      <c r="P128" s="334"/>
      <c r="Q128" s="334"/>
      <c r="R128" s="331"/>
      <c r="S128" s="334"/>
      <c r="T128" s="334"/>
      <c r="U128" s="331"/>
      <c r="V128" s="334"/>
      <c r="W128" s="334"/>
      <c r="X128" s="331"/>
      <c r="Y128" s="334"/>
      <c r="Z128" s="334"/>
      <c r="AA128" s="331"/>
      <c r="AB128" s="334"/>
      <c r="AC128" s="334"/>
      <c r="AD128" s="331"/>
      <c r="AE128" s="334"/>
      <c r="AF128" s="334"/>
      <c r="AG128" s="331"/>
      <c r="AH128" s="334"/>
      <c r="AI128" s="334"/>
      <c r="AJ128" s="331"/>
      <c r="AK128" s="334"/>
      <c r="AL128" s="334"/>
      <c r="AM128" s="331"/>
      <c r="AN128" s="334"/>
      <c r="AO128" s="334"/>
      <c r="AP128" s="331"/>
      <c r="AQ128" s="334"/>
      <c r="AR128" s="334"/>
      <c r="AS128" s="331"/>
      <c r="AT128" s="334"/>
      <c r="AU128" s="334"/>
      <c r="AV128" s="331"/>
      <c r="AW128" s="334"/>
      <c r="AX128" s="334"/>
      <c r="AY128" s="331"/>
      <c r="AZ128" s="334"/>
      <c r="BA128" s="334"/>
      <c r="BB128" s="331"/>
      <c r="BC128" s="334"/>
      <c r="BD128" s="334"/>
      <c r="BE128" s="331"/>
      <c r="BF128" s="334"/>
      <c r="BG128" s="334"/>
      <c r="BH128" s="331"/>
      <c r="BI128" s="334"/>
      <c r="BJ128" s="334"/>
      <c r="BK128" s="331"/>
      <c r="BL128" s="334"/>
      <c r="BM128" s="334"/>
      <c r="BN128" s="331"/>
      <c r="BO128" s="334"/>
      <c r="BP128" s="334"/>
      <c r="BQ128" s="331"/>
      <c r="BR128" s="332"/>
    </row>
    <row r="129" spans="1:70">
      <c r="A129" s="142" t="s">
        <v>4306</v>
      </c>
      <c r="B129" s="268">
        <v>77100</v>
      </c>
      <c r="C129" s="268">
        <v>0</v>
      </c>
      <c r="D129" s="333"/>
      <c r="E129" s="333"/>
      <c r="F129" s="331"/>
      <c r="G129" s="334"/>
      <c r="H129" s="334"/>
      <c r="I129" s="331"/>
      <c r="J129" s="334"/>
      <c r="K129" s="334"/>
      <c r="L129" s="331"/>
      <c r="M129" s="334"/>
      <c r="N129" s="334"/>
      <c r="O129" s="331"/>
      <c r="P129" s="334"/>
      <c r="Q129" s="334"/>
      <c r="R129" s="331"/>
      <c r="S129" s="334"/>
      <c r="T129" s="334"/>
      <c r="U129" s="331"/>
      <c r="V129" s="334"/>
      <c r="W129" s="334"/>
      <c r="X129" s="331"/>
      <c r="Y129" s="334"/>
      <c r="Z129" s="334"/>
      <c r="AA129" s="331"/>
      <c r="AB129" s="334"/>
      <c r="AC129" s="334"/>
      <c r="AD129" s="331"/>
      <c r="AE129" s="334"/>
      <c r="AF129" s="334"/>
      <c r="AG129" s="331"/>
      <c r="AH129" s="334"/>
      <c r="AI129" s="334"/>
      <c r="AJ129" s="331"/>
      <c r="AK129" s="334"/>
      <c r="AL129" s="334"/>
      <c r="AM129" s="331"/>
      <c r="AN129" s="334"/>
      <c r="AO129" s="334"/>
      <c r="AP129" s="331"/>
      <c r="AQ129" s="334"/>
      <c r="AR129" s="334"/>
      <c r="AS129" s="331"/>
      <c r="AT129" s="334"/>
      <c r="AU129" s="334"/>
      <c r="AV129" s="331"/>
      <c r="AW129" s="334"/>
      <c r="AX129" s="334"/>
      <c r="AY129" s="331"/>
      <c r="AZ129" s="334"/>
      <c r="BA129" s="334"/>
      <c r="BB129" s="331"/>
      <c r="BC129" s="334"/>
      <c r="BD129" s="334"/>
      <c r="BE129" s="331"/>
      <c r="BF129" s="334"/>
      <c r="BG129" s="334"/>
      <c r="BH129" s="331"/>
      <c r="BI129" s="334"/>
      <c r="BJ129" s="334"/>
      <c r="BK129" s="331"/>
      <c r="BL129" s="334"/>
      <c r="BM129" s="334"/>
      <c r="BN129" s="331"/>
      <c r="BO129" s="334"/>
      <c r="BP129" s="334"/>
      <c r="BQ129" s="331"/>
      <c r="BR129" s="332"/>
    </row>
    <row r="130" spans="1:70">
      <c r="A130" s="142" t="s">
        <v>4336</v>
      </c>
      <c r="B130" s="268">
        <v>121700</v>
      </c>
      <c r="C130" s="268">
        <v>0</v>
      </c>
      <c r="D130" s="333"/>
      <c r="E130" s="333"/>
      <c r="F130" s="331"/>
      <c r="G130" s="334"/>
      <c r="H130" s="334"/>
      <c r="I130" s="331"/>
      <c r="J130" s="334"/>
      <c r="K130" s="334"/>
      <c r="L130" s="331"/>
      <c r="M130" s="334"/>
      <c r="N130" s="334"/>
      <c r="O130" s="331"/>
      <c r="P130" s="334"/>
      <c r="Q130" s="334"/>
      <c r="R130" s="331"/>
      <c r="S130" s="334"/>
      <c r="T130" s="334"/>
      <c r="U130" s="331"/>
      <c r="V130" s="334"/>
      <c r="W130" s="334"/>
      <c r="X130" s="331"/>
      <c r="Y130" s="334"/>
      <c r="Z130" s="334"/>
      <c r="AA130" s="331"/>
      <c r="AB130" s="334"/>
      <c r="AC130" s="334"/>
      <c r="AD130" s="331"/>
      <c r="AE130" s="334"/>
      <c r="AF130" s="334"/>
      <c r="AG130" s="331"/>
      <c r="AH130" s="334"/>
      <c r="AI130" s="334"/>
      <c r="AJ130" s="331"/>
      <c r="AK130" s="334"/>
      <c r="AL130" s="334"/>
      <c r="AM130" s="331"/>
      <c r="AN130" s="334"/>
      <c r="AO130" s="334"/>
      <c r="AP130" s="331"/>
      <c r="AQ130" s="334"/>
      <c r="AR130" s="334"/>
      <c r="AS130" s="331"/>
      <c r="AT130" s="334"/>
      <c r="AU130" s="334"/>
      <c r="AV130" s="331"/>
      <c r="AW130" s="334"/>
      <c r="AX130" s="334"/>
      <c r="AY130" s="331"/>
      <c r="AZ130" s="334"/>
      <c r="BA130" s="334"/>
      <c r="BB130" s="331"/>
      <c r="BC130" s="334"/>
      <c r="BD130" s="334"/>
      <c r="BE130" s="331"/>
      <c r="BF130" s="334"/>
      <c r="BG130" s="334"/>
      <c r="BH130" s="331"/>
      <c r="BI130" s="334"/>
      <c r="BJ130" s="334"/>
      <c r="BK130" s="331"/>
      <c r="BL130" s="334"/>
      <c r="BM130" s="334"/>
      <c r="BN130" s="331"/>
      <c r="BO130" s="334"/>
      <c r="BP130" s="334"/>
      <c r="BQ130" s="331"/>
      <c r="BR130" s="332"/>
    </row>
    <row r="131" spans="1:70">
      <c r="A131" s="142" t="s">
        <v>3959</v>
      </c>
      <c r="B131" s="268">
        <v>44700</v>
      </c>
      <c r="C131" s="268">
        <v>0</v>
      </c>
      <c r="D131" s="333"/>
      <c r="E131" s="333"/>
      <c r="F131" s="331"/>
      <c r="G131" s="334"/>
      <c r="H131" s="334"/>
      <c r="I131" s="331"/>
      <c r="J131" s="334"/>
      <c r="K131" s="334"/>
      <c r="L131" s="331"/>
      <c r="M131" s="334"/>
      <c r="N131" s="334"/>
      <c r="O131" s="331"/>
      <c r="P131" s="334"/>
      <c r="Q131" s="334"/>
      <c r="R131" s="331"/>
      <c r="S131" s="334"/>
      <c r="T131" s="334"/>
      <c r="U131" s="331"/>
      <c r="V131" s="334"/>
      <c r="W131" s="334"/>
      <c r="X131" s="331"/>
      <c r="Y131" s="334"/>
      <c r="Z131" s="334"/>
      <c r="AA131" s="331"/>
      <c r="AB131" s="334"/>
      <c r="AC131" s="334"/>
      <c r="AD131" s="331"/>
      <c r="AE131" s="334"/>
      <c r="AF131" s="334"/>
      <c r="AG131" s="331"/>
      <c r="AH131" s="334"/>
      <c r="AI131" s="334"/>
      <c r="AJ131" s="331"/>
      <c r="AK131" s="334"/>
      <c r="AL131" s="334"/>
      <c r="AM131" s="331"/>
      <c r="AN131" s="334"/>
      <c r="AO131" s="334"/>
      <c r="AP131" s="331"/>
      <c r="AQ131" s="334"/>
      <c r="AR131" s="334"/>
      <c r="AS131" s="331"/>
      <c r="AT131" s="334"/>
      <c r="AU131" s="334"/>
      <c r="AV131" s="331"/>
      <c r="AW131" s="334"/>
      <c r="AX131" s="334"/>
      <c r="AY131" s="331"/>
      <c r="AZ131" s="334"/>
      <c r="BA131" s="334"/>
      <c r="BB131" s="331"/>
      <c r="BC131" s="334"/>
      <c r="BD131" s="334"/>
      <c r="BE131" s="331"/>
      <c r="BF131" s="334"/>
      <c r="BG131" s="334"/>
      <c r="BH131" s="331"/>
      <c r="BI131" s="334"/>
      <c r="BJ131" s="334"/>
      <c r="BK131" s="331"/>
      <c r="BL131" s="334"/>
      <c r="BM131" s="334"/>
      <c r="BN131" s="331"/>
      <c r="BO131" s="334"/>
      <c r="BP131" s="334"/>
      <c r="BQ131" s="331"/>
      <c r="BR131" s="332"/>
    </row>
    <row r="132" spans="1:70">
      <c r="A132" s="142" t="s">
        <v>4348</v>
      </c>
      <c r="B132" s="268">
        <v>21300</v>
      </c>
      <c r="C132" s="268">
        <v>0</v>
      </c>
      <c r="D132" s="333"/>
      <c r="E132" s="333"/>
      <c r="F132" s="331"/>
      <c r="G132" s="334"/>
      <c r="H132" s="334"/>
      <c r="I132" s="331"/>
      <c r="J132" s="334"/>
      <c r="K132" s="334"/>
      <c r="L132" s="331"/>
      <c r="M132" s="334"/>
      <c r="N132" s="334"/>
      <c r="O132" s="331"/>
      <c r="P132" s="334"/>
      <c r="Q132" s="334"/>
      <c r="R132" s="331"/>
      <c r="S132" s="334"/>
      <c r="T132" s="334"/>
      <c r="U132" s="331"/>
      <c r="V132" s="334"/>
      <c r="W132" s="334"/>
      <c r="X132" s="331"/>
      <c r="Y132" s="334"/>
      <c r="Z132" s="334"/>
      <c r="AA132" s="331"/>
      <c r="AB132" s="334"/>
      <c r="AC132" s="334"/>
      <c r="AD132" s="331"/>
      <c r="AE132" s="334"/>
      <c r="AF132" s="334"/>
      <c r="AG132" s="331"/>
      <c r="AH132" s="334"/>
      <c r="AI132" s="334"/>
      <c r="AJ132" s="331"/>
      <c r="AK132" s="334"/>
      <c r="AL132" s="334"/>
      <c r="AM132" s="331"/>
      <c r="AN132" s="334"/>
      <c r="AO132" s="334"/>
      <c r="AP132" s="331"/>
      <c r="AQ132" s="334"/>
      <c r="AR132" s="334"/>
      <c r="AS132" s="331"/>
      <c r="AT132" s="334"/>
      <c r="AU132" s="334"/>
      <c r="AV132" s="331"/>
      <c r="AW132" s="334"/>
      <c r="AX132" s="334"/>
      <c r="AY132" s="331"/>
      <c r="AZ132" s="334"/>
      <c r="BA132" s="334"/>
      <c r="BB132" s="331"/>
      <c r="BC132" s="334"/>
      <c r="BD132" s="334"/>
      <c r="BE132" s="331"/>
      <c r="BF132" s="334"/>
      <c r="BG132" s="334"/>
      <c r="BH132" s="331"/>
      <c r="BI132" s="334"/>
      <c r="BJ132" s="334"/>
      <c r="BK132" s="331"/>
      <c r="BL132" s="334"/>
      <c r="BM132" s="334"/>
      <c r="BN132" s="331"/>
      <c r="BO132" s="334"/>
      <c r="BP132" s="334"/>
      <c r="BQ132" s="331"/>
      <c r="BR132" s="332"/>
    </row>
    <row r="133" spans="1:70">
      <c r="A133" s="142" t="s">
        <v>3972</v>
      </c>
      <c r="B133" s="268">
        <v>35200</v>
      </c>
      <c r="C133" s="268">
        <v>0</v>
      </c>
      <c r="D133" s="333"/>
      <c r="E133" s="333"/>
      <c r="F133" s="331"/>
      <c r="G133" s="334"/>
      <c r="H133" s="334"/>
      <c r="I133" s="331"/>
      <c r="J133" s="334"/>
      <c r="K133" s="334"/>
      <c r="L133" s="331"/>
      <c r="M133" s="334"/>
      <c r="N133" s="334"/>
      <c r="O133" s="331"/>
      <c r="P133" s="334"/>
      <c r="Q133" s="334"/>
      <c r="R133" s="331"/>
      <c r="S133" s="334"/>
      <c r="T133" s="334"/>
      <c r="U133" s="331"/>
      <c r="V133" s="334"/>
      <c r="W133" s="334"/>
      <c r="X133" s="331"/>
      <c r="Y133" s="334"/>
      <c r="Z133" s="334"/>
      <c r="AA133" s="331"/>
      <c r="AB133" s="334"/>
      <c r="AC133" s="334"/>
      <c r="AD133" s="331"/>
      <c r="AE133" s="334"/>
      <c r="AF133" s="334"/>
      <c r="AG133" s="331"/>
      <c r="AH133" s="334"/>
      <c r="AI133" s="334"/>
      <c r="AJ133" s="331"/>
      <c r="AK133" s="334"/>
      <c r="AL133" s="334"/>
      <c r="AM133" s="331"/>
      <c r="AN133" s="334"/>
      <c r="AO133" s="334"/>
      <c r="AP133" s="331"/>
      <c r="AQ133" s="334"/>
      <c r="AR133" s="334"/>
      <c r="AS133" s="331"/>
      <c r="AT133" s="334"/>
      <c r="AU133" s="334"/>
      <c r="AV133" s="331"/>
      <c r="AW133" s="334"/>
      <c r="AX133" s="334"/>
      <c r="AY133" s="331"/>
      <c r="AZ133" s="334"/>
      <c r="BA133" s="334"/>
      <c r="BB133" s="331"/>
      <c r="BC133" s="334"/>
      <c r="BD133" s="334"/>
      <c r="BE133" s="331"/>
      <c r="BF133" s="334"/>
      <c r="BG133" s="334"/>
      <c r="BH133" s="331"/>
      <c r="BI133" s="334"/>
      <c r="BJ133" s="334"/>
      <c r="BK133" s="331"/>
      <c r="BL133" s="334"/>
      <c r="BM133" s="334"/>
      <c r="BN133" s="331"/>
      <c r="BO133" s="334"/>
      <c r="BP133" s="334"/>
      <c r="BQ133" s="331"/>
      <c r="BR133" s="332"/>
    </row>
    <row r="134" spans="1:70">
      <c r="A134" s="142" t="s">
        <v>4353</v>
      </c>
      <c r="B134" s="268">
        <v>20200</v>
      </c>
      <c r="C134" s="268">
        <v>0</v>
      </c>
      <c r="D134" s="333"/>
      <c r="E134" s="333"/>
      <c r="F134" s="331"/>
      <c r="G134" s="334"/>
      <c r="H134" s="334"/>
      <c r="I134" s="331"/>
      <c r="J134" s="334"/>
      <c r="K134" s="334"/>
      <c r="L134" s="331"/>
      <c r="M134" s="334"/>
      <c r="N134" s="334"/>
      <c r="O134" s="331"/>
      <c r="P134" s="334"/>
      <c r="Q134" s="334"/>
      <c r="R134" s="331"/>
      <c r="S134" s="334"/>
      <c r="T134" s="334"/>
      <c r="U134" s="331"/>
      <c r="V134" s="334"/>
      <c r="W134" s="334"/>
      <c r="X134" s="331"/>
      <c r="Y134" s="334"/>
      <c r="Z134" s="334"/>
      <c r="AA134" s="331"/>
      <c r="AB134" s="334"/>
      <c r="AC134" s="334"/>
      <c r="AD134" s="331"/>
      <c r="AE134" s="334"/>
      <c r="AF134" s="334"/>
      <c r="AG134" s="331"/>
      <c r="AH134" s="334"/>
      <c r="AI134" s="334"/>
      <c r="AJ134" s="331"/>
      <c r="AK134" s="334"/>
      <c r="AL134" s="334"/>
      <c r="AM134" s="331"/>
      <c r="AN134" s="334"/>
      <c r="AO134" s="334"/>
      <c r="AP134" s="331"/>
      <c r="AQ134" s="334"/>
      <c r="AR134" s="334"/>
      <c r="AS134" s="331"/>
      <c r="AT134" s="334"/>
      <c r="AU134" s="334"/>
      <c r="AV134" s="331"/>
      <c r="AW134" s="334"/>
      <c r="AX134" s="334"/>
      <c r="AY134" s="331"/>
      <c r="AZ134" s="334"/>
      <c r="BA134" s="334"/>
      <c r="BB134" s="331"/>
      <c r="BC134" s="334"/>
      <c r="BD134" s="334"/>
      <c r="BE134" s="331"/>
      <c r="BF134" s="334"/>
      <c r="BG134" s="334"/>
      <c r="BH134" s="331"/>
      <c r="BI134" s="334"/>
      <c r="BJ134" s="334"/>
      <c r="BK134" s="331"/>
      <c r="BL134" s="334"/>
      <c r="BM134" s="334"/>
      <c r="BN134" s="331"/>
      <c r="BO134" s="334"/>
      <c r="BP134" s="334"/>
      <c r="BQ134" s="331"/>
      <c r="BR134" s="332"/>
    </row>
    <row r="135" spans="1:70">
      <c r="A135" s="142" t="s">
        <v>4746</v>
      </c>
      <c r="B135" s="268">
        <v>99300</v>
      </c>
      <c r="C135" s="268">
        <v>0</v>
      </c>
      <c r="D135" s="333"/>
      <c r="E135" s="333"/>
      <c r="F135" s="331"/>
      <c r="G135" s="334"/>
      <c r="H135" s="334"/>
      <c r="I135" s="331"/>
      <c r="J135" s="334"/>
      <c r="K135" s="334"/>
      <c r="L135" s="331"/>
      <c r="M135" s="334"/>
      <c r="N135" s="334"/>
      <c r="O135" s="331"/>
      <c r="P135" s="334"/>
      <c r="Q135" s="334"/>
      <c r="R135" s="331"/>
      <c r="S135" s="334"/>
      <c r="T135" s="334"/>
      <c r="U135" s="331"/>
      <c r="V135" s="334"/>
      <c r="W135" s="334"/>
      <c r="X135" s="331"/>
      <c r="Y135" s="334"/>
      <c r="Z135" s="334"/>
      <c r="AA135" s="331"/>
      <c r="AB135" s="334"/>
      <c r="AC135" s="334"/>
      <c r="AD135" s="331"/>
      <c r="AE135" s="334"/>
      <c r="AF135" s="334"/>
      <c r="AG135" s="331"/>
      <c r="AH135" s="334"/>
      <c r="AI135" s="334"/>
      <c r="AJ135" s="331"/>
      <c r="AK135" s="334"/>
      <c r="AL135" s="334"/>
      <c r="AM135" s="331"/>
      <c r="AN135" s="334"/>
      <c r="AO135" s="334"/>
      <c r="AP135" s="331"/>
      <c r="AQ135" s="334"/>
      <c r="AR135" s="334"/>
      <c r="AS135" s="331"/>
      <c r="AT135" s="334"/>
      <c r="AU135" s="334"/>
      <c r="AV135" s="331"/>
      <c r="AW135" s="334"/>
      <c r="AX135" s="334"/>
      <c r="AY135" s="331"/>
      <c r="AZ135" s="334"/>
      <c r="BA135" s="334"/>
      <c r="BB135" s="331"/>
      <c r="BC135" s="334"/>
      <c r="BD135" s="334"/>
      <c r="BE135" s="331"/>
      <c r="BF135" s="334"/>
      <c r="BG135" s="334"/>
      <c r="BH135" s="331"/>
      <c r="BI135" s="334"/>
      <c r="BJ135" s="334"/>
      <c r="BK135" s="331"/>
      <c r="BL135" s="334"/>
      <c r="BM135" s="334"/>
      <c r="BN135" s="331"/>
      <c r="BO135" s="334"/>
      <c r="BP135" s="334"/>
      <c r="BQ135" s="331"/>
      <c r="BR135" s="332"/>
    </row>
    <row r="136" spans="1:70">
      <c r="A136" s="142" t="s">
        <v>3208</v>
      </c>
      <c r="B136" s="268">
        <v>48400</v>
      </c>
      <c r="C136" s="268">
        <v>0</v>
      </c>
      <c r="D136" s="333"/>
      <c r="E136" s="333"/>
      <c r="F136" s="331"/>
      <c r="G136" s="334"/>
      <c r="H136" s="334"/>
      <c r="I136" s="331"/>
      <c r="J136" s="334"/>
      <c r="K136" s="334"/>
      <c r="L136" s="331"/>
      <c r="M136" s="334"/>
      <c r="N136" s="334"/>
      <c r="O136" s="331"/>
      <c r="P136" s="334"/>
      <c r="Q136" s="334"/>
      <c r="R136" s="331"/>
      <c r="S136" s="334"/>
      <c r="T136" s="334"/>
      <c r="U136" s="331"/>
      <c r="V136" s="334"/>
      <c r="W136" s="334"/>
      <c r="X136" s="331"/>
      <c r="Y136" s="334"/>
      <c r="Z136" s="334"/>
      <c r="AA136" s="331"/>
      <c r="AB136" s="334"/>
      <c r="AC136" s="334"/>
      <c r="AD136" s="331"/>
      <c r="AE136" s="334"/>
      <c r="AF136" s="334"/>
      <c r="AG136" s="331"/>
      <c r="AH136" s="334"/>
      <c r="AI136" s="334"/>
      <c r="AJ136" s="331"/>
      <c r="AK136" s="334"/>
      <c r="AL136" s="334"/>
      <c r="AM136" s="331"/>
      <c r="AN136" s="334"/>
      <c r="AO136" s="334"/>
      <c r="AP136" s="331"/>
      <c r="AQ136" s="334"/>
      <c r="AR136" s="334"/>
      <c r="AS136" s="331"/>
      <c r="AT136" s="334"/>
      <c r="AU136" s="334"/>
      <c r="AV136" s="331"/>
      <c r="AW136" s="334"/>
      <c r="AX136" s="334"/>
      <c r="AY136" s="331"/>
      <c r="AZ136" s="334"/>
      <c r="BA136" s="334"/>
      <c r="BB136" s="331"/>
      <c r="BC136" s="334"/>
      <c r="BD136" s="334"/>
      <c r="BE136" s="331"/>
      <c r="BF136" s="334"/>
      <c r="BG136" s="334"/>
      <c r="BH136" s="331"/>
      <c r="BI136" s="334"/>
      <c r="BJ136" s="334"/>
      <c r="BK136" s="331"/>
      <c r="BL136" s="334"/>
      <c r="BM136" s="334"/>
      <c r="BN136" s="331"/>
      <c r="BO136" s="334"/>
      <c r="BP136" s="334"/>
      <c r="BQ136" s="331"/>
      <c r="BR136" s="332"/>
    </row>
    <row r="137" spans="1:70">
      <c r="A137" s="142" t="s">
        <v>2717</v>
      </c>
      <c r="B137" s="268">
        <v>26200</v>
      </c>
      <c r="C137" s="268">
        <v>0</v>
      </c>
      <c r="D137" s="333"/>
      <c r="E137" s="333"/>
      <c r="F137" s="331"/>
      <c r="G137" s="334"/>
      <c r="H137" s="334"/>
      <c r="I137" s="331"/>
      <c r="J137" s="334"/>
      <c r="K137" s="334"/>
      <c r="L137" s="331"/>
      <c r="M137" s="334"/>
      <c r="N137" s="334"/>
      <c r="O137" s="331"/>
      <c r="P137" s="334"/>
      <c r="Q137" s="334"/>
      <c r="R137" s="331"/>
      <c r="S137" s="334"/>
      <c r="T137" s="334"/>
      <c r="U137" s="331"/>
      <c r="V137" s="334"/>
      <c r="W137" s="334"/>
      <c r="X137" s="331"/>
      <c r="Y137" s="334"/>
      <c r="Z137" s="334"/>
      <c r="AA137" s="331"/>
      <c r="AB137" s="334"/>
      <c r="AC137" s="334"/>
      <c r="AD137" s="331"/>
      <c r="AE137" s="334"/>
      <c r="AF137" s="334"/>
      <c r="AG137" s="331"/>
      <c r="AH137" s="334"/>
      <c r="AI137" s="334"/>
      <c r="AJ137" s="331"/>
      <c r="AK137" s="334"/>
      <c r="AL137" s="334"/>
      <c r="AM137" s="331"/>
      <c r="AN137" s="334"/>
      <c r="AO137" s="334"/>
      <c r="AP137" s="331"/>
      <c r="AQ137" s="334"/>
      <c r="AR137" s="334"/>
      <c r="AS137" s="331"/>
      <c r="AT137" s="334"/>
      <c r="AU137" s="334"/>
      <c r="AV137" s="331"/>
      <c r="AW137" s="334"/>
      <c r="AX137" s="334"/>
      <c r="AY137" s="331"/>
      <c r="AZ137" s="334"/>
      <c r="BA137" s="334"/>
      <c r="BB137" s="331"/>
      <c r="BC137" s="334"/>
      <c r="BD137" s="334"/>
      <c r="BE137" s="331"/>
      <c r="BF137" s="334"/>
      <c r="BG137" s="334"/>
      <c r="BH137" s="331"/>
      <c r="BI137" s="334"/>
      <c r="BJ137" s="334"/>
      <c r="BK137" s="331"/>
      <c r="BL137" s="334"/>
      <c r="BM137" s="334"/>
      <c r="BN137" s="331"/>
      <c r="BO137" s="334"/>
      <c r="BP137" s="334"/>
      <c r="BQ137" s="331"/>
      <c r="BR137" s="332"/>
    </row>
    <row r="138" spans="1:70">
      <c r="A138" s="142" t="s">
        <v>5130</v>
      </c>
      <c r="B138" s="268">
        <v>26600</v>
      </c>
      <c r="C138" s="268">
        <v>0</v>
      </c>
      <c r="D138" s="333"/>
      <c r="E138" s="333"/>
      <c r="F138" s="331"/>
      <c r="G138" s="334"/>
      <c r="H138" s="334"/>
      <c r="I138" s="331"/>
      <c r="J138" s="334"/>
      <c r="K138" s="334"/>
      <c r="L138" s="331"/>
      <c r="M138" s="334"/>
      <c r="N138" s="334"/>
      <c r="O138" s="331"/>
      <c r="P138" s="334"/>
      <c r="Q138" s="334"/>
      <c r="R138" s="331"/>
      <c r="S138" s="334"/>
      <c r="T138" s="334"/>
      <c r="U138" s="331"/>
      <c r="V138" s="334"/>
      <c r="W138" s="334"/>
      <c r="X138" s="331"/>
      <c r="Y138" s="334"/>
      <c r="Z138" s="334"/>
      <c r="AA138" s="331"/>
      <c r="AB138" s="334"/>
      <c r="AC138" s="334"/>
      <c r="AD138" s="331"/>
      <c r="AE138" s="334"/>
      <c r="AF138" s="334"/>
      <c r="AG138" s="331"/>
      <c r="AH138" s="334"/>
      <c r="AI138" s="334"/>
      <c r="AJ138" s="331"/>
      <c r="AK138" s="334"/>
      <c r="AL138" s="334"/>
      <c r="AM138" s="331"/>
      <c r="AN138" s="334"/>
      <c r="AO138" s="334"/>
      <c r="AP138" s="331"/>
      <c r="AQ138" s="334"/>
      <c r="AR138" s="334"/>
      <c r="AS138" s="331"/>
      <c r="AT138" s="334"/>
      <c r="AU138" s="334"/>
      <c r="AV138" s="331"/>
      <c r="AW138" s="334"/>
      <c r="AX138" s="334"/>
      <c r="AY138" s="331"/>
      <c r="AZ138" s="334"/>
      <c r="BA138" s="334"/>
      <c r="BB138" s="331"/>
      <c r="BC138" s="334"/>
      <c r="BD138" s="334"/>
      <c r="BE138" s="331"/>
      <c r="BF138" s="334"/>
      <c r="BG138" s="334"/>
      <c r="BH138" s="331"/>
      <c r="BI138" s="334"/>
      <c r="BJ138" s="334"/>
      <c r="BK138" s="331"/>
      <c r="BL138" s="334"/>
      <c r="BM138" s="334"/>
      <c r="BN138" s="331"/>
      <c r="BO138" s="334"/>
      <c r="BP138" s="334"/>
      <c r="BQ138" s="331"/>
      <c r="BR138" s="332"/>
    </row>
    <row r="139" spans="1:70">
      <c r="A139" s="142" t="s">
        <v>3203</v>
      </c>
      <c r="B139" s="268">
        <v>25700</v>
      </c>
      <c r="C139" s="268">
        <v>0</v>
      </c>
      <c r="D139" s="333"/>
      <c r="E139" s="333"/>
      <c r="F139" s="331"/>
      <c r="G139" s="334"/>
      <c r="H139" s="334"/>
      <c r="I139" s="331"/>
      <c r="J139" s="334"/>
      <c r="K139" s="334"/>
      <c r="L139" s="331"/>
      <c r="M139" s="334"/>
      <c r="N139" s="334"/>
      <c r="O139" s="331"/>
      <c r="P139" s="334"/>
      <c r="Q139" s="334"/>
      <c r="R139" s="331"/>
      <c r="S139" s="334"/>
      <c r="T139" s="334"/>
      <c r="U139" s="331"/>
      <c r="V139" s="334"/>
      <c r="W139" s="334"/>
      <c r="X139" s="331"/>
      <c r="Y139" s="334"/>
      <c r="Z139" s="334"/>
      <c r="AA139" s="331"/>
      <c r="AB139" s="334"/>
      <c r="AC139" s="334"/>
      <c r="AD139" s="331"/>
      <c r="AE139" s="334"/>
      <c r="AF139" s="334"/>
      <c r="AG139" s="331"/>
      <c r="AH139" s="334"/>
      <c r="AI139" s="334"/>
      <c r="AJ139" s="331"/>
      <c r="AK139" s="334"/>
      <c r="AL139" s="334"/>
      <c r="AM139" s="331"/>
      <c r="AN139" s="334"/>
      <c r="AO139" s="334"/>
      <c r="AP139" s="331"/>
      <c r="AQ139" s="334"/>
      <c r="AR139" s="334"/>
      <c r="AS139" s="331"/>
      <c r="AT139" s="334"/>
      <c r="AU139" s="334"/>
      <c r="AV139" s="331"/>
      <c r="AW139" s="334"/>
      <c r="AX139" s="334"/>
      <c r="AY139" s="331"/>
      <c r="AZ139" s="334"/>
      <c r="BA139" s="334"/>
      <c r="BB139" s="331"/>
      <c r="BC139" s="334"/>
      <c r="BD139" s="334"/>
      <c r="BE139" s="331"/>
      <c r="BF139" s="334"/>
      <c r="BG139" s="334"/>
      <c r="BH139" s="331"/>
      <c r="BI139" s="334"/>
      <c r="BJ139" s="334"/>
      <c r="BK139" s="331"/>
      <c r="BL139" s="334"/>
      <c r="BM139" s="334"/>
      <c r="BN139" s="331"/>
      <c r="BO139" s="334"/>
      <c r="BP139" s="334"/>
      <c r="BQ139" s="331"/>
      <c r="BR139" s="332"/>
    </row>
    <row r="140" spans="1:70">
      <c r="A140" s="142" t="s">
        <v>2724</v>
      </c>
      <c r="B140" s="268">
        <v>4500</v>
      </c>
      <c r="C140" s="268">
        <v>0</v>
      </c>
      <c r="D140" s="333"/>
      <c r="E140" s="333"/>
      <c r="F140" s="331"/>
      <c r="G140" s="334"/>
      <c r="H140" s="334"/>
      <c r="I140" s="331"/>
      <c r="J140" s="334"/>
      <c r="K140" s="334"/>
      <c r="L140" s="331"/>
      <c r="M140" s="334"/>
      <c r="N140" s="334"/>
      <c r="O140" s="331"/>
      <c r="P140" s="334"/>
      <c r="Q140" s="334"/>
      <c r="R140" s="331"/>
      <c r="S140" s="334"/>
      <c r="T140" s="334"/>
      <c r="U140" s="331"/>
      <c r="V140" s="334"/>
      <c r="W140" s="334"/>
      <c r="X140" s="331"/>
      <c r="Y140" s="334"/>
      <c r="Z140" s="334"/>
      <c r="AA140" s="331"/>
      <c r="AB140" s="334"/>
      <c r="AC140" s="334"/>
      <c r="AD140" s="331"/>
      <c r="AE140" s="334"/>
      <c r="AF140" s="334"/>
      <c r="AG140" s="331"/>
      <c r="AH140" s="334"/>
      <c r="AI140" s="334"/>
      <c r="AJ140" s="331"/>
      <c r="AK140" s="334"/>
      <c r="AL140" s="334"/>
      <c r="AM140" s="331"/>
      <c r="AN140" s="334"/>
      <c r="AO140" s="334"/>
      <c r="AP140" s="331"/>
      <c r="AQ140" s="334"/>
      <c r="AR140" s="334"/>
      <c r="AS140" s="331"/>
      <c r="AT140" s="334"/>
      <c r="AU140" s="334"/>
      <c r="AV140" s="331"/>
      <c r="AW140" s="334"/>
      <c r="AX140" s="334"/>
      <c r="AY140" s="331"/>
      <c r="AZ140" s="334"/>
      <c r="BA140" s="334"/>
      <c r="BB140" s="331"/>
      <c r="BC140" s="334"/>
      <c r="BD140" s="334"/>
      <c r="BE140" s="331"/>
      <c r="BF140" s="334"/>
      <c r="BG140" s="334"/>
      <c r="BH140" s="331"/>
      <c r="BI140" s="334"/>
      <c r="BJ140" s="334"/>
      <c r="BK140" s="331"/>
      <c r="BL140" s="334"/>
      <c r="BM140" s="334"/>
      <c r="BN140" s="331"/>
      <c r="BO140" s="334"/>
      <c r="BP140" s="334"/>
      <c r="BQ140" s="331"/>
      <c r="BR140" s="332"/>
    </row>
    <row r="141" spans="1:70">
      <c r="A141" s="142" t="s">
        <v>3172</v>
      </c>
      <c r="B141" s="268">
        <v>56300</v>
      </c>
      <c r="C141" s="268">
        <v>0</v>
      </c>
      <c r="D141" s="333"/>
      <c r="E141" s="333"/>
      <c r="F141" s="331"/>
      <c r="G141" s="334"/>
      <c r="H141" s="334"/>
      <c r="I141" s="331"/>
      <c r="J141" s="334"/>
      <c r="K141" s="334"/>
      <c r="L141" s="331"/>
      <c r="M141" s="334"/>
      <c r="N141" s="334"/>
      <c r="O141" s="331"/>
      <c r="P141" s="334"/>
      <c r="Q141" s="334"/>
      <c r="R141" s="331"/>
      <c r="S141" s="334"/>
      <c r="T141" s="334"/>
      <c r="U141" s="331"/>
      <c r="V141" s="334"/>
      <c r="W141" s="334"/>
      <c r="X141" s="331"/>
      <c r="Y141" s="334"/>
      <c r="Z141" s="334"/>
      <c r="AA141" s="331"/>
      <c r="AB141" s="334"/>
      <c r="AC141" s="334"/>
      <c r="AD141" s="331"/>
      <c r="AE141" s="334"/>
      <c r="AF141" s="334"/>
      <c r="AG141" s="331"/>
      <c r="AH141" s="334"/>
      <c r="AI141" s="334"/>
      <c r="AJ141" s="331"/>
      <c r="AK141" s="334"/>
      <c r="AL141" s="334"/>
      <c r="AM141" s="331"/>
      <c r="AN141" s="334"/>
      <c r="AO141" s="334"/>
      <c r="AP141" s="331"/>
      <c r="AQ141" s="334"/>
      <c r="AR141" s="334"/>
      <c r="AS141" s="331"/>
      <c r="AT141" s="334"/>
      <c r="AU141" s="334"/>
      <c r="AV141" s="331"/>
      <c r="AW141" s="334"/>
      <c r="AX141" s="334"/>
      <c r="AY141" s="331"/>
      <c r="AZ141" s="334"/>
      <c r="BA141" s="334"/>
      <c r="BB141" s="331"/>
      <c r="BC141" s="334"/>
      <c r="BD141" s="334"/>
      <c r="BE141" s="331"/>
      <c r="BF141" s="334"/>
      <c r="BG141" s="334"/>
      <c r="BH141" s="331"/>
      <c r="BI141" s="334"/>
      <c r="BJ141" s="334"/>
      <c r="BK141" s="331"/>
      <c r="BL141" s="334"/>
      <c r="BM141" s="334"/>
      <c r="BN141" s="331"/>
      <c r="BO141" s="334"/>
      <c r="BP141" s="334"/>
      <c r="BQ141" s="331"/>
      <c r="BR141" s="332"/>
    </row>
    <row r="142" spans="1:70">
      <c r="A142" s="142" t="s">
        <v>3184</v>
      </c>
      <c r="B142" s="268">
        <v>63200</v>
      </c>
      <c r="C142" s="268">
        <v>0</v>
      </c>
      <c r="D142" s="333"/>
      <c r="E142" s="333"/>
      <c r="F142" s="331"/>
      <c r="G142" s="334"/>
      <c r="H142" s="334"/>
      <c r="I142" s="331"/>
      <c r="J142" s="334"/>
      <c r="K142" s="334"/>
      <c r="L142" s="331"/>
      <c r="M142" s="334"/>
      <c r="N142" s="334"/>
      <c r="O142" s="331"/>
      <c r="P142" s="334"/>
      <c r="Q142" s="334"/>
      <c r="R142" s="331"/>
      <c r="S142" s="334"/>
      <c r="T142" s="334"/>
      <c r="U142" s="331"/>
      <c r="V142" s="334"/>
      <c r="W142" s="334"/>
      <c r="X142" s="331"/>
      <c r="Y142" s="334"/>
      <c r="Z142" s="334"/>
      <c r="AA142" s="331"/>
      <c r="AB142" s="334"/>
      <c r="AC142" s="334"/>
      <c r="AD142" s="331"/>
      <c r="AE142" s="334"/>
      <c r="AF142" s="334"/>
      <c r="AG142" s="331"/>
      <c r="AH142" s="334"/>
      <c r="AI142" s="334"/>
      <c r="AJ142" s="331"/>
      <c r="AK142" s="334"/>
      <c r="AL142" s="334"/>
      <c r="AM142" s="331"/>
      <c r="AN142" s="334"/>
      <c r="AO142" s="334"/>
      <c r="AP142" s="331"/>
      <c r="AQ142" s="334"/>
      <c r="AR142" s="334"/>
      <c r="AS142" s="331"/>
      <c r="AT142" s="334"/>
      <c r="AU142" s="334"/>
      <c r="AV142" s="331"/>
      <c r="AW142" s="334"/>
      <c r="AX142" s="334"/>
      <c r="AY142" s="331"/>
      <c r="AZ142" s="334"/>
      <c r="BA142" s="334"/>
      <c r="BB142" s="331"/>
      <c r="BC142" s="334"/>
      <c r="BD142" s="334"/>
      <c r="BE142" s="331"/>
      <c r="BF142" s="334"/>
      <c r="BG142" s="334"/>
      <c r="BH142" s="331"/>
      <c r="BI142" s="334"/>
      <c r="BJ142" s="334"/>
      <c r="BK142" s="331"/>
      <c r="BL142" s="334"/>
      <c r="BM142" s="334"/>
      <c r="BN142" s="331"/>
      <c r="BO142" s="334"/>
      <c r="BP142" s="334"/>
      <c r="BQ142" s="331"/>
      <c r="BR142" s="332"/>
    </row>
    <row r="143" spans="1:70">
      <c r="A143" s="142" t="s">
        <v>3177</v>
      </c>
      <c r="B143" s="268">
        <v>56100</v>
      </c>
      <c r="C143" s="268">
        <v>0</v>
      </c>
      <c r="D143" s="333"/>
      <c r="E143" s="333"/>
      <c r="F143" s="331"/>
      <c r="G143" s="334"/>
      <c r="H143" s="334"/>
      <c r="I143" s="331"/>
      <c r="J143" s="334"/>
      <c r="K143" s="334"/>
      <c r="L143" s="331"/>
      <c r="M143" s="334"/>
      <c r="N143" s="334"/>
      <c r="O143" s="331"/>
      <c r="P143" s="334"/>
      <c r="Q143" s="334"/>
      <c r="R143" s="331"/>
      <c r="S143" s="334"/>
      <c r="T143" s="334"/>
      <c r="U143" s="331"/>
      <c r="V143" s="334"/>
      <c r="W143" s="334"/>
      <c r="X143" s="331"/>
      <c r="Y143" s="334"/>
      <c r="Z143" s="334"/>
      <c r="AA143" s="331"/>
      <c r="AB143" s="334"/>
      <c r="AC143" s="334"/>
      <c r="AD143" s="331"/>
      <c r="AE143" s="334"/>
      <c r="AF143" s="334"/>
      <c r="AG143" s="331"/>
      <c r="AH143" s="334"/>
      <c r="AI143" s="334"/>
      <c r="AJ143" s="331"/>
      <c r="AK143" s="334"/>
      <c r="AL143" s="334"/>
      <c r="AM143" s="331"/>
      <c r="AN143" s="334"/>
      <c r="AO143" s="334"/>
      <c r="AP143" s="331"/>
      <c r="AQ143" s="334"/>
      <c r="AR143" s="334"/>
      <c r="AS143" s="331"/>
      <c r="AT143" s="334"/>
      <c r="AU143" s="334"/>
      <c r="AV143" s="331"/>
      <c r="AW143" s="334"/>
      <c r="AX143" s="334"/>
      <c r="AY143" s="331"/>
      <c r="AZ143" s="334"/>
      <c r="BA143" s="334"/>
      <c r="BB143" s="331"/>
      <c r="BC143" s="334"/>
      <c r="BD143" s="334"/>
      <c r="BE143" s="331"/>
      <c r="BF143" s="334"/>
      <c r="BG143" s="334"/>
      <c r="BH143" s="331"/>
      <c r="BI143" s="334"/>
      <c r="BJ143" s="334"/>
      <c r="BK143" s="331"/>
      <c r="BL143" s="334"/>
      <c r="BM143" s="334"/>
      <c r="BN143" s="331"/>
      <c r="BO143" s="334"/>
      <c r="BP143" s="334"/>
      <c r="BQ143" s="331"/>
      <c r="BR143" s="332"/>
    </row>
    <row r="144" spans="1:70">
      <c r="A144" s="142" t="s">
        <v>3189</v>
      </c>
      <c r="B144" s="268">
        <v>17100</v>
      </c>
      <c r="C144" s="268">
        <v>0</v>
      </c>
      <c r="D144" s="333"/>
      <c r="E144" s="333"/>
      <c r="F144" s="331"/>
      <c r="G144" s="334"/>
      <c r="H144" s="334"/>
      <c r="I144" s="331"/>
      <c r="J144" s="334"/>
      <c r="K144" s="334"/>
      <c r="L144" s="331"/>
      <c r="M144" s="334"/>
      <c r="N144" s="334"/>
      <c r="O144" s="331"/>
      <c r="P144" s="334"/>
      <c r="Q144" s="334"/>
      <c r="R144" s="331"/>
      <c r="S144" s="334"/>
      <c r="T144" s="334"/>
      <c r="U144" s="331"/>
      <c r="V144" s="334"/>
      <c r="W144" s="334"/>
      <c r="X144" s="331"/>
      <c r="Y144" s="334"/>
      <c r="Z144" s="334"/>
      <c r="AA144" s="331"/>
      <c r="AB144" s="334"/>
      <c r="AC144" s="334"/>
      <c r="AD144" s="331"/>
      <c r="AE144" s="334"/>
      <c r="AF144" s="334"/>
      <c r="AG144" s="331"/>
      <c r="AH144" s="334"/>
      <c r="AI144" s="334"/>
      <c r="AJ144" s="331"/>
      <c r="AK144" s="334"/>
      <c r="AL144" s="334"/>
      <c r="AM144" s="331"/>
      <c r="AN144" s="334"/>
      <c r="AO144" s="334"/>
      <c r="AP144" s="331"/>
      <c r="AQ144" s="334"/>
      <c r="AR144" s="334"/>
      <c r="AS144" s="331"/>
      <c r="AT144" s="334"/>
      <c r="AU144" s="334"/>
      <c r="AV144" s="331"/>
      <c r="AW144" s="334"/>
      <c r="AX144" s="334"/>
      <c r="AY144" s="331"/>
      <c r="AZ144" s="334"/>
      <c r="BA144" s="334"/>
      <c r="BB144" s="331"/>
      <c r="BC144" s="334"/>
      <c r="BD144" s="334"/>
      <c r="BE144" s="331"/>
      <c r="BF144" s="334"/>
      <c r="BG144" s="334"/>
      <c r="BH144" s="331"/>
      <c r="BI144" s="334"/>
      <c r="BJ144" s="334"/>
      <c r="BK144" s="331"/>
      <c r="BL144" s="334"/>
      <c r="BM144" s="334"/>
      <c r="BN144" s="331"/>
      <c r="BO144" s="334"/>
      <c r="BP144" s="334"/>
      <c r="BQ144" s="331"/>
      <c r="BR144" s="332"/>
    </row>
    <row r="145" spans="1:70">
      <c r="A145" s="142" t="s">
        <v>2733</v>
      </c>
      <c r="B145" s="268">
        <v>8600</v>
      </c>
      <c r="C145" s="268">
        <v>0</v>
      </c>
      <c r="D145" s="333"/>
      <c r="E145" s="333"/>
      <c r="F145" s="331"/>
      <c r="G145" s="334"/>
      <c r="H145" s="334"/>
      <c r="I145" s="331"/>
      <c r="J145" s="334"/>
      <c r="K145" s="334"/>
      <c r="L145" s="331"/>
      <c r="M145" s="334"/>
      <c r="N145" s="334"/>
      <c r="O145" s="331"/>
      <c r="P145" s="334"/>
      <c r="Q145" s="334"/>
      <c r="R145" s="331"/>
      <c r="S145" s="334"/>
      <c r="T145" s="334"/>
      <c r="U145" s="331"/>
      <c r="V145" s="334"/>
      <c r="W145" s="334"/>
      <c r="X145" s="331"/>
      <c r="Y145" s="334"/>
      <c r="Z145" s="334"/>
      <c r="AA145" s="331"/>
      <c r="AB145" s="334"/>
      <c r="AC145" s="334"/>
      <c r="AD145" s="331"/>
      <c r="AE145" s="334"/>
      <c r="AF145" s="334"/>
      <c r="AG145" s="331"/>
      <c r="AH145" s="334"/>
      <c r="AI145" s="334"/>
      <c r="AJ145" s="331"/>
      <c r="AK145" s="334"/>
      <c r="AL145" s="334"/>
      <c r="AM145" s="331"/>
      <c r="AN145" s="334"/>
      <c r="AO145" s="334"/>
      <c r="AP145" s="331"/>
      <c r="AQ145" s="334"/>
      <c r="AR145" s="334"/>
      <c r="AS145" s="331"/>
      <c r="AT145" s="334"/>
      <c r="AU145" s="334"/>
      <c r="AV145" s="331"/>
      <c r="AW145" s="334"/>
      <c r="AX145" s="334"/>
      <c r="AY145" s="331"/>
      <c r="AZ145" s="334"/>
      <c r="BA145" s="334"/>
      <c r="BB145" s="331"/>
      <c r="BC145" s="334"/>
      <c r="BD145" s="334"/>
      <c r="BE145" s="331"/>
      <c r="BF145" s="334"/>
      <c r="BG145" s="334"/>
      <c r="BH145" s="331"/>
      <c r="BI145" s="334"/>
      <c r="BJ145" s="334"/>
      <c r="BK145" s="331"/>
      <c r="BL145" s="334"/>
      <c r="BM145" s="334"/>
      <c r="BN145" s="331"/>
      <c r="BO145" s="334"/>
      <c r="BP145" s="334"/>
      <c r="BQ145" s="331"/>
      <c r="BR145" s="332"/>
    </row>
    <row r="146" spans="1:70">
      <c r="A146" s="142" t="s">
        <v>3428</v>
      </c>
      <c r="B146" s="268">
        <v>4100</v>
      </c>
      <c r="C146" s="268">
        <v>0</v>
      </c>
      <c r="D146" s="333"/>
      <c r="E146" s="333"/>
      <c r="F146" s="331"/>
      <c r="G146" s="334"/>
      <c r="H146" s="334"/>
      <c r="I146" s="331"/>
      <c r="J146" s="334"/>
      <c r="K146" s="334"/>
      <c r="L146" s="331"/>
      <c r="M146" s="334"/>
      <c r="N146" s="334"/>
      <c r="O146" s="331"/>
      <c r="P146" s="334"/>
      <c r="Q146" s="334"/>
      <c r="R146" s="331"/>
      <c r="S146" s="334"/>
      <c r="T146" s="334"/>
      <c r="U146" s="331"/>
      <c r="V146" s="334"/>
      <c r="W146" s="334"/>
      <c r="X146" s="331"/>
      <c r="Y146" s="334"/>
      <c r="Z146" s="334"/>
      <c r="AA146" s="331"/>
      <c r="AB146" s="334"/>
      <c r="AC146" s="334"/>
      <c r="AD146" s="331"/>
      <c r="AE146" s="334"/>
      <c r="AF146" s="334"/>
      <c r="AG146" s="331"/>
      <c r="AH146" s="334"/>
      <c r="AI146" s="334"/>
      <c r="AJ146" s="331"/>
      <c r="AK146" s="334"/>
      <c r="AL146" s="334"/>
      <c r="AM146" s="331"/>
      <c r="AN146" s="334"/>
      <c r="AO146" s="334"/>
      <c r="AP146" s="331"/>
      <c r="AQ146" s="334"/>
      <c r="AR146" s="334"/>
      <c r="AS146" s="331"/>
      <c r="AT146" s="334"/>
      <c r="AU146" s="334"/>
      <c r="AV146" s="331"/>
      <c r="AW146" s="334"/>
      <c r="AX146" s="334"/>
      <c r="AY146" s="331"/>
      <c r="AZ146" s="334"/>
      <c r="BA146" s="334"/>
      <c r="BB146" s="331"/>
      <c r="BC146" s="334"/>
      <c r="BD146" s="334"/>
      <c r="BE146" s="331"/>
      <c r="BF146" s="334"/>
      <c r="BG146" s="334"/>
      <c r="BH146" s="331"/>
      <c r="BI146" s="334"/>
      <c r="BJ146" s="334"/>
      <c r="BK146" s="331"/>
      <c r="BL146" s="334"/>
      <c r="BM146" s="334"/>
      <c r="BN146" s="331"/>
      <c r="BO146" s="334"/>
      <c r="BP146" s="334"/>
      <c r="BQ146" s="331"/>
      <c r="BR146" s="332"/>
    </row>
    <row r="147" spans="1:70">
      <c r="A147" s="142" t="s">
        <v>4496</v>
      </c>
      <c r="B147" s="268">
        <v>13400</v>
      </c>
      <c r="C147" s="268">
        <v>0</v>
      </c>
      <c r="D147" s="333"/>
      <c r="E147" s="333"/>
      <c r="F147" s="331"/>
      <c r="G147" s="334"/>
      <c r="H147" s="334"/>
      <c r="I147" s="331"/>
      <c r="J147" s="334"/>
      <c r="K147" s="334"/>
      <c r="L147" s="331"/>
      <c r="M147" s="334"/>
      <c r="N147" s="334"/>
      <c r="O147" s="331"/>
      <c r="P147" s="334"/>
      <c r="Q147" s="334"/>
      <c r="R147" s="331"/>
      <c r="S147" s="334"/>
      <c r="T147" s="334"/>
      <c r="U147" s="331"/>
      <c r="V147" s="334"/>
      <c r="W147" s="334"/>
      <c r="X147" s="331"/>
      <c r="Y147" s="334"/>
      <c r="Z147" s="334"/>
      <c r="AA147" s="331"/>
      <c r="AB147" s="334"/>
      <c r="AC147" s="334"/>
      <c r="AD147" s="331"/>
      <c r="AE147" s="334"/>
      <c r="AF147" s="334"/>
      <c r="AG147" s="331"/>
      <c r="AH147" s="334"/>
      <c r="AI147" s="334"/>
      <c r="AJ147" s="331"/>
      <c r="AK147" s="334"/>
      <c r="AL147" s="334"/>
      <c r="AM147" s="331"/>
      <c r="AN147" s="334"/>
      <c r="AO147" s="334"/>
      <c r="AP147" s="331"/>
      <c r="AQ147" s="334"/>
      <c r="AR147" s="334"/>
      <c r="AS147" s="331"/>
      <c r="AT147" s="334"/>
      <c r="AU147" s="334"/>
      <c r="AV147" s="331"/>
      <c r="AW147" s="334"/>
      <c r="AX147" s="334"/>
      <c r="AY147" s="331"/>
      <c r="AZ147" s="334"/>
      <c r="BA147" s="334"/>
      <c r="BB147" s="331"/>
      <c r="BC147" s="334"/>
      <c r="BD147" s="334"/>
      <c r="BE147" s="331"/>
      <c r="BF147" s="334"/>
      <c r="BG147" s="334"/>
      <c r="BH147" s="331"/>
      <c r="BI147" s="334"/>
      <c r="BJ147" s="334"/>
      <c r="BK147" s="331"/>
      <c r="BL147" s="334"/>
      <c r="BM147" s="334"/>
      <c r="BN147" s="331"/>
      <c r="BO147" s="334"/>
      <c r="BP147" s="334"/>
      <c r="BQ147" s="331"/>
      <c r="BR147" s="332"/>
    </row>
    <row r="148" spans="1:70">
      <c r="A148" s="142" t="s">
        <v>4487</v>
      </c>
      <c r="B148" s="268">
        <v>13600</v>
      </c>
      <c r="C148" s="268">
        <v>0</v>
      </c>
      <c r="D148" s="333"/>
      <c r="E148" s="333"/>
      <c r="F148" s="331"/>
      <c r="G148" s="334"/>
      <c r="H148" s="334"/>
      <c r="I148" s="331"/>
      <c r="J148" s="334"/>
      <c r="K148" s="334"/>
      <c r="L148" s="331"/>
      <c r="M148" s="334"/>
      <c r="N148" s="334"/>
      <c r="O148" s="331"/>
      <c r="P148" s="334"/>
      <c r="Q148" s="334"/>
      <c r="R148" s="331"/>
      <c r="S148" s="334"/>
      <c r="T148" s="334"/>
      <c r="U148" s="331"/>
      <c r="V148" s="334"/>
      <c r="W148" s="334"/>
      <c r="X148" s="331"/>
      <c r="Y148" s="334"/>
      <c r="Z148" s="334"/>
      <c r="AA148" s="331"/>
      <c r="AB148" s="334"/>
      <c r="AC148" s="334"/>
      <c r="AD148" s="331"/>
      <c r="AE148" s="334"/>
      <c r="AF148" s="334"/>
      <c r="AG148" s="331"/>
      <c r="AH148" s="334"/>
      <c r="AI148" s="334"/>
      <c r="AJ148" s="331"/>
      <c r="AK148" s="334"/>
      <c r="AL148" s="334"/>
      <c r="AM148" s="331"/>
      <c r="AN148" s="334"/>
      <c r="AO148" s="334"/>
      <c r="AP148" s="331"/>
      <c r="AQ148" s="334"/>
      <c r="AR148" s="334"/>
      <c r="AS148" s="331"/>
      <c r="AT148" s="334"/>
      <c r="AU148" s="334"/>
      <c r="AV148" s="331"/>
      <c r="AW148" s="334"/>
      <c r="AX148" s="334"/>
      <c r="AY148" s="331"/>
      <c r="AZ148" s="334"/>
      <c r="BA148" s="334"/>
      <c r="BB148" s="331"/>
      <c r="BC148" s="334"/>
      <c r="BD148" s="334"/>
      <c r="BE148" s="331"/>
      <c r="BF148" s="334"/>
      <c r="BG148" s="334"/>
      <c r="BH148" s="331"/>
      <c r="BI148" s="334"/>
      <c r="BJ148" s="334"/>
      <c r="BK148" s="331"/>
      <c r="BL148" s="334"/>
      <c r="BM148" s="334"/>
      <c r="BN148" s="331"/>
      <c r="BO148" s="334"/>
      <c r="BP148" s="334"/>
      <c r="BQ148" s="331"/>
      <c r="BR148" s="332"/>
    </row>
    <row r="149" spans="1:70">
      <c r="A149" s="142" t="s">
        <v>3520</v>
      </c>
      <c r="B149" s="268">
        <v>6000</v>
      </c>
      <c r="C149" s="268">
        <v>0</v>
      </c>
      <c r="D149" s="333"/>
      <c r="E149" s="333"/>
      <c r="F149" s="331"/>
      <c r="G149" s="334"/>
      <c r="H149" s="334"/>
      <c r="I149" s="331"/>
      <c r="J149" s="334"/>
      <c r="K149" s="334"/>
      <c r="L149" s="331"/>
      <c r="M149" s="334"/>
      <c r="N149" s="334"/>
      <c r="O149" s="331"/>
      <c r="P149" s="334"/>
      <c r="Q149" s="334"/>
      <c r="R149" s="331"/>
      <c r="S149" s="334"/>
      <c r="T149" s="334"/>
      <c r="U149" s="331"/>
      <c r="V149" s="334"/>
      <c r="W149" s="334"/>
      <c r="X149" s="331"/>
      <c r="Y149" s="334"/>
      <c r="Z149" s="334"/>
      <c r="AA149" s="331"/>
      <c r="AB149" s="334"/>
      <c r="AC149" s="334"/>
      <c r="AD149" s="331"/>
      <c r="AE149" s="334"/>
      <c r="AF149" s="334"/>
      <c r="AG149" s="331"/>
      <c r="AH149" s="334"/>
      <c r="AI149" s="334"/>
      <c r="AJ149" s="331"/>
      <c r="AK149" s="334"/>
      <c r="AL149" s="334"/>
      <c r="AM149" s="331"/>
      <c r="AN149" s="334"/>
      <c r="AO149" s="334"/>
      <c r="AP149" s="331"/>
      <c r="AQ149" s="334"/>
      <c r="AR149" s="334"/>
      <c r="AS149" s="331"/>
      <c r="AT149" s="334"/>
      <c r="AU149" s="334"/>
      <c r="AV149" s="331"/>
      <c r="AW149" s="334"/>
      <c r="AX149" s="334"/>
      <c r="AY149" s="331"/>
      <c r="AZ149" s="334"/>
      <c r="BA149" s="334"/>
      <c r="BB149" s="331"/>
      <c r="BC149" s="334"/>
      <c r="BD149" s="334"/>
      <c r="BE149" s="331"/>
      <c r="BF149" s="334"/>
      <c r="BG149" s="334"/>
      <c r="BH149" s="331"/>
      <c r="BI149" s="334"/>
      <c r="BJ149" s="334"/>
      <c r="BK149" s="331"/>
      <c r="BL149" s="334"/>
      <c r="BM149" s="334"/>
      <c r="BN149" s="331"/>
      <c r="BO149" s="334"/>
      <c r="BP149" s="334"/>
      <c r="BQ149" s="331"/>
      <c r="BR149" s="332"/>
    </row>
    <row r="150" spans="1:70">
      <c r="A150" s="142" t="s">
        <v>3835</v>
      </c>
      <c r="B150" s="268">
        <v>63000</v>
      </c>
      <c r="C150" s="268">
        <v>0</v>
      </c>
      <c r="D150" s="333"/>
      <c r="E150" s="333"/>
      <c r="F150" s="331"/>
      <c r="G150" s="334"/>
      <c r="H150" s="334"/>
      <c r="I150" s="331"/>
      <c r="J150" s="334"/>
      <c r="K150" s="334"/>
      <c r="L150" s="331"/>
      <c r="M150" s="334"/>
      <c r="N150" s="334"/>
      <c r="O150" s="331"/>
      <c r="P150" s="334"/>
      <c r="Q150" s="334"/>
      <c r="R150" s="331"/>
      <c r="S150" s="334"/>
      <c r="T150" s="334"/>
      <c r="U150" s="331"/>
      <c r="V150" s="334"/>
      <c r="W150" s="334"/>
      <c r="X150" s="331"/>
      <c r="Y150" s="334"/>
      <c r="Z150" s="334"/>
      <c r="AA150" s="331"/>
      <c r="AB150" s="334"/>
      <c r="AC150" s="334"/>
      <c r="AD150" s="331"/>
      <c r="AE150" s="334"/>
      <c r="AF150" s="334"/>
      <c r="AG150" s="331"/>
      <c r="AH150" s="334"/>
      <c r="AI150" s="334"/>
      <c r="AJ150" s="331"/>
      <c r="AK150" s="334"/>
      <c r="AL150" s="334"/>
      <c r="AM150" s="331"/>
      <c r="AN150" s="334"/>
      <c r="AO150" s="334"/>
      <c r="AP150" s="331"/>
      <c r="AQ150" s="334"/>
      <c r="AR150" s="334"/>
      <c r="AS150" s="331"/>
      <c r="AT150" s="334"/>
      <c r="AU150" s="334"/>
      <c r="AV150" s="331"/>
      <c r="AW150" s="334"/>
      <c r="AX150" s="334"/>
      <c r="AY150" s="331"/>
      <c r="AZ150" s="334"/>
      <c r="BA150" s="334"/>
      <c r="BB150" s="331"/>
      <c r="BC150" s="334"/>
      <c r="BD150" s="334"/>
      <c r="BE150" s="331"/>
      <c r="BF150" s="334"/>
      <c r="BG150" s="334"/>
      <c r="BH150" s="331"/>
      <c r="BI150" s="334"/>
      <c r="BJ150" s="334"/>
      <c r="BK150" s="331"/>
      <c r="BL150" s="334"/>
      <c r="BM150" s="334"/>
      <c r="BN150" s="331"/>
      <c r="BO150" s="334"/>
      <c r="BP150" s="334"/>
      <c r="BQ150" s="331"/>
      <c r="BR150" s="332"/>
    </row>
    <row r="151" spans="1:70">
      <c r="A151" s="142" t="s">
        <v>3912</v>
      </c>
      <c r="B151" s="268">
        <v>58200</v>
      </c>
      <c r="C151" s="268">
        <v>0</v>
      </c>
      <c r="D151" s="333"/>
      <c r="E151" s="333"/>
      <c r="F151" s="331"/>
      <c r="G151" s="334"/>
      <c r="H151" s="334"/>
      <c r="I151" s="331"/>
      <c r="J151" s="334"/>
      <c r="K151" s="334"/>
      <c r="L151" s="331"/>
      <c r="M151" s="334"/>
      <c r="N151" s="334"/>
      <c r="O151" s="331"/>
      <c r="P151" s="334"/>
      <c r="Q151" s="334"/>
      <c r="R151" s="331"/>
      <c r="S151" s="334"/>
      <c r="T151" s="334"/>
      <c r="U151" s="331"/>
      <c r="V151" s="334"/>
      <c r="W151" s="334"/>
      <c r="X151" s="331"/>
      <c r="Y151" s="334"/>
      <c r="Z151" s="334"/>
      <c r="AA151" s="331"/>
      <c r="AB151" s="334"/>
      <c r="AC151" s="334"/>
      <c r="AD151" s="331"/>
      <c r="AE151" s="334"/>
      <c r="AF151" s="334"/>
      <c r="AG151" s="331"/>
      <c r="AH151" s="334"/>
      <c r="AI151" s="334"/>
      <c r="AJ151" s="331"/>
      <c r="AK151" s="334"/>
      <c r="AL151" s="334"/>
      <c r="AM151" s="331"/>
      <c r="AN151" s="334"/>
      <c r="AO151" s="334"/>
      <c r="AP151" s="331"/>
      <c r="AQ151" s="334"/>
      <c r="AR151" s="334"/>
      <c r="AS151" s="331"/>
      <c r="AT151" s="334"/>
      <c r="AU151" s="334"/>
      <c r="AV151" s="331"/>
      <c r="AW151" s="334"/>
      <c r="AX151" s="334"/>
      <c r="AY151" s="331"/>
      <c r="AZ151" s="334"/>
      <c r="BA151" s="334"/>
      <c r="BB151" s="331"/>
      <c r="BC151" s="334"/>
      <c r="BD151" s="334"/>
      <c r="BE151" s="331"/>
      <c r="BF151" s="334"/>
      <c r="BG151" s="334"/>
      <c r="BH151" s="331"/>
      <c r="BI151" s="334"/>
      <c r="BJ151" s="334"/>
      <c r="BK151" s="331"/>
      <c r="BL151" s="334"/>
      <c r="BM151" s="334"/>
      <c r="BN151" s="331"/>
      <c r="BO151" s="334"/>
      <c r="BP151" s="334"/>
      <c r="BQ151" s="331"/>
      <c r="BR151" s="332"/>
    </row>
    <row r="152" spans="1:70">
      <c r="A152" s="142" t="s">
        <v>3813</v>
      </c>
      <c r="B152" s="268">
        <v>61600</v>
      </c>
      <c r="C152" s="268">
        <v>0</v>
      </c>
      <c r="D152" s="333"/>
      <c r="E152" s="333"/>
      <c r="F152" s="331"/>
      <c r="G152" s="334"/>
      <c r="H152" s="334"/>
      <c r="I152" s="331"/>
      <c r="J152" s="334"/>
      <c r="K152" s="334"/>
      <c r="L152" s="331"/>
      <c r="M152" s="334"/>
      <c r="N152" s="334"/>
      <c r="O152" s="331"/>
      <c r="P152" s="334"/>
      <c r="Q152" s="334"/>
      <c r="R152" s="331"/>
      <c r="S152" s="334"/>
      <c r="T152" s="334"/>
      <c r="U152" s="331"/>
      <c r="V152" s="334"/>
      <c r="W152" s="334"/>
      <c r="X152" s="331"/>
      <c r="Y152" s="334"/>
      <c r="Z152" s="334"/>
      <c r="AA152" s="331"/>
      <c r="AB152" s="334"/>
      <c r="AC152" s="334"/>
      <c r="AD152" s="331"/>
      <c r="AE152" s="334"/>
      <c r="AF152" s="334"/>
      <c r="AG152" s="331"/>
      <c r="AH152" s="334"/>
      <c r="AI152" s="334"/>
      <c r="AJ152" s="331"/>
      <c r="AK152" s="334"/>
      <c r="AL152" s="334"/>
      <c r="AM152" s="331"/>
      <c r="AN152" s="334"/>
      <c r="AO152" s="334"/>
      <c r="AP152" s="331"/>
      <c r="AQ152" s="334"/>
      <c r="AR152" s="334"/>
      <c r="AS152" s="331"/>
      <c r="AT152" s="334"/>
      <c r="AU152" s="334"/>
      <c r="AV152" s="331"/>
      <c r="AW152" s="334"/>
      <c r="AX152" s="334"/>
      <c r="AY152" s="331"/>
      <c r="AZ152" s="334"/>
      <c r="BA152" s="334"/>
      <c r="BB152" s="331"/>
      <c r="BC152" s="334"/>
      <c r="BD152" s="334"/>
      <c r="BE152" s="331"/>
      <c r="BF152" s="334"/>
      <c r="BG152" s="334"/>
      <c r="BH152" s="331"/>
      <c r="BI152" s="334"/>
      <c r="BJ152" s="334"/>
      <c r="BK152" s="331"/>
      <c r="BL152" s="334"/>
      <c r="BM152" s="334"/>
      <c r="BN152" s="331"/>
      <c r="BO152" s="334"/>
      <c r="BP152" s="334"/>
      <c r="BQ152" s="331"/>
      <c r="BR152" s="332"/>
    </row>
    <row r="153" spans="1:70">
      <c r="A153" s="142" t="s">
        <v>3978</v>
      </c>
      <c r="B153" s="268">
        <v>26200</v>
      </c>
      <c r="C153" s="268">
        <v>0</v>
      </c>
      <c r="D153" s="333"/>
      <c r="E153" s="333"/>
      <c r="F153" s="331"/>
      <c r="G153" s="334"/>
      <c r="H153" s="334"/>
      <c r="I153" s="331"/>
      <c r="J153" s="334"/>
      <c r="K153" s="334"/>
      <c r="L153" s="331"/>
      <c r="M153" s="334"/>
      <c r="N153" s="334"/>
      <c r="O153" s="331"/>
      <c r="P153" s="334"/>
      <c r="Q153" s="334"/>
      <c r="R153" s="331"/>
      <c r="S153" s="334"/>
      <c r="T153" s="334"/>
      <c r="U153" s="331"/>
      <c r="V153" s="334"/>
      <c r="W153" s="334"/>
      <c r="X153" s="331"/>
      <c r="Y153" s="334"/>
      <c r="Z153" s="334"/>
      <c r="AA153" s="331"/>
      <c r="AB153" s="334"/>
      <c r="AC153" s="334"/>
      <c r="AD153" s="331"/>
      <c r="AE153" s="334"/>
      <c r="AF153" s="334"/>
      <c r="AG153" s="331"/>
      <c r="AH153" s="334"/>
      <c r="AI153" s="334"/>
      <c r="AJ153" s="331"/>
      <c r="AK153" s="334"/>
      <c r="AL153" s="334"/>
      <c r="AM153" s="331"/>
      <c r="AN153" s="334"/>
      <c r="AO153" s="334"/>
      <c r="AP153" s="331"/>
      <c r="AQ153" s="334"/>
      <c r="AR153" s="334"/>
      <c r="AS153" s="331"/>
      <c r="AT153" s="334"/>
      <c r="AU153" s="334"/>
      <c r="AV153" s="331"/>
      <c r="AW153" s="334"/>
      <c r="AX153" s="334"/>
      <c r="AY153" s="331"/>
      <c r="AZ153" s="334"/>
      <c r="BA153" s="334"/>
      <c r="BB153" s="331"/>
      <c r="BC153" s="334"/>
      <c r="BD153" s="334"/>
      <c r="BE153" s="331"/>
      <c r="BF153" s="334"/>
      <c r="BG153" s="334"/>
      <c r="BH153" s="331"/>
      <c r="BI153" s="334"/>
      <c r="BJ153" s="334"/>
      <c r="BK153" s="331"/>
      <c r="BL153" s="334"/>
      <c r="BM153" s="334"/>
      <c r="BN153" s="331"/>
      <c r="BO153" s="334"/>
      <c r="BP153" s="334"/>
      <c r="BQ153" s="331"/>
      <c r="BR153" s="332"/>
    </row>
    <row r="154" spans="1:70">
      <c r="A154" s="142" t="s">
        <v>4138</v>
      </c>
      <c r="B154" s="268">
        <v>12900</v>
      </c>
      <c r="C154" s="268">
        <v>0</v>
      </c>
      <c r="D154" s="333"/>
      <c r="E154" s="333"/>
      <c r="F154" s="331"/>
      <c r="G154" s="334"/>
      <c r="H154" s="334"/>
      <c r="I154" s="331"/>
      <c r="J154" s="334"/>
      <c r="K154" s="334"/>
      <c r="L154" s="331"/>
      <c r="M154" s="334"/>
      <c r="N154" s="334"/>
      <c r="O154" s="331"/>
      <c r="P154" s="334"/>
      <c r="Q154" s="334"/>
      <c r="R154" s="331"/>
      <c r="S154" s="334"/>
      <c r="T154" s="334"/>
      <c r="U154" s="331"/>
      <c r="V154" s="334"/>
      <c r="W154" s="334"/>
      <c r="X154" s="331"/>
      <c r="Y154" s="334"/>
      <c r="Z154" s="334"/>
      <c r="AA154" s="331"/>
      <c r="AB154" s="334"/>
      <c r="AC154" s="334"/>
      <c r="AD154" s="331"/>
      <c r="AE154" s="334"/>
      <c r="AF154" s="334"/>
      <c r="AG154" s="331"/>
      <c r="AH154" s="334"/>
      <c r="AI154" s="334"/>
      <c r="AJ154" s="331"/>
      <c r="AK154" s="334"/>
      <c r="AL154" s="334"/>
      <c r="AM154" s="331"/>
      <c r="AN154" s="334"/>
      <c r="AO154" s="334"/>
      <c r="AP154" s="331"/>
      <c r="AQ154" s="334"/>
      <c r="AR154" s="334"/>
      <c r="AS154" s="331"/>
      <c r="AT154" s="334"/>
      <c r="AU154" s="334"/>
      <c r="AV154" s="331"/>
      <c r="AW154" s="334"/>
      <c r="AX154" s="334"/>
      <c r="AY154" s="331"/>
      <c r="AZ154" s="334"/>
      <c r="BA154" s="334"/>
      <c r="BB154" s="331"/>
      <c r="BC154" s="334"/>
      <c r="BD154" s="334"/>
      <c r="BE154" s="331"/>
      <c r="BF154" s="334"/>
      <c r="BG154" s="334"/>
      <c r="BH154" s="331"/>
      <c r="BI154" s="334"/>
      <c r="BJ154" s="334"/>
      <c r="BK154" s="331"/>
      <c r="BL154" s="334"/>
      <c r="BM154" s="334"/>
      <c r="BN154" s="331"/>
      <c r="BO154" s="334"/>
      <c r="BP154" s="334"/>
      <c r="BQ154" s="331"/>
      <c r="BR154" s="332"/>
    </row>
    <row r="155" spans="1:70">
      <c r="A155" s="142" t="s">
        <v>4131</v>
      </c>
      <c r="B155" s="268">
        <v>12700</v>
      </c>
      <c r="C155" s="268">
        <v>0</v>
      </c>
      <c r="D155" s="333"/>
      <c r="E155" s="333"/>
      <c r="F155" s="331"/>
      <c r="G155" s="334"/>
      <c r="H155" s="334"/>
      <c r="I155" s="331"/>
      <c r="J155" s="334"/>
      <c r="K155" s="334"/>
      <c r="L155" s="331"/>
      <c r="M155" s="334"/>
      <c r="N155" s="334"/>
      <c r="O155" s="331"/>
      <c r="P155" s="334"/>
      <c r="Q155" s="334"/>
      <c r="R155" s="331"/>
      <c r="S155" s="334"/>
      <c r="T155" s="334"/>
      <c r="U155" s="331"/>
      <c r="V155" s="334"/>
      <c r="W155" s="334"/>
      <c r="X155" s="331"/>
      <c r="Y155" s="334"/>
      <c r="Z155" s="334"/>
      <c r="AA155" s="331"/>
      <c r="AB155" s="334"/>
      <c r="AC155" s="334"/>
      <c r="AD155" s="331"/>
      <c r="AE155" s="334"/>
      <c r="AF155" s="334"/>
      <c r="AG155" s="331"/>
      <c r="AH155" s="334"/>
      <c r="AI155" s="334"/>
      <c r="AJ155" s="331"/>
      <c r="AK155" s="334"/>
      <c r="AL155" s="334"/>
      <c r="AM155" s="331"/>
      <c r="AN155" s="334"/>
      <c r="AO155" s="334"/>
      <c r="AP155" s="331"/>
      <c r="AQ155" s="334"/>
      <c r="AR155" s="334"/>
      <c r="AS155" s="331"/>
      <c r="AT155" s="334"/>
      <c r="AU155" s="334"/>
      <c r="AV155" s="331"/>
      <c r="AW155" s="334"/>
      <c r="AX155" s="334"/>
      <c r="AY155" s="331"/>
      <c r="AZ155" s="334"/>
      <c r="BA155" s="334"/>
      <c r="BB155" s="331"/>
      <c r="BC155" s="334"/>
      <c r="BD155" s="334"/>
      <c r="BE155" s="331"/>
      <c r="BF155" s="334"/>
      <c r="BG155" s="334"/>
      <c r="BH155" s="331"/>
      <c r="BI155" s="334"/>
      <c r="BJ155" s="334"/>
      <c r="BK155" s="331"/>
      <c r="BL155" s="334"/>
      <c r="BM155" s="334"/>
      <c r="BN155" s="331"/>
      <c r="BO155" s="334"/>
      <c r="BP155" s="334"/>
      <c r="BQ155" s="331"/>
      <c r="BR155" s="332"/>
    </row>
    <row r="156" spans="1:70">
      <c r="A156" s="142" t="s">
        <v>4066</v>
      </c>
      <c r="B156" s="268">
        <v>25100</v>
      </c>
      <c r="C156" s="268">
        <v>0</v>
      </c>
      <c r="D156" s="333"/>
      <c r="E156" s="333"/>
      <c r="F156" s="331"/>
      <c r="G156" s="334"/>
      <c r="H156" s="334"/>
      <c r="I156" s="331"/>
      <c r="J156" s="334"/>
      <c r="K156" s="334"/>
      <c r="L156" s="331"/>
      <c r="M156" s="334"/>
      <c r="N156" s="334"/>
      <c r="O156" s="331"/>
      <c r="P156" s="334"/>
      <c r="Q156" s="334"/>
      <c r="R156" s="331"/>
      <c r="S156" s="334"/>
      <c r="T156" s="334"/>
      <c r="U156" s="331"/>
      <c r="V156" s="334"/>
      <c r="W156" s="334"/>
      <c r="X156" s="331"/>
      <c r="Y156" s="334"/>
      <c r="Z156" s="334"/>
      <c r="AA156" s="331"/>
      <c r="AB156" s="334"/>
      <c r="AC156" s="334"/>
      <c r="AD156" s="331"/>
      <c r="AE156" s="334"/>
      <c r="AF156" s="334"/>
      <c r="AG156" s="331"/>
      <c r="AH156" s="334"/>
      <c r="AI156" s="334"/>
      <c r="AJ156" s="331"/>
      <c r="AK156" s="334"/>
      <c r="AL156" s="334"/>
      <c r="AM156" s="331"/>
      <c r="AN156" s="334"/>
      <c r="AO156" s="334"/>
      <c r="AP156" s="331"/>
      <c r="AQ156" s="334"/>
      <c r="AR156" s="334"/>
      <c r="AS156" s="331"/>
      <c r="AT156" s="334"/>
      <c r="AU156" s="334"/>
      <c r="AV156" s="331"/>
      <c r="AW156" s="334"/>
      <c r="AX156" s="334"/>
      <c r="AY156" s="331"/>
      <c r="AZ156" s="334"/>
      <c r="BA156" s="334"/>
      <c r="BB156" s="331"/>
      <c r="BC156" s="334"/>
      <c r="BD156" s="334"/>
      <c r="BE156" s="331"/>
      <c r="BF156" s="334"/>
      <c r="BG156" s="334"/>
      <c r="BH156" s="331"/>
      <c r="BI156" s="334"/>
      <c r="BJ156" s="334"/>
      <c r="BK156" s="331"/>
      <c r="BL156" s="334"/>
      <c r="BM156" s="334"/>
      <c r="BN156" s="331"/>
      <c r="BO156" s="334"/>
      <c r="BP156" s="334"/>
      <c r="BQ156" s="331"/>
      <c r="BR156" s="332"/>
    </row>
    <row r="157" spans="1:70">
      <c r="A157" s="142" t="s">
        <v>4063</v>
      </c>
      <c r="B157" s="268">
        <v>31600</v>
      </c>
      <c r="C157" s="268">
        <v>0</v>
      </c>
      <c r="D157" s="333"/>
      <c r="E157" s="333"/>
      <c r="F157" s="331"/>
      <c r="G157" s="334"/>
      <c r="H157" s="334"/>
      <c r="I157" s="331"/>
      <c r="J157" s="334"/>
      <c r="K157" s="334"/>
      <c r="L157" s="331"/>
      <c r="M157" s="334"/>
      <c r="N157" s="334"/>
      <c r="O157" s="331"/>
      <c r="P157" s="334"/>
      <c r="Q157" s="334"/>
      <c r="R157" s="331"/>
      <c r="S157" s="334"/>
      <c r="T157" s="334"/>
      <c r="U157" s="331"/>
      <c r="V157" s="334"/>
      <c r="W157" s="334"/>
      <c r="X157" s="331"/>
      <c r="Y157" s="334"/>
      <c r="Z157" s="334"/>
      <c r="AA157" s="331"/>
      <c r="AB157" s="334"/>
      <c r="AC157" s="334"/>
      <c r="AD157" s="331"/>
      <c r="AE157" s="334"/>
      <c r="AF157" s="334"/>
      <c r="AG157" s="331"/>
      <c r="AH157" s="334"/>
      <c r="AI157" s="334"/>
      <c r="AJ157" s="331"/>
      <c r="AK157" s="334"/>
      <c r="AL157" s="334"/>
      <c r="AM157" s="331"/>
      <c r="AN157" s="334"/>
      <c r="AO157" s="334"/>
      <c r="AP157" s="331"/>
      <c r="AQ157" s="334"/>
      <c r="AR157" s="334"/>
      <c r="AS157" s="331"/>
      <c r="AT157" s="334"/>
      <c r="AU157" s="334"/>
      <c r="AV157" s="331"/>
      <c r="AW157" s="334"/>
      <c r="AX157" s="334"/>
      <c r="AY157" s="331"/>
      <c r="AZ157" s="334"/>
      <c r="BA157" s="334"/>
      <c r="BB157" s="331"/>
      <c r="BC157" s="334"/>
      <c r="BD157" s="334"/>
      <c r="BE157" s="331"/>
      <c r="BF157" s="334"/>
      <c r="BG157" s="334"/>
      <c r="BH157" s="331"/>
      <c r="BI157" s="334"/>
      <c r="BJ157" s="334"/>
      <c r="BK157" s="331"/>
      <c r="BL157" s="334"/>
      <c r="BM157" s="334"/>
      <c r="BN157" s="331"/>
      <c r="BO157" s="334"/>
      <c r="BP157" s="334"/>
      <c r="BQ157" s="331"/>
      <c r="BR157" s="332"/>
    </row>
    <row r="158" spans="1:70">
      <c r="A158" s="142" t="s">
        <v>4099</v>
      </c>
      <c r="B158" s="268">
        <v>31400</v>
      </c>
      <c r="C158" s="268">
        <v>0</v>
      </c>
      <c r="D158" s="333"/>
      <c r="E158" s="333"/>
      <c r="F158" s="331"/>
      <c r="G158" s="334"/>
      <c r="H158" s="334"/>
      <c r="I158" s="331"/>
      <c r="J158" s="334"/>
      <c r="K158" s="334"/>
      <c r="L158" s="331"/>
      <c r="M158" s="334"/>
      <c r="N158" s="334"/>
      <c r="O158" s="331"/>
      <c r="P158" s="334"/>
      <c r="Q158" s="334"/>
      <c r="R158" s="331"/>
      <c r="S158" s="334"/>
      <c r="T158" s="334"/>
      <c r="U158" s="331"/>
      <c r="V158" s="334"/>
      <c r="W158" s="334"/>
      <c r="X158" s="331"/>
      <c r="Y158" s="334"/>
      <c r="Z158" s="334"/>
      <c r="AA158" s="331"/>
      <c r="AB158" s="334"/>
      <c r="AC158" s="334"/>
      <c r="AD158" s="331"/>
      <c r="AE158" s="334"/>
      <c r="AF158" s="334"/>
      <c r="AG158" s="331"/>
      <c r="AH158" s="334"/>
      <c r="AI158" s="334"/>
      <c r="AJ158" s="331"/>
      <c r="AK158" s="334"/>
      <c r="AL158" s="334"/>
      <c r="AM158" s="331"/>
      <c r="AN158" s="334"/>
      <c r="AO158" s="334"/>
      <c r="AP158" s="331"/>
      <c r="AQ158" s="334"/>
      <c r="AR158" s="334"/>
      <c r="AS158" s="331"/>
      <c r="AT158" s="334"/>
      <c r="AU158" s="334"/>
      <c r="AV158" s="331"/>
      <c r="AW158" s="334"/>
      <c r="AX158" s="334"/>
      <c r="AY158" s="331"/>
      <c r="AZ158" s="334"/>
      <c r="BA158" s="334"/>
      <c r="BB158" s="331"/>
      <c r="BC158" s="334"/>
      <c r="BD158" s="334"/>
      <c r="BE158" s="331"/>
      <c r="BF158" s="334"/>
      <c r="BG158" s="334"/>
      <c r="BH158" s="331"/>
      <c r="BI158" s="334"/>
      <c r="BJ158" s="334"/>
      <c r="BK158" s="331"/>
      <c r="BL158" s="334"/>
      <c r="BM158" s="334"/>
      <c r="BN158" s="331"/>
      <c r="BO158" s="334"/>
      <c r="BP158" s="334"/>
      <c r="BQ158" s="331"/>
      <c r="BR158" s="332"/>
    </row>
    <row r="159" spans="1:70">
      <c r="A159" s="142" t="s">
        <v>4029</v>
      </c>
      <c r="B159" s="268">
        <v>24000</v>
      </c>
      <c r="C159" s="268">
        <v>0</v>
      </c>
      <c r="D159" s="333"/>
      <c r="E159" s="333"/>
      <c r="F159" s="331"/>
      <c r="G159" s="334"/>
      <c r="H159" s="334"/>
      <c r="I159" s="331"/>
      <c r="J159" s="334"/>
      <c r="K159" s="334"/>
      <c r="L159" s="331"/>
      <c r="M159" s="334"/>
      <c r="N159" s="334"/>
      <c r="O159" s="331"/>
      <c r="P159" s="334"/>
      <c r="Q159" s="334"/>
      <c r="R159" s="331"/>
      <c r="S159" s="334"/>
      <c r="T159" s="334"/>
      <c r="U159" s="331"/>
      <c r="V159" s="334"/>
      <c r="W159" s="334"/>
      <c r="X159" s="331"/>
      <c r="Y159" s="334"/>
      <c r="Z159" s="334"/>
      <c r="AA159" s="331"/>
      <c r="AB159" s="334"/>
      <c r="AC159" s="334"/>
      <c r="AD159" s="331"/>
      <c r="AE159" s="334"/>
      <c r="AF159" s="334"/>
      <c r="AG159" s="331"/>
      <c r="AH159" s="334"/>
      <c r="AI159" s="334"/>
      <c r="AJ159" s="331"/>
      <c r="AK159" s="334"/>
      <c r="AL159" s="334"/>
      <c r="AM159" s="331"/>
      <c r="AN159" s="334"/>
      <c r="AO159" s="334"/>
      <c r="AP159" s="331"/>
      <c r="AQ159" s="334"/>
      <c r="AR159" s="334"/>
      <c r="AS159" s="331"/>
      <c r="AT159" s="334"/>
      <c r="AU159" s="334"/>
      <c r="AV159" s="331"/>
      <c r="AW159" s="334"/>
      <c r="AX159" s="334"/>
      <c r="AY159" s="331"/>
      <c r="AZ159" s="334"/>
      <c r="BA159" s="334"/>
      <c r="BB159" s="331"/>
      <c r="BC159" s="334"/>
      <c r="BD159" s="334"/>
      <c r="BE159" s="331"/>
      <c r="BF159" s="334"/>
      <c r="BG159" s="334"/>
      <c r="BH159" s="331"/>
      <c r="BI159" s="334"/>
      <c r="BJ159" s="334"/>
      <c r="BK159" s="331"/>
      <c r="BL159" s="334"/>
      <c r="BM159" s="334"/>
      <c r="BN159" s="331"/>
      <c r="BO159" s="334"/>
      <c r="BP159" s="334"/>
      <c r="BQ159" s="331"/>
      <c r="BR159" s="332"/>
    </row>
    <row r="160" spans="1:70">
      <c r="A160" s="142" t="s">
        <v>4074</v>
      </c>
      <c r="B160" s="268">
        <v>31500</v>
      </c>
      <c r="C160" s="268">
        <v>0</v>
      </c>
      <c r="D160" s="333"/>
      <c r="E160" s="333"/>
      <c r="F160" s="331"/>
      <c r="G160" s="334"/>
      <c r="H160" s="334"/>
      <c r="I160" s="331"/>
      <c r="J160" s="334"/>
      <c r="K160" s="334"/>
      <c r="L160" s="331"/>
      <c r="M160" s="334"/>
      <c r="N160" s="334"/>
      <c r="O160" s="331"/>
      <c r="P160" s="334"/>
      <c r="Q160" s="334"/>
      <c r="R160" s="331"/>
      <c r="S160" s="334"/>
      <c r="T160" s="334"/>
      <c r="U160" s="331"/>
      <c r="V160" s="334"/>
      <c r="W160" s="334"/>
      <c r="X160" s="331"/>
      <c r="Y160" s="334"/>
      <c r="Z160" s="334"/>
      <c r="AA160" s="331"/>
      <c r="AB160" s="334"/>
      <c r="AC160" s="334"/>
      <c r="AD160" s="331"/>
      <c r="AE160" s="334"/>
      <c r="AF160" s="334"/>
      <c r="AG160" s="331"/>
      <c r="AH160" s="334"/>
      <c r="AI160" s="334"/>
      <c r="AJ160" s="331"/>
      <c r="AK160" s="334"/>
      <c r="AL160" s="334"/>
      <c r="AM160" s="331"/>
      <c r="AN160" s="334"/>
      <c r="AO160" s="334"/>
      <c r="AP160" s="331"/>
      <c r="AQ160" s="334"/>
      <c r="AR160" s="334"/>
      <c r="AS160" s="331"/>
      <c r="AT160" s="334"/>
      <c r="AU160" s="334"/>
      <c r="AV160" s="331"/>
      <c r="AW160" s="334"/>
      <c r="AX160" s="334"/>
      <c r="AY160" s="331"/>
      <c r="AZ160" s="334"/>
      <c r="BA160" s="334"/>
      <c r="BB160" s="331"/>
      <c r="BC160" s="334"/>
      <c r="BD160" s="334"/>
      <c r="BE160" s="331"/>
      <c r="BF160" s="334"/>
      <c r="BG160" s="334"/>
      <c r="BH160" s="331"/>
      <c r="BI160" s="334"/>
      <c r="BJ160" s="334"/>
      <c r="BK160" s="331"/>
      <c r="BL160" s="334"/>
      <c r="BM160" s="334"/>
      <c r="BN160" s="331"/>
      <c r="BO160" s="334"/>
      <c r="BP160" s="334"/>
      <c r="BQ160" s="331"/>
      <c r="BR160" s="332"/>
    </row>
    <row r="161" spans="1:70">
      <c r="A161" s="142" t="s">
        <v>4021</v>
      </c>
      <c r="B161" s="268">
        <v>12800</v>
      </c>
      <c r="C161" s="268">
        <v>0</v>
      </c>
      <c r="D161" s="333"/>
      <c r="E161" s="333"/>
      <c r="F161" s="331"/>
      <c r="G161" s="334"/>
      <c r="H161" s="334"/>
      <c r="I161" s="331"/>
      <c r="J161" s="334"/>
      <c r="K161" s="334"/>
      <c r="L161" s="331"/>
      <c r="M161" s="334"/>
      <c r="N161" s="334"/>
      <c r="O161" s="331"/>
      <c r="P161" s="334"/>
      <c r="Q161" s="334"/>
      <c r="R161" s="331"/>
      <c r="S161" s="334"/>
      <c r="T161" s="334"/>
      <c r="U161" s="331"/>
      <c r="V161" s="334"/>
      <c r="W161" s="334"/>
      <c r="X161" s="331"/>
      <c r="Y161" s="334"/>
      <c r="Z161" s="334"/>
      <c r="AA161" s="331"/>
      <c r="AB161" s="334"/>
      <c r="AC161" s="334"/>
      <c r="AD161" s="331"/>
      <c r="AE161" s="334"/>
      <c r="AF161" s="334"/>
      <c r="AG161" s="331"/>
      <c r="AH161" s="334"/>
      <c r="AI161" s="334"/>
      <c r="AJ161" s="331"/>
      <c r="AK161" s="334"/>
      <c r="AL161" s="334"/>
      <c r="AM161" s="331"/>
      <c r="AN161" s="334"/>
      <c r="AO161" s="334"/>
      <c r="AP161" s="331"/>
      <c r="AQ161" s="334"/>
      <c r="AR161" s="334"/>
      <c r="AS161" s="331"/>
      <c r="AT161" s="334"/>
      <c r="AU161" s="334"/>
      <c r="AV161" s="331"/>
      <c r="AW161" s="334"/>
      <c r="AX161" s="334"/>
      <c r="AY161" s="331"/>
      <c r="AZ161" s="334"/>
      <c r="BA161" s="334"/>
      <c r="BB161" s="331"/>
      <c r="BC161" s="334"/>
      <c r="BD161" s="334"/>
      <c r="BE161" s="331"/>
      <c r="BF161" s="334"/>
      <c r="BG161" s="334"/>
      <c r="BH161" s="331"/>
      <c r="BI161" s="334"/>
      <c r="BJ161" s="334"/>
      <c r="BK161" s="331"/>
      <c r="BL161" s="334"/>
      <c r="BM161" s="334"/>
      <c r="BN161" s="331"/>
      <c r="BO161" s="334"/>
      <c r="BP161" s="334"/>
      <c r="BQ161" s="331"/>
      <c r="BR161" s="332"/>
    </row>
    <row r="162" spans="1:70">
      <c r="A162" s="142" t="s">
        <v>3990</v>
      </c>
      <c r="B162" s="268">
        <v>24600</v>
      </c>
      <c r="C162" s="268">
        <v>0</v>
      </c>
      <c r="D162" s="333"/>
      <c r="E162" s="333"/>
      <c r="F162" s="331"/>
      <c r="G162" s="334"/>
      <c r="H162" s="334"/>
      <c r="I162" s="331"/>
      <c r="J162" s="334"/>
      <c r="K162" s="334"/>
      <c r="L162" s="331"/>
      <c r="M162" s="334"/>
      <c r="N162" s="334"/>
      <c r="O162" s="331"/>
      <c r="P162" s="334"/>
      <c r="Q162" s="334"/>
      <c r="R162" s="331"/>
      <c r="S162" s="334"/>
      <c r="T162" s="334"/>
      <c r="U162" s="331"/>
      <c r="V162" s="334"/>
      <c r="W162" s="334"/>
      <c r="X162" s="331"/>
      <c r="Y162" s="334"/>
      <c r="Z162" s="334"/>
      <c r="AA162" s="331"/>
      <c r="AB162" s="334"/>
      <c r="AC162" s="334"/>
      <c r="AD162" s="331"/>
      <c r="AE162" s="334"/>
      <c r="AF162" s="334"/>
      <c r="AG162" s="331"/>
      <c r="AH162" s="334"/>
      <c r="AI162" s="334"/>
      <c r="AJ162" s="331"/>
      <c r="AK162" s="334"/>
      <c r="AL162" s="334"/>
      <c r="AM162" s="331"/>
      <c r="AN162" s="334"/>
      <c r="AO162" s="334"/>
      <c r="AP162" s="331"/>
      <c r="AQ162" s="334"/>
      <c r="AR162" s="334"/>
      <c r="AS162" s="331"/>
      <c r="AT162" s="334"/>
      <c r="AU162" s="334"/>
      <c r="AV162" s="331"/>
      <c r="AW162" s="334"/>
      <c r="AX162" s="334"/>
      <c r="AY162" s="331"/>
      <c r="AZ162" s="334"/>
      <c r="BA162" s="334"/>
      <c r="BB162" s="331"/>
      <c r="BC162" s="334"/>
      <c r="BD162" s="334"/>
      <c r="BE162" s="331"/>
      <c r="BF162" s="334"/>
      <c r="BG162" s="334"/>
      <c r="BH162" s="331"/>
      <c r="BI162" s="334"/>
      <c r="BJ162" s="334"/>
      <c r="BK162" s="331"/>
      <c r="BL162" s="334"/>
      <c r="BM162" s="334"/>
      <c r="BN162" s="331"/>
      <c r="BO162" s="334"/>
      <c r="BP162" s="334"/>
      <c r="BQ162" s="331"/>
      <c r="BR162" s="332"/>
    </row>
    <row r="163" spans="1:70">
      <c r="A163" s="142" t="s">
        <v>4012</v>
      </c>
      <c r="B163" s="268">
        <v>12200</v>
      </c>
      <c r="C163" s="268">
        <v>0</v>
      </c>
      <c r="D163" s="333"/>
      <c r="E163" s="333"/>
      <c r="F163" s="331"/>
      <c r="G163" s="334"/>
      <c r="H163" s="334"/>
      <c r="I163" s="331"/>
      <c r="J163" s="334"/>
      <c r="K163" s="334"/>
      <c r="L163" s="331"/>
      <c r="M163" s="334"/>
      <c r="N163" s="334"/>
      <c r="O163" s="331"/>
      <c r="P163" s="334"/>
      <c r="Q163" s="334"/>
      <c r="R163" s="331"/>
      <c r="S163" s="334"/>
      <c r="T163" s="334"/>
      <c r="U163" s="331"/>
      <c r="V163" s="334"/>
      <c r="W163" s="334"/>
      <c r="X163" s="331"/>
      <c r="Y163" s="334"/>
      <c r="Z163" s="334"/>
      <c r="AA163" s="331"/>
      <c r="AB163" s="334"/>
      <c r="AC163" s="334"/>
      <c r="AD163" s="331"/>
      <c r="AE163" s="334"/>
      <c r="AF163" s="334"/>
      <c r="AG163" s="331"/>
      <c r="AH163" s="334"/>
      <c r="AI163" s="334"/>
      <c r="AJ163" s="331"/>
      <c r="AK163" s="334"/>
      <c r="AL163" s="334"/>
      <c r="AM163" s="331"/>
      <c r="AN163" s="334"/>
      <c r="AO163" s="334"/>
      <c r="AP163" s="331"/>
      <c r="AQ163" s="334"/>
      <c r="AR163" s="334"/>
      <c r="AS163" s="331"/>
      <c r="AT163" s="334"/>
      <c r="AU163" s="334"/>
      <c r="AV163" s="331"/>
      <c r="AW163" s="334"/>
      <c r="AX163" s="334"/>
      <c r="AY163" s="331"/>
      <c r="AZ163" s="334"/>
      <c r="BA163" s="334"/>
      <c r="BB163" s="331"/>
      <c r="BC163" s="334"/>
      <c r="BD163" s="334"/>
      <c r="BE163" s="331"/>
      <c r="BF163" s="334"/>
      <c r="BG163" s="334"/>
      <c r="BH163" s="331"/>
      <c r="BI163" s="334"/>
      <c r="BJ163" s="334"/>
      <c r="BK163" s="331"/>
      <c r="BL163" s="334"/>
      <c r="BM163" s="334"/>
      <c r="BN163" s="331"/>
      <c r="BO163" s="334"/>
      <c r="BP163" s="334"/>
      <c r="BQ163" s="331"/>
      <c r="BR163" s="332"/>
    </row>
    <row r="164" spans="1:70">
      <c r="A164" s="142" t="s">
        <v>4005</v>
      </c>
      <c r="B164" s="268">
        <v>12400</v>
      </c>
      <c r="C164" s="268">
        <v>0</v>
      </c>
      <c r="D164" s="333"/>
      <c r="E164" s="333"/>
      <c r="F164" s="331"/>
      <c r="G164" s="334"/>
      <c r="H164" s="334"/>
      <c r="I164" s="331"/>
      <c r="J164" s="334"/>
      <c r="K164" s="334"/>
      <c r="L164" s="331"/>
      <c r="M164" s="334"/>
      <c r="N164" s="334"/>
      <c r="O164" s="331"/>
      <c r="P164" s="334"/>
      <c r="Q164" s="334"/>
      <c r="R164" s="331"/>
      <c r="S164" s="334"/>
      <c r="T164" s="334"/>
      <c r="U164" s="331"/>
      <c r="V164" s="334"/>
      <c r="W164" s="334"/>
      <c r="X164" s="331"/>
      <c r="Y164" s="334"/>
      <c r="Z164" s="334"/>
      <c r="AA164" s="331"/>
      <c r="AB164" s="334"/>
      <c r="AC164" s="334"/>
      <c r="AD164" s="331"/>
      <c r="AE164" s="334"/>
      <c r="AF164" s="334"/>
      <c r="AG164" s="331"/>
      <c r="AH164" s="334"/>
      <c r="AI164" s="334"/>
      <c r="AJ164" s="331"/>
      <c r="AK164" s="334"/>
      <c r="AL164" s="334"/>
      <c r="AM164" s="331"/>
      <c r="AN164" s="334"/>
      <c r="AO164" s="334"/>
      <c r="AP164" s="331"/>
      <c r="AQ164" s="334"/>
      <c r="AR164" s="334"/>
      <c r="AS164" s="331"/>
      <c r="AT164" s="334"/>
      <c r="AU164" s="334"/>
      <c r="AV164" s="331"/>
      <c r="AW164" s="334"/>
      <c r="AX164" s="334"/>
      <c r="AY164" s="331"/>
      <c r="AZ164" s="334"/>
      <c r="BA164" s="334"/>
      <c r="BB164" s="331"/>
      <c r="BC164" s="334"/>
      <c r="BD164" s="334"/>
      <c r="BE164" s="331"/>
      <c r="BF164" s="334"/>
      <c r="BG164" s="334"/>
      <c r="BH164" s="331"/>
      <c r="BI164" s="334"/>
      <c r="BJ164" s="334"/>
      <c r="BK164" s="331"/>
      <c r="BL164" s="334"/>
      <c r="BM164" s="334"/>
      <c r="BN164" s="331"/>
      <c r="BO164" s="334"/>
      <c r="BP164" s="334"/>
      <c r="BQ164" s="331"/>
      <c r="BR164" s="332"/>
    </row>
    <row r="165" spans="1:70">
      <c r="A165" s="142" t="s">
        <v>4235</v>
      </c>
      <c r="B165" s="268">
        <v>56100</v>
      </c>
      <c r="C165" s="268">
        <v>0</v>
      </c>
      <c r="D165" s="333"/>
      <c r="E165" s="333"/>
      <c r="F165" s="331"/>
      <c r="G165" s="334"/>
      <c r="H165" s="334"/>
      <c r="I165" s="331"/>
      <c r="J165" s="334"/>
      <c r="K165" s="334"/>
      <c r="L165" s="331"/>
      <c r="M165" s="334"/>
      <c r="N165" s="334"/>
      <c r="O165" s="331"/>
      <c r="P165" s="334"/>
      <c r="Q165" s="334"/>
      <c r="R165" s="331"/>
      <c r="S165" s="334"/>
      <c r="T165" s="334"/>
      <c r="U165" s="331"/>
      <c r="V165" s="334"/>
      <c r="W165" s="334"/>
      <c r="X165" s="331"/>
      <c r="Y165" s="334"/>
      <c r="Z165" s="334"/>
      <c r="AA165" s="331"/>
      <c r="AB165" s="334"/>
      <c r="AC165" s="334"/>
      <c r="AD165" s="331"/>
      <c r="AE165" s="334"/>
      <c r="AF165" s="334"/>
      <c r="AG165" s="331"/>
      <c r="AH165" s="334"/>
      <c r="AI165" s="334"/>
      <c r="AJ165" s="331"/>
      <c r="AK165" s="334"/>
      <c r="AL165" s="334"/>
      <c r="AM165" s="331"/>
      <c r="AN165" s="334"/>
      <c r="AO165" s="334"/>
      <c r="AP165" s="331"/>
      <c r="AQ165" s="334"/>
      <c r="AR165" s="334"/>
      <c r="AS165" s="331"/>
      <c r="AT165" s="334"/>
      <c r="AU165" s="334"/>
      <c r="AV165" s="331"/>
      <c r="AW165" s="334"/>
      <c r="AX165" s="334"/>
      <c r="AY165" s="331"/>
      <c r="AZ165" s="334"/>
      <c r="BA165" s="334"/>
      <c r="BB165" s="331"/>
      <c r="BC165" s="334"/>
      <c r="BD165" s="334"/>
      <c r="BE165" s="331"/>
      <c r="BF165" s="334"/>
      <c r="BG165" s="334"/>
      <c r="BH165" s="331"/>
      <c r="BI165" s="334"/>
      <c r="BJ165" s="334"/>
      <c r="BK165" s="331"/>
      <c r="BL165" s="334"/>
      <c r="BM165" s="334"/>
      <c r="BN165" s="331"/>
      <c r="BO165" s="334"/>
      <c r="BP165" s="334"/>
      <c r="BQ165" s="331"/>
      <c r="BR165" s="332"/>
    </row>
    <row r="166" spans="1:70">
      <c r="A166" s="142" t="s">
        <v>4443</v>
      </c>
      <c r="B166" s="268">
        <v>4200</v>
      </c>
      <c r="C166" s="268">
        <v>0</v>
      </c>
      <c r="D166" s="333"/>
      <c r="E166" s="333"/>
      <c r="F166" s="331"/>
      <c r="G166" s="334"/>
      <c r="H166" s="334"/>
      <c r="I166" s="331"/>
      <c r="J166" s="334"/>
      <c r="K166" s="334"/>
      <c r="L166" s="331"/>
      <c r="M166" s="334"/>
      <c r="N166" s="334"/>
      <c r="O166" s="331"/>
      <c r="P166" s="334"/>
      <c r="Q166" s="334"/>
      <c r="R166" s="331"/>
      <c r="S166" s="334"/>
      <c r="T166" s="334"/>
      <c r="U166" s="331"/>
      <c r="V166" s="334"/>
      <c r="W166" s="334"/>
      <c r="X166" s="331"/>
      <c r="Y166" s="334"/>
      <c r="Z166" s="334"/>
      <c r="AA166" s="331"/>
      <c r="AB166" s="334"/>
      <c r="AC166" s="334"/>
      <c r="AD166" s="331"/>
      <c r="AE166" s="334"/>
      <c r="AF166" s="334"/>
      <c r="AG166" s="331"/>
      <c r="AH166" s="334"/>
      <c r="AI166" s="334"/>
      <c r="AJ166" s="331"/>
      <c r="AK166" s="334"/>
      <c r="AL166" s="334"/>
      <c r="AM166" s="331"/>
      <c r="AN166" s="334"/>
      <c r="AO166" s="334"/>
      <c r="AP166" s="331"/>
      <c r="AQ166" s="334"/>
      <c r="AR166" s="334"/>
      <c r="AS166" s="331"/>
      <c r="AT166" s="334"/>
      <c r="AU166" s="334"/>
      <c r="AV166" s="331"/>
      <c r="AW166" s="334"/>
      <c r="AX166" s="334"/>
      <c r="AY166" s="331"/>
      <c r="AZ166" s="334"/>
      <c r="BA166" s="334"/>
      <c r="BB166" s="331"/>
      <c r="BC166" s="334"/>
      <c r="BD166" s="334"/>
      <c r="BE166" s="331"/>
      <c r="BF166" s="334"/>
      <c r="BG166" s="334"/>
      <c r="BH166" s="331"/>
      <c r="BI166" s="334"/>
      <c r="BJ166" s="334"/>
      <c r="BK166" s="331"/>
      <c r="BL166" s="334"/>
      <c r="BM166" s="334"/>
      <c r="BN166" s="331"/>
      <c r="BO166" s="334"/>
      <c r="BP166" s="334"/>
      <c r="BQ166" s="331"/>
      <c r="BR166" s="332"/>
    </row>
    <row r="167" spans="1:70">
      <c r="A167" s="142" t="s">
        <v>4314</v>
      </c>
      <c r="B167" s="268">
        <v>16600</v>
      </c>
      <c r="C167" s="268">
        <v>0</v>
      </c>
      <c r="D167" s="333"/>
      <c r="E167" s="333"/>
      <c r="F167" s="331"/>
      <c r="G167" s="334"/>
      <c r="H167" s="334"/>
      <c r="I167" s="331"/>
      <c r="J167" s="334"/>
      <c r="K167" s="334"/>
      <c r="L167" s="331"/>
      <c r="M167" s="334"/>
      <c r="N167" s="334"/>
      <c r="O167" s="331"/>
      <c r="P167" s="334"/>
      <c r="Q167" s="334"/>
      <c r="R167" s="331"/>
      <c r="S167" s="334"/>
      <c r="T167" s="334"/>
      <c r="U167" s="331"/>
      <c r="V167" s="334"/>
      <c r="W167" s="334"/>
      <c r="X167" s="331"/>
      <c r="Y167" s="334"/>
      <c r="Z167" s="334"/>
      <c r="AA167" s="331"/>
      <c r="AB167" s="334"/>
      <c r="AC167" s="334"/>
      <c r="AD167" s="331"/>
      <c r="AE167" s="334"/>
      <c r="AF167" s="334"/>
      <c r="AG167" s="331"/>
      <c r="AH167" s="334"/>
      <c r="AI167" s="334"/>
      <c r="AJ167" s="331"/>
      <c r="AK167" s="334"/>
      <c r="AL167" s="334"/>
      <c r="AM167" s="331"/>
      <c r="AN167" s="334"/>
      <c r="AO167" s="334"/>
      <c r="AP167" s="331"/>
      <c r="AQ167" s="334"/>
      <c r="AR167" s="334"/>
      <c r="AS167" s="331"/>
      <c r="AT167" s="334"/>
      <c r="AU167" s="334"/>
      <c r="AV167" s="331"/>
      <c r="AW167" s="334"/>
      <c r="AX167" s="334"/>
      <c r="AY167" s="331"/>
      <c r="AZ167" s="334"/>
      <c r="BA167" s="334"/>
      <c r="BB167" s="331"/>
      <c r="BC167" s="334"/>
      <c r="BD167" s="334"/>
      <c r="BE167" s="331"/>
      <c r="BF167" s="334"/>
      <c r="BG167" s="334"/>
      <c r="BH167" s="331"/>
      <c r="BI167" s="334"/>
      <c r="BJ167" s="334"/>
      <c r="BK167" s="331"/>
      <c r="BL167" s="334"/>
      <c r="BM167" s="334"/>
      <c r="BN167" s="331"/>
      <c r="BO167" s="334"/>
      <c r="BP167" s="334"/>
      <c r="BQ167" s="331"/>
      <c r="BR167" s="332"/>
    </row>
    <row r="168" spans="1:70">
      <c r="A168" s="142" t="s">
        <v>4298</v>
      </c>
      <c r="B168" s="268">
        <v>13000</v>
      </c>
      <c r="C168" s="268">
        <v>0</v>
      </c>
      <c r="D168" s="333"/>
      <c r="E168" s="333"/>
      <c r="F168" s="331"/>
      <c r="G168" s="334"/>
      <c r="H168" s="334"/>
      <c r="I168" s="331"/>
      <c r="J168" s="334"/>
      <c r="K168" s="334"/>
      <c r="L168" s="331"/>
      <c r="M168" s="334"/>
      <c r="N168" s="334"/>
      <c r="O168" s="331"/>
      <c r="P168" s="334"/>
      <c r="Q168" s="334"/>
      <c r="R168" s="331"/>
      <c r="S168" s="334"/>
      <c r="T168" s="334"/>
      <c r="U168" s="331"/>
      <c r="V168" s="334"/>
      <c r="W168" s="334"/>
      <c r="X168" s="331"/>
      <c r="Y168" s="334"/>
      <c r="Z168" s="334"/>
      <c r="AA168" s="331"/>
      <c r="AB168" s="334"/>
      <c r="AC168" s="334"/>
      <c r="AD168" s="331"/>
      <c r="AE168" s="334"/>
      <c r="AF168" s="334"/>
      <c r="AG168" s="331"/>
      <c r="AH168" s="334"/>
      <c r="AI168" s="334"/>
      <c r="AJ168" s="331"/>
      <c r="AK168" s="334"/>
      <c r="AL168" s="334"/>
      <c r="AM168" s="331"/>
      <c r="AN168" s="334"/>
      <c r="AO168" s="334"/>
      <c r="AP168" s="331"/>
      <c r="AQ168" s="334"/>
      <c r="AR168" s="334"/>
      <c r="AS168" s="331"/>
      <c r="AT168" s="334"/>
      <c r="AU168" s="334"/>
      <c r="AV168" s="331"/>
      <c r="AW168" s="334"/>
      <c r="AX168" s="334"/>
      <c r="AY168" s="331"/>
      <c r="AZ168" s="334"/>
      <c r="BA168" s="334"/>
      <c r="BB168" s="331"/>
      <c r="BC168" s="334"/>
      <c r="BD168" s="334"/>
      <c r="BE168" s="331"/>
      <c r="BF168" s="334"/>
      <c r="BG168" s="334"/>
      <c r="BH168" s="331"/>
      <c r="BI168" s="334"/>
      <c r="BJ168" s="334"/>
      <c r="BK168" s="331"/>
      <c r="BL168" s="334"/>
      <c r="BM168" s="334"/>
      <c r="BN168" s="331"/>
      <c r="BO168" s="334"/>
      <c r="BP168" s="334"/>
      <c r="BQ168" s="331"/>
      <c r="BR168" s="332"/>
    </row>
    <row r="169" spans="1:70">
      <c r="A169" s="142" t="s">
        <v>4361</v>
      </c>
      <c r="B169" s="268">
        <v>47900</v>
      </c>
      <c r="C169" s="268">
        <v>0</v>
      </c>
      <c r="D169" s="333"/>
      <c r="E169" s="333"/>
      <c r="F169" s="331"/>
      <c r="G169" s="334"/>
      <c r="H169" s="334"/>
      <c r="I169" s="331"/>
      <c r="J169" s="334"/>
      <c r="K169" s="334"/>
      <c r="L169" s="331"/>
      <c r="M169" s="334"/>
      <c r="N169" s="334"/>
      <c r="O169" s="331"/>
      <c r="P169" s="334"/>
      <c r="Q169" s="334"/>
      <c r="R169" s="331"/>
      <c r="S169" s="334"/>
      <c r="T169" s="334"/>
      <c r="U169" s="331"/>
      <c r="V169" s="334"/>
      <c r="W169" s="334"/>
      <c r="X169" s="331"/>
      <c r="Y169" s="334"/>
      <c r="Z169" s="334"/>
      <c r="AA169" s="331"/>
      <c r="AB169" s="334"/>
      <c r="AC169" s="334"/>
      <c r="AD169" s="331"/>
      <c r="AE169" s="334"/>
      <c r="AF169" s="334"/>
      <c r="AG169" s="331"/>
      <c r="AH169" s="334"/>
      <c r="AI169" s="334"/>
      <c r="AJ169" s="331"/>
      <c r="AK169" s="334"/>
      <c r="AL169" s="334"/>
      <c r="AM169" s="331"/>
      <c r="AN169" s="334"/>
      <c r="AO169" s="334"/>
      <c r="AP169" s="331"/>
      <c r="AQ169" s="334"/>
      <c r="AR169" s="334"/>
      <c r="AS169" s="331"/>
      <c r="AT169" s="334"/>
      <c r="AU169" s="334"/>
      <c r="AV169" s="331"/>
      <c r="AW169" s="334"/>
      <c r="AX169" s="334"/>
      <c r="AY169" s="331"/>
      <c r="AZ169" s="334"/>
      <c r="BA169" s="334"/>
      <c r="BB169" s="331"/>
      <c r="BC169" s="334"/>
      <c r="BD169" s="334"/>
      <c r="BE169" s="331"/>
      <c r="BF169" s="334"/>
      <c r="BG169" s="334"/>
      <c r="BH169" s="331"/>
      <c r="BI169" s="334"/>
      <c r="BJ169" s="334"/>
      <c r="BK169" s="331"/>
      <c r="BL169" s="334"/>
      <c r="BM169" s="334"/>
      <c r="BN169" s="331"/>
      <c r="BO169" s="334"/>
      <c r="BP169" s="334"/>
      <c r="BQ169" s="331"/>
      <c r="BR169" s="332"/>
    </row>
    <row r="170" spans="1:70">
      <c r="A170" s="142" t="s">
        <v>4328</v>
      </c>
      <c r="B170" s="268">
        <v>31700</v>
      </c>
      <c r="C170" s="268">
        <v>0</v>
      </c>
      <c r="D170" s="333"/>
      <c r="E170" s="333"/>
      <c r="F170" s="331"/>
      <c r="G170" s="334"/>
      <c r="H170" s="334"/>
      <c r="I170" s="331"/>
      <c r="J170" s="334"/>
      <c r="K170" s="334"/>
      <c r="L170" s="331"/>
      <c r="M170" s="334"/>
      <c r="N170" s="334"/>
      <c r="O170" s="331"/>
      <c r="P170" s="334"/>
      <c r="Q170" s="334"/>
      <c r="R170" s="331"/>
      <c r="S170" s="334"/>
      <c r="T170" s="334"/>
      <c r="U170" s="331"/>
      <c r="V170" s="334"/>
      <c r="W170" s="334"/>
      <c r="X170" s="331"/>
      <c r="Y170" s="334"/>
      <c r="Z170" s="334"/>
      <c r="AA170" s="331"/>
      <c r="AB170" s="334"/>
      <c r="AC170" s="334"/>
      <c r="AD170" s="331"/>
      <c r="AE170" s="334"/>
      <c r="AF170" s="334"/>
      <c r="AG170" s="331"/>
      <c r="AH170" s="334"/>
      <c r="AI170" s="334"/>
      <c r="AJ170" s="331"/>
      <c r="AK170" s="334"/>
      <c r="AL170" s="334"/>
      <c r="AM170" s="331"/>
      <c r="AN170" s="334"/>
      <c r="AO170" s="334"/>
      <c r="AP170" s="331"/>
      <c r="AQ170" s="334"/>
      <c r="AR170" s="334"/>
      <c r="AS170" s="331"/>
      <c r="AT170" s="334"/>
      <c r="AU170" s="334"/>
      <c r="AV170" s="331"/>
      <c r="AW170" s="334"/>
      <c r="AX170" s="334"/>
      <c r="AY170" s="331"/>
      <c r="AZ170" s="334"/>
      <c r="BA170" s="334"/>
      <c r="BB170" s="331"/>
      <c r="BC170" s="334"/>
      <c r="BD170" s="334"/>
      <c r="BE170" s="331"/>
      <c r="BF170" s="334"/>
      <c r="BG170" s="334"/>
      <c r="BH170" s="331"/>
      <c r="BI170" s="334"/>
      <c r="BJ170" s="334"/>
      <c r="BK170" s="331"/>
      <c r="BL170" s="334"/>
      <c r="BM170" s="334"/>
      <c r="BN170" s="331"/>
      <c r="BO170" s="334"/>
      <c r="BP170" s="334"/>
      <c r="BQ170" s="331"/>
      <c r="BR170" s="332"/>
    </row>
    <row r="171" spans="1:70">
      <c r="A171" s="142" t="s">
        <v>4685</v>
      </c>
      <c r="B171" s="268">
        <v>26800</v>
      </c>
      <c r="C171" s="268">
        <v>0</v>
      </c>
      <c r="D171" s="333"/>
      <c r="E171" s="333"/>
      <c r="F171" s="331"/>
      <c r="G171" s="334"/>
      <c r="H171" s="334"/>
      <c r="I171" s="331"/>
      <c r="J171" s="334"/>
      <c r="K171" s="334"/>
      <c r="L171" s="331"/>
      <c r="M171" s="334"/>
      <c r="N171" s="334"/>
      <c r="O171" s="331"/>
      <c r="P171" s="334"/>
      <c r="Q171" s="334"/>
      <c r="R171" s="331"/>
      <c r="S171" s="334"/>
      <c r="T171" s="334"/>
      <c r="U171" s="331"/>
      <c r="V171" s="334"/>
      <c r="W171" s="334"/>
      <c r="X171" s="331"/>
      <c r="Y171" s="334"/>
      <c r="Z171" s="334"/>
      <c r="AA171" s="331"/>
      <c r="AB171" s="334"/>
      <c r="AC171" s="334"/>
      <c r="AD171" s="331"/>
      <c r="AE171" s="334"/>
      <c r="AF171" s="334"/>
      <c r="AG171" s="331"/>
      <c r="AH171" s="334"/>
      <c r="AI171" s="334"/>
      <c r="AJ171" s="331"/>
      <c r="AK171" s="334"/>
      <c r="AL171" s="334"/>
      <c r="AM171" s="331"/>
      <c r="AN171" s="334"/>
      <c r="AO171" s="334"/>
      <c r="AP171" s="331"/>
      <c r="AQ171" s="334"/>
      <c r="AR171" s="334"/>
      <c r="AS171" s="331"/>
      <c r="AT171" s="334"/>
      <c r="AU171" s="334"/>
      <c r="AV171" s="331"/>
      <c r="AW171" s="334"/>
      <c r="AX171" s="334"/>
      <c r="AY171" s="331"/>
      <c r="AZ171" s="334"/>
      <c r="BA171" s="334"/>
      <c r="BB171" s="331"/>
      <c r="BC171" s="334"/>
      <c r="BD171" s="334"/>
      <c r="BE171" s="331"/>
      <c r="BF171" s="334"/>
      <c r="BG171" s="334"/>
      <c r="BH171" s="331"/>
      <c r="BI171" s="334"/>
      <c r="BJ171" s="334"/>
      <c r="BK171" s="331"/>
      <c r="BL171" s="334"/>
      <c r="BM171" s="334"/>
      <c r="BN171" s="331"/>
      <c r="BO171" s="334"/>
      <c r="BP171" s="334"/>
      <c r="BQ171" s="331"/>
      <c r="BR171" s="332"/>
    </row>
    <row r="172" spans="1:70">
      <c r="A172" s="142" t="s">
        <v>4321</v>
      </c>
      <c r="B172" s="268">
        <v>31500</v>
      </c>
      <c r="C172" s="268">
        <v>0</v>
      </c>
      <c r="D172" s="333"/>
      <c r="E172" s="333"/>
      <c r="F172" s="331"/>
      <c r="G172" s="334"/>
      <c r="H172" s="334"/>
      <c r="I172" s="331"/>
      <c r="J172" s="334"/>
      <c r="K172" s="334"/>
      <c r="L172" s="331"/>
      <c r="M172" s="334"/>
      <c r="N172" s="334"/>
      <c r="O172" s="331"/>
      <c r="P172" s="334"/>
      <c r="Q172" s="334"/>
      <c r="R172" s="331"/>
      <c r="S172" s="334"/>
      <c r="T172" s="334"/>
      <c r="U172" s="331"/>
      <c r="V172" s="334"/>
      <c r="W172" s="334"/>
      <c r="X172" s="331"/>
      <c r="Y172" s="334"/>
      <c r="Z172" s="334"/>
      <c r="AA172" s="331"/>
      <c r="AB172" s="334"/>
      <c r="AC172" s="334"/>
      <c r="AD172" s="331"/>
      <c r="AE172" s="334"/>
      <c r="AF172" s="334"/>
      <c r="AG172" s="331"/>
      <c r="AH172" s="334"/>
      <c r="AI172" s="334"/>
      <c r="AJ172" s="331"/>
      <c r="AK172" s="334"/>
      <c r="AL172" s="334"/>
      <c r="AM172" s="331"/>
      <c r="AN172" s="334"/>
      <c r="AO172" s="334"/>
      <c r="AP172" s="331"/>
      <c r="AQ172" s="334"/>
      <c r="AR172" s="334"/>
      <c r="AS172" s="331"/>
      <c r="AT172" s="334"/>
      <c r="AU172" s="334"/>
      <c r="AV172" s="331"/>
      <c r="AW172" s="334"/>
      <c r="AX172" s="334"/>
      <c r="AY172" s="331"/>
      <c r="AZ172" s="334"/>
      <c r="BA172" s="334"/>
      <c r="BB172" s="331"/>
      <c r="BC172" s="334"/>
      <c r="BD172" s="334"/>
      <c r="BE172" s="331"/>
      <c r="BF172" s="334"/>
      <c r="BG172" s="334"/>
      <c r="BH172" s="331"/>
      <c r="BI172" s="334"/>
      <c r="BJ172" s="334"/>
      <c r="BK172" s="331"/>
      <c r="BL172" s="334"/>
      <c r="BM172" s="334"/>
      <c r="BN172" s="331"/>
      <c r="BO172" s="334"/>
      <c r="BP172" s="334"/>
      <c r="BQ172" s="331"/>
      <c r="BR172" s="332"/>
    </row>
    <row r="173" spans="1:70">
      <c r="A173" s="142" t="s">
        <v>4664</v>
      </c>
      <c r="B173" s="268">
        <v>4500</v>
      </c>
      <c r="C173" s="268">
        <v>0</v>
      </c>
      <c r="D173" s="333"/>
      <c r="E173" s="333"/>
      <c r="F173" s="331"/>
      <c r="G173" s="334"/>
      <c r="H173" s="334"/>
      <c r="I173" s="331"/>
      <c r="J173" s="334"/>
      <c r="K173" s="334"/>
      <c r="L173" s="331"/>
      <c r="M173" s="334"/>
      <c r="N173" s="334"/>
      <c r="O173" s="331"/>
      <c r="P173" s="334"/>
      <c r="Q173" s="334"/>
      <c r="R173" s="331"/>
      <c r="S173" s="334"/>
      <c r="T173" s="334"/>
      <c r="U173" s="331"/>
      <c r="V173" s="334"/>
      <c r="W173" s="334"/>
      <c r="X173" s="331"/>
      <c r="Y173" s="334"/>
      <c r="Z173" s="334"/>
      <c r="AA173" s="331"/>
      <c r="AB173" s="334"/>
      <c r="AC173" s="334"/>
      <c r="AD173" s="331"/>
      <c r="AE173" s="334"/>
      <c r="AF173" s="334"/>
      <c r="AG173" s="331"/>
      <c r="AH173" s="334"/>
      <c r="AI173" s="334"/>
      <c r="AJ173" s="331"/>
      <c r="AK173" s="334"/>
      <c r="AL173" s="334"/>
      <c r="AM173" s="331"/>
      <c r="AN173" s="334"/>
      <c r="AO173" s="334"/>
      <c r="AP173" s="331"/>
      <c r="AQ173" s="334"/>
      <c r="AR173" s="334"/>
      <c r="AS173" s="331"/>
      <c r="AT173" s="334"/>
      <c r="AU173" s="334"/>
      <c r="AV173" s="331"/>
      <c r="AW173" s="334"/>
      <c r="AX173" s="334"/>
      <c r="AY173" s="331"/>
      <c r="AZ173" s="334"/>
      <c r="BA173" s="334"/>
      <c r="BB173" s="331"/>
      <c r="BC173" s="334"/>
      <c r="BD173" s="334"/>
      <c r="BE173" s="331"/>
      <c r="BF173" s="334"/>
      <c r="BG173" s="334"/>
      <c r="BH173" s="331"/>
      <c r="BI173" s="334"/>
      <c r="BJ173" s="334"/>
      <c r="BK173" s="331"/>
      <c r="BL173" s="334"/>
      <c r="BM173" s="334"/>
      <c r="BN173" s="331"/>
      <c r="BO173" s="334"/>
      <c r="BP173" s="334"/>
      <c r="BQ173" s="331"/>
      <c r="BR173" s="332"/>
    </row>
    <row r="174" spans="1:70">
      <c r="A174" s="142" t="s">
        <v>5023</v>
      </c>
      <c r="B174" s="268">
        <v>5300</v>
      </c>
      <c r="C174" s="268">
        <v>0</v>
      </c>
      <c r="D174" s="333"/>
      <c r="E174" s="333"/>
      <c r="F174" s="331"/>
      <c r="G174" s="334"/>
      <c r="H174" s="334"/>
      <c r="I174" s="331"/>
      <c r="J174" s="334"/>
      <c r="K174" s="334"/>
      <c r="L174" s="331"/>
      <c r="M174" s="334"/>
      <c r="N174" s="334"/>
      <c r="O174" s="331"/>
      <c r="P174" s="334"/>
      <c r="Q174" s="334"/>
      <c r="R174" s="331"/>
      <c r="S174" s="334"/>
      <c r="T174" s="334"/>
      <c r="U174" s="331"/>
      <c r="V174" s="334"/>
      <c r="W174" s="334"/>
      <c r="X174" s="331"/>
      <c r="Y174" s="334"/>
      <c r="Z174" s="334"/>
      <c r="AA174" s="331"/>
      <c r="AB174" s="334"/>
      <c r="AC174" s="334"/>
      <c r="AD174" s="331"/>
      <c r="AE174" s="334"/>
      <c r="AF174" s="334"/>
      <c r="AG174" s="331"/>
      <c r="AH174" s="334"/>
      <c r="AI174" s="334"/>
      <c r="AJ174" s="331"/>
      <c r="AK174" s="334"/>
      <c r="AL174" s="334"/>
      <c r="AM174" s="331"/>
      <c r="AN174" s="334"/>
      <c r="AO174" s="334"/>
      <c r="AP174" s="331"/>
      <c r="AQ174" s="334"/>
      <c r="AR174" s="334"/>
      <c r="AS174" s="331"/>
      <c r="AT174" s="334"/>
      <c r="AU174" s="334"/>
      <c r="AV174" s="331"/>
      <c r="AW174" s="334"/>
      <c r="AX174" s="334"/>
      <c r="AY174" s="331"/>
      <c r="AZ174" s="334"/>
      <c r="BA174" s="334"/>
      <c r="BB174" s="331"/>
      <c r="BC174" s="334"/>
      <c r="BD174" s="334"/>
      <c r="BE174" s="331"/>
      <c r="BF174" s="334"/>
      <c r="BG174" s="334"/>
      <c r="BH174" s="331"/>
      <c r="BI174" s="334"/>
      <c r="BJ174" s="334"/>
      <c r="BK174" s="331"/>
      <c r="BL174" s="334"/>
      <c r="BM174" s="334"/>
      <c r="BN174" s="331"/>
      <c r="BO174" s="334"/>
      <c r="BP174" s="334"/>
      <c r="BQ174" s="331"/>
      <c r="BR174" s="332"/>
    </row>
    <row r="175" spans="1:70">
      <c r="A175" s="142" t="s">
        <v>5014</v>
      </c>
      <c r="B175" s="268">
        <v>5400</v>
      </c>
      <c r="C175" s="268">
        <v>0</v>
      </c>
      <c r="D175" s="333"/>
      <c r="E175" s="333"/>
      <c r="F175" s="331"/>
      <c r="G175" s="334"/>
      <c r="H175" s="334"/>
      <c r="I175" s="331"/>
      <c r="J175" s="334"/>
      <c r="K175" s="334"/>
      <c r="L175" s="331"/>
      <c r="M175" s="334"/>
      <c r="N175" s="334"/>
      <c r="O175" s="331"/>
      <c r="P175" s="334"/>
      <c r="Q175" s="334"/>
      <c r="R175" s="331"/>
      <c r="S175" s="334"/>
      <c r="T175" s="334"/>
      <c r="U175" s="331"/>
      <c r="V175" s="334"/>
      <c r="W175" s="334"/>
      <c r="X175" s="331"/>
      <c r="Y175" s="334"/>
      <c r="Z175" s="334"/>
      <c r="AA175" s="331"/>
      <c r="AB175" s="334"/>
      <c r="AC175" s="334"/>
      <c r="AD175" s="331"/>
      <c r="AE175" s="334"/>
      <c r="AF175" s="334"/>
      <c r="AG175" s="331"/>
      <c r="AH175" s="334"/>
      <c r="AI175" s="334"/>
      <c r="AJ175" s="331"/>
      <c r="AK175" s="334"/>
      <c r="AL175" s="334"/>
      <c r="AM175" s="331"/>
      <c r="AN175" s="334"/>
      <c r="AO175" s="334"/>
      <c r="AP175" s="331"/>
      <c r="AQ175" s="334"/>
      <c r="AR175" s="334"/>
      <c r="AS175" s="331"/>
      <c r="AT175" s="334"/>
      <c r="AU175" s="334"/>
      <c r="AV175" s="331"/>
      <c r="AW175" s="334"/>
      <c r="AX175" s="334"/>
      <c r="AY175" s="331"/>
      <c r="AZ175" s="334"/>
      <c r="BA175" s="334"/>
      <c r="BB175" s="331"/>
      <c r="BC175" s="334"/>
      <c r="BD175" s="334"/>
      <c r="BE175" s="331"/>
      <c r="BF175" s="334"/>
      <c r="BG175" s="334"/>
      <c r="BH175" s="331"/>
      <c r="BI175" s="334"/>
      <c r="BJ175" s="334"/>
      <c r="BK175" s="331"/>
      <c r="BL175" s="334"/>
      <c r="BM175" s="334"/>
      <c r="BN175" s="331"/>
      <c r="BO175" s="334"/>
      <c r="BP175" s="334"/>
      <c r="BQ175" s="331"/>
      <c r="BR175" s="332"/>
    </row>
    <row r="176" spans="1:70">
      <c r="A176" s="142" t="s">
        <v>2647</v>
      </c>
      <c r="B176" s="268">
        <v>6800</v>
      </c>
      <c r="C176" s="268">
        <v>0</v>
      </c>
      <c r="D176" s="333"/>
      <c r="E176" s="333"/>
      <c r="F176" s="331"/>
      <c r="G176" s="334"/>
      <c r="H176" s="334"/>
      <c r="I176" s="331"/>
      <c r="J176" s="334"/>
      <c r="K176" s="334"/>
      <c r="L176" s="331"/>
      <c r="M176" s="334"/>
      <c r="N176" s="334"/>
      <c r="O176" s="331"/>
      <c r="P176" s="334"/>
      <c r="Q176" s="334"/>
      <c r="R176" s="331"/>
      <c r="S176" s="334"/>
      <c r="T176" s="334"/>
      <c r="U176" s="331"/>
      <c r="V176" s="334"/>
      <c r="W176" s="334"/>
      <c r="X176" s="331"/>
      <c r="Y176" s="334"/>
      <c r="Z176" s="334"/>
      <c r="AA176" s="331"/>
      <c r="AB176" s="334"/>
      <c r="AC176" s="334"/>
      <c r="AD176" s="331"/>
      <c r="AE176" s="334"/>
      <c r="AF176" s="334"/>
      <c r="AG176" s="331"/>
      <c r="AH176" s="334"/>
      <c r="AI176" s="334"/>
      <c r="AJ176" s="331"/>
      <c r="AK176" s="334"/>
      <c r="AL176" s="334"/>
      <c r="AM176" s="331"/>
      <c r="AN176" s="334"/>
      <c r="AO176" s="334"/>
      <c r="AP176" s="331"/>
      <c r="AQ176" s="334"/>
      <c r="AR176" s="334"/>
      <c r="AS176" s="331"/>
      <c r="AT176" s="334"/>
      <c r="AU176" s="334"/>
      <c r="AV176" s="331"/>
      <c r="AW176" s="334"/>
      <c r="AX176" s="334"/>
      <c r="AY176" s="331"/>
      <c r="AZ176" s="334"/>
      <c r="BA176" s="334"/>
      <c r="BB176" s="331"/>
      <c r="BC176" s="334"/>
      <c r="BD176" s="334"/>
      <c r="BE176" s="331"/>
      <c r="BF176" s="334"/>
      <c r="BG176" s="334"/>
      <c r="BH176" s="331"/>
      <c r="BI176" s="334"/>
      <c r="BJ176" s="334"/>
      <c r="BK176" s="331"/>
      <c r="BL176" s="334"/>
      <c r="BM176" s="334"/>
      <c r="BN176" s="331"/>
      <c r="BO176" s="334"/>
      <c r="BP176" s="334"/>
      <c r="BQ176" s="331"/>
      <c r="BR176" s="332"/>
    </row>
    <row r="177" spans="1:70">
      <c r="A177" s="142" t="s">
        <v>5140</v>
      </c>
      <c r="B177" s="268">
        <v>63500</v>
      </c>
      <c r="C177" s="268">
        <v>0</v>
      </c>
      <c r="D177" s="333"/>
      <c r="E177" s="333"/>
      <c r="F177" s="331"/>
      <c r="G177" s="334"/>
      <c r="H177" s="334"/>
      <c r="I177" s="331"/>
      <c r="J177" s="334"/>
      <c r="K177" s="334"/>
      <c r="L177" s="331"/>
      <c r="M177" s="334"/>
      <c r="N177" s="334"/>
      <c r="O177" s="331"/>
      <c r="P177" s="334"/>
      <c r="Q177" s="334"/>
      <c r="R177" s="331"/>
      <c r="S177" s="334"/>
      <c r="T177" s="334"/>
      <c r="U177" s="331"/>
      <c r="V177" s="334"/>
      <c r="W177" s="334"/>
      <c r="X177" s="331"/>
      <c r="Y177" s="334"/>
      <c r="Z177" s="334"/>
      <c r="AA177" s="331"/>
      <c r="AB177" s="334"/>
      <c r="AC177" s="334"/>
      <c r="AD177" s="331"/>
      <c r="AE177" s="334"/>
      <c r="AF177" s="334"/>
      <c r="AG177" s="331"/>
      <c r="AH177" s="334"/>
      <c r="AI177" s="334"/>
      <c r="AJ177" s="331"/>
      <c r="AK177" s="334"/>
      <c r="AL177" s="334"/>
      <c r="AM177" s="331"/>
      <c r="AN177" s="334"/>
      <c r="AO177" s="334"/>
      <c r="AP177" s="331"/>
      <c r="AQ177" s="334"/>
      <c r="AR177" s="334"/>
      <c r="AS177" s="331"/>
      <c r="AT177" s="334"/>
      <c r="AU177" s="334"/>
      <c r="AV177" s="331"/>
      <c r="AW177" s="334"/>
      <c r="AX177" s="334"/>
      <c r="AY177" s="331"/>
      <c r="AZ177" s="334"/>
      <c r="BA177" s="334"/>
      <c r="BB177" s="331"/>
      <c r="BC177" s="334"/>
      <c r="BD177" s="334"/>
      <c r="BE177" s="331"/>
      <c r="BF177" s="334"/>
      <c r="BG177" s="334"/>
      <c r="BH177" s="331"/>
      <c r="BI177" s="334"/>
      <c r="BJ177" s="334"/>
      <c r="BK177" s="331"/>
      <c r="BL177" s="334"/>
      <c r="BM177" s="334"/>
      <c r="BN177" s="331"/>
      <c r="BO177" s="334"/>
      <c r="BP177" s="334"/>
      <c r="BQ177" s="331"/>
      <c r="BR177" s="332"/>
    </row>
    <row r="178" spans="1:70">
      <c r="A178" s="142" t="s">
        <v>3810</v>
      </c>
      <c r="B178" s="268">
        <v>11600</v>
      </c>
      <c r="C178" s="268">
        <v>0</v>
      </c>
      <c r="D178" s="333"/>
      <c r="E178" s="333"/>
      <c r="F178" s="331"/>
      <c r="G178" s="334"/>
      <c r="H178" s="334"/>
      <c r="I178" s="331"/>
      <c r="J178" s="334"/>
      <c r="K178" s="334"/>
      <c r="L178" s="331"/>
      <c r="M178" s="334"/>
      <c r="N178" s="334"/>
      <c r="O178" s="331"/>
      <c r="P178" s="334"/>
      <c r="Q178" s="334"/>
      <c r="R178" s="331"/>
      <c r="S178" s="334"/>
      <c r="T178" s="334"/>
      <c r="U178" s="331"/>
      <c r="V178" s="334"/>
      <c r="W178" s="334"/>
      <c r="X178" s="331"/>
      <c r="Y178" s="334"/>
      <c r="Z178" s="334"/>
      <c r="AA178" s="331"/>
      <c r="AB178" s="334"/>
      <c r="AC178" s="334"/>
      <c r="AD178" s="331"/>
      <c r="AE178" s="334"/>
      <c r="AF178" s="334"/>
      <c r="AG178" s="331"/>
      <c r="AH178" s="334"/>
      <c r="AI178" s="334"/>
      <c r="AJ178" s="331"/>
      <c r="AK178" s="334"/>
      <c r="AL178" s="334"/>
      <c r="AM178" s="331"/>
      <c r="AN178" s="334"/>
      <c r="AO178" s="334"/>
      <c r="AP178" s="331"/>
      <c r="AQ178" s="334"/>
      <c r="AR178" s="334"/>
      <c r="AS178" s="331"/>
      <c r="AT178" s="334"/>
      <c r="AU178" s="334"/>
      <c r="AV178" s="331"/>
      <c r="AW178" s="334"/>
      <c r="AX178" s="334"/>
      <c r="AY178" s="331"/>
      <c r="AZ178" s="334"/>
      <c r="BA178" s="334"/>
      <c r="BB178" s="331"/>
      <c r="BC178" s="334"/>
      <c r="BD178" s="334"/>
      <c r="BE178" s="331"/>
      <c r="BF178" s="334"/>
      <c r="BG178" s="334"/>
      <c r="BH178" s="331"/>
      <c r="BI178" s="334"/>
      <c r="BJ178" s="334"/>
      <c r="BK178" s="331"/>
      <c r="BL178" s="334"/>
      <c r="BM178" s="334"/>
      <c r="BN178" s="331"/>
      <c r="BO178" s="334"/>
      <c r="BP178" s="334"/>
      <c r="BQ178" s="331"/>
      <c r="BR178" s="332"/>
    </row>
    <row r="179" spans="1:70">
      <c r="A179" s="142" t="s">
        <v>5137</v>
      </c>
      <c r="B179" s="268">
        <v>42000</v>
      </c>
      <c r="C179" s="268">
        <v>0</v>
      </c>
      <c r="D179" s="333"/>
      <c r="E179" s="333"/>
      <c r="F179" s="331"/>
      <c r="G179" s="334"/>
      <c r="H179" s="334"/>
      <c r="I179" s="331"/>
      <c r="J179" s="334"/>
      <c r="K179" s="334"/>
      <c r="L179" s="331"/>
      <c r="M179" s="334"/>
      <c r="N179" s="334"/>
      <c r="O179" s="331"/>
      <c r="P179" s="334"/>
      <c r="Q179" s="334"/>
      <c r="R179" s="331"/>
      <c r="S179" s="334"/>
      <c r="T179" s="334"/>
      <c r="U179" s="331"/>
      <c r="V179" s="334"/>
      <c r="W179" s="334"/>
      <c r="X179" s="331"/>
      <c r="Y179" s="334"/>
      <c r="Z179" s="334"/>
      <c r="AA179" s="331"/>
      <c r="AB179" s="334"/>
      <c r="AC179" s="334"/>
      <c r="AD179" s="331"/>
      <c r="AE179" s="334"/>
      <c r="AF179" s="334"/>
      <c r="AG179" s="331"/>
      <c r="AH179" s="334"/>
      <c r="AI179" s="334"/>
      <c r="AJ179" s="331"/>
      <c r="AK179" s="334"/>
      <c r="AL179" s="334"/>
      <c r="AM179" s="331"/>
      <c r="AN179" s="334"/>
      <c r="AO179" s="334"/>
      <c r="AP179" s="331"/>
      <c r="AQ179" s="334"/>
      <c r="AR179" s="334"/>
      <c r="AS179" s="331"/>
      <c r="AT179" s="334"/>
      <c r="AU179" s="334"/>
      <c r="AV179" s="331"/>
      <c r="AW179" s="334"/>
      <c r="AX179" s="334"/>
      <c r="AY179" s="331"/>
      <c r="AZ179" s="334"/>
      <c r="BA179" s="334"/>
      <c r="BB179" s="331"/>
      <c r="BC179" s="334"/>
      <c r="BD179" s="334"/>
      <c r="BE179" s="331"/>
      <c r="BF179" s="334"/>
      <c r="BG179" s="334"/>
      <c r="BH179" s="331"/>
      <c r="BI179" s="334"/>
      <c r="BJ179" s="334"/>
      <c r="BK179" s="331"/>
      <c r="BL179" s="334"/>
      <c r="BM179" s="334"/>
      <c r="BN179" s="331"/>
      <c r="BO179" s="334"/>
      <c r="BP179" s="334"/>
      <c r="BQ179" s="331"/>
      <c r="BR179" s="332"/>
    </row>
    <row r="180" spans="1:70">
      <c r="A180" s="142" t="s">
        <v>3505</v>
      </c>
      <c r="B180" s="268">
        <v>7200</v>
      </c>
      <c r="C180" s="268">
        <v>0</v>
      </c>
      <c r="D180" s="333"/>
      <c r="E180" s="333"/>
      <c r="F180" s="331"/>
      <c r="G180" s="334"/>
      <c r="H180" s="334"/>
      <c r="I180" s="331"/>
      <c r="J180" s="334"/>
      <c r="K180" s="334"/>
      <c r="L180" s="331"/>
      <c r="M180" s="334"/>
      <c r="N180" s="334"/>
      <c r="O180" s="331"/>
      <c r="P180" s="334"/>
      <c r="Q180" s="334"/>
      <c r="R180" s="331"/>
      <c r="S180" s="334"/>
      <c r="T180" s="334"/>
      <c r="U180" s="331"/>
      <c r="V180" s="334"/>
      <c r="W180" s="334"/>
      <c r="X180" s="331"/>
      <c r="Y180" s="334"/>
      <c r="Z180" s="334"/>
      <c r="AA180" s="331"/>
      <c r="AB180" s="334"/>
      <c r="AC180" s="334"/>
      <c r="AD180" s="331"/>
      <c r="AE180" s="334"/>
      <c r="AF180" s="334"/>
      <c r="AG180" s="331"/>
      <c r="AH180" s="334"/>
      <c r="AI180" s="334"/>
      <c r="AJ180" s="331"/>
      <c r="AK180" s="334"/>
      <c r="AL180" s="334"/>
      <c r="AM180" s="331"/>
      <c r="AN180" s="334"/>
      <c r="AO180" s="334"/>
      <c r="AP180" s="331"/>
      <c r="AQ180" s="334"/>
      <c r="AR180" s="334"/>
      <c r="AS180" s="331"/>
      <c r="AT180" s="334"/>
      <c r="AU180" s="334"/>
      <c r="AV180" s="331"/>
      <c r="AW180" s="334"/>
      <c r="AX180" s="334"/>
      <c r="AY180" s="331"/>
      <c r="AZ180" s="334"/>
      <c r="BA180" s="334"/>
      <c r="BB180" s="331"/>
      <c r="BC180" s="334"/>
      <c r="BD180" s="334"/>
      <c r="BE180" s="331"/>
      <c r="BF180" s="334"/>
      <c r="BG180" s="334"/>
      <c r="BH180" s="331"/>
      <c r="BI180" s="334"/>
      <c r="BJ180" s="334"/>
      <c r="BK180" s="331"/>
      <c r="BL180" s="334"/>
      <c r="BM180" s="334"/>
      <c r="BN180" s="331"/>
      <c r="BO180" s="334"/>
      <c r="BP180" s="334"/>
      <c r="BQ180" s="331"/>
      <c r="BR180" s="332"/>
    </row>
    <row r="181" spans="1:70">
      <c r="A181" s="142" t="s">
        <v>3512</v>
      </c>
      <c r="B181" s="268">
        <v>9700</v>
      </c>
      <c r="C181" s="268">
        <v>0</v>
      </c>
      <c r="D181" s="333"/>
      <c r="E181" s="333"/>
      <c r="F181" s="331"/>
      <c r="G181" s="334"/>
      <c r="H181" s="334"/>
      <c r="I181" s="331"/>
      <c r="J181" s="334"/>
      <c r="K181" s="334"/>
      <c r="L181" s="331"/>
      <c r="M181" s="334"/>
      <c r="N181" s="334"/>
      <c r="O181" s="331"/>
      <c r="P181" s="334"/>
      <c r="Q181" s="334"/>
      <c r="R181" s="331"/>
      <c r="S181" s="334"/>
      <c r="T181" s="334"/>
      <c r="U181" s="331"/>
      <c r="V181" s="334"/>
      <c r="W181" s="334"/>
      <c r="X181" s="331"/>
      <c r="Y181" s="334"/>
      <c r="Z181" s="334"/>
      <c r="AA181" s="331"/>
      <c r="AB181" s="334"/>
      <c r="AC181" s="334"/>
      <c r="AD181" s="331"/>
      <c r="AE181" s="334"/>
      <c r="AF181" s="334"/>
      <c r="AG181" s="331"/>
      <c r="AH181" s="334"/>
      <c r="AI181" s="334"/>
      <c r="AJ181" s="331"/>
      <c r="AK181" s="334"/>
      <c r="AL181" s="334"/>
      <c r="AM181" s="331"/>
      <c r="AN181" s="334"/>
      <c r="AO181" s="334"/>
      <c r="AP181" s="331"/>
      <c r="AQ181" s="334"/>
      <c r="AR181" s="334"/>
      <c r="AS181" s="331"/>
      <c r="AT181" s="334"/>
      <c r="AU181" s="334"/>
      <c r="AV181" s="331"/>
      <c r="AW181" s="334"/>
      <c r="AX181" s="334"/>
      <c r="AY181" s="331"/>
      <c r="AZ181" s="334"/>
      <c r="BA181" s="334"/>
      <c r="BB181" s="331"/>
      <c r="BC181" s="334"/>
      <c r="BD181" s="334"/>
      <c r="BE181" s="331"/>
      <c r="BF181" s="334"/>
      <c r="BG181" s="334"/>
      <c r="BH181" s="331"/>
      <c r="BI181" s="334"/>
      <c r="BJ181" s="334"/>
      <c r="BK181" s="331"/>
      <c r="BL181" s="334"/>
      <c r="BM181" s="334"/>
      <c r="BN181" s="331"/>
      <c r="BO181" s="334"/>
      <c r="BP181" s="334"/>
      <c r="BQ181" s="331"/>
      <c r="BR181" s="332"/>
    </row>
    <row r="182" spans="1:70">
      <c r="A182" s="142" t="s">
        <v>4119</v>
      </c>
      <c r="B182" s="268">
        <v>17500</v>
      </c>
      <c r="C182" s="268">
        <v>0</v>
      </c>
      <c r="D182" s="333"/>
      <c r="E182" s="333"/>
      <c r="F182" s="331"/>
      <c r="G182" s="334"/>
      <c r="H182" s="334"/>
      <c r="I182" s="331"/>
      <c r="J182" s="334"/>
      <c r="K182" s="334"/>
      <c r="L182" s="331"/>
      <c r="M182" s="334"/>
      <c r="N182" s="334"/>
      <c r="O182" s="331"/>
      <c r="P182" s="334"/>
      <c r="Q182" s="334"/>
      <c r="R182" s="331"/>
      <c r="S182" s="334"/>
      <c r="T182" s="334"/>
      <c r="U182" s="331"/>
      <c r="V182" s="334"/>
      <c r="W182" s="334"/>
      <c r="X182" s="331"/>
      <c r="Y182" s="334"/>
      <c r="Z182" s="334"/>
      <c r="AA182" s="331"/>
      <c r="AB182" s="334"/>
      <c r="AC182" s="334"/>
      <c r="AD182" s="331"/>
      <c r="AE182" s="334"/>
      <c r="AF182" s="334"/>
      <c r="AG182" s="331"/>
      <c r="AH182" s="334"/>
      <c r="AI182" s="334"/>
      <c r="AJ182" s="331"/>
      <c r="AK182" s="334"/>
      <c r="AL182" s="334"/>
      <c r="AM182" s="331"/>
      <c r="AN182" s="334"/>
      <c r="AO182" s="334"/>
      <c r="AP182" s="331"/>
      <c r="AQ182" s="334"/>
      <c r="AR182" s="334"/>
      <c r="AS182" s="331"/>
      <c r="AT182" s="334"/>
      <c r="AU182" s="334"/>
      <c r="AV182" s="331"/>
      <c r="AW182" s="334"/>
      <c r="AX182" s="334"/>
      <c r="AY182" s="331"/>
      <c r="AZ182" s="334"/>
      <c r="BA182" s="334"/>
      <c r="BB182" s="331"/>
      <c r="BC182" s="334"/>
      <c r="BD182" s="334"/>
      <c r="BE182" s="331"/>
      <c r="BF182" s="334"/>
      <c r="BG182" s="334"/>
      <c r="BH182" s="331"/>
      <c r="BI182" s="334"/>
      <c r="BJ182" s="334"/>
      <c r="BK182" s="331"/>
      <c r="BL182" s="334"/>
      <c r="BM182" s="334"/>
      <c r="BN182" s="331"/>
      <c r="BO182" s="334"/>
      <c r="BP182" s="334"/>
      <c r="BQ182" s="331"/>
      <c r="BR182" s="332"/>
    </row>
    <row r="183" spans="1:70">
      <c r="A183" s="142" t="s">
        <v>4123</v>
      </c>
      <c r="B183" s="268">
        <v>14700</v>
      </c>
      <c r="C183" s="268">
        <v>0</v>
      </c>
      <c r="D183" s="333"/>
      <c r="E183" s="333"/>
      <c r="F183" s="331"/>
      <c r="G183" s="334"/>
      <c r="H183" s="334"/>
      <c r="I183" s="331"/>
      <c r="J183" s="334"/>
      <c r="K183" s="334"/>
      <c r="L183" s="331"/>
      <c r="M183" s="334"/>
      <c r="N183" s="334"/>
      <c r="O183" s="331"/>
      <c r="P183" s="334"/>
      <c r="Q183" s="334"/>
      <c r="R183" s="331"/>
      <c r="S183" s="334"/>
      <c r="T183" s="334"/>
      <c r="U183" s="331"/>
      <c r="V183" s="334"/>
      <c r="W183" s="334"/>
      <c r="X183" s="331"/>
      <c r="Y183" s="334"/>
      <c r="Z183" s="334"/>
      <c r="AA183" s="331"/>
      <c r="AB183" s="334"/>
      <c r="AC183" s="334"/>
      <c r="AD183" s="331"/>
      <c r="AE183" s="334"/>
      <c r="AF183" s="334"/>
      <c r="AG183" s="331"/>
      <c r="AH183" s="334"/>
      <c r="AI183" s="334"/>
      <c r="AJ183" s="331"/>
      <c r="AK183" s="334"/>
      <c r="AL183" s="334"/>
      <c r="AM183" s="331"/>
      <c r="AN183" s="334"/>
      <c r="AO183" s="334"/>
      <c r="AP183" s="331"/>
      <c r="AQ183" s="334"/>
      <c r="AR183" s="334"/>
      <c r="AS183" s="331"/>
      <c r="AT183" s="334"/>
      <c r="AU183" s="334"/>
      <c r="AV183" s="331"/>
      <c r="AW183" s="334"/>
      <c r="AX183" s="334"/>
      <c r="AY183" s="331"/>
      <c r="AZ183" s="334"/>
      <c r="BA183" s="334"/>
      <c r="BB183" s="331"/>
      <c r="BC183" s="334"/>
      <c r="BD183" s="334"/>
      <c r="BE183" s="331"/>
      <c r="BF183" s="334"/>
      <c r="BG183" s="334"/>
      <c r="BH183" s="331"/>
      <c r="BI183" s="334"/>
      <c r="BJ183" s="334"/>
      <c r="BK183" s="331"/>
      <c r="BL183" s="334"/>
      <c r="BM183" s="334"/>
      <c r="BN183" s="331"/>
      <c r="BO183" s="334"/>
      <c r="BP183" s="334"/>
      <c r="BQ183" s="331"/>
      <c r="BR183" s="332"/>
    </row>
    <row r="184" spans="1:70">
      <c r="A184" s="142" t="s">
        <v>3280</v>
      </c>
      <c r="B184" s="268">
        <v>14900</v>
      </c>
      <c r="C184" s="268">
        <v>0</v>
      </c>
      <c r="D184" s="333"/>
      <c r="E184" s="333"/>
      <c r="F184" s="331"/>
      <c r="G184" s="334"/>
      <c r="H184" s="334"/>
      <c r="I184" s="331"/>
      <c r="J184" s="334"/>
      <c r="K184" s="334"/>
      <c r="L184" s="331"/>
      <c r="M184" s="334"/>
      <c r="N184" s="334"/>
      <c r="O184" s="331"/>
      <c r="P184" s="334"/>
      <c r="Q184" s="334"/>
      <c r="R184" s="331"/>
      <c r="S184" s="334"/>
      <c r="T184" s="334"/>
      <c r="U184" s="331"/>
      <c r="V184" s="334"/>
      <c r="W184" s="334"/>
      <c r="X184" s="331"/>
      <c r="Y184" s="334"/>
      <c r="Z184" s="334"/>
      <c r="AA184" s="331"/>
      <c r="AB184" s="334"/>
      <c r="AC184" s="334"/>
      <c r="AD184" s="331"/>
      <c r="AE184" s="334"/>
      <c r="AF184" s="334"/>
      <c r="AG184" s="331"/>
      <c r="AH184" s="334"/>
      <c r="AI184" s="334"/>
      <c r="AJ184" s="331"/>
      <c r="AK184" s="334"/>
      <c r="AL184" s="334"/>
      <c r="AM184" s="331"/>
      <c r="AN184" s="334"/>
      <c r="AO184" s="334"/>
      <c r="AP184" s="331"/>
      <c r="AQ184" s="334"/>
      <c r="AR184" s="334"/>
      <c r="AS184" s="331"/>
      <c r="AT184" s="334"/>
      <c r="AU184" s="334"/>
      <c r="AV184" s="331"/>
      <c r="AW184" s="334"/>
      <c r="AX184" s="334"/>
      <c r="AY184" s="331"/>
      <c r="AZ184" s="334"/>
      <c r="BA184" s="334"/>
      <c r="BB184" s="331"/>
      <c r="BC184" s="334"/>
      <c r="BD184" s="334"/>
      <c r="BE184" s="331"/>
      <c r="BF184" s="334"/>
      <c r="BG184" s="334"/>
      <c r="BH184" s="331"/>
      <c r="BI184" s="334"/>
      <c r="BJ184" s="334"/>
      <c r="BK184" s="331"/>
      <c r="BL184" s="334"/>
      <c r="BM184" s="334"/>
      <c r="BN184" s="331"/>
      <c r="BO184" s="334"/>
      <c r="BP184" s="334"/>
      <c r="BQ184" s="331"/>
      <c r="BR184" s="332"/>
    </row>
    <row r="185" spans="1:70">
      <c r="A185" s="142" t="s">
        <v>3611</v>
      </c>
      <c r="B185" s="268">
        <v>9500</v>
      </c>
      <c r="C185" s="268">
        <v>0</v>
      </c>
      <c r="D185" s="333"/>
      <c r="E185" s="333"/>
      <c r="F185" s="331"/>
      <c r="G185" s="334"/>
      <c r="H185" s="334"/>
      <c r="I185" s="331"/>
      <c r="J185" s="334"/>
      <c r="K185" s="334"/>
      <c r="L185" s="331"/>
      <c r="M185" s="334"/>
      <c r="N185" s="334"/>
      <c r="O185" s="331"/>
      <c r="P185" s="334"/>
      <c r="Q185" s="334"/>
      <c r="R185" s="331"/>
      <c r="S185" s="334"/>
      <c r="T185" s="334"/>
      <c r="U185" s="331"/>
      <c r="V185" s="334"/>
      <c r="W185" s="334"/>
      <c r="X185" s="331"/>
      <c r="Y185" s="334"/>
      <c r="Z185" s="334"/>
      <c r="AA185" s="331"/>
      <c r="AB185" s="334"/>
      <c r="AC185" s="334"/>
      <c r="AD185" s="331"/>
      <c r="AE185" s="334"/>
      <c r="AF185" s="334"/>
      <c r="AG185" s="331"/>
      <c r="AH185" s="334"/>
      <c r="AI185" s="334"/>
      <c r="AJ185" s="331"/>
      <c r="AK185" s="334"/>
      <c r="AL185" s="334"/>
      <c r="AM185" s="331"/>
      <c r="AN185" s="334"/>
      <c r="AO185" s="334"/>
      <c r="AP185" s="331"/>
      <c r="AQ185" s="334"/>
      <c r="AR185" s="334"/>
      <c r="AS185" s="331"/>
      <c r="AT185" s="334"/>
      <c r="AU185" s="334"/>
      <c r="AV185" s="331"/>
      <c r="AW185" s="334"/>
      <c r="AX185" s="334"/>
      <c r="AY185" s="331"/>
      <c r="AZ185" s="334"/>
      <c r="BA185" s="334"/>
      <c r="BB185" s="331"/>
      <c r="BC185" s="334"/>
      <c r="BD185" s="334"/>
      <c r="BE185" s="331"/>
      <c r="BF185" s="334"/>
      <c r="BG185" s="334"/>
      <c r="BH185" s="331"/>
      <c r="BI185" s="334"/>
      <c r="BJ185" s="334"/>
      <c r="BK185" s="331"/>
      <c r="BL185" s="334"/>
      <c r="BM185" s="334"/>
      <c r="BN185" s="331"/>
      <c r="BO185" s="334"/>
      <c r="BP185" s="334"/>
      <c r="BQ185" s="331"/>
      <c r="BR185" s="332"/>
    </row>
    <row r="186" spans="1:70">
      <c r="A186" s="142" t="s">
        <v>3704</v>
      </c>
      <c r="B186" s="268">
        <v>56900</v>
      </c>
      <c r="C186" s="268">
        <v>0</v>
      </c>
      <c r="D186" s="333"/>
      <c r="E186" s="333"/>
      <c r="F186" s="331"/>
      <c r="G186" s="334"/>
      <c r="H186" s="334"/>
      <c r="I186" s="331"/>
      <c r="J186" s="334"/>
      <c r="K186" s="334"/>
      <c r="L186" s="331"/>
      <c r="M186" s="334"/>
      <c r="N186" s="334"/>
      <c r="O186" s="331"/>
      <c r="P186" s="334"/>
      <c r="Q186" s="334"/>
      <c r="R186" s="331"/>
      <c r="S186" s="334"/>
      <c r="T186" s="334"/>
      <c r="U186" s="331"/>
      <c r="V186" s="334"/>
      <c r="W186" s="334"/>
      <c r="X186" s="331"/>
      <c r="Y186" s="334"/>
      <c r="Z186" s="334"/>
      <c r="AA186" s="331"/>
      <c r="AB186" s="334"/>
      <c r="AC186" s="334"/>
      <c r="AD186" s="331"/>
      <c r="AE186" s="334"/>
      <c r="AF186" s="334"/>
      <c r="AG186" s="331"/>
      <c r="AH186" s="334"/>
      <c r="AI186" s="334"/>
      <c r="AJ186" s="331"/>
      <c r="AK186" s="334"/>
      <c r="AL186" s="334"/>
      <c r="AM186" s="331"/>
      <c r="AN186" s="334"/>
      <c r="AO186" s="334"/>
      <c r="AP186" s="331"/>
      <c r="AQ186" s="334"/>
      <c r="AR186" s="334"/>
      <c r="AS186" s="331"/>
      <c r="AT186" s="334"/>
      <c r="AU186" s="334"/>
      <c r="AV186" s="331"/>
      <c r="AW186" s="334"/>
      <c r="AX186" s="334"/>
      <c r="AY186" s="331"/>
      <c r="AZ186" s="334"/>
      <c r="BA186" s="334"/>
      <c r="BB186" s="331"/>
      <c r="BC186" s="334"/>
      <c r="BD186" s="334"/>
      <c r="BE186" s="331"/>
      <c r="BF186" s="334"/>
      <c r="BG186" s="334"/>
      <c r="BH186" s="331"/>
      <c r="BI186" s="334"/>
      <c r="BJ186" s="334"/>
      <c r="BK186" s="331"/>
      <c r="BL186" s="334"/>
      <c r="BM186" s="334"/>
      <c r="BN186" s="331"/>
      <c r="BO186" s="334"/>
      <c r="BP186" s="334"/>
      <c r="BQ186" s="331"/>
      <c r="BR186" s="332"/>
    </row>
    <row r="187" spans="1:70">
      <c r="A187" s="142" t="s">
        <v>4569</v>
      </c>
      <c r="B187" s="268">
        <v>13600</v>
      </c>
      <c r="C187" s="268">
        <v>0</v>
      </c>
      <c r="D187" s="333"/>
      <c r="E187" s="333"/>
      <c r="F187" s="331"/>
      <c r="G187" s="334"/>
      <c r="H187" s="334"/>
      <c r="I187" s="331"/>
      <c r="J187" s="334"/>
      <c r="K187" s="334"/>
      <c r="L187" s="331"/>
      <c r="M187" s="334"/>
      <c r="N187" s="334"/>
      <c r="O187" s="331"/>
      <c r="P187" s="334"/>
      <c r="Q187" s="334"/>
      <c r="R187" s="331"/>
      <c r="S187" s="334"/>
      <c r="T187" s="334"/>
      <c r="U187" s="331"/>
      <c r="V187" s="334"/>
      <c r="W187" s="334"/>
      <c r="X187" s="331"/>
      <c r="Y187" s="334"/>
      <c r="Z187" s="334"/>
      <c r="AA187" s="331"/>
      <c r="AB187" s="334"/>
      <c r="AC187" s="334"/>
      <c r="AD187" s="331"/>
      <c r="AE187" s="334"/>
      <c r="AF187" s="334"/>
      <c r="AG187" s="331"/>
      <c r="AH187" s="334"/>
      <c r="AI187" s="334"/>
      <c r="AJ187" s="331"/>
      <c r="AK187" s="334"/>
      <c r="AL187" s="334"/>
      <c r="AM187" s="331"/>
      <c r="AN187" s="334"/>
      <c r="AO187" s="334"/>
      <c r="AP187" s="331"/>
      <c r="AQ187" s="334"/>
      <c r="AR187" s="334"/>
      <c r="AS187" s="331"/>
      <c r="AT187" s="334"/>
      <c r="AU187" s="334"/>
      <c r="AV187" s="331"/>
      <c r="AW187" s="334"/>
      <c r="AX187" s="334"/>
      <c r="AY187" s="331"/>
      <c r="AZ187" s="334"/>
      <c r="BA187" s="334"/>
      <c r="BB187" s="331"/>
      <c r="BC187" s="334"/>
      <c r="BD187" s="334"/>
      <c r="BE187" s="331"/>
      <c r="BF187" s="334"/>
      <c r="BG187" s="334"/>
      <c r="BH187" s="331"/>
      <c r="BI187" s="334"/>
      <c r="BJ187" s="334"/>
      <c r="BK187" s="331"/>
      <c r="BL187" s="334"/>
      <c r="BM187" s="334"/>
      <c r="BN187" s="331"/>
      <c r="BO187" s="334"/>
      <c r="BP187" s="334"/>
      <c r="BQ187" s="331"/>
      <c r="BR187" s="332"/>
    </row>
    <row r="188" spans="1:70">
      <c r="A188" s="142" t="s">
        <v>4575</v>
      </c>
      <c r="B188" s="268">
        <v>12500</v>
      </c>
      <c r="C188" s="268">
        <v>0</v>
      </c>
      <c r="D188" s="333"/>
      <c r="E188" s="333"/>
      <c r="F188" s="331"/>
      <c r="G188" s="334"/>
      <c r="H188" s="334"/>
      <c r="I188" s="331"/>
      <c r="J188" s="334"/>
      <c r="K188" s="334"/>
      <c r="L188" s="331"/>
      <c r="M188" s="334"/>
      <c r="N188" s="334"/>
      <c r="O188" s="331"/>
      <c r="P188" s="334"/>
      <c r="Q188" s="334"/>
      <c r="R188" s="331"/>
      <c r="S188" s="334"/>
      <c r="T188" s="334"/>
      <c r="U188" s="331"/>
      <c r="V188" s="334"/>
      <c r="W188" s="334"/>
      <c r="X188" s="331"/>
      <c r="Y188" s="334"/>
      <c r="Z188" s="334"/>
      <c r="AA188" s="331"/>
      <c r="AB188" s="334"/>
      <c r="AC188" s="334"/>
      <c r="AD188" s="331"/>
      <c r="AE188" s="334"/>
      <c r="AF188" s="334"/>
      <c r="AG188" s="331"/>
      <c r="AH188" s="334"/>
      <c r="AI188" s="334"/>
      <c r="AJ188" s="331"/>
      <c r="AK188" s="334"/>
      <c r="AL188" s="334"/>
      <c r="AM188" s="331"/>
      <c r="AN188" s="334"/>
      <c r="AO188" s="334"/>
      <c r="AP188" s="331"/>
      <c r="AQ188" s="334"/>
      <c r="AR188" s="334"/>
      <c r="AS188" s="331"/>
      <c r="AT188" s="334"/>
      <c r="AU188" s="334"/>
      <c r="AV188" s="331"/>
      <c r="AW188" s="334"/>
      <c r="AX188" s="334"/>
      <c r="AY188" s="331"/>
      <c r="AZ188" s="334"/>
      <c r="BA188" s="334"/>
      <c r="BB188" s="331"/>
      <c r="BC188" s="334"/>
      <c r="BD188" s="334"/>
      <c r="BE188" s="331"/>
      <c r="BF188" s="334"/>
      <c r="BG188" s="334"/>
      <c r="BH188" s="331"/>
      <c r="BI188" s="334"/>
      <c r="BJ188" s="334"/>
      <c r="BK188" s="331"/>
      <c r="BL188" s="334"/>
      <c r="BM188" s="334"/>
      <c r="BN188" s="331"/>
      <c r="BO188" s="334"/>
      <c r="BP188" s="334"/>
      <c r="BQ188" s="331"/>
      <c r="BR188" s="332"/>
    </row>
    <row r="189" spans="1:70">
      <c r="A189" s="142" t="s">
        <v>4649</v>
      </c>
      <c r="B189" s="268">
        <v>18900</v>
      </c>
      <c r="C189" s="268">
        <v>0</v>
      </c>
      <c r="D189" s="333"/>
      <c r="E189" s="333"/>
      <c r="F189" s="331"/>
      <c r="G189" s="334"/>
      <c r="H189" s="334"/>
      <c r="I189" s="331"/>
      <c r="J189" s="334"/>
      <c r="K189" s="334"/>
      <c r="L189" s="331"/>
      <c r="M189" s="334"/>
      <c r="N189" s="334"/>
      <c r="O189" s="331"/>
      <c r="P189" s="334"/>
      <c r="Q189" s="334"/>
      <c r="R189" s="331"/>
      <c r="S189" s="334"/>
      <c r="T189" s="334"/>
      <c r="U189" s="331"/>
      <c r="V189" s="334"/>
      <c r="W189" s="334"/>
      <c r="X189" s="331"/>
      <c r="Y189" s="334"/>
      <c r="Z189" s="334"/>
      <c r="AA189" s="331"/>
      <c r="AB189" s="334"/>
      <c r="AC189" s="334"/>
      <c r="AD189" s="331"/>
      <c r="AE189" s="334"/>
      <c r="AF189" s="334"/>
      <c r="AG189" s="331"/>
      <c r="AH189" s="334"/>
      <c r="AI189" s="334"/>
      <c r="AJ189" s="331"/>
      <c r="AK189" s="334"/>
      <c r="AL189" s="334"/>
      <c r="AM189" s="331"/>
      <c r="AN189" s="334"/>
      <c r="AO189" s="334"/>
      <c r="AP189" s="331"/>
      <c r="AQ189" s="334"/>
      <c r="AR189" s="334"/>
      <c r="AS189" s="331"/>
      <c r="AT189" s="334"/>
      <c r="AU189" s="334"/>
      <c r="AV189" s="331"/>
      <c r="AW189" s="334"/>
      <c r="AX189" s="334"/>
      <c r="AY189" s="331"/>
      <c r="AZ189" s="334"/>
      <c r="BA189" s="334"/>
      <c r="BB189" s="331"/>
      <c r="BC189" s="334"/>
      <c r="BD189" s="334"/>
      <c r="BE189" s="331"/>
      <c r="BF189" s="334"/>
      <c r="BG189" s="334"/>
      <c r="BH189" s="331"/>
      <c r="BI189" s="334"/>
      <c r="BJ189" s="334"/>
      <c r="BK189" s="331"/>
      <c r="BL189" s="334"/>
      <c r="BM189" s="334"/>
      <c r="BN189" s="331"/>
      <c r="BO189" s="334"/>
      <c r="BP189" s="334"/>
      <c r="BQ189" s="331"/>
      <c r="BR189" s="332"/>
    </row>
    <row r="190" spans="1:70">
      <c r="A190" s="142" t="s">
        <v>4653</v>
      </c>
      <c r="B190" s="268">
        <v>27500</v>
      </c>
      <c r="C190" s="268">
        <v>0</v>
      </c>
      <c r="D190" s="333"/>
      <c r="E190" s="333"/>
      <c r="F190" s="331"/>
      <c r="G190" s="334"/>
      <c r="H190" s="334"/>
      <c r="I190" s="331"/>
      <c r="J190" s="334"/>
      <c r="K190" s="334"/>
      <c r="L190" s="331"/>
      <c r="M190" s="334"/>
      <c r="N190" s="334"/>
      <c r="O190" s="331"/>
      <c r="P190" s="334"/>
      <c r="Q190" s="334"/>
      <c r="R190" s="331"/>
      <c r="S190" s="334"/>
      <c r="T190" s="334"/>
      <c r="U190" s="331"/>
      <c r="V190" s="334"/>
      <c r="W190" s="334"/>
      <c r="X190" s="331"/>
      <c r="Y190" s="334"/>
      <c r="Z190" s="334"/>
      <c r="AA190" s="331"/>
      <c r="AB190" s="334"/>
      <c r="AC190" s="334"/>
      <c r="AD190" s="331"/>
      <c r="AE190" s="334"/>
      <c r="AF190" s="334"/>
      <c r="AG190" s="331"/>
      <c r="AH190" s="334"/>
      <c r="AI190" s="334"/>
      <c r="AJ190" s="331"/>
      <c r="AK190" s="334"/>
      <c r="AL190" s="334"/>
      <c r="AM190" s="331"/>
      <c r="AN190" s="334"/>
      <c r="AO190" s="334"/>
      <c r="AP190" s="331"/>
      <c r="AQ190" s="334"/>
      <c r="AR190" s="334"/>
      <c r="AS190" s="331"/>
      <c r="AT190" s="334"/>
      <c r="AU190" s="334"/>
      <c r="AV190" s="331"/>
      <c r="AW190" s="334"/>
      <c r="AX190" s="334"/>
      <c r="AY190" s="331"/>
      <c r="AZ190" s="334"/>
      <c r="BA190" s="334"/>
      <c r="BB190" s="331"/>
      <c r="BC190" s="334"/>
      <c r="BD190" s="334"/>
      <c r="BE190" s="331"/>
      <c r="BF190" s="334"/>
      <c r="BG190" s="334"/>
      <c r="BH190" s="331"/>
      <c r="BI190" s="334"/>
      <c r="BJ190" s="334"/>
      <c r="BK190" s="331"/>
      <c r="BL190" s="334"/>
      <c r="BM190" s="334"/>
      <c r="BN190" s="331"/>
      <c r="BO190" s="334"/>
      <c r="BP190" s="334"/>
      <c r="BQ190" s="331"/>
      <c r="BR190" s="332"/>
    </row>
    <row r="191" spans="1:70">
      <c r="A191" s="142" t="s">
        <v>4659</v>
      </c>
      <c r="B191" s="268">
        <v>15700</v>
      </c>
      <c r="C191" s="268">
        <v>0</v>
      </c>
      <c r="D191" s="333"/>
      <c r="E191" s="333"/>
      <c r="F191" s="331"/>
      <c r="G191" s="334"/>
      <c r="H191" s="334"/>
      <c r="I191" s="331"/>
      <c r="J191" s="334"/>
      <c r="K191" s="334"/>
      <c r="L191" s="331"/>
      <c r="M191" s="334"/>
      <c r="N191" s="334"/>
      <c r="O191" s="331"/>
      <c r="P191" s="334"/>
      <c r="Q191" s="334"/>
      <c r="R191" s="331"/>
      <c r="S191" s="334"/>
      <c r="T191" s="334"/>
      <c r="U191" s="331"/>
      <c r="V191" s="334"/>
      <c r="W191" s="334"/>
      <c r="X191" s="331"/>
      <c r="Y191" s="334"/>
      <c r="Z191" s="334"/>
      <c r="AA191" s="331"/>
      <c r="AB191" s="334"/>
      <c r="AC191" s="334"/>
      <c r="AD191" s="331"/>
      <c r="AE191" s="334"/>
      <c r="AF191" s="334"/>
      <c r="AG191" s="331"/>
      <c r="AH191" s="334"/>
      <c r="AI191" s="334"/>
      <c r="AJ191" s="331"/>
      <c r="AK191" s="334"/>
      <c r="AL191" s="334"/>
      <c r="AM191" s="331"/>
      <c r="AN191" s="334"/>
      <c r="AO191" s="334"/>
      <c r="AP191" s="331"/>
      <c r="AQ191" s="334"/>
      <c r="AR191" s="334"/>
      <c r="AS191" s="331"/>
      <c r="AT191" s="334"/>
      <c r="AU191" s="334"/>
      <c r="AV191" s="331"/>
      <c r="AW191" s="334"/>
      <c r="AX191" s="334"/>
      <c r="AY191" s="331"/>
      <c r="AZ191" s="334"/>
      <c r="BA191" s="334"/>
      <c r="BB191" s="331"/>
      <c r="BC191" s="334"/>
      <c r="BD191" s="334"/>
      <c r="BE191" s="331"/>
      <c r="BF191" s="334"/>
      <c r="BG191" s="334"/>
      <c r="BH191" s="331"/>
      <c r="BI191" s="334"/>
      <c r="BJ191" s="334"/>
      <c r="BK191" s="331"/>
      <c r="BL191" s="334"/>
      <c r="BM191" s="334"/>
      <c r="BN191" s="331"/>
      <c r="BO191" s="334"/>
      <c r="BP191" s="334"/>
      <c r="BQ191" s="331"/>
      <c r="BR191" s="332"/>
    </row>
    <row r="192" spans="1:70">
      <c r="A192" s="142" t="s">
        <v>2871</v>
      </c>
      <c r="B192" s="268">
        <v>99500</v>
      </c>
      <c r="C192" s="268">
        <v>0</v>
      </c>
      <c r="D192" s="333"/>
      <c r="E192" s="333"/>
      <c r="F192" s="331"/>
      <c r="G192" s="334"/>
      <c r="H192" s="334"/>
      <c r="I192" s="331"/>
      <c r="J192" s="334"/>
      <c r="K192" s="334"/>
      <c r="L192" s="331"/>
      <c r="M192" s="334"/>
      <c r="N192" s="334"/>
      <c r="O192" s="331"/>
      <c r="P192" s="334"/>
      <c r="Q192" s="334"/>
      <c r="R192" s="331"/>
      <c r="S192" s="334"/>
      <c r="T192" s="334"/>
      <c r="U192" s="331"/>
      <c r="V192" s="334"/>
      <c r="W192" s="334"/>
      <c r="X192" s="331"/>
      <c r="Y192" s="334"/>
      <c r="Z192" s="334"/>
      <c r="AA192" s="331"/>
      <c r="AB192" s="334"/>
      <c r="AC192" s="334"/>
      <c r="AD192" s="331"/>
      <c r="AE192" s="334"/>
      <c r="AF192" s="334"/>
      <c r="AG192" s="331"/>
      <c r="AH192" s="334"/>
      <c r="AI192" s="334"/>
      <c r="AJ192" s="331"/>
      <c r="AK192" s="334"/>
      <c r="AL192" s="334"/>
      <c r="AM192" s="331"/>
      <c r="AN192" s="334"/>
      <c r="AO192" s="334"/>
      <c r="AP192" s="331"/>
      <c r="AQ192" s="334"/>
      <c r="AR192" s="334"/>
      <c r="AS192" s="331"/>
      <c r="AT192" s="334"/>
      <c r="AU192" s="334"/>
      <c r="AV192" s="331"/>
      <c r="AW192" s="334"/>
      <c r="AX192" s="334"/>
      <c r="AY192" s="331"/>
      <c r="AZ192" s="334"/>
      <c r="BA192" s="334"/>
      <c r="BB192" s="331"/>
      <c r="BC192" s="334"/>
      <c r="BD192" s="334"/>
      <c r="BE192" s="331"/>
      <c r="BF192" s="334"/>
      <c r="BG192" s="334"/>
      <c r="BH192" s="331"/>
      <c r="BI192" s="334"/>
      <c r="BJ192" s="334"/>
      <c r="BK192" s="331"/>
      <c r="BL192" s="334"/>
      <c r="BM192" s="334"/>
      <c r="BN192" s="331"/>
      <c r="BO192" s="334"/>
      <c r="BP192" s="334"/>
      <c r="BQ192" s="331"/>
      <c r="BR192" s="332"/>
    </row>
    <row r="193" spans="1:70">
      <c r="A193" s="142" t="s">
        <v>3006</v>
      </c>
      <c r="B193" s="268">
        <v>26600</v>
      </c>
      <c r="C193" s="268">
        <v>0</v>
      </c>
      <c r="D193" s="333"/>
      <c r="E193" s="333"/>
      <c r="F193" s="331"/>
      <c r="G193" s="334"/>
      <c r="H193" s="334"/>
      <c r="I193" s="331"/>
      <c r="J193" s="334"/>
      <c r="K193" s="334"/>
      <c r="L193" s="331"/>
      <c r="M193" s="334"/>
      <c r="N193" s="334"/>
      <c r="O193" s="331"/>
      <c r="P193" s="334"/>
      <c r="Q193" s="334"/>
      <c r="R193" s="331"/>
      <c r="S193" s="334"/>
      <c r="T193" s="334"/>
      <c r="U193" s="331"/>
      <c r="V193" s="334"/>
      <c r="W193" s="334"/>
      <c r="X193" s="331"/>
      <c r="Y193" s="334"/>
      <c r="Z193" s="334"/>
      <c r="AA193" s="331"/>
      <c r="AB193" s="334"/>
      <c r="AC193" s="334"/>
      <c r="AD193" s="331"/>
      <c r="AE193" s="334"/>
      <c r="AF193" s="334"/>
      <c r="AG193" s="331"/>
      <c r="AH193" s="334"/>
      <c r="AI193" s="334"/>
      <c r="AJ193" s="331"/>
      <c r="AK193" s="334"/>
      <c r="AL193" s="334"/>
      <c r="AM193" s="331"/>
      <c r="AN193" s="334"/>
      <c r="AO193" s="334"/>
      <c r="AP193" s="331"/>
      <c r="AQ193" s="334"/>
      <c r="AR193" s="334"/>
      <c r="AS193" s="331"/>
      <c r="AT193" s="334"/>
      <c r="AU193" s="334"/>
      <c r="AV193" s="331"/>
      <c r="AW193" s="334"/>
      <c r="AX193" s="334"/>
      <c r="AY193" s="331"/>
      <c r="AZ193" s="334"/>
      <c r="BA193" s="334"/>
      <c r="BB193" s="331"/>
      <c r="BC193" s="334"/>
      <c r="BD193" s="334"/>
      <c r="BE193" s="331"/>
      <c r="BF193" s="334"/>
      <c r="BG193" s="334"/>
      <c r="BH193" s="331"/>
      <c r="BI193" s="334"/>
      <c r="BJ193" s="334"/>
      <c r="BK193" s="331"/>
      <c r="BL193" s="334"/>
      <c r="BM193" s="334"/>
      <c r="BN193" s="331"/>
      <c r="BO193" s="334"/>
      <c r="BP193" s="334"/>
      <c r="BQ193" s="331"/>
      <c r="BR193" s="332"/>
    </row>
    <row r="194" spans="1:70">
      <c r="A194" s="142" t="s">
        <v>3039</v>
      </c>
      <c r="B194" s="268">
        <v>15900</v>
      </c>
      <c r="C194" s="268">
        <v>0</v>
      </c>
      <c r="D194" s="333"/>
      <c r="E194" s="333"/>
      <c r="F194" s="331"/>
      <c r="G194" s="334"/>
      <c r="H194" s="334"/>
      <c r="I194" s="331"/>
      <c r="J194" s="334"/>
      <c r="K194" s="334"/>
      <c r="L194" s="331"/>
      <c r="M194" s="334"/>
      <c r="N194" s="334"/>
      <c r="O194" s="331"/>
      <c r="P194" s="334"/>
      <c r="Q194" s="334"/>
      <c r="R194" s="331"/>
      <c r="S194" s="334"/>
      <c r="T194" s="334"/>
      <c r="U194" s="331"/>
      <c r="V194" s="334"/>
      <c r="W194" s="334"/>
      <c r="X194" s="331"/>
      <c r="Y194" s="334"/>
      <c r="Z194" s="334"/>
      <c r="AA194" s="331"/>
      <c r="AB194" s="334"/>
      <c r="AC194" s="334"/>
      <c r="AD194" s="331"/>
      <c r="AE194" s="334"/>
      <c r="AF194" s="334"/>
      <c r="AG194" s="331"/>
      <c r="AH194" s="334"/>
      <c r="AI194" s="334"/>
      <c r="AJ194" s="331"/>
      <c r="AK194" s="334"/>
      <c r="AL194" s="334"/>
      <c r="AM194" s="331"/>
      <c r="AN194" s="334"/>
      <c r="AO194" s="334"/>
      <c r="AP194" s="331"/>
      <c r="AQ194" s="334"/>
      <c r="AR194" s="334"/>
      <c r="AS194" s="331"/>
      <c r="AT194" s="334"/>
      <c r="AU194" s="334"/>
      <c r="AV194" s="331"/>
      <c r="AW194" s="334"/>
      <c r="AX194" s="334"/>
      <c r="AY194" s="331"/>
      <c r="AZ194" s="334"/>
      <c r="BA194" s="334"/>
      <c r="BB194" s="331"/>
      <c r="BC194" s="334"/>
      <c r="BD194" s="334"/>
      <c r="BE194" s="331"/>
      <c r="BF194" s="334"/>
      <c r="BG194" s="334"/>
      <c r="BH194" s="331"/>
      <c r="BI194" s="334"/>
      <c r="BJ194" s="334"/>
      <c r="BK194" s="331"/>
      <c r="BL194" s="334"/>
      <c r="BM194" s="334"/>
      <c r="BN194" s="331"/>
      <c r="BO194" s="334"/>
      <c r="BP194" s="334"/>
      <c r="BQ194" s="331"/>
      <c r="BR194" s="332"/>
    </row>
    <row r="195" spans="1:70">
      <c r="A195" s="142" t="s">
        <v>4718</v>
      </c>
      <c r="B195" s="268">
        <v>322700</v>
      </c>
      <c r="C195" s="268">
        <v>0</v>
      </c>
      <c r="D195" s="333"/>
      <c r="E195" s="333"/>
      <c r="F195" s="331"/>
      <c r="G195" s="334"/>
      <c r="H195" s="334"/>
      <c r="I195" s="331"/>
      <c r="J195" s="334"/>
      <c r="K195" s="334"/>
      <c r="L195" s="331"/>
      <c r="M195" s="334"/>
      <c r="N195" s="334"/>
      <c r="O195" s="331"/>
      <c r="P195" s="334"/>
      <c r="Q195" s="334"/>
      <c r="R195" s="331"/>
      <c r="S195" s="334"/>
      <c r="T195" s="334"/>
      <c r="U195" s="331"/>
      <c r="V195" s="334"/>
      <c r="W195" s="334"/>
      <c r="X195" s="331"/>
      <c r="Y195" s="334"/>
      <c r="Z195" s="334"/>
      <c r="AA195" s="331"/>
      <c r="AB195" s="334"/>
      <c r="AC195" s="334"/>
      <c r="AD195" s="331"/>
      <c r="AE195" s="334"/>
      <c r="AF195" s="334"/>
      <c r="AG195" s="331"/>
      <c r="AH195" s="334"/>
      <c r="AI195" s="334"/>
      <c r="AJ195" s="331"/>
      <c r="AK195" s="334"/>
      <c r="AL195" s="334"/>
      <c r="AM195" s="331"/>
      <c r="AN195" s="334"/>
      <c r="AO195" s="334"/>
      <c r="AP195" s="331"/>
      <c r="AQ195" s="334"/>
      <c r="AR195" s="334"/>
      <c r="AS195" s="331"/>
      <c r="AT195" s="334"/>
      <c r="AU195" s="334"/>
      <c r="AV195" s="331"/>
      <c r="AW195" s="334"/>
      <c r="AX195" s="334"/>
      <c r="AY195" s="331"/>
      <c r="AZ195" s="334"/>
      <c r="BA195" s="334"/>
      <c r="BB195" s="331"/>
      <c r="BC195" s="334"/>
      <c r="BD195" s="334"/>
      <c r="BE195" s="331"/>
      <c r="BF195" s="334"/>
      <c r="BG195" s="334"/>
      <c r="BH195" s="331"/>
      <c r="BI195" s="334"/>
      <c r="BJ195" s="334"/>
      <c r="BK195" s="331"/>
      <c r="BL195" s="334"/>
      <c r="BM195" s="334"/>
      <c r="BN195" s="331"/>
      <c r="BO195" s="334"/>
      <c r="BP195" s="334"/>
      <c r="BQ195" s="331"/>
      <c r="BR195" s="332"/>
    </row>
    <row r="196" spans="1:70">
      <c r="A196" s="142" t="s">
        <v>3273</v>
      </c>
      <c r="B196" s="268">
        <v>13300</v>
      </c>
      <c r="C196" s="268">
        <v>0</v>
      </c>
      <c r="D196" s="333"/>
      <c r="E196" s="333"/>
      <c r="F196" s="331"/>
      <c r="G196" s="334"/>
      <c r="H196" s="334"/>
      <c r="I196" s="331"/>
      <c r="J196" s="334"/>
      <c r="K196" s="334"/>
      <c r="L196" s="331"/>
      <c r="M196" s="334"/>
      <c r="N196" s="334"/>
      <c r="O196" s="331"/>
      <c r="P196" s="334"/>
      <c r="Q196" s="334"/>
      <c r="R196" s="331"/>
      <c r="S196" s="334"/>
      <c r="T196" s="334"/>
      <c r="U196" s="331"/>
      <c r="V196" s="334"/>
      <c r="W196" s="334"/>
      <c r="X196" s="331"/>
      <c r="Y196" s="334"/>
      <c r="Z196" s="334"/>
      <c r="AA196" s="331"/>
      <c r="AB196" s="334"/>
      <c r="AC196" s="334"/>
      <c r="AD196" s="331"/>
      <c r="AE196" s="334"/>
      <c r="AF196" s="334"/>
      <c r="AG196" s="331"/>
      <c r="AH196" s="334"/>
      <c r="AI196" s="334"/>
      <c r="AJ196" s="331"/>
      <c r="AK196" s="334"/>
      <c r="AL196" s="334"/>
      <c r="AM196" s="331"/>
      <c r="AN196" s="334"/>
      <c r="AO196" s="334"/>
      <c r="AP196" s="331"/>
      <c r="AQ196" s="334"/>
      <c r="AR196" s="334"/>
      <c r="AS196" s="331"/>
      <c r="AT196" s="334"/>
      <c r="AU196" s="334"/>
      <c r="AV196" s="331"/>
      <c r="AW196" s="334"/>
      <c r="AX196" s="334"/>
      <c r="AY196" s="331"/>
      <c r="AZ196" s="334"/>
      <c r="BA196" s="334"/>
      <c r="BB196" s="331"/>
      <c r="BC196" s="334"/>
      <c r="BD196" s="334"/>
      <c r="BE196" s="331"/>
      <c r="BF196" s="334"/>
      <c r="BG196" s="334"/>
      <c r="BH196" s="331"/>
      <c r="BI196" s="334"/>
      <c r="BJ196" s="334"/>
      <c r="BK196" s="331"/>
      <c r="BL196" s="334"/>
      <c r="BM196" s="334"/>
      <c r="BN196" s="331"/>
      <c r="BO196" s="334"/>
      <c r="BP196" s="334"/>
      <c r="BQ196" s="331"/>
      <c r="BR196" s="332"/>
    </row>
    <row r="197" spans="1:70">
      <c r="A197" s="142" t="s">
        <v>3080</v>
      </c>
      <c r="B197" s="268">
        <v>138800</v>
      </c>
      <c r="C197" s="268">
        <v>0</v>
      </c>
      <c r="D197" s="333"/>
      <c r="E197" s="333"/>
      <c r="F197" s="331"/>
      <c r="G197" s="334"/>
      <c r="H197" s="334"/>
      <c r="I197" s="331"/>
      <c r="J197" s="334"/>
      <c r="K197" s="334"/>
      <c r="L197" s="331"/>
      <c r="M197" s="334"/>
      <c r="N197" s="334"/>
      <c r="O197" s="331"/>
      <c r="P197" s="334"/>
      <c r="Q197" s="334"/>
      <c r="R197" s="331"/>
      <c r="S197" s="334"/>
      <c r="T197" s="334"/>
      <c r="U197" s="331"/>
      <c r="V197" s="334"/>
      <c r="W197" s="334"/>
      <c r="X197" s="331"/>
      <c r="Y197" s="334"/>
      <c r="Z197" s="334"/>
      <c r="AA197" s="331"/>
      <c r="AB197" s="334"/>
      <c r="AC197" s="334"/>
      <c r="AD197" s="331"/>
      <c r="AE197" s="334"/>
      <c r="AF197" s="334"/>
      <c r="AG197" s="331"/>
      <c r="AH197" s="334"/>
      <c r="AI197" s="334"/>
      <c r="AJ197" s="331"/>
      <c r="AK197" s="334"/>
      <c r="AL197" s="334"/>
      <c r="AM197" s="331"/>
      <c r="AN197" s="334"/>
      <c r="AO197" s="334"/>
      <c r="AP197" s="331"/>
      <c r="AQ197" s="334"/>
      <c r="AR197" s="334"/>
      <c r="AS197" s="331"/>
      <c r="AT197" s="334"/>
      <c r="AU197" s="334"/>
      <c r="AV197" s="331"/>
      <c r="AW197" s="334"/>
      <c r="AX197" s="334"/>
      <c r="AY197" s="331"/>
      <c r="AZ197" s="334"/>
      <c r="BA197" s="334"/>
      <c r="BB197" s="331"/>
      <c r="BC197" s="334"/>
      <c r="BD197" s="334"/>
      <c r="BE197" s="331"/>
      <c r="BF197" s="334"/>
      <c r="BG197" s="334"/>
      <c r="BH197" s="331"/>
      <c r="BI197" s="334"/>
      <c r="BJ197" s="334"/>
      <c r="BK197" s="331"/>
      <c r="BL197" s="334"/>
      <c r="BM197" s="334"/>
      <c r="BN197" s="331"/>
      <c r="BO197" s="334"/>
      <c r="BP197" s="334"/>
      <c r="BQ197" s="331"/>
      <c r="BR197" s="332"/>
    </row>
    <row r="198" spans="1:70">
      <c r="A198" s="142" t="s">
        <v>4864</v>
      </c>
      <c r="B198" s="268">
        <v>583900</v>
      </c>
      <c r="C198" s="268">
        <v>0</v>
      </c>
      <c r="D198" s="333"/>
      <c r="E198" s="333"/>
      <c r="F198" s="331"/>
      <c r="G198" s="334"/>
      <c r="H198" s="334"/>
      <c r="I198" s="331"/>
      <c r="J198" s="334"/>
      <c r="K198" s="334"/>
      <c r="L198" s="331"/>
      <c r="M198" s="334"/>
      <c r="N198" s="334"/>
      <c r="O198" s="331"/>
      <c r="P198" s="334"/>
      <c r="Q198" s="334"/>
      <c r="R198" s="331"/>
      <c r="S198" s="334"/>
      <c r="T198" s="334"/>
      <c r="U198" s="331"/>
      <c r="V198" s="334"/>
      <c r="W198" s="334"/>
      <c r="X198" s="331"/>
      <c r="Y198" s="334"/>
      <c r="Z198" s="334"/>
      <c r="AA198" s="331"/>
      <c r="AB198" s="334"/>
      <c r="AC198" s="334"/>
      <c r="AD198" s="331"/>
      <c r="AE198" s="334"/>
      <c r="AF198" s="334"/>
      <c r="AG198" s="331"/>
      <c r="AH198" s="334"/>
      <c r="AI198" s="334"/>
      <c r="AJ198" s="331"/>
      <c r="AK198" s="334"/>
      <c r="AL198" s="334"/>
      <c r="AM198" s="331"/>
      <c r="AN198" s="334"/>
      <c r="AO198" s="334"/>
      <c r="AP198" s="331"/>
      <c r="AQ198" s="334"/>
      <c r="AR198" s="334"/>
      <c r="AS198" s="331"/>
      <c r="AT198" s="334"/>
      <c r="AU198" s="334"/>
      <c r="AV198" s="331"/>
      <c r="AW198" s="334"/>
      <c r="AX198" s="334"/>
      <c r="AY198" s="331"/>
      <c r="AZ198" s="334"/>
      <c r="BA198" s="334"/>
      <c r="BB198" s="331"/>
      <c r="BC198" s="334"/>
      <c r="BD198" s="334"/>
      <c r="BE198" s="331"/>
      <c r="BF198" s="334"/>
      <c r="BG198" s="334"/>
      <c r="BH198" s="331"/>
      <c r="BI198" s="334"/>
      <c r="BJ198" s="334"/>
      <c r="BK198" s="331"/>
      <c r="BL198" s="334"/>
      <c r="BM198" s="334"/>
      <c r="BN198" s="331"/>
      <c r="BO198" s="334"/>
      <c r="BP198" s="334"/>
      <c r="BQ198" s="331"/>
      <c r="BR198" s="332"/>
    </row>
    <row r="199" spans="1:70">
      <c r="A199" s="142" t="s">
        <v>4729</v>
      </c>
      <c r="B199" s="268">
        <v>106600</v>
      </c>
      <c r="C199" s="268">
        <v>0</v>
      </c>
      <c r="D199" s="333"/>
      <c r="E199" s="333"/>
      <c r="F199" s="331"/>
      <c r="G199" s="334"/>
      <c r="H199" s="334"/>
      <c r="I199" s="331"/>
      <c r="J199" s="334"/>
      <c r="K199" s="334"/>
      <c r="L199" s="331"/>
      <c r="M199" s="334"/>
      <c r="N199" s="334"/>
      <c r="O199" s="331"/>
      <c r="P199" s="334"/>
      <c r="Q199" s="334"/>
      <c r="R199" s="331"/>
      <c r="S199" s="334"/>
      <c r="T199" s="334"/>
      <c r="U199" s="331"/>
      <c r="V199" s="334"/>
      <c r="W199" s="334"/>
      <c r="X199" s="331"/>
      <c r="Y199" s="334"/>
      <c r="Z199" s="334"/>
      <c r="AA199" s="331"/>
      <c r="AB199" s="334"/>
      <c r="AC199" s="334"/>
      <c r="AD199" s="331"/>
      <c r="AE199" s="334"/>
      <c r="AF199" s="334"/>
      <c r="AG199" s="331"/>
      <c r="AH199" s="334"/>
      <c r="AI199" s="334"/>
      <c r="AJ199" s="331"/>
      <c r="AK199" s="334"/>
      <c r="AL199" s="334"/>
      <c r="AM199" s="331"/>
      <c r="AN199" s="334"/>
      <c r="AO199" s="334"/>
      <c r="AP199" s="331"/>
      <c r="AQ199" s="334"/>
      <c r="AR199" s="334"/>
      <c r="AS199" s="331"/>
      <c r="AT199" s="334"/>
      <c r="AU199" s="334"/>
      <c r="AV199" s="331"/>
      <c r="AW199" s="334"/>
      <c r="AX199" s="334"/>
      <c r="AY199" s="331"/>
      <c r="AZ199" s="334"/>
      <c r="BA199" s="334"/>
      <c r="BB199" s="331"/>
      <c r="BC199" s="334"/>
      <c r="BD199" s="334"/>
      <c r="BE199" s="331"/>
      <c r="BF199" s="334"/>
      <c r="BG199" s="334"/>
      <c r="BH199" s="331"/>
      <c r="BI199" s="334"/>
      <c r="BJ199" s="334"/>
      <c r="BK199" s="331"/>
      <c r="BL199" s="334"/>
      <c r="BM199" s="334"/>
      <c r="BN199" s="331"/>
      <c r="BO199" s="334"/>
      <c r="BP199" s="334"/>
      <c r="BQ199" s="331"/>
      <c r="BR199" s="332"/>
    </row>
    <row r="200" spans="1:70">
      <c r="A200" s="142" t="s">
        <v>4973</v>
      </c>
      <c r="B200" s="268">
        <v>107700</v>
      </c>
      <c r="C200" s="268">
        <v>0</v>
      </c>
      <c r="D200" s="333"/>
      <c r="E200" s="333"/>
      <c r="F200" s="331"/>
      <c r="G200" s="334"/>
      <c r="H200" s="334"/>
      <c r="I200" s="331"/>
      <c r="J200" s="334"/>
      <c r="K200" s="334"/>
      <c r="L200" s="331"/>
      <c r="M200" s="334"/>
      <c r="N200" s="334"/>
      <c r="O200" s="331"/>
      <c r="P200" s="334"/>
      <c r="Q200" s="334"/>
      <c r="R200" s="331"/>
      <c r="S200" s="334"/>
      <c r="T200" s="334"/>
      <c r="U200" s="331"/>
      <c r="V200" s="334"/>
      <c r="W200" s="334"/>
      <c r="X200" s="331"/>
      <c r="Y200" s="334"/>
      <c r="Z200" s="334"/>
      <c r="AA200" s="331"/>
      <c r="AB200" s="334"/>
      <c r="AC200" s="334"/>
      <c r="AD200" s="331"/>
      <c r="AE200" s="334"/>
      <c r="AF200" s="334"/>
      <c r="AG200" s="331"/>
      <c r="AH200" s="334"/>
      <c r="AI200" s="334"/>
      <c r="AJ200" s="331"/>
      <c r="AK200" s="334"/>
      <c r="AL200" s="334"/>
      <c r="AM200" s="331"/>
      <c r="AN200" s="334"/>
      <c r="AO200" s="334"/>
      <c r="AP200" s="331"/>
      <c r="AQ200" s="334"/>
      <c r="AR200" s="334"/>
      <c r="AS200" s="331"/>
      <c r="AT200" s="334"/>
      <c r="AU200" s="334"/>
      <c r="AV200" s="331"/>
      <c r="AW200" s="334"/>
      <c r="AX200" s="334"/>
      <c r="AY200" s="331"/>
      <c r="AZ200" s="334"/>
      <c r="BA200" s="334"/>
      <c r="BB200" s="331"/>
      <c r="BC200" s="334"/>
      <c r="BD200" s="334"/>
      <c r="BE200" s="331"/>
      <c r="BF200" s="334"/>
      <c r="BG200" s="334"/>
      <c r="BH200" s="331"/>
      <c r="BI200" s="334"/>
      <c r="BJ200" s="334"/>
      <c r="BK200" s="331"/>
      <c r="BL200" s="334"/>
      <c r="BM200" s="334"/>
      <c r="BN200" s="331"/>
      <c r="BO200" s="334"/>
      <c r="BP200" s="334"/>
      <c r="BQ200" s="331"/>
      <c r="BR200" s="332"/>
    </row>
    <row r="201" spans="1:70">
      <c r="A201" s="142" t="s">
        <v>3031</v>
      </c>
      <c r="B201" s="268">
        <v>25000</v>
      </c>
      <c r="C201" s="268">
        <v>0</v>
      </c>
      <c r="D201" s="333"/>
      <c r="E201" s="333"/>
      <c r="F201" s="331"/>
      <c r="G201" s="334"/>
      <c r="H201" s="334"/>
      <c r="I201" s="331"/>
      <c r="J201" s="334"/>
      <c r="K201" s="334"/>
      <c r="L201" s="331"/>
      <c r="M201" s="334"/>
      <c r="N201" s="334"/>
      <c r="O201" s="331"/>
      <c r="P201" s="334"/>
      <c r="Q201" s="334"/>
      <c r="R201" s="331"/>
      <c r="S201" s="334"/>
      <c r="T201" s="334"/>
      <c r="U201" s="331"/>
      <c r="V201" s="334"/>
      <c r="W201" s="334"/>
      <c r="X201" s="331"/>
      <c r="Y201" s="334"/>
      <c r="Z201" s="334"/>
      <c r="AA201" s="331"/>
      <c r="AB201" s="334"/>
      <c r="AC201" s="334"/>
      <c r="AD201" s="331"/>
      <c r="AE201" s="334"/>
      <c r="AF201" s="334"/>
      <c r="AG201" s="331"/>
      <c r="AH201" s="334"/>
      <c r="AI201" s="334"/>
      <c r="AJ201" s="331"/>
      <c r="AK201" s="334"/>
      <c r="AL201" s="334"/>
      <c r="AM201" s="331"/>
      <c r="AN201" s="334"/>
      <c r="AO201" s="334"/>
      <c r="AP201" s="331"/>
      <c r="AQ201" s="334"/>
      <c r="AR201" s="334"/>
      <c r="AS201" s="331"/>
      <c r="AT201" s="334"/>
      <c r="AU201" s="334"/>
      <c r="AV201" s="331"/>
      <c r="AW201" s="334"/>
      <c r="AX201" s="334"/>
      <c r="AY201" s="331"/>
      <c r="AZ201" s="334"/>
      <c r="BA201" s="334"/>
      <c r="BB201" s="331"/>
      <c r="BC201" s="334"/>
      <c r="BD201" s="334"/>
      <c r="BE201" s="331"/>
      <c r="BF201" s="334"/>
      <c r="BG201" s="334"/>
      <c r="BH201" s="331"/>
      <c r="BI201" s="334"/>
      <c r="BJ201" s="334"/>
      <c r="BK201" s="331"/>
      <c r="BL201" s="334"/>
      <c r="BM201" s="334"/>
      <c r="BN201" s="331"/>
      <c r="BO201" s="334"/>
      <c r="BP201" s="334"/>
      <c r="BQ201" s="331"/>
      <c r="BR201" s="332"/>
    </row>
    <row r="202" spans="1:70">
      <c r="A202" s="142" t="s">
        <v>4243</v>
      </c>
      <c r="B202" s="268">
        <v>25300</v>
      </c>
      <c r="C202" s="268">
        <v>0</v>
      </c>
      <c r="D202" s="333"/>
      <c r="E202" s="333"/>
      <c r="F202" s="331"/>
      <c r="G202" s="334"/>
      <c r="H202" s="334"/>
      <c r="I202" s="331"/>
      <c r="J202" s="334"/>
      <c r="K202" s="334"/>
      <c r="L202" s="331"/>
      <c r="M202" s="334"/>
      <c r="N202" s="334"/>
      <c r="O202" s="331"/>
      <c r="P202" s="334"/>
      <c r="Q202" s="334"/>
      <c r="R202" s="331"/>
      <c r="S202" s="334"/>
      <c r="T202" s="334"/>
      <c r="U202" s="331"/>
      <c r="V202" s="334"/>
      <c r="W202" s="334"/>
      <c r="X202" s="331"/>
      <c r="Y202" s="334"/>
      <c r="Z202" s="334"/>
      <c r="AA202" s="331"/>
      <c r="AB202" s="334"/>
      <c r="AC202" s="334"/>
      <c r="AD202" s="331"/>
      <c r="AE202" s="334"/>
      <c r="AF202" s="334"/>
      <c r="AG202" s="331"/>
      <c r="AH202" s="334"/>
      <c r="AI202" s="334"/>
      <c r="AJ202" s="331"/>
      <c r="AK202" s="334"/>
      <c r="AL202" s="334"/>
      <c r="AM202" s="331"/>
      <c r="AN202" s="334"/>
      <c r="AO202" s="334"/>
      <c r="AP202" s="331"/>
      <c r="AQ202" s="334"/>
      <c r="AR202" s="334"/>
      <c r="AS202" s="331"/>
      <c r="AT202" s="334"/>
      <c r="AU202" s="334"/>
      <c r="AV202" s="331"/>
      <c r="AW202" s="334"/>
      <c r="AX202" s="334"/>
      <c r="AY202" s="331"/>
      <c r="AZ202" s="334"/>
      <c r="BA202" s="334"/>
      <c r="BB202" s="331"/>
      <c r="BC202" s="334"/>
      <c r="BD202" s="334"/>
      <c r="BE202" s="331"/>
      <c r="BF202" s="334"/>
      <c r="BG202" s="334"/>
      <c r="BH202" s="331"/>
      <c r="BI202" s="334"/>
      <c r="BJ202" s="334"/>
      <c r="BK202" s="331"/>
      <c r="BL202" s="334"/>
      <c r="BM202" s="334"/>
      <c r="BN202" s="331"/>
      <c r="BO202" s="334"/>
      <c r="BP202" s="334"/>
      <c r="BQ202" s="331"/>
      <c r="BR202" s="332"/>
    </row>
    <row r="203" spans="1:70">
      <c r="A203" s="142" t="s">
        <v>2908</v>
      </c>
      <c r="B203" s="268">
        <v>26500</v>
      </c>
      <c r="C203" s="268">
        <v>0</v>
      </c>
      <c r="D203" s="333"/>
      <c r="E203" s="333"/>
      <c r="F203" s="331"/>
      <c r="G203" s="334"/>
      <c r="H203" s="334"/>
      <c r="I203" s="331"/>
      <c r="J203" s="334"/>
      <c r="K203" s="334"/>
      <c r="L203" s="331"/>
      <c r="M203" s="334"/>
      <c r="N203" s="334"/>
      <c r="O203" s="331"/>
      <c r="P203" s="334"/>
      <c r="Q203" s="334"/>
      <c r="R203" s="331"/>
      <c r="S203" s="334"/>
      <c r="T203" s="334"/>
      <c r="U203" s="331"/>
      <c r="V203" s="334"/>
      <c r="W203" s="334"/>
      <c r="X203" s="331"/>
      <c r="Y203" s="334"/>
      <c r="Z203" s="334"/>
      <c r="AA203" s="331"/>
      <c r="AB203" s="334"/>
      <c r="AC203" s="334"/>
      <c r="AD203" s="331"/>
      <c r="AE203" s="334"/>
      <c r="AF203" s="334"/>
      <c r="AG203" s="331"/>
      <c r="AH203" s="334"/>
      <c r="AI203" s="334"/>
      <c r="AJ203" s="331"/>
      <c r="AK203" s="334"/>
      <c r="AL203" s="334"/>
      <c r="AM203" s="331"/>
      <c r="AN203" s="334"/>
      <c r="AO203" s="334"/>
      <c r="AP203" s="331"/>
      <c r="AQ203" s="334"/>
      <c r="AR203" s="334"/>
      <c r="AS203" s="331"/>
      <c r="AT203" s="334"/>
      <c r="AU203" s="334"/>
      <c r="AV203" s="331"/>
      <c r="AW203" s="334"/>
      <c r="AX203" s="334"/>
      <c r="AY203" s="331"/>
      <c r="AZ203" s="334"/>
      <c r="BA203" s="334"/>
      <c r="BB203" s="331"/>
      <c r="BC203" s="334"/>
      <c r="BD203" s="334"/>
      <c r="BE203" s="331"/>
      <c r="BF203" s="334"/>
      <c r="BG203" s="334"/>
      <c r="BH203" s="331"/>
      <c r="BI203" s="334"/>
      <c r="BJ203" s="334"/>
      <c r="BK203" s="331"/>
      <c r="BL203" s="334"/>
      <c r="BM203" s="334"/>
      <c r="BN203" s="331"/>
      <c r="BO203" s="334"/>
      <c r="BP203" s="334"/>
      <c r="BQ203" s="331"/>
      <c r="BR203" s="332"/>
    </row>
    <row r="204" spans="1:70">
      <c r="A204" s="142" t="s">
        <v>3866</v>
      </c>
      <c r="B204" s="268">
        <v>26000</v>
      </c>
      <c r="C204" s="268">
        <v>0</v>
      </c>
      <c r="D204" s="333"/>
      <c r="E204" s="333"/>
      <c r="F204" s="331"/>
      <c r="G204" s="334"/>
      <c r="H204" s="334"/>
      <c r="I204" s="331"/>
      <c r="J204" s="334"/>
      <c r="K204" s="334"/>
      <c r="L204" s="331"/>
      <c r="M204" s="334"/>
      <c r="N204" s="334"/>
      <c r="O204" s="331"/>
      <c r="P204" s="334"/>
      <c r="Q204" s="334"/>
      <c r="R204" s="331"/>
      <c r="S204" s="334"/>
      <c r="T204" s="334"/>
      <c r="U204" s="331"/>
      <c r="V204" s="334"/>
      <c r="W204" s="334"/>
      <c r="X204" s="331"/>
      <c r="Y204" s="334"/>
      <c r="Z204" s="334"/>
      <c r="AA204" s="331"/>
      <c r="AB204" s="334"/>
      <c r="AC204" s="334"/>
      <c r="AD204" s="331"/>
      <c r="AE204" s="334"/>
      <c r="AF204" s="334"/>
      <c r="AG204" s="331"/>
      <c r="AH204" s="334"/>
      <c r="AI204" s="334"/>
      <c r="AJ204" s="331"/>
      <c r="AK204" s="334"/>
      <c r="AL204" s="334"/>
      <c r="AM204" s="331"/>
      <c r="AN204" s="334"/>
      <c r="AO204" s="334"/>
      <c r="AP204" s="331"/>
      <c r="AQ204" s="334"/>
      <c r="AR204" s="334"/>
      <c r="AS204" s="331"/>
      <c r="AT204" s="334"/>
      <c r="AU204" s="334"/>
      <c r="AV204" s="331"/>
      <c r="AW204" s="334"/>
      <c r="AX204" s="334"/>
      <c r="AY204" s="331"/>
      <c r="AZ204" s="334"/>
      <c r="BA204" s="334"/>
      <c r="BB204" s="331"/>
      <c r="BC204" s="334"/>
      <c r="BD204" s="334"/>
      <c r="BE204" s="331"/>
      <c r="BF204" s="334"/>
      <c r="BG204" s="334"/>
      <c r="BH204" s="331"/>
      <c r="BI204" s="334"/>
      <c r="BJ204" s="334"/>
      <c r="BK204" s="331"/>
      <c r="BL204" s="334"/>
      <c r="BM204" s="334"/>
      <c r="BN204" s="331"/>
      <c r="BO204" s="334"/>
      <c r="BP204" s="334"/>
      <c r="BQ204" s="331"/>
      <c r="BR204" s="332"/>
    </row>
    <row r="205" spans="1:70">
      <c r="A205" s="142" t="s">
        <v>2863</v>
      </c>
      <c r="B205" s="268">
        <v>65500</v>
      </c>
      <c r="C205" s="268">
        <v>0</v>
      </c>
      <c r="D205" s="333"/>
      <c r="E205" s="333"/>
      <c r="F205" s="331"/>
      <c r="G205" s="334"/>
      <c r="H205" s="334"/>
      <c r="I205" s="331"/>
      <c r="J205" s="334"/>
      <c r="K205" s="334"/>
      <c r="L205" s="331"/>
      <c r="M205" s="334"/>
      <c r="N205" s="334"/>
      <c r="O205" s="331"/>
      <c r="P205" s="334"/>
      <c r="Q205" s="334"/>
      <c r="R205" s="331"/>
      <c r="S205" s="334"/>
      <c r="T205" s="334"/>
      <c r="U205" s="331"/>
      <c r="V205" s="334"/>
      <c r="W205" s="334"/>
      <c r="X205" s="331"/>
      <c r="Y205" s="334"/>
      <c r="Z205" s="334"/>
      <c r="AA205" s="331"/>
      <c r="AB205" s="334"/>
      <c r="AC205" s="334"/>
      <c r="AD205" s="331"/>
      <c r="AE205" s="334"/>
      <c r="AF205" s="334"/>
      <c r="AG205" s="331"/>
      <c r="AH205" s="334"/>
      <c r="AI205" s="334"/>
      <c r="AJ205" s="331"/>
      <c r="AK205" s="334"/>
      <c r="AL205" s="334"/>
      <c r="AM205" s="331"/>
      <c r="AN205" s="334"/>
      <c r="AO205" s="334"/>
      <c r="AP205" s="331"/>
      <c r="AQ205" s="334"/>
      <c r="AR205" s="334"/>
      <c r="AS205" s="331"/>
      <c r="AT205" s="334"/>
      <c r="AU205" s="334"/>
      <c r="AV205" s="331"/>
      <c r="AW205" s="334"/>
      <c r="AX205" s="334"/>
      <c r="AY205" s="331"/>
      <c r="AZ205" s="334"/>
      <c r="BA205" s="334"/>
      <c r="BB205" s="331"/>
      <c r="BC205" s="334"/>
      <c r="BD205" s="334"/>
      <c r="BE205" s="331"/>
      <c r="BF205" s="334"/>
      <c r="BG205" s="334"/>
      <c r="BH205" s="331"/>
      <c r="BI205" s="334"/>
      <c r="BJ205" s="334"/>
      <c r="BK205" s="331"/>
      <c r="BL205" s="334"/>
      <c r="BM205" s="334"/>
      <c r="BN205" s="331"/>
      <c r="BO205" s="334"/>
      <c r="BP205" s="334"/>
      <c r="BQ205" s="331"/>
      <c r="BR205" s="332"/>
    </row>
    <row r="206" spans="1:70">
      <c r="A206" s="142" t="s">
        <v>2856</v>
      </c>
      <c r="B206" s="268">
        <v>65200</v>
      </c>
      <c r="C206" s="268">
        <v>0</v>
      </c>
      <c r="D206" s="333"/>
      <c r="E206" s="333"/>
      <c r="F206" s="331"/>
      <c r="G206" s="334"/>
      <c r="H206" s="334"/>
      <c r="I206" s="331"/>
      <c r="J206" s="334"/>
      <c r="K206" s="334"/>
      <c r="L206" s="331"/>
      <c r="M206" s="334"/>
      <c r="N206" s="334"/>
      <c r="O206" s="331"/>
      <c r="P206" s="334"/>
      <c r="Q206" s="334"/>
      <c r="R206" s="331"/>
      <c r="S206" s="334"/>
      <c r="T206" s="334"/>
      <c r="U206" s="331"/>
      <c r="V206" s="334"/>
      <c r="W206" s="334"/>
      <c r="X206" s="331"/>
      <c r="Y206" s="334"/>
      <c r="Z206" s="334"/>
      <c r="AA206" s="331"/>
      <c r="AB206" s="334"/>
      <c r="AC206" s="334"/>
      <c r="AD206" s="331"/>
      <c r="AE206" s="334"/>
      <c r="AF206" s="334"/>
      <c r="AG206" s="331"/>
      <c r="AH206" s="334"/>
      <c r="AI206" s="334"/>
      <c r="AJ206" s="331"/>
      <c r="AK206" s="334"/>
      <c r="AL206" s="334"/>
      <c r="AM206" s="331"/>
      <c r="AN206" s="334"/>
      <c r="AO206" s="334"/>
      <c r="AP206" s="331"/>
      <c r="AQ206" s="334"/>
      <c r="AR206" s="334"/>
      <c r="AS206" s="331"/>
      <c r="AT206" s="334"/>
      <c r="AU206" s="334"/>
      <c r="AV206" s="331"/>
      <c r="AW206" s="334"/>
      <c r="AX206" s="334"/>
      <c r="AY206" s="331"/>
      <c r="AZ206" s="334"/>
      <c r="BA206" s="334"/>
      <c r="BB206" s="331"/>
      <c r="BC206" s="334"/>
      <c r="BD206" s="334"/>
      <c r="BE206" s="331"/>
      <c r="BF206" s="334"/>
      <c r="BG206" s="334"/>
      <c r="BH206" s="331"/>
      <c r="BI206" s="334"/>
      <c r="BJ206" s="334"/>
      <c r="BK206" s="331"/>
      <c r="BL206" s="334"/>
      <c r="BM206" s="334"/>
      <c r="BN206" s="331"/>
      <c r="BO206" s="334"/>
      <c r="BP206" s="334"/>
      <c r="BQ206" s="331"/>
      <c r="BR206" s="332"/>
    </row>
    <row r="207" spans="1:70">
      <c r="A207" s="142" t="s">
        <v>4901</v>
      </c>
      <c r="B207" s="268">
        <v>107700</v>
      </c>
      <c r="C207" s="268">
        <v>0</v>
      </c>
      <c r="D207" s="333"/>
      <c r="E207" s="333"/>
      <c r="F207" s="331"/>
      <c r="G207" s="334"/>
      <c r="H207" s="334"/>
      <c r="I207" s="331"/>
      <c r="J207" s="334"/>
      <c r="K207" s="334"/>
      <c r="L207" s="331"/>
      <c r="M207" s="334"/>
      <c r="N207" s="334"/>
      <c r="O207" s="331"/>
      <c r="P207" s="334"/>
      <c r="Q207" s="334"/>
      <c r="R207" s="331"/>
      <c r="S207" s="334"/>
      <c r="T207" s="334"/>
      <c r="U207" s="331"/>
      <c r="V207" s="334"/>
      <c r="W207" s="334"/>
      <c r="X207" s="331"/>
      <c r="Y207" s="334"/>
      <c r="Z207" s="334"/>
      <c r="AA207" s="331"/>
      <c r="AB207" s="334"/>
      <c r="AC207" s="334"/>
      <c r="AD207" s="331"/>
      <c r="AE207" s="334"/>
      <c r="AF207" s="334"/>
      <c r="AG207" s="331"/>
      <c r="AH207" s="334"/>
      <c r="AI207" s="334"/>
      <c r="AJ207" s="331"/>
      <c r="AK207" s="334"/>
      <c r="AL207" s="334"/>
      <c r="AM207" s="331"/>
      <c r="AN207" s="334"/>
      <c r="AO207" s="334"/>
      <c r="AP207" s="331"/>
      <c r="AQ207" s="334"/>
      <c r="AR207" s="334"/>
      <c r="AS207" s="331"/>
      <c r="AT207" s="334"/>
      <c r="AU207" s="334"/>
      <c r="AV207" s="331"/>
      <c r="AW207" s="334"/>
      <c r="AX207" s="334"/>
      <c r="AY207" s="331"/>
      <c r="AZ207" s="334"/>
      <c r="BA207" s="334"/>
      <c r="BB207" s="331"/>
      <c r="BC207" s="334"/>
      <c r="BD207" s="334"/>
      <c r="BE207" s="331"/>
      <c r="BF207" s="334"/>
      <c r="BG207" s="334"/>
      <c r="BH207" s="331"/>
      <c r="BI207" s="334"/>
      <c r="BJ207" s="334"/>
      <c r="BK207" s="331"/>
      <c r="BL207" s="334"/>
      <c r="BM207" s="334"/>
      <c r="BN207" s="331"/>
      <c r="BO207" s="334"/>
      <c r="BP207" s="334"/>
      <c r="BQ207" s="331"/>
      <c r="BR207" s="332"/>
    </row>
    <row r="208" spans="1:70">
      <c r="A208" s="142" t="s">
        <v>2803</v>
      </c>
      <c r="B208" s="268">
        <v>30000</v>
      </c>
      <c r="C208" s="268">
        <v>0</v>
      </c>
      <c r="D208" s="333"/>
      <c r="E208" s="333"/>
      <c r="F208" s="331"/>
      <c r="G208" s="334"/>
      <c r="H208" s="334"/>
      <c r="I208" s="331"/>
      <c r="J208" s="334"/>
      <c r="K208" s="334"/>
      <c r="L208" s="331"/>
      <c r="M208" s="334"/>
      <c r="N208" s="334"/>
      <c r="O208" s="331"/>
      <c r="P208" s="334"/>
      <c r="Q208" s="334"/>
      <c r="R208" s="331"/>
      <c r="S208" s="334"/>
      <c r="T208" s="334"/>
      <c r="U208" s="331"/>
      <c r="V208" s="334"/>
      <c r="W208" s="334"/>
      <c r="X208" s="331"/>
      <c r="Y208" s="334"/>
      <c r="Z208" s="334"/>
      <c r="AA208" s="331"/>
      <c r="AB208" s="334"/>
      <c r="AC208" s="334"/>
      <c r="AD208" s="331"/>
      <c r="AE208" s="334"/>
      <c r="AF208" s="334"/>
      <c r="AG208" s="331"/>
      <c r="AH208" s="334"/>
      <c r="AI208" s="334"/>
      <c r="AJ208" s="331"/>
      <c r="AK208" s="334"/>
      <c r="AL208" s="334"/>
      <c r="AM208" s="331"/>
      <c r="AN208" s="334"/>
      <c r="AO208" s="334"/>
      <c r="AP208" s="331"/>
      <c r="AQ208" s="334"/>
      <c r="AR208" s="334"/>
      <c r="AS208" s="331"/>
      <c r="AT208" s="334"/>
      <c r="AU208" s="334"/>
      <c r="AV208" s="331"/>
      <c r="AW208" s="334"/>
      <c r="AX208" s="334"/>
      <c r="AY208" s="331"/>
      <c r="AZ208" s="334"/>
      <c r="BA208" s="334"/>
      <c r="BB208" s="331"/>
      <c r="BC208" s="334"/>
      <c r="BD208" s="334"/>
      <c r="BE208" s="331"/>
      <c r="BF208" s="334"/>
      <c r="BG208" s="334"/>
      <c r="BH208" s="331"/>
      <c r="BI208" s="334"/>
      <c r="BJ208" s="334"/>
      <c r="BK208" s="331"/>
      <c r="BL208" s="334"/>
      <c r="BM208" s="334"/>
      <c r="BN208" s="331"/>
      <c r="BO208" s="334"/>
      <c r="BP208" s="334"/>
      <c r="BQ208" s="331"/>
      <c r="BR208" s="332"/>
    </row>
    <row r="209" spans="1:70">
      <c r="A209" s="142" t="s">
        <v>2796</v>
      </c>
      <c r="B209" s="268">
        <v>18800</v>
      </c>
      <c r="C209" s="268">
        <v>0</v>
      </c>
      <c r="D209" s="333"/>
      <c r="E209" s="333"/>
      <c r="F209" s="331"/>
      <c r="G209" s="334"/>
      <c r="H209" s="334"/>
      <c r="I209" s="331"/>
      <c r="J209" s="334"/>
      <c r="K209" s="334"/>
      <c r="L209" s="331"/>
      <c r="M209" s="334"/>
      <c r="N209" s="334"/>
      <c r="O209" s="331"/>
      <c r="P209" s="334"/>
      <c r="Q209" s="334"/>
      <c r="R209" s="331"/>
      <c r="S209" s="334"/>
      <c r="T209" s="334"/>
      <c r="U209" s="331"/>
      <c r="V209" s="334"/>
      <c r="W209" s="334"/>
      <c r="X209" s="331"/>
      <c r="Y209" s="334"/>
      <c r="Z209" s="334"/>
      <c r="AA209" s="331"/>
      <c r="AB209" s="334"/>
      <c r="AC209" s="334"/>
      <c r="AD209" s="331"/>
      <c r="AE209" s="334"/>
      <c r="AF209" s="334"/>
      <c r="AG209" s="331"/>
      <c r="AH209" s="334"/>
      <c r="AI209" s="334"/>
      <c r="AJ209" s="331"/>
      <c r="AK209" s="334"/>
      <c r="AL209" s="334"/>
      <c r="AM209" s="331"/>
      <c r="AN209" s="334"/>
      <c r="AO209" s="334"/>
      <c r="AP209" s="331"/>
      <c r="AQ209" s="334"/>
      <c r="AR209" s="334"/>
      <c r="AS209" s="331"/>
      <c r="AT209" s="334"/>
      <c r="AU209" s="334"/>
      <c r="AV209" s="331"/>
      <c r="AW209" s="334"/>
      <c r="AX209" s="334"/>
      <c r="AY209" s="331"/>
      <c r="AZ209" s="334"/>
      <c r="BA209" s="334"/>
      <c r="BB209" s="331"/>
      <c r="BC209" s="334"/>
      <c r="BD209" s="334"/>
      <c r="BE209" s="331"/>
      <c r="BF209" s="334"/>
      <c r="BG209" s="334"/>
      <c r="BH209" s="331"/>
      <c r="BI209" s="334"/>
      <c r="BJ209" s="334"/>
      <c r="BK209" s="331"/>
      <c r="BL209" s="334"/>
      <c r="BM209" s="334"/>
      <c r="BN209" s="331"/>
      <c r="BO209" s="334"/>
      <c r="BP209" s="334"/>
      <c r="BQ209" s="331"/>
      <c r="BR209" s="332"/>
    </row>
    <row r="210" spans="1:70">
      <c r="A210" s="142" t="s">
        <v>4673</v>
      </c>
      <c r="B210" s="268">
        <v>53200</v>
      </c>
      <c r="C210" s="268">
        <v>0</v>
      </c>
      <c r="D210" s="333"/>
      <c r="E210" s="333"/>
      <c r="F210" s="331"/>
      <c r="G210" s="334"/>
      <c r="H210" s="334"/>
      <c r="I210" s="331"/>
      <c r="J210" s="334"/>
      <c r="K210" s="334"/>
      <c r="L210" s="331"/>
      <c r="M210" s="334"/>
      <c r="N210" s="334"/>
      <c r="O210" s="331"/>
      <c r="P210" s="334"/>
      <c r="Q210" s="334"/>
      <c r="R210" s="331"/>
      <c r="S210" s="334"/>
      <c r="T210" s="334"/>
      <c r="U210" s="331"/>
      <c r="V210" s="334"/>
      <c r="W210" s="334"/>
      <c r="X210" s="331"/>
      <c r="Y210" s="334"/>
      <c r="Z210" s="334"/>
      <c r="AA210" s="331"/>
      <c r="AB210" s="334"/>
      <c r="AC210" s="334"/>
      <c r="AD210" s="331"/>
      <c r="AE210" s="334"/>
      <c r="AF210" s="334"/>
      <c r="AG210" s="331"/>
      <c r="AH210" s="334"/>
      <c r="AI210" s="334"/>
      <c r="AJ210" s="331"/>
      <c r="AK210" s="334"/>
      <c r="AL210" s="334"/>
      <c r="AM210" s="331"/>
      <c r="AN210" s="334"/>
      <c r="AO210" s="334"/>
      <c r="AP210" s="331"/>
      <c r="AQ210" s="334"/>
      <c r="AR210" s="334"/>
      <c r="AS210" s="331"/>
      <c r="AT210" s="334"/>
      <c r="AU210" s="334"/>
      <c r="AV210" s="331"/>
      <c r="AW210" s="334"/>
      <c r="AX210" s="334"/>
      <c r="AY210" s="331"/>
      <c r="AZ210" s="334"/>
      <c r="BA210" s="334"/>
      <c r="BB210" s="331"/>
      <c r="BC210" s="334"/>
      <c r="BD210" s="334"/>
      <c r="BE210" s="331"/>
      <c r="BF210" s="334"/>
      <c r="BG210" s="334"/>
      <c r="BH210" s="331"/>
      <c r="BI210" s="334"/>
      <c r="BJ210" s="334"/>
      <c r="BK210" s="331"/>
      <c r="BL210" s="334"/>
      <c r="BM210" s="334"/>
      <c r="BN210" s="331"/>
      <c r="BO210" s="334"/>
      <c r="BP210" s="334"/>
      <c r="BQ210" s="331"/>
      <c r="BR210" s="332"/>
    </row>
    <row r="211" spans="1:70">
      <c r="A211" s="142" t="s">
        <v>3044</v>
      </c>
      <c r="B211" s="268">
        <v>26500</v>
      </c>
      <c r="C211" s="268">
        <v>0</v>
      </c>
      <c r="D211" s="333"/>
      <c r="E211" s="333"/>
      <c r="F211" s="331"/>
      <c r="G211" s="334"/>
      <c r="H211" s="334"/>
      <c r="I211" s="331"/>
      <c r="J211" s="334"/>
      <c r="K211" s="334"/>
      <c r="L211" s="331"/>
      <c r="M211" s="334"/>
      <c r="N211" s="334"/>
      <c r="O211" s="331"/>
      <c r="P211" s="334"/>
      <c r="Q211" s="334"/>
      <c r="R211" s="331"/>
      <c r="S211" s="334"/>
      <c r="T211" s="334"/>
      <c r="U211" s="331"/>
      <c r="V211" s="334"/>
      <c r="W211" s="334"/>
      <c r="X211" s="331"/>
      <c r="Y211" s="334"/>
      <c r="Z211" s="334"/>
      <c r="AA211" s="331"/>
      <c r="AB211" s="334"/>
      <c r="AC211" s="334"/>
      <c r="AD211" s="331"/>
      <c r="AE211" s="334"/>
      <c r="AF211" s="334"/>
      <c r="AG211" s="331"/>
      <c r="AH211" s="334"/>
      <c r="AI211" s="334"/>
      <c r="AJ211" s="331"/>
      <c r="AK211" s="334"/>
      <c r="AL211" s="334"/>
      <c r="AM211" s="331"/>
      <c r="AN211" s="334"/>
      <c r="AO211" s="334"/>
      <c r="AP211" s="331"/>
      <c r="AQ211" s="334"/>
      <c r="AR211" s="334"/>
      <c r="AS211" s="331"/>
      <c r="AT211" s="334"/>
      <c r="AU211" s="334"/>
      <c r="AV211" s="331"/>
      <c r="AW211" s="334"/>
      <c r="AX211" s="334"/>
      <c r="AY211" s="331"/>
      <c r="AZ211" s="334"/>
      <c r="BA211" s="334"/>
      <c r="BB211" s="331"/>
      <c r="BC211" s="334"/>
      <c r="BD211" s="334"/>
      <c r="BE211" s="331"/>
      <c r="BF211" s="334"/>
      <c r="BG211" s="334"/>
      <c r="BH211" s="331"/>
      <c r="BI211" s="334"/>
      <c r="BJ211" s="334"/>
      <c r="BK211" s="331"/>
      <c r="BL211" s="334"/>
      <c r="BM211" s="334"/>
      <c r="BN211" s="331"/>
      <c r="BO211" s="334"/>
      <c r="BP211" s="334"/>
      <c r="BQ211" s="331"/>
      <c r="BR211" s="332"/>
    </row>
    <row r="212" spans="1:70">
      <c r="A212" s="142" t="s">
        <v>3845</v>
      </c>
      <c r="B212" s="268">
        <v>13000</v>
      </c>
      <c r="C212" s="268">
        <v>0</v>
      </c>
      <c r="D212" s="333"/>
      <c r="E212" s="333"/>
      <c r="F212" s="331"/>
      <c r="G212" s="334"/>
      <c r="H212" s="334"/>
      <c r="I212" s="331"/>
      <c r="J212" s="334"/>
      <c r="K212" s="334"/>
      <c r="L212" s="331"/>
      <c r="M212" s="334"/>
      <c r="N212" s="334"/>
      <c r="O212" s="331"/>
      <c r="P212" s="334"/>
      <c r="Q212" s="334"/>
      <c r="R212" s="331"/>
      <c r="S212" s="334"/>
      <c r="T212" s="334"/>
      <c r="U212" s="331"/>
      <c r="V212" s="334"/>
      <c r="W212" s="334"/>
      <c r="X212" s="331"/>
      <c r="Y212" s="334"/>
      <c r="Z212" s="334"/>
      <c r="AA212" s="331"/>
      <c r="AB212" s="334"/>
      <c r="AC212" s="334"/>
      <c r="AD212" s="331"/>
      <c r="AE212" s="334"/>
      <c r="AF212" s="334"/>
      <c r="AG212" s="331"/>
      <c r="AH212" s="334"/>
      <c r="AI212" s="334"/>
      <c r="AJ212" s="331"/>
      <c r="AK212" s="334"/>
      <c r="AL212" s="334"/>
      <c r="AM212" s="331"/>
      <c r="AN212" s="334"/>
      <c r="AO212" s="334"/>
      <c r="AP212" s="331"/>
      <c r="AQ212" s="334"/>
      <c r="AR212" s="334"/>
      <c r="AS212" s="331"/>
      <c r="AT212" s="334"/>
      <c r="AU212" s="334"/>
      <c r="AV212" s="331"/>
      <c r="AW212" s="334"/>
      <c r="AX212" s="334"/>
      <c r="AY212" s="331"/>
      <c r="AZ212" s="334"/>
      <c r="BA212" s="334"/>
      <c r="BB212" s="331"/>
      <c r="BC212" s="334"/>
      <c r="BD212" s="334"/>
      <c r="BE212" s="331"/>
      <c r="BF212" s="334"/>
      <c r="BG212" s="334"/>
      <c r="BH212" s="331"/>
      <c r="BI212" s="334"/>
      <c r="BJ212" s="334"/>
      <c r="BK212" s="331"/>
      <c r="BL212" s="334"/>
      <c r="BM212" s="334"/>
      <c r="BN212" s="331"/>
      <c r="BO212" s="334"/>
      <c r="BP212" s="334"/>
      <c r="BQ212" s="331"/>
      <c r="BR212" s="332"/>
    </row>
    <row r="213" spans="1:70">
      <c r="A213" s="142" t="s">
        <v>3065</v>
      </c>
      <c r="B213" s="268">
        <v>15900</v>
      </c>
      <c r="C213" s="268">
        <v>0</v>
      </c>
      <c r="D213" s="333"/>
      <c r="E213" s="333"/>
      <c r="F213" s="331"/>
      <c r="G213" s="334"/>
      <c r="H213" s="334"/>
      <c r="I213" s="331"/>
      <c r="J213" s="334"/>
      <c r="K213" s="334"/>
      <c r="L213" s="331"/>
      <c r="M213" s="334"/>
      <c r="N213" s="334"/>
      <c r="O213" s="331"/>
      <c r="P213" s="334"/>
      <c r="Q213" s="334"/>
      <c r="R213" s="331"/>
      <c r="S213" s="334"/>
      <c r="T213" s="334"/>
      <c r="U213" s="331"/>
      <c r="V213" s="334"/>
      <c r="W213" s="334"/>
      <c r="X213" s="331"/>
      <c r="Y213" s="334"/>
      <c r="Z213" s="334"/>
      <c r="AA213" s="331"/>
      <c r="AB213" s="334"/>
      <c r="AC213" s="334"/>
      <c r="AD213" s="331"/>
      <c r="AE213" s="334"/>
      <c r="AF213" s="334"/>
      <c r="AG213" s="331"/>
      <c r="AH213" s="334"/>
      <c r="AI213" s="334"/>
      <c r="AJ213" s="331"/>
      <c r="AK213" s="334"/>
      <c r="AL213" s="334"/>
      <c r="AM213" s="331"/>
      <c r="AN213" s="334"/>
      <c r="AO213" s="334"/>
      <c r="AP213" s="331"/>
      <c r="AQ213" s="334"/>
      <c r="AR213" s="334"/>
      <c r="AS213" s="331"/>
      <c r="AT213" s="334"/>
      <c r="AU213" s="334"/>
      <c r="AV213" s="331"/>
      <c r="AW213" s="334"/>
      <c r="AX213" s="334"/>
      <c r="AY213" s="331"/>
      <c r="AZ213" s="334"/>
      <c r="BA213" s="334"/>
      <c r="BB213" s="331"/>
      <c r="BC213" s="334"/>
      <c r="BD213" s="334"/>
      <c r="BE213" s="331"/>
      <c r="BF213" s="334"/>
      <c r="BG213" s="334"/>
      <c r="BH213" s="331"/>
      <c r="BI213" s="334"/>
      <c r="BJ213" s="334"/>
      <c r="BK213" s="331"/>
      <c r="BL213" s="334"/>
      <c r="BM213" s="334"/>
      <c r="BN213" s="331"/>
      <c r="BO213" s="334"/>
      <c r="BP213" s="334"/>
      <c r="BQ213" s="331"/>
      <c r="BR213" s="332"/>
    </row>
    <row r="214" spans="1:70">
      <c r="A214" s="142" t="s">
        <v>3013</v>
      </c>
      <c r="B214" s="268">
        <v>26700</v>
      </c>
      <c r="C214" s="268">
        <v>0</v>
      </c>
      <c r="D214" s="333"/>
      <c r="E214" s="333"/>
      <c r="F214" s="331"/>
      <c r="G214" s="334"/>
      <c r="H214" s="334"/>
      <c r="I214" s="331"/>
      <c r="J214" s="334"/>
      <c r="K214" s="334"/>
      <c r="L214" s="331"/>
      <c r="M214" s="334"/>
      <c r="N214" s="334"/>
      <c r="O214" s="331"/>
      <c r="P214" s="334"/>
      <c r="Q214" s="334"/>
      <c r="R214" s="331"/>
      <c r="S214" s="334"/>
      <c r="T214" s="334"/>
      <c r="U214" s="331"/>
      <c r="V214" s="334"/>
      <c r="W214" s="334"/>
      <c r="X214" s="331"/>
      <c r="Y214" s="334"/>
      <c r="Z214" s="334"/>
      <c r="AA214" s="331"/>
      <c r="AB214" s="334"/>
      <c r="AC214" s="334"/>
      <c r="AD214" s="331"/>
      <c r="AE214" s="334"/>
      <c r="AF214" s="334"/>
      <c r="AG214" s="331"/>
      <c r="AH214" s="334"/>
      <c r="AI214" s="334"/>
      <c r="AJ214" s="331"/>
      <c r="AK214" s="334"/>
      <c r="AL214" s="334"/>
      <c r="AM214" s="331"/>
      <c r="AN214" s="334"/>
      <c r="AO214" s="334"/>
      <c r="AP214" s="331"/>
      <c r="AQ214" s="334"/>
      <c r="AR214" s="334"/>
      <c r="AS214" s="331"/>
      <c r="AT214" s="334"/>
      <c r="AU214" s="334"/>
      <c r="AV214" s="331"/>
      <c r="AW214" s="334"/>
      <c r="AX214" s="334"/>
      <c r="AY214" s="331"/>
      <c r="AZ214" s="334"/>
      <c r="BA214" s="334"/>
      <c r="BB214" s="331"/>
      <c r="BC214" s="334"/>
      <c r="BD214" s="334"/>
      <c r="BE214" s="331"/>
      <c r="BF214" s="334"/>
      <c r="BG214" s="334"/>
      <c r="BH214" s="331"/>
      <c r="BI214" s="334"/>
      <c r="BJ214" s="334"/>
      <c r="BK214" s="331"/>
      <c r="BL214" s="334"/>
      <c r="BM214" s="334"/>
      <c r="BN214" s="331"/>
      <c r="BO214" s="334"/>
      <c r="BP214" s="334"/>
      <c r="BQ214" s="331"/>
      <c r="BR214" s="332"/>
    </row>
    <row r="215" spans="1:70">
      <c r="A215" s="142" t="s">
        <v>2985</v>
      </c>
      <c r="B215" s="268">
        <v>26700</v>
      </c>
      <c r="C215" s="268">
        <v>0</v>
      </c>
      <c r="D215" s="333"/>
      <c r="E215" s="333"/>
      <c r="F215" s="331"/>
      <c r="G215" s="334"/>
      <c r="H215" s="334"/>
      <c r="I215" s="331"/>
      <c r="J215" s="334"/>
      <c r="K215" s="334"/>
      <c r="L215" s="331"/>
      <c r="M215" s="334"/>
      <c r="N215" s="334"/>
      <c r="O215" s="331"/>
      <c r="P215" s="334"/>
      <c r="Q215" s="334"/>
      <c r="R215" s="331"/>
      <c r="S215" s="334"/>
      <c r="T215" s="334"/>
      <c r="U215" s="331"/>
      <c r="V215" s="334"/>
      <c r="W215" s="334"/>
      <c r="X215" s="331"/>
      <c r="Y215" s="334"/>
      <c r="Z215" s="334"/>
      <c r="AA215" s="331"/>
      <c r="AB215" s="334"/>
      <c r="AC215" s="334"/>
      <c r="AD215" s="331"/>
      <c r="AE215" s="334"/>
      <c r="AF215" s="334"/>
      <c r="AG215" s="331"/>
      <c r="AH215" s="334"/>
      <c r="AI215" s="334"/>
      <c r="AJ215" s="331"/>
      <c r="AK215" s="334"/>
      <c r="AL215" s="334"/>
      <c r="AM215" s="331"/>
      <c r="AN215" s="334"/>
      <c r="AO215" s="334"/>
      <c r="AP215" s="331"/>
      <c r="AQ215" s="334"/>
      <c r="AR215" s="334"/>
      <c r="AS215" s="331"/>
      <c r="AT215" s="334"/>
      <c r="AU215" s="334"/>
      <c r="AV215" s="331"/>
      <c r="AW215" s="334"/>
      <c r="AX215" s="334"/>
      <c r="AY215" s="331"/>
      <c r="AZ215" s="334"/>
      <c r="BA215" s="334"/>
      <c r="BB215" s="331"/>
      <c r="BC215" s="334"/>
      <c r="BD215" s="334"/>
      <c r="BE215" s="331"/>
      <c r="BF215" s="334"/>
      <c r="BG215" s="334"/>
      <c r="BH215" s="331"/>
      <c r="BI215" s="334"/>
      <c r="BJ215" s="334"/>
      <c r="BK215" s="331"/>
      <c r="BL215" s="334"/>
      <c r="BM215" s="334"/>
      <c r="BN215" s="331"/>
      <c r="BO215" s="334"/>
      <c r="BP215" s="334"/>
      <c r="BQ215" s="331"/>
      <c r="BR215" s="332"/>
    </row>
    <row r="216" spans="1:70">
      <c r="A216" s="142" t="s">
        <v>3052</v>
      </c>
      <c r="B216" s="268">
        <v>26200</v>
      </c>
      <c r="C216" s="268">
        <v>0</v>
      </c>
      <c r="D216" s="333"/>
      <c r="E216" s="333"/>
      <c r="F216" s="331"/>
      <c r="G216" s="334"/>
      <c r="H216" s="334"/>
      <c r="I216" s="331"/>
      <c r="J216" s="334"/>
      <c r="K216" s="334"/>
      <c r="L216" s="331"/>
      <c r="M216" s="334"/>
      <c r="N216" s="334"/>
      <c r="O216" s="331"/>
      <c r="P216" s="334"/>
      <c r="Q216" s="334"/>
      <c r="R216" s="331"/>
      <c r="S216" s="334"/>
      <c r="T216" s="334"/>
      <c r="U216" s="331"/>
      <c r="V216" s="334"/>
      <c r="W216" s="334"/>
      <c r="X216" s="331"/>
      <c r="Y216" s="334"/>
      <c r="Z216" s="334"/>
      <c r="AA216" s="331"/>
      <c r="AB216" s="334"/>
      <c r="AC216" s="334"/>
      <c r="AD216" s="331"/>
      <c r="AE216" s="334"/>
      <c r="AF216" s="334"/>
      <c r="AG216" s="331"/>
      <c r="AH216" s="334"/>
      <c r="AI216" s="334"/>
      <c r="AJ216" s="331"/>
      <c r="AK216" s="334"/>
      <c r="AL216" s="334"/>
      <c r="AM216" s="331"/>
      <c r="AN216" s="334"/>
      <c r="AO216" s="334"/>
      <c r="AP216" s="331"/>
      <c r="AQ216" s="334"/>
      <c r="AR216" s="334"/>
      <c r="AS216" s="331"/>
      <c r="AT216" s="334"/>
      <c r="AU216" s="334"/>
      <c r="AV216" s="331"/>
      <c r="AW216" s="334"/>
      <c r="AX216" s="334"/>
      <c r="AY216" s="331"/>
      <c r="AZ216" s="334"/>
      <c r="BA216" s="334"/>
      <c r="BB216" s="331"/>
      <c r="BC216" s="334"/>
      <c r="BD216" s="334"/>
      <c r="BE216" s="331"/>
      <c r="BF216" s="334"/>
      <c r="BG216" s="334"/>
      <c r="BH216" s="331"/>
      <c r="BI216" s="334"/>
      <c r="BJ216" s="334"/>
      <c r="BK216" s="331"/>
      <c r="BL216" s="334"/>
      <c r="BM216" s="334"/>
      <c r="BN216" s="331"/>
      <c r="BO216" s="334"/>
      <c r="BP216" s="334"/>
      <c r="BQ216" s="331"/>
      <c r="BR216" s="332"/>
    </row>
    <row r="217" spans="1:70">
      <c r="A217" s="142" t="s">
        <v>3058</v>
      </c>
      <c r="B217" s="268">
        <v>26600</v>
      </c>
      <c r="C217" s="268">
        <v>0</v>
      </c>
      <c r="D217" s="333"/>
      <c r="E217" s="333"/>
      <c r="F217" s="331"/>
      <c r="G217" s="334"/>
      <c r="H217" s="334"/>
      <c r="I217" s="331"/>
      <c r="J217" s="334"/>
      <c r="K217" s="334"/>
      <c r="L217" s="331"/>
      <c r="M217" s="334"/>
      <c r="N217" s="334"/>
      <c r="O217" s="331"/>
      <c r="P217" s="334"/>
      <c r="Q217" s="334"/>
      <c r="R217" s="331"/>
      <c r="S217" s="334"/>
      <c r="T217" s="334"/>
      <c r="U217" s="331"/>
      <c r="V217" s="334"/>
      <c r="W217" s="334"/>
      <c r="X217" s="331"/>
      <c r="Y217" s="334"/>
      <c r="Z217" s="334"/>
      <c r="AA217" s="331"/>
      <c r="AB217" s="334"/>
      <c r="AC217" s="334"/>
      <c r="AD217" s="331"/>
      <c r="AE217" s="334"/>
      <c r="AF217" s="334"/>
      <c r="AG217" s="331"/>
      <c r="AH217" s="334"/>
      <c r="AI217" s="334"/>
      <c r="AJ217" s="331"/>
      <c r="AK217" s="334"/>
      <c r="AL217" s="334"/>
      <c r="AM217" s="331"/>
      <c r="AN217" s="334"/>
      <c r="AO217" s="334"/>
      <c r="AP217" s="331"/>
      <c r="AQ217" s="334"/>
      <c r="AR217" s="334"/>
      <c r="AS217" s="331"/>
      <c r="AT217" s="334"/>
      <c r="AU217" s="334"/>
      <c r="AV217" s="331"/>
      <c r="AW217" s="334"/>
      <c r="AX217" s="334"/>
      <c r="AY217" s="331"/>
      <c r="AZ217" s="334"/>
      <c r="BA217" s="334"/>
      <c r="BB217" s="331"/>
      <c r="BC217" s="334"/>
      <c r="BD217" s="334"/>
      <c r="BE217" s="331"/>
      <c r="BF217" s="334"/>
      <c r="BG217" s="334"/>
      <c r="BH217" s="331"/>
      <c r="BI217" s="334"/>
      <c r="BJ217" s="334"/>
      <c r="BK217" s="331"/>
      <c r="BL217" s="334"/>
      <c r="BM217" s="334"/>
      <c r="BN217" s="331"/>
      <c r="BO217" s="334"/>
      <c r="BP217" s="334"/>
      <c r="BQ217" s="331"/>
      <c r="BR217" s="332"/>
    </row>
    <row r="218" spans="1:70">
      <c r="A218" s="142" t="s">
        <v>3751</v>
      </c>
      <c r="B218" s="268">
        <v>26500</v>
      </c>
      <c r="C218" s="268">
        <v>0</v>
      </c>
      <c r="D218" s="333"/>
      <c r="E218" s="333"/>
      <c r="F218" s="331"/>
      <c r="G218" s="334"/>
      <c r="H218" s="334"/>
      <c r="I218" s="331"/>
      <c r="J218" s="334"/>
      <c r="K218" s="334"/>
      <c r="L218" s="331"/>
      <c r="M218" s="334"/>
      <c r="N218" s="334"/>
      <c r="O218" s="331"/>
      <c r="P218" s="334"/>
      <c r="Q218" s="334"/>
      <c r="R218" s="331"/>
      <c r="S218" s="334"/>
      <c r="T218" s="334"/>
      <c r="U218" s="331"/>
      <c r="V218" s="334"/>
      <c r="W218" s="334"/>
      <c r="X218" s="331"/>
      <c r="Y218" s="334"/>
      <c r="Z218" s="334"/>
      <c r="AA218" s="331"/>
      <c r="AB218" s="334"/>
      <c r="AC218" s="334"/>
      <c r="AD218" s="331"/>
      <c r="AE218" s="334"/>
      <c r="AF218" s="334"/>
      <c r="AG218" s="331"/>
      <c r="AH218" s="334"/>
      <c r="AI218" s="334"/>
      <c r="AJ218" s="331"/>
      <c r="AK218" s="334"/>
      <c r="AL218" s="334"/>
      <c r="AM218" s="331"/>
      <c r="AN218" s="334"/>
      <c r="AO218" s="334"/>
      <c r="AP218" s="331"/>
      <c r="AQ218" s="334"/>
      <c r="AR218" s="334"/>
      <c r="AS218" s="331"/>
      <c r="AT218" s="334"/>
      <c r="AU218" s="334"/>
      <c r="AV218" s="331"/>
      <c r="AW218" s="334"/>
      <c r="AX218" s="334"/>
      <c r="AY218" s="331"/>
      <c r="AZ218" s="334"/>
      <c r="BA218" s="334"/>
      <c r="BB218" s="331"/>
      <c r="BC218" s="334"/>
      <c r="BD218" s="334"/>
      <c r="BE218" s="331"/>
      <c r="BF218" s="334"/>
      <c r="BG218" s="334"/>
      <c r="BH218" s="331"/>
      <c r="BI218" s="334"/>
      <c r="BJ218" s="334"/>
      <c r="BK218" s="331"/>
      <c r="BL218" s="334"/>
      <c r="BM218" s="334"/>
      <c r="BN218" s="331"/>
      <c r="BO218" s="334"/>
      <c r="BP218" s="334"/>
      <c r="BQ218" s="331"/>
      <c r="BR218" s="332"/>
    </row>
    <row r="219" spans="1:70">
      <c r="A219" s="142" t="s">
        <v>3760</v>
      </c>
      <c r="B219" s="268">
        <v>26200</v>
      </c>
      <c r="C219" s="268">
        <v>0</v>
      </c>
      <c r="D219" s="333"/>
      <c r="E219" s="333"/>
      <c r="F219" s="331"/>
      <c r="G219" s="334"/>
      <c r="H219" s="334"/>
      <c r="I219" s="331"/>
      <c r="J219" s="334"/>
      <c r="K219" s="334"/>
      <c r="L219" s="331"/>
      <c r="M219" s="334"/>
      <c r="N219" s="334"/>
      <c r="O219" s="331"/>
      <c r="P219" s="334"/>
      <c r="Q219" s="334"/>
      <c r="R219" s="331"/>
      <c r="S219" s="334"/>
      <c r="T219" s="334"/>
      <c r="U219" s="331"/>
      <c r="V219" s="334"/>
      <c r="W219" s="334"/>
      <c r="X219" s="331"/>
      <c r="Y219" s="334"/>
      <c r="Z219" s="334"/>
      <c r="AA219" s="331"/>
      <c r="AB219" s="334"/>
      <c r="AC219" s="334"/>
      <c r="AD219" s="331"/>
      <c r="AE219" s="334"/>
      <c r="AF219" s="334"/>
      <c r="AG219" s="331"/>
      <c r="AH219" s="334"/>
      <c r="AI219" s="334"/>
      <c r="AJ219" s="331"/>
      <c r="AK219" s="334"/>
      <c r="AL219" s="334"/>
      <c r="AM219" s="331"/>
      <c r="AN219" s="334"/>
      <c r="AO219" s="334"/>
      <c r="AP219" s="331"/>
      <c r="AQ219" s="334"/>
      <c r="AR219" s="334"/>
      <c r="AS219" s="331"/>
      <c r="AT219" s="334"/>
      <c r="AU219" s="334"/>
      <c r="AV219" s="331"/>
      <c r="AW219" s="334"/>
      <c r="AX219" s="334"/>
      <c r="AY219" s="331"/>
      <c r="AZ219" s="334"/>
      <c r="BA219" s="334"/>
      <c r="BB219" s="331"/>
      <c r="BC219" s="334"/>
      <c r="BD219" s="334"/>
      <c r="BE219" s="331"/>
      <c r="BF219" s="334"/>
      <c r="BG219" s="334"/>
      <c r="BH219" s="331"/>
      <c r="BI219" s="334"/>
      <c r="BJ219" s="334"/>
      <c r="BK219" s="331"/>
      <c r="BL219" s="334"/>
      <c r="BM219" s="334"/>
      <c r="BN219" s="331"/>
      <c r="BO219" s="334"/>
      <c r="BP219" s="334"/>
      <c r="BQ219" s="331"/>
      <c r="BR219" s="332"/>
    </row>
    <row r="220" spans="1:70">
      <c r="A220" s="142" t="s">
        <v>3021</v>
      </c>
      <c r="B220" s="268">
        <v>52400</v>
      </c>
      <c r="C220" s="268">
        <v>0</v>
      </c>
      <c r="D220" s="333"/>
      <c r="E220" s="333"/>
      <c r="F220" s="331"/>
      <c r="G220" s="334"/>
      <c r="H220" s="334"/>
      <c r="I220" s="331"/>
      <c r="J220" s="334"/>
      <c r="K220" s="334"/>
      <c r="L220" s="331"/>
      <c r="M220" s="334"/>
      <c r="N220" s="334"/>
      <c r="O220" s="331"/>
      <c r="P220" s="334"/>
      <c r="Q220" s="334"/>
      <c r="R220" s="331"/>
      <c r="S220" s="334"/>
      <c r="T220" s="334"/>
      <c r="U220" s="331"/>
      <c r="V220" s="334"/>
      <c r="W220" s="334"/>
      <c r="X220" s="331"/>
      <c r="Y220" s="334"/>
      <c r="Z220" s="334"/>
      <c r="AA220" s="331"/>
      <c r="AB220" s="334"/>
      <c r="AC220" s="334"/>
      <c r="AD220" s="331"/>
      <c r="AE220" s="334"/>
      <c r="AF220" s="334"/>
      <c r="AG220" s="331"/>
      <c r="AH220" s="334"/>
      <c r="AI220" s="334"/>
      <c r="AJ220" s="331"/>
      <c r="AK220" s="334"/>
      <c r="AL220" s="334"/>
      <c r="AM220" s="331"/>
      <c r="AN220" s="334"/>
      <c r="AO220" s="334"/>
      <c r="AP220" s="331"/>
      <c r="AQ220" s="334"/>
      <c r="AR220" s="334"/>
      <c r="AS220" s="331"/>
      <c r="AT220" s="334"/>
      <c r="AU220" s="334"/>
      <c r="AV220" s="331"/>
      <c r="AW220" s="334"/>
      <c r="AX220" s="334"/>
      <c r="AY220" s="331"/>
      <c r="AZ220" s="334"/>
      <c r="BA220" s="334"/>
      <c r="BB220" s="331"/>
      <c r="BC220" s="334"/>
      <c r="BD220" s="334"/>
      <c r="BE220" s="331"/>
      <c r="BF220" s="334"/>
      <c r="BG220" s="334"/>
      <c r="BH220" s="331"/>
      <c r="BI220" s="334"/>
      <c r="BJ220" s="334"/>
      <c r="BK220" s="331"/>
      <c r="BL220" s="334"/>
      <c r="BM220" s="334"/>
      <c r="BN220" s="331"/>
      <c r="BO220" s="334"/>
      <c r="BP220" s="334"/>
      <c r="BQ220" s="331"/>
      <c r="BR220" s="332"/>
    </row>
    <row r="221" spans="1:70">
      <c r="A221" s="142" t="s">
        <v>3306</v>
      </c>
      <c r="B221" s="268">
        <v>31100</v>
      </c>
      <c r="C221" s="268">
        <v>0</v>
      </c>
      <c r="D221" s="333"/>
      <c r="E221" s="333"/>
      <c r="F221" s="331"/>
      <c r="G221" s="334"/>
      <c r="H221" s="334"/>
      <c r="I221" s="331"/>
      <c r="J221" s="334"/>
      <c r="K221" s="334"/>
      <c r="L221" s="331"/>
      <c r="M221" s="334"/>
      <c r="N221" s="334"/>
      <c r="O221" s="331"/>
      <c r="P221" s="334"/>
      <c r="Q221" s="334"/>
      <c r="R221" s="331"/>
      <c r="S221" s="334"/>
      <c r="T221" s="334"/>
      <c r="U221" s="331"/>
      <c r="V221" s="334"/>
      <c r="W221" s="334"/>
      <c r="X221" s="331"/>
      <c r="Y221" s="334"/>
      <c r="Z221" s="334"/>
      <c r="AA221" s="331"/>
      <c r="AB221" s="334"/>
      <c r="AC221" s="334"/>
      <c r="AD221" s="331"/>
      <c r="AE221" s="334"/>
      <c r="AF221" s="334"/>
      <c r="AG221" s="331"/>
      <c r="AH221" s="334"/>
      <c r="AI221" s="334"/>
      <c r="AJ221" s="331"/>
      <c r="AK221" s="334"/>
      <c r="AL221" s="334"/>
      <c r="AM221" s="331"/>
      <c r="AN221" s="334"/>
      <c r="AO221" s="334"/>
      <c r="AP221" s="331"/>
      <c r="AQ221" s="334"/>
      <c r="AR221" s="334"/>
      <c r="AS221" s="331"/>
      <c r="AT221" s="334"/>
      <c r="AU221" s="334"/>
      <c r="AV221" s="331"/>
      <c r="AW221" s="334"/>
      <c r="AX221" s="334"/>
      <c r="AY221" s="331"/>
      <c r="AZ221" s="334"/>
      <c r="BA221" s="334"/>
      <c r="BB221" s="331"/>
      <c r="BC221" s="334"/>
      <c r="BD221" s="334"/>
      <c r="BE221" s="331"/>
      <c r="BF221" s="334"/>
      <c r="BG221" s="334"/>
      <c r="BH221" s="331"/>
      <c r="BI221" s="334"/>
      <c r="BJ221" s="334"/>
      <c r="BK221" s="331"/>
      <c r="BL221" s="334"/>
      <c r="BM221" s="334"/>
      <c r="BN221" s="331"/>
      <c r="BO221" s="334"/>
      <c r="BP221" s="334"/>
      <c r="BQ221" s="331"/>
      <c r="BR221" s="332"/>
    </row>
    <row r="222" spans="1:70">
      <c r="A222" s="142" t="s">
        <v>3316</v>
      </c>
      <c r="B222" s="268">
        <v>58700</v>
      </c>
      <c r="C222" s="268">
        <v>0</v>
      </c>
      <c r="D222" s="333"/>
      <c r="E222" s="333"/>
      <c r="F222" s="331"/>
      <c r="G222" s="334"/>
      <c r="H222" s="334"/>
      <c r="I222" s="331"/>
      <c r="J222" s="334"/>
      <c r="K222" s="334"/>
      <c r="L222" s="331"/>
      <c r="M222" s="334"/>
      <c r="N222" s="334"/>
      <c r="O222" s="331"/>
      <c r="P222" s="334"/>
      <c r="Q222" s="334"/>
      <c r="R222" s="331"/>
      <c r="S222" s="334"/>
      <c r="T222" s="334"/>
      <c r="U222" s="331"/>
      <c r="V222" s="334"/>
      <c r="W222" s="334"/>
      <c r="X222" s="331"/>
      <c r="Y222" s="334"/>
      <c r="Z222" s="334"/>
      <c r="AA222" s="331"/>
      <c r="AB222" s="334"/>
      <c r="AC222" s="334"/>
      <c r="AD222" s="331"/>
      <c r="AE222" s="334"/>
      <c r="AF222" s="334"/>
      <c r="AG222" s="331"/>
      <c r="AH222" s="334"/>
      <c r="AI222" s="334"/>
      <c r="AJ222" s="331"/>
      <c r="AK222" s="334"/>
      <c r="AL222" s="334"/>
      <c r="AM222" s="331"/>
      <c r="AN222" s="334"/>
      <c r="AO222" s="334"/>
      <c r="AP222" s="331"/>
      <c r="AQ222" s="334"/>
      <c r="AR222" s="334"/>
      <c r="AS222" s="331"/>
      <c r="AT222" s="334"/>
      <c r="AU222" s="334"/>
      <c r="AV222" s="331"/>
      <c r="AW222" s="334"/>
      <c r="AX222" s="334"/>
      <c r="AY222" s="331"/>
      <c r="AZ222" s="334"/>
      <c r="BA222" s="334"/>
      <c r="BB222" s="331"/>
      <c r="BC222" s="334"/>
      <c r="BD222" s="334"/>
      <c r="BE222" s="331"/>
      <c r="BF222" s="334"/>
      <c r="BG222" s="334"/>
      <c r="BH222" s="331"/>
      <c r="BI222" s="334"/>
      <c r="BJ222" s="334"/>
      <c r="BK222" s="331"/>
      <c r="BL222" s="334"/>
      <c r="BM222" s="334"/>
      <c r="BN222" s="331"/>
      <c r="BO222" s="334"/>
      <c r="BP222" s="334"/>
      <c r="BQ222" s="331"/>
      <c r="BR222" s="332"/>
    </row>
    <row r="223" spans="1:70">
      <c r="A223" s="142" t="s">
        <v>3130</v>
      </c>
      <c r="B223" s="268">
        <v>53800</v>
      </c>
      <c r="C223" s="268">
        <v>0</v>
      </c>
      <c r="D223" s="333"/>
      <c r="E223" s="333"/>
      <c r="F223" s="331"/>
      <c r="G223" s="334"/>
      <c r="H223" s="334"/>
      <c r="I223" s="331"/>
      <c r="J223" s="334"/>
      <c r="K223" s="334"/>
      <c r="L223" s="331"/>
      <c r="M223" s="334"/>
      <c r="N223" s="334"/>
      <c r="O223" s="331"/>
      <c r="P223" s="334"/>
      <c r="Q223" s="334"/>
      <c r="R223" s="331"/>
      <c r="S223" s="334"/>
      <c r="T223" s="334"/>
      <c r="U223" s="331"/>
      <c r="V223" s="334"/>
      <c r="W223" s="334"/>
      <c r="X223" s="331"/>
      <c r="Y223" s="334"/>
      <c r="Z223" s="334"/>
      <c r="AA223" s="331"/>
      <c r="AB223" s="334"/>
      <c r="AC223" s="334"/>
      <c r="AD223" s="331"/>
      <c r="AE223" s="334"/>
      <c r="AF223" s="334"/>
      <c r="AG223" s="331"/>
      <c r="AH223" s="334"/>
      <c r="AI223" s="334"/>
      <c r="AJ223" s="331"/>
      <c r="AK223" s="334"/>
      <c r="AL223" s="334"/>
      <c r="AM223" s="331"/>
      <c r="AN223" s="334"/>
      <c r="AO223" s="334"/>
      <c r="AP223" s="331"/>
      <c r="AQ223" s="334"/>
      <c r="AR223" s="334"/>
      <c r="AS223" s="331"/>
      <c r="AT223" s="334"/>
      <c r="AU223" s="334"/>
      <c r="AV223" s="331"/>
      <c r="AW223" s="334"/>
      <c r="AX223" s="334"/>
      <c r="AY223" s="331"/>
      <c r="AZ223" s="334"/>
      <c r="BA223" s="334"/>
      <c r="BB223" s="331"/>
      <c r="BC223" s="334"/>
      <c r="BD223" s="334"/>
      <c r="BE223" s="331"/>
      <c r="BF223" s="334"/>
      <c r="BG223" s="334"/>
      <c r="BH223" s="331"/>
      <c r="BI223" s="334"/>
      <c r="BJ223" s="334"/>
      <c r="BK223" s="331"/>
      <c r="BL223" s="334"/>
      <c r="BM223" s="334"/>
      <c r="BN223" s="331"/>
      <c r="BO223" s="334"/>
      <c r="BP223" s="334"/>
      <c r="BQ223" s="331"/>
      <c r="BR223" s="332"/>
    </row>
    <row r="224" spans="1:70">
      <c r="A224" s="142" t="s">
        <v>4876</v>
      </c>
      <c r="B224" s="268">
        <v>22700</v>
      </c>
      <c r="C224" s="268">
        <v>0</v>
      </c>
      <c r="D224" s="333"/>
      <c r="E224" s="333"/>
      <c r="F224" s="331"/>
      <c r="G224" s="334"/>
      <c r="H224" s="334"/>
      <c r="I224" s="331"/>
      <c r="J224" s="334"/>
      <c r="K224" s="334"/>
      <c r="L224" s="331"/>
      <c r="M224" s="334"/>
      <c r="N224" s="334"/>
      <c r="O224" s="331"/>
      <c r="P224" s="334"/>
      <c r="Q224" s="334"/>
      <c r="R224" s="331"/>
      <c r="S224" s="334"/>
      <c r="T224" s="334"/>
      <c r="U224" s="331"/>
      <c r="V224" s="334"/>
      <c r="W224" s="334"/>
      <c r="X224" s="331"/>
      <c r="Y224" s="334"/>
      <c r="Z224" s="334"/>
      <c r="AA224" s="331"/>
      <c r="AB224" s="334"/>
      <c r="AC224" s="334"/>
      <c r="AD224" s="331"/>
      <c r="AE224" s="334"/>
      <c r="AF224" s="334"/>
      <c r="AG224" s="331"/>
      <c r="AH224" s="334"/>
      <c r="AI224" s="334"/>
      <c r="AJ224" s="331"/>
      <c r="AK224" s="334"/>
      <c r="AL224" s="334"/>
      <c r="AM224" s="331"/>
      <c r="AN224" s="334"/>
      <c r="AO224" s="334"/>
      <c r="AP224" s="331"/>
      <c r="AQ224" s="334"/>
      <c r="AR224" s="334"/>
      <c r="AS224" s="331"/>
      <c r="AT224" s="334"/>
      <c r="AU224" s="334"/>
      <c r="AV224" s="331"/>
      <c r="AW224" s="334"/>
      <c r="AX224" s="334"/>
      <c r="AY224" s="331"/>
      <c r="AZ224" s="334"/>
      <c r="BA224" s="334"/>
      <c r="BB224" s="331"/>
      <c r="BC224" s="334"/>
      <c r="BD224" s="334"/>
      <c r="BE224" s="331"/>
      <c r="BF224" s="334"/>
      <c r="BG224" s="334"/>
      <c r="BH224" s="331"/>
      <c r="BI224" s="334"/>
      <c r="BJ224" s="334"/>
      <c r="BK224" s="331"/>
      <c r="BL224" s="334"/>
      <c r="BM224" s="334"/>
      <c r="BN224" s="331"/>
      <c r="BO224" s="334"/>
      <c r="BP224" s="334"/>
      <c r="BQ224" s="331"/>
      <c r="BR224" s="332"/>
    </row>
    <row r="225" spans="1:70">
      <c r="A225" s="142" t="s">
        <v>3857</v>
      </c>
      <c r="B225" s="268">
        <v>10300</v>
      </c>
      <c r="C225" s="268">
        <v>0</v>
      </c>
      <c r="D225" s="333"/>
      <c r="E225" s="333"/>
      <c r="F225" s="331"/>
      <c r="G225" s="334"/>
      <c r="H225" s="334"/>
      <c r="I225" s="331"/>
      <c r="J225" s="334"/>
      <c r="K225" s="334"/>
      <c r="L225" s="331"/>
      <c r="M225" s="334"/>
      <c r="N225" s="334"/>
      <c r="O225" s="331"/>
      <c r="P225" s="334"/>
      <c r="Q225" s="334"/>
      <c r="R225" s="331"/>
      <c r="S225" s="334"/>
      <c r="T225" s="334"/>
      <c r="U225" s="331"/>
      <c r="V225" s="334"/>
      <c r="W225" s="334"/>
      <c r="X225" s="331"/>
      <c r="Y225" s="334"/>
      <c r="Z225" s="334"/>
      <c r="AA225" s="331"/>
      <c r="AB225" s="334"/>
      <c r="AC225" s="334"/>
      <c r="AD225" s="331"/>
      <c r="AE225" s="334"/>
      <c r="AF225" s="334"/>
      <c r="AG225" s="331"/>
      <c r="AH225" s="334"/>
      <c r="AI225" s="334"/>
      <c r="AJ225" s="331"/>
      <c r="AK225" s="334"/>
      <c r="AL225" s="334"/>
      <c r="AM225" s="331"/>
      <c r="AN225" s="334"/>
      <c r="AO225" s="334"/>
      <c r="AP225" s="331"/>
      <c r="AQ225" s="334"/>
      <c r="AR225" s="334"/>
      <c r="AS225" s="331"/>
      <c r="AT225" s="334"/>
      <c r="AU225" s="334"/>
      <c r="AV225" s="331"/>
      <c r="AW225" s="334"/>
      <c r="AX225" s="334"/>
      <c r="AY225" s="331"/>
      <c r="AZ225" s="334"/>
      <c r="BA225" s="334"/>
      <c r="BB225" s="331"/>
      <c r="BC225" s="334"/>
      <c r="BD225" s="334"/>
      <c r="BE225" s="331"/>
      <c r="BF225" s="334"/>
      <c r="BG225" s="334"/>
      <c r="BH225" s="331"/>
      <c r="BI225" s="334"/>
      <c r="BJ225" s="334"/>
      <c r="BK225" s="331"/>
      <c r="BL225" s="334"/>
      <c r="BM225" s="334"/>
      <c r="BN225" s="331"/>
      <c r="BO225" s="334"/>
      <c r="BP225" s="334"/>
      <c r="BQ225" s="331"/>
      <c r="BR225" s="332"/>
    </row>
    <row r="226" spans="1:70">
      <c r="A226" s="142" t="s">
        <v>3925</v>
      </c>
      <c r="B226" s="268">
        <v>24300</v>
      </c>
      <c r="C226" s="268">
        <v>0</v>
      </c>
      <c r="D226" s="333"/>
      <c r="E226" s="333"/>
      <c r="F226" s="331"/>
      <c r="G226" s="334"/>
      <c r="H226" s="334"/>
      <c r="I226" s="331"/>
      <c r="J226" s="334"/>
      <c r="K226" s="334"/>
      <c r="L226" s="331"/>
      <c r="M226" s="334"/>
      <c r="N226" s="334"/>
      <c r="O226" s="331"/>
      <c r="P226" s="334"/>
      <c r="Q226" s="334"/>
      <c r="R226" s="331"/>
      <c r="S226" s="334"/>
      <c r="T226" s="334"/>
      <c r="U226" s="331"/>
      <c r="V226" s="334"/>
      <c r="W226" s="334"/>
      <c r="X226" s="331"/>
      <c r="Y226" s="334"/>
      <c r="Z226" s="334"/>
      <c r="AA226" s="331"/>
      <c r="AB226" s="334"/>
      <c r="AC226" s="334"/>
      <c r="AD226" s="331"/>
      <c r="AE226" s="334"/>
      <c r="AF226" s="334"/>
      <c r="AG226" s="331"/>
      <c r="AH226" s="334"/>
      <c r="AI226" s="334"/>
      <c r="AJ226" s="331"/>
      <c r="AK226" s="334"/>
      <c r="AL226" s="334"/>
      <c r="AM226" s="331"/>
      <c r="AN226" s="334"/>
      <c r="AO226" s="334"/>
      <c r="AP226" s="331"/>
      <c r="AQ226" s="334"/>
      <c r="AR226" s="334"/>
      <c r="AS226" s="331"/>
      <c r="AT226" s="334"/>
      <c r="AU226" s="334"/>
      <c r="AV226" s="331"/>
      <c r="AW226" s="334"/>
      <c r="AX226" s="334"/>
      <c r="AY226" s="331"/>
      <c r="AZ226" s="334"/>
      <c r="BA226" s="334"/>
      <c r="BB226" s="331"/>
      <c r="BC226" s="334"/>
      <c r="BD226" s="334"/>
      <c r="BE226" s="331"/>
      <c r="BF226" s="334"/>
      <c r="BG226" s="334"/>
      <c r="BH226" s="331"/>
      <c r="BI226" s="334"/>
      <c r="BJ226" s="334"/>
      <c r="BK226" s="331"/>
      <c r="BL226" s="334"/>
      <c r="BM226" s="334"/>
      <c r="BN226" s="331"/>
      <c r="BO226" s="334"/>
      <c r="BP226" s="334"/>
      <c r="BQ226" s="331"/>
      <c r="BR226" s="332"/>
    </row>
    <row r="227" spans="1:70">
      <c r="A227" s="142" t="s">
        <v>3919</v>
      </c>
      <c r="B227" s="268">
        <v>27500</v>
      </c>
      <c r="C227" s="268">
        <v>0</v>
      </c>
      <c r="D227" s="333"/>
      <c r="E227" s="333"/>
      <c r="F227" s="331"/>
      <c r="G227" s="334"/>
      <c r="H227" s="334"/>
      <c r="I227" s="331"/>
      <c r="J227" s="334"/>
      <c r="K227" s="334"/>
      <c r="L227" s="331"/>
      <c r="M227" s="334"/>
      <c r="N227" s="334"/>
      <c r="O227" s="331"/>
      <c r="P227" s="334"/>
      <c r="Q227" s="334"/>
      <c r="R227" s="331"/>
      <c r="S227" s="334"/>
      <c r="T227" s="334"/>
      <c r="U227" s="331"/>
      <c r="V227" s="334"/>
      <c r="W227" s="334"/>
      <c r="X227" s="331"/>
      <c r="Y227" s="334"/>
      <c r="Z227" s="334"/>
      <c r="AA227" s="331"/>
      <c r="AB227" s="334"/>
      <c r="AC227" s="334"/>
      <c r="AD227" s="331"/>
      <c r="AE227" s="334"/>
      <c r="AF227" s="334"/>
      <c r="AG227" s="331"/>
      <c r="AH227" s="334"/>
      <c r="AI227" s="334"/>
      <c r="AJ227" s="331"/>
      <c r="AK227" s="334"/>
      <c r="AL227" s="334"/>
      <c r="AM227" s="331"/>
      <c r="AN227" s="334"/>
      <c r="AO227" s="334"/>
      <c r="AP227" s="331"/>
      <c r="AQ227" s="334"/>
      <c r="AR227" s="334"/>
      <c r="AS227" s="331"/>
      <c r="AT227" s="334"/>
      <c r="AU227" s="334"/>
      <c r="AV227" s="331"/>
      <c r="AW227" s="334"/>
      <c r="AX227" s="334"/>
      <c r="AY227" s="331"/>
      <c r="AZ227" s="334"/>
      <c r="BA227" s="334"/>
      <c r="BB227" s="331"/>
      <c r="BC227" s="334"/>
      <c r="BD227" s="334"/>
      <c r="BE227" s="331"/>
      <c r="BF227" s="334"/>
      <c r="BG227" s="334"/>
      <c r="BH227" s="331"/>
      <c r="BI227" s="334"/>
      <c r="BJ227" s="334"/>
      <c r="BK227" s="331"/>
      <c r="BL227" s="334"/>
      <c r="BM227" s="334"/>
      <c r="BN227" s="331"/>
      <c r="BO227" s="334"/>
      <c r="BP227" s="334"/>
      <c r="BQ227" s="331"/>
      <c r="BR227" s="332"/>
    </row>
    <row r="228" spans="1:70">
      <c r="A228" s="142" t="s">
        <v>4991</v>
      </c>
      <c r="B228" s="268">
        <v>3300</v>
      </c>
      <c r="C228" s="268">
        <v>0</v>
      </c>
      <c r="D228" s="333"/>
      <c r="E228" s="333"/>
      <c r="F228" s="331"/>
      <c r="G228" s="334"/>
      <c r="H228" s="334"/>
      <c r="I228" s="331"/>
      <c r="J228" s="334"/>
      <c r="K228" s="334"/>
      <c r="L228" s="331"/>
      <c r="M228" s="334"/>
      <c r="N228" s="334"/>
      <c r="O228" s="331"/>
      <c r="P228" s="334"/>
      <c r="Q228" s="334"/>
      <c r="R228" s="331"/>
      <c r="S228" s="334"/>
      <c r="T228" s="334"/>
      <c r="U228" s="331"/>
      <c r="V228" s="334"/>
      <c r="W228" s="334"/>
      <c r="X228" s="331"/>
      <c r="Y228" s="334"/>
      <c r="Z228" s="334"/>
      <c r="AA228" s="331"/>
      <c r="AB228" s="334"/>
      <c r="AC228" s="334"/>
      <c r="AD228" s="331"/>
      <c r="AE228" s="334"/>
      <c r="AF228" s="334"/>
      <c r="AG228" s="331"/>
      <c r="AH228" s="334"/>
      <c r="AI228" s="334"/>
      <c r="AJ228" s="331"/>
      <c r="AK228" s="334"/>
      <c r="AL228" s="334"/>
      <c r="AM228" s="331"/>
      <c r="AN228" s="334"/>
      <c r="AO228" s="334"/>
      <c r="AP228" s="331"/>
      <c r="AQ228" s="334"/>
      <c r="AR228" s="334"/>
      <c r="AS228" s="331"/>
      <c r="AT228" s="334"/>
      <c r="AU228" s="334"/>
      <c r="AV228" s="331"/>
      <c r="AW228" s="334"/>
      <c r="AX228" s="334"/>
      <c r="AY228" s="331"/>
      <c r="AZ228" s="334"/>
      <c r="BA228" s="334"/>
      <c r="BB228" s="331"/>
      <c r="BC228" s="334"/>
      <c r="BD228" s="334"/>
      <c r="BE228" s="331"/>
      <c r="BF228" s="334"/>
      <c r="BG228" s="334"/>
      <c r="BH228" s="331"/>
      <c r="BI228" s="334"/>
      <c r="BJ228" s="334"/>
      <c r="BK228" s="331"/>
      <c r="BL228" s="334"/>
      <c r="BM228" s="334"/>
      <c r="BN228" s="331"/>
      <c r="BO228" s="334"/>
      <c r="BP228" s="334"/>
      <c r="BQ228" s="331"/>
      <c r="BR228" s="332"/>
    </row>
    <row r="229" spans="1:70">
      <c r="A229" s="142" t="s">
        <v>2800</v>
      </c>
      <c r="B229" s="268">
        <v>27100</v>
      </c>
      <c r="C229" s="268">
        <v>0</v>
      </c>
      <c r="D229" s="333"/>
      <c r="E229" s="333"/>
      <c r="F229" s="331"/>
      <c r="G229" s="334"/>
      <c r="H229" s="334"/>
      <c r="I229" s="331"/>
      <c r="J229" s="334"/>
      <c r="K229" s="334"/>
      <c r="L229" s="331"/>
      <c r="M229" s="334"/>
      <c r="N229" s="334"/>
      <c r="O229" s="331"/>
      <c r="P229" s="334"/>
      <c r="Q229" s="334"/>
      <c r="R229" s="331"/>
      <c r="S229" s="334"/>
      <c r="T229" s="334"/>
      <c r="U229" s="331"/>
      <c r="V229" s="334"/>
      <c r="W229" s="334"/>
      <c r="X229" s="331"/>
      <c r="Y229" s="334"/>
      <c r="Z229" s="334"/>
      <c r="AA229" s="331"/>
      <c r="AB229" s="334"/>
      <c r="AC229" s="334"/>
      <c r="AD229" s="331"/>
      <c r="AE229" s="334"/>
      <c r="AF229" s="334"/>
      <c r="AG229" s="331"/>
      <c r="AH229" s="334"/>
      <c r="AI229" s="334"/>
      <c r="AJ229" s="331"/>
      <c r="AK229" s="334"/>
      <c r="AL229" s="334"/>
      <c r="AM229" s="331"/>
      <c r="AN229" s="334"/>
      <c r="AO229" s="334"/>
      <c r="AP229" s="331"/>
      <c r="AQ229" s="334"/>
      <c r="AR229" s="334"/>
      <c r="AS229" s="331"/>
      <c r="AT229" s="334"/>
      <c r="AU229" s="334"/>
      <c r="AV229" s="331"/>
      <c r="AW229" s="334"/>
      <c r="AX229" s="334"/>
      <c r="AY229" s="331"/>
      <c r="AZ229" s="334"/>
      <c r="BA229" s="334"/>
      <c r="BB229" s="331"/>
      <c r="BC229" s="334"/>
      <c r="BD229" s="334"/>
      <c r="BE229" s="331"/>
      <c r="BF229" s="334"/>
      <c r="BG229" s="334"/>
      <c r="BH229" s="331"/>
      <c r="BI229" s="334"/>
      <c r="BJ229" s="334"/>
      <c r="BK229" s="331"/>
      <c r="BL229" s="334"/>
      <c r="BM229" s="334"/>
      <c r="BN229" s="331"/>
      <c r="BO229" s="334"/>
      <c r="BP229" s="334"/>
      <c r="BQ229" s="331"/>
      <c r="BR229" s="332"/>
    </row>
    <row r="230" spans="1:70">
      <c r="A230" s="142" t="s">
        <v>4998</v>
      </c>
      <c r="B230" s="268">
        <v>18200</v>
      </c>
      <c r="C230" s="268">
        <v>0</v>
      </c>
      <c r="D230" s="333"/>
      <c r="E230" s="333"/>
      <c r="F230" s="331"/>
      <c r="G230" s="334"/>
      <c r="H230" s="334"/>
      <c r="I230" s="331"/>
      <c r="J230" s="334"/>
      <c r="K230" s="334"/>
      <c r="L230" s="331"/>
      <c r="M230" s="334"/>
      <c r="N230" s="334"/>
      <c r="O230" s="331"/>
      <c r="P230" s="334"/>
      <c r="Q230" s="334"/>
      <c r="R230" s="331"/>
      <c r="S230" s="334"/>
      <c r="T230" s="334"/>
      <c r="U230" s="331"/>
      <c r="V230" s="334"/>
      <c r="W230" s="334"/>
      <c r="X230" s="331"/>
      <c r="Y230" s="334"/>
      <c r="Z230" s="334"/>
      <c r="AA230" s="331"/>
      <c r="AB230" s="334"/>
      <c r="AC230" s="334"/>
      <c r="AD230" s="331"/>
      <c r="AE230" s="334"/>
      <c r="AF230" s="334"/>
      <c r="AG230" s="331"/>
      <c r="AH230" s="334"/>
      <c r="AI230" s="334"/>
      <c r="AJ230" s="331"/>
      <c r="AK230" s="334"/>
      <c r="AL230" s="334"/>
      <c r="AM230" s="331"/>
      <c r="AN230" s="334"/>
      <c r="AO230" s="334"/>
      <c r="AP230" s="331"/>
      <c r="AQ230" s="334"/>
      <c r="AR230" s="334"/>
      <c r="AS230" s="331"/>
      <c r="AT230" s="334"/>
      <c r="AU230" s="334"/>
      <c r="AV230" s="331"/>
      <c r="AW230" s="334"/>
      <c r="AX230" s="334"/>
      <c r="AY230" s="331"/>
      <c r="AZ230" s="334"/>
      <c r="BA230" s="334"/>
      <c r="BB230" s="331"/>
      <c r="BC230" s="334"/>
      <c r="BD230" s="334"/>
      <c r="BE230" s="331"/>
      <c r="BF230" s="334"/>
      <c r="BG230" s="334"/>
      <c r="BH230" s="331"/>
      <c r="BI230" s="334"/>
      <c r="BJ230" s="334"/>
      <c r="BK230" s="331"/>
      <c r="BL230" s="334"/>
      <c r="BM230" s="334"/>
      <c r="BN230" s="331"/>
      <c r="BO230" s="334"/>
      <c r="BP230" s="334"/>
      <c r="BQ230" s="331"/>
      <c r="BR230" s="332"/>
    </row>
    <row r="231" spans="1:70">
      <c r="A231" s="142" t="s">
        <v>3135</v>
      </c>
      <c r="B231" s="268">
        <v>18000</v>
      </c>
      <c r="C231" s="268">
        <v>0</v>
      </c>
      <c r="D231" s="333"/>
      <c r="E231" s="333"/>
      <c r="F231" s="331"/>
      <c r="G231" s="334"/>
      <c r="H231" s="334"/>
      <c r="I231" s="331"/>
      <c r="J231" s="334"/>
      <c r="K231" s="334"/>
      <c r="L231" s="331"/>
      <c r="M231" s="334"/>
      <c r="N231" s="334"/>
      <c r="O231" s="331"/>
      <c r="P231" s="334"/>
      <c r="Q231" s="334"/>
      <c r="R231" s="331"/>
      <c r="S231" s="334"/>
      <c r="T231" s="334"/>
      <c r="U231" s="331"/>
      <c r="V231" s="334"/>
      <c r="W231" s="334"/>
      <c r="X231" s="331"/>
      <c r="Y231" s="334"/>
      <c r="Z231" s="334"/>
      <c r="AA231" s="331"/>
      <c r="AB231" s="334"/>
      <c r="AC231" s="334"/>
      <c r="AD231" s="331"/>
      <c r="AE231" s="334"/>
      <c r="AF231" s="334"/>
      <c r="AG231" s="331"/>
      <c r="AH231" s="334"/>
      <c r="AI231" s="334"/>
      <c r="AJ231" s="331"/>
      <c r="AK231" s="334"/>
      <c r="AL231" s="334"/>
      <c r="AM231" s="331"/>
      <c r="AN231" s="334"/>
      <c r="AO231" s="334"/>
      <c r="AP231" s="331"/>
      <c r="AQ231" s="334"/>
      <c r="AR231" s="334"/>
      <c r="AS231" s="331"/>
      <c r="AT231" s="334"/>
      <c r="AU231" s="334"/>
      <c r="AV231" s="331"/>
      <c r="AW231" s="334"/>
      <c r="AX231" s="334"/>
      <c r="AY231" s="331"/>
      <c r="AZ231" s="334"/>
      <c r="BA231" s="334"/>
      <c r="BB231" s="331"/>
      <c r="BC231" s="334"/>
      <c r="BD231" s="334"/>
      <c r="BE231" s="331"/>
      <c r="BF231" s="334"/>
      <c r="BG231" s="334"/>
      <c r="BH231" s="331"/>
      <c r="BI231" s="334"/>
      <c r="BJ231" s="334"/>
      <c r="BK231" s="331"/>
      <c r="BL231" s="334"/>
      <c r="BM231" s="334"/>
      <c r="BN231" s="331"/>
      <c r="BO231" s="334"/>
      <c r="BP231" s="334"/>
      <c r="BQ231" s="331"/>
      <c r="BR231" s="332"/>
    </row>
    <row r="232" spans="1:70">
      <c r="A232" s="142" t="s">
        <v>3734</v>
      </c>
      <c r="B232" s="268">
        <v>54200</v>
      </c>
      <c r="C232" s="268">
        <v>0</v>
      </c>
      <c r="D232" s="333"/>
      <c r="E232" s="333"/>
      <c r="F232" s="331"/>
      <c r="G232" s="334"/>
      <c r="H232" s="334"/>
      <c r="I232" s="331"/>
      <c r="J232" s="334"/>
      <c r="K232" s="334"/>
      <c r="L232" s="331"/>
      <c r="M232" s="334"/>
      <c r="N232" s="334"/>
      <c r="O232" s="331"/>
      <c r="P232" s="334"/>
      <c r="Q232" s="334"/>
      <c r="R232" s="331"/>
      <c r="S232" s="334"/>
      <c r="T232" s="334"/>
      <c r="U232" s="331"/>
      <c r="V232" s="334"/>
      <c r="W232" s="334"/>
      <c r="X232" s="331"/>
      <c r="Y232" s="334"/>
      <c r="Z232" s="334"/>
      <c r="AA232" s="331"/>
      <c r="AB232" s="334"/>
      <c r="AC232" s="334"/>
      <c r="AD232" s="331"/>
      <c r="AE232" s="334"/>
      <c r="AF232" s="334"/>
      <c r="AG232" s="331"/>
      <c r="AH232" s="334"/>
      <c r="AI232" s="334"/>
      <c r="AJ232" s="331"/>
      <c r="AK232" s="334"/>
      <c r="AL232" s="334"/>
      <c r="AM232" s="331"/>
      <c r="AN232" s="334"/>
      <c r="AO232" s="334"/>
      <c r="AP232" s="331"/>
      <c r="AQ232" s="334"/>
      <c r="AR232" s="334"/>
      <c r="AS232" s="331"/>
      <c r="AT232" s="334"/>
      <c r="AU232" s="334"/>
      <c r="AV232" s="331"/>
      <c r="AW232" s="334"/>
      <c r="AX232" s="334"/>
      <c r="AY232" s="331"/>
      <c r="AZ232" s="334"/>
      <c r="BA232" s="334"/>
      <c r="BB232" s="331"/>
      <c r="BC232" s="334"/>
      <c r="BD232" s="334"/>
      <c r="BE232" s="331"/>
      <c r="BF232" s="334"/>
      <c r="BG232" s="334"/>
      <c r="BH232" s="331"/>
      <c r="BI232" s="334"/>
      <c r="BJ232" s="334"/>
      <c r="BK232" s="331"/>
      <c r="BL232" s="334"/>
      <c r="BM232" s="334"/>
      <c r="BN232" s="331"/>
      <c r="BO232" s="334"/>
      <c r="BP232" s="334"/>
      <c r="BQ232" s="331"/>
      <c r="BR232" s="332"/>
    </row>
    <row r="233" spans="1:70">
      <c r="A233" s="142" t="s">
        <v>4788</v>
      </c>
      <c r="B233" s="268">
        <v>48000</v>
      </c>
      <c r="C233" s="268">
        <v>0</v>
      </c>
      <c r="D233" s="333"/>
      <c r="E233" s="333"/>
      <c r="F233" s="331"/>
      <c r="G233" s="334"/>
      <c r="H233" s="334"/>
      <c r="I233" s="331"/>
      <c r="J233" s="334"/>
      <c r="K233" s="334"/>
      <c r="L233" s="331"/>
      <c r="M233" s="334"/>
      <c r="N233" s="334"/>
      <c r="O233" s="331"/>
      <c r="P233" s="334"/>
      <c r="Q233" s="334"/>
      <c r="R233" s="331"/>
      <c r="S233" s="334"/>
      <c r="T233" s="334"/>
      <c r="U233" s="331"/>
      <c r="V233" s="334"/>
      <c r="W233" s="334"/>
      <c r="X233" s="331"/>
      <c r="Y233" s="334"/>
      <c r="Z233" s="334"/>
      <c r="AA233" s="331"/>
      <c r="AB233" s="334"/>
      <c r="AC233" s="334"/>
      <c r="AD233" s="331"/>
      <c r="AE233" s="334"/>
      <c r="AF233" s="334"/>
      <c r="AG233" s="331"/>
      <c r="AH233" s="334"/>
      <c r="AI233" s="334"/>
      <c r="AJ233" s="331"/>
      <c r="AK233" s="334"/>
      <c r="AL233" s="334"/>
      <c r="AM233" s="331"/>
      <c r="AN233" s="334"/>
      <c r="AO233" s="334"/>
      <c r="AP233" s="331"/>
      <c r="AQ233" s="334"/>
      <c r="AR233" s="334"/>
      <c r="AS233" s="331"/>
      <c r="AT233" s="334"/>
      <c r="AU233" s="334"/>
      <c r="AV233" s="331"/>
      <c r="AW233" s="334"/>
      <c r="AX233" s="334"/>
      <c r="AY233" s="331"/>
      <c r="AZ233" s="334"/>
      <c r="BA233" s="334"/>
      <c r="BB233" s="331"/>
      <c r="BC233" s="334"/>
      <c r="BD233" s="334"/>
      <c r="BE233" s="331"/>
      <c r="BF233" s="334"/>
      <c r="BG233" s="334"/>
      <c r="BH233" s="331"/>
      <c r="BI233" s="334"/>
      <c r="BJ233" s="334"/>
      <c r="BK233" s="331"/>
      <c r="BL233" s="334"/>
      <c r="BM233" s="334"/>
      <c r="BN233" s="331"/>
      <c r="BO233" s="334"/>
      <c r="BP233" s="334"/>
      <c r="BQ233" s="331"/>
      <c r="BR233" s="332"/>
    </row>
    <row r="234" spans="1:70">
      <c r="A234" s="142" t="s">
        <v>4894</v>
      </c>
      <c r="B234" s="268">
        <v>29000</v>
      </c>
      <c r="C234" s="268">
        <v>0</v>
      </c>
      <c r="D234" s="333"/>
      <c r="E234" s="333"/>
      <c r="F234" s="331"/>
      <c r="G234" s="334"/>
      <c r="H234" s="334"/>
      <c r="I234" s="331"/>
      <c r="J234" s="334"/>
      <c r="K234" s="334"/>
      <c r="L234" s="331"/>
      <c r="M234" s="334"/>
      <c r="N234" s="334"/>
      <c r="O234" s="331"/>
      <c r="P234" s="334"/>
      <c r="Q234" s="334"/>
      <c r="R234" s="331"/>
      <c r="S234" s="334"/>
      <c r="T234" s="334"/>
      <c r="U234" s="331"/>
      <c r="V234" s="334"/>
      <c r="W234" s="334"/>
      <c r="X234" s="331"/>
      <c r="Y234" s="334"/>
      <c r="Z234" s="334"/>
      <c r="AA234" s="331"/>
      <c r="AB234" s="334"/>
      <c r="AC234" s="334"/>
      <c r="AD234" s="331"/>
      <c r="AE234" s="334"/>
      <c r="AF234" s="334"/>
      <c r="AG234" s="331"/>
      <c r="AH234" s="334"/>
      <c r="AI234" s="334"/>
      <c r="AJ234" s="331"/>
      <c r="AK234" s="334"/>
      <c r="AL234" s="334"/>
      <c r="AM234" s="331"/>
      <c r="AN234" s="334"/>
      <c r="AO234" s="334"/>
      <c r="AP234" s="331"/>
      <c r="AQ234" s="334"/>
      <c r="AR234" s="334"/>
      <c r="AS234" s="331"/>
      <c r="AT234" s="334"/>
      <c r="AU234" s="334"/>
      <c r="AV234" s="331"/>
      <c r="AW234" s="334"/>
      <c r="AX234" s="334"/>
      <c r="AY234" s="331"/>
      <c r="AZ234" s="334"/>
      <c r="BA234" s="334"/>
      <c r="BB234" s="331"/>
      <c r="BC234" s="334"/>
      <c r="BD234" s="334"/>
      <c r="BE234" s="331"/>
      <c r="BF234" s="334"/>
      <c r="BG234" s="334"/>
      <c r="BH234" s="331"/>
      <c r="BI234" s="334"/>
      <c r="BJ234" s="334"/>
      <c r="BK234" s="331"/>
      <c r="BL234" s="334"/>
      <c r="BM234" s="334"/>
      <c r="BN234" s="331"/>
      <c r="BO234" s="334"/>
      <c r="BP234" s="334"/>
      <c r="BQ234" s="331"/>
      <c r="BR234" s="332"/>
    </row>
    <row r="235" spans="1:70">
      <c r="A235" s="142" t="s">
        <v>4684</v>
      </c>
      <c r="B235" s="268">
        <v>25600</v>
      </c>
      <c r="C235" s="268">
        <v>0</v>
      </c>
      <c r="D235" s="333"/>
      <c r="E235" s="333"/>
      <c r="F235" s="331"/>
      <c r="G235" s="334"/>
      <c r="H235" s="334"/>
      <c r="I235" s="331"/>
      <c r="J235" s="334"/>
      <c r="K235" s="334"/>
      <c r="L235" s="331"/>
      <c r="M235" s="334"/>
      <c r="N235" s="334"/>
      <c r="O235" s="331"/>
      <c r="P235" s="334"/>
      <c r="Q235" s="334"/>
      <c r="R235" s="331"/>
      <c r="S235" s="334"/>
      <c r="T235" s="334"/>
      <c r="U235" s="331"/>
      <c r="V235" s="334"/>
      <c r="W235" s="334"/>
      <c r="X235" s="331"/>
      <c r="Y235" s="334"/>
      <c r="Z235" s="334"/>
      <c r="AA235" s="331"/>
      <c r="AB235" s="334"/>
      <c r="AC235" s="334"/>
      <c r="AD235" s="331"/>
      <c r="AE235" s="334"/>
      <c r="AF235" s="334"/>
      <c r="AG235" s="331"/>
      <c r="AH235" s="334"/>
      <c r="AI235" s="334"/>
      <c r="AJ235" s="331"/>
      <c r="AK235" s="334"/>
      <c r="AL235" s="334"/>
      <c r="AM235" s="331"/>
      <c r="AN235" s="334"/>
      <c r="AO235" s="334"/>
      <c r="AP235" s="331"/>
      <c r="AQ235" s="334"/>
      <c r="AR235" s="334"/>
      <c r="AS235" s="331"/>
      <c r="AT235" s="334"/>
      <c r="AU235" s="334"/>
      <c r="AV235" s="331"/>
      <c r="AW235" s="334"/>
      <c r="AX235" s="334"/>
      <c r="AY235" s="331"/>
      <c r="AZ235" s="334"/>
      <c r="BA235" s="334"/>
      <c r="BB235" s="331"/>
      <c r="BC235" s="334"/>
      <c r="BD235" s="334"/>
      <c r="BE235" s="331"/>
      <c r="BF235" s="334"/>
      <c r="BG235" s="334"/>
      <c r="BH235" s="331"/>
      <c r="BI235" s="334"/>
      <c r="BJ235" s="334"/>
      <c r="BK235" s="331"/>
      <c r="BL235" s="334"/>
      <c r="BM235" s="334"/>
      <c r="BN235" s="331"/>
      <c r="BO235" s="334"/>
      <c r="BP235" s="334"/>
      <c r="BQ235" s="331"/>
      <c r="BR235" s="332"/>
    </row>
    <row r="236" spans="1:70">
      <c r="A236" s="142" t="s">
        <v>4883</v>
      </c>
      <c r="B236" s="268">
        <v>22300</v>
      </c>
      <c r="C236" s="268">
        <v>0</v>
      </c>
      <c r="D236" s="333"/>
      <c r="E236" s="333"/>
      <c r="F236" s="331"/>
      <c r="G236" s="334"/>
      <c r="H236" s="334"/>
      <c r="I236" s="331"/>
      <c r="J236" s="334"/>
      <c r="K236" s="334"/>
      <c r="L236" s="331"/>
      <c r="M236" s="334"/>
      <c r="N236" s="334"/>
      <c r="O236" s="331"/>
      <c r="P236" s="334"/>
      <c r="Q236" s="334"/>
      <c r="R236" s="331"/>
      <c r="S236" s="334"/>
      <c r="T236" s="334"/>
      <c r="U236" s="331"/>
      <c r="V236" s="334"/>
      <c r="W236" s="334"/>
      <c r="X236" s="331"/>
      <c r="Y236" s="334"/>
      <c r="Z236" s="334"/>
      <c r="AA236" s="331"/>
      <c r="AB236" s="334"/>
      <c r="AC236" s="334"/>
      <c r="AD236" s="331"/>
      <c r="AE236" s="334"/>
      <c r="AF236" s="334"/>
      <c r="AG236" s="331"/>
      <c r="AH236" s="334"/>
      <c r="AI236" s="334"/>
      <c r="AJ236" s="331"/>
      <c r="AK236" s="334"/>
      <c r="AL236" s="334"/>
      <c r="AM236" s="331"/>
      <c r="AN236" s="334"/>
      <c r="AO236" s="334"/>
      <c r="AP236" s="331"/>
      <c r="AQ236" s="334"/>
      <c r="AR236" s="334"/>
      <c r="AS236" s="331"/>
      <c r="AT236" s="334"/>
      <c r="AU236" s="334"/>
      <c r="AV236" s="331"/>
      <c r="AW236" s="334"/>
      <c r="AX236" s="334"/>
      <c r="AY236" s="331"/>
      <c r="AZ236" s="334"/>
      <c r="BA236" s="334"/>
      <c r="BB236" s="331"/>
      <c r="BC236" s="334"/>
      <c r="BD236" s="334"/>
      <c r="BE236" s="331"/>
      <c r="BF236" s="334"/>
      <c r="BG236" s="334"/>
      <c r="BH236" s="331"/>
      <c r="BI236" s="334"/>
      <c r="BJ236" s="334"/>
      <c r="BK236" s="331"/>
      <c r="BL236" s="334"/>
      <c r="BM236" s="334"/>
      <c r="BN236" s="331"/>
      <c r="BO236" s="334"/>
      <c r="BP236" s="334"/>
      <c r="BQ236" s="331"/>
      <c r="BR236" s="332"/>
    </row>
    <row r="237" spans="1:70">
      <c r="A237" s="142" t="s">
        <v>4345</v>
      </c>
      <c r="B237" s="268">
        <v>42800</v>
      </c>
      <c r="C237" s="268">
        <v>0</v>
      </c>
      <c r="D237" s="333"/>
      <c r="E237" s="333"/>
      <c r="F237" s="331"/>
      <c r="G237" s="334"/>
      <c r="H237" s="334"/>
      <c r="I237" s="331"/>
      <c r="J237" s="334"/>
      <c r="K237" s="334"/>
      <c r="L237" s="331"/>
      <c r="M237" s="334"/>
      <c r="N237" s="334"/>
      <c r="O237" s="331"/>
      <c r="P237" s="334"/>
      <c r="Q237" s="334"/>
      <c r="R237" s="331"/>
      <c r="S237" s="334"/>
      <c r="T237" s="334"/>
      <c r="U237" s="331"/>
      <c r="V237" s="334"/>
      <c r="W237" s="334"/>
      <c r="X237" s="331"/>
      <c r="Y237" s="334"/>
      <c r="Z237" s="334"/>
      <c r="AA237" s="331"/>
      <c r="AB237" s="334"/>
      <c r="AC237" s="334"/>
      <c r="AD237" s="331"/>
      <c r="AE237" s="334"/>
      <c r="AF237" s="334"/>
      <c r="AG237" s="331"/>
      <c r="AH237" s="334"/>
      <c r="AI237" s="334"/>
      <c r="AJ237" s="331"/>
      <c r="AK237" s="334"/>
      <c r="AL237" s="334"/>
      <c r="AM237" s="331"/>
      <c r="AN237" s="334"/>
      <c r="AO237" s="334"/>
      <c r="AP237" s="331"/>
      <c r="AQ237" s="334"/>
      <c r="AR237" s="334"/>
      <c r="AS237" s="331"/>
      <c r="AT237" s="334"/>
      <c r="AU237" s="334"/>
      <c r="AV237" s="331"/>
      <c r="AW237" s="334"/>
      <c r="AX237" s="334"/>
      <c r="AY237" s="331"/>
      <c r="AZ237" s="334"/>
      <c r="BA237" s="334"/>
      <c r="BB237" s="331"/>
      <c r="BC237" s="334"/>
      <c r="BD237" s="334"/>
      <c r="BE237" s="331"/>
      <c r="BF237" s="334"/>
      <c r="BG237" s="334"/>
      <c r="BH237" s="331"/>
      <c r="BI237" s="334"/>
      <c r="BJ237" s="334"/>
      <c r="BK237" s="331"/>
      <c r="BL237" s="334"/>
      <c r="BM237" s="334"/>
      <c r="BN237" s="331"/>
      <c r="BO237" s="334"/>
      <c r="BP237" s="334"/>
      <c r="BQ237" s="331"/>
      <c r="BR237" s="332"/>
    </row>
    <row r="238" spans="1:70">
      <c r="A238" s="142" t="s">
        <v>4773</v>
      </c>
      <c r="B238" s="268">
        <v>47500</v>
      </c>
      <c r="C238" s="268">
        <v>0</v>
      </c>
      <c r="D238" s="333"/>
      <c r="E238" s="333"/>
      <c r="F238" s="331"/>
      <c r="G238" s="334"/>
      <c r="H238" s="334"/>
      <c r="I238" s="331"/>
      <c r="J238" s="334"/>
      <c r="K238" s="334"/>
      <c r="L238" s="331"/>
      <c r="M238" s="334"/>
      <c r="N238" s="334"/>
      <c r="O238" s="331"/>
      <c r="P238" s="334"/>
      <c r="Q238" s="334"/>
      <c r="R238" s="331"/>
      <c r="S238" s="334"/>
      <c r="T238" s="334"/>
      <c r="U238" s="331"/>
      <c r="V238" s="334"/>
      <c r="W238" s="334"/>
      <c r="X238" s="331"/>
      <c r="Y238" s="334"/>
      <c r="Z238" s="334"/>
      <c r="AA238" s="331"/>
      <c r="AB238" s="334"/>
      <c r="AC238" s="334"/>
      <c r="AD238" s="331"/>
      <c r="AE238" s="334"/>
      <c r="AF238" s="334"/>
      <c r="AG238" s="331"/>
      <c r="AH238" s="334"/>
      <c r="AI238" s="334"/>
      <c r="AJ238" s="331"/>
      <c r="AK238" s="334"/>
      <c r="AL238" s="334"/>
      <c r="AM238" s="331"/>
      <c r="AN238" s="334"/>
      <c r="AO238" s="334"/>
      <c r="AP238" s="331"/>
      <c r="AQ238" s="334"/>
      <c r="AR238" s="334"/>
      <c r="AS238" s="331"/>
      <c r="AT238" s="334"/>
      <c r="AU238" s="334"/>
      <c r="AV238" s="331"/>
      <c r="AW238" s="334"/>
      <c r="AX238" s="334"/>
      <c r="AY238" s="331"/>
      <c r="AZ238" s="334"/>
      <c r="BA238" s="334"/>
      <c r="BB238" s="331"/>
      <c r="BC238" s="334"/>
      <c r="BD238" s="334"/>
      <c r="BE238" s="331"/>
      <c r="BF238" s="334"/>
      <c r="BG238" s="334"/>
      <c r="BH238" s="331"/>
      <c r="BI238" s="334"/>
      <c r="BJ238" s="334"/>
      <c r="BK238" s="331"/>
      <c r="BL238" s="334"/>
      <c r="BM238" s="334"/>
      <c r="BN238" s="331"/>
      <c r="BO238" s="334"/>
      <c r="BP238" s="334"/>
      <c r="BQ238" s="331"/>
      <c r="BR238" s="332"/>
    </row>
    <row r="239" spans="1:70">
      <c r="A239" s="142" t="s">
        <v>3073</v>
      </c>
      <c r="B239" s="268">
        <v>12000</v>
      </c>
      <c r="C239" s="268">
        <v>0</v>
      </c>
      <c r="D239" s="333"/>
      <c r="E239" s="333"/>
      <c r="F239" s="331"/>
      <c r="G239" s="334"/>
      <c r="H239" s="334"/>
      <c r="I239" s="331"/>
      <c r="J239" s="334"/>
      <c r="K239" s="334"/>
      <c r="L239" s="331"/>
      <c r="M239" s="334"/>
      <c r="N239" s="334"/>
      <c r="O239" s="331"/>
      <c r="P239" s="334"/>
      <c r="Q239" s="334"/>
      <c r="R239" s="331"/>
      <c r="S239" s="334"/>
      <c r="T239" s="334"/>
      <c r="U239" s="331"/>
      <c r="V239" s="334"/>
      <c r="W239" s="334"/>
      <c r="X239" s="331"/>
      <c r="Y239" s="334"/>
      <c r="Z239" s="334"/>
      <c r="AA239" s="331"/>
      <c r="AB239" s="334"/>
      <c r="AC239" s="334"/>
      <c r="AD239" s="331"/>
      <c r="AE239" s="334"/>
      <c r="AF239" s="334"/>
      <c r="AG239" s="331"/>
      <c r="AH239" s="334"/>
      <c r="AI239" s="334"/>
      <c r="AJ239" s="331"/>
      <c r="AK239" s="334"/>
      <c r="AL239" s="334"/>
      <c r="AM239" s="331"/>
      <c r="AN239" s="334"/>
      <c r="AO239" s="334"/>
      <c r="AP239" s="331"/>
      <c r="AQ239" s="334"/>
      <c r="AR239" s="334"/>
      <c r="AS239" s="331"/>
      <c r="AT239" s="334"/>
      <c r="AU239" s="334"/>
      <c r="AV239" s="331"/>
      <c r="AW239" s="334"/>
      <c r="AX239" s="334"/>
      <c r="AY239" s="331"/>
      <c r="AZ239" s="334"/>
      <c r="BA239" s="334"/>
      <c r="BB239" s="331"/>
      <c r="BC239" s="334"/>
      <c r="BD239" s="334"/>
      <c r="BE239" s="331"/>
      <c r="BF239" s="334"/>
      <c r="BG239" s="334"/>
      <c r="BH239" s="331"/>
      <c r="BI239" s="334"/>
      <c r="BJ239" s="334"/>
      <c r="BK239" s="331"/>
      <c r="BL239" s="334"/>
      <c r="BM239" s="334"/>
      <c r="BN239" s="331"/>
      <c r="BO239" s="334"/>
      <c r="BP239" s="334"/>
      <c r="BQ239" s="331"/>
      <c r="BR239" s="332"/>
    </row>
    <row r="240" spans="1:70">
      <c r="A240" s="142" t="s">
        <v>2742</v>
      </c>
      <c r="B240" s="268">
        <v>10800</v>
      </c>
      <c r="C240" s="268">
        <v>0</v>
      </c>
      <c r="D240" s="333"/>
      <c r="E240" s="333"/>
      <c r="F240" s="331"/>
      <c r="G240" s="334"/>
      <c r="H240" s="334"/>
      <c r="I240" s="331"/>
      <c r="J240" s="334"/>
      <c r="K240" s="334"/>
      <c r="L240" s="331"/>
      <c r="M240" s="334"/>
      <c r="N240" s="334"/>
      <c r="O240" s="331"/>
      <c r="P240" s="334"/>
      <c r="Q240" s="334"/>
      <c r="R240" s="331"/>
      <c r="S240" s="334"/>
      <c r="T240" s="334"/>
      <c r="U240" s="331"/>
      <c r="V240" s="334"/>
      <c r="W240" s="334"/>
      <c r="X240" s="331"/>
      <c r="Y240" s="334"/>
      <c r="Z240" s="334"/>
      <c r="AA240" s="331"/>
      <c r="AB240" s="334"/>
      <c r="AC240" s="334"/>
      <c r="AD240" s="331"/>
      <c r="AE240" s="334"/>
      <c r="AF240" s="334"/>
      <c r="AG240" s="331"/>
      <c r="AH240" s="334"/>
      <c r="AI240" s="334"/>
      <c r="AJ240" s="331"/>
      <c r="AK240" s="334"/>
      <c r="AL240" s="334"/>
      <c r="AM240" s="331"/>
      <c r="AN240" s="334"/>
      <c r="AO240" s="334"/>
      <c r="AP240" s="331"/>
      <c r="AQ240" s="334"/>
      <c r="AR240" s="334"/>
      <c r="AS240" s="331"/>
      <c r="AT240" s="334"/>
      <c r="AU240" s="334"/>
      <c r="AV240" s="331"/>
      <c r="AW240" s="334"/>
      <c r="AX240" s="334"/>
      <c r="AY240" s="331"/>
      <c r="AZ240" s="334"/>
      <c r="BA240" s="334"/>
      <c r="BB240" s="331"/>
      <c r="BC240" s="334"/>
      <c r="BD240" s="334"/>
      <c r="BE240" s="331"/>
      <c r="BF240" s="334"/>
      <c r="BG240" s="334"/>
      <c r="BH240" s="331"/>
      <c r="BI240" s="334"/>
      <c r="BJ240" s="334"/>
      <c r="BK240" s="331"/>
      <c r="BL240" s="334"/>
      <c r="BM240" s="334"/>
      <c r="BN240" s="331"/>
      <c r="BO240" s="334"/>
      <c r="BP240" s="334"/>
      <c r="BQ240" s="331"/>
      <c r="BR240" s="332"/>
    </row>
    <row r="241" spans="1:70">
      <c r="A241" s="142" t="s">
        <v>2748</v>
      </c>
      <c r="B241" s="268">
        <v>10700</v>
      </c>
      <c r="C241" s="268">
        <v>0</v>
      </c>
      <c r="D241" s="333"/>
      <c r="E241" s="333"/>
      <c r="F241" s="331"/>
      <c r="G241" s="334"/>
      <c r="H241" s="334"/>
      <c r="I241" s="331"/>
      <c r="J241" s="334"/>
      <c r="K241" s="334"/>
      <c r="L241" s="331"/>
      <c r="M241" s="334"/>
      <c r="N241" s="334"/>
      <c r="O241" s="331"/>
      <c r="P241" s="334"/>
      <c r="Q241" s="334"/>
      <c r="R241" s="331"/>
      <c r="S241" s="334"/>
      <c r="T241" s="334"/>
      <c r="U241" s="331"/>
      <c r="V241" s="334"/>
      <c r="W241" s="334"/>
      <c r="X241" s="331"/>
      <c r="Y241" s="334"/>
      <c r="Z241" s="334"/>
      <c r="AA241" s="331"/>
      <c r="AB241" s="334"/>
      <c r="AC241" s="334"/>
      <c r="AD241" s="331"/>
      <c r="AE241" s="334"/>
      <c r="AF241" s="334"/>
      <c r="AG241" s="331"/>
      <c r="AH241" s="334"/>
      <c r="AI241" s="334"/>
      <c r="AJ241" s="331"/>
      <c r="AK241" s="334"/>
      <c r="AL241" s="334"/>
      <c r="AM241" s="331"/>
      <c r="AN241" s="334"/>
      <c r="AO241" s="334"/>
      <c r="AP241" s="331"/>
      <c r="AQ241" s="334"/>
      <c r="AR241" s="334"/>
      <c r="AS241" s="331"/>
      <c r="AT241" s="334"/>
      <c r="AU241" s="334"/>
      <c r="AV241" s="331"/>
      <c r="AW241" s="334"/>
      <c r="AX241" s="334"/>
      <c r="AY241" s="331"/>
      <c r="AZ241" s="334"/>
      <c r="BA241" s="334"/>
      <c r="BB241" s="331"/>
      <c r="BC241" s="334"/>
      <c r="BD241" s="334"/>
      <c r="BE241" s="331"/>
      <c r="BF241" s="334"/>
      <c r="BG241" s="334"/>
      <c r="BH241" s="331"/>
      <c r="BI241" s="334"/>
      <c r="BJ241" s="334"/>
      <c r="BK241" s="331"/>
      <c r="BL241" s="334"/>
      <c r="BM241" s="334"/>
      <c r="BN241" s="331"/>
      <c r="BO241" s="334"/>
      <c r="BP241" s="334"/>
      <c r="BQ241" s="331"/>
      <c r="BR241" s="332"/>
    </row>
    <row r="242" spans="1:70">
      <c r="A242" s="142" t="s">
        <v>2770</v>
      </c>
      <c r="B242" s="268">
        <v>10400</v>
      </c>
      <c r="C242" s="268">
        <v>0</v>
      </c>
      <c r="D242" s="333"/>
      <c r="E242" s="333"/>
      <c r="F242" s="331"/>
      <c r="G242" s="334"/>
      <c r="H242" s="334"/>
      <c r="I242" s="331"/>
      <c r="J242" s="334"/>
      <c r="K242" s="334"/>
      <c r="L242" s="331"/>
      <c r="M242" s="334"/>
      <c r="N242" s="334"/>
      <c r="O242" s="331"/>
      <c r="P242" s="334"/>
      <c r="Q242" s="334"/>
      <c r="R242" s="331"/>
      <c r="S242" s="334"/>
      <c r="T242" s="334"/>
      <c r="U242" s="331"/>
      <c r="V242" s="334"/>
      <c r="W242" s="334"/>
      <c r="X242" s="331"/>
      <c r="Y242" s="334"/>
      <c r="Z242" s="334"/>
      <c r="AA242" s="331"/>
      <c r="AB242" s="334"/>
      <c r="AC242" s="334"/>
      <c r="AD242" s="331"/>
      <c r="AE242" s="334"/>
      <c r="AF242" s="334"/>
      <c r="AG242" s="331"/>
      <c r="AH242" s="334"/>
      <c r="AI242" s="334"/>
      <c r="AJ242" s="331"/>
      <c r="AK242" s="334"/>
      <c r="AL242" s="334"/>
      <c r="AM242" s="331"/>
      <c r="AN242" s="334"/>
      <c r="AO242" s="334"/>
      <c r="AP242" s="331"/>
      <c r="AQ242" s="334"/>
      <c r="AR242" s="334"/>
      <c r="AS242" s="331"/>
      <c r="AT242" s="334"/>
      <c r="AU242" s="334"/>
      <c r="AV242" s="331"/>
      <c r="AW242" s="334"/>
      <c r="AX242" s="334"/>
      <c r="AY242" s="331"/>
      <c r="AZ242" s="334"/>
      <c r="BA242" s="334"/>
      <c r="BB242" s="331"/>
      <c r="BC242" s="334"/>
      <c r="BD242" s="334"/>
      <c r="BE242" s="331"/>
      <c r="BF242" s="334"/>
      <c r="BG242" s="334"/>
      <c r="BH242" s="331"/>
      <c r="BI242" s="334"/>
      <c r="BJ242" s="334"/>
      <c r="BK242" s="331"/>
      <c r="BL242" s="334"/>
      <c r="BM242" s="334"/>
      <c r="BN242" s="331"/>
      <c r="BO242" s="334"/>
      <c r="BP242" s="334"/>
      <c r="BQ242" s="331"/>
      <c r="BR242" s="332"/>
    </row>
    <row r="243" spans="1:70">
      <c r="A243" s="142" t="s">
        <v>2756</v>
      </c>
      <c r="B243" s="268">
        <v>10800</v>
      </c>
      <c r="C243" s="268">
        <v>0</v>
      </c>
      <c r="D243" s="333"/>
      <c r="E243" s="333"/>
      <c r="F243" s="331"/>
      <c r="G243" s="334"/>
      <c r="H243" s="334"/>
      <c r="I243" s="331"/>
      <c r="J243" s="334"/>
      <c r="K243" s="334"/>
      <c r="L243" s="331"/>
      <c r="M243" s="334"/>
      <c r="N243" s="334"/>
      <c r="O243" s="331"/>
      <c r="P243" s="334"/>
      <c r="Q243" s="334"/>
      <c r="R243" s="331"/>
      <c r="S243" s="334"/>
      <c r="T243" s="334"/>
      <c r="U243" s="331"/>
      <c r="V243" s="334"/>
      <c r="W243" s="334"/>
      <c r="X243" s="331"/>
      <c r="Y243" s="334"/>
      <c r="Z243" s="334"/>
      <c r="AA243" s="331"/>
      <c r="AB243" s="334"/>
      <c r="AC243" s="334"/>
      <c r="AD243" s="331"/>
      <c r="AE243" s="334"/>
      <c r="AF243" s="334"/>
      <c r="AG243" s="331"/>
      <c r="AH243" s="334"/>
      <c r="AI243" s="334"/>
      <c r="AJ243" s="331"/>
      <c r="AK243" s="334"/>
      <c r="AL243" s="334"/>
      <c r="AM243" s="331"/>
      <c r="AN243" s="334"/>
      <c r="AO243" s="334"/>
      <c r="AP243" s="331"/>
      <c r="AQ243" s="334"/>
      <c r="AR243" s="334"/>
      <c r="AS243" s="331"/>
      <c r="AT243" s="334"/>
      <c r="AU243" s="334"/>
      <c r="AV243" s="331"/>
      <c r="AW243" s="334"/>
      <c r="AX243" s="334"/>
      <c r="AY243" s="331"/>
      <c r="AZ243" s="334"/>
      <c r="BA243" s="334"/>
      <c r="BB243" s="331"/>
      <c r="BC243" s="334"/>
      <c r="BD243" s="334"/>
      <c r="BE243" s="331"/>
      <c r="BF243" s="334"/>
      <c r="BG243" s="334"/>
      <c r="BH243" s="331"/>
      <c r="BI243" s="334"/>
      <c r="BJ243" s="334"/>
      <c r="BK243" s="331"/>
      <c r="BL243" s="334"/>
      <c r="BM243" s="334"/>
      <c r="BN243" s="331"/>
      <c r="BO243" s="334"/>
      <c r="BP243" s="334"/>
      <c r="BQ243" s="331"/>
      <c r="BR243" s="332"/>
    </row>
    <row r="244" spans="1:70">
      <c r="A244" s="142" t="s">
        <v>4620</v>
      </c>
      <c r="B244" s="268">
        <v>52600</v>
      </c>
      <c r="C244" s="268">
        <v>0</v>
      </c>
      <c r="D244" s="333"/>
      <c r="E244" s="333"/>
      <c r="F244" s="331"/>
      <c r="G244" s="334"/>
      <c r="H244" s="334"/>
      <c r="I244" s="331"/>
      <c r="J244" s="334"/>
      <c r="K244" s="334"/>
      <c r="L244" s="331"/>
      <c r="M244" s="334"/>
      <c r="N244" s="334"/>
      <c r="O244" s="331"/>
      <c r="P244" s="334"/>
      <c r="Q244" s="334"/>
      <c r="R244" s="331"/>
      <c r="S244" s="334"/>
      <c r="T244" s="334"/>
      <c r="U244" s="331"/>
      <c r="V244" s="334"/>
      <c r="W244" s="334"/>
      <c r="X244" s="331"/>
      <c r="Y244" s="334"/>
      <c r="Z244" s="334"/>
      <c r="AA244" s="331"/>
      <c r="AB244" s="334"/>
      <c r="AC244" s="334"/>
      <c r="AD244" s="331"/>
      <c r="AE244" s="334"/>
      <c r="AF244" s="334"/>
      <c r="AG244" s="331"/>
      <c r="AH244" s="334"/>
      <c r="AI244" s="334"/>
      <c r="AJ244" s="331"/>
      <c r="AK244" s="334"/>
      <c r="AL244" s="334"/>
      <c r="AM244" s="331"/>
      <c r="AN244" s="334"/>
      <c r="AO244" s="334"/>
      <c r="AP244" s="331"/>
      <c r="AQ244" s="334"/>
      <c r="AR244" s="334"/>
      <c r="AS244" s="331"/>
      <c r="AT244" s="334"/>
      <c r="AU244" s="334"/>
      <c r="AV244" s="331"/>
      <c r="AW244" s="334"/>
      <c r="AX244" s="334"/>
      <c r="AY244" s="331"/>
      <c r="AZ244" s="334"/>
      <c r="BA244" s="334"/>
      <c r="BB244" s="331"/>
      <c r="BC244" s="334"/>
      <c r="BD244" s="334"/>
      <c r="BE244" s="331"/>
      <c r="BF244" s="334"/>
      <c r="BG244" s="334"/>
      <c r="BH244" s="331"/>
      <c r="BI244" s="334"/>
      <c r="BJ244" s="334"/>
      <c r="BK244" s="331"/>
      <c r="BL244" s="334"/>
      <c r="BM244" s="334"/>
      <c r="BN244" s="331"/>
      <c r="BO244" s="334"/>
      <c r="BP244" s="334"/>
      <c r="BQ244" s="331"/>
      <c r="BR244" s="332"/>
    </row>
    <row r="245" spans="1:70">
      <c r="A245" s="142" t="s">
        <v>2763</v>
      </c>
      <c r="B245" s="268">
        <v>10900</v>
      </c>
      <c r="C245" s="268">
        <v>0</v>
      </c>
      <c r="D245" s="333"/>
      <c r="E245" s="333"/>
      <c r="F245" s="331"/>
      <c r="G245" s="334"/>
      <c r="H245" s="334"/>
      <c r="I245" s="331"/>
      <c r="J245" s="334"/>
      <c r="K245" s="334"/>
      <c r="L245" s="331"/>
      <c r="M245" s="334"/>
      <c r="N245" s="334"/>
      <c r="O245" s="331"/>
      <c r="P245" s="334"/>
      <c r="Q245" s="334"/>
      <c r="R245" s="331"/>
      <c r="S245" s="334"/>
      <c r="T245" s="334"/>
      <c r="U245" s="331"/>
      <c r="V245" s="334"/>
      <c r="W245" s="334"/>
      <c r="X245" s="331"/>
      <c r="Y245" s="334"/>
      <c r="Z245" s="334"/>
      <c r="AA245" s="331"/>
      <c r="AB245" s="334"/>
      <c r="AC245" s="334"/>
      <c r="AD245" s="331"/>
      <c r="AE245" s="334"/>
      <c r="AF245" s="334"/>
      <c r="AG245" s="331"/>
      <c r="AH245" s="334"/>
      <c r="AI245" s="334"/>
      <c r="AJ245" s="331"/>
      <c r="AK245" s="334"/>
      <c r="AL245" s="334"/>
      <c r="AM245" s="331"/>
      <c r="AN245" s="334"/>
      <c r="AO245" s="334"/>
      <c r="AP245" s="331"/>
      <c r="AQ245" s="334"/>
      <c r="AR245" s="334"/>
      <c r="AS245" s="331"/>
      <c r="AT245" s="334"/>
      <c r="AU245" s="334"/>
      <c r="AV245" s="331"/>
      <c r="AW245" s="334"/>
      <c r="AX245" s="334"/>
      <c r="AY245" s="331"/>
      <c r="AZ245" s="334"/>
      <c r="BA245" s="334"/>
      <c r="BB245" s="331"/>
      <c r="BC245" s="334"/>
      <c r="BD245" s="334"/>
      <c r="BE245" s="331"/>
      <c r="BF245" s="334"/>
      <c r="BG245" s="334"/>
      <c r="BH245" s="331"/>
      <c r="BI245" s="334"/>
      <c r="BJ245" s="334"/>
      <c r="BK245" s="331"/>
      <c r="BL245" s="334"/>
      <c r="BM245" s="334"/>
      <c r="BN245" s="331"/>
      <c r="BO245" s="334"/>
      <c r="BP245" s="334"/>
      <c r="BQ245" s="331"/>
      <c r="BR245" s="332"/>
    </row>
    <row r="246" spans="1:70">
      <c r="A246" s="142" t="s">
        <v>4632</v>
      </c>
      <c r="B246" s="268">
        <v>52500</v>
      </c>
      <c r="C246" s="268">
        <v>0</v>
      </c>
      <c r="D246" s="333"/>
      <c r="E246" s="333"/>
      <c r="F246" s="331"/>
      <c r="G246" s="334"/>
      <c r="H246" s="334"/>
      <c r="I246" s="331"/>
      <c r="J246" s="334"/>
      <c r="K246" s="334"/>
      <c r="L246" s="331"/>
      <c r="M246" s="334"/>
      <c r="N246" s="334"/>
      <c r="O246" s="331"/>
      <c r="P246" s="334"/>
      <c r="Q246" s="334"/>
      <c r="R246" s="331"/>
      <c r="S246" s="334"/>
      <c r="T246" s="334"/>
      <c r="U246" s="331"/>
      <c r="V246" s="334"/>
      <c r="W246" s="334"/>
      <c r="X246" s="331"/>
      <c r="Y246" s="334"/>
      <c r="Z246" s="334"/>
      <c r="AA246" s="331"/>
      <c r="AB246" s="334"/>
      <c r="AC246" s="334"/>
      <c r="AD246" s="331"/>
      <c r="AE246" s="334"/>
      <c r="AF246" s="334"/>
      <c r="AG246" s="331"/>
      <c r="AH246" s="334"/>
      <c r="AI246" s="334"/>
      <c r="AJ246" s="331"/>
      <c r="AK246" s="334"/>
      <c r="AL246" s="334"/>
      <c r="AM246" s="331"/>
      <c r="AN246" s="334"/>
      <c r="AO246" s="334"/>
      <c r="AP246" s="331"/>
      <c r="AQ246" s="334"/>
      <c r="AR246" s="334"/>
      <c r="AS246" s="331"/>
      <c r="AT246" s="334"/>
      <c r="AU246" s="334"/>
      <c r="AV246" s="331"/>
      <c r="AW246" s="334"/>
      <c r="AX246" s="334"/>
      <c r="AY246" s="331"/>
      <c r="AZ246" s="334"/>
      <c r="BA246" s="334"/>
      <c r="BB246" s="331"/>
      <c r="BC246" s="334"/>
      <c r="BD246" s="334"/>
      <c r="BE246" s="331"/>
      <c r="BF246" s="334"/>
      <c r="BG246" s="334"/>
      <c r="BH246" s="331"/>
      <c r="BI246" s="334"/>
      <c r="BJ246" s="334"/>
      <c r="BK246" s="331"/>
      <c r="BL246" s="334"/>
      <c r="BM246" s="334"/>
      <c r="BN246" s="331"/>
      <c r="BO246" s="334"/>
      <c r="BP246" s="334"/>
      <c r="BQ246" s="331"/>
      <c r="BR246" s="332"/>
    </row>
    <row r="247" spans="1:70">
      <c r="A247" s="142" t="s">
        <v>4627</v>
      </c>
      <c r="B247" s="268">
        <v>52500</v>
      </c>
      <c r="C247" s="268">
        <v>0</v>
      </c>
      <c r="D247" s="333"/>
      <c r="E247" s="333"/>
      <c r="F247" s="331"/>
      <c r="G247" s="334"/>
      <c r="H247" s="334"/>
      <c r="I247" s="331"/>
      <c r="J247" s="334"/>
      <c r="K247" s="334"/>
      <c r="L247" s="331"/>
      <c r="M247" s="334"/>
      <c r="N247" s="334"/>
      <c r="O247" s="331"/>
      <c r="P247" s="334"/>
      <c r="Q247" s="334"/>
      <c r="R247" s="331"/>
      <c r="S247" s="334"/>
      <c r="T247" s="334"/>
      <c r="U247" s="331"/>
      <c r="V247" s="334"/>
      <c r="W247" s="334"/>
      <c r="X247" s="331"/>
      <c r="Y247" s="334"/>
      <c r="Z247" s="334"/>
      <c r="AA247" s="331"/>
      <c r="AB247" s="334"/>
      <c r="AC247" s="334"/>
      <c r="AD247" s="331"/>
      <c r="AE247" s="334"/>
      <c r="AF247" s="334"/>
      <c r="AG247" s="331"/>
      <c r="AH247" s="334"/>
      <c r="AI247" s="334"/>
      <c r="AJ247" s="331"/>
      <c r="AK247" s="334"/>
      <c r="AL247" s="334"/>
      <c r="AM247" s="331"/>
      <c r="AN247" s="334"/>
      <c r="AO247" s="334"/>
      <c r="AP247" s="331"/>
      <c r="AQ247" s="334"/>
      <c r="AR247" s="334"/>
      <c r="AS247" s="331"/>
      <c r="AT247" s="334"/>
      <c r="AU247" s="334"/>
      <c r="AV247" s="331"/>
      <c r="AW247" s="334"/>
      <c r="AX247" s="334"/>
      <c r="AY247" s="331"/>
      <c r="AZ247" s="334"/>
      <c r="BA247" s="334"/>
      <c r="BB247" s="331"/>
      <c r="BC247" s="334"/>
      <c r="BD247" s="334"/>
      <c r="BE247" s="331"/>
      <c r="BF247" s="334"/>
      <c r="BG247" s="334"/>
      <c r="BH247" s="331"/>
      <c r="BI247" s="334"/>
      <c r="BJ247" s="334"/>
      <c r="BK247" s="331"/>
      <c r="BL247" s="334"/>
      <c r="BM247" s="334"/>
      <c r="BN247" s="331"/>
      <c r="BO247" s="334"/>
      <c r="BP247" s="334"/>
      <c r="BQ247" s="331"/>
      <c r="BR247" s="332"/>
    </row>
    <row r="248" spans="1:70">
      <c r="A248" s="142" t="s">
        <v>3368</v>
      </c>
      <c r="B248" s="268">
        <v>46900</v>
      </c>
      <c r="C248" s="268">
        <v>0</v>
      </c>
      <c r="D248" s="333"/>
      <c r="E248" s="333"/>
      <c r="F248" s="331"/>
      <c r="G248" s="334"/>
      <c r="H248" s="334"/>
      <c r="I248" s="331"/>
      <c r="J248" s="334"/>
      <c r="K248" s="334"/>
      <c r="L248" s="331"/>
      <c r="M248" s="334"/>
      <c r="N248" s="334"/>
      <c r="O248" s="331"/>
      <c r="P248" s="334"/>
      <c r="Q248" s="334"/>
      <c r="R248" s="331"/>
      <c r="S248" s="334"/>
      <c r="T248" s="334"/>
      <c r="U248" s="331"/>
      <c r="V248" s="334"/>
      <c r="W248" s="334"/>
      <c r="X248" s="331"/>
      <c r="Y248" s="334"/>
      <c r="Z248" s="334"/>
      <c r="AA248" s="331"/>
      <c r="AB248" s="334"/>
      <c r="AC248" s="334"/>
      <c r="AD248" s="331"/>
      <c r="AE248" s="334"/>
      <c r="AF248" s="334"/>
      <c r="AG248" s="331"/>
      <c r="AH248" s="334"/>
      <c r="AI248" s="334"/>
      <c r="AJ248" s="331"/>
      <c r="AK248" s="334"/>
      <c r="AL248" s="334"/>
      <c r="AM248" s="331"/>
      <c r="AN248" s="334"/>
      <c r="AO248" s="334"/>
      <c r="AP248" s="331"/>
      <c r="AQ248" s="334"/>
      <c r="AR248" s="334"/>
      <c r="AS248" s="331"/>
      <c r="AT248" s="334"/>
      <c r="AU248" s="334"/>
      <c r="AV248" s="331"/>
      <c r="AW248" s="334"/>
      <c r="AX248" s="334"/>
      <c r="AY248" s="331"/>
      <c r="AZ248" s="334"/>
      <c r="BA248" s="334"/>
      <c r="BB248" s="331"/>
      <c r="BC248" s="334"/>
      <c r="BD248" s="334"/>
      <c r="BE248" s="331"/>
      <c r="BF248" s="334"/>
      <c r="BG248" s="334"/>
      <c r="BH248" s="331"/>
      <c r="BI248" s="334"/>
      <c r="BJ248" s="334"/>
      <c r="BK248" s="331"/>
      <c r="BL248" s="334"/>
      <c r="BM248" s="334"/>
      <c r="BN248" s="331"/>
      <c r="BO248" s="334"/>
      <c r="BP248" s="334"/>
      <c r="BQ248" s="331"/>
      <c r="BR248" s="332"/>
    </row>
    <row r="249" spans="1:70">
      <c r="A249" s="142" t="s">
        <v>4846</v>
      </c>
      <c r="B249" s="268">
        <v>11000</v>
      </c>
      <c r="C249" s="268">
        <v>0</v>
      </c>
      <c r="D249" s="333"/>
      <c r="E249" s="333"/>
      <c r="F249" s="331"/>
      <c r="G249" s="334"/>
      <c r="H249" s="334"/>
      <c r="I249" s="331"/>
      <c r="J249" s="334"/>
      <c r="K249" s="334"/>
      <c r="L249" s="331"/>
      <c r="M249" s="334"/>
      <c r="N249" s="334"/>
      <c r="O249" s="331"/>
      <c r="P249" s="334"/>
      <c r="Q249" s="334"/>
      <c r="R249" s="331"/>
      <c r="S249" s="334"/>
      <c r="T249" s="334"/>
      <c r="U249" s="331"/>
      <c r="V249" s="334"/>
      <c r="W249" s="334"/>
      <c r="X249" s="331"/>
      <c r="Y249" s="334"/>
      <c r="Z249" s="334"/>
      <c r="AA249" s="331"/>
      <c r="AB249" s="334"/>
      <c r="AC249" s="334"/>
      <c r="AD249" s="331"/>
      <c r="AE249" s="334"/>
      <c r="AF249" s="334"/>
      <c r="AG249" s="331"/>
      <c r="AH249" s="334"/>
      <c r="AI249" s="334"/>
      <c r="AJ249" s="331"/>
      <c r="AK249" s="334"/>
      <c r="AL249" s="334"/>
      <c r="AM249" s="331"/>
      <c r="AN249" s="334"/>
      <c r="AO249" s="334"/>
      <c r="AP249" s="331"/>
      <c r="AQ249" s="334"/>
      <c r="AR249" s="334"/>
      <c r="AS249" s="331"/>
      <c r="AT249" s="334"/>
      <c r="AU249" s="334"/>
      <c r="AV249" s="331"/>
      <c r="AW249" s="334"/>
      <c r="AX249" s="334"/>
      <c r="AY249" s="331"/>
      <c r="AZ249" s="334"/>
      <c r="BA249" s="334"/>
      <c r="BB249" s="331"/>
      <c r="BC249" s="334"/>
      <c r="BD249" s="334"/>
      <c r="BE249" s="331"/>
      <c r="BF249" s="334"/>
      <c r="BG249" s="334"/>
      <c r="BH249" s="331"/>
      <c r="BI249" s="334"/>
      <c r="BJ249" s="334"/>
      <c r="BK249" s="331"/>
      <c r="BL249" s="334"/>
      <c r="BM249" s="334"/>
      <c r="BN249" s="331"/>
      <c r="BO249" s="334"/>
      <c r="BP249" s="334"/>
      <c r="BQ249" s="331"/>
      <c r="BR249" s="332"/>
    </row>
    <row r="250" spans="1:70">
      <c r="A250" s="142" t="s">
        <v>4890</v>
      </c>
      <c r="B250" s="268">
        <v>12300</v>
      </c>
      <c r="C250" s="268">
        <v>0</v>
      </c>
      <c r="D250" s="333"/>
      <c r="E250" s="333"/>
      <c r="F250" s="331"/>
      <c r="G250" s="334"/>
      <c r="H250" s="334"/>
      <c r="I250" s="331"/>
      <c r="J250" s="334"/>
      <c r="K250" s="334"/>
      <c r="L250" s="331"/>
      <c r="M250" s="334"/>
      <c r="N250" s="334"/>
      <c r="O250" s="331"/>
      <c r="P250" s="334"/>
      <c r="Q250" s="334"/>
      <c r="R250" s="331"/>
      <c r="S250" s="334"/>
      <c r="T250" s="334"/>
      <c r="U250" s="331"/>
      <c r="V250" s="334"/>
      <c r="W250" s="334"/>
      <c r="X250" s="331"/>
      <c r="Y250" s="334"/>
      <c r="Z250" s="334"/>
      <c r="AA250" s="331"/>
      <c r="AB250" s="334"/>
      <c r="AC250" s="334"/>
      <c r="AD250" s="331"/>
      <c r="AE250" s="334"/>
      <c r="AF250" s="334"/>
      <c r="AG250" s="331"/>
      <c r="AH250" s="334"/>
      <c r="AI250" s="334"/>
      <c r="AJ250" s="331"/>
      <c r="AK250" s="334"/>
      <c r="AL250" s="334"/>
      <c r="AM250" s="331"/>
      <c r="AN250" s="334"/>
      <c r="AO250" s="334"/>
      <c r="AP250" s="331"/>
      <c r="AQ250" s="334"/>
      <c r="AR250" s="334"/>
      <c r="AS250" s="331"/>
      <c r="AT250" s="334"/>
      <c r="AU250" s="334"/>
      <c r="AV250" s="331"/>
      <c r="AW250" s="334"/>
      <c r="AX250" s="334"/>
      <c r="AY250" s="331"/>
      <c r="AZ250" s="334"/>
      <c r="BA250" s="334"/>
      <c r="BB250" s="331"/>
      <c r="BC250" s="334"/>
      <c r="BD250" s="334"/>
      <c r="BE250" s="331"/>
      <c r="BF250" s="334"/>
      <c r="BG250" s="334"/>
      <c r="BH250" s="331"/>
      <c r="BI250" s="334"/>
      <c r="BJ250" s="334"/>
      <c r="BK250" s="331"/>
      <c r="BL250" s="334"/>
      <c r="BM250" s="334"/>
      <c r="BN250" s="331"/>
      <c r="BO250" s="334"/>
      <c r="BP250" s="334"/>
      <c r="BQ250" s="331"/>
      <c r="BR250" s="332"/>
    </row>
    <row r="251" spans="1:70">
      <c r="A251" s="142" t="s">
        <v>2669</v>
      </c>
      <c r="B251" s="268">
        <v>5700</v>
      </c>
      <c r="C251" s="268">
        <v>0</v>
      </c>
      <c r="D251" s="333"/>
      <c r="E251" s="333"/>
      <c r="F251" s="331"/>
      <c r="G251" s="334"/>
      <c r="H251" s="334"/>
      <c r="I251" s="331"/>
      <c r="J251" s="334"/>
      <c r="K251" s="334"/>
      <c r="L251" s="331"/>
      <c r="M251" s="334"/>
      <c r="N251" s="334"/>
      <c r="O251" s="331"/>
      <c r="P251" s="334"/>
      <c r="Q251" s="334"/>
      <c r="R251" s="331"/>
      <c r="S251" s="334"/>
      <c r="T251" s="334"/>
      <c r="U251" s="331"/>
      <c r="V251" s="334"/>
      <c r="W251" s="334"/>
      <c r="X251" s="331"/>
      <c r="Y251" s="334"/>
      <c r="Z251" s="334"/>
      <c r="AA251" s="331"/>
      <c r="AB251" s="334"/>
      <c r="AC251" s="334"/>
      <c r="AD251" s="331"/>
      <c r="AE251" s="334"/>
      <c r="AF251" s="334"/>
      <c r="AG251" s="331"/>
      <c r="AH251" s="334"/>
      <c r="AI251" s="334"/>
      <c r="AJ251" s="331"/>
      <c r="AK251" s="334"/>
      <c r="AL251" s="334"/>
      <c r="AM251" s="331"/>
      <c r="AN251" s="334"/>
      <c r="AO251" s="334"/>
      <c r="AP251" s="331"/>
      <c r="AQ251" s="334"/>
      <c r="AR251" s="334"/>
      <c r="AS251" s="331"/>
      <c r="AT251" s="334"/>
      <c r="AU251" s="334"/>
      <c r="AV251" s="331"/>
      <c r="AW251" s="334"/>
      <c r="AX251" s="334"/>
      <c r="AY251" s="331"/>
      <c r="AZ251" s="334"/>
      <c r="BA251" s="334"/>
      <c r="BB251" s="331"/>
      <c r="BC251" s="334"/>
      <c r="BD251" s="334"/>
      <c r="BE251" s="331"/>
      <c r="BF251" s="334"/>
      <c r="BG251" s="334"/>
      <c r="BH251" s="331"/>
      <c r="BI251" s="334"/>
      <c r="BJ251" s="334"/>
      <c r="BK251" s="331"/>
      <c r="BL251" s="334"/>
      <c r="BM251" s="334"/>
      <c r="BN251" s="331"/>
      <c r="BO251" s="334"/>
      <c r="BP251" s="334"/>
      <c r="BQ251" s="331"/>
      <c r="BR251" s="332"/>
    </row>
    <row r="252" spans="1:70">
      <c r="A252" s="142" t="s">
        <v>2677</v>
      </c>
      <c r="B252" s="268">
        <v>5800</v>
      </c>
      <c r="C252" s="268">
        <v>0</v>
      </c>
      <c r="D252" s="333"/>
      <c r="E252" s="333"/>
      <c r="F252" s="331"/>
      <c r="G252" s="334"/>
      <c r="H252" s="334"/>
      <c r="I252" s="331"/>
      <c r="J252" s="334"/>
      <c r="K252" s="334"/>
      <c r="L252" s="331"/>
      <c r="M252" s="334"/>
      <c r="N252" s="334"/>
      <c r="O252" s="331"/>
      <c r="P252" s="334"/>
      <c r="Q252" s="334"/>
      <c r="R252" s="331"/>
      <c r="S252" s="334"/>
      <c r="T252" s="334"/>
      <c r="U252" s="331"/>
      <c r="V252" s="334"/>
      <c r="W252" s="334"/>
      <c r="X252" s="331"/>
      <c r="Y252" s="334"/>
      <c r="Z252" s="334"/>
      <c r="AA252" s="331"/>
      <c r="AB252" s="334"/>
      <c r="AC252" s="334"/>
      <c r="AD252" s="331"/>
      <c r="AE252" s="334"/>
      <c r="AF252" s="334"/>
      <c r="AG252" s="331"/>
      <c r="AH252" s="334"/>
      <c r="AI252" s="334"/>
      <c r="AJ252" s="331"/>
      <c r="AK252" s="334"/>
      <c r="AL252" s="334"/>
      <c r="AM252" s="331"/>
      <c r="AN252" s="334"/>
      <c r="AO252" s="334"/>
      <c r="AP252" s="331"/>
      <c r="AQ252" s="334"/>
      <c r="AR252" s="334"/>
      <c r="AS252" s="331"/>
      <c r="AT252" s="334"/>
      <c r="AU252" s="334"/>
      <c r="AV252" s="331"/>
      <c r="AW252" s="334"/>
      <c r="AX252" s="334"/>
      <c r="AY252" s="331"/>
      <c r="AZ252" s="334"/>
      <c r="BA252" s="334"/>
      <c r="BB252" s="331"/>
      <c r="BC252" s="334"/>
      <c r="BD252" s="334"/>
      <c r="BE252" s="331"/>
      <c r="BF252" s="334"/>
      <c r="BG252" s="334"/>
      <c r="BH252" s="331"/>
      <c r="BI252" s="334"/>
      <c r="BJ252" s="334"/>
      <c r="BK252" s="331"/>
      <c r="BL252" s="334"/>
      <c r="BM252" s="334"/>
      <c r="BN252" s="331"/>
      <c r="BO252" s="334"/>
      <c r="BP252" s="334"/>
      <c r="BQ252" s="331"/>
      <c r="BR252" s="332"/>
    </row>
    <row r="253" spans="1:70">
      <c r="A253" s="142" t="s">
        <v>2684</v>
      </c>
      <c r="B253" s="268">
        <v>5700</v>
      </c>
      <c r="C253" s="268">
        <v>0</v>
      </c>
      <c r="D253" s="333"/>
      <c r="E253" s="333"/>
      <c r="F253" s="331"/>
      <c r="G253" s="334"/>
      <c r="H253" s="334"/>
      <c r="I253" s="331"/>
      <c r="J253" s="334"/>
      <c r="K253" s="334"/>
      <c r="L253" s="331"/>
      <c r="M253" s="334"/>
      <c r="N253" s="334"/>
      <c r="O253" s="331"/>
      <c r="P253" s="334"/>
      <c r="Q253" s="334"/>
      <c r="R253" s="331"/>
      <c r="S253" s="334"/>
      <c r="T253" s="334"/>
      <c r="U253" s="331"/>
      <c r="V253" s="334"/>
      <c r="W253" s="334"/>
      <c r="X253" s="331"/>
      <c r="Y253" s="334"/>
      <c r="Z253" s="334"/>
      <c r="AA253" s="331"/>
      <c r="AB253" s="334"/>
      <c r="AC253" s="334"/>
      <c r="AD253" s="331"/>
      <c r="AE253" s="334"/>
      <c r="AF253" s="334"/>
      <c r="AG253" s="331"/>
      <c r="AH253" s="334"/>
      <c r="AI253" s="334"/>
      <c r="AJ253" s="331"/>
      <c r="AK253" s="334"/>
      <c r="AL253" s="334"/>
      <c r="AM253" s="331"/>
      <c r="AN253" s="334"/>
      <c r="AO253" s="334"/>
      <c r="AP253" s="331"/>
      <c r="AQ253" s="334"/>
      <c r="AR253" s="334"/>
      <c r="AS253" s="331"/>
      <c r="AT253" s="334"/>
      <c r="AU253" s="334"/>
      <c r="AV253" s="331"/>
      <c r="AW253" s="334"/>
      <c r="AX253" s="334"/>
      <c r="AY253" s="331"/>
      <c r="AZ253" s="334"/>
      <c r="BA253" s="334"/>
      <c r="BB253" s="331"/>
      <c r="BC253" s="334"/>
      <c r="BD253" s="334"/>
      <c r="BE253" s="331"/>
      <c r="BF253" s="334"/>
      <c r="BG253" s="334"/>
      <c r="BH253" s="331"/>
      <c r="BI253" s="334"/>
      <c r="BJ253" s="334"/>
      <c r="BK253" s="331"/>
      <c r="BL253" s="334"/>
      <c r="BM253" s="334"/>
      <c r="BN253" s="331"/>
      <c r="BO253" s="334"/>
      <c r="BP253" s="334"/>
      <c r="BQ253" s="331"/>
      <c r="BR253" s="332"/>
    </row>
    <row r="254" spans="1:70">
      <c r="A254" s="142" t="s">
        <v>2690</v>
      </c>
      <c r="B254" s="268">
        <v>5700</v>
      </c>
      <c r="C254" s="268">
        <v>0</v>
      </c>
      <c r="D254" s="333"/>
      <c r="E254" s="333"/>
      <c r="F254" s="331"/>
      <c r="G254" s="334"/>
      <c r="H254" s="334"/>
      <c r="I254" s="331"/>
      <c r="J254" s="334"/>
      <c r="K254" s="334"/>
      <c r="L254" s="331"/>
      <c r="M254" s="334"/>
      <c r="N254" s="334"/>
      <c r="O254" s="331"/>
      <c r="P254" s="334"/>
      <c r="Q254" s="334"/>
      <c r="R254" s="331"/>
      <c r="S254" s="334"/>
      <c r="T254" s="334"/>
      <c r="U254" s="331"/>
      <c r="V254" s="334"/>
      <c r="W254" s="334"/>
      <c r="X254" s="331"/>
      <c r="Y254" s="334"/>
      <c r="Z254" s="334"/>
      <c r="AA254" s="331"/>
      <c r="AB254" s="334"/>
      <c r="AC254" s="334"/>
      <c r="AD254" s="331"/>
      <c r="AE254" s="334"/>
      <c r="AF254" s="334"/>
      <c r="AG254" s="331"/>
      <c r="AH254" s="334"/>
      <c r="AI254" s="334"/>
      <c r="AJ254" s="331"/>
      <c r="AK254" s="334"/>
      <c r="AL254" s="334"/>
      <c r="AM254" s="331"/>
      <c r="AN254" s="334"/>
      <c r="AO254" s="334"/>
      <c r="AP254" s="331"/>
      <c r="AQ254" s="334"/>
      <c r="AR254" s="334"/>
      <c r="AS254" s="331"/>
      <c r="AT254" s="334"/>
      <c r="AU254" s="334"/>
      <c r="AV254" s="331"/>
      <c r="AW254" s="334"/>
      <c r="AX254" s="334"/>
      <c r="AY254" s="331"/>
      <c r="AZ254" s="334"/>
      <c r="BA254" s="334"/>
      <c r="BB254" s="331"/>
      <c r="BC254" s="334"/>
      <c r="BD254" s="334"/>
      <c r="BE254" s="331"/>
      <c r="BF254" s="334"/>
      <c r="BG254" s="334"/>
      <c r="BH254" s="331"/>
      <c r="BI254" s="334"/>
      <c r="BJ254" s="334"/>
      <c r="BK254" s="331"/>
      <c r="BL254" s="334"/>
      <c r="BM254" s="334"/>
      <c r="BN254" s="331"/>
      <c r="BO254" s="334"/>
      <c r="BP254" s="334"/>
      <c r="BQ254" s="331"/>
      <c r="BR254" s="332"/>
    </row>
    <row r="255" spans="1:70">
      <c r="A255" s="142" t="s">
        <v>2698</v>
      </c>
      <c r="B255" s="268">
        <v>4200</v>
      </c>
      <c r="C255" s="268">
        <v>0</v>
      </c>
      <c r="D255" s="333"/>
      <c r="E255" s="333"/>
      <c r="F255" s="331"/>
      <c r="G255" s="334"/>
      <c r="H255" s="334"/>
      <c r="I255" s="331"/>
      <c r="J255" s="334"/>
      <c r="K255" s="334"/>
      <c r="L255" s="331"/>
      <c r="M255" s="334"/>
      <c r="N255" s="334"/>
      <c r="O255" s="331"/>
      <c r="P255" s="334"/>
      <c r="Q255" s="334"/>
      <c r="R255" s="331"/>
      <c r="S255" s="334"/>
      <c r="T255" s="334"/>
      <c r="U255" s="331"/>
      <c r="V255" s="334"/>
      <c r="W255" s="334"/>
      <c r="X255" s="331"/>
      <c r="Y255" s="334"/>
      <c r="Z255" s="334"/>
      <c r="AA255" s="331"/>
      <c r="AB255" s="334"/>
      <c r="AC255" s="334"/>
      <c r="AD255" s="331"/>
      <c r="AE255" s="334"/>
      <c r="AF255" s="334"/>
      <c r="AG255" s="331"/>
      <c r="AH255" s="334"/>
      <c r="AI255" s="334"/>
      <c r="AJ255" s="331"/>
      <c r="AK255" s="334"/>
      <c r="AL255" s="334"/>
      <c r="AM255" s="331"/>
      <c r="AN255" s="334"/>
      <c r="AO255" s="334"/>
      <c r="AP255" s="331"/>
      <c r="AQ255" s="334"/>
      <c r="AR255" s="334"/>
      <c r="AS255" s="331"/>
      <c r="AT255" s="334"/>
      <c r="AU255" s="334"/>
      <c r="AV255" s="331"/>
      <c r="AW255" s="334"/>
      <c r="AX255" s="334"/>
      <c r="AY255" s="331"/>
      <c r="AZ255" s="334"/>
      <c r="BA255" s="334"/>
      <c r="BB255" s="331"/>
      <c r="BC255" s="334"/>
      <c r="BD255" s="334"/>
      <c r="BE255" s="331"/>
      <c r="BF255" s="334"/>
      <c r="BG255" s="334"/>
      <c r="BH255" s="331"/>
      <c r="BI255" s="334"/>
      <c r="BJ255" s="334"/>
      <c r="BK255" s="331"/>
      <c r="BL255" s="334"/>
      <c r="BM255" s="334"/>
      <c r="BN255" s="331"/>
      <c r="BO255" s="334"/>
      <c r="BP255" s="334"/>
      <c r="BQ255" s="331"/>
      <c r="BR255" s="332"/>
    </row>
    <row r="256" spans="1:70">
      <c r="A256" s="142" t="s">
        <v>3414</v>
      </c>
      <c r="B256" s="268">
        <v>1600</v>
      </c>
      <c r="C256" s="268">
        <v>0</v>
      </c>
      <c r="D256" s="333"/>
      <c r="E256" s="333"/>
      <c r="F256" s="331"/>
      <c r="G256" s="334"/>
      <c r="H256" s="334"/>
      <c r="I256" s="331"/>
      <c r="J256" s="334"/>
      <c r="K256" s="334"/>
      <c r="L256" s="331"/>
      <c r="M256" s="334"/>
      <c r="N256" s="334"/>
      <c r="O256" s="331"/>
      <c r="P256" s="334"/>
      <c r="Q256" s="334"/>
      <c r="R256" s="331"/>
      <c r="S256" s="334"/>
      <c r="T256" s="334"/>
      <c r="U256" s="331"/>
      <c r="V256" s="334"/>
      <c r="W256" s="334"/>
      <c r="X256" s="331"/>
      <c r="Y256" s="334"/>
      <c r="Z256" s="334"/>
      <c r="AA256" s="331"/>
      <c r="AB256" s="334"/>
      <c r="AC256" s="334"/>
      <c r="AD256" s="331"/>
      <c r="AE256" s="334"/>
      <c r="AF256" s="334"/>
      <c r="AG256" s="331"/>
      <c r="AH256" s="334"/>
      <c r="AI256" s="334"/>
      <c r="AJ256" s="331"/>
      <c r="AK256" s="334"/>
      <c r="AL256" s="334"/>
      <c r="AM256" s="331"/>
      <c r="AN256" s="334"/>
      <c r="AO256" s="334"/>
      <c r="AP256" s="331"/>
      <c r="AQ256" s="334"/>
      <c r="AR256" s="334"/>
      <c r="AS256" s="331"/>
      <c r="AT256" s="334"/>
      <c r="AU256" s="334"/>
      <c r="AV256" s="331"/>
      <c r="AW256" s="334"/>
      <c r="AX256" s="334"/>
      <c r="AY256" s="331"/>
      <c r="AZ256" s="334"/>
      <c r="BA256" s="334"/>
      <c r="BB256" s="331"/>
      <c r="BC256" s="334"/>
      <c r="BD256" s="334"/>
      <c r="BE256" s="331"/>
      <c r="BF256" s="334"/>
      <c r="BG256" s="334"/>
      <c r="BH256" s="331"/>
      <c r="BI256" s="334"/>
      <c r="BJ256" s="334"/>
      <c r="BK256" s="331"/>
      <c r="BL256" s="334"/>
      <c r="BM256" s="334"/>
      <c r="BN256" s="331"/>
      <c r="BO256" s="334"/>
      <c r="BP256" s="334"/>
      <c r="BQ256" s="331"/>
      <c r="BR256" s="332"/>
    </row>
    <row r="257" spans="1:70">
      <c r="A257" s="142" t="s">
        <v>3819</v>
      </c>
      <c r="B257" s="268">
        <v>15200</v>
      </c>
      <c r="C257" s="268">
        <v>0</v>
      </c>
      <c r="D257" s="333"/>
      <c r="E257" s="333"/>
      <c r="F257" s="331"/>
      <c r="G257" s="334"/>
      <c r="H257" s="334"/>
      <c r="I257" s="331"/>
      <c r="J257" s="334"/>
      <c r="K257" s="334"/>
      <c r="L257" s="331"/>
      <c r="M257" s="334"/>
      <c r="N257" s="334"/>
      <c r="O257" s="331"/>
      <c r="P257" s="334"/>
      <c r="Q257" s="334"/>
      <c r="R257" s="331"/>
      <c r="S257" s="334"/>
      <c r="T257" s="334"/>
      <c r="U257" s="331"/>
      <c r="V257" s="334"/>
      <c r="W257" s="334"/>
      <c r="X257" s="331"/>
      <c r="Y257" s="334"/>
      <c r="Z257" s="334"/>
      <c r="AA257" s="331"/>
      <c r="AB257" s="334"/>
      <c r="AC257" s="334"/>
      <c r="AD257" s="331"/>
      <c r="AE257" s="334"/>
      <c r="AF257" s="334"/>
      <c r="AG257" s="331"/>
      <c r="AH257" s="334"/>
      <c r="AI257" s="334"/>
      <c r="AJ257" s="331"/>
      <c r="AK257" s="334"/>
      <c r="AL257" s="334"/>
      <c r="AM257" s="331"/>
      <c r="AN257" s="334"/>
      <c r="AO257" s="334"/>
      <c r="AP257" s="331"/>
      <c r="AQ257" s="334"/>
      <c r="AR257" s="334"/>
      <c r="AS257" s="331"/>
      <c r="AT257" s="334"/>
      <c r="AU257" s="334"/>
      <c r="AV257" s="331"/>
      <c r="AW257" s="334"/>
      <c r="AX257" s="334"/>
      <c r="AY257" s="331"/>
      <c r="AZ257" s="334"/>
      <c r="BA257" s="334"/>
      <c r="BB257" s="331"/>
      <c r="BC257" s="334"/>
      <c r="BD257" s="334"/>
      <c r="BE257" s="331"/>
      <c r="BF257" s="334"/>
      <c r="BG257" s="334"/>
      <c r="BH257" s="331"/>
      <c r="BI257" s="334"/>
      <c r="BJ257" s="334"/>
      <c r="BK257" s="331"/>
      <c r="BL257" s="334"/>
      <c r="BM257" s="334"/>
      <c r="BN257" s="331"/>
      <c r="BO257" s="334"/>
      <c r="BP257" s="334"/>
      <c r="BQ257" s="331"/>
      <c r="BR257" s="332"/>
    </row>
    <row r="258" spans="1:70">
      <c r="A258" s="142" t="s">
        <v>3823</v>
      </c>
      <c r="B258" s="268">
        <v>15200</v>
      </c>
      <c r="C258" s="268">
        <v>0</v>
      </c>
      <c r="D258" s="333"/>
      <c r="E258" s="333"/>
      <c r="F258" s="331"/>
      <c r="G258" s="334"/>
      <c r="H258" s="334"/>
      <c r="I258" s="331"/>
      <c r="J258" s="334"/>
      <c r="K258" s="334"/>
      <c r="L258" s="331"/>
      <c r="M258" s="334"/>
      <c r="N258" s="334"/>
      <c r="O258" s="331"/>
      <c r="P258" s="334"/>
      <c r="Q258" s="334"/>
      <c r="R258" s="331"/>
      <c r="S258" s="334"/>
      <c r="T258" s="334"/>
      <c r="U258" s="331"/>
      <c r="V258" s="334"/>
      <c r="W258" s="334"/>
      <c r="X258" s="331"/>
      <c r="Y258" s="334"/>
      <c r="Z258" s="334"/>
      <c r="AA258" s="331"/>
      <c r="AB258" s="334"/>
      <c r="AC258" s="334"/>
      <c r="AD258" s="331"/>
      <c r="AE258" s="334"/>
      <c r="AF258" s="334"/>
      <c r="AG258" s="331"/>
      <c r="AH258" s="334"/>
      <c r="AI258" s="334"/>
      <c r="AJ258" s="331"/>
      <c r="AK258" s="334"/>
      <c r="AL258" s="334"/>
      <c r="AM258" s="331"/>
      <c r="AN258" s="334"/>
      <c r="AO258" s="334"/>
      <c r="AP258" s="331"/>
      <c r="AQ258" s="334"/>
      <c r="AR258" s="334"/>
      <c r="AS258" s="331"/>
      <c r="AT258" s="334"/>
      <c r="AU258" s="334"/>
      <c r="AV258" s="331"/>
      <c r="AW258" s="334"/>
      <c r="AX258" s="334"/>
      <c r="AY258" s="331"/>
      <c r="AZ258" s="334"/>
      <c r="BA258" s="334"/>
      <c r="BB258" s="331"/>
      <c r="BC258" s="334"/>
      <c r="BD258" s="334"/>
      <c r="BE258" s="331"/>
      <c r="BF258" s="334"/>
      <c r="BG258" s="334"/>
      <c r="BH258" s="331"/>
      <c r="BI258" s="334"/>
      <c r="BJ258" s="334"/>
      <c r="BK258" s="331"/>
      <c r="BL258" s="334"/>
      <c r="BM258" s="334"/>
      <c r="BN258" s="331"/>
      <c r="BO258" s="334"/>
      <c r="BP258" s="334"/>
      <c r="BQ258" s="331"/>
      <c r="BR258" s="332"/>
    </row>
    <row r="259" spans="1:70">
      <c r="A259" s="142" t="s">
        <v>3829</v>
      </c>
      <c r="B259" s="268">
        <v>15000</v>
      </c>
      <c r="C259" s="268">
        <v>0</v>
      </c>
      <c r="D259" s="333"/>
      <c r="E259" s="333"/>
      <c r="F259" s="331"/>
      <c r="G259" s="334"/>
      <c r="H259" s="334"/>
      <c r="I259" s="331"/>
      <c r="J259" s="334"/>
      <c r="K259" s="334"/>
      <c r="L259" s="331"/>
      <c r="M259" s="334"/>
      <c r="N259" s="334"/>
      <c r="O259" s="331"/>
      <c r="P259" s="334"/>
      <c r="Q259" s="334"/>
      <c r="R259" s="331"/>
      <c r="S259" s="334"/>
      <c r="T259" s="334"/>
      <c r="U259" s="331"/>
      <c r="V259" s="334"/>
      <c r="W259" s="334"/>
      <c r="X259" s="331"/>
      <c r="Y259" s="334"/>
      <c r="Z259" s="334"/>
      <c r="AA259" s="331"/>
      <c r="AB259" s="334"/>
      <c r="AC259" s="334"/>
      <c r="AD259" s="331"/>
      <c r="AE259" s="334"/>
      <c r="AF259" s="334"/>
      <c r="AG259" s="331"/>
      <c r="AH259" s="334"/>
      <c r="AI259" s="334"/>
      <c r="AJ259" s="331"/>
      <c r="AK259" s="334"/>
      <c r="AL259" s="334"/>
      <c r="AM259" s="331"/>
      <c r="AN259" s="334"/>
      <c r="AO259" s="334"/>
      <c r="AP259" s="331"/>
      <c r="AQ259" s="334"/>
      <c r="AR259" s="334"/>
      <c r="AS259" s="331"/>
      <c r="AT259" s="334"/>
      <c r="AU259" s="334"/>
      <c r="AV259" s="331"/>
      <c r="AW259" s="334"/>
      <c r="AX259" s="334"/>
      <c r="AY259" s="331"/>
      <c r="AZ259" s="334"/>
      <c r="BA259" s="334"/>
      <c r="BB259" s="331"/>
      <c r="BC259" s="334"/>
      <c r="BD259" s="334"/>
      <c r="BE259" s="331"/>
      <c r="BF259" s="334"/>
      <c r="BG259" s="334"/>
      <c r="BH259" s="331"/>
      <c r="BI259" s="334"/>
      <c r="BJ259" s="334"/>
      <c r="BK259" s="331"/>
      <c r="BL259" s="334"/>
      <c r="BM259" s="334"/>
      <c r="BN259" s="331"/>
      <c r="BO259" s="334"/>
      <c r="BP259" s="334"/>
      <c r="BQ259" s="331"/>
      <c r="BR259" s="332"/>
    </row>
    <row r="260" spans="1:70">
      <c r="A260" s="142" t="s">
        <v>3298</v>
      </c>
      <c r="B260" s="268">
        <v>20100</v>
      </c>
      <c r="C260" s="268">
        <v>0</v>
      </c>
      <c r="D260" s="333"/>
      <c r="E260" s="333"/>
      <c r="F260" s="331"/>
      <c r="G260" s="334"/>
      <c r="H260" s="334"/>
      <c r="I260" s="331"/>
      <c r="J260" s="334"/>
      <c r="K260" s="334"/>
      <c r="L260" s="331"/>
      <c r="M260" s="334"/>
      <c r="N260" s="334"/>
      <c r="O260" s="331"/>
      <c r="P260" s="334"/>
      <c r="Q260" s="334"/>
      <c r="R260" s="331"/>
      <c r="S260" s="334"/>
      <c r="T260" s="334"/>
      <c r="U260" s="331"/>
      <c r="V260" s="334"/>
      <c r="W260" s="334"/>
      <c r="X260" s="331"/>
      <c r="Y260" s="334"/>
      <c r="Z260" s="334"/>
      <c r="AA260" s="331"/>
      <c r="AB260" s="334"/>
      <c r="AC260" s="334"/>
      <c r="AD260" s="331"/>
      <c r="AE260" s="334"/>
      <c r="AF260" s="334"/>
      <c r="AG260" s="331"/>
      <c r="AH260" s="334"/>
      <c r="AI260" s="334"/>
      <c r="AJ260" s="331"/>
      <c r="AK260" s="334"/>
      <c r="AL260" s="334"/>
      <c r="AM260" s="331"/>
      <c r="AN260" s="334"/>
      <c r="AO260" s="334"/>
      <c r="AP260" s="331"/>
      <c r="AQ260" s="334"/>
      <c r="AR260" s="334"/>
      <c r="AS260" s="331"/>
      <c r="AT260" s="334"/>
      <c r="AU260" s="334"/>
      <c r="AV260" s="331"/>
      <c r="AW260" s="334"/>
      <c r="AX260" s="334"/>
      <c r="AY260" s="331"/>
      <c r="AZ260" s="334"/>
      <c r="BA260" s="334"/>
      <c r="BB260" s="331"/>
      <c r="BC260" s="334"/>
      <c r="BD260" s="334"/>
      <c r="BE260" s="331"/>
      <c r="BF260" s="334"/>
      <c r="BG260" s="334"/>
      <c r="BH260" s="331"/>
      <c r="BI260" s="334"/>
      <c r="BJ260" s="334"/>
      <c r="BK260" s="331"/>
      <c r="BL260" s="334"/>
      <c r="BM260" s="334"/>
      <c r="BN260" s="331"/>
      <c r="BO260" s="334"/>
      <c r="BP260" s="334"/>
      <c r="BQ260" s="331"/>
      <c r="BR260" s="332"/>
    </row>
    <row r="261" spans="1:70">
      <c r="A261" s="142" t="s">
        <v>4253</v>
      </c>
      <c r="B261" s="268">
        <v>90000</v>
      </c>
      <c r="C261" s="268">
        <v>0</v>
      </c>
      <c r="D261" s="333"/>
      <c r="E261" s="333"/>
      <c r="F261" s="331"/>
      <c r="G261" s="334"/>
      <c r="H261" s="334"/>
      <c r="I261" s="331"/>
      <c r="J261" s="334"/>
      <c r="K261" s="334"/>
      <c r="L261" s="331"/>
      <c r="M261" s="334"/>
      <c r="N261" s="334"/>
      <c r="O261" s="331"/>
      <c r="P261" s="334"/>
      <c r="Q261" s="334"/>
      <c r="R261" s="331"/>
      <c r="S261" s="334"/>
      <c r="T261" s="334"/>
      <c r="U261" s="331"/>
      <c r="V261" s="334"/>
      <c r="W261" s="334"/>
      <c r="X261" s="331"/>
      <c r="Y261" s="334"/>
      <c r="Z261" s="334"/>
      <c r="AA261" s="331"/>
      <c r="AB261" s="334"/>
      <c r="AC261" s="334"/>
      <c r="AD261" s="331"/>
      <c r="AE261" s="334"/>
      <c r="AF261" s="334"/>
      <c r="AG261" s="331"/>
      <c r="AH261" s="334"/>
      <c r="AI261" s="334"/>
      <c r="AJ261" s="331"/>
      <c r="AK261" s="334"/>
      <c r="AL261" s="334"/>
      <c r="AM261" s="331"/>
      <c r="AN261" s="334"/>
      <c r="AO261" s="334"/>
      <c r="AP261" s="331"/>
      <c r="AQ261" s="334"/>
      <c r="AR261" s="334"/>
      <c r="AS261" s="331"/>
      <c r="AT261" s="334"/>
      <c r="AU261" s="334"/>
      <c r="AV261" s="331"/>
      <c r="AW261" s="334"/>
      <c r="AX261" s="334"/>
      <c r="AY261" s="331"/>
      <c r="AZ261" s="334"/>
      <c r="BA261" s="334"/>
      <c r="BB261" s="331"/>
      <c r="BC261" s="334"/>
      <c r="BD261" s="334"/>
      <c r="BE261" s="331"/>
      <c r="BF261" s="334"/>
      <c r="BG261" s="334"/>
      <c r="BH261" s="331"/>
      <c r="BI261" s="334"/>
      <c r="BJ261" s="334"/>
      <c r="BK261" s="331"/>
      <c r="BL261" s="334"/>
      <c r="BM261" s="334"/>
      <c r="BN261" s="331"/>
      <c r="BO261" s="334"/>
      <c r="BP261" s="334"/>
      <c r="BQ261" s="331"/>
      <c r="BR261" s="332"/>
    </row>
    <row r="262" spans="1:70">
      <c r="A262" s="142" t="s">
        <v>3290</v>
      </c>
      <c r="B262" s="268">
        <v>19100</v>
      </c>
      <c r="C262" s="268">
        <v>0</v>
      </c>
      <c r="D262" s="333"/>
      <c r="E262" s="333"/>
      <c r="F262" s="331"/>
      <c r="G262" s="334"/>
      <c r="H262" s="334"/>
      <c r="I262" s="331"/>
      <c r="J262" s="334"/>
      <c r="K262" s="334"/>
      <c r="L262" s="331"/>
      <c r="M262" s="334"/>
      <c r="N262" s="334"/>
      <c r="O262" s="331"/>
      <c r="P262" s="334"/>
      <c r="Q262" s="334"/>
      <c r="R262" s="331"/>
      <c r="S262" s="334"/>
      <c r="T262" s="334"/>
      <c r="U262" s="331"/>
      <c r="V262" s="334"/>
      <c r="W262" s="334"/>
      <c r="X262" s="331"/>
      <c r="Y262" s="334"/>
      <c r="Z262" s="334"/>
      <c r="AA262" s="331"/>
      <c r="AB262" s="334"/>
      <c r="AC262" s="334"/>
      <c r="AD262" s="331"/>
      <c r="AE262" s="334"/>
      <c r="AF262" s="334"/>
      <c r="AG262" s="331"/>
      <c r="AH262" s="334"/>
      <c r="AI262" s="334"/>
      <c r="AJ262" s="331"/>
      <c r="AK262" s="334"/>
      <c r="AL262" s="334"/>
      <c r="AM262" s="331"/>
      <c r="AN262" s="334"/>
      <c r="AO262" s="334"/>
      <c r="AP262" s="331"/>
      <c r="AQ262" s="334"/>
      <c r="AR262" s="334"/>
      <c r="AS262" s="331"/>
      <c r="AT262" s="334"/>
      <c r="AU262" s="334"/>
      <c r="AV262" s="331"/>
      <c r="AW262" s="334"/>
      <c r="AX262" s="334"/>
      <c r="AY262" s="331"/>
      <c r="AZ262" s="334"/>
      <c r="BA262" s="334"/>
      <c r="BB262" s="331"/>
      <c r="BC262" s="334"/>
      <c r="BD262" s="334"/>
      <c r="BE262" s="331"/>
      <c r="BF262" s="334"/>
      <c r="BG262" s="334"/>
      <c r="BH262" s="331"/>
      <c r="BI262" s="334"/>
      <c r="BJ262" s="334"/>
      <c r="BK262" s="331"/>
      <c r="BL262" s="334"/>
      <c r="BM262" s="334"/>
      <c r="BN262" s="331"/>
      <c r="BO262" s="334"/>
      <c r="BP262" s="334"/>
      <c r="BQ262" s="331"/>
      <c r="BR262" s="332"/>
    </row>
    <row r="263" spans="1:70">
      <c r="A263" s="142" t="s">
        <v>3284</v>
      </c>
      <c r="B263" s="268">
        <v>19400</v>
      </c>
      <c r="C263" s="268">
        <v>0</v>
      </c>
      <c r="D263" s="333"/>
      <c r="E263" s="333"/>
      <c r="F263" s="331"/>
      <c r="G263" s="334"/>
      <c r="H263" s="334"/>
      <c r="I263" s="331"/>
      <c r="J263" s="334"/>
      <c r="K263" s="334"/>
      <c r="L263" s="331"/>
      <c r="M263" s="334"/>
      <c r="N263" s="334"/>
      <c r="O263" s="331"/>
      <c r="P263" s="334"/>
      <c r="Q263" s="334"/>
      <c r="R263" s="331"/>
      <c r="S263" s="334"/>
      <c r="T263" s="334"/>
      <c r="U263" s="331"/>
      <c r="V263" s="334"/>
      <c r="W263" s="334"/>
      <c r="X263" s="331"/>
      <c r="Y263" s="334"/>
      <c r="Z263" s="334"/>
      <c r="AA263" s="331"/>
      <c r="AB263" s="334"/>
      <c r="AC263" s="334"/>
      <c r="AD263" s="331"/>
      <c r="AE263" s="334"/>
      <c r="AF263" s="334"/>
      <c r="AG263" s="331"/>
      <c r="AH263" s="334"/>
      <c r="AI263" s="334"/>
      <c r="AJ263" s="331"/>
      <c r="AK263" s="334"/>
      <c r="AL263" s="334"/>
      <c r="AM263" s="331"/>
      <c r="AN263" s="334"/>
      <c r="AO263" s="334"/>
      <c r="AP263" s="331"/>
      <c r="AQ263" s="334"/>
      <c r="AR263" s="334"/>
      <c r="AS263" s="331"/>
      <c r="AT263" s="334"/>
      <c r="AU263" s="334"/>
      <c r="AV263" s="331"/>
      <c r="AW263" s="334"/>
      <c r="AX263" s="334"/>
      <c r="AY263" s="331"/>
      <c r="AZ263" s="334"/>
      <c r="BA263" s="334"/>
      <c r="BB263" s="331"/>
      <c r="BC263" s="334"/>
      <c r="BD263" s="334"/>
      <c r="BE263" s="331"/>
      <c r="BF263" s="334"/>
      <c r="BG263" s="334"/>
      <c r="BH263" s="331"/>
      <c r="BI263" s="334"/>
      <c r="BJ263" s="334"/>
      <c r="BK263" s="331"/>
      <c r="BL263" s="334"/>
      <c r="BM263" s="334"/>
      <c r="BN263" s="331"/>
      <c r="BO263" s="334"/>
      <c r="BP263" s="334"/>
      <c r="BQ263" s="331"/>
      <c r="BR263" s="332"/>
    </row>
    <row r="264" spans="1:70">
      <c r="A264" s="142" t="s">
        <v>3347</v>
      </c>
      <c r="B264" s="268">
        <v>100300</v>
      </c>
      <c r="C264" s="268">
        <v>0</v>
      </c>
      <c r="D264" s="333"/>
      <c r="E264" s="333"/>
      <c r="F264" s="331"/>
      <c r="G264" s="334"/>
      <c r="H264" s="334"/>
      <c r="I264" s="331"/>
      <c r="J264" s="334"/>
      <c r="K264" s="334"/>
      <c r="L264" s="331"/>
      <c r="M264" s="334"/>
      <c r="N264" s="334"/>
      <c r="O264" s="331"/>
      <c r="P264" s="334"/>
      <c r="Q264" s="334"/>
      <c r="R264" s="331"/>
      <c r="S264" s="334"/>
      <c r="T264" s="334"/>
      <c r="U264" s="331"/>
      <c r="V264" s="334"/>
      <c r="W264" s="334"/>
      <c r="X264" s="331"/>
      <c r="Y264" s="334"/>
      <c r="Z264" s="334"/>
      <c r="AA264" s="331"/>
      <c r="AB264" s="334"/>
      <c r="AC264" s="334"/>
      <c r="AD264" s="331"/>
      <c r="AE264" s="334"/>
      <c r="AF264" s="334"/>
      <c r="AG264" s="331"/>
      <c r="AH264" s="334"/>
      <c r="AI264" s="334"/>
      <c r="AJ264" s="331"/>
      <c r="AK264" s="334"/>
      <c r="AL264" s="334"/>
      <c r="AM264" s="331"/>
      <c r="AN264" s="334"/>
      <c r="AO264" s="334"/>
      <c r="AP264" s="331"/>
      <c r="AQ264" s="334"/>
      <c r="AR264" s="334"/>
      <c r="AS264" s="331"/>
      <c r="AT264" s="334"/>
      <c r="AU264" s="334"/>
      <c r="AV264" s="331"/>
      <c r="AW264" s="334"/>
      <c r="AX264" s="334"/>
      <c r="AY264" s="331"/>
      <c r="AZ264" s="334"/>
      <c r="BA264" s="334"/>
      <c r="BB264" s="331"/>
      <c r="BC264" s="334"/>
      <c r="BD264" s="334"/>
      <c r="BE264" s="331"/>
      <c r="BF264" s="334"/>
      <c r="BG264" s="334"/>
      <c r="BH264" s="331"/>
      <c r="BI264" s="334"/>
      <c r="BJ264" s="334"/>
      <c r="BK264" s="331"/>
      <c r="BL264" s="334"/>
      <c r="BM264" s="334"/>
      <c r="BN264" s="331"/>
      <c r="BO264" s="334"/>
      <c r="BP264" s="334"/>
      <c r="BQ264" s="331"/>
      <c r="BR264" s="332"/>
    </row>
    <row r="265" spans="1:70">
      <c r="A265" s="142" t="s">
        <v>4836</v>
      </c>
      <c r="B265" s="268">
        <v>178400</v>
      </c>
      <c r="C265" s="268">
        <v>0</v>
      </c>
      <c r="D265" s="333"/>
      <c r="E265" s="333"/>
      <c r="F265" s="331"/>
      <c r="G265" s="334"/>
      <c r="H265" s="334"/>
      <c r="I265" s="331"/>
      <c r="J265" s="334"/>
      <c r="K265" s="334"/>
      <c r="L265" s="331"/>
      <c r="M265" s="334"/>
      <c r="N265" s="334"/>
      <c r="O265" s="331"/>
      <c r="P265" s="334"/>
      <c r="Q265" s="334"/>
      <c r="R265" s="331"/>
      <c r="S265" s="334"/>
      <c r="T265" s="334"/>
      <c r="U265" s="331"/>
      <c r="V265" s="334"/>
      <c r="W265" s="334"/>
      <c r="X265" s="331"/>
      <c r="Y265" s="334"/>
      <c r="Z265" s="334"/>
      <c r="AA265" s="331"/>
      <c r="AB265" s="334"/>
      <c r="AC265" s="334"/>
      <c r="AD265" s="331"/>
      <c r="AE265" s="334"/>
      <c r="AF265" s="334"/>
      <c r="AG265" s="331"/>
      <c r="AH265" s="334"/>
      <c r="AI265" s="334"/>
      <c r="AJ265" s="331"/>
      <c r="AK265" s="334"/>
      <c r="AL265" s="334"/>
      <c r="AM265" s="331"/>
      <c r="AN265" s="334"/>
      <c r="AO265" s="334"/>
      <c r="AP265" s="331"/>
      <c r="AQ265" s="334"/>
      <c r="AR265" s="334"/>
      <c r="AS265" s="331"/>
      <c r="AT265" s="334"/>
      <c r="AU265" s="334"/>
      <c r="AV265" s="331"/>
      <c r="AW265" s="334"/>
      <c r="AX265" s="334"/>
      <c r="AY265" s="331"/>
      <c r="AZ265" s="334"/>
      <c r="BA265" s="334"/>
      <c r="BB265" s="331"/>
      <c r="BC265" s="334"/>
      <c r="BD265" s="334"/>
      <c r="BE265" s="331"/>
      <c r="BF265" s="334"/>
      <c r="BG265" s="334"/>
      <c r="BH265" s="331"/>
      <c r="BI265" s="334"/>
      <c r="BJ265" s="334"/>
      <c r="BK265" s="331"/>
      <c r="BL265" s="334"/>
      <c r="BM265" s="334"/>
      <c r="BN265" s="331"/>
      <c r="BO265" s="334"/>
      <c r="BP265" s="334"/>
      <c r="BQ265" s="331"/>
      <c r="BR265" s="332"/>
    </row>
    <row r="266" spans="1:70">
      <c r="A266" s="142" t="s">
        <v>3575</v>
      </c>
      <c r="B266" s="268">
        <v>9200</v>
      </c>
      <c r="C266" s="268">
        <v>0</v>
      </c>
      <c r="D266" s="333"/>
      <c r="E266" s="333"/>
      <c r="F266" s="331"/>
      <c r="G266" s="334"/>
      <c r="H266" s="334"/>
      <c r="I266" s="331"/>
      <c r="J266" s="334"/>
      <c r="K266" s="334"/>
      <c r="L266" s="331"/>
      <c r="M266" s="334"/>
      <c r="N266" s="334"/>
      <c r="O266" s="331"/>
      <c r="P266" s="334"/>
      <c r="Q266" s="334"/>
      <c r="R266" s="331"/>
      <c r="S266" s="334"/>
      <c r="T266" s="334"/>
      <c r="U266" s="331"/>
      <c r="V266" s="334"/>
      <c r="W266" s="334"/>
      <c r="X266" s="331"/>
      <c r="Y266" s="334"/>
      <c r="Z266" s="334"/>
      <c r="AA266" s="331"/>
      <c r="AB266" s="334"/>
      <c r="AC266" s="334"/>
      <c r="AD266" s="331"/>
      <c r="AE266" s="334"/>
      <c r="AF266" s="334"/>
      <c r="AG266" s="331"/>
      <c r="AH266" s="334"/>
      <c r="AI266" s="334"/>
      <c r="AJ266" s="331"/>
      <c r="AK266" s="334"/>
      <c r="AL266" s="334"/>
      <c r="AM266" s="331"/>
      <c r="AN266" s="334"/>
      <c r="AO266" s="334"/>
      <c r="AP266" s="331"/>
      <c r="AQ266" s="334"/>
      <c r="AR266" s="334"/>
      <c r="AS266" s="331"/>
      <c r="AT266" s="334"/>
      <c r="AU266" s="334"/>
      <c r="AV266" s="331"/>
      <c r="AW266" s="334"/>
      <c r="AX266" s="334"/>
      <c r="AY266" s="331"/>
      <c r="AZ266" s="334"/>
      <c r="BA266" s="334"/>
      <c r="BB266" s="331"/>
      <c r="BC266" s="334"/>
      <c r="BD266" s="334"/>
      <c r="BE266" s="331"/>
      <c r="BF266" s="334"/>
      <c r="BG266" s="334"/>
      <c r="BH266" s="331"/>
      <c r="BI266" s="334"/>
      <c r="BJ266" s="334"/>
      <c r="BK266" s="331"/>
      <c r="BL266" s="334"/>
      <c r="BM266" s="334"/>
      <c r="BN266" s="331"/>
      <c r="BO266" s="334"/>
      <c r="BP266" s="334"/>
      <c r="BQ266" s="331"/>
      <c r="BR266" s="332"/>
    </row>
    <row r="267" spans="1:70">
      <c r="A267" s="142" t="s">
        <v>3580</v>
      </c>
      <c r="B267" s="268">
        <v>40800</v>
      </c>
      <c r="C267" s="268">
        <v>0</v>
      </c>
      <c r="D267" s="333"/>
      <c r="E267" s="333"/>
      <c r="F267" s="331"/>
      <c r="G267" s="334"/>
      <c r="H267" s="334"/>
      <c r="I267" s="331"/>
      <c r="J267" s="334"/>
      <c r="K267" s="334"/>
      <c r="L267" s="331"/>
      <c r="M267" s="334"/>
      <c r="N267" s="334"/>
      <c r="O267" s="331"/>
      <c r="P267" s="334"/>
      <c r="Q267" s="334"/>
      <c r="R267" s="331"/>
      <c r="S267" s="334"/>
      <c r="T267" s="334"/>
      <c r="U267" s="331"/>
      <c r="V267" s="334"/>
      <c r="W267" s="334"/>
      <c r="X267" s="331"/>
      <c r="Y267" s="334"/>
      <c r="Z267" s="334"/>
      <c r="AA267" s="331"/>
      <c r="AB267" s="334"/>
      <c r="AC267" s="334"/>
      <c r="AD267" s="331"/>
      <c r="AE267" s="334"/>
      <c r="AF267" s="334"/>
      <c r="AG267" s="331"/>
      <c r="AH267" s="334"/>
      <c r="AI267" s="334"/>
      <c r="AJ267" s="331"/>
      <c r="AK267" s="334"/>
      <c r="AL267" s="334"/>
      <c r="AM267" s="331"/>
      <c r="AN267" s="334"/>
      <c r="AO267" s="334"/>
      <c r="AP267" s="331"/>
      <c r="AQ267" s="334"/>
      <c r="AR267" s="334"/>
      <c r="AS267" s="331"/>
      <c r="AT267" s="334"/>
      <c r="AU267" s="334"/>
      <c r="AV267" s="331"/>
      <c r="AW267" s="334"/>
      <c r="AX267" s="334"/>
      <c r="AY267" s="331"/>
      <c r="AZ267" s="334"/>
      <c r="BA267" s="334"/>
      <c r="BB267" s="331"/>
      <c r="BC267" s="334"/>
      <c r="BD267" s="334"/>
      <c r="BE267" s="331"/>
      <c r="BF267" s="334"/>
      <c r="BG267" s="334"/>
      <c r="BH267" s="331"/>
      <c r="BI267" s="334"/>
      <c r="BJ267" s="334"/>
      <c r="BK267" s="331"/>
      <c r="BL267" s="334"/>
      <c r="BM267" s="334"/>
      <c r="BN267" s="331"/>
      <c r="BO267" s="334"/>
      <c r="BP267" s="334"/>
      <c r="BQ267" s="331"/>
      <c r="BR267" s="332"/>
    </row>
    <row r="268" spans="1:70">
      <c r="A268" s="142" t="s">
        <v>4376</v>
      </c>
      <c r="B268" s="268">
        <v>49000</v>
      </c>
      <c r="C268" s="268">
        <v>0</v>
      </c>
      <c r="D268" s="333"/>
      <c r="E268" s="333"/>
      <c r="F268" s="331"/>
      <c r="G268" s="334"/>
      <c r="H268" s="334"/>
      <c r="I268" s="331"/>
      <c r="J268" s="334"/>
      <c r="K268" s="334"/>
      <c r="L268" s="331"/>
      <c r="M268" s="334"/>
      <c r="N268" s="334"/>
      <c r="O268" s="331"/>
      <c r="P268" s="334"/>
      <c r="Q268" s="334"/>
      <c r="R268" s="331"/>
      <c r="S268" s="334"/>
      <c r="T268" s="334"/>
      <c r="U268" s="331"/>
      <c r="V268" s="334"/>
      <c r="W268" s="334"/>
      <c r="X268" s="331"/>
      <c r="Y268" s="334"/>
      <c r="Z268" s="334"/>
      <c r="AA268" s="331"/>
      <c r="AB268" s="334"/>
      <c r="AC268" s="334"/>
      <c r="AD268" s="331"/>
      <c r="AE268" s="334"/>
      <c r="AF268" s="334"/>
      <c r="AG268" s="331"/>
      <c r="AH268" s="334"/>
      <c r="AI268" s="334"/>
      <c r="AJ268" s="331"/>
      <c r="AK268" s="334"/>
      <c r="AL268" s="334"/>
      <c r="AM268" s="331"/>
      <c r="AN268" s="334"/>
      <c r="AO268" s="334"/>
      <c r="AP268" s="331"/>
      <c r="AQ268" s="334"/>
      <c r="AR268" s="334"/>
      <c r="AS268" s="331"/>
      <c r="AT268" s="334"/>
      <c r="AU268" s="334"/>
      <c r="AV268" s="331"/>
      <c r="AW268" s="334"/>
      <c r="AX268" s="334"/>
      <c r="AY268" s="331"/>
      <c r="AZ268" s="334"/>
      <c r="BA268" s="334"/>
      <c r="BB268" s="331"/>
      <c r="BC268" s="334"/>
      <c r="BD268" s="334"/>
      <c r="BE268" s="331"/>
      <c r="BF268" s="334"/>
      <c r="BG268" s="334"/>
      <c r="BH268" s="331"/>
      <c r="BI268" s="334"/>
      <c r="BJ268" s="334"/>
      <c r="BK268" s="331"/>
      <c r="BL268" s="334"/>
      <c r="BM268" s="334"/>
      <c r="BN268" s="331"/>
      <c r="BO268" s="334"/>
      <c r="BP268" s="334"/>
      <c r="BQ268" s="331"/>
      <c r="BR268" s="332"/>
    </row>
    <row r="269" spans="1:70">
      <c r="A269" s="142" t="s">
        <v>3583</v>
      </c>
      <c r="B269" s="268">
        <v>24300</v>
      </c>
      <c r="C269" s="268">
        <v>0</v>
      </c>
      <c r="D269" s="333"/>
      <c r="E269" s="333"/>
      <c r="F269" s="331"/>
      <c r="G269" s="334"/>
      <c r="H269" s="334"/>
      <c r="I269" s="331"/>
      <c r="J269" s="334"/>
      <c r="K269" s="334"/>
      <c r="L269" s="331"/>
      <c r="M269" s="334"/>
      <c r="N269" s="334"/>
      <c r="O269" s="331"/>
      <c r="P269" s="334"/>
      <c r="Q269" s="334"/>
      <c r="R269" s="331"/>
      <c r="S269" s="334"/>
      <c r="T269" s="334"/>
      <c r="U269" s="331"/>
      <c r="V269" s="334"/>
      <c r="W269" s="334"/>
      <c r="X269" s="331"/>
      <c r="Y269" s="334"/>
      <c r="Z269" s="334"/>
      <c r="AA269" s="331"/>
      <c r="AB269" s="334"/>
      <c r="AC269" s="334"/>
      <c r="AD269" s="331"/>
      <c r="AE269" s="334"/>
      <c r="AF269" s="334"/>
      <c r="AG269" s="331"/>
      <c r="AH269" s="334"/>
      <c r="AI269" s="334"/>
      <c r="AJ269" s="331"/>
      <c r="AK269" s="334"/>
      <c r="AL269" s="334"/>
      <c r="AM269" s="331"/>
      <c r="AN269" s="334"/>
      <c r="AO269" s="334"/>
      <c r="AP269" s="331"/>
      <c r="AQ269" s="334"/>
      <c r="AR269" s="334"/>
      <c r="AS269" s="331"/>
      <c r="AT269" s="334"/>
      <c r="AU269" s="334"/>
      <c r="AV269" s="331"/>
      <c r="AW269" s="334"/>
      <c r="AX269" s="334"/>
      <c r="AY269" s="331"/>
      <c r="AZ269" s="334"/>
      <c r="BA269" s="334"/>
      <c r="BB269" s="331"/>
      <c r="BC269" s="334"/>
      <c r="BD269" s="334"/>
      <c r="BE269" s="331"/>
      <c r="BF269" s="334"/>
      <c r="BG269" s="334"/>
      <c r="BH269" s="331"/>
      <c r="BI269" s="334"/>
      <c r="BJ269" s="334"/>
      <c r="BK269" s="331"/>
      <c r="BL269" s="334"/>
      <c r="BM269" s="334"/>
      <c r="BN269" s="331"/>
      <c r="BO269" s="334"/>
      <c r="BP269" s="334"/>
      <c r="BQ269" s="331"/>
      <c r="BR269" s="332"/>
    </row>
    <row r="270" spans="1:70">
      <c r="A270" s="142" t="s">
        <v>5133</v>
      </c>
      <c r="B270" s="268">
        <v>23500</v>
      </c>
      <c r="C270" s="268">
        <v>0</v>
      </c>
      <c r="D270" s="333"/>
      <c r="E270" s="333"/>
      <c r="F270" s="331"/>
      <c r="G270" s="334"/>
      <c r="H270" s="334"/>
      <c r="I270" s="331"/>
      <c r="J270" s="334"/>
      <c r="K270" s="334"/>
      <c r="L270" s="331"/>
      <c r="M270" s="334"/>
      <c r="N270" s="334"/>
      <c r="O270" s="331"/>
      <c r="P270" s="334"/>
      <c r="Q270" s="334"/>
      <c r="R270" s="331"/>
      <c r="S270" s="334"/>
      <c r="T270" s="334"/>
      <c r="U270" s="331"/>
      <c r="V270" s="334"/>
      <c r="W270" s="334"/>
      <c r="X270" s="331"/>
      <c r="Y270" s="334"/>
      <c r="Z270" s="334"/>
      <c r="AA270" s="331"/>
      <c r="AB270" s="334"/>
      <c r="AC270" s="334"/>
      <c r="AD270" s="331"/>
      <c r="AE270" s="334"/>
      <c r="AF270" s="334"/>
      <c r="AG270" s="331"/>
      <c r="AH270" s="334"/>
      <c r="AI270" s="334"/>
      <c r="AJ270" s="331"/>
      <c r="AK270" s="334"/>
      <c r="AL270" s="334"/>
      <c r="AM270" s="331"/>
      <c r="AN270" s="334"/>
      <c r="AO270" s="334"/>
      <c r="AP270" s="331"/>
      <c r="AQ270" s="334"/>
      <c r="AR270" s="334"/>
      <c r="AS270" s="331"/>
      <c r="AT270" s="334"/>
      <c r="AU270" s="334"/>
      <c r="AV270" s="331"/>
      <c r="AW270" s="334"/>
      <c r="AX270" s="334"/>
      <c r="AY270" s="331"/>
      <c r="AZ270" s="334"/>
      <c r="BA270" s="334"/>
      <c r="BB270" s="331"/>
      <c r="BC270" s="334"/>
      <c r="BD270" s="334"/>
      <c r="BE270" s="331"/>
      <c r="BF270" s="334"/>
      <c r="BG270" s="334"/>
      <c r="BH270" s="331"/>
      <c r="BI270" s="334"/>
      <c r="BJ270" s="334"/>
      <c r="BK270" s="331"/>
      <c r="BL270" s="334"/>
      <c r="BM270" s="334"/>
      <c r="BN270" s="331"/>
      <c r="BO270" s="334"/>
      <c r="BP270" s="334"/>
      <c r="BQ270" s="331"/>
      <c r="BR270" s="332"/>
    </row>
    <row r="271" spans="1:70">
      <c r="A271" s="142" t="s">
        <v>3592</v>
      </c>
      <c r="B271" s="268">
        <v>31700</v>
      </c>
      <c r="C271" s="268">
        <v>0</v>
      </c>
      <c r="D271" s="333"/>
      <c r="E271" s="333"/>
      <c r="F271" s="331"/>
      <c r="G271" s="334"/>
      <c r="H271" s="334"/>
      <c r="I271" s="331"/>
      <c r="J271" s="334"/>
      <c r="K271" s="334"/>
      <c r="L271" s="331"/>
      <c r="M271" s="334"/>
      <c r="N271" s="334"/>
      <c r="O271" s="331"/>
      <c r="P271" s="334"/>
      <c r="Q271" s="334"/>
      <c r="R271" s="331"/>
      <c r="S271" s="334"/>
      <c r="T271" s="334"/>
      <c r="U271" s="331"/>
      <c r="V271" s="334"/>
      <c r="W271" s="334"/>
      <c r="X271" s="331"/>
      <c r="Y271" s="334"/>
      <c r="Z271" s="334"/>
      <c r="AA271" s="331"/>
      <c r="AB271" s="334"/>
      <c r="AC271" s="334"/>
      <c r="AD271" s="331"/>
      <c r="AE271" s="334"/>
      <c r="AF271" s="334"/>
      <c r="AG271" s="331"/>
      <c r="AH271" s="334"/>
      <c r="AI271" s="334"/>
      <c r="AJ271" s="331"/>
      <c r="AK271" s="334"/>
      <c r="AL271" s="334"/>
      <c r="AM271" s="331"/>
      <c r="AN271" s="334"/>
      <c r="AO271" s="334"/>
      <c r="AP271" s="331"/>
      <c r="AQ271" s="334"/>
      <c r="AR271" s="334"/>
      <c r="AS271" s="331"/>
      <c r="AT271" s="334"/>
      <c r="AU271" s="334"/>
      <c r="AV271" s="331"/>
      <c r="AW271" s="334"/>
      <c r="AX271" s="334"/>
      <c r="AY271" s="331"/>
      <c r="AZ271" s="334"/>
      <c r="BA271" s="334"/>
      <c r="BB271" s="331"/>
      <c r="BC271" s="334"/>
      <c r="BD271" s="334"/>
      <c r="BE271" s="331"/>
      <c r="BF271" s="334"/>
      <c r="BG271" s="334"/>
      <c r="BH271" s="331"/>
      <c r="BI271" s="334"/>
      <c r="BJ271" s="334"/>
      <c r="BK271" s="331"/>
      <c r="BL271" s="334"/>
      <c r="BM271" s="334"/>
      <c r="BN271" s="331"/>
      <c r="BO271" s="334"/>
      <c r="BP271" s="334"/>
      <c r="BQ271" s="331"/>
      <c r="BR271" s="332"/>
    </row>
    <row r="272" spans="1:70">
      <c r="A272" s="142" t="s">
        <v>3596</v>
      </c>
      <c r="B272" s="268">
        <v>9200</v>
      </c>
      <c r="C272" s="268">
        <v>0</v>
      </c>
      <c r="D272" s="333"/>
      <c r="E272" s="333"/>
      <c r="F272" s="331"/>
      <c r="G272" s="334"/>
      <c r="H272" s="334"/>
      <c r="I272" s="331"/>
      <c r="J272" s="334"/>
      <c r="K272" s="334"/>
      <c r="L272" s="331"/>
      <c r="M272" s="334"/>
      <c r="N272" s="334"/>
      <c r="O272" s="331"/>
      <c r="P272" s="334"/>
      <c r="Q272" s="334"/>
      <c r="R272" s="331"/>
      <c r="S272" s="334"/>
      <c r="T272" s="334"/>
      <c r="U272" s="331"/>
      <c r="V272" s="334"/>
      <c r="W272" s="334"/>
      <c r="X272" s="331"/>
      <c r="Y272" s="334"/>
      <c r="Z272" s="334"/>
      <c r="AA272" s="331"/>
      <c r="AB272" s="334"/>
      <c r="AC272" s="334"/>
      <c r="AD272" s="331"/>
      <c r="AE272" s="334"/>
      <c r="AF272" s="334"/>
      <c r="AG272" s="331"/>
      <c r="AH272" s="334"/>
      <c r="AI272" s="334"/>
      <c r="AJ272" s="331"/>
      <c r="AK272" s="334"/>
      <c r="AL272" s="334"/>
      <c r="AM272" s="331"/>
      <c r="AN272" s="334"/>
      <c r="AO272" s="334"/>
      <c r="AP272" s="331"/>
      <c r="AQ272" s="334"/>
      <c r="AR272" s="334"/>
      <c r="AS272" s="331"/>
      <c r="AT272" s="334"/>
      <c r="AU272" s="334"/>
      <c r="AV272" s="331"/>
      <c r="AW272" s="334"/>
      <c r="AX272" s="334"/>
      <c r="AY272" s="331"/>
      <c r="AZ272" s="334"/>
      <c r="BA272" s="334"/>
      <c r="BB272" s="331"/>
      <c r="BC272" s="334"/>
      <c r="BD272" s="334"/>
      <c r="BE272" s="331"/>
      <c r="BF272" s="334"/>
      <c r="BG272" s="334"/>
      <c r="BH272" s="331"/>
      <c r="BI272" s="334"/>
      <c r="BJ272" s="334"/>
      <c r="BK272" s="331"/>
      <c r="BL272" s="334"/>
      <c r="BM272" s="334"/>
      <c r="BN272" s="331"/>
      <c r="BO272" s="334"/>
      <c r="BP272" s="334"/>
      <c r="BQ272" s="331"/>
      <c r="BR272" s="332"/>
    </row>
    <row r="273" spans="1:70">
      <c r="A273" s="142" t="s">
        <v>3729</v>
      </c>
      <c r="B273" s="268">
        <v>8100</v>
      </c>
      <c r="C273" s="268">
        <v>0</v>
      </c>
      <c r="D273" s="333"/>
      <c r="E273" s="333"/>
      <c r="F273" s="331"/>
      <c r="G273" s="334"/>
      <c r="H273" s="334"/>
      <c r="I273" s="331"/>
      <c r="J273" s="334"/>
      <c r="K273" s="334"/>
      <c r="L273" s="331"/>
      <c r="M273" s="334"/>
      <c r="N273" s="334"/>
      <c r="O273" s="331"/>
      <c r="P273" s="334"/>
      <c r="Q273" s="334"/>
      <c r="R273" s="331"/>
      <c r="S273" s="334"/>
      <c r="T273" s="334"/>
      <c r="U273" s="331"/>
      <c r="V273" s="334"/>
      <c r="W273" s="334"/>
      <c r="X273" s="331"/>
      <c r="Y273" s="334"/>
      <c r="Z273" s="334"/>
      <c r="AA273" s="331"/>
      <c r="AB273" s="334"/>
      <c r="AC273" s="334"/>
      <c r="AD273" s="331"/>
      <c r="AE273" s="334"/>
      <c r="AF273" s="334"/>
      <c r="AG273" s="331"/>
      <c r="AH273" s="334"/>
      <c r="AI273" s="334"/>
      <c r="AJ273" s="331"/>
      <c r="AK273" s="334"/>
      <c r="AL273" s="334"/>
      <c r="AM273" s="331"/>
      <c r="AN273" s="334"/>
      <c r="AO273" s="334"/>
      <c r="AP273" s="331"/>
      <c r="AQ273" s="334"/>
      <c r="AR273" s="334"/>
      <c r="AS273" s="331"/>
      <c r="AT273" s="334"/>
      <c r="AU273" s="334"/>
      <c r="AV273" s="331"/>
      <c r="AW273" s="334"/>
      <c r="AX273" s="334"/>
      <c r="AY273" s="331"/>
      <c r="AZ273" s="334"/>
      <c r="BA273" s="334"/>
      <c r="BB273" s="331"/>
      <c r="BC273" s="334"/>
      <c r="BD273" s="334"/>
      <c r="BE273" s="331"/>
      <c r="BF273" s="334"/>
      <c r="BG273" s="334"/>
      <c r="BH273" s="331"/>
      <c r="BI273" s="334"/>
      <c r="BJ273" s="334"/>
      <c r="BK273" s="331"/>
      <c r="BL273" s="334"/>
      <c r="BM273" s="334"/>
      <c r="BN273" s="331"/>
      <c r="BO273" s="334"/>
      <c r="BP273" s="334"/>
      <c r="BQ273" s="331"/>
      <c r="BR273" s="332"/>
    </row>
    <row r="274" spans="1:70">
      <c r="A274" s="142" t="s">
        <v>3601</v>
      </c>
      <c r="B274" s="268">
        <v>7900</v>
      </c>
      <c r="C274" s="268">
        <v>0</v>
      </c>
      <c r="D274" s="333"/>
      <c r="E274" s="333"/>
      <c r="F274" s="331"/>
      <c r="G274" s="334"/>
      <c r="H274" s="334"/>
      <c r="I274" s="331"/>
      <c r="J274" s="334"/>
      <c r="K274" s="334"/>
      <c r="L274" s="331"/>
      <c r="M274" s="334"/>
      <c r="N274" s="334"/>
      <c r="O274" s="331"/>
      <c r="P274" s="334"/>
      <c r="Q274" s="334"/>
      <c r="R274" s="331"/>
      <c r="S274" s="334"/>
      <c r="T274" s="334"/>
      <c r="U274" s="331"/>
      <c r="V274" s="334"/>
      <c r="W274" s="334"/>
      <c r="X274" s="331"/>
      <c r="Y274" s="334"/>
      <c r="Z274" s="334"/>
      <c r="AA274" s="331"/>
      <c r="AB274" s="334"/>
      <c r="AC274" s="334"/>
      <c r="AD274" s="331"/>
      <c r="AE274" s="334"/>
      <c r="AF274" s="334"/>
      <c r="AG274" s="331"/>
      <c r="AH274" s="334"/>
      <c r="AI274" s="334"/>
      <c r="AJ274" s="331"/>
      <c r="AK274" s="334"/>
      <c r="AL274" s="334"/>
      <c r="AM274" s="331"/>
      <c r="AN274" s="334"/>
      <c r="AO274" s="334"/>
      <c r="AP274" s="331"/>
      <c r="AQ274" s="334"/>
      <c r="AR274" s="334"/>
      <c r="AS274" s="331"/>
      <c r="AT274" s="334"/>
      <c r="AU274" s="334"/>
      <c r="AV274" s="331"/>
      <c r="AW274" s="334"/>
      <c r="AX274" s="334"/>
      <c r="AY274" s="331"/>
      <c r="AZ274" s="334"/>
      <c r="BA274" s="334"/>
      <c r="BB274" s="331"/>
      <c r="BC274" s="334"/>
      <c r="BD274" s="334"/>
      <c r="BE274" s="331"/>
      <c r="BF274" s="334"/>
      <c r="BG274" s="334"/>
      <c r="BH274" s="331"/>
      <c r="BI274" s="334"/>
      <c r="BJ274" s="334"/>
      <c r="BK274" s="331"/>
      <c r="BL274" s="334"/>
      <c r="BM274" s="334"/>
      <c r="BN274" s="331"/>
      <c r="BO274" s="334"/>
      <c r="BP274" s="334"/>
      <c r="BQ274" s="331"/>
      <c r="BR274" s="332"/>
    </row>
    <row r="275" spans="1:70">
      <c r="A275" s="142" t="s">
        <v>3586</v>
      </c>
      <c r="B275" s="268">
        <v>8200</v>
      </c>
      <c r="C275" s="268">
        <v>0</v>
      </c>
      <c r="D275" s="333"/>
      <c r="E275" s="333"/>
      <c r="F275" s="331"/>
      <c r="G275" s="334"/>
      <c r="H275" s="334"/>
      <c r="I275" s="331"/>
      <c r="J275" s="334"/>
      <c r="K275" s="334"/>
      <c r="L275" s="331"/>
      <c r="M275" s="334"/>
      <c r="N275" s="334"/>
      <c r="O275" s="331"/>
      <c r="P275" s="334"/>
      <c r="Q275" s="334"/>
      <c r="R275" s="331"/>
      <c r="S275" s="334"/>
      <c r="T275" s="334"/>
      <c r="U275" s="331"/>
      <c r="V275" s="334"/>
      <c r="W275" s="334"/>
      <c r="X275" s="331"/>
      <c r="Y275" s="334"/>
      <c r="Z275" s="334"/>
      <c r="AA275" s="331"/>
      <c r="AB275" s="334"/>
      <c r="AC275" s="334"/>
      <c r="AD275" s="331"/>
      <c r="AE275" s="334"/>
      <c r="AF275" s="334"/>
      <c r="AG275" s="331"/>
      <c r="AH275" s="334"/>
      <c r="AI275" s="334"/>
      <c r="AJ275" s="331"/>
      <c r="AK275" s="334"/>
      <c r="AL275" s="334"/>
      <c r="AM275" s="331"/>
      <c r="AN275" s="334"/>
      <c r="AO275" s="334"/>
      <c r="AP275" s="331"/>
      <c r="AQ275" s="334"/>
      <c r="AR275" s="334"/>
      <c r="AS275" s="331"/>
      <c r="AT275" s="334"/>
      <c r="AU275" s="334"/>
      <c r="AV275" s="331"/>
      <c r="AW275" s="334"/>
      <c r="AX275" s="334"/>
      <c r="AY275" s="331"/>
      <c r="AZ275" s="334"/>
      <c r="BA275" s="334"/>
      <c r="BB275" s="331"/>
      <c r="BC275" s="334"/>
      <c r="BD275" s="334"/>
      <c r="BE275" s="331"/>
      <c r="BF275" s="334"/>
      <c r="BG275" s="334"/>
      <c r="BH275" s="331"/>
      <c r="BI275" s="334"/>
      <c r="BJ275" s="334"/>
      <c r="BK275" s="331"/>
      <c r="BL275" s="334"/>
      <c r="BM275" s="334"/>
      <c r="BN275" s="331"/>
      <c r="BO275" s="334"/>
      <c r="BP275" s="334"/>
      <c r="BQ275" s="331"/>
      <c r="BR275" s="332"/>
    </row>
    <row r="276" spans="1:70">
      <c r="A276" s="142" t="s">
        <v>4401</v>
      </c>
      <c r="B276" s="268">
        <v>8400</v>
      </c>
      <c r="C276" s="268">
        <v>0</v>
      </c>
      <c r="D276" s="333"/>
      <c r="E276" s="333"/>
      <c r="F276" s="331"/>
      <c r="G276" s="334"/>
      <c r="H276" s="334"/>
      <c r="I276" s="331"/>
      <c r="J276" s="334"/>
      <c r="K276" s="334"/>
      <c r="L276" s="331"/>
      <c r="M276" s="334"/>
      <c r="N276" s="334"/>
      <c r="O276" s="331"/>
      <c r="P276" s="334"/>
      <c r="Q276" s="334"/>
      <c r="R276" s="331"/>
      <c r="S276" s="334"/>
      <c r="T276" s="334"/>
      <c r="U276" s="331"/>
      <c r="V276" s="334"/>
      <c r="W276" s="334"/>
      <c r="X276" s="331"/>
      <c r="Y276" s="334"/>
      <c r="Z276" s="334"/>
      <c r="AA276" s="331"/>
      <c r="AB276" s="334"/>
      <c r="AC276" s="334"/>
      <c r="AD276" s="331"/>
      <c r="AE276" s="334"/>
      <c r="AF276" s="334"/>
      <c r="AG276" s="331"/>
      <c r="AH276" s="334"/>
      <c r="AI276" s="334"/>
      <c r="AJ276" s="331"/>
      <c r="AK276" s="334"/>
      <c r="AL276" s="334"/>
      <c r="AM276" s="331"/>
      <c r="AN276" s="334"/>
      <c r="AO276" s="334"/>
      <c r="AP276" s="331"/>
      <c r="AQ276" s="334"/>
      <c r="AR276" s="334"/>
      <c r="AS276" s="331"/>
      <c r="AT276" s="334"/>
      <c r="AU276" s="334"/>
      <c r="AV276" s="331"/>
      <c r="AW276" s="334"/>
      <c r="AX276" s="334"/>
      <c r="AY276" s="331"/>
      <c r="AZ276" s="334"/>
      <c r="BA276" s="334"/>
      <c r="BB276" s="331"/>
      <c r="BC276" s="334"/>
      <c r="BD276" s="334"/>
      <c r="BE276" s="331"/>
      <c r="BF276" s="334"/>
      <c r="BG276" s="334"/>
      <c r="BH276" s="331"/>
      <c r="BI276" s="334"/>
      <c r="BJ276" s="334"/>
      <c r="BK276" s="331"/>
      <c r="BL276" s="334"/>
      <c r="BM276" s="334"/>
      <c r="BN276" s="331"/>
      <c r="BO276" s="334"/>
      <c r="BP276" s="334"/>
      <c r="BQ276" s="331"/>
      <c r="BR276" s="332"/>
    </row>
    <row r="277" spans="1:70">
      <c r="A277" s="142" t="s">
        <v>4419</v>
      </c>
      <c r="B277" s="268">
        <v>20500</v>
      </c>
      <c r="C277" s="268">
        <v>0</v>
      </c>
      <c r="D277" s="333"/>
      <c r="E277" s="333"/>
      <c r="F277" s="331"/>
      <c r="G277" s="334"/>
      <c r="H277" s="334"/>
      <c r="I277" s="331"/>
      <c r="J277" s="334"/>
      <c r="K277" s="334"/>
      <c r="L277" s="331"/>
      <c r="M277" s="334"/>
      <c r="N277" s="334"/>
      <c r="O277" s="331"/>
      <c r="P277" s="334"/>
      <c r="Q277" s="334"/>
      <c r="R277" s="331"/>
      <c r="S277" s="334"/>
      <c r="T277" s="334"/>
      <c r="U277" s="331"/>
      <c r="V277" s="334"/>
      <c r="W277" s="334"/>
      <c r="X277" s="331"/>
      <c r="Y277" s="334"/>
      <c r="Z277" s="334"/>
      <c r="AA277" s="331"/>
      <c r="AB277" s="334"/>
      <c r="AC277" s="334"/>
      <c r="AD277" s="331"/>
      <c r="AE277" s="334"/>
      <c r="AF277" s="334"/>
      <c r="AG277" s="331"/>
      <c r="AH277" s="334"/>
      <c r="AI277" s="334"/>
      <c r="AJ277" s="331"/>
      <c r="AK277" s="334"/>
      <c r="AL277" s="334"/>
      <c r="AM277" s="331"/>
      <c r="AN277" s="334"/>
      <c r="AO277" s="334"/>
      <c r="AP277" s="331"/>
      <c r="AQ277" s="334"/>
      <c r="AR277" s="334"/>
      <c r="AS277" s="331"/>
      <c r="AT277" s="334"/>
      <c r="AU277" s="334"/>
      <c r="AV277" s="331"/>
      <c r="AW277" s="334"/>
      <c r="AX277" s="334"/>
      <c r="AY277" s="331"/>
      <c r="AZ277" s="334"/>
      <c r="BA277" s="334"/>
      <c r="BB277" s="331"/>
      <c r="BC277" s="334"/>
      <c r="BD277" s="334"/>
      <c r="BE277" s="331"/>
      <c r="BF277" s="334"/>
      <c r="BG277" s="334"/>
      <c r="BH277" s="331"/>
      <c r="BI277" s="334"/>
      <c r="BJ277" s="334"/>
      <c r="BK277" s="331"/>
      <c r="BL277" s="334"/>
      <c r="BM277" s="334"/>
      <c r="BN277" s="331"/>
      <c r="BO277" s="334"/>
      <c r="BP277" s="334"/>
      <c r="BQ277" s="331"/>
      <c r="BR277" s="332"/>
    </row>
    <row r="278" spans="1:70">
      <c r="A278" s="142" t="s">
        <v>4410</v>
      </c>
      <c r="B278" s="268">
        <v>11800</v>
      </c>
      <c r="C278" s="268">
        <v>0</v>
      </c>
      <c r="D278" s="333"/>
      <c r="E278" s="333"/>
      <c r="F278" s="331"/>
      <c r="G278" s="334"/>
      <c r="H278" s="334"/>
      <c r="I278" s="331"/>
      <c r="J278" s="334"/>
      <c r="K278" s="334"/>
      <c r="L278" s="331"/>
      <c r="M278" s="334"/>
      <c r="N278" s="334"/>
      <c r="O278" s="331"/>
      <c r="P278" s="334"/>
      <c r="Q278" s="334"/>
      <c r="R278" s="331"/>
      <c r="S278" s="334"/>
      <c r="T278" s="334"/>
      <c r="U278" s="331"/>
      <c r="V278" s="334"/>
      <c r="W278" s="334"/>
      <c r="X278" s="331"/>
      <c r="Y278" s="334"/>
      <c r="Z278" s="334"/>
      <c r="AA278" s="331"/>
      <c r="AB278" s="334"/>
      <c r="AC278" s="334"/>
      <c r="AD278" s="331"/>
      <c r="AE278" s="334"/>
      <c r="AF278" s="334"/>
      <c r="AG278" s="331"/>
      <c r="AH278" s="334"/>
      <c r="AI278" s="334"/>
      <c r="AJ278" s="331"/>
      <c r="AK278" s="334"/>
      <c r="AL278" s="334"/>
      <c r="AM278" s="331"/>
      <c r="AN278" s="334"/>
      <c r="AO278" s="334"/>
      <c r="AP278" s="331"/>
      <c r="AQ278" s="334"/>
      <c r="AR278" s="334"/>
      <c r="AS278" s="331"/>
      <c r="AT278" s="334"/>
      <c r="AU278" s="334"/>
      <c r="AV278" s="331"/>
      <c r="AW278" s="334"/>
      <c r="AX278" s="334"/>
      <c r="AY278" s="331"/>
      <c r="AZ278" s="334"/>
      <c r="BA278" s="334"/>
      <c r="BB278" s="331"/>
      <c r="BC278" s="334"/>
      <c r="BD278" s="334"/>
      <c r="BE278" s="331"/>
      <c r="BF278" s="334"/>
      <c r="BG278" s="334"/>
      <c r="BH278" s="331"/>
      <c r="BI278" s="334"/>
      <c r="BJ278" s="334"/>
      <c r="BK278" s="331"/>
      <c r="BL278" s="334"/>
      <c r="BM278" s="334"/>
      <c r="BN278" s="331"/>
      <c r="BO278" s="334"/>
      <c r="BP278" s="334"/>
      <c r="BQ278" s="331"/>
      <c r="BR278" s="332"/>
    </row>
    <row r="279" spans="1:70">
      <c r="A279" s="142" t="s">
        <v>4384</v>
      </c>
      <c r="B279" s="268">
        <v>4200</v>
      </c>
      <c r="C279" s="268">
        <v>0</v>
      </c>
      <c r="D279" s="333"/>
      <c r="E279" s="333"/>
      <c r="F279" s="331"/>
      <c r="G279" s="334"/>
      <c r="H279" s="334"/>
      <c r="I279" s="331"/>
      <c r="J279" s="334"/>
      <c r="K279" s="334"/>
      <c r="L279" s="331"/>
      <c r="M279" s="334"/>
      <c r="N279" s="334"/>
      <c r="O279" s="331"/>
      <c r="P279" s="334"/>
      <c r="Q279" s="334"/>
      <c r="R279" s="331"/>
      <c r="S279" s="334"/>
      <c r="T279" s="334"/>
      <c r="U279" s="331"/>
      <c r="V279" s="334"/>
      <c r="W279" s="334"/>
      <c r="X279" s="331"/>
      <c r="Y279" s="334"/>
      <c r="Z279" s="334"/>
      <c r="AA279" s="331"/>
      <c r="AB279" s="334"/>
      <c r="AC279" s="334"/>
      <c r="AD279" s="331"/>
      <c r="AE279" s="334"/>
      <c r="AF279" s="334"/>
      <c r="AG279" s="331"/>
      <c r="AH279" s="334"/>
      <c r="AI279" s="334"/>
      <c r="AJ279" s="331"/>
      <c r="AK279" s="334"/>
      <c r="AL279" s="334"/>
      <c r="AM279" s="331"/>
      <c r="AN279" s="334"/>
      <c r="AO279" s="334"/>
      <c r="AP279" s="331"/>
      <c r="AQ279" s="334"/>
      <c r="AR279" s="334"/>
      <c r="AS279" s="331"/>
      <c r="AT279" s="334"/>
      <c r="AU279" s="334"/>
      <c r="AV279" s="331"/>
      <c r="AW279" s="334"/>
      <c r="AX279" s="334"/>
      <c r="AY279" s="331"/>
      <c r="AZ279" s="334"/>
      <c r="BA279" s="334"/>
      <c r="BB279" s="331"/>
      <c r="BC279" s="334"/>
      <c r="BD279" s="334"/>
      <c r="BE279" s="331"/>
      <c r="BF279" s="334"/>
      <c r="BG279" s="334"/>
      <c r="BH279" s="331"/>
      <c r="BI279" s="334"/>
      <c r="BJ279" s="334"/>
      <c r="BK279" s="331"/>
      <c r="BL279" s="334"/>
      <c r="BM279" s="334"/>
      <c r="BN279" s="331"/>
      <c r="BO279" s="334"/>
      <c r="BP279" s="334"/>
      <c r="BQ279" s="331"/>
      <c r="BR279" s="332"/>
    </row>
    <row r="280" spans="1:70">
      <c r="A280" s="142" t="s">
        <v>3779</v>
      </c>
      <c r="B280" s="268">
        <v>101700</v>
      </c>
      <c r="C280" s="268">
        <v>0</v>
      </c>
      <c r="D280" s="333"/>
      <c r="E280" s="333"/>
      <c r="F280" s="331"/>
      <c r="G280" s="334"/>
      <c r="H280" s="334"/>
      <c r="I280" s="331"/>
      <c r="J280" s="334"/>
      <c r="K280" s="334"/>
      <c r="L280" s="331"/>
      <c r="M280" s="334"/>
      <c r="N280" s="334"/>
      <c r="O280" s="331"/>
      <c r="P280" s="334"/>
      <c r="Q280" s="334"/>
      <c r="R280" s="331"/>
      <c r="S280" s="334"/>
      <c r="T280" s="334"/>
      <c r="U280" s="331"/>
      <c r="V280" s="334"/>
      <c r="W280" s="334"/>
      <c r="X280" s="331"/>
      <c r="Y280" s="334"/>
      <c r="Z280" s="334"/>
      <c r="AA280" s="331"/>
      <c r="AB280" s="334"/>
      <c r="AC280" s="334"/>
      <c r="AD280" s="331"/>
      <c r="AE280" s="334"/>
      <c r="AF280" s="334"/>
      <c r="AG280" s="331"/>
      <c r="AH280" s="334"/>
      <c r="AI280" s="334"/>
      <c r="AJ280" s="331"/>
      <c r="AK280" s="334"/>
      <c r="AL280" s="334"/>
      <c r="AM280" s="331"/>
      <c r="AN280" s="334"/>
      <c r="AO280" s="334"/>
      <c r="AP280" s="331"/>
      <c r="AQ280" s="334"/>
      <c r="AR280" s="334"/>
      <c r="AS280" s="331"/>
      <c r="AT280" s="334"/>
      <c r="AU280" s="334"/>
      <c r="AV280" s="331"/>
      <c r="AW280" s="334"/>
      <c r="AX280" s="334"/>
      <c r="AY280" s="331"/>
      <c r="AZ280" s="334"/>
      <c r="BA280" s="334"/>
      <c r="BB280" s="331"/>
      <c r="BC280" s="334"/>
      <c r="BD280" s="334"/>
      <c r="BE280" s="331"/>
      <c r="BF280" s="334"/>
      <c r="BG280" s="334"/>
      <c r="BH280" s="331"/>
      <c r="BI280" s="334"/>
      <c r="BJ280" s="334"/>
      <c r="BK280" s="331"/>
      <c r="BL280" s="334"/>
      <c r="BM280" s="334"/>
      <c r="BN280" s="331"/>
      <c r="BO280" s="334"/>
      <c r="BP280" s="334"/>
      <c r="BQ280" s="331"/>
      <c r="BR280" s="332"/>
    </row>
    <row r="281" spans="1:70">
      <c r="A281" s="142" t="s">
        <v>3784</v>
      </c>
      <c r="B281" s="268">
        <v>101500</v>
      </c>
      <c r="C281" s="268">
        <v>0</v>
      </c>
      <c r="D281" s="333"/>
      <c r="E281" s="333"/>
      <c r="F281" s="331"/>
      <c r="G281" s="334"/>
      <c r="H281" s="334"/>
      <c r="I281" s="331"/>
      <c r="J281" s="334"/>
      <c r="K281" s="334"/>
      <c r="L281" s="331"/>
      <c r="M281" s="334"/>
      <c r="N281" s="334"/>
      <c r="O281" s="331"/>
      <c r="P281" s="334"/>
      <c r="Q281" s="334"/>
      <c r="R281" s="331"/>
      <c r="S281" s="334"/>
      <c r="T281" s="334"/>
      <c r="U281" s="331"/>
      <c r="V281" s="334"/>
      <c r="W281" s="334"/>
      <c r="X281" s="331"/>
      <c r="Y281" s="334"/>
      <c r="Z281" s="334"/>
      <c r="AA281" s="331"/>
      <c r="AB281" s="334"/>
      <c r="AC281" s="334"/>
      <c r="AD281" s="331"/>
      <c r="AE281" s="334"/>
      <c r="AF281" s="334"/>
      <c r="AG281" s="331"/>
      <c r="AH281" s="334"/>
      <c r="AI281" s="334"/>
      <c r="AJ281" s="331"/>
      <c r="AK281" s="334"/>
      <c r="AL281" s="334"/>
      <c r="AM281" s="331"/>
      <c r="AN281" s="334"/>
      <c r="AO281" s="334"/>
      <c r="AP281" s="331"/>
      <c r="AQ281" s="334"/>
      <c r="AR281" s="334"/>
      <c r="AS281" s="331"/>
      <c r="AT281" s="334"/>
      <c r="AU281" s="334"/>
      <c r="AV281" s="331"/>
      <c r="AW281" s="334"/>
      <c r="AX281" s="334"/>
      <c r="AY281" s="331"/>
      <c r="AZ281" s="334"/>
      <c r="BA281" s="334"/>
      <c r="BB281" s="331"/>
      <c r="BC281" s="334"/>
      <c r="BD281" s="334"/>
      <c r="BE281" s="331"/>
      <c r="BF281" s="334"/>
      <c r="BG281" s="334"/>
      <c r="BH281" s="331"/>
      <c r="BI281" s="334"/>
      <c r="BJ281" s="334"/>
      <c r="BK281" s="331"/>
      <c r="BL281" s="334"/>
      <c r="BM281" s="334"/>
      <c r="BN281" s="331"/>
      <c r="BO281" s="334"/>
      <c r="BP281" s="334"/>
      <c r="BQ281" s="331"/>
      <c r="BR281" s="332"/>
    </row>
    <row r="282" spans="1:70">
      <c r="A282" s="142" t="s">
        <v>3791</v>
      </c>
      <c r="B282" s="268">
        <v>20400</v>
      </c>
      <c r="C282" s="268">
        <v>0</v>
      </c>
      <c r="D282" s="333"/>
      <c r="E282" s="333"/>
      <c r="F282" s="331"/>
      <c r="G282" s="334"/>
      <c r="H282" s="334"/>
      <c r="I282" s="331"/>
      <c r="J282" s="334"/>
      <c r="K282" s="334"/>
      <c r="L282" s="331"/>
      <c r="M282" s="334"/>
      <c r="N282" s="334"/>
      <c r="O282" s="331"/>
      <c r="P282" s="334"/>
      <c r="Q282" s="334"/>
      <c r="R282" s="331"/>
      <c r="S282" s="334"/>
      <c r="T282" s="334"/>
      <c r="U282" s="331"/>
      <c r="V282" s="334"/>
      <c r="W282" s="334"/>
      <c r="X282" s="331"/>
      <c r="Y282" s="334"/>
      <c r="Z282" s="334"/>
      <c r="AA282" s="331"/>
      <c r="AB282" s="334"/>
      <c r="AC282" s="334"/>
      <c r="AD282" s="331"/>
      <c r="AE282" s="334"/>
      <c r="AF282" s="334"/>
      <c r="AG282" s="331"/>
      <c r="AH282" s="334"/>
      <c r="AI282" s="334"/>
      <c r="AJ282" s="331"/>
      <c r="AK282" s="334"/>
      <c r="AL282" s="334"/>
      <c r="AM282" s="331"/>
      <c r="AN282" s="334"/>
      <c r="AO282" s="334"/>
      <c r="AP282" s="331"/>
      <c r="AQ282" s="334"/>
      <c r="AR282" s="334"/>
      <c r="AS282" s="331"/>
      <c r="AT282" s="334"/>
      <c r="AU282" s="334"/>
      <c r="AV282" s="331"/>
      <c r="AW282" s="334"/>
      <c r="AX282" s="334"/>
      <c r="AY282" s="331"/>
      <c r="AZ282" s="334"/>
      <c r="BA282" s="334"/>
      <c r="BB282" s="331"/>
      <c r="BC282" s="334"/>
      <c r="BD282" s="334"/>
      <c r="BE282" s="331"/>
      <c r="BF282" s="334"/>
      <c r="BG282" s="334"/>
      <c r="BH282" s="331"/>
      <c r="BI282" s="334"/>
      <c r="BJ282" s="334"/>
      <c r="BK282" s="331"/>
      <c r="BL282" s="334"/>
      <c r="BM282" s="334"/>
      <c r="BN282" s="331"/>
      <c r="BO282" s="334"/>
      <c r="BP282" s="334"/>
      <c r="BQ282" s="331"/>
      <c r="BR282" s="332"/>
    </row>
    <row r="283" spans="1:70">
      <c r="A283" s="142" t="s">
        <v>4391</v>
      </c>
      <c r="B283" s="268">
        <v>16300</v>
      </c>
      <c r="C283" s="268">
        <v>0</v>
      </c>
      <c r="D283" s="333"/>
      <c r="E283" s="333"/>
      <c r="F283" s="331"/>
      <c r="G283" s="334"/>
      <c r="H283" s="334"/>
      <c r="I283" s="331"/>
      <c r="J283" s="334"/>
      <c r="K283" s="334"/>
      <c r="L283" s="331"/>
      <c r="M283" s="334"/>
      <c r="N283" s="334"/>
      <c r="O283" s="331"/>
      <c r="P283" s="334"/>
      <c r="Q283" s="334"/>
      <c r="R283" s="331"/>
      <c r="S283" s="334"/>
      <c r="T283" s="334"/>
      <c r="U283" s="331"/>
      <c r="V283" s="334"/>
      <c r="W283" s="334"/>
      <c r="X283" s="331"/>
      <c r="Y283" s="334"/>
      <c r="Z283" s="334"/>
      <c r="AA283" s="331"/>
      <c r="AB283" s="334"/>
      <c r="AC283" s="334"/>
      <c r="AD283" s="331"/>
      <c r="AE283" s="334"/>
      <c r="AF283" s="334"/>
      <c r="AG283" s="331"/>
      <c r="AH283" s="334"/>
      <c r="AI283" s="334"/>
      <c r="AJ283" s="331"/>
      <c r="AK283" s="334"/>
      <c r="AL283" s="334"/>
      <c r="AM283" s="331"/>
      <c r="AN283" s="334"/>
      <c r="AO283" s="334"/>
      <c r="AP283" s="331"/>
      <c r="AQ283" s="334"/>
      <c r="AR283" s="334"/>
      <c r="AS283" s="331"/>
      <c r="AT283" s="334"/>
      <c r="AU283" s="334"/>
      <c r="AV283" s="331"/>
      <c r="AW283" s="334"/>
      <c r="AX283" s="334"/>
      <c r="AY283" s="331"/>
      <c r="AZ283" s="334"/>
      <c r="BA283" s="334"/>
      <c r="BB283" s="331"/>
      <c r="BC283" s="334"/>
      <c r="BD283" s="334"/>
      <c r="BE283" s="331"/>
      <c r="BF283" s="334"/>
      <c r="BG283" s="334"/>
      <c r="BH283" s="331"/>
      <c r="BI283" s="334"/>
      <c r="BJ283" s="334"/>
      <c r="BK283" s="331"/>
      <c r="BL283" s="334"/>
      <c r="BM283" s="334"/>
      <c r="BN283" s="331"/>
      <c r="BO283" s="334"/>
      <c r="BP283" s="334"/>
      <c r="BQ283" s="331"/>
      <c r="BR283" s="332"/>
    </row>
    <row r="284" spans="1:70">
      <c r="A284" s="142" t="s">
        <v>4518</v>
      </c>
      <c r="B284" s="268">
        <v>9200</v>
      </c>
      <c r="C284" s="268">
        <v>0</v>
      </c>
      <c r="D284" s="333"/>
      <c r="E284" s="333"/>
      <c r="F284" s="331"/>
      <c r="G284" s="334"/>
      <c r="H284" s="334"/>
      <c r="I284" s="331"/>
      <c r="J284" s="334"/>
      <c r="K284" s="334"/>
      <c r="L284" s="331"/>
      <c r="M284" s="334"/>
      <c r="N284" s="334"/>
      <c r="O284" s="331"/>
      <c r="P284" s="334"/>
      <c r="Q284" s="334"/>
      <c r="R284" s="331"/>
      <c r="S284" s="334"/>
      <c r="T284" s="334"/>
      <c r="U284" s="331"/>
      <c r="V284" s="334"/>
      <c r="W284" s="334"/>
      <c r="X284" s="331"/>
      <c r="Y284" s="334"/>
      <c r="Z284" s="334"/>
      <c r="AA284" s="331"/>
      <c r="AB284" s="334"/>
      <c r="AC284" s="334"/>
      <c r="AD284" s="331"/>
      <c r="AE284" s="334"/>
      <c r="AF284" s="334"/>
      <c r="AG284" s="331"/>
      <c r="AH284" s="334"/>
      <c r="AI284" s="334"/>
      <c r="AJ284" s="331"/>
      <c r="AK284" s="334"/>
      <c r="AL284" s="334"/>
      <c r="AM284" s="331"/>
      <c r="AN284" s="334"/>
      <c r="AO284" s="334"/>
      <c r="AP284" s="331"/>
      <c r="AQ284" s="334"/>
      <c r="AR284" s="334"/>
      <c r="AS284" s="331"/>
      <c r="AT284" s="334"/>
      <c r="AU284" s="334"/>
      <c r="AV284" s="331"/>
      <c r="AW284" s="334"/>
      <c r="AX284" s="334"/>
      <c r="AY284" s="331"/>
      <c r="AZ284" s="334"/>
      <c r="BA284" s="334"/>
      <c r="BB284" s="331"/>
      <c r="BC284" s="334"/>
      <c r="BD284" s="334"/>
      <c r="BE284" s="331"/>
      <c r="BF284" s="334"/>
      <c r="BG284" s="334"/>
      <c r="BH284" s="331"/>
      <c r="BI284" s="334"/>
      <c r="BJ284" s="334"/>
      <c r="BK284" s="331"/>
      <c r="BL284" s="334"/>
      <c r="BM284" s="334"/>
      <c r="BN284" s="331"/>
      <c r="BO284" s="334"/>
      <c r="BP284" s="334"/>
      <c r="BQ284" s="331"/>
      <c r="BR284" s="332"/>
    </row>
    <row r="285" spans="1:70">
      <c r="A285" s="142" t="s">
        <v>3540</v>
      </c>
      <c r="B285" s="268">
        <v>1100</v>
      </c>
      <c r="C285" s="268">
        <v>0</v>
      </c>
      <c r="D285" s="333"/>
      <c r="E285" s="333"/>
      <c r="F285" s="331"/>
      <c r="G285" s="334"/>
      <c r="H285" s="334"/>
      <c r="I285" s="331"/>
      <c r="J285" s="334"/>
      <c r="K285" s="334"/>
      <c r="L285" s="331"/>
      <c r="M285" s="334"/>
      <c r="N285" s="334"/>
      <c r="O285" s="331"/>
      <c r="P285" s="334"/>
      <c r="Q285" s="334"/>
      <c r="R285" s="331"/>
      <c r="S285" s="334"/>
      <c r="T285" s="334"/>
      <c r="U285" s="331"/>
      <c r="V285" s="334"/>
      <c r="W285" s="334"/>
      <c r="X285" s="331"/>
      <c r="Y285" s="334"/>
      <c r="Z285" s="334"/>
      <c r="AA285" s="331"/>
      <c r="AB285" s="334"/>
      <c r="AC285" s="334"/>
      <c r="AD285" s="331"/>
      <c r="AE285" s="334"/>
      <c r="AF285" s="334"/>
      <c r="AG285" s="331"/>
      <c r="AH285" s="334"/>
      <c r="AI285" s="334"/>
      <c r="AJ285" s="331"/>
      <c r="AK285" s="334"/>
      <c r="AL285" s="334"/>
      <c r="AM285" s="331"/>
      <c r="AN285" s="334"/>
      <c r="AO285" s="334"/>
      <c r="AP285" s="331"/>
      <c r="AQ285" s="334"/>
      <c r="AR285" s="334"/>
      <c r="AS285" s="331"/>
      <c r="AT285" s="334"/>
      <c r="AU285" s="334"/>
      <c r="AV285" s="331"/>
      <c r="AW285" s="334"/>
      <c r="AX285" s="334"/>
      <c r="AY285" s="331"/>
      <c r="AZ285" s="334"/>
      <c r="BA285" s="334"/>
      <c r="BB285" s="331"/>
      <c r="BC285" s="334"/>
      <c r="BD285" s="334"/>
      <c r="BE285" s="331"/>
      <c r="BF285" s="334"/>
      <c r="BG285" s="334"/>
      <c r="BH285" s="331"/>
      <c r="BI285" s="334"/>
      <c r="BJ285" s="334"/>
      <c r="BK285" s="331"/>
      <c r="BL285" s="334"/>
      <c r="BM285" s="334"/>
      <c r="BN285" s="331"/>
      <c r="BO285" s="334"/>
      <c r="BP285" s="334"/>
      <c r="BQ285" s="331"/>
      <c r="BR285" s="332"/>
    </row>
    <row r="286" spans="1:70">
      <c r="A286" s="142" t="s">
        <v>3467</v>
      </c>
      <c r="B286" s="268">
        <v>552200</v>
      </c>
      <c r="C286" s="268">
        <v>0</v>
      </c>
      <c r="D286" s="333"/>
      <c r="E286" s="333"/>
      <c r="F286" s="331"/>
      <c r="G286" s="334"/>
      <c r="H286" s="334"/>
      <c r="I286" s="331"/>
      <c r="J286" s="334"/>
      <c r="K286" s="334"/>
      <c r="L286" s="331"/>
      <c r="M286" s="334"/>
      <c r="N286" s="334"/>
      <c r="O286" s="331"/>
      <c r="P286" s="334"/>
      <c r="Q286" s="334"/>
      <c r="R286" s="331"/>
      <c r="S286" s="334"/>
      <c r="T286" s="334"/>
      <c r="U286" s="331"/>
      <c r="V286" s="334"/>
      <c r="W286" s="334"/>
      <c r="X286" s="331"/>
      <c r="Y286" s="334"/>
      <c r="Z286" s="334"/>
      <c r="AA286" s="331"/>
      <c r="AB286" s="334"/>
      <c r="AC286" s="334"/>
      <c r="AD286" s="331"/>
      <c r="AE286" s="334"/>
      <c r="AF286" s="334"/>
      <c r="AG286" s="331"/>
      <c r="AH286" s="334"/>
      <c r="AI286" s="334"/>
      <c r="AJ286" s="331"/>
      <c r="AK286" s="334"/>
      <c r="AL286" s="334"/>
      <c r="AM286" s="331"/>
      <c r="AN286" s="334"/>
      <c r="AO286" s="334"/>
      <c r="AP286" s="331"/>
      <c r="AQ286" s="334"/>
      <c r="AR286" s="334"/>
      <c r="AS286" s="331"/>
      <c r="AT286" s="334"/>
      <c r="AU286" s="334"/>
      <c r="AV286" s="331"/>
      <c r="AW286" s="334"/>
      <c r="AX286" s="334"/>
      <c r="AY286" s="331"/>
      <c r="AZ286" s="334"/>
      <c r="BA286" s="334"/>
      <c r="BB286" s="331"/>
      <c r="BC286" s="334"/>
      <c r="BD286" s="334"/>
      <c r="BE286" s="331"/>
      <c r="BF286" s="334"/>
      <c r="BG286" s="334"/>
      <c r="BH286" s="331"/>
      <c r="BI286" s="334"/>
      <c r="BJ286" s="334"/>
      <c r="BK286" s="331"/>
      <c r="BL286" s="334"/>
      <c r="BM286" s="334"/>
      <c r="BN286" s="331"/>
      <c r="BO286" s="334"/>
      <c r="BP286" s="334"/>
      <c r="BQ286" s="331"/>
      <c r="BR286" s="332"/>
    </row>
    <row r="287" spans="1:70">
      <c r="A287" s="142" t="s">
        <v>4525</v>
      </c>
      <c r="B287" s="268">
        <v>367300</v>
      </c>
      <c r="C287" s="268">
        <v>0</v>
      </c>
      <c r="D287" s="333"/>
      <c r="E287" s="333"/>
      <c r="F287" s="331"/>
      <c r="G287" s="334"/>
      <c r="H287" s="334"/>
      <c r="I287" s="331"/>
      <c r="J287" s="334"/>
      <c r="K287" s="334"/>
      <c r="L287" s="331"/>
      <c r="M287" s="334"/>
      <c r="N287" s="334"/>
      <c r="O287" s="331"/>
      <c r="P287" s="334"/>
      <c r="Q287" s="334"/>
      <c r="R287" s="331"/>
      <c r="S287" s="334"/>
      <c r="T287" s="334"/>
      <c r="U287" s="331"/>
      <c r="V287" s="334"/>
      <c r="W287" s="334"/>
      <c r="X287" s="331"/>
      <c r="Y287" s="334"/>
      <c r="Z287" s="334"/>
      <c r="AA287" s="331"/>
      <c r="AB287" s="334"/>
      <c r="AC287" s="334"/>
      <c r="AD287" s="331"/>
      <c r="AE287" s="334"/>
      <c r="AF287" s="334"/>
      <c r="AG287" s="331"/>
      <c r="AH287" s="334"/>
      <c r="AI287" s="334"/>
      <c r="AJ287" s="331"/>
      <c r="AK287" s="334"/>
      <c r="AL287" s="334"/>
      <c r="AM287" s="331"/>
      <c r="AN287" s="334"/>
      <c r="AO287" s="334"/>
      <c r="AP287" s="331"/>
      <c r="AQ287" s="334"/>
      <c r="AR287" s="334"/>
      <c r="AS287" s="331"/>
      <c r="AT287" s="334"/>
      <c r="AU287" s="334"/>
      <c r="AV287" s="331"/>
      <c r="AW287" s="334"/>
      <c r="AX287" s="334"/>
      <c r="AY287" s="331"/>
      <c r="AZ287" s="334"/>
      <c r="BA287" s="334"/>
      <c r="BB287" s="331"/>
      <c r="BC287" s="334"/>
      <c r="BD287" s="334"/>
      <c r="BE287" s="331"/>
      <c r="BF287" s="334"/>
      <c r="BG287" s="334"/>
      <c r="BH287" s="331"/>
      <c r="BI287" s="334"/>
      <c r="BJ287" s="334"/>
      <c r="BK287" s="331"/>
      <c r="BL287" s="334"/>
      <c r="BM287" s="334"/>
      <c r="BN287" s="331"/>
      <c r="BO287" s="334"/>
      <c r="BP287" s="334"/>
      <c r="BQ287" s="331"/>
      <c r="BR287" s="332"/>
    </row>
    <row r="288" spans="1:70">
      <c r="A288" s="142" t="s">
        <v>4598</v>
      </c>
      <c r="B288" s="268">
        <v>41700</v>
      </c>
      <c r="C288" s="268">
        <v>0</v>
      </c>
      <c r="D288" s="333"/>
      <c r="E288" s="333"/>
      <c r="F288" s="331"/>
      <c r="G288" s="334"/>
      <c r="H288" s="334"/>
      <c r="I288" s="331"/>
      <c r="J288" s="334"/>
      <c r="K288" s="334"/>
      <c r="L288" s="331"/>
      <c r="M288" s="334"/>
      <c r="N288" s="334"/>
      <c r="O288" s="331"/>
      <c r="P288" s="334"/>
      <c r="Q288" s="334"/>
      <c r="R288" s="331"/>
      <c r="S288" s="334"/>
      <c r="T288" s="334"/>
      <c r="U288" s="331"/>
      <c r="V288" s="334"/>
      <c r="W288" s="334"/>
      <c r="X288" s="331"/>
      <c r="Y288" s="334"/>
      <c r="Z288" s="334"/>
      <c r="AA288" s="331"/>
      <c r="AB288" s="334"/>
      <c r="AC288" s="334"/>
      <c r="AD288" s="331"/>
      <c r="AE288" s="334"/>
      <c r="AF288" s="334"/>
      <c r="AG288" s="331"/>
      <c r="AH288" s="334"/>
      <c r="AI288" s="334"/>
      <c r="AJ288" s="331"/>
      <c r="AK288" s="334"/>
      <c r="AL288" s="334"/>
      <c r="AM288" s="331"/>
      <c r="AN288" s="334"/>
      <c r="AO288" s="334"/>
      <c r="AP288" s="331"/>
      <c r="AQ288" s="334"/>
      <c r="AR288" s="334"/>
      <c r="AS288" s="331"/>
      <c r="AT288" s="334"/>
      <c r="AU288" s="334"/>
      <c r="AV288" s="331"/>
      <c r="AW288" s="334"/>
      <c r="AX288" s="334"/>
      <c r="AY288" s="331"/>
      <c r="AZ288" s="334"/>
      <c r="BA288" s="334"/>
      <c r="BB288" s="331"/>
      <c r="BC288" s="334"/>
      <c r="BD288" s="334"/>
      <c r="BE288" s="331"/>
      <c r="BF288" s="334"/>
      <c r="BG288" s="334"/>
      <c r="BH288" s="331"/>
      <c r="BI288" s="334"/>
      <c r="BJ288" s="334"/>
      <c r="BK288" s="331"/>
      <c r="BL288" s="334"/>
      <c r="BM288" s="334"/>
      <c r="BN288" s="331"/>
      <c r="BO288" s="334"/>
      <c r="BP288" s="334"/>
      <c r="BQ288" s="331"/>
      <c r="BR288" s="332"/>
    </row>
    <row r="289" spans="1:70">
      <c r="A289" s="142" t="s">
        <v>4589</v>
      </c>
      <c r="B289" s="268">
        <v>41400</v>
      </c>
      <c r="C289" s="268">
        <v>0</v>
      </c>
      <c r="D289" s="333"/>
      <c r="E289" s="333"/>
      <c r="F289" s="331"/>
      <c r="G289" s="334"/>
      <c r="H289" s="334"/>
      <c r="I289" s="331"/>
      <c r="J289" s="334"/>
      <c r="K289" s="334"/>
      <c r="L289" s="331"/>
      <c r="M289" s="334"/>
      <c r="N289" s="334"/>
      <c r="O289" s="331"/>
      <c r="P289" s="334"/>
      <c r="Q289" s="334"/>
      <c r="R289" s="331"/>
      <c r="S289" s="334"/>
      <c r="T289" s="334"/>
      <c r="U289" s="331"/>
      <c r="V289" s="334"/>
      <c r="W289" s="334"/>
      <c r="X289" s="331"/>
      <c r="Y289" s="334"/>
      <c r="Z289" s="334"/>
      <c r="AA289" s="331"/>
      <c r="AB289" s="334"/>
      <c r="AC289" s="334"/>
      <c r="AD289" s="331"/>
      <c r="AE289" s="334"/>
      <c r="AF289" s="334"/>
      <c r="AG289" s="331"/>
      <c r="AH289" s="334"/>
      <c r="AI289" s="334"/>
      <c r="AJ289" s="331"/>
      <c r="AK289" s="334"/>
      <c r="AL289" s="334"/>
      <c r="AM289" s="331"/>
      <c r="AN289" s="334"/>
      <c r="AO289" s="334"/>
      <c r="AP289" s="331"/>
      <c r="AQ289" s="334"/>
      <c r="AR289" s="334"/>
      <c r="AS289" s="331"/>
      <c r="AT289" s="334"/>
      <c r="AU289" s="334"/>
      <c r="AV289" s="331"/>
      <c r="AW289" s="334"/>
      <c r="AX289" s="334"/>
      <c r="AY289" s="331"/>
      <c r="AZ289" s="334"/>
      <c r="BA289" s="334"/>
      <c r="BB289" s="331"/>
      <c r="BC289" s="334"/>
      <c r="BD289" s="334"/>
      <c r="BE289" s="331"/>
      <c r="BF289" s="334"/>
      <c r="BG289" s="334"/>
      <c r="BH289" s="331"/>
      <c r="BI289" s="334"/>
      <c r="BJ289" s="334"/>
      <c r="BK289" s="331"/>
      <c r="BL289" s="334"/>
      <c r="BM289" s="334"/>
      <c r="BN289" s="331"/>
      <c r="BO289" s="334"/>
      <c r="BP289" s="334"/>
      <c r="BQ289" s="331"/>
      <c r="BR289" s="332"/>
    </row>
    <row r="290" spans="1:70">
      <c r="A290" s="142" t="s">
        <v>4581</v>
      </c>
      <c r="B290" s="268">
        <v>41400</v>
      </c>
      <c r="C290" s="268">
        <v>0</v>
      </c>
      <c r="D290" s="333"/>
      <c r="E290" s="333"/>
      <c r="F290" s="331"/>
      <c r="G290" s="334"/>
      <c r="H290" s="334"/>
      <c r="I290" s="331"/>
      <c r="J290" s="334"/>
      <c r="K290" s="334"/>
      <c r="L290" s="331"/>
      <c r="M290" s="334"/>
      <c r="N290" s="334"/>
      <c r="O290" s="331"/>
      <c r="P290" s="334"/>
      <c r="Q290" s="334"/>
      <c r="R290" s="331"/>
      <c r="S290" s="334"/>
      <c r="T290" s="334"/>
      <c r="U290" s="331"/>
      <c r="V290" s="334"/>
      <c r="W290" s="334"/>
      <c r="X290" s="331"/>
      <c r="Y290" s="334"/>
      <c r="Z290" s="334"/>
      <c r="AA290" s="331"/>
      <c r="AB290" s="334"/>
      <c r="AC290" s="334"/>
      <c r="AD290" s="331"/>
      <c r="AE290" s="334"/>
      <c r="AF290" s="334"/>
      <c r="AG290" s="331"/>
      <c r="AH290" s="334"/>
      <c r="AI290" s="334"/>
      <c r="AJ290" s="331"/>
      <c r="AK290" s="334"/>
      <c r="AL290" s="334"/>
      <c r="AM290" s="331"/>
      <c r="AN290" s="334"/>
      <c r="AO290" s="334"/>
      <c r="AP290" s="331"/>
      <c r="AQ290" s="334"/>
      <c r="AR290" s="334"/>
      <c r="AS290" s="331"/>
      <c r="AT290" s="334"/>
      <c r="AU290" s="334"/>
      <c r="AV290" s="331"/>
      <c r="AW290" s="334"/>
      <c r="AX290" s="334"/>
      <c r="AY290" s="331"/>
      <c r="AZ290" s="334"/>
      <c r="BA290" s="334"/>
      <c r="BB290" s="331"/>
      <c r="BC290" s="334"/>
      <c r="BD290" s="334"/>
      <c r="BE290" s="331"/>
      <c r="BF290" s="334"/>
      <c r="BG290" s="334"/>
      <c r="BH290" s="331"/>
      <c r="BI290" s="334"/>
      <c r="BJ290" s="334"/>
      <c r="BK290" s="331"/>
      <c r="BL290" s="334"/>
      <c r="BM290" s="334"/>
      <c r="BN290" s="331"/>
      <c r="BO290" s="334"/>
      <c r="BP290" s="334"/>
      <c r="BQ290" s="331"/>
      <c r="BR290" s="332"/>
    </row>
    <row r="291" spans="1:70">
      <c r="A291" s="142" t="s">
        <v>3086</v>
      </c>
      <c r="B291" s="268">
        <v>22600</v>
      </c>
      <c r="C291" s="268">
        <v>0</v>
      </c>
      <c r="D291" s="333"/>
      <c r="E291" s="333"/>
      <c r="F291" s="331"/>
      <c r="G291" s="334"/>
      <c r="H291" s="334"/>
      <c r="I291" s="331"/>
      <c r="J291" s="334"/>
      <c r="K291" s="334"/>
      <c r="L291" s="331"/>
      <c r="M291" s="334"/>
      <c r="N291" s="334"/>
      <c r="O291" s="331"/>
      <c r="P291" s="334"/>
      <c r="Q291" s="334"/>
      <c r="R291" s="331"/>
      <c r="S291" s="334"/>
      <c r="T291" s="334"/>
      <c r="U291" s="331"/>
      <c r="V291" s="334"/>
      <c r="W291" s="334"/>
      <c r="X291" s="331"/>
      <c r="Y291" s="334"/>
      <c r="Z291" s="334"/>
      <c r="AA291" s="331"/>
      <c r="AB291" s="334"/>
      <c r="AC291" s="334"/>
      <c r="AD291" s="331"/>
      <c r="AE291" s="334"/>
      <c r="AF291" s="334"/>
      <c r="AG291" s="331"/>
      <c r="AH291" s="334"/>
      <c r="AI291" s="334"/>
      <c r="AJ291" s="331"/>
      <c r="AK291" s="334"/>
      <c r="AL291" s="334"/>
      <c r="AM291" s="331"/>
      <c r="AN291" s="334"/>
      <c r="AO291" s="334"/>
      <c r="AP291" s="331"/>
      <c r="AQ291" s="334"/>
      <c r="AR291" s="334"/>
      <c r="AS291" s="331"/>
      <c r="AT291" s="334"/>
      <c r="AU291" s="334"/>
      <c r="AV291" s="331"/>
      <c r="AW291" s="334"/>
      <c r="AX291" s="334"/>
      <c r="AY291" s="331"/>
      <c r="AZ291" s="334"/>
      <c r="BA291" s="334"/>
      <c r="BB291" s="331"/>
      <c r="BC291" s="334"/>
      <c r="BD291" s="334"/>
      <c r="BE291" s="331"/>
      <c r="BF291" s="334"/>
      <c r="BG291" s="334"/>
      <c r="BH291" s="331"/>
      <c r="BI291" s="334"/>
      <c r="BJ291" s="334"/>
      <c r="BK291" s="331"/>
      <c r="BL291" s="334"/>
      <c r="BM291" s="334"/>
      <c r="BN291" s="331"/>
      <c r="BO291" s="334"/>
      <c r="BP291" s="334"/>
      <c r="BQ291" s="331"/>
      <c r="BR291" s="332"/>
    </row>
    <row r="292" spans="1:70">
      <c r="A292" s="142" t="s">
        <v>2834</v>
      </c>
      <c r="B292" s="268">
        <v>33900</v>
      </c>
      <c r="C292" s="268">
        <v>0</v>
      </c>
      <c r="D292" s="333"/>
      <c r="E292" s="333"/>
      <c r="F292" s="331"/>
      <c r="G292" s="334"/>
      <c r="H292" s="334"/>
      <c r="I292" s="331"/>
      <c r="J292" s="334"/>
      <c r="K292" s="334"/>
      <c r="L292" s="331"/>
      <c r="M292" s="334"/>
      <c r="N292" s="334"/>
      <c r="O292" s="331"/>
      <c r="P292" s="334"/>
      <c r="Q292" s="334"/>
      <c r="R292" s="331"/>
      <c r="S292" s="334"/>
      <c r="T292" s="334"/>
      <c r="U292" s="331"/>
      <c r="V292" s="334"/>
      <c r="W292" s="334"/>
      <c r="X292" s="331"/>
      <c r="Y292" s="334"/>
      <c r="Z292" s="334"/>
      <c r="AA292" s="331"/>
      <c r="AB292" s="334"/>
      <c r="AC292" s="334"/>
      <c r="AD292" s="331"/>
      <c r="AE292" s="334"/>
      <c r="AF292" s="334"/>
      <c r="AG292" s="331"/>
      <c r="AH292" s="334"/>
      <c r="AI292" s="334"/>
      <c r="AJ292" s="331"/>
      <c r="AK292" s="334"/>
      <c r="AL292" s="334"/>
      <c r="AM292" s="331"/>
      <c r="AN292" s="334"/>
      <c r="AO292" s="334"/>
      <c r="AP292" s="331"/>
      <c r="AQ292" s="334"/>
      <c r="AR292" s="334"/>
      <c r="AS292" s="331"/>
      <c r="AT292" s="334"/>
      <c r="AU292" s="334"/>
      <c r="AV292" s="331"/>
      <c r="AW292" s="334"/>
      <c r="AX292" s="334"/>
      <c r="AY292" s="331"/>
      <c r="AZ292" s="334"/>
      <c r="BA292" s="334"/>
      <c r="BB292" s="331"/>
      <c r="BC292" s="334"/>
      <c r="BD292" s="334"/>
      <c r="BE292" s="331"/>
      <c r="BF292" s="334"/>
      <c r="BG292" s="334"/>
      <c r="BH292" s="331"/>
      <c r="BI292" s="334"/>
      <c r="BJ292" s="334"/>
      <c r="BK292" s="331"/>
      <c r="BL292" s="334"/>
      <c r="BM292" s="334"/>
      <c r="BN292" s="331"/>
      <c r="BO292" s="334"/>
      <c r="BP292" s="334"/>
      <c r="BQ292" s="331"/>
      <c r="BR292" s="332"/>
    </row>
    <row r="293" spans="1:70">
      <c r="A293" s="142" t="s">
        <v>4829</v>
      </c>
      <c r="B293" s="268">
        <v>33800</v>
      </c>
      <c r="C293" s="268">
        <v>0</v>
      </c>
      <c r="D293" s="333"/>
      <c r="E293" s="333"/>
      <c r="F293" s="331"/>
      <c r="G293" s="334"/>
      <c r="H293" s="334"/>
      <c r="I293" s="331"/>
      <c r="J293" s="334"/>
      <c r="K293" s="334"/>
      <c r="L293" s="331"/>
      <c r="M293" s="334"/>
      <c r="N293" s="334"/>
      <c r="O293" s="331"/>
      <c r="P293" s="334"/>
      <c r="Q293" s="334"/>
      <c r="R293" s="331"/>
      <c r="S293" s="334"/>
      <c r="T293" s="334"/>
      <c r="U293" s="331"/>
      <c r="V293" s="334"/>
      <c r="W293" s="334"/>
      <c r="X293" s="331"/>
      <c r="Y293" s="334"/>
      <c r="Z293" s="334"/>
      <c r="AA293" s="331"/>
      <c r="AB293" s="334"/>
      <c r="AC293" s="334"/>
      <c r="AD293" s="331"/>
      <c r="AE293" s="334"/>
      <c r="AF293" s="334"/>
      <c r="AG293" s="331"/>
      <c r="AH293" s="334"/>
      <c r="AI293" s="334"/>
      <c r="AJ293" s="331"/>
      <c r="AK293" s="334"/>
      <c r="AL293" s="334"/>
      <c r="AM293" s="331"/>
      <c r="AN293" s="334"/>
      <c r="AO293" s="334"/>
      <c r="AP293" s="331"/>
      <c r="AQ293" s="334"/>
      <c r="AR293" s="334"/>
      <c r="AS293" s="331"/>
      <c r="AT293" s="334"/>
      <c r="AU293" s="334"/>
      <c r="AV293" s="331"/>
      <c r="AW293" s="334"/>
      <c r="AX293" s="334"/>
      <c r="AY293" s="331"/>
      <c r="AZ293" s="334"/>
      <c r="BA293" s="334"/>
      <c r="BB293" s="331"/>
      <c r="BC293" s="334"/>
      <c r="BD293" s="334"/>
      <c r="BE293" s="331"/>
      <c r="BF293" s="334"/>
      <c r="BG293" s="334"/>
      <c r="BH293" s="331"/>
      <c r="BI293" s="334"/>
      <c r="BJ293" s="334"/>
      <c r="BK293" s="331"/>
      <c r="BL293" s="334"/>
      <c r="BM293" s="334"/>
      <c r="BN293" s="331"/>
      <c r="BO293" s="334"/>
      <c r="BP293" s="334"/>
      <c r="BQ293" s="331"/>
      <c r="BR293" s="332"/>
    </row>
    <row r="294" spans="1:70">
      <c r="A294" s="142" t="s">
        <v>4241</v>
      </c>
      <c r="B294" s="268">
        <v>72300</v>
      </c>
      <c r="C294" s="268">
        <v>0</v>
      </c>
      <c r="D294" s="333"/>
      <c r="E294" s="333"/>
      <c r="F294" s="331"/>
      <c r="G294" s="334"/>
      <c r="H294" s="334"/>
      <c r="I294" s="331"/>
      <c r="J294" s="334"/>
      <c r="K294" s="334"/>
      <c r="L294" s="331"/>
      <c r="M294" s="334"/>
      <c r="N294" s="334"/>
      <c r="O294" s="331"/>
      <c r="P294" s="334"/>
      <c r="Q294" s="334"/>
      <c r="R294" s="331"/>
      <c r="S294" s="334"/>
      <c r="T294" s="334"/>
      <c r="U294" s="331"/>
      <c r="V294" s="334"/>
      <c r="W294" s="334"/>
      <c r="X294" s="331"/>
      <c r="Y294" s="334"/>
      <c r="Z294" s="334"/>
      <c r="AA294" s="331"/>
      <c r="AB294" s="334"/>
      <c r="AC294" s="334"/>
      <c r="AD294" s="331"/>
      <c r="AE294" s="334"/>
      <c r="AF294" s="334"/>
      <c r="AG294" s="331"/>
      <c r="AH294" s="334"/>
      <c r="AI294" s="334"/>
      <c r="AJ294" s="331"/>
      <c r="AK294" s="334"/>
      <c r="AL294" s="334"/>
      <c r="AM294" s="331"/>
      <c r="AN294" s="334"/>
      <c r="AO294" s="334"/>
      <c r="AP294" s="331"/>
      <c r="AQ294" s="334"/>
      <c r="AR294" s="334"/>
      <c r="AS294" s="331"/>
      <c r="AT294" s="334"/>
      <c r="AU294" s="334"/>
      <c r="AV294" s="331"/>
      <c r="AW294" s="334"/>
      <c r="AX294" s="334"/>
      <c r="AY294" s="331"/>
      <c r="AZ294" s="334"/>
      <c r="BA294" s="334"/>
      <c r="BB294" s="331"/>
      <c r="BC294" s="334"/>
      <c r="BD294" s="334"/>
      <c r="BE294" s="331"/>
      <c r="BF294" s="334"/>
      <c r="BG294" s="334"/>
      <c r="BH294" s="331"/>
      <c r="BI294" s="334"/>
      <c r="BJ294" s="334"/>
      <c r="BK294" s="331"/>
      <c r="BL294" s="334"/>
      <c r="BM294" s="334"/>
      <c r="BN294" s="331"/>
      <c r="BO294" s="334"/>
      <c r="BP294" s="334"/>
      <c r="BQ294" s="331"/>
      <c r="BR294" s="332"/>
    </row>
    <row r="295" spans="1:70">
      <c r="A295" s="142" t="s">
        <v>2584</v>
      </c>
      <c r="B295" s="268">
        <v>2600</v>
      </c>
      <c r="C295" s="268">
        <v>0</v>
      </c>
      <c r="D295" s="333"/>
      <c r="E295" s="333"/>
      <c r="F295" s="331"/>
      <c r="G295" s="334"/>
      <c r="H295" s="334"/>
      <c r="I295" s="331"/>
      <c r="J295" s="334"/>
      <c r="K295" s="334"/>
      <c r="L295" s="331"/>
      <c r="M295" s="334"/>
      <c r="N295" s="334"/>
      <c r="O295" s="331"/>
      <c r="P295" s="334"/>
      <c r="Q295" s="334"/>
      <c r="R295" s="331"/>
      <c r="S295" s="334"/>
      <c r="T295" s="334"/>
      <c r="U295" s="331"/>
      <c r="V295" s="334"/>
      <c r="W295" s="334"/>
      <c r="X295" s="331"/>
      <c r="Y295" s="334"/>
      <c r="Z295" s="334"/>
      <c r="AA295" s="331"/>
      <c r="AB295" s="334"/>
      <c r="AC295" s="334"/>
      <c r="AD295" s="331"/>
      <c r="AE295" s="334"/>
      <c r="AF295" s="334"/>
      <c r="AG295" s="331"/>
      <c r="AH295" s="334"/>
      <c r="AI295" s="334"/>
      <c r="AJ295" s="331"/>
      <c r="AK295" s="334"/>
      <c r="AL295" s="334"/>
      <c r="AM295" s="331"/>
      <c r="AN295" s="334"/>
      <c r="AO295" s="334"/>
      <c r="AP295" s="331"/>
      <c r="AQ295" s="334"/>
      <c r="AR295" s="334"/>
      <c r="AS295" s="331"/>
      <c r="AT295" s="334"/>
      <c r="AU295" s="334"/>
      <c r="AV295" s="331"/>
      <c r="AW295" s="334"/>
      <c r="AX295" s="334"/>
      <c r="AY295" s="331"/>
      <c r="AZ295" s="334"/>
      <c r="BA295" s="334"/>
      <c r="BB295" s="331"/>
      <c r="BC295" s="334"/>
      <c r="BD295" s="334"/>
      <c r="BE295" s="331"/>
      <c r="BF295" s="334"/>
      <c r="BG295" s="334"/>
      <c r="BH295" s="331"/>
      <c r="BI295" s="334"/>
      <c r="BJ295" s="334"/>
      <c r="BK295" s="331"/>
      <c r="BL295" s="334"/>
      <c r="BM295" s="334"/>
      <c r="BN295" s="331"/>
      <c r="BO295" s="334"/>
      <c r="BP295" s="334"/>
      <c r="BQ295" s="331"/>
      <c r="BR295" s="332"/>
    </row>
    <row r="296" spans="1:70">
      <c r="A296" s="142" t="s">
        <v>3895</v>
      </c>
      <c r="B296" s="268">
        <v>18900</v>
      </c>
      <c r="C296" s="268">
        <v>0</v>
      </c>
      <c r="D296" s="333"/>
      <c r="E296" s="333"/>
      <c r="F296" s="331"/>
      <c r="G296" s="334"/>
      <c r="H296" s="334"/>
      <c r="I296" s="331"/>
      <c r="J296" s="334"/>
      <c r="K296" s="334"/>
      <c r="L296" s="331"/>
      <c r="M296" s="334"/>
      <c r="N296" s="334"/>
      <c r="O296" s="331"/>
      <c r="P296" s="334"/>
      <c r="Q296" s="334"/>
      <c r="R296" s="331"/>
      <c r="S296" s="334"/>
      <c r="T296" s="334"/>
      <c r="U296" s="331"/>
      <c r="V296" s="334"/>
      <c r="W296" s="334"/>
      <c r="X296" s="331"/>
      <c r="Y296" s="334"/>
      <c r="Z296" s="334"/>
      <c r="AA296" s="331"/>
      <c r="AB296" s="334"/>
      <c r="AC296" s="334"/>
      <c r="AD296" s="331"/>
      <c r="AE296" s="334"/>
      <c r="AF296" s="334"/>
      <c r="AG296" s="331"/>
      <c r="AH296" s="334"/>
      <c r="AI296" s="334"/>
      <c r="AJ296" s="331"/>
      <c r="AK296" s="334"/>
      <c r="AL296" s="334"/>
      <c r="AM296" s="331"/>
      <c r="AN296" s="334"/>
      <c r="AO296" s="334"/>
      <c r="AP296" s="331"/>
      <c r="AQ296" s="334"/>
      <c r="AR296" s="334"/>
      <c r="AS296" s="331"/>
      <c r="AT296" s="334"/>
      <c r="AU296" s="334"/>
      <c r="AV296" s="331"/>
      <c r="AW296" s="334"/>
      <c r="AX296" s="334"/>
      <c r="AY296" s="331"/>
      <c r="AZ296" s="334"/>
      <c r="BA296" s="334"/>
      <c r="BB296" s="331"/>
      <c r="BC296" s="334"/>
      <c r="BD296" s="334"/>
      <c r="BE296" s="331"/>
      <c r="BF296" s="334"/>
      <c r="BG296" s="334"/>
      <c r="BH296" s="331"/>
      <c r="BI296" s="334"/>
      <c r="BJ296" s="334"/>
      <c r="BK296" s="331"/>
      <c r="BL296" s="334"/>
      <c r="BM296" s="334"/>
      <c r="BN296" s="331"/>
      <c r="BO296" s="334"/>
      <c r="BP296" s="334"/>
      <c r="BQ296" s="331"/>
      <c r="BR296" s="332"/>
    </row>
    <row r="297" spans="1:70">
      <c r="A297" s="142" t="s">
        <v>3533</v>
      </c>
      <c r="B297" s="268">
        <v>37000</v>
      </c>
      <c r="C297" s="268">
        <v>0</v>
      </c>
      <c r="D297" s="333"/>
      <c r="E297" s="333"/>
      <c r="F297" s="331"/>
      <c r="G297" s="334"/>
      <c r="H297" s="334"/>
      <c r="I297" s="331"/>
      <c r="J297" s="334"/>
      <c r="K297" s="334"/>
      <c r="L297" s="331"/>
      <c r="M297" s="334"/>
      <c r="N297" s="334"/>
      <c r="O297" s="331"/>
      <c r="P297" s="334"/>
      <c r="Q297" s="334"/>
      <c r="R297" s="331"/>
      <c r="S297" s="334"/>
      <c r="T297" s="334"/>
      <c r="U297" s="331"/>
      <c r="V297" s="334"/>
      <c r="W297" s="334"/>
      <c r="X297" s="331"/>
      <c r="Y297" s="334"/>
      <c r="Z297" s="334"/>
      <c r="AA297" s="331"/>
      <c r="AB297" s="334"/>
      <c r="AC297" s="334"/>
      <c r="AD297" s="331"/>
      <c r="AE297" s="334"/>
      <c r="AF297" s="334"/>
      <c r="AG297" s="331"/>
      <c r="AH297" s="334"/>
      <c r="AI297" s="334"/>
      <c r="AJ297" s="331"/>
      <c r="AK297" s="334"/>
      <c r="AL297" s="334"/>
      <c r="AM297" s="331"/>
      <c r="AN297" s="334"/>
      <c r="AO297" s="334"/>
      <c r="AP297" s="331"/>
      <c r="AQ297" s="334"/>
      <c r="AR297" s="334"/>
      <c r="AS297" s="331"/>
      <c r="AT297" s="334"/>
      <c r="AU297" s="334"/>
      <c r="AV297" s="331"/>
      <c r="AW297" s="334"/>
      <c r="AX297" s="334"/>
      <c r="AY297" s="331"/>
      <c r="AZ297" s="334"/>
      <c r="BA297" s="334"/>
      <c r="BB297" s="331"/>
      <c r="BC297" s="334"/>
      <c r="BD297" s="334"/>
      <c r="BE297" s="331"/>
      <c r="BF297" s="334"/>
      <c r="BG297" s="334"/>
      <c r="BH297" s="331"/>
      <c r="BI297" s="334"/>
      <c r="BJ297" s="334"/>
      <c r="BK297" s="331"/>
      <c r="BL297" s="334"/>
      <c r="BM297" s="334"/>
      <c r="BN297" s="331"/>
      <c r="BO297" s="334"/>
      <c r="BP297" s="334"/>
      <c r="BQ297" s="331"/>
      <c r="BR297" s="332"/>
    </row>
    <row r="298" spans="1:70">
      <c r="A298" s="142" t="s">
        <v>3420</v>
      </c>
      <c r="B298" s="268">
        <v>98100</v>
      </c>
      <c r="C298" s="268">
        <v>0</v>
      </c>
      <c r="D298" s="333"/>
      <c r="E298" s="333"/>
      <c r="F298" s="331"/>
      <c r="G298" s="334"/>
      <c r="H298" s="334"/>
      <c r="I298" s="331"/>
      <c r="J298" s="334"/>
      <c r="K298" s="334"/>
      <c r="L298" s="331"/>
      <c r="M298" s="334"/>
      <c r="N298" s="334"/>
      <c r="O298" s="331"/>
      <c r="P298" s="334"/>
      <c r="Q298" s="334"/>
      <c r="R298" s="331"/>
      <c r="S298" s="334"/>
      <c r="T298" s="334"/>
      <c r="U298" s="331"/>
      <c r="V298" s="334"/>
      <c r="W298" s="334"/>
      <c r="X298" s="331"/>
      <c r="Y298" s="334"/>
      <c r="Z298" s="334"/>
      <c r="AA298" s="331"/>
      <c r="AB298" s="334"/>
      <c r="AC298" s="334"/>
      <c r="AD298" s="331"/>
      <c r="AE298" s="334"/>
      <c r="AF298" s="334"/>
      <c r="AG298" s="331"/>
      <c r="AH298" s="334"/>
      <c r="AI298" s="334"/>
      <c r="AJ298" s="331"/>
      <c r="AK298" s="334"/>
      <c r="AL298" s="334"/>
      <c r="AM298" s="331"/>
      <c r="AN298" s="334"/>
      <c r="AO298" s="334"/>
      <c r="AP298" s="331"/>
      <c r="AQ298" s="334"/>
      <c r="AR298" s="334"/>
      <c r="AS298" s="331"/>
      <c r="AT298" s="334"/>
      <c r="AU298" s="334"/>
      <c r="AV298" s="331"/>
      <c r="AW298" s="334"/>
      <c r="AX298" s="334"/>
      <c r="AY298" s="331"/>
      <c r="AZ298" s="334"/>
      <c r="BA298" s="334"/>
      <c r="BB298" s="331"/>
      <c r="BC298" s="334"/>
      <c r="BD298" s="334"/>
      <c r="BE298" s="331"/>
      <c r="BF298" s="334"/>
      <c r="BG298" s="334"/>
      <c r="BH298" s="331"/>
      <c r="BI298" s="334"/>
      <c r="BJ298" s="334"/>
      <c r="BK298" s="331"/>
      <c r="BL298" s="334"/>
      <c r="BM298" s="334"/>
      <c r="BN298" s="331"/>
      <c r="BO298" s="334"/>
      <c r="BP298" s="334"/>
      <c r="BQ298" s="331"/>
      <c r="BR298" s="332"/>
    </row>
    <row r="299" spans="1:70">
      <c r="A299" s="142" t="s">
        <v>3447</v>
      </c>
      <c r="B299" s="268">
        <v>12800</v>
      </c>
      <c r="C299" s="268">
        <v>0</v>
      </c>
      <c r="D299" s="333"/>
      <c r="E299" s="333"/>
      <c r="F299" s="331"/>
      <c r="G299" s="334"/>
      <c r="H299" s="334"/>
      <c r="I299" s="331"/>
      <c r="J299" s="334"/>
      <c r="K299" s="334"/>
      <c r="L299" s="331"/>
      <c r="M299" s="334"/>
      <c r="N299" s="334"/>
      <c r="O299" s="331"/>
      <c r="P299" s="334"/>
      <c r="Q299" s="334"/>
      <c r="R299" s="331"/>
      <c r="S299" s="334"/>
      <c r="T299" s="334"/>
      <c r="U299" s="331"/>
      <c r="V299" s="334"/>
      <c r="W299" s="334"/>
      <c r="X299" s="331"/>
      <c r="Y299" s="334"/>
      <c r="Z299" s="334"/>
      <c r="AA299" s="331"/>
      <c r="AB299" s="334"/>
      <c r="AC299" s="334"/>
      <c r="AD299" s="331"/>
      <c r="AE299" s="334"/>
      <c r="AF299" s="334"/>
      <c r="AG299" s="331"/>
      <c r="AH299" s="334"/>
      <c r="AI299" s="334"/>
      <c r="AJ299" s="331"/>
      <c r="AK299" s="334"/>
      <c r="AL299" s="334"/>
      <c r="AM299" s="331"/>
      <c r="AN299" s="334"/>
      <c r="AO299" s="334"/>
      <c r="AP299" s="331"/>
      <c r="AQ299" s="334"/>
      <c r="AR299" s="334"/>
      <c r="AS299" s="331"/>
      <c r="AT299" s="334"/>
      <c r="AU299" s="334"/>
      <c r="AV299" s="331"/>
      <c r="AW299" s="334"/>
      <c r="AX299" s="334"/>
      <c r="AY299" s="331"/>
      <c r="AZ299" s="334"/>
      <c r="BA299" s="334"/>
      <c r="BB299" s="331"/>
      <c r="BC299" s="334"/>
      <c r="BD299" s="334"/>
      <c r="BE299" s="331"/>
      <c r="BF299" s="334"/>
      <c r="BG299" s="334"/>
      <c r="BH299" s="331"/>
      <c r="BI299" s="334"/>
      <c r="BJ299" s="334"/>
      <c r="BK299" s="331"/>
      <c r="BL299" s="334"/>
      <c r="BM299" s="334"/>
      <c r="BN299" s="331"/>
      <c r="BO299" s="334"/>
      <c r="BP299" s="334"/>
      <c r="BQ299" s="331"/>
      <c r="BR299" s="332"/>
    </row>
    <row r="300" spans="1:70">
      <c r="A300" s="142" t="s">
        <v>3462</v>
      </c>
      <c r="B300" s="268">
        <v>12800</v>
      </c>
      <c r="C300" s="268">
        <v>0</v>
      </c>
      <c r="D300" s="333"/>
      <c r="E300" s="333"/>
      <c r="F300" s="331"/>
      <c r="G300" s="334"/>
      <c r="H300" s="334"/>
      <c r="I300" s="331"/>
      <c r="J300" s="334"/>
      <c r="K300" s="334"/>
      <c r="L300" s="331"/>
      <c r="M300" s="334"/>
      <c r="N300" s="334"/>
      <c r="O300" s="331"/>
      <c r="P300" s="334"/>
      <c r="Q300" s="334"/>
      <c r="R300" s="331"/>
      <c r="S300" s="334"/>
      <c r="T300" s="334"/>
      <c r="U300" s="331"/>
      <c r="V300" s="334"/>
      <c r="W300" s="334"/>
      <c r="X300" s="331"/>
      <c r="Y300" s="334"/>
      <c r="Z300" s="334"/>
      <c r="AA300" s="331"/>
      <c r="AB300" s="334"/>
      <c r="AC300" s="334"/>
      <c r="AD300" s="331"/>
      <c r="AE300" s="334"/>
      <c r="AF300" s="334"/>
      <c r="AG300" s="331"/>
      <c r="AH300" s="334"/>
      <c r="AI300" s="334"/>
      <c r="AJ300" s="331"/>
      <c r="AK300" s="334"/>
      <c r="AL300" s="334"/>
      <c r="AM300" s="331"/>
      <c r="AN300" s="334"/>
      <c r="AO300" s="334"/>
      <c r="AP300" s="331"/>
      <c r="AQ300" s="334"/>
      <c r="AR300" s="334"/>
      <c r="AS300" s="331"/>
      <c r="AT300" s="334"/>
      <c r="AU300" s="334"/>
      <c r="AV300" s="331"/>
      <c r="AW300" s="334"/>
      <c r="AX300" s="334"/>
      <c r="AY300" s="331"/>
      <c r="AZ300" s="334"/>
      <c r="BA300" s="334"/>
      <c r="BB300" s="331"/>
      <c r="BC300" s="334"/>
      <c r="BD300" s="334"/>
      <c r="BE300" s="331"/>
      <c r="BF300" s="334"/>
      <c r="BG300" s="334"/>
      <c r="BH300" s="331"/>
      <c r="BI300" s="334"/>
      <c r="BJ300" s="334"/>
      <c r="BK300" s="331"/>
      <c r="BL300" s="334"/>
      <c r="BM300" s="334"/>
      <c r="BN300" s="331"/>
      <c r="BO300" s="334"/>
      <c r="BP300" s="334"/>
      <c r="BQ300" s="331"/>
      <c r="BR300" s="332"/>
    </row>
    <row r="301" spans="1:70">
      <c r="A301" s="142" t="s">
        <v>3492</v>
      </c>
      <c r="B301" s="268">
        <v>12800</v>
      </c>
      <c r="C301" s="268">
        <v>0</v>
      </c>
      <c r="D301" s="333"/>
      <c r="E301" s="333"/>
      <c r="F301" s="331"/>
      <c r="G301" s="334"/>
      <c r="H301" s="334"/>
      <c r="I301" s="331"/>
      <c r="J301" s="334"/>
      <c r="K301" s="334"/>
      <c r="L301" s="331"/>
      <c r="M301" s="334"/>
      <c r="N301" s="334"/>
      <c r="O301" s="331"/>
      <c r="P301" s="334"/>
      <c r="Q301" s="334"/>
      <c r="R301" s="331"/>
      <c r="S301" s="334"/>
      <c r="T301" s="334"/>
      <c r="U301" s="331"/>
      <c r="V301" s="334"/>
      <c r="W301" s="334"/>
      <c r="X301" s="331"/>
      <c r="Y301" s="334"/>
      <c r="Z301" s="334"/>
      <c r="AA301" s="331"/>
      <c r="AB301" s="334"/>
      <c r="AC301" s="334"/>
      <c r="AD301" s="331"/>
      <c r="AE301" s="334"/>
      <c r="AF301" s="334"/>
      <c r="AG301" s="331"/>
      <c r="AH301" s="334"/>
      <c r="AI301" s="334"/>
      <c r="AJ301" s="331"/>
      <c r="AK301" s="334"/>
      <c r="AL301" s="334"/>
      <c r="AM301" s="331"/>
      <c r="AN301" s="334"/>
      <c r="AO301" s="334"/>
      <c r="AP301" s="331"/>
      <c r="AQ301" s="334"/>
      <c r="AR301" s="334"/>
      <c r="AS301" s="331"/>
      <c r="AT301" s="334"/>
      <c r="AU301" s="334"/>
      <c r="AV301" s="331"/>
      <c r="AW301" s="334"/>
      <c r="AX301" s="334"/>
      <c r="AY301" s="331"/>
      <c r="AZ301" s="334"/>
      <c r="BA301" s="334"/>
      <c r="BB301" s="331"/>
      <c r="BC301" s="334"/>
      <c r="BD301" s="334"/>
      <c r="BE301" s="331"/>
      <c r="BF301" s="334"/>
      <c r="BG301" s="334"/>
      <c r="BH301" s="331"/>
      <c r="BI301" s="334"/>
      <c r="BJ301" s="334"/>
      <c r="BK301" s="331"/>
      <c r="BL301" s="334"/>
      <c r="BM301" s="334"/>
      <c r="BN301" s="331"/>
      <c r="BO301" s="334"/>
      <c r="BP301" s="334"/>
      <c r="BQ301" s="331"/>
      <c r="BR301" s="332"/>
    </row>
    <row r="302" spans="1:70">
      <c r="A302" s="142" t="s">
        <v>3434</v>
      </c>
      <c r="B302" s="268">
        <v>25000</v>
      </c>
      <c r="C302" s="268">
        <v>0</v>
      </c>
      <c r="D302" s="333"/>
      <c r="E302" s="333"/>
      <c r="F302" s="331"/>
      <c r="G302" s="334"/>
      <c r="H302" s="334"/>
      <c r="I302" s="331"/>
      <c r="J302" s="334"/>
      <c r="K302" s="334"/>
      <c r="L302" s="331"/>
      <c r="M302" s="334"/>
      <c r="N302" s="334"/>
      <c r="O302" s="331"/>
      <c r="P302" s="334"/>
      <c r="Q302" s="334"/>
      <c r="R302" s="331"/>
      <c r="S302" s="334"/>
      <c r="T302" s="334"/>
      <c r="U302" s="331"/>
      <c r="V302" s="334"/>
      <c r="W302" s="334"/>
      <c r="X302" s="331"/>
      <c r="Y302" s="334"/>
      <c r="Z302" s="334"/>
      <c r="AA302" s="331"/>
      <c r="AB302" s="334"/>
      <c r="AC302" s="334"/>
      <c r="AD302" s="331"/>
      <c r="AE302" s="334"/>
      <c r="AF302" s="334"/>
      <c r="AG302" s="331"/>
      <c r="AH302" s="334"/>
      <c r="AI302" s="334"/>
      <c r="AJ302" s="331"/>
      <c r="AK302" s="334"/>
      <c r="AL302" s="334"/>
      <c r="AM302" s="331"/>
      <c r="AN302" s="334"/>
      <c r="AO302" s="334"/>
      <c r="AP302" s="331"/>
      <c r="AQ302" s="334"/>
      <c r="AR302" s="334"/>
      <c r="AS302" s="331"/>
      <c r="AT302" s="334"/>
      <c r="AU302" s="334"/>
      <c r="AV302" s="331"/>
      <c r="AW302" s="334"/>
      <c r="AX302" s="334"/>
      <c r="AY302" s="331"/>
      <c r="AZ302" s="334"/>
      <c r="BA302" s="334"/>
      <c r="BB302" s="331"/>
      <c r="BC302" s="334"/>
      <c r="BD302" s="334"/>
      <c r="BE302" s="331"/>
      <c r="BF302" s="334"/>
      <c r="BG302" s="334"/>
      <c r="BH302" s="331"/>
      <c r="BI302" s="334"/>
      <c r="BJ302" s="334"/>
      <c r="BK302" s="331"/>
      <c r="BL302" s="334"/>
      <c r="BM302" s="334"/>
      <c r="BN302" s="331"/>
      <c r="BO302" s="334"/>
      <c r="BP302" s="334"/>
      <c r="BQ302" s="331"/>
      <c r="BR302" s="332"/>
    </row>
    <row r="303" spans="1:70">
      <c r="A303" s="142" t="s">
        <v>4468</v>
      </c>
      <c r="B303" s="268">
        <v>26000</v>
      </c>
      <c r="C303" s="268">
        <v>0</v>
      </c>
      <c r="D303" s="333"/>
      <c r="E303" s="333"/>
      <c r="F303" s="331"/>
      <c r="G303" s="334"/>
      <c r="H303" s="334"/>
      <c r="I303" s="331"/>
      <c r="J303" s="334"/>
      <c r="K303" s="334"/>
      <c r="L303" s="331"/>
      <c r="M303" s="334"/>
      <c r="N303" s="334"/>
      <c r="O303" s="331"/>
      <c r="P303" s="334"/>
      <c r="Q303" s="334"/>
      <c r="R303" s="331"/>
      <c r="S303" s="334"/>
      <c r="T303" s="334"/>
      <c r="U303" s="331"/>
      <c r="V303" s="334"/>
      <c r="W303" s="334"/>
      <c r="X303" s="331"/>
      <c r="Y303" s="334"/>
      <c r="Z303" s="334"/>
      <c r="AA303" s="331"/>
      <c r="AB303" s="334"/>
      <c r="AC303" s="334"/>
      <c r="AD303" s="331"/>
      <c r="AE303" s="334"/>
      <c r="AF303" s="334"/>
      <c r="AG303" s="331"/>
      <c r="AH303" s="334"/>
      <c r="AI303" s="334"/>
      <c r="AJ303" s="331"/>
      <c r="AK303" s="334"/>
      <c r="AL303" s="334"/>
      <c r="AM303" s="331"/>
      <c r="AN303" s="334"/>
      <c r="AO303" s="334"/>
      <c r="AP303" s="331"/>
      <c r="AQ303" s="334"/>
      <c r="AR303" s="334"/>
      <c r="AS303" s="331"/>
      <c r="AT303" s="334"/>
      <c r="AU303" s="334"/>
      <c r="AV303" s="331"/>
      <c r="AW303" s="334"/>
      <c r="AX303" s="334"/>
      <c r="AY303" s="331"/>
      <c r="AZ303" s="334"/>
      <c r="BA303" s="334"/>
      <c r="BB303" s="331"/>
      <c r="BC303" s="334"/>
      <c r="BD303" s="334"/>
      <c r="BE303" s="331"/>
      <c r="BF303" s="334"/>
      <c r="BG303" s="334"/>
      <c r="BH303" s="331"/>
      <c r="BI303" s="334"/>
      <c r="BJ303" s="334"/>
      <c r="BK303" s="331"/>
      <c r="BL303" s="334"/>
      <c r="BM303" s="334"/>
      <c r="BN303" s="331"/>
      <c r="BO303" s="334"/>
      <c r="BP303" s="334"/>
      <c r="BQ303" s="331"/>
      <c r="BR303" s="332"/>
    </row>
    <row r="304" spans="1:70">
      <c r="A304" s="142" t="s">
        <v>3499</v>
      </c>
      <c r="B304" s="268">
        <v>24900</v>
      </c>
      <c r="C304" s="268">
        <v>0</v>
      </c>
      <c r="D304" s="333"/>
      <c r="E304" s="333"/>
      <c r="F304" s="331"/>
      <c r="G304" s="334"/>
      <c r="H304" s="334"/>
      <c r="I304" s="331"/>
      <c r="J304" s="334"/>
      <c r="K304" s="334"/>
      <c r="L304" s="331"/>
      <c r="M304" s="334"/>
      <c r="N304" s="334"/>
      <c r="O304" s="331"/>
      <c r="P304" s="334"/>
      <c r="Q304" s="334"/>
      <c r="R304" s="331"/>
      <c r="S304" s="334"/>
      <c r="T304" s="334"/>
      <c r="U304" s="331"/>
      <c r="V304" s="334"/>
      <c r="W304" s="334"/>
      <c r="X304" s="331"/>
      <c r="Y304" s="334"/>
      <c r="Z304" s="334"/>
      <c r="AA304" s="331"/>
      <c r="AB304" s="334"/>
      <c r="AC304" s="334"/>
      <c r="AD304" s="331"/>
      <c r="AE304" s="334"/>
      <c r="AF304" s="334"/>
      <c r="AG304" s="331"/>
      <c r="AH304" s="334"/>
      <c r="AI304" s="334"/>
      <c r="AJ304" s="331"/>
      <c r="AK304" s="334"/>
      <c r="AL304" s="334"/>
      <c r="AM304" s="331"/>
      <c r="AN304" s="334"/>
      <c r="AO304" s="334"/>
      <c r="AP304" s="331"/>
      <c r="AQ304" s="334"/>
      <c r="AR304" s="334"/>
      <c r="AS304" s="331"/>
      <c r="AT304" s="334"/>
      <c r="AU304" s="334"/>
      <c r="AV304" s="331"/>
      <c r="AW304" s="334"/>
      <c r="AX304" s="334"/>
      <c r="AY304" s="331"/>
      <c r="AZ304" s="334"/>
      <c r="BA304" s="334"/>
      <c r="BB304" s="331"/>
      <c r="BC304" s="334"/>
      <c r="BD304" s="334"/>
      <c r="BE304" s="331"/>
      <c r="BF304" s="334"/>
      <c r="BG304" s="334"/>
      <c r="BH304" s="331"/>
      <c r="BI304" s="334"/>
      <c r="BJ304" s="334"/>
      <c r="BK304" s="331"/>
      <c r="BL304" s="334"/>
      <c r="BM304" s="334"/>
      <c r="BN304" s="331"/>
      <c r="BO304" s="334"/>
      <c r="BP304" s="334"/>
      <c r="BQ304" s="331"/>
      <c r="BR304" s="332"/>
    </row>
    <row r="305" spans="1:70">
      <c r="A305" s="142" t="s">
        <v>3441</v>
      </c>
      <c r="B305" s="268">
        <v>24900</v>
      </c>
      <c r="C305" s="268">
        <v>0</v>
      </c>
      <c r="D305" s="333"/>
      <c r="E305" s="333"/>
      <c r="F305" s="331"/>
      <c r="G305" s="334"/>
      <c r="H305" s="334"/>
      <c r="I305" s="331"/>
      <c r="J305" s="334"/>
      <c r="K305" s="334"/>
      <c r="L305" s="331"/>
      <c r="M305" s="334"/>
      <c r="N305" s="334"/>
      <c r="O305" s="331"/>
      <c r="P305" s="334"/>
      <c r="Q305" s="334"/>
      <c r="R305" s="331"/>
      <c r="S305" s="334"/>
      <c r="T305" s="334"/>
      <c r="U305" s="331"/>
      <c r="V305" s="334"/>
      <c r="W305" s="334"/>
      <c r="X305" s="331"/>
      <c r="Y305" s="334"/>
      <c r="Z305" s="334"/>
      <c r="AA305" s="331"/>
      <c r="AB305" s="334"/>
      <c r="AC305" s="334"/>
      <c r="AD305" s="331"/>
      <c r="AE305" s="334"/>
      <c r="AF305" s="334"/>
      <c r="AG305" s="331"/>
      <c r="AH305" s="334"/>
      <c r="AI305" s="334"/>
      <c r="AJ305" s="331"/>
      <c r="AK305" s="334"/>
      <c r="AL305" s="334"/>
      <c r="AM305" s="331"/>
      <c r="AN305" s="334"/>
      <c r="AO305" s="334"/>
      <c r="AP305" s="331"/>
      <c r="AQ305" s="334"/>
      <c r="AR305" s="334"/>
      <c r="AS305" s="331"/>
      <c r="AT305" s="334"/>
      <c r="AU305" s="334"/>
      <c r="AV305" s="331"/>
      <c r="AW305" s="334"/>
      <c r="AX305" s="334"/>
      <c r="AY305" s="331"/>
      <c r="AZ305" s="334"/>
      <c r="BA305" s="334"/>
      <c r="BB305" s="331"/>
      <c r="BC305" s="334"/>
      <c r="BD305" s="334"/>
      <c r="BE305" s="331"/>
      <c r="BF305" s="334"/>
      <c r="BG305" s="334"/>
      <c r="BH305" s="331"/>
      <c r="BI305" s="334"/>
      <c r="BJ305" s="334"/>
      <c r="BK305" s="331"/>
      <c r="BL305" s="334"/>
      <c r="BM305" s="334"/>
      <c r="BN305" s="331"/>
      <c r="BO305" s="334"/>
      <c r="BP305" s="334"/>
      <c r="BQ305" s="331"/>
      <c r="BR305" s="332"/>
    </row>
    <row r="306" spans="1:70">
      <c r="A306" s="142" t="s">
        <v>3455</v>
      </c>
      <c r="B306" s="268">
        <v>33600</v>
      </c>
      <c r="C306" s="268">
        <v>0</v>
      </c>
      <c r="D306" s="333"/>
      <c r="E306" s="333"/>
      <c r="F306" s="331"/>
      <c r="G306" s="334"/>
      <c r="H306" s="334"/>
      <c r="I306" s="331"/>
      <c r="J306" s="334"/>
      <c r="K306" s="334"/>
      <c r="L306" s="331"/>
      <c r="M306" s="334"/>
      <c r="N306" s="334"/>
      <c r="O306" s="331"/>
      <c r="P306" s="334"/>
      <c r="Q306" s="334"/>
      <c r="R306" s="331"/>
      <c r="S306" s="334"/>
      <c r="T306" s="334"/>
      <c r="U306" s="331"/>
      <c r="V306" s="334"/>
      <c r="W306" s="334"/>
      <c r="X306" s="331"/>
      <c r="Y306" s="334"/>
      <c r="Z306" s="334"/>
      <c r="AA306" s="331"/>
      <c r="AB306" s="334"/>
      <c r="AC306" s="334"/>
      <c r="AD306" s="331"/>
      <c r="AE306" s="334"/>
      <c r="AF306" s="334"/>
      <c r="AG306" s="331"/>
      <c r="AH306" s="334"/>
      <c r="AI306" s="334"/>
      <c r="AJ306" s="331"/>
      <c r="AK306" s="334"/>
      <c r="AL306" s="334"/>
      <c r="AM306" s="331"/>
      <c r="AN306" s="334"/>
      <c r="AO306" s="334"/>
      <c r="AP306" s="331"/>
      <c r="AQ306" s="334"/>
      <c r="AR306" s="334"/>
      <c r="AS306" s="331"/>
      <c r="AT306" s="334"/>
      <c r="AU306" s="334"/>
      <c r="AV306" s="331"/>
      <c r="AW306" s="334"/>
      <c r="AX306" s="334"/>
      <c r="AY306" s="331"/>
      <c r="AZ306" s="334"/>
      <c r="BA306" s="334"/>
      <c r="BB306" s="331"/>
      <c r="BC306" s="334"/>
      <c r="BD306" s="334"/>
      <c r="BE306" s="331"/>
      <c r="BF306" s="334"/>
      <c r="BG306" s="334"/>
      <c r="BH306" s="331"/>
      <c r="BI306" s="334"/>
      <c r="BJ306" s="334"/>
      <c r="BK306" s="331"/>
      <c r="BL306" s="334"/>
      <c r="BM306" s="334"/>
      <c r="BN306" s="331"/>
      <c r="BO306" s="334"/>
      <c r="BP306" s="334"/>
      <c r="BQ306" s="331"/>
      <c r="BR306" s="332"/>
    </row>
    <row r="307" spans="1:70">
      <c r="A307" s="142" t="s">
        <v>3853</v>
      </c>
      <c r="B307" s="268">
        <v>55700</v>
      </c>
      <c r="C307" s="268">
        <v>0</v>
      </c>
      <c r="D307" s="333"/>
      <c r="E307" s="333"/>
      <c r="F307" s="331"/>
      <c r="G307" s="334"/>
      <c r="H307" s="334"/>
      <c r="I307" s="331"/>
      <c r="J307" s="334"/>
      <c r="K307" s="334"/>
      <c r="L307" s="331"/>
      <c r="M307" s="334"/>
      <c r="N307" s="334"/>
      <c r="O307" s="331"/>
      <c r="P307" s="334"/>
      <c r="Q307" s="334"/>
      <c r="R307" s="331"/>
      <c r="S307" s="334"/>
      <c r="T307" s="334"/>
      <c r="U307" s="331"/>
      <c r="V307" s="334"/>
      <c r="W307" s="334"/>
      <c r="X307" s="331"/>
      <c r="Y307" s="334"/>
      <c r="Z307" s="334"/>
      <c r="AA307" s="331"/>
      <c r="AB307" s="334"/>
      <c r="AC307" s="334"/>
      <c r="AD307" s="331"/>
      <c r="AE307" s="334"/>
      <c r="AF307" s="334"/>
      <c r="AG307" s="331"/>
      <c r="AH307" s="334"/>
      <c r="AI307" s="334"/>
      <c r="AJ307" s="331"/>
      <c r="AK307" s="334"/>
      <c r="AL307" s="334"/>
      <c r="AM307" s="331"/>
      <c r="AN307" s="334"/>
      <c r="AO307" s="334"/>
      <c r="AP307" s="331"/>
      <c r="AQ307" s="334"/>
      <c r="AR307" s="334"/>
      <c r="AS307" s="331"/>
      <c r="AT307" s="334"/>
      <c r="AU307" s="334"/>
      <c r="AV307" s="331"/>
      <c r="AW307" s="334"/>
      <c r="AX307" s="334"/>
      <c r="AY307" s="331"/>
      <c r="AZ307" s="334"/>
      <c r="BA307" s="334"/>
      <c r="BB307" s="331"/>
      <c r="BC307" s="334"/>
      <c r="BD307" s="334"/>
      <c r="BE307" s="331"/>
      <c r="BF307" s="334"/>
      <c r="BG307" s="334"/>
      <c r="BH307" s="331"/>
      <c r="BI307" s="334"/>
      <c r="BJ307" s="334"/>
      <c r="BK307" s="331"/>
      <c r="BL307" s="334"/>
      <c r="BM307" s="334"/>
      <c r="BN307" s="331"/>
      <c r="BO307" s="334"/>
      <c r="BP307" s="334"/>
      <c r="BQ307" s="331"/>
      <c r="BR307" s="332"/>
    </row>
    <row r="308" spans="1:70">
      <c r="A308" s="142" t="s">
        <v>3880</v>
      </c>
      <c r="B308" s="268">
        <v>40500</v>
      </c>
      <c r="C308" s="268">
        <v>0</v>
      </c>
      <c r="D308" s="333"/>
      <c r="E308" s="333"/>
      <c r="F308" s="331"/>
      <c r="G308" s="334"/>
      <c r="H308" s="334"/>
      <c r="I308" s="331"/>
      <c r="J308" s="334"/>
      <c r="K308" s="334"/>
      <c r="L308" s="331"/>
      <c r="M308" s="334"/>
      <c r="N308" s="334"/>
      <c r="O308" s="331"/>
      <c r="P308" s="334"/>
      <c r="Q308" s="334"/>
      <c r="R308" s="331"/>
      <c r="S308" s="334"/>
      <c r="T308" s="334"/>
      <c r="U308" s="331"/>
      <c r="V308" s="334"/>
      <c r="W308" s="334"/>
      <c r="X308" s="331"/>
      <c r="Y308" s="334"/>
      <c r="Z308" s="334"/>
      <c r="AA308" s="331"/>
      <c r="AB308" s="334"/>
      <c r="AC308" s="334"/>
      <c r="AD308" s="331"/>
      <c r="AE308" s="334"/>
      <c r="AF308" s="334"/>
      <c r="AG308" s="331"/>
      <c r="AH308" s="334"/>
      <c r="AI308" s="334"/>
      <c r="AJ308" s="331"/>
      <c r="AK308" s="334"/>
      <c r="AL308" s="334"/>
      <c r="AM308" s="331"/>
      <c r="AN308" s="334"/>
      <c r="AO308" s="334"/>
      <c r="AP308" s="331"/>
      <c r="AQ308" s="334"/>
      <c r="AR308" s="334"/>
      <c r="AS308" s="331"/>
      <c r="AT308" s="334"/>
      <c r="AU308" s="334"/>
      <c r="AV308" s="331"/>
      <c r="AW308" s="334"/>
      <c r="AX308" s="334"/>
      <c r="AY308" s="331"/>
      <c r="AZ308" s="334"/>
      <c r="BA308" s="334"/>
      <c r="BB308" s="331"/>
      <c r="BC308" s="334"/>
      <c r="BD308" s="334"/>
      <c r="BE308" s="331"/>
      <c r="BF308" s="334"/>
      <c r="BG308" s="334"/>
      <c r="BH308" s="331"/>
      <c r="BI308" s="334"/>
      <c r="BJ308" s="334"/>
      <c r="BK308" s="331"/>
      <c r="BL308" s="334"/>
      <c r="BM308" s="334"/>
      <c r="BN308" s="331"/>
      <c r="BO308" s="334"/>
      <c r="BP308" s="334"/>
      <c r="BQ308" s="331"/>
      <c r="BR308" s="332"/>
    </row>
    <row r="309" spans="1:70">
      <c r="A309" s="142" t="s">
        <v>3148</v>
      </c>
      <c r="B309" s="268">
        <v>52300</v>
      </c>
      <c r="C309" s="268">
        <v>0</v>
      </c>
      <c r="D309" s="333"/>
      <c r="E309" s="333"/>
      <c r="F309" s="331"/>
      <c r="G309" s="334"/>
      <c r="H309" s="334"/>
      <c r="I309" s="331"/>
      <c r="J309" s="334"/>
      <c r="K309" s="334"/>
      <c r="L309" s="331"/>
      <c r="M309" s="334"/>
      <c r="N309" s="334"/>
      <c r="O309" s="331"/>
      <c r="P309" s="334"/>
      <c r="Q309" s="334"/>
      <c r="R309" s="331"/>
      <c r="S309" s="334"/>
      <c r="T309" s="334"/>
      <c r="U309" s="331"/>
      <c r="V309" s="334"/>
      <c r="W309" s="334"/>
      <c r="X309" s="331"/>
      <c r="Y309" s="334"/>
      <c r="Z309" s="334"/>
      <c r="AA309" s="331"/>
      <c r="AB309" s="334"/>
      <c r="AC309" s="334"/>
      <c r="AD309" s="331"/>
      <c r="AE309" s="334"/>
      <c r="AF309" s="334"/>
      <c r="AG309" s="331"/>
      <c r="AH309" s="334"/>
      <c r="AI309" s="334"/>
      <c r="AJ309" s="331"/>
      <c r="AK309" s="334"/>
      <c r="AL309" s="334"/>
      <c r="AM309" s="331"/>
      <c r="AN309" s="334"/>
      <c r="AO309" s="334"/>
      <c r="AP309" s="331"/>
      <c r="AQ309" s="334"/>
      <c r="AR309" s="334"/>
      <c r="AS309" s="331"/>
      <c r="AT309" s="334"/>
      <c r="AU309" s="334"/>
      <c r="AV309" s="331"/>
      <c r="AW309" s="334"/>
      <c r="AX309" s="334"/>
      <c r="AY309" s="331"/>
      <c r="AZ309" s="334"/>
      <c r="BA309" s="334"/>
      <c r="BB309" s="331"/>
      <c r="BC309" s="334"/>
      <c r="BD309" s="334"/>
      <c r="BE309" s="331"/>
      <c r="BF309" s="334"/>
      <c r="BG309" s="334"/>
      <c r="BH309" s="331"/>
      <c r="BI309" s="334"/>
      <c r="BJ309" s="334"/>
      <c r="BK309" s="331"/>
      <c r="BL309" s="334"/>
      <c r="BM309" s="334"/>
      <c r="BN309" s="331"/>
      <c r="BO309" s="334"/>
      <c r="BP309" s="334"/>
      <c r="BQ309" s="331"/>
      <c r="BR309" s="332"/>
    </row>
    <row r="310" spans="1:70">
      <c r="A310" s="142" t="s">
        <v>2978</v>
      </c>
      <c r="B310" s="268">
        <v>24200</v>
      </c>
      <c r="C310" s="268">
        <v>0</v>
      </c>
      <c r="D310" s="333"/>
      <c r="E310" s="333"/>
      <c r="F310" s="331"/>
      <c r="G310" s="334"/>
      <c r="H310" s="334"/>
      <c r="I310" s="331"/>
      <c r="J310" s="334"/>
      <c r="K310" s="334"/>
      <c r="L310" s="331"/>
      <c r="M310" s="334"/>
      <c r="N310" s="334"/>
      <c r="O310" s="331"/>
      <c r="P310" s="334"/>
      <c r="Q310" s="334"/>
      <c r="R310" s="331"/>
      <c r="S310" s="334"/>
      <c r="T310" s="334"/>
      <c r="U310" s="331"/>
      <c r="V310" s="334"/>
      <c r="W310" s="334"/>
      <c r="X310" s="331"/>
      <c r="Y310" s="334"/>
      <c r="Z310" s="334"/>
      <c r="AA310" s="331"/>
      <c r="AB310" s="334"/>
      <c r="AC310" s="334"/>
      <c r="AD310" s="331"/>
      <c r="AE310" s="334"/>
      <c r="AF310" s="334"/>
      <c r="AG310" s="331"/>
      <c r="AH310" s="334"/>
      <c r="AI310" s="334"/>
      <c r="AJ310" s="331"/>
      <c r="AK310" s="334"/>
      <c r="AL310" s="334"/>
      <c r="AM310" s="331"/>
      <c r="AN310" s="334"/>
      <c r="AO310" s="334"/>
      <c r="AP310" s="331"/>
      <c r="AQ310" s="334"/>
      <c r="AR310" s="334"/>
      <c r="AS310" s="331"/>
      <c r="AT310" s="334"/>
      <c r="AU310" s="334"/>
      <c r="AV310" s="331"/>
      <c r="AW310" s="334"/>
      <c r="AX310" s="334"/>
      <c r="AY310" s="331"/>
      <c r="AZ310" s="334"/>
      <c r="BA310" s="334"/>
      <c r="BB310" s="331"/>
      <c r="BC310" s="334"/>
      <c r="BD310" s="334"/>
      <c r="BE310" s="331"/>
      <c r="BF310" s="334"/>
      <c r="BG310" s="334"/>
      <c r="BH310" s="331"/>
      <c r="BI310" s="334"/>
      <c r="BJ310" s="334"/>
      <c r="BK310" s="331"/>
      <c r="BL310" s="334"/>
      <c r="BM310" s="334"/>
      <c r="BN310" s="331"/>
      <c r="BO310" s="334"/>
      <c r="BP310" s="334"/>
      <c r="BQ310" s="331"/>
      <c r="BR310" s="332"/>
    </row>
    <row r="311" spans="1:70">
      <c r="A311" s="142" t="s">
        <v>2993</v>
      </c>
      <c r="B311" s="268">
        <v>24100</v>
      </c>
      <c r="C311" s="268">
        <v>0</v>
      </c>
      <c r="D311" s="333"/>
      <c r="E311" s="333"/>
      <c r="F311" s="331"/>
      <c r="G311" s="334"/>
      <c r="H311" s="334"/>
      <c r="I311" s="331"/>
      <c r="J311" s="334"/>
      <c r="K311" s="334"/>
      <c r="L311" s="331"/>
      <c r="M311" s="334"/>
      <c r="N311" s="334"/>
      <c r="O311" s="331"/>
      <c r="P311" s="334"/>
      <c r="Q311" s="334"/>
      <c r="R311" s="331"/>
      <c r="S311" s="334"/>
      <c r="T311" s="334"/>
      <c r="U311" s="331"/>
      <c r="V311" s="334"/>
      <c r="W311" s="334"/>
      <c r="X311" s="331"/>
      <c r="Y311" s="334"/>
      <c r="Z311" s="334"/>
      <c r="AA311" s="331"/>
      <c r="AB311" s="334"/>
      <c r="AC311" s="334"/>
      <c r="AD311" s="331"/>
      <c r="AE311" s="334"/>
      <c r="AF311" s="334"/>
      <c r="AG311" s="331"/>
      <c r="AH311" s="334"/>
      <c r="AI311" s="334"/>
      <c r="AJ311" s="331"/>
      <c r="AK311" s="334"/>
      <c r="AL311" s="334"/>
      <c r="AM311" s="331"/>
      <c r="AN311" s="334"/>
      <c r="AO311" s="334"/>
      <c r="AP311" s="331"/>
      <c r="AQ311" s="334"/>
      <c r="AR311" s="334"/>
      <c r="AS311" s="331"/>
      <c r="AT311" s="334"/>
      <c r="AU311" s="334"/>
      <c r="AV311" s="331"/>
      <c r="AW311" s="334"/>
      <c r="AX311" s="334"/>
      <c r="AY311" s="331"/>
      <c r="AZ311" s="334"/>
      <c r="BA311" s="334"/>
      <c r="BB311" s="331"/>
      <c r="BC311" s="334"/>
      <c r="BD311" s="334"/>
      <c r="BE311" s="331"/>
      <c r="BF311" s="334"/>
      <c r="BG311" s="334"/>
      <c r="BH311" s="331"/>
      <c r="BI311" s="334"/>
      <c r="BJ311" s="334"/>
      <c r="BK311" s="331"/>
      <c r="BL311" s="334"/>
      <c r="BM311" s="334"/>
      <c r="BN311" s="331"/>
      <c r="BO311" s="334"/>
      <c r="BP311" s="334"/>
      <c r="BQ311" s="331"/>
      <c r="BR311" s="332"/>
    </row>
    <row r="312" spans="1:70">
      <c r="A312" s="142" t="s">
        <v>2965</v>
      </c>
      <c r="B312" s="268">
        <v>23900</v>
      </c>
      <c r="C312" s="268">
        <v>0</v>
      </c>
      <c r="D312" s="333"/>
      <c r="E312" s="333"/>
      <c r="F312" s="331"/>
      <c r="G312" s="334"/>
      <c r="H312" s="334"/>
      <c r="I312" s="331"/>
      <c r="J312" s="334"/>
      <c r="K312" s="334"/>
      <c r="L312" s="331"/>
      <c r="M312" s="334"/>
      <c r="N312" s="334"/>
      <c r="O312" s="331"/>
      <c r="P312" s="334"/>
      <c r="Q312" s="334"/>
      <c r="R312" s="331"/>
      <c r="S312" s="334"/>
      <c r="T312" s="334"/>
      <c r="U312" s="331"/>
      <c r="V312" s="334"/>
      <c r="W312" s="334"/>
      <c r="X312" s="331"/>
      <c r="Y312" s="334"/>
      <c r="Z312" s="334"/>
      <c r="AA312" s="331"/>
      <c r="AB312" s="334"/>
      <c r="AC312" s="334"/>
      <c r="AD312" s="331"/>
      <c r="AE312" s="334"/>
      <c r="AF312" s="334"/>
      <c r="AG312" s="331"/>
      <c r="AH312" s="334"/>
      <c r="AI312" s="334"/>
      <c r="AJ312" s="331"/>
      <c r="AK312" s="334"/>
      <c r="AL312" s="334"/>
      <c r="AM312" s="331"/>
      <c r="AN312" s="334"/>
      <c r="AO312" s="334"/>
      <c r="AP312" s="331"/>
      <c r="AQ312" s="334"/>
      <c r="AR312" s="334"/>
      <c r="AS312" s="331"/>
      <c r="AT312" s="334"/>
      <c r="AU312" s="334"/>
      <c r="AV312" s="331"/>
      <c r="AW312" s="334"/>
      <c r="AX312" s="334"/>
      <c r="AY312" s="331"/>
      <c r="AZ312" s="334"/>
      <c r="BA312" s="334"/>
      <c r="BB312" s="331"/>
      <c r="BC312" s="334"/>
      <c r="BD312" s="334"/>
      <c r="BE312" s="331"/>
      <c r="BF312" s="334"/>
      <c r="BG312" s="334"/>
      <c r="BH312" s="331"/>
      <c r="BI312" s="334"/>
      <c r="BJ312" s="334"/>
      <c r="BK312" s="331"/>
      <c r="BL312" s="334"/>
      <c r="BM312" s="334"/>
      <c r="BN312" s="331"/>
      <c r="BO312" s="334"/>
      <c r="BP312" s="334"/>
      <c r="BQ312" s="331"/>
      <c r="BR312" s="332"/>
    </row>
    <row r="313" spans="1:70">
      <c r="A313" s="142" t="s">
        <v>3000</v>
      </c>
      <c r="B313" s="268">
        <v>24000</v>
      </c>
      <c r="C313" s="268">
        <v>0</v>
      </c>
      <c r="D313" s="333"/>
      <c r="E313" s="333"/>
      <c r="F313" s="331"/>
      <c r="G313" s="334"/>
      <c r="H313" s="334"/>
      <c r="I313" s="331"/>
      <c r="J313" s="334"/>
      <c r="K313" s="334"/>
      <c r="L313" s="331"/>
      <c r="M313" s="334"/>
      <c r="N313" s="334"/>
      <c r="O313" s="331"/>
      <c r="P313" s="334"/>
      <c r="Q313" s="334"/>
      <c r="R313" s="331"/>
      <c r="S313" s="334"/>
      <c r="T313" s="334"/>
      <c r="U313" s="331"/>
      <c r="V313" s="334"/>
      <c r="W313" s="334"/>
      <c r="X313" s="331"/>
      <c r="Y313" s="334"/>
      <c r="Z313" s="334"/>
      <c r="AA313" s="331"/>
      <c r="AB313" s="334"/>
      <c r="AC313" s="334"/>
      <c r="AD313" s="331"/>
      <c r="AE313" s="334"/>
      <c r="AF313" s="334"/>
      <c r="AG313" s="331"/>
      <c r="AH313" s="334"/>
      <c r="AI313" s="334"/>
      <c r="AJ313" s="331"/>
      <c r="AK313" s="334"/>
      <c r="AL313" s="334"/>
      <c r="AM313" s="331"/>
      <c r="AN313" s="334"/>
      <c r="AO313" s="334"/>
      <c r="AP313" s="331"/>
      <c r="AQ313" s="334"/>
      <c r="AR313" s="334"/>
      <c r="AS313" s="331"/>
      <c r="AT313" s="334"/>
      <c r="AU313" s="334"/>
      <c r="AV313" s="331"/>
      <c r="AW313" s="334"/>
      <c r="AX313" s="334"/>
      <c r="AY313" s="331"/>
      <c r="AZ313" s="334"/>
      <c r="BA313" s="334"/>
      <c r="BB313" s="331"/>
      <c r="BC313" s="334"/>
      <c r="BD313" s="334"/>
      <c r="BE313" s="331"/>
      <c r="BF313" s="334"/>
      <c r="BG313" s="334"/>
      <c r="BH313" s="331"/>
      <c r="BI313" s="334"/>
      <c r="BJ313" s="334"/>
      <c r="BK313" s="331"/>
      <c r="BL313" s="334"/>
      <c r="BM313" s="334"/>
      <c r="BN313" s="331"/>
      <c r="BO313" s="334"/>
      <c r="BP313" s="334"/>
      <c r="BQ313" s="331"/>
      <c r="BR313" s="332"/>
    </row>
    <row r="314" spans="1:70">
      <c r="A314" s="142" t="s">
        <v>3482</v>
      </c>
      <c r="B314" s="268">
        <v>12800</v>
      </c>
      <c r="C314" s="268">
        <v>0</v>
      </c>
      <c r="D314" s="333"/>
      <c r="E314" s="333"/>
      <c r="F314" s="331"/>
      <c r="G314" s="334"/>
      <c r="H314" s="334"/>
      <c r="I314" s="331"/>
      <c r="J314" s="334"/>
      <c r="K314" s="334"/>
      <c r="L314" s="331"/>
      <c r="M314" s="334"/>
      <c r="N314" s="334"/>
      <c r="O314" s="331"/>
      <c r="P314" s="334"/>
      <c r="Q314" s="334"/>
      <c r="R314" s="331"/>
      <c r="S314" s="334"/>
      <c r="T314" s="334"/>
      <c r="U314" s="331"/>
      <c r="V314" s="334"/>
      <c r="W314" s="334"/>
      <c r="X314" s="331"/>
      <c r="Y314" s="334"/>
      <c r="Z314" s="334"/>
      <c r="AA314" s="331"/>
      <c r="AB314" s="334"/>
      <c r="AC314" s="334"/>
      <c r="AD314" s="331"/>
      <c r="AE314" s="334"/>
      <c r="AF314" s="334"/>
      <c r="AG314" s="331"/>
      <c r="AH314" s="334"/>
      <c r="AI314" s="334"/>
      <c r="AJ314" s="331"/>
      <c r="AK314" s="334"/>
      <c r="AL314" s="334"/>
      <c r="AM314" s="331"/>
      <c r="AN314" s="334"/>
      <c r="AO314" s="334"/>
      <c r="AP314" s="331"/>
      <c r="AQ314" s="334"/>
      <c r="AR314" s="334"/>
      <c r="AS314" s="331"/>
      <c r="AT314" s="334"/>
      <c r="AU314" s="334"/>
      <c r="AV314" s="331"/>
      <c r="AW314" s="334"/>
      <c r="AX314" s="334"/>
      <c r="AY314" s="331"/>
      <c r="AZ314" s="334"/>
      <c r="BA314" s="334"/>
      <c r="BB314" s="331"/>
      <c r="BC314" s="334"/>
      <c r="BD314" s="334"/>
      <c r="BE314" s="331"/>
      <c r="BF314" s="334"/>
      <c r="BG314" s="334"/>
      <c r="BH314" s="331"/>
      <c r="BI314" s="334"/>
      <c r="BJ314" s="334"/>
      <c r="BK314" s="331"/>
      <c r="BL314" s="334"/>
      <c r="BM314" s="334"/>
      <c r="BN314" s="331"/>
      <c r="BO314" s="334"/>
      <c r="BP314" s="334"/>
      <c r="BQ314" s="331"/>
      <c r="BR314" s="332"/>
    </row>
    <row r="315" spans="1:70">
      <c r="A315" s="142" t="s">
        <v>2958</v>
      </c>
      <c r="B315" s="268">
        <v>26000</v>
      </c>
      <c r="C315" s="268">
        <v>0</v>
      </c>
      <c r="D315" s="333"/>
      <c r="E315" s="333"/>
      <c r="F315" s="331"/>
      <c r="G315" s="334"/>
      <c r="H315" s="334"/>
      <c r="I315" s="331"/>
      <c r="J315" s="334"/>
      <c r="K315" s="334"/>
      <c r="L315" s="331"/>
      <c r="M315" s="334"/>
      <c r="N315" s="334"/>
      <c r="O315" s="331"/>
      <c r="P315" s="334"/>
      <c r="Q315" s="334"/>
      <c r="R315" s="331"/>
      <c r="S315" s="334"/>
      <c r="T315" s="334"/>
      <c r="U315" s="331"/>
      <c r="V315" s="334"/>
      <c r="W315" s="334"/>
      <c r="X315" s="331"/>
      <c r="Y315" s="334"/>
      <c r="Z315" s="334"/>
      <c r="AA315" s="331"/>
      <c r="AB315" s="334"/>
      <c r="AC315" s="334"/>
      <c r="AD315" s="331"/>
      <c r="AE315" s="334"/>
      <c r="AF315" s="334"/>
      <c r="AG315" s="331"/>
      <c r="AH315" s="334"/>
      <c r="AI315" s="334"/>
      <c r="AJ315" s="331"/>
      <c r="AK315" s="334"/>
      <c r="AL315" s="334"/>
      <c r="AM315" s="331"/>
      <c r="AN315" s="334"/>
      <c r="AO315" s="334"/>
      <c r="AP315" s="331"/>
      <c r="AQ315" s="334"/>
      <c r="AR315" s="334"/>
      <c r="AS315" s="331"/>
      <c r="AT315" s="334"/>
      <c r="AU315" s="334"/>
      <c r="AV315" s="331"/>
      <c r="AW315" s="334"/>
      <c r="AX315" s="334"/>
      <c r="AY315" s="331"/>
      <c r="AZ315" s="334"/>
      <c r="BA315" s="334"/>
      <c r="BB315" s="331"/>
      <c r="BC315" s="334"/>
      <c r="BD315" s="334"/>
      <c r="BE315" s="331"/>
      <c r="BF315" s="334"/>
      <c r="BG315" s="334"/>
      <c r="BH315" s="331"/>
      <c r="BI315" s="334"/>
      <c r="BJ315" s="334"/>
      <c r="BK315" s="331"/>
      <c r="BL315" s="334"/>
      <c r="BM315" s="334"/>
      <c r="BN315" s="331"/>
      <c r="BO315" s="334"/>
      <c r="BP315" s="334"/>
      <c r="BQ315" s="331"/>
      <c r="BR315" s="332"/>
    </row>
    <row r="316" spans="1:70">
      <c r="A316" s="142" t="s">
        <v>2945</v>
      </c>
      <c r="B316" s="268">
        <v>24200</v>
      </c>
      <c r="C316" s="268">
        <v>0</v>
      </c>
      <c r="D316" s="333"/>
      <c r="E316" s="333"/>
      <c r="F316" s="331"/>
      <c r="G316" s="334"/>
      <c r="H316" s="334"/>
      <c r="I316" s="331"/>
      <c r="J316" s="334"/>
      <c r="K316" s="334"/>
      <c r="L316" s="331"/>
      <c r="M316" s="334"/>
      <c r="N316" s="334"/>
      <c r="O316" s="331"/>
      <c r="P316" s="334"/>
      <c r="Q316" s="334"/>
      <c r="R316" s="331"/>
      <c r="S316" s="334"/>
      <c r="T316" s="334"/>
      <c r="U316" s="331"/>
      <c r="V316" s="334"/>
      <c r="W316" s="334"/>
      <c r="X316" s="331"/>
      <c r="Y316" s="334"/>
      <c r="Z316" s="334"/>
      <c r="AA316" s="331"/>
      <c r="AB316" s="334"/>
      <c r="AC316" s="334"/>
      <c r="AD316" s="331"/>
      <c r="AE316" s="334"/>
      <c r="AF316" s="334"/>
      <c r="AG316" s="331"/>
      <c r="AH316" s="334"/>
      <c r="AI316" s="334"/>
      <c r="AJ316" s="331"/>
      <c r="AK316" s="334"/>
      <c r="AL316" s="334"/>
      <c r="AM316" s="331"/>
      <c r="AN316" s="334"/>
      <c r="AO316" s="334"/>
      <c r="AP316" s="331"/>
      <c r="AQ316" s="334"/>
      <c r="AR316" s="334"/>
      <c r="AS316" s="331"/>
      <c r="AT316" s="334"/>
      <c r="AU316" s="334"/>
      <c r="AV316" s="331"/>
      <c r="AW316" s="334"/>
      <c r="AX316" s="334"/>
      <c r="AY316" s="331"/>
      <c r="AZ316" s="334"/>
      <c r="BA316" s="334"/>
      <c r="BB316" s="331"/>
      <c r="BC316" s="334"/>
      <c r="BD316" s="334"/>
      <c r="BE316" s="331"/>
      <c r="BF316" s="334"/>
      <c r="BG316" s="334"/>
      <c r="BH316" s="331"/>
      <c r="BI316" s="334"/>
      <c r="BJ316" s="334"/>
      <c r="BK316" s="331"/>
      <c r="BL316" s="334"/>
      <c r="BM316" s="334"/>
      <c r="BN316" s="331"/>
      <c r="BO316" s="334"/>
      <c r="BP316" s="334"/>
      <c r="BQ316" s="331"/>
      <c r="BR316" s="332"/>
    </row>
    <row r="317" spans="1:70">
      <c r="A317" s="142" t="s">
        <v>2951</v>
      </c>
      <c r="B317" s="268">
        <v>26000</v>
      </c>
      <c r="C317" s="268">
        <v>0</v>
      </c>
      <c r="D317" s="333"/>
      <c r="E317" s="333"/>
      <c r="F317" s="331"/>
      <c r="G317" s="334"/>
      <c r="H317" s="334"/>
      <c r="I317" s="331"/>
      <c r="J317" s="334"/>
      <c r="K317" s="334"/>
      <c r="L317" s="331"/>
      <c r="M317" s="334"/>
      <c r="N317" s="334"/>
      <c r="O317" s="331"/>
      <c r="P317" s="334"/>
      <c r="Q317" s="334"/>
      <c r="R317" s="331"/>
      <c r="S317" s="334"/>
      <c r="T317" s="334"/>
      <c r="U317" s="331"/>
      <c r="V317" s="334"/>
      <c r="W317" s="334"/>
      <c r="X317" s="331"/>
      <c r="Y317" s="334"/>
      <c r="Z317" s="334"/>
      <c r="AA317" s="331"/>
      <c r="AB317" s="334"/>
      <c r="AC317" s="334"/>
      <c r="AD317" s="331"/>
      <c r="AE317" s="334"/>
      <c r="AF317" s="334"/>
      <c r="AG317" s="331"/>
      <c r="AH317" s="334"/>
      <c r="AI317" s="334"/>
      <c r="AJ317" s="331"/>
      <c r="AK317" s="334"/>
      <c r="AL317" s="334"/>
      <c r="AM317" s="331"/>
      <c r="AN317" s="334"/>
      <c r="AO317" s="334"/>
      <c r="AP317" s="331"/>
      <c r="AQ317" s="334"/>
      <c r="AR317" s="334"/>
      <c r="AS317" s="331"/>
      <c r="AT317" s="334"/>
      <c r="AU317" s="334"/>
      <c r="AV317" s="331"/>
      <c r="AW317" s="334"/>
      <c r="AX317" s="334"/>
      <c r="AY317" s="331"/>
      <c r="AZ317" s="334"/>
      <c r="BA317" s="334"/>
      <c r="BB317" s="331"/>
      <c r="BC317" s="334"/>
      <c r="BD317" s="334"/>
      <c r="BE317" s="331"/>
      <c r="BF317" s="334"/>
      <c r="BG317" s="334"/>
      <c r="BH317" s="331"/>
      <c r="BI317" s="334"/>
      <c r="BJ317" s="334"/>
      <c r="BK317" s="331"/>
      <c r="BL317" s="334"/>
      <c r="BM317" s="334"/>
      <c r="BN317" s="331"/>
      <c r="BO317" s="334"/>
      <c r="BP317" s="334"/>
      <c r="BQ317" s="331"/>
      <c r="BR317" s="332"/>
    </row>
    <row r="318" spans="1:70">
      <c r="A318" s="142" t="s">
        <v>2927</v>
      </c>
      <c r="B318" s="268">
        <v>16900</v>
      </c>
      <c r="C318" s="268">
        <v>0</v>
      </c>
      <c r="D318" s="333"/>
      <c r="E318" s="333"/>
      <c r="F318" s="331"/>
      <c r="G318" s="334"/>
      <c r="H318" s="334"/>
      <c r="I318" s="331"/>
      <c r="J318" s="334"/>
      <c r="K318" s="334"/>
      <c r="L318" s="331"/>
      <c r="M318" s="334"/>
      <c r="N318" s="334"/>
      <c r="O318" s="331"/>
      <c r="P318" s="334"/>
      <c r="Q318" s="334"/>
      <c r="R318" s="331"/>
      <c r="S318" s="334"/>
      <c r="T318" s="334"/>
      <c r="U318" s="331"/>
      <c r="V318" s="334"/>
      <c r="W318" s="334"/>
      <c r="X318" s="331"/>
      <c r="Y318" s="334"/>
      <c r="Z318" s="334"/>
      <c r="AA318" s="331"/>
      <c r="AB318" s="334"/>
      <c r="AC318" s="334"/>
      <c r="AD318" s="331"/>
      <c r="AE318" s="334"/>
      <c r="AF318" s="334"/>
      <c r="AG318" s="331"/>
      <c r="AH318" s="334"/>
      <c r="AI318" s="334"/>
      <c r="AJ318" s="331"/>
      <c r="AK318" s="334"/>
      <c r="AL318" s="334"/>
      <c r="AM318" s="331"/>
      <c r="AN318" s="334"/>
      <c r="AO318" s="334"/>
      <c r="AP318" s="331"/>
      <c r="AQ318" s="334"/>
      <c r="AR318" s="334"/>
      <c r="AS318" s="331"/>
      <c r="AT318" s="334"/>
      <c r="AU318" s="334"/>
      <c r="AV318" s="331"/>
      <c r="AW318" s="334"/>
      <c r="AX318" s="334"/>
      <c r="AY318" s="331"/>
      <c r="AZ318" s="334"/>
      <c r="BA318" s="334"/>
      <c r="BB318" s="331"/>
      <c r="BC318" s="334"/>
      <c r="BD318" s="334"/>
      <c r="BE318" s="331"/>
      <c r="BF318" s="334"/>
      <c r="BG318" s="334"/>
      <c r="BH318" s="331"/>
      <c r="BI318" s="334"/>
      <c r="BJ318" s="334"/>
      <c r="BK318" s="331"/>
      <c r="BL318" s="334"/>
      <c r="BM318" s="334"/>
      <c r="BN318" s="331"/>
      <c r="BO318" s="334"/>
      <c r="BP318" s="334"/>
      <c r="BQ318" s="331"/>
      <c r="BR318" s="332"/>
    </row>
    <row r="319" spans="1:70">
      <c r="A319" s="142" t="s">
        <v>2972</v>
      </c>
      <c r="B319" s="268">
        <v>23300</v>
      </c>
      <c r="C319" s="268">
        <v>0</v>
      </c>
      <c r="D319" s="333"/>
      <c r="E319" s="333"/>
      <c r="F319" s="331"/>
      <c r="G319" s="334"/>
      <c r="H319" s="334"/>
      <c r="I319" s="331"/>
      <c r="J319" s="334"/>
      <c r="K319" s="334"/>
      <c r="L319" s="331"/>
      <c r="M319" s="334"/>
      <c r="N319" s="334"/>
      <c r="O319" s="331"/>
      <c r="P319" s="334"/>
      <c r="Q319" s="334"/>
      <c r="R319" s="331"/>
      <c r="S319" s="334"/>
      <c r="T319" s="334"/>
      <c r="U319" s="331"/>
      <c r="V319" s="334"/>
      <c r="W319" s="334"/>
      <c r="X319" s="331"/>
      <c r="Y319" s="334"/>
      <c r="Z319" s="334"/>
      <c r="AA319" s="331"/>
      <c r="AB319" s="334"/>
      <c r="AC319" s="334"/>
      <c r="AD319" s="331"/>
      <c r="AE319" s="334"/>
      <c r="AF319" s="334"/>
      <c r="AG319" s="331"/>
      <c r="AH319" s="334"/>
      <c r="AI319" s="334"/>
      <c r="AJ319" s="331"/>
      <c r="AK319" s="334"/>
      <c r="AL319" s="334"/>
      <c r="AM319" s="331"/>
      <c r="AN319" s="334"/>
      <c r="AO319" s="334"/>
      <c r="AP319" s="331"/>
      <c r="AQ319" s="334"/>
      <c r="AR319" s="334"/>
      <c r="AS319" s="331"/>
      <c r="AT319" s="334"/>
      <c r="AU319" s="334"/>
      <c r="AV319" s="331"/>
      <c r="AW319" s="334"/>
      <c r="AX319" s="334"/>
      <c r="AY319" s="331"/>
      <c r="AZ319" s="334"/>
      <c r="BA319" s="334"/>
      <c r="BB319" s="331"/>
      <c r="BC319" s="334"/>
      <c r="BD319" s="334"/>
      <c r="BE319" s="331"/>
      <c r="BF319" s="334"/>
      <c r="BG319" s="334"/>
      <c r="BH319" s="331"/>
      <c r="BI319" s="334"/>
      <c r="BJ319" s="334"/>
      <c r="BK319" s="331"/>
      <c r="BL319" s="334"/>
      <c r="BM319" s="334"/>
      <c r="BN319" s="331"/>
      <c r="BO319" s="334"/>
      <c r="BP319" s="334"/>
      <c r="BQ319" s="331"/>
      <c r="BR319" s="332"/>
    </row>
    <row r="320" spans="1:70">
      <c r="A320" s="142" t="s">
        <v>3904</v>
      </c>
      <c r="B320" s="268">
        <v>21300</v>
      </c>
      <c r="C320" s="268">
        <v>0</v>
      </c>
      <c r="D320" s="333"/>
      <c r="E320" s="333"/>
      <c r="F320" s="331"/>
      <c r="G320" s="334"/>
      <c r="H320" s="334"/>
      <c r="I320" s="331"/>
      <c r="J320" s="334"/>
      <c r="K320" s="334"/>
      <c r="L320" s="331"/>
      <c r="M320" s="334"/>
      <c r="N320" s="334"/>
      <c r="O320" s="331"/>
      <c r="P320" s="334"/>
      <c r="Q320" s="334"/>
      <c r="R320" s="331"/>
      <c r="S320" s="334"/>
      <c r="T320" s="334"/>
      <c r="U320" s="331"/>
      <c r="V320" s="334"/>
      <c r="W320" s="334"/>
      <c r="X320" s="331"/>
      <c r="Y320" s="334"/>
      <c r="Z320" s="334"/>
      <c r="AA320" s="331"/>
      <c r="AB320" s="334"/>
      <c r="AC320" s="334"/>
      <c r="AD320" s="331"/>
      <c r="AE320" s="334"/>
      <c r="AF320" s="334"/>
      <c r="AG320" s="331"/>
      <c r="AH320" s="334"/>
      <c r="AI320" s="334"/>
      <c r="AJ320" s="331"/>
      <c r="AK320" s="334"/>
      <c r="AL320" s="334"/>
      <c r="AM320" s="331"/>
      <c r="AN320" s="334"/>
      <c r="AO320" s="334"/>
      <c r="AP320" s="331"/>
      <c r="AQ320" s="334"/>
      <c r="AR320" s="334"/>
      <c r="AS320" s="331"/>
      <c r="AT320" s="334"/>
      <c r="AU320" s="334"/>
      <c r="AV320" s="331"/>
      <c r="AW320" s="334"/>
      <c r="AX320" s="334"/>
      <c r="AY320" s="331"/>
      <c r="AZ320" s="334"/>
      <c r="BA320" s="334"/>
      <c r="BB320" s="331"/>
      <c r="BC320" s="334"/>
      <c r="BD320" s="334"/>
      <c r="BE320" s="331"/>
      <c r="BF320" s="334"/>
      <c r="BG320" s="334"/>
      <c r="BH320" s="331"/>
      <c r="BI320" s="334"/>
      <c r="BJ320" s="334"/>
      <c r="BK320" s="331"/>
      <c r="BL320" s="334"/>
      <c r="BM320" s="334"/>
      <c r="BN320" s="331"/>
      <c r="BO320" s="334"/>
      <c r="BP320" s="334"/>
      <c r="BQ320" s="331"/>
      <c r="BR320" s="332"/>
    </row>
    <row r="321" spans="1:70">
      <c r="A321" s="142" t="s">
        <v>3356</v>
      </c>
      <c r="B321" s="268">
        <v>15700</v>
      </c>
      <c r="C321" s="268">
        <v>0</v>
      </c>
      <c r="D321" s="333"/>
      <c r="E321" s="333"/>
      <c r="F321" s="331"/>
      <c r="G321" s="334"/>
      <c r="H321" s="334"/>
      <c r="I321" s="331"/>
      <c r="J321" s="334"/>
      <c r="K321" s="334"/>
      <c r="L321" s="331"/>
      <c r="M321" s="334"/>
      <c r="N321" s="334"/>
      <c r="O321" s="331"/>
      <c r="P321" s="334"/>
      <c r="Q321" s="334"/>
      <c r="R321" s="331"/>
      <c r="S321" s="334"/>
      <c r="T321" s="334"/>
      <c r="U321" s="331"/>
      <c r="V321" s="334"/>
      <c r="W321" s="334"/>
      <c r="X321" s="331"/>
      <c r="Y321" s="334"/>
      <c r="Z321" s="334"/>
      <c r="AA321" s="331"/>
      <c r="AB321" s="334"/>
      <c r="AC321" s="334"/>
      <c r="AD321" s="331"/>
      <c r="AE321" s="334"/>
      <c r="AF321" s="334"/>
      <c r="AG321" s="331"/>
      <c r="AH321" s="334"/>
      <c r="AI321" s="334"/>
      <c r="AJ321" s="331"/>
      <c r="AK321" s="334"/>
      <c r="AL321" s="334"/>
      <c r="AM321" s="331"/>
      <c r="AN321" s="334"/>
      <c r="AO321" s="334"/>
      <c r="AP321" s="331"/>
      <c r="AQ321" s="334"/>
      <c r="AR321" s="334"/>
      <c r="AS321" s="331"/>
      <c r="AT321" s="334"/>
      <c r="AU321" s="334"/>
      <c r="AV321" s="331"/>
      <c r="AW321" s="334"/>
      <c r="AX321" s="334"/>
      <c r="AY321" s="331"/>
      <c r="AZ321" s="334"/>
      <c r="BA321" s="334"/>
      <c r="BB321" s="331"/>
      <c r="BC321" s="334"/>
      <c r="BD321" s="334"/>
      <c r="BE321" s="331"/>
      <c r="BF321" s="334"/>
      <c r="BG321" s="334"/>
      <c r="BH321" s="331"/>
      <c r="BI321" s="334"/>
      <c r="BJ321" s="334"/>
      <c r="BK321" s="331"/>
      <c r="BL321" s="334"/>
      <c r="BM321" s="334"/>
      <c r="BN321" s="331"/>
      <c r="BO321" s="334"/>
      <c r="BP321" s="334"/>
      <c r="BQ321" s="331"/>
      <c r="BR321" s="332"/>
    </row>
    <row r="322" spans="1:70">
      <c r="A322" s="142" t="s">
        <v>3362</v>
      </c>
      <c r="B322" s="268">
        <v>15900</v>
      </c>
      <c r="C322" s="268">
        <v>0</v>
      </c>
      <c r="D322" s="333"/>
      <c r="E322" s="333"/>
      <c r="F322" s="331"/>
      <c r="G322" s="334"/>
      <c r="H322" s="334"/>
      <c r="I322" s="331"/>
      <c r="J322" s="334"/>
      <c r="K322" s="334"/>
      <c r="L322" s="331"/>
      <c r="M322" s="334"/>
      <c r="N322" s="334"/>
      <c r="O322" s="331"/>
      <c r="P322" s="334"/>
      <c r="Q322" s="334"/>
      <c r="R322" s="331"/>
      <c r="S322" s="334"/>
      <c r="T322" s="334"/>
      <c r="U322" s="331"/>
      <c r="V322" s="334"/>
      <c r="W322" s="334"/>
      <c r="X322" s="331"/>
      <c r="Y322" s="334"/>
      <c r="Z322" s="334"/>
      <c r="AA322" s="331"/>
      <c r="AB322" s="334"/>
      <c r="AC322" s="334"/>
      <c r="AD322" s="331"/>
      <c r="AE322" s="334"/>
      <c r="AF322" s="334"/>
      <c r="AG322" s="331"/>
      <c r="AH322" s="334"/>
      <c r="AI322" s="334"/>
      <c r="AJ322" s="331"/>
      <c r="AK322" s="334"/>
      <c r="AL322" s="334"/>
      <c r="AM322" s="331"/>
      <c r="AN322" s="334"/>
      <c r="AO322" s="334"/>
      <c r="AP322" s="331"/>
      <c r="AQ322" s="334"/>
      <c r="AR322" s="334"/>
      <c r="AS322" s="331"/>
      <c r="AT322" s="334"/>
      <c r="AU322" s="334"/>
      <c r="AV322" s="331"/>
      <c r="AW322" s="334"/>
      <c r="AX322" s="334"/>
      <c r="AY322" s="331"/>
      <c r="AZ322" s="334"/>
      <c r="BA322" s="334"/>
      <c r="BB322" s="331"/>
      <c r="BC322" s="334"/>
      <c r="BD322" s="334"/>
      <c r="BE322" s="331"/>
      <c r="BF322" s="334"/>
      <c r="BG322" s="334"/>
      <c r="BH322" s="331"/>
      <c r="BI322" s="334"/>
      <c r="BJ322" s="334"/>
      <c r="BK322" s="331"/>
      <c r="BL322" s="334"/>
      <c r="BM322" s="334"/>
      <c r="BN322" s="331"/>
      <c r="BO322" s="334"/>
      <c r="BP322" s="334"/>
      <c r="BQ322" s="331"/>
      <c r="BR322" s="332"/>
    </row>
    <row r="323" spans="1:70">
      <c r="A323" s="142" t="s">
        <v>4821</v>
      </c>
      <c r="B323" s="268">
        <v>22700</v>
      </c>
      <c r="C323" s="268">
        <v>0</v>
      </c>
      <c r="D323" s="333"/>
      <c r="E323" s="333"/>
      <c r="F323" s="331"/>
      <c r="G323" s="334"/>
      <c r="H323" s="334"/>
      <c r="I323" s="331"/>
      <c r="J323" s="334"/>
      <c r="K323" s="334"/>
      <c r="L323" s="331"/>
      <c r="M323" s="334"/>
      <c r="N323" s="334"/>
      <c r="O323" s="331"/>
      <c r="P323" s="334"/>
      <c r="Q323" s="334"/>
      <c r="R323" s="331"/>
      <c r="S323" s="334"/>
      <c r="T323" s="334"/>
      <c r="U323" s="331"/>
      <c r="V323" s="334"/>
      <c r="W323" s="334"/>
      <c r="X323" s="331"/>
      <c r="Y323" s="334"/>
      <c r="Z323" s="334"/>
      <c r="AA323" s="331"/>
      <c r="AB323" s="334"/>
      <c r="AC323" s="334"/>
      <c r="AD323" s="331"/>
      <c r="AE323" s="334"/>
      <c r="AF323" s="334"/>
      <c r="AG323" s="331"/>
      <c r="AH323" s="334"/>
      <c r="AI323" s="334"/>
      <c r="AJ323" s="331"/>
      <c r="AK323" s="334"/>
      <c r="AL323" s="334"/>
      <c r="AM323" s="331"/>
      <c r="AN323" s="334"/>
      <c r="AO323" s="334"/>
      <c r="AP323" s="331"/>
      <c r="AQ323" s="334"/>
      <c r="AR323" s="334"/>
      <c r="AS323" s="331"/>
      <c r="AT323" s="334"/>
      <c r="AU323" s="334"/>
      <c r="AV323" s="331"/>
      <c r="AW323" s="334"/>
      <c r="AX323" s="334"/>
      <c r="AY323" s="331"/>
      <c r="AZ323" s="334"/>
      <c r="BA323" s="334"/>
      <c r="BB323" s="331"/>
      <c r="BC323" s="334"/>
      <c r="BD323" s="334"/>
      <c r="BE323" s="331"/>
      <c r="BF323" s="334"/>
      <c r="BG323" s="334"/>
      <c r="BH323" s="331"/>
      <c r="BI323" s="334"/>
      <c r="BJ323" s="334"/>
      <c r="BK323" s="331"/>
      <c r="BL323" s="334"/>
      <c r="BM323" s="334"/>
      <c r="BN323" s="331"/>
      <c r="BO323" s="334"/>
      <c r="BP323" s="334"/>
      <c r="BQ323" s="331"/>
      <c r="BR323" s="332"/>
    </row>
    <row r="324" spans="1:70">
      <c r="A324" s="142" t="s">
        <v>4812</v>
      </c>
      <c r="B324" s="268">
        <v>22500</v>
      </c>
      <c r="C324" s="268">
        <v>0</v>
      </c>
      <c r="D324" s="333"/>
      <c r="E324" s="333"/>
      <c r="F324" s="331"/>
      <c r="G324" s="334"/>
      <c r="H324" s="334"/>
      <c r="I324" s="331"/>
      <c r="J324" s="334"/>
      <c r="K324" s="334"/>
      <c r="L324" s="331"/>
      <c r="M324" s="334"/>
      <c r="N324" s="334"/>
      <c r="O324" s="331"/>
      <c r="P324" s="334"/>
      <c r="Q324" s="334"/>
      <c r="R324" s="331"/>
      <c r="S324" s="334"/>
      <c r="T324" s="334"/>
      <c r="U324" s="331"/>
      <c r="V324" s="334"/>
      <c r="W324" s="334"/>
      <c r="X324" s="331"/>
      <c r="Y324" s="334"/>
      <c r="Z324" s="334"/>
      <c r="AA324" s="331"/>
      <c r="AB324" s="334"/>
      <c r="AC324" s="334"/>
      <c r="AD324" s="331"/>
      <c r="AE324" s="334"/>
      <c r="AF324" s="334"/>
      <c r="AG324" s="331"/>
      <c r="AH324" s="334"/>
      <c r="AI324" s="334"/>
      <c r="AJ324" s="331"/>
      <c r="AK324" s="334"/>
      <c r="AL324" s="334"/>
      <c r="AM324" s="331"/>
      <c r="AN324" s="334"/>
      <c r="AO324" s="334"/>
      <c r="AP324" s="331"/>
      <c r="AQ324" s="334"/>
      <c r="AR324" s="334"/>
      <c r="AS324" s="331"/>
      <c r="AT324" s="334"/>
      <c r="AU324" s="334"/>
      <c r="AV324" s="331"/>
      <c r="AW324" s="334"/>
      <c r="AX324" s="334"/>
      <c r="AY324" s="331"/>
      <c r="AZ324" s="334"/>
      <c r="BA324" s="334"/>
      <c r="BB324" s="331"/>
      <c r="BC324" s="334"/>
      <c r="BD324" s="334"/>
      <c r="BE324" s="331"/>
      <c r="BF324" s="334"/>
      <c r="BG324" s="334"/>
      <c r="BH324" s="331"/>
      <c r="BI324" s="334"/>
      <c r="BJ324" s="334"/>
      <c r="BK324" s="331"/>
      <c r="BL324" s="334"/>
      <c r="BM324" s="334"/>
      <c r="BN324" s="331"/>
      <c r="BO324" s="334"/>
      <c r="BP324" s="334"/>
      <c r="BQ324" s="331"/>
      <c r="BR324" s="332"/>
    </row>
    <row r="325" spans="1:70">
      <c r="A325" s="142" t="s">
        <v>4809</v>
      </c>
      <c r="B325" s="268">
        <v>22700</v>
      </c>
      <c r="C325" s="268">
        <v>0</v>
      </c>
      <c r="D325" s="333"/>
      <c r="E325" s="333"/>
      <c r="F325" s="331"/>
      <c r="G325" s="334"/>
      <c r="H325" s="334"/>
      <c r="I325" s="331"/>
      <c r="J325" s="334"/>
      <c r="K325" s="334"/>
      <c r="L325" s="331"/>
      <c r="M325" s="334"/>
      <c r="N325" s="334"/>
      <c r="O325" s="331"/>
      <c r="P325" s="334"/>
      <c r="Q325" s="334"/>
      <c r="R325" s="331"/>
      <c r="S325" s="334"/>
      <c r="T325" s="334"/>
      <c r="U325" s="331"/>
      <c r="V325" s="334"/>
      <c r="W325" s="334"/>
      <c r="X325" s="331"/>
      <c r="Y325" s="334"/>
      <c r="Z325" s="334"/>
      <c r="AA325" s="331"/>
      <c r="AB325" s="334"/>
      <c r="AC325" s="334"/>
      <c r="AD325" s="331"/>
      <c r="AE325" s="334"/>
      <c r="AF325" s="334"/>
      <c r="AG325" s="331"/>
      <c r="AH325" s="334"/>
      <c r="AI325" s="334"/>
      <c r="AJ325" s="331"/>
      <c r="AK325" s="334"/>
      <c r="AL325" s="334"/>
      <c r="AM325" s="331"/>
      <c r="AN325" s="334"/>
      <c r="AO325" s="334"/>
      <c r="AP325" s="331"/>
      <c r="AQ325" s="334"/>
      <c r="AR325" s="334"/>
      <c r="AS325" s="331"/>
      <c r="AT325" s="334"/>
      <c r="AU325" s="334"/>
      <c r="AV325" s="331"/>
      <c r="AW325" s="334"/>
      <c r="AX325" s="334"/>
      <c r="AY325" s="331"/>
      <c r="AZ325" s="334"/>
      <c r="BA325" s="334"/>
      <c r="BB325" s="331"/>
      <c r="BC325" s="334"/>
      <c r="BD325" s="334"/>
      <c r="BE325" s="331"/>
      <c r="BF325" s="334"/>
      <c r="BG325" s="334"/>
      <c r="BH325" s="331"/>
      <c r="BI325" s="334"/>
      <c r="BJ325" s="334"/>
      <c r="BK325" s="331"/>
      <c r="BL325" s="334"/>
      <c r="BM325" s="334"/>
      <c r="BN325" s="331"/>
      <c r="BO325" s="334"/>
      <c r="BP325" s="334"/>
      <c r="BQ325" s="331"/>
      <c r="BR325" s="332"/>
    </row>
    <row r="326" spans="1:70">
      <c r="A326" s="142" t="s">
        <v>4732</v>
      </c>
      <c r="B326" s="268">
        <v>22800</v>
      </c>
      <c r="C326" s="268">
        <v>0</v>
      </c>
      <c r="D326" s="333"/>
      <c r="E326" s="333"/>
      <c r="F326" s="331"/>
      <c r="G326" s="334"/>
      <c r="H326" s="334"/>
      <c r="I326" s="331"/>
      <c r="J326" s="334"/>
      <c r="K326" s="334"/>
      <c r="L326" s="331"/>
      <c r="M326" s="334"/>
      <c r="N326" s="334"/>
      <c r="O326" s="331"/>
      <c r="P326" s="334"/>
      <c r="Q326" s="334"/>
      <c r="R326" s="331"/>
      <c r="S326" s="334"/>
      <c r="T326" s="334"/>
      <c r="U326" s="331"/>
      <c r="V326" s="334"/>
      <c r="W326" s="334"/>
      <c r="X326" s="331"/>
      <c r="Y326" s="334"/>
      <c r="Z326" s="334"/>
      <c r="AA326" s="331"/>
      <c r="AB326" s="334"/>
      <c r="AC326" s="334"/>
      <c r="AD326" s="331"/>
      <c r="AE326" s="334"/>
      <c r="AF326" s="334"/>
      <c r="AG326" s="331"/>
      <c r="AH326" s="334"/>
      <c r="AI326" s="334"/>
      <c r="AJ326" s="331"/>
      <c r="AK326" s="334"/>
      <c r="AL326" s="334"/>
      <c r="AM326" s="331"/>
      <c r="AN326" s="334"/>
      <c r="AO326" s="334"/>
      <c r="AP326" s="331"/>
      <c r="AQ326" s="334"/>
      <c r="AR326" s="334"/>
      <c r="AS326" s="331"/>
      <c r="AT326" s="334"/>
      <c r="AU326" s="334"/>
      <c r="AV326" s="331"/>
      <c r="AW326" s="334"/>
      <c r="AX326" s="334"/>
      <c r="AY326" s="331"/>
      <c r="AZ326" s="334"/>
      <c r="BA326" s="334"/>
      <c r="BB326" s="331"/>
      <c r="BC326" s="334"/>
      <c r="BD326" s="334"/>
      <c r="BE326" s="331"/>
      <c r="BF326" s="334"/>
      <c r="BG326" s="334"/>
      <c r="BH326" s="331"/>
      <c r="BI326" s="334"/>
      <c r="BJ326" s="334"/>
      <c r="BK326" s="331"/>
      <c r="BL326" s="334"/>
      <c r="BM326" s="334"/>
      <c r="BN326" s="331"/>
      <c r="BO326" s="334"/>
      <c r="BP326" s="334"/>
      <c r="BQ326" s="331"/>
      <c r="BR326" s="332"/>
    </row>
    <row r="327" spans="1:70">
      <c r="A327" s="142" t="s">
        <v>4840</v>
      </c>
      <c r="B327" s="268">
        <v>11600</v>
      </c>
      <c r="C327" s="268">
        <v>0</v>
      </c>
      <c r="D327" s="333"/>
      <c r="E327" s="333"/>
      <c r="F327" s="331"/>
      <c r="G327" s="334"/>
      <c r="H327" s="334"/>
      <c r="I327" s="331"/>
      <c r="J327" s="334"/>
      <c r="K327" s="334"/>
      <c r="L327" s="331"/>
      <c r="M327" s="334"/>
      <c r="N327" s="334"/>
      <c r="O327" s="331"/>
      <c r="P327" s="334"/>
      <c r="Q327" s="334"/>
      <c r="R327" s="331"/>
      <c r="S327" s="334"/>
      <c r="T327" s="334"/>
      <c r="U327" s="331"/>
      <c r="V327" s="334"/>
      <c r="W327" s="334"/>
      <c r="X327" s="331"/>
      <c r="Y327" s="334"/>
      <c r="Z327" s="334"/>
      <c r="AA327" s="331"/>
      <c r="AB327" s="334"/>
      <c r="AC327" s="334"/>
      <c r="AD327" s="331"/>
      <c r="AE327" s="334"/>
      <c r="AF327" s="334"/>
      <c r="AG327" s="331"/>
      <c r="AH327" s="334"/>
      <c r="AI327" s="334"/>
      <c r="AJ327" s="331"/>
      <c r="AK327" s="334"/>
      <c r="AL327" s="334"/>
      <c r="AM327" s="331"/>
      <c r="AN327" s="334"/>
      <c r="AO327" s="334"/>
      <c r="AP327" s="331"/>
      <c r="AQ327" s="334"/>
      <c r="AR327" s="334"/>
      <c r="AS327" s="331"/>
      <c r="AT327" s="334"/>
      <c r="AU327" s="334"/>
      <c r="AV327" s="331"/>
      <c r="AW327" s="334"/>
      <c r="AX327" s="334"/>
      <c r="AY327" s="331"/>
      <c r="AZ327" s="334"/>
      <c r="BA327" s="334"/>
      <c r="BB327" s="331"/>
      <c r="BC327" s="334"/>
      <c r="BD327" s="334"/>
      <c r="BE327" s="331"/>
      <c r="BF327" s="334"/>
      <c r="BG327" s="334"/>
      <c r="BH327" s="331"/>
      <c r="BI327" s="334"/>
      <c r="BJ327" s="334"/>
      <c r="BK327" s="331"/>
      <c r="BL327" s="334"/>
      <c r="BM327" s="334"/>
      <c r="BN327" s="331"/>
      <c r="BO327" s="334"/>
      <c r="BP327" s="334"/>
      <c r="BQ327" s="331"/>
      <c r="BR327" s="332"/>
    </row>
    <row r="328" spans="1:70">
      <c r="A328" s="142" t="s">
        <v>3093</v>
      </c>
      <c r="B328" s="268">
        <v>11600</v>
      </c>
      <c r="C328" s="268">
        <v>0</v>
      </c>
      <c r="D328" s="333"/>
      <c r="E328" s="333"/>
      <c r="F328" s="331"/>
      <c r="G328" s="334"/>
      <c r="H328" s="334"/>
      <c r="I328" s="331"/>
      <c r="J328" s="334"/>
      <c r="K328" s="334"/>
      <c r="L328" s="331"/>
      <c r="M328" s="334"/>
      <c r="N328" s="334"/>
      <c r="O328" s="331"/>
      <c r="P328" s="334"/>
      <c r="Q328" s="334"/>
      <c r="R328" s="331"/>
      <c r="S328" s="334"/>
      <c r="T328" s="334"/>
      <c r="U328" s="331"/>
      <c r="V328" s="334"/>
      <c r="W328" s="334"/>
      <c r="X328" s="331"/>
      <c r="Y328" s="334"/>
      <c r="Z328" s="334"/>
      <c r="AA328" s="331"/>
      <c r="AB328" s="334"/>
      <c r="AC328" s="334"/>
      <c r="AD328" s="331"/>
      <c r="AE328" s="334"/>
      <c r="AF328" s="334"/>
      <c r="AG328" s="331"/>
      <c r="AH328" s="334"/>
      <c r="AI328" s="334"/>
      <c r="AJ328" s="331"/>
      <c r="AK328" s="334"/>
      <c r="AL328" s="334"/>
      <c r="AM328" s="331"/>
      <c r="AN328" s="334"/>
      <c r="AO328" s="334"/>
      <c r="AP328" s="331"/>
      <c r="AQ328" s="334"/>
      <c r="AR328" s="334"/>
      <c r="AS328" s="331"/>
      <c r="AT328" s="334"/>
      <c r="AU328" s="334"/>
      <c r="AV328" s="331"/>
      <c r="AW328" s="334"/>
      <c r="AX328" s="334"/>
      <c r="AY328" s="331"/>
      <c r="AZ328" s="334"/>
      <c r="BA328" s="334"/>
      <c r="BB328" s="331"/>
      <c r="BC328" s="334"/>
      <c r="BD328" s="334"/>
      <c r="BE328" s="331"/>
      <c r="BF328" s="334"/>
      <c r="BG328" s="334"/>
      <c r="BH328" s="331"/>
      <c r="BI328" s="334"/>
      <c r="BJ328" s="334"/>
      <c r="BK328" s="331"/>
      <c r="BL328" s="334"/>
      <c r="BM328" s="334"/>
      <c r="BN328" s="331"/>
      <c r="BO328" s="334"/>
      <c r="BP328" s="334"/>
      <c r="BQ328" s="331"/>
      <c r="BR328" s="332"/>
    </row>
    <row r="329" spans="1:70">
      <c r="A329" s="142" t="s">
        <v>3404</v>
      </c>
      <c r="B329" s="268">
        <v>4800</v>
      </c>
      <c r="C329" s="268">
        <v>0</v>
      </c>
      <c r="D329" s="333"/>
      <c r="E329" s="333"/>
      <c r="F329" s="331"/>
      <c r="G329" s="334"/>
      <c r="H329" s="334"/>
      <c r="I329" s="331"/>
      <c r="J329" s="334"/>
      <c r="K329" s="334"/>
      <c r="L329" s="331"/>
      <c r="M329" s="334"/>
      <c r="N329" s="334"/>
      <c r="O329" s="331"/>
      <c r="P329" s="334"/>
      <c r="Q329" s="334"/>
      <c r="R329" s="331"/>
      <c r="S329" s="334"/>
      <c r="T329" s="334"/>
      <c r="U329" s="331"/>
      <c r="V329" s="334"/>
      <c r="W329" s="334"/>
      <c r="X329" s="331"/>
      <c r="Y329" s="334"/>
      <c r="Z329" s="334"/>
      <c r="AA329" s="331"/>
      <c r="AB329" s="334"/>
      <c r="AC329" s="334"/>
      <c r="AD329" s="331"/>
      <c r="AE329" s="334"/>
      <c r="AF329" s="334"/>
      <c r="AG329" s="331"/>
      <c r="AH329" s="334"/>
      <c r="AI329" s="334"/>
      <c r="AJ329" s="331"/>
      <c r="AK329" s="334"/>
      <c r="AL329" s="334"/>
      <c r="AM329" s="331"/>
      <c r="AN329" s="334"/>
      <c r="AO329" s="334"/>
      <c r="AP329" s="331"/>
      <c r="AQ329" s="334"/>
      <c r="AR329" s="334"/>
      <c r="AS329" s="331"/>
      <c r="AT329" s="334"/>
      <c r="AU329" s="334"/>
      <c r="AV329" s="331"/>
      <c r="AW329" s="334"/>
      <c r="AX329" s="334"/>
      <c r="AY329" s="331"/>
      <c r="AZ329" s="334"/>
      <c r="BA329" s="334"/>
      <c r="BB329" s="331"/>
      <c r="BC329" s="334"/>
      <c r="BD329" s="334"/>
      <c r="BE329" s="331"/>
      <c r="BF329" s="334"/>
      <c r="BG329" s="334"/>
      <c r="BH329" s="331"/>
      <c r="BI329" s="334"/>
      <c r="BJ329" s="334"/>
      <c r="BK329" s="331"/>
      <c r="BL329" s="334"/>
      <c r="BM329" s="334"/>
      <c r="BN329" s="331"/>
      <c r="BO329" s="334"/>
      <c r="BP329" s="334"/>
      <c r="BQ329" s="331"/>
      <c r="BR329" s="332"/>
    </row>
    <row r="330" spans="1:70">
      <c r="A330" s="142" t="s">
        <v>2813</v>
      </c>
      <c r="B330" s="268">
        <v>4800</v>
      </c>
      <c r="C330" s="268">
        <v>0</v>
      </c>
      <c r="D330" s="333"/>
      <c r="E330" s="333"/>
      <c r="F330" s="331"/>
      <c r="G330" s="334"/>
      <c r="H330" s="334"/>
      <c r="I330" s="331"/>
      <c r="J330" s="334"/>
      <c r="K330" s="334"/>
      <c r="L330" s="331"/>
      <c r="M330" s="334"/>
      <c r="N330" s="334"/>
      <c r="O330" s="331"/>
      <c r="P330" s="334"/>
      <c r="Q330" s="334"/>
      <c r="R330" s="331"/>
      <c r="S330" s="334"/>
      <c r="T330" s="334"/>
      <c r="U330" s="331"/>
      <c r="V330" s="334"/>
      <c r="W330" s="334"/>
      <c r="X330" s="331"/>
      <c r="Y330" s="334"/>
      <c r="Z330" s="334"/>
      <c r="AA330" s="331"/>
      <c r="AB330" s="334"/>
      <c r="AC330" s="334"/>
      <c r="AD330" s="331"/>
      <c r="AE330" s="334"/>
      <c r="AF330" s="334"/>
      <c r="AG330" s="331"/>
      <c r="AH330" s="334"/>
      <c r="AI330" s="334"/>
      <c r="AJ330" s="331"/>
      <c r="AK330" s="334"/>
      <c r="AL330" s="334"/>
      <c r="AM330" s="331"/>
      <c r="AN330" s="334"/>
      <c r="AO330" s="334"/>
      <c r="AP330" s="331"/>
      <c r="AQ330" s="334"/>
      <c r="AR330" s="334"/>
      <c r="AS330" s="331"/>
      <c r="AT330" s="334"/>
      <c r="AU330" s="334"/>
      <c r="AV330" s="331"/>
      <c r="AW330" s="334"/>
      <c r="AX330" s="334"/>
      <c r="AY330" s="331"/>
      <c r="AZ330" s="334"/>
      <c r="BA330" s="334"/>
      <c r="BB330" s="331"/>
      <c r="BC330" s="334"/>
      <c r="BD330" s="334"/>
      <c r="BE330" s="331"/>
      <c r="BF330" s="334"/>
      <c r="BG330" s="334"/>
      <c r="BH330" s="331"/>
      <c r="BI330" s="334"/>
      <c r="BJ330" s="334"/>
      <c r="BK330" s="331"/>
      <c r="BL330" s="334"/>
      <c r="BM330" s="334"/>
      <c r="BN330" s="331"/>
      <c r="BO330" s="334"/>
      <c r="BP330" s="334"/>
      <c r="BQ330" s="331"/>
      <c r="BR330" s="332"/>
    </row>
    <row r="331" spans="1:70">
      <c r="A331" s="142" t="s">
        <v>2579</v>
      </c>
      <c r="B331" s="268">
        <v>4300</v>
      </c>
      <c r="C331" s="268">
        <v>0</v>
      </c>
      <c r="D331" s="333"/>
      <c r="E331" s="333"/>
      <c r="F331" s="331"/>
      <c r="G331" s="334"/>
      <c r="H331" s="334"/>
      <c r="I331" s="331"/>
      <c r="J331" s="334"/>
      <c r="K331" s="334"/>
      <c r="L331" s="331"/>
      <c r="M331" s="334"/>
      <c r="N331" s="334"/>
      <c r="O331" s="331"/>
      <c r="P331" s="334"/>
      <c r="Q331" s="334"/>
      <c r="R331" s="331"/>
      <c r="S331" s="334"/>
      <c r="T331" s="334"/>
      <c r="U331" s="331"/>
      <c r="V331" s="334"/>
      <c r="W331" s="334"/>
      <c r="X331" s="331"/>
      <c r="Y331" s="334"/>
      <c r="Z331" s="334"/>
      <c r="AA331" s="331"/>
      <c r="AB331" s="334"/>
      <c r="AC331" s="334"/>
      <c r="AD331" s="331"/>
      <c r="AE331" s="334"/>
      <c r="AF331" s="334"/>
      <c r="AG331" s="331"/>
      <c r="AH331" s="334"/>
      <c r="AI331" s="334"/>
      <c r="AJ331" s="331"/>
      <c r="AK331" s="334"/>
      <c r="AL331" s="334"/>
      <c r="AM331" s="331"/>
      <c r="AN331" s="334"/>
      <c r="AO331" s="334"/>
      <c r="AP331" s="331"/>
      <c r="AQ331" s="334"/>
      <c r="AR331" s="334"/>
      <c r="AS331" s="331"/>
      <c r="AT331" s="334"/>
      <c r="AU331" s="334"/>
      <c r="AV331" s="331"/>
      <c r="AW331" s="334"/>
      <c r="AX331" s="334"/>
      <c r="AY331" s="331"/>
      <c r="AZ331" s="334"/>
      <c r="BA331" s="334"/>
      <c r="BB331" s="331"/>
      <c r="BC331" s="334"/>
      <c r="BD331" s="334"/>
      <c r="BE331" s="331"/>
      <c r="BF331" s="334"/>
      <c r="BG331" s="334"/>
      <c r="BH331" s="331"/>
      <c r="BI331" s="334"/>
      <c r="BJ331" s="334"/>
      <c r="BK331" s="331"/>
      <c r="BL331" s="334"/>
      <c r="BM331" s="334"/>
      <c r="BN331" s="331"/>
      <c r="BO331" s="334"/>
      <c r="BP331" s="334"/>
      <c r="BQ331" s="331"/>
      <c r="BR331" s="332"/>
    </row>
    <row r="332" spans="1:70">
      <c r="A332" s="142" t="s">
        <v>3398</v>
      </c>
      <c r="B332" s="268">
        <v>4800</v>
      </c>
      <c r="C332" s="268">
        <v>0</v>
      </c>
      <c r="D332" s="333"/>
      <c r="E332" s="333"/>
      <c r="F332" s="331"/>
      <c r="G332" s="334"/>
      <c r="H332" s="334"/>
      <c r="I332" s="331"/>
      <c r="J332" s="334"/>
      <c r="K332" s="334"/>
      <c r="L332" s="331"/>
      <c r="M332" s="334"/>
      <c r="N332" s="334"/>
      <c r="O332" s="331"/>
      <c r="P332" s="334"/>
      <c r="Q332" s="334"/>
      <c r="R332" s="331"/>
      <c r="S332" s="334"/>
      <c r="T332" s="334"/>
      <c r="U332" s="331"/>
      <c r="V332" s="334"/>
      <c r="W332" s="334"/>
      <c r="X332" s="331"/>
      <c r="Y332" s="334"/>
      <c r="Z332" s="334"/>
      <c r="AA332" s="331"/>
      <c r="AB332" s="334"/>
      <c r="AC332" s="334"/>
      <c r="AD332" s="331"/>
      <c r="AE332" s="334"/>
      <c r="AF332" s="334"/>
      <c r="AG332" s="331"/>
      <c r="AH332" s="334"/>
      <c r="AI332" s="334"/>
      <c r="AJ332" s="331"/>
      <c r="AK332" s="334"/>
      <c r="AL332" s="334"/>
      <c r="AM332" s="331"/>
      <c r="AN332" s="334"/>
      <c r="AO332" s="334"/>
      <c r="AP332" s="331"/>
      <c r="AQ332" s="334"/>
      <c r="AR332" s="334"/>
      <c r="AS332" s="331"/>
      <c r="AT332" s="334"/>
      <c r="AU332" s="334"/>
      <c r="AV332" s="331"/>
      <c r="AW332" s="334"/>
      <c r="AX332" s="334"/>
      <c r="AY332" s="331"/>
      <c r="AZ332" s="334"/>
      <c r="BA332" s="334"/>
      <c r="BB332" s="331"/>
      <c r="BC332" s="334"/>
      <c r="BD332" s="334"/>
      <c r="BE332" s="331"/>
      <c r="BF332" s="334"/>
      <c r="BG332" s="334"/>
      <c r="BH332" s="331"/>
      <c r="BI332" s="334"/>
      <c r="BJ332" s="334"/>
      <c r="BK332" s="331"/>
      <c r="BL332" s="334"/>
      <c r="BM332" s="334"/>
      <c r="BN332" s="331"/>
      <c r="BO332" s="334"/>
      <c r="BP332" s="334"/>
      <c r="BQ332" s="331"/>
      <c r="BR332" s="332"/>
    </row>
    <row r="333" spans="1:70">
      <c r="A333" s="142" t="s">
        <v>3165</v>
      </c>
      <c r="B333" s="268">
        <v>24300</v>
      </c>
      <c r="C333" s="268">
        <v>0</v>
      </c>
      <c r="D333" s="333"/>
      <c r="E333" s="333"/>
      <c r="F333" s="331"/>
      <c r="G333" s="334"/>
      <c r="H333" s="334"/>
      <c r="I333" s="331"/>
      <c r="J333" s="334"/>
      <c r="K333" s="334"/>
      <c r="L333" s="331"/>
      <c r="M333" s="334"/>
      <c r="N333" s="334"/>
      <c r="O333" s="331"/>
      <c r="P333" s="334"/>
      <c r="Q333" s="334"/>
      <c r="R333" s="331"/>
      <c r="S333" s="334"/>
      <c r="T333" s="334"/>
      <c r="U333" s="331"/>
      <c r="V333" s="334"/>
      <c r="W333" s="334"/>
      <c r="X333" s="331"/>
      <c r="Y333" s="334"/>
      <c r="Z333" s="334"/>
      <c r="AA333" s="331"/>
      <c r="AB333" s="334"/>
      <c r="AC333" s="334"/>
      <c r="AD333" s="331"/>
      <c r="AE333" s="334"/>
      <c r="AF333" s="334"/>
      <c r="AG333" s="331"/>
      <c r="AH333" s="334"/>
      <c r="AI333" s="334"/>
      <c r="AJ333" s="331"/>
      <c r="AK333" s="334"/>
      <c r="AL333" s="334"/>
      <c r="AM333" s="331"/>
      <c r="AN333" s="334"/>
      <c r="AO333" s="334"/>
      <c r="AP333" s="331"/>
      <c r="AQ333" s="334"/>
      <c r="AR333" s="334"/>
      <c r="AS333" s="331"/>
      <c r="AT333" s="334"/>
      <c r="AU333" s="334"/>
      <c r="AV333" s="331"/>
      <c r="AW333" s="334"/>
      <c r="AX333" s="334"/>
      <c r="AY333" s="331"/>
      <c r="AZ333" s="334"/>
      <c r="BA333" s="334"/>
      <c r="BB333" s="331"/>
      <c r="BC333" s="334"/>
      <c r="BD333" s="334"/>
      <c r="BE333" s="331"/>
      <c r="BF333" s="334"/>
      <c r="BG333" s="334"/>
      <c r="BH333" s="331"/>
      <c r="BI333" s="334"/>
      <c r="BJ333" s="334"/>
      <c r="BK333" s="331"/>
      <c r="BL333" s="334"/>
      <c r="BM333" s="334"/>
      <c r="BN333" s="331"/>
      <c r="BO333" s="334"/>
      <c r="BP333" s="334"/>
      <c r="BQ333" s="331"/>
      <c r="BR333" s="332"/>
    </row>
    <row r="334" spans="1:70">
      <c r="A334" s="142" t="s">
        <v>4923</v>
      </c>
      <c r="B334" s="268">
        <v>43900</v>
      </c>
      <c r="C334" s="268">
        <v>0</v>
      </c>
      <c r="D334" s="333"/>
      <c r="E334" s="333"/>
      <c r="F334" s="331"/>
      <c r="G334" s="334"/>
      <c r="H334" s="334"/>
      <c r="I334" s="331"/>
      <c r="J334" s="334"/>
      <c r="K334" s="334"/>
      <c r="L334" s="331"/>
      <c r="M334" s="334"/>
      <c r="N334" s="334"/>
      <c r="O334" s="331"/>
      <c r="P334" s="334"/>
      <c r="Q334" s="334"/>
      <c r="R334" s="331"/>
      <c r="S334" s="334"/>
      <c r="T334" s="334"/>
      <c r="U334" s="331"/>
      <c r="V334" s="334"/>
      <c r="W334" s="334"/>
      <c r="X334" s="331"/>
      <c r="Y334" s="334"/>
      <c r="Z334" s="334"/>
      <c r="AA334" s="331"/>
      <c r="AB334" s="334"/>
      <c r="AC334" s="334"/>
      <c r="AD334" s="331"/>
      <c r="AE334" s="334"/>
      <c r="AF334" s="334"/>
      <c r="AG334" s="331"/>
      <c r="AH334" s="334"/>
      <c r="AI334" s="334"/>
      <c r="AJ334" s="331"/>
      <c r="AK334" s="334"/>
      <c r="AL334" s="334"/>
      <c r="AM334" s="331"/>
      <c r="AN334" s="334"/>
      <c r="AO334" s="334"/>
      <c r="AP334" s="331"/>
      <c r="AQ334" s="334"/>
      <c r="AR334" s="334"/>
      <c r="AS334" s="331"/>
      <c r="AT334" s="334"/>
      <c r="AU334" s="334"/>
      <c r="AV334" s="331"/>
      <c r="AW334" s="334"/>
      <c r="AX334" s="334"/>
      <c r="AY334" s="331"/>
      <c r="AZ334" s="334"/>
      <c r="BA334" s="334"/>
      <c r="BB334" s="331"/>
      <c r="BC334" s="334"/>
      <c r="BD334" s="334"/>
      <c r="BE334" s="331"/>
      <c r="BF334" s="334"/>
      <c r="BG334" s="334"/>
      <c r="BH334" s="331"/>
      <c r="BI334" s="334"/>
      <c r="BJ334" s="334"/>
      <c r="BK334" s="331"/>
      <c r="BL334" s="334"/>
      <c r="BM334" s="334"/>
      <c r="BN334" s="331"/>
      <c r="BO334" s="334"/>
      <c r="BP334" s="334"/>
      <c r="BQ334" s="331"/>
      <c r="BR334" s="332"/>
    </row>
    <row r="335" spans="1:70">
      <c r="A335" s="142" t="s">
        <v>4222</v>
      </c>
      <c r="B335" s="268">
        <v>6900</v>
      </c>
      <c r="C335" s="268">
        <v>0</v>
      </c>
      <c r="D335" s="333"/>
      <c r="E335" s="333"/>
      <c r="F335" s="331"/>
      <c r="G335" s="334"/>
      <c r="H335" s="334"/>
      <c r="I335" s="331"/>
      <c r="J335" s="334"/>
      <c r="K335" s="334"/>
      <c r="L335" s="331"/>
      <c r="M335" s="334"/>
      <c r="N335" s="334"/>
      <c r="O335" s="331"/>
      <c r="P335" s="334"/>
      <c r="Q335" s="334"/>
      <c r="R335" s="331"/>
      <c r="S335" s="334"/>
      <c r="T335" s="334"/>
      <c r="U335" s="331"/>
      <c r="V335" s="334"/>
      <c r="W335" s="334"/>
      <c r="X335" s="331"/>
      <c r="Y335" s="334"/>
      <c r="Z335" s="334"/>
      <c r="AA335" s="331"/>
      <c r="AB335" s="334"/>
      <c r="AC335" s="334"/>
      <c r="AD335" s="331"/>
      <c r="AE335" s="334"/>
      <c r="AF335" s="334"/>
      <c r="AG335" s="331"/>
      <c r="AH335" s="334"/>
      <c r="AI335" s="334"/>
      <c r="AJ335" s="331"/>
      <c r="AK335" s="334"/>
      <c r="AL335" s="334"/>
      <c r="AM335" s="331"/>
      <c r="AN335" s="334"/>
      <c r="AO335" s="334"/>
      <c r="AP335" s="331"/>
      <c r="AQ335" s="334"/>
      <c r="AR335" s="334"/>
      <c r="AS335" s="331"/>
      <c r="AT335" s="334"/>
      <c r="AU335" s="334"/>
      <c r="AV335" s="331"/>
      <c r="AW335" s="334"/>
      <c r="AX335" s="334"/>
      <c r="AY335" s="331"/>
      <c r="AZ335" s="334"/>
      <c r="BA335" s="334"/>
      <c r="BB335" s="331"/>
      <c r="BC335" s="334"/>
      <c r="BD335" s="334"/>
      <c r="BE335" s="331"/>
      <c r="BF335" s="334"/>
      <c r="BG335" s="334"/>
      <c r="BH335" s="331"/>
      <c r="BI335" s="334"/>
      <c r="BJ335" s="334"/>
      <c r="BK335" s="331"/>
      <c r="BL335" s="334"/>
      <c r="BM335" s="334"/>
      <c r="BN335" s="331"/>
      <c r="BO335" s="334"/>
      <c r="BP335" s="334"/>
      <c r="BQ335" s="331"/>
      <c r="BR335" s="332"/>
    </row>
    <row r="336" spans="1:70">
      <c r="A336" s="142" t="s">
        <v>4046</v>
      </c>
      <c r="B336" s="268">
        <v>25900</v>
      </c>
      <c r="C336" s="268">
        <v>0</v>
      </c>
      <c r="D336" s="333"/>
      <c r="E336" s="333"/>
      <c r="F336" s="331"/>
      <c r="G336" s="334"/>
      <c r="H336" s="334"/>
      <c r="I336" s="331"/>
      <c r="J336" s="334"/>
      <c r="K336" s="334"/>
      <c r="L336" s="331"/>
      <c r="M336" s="334"/>
      <c r="N336" s="334"/>
      <c r="O336" s="331"/>
      <c r="P336" s="334"/>
      <c r="Q336" s="334"/>
      <c r="R336" s="331"/>
      <c r="S336" s="334"/>
      <c r="T336" s="334"/>
      <c r="U336" s="331"/>
      <c r="V336" s="334"/>
      <c r="W336" s="334"/>
      <c r="X336" s="331"/>
      <c r="Y336" s="334"/>
      <c r="Z336" s="334"/>
      <c r="AA336" s="331"/>
      <c r="AB336" s="334"/>
      <c r="AC336" s="334"/>
      <c r="AD336" s="331"/>
      <c r="AE336" s="334"/>
      <c r="AF336" s="334"/>
      <c r="AG336" s="331"/>
      <c r="AH336" s="334"/>
      <c r="AI336" s="334"/>
      <c r="AJ336" s="331"/>
      <c r="AK336" s="334"/>
      <c r="AL336" s="334"/>
      <c r="AM336" s="331"/>
      <c r="AN336" s="334"/>
      <c r="AO336" s="334"/>
      <c r="AP336" s="331"/>
      <c r="AQ336" s="334"/>
      <c r="AR336" s="334"/>
      <c r="AS336" s="331"/>
      <c r="AT336" s="334"/>
      <c r="AU336" s="334"/>
      <c r="AV336" s="331"/>
      <c r="AW336" s="334"/>
      <c r="AX336" s="334"/>
      <c r="AY336" s="331"/>
      <c r="AZ336" s="334"/>
      <c r="BA336" s="334"/>
      <c r="BB336" s="331"/>
      <c r="BC336" s="334"/>
      <c r="BD336" s="334"/>
      <c r="BE336" s="331"/>
      <c r="BF336" s="334"/>
      <c r="BG336" s="334"/>
      <c r="BH336" s="331"/>
      <c r="BI336" s="334"/>
      <c r="BJ336" s="334"/>
      <c r="BK336" s="331"/>
      <c r="BL336" s="334"/>
      <c r="BM336" s="334"/>
      <c r="BN336" s="331"/>
      <c r="BO336" s="334"/>
      <c r="BP336" s="334"/>
      <c r="BQ336" s="331"/>
      <c r="BR336" s="332"/>
    </row>
    <row r="337" spans="1:70">
      <c r="A337" s="142" t="s">
        <v>4766</v>
      </c>
      <c r="B337" s="268">
        <v>52700</v>
      </c>
      <c r="C337" s="268">
        <v>0</v>
      </c>
      <c r="D337" s="333"/>
      <c r="E337" s="333"/>
      <c r="F337" s="331"/>
      <c r="G337" s="334"/>
      <c r="H337" s="334"/>
      <c r="I337" s="331"/>
      <c r="J337" s="334"/>
      <c r="K337" s="334"/>
      <c r="L337" s="331"/>
      <c r="M337" s="334"/>
      <c r="N337" s="334"/>
      <c r="O337" s="331"/>
      <c r="P337" s="334"/>
      <c r="Q337" s="334"/>
      <c r="R337" s="331"/>
      <c r="S337" s="334"/>
      <c r="T337" s="334"/>
      <c r="U337" s="331"/>
      <c r="V337" s="334"/>
      <c r="W337" s="334"/>
      <c r="X337" s="331"/>
      <c r="Y337" s="334"/>
      <c r="Z337" s="334"/>
      <c r="AA337" s="331"/>
      <c r="AB337" s="334"/>
      <c r="AC337" s="334"/>
      <c r="AD337" s="331"/>
      <c r="AE337" s="334"/>
      <c r="AF337" s="334"/>
      <c r="AG337" s="331"/>
      <c r="AH337" s="334"/>
      <c r="AI337" s="334"/>
      <c r="AJ337" s="331"/>
      <c r="AK337" s="334"/>
      <c r="AL337" s="334"/>
      <c r="AM337" s="331"/>
      <c r="AN337" s="334"/>
      <c r="AO337" s="334"/>
      <c r="AP337" s="331"/>
      <c r="AQ337" s="334"/>
      <c r="AR337" s="334"/>
      <c r="AS337" s="331"/>
      <c r="AT337" s="334"/>
      <c r="AU337" s="334"/>
      <c r="AV337" s="331"/>
      <c r="AW337" s="334"/>
      <c r="AX337" s="334"/>
      <c r="AY337" s="331"/>
      <c r="AZ337" s="334"/>
      <c r="BA337" s="334"/>
      <c r="BB337" s="331"/>
      <c r="BC337" s="334"/>
      <c r="BD337" s="334"/>
      <c r="BE337" s="331"/>
      <c r="BF337" s="334"/>
      <c r="BG337" s="334"/>
      <c r="BH337" s="331"/>
      <c r="BI337" s="334"/>
      <c r="BJ337" s="334"/>
      <c r="BK337" s="331"/>
      <c r="BL337" s="334"/>
      <c r="BM337" s="334"/>
      <c r="BN337" s="331"/>
      <c r="BO337" s="334"/>
      <c r="BP337" s="334"/>
      <c r="BQ337" s="331"/>
      <c r="BR337" s="332"/>
    </row>
    <row r="338" spans="1:70">
      <c r="A338" s="142" t="s">
        <v>3998</v>
      </c>
      <c r="B338" s="268">
        <v>19300</v>
      </c>
      <c r="C338" s="268">
        <v>0</v>
      </c>
      <c r="D338" s="333"/>
      <c r="E338" s="333"/>
      <c r="F338" s="331"/>
      <c r="G338" s="334"/>
      <c r="H338" s="334"/>
      <c r="I338" s="331"/>
      <c r="J338" s="334"/>
      <c r="K338" s="334"/>
      <c r="L338" s="331"/>
      <c r="M338" s="334"/>
      <c r="N338" s="334"/>
      <c r="O338" s="331"/>
      <c r="P338" s="334"/>
      <c r="Q338" s="334"/>
      <c r="R338" s="331"/>
      <c r="S338" s="334"/>
      <c r="T338" s="334"/>
      <c r="U338" s="331"/>
      <c r="V338" s="334"/>
      <c r="W338" s="334"/>
      <c r="X338" s="331"/>
      <c r="Y338" s="334"/>
      <c r="Z338" s="334"/>
      <c r="AA338" s="331"/>
      <c r="AB338" s="334"/>
      <c r="AC338" s="334"/>
      <c r="AD338" s="331"/>
      <c r="AE338" s="334"/>
      <c r="AF338" s="334"/>
      <c r="AG338" s="331"/>
      <c r="AH338" s="334"/>
      <c r="AI338" s="334"/>
      <c r="AJ338" s="331"/>
      <c r="AK338" s="334"/>
      <c r="AL338" s="334"/>
      <c r="AM338" s="331"/>
      <c r="AN338" s="334"/>
      <c r="AO338" s="334"/>
      <c r="AP338" s="331"/>
      <c r="AQ338" s="334"/>
      <c r="AR338" s="334"/>
      <c r="AS338" s="331"/>
      <c r="AT338" s="334"/>
      <c r="AU338" s="334"/>
      <c r="AV338" s="331"/>
      <c r="AW338" s="334"/>
      <c r="AX338" s="334"/>
      <c r="AY338" s="331"/>
      <c r="AZ338" s="334"/>
      <c r="BA338" s="334"/>
      <c r="BB338" s="331"/>
      <c r="BC338" s="334"/>
      <c r="BD338" s="334"/>
      <c r="BE338" s="331"/>
      <c r="BF338" s="334"/>
      <c r="BG338" s="334"/>
      <c r="BH338" s="331"/>
      <c r="BI338" s="334"/>
      <c r="BJ338" s="334"/>
      <c r="BK338" s="331"/>
      <c r="BL338" s="334"/>
      <c r="BM338" s="334"/>
      <c r="BN338" s="331"/>
      <c r="BO338" s="334"/>
      <c r="BP338" s="334"/>
      <c r="BQ338" s="331"/>
      <c r="BR338" s="332"/>
    </row>
    <row r="339" spans="1:70">
      <c r="A339" s="142" t="s">
        <v>4038</v>
      </c>
      <c r="B339" s="268">
        <v>19200</v>
      </c>
      <c r="C339" s="268">
        <v>0</v>
      </c>
      <c r="D339" s="333"/>
      <c r="E339" s="333"/>
      <c r="F339" s="331"/>
      <c r="G339" s="334"/>
      <c r="H339" s="334"/>
      <c r="I339" s="331"/>
      <c r="J339" s="334"/>
      <c r="K339" s="334"/>
      <c r="L339" s="331"/>
      <c r="M339" s="334"/>
      <c r="N339" s="334"/>
      <c r="O339" s="331"/>
      <c r="P339" s="334"/>
      <c r="Q339" s="334"/>
      <c r="R339" s="331"/>
      <c r="S339" s="334"/>
      <c r="T339" s="334"/>
      <c r="U339" s="331"/>
      <c r="V339" s="334"/>
      <c r="W339" s="334"/>
      <c r="X339" s="331"/>
      <c r="Y339" s="334"/>
      <c r="Z339" s="334"/>
      <c r="AA339" s="331"/>
      <c r="AB339" s="334"/>
      <c r="AC339" s="334"/>
      <c r="AD339" s="331"/>
      <c r="AE339" s="334"/>
      <c r="AF339" s="334"/>
      <c r="AG339" s="331"/>
      <c r="AH339" s="334"/>
      <c r="AI339" s="334"/>
      <c r="AJ339" s="331"/>
      <c r="AK339" s="334"/>
      <c r="AL339" s="334"/>
      <c r="AM339" s="331"/>
      <c r="AN339" s="334"/>
      <c r="AO339" s="334"/>
      <c r="AP339" s="331"/>
      <c r="AQ339" s="334"/>
      <c r="AR339" s="334"/>
      <c r="AS339" s="331"/>
      <c r="AT339" s="334"/>
      <c r="AU339" s="334"/>
      <c r="AV339" s="331"/>
      <c r="AW339" s="334"/>
      <c r="AX339" s="334"/>
      <c r="AY339" s="331"/>
      <c r="AZ339" s="334"/>
      <c r="BA339" s="334"/>
      <c r="BB339" s="331"/>
      <c r="BC339" s="334"/>
      <c r="BD339" s="334"/>
      <c r="BE339" s="331"/>
      <c r="BF339" s="334"/>
      <c r="BG339" s="334"/>
      <c r="BH339" s="331"/>
      <c r="BI339" s="334"/>
      <c r="BJ339" s="334"/>
      <c r="BK339" s="331"/>
      <c r="BL339" s="334"/>
      <c r="BM339" s="334"/>
      <c r="BN339" s="331"/>
      <c r="BO339" s="334"/>
      <c r="BP339" s="334"/>
      <c r="BQ339" s="331"/>
      <c r="BR339" s="332"/>
    </row>
    <row r="340" spans="1:70">
      <c r="A340" s="142" t="s">
        <v>4780</v>
      </c>
      <c r="B340" s="268">
        <v>95600</v>
      </c>
      <c r="C340" s="268">
        <v>0</v>
      </c>
      <c r="D340" s="333"/>
      <c r="E340" s="333"/>
      <c r="F340" s="331"/>
      <c r="G340" s="334"/>
      <c r="H340" s="334"/>
      <c r="I340" s="331"/>
      <c r="J340" s="334"/>
      <c r="K340" s="334"/>
      <c r="L340" s="331"/>
      <c r="M340" s="334"/>
      <c r="N340" s="334"/>
      <c r="O340" s="331"/>
      <c r="P340" s="334"/>
      <c r="Q340" s="334"/>
      <c r="R340" s="331"/>
      <c r="S340" s="334"/>
      <c r="T340" s="334"/>
      <c r="U340" s="331"/>
      <c r="V340" s="334"/>
      <c r="W340" s="334"/>
      <c r="X340" s="331"/>
      <c r="Y340" s="334"/>
      <c r="Z340" s="334"/>
      <c r="AA340" s="331"/>
      <c r="AB340" s="334"/>
      <c r="AC340" s="334"/>
      <c r="AD340" s="331"/>
      <c r="AE340" s="334"/>
      <c r="AF340" s="334"/>
      <c r="AG340" s="331"/>
      <c r="AH340" s="334"/>
      <c r="AI340" s="334"/>
      <c r="AJ340" s="331"/>
      <c r="AK340" s="334"/>
      <c r="AL340" s="334"/>
      <c r="AM340" s="331"/>
      <c r="AN340" s="334"/>
      <c r="AO340" s="334"/>
      <c r="AP340" s="331"/>
      <c r="AQ340" s="334"/>
      <c r="AR340" s="334"/>
      <c r="AS340" s="331"/>
      <c r="AT340" s="334"/>
      <c r="AU340" s="334"/>
      <c r="AV340" s="331"/>
      <c r="AW340" s="334"/>
      <c r="AX340" s="334"/>
      <c r="AY340" s="331"/>
      <c r="AZ340" s="334"/>
      <c r="BA340" s="334"/>
      <c r="BB340" s="331"/>
      <c r="BC340" s="334"/>
      <c r="BD340" s="334"/>
      <c r="BE340" s="331"/>
      <c r="BF340" s="334"/>
      <c r="BG340" s="334"/>
      <c r="BH340" s="331"/>
      <c r="BI340" s="334"/>
      <c r="BJ340" s="334"/>
      <c r="BK340" s="331"/>
      <c r="BL340" s="334"/>
      <c r="BM340" s="334"/>
      <c r="BN340" s="331"/>
      <c r="BO340" s="334"/>
      <c r="BP340" s="334"/>
      <c r="BQ340" s="331"/>
      <c r="BR340" s="332"/>
    </row>
    <row r="341" spans="1:70">
      <c r="A341" s="142" t="s">
        <v>3887</v>
      </c>
      <c r="B341" s="268">
        <v>21300</v>
      </c>
      <c r="C341" s="268">
        <v>0</v>
      </c>
      <c r="D341" s="333"/>
      <c r="E341" s="333"/>
      <c r="F341" s="331"/>
      <c r="G341" s="334"/>
      <c r="H341" s="334"/>
      <c r="I341" s="331"/>
      <c r="J341" s="334"/>
      <c r="K341" s="334"/>
      <c r="L341" s="331"/>
      <c r="M341" s="334"/>
      <c r="N341" s="334"/>
      <c r="O341" s="331"/>
      <c r="P341" s="334"/>
      <c r="Q341" s="334"/>
      <c r="R341" s="331"/>
      <c r="S341" s="334"/>
      <c r="T341" s="334"/>
      <c r="U341" s="331"/>
      <c r="V341" s="334"/>
      <c r="W341" s="334"/>
      <c r="X341" s="331"/>
      <c r="Y341" s="334"/>
      <c r="Z341" s="334"/>
      <c r="AA341" s="331"/>
      <c r="AB341" s="334"/>
      <c r="AC341" s="334"/>
      <c r="AD341" s="331"/>
      <c r="AE341" s="334"/>
      <c r="AF341" s="334"/>
      <c r="AG341" s="331"/>
      <c r="AH341" s="334"/>
      <c r="AI341" s="334"/>
      <c r="AJ341" s="331"/>
      <c r="AK341" s="334"/>
      <c r="AL341" s="334"/>
      <c r="AM341" s="331"/>
      <c r="AN341" s="334"/>
      <c r="AO341" s="334"/>
      <c r="AP341" s="331"/>
      <c r="AQ341" s="334"/>
      <c r="AR341" s="334"/>
      <c r="AS341" s="331"/>
      <c r="AT341" s="334"/>
      <c r="AU341" s="334"/>
      <c r="AV341" s="331"/>
      <c r="AW341" s="334"/>
      <c r="AX341" s="334"/>
      <c r="AY341" s="331"/>
      <c r="AZ341" s="334"/>
      <c r="BA341" s="334"/>
      <c r="BB341" s="331"/>
      <c r="BC341" s="334"/>
      <c r="BD341" s="334"/>
      <c r="BE341" s="331"/>
      <c r="BF341" s="334"/>
      <c r="BG341" s="334"/>
      <c r="BH341" s="331"/>
      <c r="BI341" s="334"/>
      <c r="BJ341" s="334"/>
      <c r="BK341" s="331"/>
      <c r="BL341" s="334"/>
      <c r="BM341" s="334"/>
      <c r="BN341" s="331"/>
      <c r="BO341" s="334"/>
      <c r="BP341" s="334"/>
      <c r="BQ341" s="331"/>
      <c r="BR341" s="332"/>
    </row>
    <row r="342" spans="1:70">
      <c r="A342" s="142" t="s">
        <v>4905</v>
      </c>
      <c r="B342" s="268">
        <v>22900</v>
      </c>
      <c r="C342" s="268">
        <v>0</v>
      </c>
      <c r="D342" s="333"/>
      <c r="E342" s="333"/>
      <c r="F342" s="331"/>
      <c r="G342" s="334"/>
      <c r="H342" s="334"/>
      <c r="I342" s="331"/>
      <c r="J342" s="334"/>
      <c r="K342" s="334"/>
      <c r="L342" s="331"/>
      <c r="M342" s="334"/>
      <c r="N342" s="334"/>
      <c r="O342" s="331"/>
      <c r="P342" s="334"/>
      <c r="Q342" s="334"/>
      <c r="R342" s="331"/>
      <c r="S342" s="334"/>
      <c r="T342" s="334"/>
      <c r="U342" s="331"/>
      <c r="V342" s="334"/>
      <c r="W342" s="334"/>
      <c r="X342" s="331"/>
      <c r="Y342" s="334"/>
      <c r="Z342" s="334"/>
      <c r="AA342" s="331"/>
      <c r="AB342" s="334"/>
      <c r="AC342" s="334"/>
      <c r="AD342" s="331"/>
      <c r="AE342" s="334"/>
      <c r="AF342" s="334"/>
      <c r="AG342" s="331"/>
      <c r="AH342" s="334"/>
      <c r="AI342" s="334"/>
      <c r="AJ342" s="331"/>
      <c r="AK342" s="334"/>
      <c r="AL342" s="334"/>
      <c r="AM342" s="331"/>
      <c r="AN342" s="334"/>
      <c r="AO342" s="334"/>
      <c r="AP342" s="331"/>
      <c r="AQ342" s="334"/>
      <c r="AR342" s="334"/>
      <c r="AS342" s="331"/>
      <c r="AT342" s="334"/>
      <c r="AU342" s="334"/>
      <c r="AV342" s="331"/>
      <c r="AW342" s="334"/>
      <c r="AX342" s="334"/>
      <c r="AY342" s="331"/>
      <c r="AZ342" s="334"/>
      <c r="BA342" s="334"/>
      <c r="BB342" s="331"/>
      <c r="BC342" s="334"/>
      <c r="BD342" s="334"/>
      <c r="BE342" s="331"/>
      <c r="BF342" s="334"/>
      <c r="BG342" s="334"/>
      <c r="BH342" s="331"/>
      <c r="BI342" s="334"/>
      <c r="BJ342" s="334"/>
      <c r="BK342" s="331"/>
      <c r="BL342" s="334"/>
      <c r="BM342" s="334"/>
      <c r="BN342" s="331"/>
      <c r="BO342" s="334"/>
      <c r="BP342" s="334"/>
      <c r="BQ342" s="331"/>
      <c r="BR342" s="332"/>
    </row>
    <row r="343" spans="1:70">
      <c r="A343" s="142" t="s">
        <v>4261</v>
      </c>
      <c r="B343" s="268">
        <v>20400</v>
      </c>
      <c r="C343" s="268">
        <v>0</v>
      </c>
      <c r="D343" s="333"/>
      <c r="E343" s="333"/>
      <c r="F343" s="331"/>
      <c r="G343" s="334"/>
      <c r="H343" s="334"/>
      <c r="I343" s="331"/>
      <c r="J343" s="334"/>
      <c r="K343" s="334"/>
      <c r="L343" s="331"/>
      <c r="M343" s="334"/>
      <c r="N343" s="334"/>
      <c r="O343" s="331"/>
      <c r="P343" s="334"/>
      <c r="Q343" s="334"/>
      <c r="R343" s="331"/>
      <c r="S343" s="334"/>
      <c r="T343" s="334"/>
      <c r="U343" s="331"/>
      <c r="V343" s="334"/>
      <c r="W343" s="334"/>
      <c r="X343" s="331"/>
      <c r="Y343" s="334"/>
      <c r="Z343" s="334"/>
      <c r="AA343" s="331"/>
      <c r="AB343" s="334"/>
      <c r="AC343" s="334"/>
      <c r="AD343" s="331"/>
      <c r="AE343" s="334"/>
      <c r="AF343" s="334"/>
      <c r="AG343" s="331"/>
      <c r="AH343" s="334"/>
      <c r="AI343" s="334"/>
      <c r="AJ343" s="331"/>
      <c r="AK343" s="334"/>
      <c r="AL343" s="334"/>
      <c r="AM343" s="331"/>
      <c r="AN343" s="334"/>
      <c r="AO343" s="334"/>
      <c r="AP343" s="331"/>
      <c r="AQ343" s="334"/>
      <c r="AR343" s="334"/>
      <c r="AS343" s="331"/>
      <c r="AT343" s="334"/>
      <c r="AU343" s="334"/>
      <c r="AV343" s="331"/>
      <c r="AW343" s="334"/>
      <c r="AX343" s="334"/>
      <c r="AY343" s="331"/>
      <c r="AZ343" s="334"/>
      <c r="BA343" s="334"/>
      <c r="BB343" s="331"/>
      <c r="BC343" s="334"/>
      <c r="BD343" s="334"/>
      <c r="BE343" s="331"/>
      <c r="BF343" s="334"/>
      <c r="BG343" s="334"/>
      <c r="BH343" s="331"/>
      <c r="BI343" s="334"/>
      <c r="BJ343" s="334"/>
      <c r="BK343" s="331"/>
      <c r="BL343" s="334"/>
      <c r="BM343" s="334"/>
      <c r="BN343" s="331"/>
      <c r="BO343" s="334"/>
      <c r="BP343" s="334"/>
      <c r="BQ343" s="331"/>
      <c r="BR343" s="332"/>
    </row>
    <row r="344" spans="1:70">
      <c r="A344" s="142" t="s">
        <v>4269</v>
      </c>
      <c r="B344" s="268">
        <v>18600</v>
      </c>
      <c r="C344" s="268">
        <v>0</v>
      </c>
      <c r="D344" s="333"/>
      <c r="E344" s="333"/>
      <c r="F344" s="331"/>
      <c r="G344" s="334"/>
      <c r="H344" s="334"/>
      <c r="I344" s="331"/>
      <c r="J344" s="334"/>
      <c r="K344" s="334"/>
      <c r="L344" s="331"/>
      <c r="M344" s="334"/>
      <c r="N344" s="334"/>
      <c r="O344" s="331"/>
      <c r="P344" s="334"/>
      <c r="Q344" s="334"/>
      <c r="R344" s="331"/>
      <c r="S344" s="334"/>
      <c r="T344" s="334"/>
      <c r="U344" s="331"/>
      <c r="V344" s="334"/>
      <c r="W344" s="334"/>
      <c r="X344" s="331"/>
      <c r="Y344" s="334"/>
      <c r="Z344" s="334"/>
      <c r="AA344" s="331"/>
      <c r="AB344" s="334"/>
      <c r="AC344" s="334"/>
      <c r="AD344" s="331"/>
      <c r="AE344" s="334"/>
      <c r="AF344" s="334"/>
      <c r="AG344" s="331"/>
      <c r="AH344" s="334"/>
      <c r="AI344" s="334"/>
      <c r="AJ344" s="331"/>
      <c r="AK344" s="334"/>
      <c r="AL344" s="334"/>
      <c r="AM344" s="331"/>
      <c r="AN344" s="334"/>
      <c r="AO344" s="334"/>
      <c r="AP344" s="331"/>
      <c r="AQ344" s="334"/>
      <c r="AR344" s="334"/>
      <c r="AS344" s="331"/>
      <c r="AT344" s="334"/>
      <c r="AU344" s="334"/>
      <c r="AV344" s="331"/>
      <c r="AW344" s="334"/>
      <c r="AX344" s="334"/>
      <c r="AY344" s="331"/>
      <c r="AZ344" s="334"/>
      <c r="BA344" s="334"/>
      <c r="BB344" s="331"/>
      <c r="BC344" s="334"/>
      <c r="BD344" s="334"/>
      <c r="BE344" s="331"/>
      <c r="BF344" s="334"/>
      <c r="BG344" s="334"/>
      <c r="BH344" s="331"/>
      <c r="BI344" s="334"/>
      <c r="BJ344" s="334"/>
      <c r="BK344" s="331"/>
      <c r="BL344" s="334"/>
      <c r="BM344" s="334"/>
      <c r="BN344" s="331"/>
      <c r="BO344" s="334"/>
      <c r="BP344" s="334"/>
      <c r="BQ344" s="331"/>
      <c r="BR344" s="332"/>
    </row>
    <row r="345" spans="1:70">
      <c r="A345" s="142" t="s">
        <v>4278</v>
      </c>
      <c r="B345" s="268">
        <v>20300</v>
      </c>
      <c r="C345" s="268">
        <v>0</v>
      </c>
      <c r="D345" s="333"/>
      <c r="E345" s="333"/>
      <c r="F345" s="331"/>
      <c r="G345" s="334"/>
      <c r="H345" s="334"/>
      <c r="I345" s="331"/>
      <c r="J345" s="334"/>
      <c r="K345" s="334"/>
      <c r="L345" s="331"/>
      <c r="M345" s="334"/>
      <c r="N345" s="334"/>
      <c r="O345" s="331"/>
      <c r="P345" s="334"/>
      <c r="Q345" s="334"/>
      <c r="R345" s="331"/>
      <c r="S345" s="334"/>
      <c r="T345" s="334"/>
      <c r="U345" s="331"/>
      <c r="V345" s="334"/>
      <c r="W345" s="334"/>
      <c r="X345" s="331"/>
      <c r="Y345" s="334"/>
      <c r="Z345" s="334"/>
      <c r="AA345" s="331"/>
      <c r="AB345" s="334"/>
      <c r="AC345" s="334"/>
      <c r="AD345" s="331"/>
      <c r="AE345" s="334"/>
      <c r="AF345" s="334"/>
      <c r="AG345" s="331"/>
      <c r="AH345" s="334"/>
      <c r="AI345" s="334"/>
      <c r="AJ345" s="331"/>
      <c r="AK345" s="334"/>
      <c r="AL345" s="334"/>
      <c r="AM345" s="331"/>
      <c r="AN345" s="334"/>
      <c r="AO345" s="334"/>
      <c r="AP345" s="331"/>
      <c r="AQ345" s="334"/>
      <c r="AR345" s="334"/>
      <c r="AS345" s="331"/>
      <c r="AT345" s="334"/>
      <c r="AU345" s="334"/>
      <c r="AV345" s="331"/>
      <c r="AW345" s="334"/>
      <c r="AX345" s="334"/>
      <c r="AY345" s="331"/>
      <c r="AZ345" s="334"/>
      <c r="BA345" s="334"/>
      <c r="BB345" s="331"/>
      <c r="BC345" s="334"/>
      <c r="BD345" s="334"/>
      <c r="BE345" s="331"/>
      <c r="BF345" s="334"/>
      <c r="BG345" s="334"/>
      <c r="BH345" s="331"/>
      <c r="BI345" s="334"/>
      <c r="BJ345" s="334"/>
      <c r="BK345" s="331"/>
      <c r="BL345" s="334"/>
      <c r="BM345" s="334"/>
      <c r="BN345" s="331"/>
      <c r="BO345" s="334"/>
      <c r="BP345" s="334"/>
      <c r="BQ345" s="331"/>
      <c r="BR345" s="332"/>
    </row>
    <row r="346" spans="1:70">
      <c r="A346" s="142" t="s">
        <v>2787</v>
      </c>
      <c r="B346" s="268">
        <v>24700</v>
      </c>
      <c r="C346" s="268">
        <v>0</v>
      </c>
      <c r="D346" s="333"/>
      <c r="E346" s="333"/>
      <c r="F346" s="331"/>
      <c r="G346" s="334"/>
      <c r="H346" s="334"/>
      <c r="I346" s="331"/>
      <c r="J346" s="334"/>
      <c r="K346" s="334"/>
      <c r="L346" s="331"/>
      <c r="M346" s="334"/>
      <c r="N346" s="334"/>
      <c r="O346" s="331"/>
      <c r="P346" s="334"/>
      <c r="Q346" s="334"/>
      <c r="R346" s="331"/>
      <c r="S346" s="334"/>
      <c r="T346" s="334"/>
      <c r="U346" s="331"/>
      <c r="V346" s="334"/>
      <c r="W346" s="334"/>
      <c r="X346" s="331"/>
      <c r="Y346" s="334"/>
      <c r="Z346" s="334"/>
      <c r="AA346" s="331"/>
      <c r="AB346" s="334"/>
      <c r="AC346" s="334"/>
      <c r="AD346" s="331"/>
      <c r="AE346" s="334"/>
      <c r="AF346" s="334"/>
      <c r="AG346" s="331"/>
      <c r="AH346" s="334"/>
      <c r="AI346" s="334"/>
      <c r="AJ346" s="331"/>
      <c r="AK346" s="334"/>
      <c r="AL346" s="334"/>
      <c r="AM346" s="331"/>
      <c r="AN346" s="334"/>
      <c r="AO346" s="334"/>
      <c r="AP346" s="331"/>
      <c r="AQ346" s="334"/>
      <c r="AR346" s="334"/>
      <c r="AS346" s="331"/>
      <c r="AT346" s="334"/>
      <c r="AU346" s="334"/>
      <c r="AV346" s="331"/>
      <c r="AW346" s="334"/>
      <c r="AX346" s="334"/>
      <c r="AY346" s="331"/>
      <c r="AZ346" s="334"/>
      <c r="BA346" s="334"/>
      <c r="BB346" s="331"/>
      <c r="BC346" s="334"/>
      <c r="BD346" s="334"/>
      <c r="BE346" s="331"/>
      <c r="BF346" s="334"/>
      <c r="BG346" s="334"/>
      <c r="BH346" s="331"/>
      <c r="BI346" s="334"/>
      <c r="BJ346" s="334"/>
      <c r="BK346" s="331"/>
      <c r="BL346" s="334"/>
      <c r="BM346" s="334"/>
      <c r="BN346" s="331"/>
      <c r="BO346" s="334"/>
      <c r="BP346" s="334"/>
      <c r="BQ346" s="331"/>
      <c r="BR346" s="332"/>
    </row>
    <row r="347" spans="1:70">
      <c r="A347" s="142" t="s">
        <v>3480</v>
      </c>
      <c r="B347" s="268">
        <v>43000</v>
      </c>
      <c r="C347" s="268">
        <v>0</v>
      </c>
      <c r="D347" s="333"/>
      <c r="E347" s="333"/>
      <c r="F347" s="331"/>
      <c r="G347" s="334"/>
      <c r="H347" s="334"/>
      <c r="I347" s="331"/>
      <c r="J347" s="334"/>
      <c r="K347" s="334"/>
      <c r="L347" s="331"/>
      <c r="M347" s="334"/>
      <c r="N347" s="334"/>
      <c r="O347" s="331"/>
      <c r="P347" s="334"/>
      <c r="Q347" s="334"/>
      <c r="R347" s="331"/>
      <c r="S347" s="334"/>
      <c r="T347" s="334"/>
      <c r="U347" s="331"/>
      <c r="V347" s="334"/>
      <c r="W347" s="334"/>
      <c r="X347" s="331"/>
      <c r="Y347" s="334"/>
      <c r="Z347" s="334"/>
      <c r="AA347" s="331"/>
      <c r="AB347" s="334"/>
      <c r="AC347" s="334"/>
      <c r="AD347" s="331"/>
      <c r="AE347" s="334"/>
      <c r="AF347" s="334"/>
      <c r="AG347" s="331"/>
      <c r="AH347" s="334"/>
      <c r="AI347" s="334"/>
      <c r="AJ347" s="331"/>
      <c r="AK347" s="334"/>
      <c r="AL347" s="334"/>
      <c r="AM347" s="331"/>
      <c r="AN347" s="334"/>
      <c r="AO347" s="334"/>
      <c r="AP347" s="331"/>
      <c r="AQ347" s="334"/>
      <c r="AR347" s="334"/>
      <c r="AS347" s="331"/>
      <c r="AT347" s="334"/>
      <c r="AU347" s="334"/>
      <c r="AV347" s="331"/>
      <c r="AW347" s="334"/>
      <c r="AX347" s="334"/>
      <c r="AY347" s="331"/>
      <c r="AZ347" s="334"/>
      <c r="BA347" s="334"/>
      <c r="BB347" s="331"/>
      <c r="BC347" s="334"/>
      <c r="BD347" s="334"/>
      <c r="BE347" s="331"/>
      <c r="BF347" s="334"/>
      <c r="BG347" s="334"/>
      <c r="BH347" s="331"/>
      <c r="BI347" s="334"/>
      <c r="BJ347" s="334"/>
      <c r="BK347" s="331"/>
      <c r="BL347" s="334"/>
      <c r="BM347" s="334"/>
      <c r="BN347" s="331"/>
      <c r="BO347" s="334"/>
      <c r="BP347" s="334"/>
      <c r="BQ347" s="331"/>
      <c r="BR347" s="332"/>
    </row>
    <row r="348" spans="1:70">
      <c r="A348" s="142" t="s">
        <v>3619</v>
      </c>
      <c r="B348" s="268">
        <v>10300</v>
      </c>
      <c r="C348" s="268">
        <v>0</v>
      </c>
      <c r="D348" s="333"/>
      <c r="E348" s="333"/>
      <c r="F348" s="331"/>
      <c r="G348" s="334"/>
      <c r="H348" s="334"/>
      <c r="I348" s="331"/>
      <c r="J348" s="334"/>
      <c r="K348" s="334"/>
      <c r="L348" s="331"/>
      <c r="M348" s="334"/>
      <c r="N348" s="334"/>
      <c r="O348" s="331"/>
      <c r="P348" s="334"/>
      <c r="Q348" s="334"/>
      <c r="R348" s="331"/>
      <c r="S348" s="334"/>
      <c r="T348" s="334"/>
      <c r="U348" s="331"/>
      <c r="V348" s="334"/>
      <c r="W348" s="334"/>
      <c r="X348" s="331"/>
      <c r="Y348" s="334"/>
      <c r="Z348" s="334"/>
      <c r="AA348" s="331"/>
      <c r="AB348" s="334"/>
      <c r="AC348" s="334"/>
      <c r="AD348" s="331"/>
      <c r="AE348" s="334"/>
      <c r="AF348" s="334"/>
      <c r="AG348" s="331"/>
      <c r="AH348" s="334"/>
      <c r="AI348" s="334"/>
      <c r="AJ348" s="331"/>
      <c r="AK348" s="334"/>
      <c r="AL348" s="334"/>
      <c r="AM348" s="331"/>
      <c r="AN348" s="334"/>
      <c r="AO348" s="334"/>
      <c r="AP348" s="331"/>
      <c r="AQ348" s="334"/>
      <c r="AR348" s="334"/>
      <c r="AS348" s="331"/>
      <c r="AT348" s="334"/>
      <c r="AU348" s="334"/>
      <c r="AV348" s="331"/>
      <c r="AW348" s="334"/>
      <c r="AX348" s="334"/>
      <c r="AY348" s="331"/>
      <c r="AZ348" s="334"/>
      <c r="BA348" s="334"/>
      <c r="BB348" s="331"/>
      <c r="BC348" s="334"/>
      <c r="BD348" s="334"/>
      <c r="BE348" s="331"/>
      <c r="BF348" s="334"/>
      <c r="BG348" s="334"/>
      <c r="BH348" s="331"/>
      <c r="BI348" s="334"/>
      <c r="BJ348" s="334"/>
      <c r="BK348" s="331"/>
      <c r="BL348" s="334"/>
      <c r="BM348" s="334"/>
      <c r="BN348" s="331"/>
      <c r="BO348" s="334"/>
      <c r="BP348" s="334"/>
      <c r="BQ348" s="331"/>
      <c r="BR348" s="332"/>
    </row>
    <row r="349" spans="1:70">
      <c r="A349" s="142" t="s">
        <v>3634</v>
      </c>
      <c r="B349" s="268">
        <v>5800</v>
      </c>
      <c r="C349" s="268">
        <v>0</v>
      </c>
      <c r="D349" s="333"/>
      <c r="E349" s="333"/>
      <c r="F349" s="331"/>
      <c r="G349" s="334"/>
      <c r="H349" s="334"/>
      <c r="I349" s="331"/>
      <c r="J349" s="334"/>
      <c r="K349" s="334"/>
      <c r="L349" s="331"/>
      <c r="M349" s="334"/>
      <c r="N349" s="334"/>
      <c r="O349" s="331"/>
      <c r="P349" s="334"/>
      <c r="Q349" s="334"/>
      <c r="R349" s="331"/>
      <c r="S349" s="334"/>
      <c r="T349" s="334"/>
      <c r="U349" s="331"/>
      <c r="V349" s="334"/>
      <c r="W349" s="334"/>
      <c r="X349" s="331"/>
      <c r="Y349" s="334"/>
      <c r="Z349" s="334"/>
      <c r="AA349" s="331"/>
      <c r="AB349" s="334"/>
      <c r="AC349" s="334"/>
      <c r="AD349" s="331"/>
      <c r="AE349" s="334"/>
      <c r="AF349" s="334"/>
      <c r="AG349" s="331"/>
      <c r="AH349" s="334"/>
      <c r="AI349" s="334"/>
      <c r="AJ349" s="331"/>
      <c r="AK349" s="334"/>
      <c r="AL349" s="334"/>
      <c r="AM349" s="331"/>
      <c r="AN349" s="334"/>
      <c r="AO349" s="334"/>
      <c r="AP349" s="331"/>
      <c r="AQ349" s="334"/>
      <c r="AR349" s="334"/>
      <c r="AS349" s="331"/>
      <c r="AT349" s="334"/>
      <c r="AU349" s="334"/>
      <c r="AV349" s="331"/>
      <c r="AW349" s="334"/>
      <c r="AX349" s="334"/>
      <c r="AY349" s="331"/>
      <c r="AZ349" s="334"/>
      <c r="BA349" s="334"/>
      <c r="BB349" s="331"/>
      <c r="BC349" s="334"/>
      <c r="BD349" s="334"/>
      <c r="BE349" s="331"/>
      <c r="BF349" s="334"/>
      <c r="BG349" s="334"/>
      <c r="BH349" s="331"/>
      <c r="BI349" s="334"/>
      <c r="BJ349" s="334"/>
      <c r="BK349" s="331"/>
      <c r="BL349" s="334"/>
      <c r="BM349" s="334"/>
      <c r="BN349" s="331"/>
      <c r="BO349" s="334"/>
      <c r="BP349" s="334"/>
      <c r="BQ349" s="331"/>
      <c r="BR349" s="332"/>
    </row>
    <row r="350" spans="1:70">
      <c r="A350" s="142" t="s">
        <v>3626</v>
      </c>
      <c r="B350" s="268">
        <v>9800</v>
      </c>
      <c r="C350" s="268">
        <v>0</v>
      </c>
      <c r="D350" s="333"/>
      <c r="E350" s="333"/>
      <c r="F350" s="331"/>
      <c r="G350" s="334"/>
      <c r="H350" s="334"/>
      <c r="I350" s="331"/>
      <c r="J350" s="334"/>
      <c r="K350" s="334"/>
      <c r="L350" s="331"/>
      <c r="M350" s="334"/>
      <c r="N350" s="334"/>
      <c r="O350" s="331"/>
      <c r="P350" s="334"/>
      <c r="Q350" s="334"/>
      <c r="R350" s="331"/>
      <c r="S350" s="334"/>
      <c r="T350" s="334"/>
      <c r="U350" s="331"/>
      <c r="V350" s="334"/>
      <c r="W350" s="334"/>
      <c r="X350" s="331"/>
      <c r="Y350" s="334"/>
      <c r="Z350" s="334"/>
      <c r="AA350" s="331"/>
      <c r="AB350" s="334"/>
      <c r="AC350" s="334"/>
      <c r="AD350" s="331"/>
      <c r="AE350" s="334"/>
      <c r="AF350" s="334"/>
      <c r="AG350" s="331"/>
      <c r="AH350" s="334"/>
      <c r="AI350" s="334"/>
      <c r="AJ350" s="331"/>
      <c r="AK350" s="334"/>
      <c r="AL350" s="334"/>
      <c r="AM350" s="331"/>
      <c r="AN350" s="334"/>
      <c r="AO350" s="334"/>
      <c r="AP350" s="331"/>
      <c r="AQ350" s="334"/>
      <c r="AR350" s="334"/>
      <c r="AS350" s="331"/>
      <c r="AT350" s="334"/>
      <c r="AU350" s="334"/>
      <c r="AV350" s="331"/>
      <c r="AW350" s="334"/>
      <c r="AX350" s="334"/>
      <c r="AY350" s="331"/>
      <c r="AZ350" s="334"/>
      <c r="BA350" s="334"/>
      <c r="BB350" s="331"/>
      <c r="BC350" s="334"/>
      <c r="BD350" s="334"/>
      <c r="BE350" s="331"/>
      <c r="BF350" s="334"/>
      <c r="BG350" s="334"/>
      <c r="BH350" s="331"/>
      <c r="BI350" s="334"/>
      <c r="BJ350" s="334"/>
      <c r="BK350" s="331"/>
      <c r="BL350" s="334"/>
      <c r="BM350" s="334"/>
      <c r="BN350" s="331"/>
      <c r="BO350" s="334"/>
      <c r="BP350" s="334"/>
      <c r="BQ350" s="331"/>
      <c r="BR350" s="332"/>
    </row>
    <row r="351" spans="1:70">
      <c r="A351" s="142" t="s">
        <v>3639</v>
      </c>
      <c r="B351" s="268">
        <v>5700</v>
      </c>
      <c r="C351" s="268">
        <v>0</v>
      </c>
      <c r="D351" s="333"/>
      <c r="E351" s="333"/>
      <c r="F351" s="331"/>
      <c r="G351" s="334"/>
      <c r="H351" s="334"/>
      <c r="I351" s="331"/>
      <c r="J351" s="334"/>
      <c r="K351" s="334"/>
      <c r="L351" s="331"/>
      <c r="M351" s="334"/>
      <c r="N351" s="334"/>
      <c r="O351" s="331"/>
      <c r="P351" s="334"/>
      <c r="Q351" s="334"/>
      <c r="R351" s="331"/>
      <c r="S351" s="334"/>
      <c r="T351" s="334"/>
      <c r="U351" s="331"/>
      <c r="V351" s="334"/>
      <c r="W351" s="334"/>
      <c r="X351" s="331"/>
      <c r="Y351" s="334"/>
      <c r="Z351" s="334"/>
      <c r="AA351" s="331"/>
      <c r="AB351" s="334"/>
      <c r="AC351" s="334"/>
      <c r="AD351" s="331"/>
      <c r="AE351" s="334"/>
      <c r="AF351" s="334"/>
      <c r="AG351" s="331"/>
      <c r="AH351" s="334"/>
      <c r="AI351" s="334"/>
      <c r="AJ351" s="331"/>
      <c r="AK351" s="334"/>
      <c r="AL351" s="334"/>
      <c r="AM351" s="331"/>
      <c r="AN351" s="334"/>
      <c r="AO351" s="334"/>
      <c r="AP351" s="331"/>
      <c r="AQ351" s="334"/>
      <c r="AR351" s="334"/>
      <c r="AS351" s="331"/>
      <c r="AT351" s="334"/>
      <c r="AU351" s="334"/>
      <c r="AV351" s="331"/>
      <c r="AW351" s="334"/>
      <c r="AX351" s="334"/>
      <c r="AY351" s="331"/>
      <c r="AZ351" s="334"/>
      <c r="BA351" s="334"/>
      <c r="BB351" s="331"/>
      <c r="BC351" s="334"/>
      <c r="BD351" s="334"/>
      <c r="BE351" s="331"/>
      <c r="BF351" s="334"/>
      <c r="BG351" s="334"/>
      <c r="BH351" s="331"/>
      <c r="BI351" s="334"/>
      <c r="BJ351" s="334"/>
      <c r="BK351" s="331"/>
      <c r="BL351" s="334"/>
      <c r="BM351" s="334"/>
      <c r="BN351" s="331"/>
      <c r="BO351" s="334"/>
      <c r="BP351" s="334"/>
      <c r="BQ351" s="331"/>
      <c r="BR351" s="332"/>
    </row>
    <row r="352" spans="1:70">
      <c r="A352" s="142" t="s">
        <v>4083</v>
      </c>
      <c r="B352" s="268">
        <v>16200</v>
      </c>
      <c r="C352" s="268">
        <v>0</v>
      </c>
      <c r="D352" s="333"/>
      <c r="E352" s="333"/>
      <c r="F352" s="331"/>
      <c r="G352" s="334"/>
      <c r="H352" s="334"/>
      <c r="I352" s="331"/>
      <c r="J352" s="334"/>
      <c r="K352" s="334"/>
      <c r="L352" s="331"/>
      <c r="M352" s="334"/>
      <c r="N352" s="334"/>
      <c r="O352" s="331"/>
      <c r="P352" s="334"/>
      <c r="Q352" s="334"/>
      <c r="R352" s="331"/>
      <c r="S352" s="334"/>
      <c r="T352" s="334"/>
      <c r="U352" s="331"/>
      <c r="V352" s="334"/>
      <c r="W352" s="334"/>
      <c r="X352" s="331"/>
      <c r="Y352" s="334"/>
      <c r="Z352" s="334"/>
      <c r="AA352" s="331"/>
      <c r="AB352" s="334"/>
      <c r="AC352" s="334"/>
      <c r="AD352" s="331"/>
      <c r="AE352" s="334"/>
      <c r="AF352" s="334"/>
      <c r="AG352" s="331"/>
      <c r="AH352" s="334"/>
      <c r="AI352" s="334"/>
      <c r="AJ352" s="331"/>
      <c r="AK352" s="334"/>
      <c r="AL352" s="334"/>
      <c r="AM352" s="331"/>
      <c r="AN352" s="334"/>
      <c r="AO352" s="334"/>
      <c r="AP352" s="331"/>
      <c r="AQ352" s="334"/>
      <c r="AR352" s="334"/>
      <c r="AS352" s="331"/>
      <c r="AT352" s="334"/>
      <c r="AU352" s="334"/>
      <c r="AV352" s="331"/>
      <c r="AW352" s="334"/>
      <c r="AX352" s="334"/>
      <c r="AY352" s="331"/>
      <c r="AZ352" s="334"/>
      <c r="BA352" s="334"/>
      <c r="BB352" s="331"/>
      <c r="BC352" s="334"/>
      <c r="BD352" s="334"/>
      <c r="BE352" s="331"/>
      <c r="BF352" s="334"/>
      <c r="BG352" s="334"/>
      <c r="BH352" s="331"/>
      <c r="BI352" s="334"/>
      <c r="BJ352" s="334"/>
      <c r="BK352" s="331"/>
      <c r="BL352" s="334"/>
      <c r="BM352" s="334"/>
      <c r="BN352" s="331"/>
      <c r="BO352" s="334"/>
      <c r="BP352" s="334"/>
      <c r="BQ352" s="331"/>
      <c r="BR352" s="332"/>
    </row>
    <row r="353" spans="1:70">
      <c r="A353" s="142" t="s">
        <v>4174</v>
      </c>
      <c r="B353" s="268">
        <v>22600</v>
      </c>
      <c r="C353" s="268">
        <v>0</v>
      </c>
      <c r="D353" s="333"/>
      <c r="E353" s="333"/>
      <c r="F353" s="331"/>
      <c r="G353" s="334"/>
      <c r="H353" s="334"/>
      <c r="I353" s="331"/>
      <c r="J353" s="334"/>
      <c r="K353" s="334"/>
      <c r="L353" s="331"/>
      <c r="M353" s="334"/>
      <c r="N353" s="334"/>
      <c r="O353" s="331"/>
      <c r="P353" s="334"/>
      <c r="Q353" s="334"/>
      <c r="R353" s="331"/>
      <c r="S353" s="334"/>
      <c r="T353" s="334"/>
      <c r="U353" s="331"/>
      <c r="V353" s="334"/>
      <c r="W353" s="334"/>
      <c r="X353" s="331"/>
      <c r="Y353" s="334"/>
      <c r="Z353" s="334"/>
      <c r="AA353" s="331"/>
      <c r="AB353" s="334"/>
      <c r="AC353" s="334"/>
      <c r="AD353" s="331"/>
      <c r="AE353" s="334"/>
      <c r="AF353" s="334"/>
      <c r="AG353" s="331"/>
      <c r="AH353" s="334"/>
      <c r="AI353" s="334"/>
      <c r="AJ353" s="331"/>
      <c r="AK353" s="334"/>
      <c r="AL353" s="334"/>
      <c r="AM353" s="331"/>
      <c r="AN353" s="334"/>
      <c r="AO353" s="334"/>
      <c r="AP353" s="331"/>
      <c r="AQ353" s="334"/>
      <c r="AR353" s="334"/>
      <c r="AS353" s="331"/>
      <c r="AT353" s="334"/>
      <c r="AU353" s="334"/>
      <c r="AV353" s="331"/>
      <c r="AW353" s="334"/>
      <c r="AX353" s="334"/>
      <c r="AY353" s="331"/>
      <c r="AZ353" s="334"/>
      <c r="BA353" s="334"/>
      <c r="BB353" s="331"/>
      <c r="BC353" s="334"/>
      <c r="BD353" s="334"/>
      <c r="BE353" s="331"/>
      <c r="BF353" s="334"/>
      <c r="BG353" s="334"/>
      <c r="BH353" s="331"/>
      <c r="BI353" s="334"/>
      <c r="BJ353" s="334"/>
      <c r="BK353" s="331"/>
      <c r="BL353" s="334"/>
      <c r="BM353" s="334"/>
      <c r="BN353" s="331"/>
      <c r="BO353" s="334"/>
      <c r="BP353" s="334"/>
      <c r="BQ353" s="331"/>
      <c r="BR353" s="332"/>
    </row>
    <row r="354" spans="1:70">
      <c r="A354" s="142" t="s">
        <v>4156</v>
      </c>
      <c r="B354" s="268">
        <v>22800</v>
      </c>
      <c r="C354" s="268">
        <v>0</v>
      </c>
      <c r="D354" s="333"/>
      <c r="E354" s="333"/>
      <c r="F354" s="331"/>
      <c r="G354" s="334"/>
      <c r="H354" s="334"/>
      <c r="I354" s="331"/>
      <c r="J354" s="334"/>
      <c r="K354" s="334"/>
      <c r="L354" s="331"/>
      <c r="M354" s="334"/>
      <c r="N354" s="334"/>
      <c r="O354" s="331"/>
      <c r="P354" s="334"/>
      <c r="Q354" s="334"/>
      <c r="R354" s="331"/>
      <c r="S354" s="334"/>
      <c r="T354" s="334"/>
      <c r="U354" s="331"/>
      <c r="V354" s="334"/>
      <c r="W354" s="334"/>
      <c r="X354" s="331"/>
      <c r="Y354" s="334"/>
      <c r="Z354" s="334"/>
      <c r="AA354" s="331"/>
      <c r="AB354" s="334"/>
      <c r="AC354" s="334"/>
      <c r="AD354" s="331"/>
      <c r="AE354" s="334"/>
      <c r="AF354" s="334"/>
      <c r="AG354" s="331"/>
      <c r="AH354" s="334"/>
      <c r="AI354" s="334"/>
      <c r="AJ354" s="331"/>
      <c r="AK354" s="334"/>
      <c r="AL354" s="334"/>
      <c r="AM354" s="331"/>
      <c r="AN354" s="334"/>
      <c r="AO354" s="334"/>
      <c r="AP354" s="331"/>
      <c r="AQ354" s="334"/>
      <c r="AR354" s="334"/>
      <c r="AS354" s="331"/>
      <c r="AT354" s="334"/>
      <c r="AU354" s="334"/>
      <c r="AV354" s="331"/>
      <c r="AW354" s="334"/>
      <c r="AX354" s="334"/>
      <c r="AY354" s="331"/>
      <c r="AZ354" s="334"/>
      <c r="BA354" s="334"/>
      <c r="BB354" s="331"/>
      <c r="BC354" s="334"/>
      <c r="BD354" s="334"/>
      <c r="BE354" s="331"/>
      <c r="BF354" s="334"/>
      <c r="BG354" s="334"/>
      <c r="BH354" s="331"/>
      <c r="BI354" s="334"/>
      <c r="BJ354" s="334"/>
      <c r="BK354" s="331"/>
      <c r="BL354" s="334"/>
      <c r="BM354" s="334"/>
      <c r="BN354" s="331"/>
      <c r="BO354" s="334"/>
      <c r="BP354" s="334"/>
      <c r="BQ354" s="331"/>
      <c r="BR354" s="332"/>
    </row>
    <row r="355" spans="1:70">
      <c r="A355" s="142" t="s">
        <v>4182</v>
      </c>
      <c r="B355" s="268">
        <v>22400</v>
      </c>
      <c r="C355" s="268">
        <v>0</v>
      </c>
      <c r="D355" s="333"/>
      <c r="E355" s="333"/>
      <c r="F355" s="331"/>
      <c r="G355" s="334"/>
      <c r="H355" s="334"/>
      <c r="I355" s="331"/>
      <c r="J355" s="334"/>
      <c r="K355" s="334"/>
      <c r="L355" s="331"/>
      <c r="M355" s="334"/>
      <c r="N355" s="334"/>
      <c r="O355" s="331"/>
      <c r="P355" s="334"/>
      <c r="Q355" s="334"/>
      <c r="R355" s="331"/>
      <c r="S355" s="334"/>
      <c r="T355" s="334"/>
      <c r="U355" s="331"/>
      <c r="V355" s="334"/>
      <c r="W355" s="334"/>
      <c r="X355" s="331"/>
      <c r="Y355" s="334"/>
      <c r="Z355" s="334"/>
      <c r="AA355" s="331"/>
      <c r="AB355" s="334"/>
      <c r="AC355" s="334"/>
      <c r="AD355" s="331"/>
      <c r="AE355" s="334"/>
      <c r="AF355" s="334"/>
      <c r="AG355" s="331"/>
      <c r="AH355" s="334"/>
      <c r="AI355" s="334"/>
      <c r="AJ355" s="331"/>
      <c r="AK355" s="334"/>
      <c r="AL355" s="334"/>
      <c r="AM355" s="331"/>
      <c r="AN355" s="334"/>
      <c r="AO355" s="334"/>
      <c r="AP355" s="331"/>
      <c r="AQ355" s="334"/>
      <c r="AR355" s="334"/>
      <c r="AS355" s="331"/>
      <c r="AT355" s="334"/>
      <c r="AU355" s="334"/>
      <c r="AV355" s="331"/>
      <c r="AW355" s="334"/>
      <c r="AX355" s="334"/>
      <c r="AY355" s="331"/>
      <c r="AZ355" s="334"/>
      <c r="BA355" s="334"/>
      <c r="BB355" s="331"/>
      <c r="BC355" s="334"/>
      <c r="BD355" s="334"/>
      <c r="BE355" s="331"/>
      <c r="BF355" s="334"/>
      <c r="BG355" s="334"/>
      <c r="BH355" s="331"/>
      <c r="BI355" s="334"/>
      <c r="BJ355" s="334"/>
      <c r="BK355" s="331"/>
      <c r="BL355" s="334"/>
      <c r="BM355" s="334"/>
      <c r="BN355" s="331"/>
      <c r="BO355" s="334"/>
      <c r="BP355" s="334"/>
      <c r="BQ355" s="331"/>
      <c r="BR355" s="332"/>
    </row>
    <row r="356" spans="1:70">
      <c r="A356" s="142" t="s">
        <v>4164</v>
      </c>
      <c r="B356" s="268">
        <v>22700</v>
      </c>
      <c r="C356" s="268">
        <v>0</v>
      </c>
      <c r="D356" s="333"/>
      <c r="E356" s="333"/>
      <c r="F356" s="331"/>
      <c r="G356" s="334"/>
      <c r="H356" s="334"/>
      <c r="I356" s="331"/>
      <c r="J356" s="334"/>
      <c r="K356" s="334"/>
      <c r="L356" s="331"/>
      <c r="M356" s="334"/>
      <c r="N356" s="334"/>
      <c r="O356" s="331"/>
      <c r="P356" s="334"/>
      <c r="Q356" s="334"/>
      <c r="R356" s="331"/>
      <c r="S356" s="334"/>
      <c r="T356" s="334"/>
      <c r="U356" s="331"/>
      <c r="V356" s="334"/>
      <c r="W356" s="334"/>
      <c r="X356" s="331"/>
      <c r="Y356" s="334"/>
      <c r="Z356" s="334"/>
      <c r="AA356" s="331"/>
      <c r="AB356" s="334"/>
      <c r="AC356" s="334"/>
      <c r="AD356" s="331"/>
      <c r="AE356" s="334"/>
      <c r="AF356" s="334"/>
      <c r="AG356" s="331"/>
      <c r="AH356" s="334"/>
      <c r="AI356" s="334"/>
      <c r="AJ356" s="331"/>
      <c r="AK356" s="334"/>
      <c r="AL356" s="334"/>
      <c r="AM356" s="331"/>
      <c r="AN356" s="334"/>
      <c r="AO356" s="334"/>
      <c r="AP356" s="331"/>
      <c r="AQ356" s="334"/>
      <c r="AR356" s="334"/>
      <c r="AS356" s="331"/>
      <c r="AT356" s="334"/>
      <c r="AU356" s="334"/>
      <c r="AV356" s="331"/>
      <c r="AW356" s="334"/>
      <c r="AX356" s="334"/>
      <c r="AY356" s="331"/>
      <c r="AZ356" s="334"/>
      <c r="BA356" s="334"/>
      <c r="BB356" s="331"/>
      <c r="BC356" s="334"/>
      <c r="BD356" s="334"/>
      <c r="BE356" s="331"/>
      <c r="BF356" s="334"/>
      <c r="BG356" s="334"/>
      <c r="BH356" s="331"/>
      <c r="BI356" s="334"/>
      <c r="BJ356" s="334"/>
      <c r="BK356" s="331"/>
      <c r="BL356" s="334"/>
      <c r="BM356" s="334"/>
      <c r="BN356" s="331"/>
      <c r="BO356" s="334"/>
      <c r="BP356" s="334"/>
      <c r="BQ356" s="331"/>
      <c r="BR356" s="332"/>
    </row>
    <row r="357" spans="1:70">
      <c r="A357" s="142" t="s">
        <v>4147</v>
      </c>
      <c r="B357" s="268">
        <v>22700</v>
      </c>
      <c r="C357" s="268">
        <v>0</v>
      </c>
      <c r="D357" s="333"/>
      <c r="E357" s="333"/>
      <c r="F357" s="331"/>
      <c r="G357" s="334"/>
      <c r="H357" s="334"/>
      <c r="I357" s="331"/>
      <c r="J357" s="334"/>
      <c r="K357" s="334"/>
      <c r="L357" s="331"/>
      <c r="M357" s="334"/>
      <c r="N357" s="334"/>
      <c r="O357" s="331"/>
      <c r="P357" s="334"/>
      <c r="Q357" s="334"/>
      <c r="R357" s="331"/>
      <c r="S357" s="334"/>
      <c r="T357" s="334"/>
      <c r="U357" s="331"/>
      <c r="V357" s="334"/>
      <c r="W357" s="334"/>
      <c r="X357" s="331"/>
      <c r="Y357" s="334"/>
      <c r="Z357" s="334"/>
      <c r="AA357" s="331"/>
      <c r="AB357" s="334"/>
      <c r="AC357" s="334"/>
      <c r="AD357" s="331"/>
      <c r="AE357" s="334"/>
      <c r="AF357" s="334"/>
      <c r="AG357" s="331"/>
      <c r="AH357" s="334"/>
      <c r="AI357" s="334"/>
      <c r="AJ357" s="331"/>
      <c r="AK357" s="334"/>
      <c r="AL357" s="334"/>
      <c r="AM357" s="331"/>
      <c r="AN357" s="334"/>
      <c r="AO357" s="334"/>
      <c r="AP357" s="331"/>
      <c r="AQ357" s="334"/>
      <c r="AR357" s="334"/>
      <c r="AS357" s="331"/>
      <c r="AT357" s="334"/>
      <c r="AU357" s="334"/>
      <c r="AV357" s="331"/>
      <c r="AW357" s="334"/>
      <c r="AX357" s="334"/>
      <c r="AY357" s="331"/>
      <c r="AZ357" s="334"/>
      <c r="BA357" s="334"/>
      <c r="BB357" s="331"/>
      <c r="BC357" s="334"/>
      <c r="BD357" s="334"/>
      <c r="BE357" s="331"/>
      <c r="BF357" s="334"/>
      <c r="BG357" s="334"/>
      <c r="BH357" s="331"/>
      <c r="BI357" s="334"/>
      <c r="BJ357" s="334"/>
      <c r="BK357" s="331"/>
      <c r="BL357" s="334"/>
      <c r="BM357" s="334"/>
      <c r="BN357" s="331"/>
      <c r="BO357" s="334"/>
      <c r="BP357" s="334"/>
      <c r="BQ357" s="331"/>
      <c r="BR357" s="332"/>
    </row>
    <row r="358" spans="1:70">
      <c r="A358" s="142" t="s">
        <v>4544</v>
      </c>
      <c r="B358" s="268">
        <v>15100</v>
      </c>
      <c r="C358" s="268">
        <v>0</v>
      </c>
      <c r="D358" s="333"/>
      <c r="E358" s="333"/>
      <c r="F358" s="331"/>
      <c r="G358" s="334"/>
      <c r="H358" s="334"/>
      <c r="I358" s="331"/>
      <c r="J358" s="334"/>
      <c r="K358" s="334"/>
      <c r="L358" s="331"/>
      <c r="M358" s="334"/>
      <c r="N358" s="334"/>
      <c r="O358" s="331"/>
      <c r="P358" s="334"/>
      <c r="Q358" s="334"/>
      <c r="R358" s="331"/>
      <c r="S358" s="334"/>
      <c r="T358" s="334"/>
      <c r="U358" s="331"/>
      <c r="V358" s="334"/>
      <c r="W358" s="334"/>
      <c r="X358" s="331"/>
      <c r="Y358" s="334"/>
      <c r="Z358" s="334"/>
      <c r="AA358" s="331"/>
      <c r="AB358" s="334"/>
      <c r="AC358" s="334"/>
      <c r="AD358" s="331"/>
      <c r="AE358" s="334"/>
      <c r="AF358" s="334"/>
      <c r="AG358" s="331"/>
      <c r="AH358" s="334"/>
      <c r="AI358" s="334"/>
      <c r="AJ358" s="331"/>
      <c r="AK358" s="334"/>
      <c r="AL358" s="334"/>
      <c r="AM358" s="331"/>
      <c r="AN358" s="334"/>
      <c r="AO358" s="334"/>
      <c r="AP358" s="331"/>
      <c r="AQ358" s="334"/>
      <c r="AR358" s="334"/>
      <c r="AS358" s="331"/>
      <c r="AT358" s="334"/>
      <c r="AU358" s="334"/>
      <c r="AV358" s="331"/>
      <c r="AW358" s="334"/>
      <c r="AX358" s="334"/>
      <c r="AY358" s="331"/>
      <c r="AZ358" s="334"/>
      <c r="BA358" s="334"/>
      <c r="BB358" s="331"/>
      <c r="BC358" s="334"/>
      <c r="BD358" s="334"/>
      <c r="BE358" s="331"/>
      <c r="BF358" s="334"/>
      <c r="BG358" s="334"/>
      <c r="BH358" s="331"/>
      <c r="BI358" s="334"/>
      <c r="BJ358" s="334"/>
      <c r="BK358" s="331"/>
      <c r="BL358" s="334"/>
      <c r="BM358" s="334"/>
      <c r="BN358" s="331"/>
      <c r="BO358" s="334"/>
      <c r="BP358" s="334"/>
      <c r="BQ358" s="331"/>
      <c r="BR358" s="332"/>
    </row>
    <row r="359" spans="1:70">
      <c r="A359" s="142" t="s">
        <v>4608</v>
      </c>
      <c r="B359" s="268">
        <v>15100</v>
      </c>
      <c r="C359" s="268">
        <v>0</v>
      </c>
      <c r="D359" s="333"/>
      <c r="E359" s="333"/>
      <c r="F359" s="331"/>
      <c r="G359" s="334"/>
      <c r="H359" s="334"/>
      <c r="I359" s="331"/>
      <c r="J359" s="334"/>
      <c r="K359" s="334"/>
      <c r="L359" s="331"/>
      <c r="M359" s="334"/>
      <c r="N359" s="334"/>
      <c r="O359" s="331"/>
      <c r="P359" s="334"/>
      <c r="Q359" s="334"/>
      <c r="R359" s="331"/>
      <c r="S359" s="334"/>
      <c r="T359" s="334"/>
      <c r="U359" s="331"/>
      <c r="V359" s="334"/>
      <c r="W359" s="334"/>
      <c r="X359" s="331"/>
      <c r="Y359" s="334"/>
      <c r="Z359" s="334"/>
      <c r="AA359" s="331"/>
      <c r="AB359" s="334"/>
      <c r="AC359" s="334"/>
      <c r="AD359" s="331"/>
      <c r="AE359" s="334"/>
      <c r="AF359" s="334"/>
      <c r="AG359" s="331"/>
      <c r="AH359" s="334"/>
      <c r="AI359" s="334"/>
      <c r="AJ359" s="331"/>
      <c r="AK359" s="334"/>
      <c r="AL359" s="334"/>
      <c r="AM359" s="331"/>
      <c r="AN359" s="334"/>
      <c r="AO359" s="334"/>
      <c r="AP359" s="331"/>
      <c r="AQ359" s="334"/>
      <c r="AR359" s="334"/>
      <c r="AS359" s="331"/>
      <c r="AT359" s="334"/>
      <c r="AU359" s="334"/>
      <c r="AV359" s="331"/>
      <c r="AW359" s="334"/>
      <c r="AX359" s="334"/>
      <c r="AY359" s="331"/>
      <c r="AZ359" s="334"/>
      <c r="BA359" s="334"/>
      <c r="BB359" s="331"/>
      <c r="BC359" s="334"/>
      <c r="BD359" s="334"/>
      <c r="BE359" s="331"/>
      <c r="BF359" s="334"/>
      <c r="BG359" s="334"/>
      <c r="BH359" s="331"/>
      <c r="BI359" s="334"/>
      <c r="BJ359" s="334"/>
      <c r="BK359" s="331"/>
      <c r="BL359" s="334"/>
      <c r="BM359" s="334"/>
      <c r="BN359" s="331"/>
      <c r="BO359" s="334"/>
      <c r="BP359" s="334"/>
      <c r="BQ359" s="331"/>
      <c r="BR359" s="332"/>
    </row>
    <row r="360" spans="1:70">
      <c r="A360" s="142" t="s">
        <v>4428</v>
      </c>
      <c r="B360" s="268">
        <v>55400</v>
      </c>
      <c r="C360" s="268">
        <v>0</v>
      </c>
      <c r="D360" s="333"/>
      <c r="E360" s="333"/>
      <c r="F360" s="331"/>
      <c r="G360" s="334"/>
      <c r="H360" s="334"/>
      <c r="I360" s="331"/>
      <c r="J360" s="334"/>
      <c r="K360" s="334"/>
      <c r="L360" s="331"/>
      <c r="M360" s="334"/>
      <c r="N360" s="334"/>
      <c r="O360" s="331"/>
      <c r="P360" s="334"/>
      <c r="Q360" s="334"/>
      <c r="R360" s="331"/>
      <c r="S360" s="334"/>
      <c r="T360" s="334"/>
      <c r="U360" s="331"/>
      <c r="V360" s="334"/>
      <c r="W360" s="334"/>
      <c r="X360" s="331"/>
      <c r="Y360" s="334"/>
      <c r="Z360" s="334"/>
      <c r="AA360" s="331"/>
      <c r="AB360" s="334"/>
      <c r="AC360" s="334"/>
      <c r="AD360" s="331"/>
      <c r="AE360" s="334"/>
      <c r="AF360" s="334"/>
      <c r="AG360" s="331"/>
      <c r="AH360" s="334"/>
      <c r="AI360" s="334"/>
      <c r="AJ360" s="331"/>
      <c r="AK360" s="334"/>
      <c r="AL360" s="334"/>
      <c r="AM360" s="331"/>
      <c r="AN360" s="334"/>
      <c r="AO360" s="334"/>
      <c r="AP360" s="331"/>
      <c r="AQ360" s="334"/>
      <c r="AR360" s="334"/>
      <c r="AS360" s="331"/>
      <c r="AT360" s="334"/>
      <c r="AU360" s="334"/>
      <c r="AV360" s="331"/>
      <c r="AW360" s="334"/>
      <c r="AX360" s="334"/>
      <c r="AY360" s="331"/>
      <c r="AZ360" s="334"/>
      <c r="BA360" s="334"/>
      <c r="BB360" s="331"/>
      <c r="BC360" s="334"/>
      <c r="BD360" s="334"/>
      <c r="BE360" s="331"/>
      <c r="BF360" s="334"/>
      <c r="BG360" s="334"/>
      <c r="BH360" s="331"/>
      <c r="BI360" s="334"/>
      <c r="BJ360" s="334"/>
      <c r="BK360" s="331"/>
      <c r="BL360" s="334"/>
      <c r="BM360" s="334"/>
      <c r="BN360" s="331"/>
      <c r="BO360" s="334"/>
      <c r="BP360" s="334"/>
      <c r="BQ360" s="331"/>
      <c r="BR360" s="332"/>
    </row>
    <row r="361" spans="1:70">
      <c r="A361" s="142" t="s">
        <v>4190</v>
      </c>
      <c r="B361" s="268">
        <v>12700</v>
      </c>
      <c r="C361" s="268">
        <v>0</v>
      </c>
      <c r="D361" s="333"/>
      <c r="E361" s="333"/>
      <c r="F361" s="331"/>
      <c r="G361" s="334"/>
      <c r="H361" s="334"/>
      <c r="I361" s="331"/>
      <c r="J361" s="334"/>
      <c r="K361" s="334"/>
      <c r="L361" s="331"/>
      <c r="M361" s="334"/>
      <c r="N361" s="334"/>
      <c r="O361" s="331"/>
      <c r="P361" s="334"/>
      <c r="Q361" s="334"/>
      <c r="R361" s="331"/>
      <c r="S361" s="334"/>
      <c r="T361" s="334"/>
      <c r="U361" s="331"/>
      <c r="V361" s="334"/>
      <c r="W361" s="334"/>
      <c r="X361" s="331"/>
      <c r="Y361" s="334"/>
      <c r="Z361" s="334"/>
      <c r="AA361" s="331"/>
      <c r="AB361" s="334"/>
      <c r="AC361" s="334"/>
      <c r="AD361" s="331"/>
      <c r="AE361" s="334"/>
      <c r="AF361" s="334"/>
      <c r="AG361" s="331"/>
      <c r="AH361" s="334"/>
      <c r="AI361" s="334"/>
      <c r="AJ361" s="331"/>
      <c r="AK361" s="334"/>
      <c r="AL361" s="334"/>
      <c r="AM361" s="331"/>
      <c r="AN361" s="334"/>
      <c r="AO361" s="334"/>
      <c r="AP361" s="331"/>
      <c r="AQ361" s="334"/>
      <c r="AR361" s="334"/>
      <c r="AS361" s="331"/>
      <c r="AT361" s="334"/>
      <c r="AU361" s="334"/>
      <c r="AV361" s="331"/>
      <c r="AW361" s="334"/>
      <c r="AX361" s="334"/>
      <c r="AY361" s="331"/>
      <c r="AZ361" s="334"/>
      <c r="BA361" s="334"/>
      <c r="BB361" s="331"/>
      <c r="BC361" s="334"/>
      <c r="BD361" s="334"/>
      <c r="BE361" s="331"/>
      <c r="BF361" s="334"/>
      <c r="BG361" s="334"/>
      <c r="BH361" s="331"/>
      <c r="BI361" s="334"/>
      <c r="BJ361" s="334"/>
      <c r="BK361" s="331"/>
      <c r="BL361" s="334"/>
      <c r="BM361" s="334"/>
      <c r="BN361" s="331"/>
      <c r="BO361" s="334"/>
      <c r="BP361" s="334"/>
      <c r="BQ361" s="331"/>
      <c r="BR361" s="332"/>
    </row>
    <row r="362" spans="1:70">
      <c r="A362" s="142" t="s">
        <v>4202</v>
      </c>
      <c r="B362" s="268">
        <v>12700</v>
      </c>
      <c r="C362" s="268">
        <v>0</v>
      </c>
      <c r="D362" s="333"/>
      <c r="E362" s="333"/>
      <c r="F362" s="331"/>
      <c r="G362" s="334"/>
      <c r="H362" s="334"/>
      <c r="I362" s="331"/>
      <c r="J362" s="334"/>
      <c r="K362" s="334"/>
      <c r="L362" s="331"/>
      <c r="M362" s="334"/>
      <c r="N362" s="334"/>
      <c r="O362" s="331"/>
      <c r="P362" s="334"/>
      <c r="Q362" s="334"/>
      <c r="R362" s="331"/>
      <c r="S362" s="334"/>
      <c r="T362" s="334"/>
      <c r="U362" s="331"/>
      <c r="V362" s="334"/>
      <c r="W362" s="334"/>
      <c r="X362" s="331"/>
      <c r="Y362" s="334"/>
      <c r="Z362" s="334"/>
      <c r="AA362" s="331"/>
      <c r="AB362" s="334"/>
      <c r="AC362" s="334"/>
      <c r="AD362" s="331"/>
      <c r="AE362" s="334"/>
      <c r="AF362" s="334"/>
      <c r="AG362" s="331"/>
      <c r="AH362" s="334"/>
      <c r="AI362" s="334"/>
      <c r="AJ362" s="331"/>
      <c r="AK362" s="334"/>
      <c r="AL362" s="334"/>
      <c r="AM362" s="331"/>
      <c r="AN362" s="334"/>
      <c r="AO362" s="334"/>
      <c r="AP362" s="331"/>
      <c r="AQ362" s="334"/>
      <c r="AR362" s="334"/>
      <c r="AS362" s="331"/>
      <c r="AT362" s="334"/>
      <c r="AU362" s="334"/>
      <c r="AV362" s="331"/>
      <c r="AW362" s="334"/>
      <c r="AX362" s="334"/>
      <c r="AY362" s="331"/>
      <c r="AZ362" s="334"/>
      <c r="BA362" s="334"/>
      <c r="BB362" s="331"/>
      <c r="BC362" s="334"/>
      <c r="BD362" s="334"/>
      <c r="BE362" s="331"/>
      <c r="BF362" s="334"/>
      <c r="BG362" s="334"/>
      <c r="BH362" s="331"/>
      <c r="BI362" s="334"/>
      <c r="BJ362" s="334"/>
      <c r="BK362" s="331"/>
      <c r="BL362" s="334"/>
      <c r="BM362" s="334"/>
      <c r="BN362" s="331"/>
      <c r="BO362" s="334"/>
      <c r="BP362" s="334"/>
      <c r="BQ362" s="331"/>
      <c r="BR362" s="332"/>
    </row>
    <row r="363" spans="1:70">
      <c r="A363" s="142" t="s">
        <v>4796</v>
      </c>
      <c r="B363" s="268">
        <v>100300</v>
      </c>
      <c r="C363" s="268">
        <v>0</v>
      </c>
      <c r="D363" s="333"/>
      <c r="E363" s="333"/>
      <c r="F363" s="331"/>
      <c r="G363" s="334"/>
      <c r="H363" s="334"/>
      <c r="I363" s="331"/>
      <c r="J363" s="334"/>
      <c r="K363" s="334"/>
      <c r="L363" s="331"/>
      <c r="M363" s="334"/>
      <c r="N363" s="334"/>
      <c r="O363" s="331"/>
      <c r="P363" s="334"/>
      <c r="Q363" s="334"/>
      <c r="R363" s="331"/>
      <c r="S363" s="334"/>
      <c r="T363" s="334"/>
      <c r="U363" s="331"/>
      <c r="V363" s="334"/>
      <c r="W363" s="334"/>
      <c r="X363" s="331"/>
      <c r="Y363" s="334"/>
      <c r="Z363" s="334"/>
      <c r="AA363" s="331"/>
      <c r="AB363" s="334"/>
      <c r="AC363" s="334"/>
      <c r="AD363" s="331"/>
      <c r="AE363" s="334"/>
      <c r="AF363" s="334"/>
      <c r="AG363" s="331"/>
      <c r="AH363" s="334"/>
      <c r="AI363" s="334"/>
      <c r="AJ363" s="331"/>
      <c r="AK363" s="334"/>
      <c r="AL363" s="334"/>
      <c r="AM363" s="331"/>
      <c r="AN363" s="334"/>
      <c r="AO363" s="334"/>
      <c r="AP363" s="331"/>
      <c r="AQ363" s="334"/>
      <c r="AR363" s="334"/>
      <c r="AS363" s="331"/>
      <c r="AT363" s="334"/>
      <c r="AU363" s="334"/>
      <c r="AV363" s="331"/>
      <c r="AW363" s="334"/>
      <c r="AX363" s="334"/>
      <c r="AY363" s="331"/>
      <c r="AZ363" s="334"/>
      <c r="BA363" s="334"/>
      <c r="BB363" s="331"/>
      <c r="BC363" s="334"/>
      <c r="BD363" s="334"/>
      <c r="BE363" s="331"/>
      <c r="BF363" s="334"/>
      <c r="BG363" s="334"/>
      <c r="BH363" s="331"/>
      <c r="BI363" s="334"/>
      <c r="BJ363" s="334"/>
      <c r="BK363" s="331"/>
      <c r="BL363" s="334"/>
      <c r="BM363" s="334"/>
      <c r="BN363" s="331"/>
      <c r="BO363" s="334"/>
      <c r="BP363" s="334"/>
      <c r="BQ363" s="331"/>
      <c r="BR363" s="332"/>
    </row>
    <row r="364" spans="1:70">
      <c r="A364" s="142" t="s">
        <v>3158</v>
      </c>
      <c r="B364" s="268">
        <v>44600</v>
      </c>
      <c r="C364" s="268">
        <v>0</v>
      </c>
      <c r="D364" s="333"/>
      <c r="E364" s="333"/>
      <c r="F364" s="331"/>
      <c r="G364" s="334"/>
      <c r="H364" s="334"/>
      <c r="I364" s="331"/>
      <c r="J364" s="334"/>
      <c r="K364" s="334"/>
      <c r="L364" s="331"/>
      <c r="M364" s="334"/>
      <c r="N364" s="334"/>
      <c r="O364" s="331"/>
      <c r="P364" s="334"/>
      <c r="Q364" s="334"/>
      <c r="R364" s="331"/>
      <c r="S364" s="334"/>
      <c r="T364" s="334"/>
      <c r="U364" s="331"/>
      <c r="V364" s="334"/>
      <c r="W364" s="334"/>
      <c r="X364" s="331"/>
      <c r="Y364" s="334"/>
      <c r="Z364" s="334"/>
      <c r="AA364" s="331"/>
      <c r="AB364" s="334"/>
      <c r="AC364" s="334"/>
      <c r="AD364" s="331"/>
      <c r="AE364" s="334"/>
      <c r="AF364" s="334"/>
      <c r="AG364" s="331"/>
      <c r="AH364" s="334"/>
      <c r="AI364" s="334"/>
      <c r="AJ364" s="331"/>
      <c r="AK364" s="334"/>
      <c r="AL364" s="334"/>
      <c r="AM364" s="331"/>
      <c r="AN364" s="334"/>
      <c r="AO364" s="334"/>
      <c r="AP364" s="331"/>
      <c r="AQ364" s="334"/>
      <c r="AR364" s="334"/>
      <c r="AS364" s="331"/>
      <c r="AT364" s="334"/>
      <c r="AU364" s="334"/>
      <c r="AV364" s="331"/>
      <c r="AW364" s="334"/>
      <c r="AX364" s="334"/>
      <c r="AY364" s="331"/>
      <c r="AZ364" s="334"/>
      <c r="BA364" s="334"/>
      <c r="BB364" s="331"/>
      <c r="BC364" s="334"/>
      <c r="BD364" s="334"/>
      <c r="BE364" s="331"/>
      <c r="BF364" s="334"/>
      <c r="BG364" s="334"/>
      <c r="BH364" s="331"/>
      <c r="BI364" s="334"/>
      <c r="BJ364" s="334"/>
      <c r="BK364" s="331"/>
      <c r="BL364" s="334"/>
      <c r="BM364" s="334"/>
      <c r="BN364" s="331"/>
      <c r="BO364" s="334"/>
      <c r="BP364" s="334"/>
      <c r="BQ364" s="331"/>
      <c r="BR364" s="332"/>
    </row>
    <row r="365" spans="1:70">
      <c r="A365" s="142" t="s">
        <v>2640</v>
      </c>
      <c r="B365" s="268">
        <v>146700</v>
      </c>
      <c r="C365" s="268">
        <v>0</v>
      </c>
      <c r="D365" s="333"/>
      <c r="E365" s="333"/>
      <c r="F365" s="331"/>
      <c r="G365" s="334"/>
      <c r="H365" s="334"/>
      <c r="I365" s="331"/>
      <c r="J365" s="334"/>
      <c r="K365" s="334"/>
      <c r="L365" s="331"/>
      <c r="M365" s="334"/>
      <c r="N365" s="334"/>
      <c r="O365" s="331"/>
      <c r="P365" s="334"/>
      <c r="Q365" s="334"/>
      <c r="R365" s="331"/>
      <c r="S365" s="334"/>
      <c r="T365" s="334"/>
      <c r="U365" s="331"/>
      <c r="V365" s="334"/>
      <c r="W365" s="334"/>
      <c r="X365" s="331"/>
      <c r="Y365" s="334"/>
      <c r="Z365" s="334"/>
      <c r="AA365" s="331"/>
      <c r="AB365" s="334"/>
      <c r="AC365" s="334"/>
      <c r="AD365" s="331"/>
      <c r="AE365" s="334"/>
      <c r="AF365" s="334"/>
      <c r="AG365" s="331"/>
      <c r="AH365" s="334"/>
      <c r="AI365" s="334"/>
      <c r="AJ365" s="331"/>
      <c r="AK365" s="334"/>
      <c r="AL365" s="334"/>
      <c r="AM365" s="331"/>
      <c r="AN365" s="334"/>
      <c r="AO365" s="334"/>
      <c r="AP365" s="331"/>
      <c r="AQ365" s="334"/>
      <c r="AR365" s="334"/>
      <c r="AS365" s="331"/>
      <c r="AT365" s="334"/>
      <c r="AU365" s="334"/>
      <c r="AV365" s="331"/>
      <c r="AW365" s="334"/>
      <c r="AX365" s="334"/>
      <c r="AY365" s="331"/>
      <c r="AZ365" s="334"/>
      <c r="BA365" s="334"/>
      <c r="BB365" s="331"/>
      <c r="BC365" s="334"/>
      <c r="BD365" s="334"/>
      <c r="BE365" s="331"/>
      <c r="BF365" s="334"/>
      <c r="BG365" s="334"/>
      <c r="BH365" s="331"/>
      <c r="BI365" s="334"/>
      <c r="BJ365" s="334"/>
      <c r="BK365" s="331"/>
      <c r="BL365" s="334"/>
      <c r="BM365" s="334"/>
      <c r="BN365" s="331"/>
      <c r="BO365" s="334"/>
      <c r="BP365" s="334"/>
      <c r="BQ365" s="331"/>
      <c r="BR365" s="332"/>
    </row>
    <row r="366" spans="1:70">
      <c r="A366" s="142" t="s">
        <v>3689</v>
      </c>
      <c r="B366" s="268">
        <v>12100</v>
      </c>
      <c r="C366" s="268">
        <v>0</v>
      </c>
      <c r="D366" s="333"/>
      <c r="E366" s="333"/>
      <c r="F366" s="331"/>
      <c r="G366" s="334"/>
      <c r="H366" s="334"/>
      <c r="I366" s="331"/>
      <c r="J366" s="334"/>
      <c r="K366" s="334"/>
      <c r="L366" s="331"/>
      <c r="M366" s="334"/>
      <c r="N366" s="334"/>
      <c r="O366" s="331"/>
      <c r="P366" s="334"/>
      <c r="Q366" s="334"/>
      <c r="R366" s="331"/>
      <c r="S366" s="334"/>
      <c r="T366" s="334"/>
      <c r="U366" s="331"/>
      <c r="V366" s="334"/>
      <c r="W366" s="334"/>
      <c r="X366" s="331"/>
      <c r="Y366" s="334"/>
      <c r="Z366" s="334"/>
      <c r="AA366" s="331"/>
      <c r="AB366" s="334"/>
      <c r="AC366" s="334"/>
      <c r="AD366" s="331"/>
      <c r="AE366" s="334"/>
      <c r="AF366" s="334"/>
      <c r="AG366" s="331"/>
      <c r="AH366" s="334"/>
      <c r="AI366" s="334"/>
      <c r="AJ366" s="331"/>
      <c r="AK366" s="334"/>
      <c r="AL366" s="334"/>
      <c r="AM366" s="331"/>
      <c r="AN366" s="334"/>
      <c r="AO366" s="334"/>
      <c r="AP366" s="331"/>
      <c r="AQ366" s="334"/>
      <c r="AR366" s="334"/>
      <c r="AS366" s="331"/>
      <c r="AT366" s="334"/>
      <c r="AU366" s="334"/>
      <c r="AV366" s="331"/>
      <c r="AW366" s="334"/>
      <c r="AX366" s="334"/>
      <c r="AY366" s="331"/>
      <c r="AZ366" s="334"/>
      <c r="BA366" s="334"/>
      <c r="BB366" s="331"/>
      <c r="BC366" s="334"/>
      <c r="BD366" s="334"/>
      <c r="BE366" s="331"/>
      <c r="BF366" s="334"/>
      <c r="BG366" s="334"/>
      <c r="BH366" s="331"/>
      <c r="BI366" s="334"/>
      <c r="BJ366" s="334"/>
      <c r="BK366" s="331"/>
      <c r="BL366" s="334"/>
      <c r="BM366" s="334"/>
      <c r="BN366" s="331"/>
      <c r="BO366" s="334"/>
      <c r="BP366" s="334"/>
      <c r="BQ366" s="331"/>
      <c r="BR366" s="332"/>
    </row>
    <row r="367" spans="1:70">
      <c r="A367" s="142" t="s">
        <v>3660</v>
      </c>
      <c r="B367" s="268">
        <v>7800</v>
      </c>
      <c r="C367" s="268">
        <v>0</v>
      </c>
      <c r="D367" s="333"/>
      <c r="E367" s="333"/>
      <c r="F367" s="331"/>
      <c r="G367" s="334"/>
      <c r="H367" s="334"/>
      <c r="I367" s="331"/>
      <c r="J367" s="334"/>
      <c r="K367" s="334"/>
      <c r="L367" s="331"/>
      <c r="M367" s="334"/>
      <c r="N367" s="334"/>
      <c r="O367" s="331"/>
      <c r="P367" s="334"/>
      <c r="Q367" s="334"/>
      <c r="R367" s="331"/>
      <c r="S367" s="334"/>
      <c r="T367" s="334"/>
      <c r="U367" s="331"/>
      <c r="V367" s="334"/>
      <c r="W367" s="334"/>
      <c r="X367" s="331"/>
      <c r="Y367" s="334"/>
      <c r="Z367" s="334"/>
      <c r="AA367" s="331"/>
      <c r="AB367" s="334"/>
      <c r="AC367" s="334"/>
      <c r="AD367" s="331"/>
      <c r="AE367" s="334"/>
      <c r="AF367" s="334"/>
      <c r="AG367" s="331"/>
      <c r="AH367" s="334"/>
      <c r="AI367" s="334"/>
      <c r="AJ367" s="331"/>
      <c r="AK367" s="334"/>
      <c r="AL367" s="334"/>
      <c r="AM367" s="331"/>
      <c r="AN367" s="334"/>
      <c r="AO367" s="334"/>
      <c r="AP367" s="331"/>
      <c r="AQ367" s="334"/>
      <c r="AR367" s="334"/>
      <c r="AS367" s="331"/>
      <c r="AT367" s="334"/>
      <c r="AU367" s="334"/>
      <c r="AV367" s="331"/>
      <c r="AW367" s="334"/>
      <c r="AX367" s="334"/>
      <c r="AY367" s="331"/>
      <c r="AZ367" s="334"/>
      <c r="BA367" s="334"/>
      <c r="BB367" s="331"/>
      <c r="BC367" s="334"/>
      <c r="BD367" s="334"/>
      <c r="BE367" s="331"/>
      <c r="BF367" s="334"/>
      <c r="BG367" s="334"/>
      <c r="BH367" s="331"/>
      <c r="BI367" s="334"/>
      <c r="BJ367" s="334"/>
      <c r="BK367" s="331"/>
      <c r="BL367" s="334"/>
      <c r="BM367" s="334"/>
      <c r="BN367" s="331"/>
      <c r="BO367" s="334"/>
      <c r="BP367" s="334"/>
      <c r="BQ367" s="331"/>
      <c r="BR367" s="332"/>
    </row>
    <row r="368" spans="1:70">
      <c r="A368" s="142" t="s">
        <v>3667</v>
      </c>
      <c r="B368" s="268">
        <v>7800</v>
      </c>
      <c r="C368" s="268">
        <v>0</v>
      </c>
      <c r="D368" s="333"/>
      <c r="E368" s="333"/>
      <c r="F368" s="331"/>
      <c r="G368" s="334"/>
      <c r="H368" s="334"/>
      <c r="I368" s="331"/>
      <c r="J368" s="334"/>
      <c r="K368" s="334"/>
      <c r="L368" s="331"/>
      <c r="M368" s="334"/>
      <c r="N368" s="334"/>
      <c r="O368" s="331"/>
      <c r="P368" s="334"/>
      <c r="Q368" s="334"/>
      <c r="R368" s="331"/>
      <c r="S368" s="334"/>
      <c r="T368" s="334"/>
      <c r="U368" s="331"/>
      <c r="V368" s="334"/>
      <c r="W368" s="334"/>
      <c r="X368" s="331"/>
      <c r="Y368" s="334"/>
      <c r="Z368" s="334"/>
      <c r="AA368" s="331"/>
      <c r="AB368" s="334"/>
      <c r="AC368" s="334"/>
      <c r="AD368" s="331"/>
      <c r="AE368" s="334"/>
      <c r="AF368" s="334"/>
      <c r="AG368" s="331"/>
      <c r="AH368" s="334"/>
      <c r="AI368" s="334"/>
      <c r="AJ368" s="331"/>
      <c r="AK368" s="334"/>
      <c r="AL368" s="334"/>
      <c r="AM368" s="331"/>
      <c r="AN368" s="334"/>
      <c r="AO368" s="334"/>
      <c r="AP368" s="331"/>
      <c r="AQ368" s="334"/>
      <c r="AR368" s="334"/>
      <c r="AS368" s="331"/>
      <c r="AT368" s="334"/>
      <c r="AU368" s="334"/>
      <c r="AV368" s="331"/>
      <c r="AW368" s="334"/>
      <c r="AX368" s="334"/>
      <c r="AY368" s="331"/>
      <c r="AZ368" s="334"/>
      <c r="BA368" s="334"/>
      <c r="BB368" s="331"/>
      <c r="BC368" s="334"/>
      <c r="BD368" s="334"/>
      <c r="BE368" s="331"/>
      <c r="BF368" s="334"/>
      <c r="BG368" s="334"/>
      <c r="BH368" s="331"/>
      <c r="BI368" s="334"/>
      <c r="BJ368" s="334"/>
      <c r="BK368" s="331"/>
      <c r="BL368" s="334"/>
      <c r="BM368" s="334"/>
      <c r="BN368" s="331"/>
      <c r="BO368" s="334"/>
      <c r="BP368" s="334"/>
      <c r="BQ368" s="331"/>
      <c r="BR368" s="332"/>
    </row>
    <row r="369" spans="1:70">
      <c r="A369" s="142" t="s">
        <v>4215</v>
      </c>
      <c r="B369" s="268">
        <v>14400</v>
      </c>
      <c r="C369" s="268">
        <v>0</v>
      </c>
      <c r="D369" s="333"/>
      <c r="E369" s="333"/>
      <c r="F369" s="331"/>
      <c r="G369" s="334"/>
      <c r="H369" s="334"/>
      <c r="I369" s="331"/>
      <c r="J369" s="334"/>
      <c r="K369" s="334"/>
      <c r="L369" s="331"/>
      <c r="M369" s="334"/>
      <c r="N369" s="334"/>
      <c r="O369" s="331"/>
      <c r="P369" s="334"/>
      <c r="Q369" s="334"/>
      <c r="R369" s="331"/>
      <c r="S369" s="334"/>
      <c r="T369" s="334"/>
      <c r="U369" s="331"/>
      <c r="V369" s="334"/>
      <c r="W369" s="334"/>
      <c r="X369" s="331"/>
      <c r="Y369" s="334"/>
      <c r="Z369" s="334"/>
      <c r="AA369" s="331"/>
      <c r="AB369" s="334"/>
      <c r="AC369" s="334"/>
      <c r="AD369" s="331"/>
      <c r="AE369" s="334"/>
      <c r="AF369" s="334"/>
      <c r="AG369" s="331"/>
      <c r="AH369" s="334"/>
      <c r="AI369" s="334"/>
      <c r="AJ369" s="331"/>
      <c r="AK369" s="334"/>
      <c r="AL369" s="334"/>
      <c r="AM369" s="331"/>
      <c r="AN369" s="334"/>
      <c r="AO369" s="334"/>
      <c r="AP369" s="331"/>
      <c r="AQ369" s="334"/>
      <c r="AR369" s="334"/>
      <c r="AS369" s="331"/>
      <c r="AT369" s="334"/>
      <c r="AU369" s="334"/>
      <c r="AV369" s="331"/>
      <c r="AW369" s="334"/>
      <c r="AX369" s="334"/>
      <c r="AY369" s="331"/>
      <c r="AZ369" s="334"/>
      <c r="BA369" s="334"/>
      <c r="BB369" s="331"/>
      <c r="BC369" s="334"/>
      <c r="BD369" s="334"/>
      <c r="BE369" s="331"/>
      <c r="BF369" s="334"/>
      <c r="BG369" s="334"/>
      <c r="BH369" s="331"/>
      <c r="BI369" s="334"/>
      <c r="BJ369" s="334"/>
      <c r="BK369" s="331"/>
      <c r="BL369" s="334"/>
      <c r="BM369" s="334"/>
      <c r="BN369" s="331"/>
      <c r="BO369" s="334"/>
      <c r="BP369" s="334"/>
      <c r="BQ369" s="331"/>
      <c r="BR369" s="332"/>
    </row>
    <row r="370" spans="1:70">
      <c r="A370" s="142" t="s">
        <v>4196</v>
      </c>
      <c r="B370" s="268">
        <v>12300</v>
      </c>
      <c r="C370" s="268">
        <v>0</v>
      </c>
      <c r="D370" s="333"/>
      <c r="E370" s="333"/>
      <c r="F370" s="331"/>
      <c r="G370" s="334"/>
      <c r="H370" s="334"/>
      <c r="I370" s="331"/>
      <c r="J370" s="334"/>
      <c r="K370" s="334"/>
      <c r="L370" s="331"/>
      <c r="M370" s="334"/>
      <c r="N370" s="334"/>
      <c r="O370" s="331"/>
      <c r="P370" s="334"/>
      <c r="Q370" s="334"/>
      <c r="R370" s="331"/>
      <c r="S370" s="334"/>
      <c r="T370" s="334"/>
      <c r="U370" s="331"/>
      <c r="V370" s="334"/>
      <c r="W370" s="334"/>
      <c r="X370" s="331"/>
      <c r="Y370" s="334"/>
      <c r="Z370" s="334"/>
      <c r="AA370" s="331"/>
      <c r="AB370" s="334"/>
      <c r="AC370" s="334"/>
      <c r="AD370" s="331"/>
      <c r="AE370" s="334"/>
      <c r="AF370" s="334"/>
      <c r="AG370" s="331"/>
      <c r="AH370" s="334"/>
      <c r="AI370" s="334"/>
      <c r="AJ370" s="331"/>
      <c r="AK370" s="334"/>
      <c r="AL370" s="334"/>
      <c r="AM370" s="331"/>
      <c r="AN370" s="334"/>
      <c r="AO370" s="334"/>
      <c r="AP370" s="331"/>
      <c r="AQ370" s="334"/>
      <c r="AR370" s="334"/>
      <c r="AS370" s="331"/>
      <c r="AT370" s="334"/>
      <c r="AU370" s="334"/>
      <c r="AV370" s="331"/>
      <c r="AW370" s="334"/>
      <c r="AX370" s="334"/>
      <c r="AY370" s="331"/>
      <c r="AZ370" s="334"/>
      <c r="BA370" s="334"/>
      <c r="BB370" s="331"/>
      <c r="BC370" s="334"/>
      <c r="BD370" s="334"/>
      <c r="BE370" s="331"/>
      <c r="BF370" s="334"/>
      <c r="BG370" s="334"/>
      <c r="BH370" s="331"/>
      <c r="BI370" s="334"/>
      <c r="BJ370" s="334"/>
      <c r="BK370" s="331"/>
      <c r="BL370" s="334"/>
      <c r="BM370" s="334"/>
      <c r="BN370" s="331"/>
      <c r="BO370" s="334"/>
      <c r="BP370" s="334"/>
      <c r="BQ370" s="331"/>
      <c r="BR370" s="332"/>
    </row>
    <row r="371" spans="1:70">
      <c r="A371" s="142" t="s">
        <v>4208</v>
      </c>
      <c r="B371" s="268">
        <v>12300</v>
      </c>
      <c r="C371" s="268">
        <v>0</v>
      </c>
      <c r="D371" s="333"/>
      <c r="E371" s="333"/>
      <c r="F371" s="331"/>
      <c r="G371" s="334"/>
      <c r="H371" s="334"/>
      <c r="I371" s="331"/>
      <c r="J371" s="334"/>
      <c r="K371" s="334"/>
      <c r="L371" s="331"/>
      <c r="M371" s="334"/>
      <c r="N371" s="334"/>
      <c r="O371" s="331"/>
      <c r="P371" s="334"/>
      <c r="Q371" s="334"/>
      <c r="R371" s="331"/>
      <c r="S371" s="334"/>
      <c r="T371" s="334"/>
      <c r="U371" s="331"/>
      <c r="V371" s="334"/>
      <c r="W371" s="334"/>
      <c r="X371" s="331"/>
      <c r="Y371" s="334"/>
      <c r="Z371" s="334"/>
      <c r="AA371" s="331"/>
      <c r="AB371" s="334"/>
      <c r="AC371" s="334"/>
      <c r="AD371" s="331"/>
      <c r="AE371" s="334"/>
      <c r="AF371" s="334"/>
      <c r="AG371" s="331"/>
      <c r="AH371" s="334"/>
      <c r="AI371" s="334"/>
      <c r="AJ371" s="331"/>
      <c r="AK371" s="334"/>
      <c r="AL371" s="334"/>
      <c r="AM371" s="331"/>
      <c r="AN371" s="334"/>
      <c r="AO371" s="334"/>
      <c r="AP371" s="331"/>
      <c r="AQ371" s="334"/>
      <c r="AR371" s="334"/>
      <c r="AS371" s="331"/>
      <c r="AT371" s="334"/>
      <c r="AU371" s="334"/>
      <c r="AV371" s="331"/>
      <c r="AW371" s="334"/>
      <c r="AX371" s="334"/>
      <c r="AY371" s="331"/>
      <c r="AZ371" s="334"/>
      <c r="BA371" s="334"/>
      <c r="BB371" s="331"/>
      <c r="BC371" s="334"/>
      <c r="BD371" s="334"/>
      <c r="BE371" s="331"/>
      <c r="BF371" s="334"/>
      <c r="BG371" s="334"/>
      <c r="BH371" s="331"/>
      <c r="BI371" s="334"/>
      <c r="BJ371" s="334"/>
      <c r="BK371" s="331"/>
      <c r="BL371" s="334"/>
      <c r="BM371" s="334"/>
      <c r="BN371" s="331"/>
      <c r="BO371" s="334"/>
      <c r="BP371" s="334"/>
      <c r="BQ371" s="331"/>
      <c r="BR371" s="332"/>
    </row>
    <row r="372" spans="1:70">
      <c r="A372" s="142" t="s">
        <v>3713</v>
      </c>
      <c r="B372" s="268">
        <v>27900</v>
      </c>
      <c r="C372" s="268">
        <v>0</v>
      </c>
      <c r="D372" s="333"/>
      <c r="E372" s="333"/>
      <c r="F372" s="331"/>
      <c r="G372" s="334"/>
      <c r="H372" s="334"/>
      <c r="I372" s="331"/>
      <c r="J372" s="334"/>
      <c r="K372" s="334"/>
      <c r="L372" s="331"/>
      <c r="M372" s="334"/>
      <c r="N372" s="334"/>
      <c r="O372" s="331"/>
      <c r="P372" s="334"/>
      <c r="Q372" s="334"/>
      <c r="R372" s="331"/>
      <c r="S372" s="334"/>
      <c r="T372" s="334"/>
      <c r="U372" s="331"/>
      <c r="V372" s="334"/>
      <c r="W372" s="334"/>
      <c r="X372" s="331"/>
      <c r="Y372" s="334"/>
      <c r="Z372" s="334"/>
      <c r="AA372" s="331"/>
      <c r="AB372" s="334"/>
      <c r="AC372" s="334"/>
      <c r="AD372" s="331"/>
      <c r="AE372" s="334"/>
      <c r="AF372" s="334"/>
      <c r="AG372" s="331"/>
      <c r="AH372" s="334"/>
      <c r="AI372" s="334"/>
      <c r="AJ372" s="331"/>
      <c r="AK372" s="334"/>
      <c r="AL372" s="334"/>
      <c r="AM372" s="331"/>
      <c r="AN372" s="334"/>
      <c r="AO372" s="334"/>
      <c r="AP372" s="331"/>
      <c r="AQ372" s="334"/>
      <c r="AR372" s="334"/>
      <c r="AS372" s="331"/>
      <c r="AT372" s="334"/>
      <c r="AU372" s="334"/>
      <c r="AV372" s="331"/>
      <c r="AW372" s="334"/>
      <c r="AX372" s="334"/>
      <c r="AY372" s="331"/>
      <c r="AZ372" s="334"/>
      <c r="BA372" s="334"/>
      <c r="BB372" s="331"/>
      <c r="BC372" s="334"/>
      <c r="BD372" s="334"/>
      <c r="BE372" s="331"/>
      <c r="BF372" s="334"/>
      <c r="BG372" s="334"/>
      <c r="BH372" s="331"/>
      <c r="BI372" s="334"/>
      <c r="BJ372" s="334"/>
      <c r="BK372" s="331"/>
      <c r="BL372" s="334"/>
      <c r="BM372" s="334"/>
      <c r="BN372" s="331"/>
      <c r="BO372" s="334"/>
      <c r="BP372" s="334"/>
      <c r="BQ372" s="331"/>
      <c r="BR372" s="332"/>
    </row>
    <row r="373" spans="1:70">
      <c r="A373" s="142" t="s">
        <v>3652</v>
      </c>
      <c r="B373" s="268">
        <v>8000</v>
      </c>
      <c r="C373" s="268">
        <v>0</v>
      </c>
      <c r="D373" s="333"/>
      <c r="E373" s="333"/>
      <c r="F373" s="331"/>
      <c r="G373" s="334"/>
      <c r="H373" s="334"/>
      <c r="I373" s="331"/>
      <c r="J373" s="334"/>
      <c r="K373" s="334"/>
      <c r="L373" s="331"/>
      <c r="M373" s="334"/>
      <c r="N373" s="334"/>
      <c r="O373" s="331"/>
      <c r="P373" s="334"/>
      <c r="Q373" s="334"/>
      <c r="R373" s="331"/>
      <c r="S373" s="334"/>
      <c r="T373" s="334"/>
      <c r="U373" s="331"/>
      <c r="V373" s="334"/>
      <c r="W373" s="334"/>
      <c r="X373" s="331"/>
      <c r="Y373" s="334"/>
      <c r="Z373" s="334"/>
      <c r="AA373" s="331"/>
      <c r="AB373" s="334"/>
      <c r="AC373" s="334"/>
      <c r="AD373" s="331"/>
      <c r="AE373" s="334"/>
      <c r="AF373" s="334"/>
      <c r="AG373" s="331"/>
      <c r="AH373" s="334"/>
      <c r="AI373" s="334"/>
      <c r="AJ373" s="331"/>
      <c r="AK373" s="334"/>
      <c r="AL373" s="334"/>
      <c r="AM373" s="331"/>
      <c r="AN373" s="334"/>
      <c r="AO373" s="334"/>
      <c r="AP373" s="331"/>
      <c r="AQ373" s="334"/>
      <c r="AR373" s="334"/>
      <c r="AS373" s="331"/>
      <c r="AT373" s="334"/>
      <c r="AU373" s="334"/>
      <c r="AV373" s="331"/>
      <c r="AW373" s="334"/>
      <c r="AX373" s="334"/>
      <c r="AY373" s="331"/>
      <c r="AZ373" s="334"/>
      <c r="BA373" s="334"/>
      <c r="BB373" s="331"/>
      <c r="BC373" s="334"/>
      <c r="BD373" s="334"/>
      <c r="BE373" s="331"/>
      <c r="BF373" s="334"/>
      <c r="BG373" s="334"/>
      <c r="BH373" s="331"/>
      <c r="BI373" s="334"/>
      <c r="BJ373" s="334"/>
      <c r="BK373" s="331"/>
      <c r="BL373" s="334"/>
      <c r="BM373" s="334"/>
      <c r="BN373" s="331"/>
      <c r="BO373" s="334"/>
      <c r="BP373" s="334"/>
      <c r="BQ373" s="331"/>
      <c r="BR373" s="332"/>
    </row>
    <row r="374" spans="1:70">
      <c r="A374" s="142" t="s">
        <v>3605</v>
      </c>
      <c r="B374" s="268">
        <v>137000</v>
      </c>
      <c r="C374" s="268">
        <v>0</v>
      </c>
      <c r="D374" s="333"/>
      <c r="E374" s="333"/>
      <c r="F374" s="331"/>
      <c r="G374" s="334"/>
      <c r="H374" s="334"/>
      <c r="I374" s="331"/>
      <c r="J374" s="334"/>
      <c r="K374" s="334"/>
      <c r="L374" s="331"/>
      <c r="M374" s="334"/>
      <c r="N374" s="334"/>
      <c r="O374" s="331"/>
      <c r="P374" s="334"/>
      <c r="Q374" s="334"/>
      <c r="R374" s="331"/>
      <c r="S374" s="334"/>
      <c r="T374" s="334"/>
      <c r="U374" s="331"/>
      <c r="V374" s="334"/>
      <c r="W374" s="334"/>
      <c r="X374" s="331"/>
      <c r="Y374" s="334"/>
      <c r="Z374" s="334"/>
      <c r="AA374" s="331"/>
      <c r="AB374" s="334"/>
      <c r="AC374" s="334"/>
      <c r="AD374" s="331"/>
      <c r="AE374" s="334"/>
      <c r="AF374" s="334"/>
      <c r="AG374" s="331"/>
      <c r="AH374" s="334"/>
      <c r="AI374" s="334"/>
      <c r="AJ374" s="331"/>
      <c r="AK374" s="334"/>
      <c r="AL374" s="334"/>
      <c r="AM374" s="331"/>
      <c r="AN374" s="334"/>
      <c r="AO374" s="334"/>
      <c r="AP374" s="331"/>
      <c r="AQ374" s="334"/>
      <c r="AR374" s="334"/>
      <c r="AS374" s="331"/>
      <c r="AT374" s="334"/>
      <c r="AU374" s="334"/>
      <c r="AV374" s="331"/>
      <c r="AW374" s="334"/>
      <c r="AX374" s="334"/>
      <c r="AY374" s="331"/>
      <c r="AZ374" s="334"/>
      <c r="BA374" s="334"/>
      <c r="BB374" s="331"/>
      <c r="BC374" s="334"/>
      <c r="BD374" s="334"/>
      <c r="BE374" s="331"/>
      <c r="BF374" s="334"/>
      <c r="BG374" s="334"/>
      <c r="BH374" s="331"/>
      <c r="BI374" s="334"/>
      <c r="BJ374" s="334"/>
      <c r="BK374" s="331"/>
      <c r="BL374" s="334"/>
      <c r="BM374" s="334"/>
      <c r="BN374" s="331"/>
      <c r="BO374" s="334"/>
      <c r="BP374" s="334"/>
      <c r="BQ374" s="331"/>
      <c r="BR374" s="332"/>
    </row>
    <row r="375" spans="1:70">
      <c r="A375" s="142" t="s">
        <v>4611</v>
      </c>
      <c r="B375" s="268">
        <v>220200</v>
      </c>
      <c r="C375" s="268">
        <v>0</v>
      </c>
      <c r="D375" s="333"/>
      <c r="E375" s="333"/>
      <c r="F375" s="331"/>
      <c r="G375" s="334"/>
      <c r="H375" s="334"/>
      <c r="I375" s="331"/>
      <c r="J375" s="334"/>
      <c r="K375" s="334"/>
      <c r="L375" s="331"/>
      <c r="M375" s="334"/>
      <c r="N375" s="334"/>
      <c r="O375" s="331"/>
      <c r="P375" s="334"/>
      <c r="Q375" s="334"/>
      <c r="R375" s="331"/>
      <c r="S375" s="334"/>
      <c r="T375" s="334"/>
      <c r="U375" s="331"/>
      <c r="V375" s="334"/>
      <c r="W375" s="334"/>
      <c r="X375" s="331"/>
      <c r="Y375" s="334"/>
      <c r="Z375" s="334"/>
      <c r="AA375" s="331"/>
      <c r="AB375" s="334"/>
      <c r="AC375" s="334"/>
      <c r="AD375" s="331"/>
      <c r="AE375" s="334"/>
      <c r="AF375" s="334"/>
      <c r="AG375" s="331"/>
      <c r="AH375" s="334"/>
      <c r="AI375" s="334"/>
      <c r="AJ375" s="331"/>
      <c r="AK375" s="334"/>
      <c r="AL375" s="334"/>
      <c r="AM375" s="331"/>
      <c r="AN375" s="334"/>
      <c r="AO375" s="334"/>
      <c r="AP375" s="331"/>
      <c r="AQ375" s="334"/>
      <c r="AR375" s="334"/>
      <c r="AS375" s="331"/>
      <c r="AT375" s="334"/>
      <c r="AU375" s="334"/>
      <c r="AV375" s="331"/>
      <c r="AW375" s="334"/>
      <c r="AX375" s="334"/>
      <c r="AY375" s="331"/>
      <c r="AZ375" s="334"/>
      <c r="BA375" s="334"/>
      <c r="BB375" s="331"/>
      <c r="BC375" s="334"/>
      <c r="BD375" s="334"/>
      <c r="BE375" s="331"/>
      <c r="BF375" s="334"/>
      <c r="BG375" s="334"/>
      <c r="BH375" s="331"/>
      <c r="BI375" s="334"/>
      <c r="BJ375" s="334"/>
      <c r="BK375" s="331"/>
      <c r="BL375" s="334"/>
      <c r="BM375" s="334"/>
      <c r="BN375" s="331"/>
      <c r="BO375" s="334"/>
      <c r="BP375" s="334"/>
      <c r="BQ375" s="331"/>
      <c r="BR375" s="332"/>
    </row>
    <row r="376" spans="1:70">
      <c r="A376" s="142" t="s">
        <v>4478</v>
      </c>
      <c r="B376" s="268">
        <v>51600</v>
      </c>
      <c r="C376" s="268">
        <v>0</v>
      </c>
      <c r="D376" s="333"/>
      <c r="E376" s="333"/>
      <c r="F376" s="331"/>
      <c r="G376" s="334"/>
      <c r="H376" s="334"/>
      <c r="I376" s="331"/>
      <c r="J376" s="334"/>
      <c r="K376" s="334"/>
      <c r="L376" s="331"/>
      <c r="M376" s="334"/>
      <c r="N376" s="334"/>
      <c r="O376" s="331"/>
      <c r="P376" s="334"/>
      <c r="Q376" s="334"/>
      <c r="R376" s="331"/>
      <c r="S376" s="334"/>
      <c r="T376" s="334"/>
      <c r="U376" s="331"/>
      <c r="V376" s="334"/>
      <c r="W376" s="334"/>
      <c r="X376" s="331"/>
      <c r="Y376" s="334"/>
      <c r="Z376" s="334"/>
      <c r="AA376" s="331"/>
      <c r="AB376" s="334"/>
      <c r="AC376" s="334"/>
      <c r="AD376" s="331"/>
      <c r="AE376" s="334"/>
      <c r="AF376" s="334"/>
      <c r="AG376" s="331"/>
      <c r="AH376" s="334"/>
      <c r="AI376" s="334"/>
      <c r="AJ376" s="331"/>
      <c r="AK376" s="334"/>
      <c r="AL376" s="334"/>
      <c r="AM376" s="331"/>
      <c r="AN376" s="334"/>
      <c r="AO376" s="334"/>
      <c r="AP376" s="331"/>
      <c r="AQ376" s="334"/>
      <c r="AR376" s="334"/>
      <c r="AS376" s="331"/>
      <c r="AT376" s="334"/>
      <c r="AU376" s="334"/>
      <c r="AV376" s="331"/>
      <c r="AW376" s="334"/>
      <c r="AX376" s="334"/>
      <c r="AY376" s="331"/>
      <c r="AZ376" s="334"/>
      <c r="BA376" s="334"/>
      <c r="BB376" s="331"/>
      <c r="BC376" s="334"/>
      <c r="BD376" s="334"/>
      <c r="BE376" s="331"/>
      <c r="BF376" s="334"/>
      <c r="BG376" s="334"/>
      <c r="BH376" s="331"/>
      <c r="BI376" s="334"/>
      <c r="BJ376" s="334"/>
      <c r="BK376" s="331"/>
      <c r="BL376" s="334"/>
      <c r="BM376" s="334"/>
      <c r="BN376" s="331"/>
      <c r="BO376" s="334"/>
      <c r="BP376" s="334"/>
      <c r="BQ376" s="331"/>
      <c r="BR376" s="332"/>
    </row>
    <row r="377" spans="1:70">
      <c r="A377" s="142" t="s">
        <v>4286</v>
      </c>
      <c r="B377" s="268">
        <v>19000</v>
      </c>
      <c r="C377" s="268">
        <v>0</v>
      </c>
      <c r="D377" s="333"/>
      <c r="E377" s="333"/>
      <c r="F377" s="331"/>
      <c r="G377" s="334"/>
      <c r="H377" s="334"/>
      <c r="I377" s="331"/>
      <c r="J377" s="334"/>
      <c r="K377" s="334"/>
      <c r="L377" s="331"/>
      <c r="M377" s="334"/>
      <c r="N377" s="334"/>
      <c r="O377" s="331"/>
      <c r="P377" s="334"/>
      <c r="Q377" s="334"/>
      <c r="R377" s="331"/>
      <c r="S377" s="334"/>
      <c r="T377" s="334"/>
      <c r="U377" s="331"/>
      <c r="V377" s="334"/>
      <c r="W377" s="334"/>
      <c r="X377" s="331"/>
      <c r="Y377" s="334"/>
      <c r="Z377" s="334"/>
      <c r="AA377" s="331"/>
      <c r="AB377" s="334"/>
      <c r="AC377" s="334"/>
      <c r="AD377" s="331"/>
      <c r="AE377" s="334"/>
      <c r="AF377" s="334"/>
      <c r="AG377" s="331"/>
      <c r="AH377" s="334"/>
      <c r="AI377" s="334"/>
      <c r="AJ377" s="331"/>
      <c r="AK377" s="334"/>
      <c r="AL377" s="334"/>
      <c r="AM377" s="331"/>
      <c r="AN377" s="334"/>
      <c r="AO377" s="334"/>
      <c r="AP377" s="331"/>
      <c r="AQ377" s="334"/>
      <c r="AR377" s="334"/>
      <c r="AS377" s="331"/>
      <c r="AT377" s="334"/>
      <c r="AU377" s="334"/>
      <c r="AV377" s="331"/>
      <c r="AW377" s="334"/>
      <c r="AX377" s="334"/>
      <c r="AY377" s="331"/>
      <c r="AZ377" s="334"/>
      <c r="BA377" s="334"/>
      <c r="BB377" s="331"/>
      <c r="BC377" s="334"/>
      <c r="BD377" s="334"/>
      <c r="BE377" s="331"/>
      <c r="BF377" s="334"/>
      <c r="BG377" s="334"/>
      <c r="BH377" s="331"/>
      <c r="BI377" s="334"/>
      <c r="BJ377" s="334"/>
      <c r="BK377" s="331"/>
      <c r="BL377" s="334"/>
      <c r="BM377" s="334"/>
      <c r="BN377" s="331"/>
      <c r="BO377" s="334"/>
      <c r="BP377" s="334"/>
      <c r="BQ377" s="331"/>
      <c r="BR377" s="332"/>
    </row>
    <row r="378" spans="1:70">
      <c r="A378" s="142" t="s">
        <v>4054</v>
      </c>
      <c r="B378" s="268">
        <v>14400</v>
      </c>
      <c r="C378" s="268">
        <v>0</v>
      </c>
      <c r="D378" s="333"/>
      <c r="E378" s="333"/>
      <c r="F378" s="331"/>
      <c r="G378" s="334"/>
      <c r="H378" s="334"/>
      <c r="I378" s="331"/>
      <c r="J378" s="334"/>
      <c r="K378" s="334"/>
      <c r="L378" s="331"/>
      <c r="M378" s="334"/>
      <c r="N378" s="334"/>
      <c r="O378" s="331"/>
      <c r="P378" s="334"/>
      <c r="Q378" s="334"/>
      <c r="R378" s="331"/>
      <c r="S378" s="334"/>
      <c r="T378" s="334"/>
      <c r="U378" s="331"/>
      <c r="V378" s="334"/>
      <c r="W378" s="334"/>
      <c r="X378" s="331"/>
      <c r="Y378" s="334"/>
      <c r="Z378" s="334"/>
      <c r="AA378" s="331"/>
      <c r="AB378" s="334"/>
      <c r="AC378" s="334"/>
      <c r="AD378" s="331"/>
      <c r="AE378" s="334"/>
      <c r="AF378" s="334"/>
      <c r="AG378" s="331"/>
      <c r="AH378" s="334"/>
      <c r="AI378" s="334"/>
      <c r="AJ378" s="331"/>
      <c r="AK378" s="334"/>
      <c r="AL378" s="334"/>
      <c r="AM378" s="331"/>
      <c r="AN378" s="334"/>
      <c r="AO378" s="334"/>
      <c r="AP378" s="331"/>
      <c r="AQ378" s="334"/>
      <c r="AR378" s="334"/>
      <c r="AS378" s="331"/>
      <c r="AT378" s="334"/>
      <c r="AU378" s="334"/>
      <c r="AV378" s="331"/>
      <c r="AW378" s="334"/>
      <c r="AX378" s="334"/>
      <c r="AY378" s="331"/>
      <c r="AZ378" s="334"/>
      <c r="BA378" s="334"/>
      <c r="BB378" s="331"/>
      <c r="BC378" s="334"/>
      <c r="BD378" s="334"/>
      <c r="BE378" s="331"/>
      <c r="BF378" s="334"/>
      <c r="BG378" s="334"/>
      <c r="BH378" s="331"/>
      <c r="BI378" s="334"/>
      <c r="BJ378" s="334"/>
      <c r="BK378" s="331"/>
      <c r="BL378" s="334"/>
      <c r="BM378" s="334"/>
      <c r="BN378" s="331"/>
      <c r="BO378" s="334"/>
      <c r="BP378" s="334"/>
      <c r="BQ378" s="331"/>
      <c r="BR378" s="332"/>
    </row>
    <row r="379" spans="1:70">
      <c r="A379" s="142" t="s">
        <v>3681</v>
      </c>
      <c r="B379" s="268">
        <v>12100</v>
      </c>
      <c r="C379" s="268">
        <v>0</v>
      </c>
      <c r="D379" s="333"/>
      <c r="E379" s="333"/>
      <c r="F379" s="331"/>
      <c r="G379" s="334"/>
      <c r="H379" s="334"/>
      <c r="I379" s="331"/>
      <c r="J379" s="334"/>
      <c r="K379" s="334"/>
      <c r="L379" s="331"/>
      <c r="M379" s="334"/>
      <c r="N379" s="334"/>
      <c r="O379" s="331"/>
      <c r="P379" s="334"/>
      <c r="Q379" s="334"/>
      <c r="R379" s="331"/>
      <c r="S379" s="334"/>
      <c r="T379" s="334"/>
      <c r="U379" s="331"/>
      <c r="V379" s="334"/>
      <c r="W379" s="334"/>
      <c r="X379" s="331"/>
      <c r="Y379" s="334"/>
      <c r="Z379" s="334"/>
      <c r="AA379" s="331"/>
      <c r="AB379" s="334"/>
      <c r="AC379" s="334"/>
      <c r="AD379" s="331"/>
      <c r="AE379" s="334"/>
      <c r="AF379" s="334"/>
      <c r="AG379" s="331"/>
      <c r="AH379" s="334"/>
      <c r="AI379" s="334"/>
      <c r="AJ379" s="331"/>
      <c r="AK379" s="334"/>
      <c r="AL379" s="334"/>
      <c r="AM379" s="331"/>
      <c r="AN379" s="334"/>
      <c r="AO379" s="334"/>
      <c r="AP379" s="331"/>
      <c r="AQ379" s="334"/>
      <c r="AR379" s="334"/>
      <c r="AS379" s="331"/>
      <c r="AT379" s="334"/>
      <c r="AU379" s="334"/>
      <c r="AV379" s="331"/>
      <c r="AW379" s="334"/>
      <c r="AX379" s="334"/>
      <c r="AY379" s="331"/>
      <c r="AZ379" s="334"/>
      <c r="BA379" s="334"/>
      <c r="BB379" s="331"/>
      <c r="BC379" s="334"/>
      <c r="BD379" s="334"/>
      <c r="BE379" s="331"/>
      <c r="BF379" s="334"/>
      <c r="BG379" s="334"/>
      <c r="BH379" s="331"/>
      <c r="BI379" s="334"/>
      <c r="BJ379" s="334"/>
      <c r="BK379" s="331"/>
      <c r="BL379" s="334"/>
      <c r="BM379" s="334"/>
      <c r="BN379" s="331"/>
      <c r="BO379" s="334"/>
      <c r="BP379" s="334"/>
      <c r="BQ379" s="331"/>
      <c r="BR379" s="332"/>
    </row>
    <row r="380" spans="1:70">
      <c r="A380" s="142" t="s">
        <v>3644</v>
      </c>
      <c r="B380" s="268">
        <v>12600</v>
      </c>
      <c r="C380" s="268">
        <v>0</v>
      </c>
      <c r="D380" s="333"/>
      <c r="E380" s="333"/>
      <c r="F380" s="331"/>
      <c r="G380" s="334"/>
      <c r="H380" s="334"/>
      <c r="I380" s="331"/>
      <c r="J380" s="334"/>
      <c r="K380" s="334"/>
      <c r="L380" s="331"/>
      <c r="M380" s="334"/>
      <c r="N380" s="334"/>
      <c r="O380" s="331"/>
      <c r="P380" s="334"/>
      <c r="Q380" s="334"/>
      <c r="R380" s="331"/>
      <c r="S380" s="334"/>
      <c r="T380" s="334"/>
      <c r="U380" s="331"/>
      <c r="V380" s="334"/>
      <c r="W380" s="334"/>
      <c r="X380" s="331"/>
      <c r="Y380" s="334"/>
      <c r="Z380" s="334"/>
      <c r="AA380" s="331"/>
      <c r="AB380" s="334"/>
      <c r="AC380" s="334"/>
      <c r="AD380" s="331"/>
      <c r="AE380" s="334"/>
      <c r="AF380" s="334"/>
      <c r="AG380" s="331"/>
      <c r="AH380" s="334"/>
      <c r="AI380" s="334"/>
      <c r="AJ380" s="331"/>
      <c r="AK380" s="334"/>
      <c r="AL380" s="334"/>
      <c r="AM380" s="331"/>
      <c r="AN380" s="334"/>
      <c r="AO380" s="334"/>
      <c r="AP380" s="331"/>
      <c r="AQ380" s="334"/>
      <c r="AR380" s="334"/>
      <c r="AS380" s="331"/>
      <c r="AT380" s="334"/>
      <c r="AU380" s="334"/>
      <c r="AV380" s="331"/>
      <c r="AW380" s="334"/>
      <c r="AX380" s="334"/>
      <c r="AY380" s="331"/>
      <c r="AZ380" s="334"/>
      <c r="BA380" s="334"/>
      <c r="BB380" s="331"/>
      <c r="BC380" s="334"/>
      <c r="BD380" s="334"/>
      <c r="BE380" s="331"/>
      <c r="BF380" s="334"/>
      <c r="BG380" s="334"/>
      <c r="BH380" s="331"/>
      <c r="BI380" s="334"/>
      <c r="BJ380" s="334"/>
      <c r="BK380" s="331"/>
      <c r="BL380" s="334"/>
      <c r="BM380" s="334"/>
      <c r="BN380" s="331"/>
      <c r="BO380" s="334"/>
      <c r="BP380" s="334"/>
      <c r="BQ380" s="331"/>
      <c r="BR380" s="332"/>
    </row>
    <row r="381" spans="1:70">
      <c r="A381" s="142" t="s">
        <v>4378</v>
      </c>
      <c r="B381" s="268">
        <v>41400</v>
      </c>
      <c r="C381" s="268">
        <v>0</v>
      </c>
      <c r="D381" s="333"/>
      <c r="E381" s="333"/>
      <c r="F381" s="331"/>
      <c r="G381" s="334"/>
      <c r="H381" s="334"/>
      <c r="I381" s="331"/>
      <c r="J381" s="334"/>
      <c r="K381" s="334"/>
      <c r="L381" s="331"/>
      <c r="M381" s="334"/>
      <c r="N381" s="334"/>
      <c r="O381" s="331"/>
      <c r="P381" s="334"/>
      <c r="Q381" s="334"/>
      <c r="R381" s="331"/>
      <c r="S381" s="334"/>
      <c r="T381" s="334"/>
      <c r="U381" s="331"/>
      <c r="V381" s="334"/>
      <c r="W381" s="334"/>
      <c r="X381" s="331"/>
      <c r="Y381" s="334"/>
      <c r="Z381" s="334"/>
      <c r="AA381" s="331"/>
      <c r="AB381" s="334"/>
      <c r="AC381" s="334"/>
      <c r="AD381" s="331"/>
      <c r="AE381" s="334"/>
      <c r="AF381" s="334"/>
      <c r="AG381" s="331"/>
      <c r="AH381" s="334"/>
      <c r="AI381" s="334"/>
      <c r="AJ381" s="331"/>
      <c r="AK381" s="334"/>
      <c r="AL381" s="334"/>
      <c r="AM381" s="331"/>
      <c r="AN381" s="334"/>
      <c r="AO381" s="334"/>
      <c r="AP381" s="331"/>
      <c r="AQ381" s="334"/>
      <c r="AR381" s="334"/>
      <c r="AS381" s="331"/>
      <c r="AT381" s="334"/>
      <c r="AU381" s="334"/>
      <c r="AV381" s="331"/>
      <c r="AW381" s="334"/>
      <c r="AX381" s="334"/>
      <c r="AY381" s="331"/>
      <c r="AZ381" s="334"/>
      <c r="BA381" s="334"/>
      <c r="BB381" s="331"/>
      <c r="BC381" s="334"/>
      <c r="BD381" s="334"/>
      <c r="BE381" s="331"/>
      <c r="BF381" s="334"/>
      <c r="BG381" s="334"/>
      <c r="BH381" s="331"/>
      <c r="BI381" s="334"/>
      <c r="BJ381" s="334"/>
      <c r="BK381" s="331"/>
      <c r="BL381" s="334"/>
      <c r="BM381" s="334"/>
      <c r="BN381" s="331"/>
      <c r="BO381" s="334"/>
      <c r="BP381" s="334"/>
      <c r="BQ381" s="331"/>
      <c r="BR381" s="332"/>
    </row>
    <row r="382" spans="1:70">
      <c r="A382" s="142" t="s">
        <v>4928</v>
      </c>
      <c r="B382" s="268">
        <v>46600</v>
      </c>
      <c r="C382" s="268">
        <v>0</v>
      </c>
      <c r="D382" s="333"/>
      <c r="E382" s="333"/>
      <c r="F382" s="331"/>
      <c r="G382" s="334"/>
      <c r="H382" s="334"/>
      <c r="I382" s="331"/>
      <c r="J382" s="334"/>
      <c r="K382" s="334"/>
      <c r="L382" s="331"/>
      <c r="M382" s="334"/>
      <c r="N382" s="334"/>
      <c r="O382" s="331"/>
      <c r="P382" s="334"/>
      <c r="Q382" s="334"/>
      <c r="R382" s="331"/>
      <c r="S382" s="334"/>
      <c r="T382" s="334"/>
      <c r="U382" s="331"/>
      <c r="V382" s="334"/>
      <c r="W382" s="334"/>
      <c r="X382" s="331"/>
      <c r="Y382" s="334"/>
      <c r="Z382" s="334"/>
      <c r="AA382" s="331"/>
      <c r="AB382" s="334"/>
      <c r="AC382" s="334"/>
      <c r="AD382" s="331"/>
      <c r="AE382" s="334"/>
      <c r="AF382" s="334"/>
      <c r="AG382" s="331"/>
      <c r="AH382" s="334"/>
      <c r="AI382" s="334"/>
      <c r="AJ382" s="331"/>
      <c r="AK382" s="334"/>
      <c r="AL382" s="334"/>
      <c r="AM382" s="331"/>
      <c r="AN382" s="334"/>
      <c r="AO382" s="334"/>
      <c r="AP382" s="331"/>
      <c r="AQ382" s="334"/>
      <c r="AR382" s="334"/>
      <c r="AS382" s="331"/>
      <c r="AT382" s="334"/>
      <c r="AU382" s="334"/>
      <c r="AV382" s="331"/>
      <c r="AW382" s="334"/>
      <c r="AX382" s="334"/>
      <c r="AY382" s="331"/>
      <c r="AZ382" s="334"/>
      <c r="BA382" s="334"/>
      <c r="BB382" s="331"/>
      <c r="BC382" s="334"/>
      <c r="BD382" s="334"/>
      <c r="BE382" s="331"/>
      <c r="BF382" s="334"/>
      <c r="BG382" s="334"/>
      <c r="BH382" s="331"/>
      <c r="BI382" s="334"/>
      <c r="BJ382" s="334"/>
      <c r="BK382" s="331"/>
      <c r="BL382" s="334"/>
      <c r="BM382" s="334"/>
      <c r="BN382" s="331"/>
      <c r="BO382" s="334"/>
      <c r="BP382" s="334"/>
      <c r="BQ382" s="331"/>
      <c r="BR382" s="332"/>
    </row>
    <row r="383" spans="1:70">
      <c r="A383" s="142" t="s">
        <v>5074</v>
      </c>
      <c r="B383" s="268">
        <v>47200</v>
      </c>
      <c r="C383" s="268">
        <v>0</v>
      </c>
      <c r="D383" s="333"/>
      <c r="E383" s="333"/>
      <c r="F383" s="331"/>
      <c r="G383" s="334"/>
      <c r="H383" s="334"/>
      <c r="I383" s="331"/>
      <c r="J383" s="334"/>
      <c r="K383" s="334"/>
      <c r="L383" s="331"/>
      <c r="M383" s="334"/>
      <c r="N383" s="334"/>
      <c r="O383" s="331"/>
      <c r="P383" s="334"/>
      <c r="Q383" s="334"/>
      <c r="R383" s="331"/>
      <c r="S383" s="334"/>
      <c r="T383" s="334"/>
      <c r="U383" s="331"/>
      <c r="V383" s="334"/>
      <c r="W383" s="334"/>
      <c r="X383" s="331"/>
      <c r="Y383" s="334"/>
      <c r="Z383" s="334"/>
      <c r="AA383" s="331"/>
      <c r="AB383" s="334"/>
      <c r="AC383" s="334"/>
      <c r="AD383" s="331"/>
      <c r="AE383" s="334"/>
      <c r="AF383" s="334"/>
      <c r="AG383" s="331"/>
      <c r="AH383" s="334"/>
      <c r="AI383" s="334"/>
      <c r="AJ383" s="331"/>
      <c r="AK383" s="334"/>
      <c r="AL383" s="334"/>
      <c r="AM383" s="331"/>
      <c r="AN383" s="334"/>
      <c r="AO383" s="334"/>
      <c r="AP383" s="331"/>
      <c r="AQ383" s="334"/>
      <c r="AR383" s="334"/>
      <c r="AS383" s="331"/>
      <c r="AT383" s="334"/>
      <c r="AU383" s="334"/>
      <c r="AV383" s="331"/>
      <c r="AW383" s="334"/>
      <c r="AX383" s="334"/>
      <c r="AY383" s="331"/>
      <c r="AZ383" s="334"/>
      <c r="BA383" s="334"/>
      <c r="BB383" s="331"/>
      <c r="BC383" s="334"/>
      <c r="BD383" s="334"/>
      <c r="BE383" s="331"/>
      <c r="BF383" s="334"/>
      <c r="BG383" s="334"/>
      <c r="BH383" s="331"/>
      <c r="BI383" s="334"/>
      <c r="BJ383" s="334"/>
      <c r="BK383" s="331"/>
      <c r="BL383" s="334"/>
      <c r="BM383" s="334"/>
      <c r="BN383" s="331"/>
      <c r="BO383" s="334"/>
      <c r="BP383" s="334"/>
      <c r="BQ383" s="331"/>
      <c r="BR383" s="332"/>
    </row>
    <row r="384" spans="1:70">
      <c r="A384" s="142" t="s">
        <v>4949</v>
      </c>
      <c r="B384" s="268">
        <v>47000</v>
      </c>
      <c r="C384" s="268">
        <v>0</v>
      </c>
      <c r="D384" s="333"/>
      <c r="E384" s="333"/>
      <c r="F384" s="331"/>
      <c r="G384" s="334"/>
      <c r="H384" s="334"/>
      <c r="I384" s="331"/>
      <c r="J384" s="334"/>
      <c r="K384" s="334"/>
      <c r="L384" s="331"/>
      <c r="M384" s="334"/>
      <c r="N384" s="334"/>
      <c r="O384" s="331"/>
      <c r="P384" s="334"/>
      <c r="Q384" s="334"/>
      <c r="R384" s="331"/>
      <c r="S384" s="334"/>
      <c r="T384" s="334"/>
      <c r="U384" s="331"/>
      <c r="V384" s="334"/>
      <c r="W384" s="334"/>
      <c r="X384" s="331"/>
      <c r="Y384" s="334"/>
      <c r="Z384" s="334"/>
      <c r="AA384" s="331"/>
      <c r="AB384" s="334"/>
      <c r="AC384" s="334"/>
      <c r="AD384" s="331"/>
      <c r="AE384" s="334"/>
      <c r="AF384" s="334"/>
      <c r="AG384" s="331"/>
      <c r="AH384" s="334"/>
      <c r="AI384" s="334"/>
      <c r="AJ384" s="331"/>
      <c r="AK384" s="334"/>
      <c r="AL384" s="334"/>
      <c r="AM384" s="331"/>
      <c r="AN384" s="334"/>
      <c r="AO384" s="334"/>
      <c r="AP384" s="331"/>
      <c r="AQ384" s="334"/>
      <c r="AR384" s="334"/>
      <c r="AS384" s="331"/>
      <c r="AT384" s="334"/>
      <c r="AU384" s="334"/>
      <c r="AV384" s="331"/>
      <c r="AW384" s="334"/>
      <c r="AX384" s="334"/>
      <c r="AY384" s="331"/>
      <c r="AZ384" s="334"/>
      <c r="BA384" s="334"/>
      <c r="BB384" s="331"/>
      <c r="BC384" s="334"/>
      <c r="BD384" s="334"/>
      <c r="BE384" s="331"/>
      <c r="BF384" s="334"/>
      <c r="BG384" s="334"/>
      <c r="BH384" s="331"/>
      <c r="BI384" s="334"/>
      <c r="BJ384" s="334"/>
      <c r="BK384" s="331"/>
      <c r="BL384" s="334"/>
      <c r="BM384" s="334"/>
      <c r="BN384" s="331"/>
      <c r="BO384" s="334"/>
      <c r="BP384" s="334"/>
      <c r="BQ384" s="331"/>
      <c r="BR384" s="332"/>
    </row>
    <row r="385" spans="1:72">
      <c r="A385" s="142" t="s">
        <v>4292</v>
      </c>
      <c r="B385" s="268">
        <v>12600</v>
      </c>
      <c r="C385" s="268">
        <v>0</v>
      </c>
      <c r="D385" s="333"/>
      <c r="E385" s="333"/>
      <c r="F385" s="331"/>
      <c r="G385" s="334"/>
      <c r="H385" s="334"/>
      <c r="I385" s="331"/>
      <c r="J385" s="334"/>
      <c r="K385" s="334"/>
      <c r="L385" s="331"/>
      <c r="M385" s="334"/>
      <c r="N385" s="334"/>
      <c r="O385" s="331"/>
      <c r="P385" s="334"/>
      <c r="Q385" s="334"/>
      <c r="R385" s="331"/>
      <c r="S385" s="334"/>
      <c r="T385" s="334"/>
      <c r="U385" s="331"/>
      <c r="V385" s="334"/>
      <c r="W385" s="334"/>
      <c r="X385" s="331"/>
      <c r="Y385" s="334"/>
      <c r="Z385" s="334"/>
      <c r="AA385" s="331"/>
      <c r="AB385" s="334"/>
      <c r="AC385" s="334"/>
      <c r="AD385" s="331"/>
      <c r="AE385" s="334"/>
      <c r="AF385" s="334"/>
      <c r="AG385" s="331"/>
      <c r="AH385" s="334"/>
      <c r="AI385" s="334"/>
      <c r="AJ385" s="331"/>
      <c r="AK385" s="334"/>
      <c r="AL385" s="334"/>
      <c r="AM385" s="331"/>
      <c r="AN385" s="334"/>
      <c r="AO385" s="334"/>
      <c r="AP385" s="331"/>
      <c r="AQ385" s="334"/>
      <c r="AR385" s="334"/>
      <c r="AS385" s="331"/>
      <c r="AT385" s="334"/>
      <c r="AU385" s="334"/>
      <c r="AV385" s="331"/>
      <c r="AW385" s="334"/>
      <c r="AX385" s="334"/>
      <c r="AY385" s="331"/>
      <c r="AZ385" s="334"/>
      <c r="BA385" s="334"/>
      <c r="BB385" s="331"/>
      <c r="BC385" s="334"/>
      <c r="BD385" s="334"/>
      <c r="BE385" s="331"/>
      <c r="BF385" s="334"/>
      <c r="BG385" s="334"/>
      <c r="BH385" s="331"/>
      <c r="BI385" s="334"/>
      <c r="BJ385" s="334"/>
      <c r="BK385" s="331"/>
      <c r="BL385" s="334"/>
      <c r="BM385" s="334"/>
      <c r="BN385" s="331"/>
      <c r="BO385" s="334"/>
      <c r="BP385" s="334"/>
      <c r="BQ385" s="331"/>
      <c r="BR385" s="332"/>
    </row>
    <row r="386" spans="1:72">
      <c r="A386" s="142" t="s">
        <v>4460</v>
      </c>
      <c r="B386" s="268">
        <v>15400</v>
      </c>
      <c r="C386" s="268">
        <v>0</v>
      </c>
      <c r="D386" s="333"/>
      <c r="E386" s="333"/>
      <c r="F386" s="331"/>
      <c r="G386" s="334"/>
      <c r="H386" s="334"/>
      <c r="I386" s="331"/>
      <c r="J386" s="334"/>
      <c r="K386" s="334"/>
      <c r="L386" s="331"/>
      <c r="M386" s="334"/>
      <c r="N386" s="334"/>
      <c r="O386" s="331"/>
      <c r="P386" s="334"/>
      <c r="Q386" s="334"/>
      <c r="R386" s="331"/>
      <c r="S386" s="334"/>
      <c r="T386" s="334"/>
      <c r="U386" s="331"/>
      <c r="V386" s="334"/>
      <c r="W386" s="334"/>
      <c r="X386" s="331"/>
      <c r="Y386" s="334"/>
      <c r="Z386" s="334"/>
      <c r="AA386" s="331"/>
      <c r="AB386" s="334"/>
      <c r="AC386" s="334"/>
      <c r="AD386" s="331"/>
      <c r="AE386" s="334"/>
      <c r="AF386" s="334"/>
      <c r="AG386" s="331"/>
      <c r="AH386" s="334"/>
      <c r="AI386" s="334"/>
      <c r="AJ386" s="331"/>
      <c r="AK386" s="334"/>
      <c r="AL386" s="334"/>
      <c r="AM386" s="331"/>
      <c r="AN386" s="334"/>
      <c r="AO386" s="334"/>
      <c r="AP386" s="331"/>
      <c r="AQ386" s="334"/>
      <c r="AR386" s="334"/>
      <c r="AS386" s="331"/>
      <c r="AT386" s="334"/>
      <c r="AU386" s="334"/>
      <c r="AV386" s="331"/>
      <c r="AW386" s="334"/>
      <c r="AX386" s="334"/>
      <c r="AY386" s="331"/>
      <c r="AZ386" s="334"/>
      <c r="BA386" s="334"/>
      <c r="BB386" s="331"/>
      <c r="BC386" s="334"/>
      <c r="BD386" s="334"/>
      <c r="BE386" s="331"/>
      <c r="BF386" s="334"/>
      <c r="BG386" s="334"/>
      <c r="BH386" s="331"/>
      <c r="BI386" s="334"/>
      <c r="BJ386" s="334"/>
      <c r="BK386" s="331"/>
      <c r="BL386" s="334"/>
      <c r="BM386" s="334"/>
      <c r="BN386" s="331"/>
      <c r="BO386" s="334"/>
      <c r="BP386" s="334"/>
      <c r="BQ386" s="331"/>
      <c r="BR386" s="332"/>
    </row>
    <row r="387" spans="1:72">
      <c r="A387" s="142" t="s">
        <v>2608</v>
      </c>
      <c r="B387" s="268">
        <v>7700</v>
      </c>
      <c r="C387" s="268">
        <v>0</v>
      </c>
      <c r="D387" s="333"/>
      <c r="E387" s="333"/>
      <c r="F387" s="331"/>
      <c r="G387" s="334"/>
      <c r="H387" s="334"/>
      <c r="I387" s="331"/>
      <c r="J387" s="334"/>
      <c r="K387" s="334"/>
      <c r="L387" s="331"/>
      <c r="M387" s="334"/>
      <c r="N387" s="334"/>
      <c r="O387" s="331"/>
      <c r="P387" s="334"/>
      <c r="Q387" s="334"/>
      <c r="R387" s="331"/>
      <c r="S387" s="334"/>
      <c r="T387" s="334"/>
      <c r="U387" s="331"/>
      <c r="V387" s="334"/>
      <c r="W387" s="334"/>
      <c r="X387" s="331"/>
      <c r="Y387" s="334"/>
      <c r="Z387" s="334"/>
      <c r="AA387" s="331"/>
      <c r="AB387" s="334"/>
      <c r="AC387" s="334"/>
      <c r="AD387" s="331"/>
      <c r="AE387" s="334"/>
      <c r="AF387" s="334"/>
      <c r="AG387" s="331"/>
      <c r="AH387" s="334"/>
      <c r="AI387" s="334"/>
      <c r="AJ387" s="331"/>
      <c r="AK387" s="334"/>
      <c r="AL387" s="334"/>
      <c r="AM387" s="331"/>
      <c r="AN387" s="334"/>
      <c r="AO387" s="334"/>
      <c r="AP387" s="331"/>
      <c r="AQ387" s="334"/>
      <c r="AR387" s="334"/>
      <c r="AS387" s="331"/>
      <c r="AT387" s="334"/>
      <c r="AU387" s="334"/>
      <c r="AV387" s="331"/>
      <c r="AW387" s="334"/>
      <c r="AX387" s="334"/>
      <c r="AY387" s="331"/>
      <c r="AZ387" s="334"/>
      <c r="BA387" s="334"/>
      <c r="BB387" s="331"/>
      <c r="BC387" s="334"/>
      <c r="BD387" s="334"/>
      <c r="BE387" s="331"/>
      <c r="BF387" s="334"/>
      <c r="BG387" s="334"/>
      <c r="BH387" s="331"/>
      <c r="BI387" s="334"/>
      <c r="BJ387" s="334"/>
      <c r="BK387" s="331"/>
      <c r="BL387" s="334"/>
      <c r="BM387" s="334"/>
      <c r="BN387" s="331"/>
      <c r="BO387" s="334"/>
      <c r="BP387" s="334"/>
      <c r="BQ387" s="331"/>
      <c r="BR387" s="332"/>
    </row>
    <row r="388" spans="1:72">
      <c r="A388" s="142" t="s">
        <v>2617</v>
      </c>
      <c r="B388" s="268">
        <v>7800</v>
      </c>
      <c r="C388" s="268">
        <v>0</v>
      </c>
      <c r="D388" s="333"/>
      <c r="E388" s="333"/>
      <c r="F388" s="331"/>
      <c r="G388" s="334"/>
      <c r="H388" s="334"/>
      <c r="I388" s="331"/>
      <c r="J388" s="334"/>
      <c r="K388" s="334"/>
      <c r="L388" s="331"/>
      <c r="M388" s="334"/>
      <c r="N388" s="334"/>
      <c r="O388" s="331"/>
      <c r="P388" s="334"/>
      <c r="Q388" s="334"/>
      <c r="R388" s="331"/>
      <c r="S388" s="334"/>
      <c r="T388" s="334"/>
      <c r="U388" s="331"/>
      <c r="V388" s="334"/>
      <c r="W388" s="334"/>
      <c r="X388" s="331"/>
      <c r="Y388" s="334"/>
      <c r="Z388" s="334"/>
      <c r="AA388" s="331"/>
      <c r="AB388" s="334"/>
      <c r="AC388" s="334"/>
      <c r="AD388" s="331"/>
      <c r="AE388" s="334"/>
      <c r="AF388" s="334"/>
      <c r="AG388" s="331"/>
      <c r="AH388" s="334"/>
      <c r="AI388" s="334"/>
      <c r="AJ388" s="331"/>
      <c r="AK388" s="334"/>
      <c r="AL388" s="334"/>
      <c r="AM388" s="331"/>
      <c r="AN388" s="334"/>
      <c r="AO388" s="334"/>
      <c r="AP388" s="331"/>
      <c r="AQ388" s="334"/>
      <c r="AR388" s="334"/>
      <c r="AS388" s="331"/>
      <c r="AT388" s="334"/>
      <c r="AU388" s="334"/>
      <c r="AV388" s="331"/>
      <c r="AW388" s="334"/>
      <c r="AX388" s="334"/>
      <c r="AY388" s="331"/>
      <c r="AZ388" s="334"/>
      <c r="BA388" s="334"/>
      <c r="BB388" s="331"/>
      <c r="BC388" s="334"/>
      <c r="BD388" s="334"/>
      <c r="BE388" s="331"/>
      <c r="BF388" s="334"/>
      <c r="BG388" s="334"/>
      <c r="BH388" s="331"/>
      <c r="BI388" s="334"/>
      <c r="BJ388" s="334"/>
      <c r="BK388" s="331"/>
      <c r="BL388" s="334"/>
      <c r="BM388" s="334"/>
      <c r="BN388" s="331"/>
      <c r="BO388" s="334"/>
      <c r="BP388" s="334"/>
      <c r="BQ388" s="331"/>
      <c r="BR388" s="332"/>
    </row>
    <row r="389" spans="1:72">
      <c r="A389" s="142" t="s">
        <v>2600</v>
      </c>
      <c r="B389" s="268">
        <v>7700</v>
      </c>
      <c r="C389" s="268">
        <v>0</v>
      </c>
      <c r="D389" s="333"/>
      <c r="E389" s="333"/>
      <c r="F389" s="331"/>
      <c r="G389" s="334"/>
      <c r="H389" s="334"/>
      <c r="I389" s="331"/>
      <c r="J389" s="334"/>
      <c r="K389" s="334"/>
      <c r="L389" s="331"/>
      <c r="M389" s="334"/>
      <c r="N389" s="334"/>
      <c r="O389" s="331"/>
      <c r="P389" s="334"/>
      <c r="Q389" s="334"/>
      <c r="R389" s="331"/>
      <c r="S389" s="334"/>
      <c r="T389" s="334"/>
      <c r="U389" s="331"/>
      <c r="V389" s="334"/>
      <c r="W389" s="334"/>
      <c r="X389" s="331"/>
      <c r="Y389" s="334"/>
      <c r="Z389" s="334"/>
      <c r="AA389" s="331"/>
      <c r="AB389" s="334"/>
      <c r="AC389" s="334"/>
      <c r="AD389" s="331"/>
      <c r="AE389" s="334"/>
      <c r="AF389" s="334"/>
      <c r="AG389" s="331"/>
      <c r="AH389" s="334"/>
      <c r="AI389" s="334"/>
      <c r="AJ389" s="331"/>
      <c r="AK389" s="334"/>
      <c r="AL389" s="334"/>
      <c r="AM389" s="331"/>
      <c r="AN389" s="334"/>
      <c r="AO389" s="334"/>
      <c r="AP389" s="331"/>
      <c r="AQ389" s="334"/>
      <c r="AR389" s="334"/>
      <c r="AS389" s="331"/>
      <c r="AT389" s="334"/>
      <c r="AU389" s="334"/>
      <c r="AV389" s="331"/>
      <c r="AW389" s="334"/>
      <c r="AX389" s="334"/>
      <c r="AY389" s="331"/>
      <c r="AZ389" s="334"/>
      <c r="BA389" s="334"/>
      <c r="BB389" s="331"/>
      <c r="BC389" s="334"/>
      <c r="BD389" s="334"/>
      <c r="BE389" s="331"/>
      <c r="BF389" s="334"/>
      <c r="BG389" s="334"/>
      <c r="BH389" s="331"/>
      <c r="BI389" s="334"/>
      <c r="BJ389" s="334"/>
      <c r="BK389" s="331"/>
      <c r="BL389" s="334"/>
      <c r="BM389" s="334"/>
      <c r="BN389" s="331"/>
      <c r="BO389" s="334"/>
      <c r="BP389" s="334"/>
      <c r="BQ389" s="331"/>
      <c r="BR389" s="332"/>
    </row>
    <row r="390" spans="1:72">
      <c r="A390" s="142" t="s">
        <v>2592</v>
      </c>
      <c r="B390" s="268">
        <v>7700</v>
      </c>
      <c r="C390" s="268">
        <v>0</v>
      </c>
      <c r="D390" s="333"/>
      <c r="E390" s="333"/>
      <c r="F390" s="331"/>
      <c r="G390" s="334"/>
      <c r="H390" s="334"/>
      <c r="I390" s="331"/>
      <c r="J390" s="334"/>
      <c r="K390" s="334"/>
      <c r="L390" s="331"/>
      <c r="M390" s="334"/>
      <c r="N390" s="334"/>
      <c r="O390" s="331"/>
      <c r="P390" s="334"/>
      <c r="Q390" s="334"/>
      <c r="R390" s="331"/>
      <c r="S390" s="334"/>
      <c r="T390" s="334"/>
      <c r="U390" s="331"/>
      <c r="V390" s="334"/>
      <c r="W390" s="334"/>
      <c r="X390" s="331"/>
      <c r="Y390" s="334"/>
      <c r="Z390" s="334"/>
      <c r="AA390" s="331"/>
      <c r="AB390" s="334"/>
      <c r="AC390" s="334"/>
      <c r="AD390" s="331"/>
      <c r="AE390" s="334"/>
      <c r="AF390" s="334"/>
      <c r="AG390" s="331"/>
      <c r="AH390" s="334"/>
      <c r="AI390" s="334"/>
      <c r="AJ390" s="331"/>
      <c r="AK390" s="334"/>
      <c r="AL390" s="334"/>
      <c r="AM390" s="331"/>
      <c r="AN390" s="334"/>
      <c r="AO390" s="334"/>
      <c r="AP390" s="331"/>
      <c r="AQ390" s="334"/>
      <c r="AR390" s="334"/>
      <c r="AS390" s="331"/>
      <c r="AT390" s="334"/>
      <c r="AU390" s="334"/>
      <c r="AV390" s="331"/>
      <c r="AW390" s="334"/>
      <c r="AX390" s="334"/>
      <c r="AY390" s="331"/>
      <c r="AZ390" s="334"/>
      <c r="BA390" s="334"/>
      <c r="BB390" s="331"/>
      <c r="BC390" s="334"/>
      <c r="BD390" s="334"/>
      <c r="BE390" s="331"/>
      <c r="BF390" s="334"/>
      <c r="BG390" s="334"/>
      <c r="BH390" s="331"/>
      <c r="BI390" s="334"/>
      <c r="BJ390" s="334"/>
      <c r="BK390" s="331"/>
      <c r="BL390" s="334"/>
      <c r="BM390" s="334"/>
      <c r="BN390" s="331"/>
      <c r="BO390" s="334"/>
      <c r="BP390" s="334"/>
      <c r="BQ390" s="331"/>
      <c r="BR390" s="332"/>
    </row>
    <row r="391" spans="1:72">
      <c r="A391" s="142" t="s">
        <v>2625</v>
      </c>
      <c r="B391" s="268">
        <v>9100</v>
      </c>
      <c r="C391" s="268">
        <v>0</v>
      </c>
      <c r="D391" s="333"/>
      <c r="E391" s="333"/>
      <c r="F391" s="331"/>
      <c r="G391" s="334"/>
      <c r="H391" s="334"/>
      <c r="I391" s="331"/>
      <c r="J391" s="334"/>
      <c r="K391" s="334"/>
      <c r="L391" s="331"/>
      <c r="M391" s="334"/>
      <c r="N391" s="334"/>
      <c r="O391" s="331"/>
      <c r="P391" s="334"/>
      <c r="Q391" s="334"/>
      <c r="R391" s="331"/>
      <c r="S391" s="334"/>
      <c r="T391" s="334"/>
      <c r="U391" s="331"/>
      <c r="V391" s="334"/>
      <c r="W391" s="334"/>
      <c r="X391" s="331"/>
      <c r="Y391" s="334"/>
      <c r="Z391" s="334"/>
      <c r="AA391" s="331"/>
      <c r="AB391" s="334"/>
      <c r="AC391" s="334"/>
      <c r="AD391" s="331"/>
      <c r="AE391" s="334"/>
      <c r="AF391" s="334"/>
      <c r="AG391" s="331"/>
      <c r="AH391" s="334"/>
      <c r="AI391" s="334"/>
      <c r="AJ391" s="331"/>
      <c r="AK391" s="334"/>
      <c r="AL391" s="334"/>
      <c r="AM391" s="331"/>
      <c r="AN391" s="334"/>
      <c r="AO391" s="334"/>
      <c r="AP391" s="331"/>
      <c r="AQ391" s="334"/>
      <c r="AR391" s="334"/>
      <c r="AS391" s="331"/>
      <c r="AT391" s="334"/>
      <c r="AU391" s="334"/>
      <c r="AV391" s="331"/>
      <c r="AW391" s="334"/>
      <c r="AX391" s="334"/>
      <c r="AY391" s="331"/>
      <c r="AZ391" s="334"/>
      <c r="BA391" s="334"/>
      <c r="BB391" s="331"/>
      <c r="BC391" s="334"/>
      <c r="BD391" s="334"/>
      <c r="BE391" s="331"/>
      <c r="BF391" s="334"/>
      <c r="BG391" s="334"/>
      <c r="BH391" s="331"/>
      <c r="BI391" s="334"/>
      <c r="BJ391" s="334"/>
      <c r="BK391" s="331"/>
      <c r="BL391" s="334"/>
      <c r="BM391" s="334"/>
      <c r="BN391" s="331"/>
      <c r="BO391" s="334"/>
      <c r="BP391" s="334"/>
      <c r="BQ391" s="331"/>
      <c r="BR391" s="332"/>
    </row>
    <row r="392" spans="1:72">
      <c r="A392" s="142" t="s">
        <v>2633</v>
      </c>
      <c r="B392" s="268">
        <v>9200</v>
      </c>
      <c r="C392" s="268">
        <v>0</v>
      </c>
      <c r="D392" s="333"/>
      <c r="E392" s="333"/>
      <c r="F392" s="331"/>
      <c r="G392" s="334"/>
      <c r="H392" s="334"/>
      <c r="I392" s="331"/>
      <c r="J392" s="334"/>
      <c r="K392" s="334"/>
      <c r="L392" s="331"/>
      <c r="M392" s="334"/>
      <c r="N392" s="334"/>
      <c r="O392" s="331"/>
      <c r="P392" s="334"/>
      <c r="Q392" s="334"/>
      <c r="R392" s="331"/>
      <c r="S392" s="334"/>
      <c r="T392" s="334"/>
      <c r="U392" s="331"/>
      <c r="V392" s="334"/>
      <c r="W392" s="334"/>
      <c r="X392" s="331"/>
      <c r="Y392" s="334"/>
      <c r="Z392" s="334"/>
      <c r="AA392" s="331"/>
      <c r="AB392" s="334"/>
      <c r="AC392" s="334"/>
      <c r="AD392" s="331"/>
      <c r="AE392" s="334"/>
      <c r="AF392" s="334"/>
      <c r="AG392" s="331"/>
      <c r="AH392" s="334"/>
      <c r="AI392" s="334"/>
      <c r="AJ392" s="331"/>
      <c r="AK392" s="334"/>
      <c r="AL392" s="334"/>
      <c r="AM392" s="331"/>
      <c r="AN392" s="334"/>
      <c r="AO392" s="334"/>
      <c r="AP392" s="331"/>
      <c r="AQ392" s="334"/>
      <c r="AR392" s="334"/>
      <c r="AS392" s="331"/>
      <c r="AT392" s="334"/>
      <c r="AU392" s="334"/>
      <c r="AV392" s="331"/>
      <c r="AW392" s="334"/>
      <c r="AX392" s="334"/>
      <c r="AY392" s="331"/>
      <c r="AZ392" s="334"/>
      <c r="BA392" s="334"/>
      <c r="BB392" s="331"/>
      <c r="BC392" s="334"/>
      <c r="BD392" s="334"/>
      <c r="BE392" s="331"/>
      <c r="BF392" s="334"/>
      <c r="BG392" s="334"/>
      <c r="BH392" s="331"/>
      <c r="BI392" s="334"/>
      <c r="BJ392" s="334"/>
      <c r="BK392" s="331"/>
      <c r="BL392" s="334"/>
      <c r="BM392" s="334"/>
      <c r="BN392" s="331"/>
      <c r="BO392" s="334"/>
      <c r="BP392" s="334"/>
      <c r="BQ392" s="331"/>
      <c r="BR392" s="332"/>
    </row>
    <row r="393" spans="1:72">
      <c r="A393" s="142" t="s">
        <v>997</v>
      </c>
      <c r="B393" s="268">
        <v>13565850</v>
      </c>
      <c r="C393" s="268">
        <v>0</v>
      </c>
      <c r="D393" s="333"/>
      <c r="E393" s="333"/>
      <c r="F393" s="331"/>
      <c r="G393" s="334"/>
      <c r="H393" s="334"/>
      <c r="I393" s="331"/>
      <c r="J393" s="334"/>
      <c r="K393" s="334"/>
      <c r="L393" s="331"/>
      <c r="M393" s="334"/>
      <c r="N393" s="334"/>
      <c r="O393" s="331"/>
      <c r="P393" s="334"/>
      <c r="Q393" s="334"/>
      <c r="R393" s="331"/>
      <c r="S393" s="334"/>
      <c r="T393" s="334"/>
      <c r="U393" s="331"/>
      <c r="V393" s="334"/>
      <c r="W393" s="334"/>
      <c r="X393" s="331"/>
      <c r="Y393" s="334"/>
      <c r="Z393" s="334"/>
      <c r="AA393" s="331"/>
      <c r="AB393" s="334"/>
      <c r="AC393" s="334"/>
      <c r="AD393" s="331"/>
      <c r="AE393" s="334"/>
      <c r="AF393" s="334"/>
      <c r="AG393" s="331"/>
      <c r="AH393" s="334"/>
      <c r="AI393" s="334"/>
      <c r="AJ393" s="331"/>
      <c r="AK393" s="334"/>
      <c r="AL393" s="334"/>
      <c r="AM393" s="331"/>
      <c r="AN393" s="334"/>
      <c r="AO393" s="334"/>
      <c r="AP393" s="331"/>
      <c r="AQ393" s="334"/>
      <c r="AR393" s="334"/>
      <c r="AS393" s="331"/>
      <c r="AT393" s="334"/>
      <c r="AU393" s="334"/>
      <c r="AV393" s="331"/>
      <c r="AW393" s="334"/>
      <c r="AX393" s="334"/>
      <c r="AY393" s="331"/>
      <c r="AZ393" s="334"/>
      <c r="BA393" s="334"/>
      <c r="BB393" s="331"/>
      <c r="BC393" s="334"/>
      <c r="BD393" s="334"/>
      <c r="BE393" s="331"/>
      <c r="BF393" s="334"/>
      <c r="BG393" s="334"/>
      <c r="BH393" s="331"/>
      <c r="BI393" s="334"/>
      <c r="BJ393" s="334"/>
      <c r="BK393" s="331"/>
      <c r="BL393" s="334"/>
      <c r="BM393" s="334"/>
      <c r="BN393" s="331"/>
      <c r="BO393" s="334"/>
      <c r="BP393" s="334"/>
      <c r="BQ393" s="331"/>
      <c r="BR393" s="332"/>
    </row>
    <row r="394" spans="1:72">
      <c r="A394" s="142"/>
      <c r="B394" s="268"/>
      <c r="C394" s="268"/>
      <c r="D394" s="333"/>
      <c r="E394" s="333"/>
      <c r="F394" s="331"/>
      <c r="G394" s="334"/>
      <c r="H394" s="334"/>
      <c r="I394" s="331"/>
      <c r="J394" s="334"/>
      <c r="K394" s="334"/>
      <c r="L394" s="331"/>
      <c r="M394" s="334"/>
      <c r="N394" s="334"/>
      <c r="O394" s="331"/>
      <c r="P394" s="334"/>
      <c r="Q394" s="334"/>
      <c r="R394" s="331"/>
      <c r="S394" s="334"/>
      <c r="T394" s="334"/>
      <c r="U394" s="331"/>
      <c r="V394" s="334"/>
      <c r="W394" s="334"/>
      <c r="X394" s="331"/>
      <c r="Y394" s="334"/>
      <c r="Z394" s="334"/>
      <c r="AA394" s="331"/>
      <c r="AB394" s="334"/>
      <c r="AC394" s="334"/>
      <c r="AD394" s="331"/>
      <c r="AE394" s="334"/>
      <c r="AF394" s="334"/>
      <c r="AG394" s="331"/>
      <c r="AH394" s="334"/>
      <c r="AI394" s="334"/>
      <c r="AJ394" s="331"/>
      <c r="AK394" s="334"/>
      <c r="AL394" s="334"/>
      <c r="AM394" s="331"/>
      <c r="AN394" s="334"/>
      <c r="AO394" s="334"/>
      <c r="AP394" s="331"/>
      <c r="AQ394" s="334"/>
      <c r="AR394" s="334"/>
      <c r="AS394" s="331"/>
      <c r="AT394" s="334"/>
      <c r="AU394" s="334"/>
      <c r="AV394" s="331"/>
      <c r="AW394" s="334"/>
      <c r="AX394" s="334"/>
      <c r="AY394" s="331"/>
      <c r="AZ394" s="334"/>
      <c r="BA394" s="334"/>
      <c r="BB394" s="331"/>
      <c r="BC394" s="334"/>
      <c r="BD394" s="334"/>
      <c r="BE394" s="331"/>
      <c r="BF394" s="334"/>
      <c r="BG394" s="334"/>
      <c r="BH394" s="331"/>
      <c r="BI394" s="334"/>
      <c r="BJ394" s="334"/>
      <c r="BK394" s="331"/>
      <c r="BL394" s="334"/>
      <c r="BM394" s="334"/>
      <c r="BN394" s="331"/>
      <c r="BO394" s="334"/>
      <c r="BP394" s="334"/>
      <c r="BQ394" s="331"/>
      <c r="BR394" s="332"/>
    </row>
    <row r="395" spans="1:72">
      <c r="A395" s="142"/>
      <c r="B395" s="268"/>
      <c r="C395" s="268"/>
      <c r="D395" s="333"/>
      <c r="E395" s="333"/>
      <c r="F395" s="331"/>
      <c r="G395" s="334"/>
      <c r="H395" s="334"/>
      <c r="I395" s="331"/>
      <c r="J395" s="334"/>
      <c r="K395" s="334"/>
      <c r="L395" s="331"/>
      <c r="M395" s="334"/>
      <c r="N395" s="334"/>
      <c r="O395" s="331"/>
      <c r="P395" s="334"/>
      <c r="Q395" s="334"/>
      <c r="R395" s="331"/>
      <c r="S395" s="334"/>
      <c r="T395" s="334"/>
      <c r="U395" s="331"/>
      <c r="V395" s="334"/>
      <c r="W395" s="334"/>
      <c r="X395" s="331"/>
      <c r="Y395" s="334"/>
      <c r="Z395" s="334"/>
      <c r="AA395" s="331"/>
      <c r="AB395" s="334"/>
      <c r="AC395" s="334"/>
      <c r="AD395" s="331"/>
      <c r="AE395" s="334"/>
      <c r="AF395" s="334"/>
      <c r="AG395" s="331"/>
      <c r="AH395" s="334"/>
      <c r="AI395" s="334"/>
      <c r="AJ395" s="331"/>
      <c r="AK395" s="334"/>
      <c r="AL395" s="334"/>
      <c r="AM395" s="331"/>
      <c r="AN395" s="334"/>
      <c r="AO395" s="334"/>
      <c r="AP395" s="331"/>
      <c r="AQ395" s="334"/>
      <c r="AR395" s="334"/>
      <c r="AS395" s="331"/>
      <c r="AT395" s="334"/>
      <c r="AU395" s="334"/>
      <c r="AV395" s="331"/>
      <c r="AW395" s="334"/>
      <c r="AX395" s="334"/>
      <c r="AY395" s="331"/>
      <c r="AZ395" s="334"/>
      <c r="BA395" s="334"/>
      <c r="BB395" s="331"/>
      <c r="BC395" s="334"/>
      <c r="BD395" s="334"/>
      <c r="BE395" s="331"/>
      <c r="BF395" s="334"/>
      <c r="BG395" s="334"/>
      <c r="BH395" s="331"/>
      <c r="BI395" s="334"/>
      <c r="BJ395" s="334"/>
      <c r="BK395" s="331"/>
      <c r="BL395" s="334"/>
      <c r="BM395" s="334"/>
      <c r="BN395" s="331"/>
      <c r="BO395" s="334"/>
      <c r="BP395" s="334"/>
      <c r="BQ395" s="331"/>
      <c r="BR395" s="332"/>
    </row>
    <row r="396" spans="1:72">
      <c r="A396" s="142"/>
      <c r="B396" s="268"/>
      <c r="C396" s="268"/>
      <c r="D396" s="333"/>
      <c r="E396" s="333"/>
      <c r="F396" s="331"/>
      <c r="G396" s="334"/>
      <c r="H396" s="334"/>
      <c r="I396" s="331"/>
      <c r="J396" s="334"/>
      <c r="K396" s="334"/>
      <c r="L396" s="331"/>
      <c r="M396" s="334"/>
      <c r="N396" s="334"/>
      <c r="O396" s="331"/>
      <c r="P396" s="334"/>
      <c r="Q396" s="334"/>
      <c r="R396" s="331"/>
      <c r="S396" s="334"/>
      <c r="T396" s="334"/>
      <c r="U396" s="331"/>
      <c r="V396" s="334"/>
      <c r="W396" s="334"/>
      <c r="X396" s="331"/>
      <c r="Y396" s="334"/>
      <c r="Z396" s="334"/>
      <c r="AA396" s="331"/>
      <c r="AB396" s="334"/>
      <c r="AC396" s="334"/>
      <c r="AD396" s="331"/>
      <c r="AE396" s="334"/>
      <c r="AF396" s="334"/>
      <c r="AG396" s="331"/>
      <c r="AH396" s="334"/>
      <c r="AI396" s="334"/>
      <c r="AJ396" s="331"/>
      <c r="AK396" s="334"/>
      <c r="AL396" s="334"/>
      <c r="AM396" s="331"/>
      <c r="AN396" s="334"/>
      <c r="AO396" s="334"/>
      <c r="AP396" s="331"/>
      <c r="AQ396" s="334"/>
      <c r="AR396" s="334"/>
      <c r="AS396" s="331"/>
      <c r="AT396" s="334"/>
      <c r="AU396" s="334"/>
      <c r="AV396" s="331"/>
      <c r="AW396" s="334"/>
      <c r="AX396" s="334"/>
      <c r="AY396" s="331"/>
      <c r="AZ396" s="334"/>
      <c r="BA396" s="334"/>
      <c r="BB396" s="331"/>
      <c r="BC396" s="334"/>
      <c r="BD396" s="334"/>
      <c r="BE396" s="331"/>
      <c r="BF396" s="334"/>
      <c r="BG396" s="334"/>
      <c r="BH396" s="331"/>
      <c r="BI396" s="334"/>
      <c r="BJ396" s="334"/>
      <c r="BK396" s="331"/>
      <c r="BL396" s="334"/>
      <c r="BM396" s="334"/>
      <c r="BN396" s="331"/>
      <c r="BO396" s="334"/>
      <c r="BP396" s="334"/>
      <c r="BQ396" s="331"/>
      <c r="BR396" s="332"/>
    </row>
    <row r="397" spans="1:72">
      <c r="A397" s="142"/>
      <c r="B397" s="268"/>
      <c r="C397" s="268"/>
      <c r="D397" s="333"/>
      <c r="E397" s="333"/>
      <c r="F397" s="331"/>
      <c r="G397" s="334"/>
      <c r="H397" s="334"/>
      <c r="I397" s="331"/>
      <c r="J397" s="334"/>
      <c r="K397" s="334"/>
      <c r="L397" s="331"/>
      <c r="M397" s="334"/>
      <c r="N397" s="334"/>
      <c r="O397" s="331"/>
      <c r="P397" s="334"/>
      <c r="Q397" s="334"/>
      <c r="R397" s="331"/>
      <c r="S397" s="334"/>
      <c r="T397" s="334"/>
      <c r="U397" s="331"/>
      <c r="V397" s="334"/>
      <c r="W397" s="334"/>
      <c r="X397" s="331"/>
      <c r="Y397" s="334"/>
      <c r="Z397" s="334"/>
      <c r="AA397" s="331"/>
      <c r="AB397" s="334"/>
      <c r="AC397" s="334"/>
      <c r="AD397" s="331"/>
      <c r="AE397" s="334"/>
      <c r="AF397" s="334"/>
      <c r="AG397" s="331"/>
      <c r="AH397" s="334"/>
      <c r="AI397" s="334"/>
      <c r="AJ397" s="331"/>
      <c r="AK397" s="334"/>
      <c r="AL397" s="334"/>
      <c r="AM397" s="331"/>
      <c r="AN397" s="334"/>
      <c r="AO397" s="334"/>
      <c r="AP397" s="331"/>
      <c r="AQ397" s="334"/>
      <c r="AR397" s="334"/>
      <c r="AS397" s="331"/>
      <c r="AT397" s="334"/>
      <c r="AU397" s="334"/>
      <c r="AV397" s="331"/>
      <c r="AW397" s="334"/>
      <c r="AX397" s="334"/>
      <c r="AY397" s="331"/>
      <c r="AZ397" s="334"/>
      <c r="BA397" s="334"/>
      <c r="BB397" s="331"/>
      <c r="BC397" s="334"/>
      <c r="BD397" s="334"/>
      <c r="BE397" s="331"/>
      <c r="BF397" s="334"/>
      <c r="BG397" s="334"/>
      <c r="BH397" s="331"/>
      <c r="BI397" s="334"/>
      <c r="BJ397" s="334"/>
      <c r="BK397" s="331"/>
      <c r="BL397" s="334"/>
      <c r="BM397" s="334"/>
      <c r="BN397" s="331"/>
      <c r="BO397" s="334"/>
      <c r="BP397" s="334"/>
      <c r="BQ397" s="331"/>
      <c r="BR397" s="332"/>
    </row>
    <row r="398" spans="1:72" ht="15.75" thickBot="1">
      <c r="A398" s="142"/>
      <c r="B398" s="142"/>
      <c r="C398" s="108"/>
      <c r="E398" s="108"/>
    </row>
    <row r="399" spans="1:72" ht="15.75" thickBot="1">
      <c r="A399" s="440" t="s">
        <v>5150</v>
      </c>
      <c r="B399" s="440" t="s">
        <v>5151</v>
      </c>
      <c r="C399" s="441" t="s">
        <v>992</v>
      </c>
      <c r="D399" s="335" t="s">
        <v>18</v>
      </c>
      <c r="E399" s="336" t="s">
        <v>182</v>
      </c>
      <c r="F399" s="337" t="s">
        <v>221</v>
      </c>
      <c r="G399" s="338" t="s">
        <v>993</v>
      </c>
      <c r="H399" s="339" t="s">
        <v>994</v>
      </c>
      <c r="I399" s="337" t="s">
        <v>221</v>
      </c>
      <c r="J399" s="338" t="s">
        <v>993</v>
      </c>
      <c r="K399" s="339" t="s">
        <v>994</v>
      </c>
      <c r="L399" s="337" t="s">
        <v>221</v>
      </c>
      <c r="M399" s="338" t="s">
        <v>993</v>
      </c>
      <c r="N399" s="339" t="s">
        <v>994</v>
      </c>
      <c r="O399" s="337" t="s">
        <v>221</v>
      </c>
      <c r="P399" s="338" t="s">
        <v>993</v>
      </c>
      <c r="Q399" s="339" t="s">
        <v>994</v>
      </c>
      <c r="R399" s="337" t="s">
        <v>221</v>
      </c>
      <c r="S399" s="338" t="s">
        <v>993</v>
      </c>
      <c r="T399" s="339" t="s">
        <v>994</v>
      </c>
      <c r="U399" s="337" t="s">
        <v>221</v>
      </c>
      <c r="V399" s="338" t="s">
        <v>993</v>
      </c>
      <c r="W399" s="339" t="s">
        <v>994</v>
      </c>
      <c r="X399" s="337" t="s">
        <v>221</v>
      </c>
      <c r="Y399" s="338" t="s">
        <v>993</v>
      </c>
      <c r="Z399" s="339" t="s">
        <v>994</v>
      </c>
      <c r="AA399" s="337" t="s">
        <v>221</v>
      </c>
      <c r="AB399" s="338" t="s">
        <v>993</v>
      </c>
      <c r="AC399" s="339" t="s">
        <v>994</v>
      </c>
      <c r="AD399" s="337" t="s">
        <v>221</v>
      </c>
      <c r="AE399" s="338" t="s">
        <v>993</v>
      </c>
      <c r="AF399" s="339" t="s">
        <v>994</v>
      </c>
      <c r="AG399" s="337" t="s">
        <v>221</v>
      </c>
      <c r="AH399" s="338" t="s">
        <v>993</v>
      </c>
      <c r="AI399" s="339" t="s">
        <v>994</v>
      </c>
      <c r="AJ399" s="337" t="s">
        <v>221</v>
      </c>
      <c r="AK399" s="338" t="s">
        <v>993</v>
      </c>
      <c r="AL399" s="339" t="s">
        <v>994</v>
      </c>
      <c r="AM399" s="337" t="s">
        <v>221</v>
      </c>
      <c r="AN399" s="338" t="s">
        <v>993</v>
      </c>
      <c r="AO399" s="339" t="s">
        <v>994</v>
      </c>
      <c r="AP399" s="337" t="s">
        <v>221</v>
      </c>
      <c r="AQ399" s="338" t="s">
        <v>993</v>
      </c>
      <c r="AR399" s="339" t="s">
        <v>994</v>
      </c>
      <c r="AS399" s="337" t="s">
        <v>221</v>
      </c>
      <c r="AT399" s="338" t="s">
        <v>993</v>
      </c>
      <c r="AU399" s="339" t="s">
        <v>994</v>
      </c>
      <c r="AV399" s="337" t="s">
        <v>221</v>
      </c>
      <c r="AW399" s="338" t="s">
        <v>993</v>
      </c>
      <c r="AX399" s="339" t="s">
        <v>994</v>
      </c>
      <c r="AY399" s="337" t="s">
        <v>221</v>
      </c>
      <c r="AZ399" s="338" t="s">
        <v>993</v>
      </c>
      <c r="BA399" s="339" t="s">
        <v>994</v>
      </c>
      <c r="BB399" s="337" t="s">
        <v>221</v>
      </c>
      <c r="BC399" s="338" t="s">
        <v>993</v>
      </c>
      <c r="BD399" s="339" t="s">
        <v>994</v>
      </c>
      <c r="BE399" s="337" t="s">
        <v>221</v>
      </c>
      <c r="BF399" s="338" t="s">
        <v>993</v>
      </c>
      <c r="BG399" s="339" t="s">
        <v>994</v>
      </c>
      <c r="BH399" s="337" t="s">
        <v>221</v>
      </c>
      <c r="BI399" s="338" t="s">
        <v>993</v>
      </c>
      <c r="BJ399" s="339" t="s">
        <v>994</v>
      </c>
      <c r="BK399" s="337" t="s">
        <v>221</v>
      </c>
      <c r="BL399" s="338" t="s">
        <v>993</v>
      </c>
      <c r="BM399" s="339" t="s">
        <v>994</v>
      </c>
      <c r="BN399" s="337" t="s">
        <v>221</v>
      </c>
      <c r="BO399" s="338" t="s">
        <v>993</v>
      </c>
      <c r="BP399" s="339" t="s">
        <v>994</v>
      </c>
      <c r="BQ399" s="337" t="s">
        <v>995</v>
      </c>
      <c r="BR399" s="340" t="s">
        <v>996</v>
      </c>
    </row>
    <row r="400" spans="1:72">
      <c r="A400" s="142"/>
      <c r="B400" s="268"/>
      <c r="C400" s="268"/>
      <c r="D400" s="264">
        <f>IF(F400&lt;&gt;"",B400-BQ400,0)</f>
        <v>0</v>
      </c>
      <c r="E400" s="264">
        <f>IF(F400&lt;&gt;"",C400-H400-K400-N400-Q400-T400-W400-Z400-AC400-AF400-AI400-AL400-AO400-AR400-AU400-AX400-BA400-BD400-BG400-BJ400-BM400-BP400,0)</f>
        <v>0</v>
      </c>
      <c r="F400" s="275"/>
      <c r="G400" s="276">
        <f>_xlfn.IFNA(VLOOKUP(F400,Ptd_Mtr!$A:$B,2,FALSE),0)</f>
        <v>0</v>
      </c>
      <c r="H400" s="277">
        <f>IF(G400=0,0,G400/$BQ400*$BR400)</f>
        <v>0</v>
      </c>
      <c r="I400" s="275"/>
      <c r="J400" s="276">
        <f>_xlfn.IFNA(VLOOKUP(I400,Ptd_Mtr!$A:$B,2,FALSE),0)</f>
        <v>0</v>
      </c>
      <c r="K400" s="277">
        <f>IF(J400=0,0,J400/$BQ400*$BR400)</f>
        <v>0</v>
      </c>
      <c r="L400" s="275"/>
      <c r="M400" s="276">
        <f>_xlfn.IFNA(VLOOKUP(L400,Ptd_Mtr!$A:$B,2,FALSE),0)</f>
        <v>0</v>
      </c>
      <c r="N400" s="277">
        <f>IF(M400=0,0,M400/$BQ400*$BR400)</f>
        <v>0</v>
      </c>
      <c r="O400" s="275"/>
      <c r="P400" s="276">
        <f>_xlfn.IFNA(VLOOKUP(O400,Ptd_Mtr!$A:$B,2,FALSE),0)</f>
        <v>0</v>
      </c>
      <c r="Q400" s="277">
        <f>IF(P400=0,0,P400/$BQ400*$BR400)</f>
        <v>0</v>
      </c>
      <c r="R400" s="275"/>
      <c r="S400" s="276">
        <f>_xlfn.IFNA(VLOOKUP(R400,Ptd_Mtr!$A:$B,2,FALSE),0)</f>
        <v>0</v>
      </c>
      <c r="T400" s="277">
        <f>IF(S400=0,0,S400/$BQ400*$BR400)</f>
        <v>0</v>
      </c>
      <c r="U400" s="275"/>
      <c r="V400" s="276">
        <f>_xlfn.IFNA(VLOOKUP(U400,Ptd_Mtr!$A:$B,2,FALSE),0)</f>
        <v>0</v>
      </c>
      <c r="W400" s="277">
        <f>IF(V400=0,0,V400/$BQ400*$BR400)</f>
        <v>0</v>
      </c>
      <c r="X400" s="275" t="s">
        <v>835</v>
      </c>
      <c r="Y400" s="276">
        <f>_xlfn.IFNA(VLOOKUP(X400,Ptd_Mtr!$A:$B,2,FALSE),0)</f>
        <v>0</v>
      </c>
      <c r="Z400" s="277">
        <f>IF(Y400=0,0,Y400/$BQ400*$BR400)</f>
        <v>0</v>
      </c>
      <c r="AA400" s="275"/>
      <c r="AB400" s="276">
        <f>_xlfn.IFNA(VLOOKUP(AA400,Ptd_Mtr!$A:$B,2,FALSE),0)</f>
        <v>0</v>
      </c>
      <c r="AC400" s="277">
        <f>IF(AB400=0,0,AB400/$BQ400*$BR400)</f>
        <v>0</v>
      </c>
      <c r="AD400" s="275"/>
      <c r="AE400" s="276">
        <f>_xlfn.IFNA(VLOOKUP(AD400,Ptd_Mtr!$A:$B,2,FALSE),0)</f>
        <v>0</v>
      </c>
      <c r="AF400" s="277">
        <f t="shared" ref="AF400" si="0">IF(AE400=0,0,AE400/$BQ400*$BR400)</f>
        <v>0</v>
      </c>
      <c r="AG400" s="275"/>
      <c r="AH400" s="276">
        <f>_xlfn.IFNA(VLOOKUP(AG400,Ptd_Mtr!$A:$B,2,FALSE),0)</f>
        <v>0</v>
      </c>
      <c r="AI400" s="277">
        <f t="shared" ref="AI400" si="1">IF(AH400=0,0,AH400/$BQ400*$BR400)</f>
        <v>0</v>
      </c>
      <c r="AJ400" s="275"/>
      <c r="AK400" s="276">
        <f>_xlfn.IFNA(VLOOKUP(AJ400,Ptd_Mtr!$A:$B,2,FALSE),0)</f>
        <v>0</v>
      </c>
      <c r="AL400" s="277">
        <f t="shared" ref="AL400" si="2">IF(AK400=0,0,AK400/$BQ400*$BR400)</f>
        <v>0</v>
      </c>
      <c r="AM400" s="275"/>
      <c r="AN400" s="276">
        <f>_xlfn.IFNA(VLOOKUP(AM400,Ptd_Mtr!$A:$B,2,FALSE),0)</f>
        <v>0</v>
      </c>
      <c r="AO400" s="277">
        <f t="shared" ref="AO400" si="3">IF(AN400=0,0,AN400/$BQ400*$BR400)</f>
        <v>0</v>
      </c>
      <c r="AP400" s="275"/>
      <c r="AQ400" s="276">
        <f>_xlfn.IFNA(VLOOKUP(AP400,Ptd_Mtr!$A:$B,2,FALSE),0)</f>
        <v>0</v>
      </c>
      <c r="AR400" s="277">
        <f t="shared" ref="AR400" si="4">IF(AQ400=0,0,AQ400/$BQ400*$BR400)</f>
        <v>0</v>
      </c>
      <c r="AS400" s="275"/>
      <c r="AT400" s="276">
        <f>_xlfn.IFNA(VLOOKUP(AS400,Ptd_Mtr!$A:$B,2,FALSE),0)</f>
        <v>0</v>
      </c>
      <c r="AU400" s="277">
        <f t="shared" ref="AU400" si="5">IF(AT400=0,0,AT400/$BQ400*$BR400)</f>
        <v>0</v>
      </c>
      <c r="AV400" s="275"/>
      <c r="AW400" s="276">
        <f>_xlfn.IFNA(VLOOKUP(AV400,Ptd_Mtr!$A:$B,2,FALSE),0)</f>
        <v>0</v>
      </c>
      <c r="AX400" s="277">
        <f t="shared" ref="AX400" si="6">IF(AW400=0,0,AW400/$BQ400*$BR400)</f>
        <v>0</v>
      </c>
      <c r="AY400" s="275"/>
      <c r="AZ400" s="276">
        <f>_xlfn.IFNA(VLOOKUP(AY400,Ptd_Mtr!$A:$B,2,FALSE),0)</f>
        <v>0</v>
      </c>
      <c r="BA400" s="277">
        <f t="shared" ref="BA400" si="7">IF(AZ400=0,0,AZ400/$BQ400*$BR400)</f>
        <v>0</v>
      </c>
      <c r="BB400" s="275"/>
      <c r="BC400" s="276">
        <f>_xlfn.IFNA(VLOOKUP(BB400,Ptd_Mtr!$A:$B,2,FALSE),0)</f>
        <v>0</v>
      </c>
      <c r="BD400" s="277">
        <f t="shared" ref="BD400" si="8">IF(BC400=0,0,BC400/$BQ400*$BR400)</f>
        <v>0</v>
      </c>
      <c r="BE400" s="275"/>
      <c r="BF400" s="276">
        <f>_xlfn.IFNA(VLOOKUP(BE400,Ptd_Mtr!$A:$B,2,FALSE),0)</f>
        <v>0</v>
      </c>
      <c r="BG400" s="277">
        <f t="shared" ref="BG400" si="9">IF(BF400=0,0,BF400/$BQ400*$BR400)</f>
        <v>0</v>
      </c>
      <c r="BH400" s="275"/>
      <c r="BI400" s="276">
        <f>_xlfn.IFNA(VLOOKUP(BH400,Ptd_Mtr!$A:$B,2,FALSE),0)</f>
        <v>0</v>
      </c>
      <c r="BJ400" s="277">
        <f t="shared" ref="BJ400" si="10">IF(BI400=0,0,BI400/$BQ400*$BR400)</f>
        <v>0</v>
      </c>
      <c r="BK400" s="275"/>
      <c r="BL400" s="276">
        <f>_xlfn.IFNA(VLOOKUP(BK400,Ptd_Mtr!$A:$B,2,FALSE),0)</f>
        <v>0</v>
      </c>
      <c r="BM400" s="277">
        <f t="shared" ref="BM400" si="11">IF(BL400=0,0,BL400/$BQ400*$BR400)</f>
        <v>0</v>
      </c>
      <c r="BN400" s="275"/>
      <c r="BO400" s="276">
        <f>_xlfn.IFNA(VLOOKUP(BN400,Ptd_Mtr!$A:$B,2,FALSE),0)</f>
        <v>0</v>
      </c>
      <c r="BP400" s="277">
        <f t="shared" ref="BP400" si="12">IF(BO400=0,0,BO400/$BQ400*$BR400)</f>
        <v>0</v>
      </c>
      <c r="BQ400" s="275">
        <f>+M400+J400+P400+S400+V400+G400+Y400+AB400+AE400+AH400+AK400+AN400+AQ400+AT400+AW400+AZ400+BC400+BF400+BI400+BL400+BO400</f>
        <v>0</v>
      </c>
      <c r="BR400" s="278">
        <f>IF(F400&lt;&gt;"",C400,0)</f>
        <v>0</v>
      </c>
      <c r="BS400" s="268"/>
      <c r="BT400" s="268"/>
    </row>
    <row r="401" spans="1:72">
      <c r="A401" s="142"/>
      <c r="B401" s="268"/>
      <c r="C401" s="268"/>
      <c r="D401" s="264">
        <f t="shared" ref="D401:D427" si="13">IF(F401&lt;&gt;"",B401-BQ401,0)</f>
        <v>0</v>
      </c>
      <c r="E401" s="264">
        <f t="shared" ref="E401:E427" si="14">IF(F401&lt;&gt;"",C401-H401-K401-N401-Q401-T401-W401-Z401-AC401-AF401-AI401-AL401-AO401-AR401-AU401-AX401-BA401-BD401-BG401-BJ401-BM401-BP401,0)</f>
        <v>0</v>
      </c>
      <c r="F401" s="275"/>
      <c r="G401" s="276">
        <f>_xlfn.IFNA(VLOOKUP(F401,Ptd_Mtr!$A:$B,2,FALSE),0)</f>
        <v>0</v>
      </c>
      <c r="H401" s="277">
        <f t="shared" ref="H401:H431" si="15">IF(G401=0,0,G401/$BQ401*$BR401)</f>
        <v>0</v>
      </c>
      <c r="I401" s="275"/>
      <c r="J401" s="276">
        <f>_xlfn.IFNA(VLOOKUP(I401,Ptd_Mtr!$A:$B,2,FALSE),0)</f>
        <v>0</v>
      </c>
      <c r="K401" s="277">
        <f t="shared" ref="K401:K431" si="16">IF(J401=0,0,J401/$BQ401*$BR401)</f>
        <v>0</v>
      </c>
      <c r="L401" s="275"/>
      <c r="M401" s="276">
        <f>_xlfn.IFNA(VLOOKUP(L401,Ptd_Mtr!$A:$B,2,FALSE),0)</f>
        <v>0</v>
      </c>
      <c r="N401" s="277">
        <f t="shared" ref="N401:N431" si="17">IF(M401=0,0,M401/$BQ401*$BR401)</f>
        <v>0</v>
      </c>
      <c r="O401" s="275"/>
      <c r="P401" s="276">
        <f>_xlfn.IFNA(VLOOKUP(O401,Ptd_Mtr!$A:$B,2,FALSE),0)</f>
        <v>0</v>
      </c>
      <c r="Q401" s="277">
        <f t="shared" ref="Q401:Q431" si="18">IF(P401=0,0,P401/$BQ401*$BR401)</f>
        <v>0</v>
      </c>
      <c r="R401" s="275"/>
      <c r="S401" s="276">
        <f>_xlfn.IFNA(VLOOKUP(R401,Ptd_Mtr!$A:$B,2,FALSE),0)</f>
        <v>0</v>
      </c>
      <c r="T401" s="277">
        <f t="shared" ref="T401:T431" si="19">IF(S401=0,0,S401/$BQ401*$BR401)</f>
        <v>0</v>
      </c>
      <c r="U401" s="275"/>
      <c r="V401" s="276">
        <f>_xlfn.IFNA(VLOOKUP(U401,Ptd_Mtr!$A:$B,2,FALSE),0)</f>
        <v>0</v>
      </c>
      <c r="W401" s="277">
        <f t="shared" ref="W401:W431" si="20">IF(V401=0,0,V401/$BQ401*$BR401)</f>
        <v>0</v>
      </c>
      <c r="X401" s="275" t="s">
        <v>835</v>
      </c>
      <c r="Y401" s="276">
        <f>_xlfn.IFNA(VLOOKUP(X401,Ptd_Mtr!$A:$B,2,FALSE),0)</f>
        <v>0</v>
      </c>
      <c r="Z401" s="277">
        <f t="shared" ref="Z401:Z431" si="21">IF(Y401=0,0,Y401/$BQ401*$BR401)</f>
        <v>0</v>
      </c>
      <c r="AA401" s="275"/>
      <c r="AB401" s="276">
        <f>_xlfn.IFNA(VLOOKUP(AA401,Ptd_Mtr!$A:$B,2,FALSE),0)</f>
        <v>0</v>
      </c>
      <c r="AC401" s="277">
        <f t="shared" ref="AC401:AC431" si="22">IF(AB401=0,0,AB401/$BQ401*$BR401)</f>
        <v>0</v>
      </c>
      <c r="AD401" s="275"/>
      <c r="AE401" s="276">
        <f>_xlfn.IFNA(VLOOKUP(AD401,Ptd_Mtr!$A:$B,2,FALSE),0)</f>
        <v>0</v>
      </c>
      <c r="AF401" s="277">
        <f t="shared" ref="AF401:AF431" si="23">IF(AE401=0,0,AE401/$BQ401*$BR401)</f>
        <v>0</v>
      </c>
      <c r="AG401" s="275"/>
      <c r="AH401" s="276">
        <f>_xlfn.IFNA(VLOOKUP(AG401,Ptd_Mtr!$A:$B,2,FALSE),0)</f>
        <v>0</v>
      </c>
      <c r="AI401" s="277">
        <f t="shared" ref="AI401:AI431" si="24">IF(AH401=0,0,AH401/$BQ401*$BR401)</f>
        <v>0</v>
      </c>
      <c r="AJ401" s="275"/>
      <c r="AK401" s="276">
        <f>_xlfn.IFNA(VLOOKUP(AJ401,Ptd_Mtr!$A:$B,2,FALSE),0)</f>
        <v>0</v>
      </c>
      <c r="AL401" s="277">
        <f t="shared" ref="AL401:AL431" si="25">IF(AK401=0,0,AK401/$BQ401*$BR401)</f>
        <v>0</v>
      </c>
      <c r="AM401" s="275"/>
      <c r="AN401" s="276">
        <f>_xlfn.IFNA(VLOOKUP(AM401,Ptd_Mtr!$A:$B,2,FALSE),0)</f>
        <v>0</v>
      </c>
      <c r="AO401" s="277">
        <f t="shared" ref="AO401:AO431" si="26">IF(AN401=0,0,AN401/$BQ401*$BR401)</f>
        <v>0</v>
      </c>
      <c r="AP401" s="275"/>
      <c r="AQ401" s="276">
        <f>_xlfn.IFNA(VLOOKUP(AP401,Ptd_Mtr!$A:$B,2,FALSE),0)</f>
        <v>0</v>
      </c>
      <c r="AR401" s="277">
        <f t="shared" ref="AR401:AR431" si="27">IF(AQ401=0,0,AQ401/$BQ401*$BR401)</f>
        <v>0</v>
      </c>
      <c r="AS401" s="275"/>
      <c r="AT401" s="276">
        <f>_xlfn.IFNA(VLOOKUP(AS401,Ptd_Mtr!$A:$B,2,FALSE),0)</f>
        <v>0</v>
      </c>
      <c r="AU401" s="277">
        <f t="shared" ref="AU401:AU431" si="28">IF(AT401=0,0,AT401/$BQ401*$BR401)</f>
        <v>0</v>
      </c>
      <c r="AV401" s="275"/>
      <c r="AW401" s="276">
        <f>_xlfn.IFNA(VLOOKUP(AV401,Ptd_Mtr!$A:$B,2,FALSE),0)</f>
        <v>0</v>
      </c>
      <c r="AX401" s="277">
        <f t="shared" ref="AX401:AX431" si="29">IF(AW401=0,0,AW401/$BQ401*$BR401)</f>
        <v>0</v>
      </c>
      <c r="AY401" s="275"/>
      <c r="AZ401" s="276">
        <f>_xlfn.IFNA(VLOOKUP(AY401,Ptd_Mtr!$A:$B,2,FALSE),0)</f>
        <v>0</v>
      </c>
      <c r="BA401" s="277">
        <f t="shared" ref="BA401:BA431" si="30">IF(AZ401=0,0,AZ401/$BQ401*$BR401)</f>
        <v>0</v>
      </c>
      <c r="BB401" s="275"/>
      <c r="BC401" s="276">
        <f>_xlfn.IFNA(VLOOKUP(BB401,Ptd_Mtr!$A:$B,2,FALSE),0)</f>
        <v>0</v>
      </c>
      <c r="BD401" s="277">
        <f t="shared" ref="BD401:BD431" si="31">IF(BC401=0,0,BC401/$BQ401*$BR401)</f>
        <v>0</v>
      </c>
      <c r="BE401" s="275"/>
      <c r="BF401" s="276">
        <f>_xlfn.IFNA(VLOOKUP(BE401,Ptd_Mtr!$A:$B,2,FALSE),0)</f>
        <v>0</v>
      </c>
      <c r="BG401" s="277">
        <f t="shared" ref="BG401:BG431" si="32">IF(BF401=0,0,BF401/$BQ401*$BR401)</f>
        <v>0</v>
      </c>
      <c r="BH401" s="275"/>
      <c r="BI401" s="276">
        <f>_xlfn.IFNA(VLOOKUP(BH401,Ptd_Mtr!$A:$B,2,FALSE),0)</f>
        <v>0</v>
      </c>
      <c r="BJ401" s="277">
        <f t="shared" ref="BJ401:BJ431" si="33">IF(BI401=0,0,BI401/$BQ401*$BR401)</f>
        <v>0</v>
      </c>
      <c r="BK401" s="275"/>
      <c r="BL401" s="276">
        <f>_xlfn.IFNA(VLOOKUP(BK401,Ptd_Mtr!$A:$B,2,FALSE),0)</f>
        <v>0</v>
      </c>
      <c r="BM401" s="277">
        <f t="shared" ref="BM401:BM431" si="34">IF(BL401=0,0,BL401/$BQ401*$BR401)</f>
        <v>0</v>
      </c>
      <c r="BN401" s="275"/>
      <c r="BO401" s="276">
        <f>_xlfn.IFNA(VLOOKUP(BN401,Ptd_Mtr!$A:$B,2,FALSE),0)</f>
        <v>0</v>
      </c>
      <c r="BP401" s="277">
        <f t="shared" ref="BP401:BP431" si="35">IF(BO401=0,0,BO401/$BQ401*$BR401)</f>
        <v>0</v>
      </c>
      <c r="BQ401" s="275">
        <f t="shared" ref="BQ401:BQ438" si="36">+M401+J401+P401+S401+V401+G401+Y401+AB401+AE401+AH401+AK401+AN401+AQ401+AT401+AW401+AZ401+BC401+BF401+BI401+BL401+BO401</f>
        <v>0</v>
      </c>
      <c r="BR401" s="278">
        <f t="shared" ref="BR401:BR438" si="37">IF(F401&lt;&gt;"",C401,0)</f>
        <v>0</v>
      </c>
      <c r="BS401" s="268"/>
      <c r="BT401" s="268"/>
    </row>
    <row r="402" spans="1:72">
      <c r="A402" s="142"/>
      <c r="B402" s="268"/>
      <c r="C402" s="268"/>
      <c r="D402" s="264">
        <f>IF(F402&lt;&gt;"",B402-BQ402,0)</f>
        <v>0</v>
      </c>
      <c r="E402" s="264">
        <f t="shared" si="14"/>
        <v>0</v>
      </c>
      <c r="F402" s="275"/>
      <c r="G402" s="276">
        <f>_xlfn.IFNA(VLOOKUP(F402,Ptd_Mtr!$A:$B,2,FALSE),0)</f>
        <v>0</v>
      </c>
      <c r="H402" s="277">
        <f t="shared" si="15"/>
        <v>0</v>
      </c>
      <c r="I402" s="275"/>
      <c r="J402" s="276">
        <f>_xlfn.IFNA(VLOOKUP(I402,Ptd_Mtr!$A:$B,2,FALSE),0)</f>
        <v>0</v>
      </c>
      <c r="K402" s="277">
        <f t="shared" si="16"/>
        <v>0</v>
      </c>
      <c r="L402" s="275"/>
      <c r="M402" s="276">
        <f>_xlfn.IFNA(VLOOKUP(L402,Ptd_Mtr!$A:$B,2,FALSE),0)</f>
        <v>0</v>
      </c>
      <c r="N402" s="277">
        <f t="shared" si="17"/>
        <v>0</v>
      </c>
      <c r="O402" s="275"/>
      <c r="P402" s="276">
        <f>_xlfn.IFNA(VLOOKUP(O402,Ptd_Mtr!$A:$B,2,FALSE),0)</f>
        <v>0</v>
      </c>
      <c r="Q402" s="277">
        <f t="shared" si="18"/>
        <v>0</v>
      </c>
      <c r="R402" s="275"/>
      <c r="S402" s="276">
        <f>_xlfn.IFNA(VLOOKUP(R402,Ptd_Mtr!$A:$B,2,FALSE),0)</f>
        <v>0</v>
      </c>
      <c r="T402" s="277">
        <f t="shared" si="19"/>
        <v>0</v>
      </c>
      <c r="U402" s="275"/>
      <c r="V402" s="276">
        <f>_xlfn.IFNA(VLOOKUP(U402,Ptd_Mtr!$A:$B,2,FALSE),0)</f>
        <v>0</v>
      </c>
      <c r="W402" s="277">
        <f t="shared" si="20"/>
        <v>0</v>
      </c>
      <c r="X402" s="275" t="s">
        <v>835</v>
      </c>
      <c r="Y402" s="276">
        <f>_xlfn.IFNA(VLOOKUP(X402,Ptd_Mtr!$A:$B,2,FALSE),0)</f>
        <v>0</v>
      </c>
      <c r="Z402" s="277">
        <f t="shared" si="21"/>
        <v>0</v>
      </c>
      <c r="AA402" s="275"/>
      <c r="AB402" s="276">
        <f>_xlfn.IFNA(VLOOKUP(AA402,Ptd_Mtr!$A:$B,2,FALSE),0)</f>
        <v>0</v>
      </c>
      <c r="AC402" s="277">
        <f t="shared" si="22"/>
        <v>0</v>
      </c>
      <c r="AD402" s="275"/>
      <c r="AE402" s="276">
        <f>_xlfn.IFNA(VLOOKUP(AD402,Ptd_Mtr!$A:$B,2,FALSE),0)</f>
        <v>0</v>
      </c>
      <c r="AF402" s="277">
        <f t="shared" si="23"/>
        <v>0</v>
      </c>
      <c r="AG402" s="275"/>
      <c r="AH402" s="276">
        <f>_xlfn.IFNA(VLOOKUP(AG402,Ptd_Mtr!$A:$B,2,FALSE),0)</f>
        <v>0</v>
      </c>
      <c r="AI402" s="277">
        <f t="shared" si="24"/>
        <v>0</v>
      </c>
      <c r="AJ402" s="275"/>
      <c r="AK402" s="276">
        <f>_xlfn.IFNA(VLOOKUP(AJ402,Ptd_Mtr!$A:$B,2,FALSE),0)</f>
        <v>0</v>
      </c>
      <c r="AL402" s="277">
        <f t="shared" si="25"/>
        <v>0</v>
      </c>
      <c r="AM402" s="275"/>
      <c r="AN402" s="276">
        <f>_xlfn.IFNA(VLOOKUP(AM402,Ptd_Mtr!$A:$B,2,FALSE),0)</f>
        <v>0</v>
      </c>
      <c r="AO402" s="277">
        <f t="shared" si="26"/>
        <v>0</v>
      </c>
      <c r="AP402" s="275"/>
      <c r="AQ402" s="276">
        <f>_xlfn.IFNA(VLOOKUP(AP402,Ptd_Mtr!$A:$B,2,FALSE),0)</f>
        <v>0</v>
      </c>
      <c r="AR402" s="277">
        <f t="shared" si="27"/>
        <v>0</v>
      </c>
      <c r="AS402" s="275"/>
      <c r="AT402" s="276">
        <f>_xlfn.IFNA(VLOOKUP(AS402,Ptd_Mtr!$A:$B,2,FALSE),0)</f>
        <v>0</v>
      </c>
      <c r="AU402" s="277">
        <f t="shared" si="28"/>
        <v>0</v>
      </c>
      <c r="AV402" s="275"/>
      <c r="AW402" s="276">
        <f>_xlfn.IFNA(VLOOKUP(AV402,Ptd_Mtr!$A:$B,2,FALSE),0)</f>
        <v>0</v>
      </c>
      <c r="AX402" s="277">
        <f t="shared" si="29"/>
        <v>0</v>
      </c>
      <c r="AY402" s="275"/>
      <c r="AZ402" s="276">
        <f>_xlfn.IFNA(VLOOKUP(AY402,Ptd_Mtr!$A:$B,2,FALSE),0)</f>
        <v>0</v>
      </c>
      <c r="BA402" s="277">
        <f t="shared" si="30"/>
        <v>0</v>
      </c>
      <c r="BB402" s="275"/>
      <c r="BC402" s="276">
        <f>_xlfn.IFNA(VLOOKUP(BB402,Ptd_Mtr!$A:$B,2,FALSE),0)</f>
        <v>0</v>
      </c>
      <c r="BD402" s="277">
        <f t="shared" si="31"/>
        <v>0</v>
      </c>
      <c r="BE402" s="275"/>
      <c r="BF402" s="276">
        <f>_xlfn.IFNA(VLOOKUP(BE402,Ptd_Mtr!$A:$B,2,FALSE),0)</f>
        <v>0</v>
      </c>
      <c r="BG402" s="277">
        <f t="shared" si="32"/>
        <v>0</v>
      </c>
      <c r="BH402" s="275"/>
      <c r="BI402" s="276">
        <f>_xlfn.IFNA(VLOOKUP(BH402,Ptd_Mtr!$A:$B,2,FALSE),0)</f>
        <v>0</v>
      </c>
      <c r="BJ402" s="277">
        <f t="shared" si="33"/>
        <v>0</v>
      </c>
      <c r="BK402" s="275"/>
      <c r="BL402" s="276">
        <f>_xlfn.IFNA(VLOOKUP(BK402,Ptd_Mtr!$A:$B,2,FALSE),0)</f>
        <v>0</v>
      </c>
      <c r="BM402" s="277">
        <f t="shared" si="34"/>
        <v>0</v>
      </c>
      <c r="BN402" s="275"/>
      <c r="BO402" s="276">
        <f>_xlfn.IFNA(VLOOKUP(BN402,Ptd_Mtr!$A:$B,2,FALSE),0)</f>
        <v>0</v>
      </c>
      <c r="BP402" s="277">
        <f t="shared" si="35"/>
        <v>0</v>
      </c>
      <c r="BQ402" s="275">
        <f t="shared" si="36"/>
        <v>0</v>
      </c>
      <c r="BR402" s="278">
        <f t="shared" si="37"/>
        <v>0</v>
      </c>
      <c r="BS402" s="268"/>
      <c r="BT402" s="268"/>
    </row>
    <row r="403" spans="1:72">
      <c r="A403" s="142"/>
      <c r="B403" s="268"/>
      <c r="C403" s="268"/>
      <c r="D403" s="264">
        <f>IF(F403&lt;&gt;"",B403-BQ403,0)</f>
        <v>0</v>
      </c>
      <c r="E403" s="264">
        <f>IF(F403&lt;&gt;"",C403-H403-K403-N403-Q403-T403-W403-Z403-AC403-AF403-AI403-AL403-AO403-AR403-AU403-AX403-BA403-BD403-BG403-BJ403-BM403-BP403,0)</f>
        <v>0</v>
      </c>
      <c r="F403" s="275"/>
      <c r="G403" s="276">
        <f>_xlfn.IFNA(VLOOKUP(F403,Ptd_Mtr!$A:$B,2,FALSE),0)</f>
        <v>0</v>
      </c>
      <c r="H403" s="277">
        <f t="shared" si="15"/>
        <v>0</v>
      </c>
      <c r="I403" s="275"/>
      <c r="J403" s="276">
        <f>_xlfn.IFNA(VLOOKUP(I403,Ptd_Mtr!$A:$B,2,FALSE),0)</f>
        <v>0</v>
      </c>
      <c r="K403" s="277">
        <f t="shared" si="16"/>
        <v>0</v>
      </c>
      <c r="L403" s="275"/>
      <c r="M403" s="276">
        <f>_xlfn.IFNA(VLOOKUP(L403,Ptd_Mtr!$A:$B,2,FALSE),0)</f>
        <v>0</v>
      </c>
      <c r="N403" s="277">
        <f t="shared" si="17"/>
        <v>0</v>
      </c>
      <c r="O403" s="275"/>
      <c r="P403" s="276">
        <f>_xlfn.IFNA(VLOOKUP(O403,Ptd_Mtr!$A:$B,2,FALSE),0)</f>
        <v>0</v>
      </c>
      <c r="Q403" s="277">
        <f t="shared" si="18"/>
        <v>0</v>
      </c>
      <c r="R403" s="275"/>
      <c r="S403" s="276">
        <f>_xlfn.IFNA(VLOOKUP(R403,Ptd_Mtr!$A:$B,2,FALSE),0)</f>
        <v>0</v>
      </c>
      <c r="T403" s="277">
        <f t="shared" si="19"/>
        <v>0</v>
      </c>
      <c r="U403" s="275"/>
      <c r="V403" s="276">
        <f>_xlfn.IFNA(VLOOKUP(U403,Ptd_Mtr!$A:$B,2,FALSE),0)</f>
        <v>0</v>
      </c>
      <c r="W403" s="277">
        <f t="shared" si="20"/>
        <v>0</v>
      </c>
      <c r="X403" s="275" t="s">
        <v>835</v>
      </c>
      <c r="Y403" s="276">
        <f>_xlfn.IFNA(VLOOKUP(X403,Ptd_Mtr!$A:$B,2,FALSE),0)</f>
        <v>0</v>
      </c>
      <c r="Z403" s="277">
        <f t="shared" si="21"/>
        <v>0</v>
      </c>
      <c r="AA403" s="275"/>
      <c r="AB403" s="276">
        <f>_xlfn.IFNA(VLOOKUP(AA403,Ptd_Mtr!$A:$B,2,FALSE),0)</f>
        <v>0</v>
      </c>
      <c r="AC403" s="277">
        <f t="shared" si="22"/>
        <v>0</v>
      </c>
      <c r="AD403" s="275"/>
      <c r="AE403" s="276">
        <f>_xlfn.IFNA(VLOOKUP(AD403,Ptd_Mtr!$A:$B,2,FALSE),0)</f>
        <v>0</v>
      </c>
      <c r="AF403" s="277">
        <f t="shared" si="23"/>
        <v>0</v>
      </c>
      <c r="AG403" s="275"/>
      <c r="AH403" s="276">
        <f>_xlfn.IFNA(VLOOKUP(AG403,Ptd_Mtr!$A:$B,2,FALSE),0)</f>
        <v>0</v>
      </c>
      <c r="AI403" s="277">
        <f t="shared" si="24"/>
        <v>0</v>
      </c>
      <c r="AJ403" s="275"/>
      <c r="AK403" s="276">
        <f>_xlfn.IFNA(VLOOKUP(AJ403,Ptd_Mtr!$A:$B,2,FALSE),0)</f>
        <v>0</v>
      </c>
      <c r="AL403" s="277">
        <f t="shared" si="25"/>
        <v>0</v>
      </c>
      <c r="AM403" s="275"/>
      <c r="AN403" s="276">
        <f>_xlfn.IFNA(VLOOKUP(AM403,Ptd_Mtr!$A:$B,2,FALSE),0)</f>
        <v>0</v>
      </c>
      <c r="AO403" s="277">
        <f t="shared" si="26"/>
        <v>0</v>
      </c>
      <c r="AP403" s="275"/>
      <c r="AQ403" s="276">
        <f>_xlfn.IFNA(VLOOKUP(AP403,Ptd_Mtr!$A:$B,2,FALSE),0)</f>
        <v>0</v>
      </c>
      <c r="AR403" s="277">
        <f t="shared" si="27"/>
        <v>0</v>
      </c>
      <c r="AS403" s="275"/>
      <c r="AT403" s="276">
        <f>_xlfn.IFNA(VLOOKUP(AS403,Ptd_Mtr!$A:$B,2,FALSE),0)</f>
        <v>0</v>
      </c>
      <c r="AU403" s="277">
        <f t="shared" si="28"/>
        <v>0</v>
      </c>
      <c r="AV403" s="275"/>
      <c r="AW403" s="276">
        <f>_xlfn.IFNA(VLOOKUP(AV403,Ptd_Mtr!$A:$B,2,FALSE),0)</f>
        <v>0</v>
      </c>
      <c r="AX403" s="277">
        <f t="shared" si="29"/>
        <v>0</v>
      </c>
      <c r="AY403" s="275"/>
      <c r="AZ403" s="276">
        <f>_xlfn.IFNA(VLOOKUP(AY403,Ptd_Mtr!$A:$B,2,FALSE),0)</f>
        <v>0</v>
      </c>
      <c r="BA403" s="277">
        <f t="shared" si="30"/>
        <v>0</v>
      </c>
      <c r="BB403" s="275"/>
      <c r="BC403" s="276">
        <f>_xlfn.IFNA(VLOOKUP(BB403,Ptd_Mtr!$A:$B,2,FALSE),0)</f>
        <v>0</v>
      </c>
      <c r="BD403" s="277">
        <f t="shared" si="31"/>
        <v>0</v>
      </c>
      <c r="BE403" s="275"/>
      <c r="BF403" s="276">
        <f>_xlfn.IFNA(VLOOKUP(BE403,Ptd_Mtr!$A:$B,2,FALSE),0)</f>
        <v>0</v>
      </c>
      <c r="BG403" s="277">
        <f t="shared" si="32"/>
        <v>0</v>
      </c>
      <c r="BH403" s="275"/>
      <c r="BI403" s="276">
        <f>_xlfn.IFNA(VLOOKUP(BH403,Ptd_Mtr!$A:$B,2,FALSE),0)</f>
        <v>0</v>
      </c>
      <c r="BJ403" s="277">
        <f t="shared" si="33"/>
        <v>0</v>
      </c>
      <c r="BK403" s="275"/>
      <c r="BL403" s="276">
        <f>_xlfn.IFNA(VLOOKUP(BK403,Ptd_Mtr!$A:$B,2,FALSE),0)</f>
        <v>0</v>
      </c>
      <c r="BM403" s="277">
        <f t="shared" si="34"/>
        <v>0</v>
      </c>
      <c r="BN403" s="275"/>
      <c r="BO403" s="276">
        <f>_xlfn.IFNA(VLOOKUP(BN403,Ptd_Mtr!$A:$B,2,FALSE),0)</f>
        <v>0</v>
      </c>
      <c r="BP403" s="277">
        <f t="shared" si="35"/>
        <v>0</v>
      </c>
      <c r="BQ403" s="275">
        <f t="shared" si="36"/>
        <v>0</v>
      </c>
      <c r="BR403" s="278">
        <f t="shared" si="37"/>
        <v>0</v>
      </c>
      <c r="BS403" s="268"/>
      <c r="BT403" s="268"/>
    </row>
    <row r="404" spans="1:72">
      <c r="A404" s="142"/>
      <c r="B404" s="268"/>
      <c r="C404" s="268"/>
      <c r="D404" s="264">
        <f t="shared" si="13"/>
        <v>0</v>
      </c>
      <c r="E404" s="264">
        <f t="shared" si="14"/>
        <v>0</v>
      </c>
      <c r="F404" s="275"/>
      <c r="G404" s="276">
        <f>_xlfn.IFNA(VLOOKUP(F404,Ptd_Mtr!$A:$B,2,FALSE),0)</f>
        <v>0</v>
      </c>
      <c r="H404" s="277">
        <f t="shared" si="15"/>
        <v>0</v>
      </c>
      <c r="I404" s="275"/>
      <c r="J404" s="276">
        <f>_xlfn.IFNA(VLOOKUP(I404,Ptd_Mtr!$A:$B,2,FALSE),0)</f>
        <v>0</v>
      </c>
      <c r="K404" s="277">
        <f t="shared" si="16"/>
        <v>0</v>
      </c>
      <c r="L404" s="275"/>
      <c r="M404" s="276">
        <f>_xlfn.IFNA(VLOOKUP(L404,Ptd_Mtr!$A:$B,2,FALSE),0)</f>
        <v>0</v>
      </c>
      <c r="N404" s="277">
        <f t="shared" si="17"/>
        <v>0</v>
      </c>
      <c r="O404" s="275"/>
      <c r="P404" s="276">
        <f>_xlfn.IFNA(VLOOKUP(O404,Ptd_Mtr!$A:$B,2,FALSE),0)</f>
        <v>0</v>
      </c>
      <c r="Q404" s="277">
        <f t="shared" si="18"/>
        <v>0</v>
      </c>
      <c r="R404" s="275"/>
      <c r="S404" s="276">
        <f>_xlfn.IFNA(VLOOKUP(R404,Ptd_Mtr!$A:$B,2,FALSE),0)</f>
        <v>0</v>
      </c>
      <c r="T404" s="277">
        <f t="shared" si="19"/>
        <v>0</v>
      </c>
      <c r="U404" s="275"/>
      <c r="V404" s="276">
        <f>_xlfn.IFNA(VLOOKUP(U404,Ptd_Mtr!$A:$B,2,FALSE),0)</f>
        <v>0</v>
      </c>
      <c r="W404" s="277">
        <f t="shared" si="20"/>
        <v>0</v>
      </c>
      <c r="X404" s="275" t="s">
        <v>835</v>
      </c>
      <c r="Y404" s="276">
        <f>_xlfn.IFNA(VLOOKUP(X404,Ptd_Mtr!$A:$B,2,FALSE),0)</f>
        <v>0</v>
      </c>
      <c r="Z404" s="277">
        <f t="shared" si="21"/>
        <v>0</v>
      </c>
      <c r="AA404" s="275"/>
      <c r="AB404" s="276">
        <f>_xlfn.IFNA(VLOOKUP(AA404,Ptd_Mtr!$A:$B,2,FALSE),0)</f>
        <v>0</v>
      </c>
      <c r="AC404" s="277">
        <f t="shared" si="22"/>
        <v>0</v>
      </c>
      <c r="AD404" s="275"/>
      <c r="AE404" s="276">
        <f>_xlfn.IFNA(VLOOKUP(AD404,Ptd_Mtr!$A:$B,2,FALSE),0)</f>
        <v>0</v>
      </c>
      <c r="AF404" s="277">
        <f t="shared" si="23"/>
        <v>0</v>
      </c>
      <c r="AG404" s="275"/>
      <c r="AH404" s="276">
        <f>_xlfn.IFNA(VLOOKUP(AG404,Ptd_Mtr!$A:$B,2,FALSE),0)</f>
        <v>0</v>
      </c>
      <c r="AI404" s="277">
        <f t="shared" si="24"/>
        <v>0</v>
      </c>
      <c r="AJ404" s="275"/>
      <c r="AK404" s="276">
        <f>_xlfn.IFNA(VLOOKUP(AJ404,Ptd_Mtr!$A:$B,2,FALSE),0)</f>
        <v>0</v>
      </c>
      <c r="AL404" s="277">
        <f t="shared" si="25"/>
        <v>0</v>
      </c>
      <c r="AM404" s="275"/>
      <c r="AN404" s="276">
        <f>_xlfn.IFNA(VLOOKUP(AM404,Ptd_Mtr!$A:$B,2,FALSE),0)</f>
        <v>0</v>
      </c>
      <c r="AO404" s="277">
        <f t="shared" si="26"/>
        <v>0</v>
      </c>
      <c r="AP404" s="275"/>
      <c r="AQ404" s="276">
        <f>_xlfn.IFNA(VLOOKUP(AP404,Ptd_Mtr!$A:$B,2,FALSE),0)</f>
        <v>0</v>
      </c>
      <c r="AR404" s="277">
        <f t="shared" si="27"/>
        <v>0</v>
      </c>
      <c r="AS404" s="275"/>
      <c r="AT404" s="276">
        <f>_xlfn.IFNA(VLOOKUP(AS404,Ptd_Mtr!$A:$B,2,FALSE),0)</f>
        <v>0</v>
      </c>
      <c r="AU404" s="277">
        <f t="shared" si="28"/>
        <v>0</v>
      </c>
      <c r="AV404" s="275"/>
      <c r="AW404" s="276">
        <f>_xlfn.IFNA(VLOOKUP(AV404,Ptd_Mtr!$A:$B,2,FALSE),0)</f>
        <v>0</v>
      </c>
      <c r="AX404" s="277">
        <f t="shared" si="29"/>
        <v>0</v>
      </c>
      <c r="AY404" s="275"/>
      <c r="AZ404" s="276">
        <f>_xlfn.IFNA(VLOOKUP(AY404,Ptd_Mtr!$A:$B,2,FALSE),0)</f>
        <v>0</v>
      </c>
      <c r="BA404" s="277">
        <f t="shared" si="30"/>
        <v>0</v>
      </c>
      <c r="BB404" s="275"/>
      <c r="BC404" s="276">
        <f>_xlfn.IFNA(VLOOKUP(BB404,Ptd_Mtr!$A:$B,2,FALSE),0)</f>
        <v>0</v>
      </c>
      <c r="BD404" s="277">
        <f t="shared" si="31"/>
        <v>0</v>
      </c>
      <c r="BE404" s="275"/>
      <c r="BF404" s="276">
        <f>_xlfn.IFNA(VLOOKUP(BE404,Ptd_Mtr!$A:$B,2,FALSE),0)</f>
        <v>0</v>
      </c>
      <c r="BG404" s="277">
        <f t="shared" si="32"/>
        <v>0</v>
      </c>
      <c r="BH404" s="275"/>
      <c r="BI404" s="276">
        <f>_xlfn.IFNA(VLOOKUP(BH404,Ptd_Mtr!$A:$B,2,FALSE),0)</f>
        <v>0</v>
      </c>
      <c r="BJ404" s="277">
        <f t="shared" si="33"/>
        <v>0</v>
      </c>
      <c r="BK404" s="275"/>
      <c r="BL404" s="276">
        <f>_xlfn.IFNA(VLOOKUP(BK404,Ptd_Mtr!$A:$B,2,FALSE),0)</f>
        <v>0</v>
      </c>
      <c r="BM404" s="277">
        <f t="shared" si="34"/>
        <v>0</v>
      </c>
      <c r="BN404" s="275"/>
      <c r="BO404" s="276">
        <f>_xlfn.IFNA(VLOOKUP(BN404,Ptd_Mtr!$A:$B,2,FALSE),0)</f>
        <v>0</v>
      </c>
      <c r="BP404" s="277">
        <f t="shared" si="35"/>
        <v>0</v>
      </c>
      <c r="BQ404" s="275">
        <f t="shared" si="36"/>
        <v>0</v>
      </c>
      <c r="BR404" s="278">
        <f t="shared" si="37"/>
        <v>0</v>
      </c>
      <c r="BS404" s="268"/>
      <c r="BT404" s="268"/>
    </row>
    <row r="405" spans="1:72">
      <c r="A405" s="142"/>
      <c r="B405" s="268"/>
      <c r="C405" s="268"/>
      <c r="D405" s="264">
        <f t="shared" si="13"/>
        <v>0</v>
      </c>
      <c r="E405" s="264">
        <f t="shared" si="14"/>
        <v>0</v>
      </c>
      <c r="F405" s="275"/>
      <c r="G405" s="276">
        <f>_xlfn.IFNA(VLOOKUP(F405,Ptd_Mtr!$A:$B,2,FALSE),0)</f>
        <v>0</v>
      </c>
      <c r="H405" s="277">
        <f t="shared" si="15"/>
        <v>0</v>
      </c>
      <c r="I405" s="275"/>
      <c r="J405" s="276">
        <f>_xlfn.IFNA(VLOOKUP(I405,Ptd_Mtr!$A:$B,2,FALSE),0)</f>
        <v>0</v>
      </c>
      <c r="K405" s="277">
        <f t="shared" si="16"/>
        <v>0</v>
      </c>
      <c r="L405" s="275"/>
      <c r="M405" s="276">
        <f>_xlfn.IFNA(VLOOKUP(L405,Ptd_Mtr!$A:$B,2,FALSE),0)</f>
        <v>0</v>
      </c>
      <c r="N405" s="277">
        <f t="shared" si="17"/>
        <v>0</v>
      </c>
      <c r="O405" s="275"/>
      <c r="P405" s="276">
        <f>_xlfn.IFNA(VLOOKUP(O405,Ptd_Mtr!$A:$B,2,FALSE),0)</f>
        <v>0</v>
      </c>
      <c r="Q405" s="277">
        <f t="shared" si="18"/>
        <v>0</v>
      </c>
      <c r="R405" s="275"/>
      <c r="S405" s="276">
        <f>_xlfn.IFNA(VLOOKUP(R405,Ptd_Mtr!$A:$B,2,FALSE),0)</f>
        <v>0</v>
      </c>
      <c r="T405" s="277">
        <f t="shared" si="19"/>
        <v>0</v>
      </c>
      <c r="U405" s="275"/>
      <c r="V405" s="276">
        <f>_xlfn.IFNA(VLOOKUP(U405,Ptd_Mtr!$A:$B,2,FALSE),0)</f>
        <v>0</v>
      </c>
      <c r="W405" s="277">
        <f t="shared" si="20"/>
        <v>0</v>
      </c>
      <c r="X405" s="275" t="s">
        <v>835</v>
      </c>
      <c r="Y405" s="276">
        <f>_xlfn.IFNA(VLOOKUP(X405,Ptd_Mtr!$A:$B,2,FALSE),0)</f>
        <v>0</v>
      </c>
      <c r="Z405" s="277">
        <f t="shared" si="21"/>
        <v>0</v>
      </c>
      <c r="AA405" s="275"/>
      <c r="AB405" s="276">
        <f>_xlfn.IFNA(VLOOKUP(AA405,Ptd_Mtr!$A:$B,2,FALSE),0)</f>
        <v>0</v>
      </c>
      <c r="AC405" s="277">
        <f t="shared" si="22"/>
        <v>0</v>
      </c>
      <c r="AD405" s="275"/>
      <c r="AE405" s="276">
        <f>_xlfn.IFNA(VLOOKUP(AD405,Ptd_Mtr!$A:$B,2,FALSE),0)</f>
        <v>0</v>
      </c>
      <c r="AF405" s="277">
        <f t="shared" si="23"/>
        <v>0</v>
      </c>
      <c r="AG405" s="275"/>
      <c r="AH405" s="276">
        <f>_xlfn.IFNA(VLOOKUP(AG405,Ptd_Mtr!$A:$B,2,FALSE),0)</f>
        <v>0</v>
      </c>
      <c r="AI405" s="277">
        <f t="shared" si="24"/>
        <v>0</v>
      </c>
      <c r="AJ405" s="275"/>
      <c r="AK405" s="276">
        <f>_xlfn.IFNA(VLOOKUP(AJ405,Ptd_Mtr!$A:$B,2,FALSE),0)</f>
        <v>0</v>
      </c>
      <c r="AL405" s="277">
        <f t="shared" si="25"/>
        <v>0</v>
      </c>
      <c r="AM405" s="275"/>
      <c r="AN405" s="276">
        <f>_xlfn.IFNA(VLOOKUP(AM405,Ptd_Mtr!$A:$B,2,FALSE),0)</f>
        <v>0</v>
      </c>
      <c r="AO405" s="277">
        <f t="shared" si="26"/>
        <v>0</v>
      </c>
      <c r="AP405" s="275"/>
      <c r="AQ405" s="276">
        <f>_xlfn.IFNA(VLOOKUP(AP405,Ptd_Mtr!$A:$B,2,FALSE),0)</f>
        <v>0</v>
      </c>
      <c r="AR405" s="277">
        <f t="shared" si="27"/>
        <v>0</v>
      </c>
      <c r="AS405" s="275"/>
      <c r="AT405" s="276">
        <f>_xlfn.IFNA(VLOOKUP(AS405,Ptd_Mtr!$A:$B,2,FALSE),0)</f>
        <v>0</v>
      </c>
      <c r="AU405" s="277">
        <f t="shared" si="28"/>
        <v>0</v>
      </c>
      <c r="AV405" s="275"/>
      <c r="AW405" s="276">
        <f>_xlfn.IFNA(VLOOKUP(AV405,Ptd_Mtr!$A:$B,2,FALSE),0)</f>
        <v>0</v>
      </c>
      <c r="AX405" s="277">
        <f t="shared" si="29"/>
        <v>0</v>
      </c>
      <c r="AY405" s="275"/>
      <c r="AZ405" s="276">
        <f>_xlfn.IFNA(VLOOKUP(AY405,Ptd_Mtr!$A:$B,2,FALSE),0)</f>
        <v>0</v>
      </c>
      <c r="BA405" s="277">
        <f t="shared" si="30"/>
        <v>0</v>
      </c>
      <c r="BB405" s="275"/>
      <c r="BC405" s="276">
        <f>_xlfn.IFNA(VLOOKUP(BB405,Ptd_Mtr!$A:$B,2,FALSE),0)</f>
        <v>0</v>
      </c>
      <c r="BD405" s="277">
        <f t="shared" si="31"/>
        <v>0</v>
      </c>
      <c r="BE405" s="275"/>
      <c r="BF405" s="276">
        <f>_xlfn.IFNA(VLOOKUP(BE405,Ptd_Mtr!$A:$B,2,FALSE),0)</f>
        <v>0</v>
      </c>
      <c r="BG405" s="277">
        <f t="shared" si="32"/>
        <v>0</v>
      </c>
      <c r="BH405" s="275"/>
      <c r="BI405" s="276">
        <f>_xlfn.IFNA(VLOOKUP(BH405,Ptd_Mtr!$A:$B,2,FALSE),0)</f>
        <v>0</v>
      </c>
      <c r="BJ405" s="277">
        <f t="shared" si="33"/>
        <v>0</v>
      </c>
      <c r="BK405" s="275"/>
      <c r="BL405" s="276">
        <f>_xlfn.IFNA(VLOOKUP(BK405,Ptd_Mtr!$A:$B,2,FALSE),0)</f>
        <v>0</v>
      </c>
      <c r="BM405" s="277">
        <f t="shared" si="34"/>
        <v>0</v>
      </c>
      <c r="BN405" s="275"/>
      <c r="BO405" s="276">
        <f>_xlfn.IFNA(VLOOKUP(BN405,Ptd_Mtr!$A:$B,2,FALSE),0)</f>
        <v>0</v>
      </c>
      <c r="BP405" s="277">
        <f t="shared" si="35"/>
        <v>0</v>
      </c>
      <c r="BQ405" s="275">
        <f t="shared" si="36"/>
        <v>0</v>
      </c>
      <c r="BR405" s="278">
        <f t="shared" si="37"/>
        <v>0</v>
      </c>
      <c r="BS405" s="268"/>
      <c r="BT405" s="268"/>
    </row>
    <row r="406" spans="1:72">
      <c r="A406" s="142"/>
      <c r="B406" s="268"/>
      <c r="C406" s="268"/>
      <c r="D406" s="264">
        <f t="shared" si="13"/>
        <v>0</v>
      </c>
      <c r="E406" s="264">
        <f t="shared" si="14"/>
        <v>0</v>
      </c>
      <c r="F406" s="275"/>
      <c r="G406" s="276">
        <f>_xlfn.IFNA(VLOOKUP(F406,Ptd_Mtr!$A:$B,2,FALSE),0)</f>
        <v>0</v>
      </c>
      <c r="H406" s="277">
        <f t="shared" si="15"/>
        <v>0</v>
      </c>
      <c r="I406" s="275"/>
      <c r="J406" s="276">
        <f>_xlfn.IFNA(VLOOKUP(I406,Ptd_Mtr!$A:$B,2,FALSE),0)</f>
        <v>0</v>
      </c>
      <c r="K406" s="277">
        <f t="shared" si="16"/>
        <v>0</v>
      </c>
      <c r="L406" s="275"/>
      <c r="M406" s="276">
        <f>_xlfn.IFNA(VLOOKUP(L406,Ptd_Mtr!$A:$B,2,FALSE),0)</f>
        <v>0</v>
      </c>
      <c r="N406" s="277">
        <f t="shared" si="17"/>
        <v>0</v>
      </c>
      <c r="O406" s="275"/>
      <c r="P406" s="276">
        <f>_xlfn.IFNA(VLOOKUP(O406,Ptd_Mtr!$A:$B,2,FALSE),0)</f>
        <v>0</v>
      </c>
      <c r="Q406" s="277">
        <f t="shared" si="18"/>
        <v>0</v>
      </c>
      <c r="R406" s="275"/>
      <c r="S406" s="276">
        <f>_xlfn.IFNA(VLOOKUP(R406,Ptd_Mtr!$A:$B,2,FALSE),0)</f>
        <v>0</v>
      </c>
      <c r="T406" s="277">
        <f t="shared" si="19"/>
        <v>0</v>
      </c>
      <c r="U406" s="275"/>
      <c r="V406" s="276">
        <f>_xlfn.IFNA(VLOOKUP(U406,Ptd_Mtr!$A:$B,2,FALSE),0)</f>
        <v>0</v>
      </c>
      <c r="W406" s="277">
        <f t="shared" si="20"/>
        <v>0</v>
      </c>
      <c r="X406" s="275" t="s">
        <v>835</v>
      </c>
      <c r="Y406" s="276">
        <f>_xlfn.IFNA(VLOOKUP(X406,Ptd_Mtr!$A:$B,2,FALSE),0)</f>
        <v>0</v>
      </c>
      <c r="Z406" s="277">
        <f t="shared" si="21"/>
        <v>0</v>
      </c>
      <c r="AA406" s="275"/>
      <c r="AB406" s="276">
        <f>_xlfn.IFNA(VLOOKUP(AA406,Ptd_Mtr!$A:$B,2,FALSE),0)</f>
        <v>0</v>
      </c>
      <c r="AC406" s="277">
        <f t="shared" si="22"/>
        <v>0</v>
      </c>
      <c r="AD406" s="275"/>
      <c r="AE406" s="276">
        <f>_xlfn.IFNA(VLOOKUP(AD406,Ptd_Mtr!$A:$B,2,FALSE),0)</f>
        <v>0</v>
      </c>
      <c r="AF406" s="277">
        <f t="shared" si="23"/>
        <v>0</v>
      </c>
      <c r="AG406" s="275"/>
      <c r="AH406" s="276">
        <f>_xlfn.IFNA(VLOOKUP(AG406,Ptd_Mtr!$A:$B,2,FALSE),0)</f>
        <v>0</v>
      </c>
      <c r="AI406" s="277">
        <f t="shared" si="24"/>
        <v>0</v>
      </c>
      <c r="AJ406" s="275"/>
      <c r="AK406" s="276">
        <f>_xlfn.IFNA(VLOOKUP(AJ406,Ptd_Mtr!$A:$B,2,FALSE),0)</f>
        <v>0</v>
      </c>
      <c r="AL406" s="277">
        <f t="shared" si="25"/>
        <v>0</v>
      </c>
      <c r="AM406" s="275"/>
      <c r="AN406" s="276">
        <f>_xlfn.IFNA(VLOOKUP(AM406,Ptd_Mtr!$A:$B,2,FALSE),0)</f>
        <v>0</v>
      </c>
      <c r="AO406" s="277">
        <f t="shared" si="26"/>
        <v>0</v>
      </c>
      <c r="AP406" s="275"/>
      <c r="AQ406" s="276">
        <f>_xlfn.IFNA(VLOOKUP(AP406,Ptd_Mtr!$A:$B,2,FALSE),0)</f>
        <v>0</v>
      </c>
      <c r="AR406" s="277">
        <f t="shared" si="27"/>
        <v>0</v>
      </c>
      <c r="AS406" s="275"/>
      <c r="AT406" s="276">
        <f>_xlfn.IFNA(VLOOKUP(AS406,Ptd_Mtr!$A:$B,2,FALSE),0)</f>
        <v>0</v>
      </c>
      <c r="AU406" s="277">
        <f t="shared" si="28"/>
        <v>0</v>
      </c>
      <c r="AV406" s="275"/>
      <c r="AW406" s="276">
        <f>_xlfn.IFNA(VLOOKUP(AV406,Ptd_Mtr!$A:$B,2,FALSE),0)</f>
        <v>0</v>
      </c>
      <c r="AX406" s="277">
        <f t="shared" si="29"/>
        <v>0</v>
      </c>
      <c r="AY406" s="275"/>
      <c r="AZ406" s="276">
        <f>_xlfn.IFNA(VLOOKUP(AY406,Ptd_Mtr!$A:$B,2,FALSE),0)</f>
        <v>0</v>
      </c>
      <c r="BA406" s="277">
        <f t="shared" si="30"/>
        <v>0</v>
      </c>
      <c r="BB406" s="275"/>
      <c r="BC406" s="276">
        <f>_xlfn.IFNA(VLOOKUP(BB406,Ptd_Mtr!$A:$B,2,FALSE),0)</f>
        <v>0</v>
      </c>
      <c r="BD406" s="277">
        <f t="shared" si="31"/>
        <v>0</v>
      </c>
      <c r="BE406" s="275"/>
      <c r="BF406" s="276">
        <f>_xlfn.IFNA(VLOOKUP(BE406,Ptd_Mtr!$A:$B,2,FALSE),0)</f>
        <v>0</v>
      </c>
      <c r="BG406" s="277">
        <f t="shared" si="32"/>
        <v>0</v>
      </c>
      <c r="BH406" s="275"/>
      <c r="BI406" s="276">
        <f>_xlfn.IFNA(VLOOKUP(BH406,Ptd_Mtr!$A:$B,2,FALSE),0)</f>
        <v>0</v>
      </c>
      <c r="BJ406" s="277">
        <f t="shared" si="33"/>
        <v>0</v>
      </c>
      <c r="BK406" s="275"/>
      <c r="BL406" s="276">
        <f>_xlfn.IFNA(VLOOKUP(BK406,Ptd_Mtr!$A:$B,2,FALSE),0)</f>
        <v>0</v>
      </c>
      <c r="BM406" s="277">
        <f t="shared" si="34"/>
        <v>0</v>
      </c>
      <c r="BN406" s="275"/>
      <c r="BO406" s="276">
        <f>_xlfn.IFNA(VLOOKUP(BN406,Ptd_Mtr!$A:$B,2,FALSE),0)</f>
        <v>0</v>
      </c>
      <c r="BP406" s="277">
        <f t="shared" si="35"/>
        <v>0</v>
      </c>
      <c r="BQ406" s="275">
        <f t="shared" si="36"/>
        <v>0</v>
      </c>
      <c r="BR406" s="278">
        <f t="shared" si="37"/>
        <v>0</v>
      </c>
      <c r="BS406" s="268"/>
      <c r="BT406" s="268"/>
    </row>
    <row r="407" spans="1:72">
      <c r="A407" s="142"/>
      <c r="B407" s="268"/>
      <c r="C407" s="268"/>
      <c r="D407" s="264">
        <f t="shared" si="13"/>
        <v>0</v>
      </c>
      <c r="E407" s="264">
        <f t="shared" si="14"/>
        <v>0</v>
      </c>
      <c r="F407" s="275"/>
      <c r="G407" s="276">
        <f>_xlfn.IFNA(VLOOKUP(F407,Ptd_Mtr!$A:$B,2,FALSE),0)</f>
        <v>0</v>
      </c>
      <c r="H407" s="277">
        <f t="shared" si="15"/>
        <v>0</v>
      </c>
      <c r="I407" s="275"/>
      <c r="J407" s="276">
        <f>_xlfn.IFNA(VLOOKUP(I407,Ptd_Mtr!$A:$B,2,FALSE),0)</f>
        <v>0</v>
      </c>
      <c r="K407" s="277">
        <f t="shared" si="16"/>
        <v>0</v>
      </c>
      <c r="L407" s="275"/>
      <c r="M407" s="276">
        <f>_xlfn.IFNA(VLOOKUP(L407,Ptd_Mtr!$A:$B,2,FALSE),0)</f>
        <v>0</v>
      </c>
      <c r="N407" s="277">
        <f t="shared" si="17"/>
        <v>0</v>
      </c>
      <c r="O407" s="275"/>
      <c r="P407" s="276">
        <f>_xlfn.IFNA(VLOOKUP(O407,Ptd_Mtr!$A:$B,2,FALSE),0)</f>
        <v>0</v>
      </c>
      <c r="Q407" s="277">
        <f t="shared" si="18"/>
        <v>0</v>
      </c>
      <c r="R407" s="275"/>
      <c r="S407" s="276">
        <f>_xlfn.IFNA(VLOOKUP(R407,Ptd_Mtr!$A:$B,2,FALSE),0)</f>
        <v>0</v>
      </c>
      <c r="T407" s="277">
        <f t="shared" si="19"/>
        <v>0</v>
      </c>
      <c r="U407" s="275"/>
      <c r="V407" s="276">
        <f>_xlfn.IFNA(VLOOKUP(U407,Ptd_Mtr!$A:$B,2,FALSE),0)</f>
        <v>0</v>
      </c>
      <c r="W407" s="277">
        <f t="shared" si="20"/>
        <v>0</v>
      </c>
      <c r="X407" s="275" t="s">
        <v>835</v>
      </c>
      <c r="Y407" s="276">
        <f>_xlfn.IFNA(VLOOKUP(X407,Ptd_Mtr!$A:$B,2,FALSE),0)</f>
        <v>0</v>
      </c>
      <c r="Z407" s="277">
        <f t="shared" si="21"/>
        <v>0</v>
      </c>
      <c r="AA407" s="275"/>
      <c r="AB407" s="276">
        <f>_xlfn.IFNA(VLOOKUP(AA407,Ptd_Mtr!$A:$B,2,FALSE),0)</f>
        <v>0</v>
      </c>
      <c r="AC407" s="277">
        <f t="shared" si="22"/>
        <v>0</v>
      </c>
      <c r="AD407" s="275"/>
      <c r="AE407" s="276">
        <f>_xlfn.IFNA(VLOOKUP(AD407,Ptd_Mtr!$A:$B,2,FALSE),0)</f>
        <v>0</v>
      </c>
      <c r="AF407" s="277">
        <f t="shared" si="23"/>
        <v>0</v>
      </c>
      <c r="AG407" s="275"/>
      <c r="AH407" s="276">
        <f>_xlfn.IFNA(VLOOKUP(AG407,Ptd_Mtr!$A:$B,2,FALSE),0)</f>
        <v>0</v>
      </c>
      <c r="AI407" s="277">
        <f t="shared" si="24"/>
        <v>0</v>
      </c>
      <c r="AJ407" s="275"/>
      <c r="AK407" s="276">
        <f>_xlfn.IFNA(VLOOKUP(AJ407,Ptd_Mtr!$A:$B,2,FALSE),0)</f>
        <v>0</v>
      </c>
      <c r="AL407" s="277">
        <f t="shared" si="25"/>
        <v>0</v>
      </c>
      <c r="AM407" s="275"/>
      <c r="AN407" s="276">
        <f>_xlfn.IFNA(VLOOKUP(AM407,Ptd_Mtr!$A:$B,2,FALSE),0)</f>
        <v>0</v>
      </c>
      <c r="AO407" s="277">
        <f t="shared" si="26"/>
        <v>0</v>
      </c>
      <c r="AP407" s="275"/>
      <c r="AQ407" s="276">
        <f>_xlfn.IFNA(VLOOKUP(AP407,Ptd_Mtr!$A:$B,2,FALSE),0)</f>
        <v>0</v>
      </c>
      <c r="AR407" s="277">
        <f t="shared" si="27"/>
        <v>0</v>
      </c>
      <c r="AS407" s="275"/>
      <c r="AT407" s="276">
        <f>_xlfn.IFNA(VLOOKUP(AS407,Ptd_Mtr!$A:$B,2,FALSE),0)</f>
        <v>0</v>
      </c>
      <c r="AU407" s="277">
        <f t="shared" si="28"/>
        <v>0</v>
      </c>
      <c r="AV407" s="275"/>
      <c r="AW407" s="276">
        <f>_xlfn.IFNA(VLOOKUP(AV407,Ptd_Mtr!$A:$B,2,FALSE),0)</f>
        <v>0</v>
      </c>
      <c r="AX407" s="277">
        <f t="shared" si="29"/>
        <v>0</v>
      </c>
      <c r="AY407" s="275"/>
      <c r="AZ407" s="276">
        <f>_xlfn.IFNA(VLOOKUP(AY407,Ptd_Mtr!$A:$B,2,FALSE),0)</f>
        <v>0</v>
      </c>
      <c r="BA407" s="277">
        <f t="shared" si="30"/>
        <v>0</v>
      </c>
      <c r="BB407" s="275"/>
      <c r="BC407" s="276">
        <f>_xlfn.IFNA(VLOOKUP(BB407,Ptd_Mtr!$A:$B,2,FALSE),0)</f>
        <v>0</v>
      </c>
      <c r="BD407" s="277">
        <f t="shared" si="31"/>
        <v>0</v>
      </c>
      <c r="BE407" s="275"/>
      <c r="BF407" s="276">
        <f>_xlfn.IFNA(VLOOKUP(BE407,Ptd_Mtr!$A:$B,2,FALSE),0)</f>
        <v>0</v>
      </c>
      <c r="BG407" s="277">
        <f t="shared" si="32"/>
        <v>0</v>
      </c>
      <c r="BH407" s="275"/>
      <c r="BI407" s="276">
        <f>_xlfn.IFNA(VLOOKUP(BH407,Ptd_Mtr!$A:$B,2,FALSE),0)</f>
        <v>0</v>
      </c>
      <c r="BJ407" s="277">
        <f t="shared" si="33"/>
        <v>0</v>
      </c>
      <c r="BK407" s="275"/>
      <c r="BL407" s="276">
        <f>_xlfn.IFNA(VLOOKUP(BK407,Ptd_Mtr!$A:$B,2,FALSE),0)</f>
        <v>0</v>
      </c>
      <c r="BM407" s="277">
        <f t="shared" si="34"/>
        <v>0</v>
      </c>
      <c r="BN407" s="275"/>
      <c r="BO407" s="276">
        <f>_xlfn.IFNA(VLOOKUP(BN407,Ptd_Mtr!$A:$B,2,FALSE),0)</f>
        <v>0</v>
      </c>
      <c r="BP407" s="277">
        <f t="shared" si="35"/>
        <v>0</v>
      </c>
      <c r="BQ407" s="275">
        <f t="shared" si="36"/>
        <v>0</v>
      </c>
      <c r="BR407" s="278">
        <f t="shared" si="37"/>
        <v>0</v>
      </c>
      <c r="BS407" s="268"/>
      <c r="BT407" s="268"/>
    </row>
    <row r="408" spans="1:72">
      <c r="A408" s="142"/>
      <c r="B408" s="268"/>
      <c r="C408" s="268"/>
      <c r="D408" s="264">
        <f t="shared" si="13"/>
        <v>0</v>
      </c>
      <c r="E408" s="264">
        <f t="shared" si="14"/>
        <v>0</v>
      </c>
      <c r="F408" s="275"/>
      <c r="G408" s="276">
        <f>_xlfn.IFNA(VLOOKUP(F408,Ptd_Mtr!$A:$B,2,FALSE),0)</f>
        <v>0</v>
      </c>
      <c r="H408" s="277">
        <f t="shared" si="15"/>
        <v>0</v>
      </c>
      <c r="I408" s="275"/>
      <c r="J408" s="276">
        <f>_xlfn.IFNA(VLOOKUP(I408,Ptd_Mtr!$A:$B,2,FALSE),0)</f>
        <v>0</v>
      </c>
      <c r="K408" s="277">
        <f t="shared" si="16"/>
        <v>0</v>
      </c>
      <c r="L408" s="275"/>
      <c r="M408" s="276">
        <f>_xlfn.IFNA(VLOOKUP(L408,Ptd_Mtr!$A:$B,2,FALSE),0)</f>
        <v>0</v>
      </c>
      <c r="N408" s="277">
        <f t="shared" si="17"/>
        <v>0</v>
      </c>
      <c r="O408" s="275"/>
      <c r="P408" s="276">
        <f>_xlfn.IFNA(VLOOKUP(O408,Ptd_Mtr!$A:$B,2,FALSE),0)</f>
        <v>0</v>
      </c>
      <c r="Q408" s="277">
        <f t="shared" si="18"/>
        <v>0</v>
      </c>
      <c r="R408" s="275"/>
      <c r="S408" s="276">
        <f>_xlfn.IFNA(VLOOKUP(R408,Ptd_Mtr!$A:$B,2,FALSE),0)</f>
        <v>0</v>
      </c>
      <c r="T408" s="277">
        <f t="shared" si="19"/>
        <v>0</v>
      </c>
      <c r="U408" s="275"/>
      <c r="V408" s="276">
        <f>_xlfn.IFNA(VLOOKUP(U408,Ptd_Mtr!$A:$B,2,FALSE),0)</f>
        <v>0</v>
      </c>
      <c r="W408" s="277">
        <f t="shared" si="20"/>
        <v>0</v>
      </c>
      <c r="X408" s="275" t="s">
        <v>835</v>
      </c>
      <c r="Y408" s="276">
        <f>_xlfn.IFNA(VLOOKUP(X408,Ptd_Mtr!$A:$B,2,FALSE),0)</f>
        <v>0</v>
      </c>
      <c r="Z408" s="277">
        <f t="shared" si="21"/>
        <v>0</v>
      </c>
      <c r="AA408" s="275"/>
      <c r="AB408" s="276">
        <f>_xlfn.IFNA(VLOOKUP(AA408,Ptd_Mtr!$A:$B,2,FALSE),0)</f>
        <v>0</v>
      </c>
      <c r="AC408" s="277">
        <f t="shared" si="22"/>
        <v>0</v>
      </c>
      <c r="AD408" s="275"/>
      <c r="AE408" s="276">
        <f>_xlfn.IFNA(VLOOKUP(AD408,Ptd_Mtr!$A:$B,2,FALSE),0)</f>
        <v>0</v>
      </c>
      <c r="AF408" s="277">
        <f t="shared" si="23"/>
        <v>0</v>
      </c>
      <c r="AG408" s="275"/>
      <c r="AH408" s="276">
        <f>_xlfn.IFNA(VLOOKUP(AG408,Ptd_Mtr!$A:$B,2,FALSE),0)</f>
        <v>0</v>
      </c>
      <c r="AI408" s="277">
        <f t="shared" si="24"/>
        <v>0</v>
      </c>
      <c r="AJ408" s="275"/>
      <c r="AK408" s="276">
        <f>_xlfn.IFNA(VLOOKUP(AJ408,Ptd_Mtr!$A:$B,2,FALSE),0)</f>
        <v>0</v>
      </c>
      <c r="AL408" s="277">
        <f t="shared" si="25"/>
        <v>0</v>
      </c>
      <c r="AM408" s="275"/>
      <c r="AN408" s="276">
        <f>_xlfn.IFNA(VLOOKUP(AM408,Ptd_Mtr!$A:$B,2,FALSE),0)</f>
        <v>0</v>
      </c>
      <c r="AO408" s="277">
        <f t="shared" si="26"/>
        <v>0</v>
      </c>
      <c r="AP408" s="275"/>
      <c r="AQ408" s="276">
        <f>_xlfn.IFNA(VLOOKUP(AP408,Ptd_Mtr!$A:$B,2,FALSE),0)</f>
        <v>0</v>
      </c>
      <c r="AR408" s="277">
        <f t="shared" si="27"/>
        <v>0</v>
      </c>
      <c r="AS408" s="275"/>
      <c r="AT408" s="276">
        <f>_xlfn.IFNA(VLOOKUP(AS408,Ptd_Mtr!$A:$B,2,FALSE),0)</f>
        <v>0</v>
      </c>
      <c r="AU408" s="277">
        <f t="shared" si="28"/>
        <v>0</v>
      </c>
      <c r="AV408" s="275"/>
      <c r="AW408" s="276">
        <f>_xlfn.IFNA(VLOOKUP(AV408,Ptd_Mtr!$A:$B,2,FALSE),0)</f>
        <v>0</v>
      </c>
      <c r="AX408" s="277">
        <f t="shared" si="29"/>
        <v>0</v>
      </c>
      <c r="AY408" s="275"/>
      <c r="AZ408" s="276">
        <f>_xlfn.IFNA(VLOOKUP(AY408,Ptd_Mtr!$A:$B,2,FALSE),0)</f>
        <v>0</v>
      </c>
      <c r="BA408" s="277">
        <f t="shared" si="30"/>
        <v>0</v>
      </c>
      <c r="BB408" s="275"/>
      <c r="BC408" s="276">
        <f>_xlfn.IFNA(VLOOKUP(BB408,Ptd_Mtr!$A:$B,2,FALSE),0)</f>
        <v>0</v>
      </c>
      <c r="BD408" s="277">
        <f t="shared" si="31"/>
        <v>0</v>
      </c>
      <c r="BE408" s="275"/>
      <c r="BF408" s="276">
        <f>_xlfn.IFNA(VLOOKUP(BE408,Ptd_Mtr!$A:$B,2,FALSE),0)</f>
        <v>0</v>
      </c>
      <c r="BG408" s="277">
        <f t="shared" si="32"/>
        <v>0</v>
      </c>
      <c r="BH408" s="275"/>
      <c r="BI408" s="276">
        <f>_xlfn.IFNA(VLOOKUP(BH408,Ptd_Mtr!$A:$B,2,FALSE),0)</f>
        <v>0</v>
      </c>
      <c r="BJ408" s="277">
        <f t="shared" si="33"/>
        <v>0</v>
      </c>
      <c r="BK408" s="275"/>
      <c r="BL408" s="276">
        <f>_xlfn.IFNA(VLOOKUP(BK408,Ptd_Mtr!$A:$B,2,FALSE),0)</f>
        <v>0</v>
      </c>
      <c r="BM408" s="277">
        <f t="shared" si="34"/>
        <v>0</v>
      </c>
      <c r="BN408" s="275"/>
      <c r="BO408" s="276">
        <f>_xlfn.IFNA(VLOOKUP(BN408,Ptd_Mtr!$A:$B,2,FALSE),0)</f>
        <v>0</v>
      </c>
      <c r="BP408" s="277">
        <f t="shared" si="35"/>
        <v>0</v>
      </c>
      <c r="BQ408" s="275">
        <f t="shared" si="36"/>
        <v>0</v>
      </c>
      <c r="BR408" s="278">
        <f t="shared" si="37"/>
        <v>0</v>
      </c>
      <c r="BS408" s="268"/>
      <c r="BT408" s="268"/>
    </row>
    <row r="409" spans="1:72">
      <c r="A409" s="142"/>
      <c r="B409" s="268"/>
      <c r="C409" s="268"/>
      <c r="D409" s="264">
        <f t="shared" si="13"/>
        <v>0</v>
      </c>
      <c r="E409" s="264">
        <f t="shared" si="14"/>
        <v>0</v>
      </c>
      <c r="F409" s="275"/>
      <c r="G409" s="276">
        <f>_xlfn.IFNA(VLOOKUP(F409,Ptd_Mtr!$A:$B,2,FALSE),0)</f>
        <v>0</v>
      </c>
      <c r="H409" s="277">
        <f t="shared" si="15"/>
        <v>0</v>
      </c>
      <c r="I409" s="275"/>
      <c r="J409" s="276">
        <f>_xlfn.IFNA(VLOOKUP(I409,Ptd_Mtr!$A:$B,2,FALSE),0)</f>
        <v>0</v>
      </c>
      <c r="K409" s="277">
        <f t="shared" si="16"/>
        <v>0</v>
      </c>
      <c r="L409" s="275"/>
      <c r="M409" s="276">
        <f>_xlfn.IFNA(VLOOKUP(L409,Ptd_Mtr!$A:$B,2,FALSE),0)</f>
        <v>0</v>
      </c>
      <c r="N409" s="277">
        <f t="shared" si="17"/>
        <v>0</v>
      </c>
      <c r="O409" s="275"/>
      <c r="P409" s="276">
        <f>_xlfn.IFNA(VLOOKUP(O409,Ptd_Mtr!$A:$B,2,FALSE),0)</f>
        <v>0</v>
      </c>
      <c r="Q409" s="277">
        <f t="shared" si="18"/>
        <v>0</v>
      </c>
      <c r="R409" s="275"/>
      <c r="S409" s="276">
        <f>_xlfn.IFNA(VLOOKUP(R409,Ptd_Mtr!$A:$B,2,FALSE),0)</f>
        <v>0</v>
      </c>
      <c r="T409" s="277">
        <f t="shared" si="19"/>
        <v>0</v>
      </c>
      <c r="U409" s="275"/>
      <c r="V409" s="276">
        <f>_xlfn.IFNA(VLOOKUP(U409,Ptd_Mtr!$A:$B,2,FALSE),0)</f>
        <v>0</v>
      </c>
      <c r="W409" s="277">
        <f t="shared" si="20"/>
        <v>0</v>
      </c>
      <c r="X409" s="275" t="s">
        <v>835</v>
      </c>
      <c r="Y409" s="276">
        <f>_xlfn.IFNA(VLOOKUP(X409,Ptd_Mtr!$A:$B,2,FALSE),0)</f>
        <v>0</v>
      </c>
      <c r="Z409" s="277">
        <f t="shared" si="21"/>
        <v>0</v>
      </c>
      <c r="AA409" s="275"/>
      <c r="AB409" s="276">
        <f>_xlfn.IFNA(VLOOKUP(AA409,Ptd_Mtr!$A:$B,2,FALSE),0)</f>
        <v>0</v>
      </c>
      <c r="AC409" s="277">
        <f t="shared" si="22"/>
        <v>0</v>
      </c>
      <c r="AD409" s="275"/>
      <c r="AE409" s="276">
        <f>_xlfn.IFNA(VLOOKUP(AD409,Ptd_Mtr!$A:$B,2,FALSE),0)</f>
        <v>0</v>
      </c>
      <c r="AF409" s="277">
        <f t="shared" si="23"/>
        <v>0</v>
      </c>
      <c r="AG409" s="275"/>
      <c r="AH409" s="276">
        <f>_xlfn.IFNA(VLOOKUP(AG409,Ptd_Mtr!$A:$B,2,FALSE),0)</f>
        <v>0</v>
      </c>
      <c r="AI409" s="277">
        <f t="shared" si="24"/>
        <v>0</v>
      </c>
      <c r="AJ409" s="275"/>
      <c r="AK409" s="276">
        <f>_xlfn.IFNA(VLOOKUP(AJ409,Ptd_Mtr!$A:$B,2,FALSE),0)</f>
        <v>0</v>
      </c>
      <c r="AL409" s="277">
        <f t="shared" si="25"/>
        <v>0</v>
      </c>
      <c r="AM409" s="275"/>
      <c r="AN409" s="276">
        <f>_xlfn.IFNA(VLOOKUP(AM409,Ptd_Mtr!$A:$B,2,FALSE),0)</f>
        <v>0</v>
      </c>
      <c r="AO409" s="277">
        <f t="shared" si="26"/>
        <v>0</v>
      </c>
      <c r="AP409" s="275"/>
      <c r="AQ409" s="276">
        <f>_xlfn.IFNA(VLOOKUP(AP409,Ptd_Mtr!$A:$B,2,FALSE),0)</f>
        <v>0</v>
      </c>
      <c r="AR409" s="277">
        <f t="shared" si="27"/>
        <v>0</v>
      </c>
      <c r="AS409" s="275"/>
      <c r="AT409" s="276">
        <f>_xlfn.IFNA(VLOOKUP(AS409,Ptd_Mtr!$A:$B,2,FALSE),0)</f>
        <v>0</v>
      </c>
      <c r="AU409" s="277">
        <f t="shared" si="28"/>
        <v>0</v>
      </c>
      <c r="AV409" s="275"/>
      <c r="AW409" s="276">
        <f>_xlfn.IFNA(VLOOKUP(AV409,Ptd_Mtr!$A:$B,2,FALSE),0)</f>
        <v>0</v>
      </c>
      <c r="AX409" s="277">
        <f t="shared" si="29"/>
        <v>0</v>
      </c>
      <c r="AY409" s="275"/>
      <c r="AZ409" s="276">
        <f>_xlfn.IFNA(VLOOKUP(AY409,Ptd_Mtr!$A:$B,2,FALSE),0)</f>
        <v>0</v>
      </c>
      <c r="BA409" s="277">
        <f t="shared" si="30"/>
        <v>0</v>
      </c>
      <c r="BB409" s="275"/>
      <c r="BC409" s="276">
        <f>_xlfn.IFNA(VLOOKUP(BB409,Ptd_Mtr!$A:$B,2,FALSE),0)</f>
        <v>0</v>
      </c>
      <c r="BD409" s="277">
        <f t="shared" si="31"/>
        <v>0</v>
      </c>
      <c r="BE409" s="275"/>
      <c r="BF409" s="276">
        <f>_xlfn.IFNA(VLOOKUP(BE409,Ptd_Mtr!$A:$B,2,FALSE),0)</f>
        <v>0</v>
      </c>
      <c r="BG409" s="277">
        <f t="shared" si="32"/>
        <v>0</v>
      </c>
      <c r="BH409" s="275"/>
      <c r="BI409" s="276">
        <f>_xlfn.IFNA(VLOOKUP(BH409,Ptd_Mtr!$A:$B,2,FALSE),0)</f>
        <v>0</v>
      </c>
      <c r="BJ409" s="277">
        <f t="shared" si="33"/>
        <v>0</v>
      </c>
      <c r="BK409" s="275"/>
      <c r="BL409" s="276">
        <f>_xlfn.IFNA(VLOOKUP(BK409,Ptd_Mtr!$A:$B,2,FALSE),0)</f>
        <v>0</v>
      </c>
      <c r="BM409" s="277">
        <f t="shared" si="34"/>
        <v>0</v>
      </c>
      <c r="BN409" s="275"/>
      <c r="BO409" s="276">
        <f>_xlfn.IFNA(VLOOKUP(BN409,Ptd_Mtr!$A:$B,2,FALSE),0)</f>
        <v>0</v>
      </c>
      <c r="BP409" s="277">
        <f t="shared" si="35"/>
        <v>0</v>
      </c>
      <c r="BQ409" s="275">
        <f t="shared" si="36"/>
        <v>0</v>
      </c>
      <c r="BR409" s="278">
        <f t="shared" si="37"/>
        <v>0</v>
      </c>
      <c r="BS409" s="268"/>
      <c r="BT409" s="268"/>
    </row>
    <row r="410" spans="1:72">
      <c r="A410" s="142"/>
      <c r="B410" s="268"/>
      <c r="C410" s="268"/>
      <c r="D410" s="264">
        <f t="shared" si="13"/>
        <v>0</v>
      </c>
      <c r="E410" s="264">
        <f>IF(F410&lt;&gt;"",C410-H410-K410-N410-Q410-T410-W410-Z410-AC410-AF410-AI410-AL410-AO410-AR410-AU410-AX410-BA410-BD410-BG410-BJ410-BM410-BP410,0)</f>
        <v>0</v>
      </c>
      <c r="F410" s="275"/>
      <c r="G410" s="276">
        <f>_xlfn.IFNA(VLOOKUP(F410,Ptd_Mtr!$A:$B,2,FALSE),0)</f>
        <v>0</v>
      </c>
      <c r="H410" s="277">
        <f t="shared" si="15"/>
        <v>0</v>
      </c>
      <c r="I410" s="275"/>
      <c r="J410" s="276">
        <f>_xlfn.IFNA(VLOOKUP(I410,Ptd_Mtr!$A:$B,2,FALSE),0)</f>
        <v>0</v>
      </c>
      <c r="K410" s="277">
        <f t="shared" si="16"/>
        <v>0</v>
      </c>
      <c r="L410" s="275"/>
      <c r="M410" s="276">
        <f>_xlfn.IFNA(VLOOKUP(L410,Ptd_Mtr!$A:$B,2,FALSE),0)</f>
        <v>0</v>
      </c>
      <c r="N410" s="277">
        <f t="shared" si="17"/>
        <v>0</v>
      </c>
      <c r="O410" s="275"/>
      <c r="P410" s="276">
        <f>_xlfn.IFNA(VLOOKUP(O410,Ptd_Mtr!$A:$B,2,FALSE),0)</f>
        <v>0</v>
      </c>
      <c r="Q410" s="277">
        <f t="shared" si="18"/>
        <v>0</v>
      </c>
      <c r="R410" s="275"/>
      <c r="S410" s="276">
        <f>_xlfn.IFNA(VLOOKUP(R410,Ptd_Mtr!$A:$B,2,FALSE),0)</f>
        <v>0</v>
      </c>
      <c r="T410" s="277">
        <f t="shared" si="19"/>
        <v>0</v>
      </c>
      <c r="U410" s="275"/>
      <c r="V410" s="276">
        <f>_xlfn.IFNA(VLOOKUP(U410,Ptd_Mtr!$A:$B,2,FALSE),0)</f>
        <v>0</v>
      </c>
      <c r="W410" s="277">
        <f t="shared" si="20"/>
        <v>0</v>
      </c>
      <c r="X410" s="275" t="s">
        <v>835</v>
      </c>
      <c r="Y410" s="276">
        <f>_xlfn.IFNA(VLOOKUP(X410,Ptd_Mtr!$A:$B,2,FALSE),0)</f>
        <v>0</v>
      </c>
      <c r="Z410" s="277">
        <f t="shared" si="21"/>
        <v>0</v>
      </c>
      <c r="AA410" s="275"/>
      <c r="AB410" s="276">
        <f>_xlfn.IFNA(VLOOKUP(AA410,Ptd_Mtr!$A:$B,2,FALSE),0)</f>
        <v>0</v>
      </c>
      <c r="AC410" s="277">
        <f t="shared" si="22"/>
        <v>0</v>
      </c>
      <c r="AD410" s="275"/>
      <c r="AE410" s="276">
        <f>_xlfn.IFNA(VLOOKUP(AD410,Ptd_Mtr!$A:$B,2,FALSE),0)</f>
        <v>0</v>
      </c>
      <c r="AF410" s="277">
        <f t="shared" si="23"/>
        <v>0</v>
      </c>
      <c r="AG410" s="275"/>
      <c r="AH410" s="276">
        <f>_xlfn.IFNA(VLOOKUP(AG410,Ptd_Mtr!$A:$B,2,FALSE),0)</f>
        <v>0</v>
      </c>
      <c r="AI410" s="277">
        <f t="shared" si="24"/>
        <v>0</v>
      </c>
      <c r="AJ410" s="275"/>
      <c r="AK410" s="276">
        <f>_xlfn.IFNA(VLOOKUP(AJ410,Ptd_Mtr!$A:$B,2,FALSE),0)</f>
        <v>0</v>
      </c>
      <c r="AL410" s="277">
        <f t="shared" si="25"/>
        <v>0</v>
      </c>
      <c r="AM410" s="275"/>
      <c r="AN410" s="276">
        <f>_xlfn.IFNA(VLOOKUP(AM410,Ptd_Mtr!$A:$B,2,FALSE),0)</f>
        <v>0</v>
      </c>
      <c r="AO410" s="277">
        <f t="shared" si="26"/>
        <v>0</v>
      </c>
      <c r="AP410" s="275"/>
      <c r="AQ410" s="276">
        <f>_xlfn.IFNA(VLOOKUP(AP410,Ptd_Mtr!$A:$B,2,FALSE),0)</f>
        <v>0</v>
      </c>
      <c r="AR410" s="277">
        <f t="shared" si="27"/>
        <v>0</v>
      </c>
      <c r="AS410" s="275"/>
      <c r="AT410" s="276">
        <f>_xlfn.IFNA(VLOOKUP(AS410,Ptd_Mtr!$A:$B,2,FALSE),0)</f>
        <v>0</v>
      </c>
      <c r="AU410" s="277">
        <f t="shared" si="28"/>
        <v>0</v>
      </c>
      <c r="AV410" s="275"/>
      <c r="AW410" s="276">
        <f>_xlfn.IFNA(VLOOKUP(AV410,Ptd_Mtr!$A:$B,2,FALSE),0)</f>
        <v>0</v>
      </c>
      <c r="AX410" s="277">
        <f t="shared" si="29"/>
        <v>0</v>
      </c>
      <c r="AY410" s="275"/>
      <c r="AZ410" s="276">
        <f>_xlfn.IFNA(VLOOKUP(AY410,Ptd_Mtr!$A:$B,2,FALSE),0)</f>
        <v>0</v>
      </c>
      <c r="BA410" s="277">
        <f t="shared" si="30"/>
        <v>0</v>
      </c>
      <c r="BB410" s="275"/>
      <c r="BC410" s="276">
        <f>_xlfn.IFNA(VLOOKUP(BB410,Ptd_Mtr!$A:$B,2,FALSE),0)</f>
        <v>0</v>
      </c>
      <c r="BD410" s="277">
        <f t="shared" si="31"/>
        <v>0</v>
      </c>
      <c r="BE410" s="275"/>
      <c r="BF410" s="276">
        <f>_xlfn.IFNA(VLOOKUP(BE410,Ptd_Mtr!$A:$B,2,FALSE),0)</f>
        <v>0</v>
      </c>
      <c r="BG410" s="277">
        <f t="shared" si="32"/>
        <v>0</v>
      </c>
      <c r="BH410" s="275"/>
      <c r="BI410" s="276">
        <f>_xlfn.IFNA(VLOOKUP(BH410,Ptd_Mtr!$A:$B,2,FALSE),0)</f>
        <v>0</v>
      </c>
      <c r="BJ410" s="277">
        <f t="shared" si="33"/>
        <v>0</v>
      </c>
      <c r="BK410" s="275"/>
      <c r="BL410" s="276">
        <f>_xlfn.IFNA(VLOOKUP(BK410,Ptd_Mtr!$A:$B,2,FALSE),0)</f>
        <v>0</v>
      </c>
      <c r="BM410" s="277">
        <f t="shared" si="34"/>
        <v>0</v>
      </c>
      <c r="BN410" s="275"/>
      <c r="BO410" s="276">
        <f>_xlfn.IFNA(VLOOKUP(BN410,Ptd_Mtr!$A:$B,2,FALSE),0)</f>
        <v>0</v>
      </c>
      <c r="BP410" s="277">
        <f t="shared" si="35"/>
        <v>0</v>
      </c>
      <c r="BQ410" s="275">
        <f t="shared" si="36"/>
        <v>0</v>
      </c>
      <c r="BR410" s="278">
        <f t="shared" si="37"/>
        <v>0</v>
      </c>
      <c r="BS410" s="268"/>
      <c r="BT410" s="268"/>
    </row>
    <row r="411" spans="1:72">
      <c r="A411" s="142"/>
      <c r="B411" s="268"/>
      <c r="C411" s="268"/>
      <c r="D411" s="264">
        <f t="shared" si="13"/>
        <v>0</v>
      </c>
      <c r="E411" s="264">
        <f t="shared" si="14"/>
        <v>0</v>
      </c>
      <c r="F411" s="275"/>
      <c r="G411" s="276">
        <f>_xlfn.IFNA(VLOOKUP(F411,Ptd_Mtr!$A:$B,2,FALSE),0)</f>
        <v>0</v>
      </c>
      <c r="H411" s="277">
        <f t="shared" si="15"/>
        <v>0</v>
      </c>
      <c r="I411" s="275"/>
      <c r="J411" s="276">
        <f>_xlfn.IFNA(VLOOKUP(I411,Ptd_Mtr!$A:$B,2,FALSE),0)</f>
        <v>0</v>
      </c>
      <c r="K411" s="277">
        <f t="shared" si="16"/>
        <v>0</v>
      </c>
      <c r="L411" s="275"/>
      <c r="M411" s="276">
        <f>_xlfn.IFNA(VLOOKUP(L411,Ptd_Mtr!$A:$B,2,FALSE),0)</f>
        <v>0</v>
      </c>
      <c r="N411" s="277">
        <f t="shared" si="17"/>
        <v>0</v>
      </c>
      <c r="O411" s="275"/>
      <c r="P411" s="276">
        <f>_xlfn.IFNA(VLOOKUP(O411,Ptd_Mtr!$A:$B,2,FALSE),0)</f>
        <v>0</v>
      </c>
      <c r="Q411" s="277">
        <f t="shared" si="18"/>
        <v>0</v>
      </c>
      <c r="R411" s="275"/>
      <c r="S411" s="276">
        <f>_xlfn.IFNA(VLOOKUP(R411,Ptd_Mtr!$A:$B,2,FALSE),0)</f>
        <v>0</v>
      </c>
      <c r="T411" s="277">
        <f t="shared" si="19"/>
        <v>0</v>
      </c>
      <c r="U411" s="275"/>
      <c r="V411" s="276">
        <f>_xlfn.IFNA(VLOOKUP(U411,Ptd_Mtr!$A:$B,2,FALSE),0)</f>
        <v>0</v>
      </c>
      <c r="W411" s="277">
        <f t="shared" si="20"/>
        <v>0</v>
      </c>
      <c r="X411" s="275" t="s">
        <v>835</v>
      </c>
      <c r="Y411" s="276">
        <f>_xlfn.IFNA(VLOOKUP(X411,Ptd_Mtr!$A:$B,2,FALSE),0)</f>
        <v>0</v>
      </c>
      <c r="Z411" s="277">
        <f t="shared" si="21"/>
        <v>0</v>
      </c>
      <c r="AA411" s="275"/>
      <c r="AB411" s="276">
        <f>_xlfn.IFNA(VLOOKUP(AA411,Ptd_Mtr!$A:$B,2,FALSE),0)</f>
        <v>0</v>
      </c>
      <c r="AC411" s="277">
        <f t="shared" si="22"/>
        <v>0</v>
      </c>
      <c r="AD411" s="275"/>
      <c r="AE411" s="276">
        <f>_xlfn.IFNA(VLOOKUP(AD411,Ptd_Mtr!$A:$B,2,FALSE),0)</f>
        <v>0</v>
      </c>
      <c r="AF411" s="277">
        <f t="shared" si="23"/>
        <v>0</v>
      </c>
      <c r="AG411" s="275"/>
      <c r="AH411" s="276">
        <f>_xlfn.IFNA(VLOOKUP(AG411,Ptd_Mtr!$A:$B,2,FALSE),0)</f>
        <v>0</v>
      </c>
      <c r="AI411" s="277">
        <f t="shared" si="24"/>
        <v>0</v>
      </c>
      <c r="AJ411" s="275"/>
      <c r="AK411" s="276">
        <f>_xlfn.IFNA(VLOOKUP(AJ411,Ptd_Mtr!$A:$B,2,FALSE),0)</f>
        <v>0</v>
      </c>
      <c r="AL411" s="277">
        <f t="shared" si="25"/>
        <v>0</v>
      </c>
      <c r="AM411" s="275"/>
      <c r="AN411" s="276">
        <f>_xlfn.IFNA(VLOOKUP(AM411,Ptd_Mtr!$A:$B,2,FALSE),0)</f>
        <v>0</v>
      </c>
      <c r="AO411" s="277">
        <f t="shared" si="26"/>
        <v>0</v>
      </c>
      <c r="AP411" s="275"/>
      <c r="AQ411" s="276">
        <f>_xlfn.IFNA(VLOOKUP(AP411,Ptd_Mtr!$A:$B,2,FALSE),0)</f>
        <v>0</v>
      </c>
      <c r="AR411" s="277">
        <f t="shared" si="27"/>
        <v>0</v>
      </c>
      <c r="AS411" s="275"/>
      <c r="AT411" s="276">
        <f>_xlfn.IFNA(VLOOKUP(AS411,Ptd_Mtr!$A:$B,2,FALSE),0)</f>
        <v>0</v>
      </c>
      <c r="AU411" s="277">
        <f t="shared" si="28"/>
        <v>0</v>
      </c>
      <c r="AV411" s="275"/>
      <c r="AW411" s="276">
        <f>_xlfn.IFNA(VLOOKUP(AV411,Ptd_Mtr!$A:$B,2,FALSE),0)</f>
        <v>0</v>
      </c>
      <c r="AX411" s="277">
        <f t="shared" si="29"/>
        <v>0</v>
      </c>
      <c r="AY411" s="275"/>
      <c r="AZ411" s="276">
        <f>_xlfn.IFNA(VLOOKUP(AY411,Ptd_Mtr!$A:$B,2,FALSE),0)</f>
        <v>0</v>
      </c>
      <c r="BA411" s="277">
        <f t="shared" si="30"/>
        <v>0</v>
      </c>
      <c r="BB411" s="275"/>
      <c r="BC411" s="276">
        <f>_xlfn.IFNA(VLOOKUP(BB411,Ptd_Mtr!$A:$B,2,FALSE),0)</f>
        <v>0</v>
      </c>
      <c r="BD411" s="277">
        <f t="shared" si="31"/>
        <v>0</v>
      </c>
      <c r="BE411" s="275"/>
      <c r="BF411" s="276">
        <f>_xlfn.IFNA(VLOOKUP(BE411,Ptd_Mtr!$A:$B,2,FALSE),0)</f>
        <v>0</v>
      </c>
      <c r="BG411" s="277">
        <f t="shared" si="32"/>
        <v>0</v>
      </c>
      <c r="BH411" s="275"/>
      <c r="BI411" s="276">
        <f>_xlfn.IFNA(VLOOKUP(BH411,Ptd_Mtr!$A:$B,2,FALSE),0)</f>
        <v>0</v>
      </c>
      <c r="BJ411" s="277">
        <f t="shared" si="33"/>
        <v>0</v>
      </c>
      <c r="BK411" s="275"/>
      <c r="BL411" s="276">
        <f>_xlfn.IFNA(VLOOKUP(BK411,Ptd_Mtr!$A:$B,2,FALSE),0)</f>
        <v>0</v>
      </c>
      <c r="BM411" s="277">
        <f t="shared" si="34"/>
        <v>0</v>
      </c>
      <c r="BN411" s="275"/>
      <c r="BO411" s="276">
        <f>_xlfn.IFNA(VLOOKUP(BN411,Ptd_Mtr!$A:$B,2,FALSE),0)</f>
        <v>0</v>
      </c>
      <c r="BP411" s="277">
        <f t="shared" si="35"/>
        <v>0</v>
      </c>
      <c r="BQ411" s="275">
        <f t="shared" si="36"/>
        <v>0</v>
      </c>
      <c r="BR411" s="278">
        <f t="shared" si="37"/>
        <v>0</v>
      </c>
      <c r="BS411" s="268"/>
      <c r="BT411" s="268"/>
    </row>
    <row r="412" spans="1:72">
      <c r="A412" s="142"/>
      <c r="B412" s="268"/>
      <c r="C412" s="268"/>
      <c r="D412" s="264">
        <f t="shared" si="13"/>
        <v>0</v>
      </c>
      <c r="E412" s="264">
        <f t="shared" si="14"/>
        <v>0</v>
      </c>
      <c r="F412" s="275"/>
      <c r="G412" s="276">
        <f>_xlfn.IFNA(VLOOKUP(F412,Ptd_Mtr!$A:$B,2,FALSE),0)</f>
        <v>0</v>
      </c>
      <c r="H412" s="277">
        <f t="shared" si="15"/>
        <v>0</v>
      </c>
      <c r="I412" s="275"/>
      <c r="J412" s="276">
        <f>_xlfn.IFNA(VLOOKUP(I412,Ptd_Mtr!$A:$B,2,FALSE),0)</f>
        <v>0</v>
      </c>
      <c r="K412" s="277">
        <f t="shared" si="16"/>
        <v>0</v>
      </c>
      <c r="L412" s="275"/>
      <c r="M412" s="276">
        <f>_xlfn.IFNA(VLOOKUP(L412,Ptd_Mtr!$A:$B,2,FALSE),0)</f>
        <v>0</v>
      </c>
      <c r="N412" s="277">
        <f t="shared" si="17"/>
        <v>0</v>
      </c>
      <c r="O412" s="275"/>
      <c r="P412" s="276">
        <f>_xlfn.IFNA(VLOOKUP(O412,Ptd_Mtr!$A:$B,2,FALSE),0)</f>
        <v>0</v>
      </c>
      <c r="Q412" s="277">
        <f t="shared" si="18"/>
        <v>0</v>
      </c>
      <c r="R412" s="275"/>
      <c r="S412" s="276">
        <f>_xlfn.IFNA(VLOOKUP(R412,Ptd_Mtr!$A:$B,2,FALSE),0)</f>
        <v>0</v>
      </c>
      <c r="T412" s="277">
        <f t="shared" si="19"/>
        <v>0</v>
      </c>
      <c r="U412" s="275"/>
      <c r="V412" s="276">
        <f>_xlfn.IFNA(VLOOKUP(U412,Ptd_Mtr!$A:$B,2,FALSE),0)</f>
        <v>0</v>
      </c>
      <c r="W412" s="277">
        <f t="shared" si="20"/>
        <v>0</v>
      </c>
      <c r="X412" s="275" t="s">
        <v>835</v>
      </c>
      <c r="Y412" s="276">
        <f>_xlfn.IFNA(VLOOKUP(X412,Ptd_Mtr!$A:$B,2,FALSE),0)</f>
        <v>0</v>
      </c>
      <c r="Z412" s="277">
        <f t="shared" si="21"/>
        <v>0</v>
      </c>
      <c r="AA412" s="275"/>
      <c r="AB412" s="276">
        <f>_xlfn.IFNA(VLOOKUP(AA412,Ptd_Mtr!$A:$B,2,FALSE),0)</f>
        <v>0</v>
      </c>
      <c r="AC412" s="277">
        <f t="shared" si="22"/>
        <v>0</v>
      </c>
      <c r="AD412" s="275"/>
      <c r="AE412" s="276">
        <f>_xlfn.IFNA(VLOOKUP(AD412,Ptd_Mtr!$A:$B,2,FALSE),0)</f>
        <v>0</v>
      </c>
      <c r="AF412" s="277">
        <f t="shared" si="23"/>
        <v>0</v>
      </c>
      <c r="AG412" s="275"/>
      <c r="AH412" s="276">
        <f>_xlfn.IFNA(VLOOKUP(AG412,Ptd_Mtr!$A:$B,2,FALSE),0)</f>
        <v>0</v>
      </c>
      <c r="AI412" s="277">
        <f t="shared" si="24"/>
        <v>0</v>
      </c>
      <c r="AJ412" s="275"/>
      <c r="AK412" s="276">
        <f>_xlfn.IFNA(VLOOKUP(AJ412,Ptd_Mtr!$A:$B,2,FALSE),0)</f>
        <v>0</v>
      </c>
      <c r="AL412" s="277">
        <f t="shared" si="25"/>
        <v>0</v>
      </c>
      <c r="AM412" s="275"/>
      <c r="AN412" s="276">
        <f>_xlfn.IFNA(VLOOKUP(AM412,Ptd_Mtr!$A:$B,2,FALSE),0)</f>
        <v>0</v>
      </c>
      <c r="AO412" s="277">
        <f t="shared" si="26"/>
        <v>0</v>
      </c>
      <c r="AP412" s="275"/>
      <c r="AQ412" s="276">
        <f>_xlfn.IFNA(VLOOKUP(AP412,Ptd_Mtr!$A:$B,2,FALSE),0)</f>
        <v>0</v>
      </c>
      <c r="AR412" s="277">
        <f t="shared" si="27"/>
        <v>0</v>
      </c>
      <c r="AS412" s="275"/>
      <c r="AT412" s="276">
        <f>_xlfn.IFNA(VLOOKUP(AS412,Ptd_Mtr!$A:$B,2,FALSE),0)</f>
        <v>0</v>
      </c>
      <c r="AU412" s="277">
        <f t="shared" si="28"/>
        <v>0</v>
      </c>
      <c r="AV412" s="275"/>
      <c r="AW412" s="276">
        <f>_xlfn.IFNA(VLOOKUP(AV412,Ptd_Mtr!$A:$B,2,FALSE),0)</f>
        <v>0</v>
      </c>
      <c r="AX412" s="277">
        <f t="shared" si="29"/>
        <v>0</v>
      </c>
      <c r="AY412" s="275"/>
      <c r="AZ412" s="276">
        <f>_xlfn.IFNA(VLOOKUP(AY412,Ptd_Mtr!$A:$B,2,FALSE),0)</f>
        <v>0</v>
      </c>
      <c r="BA412" s="277">
        <f t="shared" si="30"/>
        <v>0</v>
      </c>
      <c r="BB412" s="275"/>
      <c r="BC412" s="276">
        <f>_xlfn.IFNA(VLOOKUP(BB412,Ptd_Mtr!$A:$B,2,FALSE),0)</f>
        <v>0</v>
      </c>
      <c r="BD412" s="277">
        <f t="shared" si="31"/>
        <v>0</v>
      </c>
      <c r="BE412" s="275"/>
      <c r="BF412" s="276">
        <f>_xlfn.IFNA(VLOOKUP(BE412,Ptd_Mtr!$A:$B,2,FALSE),0)</f>
        <v>0</v>
      </c>
      <c r="BG412" s="277">
        <f t="shared" si="32"/>
        <v>0</v>
      </c>
      <c r="BH412" s="275"/>
      <c r="BI412" s="276">
        <f>_xlfn.IFNA(VLOOKUP(BH412,Ptd_Mtr!$A:$B,2,FALSE),0)</f>
        <v>0</v>
      </c>
      <c r="BJ412" s="277">
        <f t="shared" si="33"/>
        <v>0</v>
      </c>
      <c r="BK412" s="275"/>
      <c r="BL412" s="276">
        <f>_xlfn.IFNA(VLOOKUP(BK412,Ptd_Mtr!$A:$B,2,FALSE),0)</f>
        <v>0</v>
      </c>
      <c r="BM412" s="277">
        <f t="shared" si="34"/>
        <v>0</v>
      </c>
      <c r="BN412" s="275"/>
      <c r="BO412" s="276">
        <f>_xlfn.IFNA(VLOOKUP(BN412,Ptd_Mtr!$A:$B,2,FALSE),0)</f>
        <v>0</v>
      </c>
      <c r="BP412" s="277">
        <f t="shared" si="35"/>
        <v>0</v>
      </c>
      <c r="BQ412" s="275">
        <f t="shared" si="36"/>
        <v>0</v>
      </c>
      <c r="BR412" s="278">
        <f t="shared" si="37"/>
        <v>0</v>
      </c>
      <c r="BS412" s="268"/>
      <c r="BT412" s="268"/>
    </row>
    <row r="413" spans="1:72">
      <c r="A413" s="142"/>
      <c r="B413" s="268"/>
      <c r="C413" s="268"/>
      <c r="D413" s="264">
        <f t="shared" si="13"/>
        <v>0</v>
      </c>
      <c r="E413" s="264">
        <f t="shared" si="14"/>
        <v>0</v>
      </c>
      <c r="F413" s="275"/>
      <c r="G413" s="276">
        <f>_xlfn.IFNA(VLOOKUP(F413,Ptd_Mtr!$A:$B,2,FALSE),0)</f>
        <v>0</v>
      </c>
      <c r="H413" s="277">
        <f t="shared" si="15"/>
        <v>0</v>
      </c>
      <c r="I413" s="275"/>
      <c r="J413" s="276">
        <f>_xlfn.IFNA(VLOOKUP(I413,Ptd_Mtr!$A:$B,2,FALSE),0)</f>
        <v>0</v>
      </c>
      <c r="K413" s="277">
        <f t="shared" si="16"/>
        <v>0</v>
      </c>
      <c r="L413" s="275"/>
      <c r="M413" s="276">
        <f>_xlfn.IFNA(VLOOKUP(L413,Ptd_Mtr!$A:$B,2,FALSE),0)</f>
        <v>0</v>
      </c>
      <c r="N413" s="277">
        <f t="shared" si="17"/>
        <v>0</v>
      </c>
      <c r="O413" s="275"/>
      <c r="P413" s="276">
        <f>_xlfn.IFNA(VLOOKUP(O413,Ptd_Mtr!$A:$B,2,FALSE),0)</f>
        <v>0</v>
      </c>
      <c r="Q413" s="277">
        <f t="shared" si="18"/>
        <v>0</v>
      </c>
      <c r="R413" s="275"/>
      <c r="S413" s="276">
        <f>_xlfn.IFNA(VLOOKUP(R413,Ptd_Mtr!$A:$B,2,FALSE),0)</f>
        <v>0</v>
      </c>
      <c r="T413" s="277">
        <f t="shared" si="19"/>
        <v>0</v>
      </c>
      <c r="U413" s="275"/>
      <c r="V413" s="276">
        <f>_xlfn.IFNA(VLOOKUP(U413,Ptd_Mtr!$A:$B,2,FALSE),0)</f>
        <v>0</v>
      </c>
      <c r="W413" s="277">
        <f t="shared" si="20"/>
        <v>0</v>
      </c>
      <c r="X413" s="275" t="s">
        <v>835</v>
      </c>
      <c r="Y413" s="276">
        <f>_xlfn.IFNA(VLOOKUP(X413,Ptd_Mtr!$A:$B,2,FALSE),0)</f>
        <v>0</v>
      </c>
      <c r="Z413" s="277">
        <f t="shared" si="21"/>
        <v>0</v>
      </c>
      <c r="AA413" s="275"/>
      <c r="AB413" s="276">
        <f>_xlfn.IFNA(VLOOKUP(AA413,Ptd_Mtr!$A:$B,2,FALSE),0)</f>
        <v>0</v>
      </c>
      <c r="AC413" s="277">
        <f t="shared" si="22"/>
        <v>0</v>
      </c>
      <c r="AD413" s="275"/>
      <c r="AE413" s="276">
        <f>_xlfn.IFNA(VLOOKUP(AD413,Ptd_Mtr!$A:$B,2,FALSE),0)</f>
        <v>0</v>
      </c>
      <c r="AF413" s="277">
        <f t="shared" si="23"/>
        <v>0</v>
      </c>
      <c r="AG413" s="275"/>
      <c r="AH413" s="276">
        <f>_xlfn.IFNA(VLOOKUP(AG413,Ptd_Mtr!$A:$B,2,FALSE),0)</f>
        <v>0</v>
      </c>
      <c r="AI413" s="277">
        <f t="shared" si="24"/>
        <v>0</v>
      </c>
      <c r="AJ413" s="275"/>
      <c r="AK413" s="276">
        <f>_xlfn.IFNA(VLOOKUP(AJ413,Ptd_Mtr!$A:$B,2,FALSE),0)</f>
        <v>0</v>
      </c>
      <c r="AL413" s="277">
        <f t="shared" si="25"/>
        <v>0</v>
      </c>
      <c r="AM413" s="275"/>
      <c r="AN413" s="276">
        <f>_xlfn.IFNA(VLOOKUP(AM413,Ptd_Mtr!$A:$B,2,FALSE),0)</f>
        <v>0</v>
      </c>
      <c r="AO413" s="277">
        <f t="shared" si="26"/>
        <v>0</v>
      </c>
      <c r="AP413" s="275"/>
      <c r="AQ413" s="276">
        <f>_xlfn.IFNA(VLOOKUP(AP413,Ptd_Mtr!$A:$B,2,FALSE),0)</f>
        <v>0</v>
      </c>
      <c r="AR413" s="277">
        <f t="shared" si="27"/>
        <v>0</v>
      </c>
      <c r="AS413" s="275"/>
      <c r="AT413" s="276">
        <f>_xlfn.IFNA(VLOOKUP(AS413,Ptd_Mtr!$A:$B,2,FALSE),0)</f>
        <v>0</v>
      </c>
      <c r="AU413" s="277">
        <f t="shared" si="28"/>
        <v>0</v>
      </c>
      <c r="AV413" s="275"/>
      <c r="AW413" s="276">
        <f>_xlfn.IFNA(VLOOKUP(AV413,Ptd_Mtr!$A:$B,2,FALSE),0)</f>
        <v>0</v>
      </c>
      <c r="AX413" s="277">
        <f t="shared" si="29"/>
        <v>0</v>
      </c>
      <c r="AY413" s="275"/>
      <c r="AZ413" s="276">
        <f>_xlfn.IFNA(VLOOKUP(AY413,Ptd_Mtr!$A:$B,2,FALSE),0)</f>
        <v>0</v>
      </c>
      <c r="BA413" s="277">
        <f t="shared" si="30"/>
        <v>0</v>
      </c>
      <c r="BB413" s="275"/>
      <c r="BC413" s="276">
        <f>_xlfn.IFNA(VLOOKUP(BB413,Ptd_Mtr!$A:$B,2,FALSE),0)</f>
        <v>0</v>
      </c>
      <c r="BD413" s="277">
        <f t="shared" si="31"/>
        <v>0</v>
      </c>
      <c r="BE413" s="275"/>
      <c r="BF413" s="276">
        <f>_xlfn.IFNA(VLOOKUP(BE413,Ptd_Mtr!$A:$B,2,FALSE),0)</f>
        <v>0</v>
      </c>
      <c r="BG413" s="277">
        <f t="shared" si="32"/>
        <v>0</v>
      </c>
      <c r="BH413" s="275"/>
      <c r="BI413" s="276">
        <f>_xlfn.IFNA(VLOOKUP(BH413,Ptd_Mtr!$A:$B,2,FALSE),0)</f>
        <v>0</v>
      </c>
      <c r="BJ413" s="277">
        <f t="shared" si="33"/>
        <v>0</v>
      </c>
      <c r="BK413" s="275"/>
      <c r="BL413" s="276">
        <f>_xlfn.IFNA(VLOOKUP(BK413,Ptd_Mtr!$A:$B,2,FALSE),0)</f>
        <v>0</v>
      </c>
      <c r="BM413" s="277">
        <f t="shared" si="34"/>
        <v>0</v>
      </c>
      <c r="BN413" s="275"/>
      <c r="BO413" s="276">
        <f>_xlfn.IFNA(VLOOKUP(BN413,Ptd_Mtr!$A:$B,2,FALSE),0)</f>
        <v>0</v>
      </c>
      <c r="BP413" s="277">
        <f t="shared" si="35"/>
        <v>0</v>
      </c>
      <c r="BQ413" s="275">
        <f t="shared" si="36"/>
        <v>0</v>
      </c>
      <c r="BR413" s="278">
        <f t="shared" si="37"/>
        <v>0</v>
      </c>
      <c r="BS413" s="268"/>
      <c r="BT413" s="268"/>
    </row>
    <row r="414" spans="1:72">
      <c r="A414" s="142"/>
      <c r="B414" s="268"/>
      <c r="C414" s="268"/>
      <c r="D414" s="264">
        <f t="shared" si="13"/>
        <v>0</v>
      </c>
      <c r="E414" s="264">
        <f t="shared" si="14"/>
        <v>0</v>
      </c>
      <c r="F414" s="275"/>
      <c r="G414" s="276">
        <f>_xlfn.IFNA(VLOOKUP(F414,Ptd_Mtr!$A:$B,2,FALSE),0)</f>
        <v>0</v>
      </c>
      <c r="H414" s="277">
        <f t="shared" si="15"/>
        <v>0</v>
      </c>
      <c r="I414" s="275"/>
      <c r="J414" s="276">
        <f>_xlfn.IFNA(VLOOKUP(I414,Ptd_Mtr!$A:$B,2,FALSE),0)</f>
        <v>0</v>
      </c>
      <c r="K414" s="277">
        <f t="shared" si="16"/>
        <v>0</v>
      </c>
      <c r="L414" s="275"/>
      <c r="M414" s="276">
        <f>_xlfn.IFNA(VLOOKUP(L414,Ptd_Mtr!$A:$B,2,FALSE),0)</f>
        <v>0</v>
      </c>
      <c r="N414" s="277">
        <f t="shared" si="17"/>
        <v>0</v>
      </c>
      <c r="O414" s="275"/>
      <c r="P414" s="276">
        <f>_xlfn.IFNA(VLOOKUP(O414,Ptd_Mtr!$A:$B,2,FALSE),0)</f>
        <v>0</v>
      </c>
      <c r="Q414" s="277">
        <f t="shared" si="18"/>
        <v>0</v>
      </c>
      <c r="R414" s="275"/>
      <c r="S414" s="276">
        <f>_xlfn.IFNA(VLOOKUP(R414,Ptd_Mtr!$A:$B,2,FALSE),0)</f>
        <v>0</v>
      </c>
      <c r="T414" s="277">
        <f t="shared" si="19"/>
        <v>0</v>
      </c>
      <c r="U414" s="275"/>
      <c r="V414" s="276">
        <f>_xlfn.IFNA(VLOOKUP(U414,Ptd_Mtr!$A:$B,2,FALSE),0)</f>
        <v>0</v>
      </c>
      <c r="W414" s="277">
        <f t="shared" si="20"/>
        <v>0</v>
      </c>
      <c r="X414" s="275" t="s">
        <v>835</v>
      </c>
      <c r="Y414" s="276">
        <f>_xlfn.IFNA(VLOOKUP(X414,Ptd_Mtr!$A:$B,2,FALSE),0)</f>
        <v>0</v>
      </c>
      <c r="Z414" s="277">
        <f t="shared" si="21"/>
        <v>0</v>
      </c>
      <c r="AA414" s="275"/>
      <c r="AB414" s="276">
        <f>_xlfn.IFNA(VLOOKUP(AA414,Ptd_Mtr!$A:$B,2,FALSE),0)</f>
        <v>0</v>
      </c>
      <c r="AC414" s="277">
        <f t="shared" si="22"/>
        <v>0</v>
      </c>
      <c r="AD414" s="275"/>
      <c r="AE414" s="276">
        <f>_xlfn.IFNA(VLOOKUP(AD414,Ptd_Mtr!$A:$B,2,FALSE),0)</f>
        <v>0</v>
      </c>
      <c r="AF414" s="277">
        <f t="shared" si="23"/>
        <v>0</v>
      </c>
      <c r="AG414" s="275"/>
      <c r="AH414" s="276">
        <f>_xlfn.IFNA(VLOOKUP(AG414,Ptd_Mtr!$A:$B,2,FALSE),0)</f>
        <v>0</v>
      </c>
      <c r="AI414" s="277">
        <f t="shared" si="24"/>
        <v>0</v>
      </c>
      <c r="AJ414" s="275"/>
      <c r="AK414" s="276">
        <f>_xlfn.IFNA(VLOOKUP(AJ414,Ptd_Mtr!$A:$B,2,FALSE),0)</f>
        <v>0</v>
      </c>
      <c r="AL414" s="277">
        <f t="shared" si="25"/>
        <v>0</v>
      </c>
      <c r="AM414" s="275"/>
      <c r="AN414" s="276">
        <f>_xlfn.IFNA(VLOOKUP(AM414,Ptd_Mtr!$A:$B,2,FALSE),0)</f>
        <v>0</v>
      </c>
      <c r="AO414" s="277">
        <f t="shared" si="26"/>
        <v>0</v>
      </c>
      <c r="AP414" s="275"/>
      <c r="AQ414" s="276">
        <f>_xlfn.IFNA(VLOOKUP(AP414,Ptd_Mtr!$A:$B,2,FALSE),0)</f>
        <v>0</v>
      </c>
      <c r="AR414" s="277">
        <f t="shared" si="27"/>
        <v>0</v>
      </c>
      <c r="AS414" s="275"/>
      <c r="AT414" s="276">
        <f>_xlfn.IFNA(VLOOKUP(AS414,Ptd_Mtr!$A:$B,2,FALSE),0)</f>
        <v>0</v>
      </c>
      <c r="AU414" s="277">
        <f t="shared" si="28"/>
        <v>0</v>
      </c>
      <c r="AV414" s="275"/>
      <c r="AW414" s="276">
        <f>_xlfn.IFNA(VLOOKUP(AV414,Ptd_Mtr!$A:$B,2,FALSE),0)</f>
        <v>0</v>
      </c>
      <c r="AX414" s="277">
        <f t="shared" si="29"/>
        <v>0</v>
      </c>
      <c r="AY414" s="275"/>
      <c r="AZ414" s="276">
        <f>_xlfn.IFNA(VLOOKUP(AY414,Ptd_Mtr!$A:$B,2,FALSE),0)</f>
        <v>0</v>
      </c>
      <c r="BA414" s="277">
        <f t="shared" si="30"/>
        <v>0</v>
      </c>
      <c r="BB414" s="275"/>
      <c r="BC414" s="276">
        <f>_xlfn.IFNA(VLOOKUP(BB414,Ptd_Mtr!$A:$B,2,FALSE),0)</f>
        <v>0</v>
      </c>
      <c r="BD414" s="277">
        <f t="shared" si="31"/>
        <v>0</v>
      </c>
      <c r="BE414" s="275"/>
      <c r="BF414" s="276">
        <f>_xlfn.IFNA(VLOOKUP(BE414,Ptd_Mtr!$A:$B,2,FALSE),0)</f>
        <v>0</v>
      </c>
      <c r="BG414" s="277">
        <f t="shared" si="32"/>
        <v>0</v>
      </c>
      <c r="BH414" s="275"/>
      <c r="BI414" s="276">
        <f>_xlfn.IFNA(VLOOKUP(BH414,Ptd_Mtr!$A:$B,2,FALSE),0)</f>
        <v>0</v>
      </c>
      <c r="BJ414" s="277">
        <f t="shared" si="33"/>
        <v>0</v>
      </c>
      <c r="BK414" s="275"/>
      <c r="BL414" s="276">
        <f>_xlfn.IFNA(VLOOKUP(BK414,Ptd_Mtr!$A:$B,2,FALSE),0)</f>
        <v>0</v>
      </c>
      <c r="BM414" s="277">
        <f t="shared" si="34"/>
        <v>0</v>
      </c>
      <c r="BN414" s="275"/>
      <c r="BO414" s="276">
        <f>_xlfn.IFNA(VLOOKUP(BN414,Ptd_Mtr!$A:$B,2,FALSE),0)</f>
        <v>0</v>
      </c>
      <c r="BP414" s="277">
        <f t="shared" si="35"/>
        <v>0</v>
      </c>
      <c r="BQ414" s="275">
        <f t="shared" si="36"/>
        <v>0</v>
      </c>
      <c r="BR414" s="278">
        <f t="shared" si="37"/>
        <v>0</v>
      </c>
      <c r="BS414" s="268"/>
      <c r="BT414" s="268"/>
    </row>
    <row r="415" spans="1:72">
      <c r="A415" s="142"/>
      <c r="B415" s="268"/>
      <c r="C415" s="268"/>
      <c r="D415" s="264">
        <f t="shared" si="13"/>
        <v>0</v>
      </c>
      <c r="E415" s="264">
        <f t="shared" si="14"/>
        <v>0</v>
      </c>
      <c r="F415" s="275"/>
      <c r="G415" s="276">
        <f>_xlfn.IFNA(VLOOKUP(F415,Ptd_Mtr!$A:$B,2,FALSE),0)</f>
        <v>0</v>
      </c>
      <c r="H415" s="277">
        <f t="shared" si="15"/>
        <v>0</v>
      </c>
      <c r="I415" s="275"/>
      <c r="J415" s="276">
        <f>_xlfn.IFNA(VLOOKUP(I415,Ptd_Mtr!$A:$B,2,FALSE),0)</f>
        <v>0</v>
      </c>
      <c r="K415" s="277">
        <f t="shared" si="16"/>
        <v>0</v>
      </c>
      <c r="L415" s="275"/>
      <c r="M415" s="276">
        <f>_xlfn.IFNA(VLOOKUP(L415,Ptd_Mtr!$A:$B,2,FALSE),0)</f>
        <v>0</v>
      </c>
      <c r="N415" s="277">
        <f t="shared" si="17"/>
        <v>0</v>
      </c>
      <c r="O415" s="275"/>
      <c r="P415" s="276">
        <f>_xlfn.IFNA(VLOOKUP(O415,Ptd_Mtr!$A:$B,2,FALSE),0)</f>
        <v>0</v>
      </c>
      <c r="Q415" s="277">
        <f t="shared" si="18"/>
        <v>0</v>
      </c>
      <c r="R415" s="275"/>
      <c r="S415" s="276">
        <f>_xlfn.IFNA(VLOOKUP(R415,Ptd_Mtr!$A:$B,2,FALSE),0)</f>
        <v>0</v>
      </c>
      <c r="T415" s="277">
        <f t="shared" si="19"/>
        <v>0</v>
      </c>
      <c r="U415" s="275"/>
      <c r="V415" s="276">
        <f>_xlfn.IFNA(VLOOKUP(U415,Ptd_Mtr!$A:$B,2,FALSE),0)</f>
        <v>0</v>
      </c>
      <c r="W415" s="277">
        <f t="shared" si="20"/>
        <v>0</v>
      </c>
      <c r="X415" s="275" t="s">
        <v>835</v>
      </c>
      <c r="Y415" s="276">
        <f>_xlfn.IFNA(VLOOKUP(X415,Ptd_Mtr!$A:$B,2,FALSE),0)</f>
        <v>0</v>
      </c>
      <c r="Z415" s="277">
        <f t="shared" si="21"/>
        <v>0</v>
      </c>
      <c r="AA415" s="275"/>
      <c r="AB415" s="276">
        <f>_xlfn.IFNA(VLOOKUP(AA415,Ptd_Mtr!$A:$B,2,FALSE),0)</f>
        <v>0</v>
      </c>
      <c r="AC415" s="277">
        <f t="shared" si="22"/>
        <v>0</v>
      </c>
      <c r="AD415" s="275"/>
      <c r="AE415" s="276">
        <f>_xlfn.IFNA(VLOOKUP(AD415,Ptd_Mtr!$A:$B,2,FALSE),0)</f>
        <v>0</v>
      </c>
      <c r="AF415" s="277">
        <f t="shared" si="23"/>
        <v>0</v>
      </c>
      <c r="AG415" s="275"/>
      <c r="AH415" s="276">
        <f>_xlfn.IFNA(VLOOKUP(AG415,Ptd_Mtr!$A:$B,2,FALSE),0)</f>
        <v>0</v>
      </c>
      <c r="AI415" s="277">
        <f t="shared" si="24"/>
        <v>0</v>
      </c>
      <c r="AJ415" s="275"/>
      <c r="AK415" s="276">
        <f>_xlfn.IFNA(VLOOKUP(AJ415,Ptd_Mtr!$A:$B,2,FALSE),0)</f>
        <v>0</v>
      </c>
      <c r="AL415" s="277">
        <f t="shared" si="25"/>
        <v>0</v>
      </c>
      <c r="AM415" s="275"/>
      <c r="AN415" s="276">
        <f>_xlfn.IFNA(VLOOKUP(AM415,Ptd_Mtr!$A:$B,2,FALSE),0)</f>
        <v>0</v>
      </c>
      <c r="AO415" s="277">
        <f t="shared" si="26"/>
        <v>0</v>
      </c>
      <c r="AP415" s="275"/>
      <c r="AQ415" s="276">
        <f>_xlfn.IFNA(VLOOKUP(AP415,Ptd_Mtr!$A:$B,2,FALSE),0)</f>
        <v>0</v>
      </c>
      <c r="AR415" s="277">
        <f t="shared" si="27"/>
        <v>0</v>
      </c>
      <c r="AS415" s="275"/>
      <c r="AT415" s="276">
        <f>_xlfn.IFNA(VLOOKUP(AS415,Ptd_Mtr!$A:$B,2,FALSE),0)</f>
        <v>0</v>
      </c>
      <c r="AU415" s="277">
        <f t="shared" si="28"/>
        <v>0</v>
      </c>
      <c r="AV415" s="275"/>
      <c r="AW415" s="276">
        <f>_xlfn.IFNA(VLOOKUP(AV415,Ptd_Mtr!$A:$B,2,FALSE),0)</f>
        <v>0</v>
      </c>
      <c r="AX415" s="277">
        <f t="shared" si="29"/>
        <v>0</v>
      </c>
      <c r="AY415" s="275"/>
      <c r="AZ415" s="276">
        <f>_xlfn.IFNA(VLOOKUP(AY415,Ptd_Mtr!$A:$B,2,FALSE),0)</f>
        <v>0</v>
      </c>
      <c r="BA415" s="277">
        <f t="shared" si="30"/>
        <v>0</v>
      </c>
      <c r="BB415" s="275"/>
      <c r="BC415" s="276">
        <f>_xlfn.IFNA(VLOOKUP(BB415,Ptd_Mtr!$A:$B,2,FALSE),0)</f>
        <v>0</v>
      </c>
      <c r="BD415" s="277">
        <f t="shared" si="31"/>
        <v>0</v>
      </c>
      <c r="BE415" s="275"/>
      <c r="BF415" s="276">
        <f>_xlfn.IFNA(VLOOKUP(BE415,Ptd_Mtr!$A:$B,2,FALSE),0)</f>
        <v>0</v>
      </c>
      <c r="BG415" s="277">
        <f t="shared" si="32"/>
        <v>0</v>
      </c>
      <c r="BH415" s="275"/>
      <c r="BI415" s="276">
        <f>_xlfn.IFNA(VLOOKUP(BH415,Ptd_Mtr!$A:$B,2,FALSE),0)</f>
        <v>0</v>
      </c>
      <c r="BJ415" s="277">
        <f t="shared" si="33"/>
        <v>0</v>
      </c>
      <c r="BK415" s="275"/>
      <c r="BL415" s="276">
        <f>_xlfn.IFNA(VLOOKUP(BK415,Ptd_Mtr!$A:$B,2,FALSE),0)</f>
        <v>0</v>
      </c>
      <c r="BM415" s="277">
        <f t="shared" si="34"/>
        <v>0</v>
      </c>
      <c r="BN415" s="275"/>
      <c r="BO415" s="276">
        <f>_xlfn.IFNA(VLOOKUP(BN415,Ptd_Mtr!$A:$B,2,FALSE),0)</f>
        <v>0</v>
      </c>
      <c r="BP415" s="277">
        <f t="shared" si="35"/>
        <v>0</v>
      </c>
      <c r="BQ415" s="275">
        <f t="shared" si="36"/>
        <v>0</v>
      </c>
      <c r="BR415" s="278">
        <f t="shared" si="37"/>
        <v>0</v>
      </c>
      <c r="BS415" s="268"/>
      <c r="BT415" s="268"/>
    </row>
    <row r="416" spans="1:72">
      <c r="A416" s="142"/>
      <c r="B416" s="268"/>
      <c r="C416" s="268"/>
      <c r="D416" s="264">
        <f t="shared" si="13"/>
        <v>0</v>
      </c>
      <c r="E416" s="264">
        <f t="shared" si="14"/>
        <v>0</v>
      </c>
      <c r="F416" s="275"/>
      <c r="G416" s="276">
        <f>_xlfn.IFNA(VLOOKUP(F416,Ptd_Mtr!$A:$B,2,FALSE),0)</f>
        <v>0</v>
      </c>
      <c r="H416" s="277">
        <f t="shared" si="15"/>
        <v>0</v>
      </c>
      <c r="I416" s="275"/>
      <c r="J416" s="276">
        <f>_xlfn.IFNA(VLOOKUP(I416,Ptd_Mtr!$A:$B,2,FALSE),0)</f>
        <v>0</v>
      </c>
      <c r="K416" s="277">
        <f t="shared" si="16"/>
        <v>0</v>
      </c>
      <c r="L416" s="275"/>
      <c r="M416" s="276">
        <f>_xlfn.IFNA(VLOOKUP(L416,Ptd_Mtr!$A:$B,2,FALSE),0)</f>
        <v>0</v>
      </c>
      <c r="N416" s="277">
        <f t="shared" si="17"/>
        <v>0</v>
      </c>
      <c r="O416" s="275"/>
      <c r="P416" s="276">
        <f>_xlfn.IFNA(VLOOKUP(O416,Ptd_Mtr!$A:$B,2,FALSE),0)</f>
        <v>0</v>
      </c>
      <c r="Q416" s="277">
        <f t="shared" si="18"/>
        <v>0</v>
      </c>
      <c r="R416" s="275"/>
      <c r="S416" s="276">
        <f>_xlfn.IFNA(VLOOKUP(R416,Ptd_Mtr!$A:$B,2,FALSE),0)</f>
        <v>0</v>
      </c>
      <c r="T416" s="277">
        <f t="shared" si="19"/>
        <v>0</v>
      </c>
      <c r="U416" s="275"/>
      <c r="V416" s="276">
        <f>_xlfn.IFNA(VLOOKUP(U416,Ptd_Mtr!$A:$B,2,FALSE),0)</f>
        <v>0</v>
      </c>
      <c r="W416" s="277">
        <f t="shared" si="20"/>
        <v>0</v>
      </c>
      <c r="X416" s="275" t="s">
        <v>835</v>
      </c>
      <c r="Y416" s="276">
        <f>_xlfn.IFNA(VLOOKUP(X416,Ptd_Mtr!$A:$B,2,FALSE),0)</f>
        <v>0</v>
      </c>
      <c r="Z416" s="277">
        <f t="shared" si="21"/>
        <v>0</v>
      </c>
      <c r="AA416" s="275"/>
      <c r="AB416" s="276">
        <f>_xlfn.IFNA(VLOOKUP(AA416,Ptd_Mtr!$A:$B,2,FALSE),0)</f>
        <v>0</v>
      </c>
      <c r="AC416" s="277">
        <f t="shared" si="22"/>
        <v>0</v>
      </c>
      <c r="AD416" s="275"/>
      <c r="AE416" s="276">
        <f>_xlfn.IFNA(VLOOKUP(AD416,Ptd_Mtr!$A:$B,2,FALSE),0)</f>
        <v>0</v>
      </c>
      <c r="AF416" s="277">
        <f t="shared" si="23"/>
        <v>0</v>
      </c>
      <c r="AG416" s="275"/>
      <c r="AH416" s="276">
        <f>_xlfn.IFNA(VLOOKUP(AG416,Ptd_Mtr!$A:$B,2,FALSE),0)</f>
        <v>0</v>
      </c>
      <c r="AI416" s="277">
        <f t="shared" si="24"/>
        <v>0</v>
      </c>
      <c r="AJ416" s="275"/>
      <c r="AK416" s="276">
        <f>_xlfn.IFNA(VLOOKUP(AJ416,Ptd_Mtr!$A:$B,2,FALSE),0)</f>
        <v>0</v>
      </c>
      <c r="AL416" s="277">
        <f t="shared" si="25"/>
        <v>0</v>
      </c>
      <c r="AM416" s="275"/>
      <c r="AN416" s="276">
        <f>_xlfn.IFNA(VLOOKUP(AM416,Ptd_Mtr!$A:$B,2,FALSE),0)</f>
        <v>0</v>
      </c>
      <c r="AO416" s="277">
        <f t="shared" si="26"/>
        <v>0</v>
      </c>
      <c r="AP416" s="275"/>
      <c r="AQ416" s="276">
        <f>_xlfn.IFNA(VLOOKUP(AP416,Ptd_Mtr!$A:$B,2,FALSE),0)</f>
        <v>0</v>
      </c>
      <c r="AR416" s="277">
        <f t="shared" si="27"/>
        <v>0</v>
      </c>
      <c r="AS416" s="275"/>
      <c r="AT416" s="276">
        <f>_xlfn.IFNA(VLOOKUP(AS416,Ptd_Mtr!$A:$B,2,FALSE),0)</f>
        <v>0</v>
      </c>
      <c r="AU416" s="277">
        <f t="shared" si="28"/>
        <v>0</v>
      </c>
      <c r="AV416" s="275"/>
      <c r="AW416" s="276">
        <f>_xlfn.IFNA(VLOOKUP(AV416,Ptd_Mtr!$A:$B,2,FALSE),0)</f>
        <v>0</v>
      </c>
      <c r="AX416" s="277">
        <f t="shared" si="29"/>
        <v>0</v>
      </c>
      <c r="AY416" s="275"/>
      <c r="AZ416" s="276">
        <f>_xlfn.IFNA(VLOOKUP(AY416,Ptd_Mtr!$A:$B,2,FALSE),0)</f>
        <v>0</v>
      </c>
      <c r="BA416" s="277">
        <f t="shared" si="30"/>
        <v>0</v>
      </c>
      <c r="BB416" s="275"/>
      <c r="BC416" s="276">
        <f>_xlfn.IFNA(VLOOKUP(BB416,Ptd_Mtr!$A:$B,2,FALSE),0)</f>
        <v>0</v>
      </c>
      <c r="BD416" s="277">
        <f t="shared" si="31"/>
        <v>0</v>
      </c>
      <c r="BE416" s="275"/>
      <c r="BF416" s="276">
        <f>_xlfn.IFNA(VLOOKUP(BE416,Ptd_Mtr!$A:$B,2,FALSE),0)</f>
        <v>0</v>
      </c>
      <c r="BG416" s="277">
        <f t="shared" si="32"/>
        <v>0</v>
      </c>
      <c r="BH416" s="275"/>
      <c r="BI416" s="276">
        <f>_xlfn.IFNA(VLOOKUP(BH416,Ptd_Mtr!$A:$B,2,FALSE),0)</f>
        <v>0</v>
      </c>
      <c r="BJ416" s="277">
        <f t="shared" si="33"/>
        <v>0</v>
      </c>
      <c r="BK416" s="275"/>
      <c r="BL416" s="276">
        <f>_xlfn.IFNA(VLOOKUP(BK416,Ptd_Mtr!$A:$B,2,FALSE),0)</f>
        <v>0</v>
      </c>
      <c r="BM416" s="277">
        <f t="shared" si="34"/>
        <v>0</v>
      </c>
      <c r="BN416" s="275"/>
      <c r="BO416" s="276">
        <f>_xlfn.IFNA(VLOOKUP(BN416,Ptd_Mtr!$A:$B,2,FALSE),0)</f>
        <v>0</v>
      </c>
      <c r="BP416" s="277">
        <f t="shared" si="35"/>
        <v>0</v>
      </c>
      <c r="BQ416" s="275">
        <f t="shared" si="36"/>
        <v>0</v>
      </c>
      <c r="BR416" s="278">
        <f t="shared" si="37"/>
        <v>0</v>
      </c>
      <c r="BS416" s="268"/>
      <c r="BT416" s="268"/>
    </row>
    <row r="417" spans="1:72">
      <c r="A417" s="142"/>
      <c r="B417" s="268"/>
      <c r="C417" s="268"/>
      <c r="D417" s="264">
        <f t="shared" si="13"/>
        <v>0</v>
      </c>
      <c r="E417" s="264">
        <f t="shared" si="14"/>
        <v>0</v>
      </c>
      <c r="F417" s="275"/>
      <c r="G417" s="276">
        <f>_xlfn.IFNA(VLOOKUP(F417,Ptd_Mtr!$A:$B,2,FALSE),0)</f>
        <v>0</v>
      </c>
      <c r="H417" s="277">
        <f t="shared" si="15"/>
        <v>0</v>
      </c>
      <c r="I417" s="275"/>
      <c r="J417" s="276">
        <f>_xlfn.IFNA(VLOOKUP(I417,Ptd_Mtr!$A:$B,2,FALSE),0)</f>
        <v>0</v>
      </c>
      <c r="K417" s="277">
        <f t="shared" si="16"/>
        <v>0</v>
      </c>
      <c r="L417" s="275"/>
      <c r="M417" s="276">
        <f>_xlfn.IFNA(VLOOKUP(L417,Ptd_Mtr!$A:$B,2,FALSE),0)</f>
        <v>0</v>
      </c>
      <c r="N417" s="277">
        <f t="shared" si="17"/>
        <v>0</v>
      </c>
      <c r="O417" s="275"/>
      <c r="P417" s="276">
        <f>_xlfn.IFNA(VLOOKUP(O417,Ptd_Mtr!$A:$B,2,FALSE),0)</f>
        <v>0</v>
      </c>
      <c r="Q417" s="277">
        <f t="shared" si="18"/>
        <v>0</v>
      </c>
      <c r="R417" s="275"/>
      <c r="S417" s="276">
        <f>_xlfn.IFNA(VLOOKUP(R417,Ptd_Mtr!$A:$B,2,FALSE),0)</f>
        <v>0</v>
      </c>
      <c r="T417" s="277">
        <f t="shared" si="19"/>
        <v>0</v>
      </c>
      <c r="U417" s="275"/>
      <c r="V417" s="276">
        <f>_xlfn.IFNA(VLOOKUP(U417,Ptd_Mtr!$A:$B,2,FALSE),0)</f>
        <v>0</v>
      </c>
      <c r="W417" s="277">
        <f t="shared" si="20"/>
        <v>0</v>
      </c>
      <c r="X417" s="275" t="s">
        <v>835</v>
      </c>
      <c r="Y417" s="276">
        <f>_xlfn.IFNA(VLOOKUP(X417,Ptd_Mtr!$A:$B,2,FALSE),0)</f>
        <v>0</v>
      </c>
      <c r="Z417" s="277">
        <f t="shared" si="21"/>
        <v>0</v>
      </c>
      <c r="AA417" s="275"/>
      <c r="AB417" s="276">
        <f>_xlfn.IFNA(VLOOKUP(AA417,Ptd_Mtr!$A:$B,2,FALSE),0)</f>
        <v>0</v>
      </c>
      <c r="AC417" s="277">
        <f t="shared" si="22"/>
        <v>0</v>
      </c>
      <c r="AD417" s="275"/>
      <c r="AE417" s="276">
        <f>_xlfn.IFNA(VLOOKUP(AD417,Ptd_Mtr!$A:$B,2,FALSE),0)</f>
        <v>0</v>
      </c>
      <c r="AF417" s="277">
        <f t="shared" si="23"/>
        <v>0</v>
      </c>
      <c r="AG417" s="275"/>
      <c r="AH417" s="276">
        <f>_xlfn.IFNA(VLOOKUP(AG417,Ptd_Mtr!$A:$B,2,FALSE),0)</f>
        <v>0</v>
      </c>
      <c r="AI417" s="277">
        <f t="shared" si="24"/>
        <v>0</v>
      </c>
      <c r="AJ417" s="275"/>
      <c r="AK417" s="276">
        <f>_xlfn.IFNA(VLOOKUP(AJ417,Ptd_Mtr!$A:$B,2,FALSE),0)</f>
        <v>0</v>
      </c>
      <c r="AL417" s="277">
        <f t="shared" si="25"/>
        <v>0</v>
      </c>
      <c r="AM417" s="275"/>
      <c r="AN417" s="276">
        <f>_xlfn.IFNA(VLOOKUP(AM417,Ptd_Mtr!$A:$B,2,FALSE),0)</f>
        <v>0</v>
      </c>
      <c r="AO417" s="277">
        <f t="shared" si="26"/>
        <v>0</v>
      </c>
      <c r="AP417" s="275"/>
      <c r="AQ417" s="276">
        <f>_xlfn.IFNA(VLOOKUP(AP417,Ptd_Mtr!$A:$B,2,FALSE),0)</f>
        <v>0</v>
      </c>
      <c r="AR417" s="277">
        <f t="shared" si="27"/>
        <v>0</v>
      </c>
      <c r="AS417" s="275"/>
      <c r="AT417" s="276">
        <f>_xlfn.IFNA(VLOOKUP(AS417,Ptd_Mtr!$A:$B,2,FALSE),0)</f>
        <v>0</v>
      </c>
      <c r="AU417" s="277">
        <f t="shared" si="28"/>
        <v>0</v>
      </c>
      <c r="AV417" s="275"/>
      <c r="AW417" s="276">
        <f>_xlfn.IFNA(VLOOKUP(AV417,Ptd_Mtr!$A:$B,2,FALSE),0)</f>
        <v>0</v>
      </c>
      <c r="AX417" s="277">
        <f t="shared" si="29"/>
        <v>0</v>
      </c>
      <c r="AY417" s="275"/>
      <c r="AZ417" s="276">
        <f>_xlfn.IFNA(VLOOKUP(AY417,Ptd_Mtr!$A:$B,2,FALSE),0)</f>
        <v>0</v>
      </c>
      <c r="BA417" s="277">
        <f t="shared" si="30"/>
        <v>0</v>
      </c>
      <c r="BB417" s="275"/>
      <c r="BC417" s="276">
        <f>_xlfn.IFNA(VLOOKUP(BB417,Ptd_Mtr!$A:$B,2,FALSE),0)</f>
        <v>0</v>
      </c>
      <c r="BD417" s="277">
        <f t="shared" si="31"/>
        <v>0</v>
      </c>
      <c r="BE417" s="275"/>
      <c r="BF417" s="276">
        <f>_xlfn.IFNA(VLOOKUP(BE417,Ptd_Mtr!$A:$B,2,FALSE),0)</f>
        <v>0</v>
      </c>
      <c r="BG417" s="277">
        <f t="shared" si="32"/>
        <v>0</v>
      </c>
      <c r="BH417" s="275"/>
      <c r="BI417" s="276">
        <f>_xlfn.IFNA(VLOOKUP(BH417,Ptd_Mtr!$A:$B,2,FALSE),0)</f>
        <v>0</v>
      </c>
      <c r="BJ417" s="277">
        <f t="shared" si="33"/>
        <v>0</v>
      </c>
      <c r="BK417" s="275"/>
      <c r="BL417" s="276">
        <f>_xlfn.IFNA(VLOOKUP(BK417,Ptd_Mtr!$A:$B,2,FALSE),0)</f>
        <v>0</v>
      </c>
      <c r="BM417" s="277">
        <f t="shared" si="34"/>
        <v>0</v>
      </c>
      <c r="BN417" s="275"/>
      <c r="BO417" s="276">
        <f>_xlfn.IFNA(VLOOKUP(BN417,Ptd_Mtr!$A:$B,2,FALSE),0)</f>
        <v>0</v>
      </c>
      <c r="BP417" s="277">
        <f t="shared" si="35"/>
        <v>0</v>
      </c>
      <c r="BQ417" s="275">
        <f t="shared" si="36"/>
        <v>0</v>
      </c>
      <c r="BR417" s="278">
        <f t="shared" si="37"/>
        <v>0</v>
      </c>
      <c r="BS417" s="268"/>
      <c r="BT417" s="268"/>
    </row>
    <row r="418" spans="1:72">
      <c r="A418" s="142"/>
      <c r="B418" s="268"/>
      <c r="C418" s="268"/>
      <c r="D418" s="264">
        <f t="shared" si="13"/>
        <v>0</v>
      </c>
      <c r="E418" s="264">
        <f t="shared" si="14"/>
        <v>0</v>
      </c>
      <c r="F418" s="275"/>
      <c r="G418" s="276">
        <f>_xlfn.IFNA(VLOOKUP(F418,Ptd_Mtr!$A:$B,2,FALSE),0)</f>
        <v>0</v>
      </c>
      <c r="H418" s="277">
        <f t="shared" si="15"/>
        <v>0</v>
      </c>
      <c r="I418" s="275"/>
      <c r="J418" s="276">
        <f>_xlfn.IFNA(VLOOKUP(I418,Ptd_Mtr!$A:$B,2,FALSE),0)</f>
        <v>0</v>
      </c>
      <c r="K418" s="277">
        <f t="shared" si="16"/>
        <v>0</v>
      </c>
      <c r="L418" s="275"/>
      <c r="M418" s="276">
        <f>_xlfn.IFNA(VLOOKUP(L418,Ptd_Mtr!$A:$B,2,FALSE),0)</f>
        <v>0</v>
      </c>
      <c r="N418" s="277">
        <f t="shared" si="17"/>
        <v>0</v>
      </c>
      <c r="O418" s="275"/>
      <c r="P418" s="276">
        <f>_xlfn.IFNA(VLOOKUP(O418,Ptd_Mtr!$A:$B,2,FALSE),0)</f>
        <v>0</v>
      </c>
      <c r="Q418" s="277">
        <f t="shared" si="18"/>
        <v>0</v>
      </c>
      <c r="R418" s="275"/>
      <c r="S418" s="276">
        <f>_xlfn.IFNA(VLOOKUP(R418,Ptd_Mtr!$A:$B,2,FALSE),0)</f>
        <v>0</v>
      </c>
      <c r="T418" s="277">
        <f t="shared" si="19"/>
        <v>0</v>
      </c>
      <c r="U418" s="275"/>
      <c r="V418" s="276">
        <f>_xlfn.IFNA(VLOOKUP(U418,Ptd_Mtr!$A:$B,2,FALSE),0)</f>
        <v>0</v>
      </c>
      <c r="W418" s="277">
        <f t="shared" si="20"/>
        <v>0</v>
      </c>
      <c r="X418" s="275" t="s">
        <v>835</v>
      </c>
      <c r="Y418" s="276">
        <f>_xlfn.IFNA(VLOOKUP(X418,Ptd_Mtr!$A:$B,2,FALSE),0)</f>
        <v>0</v>
      </c>
      <c r="Z418" s="277">
        <f t="shared" si="21"/>
        <v>0</v>
      </c>
      <c r="AA418" s="275"/>
      <c r="AB418" s="276">
        <f>_xlfn.IFNA(VLOOKUP(AA418,Ptd_Mtr!$A:$B,2,FALSE),0)</f>
        <v>0</v>
      </c>
      <c r="AC418" s="277">
        <f t="shared" si="22"/>
        <v>0</v>
      </c>
      <c r="AD418" s="275"/>
      <c r="AE418" s="276">
        <f>_xlfn.IFNA(VLOOKUP(AD418,Ptd_Mtr!$A:$B,2,FALSE),0)</f>
        <v>0</v>
      </c>
      <c r="AF418" s="277">
        <f t="shared" si="23"/>
        <v>0</v>
      </c>
      <c r="AG418" s="275"/>
      <c r="AH418" s="276">
        <f>_xlfn.IFNA(VLOOKUP(AG418,Ptd_Mtr!$A:$B,2,FALSE),0)</f>
        <v>0</v>
      </c>
      <c r="AI418" s="277">
        <f t="shared" si="24"/>
        <v>0</v>
      </c>
      <c r="AJ418" s="275"/>
      <c r="AK418" s="276">
        <f>_xlfn.IFNA(VLOOKUP(AJ418,Ptd_Mtr!$A:$B,2,FALSE),0)</f>
        <v>0</v>
      </c>
      <c r="AL418" s="277">
        <f t="shared" si="25"/>
        <v>0</v>
      </c>
      <c r="AM418" s="275"/>
      <c r="AN418" s="276">
        <f>_xlfn.IFNA(VLOOKUP(AM418,Ptd_Mtr!$A:$B,2,FALSE),0)</f>
        <v>0</v>
      </c>
      <c r="AO418" s="277">
        <f t="shared" si="26"/>
        <v>0</v>
      </c>
      <c r="AP418" s="275"/>
      <c r="AQ418" s="276">
        <f>_xlfn.IFNA(VLOOKUP(AP418,Ptd_Mtr!$A:$B,2,FALSE),0)</f>
        <v>0</v>
      </c>
      <c r="AR418" s="277">
        <f t="shared" si="27"/>
        <v>0</v>
      </c>
      <c r="AS418" s="275"/>
      <c r="AT418" s="276">
        <f>_xlfn.IFNA(VLOOKUP(AS418,Ptd_Mtr!$A:$B,2,FALSE),0)</f>
        <v>0</v>
      </c>
      <c r="AU418" s="277">
        <f t="shared" si="28"/>
        <v>0</v>
      </c>
      <c r="AV418" s="275"/>
      <c r="AW418" s="276">
        <f>_xlfn.IFNA(VLOOKUP(AV418,Ptd_Mtr!$A:$B,2,FALSE),0)</f>
        <v>0</v>
      </c>
      <c r="AX418" s="277">
        <f t="shared" si="29"/>
        <v>0</v>
      </c>
      <c r="AY418" s="275"/>
      <c r="AZ418" s="276">
        <f>_xlfn.IFNA(VLOOKUP(AY418,Ptd_Mtr!$A:$B,2,FALSE),0)</f>
        <v>0</v>
      </c>
      <c r="BA418" s="277">
        <f t="shared" si="30"/>
        <v>0</v>
      </c>
      <c r="BB418" s="275"/>
      <c r="BC418" s="276">
        <f>_xlfn.IFNA(VLOOKUP(BB418,Ptd_Mtr!$A:$B,2,FALSE),0)</f>
        <v>0</v>
      </c>
      <c r="BD418" s="277">
        <f t="shared" si="31"/>
        <v>0</v>
      </c>
      <c r="BE418" s="275"/>
      <c r="BF418" s="276">
        <f>_xlfn.IFNA(VLOOKUP(BE418,Ptd_Mtr!$A:$B,2,FALSE),0)</f>
        <v>0</v>
      </c>
      <c r="BG418" s="277">
        <f t="shared" si="32"/>
        <v>0</v>
      </c>
      <c r="BH418" s="275"/>
      <c r="BI418" s="276">
        <f>_xlfn.IFNA(VLOOKUP(BH418,Ptd_Mtr!$A:$B,2,FALSE),0)</f>
        <v>0</v>
      </c>
      <c r="BJ418" s="277">
        <f t="shared" si="33"/>
        <v>0</v>
      </c>
      <c r="BK418" s="275"/>
      <c r="BL418" s="276">
        <f>_xlfn.IFNA(VLOOKUP(BK418,Ptd_Mtr!$A:$B,2,FALSE),0)</f>
        <v>0</v>
      </c>
      <c r="BM418" s="277">
        <f t="shared" si="34"/>
        <v>0</v>
      </c>
      <c r="BN418" s="275"/>
      <c r="BO418" s="276">
        <f>_xlfn.IFNA(VLOOKUP(BN418,Ptd_Mtr!$A:$B,2,FALSE),0)</f>
        <v>0</v>
      </c>
      <c r="BP418" s="277">
        <f t="shared" si="35"/>
        <v>0</v>
      </c>
      <c r="BQ418" s="275">
        <f t="shared" si="36"/>
        <v>0</v>
      </c>
      <c r="BR418" s="278">
        <f t="shared" si="37"/>
        <v>0</v>
      </c>
      <c r="BS418" s="268"/>
      <c r="BT418" s="268"/>
    </row>
    <row r="419" spans="1:72">
      <c r="A419" s="142"/>
      <c r="B419" s="268"/>
      <c r="C419" s="268"/>
      <c r="D419" s="264">
        <f t="shared" si="13"/>
        <v>0</v>
      </c>
      <c r="E419" s="264">
        <f t="shared" si="14"/>
        <v>0</v>
      </c>
      <c r="F419" s="275"/>
      <c r="G419" s="276">
        <f>_xlfn.IFNA(VLOOKUP(F419,Ptd_Mtr!$A:$B,2,FALSE),0)</f>
        <v>0</v>
      </c>
      <c r="H419" s="277">
        <f t="shared" si="15"/>
        <v>0</v>
      </c>
      <c r="I419" s="275"/>
      <c r="J419" s="276">
        <f>_xlfn.IFNA(VLOOKUP(I419,Ptd_Mtr!$A:$B,2,FALSE),0)</f>
        <v>0</v>
      </c>
      <c r="K419" s="277">
        <f t="shared" si="16"/>
        <v>0</v>
      </c>
      <c r="L419" s="275"/>
      <c r="M419" s="276">
        <f>_xlfn.IFNA(VLOOKUP(L419,Ptd_Mtr!$A:$B,2,FALSE),0)</f>
        <v>0</v>
      </c>
      <c r="N419" s="277">
        <f t="shared" si="17"/>
        <v>0</v>
      </c>
      <c r="O419" s="275"/>
      <c r="P419" s="276">
        <f>_xlfn.IFNA(VLOOKUP(O419,Ptd_Mtr!$A:$B,2,FALSE),0)</f>
        <v>0</v>
      </c>
      <c r="Q419" s="277">
        <f t="shared" si="18"/>
        <v>0</v>
      </c>
      <c r="R419" s="275"/>
      <c r="S419" s="276">
        <f>_xlfn.IFNA(VLOOKUP(R419,Ptd_Mtr!$A:$B,2,FALSE),0)</f>
        <v>0</v>
      </c>
      <c r="T419" s="277">
        <f t="shared" si="19"/>
        <v>0</v>
      </c>
      <c r="U419" s="275"/>
      <c r="V419" s="276">
        <f>_xlfn.IFNA(VLOOKUP(U419,Ptd_Mtr!$A:$B,2,FALSE),0)</f>
        <v>0</v>
      </c>
      <c r="W419" s="277">
        <f t="shared" si="20"/>
        <v>0</v>
      </c>
      <c r="X419" s="275" t="s">
        <v>835</v>
      </c>
      <c r="Y419" s="276">
        <f>_xlfn.IFNA(VLOOKUP(X419,Ptd_Mtr!$A:$B,2,FALSE),0)</f>
        <v>0</v>
      </c>
      <c r="Z419" s="277">
        <f t="shared" si="21"/>
        <v>0</v>
      </c>
      <c r="AA419" s="275"/>
      <c r="AB419" s="276">
        <f>_xlfn.IFNA(VLOOKUP(AA419,Ptd_Mtr!$A:$B,2,FALSE),0)</f>
        <v>0</v>
      </c>
      <c r="AC419" s="277">
        <f t="shared" si="22"/>
        <v>0</v>
      </c>
      <c r="AD419" s="275"/>
      <c r="AE419" s="276">
        <f>_xlfn.IFNA(VLOOKUP(AD419,Ptd_Mtr!$A:$B,2,FALSE),0)</f>
        <v>0</v>
      </c>
      <c r="AF419" s="277">
        <f t="shared" si="23"/>
        <v>0</v>
      </c>
      <c r="AG419" s="275"/>
      <c r="AH419" s="276">
        <f>_xlfn.IFNA(VLOOKUP(AG419,Ptd_Mtr!$A:$B,2,FALSE),0)</f>
        <v>0</v>
      </c>
      <c r="AI419" s="277">
        <f t="shared" si="24"/>
        <v>0</v>
      </c>
      <c r="AJ419" s="275"/>
      <c r="AK419" s="276">
        <f>_xlfn.IFNA(VLOOKUP(AJ419,Ptd_Mtr!$A:$B,2,FALSE),0)</f>
        <v>0</v>
      </c>
      <c r="AL419" s="277">
        <f t="shared" si="25"/>
        <v>0</v>
      </c>
      <c r="AM419" s="275"/>
      <c r="AN419" s="276">
        <f>_xlfn.IFNA(VLOOKUP(AM419,Ptd_Mtr!$A:$B,2,FALSE),0)</f>
        <v>0</v>
      </c>
      <c r="AO419" s="277">
        <f t="shared" si="26"/>
        <v>0</v>
      </c>
      <c r="AP419" s="275"/>
      <c r="AQ419" s="276">
        <f>_xlfn.IFNA(VLOOKUP(AP419,Ptd_Mtr!$A:$B,2,FALSE),0)</f>
        <v>0</v>
      </c>
      <c r="AR419" s="277">
        <f t="shared" si="27"/>
        <v>0</v>
      </c>
      <c r="AS419" s="275"/>
      <c r="AT419" s="276">
        <f>_xlfn.IFNA(VLOOKUP(AS419,Ptd_Mtr!$A:$B,2,FALSE),0)</f>
        <v>0</v>
      </c>
      <c r="AU419" s="277">
        <f t="shared" si="28"/>
        <v>0</v>
      </c>
      <c r="AV419" s="275"/>
      <c r="AW419" s="276">
        <f>_xlfn.IFNA(VLOOKUP(AV419,Ptd_Mtr!$A:$B,2,FALSE),0)</f>
        <v>0</v>
      </c>
      <c r="AX419" s="277">
        <f t="shared" si="29"/>
        <v>0</v>
      </c>
      <c r="AY419" s="275"/>
      <c r="AZ419" s="276">
        <f>_xlfn.IFNA(VLOOKUP(AY419,Ptd_Mtr!$A:$B,2,FALSE),0)</f>
        <v>0</v>
      </c>
      <c r="BA419" s="277">
        <f t="shared" si="30"/>
        <v>0</v>
      </c>
      <c r="BB419" s="275"/>
      <c r="BC419" s="276">
        <f>_xlfn.IFNA(VLOOKUP(BB419,Ptd_Mtr!$A:$B,2,FALSE),0)</f>
        <v>0</v>
      </c>
      <c r="BD419" s="277">
        <f t="shared" si="31"/>
        <v>0</v>
      </c>
      <c r="BE419" s="275"/>
      <c r="BF419" s="276">
        <f>_xlfn.IFNA(VLOOKUP(BE419,Ptd_Mtr!$A:$B,2,FALSE),0)</f>
        <v>0</v>
      </c>
      <c r="BG419" s="277">
        <f t="shared" si="32"/>
        <v>0</v>
      </c>
      <c r="BH419" s="275"/>
      <c r="BI419" s="276">
        <f>_xlfn.IFNA(VLOOKUP(BH419,Ptd_Mtr!$A:$B,2,FALSE),0)</f>
        <v>0</v>
      </c>
      <c r="BJ419" s="277">
        <f t="shared" si="33"/>
        <v>0</v>
      </c>
      <c r="BK419" s="275"/>
      <c r="BL419" s="276">
        <f>_xlfn.IFNA(VLOOKUP(BK419,Ptd_Mtr!$A:$B,2,FALSE),0)</f>
        <v>0</v>
      </c>
      <c r="BM419" s="277">
        <f t="shared" si="34"/>
        <v>0</v>
      </c>
      <c r="BN419" s="275"/>
      <c r="BO419" s="276">
        <f>_xlfn.IFNA(VLOOKUP(BN419,Ptd_Mtr!$A:$B,2,FALSE),0)</f>
        <v>0</v>
      </c>
      <c r="BP419" s="277">
        <f t="shared" si="35"/>
        <v>0</v>
      </c>
      <c r="BQ419" s="275">
        <f t="shared" si="36"/>
        <v>0</v>
      </c>
      <c r="BR419" s="278">
        <f t="shared" si="37"/>
        <v>0</v>
      </c>
      <c r="BS419" s="268"/>
      <c r="BT419" s="268"/>
    </row>
    <row r="420" spans="1:72">
      <c r="A420" s="142"/>
      <c r="B420" s="268"/>
      <c r="C420" s="268"/>
      <c r="D420" s="264">
        <f>IF(F420&lt;&gt;"",B420-BQ420,0)</f>
        <v>0</v>
      </c>
      <c r="E420" s="264">
        <f t="shared" si="14"/>
        <v>0</v>
      </c>
      <c r="F420" s="275"/>
      <c r="G420" s="276">
        <f>_xlfn.IFNA(VLOOKUP(F420,Ptd_Mtr!$A:$B,2,FALSE),0)</f>
        <v>0</v>
      </c>
      <c r="H420" s="277">
        <f t="shared" si="15"/>
        <v>0</v>
      </c>
      <c r="I420" s="275"/>
      <c r="J420" s="276">
        <f>_xlfn.IFNA(VLOOKUP(I420,Ptd_Mtr!$A:$B,2,FALSE),0)</f>
        <v>0</v>
      </c>
      <c r="K420" s="277">
        <f t="shared" si="16"/>
        <v>0</v>
      </c>
      <c r="L420" s="275"/>
      <c r="M420" s="276">
        <f>_xlfn.IFNA(VLOOKUP(L420,Ptd_Mtr!$A:$B,2,FALSE),0)</f>
        <v>0</v>
      </c>
      <c r="N420" s="277">
        <f t="shared" si="17"/>
        <v>0</v>
      </c>
      <c r="O420" s="275"/>
      <c r="P420" s="276">
        <f>_xlfn.IFNA(VLOOKUP(O420,Ptd_Mtr!$A:$B,2,FALSE),0)</f>
        <v>0</v>
      </c>
      <c r="Q420" s="277">
        <f t="shared" si="18"/>
        <v>0</v>
      </c>
      <c r="R420" s="275"/>
      <c r="S420" s="276">
        <f>_xlfn.IFNA(VLOOKUP(R420,Ptd_Mtr!$A:$B,2,FALSE),0)</f>
        <v>0</v>
      </c>
      <c r="T420" s="277">
        <f t="shared" si="19"/>
        <v>0</v>
      </c>
      <c r="U420" s="275"/>
      <c r="V420" s="276">
        <f>_xlfn.IFNA(VLOOKUP(U420,Ptd_Mtr!$A:$B,2,FALSE),0)</f>
        <v>0</v>
      </c>
      <c r="W420" s="277">
        <f t="shared" si="20"/>
        <v>0</v>
      </c>
      <c r="X420" s="275" t="s">
        <v>835</v>
      </c>
      <c r="Y420" s="276">
        <f>_xlfn.IFNA(VLOOKUP(X420,Ptd_Mtr!$A:$B,2,FALSE),0)</f>
        <v>0</v>
      </c>
      <c r="Z420" s="277">
        <f t="shared" si="21"/>
        <v>0</v>
      </c>
      <c r="AA420" s="275"/>
      <c r="AB420" s="276">
        <f>_xlfn.IFNA(VLOOKUP(AA420,Ptd_Mtr!$A:$B,2,FALSE),0)</f>
        <v>0</v>
      </c>
      <c r="AC420" s="277">
        <f t="shared" si="22"/>
        <v>0</v>
      </c>
      <c r="AD420" s="275"/>
      <c r="AE420" s="276">
        <f>_xlfn.IFNA(VLOOKUP(AD420,Ptd_Mtr!$A:$B,2,FALSE),0)</f>
        <v>0</v>
      </c>
      <c r="AF420" s="277">
        <f t="shared" si="23"/>
        <v>0</v>
      </c>
      <c r="AG420" s="275"/>
      <c r="AH420" s="276">
        <f>_xlfn.IFNA(VLOOKUP(AG420,Ptd_Mtr!$A:$B,2,FALSE),0)</f>
        <v>0</v>
      </c>
      <c r="AI420" s="277">
        <f t="shared" si="24"/>
        <v>0</v>
      </c>
      <c r="AJ420" s="275"/>
      <c r="AK420" s="276">
        <f>_xlfn.IFNA(VLOOKUP(AJ420,Ptd_Mtr!$A:$B,2,FALSE),0)</f>
        <v>0</v>
      </c>
      <c r="AL420" s="277">
        <f t="shared" si="25"/>
        <v>0</v>
      </c>
      <c r="AM420" s="275"/>
      <c r="AN420" s="276">
        <f>_xlfn.IFNA(VLOOKUP(AM420,Ptd_Mtr!$A:$B,2,FALSE),0)</f>
        <v>0</v>
      </c>
      <c r="AO420" s="277">
        <f t="shared" si="26"/>
        <v>0</v>
      </c>
      <c r="AP420" s="275"/>
      <c r="AQ420" s="276">
        <f>_xlfn.IFNA(VLOOKUP(AP420,Ptd_Mtr!$A:$B,2,FALSE),0)</f>
        <v>0</v>
      </c>
      <c r="AR420" s="277">
        <f t="shared" si="27"/>
        <v>0</v>
      </c>
      <c r="AS420" s="275"/>
      <c r="AT420" s="276">
        <f>_xlfn.IFNA(VLOOKUP(AS420,Ptd_Mtr!$A:$B,2,FALSE),0)</f>
        <v>0</v>
      </c>
      <c r="AU420" s="277">
        <f t="shared" si="28"/>
        <v>0</v>
      </c>
      <c r="AV420" s="275"/>
      <c r="AW420" s="276">
        <f>_xlfn.IFNA(VLOOKUP(AV420,Ptd_Mtr!$A:$B,2,FALSE),0)</f>
        <v>0</v>
      </c>
      <c r="AX420" s="277">
        <f t="shared" si="29"/>
        <v>0</v>
      </c>
      <c r="AY420" s="275"/>
      <c r="AZ420" s="276">
        <f>_xlfn.IFNA(VLOOKUP(AY420,Ptd_Mtr!$A:$B,2,FALSE),0)</f>
        <v>0</v>
      </c>
      <c r="BA420" s="277">
        <f t="shared" si="30"/>
        <v>0</v>
      </c>
      <c r="BB420" s="275"/>
      <c r="BC420" s="276">
        <f>_xlfn.IFNA(VLOOKUP(BB420,Ptd_Mtr!$A:$B,2,FALSE),0)</f>
        <v>0</v>
      </c>
      <c r="BD420" s="277">
        <f t="shared" si="31"/>
        <v>0</v>
      </c>
      <c r="BE420" s="275"/>
      <c r="BF420" s="276">
        <f>_xlfn.IFNA(VLOOKUP(BE420,Ptd_Mtr!$A:$B,2,FALSE),0)</f>
        <v>0</v>
      </c>
      <c r="BG420" s="277">
        <f t="shared" si="32"/>
        <v>0</v>
      </c>
      <c r="BH420" s="275"/>
      <c r="BI420" s="276">
        <f>_xlfn.IFNA(VLOOKUP(BH420,Ptd_Mtr!$A:$B,2,FALSE),0)</f>
        <v>0</v>
      </c>
      <c r="BJ420" s="277">
        <f t="shared" si="33"/>
        <v>0</v>
      </c>
      <c r="BK420" s="275"/>
      <c r="BL420" s="276">
        <f>_xlfn.IFNA(VLOOKUP(BK420,Ptd_Mtr!$A:$B,2,FALSE),0)</f>
        <v>0</v>
      </c>
      <c r="BM420" s="277">
        <f t="shared" si="34"/>
        <v>0</v>
      </c>
      <c r="BN420" s="275"/>
      <c r="BO420" s="276">
        <f>_xlfn.IFNA(VLOOKUP(BN420,Ptd_Mtr!$A:$B,2,FALSE),0)</f>
        <v>0</v>
      </c>
      <c r="BP420" s="277">
        <f t="shared" si="35"/>
        <v>0</v>
      </c>
      <c r="BQ420" s="275">
        <f t="shared" si="36"/>
        <v>0</v>
      </c>
      <c r="BR420" s="278">
        <f t="shared" si="37"/>
        <v>0</v>
      </c>
      <c r="BS420" s="268"/>
      <c r="BT420" s="268"/>
    </row>
    <row r="421" spans="1:72">
      <c r="A421" s="142"/>
      <c r="B421" s="268"/>
      <c r="C421" s="268"/>
      <c r="D421" s="264">
        <f t="shared" si="13"/>
        <v>0</v>
      </c>
      <c r="E421" s="264">
        <f t="shared" si="14"/>
        <v>0</v>
      </c>
      <c r="F421" s="275"/>
      <c r="G421" s="276">
        <f>_xlfn.IFNA(VLOOKUP(F421,Ptd_Mtr!$A:$B,2,FALSE),0)</f>
        <v>0</v>
      </c>
      <c r="H421" s="277">
        <f t="shared" si="15"/>
        <v>0</v>
      </c>
      <c r="I421" s="275"/>
      <c r="J421" s="276">
        <f>_xlfn.IFNA(VLOOKUP(I421,Ptd_Mtr!$A:$B,2,FALSE),0)</f>
        <v>0</v>
      </c>
      <c r="K421" s="277">
        <f t="shared" si="16"/>
        <v>0</v>
      </c>
      <c r="L421" s="275"/>
      <c r="M421" s="276">
        <f>_xlfn.IFNA(VLOOKUP(L421,Ptd_Mtr!$A:$B,2,FALSE),0)</f>
        <v>0</v>
      </c>
      <c r="N421" s="277">
        <f t="shared" si="17"/>
        <v>0</v>
      </c>
      <c r="O421" s="275"/>
      <c r="P421" s="276">
        <f>_xlfn.IFNA(VLOOKUP(O421,Ptd_Mtr!$A:$B,2,FALSE),0)</f>
        <v>0</v>
      </c>
      <c r="Q421" s="277">
        <f t="shared" si="18"/>
        <v>0</v>
      </c>
      <c r="R421" s="275"/>
      <c r="S421" s="276">
        <f>_xlfn.IFNA(VLOOKUP(R421,Ptd_Mtr!$A:$B,2,FALSE),0)</f>
        <v>0</v>
      </c>
      <c r="T421" s="277">
        <f t="shared" si="19"/>
        <v>0</v>
      </c>
      <c r="U421" s="275"/>
      <c r="V421" s="276">
        <f>_xlfn.IFNA(VLOOKUP(U421,Ptd_Mtr!$A:$B,2,FALSE),0)</f>
        <v>0</v>
      </c>
      <c r="W421" s="277">
        <f t="shared" si="20"/>
        <v>0</v>
      </c>
      <c r="X421" s="275" t="s">
        <v>835</v>
      </c>
      <c r="Y421" s="276">
        <f>_xlfn.IFNA(VLOOKUP(X421,Ptd_Mtr!$A:$B,2,FALSE),0)</f>
        <v>0</v>
      </c>
      <c r="Z421" s="277">
        <f t="shared" si="21"/>
        <v>0</v>
      </c>
      <c r="AA421" s="275"/>
      <c r="AB421" s="276">
        <f>_xlfn.IFNA(VLOOKUP(AA421,Ptd_Mtr!$A:$B,2,FALSE),0)</f>
        <v>0</v>
      </c>
      <c r="AC421" s="277">
        <f t="shared" si="22"/>
        <v>0</v>
      </c>
      <c r="AD421" s="275"/>
      <c r="AE421" s="276">
        <f>_xlfn.IFNA(VLOOKUP(AD421,Ptd_Mtr!$A:$B,2,FALSE),0)</f>
        <v>0</v>
      </c>
      <c r="AF421" s="277">
        <f t="shared" si="23"/>
        <v>0</v>
      </c>
      <c r="AG421" s="275"/>
      <c r="AH421" s="276">
        <f>_xlfn.IFNA(VLOOKUP(AG421,Ptd_Mtr!$A:$B,2,FALSE),0)</f>
        <v>0</v>
      </c>
      <c r="AI421" s="277">
        <f t="shared" si="24"/>
        <v>0</v>
      </c>
      <c r="AJ421" s="275"/>
      <c r="AK421" s="276">
        <f>_xlfn.IFNA(VLOOKUP(AJ421,Ptd_Mtr!$A:$B,2,FALSE),0)</f>
        <v>0</v>
      </c>
      <c r="AL421" s="277">
        <f t="shared" si="25"/>
        <v>0</v>
      </c>
      <c r="AM421" s="275"/>
      <c r="AN421" s="276">
        <f>_xlfn.IFNA(VLOOKUP(AM421,Ptd_Mtr!$A:$B,2,FALSE),0)</f>
        <v>0</v>
      </c>
      <c r="AO421" s="277">
        <f t="shared" si="26"/>
        <v>0</v>
      </c>
      <c r="AP421" s="275"/>
      <c r="AQ421" s="276">
        <f>_xlfn.IFNA(VLOOKUP(AP421,Ptd_Mtr!$A:$B,2,FALSE),0)</f>
        <v>0</v>
      </c>
      <c r="AR421" s="277">
        <f t="shared" si="27"/>
        <v>0</v>
      </c>
      <c r="AS421" s="275"/>
      <c r="AT421" s="276">
        <f>_xlfn.IFNA(VLOOKUP(AS421,Ptd_Mtr!$A:$B,2,FALSE),0)</f>
        <v>0</v>
      </c>
      <c r="AU421" s="277">
        <f t="shared" si="28"/>
        <v>0</v>
      </c>
      <c r="AV421" s="275"/>
      <c r="AW421" s="276">
        <f>_xlfn.IFNA(VLOOKUP(AV421,Ptd_Mtr!$A:$B,2,FALSE),0)</f>
        <v>0</v>
      </c>
      <c r="AX421" s="277">
        <f t="shared" si="29"/>
        <v>0</v>
      </c>
      <c r="AY421" s="275"/>
      <c r="AZ421" s="276">
        <f>_xlfn.IFNA(VLOOKUP(AY421,Ptd_Mtr!$A:$B,2,FALSE),0)</f>
        <v>0</v>
      </c>
      <c r="BA421" s="277">
        <f t="shared" si="30"/>
        <v>0</v>
      </c>
      <c r="BB421" s="275"/>
      <c r="BC421" s="276">
        <f>_xlfn.IFNA(VLOOKUP(BB421,Ptd_Mtr!$A:$B,2,FALSE),0)</f>
        <v>0</v>
      </c>
      <c r="BD421" s="277">
        <f t="shared" si="31"/>
        <v>0</v>
      </c>
      <c r="BE421" s="275"/>
      <c r="BF421" s="276">
        <f>_xlfn.IFNA(VLOOKUP(BE421,Ptd_Mtr!$A:$B,2,FALSE),0)</f>
        <v>0</v>
      </c>
      <c r="BG421" s="277">
        <f t="shared" si="32"/>
        <v>0</v>
      </c>
      <c r="BH421" s="275"/>
      <c r="BI421" s="276">
        <f>_xlfn.IFNA(VLOOKUP(BH421,Ptd_Mtr!$A:$B,2,FALSE),0)</f>
        <v>0</v>
      </c>
      <c r="BJ421" s="277">
        <f t="shared" si="33"/>
        <v>0</v>
      </c>
      <c r="BK421" s="275"/>
      <c r="BL421" s="276">
        <f>_xlfn.IFNA(VLOOKUP(BK421,Ptd_Mtr!$A:$B,2,FALSE),0)</f>
        <v>0</v>
      </c>
      <c r="BM421" s="277">
        <f t="shared" si="34"/>
        <v>0</v>
      </c>
      <c r="BN421" s="275"/>
      <c r="BO421" s="276">
        <f>_xlfn.IFNA(VLOOKUP(BN421,Ptd_Mtr!$A:$B,2,FALSE),0)</f>
        <v>0</v>
      </c>
      <c r="BP421" s="277">
        <f t="shared" si="35"/>
        <v>0</v>
      </c>
      <c r="BQ421" s="275">
        <f t="shared" si="36"/>
        <v>0</v>
      </c>
      <c r="BR421" s="278">
        <f t="shared" si="37"/>
        <v>0</v>
      </c>
      <c r="BS421" s="268"/>
      <c r="BT421" s="268"/>
    </row>
    <row r="422" spans="1:72">
      <c r="A422" s="142"/>
      <c r="B422" s="268"/>
      <c r="C422" s="268"/>
      <c r="D422" s="264">
        <f t="shared" si="13"/>
        <v>0</v>
      </c>
      <c r="E422" s="264">
        <f t="shared" si="14"/>
        <v>0</v>
      </c>
      <c r="F422" s="275"/>
      <c r="G422" s="276">
        <f>_xlfn.IFNA(VLOOKUP(F422,Ptd_Mtr!$A:$B,2,FALSE),0)</f>
        <v>0</v>
      </c>
      <c r="H422" s="277">
        <f t="shared" si="15"/>
        <v>0</v>
      </c>
      <c r="I422" s="275"/>
      <c r="J422" s="276">
        <f>_xlfn.IFNA(VLOOKUP(I422,Ptd_Mtr!$A:$B,2,FALSE),0)</f>
        <v>0</v>
      </c>
      <c r="K422" s="277">
        <f t="shared" si="16"/>
        <v>0</v>
      </c>
      <c r="L422" s="275"/>
      <c r="M422" s="276">
        <f>_xlfn.IFNA(VLOOKUP(L422,Ptd_Mtr!$A:$B,2,FALSE),0)</f>
        <v>0</v>
      </c>
      <c r="N422" s="277">
        <f t="shared" si="17"/>
        <v>0</v>
      </c>
      <c r="O422" s="275"/>
      <c r="P422" s="276">
        <f>_xlfn.IFNA(VLOOKUP(O422,Ptd_Mtr!$A:$B,2,FALSE),0)</f>
        <v>0</v>
      </c>
      <c r="Q422" s="277">
        <f t="shared" si="18"/>
        <v>0</v>
      </c>
      <c r="R422" s="275"/>
      <c r="S422" s="276">
        <f>_xlfn.IFNA(VLOOKUP(R422,Ptd_Mtr!$A:$B,2,FALSE),0)</f>
        <v>0</v>
      </c>
      <c r="T422" s="277">
        <f t="shared" si="19"/>
        <v>0</v>
      </c>
      <c r="U422" s="275"/>
      <c r="V422" s="276">
        <f>_xlfn.IFNA(VLOOKUP(U422,Ptd_Mtr!$A:$B,2,FALSE),0)</f>
        <v>0</v>
      </c>
      <c r="W422" s="277">
        <f t="shared" si="20"/>
        <v>0</v>
      </c>
      <c r="X422" s="275" t="s">
        <v>835</v>
      </c>
      <c r="Y422" s="276">
        <f>_xlfn.IFNA(VLOOKUP(X422,Ptd_Mtr!$A:$B,2,FALSE),0)</f>
        <v>0</v>
      </c>
      <c r="Z422" s="277">
        <f t="shared" si="21"/>
        <v>0</v>
      </c>
      <c r="AA422" s="275"/>
      <c r="AB422" s="276">
        <f>_xlfn.IFNA(VLOOKUP(AA422,Ptd_Mtr!$A:$B,2,FALSE),0)</f>
        <v>0</v>
      </c>
      <c r="AC422" s="277">
        <f t="shared" si="22"/>
        <v>0</v>
      </c>
      <c r="AD422" s="275"/>
      <c r="AE422" s="276">
        <f>_xlfn.IFNA(VLOOKUP(AD422,Ptd_Mtr!$A:$B,2,FALSE),0)</f>
        <v>0</v>
      </c>
      <c r="AF422" s="277">
        <f t="shared" si="23"/>
        <v>0</v>
      </c>
      <c r="AG422" s="275"/>
      <c r="AH422" s="276">
        <f>_xlfn.IFNA(VLOOKUP(AG422,Ptd_Mtr!$A:$B,2,FALSE),0)</f>
        <v>0</v>
      </c>
      <c r="AI422" s="277">
        <f t="shared" si="24"/>
        <v>0</v>
      </c>
      <c r="AJ422" s="275"/>
      <c r="AK422" s="276">
        <f>_xlfn.IFNA(VLOOKUP(AJ422,Ptd_Mtr!$A:$B,2,FALSE),0)</f>
        <v>0</v>
      </c>
      <c r="AL422" s="277">
        <f t="shared" si="25"/>
        <v>0</v>
      </c>
      <c r="AM422" s="275"/>
      <c r="AN422" s="276">
        <f>_xlfn.IFNA(VLOOKUP(AM422,Ptd_Mtr!$A:$B,2,FALSE),0)</f>
        <v>0</v>
      </c>
      <c r="AO422" s="277">
        <f t="shared" si="26"/>
        <v>0</v>
      </c>
      <c r="AP422" s="275"/>
      <c r="AQ422" s="276">
        <f>_xlfn.IFNA(VLOOKUP(AP422,Ptd_Mtr!$A:$B,2,FALSE),0)</f>
        <v>0</v>
      </c>
      <c r="AR422" s="277">
        <f t="shared" si="27"/>
        <v>0</v>
      </c>
      <c r="AS422" s="275"/>
      <c r="AT422" s="276">
        <f>_xlfn.IFNA(VLOOKUP(AS422,Ptd_Mtr!$A:$B,2,FALSE),0)</f>
        <v>0</v>
      </c>
      <c r="AU422" s="277">
        <f t="shared" si="28"/>
        <v>0</v>
      </c>
      <c r="AV422" s="275"/>
      <c r="AW422" s="276">
        <f>_xlfn.IFNA(VLOOKUP(AV422,Ptd_Mtr!$A:$B,2,FALSE),0)</f>
        <v>0</v>
      </c>
      <c r="AX422" s="277">
        <f t="shared" si="29"/>
        <v>0</v>
      </c>
      <c r="AY422" s="275"/>
      <c r="AZ422" s="276">
        <f>_xlfn.IFNA(VLOOKUP(AY422,Ptd_Mtr!$A:$B,2,FALSE),0)</f>
        <v>0</v>
      </c>
      <c r="BA422" s="277">
        <f t="shared" si="30"/>
        <v>0</v>
      </c>
      <c r="BB422" s="275"/>
      <c r="BC422" s="276">
        <f>_xlfn.IFNA(VLOOKUP(BB422,Ptd_Mtr!$A:$B,2,FALSE),0)</f>
        <v>0</v>
      </c>
      <c r="BD422" s="277">
        <f t="shared" si="31"/>
        <v>0</v>
      </c>
      <c r="BE422" s="275"/>
      <c r="BF422" s="276">
        <f>_xlfn.IFNA(VLOOKUP(BE422,Ptd_Mtr!$A:$B,2,FALSE),0)</f>
        <v>0</v>
      </c>
      <c r="BG422" s="277">
        <f t="shared" si="32"/>
        <v>0</v>
      </c>
      <c r="BH422" s="275"/>
      <c r="BI422" s="276">
        <f>_xlfn.IFNA(VLOOKUP(BH422,Ptd_Mtr!$A:$B,2,FALSE),0)</f>
        <v>0</v>
      </c>
      <c r="BJ422" s="277">
        <f t="shared" si="33"/>
        <v>0</v>
      </c>
      <c r="BK422" s="275"/>
      <c r="BL422" s="276">
        <f>_xlfn.IFNA(VLOOKUP(BK422,Ptd_Mtr!$A:$B,2,FALSE),0)</f>
        <v>0</v>
      </c>
      <c r="BM422" s="277">
        <f t="shared" si="34"/>
        <v>0</v>
      </c>
      <c r="BN422" s="275"/>
      <c r="BO422" s="276">
        <f>_xlfn.IFNA(VLOOKUP(BN422,Ptd_Mtr!$A:$B,2,FALSE),0)</f>
        <v>0</v>
      </c>
      <c r="BP422" s="277">
        <f t="shared" si="35"/>
        <v>0</v>
      </c>
      <c r="BQ422" s="275">
        <f t="shared" si="36"/>
        <v>0</v>
      </c>
      <c r="BR422" s="278">
        <f t="shared" si="37"/>
        <v>0</v>
      </c>
      <c r="BS422" s="268"/>
      <c r="BT422" s="268"/>
    </row>
    <row r="423" spans="1:72">
      <c r="A423" s="142"/>
      <c r="B423" s="268"/>
      <c r="C423" s="268"/>
      <c r="D423" s="264">
        <f t="shared" si="13"/>
        <v>0</v>
      </c>
      <c r="E423" s="264">
        <f t="shared" si="14"/>
        <v>0</v>
      </c>
      <c r="F423" s="275"/>
      <c r="G423" s="276">
        <f>_xlfn.IFNA(VLOOKUP(F423,Ptd_Mtr!$A:$B,2,FALSE),0)</f>
        <v>0</v>
      </c>
      <c r="H423" s="277">
        <f t="shared" si="15"/>
        <v>0</v>
      </c>
      <c r="I423" s="275"/>
      <c r="J423" s="276">
        <f>_xlfn.IFNA(VLOOKUP(I423,Ptd_Mtr!$A:$B,2,FALSE),0)</f>
        <v>0</v>
      </c>
      <c r="K423" s="277">
        <f t="shared" si="16"/>
        <v>0</v>
      </c>
      <c r="L423" s="275"/>
      <c r="M423" s="276">
        <f>_xlfn.IFNA(VLOOKUP(L423,Ptd_Mtr!$A:$B,2,FALSE),0)</f>
        <v>0</v>
      </c>
      <c r="N423" s="277">
        <f t="shared" si="17"/>
        <v>0</v>
      </c>
      <c r="O423" s="275"/>
      <c r="P423" s="276">
        <f>_xlfn.IFNA(VLOOKUP(O423,Ptd_Mtr!$A:$B,2,FALSE),0)</f>
        <v>0</v>
      </c>
      <c r="Q423" s="277">
        <f t="shared" si="18"/>
        <v>0</v>
      </c>
      <c r="R423" s="275"/>
      <c r="S423" s="276">
        <f>_xlfn.IFNA(VLOOKUP(R423,Ptd_Mtr!$A:$B,2,FALSE),0)</f>
        <v>0</v>
      </c>
      <c r="T423" s="277">
        <f t="shared" si="19"/>
        <v>0</v>
      </c>
      <c r="U423" s="275"/>
      <c r="V423" s="276">
        <f>_xlfn.IFNA(VLOOKUP(U423,Ptd_Mtr!$A:$B,2,FALSE),0)</f>
        <v>0</v>
      </c>
      <c r="W423" s="277">
        <f t="shared" si="20"/>
        <v>0</v>
      </c>
      <c r="X423" s="275" t="s">
        <v>835</v>
      </c>
      <c r="Y423" s="276">
        <f>_xlfn.IFNA(VLOOKUP(X423,Ptd_Mtr!$A:$B,2,FALSE),0)</f>
        <v>0</v>
      </c>
      <c r="Z423" s="277">
        <f t="shared" si="21"/>
        <v>0</v>
      </c>
      <c r="AA423" s="275"/>
      <c r="AB423" s="276">
        <f>_xlfn.IFNA(VLOOKUP(AA423,Ptd_Mtr!$A:$B,2,FALSE),0)</f>
        <v>0</v>
      </c>
      <c r="AC423" s="277">
        <f t="shared" si="22"/>
        <v>0</v>
      </c>
      <c r="AD423" s="275"/>
      <c r="AE423" s="276">
        <f>_xlfn.IFNA(VLOOKUP(AD423,Ptd_Mtr!$A:$B,2,FALSE),0)</f>
        <v>0</v>
      </c>
      <c r="AF423" s="277">
        <f t="shared" si="23"/>
        <v>0</v>
      </c>
      <c r="AG423" s="275"/>
      <c r="AH423" s="276">
        <f>_xlfn.IFNA(VLOOKUP(AG423,Ptd_Mtr!$A:$B,2,FALSE),0)</f>
        <v>0</v>
      </c>
      <c r="AI423" s="277">
        <f t="shared" si="24"/>
        <v>0</v>
      </c>
      <c r="AJ423" s="275"/>
      <c r="AK423" s="276">
        <f>_xlfn.IFNA(VLOOKUP(AJ423,Ptd_Mtr!$A:$B,2,FALSE),0)</f>
        <v>0</v>
      </c>
      <c r="AL423" s="277">
        <f t="shared" si="25"/>
        <v>0</v>
      </c>
      <c r="AM423" s="275"/>
      <c r="AN423" s="276">
        <f>_xlfn.IFNA(VLOOKUP(AM423,Ptd_Mtr!$A:$B,2,FALSE),0)</f>
        <v>0</v>
      </c>
      <c r="AO423" s="277">
        <f t="shared" si="26"/>
        <v>0</v>
      </c>
      <c r="AP423" s="275"/>
      <c r="AQ423" s="276">
        <f>_xlfn.IFNA(VLOOKUP(AP423,Ptd_Mtr!$A:$B,2,FALSE),0)</f>
        <v>0</v>
      </c>
      <c r="AR423" s="277">
        <f t="shared" si="27"/>
        <v>0</v>
      </c>
      <c r="AS423" s="275"/>
      <c r="AT423" s="276">
        <f>_xlfn.IFNA(VLOOKUP(AS423,Ptd_Mtr!$A:$B,2,FALSE),0)</f>
        <v>0</v>
      </c>
      <c r="AU423" s="277">
        <f t="shared" si="28"/>
        <v>0</v>
      </c>
      <c r="AV423" s="275"/>
      <c r="AW423" s="276">
        <f>_xlfn.IFNA(VLOOKUP(AV423,Ptd_Mtr!$A:$B,2,FALSE),0)</f>
        <v>0</v>
      </c>
      <c r="AX423" s="277">
        <f t="shared" si="29"/>
        <v>0</v>
      </c>
      <c r="AY423" s="275"/>
      <c r="AZ423" s="276">
        <f>_xlfn.IFNA(VLOOKUP(AY423,Ptd_Mtr!$A:$B,2,FALSE),0)</f>
        <v>0</v>
      </c>
      <c r="BA423" s="277">
        <f t="shared" si="30"/>
        <v>0</v>
      </c>
      <c r="BB423" s="275"/>
      <c r="BC423" s="276">
        <f>_xlfn.IFNA(VLOOKUP(BB423,Ptd_Mtr!$A:$B,2,FALSE),0)</f>
        <v>0</v>
      </c>
      <c r="BD423" s="277">
        <f t="shared" si="31"/>
        <v>0</v>
      </c>
      <c r="BE423" s="275"/>
      <c r="BF423" s="276">
        <f>_xlfn.IFNA(VLOOKUP(BE423,Ptd_Mtr!$A:$B,2,FALSE),0)</f>
        <v>0</v>
      </c>
      <c r="BG423" s="277">
        <f t="shared" si="32"/>
        <v>0</v>
      </c>
      <c r="BH423" s="275"/>
      <c r="BI423" s="276">
        <f>_xlfn.IFNA(VLOOKUP(BH423,Ptd_Mtr!$A:$B,2,FALSE),0)</f>
        <v>0</v>
      </c>
      <c r="BJ423" s="277">
        <f t="shared" si="33"/>
        <v>0</v>
      </c>
      <c r="BK423" s="275"/>
      <c r="BL423" s="276">
        <f>_xlfn.IFNA(VLOOKUP(BK423,Ptd_Mtr!$A:$B,2,FALSE),0)</f>
        <v>0</v>
      </c>
      <c r="BM423" s="277">
        <f t="shared" si="34"/>
        <v>0</v>
      </c>
      <c r="BN423" s="275"/>
      <c r="BO423" s="276">
        <f>_xlfn.IFNA(VLOOKUP(BN423,Ptd_Mtr!$A:$B,2,FALSE),0)</f>
        <v>0</v>
      </c>
      <c r="BP423" s="277">
        <f t="shared" si="35"/>
        <v>0</v>
      </c>
      <c r="BQ423" s="275">
        <f t="shared" si="36"/>
        <v>0</v>
      </c>
      <c r="BR423" s="278">
        <f t="shared" si="37"/>
        <v>0</v>
      </c>
      <c r="BS423" s="268"/>
      <c r="BT423" s="268"/>
    </row>
    <row r="424" spans="1:72">
      <c r="A424" s="142"/>
      <c r="B424" s="268"/>
      <c r="C424" s="268"/>
      <c r="D424" s="264">
        <f t="shared" si="13"/>
        <v>0</v>
      </c>
      <c r="E424" s="264">
        <f t="shared" si="14"/>
        <v>0</v>
      </c>
      <c r="F424" s="275"/>
      <c r="G424" s="276">
        <f>_xlfn.IFNA(VLOOKUP(F424,Ptd_Mtr!$A:$B,2,FALSE),0)</f>
        <v>0</v>
      </c>
      <c r="H424" s="277">
        <f t="shared" si="15"/>
        <v>0</v>
      </c>
      <c r="I424" s="275"/>
      <c r="J424" s="276">
        <f>_xlfn.IFNA(VLOOKUP(I424,Ptd_Mtr!$A:$B,2,FALSE),0)</f>
        <v>0</v>
      </c>
      <c r="K424" s="277">
        <f t="shared" si="16"/>
        <v>0</v>
      </c>
      <c r="L424" s="275"/>
      <c r="M424" s="276">
        <f>_xlfn.IFNA(VLOOKUP(L424,Ptd_Mtr!$A:$B,2,FALSE),0)</f>
        <v>0</v>
      </c>
      <c r="N424" s="277">
        <f t="shared" si="17"/>
        <v>0</v>
      </c>
      <c r="O424" s="275"/>
      <c r="P424" s="276">
        <f>_xlfn.IFNA(VLOOKUP(O424,Ptd_Mtr!$A:$B,2,FALSE),0)</f>
        <v>0</v>
      </c>
      <c r="Q424" s="277">
        <f t="shared" si="18"/>
        <v>0</v>
      </c>
      <c r="R424" s="275"/>
      <c r="S424" s="276">
        <f>_xlfn.IFNA(VLOOKUP(R424,Ptd_Mtr!$A:$B,2,FALSE),0)</f>
        <v>0</v>
      </c>
      <c r="T424" s="277">
        <f t="shared" si="19"/>
        <v>0</v>
      </c>
      <c r="U424" s="275"/>
      <c r="V424" s="276">
        <f>_xlfn.IFNA(VLOOKUP(U424,Ptd_Mtr!$A:$B,2,FALSE),0)</f>
        <v>0</v>
      </c>
      <c r="W424" s="277">
        <f t="shared" si="20"/>
        <v>0</v>
      </c>
      <c r="X424" s="275" t="s">
        <v>835</v>
      </c>
      <c r="Y424" s="276">
        <f>_xlfn.IFNA(VLOOKUP(X424,Ptd_Mtr!$A:$B,2,FALSE),0)</f>
        <v>0</v>
      </c>
      <c r="Z424" s="277">
        <f t="shared" si="21"/>
        <v>0</v>
      </c>
      <c r="AA424" s="275"/>
      <c r="AB424" s="276">
        <f>_xlfn.IFNA(VLOOKUP(AA424,Ptd_Mtr!$A:$B,2,FALSE),0)</f>
        <v>0</v>
      </c>
      <c r="AC424" s="277">
        <f t="shared" si="22"/>
        <v>0</v>
      </c>
      <c r="AD424" s="275"/>
      <c r="AE424" s="276">
        <f>_xlfn.IFNA(VLOOKUP(AD424,Ptd_Mtr!$A:$B,2,FALSE),0)</f>
        <v>0</v>
      </c>
      <c r="AF424" s="277">
        <f t="shared" si="23"/>
        <v>0</v>
      </c>
      <c r="AG424" s="275"/>
      <c r="AH424" s="276">
        <f>_xlfn.IFNA(VLOOKUP(AG424,Ptd_Mtr!$A:$B,2,FALSE),0)</f>
        <v>0</v>
      </c>
      <c r="AI424" s="277">
        <f t="shared" si="24"/>
        <v>0</v>
      </c>
      <c r="AJ424" s="275"/>
      <c r="AK424" s="276">
        <f>_xlfn.IFNA(VLOOKUP(AJ424,Ptd_Mtr!$A:$B,2,FALSE),0)</f>
        <v>0</v>
      </c>
      <c r="AL424" s="277">
        <f t="shared" si="25"/>
        <v>0</v>
      </c>
      <c r="AM424" s="275"/>
      <c r="AN424" s="276">
        <f>_xlfn.IFNA(VLOOKUP(AM424,Ptd_Mtr!$A:$B,2,FALSE),0)</f>
        <v>0</v>
      </c>
      <c r="AO424" s="277">
        <f t="shared" si="26"/>
        <v>0</v>
      </c>
      <c r="AP424" s="275"/>
      <c r="AQ424" s="276">
        <f>_xlfn.IFNA(VLOOKUP(AP424,Ptd_Mtr!$A:$B,2,FALSE),0)</f>
        <v>0</v>
      </c>
      <c r="AR424" s="277">
        <f t="shared" si="27"/>
        <v>0</v>
      </c>
      <c r="AS424" s="275"/>
      <c r="AT424" s="276">
        <f>_xlfn.IFNA(VLOOKUP(AS424,Ptd_Mtr!$A:$B,2,FALSE),0)</f>
        <v>0</v>
      </c>
      <c r="AU424" s="277">
        <f t="shared" si="28"/>
        <v>0</v>
      </c>
      <c r="AV424" s="275"/>
      <c r="AW424" s="276">
        <f>_xlfn.IFNA(VLOOKUP(AV424,Ptd_Mtr!$A:$B,2,FALSE),0)</f>
        <v>0</v>
      </c>
      <c r="AX424" s="277">
        <f t="shared" si="29"/>
        <v>0</v>
      </c>
      <c r="AY424" s="275"/>
      <c r="AZ424" s="276">
        <f>_xlfn.IFNA(VLOOKUP(AY424,Ptd_Mtr!$A:$B,2,FALSE),0)</f>
        <v>0</v>
      </c>
      <c r="BA424" s="277">
        <f t="shared" si="30"/>
        <v>0</v>
      </c>
      <c r="BB424" s="275"/>
      <c r="BC424" s="276">
        <f>_xlfn.IFNA(VLOOKUP(BB424,Ptd_Mtr!$A:$B,2,FALSE),0)</f>
        <v>0</v>
      </c>
      <c r="BD424" s="277">
        <f t="shared" si="31"/>
        <v>0</v>
      </c>
      <c r="BE424" s="275"/>
      <c r="BF424" s="276">
        <f>_xlfn.IFNA(VLOOKUP(BE424,Ptd_Mtr!$A:$B,2,FALSE),0)</f>
        <v>0</v>
      </c>
      <c r="BG424" s="277">
        <f t="shared" si="32"/>
        <v>0</v>
      </c>
      <c r="BH424" s="275"/>
      <c r="BI424" s="276">
        <f>_xlfn.IFNA(VLOOKUP(BH424,Ptd_Mtr!$A:$B,2,FALSE),0)</f>
        <v>0</v>
      </c>
      <c r="BJ424" s="277">
        <f t="shared" si="33"/>
        <v>0</v>
      </c>
      <c r="BK424" s="275"/>
      <c r="BL424" s="276">
        <f>_xlfn.IFNA(VLOOKUP(BK424,Ptd_Mtr!$A:$B,2,FALSE),0)</f>
        <v>0</v>
      </c>
      <c r="BM424" s="277">
        <f t="shared" si="34"/>
        <v>0</v>
      </c>
      <c r="BN424" s="275"/>
      <c r="BO424" s="276">
        <f>_xlfn.IFNA(VLOOKUP(BN424,Ptd_Mtr!$A:$B,2,FALSE),0)</f>
        <v>0</v>
      </c>
      <c r="BP424" s="277">
        <f t="shared" si="35"/>
        <v>0</v>
      </c>
      <c r="BQ424" s="275">
        <f t="shared" si="36"/>
        <v>0</v>
      </c>
      <c r="BR424" s="278">
        <f t="shared" si="37"/>
        <v>0</v>
      </c>
      <c r="BS424" s="268"/>
      <c r="BT424" s="268"/>
    </row>
    <row r="425" spans="1:72">
      <c r="A425" s="142"/>
      <c r="B425" s="268"/>
      <c r="C425" s="268"/>
      <c r="D425" s="264">
        <f t="shared" si="13"/>
        <v>0</v>
      </c>
      <c r="E425" s="264">
        <f t="shared" si="14"/>
        <v>0</v>
      </c>
      <c r="F425" s="275"/>
      <c r="G425" s="276">
        <f>_xlfn.IFNA(VLOOKUP(F425,Ptd_Mtr!$A:$B,2,FALSE),0)</f>
        <v>0</v>
      </c>
      <c r="H425" s="277">
        <f t="shared" si="15"/>
        <v>0</v>
      </c>
      <c r="I425" s="275"/>
      <c r="J425" s="276">
        <f>_xlfn.IFNA(VLOOKUP(I425,Ptd_Mtr!$A:$B,2,FALSE),0)</f>
        <v>0</v>
      </c>
      <c r="K425" s="277">
        <f t="shared" si="16"/>
        <v>0</v>
      </c>
      <c r="L425" s="275"/>
      <c r="M425" s="276">
        <f>_xlfn.IFNA(VLOOKUP(L425,Ptd_Mtr!$A:$B,2,FALSE),0)</f>
        <v>0</v>
      </c>
      <c r="N425" s="277">
        <f t="shared" si="17"/>
        <v>0</v>
      </c>
      <c r="O425" s="275"/>
      <c r="P425" s="276">
        <f>_xlfn.IFNA(VLOOKUP(O425,Ptd_Mtr!$A:$B,2,FALSE),0)</f>
        <v>0</v>
      </c>
      <c r="Q425" s="277">
        <f t="shared" si="18"/>
        <v>0</v>
      </c>
      <c r="R425" s="275"/>
      <c r="S425" s="276">
        <f>_xlfn.IFNA(VLOOKUP(R425,Ptd_Mtr!$A:$B,2,FALSE),0)</f>
        <v>0</v>
      </c>
      <c r="T425" s="277">
        <f t="shared" si="19"/>
        <v>0</v>
      </c>
      <c r="U425" s="275"/>
      <c r="V425" s="276">
        <f>_xlfn.IFNA(VLOOKUP(U425,Ptd_Mtr!$A:$B,2,FALSE),0)</f>
        <v>0</v>
      </c>
      <c r="W425" s="277">
        <f t="shared" si="20"/>
        <v>0</v>
      </c>
      <c r="X425" s="275" t="s">
        <v>835</v>
      </c>
      <c r="Y425" s="276">
        <f>_xlfn.IFNA(VLOOKUP(X425,Ptd_Mtr!$A:$B,2,FALSE),0)</f>
        <v>0</v>
      </c>
      <c r="Z425" s="277">
        <f t="shared" si="21"/>
        <v>0</v>
      </c>
      <c r="AA425" s="275"/>
      <c r="AB425" s="276">
        <f>_xlfn.IFNA(VLOOKUP(AA425,Ptd_Mtr!$A:$B,2,FALSE),0)</f>
        <v>0</v>
      </c>
      <c r="AC425" s="277">
        <f t="shared" si="22"/>
        <v>0</v>
      </c>
      <c r="AD425" s="275"/>
      <c r="AE425" s="276">
        <f>_xlfn.IFNA(VLOOKUP(AD425,Ptd_Mtr!$A:$B,2,FALSE),0)</f>
        <v>0</v>
      </c>
      <c r="AF425" s="277">
        <f t="shared" si="23"/>
        <v>0</v>
      </c>
      <c r="AG425" s="275"/>
      <c r="AH425" s="276">
        <f>_xlfn.IFNA(VLOOKUP(AG425,Ptd_Mtr!$A:$B,2,FALSE),0)</f>
        <v>0</v>
      </c>
      <c r="AI425" s="277">
        <f t="shared" si="24"/>
        <v>0</v>
      </c>
      <c r="AJ425" s="275"/>
      <c r="AK425" s="276">
        <f>_xlfn.IFNA(VLOOKUP(AJ425,Ptd_Mtr!$A:$B,2,FALSE),0)</f>
        <v>0</v>
      </c>
      <c r="AL425" s="277">
        <f t="shared" si="25"/>
        <v>0</v>
      </c>
      <c r="AM425" s="275"/>
      <c r="AN425" s="276">
        <f>_xlfn.IFNA(VLOOKUP(AM425,Ptd_Mtr!$A:$B,2,FALSE),0)</f>
        <v>0</v>
      </c>
      <c r="AO425" s="277">
        <f t="shared" si="26"/>
        <v>0</v>
      </c>
      <c r="AP425" s="275"/>
      <c r="AQ425" s="276">
        <f>_xlfn.IFNA(VLOOKUP(AP425,Ptd_Mtr!$A:$B,2,FALSE),0)</f>
        <v>0</v>
      </c>
      <c r="AR425" s="277">
        <f t="shared" si="27"/>
        <v>0</v>
      </c>
      <c r="AS425" s="275"/>
      <c r="AT425" s="276">
        <f>_xlfn.IFNA(VLOOKUP(AS425,Ptd_Mtr!$A:$B,2,FALSE),0)</f>
        <v>0</v>
      </c>
      <c r="AU425" s="277">
        <f t="shared" si="28"/>
        <v>0</v>
      </c>
      <c r="AV425" s="275"/>
      <c r="AW425" s="276">
        <f>_xlfn.IFNA(VLOOKUP(AV425,Ptd_Mtr!$A:$B,2,FALSE),0)</f>
        <v>0</v>
      </c>
      <c r="AX425" s="277">
        <f t="shared" si="29"/>
        <v>0</v>
      </c>
      <c r="AY425" s="275"/>
      <c r="AZ425" s="276">
        <f>_xlfn.IFNA(VLOOKUP(AY425,Ptd_Mtr!$A:$B,2,FALSE),0)</f>
        <v>0</v>
      </c>
      <c r="BA425" s="277">
        <f t="shared" si="30"/>
        <v>0</v>
      </c>
      <c r="BB425" s="275"/>
      <c r="BC425" s="276">
        <f>_xlfn.IFNA(VLOOKUP(BB425,Ptd_Mtr!$A:$B,2,FALSE),0)</f>
        <v>0</v>
      </c>
      <c r="BD425" s="277">
        <f t="shared" si="31"/>
        <v>0</v>
      </c>
      <c r="BE425" s="275"/>
      <c r="BF425" s="276">
        <f>_xlfn.IFNA(VLOOKUP(BE425,Ptd_Mtr!$A:$B,2,FALSE),0)</f>
        <v>0</v>
      </c>
      <c r="BG425" s="277">
        <f t="shared" si="32"/>
        <v>0</v>
      </c>
      <c r="BH425" s="275"/>
      <c r="BI425" s="276">
        <f>_xlfn.IFNA(VLOOKUP(BH425,Ptd_Mtr!$A:$B,2,FALSE),0)</f>
        <v>0</v>
      </c>
      <c r="BJ425" s="277">
        <f t="shared" si="33"/>
        <v>0</v>
      </c>
      <c r="BK425" s="275"/>
      <c r="BL425" s="276">
        <f>_xlfn.IFNA(VLOOKUP(BK425,Ptd_Mtr!$A:$B,2,FALSE),0)</f>
        <v>0</v>
      </c>
      <c r="BM425" s="277">
        <f t="shared" si="34"/>
        <v>0</v>
      </c>
      <c r="BN425" s="275"/>
      <c r="BO425" s="276">
        <f>_xlfn.IFNA(VLOOKUP(BN425,Ptd_Mtr!$A:$B,2,FALSE),0)</f>
        <v>0</v>
      </c>
      <c r="BP425" s="277">
        <f t="shared" si="35"/>
        <v>0</v>
      </c>
      <c r="BQ425" s="275">
        <f t="shared" si="36"/>
        <v>0</v>
      </c>
      <c r="BR425" s="278">
        <f t="shared" si="37"/>
        <v>0</v>
      </c>
      <c r="BS425" s="268"/>
      <c r="BT425" s="268"/>
    </row>
    <row r="426" spans="1:72">
      <c r="A426" s="142"/>
      <c r="B426" s="268"/>
      <c r="C426" s="268"/>
      <c r="D426" s="264">
        <f>IF(F426&lt;&gt;"",B426-BQ426,0)</f>
        <v>0</v>
      </c>
      <c r="E426" s="264">
        <f t="shared" si="14"/>
        <v>0</v>
      </c>
      <c r="F426" s="275"/>
      <c r="G426" s="276">
        <f>_xlfn.IFNA(VLOOKUP(F426,Ptd_Mtr!$A:$B,2,FALSE),0)</f>
        <v>0</v>
      </c>
      <c r="H426" s="277">
        <f t="shared" si="15"/>
        <v>0</v>
      </c>
      <c r="I426" s="275"/>
      <c r="J426" s="276">
        <f>_xlfn.IFNA(VLOOKUP(I426,Ptd_Mtr!$A:$B,2,FALSE),0)</f>
        <v>0</v>
      </c>
      <c r="K426" s="277">
        <f t="shared" si="16"/>
        <v>0</v>
      </c>
      <c r="L426" s="275"/>
      <c r="M426" s="276">
        <f>_xlfn.IFNA(VLOOKUP(L426,Ptd_Mtr!$A:$B,2,FALSE),0)</f>
        <v>0</v>
      </c>
      <c r="N426" s="277">
        <f t="shared" si="17"/>
        <v>0</v>
      </c>
      <c r="O426" s="275"/>
      <c r="P426" s="276">
        <f>_xlfn.IFNA(VLOOKUP(O426,Ptd_Mtr!$A:$B,2,FALSE),0)</f>
        <v>0</v>
      </c>
      <c r="Q426" s="277">
        <f t="shared" si="18"/>
        <v>0</v>
      </c>
      <c r="R426" s="275"/>
      <c r="S426" s="276">
        <f>_xlfn.IFNA(VLOOKUP(R426,Ptd_Mtr!$A:$B,2,FALSE),0)</f>
        <v>0</v>
      </c>
      <c r="T426" s="277">
        <f t="shared" si="19"/>
        <v>0</v>
      </c>
      <c r="U426" s="275"/>
      <c r="V426" s="276">
        <f>_xlfn.IFNA(VLOOKUP(U426,Ptd_Mtr!$A:$B,2,FALSE),0)</f>
        <v>0</v>
      </c>
      <c r="W426" s="277">
        <f t="shared" si="20"/>
        <v>0</v>
      </c>
      <c r="X426" s="275" t="s">
        <v>835</v>
      </c>
      <c r="Y426" s="276">
        <f>_xlfn.IFNA(VLOOKUP(X426,Ptd_Mtr!$A:$B,2,FALSE),0)</f>
        <v>0</v>
      </c>
      <c r="Z426" s="277">
        <f t="shared" si="21"/>
        <v>0</v>
      </c>
      <c r="AA426" s="275"/>
      <c r="AB426" s="276">
        <f>_xlfn.IFNA(VLOOKUP(AA426,Ptd_Mtr!$A:$B,2,FALSE),0)</f>
        <v>0</v>
      </c>
      <c r="AC426" s="277">
        <f t="shared" si="22"/>
        <v>0</v>
      </c>
      <c r="AD426" s="275"/>
      <c r="AE426" s="276">
        <f>_xlfn.IFNA(VLOOKUP(AD426,Ptd_Mtr!$A:$B,2,FALSE),0)</f>
        <v>0</v>
      </c>
      <c r="AF426" s="277">
        <f t="shared" si="23"/>
        <v>0</v>
      </c>
      <c r="AG426" s="275"/>
      <c r="AH426" s="276">
        <f>_xlfn.IFNA(VLOOKUP(AG426,Ptd_Mtr!$A:$B,2,FALSE),0)</f>
        <v>0</v>
      </c>
      <c r="AI426" s="277">
        <f t="shared" si="24"/>
        <v>0</v>
      </c>
      <c r="AJ426" s="275"/>
      <c r="AK426" s="276">
        <f>_xlfn.IFNA(VLOOKUP(AJ426,Ptd_Mtr!$A:$B,2,FALSE),0)</f>
        <v>0</v>
      </c>
      <c r="AL426" s="277">
        <f t="shared" si="25"/>
        <v>0</v>
      </c>
      <c r="AM426" s="275"/>
      <c r="AN426" s="276">
        <f>_xlfn.IFNA(VLOOKUP(AM426,Ptd_Mtr!$A:$B,2,FALSE),0)</f>
        <v>0</v>
      </c>
      <c r="AO426" s="277">
        <f t="shared" si="26"/>
        <v>0</v>
      </c>
      <c r="AP426" s="275"/>
      <c r="AQ426" s="276">
        <f>_xlfn.IFNA(VLOOKUP(AP426,Ptd_Mtr!$A:$B,2,FALSE),0)</f>
        <v>0</v>
      </c>
      <c r="AR426" s="277">
        <f t="shared" si="27"/>
        <v>0</v>
      </c>
      <c r="AS426" s="275"/>
      <c r="AT426" s="276">
        <f>_xlfn.IFNA(VLOOKUP(AS426,Ptd_Mtr!$A:$B,2,FALSE),0)</f>
        <v>0</v>
      </c>
      <c r="AU426" s="277">
        <f t="shared" si="28"/>
        <v>0</v>
      </c>
      <c r="AV426" s="275"/>
      <c r="AW426" s="276">
        <f>_xlfn.IFNA(VLOOKUP(AV426,Ptd_Mtr!$A:$B,2,FALSE),0)</f>
        <v>0</v>
      </c>
      <c r="AX426" s="277">
        <f t="shared" si="29"/>
        <v>0</v>
      </c>
      <c r="AY426" s="275"/>
      <c r="AZ426" s="276">
        <f>_xlfn.IFNA(VLOOKUP(AY426,Ptd_Mtr!$A:$B,2,FALSE),0)</f>
        <v>0</v>
      </c>
      <c r="BA426" s="277">
        <f t="shared" si="30"/>
        <v>0</v>
      </c>
      <c r="BB426" s="275"/>
      <c r="BC426" s="276">
        <f>_xlfn.IFNA(VLOOKUP(BB426,Ptd_Mtr!$A:$B,2,FALSE),0)</f>
        <v>0</v>
      </c>
      <c r="BD426" s="277">
        <f t="shared" si="31"/>
        <v>0</v>
      </c>
      <c r="BE426" s="275"/>
      <c r="BF426" s="276">
        <f>_xlfn.IFNA(VLOOKUP(BE426,Ptd_Mtr!$A:$B,2,FALSE),0)</f>
        <v>0</v>
      </c>
      <c r="BG426" s="277">
        <f t="shared" si="32"/>
        <v>0</v>
      </c>
      <c r="BH426" s="275"/>
      <c r="BI426" s="276">
        <f>_xlfn.IFNA(VLOOKUP(BH426,Ptd_Mtr!$A:$B,2,FALSE),0)</f>
        <v>0</v>
      </c>
      <c r="BJ426" s="277">
        <f t="shared" si="33"/>
        <v>0</v>
      </c>
      <c r="BK426" s="275"/>
      <c r="BL426" s="276">
        <f>_xlfn.IFNA(VLOOKUP(BK426,Ptd_Mtr!$A:$B,2,FALSE),0)</f>
        <v>0</v>
      </c>
      <c r="BM426" s="277">
        <f t="shared" si="34"/>
        <v>0</v>
      </c>
      <c r="BN426" s="275"/>
      <c r="BO426" s="276">
        <f>_xlfn.IFNA(VLOOKUP(BN426,Ptd_Mtr!$A:$B,2,FALSE),0)</f>
        <v>0</v>
      </c>
      <c r="BP426" s="277">
        <f t="shared" si="35"/>
        <v>0</v>
      </c>
      <c r="BQ426" s="275">
        <f t="shared" si="36"/>
        <v>0</v>
      </c>
      <c r="BR426" s="278">
        <f t="shared" si="37"/>
        <v>0</v>
      </c>
      <c r="BS426" s="268"/>
      <c r="BT426" s="268"/>
    </row>
    <row r="427" spans="1:72">
      <c r="A427" s="142"/>
      <c r="B427" s="268"/>
      <c r="C427" s="268"/>
      <c r="D427" s="264">
        <f t="shared" si="13"/>
        <v>0</v>
      </c>
      <c r="E427" s="264">
        <f t="shared" si="14"/>
        <v>0</v>
      </c>
      <c r="F427" s="275"/>
      <c r="G427" s="276">
        <f>_xlfn.IFNA(VLOOKUP(F427,Ptd_Mtr!$A:$B,2,FALSE),0)</f>
        <v>0</v>
      </c>
      <c r="H427" s="277">
        <f t="shared" si="15"/>
        <v>0</v>
      </c>
      <c r="I427" s="275"/>
      <c r="J427" s="276">
        <f>_xlfn.IFNA(VLOOKUP(I427,Ptd_Mtr!$A:$B,2,FALSE),0)</f>
        <v>0</v>
      </c>
      <c r="K427" s="277">
        <f t="shared" si="16"/>
        <v>0</v>
      </c>
      <c r="L427" s="275"/>
      <c r="M427" s="276">
        <f>_xlfn.IFNA(VLOOKUP(L427,Ptd_Mtr!$A:$B,2,FALSE),0)</f>
        <v>0</v>
      </c>
      <c r="N427" s="277">
        <f t="shared" si="17"/>
        <v>0</v>
      </c>
      <c r="O427" s="275"/>
      <c r="P427" s="276">
        <f>_xlfn.IFNA(VLOOKUP(O427,Ptd_Mtr!$A:$B,2,FALSE),0)</f>
        <v>0</v>
      </c>
      <c r="Q427" s="277">
        <f t="shared" si="18"/>
        <v>0</v>
      </c>
      <c r="R427" s="275"/>
      <c r="S427" s="276">
        <f>_xlfn.IFNA(VLOOKUP(R427,Ptd_Mtr!$A:$B,2,FALSE),0)</f>
        <v>0</v>
      </c>
      <c r="T427" s="277">
        <f t="shared" si="19"/>
        <v>0</v>
      </c>
      <c r="U427" s="275"/>
      <c r="V427" s="276">
        <f>_xlfn.IFNA(VLOOKUP(U427,Ptd_Mtr!$A:$B,2,FALSE),0)</f>
        <v>0</v>
      </c>
      <c r="W427" s="277">
        <f t="shared" si="20"/>
        <v>0</v>
      </c>
      <c r="X427" s="275" t="s">
        <v>835</v>
      </c>
      <c r="Y427" s="276">
        <f>_xlfn.IFNA(VLOOKUP(X427,Ptd_Mtr!$A:$B,2,FALSE),0)</f>
        <v>0</v>
      </c>
      <c r="Z427" s="277">
        <f t="shared" si="21"/>
        <v>0</v>
      </c>
      <c r="AA427" s="275"/>
      <c r="AB427" s="276">
        <f>_xlfn.IFNA(VLOOKUP(AA427,Ptd_Mtr!$A:$B,2,FALSE),0)</f>
        <v>0</v>
      </c>
      <c r="AC427" s="277">
        <f t="shared" si="22"/>
        <v>0</v>
      </c>
      <c r="AD427" s="275"/>
      <c r="AE427" s="276">
        <f>_xlfn.IFNA(VLOOKUP(AD427,Ptd_Mtr!$A:$B,2,FALSE),0)</f>
        <v>0</v>
      </c>
      <c r="AF427" s="277">
        <f t="shared" si="23"/>
        <v>0</v>
      </c>
      <c r="AG427" s="275"/>
      <c r="AH427" s="276">
        <f>_xlfn.IFNA(VLOOKUP(AG427,Ptd_Mtr!$A:$B,2,FALSE),0)</f>
        <v>0</v>
      </c>
      <c r="AI427" s="277">
        <f t="shared" si="24"/>
        <v>0</v>
      </c>
      <c r="AJ427" s="275"/>
      <c r="AK427" s="276">
        <f>_xlfn.IFNA(VLOOKUP(AJ427,Ptd_Mtr!$A:$B,2,FALSE),0)</f>
        <v>0</v>
      </c>
      <c r="AL427" s="277">
        <f t="shared" si="25"/>
        <v>0</v>
      </c>
      <c r="AM427" s="275"/>
      <c r="AN427" s="276">
        <f>_xlfn.IFNA(VLOOKUP(AM427,Ptd_Mtr!$A:$B,2,FALSE),0)</f>
        <v>0</v>
      </c>
      <c r="AO427" s="277">
        <f t="shared" si="26"/>
        <v>0</v>
      </c>
      <c r="AP427" s="275"/>
      <c r="AQ427" s="276">
        <f>_xlfn.IFNA(VLOOKUP(AP427,Ptd_Mtr!$A:$B,2,FALSE),0)</f>
        <v>0</v>
      </c>
      <c r="AR427" s="277">
        <f t="shared" si="27"/>
        <v>0</v>
      </c>
      <c r="AS427" s="275"/>
      <c r="AT427" s="276">
        <f>_xlfn.IFNA(VLOOKUP(AS427,Ptd_Mtr!$A:$B,2,FALSE),0)</f>
        <v>0</v>
      </c>
      <c r="AU427" s="277">
        <f t="shared" si="28"/>
        <v>0</v>
      </c>
      <c r="AV427" s="275"/>
      <c r="AW427" s="276">
        <f>_xlfn.IFNA(VLOOKUP(AV427,Ptd_Mtr!$A:$B,2,FALSE),0)</f>
        <v>0</v>
      </c>
      <c r="AX427" s="277">
        <f t="shared" si="29"/>
        <v>0</v>
      </c>
      <c r="AY427" s="275"/>
      <c r="AZ427" s="276">
        <f>_xlfn.IFNA(VLOOKUP(AY427,Ptd_Mtr!$A:$B,2,FALSE),0)</f>
        <v>0</v>
      </c>
      <c r="BA427" s="277">
        <f t="shared" si="30"/>
        <v>0</v>
      </c>
      <c r="BB427" s="275"/>
      <c r="BC427" s="276">
        <f>_xlfn.IFNA(VLOOKUP(BB427,Ptd_Mtr!$A:$B,2,FALSE),0)</f>
        <v>0</v>
      </c>
      <c r="BD427" s="277">
        <f t="shared" si="31"/>
        <v>0</v>
      </c>
      <c r="BE427" s="275"/>
      <c r="BF427" s="276">
        <f>_xlfn.IFNA(VLOOKUP(BE427,Ptd_Mtr!$A:$B,2,FALSE),0)</f>
        <v>0</v>
      </c>
      <c r="BG427" s="277">
        <f t="shared" si="32"/>
        <v>0</v>
      </c>
      <c r="BH427" s="275"/>
      <c r="BI427" s="276">
        <f>_xlfn.IFNA(VLOOKUP(BH427,Ptd_Mtr!$A:$B,2,FALSE),0)</f>
        <v>0</v>
      </c>
      <c r="BJ427" s="277">
        <f t="shared" si="33"/>
        <v>0</v>
      </c>
      <c r="BK427" s="275"/>
      <c r="BL427" s="276">
        <f>_xlfn.IFNA(VLOOKUP(BK427,Ptd_Mtr!$A:$B,2,FALSE),0)</f>
        <v>0</v>
      </c>
      <c r="BM427" s="277">
        <f t="shared" si="34"/>
        <v>0</v>
      </c>
      <c r="BN427" s="275"/>
      <c r="BO427" s="276">
        <f>_xlfn.IFNA(VLOOKUP(BN427,Ptd_Mtr!$A:$B,2,FALSE),0)</f>
        <v>0</v>
      </c>
      <c r="BP427" s="277">
        <f t="shared" si="35"/>
        <v>0</v>
      </c>
      <c r="BQ427" s="275">
        <f t="shared" si="36"/>
        <v>0</v>
      </c>
      <c r="BR427" s="278">
        <f t="shared" si="37"/>
        <v>0</v>
      </c>
      <c r="BS427" s="268"/>
      <c r="BT427" s="268"/>
    </row>
    <row r="428" spans="1:72">
      <c r="A428" s="142"/>
      <c r="B428" s="268"/>
      <c r="C428" s="268"/>
      <c r="D428" s="264">
        <f t="shared" ref="D428:D431" si="38">IF(F428&lt;&gt;"",B428-BQ428,0)</f>
        <v>0</v>
      </c>
      <c r="E428" s="264">
        <f t="shared" ref="E428:E429" si="39">IF(F428&lt;&gt;"",C428-H428-K428-N428-Q428-T428-W428-Z428-AC428-AF428-AI428-AL428-AO428-AR428-AU428-AX428-BA428-BD428-BG428-BJ428-BM428-BP428,0)</f>
        <v>0</v>
      </c>
      <c r="F428" s="275"/>
      <c r="G428" s="276">
        <f>_xlfn.IFNA(VLOOKUP(F428,Ptd_Mtr!$A:$B,2,FALSE),0)</f>
        <v>0</v>
      </c>
      <c r="H428" s="277">
        <f t="shared" si="15"/>
        <v>0</v>
      </c>
      <c r="I428" s="275"/>
      <c r="J428" s="276">
        <f>_xlfn.IFNA(VLOOKUP(I428,Ptd_Mtr!$A:$B,2,FALSE),0)</f>
        <v>0</v>
      </c>
      <c r="K428" s="277">
        <f t="shared" si="16"/>
        <v>0</v>
      </c>
      <c r="L428" s="275"/>
      <c r="M428" s="276">
        <f>_xlfn.IFNA(VLOOKUP(L428,Ptd_Mtr!$A:$B,2,FALSE),0)</f>
        <v>0</v>
      </c>
      <c r="N428" s="277">
        <f t="shared" si="17"/>
        <v>0</v>
      </c>
      <c r="O428" s="275"/>
      <c r="P428" s="276">
        <f>_xlfn.IFNA(VLOOKUP(O428,Ptd_Mtr!$A:$B,2,FALSE),0)</f>
        <v>0</v>
      </c>
      <c r="Q428" s="277">
        <f t="shared" si="18"/>
        <v>0</v>
      </c>
      <c r="R428" s="275"/>
      <c r="S428" s="276">
        <f>_xlfn.IFNA(VLOOKUP(R428,Ptd_Mtr!$A:$B,2,FALSE),0)</f>
        <v>0</v>
      </c>
      <c r="T428" s="277">
        <f t="shared" si="19"/>
        <v>0</v>
      </c>
      <c r="U428" s="275"/>
      <c r="V428" s="276">
        <f>_xlfn.IFNA(VLOOKUP(U428,Ptd_Mtr!$A:$B,2,FALSE),0)</f>
        <v>0</v>
      </c>
      <c r="W428" s="277">
        <f t="shared" si="20"/>
        <v>0</v>
      </c>
      <c r="X428" s="275" t="s">
        <v>835</v>
      </c>
      <c r="Y428" s="276">
        <f>_xlfn.IFNA(VLOOKUP(X428,Ptd_Mtr!$A:$B,2,FALSE),0)</f>
        <v>0</v>
      </c>
      <c r="Z428" s="277">
        <f t="shared" si="21"/>
        <v>0</v>
      </c>
      <c r="AA428" s="275"/>
      <c r="AB428" s="276">
        <f>_xlfn.IFNA(VLOOKUP(AA428,Ptd_Mtr!$A:$B,2,FALSE),0)</f>
        <v>0</v>
      </c>
      <c r="AC428" s="277">
        <f t="shared" si="22"/>
        <v>0</v>
      </c>
      <c r="AD428" s="275"/>
      <c r="AE428" s="276">
        <f>_xlfn.IFNA(VLOOKUP(AD428,Ptd_Mtr!$A:$B,2,FALSE),0)</f>
        <v>0</v>
      </c>
      <c r="AF428" s="277">
        <f t="shared" si="23"/>
        <v>0</v>
      </c>
      <c r="AG428" s="275"/>
      <c r="AH428" s="276">
        <f>_xlfn.IFNA(VLOOKUP(AG428,Ptd_Mtr!$A:$B,2,FALSE),0)</f>
        <v>0</v>
      </c>
      <c r="AI428" s="277">
        <f t="shared" si="24"/>
        <v>0</v>
      </c>
      <c r="AJ428" s="275"/>
      <c r="AK428" s="276">
        <f>_xlfn.IFNA(VLOOKUP(AJ428,Ptd_Mtr!$A:$B,2,FALSE),0)</f>
        <v>0</v>
      </c>
      <c r="AL428" s="277">
        <f t="shared" si="25"/>
        <v>0</v>
      </c>
      <c r="AM428" s="275"/>
      <c r="AN428" s="276">
        <f>_xlfn.IFNA(VLOOKUP(AM428,Ptd_Mtr!$A:$B,2,FALSE),0)</f>
        <v>0</v>
      </c>
      <c r="AO428" s="277">
        <f t="shared" si="26"/>
        <v>0</v>
      </c>
      <c r="AP428" s="275"/>
      <c r="AQ428" s="276">
        <f>_xlfn.IFNA(VLOOKUP(AP428,Ptd_Mtr!$A:$B,2,FALSE),0)</f>
        <v>0</v>
      </c>
      <c r="AR428" s="277">
        <f t="shared" si="27"/>
        <v>0</v>
      </c>
      <c r="AS428" s="275"/>
      <c r="AT428" s="276">
        <f>_xlfn.IFNA(VLOOKUP(AS428,Ptd_Mtr!$A:$B,2,FALSE),0)</f>
        <v>0</v>
      </c>
      <c r="AU428" s="277">
        <f t="shared" si="28"/>
        <v>0</v>
      </c>
      <c r="AV428" s="275"/>
      <c r="AW428" s="276">
        <f>_xlfn.IFNA(VLOOKUP(AV428,Ptd_Mtr!$A:$B,2,FALSE),0)</f>
        <v>0</v>
      </c>
      <c r="AX428" s="277">
        <f t="shared" si="29"/>
        <v>0</v>
      </c>
      <c r="AY428" s="275"/>
      <c r="AZ428" s="276">
        <f>_xlfn.IFNA(VLOOKUP(AY428,Ptd_Mtr!$A:$B,2,FALSE),0)</f>
        <v>0</v>
      </c>
      <c r="BA428" s="277">
        <f t="shared" si="30"/>
        <v>0</v>
      </c>
      <c r="BB428" s="275"/>
      <c r="BC428" s="276">
        <f>_xlfn.IFNA(VLOOKUP(BB428,Ptd_Mtr!$A:$B,2,FALSE),0)</f>
        <v>0</v>
      </c>
      <c r="BD428" s="277">
        <f t="shared" si="31"/>
        <v>0</v>
      </c>
      <c r="BE428" s="275"/>
      <c r="BF428" s="276">
        <f>_xlfn.IFNA(VLOOKUP(BE428,Ptd_Mtr!$A:$B,2,FALSE),0)</f>
        <v>0</v>
      </c>
      <c r="BG428" s="277">
        <f t="shared" si="32"/>
        <v>0</v>
      </c>
      <c r="BH428" s="275"/>
      <c r="BI428" s="276">
        <f>_xlfn.IFNA(VLOOKUP(BH428,Ptd_Mtr!$A:$B,2,FALSE),0)</f>
        <v>0</v>
      </c>
      <c r="BJ428" s="277">
        <f t="shared" si="33"/>
        <v>0</v>
      </c>
      <c r="BK428" s="275"/>
      <c r="BL428" s="276">
        <f>_xlfn.IFNA(VLOOKUP(BK428,Ptd_Mtr!$A:$B,2,FALSE),0)</f>
        <v>0</v>
      </c>
      <c r="BM428" s="277">
        <f t="shared" si="34"/>
        <v>0</v>
      </c>
      <c r="BN428" s="275"/>
      <c r="BO428" s="276">
        <f>_xlfn.IFNA(VLOOKUP(BN428,Ptd_Mtr!$A:$B,2,FALSE),0)</f>
        <v>0</v>
      </c>
      <c r="BP428" s="277">
        <f t="shared" si="35"/>
        <v>0</v>
      </c>
      <c r="BQ428" s="275">
        <f t="shared" si="36"/>
        <v>0</v>
      </c>
      <c r="BR428" s="278">
        <f t="shared" si="37"/>
        <v>0</v>
      </c>
      <c r="BS428" s="268"/>
      <c r="BT428" s="268"/>
    </row>
    <row r="429" spans="1:72">
      <c r="A429" s="142"/>
      <c r="B429" s="268"/>
      <c r="C429" s="268"/>
      <c r="D429" s="264">
        <f t="shared" si="38"/>
        <v>0</v>
      </c>
      <c r="E429" s="264">
        <f t="shared" si="39"/>
        <v>0</v>
      </c>
      <c r="F429" s="275"/>
      <c r="G429" s="276">
        <f>_xlfn.IFNA(VLOOKUP(F429,Ptd_Mtr!$A:$B,2,FALSE),0)</f>
        <v>0</v>
      </c>
      <c r="H429" s="277">
        <f t="shared" si="15"/>
        <v>0</v>
      </c>
      <c r="I429" s="275"/>
      <c r="J429" s="276">
        <f>_xlfn.IFNA(VLOOKUP(I429,Ptd_Mtr!$A:$B,2,FALSE),0)</f>
        <v>0</v>
      </c>
      <c r="K429" s="277">
        <f t="shared" si="16"/>
        <v>0</v>
      </c>
      <c r="L429" s="275"/>
      <c r="M429" s="276">
        <f>_xlfn.IFNA(VLOOKUP(L429,Ptd_Mtr!$A:$B,2,FALSE),0)</f>
        <v>0</v>
      </c>
      <c r="N429" s="277">
        <f t="shared" si="17"/>
        <v>0</v>
      </c>
      <c r="O429" s="275"/>
      <c r="P429" s="276">
        <f>_xlfn.IFNA(VLOOKUP(O429,Ptd_Mtr!$A:$B,2,FALSE),0)</f>
        <v>0</v>
      </c>
      <c r="Q429" s="277">
        <f t="shared" si="18"/>
        <v>0</v>
      </c>
      <c r="R429" s="275"/>
      <c r="S429" s="276">
        <f>_xlfn.IFNA(VLOOKUP(R429,Ptd_Mtr!$A:$B,2,FALSE),0)</f>
        <v>0</v>
      </c>
      <c r="T429" s="277">
        <f t="shared" si="19"/>
        <v>0</v>
      </c>
      <c r="U429" s="275"/>
      <c r="V429" s="276">
        <f>_xlfn.IFNA(VLOOKUP(U429,Ptd_Mtr!$A:$B,2,FALSE),0)</f>
        <v>0</v>
      </c>
      <c r="W429" s="277">
        <f t="shared" si="20"/>
        <v>0</v>
      </c>
      <c r="X429" s="275" t="s">
        <v>835</v>
      </c>
      <c r="Y429" s="276">
        <f>_xlfn.IFNA(VLOOKUP(X429,Ptd_Mtr!$A:$B,2,FALSE),0)</f>
        <v>0</v>
      </c>
      <c r="Z429" s="277">
        <f t="shared" si="21"/>
        <v>0</v>
      </c>
      <c r="AA429" s="275"/>
      <c r="AB429" s="276">
        <f>_xlfn.IFNA(VLOOKUP(AA429,Ptd_Mtr!$A:$B,2,FALSE),0)</f>
        <v>0</v>
      </c>
      <c r="AC429" s="277">
        <f t="shared" si="22"/>
        <v>0</v>
      </c>
      <c r="AD429" s="275"/>
      <c r="AE429" s="276">
        <f>_xlfn.IFNA(VLOOKUP(AD429,Ptd_Mtr!$A:$B,2,FALSE),0)</f>
        <v>0</v>
      </c>
      <c r="AF429" s="277">
        <f t="shared" si="23"/>
        <v>0</v>
      </c>
      <c r="AG429" s="275"/>
      <c r="AH429" s="276">
        <f>_xlfn.IFNA(VLOOKUP(AG429,Ptd_Mtr!$A:$B,2,FALSE),0)</f>
        <v>0</v>
      </c>
      <c r="AI429" s="277">
        <f t="shared" si="24"/>
        <v>0</v>
      </c>
      <c r="AJ429" s="275"/>
      <c r="AK429" s="276">
        <f>_xlfn.IFNA(VLOOKUP(AJ429,Ptd_Mtr!$A:$B,2,FALSE),0)</f>
        <v>0</v>
      </c>
      <c r="AL429" s="277">
        <f t="shared" si="25"/>
        <v>0</v>
      </c>
      <c r="AM429" s="275"/>
      <c r="AN429" s="276">
        <f>_xlfn.IFNA(VLOOKUP(AM429,Ptd_Mtr!$A:$B,2,FALSE),0)</f>
        <v>0</v>
      </c>
      <c r="AO429" s="277">
        <f t="shared" si="26"/>
        <v>0</v>
      </c>
      <c r="AP429" s="275"/>
      <c r="AQ429" s="276">
        <f>_xlfn.IFNA(VLOOKUP(AP429,Ptd_Mtr!$A:$B,2,FALSE),0)</f>
        <v>0</v>
      </c>
      <c r="AR429" s="277">
        <f t="shared" si="27"/>
        <v>0</v>
      </c>
      <c r="AS429" s="275"/>
      <c r="AT429" s="276">
        <f>_xlfn.IFNA(VLOOKUP(AS429,Ptd_Mtr!$A:$B,2,FALSE),0)</f>
        <v>0</v>
      </c>
      <c r="AU429" s="277">
        <f t="shared" si="28"/>
        <v>0</v>
      </c>
      <c r="AV429" s="275"/>
      <c r="AW429" s="276">
        <f>_xlfn.IFNA(VLOOKUP(AV429,Ptd_Mtr!$A:$B,2,FALSE),0)</f>
        <v>0</v>
      </c>
      <c r="AX429" s="277">
        <f t="shared" si="29"/>
        <v>0</v>
      </c>
      <c r="AY429" s="275"/>
      <c r="AZ429" s="276">
        <f>_xlfn.IFNA(VLOOKUP(AY429,Ptd_Mtr!$A:$B,2,FALSE),0)</f>
        <v>0</v>
      </c>
      <c r="BA429" s="277">
        <f t="shared" si="30"/>
        <v>0</v>
      </c>
      <c r="BB429" s="275"/>
      <c r="BC429" s="276">
        <f>_xlfn.IFNA(VLOOKUP(BB429,Ptd_Mtr!$A:$B,2,FALSE),0)</f>
        <v>0</v>
      </c>
      <c r="BD429" s="277">
        <f t="shared" si="31"/>
        <v>0</v>
      </c>
      <c r="BE429" s="275"/>
      <c r="BF429" s="276">
        <f>_xlfn.IFNA(VLOOKUP(BE429,Ptd_Mtr!$A:$B,2,FALSE),0)</f>
        <v>0</v>
      </c>
      <c r="BG429" s="277">
        <f t="shared" si="32"/>
        <v>0</v>
      </c>
      <c r="BH429" s="275"/>
      <c r="BI429" s="276">
        <f>_xlfn.IFNA(VLOOKUP(BH429,Ptd_Mtr!$A:$B,2,FALSE),0)</f>
        <v>0</v>
      </c>
      <c r="BJ429" s="277">
        <f t="shared" si="33"/>
        <v>0</v>
      </c>
      <c r="BK429" s="275"/>
      <c r="BL429" s="276">
        <f>_xlfn.IFNA(VLOOKUP(BK429,Ptd_Mtr!$A:$B,2,FALSE),0)</f>
        <v>0</v>
      </c>
      <c r="BM429" s="277">
        <f t="shared" si="34"/>
        <v>0</v>
      </c>
      <c r="BN429" s="275"/>
      <c r="BO429" s="276">
        <f>_xlfn.IFNA(VLOOKUP(BN429,Ptd_Mtr!$A:$B,2,FALSE),0)</f>
        <v>0</v>
      </c>
      <c r="BP429" s="277">
        <f t="shared" si="35"/>
        <v>0</v>
      </c>
      <c r="BQ429" s="275">
        <f t="shared" si="36"/>
        <v>0</v>
      </c>
      <c r="BR429" s="278">
        <f t="shared" si="37"/>
        <v>0</v>
      </c>
      <c r="BS429" s="268"/>
      <c r="BT429" s="268"/>
    </row>
    <row r="430" spans="1:72">
      <c r="A430" s="142"/>
      <c r="B430" s="268"/>
      <c r="C430" s="268"/>
      <c r="D430" s="264">
        <f t="shared" si="38"/>
        <v>0</v>
      </c>
      <c r="E430" s="264">
        <f>IF(F430&lt;&gt;"",C430-H430-K430-N430-Q430-T430-W430-Z430-AC430-AF430-AI430-AL430-AO430-AR430-AU430-AX430-BA430-BD430-BG430-BJ430-BM430-BP430,0)</f>
        <v>0</v>
      </c>
      <c r="F430" s="275"/>
      <c r="G430" s="276">
        <f>_xlfn.IFNA(VLOOKUP(F430,Ptd_Mtr!$A:$B,2,FALSE),0)</f>
        <v>0</v>
      </c>
      <c r="H430" s="277">
        <f t="shared" si="15"/>
        <v>0</v>
      </c>
      <c r="I430" s="275"/>
      <c r="J430" s="276">
        <f>_xlfn.IFNA(VLOOKUP(I430,Ptd_Mtr!$A:$B,2,FALSE),0)</f>
        <v>0</v>
      </c>
      <c r="K430" s="277">
        <f t="shared" si="16"/>
        <v>0</v>
      </c>
      <c r="L430" s="275"/>
      <c r="M430" s="276">
        <f>_xlfn.IFNA(VLOOKUP(L430,Ptd_Mtr!$A:$B,2,FALSE),0)</f>
        <v>0</v>
      </c>
      <c r="N430" s="277">
        <f t="shared" si="17"/>
        <v>0</v>
      </c>
      <c r="O430" s="275"/>
      <c r="P430" s="276">
        <f>_xlfn.IFNA(VLOOKUP(O430,Ptd_Mtr!$A:$B,2,FALSE),0)</f>
        <v>0</v>
      </c>
      <c r="Q430" s="277">
        <f t="shared" si="18"/>
        <v>0</v>
      </c>
      <c r="R430" s="275"/>
      <c r="S430" s="276">
        <f>_xlfn.IFNA(VLOOKUP(R430,Ptd_Mtr!$A:$B,2,FALSE),0)</f>
        <v>0</v>
      </c>
      <c r="T430" s="277">
        <f t="shared" si="19"/>
        <v>0</v>
      </c>
      <c r="U430" s="275"/>
      <c r="V430" s="276">
        <f>_xlfn.IFNA(VLOOKUP(U430,Ptd_Mtr!$A:$B,2,FALSE),0)</f>
        <v>0</v>
      </c>
      <c r="W430" s="277">
        <f t="shared" si="20"/>
        <v>0</v>
      </c>
      <c r="X430" s="275" t="s">
        <v>835</v>
      </c>
      <c r="Y430" s="276">
        <f>_xlfn.IFNA(VLOOKUP(X430,Ptd_Mtr!$A:$B,2,FALSE),0)</f>
        <v>0</v>
      </c>
      <c r="Z430" s="277">
        <f t="shared" si="21"/>
        <v>0</v>
      </c>
      <c r="AA430" s="275"/>
      <c r="AB430" s="276">
        <f>_xlfn.IFNA(VLOOKUP(AA430,Ptd_Mtr!$A:$B,2,FALSE),0)</f>
        <v>0</v>
      </c>
      <c r="AC430" s="277">
        <f t="shared" si="22"/>
        <v>0</v>
      </c>
      <c r="AD430" s="275"/>
      <c r="AE430" s="276">
        <f>_xlfn.IFNA(VLOOKUP(AD430,Ptd_Mtr!$A:$B,2,FALSE),0)</f>
        <v>0</v>
      </c>
      <c r="AF430" s="277">
        <f t="shared" si="23"/>
        <v>0</v>
      </c>
      <c r="AG430" s="275"/>
      <c r="AH430" s="276">
        <f>_xlfn.IFNA(VLOOKUP(AG430,Ptd_Mtr!$A:$B,2,FALSE),0)</f>
        <v>0</v>
      </c>
      <c r="AI430" s="277">
        <f t="shared" si="24"/>
        <v>0</v>
      </c>
      <c r="AJ430" s="275"/>
      <c r="AK430" s="276">
        <f>_xlfn.IFNA(VLOOKUP(AJ430,Ptd_Mtr!$A:$B,2,FALSE),0)</f>
        <v>0</v>
      </c>
      <c r="AL430" s="277">
        <f t="shared" si="25"/>
        <v>0</v>
      </c>
      <c r="AM430" s="275"/>
      <c r="AN430" s="276">
        <f>_xlfn.IFNA(VLOOKUP(AM430,Ptd_Mtr!$A:$B,2,FALSE),0)</f>
        <v>0</v>
      </c>
      <c r="AO430" s="277">
        <f t="shared" si="26"/>
        <v>0</v>
      </c>
      <c r="AP430" s="275"/>
      <c r="AQ430" s="276">
        <f>_xlfn.IFNA(VLOOKUP(AP430,Ptd_Mtr!$A:$B,2,FALSE),0)</f>
        <v>0</v>
      </c>
      <c r="AR430" s="277">
        <f t="shared" si="27"/>
        <v>0</v>
      </c>
      <c r="AS430" s="275"/>
      <c r="AT430" s="276">
        <f>_xlfn.IFNA(VLOOKUP(AS430,Ptd_Mtr!$A:$B,2,FALSE),0)</f>
        <v>0</v>
      </c>
      <c r="AU430" s="277">
        <f t="shared" si="28"/>
        <v>0</v>
      </c>
      <c r="AV430" s="275"/>
      <c r="AW430" s="276">
        <f>_xlfn.IFNA(VLOOKUP(AV430,Ptd_Mtr!$A:$B,2,FALSE),0)</f>
        <v>0</v>
      </c>
      <c r="AX430" s="277">
        <f t="shared" si="29"/>
        <v>0</v>
      </c>
      <c r="AY430" s="275"/>
      <c r="AZ430" s="276">
        <f>_xlfn.IFNA(VLOOKUP(AY430,Ptd_Mtr!$A:$B,2,FALSE),0)</f>
        <v>0</v>
      </c>
      <c r="BA430" s="277">
        <f t="shared" si="30"/>
        <v>0</v>
      </c>
      <c r="BB430" s="275"/>
      <c r="BC430" s="276">
        <f>_xlfn.IFNA(VLOOKUP(BB430,Ptd_Mtr!$A:$B,2,FALSE),0)</f>
        <v>0</v>
      </c>
      <c r="BD430" s="277">
        <f t="shared" si="31"/>
        <v>0</v>
      </c>
      <c r="BE430" s="275"/>
      <c r="BF430" s="276">
        <f>_xlfn.IFNA(VLOOKUP(BE430,Ptd_Mtr!$A:$B,2,FALSE),0)</f>
        <v>0</v>
      </c>
      <c r="BG430" s="277">
        <f t="shared" si="32"/>
        <v>0</v>
      </c>
      <c r="BH430" s="275"/>
      <c r="BI430" s="276">
        <f>_xlfn.IFNA(VLOOKUP(BH430,Ptd_Mtr!$A:$B,2,FALSE),0)</f>
        <v>0</v>
      </c>
      <c r="BJ430" s="277">
        <f t="shared" si="33"/>
        <v>0</v>
      </c>
      <c r="BK430" s="275"/>
      <c r="BL430" s="276">
        <f>_xlfn.IFNA(VLOOKUP(BK430,Ptd_Mtr!$A:$B,2,FALSE),0)</f>
        <v>0</v>
      </c>
      <c r="BM430" s="277">
        <f t="shared" si="34"/>
        <v>0</v>
      </c>
      <c r="BN430" s="275"/>
      <c r="BO430" s="276">
        <f>_xlfn.IFNA(VLOOKUP(BN430,Ptd_Mtr!$A:$B,2,FALSE),0)</f>
        <v>0</v>
      </c>
      <c r="BP430" s="277">
        <f t="shared" si="35"/>
        <v>0</v>
      </c>
      <c r="BQ430" s="275">
        <f t="shared" si="36"/>
        <v>0</v>
      </c>
      <c r="BR430" s="278">
        <f t="shared" si="37"/>
        <v>0</v>
      </c>
      <c r="BS430" s="268"/>
      <c r="BT430" s="268"/>
    </row>
    <row r="431" spans="1:72">
      <c r="A431" s="142"/>
      <c r="B431" s="268"/>
      <c r="C431" s="268"/>
      <c r="D431" s="264">
        <f t="shared" si="38"/>
        <v>0</v>
      </c>
      <c r="E431" s="264">
        <f>IF(F431&lt;&gt;"",C431-H431-K431-N431-Q431-T431-W431-Z431-AC431-AF431-AI431-AL431-AO431-AR431-AU431-AX431-BA431-BD431-BG431-BJ431-BM431-BP431,0)</f>
        <v>0</v>
      </c>
      <c r="F431" s="275"/>
      <c r="G431" s="276">
        <f>_xlfn.IFNA(VLOOKUP(F431,Ptd_Mtr!$A:$B,2,FALSE),0)</f>
        <v>0</v>
      </c>
      <c r="H431" s="277">
        <f t="shared" si="15"/>
        <v>0</v>
      </c>
      <c r="I431" s="275"/>
      <c r="J431" s="276">
        <f>_xlfn.IFNA(VLOOKUP(I431,Ptd_Mtr!$A:$B,2,FALSE),0)</f>
        <v>0</v>
      </c>
      <c r="K431" s="277">
        <f t="shared" si="16"/>
        <v>0</v>
      </c>
      <c r="L431" s="275"/>
      <c r="M431" s="276">
        <f>_xlfn.IFNA(VLOOKUP(L431,Ptd_Mtr!$A:$B,2,FALSE),0)</f>
        <v>0</v>
      </c>
      <c r="N431" s="277">
        <f t="shared" si="17"/>
        <v>0</v>
      </c>
      <c r="O431" s="275"/>
      <c r="P431" s="276">
        <f>_xlfn.IFNA(VLOOKUP(O431,Ptd_Mtr!$A:$B,2,FALSE),0)</f>
        <v>0</v>
      </c>
      <c r="Q431" s="277">
        <f t="shared" si="18"/>
        <v>0</v>
      </c>
      <c r="R431" s="275"/>
      <c r="S431" s="276">
        <f>_xlfn.IFNA(VLOOKUP(R431,Ptd_Mtr!$A:$B,2,FALSE),0)</f>
        <v>0</v>
      </c>
      <c r="T431" s="277">
        <f t="shared" si="19"/>
        <v>0</v>
      </c>
      <c r="U431" s="275"/>
      <c r="V431" s="276">
        <f>_xlfn.IFNA(VLOOKUP(U431,Ptd_Mtr!$A:$B,2,FALSE),0)</f>
        <v>0</v>
      </c>
      <c r="W431" s="277">
        <f t="shared" si="20"/>
        <v>0</v>
      </c>
      <c r="X431" s="275" t="s">
        <v>835</v>
      </c>
      <c r="Y431" s="276">
        <f>_xlfn.IFNA(VLOOKUP(X431,Ptd_Mtr!$A:$B,2,FALSE),0)</f>
        <v>0</v>
      </c>
      <c r="Z431" s="277">
        <f t="shared" si="21"/>
        <v>0</v>
      </c>
      <c r="AA431" s="275"/>
      <c r="AB431" s="276">
        <f>_xlfn.IFNA(VLOOKUP(AA431,Ptd_Mtr!$A:$B,2,FALSE),0)</f>
        <v>0</v>
      </c>
      <c r="AC431" s="277">
        <f t="shared" si="22"/>
        <v>0</v>
      </c>
      <c r="AD431" s="275"/>
      <c r="AE431" s="276">
        <f>_xlfn.IFNA(VLOOKUP(AD431,Ptd_Mtr!$A:$B,2,FALSE),0)</f>
        <v>0</v>
      </c>
      <c r="AF431" s="277">
        <f t="shared" si="23"/>
        <v>0</v>
      </c>
      <c r="AG431" s="275"/>
      <c r="AH431" s="276">
        <f>_xlfn.IFNA(VLOOKUP(AG431,Ptd_Mtr!$A:$B,2,FALSE),0)</f>
        <v>0</v>
      </c>
      <c r="AI431" s="277">
        <f t="shared" si="24"/>
        <v>0</v>
      </c>
      <c r="AJ431" s="275"/>
      <c r="AK431" s="276">
        <f>_xlfn.IFNA(VLOOKUP(AJ431,Ptd_Mtr!$A:$B,2,FALSE),0)</f>
        <v>0</v>
      </c>
      <c r="AL431" s="277">
        <f t="shared" si="25"/>
        <v>0</v>
      </c>
      <c r="AM431" s="275"/>
      <c r="AN431" s="276">
        <f>_xlfn.IFNA(VLOOKUP(AM431,Ptd_Mtr!$A:$B,2,FALSE),0)</f>
        <v>0</v>
      </c>
      <c r="AO431" s="277">
        <f t="shared" si="26"/>
        <v>0</v>
      </c>
      <c r="AP431" s="275"/>
      <c r="AQ431" s="276">
        <f>_xlfn.IFNA(VLOOKUP(AP431,Ptd_Mtr!$A:$B,2,FALSE),0)</f>
        <v>0</v>
      </c>
      <c r="AR431" s="277">
        <f t="shared" si="27"/>
        <v>0</v>
      </c>
      <c r="AS431" s="275"/>
      <c r="AT431" s="276">
        <f>_xlfn.IFNA(VLOOKUP(AS431,Ptd_Mtr!$A:$B,2,FALSE),0)</f>
        <v>0</v>
      </c>
      <c r="AU431" s="277">
        <f t="shared" si="28"/>
        <v>0</v>
      </c>
      <c r="AV431" s="275"/>
      <c r="AW431" s="276">
        <f>_xlfn.IFNA(VLOOKUP(AV431,Ptd_Mtr!$A:$B,2,FALSE),0)</f>
        <v>0</v>
      </c>
      <c r="AX431" s="277">
        <f t="shared" si="29"/>
        <v>0</v>
      </c>
      <c r="AY431" s="275"/>
      <c r="AZ431" s="276">
        <f>_xlfn.IFNA(VLOOKUP(AY431,Ptd_Mtr!$A:$B,2,FALSE),0)</f>
        <v>0</v>
      </c>
      <c r="BA431" s="277">
        <f t="shared" si="30"/>
        <v>0</v>
      </c>
      <c r="BB431" s="275"/>
      <c r="BC431" s="276">
        <f>_xlfn.IFNA(VLOOKUP(BB431,Ptd_Mtr!$A:$B,2,FALSE),0)</f>
        <v>0</v>
      </c>
      <c r="BD431" s="277">
        <f t="shared" si="31"/>
        <v>0</v>
      </c>
      <c r="BE431" s="275"/>
      <c r="BF431" s="276">
        <f>_xlfn.IFNA(VLOOKUP(BE431,Ptd_Mtr!$A:$B,2,FALSE),0)</f>
        <v>0</v>
      </c>
      <c r="BG431" s="277">
        <f t="shared" si="32"/>
        <v>0</v>
      </c>
      <c r="BH431" s="275"/>
      <c r="BI431" s="276">
        <f>_xlfn.IFNA(VLOOKUP(BH431,Ptd_Mtr!$A:$B,2,FALSE),0)</f>
        <v>0</v>
      </c>
      <c r="BJ431" s="277">
        <f t="shared" si="33"/>
        <v>0</v>
      </c>
      <c r="BK431" s="275"/>
      <c r="BL431" s="276">
        <f>_xlfn.IFNA(VLOOKUP(BK431,Ptd_Mtr!$A:$B,2,FALSE),0)</f>
        <v>0</v>
      </c>
      <c r="BM431" s="277">
        <f t="shared" si="34"/>
        <v>0</v>
      </c>
      <c r="BN431" s="275"/>
      <c r="BO431" s="276">
        <f>_xlfn.IFNA(VLOOKUP(BN431,Ptd_Mtr!$A:$B,2,FALSE),0)</f>
        <v>0</v>
      </c>
      <c r="BP431" s="277">
        <f t="shared" si="35"/>
        <v>0</v>
      </c>
      <c r="BQ431" s="275">
        <f t="shared" si="36"/>
        <v>0</v>
      </c>
      <c r="BR431" s="278">
        <f t="shared" si="37"/>
        <v>0</v>
      </c>
      <c r="BS431" s="268"/>
      <c r="BT431" s="268"/>
    </row>
    <row r="432" spans="1:72">
      <c r="A432" s="142"/>
      <c r="B432" s="268"/>
      <c r="C432" s="268"/>
      <c r="D432" s="264">
        <f t="shared" ref="D432:D438" si="40">IF(F432&lt;&gt;"",B432-BQ432,0)</f>
        <v>0</v>
      </c>
      <c r="E432" s="264">
        <f t="shared" ref="E432:E438" si="41">IF(F432&lt;&gt;"",C432-H432-K432-N432-Q432-T432-W432-Z432-AC432-AF432-AI432-AL432-AO432-AR432-AU432-AX432-BA432-BD432-BG432-BJ432-BM432-BP432,0)</f>
        <v>0</v>
      </c>
      <c r="F432" s="275"/>
      <c r="G432" s="276">
        <f>_xlfn.IFNA(VLOOKUP(F432,Ptd_Mtr!$A:$B,2,FALSE),0)</f>
        <v>0</v>
      </c>
      <c r="H432" s="277">
        <f t="shared" ref="H432:H438" si="42">IF(G432=0,0,G432/$BQ432*$BR432)</f>
        <v>0</v>
      </c>
      <c r="I432" s="275"/>
      <c r="J432" s="276">
        <f>_xlfn.IFNA(VLOOKUP(I432,Ptd_Mtr!$A:$B,2,FALSE),0)</f>
        <v>0</v>
      </c>
      <c r="K432" s="277">
        <f t="shared" ref="K432:K438" si="43">IF(J432=0,0,J432/$BQ432*$BR432)</f>
        <v>0</v>
      </c>
      <c r="L432" s="275"/>
      <c r="M432" s="276">
        <f>_xlfn.IFNA(VLOOKUP(L432,Ptd_Mtr!$A:$B,2,FALSE),0)</f>
        <v>0</v>
      </c>
      <c r="N432" s="277">
        <f t="shared" ref="N432:N438" si="44">IF(M432=0,0,M432/$BQ432*$BR432)</f>
        <v>0</v>
      </c>
      <c r="O432" s="275"/>
      <c r="P432" s="276">
        <f>_xlfn.IFNA(VLOOKUP(O432,Ptd_Mtr!$A:$B,2,FALSE),0)</f>
        <v>0</v>
      </c>
      <c r="Q432" s="277">
        <f t="shared" ref="Q432:Q438" si="45">IF(P432=0,0,P432/$BQ432*$BR432)</f>
        <v>0</v>
      </c>
      <c r="R432" s="275"/>
      <c r="S432" s="276">
        <f>_xlfn.IFNA(VLOOKUP(R432,Ptd_Mtr!$A:$B,2,FALSE),0)</f>
        <v>0</v>
      </c>
      <c r="T432" s="277">
        <f t="shared" ref="T432:T438" si="46">IF(S432=0,0,S432/$BQ432*$BR432)</f>
        <v>0</v>
      </c>
      <c r="U432" s="275"/>
      <c r="V432" s="276">
        <f>_xlfn.IFNA(VLOOKUP(U432,Ptd_Mtr!$A:$B,2,FALSE),0)</f>
        <v>0</v>
      </c>
      <c r="W432" s="277">
        <f t="shared" ref="W432:W438" si="47">IF(V432=0,0,V432/$BQ432*$BR432)</f>
        <v>0</v>
      </c>
      <c r="X432" s="275" t="s">
        <v>835</v>
      </c>
      <c r="Y432" s="276">
        <f>_xlfn.IFNA(VLOOKUP(X432,Ptd_Mtr!$A:$B,2,FALSE),0)</f>
        <v>0</v>
      </c>
      <c r="Z432" s="277">
        <f t="shared" ref="Z432:Z438" si="48">IF(Y432=0,0,Y432/$BQ432*$BR432)</f>
        <v>0</v>
      </c>
      <c r="AA432" s="275"/>
      <c r="AB432" s="276">
        <f>_xlfn.IFNA(VLOOKUP(AA432,Ptd_Mtr!$A:$B,2,FALSE),0)</f>
        <v>0</v>
      </c>
      <c r="AC432" s="277">
        <f t="shared" ref="AC432:AC438" si="49">IF(AB432=0,0,AB432/$BQ432*$BR432)</f>
        <v>0</v>
      </c>
      <c r="AD432" s="275"/>
      <c r="AE432" s="276">
        <f>_xlfn.IFNA(VLOOKUP(AD432,Ptd_Mtr!$A:$B,2,FALSE),0)</f>
        <v>0</v>
      </c>
      <c r="AF432" s="277">
        <f t="shared" ref="AF432:AF438" si="50">IF(AE432=0,0,AE432/$BQ432*$BR432)</f>
        <v>0</v>
      </c>
      <c r="AG432" s="275"/>
      <c r="AH432" s="276">
        <f>_xlfn.IFNA(VLOOKUP(AG432,Ptd_Mtr!$A:$B,2,FALSE),0)</f>
        <v>0</v>
      </c>
      <c r="AI432" s="277">
        <f t="shared" ref="AI432:AI438" si="51">IF(AH432=0,0,AH432/$BQ432*$BR432)</f>
        <v>0</v>
      </c>
      <c r="AJ432" s="275"/>
      <c r="AK432" s="276">
        <f>_xlfn.IFNA(VLOOKUP(AJ432,Ptd_Mtr!$A:$B,2,FALSE),0)</f>
        <v>0</v>
      </c>
      <c r="AL432" s="277">
        <f t="shared" ref="AL432:AL438" si="52">IF(AK432=0,0,AK432/$BQ432*$BR432)</f>
        <v>0</v>
      </c>
      <c r="AM432" s="275"/>
      <c r="AN432" s="276">
        <f>_xlfn.IFNA(VLOOKUP(AM432,Ptd_Mtr!$A:$B,2,FALSE),0)</f>
        <v>0</v>
      </c>
      <c r="AO432" s="277">
        <f t="shared" ref="AO432:AO438" si="53">IF(AN432=0,0,AN432/$BQ432*$BR432)</f>
        <v>0</v>
      </c>
      <c r="AP432" s="275"/>
      <c r="AQ432" s="276">
        <f>_xlfn.IFNA(VLOOKUP(AP432,Ptd_Mtr!$A:$B,2,FALSE),0)</f>
        <v>0</v>
      </c>
      <c r="AR432" s="277">
        <f t="shared" ref="AR432:AR438" si="54">IF(AQ432=0,0,AQ432/$BQ432*$BR432)</f>
        <v>0</v>
      </c>
      <c r="AS432" s="275"/>
      <c r="AT432" s="276">
        <f>_xlfn.IFNA(VLOOKUP(AS432,Ptd_Mtr!$A:$B,2,FALSE),0)</f>
        <v>0</v>
      </c>
      <c r="AU432" s="277">
        <f t="shared" ref="AU432:AU438" si="55">IF(AT432=0,0,AT432/$BQ432*$BR432)</f>
        <v>0</v>
      </c>
      <c r="AV432" s="275"/>
      <c r="AW432" s="276">
        <f>_xlfn.IFNA(VLOOKUP(AV432,Ptd_Mtr!$A:$B,2,FALSE),0)</f>
        <v>0</v>
      </c>
      <c r="AX432" s="277">
        <f t="shared" ref="AX432:AX438" si="56">IF(AW432=0,0,AW432/$BQ432*$BR432)</f>
        <v>0</v>
      </c>
      <c r="AY432" s="275"/>
      <c r="AZ432" s="276">
        <f>_xlfn.IFNA(VLOOKUP(AY432,Ptd_Mtr!$A:$B,2,FALSE),0)</f>
        <v>0</v>
      </c>
      <c r="BA432" s="277">
        <f t="shared" ref="BA432:BA438" si="57">IF(AZ432=0,0,AZ432/$BQ432*$BR432)</f>
        <v>0</v>
      </c>
      <c r="BB432" s="275"/>
      <c r="BC432" s="276">
        <f>_xlfn.IFNA(VLOOKUP(BB432,Ptd_Mtr!$A:$B,2,FALSE),0)</f>
        <v>0</v>
      </c>
      <c r="BD432" s="277">
        <f t="shared" ref="BD432:BD438" si="58">IF(BC432=0,0,BC432/$BQ432*$BR432)</f>
        <v>0</v>
      </c>
      <c r="BE432" s="275"/>
      <c r="BF432" s="276">
        <f>_xlfn.IFNA(VLOOKUP(BE432,Ptd_Mtr!$A:$B,2,FALSE),0)</f>
        <v>0</v>
      </c>
      <c r="BG432" s="277">
        <f t="shared" ref="BG432:BG438" si="59">IF(BF432=0,0,BF432/$BQ432*$BR432)</f>
        <v>0</v>
      </c>
      <c r="BH432" s="275"/>
      <c r="BI432" s="276">
        <f>_xlfn.IFNA(VLOOKUP(BH432,Ptd_Mtr!$A:$B,2,FALSE),0)</f>
        <v>0</v>
      </c>
      <c r="BJ432" s="277">
        <f t="shared" ref="BJ432:BJ438" si="60">IF(BI432=0,0,BI432/$BQ432*$BR432)</f>
        <v>0</v>
      </c>
      <c r="BK432" s="275"/>
      <c r="BL432" s="276">
        <f>_xlfn.IFNA(VLOOKUP(BK432,Ptd_Mtr!$A:$B,2,FALSE),0)</f>
        <v>0</v>
      </c>
      <c r="BM432" s="277">
        <f t="shared" ref="BM432:BM438" si="61">IF(BL432=0,0,BL432/$BQ432*$BR432)</f>
        <v>0</v>
      </c>
      <c r="BN432" s="275"/>
      <c r="BO432" s="276">
        <f>_xlfn.IFNA(VLOOKUP(BN432,Ptd_Mtr!$A:$B,2,FALSE),0)</f>
        <v>0</v>
      </c>
      <c r="BP432" s="277">
        <f t="shared" ref="BP432:BP438" si="62">IF(BO432=0,0,BO432/$BQ432*$BR432)</f>
        <v>0</v>
      </c>
      <c r="BQ432" s="275">
        <f t="shared" si="36"/>
        <v>0</v>
      </c>
      <c r="BR432" s="278">
        <f t="shared" si="37"/>
        <v>0</v>
      </c>
      <c r="BS432" s="268"/>
      <c r="BT432" s="268"/>
    </row>
    <row r="433" spans="1:72">
      <c r="A433" s="142"/>
      <c r="B433" s="268"/>
      <c r="C433" s="268"/>
      <c r="D433" s="264">
        <f t="shared" si="40"/>
        <v>0</v>
      </c>
      <c r="E433" s="264">
        <f t="shared" si="41"/>
        <v>0</v>
      </c>
      <c r="F433" s="275"/>
      <c r="G433" s="276">
        <f>_xlfn.IFNA(VLOOKUP(F433,Ptd_Mtr!$A:$B,2,FALSE),0)</f>
        <v>0</v>
      </c>
      <c r="H433" s="277">
        <f t="shared" si="42"/>
        <v>0</v>
      </c>
      <c r="I433" s="275"/>
      <c r="J433" s="276">
        <f>_xlfn.IFNA(VLOOKUP(I433,Ptd_Mtr!$A:$B,2,FALSE),0)</f>
        <v>0</v>
      </c>
      <c r="K433" s="277">
        <f t="shared" si="43"/>
        <v>0</v>
      </c>
      <c r="L433" s="275"/>
      <c r="M433" s="276">
        <f>_xlfn.IFNA(VLOOKUP(L433,Ptd_Mtr!$A:$B,2,FALSE),0)</f>
        <v>0</v>
      </c>
      <c r="N433" s="277">
        <f t="shared" si="44"/>
        <v>0</v>
      </c>
      <c r="O433" s="275"/>
      <c r="P433" s="276">
        <f>_xlfn.IFNA(VLOOKUP(O433,Ptd_Mtr!$A:$B,2,FALSE),0)</f>
        <v>0</v>
      </c>
      <c r="Q433" s="277">
        <f t="shared" si="45"/>
        <v>0</v>
      </c>
      <c r="R433" s="275"/>
      <c r="S433" s="276">
        <f>_xlfn.IFNA(VLOOKUP(R433,Ptd_Mtr!$A:$B,2,FALSE),0)</f>
        <v>0</v>
      </c>
      <c r="T433" s="277">
        <f t="shared" si="46"/>
        <v>0</v>
      </c>
      <c r="U433" s="275"/>
      <c r="V433" s="276">
        <f>_xlfn.IFNA(VLOOKUP(U433,Ptd_Mtr!$A:$B,2,FALSE),0)</f>
        <v>0</v>
      </c>
      <c r="W433" s="277">
        <f t="shared" si="47"/>
        <v>0</v>
      </c>
      <c r="X433" s="275" t="s">
        <v>835</v>
      </c>
      <c r="Y433" s="276">
        <f>_xlfn.IFNA(VLOOKUP(X433,Ptd_Mtr!$A:$B,2,FALSE),0)</f>
        <v>0</v>
      </c>
      <c r="Z433" s="277">
        <f t="shared" si="48"/>
        <v>0</v>
      </c>
      <c r="AA433" s="275"/>
      <c r="AB433" s="276">
        <f>_xlfn.IFNA(VLOOKUP(AA433,Ptd_Mtr!$A:$B,2,FALSE),0)</f>
        <v>0</v>
      </c>
      <c r="AC433" s="277">
        <f t="shared" si="49"/>
        <v>0</v>
      </c>
      <c r="AD433" s="275"/>
      <c r="AE433" s="276">
        <f>_xlfn.IFNA(VLOOKUP(AD433,Ptd_Mtr!$A:$B,2,FALSE),0)</f>
        <v>0</v>
      </c>
      <c r="AF433" s="277">
        <f t="shared" si="50"/>
        <v>0</v>
      </c>
      <c r="AG433" s="275"/>
      <c r="AH433" s="276">
        <f>_xlfn.IFNA(VLOOKUP(AG433,Ptd_Mtr!$A:$B,2,FALSE),0)</f>
        <v>0</v>
      </c>
      <c r="AI433" s="277">
        <f t="shared" si="51"/>
        <v>0</v>
      </c>
      <c r="AJ433" s="275"/>
      <c r="AK433" s="276">
        <f>_xlfn.IFNA(VLOOKUP(AJ433,Ptd_Mtr!$A:$B,2,FALSE),0)</f>
        <v>0</v>
      </c>
      <c r="AL433" s="277">
        <f t="shared" si="52"/>
        <v>0</v>
      </c>
      <c r="AM433" s="275"/>
      <c r="AN433" s="276">
        <f>_xlfn.IFNA(VLOOKUP(AM433,Ptd_Mtr!$A:$B,2,FALSE),0)</f>
        <v>0</v>
      </c>
      <c r="AO433" s="277">
        <f t="shared" si="53"/>
        <v>0</v>
      </c>
      <c r="AP433" s="275"/>
      <c r="AQ433" s="276">
        <f>_xlfn.IFNA(VLOOKUP(AP433,Ptd_Mtr!$A:$B,2,FALSE),0)</f>
        <v>0</v>
      </c>
      <c r="AR433" s="277">
        <f t="shared" si="54"/>
        <v>0</v>
      </c>
      <c r="AS433" s="275"/>
      <c r="AT433" s="276">
        <f>_xlfn.IFNA(VLOOKUP(AS433,Ptd_Mtr!$A:$B,2,FALSE),0)</f>
        <v>0</v>
      </c>
      <c r="AU433" s="277">
        <f t="shared" si="55"/>
        <v>0</v>
      </c>
      <c r="AV433" s="275"/>
      <c r="AW433" s="276">
        <f>_xlfn.IFNA(VLOOKUP(AV433,Ptd_Mtr!$A:$B,2,FALSE),0)</f>
        <v>0</v>
      </c>
      <c r="AX433" s="277">
        <f t="shared" si="56"/>
        <v>0</v>
      </c>
      <c r="AY433" s="275"/>
      <c r="AZ433" s="276">
        <f>_xlfn.IFNA(VLOOKUP(AY433,Ptd_Mtr!$A:$B,2,FALSE),0)</f>
        <v>0</v>
      </c>
      <c r="BA433" s="277">
        <f t="shared" si="57"/>
        <v>0</v>
      </c>
      <c r="BB433" s="275"/>
      <c r="BC433" s="276">
        <f>_xlfn.IFNA(VLOOKUP(BB433,Ptd_Mtr!$A:$B,2,FALSE),0)</f>
        <v>0</v>
      </c>
      <c r="BD433" s="277">
        <f t="shared" si="58"/>
        <v>0</v>
      </c>
      <c r="BE433" s="275"/>
      <c r="BF433" s="276">
        <f>_xlfn.IFNA(VLOOKUP(BE433,Ptd_Mtr!$A:$B,2,FALSE),0)</f>
        <v>0</v>
      </c>
      <c r="BG433" s="277">
        <f t="shared" si="59"/>
        <v>0</v>
      </c>
      <c r="BH433" s="275"/>
      <c r="BI433" s="276">
        <f>_xlfn.IFNA(VLOOKUP(BH433,Ptd_Mtr!$A:$B,2,FALSE),0)</f>
        <v>0</v>
      </c>
      <c r="BJ433" s="277">
        <f t="shared" si="60"/>
        <v>0</v>
      </c>
      <c r="BK433" s="275"/>
      <c r="BL433" s="276">
        <f>_xlfn.IFNA(VLOOKUP(BK433,Ptd_Mtr!$A:$B,2,FALSE),0)</f>
        <v>0</v>
      </c>
      <c r="BM433" s="277">
        <f t="shared" si="61"/>
        <v>0</v>
      </c>
      <c r="BN433" s="275"/>
      <c r="BO433" s="276">
        <f>_xlfn.IFNA(VLOOKUP(BN433,Ptd_Mtr!$A:$B,2,FALSE),0)</f>
        <v>0</v>
      </c>
      <c r="BP433" s="277">
        <f t="shared" si="62"/>
        <v>0</v>
      </c>
      <c r="BQ433" s="275">
        <f t="shared" si="36"/>
        <v>0</v>
      </c>
      <c r="BR433" s="278">
        <f t="shared" si="37"/>
        <v>0</v>
      </c>
      <c r="BS433" s="268"/>
      <c r="BT433" s="268"/>
    </row>
    <row r="434" spans="1:72">
      <c r="A434" s="142"/>
      <c r="B434" s="268"/>
      <c r="C434" s="268"/>
      <c r="D434" s="264">
        <f t="shared" si="40"/>
        <v>0</v>
      </c>
      <c r="E434" s="264">
        <f t="shared" si="41"/>
        <v>0</v>
      </c>
      <c r="F434" s="275"/>
      <c r="G434" s="276">
        <f>_xlfn.IFNA(VLOOKUP(F434,Ptd_Mtr!$A:$B,2,FALSE),0)</f>
        <v>0</v>
      </c>
      <c r="H434" s="277">
        <f t="shared" si="42"/>
        <v>0</v>
      </c>
      <c r="I434" s="275"/>
      <c r="J434" s="276">
        <f>_xlfn.IFNA(VLOOKUP(I434,Ptd_Mtr!$A:$B,2,FALSE),0)</f>
        <v>0</v>
      </c>
      <c r="K434" s="277">
        <f t="shared" si="43"/>
        <v>0</v>
      </c>
      <c r="L434" s="275"/>
      <c r="M434" s="276">
        <f>_xlfn.IFNA(VLOOKUP(L434,Ptd_Mtr!$A:$B,2,FALSE),0)</f>
        <v>0</v>
      </c>
      <c r="N434" s="277">
        <f t="shared" si="44"/>
        <v>0</v>
      </c>
      <c r="O434" s="275"/>
      <c r="P434" s="276">
        <f>_xlfn.IFNA(VLOOKUP(O434,Ptd_Mtr!$A:$B,2,FALSE),0)</f>
        <v>0</v>
      </c>
      <c r="Q434" s="277">
        <f t="shared" si="45"/>
        <v>0</v>
      </c>
      <c r="R434" s="275"/>
      <c r="S434" s="276">
        <f>_xlfn.IFNA(VLOOKUP(R434,Ptd_Mtr!$A:$B,2,FALSE),0)</f>
        <v>0</v>
      </c>
      <c r="T434" s="277">
        <f t="shared" si="46"/>
        <v>0</v>
      </c>
      <c r="U434" s="275"/>
      <c r="V434" s="276">
        <f>_xlfn.IFNA(VLOOKUP(U434,Ptd_Mtr!$A:$B,2,FALSE),0)</f>
        <v>0</v>
      </c>
      <c r="W434" s="277">
        <f t="shared" si="47"/>
        <v>0</v>
      </c>
      <c r="X434" s="275" t="s">
        <v>835</v>
      </c>
      <c r="Y434" s="276">
        <f>_xlfn.IFNA(VLOOKUP(X434,Ptd_Mtr!$A:$B,2,FALSE),0)</f>
        <v>0</v>
      </c>
      <c r="Z434" s="277">
        <f t="shared" si="48"/>
        <v>0</v>
      </c>
      <c r="AA434" s="275"/>
      <c r="AB434" s="276">
        <f>_xlfn.IFNA(VLOOKUP(AA434,Ptd_Mtr!$A:$B,2,FALSE),0)</f>
        <v>0</v>
      </c>
      <c r="AC434" s="277">
        <f t="shared" si="49"/>
        <v>0</v>
      </c>
      <c r="AD434" s="275"/>
      <c r="AE434" s="276">
        <f>_xlfn.IFNA(VLOOKUP(AD434,Ptd_Mtr!$A:$B,2,FALSE),0)</f>
        <v>0</v>
      </c>
      <c r="AF434" s="277">
        <f t="shared" si="50"/>
        <v>0</v>
      </c>
      <c r="AG434" s="275"/>
      <c r="AH434" s="276">
        <f>_xlfn.IFNA(VLOOKUP(AG434,Ptd_Mtr!$A:$B,2,FALSE),0)</f>
        <v>0</v>
      </c>
      <c r="AI434" s="277">
        <f t="shared" si="51"/>
        <v>0</v>
      </c>
      <c r="AJ434" s="275"/>
      <c r="AK434" s="276">
        <f>_xlfn.IFNA(VLOOKUP(AJ434,Ptd_Mtr!$A:$B,2,FALSE),0)</f>
        <v>0</v>
      </c>
      <c r="AL434" s="277">
        <f t="shared" si="52"/>
        <v>0</v>
      </c>
      <c r="AM434" s="275"/>
      <c r="AN434" s="276">
        <f>_xlfn.IFNA(VLOOKUP(AM434,Ptd_Mtr!$A:$B,2,FALSE),0)</f>
        <v>0</v>
      </c>
      <c r="AO434" s="277">
        <f t="shared" si="53"/>
        <v>0</v>
      </c>
      <c r="AP434" s="275"/>
      <c r="AQ434" s="276">
        <f>_xlfn.IFNA(VLOOKUP(AP434,Ptd_Mtr!$A:$B,2,FALSE),0)</f>
        <v>0</v>
      </c>
      <c r="AR434" s="277">
        <f t="shared" si="54"/>
        <v>0</v>
      </c>
      <c r="AS434" s="275"/>
      <c r="AT434" s="276">
        <f>_xlfn.IFNA(VLOOKUP(AS434,Ptd_Mtr!$A:$B,2,FALSE),0)</f>
        <v>0</v>
      </c>
      <c r="AU434" s="277">
        <f t="shared" si="55"/>
        <v>0</v>
      </c>
      <c r="AV434" s="275"/>
      <c r="AW434" s="276">
        <f>_xlfn.IFNA(VLOOKUP(AV434,Ptd_Mtr!$A:$B,2,FALSE),0)</f>
        <v>0</v>
      </c>
      <c r="AX434" s="277">
        <f t="shared" si="56"/>
        <v>0</v>
      </c>
      <c r="AY434" s="275"/>
      <c r="AZ434" s="276">
        <f>_xlfn.IFNA(VLOOKUP(AY434,Ptd_Mtr!$A:$B,2,FALSE),0)</f>
        <v>0</v>
      </c>
      <c r="BA434" s="277">
        <f t="shared" si="57"/>
        <v>0</v>
      </c>
      <c r="BB434" s="275"/>
      <c r="BC434" s="276">
        <f>_xlfn.IFNA(VLOOKUP(BB434,Ptd_Mtr!$A:$B,2,FALSE),0)</f>
        <v>0</v>
      </c>
      <c r="BD434" s="277">
        <f t="shared" si="58"/>
        <v>0</v>
      </c>
      <c r="BE434" s="275"/>
      <c r="BF434" s="276">
        <f>_xlfn.IFNA(VLOOKUP(BE434,Ptd_Mtr!$A:$B,2,FALSE),0)</f>
        <v>0</v>
      </c>
      <c r="BG434" s="277">
        <f t="shared" si="59"/>
        <v>0</v>
      </c>
      <c r="BH434" s="275"/>
      <c r="BI434" s="276">
        <f>_xlfn.IFNA(VLOOKUP(BH434,Ptd_Mtr!$A:$B,2,FALSE),0)</f>
        <v>0</v>
      </c>
      <c r="BJ434" s="277">
        <f t="shared" si="60"/>
        <v>0</v>
      </c>
      <c r="BK434" s="275"/>
      <c r="BL434" s="276">
        <f>_xlfn.IFNA(VLOOKUP(BK434,Ptd_Mtr!$A:$B,2,FALSE),0)</f>
        <v>0</v>
      </c>
      <c r="BM434" s="277">
        <f t="shared" si="61"/>
        <v>0</v>
      </c>
      <c r="BN434" s="275"/>
      <c r="BO434" s="276">
        <f>_xlfn.IFNA(VLOOKUP(BN434,Ptd_Mtr!$A:$B,2,FALSE),0)</f>
        <v>0</v>
      </c>
      <c r="BP434" s="277">
        <f t="shared" si="62"/>
        <v>0</v>
      </c>
      <c r="BQ434" s="275">
        <f t="shared" si="36"/>
        <v>0</v>
      </c>
      <c r="BR434" s="278">
        <f t="shared" si="37"/>
        <v>0</v>
      </c>
      <c r="BS434" s="268"/>
      <c r="BT434" s="268"/>
    </row>
    <row r="435" spans="1:72">
      <c r="A435" s="142"/>
      <c r="B435" s="268"/>
      <c r="C435" s="268"/>
      <c r="D435" s="264">
        <f t="shared" si="40"/>
        <v>0</v>
      </c>
      <c r="E435" s="264">
        <f t="shared" si="41"/>
        <v>0</v>
      </c>
      <c r="F435" s="275"/>
      <c r="G435" s="276">
        <f>_xlfn.IFNA(VLOOKUP(F435,Ptd_Mtr!$A:$B,2,FALSE),0)</f>
        <v>0</v>
      </c>
      <c r="H435" s="277">
        <f t="shared" si="42"/>
        <v>0</v>
      </c>
      <c r="I435" s="275"/>
      <c r="J435" s="276">
        <f>_xlfn.IFNA(VLOOKUP(I435,Ptd_Mtr!$A:$B,2,FALSE),0)</f>
        <v>0</v>
      </c>
      <c r="K435" s="277">
        <f t="shared" si="43"/>
        <v>0</v>
      </c>
      <c r="L435" s="275"/>
      <c r="M435" s="276">
        <f>_xlfn.IFNA(VLOOKUP(L435,Ptd_Mtr!$A:$B,2,FALSE),0)</f>
        <v>0</v>
      </c>
      <c r="N435" s="277">
        <f t="shared" si="44"/>
        <v>0</v>
      </c>
      <c r="O435" s="275"/>
      <c r="P435" s="276">
        <f>_xlfn.IFNA(VLOOKUP(O435,Ptd_Mtr!$A:$B,2,FALSE),0)</f>
        <v>0</v>
      </c>
      <c r="Q435" s="277">
        <f t="shared" si="45"/>
        <v>0</v>
      </c>
      <c r="R435" s="275"/>
      <c r="S435" s="276">
        <f>_xlfn.IFNA(VLOOKUP(R435,Ptd_Mtr!$A:$B,2,FALSE),0)</f>
        <v>0</v>
      </c>
      <c r="T435" s="277">
        <f t="shared" si="46"/>
        <v>0</v>
      </c>
      <c r="U435" s="275"/>
      <c r="V435" s="276">
        <f>_xlfn.IFNA(VLOOKUP(U435,Ptd_Mtr!$A:$B,2,FALSE),0)</f>
        <v>0</v>
      </c>
      <c r="W435" s="277">
        <f t="shared" si="47"/>
        <v>0</v>
      </c>
      <c r="X435" s="275" t="s">
        <v>835</v>
      </c>
      <c r="Y435" s="276">
        <f>_xlfn.IFNA(VLOOKUP(X435,Ptd_Mtr!$A:$B,2,FALSE),0)</f>
        <v>0</v>
      </c>
      <c r="Z435" s="277">
        <f t="shared" si="48"/>
        <v>0</v>
      </c>
      <c r="AA435" s="275"/>
      <c r="AB435" s="276">
        <f>_xlfn.IFNA(VLOOKUP(AA435,Ptd_Mtr!$A:$B,2,FALSE),0)</f>
        <v>0</v>
      </c>
      <c r="AC435" s="277">
        <f t="shared" si="49"/>
        <v>0</v>
      </c>
      <c r="AD435" s="275"/>
      <c r="AE435" s="276">
        <f>_xlfn.IFNA(VLOOKUP(AD435,Ptd_Mtr!$A:$B,2,FALSE),0)</f>
        <v>0</v>
      </c>
      <c r="AF435" s="277">
        <f t="shared" si="50"/>
        <v>0</v>
      </c>
      <c r="AG435" s="275"/>
      <c r="AH435" s="276">
        <f>_xlfn.IFNA(VLOOKUP(AG435,Ptd_Mtr!$A:$B,2,FALSE),0)</f>
        <v>0</v>
      </c>
      <c r="AI435" s="277">
        <f t="shared" si="51"/>
        <v>0</v>
      </c>
      <c r="AJ435" s="275"/>
      <c r="AK435" s="276">
        <f>_xlfn.IFNA(VLOOKUP(AJ435,Ptd_Mtr!$A:$B,2,FALSE),0)</f>
        <v>0</v>
      </c>
      <c r="AL435" s="277">
        <f t="shared" si="52"/>
        <v>0</v>
      </c>
      <c r="AM435" s="275"/>
      <c r="AN435" s="276">
        <f>_xlfn.IFNA(VLOOKUP(AM435,Ptd_Mtr!$A:$B,2,FALSE),0)</f>
        <v>0</v>
      </c>
      <c r="AO435" s="277">
        <f t="shared" si="53"/>
        <v>0</v>
      </c>
      <c r="AP435" s="275"/>
      <c r="AQ435" s="276">
        <f>_xlfn.IFNA(VLOOKUP(AP435,Ptd_Mtr!$A:$B,2,FALSE),0)</f>
        <v>0</v>
      </c>
      <c r="AR435" s="277">
        <f t="shared" si="54"/>
        <v>0</v>
      </c>
      <c r="AS435" s="275"/>
      <c r="AT435" s="276">
        <f>_xlfn.IFNA(VLOOKUP(AS435,Ptd_Mtr!$A:$B,2,FALSE),0)</f>
        <v>0</v>
      </c>
      <c r="AU435" s="277">
        <f t="shared" si="55"/>
        <v>0</v>
      </c>
      <c r="AV435" s="275"/>
      <c r="AW435" s="276">
        <f>_xlfn.IFNA(VLOOKUP(AV435,Ptd_Mtr!$A:$B,2,FALSE),0)</f>
        <v>0</v>
      </c>
      <c r="AX435" s="277">
        <f t="shared" si="56"/>
        <v>0</v>
      </c>
      <c r="AY435" s="275"/>
      <c r="AZ435" s="276">
        <f>_xlfn.IFNA(VLOOKUP(AY435,Ptd_Mtr!$A:$B,2,FALSE),0)</f>
        <v>0</v>
      </c>
      <c r="BA435" s="277">
        <f t="shared" si="57"/>
        <v>0</v>
      </c>
      <c r="BB435" s="275"/>
      <c r="BC435" s="276">
        <f>_xlfn.IFNA(VLOOKUP(BB435,Ptd_Mtr!$A:$B,2,FALSE),0)</f>
        <v>0</v>
      </c>
      <c r="BD435" s="277">
        <f t="shared" si="58"/>
        <v>0</v>
      </c>
      <c r="BE435" s="275"/>
      <c r="BF435" s="276">
        <f>_xlfn.IFNA(VLOOKUP(BE435,Ptd_Mtr!$A:$B,2,FALSE),0)</f>
        <v>0</v>
      </c>
      <c r="BG435" s="277">
        <f t="shared" si="59"/>
        <v>0</v>
      </c>
      <c r="BH435" s="275"/>
      <c r="BI435" s="276">
        <f>_xlfn.IFNA(VLOOKUP(BH435,Ptd_Mtr!$A:$B,2,FALSE),0)</f>
        <v>0</v>
      </c>
      <c r="BJ435" s="277">
        <f t="shared" si="60"/>
        <v>0</v>
      </c>
      <c r="BK435" s="275"/>
      <c r="BL435" s="276">
        <f>_xlfn.IFNA(VLOOKUP(BK435,Ptd_Mtr!$A:$B,2,FALSE),0)</f>
        <v>0</v>
      </c>
      <c r="BM435" s="277">
        <f t="shared" si="61"/>
        <v>0</v>
      </c>
      <c r="BN435" s="275"/>
      <c r="BO435" s="276">
        <f>_xlfn.IFNA(VLOOKUP(BN435,Ptd_Mtr!$A:$B,2,FALSE),0)</f>
        <v>0</v>
      </c>
      <c r="BP435" s="277">
        <f t="shared" si="62"/>
        <v>0</v>
      </c>
      <c r="BQ435" s="275">
        <f t="shared" si="36"/>
        <v>0</v>
      </c>
      <c r="BR435" s="278">
        <f t="shared" si="37"/>
        <v>0</v>
      </c>
      <c r="BS435" s="268"/>
      <c r="BT435" s="268"/>
    </row>
    <row r="436" spans="1:72">
      <c r="A436" s="142"/>
      <c r="B436" s="268"/>
      <c r="C436" s="268"/>
      <c r="D436" s="264">
        <f t="shared" si="40"/>
        <v>0</v>
      </c>
      <c r="E436" s="264">
        <f t="shared" si="41"/>
        <v>0</v>
      </c>
      <c r="F436" s="275"/>
      <c r="G436" s="276">
        <f>_xlfn.IFNA(VLOOKUP(F436,Ptd_Mtr!$A:$B,2,FALSE),0)</f>
        <v>0</v>
      </c>
      <c r="H436" s="277">
        <f t="shared" si="42"/>
        <v>0</v>
      </c>
      <c r="I436" s="275"/>
      <c r="J436" s="276">
        <f>_xlfn.IFNA(VLOOKUP(I436,Ptd_Mtr!$A:$B,2,FALSE),0)</f>
        <v>0</v>
      </c>
      <c r="K436" s="277">
        <f t="shared" si="43"/>
        <v>0</v>
      </c>
      <c r="L436" s="275"/>
      <c r="M436" s="276">
        <f>_xlfn.IFNA(VLOOKUP(L436,Ptd_Mtr!$A:$B,2,FALSE),0)</f>
        <v>0</v>
      </c>
      <c r="N436" s="277">
        <f t="shared" si="44"/>
        <v>0</v>
      </c>
      <c r="O436" s="275"/>
      <c r="P436" s="276">
        <f>_xlfn.IFNA(VLOOKUP(O436,Ptd_Mtr!$A:$B,2,FALSE),0)</f>
        <v>0</v>
      </c>
      <c r="Q436" s="277">
        <f t="shared" si="45"/>
        <v>0</v>
      </c>
      <c r="R436" s="275"/>
      <c r="S436" s="276">
        <f>_xlfn.IFNA(VLOOKUP(R436,Ptd_Mtr!$A:$B,2,FALSE),0)</f>
        <v>0</v>
      </c>
      <c r="T436" s="277">
        <f t="shared" si="46"/>
        <v>0</v>
      </c>
      <c r="U436" s="275"/>
      <c r="V436" s="276">
        <f>_xlfn.IFNA(VLOOKUP(U436,Ptd_Mtr!$A:$B,2,FALSE),0)</f>
        <v>0</v>
      </c>
      <c r="W436" s="277">
        <f t="shared" si="47"/>
        <v>0</v>
      </c>
      <c r="X436" s="275" t="s">
        <v>835</v>
      </c>
      <c r="Y436" s="276">
        <f>_xlfn.IFNA(VLOOKUP(X436,Ptd_Mtr!$A:$B,2,FALSE),0)</f>
        <v>0</v>
      </c>
      <c r="Z436" s="277">
        <f t="shared" si="48"/>
        <v>0</v>
      </c>
      <c r="AA436" s="275"/>
      <c r="AB436" s="276">
        <f>_xlfn.IFNA(VLOOKUP(AA436,Ptd_Mtr!$A:$B,2,FALSE),0)</f>
        <v>0</v>
      </c>
      <c r="AC436" s="277">
        <f t="shared" si="49"/>
        <v>0</v>
      </c>
      <c r="AD436" s="275"/>
      <c r="AE436" s="276">
        <f>_xlfn.IFNA(VLOOKUP(AD436,Ptd_Mtr!$A:$B,2,FALSE),0)</f>
        <v>0</v>
      </c>
      <c r="AF436" s="277">
        <f t="shared" si="50"/>
        <v>0</v>
      </c>
      <c r="AG436" s="275"/>
      <c r="AH436" s="276">
        <f>_xlfn.IFNA(VLOOKUP(AG436,Ptd_Mtr!$A:$B,2,FALSE),0)</f>
        <v>0</v>
      </c>
      <c r="AI436" s="277">
        <f t="shared" si="51"/>
        <v>0</v>
      </c>
      <c r="AJ436" s="275"/>
      <c r="AK436" s="276">
        <f>_xlfn.IFNA(VLOOKUP(AJ436,Ptd_Mtr!$A:$B,2,FALSE),0)</f>
        <v>0</v>
      </c>
      <c r="AL436" s="277">
        <f t="shared" si="52"/>
        <v>0</v>
      </c>
      <c r="AM436" s="275"/>
      <c r="AN436" s="276">
        <f>_xlfn.IFNA(VLOOKUP(AM436,Ptd_Mtr!$A:$B,2,FALSE),0)</f>
        <v>0</v>
      </c>
      <c r="AO436" s="277">
        <f t="shared" si="53"/>
        <v>0</v>
      </c>
      <c r="AP436" s="275"/>
      <c r="AQ436" s="276">
        <f>_xlfn.IFNA(VLOOKUP(AP436,Ptd_Mtr!$A:$B,2,FALSE),0)</f>
        <v>0</v>
      </c>
      <c r="AR436" s="277">
        <f t="shared" si="54"/>
        <v>0</v>
      </c>
      <c r="AS436" s="275"/>
      <c r="AT436" s="276">
        <f>_xlfn.IFNA(VLOOKUP(AS436,Ptd_Mtr!$A:$B,2,FALSE),0)</f>
        <v>0</v>
      </c>
      <c r="AU436" s="277">
        <f t="shared" si="55"/>
        <v>0</v>
      </c>
      <c r="AV436" s="275"/>
      <c r="AW436" s="276">
        <f>_xlfn.IFNA(VLOOKUP(AV436,Ptd_Mtr!$A:$B,2,FALSE),0)</f>
        <v>0</v>
      </c>
      <c r="AX436" s="277">
        <f t="shared" si="56"/>
        <v>0</v>
      </c>
      <c r="AY436" s="275"/>
      <c r="AZ436" s="276">
        <f>_xlfn.IFNA(VLOOKUP(AY436,Ptd_Mtr!$A:$B,2,FALSE),0)</f>
        <v>0</v>
      </c>
      <c r="BA436" s="277">
        <f t="shared" si="57"/>
        <v>0</v>
      </c>
      <c r="BB436" s="275"/>
      <c r="BC436" s="276">
        <f>_xlfn.IFNA(VLOOKUP(BB436,Ptd_Mtr!$A:$B,2,FALSE),0)</f>
        <v>0</v>
      </c>
      <c r="BD436" s="277">
        <f t="shared" si="58"/>
        <v>0</v>
      </c>
      <c r="BE436" s="275"/>
      <c r="BF436" s="276">
        <f>_xlfn.IFNA(VLOOKUP(BE436,Ptd_Mtr!$A:$B,2,FALSE),0)</f>
        <v>0</v>
      </c>
      <c r="BG436" s="277">
        <f t="shared" si="59"/>
        <v>0</v>
      </c>
      <c r="BH436" s="275"/>
      <c r="BI436" s="276">
        <f>_xlfn.IFNA(VLOOKUP(BH436,Ptd_Mtr!$A:$B,2,FALSE),0)</f>
        <v>0</v>
      </c>
      <c r="BJ436" s="277">
        <f t="shared" si="60"/>
        <v>0</v>
      </c>
      <c r="BK436" s="275"/>
      <c r="BL436" s="276">
        <f>_xlfn.IFNA(VLOOKUP(BK436,Ptd_Mtr!$A:$B,2,FALSE),0)</f>
        <v>0</v>
      </c>
      <c r="BM436" s="277">
        <f t="shared" si="61"/>
        <v>0</v>
      </c>
      <c r="BN436" s="275"/>
      <c r="BO436" s="276">
        <f>_xlfn.IFNA(VLOOKUP(BN436,Ptd_Mtr!$A:$B,2,FALSE),0)</f>
        <v>0</v>
      </c>
      <c r="BP436" s="277">
        <f t="shared" si="62"/>
        <v>0</v>
      </c>
      <c r="BQ436" s="275">
        <f t="shared" si="36"/>
        <v>0</v>
      </c>
      <c r="BR436" s="278">
        <f t="shared" si="37"/>
        <v>0</v>
      </c>
      <c r="BS436" s="268"/>
      <c r="BT436" s="268"/>
    </row>
    <row r="437" spans="1:72">
      <c r="A437" s="142"/>
      <c r="B437" s="268"/>
      <c r="C437" s="268"/>
      <c r="D437" s="264">
        <f t="shared" si="40"/>
        <v>0</v>
      </c>
      <c r="E437" s="264">
        <f t="shared" si="41"/>
        <v>0</v>
      </c>
      <c r="F437" s="275"/>
      <c r="G437" s="276">
        <f>_xlfn.IFNA(VLOOKUP(F437,Ptd_Mtr!$A:$B,2,FALSE),0)</f>
        <v>0</v>
      </c>
      <c r="H437" s="277">
        <f t="shared" si="42"/>
        <v>0</v>
      </c>
      <c r="I437" s="275"/>
      <c r="J437" s="276">
        <f>_xlfn.IFNA(VLOOKUP(I437,Ptd_Mtr!$A:$B,2,FALSE),0)</f>
        <v>0</v>
      </c>
      <c r="K437" s="277">
        <f t="shared" si="43"/>
        <v>0</v>
      </c>
      <c r="L437" s="275"/>
      <c r="M437" s="276">
        <f>_xlfn.IFNA(VLOOKUP(L437,Ptd_Mtr!$A:$B,2,FALSE),0)</f>
        <v>0</v>
      </c>
      <c r="N437" s="277">
        <f t="shared" si="44"/>
        <v>0</v>
      </c>
      <c r="O437" s="275"/>
      <c r="P437" s="276">
        <f>_xlfn.IFNA(VLOOKUP(O437,Ptd_Mtr!$A:$B,2,FALSE),0)</f>
        <v>0</v>
      </c>
      <c r="Q437" s="277">
        <f t="shared" si="45"/>
        <v>0</v>
      </c>
      <c r="R437" s="275"/>
      <c r="S437" s="276">
        <f>_xlfn.IFNA(VLOOKUP(R437,Ptd_Mtr!$A:$B,2,FALSE),0)</f>
        <v>0</v>
      </c>
      <c r="T437" s="277">
        <f t="shared" si="46"/>
        <v>0</v>
      </c>
      <c r="U437" s="275"/>
      <c r="V437" s="276">
        <f>_xlfn.IFNA(VLOOKUP(U437,Ptd_Mtr!$A:$B,2,FALSE),0)</f>
        <v>0</v>
      </c>
      <c r="W437" s="277">
        <f t="shared" si="47"/>
        <v>0</v>
      </c>
      <c r="X437" s="275" t="s">
        <v>835</v>
      </c>
      <c r="Y437" s="276">
        <f>_xlfn.IFNA(VLOOKUP(X437,Ptd_Mtr!$A:$B,2,FALSE),0)</f>
        <v>0</v>
      </c>
      <c r="Z437" s="277">
        <f t="shared" si="48"/>
        <v>0</v>
      </c>
      <c r="AA437" s="275"/>
      <c r="AB437" s="276">
        <f>_xlfn.IFNA(VLOOKUP(AA437,Ptd_Mtr!$A:$B,2,FALSE),0)</f>
        <v>0</v>
      </c>
      <c r="AC437" s="277">
        <f t="shared" si="49"/>
        <v>0</v>
      </c>
      <c r="AD437" s="275"/>
      <c r="AE437" s="276">
        <f>_xlfn.IFNA(VLOOKUP(AD437,Ptd_Mtr!$A:$B,2,FALSE),0)</f>
        <v>0</v>
      </c>
      <c r="AF437" s="277">
        <f t="shared" si="50"/>
        <v>0</v>
      </c>
      <c r="AG437" s="275"/>
      <c r="AH437" s="276">
        <f>_xlfn.IFNA(VLOOKUP(AG437,Ptd_Mtr!$A:$B,2,FALSE),0)</f>
        <v>0</v>
      </c>
      <c r="AI437" s="277">
        <f t="shared" si="51"/>
        <v>0</v>
      </c>
      <c r="AJ437" s="275"/>
      <c r="AK437" s="276">
        <f>_xlfn.IFNA(VLOOKUP(AJ437,Ptd_Mtr!$A:$B,2,FALSE),0)</f>
        <v>0</v>
      </c>
      <c r="AL437" s="277">
        <f t="shared" si="52"/>
        <v>0</v>
      </c>
      <c r="AM437" s="275"/>
      <c r="AN437" s="276">
        <f>_xlfn.IFNA(VLOOKUP(AM437,Ptd_Mtr!$A:$B,2,FALSE),0)</f>
        <v>0</v>
      </c>
      <c r="AO437" s="277">
        <f t="shared" si="53"/>
        <v>0</v>
      </c>
      <c r="AP437" s="275"/>
      <c r="AQ437" s="276">
        <f>_xlfn.IFNA(VLOOKUP(AP437,Ptd_Mtr!$A:$B,2,FALSE),0)</f>
        <v>0</v>
      </c>
      <c r="AR437" s="277">
        <f t="shared" si="54"/>
        <v>0</v>
      </c>
      <c r="AS437" s="275"/>
      <c r="AT437" s="276">
        <f>_xlfn.IFNA(VLOOKUP(AS437,Ptd_Mtr!$A:$B,2,FALSE),0)</f>
        <v>0</v>
      </c>
      <c r="AU437" s="277">
        <f t="shared" si="55"/>
        <v>0</v>
      </c>
      <c r="AV437" s="275"/>
      <c r="AW437" s="276">
        <f>_xlfn.IFNA(VLOOKUP(AV437,Ptd_Mtr!$A:$B,2,FALSE),0)</f>
        <v>0</v>
      </c>
      <c r="AX437" s="277">
        <f t="shared" si="56"/>
        <v>0</v>
      </c>
      <c r="AY437" s="275"/>
      <c r="AZ437" s="276">
        <f>_xlfn.IFNA(VLOOKUP(AY437,Ptd_Mtr!$A:$B,2,FALSE),0)</f>
        <v>0</v>
      </c>
      <c r="BA437" s="277">
        <f t="shared" si="57"/>
        <v>0</v>
      </c>
      <c r="BB437" s="275"/>
      <c r="BC437" s="276">
        <f>_xlfn.IFNA(VLOOKUP(BB437,Ptd_Mtr!$A:$B,2,FALSE),0)</f>
        <v>0</v>
      </c>
      <c r="BD437" s="277">
        <f t="shared" si="58"/>
        <v>0</v>
      </c>
      <c r="BE437" s="275"/>
      <c r="BF437" s="276">
        <f>_xlfn.IFNA(VLOOKUP(BE437,Ptd_Mtr!$A:$B,2,FALSE),0)</f>
        <v>0</v>
      </c>
      <c r="BG437" s="277">
        <f t="shared" si="59"/>
        <v>0</v>
      </c>
      <c r="BH437" s="275"/>
      <c r="BI437" s="276">
        <f>_xlfn.IFNA(VLOOKUP(BH437,Ptd_Mtr!$A:$B,2,FALSE),0)</f>
        <v>0</v>
      </c>
      <c r="BJ437" s="277">
        <f t="shared" si="60"/>
        <v>0</v>
      </c>
      <c r="BK437" s="275"/>
      <c r="BL437" s="276">
        <f>_xlfn.IFNA(VLOOKUP(BK437,Ptd_Mtr!$A:$B,2,FALSE),0)</f>
        <v>0</v>
      </c>
      <c r="BM437" s="277">
        <f t="shared" si="61"/>
        <v>0</v>
      </c>
      <c r="BN437" s="275"/>
      <c r="BO437" s="276">
        <f>_xlfn.IFNA(VLOOKUP(BN437,Ptd_Mtr!$A:$B,2,FALSE),0)</f>
        <v>0</v>
      </c>
      <c r="BP437" s="277">
        <f t="shared" si="62"/>
        <v>0</v>
      </c>
      <c r="BQ437" s="275">
        <f t="shared" si="36"/>
        <v>0</v>
      </c>
      <c r="BR437" s="278">
        <f t="shared" si="37"/>
        <v>0</v>
      </c>
      <c r="BS437" s="268"/>
      <c r="BT437" s="268"/>
    </row>
    <row r="438" spans="1:72">
      <c r="A438" s="142"/>
      <c r="B438" s="268"/>
      <c r="C438" s="268"/>
      <c r="D438" s="264">
        <f t="shared" si="40"/>
        <v>0</v>
      </c>
      <c r="E438" s="264">
        <f t="shared" si="41"/>
        <v>0</v>
      </c>
      <c r="F438" s="275"/>
      <c r="G438" s="276">
        <f>_xlfn.IFNA(VLOOKUP(F438,Ptd_Mtr!$A:$B,2,FALSE),0)</f>
        <v>0</v>
      </c>
      <c r="H438" s="277">
        <f t="shared" si="42"/>
        <v>0</v>
      </c>
      <c r="I438" s="275"/>
      <c r="J438" s="276">
        <f>_xlfn.IFNA(VLOOKUP(I438,Ptd_Mtr!$A:$B,2,FALSE),0)</f>
        <v>0</v>
      </c>
      <c r="K438" s="277">
        <f t="shared" si="43"/>
        <v>0</v>
      </c>
      <c r="L438" s="275"/>
      <c r="M438" s="276">
        <f>_xlfn.IFNA(VLOOKUP(L438,Ptd_Mtr!$A:$B,2,FALSE),0)</f>
        <v>0</v>
      </c>
      <c r="N438" s="277">
        <f t="shared" si="44"/>
        <v>0</v>
      </c>
      <c r="O438" s="275"/>
      <c r="P438" s="276">
        <f>_xlfn.IFNA(VLOOKUP(O438,Ptd_Mtr!$A:$B,2,FALSE),0)</f>
        <v>0</v>
      </c>
      <c r="Q438" s="277">
        <f t="shared" si="45"/>
        <v>0</v>
      </c>
      <c r="R438" s="275"/>
      <c r="S438" s="276">
        <f>_xlfn.IFNA(VLOOKUP(R438,Ptd_Mtr!$A:$B,2,FALSE),0)</f>
        <v>0</v>
      </c>
      <c r="T438" s="277">
        <f t="shared" si="46"/>
        <v>0</v>
      </c>
      <c r="U438" s="275"/>
      <c r="V438" s="276">
        <f>_xlfn.IFNA(VLOOKUP(U438,Ptd_Mtr!$A:$B,2,FALSE),0)</f>
        <v>0</v>
      </c>
      <c r="W438" s="277">
        <f t="shared" si="47"/>
        <v>0</v>
      </c>
      <c r="X438" s="275" t="s">
        <v>835</v>
      </c>
      <c r="Y438" s="276">
        <f>_xlfn.IFNA(VLOOKUP(X438,Ptd_Mtr!$A:$B,2,FALSE),0)</f>
        <v>0</v>
      </c>
      <c r="Z438" s="277">
        <f t="shared" si="48"/>
        <v>0</v>
      </c>
      <c r="AA438" s="275"/>
      <c r="AB438" s="276">
        <f>_xlfn.IFNA(VLOOKUP(AA438,Ptd_Mtr!$A:$B,2,FALSE),0)</f>
        <v>0</v>
      </c>
      <c r="AC438" s="277">
        <f t="shared" si="49"/>
        <v>0</v>
      </c>
      <c r="AD438" s="275"/>
      <c r="AE438" s="276">
        <f>_xlfn.IFNA(VLOOKUP(AD438,Ptd_Mtr!$A:$B,2,FALSE),0)</f>
        <v>0</v>
      </c>
      <c r="AF438" s="277">
        <f t="shared" si="50"/>
        <v>0</v>
      </c>
      <c r="AG438" s="275"/>
      <c r="AH438" s="276">
        <f>_xlfn.IFNA(VLOOKUP(AG438,Ptd_Mtr!$A:$B,2,FALSE),0)</f>
        <v>0</v>
      </c>
      <c r="AI438" s="277">
        <f t="shared" si="51"/>
        <v>0</v>
      </c>
      <c r="AJ438" s="275"/>
      <c r="AK438" s="276">
        <f>_xlfn.IFNA(VLOOKUP(AJ438,Ptd_Mtr!$A:$B,2,FALSE),0)</f>
        <v>0</v>
      </c>
      <c r="AL438" s="277">
        <f t="shared" si="52"/>
        <v>0</v>
      </c>
      <c r="AM438" s="275"/>
      <c r="AN438" s="276">
        <f>_xlfn.IFNA(VLOOKUP(AM438,Ptd_Mtr!$A:$B,2,FALSE),0)</f>
        <v>0</v>
      </c>
      <c r="AO438" s="277">
        <f t="shared" si="53"/>
        <v>0</v>
      </c>
      <c r="AP438" s="275"/>
      <c r="AQ438" s="276">
        <f>_xlfn.IFNA(VLOOKUP(AP438,Ptd_Mtr!$A:$B,2,FALSE),0)</f>
        <v>0</v>
      </c>
      <c r="AR438" s="277">
        <f t="shared" si="54"/>
        <v>0</v>
      </c>
      <c r="AS438" s="275"/>
      <c r="AT438" s="276">
        <f>_xlfn.IFNA(VLOOKUP(AS438,Ptd_Mtr!$A:$B,2,FALSE),0)</f>
        <v>0</v>
      </c>
      <c r="AU438" s="277">
        <f t="shared" si="55"/>
        <v>0</v>
      </c>
      <c r="AV438" s="275"/>
      <c r="AW438" s="276">
        <f>_xlfn.IFNA(VLOOKUP(AV438,Ptd_Mtr!$A:$B,2,FALSE),0)</f>
        <v>0</v>
      </c>
      <c r="AX438" s="277">
        <f t="shared" si="56"/>
        <v>0</v>
      </c>
      <c r="AY438" s="275"/>
      <c r="AZ438" s="276">
        <f>_xlfn.IFNA(VLOOKUP(AY438,Ptd_Mtr!$A:$B,2,FALSE),0)</f>
        <v>0</v>
      </c>
      <c r="BA438" s="277">
        <f t="shared" si="57"/>
        <v>0</v>
      </c>
      <c r="BB438" s="275"/>
      <c r="BC438" s="276">
        <f>_xlfn.IFNA(VLOOKUP(BB438,Ptd_Mtr!$A:$B,2,FALSE),0)</f>
        <v>0</v>
      </c>
      <c r="BD438" s="277">
        <f t="shared" si="58"/>
        <v>0</v>
      </c>
      <c r="BE438" s="275"/>
      <c r="BF438" s="276">
        <f>_xlfn.IFNA(VLOOKUP(BE438,Ptd_Mtr!$A:$B,2,FALSE),0)</f>
        <v>0</v>
      </c>
      <c r="BG438" s="277">
        <f t="shared" si="59"/>
        <v>0</v>
      </c>
      <c r="BH438" s="275"/>
      <c r="BI438" s="276">
        <f>_xlfn.IFNA(VLOOKUP(BH438,Ptd_Mtr!$A:$B,2,FALSE),0)</f>
        <v>0</v>
      </c>
      <c r="BJ438" s="277">
        <f t="shared" si="60"/>
        <v>0</v>
      </c>
      <c r="BK438" s="275"/>
      <c r="BL438" s="276">
        <f>_xlfn.IFNA(VLOOKUP(BK438,Ptd_Mtr!$A:$B,2,FALSE),0)</f>
        <v>0</v>
      </c>
      <c r="BM438" s="277">
        <f t="shared" si="61"/>
        <v>0</v>
      </c>
      <c r="BN438" s="275"/>
      <c r="BO438" s="276">
        <f>_xlfn.IFNA(VLOOKUP(BN438,Ptd_Mtr!$A:$B,2,FALSE),0)</f>
        <v>0</v>
      </c>
      <c r="BP438" s="277">
        <f t="shared" si="62"/>
        <v>0</v>
      </c>
      <c r="BQ438" s="275">
        <f t="shared" si="36"/>
        <v>0</v>
      </c>
      <c r="BR438" s="278">
        <f t="shared" si="37"/>
        <v>0</v>
      </c>
      <c r="BS438" s="268"/>
      <c r="BT438" s="268"/>
    </row>
    <row r="439" spans="1:72">
      <c r="A439" s="142"/>
      <c r="B439" s="442"/>
      <c r="C439" s="108"/>
    </row>
    <row r="440" spans="1:72">
      <c r="A440" s="142"/>
      <c r="B440" s="142"/>
      <c r="C440" s="108"/>
    </row>
    <row r="441" spans="1:72">
      <c r="A441" s="142"/>
      <c r="B441" s="142"/>
      <c r="C441" s="108"/>
    </row>
    <row r="442" spans="1:72">
      <c r="A442" s="440" t="s">
        <v>5152</v>
      </c>
      <c r="B442" s="440" t="s">
        <v>993</v>
      </c>
      <c r="C442" s="441" t="s">
        <v>992</v>
      </c>
    </row>
    <row r="443" spans="1:72">
      <c r="A443" s="142" t="s">
        <v>5041</v>
      </c>
      <c r="B443" s="142">
        <f t="shared" ref="B443:B474" si="63">SUMIF(F:F,A443,G:G)+SUMIF(I:I,A443,J:J)+SUMIF(L:L,A443,M:M)+SUMIF(O:O,A443,P:P)+SUMIF(R:R,A443,S:S)+SUMIF(U:U,A443,V:V)+SUMIF(X:X,A443,Y:Y)++SUMIF(AA:AA,A443,AB:AB)++SUMIF(AD:AD,A443,AE:AE)++SUMIF(AG:AG,A443,AH:AH)++SUMIF(AJ:AJ,A443,AK:AK)++SUMIF(AM:AM,A443,AN:AN)+SUMIF(AP:AP,A443,AQ:AQ)+SUMIF(AS:AS,A443,AT:AT)+SUMIF(AV:AV,A443,AW:AW)+SUMIF(AY:AY,A443,AZ:AZ)+SUMIF(BB:BB,A443,BC:BC)+SUMIF(BE:BE,A443,BF:BF)+SUMIF(BH:BH,A443,BI:BI)+SUMIF(BK:BK,A443,BL:BL)+SUMIF(BN:BN,A443,BO:BO)</f>
        <v>0</v>
      </c>
      <c r="C443" s="108">
        <f t="shared" ref="C443:C474" si="64">SUMIF(F:F,A443,H:H)+SUMIF(I:I,A443,K:K)+SUMIF(L:L,A443,N:N)+SUMIF(O:O,A443,Q:Q)+SUMIF(R:R,A443,T:T)+SUMIF(U:U,A443,W:W)+SUMIF(X:X,A443,Z:Z)+SUMIF(AA:AA,A443,AC:AC)+SUMIF(AD:AD,A443,AF:AF)+SUMIF(AG:AG,A443,AI:AI)+SUMIF(AJ:AJ,A443,AL:AL)+SUMIF(AM:AM,A443,AO:AO)+SUMIF(AP:AP,A443,AR:AR)+SUMIF(AS:AS,A443,AU:AU)+SUMIF(AV:AV,A443,AX:ZX)+SUMIF(AY:AY,A443,BA:BA)+SUMIF(BB:BB,A443,BD:BD)+SUMIF(BE:BE,A443,BG:BG)+SUMIF(BH:BH,A443,BJ:BJ)+SUMIF(BK:BK,A443,BM:BM)+SUMIF(BN:BN,A443,BP:BP)</f>
        <v>0</v>
      </c>
      <c r="D443" s="142"/>
    </row>
    <row r="444" spans="1:72">
      <c r="A444" s="142" t="s">
        <v>5060</v>
      </c>
      <c r="B444" s="142">
        <f t="shared" si="63"/>
        <v>0</v>
      </c>
      <c r="C444" s="108">
        <f t="shared" si="64"/>
        <v>0</v>
      </c>
      <c r="D444" s="142"/>
    </row>
    <row r="445" spans="1:72">
      <c r="A445" s="142" t="s">
        <v>5065</v>
      </c>
      <c r="B445" s="142">
        <f t="shared" si="63"/>
        <v>0</v>
      </c>
      <c r="C445" s="108">
        <f t="shared" si="64"/>
        <v>0</v>
      </c>
      <c r="D445" s="142"/>
    </row>
    <row r="446" spans="1:72">
      <c r="A446" s="142" t="s">
        <v>5061</v>
      </c>
      <c r="B446" s="142">
        <f t="shared" si="63"/>
        <v>0</v>
      </c>
      <c r="C446" s="108">
        <f t="shared" si="64"/>
        <v>0</v>
      </c>
      <c r="D446" s="142"/>
    </row>
    <row r="447" spans="1:72">
      <c r="A447" s="142" t="s">
        <v>5044</v>
      </c>
      <c r="B447" s="142">
        <f t="shared" si="63"/>
        <v>0</v>
      </c>
      <c r="C447" s="108">
        <f t="shared" si="64"/>
        <v>0</v>
      </c>
      <c r="D447" s="142"/>
    </row>
    <row r="448" spans="1:72">
      <c r="A448" s="142" t="s">
        <v>5042</v>
      </c>
      <c r="B448" s="142">
        <f t="shared" si="63"/>
        <v>0</v>
      </c>
      <c r="C448" s="108">
        <f t="shared" si="64"/>
        <v>0</v>
      </c>
      <c r="D448" s="142"/>
    </row>
    <row r="449" spans="1:4">
      <c r="A449" s="142" t="s">
        <v>5057</v>
      </c>
      <c r="B449" s="142">
        <f t="shared" si="63"/>
        <v>0</v>
      </c>
      <c r="C449" s="108">
        <f t="shared" si="64"/>
        <v>0</v>
      </c>
      <c r="D449" s="142"/>
    </row>
    <row r="450" spans="1:4">
      <c r="A450" s="142" t="s">
        <v>5131</v>
      </c>
      <c r="B450" s="142">
        <f t="shared" si="63"/>
        <v>0</v>
      </c>
      <c r="C450" s="108">
        <f t="shared" si="64"/>
        <v>0</v>
      </c>
      <c r="D450" s="142"/>
    </row>
    <row r="451" spans="1:4">
      <c r="A451" s="142" t="s">
        <v>5052</v>
      </c>
      <c r="B451" s="142">
        <f t="shared" si="63"/>
        <v>0</v>
      </c>
      <c r="C451" s="108">
        <f t="shared" si="64"/>
        <v>0</v>
      </c>
      <c r="D451" s="142"/>
    </row>
    <row r="452" spans="1:4">
      <c r="A452" s="142" t="s">
        <v>5055</v>
      </c>
      <c r="B452" s="142">
        <f t="shared" si="63"/>
        <v>0</v>
      </c>
      <c r="C452" s="108">
        <f t="shared" si="64"/>
        <v>0</v>
      </c>
      <c r="D452" s="142"/>
    </row>
    <row r="453" spans="1:4">
      <c r="A453" s="142" t="s">
        <v>5047</v>
      </c>
      <c r="B453" s="142">
        <f t="shared" si="63"/>
        <v>0</v>
      </c>
      <c r="C453" s="108">
        <f t="shared" si="64"/>
        <v>0</v>
      </c>
      <c r="D453" s="142"/>
    </row>
    <row r="454" spans="1:4">
      <c r="A454" s="142" t="s">
        <v>5058</v>
      </c>
      <c r="B454" s="142">
        <f t="shared" si="63"/>
        <v>0</v>
      </c>
      <c r="C454" s="108">
        <f t="shared" si="64"/>
        <v>0</v>
      </c>
      <c r="D454" s="142"/>
    </row>
    <row r="455" spans="1:4">
      <c r="A455" s="142" t="s">
        <v>5064</v>
      </c>
      <c r="B455" s="142">
        <f t="shared" si="63"/>
        <v>0</v>
      </c>
      <c r="C455" s="108">
        <f t="shared" si="64"/>
        <v>0</v>
      </c>
      <c r="D455" s="142"/>
    </row>
    <row r="456" spans="1:4">
      <c r="A456" s="142" t="s">
        <v>5066</v>
      </c>
      <c r="B456" s="142">
        <f t="shared" si="63"/>
        <v>0</v>
      </c>
      <c r="C456" s="108">
        <f t="shared" si="64"/>
        <v>0</v>
      </c>
      <c r="D456" s="142"/>
    </row>
    <row r="457" spans="1:4">
      <c r="A457" s="142" t="s">
        <v>5071</v>
      </c>
      <c r="B457" s="142">
        <f t="shared" si="63"/>
        <v>0</v>
      </c>
      <c r="C457" s="108">
        <f t="shared" si="64"/>
        <v>0</v>
      </c>
      <c r="D457" s="142"/>
    </row>
    <row r="458" spans="1:4">
      <c r="A458" s="142" t="s">
        <v>5076</v>
      </c>
      <c r="B458" s="142">
        <f t="shared" si="63"/>
        <v>0</v>
      </c>
      <c r="C458" s="108">
        <f t="shared" si="64"/>
        <v>0</v>
      </c>
      <c r="D458" s="142"/>
    </row>
    <row r="459" spans="1:4">
      <c r="A459" s="142" t="s">
        <v>5077</v>
      </c>
      <c r="B459" s="142">
        <f t="shared" si="63"/>
        <v>0</v>
      </c>
      <c r="C459" s="108">
        <f t="shared" si="64"/>
        <v>0</v>
      </c>
      <c r="D459" s="142"/>
    </row>
    <row r="460" spans="1:4">
      <c r="A460" s="142" t="s">
        <v>5073</v>
      </c>
      <c r="B460" s="142">
        <f t="shared" si="63"/>
        <v>0</v>
      </c>
      <c r="C460" s="108">
        <f t="shared" si="64"/>
        <v>0</v>
      </c>
      <c r="D460" s="142"/>
    </row>
    <row r="461" spans="1:4">
      <c r="A461" s="142" t="s">
        <v>5043</v>
      </c>
      <c r="B461" s="142">
        <f t="shared" si="63"/>
        <v>0</v>
      </c>
      <c r="C461" s="108">
        <f t="shared" si="64"/>
        <v>0</v>
      </c>
      <c r="D461" s="142"/>
    </row>
    <row r="462" spans="1:4">
      <c r="A462" s="142" t="s">
        <v>5134</v>
      </c>
      <c r="B462" s="142">
        <f t="shared" si="63"/>
        <v>0</v>
      </c>
      <c r="C462" s="108">
        <f t="shared" si="64"/>
        <v>0</v>
      </c>
      <c r="D462" s="142"/>
    </row>
    <row r="463" spans="1:4">
      <c r="A463" s="142" t="s">
        <v>2659</v>
      </c>
      <c r="B463" s="142">
        <f t="shared" si="63"/>
        <v>0</v>
      </c>
      <c r="C463" s="108">
        <f t="shared" si="64"/>
        <v>0</v>
      </c>
      <c r="D463" s="142"/>
    </row>
    <row r="464" spans="1:4">
      <c r="A464" s="142" t="s">
        <v>5046</v>
      </c>
      <c r="B464" s="142">
        <f t="shared" si="63"/>
        <v>0</v>
      </c>
      <c r="C464" s="108">
        <f t="shared" si="64"/>
        <v>0</v>
      </c>
      <c r="D464" s="142"/>
    </row>
    <row r="465" spans="1:4">
      <c r="A465" s="142" t="s">
        <v>5067</v>
      </c>
      <c r="B465" s="142">
        <f t="shared" si="63"/>
        <v>0</v>
      </c>
      <c r="C465" s="108">
        <f t="shared" si="64"/>
        <v>0</v>
      </c>
      <c r="D465" s="142"/>
    </row>
    <row r="466" spans="1:4">
      <c r="A466" s="142" t="s">
        <v>5068</v>
      </c>
      <c r="B466" s="142">
        <f t="shared" si="63"/>
        <v>0</v>
      </c>
      <c r="C466" s="108">
        <f t="shared" si="64"/>
        <v>0</v>
      </c>
      <c r="D466" s="142"/>
    </row>
    <row r="467" spans="1:4">
      <c r="A467" s="142" t="s">
        <v>5069</v>
      </c>
      <c r="B467" s="142">
        <f t="shared" si="63"/>
        <v>0</v>
      </c>
      <c r="C467" s="108">
        <f t="shared" si="64"/>
        <v>0</v>
      </c>
      <c r="D467" s="142"/>
    </row>
    <row r="468" spans="1:4">
      <c r="A468" s="142" t="s">
        <v>5045</v>
      </c>
      <c r="B468" s="142">
        <f t="shared" si="63"/>
        <v>0</v>
      </c>
      <c r="C468" s="108">
        <f t="shared" si="64"/>
        <v>0</v>
      </c>
      <c r="D468" s="142"/>
    </row>
    <row r="469" spans="1:4">
      <c r="A469" s="142" t="s">
        <v>5075</v>
      </c>
      <c r="B469" s="142">
        <f t="shared" si="63"/>
        <v>0</v>
      </c>
      <c r="C469" s="108">
        <f t="shared" si="64"/>
        <v>0</v>
      </c>
      <c r="D469" s="142"/>
    </row>
    <row r="470" spans="1:4">
      <c r="A470" s="142" t="s">
        <v>5048</v>
      </c>
      <c r="B470" s="142">
        <f t="shared" si="63"/>
        <v>0</v>
      </c>
      <c r="C470" s="108">
        <f t="shared" si="64"/>
        <v>0</v>
      </c>
      <c r="D470" s="142"/>
    </row>
    <row r="471" spans="1:4">
      <c r="A471" s="142" t="s">
        <v>5049</v>
      </c>
      <c r="B471" s="142">
        <f t="shared" si="63"/>
        <v>0</v>
      </c>
      <c r="C471" s="108">
        <f t="shared" si="64"/>
        <v>0</v>
      </c>
      <c r="D471" s="142"/>
    </row>
    <row r="472" spans="1:4">
      <c r="A472" s="142" t="s">
        <v>5053</v>
      </c>
      <c r="B472" s="142">
        <f t="shared" si="63"/>
        <v>0</v>
      </c>
      <c r="C472" s="108">
        <f t="shared" si="64"/>
        <v>0</v>
      </c>
      <c r="D472" s="142"/>
    </row>
    <row r="473" spans="1:4">
      <c r="A473" s="142" t="s">
        <v>5054</v>
      </c>
      <c r="B473" s="142">
        <f t="shared" si="63"/>
        <v>0</v>
      </c>
      <c r="C473" s="108">
        <f t="shared" si="64"/>
        <v>0</v>
      </c>
      <c r="D473" s="142"/>
    </row>
    <row r="474" spans="1:4">
      <c r="A474" s="142" t="s">
        <v>5059</v>
      </c>
      <c r="B474" s="142">
        <f t="shared" si="63"/>
        <v>0</v>
      </c>
      <c r="C474" s="108">
        <f t="shared" si="64"/>
        <v>0</v>
      </c>
      <c r="D474" s="142"/>
    </row>
    <row r="475" spans="1:4">
      <c r="A475" s="142" t="s">
        <v>5062</v>
      </c>
      <c r="B475" s="142">
        <f t="shared" ref="B475:B506" si="65">SUMIF(F:F,A475,G:G)+SUMIF(I:I,A475,J:J)+SUMIF(L:L,A475,M:M)+SUMIF(O:O,A475,P:P)+SUMIF(R:R,A475,S:S)+SUMIF(U:U,A475,V:V)+SUMIF(X:X,A475,Y:Y)++SUMIF(AA:AA,A475,AB:AB)++SUMIF(AD:AD,A475,AE:AE)++SUMIF(AG:AG,A475,AH:AH)++SUMIF(AJ:AJ,A475,AK:AK)++SUMIF(AM:AM,A475,AN:AN)+SUMIF(AP:AP,A475,AQ:AQ)+SUMIF(AS:AS,A475,AT:AT)+SUMIF(AV:AV,A475,AW:AW)+SUMIF(AY:AY,A475,AZ:AZ)+SUMIF(BB:BB,A475,BC:BC)+SUMIF(BE:BE,A475,BF:BF)+SUMIF(BH:BH,A475,BI:BI)+SUMIF(BK:BK,A475,BL:BL)+SUMIF(BN:BN,A475,BO:BO)</f>
        <v>0</v>
      </c>
      <c r="C475" s="108">
        <f t="shared" ref="C475:C506" si="66">SUMIF(F:F,A475,H:H)+SUMIF(I:I,A475,K:K)+SUMIF(L:L,A475,N:N)+SUMIF(O:O,A475,Q:Q)+SUMIF(R:R,A475,T:T)+SUMIF(U:U,A475,W:W)+SUMIF(X:X,A475,Z:Z)+SUMIF(AA:AA,A475,AC:AC)+SUMIF(AD:AD,A475,AF:AF)+SUMIF(AG:AG,A475,AI:AI)+SUMIF(AJ:AJ,A475,AL:AL)+SUMIF(AM:AM,A475,AO:AO)+SUMIF(AP:AP,A475,AR:AR)+SUMIF(AS:AS,A475,AU:AU)+SUMIF(AV:AV,A475,AX:ZX)+SUMIF(AY:AY,A475,BA:BA)+SUMIF(BB:BB,A475,BD:BD)+SUMIF(BE:BE,A475,BG:BG)+SUMIF(BH:BH,A475,BJ:BJ)+SUMIF(BK:BK,A475,BM:BM)+SUMIF(BN:BN,A475,BP:BP)</f>
        <v>0</v>
      </c>
      <c r="D475" s="142"/>
    </row>
    <row r="476" spans="1:4">
      <c r="A476" s="142" t="s">
        <v>5063</v>
      </c>
      <c r="B476" s="142">
        <f t="shared" si="65"/>
        <v>0</v>
      </c>
      <c r="C476" s="108">
        <f t="shared" si="66"/>
        <v>0</v>
      </c>
      <c r="D476" s="142"/>
    </row>
    <row r="477" spans="1:4">
      <c r="A477" s="142" t="s">
        <v>5050</v>
      </c>
      <c r="B477" s="142">
        <f t="shared" si="65"/>
        <v>0</v>
      </c>
      <c r="C477" s="108">
        <f t="shared" si="66"/>
        <v>0</v>
      </c>
      <c r="D477" s="142"/>
    </row>
    <row r="478" spans="1:4">
      <c r="A478" s="142" t="s">
        <v>5056</v>
      </c>
      <c r="B478" s="142">
        <f t="shared" si="65"/>
        <v>0</v>
      </c>
      <c r="C478" s="108">
        <f t="shared" si="66"/>
        <v>0</v>
      </c>
      <c r="D478" s="142"/>
    </row>
    <row r="479" spans="1:4">
      <c r="A479" s="142" t="s">
        <v>5070</v>
      </c>
      <c r="B479" s="142">
        <f t="shared" si="65"/>
        <v>0</v>
      </c>
      <c r="C479" s="108">
        <f t="shared" si="66"/>
        <v>0</v>
      </c>
      <c r="D479" s="142"/>
    </row>
    <row r="480" spans="1:4">
      <c r="A480" s="142" t="s">
        <v>5072</v>
      </c>
      <c r="B480" s="142">
        <f t="shared" si="65"/>
        <v>0</v>
      </c>
      <c r="C480" s="108">
        <f t="shared" si="66"/>
        <v>0</v>
      </c>
      <c r="D480" s="142"/>
    </row>
    <row r="481" spans="1:4">
      <c r="A481" s="142" t="s">
        <v>5051</v>
      </c>
      <c r="B481" s="142">
        <f t="shared" si="65"/>
        <v>0</v>
      </c>
      <c r="C481" s="108">
        <f t="shared" si="66"/>
        <v>0</v>
      </c>
      <c r="D481" s="142"/>
    </row>
    <row r="482" spans="1:4">
      <c r="A482" s="142" t="s">
        <v>5078</v>
      </c>
      <c r="B482" s="142">
        <f t="shared" si="65"/>
        <v>0</v>
      </c>
      <c r="C482" s="108">
        <f t="shared" si="66"/>
        <v>0</v>
      </c>
      <c r="D482" s="142"/>
    </row>
    <row r="483" spans="1:4">
      <c r="A483" s="142" t="s">
        <v>5098</v>
      </c>
      <c r="B483" s="142">
        <f t="shared" si="65"/>
        <v>0</v>
      </c>
      <c r="C483" s="108">
        <f t="shared" si="66"/>
        <v>0</v>
      </c>
      <c r="D483"/>
    </row>
    <row r="484" spans="1:4">
      <c r="A484" s="142" t="s">
        <v>5103</v>
      </c>
      <c r="B484" s="142">
        <f t="shared" si="65"/>
        <v>0</v>
      </c>
      <c r="C484" s="108">
        <f t="shared" si="66"/>
        <v>0</v>
      </c>
      <c r="D484"/>
    </row>
    <row r="485" spans="1:4">
      <c r="A485" s="142" t="s">
        <v>5099</v>
      </c>
      <c r="B485" s="142">
        <f t="shared" si="65"/>
        <v>0</v>
      </c>
      <c r="C485" s="108">
        <f t="shared" si="66"/>
        <v>0</v>
      </c>
      <c r="D485"/>
    </row>
    <row r="486" spans="1:4">
      <c r="A486" s="142" t="s">
        <v>5082</v>
      </c>
      <c r="B486" s="142">
        <f t="shared" si="65"/>
        <v>0</v>
      </c>
      <c r="C486" s="108">
        <f t="shared" si="66"/>
        <v>0</v>
      </c>
      <c r="D486"/>
    </row>
    <row r="487" spans="1:4">
      <c r="A487" s="142" t="s">
        <v>5079</v>
      </c>
      <c r="B487" s="142">
        <f t="shared" si="65"/>
        <v>0</v>
      </c>
      <c r="C487" s="108">
        <f t="shared" si="66"/>
        <v>0</v>
      </c>
      <c r="D487"/>
    </row>
    <row r="488" spans="1:4">
      <c r="A488" s="142" t="s">
        <v>5095</v>
      </c>
      <c r="B488" s="142">
        <f t="shared" si="65"/>
        <v>0</v>
      </c>
      <c r="C488" s="108">
        <f t="shared" si="66"/>
        <v>0</v>
      </c>
      <c r="D488"/>
    </row>
    <row r="489" spans="1:4">
      <c r="A489" s="142" t="s">
        <v>5081</v>
      </c>
      <c r="B489" s="142">
        <f t="shared" si="65"/>
        <v>0</v>
      </c>
      <c r="C489" s="108">
        <f t="shared" si="66"/>
        <v>0</v>
      </c>
      <c r="D489"/>
    </row>
    <row r="490" spans="1:4">
      <c r="A490" s="142" t="s">
        <v>5090</v>
      </c>
      <c r="B490" s="142">
        <f t="shared" si="65"/>
        <v>0</v>
      </c>
      <c r="C490" s="108">
        <f t="shared" si="66"/>
        <v>0</v>
      </c>
      <c r="D490"/>
    </row>
    <row r="491" spans="1:4">
      <c r="A491" s="142" t="s">
        <v>5085</v>
      </c>
      <c r="B491" s="142">
        <f t="shared" si="65"/>
        <v>0</v>
      </c>
      <c r="C491" s="108">
        <f t="shared" si="66"/>
        <v>0</v>
      </c>
      <c r="D491"/>
    </row>
    <row r="492" spans="1:4">
      <c r="A492" s="142" t="s">
        <v>5132</v>
      </c>
      <c r="B492" s="142">
        <f t="shared" si="65"/>
        <v>0</v>
      </c>
      <c r="C492" s="108">
        <f t="shared" si="66"/>
        <v>0</v>
      </c>
      <c r="D492"/>
    </row>
    <row r="493" spans="1:4">
      <c r="A493" s="142" t="s">
        <v>5096</v>
      </c>
      <c r="B493" s="142">
        <f t="shared" si="65"/>
        <v>0</v>
      </c>
      <c r="C493" s="108">
        <f t="shared" si="66"/>
        <v>0</v>
      </c>
      <c r="D493"/>
    </row>
    <row r="494" spans="1:4">
      <c r="A494" s="142" t="s">
        <v>5102</v>
      </c>
      <c r="B494" s="142">
        <f t="shared" si="65"/>
        <v>0</v>
      </c>
      <c r="C494" s="108">
        <f t="shared" si="66"/>
        <v>0</v>
      </c>
      <c r="D494"/>
    </row>
    <row r="495" spans="1:4">
      <c r="A495" s="142" t="s">
        <v>5104</v>
      </c>
      <c r="B495" s="142">
        <f t="shared" si="65"/>
        <v>0</v>
      </c>
      <c r="C495" s="108">
        <f t="shared" si="66"/>
        <v>0</v>
      </c>
      <c r="D495"/>
    </row>
    <row r="496" spans="1:4">
      <c r="A496" s="142" t="s">
        <v>5109</v>
      </c>
      <c r="B496" s="142">
        <f t="shared" si="65"/>
        <v>0</v>
      </c>
      <c r="C496" s="108">
        <f t="shared" si="66"/>
        <v>0</v>
      </c>
      <c r="D496"/>
    </row>
    <row r="497" spans="1:4">
      <c r="A497" s="142" t="s">
        <v>5113</v>
      </c>
      <c r="B497" s="142">
        <f t="shared" si="65"/>
        <v>0</v>
      </c>
      <c r="C497" s="108">
        <f t="shared" si="66"/>
        <v>0</v>
      </c>
      <c r="D497"/>
    </row>
    <row r="498" spans="1:4">
      <c r="A498" s="142" t="s">
        <v>5114</v>
      </c>
      <c r="B498" s="142">
        <f t="shared" si="65"/>
        <v>0</v>
      </c>
      <c r="C498" s="108">
        <f t="shared" si="66"/>
        <v>0</v>
      </c>
      <c r="D498"/>
    </row>
    <row r="499" spans="1:4">
      <c r="A499" s="142" t="s">
        <v>5111</v>
      </c>
      <c r="B499" s="142">
        <f t="shared" si="65"/>
        <v>0</v>
      </c>
      <c r="C499" s="108">
        <f t="shared" si="66"/>
        <v>0</v>
      </c>
      <c r="D499"/>
    </row>
    <row r="500" spans="1:4">
      <c r="A500" s="142" t="s">
        <v>5080</v>
      </c>
      <c r="B500" s="142">
        <f t="shared" si="65"/>
        <v>0</v>
      </c>
      <c r="C500" s="108">
        <f t="shared" si="66"/>
        <v>0</v>
      </c>
      <c r="D500"/>
    </row>
    <row r="501" spans="1:4">
      <c r="A501" s="142" t="s">
        <v>5093</v>
      </c>
      <c r="B501" s="142">
        <f t="shared" si="65"/>
        <v>0</v>
      </c>
      <c r="C501" s="108">
        <f t="shared" si="66"/>
        <v>0</v>
      </c>
      <c r="D501"/>
    </row>
    <row r="502" spans="1:4">
      <c r="A502" s="142" t="s">
        <v>5128</v>
      </c>
      <c r="B502" s="142">
        <f t="shared" si="65"/>
        <v>0</v>
      </c>
      <c r="C502" s="108">
        <f t="shared" si="66"/>
        <v>0</v>
      </c>
      <c r="D502"/>
    </row>
    <row r="503" spans="1:4">
      <c r="A503" s="142" t="s">
        <v>5084</v>
      </c>
      <c r="B503" s="142">
        <f t="shared" si="65"/>
        <v>0</v>
      </c>
      <c r="C503" s="108">
        <f t="shared" si="66"/>
        <v>0</v>
      </c>
      <c r="D503"/>
    </row>
    <row r="504" spans="1:4">
      <c r="A504" s="142" t="s">
        <v>5105</v>
      </c>
      <c r="B504" s="142">
        <f t="shared" si="65"/>
        <v>0</v>
      </c>
      <c r="C504" s="108">
        <f t="shared" si="66"/>
        <v>0</v>
      </c>
      <c r="D504"/>
    </row>
    <row r="505" spans="1:4">
      <c r="A505" s="142" t="s">
        <v>5106</v>
      </c>
      <c r="B505" s="142">
        <f t="shared" si="65"/>
        <v>0</v>
      </c>
      <c r="C505" s="108">
        <f t="shared" si="66"/>
        <v>0</v>
      </c>
      <c r="D505"/>
    </row>
    <row r="506" spans="1:4">
      <c r="A506" t="s">
        <v>5107</v>
      </c>
      <c r="B506" s="142">
        <f t="shared" si="65"/>
        <v>0</v>
      </c>
      <c r="C506" s="108">
        <f t="shared" si="66"/>
        <v>0</v>
      </c>
      <c r="D506"/>
    </row>
    <row r="507" spans="1:4">
      <c r="A507" t="s">
        <v>5083</v>
      </c>
      <c r="B507" s="142">
        <f t="shared" ref="B507:B534" si="67">SUMIF(F:F,A507,G:G)+SUMIF(I:I,A507,J:J)+SUMIF(L:L,A507,M:M)+SUMIF(O:O,A507,P:P)+SUMIF(R:R,A507,S:S)+SUMIF(U:U,A507,V:V)+SUMIF(X:X,A507,Y:Y)++SUMIF(AA:AA,A507,AB:AB)++SUMIF(AD:AD,A507,AE:AE)++SUMIF(AG:AG,A507,AH:AH)++SUMIF(AJ:AJ,A507,AK:AK)++SUMIF(AM:AM,A507,AN:AN)+SUMIF(AP:AP,A507,AQ:AQ)+SUMIF(AS:AS,A507,AT:AT)+SUMIF(AV:AV,A507,AW:AW)+SUMIF(AY:AY,A507,AZ:AZ)+SUMIF(BB:BB,A507,BC:BC)+SUMIF(BE:BE,A507,BF:BF)+SUMIF(BH:BH,A507,BI:BI)+SUMIF(BK:BK,A507,BL:BL)+SUMIF(BN:BN,A507,BO:BO)</f>
        <v>0</v>
      </c>
      <c r="C507" s="108">
        <f t="shared" ref="C507:C534" si="68">SUMIF(F:F,A507,H:H)+SUMIF(I:I,A507,K:K)+SUMIF(L:L,A507,N:N)+SUMIF(O:O,A507,Q:Q)+SUMIF(R:R,A507,T:T)+SUMIF(U:U,A507,W:W)+SUMIF(X:X,A507,Z:Z)+SUMIF(AA:AA,A507,AC:AC)+SUMIF(AD:AD,A507,AF:AF)+SUMIF(AG:AG,A507,AI:AI)+SUMIF(AJ:AJ,A507,AL:AL)+SUMIF(AM:AM,A507,AO:AO)+SUMIF(AP:AP,A507,AR:AR)+SUMIF(AS:AS,A507,AU:AU)+SUMIF(AV:AV,A507,AX:ZX)+SUMIF(AY:AY,A507,BA:BA)+SUMIF(BB:BB,A507,BD:BD)+SUMIF(BE:BE,A507,BG:BG)+SUMIF(BH:BH,A507,BJ:BJ)+SUMIF(BK:BK,A507,BM:BM)+SUMIF(BN:BN,A507,BP:BP)</f>
        <v>0</v>
      </c>
      <c r="D507"/>
    </row>
    <row r="508" spans="1:4">
      <c r="A508" t="s">
        <v>5112</v>
      </c>
      <c r="B508" s="142">
        <f t="shared" si="67"/>
        <v>0</v>
      </c>
      <c r="C508" s="108">
        <f t="shared" si="68"/>
        <v>0</v>
      </c>
      <c r="D508"/>
    </row>
    <row r="509" spans="1:4">
      <c r="A509" t="s">
        <v>5086</v>
      </c>
      <c r="B509" s="142">
        <f t="shared" si="67"/>
        <v>0</v>
      </c>
      <c r="C509" s="108">
        <f t="shared" si="68"/>
        <v>0</v>
      </c>
      <c r="D509"/>
    </row>
    <row r="510" spans="1:4">
      <c r="A510" t="s">
        <v>5087</v>
      </c>
      <c r="B510" s="142">
        <f t="shared" si="67"/>
        <v>0</v>
      </c>
      <c r="C510" s="108">
        <f t="shared" si="68"/>
        <v>0</v>
      </c>
      <c r="D510"/>
    </row>
    <row r="511" spans="1:4">
      <c r="A511" t="s">
        <v>5091</v>
      </c>
      <c r="B511" s="142">
        <f t="shared" si="67"/>
        <v>0</v>
      </c>
      <c r="C511" s="108">
        <f t="shared" si="68"/>
        <v>0</v>
      </c>
      <c r="D511"/>
    </row>
    <row r="512" spans="1:4">
      <c r="A512" t="s">
        <v>5092</v>
      </c>
      <c r="B512" s="142">
        <f t="shared" si="67"/>
        <v>0</v>
      </c>
      <c r="C512" s="108">
        <f t="shared" si="68"/>
        <v>0</v>
      </c>
      <c r="D512"/>
    </row>
    <row r="513" spans="1:4">
      <c r="A513" t="s">
        <v>5097</v>
      </c>
      <c r="B513" s="142">
        <f t="shared" si="67"/>
        <v>0</v>
      </c>
      <c r="C513" s="108">
        <f t="shared" si="68"/>
        <v>0</v>
      </c>
      <c r="D513"/>
    </row>
    <row r="514" spans="1:4">
      <c r="A514" t="s">
        <v>5100</v>
      </c>
      <c r="B514" s="142">
        <f t="shared" si="67"/>
        <v>0</v>
      </c>
      <c r="C514" s="108">
        <f t="shared" si="68"/>
        <v>0</v>
      </c>
      <c r="D514"/>
    </row>
    <row r="515" spans="1:4">
      <c r="A515" t="s">
        <v>5101</v>
      </c>
      <c r="B515" s="142">
        <f t="shared" si="67"/>
        <v>0</v>
      </c>
      <c r="C515" s="108">
        <f t="shared" si="68"/>
        <v>0</v>
      </c>
      <c r="D515"/>
    </row>
    <row r="516" spans="1:4">
      <c r="A516" t="s">
        <v>5088</v>
      </c>
      <c r="B516" s="142">
        <f t="shared" si="67"/>
        <v>0</v>
      </c>
      <c r="C516" s="108">
        <f t="shared" si="68"/>
        <v>0</v>
      </c>
      <c r="D516"/>
    </row>
    <row r="517" spans="1:4">
      <c r="A517" t="s">
        <v>5094</v>
      </c>
      <c r="B517" s="142">
        <f t="shared" si="67"/>
        <v>0</v>
      </c>
      <c r="C517" s="108">
        <f t="shared" si="68"/>
        <v>0</v>
      </c>
      <c r="D517"/>
    </row>
    <row r="518" spans="1:4">
      <c r="A518" t="s">
        <v>5108</v>
      </c>
      <c r="B518" s="142">
        <f t="shared" si="67"/>
        <v>0</v>
      </c>
      <c r="C518" s="108">
        <f t="shared" si="68"/>
        <v>0</v>
      </c>
      <c r="D518"/>
    </row>
    <row r="519" spans="1:4">
      <c r="A519" t="s">
        <v>5110</v>
      </c>
      <c r="B519" s="142">
        <f t="shared" si="67"/>
        <v>0</v>
      </c>
      <c r="C519" s="108">
        <f t="shared" si="68"/>
        <v>0</v>
      </c>
      <c r="D519"/>
    </row>
    <row r="520" spans="1:4">
      <c r="A520" t="s">
        <v>5089</v>
      </c>
      <c r="B520" s="142">
        <f t="shared" si="67"/>
        <v>0</v>
      </c>
      <c r="C520" s="108">
        <f t="shared" si="68"/>
        <v>0</v>
      </c>
      <c r="D520"/>
    </row>
    <row r="521" spans="1:4">
      <c r="A521" t="s">
        <v>5117</v>
      </c>
      <c r="B521" s="142">
        <f t="shared" si="67"/>
        <v>0</v>
      </c>
      <c r="C521" s="108">
        <f t="shared" si="68"/>
        <v>0</v>
      </c>
      <c r="D521"/>
    </row>
    <row r="522" spans="1:4">
      <c r="A522" t="s">
        <v>5116</v>
      </c>
      <c r="B522" s="142">
        <f t="shared" si="67"/>
        <v>0</v>
      </c>
      <c r="C522" s="108">
        <f t="shared" si="68"/>
        <v>0</v>
      </c>
      <c r="D522"/>
    </row>
    <row r="523" spans="1:4">
      <c r="A523" t="s">
        <v>5120</v>
      </c>
      <c r="B523" s="142">
        <f t="shared" si="67"/>
        <v>0</v>
      </c>
      <c r="C523" s="108">
        <f t="shared" si="68"/>
        <v>0</v>
      </c>
      <c r="D523"/>
    </row>
    <row r="524" spans="1:4">
      <c r="A524" t="s">
        <v>5118</v>
      </c>
      <c r="B524" s="142">
        <f t="shared" si="67"/>
        <v>0</v>
      </c>
      <c r="C524" s="108">
        <f t="shared" si="68"/>
        <v>0</v>
      </c>
      <c r="D524"/>
    </row>
    <row r="525" spans="1:4">
      <c r="A525" t="s">
        <v>5115</v>
      </c>
      <c r="B525" s="142">
        <f t="shared" si="67"/>
        <v>0</v>
      </c>
      <c r="C525" s="108">
        <f t="shared" si="68"/>
        <v>0</v>
      </c>
      <c r="D525"/>
    </row>
    <row r="526" spans="1:4">
      <c r="A526" t="s">
        <v>5129</v>
      </c>
      <c r="B526" s="142">
        <f t="shared" si="67"/>
        <v>0</v>
      </c>
      <c r="C526" s="108">
        <f t="shared" si="68"/>
        <v>0</v>
      </c>
      <c r="D526"/>
    </row>
    <row r="527" spans="1:4">
      <c r="A527" t="s">
        <v>5121</v>
      </c>
      <c r="B527" s="142">
        <f t="shared" si="67"/>
        <v>0</v>
      </c>
      <c r="C527" s="108">
        <f t="shared" si="68"/>
        <v>0</v>
      </c>
      <c r="D527"/>
    </row>
    <row r="528" spans="1:4">
      <c r="A528" t="s">
        <v>5123</v>
      </c>
      <c r="B528" s="142">
        <f t="shared" si="67"/>
        <v>0</v>
      </c>
      <c r="C528" s="108">
        <f t="shared" si="68"/>
        <v>0</v>
      </c>
      <c r="D528"/>
    </row>
    <row r="529" spans="1:4">
      <c r="A529" t="s">
        <v>5119</v>
      </c>
      <c r="B529" s="142">
        <f t="shared" si="67"/>
        <v>0</v>
      </c>
      <c r="C529" s="108">
        <f t="shared" si="68"/>
        <v>0</v>
      </c>
      <c r="D529"/>
    </row>
    <row r="530" spans="1:4">
      <c r="A530" t="s">
        <v>5122</v>
      </c>
      <c r="B530" s="142">
        <f t="shared" si="67"/>
        <v>0</v>
      </c>
      <c r="C530" s="108">
        <f t="shared" si="68"/>
        <v>0</v>
      </c>
      <c r="D530"/>
    </row>
    <row r="531" spans="1:4">
      <c r="A531" t="s">
        <v>5124</v>
      </c>
      <c r="B531" s="142">
        <f t="shared" si="67"/>
        <v>0</v>
      </c>
      <c r="C531" s="108">
        <f t="shared" si="68"/>
        <v>0</v>
      </c>
      <c r="D531"/>
    </row>
    <row r="532" spans="1:4">
      <c r="A532" t="s">
        <v>5125</v>
      </c>
      <c r="B532" s="142">
        <f t="shared" si="67"/>
        <v>0</v>
      </c>
      <c r="C532" s="108">
        <f t="shared" si="68"/>
        <v>0</v>
      </c>
      <c r="D532"/>
    </row>
    <row r="533" spans="1:4">
      <c r="A533" t="s">
        <v>5126</v>
      </c>
      <c r="B533" s="142">
        <f t="shared" si="67"/>
        <v>0</v>
      </c>
      <c r="C533" s="108">
        <f t="shared" si="68"/>
        <v>0</v>
      </c>
      <c r="D533"/>
    </row>
    <row r="534" spans="1:4">
      <c r="A534" t="s">
        <v>5127</v>
      </c>
      <c r="B534" s="142">
        <f t="shared" si="67"/>
        <v>0</v>
      </c>
      <c r="C534" s="108">
        <f t="shared" si="68"/>
        <v>0</v>
      </c>
      <c r="D534"/>
    </row>
    <row r="535" spans="1:4">
      <c r="B535" s="142"/>
      <c r="C535" s="108"/>
      <c r="D535"/>
    </row>
    <row r="536" spans="1:4">
      <c r="B536" s="142"/>
      <c r="C536" s="108"/>
      <c r="D536"/>
    </row>
    <row r="537" spans="1:4">
      <c r="B537" s="142"/>
      <c r="C537" s="108"/>
      <c r="D537"/>
    </row>
    <row r="538" spans="1:4">
      <c r="B538" s="142"/>
      <c r="C538" s="108"/>
      <c r="D538"/>
    </row>
    <row r="539" spans="1:4">
      <c r="B539" s="142"/>
      <c r="C539" s="108"/>
      <c r="D539"/>
    </row>
    <row r="540" spans="1:4">
      <c r="B540" s="142"/>
      <c r="C540" s="108"/>
      <c r="D540"/>
    </row>
    <row r="541" spans="1:4">
      <c r="B541" s="142"/>
      <c r="C541" s="108"/>
      <c r="D541"/>
    </row>
    <row r="542" spans="1:4">
      <c r="B542" s="142"/>
      <c r="C542" s="108"/>
      <c r="D542"/>
    </row>
    <row r="543" spans="1:4">
      <c r="B543" s="142"/>
      <c r="C543" s="108"/>
      <c r="D543"/>
    </row>
    <row r="544" spans="1:4">
      <c r="B544" s="142"/>
      <c r="C544" s="108"/>
      <c r="D544"/>
    </row>
    <row r="545" spans="2:4">
      <c r="B545" s="142"/>
      <c r="C545" s="108"/>
      <c r="D545"/>
    </row>
    <row r="546" spans="2:4">
      <c r="B546" s="142"/>
      <c r="C546" s="108"/>
      <c r="D546"/>
    </row>
    <row r="547" spans="2:4">
      <c r="B547" s="142"/>
      <c r="C547" s="108"/>
      <c r="D547"/>
    </row>
    <row r="548" spans="2:4">
      <c r="B548" s="142"/>
      <c r="C548" s="108"/>
      <c r="D548"/>
    </row>
    <row r="549" spans="2:4">
      <c r="B549" s="142"/>
      <c r="C549" s="108"/>
      <c r="D549"/>
    </row>
    <row r="550" spans="2:4">
      <c r="B550" s="142"/>
      <c r="C550" s="108"/>
      <c r="D550"/>
    </row>
    <row r="551" spans="2:4">
      <c r="B551" s="142"/>
      <c r="C551" s="108"/>
    </row>
    <row r="552" spans="2:4">
      <c r="B552" s="142"/>
      <c r="C552" s="108"/>
    </row>
    <row r="553" spans="2:4">
      <c r="B553" s="142"/>
      <c r="C553" s="108"/>
    </row>
    <row r="554" spans="2:4">
      <c r="B554" s="142"/>
      <c r="C554" s="108"/>
    </row>
    <row r="555" spans="2:4">
      <c r="B555" s="142"/>
      <c r="C555" s="108"/>
    </row>
    <row r="556" spans="2:4">
      <c r="B556" s="142"/>
      <c r="C556" s="108"/>
    </row>
    <row r="557" spans="2:4">
      <c r="B557" s="142"/>
      <c r="C557" s="108"/>
    </row>
    <row r="558" spans="2:4">
      <c r="B558" s="142"/>
      <c r="C558" s="108"/>
    </row>
    <row r="559" spans="2:4">
      <c r="B559" s="142"/>
      <c r="C559" s="108"/>
    </row>
    <row r="560" spans="2:4">
      <c r="B560" s="142"/>
      <c r="C560" s="108"/>
    </row>
    <row r="561" spans="2:3">
      <c r="B561" s="142"/>
      <c r="C561" s="108"/>
    </row>
    <row r="562" spans="2:3">
      <c r="B562" s="142"/>
      <c r="C562" s="108"/>
    </row>
    <row r="563" spans="2:3">
      <c r="B563" s="142"/>
      <c r="C563" s="108"/>
    </row>
  </sheetData>
  <autoFilter ref="A399:BR438" xr:uid="{96A715E4-F37D-4E7C-B5E2-57B9EA66A5D1}"/>
  <phoneticPr fontId="46" type="noConversion"/>
  <conditionalFormatting sqref="A1:A2">
    <cfRule type="duplicateValues" dxfId="132" priority="225"/>
  </conditionalFormatting>
  <conditionalFormatting sqref="A400:A438">
    <cfRule type="duplicateValues" dxfId="131" priority="1"/>
  </conditionalFormatting>
  <conditionalFormatting sqref="A439:A467">
    <cfRule type="duplicateValues" dxfId="130" priority="8708"/>
  </conditionalFormatting>
  <conditionalFormatting sqref="A439:A508">
    <cfRule type="duplicateValues" dxfId="129" priority="8711"/>
    <cfRule type="duplicateValues" dxfId="128" priority="8710"/>
  </conditionalFormatting>
  <conditionalFormatting sqref="A439:A514">
    <cfRule type="duplicateValues" dxfId="127" priority="8714"/>
  </conditionalFormatting>
  <conditionalFormatting sqref="A509">
    <cfRule type="duplicateValues" dxfId="126" priority="34"/>
    <cfRule type="duplicateValues" dxfId="125" priority="33"/>
    <cfRule type="duplicateValues" dxfId="124" priority="35"/>
  </conditionalFormatting>
  <conditionalFormatting sqref="A510:A1048576 A1:A2">
    <cfRule type="duplicateValues" dxfId="123" priority="6616"/>
  </conditionalFormatting>
  <conditionalFormatting sqref="A510:A1048576">
    <cfRule type="duplicateValues" dxfId="122" priority="6619"/>
    <cfRule type="duplicateValues" dxfId="121" priority="6623"/>
    <cfRule type="duplicateValues" dxfId="120" priority="6622"/>
  </conditionalFormatting>
  <conditionalFormatting sqref="D443">
    <cfRule type="duplicateValues" dxfId="119" priority="10"/>
  </conditionalFormatting>
  <conditionalFormatting sqref="D443:D470">
    <cfRule type="duplicateValues" dxfId="118" priority="14"/>
    <cfRule type="duplicateValues" dxfId="117" priority="15"/>
    <cfRule type="duplicateValues" dxfId="116" priority="16"/>
  </conditionalFormatting>
  <conditionalFormatting sqref="D471:D482">
    <cfRule type="duplicateValues" dxfId="115" priority="11"/>
    <cfRule type="duplicateValues" dxfId="114" priority="13"/>
    <cfRule type="duplicateValues" dxfId="113" priority="12"/>
  </conditionalFormatting>
  <conditionalFormatting sqref="D480:D482">
    <cfRule type="duplicateValues" dxfId="112" priority="17"/>
  </conditionalFormatting>
  <conditionalFormatting sqref="D538:D550">
    <cfRule type="duplicateValues" dxfId="111" priority="6"/>
    <cfRule type="duplicateValues" dxfId="110" priority="7"/>
    <cfRule type="duplicateValues" dxfId="109" priority="8"/>
    <cfRule type="duplicateValues" dxfId="108" priority="9"/>
  </conditionalFormatting>
  <conditionalFormatting sqref="E3:E397">
    <cfRule type="duplicateValues" dxfId="107" priority="8774"/>
  </conditionalFormatting>
  <conditionalFormatting sqref="E399">
    <cfRule type="duplicateValues" dxfId="106" priority="65"/>
  </conditionalFormatting>
  <conditionalFormatting sqref="E400:E438">
    <cfRule type="duplicateValues" dxfId="105" priority="8718"/>
  </conditionalFormatting>
  <conditionalFormatting sqref="F3:F397">
    <cfRule type="duplicateValues" dxfId="104" priority="8775"/>
  </conditionalFormatting>
  <conditionalFormatting sqref="F399 I399 L399 O399 R399 U399">
    <cfRule type="duplicateValues" dxfId="103" priority="67"/>
  </conditionalFormatting>
  <conditionalFormatting sqref="F399">
    <cfRule type="duplicateValues" dxfId="102" priority="66"/>
  </conditionalFormatting>
  <conditionalFormatting sqref="F400:F438 I400:I438 L400:L438 O400:O438 R400:R438 U400:U438">
    <cfRule type="duplicateValues" dxfId="101" priority="8720"/>
  </conditionalFormatting>
  <conditionalFormatting sqref="F400:F438">
    <cfRule type="duplicateValues" dxfId="100" priority="8719"/>
  </conditionalFormatting>
  <conditionalFormatting sqref="I3:I397 L3:L397 O3:O397 R3:R397 U3:U397 F3:F397">
    <cfRule type="duplicateValues" dxfId="99" priority="8776"/>
  </conditionalFormatting>
  <conditionalFormatting sqref="X3:X397">
    <cfRule type="duplicateValues" dxfId="98" priority="8782"/>
  </conditionalFormatting>
  <conditionalFormatting sqref="X399">
    <cfRule type="duplicateValues" dxfId="97" priority="68"/>
  </conditionalFormatting>
  <conditionalFormatting sqref="X400:X438">
    <cfRule type="duplicateValues" dxfId="96" priority="8735"/>
  </conditionalFormatting>
  <conditionalFormatting sqref="AA3:AA397">
    <cfRule type="duplicateValues" dxfId="95" priority="8783"/>
  </conditionalFormatting>
  <conditionalFormatting sqref="AA399">
    <cfRule type="duplicateValues" dxfId="94" priority="69"/>
  </conditionalFormatting>
  <conditionalFormatting sqref="AA400:AA438 AD400:AD438 AG400:AG438 AJ400:AJ438 AM400:AM438 AP400:AP438 AS400:AS438 AV400:AV438 X400:X438">
    <cfRule type="duplicateValues" dxfId="93" priority="8726"/>
  </conditionalFormatting>
  <conditionalFormatting sqref="AA400:AA438">
    <cfRule type="duplicateValues" dxfId="92" priority="8736"/>
  </conditionalFormatting>
  <conditionalFormatting sqref="AD3:AD397 AG3:AG397 X3:X397 AA3:AA397 AJ3:AJ397 AM3:AM397 AP3:AP397 AS3:AS397 AV3:AV397">
    <cfRule type="duplicateValues" dxfId="91" priority="8784"/>
  </conditionalFormatting>
  <conditionalFormatting sqref="AD3:AD397">
    <cfRule type="duplicateValues" dxfId="90" priority="8793"/>
  </conditionalFormatting>
  <conditionalFormatting sqref="AD399 AG399 X399 AA399 AJ399 AM399 AP399 AS399 AV399">
    <cfRule type="duplicateValues" dxfId="89" priority="70"/>
  </conditionalFormatting>
  <conditionalFormatting sqref="AD399">
    <cfRule type="duplicateValues" dxfId="88" priority="71"/>
  </conditionalFormatting>
  <conditionalFormatting sqref="AD400:AD438">
    <cfRule type="duplicateValues" dxfId="87" priority="8737"/>
  </conditionalFormatting>
  <conditionalFormatting sqref="AG3:AG397 AJ3:AJ397 AM3:AM397 AP3:AP397 AS3:AS397 AV3:AV397">
    <cfRule type="duplicateValues" dxfId="86" priority="8794"/>
  </conditionalFormatting>
  <conditionalFormatting sqref="AG399 AJ399 AM399 AP399 AS399 AV399">
    <cfRule type="duplicateValues" dxfId="85" priority="72"/>
  </conditionalFormatting>
  <conditionalFormatting sqref="AG400:AG438 AJ400:AJ438 AM400:AM438 AP400:AP438 AS400:AS438 AV400:AV438">
    <cfRule type="duplicateValues" dxfId="84" priority="8738"/>
  </conditionalFormatting>
  <conditionalFormatting sqref="AY3:AY397 BB3:BB397 BE3:BE397 BH3:BH397 BN3:BN397">
    <cfRule type="duplicateValues" dxfId="83" priority="8800"/>
  </conditionalFormatting>
  <conditionalFormatting sqref="AY3:AY397">
    <cfRule type="duplicateValues" dxfId="82" priority="8805"/>
  </conditionalFormatting>
  <conditionalFormatting sqref="AY399 BB399 BE399 BH399 BN399">
    <cfRule type="duplicateValues" dxfId="81" priority="73"/>
  </conditionalFormatting>
  <conditionalFormatting sqref="AY399">
    <cfRule type="duplicateValues" dxfId="80" priority="74"/>
  </conditionalFormatting>
  <conditionalFormatting sqref="AY400:AY438 BB400:BB438 BE400:BE438 BH400:BH438 BN400:BN438">
    <cfRule type="duplicateValues" dxfId="79" priority="8744"/>
  </conditionalFormatting>
  <conditionalFormatting sqref="AY400:AY438">
    <cfRule type="duplicateValues" dxfId="78" priority="8749"/>
  </conditionalFormatting>
  <conditionalFormatting sqref="BK3:BK397">
    <cfRule type="duplicateValues" dxfId="77" priority="8806"/>
  </conditionalFormatting>
  <conditionalFormatting sqref="BK399">
    <cfRule type="duplicateValues" dxfId="76" priority="75"/>
  </conditionalFormatting>
  <conditionalFormatting sqref="BK400:BK438">
    <cfRule type="duplicateValues" dxfId="75" priority="8750"/>
  </conditionalFormatting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Right="0"/>
    <pageSetUpPr fitToPage="1"/>
  </sheetPr>
  <dimension ref="A1:NJ403"/>
  <sheetViews>
    <sheetView zoomScale="60" zoomScaleNormal="60" workbookViewId="0">
      <pane xSplit="9" ySplit="9" topLeftCell="LZ365" activePane="bottomRight" state="frozen"/>
      <selection activeCell="E333" sqref="E333"/>
      <selection pane="topRight" activeCell="E333" sqref="E333"/>
      <selection pane="bottomLeft" activeCell="E333" sqref="E333"/>
      <selection pane="bottomRight" activeCell="AH22" sqref="AH22"/>
    </sheetView>
  </sheetViews>
  <sheetFormatPr defaultColWidth="9.140625" defaultRowHeight="15" outlineLevelCol="2"/>
  <cols>
    <col min="1" max="1" width="14.42578125" style="47" bestFit="1" customWidth="1"/>
    <col min="2" max="2" width="14" style="1" customWidth="1"/>
    <col min="3" max="3" width="31.5703125" style="2" customWidth="1"/>
    <col min="4" max="4" width="26.85546875" style="3" customWidth="1"/>
    <col min="5" max="5" width="14.7109375" style="1" customWidth="1"/>
    <col min="6" max="6" width="22.42578125" style="1" customWidth="1"/>
    <col min="7" max="7" width="11" style="63" customWidth="1"/>
    <col min="8" max="8" width="11.42578125" style="1" customWidth="1"/>
    <col min="9" max="9" width="8.7109375" style="1" customWidth="1"/>
    <col min="10" max="10" width="12.5703125" style="289" customWidth="1"/>
    <col min="11" max="11" width="20.28515625" style="287" customWidth="1" outlineLevel="2"/>
    <col min="12" max="12" width="25.5703125" style="289" hidden="1" customWidth="1" outlineLevel="2"/>
    <col min="13" max="13" width="9.85546875" style="287" customWidth="1" outlineLevel="2"/>
    <col min="14" max="15" width="9.28515625" style="287" customWidth="1" outlineLevel="2"/>
    <col min="16" max="16" width="11.5703125" style="287" customWidth="1" outlineLevel="2"/>
    <col min="17" max="17" width="9.28515625" style="287" customWidth="1" outlineLevel="2"/>
    <col min="18" max="22" width="17.7109375" style="287" customWidth="1" outlineLevel="2"/>
    <col min="23" max="25" width="18" style="287" bestFit="1" customWidth="1" outlineLevel="2"/>
    <col min="26" max="26" width="11.85546875" style="287" customWidth="1" outlineLevel="2"/>
    <col min="27" max="27" width="9.28515625" style="287" customWidth="1" outlineLevel="2"/>
    <col min="28" max="28" width="10.7109375" style="287" customWidth="1" outlineLevel="2"/>
    <col min="29" max="29" width="9.28515625" style="287" customWidth="1" outlineLevel="2"/>
    <col min="30" max="30" width="11.85546875" style="287" customWidth="1" outlineLevel="2"/>
    <col min="31" max="31" width="9.28515625" style="287" customWidth="1" outlineLevel="2"/>
    <col min="32" max="32" width="11" style="287" bestFit="1" customWidth="1" outlineLevel="2"/>
    <col min="33" max="33" width="11" style="287" customWidth="1" outlineLevel="2"/>
    <col min="34" max="34" width="11.140625" style="287" bestFit="1" customWidth="1" outlineLevel="2"/>
    <col min="35" max="35" width="9.28515625" style="287" customWidth="1" outlineLevel="2"/>
    <col min="36" max="36" width="11.140625" style="287" bestFit="1" customWidth="1" outlineLevel="2"/>
    <col min="37" max="37" width="9.140625" style="287" customWidth="1" outlineLevel="2"/>
    <col min="38" max="38" width="11.140625" style="287" bestFit="1" customWidth="1" outlineLevel="2"/>
    <col min="39" max="39" width="9.140625" style="287" customWidth="1" outlineLevel="2"/>
    <col min="40" max="40" width="11.140625" style="287" bestFit="1" customWidth="1" outlineLevel="2"/>
    <col min="41" max="41" width="9.140625" style="287" customWidth="1" outlineLevel="2"/>
    <col min="42" max="42" width="14.140625" style="287" customWidth="1" outlineLevel="2"/>
    <col min="43" max="43" width="11.28515625" style="287" customWidth="1" outlineLevel="2"/>
    <col min="44" max="44" width="10" style="290" customWidth="1" outlineLevel="2"/>
    <col min="45" max="45" width="13.42578125" style="285" customWidth="1" outlineLevel="1"/>
    <col min="46" max="46" width="12.42578125" style="221" customWidth="1" outlineLevel="1"/>
    <col min="47" max="47" width="9.140625" style="289" customWidth="1" outlineLevel="1"/>
    <col min="48" max="48" width="9.28515625" style="285" customWidth="1" outlineLevel="2"/>
    <col min="49" max="49" width="32" style="288" hidden="1" customWidth="1" outlineLevel="2"/>
    <col min="50" max="52" width="9.28515625" style="285" customWidth="1" outlineLevel="2"/>
    <col min="53" max="53" width="12.42578125" style="285" customWidth="1" outlineLevel="2"/>
    <col min="54" max="54" width="8.140625" style="285" customWidth="1" outlineLevel="2"/>
    <col min="55" max="55" width="19.42578125" style="285" customWidth="1" outlineLevel="2"/>
    <col min="56" max="56" width="17.85546875" style="285" customWidth="1" outlineLevel="2"/>
    <col min="57" max="57" width="18.7109375" style="285" customWidth="1" outlineLevel="2"/>
    <col min="58" max="58" width="14.85546875" style="285" customWidth="1" outlineLevel="2"/>
    <col min="59" max="59" width="19.7109375" style="285" customWidth="1" outlineLevel="2"/>
    <col min="60" max="62" width="15.140625" style="285" customWidth="1" outlineLevel="2"/>
    <col min="63" max="63" width="11.42578125" style="285" customWidth="1" outlineLevel="2"/>
    <col min="64" max="76" width="9.28515625" style="285" customWidth="1" outlineLevel="2"/>
    <col min="77" max="78" width="9.140625" style="285" customWidth="1" outlineLevel="2"/>
    <col min="79" max="79" width="15.7109375" style="287" customWidth="1" outlineLevel="2"/>
    <col min="80" max="80" width="9.28515625" style="287" customWidth="1" outlineLevel="2"/>
    <col min="81" max="81" width="9.28515625" style="285" customWidth="1" outlineLevel="2"/>
    <col min="82" max="82" width="13.5703125" style="285" customWidth="1" outlineLevel="1"/>
    <col min="83" max="83" width="13.42578125" style="221" customWidth="1" outlineLevel="1"/>
    <col min="84" max="84" width="15.28515625" style="289" customWidth="1" outlineLevel="1"/>
    <col min="85" max="85" width="15.5703125" style="285" customWidth="1" outlineLevel="2"/>
    <col min="86" max="86" width="23.140625" style="285" hidden="1" customWidth="1" outlineLevel="2"/>
    <col min="87" max="88" width="9.28515625" style="285" customWidth="1" outlineLevel="2"/>
    <col min="89" max="89" width="10.7109375" style="285" customWidth="1" outlineLevel="2"/>
    <col min="90" max="91" width="9.28515625" style="285" customWidth="1" outlineLevel="2"/>
    <col min="92" max="92" width="16.140625" style="288" customWidth="1" outlineLevel="2"/>
    <col min="93" max="95" width="14.85546875" style="288" customWidth="1" outlineLevel="2"/>
    <col min="96" max="96" width="14.85546875" style="285" customWidth="1" outlineLevel="2"/>
    <col min="97" max="99" width="14.85546875" style="285" bestFit="1" customWidth="1" outlineLevel="2"/>
    <col min="100" max="100" width="11.7109375" style="285" customWidth="1" outlineLevel="2"/>
    <col min="101" max="111" width="9.28515625" style="285" customWidth="1" outlineLevel="2"/>
    <col min="112" max="115" width="9.140625" style="285" customWidth="1" outlineLevel="2"/>
    <col min="116" max="116" width="16.7109375" style="287" customWidth="1" outlineLevel="2"/>
    <col min="117" max="117" width="9.28515625" style="287" customWidth="1" outlineLevel="2"/>
    <col min="118" max="118" width="9.28515625" style="285" customWidth="1" outlineLevel="2"/>
    <col min="119" max="119" width="13.5703125" style="285" customWidth="1" outlineLevel="1"/>
    <col min="120" max="120" width="14.5703125" style="221" customWidth="1" outlineLevel="1"/>
    <col min="121" max="121" width="9.140625" style="289" customWidth="1" outlineLevel="1"/>
    <col min="122" max="122" width="16.85546875" style="285" customWidth="1" outlineLevel="2"/>
    <col min="123" max="123" width="23.140625" style="288" hidden="1" customWidth="1" outlineLevel="2"/>
    <col min="124" max="125" width="9.28515625" style="285" customWidth="1" outlineLevel="2"/>
    <col min="126" max="126" width="9.140625" style="285" customWidth="1" outlineLevel="2"/>
    <col min="127" max="128" width="9.28515625" style="285" customWidth="1" outlineLevel="2"/>
    <col min="129" max="129" width="14.85546875" style="285" customWidth="1" outlineLevel="2"/>
    <col min="130" max="130" width="15.85546875" style="285" customWidth="1" outlineLevel="2"/>
    <col min="131" max="133" width="14.85546875" style="285" customWidth="1" outlineLevel="2"/>
    <col min="134" max="135" width="15.140625" style="285" customWidth="1" outlineLevel="2"/>
    <col min="136" max="136" width="14.85546875" style="285" bestFit="1" customWidth="1" outlineLevel="2"/>
    <col min="137" max="137" width="10.42578125" style="285" customWidth="1" outlineLevel="2"/>
    <col min="138" max="138" width="9.28515625" style="285" customWidth="1" outlineLevel="2"/>
    <col min="139" max="139" width="11.5703125" style="285" customWidth="1" outlineLevel="2"/>
    <col min="140" max="146" width="9.28515625" style="285" customWidth="1" outlineLevel="2"/>
    <col min="147" max="147" width="9.7109375" style="285" customWidth="1" outlineLevel="2"/>
    <col min="148" max="152" width="9.140625" style="285" customWidth="1" outlineLevel="2"/>
    <col min="153" max="153" width="16.7109375" style="287" customWidth="1" outlineLevel="2"/>
    <col min="154" max="154" width="9.28515625" style="287" customWidth="1" outlineLevel="2"/>
    <col min="155" max="155" width="9.28515625" style="285" customWidth="1" outlineLevel="2"/>
    <col min="156" max="156" width="13.5703125" style="285" customWidth="1" outlineLevel="1"/>
    <col min="157" max="157" width="14" style="221" customWidth="1" outlineLevel="1"/>
    <col min="158" max="158" width="9.140625" style="289" customWidth="1" outlineLevel="1"/>
    <col min="159" max="159" width="13.42578125" style="285" customWidth="1" outlineLevel="2"/>
    <col min="160" max="160" width="25.7109375" style="285" hidden="1" customWidth="1" outlineLevel="2"/>
    <col min="161" max="162" width="9.28515625" style="285" customWidth="1" outlineLevel="2"/>
    <col min="163" max="163" width="11.7109375" style="285" customWidth="1" outlineLevel="2"/>
    <col min="164" max="164" width="10.7109375" style="285" customWidth="1" outlineLevel="2"/>
    <col min="165" max="165" width="9.28515625" style="285" customWidth="1" outlineLevel="2"/>
    <col min="166" max="168" width="14.85546875" style="285" customWidth="1" outlineLevel="2"/>
    <col min="169" max="169" width="15.140625" style="285" customWidth="1" outlineLevel="2"/>
    <col min="170" max="170" width="14.7109375" style="285" bestFit="1" customWidth="1" outlineLevel="2"/>
    <col min="171" max="171" width="14.85546875" style="285" customWidth="1" outlineLevel="2"/>
    <col min="172" max="172" width="14.7109375" style="285" bestFit="1" customWidth="1" outlineLevel="2"/>
    <col min="173" max="173" width="9.140625" style="285" customWidth="1" outlineLevel="2"/>
    <col min="174" max="174" width="12" style="285" customWidth="1" outlineLevel="2"/>
    <col min="175" max="175" width="9.28515625" style="285" customWidth="1" outlineLevel="2"/>
    <col min="176" max="176" width="11.5703125" style="285" customWidth="1" outlineLevel="2"/>
    <col min="177" max="177" width="9.28515625" style="285" customWidth="1" outlineLevel="2"/>
    <col min="178" max="178" width="12.5703125" style="285" customWidth="1" outlineLevel="2"/>
    <col min="179" max="183" width="9.28515625" style="285" customWidth="1" outlineLevel="2"/>
    <col min="184" max="189" width="9.140625" style="285" customWidth="1" outlineLevel="2"/>
    <col min="190" max="190" width="16.7109375" style="287" customWidth="1" outlineLevel="2"/>
    <col min="191" max="191" width="9.28515625" style="287" customWidth="1" outlineLevel="2"/>
    <col min="192" max="192" width="9.28515625" style="285" customWidth="1" outlineLevel="2"/>
    <col min="193" max="193" width="13.5703125" style="285" customWidth="1" outlineLevel="1"/>
    <col min="194" max="194" width="13.42578125" style="221" customWidth="1" outlineLevel="1"/>
    <col min="195" max="195" width="9.140625" style="289" customWidth="1" outlineLevel="1"/>
    <col min="196" max="196" width="9.28515625" style="285" customWidth="1" outlineLevel="2"/>
    <col min="197" max="197" width="23.140625" style="285" hidden="1" customWidth="1" outlineLevel="2"/>
    <col min="198" max="200" width="9.28515625" style="285" customWidth="1" outlineLevel="2"/>
    <col min="201" max="201" width="12.140625" style="285" customWidth="1" outlineLevel="2"/>
    <col min="202" max="202" width="9.28515625" style="285" customWidth="1" outlineLevel="2"/>
    <col min="203" max="206" width="14.85546875" style="285" customWidth="1" outlineLevel="2"/>
    <col min="207" max="207" width="14.85546875" style="285" bestFit="1" customWidth="1" outlineLevel="2"/>
    <col min="208" max="208" width="8.85546875" style="285" customWidth="1" outlineLevel="2"/>
    <col min="209" max="209" width="9.140625" style="285" customWidth="1" outlineLevel="2"/>
    <col min="210" max="210" width="14.85546875" style="285" bestFit="1" customWidth="1" outlineLevel="2"/>
    <col min="211" max="211" width="14.85546875" style="285" customWidth="1" outlineLevel="2"/>
    <col min="212" max="212" width="9.42578125" style="285" customWidth="1" outlineLevel="2"/>
    <col min="213" max="213" width="10.140625" style="285" customWidth="1" outlineLevel="2"/>
    <col min="214" max="214" width="9.28515625" style="285" customWidth="1" outlineLevel="2"/>
    <col min="215" max="215" width="10.85546875" style="285" customWidth="1" outlineLevel="2"/>
    <col min="216" max="218" width="9.28515625" style="285" customWidth="1" outlineLevel="2"/>
    <col min="219" max="220" width="9.140625" style="285" customWidth="1" outlineLevel="2"/>
    <col min="221" max="221" width="10.7109375" style="285" customWidth="1" outlineLevel="2"/>
    <col min="222" max="226" width="9.140625" style="285" customWidth="1" outlineLevel="2"/>
    <col min="227" max="227" width="16.7109375" style="287" customWidth="1" outlineLevel="2"/>
    <col min="228" max="228" width="10.7109375" style="287" customWidth="1" outlineLevel="2"/>
    <col min="229" max="229" width="9.28515625" style="285" customWidth="1" outlineLevel="2"/>
    <col min="230" max="230" width="13.5703125" style="285" customWidth="1" outlineLevel="1"/>
    <col min="231" max="231" width="13.42578125" style="222" customWidth="1" outlineLevel="1"/>
    <col min="232" max="232" width="9.140625" style="289" customWidth="1" outlineLevel="1"/>
    <col min="233" max="233" width="9.140625" style="285" customWidth="1" outlineLevel="2"/>
    <col min="234" max="234" width="21.85546875" style="285" hidden="1" customWidth="1" outlineLevel="2"/>
    <col min="235" max="239" width="9.28515625" style="285" customWidth="1" outlineLevel="2"/>
    <col min="240" max="241" width="14.85546875" style="285" customWidth="1" outlineLevel="2"/>
    <col min="242" max="242" width="17" style="285" customWidth="1" outlineLevel="2"/>
    <col min="243" max="243" width="17.5703125" style="285" customWidth="1" outlineLevel="2"/>
    <col min="244" max="244" width="15.42578125" style="285" customWidth="1" outlineLevel="2"/>
    <col min="245" max="247" width="14.85546875" style="285" bestFit="1" customWidth="1" outlineLevel="2"/>
    <col min="248" max="248" width="11.42578125" style="285" customWidth="1" outlineLevel="2"/>
    <col min="249" max="249" width="9.42578125" style="285" customWidth="1" outlineLevel="2"/>
    <col min="250" max="250" width="12.140625" style="285" customWidth="1" outlineLevel="2"/>
    <col min="251" max="251" width="9.28515625" style="285" customWidth="1" outlineLevel="2"/>
    <col min="252" max="252" width="10.85546875" style="285" customWidth="1" outlineLevel="2"/>
    <col min="253" max="255" width="9.28515625" style="285" customWidth="1" outlineLevel="2"/>
    <col min="256" max="257" width="9.140625" style="285" customWidth="1" outlineLevel="2"/>
    <col min="258" max="258" width="11.42578125" style="285" customWidth="1" outlineLevel="2"/>
    <col min="259" max="263" width="9.140625" style="285" customWidth="1" outlineLevel="2"/>
    <col min="264" max="264" width="16.7109375" style="285" customWidth="1" outlineLevel="2"/>
    <col min="265" max="266" width="9.28515625" style="285" customWidth="1" outlineLevel="2"/>
    <col min="267" max="267" width="13.5703125" style="285" customWidth="1" outlineLevel="1"/>
    <col min="268" max="268" width="13.42578125" style="221" customWidth="1" outlineLevel="1"/>
    <col min="269" max="269" width="11" style="289" customWidth="1" outlineLevel="1"/>
    <col min="270" max="270" width="9.28515625" style="285" customWidth="1" outlineLevel="2"/>
    <col min="271" max="271" width="36.85546875" style="285" hidden="1" customWidth="1" outlineLevel="2"/>
    <col min="272" max="272" width="12.28515625" style="285" customWidth="1" outlineLevel="2"/>
    <col min="273" max="273" width="9.28515625" style="285" customWidth="1" outlineLevel="2"/>
    <col min="274" max="274" width="9.140625" style="285" customWidth="1" outlineLevel="2"/>
    <col min="275" max="276" width="9.28515625" style="285" customWidth="1" outlineLevel="2"/>
    <col min="277" max="278" width="14.85546875" style="285" customWidth="1" outlineLevel="2"/>
    <col min="279" max="281" width="15.140625" style="285" customWidth="1" outlineLevel="2"/>
    <col min="282" max="283" width="14.85546875" style="285" customWidth="1" outlineLevel="2"/>
    <col min="284" max="284" width="9.140625" style="285" customWidth="1" outlineLevel="2"/>
    <col min="285" max="285" width="12.5703125" style="285" customWidth="1" outlineLevel="2"/>
    <col min="286" max="286" width="9.42578125" style="285" customWidth="1" outlineLevel="2"/>
    <col min="287" max="287" width="11.5703125" style="285" customWidth="1" outlineLevel="2"/>
    <col min="288" max="288" width="9.28515625" style="285" customWidth="1" outlineLevel="2"/>
    <col min="289" max="289" width="10.85546875" style="285" customWidth="1" outlineLevel="2"/>
    <col min="290" max="290" width="9.28515625" style="285" customWidth="1" outlineLevel="2"/>
    <col min="291" max="291" width="10.7109375" style="285" customWidth="1" outlineLevel="2"/>
    <col min="292" max="292" width="9.140625" style="285" customWidth="1" outlineLevel="2"/>
    <col min="293" max="293" width="10.7109375" style="285" customWidth="1" outlineLevel="2"/>
    <col min="294" max="300" width="9.140625" style="285" customWidth="1" outlineLevel="2"/>
    <col min="301" max="301" width="16.7109375" style="287" customWidth="1" outlineLevel="2"/>
    <col min="302" max="302" width="10.7109375" style="287" customWidth="1" outlineLevel="2"/>
    <col min="303" max="303" width="9.28515625" style="285" customWidth="1" outlineLevel="2"/>
    <col min="304" max="304" width="13.5703125" style="285" customWidth="1" outlineLevel="1"/>
    <col min="305" max="305" width="14.140625" style="221" customWidth="1" outlineLevel="1"/>
    <col min="306" max="306" width="9.28515625" style="285" customWidth="1"/>
    <col min="307" max="307" width="10" style="285" customWidth="1"/>
    <col min="308" max="308" width="10.7109375" style="285" customWidth="1"/>
    <col min="309" max="309" width="11.140625" style="285" customWidth="1"/>
    <col min="310" max="310" width="12" style="285" customWidth="1"/>
    <col min="311" max="311" width="11.140625" style="291" customWidth="1"/>
    <col min="312" max="312" width="10.7109375" style="291" customWidth="1"/>
    <col min="313" max="313" width="11" style="291" customWidth="1"/>
    <col min="314" max="318" width="12.5703125" style="1" customWidth="1"/>
    <col min="319" max="319" width="11.42578125" style="285" customWidth="1"/>
    <col min="320" max="320" width="13.28515625" style="285" customWidth="1"/>
    <col min="321" max="321" width="12.28515625" style="285" customWidth="1"/>
    <col min="322" max="322" width="12.5703125" style="285" customWidth="1"/>
    <col min="323" max="323" width="10.7109375" style="292" customWidth="1"/>
    <col min="324" max="324" width="10.85546875" style="221" customWidth="1"/>
    <col min="325" max="325" width="10.5703125" style="221" customWidth="1" outlineLevel="2"/>
    <col min="326" max="326" width="6" style="221" customWidth="1" outlineLevel="2"/>
    <col min="327" max="327" width="10.5703125" style="221" customWidth="1" outlineLevel="2"/>
    <col min="328" max="328" width="6.7109375" style="221" customWidth="1" outlineLevel="2"/>
    <col min="329" max="329" width="10.5703125" style="221" customWidth="1" outlineLevel="2"/>
    <col min="330" max="330" width="7.28515625" style="221" customWidth="1" outlineLevel="2"/>
    <col min="331" max="331" width="10.5703125" style="221" customWidth="1" outlineLevel="2"/>
    <col min="332" max="332" width="7.7109375" style="221" customWidth="1" outlineLevel="2"/>
    <col min="333" max="333" width="10.5703125" style="221" customWidth="1" outlineLevel="2"/>
    <col min="334" max="334" width="7.42578125" style="221" customWidth="1" outlineLevel="2"/>
    <col min="335" max="335" width="10.5703125" style="221" customWidth="1" outlineLevel="2"/>
    <col min="336" max="336" width="8.7109375" style="221" customWidth="1" outlineLevel="2"/>
    <col min="337" max="337" width="11.42578125" style="222" customWidth="1" outlineLevel="1"/>
    <col min="338" max="338" width="15" style="221" customWidth="1" outlineLevel="1"/>
    <col min="339" max="339" width="22.42578125" style="221" customWidth="1" outlineLevel="1"/>
    <col min="340" max="340" width="26" style="285" customWidth="1" outlineLevel="1"/>
    <col min="341" max="341" width="12.28515625" style="283" customWidth="1"/>
    <col min="342" max="342" width="120" style="283" customWidth="1"/>
    <col min="343" max="350" width="9.140625" style="285" customWidth="1" outlineLevel="1"/>
    <col min="351" max="351" width="11.85546875" style="285" customWidth="1"/>
    <col min="352" max="354" width="9.140625" style="285"/>
    <col min="355" max="355" width="7.5703125" style="286" customWidth="1"/>
    <col min="356" max="356" width="8.42578125" style="286" bestFit="1" customWidth="1"/>
    <col min="357" max="357" width="2.140625" style="286" customWidth="1"/>
    <col min="358" max="358" width="12.7109375" style="346" customWidth="1"/>
    <col min="359" max="372" width="8.28515625" style="285" customWidth="1"/>
    <col min="373" max="373" width="9.140625" style="285"/>
    <col min="374" max="374" width="20.85546875" style="285" bestFit="1" customWidth="1"/>
    <col min="375" max="16384" width="9.140625" style="285"/>
  </cols>
  <sheetData>
    <row r="1" spans="1:374" s="1" customFormat="1" ht="18" customHeight="1" thickBot="1">
      <c r="A1" s="47"/>
      <c r="B1" s="47"/>
      <c r="C1" s="225"/>
      <c r="D1" s="434"/>
      <c r="E1" s="63"/>
      <c r="F1" s="356"/>
      <c r="G1" s="356"/>
      <c r="H1" s="47"/>
      <c r="I1" s="47"/>
      <c r="J1" s="47"/>
      <c r="K1" s="243"/>
      <c r="L1" s="306"/>
      <c r="M1" s="297"/>
      <c r="N1" s="306"/>
      <c r="O1" s="243"/>
      <c r="P1" s="63"/>
      <c r="Q1" s="259"/>
      <c r="R1" s="243"/>
      <c r="S1" s="243"/>
      <c r="T1" s="243"/>
      <c r="U1" s="47"/>
      <c r="V1" s="47"/>
      <c r="W1" s="47"/>
      <c r="X1" s="47"/>
      <c r="Y1" s="47"/>
      <c r="Z1" s="47"/>
      <c r="AA1" s="259"/>
      <c r="AB1" s="63"/>
      <c r="AC1" s="259"/>
      <c r="AD1" s="63"/>
      <c r="AE1" s="259"/>
      <c r="AF1" s="63"/>
      <c r="AG1" s="259"/>
      <c r="AH1" s="63"/>
      <c r="AI1" s="259"/>
      <c r="AJ1" s="63"/>
      <c r="AK1" s="259"/>
      <c r="AL1" s="63"/>
      <c r="AM1" s="259"/>
      <c r="AN1" s="63"/>
      <c r="AO1" s="259"/>
      <c r="AP1" s="63"/>
      <c r="AQ1" s="63"/>
      <c r="AR1" s="216"/>
      <c r="AT1" s="217"/>
      <c r="AU1" s="21"/>
      <c r="CE1" s="217"/>
      <c r="CF1" s="21"/>
      <c r="CN1" s="2"/>
      <c r="CO1" s="2"/>
      <c r="CP1" s="2"/>
      <c r="CQ1" s="2"/>
      <c r="DP1" s="217"/>
      <c r="DQ1" s="21"/>
      <c r="DS1" s="2"/>
      <c r="FA1" s="217"/>
      <c r="FB1" s="21"/>
      <c r="GL1" s="217"/>
      <c r="GM1" s="21"/>
      <c r="HD1" s="396"/>
      <c r="HW1" s="218"/>
      <c r="HX1" s="21"/>
      <c r="JH1" s="217"/>
      <c r="JI1" s="21"/>
      <c r="KS1" s="217"/>
      <c r="KY1" s="3"/>
      <c r="KZ1" s="3"/>
      <c r="LC1" s="495" t="s">
        <v>1323</v>
      </c>
      <c r="LD1" s="324" t="s">
        <v>1317</v>
      </c>
      <c r="LE1" s="324" t="s">
        <v>1318</v>
      </c>
      <c r="LF1" s="325" t="s">
        <v>1324</v>
      </c>
      <c r="LI1" s="219"/>
      <c r="LJ1" s="220"/>
      <c r="LK1" s="242"/>
      <c r="LL1" s="221"/>
      <c r="LM1" s="221"/>
      <c r="LN1" s="221"/>
      <c r="LO1" s="221"/>
      <c r="LP1" s="221"/>
      <c r="LQ1" s="221"/>
      <c r="LR1" s="221"/>
      <c r="LS1" s="221"/>
      <c r="LT1" s="221"/>
      <c r="LU1" s="222"/>
      <c r="LV1" s="219"/>
      <c r="LW1" s="220"/>
      <c r="LX1" s="221"/>
      <c r="LY1" s="222"/>
      <c r="LZ1" s="305">
        <f>LL4-99842.4700000001</f>
        <v>-14941.470000000103</v>
      </c>
      <c r="MA1" s="305">
        <f>MA4-77295.32</f>
        <v>5535.4899999999907</v>
      </c>
      <c r="MB1" s="305"/>
      <c r="MC1" s="62"/>
      <c r="MD1" s="296"/>
      <c r="ME1" s="241">
        <f>4900-4313</f>
        <v>587</v>
      </c>
      <c r="MF1" s="241">
        <f>ME1-150</f>
        <v>437</v>
      </c>
      <c r="MG1" s="241">
        <f>MF1-150-63-100-30-80-20</f>
        <v>-6</v>
      </c>
      <c r="MH1" s="241"/>
      <c r="MI1" s="241"/>
      <c r="MJ1" s="241"/>
      <c r="MM1" s="1">
        <f>1980-240</f>
        <v>1740</v>
      </c>
      <c r="MQ1" s="243"/>
      <c r="MR1" s="243"/>
      <c r="MS1" s="243"/>
      <c r="MT1" s="341"/>
    </row>
    <row r="2" spans="1:374" s="1" customFormat="1" ht="18" customHeight="1">
      <c r="A2" s="47"/>
      <c r="B2" s="47"/>
      <c r="C2" s="225"/>
      <c r="D2" s="434"/>
      <c r="E2" s="63"/>
      <c r="F2" s="356"/>
      <c r="G2" s="243"/>
      <c r="I2" s="47"/>
      <c r="J2" s="47"/>
      <c r="K2" s="243"/>
      <c r="L2" s="306"/>
      <c r="M2" s="297"/>
      <c r="N2" s="306"/>
      <c r="O2" s="243"/>
      <c r="P2" s="63"/>
      <c r="Q2" s="259"/>
      <c r="R2" s="243"/>
      <c r="S2" s="243"/>
      <c r="T2" s="243"/>
      <c r="U2" s="47"/>
      <c r="V2" s="47"/>
      <c r="W2" s="47"/>
      <c r="X2" s="47"/>
      <c r="Y2" s="47"/>
      <c r="Z2" s="47"/>
      <c r="AA2" s="259"/>
      <c r="AB2" s="63"/>
      <c r="AC2" s="259"/>
      <c r="AD2" s="63"/>
      <c r="AE2" s="259"/>
      <c r="AF2" s="63"/>
      <c r="AG2" s="259"/>
      <c r="AH2" s="63"/>
      <c r="AI2" s="259"/>
      <c r="AJ2" s="63"/>
      <c r="AK2" s="259"/>
      <c r="AL2" s="63"/>
      <c r="AM2" s="259"/>
      <c r="AN2" s="63"/>
      <c r="AO2" s="259"/>
      <c r="AP2" s="63"/>
      <c r="AQ2" s="63"/>
      <c r="AR2" s="216"/>
      <c r="AT2" s="217"/>
      <c r="AU2" s="21"/>
      <c r="CE2" s="217"/>
      <c r="CF2" s="21"/>
      <c r="CN2" s="2"/>
      <c r="CO2" s="2"/>
      <c r="CP2" s="2"/>
      <c r="CQ2" s="2"/>
      <c r="DP2" s="217"/>
      <c r="DQ2" s="21"/>
      <c r="DS2" s="2"/>
      <c r="DZ2" s="1" t="s">
        <v>1886</v>
      </c>
      <c r="FA2" s="217"/>
      <c r="FB2" s="21"/>
      <c r="GL2" s="217"/>
      <c r="GM2" s="21"/>
      <c r="HD2" s="396"/>
      <c r="HW2" s="218"/>
      <c r="HX2" s="21"/>
      <c r="JH2" s="217"/>
      <c r="JI2" s="21"/>
      <c r="KS2" s="217"/>
      <c r="KY2" s="3"/>
      <c r="KZ2" s="3"/>
      <c r="LC2" s="496"/>
      <c r="LD2" s="323" t="s">
        <v>1319</v>
      </c>
      <c r="LE2" s="323" t="s">
        <v>1321</v>
      </c>
      <c r="LF2" s="326" t="s">
        <v>835</v>
      </c>
      <c r="LI2" s="322"/>
      <c r="LJ2" s="220"/>
      <c r="LK2" s="242"/>
      <c r="LL2" s="221"/>
      <c r="LM2" s="221"/>
      <c r="LN2" s="221"/>
      <c r="LO2" s="221"/>
      <c r="LP2" s="221"/>
      <c r="LQ2" s="221"/>
      <c r="LR2" s="221"/>
      <c r="LS2" s="221"/>
      <c r="LT2" s="221"/>
      <c r="LU2" s="222"/>
      <c r="LV2" s="322"/>
      <c r="LW2" s="220"/>
      <c r="LX2" s="221"/>
      <c r="LY2" s="222"/>
      <c r="LZ2" s="305"/>
      <c r="MA2" s="305"/>
      <c r="MB2" s="305"/>
      <c r="MC2" s="62"/>
      <c r="MD2" s="296"/>
      <c r="ME2" s="241"/>
      <c r="MF2" s="241"/>
      <c r="MG2" s="241"/>
      <c r="MH2" s="241"/>
      <c r="MI2" s="241"/>
      <c r="MJ2" s="241"/>
      <c r="MQ2" s="243"/>
      <c r="MR2" s="243"/>
      <c r="MS2" s="243"/>
      <c r="MT2" s="341"/>
    </row>
    <row r="3" spans="1:374" s="1" customFormat="1" ht="18" customHeight="1" thickBot="1">
      <c r="A3" s="47"/>
      <c r="B3" s="47"/>
      <c r="C3" s="225"/>
      <c r="D3" s="3"/>
      <c r="E3" s="47"/>
      <c r="F3" s="47"/>
      <c r="G3" s="243"/>
      <c r="I3" s="47"/>
      <c r="J3" s="47"/>
      <c r="K3" s="243"/>
      <c r="L3" s="306"/>
      <c r="M3" s="297"/>
      <c r="N3" s="306"/>
      <c r="O3" s="243"/>
      <c r="P3" s="63"/>
      <c r="Q3" s="259"/>
      <c r="R3" s="243"/>
      <c r="S3" s="243"/>
      <c r="T3" s="243"/>
      <c r="U3" s="47"/>
      <c r="V3" s="47"/>
      <c r="W3" s="47"/>
      <c r="X3" s="47"/>
      <c r="Y3" s="47"/>
      <c r="Z3" s="47"/>
      <c r="AA3" s="259"/>
      <c r="AB3" s="63"/>
      <c r="AC3" s="259"/>
      <c r="AD3" s="63"/>
      <c r="AE3" s="259"/>
      <c r="AF3" s="63"/>
      <c r="AG3" s="259"/>
      <c r="AH3" s="63"/>
      <c r="AI3" s="259"/>
      <c r="AJ3" s="63"/>
      <c r="AK3" s="259"/>
      <c r="AL3" s="63"/>
      <c r="AM3" s="259"/>
      <c r="AN3" s="63"/>
      <c r="AO3" s="259"/>
      <c r="AP3" s="63"/>
      <c r="AQ3" s="63"/>
      <c r="AR3" s="216"/>
      <c r="AT3" s="217"/>
      <c r="AU3" s="21"/>
      <c r="CE3" s="217"/>
      <c r="CF3" s="21"/>
      <c r="CN3" s="2"/>
      <c r="CO3" s="2"/>
      <c r="CP3" s="2"/>
      <c r="CQ3" s="2"/>
      <c r="DP3" s="217"/>
      <c r="DQ3" s="21"/>
      <c r="DS3" s="2"/>
      <c r="DZ3" s="1" t="s">
        <v>1886</v>
      </c>
      <c r="FA3" s="217"/>
      <c r="FB3" s="21"/>
      <c r="GL3" s="217"/>
      <c r="GM3" s="21"/>
      <c r="HD3" s="396"/>
      <c r="HW3" s="218"/>
      <c r="HX3" s="21"/>
      <c r="JH3" s="217"/>
      <c r="JI3" s="21"/>
      <c r="KS3" s="217"/>
      <c r="KY3" s="3"/>
      <c r="KZ3" s="3"/>
      <c r="LC3" s="497"/>
      <c r="LD3" s="327" t="s">
        <v>1320</v>
      </c>
      <c r="LE3" s="327" t="s">
        <v>1322</v>
      </c>
      <c r="LF3" s="328" t="s">
        <v>835</v>
      </c>
      <c r="LI3" s="322"/>
      <c r="LJ3" s="220"/>
      <c r="LK3" s="242"/>
      <c r="LL3" s="221"/>
      <c r="LM3" s="221"/>
      <c r="LN3" s="221"/>
      <c r="LO3" s="221"/>
      <c r="LP3" s="221"/>
      <c r="LQ3" s="221"/>
      <c r="LR3" s="221"/>
      <c r="LS3" s="221"/>
      <c r="LT3" s="221"/>
      <c r="LU3" s="222"/>
      <c r="LV3" s="322"/>
      <c r="LW3" s="220"/>
      <c r="LX3" s="221"/>
      <c r="LY3" s="222"/>
      <c r="LZ3" s="305"/>
      <c r="MA3" s="305"/>
      <c r="MB3" s="305"/>
      <c r="MC3" s="62"/>
      <c r="MD3" s="296"/>
      <c r="ME3" s="241"/>
      <c r="MF3" s="241"/>
      <c r="MG3" s="241"/>
      <c r="MH3" s="241"/>
      <c r="MI3" s="241"/>
      <c r="MJ3" s="241"/>
      <c r="MQ3" s="243"/>
      <c r="MR3" s="243"/>
      <c r="MS3" s="243"/>
      <c r="MT3" s="341"/>
    </row>
    <row r="4" spans="1:374" s="224" customFormat="1" ht="15.75" customHeight="1" thickBot="1">
      <c r="A4" s="223"/>
      <c r="C4" s="225"/>
      <c r="D4" s="234"/>
      <c r="E4" s="226"/>
      <c r="F4" s="226">
        <f>SUM(F10:F403)</f>
        <v>13565850</v>
      </c>
      <c r="G4" s="226"/>
      <c r="I4" s="227"/>
      <c r="J4" s="228"/>
      <c r="K4" s="228"/>
      <c r="L4" s="229"/>
      <c r="M4" s="228" t="str">
        <f>+'Jan-2026 rates'!J227</f>
        <v>Mixed Ink</v>
      </c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  <c r="AP4" s="228" t="s">
        <v>846</v>
      </c>
      <c r="AQ4" s="228"/>
      <c r="AR4" s="230">
        <f>AT4/AS4</f>
        <v>0</v>
      </c>
      <c r="AS4" s="231">
        <f>SUBTOTAL(9,AS10:AS1048576)</f>
        <v>6737.5518676919137</v>
      </c>
      <c r="AT4" s="231">
        <f>SUBTOTAL(9,AT10:AT1048576)</f>
        <v>0</v>
      </c>
      <c r="AU4" s="228"/>
      <c r="BB4" s="232"/>
      <c r="BW4" s="224">
        <v>850</v>
      </c>
      <c r="CD4" s="231">
        <f>SUBTOTAL(9,CD10:CD1048576)</f>
        <v>17659.323496245088</v>
      </c>
      <c r="CE4" s="231">
        <f>SUBTOTAL(9,CE10:CE1048576)</f>
        <v>0</v>
      </c>
      <c r="CF4" s="228"/>
      <c r="CN4" s="225"/>
      <c r="CO4" s="233"/>
      <c r="CP4" s="225"/>
      <c r="CQ4" s="225"/>
      <c r="DO4" s="231">
        <f>SUBTOTAL(9,DO10:DO1048576)</f>
        <v>15767.594098386988</v>
      </c>
      <c r="DP4" s="231">
        <f>SUBTOTAL(9,DP10:DP1048576)</f>
        <v>0</v>
      </c>
      <c r="DQ4" s="228"/>
      <c r="DS4" s="225"/>
      <c r="EZ4" s="231">
        <f>SUBTOTAL(9,EZ10:EZ1048576)</f>
        <v>12436.964570576854</v>
      </c>
      <c r="FA4" s="231">
        <f>SUBTOTAL(9,FA10:FA1048576)</f>
        <v>0</v>
      </c>
      <c r="FB4" s="228"/>
      <c r="GK4" s="231">
        <f>SUBTOTAL(9,GK10:GK1048576)</f>
        <v>8635.5167351257278</v>
      </c>
      <c r="GL4" s="231">
        <f>SUBTOTAL(9,GL10:GL1048576)</f>
        <v>0</v>
      </c>
      <c r="GM4" s="228"/>
      <c r="HD4" s="397"/>
      <c r="HV4" s="231">
        <f>SUBTOTAL(9,HV10:HV1048576)</f>
        <v>13346.33324365006</v>
      </c>
      <c r="HW4" s="231">
        <f>SUBTOTAL(9,HW10:HW1048576)</f>
        <v>0</v>
      </c>
      <c r="HX4" s="228"/>
      <c r="JG4" s="231">
        <f>SUBTOTAL(9,JG10:JG1048576)</f>
        <v>38907.314872208335</v>
      </c>
      <c r="JH4" s="231">
        <f>SUBTOTAL(9,JH10:JH1048576)</f>
        <v>0</v>
      </c>
      <c r="JI4" s="228"/>
      <c r="KR4" s="231">
        <f>SUBTOTAL(9,KR10:KR1048576)</f>
        <v>47889.411116114992</v>
      </c>
      <c r="KS4" s="231">
        <f>SUBTOTAL(9,KS10:KS1048576)</f>
        <v>0</v>
      </c>
      <c r="KW4" s="231">
        <f>SUBTOTAL(9,KW10:KW1048576)</f>
        <v>2499</v>
      </c>
      <c r="KY4" s="234"/>
      <c r="KZ4" s="234"/>
      <c r="LA4" s="234"/>
      <c r="LI4" s="226">
        <f>SUBTOTAL(9,LI10:LI1048576)</f>
        <v>0</v>
      </c>
      <c r="LJ4" s="235">
        <f>+LK4-LL4</f>
        <v>-78</v>
      </c>
      <c r="LK4" s="226">
        <f>SUBTOTAL(9,LK10:LK1048576)</f>
        <v>84823</v>
      </c>
      <c r="LL4" s="226">
        <f>SUBTOTAL(9,LL10:LL1048576)</f>
        <v>84901</v>
      </c>
      <c r="LM4" s="231">
        <f>SUBTOTAL(9,LM10:LM1048576)</f>
        <v>53545.800000000032</v>
      </c>
      <c r="LN4"/>
      <c r="LO4" s="231">
        <f>SUBTOTAL(9,LO10:LO1048576)</f>
        <v>11230.200000000004</v>
      </c>
      <c r="LP4"/>
      <c r="LQ4" s="231">
        <f>SUBTOTAL(9,LQ10:LQ1048576)</f>
        <v>0</v>
      </c>
      <c r="LR4" s="236"/>
      <c r="LS4" s="231">
        <f>SUBTOTAL(9,LS10:LS1048576)</f>
        <v>14375</v>
      </c>
      <c r="LT4" s="236"/>
      <c r="LU4" s="231">
        <f>SUBTOTAL(9,LU10:LU1048576)</f>
        <v>5750</v>
      </c>
      <c r="LV4" s="236"/>
      <c r="LW4" s="235">
        <f>+LL4-LU1</f>
        <v>84901</v>
      </c>
      <c r="LX4" s="236"/>
      <c r="LY4" s="231">
        <f>SUBTOTAL(9,LY10:LY1048576)</f>
        <v>0</v>
      </c>
      <c r="LZ4" s="309"/>
      <c r="MA4" s="231">
        <f>SUBTOTAL(9,MA10:MA1048576)</f>
        <v>82830.81</v>
      </c>
      <c r="MB4" s="231">
        <f>SUBTOTAL(9,MB10:MB1048576)</f>
        <v>161380.00999999998</v>
      </c>
      <c r="MC4" s="304" t="s">
        <v>1117</v>
      </c>
      <c r="MD4" s="237"/>
      <c r="MQ4" s="244"/>
      <c r="MR4" s="244"/>
      <c r="MS4" s="244"/>
      <c r="MT4" s="342"/>
    </row>
    <row r="5" spans="1:374" s="4" customFormat="1" ht="15.75" customHeight="1" thickBot="1">
      <c r="A5" s="349"/>
      <c r="B5" s="350"/>
      <c r="C5" s="350"/>
      <c r="D5" s="350"/>
      <c r="E5" s="350"/>
      <c r="F5" s="350"/>
      <c r="G5" s="350"/>
      <c r="H5" s="350"/>
      <c r="I5" s="350"/>
      <c r="J5" s="465" t="s">
        <v>202</v>
      </c>
      <c r="K5" s="473" t="s">
        <v>0</v>
      </c>
      <c r="L5" s="471"/>
      <c r="M5" s="471"/>
      <c r="N5" s="471"/>
      <c r="O5" s="471"/>
      <c r="P5" s="471"/>
      <c r="Q5" s="471"/>
      <c r="R5" s="471"/>
      <c r="S5" s="471"/>
      <c r="T5" s="471"/>
      <c r="U5" s="471"/>
      <c r="V5" s="471"/>
      <c r="W5" s="471"/>
      <c r="X5" s="471"/>
      <c r="Y5" s="471"/>
      <c r="Z5" s="471"/>
      <c r="AA5" s="471"/>
      <c r="AB5" s="471"/>
      <c r="AC5" s="471"/>
      <c r="AD5" s="471"/>
      <c r="AE5" s="471"/>
      <c r="AF5" s="471"/>
      <c r="AG5" s="471"/>
      <c r="AH5" s="471"/>
      <c r="AI5" s="471"/>
      <c r="AJ5" s="471"/>
      <c r="AK5" s="471"/>
      <c r="AL5" s="471"/>
      <c r="AM5" s="471"/>
      <c r="AN5" s="471"/>
      <c r="AO5" s="471"/>
      <c r="AP5" s="471"/>
      <c r="AQ5" s="471"/>
      <c r="AR5" s="472"/>
      <c r="AS5" s="489" t="s">
        <v>88</v>
      </c>
      <c r="AT5" s="490"/>
      <c r="AU5" s="465" t="s">
        <v>201</v>
      </c>
      <c r="AV5" s="471" t="s">
        <v>1</v>
      </c>
      <c r="AW5" s="471"/>
      <c r="AX5" s="471"/>
      <c r="AY5" s="471"/>
      <c r="AZ5" s="471"/>
      <c r="BA5" s="471"/>
      <c r="BB5" s="471"/>
      <c r="BC5" s="471"/>
      <c r="BD5" s="471"/>
      <c r="BE5" s="471"/>
      <c r="BF5" s="471"/>
      <c r="BG5" s="471"/>
      <c r="BH5" s="471"/>
      <c r="BI5" s="471"/>
      <c r="BJ5" s="471"/>
      <c r="BK5" s="471"/>
      <c r="BL5" s="471"/>
      <c r="BM5" s="471"/>
      <c r="BN5" s="471"/>
      <c r="BO5" s="471"/>
      <c r="BP5" s="471"/>
      <c r="BQ5" s="471"/>
      <c r="BR5" s="471"/>
      <c r="BS5" s="471"/>
      <c r="BT5" s="471"/>
      <c r="BU5" s="471"/>
      <c r="BV5" s="471"/>
      <c r="BW5" s="471"/>
      <c r="BX5" s="471"/>
      <c r="BY5" s="471"/>
      <c r="BZ5" s="471"/>
      <c r="CA5" s="471"/>
      <c r="CB5" s="471"/>
      <c r="CC5" s="472"/>
      <c r="CD5" s="467" t="s">
        <v>93</v>
      </c>
      <c r="CE5" s="468"/>
      <c r="CF5" s="487" t="s">
        <v>200</v>
      </c>
      <c r="CG5" s="471" t="s">
        <v>2</v>
      </c>
      <c r="CH5" s="471"/>
      <c r="CI5" s="471"/>
      <c r="CJ5" s="471"/>
      <c r="CK5" s="471"/>
      <c r="CL5" s="471"/>
      <c r="CM5" s="471"/>
      <c r="CN5" s="471"/>
      <c r="CO5" s="471"/>
      <c r="CP5" s="471"/>
      <c r="CQ5" s="471"/>
      <c r="CR5" s="471"/>
      <c r="CS5" s="471"/>
      <c r="CT5" s="471"/>
      <c r="CU5" s="471"/>
      <c r="CV5" s="471"/>
      <c r="CW5" s="471"/>
      <c r="CX5" s="471"/>
      <c r="CY5" s="471"/>
      <c r="CZ5" s="471"/>
      <c r="DA5" s="471"/>
      <c r="DB5" s="471"/>
      <c r="DC5" s="471"/>
      <c r="DD5" s="471"/>
      <c r="DE5" s="471"/>
      <c r="DF5" s="471"/>
      <c r="DG5" s="471"/>
      <c r="DH5" s="471"/>
      <c r="DI5" s="471"/>
      <c r="DJ5" s="471"/>
      <c r="DK5" s="471"/>
      <c r="DL5" s="471"/>
      <c r="DM5" s="471"/>
      <c r="DN5" s="472"/>
      <c r="DO5" s="467" t="s">
        <v>94</v>
      </c>
      <c r="DP5" s="468"/>
      <c r="DQ5" s="465" t="s">
        <v>199</v>
      </c>
      <c r="DR5" s="471" t="s">
        <v>3</v>
      </c>
      <c r="DS5" s="471"/>
      <c r="DT5" s="471"/>
      <c r="DU5" s="471"/>
      <c r="DV5" s="471"/>
      <c r="DW5" s="471"/>
      <c r="DX5" s="471"/>
      <c r="DY5" s="471"/>
      <c r="DZ5" s="471"/>
      <c r="EA5" s="471"/>
      <c r="EB5" s="471"/>
      <c r="EC5" s="471"/>
      <c r="ED5" s="471"/>
      <c r="EE5" s="471"/>
      <c r="EF5" s="471"/>
      <c r="EG5" s="471"/>
      <c r="EH5" s="471"/>
      <c r="EI5" s="471"/>
      <c r="EJ5" s="471"/>
      <c r="EK5" s="471"/>
      <c r="EL5" s="471"/>
      <c r="EM5" s="471"/>
      <c r="EN5" s="471"/>
      <c r="EO5" s="471"/>
      <c r="EP5" s="471"/>
      <c r="EQ5" s="471"/>
      <c r="ER5" s="471"/>
      <c r="ES5" s="471"/>
      <c r="ET5" s="471"/>
      <c r="EU5" s="471"/>
      <c r="EV5" s="471"/>
      <c r="EW5" s="471"/>
      <c r="EX5" s="471"/>
      <c r="EY5" s="472"/>
      <c r="EZ5" s="467" t="s">
        <v>95</v>
      </c>
      <c r="FA5" s="468"/>
      <c r="FB5" s="465" t="s">
        <v>198</v>
      </c>
      <c r="FC5" s="473" t="s">
        <v>4</v>
      </c>
      <c r="FD5" s="471"/>
      <c r="FE5" s="471"/>
      <c r="FF5" s="471"/>
      <c r="FG5" s="471"/>
      <c r="FH5" s="471"/>
      <c r="FI5" s="471"/>
      <c r="FJ5" s="471"/>
      <c r="FK5" s="471"/>
      <c r="FL5" s="471"/>
      <c r="FM5" s="471"/>
      <c r="FN5" s="471"/>
      <c r="FO5" s="471"/>
      <c r="FP5" s="471"/>
      <c r="FQ5" s="471"/>
      <c r="FR5" s="471"/>
      <c r="FS5" s="471"/>
      <c r="FT5" s="471"/>
      <c r="FU5" s="471"/>
      <c r="FV5" s="471"/>
      <c r="FW5" s="471"/>
      <c r="FX5" s="471"/>
      <c r="FY5" s="471"/>
      <c r="FZ5" s="471"/>
      <c r="GA5" s="471"/>
      <c r="GB5" s="471"/>
      <c r="GC5" s="471"/>
      <c r="GD5" s="471"/>
      <c r="GE5" s="471"/>
      <c r="GF5" s="471"/>
      <c r="GG5" s="471"/>
      <c r="GH5" s="471"/>
      <c r="GI5" s="471"/>
      <c r="GJ5" s="472"/>
      <c r="GK5" s="467" t="s">
        <v>96</v>
      </c>
      <c r="GL5" s="468"/>
      <c r="GM5" s="465" t="s">
        <v>197</v>
      </c>
      <c r="GN5" s="471" t="s">
        <v>5</v>
      </c>
      <c r="GO5" s="471"/>
      <c r="GP5" s="471"/>
      <c r="GQ5" s="471"/>
      <c r="GR5" s="471"/>
      <c r="GS5" s="471"/>
      <c r="GT5" s="471"/>
      <c r="GU5" s="471"/>
      <c r="GV5" s="471"/>
      <c r="GW5" s="471"/>
      <c r="GX5" s="471"/>
      <c r="GY5" s="471"/>
      <c r="GZ5" s="471"/>
      <c r="HA5" s="471"/>
      <c r="HB5" s="471"/>
      <c r="HC5" s="471"/>
      <c r="HD5" s="471"/>
      <c r="HE5" s="471"/>
      <c r="HF5" s="471"/>
      <c r="HG5" s="471"/>
      <c r="HH5" s="471"/>
      <c r="HI5" s="471"/>
      <c r="HJ5" s="471"/>
      <c r="HK5" s="471"/>
      <c r="HL5" s="471"/>
      <c r="HM5" s="471"/>
      <c r="HN5" s="471"/>
      <c r="HO5" s="471"/>
      <c r="HP5" s="471"/>
      <c r="HQ5" s="471"/>
      <c r="HR5" s="471"/>
      <c r="HS5" s="471"/>
      <c r="HT5" s="471"/>
      <c r="HU5" s="472"/>
      <c r="HV5" s="467" t="s">
        <v>97</v>
      </c>
      <c r="HW5" s="468"/>
      <c r="HX5" s="465" t="s">
        <v>196</v>
      </c>
      <c r="HY5" s="473" t="s">
        <v>6</v>
      </c>
      <c r="HZ5" s="471"/>
      <c r="IA5" s="471"/>
      <c r="IB5" s="471"/>
      <c r="IC5" s="471"/>
      <c r="ID5" s="471"/>
      <c r="IE5" s="471"/>
      <c r="IF5" s="471"/>
      <c r="IG5" s="471"/>
      <c r="IH5" s="471"/>
      <c r="II5" s="471"/>
      <c r="IJ5" s="471"/>
      <c r="IK5" s="471"/>
      <c r="IL5" s="471"/>
      <c r="IM5" s="471"/>
      <c r="IN5" s="471"/>
      <c r="IO5" s="471"/>
      <c r="IP5" s="471"/>
      <c r="IQ5" s="471"/>
      <c r="IR5" s="471"/>
      <c r="IS5" s="471"/>
      <c r="IT5" s="471"/>
      <c r="IU5" s="471"/>
      <c r="IV5" s="471"/>
      <c r="IW5" s="471"/>
      <c r="IX5" s="471"/>
      <c r="IY5" s="471"/>
      <c r="IZ5" s="471"/>
      <c r="JA5" s="471"/>
      <c r="JB5" s="471"/>
      <c r="JC5" s="471"/>
      <c r="JD5" s="471"/>
      <c r="JE5" s="471"/>
      <c r="JF5" s="472"/>
      <c r="JG5" s="467" t="s">
        <v>98</v>
      </c>
      <c r="JH5" s="468"/>
      <c r="JI5" s="465" t="s">
        <v>195</v>
      </c>
      <c r="JJ5" s="473" t="s">
        <v>7</v>
      </c>
      <c r="JK5" s="471"/>
      <c r="JL5" s="471"/>
      <c r="JM5" s="471"/>
      <c r="JN5" s="471"/>
      <c r="JO5" s="471"/>
      <c r="JP5" s="471"/>
      <c r="JQ5" s="471"/>
      <c r="JR5" s="471"/>
      <c r="JS5" s="471"/>
      <c r="JT5" s="471"/>
      <c r="JU5" s="471"/>
      <c r="JV5" s="471"/>
      <c r="JW5" s="471"/>
      <c r="JX5" s="471"/>
      <c r="JY5" s="471"/>
      <c r="JZ5" s="471"/>
      <c r="KA5" s="471"/>
      <c r="KB5" s="471"/>
      <c r="KC5" s="471"/>
      <c r="KD5" s="471"/>
      <c r="KE5" s="471"/>
      <c r="KF5" s="471"/>
      <c r="KG5" s="471"/>
      <c r="KH5" s="471"/>
      <c r="KI5" s="471"/>
      <c r="KJ5" s="471"/>
      <c r="KK5" s="471"/>
      <c r="KL5" s="471"/>
      <c r="KM5" s="471"/>
      <c r="KN5" s="471"/>
      <c r="KO5" s="471"/>
      <c r="KP5" s="471"/>
      <c r="KQ5" s="472"/>
      <c r="KR5" s="467" t="s">
        <v>99</v>
      </c>
      <c r="KS5" s="468"/>
      <c r="KT5" s="482" t="s">
        <v>8</v>
      </c>
      <c r="KU5" s="483"/>
      <c r="KV5" s="483"/>
      <c r="KW5" s="483"/>
      <c r="KX5" s="483"/>
      <c r="KY5" s="483"/>
      <c r="KZ5" s="483"/>
      <c r="LA5" s="483"/>
      <c r="LB5" s="483"/>
      <c r="LC5" s="483"/>
      <c r="LD5" s="483"/>
      <c r="LE5" s="483"/>
      <c r="LF5" s="483"/>
      <c r="LG5" s="483"/>
      <c r="LH5" s="483"/>
      <c r="LI5" s="483"/>
      <c r="LJ5" s="483"/>
      <c r="LK5" s="483"/>
      <c r="LL5" s="483"/>
      <c r="LM5" s="49" t="s">
        <v>193</v>
      </c>
      <c r="LN5" s="50"/>
      <c r="LO5" s="50"/>
      <c r="LP5" s="50"/>
      <c r="LQ5" s="50"/>
      <c r="LR5" s="50"/>
      <c r="LS5" s="50"/>
      <c r="LT5" s="50"/>
      <c r="LU5" s="50"/>
      <c r="LV5" s="50"/>
      <c r="LW5" s="50"/>
      <c r="LX5" s="51"/>
      <c r="LY5" s="457" t="s">
        <v>86</v>
      </c>
      <c r="LZ5" s="459" t="s">
        <v>87</v>
      </c>
      <c r="MA5" s="457" t="s">
        <v>294</v>
      </c>
      <c r="MB5" s="457" t="s">
        <v>194</v>
      </c>
      <c r="MC5" s="445" t="s">
        <v>298</v>
      </c>
      <c r="MD5" s="191"/>
      <c r="ME5" s="195"/>
      <c r="MF5" s="196"/>
      <c r="MG5" s="196"/>
      <c r="MH5" s="196"/>
      <c r="MI5" s="196"/>
      <c r="MJ5" s="196"/>
      <c r="MK5" s="196"/>
      <c r="ML5" s="197"/>
      <c r="MQ5" s="245"/>
      <c r="MR5" s="245"/>
      <c r="MS5" s="245"/>
      <c r="MT5" s="343"/>
    </row>
    <row r="6" spans="1:374" s="4" customFormat="1" ht="20.25" customHeight="1" thickBot="1">
      <c r="A6" s="351"/>
      <c r="B6" s="352"/>
      <c r="C6" s="352" t="s">
        <v>203</v>
      </c>
      <c r="D6" s="352"/>
      <c r="E6" s="352"/>
      <c r="F6" s="352"/>
      <c r="G6" s="352"/>
      <c r="H6" s="352"/>
      <c r="I6" s="352"/>
      <c r="J6" s="466"/>
      <c r="K6" s="480" t="s">
        <v>9</v>
      </c>
      <c r="L6" s="447"/>
      <c r="M6" s="447"/>
      <c r="N6" s="447"/>
      <c r="O6" s="447"/>
      <c r="P6" s="447"/>
      <c r="Q6" s="448"/>
      <c r="R6" s="454" t="s">
        <v>10</v>
      </c>
      <c r="S6" s="455"/>
      <c r="T6" s="455"/>
      <c r="U6" s="455"/>
      <c r="V6" s="455"/>
      <c r="W6" s="455"/>
      <c r="X6" s="455"/>
      <c r="Y6" s="455"/>
      <c r="Z6" s="455"/>
      <c r="AA6" s="455"/>
      <c r="AB6" s="455"/>
      <c r="AC6" s="455"/>
      <c r="AD6" s="455"/>
      <c r="AE6" s="455"/>
      <c r="AF6" s="455"/>
      <c r="AG6" s="455"/>
      <c r="AH6" s="455"/>
      <c r="AI6" s="455"/>
      <c r="AJ6" s="455"/>
      <c r="AK6" s="455"/>
      <c r="AL6" s="455"/>
      <c r="AM6" s="455"/>
      <c r="AN6" s="455"/>
      <c r="AO6" s="456"/>
      <c r="AP6" s="451" t="s">
        <v>41</v>
      </c>
      <c r="AQ6" s="461" t="s">
        <v>204</v>
      </c>
      <c r="AR6" s="462"/>
      <c r="AS6" s="491"/>
      <c r="AT6" s="492"/>
      <c r="AU6" s="466"/>
      <c r="AV6" s="447" t="s">
        <v>205</v>
      </c>
      <c r="AW6" s="447"/>
      <c r="AX6" s="447"/>
      <c r="AY6" s="447"/>
      <c r="AZ6" s="447"/>
      <c r="BA6" s="447"/>
      <c r="BB6" s="448"/>
      <c r="BC6" s="461" t="s">
        <v>10</v>
      </c>
      <c r="BD6" s="447"/>
      <c r="BE6" s="447"/>
      <c r="BF6" s="447"/>
      <c r="BG6" s="447"/>
      <c r="BH6" s="447"/>
      <c r="BI6" s="447"/>
      <c r="BJ6" s="447"/>
      <c r="BK6" s="447"/>
      <c r="BL6" s="447"/>
      <c r="BM6" s="447"/>
      <c r="BN6" s="447"/>
      <c r="BO6" s="447"/>
      <c r="BP6" s="447"/>
      <c r="BQ6" s="447"/>
      <c r="BR6" s="447"/>
      <c r="BS6" s="447"/>
      <c r="BT6" s="447"/>
      <c r="BU6" s="447"/>
      <c r="BV6" s="447"/>
      <c r="BW6" s="447"/>
      <c r="BX6" s="447"/>
      <c r="BY6" s="447"/>
      <c r="BZ6" s="448"/>
      <c r="CA6" s="451" t="s">
        <v>41</v>
      </c>
      <c r="CB6" s="461" t="s">
        <v>206</v>
      </c>
      <c r="CC6" s="462"/>
      <c r="CD6" s="469"/>
      <c r="CE6" s="470"/>
      <c r="CF6" s="488"/>
      <c r="CG6" s="447" t="s">
        <v>207</v>
      </c>
      <c r="CH6" s="447"/>
      <c r="CI6" s="447"/>
      <c r="CJ6" s="447"/>
      <c r="CK6" s="447"/>
      <c r="CL6" s="447"/>
      <c r="CM6" s="448"/>
      <c r="CN6" s="461" t="s">
        <v>10</v>
      </c>
      <c r="CO6" s="447"/>
      <c r="CP6" s="447"/>
      <c r="CQ6" s="447"/>
      <c r="CR6" s="447"/>
      <c r="CS6" s="447"/>
      <c r="CT6" s="447"/>
      <c r="CU6" s="447"/>
      <c r="CV6" s="447"/>
      <c r="CW6" s="447"/>
      <c r="CX6" s="447"/>
      <c r="CY6" s="447"/>
      <c r="CZ6" s="447"/>
      <c r="DA6" s="447"/>
      <c r="DB6" s="447"/>
      <c r="DC6" s="447"/>
      <c r="DD6" s="447"/>
      <c r="DE6" s="447"/>
      <c r="DF6" s="447"/>
      <c r="DG6" s="447"/>
      <c r="DH6" s="447"/>
      <c r="DI6" s="447"/>
      <c r="DJ6" s="447"/>
      <c r="DK6" s="448"/>
      <c r="DL6" s="451" t="s">
        <v>41</v>
      </c>
      <c r="DM6" s="461" t="s">
        <v>208</v>
      </c>
      <c r="DN6" s="462"/>
      <c r="DO6" s="469"/>
      <c r="DP6" s="470"/>
      <c r="DQ6" s="466"/>
      <c r="DR6" s="447" t="s">
        <v>209</v>
      </c>
      <c r="DS6" s="447"/>
      <c r="DT6" s="447"/>
      <c r="DU6" s="447"/>
      <c r="DV6" s="447"/>
      <c r="DW6" s="447"/>
      <c r="DX6" s="448"/>
      <c r="DY6" s="461" t="s">
        <v>10</v>
      </c>
      <c r="DZ6" s="447"/>
      <c r="EA6" s="447"/>
      <c r="EB6" s="447"/>
      <c r="EC6" s="447"/>
      <c r="ED6" s="447"/>
      <c r="EE6" s="447"/>
      <c r="EF6" s="447"/>
      <c r="EG6" s="447"/>
      <c r="EH6" s="447"/>
      <c r="EI6" s="447"/>
      <c r="EJ6" s="447"/>
      <c r="EK6" s="447"/>
      <c r="EL6" s="447"/>
      <c r="EM6" s="447"/>
      <c r="EN6" s="447"/>
      <c r="EO6" s="447"/>
      <c r="EP6" s="447"/>
      <c r="EQ6" s="447"/>
      <c r="ER6" s="447"/>
      <c r="ES6" s="447"/>
      <c r="ET6" s="447"/>
      <c r="EU6" s="447"/>
      <c r="EV6" s="448"/>
      <c r="EW6" s="451" t="s">
        <v>41</v>
      </c>
      <c r="EX6" s="461" t="s">
        <v>210</v>
      </c>
      <c r="EY6" s="462"/>
      <c r="EZ6" s="469"/>
      <c r="FA6" s="470"/>
      <c r="FB6" s="466"/>
      <c r="FC6" s="480" t="s">
        <v>9</v>
      </c>
      <c r="FD6" s="447"/>
      <c r="FE6" s="447"/>
      <c r="FF6" s="447"/>
      <c r="FG6" s="447"/>
      <c r="FH6" s="447"/>
      <c r="FI6" s="448"/>
      <c r="FJ6" s="454" t="s">
        <v>10</v>
      </c>
      <c r="FK6" s="455"/>
      <c r="FL6" s="455"/>
      <c r="FM6" s="455"/>
      <c r="FN6" s="455"/>
      <c r="FO6" s="455"/>
      <c r="FP6" s="455"/>
      <c r="FQ6" s="455"/>
      <c r="FR6" s="455"/>
      <c r="FS6" s="455"/>
      <c r="FT6" s="455"/>
      <c r="FU6" s="455"/>
      <c r="FV6" s="455"/>
      <c r="FW6" s="455"/>
      <c r="FX6" s="455"/>
      <c r="FY6" s="455"/>
      <c r="FZ6" s="455"/>
      <c r="GA6" s="455"/>
      <c r="GB6" s="455"/>
      <c r="GC6" s="455"/>
      <c r="GD6" s="455"/>
      <c r="GE6" s="455"/>
      <c r="GF6" s="455"/>
      <c r="GG6" s="456"/>
      <c r="GH6" s="451" t="s">
        <v>41</v>
      </c>
      <c r="GI6" s="461" t="s">
        <v>216</v>
      </c>
      <c r="GJ6" s="462"/>
      <c r="GK6" s="469"/>
      <c r="GL6" s="470"/>
      <c r="GM6" s="466"/>
      <c r="GN6" s="447" t="s">
        <v>9</v>
      </c>
      <c r="GO6" s="447"/>
      <c r="GP6" s="447"/>
      <c r="GQ6" s="447"/>
      <c r="GR6" s="447"/>
      <c r="GS6" s="447"/>
      <c r="GT6" s="448"/>
      <c r="GU6" s="454" t="s">
        <v>10</v>
      </c>
      <c r="GV6" s="455"/>
      <c r="GW6" s="455"/>
      <c r="GX6" s="455"/>
      <c r="GY6" s="455"/>
      <c r="GZ6" s="455"/>
      <c r="HA6" s="455"/>
      <c r="HB6" s="455"/>
      <c r="HC6" s="455"/>
      <c r="HD6" s="455"/>
      <c r="HE6" s="455"/>
      <c r="HF6" s="455"/>
      <c r="HG6" s="455"/>
      <c r="HH6" s="455"/>
      <c r="HI6" s="455"/>
      <c r="HJ6" s="455"/>
      <c r="HK6" s="455"/>
      <c r="HL6" s="455"/>
      <c r="HM6" s="455"/>
      <c r="HN6" s="455"/>
      <c r="HO6" s="455"/>
      <c r="HP6" s="455"/>
      <c r="HQ6" s="455"/>
      <c r="HR6" s="456"/>
      <c r="HS6" s="451" t="s">
        <v>41</v>
      </c>
      <c r="HT6" s="461" t="s">
        <v>211</v>
      </c>
      <c r="HU6" s="462"/>
      <c r="HV6" s="469"/>
      <c r="HW6" s="470"/>
      <c r="HX6" s="466"/>
      <c r="HY6" s="480" t="s">
        <v>212</v>
      </c>
      <c r="HZ6" s="447"/>
      <c r="IA6" s="447"/>
      <c r="IB6" s="447"/>
      <c r="IC6" s="447"/>
      <c r="ID6" s="447"/>
      <c r="IE6" s="448"/>
      <c r="IF6" s="454" t="s">
        <v>10</v>
      </c>
      <c r="IG6" s="455"/>
      <c r="IH6" s="455"/>
      <c r="II6" s="455"/>
      <c r="IJ6" s="455"/>
      <c r="IK6" s="455"/>
      <c r="IL6" s="455"/>
      <c r="IM6" s="455"/>
      <c r="IN6" s="455"/>
      <c r="IO6" s="455"/>
      <c r="IP6" s="455"/>
      <c r="IQ6" s="455"/>
      <c r="IR6" s="455"/>
      <c r="IS6" s="455"/>
      <c r="IT6" s="455"/>
      <c r="IU6" s="455"/>
      <c r="IV6" s="455"/>
      <c r="IW6" s="455"/>
      <c r="IX6" s="455"/>
      <c r="IY6" s="455"/>
      <c r="IZ6" s="455"/>
      <c r="JA6" s="455"/>
      <c r="JB6" s="455"/>
      <c r="JC6" s="456"/>
      <c r="JD6" s="451" t="s">
        <v>41</v>
      </c>
      <c r="JE6" s="461" t="s">
        <v>213</v>
      </c>
      <c r="JF6" s="462"/>
      <c r="JG6" s="469"/>
      <c r="JH6" s="470"/>
      <c r="JI6" s="466"/>
      <c r="JJ6" s="480" t="s">
        <v>214</v>
      </c>
      <c r="JK6" s="447"/>
      <c r="JL6" s="447"/>
      <c r="JM6" s="447"/>
      <c r="JN6" s="447"/>
      <c r="JO6" s="447"/>
      <c r="JP6" s="448"/>
      <c r="JQ6" s="454" t="s">
        <v>10</v>
      </c>
      <c r="JR6" s="455"/>
      <c r="JS6" s="455"/>
      <c r="JT6" s="455"/>
      <c r="JU6" s="455"/>
      <c r="JV6" s="455"/>
      <c r="JW6" s="455"/>
      <c r="JX6" s="455"/>
      <c r="JY6" s="455"/>
      <c r="JZ6" s="455"/>
      <c r="KA6" s="455"/>
      <c r="KB6" s="455"/>
      <c r="KC6" s="455"/>
      <c r="KD6" s="455"/>
      <c r="KE6" s="455"/>
      <c r="KF6" s="455"/>
      <c r="KG6" s="455"/>
      <c r="KH6" s="455"/>
      <c r="KI6" s="455"/>
      <c r="KJ6" s="455"/>
      <c r="KK6" s="455"/>
      <c r="KL6" s="455"/>
      <c r="KM6" s="455"/>
      <c r="KN6" s="456"/>
      <c r="KO6" s="451" t="s">
        <v>41</v>
      </c>
      <c r="KP6" s="461" t="s">
        <v>215</v>
      </c>
      <c r="KQ6" s="462"/>
      <c r="KR6" s="469"/>
      <c r="KS6" s="470"/>
      <c r="KT6" s="503" t="s">
        <v>606</v>
      </c>
      <c r="KU6" s="504"/>
      <c r="KV6" s="504"/>
      <c r="KW6" s="504"/>
      <c r="KX6" s="504"/>
      <c r="KY6" s="504"/>
      <c r="KZ6" s="504"/>
      <c r="LA6" s="505"/>
      <c r="LB6" s="474" t="s">
        <v>190</v>
      </c>
      <c r="LC6" s="475"/>
      <c r="LD6" s="475"/>
      <c r="LE6" s="475"/>
      <c r="LF6" s="476"/>
      <c r="LG6" s="484" t="s">
        <v>359</v>
      </c>
      <c r="LH6" s="485"/>
      <c r="LI6" s="485"/>
      <c r="LJ6" s="485"/>
      <c r="LK6" s="486"/>
      <c r="LL6" s="139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3"/>
      <c r="LY6" s="458"/>
      <c r="LZ6" s="460"/>
      <c r="MA6" s="458"/>
      <c r="MB6" s="458"/>
      <c r="MC6" s="446"/>
      <c r="MD6" s="188"/>
      <c r="ME6" s="192"/>
      <c r="MF6" s="238"/>
      <c r="MG6" s="238"/>
      <c r="MH6" s="238"/>
      <c r="MI6" s="238"/>
      <c r="MJ6" s="238"/>
      <c r="MK6" s="238"/>
      <c r="ML6" s="198"/>
      <c r="MQ6" s="245"/>
      <c r="MR6" s="245"/>
      <c r="MS6" s="245"/>
      <c r="MT6" s="343"/>
    </row>
    <row r="7" spans="1:374" s="4" customFormat="1" ht="23.25" customHeight="1" thickBot="1">
      <c r="A7" s="353"/>
      <c r="B7" s="354"/>
      <c r="C7" s="354"/>
      <c r="D7" s="354"/>
      <c r="E7" s="354"/>
      <c r="F7" s="354"/>
      <c r="G7" s="354"/>
      <c r="H7" s="354"/>
      <c r="I7" s="354"/>
      <c r="J7" s="466"/>
      <c r="K7" s="481"/>
      <c r="L7" s="449"/>
      <c r="M7" s="449"/>
      <c r="N7" s="449"/>
      <c r="O7" s="449"/>
      <c r="P7" s="449"/>
      <c r="Q7" s="450"/>
      <c r="R7" s="454" t="s">
        <v>11</v>
      </c>
      <c r="S7" s="455"/>
      <c r="T7" s="455"/>
      <c r="U7" s="455"/>
      <c r="V7" s="455"/>
      <c r="W7" s="455"/>
      <c r="X7" s="455"/>
      <c r="Y7" s="456"/>
      <c r="Z7" s="454" t="s">
        <v>12</v>
      </c>
      <c r="AA7" s="455"/>
      <c r="AB7" s="455"/>
      <c r="AC7" s="455"/>
      <c r="AD7" s="455"/>
      <c r="AE7" s="455"/>
      <c r="AF7" s="455"/>
      <c r="AG7" s="455"/>
      <c r="AH7" s="455"/>
      <c r="AI7" s="455"/>
      <c r="AJ7" s="455"/>
      <c r="AK7" s="455"/>
      <c r="AL7" s="455"/>
      <c r="AM7" s="455"/>
      <c r="AN7" s="455"/>
      <c r="AO7" s="456"/>
      <c r="AP7" s="452"/>
      <c r="AQ7" s="463"/>
      <c r="AR7" s="464"/>
      <c r="AS7" s="493"/>
      <c r="AT7" s="494"/>
      <c r="AU7" s="466"/>
      <c r="AV7" s="449"/>
      <c r="AW7" s="449"/>
      <c r="AX7" s="449"/>
      <c r="AY7" s="449"/>
      <c r="AZ7" s="449"/>
      <c r="BA7" s="449"/>
      <c r="BB7" s="450"/>
      <c r="BC7" s="454" t="s">
        <v>11</v>
      </c>
      <c r="BD7" s="455"/>
      <c r="BE7" s="455"/>
      <c r="BF7" s="455"/>
      <c r="BG7" s="455"/>
      <c r="BH7" s="455"/>
      <c r="BI7" s="455"/>
      <c r="BJ7" s="456"/>
      <c r="BK7" s="454" t="s">
        <v>12</v>
      </c>
      <c r="BL7" s="455"/>
      <c r="BM7" s="455"/>
      <c r="BN7" s="455"/>
      <c r="BO7" s="455"/>
      <c r="BP7" s="455"/>
      <c r="BQ7" s="455"/>
      <c r="BR7" s="455"/>
      <c r="BS7" s="455"/>
      <c r="BT7" s="455"/>
      <c r="BU7" s="455"/>
      <c r="BV7" s="455"/>
      <c r="BW7" s="455"/>
      <c r="BX7" s="455"/>
      <c r="BY7" s="455"/>
      <c r="BZ7" s="456"/>
      <c r="CA7" s="452"/>
      <c r="CB7" s="463"/>
      <c r="CC7" s="464"/>
      <c r="CD7" s="469"/>
      <c r="CE7" s="470"/>
      <c r="CF7" s="488"/>
      <c r="CG7" s="449"/>
      <c r="CH7" s="449"/>
      <c r="CI7" s="449"/>
      <c r="CJ7" s="449"/>
      <c r="CK7" s="449"/>
      <c r="CL7" s="449"/>
      <c r="CM7" s="450"/>
      <c r="CN7" s="454" t="s">
        <v>11</v>
      </c>
      <c r="CO7" s="455"/>
      <c r="CP7" s="455"/>
      <c r="CQ7" s="455"/>
      <c r="CR7" s="455"/>
      <c r="CS7" s="455"/>
      <c r="CT7" s="455"/>
      <c r="CU7" s="456"/>
      <c r="CV7" s="454" t="s">
        <v>12</v>
      </c>
      <c r="CW7" s="455"/>
      <c r="CX7" s="455"/>
      <c r="CY7" s="455"/>
      <c r="CZ7" s="455"/>
      <c r="DA7" s="455"/>
      <c r="DB7" s="455"/>
      <c r="DC7" s="455"/>
      <c r="DD7" s="455"/>
      <c r="DE7" s="455"/>
      <c r="DF7" s="455"/>
      <c r="DG7" s="455"/>
      <c r="DH7" s="455"/>
      <c r="DI7" s="455"/>
      <c r="DJ7" s="455"/>
      <c r="DK7" s="456"/>
      <c r="DL7" s="452"/>
      <c r="DM7" s="463"/>
      <c r="DN7" s="464"/>
      <c r="DO7" s="469"/>
      <c r="DP7" s="470"/>
      <c r="DQ7" s="466"/>
      <c r="DR7" s="449"/>
      <c r="DS7" s="449"/>
      <c r="DT7" s="449"/>
      <c r="DU7" s="449"/>
      <c r="DV7" s="449"/>
      <c r="DW7" s="449"/>
      <c r="DX7" s="450"/>
      <c r="DY7" s="454" t="s">
        <v>11</v>
      </c>
      <c r="DZ7" s="455"/>
      <c r="EA7" s="455"/>
      <c r="EB7" s="455"/>
      <c r="EC7" s="455"/>
      <c r="ED7" s="455"/>
      <c r="EE7" s="455"/>
      <c r="EF7" s="456"/>
      <c r="EG7" s="454" t="s">
        <v>12</v>
      </c>
      <c r="EH7" s="455"/>
      <c r="EI7" s="455"/>
      <c r="EJ7" s="455"/>
      <c r="EK7" s="455"/>
      <c r="EL7" s="455"/>
      <c r="EM7" s="455"/>
      <c r="EN7" s="455"/>
      <c r="EO7" s="455"/>
      <c r="EP7" s="455"/>
      <c r="EQ7" s="455"/>
      <c r="ER7" s="455"/>
      <c r="ES7" s="455"/>
      <c r="ET7" s="455"/>
      <c r="EU7" s="455"/>
      <c r="EV7" s="456"/>
      <c r="EW7" s="452"/>
      <c r="EX7" s="463"/>
      <c r="EY7" s="464"/>
      <c r="EZ7" s="469"/>
      <c r="FA7" s="470"/>
      <c r="FB7" s="466"/>
      <c r="FC7" s="481"/>
      <c r="FD7" s="449"/>
      <c r="FE7" s="449"/>
      <c r="FF7" s="449"/>
      <c r="FG7" s="449"/>
      <c r="FH7" s="449"/>
      <c r="FI7" s="450"/>
      <c r="FJ7" s="500" t="s">
        <v>11</v>
      </c>
      <c r="FK7" s="501"/>
      <c r="FL7" s="501"/>
      <c r="FM7" s="501"/>
      <c r="FN7" s="501"/>
      <c r="FO7" s="501"/>
      <c r="FP7" s="501"/>
      <c r="FQ7" s="502"/>
      <c r="FR7" s="454" t="s">
        <v>12</v>
      </c>
      <c r="FS7" s="455"/>
      <c r="FT7" s="455"/>
      <c r="FU7" s="455"/>
      <c r="FV7" s="455"/>
      <c r="FW7" s="455"/>
      <c r="FX7" s="455"/>
      <c r="FY7" s="455"/>
      <c r="FZ7" s="455"/>
      <c r="GA7" s="455"/>
      <c r="GB7" s="455"/>
      <c r="GC7" s="455"/>
      <c r="GD7" s="455"/>
      <c r="GE7" s="455"/>
      <c r="GF7" s="455"/>
      <c r="GG7" s="456"/>
      <c r="GH7" s="452"/>
      <c r="GI7" s="463"/>
      <c r="GJ7" s="464"/>
      <c r="GK7" s="469"/>
      <c r="GL7" s="470"/>
      <c r="GM7" s="466"/>
      <c r="GN7" s="449"/>
      <c r="GO7" s="449"/>
      <c r="GP7" s="449"/>
      <c r="GQ7" s="449"/>
      <c r="GR7" s="449"/>
      <c r="GS7" s="449"/>
      <c r="GT7" s="450"/>
      <c r="GU7" s="454" t="s">
        <v>11</v>
      </c>
      <c r="GV7" s="455"/>
      <c r="GW7" s="455"/>
      <c r="GX7" s="455"/>
      <c r="GY7" s="455"/>
      <c r="GZ7" s="455"/>
      <c r="HA7" s="455"/>
      <c r="HB7" s="456"/>
      <c r="HC7" s="454" t="s">
        <v>12</v>
      </c>
      <c r="HD7" s="455"/>
      <c r="HE7" s="455"/>
      <c r="HF7" s="455"/>
      <c r="HG7" s="455"/>
      <c r="HH7" s="455"/>
      <c r="HI7" s="455"/>
      <c r="HJ7" s="455"/>
      <c r="HK7" s="455"/>
      <c r="HL7" s="455"/>
      <c r="HM7" s="455"/>
      <c r="HN7" s="455"/>
      <c r="HO7" s="455"/>
      <c r="HP7" s="455"/>
      <c r="HQ7" s="455"/>
      <c r="HR7" s="456"/>
      <c r="HS7" s="452"/>
      <c r="HT7" s="463"/>
      <c r="HU7" s="464"/>
      <c r="HV7" s="469"/>
      <c r="HW7" s="470"/>
      <c r="HX7" s="466"/>
      <c r="HY7" s="481"/>
      <c r="HZ7" s="449"/>
      <c r="IA7" s="449"/>
      <c r="IB7" s="449"/>
      <c r="IC7" s="449"/>
      <c r="ID7" s="449"/>
      <c r="IE7" s="450"/>
      <c r="IF7" s="454" t="s">
        <v>11</v>
      </c>
      <c r="IG7" s="455"/>
      <c r="IH7" s="455"/>
      <c r="II7" s="455"/>
      <c r="IJ7" s="455"/>
      <c r="IK7" s="455"/>
      <c r="IL7" s="455"/>
      <c r="IM7" s="456"/>
      <c r="IN7" s="454" t="s">
        <v>12</v>
      </c>
      <c r="IO7" s="455"/>
      <c r="IP7" s="455"/>
      <c r="IQ7" s="455"/>
      <c r="IR7" s="455"/>
      <c r="IS7" s="455"/>
      <c r="IT7" s="455"/>
      <c r="IU7" s="455"/>
      <c r="IV7" s="455"/>
      <c r="IW7" s="455"/>
      <c r="IX7" s="455"/>
      <c r="IY7" s="455"/>
      <c r="IZ7" s="455"/>
      <c r="JA7" s="455"/>
      <c r="JB7" s="455"/>
      <c r="JC7" s="456"/>
      <c r="JD7" s="452"/>
      <c r="JE7" s="463"/>
      <c r="JF7" s="464"/>
      <c r="JG7" s="469"/>
      <c r="JH7" s="470"/>
      <c r="JI7" s="466"/>
      <c r="JJ7" s="481"/>
      <c r="JK7" s="449"/>
      <c r="JL7" s="449"/>
      <c r="JM7" s="449"/>
      <c r="JN7" s="449"/>
      <c r="JO7" s="449"/>
      <c r="JP7" s="450"/>
      <c r="JQ7" s="454" t="s">
        <v>11</v>
      </c>
      <c r="JR7" s="455"/>
      <c r="JS7" s="455"/>
      <c r="JT7" s="455"/>
      <c r="JU7" s="455"/>
      <c r="JV7" s="455"/>
      <c r="JW7" s="455"/>
      <c r="JX7" s="456"/>
      <c r="JY7" s="454" t="s">
        <v>12</v>
      </c>
      <c r="JZ7" s="455"/>
      <c r="KA7" s="455"/>
      <c r="KB7" s="455"/>
      <c r="KC7" s="455"/>
      <c r="KD7" s="455"/>
      <c r="KE7" s="455"/>
      <c r="KF7" s="455"/>
      <c r="KG7" s="455"/>
      <c r="KH7" s="455"/>
      <c r="KI7" s="455"/>
      <c r="KJ7" s="455"/>
      <c r="KK7" s="455"/>
      <c r="KL7" s="455"/>
      <c r="KM7" s="455"/>
      <c r="KN7" s="456"/>
      <c r="KO7" s="452"/>
      <c r="KP7" s="463"/>
      <c r="KQ7" s="464"/>
      <c r="KR7" s="469"/>
      <c r="KS7" s="470"/>
      <c r="KT7" s="506"/>
      <c r="KU7" s="507"/>
      <c r="KV7" s="507"/>
      <c r="KW7" s="507"/>
      <c r="KX7" s="507"/>
      <c r="KY7" s="507"/>
      <c r="KZ7" s="507"/>
      <c r="LA7" s="508"/>
      <c r="LB7" s="477"/>
      <c r="LC7" s="478"/>
      <c r="LD7" s="478"/>
      <c r="LE7" s="478"/>
      <c r="LF7" s="479"/>
      <c r="LG7" s="474"/>
      <c r="LH7" s="475"/>
      <c r="LI7" s="475"/>
      <c r="LJ7" s="475"/>
      <c r="LK7" s="476"/>
      <c r="LL7" s="139"/>
      <c r="LM7" s="54"/>
      <c r="LN7" s="54"/>
      <c r="LO7" s="54"/>
      <c r="LP7" s="54"/>
      <c r="LQ7" s="54"/>
      <c r="LR7" s="54"/>
      <c r="LS7" s="54"/>
      <c r="LT7" s="54"/>
      <c r="LU7" s="54"/>
      <c r="LV7" s="54"/>
      <c r="LW7" s="54"/>
      <c r="LX7" s="55"/>
      <c r="LY7" s="458"/>
      <c r="LZ7" s="460"/>
      <c r="MA7" s="458"/>
      <c r="MB7" s="458"/>
      <c r="MC7" s="446"/>
      <c r="MD7" s="188"/>
      <c r="ME7" s="193"/>
      <c r="MF7" s="194"/>
      <c r="MG7" s="194"/>
      <c r="MH7" s="194"/>
      <c r="MI7" s="194"/>
      <c r="MJ7" s="194"/>
      <c r="MK7" s="194"/>
      <c r="ML7" s="199"/>
      <c r="MQ7" s="245"/>
      <c r="MR7" s="245"/>
      <c r="MS7" s="245"/>
      <c r="MT7" s="343"/>
    </row>
    <row r="8" spans="1:374" s="20" customFormat="1" ht="64.5" customHeight="1">
      <c r="A8" s="5" t="s">
        <v>13</v>
      </c>
      <c r="B8" s="6" t="s">
        <v>14</v>
      </c>
      <c r="C8" s="6" t="s">
        <v>15</v>
      </c>
      <c r="D8" s="318" t="s">
        <v>16</v>
      </c>
      <c r="E8" s="7" t="s">
        <v>17</v>
      </c>
      <c r="F8" s="22" t="s">
        <v>18</v>
      </c>
      <c r="G8" s="48" t="s">
        <v>309</v>
      </c>
      <c r="H8" s="48" t="s">
        <v>289</v>
      </c>
      <c r="I8" s="8" t="s">
        <v>19</v>
      </c>
      <c r="J8" s="466"/>
      <c r="K8" s="9" t="s">
        <v>21</v>
      </c>
      <c r="L8" s="65" t="s">
        <v>82</v>
      </c>
      <c r="M8" s="11" t="s">
        <v>22</v>
      </c>
      <c r="N8" s="65" t="s">
        <v>83</v>
      </c>
      <c r="O8" s="12" t="s">
        <v>23</v>
      </c>
      <c r="P8" s="11" t="s">
        <v>24</v>
      </c>
      <c r="Q8" s="65" t="s">
        <v>83</v>
      </c>
      <c r="R8" s="13" t="s">
        <v>25</v>
      </c>
      <c r="S8" s="13" t="s">
        <v>26</v>
      </c>
      <c r="T8" s="14" t="s">
        <v>27</v>
      </c>
      <c r="U8" s="14" t="s">
        <v>28</v>
      </c>
      <c r="V8" s="14" t="s">
        <v>29</v>
      </c>
      <c r="W8" s="14" t="s">
        <v>30</v>
      </c>
      <c r="X8" s="14" t="s">
        <v>31</v>
      </c>
      <c r="Y8" s="14" t="s">
        <v>32</v>
      </c>
      <c r="Z8" s="15" t="s">
        <v>33</v>
      </c>
      <c r="AA8" s="65" t="s">
        <v>83</v>
      </c>
      <c r="AB8" s="15" t="s">
        <v>34</v>
      </c>
      <c r="AC8" s="65" t="s">
        <v>83</v>
      </c>
      <c r="AD8" s="15" t="s">
        <v>35</v>
      </c>
      <c r="AE8" s="65" t="s">
        <v>83</v>
      </c>
      <c r="AF8" s="15" t="s">
        <v>36</v>
      </c>
      <c r="AG8" s="65" t="s">
        <v>83</v>
      </c>
      <c r="AH8" s="16" t="s">
        <v>37</v>
      </c>
      <c r="AI8" s="65" t="s">
        <v>83</v>
      </c>
      <c r="AJ8" s="16" t="s">
        <v>38</v>
      </c>
      <c r="AK8" s="65" t="s">
        <v>83</v>
      </c>
      <c r="AL8" s="16" t="s">
        <v>39</v>
      </c>
      <c r="AM8" s="65" t="s">
        <v>83</v>
      </c>
      <c r="AN8" s="16" t="s">
        <v>40</v>
      </c>
      <c r="AO8" s="65" t="s">
        <v>83</v>
      </c>
      <c r="AP8" s="453"/>
      <c r="AQ8" s="15" t="s">
        <v>42</v>
      </c>
      <c r="AR8" s="66" t="s">
        <v>83</v>
      </c>
      <c r="AS8" s="23" t="s">
        <v>89</v>
      </c>
      <c r="AT8" s="24" t="s">
        <v>90</v>
      </c>
      <c r="AU8" s="466"/>
      <c r="AV8" s="9" t="s">
        <v>21</v>
      </c>
      <c r="AW8" s="65" t="s">
        <v>82</v>
      </c>
      <c r="AX8" s="11" t="s">
        <v>22</v>
      </c>
      <c r="AY8" s="65" t="s">
        <v>83</v>
      </c>
      <c r="AZ8" s="12" t="s">
        <v>23</v>
      </c>
      <c r="BA8" s="11" t="s">
        <v>24</v>
      </c>
      <c r="BB8" s="65" t="s">
        <v>83</v>
      </c>
      <c r="BC8" s="13" t="s">
        <v>25</v>
      </c>
      <c r="BD8" s="13" t="s">
        <v>26</v>
      </c>
      <c r="BE8" s="14" t="s">
        <v>27</v>
      </c>
      <c r="BF8" s="14" t="s">
        <v>28</v>
      </c>
      <c r="BG8" s="14" t="s">
        <v>29</v>
      </c>
      <c r="BH8" s="14" t="s">
        <v>30</v>
      </c>
      <c r="BI8" s="14" t="s">
        <v>31</v>
      </c>
      <c r="BJ8" s="14" t="s">
        <v>32</v>
      </c>
      <c r="BK8" s="15" t="s">
        <v>33</v>
      </c>
      <c r="BL8" s="10" t="s">
        <v>83</v>
      </c>
      <c r="BM8" s="15" t="s">
        <v>34</v>
      </c>
      <c r="BN8" s="10" t="s">
        <v>83</v>
      </c>
      <c r="BO8" s="15" t="s">
        <v>35</v>
      </c>
      <c r="BP8" s="10" t="s">
        <v>83</v>
      </c>
      <c r="BQ8" s="16" t="s">
        <v>36</v>
      </c>
      <c r="BR8" s="10" t="s">
        <v>83</v>
      </c>
      <c r="BS8" s="16" t="s">
        <v>37</v>
      </c>
      <c r="BT8" s="10" t="s">
        <v>83</v>
      </c>
      <c r="BU8" s="16" t="s">
        <v>38</v>
      </c>
      <c r="BV8" s="10" t="s">
        <v>83</v>
      </c>
      <c r="BW8" s="16" t="s">
        <v>39</v>
      </c>
      <c r="BX8" s="10" t="s">
        <v>83</v>
      </c>
      <c r="BY8" s="16" t="s">
        <v>40</v>
      </c>
      <c r="BZ8" s="10" t="s">
        <v>83</v>
      </c>
      <c r="CA8" s="452"/>
      <c r="CB8" s="15" t="s">
        <v>42</v>
      </c>
      <c r="CC8" s="17" t="s">
        <v>83</v>
      </c>
      <c r="CD8" s="23" t="s">
        <v>89</v>
      </c>
      <c r="CE8" s="24" t="s">
        <v>90</v>
      </c>
      <c r="CF8" s="488"/>
      <c r="CG8" s="9" t="s">
        <v>21</v>
      </c>
      <c r="CH8" s="10" t="s">
        <v>82</v>
      </c>
      <c r="CI8" s="11" t="s">
        <v>22</v>
      </c>
      <c r="CJ8" s="10" t="s">
        <v>83</v>
      </c>
      <c r="CK8" s="12" t="s">
        <v>23</v>
      </c>
      <c r="CL8" s="11" t="s">
        <v>24</v>
      </c>
      <c r="CM8" s="10" t="s">
        <v>83</v>
      </c>
      <c r="CN8" s="13" t="s">
        <v>25</v>
      </c>
      <c r="CO8" s="13" t="s">
        <v>26</v>
      </c>
      <c r="CP8" s="14" t="s">
        <v>27</v>
      </c>
      <c r="CQ8" s="14" t="s">
        <v>28</v>
      </c>
      <c r="CR8" s="14" t="s">
        <v>29</v>
      </c>
      <c r="CS8" s="14" t="s">
        <v>30</v>
      </c>
      <c r="CT8" s="14" t="s">
        <v>31</v>
      </c>
      <c r="CU8" s="14" t="s">
        <v>32</v>
      </c>
      <c r="CV8" s="15" t="s">
        <v>33</v>
      </c>
      <c r="CW8" s="10" t="s">
        <v>83</v>
      </c>
      <c r="CX8" s="15" t="s">
        <v>34</v>
      </c>
      <c r="CY8" s="10" t="s">
        <v>83</v>
      </c>
      <c r="CZ8" s="15" t="s">
        <v>35</v>
      </c>
      <c r="DA8" s="10" t="s">
        <v>83</v>
      </c>
      <c r="DB8" s="15" t="s">
        <v>36</v>
      </c>
      <c r="DC8" s="10" t="s">
        <v>83</v>
      </c>
      <c r="DD8" s="15" t="s">
        <v>37</v>
      </c>
      <c r="DE8" s="10" t="s">
        <v>83</v>
      </c>
      <c r="DF8" s="15" t="s">
        <v>38</v>
      </c>
      <c r="DG8" s="10" t="s">
        <v>83</v>
      </c>
      <c r="DH8" s="15" t="s">
        <v>39</v>
      </c>
      <c r="DI8" s="10" t="s">
        <v>83</v>
      </c>
      <c r="DJ8" s="15" t="s">
        <v>40</v>
      </c>
      <c r="DK8" s="10" t="s">
        <v>83</v>
      </c>
      <c r="DL8" s="452"/>
      <c r="DM8" s="15" t="s">
        <v>42</v>
      </c>
      <c r="DN8" s="17" t="s">
        <v>83</v>
      </c>
      <c r="DO8" s="23" t="s">
        <v>89</v>
      </c>
      <c r="DP8" s="24" t="s">
        <v>90</v>
      </c>
      <c r="DQ8" s="466"/>
      <c r="DR8" s="9" t="s">
        <v>21</v>
      </c>
      <c r="DS8" s="10" t="s">
        <v>82</v>
      </c>
      <c r="DT8" s="11" t="s">
        <v>22</v>
      </c>
      <c r="DU8" s="10" t="s">
        <v>83</v>
      </c>
      <c r="DV8" s="12" t="s">
        <v>23</v>
      </c>
      <c r="DW8" s="11" t="s">
        <v>24</v>
      </c>
      <c r="DX8" s="10" t="s">
        <v>83</v>
      </c>
      <c r="DY8" s="13" t="s">
        <v>25</v>
      </c>
      <c r="DZ8" s="13" t="s">
        <v>26</v>
      </c>
      <c r="EA8" s="14" t="s">
        <v>27</v>
      </c>
      <c r="EB8" s="14" t="s">
        <v>28</v>
      </c>
      <c r="EC8" s="18" t="s">
        <v>29</v>
      </c>
      <c r="ED8" s="18" t="s">
        <v>30</v>
      </c>
      <c r="EE8" s="18" t="s">
        <v>31</v>
      </c>
      <c r="EF8" s="18" t="s">
        <v>32</v>
      </c>
      <c r="EG8" s="15" t="s">
        <v>33</v>
      </c>
      <c r="EH8" s="10" t="s">
        <v>83</v>
      </c>
      <c r="EI8" s="15" t="s">
        <v>34</v>
      </c>
      <c r="EJ8" s="10" t="s">
        <v>83</v>
      </c>
      <c r="EK8" s="15" t="s">
        <v>35</v>
      </c>
      <c r="EL8" s="10" t="s">
        <v>83</v>
      </c>
      <c r="EM8" s="15" t="s">
        <v>36</v>
      </c>
      <c r="EN8" s="10" t="s">
        <v>83</v>
      </c>
      <c r="EO8" s="15" t="s">
        <v>37</v>
      </c>
      <c r="EP8" s="10" t="s">
        <v>83</v>
      </c>
      <c r="EQ8" s="15" t="s">
        <v>38</v>
      </c>
      <c r="ER8" s="10" t="s">
        <v>83</v>
      </c>
      <c r="ES8" s="15" t="s">
        <v>39</v>
      </c>
      <c r="ET8" s="10" t="s">
        <v>83</v>
      </c>
      <c r="EU8" s="15" t="s">
        <v>40</v>
      </c>
      <c r="EV8" s="10" t="s">
        <v>83</v>
      </c>
      <c r="EW8" s="452"/>
      <c r="EX8" s="15" t="s">
        <v>42</v>
      </c>
      <c r="EY8" s="17" t="s">
        <v>83</v>
      </c>
      <c r="EZ8" s="23" t="s">
        <v>89</v>
      </c>
      <c r="FA8" s="24" t="s">
        <v>90</v>
      </c>
      <c r="FB8" s="466"/>
      <c r="FC8" s="9" t="s">
        <v>21</v>
      </c>
      <c r="FD8" s="10" t="s">
        <v>82</v>
      </c>
      <c r="FE8" s="11" t="s">
        <v>22</v>
      </c>
      <c r="FF8" s="10" t="s">
        <v>83</v>
      </c>
      <c r="FG8" s="12" t="s">
        <v>23</v>
      </c>
      <c r="FH8" s="11" t="s">
        <v>24</v>
      </c>
      <c r="FI8" s="10" t="s">
        <v>83</v>
      </c>
      <c r="FJ8" s="13" t="s">
        <v>25</v>
      </c>
      <c r="FK8" s="13" t="s">
        <v>26</v>
      </c>
      <c r="FL8" s="13" t="s">
        <v>27</v>
      </c>
      <c r="FM8" s="13" t="s">
        <v>28</v>
      </c>
      <c r="FN8" s="13" t="s">
        <v>29</v>
      </c>
      <c r="FO8" s="13" t="s">
        <v>30</v>
      </c>
      <c r="FP8" s="13" t="s">
        <v>31</v>
      </c>
      <c r="FQ8" s="13" t="s">
        <v>32</v>
      </c>
      <c r="FR8" s="15" t="s">
        <v>33</v>
      </c>
      <c r="FS8" s="10" t="s">
        <v>83</v>
      </c>
      <c r="FT8" s="15" t="s">
        <v>34</v>
      </c>
      <c r="FU8" s="10" t="s">
        <v>83</v>
      </c>
      <c r="FV8" s="15" t="s">
        <v>35</v>
      </c>
      <c r="FW8" s="10" t="s">
        <v>83</v>
      </c>
      <c r="FX8" s="15" t="s">
        <v>36</v>
      </c>
      <c r="FY8" s="10" t="s">
        <v>83</v>
      </c>
      <c r="FZ8" s="15" t="s">
        <v>37</v>
      </c>
      <c r="GA8" s="10" t="s">
        <v>83</v>
      </c>
      <c r="GB8" s="15" t="s">
        <v>38</v>
      </c>
      <c r="GC8" s="10" t="s">
        <v>83</v>
      </c>
      <c r="GD8" s="15" t="s">
        <v>39</v>
      </c>
      <c r="GE8" s="10" t="s">
        <v>83</v>
      </c>
      <c r="GF8" s="15" t="s">
        <v>40</v>
      </c>
      <c r="GG8" s="10" t="s">
        <v>83</v>
      </c>
      <c r="GH8" s="453"/>
      <c r="GI8" s="19" t="s">
        <v>42</v>
      </c>
      <c r="GJ8" s="17" t="s">
        <v>83</v>
      </c>
      <c r="GK8" s="23" t="s">
        <v>89</v>
      </c>
      <c r="GL8" s="24" t="s">
        <v>90</v>
      </c>
      <c r="GM8" s="466"/>
      <c r="GN8" s="9" t="s">
        <v>21</v>
      </c>
      <c r="GO8" s="10" t="s">
        <v>82</v>
      </c>
      <c r="GP8" s="11" t="s">
        <v>22</v>
      </c>
      <c r="GQ8" s="10" t="s">
        <v>83</v>
      </c>
      <c r="GR8" s="12" t="s">
        <v>23</v>
      </c>
      <c r="GS8" s="11" t="s">
        <v>24</v>
      </c>
      <c r="GT8" s="10" t="s">
        <v>83</v>
      </c>
      <c r="GU8" s="13" t="s">
        <v>25</v>
      </c>
      <c r="GV8" s="13" t="s">
        <v>26</v>
      </c>
      <c r="GW8" s="13" t="s">
        <v>27</v>
      </c>
      <c r="GX8" s="13" t="s">
        <v>28</v>
      </c>
      <c r="GY8" s="13" t="s">
        <v>29</v>
      </c>
      <c r="GZ8" s="13" t="s">
        <v>30</v>
      </c>
      <c r="HA8" s="13" t="s">
        <v>31</v>
      </c>
      <c r="HB8" s="13" t="s">
        <v>32</v>
      </c>
      <c r="HC8" s="15" t="s">
        <v>33</v>
      </c>
      <c r="HD8" s="10" t="s">
        <v>83</v>
      </c>
      <c r="HE8" s="15" t="s">
        <v>34</v>
      </c>
      <c r="HF8" s="10" t="s">
        <v>83</v>
      </c>
      <c r="HG8" s="15" t="s">
        <v>35</v>
      </c>
      <c r="HH8" s="10" t="s">
        <v>83</v>
      </c>
      <c r="HI8" s="15" t="s">
        <v>36</v>
      </c>
      <c r="HJ8" s="10" t="s">
        <v>83</v>
      </c>
      <c r="HK8" s="15" t="s">
        <v>37</v>
      </c>
      <c r="HL8" s="10" t="s">
        <v>83</v>
      </c>
      <c r="HM8" s="15" t="s">
        <v>38</v>
      </c>
      <c r="HN8" s="10" t="s">
        <v>83</v>
      </c>
      <c r="HO8" s="15" t="s">
        <v>39</v>
      </c>
      <c r="HP8" s="10" t="s">
        <v>83</v>
      </c>
      <c r="HQ8" s="15" t="s">
        <v>40</v>
      </c>
      <c r="HR8" s="10" t="s">
        <v>83</v>
      </c>
      <c r="HS8" s="452"/>
      <c r="HT8" s="19" t="s">
        <v>42</v>
      </c>
      <c r="HU8" s="17" t="s">
        <v>83</v>
      </c>
      <c r="HV8" s="23" t="s">
        <v>89</v>
      </c>
      <c r="HW8" s="24" t="s">
        <v>90</v>
      </c>
      <c r="HX8" s="466"/>
      <c r="HY8" s="9" t="s">
        <v>21</v>
      </c>
      <c r="HZ8" s="10" t="s">
        <v>82</v>
      </c>
      <c r="IA8" s="11" t="s">
        <v>22</v>
      </c>
      <c r="IB8" s="10" t="s">
        <v>83</v>
      </c>
      <c r="IC8" s="12" t="s">
        <v>23</v>
      </c>
      <c r="ID8" s="11" t="s">
        <v>24</v>
      </c>
      <c r="IE8" s="10" t="s">
        <v>83</v>
      </c>
      <c r="IF8" s="13" t="s">
        <v>25</v>
      </c>
      <c r="IG8" s="13" t="s">
        <v>26</v>
      </c>
      <c r="IH8" s="13" t="s">
        <v>27</v>
      </c>
      <c r="II8" s="13" t="s">
        <v>28</v>
      </c>
      <c r="IJ8" s="13" t="s">
        <v>29</v>
      </c>
      <c r="IK8" s="13" t="s">
        <v>30</v>
      </c>
      <c r="IL8" s="13" t="s">
        <v>31</v>
      </c>
      <c r="IM8" s="13" t="s">
        <v>32</v>
      </c>
      <c r="IN8" s="15" t="s">
        <v>33</v>
      </c>
      <c r="IO8" s="10" t="s">
        <v>83</v>
      </c>
      <c r="IP8" s="15" t="s">
        <v>34</v>
      </c>
      <c r="IQ8" s="10" t="s">
        <v>83</v>
      </c>
      <c r="IR8" s="15" t="s">
        <v>35</v>
      </c>
      <c r="IS8" s="10" t="s">
        <v>83</v>
      </c>
      <c r="IT8" s="15" t="s">
        <v>36</v>
      </c>
      <c r="IU8" s="10" t="s">
        <v>83</v>
      </c>
      <c r="IV8" s="15" t="s">
        <v>37</v>
      </c>
      <c r="IW8" s="10" t="s">
        <v>83</v>
      </c>
      <c r="IX8" s="15" t="s">
        <v>38</v>
      </c>
      <c r="IY8" s="10" t="s">
        <v>83</v>
      </c>
      <c r="IZ8" s="15" t="s">
        <v>39</v>
      </c>
      <c r="JA8" s="10" t="s">
        <v>83</v>
      </c>
      <c r="JB8" s="15" t="s">
        <v>40</v>
      </c>
      <c r="JC8" s="10" t="s">
        <v>83</v>
      </c>
      <c r="JD8" s="453"/>
      <c r="JE8" s="19" t="s">
        <v>42</v>
      </c>
      <c r="JF8" s="17" t="s">
        <v>83</v>
      </c>
      <c r="JG8" s="23" t="s">
        <v>89</v>
      </c>
      <c r="JH8" s="24" t="s">
        <v>90</v>
      </c>
      <c r="JI8" s="466"/>
      <c r="JJ8" s="9" t="s">
        <v>191</v>
      </c>
      <c r="JK8" s="10" t="s">
        <v>82</v>
      </c>
      <c r="JL8" s="11" t="s">
        <v>22</v>
      </c>
      <c r="JM8" s="10" t="s">
        <v>83</v>
      </c>
      <c r="JN8" s="12" t="s">
        <v>192</v>
      </c>
      <c r="JO8" s="11" t="s">
        <v>24</v>
      </c>
      <c r="JP8" s="10" t="s">
        <v>83</v>
      </c>
      <c r="JQ8" s="13" t="s">
        <v>25</v>
      </c>
      <c r="JR8" s="13" t="s">
        <v>26</v>
      </c>
      <c r="JS8" s="13" t="s">
        <v>27</v>
      </c>
      <c r="JT8" s="13" t="s">
        <v>28</v>
      </c>
      <c r="JU8" s="13" t="s">
        <v>29</v>
      </c>
      <c r="JV8" s="13" t="s">
        <v>30</v>
      </c>
      <c r="JW8" s="13" t="s">
        <v>31</v>
      </c>
      <c r="JX8" s="13" t="s">
        <v>32</v>
      </c>
      <c r="JY8" s="15" t="s">
        <v>33</v>
      </c>
      <c r="JZ8" s="10" t="s">
        <v>83</v>
      </c>
      <c r="KA8" s="15" t="s">
        <v>34</v>
      </c>
      <c r="KB8" s="10" t="s">
        <v>83</v>
      </c>
      <c r="KC8" s="15" t="s">
        <v>35</v>
      </c>
      <c r="KD8" s="10" t="s">
        <v>83</v>
      </c>
      <c r="KE8" s="15" t="s">
        <v>36</v>
      </c>
      <c r="KF8" s="10" t="s">
        <v>83</v>
      </c>
      <c r="KG8" s="15" t="s">
        <v>37</v>
      </c>
      <c r="KH8" s="10" t="s">
        <v>83</v>
      </c>
      <c r="KI8" s="15" t="s">
        <v>38</v>
      </c>
      <c r="KJ8" s="10" t="s">
        <v>83</v>
      </c>
      <c r="KK8" s="15" t="s">
        <v>39</v>
      </c>
      <c r="KL8" s="10" t="s">
        <v>83</v>
      </c>
      <c r="KM8" s="15" t="s">
        <v>40</v>
      </c>
      <c r="KN8" s="10" t="s">
        <v>83</v>
      </c>
      <c r="KO8" s="453"/>
      <c r="KP8" s="19" t="s">
        <v>42</v>
      </c>
      <c r="KQ8" s="17" t="s">
        <v>83</v>
      </c>
      <c r="KR8" s="23" t="s">
        <v>89</v>
      </c>
      <c r="KS8" s="24" t="s">
        <v>90</v>
      </c>
      <c r="KT8" s="25" t="s">
        <v>43</v>
      </c>
      <c r="KU8" s="26" t="s">
        <v>44</v>
      </c>
      <c r="KV8" s="26" t="s">
        <v>45</v>
      </c>
      <c r="KW8" s="26" t="s">
        <v>46</v>
      </c>
      <c r="KX8" s="26" t="s">
        <v>47</v>
      </c>
      <c r="KY8" s="26" t="s">
        <v>48</v>
      </c>
      <c r="KZ8" s="26" t="s">
        <v>49</v>
      </c>
      <c r="LA8" s="27" t="s">
        <v>50</v>
      </c>
      <c r="LB8" s="28" t="s">
        <v>51</v>
      </c>
      <c r="LC8" s="29" t="s">
        <v>52</v>
      </c>
      <c r="LD8" s="29" t="s">
        <v>225</v>
      </c>
      <c r="LE8" s="29" t="s">
        <v>226</v>
      </c>
      <c r="LF8" s="30" t="s">
        <v>1182</v>
      </c>
      <c r="LG8" s="58" t="s">
        <v>53</v>
      </c>
      <c r="LH8" s="59" t="s">
        <v>54</v>
      </c>
      <c r="LI8" s="60" t="s">
        <v>288</v>
      </c>
      <c r="LJ8" s="60" t="s">
        <v>55</v>
      </c>
      <c r="LK8" s="57" t="s">
        <v>291</v>
      </c>
      <c r="LL8" s="56" t="s">
        <v>360</v>
      </c>
      <c r="LM8" s="31" t="s">
        <v>84</v>
      </c>
      <c r="LN8" s="32" t="s">
        <v>83</v>
      </c>
      <c r="LO8" s="33" t="s">
        <v>85</v>
      </c>
      <c r="LP8" s="32" t="s">
        <v>83</v>
      </c>
      <c r="LQ8" s="33" t="s">
        <v>574</v>
      </c>
      <c r="LR8" s="32" t="s">
        <v>83</v>
      </c>
      <c r="LS8" s="33" t="s">
        <v>1183</v>
      </c>
      <c r="LT8" s="32" t="s">
        <v>83</v>
      </c>
      <c r="LU8" s="33" t="s">
        <v>575</v>
      </c>
      <c r="LV8" s="32" t="s">
        <v>83</v>
      </c>
      <c r="LW8" s="33" t="s">
        <v>91</v>
      </c>
      <c r="LX8" s="32" t="s">
        <v>92</v>
      </c>
      <c r="LY8" s="458"/>
      <c r="LZ8" s="460"/>
      <c r="MA8" s="458"/>
      <c r="MB8" s="458"/>
      <c r="MC8" s="446"/>
      <c r="MD8" s="188"/>
      <c r="ME8" s="498" t="s">
        <v>709</v>
      </c>
      <c r="MF8" s="498"/>
      <c r="MG8" s="498"/>
      <c r="MH8" s="498"/>
      <c r="MI8" s="498"/>
      <c r="MJ8" s="498"/>
      <c r="MK8" s="498"/>
      <c r="ML8" s="499"/>
      <c r="MQ8" s="247" t="s">
        <v>859</v>
      </c>
      <c r="MR8" s="247" t="s">
        <v>874</v>
      </c>
      <c r="MS8" s="247"/>
      <c r="MT8" s="344">
        <v>1</v>
      </c>
      <c r="MU8" s="20">
        <v>1</v>
      </c>
      <c r="MV8" s="20">
        <v>2</v>
      </c>
      <c r="MW8" s="20">
        <v>2</v>
      </c>
      <c r="MX8" s="20">
        <v>3</v>
      </c>
      <c r="MY8" s="20">
        <v>3</v>
      </c>
      <c r="MZ8" s="20">
        <v>4</v>
      </c>
      <c r="NA8" s="20">
        <v>4</v>
      </c>
      <c r="NB8" s="20">
        <v>5</v>
      </c>
      <c r="NC8" s="20">
        <v>5</v>
      </c>
      <c r="ND8" s="20">
        <v>6</v>
      </c>
      <c r="NE8" s="20">
        <v>6</v>
      </c>
      <c r="NF8" s="20">
        <v>7</v>
      </c>
      <c r="NG8" s="20">
        <v>7</v>
      </c>
      <c r="NH8" s="20">
        <v>8</v>
      </c>
      <c r="NI8" s="20">
        <v>8</v>
      </c>
    </row>
    <row r="9" spans="1:374" s="20" customFormat="1" ht="15.75">
      <c r="A9" s="34" t="s">
        <v>13</v>
      </c>
      <c r="B9" s="34" t="s">
        <v>14</v>
      </c>
      <c r="C9" s="34" t="s">
        <v>221</v>
      </c>
      <c r="D9" s="319" t="s">
        <v>16</v>
      </c>
      <c r="E9" s="35" t="s">
        <v>222</v>
      </c>
      <c r="F9" s="64" t="s">
        <v>222</v>
      </c>
      <c r="G9" s="36" t="s">
        <v>308</v>
      </c>
      <c r="H9" s="36" t="s">
        <v>287</v>
      </c>
      <c r="I9" s="37" t="s">
        <v>222</v>
      </c>
      <c r="J9" s="38" t="s">
        <v>222</v>
      </c>
      <c r="K9" s="38" t="s">
        <v>222</v>
      </c>
      <c r="L9" s="43" t="s">
        <v>222</v>
      </c>
      <c r="M9" s="40" t="s">
        <v>222</v>
      </c>
      <c r="N9" s="43" t="s">
        <v>222</v>
      </c>
      <c r="O9" s="38" t="s">
        <v>222</v>
      </c>
      <c r="P9" s="40" t="s">
        <v>222</v>
      </c>
      <c r="Q9" s="40" t="s">
        <v>222</v>
      </c>
      <c r="R9" s="38" t="s">
        <v>222</v>
      </c>
      <c r="S9" s="38" t="s">
        <v>222</v>
      </c>
      <c r="T9" s="40" t="s">
        <v>222</v>
      </c>
      <c r="U9" s="40" t="s">
        <v>222</v>
      </c>
      <c r="V9" s="40" t="s">
        <v>222</v>
      </c>
      <c r="W9" s="40" t="s">
        <v>222</v>
      </c>
      <c r="X9" s="40" t="s">
        <v>222</v>
      </c>
      <c r="Y9" s="40" t="s">
        <v>222</v>
      </c>
      <c r="Z9" s="41" t="s">
        <v>222</v>
      </c>
      <c r="AA9" s="43" t="s">
        <v>222</v>
      </c>
      <c r="AB9" s="41" t="s">
        <v>222</v>
      </c>
      <c r="AC9" s="43" t="s">
        <v>1026</v>
      </c>
      <c r="AD9" s="41" t="s">
        <v>222</v>
      </c>
      <c r="AE9" s="43" t="s">
        <v>222</v>
      </c>
      <c r="AF9" s="41" t="s">
        <v>222</v>
      </c>
      <c r="AG9" s="43" t="s">
        <v>222</v>
      </c>
      <c r="AH9" s="42" t="s">
        <v>222</v>
      </c>
      <c r="AI9" s="43" t="s">
        <v>222</v>
      </c>
      <c r="AJ9" s="42" t="s">
        <v>222</v>
      </c>
      <c r="AK9" s="43" t="s">
        <v>222</v>
      </c>
      <c r="AL9" s="42" t="s">
        <v>222</v>
      </c>
      <c r="AM9" s="43" t="s">
        <v>222</v>
      </c>
      <c r="AN9" s="42" t="s">
        <v>222</v>
      </c>
      <c r="AO9" s="43" t="s">
        <v>222</v>
      </c>
      <c r="AP9" s="239" t="s">
        <v>222</v>
      </c>
      <c r="AQ9" s="240" t="s">
        <v>222</v>
      </c>
      <c r="AR9" s="43" t="s">
        <v>222</v>
      </c>
      <c r="AS9" s="43" t="s">
        <v>222</v>
      </c>
      <c r="AT9" s="43" t="s">
        <v>222</v>
      </c>
      <c r="AU9" s="38" t="s">
        <v>222</v>
      </c>
      <c r="AV9" s="38" t="s">
        <v>222</v>
      </c>
      <c r="AW9" s="43" t="s">
        <v>222</v>
      </c>
      <c r="AX9" s="40" t="s">
        <v>222</v>
      </c>
      <c r="AY9" s="43" t="s">
        <v>222</v>
      </c>
      <c r="AZ9" s="38" t="s">
        <v>222</v>
      </c>
      <c r="BA9" s="40" t="s">
        <v>222</v>
      </c>
      <c r="BB9" s="40" t="s">
        <v>222</v>
      </c>
      <c r="BC9" s="38" t="s">
        <v>222</v>
      </c>
      <c r="BD9" s="38" t="s">
        <v>222</v>
      </c>
      <c r="BE9" s="40" t="s">
        <v>222</v>
      </c>
      <c r="BF9" s="40" t="s">
        <v>222</v>
      </c>
      <c r="BG9" s="40" t="s">
        <v>222</v>
      </c>
      <c r="BH9" s="40" t="s">
        <v>222</v>
      </c>
      <c r="BI9" s="40" t="s">
        <v>222</v>
      </c>
      <c r="BJ9" s="40" t="s">
        <v>222</v>
      </c>
      <c r="BK9" s="41" t="s">
        <v>222</v>
      </c>
      <c r="BL9" s="39" t="s">
        <v>222</v>
      </c>
      <c r="BM9" s="41" t="s">
        <v>222</v>
      </c>
      <c r="BN9" s="39" t="s">
        <v>222</v>
      </c>
      <c r="BO9" s="41" t="s">
        <v>222</v>
      </c>
      <c r="BP9" s="39" t="s">
        <v>222</v>
      </c>
      <c r="BQ9" s="42" t="s">
        <v>222</v>
      </c>
      <c r="BR9" s="39" t="s">
        <v>222</v>
      </c>
      <c r="BS9" s="42" t="s">
        <v>222</v>
      </c>
      <c r="BT9" s="39" t="s">
        <v>222</v>
      </c>
      <c r="BU9" s="42" t="s">
        <v>222</v>
      </c>
      <c r="BV9" s="39" t="s">
        <v>222</v>
      </c>
      <c r="BW9" s="42" t="s">
        <v>222</v>
      </c>
      <c r="BX9" s="39" t="s">
        <v>222</v>
      </c>
      <c r="BY9" s="42" t="s">
        <v>222</v>
      </c>
      <c r="BZ9" s="39" t="s">
        <v>222</v>
      </c>
      <c r="CA9" s="239" t="s">
        <v>222</v>
      </c>
      <c r="CB9" s="240" t="s">
        <v>222</v>
      </c>
      <c r="CC9" s="39" t="s">
        <v>222</v>
      </c>
      <c r="CD9" s="39" t="s">
        <v>222</v>
      </c>
      <c r="CE9" s="43" t="s">
        <v>222</v>
      </c>
      <c r="CF9" s="248" t="s">
        <v>222</v>
      </c>
      <c r="CG9" s="38" t="s">
        <v>222</v>
      </c>
      <c r="CH9" s="43" t="s">
        <v>222</v>
      </c>
      <c r="CI9" s="40" t="s">
        <v>222</v>
      </c>
      <c r="CJ9" s="43" t="s">
        <v>222</v>
      </c>
      <c r="CK9" s="38" t="s">
        <v>222</v>
      </c>
      <c r="CL9" s="40" t="s">
        <v>222</v>
      </c>
      <c r="CM9" s="40" t="s">
        <v>222</v>
      </c>
      <c r="CN9" s="38" t="s">
        <v>222</v>
      </c>
      <c r="CO9" s="38" t="s">
        <v>222</v>
      </c>
      <c r="CP9" s="40" t="s">
        <v>222</v>
      </c>
      <c r="CQ9" s="40" t="s">
        <v>222</v>
      </c>
      <c r="CR9" s="40" t="s">
        <v>222</v>
      </c>
      <c r="CS9" s="40" t="s">
        <v>222</v>
      </c>
      <c r="CT9" s="40" t="s">
        <v>222</v>
      </c>
      <c r="CU9" s="40" t="s">
        <v>222</v>
      </c>
      <c r="CV9" s="41" t="s">
        <v>222</v>
      </c>
      <c r="CW9" s="39" t="s">
        <v>222</v>
      </c>
      <c r="CX9" s="41" t="s">
        <v>222</v>
      </c>
      <c r="CY9" s="39" t="s">
        <v>222</v>
      </c>
      <c r="CZ9" s="41" t="s">
        <v>222</v>
      </c>
      <c r="DA9" s="39" t="s">
        <v>222</v>
      </c>
      <c r="DB9" s="41" t="s">
        <v>222</v>
      </c>
      <c r="DC9" s="39" t="s">
        <v>222</v>
      </c>
      <c r="DD9" s="41" t="s">
        <v>222</v>
      </c>
      <c r="DE9" s="39" t="s">
        <v>222</v>
      </c>
      <c r="DF9" s="41" t="s">
        <v>222</v>
      </c>
      <c r="DG9" s="39" t="s">
        <v>222</v>
      </c>
      <c r="DH9" s="41" t="s">
        <v>222</v>
      </c>
      <c r="DI9" s="39" t="s">
        <v>222</v>
      </c>
      <c r="DJ9" s="41" t="s">
        <v>222</v>
      </c>
      <c r="DK9" s="39" t="s">
        <v>222</v>
      </c>
      <c r="DL9" s="239" t="s">
        <v>222</v>
      </c>
      <c r="DM9" s="240" t="s">
        <v>222</v>
      </c>
      <c r="DN9" s="39" t="s">
        <v>222</v>
      </c>
      <c r="DO9" s="39" t="s">
        <v>222</v>
      </c>
      <c r="DP9" s="43" t="s">
        <v>222</v>
      </c>
      <c r="DQ9" s="38" t="s">
        <v>222</v>
      </c>
      <c r="DR9" s="38" t="s">
        <v>222</v>
      </c>
      <c r="DS9" s="43" t="s">
        <v>222</v>
      </c>
      <c r="DT9" s="40" t="s">
        <v>222</v>
      </c>
      <c r="DU9" s="43" t="s">
        <v>222</v>
      </c>
      <c r="DV9" s="38" t="s">
        <v>222</v>
      </c>
      <c r="DW9" s="40" t="s">
        <v>222</v>
      </c>
      <c r="DX9" s="40" t="s">
        <v>222</v>
      </c>
      <c r="DY9" s="38" t="s">
        <v>222</v>
      </c>
      <c r="DZ9" s="38" t="s">
        <v>222</v>
      </c>
      <c r="EA9" s="40" t="s">
        <v>222</v>
      </c>
      <c r="EB9" s="40" t="s">
        <v>222</v>
      </c>
      <c r="EC9" s="44" t="s">
        <v>222</v>
      </c>
      <c r="ED9" s="44" t="s">
        <v>222</v>
      </c>
      <c r="EE9" s="44" t="s">
        <v>222</v>
      </c>
      <c r="EF9" s="44" t="s">
        <v>222</v>
      </c>
      <c r="EG9" s="41" t="s">
        <v>222</v>
      </c>
      <c r="EH9" s="39" t="s">
        <v>222</v>
      </c>
      <c r="EI9" s="41" t="s">
        <v>222</v>
      </c>
      <c r="EJ9" s="39" t="s">
        <v>222</v>
      </c>
      <c r="EK9" s="41" t="s">
        <v>222</v>
      </c>
      <c r="EL9" s="39" t="s">
        <v>222</v>
      </c>
      <c r="EM9" s="41" t="s">
        <v>222</v>
      </c>
      <c r="EN9" s="39" t="s">
        <v>222</v>
      </c>
      <c r="EO9" s="41" t="s">
        <v>222</v>
      </c>
      <c r="EP9" s="39" t="s">
        <v>222</v>
      </c>
      <c r="EQ9" s="41" t="s">
        <v>222</v>
      </c>
      <c r="ER9" s="39" t="s">
        <v>222</v>
      </c>
      <c r="ES9" s="41" t="s">
        <v>222</v>
      </c>
      <c r="ET9" s="39" t="s">
        <v>222</v>
      </c>
      <c r="EU9" s="41" t="s">
        <v>222</v>
      </c>
      <c r="EV9" s="39" t="s">
        <v>222</v>
      </c>
      <c r="EW9" s="239" t="s">
        <v>222</v>
      </c>
      <c r="EX9" s="240" t="s">
        <v>222</v>
      </c>
      <c r="EY9" s="39" t="s">
        <v>222</v>
      </c>
      <c r="EZ9" s="39" t="s">
        <v>222</v>
      </c>
      <c r="FA9" s="43" t="s">
        <v>222</v>
      </c>
      <c r="FB9" s="38" t="s">
        <v>222</v>
      </c>
      <c r="FC9" s="38" t="s">
        <v>222</v>
      </c>
      <c r="FD9" s="43" t="s">
        <v>222</v>
      </c>
      <c r="FE9" s="40" t="s">
        <v>222</v>
      </c>
      <c r="FF9" s="43" t="s">
        <v>222</v>
      </c>
      <c r="FG9" s="38" t="s">
        <v>222</v>
      </c>
      <c r="FH9" s="40" t="s">
        <v>222</v>
      </c>
      <c r="FI9" s="40" t="s">
        <v>222</v>
      </c>
      <c r="FJ9" s="40" t="s">
        <v>222</v>
      </c>
      <c r="FK9" s="38" t="s">
        <v>222</v>
      </c>
      <c r="FL9" s="38" t="s">
        <v>222</v>
      </c>
      <c r="FM9" s="38" t="s">
        <v>222</v>
      </c>
      <c r="FN9" s="38" t="s">
        <v>222</v>
      </c>
      <c r="FO9" s="38" t="s">
        <v>222</v>
      </c>
      <c r="FP9" s="38" t="s">
        <v>222</v>
      </c>
      <c r="FQ9" s="38" t="s">
        <v>222</v>
      </c>
      <c r="FR9" s="41" t="s">
        <v>222</v>
      </c>
      <c r="FS9" s="39" t="s">
        <v>222</v>
      </c>
      <c r="FT9" s="41" t="s">
        <v>222</v>
      </c>
      <c r="FU9" s="39" t="s">
        <v>222</v>
      </c>
      <c r="FV9" s="41" t="s">
        <v>222</v>
      </c>
      <c r="FW9" s="39" t="s">
        <v>222</v>
      </c>
      <c r="FX9" s="41" t="s">
        <v>222</v>
      </c>
      <c r="FY9" s="39" t="s">
        <v>222</v>
      </c>
      <c r="FZ9" s="41" t="s">
        <v>222</v>
      </c>
      <c r="GA9" s="39" t="s">
        <v>222</v>
      </c>
      <c r="GB9" s="41" t="s">
        <v>222</v>
      </c>
      <c r="GC9" s="39" t="s">
        <v>222</v>
      </c>
      <c r="GD9" s="41" t="s">
        <v>222</v>
      </c>
      <c r="GE9" s="39" t="s">
        <v>222</v>
      </c>
      <c r="GF9" s="41" t="s">
        <v>222</v>
      </c>
      <c r="GG9" s="39" t="s">
        <v>222</v>
      </c>
      <c r="GH9" s="239" t="s">
        <v>222</v>
      </c>
      <c r="GI9" s="240" t="s">
        <v>222</v>
      </c>
      <c r="GJ9" s="39" t="s">
        <v>222</v>
      </c>
      <c r="GK9" s="39" t="s">
        <v>222</v>
      </c>
      <c r="GL9" s="43" t="s">
        <v>222</v>
      </c>
      <c r="GM9" s="38" t="s">
        <v>222</v>
      </c>
      <c r="GN9" s="38" t="s">
        <v>222</v>
      </c>
      <c r="GO9" s="43" t="s">
        <v>222</v>
      </c>
      <c r="GP9" s="40" t="s">
        <v>222</v>
      </c>
      <c r="GQ9" s="43" t="s">
        <v>222</v>
      </c>
      <c r="GR9" s="38" t="s">
        <v>222</v>
      </c>
      <c r="GS9" s="40" t="s">
        <v>222</v>
      </c>
      <c r="GT9" s="40" t="s">
        <v>222</v>
      </c>
      <c r="GU9" s="38" t="s">
        <v>222</v>
      </c>
      <c r="GV9" s="38" t="s">
        <v>222</v>
      </c>
      <c r="GW9" s="38" t="s">
        <v>222</v>
      </c>
      <c r="GX9" s="38" t="s">
        <v>222</v>
      </c>
      <c r="GY9" s="38" t="s">
        <v>222</v>
      </c>
      <c r="GZ9" s="38" t="s">
        <v>222</v>
      </c>
      <c r="HA9" s="38" t="s">
        <v>222</v>
      </c>
      <c r="HB9" s="38" t="s">
        <v>222</v>
      </c>
      <c r="HC9" s="41" t="s">
        <v>222</v>
      </c>
      <c r="HD9" s="39" t="s">
        <v>222</v>
      </c>
      <c r="HE9" s="41" t="s">
        <v>222</v>
      </c>
      <c r="HF9" s="39" t="s">
        <v>222</v>
      </c>
      <c r="HG9" s="41" t="s">
        <v>222</v>
      </c>
      <c r="HH9" s="39" t="s">
        <v>222</v>
      </c>
      <c r="HI9" s="41" t="s">
        <v>222</v>
      </c>
      <c r="HJ9" s="39" t="s">
        <v>222</v>
      </c>
      <c r="HK9" s="41" t="s">
        <v>222</v>
      </c>
      <c r="HL9" s="39" t="s">
        <v>222</v>
      </c>
      <c r="HM9" s="41" t="s">
        <v>222</v>
      </c>
      <c r="HN9" s="39" t="s">
        <v>222</v>
      </c>
      <c r="HO9" s="41" t="s">
        <v>222</v>
      </c>
      <c r="HP9" s="39" t="s">
        <v>222</v>
      </c>
      <c r="HQ9" s="41" t="s">
        <v>222</v>
      </c>
      <c r="HR9" s="39" t="s">
        <v>222</v>
      </c>
      <c r="HS9" s="239" t="s">
        <v>222</v>
      </c>
      <c r="HT9" s="240" t="s">
        <v>222</v>
      </c>
      <c r="HU9" s="39" t="s">
        <v>222</v>
      </c>
      <c r="HV9" s="39" t="s">
        <v>222</v>
      </c>
      <c r="HW9" s="43" t="s">
        <v>222</v>
      </c>
      <c r="HX9" s="38" t="s">
        <v>222</v>
      </c>
      <c r="HY9" s="38" t="s">
        <v>222</v>
      </c>
      <c r="HZ9" s="43" t="s">
        <v>222</v>
      </c>
      <c r="IA9" s="40" t="s">
        <v>222</v>
      </c>
      <c r="IB9" s="43" t="s">
        <v>222</v>
      </c>
      <c r="IC9" s="38" t="s">
        <v>222</v>
      </c>
      <c r="ID9" s="40" t="s">
        <v>222</v>
      </c>
      <c r="IE9" s="40" t="s">
        <v>222</v>
      </c>
      <c r="IF9" s="38" t="s">
        <v>222</v>
      </c>
      <c r="IG9" s="38" t="s">
        <v>222</v>
      </c>
      <c r="IH9" s="38" t="s">
        <v>222</v>
      </c>
      <c r="II9" s="38" t="s">
        <v>222</v>
      </c>
      <c r="IJ9" s="38" t="s">
        <v>222</v>
      </c>
      <c r="IK9" s="38" t="s">
        <v>222</v>
      </c>
      <c r="IL9" s="38" t="s">
        <v>222</v>
      </c>
      <c r="IM9" s="38" t="s">
        <v>222</v>
      </c>
      <c r="IN9" s="41" t="s">
        <v>222</v>
      </c>
      <c r="IO9" s="39" t="s">
        <v>222</v>
      </c>
      <c r="IP9" s="41" t="s">
        <v>222</v>
      </c>
      <c r="IQ9" s="39" t="s">
        <v>222</v>
      </c>
      <c r="IR9" s="41" t="s">
        <v>222</v>
      </c>
      <c r="IS9" s="39" t="s">
        <v>222</v>
      </c>
      <c r="IT9" s="41" t="s">
        <v>222</v>
      </c>
      <c r="IU9" s="39" t="s">
        <v>222</v>
      </c>
      <c r="IV9" s="41" t="s">
        <v>222</v>
      </c>
      <c r="IW9" s="39" t="s">
        <v>222</v>
      </c>
      <c r="IX9" s="41" t="s">
        <v>222</v>
      </c>
      <c r="IY9" s="39" t="s">
        <v>222</v>
      </c>
      <c r="IZ9" s="41" t="s">
        <v>222</v>
      </c>
      <c r="JA9" s="39" t="s">
        <v>222</v>
      </c>
      <c r="JB9" s="41" t="s">
        <v>222</v>
      </c>
      <c r="JC9" s="39" t="s">
        <v>222</v>
      </c>
      <c r="JD9" s="239" t="s">
        <v>222</v>
      </c>
      <c r="JE9" s="240" t="s">
        <v>222</v>
      </c>
      <c r="JF9" s="39" t="s">
        <v>222</v>
      </c>
      <c r="JG9" s="39" t="s">
        <v>222</v>
      </c>
      <c r="JH9" s="43" t="s">
        <v>222</v>
      </c>
      <c r="JI9" s="38" t="s">
        <v>222</v>
      </c>
      <c r="JJ9" s="38" t="s">
        <v>222</v>
      </c>
      <c r="JK9" s="43" t="s">
        <v>222</v>
      </c>
      <c r="JL9" s="40" t="s">
        <v>222</v>
      </c>
      <c r="JM9" s="43" t="s">
        <v>222</v>
      </c>
      <c r="JN9" s="38" t="s">
        <v>222</v>
      </c>
      <c r="JO9" s="40" t="s">
        <v>222</v>
      </c>
      <c r="JP9" s="40" t="s">
        <v>222</v>
      </c>
      <c r="JQ9" s="38" t="s">
        <v>222</v>
      </c>
      <c r="JR9" s="38" t="s">
        <v>222</v>
      </c>
      <c r="JS9" s="38" t="s">
        <v>222</v>
      </c>
      <c r="JT9" s="38" t="s">
        <v>222</v>
      </c>
      <c r="JU9" s="38" t="s">
        <v>222</v>
      </c>
      <c r="JV9" s="38" t="s">
        <v>222</v>
      </c>
      <c r="JW9" s="38" t="s">
        <v>222</v>
      </c>
      <c r="JX9" s="38" t="s">
        <v>222</v>
      </c>
      <c r="JY9" s="41" t="s">
        <v>222</v>
      </c>
      <c r="JZ9" s="39" t="s">
        <v>222</v>
      </c>
      <c r="KA9" s="41" t="s">
        <v>222</v>
      </c>
      <c r="KB9" s="39" t="s">
        <v>222</v>
      </c>
      <c r="KC9" s="41" t="s">
        <v>222</v>
      </c>
      <c r="KD9" s="39" t="s">
        <v>222</v>
      </c>
      <c r="KE9" s="41" t="s">
        <v>222</v>
      </c>
      <c r="KF9" s="39" t="s">
        <v>222</v>
      </c>
      <c r="KG9" s="41" t="s">
        <v>222</v>
      </c>
      <c r="KH9" s="39" t="s">
        <v>222</v>
      </c>
      <c r="KI9" s="41" t="s">
        <v>222</v>
      </c>
      <c r="KJ9" s="39" t="s">
        <v>222</v>
      </c>
      <c r="KK9" s="41" t="s">
        <v>222</v>
      </c>
      <c r="KL9" s="39" t="s">
        <v>222</v>
      </c>
      <c r="KM9" s="41" t="s">
        <v>222</v>
      </c>
      <c r="KN9" s="39" t="s">
        <v>222</v>
      </c>
      <c r="KO9" s="239" t="s">
        <v>222</v>
      </c>
      <c r="KP9" s="240" t="s">
        <v>222</v>
      </c>
      <c r="KQ9" s="39" t="s">
        <v>222</v>
      </c>
      <c r="KR9" s="39" t="s">
        <v>222</v>
      </c>
      <c r="KS9" s="43" t="s">
        <v>222</v>
      </c>
      <c r="KT9" s="38" t="s">
        <v>222</v>
      </c>
      <c r="KU9" s="38" t="s">
        <v>222</v>
      </c>
      <c r="KV9" s="38" t="s">
        <v>222</v>
      </c>
      <c r="KW9" s="38" t="s">
        <v>222</v>
      </c>
      <c r="KX9" s="38" t="s">
        <v>222</v>
      </c>
      <c r="KY9" s="38" t="s">
        <v>222</v>
      </c>
      <c r="KZ9" s="38" t="s">
        <v>222</v>
      </c>
      <c r="LA9" s="38" t="s">
        <v>222</v>
      </c>
      <c r="LB9" s="40" t="s">
        <v>222</v>
      </c>
      <c r="LC9" s="40" t="s">
        <v>222</v>
      </c>
      <c r="LD9" s="40" t="s">
        <v>222</v>
      </c>
      <c r="LE9" s="40" t="s">
        <v>222</v>
      </c>
      <c r="LF9" s="40" t="s">
        <v>222</v>
      </c>
      <c r="LG9" s="61" t="s">
        <v>222</v>
      </c>
      <c r="LH9" s="61" t="s">
        <v>222</v>
      </c>
      <c r="LI9" s="61" t="s">
        <v>289</v>
      </c>
      <c r="LJ9" s="61" t="s">
        <v>222</v>
      </c>
      <c r="LK9" s="45" t="s">
        <v>223</v>
      </c>
      <c r="LL9" s="45" t="s">
        <v>224</v>
      </c>
      <c r="LM9" s="39" t="s">
        <v>222</v>
      </c>
      <c r="LN9" s="39" t="s">
        <v>222</v>
      </c>
      <c r="LO9" s="39" t="s">
        <v>222</v>
      </c>
      <c r="LP9" s="39" t="s">
        <v>222</v>
      </c>
      <c r="LQ9" s="39" t="s">
        <v>222</v>
      </c>
      <c r="LR9" s="39" t="s">
        <v>222</v>
      </c>
      <c r="LS9" s="39" t="s">
        <v>222</v>
      </c>
      <c r="LT9" s="39" t="s">
        <v>222</v>
      </c>
      <c r="LU9" s="39" t="s">
        <v>846</v>
      </c>
      <c r="LV9" s="39" t="s">
        <v>222</v>
      </c>
      <c r="LW9" s="39" t="s">
        <v>1028</v>
      </c>
      <c r="LX9" s="39" t="s">
        <v>222</v>
      </c>
      <c r="LY9" s="43" t="s">
        <v>182</v>
      </c>
      <c r="LZ9" s="39" t="s">
        <v>189</v>
      </c>
      <c r="MA9" s="46" t="s">
        <v>299</v>
      </c>
      <c r="MB9" s="46" t="s">
        <v>194</v>
      </c>
      <c r="MC9" s="46" t="s">
        <v>298</v>
      </c>
      <c r="MD9" s="189" t="s">
        <v>319</v>
      </c>
      <c r="ME9" s="190">
        <v>1</v>
      </c>
      <c r="MF9" s="190">
        <v>2</v>
      </c>
      <c r="MG9" s="190">
        <v>3</v>
      </c>
      <c r="MH9" s="190">
        <v>4</v>
      </c>
      <c r="MI9" s="190">
        <v>5</v>
      </c>
      <c r="MJ9" s="190">
        <v>6</v>
      </c>
      <c r="MK9" s="190">
        <v>7</v>
      </c>
      <c r="ML9" s="200">
        <v>8</v>
      </c>
      <c r="MM9" s="20" t="s">
        <v>846</v>
      </c>
      <c r="MQ9" s="246"/>
      <c r="MR9" s="246"/>
      <c r="MS9" s="246"/>
      <c r="MT9" s="345" t="s">
        <v>858</v>
      </c>
      <c r="MU9" s="295" t="s">
        <v>1027</v>
      </c>
      <c r="MV9" s="294" t="s">
        <v>858</v>
      </c>
      <c r="MW9" s="295" t="s">
        <v>1027</v>
      </c>
      <c r="MX9" s="294" t="s">
        <v>858</v>
      </c>
      <c r="MY9" s="295" t="s">
        <v>1027</v>
      </c>
      <c r="MZ9" s="294" t="s">
        <v>858</v>
      </c>
      <c r="NA9" s="295" t="s">
        <v>1027</v>
      </c>
      <c r="NB9" s="294" t="s">
        <v>858</v>
      </c>
      <c r="NC9" s="295" t="s">
        <v>1027</v>
      </c>
      <c r="ND9" s="294" t="s">
        <v>858</v>
      </c>
      <c r="NE9" s="295" t="s">
        <v>1027</v>
      </c>
      <c r="NF9" s="294" t="s">
        <v>858</v>
      </c>
      <c r="NG9" s="295" t="s">
        <v>1027</v>
      </c>
      <c r="NH9" s="294" t="s">
        <v>858</v>
      </c>
      <c r="NI9" s="295" t="s">
        <v>1027</v>
      </c>
      <c r="NJ9" s="294" t="s">
        <v>1885</v>
      </c>
    </row>
    <row r="10" spans="1:374" s="1" customFormat="1" ht="16.5">
      <c r="A10" s="403">
        <v>46024</v>
      </c>
      <c r="B10" s="404" t="s">
        <v>1015</v>
      </c>
      <c r="C10" s="405" t="s">
        <v>2579</v>
      </c>
      <c r="D10" s="406" t="s">
        <v>1939</v>
      </c>
      <c r="E10" s="404">
        <v>77</v>
      </c>
      <c r="F10" s="407">
        <v>4300</v>
      </c>
      <c r="G10" s="407" t="s">
        <v>1016</v>
      </c>
      <c r="H10" s="408" t="s">
        <v>1017</v>
      </c>
      <c r="I10" s="409">
        <v>2.2000000000000002</v>
      </c>
      <c r="J10" s="405" t="s">
        <v>543</v>
      </c>
      <c r="K10" s="404" t="s">
        <v>2580</v>
      </c>
      <c r="L10" s="419" t="str">
        <f t="shared" ref="L10:L71" si="0">CONCATENATE(AP10," - ",J10)</f>
        <v>ToyoLi - BLACK</v>
      </c>
      <c r="M10" s="404">
        <f>16+17</f>
        <v>33</v>
      </c>
      <c r="N10" s="410">
        <f>IF(M10=0,0,IF($LB10=70%,VLOOKUP($L10,'Jan-2026 rates'!$L:$R,4,0),IF($LB10=65%,VLOOKUP($L10,'Jan-2026 rates'!$L:$R,4,0),IF($LB10=40%,VLOOKUP($L10,'Jan-2026 rates'!$L:$R,5,0),IF($LB10=30%,VLOOKUP($L10,'Jan-2026 rates'!$L:$R,6,0),IF($LB10=100%,VLOOKUP($L10,'Jan-2026 rates'!$L:$R,7,0),IF($LB10=60%,VLOOKUP($L10,'Jan-2026 rates'!$L:$S,8,0),IF($LB10=80%,VLOOKUP($L10,'Jan-2026 rates'!L:T,9,0),0))))))))</f>
        <v>0</v>
      </c>
      <c r="O10" s="406"/>
      <c r="P10" s="404"/>
      <c r="Q10" s="410">
        <f>IF(P10=0,0,IF($LB10=70%,VLOOKUP($L10,'Jan-2026 rates'!$L:$R,4,0),IF($LB10=65%,VLOOKUP($L10,'Jan-2026 rates'!$L:$R,4,0),IF($LB10=40%,VLOOKUP($L10,'Jan-2026 rates'!$L:$R,5,0),IF($LB10=30%,VLOOKUP($L10,'Jan-2026 rates'!$L:$R,6,0),IF($LB10=100%,VLOOKUP($L10,'Jan-2026 rates'!$L:$R,7,0),IF($LB10=60%,VLOOKUP($L10,'Jan-2026 rates'!$L:$S,8,0),IF($LB10=80%,VLOOKUP($L10,'Jan-2026 rates'!L:T,9,0),0))))))))</f>
        <v>0</v>
      </c>
      <c r="R10" s="406"/>
      <c r="S10" s="406"/>
      <c r="T10" s="406"/>
      <c r="U10" s="406"/>
      <c r="V10" s="406"/>
      <c r="W10" s="406"/>
      <c r="X10" s="406"/>
      <c r="Y10" s="406"/>
      <c r="Z10" s="404"/>
      <c r="AA10" s="398">
        <f>IF(Z10=0,0,IF(LEN(R10)=11,_xlfn.XLOOKUP(R10,'Dispensed Ink Rates'!C:C,'Dispensed Ink Rates'!CS:CS),VLOOKUP(R10,'Jan-2026 rates'!$E:$F,2,0)))</f>
        <v>0</v>
      </c>
      <c r="AB10" s="404"/>
      <c r="AC10" s="398">
        <f>IF(AB10=0,0,IF(LEN(S10)=11,_xlfn.XLOOKUP(S10,'Dispensed Ink Rates'!C:C,'Dispensed Ink Rates'!CS:CS),VLOOKUP(S10,'Jan-2026 rates'!$E:$F,2,0)))</f>
        <v>0</v>
      </c>
      <c r="AD10" s="404"/>
      <c r="AE10" s="398">
        <f>IF(AD10=0,0,IF(LEN(T10)=11,_xlfn.XLOOKUP(T10,'Dispensed Ink Rates'!C:C,'Dispensed Ink Rates'!CS:CS),VLOOKUP(T10,'Jan-2026 rates'!$E:$F,2,0)))</f>
        <v>0</v>
      </c>
      <c r="AF10" s="404"/>
      <c r="AG10" s="398">
        <f>IF(AF10=0,0,IF(LEN(U10)=11,_xlfn.XLOOKUP(U10,'Dispensed Ink Rates'!C:C,'Dispensed Ink Rates'!CS:CS),VLOOKUP(U10,'Jan-2026 rates'!$E:$F,2,0)))</f>
        <v>0</v>
      </c>
      <c r="AH10" s="404"/>
      <c r="AI10" s="398">
        <f>IF(AH10=0,0,IF(LEN(V10)=11,_xlfn.XLOOKUP(V10,'Dispensed Ink Rates'!C:C,'Dispensed Ink Rates'!CS:CS),VLOOKUP(V10,'Jan-2026 rates'!$E:$F,2,0)))</f>
        <v>0</v>
      </c>
      <c r="AJ10" s="404"/>
      <c r="AK10" s="398">
        <f>IF(AJ10=0,0,IF(LEN(W10)=11,_xlfn.XLOOKUP(W10,'Dispensed Ink Rates'!C:C,'Dispensed Ink Rates'!CS:CS),VLOOKUP(W10,'Jan-2026 rates'!$E:$F,2,0)))</f>
        <v>0</v>
      </c>
      <c r="AL10" s="404"/>
      <c r="AM10" s="398">
        <f>IF(AL10=0,0,IF(LEN(X10)=11,_xlfn.XLOOKUP(X10,'Dispensed Ink Rates'!C:C,'Dispensed Ink Rates'!CS:CS),VLOOKUP(X10,'Jan-2026 rates'!$E:$F,2,0)))</f>
        <v>0</v>
      </c>
      <c r="AN10" s="404"/>
      <c r="AO10" s="398">
        <f>IF(AN10=0,0,IF(LEN(Y10)=11,_xlfn.XLOOKUP(Y10,'Dispensed Ink Rates'!C:C,'Dispensed Ink Rates'!CS:CS),VLOOKUP(Y10,'Jan-2026 rates'!$E:$F,2,0)))</f>
        <v>0</v>
      </c>
      <c r="AP10" s="409" t="s">
        <v>1881</v>
      </c>
      <c r="AQ10" s="409">
        <v>30</v>
      </c>
      <c r="AR10" s="410">
        <f t="shared" ref="AR10:AR73" si="1">IFERROR(IF(AS10&lt;=0,0,(M10*N10+P10*Q10+Z10*AA10+AB10*AC10+AD10*AE10+AF10*AG10+AH10*AI10+AJ10*AK10+AL10*AM10+AN10*AO10+(KT10/SUM(KT10:LA10)*LL10)*LX10)/(M10+P10+Z10+AB10+AD10+AF10+AH10+AJ10+AL10+AN10+(KT10/SUM(KT10:LA10)*LL10))),0)</f>
        <v>0</v>
      </c>
      <c r="AS10" s="411">
        <f t="shared" ref="AS10:AS73" si="2">IFERROR((M10+P10+Z10+AB10+AD10+AF10+AH10+AJ10+AL10+AN10+(KT10/SUM(KT10:LA10)*LL10)-AQ10),0)</f>
        <v>6.5813953488372121</v>
      </c>
      <c r="AT10" s="410">
        <f t="shared" ref="AT10:AT73" si="3">IFERROR(IF(AS10&lt;=0,0,(M10*N10+P10*Q10+Z10*AA10+AB10*AC10+AD10*AE10+AF10*AG10+AH10*AI10+AJ10*AK10+AL10*AM10+AN10*AO10-AQ10*AR10+(KT10/SUM(KT10:LA10)*LL10)*LX10)),0)</f>
        <v>0</v>
      </c>
      <c r="AU10" s="405" t="s">
        <v>547</v>
      </c>
      <c r="AV10" s="409" t="s">
        <v>2581</v>
      </c>
      <c r="AW10" s="420" t="str">
        <f t="shared" ref="AW10:AW41" si="4">CONCATENATE(CA10," - ",AU10)</f>
        <v>ToyoLi - GREEN</v>
      </c>
      <c r="AX10" s="409">
        <v>17</v>
      </c>
      <c r="AY10" s="411">
        <f>IF(AX10=0,0,IF($LB10=70%,VLOOKUP($AW10,'Jan-2026 rates'!$L:$R,4,0),IF($LB10=65%,VLOOKUP($AW10,'Jan-2026 rates'!$L:$R,4,0),IF($LB10=40%,VLOOKUP($AW10,'Jan-2026 rates'!$L:$R,5,0),IF($LB10=30%,VLOOKUP($AW10,'Jan-2026 rates'!$L:$R,6,0),IF($LB10=100%,VLOOKUP($AW10,'Jan-2026 rates'!$L:$R,7,0),IF($LB10=60%,VLOOKUP($AW10,'Jan-2026 rates'!$L:$S,8,0),IF($LB10=80%,VLOOKUP($AW10,'Jan-2026 rates'!L:T,9,0),0))))))))</f>
        <v>0</v>
      </c>
      <c r="AZ10" s="412"/>
      <c r="BA10" s="409"/>
      <c r="BB10" s="411">
        <f>IF(BA10=0,0,IF($LB10=70%,VLOOKUP($AW10,'Jan-2026 rates'!$L:$R,4,0),IF($LB10=65%,VLOOKUP($AW10,'Jan-2026 rates'!$L:$R,4,0),IF($LB10=40%,VLOOKUP($AW10,'Jan-2026 rates'!$L:$R,5,0),IF($LB10=30%,VLOOKUP($AW10,'Jan-2026 rates'!$L:$R,6,0),IF($LB10=100%,VLOOKUP($AW10,'Jan-2026 rates'!$L:$R,7,0),IF($LB10=60%,VLOOKUP($AW10,'Jan-2026 rates'!$L:$S,8,0),IF($LB10=80%,VLOOKUP($AW10,'Jan-2026 rates'!L:T,9,0),0))))))))</f>
        <v>0</v>
      </c>
      <c r="BC10" s="413" t="s">
        <v>1250</v>
      </c>
      <c r="BD10" s="412" t="s">
        <v>1880</v>
      </c>
      <c r="BE10" s="412" t="s">
        <v>1252</v>
      </c>
      <c r="BF10" s="413"/>
      <c r="BG10" s="412"/>
      <c r="BH10" s="412"/>
      <c r="BI10" s="412"/>
      <c r="BJ10" s="412"/>
      <c r="BK10" s="409">
        <v>2</v>
      </c>
      <c r="BL10" s="398">
        <f>IF(BK10=0,0,IF(LEN(BC10)=11,_xlfn.XLOOKUP(BC10,'Dispensed Ink Rates'!C:C,'Dispensed Ink Rates'!CS:CS),VLOOKUP(BC10,'Jan-2026 rates'!$E:$F,2,0)))</f>
        <v>0</v>
      </c>
      <c r="BM10" s="409">
        <v>0.5</v>
      </c>
      <c r="BN10" s="398">
        <f>IF(BM10=0,0,IF(LEN(BD10)=11,_xlfn.XLOOKUP(BD10,'Dispensed Ink Rates'!C:C,'Dispensed Ink Rates'!CS:CS),VLOOKUP(BD10,'Jan-2026 rates'!$E:$F,2,0)))</f>
        <v>0</v>
      </c>
      <c r="BO10" s="409">
        <v>0.5</v>
      </c>
      <c r="BP10" s="398">
        <f>IF(BO10=0,0,IF(LEN(BE10)=11,_xlfn.XLOOKUP(BE10,'Dispensed Ink Rates'!C:C,'Dispensed Ink Rates'!CS:CS),VLOOKUP(BE10,'Jan-2026 rates'!$E:$F,2,0)))</f>
        <v>0</v>
      </c>
      <c r="BQ10" s="409"/>
      <c r="BR10" s="398">
        <f>IF(BQ10=0,0,IF(LEN(BF10)=11,_xlfn.XLOOKUP(BF10,'Dispensed Ink Rates'!C:C,'Dispensed Ink Rates'!CS:CS),VLOOKUP(BF10,'Jan-2026 rates'!$E:$F,2,0)))</f>
        <v>0</v>
      </c>
      <c r="BS10" s="409"/>
      <c r="BT10" s="398">
        <f>IF(BS10=0,0,IF(LEN(BG10)=11,_xlfn.XLOOKUP(BG10,'Dispensed Ink Rates'!C:C,'Dispensed Ink Rates'!CS:CS),VLOOKUP(BG10,'Jan-2026 rates'!$E:$F,2,0)))</f>
        <v>0</v>
      </c>
      <c r="BU10" s="409"/>
      <c r="BV10" s="398">
        <f>IF(BU10=0,0,IF(LEN(BH10)=11,_xlfn.XLOOKUP(BH10,'Dispensed Ink Rates'!C:C,'Dispensed Ink Rates'!CS:CS),VLOOKUP(BH10,'Jan-2026 rates'!$E:$F,2,0)))</f>
        <v>0</v>
      </c>
      <c r="BW10" s="409"/>
      <c r="BX10" s="398">
        <f>IF(BW10=0,0,IF(LEN(BI10)=11,_xlfn.XLOOKUP(BI10,'Dispensed Ink Rates'!C:C,'Dispensed Ink Rates'!CS:CS),VLOOKUP(BI10,'Jan-2026 rates'!$E:$F,2,0)))</f>
        <v>0</v>
      </c>
      <c r="BY10" s="409"/>
      <c r="BZ10" s="398">
        <f>IF(BY10=0,0,IF(LEN(BJ10)=11,_xlfn.XLOOKUP(BJ10,'Dispensed Ink Rates'!C:C,'Dispensed Ink Rates'!CS:CS),VLOOKUP(BJ10,'Jan-2026 rates'!$E:$F,2,0)))</f>
        <v>0</v>
      </c>
      <c r="CA10" s="409" t="s">
        <v>1881</v>
      </c>
      <c r="CB10" s="409">
        <v>18</v>
      </c>
      <c r="CC10" s="411">
        <f t="shared" ref="CC10:CC73" si="5">IFERROR(IF(CD10&lt;=0,0,(AX10*AY10+BA10*BB10+BK10*BL10+BM10*BN10+BO10*BP10+BQ10*BR10+BS10*BT10+BU10*BV10+BW10*BX10+BY10*BZ10+(KU10/SUM(KT10:LA10)*LL10)*LX10)/(AX10+BA10+BK10+BM10+BO10+BQ10+BS10+BU10+BW10+BY10+(KU10/SUM(KT10:LA10)*LL10))),0)</f>
        <v>0</v>
      </c>
      <c r="CD10" s="411">
        <f t="shared" ref="CD10:CD73" si="6">IFERROR((AX10+BA10+BK10+BM10+BO10+BQ10+BS10+BU10+BW10+BY10+(KU10/SUM(KT10:LA10)*LL10)-CB10),0)</f>
        <v>5.5813953488372086</v>
      </c>
      <c r="CE10" s="410">
        <f t="shared" ref="CE10:CE73" si="7">IFERROR(IF(CD10&lt;=0,0,(AX10*AY10+BA10*BB10+BK10*BL10+BM10*BN10+BO10*BP10+BQ10*BR10+BS10*BT10+BU10*BV10+BW10*BX10+BY10*BZ10-CB10*CC10+(KU10/SUM(KT10:LA10)*LL10)*LX10)),0)</f>
        <v>0</v>
      </c>
      <c r="CF10" s="404" t="s">
        <v>543</v>
      </c>
      <c r="CG10" s="409" t="s">
        <v>2308</v>
      </c>
      <c r="CH10" s="420" t="str">
        <f t="shared" ref="CH10:CH71" si="8">CONCATENATE(DL10," - ",CF10)</f>
        <v>ToyoLi - BLACK</v>
      </c>
      <c r="CI10" s="409">
        <v>20</v>
      </c>
      <c r="CJ10" s="411">
        <f>IF(CI10=0,0,IF($LB10=70%,VLOOKUP($CH10,'Jan-2026 rates'!$L:$R,4,0),IF($LB10=65%,VLOOKUP($CH10,'Jan-2026 rates'!$L:$R,4,0),IF($LB10=40%,VLOOKUP($CH10,'Jan-2026 rates'!$L:$R,5,0),IF($LB10=30%,VLOOKUP($CH10,'Jan-2026 rates'!$L:$R,6,0),IF($LB10=100%,VLOOKUP($CH10,'Jan-2026 rates'!$L:$R,7,0),IF($LB10=60%,VLOOKUP($CH10,'Jan-2026 rates'!$L:$S,8,0),IF($LB10=80%,VLOOKUP($CH10,'Jan-2026 rates'!L:T,9,0),0))))))))</f>
        <v>0</v>
      </c>
      <c r="CK10" s="412"/>
      <c r="CL10" s="409"/>
      <c r="CM10" s="411">
        <f>IF(CL10=0,0,IF($LB10=70%,VLOOKUP($CH10,'Jan-2026 rates'!$L:$R,4,0),IF($LB10=65%,VLOOKUP($CH10,'Jan-2026 rates'!$L:$R,4,0),IF($LB10=40%,VLOOKUP($CH10,'Jan-2026 rates'!$L:$R,5,0),IF($LB10=30%,VLOOKUP($CH10,'Jan-2026 rates'!$L:$R,6,0),IF($LB10=100%,VLOOKUP($CH10,'Jan-2026 rates'!$L:$R,7,0),IF($LB10=60%,VLOOKUP($CH10,'Jan-2026 rates'!$L:$S,8,0),IF($LB10=80%,VLOOKUP($CH10,'Jan-2026 rates'!L:T,9,0),0))))))))</f>
        <v>0</v>
      </c>
      <c r="CN10" s="426" t="s">
        <v>1250</v>
      </c>
      <c r="CO10" s="427" t="s">
        <v>1880</v>
      </c>
      <c r="CP10" s="426" t="s">
        <v>1252</v>
      </c>
      <c r="CQ10" s="426"/>
      <c r="CR10" s="428"/>
      <c r="CS10" s="428"/>
      <c r="CT10" s="428"/>
      <c r="CU10" s="428"/>
      <c r="CV10" s="409">
        <v>2</v>
      </c>
      <c r="CW10" s="398">
        <f>IF(CV10=0,0,IF(LEN(CN10)=11,_xlfn.XLOOKUP(CN10,'Dispensed Ink Rates'!C:C,'Dispensed Ink Rates'!CS:CS),VLOOKUP(CN10,'Jan-2026 rates'!$E:$F,2,0)))</f>
        <v>0</v>
      </c>
      <c r="CX10" s="409">
        <v>0.5</v>
      </c>
      <c r="CY10" s="398">
        <f>IF(CX10=0,0,IF(LEN(CO10)=11,_xlfn.XLOOKUP(CO10,'Dispensed Ink Rates'!C:C,'Dispensed Ink Rates'!CS:CS),VLOOKUP(CO10,'Jan-2026 rates'!$E:$F,2,0)))</f>
        <v>0</v>
      </c>
      <c r="CZ10" s="409">
        <v>0.5</v>
      </c>
      <c r="DA10" s="398">
        <f>IF(CZ10=0,0,IF(LEN(CP10)=11,_xlfn.XLOOKUP(CP10,'Dispensed Ink Rates'!C:C,'Dispensed Ink Rates'!CS:CS),VLOOKUP(CP10,'Jan-2026 rates'!$E:$F,2,0)))</f>
        <v>0</v>
      </c>
      <c r="DB10" s="409"/>
      <c r="DC10" s="398">
        <f>IF(DB10=0,0,IF(LEN(CQ10)=11,_xlfn.XLOOKUP(CQ10,'Dispensed Ink Rates'!C:C,'Dispensed Ink Rates'!CS:CS),VLOOKUP(CQ10,'Jan-2026 rates'!$E:$F,2,0)))</f>
        <v>0</v>
      </c>
      <c r="DD10" s="409"/>
      <c r="DE10" s="398">
        <f>IF(DD10=0,0,IF(LEN(CR10)=11,_xlfn.XLOOKUP(CR10,'Dispensed Ink Rates'!C:C,'Dispensed Ink Rates'!CS:CS),VLOOKUP(CR10,'Jan-2026 rates'!$E:$F,2,0)))</f>
        <v>0</v>
      </c>
      <c r="DF10" s="409"/>
      <c r="DG10" s="398">
        <f>IF(DF10=0,0,IF(LEN(CS10)=11,_xlfn.XLOOKUP(CS10,'Dispensed Ink Rates'!C:C,'Dispensed Ink Rates'!CS:CS),VLOOKUP(CS10,'Jan-2026 rates'!$E:$F,2,0)))</f>
        <v>0</v>
      </c>
      <c r="DH10" s="409"/>
      <c r="DI10" s="398">
        <f>IF(DH10=0,0,IF(LEN(CT10)=11,_xlfn.XLOOKUP(CT10,'Dispensed Ink Rates'!C:C,'Dispensed Ink Rates'!CS:CS),VLOOKUP(CT10,'Jan-2026 rates'!$E:$F,2,0)))</f>
        <v>0</v>
      </c>
      <c r="DJ10" s="409"/>
      <c r="DK10" s="398">
        <f>IF(DJ10=0,0,IF(LEN(CU10)=11,_xlfn.XLOOKUP(CU10,'Dispensed Ink Rates'!C:C,'Dispensed Ink Rates'!CS:CS),VLOOKUP(CU10,'Jan-2026 rates'!$E:$F,2,0)))</f>
        <v>0</v>
      </c>
      <c r="DL10" s="409" t="s">
        <v>1881</v>
      </c>
      <c r="DM10" s="409">
        <f>18+5</f>
        <v>23</v>
      </c>
      <c r="DN10" s="411">
        <f t="shared" ref="DN10:DN73" si="9">IFERROR(IF(DO10&lt;=0,0,(CI10*CJ10+CL10*CM10+CV10*CW10+CX10*CY10+CZ10*DA10+DB10*DC10+DD10*DE10+DF10*DG10+DH10*DI10+DJ10*DK10+(KV10/SUM(KT10:LA10)*LL10)*LX10)/(CI10+CL10+CV10+CX10+CZ10+DB10+DD10+DF10+DH10+DJ10+(KV10/SUM(KT10:LA10)*LL10))),0)</f>
        <v>0</v>
      </c>
      <c r="DO10" s="411">
        <f t="shared" ref="DO10:DO73" si="10">IFERROR((CI10+CL10+CV10+CX10+CZ10+DB10+DD10+DF10+DH10+DJ10+(KV10/SUM(KT10:LA10)*LL10)-DM10),0)</f>
        <v>3.5813953488372086</v>
      </c>
      <c r="DP10" s="410">
        <f t="shared" ref="DP10:DP73" si="11">IFERROR(IF(DO10&lt;=0,0,(CI10*CJ10+CL10*CM10+CV10*CW10+CX10*CY10+CZ10*DA10+DB10*DC10+DD10*DE10+DF10*DG10+DH10*DI10+DJ10*DK10-DM10*DN10+(KV10/SUM(KT10:LA10)*LL10)*LX10)),0)</f>
        <v>0</v>
      </c>
      <c r="DQ10" s="405" t="s">
        <v>544</v>
      </c>
      <c r="DR10" s="409" t="s">
        <v>2582</v>
      </c>
      <c r="DS10" s="420" t="str">
        <f t="shared" ref="DS10:DS71" si="12">CONCATENATE(EW10," - ",DQ10)</f>
        <v>ToyoLi - MAGENTA</v>
      </c>
      <c r="DT10" s="409">
        <f>14+15</f>
        <v>29</v>
      </c>
      <c r="DU10" s="411">
        <f>IF(DT10=0,0,IF($LB10=70%,VLOOKUP($DS10,'Jan-2026 rates'!$L:$R,4,0),IF($LB10=65%,VLOOKUP($DS10,'Jan-2026 rates'!$L:$R,4,0),IF($LB10=40%,VLOOKUP($DS10,'Jan-2026 rates'!$L:$R,5,0),IF($LB10=30%,VLOOKUP($DS10,'Jan-2026 rates'!$L:$R,6,0),IF($LB10=100%,VLOOKUP($DS10,'Jan-2026 rates'!$L:$R,7,0),IF($LB10=60%,VLOOKUP($DS10,'Jan-2026 rates'!$L:$S,8,0),IF($LB10=80%,VLOOKUP($DS10,'Jan-2026 rates'!L:T,9,0),0))))))))</f>
        <v>0</v>
      </c>
      <c r="DV10" s="412"/>
      <c r="DW10" s="409"/>
      <c r="DX10" s="411">
        <f>IF(DW10=0,0,IF($LB10=70%,VLOOKUP($DS10,'Jan-2026 rates'!$L:$R,4,0),IF($LB10=65%,VLOOKUP($DS10,'Jan-2026 rates'!$L:$R,4,0),IF($LB10=40%,VLOOKUP($DS10,'Jan-2026 rates'!$L:$R,5,0),IF($LB10=30%,VLOOKUP($DS10,'Jan-2026 rates'!$L:$R,6,0),IF($LB10=100%,VLOOKUP($DS10,'Jan-2026 rates'!$L:$R,7,0),IF($LB10=60%,VLOOKUP($DS10,'Jan-2026 rates'!$L:$S,8,0),IF($LB10=80%,VLOOKUP($DS10,'Jan-2026 rates'!L:T,9,0),0))))))))</f>
        <v>0</v>
      </c>
      <c r="DY10" s="413"/>
      <c r="DZ10" s="413"/>
      <c r="EA10" s="412"/>
      <c r="EB10" s="412"/>
      <c r="EC10" s="412"/>
      <c r="ED10" s="412"/>
      <c r="EE10" s="412"/>
      <c r="EF10" s="412"/>
      <c r="EG10" s="409"/>
      <c r="EH10" s="398">
        <f>IF(EG10=0,0,IF(LEN(DY10)=11,_xlfn.XLOOKUP(DY10,'Dispensed Ink Rates'!C:C,'Dispensed Ink Rates'!CS:CS),VLOOKUP(DY10,'Jan-2026 rates'!$E:$F,2,0)))</f>
        <v>0</v>
      </c>
      <c r="EI10" s="409"/>
      <c r="EJ10" s="398">
        <f>IF(EI10=0,0,IF(LEN(DZ10)=11,_xlfn.XLOOKUP(DZ10,'Dispensed Ink Rates'!C:C,'Dispensed Ink Rates'!CS:CS),VLOOKUP(DZ10,'Jan-2026 rates'!$E:$F,2,0)))</f>
        <v>0</v>
      </c>
      <c r="EK10" s="409"/>
      <c r="EL10" s="398">
        <f>IF(EK10=0,0,IF(LEN(EA10)=11,_xlfn.XLOOKUP(EA10,'Dispensed Ink Rates'!C:C,'Dispensed Ink Rates'!CS:CS),VLOOKUP(EA10,'Jan-2026 rates'!$E:$F,2,0)))</f>
        <v>0</v>
      </c>
      <c r="EM10" s="409"/>
      <c r="EN10" s="398">
        <f>IF(EM10=0,0,IF(LEN(EB10)=11,_xlfn.XLOOKUP(EB10,'Dispensed Ink Rates'!C:C,'Dispensed Ink Rates'!CS:CS),VLOOKUP(EB10,'Jan-2026 rates'!$E:$F,2,0)))</f>
        <v>0</v>
      </c>
      <c r="EO10" s="409"/>
      <c r="EP10" s="398">
        <f>IF(EO10=0,0,IF(LEN(EC10)=11,_xlfn.XLOOKUP(EC10,'Dispensed Ink Rates'!C:C,'Dispensed Ink Rates'!CS:CS),VLOOKUP(EC10,'Jan-2026 rates'!$E:$F,2,0)))</f>
        <v>0</v>
      </c>
      <c r="EQ10" s="409"/>
      <c r="ER10" s="398">
        <f>IF(EQ10=0,0,IF(LEN(ED10)=11,_xlfn.XLOOKUP(ED10,'Dispensed Ink Rates'!C:C,'Dispensed Ink Rates'!CS:CS),VLOOKUP(ED10,'Jan-2026 rates'!$E:$F,2,0)))</f>
        <v>0</v>
      </c>
      <c r="ES10" s="409"/>
      <c r="ET10" s="398">
        <f>IF(ES10=0,0,IF(LEN(EE10)=11,_xlfn.XLOOKUP(EE10,'Dispensed Ink Rates'!C:C,'Dispensed Ink Rates'!CS:CS),VLOOKUP(EE10,'Jan-2026 rates'!$E:$F,2,0)))</f>
        <v>0</v>
      </c>
      <c r="EU10" s="409"/>
      <c r="EV10" s="398">
        <f>IF(EU10=0,0,IF(LEN(EF10)=11,_xlfn.XLOOKUP(EF10,'Dispensed Ink Rates'!C:C,'Dispensed Ink Rates'!CS:CS),VLOOKUP(EF10,'Jan-2026 rates'!$E:$F,2,0)))</f>
        <v>0</v>
      </c>
      <c r="EW10" s="409" t="s">
        <v>1881</v>
      </c>
      <c r="EX10" s="409">
        <v>26</v>
      </c>
      <c r="EY10" s="411">
        <f t="shared" ref="EY10:EY73" si="13">IFERROR(IF(EZ10&lt;=0,0,(DT10*DU10+DW10*DX10+EG10*EH10+EI10*EJ10+EK10*EL10+EM10*EN10+EO10*EP10+EQ10*ER10+ES10*ET10+EU10*EV10+(KW10/SUM(KT10:LA10)*LL10)*LX10)/(DT10+DW10+EG10+EI10+EK10+EM10+EO10+EQ10+ES10+EU10+(KW10/SUM(KT10:LA10)*LL10))),0)</f>
        <v>0</v>
      </c>
      <c r="EZ10" s="411">
        <f t="shared" ref="EZ10:EZ73" si="14">IFERROR((DT10+DW10+EG10+EI10+EK10+EM10+EO10+EQ10+ES10+EU10+(KW10/SUM(KT10:LA10)*LL10)-EX10),0)</f>
        <v>6.5813953488372121</v>
      </c>
      <c r="FA10" s="410">
        <f t="shared" ref="FA10:FA73" si="15">IFERROR(IF(EZ10&lt;=0,0,(DT10*DU10+DW10*DX10+EG10*EH10+EI10*EJ10+EK10*EL10+EM10*EN10+EO10*EP10+EQ10*ER10+ES10*ET10+EU10*EV10-EX10*EY10+(KW10/SUM(KT10:LA10)*LL10)*LX10)),0)</f>
        <v>0</v>
      </c>
      <c r="FB10" s="405" t="s">
        <v>545</v>
      </c>
      <c r="FC10" s="409" t="s">
        <v>2583</v>
      </c>
      <c r="FD10" s="420" t="str">
        <f t="shared" ref="FD10:FD71" si="16">CONCATENATE(GH10," - ",FB10)</f>
        <v>ToyoLi - YELLOW</v>
      </c>
      <c r="FE10" s="409">
        <v>15</v>
      </c>
      <c r="FF10" s="411">
        <f>IF(FE10=0,0,IF($LB10=70%,VLOOKUP($FD10,'Jan-2026 rates'!$L:$R,4,0),IF($LB10=65%,VLOOKUP($FD10,'Jan-2026 rates'!$L:$R,4,0),IF($LB10=40%,VLOOKUP($FD10,'Jan-2026 rates'!$L:$R,5,0),IF($LB10=30%,VLOOKUP($FD10,'Jan-2026 rates'!$L:$R,6,0),IF($LB10=100%,VLOOKUP($FD10,'Jan-2026 rates'!$L:$R,7,0),IF($LB10=60%,VLOOKUP($FD10,'Jan-2026 rates'!$L:$S,8,0),IF($LB10=80%,VLOOKUP($FD10,'Jan-2026 rates'!L:T,9,0),0))))))))</f>
        <v>0</v>
      </c>
      <c r="FG10" s="412"/>
      <c r="FH10" s="409"/>
      <c r="FI10" s="411">
        <f>IF(FH10=0,0,IF($LB10=70%,VLOOKUP($FD10,'Jan-2026 rates'!$L:$R,4,0),IF($LB10=65%,VLOOKUP($FD10,'Jan-2026 rates'!$L:$R,4,0),IF($LB10=40%,VLOOKUP($FD10,'Jan-2026 rates'!$L:$R,5,0),IF($LB10=30%,VLOOKUP($FD10,'Jan-2026 rates'!$L:$R,6,0),IF($LB10=100%,VLOOKUP($FD10,'Jan-2026 rates'!$L:$R,7,0),IF($LB10=60%,VLOOKUP($FD10,'Jan-2026 rates'!$L:$S,8,0),IF($LB10=80%,VLOOKUP($FD10,'Jan-2026 rates'!L:T,9,0),0))))))))</f>
        <v>0</v>
      </c>
      <c r="FJ10" s="413" t="s">
        <v>1247</v>
      </c>
      <c r="FK10" s="413"/>
      <c r="FL10" s="413"/>
      <c r="FM10" s="412"/>
      <c r="FN10" s="412"/>
      <c r="FO10" s="412"/>
      <c r="FP10" s="412"/>
      <c r="FQ10" s="412"/>
      <c r="FR10" s="409">
        <v>8</v>
      </c>
      <c r="FS10" s="398">
        <f>IF(FR10=0,0,IF(LEN(FJ10)=11,_xlfn.XLOOKUP(FJ10,'Dispensed Ink Rates'!C:C,'Dispensed Ink Rates'!CS:CS),VLOOKUP(FJ10,'Jan-2026 rates'!$E:$F,2,0)))</f>
        <v>0</v>
      </c>
      <c r="FT10" s="409"/>
      <c r="FU10" s="398">
        <f>IF(FT10=0,0,IF(LEN(FK10)=11,_xlfn.XLOOKUP(FK10,'Dispensed Ink Rates'!C:C,'Dispensed Ink Rates'!CS:CS),VLOOKUP(FK10,'Jan-2026 rates'!$E:$F,2,0)))</f>
        <v>0</v>
      </c>
      <c r="FV10" s="409"/>
      <c r="FW10" s="398">
        <f>IF(FV10=0,0,IF(LEN(FL10)=11,_xlfn.XLOOKUP(FL10,'Dispensed Ink Rates'!C:C,'Dispensed Ink Rates'!CS:CS),VLOOKUP(FL10,'Jan-2026 rates'!$E:$F,2,0)))</f>
        <v>0</v>
      </c>
      <c r="FX10" s="409"/>
      <c r="FY10" s="398">
        <f>IF(FX10=0,0,IF(LEN(FM10)=11,_xlfn.XLOOKUP(FM10,'Dispensed Ink Rates'!C:C,'Dispensed Ink Rates'!CS:CS),VLOOKUP(FM10,'Jan-2026 rates'!$E:$F,2,0)))</f>
        <v>0</v>
      </c>
      <c r="FZ10" s="409"/>
      <c r="GA10" s="398">
        <f>IF(FZ10=0,0,IF(LEN(FN10)=11,_xlfn.XLOOKUP(FN10,'Dispensed Ink Rates'!C:C,'Dispensed Ink Rates'!CS:CS),VLOOKUP(FN10,'Jan-2026 rates'!$E:$F,2,0)))</f>
        <v>0</v>
      </c>
      <c r="GB10" s="409"/>
      <c r="GC10" s="398">
        <f>IF(GB10=0,0,IF(LEN(FO10)=11,_xlfn.XLOOKUP(FO10,'Dispensed Ink Rates'!C:C,'Dispensed Ink Rates'!CS:CS),VLOOKUP(FO10,'Jan-2026 rates'!$E:$F,2,0)))</f>
        <v>0</v>
      </c>
      <c r="GD10" s="409"/>
      <c r="GE10" s="398">
        <f>IF(GD10=0,0,IF(LEN(FP10)=11,_xlfn.XLOOKUP(FP10,'Dispensed Ink Rates'!C:C,'Dispensed Ink Rates'!CS:CS),VLOOKUP(FP10,'Jan-2026 rates'!$E:$F,2,0)))</f>
        <v>0</v>
      </c>
      <c r="GF10" s="409"/>
      <c r="GG10" s="398">
        <f>IF(GF10=0,0,IF(LEN(FQ10)=11,_xlfn.XLOOKUP(FQ10,'Dispensed Ink Rates'!C:C,'Dispensed Ink Rates'!CS:CS),VLOOKUP(FQ10,'Jan-2026 rates'!$E:$F,2,0)))</f>
        <v>0</v>
      </c>
      <c r="GH10" s="409" t="s">
        <v>1881</v>
      </c>
      <c r="GI10" s="409">
        <v>25</v>
      </c>
      <c r="GJ10" s="411">
        <f t="shared" ref="GJ10:GJ73" si="17">IFERROR(IF(GK10&lt;=0,0,(FE10*FF10+FH10*FI10+FR10*FS10+FT10*FU10+FV10*FW10+FX10*FY10+FZ10*GA10+GB10*GC10+GD10*GE10+GF10*GG10+(KX10/SUM(KT10:LA10)*LL10)*LX10)/(FE10+FH10+FR10+FT10+FV10+FX10+FZ10+GB10+GD10+GF10+(KX10/SUM(KT10:LA10)*LL10))),0)</f>
        <v>0</v>
      </c>
      <c r="GK10" s="411">
        <f t="shared" ref="GK10:GK73" si="18">IFERROR((FE10+FH10+FR10+FT10+FV10+FX10+FZ10+GB10+GD10+GF10+(KX10/SUM(KT10:LA10)*LL10)-GI10),0)</f>
        <v>3.3720930232558146</v>
      </c>
      <c r="GL10" s="410">
        <f t="shared" ref="GL10:GL73" si="19">IFERROR(IF(GK10&lt;=0,0,(FE10*FF10+FH10*FI10+FR10*FS10+FT10*FU10+FV10*FW10+FX10*FY10+FZ10*GA10+GB10*GC10+GD10*GE10+GF10*GG10-GI10*GJ10+(KX10/SUM(KT10:LA10)*LL10)*LX10)),0)</f>
        <v>0</v>
      </c>
      <c r="GM10" s="405" t="s">
        <v>548</v>
      </c>
      <c r="GN10" s="409" t="s">
        <v>2222</v>
      </c>
      <c r="GO10" s="420" t="str">
        <f t="shared" ref="GO10:GO71" si="20">CONCATENATE(HS10," - ",GM10)</f>
        <v>ToyoLi - GOLD</v>
      </c>
      <c r="GP10" s="409">
        <v>20</v>
      </c>
      <c r="GQ10" s="411">
        <f>IF(GP10=0,0,IF($LB10=70%,VLOOKUP($GO10,'Jan-2026 rates'!$L:$R,4,0),IF($LB10=65%,VLOOKUP($GO10,'Jan-2026 rates'!$L:$R,4,0),IF($LB10=40%,VLOOKUP($GO10,'Jan-2026 rates'!$L:$R,5,0),IF($LB10=30%,VLOOKUP($GO10,'Jan-2026 rates'!$L:$R,6,0),IF($LB10=100%,VLOOKUP($GO10,'Jan-2026 rates'!$L:$R,7,0),IF($LB10=60%,VLOOKUP($GO10,'Jan-2026 rates'!$L:$S,8,0),IF($LB10=80%,VLOOKUP($GO10,'Jan-2026 rates'!L:T,9,0),0))))))))</f>
        <v>0</v>
      </c>
      <c r="GR10" s="412"/>
      <c r="GS10" s="409"/>
      <c r="GT10" s="411">
        <f>IF(GS10=0,0,IF($LB10=70%,VLOOKUP($GO10,'Jan-2026 rates'!$L:$R,4,0),IF($LB10=65%,VLOOKUP($GO10,'Jan-2026 rates'!$L:$R,4,0),IF($LB10=40%,VLOOKUP($GO10,'Jan-2026 rates'!$L:$R,5,0),IF($LB10=30%,VLOOKUP($GO10,'Jan-2026 rates'!$L:$R,6,0),IF($LB10=100%,VLOOKUP($GO10,'Jan-2026 rates'!$L:$R,7,0),IF($LB10=60%,VLOOKUP($GO10,'Jan-2026 rates'!$L:$S,8,0),IF($LB10=80%,VLOOKUP($GO10,'Jan-2026 rates'!L:T,9,0),0))))))))</f>
        <v>0</v>
      </c>
      <c r="GU10" s="413" t="s">
        <v>1891</v>
      </c>
      <c r="GV10" s="413"/>
      <c r="GW10" s="412"/>
      <c r="GX10" s="412"/>
      <c r="GY10" s="412"/>
      <c r="GZ10" s="412"/>
      <c r="HA10" s="412"/>
      <c r="HB10" s="412"/>
      <c r="HC10" s="409">
        <v>5</v>
      </c>
      <c r="HD10" s="398">
        <f>IF(HC10=0,0,IF(LEN(GU10)=11,_xlfn.XLOOKUP(GU10,'Dispensed Ink Rates'!C:C,'Dispensed Ink Rates'!CS:CS),VLOOKUP(GU10,'Jan-2026 rates'!$E:$F,2,0)))</f>
        <v>0</v>
      </c>
      <c r="HE10" s="409"/>
      <c r="HF10" s="398">
        <f>IF(HE10=0,0,IF(LEN(GV10)=11,_xlfn.XLOOKUP(GV10,'Dispensed Ink Rates'!C:C,'Dispensed Ink Rates'!CS:CS),VLOOKUP(GV10,'Jan-2026 rates'!$E:$F,2,0)))</f>
        <v>0</v>
      </c>
      <c r="HG10" s="409"/>
      <c r="HH10" s="398">
        <f>IF(HG10=0,0,IF(LEN(GW10)=11,_xlfn.XLOOKUP(GW10,'Dispensed Ink Rates'!C:C,'Dispensed Ink Rates'!CS:CS),VLOOKUP(GW10,'Jan-2026 rates'!$E:$F,2,0)))</f>
        <v>0</v>
      </c>
      <c r="HI10" s="409"/>
      <c r="HJ10" s="398">
        <f>IF(HI10=0,0,IF(LEN(GX10)=11,_xlfn.XLOOKUP(GX10,'Dispensed Ink Rates'!C:C,'Dispensed Ink Rates'!CS:CS),VLOOKUP(GX10,'Jan-2026 rates'!$E:$F,2,0)))</f>
        <v>0</v>
      </c>
      <c r="HK10" s="409"/>
      <c r="HL10" s="398">
        <f>IF(HK10=0,0,IF(LEN(GY10)=11,_xlfn.XLOOKUP(GY10,'Dispensed Ink Rates'!C:C,'Dispensed Ink Rates'!CS:CS),VLOOKUP(GY10,'Jan-2026 rates'!$E:$F,2,0)))</f>
        <v>0</v>
      </c>
      <c r="HM10" s="409"/>
      <c r="HN10" s="398">
        <f>IF(HM10=0,0,IF(LEN(GZ10)=11,_xlfn.XLOOKUP(GZ10,'Dispensed Ink Rates'!C:C,'Dispensed Ink Rates'!CS:CS),VLOOKUP(GZ10,'Jan-2026 rates'!$E:$F,2,0)))</f>
        <v>0</v>
      </c>
      <c r="HO10" s="409"/>
      <c r="HP10" s="398">
        <f>IF(HO10=0,0,IF(LEN(HA10)=11,_xlfn.XLOOKUP(HA10,'Dispensed Ink Rates'!C:C,'Dispensed Ink Rates'!CS:CS),VLOOKUP(HA10,'Jan-2026 rates'!$E:$F,2,0)))</f>
        <v>0</v>
      </c>
      <c r="HQ10" s="409"/>
      <c r="HR10" s="398">
        <f>IF(HQ10=0,0,IF(LEN(HB10)=11,_xlfn.XLOOKUP(HB10,'Dispensed Ink Rates'!C:C,'Dispensed Ink Rates'!CS:CS),VLOOKUP(HB10,'Jan-2026 rates'!$E:$F,2,0)))</f>
        <v>0</v>
      </c>
      <c r="HS10" s="409" t="s">
        <v>1881</v>
      </c>
      <c r="HT10" s="409">
        <v>20</v>
      </c>
      <c r="HU10" s="411">
        <f t="shared" ref="HU10:HU73" si="21">IFERROR(IF(HV10&lt;=0,0,(GP10*GQ10+GS10*GT10+HC10*HD10+HE10*HF10+HG10*HH10+HI10*HJ10+HK10*HL10+HM10*HN10+HO10*HP10+HQ10*HR10+(KY10/SUM(KT10:LA10)*LL10)*LX10)/(GP10+GS10+HC10+HE10+HG10+HI10+HK10+HM10+HO10+HQ10+(KY10/SUM(KT10:LA10)*LL10))),0)</f>
        <v>0</v>
      </c>
      <c r="HV10" s="411">
        <f t="shared" ref="HV10:HV73" si="22">IFERROR((GP10+GS10+HC10+HE10+HG10+HI10+HK10+HM10+HO10+HQ10+(KY10/SUM(KT10:LA10)*LL10)-HT10),0)</f>
        <v>8.5813953488372086</v>
      </c>
      <c r="HW10" s="414">
        <f t="shared" ref="HW10:HW73" si="23">IFERROR(IF(HV10&lt;=0,0,(GP10*GQ10+GS10*GT10+HC10*HD10+HE10*HF10+HG10*HH10+HI10*HJ10+HK10*HL10+HM10*HN10+HO10*HP10+HQ10*HR10-HT10*HU10+(KY10/SUM(KT10:LA10)*LL10)*LX10)),0)</f>
        <v>0</v>
      </c>
      <c r="HX10" s="405" t="s">
        <v>856</v>
      </c>
      <c r="HY10" s="409"/>
      <c r="HZ10" s="420" t="str">
        <f t="shared" ref="HZ10:HZ71" si="24">CONCATENATE(JD10," - ",HX10)</f>
        <v>ToyoLi - WHITE</v>
      </c>
      <c r="IA10" s="409"/>
      <c r="IB10" s="411">
        <f>IF(IA10=0,0,IF($LB10=70%,VLOOKUP($HZ10,'Jan-2026 rates'!$L:$R,4,0),IF($LB10=65%,VLOOKUP($HZ10,'Jan-2026 rates'!$L:$R,4,0),IF($LB10=40%,VLOOKUP($HZ10,'Jan-2026 rates'!$L:$R,5,0),IF($LB10=30%,VLOOKUP($HZ10,'Jan-2026 rates'!$L:$R,6,0),IF($LB10=100%,VLOOKUP($HZ10,'Jan-2026 rates'!$L:$R,7,0),IF($LB10=60%,VLOOKUP($HZ10,'Jan-2026 rates'!$L:$S,8,0),IF($LB10=80%,VLOOKUP($HZ10,'Jan-2026 rates'!L:T,9,0),0))))))))</f>
        <v>0</v>
      </c>
      <c r="IC10" s="412"/>
      <c r="ID10" s="409"/>
      <c r="IE10" s="411">
        <f>IF(ID10=0,0,IF($LB10=70%,VLOOKUP($HZ10,'Jan-2026 rates'!$L:$R,4,0),IF($LB10=65%,VLOOKUP($HZ10,'Jan-2026 rates'!$L:$R,4,0),IF($LB10=40%,VLOOKUP($HZ10,'Jan-2026 rates'!$L:$R,5,0),IF($LB10=30%,VLOOKUP($HZ10,'Jan-2026 rates'!$L:$R,6,0),IF($LB10=100%,VLOOKUP($HZ10,'Jan-2026 rates'!$L:$R,7,0),IF($LB10=60%,VLOOKUP($HZ10,'Jan-2026 rates'!$L:$S,8,0),IF($LB10=80%,VLOOKUP($HZ10,'Jan-2026 rates'!L:T,9,0),0))))))))</f>
        <v>0</v>
      </c>
      <c r="IF10" s="412" t="s">
        <v>1249</v>
      </c>
      <c r="IG10" s="413" t="s">
        <v>1122</v>
      </c>
      <c r="IH10" s="412"/>
      <c r="II10" s="412"/>
      <c r="IJ10" s="412"/>
      <c r="IK10" s="412"/>
      <c r="IL10" s="412"/>
      <c r="IM10" s="412"/>
      <c r="IN10" s="409">
        <v>40</v>
      </c>
      <c r="IO10" s="398">
        <f>IF(IN10=0,0,IF(LEN(IF10)=11,_xlfn.XLOOKUP(IF10,'Dispensed Ink Rates'!C:C,'Dispensed Ink Rates'!CS:CS),VLOOKUP(IF10,'Jan-2026 rates'!$E:$F,2,0)))</f>
        <v>0</v>
      </c>
      <c r="IP10" s="409">
        <v>4.0199999999999996</v>
      </c>
      <c r="IQ10" s="398">
        <f>IF(IP10=0,0,IF(LEN(IG10)=11,_xlfn.XLOOKUP(IG10,'Dispensed Ink Rates'!C:C,'Dispensed Ink Rates'!CS:CS),VLOOKUP(IG10,'Jan-2026 rates'!$E:$F,2,0)))</f>
        <v>0</v>
      </c>
      <c r="IR10" s="409"/>
      <c r="IS10" s="398">
        <f>IF(IR10=0,0,IF(LEN(IH10)=11,_xlfn.XLOOKUP(IH10,'Dispensed Ink Rates'!C:C,'Dispensed Ink Rates'!CS:CS),VLOOKUP(IH10,'Jan-2026 rates'!$E:$F,2,0)))</f>
        <v>0</v>
      </c>
      <c r="IT10" s="409"/>
      <c r="IU10" s="398">
        <f>IF(IT10=0,0,IF(LEN(II10)=11,_xlfn.XLOOKUP(II10,'Dispensed Ink Rates'!C:C,'Dispensed Ink Rates'!CS:CS),VLOOKUP(II10,'Jan-2026 rates'!$E:$F,2,0)))</f>
        <v>0</v>
      </c>
      <c r="IV10" s="409"/>
      <c r="IW10" s="398">
        <f>IF(IV10=0,0,IF(LEN(IJ10)=11,_xlfn.XLOOKUP(IJ10,'Dispensed Ink Rates'!C:C,'Dispensed Ink Rates'!CS:CS),VLOOKUP(IJ10,'Jan-2026 rates'!$E:$F,2,0)))</f>
        <v>0</v>
      </c>
      <c r="IX10" s="409"/>
      <c r="IY10" s="398">
        <f>IF(IX10=0,0,IF(LEN(IK10)=11,_xlfn.XLOOKUP(IK10,'Dispensed Ink Rates'!C:C,'Dispensed Ink Rates'!CS:CS),VLOOKUP(IK10,'Jan-2026 rates'!$E:$F,2,0)))</f>
        <v>0</v>
      </c>
      <c r="IZ10" s="409"/>
      <c r="JA10" s="398">
        <f>IF(IZ10=0,0,IF(LEN(IL10)=11,_xlfn.XLOOKUP(IL10,'Dispensed Ink Rates'!C:C,'Dispensed Ink Rates'!CS:CS),VLOOKUP(IL10,'Jan-2026 rates'!$E:$F,2,0)))</f>
        <v>0</v>
      </c>
      <c r="JB10" s="409"/>
      <c r="JC10" s="398">
        <f>IF(JB10=0,0,IF(LEN(IM10)=11,_xlfn.XLOOKUP(IM10,'Dispensed Ink Rates'!C:C,'Dispensed Ink Rates'!CS:CS),VLOOKUP(IM10,'Jan-2026 rates'!$E:$F,2,0)))</f>
        <v>0</v>
      </c>
      <c r="JD10" s="409" t="s">
        <v>1881</v>
      </c>
      <c r="JE10" s="409">
        <v>30</v>
      </c>
      <c r="JF10" s="411">
        <f t="shared" ref="JF10:JF73" si="25">IFERROR(IF(JG10&lt;=0,0,(IA10*IB10+ID10*IE10+IN10*IO10+IP10*IQ10+IR10*IS10+IT10*IU10+IV10*IW10+IX10*IY10+IZ10*JA10+JB10*JC10+(KZ10/SUM(KT10:LA10)*LL10)*LX10)/(IA10+ID10+IN10+IP10+IR10+IT10+IV10+IX10+IZ10+JB10+(KZ10/SUM(KT10:LA10)*LL10))),0)</f>
        <v>0</v>
      </c>
      <c r="JG10" s="411">
        <f t="shared" ref="JG10:JG73" si="26">IFERROR((IA10+ID10+IN10+IP10+IR10+IT10+IV10+IX10+IZ10+JB10+(KZ10/SUM(KT10:LA10)*LL10)-JE10),0)</f>
        <v>67.740930232558128</v>
      </c>
      <c r="JH10" s="410">
        <f t="shared" ref="JH10:JH73" si="27">IFERROR(IF(JG10&lt;=0,0,(IA10*IB10+ID10*IE10+IN10*IO10+IP10*IQ10+IR10*IS10+IT10*IU10+IV10*IW10+IX10*IY10+IZ10*JA10+JB10*JC10-JE10*JF10+(KZ10/SUM(KT10:LA10)*LL10)*LX10)),0)</f>
        <v>0</v>
      </c>
      <c r="JI10" s="405"/>
      <c r="JJ10" s="409"/>
      <c r="JK10" s="420" t="str">
        <f t="shared" ref="JK10:JK71" si="28">CONCATENATE(KO10," - ",JI10)</f>
        <v xml:space="preserve"> - </v>
      </c>
      <c r="JL10" s="409"/>
      <c r="JM10" s="411">
        <f>IF(JL10=0,0,IF($LB10=70%,VLOOKUP($JK10,'Jan-2026 rates'!$L:$R,4,0),IF($LB10=65%,VLOOKUP($JK10,'Jan-2026 rates'!$L:$R,4,0),IF($LB10=40%,VLOOKUP($JK10,'Jan-2026 rates'!$L:$R,5,0),IF($LB10=30%,VLOOKUP($JK10,'Jan-2026 rates'!$L:$R,6,0),IF($LB10=100%,VLOOKUP($JK10,'Jan-2026 rates'!$L:$R,7,0),IF($LB10=60%,VLOOKUP($JK10,'Jan-2026 rates'!$L:$S,8,0),IF($LB10=80%,VLOOKUP($JK10,'Jan-2026 rates'!L:T,9,0),0))))))))</f>
        <v>0</v>
      </c>
      <c r="JN10" s="412"/>
      <c r="JO10" s="409"/>
      <c r="JP10" s="411">
        <f>IF(JO10=0,0,IF($LB10=70%,VLOOKUP($JK10,'Jan-2026 rates'!$L:$R,4,0),IF($LB10=65%,VLOOKUP($JK10,'Jan-2026 rates'!$L:$R,4,0),IF($LB10=40%,VLOOKUP($JK10,'Jan-2026 rates'!$L:$R,5,0),IF($LB10=30%,VLOOKUP($JK10,'Jan-2026 rates'!$L:$R,6,0),IF($LB10=100%,VLOOKUP($JK10,'Jan-2026 rates'!$L:$R,7,0),IF($LB10=60%,VLOOKUP($JK10,'Jan-2026 rates'!$L:$S,8,0),IF($LB10=80%,VLOOKUP($JK10,'Jan-2026 rates'!L:T,9,0),0))))))))</f>
        <v>0</v>
      </c>
      <c r="JQ10" s="413"/>
      <c r="JR10" s="412"/>
      <c r="JS10" s="413"/>
      <c r="JT10" s="413"/>
      <c r="JU10" s="412"/>
      <c r="JV10" s="412"/>
      <c r="JW10" s="412"/>
      <c r="JX10" s="412"/>
      <c r="JY10" s="409"/>
      <c r="JZ10" s="398">
        <f>IF(JY10=0,0,IF(LEN(JQ10)=11,_xlfn.XLOOKUP(JQ10,'Dispensed Ink Rates'!C:C,'Dispensed Ink Rates'!CS:CS),VLOOKUP(JQ10,'Jan-2026 rates'!$E:$F,2,0)))</f>
        <v>0</v>
      </c>
      <c r="KA10" s="409"/>
      <c r="KB10" s="398">
        <f>IF(KA10=0,0,IF(LEN(JR10)=11,_xlfn.XLOOKUP(JR10,'Dispensed Ink Rates'!C:C,'Dispensed Ink Rates'!CS:CS),VLOOKUP(JR10,'Jan-2026 rates'!$E:$F,2,0)))</f>
        <v>0</v>
      </c>
      <c r="KC10" s="409"/>
      <c r="KD10" s="398">
        <f>IF(KC10=0,0,IF(LEN(JS10)=11,_xlfn.XLOOKUP(JS10,'Dispensed Ink Rates'!C:C,'Dispensed Ink Rates'!CS:CS),VLOOKUP(JS10,'Jan-2026 rates'!$E:$F,2,0)))</f>
        <v>0</v>
      </c>
      <c r="KE10" s="409"/>
      <c r="KF10" s="398">
        <f>IF(KE10=0,0,IF(LEN(JT10)=11,_xlfn.XLOOKUP(JT10,'Dispensed Ink Rates'!C:C,'Dispensed Ink Rates'!CS:CS),VLOOKUP(JT10,'Jan-2026 rates'!$E:$F,2,0)))</f>
        <v>0</v>
      </c>
      <c r="KG10" s="409"/>
      <c r="KH10" s="398">
        <f>IF(KG10=0,0,IF(LEN(JU10)=11,_xlfn.XLOOKUP(JU10,'Dispensed Ink Rates'!C:C,'Dispensed Ink Rates'!CS:CS),VLOOKUP(JU10,'Jan-2026 rates'!$E:$F,2,0)))</f>
        <v>0</v>
      </c>
      <c r="KI10" s="409"/>
      <c r="KJ10" s="398">
        <f>IF(KI10=0,0,IF(LEN(JV10)=11,_xlfn.XLOOKUP(JV10,'Dispensed Ink Rates'!C:C,'Dispensed Ink Rates'!CS:CS),VLOOKUP(JV10,'Jan-2026 rates'!$E:$F,2,0)))</f>
        <v>0</v>
      </c>
      <c r="KK10" s="409"/>
      <c r="KL10" s="398">
        <f>IF(KK10=0,0,IF(LEN(JW10)=11,_xlfn.XLOOKUP(JW10,'Dispensed Ink Rates'!C:C,'Dispensed Ink Rates'!CS:CS),VLOOKUP(JW10,'Jan-2026 rates'!$E:$F,2,0)))</f>
        <v>0</v>
      </c>
      <c r="KM10" s="428"/>
      <c r="KN10" s="398">
        <f>IF(KM10=0,0,IF(LEN(JX10)=11,_xlfn.XLOOKUP(JX10,'Dispensed Ink Rates'!C:C,'Dispensed Ink Rates'!CS:CS),VLOOKUP(JX10,'Jan-2026 rates'!$E:$F,2,0)))</f>
        <v>0</v>
      </c>
      <c r="KO10" s="409"/>
      <c r="KP10" s="409"/>
      <c r="KQ10" s="411">
        <f t="shared" ref="KQ10:KQ73" si="29">IFERROR(IF(KR10&lt;=0,0,(JL10*JM10+JO10*JP10+JY10*JZ10+KA10*KB10+KC10*KD10+KE10*KF10+KG10*KH10+KI10*KJ10+KK10*KL10+KM10*KN10+(LA10/SUM(KT10:LA10)*LL10)*LX10)/(JL10+JO10+JY10+KA10+KC10+KE10+KG10+KI10+KK10+KM10+(LA10/SUM(KT10:LA10)*LL10))),0)</f>
        <v>0</v>
      </c>
      <c r="KR10" s="411">
        <f t="shared" ref="KR10:KR73" si="30">IFERROR((JL10+JO10+JY10+KA10+KC10+KE10+KG10+KI10+KK10+KM10+(LA10/SUM(KT10:LA10)*LL10)-KP10),0)</f>
        <v>0</v>
      </c>
      <c r="KS10" s="410">
        <f t="shared" ref="KS10:KS73" si="31">IFERROR(IF(KR10&lt;=0,0,(JL10*JM10+JO10*JP10+JY10*JZ10+KA10*KB10+KC10*KD10+KE10*KF10+KG10*KH10+KI10*KJ10+KK10*KL10+KM10*KN10-KP10*KQ10+(LA10/SUM(KT10:LA10)*LL10)*LX10)),0)</f>
        <v>0</v>
      </c>
      <c r="KT10" s="409">
        <v>2</v>
      </c>
      <c r="KU10" s="409">
        <v>2</v>
      </c>
      <c r="KV10" s="409">
        <v>2</v>
      </c>
      <c r="KW10" s="409">
        <v>2</v>
      </c>
      <c r="KX10" s="409">
        <v>3</v>
      </c>
      <c r="KY10" s="409">
        <v>2</v>
      </c>
      <c r="KZ10" s="409">
        <v>30</v>
      </c>
      <c r="LA10" s="409">
        <v>0</v>
      </c>
      <c r="LB10" s="415">
        <v>0.3</v>
      </c>
      <c r="LC10" s="415"/>
      <c r="LD10" s="415"/>
      <c r="LE10" s="415">
        <v>0.5</v>
      </c>
      <c r="LF10" s="415">
        <v>0.2</v>
      </c>
      <c r="LG10" s="409">
        <v>0</v>
      </c>
      <c r="LH10" s="409">
        <f>32+15+9+15+6</f>
        <v>77</v>
      </c>
      <c r="LI10" s="409">
        <v>0</v>
      </c>
      <c r="LJ10" s="409">
        <v>0</v>
      </c>
      <c r="LK10" s="416">
        <f t="shared" ref="LK10:LK71" si="32">LG10+LH10+LI10-LJ10</f>
        <v>77</v>
      </c>
      <c r="LL10" s="416">
        <f t="shared" ref="LL10:LL71" si="33">IF(LK10&lt;=0,SUM(KT10:LA10),LK10)</f>
        <v>77</v>
      </c>
      <c r="LM10" s="417">
        <f t="shared" ref="LM10:LM71" si="34">IFERROR($LL10*LB10,0)</f>
        <v>23.099999999999998</v>
      </c>
      <c r="LN10" s="417">
        <f>VLOOKUP($LM$8,'Jan-2026 rates'!$H:$I,2,0)</f>
        <v>0</v>
      </c>
      <c r="LO10" s="417">
        <f t="shared" ref="LO10:LO71" si="35">IFERROR(LL10*LC10,0)</f>
        <v>0</v>
      </c>
      <c r="LP10" s="417">
        <f>VLOOKUP($LO$8,'Jan-2026 rates'!$H:$I,2,0)</f>
        <v>0</v>
      </c>
      <c r="LQ10" s="417">
        <f t="shared" ref="LQ10:LQ71" si="36">IFERROR(LL10*LD10,0)</f>
        <v>0</v>
      </c>
      <c r="LR10" s="417">
        <f>VLOOKUP($LQ$8,'Jan-2026 rates'!$H:$I,2,0)</f>
        <v>0</v>
      </c>
      <c r="LS10" s="417">
        <f t="shared" ref="LS10:LS71" si="37">IFERROR(LL10*LE10,0)</f>
        <v>38.5</v>
      </c>
      <c r="LT10" s="417">
        <f>VLOOKUP($LS$8,'Jan-2026 rates'!$H:$I,2,0)</f>
        <v>0</v>
      </c>
      <c r="LU10" s="417">
        <f t="shared" ref="LU10:LU71" si="38">IFERROR(LL10*LF10,0)</f>
        <v>15.4</v>
      </c>
      <c r="LV10" s="417">
        <f>VLOOKUP($LU$8,'Jan-2026 rates'!$H:$I,2,0)</f>
        <v>0</v>
      </c>
      <c r="LW10" s="417">
        <f t="shared" ref="LW10:LW71" si="39">(LM10*LN10+LO10*LP10+LQ10*LR10+LS10*LT10+LU10*LV10)</f>
        <v>0</v>
      </c>
      <c r="LX10" s="417">
        <f t="shared" ref="LX10:LX71" si="40">IFERROR(LW10/LL10,0)</f>
        <v>0</v>
      </c>
      <c r="LY10" s="418">
        <f t="shared" ref="LY10:LY71" si="41">AT10+CE10+DP10+FA10+GL10+HW10+JH10+KS10</f>
        <v>0</v>
      </c>
      <c r="LZ10" s="417"/>
      <c r="MA10" s="435">
        <f t="shared" ref="MA10:MA71" si="42">Z10+AB10+AD10+AF10+AH10+AJ10+AL10+AN10+BK10+BM10+BO10+BQ10+BS10+BU10+BW10+BY10+CV10+CX10+CZ10+DB10+DD10+DF10+DH10+DJ10+EG10+EI10+EK10+EM10+EO10+EQ10+ES10+EU10+FR10+FT10+FV10+FX10+FZ10+GB10+GD10+GF10+HC10+HE10+HG10+HI10+HK10+HM10+HO10+HQ10+IN10+IP10+IR10+IT10+IV10+IX10+IZ10+JB10+JY10+KA10+KC10+KE10+KG10+KI10+KK10+KM10</f>
        <v>63.019999999999996</v>
      </c>
      <c r="MB10" s="282">
        <f t="shared" ref="MB10:MB71" si="43">AS10+CD10+DO10+EZ10+GK10+HV10+JG10+KR10</f>
        <v>102.02</v>
      </c>
      <c r="MC10" s="283" t="s">
        <v>1939</v>
      </c>
      <c r="MD10" s="284" t="str">
        <f t="shared" ref="MD10:MD71" si="44">CONCATENATE(AP10,CA10,DL10,EW10,GH10,HS10,JD10,KO10)</f>
        <v>ToyoLiToyoLiToyoLiToyoLiToyoLiToyoLiToyoLi</v>
      </c>
      <c r="ME10" s="293" t="str">
        <f t="shared" ref="ME10:ME71" si="45">IF(AQ10&lt;&gt;"",IF(AS10&gt;0,"+","-"),"NIL")</f>
        <v>+</v>
      </c>
      <c r="MF10" s="293" t="str">
        <f t="shared" ref="MF10:MF71" si="46">IF(CB10&lt;&gt;"",IF(CD10&gt;0,"+","-"),"NIL")</f>
        <v>+</v>
      </c>
      <c r="MG10" s="293" t="str">
        <f t="shared" ref="MG10:MG71" si="47">IF(DM10&lt;&gt;"",IF(DO10&gt;0,"+","-"),"NIL")</f>
        <v>+</v>
      </c>
      <c r="MH10" s="293" t="str">
        <f t="shared" ref="MH10:MH71" si="48">IF(EX10&lt;&gt;"",IF(EZ10&gt;0,"+","-"),"NIL")</f>
        <v>+</v>
      </c>
      <c r="MI10" s="293" t="str">
        <f t="shared" ref="MI10:MI71" si="49">IF(GI10&lt;&gt;"",IF(GK10&gt;0,"+","-"),"NIL")</f>
        <v>+</v>
      </c>
      <c r="MJ10" s="293" t="str">
        <f t="shared" ref="MJ10:MJ71" si="50">IF(HT10&lt;&gt;"",IF(HV10&gt;0,"+","-"),"NIL")</f>
        <v>+</v>
      </c>
      <c r="MK10" s="293" t="str">
        <f t="shared" ref="MK10:MK71" si="51">IF(JE10&lt;&gt;"",IF(JG10&gt;0,"+","-"),"NIL")</f>
        <v>+</v>
      </c>
      <c r="ML10" s="293" t="str">
        <f t="shared" ref="ML10:ML71" si="52">IF(KP10&lt;&gt;"",IF(KR10&gt;0,"+","-"),"NIL")</f>
        <v>NIL</v>
      </c>
      <c r="MM10" s="3" t="b">
        <f t="array" ref="MM10">OR(ME10:ML10="-")</f>
        <v>0</v>
      </c>
      <c r="MN10" s="285"/>
      <c r="MO10" s="401"/>
      <c r="MP10" s="286"/>
      <c r="MQ10" s="286"/>
      <c r="MR10" s="402"/>
      <c r="MS10" s="400"/>
      <c r="NH10" s="422"/>
      <c r="NJ10" s="421"/>
    </row>
    <row r="11" spans="1:374" s="1" customFormat="1" ht="16.5">
      <c r="A11" s="403">
        <v>46024</v>
      </c>
      <c r="B11" s="404" t="s">
        <v>1015</v>
      </c>
      <c r="C11" s="405" t="s">
        <v>2584</v>
      </c>
      <c r="D11" s="406" t="s">
        <v>1940</v>
      </c>
      <c r="E11" s="404">
        <v>46</v>
      </c>
      <c r="F11" s="407">
        <v>2600</v>
      </c>
      <c r="G11" s="407" t="s">
        <v>1016</v>
      </c>
      <c r="H11" s="408" t="s">
        <v>1017</v>
      </c>
      <c r="I11" s="409">
        <v>1.5</v>
      </c>
      <c r="J11" s="405" t="s">
        <v>543</v>
      </c>
      <c r="K11" s="404" t="s">
        <v>2585</v>
      </c>
      <c r="L11" s="419" t="str">
        <f t="shared" si="0"/>
        <v>ToyoLi - BLACK</v>
      </c>
      <c r="M11" s="404">
        <v>30</v>
      </c>
      <c r="N11" s="410">
        <f>IF(M11=0,0,IF($LB11=70%,VLOOKUP($L11,'Jan-2026 rates'!$L:$R,4,0),IF($LB11=65%,VLOOKUP($L11,'Jan-2026 rates'!$L:$R,4,0),IF($LB11=40%,VLOOKUP($L11,'Jan-2026 rates'!$L:$R,5,0),IF($LB11=30%,VLOOKUP($L11,'Jan-2026 rates'!$L:$R,6,0),IF($LB11=100%,VLOOKUP($L11,'Jan-2026 rates'!$L:$R,7,0),IF($LB11=60%,VLOOKUP($L11,'Jan-2026 rates'!$L:$S,8,0),IF($LB11=80%,VLOOKUP($L11,'Jan-2026 rates'!L:T,9,0),0))))))))</f>
        <v>0</v>
      </c>
      <c r="O11" s="406"/>
      <c r="P11" s="404"/>
      <c r="Q11" s="410">
        <f>IF(P11=0,0,IF($LB11=70%,VLOOKUP($L11,'Jan-2026 rates'!$L:$R,4,0),IF($LB11=65%,VLOOKUP($L11,'Jan-2026 rates'!$L:$R,4,0),IF($LB11=40%,VLOOKUP($L11,'Jan-2026 rates'!$L:$R,5,0),IF($LB11=30%,VLOOKUP($L11,'Jan-2026 rates'!$L:$R,6,0),IF($LB11=100%,VLOOKUP($L11,'Jan-2026 rates'!$L:$R,7,0),IF($LB11=60%,VLOOKUP($L11,'Jan-2026 rates'!$L:$S,8,0),IF($LB11=80%,VLOOKUP($L11,'Jan-2026 rates'!L:T,9,0),0))))))))</f>
        <v>0</v>
      </c>
      <c r="R11" s="406" t="s">
        <v>1921</v>
      </c>
      <c r="S11" s="406"/>
      <c r="T11" s="406"/>
      <c r="U11" s="406"/>
      <c r="V11" s="406"/>
      <c r="W11" s="406"/>
      <c r="X11" s="406"/>
      <c r="Y11" s="406"/>
      <c r="Z11" s="404">
        <v>2</v>
      </c>
      <c r="AA11" s="398">
        <f>IF(Z11=0,0,IF(LEN(R11)=11,_xlfn.XLOOKUP(R11,'Dispensed Ink Rates'!C:C,'Dispensed Ink Rates'!CS:CS),VLOOKUP(R11,'Jan-2026 rates'!$E:$F,2,0)))</f>
        <v>0</v>
      </c>
      <c r="AB11" s="404"/>
      <c r="AC11" s="398">
        <f>IF(AB11=0,0,IF(LEN(S11)=11,_xlfn.XLOOKUP(S11,'Dispensed Ink Rates'!C:C,'Dispensed Ink Rates'!CS:CS),VLOOKUP(S11,'Jan-2026 rates'!$E:$F,2,0)))</f>
        <v>0</v>
      </c>
      <c r="AD11" s="404"/>
      <c r="AE11" s="398">
        <f>IF(AD11=0,0,IF(LEN(T11)=11,_xlfn.XLOOKUP(T11,'Dispensed Ink Rates'!C:C,'Dispensed Ink Rates'!CS:CS),VLOOKUP(T11,'Jan-2026 rates'!$E:$F,2,0)))</f>
        <v>0</v>
      </c>
      <c r="AF11" s="404"/>
      <c r="AG11" s="398">
        <f>IF(AF11=0,0,IF(LEN(U11)=11,_xlfn.XLOOKUP(U11,'Dispensed Ink Rates'!C:C,'Dispensed Ink Rates'!CS:CS),VLOOKUP(U11,'Jan-2026 rates'!$E:$F,2,0)))</f>
        <v>0</v>
      </c>
      <c r="AH11" s="404"/>
      <c r="AI11" s="398">
        <f>IF(AH11=0,0,IF(LEN(V11)=11,_xlfn.XLOOKUP(V11,'Dispensed Ink Rates'!C:C,'Dispensed Ink Rates'!CS:CS),VLOOKUP(V11,'Jan-2026 rates'!$E:$F,2,0)))</f>
        <v>0</v>
      </c>
      <c r="AJ11" s="404"/>
      <c r="AK11" s="398">
        <f>IF(AJ11=0,0,IF(LEN(W11)=11,_xlfn.XLOOKUP(W11,'Dispensed Ink Rates'!C:C,'Dispensed Ink Rates'!CS:CS),VLOOKUP(W11,'Jan-2026 rates'!$E:$F,2,0)))</f>
        <v>0</v>
      </c>
      <c r="AL11" s="404"/>
      <c r="AM11" s="398">
        <f>IF(AL11=0,0,IF(LEN(X11)=11,_xlfn.XLOOKUP(X11,'Dispensed Ink Rates'!C:C,'Dispensed Ink Rates'!CS:CS),VLOOKUP(X11,'Jan-2026 rates'!$E:$F,2,0)))</f>
        <v>0</v>
      </c>
      <c r="AN11" s="404"/>
      <c r="AO11" s="398">
        <f>IF(AN11=0,0,IF(LEN(Y11)=11,_xlfn.XLOOKUP(Y11,'Dispensed Ink Rates'!C:C,'Dispensed Ink Rates'!CS:CS),VLOOKUP(Y11,'Jan-2026 rates'!$E:$F,2,0)))</f>
        <v>0</v>
      </c>
      <c r="AP11" s="409" t="s">
        <v>1881</v>
      </c>
      <c r="AQ11" s="409">
        <v>29</v>
      </c>
      <c r="AR11" s="410">
        <f t="shared" si="1"/>
        <v>0</v>
      </c>
      <c r="AS11" s="411">
        <f t="shared" si="2"/>
        <v>3</v>
      </c>
      <c r="AT11" s="410">
        <f t="shared" si="3"/>
        <v>0</v>
      </c>
      <c r="AU11" s="405" t="s">
        <v>543</v>
      </c>
      <c r="AV11" s="409" t="s">
        <v>2220</v>
      </c>
      <c r="AW11" s="420" t="str">
        <f t="shared" si="4"/>
        <v>ToyoLi - BLACK</v>
      </c>
      <c r="AX11" s="409">
        <v>17</v>
      </c>
      <c r="AY11" s="411">
        <f>IF(AX11=0,0,IF($LB11=70%,VLOOKUP($AW11,'Jan-2026 rates'!$L:$R,4,0),IF($LB11=65%,VLOOKUP($AW11,'Jan-2026 rates'!$L:$R,4,0),IF($LB11=40%,VLOOKUP($AW11,'Jan-2026 rates'!$L:$R,5,0),IF($LB11=30%,VLOOKUP($AW11,'Jan-2026 rates'!$L:$R,6,0),IF($LB11=100%,VLOOKUP($AW11,'Jan-2026 rates'!$L:$R,7,0),IF($LB11=60%,VLOOKUP($AW11,'Jan-2026 rates'!$L:$S,8,0),IF($LB11=80%,VLOOKUP($AW11,'Jan-2026 rates'!L:T,9,0),0))))))))</f>
        <v>0</v>
      </c>
      <c r="AZ11" s="412" t="s">
        <v>2585</v>
      </c>
      <c r="BA11" s="409">
        <v>5</v>
      </c>
      <c r="BB11" s="411">
        <f>IF(BA11=0,0,IF($LB11=70%,VLOOKUP($AW11,'Jan-2026 rates'!$L:$R,4,0),IF($LB11=65%,VLOOKUP($AW11,'Jan-2026 rates'!$L:$R,4,0),IF($LB11=40%,VLOOKUP($AW11,'Jan-2026 rates'!$L:$R,5,0),IF($LB11=30%,VLOOKUP($AW11,'Jan-2026 rates'!$L:$R,6,0),IF($LB11=100%,VLOOKUP($AW11,'Jan-2026 rates'!$L:$R,7,0),IF($LB11=60%,VLOOKUP($AW11,'Jan-2026 rates'!$L:$S,8,0),IF($LB11=80%,VLOOKUP($AW11,'Jan-2026 rates'!L:T,9,0),0))))))))</f>
        <v>0</v>
      </c>
      <c r="BC11" s="413" t="s">
        <v>1252</v>
      </c>
      <c r="BD11" s="412"/>
      <c r="BE11" s="412"/>
      <c r="BF11" s="413"/>
      <c r="BG11" s="412"/>
      <c r="BH11" s="412"/>
      <c r="BI11" s="412"/>
      <c r="BJ11" s="412"/>
      <c r="BK11" s="409">
        <v>5</v>
      </c>
      <c r="BL11" s="398">
        <f>IF(BK11=0,0,IF(LEN(BC11)=11,_xlfn.XLOOKUP(BC11,'Dispensed Ink Rates'!C:C,'Dispensed Ink Rates'!CS:CS),VLOOKUP(BC11,'Jan-2026 rates'!$E:$F,2,0)))</f>
        <v>0</v>
      </c>
      <c r="BM11" s="409"/>
      <c r="BN11" s="398">
        <f>IF(BM11=0,0,IF(LEN(BD11)=11,_xlfn.XLOOKUP(BD11,'Dispensed Ink Rates'!C:C,'Dispensed Ink Rates'!CS:CS),VLOOKUP(BD11,'Jan-2026 rates'!$E:$F,2,0)))</f>
        <v>0</v>
      </c>
      <c r="BO11" s="409"/>
      <c r="BP11" s="398">
        <f>IF(BO11=0,0,IF(LEN(BE11)=11,_xlfn.XLOOKUP(BE11,'Dispensed Ink Rates'!C:C,'Dispensed Ink Rates'!CS:CS),VLOOKUP(BE11,'Jan-2026 rates'!$E:$F,2,0)))</f>
        <v>0</v>
      </c>
      <c r="BQ11" s="409"/>
      <c r="BR11" s="398">
        <f>IF(BQ11=0,0,IF(LEN(BF11)=11,_xlfn.XLOOKUP(BF11,'Dispensed Ink Rates'!C:C,'Dispensed Ink Rates'!CS:CS),VLOOKUP(BF11,'Jan-2026 rates'!$E:$F,2,0)))</f>
        <v>0</v>
      </c>
      <c r="BS11" s="409"/>
      <c r="BT11" s="398">
        <f>IF(BS11=0,0,IF(LEN(BG11)=11,_xlfn.XLOOKUP(BG11,'Dispensed Ink Rates'!C:C,'Dispensed Ink Rates'!CS:CS),VLOOKUP(BG11,'Jan-2026 rates'!$E:$F,2,0)))</f>
        <v>0</v>
      </c>
      <c r="BU11" s="409"/>
      <c r="BV11" s="398">
        <f>IF(BU11=0,0,IF(LEN(BH11)=11,_xlfn.XLOOKUP(BH11,'Dispensed Ink Rates'!C:C,'Dispensed Ink Rates'!CS:CS),VLOOKUP(BH11,'Jan-2026 rates'!$E:$F,2,0)))</f>
        <v>0</v>
      </c>
      <c r="BW11" s="409"/>
      <c r="BX11" s="398">
        <f>IF(BW11=0,0,IF(LEN(BI11)=11,_xlfn.XLOOKUP(BI11,'Dispensed Ink Rates'!C:C,'Dispensed Ink Rates'!CS:CS),VLOOKUP(BI11,'Jan-2026 rates'!$E:$F,2,0)))</f>
        <v>0</v>
      </c>
      <c r="BY11" s="409"/>
      <c r="BZ11" s="398">
        <f>IF(BY11=0,0,IF(LEN(BJ11)=11,_xlfn.XLOOKUP(BJ11,'Dispensed Ink Rates'!C:C,'Dispensed Ink Rates'!CS:CS),VLOOKUP(BJ11,'Jan-2026 rates'!$E:$F,2,0)))</f>
        <v>0</v>
      </c>
      <c r="CA11" s="409" t="s">
        <v>1881</v>
      </c>
      <c r="CB11" s="409">
        <f>15+16</f>
        <v>31</v>
      </c>
      <c r="CC11" s="411">
        <f t="shared" si="5"/>
        <v>0</v>
      </c>
      <c r="CD11" s="411">
        <f t="shared" si="6"/>
        <v>5.2000000000000028</v>
      </c>
      <c r="CE11" s="410">
        <f t="shared" si="7"/>
        <v>0</v>
      </c>
      <c r="CF11" s="404" t="s">
        <v>543</v>
      </c>
      <c r="CG11" s="409" t="s">
        <v>2586</v>
      </c>
      <c r="CH11" s="420" t="str">
        <f t="shared" si="8"/>
        <v>ToyoLi - BLACK</v>
      </c>
      <c r="CI11" s="409">
        <v>16</v>
      </c>
      <c r="CJ11" s="411">
        <f>IF(CI11=0,0,IF($LB11=70%,VLOOKUP($CH11,'Jan-2026 rates'!$L:$R,4,0),IF($LB11=65%,VLOOKUP($CH11,'Jan-2026 rates'!$L:$R,4,0),IF($LB11=40%,VLOOKUP($CH11,'Jan-2026 rates'!$L:$R,5,0),IF($LB11=30%,VLOOKUP($CH11,'Jan-2026 rates'!$L:$R,6,0),IF($LB11=100%,VLOOKUP($CH11,'Jan-2026 rates'!$L:$R,7,0),IF($LB11=60%,VLOOKUP($CH11,'Jan-2026 rates'!$L:$S,8,0),IF($LB11=80%,VLOOKUP($CH11,'Jan-2026 rates'!L:T,9,0),0))))))))</f>
        <v>0</v>
      </c>
      <c r="CK11" s="412" t="s">
        <v>2587</v>
      </c>
      <c r="CL11" s="409">
        <v>15</v>
      </c>
      <c r="CM11" s="411">
        <f>IF(CL11=0,0,IF($LB11=70%,VLOOKUP($CH11,'Jan-2026 rates'!$L:$R,4,0),IF($LB11=65%,VLOOKUP($CH11,'Jan-2026 rates'!$L:$R,4,0),IF($LB11=40%,VLOOKUP($CH11,'Jan-2026 rates'!$L:$R,5,0),IF($LB11=30%,VLOOKUP($CH11,'Jan-2026 rates'!$L:$R,6,0),IF($LB11=100%,VLOOKUP($CH11,'Jan-2026 rates'!$L:$R,7,0),IF($LB11=60%,VLOOKUP($CH11,'Jan-2026 rates'!$L:$S,8,0),IF($LB11=80%,VLOOKUP($CH11,'Jan-2026 rates'!L:T,9,0),0))))))))</f>
        <v>0</v>
      </c>
      <c r="CN11" s="426" t="s">
        <v>1252</v>
      </c>
      <c r="CO11" s="427"/>
      <c r="CP11" s="426"/>
      <c r="CQ11" s="426"/>
      <c r="CR11" s="428"/>
      <c r="CS11" s="428"/>
      <c r="CT11" s="428"/>
      <c r="CU11" s="428"/>
      <c r="CV11" s="409">
        <v>3</v>
      </c>
      <c r="CW11" s="398">
        <f>IF(CV11=0,0,IF(LEN(CN11)=11,_xlfn.XLOOKUP(CN11,'Dispensed Ink Rates'!C:C,'Dispensed Ink Rates'!CS:CS),VLOOKUP(CN11,'Jan-2026 rates'!$E:$F,2,0)))</f>
        <v>0</v>
      </c>
      <c r="CX11" s="409"/>
      <c r="CY11" s="398">
        <f>IF(CX11=0,0,IF(LEN(CO11)=11,_xlfn.XLOOKUP(CO11,'Dispensed Ink Rates'!C:C,'Dispensed Ink Rates'!CS:CS),VLOOKUP(CO11,'Jan-2026 rates'!$E:$F,2,0)))</f>
        <v>0</v>
      </c>
      <c r="CZ11" s="409"/>
      <c r="DA11" s="398">
        <f>IF(CZ11=0,0,IF(LEN(CP11)=11,_xlfn.XLOOKUP(CP11,'Dispensed Ink Rates'!C:C,'Dispensed Ink Rates'!CS:CS),VLOOKUP(CP11,'Jan-2026 rates'!$E:$F,2,0)))</f>
        <v>0</v>
      </c>
      <c r="DB11" s="409"/>
      <c r="DC11" s="398">
        <f>IF(DB11=0,0,IF(LEN(CQ11)=11,_xlfn.XLOOKUP(CQ11,'Dispensed Ink Rates'!C:C,'Dispensed Ink Rates'!CS:CS),VLOOKUP(CQ11,'Jan-2026 rates'!$E:$F,2,0)))</f>
        <v>0</v>
      </c>
      <c r="DD11" s="409"/>
      <c r="DE11" s="398">
        <f>IF(DD11=0,0,IF(LEN(CR11)=11,_xlfn.XLOOKUP(CR11,'Dispensed Ink Rates'!C:C,'Dispensed Ink Rates'!CS:CS),VLOOKUP(CR11,'Jan-2026 rates'!$E:$F,2,0)))</f>
        <v>0</v>
      </c>
      <c r="DF11" s="409"/>
      <c r="DG11" s="398">
        <f>IF(DF11=0,0,IF(LEN(CS11)=11,_xlfn.XLOOKUP(CS11,'Dispensed Ink Rates'!C:C,'Dispensed Ink Rates'!CS:CS),VLOOKUP(CS11,'Jan-2026 rates'!$E:$F,2,0)))</f>
        <v>0</v>
      </c>
      <c r="DH11" s="409"/>
      <c r="DI11" s="398">
        <f>IF(DH11=0,0,IF(LEN(CT11)=11,_xlfn.XLOOKUP(CT11,'Dispensed Ink Rates'!C:C,'Dispensed Ink Rates'!CS:CS),VLOOKUP(CT11,'Jan-2026 rates'!$E:$F,2,0)))</f>
        <v>0</v>
      </c>
      <c r="DJ11" s="409"/>
      <c r="DK11" s="398">
        <f>IF(DJ11=0,0,IF(LEN(CU11)=11,_xlfn.XLOOKUP(CU11,'Dispensed Ink Rates'!C:C,'Dispensed Ink Rates'!CS:CS),VLOOKUP(CU11,'Jan-2026 rates'!$E:$F,2,0)))</f>
        <v>0</v>
      </c>
      <c r="DL11" s="409" t="s">
        <v>1881</v>
      </c>
      <c r="DM11" s="409">
        <f>16+15</f>
        <v>31</v>
      </c>
      <c r="DN11" s="411">
        <f t="shared" si="9"/>
        <v>0</v>
      </c>
      <c r="DO11" s="411">
        <f t="shared" si="10"/>
        <v>6.68</v>
      </c>
      <c r="DP11" s="410">
        <f t="shared" si="11"/>
        <v>0</v>
      </c>
      <c r="DQ11" s="405" t="s">
        <v>547</v>
      </c>
      <c r="DR11" s="409" t="s">
        <v>2588</v>
      </c>
      <c r="DS11" s="420" t="str">
        <f t="shared" si="12"/>
        <v>ToyoLi - GREEN</v>
      </c>
      <c r="DT11" s="409">
        <v>18</v>
      </c>
      <c r="DU11" s="411">
        <f>IF(DT11=0,0,IF($LB11=70%,VLOOKUP($DS11,'Jan-2026 rates'!$L:$R,4,0),IF($LB11=65%,VLOOKUP($DS11,'Jan-2026 rates'!$L:$R,4,0),IF($LB11=40%,VLOOKUP($DS11,'Jan-2026 rates'!$L:$R,5,0),IF($LB11=30%,VLOOKUP($DS11,'Jan-2026 rates'!$L:$R,6,0),IF($LB11=100%,VLOOKUP($DS11,'Jan-2026 rates'!$L:$R,7,0),IF($LB11=60%,VLOOKUP($DS11,'Jan-2026 rates'!$L:$S,8,0),IF($LB11=80%,VLOOKUP($DS11,'Jan-2026 rates'!L:T,9,0),0))))))))</f>
        <v>0</v>
      </c>
      <c r="DV11" s="412"/>
      <c r="DW11" s="409"/>
      <c r="DX11" s="411">
        <f>IF(DW11=0,0,IF($LB11=70%,VLOOKUP($DS11,'Jan-2026 rates'!$L:$R,4,0),IF($LB11=65%,VLOOKUP($DS11,'Jan-2026 rates'!$L:$R,4,0),IF($LB11=40%,VLOOKUP($DS11,'Jan-2026 rates'!$L:$R,5,0),IF($LB11=30%,VLOOKUP($DS11,'Jan-2026 rates'!$L:$R,6,0),IF($LB11=100%,VLOOKUP($DS11,'Jan-2026 rates'!$L:$R,7,0),IF($LB11=60%,VLOOKUP($DS11,'Jan-2026 rates'!$L:$S,8,0),IF($LB11=80%,VLOOKUP($DS11,'Jan-2026 rates'!L:T,9,0),0))))))))</f>
        <v>0</v>
      </c>
      <c r="DY11" s="413" t="s">
        <v>1247</v>
      </c>
      <c r="DZ11" s="413" t="s">
        <v>1251</v>
      </c>
      <c r="EA11" s="412"/>
      <c r="EB11" s="412"/>
      <c r="EC11" s="412"/>
      <c r="ED11" s="412"/>
      <c r="EE11" s="412"/>
      <c r="EF11" s="412"/>
      <c r="EG11" s="409">
        <v>4</v>
      </c>
      <c r="EH11" s="398">
        <f>IF(EG11=0,0,IF(LEN(DY11)=11,_xlfn.XLOOKUP(DY11,'Dispensed Ink Rates'!C:C,'Dispensed Ink Rates'!CS:CS),VLOOKUP(DY11,'Jan-2026 rates'!$E:$F,2,0)))</f>
        <v>0</v>
      </c>
      <c r="EI11" s="409">
        <v>2</v>
      </c>
      <c r="EJ11" s="398">
        <f>IF(EI11=0,0,IF(LEN(DZ11)=11,_xlfn.XLOOKUP(DZ11,'Dispensed Ink Rates'!C:C,'Dispensed Ink Rates'!CS:CS),VLOOKUP(DZ11,'Jan-2026 rates'!$E:$F,2,0)))</f>
        <v>0</v>
      </c>
      <c r="EK11" s="409"/>
      <c r="EL11" s="398">
        <f>IF(EK11=0,0,IF(LEN(EA11)=11,_xlfn.XLOOKUP(EA11,'Dispensed Ink Rates'!C:C,'Dispensed Ink Rates'!CS:CS),VLOOKUP(EA11,'Jan-2026 rates'!$E:$F,2,0)))</f>
        <v>0</v>
      </c>
      <c r="EM11" s="409"/>
      <c r="EN11" s="398">
        <f>IF(EM11=0,0,IF(LEN(EB11)=11,_xlfn.XLOOKUP(EB11,'Dispensed Ink Rates'!C:C,'Dispensed Ink Rates'!CS:CS),VLOOKUP(EB11,'Jan-2026 rates'!$E:$F,2,0)))</f>
        <v>0</v>
      </c>
      <c r="EO11" s="409"/>
      <c r="EP11" s="398">
        <f>IF(EO11=0,0,IF(LEN(EC11)=11,_xlfn.XLOOKUP(EC11,'Dispensed Ink Rates'!C:C,'Dispensed Ink Rates'!CS:CS),VLOOKUP(EC11,'Jan-2026 rates'!$E:$F,2,0)))</f>
        <v>0</v>
      </c>
      <c r="EQ11" s="409"/>
      <c r="ER11" s="398">
        <f>IF(EQ11=0,0,IF(LEN(ED11)=11,_xlfn.XLOOKUP(ED11,'Dispensed Ink Rates'!C:C,'Dispensed Ink Rates'!CS:CS),VLOOKUP(ED11,'Jan-2026 rates'!$E:$F,2,0)))</f>
        <v>0</v>
      </c>
      <c r="ES11" s="409"/>
      <c r="ET11" s="398">
        <f>IF(ES11=0,0,IF(LEN(EE11)=11,_xlfn.XLOOKUP(EE11,'Dispensed Ink Rates'!C:C,'Dispensed Ink Rates'!CS:CS),VLOOKUP(EE11,'Jan-2026 rates'!$E:$F,2,0)))</f>
        <v>0</v>
      </c>
      <c r="EU11" s="409"/>
      <c r="EV11" s="398">
        <f>IF(EU11=0,0,IF(LEN(EF11)=11,_xlfn.XLOOKUP(EF11,'Dispensed Ink Rates'!C:C,'Dispensed Ink Rates'!CS:CS),VLOOKUP(EF11,'Jan-2026 rates'!$E:$F,2,0)))</f>
        <v>0</v>
      </c>
      <c r="EW11" s="409" t="s">
        <v>1881</v>
      </c>
      <c r="EX11" s="409">
        <f>14+12</f>
        <v>26</v>
      </c>
      <c r="EY11" s="411">
        <f t="shared" si="13"/>
        <v>0</v>
      </c>
      <c r="EZ11" s="411">
        <f t="shared" si="14"/>
        <v>3.5199999999999996</v>
      </c>
      <c r="FA11" s="410">
        <f t="shared" si="15"/>
        <v>0</v>
      </c>
      <c r="FB11" s="405" t="s">
        <v>544</v>
      </c>
      <c r="FC11" s="409" t="s">
        <v>2589</v>
      </c>
      <c r="FD11" s="420" t="str">
        <f t="shared" si="16"/>
        <v>ToyoLi - MAGENTA</v>
      </c>
      <c r="FE11" s="409">
        <v>26</v>
      </c>
      <c r="FF11" s="411">
        <f>IF(FE11=0,0,IF($LB11=70%,VLOOKUP($FD11,'Jan-2026 rates'!$L:$R,4,0),IF($LB11=65%,VLOOKUP($FD11,'Jan-2026 rates'!$L:$R,4,0),IF($LB11=40%,VLOOKUP($FD11,'Jan-2026 rates'!$L:$R,5,0),IF($LB11=30%,VLOOKUP($FD11,'Jan-2026 rates'!$L:$R,6,0),IF($LB11=100%,VLOOKUP($FD11,'Jan-2026 rates'!$L:$R,7,0),IF($LB11=60%,VLOOKUP($FD11,'Jan-2026 rates'!$L:$S,8,0),IF($LB11=80%,VLOOKUP($FD11,'Jan-2026 rates'!L:T,9,0),0))))))))</f>
        <v>0</v>
      </c>
      <c r="FG11" s="412"/>
      <c r="FH11" s="409"/>
      <c r="FI11" s="411">
        <f>IF(FH11=0,0,IF($LB11=70%,VLOOKUP($FD11,'Jan-2026 rates'!$L:$R,4,0),IF($LB11=65%,VLOOKUP($FD11,'Jan-2026 rates'!$L:$R,4,0),IF($LB11=40%,VLOOKUP($FD11,'Jan-2026 rates'!$L:$R,5,0),IF($LB11=30%,VLOOKUP($FD11,'Jan-2026 rates'!$L:$R,6,0),IF($LB11=100%,VLOOKUP($FD11,'Jan-2026 rates'!$L:$R,7,0),IF($LB11=60%,VLOOKUP($FD11,'Jan-2026 rates'!$L:$S,8,0),IF($LB11=80%,VLOOKUP($FD11,'Jan-2026 rates'!L:T,9,0),0))))))))</f>
        <v>0</v>
      </c>
      <c r="FJ11" s="413" t="s">
        <v>1921</v>
      </c>
      <c r="FK11" s="413"/>
      <c r="FL11" s="413"/>
      <c r="FM11" s="412"/>
      <c r="FN11" s="412"/>
      <c r="FO11" s="412"/>
      <c r="FP11" s="412"/>
      <c r="FQ11" s="412"/>
      <c r="FR11" s="409">
        <v>2</v>
      </c>
      <c r="FS11" s="398">
        <f>IF(FR11=0,0,IF(LEN(FJ11)=11,_xlfn.XLOOKUP(FJ11,'Dispensed Ink Rates'!C:C,'Dispensed Ink Rates'!CS:CS),VLOOKUP(FJ11,'Jan-2026 rates'!$E:$F,2,0)))</f>
        <v>0</v>
      </c>
      <c r="FT11" s="409"/>
      <c r="FU11" s="398">
        <f>IF(FT11=0,0,IF(LEN(FK11)=11,_xlfn.XLOOKUP(FK11,'Dispensed Ink Rates'!C:C,'Dispensed Ink Rates'!CS:CS),VLOOKUP(FK11,'Jan-2026 rates'!$E:$F,2,0)))</f>
        <v>0</v>
      </c>
      <c r="FV11" s="409"/>
      <c r="FW11" s="398">
        <f>IF(FV11=0,0,IF(LEN(FL11)=11,_xlfn.XLOOKUP(FL11,'Dispensed Ink Rates'!C:C,'Dispensed Ink Rates'!CS:CS),VLOOKUP(FL11,'Jan-2026 rates'!$E:$F,2,0)))</f>
        <v>0</v>
      </c>
      <c r="FX11" s="409"/>
      <c r="FY11" s="398">
        <f>IF(FX11=0,0,IF(LEN(FM11)=11,_xlfn.XLOOKUP(FM11,'Dispensed Ink Rates'!C:C,'Dispensed Ink Rates'!CS:CS),VLOOKUP(FM11,'Jan-2026 rates'!$E:$F,2,0)))</f>
        <v>0</v>
      </c>
      <c r="FZ11" s="409"/>
      <c r="GA11" s="398">
        <f>IF(FZ11=0,0,IF(LEN(FN11)=11,_xlfn.XLOOKUP(FN11,'Dispensed Ink Rates'!C:C,'Dispensed Ink Rates'!CS:CS),VLOOKUP(FN11,'Jan-2026 rates'!$E:$F,2,0)))</f>
        <v>0</v>
      </c>
      <c r="GB11" s="409"/>
      <c r="GC11" s="398">
        <f>IF(GB11=0,0,IF(LEN(FO11)=11,_xlfn.XLOOKUP(FO11,'Dispensed Ink Rates'!C:C,'Dispensed Ink Rates'!CS:CS),VLOOKUP(FO11,'Jan-2026 rates'!$E:$F,2,0)))</f>
        <v>0</v>
      </c>
      <c r="GD11" s="409"/>
      <c r="GE11" s="398">
        <f>IF(GD11=0,0,IF(LEN(FP11)=11,_xlfn.XLOOKUP(FP11,'Dispensed Ink Rates'!C:C,'Dispensed Ink Rates'!CS:CS),VLOOKUP(FP11,'Jan-2026 rates'!$E:$F,2,0)))</f>
        <v>0</v>
      </c>
      <c r="GF11" s="409"/>
      <c r="GG11" s="398">
        <f>IF(GF11=0,0,IF(LEN(FQ11)=11,_xlfn.XLOOKUP(FQ11,'Dispensed Ink Rates'!C:C,'Dispensed Ink Rates'!CS:CS),VLOOKUP(FQ11,'Jan-2026 rates'!$E:$F,2,0)))</f>
        <v>0</v>
      </c>
      <c r="GH11" s="409" t="s">
        <v>1881</v>
      </c>
      <c r="GI11" s="409">
        <v>28</v>
      </c>
      <c r="GJ11" s="411">
        <f t="shared" si="17"/>
        <v>0</v>
      </c>
      <c r="GK11" s="411">
        <f t="shared" si="18"/>
        <v>5.519999999999996</v>
      </c>
      <c r="GL11" s="410">
        <f t="shared" si="19"/>
        <v>0</v>
      </c>
      <c r="GM11" s="405" t="s">
        <v>545</v>
      </c>
      <c r="GN11" s="409" t="s">
        <v>2590</v>
      </c>
      <c r="GO11" s="420" t="str">
        <f t="shared" si="20"/>
        <v>ToyoLi - YELLOW</v>
      </c>
      <c r="GP11" s="409">
        <v>25</v>
      </c>
      <c r="GQ11" s="411">
        <f>IF(GP11=0,0,IF($LB11=70%,VLOOKUP($GO11,'Jan-2026 rates'!$L:$R,4,0),IF($LB11=65%,VLOOKUP($GO11,'Jan-2026 rates'!$L:$R,4,0),IF($LB11=40%,VLOOKUP($GO11,'Jan-2026 rates'!$L:$R,5,0),IF($LB11=30%,VLOOKUP($GO11,'Jan-2026 rates'!$L:$R,6,0),IF($LB11=100%,VLOOKUP($GO11,'Jan-2026 rates'!$L:$R,7,0),IF($LB11=60%,VLOOKUP($GO11,'Jan-2026 rates'!$L:$S,8,0),IF($LB11=80%,VLOOKUP($GO11,'Jan-2026 rates'!L:T,9,0),0))))))))</f>
        <v>0</v>
      </c>
      <c r="GR11" s="412"/>
      <c r="GS11" s="409"/>
      <c r="GT11" s="411">
        <f>IF(GS11=0,0,IF($LB11=70%,VLOOKUP($GO11,'Jan-2026 rates'!$L:$R,4,0),IF($LB11=65%,VLOOKUP($GO11,'Jan-2026 rates'!$L:$R,4,0),IF($LB11=40%,VLOOKUP($GO11,'Jan-2026 rates'!$L:$R,5,0),IF($LB11=30%,VLOOKUP($GO11,'Jan-2026 rates'!$L:$R,6,0),IF($LB11=100%,VLOOKUP($GO11,'Jan-2026 rates'!$L:$R,7,0),IF($LB11=60%,VLOOKUP($GO11,'Jan-2026 rates'!$L:$S,8,0),IF($LB11=80%,VLOOKUP($GO11,'Jan-2026 rates'!L:T,9,0),0))))))))</f>
        <v>0</v>
      </c>
      <c r="GU11" s="413" t="s">
        <v>1247</v>
      </c>
      <c r="GV11" s="413"/>
      <c r="GW11" s="412"/>
      <c r="GX11" s="412"/>
      <c r="GY11" s="412"/>
      <c r="GZ11" s="412"/>
      <c r="HA11" s="412"/>
      <c r="HB11" s="412"/>
      <c r="HC11" s="409">
        <v>2</v>
      </c>
      <c r="HD11" s="398">
        <f>IF(HC11=0,0,IF(LEN(GU11)=11,_xlfn.XLOOKUP(GU11,'Dispensed Ink Rates'!C:C,'Dispensed Ink Rates'!CS:CS),VLOOKUP(GU11,'Jan-2026 rates'!$E:$F,2,0)))</f>
        <v>0</v>
      </c>
      <c r="HE11" s="409"/>
      <c r="HF11" s="398">
        <f>IF(HE11=0,0,IF(LEN(GV11)=11,_xlfn.XLOOKUP(GV11,'Dispensed Ink Rates'!C:C,'Dispensed Ink Rates'!CS:CS),VLOOKUP(GV11,'Jan-2026 rates'!$E:$F,2,0)))</f>
        <v>0</v>
      </c>
      <c r="HG11" s="409"/>
      <c r="HH11" s="398">
        <f>IF(HG11=0,0,IF(LEN(GW11)=11,_xlfn.XLOOKUP(GW11,'Dispensed Ink Rates'!C:C,'Dispensed Ink Rates'!CS:CS),VLOOKUP(GW11,'Jan-2026 rates'!$E:$F,2,0)))</f>
        <v>0</v>
      </c>
      <c r="HI11" s="409"/>
      <c r="HJ11" s="398">
        <f>IF(HI11=0,0,IF(LEN(GX11)=11,_xlfn.XLOOKUP(GX11,'Dispensed Ink Rates'!C:C,'Dispensed Ink Rates'!CS:CS),VLOOKUP(GX11,'Jan-2026 rates'!$E:$F,2,0)))</f>
        <v>0</v>
      </c>
      <c r="HK11" s="409"/>
      <c r="HL11" s="398">
        <f>IF(HK11=0,0,IF(LEN(GY11)=11,_xlfn.XLOOKUP(GY11,'Dispensed Ink Rates'!C:C,'Dispensed Ink Rates'!CS:CS),VLOOKUP(GY11,'Jan-2026 rates'!$E:$F,2,0)))</f>
        <v>0</v>
      </c>
      <c r="HM11" s="409"/>
      <c r="HN11" s="398">
        <f>IF(HM11=0,0,IF(LEN(GZ11)=11,_xlfn.XLOOKUP(GZ11,'Dispensed Ink Rates'!C:C,'Dispensed Ink Rates'!CS:CS),VLOOKUP(GZ11,'Jan-2026 rates'!$E:$F,2,0)))</f>
        <v>0</v>
      </c>
      <c r="HO11" s="409"/>
      <c r="HP11" s="398">
        <f>IF(HO11=0,0,IF(LEN(HA11)=11,_xlfn.XLOOKUP(HA11,'Dispensed Ink Rates'!C:C,'Dispensed Ink Rates'!CS:CS),VLOOKUP(HA11,'Jan-2026 rates'!$E:$F,2,0)))</f>
        <v>0</v>
      </c>
      <c r="HQ11" s="409"/>
      <c r="HR11" s="398">
        <f>IF(HQ11=0,0,IF(LEN(HB11)=11,_xlfn.XLOOKUP(HB11,'Dispensed Ink Rates'!C:C,'Dispensed Ink Rates'!CS:CS),VLOOKUP(HB11,'Jan-2026 rates'!$E:$F,2,0)))</f>
        <v>0</v>
      </c>
      <c r="HS11" s="409" t="s">
        <v>1881</v>
      </c>
      <c r="HT11" s="409">
        <v>25</v>
      </c>
      <c r="HU11" s="411">
        <f t="shared" si="21"/>
        <v>0</v>
      </c>
      <c r="HV11" s="411">
        <f t="shared" si="22"/>
        <v>5.68</v>
      </c>
      <c r="HW11" s="414">
        <f t="shared" si="23"/>
        <v>0</v>
      </c>
      <c r="HX11" s="405" t="s">
        <v>856</v>
      </c>
      <c r="HY11" s="409" t="s">
        <v>2591</v>
      </c>
      <c r="HZ11" s="420" t="str">
        <f t="shared" si="24"/>
        <v>ToyoLi - WHITE</v>
      </c>
      <c r="IA11" s="409">
        <v>30</v>
      </c>
      <c r="IB11" s="411">
        <f>IF(IA11=0,0,IF($LB11=70%,VLOOKUP($HZ11,'Jan-2026 rates'!$L:$R,4,0),IF($LB11=65%,VLOOKUP($HZ11,'Jan-2026 rates'!$L:$R,4,0),IF($LB11=40%,VLOOKUP($HZ11,'Jan-2026 rates'!$L:$R,5,0),IF($LB11=30%,VLOOKUP($HZ11,'Jan-2026 rates'!$L:$R,6,0),IF($LB11=100%,VLOOKUP($HZ11,'Jan-2026 rates'!$L:$R,7,0),IF($LB11=60%,VLOOKUP($HZ11,'Jan-2026 rates'!$L:$S,8,0),IF($LB11=80%,VLOOKUP($HZ11,'Jan-2026 rates'!L:T,9,0),0))))))))</f>
        <v>0</v>
      </c>
      <c r="IC11" s="412"/>
      <c r="ID11" s="409"/>
      <c r="IE11" s="411">
        <f>IF(ID11=0,0,IF($LB11=70%,VLOOKUP($HZ11,'Jan-2026 rates'!$L:$R,4,0),IF($LB11=65%,VLOOKUP($HZ11,'Jan-2026 rates'!$L:$R,4,0),IF($LB11=40%,VLOOKUP($HZ11,'Jan-2026 rates'!$L:$R,5,0),IF($LB11=30%,VLOOKUP($HZ11,'Jan-2026 rates'!$L:$R,6,0),IF($LB11=100%,VLOOKUP($HZ11,'Jan-2026 rates'!$L:$R,7,0),IF($LB11=60%,VLOOKUP($HZ11,'Jan-2026 rates'!$L:$S,8,0),IF($LB11=80%,VLOOKUP($HZ11,'Jan-2026 rates'!L:T,9,0),0))))))))</f>
        <v>0</v>
      </c>
      <c r="IF11" s="412" t="s">
        <v>1249</v>
      </c>
      <c r="IG11" s="413" t="s">
        <v>1122</v>
      </c>
      <c r="IH11" s="412"/>
      <c r="II11" s="412"/>
      <c r="IJ11" s="412"/>
      <c r="IK11" s="412"/>
      <c r="IL11" s="412"/>
      <c r="IM11" s="412"/>
      <c r="IN11" s="409">
        <v>20</v>
      </c>
      <c r="IO11" s="398">
        <f>IF(IN11=0,0,IF(LEN(IF11)=11,_xlfn.XLOOKUP(IF11,'Dispensed Ink Rates'!C:C,'Dispensed Ink Rates'!CS:CS),VLOOKUP(IF11,'Jan-2026 rates'!$E:$F,2,0)))</f>
        <v>0</v>
      </c>
      <c r="IP11" s="409">
        <v>3.93</v>
      </c>
      <c r="IQ11" s="398">
        <f>IF(IP11=0,0,IF(LEN(IG11)=11,_xlfn.XLOOKUP(IG11,'Dispensed Ink Rates'!C:C,'Dispensed Ink Rates'!CS:CS),VLOOKUP(IG11,'Jan-2026 rates'!$E:$F,2,0)))</f>
        <v>0</v>
      </c>
      <c r="IR11" s="409"/>
      <c r="IS11" s="398">
        <f>IF(IR11=0,0,IF(LEN(IH11)=11,_xlfn.XLOOKUP(IH11,'Dispensed Ink Rates'!C:C,'Dispensed Ink Rates'!CS:CS),VLOOKUP(IH11,'Jan-2026 rates'!$E:$F,2,0)))</f>
        <v>0</v>
      </c>
      <c r="IT11" s="409"/>
      <c r="IU11" s="398">
        <f>IF(IT11=0,0,IF(LEN(II11)=11,_xlfn.XLOOKUP(II11,'Dispensed Ink Rates'!C:C,'Dispensed Ink Rates'!CS:CS),VLOOKUP(II11,'Jan-2026 rates'!$E:$F,2,0)))</f>
        <v>0</v>
      </c>
      <c r="IV11" s="409"/>
      <c r="IW11" s="398">
        <f>IF(IV11=0,0,IF(LEN(IJ11)=11,_xlfn.XLOOKUP(IJ11,'Dispensed Ink Rates'!C:C,'Dispensed Ink Rates'!CS:CS),VLOOKUP(IJ11,'Jan-2026 rates'!$E:$F,2,0)))</f>
        <v>0</v>
      </c>
      <c r="IX11" s="409"/>
      <c r="IY11" s="398">
        <f>IF(IX11=0,0,IF(LEN(IK11)=11,_xlfn.XLOOKUP(IK11,'Dispensed Ink Rates'!C:C,'Dispensed Ink Rates'!CS:CS),VLOOKUP(IK11,'Jan-2026 rates'!$E:$F,2,0)))</f>
        <v>0</v>
      </c>
      <c r="IZ11" s="409"/>
      <c r="JA11" s="398">
        <f>IF(IZ11=0,0,IF(LEN(IL11)=11,_xlfn.XLOOKUP(IL11,'Dispensed Ink Rates'!C:C,'Dispensed Ink Rates'!CS:CS),VLOOKUP(IL11,'Jan-2026 rates'!$E:$F,2,0)))</f>
        <v>0</v>
      </c>
      <c r="JB11" s="409"/>
      <c r="JC11" s="398">
        <f>IF(JB11=0,0,IF(LEN(IM11)=11,_xlfn.XLOOKUP(IM11,'Dispensed Ink Rates'!C:C,'Dispensed Ink Rates'!CS:CS),VLOOKUP(IM11,'Jan-2026 rates'!$E:$F,2,0)))</f>
        <v>0</v>
      </c>
      <c r="JD11" s="409" t="s">
        <v>1881</v>
      </c>
      <c r="JE11" s="409">
        <v>28</v>
      </c>
      <c r="JF11" s="411">
        <f t="shared" si="25"/>
        <v>0</v>
      </c>
      <c r="JG11" s="411">
        <f t="shared" si="26"/>
        <v>44.33</v>
      </c>
      <c r="JH11" s="410">
        <f t="shared" si="27"/>
        <v>0</v>
      </c>
      <c r="JI11" s="405"/>
      <c r="JJ11" s="409"/>
      <c r="JK11" s="420" t="str">
        <f t="shared" si="28"/>
        <v xml:space="preserve"> - </v>
      </c>
      <c r="JL11" s="409"/>
      <c r="JM11" s="411">
        <f>IF(JL11=0,0,IF($LB11=70%,VLOOKUP($JK11,'Jan-2026 rates'!$L:$R,4,0),IF($LB11=65%,VLOOKUP($JK11,'Jan-2026 rates'!$L:$R,4,0),IF($LB11=40%,VLOOKUP($JK11,'Jan-2026 rates'!$L:$R,5,0),IF($LB11=30%,VLOOKUP($JK11,'Jan-2026 rates'!$L:$R,6,0),IF($LB11=100%,VLOOKUP($JK11,'Jan-2026 rates'!$L:$R,7,0),IF($LB11=60%,VLOOKUP($JK11,'Jan-2026 rates'!$L:$S,8,0),IF($LB11=80%,VLOOKUP($JK11,'Jan-2026 rates'!L:T,9,0),0))))))))</f>
        <v>0</v>
      </c>
      <c r="JN11" s="412"/>
      <c r="JO11" s="409"/>
      <c r="JP11" s="411">
        <f>IF(JO11=0,0,IF($LB11=70%,VLOOKUP($JK11,'Jan-2026 rates'!$L:$R,4,0),IF($LB11=65%,VLOOKUP($JK11,'Jan-2026 rates'!$L:$R,4,0),IF($LB11=40%,VLOOKUP($JK11,'Jan-2026 rates'!$L:$R,5,0),IF($LB11=30%,VLOOKUP($JK11,'Jan-2026 rates'!$L:$R,6,0),IF($LB11=100%,VLOOKUP($JK11,'Jan-2026 rates'!$L:$R,7,0),IF($LB11=60%,VLOOKUP($JK11,'Jan-2026 rates'!$L:$S,8,0),IF($LB11=80%,VLOOKUP($JK11,'Jan-2026 rates'!L:T,9,0),0))))))))</f>
        <v>0</v>
      </c>
      <c r="JQ11" s="413"/>
      <c r="JR11" s="412"/>
      <c r="JS11" s="413"/>
      <c r="JT11" s="413"/>
      <c r="JU11" s="412"/>
      <c r="JV11" s="412"/>
      <c r="JW11" s="412"/>
      <c r="JX11" s="412"/>
      <c r="JY11" s="409"/>
      <c r="JZ11" s="398">
        <f>IF(JY11=0,0,IF(LEN(JQ11)=11,_xlfn.XLOOKUP(JQ11,'Dispensed Ink Rates'!C:C,'Dispensed Ink Rates'!CS:CS),VLOOKUP(JQ11,'Jan-2026 rates'!$E:$F,2,0)))</f>
        <v>0</v>
      </c>
      <c r="KA11" s="409"/>
      <c r="KB11" s="398">
        <f>IF(KA11=0,0,IF(LEN(JR11)=11,_xlfn.XLOOKUP(JR11,'Dispensed Ink Rates'!C:C,'Dispensed Ink Rates'!CS:CS),VLOOKUP(JR11,'Jan-2026 rates'!$E:$F,2,0)))</f>
        <v>0</v>
      </c>
      <c r="KC11" s="409"/>
      <c r="KD11" s="398">
        <f>IF(KC11=0,0,IF(LEN(JS11)=11,_xlfn.XLOOKUP(JS11,'Dispensed Ink Rates'!C:C,'Dispensed Ink Rates'!CS:CS),VLOOKUP(JS11,'Jan-2026 rates'!$E:$F,2,0)))</f>
        <v>0</v>
      </c>
      <c r="KE11" s="409"/>
      <c r="KF11" s="398">
        <f>IF(KE11=0,0,IF(LEN(JT11)=11,_xlfn.XLOOKUP(JT11,'Dispensed Ink Rates'!C:C,'Dispensed Ink Rates'!CS:CS),VLOOKUP(JT11,'Jan-2026 rates'!$E:$F,2,0)))</f>
        <v>0</v>
      </c>
      <c r="KG11" s="409"/>
      <c r="KH11" s="398">
        <f>IF(KG11=0,0,IF(LEN(JU11)=11,_xlfn.XLOOKUP(JU11,'Dispensed Ink Rates'!C:C,'Dispensed Ink Rates'!CS:CS),VLOOKUP(JU11,'Jan-2026 rates'!$E:$F,2,0)))</f>
        <v>0</v>
      </c>
      <c r="KI11" s="409"/>
      <c r="KJ11" s="398">
        <f>IF(KI11=0,0,IF(LEN(JV11)=11,_xlfn.XLOOKUP(JV11,'Dispensed Ink Rates'!C:C,'Dispensed Ink Rates'!CS:CS),VLOOKUP(JV11,'Jan-2026 rates'!$E:$F,2,0)))</f>
        <v>0</v>
      </c>
      <c r="KK11" s="409"/>
      <c r="KL11" s="398">
        <f>IF(KK11=0,0,IF(LEN(JW11)=11,_xlfn.XLOOKUP(JW11,'Dispensed Ink Rates'!C:C,'Dispensed Ink Rates'!CS:CS),VLOOKUP(JW11,'Jan-2026 rates'!$E:$F,2,0)))</f>
        <v>0</v>
      </c>
      <c r="KM11" s="428"/>
      <c r="KN11" s="398">
        <f>IF(KM11=0,0,IF(LEN(JX11)=11,_xlfn.XLOOKUP(JX11,'Dispensed Ink Rates'!C:C,'Dispensed Ink Rates'!CS:CS),VLOOKUP(JX11,'Jan-2026 rates'!$E:$F,2,0)))</f>
        <v>0</v>
      </c>
      <c r="KO11" s="409"/>
      <c r="KP11" s="409"/>
      <c r="KQ11" s="411">
        <f t="shared" si="29"/>
        <v>0</v>
      </c>
      <c r="KR11" s="411">
        <f t="shared" si="30"/>
        <v>0</v>
      </c>
      <c r="KS11" s="410">
        <f t="shared" si="31"/>
        <v>0</v>
      </c>
      <c r="KT11" s="409">
        <v>0</v>
      </c>
      <c r="KU11" s="409">
        <v>5</v>
      </c>
      <c r="KV11" s="409">
        <v>2</v>
      </c>
      <c r="KW11" s="409">
        <v>3</v>
      </c>
      <c r="KX11" s="409">
        <v>3</v>
      </c>
      <c r="KY11" s="409">
        <v>2</v>
      </c>
      <c r="KZ11" s="409">
        <v>10</v>
      </c>
      <c r="LA11" s="409">
        <v>0</v>
      </c>
      <c r="LB11" s="415">
        <v>0.3</v>
      </c>
      <c r="LC11" s="415"/>
      <c r="LD11" s="415"/>
      <c r="LE11" s="415">
        <v>0.5</v>
      </c>
      <c r="LF11" s="415">
        <v>0.2</v>
      </c>
      <c r="LG11" s="409">
        <v>0</v>
      </c>
      <c r="LH11" s="409">
        <f>10+10+6+10+6+4</f>
        <v>46</v>
      </c>
      <c r="LI11" s="409">
        <v>0</v>
      </c>
      <c r="LJ11" s="409">
        <v>0</v>
      </c>
      <c r="LK11" s="416">
        <f t="shared" si="32"/>
        <v>46</v>
      </c>
      <c r="LL11" s="416">
        <f t="shared" si="33"/>
        <v>46</v>
      </c>
      <c r="LM11" s="417">
        <f t="shared" si="34"/>
        <v>13.799999999999999</v>
      </c>
      <c r="LN11" s="417">
        <f>VLOOKUP($LM$8,'Jan-2026 rates'!$H:$I,2,0)</f>
        <v>0</v>
      </c>
      <c r="LO11" s="417">
        <f t="shared" si="35"/>
        <v>0</v>
      </c>
      <c r="LP11" s="417">
        <f>VLOOKUP($LO$8,'Jan-2026 rates'!$H:$I,2,0)</f>
        <v>0</v>
      </c>
      <c r="LQ11" s="417">
        <f t="shared" si="36"/>
        <v>0</v>
      </c>
      <c r="LR11" s="417">
        <f>VLOOKUP($LQ$8,'Jan-2026 rates'!$H:$I,2,0)</f>
        <v>0</v>
      </c>
      <c r="LS11" s="417">
        <f t="shared" si="37"/>
        <v>23</v>
      </c>
      <c r="LT11" s="417">
        <f>VLOOKUP($LS$8,'Jan-2026 rates'!$H:$I,2,0)</f>
        <v>0</v>
      </c>
      <c r="LU11" s="417">
        <f t="shared" si="38"/>
        <v>9.2000000000000011</v>
      </c>
      <c r="LV11" s="417">
        <f>VLOOKUP($LU$8,'Jan-2026 rates'!$H:$I,2,0)</f>
        <v>0</v>
      </c>
      <c r="LW11" s="417">
        <f t="shared" si="39"/>
        <v>0</v>
      </c>
      <c r="LX11" s="417">
        <f t="shared" si="40"/>
        <v>0</v>
      </c>
      <c r="LY11" s="418">
        <f t="shared" si="41"/>
        <v>0</v>
      </c>
      <c r="LZ11" s="417"/>
      <c r="MA11" s="435">
        <f t="shared" si="42"/>
        <v>43.93</v>
      </c>
      <c r="MB11" s="282">
        <f t="shared" si="43"/>
        <v>73.929999999999993</v>
      </c>
      <c r="MC11" s="283" t="s">
        <v>1940</v>
      </c>
      <c r="MD11" s="284" t="str">
        <f t="shared" si="44"/>
        <v>ToyoLiToyoLiToyoLiToyoLiToyoLiToyoLiToyoLi</v>
      </c>
      <c r="ME11" s="293" t="str">
        <f t="shared" si="45"/>
        <v>+</v>
      </c>
      <c r="MF11" s="293" t="str">
        <f t="shared" si="46"/>
        <v>+</v>
      </c>
      <c r="MG11" s="293" t="str">
        <f t="shared" si="47"/>
        <v>+</v>
      </c>
      <c r="MH11" s="293" t="str">
        <f t="shared" si="48"/>
        <v>+</v>
      </c>
      <c r="MI11" s="293" t="str">
        <f t="shared" si="49"/>
        <v>+</v>
      </c>
      <c r="MJ11" s="293" t="str">
        <f t="shared" si="50"/>
        <v>+</v>
      </c>
      <c r="MK11" s="293" t="str">
        <f t="shared" si="51"/>
        <v>+</v>
      </c>
      <c r="ML11" s="293" t="str">
        <f t="shared" si="52"/>
        <v>NIL</v>
      </c>
      <c r="MM11" s="3" t="b">
        <f t="array" ref="MM11">OR(ME11:ML11="-")</f>
        <v>0</v>
      </c>
      <c r="MN11" s="285"/>
      <c r="MO11" s="401"/>
      <c r="MP11" s="286"/>
      <c r="MQ11" s="286"/>
      <c r="MR11" s="402"/>
      <c r="MS11" s="400"/>
      <c r="NH11" s="422"/>
      <c r="NJ11" s="421"/>
    </row>
    <row r="12" spans="1:374" s="1" customFormat="1" ht="16.5">
      <c r="A12" s="403">
        <v>46024</v>
      </c>
      <c r="B12" s="404" t="s">
        <v>1015</v>
      </c>
      <c r="C12" s="405" t="s">
        <v>2592</v>
      </c>
      <c r="D12" s="406" t="s">
        <v>1941</v>
      </c>
      <c r="E12" s="404">
        <v>134</v>
      </c>
      <c r="F12" s="407">
        <v>7700</v>
      </c>
      <c r="G12" s="407" t="s">
        <v>1016</v>
      </c>
      <c r="H12" s="408" t="s">
        <v>1017</v>
      </c>
      <c r="I12" s="409">
        <f>2.1+0.9</f>
        <v>3</v>
      </c>
      <c r="J12" s="405" t="s">
        <v>543</v>
      </c>
      <c r="K12" s="404" t="s">
        <v>2593</v>
      </c>
      <c r="L12" s="419" t="str">
        <f t="shared" si="0"/>
        <v>ToyoLi - BLACK</v>
      </c>
      <c r="M12" s="404">
        <v>29</v>
      </c>
      <c r="N12" s="410">
        <f>IF(M12=0,0,IF($LB12=70%,VLOOKUP($L12,'Jan-2026 rates'!$L:$R,4,0),IF($LB12=65%,VLOOKUP($L12,'Jan-2026 rates'!$L:$R,4,0),IF($LB12=40%,VLOOKUP($L12,'Jan-2026 rates'!$L:$R,5,0),IF($LB12=30%,VLOOKUP($L12,'Jan-2026 rates'!$L:$R,6,0),IF($LB12=100%,VLOOKUP($L12,'Jan-2026 rates'!$L:$R,7,0),IF($LB12=60%,VLOOKUP($L12,'Jan-2026 rates'!$L:$S,8,0),IF($LB12=80%,VLOOKUP($L12,'Jan-2026 rates'!L:T,9,0),0))))))))</f>
        <v>0</v>
      </c>
      <c r="O12" s="406"/>
      <c r="P12" s="404"/>
      <c r="Q12" s="410">
        <f>IF(P12=0,0,IF($LB12=70%,VLOOKUP($L12,'Jan-2026 rates'!$L:$R,4,0),IF($LB12=65%,VLOOKUP($L12,'Jan-2026 rates'!$L:$R,4,0),IF($LB12=40%,VLOOKUP($L12,'Jan-2026 rates'!$L:$R,5,0),IF($LB12=30%,VLOOKUP($L12,'Jan-2026 rates'!$L:$R,6,0),IF($LB12=100%,VLOOKUP($L12,'Jan-2026 rates'!$L:$R,7,0),IF($LB12=60%,VLOOKUP($L12,'Jan-2026 rates'!$L:$S,8,0),IF($LB12=80%,VLOOKUP($L12,'Jan-2026 rates'!L:T,9,0),0))))))))</f>
        <v>0</v>
      </c>
      <c r="R12" s="406" t="s">
        <v>1252</v>
      </c>
      <c r="S12" s="406"/>
      <c r="T12" s="406"/>
      <c r="U12" s="406"/>
      <c r="V12" s="406"/>
      <c r="W12" s="406"/>
      <c r="X12" s="406"/>
      <c r="Y12" s="406"/>
      <c r="Z12" s="404">
        <v>1</v>
      </c>
      <c r="AA12" s="398">
        <f>IF(Z12=0,0,IF(LEN(R12)=11,_xlfn.XLOOKUP(R12,'Dispensed Ink Rates'!C:C,'Dispensed Ink Rates'!CS:CS),VLOOKUP(R12,'Jan-2026 rates'!$E:$F,2,0)))</f>
        <v>0</v>
      </c>
      <c r="AB12" s="404"/>
      <c r="AC12" s="398">
        <f>IF(AB12=0,0,IF(LEN(S12)=11,_xlfn.XLOOKUP(S12,'Dispensed Ink Rates'!C:C,'Dispensed Ink Rates'!CS:CS),VLOOKUP(S12,'Jan-2026 rates'!$E:$F,2,0)))</f>
        <v>0</v>
      </c>
      <c r="AD12" s="404"/>
      <c r="AE12" s="398">
        <f>IF(AD12=0,0,IF(LEN(T12)=11,_xlfn.XLOOKUP(T12,'Dispensed Ink Rates'!C:C,'Dispensed Ink Rates'!CS:CS),VLOOKUP(T12,'Jan-2026 rates'!$E:$F,2,0)))</f>
        <v>0</v>
      </c>
      <c r="AF12" s="404"/>
      <c r="AG12" s="398">
        <f>IF(AF12=0,0,IF(LEN(U12)=11,_xlfn.XLOOKUP(U12,'Dispensed Ink Rates'!C:C,'Dispensed Ink Rates'!CS:CS),VLOOKUP(U12,'Jan-2026 rates'!$E:$F,2,0)))</f>
        <v>0</v>
      </c>
      <c r="AH12" s="404"/>
      <c r="AI12" s="398">
        <f>IF(AH12=0,0,IF(LEN(V12)=11,_xlfn.XLOOKUP(V12,'Dispensed Ink Rates'!C:C,'Dispensed Ink Rates'!CS:CS),VLOOKUP(V12,'Jan-2026 rates'!$E:$F,2,0)))</f>
        <v>0</v>
      </c>
      <c r="AJ12" s="404"/>
      <c r="AK12" s="398">
        <f>IF(AJ12=0,0,IF(LEN(W12)=11,_xlfn.XLOOKUP(W12,'Dispensed Ink Rates'!C:C,'Dispensed Ink Rates'!CS:CS),VLOOKUP(W12,'Jan-2026 rates'!$E:$F,2,0)))</f>
        <v>0</v>
      </c>
      <c r="AL12" s="404"/>
      <c r="AM12" s="398">
        <f>IF(AL12=0,0,IF(LEN(X12)=11,_xlfn.XLOOKUP(X12,'Dispensed Ink Rates'!C:C,'Dispensed Ink Rates'!CS:CS),VLOOKUP(X12,'Jan-2026 rates'!$E:$F,2,0)))</f>
        <v>0</v>
      </c>
      <c r="AN12" s="404"/>
      <c r="AO12" s="398">
        <f>IF(AN12=0,0,IF(LEN(Y12)=11,_xlfn.XLOOKUP(Y12,'Dispensed Ink Rates'!C:C,'Dispensed Ink Rates'!CS:CS),VLOOKUP(Y12,'Jan-2026 rates'!$E:$F,2,0)))</f>
        <v>0</v>
      </c>
      <c r="AP12" s="409" t="s">
        <v>1881</v>
      </c>
      <c r="AQ12" s="409">
        <v>28</v>
      </c>
      <c r="AR12" s="410">
        <f t="shared" si="1"/>
        <v>0</v>
      </c>
      <c r="AS12" s="411">
        <f t="shared" si="2"/>
        <v>2</v>
      </c>
      <c r="AT12" s="410">
        <f t="shared" si="3"/>
        <v>0</v>
      </c>
      <c r="AU12" s="405" t="s">
        <v>546</v>
      </c>
      <c r="AV12" s="409" t="s">
        <v>2594</v>
      </c>
      <c r="AW12" s="420" t="str">
        <f t="shared" si="4"/>
        <v>ToyoLi - REFLEX BLUE</v>
      </c>
      <c r="AX12" s="409">
        <v>15</v>
      </c>
      <c r="AY12" s="411">
        <f>IF(AX12=0,0,IF($LB12=70%,VLOOKUP($AW12,'Jan-2026 rates'!$L:$R,4,0),IF($LB12=65%,VLOOKUP($AW12,'Jan-2026 rates'!$L:$R,4,0),IF($LB12=40%,VLOOKUP($AW12,'Jan-2026 rates'!$L:$R,5,0),IF($LB12=30%,VLOOKUP($AW12,'Jan-2026 rates'!$L:$R,6,0),IF($LB12=100%,VLOOKUP($AW12,'Jan-2026 rates'!$L:$R,7,0),IF($LB12=60%,VLOOKUP($AW12,'Jan-2026 rates'!$L:$S,8,0),IF($LB12=80%,VLOOKUP($AW12,'Jan-2026 rates'!L:T,9,0),0))))))))</f>
        <v>0</v>
      </c>
      <c r="AZ12" s="412" t="s">
        <v>2595</v>
      </c>
      <c r="BA12" s="409">
        <v>14</v>
      </c>
      <c r="BB12" s="411">
        <f>IF(BA12=0,0,IF($LB12=70%,VLOOKUP($AW12,'Jan-2026 rates'!$L:$R,4,0),IF($LB12=65%,VLOOKUP($AW12,'Jan-2026 rates'!$L:$R,4,0),IF($LB12=40%,VLOOKUP($AW12,'Jan-2026 rates'!$L:$R,5,0),IF($LB12=30%,VLOOKUP($AW12,'Jan-2026 rates'!$L:$R,6,0),IF($LB12=100%,VLOOKUP($AW12,'Jan-2026 rates'!$L:$R,7,0),IF($LB12=60%,VLOOKUP($AW12,'Jan-2026 rates'!$L:$S,8,0),IF($LB12=80%,VLOOKUP($AW12,'Jan-2026 rates'!L:T,9,0),0))))))))</f>
        <v>0</v>
      </c>
      <c r="BC12" s="413" t="s">
        <v>1880</v>
      </c>
      <c r="BD12" s="412" t="s">
        <v>1585</v>
      </c>
      <c r="BE12" s="412"/>
      <c r="BF12" s="413"/>
      <c r="BG12" s="412"/>
      <c r="BH12" s="412"/>
      <c r="BI12" s="412"/>
      <c r="BJ12" s="412"/>
      <c r="BK12" s="409">
        <v>2</v>
      </c>
      <c r="BL12" s="398">
        <f>IF(BK12=0,0,IF(LEN(BC12)=11,_xlfn.XLOOKUP(BC12,'Dispensed Ink Rates'!C:C,'Dispensed Ink Rates'!CS:CS),VLOOKUP(BC12,'Jan-2026 rates'!$E:$F,2,0)))</f>
        <v>0</v>
      </c>
      <c r="BM12" s="409">
        <v>5</v>
      </c>
      <c r="BN12" s="398">
        <f>IF(BM12=0,0,IF(LEN(BD12)=11,_xlfn.XLOOKUP(BD12,'Dispensed Ink Rates'!C:C,'Dispensed Ink Rates'!CS:CS),VLOOKUP(BD12,'Jan-2026 rates'!$E:$F,2,0)))</f>
        <v>0</v>
      </c>
      <c r="BO12" s="409"/>
      <c r="BP12" s="398">
        <f>IF(BO12=0,0,IF(LEN(BE12)=11,_xlfn.XLOOKUP(BE12,'Dispensed Ink Rates'!C:C,'Dispensed Ink Rates'!CS:CS),VLOOKUP(BE12,'Jan-2026 rates'!$E:$F,2,0)))</f>
        <v>0</v>
      </c>
      <c r="BQ12" s="409"/>
      <c r="BR12" s="398">
        <f>IF(BQ12=0,0,IF(LEN(BF12)=11,_xlfn.XLOOKUP(BF12,'Dispensed Ink Rates'!C:C,'Dispensed Ink Rates'!CS:CS),VLOOKUP(BF12,'Jan-2026 rates'!$E:$F,2,0)))</f>
        <v>0</v>
      </c>
      <c r="BS12" s="409"/>
      <c r="BT12" s="398">
        <f>IF(BS12=0,0,IF(LEN(BG12)=11,_xlfn.XLOOKUP(BG12,'Dispensed Ink Rates'!C:C,'Dispensed Ink Rates'!CS:CS),VLOOKUP(BG12,'Jan-2026 rates'!$E:$F,2,0)))</f>
        <v>0</v>
      </c>
      <c r="BU12" s="409"/>
      <c r="BV12" s="398">
        <f>IF(BU12=0,0,IF(LEN(BH12)=11,_xlfn.XLOOKUP(BH12,'Dispensed Ink Rates'!C:C,'Dispensed Ink Rates'!CS:CS),VLOOKUP(BH12,'Jan-2026 rates'!$E:$F,2,0)))</f>
        <v>0</v>
      </c>
      <c r="BW12" s="409"/>
      <c r="BX12" s="398">
        <f>IF(BW12=0,0,IF(LEN(BI12)=11,_xlfn.XLOOKUP(BI12,'Dispensed Ink Rates'!C:C,'Dispensed Ink Rates'!CS:CS),VLOOKUP(BI12,'Jan-2026 rates'!$E:$F,2,0)))</f>
        <v>0</v>
      </c>
      <c r="BY12" s="409"/>
      <c r="BZ12" s="398">
        <f>IF(BY12=0,0,IF(LEN(BJ12)=11,_xlfn.XLOOKUP(BJ12,'Dispensed Ink Rates'!C:C,'Dispensed Ink Rates'!CS:CS),VLOOKUP(BJ12,'Jan-2026 rates'!$E:$F,2,0)))</f>
        <v>0</v>
      </c>
      <c r="CA12" s="409" t="s">
        <v>1881</v>
      </c>
      <c r="CB12" s="409">
        <v>22</v>
      </c>
      <c r="CC12" s="411">
        <f t="shared" si="5"/>
        <v>0</v>
      </c>
      <c r="CD12" s="411">
        <f t="shared" si="6"/>
        <v>21.309090909090912</v>
      </c>
      <c r="CE12" s="410">
        <f t="shared" si="7"/>
        <v>0</v>
      </c>
      <c r="CF12" s="404" t="s">
        <v>857</v>
      </c>
      <c r="CG12" s="409" t="s">
        <v>2596</v>
      </c>
      <c r="CH12" s="420" t="str">
        <f t="shared" si="8"/>
        <v>ToyoLi - RED</v>
      </c>
      <c r="CI12" s="409">
        <f>15+16</f>
        <v>31</v>
      </c>
      <c r="CJ12" s="411">
        <f>IF(CI12=0,0,IF($LB12=70%,VLOOKUP($CH12,'Jan-2026 rates'!$L:$R,4,0),IF($LB12=65%,VLOOKUP($CH12,'Jan-2026 rates'!$L:$R,4,0),IF($LB12=40%,VLOOKUP($CH12,'Jan-2026 rates'!$L:$R,5,0),IF($LB12=30%,VLOOKUP($CH12,'Jan-2026 rates'!$L:$R,6,0),IF($LB12=100%,VLOOKUP($CH12,'Jan-2026 rates'!$L:$R,7,0),IF($LB12=60%,VLOOKUP($CH12,'Jan-2026 rates'!$L:$S,8,0),IF($LB12=80%,VLOOKUP($CH12,'Jan-2026 rates'!L:T,9,0),0))))))))</f>
        <v>0</v>
      </c>
      <c r="CK12" s="412"/>
      <c r="CL12" s="409"/>
      <c r="CM12" s="411">
        <f>IF(CL12=0,0,IF($LB12=70%,VLOOKUP($CH12,'Jan-2026 rates'!$L:$R,4,0),IF($LB12=65%,VLOOKUP($CH12,'Jan-2026 rates'!$L:$R,4,0),IF($LB12=40%,VLOOKUP($CH12,'Jan-2026 rates'!$L:$R,5,0),IF($LB12=30%,VLOOKUP($CH12,'Jan-2026 rates'!$L:$R,6,0),IF($LB12=100%,VLOOKUP($CH12,'Jan-2026 rates'!$L:$R,7,0),IF($LB12=60%,VLOOKUP($CH12,'Jan-2026 rates'!$L:$S,8,0),IF($LB12=80%,VLOOKUP($CH12,'Jan-2026 rates'!L:T,9,0),0))))))))</f>
        <v>0</v>
      </c>
      <c r="CN12" s="426" t="s">
        <v>1248</v>
      </c>
      <c r="CO12" s="427"/>
      <c r="CP12" s="426"/>
      <c r="CQ12" s="426"/>
      <c r="CR12" s="428"/>
      <c r="CS12" s="428"/>
      <c r="CT12" s="428"/>
      <c r="CU12" s="428"/>
      <c r="CV12" s="409">
        <v>3</v>
      </c>
      <c r="CW12" s="398">
        <f>IF(CV12=0,0,IF(LEN(CN12)=11,_xlfn.XLOOKUP(CN12,'Dispensed Ink Rates'!C:C,'Dispensed Ink Rates'!CS:CS),VLOOKUP(CN12,'Jan-2026 rates'!$E:$F,2,0)))</f>
        <v>0</v>
      </c>
      <c r="CX12" s="409"/>
      <c r="CY12" s="398">
        <f>IF(CX12=0,0,IF(LEN(CO12)=11,_xlfn.XLOOKUP(CO12,'Dispensed Ink Rates'!C:C,'Dispensed Ink Rates'!CS:CS),VLOOKUP(CO12,'Jan-2026 rates'!$E:$F,2,0)))</f>
        <v>0</v>
      </c>
      <c r="CZ12" s="409"/>
      <c r="DA12" s="398">
        <f>IF(CZ12=0,0,IF(LEN(CP12)=11,_xlfn.XLOOKUP(CP12,'Dispensed Ink Rates'!C:C,'Dispensed Ink Rates'!CS:CS),VLOOKUP(CP12,'Jan-2026 rates'!$E:$F,2,0)))</f>
        <v>0</v>
      </c>
      <c r="DB12" s="409"/>
      <c r="DC12" s="398">
        <f>IF(DB12=0,0,IF(LEN(CQ12)=11,_xlfn.XLOOKUP(CQ12,'Dispensed Ink Rates'!C:C,'Dispensed Ink Rates'!CS:CS),VLOOKUP(CQ12,'Jan-2026 rates'!$E:$F,2,0)))</f>
        <v>0</v>
      </c>
      <c r="DD12" s="409"/>
      <c r="DE12" s="398">
        <f>IF(DD12=0,0,IF(LEN(CR12)=11,_xlfn.XLOOKUP(CR12,'Dispensed Ink Rates'!C:C,'Dispensed Ink Rates'!CS:CS),VLOOKUP(CR12,'Jan-2026 rates'!$E:$F,2,0)))</f>
        <v>0</v>
      </c>
      <c r="DF12" s="409"/>
      <c r="DG12" s="398">
        <f>IF(DF12=0,0,IF(LEN(CS12)=11,_xlfn.XLOOKUP(CS12,'Dispensed Ink Rates'!C:C,'Dispensed Ink Rates'!CS:CS),VLOOKUP(CS12,'Jan-2026 rates'!$E:$F,2,0)))</f>
        <v>0</v>
      </c>
      <c r="DH12" s="409"/>
      <c r="DI12" s="398">
        <f>IF(DH12=0,0,IF(LEN(CT12)=11,_xlfn.XLOOKUP(CT12,'Dispensed Ink Rates'!C:C,'Dispensed Ink Rates'!CS:CS),VLOOKUP(CT12,'Jan-2026 rates'!$E:$F,2,0)))</f>
        <v>0</v>
      </c>
      <c r="DJ12" s="409"/>
      <c r="DK12" s="398">
        <f>IF(DJ12=0,0,IF(LEN(CU12)=11,_xlfn.XLOOKUP(CU12,'Dispensed Ink Rates'!C:C,'Dispensed Ink Rates'!CS:CS),VLOOKUP(CU12,'Jan-2026 rates'!$E:$F,2,0)))</f>
        <v>0</v>
      </c>
      <c r="DL12" s="409" t="s">
        <v>1881</v>
      </c>
      <c r="DM12" s="409">
        <v>30</v>
      </c>
      <c r="DN12" s="411">
        <f t="shared" si="9"/>
        <v>0</v>
      </c>
      <c r="DO12" s="411">
        <f t="shared" si="10"/>
        <v>4</v>
      </c>
      <c r="DP12" s="410">
        <f t="shared" si="11"/>
        <v>0</v>
      </c>
      <c r="DQ12" s="405" t="s">
        <v>855</v>
      </c>
      <c r="DR12" s="409" t="s">
        <v>2429</v>
      </c>
      <c r="DS12" s="420" t="str">
        <f t="shared" si="12"/>
        <v>ToyoLi - CYAN</v>
      </c>
      <c r="DT12" s="409">
        <v>16</v>
      </c>
      <c r="DU12" s="411">
        <f>IF(DT12=0,0,IF($LB12=70%,VLOOKUP($DS12,'Jan-2026 rates'!$L:$R,4,0),IF($LB12=65%,VLOOKUP($DS12,'Jan-2026 rates'!$L:$R,4,0),IF($LB12=40%,VLOOKUP($DS12,'Jan-2026 rates'!$L:$R,5,0),IF($LB12=30%,VLOOKUP($DS12,'Jan-2026 rates'!$L:$R,6,0),IF($LB12=100%,VLOOKUP($DS12,'Jan-2026 rates'!$L:$R,7,0),IF($LB12=60%,VLOOKUP($DS12,'Jan-2026 rates'!$L:$S,8,0),IF($LB12=80%,VLOOKUP($DS12,'Jan-2026 rates'!L:T,9,0),0))))))))</f>
        <v>0</v>
      </c>
      <c r="DV12" s="412"/>
      <c r="DW12" s="409"/>
      <c r="DX12" s="411">
        <f>IF(DW12=0,0,IF($LB12=70%,VLOOKUP($DS12,'Jan-2026 rates'!$L:$R,4,0),IF($LB12=65%,VLOOKUP($DS12,'Jan-2026 rates'!$L:$R,4,0),IF($LB12=40%,VLOOKUP($DS12,'Jan-2026 rates'!$L:$R,5,0),IF($LB12=30%,VLOOKUP($DS12,'Jan-2026 rates'!$L:$R,6,0),IF($LB12=100%,VLOOKUP($DS12,'Jan-2026 rates'!$L:$R,7,0),IF($LB12=60%,VLOOKUP($DS12,'Jan-2026 rates'!$L:$S,8,0),IF($LB12=80%,VLOOKUP($DS12,'Jan-2026 rates'!L:T,9,0),0))))))))</f>
        <v>0</v>
      </c>
      <c r="DY12" s="413" t="s">
        <v>1250</v>
      </c>
      <c r="DZ12" s="413"/>
      <c r="EA12" s="412"/>
      <c r="EB12" s="412"/>
      <c r="EC12" s="412"/>
      <c r="ED12" s="412"/>
      <c r="EE12" s="412"/>
      <c r="EF12" s="412"/>
      <c r="EG12" s="409">
        <v>10</v>
      </c>
      <c r="EH12" s="398">
        <f>IF(EG12=0,0,IF(LEN(DY12)=11,_xlfn.XLOOKUP(DY12,'Dispensed Ink Rates'!C:C,'Dispensed Ink Rates'!CS:CS),VLOOKUP(DY12,'Jan-2026 rates'!$E:$F,2,0)))</f>
        <v>0</v>
      </c>
      <c r="EI12" s="409"/>
      <c r="EJ12" s="398">
        <f>IF(EI12=0,0,IF(LEN(DZ12)=11,_xlfn.XLOOKUP(DZ12,'Dispensed Ink Rates'!C:C,'Dispensed Ink Rates'!CS:CS),VLOOKUP(DZ12,'Jan-2026 rates'!$E:$F,2,0)))</f>
        <v>0</v>
      </c>
      <c r="EK12" s="409"/>
      <c r="EL12" s="398">
        <f>IF(EK12=0,0,IF(LEN(EA12)=11,_xlfn.XLOOKUP(EA12,'Dispensed Ink Rates'!C:C,'Dispensed Ink Rates'!CS:CS),VLOOKUP(EA12,'Jan-2026 rates'!$E:$F,2,0)))</f>
        <v>0</v>
      </c>
      <c r="EM12" s="409"/>
      <c r="EN12" s="398">
        <f>IF(EM12=0,0,IF(LEN(EB12)=11,_xlfn.XLOOKUP(EB12,'Dispensed Ink Rates'!C:C,'Dispensed Ink Rates'!CS:CS),VLOOKUP(EB12,'Jan-2026 rates'!$E:$F,2,0)))</f>
        <v>0</v>
      </c>
      <c r="EO12" s="409"/>
      <c r="EP12" s="398">
        <f>IF(EO12=0,0,IF(LEN(EC12)=11,_xlfn.XLOOKUP(EC12,'Dispensed Ink Rates'!C:C,'Dispensed Ink Rates'!CS:CS),VLOOKUP(EC12,'Jan-2026 rates'!$E:$F,2,0)))</f>
        <v>0</v>
      </c>
      <c r="EQ12" s="409"/>
      <c r="ER12" s="398">
        <f>IF(EQ12=0,0,IF(LEN(ED12)=11,_xlfn.XLOOKUP(ED12,'Dispensed Ink Rates'!C:C,'Dispensed Ink Rates'!CS:CS),VLOOKUP(ED12,'Jan-2026 rates'!$E:$F,2,0)))</f>
        <v>0</v>
      </c>
      <c r="ES12" s="409"/>
      <c r="ET12" s="398">
        <f>IF(ES12=0,0,IF(LEN(EE12)=11,_xlfn.XLOOKUP(EE12,'Dispensed Ink Rates'!C:C,'Dispensed Ink Rates'!CS:CS),VLOOKUP(EE12,'Jan-2026 rates'!$E:$F,2,0)))</f>
        <v>0</v>
      </c>
      <c r="EU12" s="409"/>
      <c r="EV12" s="398">
        <f>IF(EU12=0,0,IF(LEN(EF12)=11,_xlfn.XLOOKUP(EF12,'Dispensed Ink Rates'!C:C,'Dispensed Ink Rates'!CS:CS),VLOOKUP(EF12,'Jan-2026 rates'!$E:$F,2,0)))</f>
        <v>0</v>
      </c>
      <c r="EW12" s="409" t="s">
        <v>1881</v>
      </c>
      <c r="EX12" s="409">
        <v>25</v>
      </c>
      <c r="EY12" s="411">
        <f t="shared" si="13"/>
        <v>0</v>
      </c>
      <c r="EZ12" s="411">
        <f t="shared" si="14"/>
        <v>13.18181818181818</v>
      </c>
      <c r="FA12" s="410">
        <f t="shared" si="15"/>
        <v>0</v>
      </c>
      <c r="FB12" s="405" t="s">
        <v>544</v>
      </c>
      <c r="FC12" s="409" t="s">
        <v>2597</v>
      </c>
      <c r="FD12" s="420" t="str">
        <f t="shared" si="16"/>
        <v>ToyoLi - MAGENTA</v>
      </c>
      <c r="FE12" s="409">
        <v>28</v>
      </c>
      <c r="FF12" s="411">
        <f>IF(FE12=0,0,IF($LB12=70%,VLOOKUP($FD12,'Jan-2026 rates'!$L:$R,4,0),IF($LB12=65%,VLOOKUP($FD12,'Jan-2026 rates'!$L:$R,4,0),IF($LB12=40%,VLOOKUP($FD12,'Jan-2026 rates'!$L:$R,5,0),IF($LB12=30%,VLOOKUP($FD12,'Jan-2026 rates'!$L:$R,6,0),IF($LB12=100%,VLOOKUP($FD12,'Jan-2026 rates'!$L:$R,7,0),IF($LB12=60%,VLOOKUP($FD12,'Jan-2026 rates'!$L:$S,8,0),IF($LB12=80%,VLOOKUP($FD12,'Jan-2026 rates'!L:T,9,0),0))))))))</f>
        <v>0</v>
      </c>
      <c r="FG12" s="412"/>
      <c r="FH12" s="409"/>
      <c r="FI12" s="411">
        <f>IF(FH12=0,0,IF($LB12=70%,VLOOKUP($FD12,'Jan-2026 rates'!$L:$R,4,0),IF($LB12=65%,VLOOKUP($FD12,'Jan-2026 rates'!$L:$R,4,0),IF($LB12=40%,VLOOKUP($FD12,'Jan-2026 rates'!$L:$R,5,0),IF($LB12=30%,VLOOKUP($FD12,'Jan-2026 rates'!$L:$R,6,0),IF($LB12=100%,VLOOKUP($FD12,'Jan-2026 rates'!$L:$R,7,0),IF($LB12=60%,VLOOKUP($FD12,'Jan-2026 rates'!$L:$S,8,0),IF($LB12=80%,VLOOKUP($FD12,'Jan-2026 rates'!L:T,9,0),0))))))))</f>
        <v>0</v>
      </c>
      <c r="FJ12" s="413" t="s">
        <v>1246</v>
      </c>
      <c r="FK12" s="413"/>
      <c r="FL12" s="413"/>
      <c r="FM12" s="412"/>
      <c r="FN12" s="412"/>
      <c r="FO12" s="412"/>
      <c r="FP12" s="412"/>
      <c r="FQ12" s="412"/>
      <c r="FR12" s="409">
        <v>2</v>
      </c>
      <c r="FS12" s="398">
        <f>IF(FR12=0,0,IF(LEN(FJ12)=11,_xlfn.XLOOKUP(FJ12,'Dispensed Ink Rates'!C:C,'Dispensed Ink Rates'!CS:CS),VLOOKUP(FJ12,'Jan-2026 rates'!$E:$F,2,0)))</f>
        <v>0</v>
      </c>
      <c r="FT12" s="409"/>
      <c r="FU12" s="398">
        <f>IF(FT12=0,0,IF(LEN(FK12)=11,_xlfn.XLOOKUP(FK12,'Dispensed Ink Rates'!C:C,'Dispensed Ink Rates'!CS:CS),VLOOKUP(FK12,'Jan-2026 rates'!$E:$F,2,0)))</f>
        <v>0</v>
      </c>
      <c r="FV12" s="409"/>
      <c r="FW12" s="398">
        <f>IF(FV12=0,0,IF(LEN(FL12)=11,_xlfn.XLOOKUP(FL12,'Dispensed Ink Rates'!C:C,'Dispensed Ink Rates'!CS:CS),VLOOKUP(FL12,'Jan-2026 rates'!$E:$F,2,0)))</f>
        <v>0</v>
      </c>
      <c r="FX12" s="409"/>
      <c r="FY12" s="398">
        <f>IF(FX12=0,0,IF(LEN(FM12)=11,_xlfn.XLOOKUP(FM12,'Dispensed Ink Rates'!C:C,'Dispensed Ink Rates'!CS:CS),VLOOKUP(FM12,'Jan-2026 rates'!$E:$F,2,0)))</f>
        <v>0</v>
      </c>
      <c r="FZ12" s="409"/>
      <c r="GA12" s="398">
        <f>IF(FZ12=0,0,IF(LEN(FN12)=11,_xlfn.XLOOKUP(FN12,'Dispensed Ink Rates'!C:C,'Dispensed Ink Rates'!CS:CS),VLOOKUP(FN12,'Jan-2026 rates'!$E:$F,2,0)))</f>
        <v>0</v>
      </c>
      <c r="GB12" s="409"/>
      <c r="GC12" s="398">
        <f>IF(GB12=0,0,IF(LEN(FO12)=11,_xlfn.XLOOKUP(FO12,'Dispensed Ink Rates'!C:C,'Dispensed Ink Rates'!CS:CS),VLOOKUP(FO12,'Jan-2026 rates'!$E:$F,2,0)))</f>
        <v>0</v>
      </c>
      <c r="GD12" s="409"/>
      <c r="GE12" s="398">
        <f>IF(GD12=0,0,IF(LEN(FP12)=11,_xlfn.XLOOKUP(FP12,'Dispensed Ink Rates'!C:C,'Dispensed Ink Rates'!CS:CS),VLOOKUP(FP12,'Jan-2026 rates'!$E:$F,2,0)))</f>
        <v>0</v>
      </c>
      <c r="GF12" s="409"/>
      <c r="GG12" s="398">
        <f>IF(GF12=0,0,IF(LEN(FQ12)=11,_xlfn.XLOOKUP(FQ12,'Dispensed Ink Rates'!C:C,'Dispensed Ink Rates'!CS:CS),VLOOKUP(FQ12,'Jan-2026 rates'!$E:$F,2,0)))</f>
        <v>0</v>
      </c>
      <c r="GH12" s="409" t="s">
        <v>1881</v>
      </c>
      <c r="GI12" s="409">
        <v>27</v>
      </c>
      <c r="GJ12" s="411">
        <f t="shared" si="17"/>
        <v>0</v>
      </c>
      <c r="GK12" s="411">
        <f t="shared" si="18"/>
        <v>3</v>
      </c>
      <c r="GL12" s="410">
        <f t="shared" si="19"/>
        <v>0</v>
      </c>
      <c r="GM12" s="405" t="s">
        <v>545</v>
      </c>
      <c r="GN12" s="409" t="s">
        <v>2598</v>
      </c>
      <c r="GO12" s="420" t="str">
        <f t="shared" si="20"/>
        <v>ToyoLi - YELLOW</v>
      </c>
      <c r="GP12" s="409">
        <v>25</v>
      </c>
      <c r="GQ12" s="411">
        <f>IF(GP12=0,0,IF($LB12=70%,VLOOKUP($GO12,'Jan-2026 rates'!$L:$R,4,0),IF($LB12=65%,VLOOKUP($GO12,'Jan-2026 rates'!$L:$R,4,0),IF($LB12=40%,VLOOKUP($GO12,'Jan-2026 rates'!$L:$R,5,0),IF($LB12=30%,VLOOKUP($GO12,'Jan-2026 rates'!$L:$R,6,0),IF($LB12=100%,VLOOKUP($GO12,'Jan-2026 rates'!$L:$R,7,0),IF($LB12=60%,VLOOKUP($GO12,'Jan-2026 rates'!$L:$S,8,0),IF($LB12=80%,VLOOKUP($GO12,'Jan-2026 rates'!L:T,9,0),0))))))))</f>
        <v>0</v>
      </c>
      <c r="GR12" s="412"/>
      <c r="GS12" s="409"/>
      <c r="GT12" s="411">
        <f>IF(GS12=0,0,IF($LB12=70%,VLOOKUP($GO12,'Jan-2026 rates'!$L:$R,4,0),IF($LB12=65%,VLOOKUP($GO12,'Jan-2026 rates'!$L:$R,4,0),IF($LB12=40%,VLOOKUP($GO12,'Jan-2026 rates'!$L:$R,5,0),IF($LB12=30%,VLOOKUP($GO12,'Jan-2026 rates'!$L:$R,6,0),IF($LB12=100%,VLOOKUP($GO12,'Jan-2026 rates'!$L:$R,7,0),IF($LB12=60%,VLOOKUP($GO12,'Jan-2026 rates'!$L:$S,8,0),IF($LB12=80%,VLOOKUP($GO12,'Jan-2026 rates'!L:T,9,0),0))))))))</f>
        <v>0</v>
      </c>
      <c r="GU12" s="413" t="s">
        <v>1247</v>
      </c>
      <c r="GV12" s="413"/>
      <c r="GW12" s="412"/>
      <c r="GX12" s="412"/>
      <c r="GY12" s="412"/>
      <c r="GZ12" s="412"/>
      <c r="HA12" s="412"/>
      <c r="HB12" s="412"/>
      <c r="HC12" s="409">
        <v>5</v>
      </c>
      <c r="HD12" s="398">
        <f>IF(HC12=0,0,IF(LEN(GU12)=11,_xlfn.XLOOKUP(GU12,'Dispensed Ink Rates'!C:C,'Dispensed Ink Rates'!CS:CS),VLOOKUP(GU12,'Jan-2026 rates'!$E:$F,2,0)))</f>
        <v>0</v>
      </c>
      <c r="HE12" s="409"/>
      <c r="HF12" s="398">
        <f>IF(HE12=0,0,IF(LEN(GV12)=11,_xlfn.XLOOKUP(GV12,'Dispensed Ink Rates'!C:C,'Dispensed Ink Rates'!CS:CS),VLOOKUP(GV12,'Jan-2026 rates'!$E:$F,2,0)))</f>
        <v>0</v>
      </c>
      <c r="HG12" s="409"/>
      <c r="HH12" s="398">
        <f>IF(HG12=0,0,IF(LEN(GW12)=11,_xlfn.XLOOKUP(GW12,'Dispensed Ink Rates'!C:C,'Dispensed Ink Rates'!CS:CS),VLOOKUP(GW12,'Jan-2026 rates'!$E:$F,2,0)))</f>
        <v>0</v>
      </c>
      <c r="HI12" s="409"/>
      <c r="HJ12" s="398">
        <f>IF(HI12=0,0,IF(LEN(GX12)=11,_xlfn.XLOOKUP(GX12,'Dispensed Ink Rates'!C:C,'Dispensed Ink Rates'!CS:CS),VLOOKUP(GX12,'Jan-2026 rates'!$E:$F,2,0)))</f>
        <v>0</v>
      </c>
      <c r="HK12" s="409"/>
      <c r="HL12" s="398">
        <f>IF(HK12=0,0,IF(LEN(GY12)=11,_xlfn.XLOOKUP(GY12,'Dispensed Ink Rates'!C:C,'Dispensed Ink Rates'!CS:CS),VLOOKUP(GY12,'Jan-2026 rates'!$E:$F,2,0)))</f>
        <v>0</v>
      </c>
      <c r="HM12" s="409"/>
      <c r="HN12" s="398">
        <f>IF(HM12=0,0,IF(LEN(GZ12)=11,_xlfn.XLOOKUP(GZ12,'Dispensed Ink Rates'!C:C,'Dispensed Ink Rates'!CS:CS),VLOOKUP(GZ12,'Jan-2026 rates'!$E:$F,2,0)))</f>
        <v>0</v>
      </c>
      <c r="HO12" s="409"/>
      <c r="HP12" s="398">
        <f>IF(HO12=0,0,IF(LEN(HA12)=11,_xlfn.XLOOKUP(HA12,'Dispensed Ink Rates'!C:C,'Dispensed Ink Rates'!CS:CS),VLOOKUP(HA12,'Jan-2026 rates'!$E:$F,2,0)))</f>
        <v>0</v>
      </c>
      <c r="HQ12" s="409"/>
      <c r="HR12" s="398">
        <f>IF(HQ12=0,0,IF(LEN(HB12)=11,_xlfn.XLOOKUP(HB12,'Dispensed Ink Rates'!C:C,'Dispensed Ink Rates'!CS:CS),VLOOKUP(HB12,'Jan-2026 rates'!$E:$F,2,0)))</f>
        <v>0</v>
      </c>
      <c r="HS12" s="409" t="s">
        <v>1881</v>
      </c>
      <c r="HT12" s="409">
        <v>26</v>
      </c>
      <c r="HU12" s="411">
        <f t="shared" si="21"/>
        <v>0</v>
      </c>
      <c r="HV12" s="411">
        <f t="shared" si="22"/>
        <v>8.8727272727272748</v>
      </c>
      <c r="HW12" s="414">
        <f t="shared" si="23"/>
        <v>0</v>
      </c>
      <c r="HX12" s="405" t="s">
        <v>856</v>
      </c>
      <c r="HY12" s="409" t="s">
        <v>2599</v>
      </c>
      <c r="HZ12" s="420" t="str">
        <f t="shared" si="24"/>
        <v>ToyoLi - WHITE</v>
      </c>
      <c r="IA12" s="409">
        <v>28</v>
      </c>
      <c r="IB12" s="411">
        <f>IF(IA12=0,0,IF($LB12=70%,VLOOKUP($HZ12,'Jan-2026 rates'!$L:$R,4,0),IF($LB12=65%,VLOOKUP($HZ12,'Jan-2026 rates'!$L:$R,4,0),IF($LB12=40%,VLOOKUP($HZ12,'Jan-2026 rates'!$L:$R,5,0),IF($LB12=30%,VLOOKUP($HZ12,'Jan-2026 rates'!$L:$R,6,0),IF($LB12=100%,VLOOKUP($HZ12,'Jan-2026 rates'!$L:$R,7,0),IF($LB12=60%,VLOOKUP($HZ12,'Jan-2026 rates'!$L:$S,8,0),IF($LB12=80%,VLOOKUP($HZ12,'Jan-2026 rates'!L:T,9,0),0))))))))</f>
        <v>0</v>
      </c>
      <c r="IC12" s="412"/>
      <c r="ID12" s="409"/>
      <c r="IE12" s="411">
        <f>IF(ID12=0,0,IF($LB12=70%,VLOOKUP($HZ12,'Jan-2026 rates'!$L:$R,4,0),IF($LB12=65%,VLOOKUP($HZ12,'Jan-2026 rates'!$L:$R,4,0),IF($LB12=40%,VLOOKUP($HZ12,'Jan-2026 rates'!$L:$R,5,0),IF($LB12=30%,VLOOKUP($HZ12,'Jan-2026 rates'!$L:$R,6,0),IF($LB12=100%,VLOOKUP($HZ12,'Jan-2026 rates'!$L:$R,7,0),IF($LB12=60%,VLOOKUP($HZ12,'Jan-2026 rates'!$L:$S,8,0),IF($LB12=80%,VLOOKUP($HZ12,'Jan-2026 rates'!L:T,9,0),0))))))))</f>
        <v>0</v>
      </c>
      <c r="IF12" s="412" t="s">
        <v>1249</v>
      </c>
      <c r="IG12" s="413"/>
      <c r="IH12" s="412"/>
      <c r="II12" s="412"/>
      <c r="IJ12" s="412"/>
      <c r="IK12" s="412"/>
      <c r="IL12" s="412"/>
      <c r="IM12" s="412"/>
      <c r="IN12" s="409">
        <v>60</v>
      </c>
      <c r="IO12" s="398">
        <f>IF(IN12=0,0,IF(LEN(IF12)=11,_xlfn.XLOOKUP(IF12,'Dispensed Ink Rates'!C:C,'Dispensed Ink Rates'!CS:CS),VLOOKUP(IF12,'Jan-2026 rates'!$E:$F,2,0)))</f>
        <v>0</v>
      </c>
      <c r="IP12" s="409"/>
      <c r="IQ12" s="398">
        <f>IF(IP12=0,0,IF(LEN(IG12)=11,_xlfn.XLOOKUP(IG12,'Dispensed Ink Rates'!C:C,'Dispensed Ink Rates'!CS:CS),VLOOKUP(IG12,'Jan-2026 rates'!$E:$F,2,0)))</f>
        <v>0</v>
      </c>
      <c r="IR12" s="409"/>
      <c r="IS12" s="398">
        <f>IF(IR12=0,0,IF(LEN(IH12)=11,_xlfn.XLOOKUP(IH12,'Dispensed Ink Rates'!C:C,'Dispensed Ink Rates'!CS:CS),VLOOKUP(IH12,'Jan-2026 rates'!$E:$F,2,0)))</f>
        <v>0</v>
      </c>
      <c r="IT12" s="409"/>
      <c r="IU12" s="398">
        <f>IF(IT12=0,0,IF(LEN(II12)=11,_xlfn.XLOOKUP(II12,'Dispensed Ink Rates'!C:C,'Dispensed Ink Rates'!CS:CS),VLOOKUP(II12,'Jan-2026 rates'!$E:$F,2,0)))</f>
        <v>0</v>
      </c>
      <c r="IV12" s="409"/>
      <c r="IW12" s="398">
        <f>IF(IV12=0,0,IF(LEN(IJ12)=11,_xlfn.XLOOKUP(IJ12,'Dispensed Ink Rates'!C:C,'Dispensed Ink Rates'!CS:CS),VLOOKUP(IJ12,'Jan-2026 rates'!$E:$F,2,0)))</f>
        <v>0</v>
      </c>
      <c r="IX12" s="409"/>
      <c r="IY12" s="398">
        <f>IF(IX12=0,0,IF(LEN(IK12)=11,_xlfn.XLOOKUP(IK12,'Dispensed Ink Rates'!C:C,'Dispensed Ink Rates'!CS:CS),VLOOKUP(IK12,'Jan-2026 rates'!$E:$F,2,0)))</f>
        <v>0</v>
      </c>
      <c r="IZ12" s="409"/>
      <c r="JA12" s="398">
        <f>IF(IZ12=0,0,IF(LEN(IL12)=11,_xlfn.XLOOKUP(IL12,'Dispensed Ink Rates'!C:C,'Dispensed Ink Rates'!CS:CS),VLOOKUP(IL12,'Jan-2026 rates'!$E:$F,2,0)))</f>
        <v>0</v>
      </c>
      <c r="JB12" s="409"/>
      <c r="JC12" s="398">
        <f>IF(JB12=0,0,IF(LEN(IM12)=11,_xlfn.XLOOKUP(IM12,'Dispensed Ink Rates'!C:C,'Dispensed Ink Rates'!CS:CS),VLOOKUP(IM12,'Jan-2026 rates'!$E:$F,2,0)))</f>
        <v>0</v>
      </c>
      <c r="JD12" s="409" t="s">
        <v>1881</v>
      </c>
      <c r="JE12" s="409">
        <v>30</v>
      </c>
      <c r="JF12" s="411">
        <f t="shared" si="25"/>
        <v>0</v>
      </c>
      <c r="JG12" s="411">
        <f t="shared" si="26"/>
        <v>131.09090909090907</v>
      </c>
      <c r="JH12" s="410">
        <f t="shared" si="27"/>
        <v>0</v>
      </c>
      <c r="JI12" s="405" t="s">
        <v>605</v>
      </c>
      <c r="JJ12" s="409"/>
      <c r="JK12" s="420" t="str">
        <f t="shared" si="28"/>
        <v>HI-TECH INK - MATT</v>
      </c>
      <c r="JL12" s="409"/>
      <c r="JM12" s="411">
        <f>IF(JL12=0,0,IF($LB12=70%,VLOOKUP($JK12,'Jan-2026 rates'!$L:$R,4,0),IF($LB12=65%,VLOOKUP($JK12,'Jan-2026 rates'!$L:$R,4,0),IF($LB12=40%,VLOOKUP($JK12,'Jan-2026 rates'!$L:$R,5,0),IF($LB12=30%,VLOOKUP($JK12,'Jan-2026 rates'!$L:$R,6,0),IF($LB12=100%,VLOOKUP($JK12,'Jan-2026 rates'!$L:$R,7,0),IF($LB12=60%,VLOOKUP($JK12,'Jan-2026 rates'!$L:$S,8,0),IF($LB12=80%,VLOOKUP($JK12,'Jan-2026 rates'!L:T,9,0),0))))))))</f>
        <v>0</v>
      </c>
      <c r="JN12" s="412"/>
      <c r="JO12" s="409"/>
      <c r="JP12" s="411">
        <f>IF(JO12=0,0,IF($LB12=70%,VLOOKUP($JK12,'Jan-2026 rates'!$L:$R,4,0),IF($LB12=65%,VLOOKUP($JK12,'Jan-2026 rates'!$L:$R,4,0),IF($LB12=40%,VLOOKUP($JK12,'Jan-2026 rates'!$L:$R,5,0),IF($LB12=30%,VLOOKUP($JK12,'Jan-2026 rates'!$L:$R,6,0),IF($LB12=100%,VLOOKUP($JK12,'Jan-2026 rates'!$L:$R,7,0),IF($LB12=60%,VLOOKUP($JK12,'Jan-2026 rates'!$L:$S,8,0),IF($LB12=80%,VLOOKUP($JK12,'Jan-2026 rates'!L:T,9,0),0))))))))</f>
        <v>0</v>
      </c>
      <c r="JQ12" s="413">
        <v>2066</v>
      </c>
      <c r="JR12" s="412"/>
      <c r="JS12" s="413"/>
      <c r="JT12" s="413"/>
      <c r="JU12" s="412"/>
      <c r="JV12" s="412"/>
      <c r="JW12" s="412"/>
      <c r="JX12" s="412"/>
      <c r="JY12" s="409">
        <v>40</v>
      </c>
      <c r="JZ12" s="398">
        <f>IF(JY12=0,0,IF(LEN(JQ12)=11,_xlfn.XLOOKUP(JQ12,'Dispensed Ink Rates'!C:C,'Dispensed Ink Rates'!CS:CS),VLOOKUP(JQ12,'Jan-2026 rates'!$E:$F,2,0)))</f>
        <v>0</v>
      </c>
      <c r="KA12" s="409"/>
      <c r="KB12" s="398">
        <f>IF(KA12=0,0,IF(LEN(JR12)=11,_xlfn.XLOOKUP(JR12,'Dispensed Ink Rates'!C:C,'Dispensed Ink Rates'!CS:CS),VLOOKUP(JR12,'Jan-2026 rates'!$E:$F,2,0)))</f>
        <v>0</v>
      </c>
      <c r="KC12" s="409"/>
      <c r="KD12" s="398">
        <f>IF(KC12=0,0,IF(LEN(JS12)=11,_xlfn.XLOOKUP(JS12,'Dispensed Ink Rates'!C:C,'Dispensed Ink Rates'!CS:CS),VLOOKUP(JS12,'Jan-2026 rates'!$E:$F,2,0)))</f>
        <v>0</v>
      </c>
      <c r="KE12" s="409"/>
      <c r="KF12" s="398">
        <f>IF(KE12=0,0,IF(LEN(JT12)=11,_xlfn.XLOOKUP(JT12,'Dispensed Ink Rates'!C:C,'Dispensed Ink Rates'!CS:CS),VLOOKUP(JT12,'Jan-2026 rates'!$E:$F,2,0)))</f>
        <v>0</v>
      </c>
      <c r="KG12" s="409"/>
      <c r="KH12" s="398">
        <f>IF(KG12=0,0,IF(LEN(JU12)=11,_xlfn.XLOOKUP(JU12,'Dispensed Ink Rates'!C:C,'Dispensed Ink Rates'!CS:CS),VLOOKUP(JU12,'Jan-2026 rates'!$E:$F,2,0)))</f>
        <v>0</v>
      </c>
      <c r="KI12" s="409"/>
      <c r="KJ12" s="398">
        <f>IF(KI12=0,0,IF(LEN(JV12)=11,_xlfn.XLOOKUP(JV12,'Dispensed Ink Rates'!C:C,'Dispensed Ink Rates'!CS:CS),VLOOKUP(JV12,'Jan-2026 rates'!$E:$F,2,0)))</f>
        <v>0</v>
      </c>
      <c r="KK12" s="409"/>
      <c r="KL12" s="398">
        <f>IF(KK12=0,0,IF(LEN(JW12)=11,_xlfn.XLOOKUP(JW12,'Dispensed Ink Rates'!C:C,'Dispensed Ink Rates'!CS:CS),VLOOKUP(JW12,'Jan-2026 rates'!$E:$F,2,0)))</f>
        <v>0</v>
      </c>
      <c r="KM12" s="428"/>
      <c r="KN12" s="398">
        <f>IF(KM12=0,0,IF(LEN(JX12)=11,_xlfn.XLOOKUP(JX12,'Dispensed Ink Rates'!C:C,'Dispensed Ink Rates'!CS:CS),VLOOKUP(JX12,'Jan-2026 rates'!$E:$F,2,0)))</f>
        <v>0</v>
      </c>
      <c r="KO12" s="409" t="s">
        <v>602</v>
      </c>
      <c r="KP12" s="409">
        <v>20</v>
      </c>
      <c r="KQ12" s="411">
        <f t="shared" si="29"/>
        <v>0</v>
      </c>
      <c r="KR12" s="411">
        <f t="shared" si="30"/>
        <v>56.545454545454533</v>
      </c>
      <c r="KS12" s="410">
        <f t="shared" si="31"/>
        <v>0</v>
      </c>
      <c r="KT12" s="409">
        <v>0</v>
      </c>
      <c r="KU12" s="409">
        <v>3</v>
      </c>
      <c r="KV12" s="409">
        <v>0</v>
      </c>
      <c r="KW12" s="409">
        <v>5</v>
      </c>
      <c r="KX12" s="409">
        <v>0</v>
      </c>
      <c r="KY12" s="409">
        <v>2</v>
      </c>
      <c r="KZ12" s="409">
        <v>30</v>
      </c>
      <c r="LA12" s="409">
        <v>15</v>
      </c>
      <c r="LB12" s="415">
        <v>0.3</v>
      </c>
      <c r="LC12" s="415"/>
      <c r="LD12" s="415"/>
      <c r="LE12" s="415">
        <v>0.5</v>
      </c>
      <c r="LF12" s="415">
        <v>0.2</v>
      </c>
      <c r="LG12" s="409">
        <v>0</v>
      </c>
      <c r="LH12" s="409">
        <f>45+30+15+25+5+4+10</f>
        <v>134</v>
      </c>
      <c r="LI12" s="409">
        <v>0</v>
      </c>
      <c r="LJ12" s="409">
        <v>0</v>
      </c>
      <c r="LK12" s="416">
        <f t="shared" si="32"/>
        <v>134</v>
      </c>
      <c r="LL12" s="416">
        <f t="shared" si="33"/>
        <v>134</v>
      </c>
      <c r="LM12" s="417">
        <f t="shared" si="34"/>
        <v>40.199999999999996</v>
      </c>
      <c r="LN12" s="417">
        <f>VLOOKUP($LM$8,'Jan-2026 rates'!$H:$I,2,0)</f>
        <v>0</v>
      </c>
      <c r="LO12" s="417">
        <f t="shared" si="35"/>
        <v>0</v>
      </c>
      <c r="LP12" s="417">
        <f>VLOOKUP($LO$8,'Jan-2026 rates'!$H:$I,2,0)</f>
        <v>0</v>
      </c>
      <c r="LQ12" s="417">
        <f t="shared" si="36"/>
        <v>0</v>
      </c>
      <c r="LR12" s="417">
        <f>VLOOKUP($LQ$8,'Jan-2026 rates'!$H:$I,2,0)</f>
        <v>0</v>
      </c>
      <c r="LS12" s="417">
        <f t="shared" si="37"/>
        <v>67</v>
      </c>
      <c r="LT12" s="417">
        <f>VLOOKUP($LS$8,'Jan-2026 rates'!$H:$I,2,0)</f>
        <v>0</v>
      </c>
      <c r="LU12" s="417">
        <f t="shared" si="38"/>
        <v>26.8</v>
      </c>
      <c r="LV12" s="417">
        <f>VLOOKUP($LU$8,'Jan-2026 rates'!$H:$I,2,0)</f>
        <v>0</v>
      </c>
      <c r="LW12" s="417">
        <f t="shared" si="39"/>
        <v>0</v>
      </c>
      <c r="LX12" s="417">
        <f t="shared" si="40"/>
        <v>0</v>
      </c>
      <c r="LY12" s="418">
        <f t="shared" si="41"/>
        <v>0</v>
      </c>
      <c r="LZ12" s="417"/>
      <c r="MA12" s="435">
        <f t="shared" si="42"/>
        <v>128</v>
      </c>
      <c r="MB12" s="282">
        <f t="shared" si="43"/>
        <v>239.99999999999997</v>
      </c>
      <c r="MC12" s="283" t="s">
        <v>1941</v>
      </c>
      <c r="MD12" s="284" t="str">
        <f t="shared" si="44"/>
        <v>ToyoLiToyoLiToyoLiToyoLiToyoLiToyoLiToyoLiHI-TECH INK</v>
      </c>
      <c r="ME12" s="293" t="str">
        <f t="shared" si="45"/>
        <v>+</v>
      </c>
      <c r="MF12" s="293" t="str">
        <f t="shared" si="46"/>
        <v>+</v>
      </c>
      <c r="MG12" s="293" t="str">
        <f t="shared" si="47"/>
        <v>+</v>
      </c>
      <c r="MH12" s="293" t="str">
        <f t="shared" si="48"/>
        <v>+</v>
      </c>
      <c r="MI12" s="293" t="str">
        <f t="shared" si="49"/>
        <v>+</v>
      </c>
      <c r="MJ12" s="293" t="str">
        <f t="shared" si="50"/>
        <v>+</v>
      </c>
      <c r="MK12" s="293" t="str">
        <f t="shared" si="51"/>
        <v>+</v>
      </c>
      <c r="ML12" s="293" t="str">
        <f t="shared" si="52"/>
        <v>+</v>
      </c>
      <c r="MM12" s="3" t="b">
        <f t="array" ref="MM12">OR(ME12:ML12="-")</f>
        <v>0</v>
      </c>
      <c r="MN12" s="285"/>
      <c r="MO12" s="401"/>
      <c r="MP12" s="286"/>
      <c r="MQ12" s="286"/>
      <c r="MR12" s="402"/>
      <c r="MS12" s="400"/>
      <c r="NH12" s="422"/>
      <c r="NJ12" s="421"/>
    </row>
    <row r="13" spans="1:374" s="1" customFormat="1" ht="16.5">
      <c r="A13" s="403">
        <v>46024</v>
      </c>
      <c r="B13" s="404" t="s">
        <v>1015</v>
      </c>
      <c r="C13" s="405" t="s">
        <v>2600</v>
      </c>
      <c r="D13" s="406" t="s">
        <v>1942</v>
      </c>
      <c r="E13" s="404">
        <v>134</v>
      </c>
      <c r="F13" s="407">
        <v>7700</v>
      </c>
      <c r="G13" s="407" t="s">
        <v>1016</v>
      </c>
      <c r="H13" s="408" t="s">
        <v>1017</v>
      </c>
      <c r="I13" s="409">
        <f>2.1+0.8</f>
        <v>2.9000000000000004</v>
      </c>
      <c r="J13" s="405" t="s">
        <v>543</v>
      </c>
      <c r="K13" s="404" t="s">
        <v>2601</v>
      </c>
      <c r="L13" s="419" t="str">
        <f t="shared" si="0"/>
        <v>ToyoLi - BLACK</v>
      </c>
      <c r="M13" s="404">
        <v>28</v>
      </c>
      <c r="N13" s="410">
        <f>IF(M13=0,0,IF($LB13=70%,VLOOKUP($L13,'Jan-2026 rates'!$L:$R,4,0),IF($LB13=65%,VLOOKUP($L13,'Jan-2026 rates'!$L:$R,4,0),IF($LB13=40%,VLOOKUP($L13,'Jan-2026 rates'!$L:$R,5,0),IF($LB13=30%,VLOOKUP($L13,'Jan-2026 rates'!$L:$R,6,0),IF($LB13=100%,VLOOKUP($L13,'Jan-2026 rates'!$L:$R,7,0),IF($LB13=60%,VLOOKUP($L13,'Jan-2026 rates'!$L:$S,8,0),IF($LB13=80%,VLOOKUP($L13,'Jan-2026 rates'!L:T,9,0),0))))))))</f>
        <v>0</v>
      </c>
      <c r="O13" s="406"/>
      <c r="P13" s="404"/>
      <c r="Q13" s="410">
        <f>IF(P13=0,0,IF($LB13=70%,VLOOKUP($L13,'Jan-2026 rates'!$L:$R,4,0),IF($LB13=65%,VLOOKUP($L13,'Jan-2026 rates'!$L:$R,4,0),IF($LB13=40%,VLOOKUP($L13,'Jan-2026 rates'!$L:$R,5,0),IF($LB13=30%,VLOOKUP($L13,'Jan-2026 rates'!$L:$R,6,0),IF($LB13=100%,VLOOKUP($L13,'Jan-2026 rates'!$L:$R,7,0),IF($LB13=60%,VLOOKUP($L13,'Jan-2026 rates'!$L:$S,8,0),IF($LB13=80%,VLOOKUP($L13,'Jan-2026 rates'!L:T,9,0),0))))))))</f>
        <v>0</v>
      </c>
      <c r="R13" s="406" t="s">
        <v>1252</v>
      </c>
      <c r="S13" s="406"/>
      <c r="T13" s="406"/>
      <c r="U13" s="406"/>
      <c r="V13" s="406"/>
      <c r="W13" s="406"/>
      <c r="X13" s="406"/>
      <c r="Y13" s="406"/>
      <c r="Z13" s="404">
        <v>5</v>
      </c>
      <c r="AA13" s="398">
        <f>IF(Z13=0,0,IF(LEN(R13)=11,_xlfn.XLOOKUP(R13,'Dispensed Ink Rates'!C:C,'Dispensed Ink Rates'!CS:CS),VLOOKUP(R13,'Jan-2026 rates'!$E:$F,2,0)))</f>
        <v>0</v>
      </c>
      <c r="AB13" s="404"/>
      <c r="AC13" s="398">
        <f>IF(AB13=0,0,IF(LEN(S13)=11,_xlfn.XLOOKUP(S13,'Dispensed Ink Rates'!C:C,'Dispensed Ink Rates'!CS:CS),VLOOKUP(S13,'Jan-2026 rates'!$E:$F,2,0)))</f>
        <v>0</v>
      </c>
      <c r="AD13" s="404"/>
      <c r="AE13" s="398">
        <f>IF(AD13=0,0,IF(LEN(T13)=11,_xlfn.XLOOKUP(T13,'Dispensed Ink Rates'!C:C,'Dispensed Ink Rates'!CS:CS),VLOOKUP(T13,'Jan-2026 rates'!$E:$F,2,0)))</f>
        <v>0</v>
      </c>
      <c r="AF13" s="404"/>
      <c r="AG13" s="398">
        <f>IF(AF13=0,0,IF(LEN(U13)=11,_xlfn.XLOOKUP(U13,'Dispensed Ink Rates'!C:C,'Dispensed Ink Rates'!CS:CS),VLOOKUP(U13,'Jan-2026 rates'!$E:$F,2,0)))</f>
        <v>0</v>
      </c>
      <c r="AH13" s="404"/>
      <c r="AI13" s="398">
        <f>IF(AH13=0,0,IF(LEN(V13)=11,_xlfn.XLOOKUP(V13,'Dispensed Ink Rates'!C:C,'Dispensed Ink Rates'!CS:CS),VLOOKUP(V13,'Jan-2026 rates'!$E:$F,2,0)))</f>
        <v>0</v>
      </c>
      <c r="AJ13" s="404"/>
      <c r="AK13" s="398">
        <f>IF(AJ13=0,0,IF(LEN(W13)=11,_xlfn.XLOOKUP(W13,'Dispensed Ink Rates'!C:C,'Dispensed Ink Rates'!CS:CS),VLOOKUP(W13,'Jan-2026 rates'!$E:$F,2,0)))</f>
        <v>0</v>
      </c>
      <c r="AL13" s="404"/>
      <c r="AM13" s="398">
        <f>IF(AL13=0,0,IF(LEN(X13)=11,_xlfn.XLOOKUP(X13,'Dispensed Ink Rates'!C:C,'Dispensed Ink Rates'!CS:CS),VLOOKUP(X13,'Jan-2026 rates'!$E:$F,2,0)))</f>
        <v>0</v>
      </c>
      <c r="AN13" s="404"/>
      <c r="AO13" s="398">
        <f>IF(AN13=0,0,IF(LEN(Y13)=11,_xlfn.XLOOKUP(Y13,'Dispensed Ink Rates'!C:C,'Dispensed Ink Rates'!CS:CS),VLOOKUP(Y13,'Jan-2026 rates'!$E:$F,2,0)))</f>
        <v>0</v>
      </c>
      <c r="AP13" s="409" t="s">
        <v>1881</v>
      </c>
      <c r="AQ13" s="409">
        <v>30</v>
      </c>
      <c r="AR13" s="410">
        <f t="shared" si="1"/>
        <v>0</v>
      </c>
      <c r="AS13" s="411">
        <f t="shared" si="2"/>
        <v>8.1538461538461533</v>
      </c>
      <c r="AT13" s="410">
        <f t="shared" si="3"/>
        <v>0</v>
      </c>
      <c r="AU13" s="405" t="s">
        <v>546</v>
      </c>
      <c r="AV13" s="409" t="s">
        <v>2601</v>
      </c>
      <c r="AW13" s="420" t="str">
        <f t="shared" si="4"/>
        <v>ToyoLi - REFLEX BLUE</v>
      </c>
      <c r="AX13" s="409">
        <v>22</v>
      </c>
      <c r="AY13" s="411">
        <f>IF(AX13=0,0,IF($LB13=70%,VLOOKUP($AW13,'Jan-2026 rates'!$L:$R,4,0),IF($LB13=65%,VLOOKUP($AW13,'Jan-2026 rates'!$L:$R,4,0),IF($LB13=40%,VLOOKUP($AW13,'Jan-2026 rates'!$L:$R,5,0),IF($LB13=30%,VLOOKUP($AW13,'Jan-2026 rates'!$L:$R,6,0),IF($LB13=100%,VLOOKUP($AW13,'Jan-2026 rates'!$L:$R,7,0),IF($LB13=60%,VLOOKUP($AW13,'Jan-2026 rates'!$L:$S,8,0),IF($LB13=80%,VLOOKUP($AW13,'Jan-2026 rates'!L:T,9,0),0))))))))</f>
        <v>0</v>
      </c>
      <c r="AZ13" s="412" t="s">
        <v>2602</v>
      </c>
      <c r="BA13" s="409">
        <v>14</v>
      </c>
      <c r="BB13" s="411">
        <f>IF(BA13=0,0,IF($LB13=70%,VLOOKUP($AW13,'Jan-2026 rates'!$L:$R,4,0),IF($LB13=65%,VLOOKUP($AW13,'Jan-2026 rates'!$L:$R,4,0),IF($LB13=40%,VLOOKUP($AW13,'Jan-2026 rates'!$L:$R,5,0),IF($LB13=30%,VLOOKUP($AW13,'Jan-2026 rates'!$L:$R,6,0),IF($LB13=100%,VLOOKUP($AW13,'Jan-2026 rates'!$L:$R,7,0),IF($LB13=60%,VLOOKUP($AW13,'Jan-2026 rates'!$L:$S,8,0),IF($LB13=80%,VLOOKUP($AW13,'Jan-2026 rates'!L:T,9,0),0))))))))</f>
        <v>0</v>
      </c>
      <c r="BC13" s="413" t="s">
        <v>1252</v>
      </c>
      <c r="BD13" s="412"/>
      <c r="BE13" s="412"/>
      <c r="BF13" s="413"/>
      <c r="BG13" s="412"/>
      <c r="BH13" s="412"/>
      <c r="BI13" s="412"/>
      <c r="BJ13" s="412"/>
      <c r="BK13" s="409">
        <v>2</v>
      </c>
      <c r="BL13" s="398">
        <f>IF(BK13=0,0,IF(LEN(BC13)=11,_xlfn.XLOOKUP(BC13,'Dispensed Ink Rates'!C:C,'Dispensed Ink Rates'!CS:CS),VLOOKUP(BC13,'Jan-2026 rates'!$E:$F,2,0)))</f>
        <v>0</v>
      </c>
      <c r="BM13" s="409"/>
      <c r="BN13" s="398">
        <f>IF(BM13=0,0,IF(LEN(BD13)=11,_xlfn.XLOOKUP(BD13,'Dispensed Ink Rates'!C:C,'Dispensed Ink Rates'!CS:CS),VLOOKUP(BD13,'Jan-2026 rates'!$E:$F,2,0)))</f>
        <v>0</v>
      </c>
      <c r="BO13" s="409"/>
      <c r="BP13" s="398">
        <f>IF(BO13=0,0,IF(LEN(BE13)=11,_xlfn.XLOOKUP(BE13,'Dispensed Ink Rates'!C:C,'Dispensed Ink Rates'!CS:CS),VLOOKUP(BE13,'Jan-2026 rates'!$E:$F,2,0)))</f>
        <v>0</v>
      </c>
      <c r="BQ13" s="409"/>
      <c r="BR13" s="398">
        <f>IF(BQ13=0,0,IF(LEN(BF13)=11,_xlfn.XLOOKUP(BF13,'Dispensed Ink Rates'!C:C,'Dispensed Ink Rates'!CS:CS),VLOOKUP(BF13,'Jan-2026 rates'!$E:$F,2,0)))</f>
        <v>0</v>
      </c>
      <c r="BS13" s="409"/>
      <c r="BT13" s="398">
        <f>IF(BS13=0,0,IF(LEN(BG13)=11,_xlfn.XLOOKUP(BG13,'Dispensed Ink Rates'!C:C,'Dispensed Ink Rates'!CS:CS),VLOOKUP(BG13,'Jan-2026 rates'!$E:$F,2,0)))</f>
        <v>0</v>
      </c>
      <c r="BU13" s="409"/>
      <c r="BV13" s="398">
        <f>IF(BU13=0,0,IF(LEN(BH13)=11,_xlfn.XLOOKUP(BH13,'Dispensed Ink Rates'!C:C,'Dispensed Ink Rates'!CS:CS),VLOOKUP(BH13,'Jan-2026 rates'!$E:$F,2,0)))</f>
        <v>0</v>
      </c>
      <c r="BW13" s="409"/>
      <c r="BX13" s="398">
        <f>IF(BW13=0,0,IF(LEN(BI13)=11,_xlfn.XLOOKUP(BI13,'Dispensed Ink Rates'!C:C,'Dispensed Ink Rates'!CS:CS),VLOOKUP(BI13,'Jan-2026 rates'!$E:$F,2,0)))</f>
        <v>0</v>
      </c>
      <c r="BY13" s="409"/>
      <c r="BZ13" s="398">
        <f>IF(BY13=0,0,IF(LEN(BJ13)=11,_xlfn.XLOOKUP(BJ13,'Dispensed Ink Rates'!C:C,'Dispensed Ink Rates'!CS:CS),VLOOKUP(BJ13,'Jan-2026 rates'!$E:$F,2,0)))</f>
        <v>0</v>
      </c>
      <c r="CA13" s="409" t="s">
        <v>1881</v>
      </c>
      <c r="CB13" s="409">
        <f>13+14</f>
        <v>27</v>
      </c>
      <c r="CC13" s="411">
        <f t="shared" si="5"/>
        <v>0</v>
      </c>
      <c r="CD13" s="411">
        <f t="shared" si="6"/>
        <v>16.153846153846153</v>
      </c>
      <c r="CE13" s="410">
        <f t="shared" si="7"/>
        <v>0</v>
      </c>
      <c r="CF13" s="404" t="s">
        <v>857</v>
      </c>
      <c r="CG13" s="409" t="s">
        <v>2603</v>
      </c>
      <c r="CH13" s="420" t="str">
        <f t="shared" si="8"/>
        <v>ToyoLi - RED</v>
      </c>
      <c r="CI13" s="409">
        <v>30</v>
      </c>
      <c r="CJ13" s="411">
        <f>IF(CI13=0,0,IF($LB13=70%,VLOOKUP($CH13,'Jan-2026 rates'!$L:$R,4,0),IF($LB13=65%,VLOOKUP($CH13,'Jan-2026 rates'!$L:$R,4,0),IF($LB13=40%,VLOOKUP($CH13,'Jan-2026 rates'!$L:$R,5,0),IF($LB13=30%,VLOOKUP($CH13,'Jan-2026 rates'!$L:$R,6,0),IF($LB13=100%,VLOOKUP($CH13,'Jan-2026 rates'!$L:$R,7,0),IF($LB13=60%,VLOOKUP($CH13,'Jan-2026 rates'!$L:$S,8,0),IF($LB13=80%,VLOOKUP($CH13,'Jan-2026 rates'!L:T,9,0),0))))))))</f>
        <v>0</v>
      </c>
      <c r="CK13" s="412"/>
      <c r="CL13" s="409"/>
      <c r="CM13" s="411">
        <f>IF(CL13=0,0,IF($LB13=70%,VLOOKUP($CH13,'Jan-2026 rates'!$L:$R,4,0),IF($LB13=65%,VLOOKUP($CH13,'Jan-2026 rates'!$L:$R,4,0),IF($LB13=40%,VLOOKUP($CH13,'Jan-2026 rates'!$L:$R,5,0),IF($LB13=30%,VLOOKUP($CH13,'Jan-2026 rates'!$L:$R,6,0),IF($LB13=100%,VLOOKUP($CH13,'Jan-2026 rates'!$L:$R,7,0),IF($LB13=60%,VLOOKUP($CH13,'Jan-2026 rates'!$L:$S,8,0),IF($LB13=80%,VLOOKUP($CH13,'Jan-2026 rates'!L:T,9,0),0))))))))</f>
        <v>0</v>
      </c>
      <c r="CN13" s="426" t="s">
        <v>1252</v>
      </c>
      <c r="CO13" s="427"/>
      <c r="CP13" s="426"/>
      <c r="CQ13" s="426"/>
      <c r="CR13" s="428"/>
      <c r="CS13" s="428"/>
      <c r="CT13" s="428"/>
      <c r="CU13" s="428"/>
      <c r="CV13" s="409">
        <v>2</v>
      </c>
      <c r="CW13" s="398">
        <f>IF(CV13=0,0,IF(LEN(CN13)=11,_xlfn.XLOOKUP(CN13,'Dispensed Ink Rates'!C:C,'Dispensed Ink Rates'!CS:CS),VLOOKUP(CN13,'Jan-2026 rates'!$E:$F,2,0)))</f>
        <v>0</v>
      </c>
      <c r="CX13" s="409"/>
      <c r="CY13" s="398">
        <f>IF(CX13=0,0,IF(LEN(CO13)=11,_xlfn.XLOOKUP(CO13,'Dispensed Ink Rates'!C:C,'Dispensed Ink Rates'!CS:CS),VLOOKUP(CO13,'Jan-2026 rates'!$E:$F,2,0)))</f>
        <v>0</v>
      </c>
      <c r="CZ13" s="409"/>
      <c r="DA13" s="398">
        <f>IF(CZ13=0,0,IF(LEN(CP13)=11,_xlfn.XLOOKUP(CP13,'Dispensed Ink Rates'!C:C,'Dispensed Ink Rates'!CS:CS),VLOOKUP(CP13,'Jan-2026 rates'!$E:$F,2,0)))</f>
        <v>0</v>
      </c>
      <c r="DB13" s="409"/>
      <c r="DC13" s="398">
        <f>IF(DB13=0,0,IF(LEN(CQ13)=11,_xlfn.XLOOKUP(CQ13,'Dispensed Ink Rates'!C:C,'Dispensed Ink Rates'!CS:CS),VLOOKUP(CQ13,'Jan-2026 rates'!$E:$F,2,0)))</f>
        <v>0</v>
      </c>
      <c r="DD13" s="409"/>
      <c r="DE13" s="398">
        <f>IF(DD13=0,0,IF(LEN(CR13)=11,_xlfn.XLOOKUP(CR13,'Dispensed Ink Rates'!C:C,'Dispensed Ink Rates'!CS:CS),VLOOKUP(CR13,'Jan-2026 rates'!$E:$F,2,0)))</f>
        <v>0</v>
      </c>
      <c r="DF13" s="409"/>
      <c r="DG13" s="398">
        <f>IF(DF13=0,0,IF(LEN(CS13)=11,_xlfn.XLOOKUP(CS13,'Dispensed Ink Rates'!C:C,'Dispensed Ink Rates'!CS:CS),VLOOKUP(CS13,'Jan-2026 rates'!$E:$F,2,0)))</f>
        <v>0</v>
      </c>
      <c r="DH13" s="409"/>
      <c r="DI13" s="398">
        <f>IF(DH13=0,0,IF(LEN(CT13)=11,_xlfn.XLOOKUP(CT13,'Dispensed Ink Rates'!C:C,'Dispensed Ink Rates'!CS:CS),VLOOKUP(CT13,'Jan-2026 rates'!$E:$F,2,0)))</f>
        <v>0</v>
      </c>
      <c r="DJ13" s="409"/>
      <c r="DK13" s="398">
        <f>IF(DJ13=0,0,IF(LEN(CU13)=11,_xlfn.XLOOKUP(CU13,'Dispensed Ink Rates'!C:C,'Dispensed Ink Rates'!CS:CS),VLOOKUP(CU13,'Jan-2026 rates'!$E:$F,2,0)))</f>
        <v>0</v>
      </c>
      <c r="DL13" s="409" t="s">
        <v>1881</v>
      </c>
      <c r="DM13" s="409">
        <v>27</v>
      </c>
      <c r="DN13" s="411">
        <f t="shared" si="9"/>
        <v>0</v>
      </c>
      <c r="DO13" s="411">
        <f t="shared" si="10"/>
        <v>10.153846153846153</v>
      </c>
      <c r="DP13" s="410">
        <f t="shared" si="11"/>
        <v>0</v>
      </c>
      <c r="DQ13" s="405" t="s">
        <v>855</v>
      </c>
      <c r="DR13" s="409" t="s">
        <v>2604</v>
      </c>
      <c r="DS13" s="420" t="str">
        <f t="shared" si="12"/>
        <v>ToyoLi - CYAN</v>
      </c>
      <c r="DT13" s="409">
        <v>25</v>
      </c>
      <c r="DU13" s="411">
        <f>IF(DT13=0,0,IF($LB13=70%,VLOOKUP($DS13,'Jan-2026 rates'!$L:$R,4,0),IF($LB13=65%,VLOOKUP($DS13,'Jan-2026 rates'!$L:$R,4,0),IF($LB13=40%,VLOOKUP($DS13,'Jan-2026 rates'!$L:$R,5,0),IF($LB13=30%,VLOOKUP($DS13,'Jan-2026 rates'!$L:$R,6,0),IF($LB13=100%,VLOOKUP($DS13,'Jan-2026 rates'!$L:$R,7,0),IF($LB13=60%,VLOOKUP($DS13,'Jan-2026 rates'!$L:$S,8,0),IF($LB13=80%,VLOOKUP($DS13,'Jan-2026 rates'!L:T,9,0),0))))))))</f>
        <v>0</v>
      </c>
      <c r="DV13" s="412"/>
      <c r="DW13" s="409"/>
      <c r="DX13" s="411">
        <f>IF(DW13=0,0,IF($LB13=70%,VLOOKUP($DS13,'Jan-2026 rates'!$L:$R,4,0),IF($LB13=65%,VLOOKUP($DS13,'Jan-2026 rates'!$L:$R,4,0),IF($LB13=40%,VLOOKUP($DS13,'Jan-2026 rates'!$L:$R,5,0),IF($LB13=30%,VLOOKUP($DS13,'Jan-2026 rates'!$L:$R,6,0),IF($LB13=100%,VLOOKUP($DS13,'Jan-2026 rates'!$L:$R,7,0),IF($LB13=60%,VLOOKUP($DS13,'Jan-2026 rates'!$L:$S,8,0),IF($LB13=80%,VLOOKUP($DS13,'Jan-2026 rates'!L:T,9,0),0))))))))</f>
        <v>0</v>
      </c>
      <c r="DY13" s="413" t="s">
        <v>1250</v>
      </c>
      <c r="DZ13" s="413"/>
      <c r="EA13" s="412"/>
      <c r="EB13" s="412"/>
      <c r="EC13" s="412"/>
      <c r="ED13" s="412"/>
      <c r="EE13" s="412"/>
      <c r="EF13" s="412"/>
      <c r="EG13" s="409">
        <v>5</v>
      </c>
      <c r="EH13" s="398">
        <f>IF(EG13=0,0,IF(LEN(DY13)=11,_xlfn.XLOOKUP(DY13,'Dispensed Ink Rates'!C:C,'Dispensed Ink Rates'!CS:CS),VLOOKUP(DY13,'Jan-2026 rates'!$E:$F,2,0)))</f>
        <v>0</v>
      </c>
      <c r="EI13" s="409"/>
      <c r="EJ13" s="398">
        <f>IF(EI13=0,0,IF(LEN(DZ13)=11,_xlfn.XLOOKUP(DZ13,'Dispensed Ink Rates'!C:C,'Dispensed Ink Rates'!CS:CS),VLOOKUP(DZ13,'Jan-2026 rates'!$E:$F,2,0)))</f>
        <v>0</v>
      </c>
      <c r="EK13" s="409"/>
      <c r="EL13" s="398">
        <f>IF(EK13=0,0,IF(LEN(EA13)=11,_xlfn.XLOOKUP(EA13,'Dispensed Ink Rates'!C:C,'Dispensed Ink Rates'!CS:CS),VLOOKUP(EA13,'Jan-2026 rates'!$E:$F,2,0)))</f>
        <v>0</v>
      </c>
      <c r="EM13" s="409"/>
      <c r="EN13" s="398">
        <f>IF(EM13=0,0,IF(LEN(EB13)=11,_xlfn.XLOOKUP(EB13,'Dispensed Ink Rates'!C:C,'Dispensed Ink Rates'!CS:CS),VLOOKUP(EB13,'Jan-2026 rates'!$E:$F,2,0)))</f>
        <v>0</v>
      </c>
      <c r="EO13" s="409"/>
      <c r="EP13" s="398">
        <f>IF(EO13=0,0,IF(LEN(EC13)=11,_xlfn.XLOOKUP(EC13,'Dispensed Ink Rates'!C:C,'Dispensed Ink Rates'!CS:CS),VLOOKUP(EC13,'Jan-2026 rates'!$E:$F,2,0)))</f>
        <v>0</v>
      </c>
      <c r="EQ13" s="409"/>
      <c r="ER13" s="398">
        <f>IF(EQ13=0,0,IF(LEN(ED13)=11,_xlfn.XLOOKUP(ED13,'Dispensed Ink Rates'!C:C,'Dispensed Ink Rates'!CS:CS),VLOOKUP(ED13,'Jan-2026 rates'!$E:$F,2,0)))</f>
        <v>0</v>
      </c>
      <c r="ES13" s="409"/>
      <c r="ET13" s="398">
        <f>IF(ES13=0,0,IF(LEN(EE13)=11,_xlfn.XLOOKUP(EE13,'Dispensed Ink Rates'!C:C,'Dispensed Ink Rates'!CS:CS),VLOOKUP(EE13,'Jan-2026 rates'!$E:$F,2,0)))</f>
        <v>0</v>
      </c>
      <c r="EU13" s="409"/>
      <c r="EV13" s="398">
        <f>IF(EU13=0,0,IF(LEN(EF13)=11,_xlfn.XLOOKUP(EF13,'Dispensed Ink Rates'!C:C,'Dispensed Ink Rates'!CS:CS),VLOOKUP(EF13,'Jan-2026 rates'!$E:$F,2,0)))</f>
        <v>0</v>
      </c>
      <c r="EW13" s="409" t="s">
        <v>1881</v>
      </c>
      <c r="EX13" s="409">
        <v>26</v>
      </c>
      <c r="EY13" s="411">
        <f t="shared" si="13"/>
        <v>0</v>
      </c>
      <c r="EZ13" s="411">
        <f t="shared" si="14"/>
        <v>9.1538461538461533</v>
      </c>
      <c r="FA13" s="410">
        <f t="shared" si="15"/>
        <v>0</v>
      </c>
      <c r="FB13" s="405" t="s">
        <v>544</v>
      </c>
      <c r="FC13" s="409" t="s">
        <v>2605</v>
      </c>
      <c r="FD13" s="420" t="str">
        <f t="shared" si="16"/>
        <v>ToyoLi - MAGENTA</v>
      </c>
      <c r="FE13" s="409">
        <v>27</v>
      </c>
      <c r="FF13" s="411">
        <f>IF(FE13=0,0,IF($LB13=70%,VLOOKUP($FD13,'Jan-2026 rates'!$L:$R,4,0),IF($LB13=65%,VLOOKUP($FD13,'Jan-2026 rates'!$L:$R,4,0),IF($LB13=40%,VLOOKUP($FD13,'Jan-2026 rates'!$L:$R,5,0),IF($LB13=30%,VLOOKUP($FD13,'Jan-2026 rates'!$L:$R,6,0),IF($LB13=100%,VLOOKUP($FD13,'Jan-2026 rates'!$L:$R,7,0),IF($LB13=60%,VLOOKUP($FD13,'Jan-2026 rates'!$L:$S,8,0),IF($LB13=80%,VLOOKUP($FD13,'Jan-2026 rates'!L:T,9,0),0))))))))</f>
        <v>0</v>
      </c>
      <c r="FG13" s="412"/>
      <c r="FH13" s="409"/>
      <c r="FI13" s="411">
        <f>IF(FH13=0,0,IF($LB13=70%,VLOOKUP($FD13,'Jan-2026 rates'!$L:$R,4,0),IF($LB13=65%,VLOOKUP($FD13,'Jan-2026 rates'!$L:$R,4,0),IF($LB13=40%,VLOOKUP($FD13,'Jan-2026 rates'!$L:$R,5,0),IF($LB13=30%,VLOOKUP($FD13,'Jan-2026 rates'!$L:$R,6,0),IF($LB13=100%,VLOOKUP($FD13,'Jan-2026 rates'!$L:$R,7,0),IF($LB13=60%,VLOOKUP($FD13,'Jan-2026 rates'!$L:$S,8,0),IF($LB13=80%,VLOOKUP($FD13,'Jan-2026 rates'!L:T,9,0),0))))))))</f>
        <v>0</v>
      </c>
      <c r="FJ13" s="413" t="s">
        <v>1246</v>
      </c>
      <c r="FK13" s="413"/>
      <c r="FL13" s="413"/>
      <c r="FM13" s="412"/>
      <c r="FN13" s="412"/>
      <c r="FO13" s="412"/>
      <c r="FP13" s="412"/>
      <c r="FQ13" s="412"/>
      <c r="FR13" s="409">
        <v>2</v>
      </c>
      <c r="FS13" s="398">
        <f>IF(FR13=0,0,IF(LEN(FJ13)=11,_xlfn.XLOOKUP(FJ13,'Dispensed Ink Rates'!C:C,'Dispensed Ink Rates'!CS:CS),VLOOKUP(FJ13,'Jan-2026 rates'!$E:$F,2,0)))</f>
        <v>0</v>
      </c>
      <c r="FT13" s="409"/>
      <c r="FU13" s="398">
        <f>IF(FT13=0,0,IF(LEN(FK13)=11,_xlfn.XLOOKUP(FK13,'Dispensed Ink Rates'!C:C,'Dispensed Ink Rates'!CS:CS),VLOOKUP(FK13,'Jan-2026 rates'!$E:$F,2,0)))</f>
        <v>0</v>
      </c>
      <c r="FV13" s="409"/>
      <c r="FW13" s="398">
        <f>IF(FV13=0,0,IF(LEN(FL13)=11,_xlfn.XLOOKUP(FL13,'Dispensed Ink Rates'!C:C,'Dispensed Ink Rates'!CS:CS),VLOOKUP(FL13,'Jan-2026 rates'!$E:$F,2,0)))</f>
        <v>0</v>
      </c>
      <c r="FX13" s="409"/>
      <c r="FY13" s="398">
        <f>IF(FX13=0,0,IF(LEN(FM13)=11,_xlfn.XLOOKUP(FM13,'Dispensed Ink Rates'!C:C,'Dispensed Ink Rates'!CS:CS),VLOOKUP(FM13,'Jan-2026 rates'!$E:$F,2,0)))</f>
        <v>0</v>
      </c>
      <c r="FZ13" s="409"/>
      <c r="GA13" s="398">
        <f>IF(FZ13=0,0,IF(LEN(FN13)=11,_xlfn.XLOOKUP(FN13,'Dispensed Ink Rates'!C:C,'Dispensed Ink Rates'!CS:CS),VLOOKUP(FN13,'Jan-2026 rates'!$E:$F,2,0)))</f>
        <v>0</v>
      </c>
      <c r="GB13" s="409"/>
      <c r="GC13" s="398">
        <f>IF(GB13=0,0,IF(LEN(FO13)=11,_xlfn.XLOOKUP(FO13,'Dispensed Ink Rates'!C:C,'Dispensed Ink Rates'!CS:CS),VLOOKUP(FO13,'Jan-2026 rates'!$E:$F,2,0)))</f>
        <v>0</v>
      </c>
      <c r="GD13" s="409"/>
      <c r="GE13" s="398">
        <f>IF(GD13=0,0,IF(LEN(FP13)=11,_xlfn.XLOOKUP(FP13,'Dispensed Ink Rates'!C:C,'Dispensed Ink Rates'!CS:CS),VLOOKUP(FP13,'Jan-2026 rates'!$E:$F,2,0)))</f>
        <v>0</v>
      </c>
      <c r="GF13" s="409"/>
      <c r="GG13" s="398">
        <f>IF(GF13=0,0,IF(LEN(FQ13)=11,_xlfn.XLOOKUP(FQ13,'Dispensed Ink Rates'!C:C,'Dispensed Ink Rates'!CS:CS),VLOOKUP(FQ13,'Jan-2026 rates'!$E:$F,2,0)))</f>
        <v>0</v>
      </c>
      <c r="GH13" s="409" t="s">
        <v>1881</v>
      </c>
      <c r="GI13" s="409">
        <v>27</v>
      </c>
      <c r="GJ13" s="411">
        <f t="shared" si="17"/>
        <v>0</v>
      </c>
      <c r="GK13" s="411">
        <f t="shared" si="18"/>
        <v>7.1538461538461533</v>
      </c>
      <c r="GL13" s="410">
        <f t="shared" si="19"/>
        <v>0</v>
      </c>
      <c r="GM13" s="405" t="s">
        <v>545</v>
      </c>
      <c r="GN13" s="409" t="s">
        <v>2606</v>
      </c>
      <c r="GO13" s="420" t="str">
        <f t="shared" si="20"/>
        <v>ToyoLi - YELLOW</v>
      </c>
      <c r="GP13" s="409">
        <v>26</v>
      </c>
      <c r="GQ13" s="411">
        <f>IF(GP13=0,0,IF($LB13=70%,VLOOKUP($GO13,'Jan-2026 rates'!$L:$R,4,0),IF($LB13=65%,VLOOKUP($GO13,'Jan-2026 rates'!$L:$R,4,0),IF($LB13=40%,VLOOKUP($GO13,'Jan-2026 rates'!$L:$R,5,0),IF($LB13=30%,VLOOKUP($GO13,'Jan-2026 rates'!$L:$R,6,0),IF($LB13=100%,VLOOKUP($GO13,'Jan-2026 rates'!$L:$R,7,0),IF($LB13=60%,VLOOKUP($GO13,'Jan-2026 rates'!$L:$S,8,0),IF($LB13=80%,VLOOKUP($GO13,'Jan-2026 rates'!L:T,9,0),0))))))))</f>
        <v>0</v>
      </c>
      <c r="GR13" s="412"/>
      <c r="GS13" s="409"/>
      <c r="GT13" s="411">
        <f>IF(GS13=0,0,IF($LB13=70%,VLOOKUP($GO13,'Jan-2026 rates'!$L:$R,4,0),IF($LB13=65%,VLOOKUP($GO13,'Jan-2026 rates'!$L:$R,4,0),IF($LB13=40%,VLOOKUP($GO13,'Jan-2026 rates'!$L:$R,5,0),IF($LB13=30%,VLOOKUP($GO13,'Jan-2026 rates'!$L:$R,6,0),IF($LB13=100%,VLOOKUP($GO13,'Jan-2026 rates'!$L:$R,7,0),IF($LB13=60%,VLOOKUP($GO13,'Jan-2026 rates'!$L:$S,8,0),IF($LB13=80%,VLOOKUP($GO13,'Jan-2026 rates'!L:T,9,0),0))))))))</f>
        <v>0</v>
      </c>
      <c r="GU13" s="413" t="s">
        <v>1247</v>
      </c>
      <c r="GV13" s="413"/>
      <c r="GW13" s="412"/>
      <c r="GX13" s="412"/>
      <c r="GY13" s="412"/>
      <c r="GZ13" s="412"/>
      <c r="HA13" s="412"/>
      <c r="HB13" s="412"/>
      <c r="HC13" s="409">
        <v>5</v>
      </c>
      <c r="HD13" s="398">
        <f>IF(HC13=0,0,IF(LEN(GU13)=11,_xlfn.XLOOKUP(GU13,'Dispensed Ink Rates'!C:C,'Dispensed Ink Rates'!CS:CS),VLOOKUP(GU13,'Jan-2026 rates'!$E:$F,2,0)))</f>
        <v>0</v>
      </c>
      <c r="HE13" s="409"/>
      <c r="HF13" s="398">
        <f>IF(HE13=0,0,IF(LEN(GV13)=11,_xlfn.XLOOKUP(GV13,'Dispensed Ink Rates'!C:C,'Dispensed Ink Rates'!CS:CS),VLOOKUP(GV13,'Jan-2026 rates'!$E:$F,2,0)))</f>
        <v>0</v>
      </c>
      <c r="HG13" s="409"/>
      <c r="HH13" s="398">
        <f>IF(HG13=0,0,IF(LEN(GW13)=11,_xlfn.XLOOKUP(GW13,'Dispensed Ink Rates'!C:C,'Dispensed Ink Rates'!CS:CS),VLOOKUP(GW13,'Jan-2026 rates'!$E:$F,2,0)))</f>
        <v>0</v>
      </c>
      <c r="HI13" s="409"/>
      <c r="HJ13" s="398">
        <f>IF(HI13=0,0,IF(LEN(GX13)=11,_xlfn.XLOOKUP(GX13,'Dispensed Ink Rates'!C:C,'Dispensed Ink Rates'!CS:CS),VLOOKUP(GX13,'Jan-2026 rates'!$E:$F,2,0)))</f>
        <v>0</v>
      </c>
      <c r="HK13" s="409"/>
      <c r="HL13" s="398">
        <f>IF(HK13=0,0,IF(LEN(GY13)=11,_xlfn.XLOOKUP(GY13,'Dispensed Ink Rates'!C:C,'Dispensed Ink Rates'!CS:CS),VLOOKUP(GY13,'Jan-2026 rates'!$E:$F,2,0)))</f>
        <v>0</v>
      </c>
      <c r="HM13" s="409"/>
      <c r="HN13" s="398">
        <f>IF(HM13=0,0,IF(LEN(GZ13)=11,_xlfn.XLOOKUP(GZ13,'Dispensed Ink Rates'!C:C,'Dispensed Ink Rates'!CS:CS),VLOOKUP(GZ13,'Jan-2026 rates'!$E:$F,2,0)))</f>
        <v>0</v>
      </c>
      <c r="HO13" s="409"/>
      <c r="HP13" s="398">
        <f>IF(HO13=0,0,IF(LEN(HA13)=11,_xlfn.XLOOKUP(HA13,'Dispensed Ink Rates'!C:C,'Dispensed Ink Rates'!CS:CS),VLOOKUP(HA13,'Jan-2026 rates'!$E:$F,2,0)))</f>
        <v>0</v>
      </c>
      <c r="HQ13" s="409"/>
      <c r="HR13" s="398">
        <f>IF(HQ13=0,0,IF(LEN(HB13)=11,_xlfn.XLOOKUP(HB13,'Dispensed Ink Rates'!C:C,'Dispensed Ink Rates'!CS:CS),VLOOKUP(HB13,'Jan-2026 rates'!$E:$F,2,0)))</f>
        <v>0</v>
      </c>
      <c r="HS13" s="409" t="s">
        <v>1881</v>
      </c>
      <c r="HT13" s="409">
        <v>26</v>
      </c>
      <c r="HU13" s="411">
        <f t="shared" si="21"/>
        <v>0</v>
      </c>
      <c r="HV13" s="411">
        <f t="shared" si="22"/>
        <v>10.153846153846153</v>
      </c>
      <c r="HW13" s="414">
        <f t="shared" si="23"/>
        <v>0</v>
      </c>
      <c r="HX13" s="405" t="s">
        <v>856</v>
      </c>
      <c r="HY13" s="409" t="s">
        <v>2607</v>
      </c>
      <c r="HZ13" s="420" t="str">
        <f t="shared" si="24"/>
        <v>ToyoLi - WHITE</v>
      </c>
      <c r="IA13" s="409">
        <v>30</v>
      </c>
      <c r="IB13" s="411">
        <f>IF(IA13=0,0,IF($LB13=70%,VLOOKUP($HZ13,'Jan-2026 rates'!$L:$R,4,0),IF($LB13=65%,VLOOKUP($HZ13,'Jan-2026 rates'!$L:$R,4,0),IF($LB13=40%,VLOOKUP($HZ13,'Jan-2026 rates'!$L:$R,5,0),IF($LB13=30%,VLOOKUP($HZ13,'Jan-2026 rates'!$L:$R,6,0),IF($LB13=100%,VLOOKUP($HZ13,'Jan-2026 rates'!$L:$R,7,0),IF($LB13=60%,VLOOKUP($HZ13,'Jan-2026 rates'!$L:$S,8,0),IF($LB13=80%,VLOOKUP($HZ13,'Jan-2026 rates'!L:T,9,0),0))))))))</f>
        <v>0</v>
      </c>
      <c r="IC13" s="412"/>
      <c r="ID13" s="409"/>
      <c r="IE13" s="411">
        <f>IF(ID13=0,0,IF($LB13=70%,VLOOKUP($HZ13,'Jan-2026 rates'!$L:$R,4,0),IF($LB13=65%,VLOOKUP($HZ13,'Jan-2026 rates'!$L:$R,4,0),IF($LB13=40%,VLOOKUP($HZ13,'Jan-2026 rates'!$L:$R,5,0),IF($LB13=30%,VLOOKUP($HZ13,'Jan-2026 rates'!$L:$R,6,0),IF($LB13=100%,VLOOKUP($HZ13,'Jan-2026 rates'!$L:$R,7,0),IF($LB13=60%,VLOOKUP($HZ13,'Jan-2026 rates'!$L:$S,8,0),IF($LB13=80%,VLOOKUP($HZ13,'Jan-2026 rates'!L:T,9,0),0))))))))</f>
        <v>0</v>
      </c>
      <c r="IF13" s="412" t="s">
        <v>1249</v>
      </c>
      <c r="IG13" s="413"/>
      <c r="IH13" s="412"/>
      <c r="II13" s="412"/>
      <c r="IJ13" s="412"/>
      <c r="IK13" s="412"/>
      <c r="IL13" s="412"/>
      <c r="IM13" s="412"/>
      <c r="IN13" s="409">
        <v>50</v>
      </c>
      <c r="IO13" s="398">
        <f>IF(IN13=0,0,IF(LEN(IF13)=11,_xlfn.XLOOKUP(IF13,'Dispensed Ink Rates'!C:C,'Dispensed Ink Rates'!CS:CS),VLOOKUP(IF13,'Jan-2026 rates'!$E:$F,2,0)))</f>
        <v>0</v>
      </c>
      <c r="IP13" s="409"/>
      <c r="IQ13" s="398">
        <f>IF(IP13=0,0,IF(LEN(IG13)=11,_xlfn.XLOOKUP(IG13,'Dispensed Ink Rates'!C:C,'Dispensed Ink Rates'!CS:CS),VLOOKUP(IG13,'Jan-2026 rates'!$E:$F,2,0)))</f>
        <v>0</v>
      </c>
      <c r="IR13" s="409"/>
      <c r="IS13" s="398">
        <f>IF(IR13=0,0,IF(LEN(IH13)=11,_xlfn.XLOOKUP(IH13,'Dispensed Ink Rates'!C:C,'Dispensed Ink Rates'!CS:CS),VLOOKUP(IH13,'Jan-2026 rates'!$E:$F,2,0)))</f>
        <v>0</v>
      </c>
      <c r="IT13" s="409"/>
      <c r="IU13" s="398">
        <f>IF(IT13=0,0,IF(LEN(II13)=11,_xlfn.XLOOKUP(II13,'Dispensed Ink Rates'!C:C,'Dispensed Ink Rates'!CS:CS),VLOOKUP(II13,'Jan-2026 rates'!$E:$F,2,0)))</f>
        <v>0</v>
      </c>
      <c r="IV13" s="409"/>
      <c r="IW13" s="398">
        <f>IF(IV13=0,0,IF(LEN(IJ13)=11,_xlfn.XLOOKUP(IJ13,'Dispensed Ink Rates'!C:C,'Dispensed Ink Rates'!CS:CS),VLOOKUP(IJ13,'Jan-2026 rates'!$E:$F,2,0)))</f>
        <v>0</v>
      </c>
      <c r="IX13" s="409"/>
      <c r="IY13" s="398">
        <f>IF(IX13=0,0,IF(LEN(IK13)=11,_xlfn.XLOOKUP(IK13,'Dispensed Ink Rates'!C:C,'Dispensed Ink Rates'!CS:CS),VLOOKUP(IK13,'Jan-2026 rates'!$E:$F,2,0)))</f>
        <v>0</v>
      </c>
      <c r="IZ13" s="409"/>
      <c r="JA13" s="398">
        <f>IF(IZ13=0,0,IF(LEN(IL13)=11,_xlfn.XLOOKUP(IL13,'Dispensed Ink Rates'!C:C,'Dispensed Ink Rates'!CS:CS),VLOOKUP(IL13,'Jan-2026 rates'!$E:$F,2,0)))</f>
        <v>0</v>
      </c>
      <c r="JB13" s="409"/>
      <c r="JC13" s="398">
        <f>IF(JB13=0,0,IF(LEN(IM13)=11,_xlfn.XLOOKUP(IM13,'Dispensed Ink Rates'!C:C,'Dispensed Ink Rates'!CS:CS),VLOOKUP(IM13,'Jan-2026 rates'!$E:$F,2,0)))</f>
        <v>0</v>
      </c>
      <c r="JD13" s="409" t="s">
        <v>1881</v>
      </c>
      <c r="JE13" s="409">
        <v>20</v>
      </c>
      <c r="JF13" s="411">
        <f t="shared" si="25"/>
        <v>0</v>
      </c>
      <c r="JG13" s="411">
        <f t="shared" si="26"/>
        <v>124.42307692307691</v>
      </c>
      <c r="JH13" s="410">
        <f t="shared" si="27"/>
        <v>0</v>
      </c>
      <c r="JI13" s="405" t="s">
        <v>605</v>
      </c>
      <c r="JJ13" s="409" t="s">
        <v>2605</v>
      </c>
      <c r="JK13" s="420" t="str">
        <f t="shared" si="28"/>
        <v>HI-TECH INK - MATT</v>
      </c>
      <c r="JL13" s="409">
        <v>20</v>
      </c>
      <c r="JM13" s="411">
        <f>IF(JL13=0,0,IF($LB13=70%,VLOOKUP($JK13,'Jan-2026 rates'!$L:$R,4,0),IF($LB13=65%,VLOOKUP($JK13,'Jan-2026 rates'!$L:$R,4,0),IF($LB13=40%,VLOOKUP($JK13,'Jan-2026 rates'!$L:$R,5,0),IF($LB13=30%,VLOOKUP($JK13,'Jan-2026 rates'!$L:$R,6,0),IF($LB13=100%,VLOOKUP($JK13,'Jan-2026 rates'!$L:$R,7,0),IF($LB13=60%,VLOOKUP($JK13,'Jan-2026 rates'!$L:$S,8,0),IF($LB13=80%,VLOOKUP($JK13,'Jan-2026 rates'!L:T,9,0),0))))))))</f>
        <v>0</v>
      </c>
      <c r="JN13" s="412"/>
      <c r="JO13" s="409"/>
      <c r="JP13" s="411">
        <f>IF(JO13=0,0,IF($LB13=70%,VLOOKUP($JK13,'Jan-2026 rates'!$L:$R,4,0),IF($LB13=65%,VLOOKUP($JK13,'Jan-2026 rates'!$L:$R,4,0),IF($LB13=40%,VLOOKUP($JK13,'Jan-2026 rates'!$L:$R,5,0),IF($LB13=30%,VLOOKUP($JK13,'Jan-2026 rates'!$L:$R,6,0),IF($LB13=100%,VLOOKUP($JK13,'Jan-2026 rates'!$L:$R,7,0),IF($LB13=60%,VLOOKUP($JK13,'Jan-2026 rates'!$L:$S,8,0),IF($LB13=80%,VLOOKUP($JK13,'Jan-2026 rates'!L:T,9,0),0))))))))</f>
        <v>0</v>
      </c>
      <c r="JQ13" s="413">
        <v>2066</v>
      </c>
      <c r="JR13" s="412"/>
      <c r="JS13" s="413"/>
      <c r="JT13" s="413"/>
      <c r="JU13" s="412"/>
      <c r="JV13" s="412"/>
      <c r="JW13" s="412"/>
      <c r="JX13" s="412"/>
      <c r="JY13" s="409">
        <v>40</v>
      </c>
      <c r="JZ13" s="398">
        <f>IF(JY13=0,0,IF(LEN(JQ13)=11,_xlfn.XLOOKUP(JQ13,'Dispensed Ink Rates'!C:C,'Dispensed Ink Rates'!CS:CS),VLOOKUP(JQ13,'Jan-2026 rates'!$E:$F,2,0)))</f>
        <v>0</v>
      </c>
      <c r="KA13" s="409"/>
      <c r="KB13" s="398">
        <f>IF(KA13=0,0,IF(LEN(JR13)=11,_xlfn.XLOOKUP(JR13,'Dispensed Ink Rates'!C:C,'Dispensed Ink Rates'!CS:CS),VLOOKUP(JR13,'Jan-2026 rates'!$E:$F,2,0)))</f>
        <v>0</v>
      </c>
      <c r="KC13" s="409"/>
      <c r="KD13" s="398">
        <f>IF(KC13=0,0,IF(LEN(JS13)=11,_xlfn.XLOOKUP(JS13,'Dispensed Ink Rates'!C:C,'Dispensed Ink Rates'!CS:CS),VLOOKUP(JS13,'Jan-2026 rates'!$E:$F,2,0)))</f>
        <v>0</v>
      </c>
      <c r="KE13" s="409"/>
      <c r="KF13" s="398">
        <f>IF(KE13=0,0,IF(LEN(JT13)=11,_xlfn.XLOOKUP(JT13,'Dispensed Ink Rates'!C:C,'Dispensed Ink Rates'!CS:CS),VLOOKUP(JT13,'Jan-2026 rates'!$E:$F,2,0)))</f>
        <v>0</v>
      </c>
      <c r="KG13" s="409"/>
      <c r="KH13" s="398">
        <f>IF(KG13=0,0,IF(LEN(JU13)=11,_xlfn.XLOOKUP(JU13,'Dispensed Ink Rates'!C:C,'Dispensed Ink Rates'!CS:CS),VLOOKUP(JU13,'Jan-2026 rates'!$E:$F,2,0)))</f>
        <v>0</v>
      </c>
      <c r="KI13" s="409"/>
      <c r="KJ13" s="398">
        <f>IF(KI13=0,0,IF(LEN(JV13)=11,_xlfn.XLOOKUP(JV13,'Dispensed Ink Rates'!C:C,'Dispensed Ink Rates'!CS:CS),VLOOKUP(JV13,'Jan-2026 rates'!$E:$F,2,0)))</f>
        <v>0</v>
      </c>
      <c r="KK13" s="409"/>
      <c r="KL13" s="398">
        <f>IF(KK13=0,0,IF(LEN(JW13)=11,_xlfn.XLOOKUP(JW13,'Dispensed Ink Rates'!C:C,'Dispensed Ink Rates'!CS:CS),VLOOKUP(JW13,'Jan-2026 rates'!$E:$F,2,0)))</f>
        <v>0</v>
      </c>
      <c r="KM13" s="428"/>
      <c r="KN13" s="398">
        <f>IF(KM13=0,0,IF(LEN(JX13)=11,_xlfn.XLOOKUP(JX13,'Dispensed Ink Rates'!C:C,'Dispensed Ink Rates'!CS:CS),VLOOKUP(JX13,'Jan-2026 rates'!$E:$F,2,0)))</f>
        <v>0</v>
      </c>
      <c r="KO13" s="409" t="s">
        <v>602</v>
      </c>
      <c r="KP13" s="409">
        <v>20</v>
      </c>
      <c r="KQ13" s="411">
        <f t="shared" si="29"/>
        <v>0</v>
      </c>
      <c r="KR13" s="411">
        <f t="shared" si="30"/>
        <v>78.65384615384616</v>
      </c>
      <c r="KS13" s="410">
        <f t="shared" si="31"/>
        <v>0</v>
      </c>
      <c r="KT13" s="409">
        <v>2</v>
      </c>
      <c r="KU13" s="409">
        <v>2</v>
      </c>
      <c r="KV13" s="409">
        <v>2</v>
      </c>
      <c r="KW13" s="409">
        <v>2</v>
      </c>
      <c r="KX13" s="409">
        <v>2</v>
      </c>
      <c r="KY13" s="409">
        <v>2</v>
      </c>
      <c r="KZ13" s="409">
        <v>25</v>
      </c>
      <c r="LA13" s="409">
        <v>15</v>
      </c>
      <c r="LB13" s="415">
        <v>0.3</v>
      </c>
      <c r="LC13" s="415"/>
      <c r="LD13" s="415"/>
      <c r="LE13" s="415">
        <v>0.5</v>
      </c>
      <c r="LF13" s="415">
        <v>0.2</v>
      </c>
      <c r="LG13" s="409">
        <v>0</v>
      </c>
      <c r="LH13" s="409">
        <f>40+40+15+25+4+10</f>
        <v>134</v>
      </c>
      <c r="LI13" s="409">
        <v>0</v>
      </c>
      <c r="LJ13" s="409">
        <v>0</v>
      </c>
      <c r="LK13" s="416">
        <f t="shared" si="32"/>
        <v>134</v>
      </c>
      <c r="LL13" s="416">
        <f t="shared" si="33"/>
        <v>134</v>
      </c>
      <c r="LM13" s="417">
        <f t="shared" si="34"/>
        <v>40.199999999999996</v>
      </c>
      <c r="LN13" s="417">
        <f>VLOOKUP($LM$8,'Jan-2026 rates'!$H:$I,2,0)</f>
        <v>0</v>
      </c>
      <c r="LO13" s="417">
        <f t="shared" si="35"/>
        <v>0</v>
      </c>
      <c r="LP13" s="417">
        <f>VLOOKUP($LO$8,'Jan-2026 rates'!$H:$I,2,0)</f>
        <v>0</v>
      </c>
      <c r="LQ13" s="417">
        <f t="shared" si="36"/>
        <v>0</v>
      </c>
      <c r="LR13" s="417">
        <f>VLOOKUP($LQ$8,'Jan-2026 rates'!$H:$I,2,0)</f>
        <v>0</v>
      </c>
      <c r="LS13" s="417">
        <f t="shared" si="37"/>
        <v>67</v>
      </c>
      <c r="LT13" s="417">
        <f>VLOOKUP($LS$8,'Jan-2026 rates'!$H:$I,2,0)</f>
        <v>0</v>
      </c>
      <c r="LU13" s="417">
        <f t="shared" si="38"/>
        <v>26.8</v>
      </c>
      <c r="LV13" s="417">
        <f>VLOOKUP($LU$8,'Jan-2026 rates'!$H:$I,2,0)</f>
        <v>0</v>
      </c>
      <c r="LW13" s="417">
        <f t="shared" si="39"/>
        <v>0</v>
      </c>
      <c r="LX13" s="417">
        <f t="shared" si="40"/>
        <v>0</v>
      </c>
      <c r="LY13" s="418">
        <f t="shared" si="41"/>
        <v>0</v>
      </c>
      <c r="LZ13" s="417"/>
      <c r="MA13" s="435">
        <f t="shared" si="42"/>
        <v>111</v>
      </c>
      <c r="MB13" s="282">
        <f t="shared" si="43"/>
        <v>264</v>
      </c>
      <c r="MC13" s="283" t="s">
        <v>1942</v>
      </c>
      <c r="MD13" s="284" t="str">
        <f t="shared" si="44"/>
        <v>ToyoLiToyoLiToyoLiToyoLiToyoLiToyoLiToyoLiHI-TECH INK</v>
      </c>
      <c r="ME13" s="293" t="str">
        <f t="shared" si="45"/>
        <v>+</v>
      </c>
      <c r="MF13" s="293" t="str">
        <f t="shared" si="46"/>
        <v>+</v>
      </c>
      <c r="MG13" s="293" t="str">
        <f t="shared" si="47"/>
        <v>+</v>
      </c>
      <c r="MH13" s="293" t="str">
        <f t="shared" si="48"/>
        <v>+</v>
      </c>
      <c r="MI13" s="293" t="str">
        <f t="shared" si="49"/>
        <v>+</v>
      </c>
      <c r="MJ13" s="293" t="str">
        <f t="shared" si="50"/>
        <v>+</v>
      </c>
      <c r="MK13" s="293" t="str">
        <f t="shared" si="51"/>
        <v>+</v>
      </c>
      <c r="ML13" s="293" t="str">
        <f t="shared" si="52"/>
        <v>+</v>
      </c>
      <c r="MM13" s="3" t="b">
        <f t="array" ref="MM13">OR(ME13:ML13="-")</f>
        <v>0</v>
      </c>
      <c r="MN13" s="285"/>
      <c r="MO13" s="401"/>
      <c r="MP13" s="286"/>
      <c r="MQ13" s="286"/>
      <c r="MR13" s="402"/>
      <c r="MS13" s="400"/>
      <c r="NH13" s="422"/>
      <c r="NJ13" s="421"/>
    </row>
    <row r="14" spans="1:374" s="1" customFormat="1" ht="16.5">
      <c r="A14" s="403">
        <v>46024</v>
      </c>
      <c r="B14" s="404" t="s">
        <v>1015</v>
      </c>
      <c r="C14" s="405" t="s">
        <v>2608</v>
      </c>
      <c r="D14" s="406" t="s">
        <v>1943</v>
      </c>
      <c r="E14" s="404">
        <v>134</v>
      </c>
      <c r="F14" s="407">
        <v>7700</v>
      </c>
      <c r="G14" s="407" t="s">
        <v>1016</v>
      </c>
      <c r="H14" s="408" t="s">
        <v>1017</v>
      </c>
      <c r="I14" s="409">
        <f>2+0.9</f>
        <v>2.9</v>
      </c>
      <c r="J14" s="405" t="s">
        <v>543</v>
      </c>
      <c r="K14" s="404" t="s">
        <v>2609</v>
      </c>
      <c r="L14" s="419" t="str">
        <f t="shared" si="0"/>
        <v>ToyoLi - BLACK</v>
      </c>
      <c r="M14" s="404">
        <v>30</v>
      </c>
      <c r="N14" s="410">
        <f>IF(M14=0,0,IF($LB14=70%,VLOOKUP($L14,'Jan-2026 rates'!$L:$R,4,0),IF($LB14=65%,VLOOKUP($L14,'Jan-2026 rates'!$L:$R,4,0),IF($LB14=40%,VLOOKUP($L14,'Jan-2026 rates'!$L:$R,5,0),IF($LB14=30%,VLOOKUP($L14,'Jan-2026 rates'!$L:$R,6,0),IF($LB14=100%,VLOOKUP($L14,'Jan-2026 rates'!$L:$R,7,0),IF($LB14=60%,VLOOKUP($L14,'Jan-2026 rates'!$L:$S,8,0),IF($LB14=80%,VLOOKUP($L14,'Jan-2026 rates'!L:T,9,0),0))))))))</f>
        <v>0</v>
      </c>
      <c r="O14" s="406"/>
      <c r="P14" s="404"/>
      <c r="Q14" s="410">
        <f>IF(P14=0,0,IF($LB14=70%,VLOOKUP($L14,'Jan-2026 rates'!$L:$R,4,0),IF($LB14=65%,VLOOKUP($L14,'Jan-2026 rates'!$L:$R,4,0),IF($LB14=40%,VLOOKUP($L14,'Jan-2026 rates'!$L:$R,5,0),IF($LB14=30%,VLOOKUP($L14,'Jan-2026 rates'!$L:$R,6,0),IF($LB14=100%,VLOOKUP($L14,'Jan-2026 rates'!$L:$R,7,0),IF($LB14=60%,VLOOKUP($L14,'Jan-2026 rates'!$L:$S,8,0),IF($LB14=80%,VLOOKUP($L14,'Jan-2026 rates'!L:T,9,0),0))))))))</f>
        <v>0</v>
      </c>
      <c r="R14" s="406" t="s">
        <v>1921</v>
      </c>
      <c r="S14" s="406"/>
      <c r="T14" s="406"/>
      <c r="U14" s="406"/>
      <c r="V14" s="406"/>
      <c r="W14" s="406"/>
      <c r="X14" s="406"/>
      <c r="Y14" s="406"/>
      <c r="Z14" s="404">
        <v>2</v>
      </c>
      <c r="AA14" s="398">
        <f>IF(Z14=0,0,IF(LEN(R14)=11,_xlfn.XLOOKUP(R14,'Dispensed Ink Rates'!C:C,'Dispensed Ink Rates'!CS:CS),VLOOKUP(R14,'Jan-2026 rates'!$E:$F,2,0)))</f>
        <v>0</v>
      </c>
      <c r="AB14" s="404"/>
      <c r="AC14" s="398">
        <f>IF(AB14=0,0,IF(LEN(S14)=11,_xlfn.XLOOKUP(S14,'Dispensed Ink Rates'!C:C,'Dispensed Ink Rates'!CS:CS),VLOOKUP(S14,'Jan-2026 rates'!$E:$F,2,0)))</f>
        <v>0</v>
      </c>
      <c r="AD14" s="404"/>
      <c r="AE14" s="398">
        <f>IF(AD14=0,0,IF(LEN(T14)=11,_xlfn.XLOOKUP(T14,'Dispensed Ink Rates'!C:C,'Dispensed Ink Rates'!CS:CS),VLOOKUP(T14,'Jan-2026 rates'!$E:$F,2,0)))</f>
        <v>0</v>
      </c>
      <c r="AF14" s="404"/>
      <c r="AG14" s="398">
        <f>IF(AF14=0,0,IF(LEN(U14)=11,_xlfn.XLOOKUP(U14,'Dispensed Ink Rates'!C:C,'Dispensed Ink Rates'!CS:CS),VLOOKUP(U14,'Jan-2026 rates'!$E:$F,2,0)))</f>
        <v>0</v>
      </c>
      <c r="AH14" s="404"/>
      <c r="AI14" s="398">
        <f>IF(AH14=0,0,IF(LEN(V14)=11,_xlfn.XLOOKUP(V14,'Dispensed Ink Rates'!C:C,'Dispensed Ink Rates'!CS:CS),VLOOKUP(V14,'Jan-2026 rates'!$E:$F,2,0)))</f>
        <v>0</v>
      </c>
      <c r="AJ14" s="404"/>
      <c r="AK14" s="398">
        <f>IF(AJ14=0,0,IF(LEN(W14)=11,_xlfn.XLOOKUP(W14,'Dispensed Ink Rates'!C:C,'Dispensed Ink Rates'!CS:CS),VLOOKUP(W14,'Jan-2026 rates'!$E:$F,2,0)))</f>
        <v>0</v>
      </c>
      <c r="AL14" s="404"/>
      <c r="AM14" s="398">
        <f>IF(AL14=0,0,IF(LEN(X14)=11,_xlfn.XLOOKUP(X14,'Dispensed Ink Rates'!C:C,'Dispensed Ink Rates'!CS:CS),VLOOKUP(X14,'Jan-2026 rates'!$E:$F,2,0)))</f>
        <v>0</v>
      </c>
      <c r="AN14" s="404"/>
      <c r="AO14" s="398">
        <f>IF(AN14=0,0,IF(LEN(Y14)=11,_xlfn.XLOOKUP(Y14,'Dispensed Ink Rates'!C:C,'Dispensed Ink Rates'!CS:CS),VLOOKUP(Y14,'Jan-2026 rates'!$E:$F,2,0)))</f>
        <v>0</v>
      </c>
      <c r="AP14" s="409" t="s">
        <v>1881</v>
      </c>
      <c r="AQ14" s="409">
        <v>27</v>
      </c>
      <c r="AR14" s="410">
        <f t="shared" si="1"/>
        <v>0</v>
      </c>
      <c r="AS14" s="411">
        <f t="shared" si="2"/>
        <v>7.9777777777777743</v>
      </c>
      <c r="AT14" s="410">
        <f t="shared" si="3"/>
        <v>0</v>
      </c>
      <c r="AU14" s="405" t="s">
        <v>546</v>
      </c>
      <c r="AV14" s="409" t="s">
        <v>2610</v>
      </c>
      <c r="AW14" s="420" t="str">
        <f t="shared" si="4"/>
        <v>ToyoLi - REFLEX BLUE</v>
      </c>
      <c r="AX14" s="409">
        <v>17</v>
      </c>
      <c r="AY14" s="411">
        <f>IF(AX14=0,0,IF($LB14=70%,VLOOKUP($AW14,'Jan-2026 rates'!$L:$R,4,0),IF($LB14=65%,VLOOKUP($AW14,'Jan-2026 rates'!$L:$R,4,0),IF($LB14=40%,VLOOKUP($AW14,'Jan-2026 rates'!$L:$R,5,0),IF($LB14=30%,VLOOKUP($AW14,'Jan-2026 rates'!$L:$R,6,0),IF($LB14=100%,VLOOKUP($AW14,'Jan-2026 rates'!$L:$R,7,0),IF($LB14=60%,VLOOKUP($AW14,'Jan-2026 rates'!$L:$S,8,0),IF($LB14=80%,VLOOKUP($AW14,'Jan-2026 rates'!L:T,9,0),0))))))))</f>
        <v>0</v>
      </c>
      <c r="AZ14" s="412"/>
      <c r="BA14" s="409"/>
      <c r="BB14" s="411">
        <f>IF(BA14=0,0,IF($LB14=70%,VLOOKUP($AW14,'Jan-2026 rates'!$L:$R,4,0),IF($LB14=65%,VLOOKUP($AW14,'Jan-2026 rates'!$L:$R,4,0),IF($LB14=40%,VLOOKUP($AW14,'Jan-2026 rates'!$L:$R,5,0),IF($LB14=30%,VLOOKUP($AW14,'Jan-2026 rates'!$L:$R,6,0),IF($LB14=100%,VLOOKUP($AW14,'Jan-2026 rates'!$L:$R,7,0),IF($LB14=60%,VLOOKUP($AW14,'Jan-2026 rates'!$L:$S,8,0),IF($LB14=80%,VLOOKUP($AW14,'Jan-2026 rates'!L:T,9,0),0))))))))</f>
        <v>0</v>
      </c>
      <c r="BC14" s="413" t="s">
        <v>1880</v>
      </c>
      <c r="BD14" s="412" t="s">
        <v>1246</v>
      </c>
      <c r="BE14" s="412" t="s">
        <v>1252</v>
      </c>
      <c r="BF14" s="413"/>
      <c r="BG14" s="412"/>
      <c r="BH14" s="412"/>
      <c r="BI14" s="412"/>
      <c r="BJ14" s="412"/>
      <c r="BK14" s="409">
        <v>3</v>
      </c>
      <c r="BL14" s="398">
        <f>IF(BK14=0,0,IF(LEN(BC14)=11,_xlfn.XLOOKUP(BC14,'Dispensed Ink Rates'!C:C,'Dispensed Ink Rates'!CS:CS),VLOOKUP(BC14,'Jan-2026 rates'!$E:$F,2,0)))</f>
        <v>0</v>
      </c>
      <c r="BM14" s="409">
        <v>2</v>
      </c>
      <c r="BN14" s="398">
        <f>IF(BM14=0,0,IF(LEN(BD14)=11,_xlfn.XLOOKUP(BD14,'Dispensed Ink Rates'!C:C,'Dispensed Ink Rates'!CS:CS),VLOOKUP(BD14,'Jan-2026 rates'!$E:$F,2,0)))</f>
        <v>0</v>
      </c>
      <c r="BO14" s="409">
        <v>1</v>
      </c>
      <c r="BP14" s="398">
        <f>IF(BO14=0,0,IF(LEN(BE14)=11,_xlfn.XLOOKUP(BE14,'Dispensed Ink Rates'!C:C,'Dispensed Ink Rates'!CS:CS),VLOOKUP(BE14,'Jan-2026 rates'!$E:$F,2,0)))</f>
        <v>0</v>
      </c>
      <c r="BQ14" s="409"/>
      <c r="BR14" s="398">
        <f>IF(BQ14=0,0,IF(LEN(BF14)=11,_xlfn.XLOOKUP(BF14,'Dispensed Ink Rates'!C:C,'Dispensed Ink Rates'!CS:CS),VLOOKUP(BF14,'Jan-2026 rates'!$E:$F,2,0)))</f>
        <v>0</v>
      </c>
      <c r="BS14" s="409"/>
      <c r="BT14" s="398">
        <f>IF(BS14=0,0,IF(LEN(BG14)=11,_xlfn.XLOOKUP(BG14,'Dispensed Ink Rates'!C:C,'Dispensed Ink Rates'!CS:CS),VLOOKUP(BG14,'Jan-2026 rates'!$E:$F,2,0)))</f>
        <v>0</v>
      </c>
      <c r="BU14" s="409"/>
      <c r="BV14" s="398">
        <f>IF(BU14=0,0,IF(LEN(BH14)=11,_xlfn.XLOOKUP(BH14,'Dispensed Ink Rates'!C:C,'Dispensed Ink Rates'!CS:CS),VLOOKUP(BH14,'Jan-2026 rates'!$E:$F,2,0)))</f>
        <v>0</v>
      </c>
      <c r="BW14" s="409"/>
      <c r="BX14" s="398">
        <f>IF(BW14=0,0,IF(LEN(BI14)=11,_xlfn.XLOOKUP(BI14,'Dispensed Ink Rates'!C:C,'Dispensed Ink Rates'!CS:CS),VLOOKUP(BI14,'Jan-2026 rates'!$E:$F,2,0)))</f>
        <v>0</v>
      </c>
      <c r="BY14" s="409"/>
      <c r="BZ14" s="398">
        <f>IF(BY14=0,0,IF(LEN(BJ14)=11,_xlfn.XLOOKUP(BJ14,'Dispensed Ink Rates'!C:C,'Dispensed Ink Rates'!CS:CS),VLOOKUP(BJ14,'Jan-2026 rates'!$E:$F,2,0)))</f>
        <v>0</v>
      </c>
      <c r="CA14" s="409" t="s">
        <v>1881</v>
      </c>
      <c r="CB14" s="409">
        <v>20</v>
      </c>
      <c r="CC14" s="411">
        <f t="shared" si="5"/>
        <v>0</v>
      </c>
      <c r="CD14" s="411">
        <f t="shared" si="6"/>
        <v>8.9555555555555557</v>
      </c>
      <c r="CE14" s="410">
        <f t="shared" si="7"/>
        <v>0</v>
      </c>
      <c r="CF14" s="404" t="s">
        <v>857</v>
      </c>
      <c r="CG14" s="409" t="s">
        <v>2611</v>
      </c>
      <c r="CH14" s="420" t="str">
        <f t="shared" si="8"/>
        <v>ToyoLi - RED</v>
      </c>
      <c r="CI14" s="409">
        <v>27</v>
      </c>
      <c r="CJ14" s="411">
        <f>IF(CI14=0,0,IF($LB14=70%,VLOOKUP($CH14,'Jan-2026 rates'!$L:$R,4,0),IF($LB14=65%,VLOOKUP($CH14,'Jan-2026 rates'!$L:$R,4,0),IF($LB14=40%,VLOOKUP($CH14,'Jan-2026 rates'!$L:$R,5,0),IF($LB14=30%,VLOOKUP($CH14,'Jan-2026 rates'!$L:$R,6,0),IF($LB14=100%,VLOOKUP($CH14,'Jan-2026 rates'!$L:$R,7,0),IF($LB14=60%,VLOOKUP($CH14,'Jan-2026 rates'!$L:$S,8,0),IF($LB14=80%,VLOOKUP($CH14,'Jan-2026 rates'!L:T,9,0),0))))))))</f>
        <v>0</v>
      </c>
      <c r="CK14" s="412"/>
      <c r="CL14" s="409"/>
      <c r="CM14" s="411">
        <f>IF(CL14=0,0,IF($LB14=70%,VLOOKUP($CH14,'Jan-2026 rates'!$L:$R,4,0),IF($LB14=65%,VLOOKUP($CH14,'Jan-2026 rates'!$L:$R,4,0),IF($LB14=40%,VLOOKUP($CH14,'Jan-2026 rates'!$L:$R,5,0),IF($LB14=30%,VLOOKUP($CH14,'Jan-2026 rates'!$L:$R,6,0),IF($LB14=100%,VLOOKUP($CH14,'Jan-2026 rates'!$L:$R,7,0),IF($LB14=60%,VLOOKUP($CH14,'Jan-2026 rates'!$L:$S,8,0),IF($LB14=80%,VLOOKUP($CH14,'Jan-2026 rates'!L:T,9,0),0))))))))</f>
        <v>0</v>
      </c>
      <c r="CN14" s="426"/>
      <c r="CO14" s="427"/>
      <c r="CP14" s="426"/>
      <c r="CQ14" s="426"/>
      <c r="CR14" s="428"/>
      <c r="CS14" s="428"/>
      <c r="CT14" s="428"/>
      <c r="CU14" s="428"/>
      <c r="CV14" s="409"/>
      <c r="CW14" s="398">
        <f>IF(CV14=0,0,IF(LEN(CN14)=11,_xlfn.XLOOKUP(CN14,'Dispensed Ink Rates'!C:C,'Dispensed Ink Rates'!CS:CS),VLOOKUP(CN14,'Jan-2026 rates'!$E:$F,2,0)))</f>
        <v>0</v>
      </c>
      <c r="CX14" s="409"/>
      <c r="CY14" s="398">
        <f>IF(CX14=0,0,IF(LEN(CO14)=11,_xlfn.XLOOKUP(CO14,'Dispensed Ink Rates'!C:C,'Dispensed Ink Rates'!CS:CS),VLOOKUP(CO14,'Jan-2026 rates'!$E:$F,2,0)))</f>
        <v>0</v>
      </c>
      <c r="CZ14" s="409"/>
      <c r="DA14" s="398">
        <f>IF(CZ14=0,0,IF(LEN(CP14)=11,_xlfn.XLOOKUP(CP14,'Dispensed Ink Rates'!C:C,'Dispensed Ink Rates'!CS:CS),VLOOKUP(CP14,'Jan-2026 rates'!$E:$F,2,0)))</f>
        <v>0</v>
      </c>
      <c r="DB14" s="409"/>
      <c r="DC14" s="398">
        <f>IF(DB14=0,0,IF(LEN(CQ14)=11,_xlfn.XLOOKUP(CQ14,'Dispensed Ink Rates'!C:C,'Dispensed Ink Rates'!CS:CS),VLOOKUP(CQ14,'Jan-2026 rates'!$E:$F,2,0)))</f>
        <v>0</v>
      </c>
      <c r="DD14" s="409"/>
      <c r="DE14" s="398">
        <f>IF(DD14=0,0,IF(LEN(CR14)=11,_xlfn.XLOOKUP(CR14,'Dispensed Ink Rates'!C:C,'Dispensed Ink Rates'!CS:CS),VLOOKUP(CR14,'Jan-2026 rates'!$E:$F,2,0)))</f>
        <v>0</v>
      </c>
      <c r="DF14" s="409"/>
      <c r="DG14" s="398">
        <f>IF(DF14=0,0,IF(LEN(CS14)=11,_xlfn.XLOOKUP(CS14,'Dispensed Ink Rates'!C:C,'Dispensed Ink Rates'!CS:CS),VLOOKUP(CS14,'Jan-2026 rates'!$E:$F,2,0)))</f>
        <v>0</v>
      </c>
      <c r="DH14" s="409"/>
      <c r="DI14" s="398">
        <f>IF(DH14=0,0,IF(LEN(CT14)=11,_xlfn.XLOOKUP(CT14,'Dispensed Ink Rates'!C:C,'Dispensed Ink Rates'!CS:CS),VLOOKUP(CT14,'Jan-2026 rates'!$E:$F,2,0)))</f>
        <v>0</v>
      </c>
      <c r="DJ14" s="409"/>
      <c r="DK14" s="398">
        <f>IF(DJ14=0,0,IF(LEN(CU14)=11,_xlfn.XLOOKUP(CU14,'Dispensed Ink Rates'!C:C,'Dispensed Ink Rates'!CS:CS),VLOOKUP(CU14,'Jan-2026 rates'!$E:$F,2,0)))</f>
        <v>0</v>
      </c>
      <c r="DL14" s="409" t="s">
        <v>1881</v>
      </c>
      <c r="DM14" s="409">
        <v>25</v>
      </c>
      <c r="DN14" s="411">
        <f t="shared" si="9"/>
        <v>0</v>
      </c>
      <c r="DO14" s="411">
        <f t="shared" si="10"/>
        <v>7.9555555555555557</v>
      </c>
      <c r="DP14" s="410">
        <f t="shared" si="11"/>
        <v>0</v>
      </c>
      <c r="DQ14" s="405" t="s">
        <v>855</v>
      </c>
      <c r="DR14" s="409" t="s">
        <v>2612</v>
      </c>
      <c r="DS14" s="420" t="str">
        <f t="shared" si="12"/>
        <v>ToyoLi - CYAN</v>
      </c>
      <c r="DT14" s="409">
        <v>26</v>
      </c>
      <c r="DU14" s="411">
        <f>IF(DT14=0,0,IF($LB14=70%,VLOOKUP($DS14,'Jan-2026 rates'!$L:$R,4,0),IF($LB14=65%,VLOOKUP($DS14,'Jan-2026 rates'!$L:$R,4,0),IF($LB14=40%,VLOOKUP($DS14,'Jan-2026 rates'!$L:$R,5,0),IF($LB14=30%,VLOOKUP($DS14,'Jan-2026 rates'!$L:$R,6,0),IF($LB14=100%,VLOOKUP($DS14,'Jan-2026 rates'!$L:$R,7,0),IF($LB14=60%,VLOOKUP($DS14,'Jan-2026 rates'!$L:$S,8,0),IF($LB14=80%,VLOOKUP($DS14,'Jan-2026 rates'!L:T,9,0),0))))))))</f>
        <v>0</v>
      </c>
      <c r="DV14" s="412" t="s">
        <v>2613</v>
      </c>
      <c r="DW14" s="409">
        <v>21</v>
      </c>
      <c r="DX14" s="411">
        <f>IF(DW14=0,0,IF($LB14=70%,VLOOKUP($DS14,'Jan-2026 rates'!$L:$R,4,0),IF($LB14=65%,VLOOKUP($DS14,'Jan-2026 rates'!$L:$R,4,0),IF($LB14=40%,VLOOKUP($DS14,'Jan-2026 rates'!$L:$R,5,0),IF($LB14=30%,VLOOKUP($DS14,'Jan-2026 rates'!$L:$R,6,0),IF($LB14=100%,VLOOKUP($DS14,'Jan-2026 rates'!$L:$R,7,0),IF($LB14=60%,VLOOKUP($DS14,'Jan-2026 rates'!$L:$S,8,0),IF($LB14=80%,VLOOKUP($DS14,'Jan-2026 rates'!L:T,9,0),0))))))))</f>
        <v>0</v>
      </c>
      <c r="DY14" s="413" t="s">
        <v>1250</v>
      </c>
      <c r="DZ14" s="413" t="s">
        <v>1921</v>
      </c>
      <c r="EA14" s="412"/>
      <c r="EB14" s="412"/>
      <c r="EC14" s="412"/>
      <c r="ED14" s="412"/>
      <c r="EE14" s="412"/>
      <c r="EF14" s="412"/>
      <c r="EG14" s="409">
        <v>3</v>
      </c>
      <c r="EH14" s="398">
        <f>IF(EG14=0,0,IF(LEN(DY14)=11,_xlfn.XLOOKUP(DY14,'Dispensed Ink Rates'!C:C,'Dispensed Ink Rates'!CS:CS),VLOOKUP(DY14,'Jan-2026 rates'!$E:$F,2,0)))</f>
        <v>0</v>
      </c>
      <c r="EI14" s="409">
        <v>2</v>
      </c>
      <c r="EJ14" s="398">
        <f>IF(EI14=0,0,IF(LEN(DZ14)=11,_xlfn.XLOOKUP(DZ14,'Dispensed Ink Rates'!C:C,'Dispensed Ink Rates'!CS:CS),VLOOKUP(DZ14,'Jan-2026 rates'!$E:$F,2,0)))</f>
        <v>0</v>
      </c>
      <c r="EK14" s="409"/>
      <c r="EL14" s="398">
        <f>IF(EK14=0,0,IF(LEN(EA14)=11,_xlfn.XLOOKUP(EA14,'Dispensed Ink Rates'!C:C,'Dispensed Ink Rates'!CS:CS),VLOOKUP(EA14,'Jan-2026 rates'!$E:$F,2,0)))</f>
        <v>0</v>
      </c>
      <c r="EM14" s="409"/>
      <c r="EN14" s="398">
        <f>IF(EM14=0,0,IF(LEN(EB14)=11,_xlfn.XLOOKUP(EB14,'Dispensed Ink Rates'!C:C,'Dispensed Ink Rates'!CS:CS),VLOOKUP(EB14,'Jan-2026 rates'!$E:$F,2,0)))</f>
        <v>0</v>
      </c>
      <c r="EO14" s="409"/>
      <c r="EP14" s="398">
        <f>IF(EO14=0,0,IF(LEN(EC14)=11,_xlfn.XLOOKUP(EC14,'Dispensed Ink Rates'!C:C,'Dispensed Ink Rates'!CS:CS),VLOOKUP(EC14,'Jan-2026 rates'!$E:$F,2,0)))</f>
        <v>0</v>
      </c>
      <c r="EQ14" s="409"/>
      <c r="ER14" s="398">
        <f>IF(EQ14=0,0,IF(LEN(ED14)=11,_xlfn.XLOOKUP(ED14,'Dispensed Ink Rates'!C:C,'Dispensed Ink Rates'!CS:CS),VLOOKUP(ED14,'Jan-2026 rates'!$E:$F,2,0)))</f>
        <v>0</v>
      </c>
      <c r="ES14" s="409"/>
      <c r="ET14" s="398">
        <f>IF(ES14=0,0,IF(LEN(EE14)=11,_xlfn.XLOOKUP(EE14,'Dispensed Ink Rates'!C:C,'Dispensed Ink Rates'!CS:CS),VLOOKUP(EE14,'Jan-2026 rates'!$E:$F,2,0)))</f>
        <v>0</v>
      </c>
      <c r="EU14" s="409"/>
      <c r="EV14" s="398">
        <f>IF(EU14=0,0,IF(LEN(EF14)=11,_xlfn.XLOOKUP(EF14,'Dispensed Ink Rates'!C:C,'Dispensed Ink Rates'!CS:CS),VLOOKUP(EF14,'Jan-2026 rates'!$E:$F,2,0)))</f>
        <v>0</v>
      </c>
      <c r="EW14" s="409" t="s">
        <v>1881</v>
      </c>
      <c r="EX14" s="409">
        <v>26</v>
      </c>
      <c r="EY14" s="411">
        <f t="shared" si="13"/>
        <v>0</v>
      </c>
      <c r="EZ14" s="411">
        <f t="shared" si="14"/>
        <v>31.955555555555556</v>
      </c>
      <c r="FA14" s="410">
        <f t="shared" si="15"/>
        <v>0</v>
      </c>
      <c r="FB14" s="405" t="s">
        <v>544</v>
      </c>
      <c r="FC14" s="409" t="s">
        <v>2614</v>
      </c>
      <c r="FD14" s="420" t="str">
        <f t="shared" si="16"/>
        <v>ToyoLi - MAGENTA</v>
      </c>
      <c r="FE14" s="409">
        <v>27</v>
      </c>
      <c r="FF14" s="411">
        <f>IF(FE14=0,0,IF($LB14=70%,VLOOKUP($FD14,'Jan-2026 rates'!$L:$R,4,0),IF($LB14=65%,VLOOKUP($FD14,'Jan-2026 rates'!$L:$R,4,0),IF($LB14=40%,VLOOKUP($FD14,'Jan-2026 rates'!$L:$R,5,0),IF($LB14=30%,VLOOKUP($FD14,'Jan-2026 rates'!$L:$R,6,0),IF($LB14=100%,VLOOKUP($FD14,'Jan-2026 rates'!$L:$R,7,0),IF($LB14=60%,VLOOKUP($FD14,'Jan-2026 rates'!$L:$S,8,0),IF($LB14=80%,VLOOKUP($FD14,'Jan-2026 rates'!L:T,9,0),0))))))))</f>
        <v>0</v>
      </c>
      <c r="FG14" s="412"/>
      <c r="FH14" s="409"/>
      <c r="FI14" s="411">
        <f>IF(FH14=0,0,IF($LB14=70%,VLOOKUP($FD14,'Jan-2026 rates'!$L:$R,4,0),IF($LB14=65%,VLOOKUP($FD14,'Jan-2026 rates'!$L:$R,4,0),IF($LB14=40%,VLOOKUP($FD14,'Jan-2026 rates'!$L:$R,5,0),IF($LB14=30%,VLOOKUP($FD14,'Jan-2026 rates'!$L:$R,6,0),IF($LB14=100%,VLOOKUP($FD14,'Jan-2026 rates'!$L:$R,7,0),IF($LB14=60%,VLOOKUP($FD14,'Jan-2026 rates'!$L:$S,8,0),IF($LB14=80%,VLOOKUP($FD14,'Jan-2026 rates'!L:T,9,0),0))))))))</f>
        <v>0</v>
      </c>
      <c r="FJ14" s="413" t="s">
        <v>1246</v>
      </c>
      <c r="FK14" s="413"/>
      <c r="FL14" s="413"/>
      <c r="FM14" s="412"/>
      <c r="FN14" s="412"/>
      <c r="FO14" s="412"/>
      <c r="FP14" s="412"/>
      <c r="FQ14" s="412"/>
      <c r="FR14" s="409">
        <v>1</v>
      </c>
      <c r="FS14" s="398">
        <f>IF(FR14=0,0,IF(LEN(FJ14)=11,_xlfn.XLOOKUP(FJ14,'Dispensed Ink Rates'!C:C,'Dispensed Ink Rates'!CS:CS),VLOOKUP(FJ14,'Jan-2026 rates'!$E:$F,2,0)))</f>
        <v>0</v>
      </c>
      <c r="FT14" s="409"/>
      <c r="FU14" s="398">
        <f>IF(FT14=0,0,IF(LEN(FK14)=11,_xlfn.XLOOKUP(FK14,'Dispensed Ink Rates'!C:C,'Dispensed Ink Rates'!CS:CS),VLOOKUP(FK14,'Jan-2026 rates'!$E:$F,2,0)))</f>
        <v>0</v>
      </c>
      <c r="FV14" s="409"/>
      <c r="FW14" s="398">
        <f>IF(FV14=0,0,IF(LEN(FL14)=11,_xlfn.XLOOKUP(FL14,'Dispensed Ink Rates'!C:C,'Dispensed Ink Rates'!CS:CS),VLOOKUP(FL14,'Jan-2026 rates'!$E:$F,2,0)))</f>
        <v>0</v>
      </c>
      <c r="FX14" s="409"/>
      <c r="FY14" s="398">
        <f>IF(FX14=0,0,IF(LEN(FM14)=11,_xlfn.XLOOKUP(FM14,'Dispensed Ink Rates'!C:C,'Dispensed Ink Rates'!CS:CS),VLOOKUP(FM14,'Jan-2026 rates'!$E:$F,2,0)))</f>
        <v>0</v>
      </c>
      <c r="FZ14" s="409"/>
      <c r="GA14" s="398">
        <f>IF(FZ14=0,0,IF(LEN(FN14)=11,_xlfn.XLOOKUP(FN14,'Dispensed Ink Rates'!C:C,'Dispensed Ink Rates'!CS:CS),VLOOKUP(FN14,'Jan-2026 rates'!$E:$F,2,0)))</f>
        <v>0</v>
      </c>
      <c r="GB14" s="409"/>
      <c r="GC14" s="398">
        <f>IF(GB14=0,0,IF(LEN(FO14)=11,_xlfn.XLOOKUP(FO14,'Dispensed Ink Rates'!C:C,'Dispensed Ink Rates'!CS:CS),VLOOKUP(FO14,'Jan-2026 rates'!$E:$F,2,0)))</f>
        <v>0</v>
      </c>
      <c r="GD14" s="409"/>
      <c r="GE14" s="398">
        <f>IF(GD14=0,0,IF(LEN(FP14)=11,_xlfn.XLOOKUP(FP14,'Dispensed Ink Rates'!C:C,'Dispensed Ink Rates'!CS:CS),VLOOKUP(FP14,'Jan-2026 rates'!$E:$F,2,0)))</f>
        <v>0</v>
      </c>
      <c r="GF14" s="409"/>
      <c r="GG14" s="398">
        <f>IF(GF14=0,0,IF(LEN(FQ14)=11,_xlfn.XLOOKUP(FQ14,'Dispensed Ink Rates'!C:C,'Dispensed Ink Rates'!CS:CS),VLOOKUP(FQ14,'Jan-2026 rates'!$E:$F,2,0)))</f>
        <v>0</v>
      </c>
      <c r="GH14" s="409" t="s">
        <v>1881</v>
      </c>
      <c r="GI14" s="409">
        <v>25</v>
      </c>
      <c r="GJ14" s="411">
        <f t="shared" si="17"/>
        <v>0</v>
      </c>
      <c r="GK14" s="411">
        <f t="shared" si="18"/>
        <v>5.9777777777777779</v>
      </c>
      <c r="GL14" s="410">
        <f t="shared" si="19"/>
        <v>0</v>
      </c>
      <c r="GM14" s="405" t="s">
        <v>545</v>
      </c>
      <c r="GN14" s="409" t="s">
        <v>2615</v>
      </c>
      <c r="GO14" s="420" t="str">
        <f t="shared" si="20"/>
        <v>ToyoLi - YELLOW</v>
      </c>
      <c r="GP14" s="409">
        <v>26</v>
      </c>
      <c r="GQ14" s="411">
        <f>IF(GP14=0,0,IF($LB14=70%,VLOOKUP($GO14,'Jan-2026 rates'!$L:$R,4,0),IF($LB14=65%,VLOOKUP($GO14,'Jan-2026 rates'!$L:$R,4,0),IF($LB14=40%,VLOOKUP($GO14,'Jan-2026 rates'!$L:$R,5,0),IF($LB14=30%,VLOOKUP($GO14,'Jan-2026 rates'!$L:$R,6,0),IF($LB14=100%,VLOOKUP($GO14,'Jan-2026 rates'!$L:$R,7,0),IF($LB14=60%,VLOOKUP($GO14,'Jan-2026 rates'!$L:$S,8,0),IF($LB14=80%,VLOOKUP($GO14,'Jan-2026 rates'!L:T,9,0),0))))))))</f>
        <v>0</v>
      </c>
      <c r="GR14" s="412"/>
      <c r="GS14" s="409"/>
      <c r="GT14" s="411">
        <f>IF(GS14=0,0,IF($LB14=70%,VLOOKUP($GO14,'Jan-2026 rates'!$L:$R,4,0),IF($LB14=65%,VLOOKUP($GO14,'Jan-2026 rates'!$L:$R,4,0),IF($LB14=40%,VLOOKUP($GO14,'Jan-2026 rates'!$L:$R,5,0),IF($LB14=30%,VLOOKUP($GO14,'Jan-2026 rates'!$L:$R,6,0),IF($LB14=100%,VLOOKUP($GO14,'Jan-2026 rates'!$L:$R,7,0),IF($LB14=60%,VLOOKUP($GO14,'Jan-2026 rates'!$L:$S,8,0),IF($LB14=80%,VLOOKUP($GO14,'Jan-2026 rates'!L:T,9,0),0))))))))</f>
        <v>0</v>
      </c>
      <c r="GU14" s="413" t="s">
        <v>1247</v>
      </c>
      <c r="GV14" s="413"/>
      <c r="GW14" s="412"/>
      <c r="GX14" s="412"/>
      <c r="GY14" s="412"/>
      <c r="GZ14" s="412"/>
      <c r="HA14" s="412"/>
      <c r="HB14" s="412"/>
      <c r="HC14" s="409">
        <v>2</v>
      </c>
      <c r="HD14" s="398">
        <f>IF(HC14=0,0,IF(LEN(GU14)=11,_xlfn.XLOOKUP(GU14,'Dispensed Ink Rates'!C:C,'Dispensed Ink Rates'!CS:CS),VLOOKUP(GU14,'Jan-2026 rates'!$E:$F,2,0)))</f>
        <v>0</v>
      </c>
      <c r="HE14" s="409"/>
      <c r="HF14" s="398">
        <f>IF(HE14=0,0,IF(LEN(GV14)=11,_xlfn.XLOOKUP(GV14,'Dispensed Ink Rates'!C:C,'Dispensed Ink Rates'!CS:CS),VLOOKUP(GV14,'Jan-2026 rates'!$E:$F,2,0)))</f>
        <v>0</v>
      </c>
      <c r="HG14" s="409"/>
      <c r="HH14" s="398">
        <f>IF(HG14=0,0,IF(LEN(GW14)=11,_xlfn.XLOOKUP(GW14,'Dispensed Ink Rates'!C:C,'Dispensed Ink Rates'!CS:CS),VLOOKUP(GW14,'Jan-2026 rates'!$E:$F,2,0)))</f>
        <v>0</v>
      </c>
      <c r="HI14" s="409"/>
      <c r="HJ14" s="398">
        <f>IF(HI14=0,0,IF(LEN(GX14)=11,_xlfn.XLOOKUP(GX14,'Dispensed Ink Rates'!C:C,'Dispensed Ink Rates'!CS:CS),VLOOKUP(GX14,'Jan-2026 rates'!$E:$F,2,0)))</f>
        <v>0</v>
      </c>
      <c r="HK14" s="409"/>
      <c r="HL14" s="398">
        <f>IF(HK14=0,0,IF(LEN(GY14)=11,_xlfn.XLOOKUP(GY14,'Dispensed Ink Rates'!C:C,'Dispensed Ink Rates'!CS:CS),VLOOKUP(GY14,'Jan-2026 rates'!$E:$F,2,0)))</f>
        <v>0</v>
      </c>
      <c r="HM14" s="409"/>
      <c r="HN14" s="398">
        <f>IF(HM14=0,0,IF(LEN(GZ14)=11,_xlfn.XLOOKUP(GZ14,'Dispensed Ink Rates'!C:C,'Dispensed Ink Rates'!CS:CS),VLOOKUP(GZ14,'Jan-2026 rates'!$E:$F,2,0)))</f>
        <v>0</v>
      </c>
      <c r="HO14" s="409"/>
      <c r="HP14" s="398">
        <f>IF(HO14=0,0,IF(LEN(HA14)=11,_xlfn.XLOOKUP(HA14,'Dispensed Ink Rates'!C:C,'Dispensed Ink Rates'!CS:CS),VLOOKUP(HA14,'Jan-2026 rates'!$E:$F,2,0)))</f>
        <v>0</v>
      </c>
      <c r="HQ14" s="409"/>
      <c r="HR14" s="398">
        <f>IF(HQ14=0,0,IF(LEN(HB14)=11,_xlfn.XLOOKUP(HB14,'Dispensed Ink Rates'!C:C,'Dispensed Ink Rates'!CS:CS),VLOOKUP(HB14,'Jan-2026 rates'!$E:$F,2,0)))</f>
        <v>0</v>
      </c>
      <c r="HS14" s="409" t="s">
        <v>1881</v>
      </c>
      <c r="HT14" s="409">
        <v>24</v>
      </c>
      <c r="HU14" s="411">
        <f t="shared" si="21"/>
        <v>0</v>
      </c>
      <c r="HV14" s="411">
        <f t="shared" si="22"/>
        <v>9.9555555555555557</v>
      </c>
      <c r="HW14" s="414">
        <f t="shared" si="23"/>
        <v>0</v>
      </c>
      <c r="HX14" s="405" t="s">
        <v>856</v>
      </c>
      <c r="HY14" s="409" t="s">
        <v>2616</v>
      </c>
      <c r="HZ14" s="420" t="str">
        <f t="shared" si="24"/>
        <v>ToyoLi - WHITE</v>
      </c>
      <c r="IA14" s="409">
        <v>20</v>
      </c>
      <c r="IB14" s="411">
        <f>IF(IA14=0,0,IF($LB14=70%,VLOOKUP($HZ14,'Jan-2026 rates'!$L:$R,4,0),IF($LB14=65%,VLOOKUP($HZ14,'Jan-2026 rates'!$L:$R,4,0),IF($LB14=40%,VLOOKUP($HZ14,'Jan-2026 rates'!$L:$R,5,0),IF($LB14=30%,VLOOKUP($HZ14,'Jan-2026 rates'!$L:$R,6,0),IF($LB14=100%,VLOOKUP($HZ14,'Jan-2026 rates'!$L:$R,7,0),IF($LB14=60%,VLOOKUP($HZ14,'Jan-2026 rates'!$L:$S,8,0),IF($LB14=80%,VLOOKUP($HZ14,'Jan-2026 rates'!L:T,9,0),0))))))))</f>
        <v>0</v>
      </c>
      <c r="IC14" s="412"/>
      <c r="ID14" s="409"/>
      <c r="IE14" s="411">
        <f>IF(ID14=0,0,IF($LB14=70%,VLOOKUP($HZ14,'Jan-2026 rates'!$L:$R,4,0),IF($LB14=65%,VLOOKUP($HZ14,'Jan-2026 rates'!$L:$R,4,0),IF($LB14=40%,VLOOKUP($HZ14,'Jan-2026 rates'!$L:$R,5,0),IF($LB14=30%,VLOOKUP($HZ14,'Jan-2026 rates'!$L:$R,6,0),IF($LB14=100%,VLOOKUP($HZ14,'Jan-2026 rates'!$L:$R,7,0),IF($LB14=60%,VLOOKUP($HZ14,'Jan-2026 rates'!$L:$S,8,0),IF($LB14=80%,VLOOKUP($HZ14,'Jan-2026 rates'!L:T,9,0),0))))))))</f>
        <v>0</v>
      </c>
      <c r="IF14" s="412" t="s">
        <v>1249</v>
      </c>
      <c r="IG14" s="413"/>
      <c r="IH14" s="412"/>
      <c r="II14" s="412"/>
      <c r="IJ14" s="412"/>
      <c r="IK14" s="412"/>
      <c r="IL14" s="412"/>
      <c r="IM14" s="412"/>
      <c r="IN14" s="409">
        <v>40</v>
      </c>
      <c r="IO14" s="398">
        <f>IF(IN14=0,0,IF(LEN(IF14)=11,_xlfn.XLOOKUP(IF14,'Dispensed Ink Rates'!C:C,'Dispensed Ink Rates'!CS:CS),VLOOKUP(IF14,'Jan-2026 rates'!$E:$F,2,0)))</f>
        <v>0</v>
      </c>
      <c r="IP14" s="409"/>
      <c r="IQ14" s="398">
        <f>IF(IP14=0,0,IF(LEN(IG14)=11,_xlfn.XLOOKUP(IG14,'Dispensed Ink Rates'!C:C,'Dispensed Ink Rates'!CS:CS),VLOOKUP(IG14,'Jan-2026 rates'!$E:$F,2,0)))</f>
        <v>0</v>
      </c>
      <c r="IR14" s="409"/>
      <c r="IS14" s="398">
        <f>IF(IR14=0,0,IF(LEN(IH14)=11,_xlfn.XLOOKUP(IH14,'Dispensed Ink Rates'!C:C,'Dispensed Ink Rates'!CS:CS),VLOOKUP(IH14,'Jan-2026 rates'!$E:$F,2,0)))</f>
        <v>0</v>
      </c>
      <c r="IT14" s="409"/>
      <c r="IU14" s="398">
        <f>IF(IT14=0,0,IF(LEN(II14)=11,_xlfn.XLOOKUP(II14,'Dispensed Ink Rates'!C:C,'Dispensed Ink Rates'!CS:CS),VLOOKUP(II14,'Jan-2026 rates'!$E:$F,2,0)))</f>
        <v>0</v>
      </c>
      <c r="IV14" s="409"/>
      <c r="IW14" s="398">
        <f>IF(IV14=0,0,IF(LEN(IJ14)=11,_xlfn.XLOOKUP(IJ14,'Dispensed Ink Rates'!C:C,'Dispensed Ink Rates'!CS:CS),VLOOKUP(IJ14,'Jan-2026 rates'!$E:$F,2,0)))</f>
        <v>0</v>
      </c>
      <c r="IX14" s="409"/>
      <c r="IY14" s="398">
        <f>IF(IX14=0,0,IF(LEN(IK14)=11,_xlfn.XLOOKUP(IK14,'Dispensed Ink Rates'!C:C,'Dispensed Ink Rates'!CS:CS),VLOOKUP(IK14,'Jan-2026 rates'!$E:$F,2,0)))</f>
        <v>0</v>
      </c>
      <c r="IZ14" s="409"/>
      <c r="JA14" s="398">
        <f>IF(IZ14=0,0,IF(LEN(IL14)=11,_xlfn.XLOOKUP(IL14,'Dispensed Ink Rates'!C:C,'Dispensed Ink Rates'!CS:CS),VLOOKUP(IL14,'Jan-2026 rates'!$E:$F,2,0)))</f>
        <v>0</v>
      </c>
      <c r="JB14" s="409"/>
      <c r="JC14" s="398">
        <f>IF(JB14=0,0,IF(LEN(IM14)=11,_xlfn.XLOOKUP(IM14,'Dispensed Ink Rates'!C:C,'Dispensed Ink Rates'!CS:CS),VLOOKUP(IM14,'Jan-2026 rates'!$E:$F,2,0)))</f>
        <v>0</v>
      </c>
      <c r="JD14" s="409" t="s">
        <v>1881</v>
      </c>
      <c r="JE14" s="409">
        <v>20</v>
      </c>
      <c r="JF14" s="411">
        <f t="shared" si="25"/>
        <v>0</v>
      </c>
      <c r="JG14" s="411">
        <f t="shared" si="26"/>
        <v>99.555555555555543</v>
      </c>
      <c r="JH14" s="410">
        <f t="shared" si="27"/>
        <v>0</v>
      </c>
      <c r="JI14" s="405" t="s">
        <v>605</v>
      </c>
      <c r="JJ14" s="409" t="s">
        <v>2614</v>
      </c>
      <c r="JK14" s="420" t="str">
        <f t="shared" si="28"/>
        <v>HI-TECH INK - MATT</v>
      </c>
      <c r="JL14" s="409">
        <v>20</v>
      </c>
      <c r="JM14" s="411">
        <f>IF(JL14=0,0,IF($LB14=70%,VLOOKUP($JK14,'Jan-2026 rates'!$L:$R,4,0),IF($LB14=65%,VLOOKUP($JK14,'Jan-2026 rates'!$L:$R,4,0),IF($LB14=40%,VLOOKUP($JK14,'Jan-2026 rates'!$L:$R,5,0),IF($LB14=30%,VLOOKUP($JK14,'Jan-2026 rates'!$L:$R,6,0),IF($LB14=100%,VLOOKUP($JK14,'Jan-2026 rates'!$L:$R,7,0),IF($LB14=60%,VLOOKUP($JK14,'Jan-2026 rates'!$L:$S,8,0),IF($LB14=80%,VLOOKUP($JK14,'Jan-2026 rates'!L:T,9,0),0))))))))</f>
        <v>0</v>
      </c>
      <c r="JN14" s="412"/>
      <c r="JO14" s="409"/>
      <c r="JP14" s="411">
        <f>IF(JO14=0,0,IF($LB14=70%,VLOOKUP($JK14,'Jan-2026 rates'!$L:$R,4,0),IF($LB14=65%,VLOOKUP($JK14,'Jan-2026 rates'!$L:$R,4,0),IF($LB14=40%,VLOOKUP($JK14,'Jan-2026 rates'!$L:$R,5,0),IF($LB14=30%,VLOOKUP($JK14,'Jan-2026 rates'!$L:$R,6,0),IF($LB14=100%,VLOOKUP($JK14,'Jan-2026 rates'!$L:$R,7,0),IF($LB14=60%,VLOOKUP($JK14,'Jan-2026 rates'!$L:$S,8,0),IF($LB14=80%,VLOOKUP($JK14,'Jan-2026 rates'!L:T,9,0),0))))))))</f>
        <v>0</v>
      </c>
      <c r="JQ14" s="413">
        <v>2066</v>
      </c>
      <c r="JR14" s="412"/>
      <c r="JS14" s="413"/>
      <c r="JT14" s="413"/>
      <c r="JU14" s="412"/>
      <c r="JV14" s="412"/>
      <c r="JW14" s="412"/>
      <c r="JX14" s="412"/>
      <c r="JY14" s="409">
        <v>40</v>
      </c>
      <c r="JZ14" s="398">
        <f>IF(JY14=0,0,IF(LEN(JQ14)=11,_xlfn.XLOOKUP(JQ14,'Dispensed Ink Rates'!C:C,'Dispensed Ink Rates'!CS:CS),VLOOKUP(JQ14,'Jan-2026 rates'!$E:$F,2,0)))</f>
        <v>0</v>
      </c>
      <c r="KA14" s="409"/>
      <c r="KB14" s="398">
        <f>IF(KA14=0,0,IF(LEN(JR14)=11,_xlfn.XLOOKUP(JR14,'Dispensed Ink Rates'!C:C,'Dispensed Ink Rates'!CS:CS),VLOOKUP(JR14,'Jan-2026 rates'!$E:$F,2,0)))</f>
        <v>0</v>
      </c>
      <c r="KC14" s="409"/>
      <c r="KD14" s="398">
        <f>IF(KC14=0,0,IF(LEN(JS14)=11,_xlfn.XLOOKUP(JS14,'Dispensed Ink Rates'!C:C,'Dispensed Ink Rates'!CS:CS),VLOOKUP(JS14,'Jan-2026 rates'!$E:$F,2,0)))</f>
        <v>0</v>
      </c>
      <c r="KE14" s="409"/>
      <c r="KF14" s="398">
        <f>IF(KE14=0,0,IF(LEN(JT14)=11,_xlfn.XLOOKUP(JT14,'Dispensed Ink Rates'!C:C,'Dispensed Ink Rates'!CS:CS),VLOOKUP(JT14,'Jan-2026 rates'!$E:$F,2,0)))</f>
        <v>0</v>
      </c>
      <c r="KG14" s="409"/>
      <c r="KH14" s="398">
        <f>IF(KG14=0,0,IF(LEN(JU14)=11,_xlfn.XLOOKUP(JU14,'Dispensed Ink Rates'!C:C,'Dispensed Ink Rates'!CS:CS),VLOOKUP(JU14,'Jan-2026 rates'!$E:$F,2,0)))</f>
        <v>0</v>
      </c>
      <c r="KI14" s="409"/>
      <c r="KJ14" s="398">
        <f>IF(KI14=0,0,IF(LEN(JV14)=11,_xlfn.XLOOKUP(JV14,'Dispensed Ink Rates'!C:C,'Dispensed Ink Rates'!CS:CS),VLOOKUP(JV14,'Jan-2026 rates'!$E:$F,2,0)))</f>
        <v>0</v>
      </c>
      <c r="KK14" s="409"/>
      <c r="KL14" s="398">
        <f>IF(KK14=0,0,IF(LEN(JW14)=11,_xlfn.XLOOKUP(JW14,'Dispensed Ink Rates'!C:C,'Dispensed Ink Rates'!CS:CS),VLOOKUP(JW14,'Jan-2026 rates'!$E:$F,2,0)))</f>
        <v>0</v>
      </c>
      <c r="KM14" s="428"/>
      <c r="KN14" s="398">
        <f>IF(KM14=0,0,IF(LEN(JX14)=11,_xlfn.XLOOKUP(JX14,'Dispensed Ink Rates'!C:C,'Dispensed Ink Rates'!CS:CS),VLOOKUP(JX14,'Jan-2026 rates'!$E:$F,2,0)))</f>
        <v>0</v>
      </c>
      <c r="KO14" s="409" t="s">
        <v>602</v>
      </c>
      <c r="KP14" s="409">
        <v>21</v>
      </c>
      <c r="KQ14" s="411">
        <f t="shared" si="29"/>
        <v>0</v>
      </c>
      <c r="KR14" s="411">
        <f t="shared" si="30"/>
        <v>83.666666666666657</v>
      </c>
      <c r="KS14" s="410">
        <f t="shared" si="31"/>
        <v>0</v>
      </c>
      <c r="KT14" s="409">
        <v>1</v>
      </c>
      <c r="KU14" s="409">
        <v>2</v>
      </c>
      <c r="KV14" s="409">
        <v>2</v>
      </c>
      <c r="KW14" s="409">
        <v>2</v>
      </c>
      <c r="KX14" s="409">
        <v>1</v>
      </c>
      <c r="KY14" s="409">
        <v>2</v>
      </c>
      <c r="KZ14" s="409">
        <v>20</v>
      </c>
      <c r="LA14" s="409">
        <v>15</v>
      </c>
      <c r="LB14" s="415">
        <v>0.3</v>
      </c>
      <c r="LC14" s="415"/>
      <c r="LD14" s="415"/>
      <c r="LE14" s="415">
        <v>0.5</v>
      </c>
      <c r="LF14" s="415">
        <v>0.2</v>
      </c>
      <c r="LG14" s="409">
        <v>0</v>
      </c>
      <c r="LH14" s="409">
        <f>35+30+18+30+5+4+12</f>
        <v>134</v>
      </c>
      <c r="LI14" s="409">
        <v>0</v>
      </c>
      <c r="LJ14" s="409">
        <v>0</v>
      </c>
      <c r="LK14" s="416">
        <f t="shared" si="32"/>
        <v>134</v>
      </c>
      <c r="LL14" s="416">
        <f t="shared" si="33"/>
        <v>134</v>
      </c>
      <c r="LM14" s="417">
        <f t="shared" si="34"/>
        <v>40.199999999999996</v>
      </c>
      <c r="LN14" s="417">
        <f>VLOOKUP($LM$8,'Jan-2026 rates'!$H:$I,2,0)</f>
        <v>0</v>
      </c>
      <c r="LO14" s="417">
        <f t="shared" si="35"/>
        <v>0</v>
      </c>
      <c r="LP14" s="417">
        <f>VLOOKUP($LO$8,'Jan-2026 rates'!$H:$I,2,0)</f>
        <v>0</v>
      </c>
      <c r="LQ14" s="417">
        <f t="shared" si="36"/>
        <v>0</v>
      </c>
      <c r="LR14" s="417">
        <f>VLOOKUP($LQ$8,'Jan-2026 rates'!$H:$I,2,0)</f>
        <v>0</v>
      </c>
      <c r="LS14" s="417">
        <f t="shared" si="37"/>
        <v>67</v>
      </c>
      <c r="LT14" s="417">
        <f>VLOOKUP($LS$8,'Jan-2026 rates'!$H:$I,2,0)</f>
        <v>0</v>
      </c>
      <c r="LU14" s="417">
        <f t="shared" si="38"/>
        <v>26.8</v>
      </c>
      <c r="LV14" s="417">
        <f>VLOOKUP($LU$8,'Jan-2026 rates'!$H:$I,2,0)</f>
        <v>0</v>
      </c>
      <c r="LW14" s="417">
        <f t="shared" si="39"/>
        <v>0</v>
      </c>
      <c r="LX14" s="417">
        <f t="shared" si="40"/>
        <v>0</v>
      </c>
      <c r="LY14" s="418">
        <f t="shared" si="41"/>
        <v>0</v>
      </c>
      <c r="LZ14" s="417"/>
      <c r="MA14" s="435">
        <f t="shared" si="42"/>
        <v>96</v>
      </c>
      <c r="MB14" s="282">
        <f t="shared" si="43"/>
        <v>255.99999999999997</v>
      </c>
      <c r="MC14" s="283" t="s">
        <v>1943</v>
      </c>
      <c r="MD14" s="284" t="str">
        <f t="shared" si="44"/>
        <v>ToyoLiToyoLiToyoLiToyoLiToyoLiToyoLiToyoLiHI-TECH INK</v>
      </c>
      <c r="ME14" s="293" t="str">
        <f t="shared" si="45"/>
        <v>+</v>
      </c>
      <c r="MF14" s="293" t="str">
        <f t="shared" si="46"/>
        <v>+</v>
      </c>
      <c r="MG14" s="293" t="str">
        <f t="shared" si="47"/>
        <v>+</v>
      </c>
      <c r="MH14" s="293" t="str">
        <f t="shared" si="48"/>
        <v>+</v>
      </c>
      <c r="MI14" s="293" t="str">
        <f t="shared" si="49"/>
        <v>+</v>
      </c>
      <c r="MJ14" s="293" t="str">
        <f t="shared" si="50"/>
        <v>+</v>
      </c>
      <c r="MK14" s="293" t="str">
        <f t="shared" si="51"/>
        <v>+</v>
      </c>
      <c r="ML14" s="293" t="str">
        <f t="shared" si="52"/>
        <v>+</v>
      </c>
      <c r="MM14" s="3" t="b">
        <f t="array" ref="MM14">OR(ME14:ML14="-")</f>
        <v>0</v>
      </c>
      <c r="MN14" s="285"/>
      <c r="MO14" s="401"/>
      <c r="MP14" s="286"/>
      <c r="MQ14" s="286"/>
      <c r="MR14" s="402"/>
      <c r="MS14" s="400"/>
      <c r="NH14" s="422"/>
      <c r="NJ14" s="421"/>
    </row>
    <row r="15" spans="1:374" s="1" customFormat="1" ht="16.5">
      <c r="A15" s="403">
        <v>46024</v>
      </c>
      <c r="B15" s="404" t="s">
        <v>1015</v>
      </c>
      <c r="C15" s="405" t="s">
        <v>2617</v>
      </c>
      <c r="D15" s="406" t="s">
        <v>1944</v>
      </c>
      <c r="E15" s="404">
        <v>149</v>
      </c>
      <c r="F15" s="407">
        <v>7800</v>
      </c>
      <c r="G15" s="407" t="s">
        <v>1016</v>
      </c>
      <c r="H15" s="408" t="s">
        <v>1017</v>
      </c>
      <c r="I15" s="409">
        <f>2+0.9</f>
        <v>2.9</v>
      </c>
      <c r="J15" s="405" t="s">
        <v>543</v>
      </c>
      <c r="K15" s="404" t="s">
        <v>2618</v>
      </c>
      <c r="L15" s="419" t="str">
        <f t="shared" si="0"/>
        <v>ToyoLi - BLACK</v>
      </c>
      <c r="M15" s="404">
        <v>27</v>
      </c>
      <c r="N15" s="410">
        <f>IF(M15=0,0,IF($LB15=70%,VLOOKUP($L15,'Jan-2026 rates'!$L:$R,4,0),IF($LB15=65%,VLOOKUP($L15,'Jan-2026 rates'!$L:$R,4,0),IF($LB15=40%,VLOOKUP($L15,'Jan-2026 rates'!$L:$R,5,0),IF($LB15=30%,VLOOKUP($L15,'Jan-2026 rates'!$L:$R,6,0),IF($LB15=100%,VLOOKUP($L15,'Jan-2026 rates'!$L:$R,7,0),IF($LB15=60%,VLOOKUP($L15,'Jan-2026 rates'!$L:$S,8,0),IF($LB15=80%,VLOOKUP($L15,'Jan-2026 rates'!L:T,9,0),0))))))))</f>
        <v>0</v>
      </c>
      <c r="O15" s="406"/>
      <c r="P15" s="404"/>
      <c r="Q15" s="410">
        <f>IF(P15=0,0,IF($LB15=70%,VLOOKUP($L15,'Jan-2026 rates'!$L:$R,4,0),IF($LB15=65%,VLOOKUP($L15,'Jan-2026 rates'!$L:$R,4,0),IF($LB15=40%,VLOOKUP($L15,'Jan-2026 rates'!$L:$R,5,0),IF($LB15=30%,VLOOKUP($L15,'Jan-2026 rates'!$L:$R,6,0),IF($LB15=100%,VLOOKUP($L15,'Jan-2026 rates'!$L:$R,7,0),IF($LB15=60%,VLOOKUP($L15,'Jan-2026 rates'!$L:$S,8,0),IF($LB15=80%,VLOOKUP($L15,'Jan-2026 rates'!L:T,9,0),0))))))))</f>
        <v>0</v>
      </c>
      <c r="R15" s="406" t="s">
        <v>1921</v>
      </c>
      <c r="S15" s="406"/>
      <c r="T15" s="406"/>
      <c r="U15" s="406"/>
      <c r="V15" s="406"/>
      <c r="W15" s="406"/>
      <c r="X15" s="406"/>
      <c r="Y15" s="406"/>
      <c r="Z15" s="404">
        <v>2</v>
      </c>
      <c r="AA15" s="398">
        <f>IF(Z15=0,0,IF(LEN(R15)=11,_xlfn.XLOOKUP(R15,'Dispensed Ink Rates'!C:C,'Dispensed Ink Rates'!CS:CS),VLOOKUP(R15,'Jan-2026 rates'!$E:$F,2,0)))</f>
        <v>0</v>
      </c>
      <c r="AB15" s="404"/>
      <c r="AC15" s="398">
        <f>IF(AB15=0,0,IF(LEN(S15)=11,_xlfn.XLOOKUP(S15,'Dispensed Ink Rates'!C:C,'Dispensed Ink Rates'!CS:CS),VLOOKUP(S15,'Jan-2026 rates'!$E:$F,2,0)))</f>
        <v>0</v>
      </c>
      <c r="AD15" s="404"/>
      <c r="AE15" s="398">
        <f>IF(AD15=0,0,IF(LEN(T15)=11,_xlfn.XLOOKUP(T15,'Dispensed Ink Rates'!C:C,'Dispensed Ink Rates'!CS:CS),VLOOKUP(T15,'Jan-2026 rates'!$E:$F,2,0)))</f>
        <v>0</v>
      </c>
      <c r="AF15" s="404"/>
      <c r="AG15" s="398">
        <f>IF(AF15=0,0,IF(LEN(U15)=11,_xlfn.XLOOKUP(U15,'Dispensed Ink Rates'!C:C,'Dispensed Ink Rates'!CS:CS),VLOOKUP(U15,'Jan-2026 rates'!$E:$F,2,0)))</f>
        <v>0</v>
      </c>
      <c r="AH15" s="404"/>
      <c r="AI15" s="398">
        <f>IF(AH15=0,0,IF(LEN(V15)=11,_xlfn.XLOOKUP(V15,'Dispensed Ink Rates'!C:C,'Dispensed Ink Rates'!CS:CS),VLOOKUP(V15,'Jan-2026 rates'!$E:$F,2,0)))</f>
        <v>0</v>
      </c>
      <c r="AJ15" s="404"/>
      <c r="AK15" s="398">
        <f>IF(AJ15=0,0,IF(LEN(W15)=11,_xlfn.XLOOKUP(W15,'Dispensed Ink Rates'!C:C,'Dispensed Ink Rates'!CS:CS),VLOOKUP(W15,'Jan-2026 rates'!$E:$F,2,0)))</f>
        <v>0</v>
      </c>
      <c r="AL15" s="404"/>
      <c r="AM15" s="398">
        <f>IF(AL15=0,0,IF(LEN(X15)=11,_xlfn.XLOOKUP(X15,'Dispensed Ink Rates'!C:C,'Dispensed Ink Rates'!CS:CS),VLOOKUP(X15,'Jan-2026 rates'!$E:$F,2,0)))</f>
        <v>0</v>
      </c>
      <c r="AN15" s="404"/>
      <c r="AO15" s="398">
        <f>IF(AN15=0,0,IF(LEN(Y15)=11,_xlfn.XLOOKUP(Y15,'Dispensed Ink Rates'!C:C,'Dispensed Ink Rates'!CS:CS),VLOOKUP(Y15,'Jan-2026 rates'!$E:$F,2,0)))</f>
        <v>0</v>
      </c>
      <c r="AP15" s="409" t="s">
        <v>1881</v>
      </c>
      <c r="AQ15" s="409">
        <v>26</v>
      </c>
      <c r="AR15" s="410">
        <f t="shared" si="1"/>
        <v>0</v>
      </c>
      <c r="AS15" s="411">
        <f t="shared" si="2"/>
        <v>7.7301587301587276</v>
      </c>
      <c r="AT15" s="410">
        <f t="shared" si="3"/>
        <v>0</v>
      </c>
      <c r="AU15" s="405" t="s">
        <v>546</v>
      </c>
      <c r="AV15" s="409" t="s">
        <v>2594</v>
      </c>
      <c r="AW15" s="420" t="str">
        <f t="shared" si="4"/>
        <v>ToyoLi - REFLEX BLUE</v>
      </c>
      <c r="AX15" s="409">
        <v>15</v>
      </c>
      <c r="AY15" s="411">
        <f>IF(AX15=0,0,IF($LB15=70%,VLOOKUP($AW15,'Jan-2026 rates'!$L:$R,4,0),IF($LB15=65%,VLOOKUP($AW15,'Jan-2026 rates'!$L:$R,4,0),IF($LB15=40%,VLOOKUP($AW15,'Jan-2026 rates'!$L:$R,5,0),IF($LB15=30%,VLOOKUP($AW15,'Jan-2026 rates'!$L:$R,6,0),IF($LB15=100%,VLOOKUP($AW15,'Jan-2026 rates'!$L:$R,7,0),IF($LB15=60%,VLOOKUP($AW15,'Jan-2026 rates'!$L:$S,8,0),IF($LB15=80%,VLOOKUP($AW15,'Jan-2026 rates'!L:T,9,0),0))))))))</f>
        <v>0</v>
      </c>
      <c r="AZ15" s="412"/>
      <c r="BA15" s="409"/>
      <c r="BB15" s="411">
        <f>IF(BA15=0,0,IF($LB15=70%,VLOOKUP($AW15,'Jan-2026 rates'!$L:$R,4,0),IF($LB15=65%,VLOOKUP($AW15,'Jan-2026 rates'!$L:$R,4,0),IF($LB15=40%,VLOOKUP($AW15,'Jan-2026 rates'!$L:$R,5,0),IF($LB15=30%,VLOOKUP($AW15,'Jan-2026 rates'!$L:$R,6,0),IF($LB15=100%,VLOOKUP($AW15,'Jan-2026 rates'!$L:$R,7,0),IF($LB15=60%,VLOOKUP($AW15,'Jan-2026 rates'!$L:$S,8,0),IF($LB15=80%,VLOOKUP($AW15,'Jan-2026 rates'!L:T,9,0),0))))))))</f>
        <v>0</v>
      </c>
      <c r="BC15" s="413" t="s">
        <v>1880</v>
      </c>
      <c r="BD15" s="412" t="s">
        <v>1246</v>
      </c>
      <c r="BE15" s="412" t="s">
        <v>1585</v>
      </c>
      <c r="BF15" s="413"/>
      <c r="BG15" s="412"/>
      <c r="BH15" s="412"/>
      <c r="BI15" s="412"/>
      <c r="BJ15" s="412"/>
      <c r="BK15" s="409">
        <v>2</v>
      </c>
      <c r="BL15" s="398">
        <f>IF(BK15=0,0,IF(LEN(BC15)=11,_xlfn.XLOOKUP(BC15,'Dispensed Ink Rates'!C:C,'Dispensed Ink Rates'!CS:CS),VLOOKUP(BC15,'Jan-2026 rates'!$E:$F,2,0)))</f>
        <v>0</v>
      </c>
      <c r="BM15" s="409">
        <v>3</v>
      </c>
      <c r="BN15" s="398">
        <f>IF(BM15=0,0,IF(LEN(BD15)=11,_xlfn.XLOOKUP(BD15,'Dispensed Ink Rates'!C:C,'Dispensed Ink Rates'!CS:CS),VLOOKUP(BD15,'Jan-2026 rates'!$E:$F,2,0)))</f>
        <v>0</v>
      </c>
      <c r="BO15" s="409">
        <v>3</v>
      </c>
      <c r="BP15" s="398">
        <f>IF(BO15=0,0,IF(LEN(BE15)=11,_xlfn.XLOOKUP(BE15,'Dispensed Ink Rates'!C:C,'Dispensed Ink Rates'!CS:CS),VLOOKUP(BE15,'Jan-2026 rates'!$E:$F,2,0)))</f>
        <v>0</v>
      </c>
      <c r="BQ15" s="409"/>
      <c r="BR15" s="398">
        <f>IF(BQ15=0,0,IF(LEN(BF15)=11,_xlfn.XLOOKUP(BF15,'Dispensed Ink Rates'!C:C,'Dispensed Ink Rates'!CS:CS),VLOOKUP(BF15,'Jan-2026 rates'!$E:$F,2,0)))</f>
        <v>0</v>
      </c>
      <c r="BS15" s="409"/>
      <c r="BT15" s="398">
        <f>IF(BS15=0,0,IF(LEN(BG15)=11,_xlfn.XLOOKUP(BG15,'Dispensed Ink Rates'!C:C,'Dispensed Ink Rates'!CS:CS),VLOOKUP(BG15,'Jan-2026 rates'!$E:$F,2,0)))</f>
        <v>0</v>
      </c>
      <c r="BU15" s="409"/>
      <c r="BV15" s="398">
        <f>IF(BU15=0,0,IF(LEN(BH15)=11,_xlfn.XLOOKUP(BH15,'Dispensed Ink Rates'!C:C,'Dispensed Ink Rates'!CS:CS),VLOOKUP(BH15,'Jan-2026 rates'!$E:$F,2,0)))</f>
        <v>0</v>
      </c>
      <c r="BW15" s="409"/>
      <c r="BX15" s="398">
        <f>IF(BW15=0,0,IF(LEN(BI15)=11,_xlfn.XLOOKUP(BI15,'Dispensed Ink Rates'!C:C,'Dispensed Ink Rates'!CS:CS),VLOOKUP(BI15,'Jan-2026 rates'!$E:$F,2,0)))</f>
        <v>0</v>
      </c>
      <c r="BY15" s="409"/>
      <c r="BZ15" s="398">
        <f>IF(BY15=0,0,IF(LEN(BJ15)=11,_xlfn.XLOOKUP(BJ15,'Dispensed Ink Rates'!C:C,'Dispensed Ink Rates'!CS:CS),VLOOKUP(BJ15,'Jan-2026 rates'!$E:$F,2,0)))</f>
        <v>0</v>
      </c>
      <c r="CA15" s="409" t="s">
        <v>1881</v>
      </c>
      <c r="CB15" s="409">
        <f>9+15</f>
        <v>24</v>
      </c>
      <c r="CC15" s="411">
        <f t="shared" si="5"/>
        <v>0</v>
      </c>
      <c r="CD15" s="411">
        <f t="shared" si="6"/>
        <v>10.825396825396822</v>
      </c>
      <c r="CE15" s="410">
        <f t="shared" si="7"/>
        <v>0</v>
      </c>
      <c r="CF15" s="404" t="s">
        <v>857</v>
      </c>
      <c r="CG15" s="409" t="s">
        <v>2619</v>
      </c>
      <c r="CH15" s="420" t="str">
        <f t="shared" si="8"/>
        <v>ToyoLi - RED</v>
      </c>
      <c r="CI15" s="409">
        <v>25</v>
      </c>
      <c r="CJ15" s="411">
        <f>IF(CI15=0,0,IF($LB15=70%,VLOOKUP($CH15,'Jan-2026 rates'!$L:$R,4,0),IF($LB15=65%,VLOOKUP($CH15,'Jan-2026 rates'!$L:$R,4,0),IF($LB15=40%,VLOOKUP($CH15,'Jan-2026 rates'!$L:$R,5,0),IF($LB15=30%,VLOOKUP($CH15,'Jan-2026 rates'!$L:$R,6,0),IF($LB15=100%,VLOOKUP($CH15,'Jan-2026 rates'!$L:$R,7,0),IF($LB15=60%,VLOOKUP($CH15,'Jan-2026 rates'!$L:$S,8,0),IF($LB15=80%,VLOOKUP($CH15,'Jan-2026 rates'!L:T,9,0),0))))))))</f>
        <v>0</v>
      </c>
      <c r="CK15" s="412"/>
      <c r="CL15" s="409"/>
      <c r="CM15" s="411">
        <f>IF(CL15=0,0,IF($LB15=70%,VLOOKUP($CH15,'Jan-2026 rates'!$L:$R,4,0),IF($LB15=65%,VLOOKUP($CH15,'Jan-2026 rates'!$L:$R,4,0),IF($LB15=40%,VLOOKUP($CH15,'Jan-2026 rates'!$L:$R,5,0),IF($LB15=30%,VLOOKUP($CH15,'Jan-2026 rates'!$L:$R,6,0),IF($LB15=100%,VLOOKUP($CH15,'Jan-2026 rates'!$L:$R,7,0),IF($LB15=60%,VLOOKUP($CH15,'Jan-2026 rates'!$L:$S,8,0),IF($LB15=80%,VLOOKUP($CH15,'Jan-2026 rates'!L:T,9,0),0))))))))</f>
        <v>0</v>
      </c>
      <c r="CN15" s="426" t="s">
        <v>1248</v>
      </c>
      <c r="CO15" s="427" t="s">
        <v>1246</v>
      </c>
      <c r="CP15" s="426"/>
      <c r="CQ15" s="426"/>
      <c r="CR15" s="428"/>
      <c r="CS15" s="428"/>
      <c r="CT15" s="428"/>
      <c r="CU15" s="428"/>
      <c r="CV15" s="409">
        <v>2</v>
      </c>
      <c r="CW15" s="398">
        <f>IF(CV15=0,0,IF(LEN(CN15)=11,_xlfn.XLOOKUP(CN15,'Dispensed Ink Rates'!C:C,'Dispensed Ink Rates'!CS:CS),VLOOKUP(CN15,'Jan-2026 rates'!$E:$F,2,0)))</f>
        <v>0</v>
      </c>
      <c r="CX15" s="409">
        <v>3</v>
      </c>
      <c r="CY15" s="398">
        <f>IF(CX15=0,0,IF(LEN(CO15)=11,_xlfn.XLOOKUP(CO15,'Dispensed Ink Rates'!C:C,'Dispensed Ink Rates'!CS:CS),VLOOKUP(CO15,'Jan-2026 rates'!$E:$F,2,0)))</f>
        <v>0</v>
      </c>
      <c r="CZ15" s="409"/>
      <c r="DA15" s="398">
        <f>IF(CZ15=0,0,IF(LEN(CP15)=11,_xlfn.XLOOKUP(CP15,'Dispensed Ink Rates'!C:C,'Dispensed Ink Rates'!CS:CS),VLOOKUP(CP15,'Jan-2026 rates'!$E:$F,2,0)))</f>
        <v>0</v>
      </c>
      <c r="DB15" s="409"/>
      <c r="DC15" s="398">
        <f>IF(DB15=0,0,IF(LEN(CQ15)=11,_xlfn.XLOOKUP(CQ15,'Dispensed Ink Rates'!C:C,'Dispensed Ink Rates'!CS:CS),VLOOKUP(CQ15,'Jan-2026 rates'!$E:$F,2,0)))</f>
        <v>0</v>
      </c>
      <c r="DD15" s="409"/>
      <c r="DE15" s="398">
        <f>IF(DD15=0,0,IF(LEN(CR15)=11,_xlfn.XLOOKUP(CR15,'Dispensed Ink Rates'!C:C,'Dispensed Ink Rates'!CS:CS),VLOOKUP(CR15,'Jan-2026 rates'!$E:$F,2,0)))</f>
        <v>0</v>
      </c>
      <c r="DF15" s="409"/>
      <c r="DG15" s="398">
        <f>IF(DF15=0,0,IF(LEN(CS15)=11,_xlfn.XLOOKUP(CS15,'Dispensed Ink Rates'!C:C,'Dispensed Ink Rates'!CS:CS),VLOOKUP(CS15,'Jan-2026 rates'!$E:$F,2,0)))</f>
        <v>0</v>
      </c>
      <c r="DH15" s="409"/>
      <c r="DI15" s="398">
        <f>IF(DH15=0,0,IF(LEN(CT15)=11,_xlfn.XLOOKUP(CT15,'Dispensed Ink Rates'!C:C,'Dispensed Ink Rates'!CS:CS),VLOOKUP(CT15,'Jan-2026 rates'!$E:$F,2,0)))</f>
        <v>0</v>
      </c>
      <c r="DJ15" s="409"/>
      <c r="DK15" s="398">
        <f>IF(DJ15=0,0,IF(LEN(CU15)=11,_xlfn.XLOOKUP(CU15,'Dispensed Ink Rates'!C:C,'Dispensed Ink Rates'!CS:CS),VLOOKUP(CU15,'Jan-2026 rates'!$E:$F,2,0)))</f>
        <v>0</v>
      </c>
      <c r="DL15" s="409" t="s">
        <v>1881</v>
      </c>
      <c r="DM15" s="409">
        <v>27</v>
      </c>
      <c r="DN15" s="411">
        <f t="shared" si="9"/>
        <v>0</v>
      </c>
      <c r="DO15" s="411">
        <f t="shared" si="10"/>
        <v>7.7301587301587276</v>
      </c>
      <c r="DP15" s="410">
        <f t="shared" si="11"/>
        <v>0</v>
      </c>
      <c r="DQ15" s="405" t="s">
        <v>855</v>
      </c>
      <c r="DR15" s="409" t="s">
        <v>2620</v>
      </c>
      <c r="DS15" s="420" t="str">
        <f t="shared" si="12"/>
        <v>ToyoLi - CYAN</v>
      </c>
      <c r="DT15" s="409">
        <v>26</v>
      </c>
      <c r="DU15" s="411">
        <f>IF(DT15=0,0,IF($LB15=70%,VLOOKUP($DS15,'Jan-2026 rates'!$L:$R,4,0),IF($LB15=65%,VLOOKUP($DS15,'Jan-2026 rates'!$L:$R,4,0),IF($LB15=40%,VLOOKUP($DS15,'Jan-2026 rates'!$L:$R,5,0),IF($LB15=30%,VLOOKUP($DS15,'Jan-2026 rates'!$L:$R,6,0),IF($LB15=100%,VLOOKUP($DS15,'Jan-2026 rates'!$L:$R,7,0),IF($LB15=60%,VLOOKUP($DS15,'Jan-2026 rates'!$L:$S,8,0),IF($LB15=80%,VLOOKUP($DS15,'Jan-2026 rates'!L:T,9,0),0))))))))</f>
        <v>0</v>
      </c>
      <c r="DV15" s="412"/>
      <c r="DW15" s="409"/>
      <c r="DX15" s="411">
        <f>IF(DW15=0,0,IF($LB15=70%,VLOOKUP($DS15,'Jan-2026 rates'!$L:$R,4,0),IF($LB15=65%,VLOOKUP($DS15,'Jan-2026 rates'!$L:$R,4,0),IF($LB15=40%,VLOOKUP($DS15,'Jan-2026 rates'!$L:$R,5,0),IF($LB15=30%,VLOOKUP($DS15,'Jan-2026 rates'!$L:$R,6,0),IF($LB15=100%,VLOOKUP($DS15,'Jan-2026 rates'!$L:$R,7,0),IF($LB15=60%,VLOOKUP($DS15,'Jan-2026 rates'!$L:$S,8,0),IF($LB15=80%,VLOOKUP($DS15,'Jan-2026 rates'!L:T,9,0),0))))))))</f>
        <v>0</v>
      </c>
      <c r="DY15" s="413" t="s">
        <v>1921</v>
      </c>
      <c r="DZ15" s="413"/>
      <c r="EA15" s="412"/>
      <c r="EB15" s="412"/>
      <c r="EC15" s="412"/>
      <c r="ED15" s="412"/>
      <c r="EE15" s="412"/>
      <c r="EF15" s="412"/>
      <c r="EG15" s="409">
        <v>2</v>
      </c>
      <c r="EH15" s="398">
        <f>IF(EG15=0,0,IF(LEN(DY15)=11,_xlfn.XLOOKUP(DY15,'Dispensed Ink Rates'!C:C,'Dispensed Ink Rates'!CS:CS),VLOOKUP(DY15,'Jan-2026 rates'!$E:$F,2,0)))</f>
        <v>0</v>
      </c>
      <c r="EI15" s="409"/>
      <c r="EJ15" s="398">
        <f>IF(EI15=0,0,IF(LEN(DZ15)=11,_xlfn.XLOOKUP(DZ15,'Dispensed Ink Rates'!C:C,'Dispensed Ink Rates'!CS:CS),VLOOKUP(DZ15,'Jan-2026 rates'!$E:$F,2,0)))</f>
        <v>0</v>
      </c>
      <c r="EK15" s="409"/>
      <c r="EL15" s="398">
        <f>IF(EK15=0,0,IF(LEN(EA15)=11,_xlfn.XLOOKUP(EA15,'Dispensed Ink Rates'!C:C,'Dispensed Ink Rates'!CS:CS),VLOOKUP(EA15,'Jan-2026 rates'!$E:$F,2,0)))</f>
        <v>0</v>
      </c>
      <c r="EM15" s="409"/>
      <c r="EN15" s="398">
        <f>IF(EM15=0,0,IF(LEN(EB15)=11,_xlfn.XLOOKUP(EB15,'Dispensed Ink Rates'!C:C,'Dispensed Ink Rates'!CS:CS),VLOOKUP(EB15,'Jan-2026 rates'!$E:$F,2,0)))</f>
        <v>0</v>
      </c>
      <c r="EO15" s="409"/>
      <c r="EP15" s="398">
        <f>IF(EO15=0,0,IF(LEN(EC15)=11,_xlfn.XLOOKUP(EC15,'Dispensed Ink Rates'!C:C,'Dispensed Ink Rates'!CS:CS),VLOOKUP(EC15,'Jan-2026 rates'!$E:$F,2,0)))</f>
        <v>0</v>
      </c>
      <c r="EQ15" s="409"/>
      <c r="ER15" s="398">
        <f>IF(EQ15=0,0,IF(LEN(ED15)=11,_xlfn.XLOOKUP(ED15,'Dispensed Ink Rates'!C:C,'Dispensed Ink Rates'!CS:CS),VLOOKUP(ED15,'Jan-2026 rates'!$E:$F,2,0)))</f>
        <v>0</v>
      </c>
      <c r="ES15" s="409"/>
      <c r="ET15" s="398">
        <f>IF(ES15=0,0,IF(LEN(EE15)=11,_xlfn.XLOOKUP(EE15,'Dispensed Ink Rates'!C:C,'Dispensed Ink Rates'!CS:CS),VLOOKUP(EE15,'Jan-2026 rates'!$E:$F,2,0)))</f>
        <v>0</v>
      </c>
      <c r="EU15" s="409"/>
      <c r="EV15" s="398">
        <f>IF(EU15=0,0,IF(LEN(EF15)=11,_xlfn.XLOOKUP(EF15,'Dispensed Ink Rates'!C:C,'Dispensed Ink Rates'!CS:CS),VLOOKUP(EF15,'Jan-2026 rates'!$E:$F,2,0)))</f>
        <v>0</v>
      </c>
      <c r="EW15" s="409" t="s">
        <v>1881</v>
      </c>
      <c r="EX15" s="409">
        <v>27</v>
      </c>
      <c r="EY15" s="411">
        <f t="shared" si="13"/>
        <v>0</v>
      </c>
      <c r="EZ15" s="411">
        <f t="shared" si="14"/>
        <v>5.7301587301587276</v>
      </c>
      <c r="FA15" s="410">
        <f t="shared" si="15"/>
        <v>0</v>
      </c>
      <c r="FB15" s="405" t="s">
        <v>544</v>
      </c>
      <c r="FC15" s="409" t="s">
        <v>2621</v>
      </c>
      <c r="FD15" s="420" t="str">
        <f t="shared" si="16"/>
        <v>ToyoLi - MAGENTA</v>
      </c>
      <c r="FE15" s="409">
        <v>25</v>
      </c>
      <c r="FF15" s="411">
        <f>IF(FE15=0,0,IF($LB15=70%,VLOOKUP($FD15,'Jan-2026 rates'!$L:$R,4,0),IF($LB15=65%,VLOOKUP($FD15,'Jan-2026 rates'!$L:$R,4,0),IF($LB15=40%,VLOOKUP($FD15,'Jan-2026 rates'!$L:$R,5,0),IF($LB15=30%,VLOOKUP($FD15,'Jan-2026 rates'!$L:$R,6,0),IF($LB15=100%,VLOOKUP($FD15,'Jan-2026 rates'!$L:$R,7,0),IF($LB15=60%,VLOOKUP($FD15,'Jan-2026 rates'!$L:$S,8,0),IF($LB15=80%,VLOOKUP($FD15,'Jan-2026 rates'!L:T,9,0),0))))))))</f>
        <v>0</v>
      </c>
      <c r="FG15" s="412"/>
      <c r="FH15" s="409"/>
      <c r="FI15" s="411">
        <f>IF(FH15=0,0,IF($LB15=70%,VLOOKUP($FD15,'Jan-2026 rates'!$L:$R,4,0),IF($LB15=65%,VLOOKUP($FD15,'Jan-2026 rates'!$L:$R,4,0),IF($LB15=40%,VLOOKUP($FD15,'Jan-2026 rates'!$L:$R,5,0),IF($LB15=30%,VLOOKUP($FD15,'Jan-2026 rates'!$L:$R,6,0),IF($LB15=100%,VLOOKUP($FD15,'Jan-2026 rates'!$L:$R,7,0),IF($LB15=60%,VLOOKUP($FD15,'Jan-2026 rates'!$L:$S,8,0),IF($LB15=80%,VLOOKUP($FD15,'Jan-2026 rates'!L:T,9,0),0))))))))</f>
        <v>0</v>
      </c>
      <c r="FJ15" s="413" t="s">
        <v>1921</v>
      </c>
      <c r="FK15" s="413"/>
      <c r="FL15" s="413"/>
      <c r="FM15" s="412"/>
      <c r="FN15" s="412"/>
      <c r="FO15" s="412"/>
      <c r="FP15" s="412"/>
      <c r="FQ15" s="412"/>
      <c r="FR15" s="409">
        <v>3</v>
      </c>
      <c r="FS15" s="398">
        <f>IF(FR15=0,0,IF(LEN(FJ15)=11,_xlfn.XLOOKUP(FJ15,'Dispensed Ink Rates'!C:C,'Dispensed Ink Rates'!CS:CS),VLOOKUP(FJ15,'Jan-2026 rates'!$E:$F,2,0)))</f>
        <v>0</v>
      </c>
      <c r="FT15" s="409"/>
      <c r="FU15" s="398">
        <f>IF(FT15=0,0,IF(LEN(FK15)=11,_xlfn.XLOOKUP(FK15,'Dispensed Ink Rates'!C:C,'Dispensed Ink Rates'!CS:CS),VLOOKUP(FK15,'Jan-2026 rates'!$E:$F,2,0)))</f>
        <v>0</v>
      </c>
      <c r="FV15" s="409"/>
      <c r="FW15" s="398">
        <f>IF(FV15=0,0,IF(LEN(FL15)=11,_xlfn.XLOOKUP(FL15,'Dispensed Ink Rates'!C:C,'Dispensed Ink Rates'!CS:CS),VLOOKUP(FL15,'Jan-2026 rates'!$E:$F,2,0)))</f>
        <v>0</v>
      </c>
      <c r="FX15" s="409"/>
      <c r="FY15" s="398">
        <f>IF(FX15=0,0,IF(LEN(FM15)=11,_xlfn.XLOOKUP(FM15,'Dispensed Ink Rates'!C:C,'Dispensed Ink Rates'!CS:CS),VLOOKUP(FM15,'Jan-2026 rates'!$E:$F,2,0)))</f>
        <v>0</v>
      </c>
      <c r="FZ15" s="409"/>
      <c r="GA15" s="398">
        <f>IF(FZ15=0,0,IF(LEN(FN15)=11,_xlfn.XLOOKUP(FN15,'Dispensed Ink Rates'!C:C,'Dispensed Ink Rates'!CS:CS),VLOOKUP(FN15,'Jan-2026 rates'!$E:$F,2,0)))</f>
        <v>0</v>
      </c>
      <c r="GB15" s="409"/>
      <c r="GC15" s="398">
        <f>IF(GB15=0,0,IF(LEN(FO15)=11,_xlfn.XLOOKUP(FO15,'Dispensed Ink Rates'!C:C,'Dispensed Ink Rates'!CS:CS),VLOOKUP(FO15,'Jan-2026 rates'!$E:$F,2,0)))</f>
        <v>0</v>
      </c>
      <c r="GD15" s="409"/>
      <c r="GE15" s="398">
        <f>IF(GD15=0,0,IF(LEN(FP15)=11,_xlfn.XLOOKUP(FP15,'Dispensed Ink Rates'!C:C,'Dispensed Ink Rates'!CS:CS),VLOOKUP(FP15,'Jan-2026 rates'!$E:$F,2,0)))</f>
        <v>0</v>
      </c>
      <c r="GF15" s="409"/>
      <c r="GG15" s="398">
        <f>IF(GF15=0,0,IF(LEN(FQ15)=11,_xlfn.XLOOKUP(FQ15,'Dispensed Ink Rates'!C:C,'Dispensed Ink Rates'!CS:CS),VLOOKUP(FQ15,'Jan-2026 rates'!$E:$F,2,0)))</f>
        <v>0</v>
      </c>
      <c r="GH15" s="409" t="s">
        <v>1881</v>
      </c>
      <c r="GI15" s="409">
        <v>26</v>
      </c>
      <c r="GJ15" s="411">
        <f t="shared" si="17"/>
        <v>0</v>
      </c>
      <c r="GK15" s="411">
        <f t="shared" si="18"/>
        <v>9.0952380952380949</v>
      </c>
      <c r="GL15" s="410">
        <f t="shared" si="19"/>
        <v>0</v>
      </c>
      <c r="GM15" s="405" t="s">
        <v>545</v>
      </c>
      <c r="GN15" s="409" t="s">
        <v>2622</v>
      </c>
      <c r="GO15" s="420" t="str">
        <f t="shared" si="20"/>
        <v>ToyoLi - YELLOW</v>
      </c>
      <c r="GP15" s="409">
        <v>24</v>
      </c>
      <c r="GQ15" s="411">
        <f>IF(GP15=0,0,IF($LB15=70%,VLOOKUP($GO15,'Jan-2026 rates'!$L:$R,4,0),IF($LB15=65%,VLOOKUP($GO15,'Jan-2026 rates'!$L:$R,4,0),IF($LB15=40%,VLOOKUP($GO15,'Jan-2026 rates'!$L:$R,5,0),IF($LB15=30%,VLOOKUP($GO15,'Jan-2026 rates'!$L:$R,6,0),IF($LB15=100%,VLOOKUP($GO15,'Jan-2026 rates'!$L:$R,7,0),IF($LB15=60%,VLOOKUP($GO15,'Jan-2026 rates'!$L:$S,8,0),IF($LB15=80%,VLOOKUP($GO15,'Jan-2026 rates'!L:T,9,0),0))))))))</f>
        <v>0</v>
      </c>
      <c r="GR15" s="412"/>
      <c r="GS15" s="409"/>
      <c r="GT15" s="411">
        <f>IF(GS15=0,0,IF($LB15=70%,VLOOKUP($GO15,'Jan-2026 rates'!$L:$R,4,0),IF($LB15=65%,VLOOKUP($GO15,'Jan-2026 rates'!$L:$R,4,0),IF($LB15=40%,VLOOKUP($GO15,'Jan-2026 rates'!$L:$R,5,0),IF($LB15=30%,VLOOKUP($GO15,'Jan-2026 rates'!$L:$R,6,0),IF($LB15=100%,VLOOKUP($GO15,'Jan-2026 rates'!$L:$R,7,0),IF($LB15=60%,VLOOKUP($GO15,'Jan-2026 rates'!$L:$S,8,0),IF($LB15=80%,VLOOKUP($GO15,'Jan-2026 rates'!L:T,9,0),0))))))))</f>
        <v>0</v>
      </c>
      <c r="GU15" s="413" t="s">
        <v>1247</v>
      </c>
      <c r="GV15" s="413"/>
      <c r="GW15" s="412"/>
      <c r="GX15" s="412"/>
      <c r="GY15" s="412"/>
      <c r="GZ15" s="412"/>
      <c r="HA15" s="412"/>
      <c r="HB15" s="412"/>
      <c r="HC15" s="409">
        <v>8</v>
      </c>
      <c r="HD15" s="398">
        <f>IF(HC15=0,0,IF(LEN(GU15)=11,_xlfn.XLOOKUP(GU15,'Dispensed Ink Rates'!C:C,'Dispensed Ink Rates'!CS:CS),VLOOKUP(GU15,'Jan-2026 rates'!$E:$F,2,0)))</f>
        <v>0</v>
      </c>
      <c r="HE15" s="409"/>
      <c r="HF15" s="398">
        <f>IF(HE15=0,0,IF(LEN(GV15)=11,_xlfn.XLOOKUP(GV15,'Dispensed Ink Rates'!C:C,'Dispensed Ink Rates'!CS:CS),VLOOKUP(GV15,'Jan-2026 rates'!$E:$F,2,0)))</f>
        <v>0</v>
      </c>
      <c r="HG15" s="409"/>
      <c r="HH15" s="398">
        <f>IF(HG15=0,0,IF(LEN(GW15)=11,_xlfn.XLOOKUP(GW15,'Dispensed Ink Rates'!C:C,'Dispensed Ink Rates'!CS:CS),VLOOKUP(GW15,'Jan-2026 rates'!$E:$F,2,0)))</f>
        <v>0</v>
      </c>
      <c r="HI15" s="409"/>
      <c r="HJ15" s="398">
        <f>IF(HI15=0,0,IF(LEN(GX15)=11,_xlfn.XLOOKUP(GX15,'Dispensed Ink Rates'!C:C,'Dispensed Ink Rates'!CS:CS),VLOOKUP(GX15,'Jan-2026 rates'!$E:$F,2,0)))</f>
        <v>0</v>
      </c>
      <c r="HK15" s="409"/>
      <c r="HL15" s="398">
        <f>IF(HK15=0,0,IF(LEN(GY15)=11,_xlfn.XLOOKUP(GY15,'Dispensed Ink Rates'!C:C,'Dispensed Ink Rates'!CS:CS),VLOOKUP(GY15,'Jan-2026 rates'!$E:$F,2,0)))</f>
        <v>0</v>
      </c>
      <c r="HM15" s="409"/>
      <c r="HN15" s="398">
        <f>IF(HM15=0,0,IF(LEN(GZ15)=11,_xlfn.XLOOKUP(GZ15,'Dispensed Ink Rates'!C:C,'Dispensed Ink Rates'!CS:CS),VLOOKUP(GZ15,'Jan-2026 rates'!$E:$F,2,0)))</f>
        <v>0</v>
      </c>
      <c r="HO15" s="409"/>
      <c r="HP15" s="398">
        <f>IF(HO15=0,0,IF(LEN(HA15)=11,_xlfn.XLOOKUP(HA15,'Dispensed Ink Rates'!C:C,'Dispensed Ink Rates'!CS:CS),VLOOKUP(HA15,'Jan-2026 rates'!$E:$F,2,0)))</f>
        <v>0</v>
      </c>
      <c r="HQ15" s="409"/>
      <c r="HR15" s="398">
        <f>IF(HQ15=0,0,IF(LEN(HB15)=11,_xlfn.XLOOKUP(HB15,'Dispensed Ink Rates'!C:C,'Dispensed Ink Rates'!CS:CS),VLOOKUP(HB15,'Jan-2026 rates'!$E:$F,2,0)))</f>
        <v>0</v>
      </c>
      <c r="HS15" s="409" t="s">
        <v>1881</v>
      </c>
      <c r="HT15" s="409">
        <v>28</v>
      </c>
      <c r="HU15" s="411">
        <f t="shared" si="21"/>
        <v>0</v>
      </c>
      <c r="HV15" s="411">
        <f t="shared" si="22"/>
        <v>13.460317460317462</v>
      </c>
      <c r="HW15" s="414">
        <f t="shared" si="23"/>
        <v>0</v>
      </c>
      <c r="HX15" s="405" t="s">
        <v>856</v>
      </c>
      <c r="HY15" s="409" t="s">
        <v>2623</v>
      </c>
      <c r="HZ15" s="420" t="str">
        <f t="shared" si="24"/>
        <v>ToyoLi - WHITE</v>
      </c>
      <c r="IA15" s="409">
        <v>20</v>
      </c>
      <c r="IB15" s="411">
        <f>IF(IA15=0,0,IF($LB15=70%,VLOOKUP($HZ15,'Jan-2026 rates'!$L:$R,4,0),IF($LB15=65%,VLOOKUP($HZ15,'Jan-2026 rates'!$L:$R,4,0),IF($LB15=40%,VLOOKUP($HZ15,'Jan-2026 rates'!$L:$R,5,0),IF($LB15=30%,VLOOKUP($HZ15,'Jan-2026 rates'!$L:$R,6,0),IF($LB15=100%,VLOOKUP($HZ15,'Jan-2026 rates'!$L:$R,7,0),IF($LB15=60%,VLOOKUP($HZ15,'Jan-2026 rates'!$L:$S,8,0),IF($LB15=80%,VLOOKUP($HZ15,'Jan-2026 rates'!L:T,9,0),0))))))))</f>
        <v>0</v>
      </c>
      <c r="IC15" s="412"/>
      <c r="ID15" s="409"/>
      <c r="IE15" s="411">
        <f>IF(ID15=0,0,IF($LB15=70%,VLOOKUP($HZ15,'Jan-2026 rates'!$L:$R,4,0),IF($LB15=65%,VLOOKUP($HZ15,'Jan-2026 rates'!$L:$R,4,0),IF($LB15=40%,VLOOKUP($HZ15,'Jan-2026 rates'!$L:$R,5,0),IF($LB15=30%,VLOOKUP($HZ15,'Jan-2026 rates'!$L:$R,6,0),IF($LB15=100%,VLOOKUP($HZ15,'Jan-2026 rates'!$L:$R,7,0),IF($LB15=60%,VLOOKUP($HZ15,'Jan-2026 rates'!$L:$S,8,0),IF($LB15=80%,VLOOKUP($HZ15,'Jan-2026 rates'!L:T,9,0),0))))))))</f>
        <v>0</v>
      </c>
      <c r="IF15" s="412" t="s">
        <v>1249</v>
      </c>
      <c r="IG15" s="413"/>
      <c r="IH15" s="412"/>
      <c r="II15" s="412"/>
      <c r="IJ15" s="412"/>
      <c r="IK15" s="412"/>
      <c r="IL15" s="412"/>
      <c r="IM15" s="412"/>
      <c r="IN15" s="409">
        <v>60</v>
      </c>
      <c r="IO15" s="398">
        <f>IF(IN15=0,0,IF(LEN(IF15)=11,_xlfn.XLOOKUP(IF15,'Dispensed Ink Rates'!C:C,'Dispensed Ink Rates'!CS:CS),VLOOKUP(IF15,'Jan-2026 rates'!$E:$F,2,0)))</f>
        <v>0</v>
      </c>
      <c r="IP15" s="409"/>
      <c r="IQ15" s="398">
        <f>IF(IP15=0,0,IF(LEN(IG15)=11,_xlfn.XLOOKUP(IG15,'Dispensed Ink Rates'!C:C,'Dispensed Ink Rates'!CS:CS),VLOOKUP(IG15,'Jan-2026 rates'!$E:$F,2,0)))</f>
        <v>0</v>
      </c>
      <c r="IR15" s="409"/>
      <c r="IS15" s="398">
        <f>IF(IR15=0,0,IF(LEN(IH15)=11,_xlfn.XLOOKUP(IH15,'Dispensed Ink Rates'!C:C,'Dispensed Ink Rates'!CS:CS),VLOOKUP(IH15,'Jan-2026 rates'!$E:$F,2,0)))</f>
        <v>0</v>
      </c>
      <c r="IT15" s="409"/>
      <c r="IU15" s="398">
        <f>IF(IT15=0,0,IF(LEN(II15)=11,_xlfn.XLOOKUP(II15,'Dispensed Ink Rates'!C:C,'Dispensed Ink Rates'!CS:CS),VLOOKUP(II15,'Jan-2026 rates'!$E:$F,2,0)))</f>
        <v>0</v>
      </c>
      <c r="IV15" s="409"/>
      <c r="IW15" s="398">
        <f>IF(IV15=0,0,IF(LEN(IJ15)=11,_xlfn.XLOOKUP(IJ15,'Dispensed Ink Rates'!C:C,'Dispensed Ink Rates'!CS:CS),VLOOKUP(IJ15,'Jan-2026 rates'!$E:$F,2,0)))</f>
        <v>0</v>
      </c>
      <c r="IX15" s="409"/>
      <c r="IY15" s="398">
        <f>IF(IX15=0,0,IF(LEN(IK15)=11,_xlfn.XLOOKUP(IK15,'Dispensed Ink Rates'!C:C,'Dispensed Ink Rates'!CS:CS),VLOOKUP(IK15,'Jan-2026 rates'!$E:$F,2,0)))</f>
        <v>0</v>
      </c>
      <c r="IZ15" s="409"/>
      <c r="JA15" s="398">
        <f>IF(IZ15=0,0,IF(LEN(IL15)=11,_xlfn.XLOOKUP(IL15,'Dispensed Ink Rates'!C:C,'Dispensed Ink Rates'!CS:CS),VLOOKUP(IL15,'Jan-2026 rates'!$E:$F,2,0)))</f>
        <v>0</v>
      </c>
      <c r="JB15" s="409"/>
      <c r="JC15" s="398">
        <f>IF(JB15=0,0,IF(LEN(IM15)=11,_xlfn.XLOOKUP(IM15,'Dispensed Ink Rates'!C:C,'Dispensed Ink Rates'!CS:CS),VLOOKUP(IM15,'Jan-2026 rates'!$E:$F,2,0)))</f>
        <v>0</v>
      </c>
      <c r="JD15" s="409" t="s">
        <v>1881</v>
      </c>
      <c r="JE15" s="409">
        <v>30</v>
      </c>
      <c r="JF15" s="411">
        <f t="shared" si="25"/>
        <v>0</v>
      </c>
      <c r="JG15" s="411">
        <f t="shared" si="26"/>
        <v>120.95238095238096</v>
      </c>
      <c r="JH15" s="410">
        <f t="shared" si="27"/>
        <v>0</v>
      </c>
      <c r="JI15" s="405" t="s">
        <v>605</v>
      </c>
      <c r="JJ15" s="409" t="s">
        <v>2624</v>
      </c>
      <c r="JK15" s="420" t="str">
        <f t="shared" si="28"/>
        <v>HI-TECH INK - MATT</v>
      </c>
      <c r="JL15" s="409">
        <v>21</v>
      </c>
      <c r="JM15" s="411">
        <f>IF(JL15=0,0,IF($LB15=70%,VLOOKUP($JK15,'Jan-2026 rates'!$L:$R,4,0),IF($LB15=65%,VLOOKUP($JK15,'Jan-2026 rates'!$L:$R,4,0),IF($LB15=40%,VLOOKUP($JK15,'Jan-2026 rates'!$L:$R,5,0),IF($LB15=30%,VLOOKUP($JK15,'Jan-2026 rates'!$L:$R,6,0),IF($LB15=100%,VLOOKUP($JK15,'Jan-2026 rates'!$L:$R,7,0),IF($LB15=60%,VLOOKUP($JK15,'Jan-2026 rates'!$L:$S,8,0),IF($LB15=80%,VLOOKUP($JK15,'Jan-2026 rates'!L:T,9,0),0))))))))</f>
        <v>0</v>
      </c>
      <c r="JN15" s="412"/>
      <c r="JO15" s="409"/>
      <c r="JP15" s="411">
        <f>IF(JO15=0,0,IF($LB15=70%,VLOOKUP($JK15,'Jan-2026 rates'!$L:$R,4,0),IF($LB15=65%,VLOOKUP($JK15,'Jan-2026 rates'!$L:$R,4,0),IF($LB15=40%,VLOOKUP($JK15,'Jan-2026 rates'!$L:$R,5,0),IF($LB15=30%,VLOOKUP($JK15,'Jan-2026 rates'!$L:$R,6,0),IF($LB15=100%,VLOOKUP($JK15,'Jan-2026 rates'!$L:$R,7,0),IF($LB15=60%,VLOOKUP($JK15,'Jan-2026 rates'!$L:$S,8,0),IF($LB15=80%,VLOOKUP($JK15,'Jan-2026 rates'!L:T,9,0),0))))))))</f>
        <v>0</v>
      </c>
      <c r="JQ15" s="413">
        <v>2066</v>
      </c>
      <c r="JR15" s="412"/>
      <c r="JS15" s="413"/>
      <c r="JT15" s="413"/>
      <c r="JU15" s="412"/>
      <c r="JV15" s="412"/>
      <c r="JW15" s="412"/>
      <c r="JX15" s="412"/>
      <c r="JY15" s="409">
        <v>40</v>
      </c>
      <c r="JZ15" s="398">
        <f>IF(JY15=0,0,IF(LEN(JQ15)=11,_xlfn.XLOOKUP(JQ15,'Dispensed Ink Rates'!C:C,'Dispensed Ink Rates'!CS:CS),VLOOKUP(JQ15,'Jan-2026 rates'!$E:$F,2,0)))</f>
        <v>0</v>
      </c>
      <c r="KA15" s="409"/>
      <c r="KB15" s="398">
        <f>IF(KA15=0,0,IF(LEN(JR15)=11,_xlfn.XLOOKUP(JR15,'Dispensed Ink Rates'!C:C,'Dispensed Ink Rates'!CS:CS),VLOOKUP(JR15,'Jan-2026 rates'!$E:$F,2,0)))</f>
        <v>0</v>
      </c>
      <c r="KC15" s="409"/>
      <c r="KD15" s="398">
        <f>IF(KC15=0,0,IF(LEN(JS15)=11,_xlfn.XLOOKUP(JS15,'Dispensed Ink Rates'!C:C,'Dispensed Ink Rates'!CS:CS),VLOOKUP(JS15,'Jan-2026 rates'!$E:$F,2,0)))</f>
        <v>0</v>
      </c>
      <c r="KE15" s="409"/>
      <c r="KF15" s="398">
        <f>IF(KE15=0,0,IF(LEN(JT15)=11,_xlfn.XLOOKUP(JT15,'Dispensed Ink Rates'!C:C,'Dispensed Ink Rates'!CS:CS),VLOOKUP(JT15,'Jan-2026 rates'!$E:$F,2,0)))</f>
        <v>0</v>
      </c>
      <c r="KG15" s="409"/>
      <c r="KH15" s="398">
        <f>IF(KG15=0,0,IF(LEN(JU15)=11,_xlfn.XLOOKUP(JU15,'Dispensed Ink Rates'!C:C,'Dispensed Ink Rates'!CS:CS),VLOOKUP(JU15,'Jan-2026 rates'!$E:$F,2,0)))</f>
        <v>0</v>
      </c>
      <c r="KI15" s="409"/>
      <c r="KJ15" s="398">
        <f>IF(KI15=0,0,IF(LEN(JV15)=11,_xlfn.XLOOKUP(JV15,'Dispensed Ink Rates'!C:C,'Dispensed Ink Rates'!CS:CS),VLOOKUP(JV15,'Jan-2026 rates'!$E:$F,2,0)))</f>
        <v>0</v>
      </c>
      <c r="KK15" s="409"/>
      <c r="KL15" s="398">
        <f>IF(KK15=0,0,IF(LEN(JW15)=11,_xlfn.XLOOKUP(JW15,'Dispensed Ink Rates'!C:C,'Dispensed Ink Rates'!CS:CS),VLOOKUP(JW15,'Jan-2026 rates'!$E:$F,2,0)))</f>
        <v>0</v>
      </c>
      <c r="KM15" s="428"/>
      <c r="KN15" s="398">
        <f>IF(KM15=0,0,IF(LEN(JX15)=11,_xlfn.XLOOKUP(JX15,'Dispensed Ink Rates'!C:C,'Dispensed Ink Rates'!CS:CS),VLOOKUP(JX15,'Jan-2026 rates'!$E:$F,2,0)))</f>
        <v>0</v>
      </c>
      <c r="KO15" s="409" t="s">
        <v>602</v>
      </c>
      <c r="KP15" s="409">
        <v>15</v>
      </c>
      <c r="KQ15" s="411">
        <f t="shared" si="29"/>
        <v>0</v>
      </c>
      <c r="KR15" s="411">
        <f t="shared" si="30"/>
        <v>81.476190476190482</v>
      </c>
      <c r="KS15" s="410">
        <f t="shared" si="31"/>
        <v>0</v>
      </c>
      <c r="KT15" s="409">
        <v>2</v>
      </c>
      <c r="KU15" s="409">
        <v>5</v>
      </c>
      <c r="KV15" s="409">
        <v>2</v>
      </c>
      <c r="KW15" s="409">
        <v>2</v>
      </c>
      <c r="KX15" s="409">
        <v>3</v>
      </c>
      <c r="KY15" s="409">
        <v>4</v>
      </c>
      <c r="KZ15" s="409">
        <v>30</v>
      </c>
      <c r="LA15" s="409">
        <v>15</v>
      </c>
      <c r="LB15" s="415">
        <v>0.3</v>
      </c>
      <c r="LC15" s="415"/>
      <c r="LD15" s="415"/>
      <c r="LE15" s="415">
        <v>0.5</v>
      </c>
      <c r="LF15" s="415">
        <v>0.2</v>
      </c>
      <c r="LG15" s="409">
        <v>0</v>
      </c>
      <c r="LH15" s="409">
        <f>45+30+21+35+4+14</f>
        <v>149</v>
      </c>
      <c r="LI15" s="409">
        <v>0</v>
      </c>
      <c r="LJ15" s="409">
        <v>0</v>
      </c>
      <c r="LK15" s="416">
        <f t="shared" si="32"/>
        <v>149</v>
      </c>
      <c r="LL15" s="416">
        <f t="shared" si="33"/>
        <v>149</v>
      </c>
      <c r="LM15" s="417">
        <f t="shared" si="34"/>
        <v>44.699999999999996</v>
      </c>
      <c r="LN15" s="417">
        <f>VLOOKUP($LM$8,'Jan-2026 rates'!$H:$I,2,0)</f>
        <v>0</v>
      </c>
      <c r="LO15" s="417">
        <f t="shared" si="35"/>
        <v>0</v>
      </c>
      <c r="LP15" s="417">
        <f>VLOOKUP($LO$8,'Jan-2026 rates'!$H:$I,2,0)</f>
        <v>0</v>
      </c>
      <c r="LQ15" s="417">
        <f t="shared" si="36"/>
        <v>0</v>
      </c>
      <c r="LR15" s="417">
        <f>VLOOKUP($LQ$8,'Jan-2026 rates'!$H:$I,2,0)</f>
        <v>0</v>
      </c>
      <c r="LS15" s="417">
        <f t="shared" si="37"/>
        <v>74.5</v>
      </c>
      <c r="LT15" s="417">
        <f>VLOOKUP($LS$8,'Jan-2026 rates'!$H:$I,2,0)</f>
        <v>0</v>
      </c>
      <c r="LU15" s="417">
        <f t="shared" si="38"/>
        <v>29.8</v>
      </c>
      <c r="LV15" s="417">
        <f>VLOOKUP($LU$8,'Jan-2026 rates'!$H:$I,2,0)</f>
        <v>0</v>
      </c>
      <c r="LW15" s="417">
        <f t="shared" si="39"/>
        <v>0</v>
      </c>
      <c r="LX15" s="417">
        <f t="shared" si="40"/>
        <v>0</v>
      </c>
      <c r="LY15" s="418">
        <f t="shared" si="41"/>
        <v>0</v>
      </c>
      <c r="LZ15" s="417"/>
      <c r="MA15" s="435">
        <f t="shared" si="42"/>
        <v>128</v>
      </c>
      <c r="MB15" s="282">
        <f t="shared" si="43"/>
        <v>257</v>
      </c>
      <c r="MC15" s="283" t="s">
        <v>1944</v>
      </c>
      <c r="MD15" s="284" t="str">
        <f t="shared" si="44"/>
        <v>ToyoLiToyoLiToyoLiToyoLiToyoLiToyoLiToyoLiHI-TECH INK</v>
      </c>
      <c r="ME15" s="293" t="str">
        <f t="shared" si="45"/>
        <v>+</v>
      </c>
      <c r="MF15" s="293" t="str">
        <f t="shared" si="46"/>
        <v>+</v>
      </c>
      <c r="MG15" s="293" t="str">
        <f t="shared" si="47"/>
        <v>+</v>
      </c>
      <c r="MH15" s="293" t="str">
        <f t="shared" si="48"/>
        <v>+</v>
      </c>
      <c r="MI15" s="293" t="str">
        <f t="shared" si="49"/>
        <v>+</v>
      </c>
      <c r="MJ15" s="293" t="str">
        <f t="shared" si="50"/>
        <v>+</v>
      </c>
      <c r="MK15" s="293" t="str">
        <f t="shared" si="51"/>
        <v>+</v>
      </c>
      <c r="ML15" s="293" t="str">
        <f t="shared" si="52"/>
        <v>+</v>
      </c>
      <c r="MM15" s="3" t="b">
        <f t="array" ref="MM15">OR(ME15:ML15="-")</f>
        <v>0</v>
      </c>
      <c r="MN15" s="285"/>
      <c r="MO15" s="401"/>
      <c r="MP15" s="286"/>
      <c r="MQ15" s="286"/>
      <c r="MR15" s="402"/>
      <c r="MS15" s="400"/>
      <c r="NH15" s="422"/>
      <c r="NJ15" s="421"/>
    </row>
    <row r="16" spans="1:374" s="1" customFormat="1" ht="16.5">
      <c r="A16" s="403">
        <v>46024</v>
      </c>
      <c r="B16" s="404" t="s">
        <v>1015</v>
      </c>
      <c r="C16" s="405" t="s">
        <v>2625</v>
      </c>
      <c r="D16" s="406" t="s">
        <v>1945</v>
      </c>
      <c r="E16" s="404">
        <v>135</v>
      </c>
      <c r="F16" s="407">
        <v>9100</v>
      </c>
      <c r="G16" s="407" t="s">
        <v>1016</v>
      </c>
      <c r="H16" s="408" t="s">
        <v>1017</v>
      </c>
      <c r="I16" s="409">
        <f>2+0.9</f>
        <v>2.9</v>
      </c>
      <c r="J16" s="405" t="s">
        <v>543</v>
      </c>
      <c r="K16" s="404" t="s">
        <v>2626</v>
      </c>
      <c r="L16" s="419" t="str">
        <f t="shared" si="0"/>
        <v>ToyoLi - BLACK</v>
      </c>
      <c r="M16" s="404">
        <v>26</v>
      </c>
      <c r="N16" s="410">
        <f>IF(M16=0,0,IF($LB16=70%,VLOOKUP($L16,'Jan-2026 rates'!$L:$R,4,0),IF($LB16=65%,VLOOKUP($L16,'Jan-2026 rates'!$L:$R,4,0),IF($LB16=40%,VLOOKUP($L16,'Jan-2026 rates'!$L:$R,5,0),IF($LB16=30%,VLOOKUP($L16,'Jan-2026 rates'!$L:$R,6,0),IF($LB16=100%,VLOOKUP($L16,'Jan-2026 rates'!$L:$R,7,0),IF($LB16=60%,VLOOKUP($L16,'Jan-2026 rates'!$L:$S,8,0),IF($LB16=80%,VLOOKUP($L16,'Jan-2026 rates'!L:T,9,0),0))))))))</f>
        <v>0</v>
      </c>
      <c r="O16" s="406"/>
      <c r="P16" s="404"/>
      <c r="Q16" s="410">
        <f>IF(P16=0,0,IF($LB16=70%,VLOOKUP($L16,'Jan-2026 rates'!$L:$R,4,0),IF($LB16=65%,VLOOKUP($L16,'Jan-2026 rates'!$L:$R,4,0),IF($LB16=40%,VLOOKUP($L16,'Jan-2026 rates'!$L:$R,5,0),IF($LB16=30%,VLOOKUP($L16,'Jan-2026 rates'!$L:$R,6,0),IF($LB16=100%,VLOOKUP($L16,'Jan-2026 rates'!$L:$R,7,0),IF($LB16=60%,VLOOKUP($L16,'Jan-2026 rates'!$L:$S,8,0),IF($LB16=80%,VLOOKUP($L16,'Jan-2026 rates'!L:T,9,0),0))))))))</f>
        <v>0</v>
      </c>
      <c r="R16" s="406"/>
      <c r="S16" s="406"/>
      <c r="T16" s="406"/>
      <c r="U16" s="406"/>
      <c r="V16" s="406"/>
      <c r="W16" s="406"/>
      <c r="X16" s="406"/>
      <c r="Y16" s="406"/>
      <c r="Z16" s="404"/>
      <c r="AA16" s="398">
        <f>IF(Z16=0,0,IF(LEN(R16)=11,_xlfn.XLOOKUP(R16,'Dispensed Ink Rates'!C:C,'Dispensed Ink Rates'!CS:CS),VLOOKUP(R16,'Jan-2026 rates'!$E:$F,2,0)))</f>
        <v>0</v>
      </c>
      <c r="AB16" s="404"/>
      <c r="AC16" s="398">
        <f>IF(AB16=0,0,IF(LEN(S16)=11,_xlfn.XLOOKUP(S16,'Dispensed Ink Rates'!C:C,'Dispensed Ink Rates'!CS:CS),VLOOKUP(S16,'Jan-2026 rates'!$E:$F,2,0)))</f>
        <v>0</v>
      </c>
      <c r="AD16" s="404"/>
      <c r="AE16" s="398">
        <f>IF(AD16=0,0,IF(LEN(T16)=11,_xlfn.XLOOKUP(T16,'Dispensed Ink Rates'!C:C,'Dispensed Ink Rates'!CS:CS),VLOOKUP(T16,'Jan-2026 rates'!$E:$F,2,0)))</f>
        <v>0</v>
      </c>
      <c r="AF16" s="404"/>
      <c r="AG16" s="398">
        <f>IF(AF16=0,0,IF(LEN(U16)=11,_xlfn.XLOOKUP(U16,'Dispensed Ink Rates'!C:C,'Dispensed Ink Rates'!CS:CS),VLOOKUP(U16,'Jan-2026 rates'!$E:$F,2,0)))</f>
        <v>0</v>
      </c>
      <c r="AH16" s="404"/>
      <c r="AI16" s="398">
        <f>IF(AH16=0,0,IF(LEN(V16)=11,_xlfn.XLOOKUP(V16,'Dispensed Ink Rates'!C:C,'Dispensed Ink Rates'!CS:CS),VLOOKUP(V16,'Jan-2026 rates'!$E:$F,2,0)))</f>
        <v>0</v>
      </c>
      <c r="AJ16" s="404"/>
      <c r="AK16" s="398">
        <f>IF(AJ16=0,0,IF(LEN(W16)=11,_xlfn.XLOOKUP(W16,'Dispensed Ink Rates'!C:C,'Dispensed Ink Rates'!CS:CS),VLOOKUP(W16,'Jan-2026 rates'!$E:$F,2,0)))</f>
        <v>0</v>
      </c>
      <c r="AL16" s="404"/>
      <c r="AM16" s="398">
        <f>IF(AL16=0,0,IF(LEN(X16)=11,_xlfn.XLOOKUP(X16,'Dispensed Ink Rates'!C:C,'Dispensed Ink Rates'!CS:CS),VLOOKUP(X16,'Jan-2026 rates'!$E:$F,2,0)))</f>
        <v>0</v>
      </c>
      <c r="AN16" s="404"/>
      <c r="AO16" s="398">
        <f>IF(AN16=0,0,IF(LEN(Y16)=11,_xlfn.XLOOKUP(Y16,'Dispensed Ink Rates'!C:C,'Dispensed Ink Rates'!CS:CS),VLOOKUP(Y16,'Jan-2026 rates'!$E:$F,2,0)))</f>
        <v>0</v>
      </c>
      <c r="AP16" s="409" t="s">
        <v>1881</v>
      </c>
      <c r="AQ16" s="409">
        <v>25</v>
      </c>
      <c r="AR16" s="410">
        <f t="shared" si="1"/>
        <v>0</v>
      </c>
      <c r="AS16" s="411">
        <f t="shared" si="2"/>
        <v>4.9272727272727259</v>
      </c>
      <c r="AT16" s="410">
        <f t="shared" si="3"/>
        <v>0</v>
      </c>
      <c r="AU16" s="405" t="s">
        <v>857</v>
      </c>
      <c r="AV16" s="409" t="s">
        <v>2627</v>
      </c>
      <c r="AW16" s="420" t="str">
        <f t="shared" si="4"/>
        <v>ToyoLi - RED</v>
      </c>
      <c r="AX16" s="409">
        <v>27</v>
      </c>
      <c r="AY16" s="411">
        <f>IF(AX16=0,0,IF($LB16=70%,VLOOKUP($AW16,'Jan-2026 rates'!$L:$R,4,0),IF($LB16=65%,VLOOKUP($AW16,'Jan-2026 rates'!$L:$R,4,0),IF($LB16=40%,VLOOKUP($AW16,'Jan-2026 rates'!$L:$R,5,0),IF($LB16=30%,VLOOKUP($AW16,'Jan-2026 rates'!$L:$R,6,0),IF($LB16=100%,VLOOKUP($AW16,'Jan-2026 rates'!$L:$R,7,0),IF($LB16=60%,VLOOKUP($AW16,'Jan-2026 rates'!$L:$S,8,0),IF($LB16=80%,VLOOKUP($AW16,'Jan-2026 rates'!L:T,9,0),0))))))))</f>
        <v>0</v>
      </c>
      <c r="AZ16" s="412"/>
      <c r="BA16" s="409"/>
      <c r="BB16" s="411">
        <f>IF(BA16=0,0,IF($LB16=70%,VLOOKUP($AW16,'Jan-2026 rates'!$L:$R,4,0),IF($LB16=65%,VLOOKUP($AW16,'Jan-2026 rates'!$L:$R,4,0),IF($LB16=40%,VLOOKUP($AW16,'Jan-2026 rates'!$L:$R,5,0),IF($LB16=30%,VLOOKUP($AW16,'Jan-2026 rates'!$L:$R,6,0),IF($LB16=100%,VLOOKUP($AW16,'Jan-2026 rates'!$L:$R,7,0),IF($LB16=60%,VLOOKUP($AW16,'Jan-2026 rates'!$L:$S,8,0),IF($LB16=80%,VLOOKUP($AW16,'Jan-2026 rates'!L:T,9,0),0))))))))</f>
        <v>0</v>
      </c>
      <c r="BC16" s="413"/>
      <c r="BD16" s="412"/>
      <c r="BE16" s="412"/>
      <c r="BF16" s="413"/>
      <c r="BG16" s="412"/>
      <c r="BH16" s="412"/>
      <c r="BI16" s="412"/>
      <c r="BJ16" s="412"/>
      <c r="BK16" s="409"/>
      <c r="BL16" s="398">
        <f>IF(BK16=0,0,IF(LEN(BC16)=11,_xlfn.XLOOKUP(BC16,'Dispensed Ink Rates'!C:C,'Dispensed Ink Rates'!CS:CS),VLOOKUP(BC16,'Jan-2026 rates'!$E:$F,2,0)))</f>
        <v>0</v>
      </c>
      <c r="BM16" s="409"/>
      <c r="BN16" s="398">
        <f>IF(BM16=0,0,IF(LEN(BD16)=11,_xlfn.XLOOKUP(BD16,'Dispensed Ink Rates'!C:C,'Dispensed Ink Rates'!CS:CS),VLOOKUP(BD16,'Jan-2026 rates'!$E:$F,2,0)))</f>
        <v>0</v>
      </c>
      <c r="BO16" s="409"/>
      <c r="BP16" s="398">
        <f>IF(BO16=0,0,IF(LEN(BE16)=11,_xlfn.XLOOKUP(BE16,'Dispensed Ink Rates'!C:C,'Dispensed Ink Rates'!CS:CS),VLOOKUP(BE16,'Jan-2026 rates'!$E:$F,2,0)))</f>
        <v>0</v>
      </c>
      <c r="BQ16" s="409"/>
      <c r="BR16" s="398">
        <f>IF(BQ16=0,0,IF(LEN(BF16)=11,_xlfn.XLOOKUP(BF16,'Dispensed Ink Rates'!C:C,'Dispensed Ink Rates'!CS:CS),VLOOKUP(BF16,'Jan-2026 rates'!$E:$F,2,0)))</f>
        <v>0</v>
      </c>
      <c r="BS16" s="409"/>
      <c r="BT16" s="398">
        <f>IF(BS16=0,0,IF(LEN(BG16)=11,_xlfn.XLOOKUP(BG16,'Dispensed Ink Rates'!C:C,'Dispensed Ink Rates'!CS:CS),VLOOKUP(BG16,'Jan-2026 rates'!$E:$F,2,0)))</f>
        <v>0</v>
      </c>
      <c r="BU16" s="409"/>
      <c r="BV16" s="398">
        <f>IF(BU16=0,0,IF(LEN(BH16)=11,_xlfn.XLOOKUP(BH16,'Dispensed Ink Rates'!C:C,'Dispensed Ink Rates'!CS:CS),VLOOKUP(BH16,'Jan-2026 rates'!$E:$F,2,0)))</f>
        <v>0</v>
      </c>
      <c r="BW16" s="409"/>
      <c r="BX16" s="398">
        <f>IF(BW16=0,0,IF(LEN(BI16)=11,_xlfn.XLOOKUP(BI16,'Dispensed Ink Rates'!C:C,'Dispensed Ink Rates'!CS:CS),VLOOKUP(BI16,'Jan-2026 rates'!$E:$F,2,0)))</f>
        <v>0</v>
      </c>
      <c r="BY16" s="409"/>
      <c r="BZ16" s="398">
        <f>IF(BY16=0,0,IF(LEN(BJ16)=11,_xlfn.XLOOKUP(BJ16,'Dispensed Ink Rates'!C:C,'Dispensed Ink Rates'!CS:CS),VLOOKUP(BJ16,'Jan-2026 rates'!$E:$F,2,0)))</f>
        <v>0</v>
      </c>
      <c r="CA16" s="409" t="s">
        <v>1881</v>
      </c>
      <c r="CB16" s="409">
        <v>26</v>
      </c>
      <c r="CC16" s="411">
        <f t="shared" si="5"/>
        <v>0</v>
      </c>
      <c r="CD16" s="411">
        <f t="shared" si="6"/>
        <v>4.9272727272727259</v>
      </c>
      <c r="CE16" s="410">
        <f t="shared" si="7"/>
        <v>0</v>
      </c>
      <c r="CF16" s="404" t="s">
        <v>855</v>
      </c>
      <c r="CG16" s="409" t="s">
        <v>2628</v>
      </c>
      <c r="CH16" s="420" t="str">
        <f t="shared" si="8"/>
        <v>ToyoLi - CYAN</v>
      </c>
      <c r="CI16" s="409">
        <v>27</v>
      </c>
      <c r="CJ16" s="411">
        <f>IF(CI16=0,0,IF($LB16=70%,VLOOKUP($CH16,'Jan-2026 rates'!$L:$R,4,0),IF($LB16=65%,VLOOKUP($CH16,'Jan-2026 rates'!$L:$R,4,0),IF($LB16=40%,VLOOKUP($CH16,'Jan-2026 rates'!$L:$R,5,0),IF($LB16=30%,VLOOKUP($CH16,'Jan-2026 rates'!$L:$R,6,0),IF($LB16=100%,VLOOKUP($CH16,'Jan-2026 rates'!$L:$R,7,0),IF($LB16=60%,VLOOKUP($CH16,'Jan-2026 rates'!$L:$S,8,0),IF($LB16=80%,VLOOKUP($CH16,'Jan-2026 rates'!L:T,9,0),0))))))))</f>
        <v>0</v>
      </c>
      <c r="CK16" s="412"/>
      <c r="CL16" s="409"/>
      <c r="CM16" s="411">
        <f>IF(CL16=0,0,IF($LB16=70%,VLOOKUP($CH16,'Jan-2026 rates'!$L:$R,4,0),IF($LB16=65%,VLOOKUP($CH16,'Jan-2026 rates'!$L:$R,4,0),IF($LB16=40%,VLOOKUP($CH16,'Jan-2026 rates'!$L:$R,5,0),IF($LB16=30%,VLOOKUP($CH16,'Jan-2026 rates'!$L:$R,6,0),IF($LB16=100%,VLOOKUP($CH16,'Jan-2026 rates'!$L:$R,7,0),IF($LB16=60%,VLOOKUP($CH16,'Jan-2026 rates'!$L:$S,8,0),IF($LB16=80%,VLOOKUP($CH16,'Jan-2026 rates'!L:T,9,0),0))))))))</f>
        <v>0</v>
      </c>
      <c r="CN16" s="426"/>
      <c r="CO16" s="427"/>
      <c r="CP16" s="426"/>
      <c r="CQ16" s="426"/>
      <c r="CR16" s="428"/>
      <c r="CS16" s="428"/>
      <c r="CT16" s="428"/>
      <c r="CU16" s="428"/>
      <c r="CV16" s="409"/>
      <c r="CW16" s="398">
        <f>IF(CV16=0,0,IF(LEN(CN16)=11,_xlfn.XLOOKUP(CN16,'Dispensed Ink Rates'!C:C,'Dispensed Ink Rates'!CS:CS),VLOOKUP(CN16,'Jan-2026 rates'!$E:$F,2,0)))</f>
        <v>0</v>
      </c>
      <c r="CX16" s="409"/>
      <c r="CY16" s="398">
        <f>IF(CX16=0,0,IF(LEN(CO16)=11,_xlfn.XLOOKUP(CO16,'Dispensed Ink Rates'!C:C,'Dispensed Ink Rates'!CS:CS),VLOOKUP(CO16,'Jan-2026 rates'!$E:$F,2,0)))</f>
        <v>0</v>
      </c>
      <c r="CZ16" s="409"/>
      <c r="DA16" s="398">
        <f>IF(CZ16=0,0,IF(LEN(CP16)=11,_xlfn.XLOOKUP(CP16,'Dispensed Ink Rates'!C:C,'Dispensed Ink Rates'!CS:CS),VLOOKUP(CP16,'Jan-2026 rates'!$E:$F,2,0)))</f>
        <v>0</v>
      </c>
      <c r="DB16" s="409"/>
      <c r="DC16" s="398">
        <f>IF(DB16=0,0,IF(LEN(CQ16)=11,_xlfn.XLOOKUP(CQ16,'Dispensed Ink Rates'!C:C,'Dispensed Ink Rates'!CS:CS),VLOOKUP(CQ16,'Jan-2026 rates'!$E:$F,2,0)))</f>
        <v>0</v>
      </c>
      <c r="DD16" s="409"/>
      <c r="DE16" s="398">
        <f>IF(DD16=0,0,IF(LEN(CR16)=11,_xlfn.XLOOKUP(CR16,'Dispensed Ink Rates'!C:C,'Dispensed Ink Rates'!CS:CS),VLOOKUP(CR16,'Jan-2026 rates'!$E:$F,2,0)))</f>
        <v>0</v>
      </c>
      <c r="DF16" s="409"/>
      <c r="DG16" s="398">
        <f>IF(DF16=0,0,IF(LEN(CS16)=11,_xlfn.XLOOKUP(CS16,'Dispensed Ink Rates'!C:C,'Dispensed Ink Rates'!CS:CS),VLOOKUP(CS16,'Jan-2026 rates'!$E:$F,2,0)))</f>
        <v>0</v>
      </c>
      <c r="DH16" s="409"/>
      <c r="DI16" s="398">
        <f>IF(DH16=0,0,IF(LEN(CT16)=11,_xlfn.XLOOKUP(CT16,'Dispensed Ink Rates'!C:C,'Dispensed Ink Rates'!CS:CS),VLOOKUP(CT16,'Jan-2026 rates'!$E:$F,2,0)))</f>
        <v>0</v>
      </c>
      <c r="DJ16" s="409"/>
      <c r="DK16" s="398">
        <f>IF(DJ16=0,0,IF(LEN(CU16)=11,_xlfn.XLOOKUP(CU16,'Dispensed Ink Rates'!C:C,'Dispensed Ink Rates'!CS:CS),VLOOKUP(CU16,'Jan-2026 rates'!$E:$F,2,0)))</f>
        <v>0</v>
      </c>
      <c r="DL16" s="409" t="s">
        <v>1881</v>
      </c>
      <c r="DM16" s="409">
        <v>25</v>
      </c>
      <c r="DN16" s="411">
        <f t="shared" si="9"/>
        <v>0</v>
      </c>
      <c r="DO16" s="411">
        <f t="shared" si="10"/>
        <v>5.9272727272727259</v>
      </c>
      <c r="DP16" s="410">
        <f t="shared" si="11"/>
        <v>0</v>
      </c>
      <c r="DQ16" s="405" t="s">
        <v>544</v>
      </c>
      <c r="DR16" s="409" t="s">
        <v>2629</v>
      </c>
      <c r="DS16" s="420" t="str">
        <f t="shared" si="12"/>
        <v>ToyoLi - MAGENTA</v>
      </c>
      <c r="DT16" s="409">
        <v>26</v>
      </c>
      <c r="DU16" s="411">
        <f>IF(DT16=0,0,IF($LB16=70%,VLOOKUP($DS16,'Jan-2026 rates'!$L:$R,4,0),IF($LB16=65%,VLOOKUP($DS16,'Jan-2026 rates'!$L:$R,4,0),IF($LB16=40%,VLOOKUP($DS16,'Jan-2026 rates'!$L:$R,5,0),IF($LB16=30%,VLOOKUP($DS16,'Jan-2026 rates'!$L:$R,6,0),IF($LB16=100%,VLOOKUP($DS16,'Jan-2026 rates'!$L:$R,7,0),IF($LB16=60%,VLOOKUP($DS16,'Jan-2026 rates'!$L:$S,8,0),IF($LB16=80%,VLOOKUP($DS16,'Jan-2026 rates'!L:T,9,0),0))))))))</f>
        <v>0</v>
      </c>
      <c r="DV16" s="412" t="s">
        <v>2630</v>
      </c>
      <c r="DW16" s="409">
        <v>12</v>
      </c>
      <c r="DX16" s="411">
        <f>IF(DW16=0,0,IF($LB16=70%,VLOOKUP($DS16,'Jan-2026 rates'!$L:$R,4,0),IF($LB16=65%,VLOOKUP($DS16,'Jan-2026 rates'!$L:$R,4,0),IF($LB16=40%,VLOOKUP($DS16,'Jan-2026 rates'!$L:$R,5,0),IF($LB16=30%,VLOOKUP($DS16,'Jan-2026 rates'!$L:$R,6,0),IF($LB16=100%,VLOOKUP($DS16,'Jan-2026 rates'!$L:$R,7,0),IF($LB16=60%,VLOOKUP($DS16,'Jan-2026 rates'!$L:$S,8,0),IF($LB16=80%,VLOOKUP($DS16,'Jan-2026 rates'!L:T,9,0),0))))))))</f>
        <v>0</v>
      </c>
      <c r="DY16" s="413" t="s">
        <v>1246</v>
      </c>
      <c r="DZ16" s="413"/>
      <c r="EA16" s="412"/>
      <c r="EB16" s="412"/>
      <c r="EC16" s="412"/>
      <c r="ED16" s="412"/>
      <c r="EE16" s="412"/>
      <c r="EF16" s="412"/>
      <c r="EG16" s="409">
        <v>2</v>
      </c>
      <c r="EH16" s="398">
        <f>IF(EG16=0,0,IF(LEN(DY16)=11,_xlfn.XLOOKUP(DY16,'Dispensed Ink Rates'!C:C,'Dispensed Ink Rates'!CS:CS),VLOOKUP(DY16,'Jan-2026 rates'!$E:$F,2,0)))</f>
        <v>0</v>
      </c>
      <c r="EI16" s="409"/>
      <c r="EJ16" s="398">
        <f>IF(EI16=0,0,IF(LEN(DZ16)=11,_xlfn.XLOOKUP(DZ16,'Dispensed Ink Rates'!C:C,'Dispensed Ink Rates'!CS:CS),VLOOKUP(DZ16,'Jan-2026 rates'!$E:$F,2,0)))</f>
        <v>0</v>
      </c>
      <c r="EK16" s="409"/>
      <c r="EL16" s="398">
        <f>IF(EK16=0,0,IF(LEN(EA16)=11,_xlfn.XLOOKUP(EA16,'Dispensed Ink Rates'!C:C,'Dispensed Ink Rates'!CS:CS),VLOOKUP(EA16,'Jan-2026 rates'!$E:$F,2,0)))</f>
        <v>0</v>
      </c>
      <c r="EM16" s="409"/>
      <c r="EN16" s="398">
        <f>IF(EM16=0,0,IF(LEN(EB16)=11,_xlfn.XLOOKUP(EB16,'Dispensed Ink Rates'!C:C,'Dispensed Ink Rates'!CS:CS),VLOOKUP(EB16,'Jan-2026 rates'!$E:$F,2,0)))</f>
        <v>0</v>
      </c>
      <c r="EO16" s="409"/>
      <c r="EP16" s="398">
        <f>IF(EO16=0,0,IF(LEN(EC16)=11,_xlfn.XLOOKUP(EC16,'Dispensed Ink Rates'!C:C,'Dispensed Ink Rates'!CS:CS),VLOOKUP(EC16,'Jan-2026 rates'!$E:$F,2,0)))</f>
        <v>0</v>
      </c>
      <c r="EQ16" s="409"/>
      <c r="ER16" s="398">
        <f>IF(EQ16=0,0,IF(LEN(ED16)=11,_xlfn.XLOOKUP(ED16,'Dispensed Ink Rates'!C:C,'Dispensed Ink Rates'!CS:CS),VLOOKUP(ED16,'Jan-2026 rates'!$E:$F,2,0)))</f>
        <v>0</v>
      </c>
      <c r="ES16" s="409"/>
      <c r="ET16" s="398">
        <f>IF(ES16=0,0,IF(LEN(EE16)=11,_xlfn.XLOOKUP(EE16,'Dispensed Ink Rates'!C:C,'Dispensed Ink Rates'!CS:CS),VLOOKUP(EE16,'Jan-2026 rates'!$E:$F,2,0)))</f>
        <v>0</v>
      </c>
      <c r="EU16" s="409"/>
      <c r="EV16" s="398">
        <f>IF(EU16=0,0,IF(LEN(EF16)=11,_xlfn.XLOOKUP(EF16,'Dispensed Ink Rates'!C:C,'Dispensed Ink Rates'!CS:CS),VLOOKUP(EF16,'Jan-2026 rates'!$E:$F,2,0)))</f>
        <v>0</v>
      </c>
      <c r="EW16" s="409" t="s">
        <v>1881</v>
      </c>
      <c r="EX16" s="409">
        <v>27</v>
      </c>
      <c r="EY16" s="411">
        <f t="shared" si="13"/>
        <v>0</v>
      </c>
      <c r="EZ16" s="411">
        <f t="shared" si="14"/>
        <v>16.927272727272729</v>
      </c>
      <c r="FA16" s="410">
        <f t="shared" si="15"/>
        <v>0</v>
      </c>
      <c r="FB16" s="405" t="s">
        <v>545</v>
      </c>
      <c r="FC16" s="409" t="s">
        <v>2631</v>
      </c>
      <c r="FD16" s="420" t="str">
        <f t="shared" si="16"/>
        <v>ToyoLi - YELLOW</v>
      </c>
      <c r="FE16" s="409">
        <v>28</v>
      </c>
      <c r="FF16" s="411">
        <f>IF(FE16=0,0,IF($LB16=70%,VLOOKUP($FD16,'Jan-2026 rates'!$L:$R,4,0),IF($LB16=65%,VLOOKUP($FD16,'Jan-2026 rates'!$L:$R,4,0),IF($LB16=40%,VLOOKUP($FD16,'Jan-2026 rates'!$L:$R,5,0),IF($LB16=30%,VLOOKUP($FD16,'Jan-2026 rates'!$L:$R,6,0),IF($LB16=100%,VLOOKUP($FD16,'Jan-2026 rates'!$L:$R,7,0),IF($LB16=60%,VLOOKUP($FD16,'Jan-2026 rates'!$L:$S,8,0),IF($LB16=80%,VLOOKUP($FD16,'Jan-2026 rates'!L:T,9,0),0))))))))</f>
        <v>0</v>
      </c>
      <c r="FG16" s="412"/>
      <c r="FH16" s="409"/>
      <c r="FI16" s="411">
        <f>IF(FH16=0,0,IF($LB16=70%,VLOOKUP($FD16,'Jan-2026 rates'!$L:$R,4,0),IF($LB16=65%,VLOOKUP($FD16,'Jan-2026 rates'!$L:$R,4,0),IF($LB16=40%,VLOOKUP($FD16,'Jan-2026 rates'!$L:$R,5,0),IF($LB16=30%,VLOOKUP($FD16,'Jan-2026 rates'!$L:$R,6,0),IF($LB16=100%,VLOOKUP($FD16,'Jan-2026 rates'!$L:$R,7,0),IF($LB16=60%,VLOOKUP($FD16,'Jan-2026 rates'!$L:$S,8,0),IF($LB16=80%,VLOOKUP($FD16,'Jan-2026 rates'!L:T,9,0),0))))))))</f>
        <v>0</v>
      </c>
      <c r="FJ16" s="413" t="s">
        <v>1247</v>
      </c>
      <c r="FK16" s="413"/>
      <c r="FL16" s="413"/>
      <c r="FM16" s="412"/>
      <c r="FN16" s="412"/>
      <c r="FO16" s="412"/>
      <c r="FP16" s="412"/>
      <c r="FQ16" s="412"/>
      <c r="FR16" s="409">
        <v>3</v>
      </c>
      <c r="FS16" s="398">
        <f>IF(FR16=0,0,IF(LEN(FJ16)=11,_xlfn.XLOOKUP(FJ16,'Dispensed Ink Rates'!C:C,'Dispensed Ink Rates'!CS:CS),VLOOKUP(FJ16,'Jan-2026 rates'!$E:$F,2,0)))</f>
        <v>0</v>
      </c>
      <c r="FT16" s="409"/>
      <c r="FU16" s="398">
        <f>IF(FT16=0,0,IF(LEN(FK16)=11,_xlfn.XLOOKUP(FK16,'Dispensed Ink Rates'!C:C,'Dispensed Ink Rates'!CS:CS),VLOOKUP(FK16,'Jan-2026 rates'!$E:$F,2,0)))</f>
        <v>0</v>
      </c>
      <c r="FV16" s="409"/>
      <c r="FW16" s="398">
        <f>IF(FV16=0,0,IF(LEN(FL16)=11,_xlfn.XLOOKUP(FL16,'Dispensed Ink Rates'!C:C,'Dispensed Ink Rates'!CS:CS),VLOOKUP(FL16,'Jan-2026 rates'!$E:$F,2,0)))</f>
        <v>0</v>
      </c>
      <c r="FX16" s="409"/>
      <c r="FY16" s="398">
        <f>IF(FX16=0,0,IF(LEN(FM16)=11,_xlfn.XLOOKUP(FM16,'Dispensed Ink Rates'!C:C,'Dispensed Ink Rates'!CS:CS),VLOOKUP(FM16,'Jan-2026 rates'!$E:$F,2,0)))</f>
        <v>0</v>
      </c>
      <c r="FZ16" s="409"/>
      <c r="GA16" s="398">
        <f>IF(FZ16=0,0,IF(LEN(FN16)=11,_xlfn.XLOOKUP(FN16,'Dispensed Ink Rates'!C:C,'Dispensed Ink Rates'!CS:CS),VLOOKUP(FN16,'Jan-2026 rates'!$E:$F,2,0)))</f>
        <v>0</v>
      </c>
      <c r="GB16" s="409"/>
      <c r="GC16" s="398">
        <f>IF(GB16=0,0,IF(LEN(FO16)=11,_xlfn.XLOOKUP(FO16,'Dispensed Ink Rates'!C:C,'Dispensed Ink Rates'!CS:CS),VLOOKUP(FO16,'Jan-2026 rates'!$E:$F,2,0)))</f>
        <v>0</v>
      </c>
      <c r="GD16" s="409"/>
      <c r="GE16" s="398">
        <f>IF(GD16=0,0,IF(LEN(FP16)=11,_xlfn.XLOOKUP(FP16,'Dispensed Ink Rates'!C:C,'Dispensed Ink Rates'!CS:CS),VLOOKUP(FP16,'Jan-2026 rates'!$E:$F,2,0)))</f>
        <v>0</v>
      </c>
      <c r="GF16" s="409"/>
      <c r="GG16" s="398">
        <f>IF(GF16=0,0,IF(LEN(FQ16)=11,_xlfn.XLOOKUP(FQ16,'Dispensed Ink Rates'!C:C,'Dispensed Ink Rates'!CS:CS),VLOOKUP(FQ16,'Jan-2026 rates'!$E:$F,2,0)))</f>
        <v>0</v>
      </c>
      <c r="GH16" s="409" t="s">
        <v>1881</v>
      </c>
      <c r="GI16" s="409">
        <v>30</v>
      </c>
      <c r="GJ16" s="411">
        <f t="shared" si="17"/>
        <v>0</v>
      </c>
      <c r="GK16" s="411">
        <f t="shared" si="18"/>
        <v>4.9272727272727295</v>
      </c>
      <c r="GL16" s="410">
        <f t="shared" si="19"/>
        <v>0</v>
      </c>
      <c r="GM16" s="405" t="s">
        <v>543</v>
      </c>
      <c r="GN16" s="409"/>
      <c r="GO16" s="420" t="str">
        <f t="shared" si="20"/>
        <v>ToyoLi - BLACK</v>
      </c>
      <c r="GP16" s="409"/>
      <c r="GQ16" s="411">
        <f>IF(GP16=0,0,IF($LB16=70%,VLOOKUP($GO16,'Jan-2026 rates'!$L:$R,4,0),IF($LB16=65%,VLOOKUP($GO16,'Jan-2026 rates'!$L:$R,4,0),IF($LB16=40%,VLOOKUP($GO16,'Jan-2026 rates'!$L:$R,5,0),IF($LB16=30%,VLOOKUP($GO16,'Jan-2026 rates'!$L:$R,6,0),IF($LB16=100%,VLOOKUP($GO16,'Jan-2026 rates'!$L:$R,7,0),IF($LB16=60%,VLOOKUP($GO16,'Jan-2026 rates'!$L:$S,8,0),IF($LB16=80%,VLOOKUP($GO16,'Jan-2026 rates'!L:T,9,0),0))))))))</f>
        <v>0</v>
      </c>
      <c r="GR16" s="412"/>
      <c r="GS16" s="409"/>
      <c r="GT16" s="411">
        <f>IF(GS16=0,0,IF($LB16=70%,VLOOKUP($GO16,'Jan-2026 rates'!$L:$R,4,0),IF($LB16=65%,VLOOKUP($GO16,'Jan-2026 rates'!$L:$R,4,0),IF($LB16=40%,VLOOKUP($GO16,'Jan-2026 rates'!$L:$R,5,0),IF($LB16=30%,VLOOKUP($GO16,'Jan-2026 rates'!$L:$R,6,0),IF($LB16=100%,VLOOKUP($GO16,'Jan-2026 rates'!$L:$R,7,0),IF($LB16=60%,VLOOKUP($GO16,'Jan-2026 rates'!$L:$S,8,0),IF($LB16=80%,VLOOKUP($GO16,'Jan-2026 rates'!L:T,9,0),0))))))))</f>
        <v>0</v>
      </c>
      <c r="GU16" s="413" t="s">
        <v>1252</v>
      </c>
      <c r="GV16" s="413"/>
      <c r="GW16" s="412"/>
      <c r="GX16" s="412"/>
      <c r="GY16" s="412"/>
      <c r="GZ16" s="412"/>
      <c r="HA16" s="412"/>
      <c r="HB16" s="412"/>
      <c r="HC16" s="409">
        <v>25</v>
      </c>
      <c r="HD16" s="398">
        <f>IF(HC16=0,0,IF(LEN(GU16)=11,_xlfn.XLOOKUP(GU16,'Dispensed Ink Rates'!C:C,'Dispensed Ink Rates'!CS:CS),VLOOKUP(GU16,'Jan-2026 rates'!$E:$F,2,0)))</f>
        <v>0</v>
      </c>
      <c r="HE16" s="409"/>
      <c r="HF16" s="398">
        <f>IF(HE16=0,0,IF(LEN(GV16)=11,_xlfn.XLOOKUP(GV16,'Dispensed Ink Rates'!C:C,'Dispensed Ink Rates'!CS:CS),VLOOKUP(GV16,'Jan-2026 rates'!$E:$F,2,0)))</f>
        <v>0</v>
      </c>
      <c r="HG16" s="409"/>
      <c r="HH16" s="398">
        <f>IF(HG16=0,0,IF(LEN(GW16)=11,_xlfn.XLOOKUP(GW16,'Dispensed Ink Rates'!C:C,'Dispensed Ink Rates'!CS:CS),VLOOKUP(GW16,'Jan-2026 rates'!$E:$F,2,0)))</f>
        <v>0</v>
      </c>
      <c r="HI16" s="409"/>
      <c r="HJ16" s="398">
        <f>IF(HI16=0,0,IF(LEN(GX16)=11,_xlfn.XLOOKUP(GX16,'Dispensed Ink Rates'!C:C,'Dispensed Ink Rates'!CS:CS),VLOOKUP(GX16,'Jan-2026 rates'!$E:$F,2,0)))</f>
        <v>0</v>
      </c>
      <c r="HK16" s="409"/>
      <c r="HL16" s="398">
        <f>IF(HK16=0,0,IF(LEN(GY16)=11,_xlfn.XLOOKUP(GY16,'Dispensed Ink Rates'!C:C,'Dispensed Ink Rates'!CS:CS),VLOOKUP(GY16,'Jan-2026 rates'!$E:$F,2,0)))</f>
        <v>0</v>
      </c>
      <c r="HM16" s="409"/>
      <c r="HN16" s="398">
        <f>IF(HM16=0,0,IF(LEN(GZ16)=11,_xlfn.XLOOKUP(GZ16,'Dispensed Ink Rates'!C:C,'Dispensed Ink Rates'!CS:CS),VLOOKUP(GZ16,'Jan-2026 rates'!$E:$F,2,0)))</f>
        <v>0</v>
      </c>
      <c r="HO16" s="409"/>
      <c r="HP16" s="398">
        <f>IF(HO16=0,0,IF(LEN(HA16)=11,_xlfn.XLOOKUP(HA16,'Dispensed Ink Rates'!C:C,'Dispensed Ink Rates'!CS:CS),VLOOKUP(HA16,'Jan-2026 rates'!$E:$F,2,0)))</f>
        <v>0</v>
      </c>
      <c r="HQ16" s="409"/>
      <c r="HR16" s="398">
        <f>IF(HQ16=0,0,IF(LEN(HB16)=11,_xlfn.XLOOKUP(HB16,'Dispensed Ink Rates'!C:C,'Dispensed Ink Rates'!CS:CS),VLOOKUP(HB16,'Jan-2026 rates'!$E:$F,2,0)))</f>
        <v>0</v>
      </c>
      <c r="HS16" s="409" t="s">
        <v>1881</v>
      </c>
      <c r="HT16" s="409">
        <f>20+10</f>
        <v>30</v>
      </c>
      <c r="HU16" s="411">
        <f t="shared" si="21"/>
        <v>0</v>
      </c>
      <c r="HV16" s="411">
        <f t="shared" si="22"/>
        <v>24.454545454545453</v>
      </c>
      <c r="HW16" s="414">
        <f t="shared" si="23"/>
        <v>0</v>
      </c>
      <c r="HX16" s="405" t="s">
        <v>856</v>
      </c>
      <c r="HY16" s="409" t="s">
        <v>2632</v>
      </c>
      <c r="HZ16" s="420" t="str">
        <f t="shared" si="24"/>
        <v>ToyoLi - WHITE</v>
      </c>
      <c r="IA16" s="409">
        <v>30</v>
      </c>
      <c r="IB16" s="411">
        <f>IF(IA16=0,0,IF($LB16=70%,VLOOKUP($HZ16,'Jan-2026 rates'!$L:$R,4,0),IF($LB16=65%,VLOOKUP($HZ16,'Jan-2026 rates'!$L:$R,4,0),IF($LB16=40%,VLOOKUP($HZ16,'Jan-2026 rates'!$L:$R,5,0),IF($LB16=30%,VLOOKUP($HZ16,'Jan-2026 rates'!$L:$R,6,0),IF($LB16=100%,VLOOKUP($HZ16,'Jan-2026 rates'!$L:$R,7,0),IF($LB16=60%,VLOOKUP($HZ16,'Jan-2026 rates'!$L:$S,8,0),IF($LB16=80%,VLOOKUP($HZ16,'Jan-2026 rates'!L:T,9,0),0))))))))</f>
        <v>0</v>
      </c>
      <c r="IC16" s="412"/>
      <c r="ID16" s="409"/>
      <c r="IE16" s="411">
        <f>IF(ID16=0,0,IF($LB16=70%,VLOOKUP($HZ16,'Jan-2026 rates'!$L:$R,4,0),IF($LB16=65%,VLOOKUP($HZ16,'Jan-2026 rates'!$L:$R,4,0),IF($LB16=40%,VLOOKUP($HZ16,'Jan-2026 rates'!$L:$R,5,0),IF($LB16=30%,VLOOKUP($HZ16,'Jan-2026 rates'!$L:$R,6,0),IF($LB16=100%,VLOOKUP($HZ16,'Jan-2026 rates'!$L:$R,7,0),IF($LB16=60%,VLOOKUP($HZ16,'Jan-2026 rates'!$L:$S,8,0),IF($LB16=80%,VLOOKUP($HZ16,'Jan-2026 rates'!L:T,9,0),0))))))))</f>
        <v>0</v>
      </c>
      <c r="IF16" s="412" t="s">
        <v>1249</v>
      </c>
      <c r="IG16" s="413"/>
      <c r="IH16" s="412"/>
      <c r="II16" s="412"/>
      <c r="IJ16" s="412"/>
      <c r="IK16" s="412"/>
      <c r="IL16" s="412"/>
      <c r="IM16" s="412"/>
      <c r="IN16" s="409">
        <v>40</v>
      </c>
      <c r="IO16" s="398">
        <f>IF(IN16=0,0,IF(LEN(IF16)=11,_xlfn.XLOOKUP(IF16,'Dispensed Ink Rates'!C:C,'Dispensed Ink Rates'!CS:CS),VLOOKUP(IF16,'Jan-2026 rates'!$E:$F,2,0)))</f>
        <v>0</v>
      </c>
      <c r="IP16" s="409"/>
      <c r="IQ16" s="398">
        <f>IF(IP16=0,0,IF(LEN(IG16)=11,_xlfn.XLOOKUP(IG16,'Dispensed Ink Rates'!C:C,'Dispensed Ink Rates'!CS:CS),VLOOKUP(IG16,'Jan-2026 rates'!$E:$F,2,0)))</f>
        <v>0</v>
      </c>
      <c r="IR16" s="409"/>
      <c r="IS16" s="398">
        <f>IF(IR16=0,0,IF(LEN(IH16)=11,_xlfn.XLOOKUP(IH16,'Dispensed Ink Rates'!C:C,'Dispensed Ink Rates'!CS:CS),VLOOKUP(IH16,'Jan-2026 rates'!$E:$F,2,0)))</f>
        <v>0</v>
      </c>
      <c r="IT16" s="409"/>
      <c r="IU16" s="398">
        <f>IF(IT16=0,0,IF(LEN(II16)=11,_xlfn.XLOOKUP(II16,'Dispensed Ink Rates'!C:C,'Dispensed Ink Rates'!CS:CS),VLOOKUP(II16,'Jan-2026 rates'!$E:$F,2,0)))</f>
        <v>0</v>
      </c>
      <c r="IV16" s="409"/>
      <c r="IW16" s="398">
        <f>IF(IV16=0,0,IF(LEN(IJ16)=11,_xlfn.XLOOKUP(IJ16,'Dispensed Ink Rates'!C:C,'Dispensed Ink Rates'!CS:CS),VLOOKUP(IJ16,'Jan-2026 rates'!$E:$F,2,0)))</f>
        <v>0</v>
      </c>
      <c r="IX16" s="409"/>
      <c r="IY16" s="398">
        <f>IF(IX16=0,0,IF(LEN(IK16)=11,_xlfn.XLOOKUP(IK16,'Dispensed Ink Rates'!C:C,'Dispensed Ink Rates'!CS:CS),VLOOKUP(IK16,'Jan-2026 rates'!$E:$F,2,0)))</f>
        <v>0</v>
      </c>
      <c r="IZ16" s="409"/>
      <c r="JA16" s="398">
        <f>IF(IZ16=0,0,IF(LEN(IL16)=11,_xlfn.XLOOKUP(IL16,'Dispensed Ink Rates'!C:C,'Dispensed Ink Rates'!CS:CS),VLOOKUP(IL16,'Jan-2026 rates'!$E:$F,2,0)))</f>
        <v>0</v>
      </c>
      <c r="JB16" s="409"/>
      <c r="JC16" s="398">
        <f>IF(JB16=0,0,IF(LEN(IM16)=11,_xlfn.XLOOKUP(IM16,'Dispensed Ink Rates'!C:C,'Dispensed Ink Rates'!CS:CS),VLOOKUP(IM16,'Jan-2026 rates'!$E:$F,2,0)))</f>
        <v>0</v>
      </c>
      <c r="JD16" s="409" t="s">
        <v>1881</v>
      </c>
      <c r="JE16" s="409">
        <v>28</v>
      </c>
      <c r="JF16" s="411">
        <f t="shared" si="25"/>
        <v>0</v>
      </c>
      <c r="JG16" s="411">
        <f t="shared" si="26"/>
        <v>81.27272727272728</v>
      </c>
      <c r="JH16" s="410">
        <f t="shared" si="27"/>
        <v>0</v>
      </c>
      <c r="JI16" s="405" t="s">
        <v>605</v>
      </c>
      <c r="JJ16" s="409" t="s">
        <v>2629</v>
      </c>
      <c r="JK16" s="420" t="str">
        <f t="shared" si="28"/>
        <v>HI-TECH INK - MATT</v>
      </c>
      <c r="JL16" s="409">
        <v>15</v>
      </c>
      <c r="JM16" s="411">
        <f>IF(JL16=0,0,IF($LB16=70%,VLOOKUP($JK16,'Jan-2026 rates'!$L:$R,4,0),IF($LB16=65%,VLOOKUP($JK16,'Jan-2026 rates'!$L:$R,4,0),IF($LB16=40%,VLOOKUP($JK16,'Jan-2026 rates'!$L:$R,5,0),IF($LB16=30%,VLOOKUP($JK16,'Jan-2026 rates'!$L:$R,6,0),IF($LB16=100%,VLOOKUP($JK16,'Jan-2026 rates'!$L:$R,7,0),IF($LB16=60%,VLOOKUP($JK16,'Jan-2026 rates'!$L:$S,8,0),IF($LB16=80%,VLOOKUP($JK16,'Jan-2026 rates'!L:T,9,0),0))))))))</f>
        <v>0</v>
      </c>
      <c r="JN16" s="412"/>
      <c r="JO16" s="409"/>
      <c r="JP16" s="411">
        <f>IF(JO16=0,0,IF($LB16=70%,VLOOKUP($JK16,'Jan-2026 rates'!$L:$R,4,0),IF($LB16=65%,VLOOKUP($JK16,'Jan-2026 rates'!$L:$R,4,0),IF($LB16=40%,VLOOKUP($JK16,'Jan-2026 rates'!$L:$R,5,0),IF($LB16=30%,VLOOKUP($JK16,'Jan-2026 rates'!$L:$R,6,0),IF($LB16=100%,VLOOKUP($JK16,'Jan-2026 rates'!$L:$R,7,0),IF($LB16=60%,VLOOKUP($JK16,'Jan-2026 rates'!$L:$S,8,0),IF($LB16=80%,VLOOKUP($JK16,'Jan-2026 rates'!L:T,9,0),0))))))))</f>
        <v>0</v>
      </c>
      <c r="JQ16" s="413">
        <v>2066</v>
      </c>
      <c r="JR16" s="412"/>
      <c r="JS16" s="413"/>
      <c r="JT16" s="413"/>
      <c r="JU16" s="412"/>
      <c r="JV16" s="412"/>
      <c r="JW16" s="412"/>
      <c r="JX16" s="412"/>
      <c r="JY16" s="409">
        <v>30</v>
      </c>
      <c r="JZ16" s="398">
        <f>IF(JY16=0,0,IF(LEN(JQ16)=11,_xlfn.XLOOKUP(JQ16,'Dispensed Ink Rates'!C:C,'Dispensed Ink Rates'!CS:CS),VLOOKUP(JQ16,'Jan-2026 rates'!$E:$F,2,0)))</f>
        <v>0</v>
      </c>
      <c r="KA16" s="409"/>
      <c r="KB16" s="398">
        <f>IF(KA16=0,0,IF(LEN(JR16)=11,_xlfn.XLOOKUP(JR16,'Dispensed Ink Rates'!C:C,'Dispensed Ink Rates'!CS:CS),VLOOKUP(JR16,'Jan-2026 rates'!$E:$F,2,0)))</f>
        <v>0</v>
      </c>
      <c r="KC16" s="409"/>
      <c r="KD16" s="398">
        <f>IF(KC16=0,0,IF(LEN(JS16)=11,_xlfn.XLOOKUP(JS16,'Dispensed Ink Rates'!C:C,'Dispensed Ink Rates'!CS:CS),VLOOKUP(JS16,'Jan-2026 rates'!$E:$F,2,0)))</f>
        <v>0</v>
      </c>
      <c r="KE16" s="409"/>
      <c r="KF16" s="398">
        <f>IF(KE16=0,0,IF(LEN(JT16)=11,_xlfn.XLOOKUP(JT16,'Dispensed Ink Rates'!C:C,'Dispensed Ink Rates'!CS:CS),VLOOKUP(JT16,'Jan-2026 rates'!$E:$F,2,0)))</f>
        <v>0</v>
      </c>
      <c r="KG16" s="409"/>
      <c r="KH16" s="398">
        <f>IF(KG16=0,0,IF(LEN(JU16)=11,_xlfn.XLOOKUP(JU16,'Dispensed Ink Rates'!C:C,'Dispensed Ink Rates'!CS:CS),VLOOKUP(JU16,'Jan-2026 rates'!$E:$F,2,0)))</f>
        <v>0</v>
      </c>
      <c r="KI16" s="409"/>
      <c r="KJ16" s="398">
        <f>IF(KI16=0,0,IF(LEN(JV16)=11,_xlfn.XLOOKUP(JV16,'Dispensed Ink Rates'!C:C,'Dispensed Ink Rates'!CS:CS),VLOOKUP(JV16,'Jan-2026 rates'!$E:$F,2,0)))</f>
        <v>0</v>
      </c>
      <c r="KK16" s="409"/>
      <c r="KL16" s="398">
        <f>IF(KK16=0,0,IF(LEN(JW16)=11,_xlfn.XLOOKUP(JW16,'Dispensed Ink Rates'!C:C,'Dispensed Ink Rates'!CS:CS),VLOOKUP(JW16,'Jan-2026 rates'!$E:$F,2,0)))</f>
        <v>0</v>
      </c>
      <c r="KM16" s="428"/>
      <c r="KN16" s="398">
        <f>IF(KM16=0,0,IF(LEN(JX16)=11,_xlfn.XLOOKUP(JX16,'Dispensed Ink Rates'!C:C,'Dispensed Ink Rates'!CS:CS),VLOOKUP(JX16,'Jan-2026 rates'!$E:$F,2,0)))</f>
        <v>0</v>
      </c>
      <c r="KO16" s="409" t="s">
        <v>602</v>
      </c>
      <c r="KP16" s="409">
        <v>30</v>
      </c>
      <c r="KQ16" s="411">
        <f t="shared" si="29"/>
        <v>0</v>
      </c>
      <c r="KR16" s="411">
        <f t="shared" si="30"/>
        <v>34.63636363636364</v>
      </c>
      <c r="KS16" s="410">
        <f t="shared" si="31"/>
        <v>0</v>
      </c>
      <c r="KT16" s="409">
        <v>2</v>
      </c>
      <c r="KU16" s="409">
        <v>2</v>
      </c>
      <c r="KV16" s="409">
        <v>2</v>
      </c>
      <c r="KW16" s="409">
        <v>2</v>
      </c>
      <c r="KX16" s="409">
        <v>2</v>
      </c>
      <c r="KY16" s="409">
        <v>15</v>
      </c>
      <c r="KZ16" s="409">
        <v>20</v>
      </c>
      <c r="LA16" s="409">
        <v>10</v>
      </c>
      <c r="LB16" s="415">
        <v>0.3</v>
      </c>
      <c r="LC16" s="415"/>
      <c r="LD16" s="415"/>
      <c r="LE16" s="415">
        <v>0.5</v>
      </c>
      <c r="LF16" s="415">
        <v>0.2</v>
      </c>
      <c r="LG16" s="409">
        <v>0</v>
      </c>
      <c r="LH16" s="409">
        <f>30+20+15+25+8+10</f>
        <v>108</v>
      </c>
      <c r="LI16" s="409">
        <v>0</v>
      </c>
      <c r="LJ16" s="409">
        <v>0</v>
      </c>
      <c r="LK16" s="416">
        <f t="shared" si="32"/>
        <v>108</v>
      </c>
      <c r="LL16" s="416">
        <f t="shared" si="33"/>
        <v>108</v>
      </c>
      <c r="LM16" s="417">
        <f t="shared" si="34"/>
        <v>32.4</v>
      </c>
      <c r="LN16" s="417">
        <f>VLOOKUP($LM$8,'Jan-2026 rates'!$H:$I,2,0)</f>
        <v>0</v>
      </c>
      <c r="LO16" s="417">
        <f t="shared" si="35"/>
        <v>0</v>
      </c>
      <c r="LP16" s="417">
        <f>VLOOKUP($LO$8,'Jan-2026 rates'!$H:$I,2,0)</f>
        <v>0</v>
      </c>
      <c r="LQ16" s="417">
        <f t="shared" si="36"/>
        <v>0</v>
      </c>
      <c r="LR16" s="417">
        <f>VLOOKUP($LQ$8,'Jan-2026 rates'!$H:$I,2,0)</f>
        <v>0</v>
      </c>
      <c r="LS16" s="417">
        <f t="shared" si="37"/>
        <v>54</v>
      </c>
      <c r="LT16" s="417">
        <f>VLOOKUP($LS$8,'Jan-2026 rates'!$H:$I,2,0)</f>
        <v>0</v>
      </c>
      <c r="LU16" s="417">
        <f t="shared" si="38"/>
        <v>21.6</v>
      </c>
      <c r="LV16" s="417">
        <f>VLOOKUP($LU$8,'Jan-2026 rates'!$H:$I,2,0)</f>
        <v>0</v>
      </c>
      <c r="LW16" s="417">
        <f t="shared" si="39"/>
        <v>0</v>
      </c>
      <c r="LX16" s="417">
        <f t="shared" si="40"/>
        <v>0</v>
      </c>
      <c r="LY16" s="418">
        <f t="shared" si="41"/>
        <v>0</v>
      </c>
      <c r="LZ16" s="417"/>
      <c r="MA16" s="435">
        <f t="shared" si="42"/>
        <v>100</v>
      </c>
      <c r="MB16" s="282">
        <f t="shared" si="43"/>
        <v>178</v>
      </c>
      <c r="MC16" s="283" t="s">
        <v>1945</v>
      </c>
      <c r="MD16" s="284" t="str">
        <f t="shared" si="44"/>
        <v>ToyoLiToyoLiToyoLiToyoLiToyoLiToyoLiToyoLiHI-TECH INK</v>
      </c>
      <c r="ME16" s="293" t="str">
        <f t="shared" si="45"/>
        <v>+</v>
      </c>
      <c r="MF16" s="293" t="str">
        <f t="shared" si="46"/>
        <v>+</v>
      </c>
      <c r="MG16" s="293" t="str">
        <f t="shared" si="47"/>
        <v>+</v>
      </c>
      <c r="MH16" s="293" t="str">
        <f t="shared" si="48"/>
        <v>+</v>
      </c>
      <c r="MI16" s="293" t="str">
        <f t="shared" si="49"/>
        <v>+</v>
      </c>
      <c r="MJ16" s="293" t="str">
        <f t="shared" si="50"/>
        <v>+</v>
      </c>
      <c r="MK16" s="293" t="str">
        <f t="shared" si="51"/>
        <v>+</v>
      </c>
      <c r="ML16" s="293" t="str">
        <f t="shared" si="52"/>
        <v>+</v>
      </c>
      <c r="MM16" s="3" t="b">
        <f t="array" ref="MM16">OR(ME16:ML16="-")</f>
        <v>0</v>
      </c>
      <c r="MN16" s="285"/>
      <c r="MO16" s="401"/>
      <c r="MP16" s="286"/>
      <c r="MQ16" s="286"/>
      <c r="MR16" s="402"/>
      <c r="MS16" s="400"/>
      <c r="NH16" s="422"/>
      <c r="NJ16" s="421"/>
    </row>
    <row r="17" spans="1:374" s="1" customFormat="1" ht="16.5">
      <c r="A17" s="403">
        <v>46024</v>
      </c>
      <c r="B17" s="404" t="s">
        <v>1018</v>
      </c>
      <c r="C17" s="405" t="s">
        <v>2633</v>
      </c>
      <c r="D17" s="406" t="s">
        <v>1946</v>
      </c>
      <c r="E17" s="404">
        <v>136</v>
      </c>
      <c r="F17" s="407">
        <v>9200</v>
      </c>
      <c r="G17" s="407" t="s">
        <v>1016</v>
      </c>
      <c r="H17" s="408" t="s">
        <v>1017</v>
      </c>
      <c r="I17" s="409">
        <f>2.02+0.9</f>
        <v>2.92</v>
      </c>
      <c r="J17" s="405" t="s">
        <v>543</v>
      </c>
      <c r="K17" s="404" t="s">
        <v>2634</v>
      </c>
      <c r="L17" s="419" t="str">
        <f t="shared" si="0"/>
        <v>ToyoLi - BLACK</v>
      </c>
      <c r="M17" s="404">
        <v>25</v>
      </c>
      <c r="N17" s="410">
        <f>IF(M17=0,0,IF($LB17=70%,VLOOKUP($L17,'Jan-2026 rates'!$L:$R,4,0),IF($LB17=65%,VLOOKUP($L17,'Jan-2026 rates'!$L:$R,4,0),IF($LB17=40%,VLOOKUP($L17,'Jan-2026 rates'!$L:$R,5,0),IF($LB17=30%,VLOOKUP($L17,'Jan-2026 rates'!$L:$R,6,0),IF($LB17=100%,VLOOKUP($L17,'Jan-2026 rates'!$L:$R,7,0),IF($LB17=60%,VLOOKUP($L17,'Jan-2026 rates'!$L:$S,8,0),IF($LB17=80%,VLOOKUP($L17,'Jan-2026 rates'!L:T,9,0),0))))))))</f>
        <v>0</v>
      </c>
      <c r="O17" s="406"/>
      <c r="P17" s="404"/>
      <c r="Q17" s="410">
        <f>IF(P17=0,0,IF($LB17=70%,VLOOKUP($L17,'Jan-2026 rates'!$L:$R,4,0),IF($LB17=65%,VLOOKUP($L17,'Jan-2026 rates'!$L:$R,4,0),IF($LB17=40%,VLOOKUP($L17,'Jan-2026 rates'!$L:$R,5,0),IF($LB17=30%,VLOOKUP($L17,'Jan-2026 rates'!$L:$R,6,0),IF($LB17=100%,VLOOKUP($L17,'Jan-2026 rates'!$L:$R,7,0),IF($LB17=60%,VLOOKUP($L17,'Jan-2026 rates'!$L:$S,8,0),IF($LB17=80%,VLOOKUP($L17,'Jan-2026 rates'!L:T,9,0),0))))))))</f>
        <v>0</v>
      </c>
      <c r="R17" s="406" t="s">
        <v>1252</v>
      </c>
      <c r="S17" s="406"/>
      <c r="T17" s="406"/>
      <c r="U17" s="406"/>
      <c r="V17" s="406"/>
      <c r="W17" s="406"/>
      <c r="X17" s="406"/>
      <c r="Y17" s="406"/>
      <c r="Z17" s="404">
        <v>2</v>
      </c>
      <c r="AA17" s="398">
        <f>IF(Z17=0,0,IF(LEN(R17)=11,_xlfn.XLOOKUP(R17,'Dispensed Ink Rates'!C:C,'Dispensed Ink Rates'!CS:CS),VLOOKUP(R17,'Jan-2026 rates'!$E:$F,2,0)))</f>
        <v>0</v>
      </c>
      <c r="AB17" s="404"/>
      <c r="AC17" s="398">
        <f>IF(AB17=0,0,IF(LEN(S17)=11,_xlfn.XLOOKUP(S17,'Dispensed Ink Rates'!C:C,'Dispensed Ink Rates'!CS:CS),VLOOKUP(S17,'Jan-2026 rates'!$E:$F,2,0)))</f>
        <v>0</v>
      </c>
      <c r="AD17" s="404"/>
      <c r="AE17" s="398">
        <f>IF(AD17=0,0,IF(LEN(T17)=11,_xlfn.XLOOKUP(T17,'Dispensed Ink Rates'!C:C,'Dispensed Ink Rates'!CS:CS),VLOOKUP(T17,'Jan-2026 rates'!$E:$F,2,0)))</f>
        <v>0</v>
      </c>
      <c r="AF17" s="404"/>
      <c r="AG17" s="398">
        <f>IF(AF17=0,0,IF(LEN(U17)=11,_xlfn.XLOOKUP(U17,'Dispensed Ink Rates'!C:C,'Dispensed Ink Rates'!CS:CS),VLOOKUP(U17,'Jan-2026 rates'!$E:$F,2,0)))</f>
        <v>0</v>
      </c>
      <c r="AH17" s="404"/>
      <c r="AI17" s="398">
        <f>IF(AH17=0,0,IF(LEN(V17)=11,_xlfn.XLOOKUP(V17,'Dispensed Ink Rates'!C:C,'Dispensed Ink Rates'!CS:CS),VLOOKUP(V17,'Jan-2026 rates'!$E:$F,2,0)))</f>
        <v>0</v>
      </c>
      <c r="AJ17" s="404"/>
      <c r="AK17" s="398">
        <f>IF(AJ17=0,0,IF(LEN(W17)=11,_xlfn.XLOOKUP(W17,'Dispensed Ink Rates'!C:C,'Dispensed Ink Rates'!CS:CS),VLOOKUP(W17,'Jan-2026 rates'!$E:$F,2,0)))</f>
        <v>0</v>
      </c>
      <c r="AL17" s="404"/>
      <c r="AM17" s="398">
        <f>IF(AL17=0,0,IF(LEN(X17)=11,_xlfn.XLOOKUP(X17,'Dispensed Ink Rates'!C:C,'Dispensed Ink Rates'!CS:CS),VLOOKUP(X17,'Jan-2026 rates'!$E:$F,2,0)))</f>
        <v>0</v>
      </c>
      <c r="AN17" s="404"/>
      <c r="AO17" s="398">
        <f>IF(AN17=0,0,IF(LEN(Y17)=11,_xlfn.XLOOKUP(Y17,'Dispensed Ink Rates'!C:C,'Dispensed Ink Rates'!CS:CS),VLOOKUP(Y17,'Jan-2026 rates'!$E:$F,2,0)))</f>
        <v>0</v>
      </c>
      <c r="AP17" s="409" t="s">
        <v>1881</v>
      </c>
      <c r="AQ17" s="409">
        <v>25</v>
      </c>
      <c r="AR17" s="410">
        <f t="shared" si="1"/>
        <v>0</v>
      </c>
      <c r="AS17" s="411">
        <f t="shared" si="2"/>
        <v>4.6842105263157876</v>
      </c>
      <c r="AT17" s="410">
        <f t="shared" si="3"/>
        <v>0</v>
      </c>
      <c r="AU17" s="405" t="s">
        <v>857</v>
      </c>
      <c r="AV17" s="409" t="s">
        <v>2635</v>
      </c>
      <c r="AW17" s="420" t="str">
        <f t="shared" si="4"/>
        <v>ToyoLi - RED</v>
      </c>
      <c r="AX17" s="409">
        <v>26</v>
      </c>
      <c r="AY17" s="411">
        <f>IF(AX17=0,0,IF($LB17=70%,VLOOKUP($AW17,'Jan-2026 rates'!$L:$R,4,0),IF($LB17=65%,VLOOKUP($AW17,'Jan-2026 rates'!$L:$R,4,0),IF($LB17=40%,VLOOKUP($AW17,'Jan-2026 rates'!$L:$R,5,0),IF($LB17=30%,VLOOKUP($AW17,'Jan-2026 rates'!$L:$R,6,0),IF($LB17=100%,VLOOKUP($AW17,'Jan-2026 rates'!$L:$R,7,0),IF($LB17=60%,VLOOKUP($AW17,'Jan-2026 rates'!$L:$S,8,0),IF($LB17=80%,VLOOKUP($AW17,'Jan-2026 rates'!L:T,9,0),0))))))))</f>
        <v>0</v>
      </c>
      <c r="AZ17" s="412"/>
      <c r="BA17" s="409"/>
      <c r="BB17" s="411">
        <f>IF(BA17=0,0,IF($LB17=70%,VLOOKUP($AW17,'Jan-2026 rates'!$L:$R,4,0),IF($LB17=65%,VLOOKUP($AW17,'Jan-2026 rates'!$L:$R,4,0),IF($LB17=40%,VLOOKUP($AW17,'Jan-2026 rates'!$L:$R,5,0),IF($LB17=30%,VLOOKUP($AW17,'Jan-2026 rates'!$L:$R,6,0),IF($LB17=100%,VLOOKUP($AW17,'Jan-2026 rates'!$L:$R,7,0),IF($LB17=60%,VLOOKUP($AW17,'Jan-2026 rates'!$L:$S,8,0),IF($LB17=80%,VLOOKUP($AW17,'Jan-2026 rates'!L:T,9,0),0))))))))</f>
        <v>0</v>
      </c>
      <c r="BC17" s="413" t="s">
        <v>1248</v>
      </c>
      <c r="BD17" s="412" t="s">
        <v>1246</v>
      </c>
      <c r="BE17" s="412"/>
      <c r="BF17" s="413"/>
      <c r="BG17" s="412"/>
      <c r="BH17" s="412"/>
      <c r="BI17" s="412"/>
      <c r="BJ17" s="412"/>
      <c r="BK17" s="409">
        <v>2</v>
      </c>
      <c r="BL17" s="398">
        <f>IF(BK17=0,0,IF(LEN(BC17)=11,_xlfn.XLOOKUP(BC17,'Dispensed Ink Rates'!C:C,'Dispensed Ink Rates'!CS:CS),VLOOKUP(BC17,'Jan-2026 rates'!$E:$F,2,0)))</f>
        <v>0</v>
      </c>
      <c r="BM17" s="409">
        <v>1</v>
      </c>
      <c r="BN17" s="398">
        <f>IF(BM17=0,0,IF(LEN(BD17)=11,_xlfn.XLOOKUP(BD17,'Dispensed Ink Rates'!C:C,'Dispensed Ink Rates'!CS:CS),VLOOKUP(BD17,'Jan-2026 rates'!$E:$F,2,0)))</f>
        <v>0</v>
      </c>
      <c r="BO17" s="409"/>
      <c r="BP17" s="398">
        <f>IF(BO17=0,0,IF(LEN(BE17)=11,_xlfn.XLOOKUP(BE17,'Dispensed Ink Rates'!C:C,'Dispensed Ink Rates'!CS:CS),VLOOKUP(BE17,'Jan-2026 rates'!$E:$F,2,0)))</f>
        <v>0</v>
      </c>
      <c r="BQ17" s="409"/>
      <c r="BR17" s="398">
        <f>IF(BQ17=0,0,IF(LEN(BF17)=11,_xlfn.XLOOKUP(BF17,'Dispensed Ink Rates'!C:C,'Dispensed Ink Rates'!CS:CS),VLOOKUP(BF17,'Jan-2026 rates'!$E:$F,2,0)))</f>
        <v>0</v>
      </c>
      <c r="BS17" s="409"/>
      <c r="BT17" s="398">
        <f>IF(BS17=0,0,IF(LEN(BG17)=11,_xlfn.XLOOKUP(BG17,'Dispensed Ink Rates'!C:C,'Dispensed Ink Rates'!CS:CS),VLOOKUP(BG17,'Jan-2026 rates'!$E:$F,2,0)))</f>
        <v>0</v>
      </c>
      <c r="BU17" s="409"/>
      <c r="BV17" s="398">
        <f>IF(BU17=0,0,IF(LEN(BH17)=11,_xlfn.XLOOKUP(BH17,'Dispensed Ink Rates'!C:C,'Dispensed Ink Rates'!CS:CS),VLOOKUP(BH17,'Jan-2026 rates'!$E:$F,2,0)))</f>
        <v>0</v>
      </c>
      <c r="BW17" s="409"/>
      <c r="BX17" s="398">
        <f>IF(BW17=0,0,IF(LEN(BI17)=11,_xlfn.XLOOKUP(BI17,'Dispensed Ink Rates'!C:C,'Dispensed Ink Rates'!CS:CS),VLOOKUP(BI17,'Jan-2026 rates'!$E:$F,2,0)))</f>
        <v>0</v>
      </c>
      <c r="BY17" s="409"/>
      <c r="BZ17" s="398">
        <f>IF(BY17=0,0,IF(LEN(BJ17)=11,_xlfn.XLOOKUP(BJ17,'Dispensed Ink Rates'!C:C,'Dispensed Ink Rates'!CS:CS),VLOOKUP(BJ17,'Jan-2026 rates'!$E:$F,2,0)))</f>
        <v>0</v>
      </c>
      <c r="CA17" s="409" t="s">
        <v>1881</v>
      </c>
      <c r="CB17" s="409">
        <v>28</v>
      </c>
      <c r="CC17" s="411">
        <f t="shared" si="5"/>
        <v>0</v>
      </c>
      <c r="CD17" s="411">
        <f t="shared" si="6"/>
        <v>3.6842105263157876</v>
      </c>
      <c r="CE17" s="410">
        <f t="shared" si="7"/>
        <v>0</v>
      </c>
      <c r="CF17" s="404" t="s">
        <v>855</v>
      </c>
      <c r="CG17" s="409" t="s">
        <v>2636</v>
      </c>
      <c r="CH17" s="420" t="str">
        <f t="shared" si="8"/>
        <v>ToyoLi - CYAN</v>
      </c>
      <c r="CI17" s="409">
        <v>25</v>
      </c>
      <c r="CJ17" s="411">
        <f>IF(CI17=0,0,IF($LB17=70%,VLOOKUP($CH17,'Jan-2026 rates'!$L:$R,4,0),IF($LB17=65%,VLOOKUP($CH17,'Jan-2026 rates'!$L:$R,4,0),IF($LB17=40%,VLOOKUP($CH17,'Jan-2026 rates'!$L:$R,5,0),IF($LB17=30%,VLOOKUP($CH17,'Jan-2026 rates'!$L:$R,6,0),IF($LB17=100%,VLOOKUP($CH17,'Jan-2026 rates'!$L:$R,7,0),IF($LB17=60%,VLOOKUP($CH17,'Jan-2026 rates'!$L:$S,8,0),IF($LB17=80%,VLOOKUP($CH17,'Jan-2026 rates'!L:T,9,0),0))))))))</f>
        <v>0</v>
      </c>
      <c r="CK17" s="412"/>
      <c r="CL17" s="409"/>
      <c r="CM17" s="411">
        <f>IF(CL17=0,0,IF($LB17=70%,VLOOKUP($CH17,'Jan-2026 rates'!$L:$R,4,0),IF($LB17=65%,VLOOKUP($CH17,'Jan-2026 rates'!$L:$R,4,0),IF($LB17=40%,VLOOKUP($CH17,'Jan-2026 rates'!$L:$R,5,0),IF($LB17=30%,VLOOKUP($CH17,'Jan-2026 rates'!$L:$R,6,0),IF($LB17=100%,VLOOKUP($CH17,'Jan-2026 rates'!$L:$R,7,0),IF($LB17=60%,VLOOKUP($CH17,'Jan-2026 rates'!$L:$S,8,0),IF($LB17=80%,VLOOKUP($CH17,'Jan-2026 rates'!L:T,9,0),0))))))))</f>
        <v>0</v>
      </c>
      <c r="CN17" s="426" t="s">
        <v>1250</v>
      </c>
      <c r="CO17" s="427"/>
      <c r="CP17" s="426"/>
      <c r="CQ17" s="426"/>
      <c r="CR17" s="428"/>
      <c r="CS17" s="428"/>
      <c r="CT17" s="428"/>
      <c r="CU17" s="428"/>
      <c r="CV17" s="409">
        <v>3</v>
      </c>
      <c r="CW17" s="398">
        <f>IF(CV17=0,0,IF(LEN(CN17)=11,_xlfn.XLOOKUP(CN17,'Dispensed Ink Rates'!C:C,'Dispensed Ink Rates'!CS:CS),VLOOKUP(CN17,'Jan-2026 rates'!$E:$F,2,0)))</f>
        <v>0</v>
      </c>
      <c r="CX17" s="409"/>
      <c r="CY17" s="398">
        <f>IF(CX17=0,0,IF(LEN(CO17)=11,_xlfn.XLOOKUP(CO17,'Dispensed Ink Rates'!C:C,'Dispensed Ink Rates'!CS:CS),VLOOKUP(CO17,'Jan-2026 rates'!$E:$F,2,0)))</f>
        <v>0</v>
      </c>
      <c r="CZ17" s="409"/>
      <c r="DA17" s="398">
        <f>IF(CZ17=0,0,IF(LEN(CP17)=11,_xlfn.XLOOKUP(CP17,'Dispensed Ink Rates'!C:C,'Dispensed Ink Rates'!CS:CS),VLOOKUP(CP17,'Jan-2026 rates'!$E:$F,2,0)))</f>
        <v>0</v>
      </c>
      <c r="DB17" s="409"/>
      <c r="DC17" s="398">
        <f>IF(DB17=0,0,IF(LEN(CQ17)=11,_xlfn.XLOOKUP(CQ17,'Dispensed Ink Rates'!C:C,'Dispensed Ink Rates'!CS:CS),VLOOKUP(CQ17,'Jan-2026 rates'!$E:$F,2,0)))</f>
        <v>0</v>
      </c>
      <c r="DD17" s="409"/>
      <c r="DE17" s="398">
        <f>IF(DD17=0,0,IF(LEN(CR17)=11,_xlfn.XLOOKUP(CR17,'Dispensed Ink Rates'!C:C,'Dispensed Ink Rates'!CS:CS),VLOOKUP(CR17,'Jan-2026 rates'!$E:$F,2,0)))</f>
        <v>0</v>
      </c>
      <c r="DF17" s="409"/>
      <c r="DG17" s="398">
        <f>IF(DF17=0,0,IF(LEN(CS17)=11,_xlfn.XLOOKUP(CS17,'Dispensed Ink Rates'!C:C,'Dispensed Ink Rates'!CS:CS),VLOOKUP(CS17,'Jan-2026 rates'!$E:$F,2,0)))</f>
        <v>0</v>
      </c>
      <c r="DH17" s="409"/>
      <c r="DI17" s="398">
        <f>IF(DH17=0,0,IF(LEN(CT17)=11,_xlfn.XLOOKUP(CT17,'Dispensed Ink Rates'!C:C,'Dispensed Ink Rates'!CS:CS),VLOOKUP(CT17,'Jan-2026 rates'!$E:$F,2,0)))</f>
        <v>0</v>
      </c>
      <c r="DJ17" s="409"/>
      <c r="DK17" s="398">
        <f>IF(DJ17=0,0,IF(LEN(CU17)=11,_xlfn.XLOOKUP(CU17,'Dispensed Ink Rates'!C:C,'Dispensed Ink Rates'!CS:CS),VLOOKUP(CU17,'Jan-2026 rates'!$E:$F,2,0)))</f>
        <v>0</v>
      </c>
      <c r="DL17" s="409" t="s">
        <v>1881</v>
      </c>
      <c r="DM17" s="409">
        <v>26</v>
      </c>
      <c r="DN17" s="411">
        <f t="shared" si="9"/>
        <v>0</v>
      </c>
      <c r="DO17" s="411">
        <f t="shared" si="10"/>
        <v>7.3684210526315752</v>
      </c>
      <c r="DP17" s="410">
        <f t="shared" si="11"/>
        <v>0</v>
      </c>
      <c r="DQ17" s="405" t="s">
        <v>544</v>
      </c>
      <c r="DR17" s="409" t="s">
        <v>2637</v>
      </c>
      <c r="DS17" s="420" t="str">
        <f t="shared" si="12"/>
        <v>ToyoLi - MAGENTA</v>
      </c>
      <c r="DT17" s="409">
        <v>27</v>
      </c>
      <c r="DU17" s="411">
        <f>IF(DT17=0,0,IF($LB17=70%,VLOOKUP($DS17,'Jan-2026 rates'!$L:$R,4,0),IF($LB17=65%,VLOOKUP($DS17,'Jan-2026 rates'!$L:$R,4,0),IF($LB17=40%,VLOOKUP($DS17,'Jan-2026 rates'!$L:$R,5,0),IF($LB17=30%,VLOOKUP($DS17,'Jan-2026 rates'!$L:$R,6,0),IF($LB17=100%,VLOOKUP($DS17,'Jan-2026 rates'!$L:$R,7,0),IF($LB17=60%,VLOOKUP($DS17,'Jan-2026 rates'!$L:$S,8,0),IF($LB17=80%,VLOOKUP($DS17,'Jan-2026 rates'!L:T,9,0),0))))))))</f>
        <v>0</v>
      </c>
      <c r="DV17" s="412"/>
      <c r="DW17" s="409"/>
      <c r="DX17" s="411">
        <f>IF(DW17=0,0,IF($LB17=70%,VLOOKUP($DS17,'Jan-2026 rates'!$L:$R,4,0),IF($LB17=65%,VLOOKUP($DS17,'Jan-2026 rates'!$L:$R,4,0),IF($LB17=40%,VLOOKUP($DS17,'Jan-2026 rates'!$L:$R,5,0),IF($LB17=30%,VLOOKUP($DS17,'Jan-2026 rates'!$L:$R,6,0),IF($LB17=100%,VLOOKUP($DS17,'Jan-2026 rates'!$L:$R,7,0),IF($LB17=60%,VLOOKUP($DS17,'Jan-2026 rates'!$L:$S,8,0),IF($LB17=80%,VLOOKUP($DS17,'Jan-2026 rates'!L:T,9,0),0))))))))</f>
        <v>0</v>
      </c>
      <c r="DY17" s="413" t="s">
        <v>1246</v>
      </c>
      <c r="DZ17" s="413"/>
      <c r="EA17" s="412"/>
      <c r="EB17" s="412"/>
      <c r="EC17" s="412"/>
      <c r="ED17" s="412"/>
      <c r="EE17" s="412"/>
      <c r="EF17" s="412"/>
      <c r="EG17" s="409">
        <v>3</v>
      </c>
      <c r="EH17" s="398">
        <f>IF(EG17=0,0,IF(LEN(DY17)=11,_xlfn.XLOOKUP(DY17,'Dispensed Ink Rates'!C:C,'Dispensed Ink Rates'!CS:CS),VLOOKUP(DY17,'Jan-2026 rates'!$E:$F,2,0)))</f>
        <v>0</v>
      </c>
      <c r="EI17" s="409"/>
      <c r="EJ17" s="398">
        <f>IF(EI17=0,0,IF(LEN(DZ17)=11,_xlfn.XLOOKUP(DZ17,'Dispensed Ink Rates'!C:C,'Dispensed Ink Rates'!CS:CS),VLOOKUP(DZ17,'Jan-2026 rates'!$E:$F,2,0)))</f>
        <v>0</v>
      </c>
      <c r="EK17" s="409"/>
      <c r="EL17" s="398">
        <f>IF(EK17=0,0,IF(LEN(EA17)=11,_xlfn.XLOOKUP(EA17,'Dispensed Ink Rates'!C:C,'Dispensed Ink Rates'!CS:CS),VLOOKUP(EA17,'Jan-2026 rates'!$E:$F,2,0)))</f>
        <v>0</v>
      </c>
      <c r="EM17" s="409"/>
      <c r="EN17" s="398">
        <f>IF(EM17=0,0,IF(LEN(EB17)=11,_xlfn.XLOOKUP(EB17,'Dispensed Ink Rates'!C:C,'Dispensed Ink Rates'!CS:CS),VLOOKUP(EB17,'Jan-2026 rates'!$E:$F,2,0)))</f>
        <v>0</v>
      </c>
      <c r="EO17" s="409"/>
      <c r="EP17" s="398">
        <f>IF(EO17=0,0,IF(LEN(EC17)=11,_xlfn.XLOOKUP(EC17,'Dispensed Ink Rates'!C:C,'Dispensed Ink Rates'!CS:CS),VLOOKUP(EC17,'Jan-2026 rates'!$E:$F,2,0)))</f>
        <v>0</v>
      </c>
      <c r="EQ17" s="409"/>
      <c r="ER17" s="398">
        <f>IF(EQ17=0,0,IF(LEN(ED17)=11,_xlfn.XLOOKUP(ED17,'Dispensed Ink Rates'!C:C,'Dispensed Ink Rates'!CS:CS),VLOOKUP(ED17,'Jan-2026 rates'!$E:$F,2,0)))</f>
        <v>0</v>
      </c>
      <c r="ES17" s="409"/>
      <c r="ET17" s="398">
        <f>IF(ES17=0,0,IF(LEN(EE17)=11,_xlfn.XLOOKUP(EE17,'Dispensed Ink Rates'!C:C,'Dispensed Ink Rates'!CS:CS),VLOOKUP(EE17,'Jan-2026 rates'!$E:$F,2,0)))</f>
        <v>0</v>
      </c>
      <c r="EU17" s="409"/>
      <c r="EV17" s="398">
        <f>IF(EU17=0,0,IF(LEN(EF17)=11,_xlfn.XLOOKUP(EF17,'Dispensed Ink Rates'!C:C,'Dispensed Ink Rates'!CS:CS),VLOOKUP(EF17,'Jan-2026 rates'!$E:$F,2,0)))</f>
        <v>0</v>
      </c>
      <c r="EW17" s="409" t="s">
        <v>1881</v>
      </c>
      <c r="EX17" s="409">
        <v>29</v>
      </c>
      <c r="EY17" s="411">
        <f t="shared" si="13"/>
        <v>0</v>
      </c>
      <c r="EZ17" s="411">
        <f t="shared" si="14"/>
        <v>6.3684210526315752</v>
      </c>
      <c r="FA17" s="410">
        <f t="shared" si="15"/>
        <v>0</v>
      </c>
      <c r="FB17" s="405" t="s">
        <v>545</v>
      </c>
      <c r="FC17" s="409" t="s">
        <v>2638</v>
      </c>
      <c r="FD17" s="420" t="str">
        <f t="shared" si="16"/>
        <v>ToyoLi - YELLOW</v>
      </c>
      <c r="FE17" s="409">
        <v>30</v>
      </c>
      <c r="FF17" s="411">
        <f>IF(FE17=0,0,IF($LB17=70%,VLOOKUP($FD17,'Jan-2026 rates'!$L:$R,4,0),IF($LB17=65%,VLOOKUP($FD17,'Jan-2026 rates'!$L:$R,4,0),IF($LB17=40%,VLOOKUP($FD17,'Jan-2026 rates'!$L:$R,5,0),IF($LB17=30%,VLOOKUP($FD17,'Jan-2026 rates'!$L:$R,6,0),IF($LB17=100%,VLOOKUP($FD17,'Jan-2026 rates'!$L:$R,7,0),IF($LB17=60%,VLOOKUP($FD17,'Jan-2026 rates'!$L:$S,8,0),IF($LB17=80%,VLOOKUP($FD17,'Jan-2026 rates'!L:T,9,0),0))))))))</f>
        <v>0</v>
      </c>
      <c r="FG17" s="412"/>
      <c r="FH17" s="409"/>
      <c r="FI17" s="411">
        <f>IF(FH17=0,0,IF($LB17=70%,VLOOKUP($FD17,'Jan-2026 rates'!$L:$R,4,0),IF($LB17=65%,VLOOKUP($FD17,'Jan-2026 rates'!$L:$R,4,0),IF($LB17=40%,VLOOKUP($FD17,'Jan-2026 rates'!$L:$R,5,0),IF($LB17=30%,VLOOKUP($FD17,'Jan-2026 rates'!$L:$R,6,0),IF($LB17=100%,VLOOKUP($FD17,'Jan-2026 rates'!$L:$R,7,0),IF($LB17=60%,VLOOKUP($FD17,'Jan-2026 rates'!$L:$S,8,0),IF($LB17=80%,VLOOKUP($FD17,'Jan-2026 rates'!L:T,9,0),0))))))))</f>
        <v>0</v>
      </c>
      <c r="FJ17" s="413"/>
      <c r="FK17" s="413"/>
      <c r="FL17" s="413"/>
      <c r="FM17" s="412"/>
      <c r="FN17" s="412"/>
      <c r="FO17" s="412"/>
      <c r="FP17" s="412"/>
      <c r="FQ17" s="412"/>
      <c r="FR17" s="409"/>
      <c r="FS17" s="398">
        <f>IF(FR17=0,0,IF(LEN(FJ17)=11,_xlfn.XLOOKUP(FJ17,'Dispensed Ink Rates'!C:C,'Dispensed Ink Rates'!CS:CS),VLOOKUP(FJ17,'Jan-2026 rates'!$E:$F,2,0)))</f>
        <v>0</v>
      </c>
      <c r="FT17" s="409"/>
      <c r="FU17" s="398">
        <f>IF(FT17=0,0,IF(LEN(FK17)=11,_xlfn.XLOOKUP(FK17,'Dispensed Ink Rates'!C:C,'Dispensed Ink Rates'!CS:CS),VLOOKUP(FK17,'Jan-2026 rates'!$E:$F,2,0)))</f>
        <v>0</v>
      </c>
      <c r="FV17" s="409"/>
      <c r="FW17" s="398">
        <f>IF(FV17=0,0,IF(LEN(FL17)=11,_xlfn.XLOOKUP(FL17,'Dispensed Ink Rates'!C:C,'Dispensed Ink Rates'!CS:CS),VLOOKUP(FL17,'Jan-2026 rates'!$E:$F,2,0)))</f>
        <v>0</v>
      </c>
      <c r="FX17" s="409"/>
      <c r="FY17" s="398">
        <f>IF(FX17=0,0,IF(LEN(FM17)=11,_xlfn.XLOOKUP(FM17,'Dispensed Ink Rates'!C:C,'Dispensed Ink Rates'!CS:CS),VLOOKUP(FM17,'Jan-2026 rates'!$E:$F,2,0)))</f>
        <v>0</v>
      </c>
      <c r="FZ17" s="409"/>
      <c r="GA17" s="398">
        <f>IF(FZ17=0,0,IF(LEN(FN17)=11,_xlfn.XLOOKUP(FN17,'Dispensed Ink Rates'!C:C,'Dispensed Ink Rates'!CS:CS),VLOOKUP(FN17,'Jan-2026 rates'!$E:$F,2,0)))</f>
        <v>0</v>
      </c>
      <c r="GB17" s="409"/>
      <c r="GC17" s="398">
        <f>IF(GB17=0,0,IF(LEN(FO17)=11,_xlfn.XLOOKUP(FO17,'Dispensed Ink Rates'!C:C,'Dispensed Ink Rates'!CS:CS),VLOOKUP(FO17,'Jan-2026 rates'!$E:$F,2,0)))</f>
        <v>0</v>
      </c>
      <c r="GD17" s="409"/>
      <c r="GE17" s="398">
        <f>IF(GD17=0,0,IF(LEN(FP17)=11,_xlfn.XLOOKUP(FP17,'Dispensed Ink Rates'!C:C,'Dispensed Ink Rates'!CS:CS),VLOOKUP(FP17,'Jan-2026 rates'!$E:$F,2,0)))</f>
        <v>0</v>
      </c>
      <c r="GF17" s="409"/>
      <c r="GG17" s="398">
        <f>IF(GF17=0,0,IF(LEN(FQ17)=11,_xlfn.XLOOKUP(FQ17,'Dispensed Ink Rates'!C:C,'Dispensed Ink Rates'!CS:CS),VLOOKUP(FQ17,'Jan-2026 rates'!$E:$F,2,0)))</f>
        <v>0</v>
      </c>
      <c r="GH17" s="409" t="s">
        <v>1881</v>
      </c>
      <c r="GI17" s="409">
        <v>28</v>
      </c>
      <c r="GJ17" s="411">
        <f t="shared" si="17"/>
        <v>0</v>
      </c>
      <c r="GK17" s="411">
        <f t="shared" si="18"/>
        <v>2</v>
      </c>
      <c r="GL17" s="410">
        <f t="shared" si="19"/>
        <v>0</v>
      </c>
      <c r="GM17" s="405" t="s">
        <v>547</v>
      </c>
      <c r="GN17" s="409" t="s">
        <v>2436</v>
      </c>
      <c r="GO17" s="420" t="str">
        <f t="shared" si="20"/>
        <v>ToyoLi - GREEN</v>
      </c>
      <c r="GP17" s="409">
        <v>14</v>
      </c>
      <c r="GQ17" s="411">
        <f>IF(GP17=0,0,IF($LB17=70%,VLOOKUP($GO17,'Jan-2026 rates'!$L:$R,4,0),IF($LB17=65%,VLOOKUP($GO17,'Jan-2026 rates'!$L:$R,4,0),IF($LB17=40%,VLOOKUP($GO17,'Jan-2026 rates'!$L:$R,5,0),IF($LB17=30%,VLOOKUP($GO17,'Jan-2026 rates'!$L:$R,6,0),IF($LB17=100%,VLOOKUP($GO17,'Jan-2026 rates'!$L:$R,7,0),IF($LB17=60%,VLOOKUP($GO17,'Jan-2026 rates'!$L:$S,8,0),IF($LB17=80%,VLOOKUP($GO17,'Jan-2026 rates'!L:T,9,0),0))))))))</f>
        <v>0</v>
      </c>
      <c r="GR17" s="412"/>
      <c r="GS17" s="409"/>
      <c r="GT17" s="411">
        <f>IF(GS17=0,0,IF($LB17=70%,VLOOKUP($GO17,'Jan-2026 rates'!$L:$R,4,0),IF($LB17=65%,VLOOKUP($GO17,'Jan-2026 rates'!$L:$R,4,0),IF($LB17=40%,VLOOKUP($GO17,'Jan-2026 rates'!$L:$R,5,0),IF($LB17=30%,VLOOKUP($GO17,'Jan-2026 rates'!$L:$R,6,0),IF($LB17=100%,VLOOKUP($GO17,'Jan-2026 rates'!$L:$R,7,0),IF($LB17=60%,VLOOKUP($GO17,'Jan-2026 rates'!$L:$S,8,0),IF($LB17=80%,VLOOKUP($GO17,'Jan-2026 rates'!L:T,9,0),0))))))))</f>
        <v>0</v>
      </c>
      <c r="GU17" s="413" t="s">
        <v>1880</v>
      </c>
      <c r="GV17" s="413" t="s">
        <v>1252</v>
      </c>
      <c r="GW17" s="412" t="s">
        <v>1250</v>
      </c>
      <c r="GX17" s="412" t="s">
        <v>1247</v>
      </c>
      <c r="GY17" s="412"/>
      <c r="GZ17" s="412"/>
      <c r="HA17" s="412"/>
      <c r="HB17" s="412"/>
      <c r="HC17" s="409">
        <f>1+1</f>
        <v>2</v>
      </c>
      <c r="HD17" s="398">
        <f>IF(HC17=0,0,IF(LEN(GU17)=11,_xlfn.XLOOKUP(GU17,'Dispensed Ink Rates'!C:C,'Dispensed Ink Rates'!CS:CS),VLOOKUP(GU17,'Jan-2026 rates'!$E:$F,2,0)))</f>
        <v>0</v>
      </c>
      <c r="HE17" s="409">
        <v>1</v>
      </c>
      <c r="HF17" s="398">
        <f>IF(HE17=0,0,IF(LEN(GV17)=11,_xlfn.XLOOKUP(GV17,'Dispensed Ink Rates'!C:C,'Dispensed Ink Rates'!CS:CS),VLOOKUP(GV17,'Jan-2026 rates'!$E:$F,2,0)))</f>
        <v>0</v>
      </c>
      <c r="HG17" s="409">
        <f>2+4</f>
        <v>6</v>
      </c>
      <c r="HH17" s="398">
        <f>IF(HG17=0,0,IF(LEN(GW17)=11,_xlfn.XLOOKUP(GW17,'Dispensed Ink Rates'!C:C,'Dispensed Ink Rates'!CS:CS),VLOOKUP(GW17,'Jan-2026 rates'!$E:$F,2,0)))</f>
        <v>0</v>
      </c>
      <c r="HI17" s="409">
        <f>3+2</f>
        <v>5</v>
      </c>
      <c r="HJ17" s="398">
        <f>IF(HI17=0,0,IF(LEN(GX17)=11,_xlfn.XLOOKUP(GX17,'Dispensed Ink Rates'!C:C,'Dispensed Ink Rates'!CS:CS),VLOOKUP(GX17,'Jan-2026 rates'!$E:$F,2,0)))</f>
        <v>0</v>
      </c>
      <c r="HK17" s="409"/>
      <c r="HL17" s="398">
        <f>IF(HK17=0,0,IF(LEN(GY17)=11,_xlfn.XLOOKUP(GY17,'Dispensed Ink Rates'!C:C,'Dispensed Ink Rates'!CS:CS),VLOOKUP(GY17,'Jan-2026 rates'!$E:$F,2,0)))</f>
        <v>0</v>
      </c>
      <c r="HM17" s="409"/>
      <c r="HN17" s="398">
        <f>IF(HM17=0,0,IF(LEN(GZ17)=11,_xlfn.XLOOKUP(GZ17,'Dispensed Ink Rates'!C:C,'Dispensed Ink Rates'!CS:CS),VLOOKUP(GZ17,'Jan-2026 rates'!$E:$F,2,0)))</f>
        <v>0</v>
      </c>
      <c r="HO17" s="409"/>
      <c r="HP17" s="398">
        <f>IF(HO17=0,0,IF(LEN(HA17)=11,_xlfn.XLOOKUP(HA17,'Dispensed Ink Rates'!C:C,'Dispensed Ink Rates'!CS:CS),VLOOKUP(HA17,'Jan-2026 rates'!$E:$F,2,0)))</f>
        <v>0</v>
      </c>
      <c r="HQ17" s="409"/>
      <c r="HR17" s="398">
        <f>IF(HQ17=0,0,IF(LEN(HB17)=11,_xlfn.XLOOKUP(HB17,'Dispensed Ink Rates'!C:C,'Dispensed Ink Rates'!CS:CS),VLOOKUP(HB17,'Jan-2026 rates'!$E:$F,2,0)))</f>
        <v>0</v>
      </c>
      <c r="HS17" s="409" t="s">
        <v>1881</v>
      </c>
      <c r="HT17" s="409">
        <v>20</v>
      </c>
      <c r="HU17" s="411">
        <f t="shared" si="21"/>
        <v>0</v>
      </c>
      <c r="HV17" s="411">
        <f t="shared" si="22"/>
        <v>21.421052631578945</v>
      </c>
      <c r="HW17" s="414">
        <f t="shared" si="23"/>
        <v>0</v>
      </c>
      <c r="HX17" s="405" t="s">
        <v>856</v>
      </c>
      <c r="HY17" s="409" t="s">
        <v>2639</v>
      </c>
      <c r="HZ17" s="420" t="str">
        <f t="shared" si="24"/>
        <v>ToyoLi - WHITE</v>
      </c>
      <c r="IA17" s="409">
        <v>28</v>
      </c>
      <c r="IB17" s="411">
        <f>IF(IA17=0,0,IF($LB17=70%,VLOOKUP($HZ17,'Jan-2026 rates'!$L:$R,4,0),IF($LB17=65%,VLOOKUP($HZ17,'Jan-2026 rates'!$L:$R,4,0),IF($LB17=40%,VLOOKUP($HZ17,'Jan-2026 rates'!$L:$R,5,0),IF($LB17=30%,VLOOKUP($HZ17,'Jan-2026 rates'!$L:$R,6,0),IF($LB17=100%,VLOOKUP($HZ17,'Jan-2026 rates'!$L:$R,7,0),IF($LB17=60%,VLOOKUP($HZ17,'Jan-2026 rates'!$L:$S,8,0),IF($LB17=80%,VLOOKUP($HZ17,'Jan-2026 rates'!L:T,9,0),0))))))))</f>
        <v>0</v>
      </c>
      <c r="IC17" s="412"/>
      <c r="ID17" s="409"/>
      <c r="IE17" s="411">
        <f>IF(ID17=0,0,IF($LB17=70%,VLOOKUP($HZ17,'Jan-2026 rates'!$L:$R,4,0),IF($LB17=65%,VLOOKUP($HZ17,'Jan-2026 rates'!$L:$R,4,0),IF($LB17=40%,VLOOKUP($HZ17,'Jan-2026 rates'!$L:$R,5,0),IF($LB17=30%,VLOOKUP($HZ17,'Jan-2026 rates'!$L:$R,6,0),IF($LB17=100%,VLOOKUP($HZ17,'Jan-2026 rates'!$L:$R,7,0),IF($LB17=60%,VLOOKUP($HZ17,'Jan-2026 rates'!$L:$S,8,0),IF($LB17=80%,VLOOKUP($HZ17,'Jan-2026 rates'!L:T,9,0),0))))))))</f>
        <v>0</v>
      </c>
      <c r="IF17" s="412" t="s">
        <v>1249</v>
      </c>
      <c r="IG17" s="413"/>
      <c r="IH17" s="412"/>
      <c r="II17" s="412"/>
      <c r="IJ17" s="412"/>
      <c r="IK17" s="412"/>
      <c r="IL17" s="412"/>
      <c r="IM17" s="412"/>
      <c r="IN17" s="409">
        <v>40</v>
      </c>
      <c r="IO17" s="398">
        <f>IF(IN17=0,0,IF(LEN(IF17)=11,_xlfn.XLOOKUP(IF17,'Dispensed Ink Rates'!C:C,'Dispensed Ink Rates'!CS:CS),VLOOKUP(IF17,'Jan-2026 rates'!$E:$F,2,0)))</f>
        <v>0</v>
      </c>
      <c r="IP17" s="409"/>
      <c r="IQ17" s="398">
        <f>IF(IP17=0,0,IF(LEN(IG17)=11,_xlfn.XLOOKUP(IG17,'Dispensed Ink Rates'!C:C,'Dispensed Ink Rates'!CS:CS),VLOOKUP(IG17,'Jan-2026 rates'!$E:$F,2,0)))</f>
        <v>0</v>
      </c>
      <c r="IR17" s="409"/>
      <c r="IS17" s="398">
        <f>IF(IR17=0,0,IF(LEN(IH17)=11,_xlfn.XLOOKUP(IH17,'Dispensed Ink Rates'!C:C,'Dispensed Ink Rates'!CS:CS),VLOOKUP(IH17,'Jan-2026 rates'!$E:$F,2,0)))</f>
        <v>0</v>
      </c>
      <c r="IT17" s="409"/>
      <c r="IU17" s="398">
        <f>IF(IT17=0,0,IF(LEN(II17)=11,_xlfn.XLOOKUP(II17,'Dispensed Ink Rates'!C:C,'Dispensed Ink Rates'!CS:CS),VLOOKUP(II17,'Jan-2026 rates'!$E:$F,2,0)))</f>
        <v>0</v>
      </c>
      <c r="IV17" s="409"/>
      <c r="IW17" s="398">
        <f>IF(IV17=0,0,IF(LEN(IJ17)=11,_xlfn.XLOOKUP(IJ17,'Dispensed Ink Rates'!C:C,'Dispensed Ink Rates'!CS:CS),VLOOKUP(IJ17,'Jan-2026 rates'!$E:$F,2,0)))</f>
        <v>0</v>
      </c>
      <c r="IX17" s="409"/>
      <c r="IY17" s="398">
        <f>IF(IX17=0,0,IF(LEN(IK17)=11,_xlfn.XLOOKUP(IK17,'Dispensed Ink Rates'!C:C,'Dispensed Ink Rates'!CS:CS),VLOOKUP(IK17,'Jan-2026 rates'!$E:$F,2,0)))</f>
        <v>0</v>
      </c>
      <c r="IZ17" s="409"/>
      <c r="JA17" s="398">
        <f>IF(IZ17=0,0,IF(LEN(IL17)=11,_xlfn.XLOOKUP(IL17,'Dispensed Ink Rates'!C:C,'Dispensed Ink Rates'!CS:CS),VLOOKUP(IL17,'Jan-2026 rates'!$E:$F,2,0)))</f>
        <v>0</v>
      </c>
      <c r="JB17" s="409"/>
      <c r="JC17" s="398">
        <f>IF(JB17=0,0,IF(LEN(IM17)=11,_xlfn.XLOOKUP(IM17,'Dispensed Ink Rates'!C:C,'Dispensed Ink Rates'!CS:CS),VLOOKUP(IM17,'Jan-2026 rates'!$E:$F,2,0)))</f>
        <v>0</v>
      </c>
      <c r="JD17" s="409" t="s">
        <v>1881</v>
      </c>
      <c r="JE17" s="409">
        <v>30</v>
      </c>
      <c r="JF17" s="411">
        <f t="shared" si="25"/>
        <v>0</v>
      </c>
      <c r="JG17" s="411">
        <f t="shared" si="26"/>
        <v>91.68421052631578</v>
      </c>
      <c r="JH17" s="410">
        <f t="shared" si="27"/>
        <v>0</v>
      </c>
      <c r="JI17" s="405" t="s">
        <v>605</v>
      </c>
      <c r="JJ17" s="409" t="s">
        <v>2637</v>
      </c>
      <c r="JK17" s="420" t="str">
        <f t="shared" si="28"/>
        <v>HI-TECH INK - MATT</v>
      </c>
      <c r="JL17" s="409">
        <v>30</v>
      </c>
      <c r="JM17" s="411">
        <f>IF(JL17=0,0,IF($LB17=70%,VLOOKUP($JK17,'Jan-2026 rates'!$L:$R,4,0),IF($LB17=65%,VLOOKUP($JK17,'Jan-2026 rates'!$L:$R,4,0),IF($LB17=40%,VLOOKUP($JK17,'Jan-2026 rates'!$L:$R,5,0),IF($LB17=30%,VLOOKUP($JK17,'Jan-2026 rates'!$L:$R,6,0),IF($LB17=100%,VLOOKUP($JK17,'Jan-2026 rates'!$L:$R,7,0),IF($LB17=60%,VLOOKUP($JK17,'Jan-2026 rates'!$L:$S,8,0),IF($LB17=80%,VLOOKUP($JK17,'Jan-2026 rates'!L:T,9,0),0))))))))</f>
        <v>0</v>
      </c>
      <c r="JN17" s="412"/>
      <c r="JO17" s="409"/>
      <c r="JP17" s="411">
        <f>IF(JO17=0,0,IF($LB17=70%,VLOOKUP($JK17,'Jan-2026 rates'!$L:$R,4,0),IF($LB17=65%,VLOOKUP($JK17,'Jan-2026 rates'!$L:$R,4,0),IF($LB17=40%,VLOOKUP($JK17,'Jan-2026 rates'!$L:$R,5,0),IF($LB17=30%,VLOOKUP($JK17,'Jan-2026 rates'!$L:$R,6,0),IF($LB17=100%,VLOOKUP($JK17,'Jan-2026 rates'!$L:$R,7,0),IF($LB17=60%,VLOOKUP($JK17,'Jan-2026 rates'!$L:$S,8,0),IF($LB17=80%,VLOOKUP($JK17,'Jan-2026 rates'!L:T,9,0),0))))))))</f>
        <v>0</v>
      </c>
      <c r="JQ17" s="413">
        <v>2066</v>
      </c>
      <c r="JR17" s="412"/>
      <c r="JS17" s="413"/>
      <c r="JT17" s="413"/>
      <c r="JU17" s="412"/>
      <c r="JV17" s="412"/>
      <c r="JW17" s="412"/>
      <c r="JX17" s="412"/>
      <c r="JY17" s="409">
        <v>20</v>
      </c>
      <c r="JZ17" s="398">
        <f>IF(JY17=0,0,IF(LEN(JQ17)=11,_xlfn.XLOOKUP(JQ17,'Dispensed Ink Rates'!C:C,'Dispensed Ink Rates'!CS:CS),VLOOKUP(JQ17,'Jan-2026 rates'!$E:$F,2,0)))</f>
        <v>0</v>
      </c>
      <c r="KA17" s="409"/>
      <c r="KB17" s="398">
        <f>IF(KA17=0,0,IF(LEN(JR17)=11,_xlfn.XLOOKUP(JR17,'Dispensed Ink Rates'!C:C,'Dispensed Ink Rates'!CS:CS),VLOOKUP(JR17,'Jan-2026 rates'!$E:$F,2,0)))</f>
        <v>0</v>
      </c>
      <c r="KC17" s="409"/>
      <c r="KD17" s="398">
        <f>IF(KC17=0,0,IF(LEN(JS17)=11,_xlfn.XLOOKUP(JS17,'Dispensed Ink Rates'!C:C,'Dispensed Ink Rates'!CS:CS),VLOOKUP(JS17,'Jan-2026 rates'!$E:$F,2,0)))</f>
        <v>0</v>
      </c>
      <c r="KE17" s="409"/>
      <c r="KF17" s="398">
        <f>IF(KE17=0,0,IF(LEN(JT17)=11,_xlfn.XLOOKUP(JT17,'Dispensed Ink Rates'!C:C,'Dispensed Ink Rates'!CS:CS),VLOOKUP(JT17,'Jan-2026 rates'!$E:$F,2,0)))</f>
        <v>0</v>
      </c>
      <c r="KG17" s="409"/>
      <c r="KH17" s="398">
        <f>IF(KG17=0,0,IF(LEN(JU17)=11,_xlfn.XLOOKUP(JU17,'Dispensed Ink Rates'!C:C,'Dispensed Ink Rates'!CS:CS),VLOOKUP(JU17,'Jan-2026 rates'!$E:$F,2,0)))</f>
        <v>0</v>
      </c>
      <c r="KI17" s="409"/>
      <c r="KJ17" s="398">
        <f>IF(KI17=0,0,IF(LEN(JV17)=11,_xlfn.XLOOKUP(JV17,'Dispensed Ink Rates'!C:C,'Dispensed Ink Rates'!CS:CS),VLOOKUP(JV17,'Jan-2026 rates'!$E:$F,2,0)))</f>
        <v>0</v>
      </c>
      <c r="KK17" s="409"/>
      <c r="KL17" s="398">
        <f>IF(KK17=0,0,IF(LEN(JW17)=11,_xlfn.XLOOKUP(JW17,'Dispensed Ink Rates'!C:C,'Dispensed Ink Rates'!CS:CS),VLOOKUP(JW17,'Jan-2026 rates'!$E:$F,2,0)))</f>
        <v>0</v>
      </c>
      <c r="KM17" s="428"/>
      <c r="KN17" s="398">
        <f>IF(KM17=0,0,IF(LEN(JX17)=11,_xlfn.XLOOKUP(JX17,'Dispensed Ink Rates'!C:C,'Dispensed Ink Rates'!CS:CS),VLOOKUP(JX17,'Jan-2026 rates'!$E:$F,2,0)))</f>
        <v>0</v>
      </c>
      <c r="KO17" s="409" t="s">
        <v>602</v>
      </c>
      <c r="KP17" s="409">
        <f>18+7</f>
        <v>25</v>
      </c>
      <c r="KQ17" s="411">
        <f t="shared" si="29"/>
        <v>0</v>
      </c>
      <c r="KR17" s="411">
        <f t="shared" si="30"/>
        <v>43.78947368421052</v>
      </c>
      <c r="KS17" s="410">
        <f t="shared" si="31"/>
        <v>0</v>
      </c>
      <c r="KT17" s="409">
        <v>1</v>
      </c>
      <c r="KU17" s="409">
        <v>1</v>
      </c>
      <c r="KV17" s="409">
        <v>2</v>
      </c>
      <c r="KW17" s="409">
        <v>2</v>
      </c>
      <c r="KX17" s="409">
        <v>0</v>
      </c>
      <c r="KY17" s="409">
        <v>5</v>
      </c>
      <c r="KZ17" s="409">
        <v>20</v>
      </c>
      <c r="LA17" s="409">
        <v>7</v>
      </c>
      <c r="LB17" s="415">
        <v>0.3</v>
      </c>
      <c r="LC17" s="415"/>
      <c r="LD17" s="415"/>
      <c r="LE17" s="415">
        <v>0.5</v>
      </c>
      <c r="LF17" s="415">
        <v>0.2</v>
      </c>
      <c r="LG17" s="409">
        <v>0</v>
      </c>
      <c r="LH17" s="409">
        <f>27+20+15+25+5+10</f>
        <v>102</v>
      </c>
      <c r="LI17" s="409">
        <v>0</v>
      </c>
      <c r="LJ17" s="409">
        <v>0</v>
      </c>
      <c r="LK17" s="416">
        <f t="shared" si="32"/>
        <v>102</v>
      </c>
      <c r="LL17" s="416">
        <f t="shared" si="33"/>
        <v>102</v>
      </c>
      <c r="LM17" s="417">
        <f t="shared" si="34"/>
        <v>30.599999999999998</v>
      </c>
      <c r="LN17" s="417">
        <f>VLOOKUP($LM$8,'Jan-2026 rates'!$H:$I,2,0)</f>
        <v>0</v>
      </c>
      <c r="LO17" s="417">
        <f t="shared" si="35"/>
        <v>0</v>
      </c>
      <c r="LP17" s="417">
        <f>VLOOKUP($LO$8,'Jan-2026 rates'!$H:$I,2,0)</f>
        <v>0</v>
      </c>
      <c r="LQ17" s="417">
        <f t="shared" si="36"/>
        <v>0</v>
      </c>
      <c r="LR17" s="417">
        <f>VLOOKUP($LQ$8,'Jan-2026 rates'!$H:$I,2,0)</f>
        <v>0</v>
      </c>
      <c r="LS17" s="417">
        <f t="shared" si="37"/>
        <v>51</v>
      </c>
      <c r="LT17" s="417">
        <f>VLOOKUP($LS$8,'Jan-2026 rates'!$H:$I,2,0)</f>
        <v>0</v>
      </c>
      <c r="LU17" s="417">
        <f t="shared" si="38"/>
        <v>20.400000000000002</v>
      </c>
      <c r="LV17" s="417">
        <f>VLOOKUP($LU$8,'Jan-2026 rates'!$H:$I,2,0)</f>
        <v>0</v>
      </c>
      <c r="LW17" s="417">
        <f t="shared" si="39"/>
        <v>0</v>
      </c>
      <c r="LX17" s="417">
        <f t="shared" si="40"/>
        <v>0</v>
      </c>
      <c r="LY17" s="418">
        <f t="shared" si="41"/>
        <v>0</v>
      </c>
      <c r="LZ17" s="417"/>
      <c r="MA17" s="435">
        <f t="shared" si="42"/>
        <v>85</v>
      </c>
      <c r="MB17" s="282">
        <f t="shared" si="43"/>
        <v>180.99999999999997</v>
      </c>
      <c r="MC17" s="283" t="s">
        <v>1946</v>
      </c>
      <c r="MD17" s="284" t="str">
        <f t="shared" si="44"/>
        <v>ToyoLiToyoLiToyoLiToyoLiToyoLiToyoLiToyoLiHI-TECH INK</v>
      </c>
      <c r="ME17" s="293" t="str">
        <f t="shared" si="45"/>
        <v>+</v>
      </c>
      <c r="MF17" s="293" t="str">
        <f t="shared" si="46"/>
        <v>+</v>
      </c>
      <c r="MG17" s="293" t="str">
        <f t="shared" si="47"/>
        <v>+</v>
      </c>
      <c r="MH17" s="293" t="str">
        <f t="shared" si="48"/>
        <v>+</v>
      </c>
      <c r="MI17" s="293" t="str">
        <f t="shared" si="49"/>
        <v>+</v>
      </c>
      <c r="MJ17" s="293" t="str">
        <f t="shared" si="50"/>
        <v>+</v>
      </c>
      <c r="MK17" s="293" t="str">
        <f t="shared" si="51"/>
        <v>+</v>
      </c>
      <c r="ML17" s="293" t="str">
        <f t="shared" si="52"/>
        <v>+</v>
      </c>
      <c r="MM17" s="3" t="b">
        <f t="array" ref="MM17">OR(ME17:ML17="-")</f>
        <v>0</v>
      </c>
      <c r="MN17" s="285"/>
      <c r="MO17" s="401"/>
      <c r="MP17" s="286"/>
      <c r="MQ17" s="286"/>
      <c r="MR17" s="402"/>
      <c r="MS17" s="400"/>
      <c r="NH17" s="422"/>
      <c r="NJ17" s="421"/>
    </row>
    <row r="18" spans="1:374" s="1" customFormat="1" ht="16.5">
      <c r="A18" s="403">
        <v>46024</v>
      </c>
      <c r="B18" s="404" t="s">
        <v>1018</v>
      </c>
      <c r="C18" s="405" t="s">
        <v>2640</v>
      </c>
      <c r="D18" s="406" t="s">
        <v>1947</v>
      </c>
      <c r="E18" s="404">
        <v>2398</v>
      </c>
      <c r="F18" s="407">
        <v>146700</v>
      </c>
      <c r="G18" s="407" t="s">
        <v>1016</v>
      </c>
      <c r="H18" s="408" t="s">
        <v>1017</v>
      </c>
      <c r="I18" s="409">
        <v>2.1</v>
      </c>
      <c r="J18" s="405" t="s">
        <v>543</v>
      </c>
      <c r="K18" s="404"/>
      <c r="L18" s="419" t="str">
        <f t="shared" si="0"/>
        <v>ToyoLi - BLACK</v>
      </c>
      <c r="M18" s="404"/>
      <c r="N18" s="410">
        <f>IF(M18=0,0,IF($LB18=70%,VLOOKUP($L18,'Jan-2026 rates'!$L:$R,4,0),IF($LB18=65%,VLOOKUP($L18,'Jan-2026 rates'!$L:$R,4,0),IF($LB18=40%,VLOOKUP($L18,'Jan-2026 rates'!$L:$R,5,0),IF($LB18=30%,VLOOKUP($L18,'Jan-2026 rates'!$L:$R,6,0),IF($LB18=100%,VLOOKUP($L18,'Jan-2026 rates'!$L:$R,7,0),IF($LB18=60%,VLOOKUP($L18,'Jan-2026 rates'!$L:$S,8,0),IF($LB18=80%,VLOOKUP($L18,'Jan-2026 rates'!L:T,9,0),0))))))))</f>
        <v>0</v>
      </c>
      <c r="O18" s="406"/>
      <c r="P18" s="404"/>
      <c r="Q18" s="410">
        <f>IF(P18=0,0,IF($LB18=70%,VLOOKUP($L18,'Jan-2026 rates'!$L:$R,4,0),IF($LB18=65%,VLOOKUP($L18,'Jan-2026 rates'!$L:$R,4,0),IF($LB18=40%,VLOOKUP($L18,'Jan-2026 rates'!$L:$R,5,0),IF($LB18=30%,VLOOKUP($L18,'Jan-2026 rates'!$L:$R,6,0),IF($LB18=100%,VLOOKUP($L18,'Jan-2026 rates'!$L:$R,7,0),IF($LB18=60%,VLOOKUP($L18,'Jan-2026 rates'!$L:$S,8,0),IF($LB18=80%,VLOOKUP($L18,'Jan-2026 rates'!L:T,9,0),0))))))))</f>
        <v>0</v>
      </c>
      <c r="R18" s="406" t="s">
        <v>1252</v>
      </c>
      <c r="S18" s="406"/>
      <c r="T18" s="406"/>
      <c r="U18" s="406"/>
      <c r="V18" s="406"/>
      <c r="W18" s="406"/>
      <c r="X18" s="406"/>
      <c r="Y18" s="406"/>
      <c r="Z18" s="404">
        <v>18</v>
      </c>
      <c r="AA18" s="398">
        <f>IF(Z18=0,0,IF(LEN(R18)=11,_xlfn.XLOOKUP(R18,'Dispensed Ink Rates'!C:C,'Dispensed Ink Rates'!CS:CS),VLOOKUP(R18,'Jan-2026 rates'!$E:$F,2,0)))</f>
        <v>0</v>
      </c>
      <c r="AB18" s="404"/>
      <c r="AC18" s="398">
        <f>IF(AB18=0,0,IF(LEN(S18)=11,_xlfn.XLOOKUP(S18,'Dispensed Ink Rates'!C:C,'Dispensed Ink Rates'!CS:CS),VLOOKUP(S18,'Jan-2026 rates'!$E:$F,2,0)))</f>
        <v>0</v>
      </c>
      <c r="AD18" s="404"/>
      <c r="AE18" s="398">
        <f>IF(AD18=0,0,IF(LEN(T18)=11,_xlfn.XLOOKUP(T18,'Dispensed Ink Rates'!C:C,'Dispensed Ink Rates'!CS:CS),VLOOKUP(T18,'Jan-2026 rates'!$E:$F,2,0)))</f>
        <v>0</v>
      </c>
      <c r="AF18" s="404"/>
      <c r="AG18" s="398">
        <f>IF(AF18=0,0,IF(LEN(U18)=11,_xlfn.XLOOKUP(U18,'Dispensed Ink Rates'!C:C,'Dispensed Ink Rates'!CS:CS),VLOOKUP(U18,'Jan-2026 rates'!$E:$F,2,0)))</f>
        <v>0</v>
      </c>
      <c r="AH18" s="404"/>
      <c r="AI18" s="398">
        <f>IF(AH18=0,0,IF(LEN(V18)=11,_xlfn.XLOOKUP(V18,'Dispensed Ink Rates'!C:C,'Dispensed Ink Rates'!CS:CS),VLOOKUP(V18,'Jan-2026 rates'!$E:$F,2,0)))</f>
        <v>0</v>
      </c>
      <c r="AJ18" s="404"/>
      <c r="AK18" s="398">
        <f>IF(AJ18=0,0,IF(LEN(W18)=11,_xlfn.XLOOKUP(W18,'Dispensed Ink Rates'!C:C,'Dispensed Ink Rates'!CS:CS),VLOOKUP(W18,'Jan-2026 rates'!$E:$F,2,0)))</f>
        <v>0</v>
      </c>
      <c r="AL18" s="404"/>
      <c r="AM18" s="398">
        <f>IF(AL18=0,0,IF(LEN(X18)=11,_xlfn.XLOOKUP(X18,'Dispensed Ink Rates'!C:C,'Dispensed Ink Rates'!CS:CS),VLOOKUP(X18,'Jan-2026 rates'!$E:$F,2,0)))</f>
        <v>0</v>
      </c>
      <c r="AN18" s="404"/>
      <c r="AO18" s="398">
        <f>IF(AN18=0,0,IF(LEN(Y18)=11,_xlfn.XLOOKUP(Y18,'Dispensed Ink Rates'!C:C,'Dispensed Ink Rates'!CS:CS),VLOOKUP(Y18,'Jan-2026 rates'!$E:$F,2,0)))</f>
        <v>0</v>
      </c>
      <c r="AP18" s="409" t="s">
        <v>1881</v>
      </c>
      <c r="AQ18" s="409">
        <f>18+11</f>
        <v>29</v>
      </c>
      <c r="AR18" s="410">
        <f t="shared" si="1"/>
        <v>0</v>
      </c>
      <c r="AS18" s="411">
        <f t="shared" si="2"/>
        <v>24.550847457627114</v>
      </c>
      <c r="AT18" s="410">
        <f t="shared" si="3"/>
        <v>0</v>
      </c>
      <c r="AU18" s="405" t="s">
        <v>543</v>
      </c>
      <c r="AV18" s="409" t="s">
        <v>2641</v>
      </c>
      <c r="AW18" s="420" t="str">
        <f t="shared" si="4"/>
        <v>ToyoLi - BLACK</v>
      </c>
      <c r="AX18" s="409">
        <v>25</v>
      </c>
      <c r="AY18" s="411">
        <f>IF(AX18=0,0,IF($LB18=70%,VLOOKUP($AW18,'Jan-2026 rates'!$L:$R,4,0),IF($LB18=65%,VLOOKUP($AW18,'Jan-2026 rates'!$L:$R,4,0),IF($LB18=40%,VLOOKUP($AW18,'Jan-2026 rates'!$L:$R,5,0),IF($LB18=30%,VLOOKUP($AW18,'Jan-2026 rates'!$L:$R,6,0),IF($LB18=100%,VLOOKUP($AW18,'Jan-2026 rates'!$L:$R,7,0),IF($LB18=60%,VLOOKUP($AW18,'Jan-2026 rates'!$L:$S,8,0),IF($LB18=80%,VLOOKUP($AW18,'Jan-2026 rates'!L:T,9,0),0))))))))</f>
        <v>0</v>
      </c>
      <c r="AZ18" s="412"/>
      <c r="BA18" s="409"/>
      <c r="BB18" s="411">
        <f>IF(BA18=0,0,IF($LB18=70%,VLOOKUP($AW18,'Jan-2026 rates'!$L:$R,4,0),IF($LB18=65%,VLOOKUP($AW18,'Jan-2026 rates'!$L:$R,4,0),IF($LB18=40%,VLOOKUP($AW18,'Jan-2026 rates'!$L:$R,5,0),IF($LB18=30%,VLOOKUP($AW18,'Jan-2026 rates'!$L:$R,6,0),IF($LB18=100%,VLOOKUP($AW18,'Jan-2026 rates'!$L:$R,7,0),IF($LB18=60%,VLOOKUP($AW18,'Jan-2026 rates'!$L:$S,8,0),IF($LB18=80%,VLOOKUP($AW18,'Jan-2026 rates'!L:T,9,0),0))))))))</f>
        <v>0</v>
      </c>
      <c r="BC18" s="413" t="s">
        <v>1252</v>
      </c>
      <c r="BD18" s="412"/>
      <c r="BE18" s="412"/>
      <c r="BF18" s="413"/>
      <c r="BG18" s="412"/>
      <c r="BH18" s="412"/>
      <c r="BI18" s="412"/>
      <c r="BJ18" s="412"/>
      <c r="BK18" s="409">
        <f>4+20+10</f>
        <v>34</v>
      </c>
      <c r="BL18" s="398">
        <f>IF(BK18=0,0,IF(LEN(BC18)=11,_xlfn.XLOOKUP(BC18,'Dispensed Ink Rates'!C:C,'Dispensed Ink Rates'!CS:CS),VLOOKUP(BC18,'Jan-2026 rates'!$E:$F,2,0)))</f>
        <v>0</v>
      </c>
      <c r="BM18" s="409"/>
      <c r="BN18" s="398">
        <f>IF(BM18=0,0,IF(LEN(BD18)=11,_xlfn.XLOOKUP(BD18,'Dispensed Ink Rates'!C:C,'Dispensed Ink Rates'!CS:CS),VLOOKUP(BD18,'Jan-2026 rates'!$E:$F,2,0)))</f>
        <v>0</v>
      </c>
      <c r="BO18" s="409"/>
      <c r="BP18" s="398">
        <f>IF(BO18=0,0,IF(LEN(BE18)=11,_xlfn.XLOOKUP(BE18,'Dispensed Ink Rates'!C:C,'Dispensed Ink Rates'!CS:CS),VLOOKUP(BE18,'Jan-2026 rates'!$E:$F,2,0)))</f>
        <v>0</v>
      </c>
      <c r="BQ18" s="409"/>
      <c r="BR18" s="398">
        <f>IF(BQ18=0,0,IF(LEN(BF18)=11,_xlfn.XLOOKUP(BF18,'Dispensed Ink Rates'!C:C,'Dispensed Ink Rates'!CS:CS),VLOOKUP(BF18,'Jan-2026 rates'!$E:$F,2,0)))</f>
        <v>0</v>
      </c>
      <c r="BS18" s="409"/>
      <c r="BT18" s="398">
        <f>IF(BS18=0,0,IF(LEN(BG18)=11,_xlfn.XLOOKUP(BG18,'Dispensed Ink Rates'!C:C,'Dispensed Ink Rates'!CS:CS),VLOOKUP(BG18,'Jan-2026 rates'!$E:$F,2,0)))</f>
        <v>0</v>
      </c>
      <c r="BU18" s="409"/>
      <c r="BV18" s="398">
        <f>IF(BU18=0,0,IF(LEN(BH18)=11,_xlfn.XLOOKUP(BH18,'Dispensed Ink Rates'!C:C,'Dispensed Ink Rates'!CS:CS),VLOOKUP(BH18,'Jan-2026 rates'!$E:$F,2,0)))</f>
        <v>0</v>
      </c>
      <c r="BW18" s="409"/>
      <c r="BX18" s="398">
        <f>IF(BW18=0,0,IF(LEN(BI18)=11,_xlfn.XLOOKUP(BI18,'Dispensed Ink Rates'!C:C,'Dispensed Ink Rates'!CS:CS),VLOOKUP(BI18,'Jan-2026 rates'!$E:$F,2,0)))</f>
        <v>0</v>
      </c>
      <c r="BY18" s="409"/>
      <c r="BZ18" s="398">
        <f>IF(BY18=0,0,IF(LEN(BJ18)=11,_xlfn.XLOOKUP(BJ18,'Dispensed Ink Rates'!C:C,'Dispensed Ink Rates'!CS:CS),VLOOKUP(BJ18,'Jan-2026 rates'!$E:$F,2,0)))</f>
        <v>0</v>
      </c>
      <c r="CA18" s="409" t="s">
        <v>1881</v>
      </c>
      <c r="CB18" s="409">
        <f>16+18</f>
        <v>34</v>
      </c>
      <c r="CC18" s="411">
        <f t="shared" si="5"/>
        <v>0</v>
      </c>
      <c r="CD18" s="411">
        <f t="shared" si="6"/>
        <v>74.771186440677965</v>
      </c>
      <c r="CE18" s="410">
        <f t="shared" si="7"/>
        <v>0</v>
      </c>
      <c r="CF18" s="404" t="s">
        <v>857</v>
      </c>
      <c r="CG18" s="409" t="s">
        <v>2433</v>
      </c>
      <c r="CH18" s="420" t="str">
        <f t="shared" si="8"/>
        <v>ToyoLi - RED</v>
      </c>
      <c r="CI18" s="409">
        <v>16</v>
      </c>
      <c r="CJ18" s="411">
        <f>IF(CI18=0,0,IF($LB18=70%,VLOOKUP($CH18,'Jan-2026 rates'!$L:$R,4,0),IF($LB18=65%,VLOOKUP($CH18,'Jan-2026 rates'!$L:$R,4,0),IF($LB18=40%,VLOOKUP($CH18,'Jan-2026 rates'!$L:$R,5,0),IF($LB18=30%,VLOOKUP($CH18,'Jan-2026 rates'!$L:$R,6,0),IF($LB18=100%,VLOOKUP($CH18,'Jan-2026 rates'!$L:$R,7,0),IF($LB18=60%,VLOOKUP($CH18,'Jan-2026 rates'!$L:$S,8,0),IF($LB18=80%,VLOOKUP($CH18,'Jan-2026 rates'!L:T,9,0),0))))))))</f>
        <v>0</v>
      </c>
      <c r="CK18" s="412" t="s">
        <v>2642</v>
      </c>
      <c r="CL18" s="409">
        <f>20+28+5+20+20</f>
        <v>93</v>
      </c>
      <c r="CM18" s="411">
        <f>IF(CL18=0,0,IF($LB18=70%,VLOOKUP($CH18,'Jan-2026 rates'!$L:$R,4,0),IF($LB18=65%,VLOOKUP($CH18,'Jan-2026 rates'!$L:$R,4,0),IF($LB18=40%,VLOOKUP($CH18,'Jan-2026 rates'!$L:$R,5,0),IF($LB18=30%,VLOOKUP($CH18,'Jan-2026 rates'!$L:$R,6,0),IF($LB18=100%,VLOOKUP($CH18,'Jan-2026 rates'!$L:$R,7,0),IF($LB18=60%,VLOOKUP($CH18,'Jan-2026 rates'!$L:$S,8,0),IF($LB18=80%,VLOOKUP($CH18,'Jan-2026 rates'!L:T,9,0),0))))))))</f>
        <v>0</v>
      </c>
      <c r="CN18" s="426" t="s">
        <v>1246</v>
      </c>
      <c r="CO18" s="427" t="s">
        <v>1248</v>
      </c>
      <c r="CP18" s="426" t="s">
        <v>1505</v>
      </c>
      <c r="CQ18" s="426"/>
      <c r="CR18" s="428"/>
      <c r="CS18" s="428"/>
      <c r="CT18" s="428"/>
      <c r="CU18" s="428"/>
      <c r="CV18" s="409">
        <f>40+40+20</f>
        <v>100</v>
      </c>
      <c r="CW18" s="398">
        <f>IF(CV18=0,0,IF(LEN(CN18)=11,_xlfn.XLOOKUP(CN18,'Dispensed Ink Rates'!C:C,'Dispensed Ink Rates'!CS:CS),VLOOKUP(CN18,'Jan-2026 rates'!$E:$F,2,0)))</f>
        <v>0</v>
      </c>
      <c r="CX18" s="409">
        <f>40+40+20</f>
        <v>100</v>
      </c>
      <c r="CY18" s="398">
        <f>IF(CX18=0,0,IF(LEN(CO18)=11,_xlfn.XLOOKUP(CO18,'Dispensed Ink Rates'!C:C,'Dispensed Ink Rates'!CS:CS),VLOOKUP(CO18,'Jan-2026 rates'!$E:$F,2,0)))</f>
        <v>0</v>
      </c>
      <c r="CZ18" s="409">
        <f>20+2</f>
        <v>22</v>
      </c>
      <c r="DA18" s="398">
        <f>IF(CZ18=0,0,IF(LEN(CP18)=11,_xlfn.XLOOKUP(CP18,'Dispensed Ink Rates'!C:C,'Dispensed Ink Rates'!CS:CS),VLOOKUP(CP18,'Jan-2026 rates'!$E:$F,2,0)))</f>
        <v>0</v>
      </c>
      <c r="DB18" s="409"/>
      <c r="DC18" s="398">
        <f>IF(DB18=0,0,IF(LEN(CQ18)=11,_xlfn.XLOOKUP(CQ18,'Dispensed Ink Rates'!C:C,'Dispensed Ink Rates'!CS:CS),VLOOKUP(CQ18,'Jan-2026 rates'!$E:$F,2,0)))</f>
        <v>0</v>
      </c>
      <c r="DD18" s="409"/>
      <c r="DE18" s="398">
        <f>IF(DD18=0,0,IF(LEN(CR18)=11,_xlfn.XLOOKUP(CR18,'Dispensed Ink Rates'!C:C,'Dispensed Ink Rates'!CS:CS),VLOOKUP(CR18,'Jan-2026 rates'!$E:$F,2,0)))</f>
        <v>0</v>
      </c>
      <c r="DF18" s="409"/>
      <c r="DG18" s="398">
        <f>IF(DF18=0,0,IF(LEN(CS18)=11,_xlfn.XLOOKUP(CS18,'Dispensed Ink Rates'!C:C,'Dispensed Ink Rates'!CS:CS),VLOOKUP(CS18,'Jan-2026 rates'!$E:$F,2,0)))</f>
        <v>0</v>
      </c>
      <c r="DH18" s="409"/>
      <c r="DI18" s="398">
        <f>IF(DH18=0,0,IF(LEN(CT18)=11,_xlfn.XLOOKUP(CT18,'Dispensed Ink Rates'!C:C,'Dispensed Ink Rates'!CS:CS),VLOOKUP(CT18,'Jan-2026 rates'!$E:$F,2,0)))</f>
        <v>0</v>
      </c>
      <c r="DJ18" s="409"/>
      <c r="DK18" s="398">
        <f>IF(DJ18=0,0,IF(LEN(CU18)=11,_xlfn.XLOOKUP(CU18,'Dispensed Ink Rates'!C:C,'Dispensed Ink Rates'!CS:CS),VLOOKUP(CU18,'Jan-2026 rates'!$E:$F,2,0)))</f>
        <v>0</v>
      </c>
      <c r="DL18" s="409" t="s">
        <v>1881</v>
      </c>
      <c r="DM18" s="409">
        <v>16</v>
      </c>
      <c r="DN18" s="411">
        <f t="shared" si="9"/>
        <v>0</v>
      </c>
      <c r="DO18" s="411">
        <f t="shared" si="10"/>
        <v>445.3531073446328</v>
      </c>
      <c r="DP18" s="410">
        <f t="shared" si="11"/>
        <v>0</v>
      </c>
      <c r="DQ18" s="405" t="s">
        <v>855</v>
      </c>
      <c r="DR18" s="409" t="s">
        <v>2643</v>
      </c>
      <c r="DS18" s="420" t="str">
        <f t="shared" si="12"/>
        <v>ToyoLi - CYAN</v>
      </c>
      <c r="DT18" s="409">
        <v>26</v>
      </c>
      <c r="DU18" s="411">
        <f>IF(DT18=0,0,IF($LB18=70%,VLOOKUP($DS18,'Jan-2026 rates'!$L:$R,4,0),IF($LB18=65%,VLOOKUP($DS18,'Jan-2026 rates'!$L:$R,4,0),IF($LB18=40%,VLOOKUP($DS18,'Jan-2026 rates'!$L:$R,5,0),IF($LB18=30%,VLOOKUP($DS18,'Jan-2026 rates'!$L:$R,6,0),IF($LB18=100%,VLOOKUP($DS18,'Jan-2026 rates'!$L:$R,7,0),IF($LB18=60%,VLOOKUP($DS18,'Jan-2026 rates'!$L:$S,8,0),IF($LB18=80%,VLOOKUP($DS18,'Jan-2026 rates'!L:T,9,0),0))))))))</f>
        <v>0</v>
      </c>
      <c r="DV18" s="412"/>
      <c r="DW18" s="409"/>
      <c r="DX18" s="411">
        <f>IF(DW18=0,0,IF($LB18=70%,VLOOKUP($DS18,'Jan-2026 rates'!$L:$R,4,0),IF($LB18=65%,VLOOKUP($DS18,'Jan-2026 rates'!$L:$R,4,0),IF($LB18=40%,VLOOKUP($DS18,'Jan-2026 rates'!$L:$R,5,0),IF($LB18=30%,VLOOKUP($DS18,'Jan-2026 rates'!$L:$R,6,0),IF($LB18=100%,VLOOKUP($DS18,'Jan-2026 rates'!$L:$R,7,0),IF($LB18=60%,VLOOKUP($DS18,'Jan-2026 rates'!$L:$S,8,0),IF($LB18=80%,VLOOKUP($DS18,'Jan-2026 rates'!L:T,9,0),0))))))))</f>
        <v>0</v>
      </c>
      <c r="DY18" s="413" t="s">
        <v>1250</v>
      </c>
      <c r="DZ18" s="413" t="s">
        <v>1921</v>
      </c>
      <c r="EA18" s="412"/>
      <c r="EB18" s="412"/>
      <c r="EC18" s="412"/>
      <c r="ED18" s="412"/>
      <c r="EE18" s="412"/>
      <c r="EF18" s="412"/>
      <c r="EG18" s="409">
        <v>4</v>
      </c>
      <c r="EH18" s="398">
        <f>IF(EG18=0,0,IF(LEN(DY18)=11,_xlfn.XLOOKUP(DY18,'Dispensed Ink Rates'!C:C,'Dispensed Ink Rates'!CS:CS),VLOOKUP(DY18,'Jan-2026 rates'!$E:$F,2,0)))</f>
        <v>0</v>
      </c>
      <c r="EI18" s="409">
        <v>5</v>
      </c>
      <c r="EJ18" s="398">
        <f>IF(EI18=0,0,IF(LEN(DZ18)=11,_xlfn.XLOOKUP(DZ18,'Dispensed Ink Rates'!C:C,'Dispensed Ink Rates'!CS:CS),VLOOKUP(DZ18,'Jan-2026 rates'!$E:$F,2,0)))</f>
        <v>0</v>
      </c>
      <c r="EK18" s="409"/>
      <c r="EL18" s="398">
        <f>IF(EK18=0,0,IF(LEN(EA18)=11,_xlfn.XLOOKUP(EA18,'Dispensed Ink Rates'!C:C,'Dispensed Ink Rates'!CS:CS),VLOOKUP(EA18,'Jan-2026 rates'!$E:$F,2,0)))</f>
        <v>0</v>
      </c>
      <c r="EM18" s="409"/>
      <c r="EN18" s="398">
        <f>IF(EM18=0,0,IF(LEN(EB18)=11,_xlfn.XLOOKUP(EB18,'Dispensed Ink Rates'!C:C,'Dispensed Ink Rates'!CS:CS),VLOOKUP(EB18,'Jan-2026 rates'!$E:$F,2,0)))</f>
        <v>0</v>
      </c>
      <c r="EO18" s="409"/>
      <c r="EP18" s="398">
        <f>IF(EO18=0,0,IF(LEN(EC18)=11,_xlfn.XLOOKUP(EC18,'Dispensed Ink Rates'!C:C,'Dispensed Ink Rates'!CS:CS),VLOOKUP(EC18,'Jan-2026 rates'!$E:$F,2,0)))</f>
        <v>0</v>
      </c>
      <c r="EQ18" s="409"/>
      <c r="ER18" s="398">
        <f>IF(EQ18=0,0,IF(LEN(ED18)=11,_xlfn.XLOOKUP(ED18,'Dispensed Ink Rates'!C:C,'Dispensed Ink Rates'!CS:CS),VLOOKUP(ED18,'Jan-2026 rates'!$E:$F,2,0)))</f>
        <v>0</v>
      </c>
      <c r="ES18" s="409"/>
      <c r="ET18" s="398">
        <f>IF(ES18=0,0,IF(LEN(EE18)=11,_xlfn.XLOOKUP(EE18,'Dispensed Ink Rates'!C:C,'Dispensed Ink Rates'!CS:CS),VLOOKUP(EE18,'Jan-2026 rates'!$E:$F,2,0)))</f>
        <v>0</v>
      </c>
      <c r="EU18" s="409"/>
      <c r="EV18" s="398">
        <f>IF(EU18=0,0,IF(LEN(EF18)=11,_xlfn.XLOOKUP(EF18,'Dispensed Ink Rates'!C:C,'Dispensed Ink Rates'!CS:CS),VLOOKUP(EF18,'Jan-2026 rates'!$E:$F,2,0)))</f>
        <v>0</v>
      </c>
      <c r="EW18" s="409" t="s">
        <v>1881</v>
      </c>
      <c r="EX18" s="409">
        <f>19+16</f>
        <v>35</v>
      </c>
      <c r="EY18" s="411">
        <f t="shared" si="13"/>
        <v>0</v>
      </c>
      <c r="EZ18" s="411">
        <f t="shared" si="14"/>
        <v>4.7401129943502838</v>
      </c>
      <c r="FA18" s="410">
        <f t="shared" si="15"/>
        <v>0</v>
      </c>
      <c r="FB18" s="405" t="s">
        <v>544</v>
      </c>
      <c r="FC18" s="409" t="s">
        <v>2644</v>
      </c>
      <c r="FD18" s="420" t="str">
        <f t="shared" si="16"/>
        <v>ToyoLi - MAGENTA</v>
      </c>
      <c r="FE18" s="409">
        <v>29</v>
      </c>
      <c r="FF18" s="411">
        <f>IF(FE18=0,0,IF($LB18=70%,VLOOKUP($FD18,'Jan-2026 rates'!$L:$R,4,0),IF($LB18=65%,VLOOKUP($FD18,'Jan-2026 rates'!$L:$R,4,0),IF($LB18=40%,VLOOKUP($FD18,'Jan-2026 rates'!$L:$R,5,0),IF($LB18=30%,VLOOKUP($FD18,'Jan-2026 rates'!$L:$R,6,0),IF($LB18=100%,VLOOKUP($FD18,'Jan-2026 rates'!$L:$R,7,0),IF($LB18=60%,VLOOKUP($FD18,'Jan-2026 rates'!$L:$S,8,0),IF($LB18=80%,VLOOKUP($FD18,'Jan-2026 rates'!L:T,9,0),0))))))))</f>
        <v>0</v>
      </c>
      <c r="FG18" s="412"/>
      <c r="FH18" s="409"/>
      <c r="FI18" s="411">
        <f>IF(FH18=0,0,IF($LB18=70%,VLOOKUP($FD18,'Jan-2026 rates'!$L:$R,4,0),IF($LB18=65%,VLOOKUP($FD18,'Jan-2026 rates'!$L:$R,4,0),IF($LB18=40%,VLOOKUP($FD18,'Jan-2026 rates'!$L:$R,5,0),IF($LB18=30%,VLOOKUP($FD18,'Jan-2026 rates'!$L:$R,6,0),IF($LB18=100%,VLOOKUP($FD18,'Jan-2026 rates'!$L:$R,7,0),IF($LB18=60%,VLOOKUP($FD18,'Jan-2026 rates'!$L:$S,8,0),IF($LB18=80%,VLOOKUP($FD18,'Jan-2026 rates'!L:T,9,0),0))))))))</f>
        <v>0</v>
      </c>
      <c r="FJ18" s="413" t="s">
        <v>1246</v>
      </c>
      <c r="FK18" s="413"/>
      <c r="FL18" s="413"/>
      <c r="FM18" s="412"/>
      <c r="FN18" s="412"/>
      <c r="FO18" s="412"/>
      <c r="FP18" s="412"/>
      <c r="FQ18" s="412"/>
      <c r="FR18" s="409">
        <v>3</v>
      </c>
      <c r="FS18" s="398">
        <f>IF(FR18=0,0,IF(LEN(FJ18)=11,_xlfn.XLOOKUP(FJ18,'Dispensed Ink Rates'!C:C,'Dispensed Ink Rates'!CS:CS),VLOOKUP(FJ18,'Jan-2026 rates'!$E:$F,2,0)))</f>
        <v>0</v>
      </c>
      <c r="FT18" s="409"/>
      <c r="FU18" s="398">
        <f>IF(FT18=0,0,IF(LEN(FK18)=11,_xlfn.XLOOKUP(FK18,'Dispensed Ink Rates'!C:C,'Dispensed Ink Rates'!CS:CS),VLOOKUP(FK18,'Jan-2026 rates'!$E:$F,2,0)))</f>
        <v>0</v>
      </c>
      <c r="FV18" s="409"/>
      <c r="FW18" s="398">
        <f>IF(FV18=0,0,IF(LEN(FL18)=11,_xlfn.XLOOKUP(FL18,'Dispensed Ink Rates'!C:C,'Dispensed Ink Rates'!CS:CS),VLOOKUP(FL18,'Jan-2026 rates'!$E:$F,2,0)))</f>
        <v>0</v>
      </c>
      <c r="FX18" s="409"/>
      <c r="FY18" s="398">
        <f>IF(FX18=0,0,IF(LEN(FM18)=11,_xlfn.XLOOKUP(FM18,'Dispensed Ink Rates'!C:C,'Dispensed Ink Rates'!CS:CS),VLOOKUP(FM18,'Jan-2026 rates'!$E:$F,2,0)))</f>
        <v>0</v>
      </c>
      <c r="FZ18" s="409"/>
      <c r="GA18" s="398">
        <f>IF(FZ18=0,0,IF(LEN(FN18)=11,_xlfn.XLOOKUP(FN18,'Dispensed Ink Rates'!C:C,'Dispensed Ink Rates'!CS:CS),VLOOKUP(FN18,'Jan-2026 rates'!$E:$F,2,0)))</f>
        <v>0</v>
      </c>
      <c r="GB18" s="409"/>
      <c r="GC18" s="398">
        <f>IF(GB18=0,0,IF(LEN(FO18)=11,_xlfn.XLOOKUP(FO18,'Dispensed Ink Rates'!C:C,'Dispensed Ink Rates'!CS:CS),VLOOKUP(FO18,'Jan-2026 rates'!$E:$F,2,0)))</f>
        <v>0</v>
      </c>
      <c r="GD18" s="409"/>
      <c r="GE18" s="398">
        <f>IF(GD18=0,0,IF(LEN(FP18)=11,_xlfn.XLOOKUP(FP18,'Dispensed Ink Rates'!C:C,'Dispensed Ink Rates'!CS:CS),VLOOKUP(FP18,'Jan-2026 rates'!$E:$F,2,0)))</f>
        <v>0</v>
      </c>
      <c r="GF18" s="409"/>
      <c r="GG18" s="398">
        <f>IF(GF18=0,0,IF(LEN(FQ18)=11,_xlfn.XLOOKUP(FQ18,'Dispensed Ink Rates'!C:C,'Dispensed Ink Rates'!CS:CS),VLOOKUP(FQ18,'Jan-2026 rates'!$E:$F,2,0)))</f>
        <v>0</v>
      </c>
      <c r="GH18" s="409" t="s">
        <v>1881</v>
      </c>
      <c r="GI18" s="409">
        <f>11+11</f>
        <v>22</v>
      </c>
      <c r="GJ18" s="411">
        <f t="shared" si="17"/>
        <v>0</v>
      </c>
      <c r="GK18" s="411">
        <f t="shared" si="18"/>
        <v>17.110169491525426</v>
      </c>
      <c r="GL18" s="410">
        <f t="shared" si="19"/>
        <v>0</v>
      </c>
      <c r="GM18" s="405" t="s">
        <v>545</v>
      </c>
      <c r="GN18" s="409" t="s">
        <v>2645</v>
      </c>
      <c r="GO18" s="420" t="str">
        <f t="shared" si="20"/>
        <v>ToyoLi - YELLOW</v>
      </c>
      <c r="GP18" s="409">
        <v>28</v>
      </c>
      <c r="GQ18" s="411">
        <f>IF(GP18=0,0,IF($LB18=70%,VLOOKUP($GO18,'Jan-2026 rates'!$L:$R,4,0),IF($LB18=65%,VLOOKUP($GO18,'Jan-2026 rates'!$L:$R,4,0),IF($LB18=40%,VLOOKUP($GO18,'Jan-2026 rates'!$L:$R,5,0),IF($LB18=30%,VLOOKUP($GO18,'Jan-2026 rates'!$L:$R,6,0),IF($LB18=100%,VLOOKUP($GO18,'Jan-2026 rates'!$L:$R,7,0),IF($LB18=60%,VLOOKUP($GO18,'Jan-2026 rates'!$L:$S,8,0),IF($LB18=80%,VLOOKUP($GO18,'Jan-2026 rates'!L:T,9,0),0))))))))</f>
        <v>0</v>
      </c>
      <c r="GR18" s="412"/>
      <c r="GS18" s="409"/>
      <c r="GT18" s="411">
        <f>IF(GS18=0,0,IF($LB18=70%,VLOOKUP($GO18,'Jan-2026 rates'!$L:$R,4,0),IF($LB18=65%,VLOOKUP($GO18,'Jan-2026 rates'!$L:$R,4,0),IF($LB18=40%,VLOOKUP($GO18,'Jan-2026 rates'!$L:$R,5,0),IF($LB18=30%,VLOOKUP($GO18,'Jan-2026 rates'!$L:$R,6,0),IF($LB18=100%,VLOOKUP($GO18,'Jan-2026 rates'!$L:$R,7,0),IF($LB18=60%,VLOOKUP($GO18,'Jan-2026 rates'!$L:$S,8,0),IF($LB18=80%,VLOOKUP($GO18,'Jan-2026 rates'!L:T,9,0),0))))))))</f>
        <v>0</v>
      </c>
      <c r="GU18" s="413" t="s">
        <v>1247</v>
      </c>
      <c r="GV18" s="413"/>
      <c r="GW18" s="412"/>
      <c r="GX18" s="412"/>
      <c r="GY18" s="412"/>
      <c r="GZ18" s="412"/>
      <c r="HA18" s="412"/>
      <c r="HB18" s="412"/>
      <c r="HC18" s="409">
        <f>20+5+10</f>
        <v>35</v>
      </c>
      <c r="HD18" s="398">
        <f>IF(HC18=0,0,IF(LEN(GU18)=11,_xlfn.XLOOKUP(GU18,'Dispensed Ink Rates'!C:C,'Dispensed Ink Rates'!CS:CS),VLOOKUP(GU18,'Jan-2026 rates'!$E:$F,2,0)))</f>
        <v>0</v>
      </c>
      <c r="HE18" s="409"/>
      <c r="HF18" s="398">
        <f>IF(HE18=0,0,IF(LEN(GV18)=11,_xlfn.XLOOKUP(GV18,'Dispensed Ink Rates'!C:C,'Dispensed Ink Rates'!CS:CS),VLOOKUP(GV18,'Jan-2026 rates'!$E:$F,2,0)))</f>
        <v>0</v>
      </c>
      <c r="HG18" s="409"/>
      <c r="HH18" s="398">
        <f>IF(HG18=0,0,IF(LEN(GW18)=11,_xlfn.XLOOKUP(GW18,'Dispensed Ink Rates'!C:C,'Dispensed Ink Rates'!CS:CS),VLOOKUP(GW18,'Jan-2026 rates'!$E:$F,2,0)))</f>
        <v>0</v>
      </c>
      <c r="HI18" s="409"/>
      <c r="HJ18" s="398">
        <f>IF(HI18=0,0,IF(LEN(GX18)=11,_xlfn.XLOOKUP(GX18,'Dispensed Ink Rates'!C:C,'Dispensed Ink Rates'!CS:CS),VLOOKUP(GX18,'Jan-2026 rates'!$E:$F,2,0)))</f>
        <v>0</v>
      </c>
      <c r="HK18" s="409"/>
      <c r="HL18" s="398">
        <f>IF(HK18=0,0,IF(LEN(GY18)=11,_xlfn.XLOOKUP(GY18,'Dispensed Ink Rates'!C:C,'Dispensed Ink Rates'!CS:CS),VLOOKUP(GY18,'Jan-2026 rates'!$E:$F,2,0)))</f>
        <v>0</v>
      </c>
      <c r="HM18" s="409"/>
      <c r="HN18" s="398">
        <f>IF(HM18=0,0,IF(LEN(GZ18)=11,_xlfn.XLOOKUP(GZ18,'Dispensed Ink Rates'!C:C,'Dispensed Ink Rates'!CS:CS),VLOOKUP(GZ18,'Jan-2026 rates'!$E:$F,2,0)))</f>
        <v>0</v>
      </c>
      <c r="HO18" s="409"/>
      <c r="HP18" s="398">
        <f>IF(HO18=0,0,IF(LEN(HA18)=11,_xlfn.XLOOKUP(HA18,'Dispensed Ink Rates'!C:C,'Dispensed Ink Rates'!CS:CS),VLOOKUP(HA18,'Jan-2026 rates'!$E:$F,2,0)))</f>
        <v>0</v>
      </c>
      <c r="HQ18" s="409"/>
      <c r="HR18" s="398">
        <f>IF(HQ18=0,0,IF(LEN(HB18)=11,_xlfn.XLOOKUP(HB18,'Dispensed Ink Rates'!C:C,'Dispensed Ink Rates'!CS:CS),VLOOKUP(HB18,'Jan-2026 rates'!$E:$F,2,0)))</f>
        <v>0</v>
      </c>
      <c r="HS18" s="409" t="s">
        <v>1881</v>
      </c>
      <c r="HT18" s="409">
        <f>14+15+14</f>
        <v>43</v>
      </c>
      <c r="HU18" s="411">
        <f t="shared" si="21"/>
        <v>0</v>
      </c>
      <c r="HV18" s="411">
        <f t="shared" si="22"/>
        <v>62.661016949152554</v>
      </c>
      <c r="HW18" s="414">
        <f t="shared" si="23"/>
        <v>0</v>
      </c>
      <c r="HX18" s="405" t="s">
        <v>856</v>
      </c>
      <c r="HY18" s="409" t="s">
        <v>2646</v>
      </c>
      <c r="HZ18" s="420" t="str">
        <f t="shared" si="24"/>
        <v>ToyoLi - WHITE</v>
      </c>
      <c r="IA18" s="409">
        <v>30</v>
      </c>
      <c r="IB18" s="411">
        <f>IF(IA18=0,0,IF($LB18=70%,VLOOKUP($HZ18,'Jan-2026 rates'!$L:$R,4,0),IF($LB18=65%,VLOOKUP($HZ18,'Jan-2026 rates'!$L:$R,4,0),IF($LB18=40%,VLOOKUP($HZ18,'Jan-2026 rates'!$L:$R,5,0),IF($LB18=30%,VLOOKUP($HZ18,'Jan-2026 rates'!$L:$R,6,0),IF($LB18=100%,VLOOKUP($HZ18,'Jan-2026 rates'!$L:$R,7,0),IF($LB18=60%,VLOOKUP($HZ18,'Jan-2026 rates'!$L:$S,8,0),IF($LB18=80%,VLOOKUP($HZ18,'Jan-2026 rates'!L:T,9,0),0))))))))</f>
        <v>0</v>
      </c>
      <c r="IC18" s="412"/>
      <c r="ID18" s="409"/>
      <c r="IE18" s="411">
        <f>IF(ID18=0,0,IF($LB18=70%,VLOOKUP($HZ18,'Jan-2026 rates'!$L:$R,4,0),IF($LB18=65%,VLOOKUP($HZ18,'Jan-2026 rates'!$L:$R,4,0),IF($LB18=40%,VLOOKUP($HZ18,'Jan-2026 rates'!$L:$R,5,0),IF($LB18=30%,VLOOKUP($HZ18,'Jan-2026 rates'!$L:$R,6,0),IF($LB18=100%,VLOOKUP($HZ18,'Jan-2026 rates'!$L:$R,7,0),IF($LB18=60%,VLOOKUP($HZ18,'Jan-2026 rates'!$L:$S,8,0),IF($LB18=80%,VLOOKUP($HZ18,'Jan-2026 rates'!L:T,9,0),0))))))))</f>
        <v>0</v>
      </c>
      <c r="IF18" s="412" t="s">
        <v>1249</v>
      </c>
      <c r="IG18" s="413"/>
      <c r="IH18" s="412"/>
      <c r="II18" s="412"/>
      <c r="IJ18" s="412"/>
      <c r="IK18" s="412"/>
      <c r="IL18" s="412"/>
      <c r="IM18" s="412"/>
      <c r="IN18" s="409">
        <f>300+160</f>
        <v>460</v>
      </c>
      <c r="IO18" s="398">
        <f>IF(IN18=0,0,IF(LEN(IF18)=11,_xlfn.XLOOKUP(IF18,'Dispensed Ink Rates'!C:C,'Dispensed Ink Rates'!CS:CS),VLOOKUP(IF18,'Jan-2026 rates'!$E:$F,2,0)))</f>
        <v>0</v>
      </c>
      <c r="IP18" s="409"/>
      <c r="IQ18" s="398">
        <f>IF(IP18=0,0,IF(LEN(IG18)=11,_xlfn.XLOOKUP(IG18,'Dispensed Ink Rates'!C:C,'Dispensed Ink Rates'!CS:CS),VLOOKUP(IG18,'Jan-2026 rates'!$E:$F,2,0)))</f>
        <v>0</v>
      </c>
      <c r="IR18" s="409"/>
      <c r="IS18" s="398">
        <f>IF(IR18=0,0,IF(LEN(IH18)=11,_xlfn.XLOOKUP(IH18,'Dispensed Ink Rates'!C:C,'Dispensed Ink Rates'!CS:CS),VLOOKUP(IH18,'Jan-2026 rates'!$E:$F,2,0)))</f>
        <v>0</v>
      </c>
      <c r="IT18" s="409"/>
      <c r="IU18" s="398">
        <f>IF(IT18=0,0,IF(LEN(II18)=11,_xlfn.XLOOKUP(II18,'Dispensed Ink Rates'!C:C,'Dispensed Ink Rates'!CS:CS),VLOOKUP(II18,'Jan-2026 rates'!$E:$F,2,0)))</f>
        <v>0</v>
      </c>
      <c r="IV18" s="409"/>
      <c r="IW18" s="398">
        <f>IF(IV18=0,0,IF(LEN(IJ18)=11,_xlfn.XLOOKUP(IJ18,'Dispensed Ink Rates'!C:C,'Dispensed Ink Rates'!CS:CS),VLOOKUP(IJ18,'Jan-2026 rates'!$E:$F,2,0)))</f>
        <v>0</v>
      </c>
      <c r="IX18" s="409"/>
      <c r="IY18" s="398">
        <f>IF(IX18=0,0,IF(LEN(IK18)=11,_xlfn.XLOOKUP(IK18,'Dispensed Ink Rates'!C:C,'Dispensed Ink Rates'!CS:CS),VLOOKUP(IK18,'Jan-2026 rates'!$E:$F,2,0)))</f>
        <v>0</v>
      </c>
      <c r="IZ18" s="409"/>
      <c r="JA18" s="398">
        <f>IF(IZ18=0,0,IF(LEN(IL18)=11,_xlfn.XLOOKUP(IL18,'Dispensed Ink Rates'!C:C,'Dispensed Ink Rates'!CS:CS),VLOOKUP(IL18,'Jan-2026 rates'!$E:$F,2,0)))</f>
        <v>0</v>
      </c>
      <c r="JB18" s="409"/>
      <c r="JC18" s="398">
        <f>IF(JB18=0,0,IF(LEN(IM18)=11,_xlfn.XLOOKUP(IM18,'Dispensed Ink Rates'!C:C,'Dispensed Ink Rates'!CS:CS),VLOOKUP(IM18,'Jan-2026 rates'!$E:$F,2,0)))</f>
        <v>0</v>
      </c>
      <c r="JD18" s="409" t="s">
        <v>1881</v>
      </c>
      <c r="JE18" s="409">
        <v>30</v>
      </c>
      <c r="JF18" s="411">
        <f t="shared" si="25"/>
        <v>0</v>
      </c>
      <c r="JG18" s="411">
        <f t="shared" si="26"/>
        <v>1028.8135593220338</v>
      </c>
      <c r="JH18" s="410">
        <f t="shared" si="27"/>
        <v>0</v>
      </c>
      <c r="JI18" s="405"/>
      <c r="JJ18" s="409"/>
      <c r="JK18" s="420" t="str">
        <f t="shared" si="28"/>
        <v xml:space="preserve"> - </v>
      </c>
      <c r="JL18" s="409"/>
      <c r="JM18" s="411">
        <f>IF(JL18=0,0,IF($LB18=70%,VLOOKUP($JK18,'Jan-2026 rates'!$L:$R,4,0),IF($LB18=65%,VLOOKUP($JK18,'Jan-2026 rates'!$L:$R,4,0),IF($LB18=40%,VLOOKUP($JK18,'Jan-2026 rates'!$L:$R,5,0),IF($LB18=30%,VLOOKUP($JK18,'Jan-2026 rates'!$L:$R,6,0),IF($LB18=100%,VLOOKUP($JK18,'Jan-2026 rates'!$L:$R,7,0),IF($LB18=60%,VLOOKUP($JK18,'Jan-2026 rates'!$L:$S,8,0),IF($LB18=80%,VLOOKUP($JK18,'Jan-2026 rates'!L:T,9,0),0))))))))</f>
        <v>0</v>
      </c>
      <c r="JN18" s="412"/>
      <c r="JO18" s="409"/>
      <c r="JP18" s="411">
        <f>IF(JO18=0,0,IF($LB18=70%,VLOOKUP($JK18,'Jan-2026 rates'!$L:$R,4,0),IF($LB18=65%,VLOOKUP($JK18,'Jan-2026 rates'!$L:$R,4,0),IF($LB18=40%,VLOOKUP($JK18,'Jan-2026 rates'!$L:$R,5,0),IF($LB18=30%,VLOOKUP($JK18,'Jan-2026 rates'!$L:$R,6,0),IF($LB18=100%,VLOOKUP($JK18,'Jan-2026 rates'!$L:$R,7,0),IF($LB18=60%,VLOOKUP($JK18,'Jan-2026 rates'!$L:$S,8,0),IF($LB18=80%,VLOOKUP($JK18,'Jan-2026 rates'!L:T,9,0),0))))))))</f>
        <v>0</v>
      </c>
      <c r="JQ18" s="413"/>
      <c r="JR18" s="412"/>
      <c r="JS18" s="413"/>
      <c r="JT18" s="413"/>
      <c r="JU18" s="412"/>
      <c r="JV18" s="412"/>
      <c r="JW18" s="412"/>
      <c r="JX18" s="412"/>
      <c r="JY18" s="409"/>
      <c r="JZ18" s="398">
        <f>IF(JY18=0,0,IF(LEN(JQ18)=11,_xlfn.XLOOKUP(JQ18,'Dispensed Ink Rates'!C:C,'Dispensed Ink Rates'!CS:CS),VLOOKUP(JQ18,'Jan-2026 rates'!$E:$F,2,0)))</f>
        <v>0</v>
      </c>
      <c r="KA18" s="409"/>
      <c r="KB18" s="398">
        <f>IF(KA18=0,0,IF(LEN(JR18)=11,_xlfn.XLOOKUP(JR18,'Dispensed Ink Rates'!C:C,'Dispensed Ink Rates'!CS:CS),VLOOKUP(JR18,'Jan-2026 rates'!$E:$F,2,0)))</f>
        <v>0</v>
      </c>
      <c r="KC18" s="409"/>
      <c r="KD18" s="398">
        <f>IF(KC18=0,0,IF(LEN(JS18)=11,_xlfn.XLOOKUP(JS18,'Dispensed Ink Rates'!C:C,'Dispensed Ink Rates'!CS:CS),VLOOKUP(JS18,'Jan-2026 rates'!$E:$F,2,0)))</f>
        <v>0</v>
      </c>
      <c r="KE18" s="409"/>
      <c r="KF18" s="398">
        <f>IF(KE18=0,0,IF(LEN(JT18)=11,_xlfn.XLOOKUP(JT18,'Dispensed Ink Rates'!C:C,'Dispensed Ink Rates'!CS:CS),VLOOKUP(JT18,'Jan-2026 rates'!$E:$F,2,0)))</f>
        <v>0</v>
      </c>
      <c r="KG18" s="409"/>
      <c r="KH18" s="398">
        <f>IF(KG18=0,0,IF(LEN(JU18)=11,_xlfn.XLOOKUP(JU18,'Dispensed Ink Rates'!C:C,'Dispensed Ink Rates'!CS:CS),VLOOKUP(JU18,'Jan-2026 rates'!$E:$F,2,0)))</f>
        <v>0</v>
      </c>
      <c r="KI18" s="409"/>
      <c r="KJ18" s="398">
        <f>IF(KI18=0,0,IF(LEN(JV18)=11,_xlfn.XLOOKUP(JV18,'Dispensed Ink Rates'!C:C,'Dispensed Ink Rates'!CS:CS),VLOOKUP(JV18,'Jan-2026 rates'!$E:$F,2,0)))</f>
        <v>0</v>
      </c>
      <c r="KK18" s="409"/>
      <c r="KL18" s="398">
        <f>IF(KK18=0,0,IF(LEN(JW18)=11,_xlfn.XLOOKUP(JW18,'Dispensed Ink Rates'!C:C,'Dispensed Ink Rates'!CS:CS),VLOOKUP(JW18,'Jan-2026 rates'!$E:$F,2,0)))</f>
        <v>0</v>
      </c>
      <c r="KM18" s="428"/>
      <c r="KN18" s="398">
        <f>IF(KM18=0,0,IF(LEN(JX18)=11,_xlfn.XLOOKUP(JX18,'Dispensed Ink Rates'!C:C,'Dispensed Ink Rates'!CS:CS),VLOOKUP(JX18,'Jan-2026 rates'!$E:$F,2,0)))</f>
        <v>0</v>
      </c>
      <c r="KO18" s="409"/>
      <c r="KP18" s="409"/>
      <c r="KQ18" s="411">
        <f t="shared" si="29"/>
        <v>0</v>
      </c>
      <c r="KR18" s="411">
        <f t="shared" si="30"/>
        <v>0</v>
      </c>
      <c r="KS18" s="410">
        <f t="shared" si="31"/>
        <v>0</v>
      </c>
      <c r="KT18" s="409">
        <f>10+5</f>
        <v>15</v>
      </c>
      <c r="KU18" s="409">
        <f>6+2+13</f>
        <v>21</v>
      </c>
      <c r="KV18" s="409">
        <f>25+20+10</f>
        <v>55</v>
      </c>
      <c r="KW18" s="409">
        <v>2</v>
      </c>
      <c r="KX18" s="409">
        <v>3</v>
      </c>
      <c r="KY18" s="409">
        <f>3+10+5</f>
        <v>18</v>
      </c>
      <c r="KZ18" s="409">
        <f>120+120</f>
        <v>240</v>
      </c>
      <c r="LA18" s="409">
        <v>0</v>
      </c>
      <c r="LB18" s="415">
        <v>0.3</v>
      </c>
      <c r="LC18" s="415"/>
      <c r="LD18" s="415"/>
      <c r="LE18" s="415">
        <v>0.5</v>
      </c>
      <c r="LF18" s="415">
        <v>0.2</v>
      </c>
      <c r="LG18" s="409">
        <v>0</v>
      </c>
      <c r="LH18" s="409">
        <f>240+199+114+190+5+5+5+5+76</f>
        <v>839</v>
      </c>
      <c r="LI18" s="409">
        <v>0</v>
      </c>
      <c r="LJ18" s="409">
        <v>0</v>
      </c>
      <c r="LK18" s="416">
        <f t="shared" si="32"/>
        <v>839</v>
      </c>
      <c r="LL18" s="416">
        <f t="shared" si="33"/>
        <v>839</v>
      </c>
      <c r="LM18" s="417">
        <f t="shared" si="34"/>
        <v>251.7</v>
      </c>
      <c r="LN18" s="417">
        <f>VLOOKUP($LM$8,'Jan-2026 rates'!$H:$I,2,0)</f>
        <v>0</v>
      </c>
      <c r="LO18" s="417">
        <f t="shared" si="35"/>
        <v>0</v>
      </c>
      <c r="LP18" s="417">
        <f>VLOOKUP($LO$8,'Jan-2026 rates'!$H:$I,2,0)</f>
        <v>0</v>
      </c>
      <c r="LQ18" s="417">
        <f t="shared" si="36"/>
        <v>0</v>
      </c>
      <c r="LR18" s="417">
        <f>VLOOKUP($LQ$8,'Jan-2026 rates'!$H:$I,2,0)</f>
        <v>0</v>
      </c>
      <c r="LS18" s="417">
        <f t="shared" si="37"/>
        <v>419.5</v>
      </c>
      <c r="LT18" s="417">
        <f>VLOOKUP($LS$8,'Jan-2026 rates'!$H:$I,2,0)</f>
        <v>0</v>
      </c>
      <c r="LU18" s="417">
        <f t="shared" si="38"/>
        <v>167.8</v>
      </c>
      <c r="LV18" s="417">
        <f>VLOOKUP($LU$8,'Jan-2026 rates'!$H:$I,2,0)</f>
        <v>0</v>
      </c>
      <c r="LW18" s="417">
        <f t="shared" si="39"/>
        <v>0</v>
      </c>
      <c r="LX18" s="417">
        <f t="shared" si="40"/>
        <v>0</v>
      </c>
      <c r="LY18" s="418">
        <f t="shared" si="41"/>
        <v>0</v>
      </c>
      <c r="LZ18" s="417"/>
      <c r="MA18" s="435">
        <f t="shared" si="42"/>
        <v>781</v>
      </c>
      <c r="MB18" s="282">
        <f t="shared" si="43"/>
        <v>1658</v>
      </c>
      <c r="MC18" s="283" t="s">
        <v>1947</v>
      </c>
      <c r="MD18" s="284" t="str">
        <f t="shared" si="44"/>
        <v>ToyoLiToyoLiToyoLiToyoLiToyoLiToyoLiToyoLi</v>
      </c>
      <c r="ME18" s="293" t="str">
        <f t="shared" si="45"/>
        <v>+</v>
      </c>
      <c r="MF18" s="293" t="str">
        <f t="shared" si="46"/>
        <v>+</v>
      </c>
      <c r="MG18" s="293" t="str">
        <f t="shared" si="47"/>
        <v>+</v>
      </c>
      <c r="MH18" s="293" t="str">
        <f t="shared" si="48"/>
        <v>+</v>
      </c>
      <c r="MI18" s="293" t="str">
        <f t="shared" si="49"/>
        <v>+</v>
      </c>
      <c r="MJ18" s="293" t="str">
        <f t="shared" si="50"/>
        <v>+</v>
      </c>
      <c r="MK18" s="293" t="str">
        <f t="shared" si="51"/>
        <v>+</v>
      </c>
      <c r="ML18" s="293" t="str">
        <f t="shared" si="52"/>
        <v>NIL</v>
      </c>
      <c r="MM18" s="3" t="b">
        <f t="array" ref="MM18">OR(ME18:ML18="-")</f>
        <v>0</v>
      </c>
      <c r="MN18" s="285"/>
      <c r="MO18" s="401"/>
      <c r="MP18" s="286"/>
      <c r="MQ18" s="286"/>
      <c r="MR18" s="402"/>
      <c r="MS18" s="400"/>
      <c r="NH18" s="422"/>
      <c r="NJ18" s="421"/>
    </row>
    <row r="19" spans="1:374" s="1" customFormat="1" ht="16.5">
      <c r="A19" s="403">
        <v>46025</v>
      </c>
      <c r="B19" s="404" t="s">
        <v>1015</v>
      </c>
      <c r="C19" s="405" t="s">
        <v>2647</v>
      </c>
      <c r="D19" s="406" t="s">
        <v>1948</v>
      </c>
      <c r="E19" s="404">
        <v>126</v>
      </c>
      <c r="F19" s="407">
        <v>6800</v>
      </c>
      <c r="G19" s="407" t="s">
        <v>1016</v>
      </c>
      <c r="H19" s="408" t="s">
        <v>1017</v>
      </c>
      <c r="I19" s="409">
        <v>2.14</v>
      </c>
      <c r="J19" s="405" t="s">
        <v>543</v>
      </c>
      <c r="K19" s="404" t="s">
        <v>2648</v>
      </c>
      <c r="L19" s="419" t="str">
        <f t="shared" si="0"/>
        <v>ToyoLi - BLACK</v>
      </c>
      <c r="M19" s="404">
        <f>16+15</f>
        <v>31</v>
      </c>
      <c r="N19" s="410">
        <f>IF(M19=0,0,IF($LB19=70%,VLOOKUP($L19,'Jan-2026 rates'!$L:$R,4,0),IF($LB19=65%,VLOOKUP($L19,'Jan-2026 rates'!$L:$R,4,0),IF($LB19=40%,VLOOKUP($L19,'Jan-2026 rates'!$L:$R,5,0),IF($LB19=30%,VLOOKUP($L19,'Jan-2026 rates'!$L:$R,6,0),IF($LB19=100%,VLOOKUP($L19,'Jan-2026 rates'!$L:$R,7,0),IF($LB19=60%,VLOOKUP($L19,'Jan-2026 rates'!$L:$S,8,0),IF($LB19=80%,VLOOKUP($L19,'Jan-2026 rates'!L:T,9,0),0))))))))</f>
        <v>0</v>
      </c>
      <c r="O19" s="406"/>
      <c r="P19" s="404"/>
      <c r="Q19" s="410">
        <f>IF(P19=0,0,IF($LB19=70%,VLOOKUP($L19,'Jan-2026 rates'!$L:$R,4,0),IF($LB19=65%,VLOOKUP($L19,'Jan-2026 rates'!$L:$R,4,0),IF($LB19=40%,VLOOKUP($L19,'Jan-2026 rates'!$L:$R,5,0),IF($LB19=30%,VLOOKUP($L19,'Jan-2026 rates'!$L:$R,6,0),IF($LB19=100%,VLOOKUP($L19,'Jan-2026 rates'!$L:$R,7,0),IF($LB19=60%,VLOOKUP($L19,'Jan-2026 rates'!$L:$S,8,0),IF($LB19=80%,VLOOKUP($L19,'Jan-2026 rates'!L:T,9,0),0))))))))</f>
        <v>0</v>
      </c>
      <c r="R19" s="406" t="s">
        <v>1252</v>
      </c>
      <c r="S19" s="406"/>
      <c r="T19" s="406"/>
      <c r="U19" s="406"/>
      <c r="V19" s="406"/>
      <c r="W19" s="406"/>
      <c r="X19" s="406"/>
      <c r="Y19" s="406"/>
      <c r="Z19" s="404">
        <v>3</v>
      </c>
      <c r="AA19" s="398">
        <f>IF(Z19=0,0,IF(LEN(R19)=11,_xlfn.XLOOKUP(R19,'Dispensed Ink Rates'!C:C,'Dispensed Ink Rates'!CS:CS),VLOOKUP(R19,'Jan-2026 rates'!$E:$F,2,0)))</f>
        <v>0</v>
      </c>
      <c r="AB19" s="404"/>
      <c r="AC19" s="398">
        <f>IF(AB19=0,0,IF(LEN(S19)=11,_xlfn.XLOOKUP(S19,'Dispensed Ink Rates'!C:C,'Dispensed Ink Rates'!CS:CS),VLOOKUP(S19,'Jan-2026 rates'!$E:$F,2,0)))</f>
        <v>0</v>
      </c>
      <c r="AD19" s="404"/>
      <c r="AE19" s="398">
        <f>IF(AD19=0,0,IF(LEN(T19)=11,_xlfn.XLOOKUP(T19,'Dispensed Ink Rates'!C:C,'Dispensed Ink Rates'!CS:CS),VLOOKUP(T19,'Jan-2026 rates'!$E:$F,2,0)))</f>
        <v>0</v>
      </c>
      <c r="AF19" s="404"/>
      <c r="AG19" s="398">
        <f>IF(AF19=0,0,IF(LEN(U19)=11,_xlfn.XLOOKUP(U19,'Dispensed Ink Rates'!C:C,'Dispensed Ink Rates'!CS:CS),VLOOKUP(U19,'Jan-2026 rates'!$E:$F,2,0)))</f>
        <v>0</v>
      </c>
      <c r="AH19" s="404"/>
      <c r="AI19" s="398">
        <f>IF(AH19=0,0,IF(LEN(V19)=11,_xlfn.XLOOKUP(V19,'Dispensed Ink Rates'!C:C,'Dispensed Ink Rates'!CS:CS),VLOOKUP(V19,'Jan-2026 rates'!$E:$F,2,0)))</f>
        <v>0</v>
      </c>
      <c r="AJ19" s="404"/>
      <c r="AK19" s="398">
        <f>IF(AJ19=0,0,IF(LEN(W19)=11,_xlfn.XLOOKUP(W19,'Dispensed Ink Rates'!C:C,'Dispensed Ink Rates'!CS:CS),VLOOKUP(W19,'Jan-2026 rates'!$E:$F,2,0)))</f>
        <v>0</v>
      </c>
      <c r="AL19" s="404"/>
      <c r="AM19" s="398">
        <f>IF(AL19=0,0,IF(LEN(X19)=11,_xlfn.XLOOKUP(X19,'Dispensed Ink Rates'!C:C,'Dispensed Ink Rates'!CS:CS),VLOOKUP(X19,'Jan-2026 rates'!$E:$F,2,0)))</f>
        <v>0</v>
      </c>
      <c r="AN19" s="404"/>
      <c r="AO19" s="398">
        <f>IF(AN19=0,0,IF(LEN(Y19)=11,_xlfn.XLOOKUP(Y19,'Dispensed Ink Rates'!C:C,'Dispensed Ink Rates'!CS:CS),VLOOKUP(Y19,'Jan-2026 rates'!$E:$F,2,0)))</f>
        <v>0</v>
      </c>
      <c r="AP19" s="409" t="s">
        <v>1881</v>
      </c>
      <c r="AQ19" s="409">
        <v>30</v>
      </c>
      <c r="AR19" s="410">
        <f t="shared" si="1"/>
        <v>0</v>
      </c>
      <c r="AS19" s="411">
        <f t="shared" si="2"/>
        <v>7.6000000000000014</v>
      </c>
      <c r="AT19" s="410">
        <f t="shared" si="3"/>
        <v>0</v>
      </c>
      <c r="AU19" s="405" t="s">
        <v>543</v>
      </c>
      <c r="AV19" s="409" t="s">
        <v>2422</v>
      </c>
      <c r="AW19" s="420" t="str">
        <f t="shared" si="4"/>
        <v>ToyoLi - BLACK</v>
      </c>
      <c r="AX19" s="409">
        <v>4</v>
      </c>
      <c r="AY19" s="411">
        <f>IF(AX19=0,0,IF($LB19=70%,VLOOKUP($AW19,'Jan-2026 rates'!$L:$R,4,0),IF($LB19=65%,VLOOKUP($AW19,'Jan-2026 rates'!$L:$R,4,0),IF($LB19=40%,VLOOKUP($AW19,'Jan-2026 rates'!$L:$R,5,0),IF($LB19=30%,VLOOKUP($AW19,'Jan-2026 rates'!$L:$R,6,0),IF($LB19=100%,VLOOKUP($AW19,'Jan-2026 rates'!$L:$R,7,0),IF($LB19=60%,VLOOKUP($AW19,'Jan-2026 rates'!$L:$S,8,0),IF($LB19=80%,VLOOKUP($AW19,'Jan-2026 rates'!L:T,9,0),0))))))))</f>
        <v>0</v>
      </c>
      <c r="AZ19" s="412" t="s">
        <v>2649</v>
      </c>
      <c r="BA19" s="409">
        <f>4+8</f>
        <v>12</v>
      </c>
      <c r="BB19" s="411">
        <f>IF(BA19=0,0,IF($LB19=70%,VLOOKUP($AW19,'Jan-2026 rates'!$L:$R,4,0),IF($LB19=65%,VLOOKUP($AW19,'Jan-2026 rates'!$L:$R,4,0),IF($LB19=40%,VLOOKUP($AW19,'Jan-2026 rates'!$L:$R,5,0),IF($LB19=30%,VLOOKUP($AW19,'Jan-2026 rates'!$L:$R,6,0),IF($LB19=100%,VLOOKUP($AW19,'Jan-2026 rates'!$L:$R,7,0),IF($LB19=60%,VLOOKUP($AW19,'Jan-2026 rates'!$L:$S,8,0),IF($LB19=80%,VLOOKUP($AW19,'Jan-2026 rates'!L:T,9,0),0))))))))</f>
        <v>0</v>
      </c>
      <c r="BC19" s="413" t="s">
        <v>1246</v>
      </c>
      <c r="BD19" s="412" t="s">
        <v>1248</v>
      </c>
      <c r="BE19" s="412"/>
      <c r="BF19" s="413"/>
      <c r="BG19" s="412"/>
      <c r="BH19" s="412"/>
      <c r="BI19" s="412"/>
      <c r="BJ19" s="412"/>
      <c r="BK19" s="409">
        <f>4+3</f>
        <v>7</v>
      </c>
      <c r="BL19" s="398">
        <f>IF(BK19=0,0,IF(LEN(BC19)=11,_xlfn.XLOOKUP(BC19,'Dispensed Ink Rates'!C:C,'Dispensed Ink Rates'!CS:CS),VLOOKUP(BC19,'Jan-2026 rates'!$E:$F,2,0)))</f>
        <v>0</v>
      </c>
      <c r="BM19" s="409">
        <f>3+2</f>
        <v>5</v>
      </c>
      <c r="BN19" s="398">
        <f>IF(BM19=0,0,IF(LEN(BD19)=11,_xlfn.XLOOKUP(BD19,'Dispensed Ink Rates'!C:C,'Dispensed Ink Rates'!CS:CS),VLOOKUP(BD19,'Jan-2026 rates'!$E:$F,2,0)))</f>
        <v>0</v>
      </c>
      <c r="BO19" s="409"/>
      <c r="BP19" s="398">
        <f>IF(BO19=0,0,IF(LEN(BE19)=11,_xlfn.XLOOKUP(BE19,'Dispensed Ink Rates'!C:C,'Dispensed Ink Rates'!CS:CS),VLOOKUP(BE19,'Jan-2026 rates'!$E:$F,2,0)))</f>
        <v>0</v>
      </c>
      <c r="BQ19" s="409"/>
      <c r="BR19" s="398">
        <f>IF(BQ19=0,0,IF(LEN(BF19)=11,_xlfn.XLOOKUP(BF19,'Dispensed Ink Rates'!C:C,'Dispensed Ink Rates'!CS:CS),VLOOKUP(BF19,'Jan-2026 rates'!$E:$F,2,0)))</f>
        <v>0</v>
      </c>
      <c r="BS19" s="409"/>
      <c r="BT19" s="398">
        <f>IF(BS19=0,0,IF(LEN(BG19)=11,_xlfn.XLOOKUP(BG19,'Dispensed Ink Rates'!C:C,'Dispensed Ink Rates'!CS:CS),VLOOKUP(BG19,'Jan-2026 rates'!$E:$F,2,0)))</f>
        <v>0</v>
      </c>
      <c r="BU19" s="409"/>
      <c r="BV19" s="398">
        <f>IF(BU19=0,0,IF(LEN(BH19)=11,_xlfn.XLOOKUP(BH19,'Dispensed Ink Rates'!C:C,'Dispensed Ink Rates'!CS:CS),VLOOKUP(BH19,'Jan-2026 rates'!$E:$F,2,0)))</f>
        <v>0</v>
      </c>
      <c r="BW19" s="409"/>
      <c r="BX19" s="398">
        <f>IF(BW19=0,0,IF(LEN(BI19)=11,_xlfn.XLOOKUP(BI19,'Dispensed Ink Rates'!C:C,'Dispensed Ink Rates'!CS:CS),VLOOKUP(BI19,'Jan-2026 rates'!$E:$F,2,0)))</f>
        <v>0</v>
      </c>
      <c r="BY19" s="409"/>
      <c r="BZ19" s="398">
        <f>IF(BY19=0,0,IF(LEN(BJ19)=11,_xlfn.XLOOKUP(BJ19,'Dispensed Ink Rates'!C:C,'Dispensed Ink Rates'!CS:CS),VLOOKUP(BJ19,'Jan-2026 rates'!$E:$F,2,0)))</f>
        <v>0</v>
      </c>
      <c r="CA19" s="409" t="s">
        <v>1881</v>
      </c>
      <c r="CB19" s="409">
        <f>17+15</f>
        <v>32</v>
      </c>
      <c r="CC19" s="411">
        <f t="shared" si="5"/>
        <v>0</v>
      </c>
      <c r="CD19" s="411">
        <f t="shared" si="6"/>
        <v>12.200000000000003</v>
      </c>
      <c r="CE19" s="410">
        <f t="shared" si="7"/>
        <v>0</v>
      </c>
      <c r="CF19" s="404" t="s">
        <v>855</v>
      </c>
      <c r="CG19" s="409" t="s">
        <v>2650</v>
      </c>
      <c r="CH19" s="420" t="str">
        <f t="shared" si="8"/>
        <v>ToyoLi - CYAN</v>
      </c>
      <c r="CI19" s="409">
        <v>19</v>
      </c>
      <c r="CJ19" s="411">
        <f>IF(CI19=0,0,IF($LB19=70%,VLOOKUP($CH19,'Jan-2026 rates'!$L:$R,4,0),IF($LB19=65%,VLOOKUP($CH19,'Jan-2026 rates'!$L:$R,4,0),IF($LB19=40%,VLOOKUP($CH19,'Jan-2026 rates'!$L:$R,5,0),IF($LB19=30%,VLOOKUP($CH19,'Jan-2026 rates'!$L:$R,6,0),IF($LB19=100%,VLOOKUP($CH19,'Jan-2026 rates'!$L:$R,7,0),IF($LB19=60%,VLOOKUP($CH19,'Jan-2026 rates'!$L:$S,8,0),IF($LB19=80%,VLOOKUP($CH19,'Jan-2026 rates'!L:T,9,0),0))))))))</f>
        <v>0</v>
      </c>
      <c r="CK19" s="412"/>
      <c r="CL19" s="409"/>
      <c r="CM19" s="411">
        <f>IF(CL19=0,0,IF($LB19=70%,VLOOKUP($CH19,'Jan-2026 rates'!$L:$R,4,0),IF($LB19=65%,VLOOKUP($CH19,'Jan-2026 rates'!$L:$R,4,0),IF($LB19=40%,VLOOKUP($CH19,'Jan-2026 rates'!$L:$R,5,0),IF($LB19=30%,VLOOKUP($CH19,'Jan-2026 rates'!$L:$R,6,0),IF($LB19=100%,VLOOKUP($CH19,'Jan-2026 rates'!$L:$R,7,0),IF($LB19=60%,VLOOKUP($CH19,'Jan-2026 rates'!$L:$S,8,0),IF($LB19=80%,VLOOKUP($CH19,'Jan-2026 rates'!L:T,9,0),0))))))))</f>
        <v>0</v>
      </c>
      <c r="CN19" s="426" t="s">
        <v>1921</v>
      </c>
      <c r="CO19" s="427"/>
      <c r="CP19" s="426"/>
      <c r="CQ19" s="426"/>
      <c r="CR19" s="428"/>
      <c r="CS19" s="428"/>
      <c r="CT19" s="428"/>
      <c r="CU19" s="428"/>
      <c r="CV19" s="409">
        <v>8</v>
      </c>
      <c r="CW19" s="398">
        <f>IF(CV19=0,0,IF(LEN(CN19)=11,_xlfn.XLOOKUP(CN19,'Dispensed Ink Rates'!C:C,'Dispensed Ink Rates'!CS:CS),VLOOKUP(CN19,'Jan-2026 rates'!$E:$F,2,0)))</f>
        <v>0</v>
      </c>
      <c r="CX19" s="409"/>
      <c r="CY19" s="398">
        <f>IF(CX19=0,0,IF(LEN(CO19)=11,_xlfn.XLOOKUP(CO19,'Dispensed Ink Rates'!C:C,'Dispensed Ink Rates'!CS:CS),VLOOKUP(CO19,'Jan-2026 rates'!$E:$F,2,0)))</f>
        <v>0</v>
      </c>
      <c r="CZ19" s="409"/>
      <c r="DA19" s="398">
        <f>IF(CZ19=0,0,IF(LEN(CP19)=11,_xlfn.XLOOKUP(CP19,'Dispensed Ink Rates'!C:C,'Dispensed Ink Rates'!CS:CS),VLOOKUP(CP19,'Jan-2026 rates'!$E:$F,2,0)))</f>
        <v>0</v>
      </c>
      <c r="DB19" s="409"/>
      <c r="DC19" s="398">
        <f>IF(DB19=0,0,IF(LEN(CQ19)=11,_xlfn.XLOOKUP(CQ19,'Dispensed Ink Rates'!C:C,'Dispensed Ink Rates'!CS:CS),VLOOKUP(CQ19,'Jan-2026 rates'!$E:$F,2,0)))</f>
        <v>0</v>
      </c>
      <c r="DD19" s="409"/>
      <c r="DE19" s="398">
        <f>IF(DD19=0,0,IF(LEN(CR19)=11,_xlfn.XLOOKUP(CR19,'Dispensed Ink Rates'!C:C,'Dispensed Ink Rates'!CS:CS),VLOOKUP(CR19,'Jan-2026 rates'!$E:$F,2,0)))</f>
        <v>0</v>
      </c>
      <c r="DF19" s="409"/>
      <c r="DG19" s="398">
        <f>IF(DF19=0,0,IF(LEN(CS19)=11,_xlfn.XLOOKUP(CS19,'Dispensed Ink Rates'!C:C,'Dispensed Ink Rates'!CS:CS),VLOOKUP(CS19,'Jan-2026 rates'!$E:$F,2,0)))</f>
        <v>0</v>
      </c>
      <c r="DH19" s="409"/>
      <c r="DI19" s="398">
        <f>IF(DH19=0,0,IF(LEN(CT19)=11,_xlfn.XLOOKUP(CT19,'Dispensed Ink Rates'!C:C,'Dispensed Ink Rates'!CS:CS),VLOOKUP(CT19,'Jan-2026 rates'!$E:$F,2,0)))</f>
        <v>0</v>
      </c>
      <c r="DJ19" s="409"/>
      <c r="DK19" s="398">
        <f>IF(DJ19=0,0,IF(LEN(CU19)=11,_xlfn.XLOOKUP(CU19,'Dispensed Ink Rates'!C:C,'Dispensed Ink Rates'!CS:CS),VLOOKUP(CU19,'Jan-2026 rates'!$E:$F,2,0)))</f>
        <v>0</v>
      </c>
      <c r="DL19" s="409" t="s">
        <v>1881</v>
      </c>
      <c r="DM19" s="409">
        <v>28</v>
      </c>
      <c r="DN19" s="411">
        <f t="shared" si="9"/>
        <v>0</v>
      </c>
      <c r="DO19" s="411">
        <f t="shared" si="10"/>
        <v>2.6000000000000014</v>
      </c>
      <c r="DP19" s="410">
        <f t="shared" si="11"/>
        <v>0</v>
      </c>
      <c r="DQ19" s="405" t="s">
        <v>544</v>
      </c>
      <c r="DR19" s="409" t="s">
        <v>2651</v>
      </c>
      <c r="DS19" s="420" t="str">
        <f t="shared" si="12"/>
        <v>ToyoLi - MAGENTA</v>
      </c>
      <c r="DT19" s="409">
        <f>11+11</f>
        <v>22</v>
      </c>
      <c r="DU19" s="411">
        <f>IF(DT19=0,0,IF($LB19=70%,VLOOKUP($DS19,'Jan-2026 rates'!$L:$R,4,0),IF($LB19=65%,VLOOKUP($DS19,'Jan-2026 rates'!$L:$R,4,0),IF($LB19=40%,VLOOKUP($DS19,'Jan-2026 rates'!$L:$R,5,0),IF($LB19=30%,VLOOKUP($DS19,'Jan-2026 rates'!$L:$R,6,0),IF($LB19=100%,VLOOKUP($DS19,'Jan-2026 rates'!$L:$R,7,0),IF($LB19=60%,VLOOKUP($DS19,'Jan-2026 rates'!$L:$S,8,0),IF($LB19=80%,VLOOKUP($DS19,'Jan-2026 rates'!L:T,9,0),0))))))))</f>
        <v>0</v>
      </c>
      <c r="DV19" s="412"/>
      <c r="DW19" s="409"/>
      <c r="DX19" s="411">
        <f>IF(DW19=0,0,IF($LB19=70%,VLOOKUP($DS19,'Jan-2026 rates'!$L:$R,4,0),IF($LB19=65%,VLOOKUP($DS19,'Jan-2026 rates'!$L:$R,4,0),IF($LB19=40%,VLOOKUP($DS19,'Jan-2026 rates'!$L:$R,5,0),IF($LB19=30%,VLOOKUP($DS19,'Jan-2026 rates'!$L:$R,6,0),IF($LB19=100%,VLOOKUP($DS19,'Jan-2026 rates'!$L:$R,7,0),IF($LB19=60%,VLOOKUP($DS19,'Jan-2026 rates'!$L:$S,8,0),IF($LB19=80%,VLOOKUP($DS19,'Jan-2026 rates'!L:T,9,0),0))))))))</f>
        <v>0</v>
      </c>
      <c r="DY19" s="413" t="s">
        <v>1246</v>
      </c>
      <c r="DZ19" s="413"/>
      <c r="EA19" s="412"/>
      <c r="EB19" s="412"/>
      <c r="EC19" s="412"/>
      <c r="ED19" s="412"/>
      <c r="EE19" s="412"/>
      <c r="EF19" s="412"/>
      <c r="EG19" s="409">
        <v>3</v>
      </c>
      <c r="EH19" s="398">
        <f>IF(EG19=0,0,IF(LEN(DY19)=11,_xlfn.XLOOKUP(DY19,'Dispensed Ink Rates'!C:C,'Dispensed Ink Rates'!CS:CS),VLOOKUP(DY19,'Jan-2026 rates'!$E:$F,2,0)))</f>
        <v>0</v>
      </c>
      <c r="EI19" s="409"/>
      <c r="EJ19" s="398">
        <f>IF(EI19=0,0,IF(LEN(DZ19)=11,_xlfn.XLOOKUP(DZ19,'Dispensed Ink Rates'!C:C,'Dispensed Ink Rates'!CS:CS),VLOOKUP(DZ19,'Jan-2026 rates'!$E:$F,2,0)))</f>
        <v>0</v>
      </c>
      <c r="EK19" s="409"/>
      <c r="EL19" s="398">
        <f>IF(EK19=0,0,IF(LEN(EA19)=11,_xlfn.XLOOKUP(EA19,'Dispensed Ink Rates'!C:C,'Dispensed Ink Rates'!CS:CS),VLOOKUP(EA19,'Jan-2026 rates'!$E:$F,2,0)))</f>
        <v>0</v>
      </c>
      <c r="EM19" s="409"/>
      <c r="EN19" s="398">
        <f>IF(EM19=0,0,IF(LEN(EB19)=11,_xlfn.XLOOKUP(EB19,'Dispensed Ink Rates'!C:C,'Dispensed Ink Rates'!CS:CS),VLOOKUP(EB19,'Jan-2026 rates'!$E:$F,2,0)))</f>
        <v>0</v>
      </c>
      <c r="EO19" s="409"/>
      <c r="EP19" s="398">
        <f>IF(EO19=0,0,IF(LEN(EC19)=11,_xlfn.XLOOKUP(EC19,'Dispensed Ink Rates'!C:C,'Dispensed Ink Rates'!CS:CS),VLOOKUP(EC19,'Jan-2026 rates'!$E:$F,2,0)))</f>
        <v>0</v>
      </c>
      <c r="EQ19" s="409"/>
      <c r="ER19" s="398">
        <f>IF(EQ19=0,0,IF(LEN(ED19)=11,_xlfn.XLOOKUP(ED19,'Dispensed Ink Rates'!C:C,'Dispensed Ink Rates'!CS:CS),VLOOKUP(ED19,'Jan-2026 rates'!$E:$F,2,0)))</f>
        <v>0</v>
      </c>
      <c r="ES19" s="409"/>
      <c r="ET19" s="398">
        <f>IF(ES19=0,0,IF(LEN(EE19)=11,_xlfn.XLOOKUP(EE19,'Dispensed Ink Rates'!C:C,'Dispensed Ink Rates'!CS:CS),VLOOKUP(EE19,'Jan-2026 rates'!$E:$F,2,0)))</f>
        <v>0</v>
      </c>
      <c r="EU19" s="409"/>
      <c r="EV19" s="398">
        <f>IF(EU19=0,0,IF(LEN(EF19)=11,_xlfn.XLOOKUP(EF19,'Dispensed Ink Rates'!C:C,'Dispensed Ink Rates'!CS:CS),VLOOKUP(EF19,'Jan-2026 rates'!$E:$F,2,0)))</f>
        <v>0</v>
      </c>
      <c r="EW19" s="409" t="s">
        <v>1881</v>
      </c>
      <c r="EX19" s="409">
        <v>25</v>
      </c>
      <c r="EY19" s="411">
        <f t="shared" si="13"/>
        <v>0</v>
      </c>
      <c r="EZ19" s="411">
        <f t="shared" si="14"/>
        <v>3.6000000000000014</v>
      </c>
      <c r="FA19" s="410">
        <f t="shared" si="15"/>
        <v>0</v>
      </c>
      <c r="FB19" s="405" t="s">
        <v>545</v>
      </c>
      <c r="FC19" s="409" t="s">
        <v>2652</v>
      </c>
      <c r="FD19" s="420" t="str">
        <f t="shared" si="16"/>
        <v>ToyoLi - YELLOW</v>
      </c>
      <c r="FE19" s="409">
        <f>14+15</f>
        <v>29</v>
      </c>
      <c r="FF19" s="411">
        <f>IF(FE19=0,0,IF($LB19=70%,VLOOKUP($FD19,'Jan-2026 rates'!$L:$R,4,0),IF($LB19=65%,VLOOKUP($FD19,'Jan-2026 rates'!$L:$R,4,0),IF($LB19=40%,VLOOKUP($FD19,'Jan-2026 rates'!$L:$R,5,0),IF($LB19=30%,VLOOKUP($FD19,'Jan-2026 rates'!$L:$R,6,0),IF($LB19=100%,VLOOKUP($FD19,'Jan-2026 rates'!$L:$R,7,0),IF($LB19=60%,VLOOKUP($FD19,'Jan-2026 rates'!$L:$S,8,0),IF($LB19=80%,VLOOKUP($FD19,'Jan-2026 rates'!L:T,9,0),0))))))))</f>
        <v>0</v>
      </c>
      <c r="FG19" s="412"/>
      <c r="FH19" s="409"/>
      <c r="FI19" s="411">
        <f>IF(FH19=0,0,IF($LB19=70%,VLOOKUP($FD19,'Jan-2026 rates'!$L:$R,4,0),IF($LB19=65%,VLOOKUP($FD19,'Jan-2026 rates'!$L:$R,4,0),IF($LB19=40%,VLOOKUP($FD19,'Jan-2026 rates'!$L:$R,5,0),IF($LB19=30%,VLOOKUP($FD19,'Jan-2026 rates'!$L:$R,6,0),IF($LB19=100%,VLOOKUP($FD19,'Jan-2026 rates'!$L:$R,7,0),IF($LB19=60%,VLOOKUP($FD19,'Jan-2026 rates'!$L:$S,8,0),IF($LB19=80%,VLOOKUP($FD19,'Jan-2026 rates'!L:T,9,0),0))))))))</f>
        <v>0</v>
      </c>
      <c r="FJ19" s="413" t="s">
        <v>1921</v>
      </c>
      <c r="FK19" s="413"/>
      <c r="FL19" s="413"/>
      <c r="FM19" s="412"/>
      <c r="FN19" s="412"/>
      <c r="FO19" s="412"/>
      <c r="FP19" s="412"/>
      <c r="FQ19" s="412"/>
      <c r="FR19" s="409">
        <v>5</v>
      </c>
      <c r="FS19" s="398">
        <f>IF(FR19=0,0,IF(LEN(FJ19)=11,_xlfn.XLOOKUP(FJ19,'Dispensed Ink Rates'!C:C,'Dispensed Ink Rates'!CS:CS),VLOOKUP(FJ19,'Jan-2026 rates'!$E:$F,2,0)))</f>
        <v>0</v>
      </c>
      <c r="FT19" s="409"/>
      <c r="FU19" s="398">
        <f>IF(FT19=0,0,IF(LEN(FK19)=11,_xlfn.XLOOKUP(FK19,'Dispensed Ink Rates'!C:C,'Dispensed Ink Rates'!CS:CS),VLOOKUP(FK19,'Jan-2026 rates'!$E:$F,2,0)))</f>
        <v>0</v>
      </c>
      <c r="FV19" s="409"/>
      <c r="FW19" s="398">
        <f>IF(FV19=0,0,IF(LEN(FL19)=11,_xlfn.XLOOKUP(FL19,'Dispensed Ink Rates'!C:C,'Dispensed Ink Rates'!CS:CS),VLOOKUP(FL19,'Jan-2026 rates'!$E:$F,2,0)))</f>
        <v>0</v>
      </c>
      <c r="FX19" s="409"/>
      <c r="FY19" s="398">
        <f>IF(FX19=0,0,IF(LEN(FM19)=11,_xlfn.XLOOKUP(FM19,'Dispensed Ink Rates'!C:C,'Dispensed Ink Rates'!CS:CS),VLOOKUP(FM19,'Jan-2026 rates'!$E:$F,2,0)))</f>
        <v>0</v>
      </c>
      <c r="FZ19" s="409"/>
      <c r="GA19" s="398">
        <f>IF(FZ19=0,0,IF(LEN(FN19)=11,_xlfn.XLOOKUP(FN19,'Dispensed Ink Rates'!C:C,'Dispensed Ink Rates'!CS:CS),VLOOKUP(FN19,'Jan-2026 rates'!$E:$F,2,0)))</f>
        <v>0</v>
      </c>
      <c r="GB19" s="409"/>
      <c r="GC19" s="398">
        <f>IF(GB19=0,0,IF(LEN(FO19)=11,_xlfn.XLOOKUP(FO19,'Dispensed Ink Rates'!C:C,'Dispensed Ink Rates'!CS:CS),VLOOKUP(FO19,'Jan-2026 rates'!$E:$F,2,0)))</f>
        <v>0</v>
      </c>
      <c r="GD19" s="409"/>
      <c r="GE19" s="398">
        <f>IF(GD19=0,0,IF(LEN(FP19)=11,_xlfn.XLOOKUP(FP19,'Dispensed Ink Rates'!C:C,'Dispensed Ink Rates'!CS:CS),VLOOKUP(FP19,'Jan-2026 rates'!$E:$F,2,0)))</f>
        <v>0</v>
      </c>
      <c r="GF19" s="409"/>
      <c r="GG19" s="398">
        <f>IF(GF19=0,0,IF(LEN(FQ19)=11,_xlfn.XLOOKUP(FQ19,'Dispensed Ink Rates'!C:C,'Dispensed Ink Rates'!CS:CS),VLOOKUP(FQ19,'Jan-2026 rates'!$E:$F,2,0)))</f>
        <v>0</v>
      </c>
      <c r="GH19" s="409" t="s">
        <v>1881</v>
      </c>
      <c r="GI19" s="409">
        <v>24</v>
      </c>
      <c r="GJ19" s="411">
        <f t="shared" si="17"/>
        <v>0</v>
      </c>
      <c r="GK19" s="411">
        <f t="shared" si="18"/>
        <v>19</v>
      </c>
      <c r="GL19" s="410">
        <f t="shared" si="19"/>
        <v>0</v>
      </c>
      <c r="GM19" s="405" t="s">
        <v>856</v>
      </c>
      <c r="GN19" s="409" t="s">
        <v>2653</v>
      </c>
      <c r="GO19" s="420" t="str">
        <f t="shared" si="20"/>
        <v>ToyoLi - WHITE</v>
      </c>
      <c r="GP19" s="409">
        <v>30</v>
      </c>
      <c r="GQ19" s="411">
        <f>IF(GP19=0,0,IF($LB19=70%,VLOOKUP($GO19,'Jan-2026 rates'!$L:$R,4,0),IF($LB19=65%,VLOOKUP($GO19,'Jan-2026 rates'!$L:$R,4,0),IF($LB19=40%,VLOOKUP($GO19,'Jan-2026 rates'!$L:$R,5,0),IF($LB19=30%,VLOOKUP($GO19,'Jan-2026 rates'!$L:$R,6,0),IF($LB19=100%,VLOOKUP($GO19,'Jan-2026 rates'!$L:$R,7,0),IF($LB19=60%,VLOOKUP($GO19,'Jan-2026 rates'!$L:$S,8,0),IF($LB19=80%,VLOOKUP($GO19,'Jan-2026 rates'!L:T,9,0),0))))))))</f>
        <v>0</v>
      </c>
      <c r="GR19" s="412"/>
      <c r="GS19" s="409"/>
      <c r="GT19" s="411">
        <f>IF(GS19=0,0,IF($LB19=70%,VLOOKUP($GO19,'Jan-2026 rates'!$L:$R,4,0),IF($LB19=65%,VLOOKUP($GO19,'Jan-2026 rates'!$L:$R,4,0),IF($LB19=40%,VLOOKUP($GO19,'Jan-2026 rates'!$L:$R,5,0),IF($LB19=30%,VLOOKUP($GO19,'Jan-2026 rates'!$L:$R,6,0),IF($LB19=100%,VLOOKUP($GO19,'Jan-2026 rates'!$L:$R,7,0),IF($LB19=60%,VLOOKUP($GO19,'Jan-2026 rates'!$L:$S,8,0),IF($LB19=80%,VLOOKUP($GO19,'Jan-2026 rates'!L:T,9,0),0))))))))</f>
        <v>0</v>
      </c>
      <c r="GU19" s="413" t="s">
        <v>1249</v>
      </c>
      <c r="GV19" s="413"/>
      <c r="GW19" s="412"/>
      <c r="GX19" s="412"/>
      <c r="GY19" s="412"/>
      <c r="GZ19" s="412"/>
      <c r="HA19" s="412"/>
      <c r="HB19" s="412"/>
      <c r="HC19" s="409">
        <v>30</v>
      </c>
      <c r="HD19" s="398">
        <f>IF(HC19=0,0,IF(LEN(GU19)=11,_xlfn.XLOOKUP(GU19,'Dispensed Ink Rates'!C:C,'Dispensed Ink Rates'!CS:CS),VLOOKUP(GU19,'Jan-2026 rates'!$E:$F,2,0)))</f>
        <v>0</v>
      </c>
      <c r="HE19" s="409"/>
      <c r="HF19" s="398">
        <f>IF(HE19=0,0,IF(LEN(GV19)=11,_xlfn.XLOOKUP(GV19,'Dispensed Ink Rates'!C:C,'Dispensed Ink Rates'!CS:CS),VLOOKUP(GV19,'Jan-2026 rates'!$E:$F,2,0)))</f>
        <v>0</v>
      </c>
      <c r="HG19" s="409"/>
      <c r="HH19" s="398">
        <f>IF(HG19=0,0,IF(LEN(GW19)=11,_xlfn.XLOOKUP(GW19,'Dispensed Ink Rates'!C:C,'Dispensed Ink Rates'!CS:CS),VLOOKUP(GW19,'Jan-2026 rates'!$E:$F,2,0)))</f>
        <v>0</v>
      </c>
      <c r="HI19" s="409"/>
      <c r="HJ19" s="398">
        <f>IF(HI19=0,0,IF(LEN(GX19)=11,_xlfn.XLOOKUP(GX19,'Dispensed Ink Rates'!C:C,'Dispensed Ink Rates'!CS:CS),VLOOKUP(GX19,'Jan-2026 rates'!$E:$F,2,0)))</f>
        <v>0</v>
      </c>
      <c r="HK19" s="409"/>
      <c r="HL19" s="398">
        <f>IF(HK19=0,0,IF(LEN(GY19)=11,_xlfn.XLOOKUP(GY19,'Dispensed Ink Rates'!C:C,'Dispensed Ink Rates'!CS:CS),VLOOKUP(GY19,'Jan-2026 rates'!$E:$F,2,0)))</f>
        <v>0</v>
      </c>
      <c r="HM19" s="409"/>
      <c r="HN19" s="398">
        <f>IF(HM19=0,0,IF(LEN(GZ19)=11,_xlfn.XLOOKUP(GZ19,'Dispensed Ink Rates'!C:C,'Dispensed Ink Rates'!CS:CS),VLOOKUP(GZ19,'Jan-2026 rates'!$E:$F,2,0)))</f>
        <v>0</v>
      </c>
      <c r="HO19" s="409"/>
      <c r="HP19" s="398">
        <f>IF(HO19=0,0,IF(LEN(HA19)=11,_xlfn.XLOOKUP(HA19,'Dispensed Ink Rates'!C:C,'Dispensed Ink Rates'!CS:CS),VLOOKUP(HA19,'Jan-2026 rates'!$E:$F,2,0)))</f>
        <v>0</v>
      </c>
      <c r="HQ19" s="409"/>
      <c r="HR19" s="398">
        <f>IF(HQ19=0,0,IF(LEN(HB19)=11,_xlfn.XLOOKUP(HB19,'Dispensed Ink Rates'!C:C,'Dispensed Ink Rates'!CS:CS),VLOOKUP(HB19,'Jan-2026 rates'!$E:$F,2,0)))</f>
        <v>0</v>
      </c>
      <c r="HS19" s="409" t="s">
        <v>1881</v>
      </c>
      <c r="HT19" s="409">
        <v>30</v>
      </c>
      <c r="HU19" s="411">
        <f t="shared" si="21"/>
        <v>0</v>
      </c>
      <c r="HV19" s="411">
        <f t="shared" si="22"/>
        <v>57</v>
      </c>
      <c r="HW19" s="414">
        <f t="shared" si="23"/>
        <v>0</v>
      </c>
      <c r="HX19" s="405"/>
      <c r="HY19" s="409"/>
      <c r="HZ19" s="420" t="str">
        <f t="shared" si="24"/>
        <v xml:space="preserve"> - </v>
      </c>
      <c r="IA19" s="409"/>
      <c r="IB19" s="411">
        <f>IF(IA19=0,0,IF($LB19=70%,VLOOKUP($HZ19,'Jan-2026 rates'!$L:$R,4,0),IF($LB19=65%,VLOOKUP($HZ19,'Jan-2026 rates'!$L:$R,4,0),IF($LB19=40%,VLOOKUP($HZ19,'Jan-2026 rates'!$L:$R,5,0),IF($LB19=30%,VLOOKUP($HZ19,'Jan-2026 rates'!$L:$R,6,0),IF($LB19=100%,VLOOKUP($HZ19,'Jan-2026 rates'!$L:$R,7,0),IF($LB19=60%,VLOOKUP($HZ19,'Jan-2026 rates'!$L:$S,8,0),IF($LB19=80%,VLOOKUP($HZ19,'Jan-2026 rates'!L:T,9,0),0))))))))</f>
        <v>0</v>
      </c>
      <c r="IC19" s="412"/>
      <c r="ID19" s="409"/>
      <c r="IE19" s="411">
        <f>IF(ID19=0,0,IF($LB19=70%,VLOOKUP($HZ19,'Jan-2026 rates'!$L:$R,4,0),IF($LB19=65%,VLOOKUP($HZ19,'Jan-2026 rates'!$L:$R,4,0),IF($LB19=40%,VLOOKUP($HZ19,'Jan-2026 rates'!$L:$R,5,0),IF($LB19=30%,VLOOKUP($HZ19,'Jan-2026 rates'!$L:$R,6,0),IF($LB19=100%,VLOOKUP($HZ19,'Jan-2026 rates'!$L:$R,7,0),IF($LB19=60%,VLOOKUP($HZ19,'Jan-2026 rates'!$L:$S,8,0),IF($LB19=80%,VLOOKUP($HZ19,'Jan-2026 rates'!L:T,9,0),0))))))))</f>
        <v>0</v>
      </c>
      <c r="IF19" s="412"/>
      <c r="IG19" s="413"/>
      <c r="IH19" s="412"/>
      <c r="II19" s="412"/>
      <c r="IJ19" s="412"/>
      <c r="IK19" s="412"/>
      <c r="IL19" s="412"/>
      <c r="IM19" s="412"/>
      <c r="IN19" s="409"/>
      <c r="IO19" s="398">
        <f>IF(IN19=0,0,IF(LEN(IF19)=11,_xlfn.XLOOKUP(IF19,'Dispensed Ink Rates'!C:C,'Dispensed Ink Rates'!CS:CS),VLOOKUP(IF19,'Jan-2026 rates'!$E:$F,2,0)))</f>
        <v>0</v>
      </c>
      <c r="IP19" s="409"/>
      <c r="IQ19" s="398">
        <f>IF(IP19=0,0,IF(LEN(IG19)=11,_xlfn.XLOOKUP(IG19,'Dispensed Ink Rates'!C:C,'Dispensed Ink Rates'!CS:CS),VLOOKUP(IG19,'Jan-2026 rates'!$E:$F,2,0)))</f>
        <v>0</v>
      </c>
      <c r="IR19" s="409"/>
      <c r="IS19" s="398">
        <f>IF(IR19=0,0,IF(LEN(IH19)=11,_xlfn.XLOOKUP(IH19,'Dispensed Ink Rates'!C:C,'Dispensed Ink Rates'!CS:CS),VLOOKUP(IH19,'Jan-2026 rates'!$E:$F,2,0)))</f>
        <v>0</v>
      </c>
      <c r="IT19" s="409"/>
      <c r="IU19" s="398">
        <f>IF(IT19=0,0,IF(LEN(II19)=11,_xlfn.XLOOKUP(II19,'Dispensed Ink Rates'!C:C,'Dispensed Ink Rates'!CS:CS),VLOOKUP(II19,'Jan-2026 rates'!$E:$F,2,0)))</f>
        <v>0</v>
      </c>
      <c r="IV19" s="409"/>
      <c r="IW19" s="398">
        <f>IF(IV19=0,0,IF(LEN(IJ19)=11,_xlfn.XLOOKUP(IJ19,'Dispensed Ink Rates'!C:C,'Dispensed Ink Rates'!CS:CS),VLOOKUP(IJ19,'Jan-2026 rates'!$E:$F,2,0)))</f>
        <v>0</v>
      </c>
      <c r="IX19" s="409"/>
      <c r="IY19" s="398">
        <f>IF(IX19=0,0,IF(LEN(IK19)=11,_xlfn.XLOOKUP(IK19,'Dispensed Ink Rates'!C:C,'Dispensed Ink Rates'!CS:CS),VLOOKUP(IK19,'Jan-2026 rates'!$E:$F,2,0)))</f>
        <v>0</v>
      </c>
      <c r="IZ19" s="409"/>
      <c r="JA19" s="398">
        <f>IF(IZ19=0,0,IF(LEN(IL19)=11,_xlfn.XLOOKUP(IL19,'Dispensed Ink Rates'!C:C,'Dispensed Ink Rates'!CS:CS),VLOOKUP(IL19,'Jan-2026 rates'!$E:$F,2,0)))</f>
        <v>0</v>
      </c>
      <c r="JB19" s="409"/>
      <c r="JC19" s="398">
        <f>IF(JB19=0,0,IF(LEN(IM19)=11,_xlfn.XLOOKUP(IM19,'Dispensed Ink Rates'!C:C,'Dispensed Ink Rates'!CS:CS),VLOOKUP(IM19,'Jan-2026 rates'!$E:$F,2,0)))</f>
        <v>0</v>
      </c>
      <c r="JD19" s="409"/>
      <c r="JE19" s="409"/>
      <c r="JF19" s="411">
        <f t="shared" si="25"/>
        <v>0</v>
      </c>
      <c r="JG19" s="411">
        <f t="shared" si="26"/>
        <v>0</v>
      </c>
      <c r="JH19" s="410">
        <f t="shared" si="27"/>
        <v>0</v>
      </c>
      <c r="JI19" s="405"/>
      <c r="JJ19" s="409"/>
      <c r="JK19" s="420" t="str">
        <f t="shared" si="28"/>
        <v xml:space="preserve"> - </v>
      </c>
      <c r="JL19" s="409"/>
      <c r="JM19" s="411">
        <f>IF(JL19=0,0,IF($LB19=70%,VLOOKUP($JK19,'Jan-2026 rates'!$L:$R,4,0),IF($LB19=65%,VLOOKUP($JK19,'Jan-2026 rates'!$L:$R,4,0),IF($LB19=40%,VLOOKUP($JK19,'Jan-2026 rates'!$L:$R,5,0),IF($LB19=30%,VLOOKUP($JK19,'Jan-2026 rates'!$L:$R,6,0),IF($LB19=100%,VLOOKUP($JK19,'Jan-2026 rates'!$L:$R,7,0),IF($LB19=60%,VLOOKUP($JK19,'Jan-2026 rates'!$L:$S,8,0),IF($LB19=80%,VLOOKUP($JK19,'Jan-2026 rates'!L:T,9,0),0))))))))</f>
        <v>0</v>
      </c>
      <c r="JN19" s="412"/>
      <c r="JO19" s="409"/>
      <c r="JP19" s="411">
        <f>IF(JO19=0,0,IF($LB19=70%,VLOOKUP($JK19,'Jan-2026 rates'!$L:$R,4,0),IF($LB19=65%,VLOOKUP($JK19,'Jan-2026 rates'!$L:$R,4,0),IF($LB19=40%,VLOOKUP($JK19,'Jan-2026 rates'!$L:$R,5,0),IF($LB19=30%,VLOOKUP($JK19,'Jan-2026 rates'!$L:$R,6,0),IF($LB19=100%,VLOOKUP($JK19,'Jan-2026 rates'!$L:$R,7,0),IF($LB19=60%,VLOOKUP($JK19,'Jan-2026 rates'!$L:$S,8,0),IF($LB19=80%,VLOOKUP($JK19,'Jan-2026 rates'!L:T,9,0),0))))))))</f>
        <v>0</v>
      </c>
      <c r="JQ19" s="413"/>
      <c r="JR19" s="412"/>
      <c r="JS19" s="413"/>
      <c r="JT19" s="413"/>
      <c r="JU19" s="412"/>
      <c r="JV19" s="412"/>
      <c r="JW19" s="412"/>
      <c r="JX19" s="412"/>
      <c r="JY19" s="409"/>
      <c r="JZ19" s="398">
        <f>IF(JY19=0,0,IF(LEN(JQ19)=11,_xlfn.XLOOKUP(JQ19,'Dispensed Ink Rates'!C:C,'Dispensed Ink Rates'!CS:CS),VLOOKUP(JQ19,'Jan-2026 rates'!$E:$F,2,0)))</f>
        <v>0</v>
      </c>
      <c r="KA19" s="409"/>
      <c r="KB19" s="398">
        <f>IF(KA19=0,0,IF(LEN(JR19)=11,_xlfn.XLOOKUP(JR19,'Dispensed Ink Rates'!C:C,'Dispensed Ink Rates'!CS:CS),VLOOKUP(JR19,'Jan-2026 rates'!$E:$F,2,0)))</f>
        <v>0</v>
      </c>
      <c r="KC19" s="409"/>
      <c r="KD19" s="398">
        <f>IF(KC19=0,0,IF(LEN(JS19)=11,_xlfn.XLOOKUP(JS19,'Dispensed Ink Rates'!C:C,'Dispensed Ink Rates'!CS:CS),VLOOKUP(JS19,'Jan-2026 rates'!$E:$F,2,0)))</f>
        <v>0</v>
      </c>
      <c r="KE19" s="409"/>
      <c r="KF19" s="398">
        <f>IF(KE19=0,0,IF(LEN(JT19)=11,_xlfn.XLOOKUP(JT19,'Dispensed Ink Rates'!C:C,'Dispensed Ink Rates'!CS:CS),VLOOKUP(JT19,'Jan-2026 rates'!$E:$F,2,0)))</f>
        <v>0</v>
      </c>
      <c r="KG19" s="409"/>
      <c r="KH19" s="398">
        <f>IF(KG19=0,0,IF(LEN(JU19)=11,_xlfn.XLOOKUP(JU19,'Dispensed Ink Rates'!C:C,'Dispensed Ink Rates'!CS:CS),VLOOKUP(JU19,'Jan-2026 rates'!$E:$F,2,0)))</f>
        <v>0</v>
      </c>
      <c r="KI19" s="409"/>
      <c r="KJ19" s="398">
        <f>IF(KI19=0,0,IF(LEN(JV19)=11,_xlfn.XLOOKUP(JV19,'Dispensed Ink Rates'!C:C,'Dispensed Ink Rates'!CS:CS),VLOOKUP(JV19,'Jan-2026 rates'!$E:$F,2,0)))</f>
        <v>0</v>
      </c>
      <c r="KK19" s="409"/>
      <c r="KL19" s="398">
        <f>IF(KK19=0,0,IF(LEN(JW19)=11,_xlfn.XLOOKUP(JW19,'Dispensed Ink Rates'!C:C,'Dispensed Ink Rates'!CS:CS),VLOOKUP(JW19,'Jan-2026 rates'!$E:$F,2,0)))</f>
        <v>0</v>
      </c>
      <c r="KM19" s="428"/>
      <c r="KN19" s="398">
        <f>IF(KM19=0,0,IF(LEN(JX19)=11,_xlfn.XLOOKUP(JX19,'Dispensed Ink Rates'!C:C,'Dispensed Ink Rates'!CS:CS),VLOOKUP(JX19,'Jan-2026 rates'!$E:$F,2,0)))</f>
        <v>0</v>
      </c>
      <c r="KO19" s="409"/>
      <c r="KP19" s="409"/>
      <c r="KQ19" s="411">
        <f t="shared" si="29"/>
        <v>0</v>
      </c>
      <c r="KR19" s="411">
        <f t="shared" si="30"/>
        <v>0</v>
      </c>
      <c r="KS19" s="410">
        <f t="shared" si="31"/>
        <v>0</v>
      </c>
      <c r="KT19" s="409">
        <v>2</v>
      </c>
      <c r="KU19" s="409">
        <f>5+4</f>
        <v>9</v>
      </c>
      <c r="KV19" s="409">
        <v>2</v>
      </c>
      <c r="KW19" s="409">
        <v>2</v>
      </c>
      <c r="KX19" s="409">
        <v>5</v>
      </c>
      <c r="KY19" s="409">
        <v>15</v>
      </c>
      <c r="KZ19" s="409">
        <v>0</v>
      </c>
      <c r="LA19" s="409">
        <v>0</v>
      </c>
      <c r="LB19" s="415">
        <v>0.3</v>
      </c>
      <c r="LC19" s="415"/>
      <c r="LD19" s="415"/>
      <c r="LE19" s="415">
        <v>0.5</v>
      </c>
      <c r="LF19" s="415">
        <v>0.2</v>
      </c>
      <c r="LG19" s="409">
        <v>0</v>
      </c>
      <c r="LH19" s="409">
        <f>15+10+9+15+5+3+6</f>
        <v>63</v>
      </c>
      <c r="LI19" s="409">
        <v>0</v>
      </c>
      <c r="LJ19" s="409">
        <v>0</v>
      </c>
      <c r="LK19" s="416">
        <f t="shared" si="32"/>
        <v>63</v>
      </c>
      <c r="LL19" s="416">
        <f t="shared" si="33"/>
        <v>63</v>
      </c>
      <c r="LM19" s="417">
        <f t="shared" si="34"/>
        <v>18.899999999999999</v>
      </c>
      <c r="LN19" s="417">
        <f>VLOOKUP($LM$8,'Jan-2026 rates'!$H:$I,2,0)</f>
        <v>0</v>
      </c>
      <c r="LO19" s="417">
        <f t="shared" si="35"/>
        <v>0</v>
      </c>
      <c r="LP19" s="417">
        <f>VLOOKUP($LO$8,'Jan-2026 rates'!$H:$I,2,0)</f>
        <v>0</v>
      </c>
      <c r="LQ19" s="417">
        <f t="shared" si="36"/>
        <v>0</v>
      </c>
      <c r="LR19" s="417">
        <f>VLOOKUP($LQ$8,'Jan-2026 rates'!$H:$I,2,0)</f>
        <v>0</v>
      </c>
      <c r="LS19" s="417">
        <f t="shared" si="37"/>
        <v>31.5</v>
      </c>
      <c r="LT19" s="417">
        <f>VLOOKUP($LS$8,'Jan-2026 rates'!$H:$I,2,0)</f>
        <v>0</v>
      </c>
      <c r="LU19" s="417">
        <f t="shared" si="38"/>
        <v>12.600000000000001</v>
      </c>
      <c r="LV19" s="417">
        <f>VLOOKUP($LU$8,'Jan-2026 rates'!$H:$I,2,0)</f>
        <v>0</v>
      </c>
      <c r="LW19" s="417">
        <f t="shared" si="39"/>
        <v>0</v>
      </c>
      <c r="LX19" s="417">
        <f t="shared" si="40"/>
        <v>0</v>
      </c>
      <c r="LY19" s="418">
        <f t="shared" si="41"/>
        <v>0</v>
      </c>
      <c r="LZ19" s="417"/>
      <c r="MA19" s="435">
        <f t="shared" si="42"/>
        <v>61</v>
      </c>
      <c r="MB19" s="282">
        <f t="shared" si="43"/>
        <v>102</v>
      </c>
      <c r="MC19" s="283" t="s">
        <v>1948</v>
      </c>
      <c r="MD19" s="284" t="str">
        <f t="shared" si="44"/>
        <v>ToyoLiToyoLiToyoLiToyoLiToyoLiToyoLi</v>
      </c>
      <c r="ME19" s="293" t="str">
        <f t="shared" si="45"/>
        <v>+</v>
      </c>
      <c r="MF19" s="293" t="str">
        <f t="shared" si="46"/>
        <v>+</v>
      </c>
      <c r="MG19" s="293" t="str">
        <f t="shared" si="47"/>
        <v>+</v>
      </c>
      <c r="MH19" s="293" t="str">
        <f t="shared" si="48"/>
        <v>+</v>
      </c>
      <c r="MI19" s="293" t="str">
        <f t="shared" si="49"/>
        <v>+</v>
      </c>
      <c r="MJ19" s="293" t="str">
        <f t="shared" si="50"/>
        <v>+</v>
      </c>
      <c r="MK19" s="293" t="str">
        <f t="shared" si="51"/>
        <v>NIL</v>
      </c>
      <c r="ML19" s="293" t="str">
        <f t="shared" si="52"/>
        <v>NIL</v>
      </c>
      <c r="MM19" s="3" t="b">
        <f t="array" ref="MM19">OR(ME19:ML19="-")</f>
        <v>0</v>
      </c>
      <c r="MN19" s="285"/>
      <c r="MO19" s="401"/>
      <c r="MP19" s="286"/>
      <c r="MQ19" s="286"/>
      <c r="MR19" s="402"/>
      <c r="MS19" s="400"/>
      <c r="NH19" s="422"/>
      <c r="NJ19" s="421"/>
    </row>
    <row r="20" spans="1:374" s="1" customFormat="1" ht="16.5">
      <c r="A20" s="403">
        <v>46025</v>
      </c>
      <c r="B20" s="404" t="s">
        <v>1018</v>
      </c>
      <c r="C20" s="405" t="s">
        <v>2654</v>
      </c>
      <c r="D20" s="406" t="s">
        <v>1949</v>
      </c>
      <c r="E20" s="404">
        <v>77</v>
      </c>
      <c r="F20" s="407">
        <v>3500</v>
      </c>
      <c r="G20" s="407" t="s">
        <v>1016</v>
      </c>
      <c r="H20" s="408" t="s">
        <v>1017</v>
      </c>
      <c r="I20" s="409">
        <v>1.99</v>
      </c>
      <c r="J20" s="405" t="s">
        <v>546</v>
      </c>
      <c r="K20" s="404" t="s">
        <v>2655</v>
      </c>
      <c r="L20" s="419" t="str">
        <f t="shared" si="0"/>
        <v>ToyoLi - REFLEX BLUE</v>
      </c>
      <c r="M20" s="404">
        <v>19</v>
      </c>
      <c r="N20" s="410">
        <f>IF(M20=0,0,IF($LB20=70%,VLOOKUP($L20,'Jan-2026 rates'!$L:$R,4,0),IF($LB20=65%,VLOOKUP($L20,'Jan-2026 rates'!$L:$R,4,0),IF($LB20=40%,VLOOKUP($L20,'Jan-2026 rates'!$L:$R,5,0),IF($LB20=30%,VLOOKUP($L20,'Jan-2026 rates'!$L:$R,6,0),IF($LB20=100%,VLOOKUP($L20,'Jan-2026 rates'!$L:$R,7,0),IF($LB20=60%,VLOOKUP($L20,'Jan-2026 rates'!$L:$S,8,0),IF($LB20=80%,VLOOKUP($L20,'Jan-2026 rates'!L:T,9,0),0))))))))</f>
        <v>0</v>
      </c>
      <c r="O20" s="406" t="s">
        <v>2265</v>
      </c>
      <c r="P20" s="404">
        <v>6</v>
      </c>
      <c r="Q20" s="410">
        <f>IF(P20=0,0,IF($LB20=70%,VLOOKUP($L20,'Jan-2026 rates'!$L:$R,4,0),IF($LB20=65%,VLOOKUP($L20,'Jan-2026 rates'!$L:$R,4,0),IF($LB20=40%,VLOOKUP($L20,'Jan-2026 rates'!$L:$R,5,0),IF($LB20=30%,VLOOKUP($L20,'Jan-2026 rates'!$L:$R,6,0),IF($LB20=100%,VLOOKUP($L20,'Jan-2026 rates'!$L:$R,7,0),IF($LB20=60%,VLOOKUP($L20,'Jan-2026 rates'!$L:$S,8,0),IF($LB20=80%,VLOOKUP($L20,'Jan-2026 rates'!L:T,9,0),0))))))))</f>
        <v>0</v>
      </c>
      <c r="R20" s="406" t="s">
        <v>1880</v>
      </c>
      <c r="S20" s="406"/>
      <c r="T20" s="406"/>
      <c r="U20" s="406"/>
      <c r="V20" s="406"/>
      <c r="W20" s="406"/>
      <c r="X20" s="406"/>
      <c r="Y20" s="406"/>
      <c r="Z20" s="404">
        <v>1</v>
      </c>
      <c r="AA20" s="398">
        <f>IF(Z20=0,0,IF(LEN(R20)=11,_xlfn.XLOOKUP(R20,'Dispensed Ink Rates'!C:C,'Dispensed Ink Rates'!CS:CS),VLOOKUP(R20,'Jan-2026 rates'!$E:$F,2,0)))</f>
        <v>0</v>
      </c>
      <c r="AB20" s="404"/>
      <c r="AC20" s="398">
        <f>IF(AB20=0,0,IF(LEN(S20)=11,_xlfn.XLOOKUP(S20,'Dispensed Ink Rates'!C:C,'Dispensed Ink Rates'!CS:CS),VLOOKUP(S20,'Jan-2026 rates'!$E:$F,2,0)))</f>
        <v>0</v>
      </c>
      <c r="AD20" s="404"/>
      <c r="AE20" s="398">
        <f>IF(AD20=0,0,IF(LEN(T20)=11,_xlfn.XLOOKUP(T20,'Dispensed Ink Rates'!C:C,'Dispensed Ink Rates'!CS:CS),VLOOKUP(T20,'Jan-2026 rates'!$E:$F,2,0)))</f>
        <v>0</v>
      </c>
      <c r="AF20" s="404"/>
      <c r="AG20" s="398">
        <f>IF(AF20=0,0,IF(LEN(U20)=11,_xlfn.XLOOKUP(U20,'Dispensed Ink Rates'!C:C,'Dispensed Ink Rates'!CS:CS),VLOOKUP(U20,'Jan-2026 rates'!$E:$F,2,0)))</f>
        <v>0</v>
      </c>
      <c r="AH20" s="404"/>
      <c r="AI20" s="398">
        <f>IF(AH20=0,0,IF(LEN(V20)=11,_xlfn.XLOOKUP(V20,'Dispensed Ink Rates'!C:C,'Dispensed Ink Rates'!CS:CS),VLOOKUP(V20,'Jan-2026 rates'!$E:$F,2,0)))</f>
        <v>0</v>
      </c>
      <c r="AJ20" s="404"/>
      <c r="AK20" s="398">
        <f>IF(AJ20=0,0,IF(LEN(W20)=11,_xlfn.XLOOKUP(W20,'Dispensed Ink Rates'!C:C,'Dispensed Ink Rates'!CS:CS),VLOOKUP(W20,'Jan-2026 rates'!$E:$F,2,0)))</f>
        <v>0</v>
      </c>
      <c r="AL20" s="404"/>
      <c r="AM20" s="398">
        <f>IF(AL20=0,0,IF(LEN(X20)=11,_xlfn.XLOOKUP(X20,'Dispensed Ink Rates'!C:C,'Dispensed Ink Rates'!CS:CS),VLOOKUP(X20,'Jan-2026 rates'!$E:$F,2,0)))</f>
        <v>0</v>
      </c>
      <c r="AN20" s="404"/>
      <c r="AO20" s="398">
        <f>IF(AN20=0,0,IF(LEN(Y20)=11,_xlfn.XLOOKUP(Y20,'Dispensed Ink Rates'!C:C,'Dispensed Ink Rates'!CS:CS),VLOOKUP(Y20,'Jan-2026 rates'!$E:$F,2,0)))</f>
        <v>0</v>
      </c>
      <c r="AP20" s="409" t="s">
        <v>1881</v>
      </c>
      <c r="AQ20" s="409">
        <f>14+7</f>
        <v>21</v>
      </c>
      <c r="AR20" s="410">
        <f t="shared" si="1"/>
        <v>0</v>
      </c>
      <c r="AS20" s="411">
        <f t="shared" si="2"/>
        <v>9.6000000000000014</v>
      </c>
      <c r="AT20" s="410">
        <f t="shared" si="3"/>
        <v>0</v>
      </c>
      <c r="AU20" s="405" t="s">
        <v>547</v>
      </c>
      <c r="AV20" s="409" t="s">
        <v>2656</v>
      </c>
      <c r="AW20" s="420" t="str">
        <f t="shared" si="4"/>
        <v>ToyoLi - GREEN</v>
      </c>
      <c r="AX20" s="409">
        <v>5</v>
      </c>
      <c r="AY20" s="411">
        <f>IF(AX20=0,0,IF($LB20=70%,VLOOKUP($AW20,'Jan-2026 rates'!$L:$R,4,0),IF($LB20=65%,VLOOKUP($AW20,'Jan-2026 rates'!$L:$R,4,0),IF($LB20=40%,VLOOKUP($AW20,'Jan-2026 rates'!$L:$R,5,0),IF($LB20=30%,VLOOKUP($AW20,'Jan-2026 rates'!$L:$R,6,0),IF($LB20=100%,VLOOKUP($AW20,'Jan-2026 rates'!$L:$R,7,0),IF($LB20=60%,VLOOKUP($AW20,'Jan-2026 rates'!$L:$S,8,0),IF($LB20=80%,VLOOKUP($AW20,'Jan-2026 rates'!L:T,9,0),0))))))))</f>
        <v>0</v>
      </c>
      <c r="AZ20" s="412" t="s">
        <v>2306</v>
      </c>
      <c r="BA20" s="409">
        <v>19</v>
      </c>
      <c r="BB20" s="411">
        <f>IF(BA20=0,0,IF($LB20=70%,VLOOKUP($AW20,'Jan-2026 rates'!$L:$R,4,0),IF($LB20=65%,VLOOKUP($AW20,'Jan-2026 rates'!$L:$R,4,0),IF($LB20=40%,VLOOKUP($AW20,'Jan-2026 rates'!$L:$R,5,0),IF($LB20=30%,VLOOKUP($AW20,'Jan-2026 rates'!$L:$R,6,0),IF($LB20=100%,VLOOKUP($AW20,'Jan-2026 rates'!$L:$R,7,0),IF($LB20=60%,VLOOKUP($AW20,'Jan-2026 rates'!$L:$S,8,0),IF($LB20=80%,VLOOKUP($AW20,'Jan-2026 rates'!L:T,9,0),0))))))))</f>
        <v>0</v>
      </c>
      <c r="BC20" s="413" t="s">
        <v>1250</v>
      </c>
      <c r="BD20" s="412" t="s">
        <v>1247</v>
      </c>
      <c r="BE20" s="412" t="s">
        <v>1252</v>
      </c>
      <c r="BF20" s="413"/>
      <c r="BG20" s="412"/>
      <c r="BH20" s="412"/>
      <c r="BI20" s="412"/>
      <c r="BJ20" s="412"/>
      <c r="BK20" s="409">
        <v>2</v>
      </c>
      <c r="BL20" s="398">
        <f>IF(BK20=0,0,IF(LEN(BC20)=11,_xlfn.XLOOKUP(BC20,'Dispensed Ink Rates'!C:C,'Dispensed Ink Rates'!CS:CS),VLOOKUP(BC20,'Jan-2026 rates'!$E:$F,2,0)))</f>
        <v>0</v>
      </c>
      <c r="BM20" s="409">
        <v>1</v>
      </c>
      <c r="BN20" s="398">
        <f>IF(BM20=0,0,IF(LEN(BD20)=11,_xlfn.XLOOKUP(BD20,'Dispensed Ink Rates'!C:C,'Dispensed Ink Rates'!CS:CS),VLOOKUP(BD20,'Jan-2026 rates'!$E:$F,2,0)))</f>
        <v>0</v>
      </c>
      <c r="BO20" s="409">
        <v>0.5</v>
      </c>
      <c r="BP20" s="398">
        <f>IF(BO20=0,0,IF(LEN(BE20)=11,_xlfn.XLOOKUP(BE20,'Dispensed Ink Rates'!C:C,'Dispensed Ink Rates'!CS:CS),VLOOKUP(BE20,'Jan-2026 rates'!$E:$F,2,0)))</f>
        <v>0</v>
      </c>
      <c r="BQ20" s="409"/>
      <c r="BR20" s="398">
        <f>IF(BQ20=0,0,IF(LEN(BF20)=11,_xlfn.XLOOKUP(BF20,'Dispensed Ink Rates'!C:C,'Dispensed Ink Rates'!CS:CS),VLOOKUP(BF20,'Jan-2026 rates'!$E:$F,2,0)))</f>
        <v>0</v>
      </c>
      <c r="BS20" s="409"/>
      <c r="BT20" s="398">
        <f>IF(BS20=0,0,IF(LEN(BG20)=11,_xlfn.XLOOKUP(BG20,'Dispensed Ink Rates'!C:C,'Dispensed Ink Rates'!CS:CS),VLOOKUP(BG20,'Jan-2026 rates'!$E:$F,2,0)))</f>
        <v>0</v>
      </c>
      <c r="BU20" s="409"/>
      <c r="BV20" s="398">
        <f>IF(BU20=0,0,IF(LEN(BH20)=11,_xlfn.XLOOKUP(BH20,'Dispensed Ink Rates'!C:C,'Dispensed Ink Rates'!CS:CS),VLOOKUP(BH20,'Jan-2026 rates'!$E:$F,2,0)))</f>
        <v>0</v>
      </c>
      <c r="BW20" s="409"/>
      <c r="BX20" s="398">
        <f>IF(BW20=0,0,IF(LEN(BI20)=11,_xlfn.XLOOKUP(BI20,'Dispensed Ink Rates'!C:C,'Dispensed Ink Rates'!CS:CS),VLOOKUP(BI20,'Jan-2026 rates'!$E:$F,2,0)))</f>
        <v>0</v>
      </c>
      <c r="BY20" s="409"/>
      <c r="BZ20" s="398">
        <f>IF(BY20=0,0,IF(LEN(BJ20)=11,_xlfn.XLOOKUP(BJ20,'Dispensed Ink Rates'!C:C,'Dispensed Ink Rates'!CS:CS),VLOOKUP(BJ20,'Jan-2026 rates'!$E:$F,2,0)))</f>
        <v>0</v>
      </c>
      <c r="CA20" s="409" t="s">
        <v>1881</v>
      </c>
      <c r="CB20" s="409">
        <f>19+10</f>
        <v>29</v>
      </c>
      <c r="CC20" s="411">
        <f t="shared" si="5"/>
        <v>0</v>
      </c>
      <c r="CD20" s="411">
        <f t="shared" si="6"/>
        <v>3.1000000000000014</v>
      </c>
      <c r="CE20" s="410">
        <f t="shared" si="7"/>
        <v>0</v>
      </c>
      <c r="CF20" s="404" t="s">
        <v>829</v>
      </c>
      <c r="CG20" s="409" t="s">
        <v>2426</v>
      </c>
      <c r="CH20" s="420" t="str">
        <f t="shared" si="8"/>
        <v>ToyoLi - MEDIUM</v>
      </c>
      <c r="CI20" s="409">
        <v>20</v>
      </c>
      <c r="CJ20" s="411">
        <f>IF(CI20=0,0,IF($LB20=70%,VLOOKUP($CH20,'Jan-2026 rates'!$L:$R,4,0),IF($LB20=65%,VLOOKUP($CH20,'Jan-2026 rates'!$L:$R,4,0),IF($LB20=40%,VLOOKUP($CH20,'Jan-2026 rates'!$L:$R,5,0),IF($LB20=30%,VLOOKUP($CH20,'Jan-2026 rates'!$L:$R,6,0),IF($LB20=100%,VLOOKUP($CH20,'Jan-2026 rates'!$L:$R,7,0),IF($LB20=60%,VLOOKUP($CH20,'Jan-2026 rates'!$L:$S,8,0),IF($LB20=80%,VLOOKUP($CH20,'Jan-2026 rates'!L:T,9,0),0))))))))</f>
        <v>0</v>
      </c>
      <c r="CK20" s="412" t="s">
        <v>2426</v>
      </c>
      <c r="CL20" s="409">
        <v>10</v>
      </c>
      <c r="CM20" s="411">
        <f>IF(CL20=0,0,IF($LB20=70%,VLOOKUP($CH20,'Jan-2026 rates'!$L:$R,4,0),IF($LB20=65%,VLOOKUP($CH20,'Jan-2026 rates'!$L:$R,4,0),IF($LB20=40%,VLOOKUP($CH20,'Jan-2026 rates'!$L:$R,5,0),IF($LB20=30%,VLOOKUP($CH20,'Jan-2026 rates'!$L:$R,6,0),IF($LB20=100%,VLOOKUP($CH20,'Jan-2026 rates'!$L:$R,7,0),IF($LB20=60%,VLOOKUP($CH20,'Jan-2026 rates'!$L:$S,8,0),IF($LB20=80%,VLOOKUP($CH20,'Jan-2026 rates'!L:T,9,0),0))))))))</f>
        <v>0</v>
      </c>
      <c r="CN20" s="426" t="s">
        <v>1921</v>
      </c>
      <c r="CO20" s="427" t="s">
        <v>1247</v>
      </c>
      <c r="CP20" s="426"/>
      <c r="CQ20" s="426"/>
      <c r="CR20" s="428"/>
      <c r="CS20" s="428"/>
      <c r="CT20" s="428"/>
      <c r="CU20" s="428"/>
      <c r="CV20" s="409">
        <v>3</v>
      </c>
      <c r="CW20" s="398">
        <f>IF(CV20=0,0,IF(LEN(CN20)=11,_xlfn.XLOOKUP(CN20,'Dispensed Ink Rates'!C:C,'Dispensed Ink Rates'!CS:CS),VLOOKUP(CN20,'Jan-2026 rates'!$E:$F,2,0)))</f>
        <v>0</v>
      </c>
      <c r="CX20" s="409">
        <v>0.5</v>
      </c>
      <c r="CY20" s="398">
        <f>IF(CX20=0,0,IF(LEN(CO20)=11,_xlfn.XLOOKUP(CO20,'Dispensed Ink Rates'!C:C,'Dispensed Ink Rates'!CS:CS),VLOOKUP(CO20,'Jan-2026 rates'!$E:$F,2,0)))</f>
        <v>0</v>
      </c>
      <c r="CZ20" s="409"/>
      <c r="DA20" s="398">
        <f>IF(CZ20=0,0,IF(LEN(CP20)=11,_xlfn.XLOOKUP(CP20,'Dispensed Ink Rates'!C:C,'Dispensed Ink Rates'!CS:CS),VLOOKUP(CP20,'Jan-2026 rates'!$E:$F,2,0)))</f>
        <v>0</v>
      </c>
      <c r="DB20" s="409"/>
      <c r="DC20" s="398">
        <f>IF(DB20=0,0,IF(LEN(CQ20)=11,_xlfn.XLOOKUP(CQ20,'Dispensed Ink Rates'!C:C,'Dispensed Ink Rates'!CS:CS),VLOOKUP(CQ20,'Jan-2026 rates'!$E:$F,2,0)))</f>
        <v>0</v>
      </c>
      <c r="DD20" s="409"/>
      <c r="DE20" s="398">
        <f>IF(DD20=0,0,IF(LEN(CR20)=11,_xlfn.XLOOKUP(CR20,'Dispensed Ink Rates'!C:C,'Dispensed Ink Rates'!CS:CS),VLOOKUP(CR20,'Jan-2026 rates'!$E:$F,2,0)))</f>
        <v>0</v>
      </c>
      <c r="DF20" s="409"/>
      <c r="DG20" s="398">
        <f>IF(DF20=0,0,IF(LEN(CS20)=11,_xlfn.XLOOKUP(CS20,'Dispensed Ink Rates'!C:C,'Dispensed Ink Rates'!CS:CS),VLOOKUP(CS20,'Jan-2026 rates'!$E:$F,2,0)))</f>
        <v>0</v>
      </c>
      <c r="DH20" s="409"/>
      <c r="DI20" s="398">
        <f>IF(DH20=0,0,IF(LEN(CT20)=11,_xlfn.XLOOKUP(CT20,'Dispensed Ink Rates'!C:C,'Dispensed Ink Rates'!CS:CS),VLOOKUP(CT20,'Jan-2026 rates'!$E:$F,2,0)))</f>
        <v>0</v>
      </c>
      <c r="DJ20" s="409"/>
      <c r="DK20" s="398">
        <f>IF(DJ20=0,0,IF(LEN(CU20)=11,_xlfn.XLOOKUP(CU20,'Dispensed Ink Rates'!C:C,'Dispensed Ink Rates'!CS:CS),VLOOKUP(CU20,'Jan-2026 rates'!$E:$F,2,0)))</f>
        <v>0</v>
      </c>
      <c r="DL20" s="409" t="s">
        <v>1881</v>
      </c>
      <c r="DM20" s="409">
        <f>18+6</f>
        <v>24</v>
      </c>
      <c r="DN20" s="411">
        <f t="shared" si="9"/>
        <v>0</v>
      </c>
      <c r="DO20" s="411">
        <f t="shared" si="10"/>
        <v>14.100000000000001</v>
      </c>
      <c r="DP20" s="410">
        <f t="shared" si="11"/>
        <v>0</v>
      </c>
      <c r="DQ20" s="405" t="s">
        <v>547</v>
      </c>
      <c r="DR20" s="409" t="s">
        <v>2436</v>
      </c>
      <c r="DS20" s="420" t="str">
        <f t="shared" si="12"/>
        <v>ToyoLi - GREEN</v>
      </c>
      <c r="DT20" s="409">
        <v>16</v>
      </c>
      <c r="DU20" s="411">
        <f>IF(DT20=0,0,IF($LB20=70%,VLOOKUP($DS20,'Jan-2026 rates'!$L:$R,4,0),IF($LB20=65%,VLOOKUP($DS20,'Jan-2026 rates'!$L:$R,4,0),IF($LB20=40%,VLOOKUP($DS20,'Jan-2026 rates'!$L:$R,5,0),IF($LB20=30%,VLOOKUP($DS20,'Jan-2026 rates'!$L:$R,6,0),IF($LB20=100%,VLOOKUP($DS20,'Jan-2026 rates'!$L:$R,7,0),IF($LB20=60%,VLOOKUP($DS20,'Jan-2026 rates'!$L:$S,8,0),IF($LB20=80%,VLOOKUP($DS20,'Jan-2026 rates'!L:T,9,0),0))))))))</f>
        <v>0</v>
      </c>
      <c r="DV20" s="412"/>
      <c r="DW20" s="409"/>
      <c r="DX20" s="411">
        <f>IF(DW20=0,0,IF($LB20=70%,VLOOKUP($DS20,'Jan-2026 rates'!$L:$R,4,0),IF($LB20=65%,VLOOKUP($DS20,'Jan-2026 rates'!$L:$R,4,0),IF($LB20=40%,VLOOKUP($DS20,'Jan-2026 rates'!$L:$R,5,0),IF($LB20=30%,VLOOKUP($DS20,'Jan-2026 rates'!$L:$R,6,0),IF($LB20=100%,VLOOKUP($DS20,'Jan-2026 rates'!$L:$R,7,0),IF($LB20=60%,VLOOKUP($DS20,'Jan-2026 rates'!$L:$S,8,0),IF($LB20=80%,VLOOKUP($DS20,'Jan-2026 rates'!L:T,9,0),0))))))))</f>
        <v>0</v>
      </c>
      <c r="DY20" s="413" t="s">
        <v>1247</v>
      </c>
      <c r="DZ20" s="413" t="s">
        <v>1251</v>
      </c>
      <c r="EA20" s="412"/>
      <c r="EB20" s="412"/>
      <c r="EC20" s="412"/>
      <c r="ED20" s="412"/>
      <c r="EE20" s="412"/>
      <c r="EF20" s="412"/>
      <c r="EG20" s="409">
        <v>4</v>
      </c>
      <c r="EH20" s="398">
        <f>IF(EG20=0,0,IF(LEN(DY20)=11,_xlfn.XLOOKUP(DY20,'Dispensed Ink Rates'!C:C,'Dispensed Ink Rates'!CS:CS),VLOOKUP(DY20,'Jan-2026 rates'!$E:$F,2,0)))</f>
        <v>0</v>
      </c>
      <c r="EI20" s="409">
        <v>1</v>
      </c>
      <c r="EJ20" s="398">
        <f>IF(EI20=0,0,IF(LEN(DZ20)=11,_xlfn.XLOOKUP(DZ20,'Dispensed Ink Rates'!C:C,'Dispensed Ink Rates'!CS:CS),VLOOKUP(DZ20,'Jan-2026 rates'!$E:$F,2,0)))</f>
        <v>0</v>
      </c>
      <c r="EK20" s="409"/>
      <c r="EL20" s="398">
        <f>IF(EK20=0,0,IF(LEN(EA20)=11,_xlfn.XLOOKUP(EA20,'Dispensed Ink Rates'!C:C,'Dispensed Ink Rates'!CS:CS),VLOOKUP(EA20,'Jan-2026 rates'!$E:$F,2,0)))</f>
        <v>0</v>
      </c>
      <c r="EM20" s="409"/>
      <c r="EN20" s="398">
        <f>IF(EM20=0,0,IF(LEN(EB20)=11,_xlfn.XLOOKUP(EB20,'Dispensed Ink Rates'!C:C,'Dispensed Ink Rates'!CS:CS),VLOOKUP(EB20,'Jan-2026 rates'!$E:$F,2,0)))</f>
        <v>0</v>
      </c>
      <c r="EO20" s="409"/>
      <c r="EP20" s="398">
        <f>IF(EO20=0,0,IF(LEN(EC20)=11,_xlfn.XLOOKUP(EC20,'Dispensed Ink Rates'!C:C,'Dispensed Ink Rates'!CS:CS),VLOOKUP(EC20,'Jan-2026 rates'!$E:$F,2,0)))</f>
        <v>0</v>
      </c>
      <c r="EQ20" s="409"/>
      <c r="ER20" s="398">
        <f>IF(EQ20=0,0,IF(LEN(ED20)=11,_xlfn.XLOOKUP(ED20,'Dispensed Ink Rates'!C:C,'Dispensed Ink Rates'!CS:CS),VLOOKUP(ED20,'Jan-2026 rates'!$E:$F,2,0)))</f>
        <v>0</v>
      </c>
      <c r="ES20" s="409"/>
      <c r="ET20" s="398">
        <f>IF(ES20=0,0,IF(LEN(EE20)=11,_xlfn.XLOOKUP(EE20,'Dispensed Ink Rates'!C:C,'Dispensed Ink Rates'!CS:CS),VLOOKUP(EE20,'Jan-2026 rates'!$E:$F,2,0)))</f>
        <v>0</v>
      </c>
      <c r="EU20" s="409"/>
      <c r="EV20" s="398">
        <f>IF(EU20=0,0,IF(LEN(EF20)=11,_xlfn.XLOOKUP(EF20,'Dispensed Ink Rates'!C:C,'Dispensed Ink Rates'!CS:CS),VLOOKUP(EF20,'Jan-2026 rates'!$E:$F,2,0)))</f>
        <v>0</v>
      </c>
      <c r="EW20" s="409" t="s">
        <v>1881</v>
      </c>
      <c r="EX20" s="409">
        <v>20</v>
      </c>
      <c r="EY20" s="411">
        <f t="shared" si="13"/>
        <v>0</v>
      </c>
      <c r="EZ20" s="411">
        <f t="shared" si="14"/>
        <v>5.6000000000000014</v>
      </c>
      <c r="FA20" s="410">
        <f t="shared" si="15"/>
        <v>0</v>
      </c>
      <c r="FB20" s="405" t="s">
        <v>545</v>
      </c>
      <c r="FC20" s="409" t="s">
        <v>2657</v>
      </c>
      <c r="FD20" s="420" t="str">
        <f t="shared" si="16"/>
        <v>ToyoLi - YELLOW</v>
      </c>
      <c r="FE20" s="409">
        <v>14</v>
      </c>
      <c r="FF20" s="411">
        <f>IF(FE20=0,0,IF($LB20=70%,VLOOKUP($FD20,'Jan-2026 rates'!$L:$R,4,0),IF($LB20=65%,VLOOKUP($FD20,'Jan-2026 rates'!$L:$R,4,0),IF($LB20=40%,VLOOKUP($FD20,'Jan-2026 rates'!$L:$R,5,0),IF($LB20=30%,VLOOKUP($FD20,'Jan-2026 rates'!$L:$R,6,0),IF($LB20=100%,VLOOKUP($FD20,'Jan-2026 rates'!$L:$R,7,0),IF($LB20=60%,VLOOKUP($FD20,'Jan-2026 rates'!$L:$S,8,0),IF($LB20=80%,VLOOKUP($FD20,'Jan-2026 rates'!L:T,9,0),0))))))))</f>
        <v>0</v>
      </c>
      <c r="FG20" s="412"/>
      <c r="FH20" s="409"/>
      <c r="FI20" s="411">
        <f>IF(FH20=0,0,IF($LB20=70%,VLOOKUP($FD20,'Jan-2026 rates'!$L:$R,4,0),IF($LB20=65%,VLOOKUP($FD20,'Jan-2026 rates'!$L:$R,4,0),IF($LB20=40%,VLOOKUP($FD20,'Jan-2026 rates'!$L:$R,5,0),IF($LB20=30%,VLOOKUP($FD20,'Jan-2026 rates'!$L:$R,6,0),IF($LB20=100%,VLOOKUP($FD20,'Jan-2026 rates'!$L:$R,7,0),IF($LB20=60%,VLOOKUP($FD20,'Jan-2026 rates'!$L:$S,8,0),IF($LB20=80%,VLOOKUP($FD20,'Jan-2026 rates'!L:T,9,0),0))))))))</f>
        <v>0</v>
      </c>
      <c r="FJ20" s="413" t="s">
        <v>1247</v>
      </c>
      <c r="FK20" s="413" t="s">
        <v>1248</v>
      </c>
      <c r="FL20" s="413"/>
      <c r="FM20" s="412"/>
      <c r="FN20" s="412"/>
      <c r="FO20" s="412"/>
      <c r="FP20" s="412"/>
      <c r="FQ20" s="412"/>
      <c r="FR20" s="409">
        <v>3</v>
      </c>
      <c r="FS20" s="398">
        <f>IF(FR20=0,0,IF(LEN(FJ20)=11,_xlfn.XLOOKUP(FJ20,'Dispensed Ink Rates'!C:C,'Dispensed Ink Rates'!CS:CS),VLOOKUP(FJ20,'Jan-2026 rates'!$E:$F,2,0)))</f>
        <v>0</v>
      </c>
      <c r="FT20" s="409">
        <v>1</v>
      </c>
      <c r="FU20" s="398">
        <f>IF(FT20=0,0,IF(LEN(FK20)=11,_xlfn.XLOOKUP(FK20,'Dispensed Ink Rates'!C:C,'Dispensed Ink Rates'!CS:CS),VLOOKUP(FK20,'Jan-2026 rates'!$E:$F,2,0)))</f>
        <v>0</v>
      </c>
      <c r="FV20" s="409"/>
      <c r="FW20" s="398">
        <f>IF(FV20=0,0,IF(LEN(FL20)=11,_xlfn.XLOOKUP(FL20,'Dispensed Ink Rates'!C:C,'Dispensed Ink Rates'!CS:CS),VLOOKUP(FL20,'Jan-2026 rates'!$E:$F,2,0)))</f>
        <v>0</v>
      </c>
      <c r="FX20" s="409"/>
      <c r="FY20" s="398">
        <f>IF(FX20=0,0,IF(LEN(FM20)=11,_xlfn.XLOOKUP(FM20,'Dispensed Ink Rates'!C:C,'Dispensed Ink Rates'!CS:CS),VLOOKUP(FM20,'Jan-2026 rates'!$E:$F,2,0)))</f>
        <v>0</v>
      </c>
      <c r="FZ20" s="409"/>
      <c r="GA20" s="398">
        <f>IF(FZ20=0,0,IF(LEN(FN20)=11,_xlfn.XLOOKUP(FN20,'Dispensed Ink Rates'!C:C,'Dispensed Ink Rates'!CS:CS),VLOOKUP(FN20,'Jan-2026 rates'!$E:$F,2,0)))</f>
        <v>0</v>
      </c>
      <c r="GB20" s="409"/>
      <c r="GC20" s="398">
        <f>IF(GB20=0,0,IF(LEN(FO20)=11,_xlfn.XLOOKUP(FO20,'Dispensed Ink Rates'!C:C,'Dispensed Ink Rates'!CS:CS),VLOOKUP(FO20,'Jan-2026 rates'!$E:$F,2,0)))</f>
        <v>0</v>
      </c>
      <c r="GD20" s="409"/>
      <c r="GE20" s="398">
        <f>IF(GD20=0,0,IF(LEN(FP20)=11,_xlfn.XLOOKUP(FP20,'Dispensed Ink Rates'!C:C,'Dispensed Ink Rates'!CS:CS),VLOOKUP(FP20,'Jan-2026 rates'!$E:$F,2,0)))</f>
        <v>0</v>
      </c>
      <c r="GF20" s="409"/>
      <c r="GG20" s="398">
        <f>IF(GF20=0,0,IF(LEN(FQ20)=11,_xlfn.XLOOKUP(FQ20,'Dispensed Ink Rates'!C:C,'Dispensed Ink Rates'!CS:CS),VLOOKUP(FQ20,'Jan-2026 rates'!$E:$F,2,0)))</f>
        <v>0</v>
      </c>
      <c r="GH20" s="409" t="s">
        <v>1881</v>
      </c>
      <c r="GI20" s="409">
        <v>18</v>
      </c>
      <c r="GJ20" s="411">
        <f t="shared" si="17"/>
        <v>0</v>
      </c>
      <c r="GK20" s="411">
        <f t="shared" si="18"/>
        <v>4.6000000000000014</v>
      </c>
      <c r="GL20" s="410">
        <f t="shared" si="19"/>
        <v>0</v>
      </c>
      <c r="GM20" s="405" t="s">
        <v>856</v>
      </c>
      <c r="GN20" s="409" t="s">
        <v>2658</v>
      </c>
      <c r="GO20" s="420" t="str">
        <f t="shared" si="20"/>
        <v>ToyoLi - WHITE</v>
      </c>
      <c r="GP20" s="409">
        <v>30</v>
      </c>
      <c r="GQ20" s="411">
        <f>IF(GP20=0,0,IF($LB20=70%,VLOOKUP($GO20,'Jan-2026 rates'!$L:$R,4,0),IF($LB20=65%,VLOOKUP($GO20,'Jan-2026 rates'!$L:$R,4,0),IF($LB20=40%,VLOOKUP($GO20,'Jan-2026 rates'!$L:$R,5,0),IF($LB20=30%,VLOOKUP($GO20,'Jan-2026 rates'!$L:$R,6,0),IF($LB20=100%,VLOOKUP($GO20,'Jan-2026 rates'!$L:$R,7,0),IF($LB20=60%,VLOOKUP($GO20,'Jan-2026 rates'!$L:$S,8,0),IF($LB20=80%,VLOOKUP($GO20,'Jan-2026 rates'!L:T,9,0),0))))))))</f>
        <v>0</v>
      </c>
      <c r="GR20" s="412"/>
      <c r="GS20" s="409"/>
      <c r="GT20" s="411">
        <f>IF(GS20=0,0,IF($LB20=70%,VLOOKUP($GO20,'Jan-2026 rates'!$L:$R,4,0),IF($LB20=65%,VLOOKUP($GO20,'Jan-2026 rates'!$L:$R,4,0),IF($LB20=40%,VLOOKUP($GO20,'Jan-2026 rates'!$L:$R,5,0),IF($LB20=30%,VLOOKUP($GO20,'Jan-2026 rates'!$L:$R,6,0),IF($LB20=100%,VLOOKUP($GO20,'Jan-2026 rates'!$L:$R,7,0),IF($LB20=60%,VLOOKUP($GO20,'Jan-2026 rates'!$L:$S,8,0),IF($LB20=80%,VLOOKUP($GO20,'Jan-2026 rates'!L:T,9,0),0))))))))</f>
        <v>0</v>
      </c>
      <c r="GU20" s="413" t="s">
        <v>1249</v>
      </c>
      <c r="GV20" s="413" t="s">
        <v>1122</v>
      </c>
      <c r="GW20" s="412"/>
      <c r="GX20" s="412"/>
      <c r="GY20" s="412"/>
      <c r="GZ20" s="412"/>
      <c r="HA20" s="412"/>
      <c r="HB20" s="412"/>
      <c r="HC20" s="409">
        <v>20</v>
      </c>
      <c r="HD20" s="398">
        <f>IF(HC20=0,0,IF(LEN(GU20)=11,_xlfn.XLOOKUP(GU20,'Dispensed Ink Rates'!C:C,'Dispensed Ink Rates'!CS:CS),VLOOKUP(GU20,'Jan-2026 rates'!$E:$F,2,0)))</f>
        <v>0</v>
      </c>
      <c r="HE20" s="409">
        <v>3.34</v>
      </c>
      <c r="HF20" s="398">
        <f>IF(HE20=0,0,IF(LEN(GV20)=11,_xlfn.XLOOKUP(GV20,'Dispensed Ink Rates'!C:C,'Dispensed Ink Rates'!CS:CS),VLOOKUP(GV20,'Jan-2026 rates'!$E:$F,2,0)))</f>
        <v>0</v>
      </c>
      <c r="HG20" s="409"/>
      <c r="HH20" s="398">
        <f>IF(HG20=0,0,IF(LEN(GW20)=11,_xlfn.XLOOKUP(GW20,'Dispensed Ink Rates'!C:C,'Dispensed Ink Rates'!CS:CS),VLOOKUP(GW20,'Jan-2026 rates'!$E:$F,2,0)))</f>
        <v>0</v>
      </c>
      <c r="HI20" s="409"/>
      <c r="HJ20" s="398">
        <f>IF(HI20=0,0,IF(LEN(GX20)=11,_xlfn.XLOOKUP(GX20,'Dispensed Ink Rates'!C:C,'Dispensed Ink Rates'!CS:CS),VLOOKUP(GX20,'Jan-2026 rates'!$E:$F,2,0)))</f>
        <v>0</v>
      </c>
      <c r="HK20" s="409"/>
      <c r="HL20" s="398">
        <f>IF(HK20=0,0,IF(LEN(GY20)=11,_xlfn.XLOOKUP(GY20,'Dispensed Ink Rates'!C:C,'Dispensed Ink Rates'!CS:CS),VLOOKUP(GY20,'Jan-2026 rates'!$E:$F,2,0)))</f>
        <v>0</v>
      </c>
      <c r="HM20" s="409"/>
      <c r="HN20" s="398">
        <f>IF(HM20=0,0,IF(LEN(GZ20)=11,_xlfn.XLOOKUP(GZ20,'Dispensed Ink Rates'!C:C,'Dispensed Ink Rates'!CS:CS),VLOOKUP(GZ20,'Jan-2026 rates'!$E:$F,2,0)))</f>
        <v>0</v>
      </c>
      <c r="HO20" s="409"/>
      <c r="HP20" s="398">
        <f>IF(HO20=0,0,IF(LEN(HA20)=11,_xlfn.XLOOKUP(HA20,'Dispensed Ink Rates'!C:C,'Dispensed Ink Rates'!CS:CS),VLOOKUP(HA20,'Jan-2026 rates'!$E:$F,2,0)))</f>
        <v>0</v>
      </c>
      <c r="HQ20" s="409"/>
      <c r="HR20" s="398">
        <f>IF(HQ20=0,0,IF(LEN(HB20)=11,_xlfn.XLOOKUP(HB20,'Dispensed Ink Rates'!C:C,'Dispensed Ink Rates'!CS:CS),VLOOKUP(HB20,'Jan-2026 rates'!$E:$F,2,0)))</f>
        <v>0</v>
      </c>
      <c r="HS20" s="409" t="s">
        <v>1881</v>
      </c>
      <c r="HT20" s="409">
        <v>30</v>
      </c>
      <c r="HU20" s="411">
        <f t="shared" si="21"/>
        <v>0</v>
      </c>
      <c r="HV20" s="411">
        <f t="shared" si="22"/>
        <v>46.34</v>
      </c>
      <c r="HW20" s="414">
        <f t="shared" si="23"/>
        <v>0</v>
      </c>
      <c r="HX20" s="405"/>
      <c r="HY20" s="409"/>
      <c r="HZ20" s="420" t="str">
        <f t="shared" si="24"/>
        <v xml:space="preserve"> - </v>
      </c>
      <c r="IA20" s="409"/>
      <c r="IB20" s="411">
        <f>IF(IA20=0,0,IF($LB20=70%,VLOOKUP($HZ20,'Jan-2026 rates'!$L:$R,4,0),IF($LB20=65%,VLOOKUP($HZ20,'Jan-2026 rates'!$L:$R,4,0),IF($LB20=40%,VLOOKUP($HZ20,'Jan-2026 rates'!$L:$R,5,0),IF($LB20=30%,VLOOKUP($HZ20,'Jan-2026 rates'!$L:$R,6,0),IF($LB20=100%,VLOOKUP($HZ20,'Jan-2026 rates'!$L:$R,7,0),IF($LB20=60%,VLOOKUP($HZ20,'Jan-2026 rates'!$L:$S,8,0),IF($LB20=80%,VLOOKUP($HZ20,'Jan-2026 rates'!L:T,9,0),0))))))))</f>
        <v>0</v>
      </c>
      <c r="IC20" s="412"/>
      <c r="ID20" s="409"/>
      <c r="IE20" s="411">
        <f>IF(ID20=0,0,IF($LB20=70%,VLOOKUP($HZ20,'Jan-2026 rates'!$L:$R,4,0),IF($LB20=65%,VLOOKUP($HZ20,'Jan-2026 rates'!$L:$R,4,0),IF($LB20=40%,VLOOKUP($HZ20,'Jan-2026 rates'!$L:$R,5,0),IF($LB20=30%,VLOOKUP($HZ20,'Jan-2026 rates'!$L:$R,6,0),IF($LB20=100%,VLOOKUP($HZ20,'Jan-2026 rates'!$L:$R,7,0),IF($LB20=60%,VLOOKUP($HZ20,'Jan-2026 rates'!$L:$S,8,0),IF($LB20=80%,VLOOKUP($HZ20,'Jan-2026 rates'!L:T,9,0),0))))))))</f>
        <v>0</v>
      </c>
      <c r="IF20" s="412"/>
      <c r="IG20" s="413"/>
      <c r="IH20" s="412"/>
      <c r="II20" s="412"/>
      <c r="IJ20" s="412"/>
      <c r="IK20" s="412"/>
      <c r="IL20" s="412"/>
      <c r="IM20" s="412"/>
      <c r="IN20" s="409"/>
      <c r="IO20" s="398">
        <f>IF(IN20=0,0,IF(LEN(IF20)=11,_xlfn.XLOOKUP(IF20,'Dispensed Ink Rates'!C:C,'Dispensed Ink Rates'!CS:CS),VLOOKUP(IF20,'Jan-2026 rates'!$E:$F,2,0)))</f>
        <v>0</v>
      </c>
      <c r="IP20" s="409"/>
      <c r="IQ20" s="398">
        <f>IF(IP20=0,0,IF(LEN(IG20)=11,_xlfn.XLOOKUP(IG20,'Dispensed Ink Rates'!C:C,'Dispensed Ink Rates'!CS:CS),VLOOKUP(IG20,'Jan-2026 rates'!$E:$F,2,0)))</f>
        <v>0</v>
      </c>
      <c r="IR20" s="409"/>
      <c r="IS20" s="398">
        <f>IF(IR20=0,0,IF(LEN(IH20)=11,_xlfn.XLOOKUP(IH20,'Dispensed Ink Rates'!C:C,'Dispensed Ink Rates'!CS:CS),VLOOKUP(IH20,'Jan-2026 rates'!$E:$F,2,0)))</f>
        <v>0</v>
      </c>
      <c r="IT20" s="409"/>
      <c r="IU20" s="398">
        <f>IF(IT20=0,0,IF(LEN(II20)=11,_xlfn.XLOOKUP(II20,'Dispensed Ink Rates'!C:C,'Dispensed Ink Rates'!CS:CS),VLOOKUP(II20,'Jan-2026 rates'!$E:$F,2,0)))</f>
        <v>0</v>
      </c>
      <c r="IV20" s="409"/>
      <c r="IW20" s="398">
        <f>IF(IV20=0,0,IF(LEN(IJ20)=11,_xlfn.XLOOKUP(IJ20,'Dispensed Ink Rates'!C:C,'Dispensed Ink Rates'!CS:CS),VLOOKUP(IJ20,'Jan-2026 rates'!$E:$F,2,0)))</f>
        <v>0</v>
      </c>
      <c r="IX20" s="409"/>
      <c r="IY20" s="398">
        <f>IF(IX20=0,0,IF(LEN(IK20)=11,_xlfn.XLOOKUP(IK20,'Dispensed Ink Rates'!C:C,'Dispensed Ink Rates'!CS:CS),VLOOKUP(IK20,'Jan-2026 rates'!$E:$F,2,0)))</f>
        <v>0</v>
      </c>
      <c r="IZ20" s="409"/>
      <c r="JA20" s="398">
        <f>IF(IZ20=0,0,IF(LEN(IL20)=11,_xlfn.XLOOKUP(IL20,'Dispensed Ink Rates'!C:C,'Dispensed Ink Rates'!CS:CS),VLOOKUP(IL20,'Jan-2026 rates'!$E:$F,2,0)))</f>
        <v>0</v>
      </c>
      <c r="JB20" s="409"/>
      <c r="JC20" s="398">
        <f>IF(JB20=0,0,IF(LEN(IM20)=11,_xlfn.XLOOKUP(IM20,'Dispensed Ink Rates'!C:C,'Dispensed Ink Rates'!CS:CS),VLOOKUP(IM20,'Jan-2026 rates'!$E:$F,2,0)))</f>
        <v>0</v>
      </c>
      <c r="JD20" s="409"/>
      <c r="JE20" s="409"/>
      <c r="JF20" s="411">
        <f t="shared" si="25"/>
        <v>0</v>
      </c>
      <c r="JG20" s="411">
        <f t="shared" si="26"/>
        <v>0</v>
      </c>
      <c r="JH20" s="410">
        <f t="shared" si="27"/>
        <v>0</v>
      </c>
      <c r="JI20" s="405"/>
      <c r="JJ20" s="409"/>
      <c r="JK20" s="420" t="str">
        <f t="shared" si="28"/>
        <v xml:space="preserve"> - </v>
      </c>
      <c r="JL20" s="409"/>
      <c r="JM20" s="411">
        <f>IF(JL20=0,0,IF($LB20=70%,VLOOKUP($JK20,'Jan-2026 rates'!$L:$R,4,0),IF($LB20=65%,VLOOKUP($JK20,'Jan-2026 rates'!$L:$R,4,0),IF($LB20=40%,VLOOKUP($JK20,'Jan-2026 rates'!$L:$R,5,0),IF($LB20=30%,VLOOKUP($JK20,'Jan-2026 rates'!$L:$R,6,0),IF($LB20=100%,VLOOKUP($JK20,'Jan-2026 rates'!$L:$R,7,0),IF($LB20=60%,VLOOKUP($JK20,'Jan-2026 rates'!$L:$S,8,0),IF($LB20=80%,VLOOKUP($JK20,'Jan-2026 rates'!L:T,9,0),0))))))))</f>
        <v>0</v>
      </c>
      <c r="JN20" s="412"/>
      <c r="JO20" s="409"/>
      <c r="JP20" s="411">
        <f>IF(JO20=0,0,IF($LB20=70%,VLOOKUP($JK20,'Jan-2026 rates'!$L:$R,4,0),IF($LB20=65%,VLOOKUP($JK20,'Jan-2026 rates'!$L:$R,4,0),IF($LB20=40%,VLOOKUP($JK20,'Jan-2026 rates'!$L:$R,5,0),IF($LB20=30%,VLOOKUP($JK20,'Jan-2026 rates'!$L:$R,6,0),IF($LB20=100%,VLOOKUP($JK20,'Jan-2026 rates'!$L:$R,7,0),IF($LB20=60%,VLOOKUP($JK20,'Jan-2026 rates'!$L:$S,8,0),IF($LB20=80%,VLOOKUP($JK20,'Jan-2026 rates'!L:T,9,0),0))))))))</f>
        <v>0</v>
      </c>
      <c r="JQ20" s="413"/>
      <c r="JR20" s="412"/>
      <c r="JS20" s="413"/>
      <c r="JT20" s="413"/>
      <c r="JU20" s="412"/>
      <c r="JV20" s="412"/>
      <c r="JW20" s="412"/>
      <c r="JX20" s="412"/>
      <c r="JY20" s="409"/>
      <c r="JZ20" s="398">
        <f>IF(JY20=0,0,IF(LEN(JQ20)=11,_xlfn.XLOOKUP(JQ20,'Dispensed Ink Rates'!C:C,'Dispensed Ink Rates'!CS:CS),VLOOKUP(JQ20,'Jan-2026 rates'!$E:$F,2,0)))</f>
        <v>0</v>
      </c>
      <c r="KA20" s="409"/>
      <c r="KB20" s="398">
        <f>IF(KA20=0,0,IF(LEN(JR20)=11,_xlfn.XLOOKUP(JR20,'Dispensed Ink Rates'!C:C,'Dispensed Ink Rates'!CS:CS),VLOOKUP(JR20,'Jan-2026 rates'!$E:$F,2,0)))</f>
        <v>0</v>
      </c>
      <c r="KC20" s="409"/>
      <c r="KD20" s="398">
        <f>IF(KC20=0,0,IF(LEN(JS20)=11,_xlfn.XLOOKUP(JS20,'Dispensed Ink Rates'!C:C,'Dispensed Ink Rates'!CS:CS),VLOOKUP(JS20,'Jan-2026 rates'!$E:$F,2,0)))</f>
        <v>0</v>
      </c>
      <c r="KE20" s="409"/>
      <c r="KF20" s="398">
        <f>IF(KE20=0,0,IF(LEN(JT20)=11,_xlfn.XLOOKUP(JT20,'Dispensed Ink Rates'!C:C,'Dispensed Ink Rates'!CS:CS),VLOOKUP(JT20,'Jan-2026 rates'!$E:$F,2,0)))</f>
        <v>0</v>
      </c>
      <c r="KG20" s="409"/>
      <c r="KH20" s="398">
        <f>IF(KG20=0,0,IF(LEN(JU20)=11,_xlfn.XLOOKUP(JU20,'Dispensed Ink Rates'!C:C,'Dispensed Ink Rates'!CS:CS),VLOOKUP(JU20,'Jan-2026 rates'!$E:$F,2,0)))</f>
        <v>0</v>
      </c>
      <c r="KI20" s="409"/>
      <c r="KJ20" s="398">
        <f>IF(KI20=0,0,IF(LEN(JV20)=11,_xlfn.XLOOKUP(JV20,'Dispensed Ink Rates'!C:C,'Dispensed Ink Rates'!CS:CS),VLOOKUP(JV20,'Jan-2026 rates'!$E:$F,2,0)))</f>
        <v>0</v>
      </c>
      <c r="KK20" s="409"/>
      <c r="KL20" s="398">
        <f>IF(KK20=0,0,IF(LEN(JW20)=11,_xlfn.XLOOKUP(JW20,'Dispensed Ink Rates'!C:C,'Dispensed Ink Rates'!CS:CS),VLOOKUP(JW20,'Jan-2026 rates'!$E:$F,2,0)))</f>
        <v>0</v>
      </c>
      <c r="KM20" s="428"/>
      <c r="KN20" s="398">
        <f>IF(KM20=0,0,IF(LEN(JX20)=11,_xlfn.XLOOKUP(JX20,'Dispensed Ink Rates'!C:C,'Dispensed Ink Rates'!CS:CS),VLOOKUP(JX20,'Jan-2026 rates'!$E:$F,2,0)))</f>
        <v>0</v>
      </c>
      <c r="KO20" s="409"/>
      <c r="KP20" s="409"/>
      <c r="KQ20" s="411">
        <f t="shared" si="29"/>
        <v>0</v>
      </c>
      <c r="KR20" s="411">
        <f t="shared" si="30"/>
        <v>0</v>
      </c>
      <c r="KS20" s="410">
        <f t="shared" si="31"/>
        <v>0</v>
      </c>
      <c r="KT20" s="409">
        <v>2</v>
      </c>
      <c r="KU20" s="409">
        <v>2</v>
      </c>
      <c r="KV20" s="409">
        <v>2</v>
      </c>
      <c r="KW20" s="409">
        <v>2</v>
      </c>
      <c r="KX20" s="409">
        <v>2</v>
      </c>
      <c r="KY20" s="409">
        <v>10</v>
      </c>
      <c r="KZ20" s="409">
        <v>0</v>
      </c>
      <c r="LA20" s="409">
        <v>0</v>
      </c>
      <c r="LB20" s="415">
        <v>0.3</v>
      </c>
      <c r="LC20" s="415"/>
      <c r="LD20" s="415"/>
      <c r="LE20" s="415">
        <v>0.5</v>
      </c>
      <c r="LF20" s="415">
        <v>0.2</v>
      </c>
      <c r="LG20" s="409">
        <v>0</v>
      </c>
      <c r="LH20" s="409">
        <f>10+10+6+10+6+4</f>
        <v>46</v>
      </c>
      <c r="LI20" s="409">
        <v>0</v>
      </c>
      <c r="LJ20" s="409">
        <v>0</v>
      </c>
      <c r="LK20" s="416">
        <f t="shared" si="32"/>
        <v>46</v>
      </c>
      <c r="LL20" s="416">
        <f t="shared" si="33"/>
        <v>46</v>
      </c>
      <c r="LM20" s="417">
        <f t="shared" si="34"/>
        <v>13.799999999999999</v>
      </c>
      <c r="LN20" s="417">
        <f>VLOOKUP($LM$8,'Jan-2026 rates'!$H:$I,2,0)</f>
        <v>0</v>
      </c>
      <c r="LO20" s="417">
        <f t="shared" si="35"/>
        <v>0</v>
      </c>
      <c r="LP20" s="417">
        <f>VLOOKUP($LO$8,'Jan-2026 rates'!$H:$I,2,0)</f>
        <v>0</v>
      </c>
      <c r="LQ20" s="417">
        <f t="shared" si="36"/>
        <v>0</v>
      </c>
      <c r="LR20" s="417">
        <f>VLOOKUP($LQ$8,'Jan-2026 rates'!$H:$I,2,0)</f>
        <v>0</v>
      </c>
      <c r="LS20" s="417">
        <f t="shared" si="37"/>
        <v>23</v>
      </c>
      <c r="LT20" s="417">
        <f>VLOOKUP($LS$8,'Jan-2026 rates'!$H:$I,2,0)</f>
        <v>0</v>
      </c>
      <c r="LU20" s="417">
        <f t="shared" si="38"/>
        <v>9.2000000000000011</v>
      </c>
      <c r="LV20" s="417">
        <f>VLOOKUP($LU$8,'Jan-2026 rates'!$H:$I,2,0)</f>
        <v>0</v>
      </c>
      <c r="LW20" s="417">
        <f t="shared" si="39"/>
        <v>0</v>
      </c>
      <c r="LX20" s="417">
        <f t="shared" si="40"/>
        <v>0</v>
      </c>
      <c r="LY20" s="418">
        <f t="shared" si="41"/>
        <v>0</v>
      </c>
      <c r="LZ20" s="417"/>
      <c r="MA20" s="435">
        <f t="shared" si="42"/>
        <v>40.340000000000003</v>
      </c>
      <c r="MB20" s="282">
        <f t="shared" si="43"/>
        <v>83.34</v>
      </c>
      <c r="MC20" s="283" t="s">
        <v>1949</v>
      </c>
      <c r="MD20" s="284" t="str">
        <f t="shared" si="44"/>
        <v>ToyoLiToyoLiToyoLiToyoLiToyoLiToyoLi</v>
      </c>
      <c r="ME20" s="293" t="str">
        <f t="shared" si="45"/>
        <v>+</v>
      </c>
      <c r="MF20" s="293" t="str">
        <f t="shared" si="46"/>
        <v>+</v>
      </c>
      <c r="MG20" s="293" t="str">
        <f t="shared" si="47"/>
        <v>+</v>
      </c>
      <c r="MH20" s="293" t="str">
        <f t="shared" si="48"/>
        <v>+</v>
      </c>
      <c r="MI20" s="293" t="str">
        <f t="shared" si="49"/>
        <v>+</v>
      </c>
      <c r="MJ20" s="293" t="str">
        <f t="shared" si="50"/>
        <v>+</v>
      </c>
      <c r="MK20" s="293" t="str">
        <f t="shared" si="51"/>
        <v>NIL</v>
      </c>
      <c r="ML20" s="293" t="str">
        <f t="shared" si="52"/>
        <v>NIL</v>
      </c>
      <c r="MM20" s="3" t="b">
        <f t="array" ref="MM20">OR(ME20:ML20="-")</f>
        <v>0</v>
      </c>
      <c r="MN20" s="285"/>
      <c r="MO20" s="401"/>
      <c r="MP20" s="286"/>
      <c r="MQ20" s="286"/>
      <c r="MR20" s="402"/>
      <c r="MS20" s="400"/>
      <c r="NH20" s="422"/>
      <c r="NJ20" s="421"/>
    </row>
    <row r="21" spans="1:374" s="1" customFormat="1" ht="16.5">
      <c r="A21" s="403">
        <v>46025</v>
      </c>
      <c r="B21" s="404" t="s">
        <v>1018</v>
      </c>
      <c r="C21" s="405" t="s">
        <v>5137</v>
      </c>
      <c r="D21" s="406" t="s">
        <v>1950</v>
      </c>
      <c r="E21" s="404">
        <v>768</v>
      </c>
      <c r="F21" s="407">
        <v>42000</v>
      </c>
      <c r="G21" s="407" t="s">
        <v>1016</v>
      </c>
      <c r="H21" s="408" t="s">
        <v>1017</v>
      </c>
      <c r="I21" s="409">
        <v>1.21</v>
      </c>
      <c r="J21" s="405" t="s">
        <v>543</v>
      </c>
      <c r="K21" s="404" t="s">
        <v>2660</v>
      </c>
      <c r="L21" s="419" t="str">
        <f t="shared" si="0"/>
        <v>ToyoLi - BLACK</v>
      </c>
      <c r="M21" s="404">
        <v>30</v>
      </c>
      <c r="N21" s="410">
        <f>IF(M21=0,0,IF($LB21=70%,VLOOKUP($L21,'Jan-2026 rates'!$L:$R,4,0),IF($LB21=65%,VLOOKUP($L21,'Jan-2026 rates'!$L:$R,4,0),IF($LB21=40%,VLOOKUP($L21,'Jan-2026 rates'!$L:$R,5,0),IF($LB21=30%,VLOOKUP($L21,'Jan-2026 rates'!$L:$R,6,0),IF($LB21=100%,VLOOKUP($L21,'Jan-2026 rates'!$L:$R,7,0),IF($LB21=60%,VLOOKUP($L21,'Jan-2026 rates'!$L:$S,8,0),IF($LB21=80%,VLOOKUP($L21,'Jan-2026 rates'!L:T,9,0),0))))))))</f>
        <v>0</v>
      </c>
      <c r="O21" s="406"/>
      <c r="P21" s="404"/>
      <c r="Q21" s="410">
        <f>IF(P21=0,0,IF($LB21=70%,VLOOKUP($L21,'Jan-2026 rates'!$L:$R,4,0),IF($LB21=65%,VLOOKUP($L21,'Jan-2026 rates'!$L:$R,4,0),IF($LB21=40%,VLOOKUP($L21,'Jan-2026 rates'!$L:$R,5,0),IF($LB21=30%,VLOOKUP($L21,'Jan-2026 rates'!$L:$R,6,0),IF($LB21=100%,VLOOKUP($L21,'Jan-2026 rates'!$L:$R,7,0),IF($LB21=60%,VLOOKUP($L21,'Jan-2026 rates'!$L:$S,8,0),IF($LB21=80%,VLOOKUP($L21,'Jan-2026 rates'!L:T,9,0),0))))))))</f>
        <v>0</v>
      </c>
      <c r="R21" s="406" t="s">
        <v>1252</v>
      </c>
      <c r="S21" s="406"/>
      <c r="T21" s="406"/>
      <c r="U21" s="406"/>
      <c r="V21" s="406"/>
      <c r="W21" s="406"/>
      <c r="X21" s="406"/>
      <c r="Y21" s="406"/>
      <c r="Z21" s="404">
        <v>4</v>
      </c>
      <c r="AA21" s="398">
        <f>IF(Z21=0,0,IF(LEN(R21)=11,_xlfn.XLOOKUP(R21,'Dispensed Ink Rates'!C:C,'Dispensed Ink Rates'!CS:CS),VLOOKUP(R21,'Jan-2026 rates'!$E:$F,2,0)))</f>
        <v>0</v>
      </c>
      <c r="AB21" s="404"/>
      <c r="AC21" s="398">
        <f>IF(AB21=0,0,IF(LEN(S21)=11,_xlfn.XLOOKUP(S21,'Dispensed Ink Rates'!C:C,'Dispensed Ink Rates'!CS:CS),VLOOKUP(S21,'Jan-2026 rates'!$E:$F,2,0)))</f>
        <v>0</v>
      </c>
      <c r="AD21" s="404"/>
      <c r="AE21" s="398">
        <f>IF(AD21=0,0,IF(LEN(T21)=11,_xlfn.XLOOKUP(T21,'Dispensed Ink Rates'!C:C,'Dispensed Ink Rates'!CS:CS),VLOOKUP(T21,'Jan-2026 rates'!$E:$F,2,0)))</f>
        <v>0</v>
      </c>
      <c r="AF21" s="404"/>
      <c r="AG21" s="398">
        <f>IF(AF21=0,0,IF(LEN(U21)=11,_xlfn.XLOOKUP(U21,'Dispensed Ink Rates'!C:C,'Dispensed Ink Rates'!CS:CS),VLOOKUP(U21,'Jan-2026 rates'!$E:$F,2,0)))</f>
        <v>0</v>
      </c>
      <c r="AH21" s="404"/>
      <c r="AI21" s="398">
        <f>IF(AH21=0,0,IF(LEN(V21)=11,_xlfn.XLOOKUP(V21,'Dispensed Ink Rates'!C:C,'Dispensed Ink Rates'!CS:CS),VLOOKUP(V21,'Jan-2026 rates'!$E:$F,2,0)))</f>
        <v>0</v>
      </c>
      <c r="AJ21" s="404"/>
      <c r="AK21" s="398">
        <f>IF(AJ21=0,0,IF(LEN(W21)=11,_xlfn.XLOOKUP(W21,'Dispensed Ink Rates'!C:C,'Dispensed Ink Rates'!CS:CS),VLOOKUP(W21,'Jan-2026 rates'!$E:$F,2,0)))</f>
        <v>0</v>
      </c>
      <c r="AL21" s="404"/>
      <c r="AM21" s="398">
        <f>IF(AL21=0,0,IF(LEN(X21)=11,_xlfn.XLOOKUP(X21,'Dispensed Ink Rates'!C:C,'Dispensed Ink Rates'!CS:CS),VLOOKUP(X21,'Jan-2026 rates'!$E:$F,2,0)))</f>
        <v>0</v>
      </c>
      <c r="AN21" s="404"/>
      <c r="AO21" s="398">
        <f>IF(AN21=0,0,IF(LEN(Y21)=11,_xlfn.XLOOKUP(Y21,'Dispensed Ink Rates'!C:C,'Dispensed Ink Rates'!CS:CS),VLOOKUP(Y21,'Jan-2026 rates'!$E:$F,2,0)))</f>
        <v>0</v>
      </c>
      <c r="AP21" s="409" t="s">
        <v>1881</v>
      </c>
      <c r="AQ21" s="409">
        <v>28</v>
      </c>
      <c r="AR21" s="410">
        <f t="shared" si="1"/>
        <v>0</v>
      </c>
      <c r="AS21" s="411">
        <f t="shared" si="2"/>
        <v>12.833333333333336</v>
      </c>
      <c r="AT21" s="410">
        <f t="shared" si="3"/>
        <v>0</v>
      </c>
      <c r="AU21" s="405" t="s">
        <v>547</v>
      </c>
      <c r="AV21" s="409"/>
      <c r="AW21" s="420" t="str">
        <f t="shared" si="4"/>
        <v>ToyoLi - GREEN</v>
      </c>
      <c r="AX21" s="409"/>
      <c r="AY21" s="411">
        <f>IF(AX21=0,0,IF($LB21=70%,VLOOKUP($AW21,'Jan-2026 rates'!$L:$R,4,0),IF($LB21=65%,VLOOKUP($AW21,'Jan-2026 rates'!$L:$R,4,0),IF($LB21=40%,VLOOKUP($AW21,'Jan-2026 rates'!$L:$R,5,0),IF($LB21=30%,VLOOKUP($AW21,'Jan-2026 rates'!$L:$R,6,0),IF($LB21=100%,VLOOKUP($AW21,'Jan-2026 rates'!$L:$R,7,0),IF($LB21=60%,VLOOKUP($AW21,'Jan-2026 rates'!$L:$S,8,0),IF($LB21=80%,VLOOKUP($AW21,'Jan-2026 rates'!L:T,9,0),0))))))))</f>
        <v>0</v>
      </c>
      <c r="AZ21" s="412"/>
      <c r="BA21" s="409"/>
      <c r="BB21" s="411">
        <f>IF(BA21=0,0,IF($LB21=70%,VLOOKUP($AW21,'Jan-2026 rates'!$L:$R,4,0),IF($LB21=65%,VLOOKUP($AW21,'Jan-2026 rates'!$L:$R,4,0),IF($LB21=40%,VLOOKUP($AW21,'Jan-2026 rates'!$L:$R,5,0),IF($LB21=30%,VLOOKUP($AW21,'Jan-2026 rates'!$L:$R,6,0),IF($LB21=100%,VLOOKUP($AW21,'Jan-2026 rates'!$L:$R,7,0),IF($LB21=60%,VLOOKUP($AW21,'Jan-2026 rates'!$L:$S,8,0),IF($LB21=80%,VLOOKUP($AW21,'Jan-2026 rates'!L:T,9,0),0))))))))</f>
        <v>0</v>
      </c>
      <c r="BC21" s="413">
        <v>262</v>
      </c>
      <c r="BD21" s="412" t="s">
        <v>1250</v>
      </c>
      <c r="BE21" s="412" t="s">
        <v>1252</v>
      </c>
      <c r="BF21" s="413" t="s">
        <v>1247</v>
      </c>
      <c r="BG21" s="412"/>
      <c r="BH21" s="412"/>
      <c r="BI21" s="412"/>
      <c r="BJ21" s="412"/>
      <c r="BK21" s="409">
        <f>15+8</f>
        <v>23</v>
      </c>
      <c r="BL21" s="398">
        <f>IF(BK21=0,0,IF(LEN(BC21)=11,_xlfn.XLOOKUP(BC21,'Dispensed Ink Rates'!C:C,'Dispensed Ink Rates'!CS:CS),VLOOKUP(BC21,'Jan-2026 rates'!$E:$F,2,0)))</f>
        <v>0</v>
      </c>
      <c r="BM21" s="409">
        <f>5+7+4</f>
        <v>16</v>
      </c>
      <c r="BN21" s="398">
        <f>IF(BM21=0,0,IF(LEN(BD21)=11,_xlfn.XLOOKUP(BD21,'Dispensed Ink Rates'!C:C,'Dispensed Ink Rates'!CS:CS),VLOOKUP(BD21,'Jan-2026 rates'!$E:$F,2,0)))</f>
        <v>0</v>
      </c>
      <c r="BO21" s="409">
        <f>2+1</f>
        <v>3</v>
      </c>
      <c r="BP21" s="398">
        <f>IF(BO21=0,0,IF(LEN(BE21)=11,_xlfn.XLOOKUP(BE21,'Dispensed Ink Rates'!C:C,'Dispensed Ink Rates'!CS:CS),VLOOKUP(BE21,'Jan-2026 rates'!$E:$F,2,0)))</f>
        <v>0</v>
      </c>
      <c r="BQ21" s="409">
        <f>5+4</f>
        <v>9</v>
      </c>
      <c r="BR21" s="398">
        <f>IF(BQ21=0,0,IF(LEN(BF21)=11,_xlfn.XLOOKUP(BF21,'Dispensed Ink Rates'!C:C,'Dispensed Ink Rates'!CS:CS),VLOOKUP(BF21,'Jan-2026 rates'!$E:$F,2,0)))</f>
        <v>0</v>
      </c>
      <c r="BS21" s="409"/>
      <c r="BT21" s="398">
        <f>IF(BS21=0,0,IF(LEN(BG21)=11,_xlfn.XLOOKUP(BG21,'Dispensed Ink Rates'!C:C,'Dispensed Ink Rates'!CS:CS),VLOOKUP(BG21,'Jan-2026 rates'!$E:$F,2,0)))</f>
        <v>0</v>
      </c>
      <c r="BU21" s="409"/>
      <c r="BV21" s="398">
        <f>IF(BU21=0,0,IF(LEN(BH21)=11,_xlfn.XLOOKUP(BH21,'Dispensed Ink Rates'!C:C,'Dispensed Ink Rates'!CS:CS),VLOOKUP(BH21,'Jan-2026 rates'!$E:$F,2,0)))</f>
        <v>0</v>
      </c>
      <c r="BW21" s="409"/>
      <c r="BX21" s="398">
        <f>IF(BW21=0,0,IF(LEN(BI21)=11,_xlfn.XLOOKUP(BI21,'Dispensed Ink Rates'!C:C,'Dispensed Ink Rates'!CS:CS),VLOOKUP(BI21,'Jan-2026 rates'!$E:$F,2,0)))</f>
        <v>0</v>
      </c>
      <c r="BY21" s="409"/>
      <c r="BZ21" s="398">
        <f>IF(BY21=0,0,IF(LEN(BJ21)=11,_xlfn.XLOOKUP(BJ21,'Dispensed Ink Rates'!C:C,'Dispensed Ink Rates'!CS:CS),VLOOKUP(BJ21,'Jan-2026 rates'!$E:$F,2,0)))</f>
        <v>0</v>
      </c>
      <c r="CA21" s="409" t="s">
        <v>1881</v>
      </c>
      <c r="CB21" s="409">
        <f>18+20</f>
        <v>38</v>
      </c>
      <c r="CC21" s="411">
        <f t="shared" si="5"/>
        <v>0</v>
      </c>
      <c r="CD21" s="411">
        <f t="shared" si="6"/>
        <v>60.833333333333329</v>
      </c>
      <c r="CE21" s="410">
        <f t="shared" si="7"/>
        <v>0</v>
      </c>
      <c r="CF21" s="404" t="s">
        <v>857</v>
      </c>
      <c r="CG21" s="409"/>
      <c r="CH21" s="420" t="str">
        <f t="shared" si="8"/>
        <v>ToyoLi - RED</v>
      </c>
      <c r="CI21" s="409"/>
      <c r="CJ21" s="411">
        <f>IF(CI21=0,0,IF($LB21=70%,VLOOKUP($CH21,'Jan-2026 rates'!$L:$R,4,0),IF($LB21=65%,VLOOKUP($CH21,'Jan-2026 rates'!$L:$R,4,0),IF($LB21=40%,VLOOKUP($CH21,'Jan-2026 rates'!$L:$R,5,0),IF($LB21=30%,VLOOKUP($CH21,'Jan-2026 rates'!$L:$R,6,0),IF($LB21=100%,VLOOKUP($CH21,'Jan-2026 rates'!$L:$R,7,0),IF($LB21=60%,VLOOKUP($CH21,'Jan-2026 rates'!$L:$S,8,0),IF($LB21=80%,VLOOKUP($CH21,'Jan-2026 rates'!L:T,9,0),0))))))))</f>
        <v>0</v>
      </c>
      <c r="CK21" s="412"/>
      <c r="CL21" s="409"/>
      <c r="CM21" s="411">
        <f>IF(CL21=0,0,IF($LB21=70%,VLOOKUP($CH21,'Jan-2026 rates'!$L:$R,4,0),IF($LB21=65%,VLOOKUP($CH21,'Jan-2026 rates'!$L:$R,4,0),IF($LB21=40%,VLOOKUP($CH21,'Jan-2026 rates'!$L:$R,5,0),IF($LB21=30%,VLOOKUP($CH21,'Jan-2026 rates'!$L:$R,6,0),IF($LB21=100%,VLOOKUP($CH21,'Jan-2026 rates'!$L:$R,7,0),IF($LB21=60%,VLOOKUP($CH21,'Jan-2026 rates'!$L:$S,8,0),IF($LB21=80%,VLOOKUP($CH21,'Jan-2026 rates'!L:T,9,0),0))))))))</f>
        <v>0</v>
      </c>
      <c r="CN21" s="426" t="s">
        <v>1246</v>
      </c>
      <c r="CO21" s="427" t="s">
        <v>1248</v>
      </c>
      <c r="CP21" s="426"/>
      <c r="CQ21" s="426"/>
      <c r="CR21" s="428"/>
      <c r="CS21" s="428"/>
      <c r="CT21" s="428"/>
      <c r="CU21" s="428"/>
      <c r="CV21" s="409">
        <f>15+15</f>
        <v>30</v>
      </c>
      <c r="CW21" s="398">
        <f>IF(CV21=0,0,IF(LEN(CN21)=11,_xlfn.XLOOKUP(CN21,'Dispensed Ink Rates'!C:C,'Dispensed Ink Rates'!CS:CS),VLOOKUP(CN21,'Jan-2026 rates'!$E:$F,2,0)))</f>
        <v>0</v>
      </c>
      <c r="CX21" s="409">
        <v>25</v>
      </c>
      <c r="CY21" s="398">
        <f>IF(CX21=0,0,IF(LEN(CO21)=11,_xlfn.XLOOKUP(CO21,'Dispensed Ink Rates'!C:C,'Dispensed Ink Rates'!CS:CS),VLOOKUP(CO21,'Jan-2026 rates'!$E:$F,2,0)))</f>
        <v>0</v>
      </c>
      <c r="CZ21" s="409"/>
      <c r="DA21" s="398">
        <f>IF(CZ21=0,0,IF(LEN(CP21)=11,_xlfn.XLOOKUP(CP21,'Dispensed Ink Rates'!C:C,'Dispensed Ink Rates'!CS:CS),VLOOKUP(CP21,'Jan-2026 rates'!$E:$F,2,0)))</f>
        <v>0</v>
      </c>
      <c r="DB21" s="409"/>
      <c r="DC21" s="398">
        <f>IF(DB21=0,0,IF(LEN(CQ21)=11,_xlfn.XLOOKUP(CQ21,'Dispensed Ink Rates'!C:C,'Dispensed Ink Rates'!CS:CS),VLOOKUP(CQ21,'Jan-2026 rates'!$E:$F,2,0)))</f>
        <v>0</v>
      </c>
      <c r="DD21" s="409"/>
      <c r="DE21" s="398">
        <f>IF(DD21=0,0,IF(LEN(CR21)=11,_xlfn.XLOOKUP(CR21,'Dispensed Ink Rates'!C:C,'Dispensed Ink Rates'!CS:CS),VLOOKUP(CR21,'Jan-2026 rates'!$E:$F,2,0)))</f>
        <v>0</v>
      </c>
      <c r="DF21" s="409"/>
      <c r="DG21" s="398">
        <f>IF(DF21=0,0,IF(LEN(CS21)=11,_xlfn.XLOOKUP(CS21,'Dispensed Ink Rates'!C:C,'Dispensed Ink Rates'!CS:CS),VLOOKUP(CS21,'Jan-2026 rates'!$E:$F,2,0)))</f>
        <v>0</v>
      </c>
      <c r="DH21" s="409"/>
      <c r="DI21" s="398">
        <f>IF(DH21=0,0,IF(LEN(CT21)=11,_xlfn.XLOOKUP(CT21,'Dispensed Ink Rates'!C:C,'Dispensed Ink Rates'!CS:CS),VLOOKUP(CT21,'Jan-2026 rates'!$E:$F,2,0)))</f>
        <v>0</v>
      </c>
      <c r="DJ21" s="409"/>
      <c r="DK21" s="398">
        <f>IF(DJ21=0,0,IF(LEN(CU21)=11,_xlfn.XLOOKUP(CU21,'Dispensed Ink Rates'!C:C,'Dispensed Ink Rates'!CS:CS),VLOOKUP(CU21,'Jan-2026 rates'!$E:$F,2,0)))</f>
        <v>0</v>
      </c>
      <c r="DL21" s="409" t="s">
        <v>1881</v>
      </c>
      <c r="DM21" s="409">
        <v>25</v>
      </c>
      <c r="DN21" s="411">
        <f t="shared" si="9"/>
        <v>0</v>
      </c>
      <c r="DO21" s="411">
        <f t="shared" si="10"/>
        <v>81.25</v>
      </c>
      <c r="DP21" s="410">
        <f t="shared" si="11"/>
        <v>0</v>
      </c>
      <c r="DQ21" s="405" t="s">
        <v>855</v>
      </c>
      <c r="DR21" s="409" t="s">
        <v>2661</v>
      </c>
      <c r="DS21" s="420" t="str">
        <f t="shared" si="12"/>
        <v>ToyoLi - CYAN</v>
      </c>
      <c r="DT21" s="409">
        <v>28</v>
      </c>
      <c r="DU21" s="411">
        <f>IF(DT21=0,0,IF($LB21=70%,VLOOKUP($DS21,'Jan-2026 rates'!$L:$R,4,0),IF($LB21=65%,VLOOKUP($DS21,'Jan-2026 rates'!$L:$R,4,0),IF($LB21=40%,VLOOKUP($DS21,'Jan-2026 rates'!$L:$R,5,0),IF($LB21=30%,VLOOKUP($DS21,'Jan-2026 rates'!$L:$R,6,0),IF($LB21=100%,VLOOKUP($DS21,'Jan-2026 rates'!$L:$R,7,0),IF($LB21=60%,VLOOKUP($DS21,'Jan-2026 rates'!$L:$S,8,0),IF($LB21=80%,VLOOKUP($DS21,'Jan-2026 rates'!L:T,9,0),0))))))))</f>
        <v>0</v>
      </c>
      <c r="DV21" s="412"/>
      <c r="DW21" s="409"/>
      <c r="DX21" s="411">
        <f>IF(DW21=0,0,IF($LB21=70%,VLOOKUP($DS21,'Jan-2026 rates'!$L:$R,4,0),IF($LB21=65%,VLOOKUP($DS21,'Jan-2026 rates'!$L:$R,4,0),IF($LB21=40%,VLOOKUP($DS21,'Jan-2026 rates'!$L:$R,5,0),IF($LB21=30%,VLOOKUP($DS21,'Jan-2026 rates'!$L:$R,6,0),IF($LB21=100%,VLOOKUP($DS21,'Jan-2026 rates'!$L:$R,7,0),IF($LB21=60%,VLOOKUP($DS21,'Jan-2026 rates'!$L:$S,8,0),IF($LB21=80%,VLOOKUP($DS21,'Jan-2026 rates'!L:T,9,0),0))))))))</f>
        <v>0</v>
      </c>
      <c r="DY21" s="413" t="s">
        <v>1250</v>
      </c>
      <c r="DZ21" s="413"/>
      <c r="EA21" s="412"/>
      <c r="EB21" s="412"/>
      <c r="EC21" s="412"/>
      <c r="ED21" s="412"/>
      <c r="EE21" s="412"/>
      <c r="EF21" s="412"/>
      <c r="EG21" s="409">
        <v>4</v>
      </c>
      <c r="EH21" s="398">
        <f>IF(EG21=0,0,IF(LEN(DY21)=11,_xlfn.XLOOKUP(DY21,'Dispensed Ink Rates'!C:C,'Dispensed Ink Rates'!CS:CS),VLOOKUP(DY21,'Jan-2026 rates'!$E:$F,2,0)))</f>
        <v>0</v>
      </c>
      <c r="EI21" s="409"/>
      <c r="EJ21" s="398">
        <f>IF(EI21=0,0,IF(LEN(DZ21)=11,_xlfn.XLOOKUP(DZ21,'Dispensed Ink Rates'!C:C,'Dispensed Ink Rates'!CS:CS),VLOOKUP(DZ21,'Jan-2026 rates'!$E:$F,2,0)))</f>
        <v>0</v>
      </c>
      <c r="EK21" s="409"/>
      <c r="EL21" s="398">
        <f>IF(EK21=0,0,IF(LEN(EA21)=11,_xlfn.XLOOKUP(EA21,'Dispensed Ink Rates'!C:C,'Dispensed Ink Rates'!CS:CS),VLOOKUP(EA21,'Jan-2026 rates'!$E:$F,2,0)))</f>
        <v>0</v>
      </c>
      <c r="EM21" s="409"/>
      <c r="EN21" s="398">
        <f>IF(EM21=0,0,IF(LEN(EB21)=11,_xlfn.XLOOKUP(EB21,'Dispensed Ink Rates'!C:C,'Dispensed Ink Rates'!CS:CS),VLOOKUP(EB21,'Jan-2026 rates'!$E:$F,2,0)))</f>
        <v>0</v>
      </c>
      <c r="EO21" s="409"/>
      <c r="EP21" s="398">
        <f>IF(EO21=0,0,IF(LEN(EC21)=11,_xlfn.XLOOKUP(EC21,'Dispensed Ink Rates'!C:C,'Dispensed Ink Rates'!CS:CS),VLOOKUP(EC21,'Jan-2026 rates'!$E:$F,2,0)))</f>
        <v>0</v>
      </c>
      <c r="EQ21" s="409"/>
      <c r="ER21" s="398">
        <f>IF(EQ21=0,0,IF(LEN(ED21)=11,_xlfn.XLOOKUP(ED21,'Dispensed Ink Rates'!C:C,'Dispensed Ink Rates'!CS:CS),VLOOKUP(ED21,'Jan-2026 rates'!$E:$F,2,0)))</f>
        <v>0</v>
      </c>
      <c r="ES21" s="409"/>
      <c r="ET21" s="398">
        <f>IF(ES21=0,0,IF(LEN(EE21)=11,_xlfn.XLOOKUP(EE21,'Dispensed Ink Rates'!C:C,'Dispensed Ink Rates'!CS:CS),VLOOKUP(EE21,'Jan-2026 rates'!$E:$F,2,0)))</f>
        <v>0</v>
      </c>
      <c r="EU21" s="409"/>
      <c r="EV21" s="398">
        <f>IF(EU21=0,0,IF(LEN(EF21)=11,_xlfn.XLOOKUP(EF21,'Dispensed Ink Rates'!C:C,'Dispensed Ink Rates'!CS:CS),VLOOKUP(EF21,'Jan-2026 rates'!$E:$F,2,0)))</f>
        <v>0</v>
      </c>
      <c r="EW21" s="409" t="s">
        <v>1881</v>
      </c>
      <c r="EX21" s="409">
        <v>27</v>
      </c>
      <c r="EY21" s="411">
        <f t="shared" si="13"/>
        <v>0</v>
      </c>
      <c r="EZ21" s="411">
        <f t="shared" si="14"/>
        <v>11.833333333333336</v>
      </c>
      <c r="FA21" s="410">
        <f t="shared" si="15"/>
        <v>0</v>
      </c>
      <c r="FB21" s="405" t="s">
        <v>544</v>
      </c>
      <c r="FC21" s="409" t="s">
        <v>2662</v>
      </c>
      <c r="FD21" s="420" t="str">
        <f t="shared" si="16"/>
        <v>ToyoLi - MAGENTA</v>
      </c>
      <c r="FE21" s="409">
        <v>25</v>
      </c>
      <c r="FF21" s="411">
        <f>IF(FE21=0,0,IF($LB21=70%,VLOOKUP($FD21,'Jan-2026 rates'!$L:$R,4,0),IF($LB21=65%,VLOOKUP($FD21,'Jan-2026 rates'!$L:$R,4,0),IF($LB21=40%,VLOOKUP($FD21,'Jan-2026 rates'!$L:$R,5,0),IF($LB21=30%,VLOOKUP($FD21,'Jan-2026 rates'!$L:$R,6,0),IF($LB21=100%,VLOOKUP($FD21,'Jan-2026 rates'!$L:$R,7,0),IF($LB21=60%,VLOOKUP($FD21,'Jan-2026 rates'!$L:$S,8,0),IF($LB21=80%,VLOOKUP($FD21,'Jan-2026 rates'!L:T,9,0),0))))))))</f>
        <v>0</v>
      </c>
      <c r="FG21" s="412"/>
      <c r="FH21" s="409"/>
      <c r="FI21" s="411">
        <f>IF(FH21=0,0,IF($LB21=70%,VLOOKUP($FD21,'Jan-2026 rates'!$L:$R,4,0),IF($LB21=65%,VLOOKUP($FD21,'Jan-2026 rates'!$L:$R,4,0),IF($LB21=40%,VLOOKUP($FD21,'Jan-2026 rates'!$L:$R,5,0),IF($LB21=30%,VLOOKUP($FD21,'Jan-2026 rates'!$L:$R,6,0),IF($LB21=100%,VLOOKUP($FD21,'Jan-2026 rates'!$L:$R,7,0),IF($LB21=60%,VLOOKUP($FD21,'Jan-2026 rates'!$L:$S,8,0),IF($LB21=80%,VLOOKUP($FD21,'Jan-2026 rates'!L:T,9,0),0))))))))</f>
        <v>0</v>
      </c>
      <c r="FJ21" s="413" t="s">
        <v>1921</v>
      </c>
      <c r="FK21" s="413"/>
      <c r="FL21" s="413"/>
      <c r="FM21" s="412"/>
      <c r="FN21" s="412"/>
      <c r="FO21" s="412"/>
      <c r="FP21" s="412"/>
      <c r="FQ21" s="412"/>
      <c r="FR21" s="409">
        <v>6</v>
      </c>
      <c r="FS21" s="398">
        <f>IF(FR21=0,0,IF(LEN(FJ21)=11,_xlfn.XLOOKUP(FJ21,'Dispensed Ink Rates'!C:C,'Dispensed Ink Rates'!CS:CS),VLOOKUP(FJ21,'Jan-2026 rates'!$E:$F,2,0)))</f>
        <v>0</v>
      </c>
      <c r="FT21" s="409"/>
      <c r="FU21" s="398">
        <f>IF(FT21=0,0,IF(LEN(FK21)=11,_xlfn.XLOOKUP(FK21,'Dispensed Ink Rates'!C:C,'Dispensed Ink Rates'!CS:CS),VLOOKUP(FK21,'Jan-2026 rates'!$E:$F,2,0)))</f>
        <v>0</v>
      </c>
      <c r="FV21" s="409"/>
      <c r="FW21" s="398">
        <f>IF(FV21=0,0,IF(LEN(FL21)=11,_xlfn.XLOOKUP(FL21,'Dispensed Ink Rates'!C:C,'Dispensed Ink Rates'!CS:CS),VLOOKUP(FL21,'Jan-2026 rates'!$E:$F,2,0)))</f>
        <v>0</v>
      </c>
      <c r="FX21" s="409"/>
      <c r="FY21" s="398">
        <f>IF(FX21=0,0,IF(LEN(FM21)=11,_xlfn.XLOOKUP(FM21,'Dispensed Ink Rates'!C:C,'Dispensed Ink Rates'!CS:CS),VLOOKUP(FM21,'Jan-2026 rates'!$E:$F,2,0)))</f>
        <v>0</v>
      </c>
      <c r="FZ21" s="409"/>
      <c r="GA21" s="398">
        <f>IF(FZ21=0,0,IF(LEN(FN21)=11,_xlfn.XLOOKUP(FN21,'Dispensed Ink Rates'!C:C,'Dispensed Ink Rates'!CS:CS),VLOOKUP(FN21,'Jan-2026 rates'!$E:$F,2,0)))</f>
        <v>0</v>
      </c>
      <c r="GB21" s="409"/>
      <c r="GC21" s="398">
        <f>IF(GB21=0,0,IF(LEN(FO21)=11,_xlfn.XLOOKUP(FO21,'Dispensed Ink Rates'!C:C,'Dispensed Ink Rates'!CS:CS),VLOOKUP(FO21,'Jan-2026 rates'!$E:$F,2,0)))</f>
        <v>0</v>
      </c>
      <c r="GD21" s="409"/>
      <c r="GE21" s="398">
        <f>IF(GD21=0,0,IF(LEN(FP21)=11,_xlfn.XLOOKUP(FP21,'Dispensed Ink Rates'!C:C,'Dispensed Ink Rates'!CS:CS),VLOOKUP(FP21,'Jan-2026 rates'!$E:$F,2,0)))</f>
        <v>0</v>
      </c>
      <c r="GF21" s="409"/>
      <c r="GG21" s="398">
        <f>IF(GF21=0,0,IF(LEN(FQ21)=11,_xlfn.XLOOKUP(FQ21,'Dispensed Ink Rates'!C:C,'Dispensed Ink Rates'!CS:CS),VLOOKUP(FQ21,'Jan-2026 rates'!$E:$F,2,0)))</f>
        <v>0</v>
      </c>
      <c r="GH21" s="409" t="s">
        <v>1881</v>
      </c>
      <c r="GI21" s="409">
        <v>26</v>
      </c>
      <c r="GJ21" s="411">
        <f t="shared" si="17"/>
        <v>0</v>
      </c>
      <c r="GK21" s="411">
        <f t="shared" si="18"/>
        <v>32.333333333333329</v>
      </c>
      <c r="GL21" s="410">
        <f t="shared" si="19"/>
        <v>0</v>
      </c>
      <c r="GM21" s="405" t="s">
        <v>545</v>
      </c>
      <c r="GN21" s="409" t="s">
        <v>2663</v>
      </c>
      <c r="GO21" s="420" t="str">
        <f t="shared" si="20"/>
        <v>ToyoLi - YELLOW</v>
      </c>
      <c r="GP21" s="409">
        <v>24</v>
      </c>
      <c r="GQ21" s="411">
        <f>IF(GP21=0,0,IF($LB21=70%,VLOOKUP($GO21,'Jan-2026 rates'!$L:$R,4,0),IF($LB21=65%,VLOOKUP($GO21,'Jan-2026 rates'!$L:$R,4,0),IF($LB21=40%,VLOOKUP($GO21,'Jan-2026 rates'!$L:$R,5,0),IF($LB21=30%,VLOOKUP($GO21,'Jan-2026 rates'!$L:$R,6,0),IF($LB21=100%,VLOOKUP($GO21,'Jan-2026 rates'!$L:$R,7,0),IF($LB21=60%,VLOOKUP($GO21,'Jan-2026 rates'!$L:$S,8,0),IF($LB21=80%,VLOOKUP($GO21,'Jan-2026 rates'!L:T,9,0),0))))))))</f>
        <v>0</v>
      </c>
      <c r="GR21" s="412"/>
      <c r="GS21" s="409"/>
      <c r="GT21" s="411">
        <f>IF(GS21=0,0,IF($LB21=70%,VLOOKUP($GO21,'Jan-2026 rates'!$L:$R,4,0),IF($LB21=65%,VLOOKUP($GO21,'Jan-2026 rates'!$L:$R,4,0),IF($LB21=40%,VLOOKUP($GO21,'Jan-2026 rates'!$L:$R,5,0),IF($LB21=30%,VLOOKUP($GO21,'Jan-2026 rates'!$L:$R,6,0),IF($LB21=100%,VLOOKUP($GO21,'Jan-2026 rates'!$L:$R,7,0),IF($LB21=60%,VLOOKUP($GO21,'Jan-2026 rates'!$L:$S,8,0),IF($LB21=80%,VLOOKUP($GO21,'Jan-2026 rates'!L:T,9,0),0))))))))</f>
        <v>0</v>
      </c>
      <c r="GU21" s="413" t="s">
        <v>1247</v>
      </c>
      <c r="GV21" s="413"/>
      <c r="GW21" s="412"/>
      <c r="GX21" s="412"/>
      <c r="GY21" s="412"/>
      <c r="GZ21" s="412"/>
      <c r="HA21" s="412"/>
      <c r="HB21" s="412"/>
      <c r="HC21" s="409">
        <v>10</v>
      </c>
      <c r="HD21" s="398">
        <f>IF(HC21=0,0,IF(LEN(GU21)=11,_xlfn.XLOOKUP(GU21,'Dispensed Ink Rates'!C:C,'Dispensed Ink Rates'!CS:CS),VLOOKUP(GU21,'Jan-2026 rates'!$E:$F,2,0)))</f>
        <v>0</v>
      </c>
      <c r="HE21" s="409"/>
      <c r="HF21" s="398">
        <f>IF(HE21=0,0,IF(LEN(GV21)=11,_xlfn.XLOOKUP(GV21,'Dispensed Ink Rates'!C:C,'Dispensed Ink Rates'!CS:CS),VLOOKUP(GV21,'Jan-2026 rates'!$E:$F,2,0)))</f>
        <v>0</v>
      </c>
      <c r="HG21" s="409"/>
      <c r="HH21" s="398">
        <f>IF(HG21=0,0,IF(LEN(GW21)=11,_xlfn.XLOOKUP(GW21,'Dispensed Ink Rates'!C:C,'Dispensed Ink Rates'!CS:CS),VLOOKUP(GW21,'Jan-2026 rates'!$E:$F,2,0)))</f>
        <v>0</v>
      </c>
      <c r="HI21" s="409"/>
      <c r="HJ21" s="398">
        <f>IF(HI21=0,0,IF(LEN(GX21)=11,_xlfn.XLOOKUP(GX21,'Dispensed Ink Rates'!C:C,'Dispensed Ink Rates'!CS:CS),VLOOKUP(GX21,'Jan-2026 rates'!$E:$F,2,0)))</f>
        <v>0</v>
      </c>
      <c r="HK21" s="409"/>
      <c r="HL21" s="398">
        <f>IF(HK21=0,0,IF(LEN(GY21)=11,_xlfn.XLOOKUP(GY21,'Dispensed Ink Rates'!C:C,'Dispensed Ink Rates'!CS:CS),VLOOKUP(GY21,'Jan-2026 rates'!$E:$F,2,0)))</f>
        <v>0</v>
      </c>
      <c r="HM21" s="409"/>
      <c r="HN21" s="398">
        <f>IF(HM21=0,0,IF(LEN(GZ21)=11,_xlfn.XLOOKUP(GZ21,'Dispensed Ink Rates'!C:C,'Dispensed Ink Rates'!CS:CS),VLOOKUP(GZ21,'Jan-2026 rates'!$E:$F,2,0)))</f>
        <v>0</v>
      </c>
      <c r="HO21" s="409"/>
      <c r="HP21" s="398">
        <f>IF(HO21=0,0,IF(LEN(HA21)=11,_xlfn.XLOOKUP(HA21,'Dispensed Ink Rates'!C:C,'Dispensed Ink Rates'!CS:CS),VLOOKUP(HA21,'Jan-2026 rates'!$E:$F,2,0)))</f>
        <v>0</v>
      </c>
      <c r="HQ21" s="409"/>
      <c r="HR21" s="398">
        <f>IF(HQ21=0,0,IF(LEN(HB21)=11,_xlfn.XLOOKUP(HB21,'Dispensed Ink Rates'!C:C,'Dispensed Ink Rates'!CS:CS),VLOOKUP(HB21,'Jan-2026 rates'!$E:$F,2,0)))</f>
        <v>0</v>
      </c>
      <c r="HS21" s="409" t="s">
        <v>1881</v>
      </c>
      <c r="HT21" s="409">
        <v>23</v>
      </c>
      <c r="HU21" s="411">
        <f t="shared" si="21"/>
        <v>0</v>
      </c>
      <c r="HV21" s="411">
        <f t="shared" si="22"/>
        <v>34.916666666666664</v>
      </c>
      <c r="HW21" s="414">
        <f t="shared" si="23"/>
        <v>0</v>
      </c>
      <c r="HX21" s="405" t="s">
        <v>856</v>
      </c>
      <c r="HY21" s="409" t="s">
        <v>2664</v>
      </c>
      <c r="HZ21" s="420" t="str">
        <f t="shared" si="24"/>
        <v>ToyoLi - WHITE</v>
      </c>
      <c r="IA21" s="409">
        <v>30</v>
      </c>
      <c r="IB21" s="411">
        <f>IF(IA21=0,0,IF($LB21=70%,VLOOKUP($HZ21,'Jan-2026 rates'!$L:$R,4,0),IF($LB21=65%,VLOOKUP($HZ21,'Jan-2026 rates'!$L:$R,4,0),IF($LB21=40%,VLOOKUP($HZ21,'Jan-2026 rates'!$L:$R,5,0),IF($LB21=30%,VLOOKUP($HZ21,'Jan-2026 rates'!$L:$R,6,0),IF($LB21=100%,VLOOKUP($HZ21,'Jan-2026 rates'!$L:$R,7,0),IF($LB21=60%,VLOOKUP($HZ21,'Jan-2026 rates'!$L:$S,8,0),IF($LB21=80%,VLOOKUP($HZ21,'Jan-2026 rates'!L:T,9,0),0))))))))</f>
        <v>0</v>
      </c>
      <c r="IC21" s="412"/>
      <c r="ID21" s="409"/>
      <c r="IE21" s="411">
        <f>IF(ID21=0,0,IF($LB21=70%,VLOOKUP($HZ21,'Jan-2026 rates'!$L:$R,4,0),IF($LB21=65%,VLOOKUP($HZ21,'Jan-2026 rates'!$L:$R,4,0),IF($LB21=40%,VLOOKUP($HZ21,'Jan-2026 rates'!$L:$R,5,0),IF($LB21=30%,VLOOKUP($HZ21,'Jan-2026 rates'!$L:$R,6,0),IF($LB21=100%,VLOOKUP($HZ21,'Jan-2026 rates'!$L:$R,7,0),IF($LB21=60%,VLOOKUP($HZ21,'Jan-2026 rates'!$L:$S,8,0),IF($LB21=80%,VLOOKUP($HZ21,'Jan-2026 rates'!L:T,9,0),0))))))))</f>
        <v>0</v>
      </c>
      <c r="IF21" s="412" t="s">
        <v>1249</v>
      </c>
      <c r="IG21" s="413" t="s">
        <v>1122</v>
      </c>
      <c r="IH21" s="412"/>
      <c r="II21" s="412"/>
      <c r="IJ21" s="412"/>
      <c r="IK21" s="412"/>
      <c r="IL21" s="412"/>
      <c r="IM21" s="412"/>
      <c r="IN21" s="409">
        <f>80+40</f>
        <v>120</v>
      </c>
      <c r="IO21" s="398">
        <f>IF(IN21=0,0,IF(LEN(IF21)=11,_xlfn.XLOOKUP(IF21,'Dispensed Ink Rates'!C:C,'Dispensed Ink Rates'!CS:CS),VLOOKUP(IF21,'Jan-2026 rates'!$E:$F,2,0)))</f>
        <v>0</v>
      </c>
      <c r="IP21" s="409">
        <v>9.5500000000000007</v>
      </c>
      <c r="IQ21" s="398">
        <f>IF(IP21=0,0,IF(LEN(IG21)=11,_xlfn.XLOOKUP(IG21,'Dispensed Ink Rates'!C:C,'Dispensed Ink Rates'!CS:CS),VLOOKUP(IG21,'Jan-2026 rates'!$E:$F,2,0)))</f>
        <v>0</v>
      </c>
      <c r="IR21" s="409"/>
      <c r="IS21" s="398">
        <f>IF(IR21=0,0,IF(LEN(IH21)=11,_xlfn.XLOOKUP(IH21,'Dispensed Ink Rates'!C:C,'Dispensed Ink Rates'!CS:CS),VLOOKUP(IH21,'Jan-2026 rates'!$E:$F,2,0)))</f>
        <v>0</v>
      </c>
      <c r="IT21" s="409"/>
      <c r="IU21" s="398">
        <f>IF(IT21=0,0,IF(LEN(II21)=11,_xlfn.XLOOKUP(II21,'Dispensed Ink Rates'!C:C,'Dispensed Ink Rates'!CS:CS),VLOOKUP(II21,'Jan-2026 rates'!$E:$F,2,0)))</f>
        <v>0</v>
      </c>
      <c r="IV21" s="409"/>
      <c r="IW21" s="398">
        <f>IF(IV21=0,0,IF(LEN(IJ21)=11,_xlfn.XLOOKUP(IJ21,'Dispensed Ink Rates'!C:C,'Dispensed Ink Rates'!CS:CS),VLOOKUP(IJ21,'Jan-2026 rates'!$E:$F,2,0)))</f>
        <v>0</v>
      </c>
      <c r="IX21" s="409"/>
      <c r="IY21" s="398">
        <f>IF(IX21=0,0,IF(LEN(IK21)=11,_xlfn.XLOOKUP(IK21,'Dispensed Ink Rates'!C:C,'Dispensed Ink Rates'!CS:CS),VLOOKUP(IK21,'Jan-2026 rates'!$E:$F,2,0)))</f>
        <v>0</v>
      </c>
      <c r="IZ21" s="409"/>
      <c r="JA21" s="398">
        <f>IF(IZ21=0,0,IF(LEN(IL21)=11,_xlfn.XLOOKUP(IL21,'Dispensed Ink Rates'!C:C,'Dispensed Ink Rates'!CS:CS),VLOOKUP(IL21,'Jan-2026 rates'!$E:$F,2,0)))</f>
        <v>0</v>
      </c>
      <c r="JB21" s="409"/>
      <c r="JC21" s="398">
        <f>IF(JB21=0,0,IF(LEN(IM21)=11,_xlfn.XLOOKUP(IM21,'Dispensed Ink Rates'!C:C,'Dispensed Ink Rates'!CS:CS),VLOOKUP(IM21,'Jan-2026 rates'!$E:$F,2,0)))</f>
        <v>0</v>
      </c>
      <c r="JD21" s="409" t="s">
        <v>1881</v>
      </c>
      <c r="JE21" s="409">
        <v>30</v>
      </c>
      <c r="JF21" s="411">
        <f t="shared" si="25"/>
        <v>0</v>
      </c>
      <c r="JG21" s="411">
        <f t="shared" si="26"/>
        <v>334.55</v>
      </c>
      <c r="JH21" s="410">
        <f t="shared" si="27"/>
        <v>0</v>
      </c>
      <c r="JI21" s="405"/>
      <c r="JJ21" s="409"/>
      <c r="JK21" s="420" t="str">
        <f t="shared" si="28"/>
        <v xml:space="preserve"> - </v>
      </c>
      <c r="JL21" s="409"/>
      <c r="JM21" s="411">
        <f>IF(JL21=0,0,IF($LB21=70%,VLOOKUP($JK21,'Jan-2026 rates'!$L:$R,4,0),IF($LB21=65%,VLOOKUP($JK21,'Jan-2026 rates'!$L:$R,4,0),IF($LB21=40%,VLOOKUP($JK21,'Jan-2026 rates'!$L:$R,5,0),IF($LB21=30%,VLOOKUP($JK21,'Jan-2026 rates'!$L:$R,6,0),IF($LB21=100%,VLOOKUP($JK21,'Jan-2026 rates'!$L:$R,7,0),IF($LB21=60%,VLOOKUP($JK21,'Jan-2026 rates'!$L:$S,8,0),IF($LB21=80%,VLOOKUP($JK21,'Jan-2026 rates'!L:T,9,0),0))))))))</f>
        <v>0</v>
      </c>
      <c r="JN21" s="412"/>
      <c r="JO21" s="409"/>
      <c r="JP21" s="411">
        <f>IF(JO21=0,0,IF($LB21=70%,VLOOKUP($JK21,'Jan-2026 rates'!$L:$R,4,0),IF($LB21=65%,VLOOKUP($JK21,'Jan-2026 rates'!$L:$R,4,0),IF($LB21=40%,VLOOKUP($JK21,'Jan-2026 rates'!$L:$R,5,0),IF($LB21=30%,VLOOKUP($JK21,'Jan-2026 rates'!$L:$R,6,0),IF($LB21=100%,VLOOKUP($JK21,'Jan-2026 rates'!$L:$R,7,0),IF($LB21=60%,VLOOKUP($JK21,'Jan-2026 rates'!$L:$S,8,0),IF($LB21=80%,VLOOKUP($JK21,'Jan-2026 rates'!L:T,9,0),0))))))))</f>
        <v>0</v>
      </c>
      <c r="JQ21" s="413"/>
      <c r="JR21" s="412"/>
      <c r="JS21" s="413"/>
      <c r="JT21" s="413"/>
      <c r="JU21" s="412"/>
      <c r="JV21" s="412"/>
      <c r="JW21" s="412"/>
      <c r="JX21" s="412"/>
      <c r="JY21" s="409"/>
      <c r="JZ21" s="398">
        <f>IF(JY21=0,0,IF(LEN(JQ21)=11,_xlfn.XLOOKUP(JQ21,'Dispensed Ink Rates'!C:C,'Dispensed Ink Rates'!CS:CS),VLOOKUP(JQ21,'Jan-2026 rates'!$E:$F,2,0)))</f>
        <v>0</v>
      </c>
      <c r="KA21" s="409"/>
      <c r="KB21" s="398">
        <f>IF(KA21=0,0,IF(LEN(JR21)=11,_xlfn.XLOOKUP(JR21,'Dispensed Ink Rates'!C:C,'Dispensed Ink Rates'!CS:CS),VLOOKUP(JR21,'Jan-2026 rates'!$E:$F,2,0)))</f>
        <v>0</v>
      </c>
      <c r="KC21" s="409"/>
      <c r="KD21" s="398">
        <f>IF(KC21=0,0,IF(LEN(JS21)=11,_xlfn.XLOOKUP(JS21,'Dispensed Ink Rates'!C:C,'Dispensed Ink Rates'!CS:CS),VLOOKUP(JS21,'Jan-2026 rates'!$E:$F,2,0)))</f>
        <v>0</v>
      </c>
      <c r="KE21" s="409"/>
      <c r="KF21" s="398">
        <f>IF(KE21=0,0,IF(LEN(JT21)=11,_xlfn.XLOOKUP(JT21,'Dispensed Ink Rates'!C:C,'Dispensed Ink Rates'!CS:CS),VLOOKUP(JT21,'Jan-2026 rates'!$E:$F,2,0)))</f>
        <v>0</v>
      </c>
      <c r="KG21" s="409"/>
      <c r="KH21" s="398">
        <f>IF(KG21=0,0,IF(LEN(JU21)=11,_xlfn.XLOOKUP(JU21,'Dispensed Ink Rates'!C:C,'Dispensed Ink Rates'!CS:CS),VLOOKUP(JU21,'Jan-2026 rates'!$E:$F,2,0)))</f>
        <v>0</v>
      </c>
      <c r="KI21" s="409"/>
      <c r="KJ21" s="398">
        <f>IF(KI21=0,0,IF(LEN(JV21)=11,_xlfn.XLOOKUP(JV21,'Dispensed Ink Rates'!C:C,'Dispensed Ink Rates'!CS:CS),VLOOKUP(JV21,'Jan-2026 rates'!$E:$F,2,0)))</f>
        <v>0</v>
      </c>
      <c r="KK21" s="409"/>
      <c r="KL21" s="398">
        <f>IF(KK21=0,0,IF(LEN(JW21)=11,_xlfn.XLOOKUP(JW21,'Dispensed Ink Rates'!C:C,'Dispensed Ink Rates'!CS:CS),VLOOKUP(JW21,'Jan-2026 rates'!$E:$F,2,0)))</f>
        <v>0</v>
      </c>
      <c r="KM21" s="428"/>
      <c r="KN21" s="398">
        <f>IF(KM21=0,0,IF(LEN(JX21)=11,_xlfn.XLOOKUP(JX21,'Dispensed Ink Rates'!C:C,'Dispensed Ink Rates'!CS:CS),VLOOKUP(JX21,'Jan-2026 rates'!$E:$F,2,0)))</f>
        <v>0</v>
      </c>
      <c r="KO21" s="409"/>
      <c r="KP21" s="409"/>
      <c r="KQ21" s="411">
        <f t="shared" si="29"/>
        <v>0</v>
      </c>
      <c r="KR21" s="411">
        <f t="shared" si="30"/>
        <v>0</v>
      </c>
      <c r="KS21" s="410">
        <f t="shared" si="31"/>
        <v>0</v>
      </c>
      <c r="KT21" s="409">
        <v>2</v>
      </c>
      <c r="KU21" s="409">
        <f>6+8</f>
        <v>14</v>
      </c>
      <c r="KV21" s="409">
        <v>15</v>
      </c>
      <c r="KW21" s="409">
        <v>2</v>
      </c>
      <c r="KX21" s="409">
        <v>8</v>
      </c>
      <c r="KY21" s="409">
        <v>7</v>
      </c>
      <c r="KZ21" s="409">
        <f>40+20</f>
        <v>60</v>
      </c>
      <c r="LA21" s="409">
        <v>0</v>
      </c>
      <c r="LB21" s="415">
        <v>0.3</v>
      </c>
      <c r="LC21" s="415"/>
      <c r="LD21" s="415"/>
      <c r="LE21" s="415">
        <v>0.5</v>
      </c>
      <c r="LF21" s="415">
        <v>0.2</v>
      </c>
      <c r="LG21" s="409">
        <v>0</v>
      </c>
      <c r="LH21" s="409">
        <f>60+40+145+75+5+5+5+4+30</f>
        <v>369</v>
      </c>
      <c r="LI21" s="409">
        <v>0</v>
      </c>
      <c r="LJ21" s="409">
        <v>0</v>
      </c>
      <c r="LK21" s="416">
        <f t="shared" si="32"/>
        <v>369</v>
      </c>
      <c r="LL21" s="416">
        <f t="shared" si="33"/>
        <v>369</v>
      </c>
      <c r="LM21" s="417">
        <f t="shared" si="34"/>
        <v>110.7</v>
      </c>
      <c r="LN21" s="417">
        <f>VLOOKUP($LM$8,'Jan-2026 rates'!$H:$I,2,0)</f>
        <v>0</v>
      </c>
      <c r="LO21" s="417">
        <f t="shared" si="35"/>
        <v>0</v>
      </c>
      <c r="LP21" s="417">
        <f>VLOOKUP($LO$8,'Jan-2026 rates'!$H:$I,2,0)</f>
        <v>0</v>
      </c>
      <c r="LQ21" s="417">
        <f t="shared" si="36"/>
        <v>0</v>
      </c>
      <c r="LR21" s="417">
        <f>VLOOKUP($LQ$8,'Jan-2026 rates'!$H:$I,2,0)</f>
        <v>0</v>
      </c>
      <c r="LS21" s="417">
        <f t="shared" si="37"/>
        <v>184.5</v>
      </c>
      <c r="LT21" s="417">
        <f>VLOOKUP($LS$8,'Jan-2026 rates'!$H:$I,2,0)</f>
        <v>0</v>
      </c>
      <c r="LU21" s="417">
        <f t="shared" si="38"/>
        <v>73.8</v>
      </c>
      <c r="LV21" s="417">
        <f>VLOOKUP($LU$8,'Jan-2026 rates'!$H:$I,2,0)</f>
        <v>0</v>
      </c>
      <c r="LW21" s="417">
        <f t="shared" si="39"/>
        <v>0</v>
      </c>
      <c r="LX21" s="417">
        <f t="shared" si="40"/>
        <v>0</v>
      </c>
      <c r="LY21" s="418">
        <f t="shared" si="41"/>
        <v>0</v>
      </c>
      <c r="LZ21" s="417"/>
      <c r="MA21" s="435">
        <f t="shared" si="42"/>
        <v>259.55</v>
      </c>
      <c r="MB21" s="282">
        <f t="shared" si="43"/>
        <v>568.54999999999995</v>
      </c>
      <c r="MC21" s="283" t="s">
        <v>1950</v>
      </c>
      <c r="MD21" s="284" t="str">
        <f t="shared" si="44"/>
        <v>ToyoLiToyoLiToyoLiToyoLiToyoLiToyoLiToyoLi</v>
      </c>
      <c r="ME21" s="293" t="str">
        <f t="shared" si="45"/>
        <v>+</v>
      </c>
      <c r="MF21" s="293" t="str">
        <f t="shared" si="46"/>
        <v>+</v>
      </c>
      <c r="MG21" s="293" t="str">
        <f t="shared" si="47"/>
        <v>+</v>
      </c>
      <c r="MH21" s="293" t="str">
        <f t="shared" si="48"/>
        <v>+</v>
      </c>
      <c r="MI21" s="293" t="str">
        <f t="shared" si="49"/>
        <v>+</v>
      </c>
      <c r="MJ21" s="293" t="str">
        <f t="shared" si="50"/>
        <v>+</v>
      </c>
      <c r="MK21" s="293" t="str">
        <f t="shared" si="51"/>
        <v>+</v>
      </c>
      <c r="ML21" s="293" t="str">
        <f t="shared" si="52"/>
        <v>NIL</v>
      </c>
      <c r="MM21" s="3" t="b">
        <f t="array" ref="MM21">OR(ME21:ML21="-")</f>
        <v>0</v>
      </c>
      <c r="MN21" s="285"/>
      <c r="MO21" s="401"/>
      <c r="MP21" s="286"/>
      <c r="MQ21" s="286"/>
      <c r="MR21" s="402"/>
      <c r="MS21" s="400"/>
      <c r="NH21" s="422"/>
      <c r="NJ21" s="421"/>
    </row>
    <row r="22" spans="1:374" s="1" customFormat="1" ht="16.5">
      <c r="A22" s="403">
        <v>46025</v>
      </c>
      <c r="B22" s="404" t="s">
        <v>1018</v>
      </c>
      <c r="C22" s="405" t="s">
        <v>2665</v>
      </c>
      <c r="D22" s="406" t="s">
        <v>1951</v>
      </c>
      <c r="E22" s="404">
        <v>683</v>
      </c>
      <c r="F22" s="407">
        <v>32850</v>
      </c>
      <c r="G22" s="407" t="s">
        <v>1016</v>
      </c>
      <c r="H22" s="408" t="s">
        <v>1017</v>
      </c>
      <c r="I22" s="409">
        <v>2.2400000000000002</v>
      </c>
      <c r="J22" s="405" t="s">
        <v>857</v>
      </c>
      <c r="K22" s="404" t="s">
        <v>2666</v>
      </c>
      <c r="L22" s="419" t="str">
        <f t="shared" si="0"/>
        <v>ToyoLi - RED</v>
      </c>
      <c r="M22" s="404">
        <f>14+15</f>
        <v>29</v>
      </c>
      <c r="N22" s="410">
        <f>IF(M22=0,0,IF($LB22=70%,VLOOKUP($L22,'Jan-2026 rates'!$L:$R,4,0),IF($LB22=65%,VLOOKUP($L22,'Jan-2026 rates'!$L:$R,4,0),IF($LB22=40%,VLOOKUP($L22,'Jan-2026 rates'!$L:$R,5,0),IF($LB22=30%,VLOOKUP($L22,'Jan-2026 rates'!$L:$R,6,0),IF($LB22=100%,VLOOKUP($L22,'Jan-2026 rates'!$L:$R,7,0),IF($LB22=60%,VLOOKUP($L22,'Jan-2026 rates'!$L:$S,8,0),IF($LB22=80%,VLOOKUP($L22,'Jan-2026 rates'!L:T,9,0),0))))))))</f>
        <v>0</v>
      </c>
      <c r="O22" s="406" t="s">
        <v>2667</v>
      </c>
      <c r="P22" s="404">
        <f>17+15+16+25</f>
        <v>73</v>
      </c>
      <c r="Q22" s="410">
        <f>IF(P22=0,0,IF($LB22=70%,VLOOKUP($L22,'Jan-2026 rates'!$L:$R,4,0),IF($LB22=65%,VLOOKUP($L22,'Jan-2026 rates'!$L:$R,4,0),IF($LB22=40%,VLOOKUP($L22,'Jan-2026 rates'!$L:$R,5,0),IF($LB22=30%,VLOOKUP($L22,'Jan-2026 rates'!$L:$R,6,0),IF($LB22=100%,VLOOKUP($L22,'Jan-2026 rates'!$L:$R,7,0),IF($LB22=60%,VLOOKUP($L22,'Jan-2026 rates'!$L:$S,8,0),IF($LB22=80%,VLOOKUP($L22,'Jan-2026 rates'!L:T,9,0),0))))))))</f>
        <v>0</v>
      </c>
      <c r="R22" s="406" t="s">
        <v>1246</v>
      </c>
      <c r="S22" s="406" t="s">
        <v>1248</v>
      </c>
      <c r="T22" s="406"/>
      <c r="U22" s="406"/>
      <c r="V22" s="406"/>
      <c r="W22" s="406"/>
      <c r="X22" s="406"/>
      <c r="Y22" s="406"/>
      <c r="Z22" s="404">
        <f>20+40</f>
        <v>60</v>
      </c>
      <c r="AA22" s="398">
        <f>IF(Z22=0,0,IF(LEN(R22)=11,_xlfn.XLOOKUP(R22,'Dispensed Ink Rates'!C:C,'Dispensed Ink Rates'!CS:CS),VLOOKUP(R22,'Jan-2026 rates'!$E:$F,2,0)))</f>
        <v>0</v>
      </c>
      <c r="AB22" s="404">
        <f>10+40</f>
        <v>50</v>
      </c>
      <c r="AC22" s="398">
        <f>IF(AB22=0,0,IF(LEN(S22)=11,_xlfn.XLOOKUP(S22,'Dispensed Ink Rates'!C:C,'Dispensed Ink Rates'!CS:CS),VLOOKUP(S22,'Jan-2026 rates'!$E:$F,2,0)))</f>
        <v>0</v>
      </c>
      <c r="AD22" s="404"/>
      <c r="AE22" s="398">
        <f>IF(AD22=0,0,IF(LEN(T22)=11,_xlfn.XLOOKUP(T22,'Dispensed Ink Rates'!C:C,'Dispensed Ink Rates'!CS:CS),VLOOKUP(T22,'Jan-2026 rates'!$E:$F,2,0)))</f>
        <v>0</v>
      </c>
      <c r="AF22" s="404"/>
      <c r="AG22" s="398">
        <f>IF(AF22=0,0,IF(LEN(U22)=11,_xlfn.XLOOKUP(U22,'Dispensed Ink Rates'!C:C,'Dispensed Ink Rates'!CS:CS),VLOOKUP(U22,'Jan-2026 rates'!$E:$F,2,0)))</f>
        <v>0</v>
      </c>
      <c r="AH22" s="404"/>
      <c r="AI22" s="398">
        <f>IF(AH22=0,0,IF(LEN(V22)=11,_xlfn.XLOOKUP(V22,'Dispensed Ink Rates'!C:C,'Dispensed Ink Rates'!CS:CS),VLOOKUP(V22,'Jan-2026 rates'!$E:$F,2,0)))</f>
        <v>0</v>
      </c>
      <c r="AJ22" s="404"/>
      <c r="AK22" s="398">
        <f>IF(AJ22=0,0,IF(LEN(W22)=11,_xlfn.XLOOKUP(W22,'Dispensed Ink Rates'!C:C,'Dispensed Ink Rates'!CS:CS),VLOOKUP(W22,'Jan-2026 rates'!$E:$F,2,0)))</f>
        <v>0</v>
      </c>
      <c r="AL22" s="404"/>
      <c r="AM22" s="398">
        <f>IF(AL22=0,0,IF(LEN(X22)=11,_xlfn.XLOOKUP(X22,'Dispensed Ink Rates'!C:C,'Dispensed Ink Rates'!CS:CS),VLOOKUP(X22,'Jan-2026 rates'!$E:$F,2,0)))</f>
        <v>0</v>
      </c>
      <c r="AN22" s="404"/>
      <c r="AO22" s="398">
        <f>IF(AN22=0,0,IF(LEN(Y22)=11,_xlfn.XLOOKUP(Y22,'Dispensed Ink Rates'!C:C,'Dispensed Ink Rates'!CS:CS),VLOOKUP(Y22,'Jan-2026 rates'!$E:$F,2,0)))</f>
        <v>0</v>
      </c>
      <c r="AP22" s="409" t="s">
        <v>1881</v>
      </c>
      <c r="AQ22" s="409">
        <f>20+18</f>
        <v>38</v>
      </c>
      <c r="AR22" s="410">
        <f t="shared" si="1"/>
        <v>0</v>
      </c>
      <c r="AS22" s="411">
        <f t="shared" si="2"/>
        <v>242.25</v>
      </c>
      <c r="AT22" s="410">
        <f t="shared" si="3"/>
        <v>0</v>
      </c>
      <c r="AU22" s="405" t="s">
        <v>856</v>
      </c>
      <c r="AV22" s="409" t="s">
        <v>2668</v>
      </c>
      <c r="AW22" s="420" t="str">
        <f t="shared" si="4"/>
        <v>ToyoLi - WHITE</v>
      </c>
      <c r="AX22" s="409">
        <v>30</v>
      </c>
      <c r="AY22" s="411">
        <f>IF(AX22=0,0,IF($LB22=70%,VLOOKUP($AW22,'Jan-2026 rates'!$L:$R,4,0),IF($LB22=65%,VLOOKUP($AW22,'Jan-2026 rates'!$L:$R,4,0),IF($LB22=40%,VLOOKUP($AW22,'Jan-2026 rates'!$L:$R,5,0),IF($LB22=30%,VLOOKUP($AW22,'Jan-2026 rates'!$L:$R,6,0),IF($LB22=100%,VLOOKUP($AW22,'Jan-2026 rates'!$L:$R,7,0),IF($LB22=60%,VLOOKUP($AW22,'Jan-2026 rates'!$L:$S,8,0),IF($LB22=80%,VLOOKUP($AW22,'Jan-2026 rates'!L:T,9,0),0))))))))</f>
        <v>0</v>
      </c>
      <c r="AZ22" s="412"/>
      <c r="BA22" s="409"/>
      <c r="BB22" s="411">
        <f>IF(BA22=0,0,IF($LB22=70%,VLOOKUP($AW22,'Jan-2026 rates'!$L:$R,4,0),IF($LB22=65%,VLOOKUP($AW22,'Jan-2026 rates'!$L:$R,4,0),IF($LB22=40%,VLOOKUP($AW22,'Jan-2026 rates'!$L:$R,5,0),IF($LB22=30%,VLOOKUP($AW22,'Jan-2026 rates'!$L:$R,6,0),IF($LB22=100%,VLOOKUP($AW22,'Jan-2026 rates'!$L:$R,7,0),IF($LB22=60%,VLOOKUP($AW22,'Jan-2026 rates'!$L:$S,8,0),IF($LB22=80%,VLOOKUP($AW22,'Jan-2026 rates'!L:T,9,0),0))))))))</f>
        <v>0</v>
      </c>
      <c r="BC22" s="413" t="s">
        <v>1249</v>
      </c>
      <c r="BD22" s="412" t="s">
        <v>1122</v>
      </c>
      <c r="BE22" s="412"/>
      <c r="BF22" s="413"/>
      <c r="BG22" s="412"/>
      <c r="BH22" s="412"/>
      <c r="BI22" s="412"/>
      <c r="BJ22" s="412"/>
      <c r="BK22" s="409">
        <v>100</v>
      </c>
      <c r="BL22" s="398">
        <f>IF(BK22=0,0,IF(LEN(BC22)=11,_xlfn.XLOOKUP(BC22,'Dispensed Ink Rates'!C:C,'Dispensed Ink Rates'!CS:CS),VLOOKUP(BC22,'Jan-2026 rates'!$E:$F,2,0)))</f>
        <v>0</v>
      </c>
      <c r="BM22" s="409">
        <v>8.2799999999999994</v>
      </c>
      <c r="BN22" s="398">
        <f>IF(BM22=0,0,IF(LEN(BD22)=11,_xlfn.XLOOKUP(BD22,'Dispensed Ink Rates'!C:C,'Dispensed Ink Rates'!CS:CS),VLOOKUP(BD22,'Jan-2026 rates'!$E:$F,2,0)))</f>
        <v>0</v>
      </c>
      <c r="BO22" s="409"/>
      <c r="BP22" s="398">
        <f>IF(BO22=0,0,IF(LEN(BE22)=11,_xlfn.XLOOKUP(BE22,'Dispensed Ink Rates'!C:C,'Dispensed Ink Rates'!CS:CS),VLOOKUP(BE22,'Jan-2026 rates'!$E:$F,2,0)))</f>
        <v>0</v>
      </c>
      <c r="BQ22" s="409"/>
      <c r="BR22" s="398">
        <f>IF(BQ22=0,0,IF(LEN(BF22)=11,_xlfn.XLOOKUP(BF22,'Dispensed Ink Rates'!C:C,'Dispensed Ink Rates'!CS:CS),VLOOKUP(BF22,'Jan-2026 rates'!$E:$F,2,0)))</f>
        <v>0</v>
      </c>
      <c r="BS22" s="409"/>
      <c r="BT22" s="398">
        <f>IF(BS22=0,0,IF(LEN(BG22)=11,_xlfn.XLOOKUP(BG22,'Dispensed Ink Rates'!C:C,'Dispensed Ink Rates'!CS:CS),VLOOKUP(BG22,'Jan-2026 rates'!$E:$F,2,0)))</f>
        <v>0</v>
      </c>
      <c r="BU22" s="409"/>
      <c r="BV22" s="398">
        <f>IF(BU22=0,0,IF(LEN(BH22)=11,_xlfn.XLOOKUP(BH22,'Dispensed Ink Rates'!C:C,'Dispensed Ink Rates'!CS:CS),VLOOKUP(BH22,'Jan-2026 rates'!$E:$F,2,0)))</f>
        <v>0</v>
      </c>
      <c r="BW22" s="409"/>
      <c r="BX22" s="398">
        <f>IF(BW22=0,0,IF(LEN(BI22)=11,_xlfn.XLOOKUP(BI22,'Dispensed Ink Rates'!C:C,'Dispensed Ink Rates'!CS:CS),VLOOKUP(BI22,'Jan-2026 rates'!$E:$F,2,0)))</f>
        <v>0</v>
      </c>
      <c r="BY22" s="409"/>
      <c r="BZ22" s="398">
        <f>IF(BY22=0,0,IF(LEN(BJ22)=11,_xlfn.XLOOKUP(BJ22,'Dispensed Ink Rates'!C:C,'Dispensed Ink Rates'!CS:CS),VLOOKUP(BJ22,'Jan-2026 rates'!$E:$F,2,0)))</f>
        <v>0</v>
      </c>
      <c r="CA22" s="409" t="s">
        <v>1881</v>
      </c>
      <c r="CB22" s="409">
        <v>25</v>
      </c>
      <c r="CC22" s="411">
        <f t="shared" si="5"/>
        <v>0</v>
      </c>
      <c r="CD22" s="411">
        <f t="shared" si="6"/>
        <v>318.02999999999997</v>
      </c>
      <c r="CE22" s="410">
        <f t="shared" si="7"/>
        <v>0</v>
      </c>
      <c r="CF22" s="404"/>
      <c r="CG22" s="409"/>
      <c r="CH22" s="420" t="str">
        <f t="shared" si="8"/>
        <v xml:space="preserve"> - </v>
      </c>
      <c r="CI22" s="409"/>
      <c r="CJ22" s="411">
        <f>IF(CI22=0,0,IF($LB22=70%,VLOOKUP($CH22,'Jan-2026 rates'!$L:$R,4,0),IF($LB22=65%,VLOOKUP($CH22,'Jan-2026 rates'!$L:$R,4,0),IF($LB22=40%,VLOOKUP($CH22,'Jan-2026 rates'!$L:$R,5,0),IF($LB22=30%,VLOOKUP($CH22,'Jan-2026 rates'!$L:$R,6,0),IF($LB22=100%,VLOOKUP($CH22,'Jan-2026 rates'!$L:$R,7,0),IF($LB22=60%,VLOOKUP($CH22,'Jan-2026 rates'!$L:$S,8,0),IF($LB22=80%,VLOOKUP($CH22,'Jan-2026 rates'!L:T,9,0),0))))))))</f>
        <v>0</v>
      </c>
      <c r="CK22" s="412"/>
      <c r="CL22" s="409"/>
      <c r="CM22" s="411">
        <f>IF(CL22=0,0,IF($LB22=70%,VLOOKUP($CH22,'Jan-2026 rates'!$L:$R,4,0),IF($LB22=65%,VLOOKUP($CH22,'Jan-2026 rates'!$L:$R,4,0),IF($LB22=40%,VLOOKUP($CH22,'Jan-2026 rates'!$L:$R,5,0),IF($LB22=30%,VLOOKUP($CH22,'Jan-2026 rates'!$L:$R,6,0),IF($LB22=100%,VLOOKUP($CH22,'Jan-2026 rates'!$L:$R,7,0),IF($LB22=60%,VLOOKUP($CH22,'Jan-2026 rates'!$L:$S,8,0),IF($LB22=80%,VLOOKUP($CH22,'Jan-2026 rates'!L:T,9,0),0))))))))</f>
        <v>0</v>
      </c>
      <c r="CN22" s="426"/>
      <c r="CO22" s="427"/>
      <c r="CP22" s="426"/>
      <c r="CQ22" s="426"/>
      <c r="CR22" s="428"/>
      <c r="CS22" s="428"/>
      <c r="CT22" s="428"/>
      <c r="CU22" s="428"/>
      <c r="CV22" s="409"/>
      <c r="CW22" s="398">
        <f>IF(CV22=0,0,IF(LEN(CN22)=11,_xlfn.XLOOKUP(CN22,'Dispensed Ink Rates'!C:C,'Dispensed Ink Rates'!CS:CS),VLOOKUP(CN22,'Jan-2026 rates'!$E:$F,2,0)))</f>
        <v>0</v>
      </c>
      <c r="CX22" s="409"/>
      <c r="CY22" s="398">
        <f>IF(CX22=0,0,IF(LEN(CO22)=11,_xlfn.XLOOKUP(CO22,'Dispensed Ink Rates'!C:C,'Dispensed Ink Rates'!CS:CS),VLOOKUP(CO22,'Jan-2026 rates'!$E:$F,2,0)))</f>
        <v>0</v>
      </c>
      <c r="CZ22" s="409"/>
      <c r="DA22" s="398">
        <f>IF(CZ22=0,0,IF(LEN(CP22)=11,_xlfn.XLOOKUP(CP22,'Dispensed Ink Rates'!C:C,'Dispensed Ink Rates'!CS:CS),VLOOKUP(CP22,'Jan-2026 rates'!$E:$F,2,0)))</f>
        <v>0</v>
      </c>
      <c r="DB22" s="409"/>
      <c r="DC22" s="398">
        <f>IF(DB22=0,0,IF(LEN(CQ22)=11,_xlfn.XLOOKUP(CQ22,'Dispensed Ink Rates'!C:C,'Dispensed Ink Rates'!CS:CS),VLOOKUP(CQ22,'Jan-2026 rates'!$E:$F,2,0)))</f>
        <v>0</v>
      </c>
      <c r="DD22" s="409"/>
      <c r="DE22" s="398">
        <f>IF(DD22=0,0,IF(LEN(CR22)=11,_xlfn.XLOOKUP(CR22,'Dispensed Ink Rates'!C:C,'Dispensed Ink Rates'!CS:CS),VLOOKUP(CR22,'Jan-2026 rates'!$E:$F,2,0)))</f>
        <v>0</v>
      </c>
      <c r="DF22" s="409"/>
      <c r="DG22" s="398">
        <f>IF(DF22=0,0,IF(LEN(CS22)=11,_xlfn.XLOOKUP(CS22,'Dispensed Ink Rates'!C:C,'Dispensed Ink Rates'!CS:CS),VLOOKUP(CS22,'Jan-2026 rates'!$E:$F,2,0)))</f>
        <v>0</v>
      </c>
      <c r="DH22" s="409"/>
      <c r="DI22" s="398">
        <f>IF(DH22=0,0,IF(LEN(CT22)=11,_xlfn.XLOOKUP(CT22,'Dispensed Ink Rates'!C:C,'Dispensed Ink Rates'!CS:CS),VLOOKUP(CT22,'Jan-2026 rates'!$E:$F,2,0)))</f>
        <v>0</v>
      </c>
      <c r="DJ22" s="409"/>
      <c r="DK22" s="398">
        <f>IF(DJ22=0,0,IF(LEN(CU22)=11,_xlfn.XLOOKUP(CU22,'Dispensed Ink Rates'!C:C,'Dispensed Ink Rates'!CS:CS),VLOOKUP(CU22,'Jan-2026 rates'!$E:$F,2,0)))</f>
        <v>0</v>
      </c>
      <c r="DL22" s="409"/>
      <c r="DM22" s="409"/>
      <c r="DN22" s="411">
        <f t="shared" si="9"/>
        <v>0</v>
      </c>
      <c r="DO22" s="411">
        <f t="shared" si="10"/>
        <v>0</v>
      </c>
      <c r="DP22" s="410">
        <f t="shared" si="11"/>
        <v>0</v>
      </c>
      <c r="DQ22" s="405"/>
      <c r="DR22" s="409"/>
      <c r="DS22" s="420" t="str">
        <f t="shared" si="12"/>
        <v xml:space="preserve"> - </v>
      </c>
      <c r="DT22" s="409"/>
      <c r="DU22" s="411">
        <f>IF(DT22=0,0,IF($LB22=70%,VLOOKUP($DS22,'Jan-2026 rates'!$L:$R,4,0),IF($LB22=65%,VLOOKUP($DS22,'Jan-2026 rates'!$L:$R,4,0),IF($LB22=40%,VLOOKUP($DS22,'Jan-2026 rates'!$L:$R,5,0),IF($LB22=30%,VLOOKUP($DS22,'Jan-2026 rates'!$L:$R,6,0),IF($LB22=100%,VLOOKUP($DS22,'Jan-2026 rates'!$L:$R,7,0),IF($LB22=60%,VLOOKUP($DS22,'Jan-2026 rates'!$L:$S,8,0),IF($LB22=80%,VLOOKUP($DS22,'Jan-2026 rates'!L:T,9,0),0))))))))</f>
        <v>0</v>
      </c>
      <c r="DV22" s="412"/>
      <c r="DW22" s="409"/>
      <c r="DX22" s="411">
        <f>IF(DW22=0,0,IF($LB22=70%,VLOOKUP($DS22,'Jan-2026 rates'!$L:$R,4,0),IF($LB22=65%,VLOOKUP($DS22,'Jan-2026 rates'!$L:$R,4,0),IF($LB22=40%,VLOOKUP($DS22,'Jan-2026 rates'!$L:$R,5,0),IF($LB22=30%,VLOOKUP($DS22,'Jan-2026 rates'!$L:$R,6,0),IF($LB22=100%,VLOOKUP($DS22,'Jan-2026 rates'!$L:$R,7,0),IF($LB22=60%,VLOOKUP($DS22,'Jan-2026 rates'!$L:$S,8,0),IF($LB22=80%,VLOOKUP($DS22,'Jan-2026 rates'!L:T,9,0),0))))))))</f>
        <v>0</v>
      </c>
      <c r="DY22" s="413"/>
      <c r="DZ22" s="413"/>
      <c r="EA22" s="412"/>
      <c r="EB22" s="412"/>
      <c r="EC22" s="412"/>
      <c r="ED22" s="412"/>
      <c r="EE22" s="412"/>
      <c r="EF22" s="412"/>
      <c r="EG22" s="409"/>
      <c r="EH22" s="398">
        <f>IF(EG22=0,0,IF(LEN(DY22)=11,_xlfn.XLOOKUP(DY22,'Dispensed Ink Rates'!C:C,'Dispensed Ink Rates'!CS:CS),VLOOKUP(DY22,'Jan-2026 rates'!$E:$F,2,0)))</f>
        <v>0</v>
      </c>
      <c r="EI22" s="409"/>
      <c r="EJ22" s="398">
        <f>IF(EI22=0,0,IF(LEN(DZ22)=11,_xlfn.XLOOKUP(DZ22,'Dispensed Ink Rates'!C:C,'Dispensed Ink Rates'!CS:CS),VLOOKUP(DZ22,'Jan-2026 rates'!$E:$F,2,0)))</f>
        <v>0</v>
      </c>
      <c r="EK22" s="409"/>
      <c r="EL22" s="398">
        <f>IF(EK22=0,0,IF(LEN(EA22)=11,_xlfn.XLOOKUP(EA22,'Dispensed Ink Rates'!C:C,'Dispensed Ink Rates'!CS:CS),VLOOKUP(EA22,'Jan-2026 rates'!$E:$F,2,0)))</f>
        <v>0</v>
      </c>
      <c r="EM22" s="409"/>
      <c r="EN22" s="398">
        <f>IF(EM22=0,0,IF(LEN(EB22)=11,_xlfn.XLOOKUP(EB22,'Dispensed Ink Rates'!C:C,'Dispensed Ink Rates'!CS:CS),VLOOKUP(EB22,'Jan-2026 rates'!$E:$F,2,0)))</f>
        <v>0</v>
      </c>
      <c r="EO22" s="409"/>
      <c r="EP22" s="398">
        <f>IF(EO22=0,0,IF(LEN(EC22)=11,_xlfn.XLOOKUP(EC22,'Dispensed Ink Rates'!C:C,'Dispensed Ink Rates'!CS:CS),VLOOKUP(EC22,'Jan-2026 rates'!$E:$F,2,0)))</f>
        <v>0</v>
      </c>
      <c r="EQ22" s="409"/>
      <c r="ER22" s="398">
        <f>IF(EQ22=0,0,IF(LEN(ED22)=11,_xlfn.XLOOKUP(ED22,'Dispensed Ink Rates'!C:C,'Dispensed Ink Rates'!CS:CS),VLOOKUP(ED22,'Jan-2026 rates'!$E:$F,2,0)))</f>
        <v>0</v>
      </c>
      <c r="ES22" s="409"/>
      <c r="ET22" s="398">
        <f>IF(ES22=0,0,IF(LEN(EE22)=11,_xlfn.XLOOKUP(EE22,'Dispensed Ink Rates'!C:C,'Dispensed Ink Rates'!CS:CS),VLOOKUP(EE22,'Jan-2026 rates'!$E:$F,2,0)))</f>
        <v>0</v>
      </c>
      <c r="EU22" s="409"/>
      <c r="EV22" s="398">
        <f>IF(EU22=0,0,IF(LEN(EF22)=11,_xlfn.XLOOKUP(EF22,'Dispensed Ink Rates'!C:C,'Dispensed Ink Rates'!CS:CS),VLOOKUP(EF22,'Jan-2026 rates'!$E:$F,2,0)))</f>
        <v>0</v>
      </c>
      <c r="EW22" s="409"/>
      <c r="EX22" s="409"/>
      <c r="EY22" s="411">
        <f t="shared" si="13"/>
        <v>0</v>
      </c>
      <c r="EZ22" s="411">
        <f t="shared" si="14"/>
        <v>0</v>
      </c>
      <c r="FA22" s="410">
        <f t="shared" si="15"/>
        <v>0</v>
      </c>
      <c r="FB22" s="405"/>
      <c r="FC22" s="409"/>
      <c r="FD22" s="420" t="str">
        <f t="shared" si="16"/>
        <v xml:space="preserve"> - </v>
      </c>
      <c r="FE22" s="409"/>
      <c r="FF22" s="411">
        <f>IF(FE22=0,0,IF($LB22=70%,VLOOKUP($FD22,'Jan-2026 rates'!$L:$R,4,0),IF($LB22=65%,VLOOKUP($FD22,'Jan-2026 rates'!$L:$R,4,0),IF($LB22=40%,VLOOKUP($FD22,'Jan-2026 rates'!$L:$R,5,0),IF($LB22=30%,VLOOKUP($FD22,'Jan-2026 rates'!$L:$R,6,0),IF($LB22=100%,VLOOKUP($FD22,'Jan-2026 rates'!$L:$R,7,0),IF($LB22=60%,VLOOKUP($FD22,'Jan-2026 rates'!$L:$S,8,0),IF($LB22=80%,VLOOKUP($FD22,'Jan-2026 rates'!L:T,9,0),0))))))))</f>
        <v>0</v>
      </c>
      <c r="FG22" s="412"/>
      <c r="FH22" s="409"/>
      <c r="FI22" s="411">
        <f>IF(FH22=0,0,IF($LB22=70%,VLOOKUP($FD22,'Jan-2026 rates'!$L:$R,4,0),IF($LB22=65%,VLOOKUP($FD22,'Jan-2026 rates'!$L:$R,4,0),IF($LB22=40%,VLOOKUP($FD22,'Jan-2026 rates'!$L:$R,5,0),IF($LB22=30%,VLOOKUP($FD22,'Jan-2026 rates'!$L:$R,6,0),IF($LB22=100%,VLOOKUP($FD22,'Jan-2026 rates'!$L:$R,7,0),IF($LB22=60%,VLOOKUP($FD22,'Jan-2026 rates'!$L:$S,8,0),IF($LB22=80%,VLOOKUP($FD22,'Jan-2026 rates'!L:T,9,0),0))))))))</f>
        <v>0</v>
      </c>
      <c r="FJ22" s="413"/>
      <c r="FK22" s="413"/>
      <c r="FL22" s="413"/>
      <c r="FM22" s="412"/>
      <c r="FN22" s="412"/>
      <c r="FO22" s="412"/>
      <c r="FP22" s="412"/>
      <c r="FQ22" s="412"/>
      <c r="FR22" s="409"/>
      <c r="FS22" s="398">
        <f>IF(FR22=0,0,IF(LEN(FJ22)=11,_xlfn.XLOOKUP(FJ22,'Dispensed Ink Rates'!C:C,'Dispensed Ink Rates'!CS:CS),VLOOKUP(FJ22,'Jan-2026 rates'!$E:$F,2,0)))</f>
        <v>0</v>
      </c>
      <c r="FT22" s="409"/>
      <c r="FU22" s="398">
        <f>IF(FT22=0,0,IF(LEN(FK22)=11,_xlfn.XLOOKUP(FK22,'Dispensed Ink Rates'!C:C,'Dispensed Ink Rates'!CS:CS),VLOOKUP(FK22,'Jan-2026 rates'!$E:$F,2,0)))</f>
        <v>0</v>
      </c>
      <c r="FV22" s="409"/>
      <c r="FW22" s="398">
        <f>IF(FV22=0,0,IF(LEN(FL22)=11,_xlfn.XLOOKUP(FL22,'Dispensed Ink Rates'!C:C,'Dispensed Ink Rates'!CS:CS),VLOOKUP(FL22,'Jan-2026 rates'!$E:$F,2,0)))</f>
        <v>0</v>
      </c>
      <c r="FX22" s="409"/>
      <c r="FY22" s="398">
        <f>IF(FX22=0,0,IF(LEN(FM22)=11,_xlfn.XLOOKUP(FM22,'Dispensed Ink Rates'!C:C,'Dispensed Ink Rates'!CS:CS),VLOOKUP(FM22,'Jan-2026 rates'!$E:$F,2,0)))</f>
        <v>0</v>
      </c>
      <c r="FZ22" s="409"/>
      <c r="GA22" s="398">
        <f>IF(FZ22=0,0,IF(LEN(FN22)=11,_xlfn.XLOOKUP(FN22,'Dispensed Ink Rates'!C:C,'Dispensed Ink Rates'!CS:CS),VLOOKUP(FN22,'Jan-2026 rates'!$E:$F,2,0)))</f>
        <v>0</v>
      </c>
      <c r="GB22" s="409"/>
      <c r="GC22" s="398">
        <f>IF(GB22=0,0,IF(LEN(FO22)=11,_xlfn.XLOOKUP(FO22,'Dispensed Ink Rates'!C:C,'Dispensed Ink Rates'!CS:CS),VLOOKUP(FO22,'Jan-2026 rates'!$E:$F,2,0)))</f>
        <v>0</v>
      </c>
      <c r="GD22" s="409"/>
      <c r="GE22" s="398">
        <f>IF(GD22=0,0,IF(LEN(FP22)=11,_xlfn.XLOOKUP(FP22,'Dispensed Ink Rates'!C:C,'Dispensed Ink Rates'!CS:CS),VLOOKUP(FP22,'Jan-2026 rates'!$E:$F,2,0)))</f>
        <v>0</v>
      </c>
      <c r="GF22" s="409"/>
      <c r="GG22" s="398">
        <f>IF(GF22=0,0,IF(LEN(FQ22)=11,_xlfn.XLOOKUP(FQ22,'Dispensed Ink Rates'!C:C,'Dispensed Ink Rates'!CS:CS),VLOOKUP(FQ22,'Jan-2026 rates'!$E:$F,2,0)))</f>
        <v>0</v>
      </c>
      <c r="GH22" s="409"/>
      <c r="GI22" s="409"/>
      <c r="GJ22" s="411">
        <f t="shared" si="17"/>
        <v>0</v>
      </c>
      <c r="GK22" s="411">
        <f t="shared" si="18"/>
        <v>0</v>
      </c>
      <c r="GL22" s="410">
        <f t="shared" si="19"/>
        <v>0</v>
      </c>
      <c r="GM22" s="405"/>
      <c r="GN22" s="409"/>
      <c r="GO22" s="420" t="str">
        <f t="shared" si="20"/>
        <v xml:space="preserve"> - </v>
      </c>
      <c r="GP22" s="409"/>
      <c r="GQ22" s="411">
        <f>IF(GP22=0,0,IF($LB22=70%,VLOOKUP($GO22,'Jan-2026 rates'!$L:$R,4,0),IF($LB22=65%,VLOOKUP($GO22,'Jan-2026 rates'!$L:$R,4,0),IF($LB22=40%,VLOOKUP($GO22,'Jan-2026 rates'!$L:$R,5,0),IF($LB22=30%,VLOOKUP($GO22,'Jan-2026 rates'!$L:$R,6,0),IF($LB22=100%,VLOOKUP($GO22,'Jan-2026 rates'!$L:$R,7,0),IF($LB22=60%,VLOOKUP($GO22,'Jan-2026 rates'!$L:$S,8,0),IF($LB22=80%,VLOOKUP($GO22,'Jan-2026 rates'!L:T,9,0),0))))))))</f>
        <v>0</v>
      </c>
      <c r="GR22" s="412"/>
      <c r="GS22" s="409"/>
      <c r="GT22" s="411">
        <f>IF(GS22=0,0,IF($LB22=70%,VLOOKUP($GO22,'Jan-2026 rates'!$L:$R,4,0),IF($LB22=65%,VLOOKUP($GO22,'Jan-2026 rates'!$L:$R,4,0),IF($LB22=40%,VLOOKUP($GO22,'Jan-2026 rates'!$L:$R,5,0),IF($LB22=30%,VLOOKUP($GO22,'Jan-2026 rates'!$L:$R,6,0),IF($LB22=100%,VLOOKUP($GO22,'Jan-2026 rates'!$L:$R,7,0),IF($LB22=60%,VLOOKUP($GO22,'Jan-2026 rates'!$L:$S,8,0),IF($LB22=80%,VLOOKUP($GO22,'Jan-2026 rates'!L:T,9,0),0))))))))</f>
        <v>0</v>
      </c>
      <c r="GU22" s="413"/>
      <c r="GV22" s="413"/>
      <c r="GW22" s="412"/>
      <c r="GX22" s="412"/>
      <c r="GY22" s="412"/>
      <c r="GZ22" s="412"/>
      <c r="HA22" s="412"/>
      <c r="HB22" s="412"/>
      <c r="HC22" s="409"/>
      <c r="HD22" s="398">
        <f>IF(HC22=0,0,IF(LEN(GU22)=11,_xlfn.XLOOKUP(GU22,'Dispensed Ink Rates'!C:C,'Dispensed Ink Rates'!CS:CS),VLOOKUP(GU22,'Jan-2026 rates'!$E:$F,2,0)))</f>
        <v>0</v>
      </c>
      <c r="HE22" s="409"/>
      <c r="HF22" s="398">
        <f>IF(HE22=0,0,IF(LEN(GV22)=11,_xlfn.XLOOKUP(GV22,'Dispensed Ink Rates'!C:C,'Dispensed Ink Rates'!CS:CS),VLOOKUP(GV22,'Jan-2026 rates'!$E:$F,2,0)))</f>
        <v>0</v>
      </c>
      <c r="HG22" s="409"/>
      <c r="HH22" s="398">
        <f>IF(HG22=0,0,IF(LEN(GW22)=11,_xlfn.XLOOKUP(GW22,'Dispensed Ink Rates'!C:C,'Dispensed Ink Rates'!CS:CS),VLOOKUP(GW22,'Jan-2026 rates'!$E:$F,2,0)))</f>
        <v>0</v>
      </c>
      <c r="HI22" s="409"/>
      <c r="HJ22" s="398">
        <f>IF(HI22=0,0,IF(LEN(GX22)=11,_xlfn.XLOOKUP(GX22,'Dispensed Ink Rates'!C:C,'Dispensed Ink Rates'!CS:CS),VLOOKUP(GX22,'Jan-2026 rates'!$E:$F,2,0)))</f>
        <v>0</v>
      </c>
      <c r="HK22" s="409"/>
      <c r="HL22" s="398">
        <f>IF(HK22=0,0,IF(LEN(GY22)=11,_xlfn.XLOOKUP(GY22,'Dispensed Ink Rates'!C:C,'Dispensed Ink Rates'!CS:CS),VLOOKUP(GY22,'Jan-2026 rates'!$E:$F,2,0)))</f>
        <v>0</v>
      </c>
      <c r="HM22" s="409"/>
      <c r="HN22" s="398">
        <f>IF(HM22=0,0,IF(LEN(GZ22)=11,_xlfn.XLOOKUP(GZ22,'Dispensed Ink Rates'!C:C,'Dispensed Ink Rates'!CS:CS),VLOOKUP(GZ22,'Jan-2026 rates'!$E:$F,2,0)))</f>
        <v>0</v>
      </c>
      <c r="HO22" s="409"/>
      <c r="HP22" s="398">
        <f>IF(HO22=0,0,IF(LEN(HA22)=11,_xlfn.XLOOKUP(HA22,'Dispensed Ink Rates'!C:C,'Dispensed Ink Rates'!CS:CS),VLOOKUP(HA22,'Jan-2026 rates'!$E:$F,2,0)))</f>
        <v>0</v>
      </c>
      <c r="HQ22" s="409"/>
      <c r="HR22" s="398">
        <f>IF(HQ22=0,0,IF(LEN(HB22)=11,_xlfn.XLOOKUP(HB22,'Dispensed Ink Rates'!C:C,'Dispensed Ink Rates'!CS:CS),VLOOKUP(HB22,'Jan-2026 rates'!$E:$F,2,0)))</f>
        <v>0</v>
      </c>
      <c r="HS22" s="409"/>
      <c r="HT22" s="409"/>
      <c r="HU22" s="411">
        <f t="shared" si="21"/>
        <v>0</v>
      </c>
      <c r="HV22" s="411">
        <f t="shared" si="22"/>
        <v>0</v>
      </c>
      <c r="HW22" s="414">
        <f t="shared" si="23"/>
        <v>0</v>
      </c>
      <c r="HX22" s="405"/>
      <c r="HY22" s="409"/>
      <c r="HZ22" s="420" t="str">
        <f t="shared" si="24"/>
        <v xml:space="preserve"> - </v>
      </c>
      <c r="IA22" s="409"/>
      <c r="IB22" s="411">
        <f>IF(IA22=0,0,IF($LB22=70%,VLOOKUP($HZ22,'Jan-2026 rates'!$L:$R,4,0),IF($LB22=65%,VLOOKUP($HZ22,'Jan-2026 rates'!$L:$R,4,0),IF($LB22=40%,VLOOKUP($HZ22,'Jan-2026 rates'!$L:$R,5,0),IF($LB22=30%,VLOOKUP($HZ22,'Jan-2026 rates'!$L:$R,6,0),IF($LB22=100%,VLOOKUP($HZ22,'Jan-2026 rates'!$L:$R,7,0),IF($LB22=60%,VLOOKUP($HZ22,'Jan-2026 rates'!$L:$S,8,0),IF($LB22=80%,VLOOKUP($HZ22,'Jan-2026 rates'!L:T,9,0),0))))))))</f>
        <v>0</v>
      </c>
      <c r="IC22" s="412"/>
      <c r="ID22" s="409"/>
      <c r="IE22" s="411">
        <f>IF(ID22=0,0,IF($LB22=70%,VLOOKUP($HZ22,'Jan-2026 rates'!$L:$R,4,0),IF($LB22=65%,VLOOKUP($HZ22,'Jan-2026 rates'!$L:$R,4,0),IF($LB22=40%,VLOOKUP($HZ22,'Jan-2026 rates'!$L:$R,5,0),IF($LB22=30%,VLOOKUP($HZ22,'Jan-2026 rates'!$L:$R,6,0),IF($LB22=100%,VLOOKUP($HZ22,'Jan-2026 rates'!$L:$R,7,0),IF($LB22=60%,VLOOKUP($HZ22,'Jan-2026 rates'!$L:$S,8,0),IF($LB22=80%,VLOOKUP($HZ22,'Jan-2026 rates'!L:T,9,0),0))))))))</f>
        <v>0</v>
      </c>
      <c r="IF22" s="412"/>
      <c r="IG22" s="413"/>
      <c r="IH22" s="412"/>
      <c r="II22" s="412"/>
      <c r="IJ22" s="412"/>
      <c r="IK22" s="412"/>
      <c r="IL22" s="412"/>
      <c r="IM22" s="412"/>
      <c r="IN22" s="409"/>
      <c r="IO22" s="398">
        <f>IF(IN22=0,0,IF(LEN(IF22)=11,_xlfn.XLOOKUP(IF22,'Dispensed Ink Rates'!C:C,'Dispensed Ink Rates'!CS:CS),VLOOKUP(IF22,'Jan-2026 rates'!$E:$F,2,0)))</f>
        <v>0</v>
      </c>
      <c r="IP22" s="409"/>
      <c r="IQ22" s="398">
        <f>IF(IP22=0,0,IF(LEN(IG22)=11,_xlfn.XLOOKUP(IG22,'Dispensed Ink Rates'!C:C,'Dispensed Ink Rates'!CS:CS),VLOOKUP(IG22,'Jan-2026 rates'!$E:$F,2,0)))</f>
        <v>0</v>
      </c>
      <c r="IR22" s="409"/>
      <c r="IS22" s="398">
        <f>IF(IR22=0,0,IF(LEN(IH22)=11,_xlfn.XLOOKUP(IH22,'Dispensed Ink Rates'!C:C,'Dispensed Ink Rates'!CS:CS),VLOOKUP(IH22,'Jan-2026 rates'!$E:$F,2,0)))</f>
        <v>0</v>
      </c>
      <c r="IT22" s="409"/>
      <c r="IU22" s="398">
        <f>IF(IT22=0,0,IF(LEN(II22)=11,_xlfn.XLOOKUP(II22,'Dispensed Ink Rates'!C:C,'Dispensed Ink Rates'!CS:CS),VLOOKUP(II22,'Jan-2026 rates'!$E:$F,2,0)))</f>
        <v>0</v>
      </c>
      <c r="IV22" s="409"/>
      <c r="IW22" s="398">
        <f>IF(IV22=0,0,IF(LEN(IJ22)=11,_xlfn.XLOOKUP(IJ22,'Dispensed Ink Rates'!C:C,'Dispensed Ink Rates'!CS:CS),VLOOKUP(IJ22,'Jan-2026 rates'!$E:$F,2,0)))</f>
        <v>0</v>
      </c>
      <c r="IX22" s="409"/>
      <c r="IY22" s="398">
        <f>IF(IX22=0,0,IF(LEN(IK22)=11,_xlfn.XLOOKUP(IK22,'Dispensed Ink Rates'!C:C,'Dispensed Ink Rates'!CS:CS),VLOOKUP(IK22,'Jan-2026 rates'!$E:$F,2,0)))</f>
        <v>0</v>
      </c>
      <c r="IZ22" s="409"/>
      <c r="JA22" s="398">
        <f>IF(IZ22=0,0,IF(LEN(IL22)=11,_xlfn.XLOOKUP(IL22,'Dispensed Ink Rates'!C:C,'Dispensed Ink Rates'!CS:CS),VLOOKUP(IL22,'Jan-2026 rates'!$E:$F,2,0)))</f>
        <v>0</v>
      </c>
      <c r="JB22" s="409"/>
      <c r="JC22" s="398">
        <f>IF(JB22=0,0,IF(LEN(IM22)=11,_xlfn.XLOOKUP(IM22,'Dispensed Ink Rates'!C:C,'Dispensed Ink Rates'!CS:CS),VLOOKUP(IM22,'Jan-2026 rates'!$E:$F,2,0)))</f>
        <v>0</v>
      </c>
      <c r="JD22" s="409"/>
      <c r="JE22" s="409"/>
      <c r="JF22" s="411">
        <f t="shared" si="25"/>
        <v>0</v>
      </c>
      <c r="JG22" s="411">
        <f t="shared" si="26"/>
        <v>0</v>
      </c>
      <c r="JH22" s="410">
        <f t="shared" si="27"/>
        <v>0</v>
      </c>
      <c r="JI22" s="405"/>
      <c r="JJ22" s="409"/>
      <c r="JK22" s="420" t="str">
        <f t="shared" si="28"/>
        <v xml:space="preserve"> - </v>
      </c>
      <c r="JL22" s="409"/>
      <c r="JM22" s="411">
        <f>IF(JL22=0,0,IF($LB22=70%,VLOOKUP($JK22,'Jan-2026 rates'!$L:$R,4,0),IF($LB22=65%,VLOOKUP($JK22,'Jan-2026 rates'!$L:$R,4,0),IF($LB22=40%,VLOOKUP($JK22,'Jan-2026 rates'!$L:$R,5,0),IF($LB22=30%,VLOOKUP($JK22,'Jan-2026 rates'!$L:$R,6,0),IF($LB22=100%,VLOOKUP($JK22,'Jan-2026 rates'!$L:$R,7,0),IF($LB22=60%,VLOOKUP($JK22,'Jan-2026 rates'!$L:$S,8,0),IF($LB22=80%,VLOOKUP($JK22,'Jan-2026 rates'!L:T,9,0),0))))))))</f>
        <v>0</v>
      </c>
      <c r="JN22" s="412"/>
      <c r="JO22" s="409"/>
      <c r="JP22" s="411">
        <f>IF(JO22=0,0,IF($LB22=70%,VLOOKUP($JK22,'Jan-2026 rates'!$L:$R,4,0),IF($LB22=65%,VLOOKUP($JK22,'Jan-2026 rates'!$L:$R,4,0),IF($LB22=40%,VLOOKUP($JK22,'Jan-2026 rates'!$L:$R,5,0),IF($LB22=30%,VLOOKUP($JK22,'Jan-2026 rates'!$L:$R,6,0),IF($LB22=100%,VLOOKUP($JK22,'Jan-2026 rates'!$L:$R,7,0),IF($LB22=60%,VLOOKUP($JK22,'Jan-2026 rates'!$L:$S,8,0),IF($LB22=80%,VLOOKUP($JK22,'Jan-2026 rates'!L:T,9,0),0))))))))</f>
        <v>0</v>
      </c>
      <c r="JQ22" s="413"/>
      <c r="JR22" s="412"/>
      <c r="JS22" s="413"/>
      <c r="JT22" s="413"/>
      <c r="JU22" s="412"/>
      <c r="JV22" s="412"/>
      <c r="JW22" s="412"/>
      <c r="JX22" s="412"/>
      <c r="JY22" s="409"/>
      <c r="JZ22" s="398">
        <f>IF(JY22=0,0,IF(LEN(JQ22)=11,_xlfn.XLOOKUP(JQ22,'Dispensed Ink Rates'!C:C,'Dispensed Ink Rates'!CS:CS),VLOOKUP(JQ22,'Jan-2026 rates'!$E:$F,2,0)))</f>
        <v>0</v>
      </c>
      <c r="KA22" s="409"/>
      <c r="KB22" s="398">
        <f>IF(KA22=0,0,IF(LEN(JR22)=11,_xlfn.XLOOKUP(JR22,'Dispensed Ink Rates'!C:C,'Dispensed Ink Rates'!CS:CS),VLOOKUP(JR22,'Jan-2026 rates'!$E:$F,2,0)))</f>
        <v>0</v>
      </c>
      <c r="KC22" s="409"/>
      <c r="KD22" s="398">
        <f>IF(KC22=0,0,IF(LEN(JS22)=11,_xlfn.XLOOKUP(JS22,'Dispensed Ink Rates'!C:C,'Dispensed Ink Rates'!CS:CS),VLOOKUP(JS22,'Jan-2026 rates'!$E:$F,2,0)))</f>
        <v>0</v>
      </c>
      <c r="KE22" s="409"/>
      <c r="KF22" s="398">
        <f>IF(KE22=0,0,IF(LEN(JT22)=11,_xlfn.XLOOKUP(JT22,'Dispensed Ink Rates'!C:C,'Dispensed Ink Rates'!CS:CS),VLOOKUP(JT22,'Jan-2026 rates'!$E:$F,2,0)))</f>
        <v>0</v>
      </c>
      <c r="KG22" s="409"/>
      <c r="KH22" s="398">
        <f>IF(KG22=0,0,IF(LEN(JU22)=11,_xlfn.XLOOKUP(JU22,'Dispensed Ink Rates'!C:C,'Dispensed Ink Rates'!CS:CS),VLOOKUP(JU22,'Jan-2026 rates'!$E:$F,2,0)))</f>
        <v>0</v>
      </c>
      <c r="KI22" s="409"/>
      <c r="KJ22" s="398">
        <f>IF(KI22=0,0,IF(LEN(JV22)=11,_xlfn.XLOOKUP(JV22,'Dispensed Ink Rates'!C:C,'Dispensed Ink Rates'!CS:CS),VLOOKUP(JV22,'Jan-2026 rates'!$E:$F,2,0)))</f>
        <v>0</v>
      </c>
      <c r="KK22" s="409"/>
      <c r="KL22" s="398">
        <f>IF(KK22=0,0,IF(LEN(JW22)=11,_xlfn.XLOOKUP(JW22,'Dispensed Ink Rates'!C:C,'Dispensed Ink Rates'!CS:CS),VLOOKUP(JW22,'Jan-2026 rates'!$E:$F,2,0)))</f>
        <v>0</v>
      </c>
      <c r="KM22" s="428"/>
      <c r="KN22" s="398">
        <f>IF(KM22=0,0,IF(LEN(JX22)=11,_xlfn.XLOOKUP(JX22,'Dispensed Ink Rates'!C:C,'Dispensed Ink Rates'!CS:CS),VLOOKUP(JX22,'Jan-2026 rates'!$E:$F,2,0)))</f>
        <v>0</v>
      </c>
      <c r="KO22" s="409"/>
      <c r="KP22" s="409"/>
      <c r="KQ22" s="411">
        <f t="shared" si="29"/>
        <v>0</v>
      </c>
      <c r="KR22" s="411">
        <f t="shared" si="30"/>
        <v>0</v>
      </c>
      <c r="KS22" s="410">
        <f t="shared" si="31"/>
        <v>0</v>
      </c>
      <c r="KT22" s="409">
        <v>20</v>
      </c>
      <c r="KU22" s="409">
        <v>60</v>
      </c>
      <c r="KV22" s="409">
        <v>0</v>
      </c>
      <c r="KW22" s="409">
        <v>0</v>
      </c>
      <c r="KX22" s="409">
        <v>0</v>
      </c>
      <c r="KY22" s="409">
        <v>0</v>
      </c>
      <c r="KZ22" s="409">
        <v>0</v>
      </c>
      <c r="LA22" s="409">
        <v>0</v>
      </c>
      <c r="LB22" s="415">
        <v>0.3</v>
      </c>
      <c r="LC22" s="415"/>
      <c r="LD22" s="415"/>
      <c r="LE22" s="415">
        <v>0.5</v>
      </c>
      <c r="LF22" s="415">
        <v>0.2</v>
      </c>
      <c r="LG22" s="409">
        <v>0</v>
      </c>
      <c r="LH22" s="409">
        <f>60+50+45+75+5+5+3+30</f>
        <v>273</v>
      </c>
      <c r="LI22" s="409">
        <v>0</v>
      </c>
      <c r="LJ22" s="409">
        <v>0</v>
      </c>
      <c r="LK22" s="416">
        <f t="shared" si="32"/>
        <v>273</v>
      </c>
      <c r="LL22" s="416">
        <f t="shared" si="33"/>
        <v>273</v>
      </c>
      <c r="LM22" s="417">
        <f t="shared" si="34"/>
        <v>81.899999999999991</v>
      </c>
      <c r="LN22" s="417">
        <f>VLOOKUP($LM$8,'Jan-2026 rates'!$H:$I,2,0)</f>
        <v>0</v>
      </c>
      <c r="LO22" s="417">
        <f t="shared" si="35"/>
        <v>0</v>
      </c>
      <c r="LP22" s="417">
        <f>VLOOKUP($LO$8,'Jan-2026 rates'!$H:$I,2,0)</f>
        <v>0</v>
      </c>
      <c r="LQ22" s="417">
        <f t="shared" si="36"/>
        <v>0</v>
      </c>
      <c r="LR22" s="417">
        <f>VLOOKUP($LQ$8,'Jan-2026 rates'!$H:$I,2,0)</f>
        <v>0</v>
      </c>
      <c r="LS22" s="417">
        <f t="shared" si="37"/>
        <v>136.5</v>
      </c>
      <c r="LT22" s="417">
        <f>VLOOKUP($LS$8,'Jan-2026 rates'!$H:$I,2,0)</f>
        <v>0</v>
      </c>
      <c r="LU22" s="417">
        <f t="shared" si="38"/>
        <v>54.6</v>
      </c>
      <c r="LV22" s="417">
        <f>VLOOKUP($LU$8,'Jan-2026 rates'!$H:$I,2,0)</f>
        <v>0</v>
      </c>
      <c r="LW22" s="417">
        <f t="shared" si="39"/>
        <v>0</v>
      </c>
      <c r="LX22" s="417">
        <f t="shared" si="40"/>
        <v>0</v>
      </c>
      <c r="LY22" s="418">
        <f t="shared" si="41"/>
        <v>0</v>
      </c>
      <c r="LZ22" s="417"/>
      <c r="MA22" s="435">
        <f t="shared" si="42"/>
        <v>218.28</v>
      </c>
      <c r="MB22" s="282">
        <f t="shared" si="43"/>
        <v>560.28</v>
      </c>
      <c r="MC22" s="283" t="s">
        <v>1951</v>
      </c>
      <c r="MD22" s="284" t="str">
        <f t="shared" si="44"/>
        <v>ToyoLiToyoLi</v>
      </c>
      <c r="ME22" s="293" t="str">
        <f t="shared" si="45"/>
        <v>+</v>
      </c>
      <c r="MF22" s="293" t="str">
        <f t="shared" si="46"/>
        <v>+</v>
      </c>
      <c r="MG22" s="293" t="str">
        <f t="shared" si="47"/>
        <v>NIL</v>
      </c>
      <c r="MH22" s="293" t="str">
        <f t="shared" si="48"/>
        <v>NIL</v>
      </c>
      <c r="MI22" s="293" t="str">
        <f t="shared" si="49"/>
        <v>NIL</v>
      </c>
      <c r="MJ22" s="293" t="str">
        <f t="shared" si="50"/>
        <v>NIL</v>
      </c>
      <c r="MK22" s="293" t="str">
        <f t="shared" si="51"/>
        <v>NIL</v>
      </c>
      <c r="ML22" s="293" t="str">
        <f t="shared" si="52"/>
        <v>NIL</v>
      </c>
      <c r="MM22" s="3" t="b">
        <f t="array" ref="MM22">OR(ME22:ML22="-")</f>
        <v>0</v>
      </c>
      <c r="MN22" s="285"/>
      <c r="MO22" s="401"/>
      <c r="MP22" s="286"/>
      <c r="MQ22" s="286"/>
      <c r="MR22" s="402"/>
      <c r="MS22" s="400"/>
      <c r="NH22" s="422"/>
      <c r="NJ22" s="421"/>
    </row>
    <row r="23" spans="1:374" s="1" customFormat="1" ht="16.5">
      <c r="A23" s="403">
        <v>46025</v>
      </c>
      <c r="B23" s="404" t="s">
        <v>1018</v>
      </c>
      <c r="C23" s="405" t="s">
        <v>2669</v>
      </c>
      <c r="D23" s="406" t="s">
        <v>1952</v>
      </c>
      <c r="E23" s="404">
        <v>111</v>
      </c>
      <c r="F23" s="407">
        <v>5700</v>
      </c>
      <c r="G23" s="407" t="s">
        <v>1016</v>
      </c>
      <c r="H23" s="408" t="s">
        <v>1017</v>
      </c>
      <c r="I23" s="409">
        <v>1.8</v>
      </c>
      <c r="J23" s="405" t="s">
        <v>543</v>
      </c>
      <c r="K23" s="404" t="s">
        <v>2670</v>
      </c>
      <c r="L23" s="419" t="str">
        <f t="shared" si="0"/>
        <v>ToyoLi - BLACK</v>
      </c>
      <c r="M23" s="404">
        <v>28</v>
      </c>
      <c r="N23" s="410">
        <f>IF(M23=0,0,IF($LB23=70%,VLOOKUP($L23,'Jan-2026 rates'!$L:$R,4,0),IF($LB23=65%,VLOOKUP($L23,'Jan-2026 rates'!$L:$R,4,0),IF($LB23=40%,VLOOKUP($L23,'Jan-2026 rates'!$L:$R,5,0),IF($LB23=30%,VLOOKUP($L23,'Jan-2026 rates'!$L:$R,6,0),IF($LB23=100%,VLOOKUP($L23,'Jan-2026 rates'!$L:$R,7,0),IF($LB23=60%,VLOOKUP($L23,'Jan-2026 rates'!$L:$S,8,0),IF($LB23=80%,VLOOKUP($L23,'Jan-2026 rates'!L:T,9,0),0))))))))</f>
        <v>0</v>
      </c>
      <c r="O23" s="406"/>
      <c r="P23" s="404"/>
      <c r="Q23" s="410">
        <f>IF(P23=0,0,IF($LB23=70%,VLOOKUP($L23,'Jan-2026 rates'!$L:$R,4,0),IF($LB23=65%,VLOOKUP($L23,'Jan-2026 rates'!$L:$R,4,0),IF($LB23=40%,VLOOKUP($L23,'Jan-2026 rates'!$L:$R,5,0),IF($LB23=30%,VLOOKUP($L23,'Jan-2026 rates'!$L:$R,6,0),IF($LB23=100%,VLOOKUP($L23,'Jan-2026 rates'!$L:$R,7,0),IF($LB23=60%,VLOOKUP($L23,'Jan-2026 rates'!$L:$S,8,0),IF($LB23=80%,VLOOKUP($L23,'Jan-2026 rates'!L:T,9,0),0))))))))</f>
        <v>0</v>
      </c>
      <c r="R23" s="406" t="s">
        <v>1252</v>
      </c>
      <c r="S23" s="406"/>
      <c r="T23" s="406"/>
      <c r="U23" s="406"/>
      <c r="V23" s="406"/>
      <c r="W23" s="406"/>
      <c r="X23" s="406"/>
      <c r="Y23" s="406"/>
      <c r="Z23" s="404">
        <v>2</v>
      </c>
      <c r="AA23" s="398">
        <f>IF(Z23=0,0,IF(LEN(R23)=11,_xlfn.XLOOKUP(R23,'Dispensed Ink Rates'!C:C,'Dispensed Ink Rates'!CS:CS),VLOOKUP(R23,'Jan-2026 rates'!$E:$F,2,0)))</f>
        <v>0</v>
      </c>
      <c r="AB23" s="404"/>
      <c r="AC23" s="398">
        <f>IF(AB23=0,0,IF(LEN(S23)=11,_xlfn.XLOOKUP(S23,'Dispensed Ink Rates'!C:C,'Dispensed Ink Rates'!CS:CS),VLOOKUP(S23,'Jan-2026 rates'!$E:$F,2,0)))</f>
        <v>0</v>
      </c>
      <c r="AD23" s="404"/>
      <c r="AE23" s="398">
        <f>IF(AD23=0,0,IF(LEN(T23)=11,_xlfn.XLOOKUP(T23,'Dispensed Ink Rates'!C:C,'Dispensed Ink Rates'!CS:CS),VLOOKUP(T23,'Jan-2026 rates'!$E:$F,2,0)))</f>
        <v>0</v>
      </c>
      <c r="AF23" s="404"/>
      <c r="AG23" s="398">
        <f>IF(AF23=0,0,IF(LEN(U23)=11,_xlfn.XLOOKUP(U23,'Dispensed Ink Rates'!C:C,'Dispensed Ink Rates'!CS:CS),VLOOKUP(U23,'Jan-2026 rates'!$E:$F,2,0)))</f>
        <v>0</v>
      </c>
      <c r="AH23" s="404"/>
      <c r="AI23" s="398">
        <f>IF(AH23=0,0,IF(LEN(V23)=11,_xlfn.XLOOKUP(V23,'Dispensed Ink Rates'!C:C,'Dispensed Ink Rates'!CS:CS),VLOOKUP(V23,'Jan-2026 rates'!$E:$F,2,0)))</f>
        <v>0</v>
      </c>
      <c r="AJ23" s="404"/>
      <c r="AK23" s="398">
        <f>IF(AJ23=0,0,IF(LEN(W23)=11,_xlfn.XLOOKUP(W23,'Dispensed Ink Rates'!C:C,'Dispensed Ink Rates'!CS:CS),VLOOKUP(W23,'Jan-2026 rates'!$E:$F,2,0)))</f>
        <v>0</v>
      </c>
      <c r="AL23" s="404"/>
      <c r="AM23" s="398">
        <f>IF(AL23=0,0,IF(LEN(X23)=11,_xlfn.XLOOKUP(X23,'Dispensed Ink Rates'!C:C,'Dispensed Ink Rates'!CS:CS),VLOOKUP(X23,'Jan-2026 rates'!$E:$F,2,0)))</f>
        <v>0</v>
      </c>
      <c r="AN23" s="404"/>
      <c r="AO23" s="398">
        <f>IF(AN23=0,0,IF(LEN(Y23)=11,_xlfn.XLOOKUP(Y23,'Dispensed Ink Rates'!C:C,'Dispensed Ink Rates'!CS:CS),VLOOKUP(Y23,'Jan-2026 rates'!$E:$F,2,0)))</f>
        <v>0</v>
      </c>
      <c r="AP23" s="409" t="s">
        <v>1881</v>
      </c>
      <c r="AQ23" s="409">
        <v>27</v>
      </c>
      <c r="AR23" s="410">
        <f t="shared" si="1"/>
        <v>0</v>
      </c>
      <c r="AS23" s="411">
        <f t="shared" si="2"/>
        <v>3</v>
      </c>
      <c r="AT23" s="410">
        <f t="shared" si="3"/>
        <v>0</v>
      </c>
      <c r="AU23" s="405" t="s">
        <v>546</v>
      </c>
      <c r="AV23" s="409" t="s">
        <v>2580</v>
      </c>
      <c r="AW23" s="420" t="str">
        <f t="shared" si="4"/>
        <v>ToyoLi - REFLEX BLUE</v>
      </c>
      <c r="AX23" s="409">
        <v>18</v>
      </c>
      <c r="AY23" s="411">
        <f>IF(AX23=0,0,IF($LB23=70%,VLOOKUP($AW23,'Jan-2026 rates'!$L:$R,4,0),IF($LB23=65%,VLOOKUP($AW23,'Jan-2026 rates'!$L:$R,4,0),IF($LB23=40%,VLOOKUP($AW23,'Jan-2026 rates'!$L:$R,5,0),IF($LB23=30%,VLOOKUP($AW23,'Jan-2026 rates'!$L:$R,6,0),IF($LB23=100%,VLOOKUP($AW23,'Jan-2026 rates'!$L:$R,7,0),IF($LB23=60%,VLOOKUP($AW23,'Jan-2026 rates'!$L:$S,8,0),IF($LB23=80%,VLOOKUP($AW23,'Jan-2026 rates'!L:T,9,0),0))))))))</f>
        <v>0</v>
      </c>
      <c r="AZ23" s="412"/>
      <c r="BA23" s="409"/>
      <c r="BB23" s="411">
        <f>IF(BA23=0,0,IF($LB23=70%,VLOOKUP($AW23,'Jan-2026 rates'!$L:$R,4,0),IF($LB23=65%,VLOOKUP($AW23,'Jan-2026 rates'!$L:$R,4,0),IF($LB23=40%,VLOOKUP($AW23,'Jan-2026 rates'!$L:$R,5,0),IF($LB23=30%,VLOOKUP($AW23,'Jan-2026 rates'!$L:$R,6,0),IF($LB23=100%,VLOOKUP($AW23,'Jan-2026 rates'!$L:$R,7,0),IF($LB23=60%,VLOOKUP($AW23,'Jan-2026 rates'!$L:$S,8,0),IF($LB23=80%,VLOOKUP($AW23,'Jan-2026 rates'!L:T,9,0),0))))))))</f>
        <v>0</v>
      </c>
      <c r="BC23" s="413" t="s">
        <v>1880</v>
      </c>
      <c r="BD23" s="412" t="s">
        <v>1252</v>
      </c>
      <c r="BE23" s="412"/>
      <c r="BF23" s="413"/>
      <c r="BG23" s="412"/>
      <c r="BH23" s="412"/>
      <c r="BI23" s="412"/>
      <c r="BJ23" s="412"/>
      <c r="BK23" s="409">
        <v>5</v>
      </c>
      <c r="BL23" s="398">
        <f>IF(BK23=0,0,IF(LEN(BC23)=11,_xlfn.XLOOKUP(BC23,'Dispensed Ink Rates'!C:C,'Dispensed Ink Rates'!CS:CS),VLOOKUP(BC23,'Jan-2026 rates'!$E:$F,2,0)))</f>
        <v>0</v>
      </c>
      <c r="BM23" s="409">
        <v>1</v>
      </c>
      <c r="BN23" s="398">
        <f>IF(BM23=0,0,IF(LEN(BD23)=11,_xlfn.XLOOKUP(BD23,'Dispensed Ink Rates'!C:C,'Dispensed Ink Rates'!CS:CS),VLOOKUP(BD23,'Jan-2026 rates'!$E:$F,2,0)))</f>
        <v>0</v>
      </c>
      <c r="BO23" s="409"/>
      <c r="BP23" s="398">
        <f>IF(BO23=0,0,IF(LEN(BE23)=11,_xlfn.XLOOKUP(BE23,'Dispensed Ink Rates'!C:C,'Dispensed Ink Rates'!CS:CS),VLOOKUP(BE23,'Jan-2026 rates'!$E:$F,2,0)))</f>
        <v>0</v>
      </c>
      <c r="BQ23" s="409"/>
      <c r="BR23" s="398">
        <f>IF(BQ23=0,0,IF(LEN(BF23)=11,_xlfn.XLOOKUP(BF23,'Dispensed Ink Rates'!C:C,'Dispensed Ink Rates'!CS:CS),VLOOKUP(BF23,'Jan-2026 rates'!$E:$F,2,0)))</f>
        <v>0</v>
      </c>
      <c r="BS23" s="409"/>
      <c r="BT23" s="398">
        <f>IF(BS23=0,0,IF(LEN(BG23)=11,_xlfn.XLOOKUP(BG23,'Dispensed Ink Rates'!C:C,'Dispensed Ink Rates'!CS:CS),VLOOKUP(BG23,'Jan-2026 rates'!$E:$F,2,0)))</f>
        <v>0</v>
      </c>
      <c r="BU23" s="409"/>
      <c r="BV23" s="398">
        <f>IF(BU23=0,0,IF(LEN(BH23)=11,_xlfn.XLOOKUP(BH23,'Dispensed Ink Rates'!C:C,'Dispensed Ink Rates'!CS:CS),VLOOKUP(BH23,'Jan-2026 rates'!$E:$F,2,0)))</f>
        <v>0</v>
      </c>
      <c r="BW23" s="409"/>
      <c r="BX23" s="398">
        <f>IF(BW23=0,0,IF(LEN(BI23)=11,_xlfn.XLOOKUP(BI23,'Dispensed Ink Rates'!C:C,'Dispensed Ink Rates'!CS:CS),VLOOKUP(BI23,'Jan-2026 rates'!$E:$F,2,0)))</f>
        <v>0</v>
      </c>
      <c r="BY23" s="409"/>
      <c r="BZ23" s="398">
        <f>IF(BY23=0,0,IF(LEN(BJ23)=11,_xlfn.XLOOKUP(BJ23,'Dispensed Ink Rates'!C:C,'Dispensed Ink Rates'!CS:CS),VLOOKUP(BJ23,'Jan-2026 rates'!$E:$F,2,0)))</f>
        <v>0</v>
      </c>
      <c r="CA23" s="409" t="s">
        <v>1881</v>
      </c>
      <c r="CB23" s="409">
        <v>25</v>
      </c>
      <c r="CC23" s="411">
        <f t="shared" si="5"/>
        <v>0</v>
      </c>
      <c r="CD23" s="411">
        <f t="shared" si="6"/>
        <v>4.4193548387096762</v>
      </c>
      <c r="CE23" s="410">
        <f t="shared" si="7"/>
        <v>0</v>
      </c>
      <c r="CF23" s="404" t="s">
        <v>857</v>
      </c>
      <c r="CG23" s="409" t="s">
        <v>2671</v>
      </c>
      <c r="CH23" s="420" t="str">
        <f t="shared" si="8"/>
        <v>ToyoLi - RED</v>
      </c>
      <c r="CI23" s="409">
        <v>10</v>
      </c>
      <c r="CJ23" s="411">
        <f>IF(CI23=0,0,IF($LB23=70%,VLOOKUP($CH23,'Jan-2026 rates'!$L:$R,4,0),IF($LB23=65%,VLOOKUP($CH23,'Jan-2026 rates'!$L:$R,4,0),IF($LB23=40%,VLOOKUP($CH23,'Jan-2026 rates'!$L:$R,5,0),IF($LB23=30%,VLOOKUP($CH23,'Jan-2026 rates'!$L:$R,6,0),IF($LB23=100%,VLOOKUP($CH23,'Jan-2026 rates'!$L:$R,7,0),IF($LB23=60%,VLOOKUP($CH23,'Jan-2026 rates'!$L:$S,8,0),IF($LB23=80%,VLOOKUP($CH23,'Jan-2026 rates'!L:T,9,0),0))))))))</f>
        <v>0</v>
      </c>
      <c r="CK23" s="412" t="s">
        <v>2672</v>
      </c>
      <c r="CL23" s="409">
        <v>12</v>
      </c>
      <c r="CM23" s="411">
        <f>IF(CL23=0,0,IF($LB23=70%,VLOOKUP($CH23,'Jan-2026 rates'!$L:$R,4,0),IF($LB23=65%,VLOOKUP($CH23,'Jan-2026 rates'!$L:$R,4,0),IF($LB23=40%,VLOOKUP($CH23,'Jan-2026 rates'!$L:$R,5,0),IF($LB23=30%,VLOOKUP($CH23,'Jan-2026 rates'!$L:$R,6,0),IF($LB23=100%,VLOOKUP($CH23,'Jan-2026 rates'!$L:$R,7,0),IF($LB23=60%,VLOOKUP($CH23,'Jan-2026 rates'!$L:$S,8,0),IF($LB23=80%,VLOOKUP($CH23,'Jan-2026 rates'!L:T,9,0),0))))))))</f>
        <v>0</v>
      </c>
      <c r="CN23" s="426" t="s">
        <v>1921</v>
      </c>
      <c r="CO23" s="427" t="s">
        <v>1880</v>
      </c>
      <c r="CP23" s="426" t="s">
        <v>827</v>
      </c>
      <c r="CQ23" s="426"/>
      <c r="CR23" s="428"/>
      <c r="CS23" s="428"/>
      <c r="CT23" s="428"/>
      <c r="CU23" s="428"/>
      <c r="CV23" s="409">
        <v>2</v>
      </c>
      <c r="CW23" s="398">
        <f>IF(CV23=0,0,IF(LEN(CN23)=11,_xlfn.XLOOKUP(CN23,'Dispensed Ink Rates'!C:C,'Dispensed Ink Rates'!CS:CS),VLOOKUP(CN23,'Jan-2026 rates'!$E:$F,2,0)))</f>
        <v>0</v>
      </c>
      <c r="CX23" s="409">
        <v>0.5</v>
      </c>
      <c r="CY23" s="398">
        <f>IF(CX23=0,0,IF(LEN(CO23)=11,_xlfn.XLOOKUP(CO23,'Dispensed Ink Rates'!C:C,'Dispensed Ink Rates'!CS:CS),VLOOKUP(CO23,'Jan-2026 rates'!$E:$F,2,0)))</f>
        <v>0</v>
      </c>
      <c r="CZ23" s="409">
        <v>3</v>
      </c>
      <c r="DA23" s="398">
        <f>IF(CZ23=0,0,IF(LEN(CP23)=11,_xlfn.XLOOKUP(CP23,'Dispensed Ink Rates'!C:C,'Dispensed Ink Rates'!CS:CS),VLOOKUP(CP23,'Jan-2026 rates'!$E:$F,2,0)))</f>
        <v>0</v>
      </c>
      <c r="DB23" s="409"/>
      <c r="DC23" s="398">
        <f>IF(DB23=0,0,IF(LEN(CQ23)=11,_xlfn.XLOOKUP(CQ23,'Dispensed Ink Rates'!C:C,'Dispensed Ink Rates'!CS:CS),VLOOKUP(CQ23,'Jan-2026 rates'!$E:$F,2,0)))</f>
        <v>0</v>
      </c>
      <c r="DD23" s="409"/>
      <c r="DE23" s="398">
        <f>IF(DD23=0,0,IF(LEN(CR23)=11,_xlfn.XLOOKUP(CR23,'Dispensed Ink Rates'!C:C,'Dispensed Ink Rates'!CS:CS),VLOOKUP(CR23,'Jan-2026 rates'!$E:$F,2,0)))</f>
        <v>0</v>
      </c>
      <c r="DF23" s="409"/>
      <c r="DG23" s="398">
        <f>IF(DF23=0,0,IF(LEN(CS23)=11,_xlfn.XLOOKUP(CS23,'Dispensed Ink Rates'!C:C,'Dispensed Ink Rates'!CS:CS),VLOOKUP(CS23,'Jan-2026 rates'!$E:$F,2,0)))</f>
        <v>0</v>
      </c>
      <c r="DH23" s="409"/>
      <c r="DI23" s="398">
        <f>IF(DH23=0,0,IF(LEN(CT23)=11,_xlfn.XLOOKUP(CT23,'Dispensed Ink Rates'!C:C,'Dispensed Ink Rates'!CS:CS),VLOOKUP(CT23,'Jan-2026 rates'!$E:$F,2,0)))</f>
        <v>0</v>
      </c>
      <c r="DJ23" s="409"/>
      <c r="DK23" s="398">
        <f>IF(DJ23=0,0,IF(LEN(CU23)=11,_xlfn.XLOOKUP(CU23,'Dispensed Ink Rates'!C:C,'Dispensed Ink Rates'!CS:CS),VLOOKUP(CU23,'Jan-2026 rates'!$E:$F,2,0)))</f>
        <v>0</v>
      </c>
      <c r="DL23" s="409" t="s">
        <v>1881</v>
      </c>
      <c r="DM23" s="409">
        <v>14</v>
      </c>
      <c r="DN23" s="411">
        <f t="shared" si="9"/>
        <v>0</v>
      </c>
      <c r="DO23" s="411">
        <f t="shared" si="10"/>
        <v>17.112903225806452</v>
      </c>
      <c r="DP23" s="410">
        <f t="shared" si="11"/>
        <v>0</v>
      </c>
      <c r="DQ23" s="405" t="s">
        <v>857</v>
      </c>
      <c r="DR23" s="409" t="s">
        <v>2248</v>
      </c>
      <c r="DS23" s="420" t="str">
        <f t="shared" si="12"/>
        <v>ToyoLi - RED</v>
      </c>
      <c r="DT23" s="409">
        <v>15</v>
      </c>
      <c r="DU23" s="411">
        <f>IF(DT23=0,0,IF($LB23=70%,VLOOKUP($DS23,'Jan-2026 rates'!$L:$R,4,0),IF($LB23=65%,VLOOKUP($DS23,'Jan-2026 rates'!$L:$R,4,0),IF($LB23=40%,VLOOKUP($DS23,'Jan-2026 rates'!$L:$R,5,0),IF($LB23=30%,VLOOKUP($DS23,'Jan-2026 rates'!$L:$R,6,0),IF($LB23=100%,VLOOKUP($DS23,'Jan-2026 rates'!$L:$R,7,0),IF($LB23=60%,VLOOKUP($DS23,'Jan-2026 rates'!$L:$S,8,0),IF($LB23=80%,VLOOKUP($DS23,'Jan-2026 rates'!L:T,9,0),0))))))))</f>
        <v>0</v>
      </c>
      <c r="DV23" s="412"/>
      <c r="DW23" s="409"/>
      <c r="DX23" s="411">
        <f>IF(DW23=0,0,IF($LB23=70%,VLOOKUP($DS23,'Jan-2026 rates'!$L:$R,4,0),IF($LB23=65%,VLOOKUP($DS23,'Jan-2026 rates'!$L:$R,4,0),IF($LB23=40%,VLOOKUP($DS23,'Jan-2026 rates'!$L:$R,5,0),IF($LB23=30%,VLOOKUP($DS23,'Jan-2026 rates'!$L:$R,6,0),IF($LB23=100%,VLOOKUP($DS23,'Jan-2026 rates'!$L:$R,7,0),IF($LB23=60%,VLOOKUP($DS23,'Jan-2026 rates'!$L:$S,8,0),IF($LB23=80%,VLOOKUP($DS23,'Jan-2026 rates'!L:T,9,0),0))))))))</f>
        <v>0</v>
      </c>
      <c r="DY23" s="413" t="s">
        <v>1921</v>
      </c>
      <c r="DZ23" s="413" t="s">
        <v>1246</v>
      </c>
      <c r="EA23" s="412" t="s">
        <v>1880</v>
      </c>
      <c r="EB23" s="412"/>
      <c r="EC23" s="412"/>
      <c r="ED23" s="412"/>
      <c r="EE23" s="412"/>
      <c r="EF23" s="412"/>
      <c r="EG23" s="409">
        <v>5</v>
      </c>
      <c r="EH23" s="398">
        <f>IF(EG23=0,0,IF(LEN(DY23)=11,_xlfn.XLOOKUP(DY23,'Dispensed Ink Rates'!C:C,'Dispensed Ink Rates'!CS:CS),VLOOKUP(DY23,'Jan-2026 rates'!$E:$F,2,0)))</f>
        <v>0</v>
      </c>
      <c r="EI23" s="409">
        <v>1</v>
      </c>
      <c r="EJ23" s="398">
        <f>IF(EI23=0,0,IF(LEN(DZ23)=11,_xlfn.XLOOKUP(DZ23,'Dispensed Ink Rates'!C:C,'Dispensed Ink Rates'!CS:CS),VLOOKUP(DZ23,'Jan-2026 rates'!$E:$F,2,0)))</f>
        <v>0</v>
      </c>
      <c r="EK23" s="409">
        <v>0.2</v>
      </c>
      <c r="EL23" s="398">
        <f>IF(EK23=0,0,IF(LEN(EA23)=11,_xlfn.XLOOKUP(EA23,'Dispensed Ink Rates'!C:C,'Dispensed Ink Rates'!CS:CS),VLOOKUP(EA23,'Jan-2026 rates'!$E:$F,2,0)))</f>
        <v>0</v>
      </c>
      <c r="EM23" s="409"/>
      <c r="EN23" s="398">
        <f>IF(EM23=0,0,IF(LEN(EB23)=11,_xlfn.XLOOKUP(EB23,'Dispensed Ink Rates'!C:C,'Dispensed Ink Rates'!CS:CS),VLOOKUP(EB23,'Jan-2026 rates'!$E:$F,2,0)))</f>
        <v>0</v>
      </c>
      <c r="EO23" s="409"/>
      <c r="EP23" s="398">
        <f>IF(EO23=0,0,IF(LEN(EC23)=11,_xlfn.XLOOKUP(EC23,'Dispensed Ink Rates'!C:C,'Dispensed Ink Rates'!CS:CS),VLOOKUP(EC23,'Jan-2026 rates'!$E:$F,2,0)))</f>
        <v>0</v>
      </c>
      <c r="EQ23" s="409"/>
      <c r="ER23" s="398">
        <f>IF(EQ23=0,0,IF(LEN(ED23)=11,_xlfn.XLOOKUP(ED23,'Dispensed Ink Rates'!C:C,'Dispensed Ink Rates'!CS:CS),VLOOKUP(ED23,'Jan-2026 rates'!$E:$F,2,0)))</f>
        <v>0</v>
      </c>
      <c r="ES23" s="409"/>
      <c r="ET23" s="398">
        <f>IF(ES23=0,0,IF(LEN(EE23)=11,_xlfn.XLOOKUP(EE23,'Dispensed Ink Rates'!C:C,'Dispensed Ink Rates'!CS:CS),VLOOKUP(EE23,'Jan-2026 rates'!$E:$F,2,0)))</f>
        <v>0</v>
      </c>
      <c r="EU23" s="409"/>
      <c r="EV23" s="398">
        <f>IF(EU23=0,0,IF(LEN(EF23)=11,_xlfn.XLOOKUP(EF23,'Dispensed Ink Rates'!C:C,'Dispensed Ink Rates'!CS:CS),VLOOKUP(EF23,'Jan-2026 rates'!$E:$F,2,0)))</f>
        <v>0</v>
      </c>
      <c r="EW23" s="409" t="s">
        <v>1881</v>
      </c>
      <c r="EX23" s="409">
        <v>20</v>
      </c>
      <c r="EY23" s="411">
        <f t="shared" si="13"/>
        <v>0</v>
      </c>
      <c r="EZ23" s="411">
        <f t="shared" si="14"/>
        <v>8.4258064516129032</v>
      </c>
      <c r="FA23" s="410">
        <f t="shared" si="15"/>
        <v>0</v>
      </c>
      <c r="FB23" s="405" t="s">
        <v>855</v>
      </c>
      <c r="FC23" s="409" t="s">
        <v>2673</v>
      </c>
      <c r="FD23" s="420" t="str">
        <f t="shared" si="16"/>
        <v>ToyoLi - CYAN</v>
      </c>
      <c r="FE23" s="409">
        <v>27</v>
      </c>
      <c r="FF23" s="411">
        <f>IF(FE23=0,0,IF($LB23=70%,VLOOKUP($FD23,'Jan-2026 rates'!$L:$R,4,0),IF($LB23=65%,VLOOKUP($FD23,'Jan-2026 rates'!$L:$R,4,0),IF($LB23=40%,VLOOKUP($FD23,'Jan-2026 rates'!$L:$R,5,0),IF($LB23=30%,VLOOKUP($FD23,'Jan-2026 rates'!$L:$R,6,0),IF($LB23=100%,VLOOKUP($FD23,'Jan-2026 rates'!$L:$R,7,0),IF($LB23=60%,VLOOKUP($FD23,'Jan-2026 rates'!$L:$S,8,0),IF($LB23=80%,VLOOKUP($FD23,'Jan-2026 rates'!L:T,9,0),0))))))))</f>
        <v>0</v>
      </c>
      <c r="FG23" s="412"/>
      <c r="FH23" s="409"/>
      <c r="FI23" s="411">
        <f>IF(FH23=0,0,IF($LB23=70%,VLOOKUP($FD23,'Jan-2026 rates'!$L:$R,4,0),IF($LB23=65%,VLOOKUP($FD23,'Jan-2026 rates'!$L:$R,4,0),IF($LB23=40%,VLOOKUP($FD23,'Jan-2026 rates'!$L:$R,5,0),IF($LB23=30%,VLOOKUP($FD23,'Jan-2026 rates'!$L:$R,6,0),IF($LB23=100%,VLOOKUP($FD23,'Jan-2026 rates'!$L:$R,7,0),IF($LB23=60%,VLOOKUP($FD23,'Jan-2026 rates'!$L:$S,8,0),IF($LB23=80%,VLOOKUP($FD23,'Jan-2026 rates'!L:T,9,0),0))))))))</f>
        <v>0</v>
      </c>
      <c r="FJ23" s="413" t="s">
        <v>1250</v>
      </c>
      <c r="FK23" s="413"/>
      <c r="FL23" s="413"/>
      <c r="FM23" s="412"/>
      <c r="FN23" s="412"/>
      <c r="FO23" s="412"/>
      <c r="FP23" s="412"/>
      <c r="FQ23" s="412"/>
      <c r="FR23" s="409">
        <v>2</v>
      </c>
      <c r="FS23" s="398">
        <f>IF(FR23=0,0,IF(LEN(FJ23)=11,_xlfn.XLOOKUP(FJ23,'Dispensed Ink Rates'!C:C,'Dispensed Ink Rates'!CS:CS),VLOOKUP(FJ23,'Jan-2026 rates'!$E:$F,2,0)))</f>
        <v>0</v>
      </c>
      <c r="FT23" s="409"/>
      <c r="FU23" s="398">
        <f>IF(FT23=0,0,IF(LEN(FK23)=11,_xlfn.XLOOKUP(FK23,'Dispensed Ink Rates'!C:C,'Dispensed Ink Rates'!CS:CS),VLOOKUP(FK23,'Jan-2026 rates'!$E:$F,2,0)))</f>
        <v>0</v>
      </c>
      <c r="FV23" s="409"/>
      <c r="FW23" s="398">
        <f>IF(FV23=0,0,IF(LEN(FL23)=11,_xlfn.XLOOKUP(FL23,'Dispensed Ink Rates'!C:C,'Dispensed Ink Rates'!CS:CS),VLOOKUP(FL23,'Jan-2026 rates'!$E:$F,2,0)))</f>
        <v>0</v>
      </c>
      <c r="FX23" s="409"/>
      <c r="FY23" s="398">
        <f>IF(FX23=0,0,IF(LEN(FM23)=11,_xlfn.XLOOKUP(FM23,'Dispensed Ink Rates'!C:C,'Dispensed Ink Rates'!CS:CS),VLOOKUP(FM23,'Jan-2026 rates'!$E:$F,2,0)))</f>
        <v>0</v>
      </c>
      <c r="FZ23" s="409"/>
      <c r="GA23" s="398">
        <f>IF(FZ23=0,0,IF(LEN(FN23)=11,_xlfn.XLOOKUP(FN23,'Dispensed Ink Rates'!C:C,'Dispensed Ink Rates'!CS:CS),VLOOKUP(FN23,'Jan-2026 rates'!$E:$F,2,0)))</f>
        <v>0</v>
      </c>
      <c r="GB23" s="409"/>
      <c r="GC23" s="398">
        <f>IF(GB23=0,0,IF(LEN(FO23)=11,_xlfn.XLOOKUP(FO23,'Dispensed Ink Rates'!C:C,'Dispensed Ink Rates'!CS:CS),VLOOKUP(FO23,'Jan-2026 rates'!$E:$F,2,0)))</f>
        <v>0</v>
      </c>
      <c r="GD23" s="409"/>
      <c r="GE23" s="398">
        <f>IF(GD23=0,0,IF(LEN(FP23)=11,_xlfn.XLOOKUP(FP23,'Dispensed Ink Rates'!C:C,'Dispensed Ink Rates'!CS:CS),VLOOKUP(FP23,'Jan-2026 rates'!$E:$F,2,0)))</f>
        <v>0</v>
      </c>
      <c r="GF23" s="409"/>
      <c r="GG23" s="398">
        <f>IF(GF23=0,0,IF(LEN(FQ23)=11,_xlfn.XLOOKUP(FQ23,'Dispensed Ink Rates'!C:C,'Dispensed Ink Rates'!CS:CS),VLOOKUP(FQ23,'Jan-2026 rates'!$E:$F,2,0)))</f>
        <v>0</v>
      </c>
      <c r="GH23" s="409" t="s">
        <v>1881</v>
      </c>
      <c r="GI23" s="409">
        <v>27</v>
      </c>
      <c r="GJ23" s="411">
        <f t="shared" si="17"/>
        <v>0</v>
      </c>
      <c r="GK23" s="411">
        <f t="shared" si="18"/>
        <v>5.6129032258064484</v>
      </c>
      <c r="GL23" s="410">
        <f t="shared" si="19"/>
        <v>0</v>
      </c>
      <c r="GM23" s="405" t="s">
        <v>544</v>
      </c>
      <c r="GN23" s="409" t="s">
        <v>2674</v>
      </c>
      <c r="GO23" s="420" t="str">
        <f t="shared" si="20"/>
        <v>ToyoLi - MAGENTA</v>
      </c>
      <c r="GP23" s="409">
        <v>26</v>
      </c>
      <c r="GQ23" s="411">
        <f>IF(GP23=0,0,IF($LB23=70%,VLOOKUP($GO23,'Jan-2026 rates'!$L:$R,4,0),IF($LB23=65%,VLOOKUP($GO23,'Jan-2026 rates'!$L:$R,4,0),IF($LB23=40%,VLOOKUP($GO23,'Jan-2026 rates'!$L:$R,5,0),IF($LB23=30%,VLOOKUP($GO23,'Jan-2026 rates'!$L:$R,6,0),IF($LB23=100%,VLOOKUP($GO23,'Jan-2026 rates'!$L:$R,7,0),IF($LB23=60%,VLOOKUP($GO23,'Jan-2026 rates'!$L:$S,8,0),IF($LB23=80%,VLOOKUP($GO23,'Jan-2026 rates'!L:T,9,0),0))))))))</f>
        <v>0</v>
      </c>
      <c r="GR23" s="412"/>
      <c r="GS23" s="409"/>
      <c r="GT23" s="411">
        <f>IF(GS23=0,0,IF($LB23=70%,VLOOKUP($GO23,'Jan-2026 rates'!$L:$R,4,0),IF($LB23=65%,VLOOKUP($GO23,'Jan-2026 rates'!$L:$R,4,0),IF($LB23=40%,VLOOKUP($GO23,'Jan-2026 rates'!$L:$R,5,0),IF($LB23=30%,VLOOKUP($GO23,'Jan-2026 rates'!$L:$R,6,0),IF($LB23=100%,VLOOKUP($GO23,'Jan-2026 rates'!$L:$R,7,0),IF($LB23=60%,VLOOKUP($GO23,'Jan-2026 rates'!$L:$S,8,0),IF($LB23=80%,VLOOKUP($GO23,'Jan-2026 rates'!L:T,9,0),0))))))))</f>
        <v>0</v>
      </c>
      <c r="GU23" s="413" t="s">
        <v>1246</v>
      </c>
      <c r="GV23" s="413"/>
      <c r="GW23" s="412"/>
      <c r="GX23" s="412"/>
      <c r="GY23" s="412"/>
      <c r="GZ23" s="412"/>
      <c r="HA23" s="412"/>
      <c r="HB23" s="412"/>
      <c r="HC23" s="409">
        <v>3</v>
      </c>
      <c r="HD23" s="398">
        <f>IF(HC23=0,0,IF(LEN(GU23)=11,_xlfn.XLOOKUP(GU23,'Dispensed Ink Rates'!C:C,'Dispensed Ink Rates'!CS:CS),VLOOKUP(GU23,'Jan-2026 rates'!$E:$F,2,0)))</f>
        <v>0</v>
      </c>
      <c r="HE23" s="409"/>
      <c r="HF23" s="398">
        <f>IF(HE23=0,0,IF(LEN(GV23)=11,_xlfn.XLOOKUP(GV23,'Dispensed Ink Rates'!C:C,'Dispensed Ink Rates'!CS:CS),VLOOKUP(GV23,'Jan-2026 rates'!$E:$F,2,0)))</f>
        <v>0</v>
      </c>
      <c r="HG23" s="409"/>
      <c r="HH23" s="398">
        <f>IF(HG23=0,0,IF(LEN(GW23)=11,_xlfn.XLOOKUP(GW23,'Dispensed Ink Rates'!C:C,'Dispensed Ink Rates'!CS:CS),VLOOKUP(GW23,'Jan-2026 rates'!$E:$F,2,0)))</f>
        <v>0</v>
      </c>
      <c r="HI23" s="409"/>
      <c r="HJ23" s="398">
        <f>IF(HI23=0,0,IF(LEN(GX23)=11,_xlfn.XLOOKUP(GX23,'Dispensed Ink Rates'!C:C,'Dispensed Ink Rates'!CS:CS),VLOOKUP(GX23,'Jan-2026 rates'!$E:$F,2,0)))</f>
        <v>0</v>
      </c>
      <c r="HK23" s="409"/>
      <c r="HL23" s="398">
        <f>IF(HK23=0,0,IF(LEN(GY23)=11,_xlfn.XLOOKUP(GY23,'Dispensed Ink Rates'!C:C,'Dispensed Ink Rates'!CS:CS),VLOOKUP(GY23,'Jan-2026 rates'!$E:$F,2,0)))</f>
        <v>0</v>
      </c>
      <c r="HM23" s="409"/>
      <c r="HN23" s="398">
        <f>IF(HM23=0,0,IF(LEN(GZ23)=11,_xlfn.XLOOKUP(GZ23,'Dispensed Ink Rates'!C:C,'Dispensed Ink Rates'!CS:CS),VLOOKUP(GZ23,'Jan-2026 rates'!$E:$F,2,0)))</f>
        <v>0</v>
      </c>
      <c r="HO23" s="409"/>
      <c r="HP23" s="398">
        <f>IF(HO23=0,0,IF(LEN(HA23)=11,_xlfn.XLOOKUP(HA23,'Dispensed Ink Rates'!C:C,'Dispensed Ink Rates'!CS:CS),VLOOKUP(HA23,'Jan-2026 rates'!$E:$F,2,0)))</f>
        <v>0</v>
      </c>
      <c r="HQ23" s="409"/>
      <c r="HR23" s="398">
        <f>IF(HQ23=0,0,IF(LEN(HB23)=11,_xlfn.XLOOKUP(HB23,'Dispensed Ink Rates'!C:C,'Dispensed Ink Rates'!CS:CS),VLOOKUP(HB23,'Jan-2026 rates'!$E:$F,2,0)))</f>
        <v>0</v>
      </c>
      <c r="HS23" s="409" t="s">
        <v>1881</v>
      </c>
      <c r="HT23" s="409">
        <v>25</v>
      </c>
      <c r="HU23" s="411">
        <f t="shared" si="21"/>
        <v>0</v>
      </c>
      <c r="HV23" s="411">
        <f t="shared" si="22"/>
        <v>5.8064516129032242</v>
      </c>
      <c r="HW23" s="414">
        <f t="shared" si="23"/>
        <v>0</v>
      </c>
      <c r="HX23" s="405" t="s">
        <v>545</v>
      </c>
      <c r="HY23" s="409" t="s">
        <v>2675</v>
      </c>
      <c r="HZ23" s="420" t="str">
        <f t="shared" si="24"/>
        <v>ToyoLi - YELLOW</v>
      </c>
      <c r="IA23" s="409">
        <v>23</v>
      </c>
      <c r="IB23" s="411">
        <f>IF(IA23=0,0,IF($LB23=70%,VLOOKUP($HZ23,'Jan-2026 rates'!$L:$R,4,0),IF($LB23=65%,VLOOKUP($HZ23,'Jan-2026 rates'!$L:$R,4,0),IF($LB23=40%,VLOOKUP($HZ23,'Jan-2026 rates'!$L:$R,5,0),IF($LB23=30%,VLOOKUP($HZ23,'Jan-2026 rates'!$L:$R,6,0),IF($LB23=100%,VLOOKUP($HZ23,'Jan-2026 rates'!$L:$R,7,0),IF($LB23=60%,VLOOKUP($HZ23,'Jan-2026 rates'!$L:$S,8,0),IF($LB23=80%,VLOOKUP($HZ23,'Jan-2026 rates'!L:T,9,0),0))))))))</f>
        <v>0</v>
      </c>
      <c r="IC23" s="412"/>
      <c r="ID23" s="409"/>
      <c r="IE23" s="411">
        <f>IF(ID23=0,0,IF($LB23=70%,VLOOKUP($HZ23,'Jan-2026 rates'!$L:$R,4,0),IF($LB23=65%,VLOOKUP($HZ23,'Jan-2026 rates'!$L:$R,4,0),IF($LB23=40%,VLOOKUP($HZ23,'Jan-2026 rates'!$L:$R,5,0),IF($LB23=30%,VLOOKUP($HZ23,'Jan-2026 rates'!$L:$R,6,0),IF($LB23=100%,VLOOKUP($HZ23,'Jan-2026 rates'!$L:$R,7,0),IF($LB23=60%,VLOOKUP($HZ23,'Jan-2026 rates'!$L:$S,8,0),IF($LB23=80%,VLOOKUP($HZ23,'Jan-2026 rates'!L:T,9,0),0))))))))</f>
        <v>0</v>
      </c>
      <c r="IF23" s="412" t="s">
        <v>1247</v>
      </c>
      <c r="IG23" s="413"/>
      <c r="IH23" s="412"/>
      <c r="II23" s="412"/>
      <c r="IJ23" s="412"/>
      <c r="IK23" s="412"/>
      <c r="IL23" s="412"/>
      <c r="IM23" s="412"/>
      <c r="IN23" s="409">
        <v>5</v>
      </c>
      <c r="IO23" s="398">
        <f>IF(IN23=0,0,IF(LEN(IF23)=11,_xlfn.XLOOKUP(IF23,'Dispensed Ink Rates'!C:C,'Dispensed Ink Rates'!CS:CS),VLOOKUP(IF23,'Jan-2026 rates'!$E:$F,2,0)))</f>
        <v>0</v>
      </c>
      <c r="IP23" s="409"/>
      <c r="IQ23" s="398">
        <f>IF(IP23=0,0,IF(LEN(IG23)=11,_xlfn.XLOOKUP(IG23,'Dispensed Ink Rates'!C:C,'Dispensed Ink Rates'!CS:CS),VLOOKUP(IG23,'Jan-2026 rates'!$E:$F,2,0)))</f>
        <v>0</v>
      </c>
      <c r="IR23" s="409"/>
      <c r="IS23" s="398">
        <f>IF(IR23=0,0,IF(LEN(IH23)=11,_xlfn.XLOOKUP(IH23,'Dispensed Ink Rates'!C:C,'Dispensed Ink Rates'!CS:CS),VLOOKUP(IH23,'Jan-2026 rates'!$E:$F,2,0)))</f>
        <v>0</v>
      </c>
      <c r="IT23" s="409"/>
      <c r="IU23" s="398">
        <f>IF(IT23=0,0,IF(LEN(II23)=11,_xlfn.XLOOKUP(II23,'Dispensed Ink Rates'!C:C,'Dispensed Ink Rates'!CS:CS),VLOOKUP(II23,'Jan-2026 rates'!$E:$F,2,0)))</f>
        <v>0</v>
      </c>
      <c r="IV23" s="409"/>
      <c r="IW23" s="398">
        <f>IF(IV23=0,0,IF(LEN(IJ23)=11,_xlfn.XLOOKUP(IJ23,'Dispensed Ink Rates'!C:C,'Dispensed Ink Rates'!CS:CS),VLOOKUP(IJ23,'Jan-2026 rates'!$E:$F,2,0)))</f>
        <v>0</v>
      </c>
      <c r="IX23" s="409"/>
      <c r="IY23" s="398">
        <f>IF(IX23=0,0,IF(LEN(IK23)=11,_xlfn.XLOOKUP(IK23,'Dispensed Ink Rates'!C:C,'Dispensed Ink Rates'!CS:CS),VLOOKUP(IK23,'Jan-2026 rates'!$E:$F,2,0)))</f>
        <v>0</v>
      </c>
      <c r="IZ23" s="409"/>
      <c r="JA23" s="398">
        <f>IF(IZ23=0,0,IF(LEN(IL23)=11,_xlfn.XLOOKUP(IL23,'Dispensed Ink Rates'!C:C,'Dispensed Ink Rates'!CS:CS),VLOOKUP(IL23,'Jan-2026 rates'!$E:$F,2,0)))</f>
        <v>0</v>
      </c>
      <c r="JB23" s="409"/>
      <c r="JC23" s="398">
        <f>IF(JB23=0,0,IF(LEN(IM23)=11,_xlfn.XLOOKUP(IM23,'Dispensed Ink Rates'!C:C,'Dispensed Ink Rates'!CS:CS),VLOOKUP(IM23,'Jan-2026 rates'!$E:$F,2,0)))</f>
        <v>0</v>
      </c>
      <c r="JD23" s="409" t="s">
        <v>1881</v>
      </c>
      <c r="JE23" s="409">
        <v>26</v>
      </c>
      <c r="JF23" s="411">
        <f t="shared" si="25"/>
        <v>0</v>
      </c>
      <c r="JG23" s="411">
        <f t="shared" si="26"/>
        <v>9.2258064516129039</v>
      </c>
      <c r="JH23" s="410">
        <f t="shared" si="27"/>
        <v>0</v>
      </c>
      <c r="JI23" s="405" t="s">
        <v>856</v>
      </c>
      <c r="JJ23" s="409" t="s">
        <v>2676</v>
      </c>
      <c r="JK23" s="420" t="str">
        <f t="shared" si="28"/>
        <v>ToyoLi - WHITE</v>
      </c>
      <c r="JL23" s="409">
        <v>25</v>
      </c>
      <c r="JM23" s="411">
        <f>IF(JL23=0,0,IF($LB23=70%,VLOOKUP($JK23,'Jan-2026 rates'!$L:$R,4,0),IF($LB23=65%,VLOOKUP($JK23,'Jan-2026 rates'!$L:$R,4,0),IF($LB23=40%,VLOOKUP($JK23,'Jan-2026 rates'!$L:$R,5,0),IF($LB23=30%,VLOOKUP($JK23,'Jan-2026 rates'!$L:$R,6,0),IF($LB23=100%,VLOOKUP($JK23,'Jan-2026 rates'!$L:$R,7,0),IF($LB23=60%,VLOOKUP($JK23,'Jan-2026 rates'!$L:$S,8,0),IF($LB23=80%,VLOOKUP($JK23,'Jan-2026 rates'!L:T,9,0),0))))))))</f>
        <v>0</v>
      </c>
      <c r="JN23" s="412"/>
      <c r="JO23" s="409"/>
      <c r="JP23" s="411">
        <f>IF(JO23=0,0,IF($LB23=70%,VLOOKUP($JK23,'Jan-2026 rates'!$L:$R,4,0),IF($LB23=65%,VLOOKUP($JK23,'Jan-2026 rates'!$L:$R,4,0),IF($LB23=40%,VLOOKUP($JK23,'Jan-2026 rates'!$L:$R,5,0),IF($LB23=30%,VLOOKUP($JK23,'Jan-2026 rates'!$L:$R,6,0),IF($LB23=100%,VLOOKUP($JK23,'Jan-2026 rates'!$L:$R,7,0),IF($LB23=60%,VLOOKUP($JK23,'Jan-2026 rates'!$L:$S,8,0),IF($LB23=80%,VLOOKUP($JK23,'Jan-2026 rates'!L:T,9,0),0))))))))</f>
        <v>0</v>
      </c>
      <c r="JQ23" s="413" t="s">
        <v>1249</v>
      </c>
      <c r="JR23" s="412"/>
      <c r="JS23" s="413"/>
      <c r="JT23" s="413"/>
      <c r="JU23" s="412"/>
      <c r="JV23" s="412"/>
      <c r="JW23" s="412"/>
      <c r="JX23" s="412"/>
      <c r="JY23" s="409">
        <v>30</v>
      </c>
      <c r="JZ23" s="398">
        <f>IF(JY23=0,0,IF(LEN(JQ23)=11,_xlfn.XLOOKUP(JQ23,'Dispensed Ink Rates'!C:C,'Dispensed Ink Rates'!CS:CS),VLOOKUP(JQ23,'Jan-2026 rates'!$E:$F,2,0)))</f>
        <v>0</v>
      </c>
      <c r="KA23" s="409"/>
      <c r="KB23" s="398">
        <f>IF(KA23=0,0,IF(LEN(JR23)=11,_xlfn.XLOOKUP(JR23,'Dispensed Ink Rates'!C:C,'Dispensed Ink Rates'!CS:CS),VLOOKUP(JR23,'Jan-2026 rates'!$E:$F,2,0)))</f>
        <v>0</v>
      </c>
      <c r="KC23" s="409"/>
      <c r="KD23" s="398">
        <f>IF(KC23=0,0,IF(LEN(JS23)=11,_xlfn.XLOOKUP(JS23,'Dispensed Ink Rates'!C:C,'Dispensed Ink Rates'!CS:CS),VLOOKUP(JS23,'Jan-2026 rates'!$E:$F,2,0)))</f>
        <v>0</v>
      </c>
      <c r="KE23" s="409"/>
      <c r="KF23" s="398">
        <f>IF(KE23=0,0,IF(LEN(JT23)=11,_xlfn.XLOOKUP(JT23,'Dispensed Ink Rates'!C:C,'Dispensed Ink Rates'!CS:CS),VLOOKUP(JT23,'Jan-2026 rates'!$E:$F,2,0)))</f>
        <v>0</v>
      </c>
      <c r="KG23" s="409"/>
      <c r="KH23" s="398">
        <f>IF(KG23=0,0,IF(LEN(JU23)=11,_xlfn.XLOOKUP(JU23,'Dispensed Ink Rates'!C:C,'Dispensed Ink Rates'!CS:CS),VLOOKUP(JU23,'Jan-2026 rates'!$E:$F,2,0)))</f>
        <v>0</v>
      </c>
      <c r="KI23" s="409"/>
      <c r="KJ23" s="398">
        <f>IF(KI23=0,0,IF(LEN(JV23)=11,_xlfn.XLOOKUP(JV23,'Dispensed Ink Rates'!C:C,'Dispensed Ink Rates'!CS:CS),VLOOKUP(JV23,'Jan-2026 rates'!$E:$F,2,0)))</f>
        <v>0</v>
      </c>
      <c r="KK23" s="409"/>
      <c r="KL23" s="398">
        <f>IF(KK23=0,0,IF(LEN(JW23)=11,_xlfn.XLOOKUP(JW23,'Dispensed Ink Rates'!C:C,'Dispensed Ink Rates'!CS:CS),VLOOKUP(JW23,'Jan-2026 rates'!$E:$F,2,0)))</f>
        <v>0</v>
      </c>
      <c r="KM23" s="428"/>
      <c r="KN23" s="398">
        <f>IF(KM23=0,0,IF(LEN(JX23)=11,_xlfn.XLOOKUP(JX23,'Dispensed Ink Rates'!C:C,'Dispensed Ink Rates'!CS:CS),VLOOKUP(JX23,'Jan-2026 rates'!$E:$F,2,0)))</f>
        <v>0</v>
      </c>
      <c r="KO23" s="409" t="s">
        <v>1881</v>
      </c>
      <c r="KP23" s="409">
        <v>20</v>
      </c>
      <c r="KQ23" s="411">
        <f t="shared" si="29"/>
        <v>0</v>
      </c>
      <c r="KR23" s="411">
        <f t="shared" si="30"/>
        <v>62.096774193548384</v>
      </c>
      <c r="KS23" s="410">
        <f t="shared" si="31"/>
        <v>0</v>
      </c>
      <c r="KT23" s="409">
        <v>0</v>
      </c>
      <c r="KU23" s="409">
        <v>3</v>
      </c>
      <c r="KV23" s="409">
        <v>2</v>
      </c>
      <c r="KW23" s="409">
        <v>4</v>
      </c>
      <c r="KX23" s="409">
        <v>2</v>
      </c>
      <c r="KY23" s="409">
        <v>1</v>
      </c>
      <c r="KZ23" s="409">
        <v>4</v>
      </c>
      <c r="LA23" s="409">
        <v>15</v>
      </c>
      <c r="LB23" s="415">
        <v>0.3</v>
      </c>
      <c r="LC23" s="415"/>
      <c r="LD23" s="415"/>
      <c r="LE23" s="415">
        <v>0.5</v>
      </c>
      <c r="LF23" s="415">
        <v>0.2</v>
      </c>
      <c r="LG23" s="409">
        <v>0</v>
      </c>
      <c r="LH23" s="409">
        <f>15+11+9+15+6</f>
        <v>56</v>
      </c>
      <c r="LI23" s="409">
        <v>0</v>
      </c>
      <c r="LJ23" s="409">
        <v>0</v>
      </c>
      <c r="LK23" s="416">
        <f t="shared" si="32"/>
        <v>56</v>
      </c>
      <c r="LL23" s="416">
        <f t="shared" si="33"/>
        <v>56</v>
      </c>
      <c r="LM23" s="417">
        <f t="shared" si="34"/>
        <v>16.8</v>
      </c>
      <c r="LN23" s="417">
        <f>VLOOKUP($LM$8,'Jan-2026 rates'!$H:$I,2,0)</f>
        <v>0</v>
      </c>
      <c r="LO23" s="417">
        <f t="shared" si="35"/>
        <v>0</v>
      </c>
      <c r="LP23" s="417">
        <f>VLOOKUP($LO$8,'Jan-2026 rates'!$H:$I,2,0)</f>
        <v>0</v>
      </c>
      <c r="LQ23" s="417">
        <f t="shared" si="36"/>
        <v>0</v>
      </c>
      <c r="LR23" s="417">
        <f>VLOOKUP($LQ$8,'Jan-2026 rates'!$H:$I,2,0)</f>
        <v>0</v>
      </c>
      <c r="LS23" s="417">
        <f t="shared" si="37"/>
        <v>28</v>
      </c>
      <c r="LT23" s="417">
        <f>VLOOKUP($LS$8,'Jan-2026 rates'!$H:$I,2,0)</f>
        <v>0</v>
      </c>
      <c r="LU23" s="417">
        <f t="shared" si="38"/>
        <v>11.200000000000001</v>
      </c>
      <c r="LV23" s="417">
        <f>VLOOKUP($LU$8,'Jan-2026 rates'!$H:$I,2,0)</f>
        <v>0</v>
      </c>
      <c r="LW23" s="417">
        <f t="shared" si="39"/>
        <v>0</v>
      </c>
      <c r="LX23" s="417">
        <f t="shared" si="40"/>
        <v>0</v>
      </c>
      <c r="LY23" s="418">
        <f t="shared" si="41"/>
        <v>0</v>
      </c>
      <c r="LZ23" s="417"/>
      <c r="MA23" s="435">
        <f t="shared" si="42"/>
        <v>59.7</v>
      </c>
      <c r="MB23" s="282">
        <f t="shared" si="43"/>
        <v>115.69999999999999</v>
      </c>
      <c r="MC23" s="283" t="s">
        <v>1952</v>
      </c>
      <c r="MD23" s="284" t="str">
        <f t="shared" si="44"/>
        <v>ToyoLiToyoLiToyoLiToyoLiToyoLiToyoLiToyoLiToyoLi</v>
      </c>
      <c r="ME23" s="293" t="str">
        <f t="shared" si="45"/>
        <v>+</v>
      </c>
      <c r="MF23" s="293" t="str">
        <f t="shared" si="46"/>
        <v>+</v>
      </c>
      <c r="MG23" s="293" t="str">
        <f t="shared" si="47"/>
        <v>+</v>
      </c>
      <c r="MH23" s="293" t="str">
        <f t="shared" si="48"/>
        <v>+</v>
      </c>
      <c r="MI23" s="293" t="str">
        <f t="shared" si="49"/>
        <v>+</v>
      </c>
      <c r="MJ23" s="293" t="str">
        <f t="shared" si="50"/>
        <v>+</v>
      </c>
      <c r="MK23" s="293" t="str">
        <f t="shared" si="51"/>
        <v>+</v>
      </c>
      <c r="ML23" s="293" t="str">
        <f t="shared" si="52"/>
        <v>+</v>
      </c>
      <c r="MM23" s="3" t="b">
        <f t="array" ref="MM23">OR(ME23:ML23="-")</f>
        <v>0</v>
      </c>
      <c r="MN23" s="285"/>
      <c r="MO23" s="401"/>
      <c r="MP23" s="286"/>
      <c r="MQ23" s="286"/>
      <c r="MR23" s="402"/>
      <c r="MS23" s="400"/>
      <c r="NH23" s="422"/>
      <c r="NJ23" s="421"/>
    </row>
    <row r="24" spans="1:374" s="1" customFormat="1" ht="16.5">
      <c r="A24" s="403">
        <v>46026</v>
      </c>
      <c r="B24" s="404" t="s">
        <v>1015</v>
      </c>
      <c r="C24" s="405" t="s">
        <v>2677</v>
      </c>
      <c r="D24" s="406" t="s">
        <v>1953</v>
      </c>
      <c r="E24" s="404">
        <v>113</v>
      </c>
      <c r="F24" s="407">
        <v>5800</v>
      </c>
      <c r="G24" s="407" t="s">
        <v>1016</v>
      </c>
      <c r="H24" s="408" t="s">
        <v>1017</v>
      </c>
      <c r="I24" s="409">
        <v>1.8</v>
      </c>
      <c r="J24" s="405" t="s">
        <v>543</v>
      </c>
      <c r="K24" s="404" t="s">
        <v>2678</v>
      </c>
      <c r="L24" s="419" t="str">
        <f t="shared" si="0"/>
        <v>ToyoLi - BLACK</v>
      </c>
      <c r="M24" s="404">
        <v>27</v>
      </c>
      <c r="N24" s="410">
        <f>IF(M24=0,0,IF($LB24=70%,VLOOKUP($L24,'Jan-2026 rates'!$L:$R,4,0),IF($LB24=65%,VLOOKUP($L24,'Jan-2026 rates'!$L:$R,4,0),IF($LB24=40%,VLOOKUP($L24,'Jan-2026 rates'!$L:$R,5,0),IF($LB24=30%,VLOOKUP($L24,'Jan-2026 rates'!$L:$R,6,0),IF($LB24=100%,VLOOKUP($L24,'Jan-2026 rates'!$L:$R,7,0),IF($LB24=60%,VLOOKUP($L24,'Jan-2026 rates'!$L:$S,8,0),IF($LB24=80%,VLOOKUP($L24,'Jan-2026 rates'!L:T,9,0),0))))))))</f>
        <v>0</v>
      </c>
      <c r="O24" s="406"/>
      <c r="P24" s="404"/>
      <c r="Q24" s="410">
        <f>IF(P24=0,0,IF($LB24=70%,VLOOKUP($L24,'Jan-2026 rates'!$L:$R,4,0),IF($LB24=65%,VLOOKUP($L24,'Jan-2026 rates'!$L:$R,4,0),IF($LB24=40%,VLOOKUP($L24,'Jan-2026 rates'!$L:$R,5,0),IF($LB24=30%,VLOOKUP($L24,'Jan-2026 rates'!$L:$R,6,0),IF($LB24=100%,VLOOKUP($L24,'Jan-2026 rates'!$L:$R,7,0),IF($LB24=60%,VLOOKUP($L24,'Jan-2026 rates'!$L:$S,8,0),IF($LB24=80%,VLOOKUP($L24,'Jan-2026 rates'!L:T,9,0),0))))))))</f>
        <v>0</v>
      </c>
      <c r="R24" s="406" t="s">
        <v>1252</v>
      </c>
      <c r="S24" s="406"/>
      <c r="T24" s="406"/>
      <c r="U24" s="406"/>
      <c r="V24" s="406"/>
      <c r="W24" s="406"/>
      <c r="X24" s="406"/>
      <c r="Y24" s="406"/>
      <c r="Z24" s="404">
        <v>1</v>
      </c>
      <c r="AA24" s="398">
        <f>IF(Z24=0,0,IF(LEN(R24)=11,_xlfn.XLOOKUP(R24,'Dispensed Ink Rates'!C:C,'Dispensed Ink Rates'!CS:CS),VLOOKUP(R24,'Jan-2026 rates'!$E:$F,2,0)))</f>
        <v>0</v>
      </c>
      <c r="AB24" s="404"/>
      <c r="AC24" s="398">
        <f>IF(AB24=0,0,IF(LEN(S24)=11,_xlfn.XLOOKUP(S24,'Dispensed Ink Rates'!C:C,'Dispensed Ink Rates'!CS:CS),VLOOKUP(S24,'Jan-2026 rates'!$E:$F,2,0)))</f>
        <v>0</v>
      </c>
      <c r="AD24" s="404"/>
      <c r="AE24" s="398">
        <f>IF(AD24=0,0,IF(LEN(T24)=11,_xlfn.XLOOKUP(T24,'Dispensed Ink Rates'!C:C,'Dispensed Ink Rates'!CS:CS),VLOOKUP(T24,'Jan-2026 rates'!$E:$F,2,0)))</f>
        <v>0</v>
      </c>
      <c r="AF24" s="404"/>
      <c r="AG24" s="398">
        <f>IF(AF24=0,0,IF(LEN(U24)=11,_xlfn.XLOOKUP(U24,'Dispensed Ink Rates'!C:C,'Dispensed Ink Rates'!CS:CS),VLOOKUP(U24,'Jan-2026 rates'!$E:$F,2,0)))</f>
        <v>0</v>
      </c>
      <c r="AH24" s="404"/>
      <c r="AI24" s="398">
        <f>IF(AH24=0,0,IF(LEN(V24)=11,_xlfn.XLOOKUP(V24,'Dispensed Ink Rates'!C:C,'Dispensed Ink Rates'!CS:CS),VLOOKUP(V24,'Jan-2026 rates'!$E:$F,2,0)))</f>
        <v>0</v>
      </c>
      <c r="AJ24" s="404"/>
      <c r="AK24" s="398">
        <f>IF(AJ24=0,0,IF(LEN(W24)=11,_xlfn.XLOOKUP(W24,'Dispensed Ink Rates'!C:C,'Dispensed Ink Rates'!CS:CS),VLOOKUP(W24,'Jan-2026 rates'!$E:$F,2,0)))</f>
        <v>0</v>
      </c>
      <c r="AL24" s="404"/>
      <c r="AM24" s="398">
        <f>IF(AL24=0,0,IF(LEN(X24)=11,_xlfn.XLOOKUP(X24,'Dispensed Ink Rates'!C:C,'Dispensed Ink Rates'!CS:CS),VLOOKUP(X24,'Jan-2026 rates'!$E:$F,2,0)))</f>
        <v>0</v>
      </c>
      <c r="AN24" s="404"/>
      <c r="AO24" s="398">
        <f>IF(AN24=0,0,IF(LEN(Y24)=11,_xlfn.XLOOKUP(Y24,'Dispensed Ink Rates'!C:C,'Dispensed Ink Rates'!CS:CS),VLOOKUP(Y24,'Jan-2026 rates'!$E:$F,2,0)))</f>
        <v>0</v>
      </c>
      <c r="AP24" s="409" t="s">
        <v>1881</v>
      </c>
      <c r="AQ24" s="409">
        <v>26</v>
      </c>
      <c r="AR24" s="410">
        <f t="shared" si="1"/>
        <v>0</v>
      </c>
      <c r="AS24" s="411">
        <f t="shared" si="2"/>
        <v>3.0684931506849296</v>
      </c>
      <c r="AT24" s="410">
        <f t="shared" si="3"/>
        <v>0</v>
      </c>
      <c r="AU24" s="405" t="s">
        <v>546</v>
      </c>
      <c r="AV24" s="409" t="s">
        <v>2678</v>
      </c>
      <c r="AW24" s="420" t="str">
        <f t="shared" si="4"/>
        <v>ToyoLi - REFLEX BLUE</v>
      </c>
      <c r="AX24" s="409">
        <v>25</v>
      </c>
      <c r="AY24" s="411">
        <f>IF(AX24=0,0,IF($LB24=70%,VLOOKUP($AW24,'Jan-2026 rates'!$L:$R,4,0),IF($LB24=65%,VLOOKUP($AW24,'Jan-2026 rates'!$L:$R,4,0),IF($LB24=40%,VLOOKUP($AW24,'Jan-2026 rates'!$L:$R,5,0),IF($LB24=30%,VLOOKUP($AW24,'Jan-2026 rates'!$L:$R,6,0),IF($LB24=100%,VLOOKUP($AW24,'Jan-2026 rates'!$L:$R,7,0),IF($LB24=60%,VLOOKUP($AW24,'Jan-2026 rates'!$L:$S,8,0),IF($LB24=80%,VLOOKUP($AW24,'Jan-2026 rates'!L:T,9,0),0))))))))</f>
        <v>0</v>
      </c>
      <c r="AZ24" s="412"/>
      <c r="BA24" s="409"/>
      <c r="BB24" s="411">
        <f>IF(BA24=0,0,IF($LB24=70%,VLOOKUP($AW24,'Jan-2026 rates'!$L:$R,4,0),IF($LB24=65%,VLOOKUP($AW24,'Jan-2026 rates'!$L:$R,4,0),IF($LB24=40%,VLOOKUP($AW24,'Jan-2026 rates'!$L:$R,5,0),IF($LB24=30%,VLOOKUP($AW24,'Jan-2026 rates'!$L:$R,6,0),IF($LB24=100%,VLOOKUP($AW24,'Jan-2026 rates'!$L:$R,7,0),IF($LB24=60%,VLOOKUP($AW24,'Jan-2026 rates'!$L:$S,8,0),IF($LB24=80%,VLOOKUP($AW24,'Jan-2026 rates'!L:T,9,0),0))))))))</f>
        <v>0</v>
      </c>
      <c r="BC24" s="413" t="s">
        <v>1880</v>
      </c>
      <c r="BD24" s="412"/>
      <c r="BE24" s="412"/>
      <c r="BF24" s="413"/>
      <c r="BG24" s="412"/>
      <c r="BH24" s="412"/>
      <c r="BI24" s="412"/>
      <c r="BJ24" s="412"/>
      <c r="BK24" s="409">
        <v>1</v>
      </c>
      <c r="BL24" s="398">
        <f>IF(BK24=0,0,IF(LEN(BC24)=11,_xlfn.XLOOKUP(BC24,'Dispensed Ink Rates'!C:C,'Dispensed Ink Rates'!CS:CS),VLOOKUP(BC24,'Jan-2026 rates'!$E:$F,2,0)))</f>
        <v>0</v>
      </c>
      <c r="BM24" s="409"/>
      <c r="BN24" s="398">
        <f>IF(BM24=0,0,IF(LEN(BD24)=11,_xlfn.XLOOKUP(BD24,'Dispensed Ink Rates'!C:C,'Dispensed Ink Rates'!CS:CS),VLOOKUP(BD24,'Jan-2026 rates'!$E:$F,2,0)))</f>
        <v>0</v>
      </c>
      <c r="BO24" s="409"/>
      <c r="BP24" s="398">
        <f>IF(BO24=0,0,IF(LEN(BE24)=11,_xlfn.XLOOKUP(BE24,'Dispensed Ink Rates'!C:C,'Dispensed Ink Rates'!CS:CS),VLOOKUP(BE24,'Jan-2026 rates'!$E:$F,2,0)))</f>
        <v>0</v>
      </c>
      <c r="BQ24" s="409"/>
      <c r="BR24" s="398">
        <f>IF(BQ24=0,0,IF(LEN(BF24)=11,_xlfn.XLOOKUP(BF24,'Dispensed Ink Rates'!C:C,'Dispensed Ink Rates'!CS:CS),VLOOKUP(BF24,'Jan-2026 rates'!$E:$F,2,0)))</f>
        <v>0</v>
      </c>
      <c r="BS24" s="409"/>
      <c r="BT24" s="398">
        <f>IF(BS24=0,0,IF(LEN(BG24)=11,_xlfn.XLOOKUP(BG24,'Dispensed Ink Rates'!C:C,'Dispensed Ink Rates'!CS:CS),VLOOKUP(BG24,'Jan-2026 rates'!$E:$F,2,0)))</f>
        <v>0</v>
      </c>
      <c r="BU24" s="409"/>
      <c r="BV24" s="398">
        <f>IF(BU24=0,0,IF(LEN(BH24)=11,_xlfn.XLOOKUP(BH24,'Dispensed Ink Rates'!C:C,'Dispensed Ink Rates'!CS:CS),VLOOKUP(BH24,'Jan-2026 rates'!$E:$F,2,0)))</f>
        <v>0</v>
      </c>
      <c r="BW24" s="409"/>
      <c r="BX24" s="398">
        <f>IF(BW24=0,0,IF(LEN(BI24)=11,_xlfn.XLOOKUP(BI24,'Dispensed Ink Rates'!C:C,'Dispensed Ink Rates'!CS:CS),VLOOKUP(BI24,'Jan-2026 rates'!$E:$F,2,0)))</f>
        <v>0</v>
      </c>
      <c r="BY24" s="409"/>
      <c r="BZ24" s="398">
        <f>IF(BY24=0,0,IF(LEN(BJ24)=11,_xlfn.XLOOKUP(BJ24,'Dispensed Ink Rates'!C:C,'Dispensed Ink Rates'!CS:CS),VLOOKUP(BJ24,'Jan-2026 rates'!$E:$F,2,0)))</f>
        <v>0</v>
      </c>
      <c r="CA24" s="409" t="s">
        <v>1881</v>
      </c>
      <c r="CB24" s="409">
        <v>23</v>
      </c>
      <c r="CC24" s="411">
        <f t="shared" si="5"/>
        <v>0</v>
      </c>
      <c r="CD24" s="411">
        <f t="shared" si="6"/>
        <v>27.575342465753423</v>
      </c>
      <c r="CE24" s="410">
        <f t="shared" si="7"/>
        <v>0</v>
      </c>
      <c r="CF24" s="404" t="s">
        <v>828</v>
      </c>
      <c r="CG24" s="409"/>
      <c r="CH24" s="420" t="str">
        <f t="shared" si="8"/>
        <v>ToyoLi - ORANGE</v>
      </c>
      <c r="CI24" s="409"/>
      <c r="CJ24" s="411">
        <f>IF(CI24=0,0,IF($LB24=70%,VLOOKUP($CH24,'Jan-2026 rates'!$L:$R,4,0),IF($LB24=65%,VLOOKUP($CH24,'Jan-2026 rates'!$L:$R,4,0),IF($LB24=40%,VLOOKUP($CH24,'Jan-2026 rates'!$L:$R,5,0),IF($LB24=30%,VLOOKUP($CH24,'Jan-2026 rates'!$L:$R,6,0),IF($LB24=100%,VLOOKUP($CH24,'Jan-2026 rates'!$L:$R,7,0),IF($LB24=60%,VLOOKUP($CH24,'Jan-2026 rates'!$L:$S,8,0),IF($LB24=80%,VLOOKUP($CH24,'Jan-2026 rates'!L:T,9,0),0))))))))</f>
        <v>0</v>
      </c>
      <c r="CK24" s="412"/>
      <c r="CL24" s="409"/>
      <c r="CM24" s="411">
        <f>IF(CL24=0,0,IF($LB24=70%,VLOOKUP($CH24,'Jan-2026 rates'!$L:$R,4,0),IF($LB24=65%,VLOOKUP($CH24,'Jan-2026 rates'!$L:$R,4,0),IF($LB24=40%,VLOOKUP($CH24,'Jan-2026 rates'!$L:$R,5,0),IF($LB24=30%,VLOOKUP($CH24,'Jan-2026 rates'!$L:$R,6,0),IF($LB24=100%,VLOOKUP($CH24,'Jan-2026 rates'!$L:$R,7,0),IF($LB24=60%,VLOOKUP($CH24,'Jan-2026 rates'!$L:$S,8,0),IF($LB24=80%,VLOOKUP($CH24,'Jan-2026 rates'!L:T,9,0),0))))))))</f>
        <v>0</v>
      </c>
      <c r="CN24" s="426" t="s">
        <v>1248</v>
      </c>
      <c r="CO24" s="427" t="s">
        <v>1247</v>
      </c>
      <c r="CP24" s="426" t="s">
        <v>1252</v>
      </c>
      <c r="CQ24" s="426"/>
      <c r="CR24" s="428"/>
      <c r="CS24" s="428"/>
      <c r="CT24" s="428"/>
      <c r="CU24" s="428"/>
      <c r="CV24" s="409">
        <v>15</v>
      </c>
      <c r="CW24" s="398">
        <f>IF(CV24=0,0,IF(LEN(CN24)=11,_xlfn.XLOOKUP(CN24,'Dispensed Ink Rates'!C:C,'Dispensed Ink Rates'!CS:CS),VLOOKUP(CN24,'Jan-2026 rates'!$E:$F,2,0)))</f>
        <v>0</v>
      </c>
      <c r="CX24" s="409">
        <v>10</v>
      </c>
      <c r="CY24" s="398">
        <f>IF(CX24=0,0,IF(LEN(CO24)=11,_xlfn.XLOOKUP(CO24,'Dispensed Ink Rates'!C:C,'Dispensed Ink Rates'!CS:CS),VLOOKUP(CO24,'Jan-2026 rates'!$E:$F,2,0)))</f>
        <v>0</v>
      </c>
      <c r="CZ24" s="409">
        <v>0.2</v>
      </c>
      <c r="DA24" s="398">
        <f>IF(CZ24=0,0,IF(LEN(CP24)=11,_xlfn.XLOOKUP(CP24,'Dispensed Ink Rates'!C:C,'Dispensed Ink Rates'!CS:CS),VLOOKUP(CP24,'Jan-2026 rates'!$E:$F,2,0)))</f>
        <v>0</v>
      </c>
      <c r="DB24" s="409"/>
      <c r="DC24" s="398">
        <f>IF(DB24=0,0,IF(LEN(CQ24)=11,_xlfn.XLOOKUP(CQ24,'Dispensed Ink Rates'!C:C,'Dispensed Ink Rates'!CS:CS),VLOOKUP(CQ24,'Jan-2026 rates'!$E:$F,2,0)))</f>
        <v>0</v>
      </c>
      <c r="DD24" s="409"/>
      <c r="DE24" s="398">
        <f>IF(DD24=0,0,IF(LEN(CR24)=11,_xlfn.XLOOKUP(CR24,'Dispensed Ink Rates'!C:C,'Dispensed Ink Rates'!CS:CS),VLOOKUP(CR24,'Jan-2026 rates'!$E:$F,2,0)))</f>
        <v>0</v>
      </c>
      <c r="DF24" s="409"/>
      <c r="DG24" s="398">
        <f>IF(DF24=0,0,IF(LEN(CS24)=11,_xlfn.XLOOKUP(CS24,'Dispensed Ink Rates'!C:C,'Dispensed Ink Rates'!CS:CS),VLOOKUP(CS24,'Jan-2026 rates'!$E:$F,2,0)))</f>
        <v>0</v>
      </c>
      <c r="DH24" s="409"/>
      <c r="DI24" s="398">
        <f>IF(DH24=0,0,IF(LEN(CT24)=11,_xlfn.XLOOKUP(CT24,'Dispensed Ink Rates'!C:C,'Dispensed Ink Rates'!CS:CS),VLOOKUP(CT24,'Jan-2026 rates'!$E:$F,2,0)))</f>
        <v>0</v>
      </c>
      <c r="DJ24" s="409"/>
      <c r="DK24" s="398">
        <f>IF(DJ24=0,0,IF(LEN(CU24)=11,_xlfn.XLOOKUP(CU24,'Dispensed Ink Rates'!C:C,'Dispensed Ink Rates'!CS:CS),VLOOKUP(CU24,'Jan-2026 rates'!$E:$F,2,0)))</f>
        <v>0</v>
      </c>
      <c r="DL24" s="409" t="s">
        <v>1881</v>
      </c>
      <c r="DM24" s="409">
        <v>14</v>
      </c>
      <c r="DN24" s="411">
        <f t="shared" si="9"/>
        <v>0</v>
      </c>
      <c r="DO24" s="411">
        <f t="shared" si="10"/>
        <v>21.884931506849313</v>
      </c>
      <c r="DP24" s="410">
        <f t="shared" si="11"/>
        <v>0</v>
      </c>
      <c r="DQ24" s="405" t="s">
        <v>828</v>
      </c>
      <c r="DR24" s="409" t="s">
        <v>2679</v>
      </c>
      <c r="DS24" s="420" t="str">
        <f t="shared" si="12"/>
        <v>ToyoLi - ORANGE</v>
      </c>
      <c r="DT24" s="409">
        <v>2</v>
      </c>
      <c r="DU24" s="411">
        <f>IF(DT24=0,0,IF($LB24=70%,VLOOKUP($DS24,'Jan-2026 rates'!$L:$R,4,0),IF($LB24=65%,VLOOKUP($DS24,'Jan-2026 rates'!$L:$R,4,0),IF($LB24=40%,VLOOKUP($DS24,'Jan-2026 rates'!$L:$R,5,0),IF($LB24=30%,VLOOKUP($DS24,'Jan-2026 rates'!$L:$R,6,0),IF($LB24=100%,VLOOKUP($DS24,'Jan-2026 rates'!$L:$R,7,0),IF($LB24=60%,VLOOKUP($DS24,'Jan-2026 rates'!$L:$S,8,0),IF($LB24=80%,VLOOKUP($DS24,'Jan-2026 rates'!L:T,9,0),0))))))))</f>
        <v>0</v>
      </c>
      <c r="DV24" s="412"/>
      <c r="DW24" s="409"/>
      <c r="DX24" s="411">
        <f>IF(DW24=0,0,IF($LB24=70%,VLOOKUP($DS24,'Jan-2026 rates'!$L:$R,4,0),IF($LB24=65%,VLOOKUP($DS24,'Jan-2026 rates'!$L:$R,4,0),IF($LB24=40%,VLOOKUP($DS24,'Jan-2026 rates'!$L:$R,5,0),IF($LB24=30%,VLOOKUP($DS24,'Jan-2026 rates'!$L:$R,6,0),IF($LB24=100%,VLOOKUP($DS24,'Jan-2026 rates'!$L:$R,7,0),IF($LB24=60%,VLOOKUP($DS24,'Jan-2026 rates'!$L:$S,8,0),IF($LB24=80%,VLOOKUP($DS24,'Jan-2026 rates'!L:T,9,0),0))))))))</f>
        <v>0</v>
      </c>
      <c r="DY24" s="413" t="s">
        <v>1921</v>
      </c>
      <c r="DZ24" s="413" t="s">
        <v>1248</v>
      </c>
      <c r="EA24" s="412" t="s">
        <v>1505</v>
      </c>
      <c r="EB24" s="412"/>
      <c r="EC24" s="412"/>
      <c r="ED24" s="412"/>
      <c r="EE24" s="412"/>
      <c r="EF24" s="412"/>
      <c r="EG24" s="409">
        <f>15+2</f>
        <v>17</v>
      </c>
      <c r="EH24" s="398">
        <f>IF(EG24=0,0,IF(LEN(DY24)=11,_xlfn.XLOOKUP(DY24,'Dispensed Ink Rates'!C:C,'Dispensed Ink Rates'!CS:CS),VLOOKUP(DY24,'Jan-2026 rates'!$E:$F,2,0)))</f>
        <v>0</v>
      </c>
      <c r="EI24" s="409">
        <v>3</v>
      </c>
      <c r="EJ24" s="398">
        <f>IF(EI24=0,0,IF(LEN(DZ24)=11,_xlfn.XLOOKUP(DZ24,'Dispensed Ink Rates'!C:C,'Dispensed Ink Rates'!CS:CS),VLOOKUP(DZ24,'Jan-2026 rates'!$E:$F,2,0)))</f>
        <v>0</v>
      </c>
      <c r="EK24" s="409">
        <v>1</v>
      </c>
      <c r="EL24" s="398">
        <f>IF(EK24=0,0,IF(LEN(EA24)=11,_xlfn.XLOOKUP(EA24,'Dispensed Ink Rates'!C:C,'Dispensed Ink Rates'!CS:CS),VLOOKUP(EA24,'Jan-2026 rates'!$E:$F,2,0)))</f>
        <v>0</v>
      </c>
      <c r="EM24" s="409"/>
      <c r="EN24" s="398">
        <f>IF(EM24=0,0,IF(LEN(EB24)=11,_xlfn.XLOOKUP(EB24,'Dispensed Ink Rates'!C:C,'Dispensed Ink Rates'!CS:CS),VLOOKUP(EB24,'Jan-2026 rates'!$E:$F,2,0)))</f>
        <v>0</v>
      </c>
      <c r="EO24" s="409"/>
      <c r="EP24" s="398">
        <f>IF(EO24=0,0,IF(LEN(EC24)=11,_xlfn.XLOOKUP(EC24,'Dispensed Ink Rates'!C:C,'Dispensed Ink Rates'!CS:CS),VLOOKUP(EC24,'Jan-2026 rates'!$E:$F,2,0)))</f>
        <v>0</v>
      </c>
      <c r="EQ24" s="409"/>
      <c r="ER24" s="398">
        <f>IF(EQ24=0,0,IF(LEN(ED24)=11,_xlfn.XLOOKUP(ED24,'Dispensed Ink Rates'!C:C,'Dispensed Ink Rates'!CS:CS),VLOOKUP(ED24,'Jan-2026 rates'!$E:$F,2,0)))</f>
        <v>0</v>
      </c>
      <c r="ES24" s="409"/>
      <c r="ET24" s="398">
        <f>IF(ES24=0,0,IF(LEN(EE24)=11,_xlfn.XLOOKUP(EE24,'Dispensed Ink Rates'!C:C,'Dispensed Ink Rates'!CS:CS),VLOOKUP(EE24,'Jan-2026 rates'!$E:$F,2,0)))</f>
        <v>0</v>
      </c>
      <c r="EU24" s="409"/>
      <c r="EV24" s="398">
        <f>IF(EU24=0,0,IF(LEN(EF24)=11,_xlfn.XLOOKUP(EF24,'Dispensed Ink Rates'!C:C,'Dispensed Ink Rates'!CS:CS),VLOOKUP(EF24,'Jan-2026 rates'!$E:$F,2,0)))</f>
        <v>0</v>
      </c>
      <c r="EW24" s="409" t="s">
        <v>1881</v>
      </c>
      <c r="EX24" s="409">
        <f>13+20</f>
        <v>33</v>
      </c>
      <c r="EY24" s="411">
        <f t="shared" si="13"/>
        <v>0</v>
      </c>
      <c r="EZ24" s="411">
        <f t="shared" si="14"/>
        <v>6.0273972602739718</v>
      </c>
      <c r="FA24" s="410">
        <f t="shared" si="15"/>
        <v>0</v>
      </c>
      <c r="FB24" s="405" t="s">
        <v>855</v>
      </c>
      <c r="FC24" s="409" t="s">
        <v>2680</v>
      </c>
      <c r="FD24" s="420" t="str">
        <f t="shared" si="16"/>
        <v>ToyoLi - CYAN</v>
      </c>
      <c r="FE24" s="409">
        <v>27</v>
      </c>
      <c r="FF24" s="411">
        <f>IF(FE24=0,0,IF($LB24=70%,VLOOKUP($FD24,'Jan-2026 rates'!$L:$R,4,0),IF($LB24=65%,VLOOKUP($FD24,'Jan-2026 rates'!$L:$R,4,0),IF($LB24=40%,VLOOKUP($FD24,'Jan-2026 rates'!$L:$R,5,0),IF($LB24=30%,VLOOKUP($FD24,'Jan-2026 rates'!$L:$R,6,0),IF($LB24=100%,VLOOKUP($FD24,'Jan-2026 rates'!$L:$R,7,0),IF($LB24=60%,VLOOKUP($FD24,'Jan-2026 rates'!$L:$S,8,0),IF($LB24=80%,VLOOKUP($FD24,'Jan-2026 rates'!L:T,9,0),0))))))))</f>
        <v>0</v>
      </c>
      <c r="FG24" s="412"/>
      <c r="FH24" s="409"/>
      <c r="FI24" s="411">
        <f>IF(FH24=0,0,IF($LB24=70%,VLOOKUP($FD24,'Jan-2026 rates'!$L:$R,4,0),IF($LB24=65%,VLOOKUP($FD24,'Jan-2026 rates'!$L:$R,4,0),IF($LB24=40%,VLOOKUP($FD24,'Jan-2026 rates'!$L:$R,5,0),IF($LB24=30%,VLOOKUP($FD24,'Jan-2026 rates'!$L:$R,6,0),IF($LB24=100%,VLOOKUP($FD24,'Jan-2026 rates'!$L:$R,7,0),IF($LB24=60%,VLOOKUP($FD24,'Jan-2026 rates'!$L:$S,8,0),IF($LB24=80%,VLOOKUP($FD24,'Jan-2026 rates'!L:T,9,0),0))))))))</f>
        <v>0</v>
      </c>
      <c r="FJ24" s="413" t="s">
        <v>1250</v>
      </c>
      <c r="FK24" s="413"/>
      <c r="FL24" s="413"/>
      <c r="FM24" s="412"/>
      <c r="FN24" s="412"/>
      <c r="FO24" s="412"/>
      <c r="FP24" s="412"/>
      <c r="FQ24" s="412"/>
      <c r="FR24" s="409">
        <v>1</v>
      </c>
      <c r="FS24" s="398">
        <f>IF(FR24=0,0,IF(LEN(FJ24)=11,_xlfn.XLOOKUP(FJ24,'Dispensed Ink Rates'!C:C,'Dispensed Ink Rates'!CS:CS),VLOOKUP(FJ24,'Jan-2026 rates'!$E:$F,2,0)))</f>
        <v>0</v>
      </c>
      <c r="FT24" s="409"/>
      <c r="FU24" s="398">
        <f>IF(FT24=0,0,IF(LEN(FK24)=11,_xlfn.XLOOKUP(FK24,'Dispensed Ink Rates'!C:C,'Dispensed Ink Rates'!CS:CS),VLOOKUP(FK24,'Jan-2026 rates'!$E:$F,2,0)))</f>
        <v>0</v>
      </c>
      <c r="FV24" s="409"/>
      <c r="FW24" s="398">
        <f>IF(FV24=0,0,IF(LEN(FL24)=11,_xlfn.XLOOKUP(FL24,'Dispensed Ink Rates'!C:C,'Dispensed Ink Rates'!CS:CS),VLOOKUP(FL24,'Jan-2026 rates'!$E:$F,2,0)))</f>
        <v>0</v>
      </c>
      <c r="FX24" s="409"/>
      <c r="FY24" s="398">
        <f>IF(FX24=0,0,IF(LEN(FM24)=11,_xlfn.XLOOKUP(FM24,'Dispensed Ink Rates'!C:C,'Dispensed Ink Rates'!CS:CS),VLOOKUP(FM24,'Jan-2026 rates'!$E:$F,2,0)))</f>
        <v>0</v>
      </c>
      <c r="FZ24" s="409"/>
      <c r="GA24" s="398">
        <f>IF(FZ24=0,0,IF(LEN(FN24)=11,_xlfn.XLOOKUP(FN24,'Dispensed Ink Rates'!C:C,'Dispensed Ink Rates'!CS:CS),VLOOKUP(FN24,'Jan-2026 rates'!$E:$F,2,0)))</f>
        <v>0</v>
      </c>
      <c r="GB24" s="409"/>
      <c r="GC24" s="398">
        <f>IF(GB24=0,0,IF(LEN(FO24)=11,_xlfn.XLOOKUP(FO24,'Dispensed Ink Rates'!C:C,'Dispensed Ink Rates'!CS:CS),VLOOKUP(FO24,'Jan-2026 rates'!$E:$F,2,0)))</f>
        <v>0</v>
      </c>
      <c r="GD24" s="409"/>
      <c r="GE24" s="398">
        <f>IF(GD24=0,0,IF(LEN(FP24)=11,_xlfn.XLOOKUP(FP24,'Dispensed Ink Rates'!C:C,'Dispensed Ink Rates'!CS:CS),VLOOKUP(FP24,'Jan-2026 rates'!$E:$F,2,0)))</f>
        <v>0</v>
      </c>
      <c r="GF24" s="409"/>
      <c r="GG24" s="398">
        <f>IF(GF24=0,0,IF(LEN(FQ24)=11,_xlfn.XLOOKUP(FQ24,'Dispensed Ink Rates'!C:C,'Dispensed Ink Rates'!CS:CS),VLOOKUP(FQ24,'Jan-2026 rates'!$E:$F,2,0)))</f>
        <v>0</v>
      </c>
      <c r="GH24" s="409" t="s">
        <v>1881</v>
      </c>
      <c r="GI24" s="409">
        <v>25</v>
      </c>
      <c r="GJ24" s="411">
        <f t="shared" si="17"/>
        <v>0</v>
      </c>
      <c r="GK24" s="411">
        <f t="shared" si="18"/>
        <v>4.0684931506849296</v>
      </c>
      <c r="GL24" s="410">
        <f t="shared" si="19"/>
        <v>0</v>
      </c>
      <c r="GM24" s="405" t="s">
        <v>544</v>
      </c>
      <c r="GN24" s="409" t="s">
        <v>2681</v>
      </c>
      <c r="GO24" s="420" t="str">
        <f t="shared" si="20"/>
        <v>ToyoLi - MAGENTA</v>
      </c>
      <c r="GP24" s="409">
        <v>25</v>
      </c>
      <c r="GQ24" s="411">
        <f>IF(GP24=0,0,IF($LB24=70%,VLOOKUP($GO24,'Jan-2026 rates'!$L:$R,4,0),IF($LB24=65%,VLOOKUP($GO24,'Jan-2026 rates'!$L:$R,4,0),IF($LB24=40%,VLOOKUP($GO24,'Jan-2026 rates'!$L:$R,5,0),IF($LB24=30%,VLOOKUP($GO24,'Jan-2026 rates'!$L:$R,6,0),IF($LB24=100%,VLOOKUP($GO24,'Jan-2026 rates'!$L:$R,7,0),IF($LB24=60%,VLOOKUP($GO24,'Jan-2026 rates'!$L:$S,8,0),IF($LB24=80%,VLOOKUP($GO24,'Jan-2026 rates'!L:T,9,0),0))))))))</f>
        <v>0</v>
      </c>
      <c r="GR24" s="412"/>
      <c r="GS24" s="409"/>
      <c r="GT24" s="411">
        <f>IF(GS24=0,0,IF($LB24=70%,VLOOKUP($GO24,'Jan-2026 rates'!$L:$R,4,0),IF($LB24=65%,VLOOKUP($GO24,'Jan-2026 rates'!$L:$R,4,0),IF($LB24=40%,VLOOKUP($GO24,'Jan-2026 rates'!$L:$R,5,0),IF($LB24=30%,VLOOKUP($GO24,'Jan-2026 rates'!$L:$R,6,0),IF($LB24=100%,VLOOKUP($GO24,'Jan-2026 rates'!$L:$R,7,0),IF($LB24=60%,VLOOKUP($GO24,'Jan-2026 rates'!$L:$S,8,0),IF($LB24=80%,VLOOKUP($GO24,'Jan-2026 rates'!L:T,9,0),0))))))))</f>
        <v>0</v>
      </c>
      <c r="GU24" s="413" t="s">
        <v>1246</v>
      </c>
      <c r="GV24" s="413"/>
      <c r="GW24" s="412"/>
      <c r="GX24" s="412"/>
      <c r="GY24" s="412"/>
      <c r="GZ24" s="412"/>
      <c r="HA24" s="412"/>
      <c r="HB24" s="412"/>
      <c r="HC24" s="409">
        <v>2</v>
      </c>
      <c r="HD24" s="398">
        <f>IF(HC24=0,0,IF(LEN(GU24)=11,_xlfn.XLOOKUP(GU24,'Dispensed Ink Rates'!C:C,'Dispensed Ink Rates'!CS:CS),VLOOKUP(GU24,'Jan-2026 rates'!$E:$F,2,0)))</f>
        <v>0</v>
      </c>
      <c r="HE24" s="409"/>
      <c r="HF24" s="398">
        <f>IF(HE24=0,0,IF(LEN(GV24)=11,_xlfn.XLOOKUP(GV24,'Dispensed Ink Rates'!C:C,'Dispensed Ink Rates'!CS:CS),VLOOKUP(GV24,'Jan-2026 rates'!$E:$F,2,0)))</f>
        <v>0</v>
      </c>
      <c r="HG24" s="409"/>
      <c r="HH24" s="398">
        <f>IF(HG24=0,0,IF(LEN(GW24)=11,_xlfn.XLOOKUP(GW24,'Dispensed Ink Rates'!C:C,'Dispensed Ink Rates'!CS:CS),VLOOKUP(GW24,'Jan-2026 rates'!$E:$F,2,0)))</f>
        <v>0</v>
      </c>
      <c r="HI24" s="409"/>
      <c r="HJ24" s="398">
        <f>IF(HI24=0,0,IF(LEN(GX24)=11,_xlfn.XLOOKUP(GX24,'Dispensed Ink Rates'!C:C,'Dispensed Ink Rates'!CS:CS),VLOOKUP(GX24,'Jan-2026 rates'!$E:$F,2,0)))</f>
        <v>0</v>
      </c>
      <c r="HK24" s="409"/>
      <c r="HL24" s="398">
        <f>IF(HK24=0,0,IF(LEN(GY24)=11,_xlfn.XLOOKUP(GY24,'Dispensed Ink Rates'!C:C,'Dispensed Ink Rates'!CS:CS),VLOOKUP(GY24,'Jan-2026 rates'!$E:$F,2,0)))</f>
        <v>0</v>
      </c>
      <c r="HM24" s="409"/>
      <c r="HN24" s="398">
        <f>IF(HM24=0,0,IF(LEN(GZ24)=11,_xlfn.XLOOKUP(GZ24,'Dispensed Ink Rates'!C:C,'Dispensed Ink Rates'!CS:CS),VLOOKUP(GZ24,'Jan-2026 rates'!$E:$F,2,0)))</f>
        <v>0</v>
      </c>
      <c r="HO24" s="409"/>
      <c r="HP24" s="398">
        <f>IF(HO24=0,0,IF(LEN(HA24)=11,_xlfn.XLOOKUP(HA24,'Dispensed Ink Rates'!C:C,'Dispensed Ink Rates'!CS:CS),VLOOKUP(HA24,'Jan-2026 rates'!$E:$F,2,0)))</f>
        <v>0</v>
      </c>
      <c r="HQ24" s="409"/>
      <c r="HR24" s="398">
        <f>IF(HQ24=0,0,IF(LEN(HB24)=11,_xlfn.XLOOKUP(HB24,'Dispensed Ink Rates'!C:C,'Dispensed Ink Rates'!CS:CS),VLOOKUP(HB24,'Jan-2026 rates'!$E:$F,2,0)))</f>
        <v>0</v>
      </c>
      <c r="HS24" s="409" t="s">
        <v>1881</v>
      </c>
      <c r="HT24" s="409">
        <v>26</v>
      </c>
      <c r="HU24" s="411">
        <f t="shared" si="21"/>
        <v>0</v>
      </c>
      <c r="HV24" s="411">
        <f t="shared" si="22"/>
        <v>2.0684931506849296</v>
      </c>
      <c r="HW24" s="414">
        <f t="shared" si="23"/>
        <v>0</v>
      </c>
      <c r="HX24" s="405" t="s">
        <v>545</v>
      </c>
      <c r="HY24" s="409" t="s">
        <v>2682</v>
      </c>
      <c r="HZ24" s="420" t="str">
        <f t="shared" si="24"/>
        <v>ToyoLi - YELLOW</v>
      </c>
      <c r="IA24" s="409">
        <v>26</v>
      </c>
      <c r="IB24" s="411">
        <f>IF(IA24=0,0,IF($LB24=70%,VLOOKUP($HZ24,'Jan-2026 rates'!$L:$R,4,0),IF($LB24=65%,VLOOKUP($HZ24,'Jan-2026 rates'!$L:$R,4,0),IF($LB24=40%,VLOOKUP($HZ24,'Jan-2026 rates'!$L:$R,5,0),IF($LB24=30%,VLOOKUP($HZ24,'Jan-2026 rates'!$L:$R,6,0),IF($LB24=100%,VLOOKUP($HZ24,'Jan-2026 rates'!$L:$R,7,0),IF($LB24=60%,VLOOKUP($HZ24,'Jan-2026 rates'!$L:$S,8,0),IF($LB24=80%,VLOOKUP($HZ24,'Jan-2026 rates'!L:T,9,0),0))))))))</f>
        <v>0</v>
      </c>
      <c r="IC24" s="412"/>
      <c r="ID24" s="409"/>
      <c r="IE24" s="411">
        <f>IF(ID24=0,0,IF($LB24=70%,VLOOKUP($HZ24,'Jan-2026 rates'!$L:$R,4,0),IF($LB24=65%,VLOOKUP($HZ24,'Jan-2026 rates'!$L:$R,4,0),IF($LB24=40%,VLOOKUP($HZ24,'Jan-2026 rates'!$L:$R,5,0),IF($LB24=30%,VLOOKUP($HZ24,'Jan-2026 rates'!$L:$R,6,0),IF($LB24=100%,VLOOKUP($HZ24,'Jan-2026 rates'!$L:$R,7,0),IF($LB24=60%,VLOOKUP($HZ24,'Jan-2026 rates'!$L:$S,8,0),IF($LB24=80%,VLOOKUP($HZ24,'Jan-2026 rates'!L:T,9,0),0))))))))</f>
        <v>0</v>
      </c>
      <c r="IF24" s="412" t="s">
        <v>1247</v>
      </c>
      <c r="IG24" s="413"/>
      <c r="IH24" s="412"/>
      <c r="II24" s="412"/>
      <c r="IJ24" s="412"/>
      <c r="IK24" s="412"/>
      <c r="IL24" s="412"/>
      <c r="IM24" s="412"/>
      <c r="IN24" s="409">
        <v>2</v>
      </c>
      <c r="IO24" s="398">
        <f>IF(IN24=0,0,IF(LEN(IF24)=11,_xlfn.XLOOKUP(IF24,'Dispensed Ink Rates'!C:C,'Dispensed Ink Rates'!CS:CS),VLOOKUP(IF24,'Jan-2026 rates'!$E:$F,2,0)))</f>
        <v>0</v>
      </c>
      <c r="IP24" s="409"/>
      <c r="IQ24" s="398">
        <f>IF(IP24=0,0,IF(LEN(IG24)=11,_xlfn.XLOOKUP(IG24,'Dispensed Ink Rates'!C:C,'Dispensed Ink Rates'!CS:CS),VLOOKUP(IG24,'Jan-2026 rates'!$E:$F,2,0)))</f>
        <v>0</v>
      </c>
      <c r="IR24" s="409"/>
      <c r="IS24" s="398">
        <f>IF(IR24=0,0,IF(LEN(IH24)=11,_xlfn.XLOOKUP(IH24,'Dispensed Ink Rates'!C:C,'Dispensed Ink Rates'!CS:CS),VLOOKUP(IH24,'Jan-2026 rates'!$E:$F,2,0)))</f>
        <v>0</v>
      </c>
      <c r="IT24" s="409"/>
      <c r="IU24" s="398">
        <f>IF(IT24=0,0,IF(LEN(II24)=11,_xlfn.XLOOKUP(II24,'Dispensed Ink Rates'!C:C,'Dispensed Ink Rates'!CS:CS),VLOOKUP(II24,'Jan-2026 rates'!$E:$F,2,0)))</f>
        <v>0</v>
      </c>
      <c r="IV24" s="409"/>
      <c r="IW24" s="398">
        <f>IF(IV24=0,0,IF(LEN(IJ24)=11,_xlfn.XLOOKUP(IJ24,'Dispensed Ink Rates'!C:C,'Dispensed Ink Rates'!CS:CS),VLOOKUP(IJ24,'Jan-2026 rates'!$E:$F,2,0)))</f>
        <v>0</v>
      </c>
      <c r="IX24" s="409"/>
      <c r="IY24" s="398">
        <f>IF(IX24=0,0,IF(LEN(IK24)=11,_xlfn.XLOOKUP(IK24,'Dispensed Ink Rates'!C:C,'Dispensed Ink Rates'!CS:CS),VLOOKUP(IK24,'Jan-2026 rates'!$E:$F,2,0)))</f>
        <v>0</v>
      </c>
      <c r="IZ24" s="409"/>
      <c r="JA24" s="398">
        <f>IF(IZ24=0,0,IF(LEN(IL24)=11,_xlfn.XLOOKUP(IL24,'Dispensed Ink Rates'!C:C,'Dispensed Ink Rates'!CS:CS),VLOOKUP(IL24,'Jan-2026 rates'!$E:$F,2,0)))</f>
        <v>0</v>
      </c>
      <c r="JB24" s="409"/>
      <c r="JC24" s="398">
        <f>IF(JB24=0,0,IF(LEN(IM24)=11,_xlfn.XLOOKUP(IM24,'Dispensed Ink Rates'!C:C,'Dispensed Ink Rates'!CS:CS),VLOOKUP(IM24,'Jan-2026 rates'!$E:$F,2,0)))</f>
        <v>0</v>
      </c>
      <c r="JD24" s="409" t="s">
        <v>1881</v>
      </c>
      <c r="JE24" s="409">
        <v>25</v>
      </c>
      <c r="JF24" s="411">
        <f t="shared" si="25"/>
        <v>0</v>
      </c>
      <c r="JG24" s="411">
        <f t="shared" si="26"/>
        <v>5.1369863013698627</v>
      </c>
      <c r="JH24" s="410">
        <f t="shared" si="27"/>
        <v>0</v>
      </c>
      <c r="JI24" s="405" t="s">
        <v>856</v>
      </c>
      <c r="JJ24" s="409" t="s">
        <v>2683</v>
      </c>
      <c r="JK24" s="420" t="str">
        <f t="shared" si="28"/>
        <v>ToyoLi - WHITE</v>
      </c>
      <c r="JL24" s="409">
        <v>20</v>
      </c>
      <c r="JM24" s="411">
        <f>IF(JL24=0,0,IF($LB24=70%,VLOOKUP($JK24,'Jan-2026 rates'!$L:$R,4,0),IF($LB24=65%,VLOOKUP($JK24,'Jan-2026 rates'!$L:$R,4,0),IF($LB24=40%,VLOOKUP($JK24,'Jan-2026 rates'!$L:$R,5,0),IF($LB24=30%,VLOOKUP($JK24,'Jan-2026 rates'!$L:$R,6,0),IF($LB24=100%,VLOOKUP($JK24,'Jan-2026 rates'!$L:$R,7,0),IF($LB24=60%,VLOOKUP($JK24,'Jan-2026 rates'!$L:$S,8,0),IF($LB24=80%,VLOOKUP($JK24,'Jan-2026 rates'!L:T,9,0),0))))))))</f>
        <v>0</v>
      </c>
      <c r="JN24" s="412"/>
      <c r="JO24" s="409"/>
      <c r="JP24" s="411">
        <f>IF(JO24=0,0,IF($LB24=70%,VLOOKUP($JK24,'Jan-2026 rates'!$L:$R,4,0),IF($LB24=65%,VLOOKUP($JK24,'Jan-2026 rates'!$L:$R,4,0),IF($LB24=40%,VLOOKUP($JK24,'Jan-2026 rates'!$L:$R,5,0),IF($LB24=30%,VLOOKUP($JK24,'Jan-2026 rates'!$L:$R,6,0),IF($LB24=100%,VLOOKUP($JK24,'Jan-2026 rates'!$L:$R,7,0),IF($LB24=60%,VLOOKUP($JK24,'Jan-2026 rates'!$L:$S,8,0),IF($LB24=80%,VLOOKUP($JK24,'Jan-2026 rates'!L:T,9,0),0))))))))</f>
        <v>0</v>
      </c>
      <c r="JQ24" s="413" t="s">
        <v>1249</v>
      </c>
      <c r="JR24" s="412"/>
      <c r="JS24" s="413"/>
      <c r="JT24" s="413"/>
      <c r="JU24" s="412"/>
      <c r="JV24" s="412"/>
      <c r="JW24" s="412"/>
      <c r="JX24" s="412"/>
      <c r="JY24" s="409">
        <v>40</v>
      </c>
      <c r="JZ24" s="398">
        <f>IF(JY24=0,0,IF(LEN(JQ24)=11,_xlfn.XLOOKUP(JQ24,'Dispensed Ink Rates'!C:C,'Dispensed Ink Rates'!CS:CS),VLOOKUP(JQ24,'Jan-2026 rates'!$E:$F,2,0)))</f>
        <v>0</v>
      </c>
      <c r="KA24" s="409"/>
      <c r="KB24" s="398">
        <f>IF(KA24=0,0,IF(LEN(JR24)=11,_xlfn.XLOOKUP(JR24,'Dispensed Ink Rates'!C:C,'Dispensed Ink Rates'!CS:CS),VLOOKUP(JR24,'Jan-2026 rates'!$E:$F,2,0)))</f>
        <v>0</v>
      </c>
      <c r="KC24" s="409"/>
      <c r="KD24" s="398">
        <f>IF(KC24=0,0,IF(LEN(JS24)=11,_xlfn.XLOOKUP(JS24,'Dispensed Ink Rates'!C:C,'Dispensed Ink Rates'!CS:CS),VLOOKUP(JS24,'Jan-2026 rates'!$E:$F,2,0)))</f>
        <v>0</v>
      </c>
      <c r="KE24" s="409"/>
      <c r="KF24" s="398">
        <f>IF(KE24=0,0,IF(LEN(JT24)=11,_xlfn.XLOOKUP(JT24,'Dispensed Ink Rates'!C:C,'Dispensed Ink Rates'!CS:CS),VLOOKUP(JT24,'Jan-2026 rates'!$E:$F,2,0)))</f>
        <v>0</v>
      </c>
      <c r="KG24" s="409"/>
      <c r="KH24" s="398">
        <f>IF(KG24=0,0,IF(LEN(JU24)=11,_xlfn.XLOOKUP(JU24,'Dispensed Ink Rates'!C:C,'Dispensed Ink Rates'!CS:CS),VLOOKUP(JU24,'Jan-2026 rates'!$E:$F,2,0)))</f>
        <v>0</v>
      </c>
      <c r="KI24" s="409"/>
      <c r="KJ24" s="398">
        <f>IF(KI24=0,0,IF(LEN(JV24)=11,_xlfn.XLOOKUP(JV24,'Dispensed Ink Rates'!C:C,'Dispensed Ink Rates'!CS:CS),VLOOKUP(JV24,'Jan-2026 rates'!$E:$F,2,0)))</f>
        <v>0</v>
      </c>
      <c r="KK24" s="409"/>
      <c r="KL24" s="398">
        <f>IF(KK24=0,0,IF(LEN(JW24)=11,_xlfn.XLOOKUP(JW24,'Dispensed Ink Rates'!C:C,'Dispensed Ink Rates'!CS:CS),VLOOKUP(JW24,'Jan-2026 rates'!$E:$F,2,0)))</f>
        <v>0</v>
      </c>
      <c r="KM24" s="428"/>
      <c r="KN24" s="398">
        <f>IF(KM24=0,0,IF(LEN(JX24)=11,_xlfn.XLOOKUP(JX24,'Dispensed Ink Rates'!C:C,'Dispensed Ink Rates'!CS:CS),VLOOKUP(JX24,'Jan-2026 rates'!$E:$F,2,0)))</f>
        <v>0</v>
      </c>
      <c r="KO24" s="409" t="s">
        <v>1881</v>
      </c>
      <c r="KP24" s="409">
        <v>15</v>
      </c>
      <c r="KQ24" s="411">
        <f t="shared" si="29"/>
        <v>0</v>
      </c>
      <c r="KR24" s="411">
        <f t="shared" si="30"/>
        <v>66.369863013698634</v>
      </c>
      <c r="KS24" s="410">
        <f t="shared" si="31"/>
        <v>0</v>
      </c>
      <c r="KT24" s="409">
        <v>1</v>
      </c>
      <c r="KU24" s="409">
        <v>23</v>
      </c>
      <c r="KV24" s="409">
        <v>10</v>
      </c>
      <c r="KW24" s="409">
        <v>15</v>
      </c>
      <c r="KX24" s="409">
        <v>1</v>
      </c>
      <c r="KY24" s="409">
        <v>1</v>
      </c>
      <c r="KZ24" s="409">
        <v>2</v>
      </c>
      <c r="LA24" s="409">
        <v>20</v>
      </c>
      <c r="LB24" s="415">
        <v>0.3</v>
      </c>
      <c r="LC24" s="415"/>
      <c r="LD24" s="415"/>
      <c r="LE24" s="415">
        <v>0.5</v>
      </c>
      <c r="LF24" s="415">
        <v>0.2</v>
      </c>
      <c r="LG24" s="409">
        <v>0</v>
      </c>
      <c r="LH24" s="409">
        <f>20+18+9+15+16</f>
        <v>78</v>
      </c>
      <c r="LI24" s="409">
        <v>0</v>
      </c>
      <c r="LJ24" s="409">
        <v>0</v>
      </c>
      <c r="LK24" s="416">
        <f t="shared" si="32"/>
        <v>78</v>
      </c>
      <c r="LL24" s="416">
        <f t="shared" si="33"/>
        <v>78</v>
      </c>
      <c r="LM24" s="417">
        <f t="shared" si="34"/>
        <v>23.4</v>
      </c>
      <c r="LN24" s="417">
        <f>VLOOKUP($LM$8,'Jan-2026 rates'!$H:$I,2,0)</f>
        <v>0</v>
      </c>
      <c r="LO24" s="417">
        <f t="shared" si="35"/>
        <v>0</v>
      </c>
      <c r="LP24" s="417">
        <f>VLOOKUP($LO$8,'Jan-2026 rates'!$H:$I,2,0)</f>
        <v>0</v>
      </c>
      <c r="LQ24" s="417">
        <f t="shared" si="36"/>
        <v>0</v>
      </c>
      <c r="LR24" s="417">
        <f>VLOOKUP($LQ$8,'Jan-2026 rates'!$H:$I,2,0)</f>
        <v>0</v>
      </c>
      <c r="LS24" s="417">
        <f t="shared" si="37"/>
        <v>39</v>
      </c>
      <c r="LT24" s="417">
        <f>VLOOKUP($LS$8,'Jan-2026 rates'!$H:$I,2,0)</f>
        <v>0</v>
      </c>
      <c r="LU24" s="417">
        <f t="shared" si="38"/>
        <v>15.600000000000001</v>
      </c>
      <c r="LV24" s="417">
        <f>VLOOKUP($LU$8,'Jan-2026 rates'!$H:$I,2,0)</f>
        <v>0</v>
      </c>
      <c r="LW24" s="417">
        <f t="shared" si="39"/>
        <v>0</v>
      </c>
      <c r="LX24" s="417">
        <f t="shared" si="40"/>
        <v>0</v>
      </c>
      <c r="LY24" s="418">
        <f t="shared" si="41"/>
        <v>0</v>
      </c>
      <c r="LZ24" s="417"/>
      <c r="MA24" s="435">
        <f t="shared" si="42"/>
        <v>93.2</v>
      </c>
      <c r="MB24" s="282">
        <f t="shared" si="43"/>
        <v>136.19999999999999</v>
      </c>
      <c r="MC24" s="283" t="s">
        <v>1953</v>
      </c>
      <c r="MD24" s="284" t="str">
        <f t="shared" si="44"/>
        <v>ToyoLiToyoLiToyoLiToyoLiToyoLiToyoLiToyoLiToyoLi</v>
      </c>
      <c r="ME24" s="293" t="str">
        <f t="shared" si="45"/>
        <v>+</v>
      </c>
      <c r="MF24" s="293" t="str">
        <f t="shared" si="46"/>
        <v>+</v>
      </c>
      <c r="MG24" s="293" t="str">
        <f t="shared" si="47"/>
        <v>+</v>
      </c>
      <c r="MH24" s="293" t="str">
        <f t="shared" si="48"/>
        <v>+</v>
      </c>
      <c r="MI24" s="293" t="str">
        <f t="shared" si="49"/>
        <v>+</v>
      </c>
      <c r="MJ24" s="293" t="str">
        <f t="shared" si="50"/>
        <v>+</v>
      </c>
      <c r="MK24" s="293" t="str">
        <f t="shared" si="51"/>
        <v>+</v>
      </c>
      <c r="ML24" s="293" t="str">
        <f t="shared" si="52"/>
        <v>+</v>
      </c>
      <c r="MM24" s="3" t="b">
        <f t="array" ref="MM24">OR(ME24:ML24="-")</f>
        <v>0</v>
      </c>
      <c r="MN24" s="285"/>
      <c r="MO24" s="401"/>
      <c r="MP24" s="286"/>
      <c r="MQ24" s="286"/>
      <c r="MR24" s="402"/>
      <c r="MS24" s="400"/>
      <c r="NH24" s="422"/>
      <c r="NJ24" s="421"/>
    </row>
    <row r="25" spans="1:374" s="1" customFormat="1" ht="16.5">
      <c r="A25" s="403">
        <v>46026</v>
      </c>
      <c r="B25" s="404" t="s">
        <v>1015</v>
      </c>
      <c r="C25" s="405" t="s">
        <v>2684</v>
      </c>
      <c r="D25" s="406" t="s">
        <v>1954</v>
      </c>
      <c r="E25" s="404">
        <v>109</v>
      </c>
      <c r="F25" s="407">
        <v>5700</v>
      </c>
      <c r="G25" s="407" t="s">
        <v>1019</v>
      </c>
      <c r="H25" s="408" t="s">
        <v>1017</v>
      </c>
      <c r="I25" s="409">
        <v>1.8</v>
      </c>
      <c r="J25" s="405" t="s">
        <v>543</v>
      </c>
      <c r="K25" s="404" t="s">
        <v>2685</v>
      </c>
      <c r="L25" s="419" t="str">
        <f t="shared" si="0"/>
        <v>ToyoLi - BLACK</v>
      </c>
      <c r="M25" s="404">
        <v>26</v>
      </c>
      <c r="N25" s="410">
        <f>IF(M25=0,0,IF($LB25=70%,VLOOKUP($L25,'Jan-2026 rates'!$L:$R,4,0),IF($LB25=65%,VLOOKUP($L25,'Jan-2026 rates'!$L:$R,4,0),IF($LB25=40%,VLOOKUP($L25,'Jan-2026 rates'!$L:$R,5,0),IF($LB25=30%,VLOOKUP($L25,'Jan-2026 rates'!$L:$R,6,0),IF($LB25=100%,VLOOKUP($L25,'Jan-2026 rates'!$L:$R,7,0),IF($LB25=60%,VLOOKUP($L25,'Jan-2026 rates'!$L:$S,8,0),IF($LB25=80%,VLOOKUP($L25,'Jan-2026 rates'!L:T,9,0),0))))))))</f>
        <v>0</v>
      </c>
      <c r="O25" s="406"/>
      <c r="P25" s="404"/>
      <c r="Q25" s="410">
        <f>IF(P25=0,0,IF($LB25=70%,VLOOKUP($L25,'Jan-2026 rates'!$L:$R,4,0),IF($LB25=65%,VLOOKUP($L25,'Jan-2026 rates'!$L:$R,4,0),IF($LB25=40%,VLOOKUP($L25,'Jan-2026 rates'!$L:$R,5,0),IF($LB25=30%,VLOOKUP($L25,'Jan-2026 rates'!$L:$R,6,0),IF($LB25=100%,VLOOKUP($L25,'Jan-2026 rates'!$L:$R,7,0),IF($LB25=60%,VLOOKUP($L25,'Jan-2026 rates'!$L:$S,8,0),IF($LB25=80%,VLOOKUP($L25,'Jan-2026 rates'!L:T,9,0),0))))))))</f>
        <v>0</v>
      </c>
      <c r="R25" s="406" t="s">
        <v>1252</v>
      </c>
      <c r="S25" s="406"/>
      <c r="T25" s="406"/>
      <c r="U25" s="406"/>
      <c r="V25" s="406"/>
      <c r="W25" s="406"/>
      <c r="X25" s="406"/>
      <c r="Y25" s="406"/>
      <c r="Z25" s="404">
        <v>2</v>
      </c>
      <c r="AA25" s="398">
        <f>IF(Z25=0,0,IF(LEN(R25)=11,_xlfn.XLOOKUP(R25,'Dispensed Ink Rates'!C:C,'Dispensed Ink Rates'!CS:CS),VLOOKUP(R25,'Jan-2026 rates'!$E:$F,2,0)))</f>
        <v>0</v>
      </c>
      <c r="AB25" s="404"/>
      <c r="AC25" s="398">
        <f>IF(AB25=0,0,IF(LEN(S25)=11,_xlfn.XLOOKUP(S25,'Dispensed Ink Rates'!C:C,'Dispensed Ink Rates'!CS:CS),VLOOKUP(S25,'Jan-2026 rates'!$E:$F,2,0)))</f>
        <v>0</v>
      </c>
      <c r="AD25" s="404"/>
      <c r="AE25" s="398">
        <f>IF(AD25=0,0,IF(LEN(T25)=11,_xlfn.XLOOKUP(T25,'Dispensed Ink Rates'!C:C,'Dispensed Ink Rates'!CS:CS),VLOOKUP(T25,'Jan-2026 rates'!$E:$F,2,0)))</f>
        <v>0</v>
      </c>
      <c r="AF25" s="404"/>
      <c r="AG25" s="398">
        <f>IF(AF25=0,0,IF(LEN(U25)=11,_xlfn.XLOOKUP(U25,'Dispensed Ink Rates'!C:C,'Dispensed Ink Rates'!CS:CS),VLOOKUP(U25,'Jan-2026 rates'!$E:$F,2,0)))</f>
        <v>0</v>
      </c>
      <c r="AH25" s="404"/>
      <c r="AI25" s="398">
        <f>IF(AH25=0,0,IF(LEN(V25)=11,_xlfn.XLOOKUP(V25,'Dispensed Ink Rates'!C:C,'Dispensed Ink Rates'!CS:CS),VLOOKUP(V25,'Jan-2026 rates'!$E:$F,2,0)))</f>
        <v>0</v>
      </c>
      <c r="AJ25" s="404"/>
      <c r="AK25" s="398">
        <f>IF(AJ25=0,0,IF(LEN(W25)=11,_xlfn.XLOOKUP(W25,'Dispensed Ink Rates'!C:C,'Dispensed Ink Rates'!CS:CS),VLOOKUP(W25,'Jan-2026 rates'!$E:$F,2,0)))</f>
        <v>0</v>
      </c>
      <c r="AL25" s="404"/>
      <c r="AM25" s="398">
        <f>IF(AL25=0,0,IF(LEN(X25)=11,_xlfn.XLOOKUP(X25,'Dispensed Ink Rates'!C:C,'Dispensed Ink Rates'!CS:CS),VLOOKUP(X25,'Jan-2026 rates'!$E:$F,2,0)))</f>
        <v>0</v>
      </c>
      <c r="AN25" s="404"/>
      <c r="AO25" s="398">
        <f>IF(AN25=0,0,IF(LEN(Y25)=11,_xlfn.XLOOKUP(Y25,'Dispensed Ink Rates'!C:C,'Dispensed Ink Rates'!CS:CS),VLOOKUP(Y25,'Jan-2026 rates'!$E:$F,2,0)))</f>
        <v>0</v>
      </c>
      <c r="AP25" s="409" t="s">
        <v>1881</v>
      </c>
      <c r="AQ25" s="409">
        <v>24</v>
      </c>
      <c r="AR25" s="410">
        <f t="shared" si="1"/>
        <v>0</v>
      </c>
      <c r="AS25" s="411">
        <f t="shared" si="2"/>
        <v>5.3653846153846168</v>
      </c>
      <c r="AT25" s="410">
        <f t="shared" si="3"/>
        <v>0</v>
      </c>
      <c r="AU25" s="405" t="s">
        <v>546</v>
      </c>
      <c r="AV25" s="409" t="s">
        <v>2409</v>
      </c>
      <c r="AW25" s="420" t="str">
        <f t="shared" si="4"/>
        <v>ToyoLi - REFLEX BLUE</v>
      </c>
      <c r="AX25" s="409">
        <v>10</v>
      </c>
      <c r="AY25" s="411">
        <f>IF(AX25=0,0,IF($LB25=70%,VLOOKUP($AW25,'Jan-2026 rates'!$L:$R,4,0),IF($LB25=65%,VLOOKUP($AW25,'Jan-2026 rates'!$L:$R,4,0),IF($LB25=40%,VLOOKUP($AW25,'Jan-2026 rates'!$L:$R,5,0),IF($LB25=30%,VLOOKUP($AW25,'Jan-2026 rates'!$L:$R,6,0),IF($LB25=100%,VLOOKUP($AW25,'Jan-2026 rates'!$L:$R,7,0),IF($LB25=60%,VLOOKUP($AW25,'Jan-2026 rates'!$L:$S,8,0),IF($LB25=80%,VLOOKUP($AW25,'Jan-2026 rates'!L:T,9,0),0))))))))</f>
        <v>0</v>
      </c>
      <c r="AZ25" s="412" t="s">
        <v>2580</v>
      </c>
      <c r="BA25" s="409">
        <v>18</v>
      </c>
      <c r="BB25" s="411">
        <f>IF(BA25=0,0,IF($LB25=70%,VLOOKUP($AW25,'Jan-2026 rates'!$L:$R,4,0),IF($LB25=65%,VLOOKUP($AW25,'Jan-2026 rates'!$L:$R,4,0),IF($LB25=40%,VLOOKUP($AW25,'Jan-2026 rates'!$L:$R,5,0),IF($LB25=30%,VLOOKUP($AW25,'Jan-2026 rates'!$L:$R,6,0),IF($LB25=100%,VLOOKUP($AW25,'Jan-2026 rates'!$L:$R,7,0),IF($LB25=60%,VLOOKUP($AW25,'Jan-2026 rates'!$L:$S,8,0),IF($LB25=80%,VLOOKUP($AW25,'Jan-2026 rates'!L:T,9,0),0))))))))</f>
        <v>0</v>
      </c>
      <c r="BC25" s="413" t="s">
        <v>1880</v>
      </c>
      <c r="BD25" s="412" t="s">
        <v>1250</v>
      </c>
      <c r="BE25" s="412" t="s">
        <v>1585</v>
      </c>
      <c r="BF25" s="413"/>
      <c r="BG25" s="412"/>
      <c r="BH25" s="412"/>
      <c r="BI25" s="412"/>
      <c r="BJ25" s="412"/>
      <c r="BK25" s="409">
        <v>20</v>
      </c>
      <c r="BL25" s="398">
        <f>IF(BK25=0,0,IF(LEN(BC25)=11,_xlfn.XLOOKUP(BC25,'Dispensed Ink Rates'!C:C,'Dispensed Ink Rates'!CS:CS),VLOOKUP(BC25,'Jan-2026 rates'!$E:$F,2,0)))</f>
        <v>0</v>
      </c>
      <c r="BM25" s="409">
        <v>5</v>
      </c>
      <c r="BN25" s="398">
        <f>IF(BM25=0,0,IF(LEN(BD25)=11,_xlfn.XLOOKUP(BD25,'Dispensed Ink Rates'!C:C,'Dispensed Ink Rates'!CS:CS),VLOOKUP(BD25,'Jan-2026 rates'!$E:$F,2,0)))</f>
        <v>0</v>
      </c>
      <c r="BO25" s="409">
        <v>2</v>
      </c>
      <c r="BP25" s="398">
        <f>IF(BO25=0,0,IF(LEN(BE25)=11,_xlfn.XLOOKUP(BE25,'Dispensed Ink Rates'!C:C,'Dispensed Ink Rates'!CS:CS),VLOOKUP(BE25,'Jan-2026 rates'!$E:$F,2,0)))</f>
        <v>0</v>
      </c>
      <c r="BQ25" s="409"/>
      <c r="BR25" s="398">
        <f>IF(BQ25=0,0,IF(LEN(BF25)=11,_xlfn.XLOOKUP(BF25,'Dispensed Ink Rates'!C:C,'Dispensed Ink Rates'!CS:CS),VLOOKUP(BF25,'Jan-2026 rates'!$E:$F,2,0)))</f>
        <v>0</v>
      </c>
      <c r="BS25" s="409"/>
      <c r="BT25" s="398">
        <f>IF(BS25=0,0,IF(LEN(BG25)=11,_xlfn.XLOOKUP(BG25,'Dispensed Ink Rates'!C:C,'Dispensed Ink Rates'!CS:CS),VLOOKUP(BG25,'Jan-2026 rates'!$E:$F,2,0)))</f>
        <v>0</v>
      </c>
      <c r="BU25" s="409"/>
      <c r="BV25" s="398">
        <f>IF(BU25=0,0,IF(LEN(BH25)=11,_xlfn.XLOOKUP(BH25,'Dispensed Ink Rates'!C:C,'Dispensed Ink Rates'!CS:CS),VLOOKUP(BH25,'Jan-2026 rates'!$E:$F,2,0)))</f>
        <v>0</v>
      </c>
      <c r="BW25" s="409"/>
      <c r="BX25" s="398">
        <f>IF(BW25=0,0,IF(LEN(BI25)=11,_xlfn.XLOOKUP(BI25,'Dispensed Ink Rates'!C:C,'Dispensed Ink Rates'!CS:CS),VLOOKUP(BI25,'Jan-2026 rates'!$E:$F,2,0)))</f>
        <v>0</v>
      </c>
      <c r="BY25" s="409"/>
      <c r="BZ25" s="398">
        <f>IF(BY25=0,0,IF(LEN(BJ25)=11,_xlfn.XLOOKUP(BJ25,'Dispensed Ink Rates'!C:C,'Dispensed Ink Rates'!CS:CS),VLOOKUP(BJ25,'Jan-2026 rates'!$E:$F,2,0)))</f>
        <v>0</v>
      </c>
      <c r="CA25" s="409" t="s">
        <v>1881</v>
      </c>
      <c r="CB25" s="409">
        <f>18+10+20</f>
        <v>48</v>
      </c>
      <c r="CC25" s="411">
        <f t="shared" si="5"/>
        <v>0</v>
      </c>
      <c r="CD25" s="411">
        <f t="shared" si="6"/>
        <v>20.65384615384616</v>
      </c>
      <c r="CE25" s="410">
        <f t="shared" si="7"/>
        <v>0</v>
      </c>
      <c r="CF25" s="404" t="s">
        <v>546</v>
      </c>
      <c r="CG25" s="409" t="s">
        <v>2685</v>
      </c>
      <c r="CH25" s="420" t="str">
        <f t="shared" si="8"/>
        <v>ToyoLi - REFLEX BLUE</v>
      </c>
      <c r="CI25" s="409">
        <v>23</v>
      </c>
      <c r="CJ25" s="411">
        <f>IF(CI25=0,0,IF($LB25=70%,VLOOKUP($CH25,'Jan-2026 rates'!$L:$R,4,0),IF($LB25=65%,VLOOKUP($CH25,'Jan-2026 rates'!$L:$R,4,0),IF($LB25=40%,VLOOKUP($CH25,'Jan-2026 rates'!$L:$R,5,0),IF($LB25=30%,VLOOKUP($CH25,'Jan-2026 rates'!$L:$R,6,0),IF($LB25=100%,VLOOKUP($CH25,'Jan-2026 rates'!$L:$R,7,0),IF($LB25=60%,VLOOKUP($CH25,'Jan-2026 rates'!$L:$S,8,0),IF($LB25=80%,VLOOKUP($CH25,'Jan-2026 rates'!L:T,9,0),0))))))))</f>
        <v>0</v>
      </c>
      <c r="CK25" s="412"/>
      <c r="CL25" s="409"/>
      <c r="CM25" s="411">
        <f>IF(CL25=0,0,IF($LB25=70%,VLOOKUP($CH25,'Jan-2026 rates'!$L:$R,4,0),IF($LB25=65%,VLOOKUP($CH25,'Jan-2026 rates'!$L:$R,4,0),IF($LB25=40%,VLOOKUP($CH25,'Jan-2026 rates'!$L:$R,5,0),IF($LB25=30%,VLOOKUP($CH25,'Jan-2026 rates'!$L:$R,6,0),IF($LB25=100%,VLOOKUP($CH25,'Jan-2026 rates'!$L:$R,7,0),IF($LB25=60%,VLOOKUP($CH25,'Jan-2026 rates'!$L:$S,8,0),IF($LB25=80%,VLOOKUP($CH25,'Jan-2026 rates'!L:T,9,0),0))))))))</f>
        <v>0</v>
      </c>
      <c r="CN25" s="426" t="s">
        <v>1921</v>
      </c>
      <c r="CO25" s="427" t="s">
        <v>1880</v>
      </c>
      <c r="CP25" s="426" t="s">
        <v>1250</v>
      </c>
      <c r="CQ25" s="426"/>
      <c r="CR25" s="428"/>
      <c r="CS25" s="428"/>
      <c r="CT25" s="428"/>
      <c r="CU25" s="428"/>
      <c r="CV25" s="409">
        <v>1</v>
      </c>
      <c r="CW25" s="398">
        <f>IF(CV25=0,0,IF(LEN(CN25)=11,_xlfn.XLOOKUP(CN25,'Dispensed Ink Rates'!C:C,'Dispensed Ink Rates'!CS:CS),VLOOKUP(CN25,'Jan-2026 rates'!$E:$F,2,0)))</f>
        <v>0</v>
      </c>
      <c r="CX25" s="409">
        <v>0.5</v>
      </c>
      <c r="CY25" s="398">
        <f>IF(CX25=0,0,IF(LEN(CO25)=11,_xlfn.XLOOKUP(CO25,'Dispensed Ink Rates'!C:C,'Dispensed Ink Rates'!CS:CS),VLOOKUP(CO25,'Jan-2026 rates'!$E:$F,2,0)))</f>
        <v>0</v>
      </c>
      <c r="CZ25" s="409">
        <v>0.5</v>
      </c>
      <c r="DA25" s="398">
        <f>IF(CZ25=0,0,IF(LEN(CP25)=11,_xlfn.XLOOKUP(CP25,'Dispensed Ink Rates'!C:C,'Dispensed Ink Rates'!CS:CS),VLOOKUP(CP25,'Jan-2026 rates'!$E:$F,2,0)))</f>
        <v>0</v>
      </c>
      <c r="DB25" s="409"/>
      <c r="DC25" s="398">
        <f>IF(DB25=0,0,IF(LEN(CQ25)=11,_xlfn.XLOOKUP(CQ25,'Dispensed Ink Rates'!C:C,'Dispensed Ink Rates'!CS:CS),VLOOKUP(CQ25,'Jan-2026 rates'!$E:$F,2,0)))</f>
        <v>0</v>
      </c>
      <c r="DD25" s="409"/>
      <c r="DE25" s="398">
        <f>IF(DD25=0,0,IF(LEN(CR25)=11,_xlfn.XLOOKUP(CR25,'Dispensed Ink Rates'!C:C,'Dispensed Ink Rates'!CS:CS),VLOOKUP(CR25,'Jan-2026 rates'!$E:$F,2,0)))</f>
        <v>0</v>
      </c>
      <c r="DF25" s="409"/>
      <c r="DG25" s="398">
        <f>IF(DF25=0,0,IF(LEN(CS25)=11,_xlfn.XLOOKUP(CS25,'Dispensed Ink Rates'!C:C,'Dispensed Ink Rates'!CS:CS),VLOOKUP(CS25,'Jan-2026 rates'!$E:$F,2,0)))</f>
        <v>0</v>
      </c>
      <c r="DH25" s="409"/>
      <c r="DI25" s="398">
        <f>IF(DH25=0,0,IF(LEN(CT25)=11,_xlfn.XLOOKUP(CT25,'Dispensed Ink Rates'!C:C,'Dispensed Ink Rates'!CS:CS),VLOOKUP(CT25,'Jan-2026 rates'!$E:$F,2,0)))</f>
        <v>0</v>
      </c>
      <c r="DJ25" s="409"/>
      <c r="DK25" s="398">
        <f>IF(DJ25=0,0,IF(LEN(CU25)=11,_xlfn.XLOOKUP(CU25,'Dispensed Ink Rates'!C:C,'Dispensed Ink Rates'!CS:CS),VLOOKUP(CU25,'Jan-2026 rates'!$E:$F,2,0)))</f>
        <v>0</v>
      </c>
      <c r="DL25" s="409" t="s">
        <v>1881</v>
      </c>
      <c r="DM25" s="409">
        <v>23</v>
      </c>
      <c r="DN25" s="411">
        <f t="shared" si="9"/>
        <v>0</v>
      </c>
      <c r="DO25" s="411">
        <f t="shared" si="10"/>
        <v>4.7307692307692299</v>
      </c>
      <c r="DP25" s="410">
        <f t="shared" si="11"/>
        <v>0</v>
      </c>
      <c r="DQ25" s="405" t="s">
        <v>546</v>
      </c>
      <c r="DR25" s="409"/>
      <c r="DS25" s="420" t="str">
        <f t="shared" si="12"/>
        <v>ToyoLi - REFLEX BLUE</v>
      </c>
      <c r="DT25" s="409"/>
      <c r="DU25" s="411">
        <f>IF(DT25=0,0,IF($LB25=70%,VLOOKUP($DS25,'Jan-2026 rates'!$L:$R,4,0),IF($LB25=65%,VLOOKUP($DS25,'Jan-2026 rates'!$L:$R,4,0),IF($LB25=40%,VLOOKUP($DS25,'Jan-2026 rates'!$L:$R,5,0),IF($LB25=30%,VLOOKUP($DS25,'Jan-2026 rates'!$L:$R,6,0),IF($LB25=100%,VLOOKUP($DS25,'Jan-2026 rates'!$L:$R,7,0),IF($LB25=60%,VLOOKUP($DS25,'Jan-2026 rates'!$L:$S,8,0),IF($LB25=80%,VLOOKUP($DS25,'Jan-2026 rates'!L:T,9,0),0))))))))</f>
        <v>0</v>
      </c>
      <c r="DV25" s="412"/>
      <c r="DW25" s="409"/>
      <c r="DX25" s="411">
        <f>IF(DW25=0,0,IF($LB25=70%,VLOOKUP($DS25,'Jan-2026 rates'!$L:$R,4,0),IF($LB25=65%,VLOOKUP($DS25,'Jan-2026 rates'!$L:$R,4,0),IF($LB25=40%,VLOOKUP($DS25,'Jan-2026 rates'!$L:$R,5,0),IF($LB25=30%,VLOOKUP($DS25,'Jan-2026 rates'!$L:$R,6,0),IF($LB25=100%,VLOOKUP($DS25,'Jan-2026 rates'!$L:$R,7,0),IF($LB25=60%,VLOOKUP($DS25,'Jan-2026 rates'!$L:$S,8,0),IF($LB25=80%,VLOOKUP($DS25,'Jan-2026 rates'!L:T,9,0),0))))))))</f>
        <v>0</v>
      </c>
      <c r="DY25" s="413" t="s">
        <v>1921</v>
      </c>
      <c r="DZ25" s="413" t="s">
        <v>1880</v>
      </c>
      <c r="EA25" s="412" t="s">
        <v>1250</v>
      </c>
      <c r="EB25" s="412"/>
      <c r="EC25" s="412"/>
      <c r="ED25" s="412"/>
      <c r="EE25" s="412"/>
      <c r="EF25" s="412"/>
      <c r="EG25" s="409">
        <v>15</v>
      </c>
      <c r="EH25" s="398">
        <f>IF(EG25=0,0,IF(LEN(DY25)=11,_xlfn.XLOOKUP(DY25,'Dispensed Ink Rates'!C:C,'Dispensed Ink Rates'!CS:CS),VLOOKUP(DY25,'Jan-2026 rates'!$E:$F,2,0)))</f>
        <v>0</v>
      </c>
      <c r="EI25" s="409">
        <v>2</v>
      </c>
      <c r="EJ25" s="398">
        <f>IF(EI25=0,0,IF(LEN(DZ25)=11,_xlfn.XLOOKUP(DZ25,'Dispensed Ink Rates'!C:C,'Dispensed Ink Rates'!CS:CS),VLOOKUP(DZ25,'Jan-2026 rates'!$E:$F,2,0)))</f>
        <v>0</v>
      </c>
      <c r="EK25" s="409">
        <v>1</v>
      </c>
      <c r="EL25" s="398">
        <f>IF(EK25=0,0,IF(LEN(EA25)=11,_xlfn.XLOOKUP(EA25,'Dispensed Ink Rates'!C:C,'Dispensed Ink Rates'!CS:CS),VLOOKUP(EA25,'Jan-2026 rates'!$E:$F,2,0)))</f>
        <v>0</v>
      </c>
      <c r="EM25" s="409"/>
      <c r="EN25" s="398">
        <f>IF(EM25=0,0,IF(LEN(EB25)=11,_xlfn.XLOOKUP(EB25,'Dispensed Ink Rates'!C:C,'Dispensed Ink Rates'!CS:CS),VLOOKUP(EB25,'Jan-2026 rates'!$E:$F,2,0)))</f>
        <v>0</v>
      </c>
      <c r="EO25" s="409"/>
      <c r="EP25" s="398">
        <f>IF(EO25=0,0,IF(LEN(EC25)=11,_xlfn.XLOOKUP(EC25,'Dispensed Ink Rates'!C:C,'Dispensed Ink Rates'!CS:CS),VLOOKUP(EC25,'Jan-2026 rates'!$E:$F,2,0)))</f>
        <v>0</v>
      </c>
      <c r="EQ25" s="409"/>
      <c r="ER25" s="398">
        <f>IF(EQ25=0,0,IF(LEN(ED25)=11,_xlfn.XLOOKUP(ED25,'Dispensed Ink Rates'!C:C,'Dispensed Ink Rates'!CS:CS),VLOOKUP(ED25,'Jan-2026 rates'!$E:$F,2,0)))</f>
        <v>0</v>
      </c>
      <c r="ES25" s="409"/>
      <c r="ET25" s="398">
        <f>IF(ES25=0,0,IF(LEN(EE25)=11,_xlfn.XLOOKUP(EE25,'Dispensed Ink Rates'!C:C,'Dispensed Ink Rates'!CS:CS),VLOOKUP(EE25,'Jan-2026 rates'!$E:$F,2,0)))</f>
        <v>0</v>
      </c>
      <c r="EU25" s="409"/>
      <c r="EV25" s="398">
        <f>IF(EU25=0,0,IF(LEN(EF25)=11,_xlfn.XLOOKUP(EF25,'Dispensed Ink Rates'!C:C,'Dispensed Ink Rates'!CS:CS),VLOOKUP(EF25,'Jan-2026 rates'!$E:$F,2,0)))</f>
        <v>0</v>
      </c>
      <c r="EW25" s="409" t="s">
        <v>1881</v>
      </c>
      <c r="EX25" s="409">
        <f>10+17</f>
        <v>27</v>
      </c>
      <c r="EY25" s="411">
        <f t="shared" si="13"/>
        <v>0</v>
      </c>
      <c r="EZ25" s="411">
        <f t="shared" si="14"/>
        <v>7.3846153846153868</v>
      </c>
      <c r="FA25" s="410">
        <f t="shared" si="15"/>
        <v>0</v>
      </c>
      <c r="FB25" s="405" t="s">
        <v>855</v>
      </c>
      <c r="FC25" s="409" t="s">
        <v>2686</v>
      </c>
      <c r="FD25" s="420" t="str">
        <f t="shared" si="16"/>
        <v>ToyoLi - CYAN</v>
      </c>
      <c r="FE25" s="409">
        <v>25</v>
      </c>
      <c r="FF25" s="411">
        <f>IF(FE25=0,0,IF($LB25=70%,VLOOKUP($FD25,'Jan-2026 rates'!$L:$R,4,0),IF($LB25=65%,VLOOKUP($FD25,'Jan-2026 rates'!$L:$R,4,0),IF($LB25=40%,VLOOKUP($FD25,'Jan-2026 rates'!$L:$R,5,0),IF($LB25=30%,VLOOKUP($FD25,'Jan-2026 rates'!$L:$R,6,0),IF($LB25=100%,VLOOKUP($FD25,'Jan-2026 rates'!$L:$R,7,0),IF($LB25=60%,VLOOKUP($FD25,'Jan-2026 rates'!$L:$S,8,0),IF($LB25=80%,VLOOKUP($FD25,'Jan-2026 rates'!L:T,9,0),0))))))))</f>
        <v>0</v>
      </c>
      <c r="FG25" s="412"/>
      <c r="FH25" s="409"/>
      <c r="FI25" s="411">
        <f>IF(FH25=0,0,IF($LB25=70%,VLOOKUP($FD25,'Jan-2026 rates'!$L:$R,4,0),IF($LB25=65%,VLOOKUP($FD25,'Jan-2026 rates'!$L:$R,4,0),IF($LB25=40%,VLOOKUP($FD25,'Jan-2026 rates'!$L:$R,5,0),IF($LB25=30%,VLOOKUP($FD25,'Jan-2026 rates'!$L:$R,6,0),IF($LB25=100%,VLOOKUP($FD25,'Jan-2026 rates'!$L:$R,7,0),IF($LB25=60%,VLOOKUP($FD25,'Jan-2026 rates'!$L:$S,8,0),IF($LB25=80%,VLOOKUP($FD25,'Jan-2026 rates'!L:T,9,0),0))))))))</f>
        <v>0</v>
      </c>
      <c r="FJ25" s="413" t="s">
        <v>1921</v>
      </c>
      <c r="FK25" s="413"/>
      <c r="FL25" s="413"/>
      <c r="FM25" s="412"/>
      <c r="FN25" s="412"/>
      <c r="FO25" s="412"/>
      <c r="FP25" s="412"/>
      <c r="FQ25" s="412"/>
      <c r="FR25" s="409">
        <v>2</v>
      </c>
      <c r="FS25" s="398">
        <f>IF(FR25=0,0,IF(LEN(FJ25)=11,_xlfn.XLOOKUP(FJ25,'Dispensed Ink Rates'!C:C,'Dispensed Ink Rates'!CS:CS),VLOOKUP(FJ25,'Jan-2026 rates'!$E:$F,2,0)))</f>
        <v>0</v>
      </c>
      <c r="FT25" s="409"/>
      <c r="FU25" s="398">
        <f>IF(FT25=0,0,IF(LEN(FK25)=11,_xlfn.XLOOKUP(FK25,'Dispensed Ink Rates'!C:C,'Dispensed Ink Rates'!CS:CS),VLOOKUP(FK25,'Jan-2026 rates'!$E:$F,2,0)))</f>
        <v>0</v>
      </c>
      <c r="FV25" s="409"/>
      <c r="FW25" s="398">
        <f>IF(FV25=0,0,IF(LEN(FL25)=11,_xlfn.XLOOKUP(FL25,'Dispensed Ink Rates'!C:C,'Dispensed Ink Rates'!CS:CS),VLOOKUP(FL25,'Jan-2026 rates'!$E:$F,2,0)))</f>
        <v>0</v>
      </c>
      <c r="FX25" s="409"/>
      <c r="FY25" s="398">
        <f>IF(FX25=0,0,IF(LEN(FM25)=11,_xlfn.XLOOKUP(FM25,'Dispensed Ink Rates'!C:C,'Dispensed Ink Rates'!CS:CS),VLOOKUP(FM25,'Jan-2026 rates'!$E:$F,2,0)))</f>
        <v>0</v>
      </c>
      <c r="FZ25" s="409"/>
      <c r="GA25" s="398">
        <f>IF(FZ25=0,0,IF(LEN(FN25)=11,_xlfn.XLOOKUP(FN25,'Dispensed Ink Rates'!C:C,'Dispensed Ink Rates'!CS:CS),VLOOKUP(FN25,'Jan-2026 rates'!$E:$F,2,0)))</f>
        <v>0</v>
      </c>
      <c r="GB25" s="409"/>
      <c r="GC25" s="398">
        <f>IF(GB25=0,0,IF(LEN(FO25)=11,_xlfn.XLOOKUP(FO25,'Dispensed Ink Rates'!C:C,'Dispensed Ink Rates'!CS:CS),VLOOKUP(FO25,'Jan-2026 rates'!$E:$F,2,0)))</f>
        <v>0</v>
      </c>
      <c r="GD25" s="409"/>
      <c r="GE25" s="398">
        <f>IF(GD25=0,0,IF(LEN(FP25)=11,_xlfn.XLOOKUP(FP25,'Dispensed Ink Rates'!C:C,'Dispensed Ink Rates'!CS:CS),VLOOKUP(FP25,'Jan-2026 rates'!$E:$F,2,0)))</f>
        <v>0</v>
      </c>
      <c r="GF25" s="409"/>
      <c r="GG25" s="398">
        <f>IF(GF25=0,0,IF(LEN(FQ25)=11,_xlfn.XLOOKUP(FQ25,'Dispensed Ink Rates'!C:C,'Dispensed Ink Rates'!CS:CS),VLOOKUP(FQ25,'Jan-2026 rates'!$E:$F,2,0)))</f>
        <v>0</v>
      </c>
      <c r="GH25" s="409" t="s">
        <v>1881</v>
      </c>
      <c r="GI25" s="409">
        <v>26</v>
      </c>
      <c r="GJ25" s="411">
        <f t="shared" si="17"/>
        <v>0</v>
      </c>
      <c r="GK25" s="411">
        <f t="shared" si="18"/>
        <v>3.7307692307692299</v>
      </c>
      <c r="GL25" s="410">
        <f t="shared" si="19"/>
        <v>0</v>
      </c>
      <c r="GM25" s="405" t="s">
        <v>544</v>
      </c>
      <c r="GN25" s="409" t="s">
        <v>2687</v>
      </c>
      <c r="GO25" s="420" t="str">
        <f t="shared" si="20"/>
        <v>ToyoLi - MAGENTA</v>
      </c>
      <c r="GP25" s="409">
        <v>26</v>
      </c>
      <c r="GQ25" s="411">
        <f>IF(GP25=0,0,IF($LB25=70%,VLOOKUP($GO25,'Jan-2026 rates'!$L:$R,4,0),IF($LB25=65%,VLOOKUP($GO25,'Jan-2026 rates'!$L:$R,4,0),IF($LB25=40%,VLOOKUP($GO25,'Jan-2026 rates'!$L:$R,5,0),IF($LB25=30%,VLOOKUP($GO25,'Jan-2026 rates'!$L:$R,6,0),IF($LB25=100%,VLOOKUP($GO25,'Jan-2026 rates'!$L:$R,7,0),IF($LB25=60%,VLOOKUP($GO25,'Jan-2026 rates'!$L:$S,8,0),IF($LB25=80%,VLOOKUP($GO25,'Jan-2026 rates'!L:T,9,0),0))))))))</f>
        <v>0</v>
      </c>
      <c r="GR25" s="412"/>
      <c r="GS25" s="409"/>
      <c r="GT25" s="411">
        <f>IF(GS25=0,0,IF($LB25=70%,VLOOKUP($GO25,'Jan-2026 rates'!$L:$R,4,0),IF($LB25=65%,VLOOKUP($GO25,'Jan-2026 rates'!$L:$R,4,0),IF($LB25=40%,VLOOKUP($GO25,'Jan-2026 rates'!$L:$R,5,0),IF($LB25=30%,VLOOKUP($GO25,'Jan-2026 rates'!$L:$R,6,0),IF($LB25=100%,VLOOKUP($GO25,'Jan-2026 rates'!$L:$R,7,0),IF($LB25=60%,VLOOKUP($GO25,'Jan-2026 rates'!$L:$S,8,0),IF($LB25=80%,VLOOKUP($GO25,'Jan-2026 rates'!L:T,9,0),0))))))))</f>
        <v>0</v>
      </c>
      <c r="GU25" s="413"/>
      <c r="GV25" s="413"/>
      <c r="GW25" s="412"/>
      <c r="GX25" s="412"/>
      <c r="GY25" s="412"/>
      <c r="GZ25" s="412"/>
      <c r="HA25" s="412"/>
      <c r="HB25" s="412"/>
      <c r="HC25" s="409"/>
      <c r="HD25" s="398">
        <f>IF(HC25=0,0,IF(LEN(GU25)=11,_xlfn.XLOOKUP(GU25,'Dispensed Ink Rates'!C:C,'Dispensed Ink Rates'!CS:CS),VLOOKUP(GU25,'Jan-2026 rates'!$E:$F,2,0)))</f>
        <v>0</v>
      </c>
      <c r="HE25" s="409"/>
      <c r="HF25" s="398">
        <f>IF(HE25=0,0,IF(LEN(GV25)=11,_xlfn.XLOOKUP(GV25,'Dispensed Ink Rates'!C:C,'Dispensed Ink Rates'!CS:CS),VLOOKUP(GV25,'Jan-2026 rates'!$E:$F,2,0)))</f>
        <v>0</v>
      </c>
      <c r="HG25" s="409"/>
      <c r="HH25" s="398">
        <f>IF(HG25=0,0,IF(LEN(GW25)=11,_xlfn.XLOOKUP(GW25,'Dispensed Ink Rates'!C:C,'Dispensed Ink Rates'!CS:CS),VLOOKUP(GW25,'Jan-2026 rates'!$E:$F,2,0)))</f>
        <v>0</v>
      </c>
      <c r="HI25" s="409"/>
      <c r="HJ25" s="398">
        <f>IF(HI25=0,0,IF(LEN(GX25)=11,_xlfn.XLOOKUP(GX25,'Dispensed Ink Rates'!C:C,'Dispensed Ink Rates'!CS:CS),VLOOKUP(GX25,'Jan-2026 rates'!$E:$F,2,0)))</f>
        <v>0</v>
      </c>
      <c r="HK25" s="409"/>
      <c r="HL25" s="398">
        <f>IF(HK25=0,0,IF(LEN(GY25)=11,_xlfn.XLOOKUP(GY25,'Dispensed Ink Rates'!C:C,'Dispensed Ink Rates'!CS:CS),VLOOKUP(GY25,'Jan-2026 rates'!$E:$F,2,0)))</f>
        <v>0</v>
      </c>
      <c r="HM25" s="409"/>
      <c r="HN25" s="398">
        <f>IF(HM25=0,0,IF(LEN(GZ25)=11,_xlfn.XLOOKUP(GZ25,'Dispensed Ink Rates'!C:C,'Dispensed Ink Rates'!CS:CS),VLOOKUP(GZ25,'Jan-2026 rates'!$E:$F,2,0)))</f>
        <v>0</v>
      </c>
      <c r="HO25" s="409"/>
      <c r="HP25" s="398">
        <f>IF(HO25=0,0,IF(LEN(HA25)=11,_xlfn.XLOOKUP(HA25,'Dispensed Ink Rates'!C:C,'Dispensed Ink Rates'!CS:CS),VLOOKUP(HA25,'Jan-2026 rates'!$E:$F,2,0)))</f>
        <v>0</v>
      </c>
      <c r="HQ25" s="409"/>
      <c r="HR25" s="398">
        <f>IF(HQ25=0,0,IF(LEN(HB25)=11,_xlfn.XLOOKUP(HB25,'Dispensed Ink Rates'!C:C,'Dispensed Ink Rates'!CS:CS),VLOOKUP(HB25,'Jan-2026 rates'!$E:$F,2,0)))</f>
        <v>0</v>
      </c>
      <c r="HS25" s="409" t="s">
        <v>1881</v>
      </c>
      <c r="HT25" s="409">
        <v>24</v>
      </c>
      <c r="HU25" s="411">
        <f t="shared" si="21"/>
        <v>0</v>
      </c>
      <c r="HV25" s="411">
        <f t="shared" si="22"/>
        <v>4.7307692307692299</v>
      </c>
      <c r="HW25" s="414">
        <f t="shared" si="23"/>
        <v>0</v>
      </c>
      <c r="HX25" s="405" t="s">
        <v>545</v>
      </c>
      <c r="HY25" s="409" t="s">
        <v>2688</v>
      </c>
      <c r="HZ25" s="420" t="str">
        <f t="shared" si="24"/>
        <v>ToyoLi - YELLOW</v>
      </c>
      <c r="IA25" s="409">
        <v>25</v>
      </c>
      <c r="IB25" s="411">
        <f>IF(IA25=0,0,IF($LB25=70%,VLOOKUP($HZ25,'Jan-2026 rates'!$L:$R,4,0),IF($LB25=65%,VLOOKUP($HZ25,'Jan-2026 rates'!$L:$R,4,0),IF($LB25=40%,VLOOKUP($HZ25,'Jan-2026 rates'!$L:$R,5,0),IF($LB25=30%,VLOOKUP($HZ25,'Jan-2026 rates'!$L:$R,6,0),IF($LB25=100%,VLOOKUP($HZ25,'Jan-2026 rates'!$L:$R,7,0),IF($LB25=60%,VLOOKUP($HZ25,'Jan-2026 rates'!$L:$S,8,0),IF($LB25=80%,VLOOKUP($HZ25,'Jan-2026 rates'!L:T,9,0),0))))))))</f>
        <v>0</v>
      </c>
      <c r="IC25" s="412"/>
      <c r="ID25" s="409"/>
      <c r="IE25" s="411">
        <f>IF(ID25=0,0,IF($LB25=70%,VLOOKUP($HZ25,'Jan-2026 rates'!$L:$R,4,0),IF($LB25=65%,VLOOKUP($HZ25,'Jan-2026 rates'!$L:$R,4,0),IF($LB25=40%,VLOOKUP($HZ25,'Jan-2026 rates'!$L:$R,5,0),IF($LB25=30%,VLOOKUP($HZ25,'Jan-2026 rates'!$L:$R,6,0),IF($LB25=100%,VLOOKUP($HZ25,'Jan-2026 rates'!$L:$R,7,0),IF($LB25=60%,VLOOKUP($HZ25,'Jan-2026 rates'!$L:$S,8,0),IF($LB25=80%,VLOOKUP($HZ25,'Jan-2026 rates'!L:T,9,0),0))))))))</f>
        <v>0</v>
      </c>
      <c r="IF25" s="412" t="s">
        <v>1247</v>
      </c>
      <c r="IG25" s="413" t="s">
        <v>1921</v>
      </c>
      <c r="IH25" s="412"/>
      <c r="II25" s="412"/>
      <c r="IJ25" s="412"/>
      <c r="IK25" s="412"/>
      <c r="IL25" s="412"/>
      <c r="IM25" s="412"/>
      <c r="IN25" s="409">
        <v>5</v>
      </c>
      <c r="IO25" s="398">
        <f>IF(IN25=0,0,IF(LEN(IF25)=11,_xlfn.XLOOKUP(IF25,'Dispensed Ink Rates'!C:C,'Dispensed Ink Rates'!CS:CS),VLOOKUP(IF25,'Jan-2026 rates'!$E:$F,2,0)))</f>
        <v>0</v>
      </c>
      <c r="IP25" s="409">
        <v>2</v>
      </c>
      <c r="IQ25" s="398">
        <f>IF(IP25=0,0,IF(LEN(IG25)=11,_xlfn.XLOOKUP(IG25,'Dispensed Ink Rates'!C:C,'Dispensed Ink Rates'!CS:CS),VLOOKUP(IG25,'Jan-2026 rates'!$E:$F,2,0)))</f>
        <v>0</v>
      </c>
      <c r="IR25" s="409"/>
      <c r="IS25" s="398">
        <f>IF(IR25=0,0,IF(LEN(IH25)=11,_xlfn.XLOOKUP(IH25,'Dispensed Ink Rates'!C:C,'Dispensed Ink Rates'!CS:CS),VLOOKUP(IH25,'Jan-2026 rates'!$E:$F,2,0)))</f>
        <v>0</v>
      </c>
      <c r="IT25" s="409"/>
      <c r="IU25" s="398">
        <f>IF(IT25=0,0,IF(LEN(II25)=11,_xlfn.XLOOKUP(II25,'Dispensed Ink Rates'!C:C,'Dispensed Ink Rates'!CS:CS),VLOOKUP(II25,'Jan-2026 rates'!$E:$F,2,0)))</f>
        <v>0</v>
      </c>
      <c r="IV25" s="409"/>
      <c r="IW25" s="398">
        <f>IF(IV25=0,0,IF(LEN(IJ25)=11,_xlfn.XLOOKUP(IJ25,'Dispensed Ink Rates'!C:C,'Dispensed Ink Rates'!CS:CS),VLOOKUP(IJ25,'Jan-2026 rates'!$E:$F,2,0)))</f>
        <v>0</v>
      </c>
      <c r="IX25" s="409"/>
      <c r="IY25" s="398">
        <f>IF(IX25=0,0,IF(LEN(IK25)=11,_xlfn.XLOOKUP(IK25,'Dispensed Ink Rates'!C:C,'Dispensed Ink Rates'!CS:CS),VLOOKUP(IK25,'Jan-2026 rates'!$E:$F,2,0)))</f>
        <v>0</v>
      </c>
      <c r="IZ25" s="409"/>
      <c r="JA25" s="398">
        <f>IF(IZ25=0,0,IF(LEN(IL25)=11,_xlfn.XLOOKUP(IL25,'Dispensed Ink Rates'!C:C,'Dispensed Ink Rates'!CS:CS),VLOOKUP(IL25,'Jan-2026 rates'!$E:$F,2,0)))</f>
        <v>0</v>
      </c>
      <c r="JB25" s="409"/>
      <c r="JC25" s="398">
        <f>IF(JB25=0,0,IF(LEN(IM25)=11,_xlfn.XLOOKUP(IM25,'Dispensed Ink Rates'!C:C,'Dispensed Ink Rates'!CS:CS),VLOOKUP(IM25,'Jan-2026 rates'!$E:$F,2,0)))</f>
        <v>0</v>
      </c>
      <c r="JD25" s="409" t="s">
        <v>1881</v>
      </c>
      <c r="JE25" s="409">
        <v>30</v>
      </c>
      <c r="JF25" s="411">
        <f t="shared" si="25"/>
        <v>0</v>
      </c>
      <c r="JG25" s="411">
        <f t="shared" si="26"/>
        <v>6.0961538461538467</v>
      </c>
      <c r="JH25" s="410">
        <f t="shared" si="27"/>
        <v>0</v>
      </c>
      <c r="JI25" s="405" t="s">
        <v>856</v>
      </c>
      <c r="JJ25" s="409" t="s">
        <v>2689</v>
      </c>
      <c r="JK25" s="420" t="str">
        <f t="shared" si="28"/>
        <v>ToyoLi - WHITE</v>
      </c>
      <c r="JL25" s="409">
        <v>15</v>
      </c>
      <c r="JM25" s="411">
        <f>IF(JL25=0,0,IF($LB25=70%,VLOOKUP($JK25,'Jan-2026 rates'!$L:$R,4,0),IF($LB25=65%,VLOOKUP($JK25,'Jan-2026 rates'!$L:$R,4,0),IF($LB25=40%,VLOOKUP($JK25,'Jan-2026 rates'!$L:$R,5,0),IF($LB25=30%,VLOOKUP($JK25,'Jan-2026 rates'!$L:$R,6,0),IF($LB25=100%,VLOOKUP($JK25,'Jan-2026 rates'!$L:$R,7,0),IF($LB25=60%,VLOOKUP($JK25,'Jan-2026 rates'!$L:$S,8,0),IF($LB25=80%,VLOOKUP($JK25,'Jan-2026 rates'!L:T,9,0),0))))))))</f>
        <v>0</v>
      </c>
      <c r="JN25" s="412"/>
      <c r="JO25" s="409"/>
      <c r="JP25" s="411">
        <f>IF(JO25=0,0,IF($LB25=70%,VLOOKUP($JK25,'Jan-2026 rates'!$L:$R,4,0),IF($LB25=65%,VLOOKUP($JK25,'Jan-2026 rates'!$L:$R,4,0),IF($LB25=40%,VLOOKUP($JK25,'Jan-2026 rates'!$L:$R,5,0),IF($LB25=30%,VLOOKUP($JK25,'Jan-2026 rates'!$L:$R,6,0),IF($LB25=100%,VLOOKUP($JK25,'Jan-2026 rates'!$L:$R,7,0),IF($LB25=60%,VLOOKUP($JK25,'Jan-2026 rates'!$L:$S,8,0),IF($LB25=80%,VLOOKUP($JK25,'Jan-2026 rates'!L:T,9,0),0))))))))</f>
        <v>0</v>
      </c>
      <c r="JQ25" s="413" t="s">
        <v>1249</v>
      </c>
      <c r="JR25" s="412"/>
      <c r="JS25" s="413"/>
      <c r="JT25" s="413"/>
      <c r="JU25" s="412"/>
      <c r="JV25" s="412"/>
      <c r="JW25" s="412"/>
      <c r="JX25" s="412"/>
      <c r="JY25" s="409">
        <v>40</v>
      </c>
      <c r="JZ25" s="398">
        <f>IF(JY25=0,0,IF(LEN(JQ25)=11,_xlfn.XLOOKUP(JQ25,'Dispensed Ink Rates'!C:C,'Dispensed Ink Rates'!CS:CS),VLOOKUP(JQ25,'Jan-2026 rates'!$E:$F,2,0)))</f>
        <v>0</v>
      </c>
      <c r="KA25" s="409"/>
      <c r="KB25" s="398">
        <f>IF(KA25=0,0,IF(LEN(JR25)=11,_xlfn.XLOOKUP(JR25,'Dispensed Ink Rates'!C:C,'Dispensed Ink Rates'!CS:CS),VLOOKUP(JR25,'Jan-2026 rates'!$E:$F,2,0)))</f>
        <v>0</v>
      </c>
      <c r="KC25" s="409"/>
      <c r="KD25" s="398">
        <f>IF(KC25=0,0,IF(LEN(JS25)=11,_xlfn.XLOOKUP(JS25,'Dispensed Ink Rates'!C:C,'Dispensed Ink Rates'!CS:CS),VLOOKUP(JS25,'Jan-2026 rates'!$E:$F,2,0)))</f>
        <v>0</v>
      </c>
      <c r="KE25" s="409"/>
      <c r="KF25" s="398">
        <f>IF(KE25=0,0,IF(LEN(JT25)=11,_xlfn.XLOOKUP(JT25,'Dispensed Ink Rates'!C:C,'Dispensed Ink Rates'!CS:CS),VLOOKUP(JT25,'Jan-2026 rates'!$E:$F,2,0)))</f>
        <v>0</v>
      </c>
      <c r="KG25" s="409"/>
      <c r="KH25" s="398">
        <f>IF(KG25=0,0,IF(LEN(JU25)=11,_xlfn.XLOOKUP(JU25,'Dispensed Ink Rates'!C:C,'Dispensed Ink Rates'!CS:CS),VLOOKUP(JU25,'Jan-2026 rates'!$E:$F,2,0)))</f>
        <v>0</v>
      </c>
      <c r="KI25" s="409"/>
      <c r="KJ25" s="398">
        <f>IF(KI25=0,0,IF(LEN(JV25)=11,_xlfn.XLOOKUP(JV25,'Dispensed Ink Rates'!C:C,'Dispensed Ink Rates'!CS:CS),VLOOKUP(JV25,'Jan-2026 rates'!$E:$F,2,0)))</f>
        <v>0</v>
      </c>
      <c r="KK25" s="409"/>
      <c r="KL25" s="398">
        <f>IF(KK25=0,0,IF(LEN(JW25)=11,_xlfn.XLOOKUP(JW25,'Dispensed Ink Rates'!C:C,'Dispensed Ink Rates'!CS:CS),VLOOKUP(JW25,'Jan-2026 rates'!$E:$F,2,0)))</f>
        <v>0</v>
      </c>
      <c r="KM25" s="428"/>
      <c r="KN25" s="398">
        <f>IF(KM25=0,0,IF(LEN(JX25)=11,_xlfn.XLOOKUP(JX25,'Dispensed Ink Rates'!C:C,'Dispensed Ink Rates'!CS:CS),VLOOKUP(JX25,'Jan-2026 rates'!$E:$F,2,0)))</f>
        <v>0</v>
      </c>
      <c r="KO25" s="409" t="s">
        <v>1881</v>
      </c>
      <c r="KP25" s="409">
        <v>20</v>
      </c>
      <c r="KQ25" s="411">
        <f t="shared" si="29"/>
        <v>0</v>
      </c>
      <c r="KR25" s="411">
        <f t="shared" si="30"/>
        <v>62.307692307692307</v>
      </c>
      <c r="KS25" s="410">
        <f t="shared" si="31"/>
        <v>0</v>
      </c>
      <c r="KT25" s="409">
        <v>1</v>
      </c>
      <c r="KU25" s="409">
        <v>10</v>
      </c>
      <c r="KV25" s="409">
        <v>2</v>
      </c>
      <c r="KW25" s="409">
        <v>12</v>
      </c>
      <c r="KX25" s="409">
        <v>2</v>
      </c>
      <c r="KY25" s="409">
        <v>2</v>
      </c>
      <c r="KZ25" s="409">
        <v>3</v>
      </c>
      <c r="LA25" s="409">
        <v>20</v>
      </c>
      <c r="LB25" s="415">
        <v>0.3</v>
      </c>
      <c r="LC25" s="415"/>
      <c r="LD25" s="415"/>
      <c r="LE25" s="415">
        <v>0.5</v>
      </c>
      <c r="LF25" s="415">
        <v>0.2</v>
      </c>
      <c r="LG25" s="409">
        <v>0</v>
      </c>
      <c r="LH25" s="409">
        <f>20+11+12+20+8</f>
        <v>71</v>
      </c>
      <c r="LI25" s="409">
        <v>0</v>
      </c>
      <c r="LJ25" s="409">
        <v>0</v>
      </c>
      <c r="LK25" s="416">
        <f t="shared" si="32"/>
        <v>71</v>
      </c>
      <c r="LL25" s="416">
        <f t="shared" si="33"/>
        <v>71</v>
      </c>
      <c r="LM25" s="417">
        <f t="shared" si="34"/>
        <v>21.3</v>
      </c>
      <c r="LN25" s="417">
        <f>VLOOKUP($LM$8,'Jan-2026 rates'!$H:$I,2,0)</f>
        <v>0</v>
      </c>
      <c r="LO25" s="417">
        <f t="shared" si="35"/>
        <v>0</v>
      </c>
      <c r="LP25" s="417">
        <f>VLOOKUP($LO$8,'Jan-2026 rates'!$H:$I,2,0)</f>
        <v>0</v>
      </c>
      <c r="LQ25" s="417">
        <f t="shared" si="36"/>
        <v>0</v>
      </c>
      <c r="LR25" s="417">
        <f>VLOOKUP($LQ$8,'Jan-2026 rates'!$H:$I,2,0)</f>
        <v>0</v>
      </c>
      <c r="LS25" s="417">
        <f t="shared" si="37"/>
        <v>35.5</v>
      </c>
      <c r="LT25" s="417">
        <f>VLOOKUP($LS$8,'Jan-2026 rates'!$H:$I,2,0)</f>
        <v>0</v>
      </c>
      <c r="LU25" s="417">
        <f t="shared" si="38"/>
        <v>14.200000000000001</v>
      </c>
      <c r="LV25" s="417">
        <f>VLOOKUP($LU$8,'Jan-2026 rates'!$H:$I,2,0)</f>
        <v>0</v>
      </c>
      <c r="LW25" s="417">
        <f t="shared" si="39"/>
        <v>0</v>
      </c>
      <c r="LX25" s="417">
        <f t="shared" si="40"/>
        <v>0</v>
      </c>
      <c r="LY25" s="418">
        <f t="shared" si="41"/>
        <v>0</v>
      </c>
      <c r="LZ25" s="417"/>
      <c r="MA25" s="435">
        <f t="shared" si="42"/>
        <v>98</v>
      </c>
      <c r="MB25" s="282">
        <f t="shared" si="43"/>
        <v>115</v>
      </c>
      <c r="MC25" s="283" t="s">
        <v>1954</v>
      </c>
      <c r="MD25" s="284" t="str">
        <f t="shared" si="44"/>
        <v>ToyoLiToyoLiToyoLiToyoLiToyoLiToyoLiToyoLiToyoLi</v>
      </c>
      <c r="ME25" s="293" t="str">
        <f t="shared" si="45"/>
        <v>+</v>
      </c>
      <c r="MF25" s="293" t="str">
        <f t="shared" si="46"/>
        <v>+</v>
      </c>
      <c r="MG25" s="293" t="str">
        <f t="shared" si="47"/>
        <v>+</v>
      </c>
      <c r="MH25" s="293" t="str">
        <f t="shared" si="48"/>
        <v>+</v>
      </c>
      <c r="MI25" s="293" t="str">
        <f t="shared" si="49"/>
        <v>+</v>
      </c>
      <c r="MJ25" s="293" t="str">
        <f t="shared" si="50"/>
        <v>+</v>
      </c>
      <c r="MK25" s="293" t="str">
        <f t="shared" si="51"/>
        <v>+</v>
      </c>
      <c r="ML25" s="293" t="str">
        <f t="shared" si="52"/>
        <v>+</v>
      </c>
      <c r="MM25" s="3" t="b">
        <f t="array" ref="MM25">OR(ME25:ML25="-")</f>
        <v>0</v>
      </c>
      <c r="MN25" s="285"/>
      <c r="MO25" s="401"/>
      <c r="MP25" s="286"/>
      <c r="MQ25" s="286"/>
      <c r="MR25" s="402"/>
      <c r="MS25" s="400"/>
      <c r="NH25" s="422"/>
      <c r="NJ25" s="421"/>
    </row>
    <row r="26" spans="1:374" s="1" customFormat="1" ht="16.5">
      <c r="A26" s="403">
        <v>46026</v>
      </c>
      <c r="B26" s="404" t="s">
        <v>1015</v>
      </c>
      <c r="C26" s="405" t="s">
        <v>2690</v>
      </c>
      <c r="D26" s="406" t="s">
        <v>1955</v>
      </c>
      <c r="E26" s="404">
        <v>111</v>
      </c>
      <c r="F26" s="407">
        <v>5700</v>
      </c>
      <c r="G26" s="407" t="s">
        <v>1016</v>
      </c>
      <c r="H26" s="408" t="s">
        <v>1017</v>
      </c>
      <c r="I26" s="409">
        <v>1.8</v>
      </c>
      <c r="J26" s="405" t="s">
        <v>543</v>
      </c>
      <c r="K26" s="404" t="s">
        <v>2691</v>
      </c>
      <c r="L26" s="419" t="str">
        <f t="shared" si="0"/>
        <v>ToyoLi - BLACK</v>
      </c>
      <c r="M26" s="404">
        <v>24</v>
      </c>
      <c r="N26" s="410">
        <f>IF(M26=0,0,IF($LB26=70%,VLOOKUP($L26,'Jan-2026 rates'!$L:$R,4,0),IF($LB26=65%,VLOOKUP($L26,'Jan-2026 rates'!$L:$R,4,0),IF($LB26=40%,VLOOKUP($L26,'Jan-2026 rates'!$L:$R,5,0),IF($LB26=30%,VLOOKUP($L26,'Jan-2026 rates'!$L:$R,6,0),IF($LB26=100%,VLOOKUP($L26,'Jan-2026 rates'!$L:$R,7,0),IF($LB26=60%,VLOOKUP($L26,'Jan-2026 rates'!$L:$S,8,0),IF($LB26=80%,VLOOKUP($L26,'Jan-2026 rates'!L:T,9,0),0))))))))</f>
        <v>0</v>
      </c>
      <c r="O26" s="406"/>
      <c r="P26" s="404"/>
      <c r="Q26" s="410">
        <f>IF(P26=0,0,IF($LB26=70%,VLOOKUP($L26,'Jan-2026 rates'!$L:$R,4,0),IF($LB26=65%,VLOOKUP($L26,'Jan-2026 rates'!$L:$R,4,0),IF($LB26=40%,VLOOKUP($L26,'Jan-2026 rates'!$L:$R,5,0),IF($LB26=30%,VLOOKUP($L26,'Jan-2026 rates'!$L:$R,6,0),IF($LB26=100%,VLOOKUP($L26,'Jan-2026 rates'!$L:$R,7,0),IF($LB26=60%,VLOOKUP($L26,'Jan-2026 rates'!$L:$S,8,0),IF($LB26=80%,VLOOKUP($L26,'Jan-2026 rates'!L:T,9,0),0))))))))</f>
        <v>0</v>
      </c>
      <c r="R26" s="406" t="s">
        <v>1252</v>
      </c>
      <c r="S26" s="406"/>
      <c r="T26" s="406"/>
      <c r="U26" s="406"/>
      <c r="V26" s="406"/>
      <c r="W26" s="406"/>
      <c r="X26" s="406"/>
      <c r="Y26" s="406"/>
      <c r="Z26" s="404">
        <v>2</v>
      </c>
      <c r="AA26" s="398">
        <f>IF(Z26=0,0,IF(LEN(R26)=11,_xlfn.XLOOKUP(R26,'Dispensed Ink Rates'!C:C,'Dispensed Ink Rates'!CS:CS),VLOOKUP(R26,'Jan-2026 rates'!$E:$F,2,0)))</f>
        <v>0</v>
      </c>
      <c r="AB26" s="404"/>
      <c r="AC26" s="398">
        <f>IF(AB26=0,0,IF(LEN(S26)=11,_xlfn.XLOOKUP(S26,'Dispensed Ink Rates'!C:C,'Dispensed Ink Rates'!CS:CS),VLOOKUP(S26,'Jan-2026 rates'!$E:$F,2,0)))</f>
        <v>0</v>
      </c>
      <c r="AD26" s="404"/>
      <c r="AE26" s="398">
        <f>IF(AD26=0,0,IF(LEN(T26)=11,_xlfn.XLOOKUP(T26,'Dispensed Ink Rates'!C:C,'Dispensed Ink Rates'!CS:CS),VLOOKUP(T26,'Jan-2026 rates'!$E:$F,2,0)))</f>
        <v>0</v>
      </c>
      <c r="AF26" s="404"/>
      <c r="AG26" s="398">
        <f>IF(AF26=0,0,IF(LEN(U26)=11,_xlfn.XLOOKUP(U26,'Dispensed Ink Rates'!C:C,'Dispensed Ink Rates'!CS:CS),VLOOKUP(U26,'Jan-2026 rates'!$E:$F,2,0)))</f>
        <v>0</v>
      </c>
      <c r="AH26" s="404"/>
      <c r="AI26" s="398">
        <f>IF(AH26=0,0,IF(LEN(V26)=11,_xlfn.XLOOKUP(V26,'Dispensed Ink Rates'!C:C,'Dispensed Ink Rates'!CS:CS),VLOOKUP(V26,'Jan-2026 rates'!$E:$F,2,0)))</f>
        <v>0</v>
      </c>
      <c r="AJ26" s="404"/>
      <c r="AK26" s="398">
        <f>IF(AJ26=0,0,IF(LEN(W26)=11,_xlfn.XLOOKUP(W26,'Dispensed Ink Rates'!C:C,'Dispensed Ink Rates'!CS:CS),VLOOKUP(W26,'Jan-2026 rates'!$E:$F,2,0)))</f>
        <v>0</v>
      </c>
      <c r="AL26" s="404"/>
      <c r="AM26" s="398">
        <f>IF(AL26=0,0,IF(LEN(X26)=11,_xlfn.XLOOKUP(X26,'Dispensed Ink Rates'!C:C,'Dispensed Ink Rates'!CS:CS),VLOOKUP(X26,'Jan-2026 rates'!$E:$F,2,0)))</f>
        <v>0</v>
      </c>
      <c r="AN26" s="404"/>
      <c r="AO26" s="398">
        <f>IF(AN26=0,0,IF(LEN(Y26)=11,_xlfn.XLOOKUP(Y26,'Dispensed Ink Rates'!C:C,'Dispensed Ink Rates'!CS:CS),VLOOKUP(Y26,'Jan-2026 rates'!$E:$F,2,0)))</f>
        <v>0</v>
      </c>
      <c r="AP26" s="409" t="s">
        <v>1881</v>
      </c>
      <c r="AQ26" s="409">
        <v>25</v>
      </c>
      <c r="AR26" s="410">
        <f t="shared" si="1"/>
        <v>0</v>
      </c>
      <c r="AS26" s="411">
        <f t="shared" si="2"/>
        <v>5</v>
      </c>
      <c r="AT26" s="410">
        <f t="shared" si="3"/>
        <v>0</v>
      </c>
      <c r="AU26" s="405" t="s">
        <v>546</v>
      </c>
      <c r="AV26" s="409" t="s">
        <v>2691</v>
      </c>
      <c r="AW26" s="420" t="str">
        <f t="shared" si="4"/>
        <v>ToyoLi - REFLEX BLUE</v>
      </c>
      <c r="AX26" s="409">
        <v>23</v>
      </c>
      <c r="AY26" s="411">
        <f>IF(AX26=0,0,IF($LB26=70%,VLOOKUP($AW26,'Jan-2026 rates'!$L:$R,4,0),IF($LB26=65%,VLOOKUP($AW26,'Jan-2026 rates'!$L:$R,4,0),IF($LB26=40%,VLOOKUP($AW26,'Jan-2026 rates'!$L:$R,5,0),IF($LB26=30%,VLOOKUP($AW26,'Jan-2026 rates'!$L:$R,6,0),IF($LB26=100%,VLOOKUP($AW26,'Jan-2026 rates'!$L:$R,7,0),IF($LB26=60%,VLOOKUP($AW26,'Jan-2026 rates'!$L:$S,8,0),IF($LB26=80%,VLOOKUP($AW26,'Jan-2026 rates'!L:T,9,0),0))))))))</f>
        <v>0</v>
      </c>
      <c r="AZ26" s="412"/>
      <c r="BA26" s="409"/>
      <c r="BB26" s="411">
        <f>IF(BA26=0,0,IF($LB26=70%,VLOOKUP($AW26,'Jan-2026 rates'!$L:$R,4,0),IF($LB26=65%,VLOOKUP($AW26,'Jan-2026 rates'!$L:$R,4,0),IF($LB26=40%,VLOOKUP($AW26,'Jan-2026 rates'!$L:$R,5,0),IF($LB26=30%,VLOOKUP($AW26,'Jan-2026 rates'!$L:$R,6,0),IF($LB26=100%,VLOOKUP($AW26,'Jan-2026 rates'!$L:$R,7,0),IF($LB26=60%,VLOOKUP($AW26,'Jan-2026 rates'!$L:$S,8,0),IF($LB26=80%,VLOOKUP($AW26,'Jan-2026 rates'!L:T,9,0),0))))))))</f>
        <v>0</v>
      </c>
      <c r="BC26" s="413" t="s">
        <v>1880</v>
      </c>
      <c r="BD26" s="412" t="s">
        <v>1252</v>
      </c>
      <c r="BE26" s="412" t="s">
        <v>1247</v>
      </c>
      <c r="BF26" s="413"/>
      <c r="BG26" s="412"/>
      <c r="BH26" s="412"/>
      <c r="BI26" s="412"/>
      <c r="BJ26" s="412"/>
      <c r="BK26" s="409">
        <v>5</v>
      </c>
      <c r="BL26" s="398">
        <f>IF(BK26=0,0,IF(LEN(BC26)=11,_xlfn.XLOOKUP(BC26,'Dispensed Ink Rates'!C:C,'Dispensed Ink Rates'!CS:CS),VLOOKUP(BC26,'Jan-2026 rates'!$E:$F,2,0)))</f>
        <v>0</v>
      </c>
      <c r="BM26" s="409">
        <v>0.2</v>
      </c>
      <c r="BN26" s="398">
        <f>IF(BM26=0,0,IF(LEN(BD26)=11,_xlfn.XLOOKUP(BD26,'Dispensed Ink Rates'!C:C,'Dispensed Ink Rates'!CS:CS),VLOOKUP(BD26,'Jan-2026 rates'!$E:$F,2,0)))</f>
        <v>0</v>
      </c>
      <c r="BO26" s="409">
        <v>0.1</v>
      </c>
      <c r="BP26" s="398">
        <f>IF(BO26=0,0,IF(LEN(BE26)=11,_xlfn.XLOOKUP(BE26,'Dispensed Ink Rates'!C:C,'Dispensed Ink Rates'!CS:CS),VLOOKUP(BE26,'Jan-2026 rates'!$E:$F,2,0)))</f>
        <v>0</v>
      </c>
      <c r="BQ26" s="409"/>
      <c r="BR26" s="398">
        <f>IF(BQ26=0,0,IF(LEN(BF26)=11,_xlfn.XLOOKUP(BF26,'Dispensed Ink Rates'!C:C,'Dispensed Ink Rates'!CS:CS),VLOOKUP(BF26,'Jan-2026 rates'!$E:$F,2,0)))</f>
        <v>0</v>
      </c>
      <c r="BS26" s="409"/>
      <c r="BT26" s="398">
        <f>IF(BS26=0,0,IF(LEN(BG26)=11,_xlfn.XLOOKUP(BG26,'Dispensed Ink Rates'!C:C,'Dispensed Ink Rates'!CS:CS),VLOOKUP(BG26,'Jan-2026 rates'!$E:$F,2,0)))</f>
        <v>0</v>
      </c>
      <c r="BU26" s="409"/>
      <c r="BV26" s="398">
        <f>IF(BU26=0,0,IF(LEN(BH26)=11,_xlfn.XLOOKUP(BH26,'Dispensed Ink Rates'!C:C,'Dispensed Ink Rates'!CS:CS),VLOOKUP(BH26,'Jan-2026 rates'!$E:$F,2,0)))</f>
        <v>0</v>
      </c>
      <c r="BW26" s="409"/>
      <c r="BX26" s="398">
        <f>IF(BW26=0,0,IF(LEN(BI26)=11,_xlfn.XLOOKUP(BI26,'Dispensed Ink Rates'!C:C,'Dispensed Ink Rates'!CS:CS),VLOOKUP(BI26,'Jan-2026 rates'!$E:$F,2,0)))</f>
        <v>0</v>
      </c>
      <c r="BY26" s="409"/>
      <c r="BZ26" s="398">
        <f>IF(BY26=0,0,IF(LEN(BJ26)=11,_xlfn.XLOOKUP(BJ26,'Dispensed Ink Rates'!C:C,'Dispensed Ink Rates'!CS:CS),VLOOKUP(BJ26,'Jan-2026 rates'!$E:$F,2,0)))</f>
        <v>0</v>
      </c>
      <c r="CA26" s="409" t="s">
        <v>1881</v>
      </c>
      <c r="CB26" s="409">
        <v>20</v>
      </c>
      <c r="CC26" s="411">
        <f t="shared" si="5"/>
        <v>0</v>
      </c>
      <c r="CD26" s="411">
        <f t="shared" si="6"/>
        <v>12.299999999999997</v>
      </c>
      <c r="CE26" s="410">
        <f t="shared" si="7"/>
        <v>0</v>
      </c>
      <c r="CF26" s="404" t="s">
        <v>547</v>
      </c>
      <c r="CG26" s="409" t="s">
        <v>2581</v>
      </c>
      <c r="CH26" s="420" t="str">
        <f t="shared" si="8"/>
        <v>ToyoLi - GREEN</v>
      </c>
      <c r="CI26" s="409">
        <v>18</v>
      </c>
      <c r="CJ26" s="411">
        <f>IF(CI26=0,0,IF($LB26=70%,VLOOKUP($CH26,'Jan-2026 rates'!$L:$R,4,0),IF($LB26=65%,VLOOKUP($CH26,'Jan-2026 rates'!$L:$R,4,0),IF($LB26=40%,VLOOKUP($CH26,'Jan-2026 rates'!$L:$R,5,0),IF($LB26=30%,VLOOKUP($CH26,'Jan-2026 rates'!$L:$R,6,0),IF($LB26=100%,VLOOKUP($CH26,'Jan-2026 rates'!$L:$R,7,0),IF($LB26=60%,VLOOKUP($CH26,'Jan-2026 rates'!$L:$S,8,0),IF($LB26=80%,VLOOKUP($CH26,'Jan-2026 rates'!L:T,9,0),0))))))))</f>
        <v>0</v>
      </c>
      <c r="CK26" s="412" t="s">
        <v>2692</v>
      </c>
      <c r="CL26" s="409">
        <v>14</v>
      </c>
      <c r="CM26" s="411">
        <f>IF(CL26=0,0,IF($LB26=70%,VLOOKUP($CH26,'Jan-2026 rates'!$L:$R,4,0),IF($LB26=65%,VLOOKUP($CH26,'Jan-2026 rates'!$L:$R,4,0),IF($LB26=40%,VLOOKUP($CH26,'Jan-2026 rates'!$L:$R,5,0),IF($LB26=30%,VLOOKUP($CH26,'Jan-2026 rates'!$L:$R,6,0),IF($LB26=100%,VLOOKUP($CH26,'Jan-2026 rates'!$L:$R,7,0),IF($LB26=60%,VLOOKUP($CH26,'Jan-2026 rates'!$L:$S,8,0),IF($LB26=80%,VLOOKUP($CH26,'Jan-2026 rates'!L:T,9,0),0))))))))</f>
        <v>0</v>
      </c>
      <c r="CN26" s="426" t="s">
        <v>1247</v>
      </c>
      <c r="CO26" s="427" t="s">
        <v>1251</v>
      </c>
      <c r="CP26" s="426"/>
      <c r="CQ26" s="426"/>
      <c r="CR26" s="428"/>
      <c r="CS26" s="428"/>
      <c r="CT26" s="428"/>
      <c r="CU26" s="428"/>
      <c r="CV26" s="409">
        <v>5</v>
      </c>
      <c r="CW26" s="398">
        <f>IF(CV26=0,0,IF(LEN(CN26)=11,_xlfn.XLOOKUP(CN26,'Dispensed Ink Rates'!C:C,'Dispensed Ink Rates'!CS:CS),VLOOKUP(CN26,'Jan-2026 rates'!$E:$F,2,0)))</f>
        <v>0</v>
      </c>
      <c r="CX26" s="409">
        <v>5</v>
      </c>
      <c r="CY26" s="398">
        <f>IF(CX26=0,0,IF(LEN(CO26)=11,_xlfn.XLOOKUP(CO26,'Dispensed Ink Rates'!C:C,'Dispensed Ink Rates'!CS:CS),VLOOKUP(CO26,'Jan-2026 rates'!$E:$F,2,0)))</f>
        <v>0</v>
      </c>
      <c r="CZ26" s="409"/>
      <c r="DA26" s="398">
        <f>IF(CZ26=0,0,IF(LEN(CP26)=11,_xlfn.XLOOKUP(CP26,'Dispensed Ink Rates'!C:C,'Dispensed Ink Rates'!CS:CS),VLOOKUP(CP26,'Jan-2026 rates'!$E:$F,2,0)))</f>
        <v>0</v>
      </c>
      <c r="DB26" s="409"/>
      <c r="DC26" s="398">
        <f>IF(DB26=0,0,IF(LEN(CQ26)=11,_xlfn.XLOOKUP(CQ26,'Dispensed Ink Rates'!C:C,'Dispensed Ink Rates'!CS:CS),VLOOKUP(CQ26,'Jan-2026 rates'!$E:$F,2,0)))</f>
        <v>0</v>
      </c>
      <c r="DD26" s="409"/>
      <c r="DE26" s="398">
        <f>IF(DD26=0,0,IF(LEN(CR26)=11,_xlfn.XLOOKUP(CR26,'Dispensed Ink Rates'!C:C,'Dispensed Ink Rates'!CS:CS),VLOOKUP(CR26,'Jan-2026 rates'!$E:$F,2,0)))</f>
        <v>0</v>
      </c>
      <c r="DF26" s="409"/>
      <c r="DG26" s="398">
        <f>IF(DF26=0,0,IF(LEN(CS26)=11,_xlfn.XLOOKUP(CS26,'Dispensed Ink Rates'!C:C,'Dispensed Ink Rates'!CS:CS),VLOOKUP(CS26,'Jan-2026 rates'!$E:$F,2,0)))</f>
        <v>0</v>
      </c>
      <c r="DH26" s="409"/>
      <c r="DI26" s="398">
        <f>IF(DH26=0,0,IF(LEN(CT26)=11,_xlfn.XLOOKUP(CT26,'Dispensed Ink Rates'!C:C,'Dispensed Ink Rates'!CS:CS),VLOOKUP(CT26,'Jan-2026 rates'!$E:$F,2,0)))</f>
        <v>0</v>
      </c>
      <c r="DJ26" s="409"/>
      <c r="DK26" s="398">
        <f>IF(DJ26=0,0,IF(LEN(CU26)=11,_xlfn.XLOOKUP(CU26,'Dispensed Ink Rates'!C:C,'Dispensed Ink Rates'!CS:CS),VLOOKUP(CU26,'Jan-2026 rates'!$E:$F,2,0)))</f>
        <v>0</v>
      </c>
      <c r="DL26" s="409" t="s">
        <v>1881</v>
      </c>
      <c r="DM26" s="409">
        <f>7+17</f>
        <v>24</v>
      </c>
      <c r="DN26" s="411">
        <f t="shared" si="9"/>
        <v>0</v>
      </c>
      <c r="DO26" s="411">
        <f t="shared" si="10"/>
        <v>22</v>
      </c>
      <c r="DP26" s="410">
        <f t="shared" si="11"/>
        <v>0</v>
      </c>
      <c r="DQ26" s="405" t="s">
        <v>547</v>
      </c>
      <c r="DR26" s="409" t="s">
        <v>2693</v>
      </c>
      <c r="DS26" s="420" t="str">
        <f t="shared" si="12"/>
        <v>ToyoLi - GREEN</v>
      </c>
      <c r="DT26" s="409">
        <v>10</v>
      </c>
      <c r="DU26" s="411">
        <f>IF(DT26=0,0,IF($LB26=70%,VLOOKUP($DS26,'Jan-2026 rates'!$L:$R,4,0),IF($LB26=65%,VLOOKUP($DS26,'Jan-2026 rates'!$L:$R,4,0),IF($LB26=40%,VLOOKUP($DS26,'Jan-2026 rates'!$L:$R,5,0),IF($LB26=30%,VLOOKUP($DS26,'Jan-2026 rates'!$L:$R,6,0),IF($LB26=100%,VLOOKUP($DS26,'Jan-2026 rates'!$L:$R,7,0),IF($LB26=60%,VLOOKUP($DS26,'Jan-2026 rates'!$L:$S,8,0),IF($LB26=80%,VLOOKUP($DS26,'Jan-2026 rates'!L:T,9,0),0))))))))</f>
        <v>0</v>
      </c>
      <c r="DV26" s="412"/>
      <c r="DW26" s="409"/>
      <c r="DX26" s="411">
        <f>IF(DW26=0,0,IF($LB26=70%,VLOOKUP($DS26,'Jan-2026 rates'!$L:$R,4,0),IF($LB26=65%,VLOOKUP($DS26,'Jan-2026 rates'!$L:$R,4,0),IF($LB26=40%,VLOOKUP($DS26,'Jan-2026 rates'!$L:$R,5,0),IF($LB26=30%,VLOOKUP($DS26,'Jan-2026 rates'!$L:$R,6,0),IF($LB26=100%,VLOOKUP($DS26,'Jan-2026 rates'!$L:$R,7,0),IF($LB26=60%,VLOOKUP($DS26,'Jan-2026 rates'!$L:$S,8,0),IF($LB26=80%,VLOOKUP($DS26,'Jan-2026 rates'!L:T,9,0),0))))))))</f>
        <v>0</v>
      </c>
      <c r="DY26" s="413" t="s">
        <v>1251</v>
      </c>
      <c r="DZ26" s="413" t="s">
        <v>1247</v>
      </c>
      <c r="EA26" s="412"/>
      <c r="EB26" s="412"/>
      <c r="EC26" s="412"/>
      <c r="ED26" s="412"/>
      <c r="EE26" s="412"/>
      <c r="EF26" s="412"/>
      <c r="EG26" s="409">
        <f>5+2</f>
        <v>7</v>
      </c>
      <c r="EH26" s="398">
        <f>IF(EG26=0,0,IF(LEN(DY26)=11,_xlfn.XLOOKUP(DY26,'Dispensed Ink Rates'!C:C,'Dispensed Ink Rates'!CS:CS),VLOOKUP(DY26,'Jan-2026 rates'!$E:$F,2,0)))</f>
        <v>0</v>
      </c>
      <c r="EI26" s="409">
        <f>4+2</f>
        <v>6</v>
      </c>
      <c r="EJ26" s="398">
        <f>IF(EI26=0,0,IF(LEN(DZ26)=11,_xlfn.XLOOKUP(DZ26,'Dispensed Ink Rates'!C:C,'Dispensed Ink Rates'!CS:CS),VLOOKUP(DZ26,'Jan-2026 rates'!$E:$F,2,0)))</f>
        <v>0</v>
      </c>
      <c r="EK26" s="409"/>
      <c r="EL26" s="398">
        <f>IF(EK26=0,0,IF(LEN(EA26)=11,_xlfn.XLOOKUP(EA26,'Dispensed Ink Rates'!C:C,'Dispensed Ink Rates'!CS:CS),VLOOKUP(EA26,'Jan-2026 rates'!$E:$F,2,0)))</f>
        <v>0</v>
      </c>
      <c r="EM26" s="409"/>
      <c r="EN26" s="398">
        <f>IF(EM26=0,0,IF(LEN(EB26)=11,_xlfn.XLOOKUP(EB26,'Dispensed Ink Rates'!C:C,'Dispensed Ink Rates'!CS:CS),VLOOKUP(EB26,'Jan-2026 rates'!$E:$F,2,0)))</f>
        <v>0</v>
      </c>
      <c r="EO26" s="409"/>
      <c r="EP26" s="398">
        <f>IF(EO26=0,0,IF(LEN(EC26)=11,_xlfn.XLOOKUP(EC26,'Dispensed Ink Rates'!C:C,'Dispensed Ink Rates'!CS:CS),VLOOKUP(EC26,'Jan-2026 rates'!$E:$F,2,0)))</f>
        <v>0</v>
      </c>
      <c r="EQ26" s="409"/>
      <c r="ER26" s="398">
        <f>IF(EQ26=0,0,IF(LEN(ED26)=11,_xlfn.XLOOKUP(ED26,'Dispensed Ink Rates'!C:C,'Dispensed Ink Rates'!CS:CS),VLOOKUP(ED26,'Jan-2026 rates'!$E:$F,2,0)))</f>
        <v>0</v>
      </c>
      <c r="ES26" s="409"/>
      <c r="ET26" s="398">
        <f>IF(ES26=0,0,IF(LEN(EE26)=11,_xlfn.XLOOKUP(EE26,'Dispensed Ink Rates'!C:C,'Dispensed Ink Rates'!CS:CS),VLOOKUP(EE26,'Jan-2026 rates'!$E:$F,2,0)))</f>
        <v>0</v>
      </c>
      <c r="EU26" s="409"/>
      <c r="EV26" s="398">
        <f>IF(EU26=0,0,IF(LEN(EF26)=11,_xlfn.XLOOKUP(EF26,'Dispensed Ink Rates'!C:C,'Dispensed Ink Rates'!CS:CS),VLOOKUP(EF26,'Jan-2026 rates'!$E:$F,2,0)))</f>
        <v>0</v>
      </c>
      <c r="EW26" s="409" t="s">
        <v>1881</v>
      </c>
      <c r="EX26" s="409">
        <f>9+16</f>
        <v>25</v>
      </c>
      <c r="EY26" s="411">
        <f t="shared" si="13"/>
        <v>0</v>
      </c>
      <c r="EZ26" s="411">
        <f t="shared" si="14"/>
        <v>8</v>
      </c>
      <c r="FA26" s="410">
        <f t="shared" si="15"/>
        <v>0</v>
      </c>
      <c r="FB26" s="405" t="s">
        <v>855</v>
      </c>
      <c r="FC26" s="409" t="s">
        <v>2694</v>
      </c>
      <c r="FD26" s="420" t="str">
        <f t="shared" si="16"/>
        <v>ToyoLi - CYAN</v>
      </c>
      <c r="FE26" s="409">
        <v>26</v>
      </c>
      <c r="FF26" s="411">
        <f>IF(FE26=0,0,IF($LB26=70%,VLOOKUP($FD26,'Jan-2026 rates'!$L:$R,4,0),IF($LB26=65%,VLOOKUP($FD26,'Jan-2026 rates'!$L:$R,4,0),IF($LB26=40%,VLOOKUP($FD26,'Jan-2026 rates'!$L:$R,5,0),IF($LB26=30%,VLOOKUP($FD26,'Jan-2026 rates'!$L:$R,6,0),IF($LB26=100%,VLOOKUP($FD26,'Jan-2026 rates'!$L:$R,7,0),IF($LB26=60%,VLOOKUP($FD26,'Jan-2026 rates'!$L:$S,8,0),IF($LB26=80%,VLOOKUP($FD26,'Jan-2026 rates'!L:T,9,0),0))))))))</f>
        <v>0</v>
      </c>
      <c r="FG26" s="412"/>
      <c r="FH26" s="409"/>
      <c r="FI26" s="411">
        <f>IF(FH26=0,0,IF($LB26=70%,VLOOKUP($FD26,'Jan-2026 rates'!$L:$R,4,0),IF($LB26=65%,VLOOKUP($FD26,'Jan-2026 rates'!$L:$R,4,0),IF($LB26=40%,VLOOKUP($FD26,'Jan-2026 rates'!$L:$R,5,0),IF($LB26=30%,VLOOKUP($FD26,'Jan-2026 rates'!$L:$R,6,0),IF($LB26=100%,VLOOKUP($FD26,'Jan-2026 rates'!$L:$R,7,0),IF($LB26=60%,VLOOKUP($FD26,'Jan-2026 rates'!$L:$S,8,0),IF($LB26=80%,VLOOKUP($FD26,'Jan-2026 rates'!L:T,9,0),0))))))))</f>
        <v>0</v>
      </c>
      <c r="FJ26" s="413" t="s">
        <v>1250</v>
      </c>
      <c r="FK26" s="413"/>
      <c r="FL26" s="413"/>
      <c r="FM26" s="412"/>
      <c r="FN26" s="412"/>
      <c r="FO26" s="412"/>
      <c r="FP26" s="412"/>
      <c r="FQ26" s="412"/>
      <c r="FR26" s="409">
        <v>1</v>
      </c>
      <c r="FS26" s="398">
        <f>IF(FR26=0,0,IF(LEN(FJ26)=11,_xlfn.XLOOKUP(FJ26,'Dispensed Ink Rates'!C:C,'Dispensed Ink Rates'!CS:CS),VLOOKUP(FJ26,'Jan-2026 rates'!$E:$F,2,0)))</f>
        <v>0</v>
      </c>
      <c r="FT26" s="409"/>
      <c r="FU26" s="398">
        <f>IF(FT26=0,0,IF(LEN(FK26)=11,_xlfn.XLOOKUP(FK26,'Dispensed Ink Rates'!C:C,'Dispensed Ink Rates'!CS:CS),VLOOKUP(FK26,'Jan-2026 rates'!$E:$F,2,0)))</f>
        <v>0</v>
      </c>
      <c r="FV26" s="409"/>
      <c r="FW26" s="398">
        <f>IF(FV26=0,0,IF(LEN(FL26)=11,_xlfn.XLOOKUP(FL26,'Dispensed Ink Rates'!C:C,'Dispensed Ink Rates'!CS:CS),VLOOKUP(FL26,'Jan-2026 rates'!$E:$F,2,0)))</f>
        <v>0</v>
      </c>
      <c r="FX26" s="409"/>
      <c r="FY26" s="398">
        <f>IF(FX26=0,0,IF(LEN(FM26)=11,_xlfn.XLOOKUP(FM26,'Dispensed Ink Rates'!C:C,'Dispensed Ink Rates'!CS:CS),VLOOKUP(FM26,'Jan-2026 rates'!$E:$F,2,0)))</f>
        <v>0</v>
      </c>
      <c r="FZ26" s="409"/>
      <c r="GA26" s="398">
        <f>IF(FZ26=0,0,IF(LEN(FN26)=11,_xlfn.XLOOKUP(FN26,'Dispensed Ink Rates'!C:C,'Dispensed Ink Rates'!CS:CS),VLOOKUP(FN26,'Jan-2026 rates'!$E:$F,2,0)))</f>
        <v>0</v>
      </c>
      <c r="GB26" s="409"/>
      <c r="GC26" s="398">
        <f>IF(GB26=0,0,IF(LEN(FO26)=11,_xlfn.XLOOKUP(FO26,'Dispensed Ink Rates'!C:C,'Dispensed Ink Rates'!CS:CS),VLOOKUP(FO26,'Jan-2026 rates'!$E:$F,2,0)))</f>
        <v>0</v>
      </c>
      <c r="GD26" s="409"/>
      <c r="GE26" s="398">
        <f>IF(GD26=0,0,IF(LEN(FP26)=11,_xlfn.XLOOKUP(FP26,'Dispensed Ink Rates'!C:C,'Dispensed Ink Rates'!CS:CS),VLOOKUP(FP26,'Jan-2026 rates'!$E:$F,2,0)))</f>
        <v>0</v>
      </c>
      <c r="GF26" s="409"/>
      <c r="GG26" s="398">
        <f>IF(GF26=0,0,IF(LEN(FQ26)=11,_xlfn.XLOOKUP(FQ26,'Dispensed Ink Rates'!C:C,'Dispensed Ink Rates'!CS:CS),VLOOKUP(FQ26,'Jan-2026 rates'!$E:$F,2,0)))</f>
        <v>0</v>
      </c>
      <c r="GH26" s="409" t="s">
        <v>1881</v>
      </c>
      <c r="GI26" s="409">
        <v>27</v>
      </c>
      <c r="GJ26" s="411">
        <f t="shared" si="17"/>
        <v>0</v>
      </c>
      <c r="GK26" s="411">
        <f t="shared" si="18"/>
        <v>4</v>
      </c>
      <c r="GL26" s="410">
        <f t="shared" si="19"/>
        <v>0</v>
      </c>
      <c r="GM26" s="405" t="s">
        <v>544</v>
      </c>
      <c r="GN26" s="409" t="s">
        <v>2695</v>
      </c>
      <c r="GO26" s="420" t="str">
        <f t="shared" si="20"/>
        <v>ToyoLi - MAGENTA</v>
      </c>
      <c r="GP26" s="409">
        <v>24</v>
      </c>
      <c r="GQ26" s="411">
        <f>IF(GP26=0,0,IF($LB26=70%,VLOOKUP($GO26,'Jan-2026 rates'!$L:$R,4,0),IF($LB26=65%,VLOOKUP($GO26,'Jan-2026 rates'!$L:$R,4,0),IF($LB26=40%,VLOOKUP($GO26,'Jan-2026 rates'!$L:$R,5,0),IF($LB26=30%,VLOOKUP($GO26,'Jan-2026 rates'!$L:$R,6,0),IF($LB26=100%,VLOOKUP($GO26,'Jan-2026 rates'!$L:$R,7,0),IF($LB26=60%,VLOOKUP($GO26,'Jan-2026 rates'!$L:$S,8,0),IF($LB26=80%,VLOOKUP($GO26,'Jan-2026 rates'!L:T,9,0),0))))))))</f>
        <v>0</v>
      </c>
      <c r="GR26" s="412"/>
      <c r="GS26" s="409"/>
      <c r="GT26" s="411">
        <f>IF(GS26=0,0,IF($LB26=70%,VLOOKUP($GO26,'Jan-2026 rates'!$L:$R,4,0),IF($LB26=65%,VLOOKUP($GO26,'Jan-2026 rates'!$L:$R,4,0),IF($LB26=40%,VLOOKUP($GO26,'Jan-2026 rates'!$L:$R,5,0),IF($LB26=30%,VLOOKUP($GO26,'Jan-2026 rates'!$L:$R,6,0),IF($LB26=100%,VLOOKUP($GO26,'Jan-2026 rates'!$L:$R,7,0),IF($LB26=60%,VLOOKUP($GO26,'Jan-2026 rates'!$L:$S,8,0),IF($LB26=80%,VLOOKUP($GO26,'Jan-2026 rates'!L:T,9,0),0))))))))</f>
        <v>0</v>
      </c>
      <c r="GU26" s="413"/>
      <c r="GV26" s="413"/>
      <c r="GW26" s="412"/>
      <c r="GX26" s="412"/>
      <c r="GY26" s="412"/>
      <c r="GZ26" s="412"/>
      <c r="HA26" s="412"/>
      <c r="HB26" s="412"/>
      <c r="HC26" s="409"/>
      <c r="HD26" s="398">
        <f>IF(HC26=0,0,IF(LEN(GU26)=11,_xlfn.XLOOKUP(GU26,'Dispensed Ink Rates'!C:C,'Dispensed Ink Rates'!CS:CS),VLOOKUP(GU26,'Jan-2026 rates'!$E:$F,2,0)))</f>
        <v>0</v>
      </c>
      <c r="HE26" s="409"/>
      <c r="HF26" s="398">
        <f>IF(HE26=0,0,IF(LEN(GV26)=11,_xlfn.XLOOKUP(GV26,'Dispensed Ink Rates'!C:C,'Dispensed Ink Rates'!CS:CS),VLOOKUP(GV26,'Jan-2026 rates'!$E:$F,2,0)))</f>
        <v>0</v>
      </c>
      <c r="HG26" s="409"/>
      <c r="HH26" s="398">
        <f>IF(HG26=0,0,IF(LEN(GW26)=11,_xlfn.XLOOKUP(GW26,'Dispensed Ink Rates'!C:C,'Dispensed Ink Rates'!CS:CS),VLOOKUP(GW26,'Jan-2026 rates'!$E:$F,2,0)))</f>
        <v>0</v>
      </c>
      <c r="HI26" s="409"/>
      <c r="HJ26" s="398">
        <f>IF(HI26=0,0,IF(LEN(GX26)=11,_xlfn.XLOOKUP(GX26,'Dispensed Ink Rates'!C:C,'Dispensed Ink Rates'!CS:CS),VLOOKUP(GX26,'Jan-2026 rates'!$E:$F,2,0)))</f>
        <v>0</v>
      </c>
      <c r="HK26" s="409"/>
      <c r="HL26" s="398">
        <f>IF(HK26=0,0,IF(LEN(GY26)=11,_xlfn.XLOOKUP(GY26,'Dispensed Ink Rates'!C:C,'Dispensed Ink Rates'!CS:CS),VLOOKUP(GY26,'Jan-2026 rates'!$E:$F,2,0)))</f>
        <v>0</v>
      </c>
      <c r="HM26" s="409"/>
      <c r="HN26" s="398">
        <f>IF(HM26=0,0,IF(LEN(GZ26)=11,_xlfn.XLOOKUP(GZ26,'Dispensed Ink Rates'!C:C,'Dispensed Ink Rates'!CS:CS),VLOOKUP(GZ26,'Jan-2026 rates'!$E:$F,2,0)))</f>
        <v>0</v>
      </c>
      <c r="HO26" s="409"/>
      <c r="HP26" s="398">
        <f>IF(HO26=0,0,IF(LEN(HA26)=11,_xlfn.XLOOKUP(HA26,'Dispensed Ink Rates'!C:C,'Dispensed Ink Rates'!CS:CS),VLOOKUP(HA26,'Jan-2026 rates'!$E:$F,2,0)))</f>
        <v>0</v>
      </c>
      <c r="HQ26" s="409"/>
      <c r="HR26" s="398">
        <f>IF(HQ26=0,0,IF(LEN(HB26)=11,_xlfn.XLOOKUP(HB26,'Dispensed Ink Rates'!C:C,'Dispensed Ink Rates'!CS:CS),VLOOKUP(HB26,'Jan-2026 rates'!$E:$F,2,0)))</f>
        <v>0</v>
      </c>
      <c r="HS26" s="409" t="s">
        <v>1881</v>
      </c>
      <c r="HT26" s="409">
        <v>25</v>
      </c>
      <c r="HU26" s="411">
        <f t="shared" si="21"/>
        <v>0</v>
      </c>
      <c r="HV26" s="411">
        <f t="shared" si="22"/>
        <v>5</v>
      </c>
      <c r="HW26" s="414">
        <f t="shared" si="23"/>
        <v>0</v>
      </c>
      <c r="HX26" s="405" t="s">
        <v>545</v>
      </c>
      <c r="HY26" s="409" t="s">
        <v>2696</v>
      </c>
      <c r="HZ26" s="420" t="str">
        <f t="shared" si="24"/>
        <v>ToyoLi - YELLOW</v>
      </c>
      <c r="IA26" s="409">
        <v>30</v>
      </c>
      <c r="IB26" s="411">
        <f>IF(IA26=0,0,IF($LB26=70%,VLOOKUP($HZ26,'Jan-2026 rates'!$L:$R,4,0),IF($LB26=65%,VLOOKUP($HZ26,'Jan-2026 rates'!$L:$R,4,0),IF($LB26=40%,VLOOKUP($HZ26,'Jan-2026 rates'!$L:$R,5,0),IF($LB26=30%,VLOOKUP($HZ26,'Jan-2026 rates'!$L:$R,6,0),IF($LB26=100%,VLOOKUP($HZ26,'Jan-2026 rates'!$L:$R,7,0),IF($LB26=60%,VLOOKUP($HZ26,'Jan-2026 rates'!$L:$S,8,0),IF($LB26=80%,VLOOKUP($HZ26,'Jan-2026 rates'!L:T,9,0),0))))))))</f>
        <v>0</v>
      </c>
      <c r="IC26" s="412"/>
      <c r="ID26" s="409"/>
      <c r="IE26" s="411">
        <f>IF(ID26=0,0,IF($LB26=70%,VLOOKUP($HZ26,'Jan-2026 rates'!$L:$R,4,0),IF($LB26=65%,VLOOKUP($HZ26,'Jan-2026 rates'!$L:$R,4,0),IF($LB26=40%,VLOOKUP($HZ26,'Jan-2026 rates'!$L:$R,5,0),IF($LB26=30%,VLOOKUP($HZ26,'Jan-2026 rates'!$L:$R,6,0),IF($LB26=100%,VLOOKUP($HZ26,'Jan-2026 rates'!$L:$R,7,0),IF($LB26=60%,VLOOKUP($HZ26,'Jan-2026 rates'!$L:$S,8,0),IF($LB26=80%,VLOOKUP($HZ26,'Jan-2026 rates'!L:T,9,0),0))))))))</f>
        <v>0</v>
      </c>
      <c r="IF26" s="412"/>
      <c r="IG26" s="413"/>
      <c r="IH26" s="412"/>
      <c r="II26" s="412"/>
      <c r="IJ26" s="412"/>
      <c r="IK26" s="412"/>
      <c r="IL26" s="412"/>
      <c r="IM26" s="412"/>
      <c r="IN26" s="409"/>
      <c r="IO26" s="398">
        <f>IF(IN26=0,0,IF(LEN(IF26)=11,_xlfn.XLOOKUP(IF26,'Dispensed Ink Rates'!C:C,'Dispensed Ink Rates'!CS:CS),VLOOKUP(IF26,'Jan-2026 rates'!$E:$F,2,0)))</f>
        <v>0</v>
      </c>
      <c r="IP26" s="409"/>
      <c r="IQ26" s="398">
        <f>IF(IP26=0,0,IF(LEN(IG26)=11,_xlfn.XLOOKUP(IG26,'Dispensed Ink Rates'!C:C,'Dispensed Ink Rates'!CS:CS),VLOOKUP(IG26,'Jan-2026 rates'!$E:$F,2,0)))</f>
        <v>0</v>
      </c>
      <c r="IR26" s="409"/>
      <c r="IS26" s="398">
        <f>IF(IR26=0,0,IF(LEN(IH26)=11,_xlfn.XLOOKUP(IH26,'Dispensed Ink Rates'!C:C,'Dispensed Ink Rates'!CS:CS),VLOOKUP(IH26,'Jan-2026 rates'!$E:$F,2,0)))</f>
        <v>0</v>
      </c>
      <c r="IT26" s="409"/>
      <c r="IU26" s="398">
        <f>IF(IT26=0,0,IF(LEN(II26)=11,_xlfn.XLOOKUP(II26,'Dispensed Ink Rates'!C:C,'Dispensed Ink Rates'!CS:CS),VLOOKUP(II26,'Jan-2026 rates'!$E:$F,2,0)))</f>
        <v>0</v>
      </c>
      <c r="IV26" s="409"/>
      <c r="IW26" s="398">
        <f>IF(IV26=0,0,IF(LEN(IJ26)=11,_xlfn.XLOOKUP(IJ26,'Dispensed Ink Rates'!C:C,'Dispensed Ink Rates'!CS:CS),VLOOKUP(IJ26,'Jan-2026 rates'!$E:$F,2,0)))</f>
        <v>0</v>
      </c>
      <c r="IX26" s="409"/>
      <c r="IY26" s="398">
        <f>IF(IX26=0,0,IF(LEN(IK26)=11,_xlfn.XLOOKUP(IK26,'Dispensed Ink Rates'!C:C,'Dispensed Ink Rates'!CS:CS),VLOOKUP(IK26,'Jan-2026 rates'!$E:$F,2,0)))</f>
        <v>0</v>
      </c>
      <c r="IZ26" s="409"/>
      <c r="JA26" s="398">
        <f>IF(IZ26=0,0,IF(LEN(IL26)=11,_xlfn.XLOOKUP(IL26,'Dispensed Ink Rates'!C:C,'Dispensed Ink Rates'!CS:CS),VLOOKUP(IL26,'Jan-2026 rates'!$E:$F,2,0)))</f>
        <v>0</v>
      </c>
      <c r="JB26" s="409"/>
      <c r="JC26" s="398">
        <f>IF(JB26=0,0,IF(LEN(IM26)=11,_xlfn.XLOOKUP(IM26,'Dispensed Ink Rates'!C:C,'Dispensed Ink Rates'!CS:CS),VLOOKUP(IM26,'Jan-2026 rates'!$E:$F,2,0)))</f>
        <v>0</v>
      </c>
      <c r="JD26" s="409" t="s">
        <v>1881</v>
      </c>
      <c r="JE26" s="409">
        <v>28</v>
      </c>
      <c r="JF26" s="411">
        <f t="shared" si="25"/>
        <v>0</v>
      </c>
      <c r="JG26" s="411">
        <f t="shared" si="26"/>
        <v>6</v>
      </c>
      <c r="JH26" s="410">
        <f t="shared" si="27"/>
        <v>0</v>
      </c>
      <c r="JI26" s="405" t="s">
        <v>856</v>
      </c>
      <c r="JJ26" s="409" t="s">
        <v>2697</v>
      </c>
      <c r="JK26" s="420" t="str">
        <f t="shared" si="28"/>
        <v>ToyoLi - WHITE</v>
      </c>
      <c r="JL26" s="409">
        <v>20</v>
      </c>
      <c r="JM26" s="411">
        <f>IF(JL26=0,0,IF($LB26=70%,VLOOKUP($JK26,'Jan-2026 rates'!$L:$R,4,0),IF($LB26=65%,VLOOKUP($JK26,'Jan-2026 rates'!$L:$R,4,0),IF($LB26=40%,VLOOKUP($JK26,'Jan-2026 rates'!$L:$R,5,0),IF($LB26=30%,VLOOKUP($JK26,'Jan-2026 rates'!$L:$R,6,0),IF($LB26=100%,VLOOKUP($JK26,'Jan-2026 rates'!$L:$R,7,0),IF($LB26=60%,VLOOKUP($JK26,'Jan-2026 rates'!$L:$S,8,0),IF($LB26=80%,VLOOKUP($JK26,'Jan-2026 rates'!L:T,9,0),0))))))))</f>
        <v>0</v>
      </c>
      <c r="JN26" s="412"/>
      <c r="JO26" s="409"/>
      <c r="JP26" s="411">
        <f>IF(JO26=0,0,IF($LB26=70%,VLOOKUP($JK26,'Jan-2026 rates'!$L:$R,4,0),IF($LB26=65%,VLOOKUP($JK26,'Jan-2026 rates'!$L:$R,4,0),IF($LB26=40%,VLOOKUP($JK26,'Jan-2026 rates'!$L:$R,5,0),IF($LB26=30%,VLOOKUP($JK26,'Jan-2026 rates'!$L:$R,6,0),IF($LB26=100%,VLOOKUP($JK26,'Jan-2026 rates'!$L:$R,7,0),IF($LB26=60%,VLOOKUP($JK26,'Jan-2026 rates'!$L:$S,8,0),IF($LB26=80%,VLOOKUP($JK26,'Jan-2026 rates'!L:T,9,0),0))))))))</f>
        <v>0</v>
      </c>
      <c r="JQ26" s="413" t="s">
        <v>1249</v>
      </c>
      <c r="JR26" s="412"/>
      <c r="JS26" s="413"/>
      <c r="JT26" s="413"/>
      <c r="JU26" s="412"/>
      <c r="JV26" s="412"/>
      <c r="JW26" s="412"/>
      <c r="JX26" s="412"/>
      <c r="JY26" s="409">
        <v>40</v>
      </c>
      <c r="JZ26" s="398">
        <f>IF(JY26=0,0,IF(LEN(JQ26)=11,_xlfn.XLOOKUP(JQ26,'Dispensed Ink Rates'!C:C,'Dispensed Ink Rates'!CS:CS),VLOOKUP(JQ26,'Jan-2026 rates'!$E:$F,2,0)))</f>
        <v>0</v>
      </c>
      <c r="KA26" s="409"/>
      <c r="KB26" s="398">
        <f>IF(KA26=0,0,IF(LEN(JR26)=11,_xlfn.XLOOKUP(JR26,'Dispensed Ink Rates'!C:C,'Dispensed Ink Rates'!CS:CS),VLOOKUP(JR26,'Jan-2026 rates'!$E:$F,2,0)))</f>
        <v>0</v>
      </c>
      <c r="KC26" s="409"/>
      <c r="KD26" s="398">
        <f>IF(KC26=0,0,IF(LEN(JS26)=11,_xlfn.XLOOKUP(JS26,'Dispensed Ink Rates'!C:C,'Dispensed Ink Rates'!CS:CS),VLOOKUP(JS26,'Jan-2026 rates'!$E:$F,2,0)))</f>
        <v>0</v>
      </c>
      <c r="KE26" s="409"/>
      <c r="KF26" s="398">
        <f>IF(KE26=0,0,IF(LEN(JT26)=11,_xlfn.XLOOKUP(JT26,'Dispensed Ink Rates'!C:C,'Dispensed Ink Rates'!CS:CS),VLOOKUP(JT26,'Jan-2026 rates'!$E:$F,2,0)))</f>
        <v>0</v>
      </c>
      <c r="KG26" s="409"/>
      <c r="KH26" s="398">
        <f>IF(KG26=0,0,IF(LEN(JU26)=11,_xlfn.XLOOKUP(JU26,'Dispensed Ink Rates'!C:C,'Dispensed Ink Rates'!CS:CS),VLOOKUP(JU26,'Jan-2026 rates'!$E:$F,2,0)))</f>
        <v>0</v>
      </c>
      <c r="KI26" s="409"/>
      <c r="KJ26" s="398">
        <f>IF(KI26=0,0,IF(LEN(JV26)=11,_xlfn.XLOOKUP(JV26,'Dispensed Ink Rates'!C:C,'Dispensed Ink Rates'!CS:CS),VLOOKUP(JV26,'Jan-2026 rates'!$E:$F,2,0)))</f>
        <v>0</v>
      </c>
      <c r="KK26" s="409"/>
      <c r="KL26" s="398">
        <f>IF(KK26=0,0,IF(LEN(JW26)=11,_xlfn.XLOOKUP(JW26,'Dispensed Ink Rates'!C:C,'Dispensed Ink Rates'!CS:CS),VLOOKUP(JW26,'Jan-2026 rates'!$E:$F,2,0)))</f>
        <v>0</v>
      </c>
      <c r="KM26" s="428"/>
      <c r="KN26" s="398">
        <f>IF(KM26=0,0,IF(LEN(JX26)=11,_xlfn.XLOOKUP(JX26,'Dispensed Ink Rates'!C:C,'Dispensed Ink Rates'!CS:CS),VLOOKUP(JX26,'Jan-2026 rates'!$E:$F,2,0)))</f>
        <v>0</v>
      </c>
      <c r="KO26" s="409" t="s">
        <v>1881</v>
      </c>
      <c r="KP26" s="409">
        <v>20</v>
      </c>
      <c r="KQ26" s="411">
        <f t="shared" si="29"/>
        <v>0</v>
      </c>
      <c r="KR26" s="411">
        <f t="shared" si="30"/>
        <v>76</v>
      </c>
      <c r="KS26" s="410">
        <f t="shared" si="31"/>
        <v>0</v>
      </c>
      <c r="KT26" s="409">
        <v>2</v>
      </c>
      <c r="KU26" s="409">
        <v>2</v>
      </c>
      <c r="KV26" s="409">
        <v>2</v>
      </c>
      <c r="KW26" s="409">
        <f>3+2</f>
        <v>5</v>
      </c>
      <c r="KX26" s="409">
        <v>2</v>
      </c>
      <c r="KY26" s="409">
        <v>3</v>
      </c>
      <c r="KZ26" s="409">
        <v>2</v>
      </c>
      <c r="LA26" s="409">
        <v>18</v>
      </c>
      <c r="LB26" s="415">
        <v>0.3</v>
      </c>
      <c r="LC26" s="415"/>
      <c r="LD26" s="415"/>
      <c r="LE26" s="415">
        <v>0.5</v>
      </c>
      <c r="LF26" s="415">
        <v>0.2</v>
      </c>
      <c r="LG26" s="409">
        <v>0</v>
      </c>
      <c r="LH26" s="409">
        <f>18+10+12+20+4+8</f>
        <v>72</v>
      </c>
      <c r="LI26" s="409">
        <v>0</v>
      </c>
      <c r="LJ26" s="409">
        <v>0</v>
      </c>
      <c r="LK26" s="416">
        <f t="shared" si="32"/>
        <v>72</v>
      </c>
      <c r="LL26" s="416">
        <f t="shared" si="33"/>
        <v>72</v>
      </c>
      <c r="LM26" s="417">
        <f t="shared" si="34"/>
        <v>21.599999999999998</v>
      </c>
      <c r="LN26" s="417">
        <f>VLOOKUP($LM$8,'Jan-2026 rates'!$H:$I,2,0)</f>
        <v>0</v>
      </c>
      <c r="LO26" s="417">
        <f t="shared" si="35"/>
        <v>0</v>
      </c>
      <c r="LP26" s="417">
        <f>VLOOKUP($LO$8,'Jan-2026 rates'!$H:$I,2,0)</f>
        <v>0</v>
      </c>
      <c r="LQ26" s="417">
        <f t="shared" si="36"/>
        <v>0</v>
      </c>
      <c r="LR26" s="417">
        <f>VLOOKUP($LQ$8,'Jan-2026 rates'!$H:$I,2,0)</f>
        <v>0</v>
      </c>
      <c r="LS26" s="417">
        <f t="shared" si="37"/>
        <v>36</v>
      </c>
      <c r="LT26" s="417">
        <f>VLOOKUP($LS$8,'Jan-2026 rates'!$H:$I,2,0)</f>
        <v>0</v>
      </c>
      <c r="LU26" s="417">
        <f t="shared" si="38"/>
        <v>14.4</v>
      </c>
      <c r="LV26" s="417">
        <f>VLOOKUP($LU$8,'Jan-2026 rates'!$H:$I,2,0)</f>
        <v>0</v>
      </c>
      <c r="LW26" s="417">
        <f t="shared" si="39"/>
        <v>0</v>
      </c>
      <c r="LX26" s="417">
        <f t="shared" si="40"/>
        <v>0</v>
      </c>
      <c r="LY26" s="418">
        <f t="shared" si="41"/>
        <v>0</v>
      </c>
      <c r="LZ26" s="417"/>
      <c r="MA26" s="435">
        <f t="shared" si="42"/>
        <v>71.3</v>
      </c>
      <c r="MB26" s="282">
        <f t="shared" si="43"/>
        <v>138.30000000000001</v>
      </c>
      <c r="MC26" s="283" t="s">
        <v>1955</v>
      </c>
      <c r="MD26" s="284" t="str">
        <f t="shared" si="44"/>
        <v>ToyoLiToyoLiToyoLiToyoLiToyoLiToyoLiToyoLiToyoLi</v>
      </c>
      <c r="ME26" s="293" t="str">
        <f t="shared" si="45"/>
        <v>+</v>
      </c>
      <c r="MF26" s="293" t="str">
        <f t="shared" si="46"/>
        <v>+</v>
      </c>
      <c r="MG26" s="293" t="str">
        <f t="shared" si="47"/>
        <v>+</v>
      </c>
      <c r="MH26" s="293" t="str">
        <f t="shared" si="48"/>
        <v>+</v>
      </c>
      <c r="MI26" s="293" t="str">
        <f t="shared" si="49"/>
        <v>+</v>
      </c>
      <c r="MJ26" s="293" t="str">
        <f t="shared" si="50"/>
        <v>+</v>
      </c>
      <c r="MK26" s="293" t="str">
        <f t="shared" si="51"/>
        <v>+</v>
      </c>
      <c r="ML26" s="293" t="str">
        <f t="shared" si="52"/>
        <v>+</v>
      </c>
      <c r="MM26" s="3" t="b">
        <f t="array" ref="MM26">OR(ME26:ML26="-")</f>
        <v>0</v>
      </c>
      <c r="MN26" s="285"/>
      <c r="MO26" s="401"/>
      <c r="MP26" s="286"/>
      <c r="MQ26" s="286"/>
      <c r="MR26" s="402"/>
      <c r="MS26" s="400"/>
      <c r="NH26" s="422"/>
      <c r="NJ26" s="421"/>
    </row>
    <row r="27" spans="1:374" s="1" customFormat="1" ht="16.5">
      <c r="A27" s="403">
        <v>46026</v>
      </c>
      <c r="B27" s="404" t="s">
        <v>1015</v>
      </c>
      <c r="C27" s="405" t="s">
        <v>2698</v>
      </c>
      <c r="D27" s="406" t="s">
        <v>1956</v>
      </c>
      <c r="E27" s="404">
        <v>82</v>
      </c>
      <c r="F27" s="407">
        <v>4200</v>
      </c>
      <c r="G27" s="407" t="s">
        <v>1016</v>
      </c>
      <c r="H27" s="408" t="s">
        <v>1017</v>
      </c>
      <c r="I27" s="409">
        <v>1.7</v>
      </c>
      <c r="J27" s="405" t="s">
        <v>543</v>
      </c>
      <c r="K27" s="404" t="s">
        <v>2699</v>
      </c>
      <c r="L27" s="419" t="str">
        <f t="shared" si="0"/>
        <v>ToyoLi - BLACK</v>
      </c>
      <c r="M27" s="404">
        <v>25</v>
      </c>
      <c r="N27" s="410">
        <f>IF(M27=0,0,IF($LB27=70%,VLOOKUP($L27,'Jan-2026 rates'!$L:$R,4,0),IF($LB27=65%,VLOOKUP($L27,'Jan-2026 rates'!$L:$R,4,0),IF($LB27=40%,VLOOKUP($L27,'Jan-2026 rates'!$L:$R,5,0),IF($LB27=30%,VLOOKUP($L27,'Jan-2026 rates'!$L:$R,6,0),IF($LB27=100%,VLOOKUP($L27,'Jan-2026 rates'!$L:$R,7,0),IF($LB27=60%,VLOOKUP($L27,'Jan-2026 rates'!$L:$S,8,0),IF($LB27=80%,VLOOKUP($L27,'Jan-2026 rates'!L:T,9,0),0))))))))</f>
        <v>0</v>
      </c>
      <c r="O27" s="406"/>
      <c r="P27" s="404"/>
      <c r="Q27" s="410">
        <f>IF(P27=0,0,IF($LB27=70%,VLOOKUP($L27,'Jan-2026 rates'!$L:$R,4,0),IF($LB27=65%,VLOOKUP($L27,'Jan-2026 rates'!$L:$R,4,0),IF($LB27=40%,VLOOKUP($L27,'Jan-2026 rates'!$L:$R,5,0),IF($LB27=30%,VLOOKUP($L27,'Jan-2026 rates'!$L:$R,6,0),IF($LB27=100%,VLOOKUP($L27,'Jan-2026 rates'!$L:$R,7,0),IF($LB27=60%,VLOOKUP($L27,'Jan-2026 rates'!$L:$S,8,0),IF($LB27=80%,VLOOKUP($L27,'Jan-2026 rates'!L:T,9,0),0))))))))</f>
        <v>0</v>
      </c>
      <c r="R27" s="406" t="s">
        <v>1252</v>
      </c>
      <c r="S27" s="406"/>
      <c r="T27" s="406"/>
      <c r="U27" s="406"/>
      <c r="V27" s="406"/>
      <c r="W27" s="406"/>
      <c r="X27" s="406"/>
      <c r="Y27" s="406"/>
      <c r="Z27" s="404">
        <v>2</v>
      </c>
      <c r="AA27" s="398">
        <f>IF(Z27=0,0,IF(LEN(R27)=11,_xlfn.XLOOKUP(R27,'Dispensed Ink Rates'!C:C,'Dispensed Ink Rates'!CS:CS),VLOOKUP(R27,'Jan-2026 rates'!$E:$F,2,0)))</f>
        <v>0</v>
      </c>
      <c r="AB27" s="404"/>
      <c r="AC27" s="398">
        <f>IF(AB27=0,0,IF(LEN(S27)=11,_xlfn.XLOOKUP(S27,'Dispensed Ink Rates'!C:C,'Dispensed Ink Rates'!CS:CS),VLOOKUP(S27,'Jan-2026 rates'!$E:$F,2,0)))</f>
        <v>0</v>
      </c>
      <c r="AD27" s="404"/>
      <c r="AE27" s="398">
        <f>IF(AD27=0,0,IF(LEN(T27)=11,_xlfn.XLOOKUP(T27,'Dispensed Ink Rates'!C:C,'Dispensed Ink Rates'!CS:CS),VLOOKUP(T27,'Jan-2026 rates'!$E:$F,2,0)))</f>
        <v>0</v>
      </c>
      <c r="AF27" s="404"/>
      <c r="AG27" s="398">
        <f>IF(AF27=0,0,IF(LEN(U27)=11,_xlfn.XLOOKUP(U27,'Dispensed Ink Rates'!C:C,'Dispensed Ink Rates'!CS:CS),VLOOKUP(U27,'Jan-2026 rates'!$E:$F,2,0)))</f>
        <v>0</v>
      </c>
      <c r="AH27" s="404"/>
      <c r="AI27" s="398">
        <f>IF(AH27=0,0,IF(LEN(V27)=11,_xlfn.XLOOKUP(V27,'Dispensed Ink Rates'!C:C,'Dispensed Ink Rates'!CS:CS),VLOOKUP(V27,'Jan-2026 rates'!$E:$F,2,0)))</f>
        <v>0</v>
      </c>
      <c r="AJ27" s="404"/>
      <c r="AK27" s="398">
        <f>IF(AJ27=0,0,IF(LEN(W27)=11,_xlfn.XLOOKUP(W27,'Dispensed Ink Rates'!C:C,'Dispensed Ink Rates'!CS:CS),VLOOKUP(W27,'Jan-2026 rates'!$E:$F,2,0)))</f>
        <v>0</v>
      </c>
      <c r="AL27" s="404"/>
      <c r="AM27" s="398">
        <f>IF(AL27=0,0,IF(LEN(X27)=11,_xlfn.XLOOKUP(X27,'Dispensed Ink Rates'!C:C,'Dispensed Ink Rates'!CS:CS),VLOOKUP(X27,'Jan-2026 rates'!$E:$F,2,0)))</f>
        <v>0</v>
      </c>
      <c r="AN27" s="404"/>
      <c r="AO27" s="398">
        <f>IF(AN27=0,0,IF(LEN(Y27)=11,_xlfn.XLOOKUP(Y27,'Dispensed Ink Rates'!C:C,'Dispensed Ink Rates'!CS:CS),VLOOKUP(Y27,'Jan-2026 rates'!$E:$F,2,0)))</f>
        <v>0</v>
      </c>
      <c r="AP27" s="409" t="s">
        <v>1881</v>
      </c>
      <c r="AQ27" s="409">
        <v>27</v>
      </c>
      <c r="AR27" s="410">
        <f t="shared" si="1"/>
        <v>0</v>
      </c>
      <c r="AS27" s="411">
        <f t="shared" si="2"/>
        <v>2.4651162790697683</v>
      </c>
      <c r="AT27" s="410">
        <f t="shared" si="3"/>
        <v>0</v>
      </c>
      <c r="AU27" s="405" t="s">
        <v>857</v>
      </c>
      <c r="AV27" s="409"/>
      <c r="AW27" s="420" t="str">
        <f t="shared" si="4"/>
        <v>ToyoLi - RED</v>
      </c>
      <c r="AX27" s="409"/>
      <c r="AY27" s="411">
        <f>IF(AX27=0,0,IF($LB27=70%,VLOOKUP($AW27,'Jan-2026 rates'!$L:$R,4,0),IF($LB27=65%,VLOOKUP($AW27,'Jan-2026 rates'!$L:$R,4,0),IF($LB27=40%,VLOOKUP($AW27,'Jan-2026 rates'!$L:$R,5,0),IF($LB27=30%,VLOOKUP($AW27,'Jan-2026 rates'!$L:$R,6,0),IF($LB27=100%,VLOOKUP($AW27,'Jan-2026 rates'!$L:$R,7,0),IF($LB27=60%,VLOOKUP($AW27,'Jan-2026 rates'!$L:$S,8,0),IF($LB27=80%,VLOOKUP($AW27,'Jan-2026 rates'!L:T,9,0),0))))))))</f>
        <v>0</v>
      </c>
      <c r="AZ27" s="412"/>
      <c r="BA27" s="409"/>
      <c r="BB27" s="411">
        <f>IF(BA27=0,0,IF($LB27=70%,VLOOKUP($AW27,'Jan-2026 rates'!$L:$R,4,0),IF($LB27=65%,VLOOKUP($AW27,'Jan-2026 rates'!$L:$R,4,0),IF($LB27=40%,VLOOKUP($AW27,'Jan-2026 rates'!$L:$R,5,0),IF($LB27=30%,VLOOKUP($AW27,'Jan-2026 rates'!$L:$R,6,0),IF($LB27=100%,VLOOKUP($AW27,'Jan-2026 rates'!$L:$R,7,0),IF($LB27=60%,VLOOKUP($AW27,'Jan-2026 rates'!$L:$S,8,0),IF($LB27=80%,VLOOKUP($AW27,'Jan-2026 rates'!L:T,9,0),0))))))))</f>
        <v>0</v>
      </c>
      <c r="BC27" s="413" t="s">
        <v>1246</v>
      </c>
      <c r="BD27" s="412" t="s">
        <v>1248</v>
      </c>
      <c r="BE27" s="412" t="s">
        <v>1252</v>
      </c>
      <c r="BF27" s="413" t="s">
        <v>1247</v>
      </c>
      <c r="BG27" s="412"/>
      <c r="BH27" s="412"/>
      <c r="BI27" s="412"/>
      <c r="BJ27" s="412"/>
      <c r="BK27" s="409">
        <v>4</v>
      </c>
      <c r="BL27" s="398">
        <f>IF(BK27=0,0,IF(LEN(BC27)=11,_xlfn.XLOOKUP(BC27,'Dispensed Ink Rates'!C:C,'Dispensed Ink Rates'!CS:CS),VLOOKUP(BC27,'Jan-2026 rates'!$E:$F,2,0)))</f>
        <v>0</v>
      </c>
      <c r="BM27" s="409">
        <v>4</v>
      </c>
      <c r="BN27" s="398">
        <f>IF(BM27=0,0,IF(LEN(BD27)=11,_xlfn.XLOOKUP(BD27,'Dispensed Ink Rates'!C:C,'Dispensed Ink Rates'!CS:CS),VLOOKUP(BD27,'Jan-2026 rates'!$E:$F,2,0)))</f>
        <v>0</v>
      </c>
      <c r="BO27" s="409">
        <v>0.5</v>
      </c>
      <c r="BP27" s="398">
        <f>IF(BO27=0,0,IF(LEN(BE27)=11,_xlfn.XLOOKUP(BE27,'Dispensed Ink Rates'!C:C,'Dispensed Ink Rates'!CS:CS),VLOOKUP(BE27,'Jan-2026 rates'!$E:$F,2,0)))</f>
        <v>0</v>
      </c>
      <c r="BQ27" s="409">
        <v>6</v>
      </c>
      <c r="BR27" s="398">
        <f>IF(BQ27=0,0,IF(LEN(BF27)=11,_xlfn.XLOOKUP(BF27,'Dispensed Ink Rates'!C:C,'Dispensed Ink Rates'!CS:CS),VLOOKUP(BF27,'Jan-2026 rates'!$E:$F,2,0)))</f>
        <v>0</v>
      </c>
      <c r="BS27" s="409"/>
      <c r="BT27" s="398">
        <f>IF(BS27=0,0,IF(LEN(BG27)=11,_xlfn.XLOOKUP(BG27,'Dispensed Ink Rates'!C:C,'Dispensed Ink Rates'!CS:CS),VLOOKUP(BG27,'Jan-2026 rates'!$E:$F,2,0)))</f>
        <v>0</v>
      </c>
      <c r="BU27" s="409"/>
      <c r="BV27" s="398">
        <f>IF(BU27=0,0,IF(LEN(BH27)=11,_xlfn.XLOOKUP(BH27,'Dispensed Ink Rates'!C:C,'Dispensed Ink Rates'!CS:CS),VLOOKUP(BH27,'Jan-2026 rates'!$E:$F,2,0)))</f>
        <v>0</v>
      </c>
      <c r="BW27" s="409"/>
      <c r="BX27" s="398">
        <f>IF(BW27=0,0,IF(LEN(BI27)=11,_xlfn.XLOOKUP(BI27,'Dispensed Ink Rates'!C:C,'Dispensed Ink Rates'!CS:CS),VLOOKUP(BI27,'Jan-2026 rates'!$E:$F,2,0)))</f>
        <v>0</v>
      </c>
      <c r="BY27" s="409"/>
      <c r="BZ27" s="398">
        <f>IF(BY27=0,0,IF(LEN(BJ27)=11,_xlfn.XLOOKUP(BJ27,'Dispensed Ink Rates'!C:C,'Dispensed Ink Rates'!CS:CS),VLOOKUP(BJ27,'Jan-2026 rates'!$E:$F,2,0)))</f>
        <v>0</v>
      </c>
      <c r="CA27" s="409" t="s">
        <v>1881</v>
      </c>
      <c r="CB27" s="409">
        <v>20</v>
      </c>
      <c r="CC27" s="411">
        <f t="shared" si="5"/>
        <v>0</v>
      </c>
      <c r="CD27" s="411">
        <f t="shared" si="6"/>
        <v>6.8255813953488378</v>
      </c>
      <c r="CE27" s="410">
        <f t="shared" si="7"/>
        <v>0</v>
      </c>
      <c r="CF27" s="404" t="s">
        <v>855</v>
      </c>
      <c r="CG27" s="409" t="s">
        <v>2700</v>
      </c>
      <c r="CH27" s="420" t="str">
        <f t="shared" si="8"/>
        <v>ToyoLi - CYAN</v>
      </c>
      <c r="CI27" s="409">
        <v>27</v>
      </c>
      <c r="CJ27" s="411">
        <f>IF(CI27=0,0,IF($LB27=70%,VLOOKUP($CH27,'Jan-2026 rates'!$L:$R,4,0),IF($LB27=65%,VLOOKUP($CH27,'Jan-2026 rates'!$L:$R,4,0),IF($LB27=40%,VLOOKUP($CH27,'Jan-2026 rates'!$L:$R,5,0),IF($LB27=30%,VLOOKUP($CH27,'Jan-2026 rates'!$L:$R,6,0),IF($LB27=100%,VLOOKUP($CH27,'Jan-2026 rates'!$L:$R,7,0),IF($LB27=60%,VLOOKUP($CH27,'Jan-2026 rates'!$L:$S,8,0),IF($LB27=80%,VLOOKUP($CH27,'Jan-2026 rates'!L:T,9,0),0))))))))</f>
        <v>0</v>
      </c>
      <c r="CK27" s="412"/>
      <c r="CL27" s="409"/>
      <c r="CM27" s="411">
        <f>IF(CL27=0,0,IF($LB27=70%,VLOOKUP($CH27,'Jan-2026 rates'!$L:$R,4,0),IF($LB27=65%,VLOOKUP($CH27,'Jan-2026 rates'!$L:$R,4,0),IF($LB27=40%,VLOOKUP($CH27,'Jan-2026 rates'!$L:$R,5,0),IF($LB27=30%,VLOOKUP($CH27,'Jan-2026 rates'!$L:$R,6,0),IF($LB27=100%,VLOOKUP($CH27,'Jan-2026 rates'!$L:$R,7,0),IF($LB27=60%,VLOOKUP($CH27,'Jan-2026 rates'!$L:$S,8,0),IF($LB27=80%,VLOOKUP($CH27,'Jan-2026 rates'!L:T,9,0),0))))))))</f>
        <v>0</v>
      </c>
      <c r="CN27" s="426" t="s">
        <v>1921</v>
      </c>
      <c r="CO27" s="427"/>
      <c r="CP27" s="426"/>
      <c r="CQ27" s="426"/>
      <c r="CR27" s="428"/>
      <c r="CS27" s="428"/>
      <c r="CT27" s="428"/>
      <c r="CU27" s="428"/>
      <c r="CV27" s="409">
        <v>3</v>
      </c>
      <c r="CW27" s="398">
        <f>IF(CV27=0,0,IF(LEN(CN27)=11,_xlfn.XLOOKUP(CN27,'Dispensed Ink Rates'!C:C,'Dispensed Ink Rates'!CS:CS),VLOOKUP(CN27,'Jan-2026 rates'!$E:$F,2,0)))</f>
        <v>0</v>
      </c>
      <c r="CX27" s="409"/>
      <c r="CY27" s="398">
        <f>IF(CX27=0,0,IF(LEN(CO27)=11,_xlfn.XLOOKUP(CO27,'Dispensed Ink Rates'!C:C,'Dispensed Ink Rates'!CS:CS),VLOOKUP(CO27,'Jan-2026 rates'!$E:$F,2,0)))</f>
        <v>0</v>
      </c>
      <c r="CZ27" s="409"/>
      <c r="DA27" s="398">
        <f>IF(CZ27=0,0,IF(LEN(CP27)=11,_xlfn.XLOOKUP(CP27,'Dispensed Ink Rates'!C:C,'Dispensed Ink Rates'!CS:CS),VLOOKUP(CP27,'Jan-2026 rates'!$E:$F,2,0)))</f>
        <v>0</v>
      </c>
      <c r="DB27" s="409"/>
      <c r="DC27" s="398">
        <f>IF(DB27=0,0,IF(LEN(CQ27)=11,_xlfn.XLOOKUP(CQ27,'Dispensed Ink Rates'!C:C,'Dispensed Ink Rates'!CS:CS),VLOOKUP(CQ27,'Jan-2026 rates'!$E:$F,2,0)))</f>
        <v>0</v>
      </c>
      <c r="DD27" s="409"/>
      <c r="DE27" s="398">
        <f>IF(DD27=0,0,IF(LEN(CR27)=11,_xlfn.XLOOKUP(CR27,'Dispensed Ink Rates'!C:C,'Dispensed Ink Rates'!CS:CS),VLOOKUP(CR27,'Jan-2026 rates'!$E:$F,2,0)))</f>
        <v>0</v>
      </c>
      <c r="DF27" s="409"/>
      <c r="DG27" s="398">
        <f>IF(DF27=0,0,IF(LEN(CS27)=11,_xlfn.XLOOKUP(CS27,'Dispensed Ink Rates'!C:C,'Dispensed Ink Rates'!CS:CS),VLOOKUP(CS27,'Jan-2026 rates'!$E:$F,2,0)))</f>
        <v>0</v>
      </c>
      <c r="DH27" s="409"/>
      <c r="DI27" s="398">
        <f>IF(DH27=0,0,IF(LEN(CT27)=11,_xlfn.XLOOKUP(CT27,'Dispensed Ink Rates'!C:C,'Dispensed Ink Rates'!CS:CS),VLOOKUP(CT27,'Jan-2026 rates'!$E:$F,2,0)))</f>
        <v>0</v>
      </c>
      <c r="DJ27" s="409"/>
      <c r="DK27" s="398">
        <f>IF(DJ27=0,0,IF(LEN(CU27)=11,_xlfn.XLOOKUP(CU27,'Dispensed Ink Rates'!C:C,'Dispensed Ink Rates'!CS:CS),VLOOKUP(CU27,'Jan-2026 rates'!$E:$F,2,0)))</f>
        <v>0</v>
      </c>
      <c r="DL27" s="409" t="s">
        <v>1881</v>
      </c>
      <c r="DM27" s="409">
        <v>29</v>
      </c>
      <c r="DN27" s="411">
        <f t="shared" si="9"/>
        <v>0</v>
      </c>
      <c r="DO27" s="411">
        <f t="shared" si="10"/>
        <v>3.4651162790697683</v>
      </c>
      <c r="DP27" s="410">
        <f t="shared" si="11"/>
        <v>0</v>
      </c>
      <c r="DQ27" s="405" t="s">
        <v>544</v>
      </c>
      <c r="DR27" s="409" t="s">
        <v>2701</v>
      </c>
      <c r="DS27" s="420" t="str">
        <f t="shared" si="12"/>
        <v>ToyoLi - MAGENTA</v>
      </c>
      <c r="DT27" s="409">
        <v>25</v>
      </c>
      <c r="DU27" s="411">
        <f>IF(DT27=0,0,IF($LB27=70%,VLOOKUP($DS27,'Jan-2026 rates'!$L:$R,4,0),IF($LB27=65%,VLOOKUP($DS27,'Jan-2026 rates'!$L:$R,4,0),IF($LB27=40%,VLOOKUP($DS27,'Jan-2026 rates'!$L:$R,5,0),IF($LB27=30%,VLOOKUP($DS27,'Jan-2026 rates'!$L:$R,6,0),IF($LB27=100%,VLOOKUP($DS27,'Jan-2026 rates'!$L:$R,7,0),IF($LB27=60%,VLOOKUP($DS27,'Jan-2026 rates'!$L:$S,8,0),IF($LB27=80%,VLOOKUP($DS27,'Jan-2026 rates'!L:T,9,0),0))))))))</f>
        <v>0</v>
      </c>
      <c r="DV27" s="412"/>
      <c r="DW27" s="409"/>
      <c r="DX27" s="411">
        <f>IF(DW27=0,0,IF($LB27=70%,VLOOKUP($DS27,'Jan-2026 rates'!$L:$R,4,0),IF($LB27=65%,VLOOKUP($DS27,'Jan-2026 rates'!$L:$R,4,0),IF($LB27=40%,VLOOKUP($DS27,'Jan-2026 rates'!$L:$R,5,0),IF($LB27=30%,VLOOKUP($DS27,'Jan-2026 rates'!$L:$R,6,0),IF($LB27=100%,VLOOKUP($DS27,'Jan-2026 rates'!$L:$R,7,0),IF($LB27=60%,VLOOKUP($DS27,'Jan-2026 rates'!$L:$S,8,0),IF($LB27=80%,VLOOKUP($DS27,'Jan-2026 rates'!L:T,9,0),0))))))))</f>
        <v>0</v>
      </c>
      <c r="DY27" s="413"/>
      <c r="DZ27" s="413"/>
      <c r="EA27" s="412"/>
      <c r="EB27" s="412"/>
      <c r="EC27" s="412"/>
      <c r="ED27" s="412"/>
      <c r="EE27" s="412"/>
      <c r="EF27" s="412"/>
      <c r="EG27" s="409"/>
      <c r="EH27" s="398">
        <f>IF(EG27=0,0,IF(LEN(DY27)=11,_xlfn.XLOOKUP(DY27,'Dispensed Ink Rates'!C:C,'Dispensed Ink Rates'!CS:CS),VLOOKUP(DY27,'Jan-2026 rates'!$E:$F,2,0)))</f>
        <v>0</v>
      </c>
      <c r="EI27" s="409"/>
      <c r="EJ27" s="398">
        <f>IF(EI27=0,0,IF(LEN(DZ27)=11,_xlfn.XLOOKUP(DZ27,'Dispensed Ink Rates'!C:C,'Dispensed Ink Rates'!CS:CS),VLOOKUP(DZ27,'Jan-2026 rates'!$E:$F,2,0)))</f>
        <v>0</v>
      </c>
      <c r="EK27" s="409"/>
      <c r="EL27" s="398">
        <f>IF(EK27=0,0,IF(LEN(EA27)=11,_xlfn.XLOOKUP(EA27,'Dispensed Ink Rates'!C:C,'Dispensed Ink Rates'!CS:CS),VLOOKUP(EA27,'Jan-2026 rates'!$E:$F,2,0)))</f>
        <v>0</v>
      </c>
      <c r="EM27" s="409"/>
      <c r="EN27" s="398">
        <f>IF(EM27=0,0,IF(LEN(EB27)=11,_xlfn.XLOOKUP(EB27,'Dispensed Ink Rates'!C:C,'Dispensed Ink Rates'!CS:CS),VLOOKUP(EB27,'Jan-2026 rates'!$E:$F,2,0)))</f>
        <v>0</v>
      </c>
      <c r="EO27" s="409"/>
      <c r="EP27" s="398">
        <f>IF(EO27=0,0,IF(LEN(EC27)=11,_xlfn.XLOOKUP(EC27,'Dispensed Ink Rates'!C:C,'Dispensed Ink Rates'!CS:CS),VLOOKUP(EC27,'Jan-2026 rates'!$E:$F,2,0)))</f>
        <v>0</v>
      </c>
      <c r="EQ27" s="409"/>
      <c r="ER27" s="398">
        <f>IF(EQ27=0,0,IF(LEN(ED27)=11,_xlfn.XLOOKUP(ED27,'Dispensed Ink Rates'!C:C,'Dispensed Ink Rates'!CS:CS),VLOOKUP(ED27,'Jan-2026 rates'!$E:$F,2,0)))</f>
        <v>0</v>
      </c>
      <c r="ES27" s="409"/>
      <c r="ET27" s="398">
        <f>IF(ES27=0,0,IF(LEN(EE27)=11,_xlfn.XLOOKUP(EE27,'Dispensed Ink Rates'!C:C,'Dispensed Ink Rates'!CS:CS),VLOOKUP(EE27,'Jan-2026 rates'!$E:$F,2,0)))</f>
        <v>0</v>
      </c>
      <c r="EU27" s="409"/>
      <c r="EV27" s="398">
        <f>IF(EU27=0,0,IF(LEN(EF27)=11,_xlfn.XLOOKUP(EF27,'Dispensed Ink Rates'!C:C,'Dispensed Ink Rates'!CS:CS),VLOOKUP(EF27,'Jan-2026 rates'!$E:$F,2,0)))</f>
        <v>0</v>
      </c>
      <c r="EW27" s="409" t="s">
        <v>1881</v>
      </c>
      <c r="EX27" s="409">
        <v>23</v>
      </c>
      <c r="EY27" s="411">
        <f t="shared" si="13"/>
        <v>0</v>
      </c>
      <c r="EZ27" s="411">
        <f t="shared" si="14"/>
        <v>2</v>
      </c>
      <c r="FA27" s="410">
        <f t="shared" si="15"/>
        <v>0</v>
      </c>
      <c r="FB27" s="405" t="s">
        <v>545</v>
      </c>
      <c r="FC27" s="409" t="s">
        <v>2702</v>
      </c>
      <c r="FD27" s="420" t="str">
        <f t="shared" si="16"/>
        <v>ToyoLi - YELLOW</v>
      </c>
      <c r="FE27" s="409">
        <v>28</v>
      </c>
      <c r="FF27" s="411">
        <f>IF(FE27=0,0,IF($LB27=70%,VLOOKUP($FD27,'Jan-2026 rates'!$L:$R,4,0),IF($LB27=65%,VLOOKUP($FD27,'Jan-2026 rates'!$L:$R,4,0),IF($LB27=40%,VLOOKUP($FD27,'Jan-2026 rates'!$L:$R,5,0),IF($LB27=30%,VLOOKUP($FD27,'Jan-2026 rates'!$L:$R,6,0),IF($LB27=100%,VLOOKUP($FD27,'Jan-2026 rates'!$L:$R,7,0),IF($LB27=60%,VLOOKUP($FD27,'Jan-2026 rates'!$L:$S,8,0),IF($LB27=80%,VLOOKUP($FD27,'Jan-2026 rates'!L:T,9,0),0))))))))</f>
        <v>0</v>
      </c>
      <c r="FG27" s="412"/>
      <c r="FH27" s="409"/>
      <c r="FI27" s="411">
        <f>IF(FH27=0,0,IF($LB27=70%,VLOOKUP($FD27,'Jan-2026 rates'!$L:$R,4,0),IF($LB27=65%,VLOOKUP($FD27,'Jan-2026 rates'!$L:$R,4,0),IF($LB27=40%,VLOOKUP($FD27,'Jan-2026 rates'!$L:$R,5,0),IF($LB27=30%,VLOOKUP($FD27,'Jan-2026 rates'!$L:$R,6,0),IF($LB27=100%,VLOOKUP($FD27,'Jan-2026 rates'!$L:$R,7,0),IF($LB27=60%,VLOOKUP($FD27,'Jan-2026 rates'!$L:$S,8,0),IF($LB27=80%,VLOOKUP($FD27,'Jan-2026 rates'!L:T,9,0),0))))))))</f>
        <v>0</v>
      </c>
      <c r="FJ27" s="413" t="s">
        <v>1921</v>
      </c>
      <c r="FK27" s="413"/>
      <c r="FL27" s="413"/>
      <c r="FM27" s="412"/>
      <c r="FN27" s="412"/>
      <c r="FO27" s="412"/>
      <c r="FP27" s="412"/>
      <c r="FQ27" s="412"/>
      <c r="FR27" s="409">
        <v>2</v>
      </c>
      <c r="FS27" s="398">
        <f>IF(FR27=0,0,IF(LEN(FJ27)=11,_xlfn.XLOOKUP(FJ27,'Dispensed Ink Rates'!C:C,'Dispensed Ink Rates'!CS:CS),VLOOKUP(FJ27,'Jan-2026 rates'!$E:$F,2,0)))</f>
        <v>0</v>
      </c>
      <c r="FT27" s="409"/>
      <c r="FU27" s="398">
        <f>IF(FT27=0,0,IF(LEN(FK27)=11,_xlfn.XLOOKUP(FK27,'Dispensed Ink Rates'!C:C,'Dispensed Ink Rates'!CS:CS),VLOOKUP(FK27,'Jan-2026 rates'!$E:$F,2,0)))</f>
        <v>0</v>
      </c>
      <c r="FV27" s="409"/>
      <c r="FW27" s="398">
        <f>IF(FV27=0,0,IF(LEN(FL27)=11,_xlfn.XLOOKUP(FL27,'Dispensed Ink Rates'!C:C,'Dispensed Ink Rates'!CS:CS),VLOOKUP(FL27,'Jan-2026 rates'!$E:$F,2,0)))</f>
        <v>0</v>
      </c>
      <c r="FX27" s="409"/>
      <c r="FY27" s="398">
        <f>IF(FX27=0,0,IF(LEN(FM27)=11,_xlfn.XLOOKUP(FM27,'Dispensed Ink Rates'!C:C,'Dispensed Ink Rates'!CS:CS),VLOOKUP(FM27,'Jan-2026 rates'!$E:$F,2,0)))</f>
        <v>0</v>
      </c>
      <c r="FZ27" s="409"/>
      <c r="GA27" s="398">
        <f>IF(FZ27=0,0,IF(LEN(FN27)=11,_xlfn.XLOOKUP(FN27,'Dispensed Ink Rates'!C:C,'Dispensed Ink Rates'!CS:CS),VLOOKUP(FN27,'Jan-2026 rates'!$E:$F,2,0)))</f>
        <v>0</v>
      </c>
      <c r="GB27" s="409"/>
      <c r="GC27" s="398">
        <f>IF(GB27=0,0,IF(LEN(FO27)=11,_xlfn.XLOOKUP(FO27,'Dispensed Ink Rates'!C:C,'Dispensed Ink Rates'!CS:CS),VLOOKUP(FO27,'Jan-2026 rates'!$E:$F,2,0)))</f>
        <v>0</v>
      </c>
      <c r="GD27" s="409"/>
      <c r="GE27" s="398">
        <f>IF(GD27=0,0,IF(LEN(FP27)=11,_xlfn.XLOOKUP(FP27,'Dispensed Ink Rates'!C:C,'Dispensed Ink Rates'!CS:CS),VLOOKUP(FP27,'Jan-2026 rates'!$E:$F,2,0)))</f>
        <v>0</v>
      </c>
      <c r="GF27" s="409"/>
      <c r="GG27" s="398">
        <f>IF(GF27=0,0,IF(LEN(FQ27)=11,_xlfn.XLOOKUP(FQ27,'Dispensed Ink Rates'!C:C,'Dispensed Ink Rates'!CS:CS),VLOOKUP(FQ27,'Jan-2026 rates'!$E:$F,2,0)))</f>
        <v>0</v>
      </c>
      <c r="GH27" s="409" t="s">
        <v>1881</v>
      </c>
      <c r="GI27" s="409">
        <v>28</v>
      </c>
      <c r="GJ27" s="411">
        <f t="shared" si="17"/>
        <v>0</v>
      </c>
      <c r="GK27" s="411">
        <f t="shared" si="18"/>
        <v>4.4651162790697683</v>
      </c>
      <c r="GL27" s="410">
        <f t="shared" si="19"/>
        <v>0</v>
      </c>
      <c r="GM27" s="405" t="s">
        <v>829</v>
      </c>
      <c r="GN27" s="409"/>
      <c r="GO27" s="420" t="str">
        <f t="shared" si="20"/>
        <v>ToyoLi - MEDIUM</v>
      </c>
      <c r="GP27" s="409"/>
      <c r="GQ27" s="411">
        <f>IF(GP27=0,0,IF($LB27=70%,VLOOKUP($GO27,'Jan-2026 rates'!$L:$R,4,0),IF($LB27=65%,VLOOKUP($GO27,'Jan-2026 rates'!$L:$R,4,0),IF($LB27=40%,VLOOKUP($GO27,'Jan-2026 rates'!$L:$R,5,0),IF($LB27=30%,VLOOKUP($GO27,'Jan-2026 rates'!$L:$R,6,0),IF($LB27=100%,VLOOKUP($GO27,'Jan-2026 rates'!$L:$R,7,0),IF($LB27=60%,VLOOKUP($GO27,'Jan-2026 rates'!$L:$S,8,0),IF($LB27=80%,VLOOKUP($GO27,'Jan-2026 rates'!L:T,9,0),0))))))))</f>
        <v>0</v>
      </c>
      <c r="GR27" s="412"/>
      <c r="GS27" s="409"/>
      <c r="GT27" s="411">
        <f>IF(GS27=0,0,IF($LB27=70%,VLOOKUP($GO27,'Jan-2026 rates'!$L:$R,4,0),IF($LB27=65%,VLOOKUP($GO27,'Jan-2026 rates'!$L:$R,4,0),IF($LB27=40%,VLOOKUP($GO27,'Jan-2026 rates'!$L:$R,5,0),IF($LB27=30%,VLOOKUP($GO27,'Jan-2026 rates'!$L:$R,6,0),IF($LB27=100%,VLOOKUP($GO27,'Jan-2026 rates'!$L:$R,7,0),IF($LB27=60%,VLOOKUP($GO27,'Jan-2026 rates'!$L:$S,8,0),IF($LB27=80%,VLOOKUP($GO27,'Jan-2026 rates'!L:T,9,0),0))))))))</f>
        <v>0</v>
      </c>
      <c r="GU27" s="413" t="s">
        <v>1249</v>
      </c>
      <c r="GV27" s="413" t="s">
        <v>1921</v>
      </c>
      <c r="GW27" s="412" t="s">
        <v>1247</v>
      </c>
      <c r="GX27" s="412" t="s">
        <v>1248</v>
      </c>
      <c r="GY27" s="412"/>
      <c r="GZ27" s="412"/>
      <c r="HA27" s="412"/>
      <c r="HB27" s="412"/>
      <c r="HC27" s="409">
        <v>10</v>
      </c>
      <c r="HD27" s="398">
        <f>IF(HC27=0,0,IF(LEN(GU27)=11,_xlfn.XLOOKUP(GU27,'Dispensed Ink Rates'!C:C,'Dispensed Ink Rates'!CS:CS),VLOOKUP(GU27,'Jan-2026 rates'!$E:$F,2,0)))</f>
        <v>0</v>
      </c>
      <c r="HE27" s="409">
        <v>6</v>
      </c>
      <c r="HF27" s="398">
        <f>IF(HE27=0,0,IF(LEN(GV27)=11,_xlfn.XLOOKUP(GV27,'Dispensed Ink Rates'!C:C,'Dispensed Ink Rates'!CS:CS),VLOOKUP(GV27,'Jan-2026 rates'!$E:$F,2,0)))</f>
        <v>0</v>
      </c>
      <c r="HG27" s="409">
        <v>0.2</v>
      </c>
      <c r="HH27" s="398">
        <f>IF(HG27=0,0,IF(LEN(GW27)=11,_xlfn.XLOOKUP(GW27,'Dispensed Ink Rates'!C:C,'Dispensed Ink Rates'!CS:CS),VLOOKUP(GW27,'Jan-2026 rates'!$E:$F,2,0)))</f>
        <v>0</v>
      </c>
      <c r="HI27" s="409">
        <v>0.1</v>
      </c>
      <c r="HJ27" s="398">
        <f>IF(HI27=0,0,IF(LEN(GX27)=11,_xlfn.XLOOKUP(GX27,'Dispensed Ink Rates'!C:C,'Dispensed Ink Rates'!CS:CS),VLOOKUP(GX27,'Jan-2026 rates'!$E:$F,2,0)))</f>
        <v>0</v>
      </c>
      <c r="HK27" s="409"/>
      <c r="HL27" s="398">
        <f>IF(HK27=0,0,IF(LEN(GY27)=11,_xlfn.XLOOKUP(GY27,'Dispensed Ink Rates'!C:C,'Dispensed Ink Rates'!CS:CS),VLOOKUP(GY27,'Jan-2026 rates'!$E:$F,2,0)))</f>
        <v>0</v>
      </c>
      <c r="HM27" s="409"/>
      <c r="HN27" s="398">
        <f>IF(HM27=0,0,IF(LEN(GZ27)=11,_xlfn.XLOOKUP(GZ27,'Dispensed Ink Rates'!C:C,'Dispensed Ink Rates'!CS:CS),VLOOKUP(GZ27,'Jan-2026 rates'!$E:$F,2,0)))</f>
        <v>0</v>
      </c>
      <c r="HO27" s="409"/>
      <c r="HP27" s="398">
        <f>IF(HO27=0,0,IF(LEN(HA27)=11,_xlfn.XLOOKUP(HA27,'Dispensed Ink Rates'!C:C,'Dispensed Ink Rates'!CS:CS),VLOOKUP(HA27,'Jan-2026 rates'!$E:$F,2,0)))</f>
        <v>0</v>
      </c>
      <c r="HQ27" s="409"/>
      <c r="HR27" s="398">
        <f>IF(HQ27=0,0,IF(LEN(HB27)=11,_xlfn.XLOOKUP(HB27,'Dispensed Ink Rates'!C:C,'Dispensed Ink Rates'!CS:CS),VLOOKUP(HB27,'Jan-2026 rates'!$E:$F,2,0)))</f>
        <v>0</v>
      </c>
      <c r="HS27" s="409" t="s">
        <v>1881</v>
      </c>
      <c r="HT27" s="409">
        <v>22</v>
      </c>
      <c r="HU27" s="411">
        <f t="shared" si="21"/>
        <v>0</v>
      </c>
      <c r="HV27" s="411">
        <f t="shared" si="22"/>
        <v>9.0906976744186068</v>
      </c>
      <c r="HW27" s="414">
        <f t="shared" si="23"/>
        <v>0</v>
      </c>
      <c r="HX27" s="405" t="s">
        <v>856</v>
      </c>
      <c r="HY27" s="409" t="s">
        <v>2703</v>
      </c>
      <c r="HZ27" s="420" t="str">
        <f t="shared" si="24"/>
        <v>ToyoLi - WHITE</v>
      </c>
      <c r="IA27" s="409">
        <v>20</v>
      </c>
      <c r="IB27" s="411">
        <f>IF(IA27=0,0,IF($LB27=70%,VLOOKUP($HZ27,'Jan-2026 rates'!$L:$R,4,0),IF($LB27=65%,VLOOKUP($HZ27,'Jan-2026 rates'!$L:$R,4,0),IF($LB27=40%,VLOOKUP($HZ27,'Jan-2026 rates'!$L:$R,5,0),IF($LB27=30%,VLOOKUP($HZ27,'Jan-2026 rates'!$L:$R,6,0),IF($LB27=100%,VLOOKUP($HZ27,'Jan-2026 rates'!$L:$R,7,0),IF($LB27=60%,VLOOKUP($HZ27,'Jan-2026 rates'!$L:$S,8,0),IF($LB27=80%,VLOOKUP($HZ27,'Jan-2026 rates'!L:T,9,0),0))))))))</f>
        <v>0</v>
      </c>
      <c r="IC27" s="412"/>
      <c r="ID27" s="409"/>
      <c r="IE27" s="411">
        <f>IF(ID27=0,0,IF($LB27=70%,VLOOKUP($HZ27,'Jan-2026 rates'!$L:$R,4,0),IF($LB27=65%,VLOOKUP($HZ27,'Jan-2026 rates'!$L:$R,4,0),IF($LB27=40%,VLOOKUP($HZ27,'Jan-2026 rates'!$L:$R,5,0),IF($LB27=30%,VLOOKUP($HZ27,'Jan-2026 rates'!$L:$R,6,0),IF($LB27=100%,VLOOKUP($HZ27,'Jan-2026 rates'!$L:$R,7,0),IF($LB27=60%,VLOOKUP($HZ27,'Jan-2026 rates'!$L:$S,8,0),IF($LB27=80%,VLOOKUP($HZ27,'Jan-2026 rates'!L:T,9,0),0))))))))</f>
        <v>0</v>
      </c>
      <c r="IF27" s="412" t="s">
        <v>1249</v>
      </c>
      <c r="IG27" s="413"/>
      <c r="IH27" s="412"/>
      <c r="II27" s="412"/>
      <c r="IJ27" s="412"/>
      <c r="IK27" s="412"/>
      <c r="IL27" s="412"/>
      <c r="IM27" s="412"/>
      <c r="IN27" s="409">
        <v>30</v>
      </c>
      <c r="IO27" s="398">
        <f>IF(IN27=0,0,IF(LEN(IF27)=11,_xlfn.XLOOKUP(IF27,'Dispensed Ink Rates'!C:C,'Dispensed Ink Rates'!CS:CS),VLOOKUP(IF27,'Jan-2026 rates'!$E:$F,2,0)))</f>
        <v>0</v>
      </c>
      <c r="IP27" s="409"/>
      <c r="IQ27" s="398">
        <f>IF(IP27=0,0,IF(LEN(IG27)=11,_xlfn.XLOOKUP(IG27,'Dispensed Ink Rates'!C:C,'Dispensed Ink Rates'!CS:CS),VLOOKUP(IG27,'Jan-2026 rates'!$E:$F,2,0)))</f>
        <v>0</v>
      </c>
      <c r="IR27" s="409"/>
      <c r="IS27" s="398">
        <f>IF(IR27=0,0,IF(LEN(IH27)=11,_xlfn.XLOOKUP(IH27,'Dispensed Ink Rates'!C:C,'Dispensed Ink Rates'!CS:CS),VLOOKUP(IH27,'Jan-2026 rates'!$E:$F,2,0)))</f>
        <v>0</v>
      </c>
      <c r="IT27" s="409"/>
      <c r="IU27" s="398">
        <f>IF(IT27=0,0,IF(LEN(II27)=11,_xlfn.XLOOKUP(II27,'Dispensed Ink Rates'!C:C,'Dispensed Ink Rates'!CS:CS),VLOOKUP(II27,'Jan-2026 rates'!$E:$F,2,0)))</f>
        <v>0</v>
      </c>
      <c r="IV27" s="409"/>
      <c r="IW27" s="398">
        <f>IF(IV27=0,0,IF(LEN(IJ27)=11,_xlfn.XLOOKUP(IJ27,'Dispensed Ink Rates'!C:C,'Dispensed Ink Rates'!CS:CS),VLOOKUP(IJ27,'Jan-2026 rates'!$E:$F,2,0)))</f>
        <v>0</v>
      </c>
      <c r="IX27" s="409"/>
      <c r="IY27" s="398">
        <f>IF(IX27=0,0,IF(LEN(IK27)=11,_xlfn.XLOOKUP(IK27,'Dispensed Ink Rates'!C:C,'Dispensed Ink Rates'!CS:CS),VLOOKUP(IK27,'Jan-2026 rates'!$E:$F,2,0)))</f>
        <v>0</v>
      </c>
      <c r="IZ27" s="409"/>
      <c r="JA27" s="398">
        <f>IF(IZ27=0,0,IF(LEN(IL27)=11,_xlfn.XLOOKUP(IL27,'Dispensed Ink Rates'!C:C,'Dispensed Ink Rates'!CS:CS),VLOOKUP(IL27,'Jan-2026 rates'!$E:$F,2,0)))</f>
        <v>0</v>
      </c>
      <c r="JB27" s="409"/>
      <c r="JC27" s="398">
        <f>IF(JB27=0,0,IF(LEN(IM27)=11,_xlfn.XLOOKUP(IM27,'Dispensed Ink Rates'!C:C,'Dispensed Ink Rates'!CS:CS),VLOOKUP(IM27,'Jan-2026 rates'!$E:$F,2,0)))</f>
        <v>0</v>
      </c>
      <c r="JD27" s="409" t="s">
        <v>1881</v>
      </c>
      <c r="JE27" s="409">
        <v>20</v>
      </c>
      <c r="JF27" s="411">
        <f t="shared" si="25"/>
        <v>0</v>
      </c>
      <c r="JG27" s="411">
        <f t="shared" si="26"/>
        <v>48.488372093023258</v>
      </c>
      <c r="JH27" s="410">
        <f t="shared" si="27"/>
        <v>0</v>
      </c>
      <c r="JI27" s="405"/>
      <c r="JJ27" s="409"/>
      <c r="JK27" s="420" t="str">
        <f t="shared" si="28"/>
        <v xml:space="preserve"> - </v>
      </c>
      <c r="JL27" s="409"/>
      <c r="JM27" s="411">
        <f>IF(JL27=0,0,IF($LB27=70%,VLOOKUP($JK27,'Jan-2026 rates'!$L:$R,4,0),IF($LB27=65%,VLOOKUP($JK27,'Jan-2026 rates'!$L:$R,4,0),IF($LB27=40%,VLOOKUP($JK27,'Jan-2026 rates'!$L:$R,5,0),IF($LB27=30%,VLOOKUP($JK27,'Jan-2026 rates'!$L:$R,6,0),IF($LB27=100%,VLOOKUP($JK27,'Jan-2026 rates'!$L:$R,7,0),IF($LB27=60%,VLOOKUP($JK27,'Jan-2026 rates'!$L:$S,8,0),IF($LB27=80%,VLOOKUP($JK27,'Jan-2026 rates'!L:T,9,0),0))))))))</f>
        <v>0</v>
      </c>
      <c r="JN27" s="412"/>
      <c r="JO27" s="409"/>
      <c r="JP27" s="411">
        <f>IF(JO27=0,0,IF($LB27=70%,VLOOKUP($JK27,'Jan-2026 rates'!$L:$R,4,0),IF($LB27=65%,VLOOKUP($JK27,'Jan-2026 rates'!$L:$R,4,0),IF($LB27=40%,VLOOKUP($JK27,'Jan-2026 rates'!$L:$R,5,0),IF($LB27=30%,VLOOKUP($JK27,'Jan-2026 rates'!$L:$R,6,0),IF($LB27=100%,VLOOKUP($JK27,'Jan-2026 rates'!$L:$R,7,0),IF($LB27=60%,VLOOKUP($JK27,'Jan-2026 rates'!$L:$S,8,0),IF($LB27=80%,VLOOKUP($JK27,'Jan-2026 rates'!L:T,9,0),0))))))))</f>
        <v>0</v>
      </c>
      <c r="JQ27" s="413"/>
      <c r="JR27" s="412"/>
      <c r="JS27" s="413"/>
      <c r="JT27" s="413"/>
      <c r="JU27" s="412"/>
      <c r="JV27" s="412"/>
      <c r="JW27" s="412"/>
      <c r="JX27" s="412"/>
      <c r="JY27" s="409"/>
      <c r="JZ27" s="398">
        <f>IF(JY27=0,0,IF(LEN(JQ27)=11,_xlfn.XLOOKUP(JQ27,'Dispensed Ink Rates'!C:C,'Dispensed Ink Rates'!CS:CS),VLOOKUP(JQ27,'Jan-2026 rates'!$E:$F,2,0)))</f>
        <v>0</v>
      </c>
      <c r="KA27" s="409"/>
      <c r="KB27" s="398">
        <f>IF(KA27=0,0,IF(LEN(JR27)=11,_xlfn.XLOOKUP(JR27,'Dispensed Ink Rates'!C:C,'Dispensed Ink Rates'!CS:CS),VLOOKUP(JR27,'Jan-2026 rates'!$E:$F,2,0)))</f>
        <v>0</v>
      </c>
      <c r="KC27" s="409"/>
      <c r="KD27" s="398">
        <f>IF(KC27=0,0,IF(LEN(JS27)=11,_xlfn.XLOOKUP(JS27,'Dispensed Ink Rates'!C:C,'Dispensed Ink Rates'!CS:CS),VLOOKUP(JS27,'Jan-2026 rates'!$E:$F,2,0)))</f>
        <v>0</v>
      </c>
      <c r="KE27" s="409"/>
      <c r="KF27" s="398">
        <f>IF(KE27=0,0,IF(LEN(JT27)=11,_xlfn.XLOOKUP(JT27,'Dispensed Ink Rates'!C:C,'Dispensed Ink Rates'!CS:CS),VLOOKUP(JT27,'Jan-2026 rates'!$E:$F,2,0)))</f>
        <v>0</v>
      </c>
      <c r="KG27" s="409"/>
      <c r="KH27" s="398">
        <f>IF(KG27=0,0,IF(LEN(JU27)=11,_xlfn.XLOOKUP(JU27,'Dispensed Ink Rates'!C:C,'Dispensed Ink Rates'!CS:CS),VLOOKUP(JU27,'Jan-2026 rates'!$E:$F,2,0)))</f>
        <v>0</v>
      </c>
      <c r="KI27" s="409"/>
      <c r="KJ27" s="398">
        <f>IF(KI27=0,0,IF(LEN(JV27)=11,_xlfn.XLOOKUP(JV27,'Dispensed Ink Rates'!C:C,'Dispensed Ink Rates'!CS:CS),VLOOKUP(JV27,'Jan-2026 rates'!$E:$F,2,0)))</f>
        <v>0</v>
      </c>
      <c r="KK27" s="409"/>
      <c r="KL27" s="398">
        <f>IF(KK27=0,0,IF(LEN(JW27)=11,_xlfn.XLOOKUP(JW27,'Dispensed Ink Rates'!C:C,'Dispensed Ink Rates'!CS:CS),VLOOKUP(JW27,'Jan-2026 rates'!$E:$F,2,0)))</f>
        <v>0</v>
      </c>
      <c r="KM27" s="428"/>
      <c r="KN27" s="398">
        <f>IF(KM27=0,0,IF(LEN(JX27)=11,_xlfn.XLOOKUP(JX27,'Dispensed Ink Rates'!C:C,'Dispensed Ink Rates'!CS:CS),VLOOKUP(JX27,'Jan-2026 rates'!$E:$F,2,0)))</f>
        <v>0</v>
      </c>
      <c r="KO27" s="409"/>
      <c r="KP27" s="409"/>
      <c r="KQ27" s="411">
        <f t="shared" si="29"/>
        <v>0</v>
      </c>
      <c r="KR27" s="411">
        <f t="shared" si="30"/>
        <v>0</v>
      </c>
      <c r="KS27" s="410">
        <f t="shared" si="31"/>
        <v>0</v>
      </c>
      <c r="KT27" s="409">
        <v>2</v>
      </c>
      <c r="KU27" s="409">
        <v>10</v>
      </c>
      <c r="KV27" s="409">
        <v>2</v>
      </c>
      <c r="KW27" s="409">
        <v>0</v>
      </c>
      <c r="KX27" s="409">
        <v>2</v>
      </c>
      <c r="KY27" s="409">
        <v>12</v>
      </c>
      <c r="KZ27" s="409">
        <v>15</v>
      </c>
      <c r="LA27" s="409">
        <v>0</v>
      </c>
      <c r="LB27" s="415">
        <v>0.3</v>
      </c>
      <c r="LC27" s="415"/>
      <c r="LD27" s="415"/>
      <c r="LE27" s="415">
        <v>0.5</v>
      </c>
      <c r="LF27" s="415">
        <v>0.2</v>
      </c>
      <c r="LG27" s="409">
        <v>0</v>
      </c>
      <c r="LH27" s="409">
        <f>15+8+9+15+6</f>
        <v>53</v>
      </c>
      <c r="LI27" s="409">
        <v>0</v>
      </c>
      <c r="LJ27" s="409">
        <v>0</v>
      </c>
      <c r="LK27" s="416">
        <f t="shared" si="32"/>
        <v>53</v>
      </c>
      <c r="LL27" s="416">
        <f t="shared" si="33"/>
        <v>53</v>
      </c>
      <c r="LM27" s="417">
        <f t="shared" si="34"/>
        <v>15.899999999999999</v>
      </c>
      <c r="LN27" s="417">
        <f>VLOOKUP($LM$8,'Jan-2026 rates'!$H:$I,2,0)</f>
        <v>0</v>
      </c>
      <c r="LO27" s="417">
        <f t="shared" si="35"/>
        <v>0</v>
      </c>
      <c r="LP27" s="417">
        <f>VLOOKUP($LO$8,'Jan-2026 rates'!$H:$I,2,0)</f>
        <v>0</v>
      </c>
      <c r="LQ27" s="417">
        <f t="shared" si="36"/>
        <v>0</v>
      </c>
      <c r="LR27" s="417">
        <f>VLOOKUP($LQ$8,'Jan-2026 rates'!$H:$I,2,0)</f>
        <v>0</v>
      </c>
      <c r="LS27" s="417">
        <f t="shared" si="37"/>
        <v>26.5</v>
      </c>
      <c r="LT27" s="417">
        <f>VLOOKUP($LS$8,'Jan-2026 rates'!$H:$I,2,0)</f>
        <v>0</v>
      </c>
      <c r="LU27" s="417">
        <f t="shared" si="38"/>
        <v>10.600000000000001</v>
      </c>
      <c r="LV27" s="417">
        <f>VLOOKUP($LU$8,'Jan-2026 rates'!$H:$I,2,0)</f>
        <v>0</v>
      </c>
      <c r="LW27" s="417">
        <f t="shared" si="39"/>
        <v>0</v>
      </c>
      <c r="LX27" s="417">
        <f t="shared" si="40"/>
        <v>0</v>
      </c>
      <c r="LY27" s="418">
        <f t="shared" si="41"/>
        <v>0</v>
      </c>
      <c r="LZ27" s="417"/>
      <c r="MA27" s="435">
        <f t="shared" si="42"/>
        <v>67.800000000000011</v>
      </c>
      <c r="MB27" s="282">
        <f t="shared" si="43"/>
        <v>76.800000000000011</v>
      </c>
      <c r="MC27" s="283" t="s">
        <v>1956</v>
      </c>
      <c r="MD27" s="284" t="str">
        <f t="shared" si="44"/>
        <v>ToyoLiToyoLiToyoLiToyoLiToyoLiToyoLiToyoLi</v>
      </c>
      <c r="ME27" s="293" t="str">
        <f t="shared" si="45"/>
        <v>+</v>
      </c>
      <c r="MF27" s="293" t="str">
        <f t="shared" si="46"/>
        <v>+</v>
      </c>
      <c r="MG27" s="293" t="str">
        <f t="shared" si="47"/>
        <v>+</v>
      </c>
      <c r="MH27" s="293" t="str">
        <f t="shared" si="48"/>
        <v>+</v>
      </c>
      <c r="MI27" s="293" t="str">
        <f t="shared" si="49"/>
        <v>+</v>
      </c>
      <c r="MJ27" s="293" t="str">
        <f t="shared" si="50"/>
        <v>+</v>
      </c>
      <c r="MK27" s="293" t="str">
        <f t="shared" si="51"/>
        <v>+</v>
      </c>
      <c r="ML27" s="293" t="str">
        <f t="shared" si="52"/>
        <v>NIL</v>
      </c>
      <c r="MM27" s="3" t="b">
        <f t="array" ref="MM27">OR(ME27:ML27="-")</f>
        <v>0</v>
      </c>
      <c r="MN27" s="285"/>
      <c r="MO27" s="401"/>
      <c r="MP27" s="286"/>
      <c r="MQ27" s="286"/>
      <c r="MR27" s="402"/>
      <c r="MS27" s="400"/>
      <c r="NH27" s="422"/>
      <c r="NJ27" s="421"/>
    </row>
    <row r="28" spans="1:374" s="1" customFormat="1" ht="16.5">
      <c r="A28" s="403">
        <v>46026</v>
      </c>
      <c r="B28" s="404" t="s">
        <v>1015</v>
      </c>
      <c r="C28" s="405" t="s">
        <v>2704</v>
      </c>
      <c r="D28" s="406" t="s">
        <v>1957</v>
      </c>
      <c r="E28" s="404">
        <v>36</v>
      </c>
      <c r="F28" s="407">
        <v>1700</v>
      </c>
      <c r="G28" s="407" t="s">
        <v>1016</v>
      </c>
      <c r="H28" s="408" t="s">
        <v>1017</v>
      </c>
      <c r="I28" s="409">
        <v>0.5</v>
      </c>
      <c r="J28" s="405" t="s">
        <v>543</v>
      </c>
      <c r="K28" s="404" t="s">
        <v>2705</v>
      </c>
      <c r="L28" s="419" t="str">
        <f t="shared" si="0"/>
        <v>ToyoLi - BLACK</v>
      </c>
      <c r="M28" s="404">
        <v>27</v>
      </c>
      <c r="N28" s="410">
        <f>IF(M28=0,0,IF($LB28=70%,VLOOKUP($L28,'Jan-2026 rates'!$L:$R,4,0),IF($LB28=65%,VLOOKUP($L28,'Jan-2026 rates'!$L:$R,4,0),IF($LB28=40%,VLOOKUP($L28,'Jan-2026 rates'!$L:$R,5,0),IF($LB28=30%,VLOOKUP($L28,'Jan-2026 rates'!$L:$R,6,0),IF($LB28=100%,VLOOKUP($L28,'Jan-2026 rates'!$L:$R,7,0),IF($LB28=60%,VLOOKUP($L28,'Jan-2026 rates'!$L:$S,8,0),IF($LB28=80%,VLOOKUP($L28,'Jan-2026 rates'!L:T,9,0),0))))))))</f>
        <v>0</v>
      </c>
      <c r="O28" s="406"/>
      <c r="P28" s="404"/>
      <c r="Q28" s="410">
        <f>IF(P28=0,0,IF($LB28=70%,VLOOKUP($L28,'Jan-2026 rates'!$L:$R,4,0),IF($LB28=65%,VLOOKUP($L28,'Jan-2026 rates'!$L:$R,4,0),IF($LB28=40%,VLOOKUP($L28,'Jan-2026 rates'!$L:$R,5,0),IF($LB28=30%,VLOOKUP($L28,'Jan-2026 rates'!$L:$R,6,0),IF($LB28=100%,VLOOKUP($L28,'Jan-2026 rates'!$L:$R,7,0),IF($LB28=60%,VLOOKUP($L28,'Jan-2026 rates'!$L:$S,8,0),IF($LB28=80%,VLOOKUP($L28,'Jan-2026 rates'!L:T,9,0),0))))))))</f>
        <v>0</v>
      </c>
      <c r="R28" s="406" t="s">
        <v>1252</v>
      </c>
      <c r="S28" s="406"/>
      <c r="T28" s="406"/>
      <c r="U28" s="406"/>
      <c r="V28" s="406"/>
      <c r="W28" s="406"/>
      <c r="X28" s="406"/>
      <c r="Y28" s="406"/>
      <c r="Z28" s="404">
        <v>1</v>
      </c>
      <c r="AA28" s="398">
        <f>IF(Z28=0,0,IF(LEN(R28)=11,_xlfn.XLOOKUP(R28,'Dispensed Ink Rates'!C:C,'Dispensed Ink Rates'!CS:CS),VLOOKUP(R28,'Jan-2026 rates'!$E:$F,2,0)))</f>
        <v>0</v>
      </c>
      <c r="AB28" s="404"/>
      <c r="AC28" s="398">
        <f>IF(AB28=0,0,IF(LEN(S28)=11,_xlfn.XLOOKUP(S28,'Dispensed Ink Rates'!C:C,'Dispensed Ink Rates'!CS:CS),VLOOKUP(S28,'Jan-2026 rates'!$E:$F,2,0)))</f>
        <v>0</v>
      </c>
      <c r="AD28" s="404"/>
      <c r="AE28" s="398">
        <f>IF(AD28=0,0,IF(LEN(T28)=11,_xlfn.XLOOKUP(T28,'Dispensed Ink Rates'!C:C,'Dispensed Ink Rates'!CS:CS),VLOOKUP(T28,'Jan-2026 rates'!$E:$F,2,0)))</f>
        <v>0</v>
      </c>
      <c r="AF28" s="404"/>
      <c r="AG28" s="398">
        <f>IF(AF28=0,0,IF(LEN(U28)=11,_xlfn.XLOOKUP(U28,'Dispensed Ink Rates'!C:C,'Dispensed Ink Rates'!CS:CS),VLOOKUP(U28,'Jan-2026 rates'!$E:$F,2,0)))</f>
        <v>0</v>
      </c>
      <c r="AH28" s="404"/>
      <c r="AI28" s="398">
        <f>IF(AH28=0,0,IF(LEN(V28)=11,_xlfn.XLOOKUP(V28,'Dispensed Ink Rates'!C:C,'Dispensed Ink Rates'!CS:CS),VLOOKUP(V28,'Jan-2026 rates'!$E:$F,2,0)))</f>
        <v>0</v>
      </c>
      <c r="AJ28" s="404"/>
      <c r="AK28" s="398">
        <f>IF(AJ28=0,0,IF(LEN(W28)=11,_xlfn.XLOOKUP(W28,'Dispensed Ink Rates'!C:C,'Dispensed Ink Rates'!CS:CS),VLOOKUP(W28,'Jan-2026 rates'!$E:$F,2,0)))</f>
        <v>0</v>
      </c>
      <c r="AL28" s="404"/>
      <c r="AM28" s="398">
        <f>IF(AL28=0,0,IF(LEN(X28)=11,_xlfn.XLOOKUP(X28,'Dispensed Ink Rates'!C:C,'Dispensed Ink Rates'!CS:CS),VLOOKUP(X28,'Jan-2026 rates'!$E:$F,2,0)))</f>
        <v>0</v>
      </c>
      <c r="AN28" s="404"/>
      <c r="AO28" s="398">
        <f>IF(AN28=0,0,IF(LEN(Y28)=11,_xlfn.XLOOKUP(Y28,'Dispensed Ink Rates'!C:C,'Dispensed Ink Rates'!CS:CS),VLOOKUP(Y28,'Jan-2026 rates'!$E:$F,2,0)))</f>
        <v>0</v>
      </c>
      <c r="AP28" s="409" t="s">
        <v>1881</v>
      </c>
      <c r="AQ28" s="409">
        <v>24</v>
      </c>
      <c r="AR28" s="410">
        <f t="shared" si="1"/>
        <v>0</v>
      </c>
      <c r="AS28" s="411">
        <f t="shared" si="2"/>
        <v>19</v>
      </c>
      <c r="AT28" s="410">
        <f t="shared" si="3"/>
        <v>0</v>
      </c>
      <c r="AU28" s="405" t="s">
        <v>855</v>
      </c>
      <c r="AV28" s="409" t="s">
        <v>2706</v>
      </c>
      <c r="AW28" s="420" t="str">
        <f t="shared" si="4"/>
        <v>ToyoLi - CYAN</v>
      </c>
      <c r="AX28" s="409">
        <v>29</v>
      </c>
      <c r="AY28" s="411">
        <f>IF(AX28=0,0,IF($LB28=70%,VLOOKUP($AW28,'Jan-2026 rates'!$L:$R,4,0),IF($LB28=65%,VLOOKUP($AW28,'Jan-2026 rates'!$L:$R,4,0),IF($LB28=40%,VLOOKUP($AW28,'Jan-2026 rates'!$L:$R,5,0),IF($LB28=30%,VLOOKUP($AW28,'Jan-2026 rates'!$L:$R,6,0),IF($LB28=100%,VLOOKUP($AW28,'Jan-2026 rates'!$L:$R,7,0),IF($LB28=60%,VLOOKUP($AW28,'Jan-2026 rates'!$L:$S,8,0),IF($LB28=80%,VLOOKUP($AW28,'Jan-2026 rates'!L:T,9,0),0))))))))</f>
        <v>0</v>
      </c>
      <c r="AZ28" s="412"/>
      <c r="BA28" s="409"/>
      <c r="BB28" s="411">
        <f>IF(BA28=0,0,IF($LB28=70%,VLOOKUP($AW28,'Jan-2026 rates'!$L:$R,4,0),IF($LB28=65%,VLOOKUP($AW28,'Jan-2026 rates'!$L:$R,4,0),IF($LB28=40%,VLOOKUP($AW28,'Jan-2026 rates'!$L:$R,5,0),IF($LB28=30%,VLOOKUP($AW28,'Jan-2026 rates'!$L:$R,6,0),IF($LB28=100%,VLOOKUP($AW28,'Jan-2026 rates'!$L:$R,7,0),IF($LB28=60%,VLOOKUP($AW28,'Jan-2026 rates'!$L:$S,8,0),IF($LB28=80%,VLOOKUP($AW28,'Jan-2026 rates'!L:T,9,0),0))))))))</f>
        <v>0</v>
      </c>
      <c r="BC28" s="413" t="s">
        <v>1921</v>
      </c>
      <c r="BD28" s="412"/>
      <c r="BE28" s="412"/>
      <c r="BF28" s="413"/>
      <c r="BG28" s="412"/>
      <c r="BH28" s="412"/>
      <c r="BI28" s="412"/>
      <c r="BJ28" s="412"/>
      <c r="BK28" s="409">
        <v>2</v>
      </c>
      <c r="BL28" s="398">
        <f>IF(BK28=0,0,IF(LEN(BC28)=11,_xlfn.XLOOKUP(BC28,'Dispensed Ink Rates'!C:C,'Dispensed Ink Rates'!CS:CS),VLOOKUP(BC28,'Jan-2026 rates'!$E:$F,2,0)))</f>
        <v>0</v>
      </c>
      <c r="BM28" s="409"/>
      <c r="BN28" s="398">
        <f>IF(BM28=0,0,IF(LEN(BD28)=11,_xlfn.XLOOKUP(BD28,'Dispensed Ink Rates'!C:C,'Dispensed Ink Rates'!CS:CS),VLOOKUP(BD28,'Jan-2026 rates'!$E:$F,2,0)))</f>
        <v>0</v>
      </c>
      <c r="BO28" s="409"/>
      <c r="BP28" s="398">
        <f>IF(BO28=0,0,IF(LEN(BE28)=11,_xlfn.XLOOKUP(BE28,'Dispensed Ink Rates'!C:C,'Dispensed Ink Rates'!CS:CS),VLOOKUP(BE28,'Jan-2026 rates'!$E:$F,2,0)))</f>
        <v>0</v>
      </c>
      <c r="BQ28" s="409"/>
      <c r="BR28" s="398">
        <f>IF(BQ28=0,0,IF(LEN(BF28)=11,_xlfn.XLOOKUP(BF28,'Dispensed Ink Rates'!C:C,'Dispensed Ink Rates'!CS:CS),VLOOKUP(BF28,'Jan-2026 rates'!$E:$F,2,0)))</f>
        <v>0</v>
      </c>
      <c r="BS28" s="409"/>
      <c r="BT28" s="398">
        <f>IF(BS28=0,0,IF(LEN(BG28)=11,_xlfn.XLOOKUP(BG28,'Dispensed Ink Rates'!C:C,'Dispensed Ink Rates'!CS:CS),VLOOKUP(BG28,'Jan-2026 rates'!$E:$F,2,0)))</f>
        <v>0</v>
      </c>
      <c r="BU28" s="409"/>
      <c r="BV28" s="398">
        <f>IF(BU28=0,0,IF(LEN(BH28)=11,_xlfn.XLOOKUP(BH28,'Dispensed Ink Rates'!C:C,'Dispensed Ink Rates'!CS:CS),VLOOKUP(BH28,'Jan-2026 rates'!$E:$F,2,0)))</f>
        <v>0</v>
      </c>
      <c r="BW28" s="409"/>
      <c r="BX28" s="398">
        <f>IF(BW28=0,0,IF(LEN(BI28)=11,_xlfn.XLOOKUP(BI28,'Dispensed Ink Rates'!C:C,'Dispensed Ink Rates'!CS:CS),VLOOKUP(BI28,'Jan-2026 rates'!$E:$F,2,0)))</f>
        <v>0</v>
      </c>
      <c r="BY28" s="409"/>
      <c r="BZ28" s="398">
        <f>IF(BY28=0,0,IF(LEN(BJ28)=11,_xlfn.XLOOKUP(BJ28,'Dispensed Ink Rates'!C:C,'Dispensed Ink Rates'!CS:CS),VLOOKUP(BJ28,'Jan-2026 rates'!$E:$F,2,0)))</f>
        <v>0</v>
      </c>
      <c r="CA28" s="409" t="s">
        <v>1881</v>
      </c>
      <c r="CB28" s="409">
        <v>25</v>
      </c>
      <c r="CC28" s="411">
        <f t="shared" si="5"/>
        <v>0</v>
      </c>
      <c r="CD28" s="411">
        <f t="shared" si="6"/>
        <v>21</v>
      </c>
      <c r="CE28" s="410">
        <f t="shared" si="7"/>
        <v>0</v>
      </c>
      <c r="CF28" s="404"/>
      <c r="CG28" s="409"/>
      <c r="CH28" s="420" t="str">
        <f t="shared" si="8"/>
        <v xml:space="preserve"> - </v>
      </c>
      <c r="CI28" s="409"/>
      <c r="CJ28" s="411">
        <f>IF(CI28=0,0,IF($LB28=70%,VLOOKUP($CH28,'Jan-2026 rates'!$L:$R,4,0),IF($LB28=65%,VLOOKUP($CH28,'Jan-2026 rates'!$L:$R,4,0),IF($LB28=40%,VLOOKUP($CH28,'Jan-2026 rates'!$L:$R,5,0),IF($LB28=30%,VLOOKUP($CH28,'Jan-2026 rates'!$L:$R,6,0),IF($LB28=100%,VLOOKUP($CH28,'Jan-2026 rates'!$L:$R,7,0),IF($LB28=60%,VLOOKUP($CH28,'Jan-2026 rates'!$L:$S,8,0),IF($LB28=80%,VLOOKUP($CH28,'Jan-2026 rates'!L:T,9,0),0))))))))</f>
        <v>0</v>
      </c>
      <c r="CK28" s="412"/>
      <c r="CL28" s="409"/>
      <c r="CM28" s="411">
        <f>IF(CL28=0,0,IF($LB28=70%,VLOOKUP($CH28,'Jan-2026 rates'!$L:$R,4,0),IF($LB28=65%,VLOOKUP($CH28,'Jan-2026 rates'!$L:$R,4,0),IF($LB28=40%,VLOOKUP($CH28,'Jan-2026 rates'!$L:$R,5,0),IF($LB28=30%,VLOOKUP($CH28,'Jan-2026 rates'!$L:$R,6,0),IF($LB28=100%,VLOOKUP($CH28,'Jan-2026 rates'!$L:$R,7,0),IF($LB28=60%,VLOOKUP($CH28,'Jan-2026 rates'!$L:$S,8,0),IF($LB28=80%,VLOOKUP($CH28,'Jan-2026 rates'!L:T,9,0),0))))))))</f>
        <v>0</v>
      </c>
      <c r="CN28" s="426"/>
      <c r="CO28" s="427"/>
      <c r="CP28" s="426"/>
      <c r="CQ28" s="426"/>
      <c r="CR28" s="428"/>
      <c r="CS28" s="428"/>
      <c r="CT28" s="428"/>
      <c r="CU28" s="428"/>
      <c r="CV28" s="409"/>
      <c r="CW28" s="398">
        <f>IF(CV28=0,0,IF(LEN(CN28)=11,_xlfn.XLOOKUP(CN28,'Dispensed Ink Rates'!C:C,'Dispensed Ink Rates'!CS:CS),VLOOKUP(CN28,'Jan-2026 rates'!$E:$F,2,0)))</f>
        <v>0</v>
      </c>
      <c r="CX28" s="409"/>
      <c r="CY28" s="398">
        <f>IF(CX28=0,0,IF(LEN(CO28)=11,_xlfn.XLOOKUP(CO28,'Dispensed Ink Rates'!C:C,'Dispensed Ink Rates'!CS:CS),VLOOKUP(CO28,'Jan-2026 rates'!$E:$F,2,0)))</f>
        <v>0</v>
      </c>
      <c r="CZ28" s="409"/>
      <c r="DA28" s="398">
        <f>IF(CZ28=0,0,IF(LEN(CP28)=11,_xlfn.XLOOKUP(CP28,'Dispensed Ink Rates'!C:C,'Dispensed Ink Rates'!CS:CS),VLOOKUP(CP28,'Jan-2026 rates'!$E:$F,2,0)))</f>
        <v>0</v>
      </c>
      <c r="DB28" s="409"/>
      <c r="DC28" s="398">
        <f>IF(DB28=0,0,IF(LEN(CQ28)=11,_xlfn.XLOOKUP(CQ28,'Dispensed Ink Rates'!C:C,'Dispensed Ink Rates'!CS:CS),VLOOKUP(CQ28,'Jan-2026 rates'!$E:$F,2,0)))</f>
        <v>0</v>
      </c>
      <c r="DD28" s="409"/>
      <c r="DE28" s="398">
        <f>IF(DD28=0,0,IF(LEN(CR28)=11,_xlfn.XLOOKUP(CR28,'Dispensed Ink Rates'!C:C,'Dispensed Ink Rates'!CS:CS),VLOOKUP(CR28,'Jan-2026 rates'!$E:$F,2,0)))</f>
        <v>0</v>
      </c>
      <c r="DF28" s="409"/>
      <c r="DG28" s="398">
        <f>IF(DF28=0,0,IF(LEN(CS28)=11,_xlfn.XLOOKUP(CS28,'Dispensed Ink Rates'!C:C,'Dispensed Ink Rates'!CS:CS),VLOOKUP(CS28,'Jan-2026 rates'!$E:$F,2,0)))</f>
        <v>0</v>
      </c>
      <c r="DH28" s="409"/>
      <c r="DI28" s="398">
        <f>IF(DH28=0,0,IF(LEN(CT28)=11,_xlfn.XLOOKUP(CT28,'Dispensed Ink Rates'!C:C,'Dispensed Ink Rates'!CS:CS),VLOOKUP(CT28,'Jan-2026 rates'!$E:$F,2,0)))</f>
        <v>0</v>
      </c>
      <c r="DJ28" s="409"/>
      <c r="DK28" s="398">
        <f>IF(DJ28=0,0,IF(LEN(CU28)=11,_xlfn.XLOOKUP(CU28,'Dispensed Ink Rates'!C:C,'Dispensed Ink Rates'!CS:CS),VLOOKUP(CU28,'Jan-2026 rates'!$E:$F,2,0)))</f>
        <v>0</v>
      </c>
      <c r="DL28" s="409"/>
      <c r="DM28" s="409"/>
      <c r="DN28" s="411">
        <f t="shared" si="9"/>
        <v>0</v>
      </c>
      <c r="DO28" s="411">
        <f t="shared" si="10"/>
        <v>0</v>
      </c>
      <c r="DP28" s="410">
        <f t="shared" si="11"/>
        <v>0</v>
      </c>
      <c r="DQ28" s="405"/>
      <c r="DR28" s="409"/>
      <c r="DS28" s="420" t="str">
        <f t="shared" si="12"/>
        <v xml:space="preserve"> - </v>
      </c>
      <c r="DT28" s="409"/>
      <c r="DU28" s="411">
        <f>IF(DT28=0,0,IF($LB28=70%,VLOOKUP($DS28,'Jan-2026 rates'!$L:$R,4,0),IF($LB28=65%,VLOOKUP($DS28,'Jan-2026 rates'!$L:$R,4,0),IF($LB28=40%,VLOOKUP($DS28,'Jan-2026 rates'!$L:$R,5,0),IF($LB28=30%,VLOOKUP($DS28,'Jan-2026 rates'!$L:$R,6,0),IF($LB28=100%,VLOOKUP($DS28,'Jan-2026 rates'!$L:$R,7,0),IF($LB28=60%,VLOOKUP($DS28,'Jan-2026 rates'!$L:$S,8,0),IF($LB28=80%,VLOOKUP($DS28,'Jan-2026 rates'!L:T,9,0),0))))))))</f>
        <v>0</v>
      </c>
      <c r="DV28" s="412"/>
      <c r="DW28" s="409"/>
      <c r="DX28" s="411">
        <f>IF(DW28=0,0,IF($LB28=70%,VLOOKUP($DS28,'Jan-2026 rates'!$L:$R,4,0),IF($LB28=65%,VLOOKUP($DS28,'Jan-2026 rates'!$L:$R,4,0),IF($LB28=40%,VLOOKUP($DS28,'Jan-2026 rates'!$L:$R,5,0),IF($LB28=30%,VLOOKUP($DS28,'Jan-2026 rates'!$L:$R,6,0),IF($LB28=100%,VLOOKUP($DS28,'Jan-2026 rates'!$L:$R,7,0),IF($LB28=60%,VLOOKUP($DS28,'Jan-2026 rates'!$L:$S,8,0),IF($LB28=80%,VLOOKUP($DS28,'Jan-2026 rates'!L:T,9,0),0))))))))</f>
        <v>0</v>
      </c>
      <c r="DY28" s="413"/>
      <c r="DZ28" s="413"/>
      <c r="EA28" s="412"/>
      <c r="EB28" s="412"/>
      <c r="EC28" s="412"/>
      <c r="ED28" s="412"/>
      <c r="EE28" s="412"/>
      <c r="EF28" s="412"/>
      <c r="EG28" s="409"/>
      <c r="EH28" s="398">
        <f>IF(EG28=0,0,IF(LEN(DY28)=11,_xlfn.XLOOKUP(DY28,'Dispensed Ink Rates'!C:C,'Dispensed Ink Rates'!CS:CS),VLOOKUP(DY28,'Jan-2026 rates'!$E:$F,2,0)))</f>
        <v>0</v>
      </c>
      <c r="EI28" s="409"/>
      <c r="EJ28" s="398">
        <f>IF(EI28=0,0,IF(LEN(DZ28)=11,_xlfn.XLOOKUP(DZ28,'Dispensed Ink Rates'!C:C,'Dispensed Ink Rates'!CS:CS),VLOOKUP(DZ28,'Jan-2026 rates'!$E:$F,2,0)))</f>
        <v>0</v>
      </c>
      <c r="EK28" s="409"/>
      <c r="EL28" s="398">
        <f>IF(EK28=0,0,IF(LEN(EA28)=11,_xlfn.XLOOKUP(EA28,'Dispensed Ink Rates'!C:C,'Dispensed Ink Rates'!CS:CS),VLOOKUP(EA28,'Jan-2026 rates'!$E:$F,2,0)))</f>
        <v>0</v>
      </c>
      <c r="EM28" s="409"/>
      <c r="EN28" s="398">
        <f>IF(EM28=0,0,IF(LEN(EB28)=11,_xlfn.XLOOKUP(EB28,'Dispensed Ink Rates'!C:C,'Dispensed Ink Rates'!CS:CS),VLOOKUP(EB28,'Jan-2026 rates'!$E:$F,2,0)))</f>
        <v>0</v>
      </c>
      <c r="EO28" s="409"/>
      <c r="EP28" s="398">
        <f>IF(EO28=0,0,IF(LEN(EC28)=11,_xlfn.XLOOKUP(EC28,'Dispensed Ink Rates'!C:C,'Dispensed Ink Rates'!CS:CS),VLOOKUP(EC28,'Jan-2026 rates'!$E:$F,2,0)))</f>
        <v>0</v>
      </c>
      <c r="EQ28" s="409"/>
      <c r="ER28" s="398">
        <f>IF(EQ28=0,0,IF(LEN(ED28)=11,_xlfn.XLOOKUP(ED28,'Dispensed Ink Rates'!C:C,'Dispensed Ink Rates'!CS:CS),VLOOKUP(ED28,'Jan-2026 rates'!$E:$F,2,0)))</f>
        <v>0</v>
      </c>
      <c r="ES28" s="409"/>
      <c r="ET28" s="398">
        <f>IF(ES28=0,0,IF(LEN(EE28)=11,_xlfn.XLOOKUP(EE28,'Dispensed Ink Rates'!C:C,'Dispensed Ink Rates'!CS:CS),VLOOKUP(EE28,'Jan-2026 rates'!$E:$F,2,0)))</f>
        <v>0</v>
      </c>
      <c r="EU28" s="409"/>
      <c r="EV28" s="398">
        <f>IF(EU28=0,0,IF(LEN(EF28)=11,_xlfn.XLOOKUP(EF28,'Dispensed Ink Rates'!C:C,'Dispensed Ink Rates'!CS:CS),VLOOKUP(EF28,'Jan-2026 rates'!$E:$F,2,0)))</f>
        <v>0</v>
      </c>
      <c r="EW28" s="409"/>
      <c r="EX28" s="409"/>
      <c r="EY28" s="411">
        <f t="shared" si="13"/>
        <v>0</v>
      </c>
      <c r="EZ28" s="411">
        <f t="shared" si="14"/>
        <v>0</v>
      </c>
      <c r="FA28" s="410">
        <f t="shared" si="15"/>
        <v>0</v>
      </c>
      <c r="FB28" s="405"/>
      <c r="FC28" s="409"/>
      <c r="FD28" s="420" t="str">
        <f t="shared" si="16"/>
        <v xml:space="preserve"> - </v>
      </c>
      <c r="FE28" s="409"/>
      <c r="FF28" s="411">
        <f>IF(FE28=0,0,IF($LB28=70%,VLOOKUP($FD28,'Jan-2026 rates'!$L:$R,4,0),IF($LB28=65%,VLOOKUP($FD28,'Jan-2026 rates'!$L:$R,4,0),IF($LB28=40%,VLOOKUP($FD28,'Jan-2026 rates'!$L:$R,5,0),IF($LB28=30%,VLOOKUP($FD28,'Jan-2026 rates'!$L:$R,6,0),IF($LB28=100%,VLOOKUP($FD28,'Jan-2026 rates'!$L:$R,7,0),IF($LB28=60%,VLOOKUP($FD28,'Jan-2026 rates'!$L:$S,8,0),IF($LB28=80%,VLOOKUP($FD28,'Jan-2026 rates'!L:T,9,0),0))))))))</f>
        <v>0</v>
      </c>
      <c r="FG28" s="412"/>
      <c r="FH28" s="409"/>
      <c r="FI28" s="411">
        <f>IF(FH28=0,0,IF($LB28=70%,VLOOKUP($FD28,'Jan-2026 rates'!$L:$R,4,0),IF($LB28=65%,VLOOKUP($FD28,'Jan-2026 rates'!$L:$R,4,0),IF($LB28=40%,VLOOKUP($FD28,'Jan-2026 rates'!$L:$R,5,0),IF($LB28=30%,VLOOKUP($FD28,'Jan-2026 rates'!$L:$R,6,0),IF($LB28=100%,VLOOKUP($FD28,'Jan-2026 rates'!$L:$R,7,0),IF($LB28=60%,VLOOKUP($FD28,'Jan-2026 rates'!$L:$S,8,0),IF($LB28=80%,VLOOKUP($FD28,'Jan-2026 rates'!L:T,9,0),0))))))))</f>
        <v>0</v>
      </c>
      <c r="FJ28" s="413"/>
      <c r="FK28" s="413"/>
      <c r="FL28" s="413"/>
      <c r="FM28" s="412"/>
      <c r="FN28" s="412"/>
      <c r="FO28" s="412"/>
      <c r="FP28" s="412"/>
      <c r="FQ28" s="412"/>
      <c r="FR28" s="409"/>
      <c r="FS28" s="398">
        <f>IF(FR28=0,0,IF(LEN(FJ28)=11,_xlfn.XLOOKUP(FJ28,'Dispensed Ink Rates'!C:C,'Dispensed Ink Rates'!CS:CS),VLOOKUP(FJ28,'Jan-2026 rates'!$E:$F,2,0)))</f>
        <v>0</v>
      </c>
      <c r="FT28" s="409"/>
      <c r="FU28" s="398">
        <f>IF(FT28=0,0,IF(LEN(FK28)=11,_xlfn.XLOOKUP(FK28,'Dispensed Ink Rates'!C:C,'Dispensed Ink Rates'!CS:CS),VLOOKUP(FK28,'Jan-2026 rates'!$E:$F,2,0)))</f>
        <v>0</v>
      </c>
      <c r="FV28" s="409"/>
      <c r="FW28" s="398">
        <f>IF(FV28=0,0,IF(LEN(FL28)=11,_xlfn.XLOOKUP(FL28,'Dispensed Ink Rates'!C:C,'Dispensed Ink Rates'!CS:CS),VLOOKUP(FL28,'Jan-2026 rates'!$E:$F,2,0)))</f>
        <v>0</v>
      </c>
      <c r="FX28" s="409"/>
      <c r="FY28" s="398">
        <f>IF(FX28=0,0,IF(LEN(FM28)=11,_xlfn.XLOOKUP(FM28,'Dispensed Ink Rates'!C:C,'Dispensed Ink Rates'!CS:CS),VLOOKUP(FM28,'Jan-2026 rates'!$E:$F,2,0)))</f>
        <v>0</v>
      </c>
      <c r="FZ28" s="409"/>
      <c r="GA28" s="398">
        <f>IF(FZ28=0,0,IF(LEN(FN28)=11,_xlfn.XLOOKUP(FN28,'Dispensed Ink Rates'!C:C,'Dispensed Ink Rates'!CS:CS),VLOOKUP(FN28,'Jan-2026 rates'!$E:$F,2,0)))</f>
        <v>0</v>
      </c>
      <c r="GB28" s="409"/>
      <c r="GC28" s="398">
        <f>IF(GB28=0,0,IF(LEN(FO28)=11,_xlfn.XLOOKUP(FO28,'Dispensed Ink Rates'!C:C,'Dispensed Ink Rates'!CS:CS),VLOOKUP(FO28,'Jan-2026 rates'!$E:$F,2,0)))</f>
        <v>0</v>
      </c>
      <c r="GD28" s="409"/>
      <c r="GE28" s="398">
        <f>IF(GD28=0,0,IF(LEN(FP28)=11,_xlfn.XLOOKUP(FP28,'Dispensed Ink Rates'!C:C,'Dispensed Ink Rates'!CS:CS),VLOOKUP(FP28,'Jan-2026 rates'!$E:$F,2,0)))</f>
        <v>0</v>
      </c>
      <c r="GF28" s="409"/>
      <c r="GG28" s="398">
        <f>IF(GF28=0,0,IF(LEN(FQ28)=11,_xlfn.XLOOKUP(FQ28,'Dispensed Ink Rates'!C:C,'Dispensed Ink Rates'!CS:CS),VLOOKUP(FQ28,'Jan-2026 rates'!$E:$F,2,0)))</f>
        <v>0</v>
      </c>
      <c r="GH28" s="409"/>
      <c r="GI28" s="409"/>
      <c r="GJ28" s="411">
        <f t="shared" si="17"/>
        <v>0</v>
      </c>
      <c r="GK28" s="411">
        <f t="shared" si="18"/>
        <v>0</v>
      </c>
      <c r="GL28" s="410">
        <f t="shared" si="19"/>
        <v>0</v>
      </c>
      <c r="GM28" s="405"/>
      <c r="GN28" s="409"/>
      <c r="GO28" s="420" t="str">
        <f t="shared" si="20"/>
        <v xml:space="preserve"> - </v>
      </c>
      <c r="GP28" s="409"/>
      <c r="GQ28" s="411">
        <f>IF(GP28=0,0,IF($LB28=70%,VLOOKUP($GO28,'Jan-2026 rates'!$L:$R,4,0),IF($LB28=65%,VLOOKUP($GO28,'Jan-2026 rates'!$L:$R,4,0),IF($LB28=40%,VLOOKUP($GO28,'Jan-2026 rates'!$L:$R,5,0),IF($LB28=30%,VLOOKUP($GO28,'Jan-2026 rates'!$L:$R,6,0),IF($LB28=100%,VLOOKUP($GO28,'Jan-2026 rates'!$L:$R,7,0),IF($LB28=60%,VLOOKUP($GO28,'Jan-2026 rates'!$L:$S,8,0),IF($LB28=80%,VLOOKUP($GO28,'Jan-2026 rates'!L:T,9,0),0))))))))</f>
        <v>0</v>
      </c>
      <c r="GR28" s="412"/>
      <c r="GS28" s="409"/>
      <c r="GT28" s="411">
        <f>IF(GS28=0,0,IF($LB28=70%,VLOOKUP($GO28,'Jan-2026 rates'!$L:$R,4,0),IF($LB28=65%,VLOOKUP($GO28,'Jan-2026 rates'!$L:$R,4,0),IF($LB28=40%,VLOOKUP($GO28,'Jan-2026 rates'!$L:$R,5,0),IF($LB28=30%,VLOOKUP($GO28,'Jan-2026 rates'!$L:$R,6,0),IF($LB28=100%,VLOOKUP($GO28,'Jan-2026 rates'!$L:$R,7,0),IF($LB28=60%,VLOOKUP($GO28,'Jan-2026 rates'!$L:$S,8,0),IF($LB28=80%,VLOOKUP($GO28,'Jan-2026 rates'!L:T,9,0),0))))))))</f>
        <v>0</v>
      </c>
      <c r="GU28" s="413"/>
      <c r="GV28" s="413"/>
      <c r="GW28" s="412"/>
      <c r="GX28" s="412"/>
      <c r="GY28" s="412"/>
      <c r="GZ28" s="412"/>
      <c r="HA28" s="412"/>
      <c r="HB28" s="412"/>
      <c r="HC28" s="409"/>
      <c r="HD28" s="398">
        <f>IF(HC28=0,0,IF(LEN(GU28)=11,_xlfn.XLOOKUP(GU28,'Dispensed Ink Rates'!C:C,'Dispensed Ink Rates'!CS:CS),VLOOKUP(GU28,'Jan-2026 rates'!$E:$F,2,0)))</f>
        <v>0</v>
      </c>
      <c r="HE28" s="409"/>
      <c r="HF28" s="398">
        <f>IF(HE28=0,0,IF(LEN(GV28)=11,_xlfn.XLOOKUP(GV28,'Dispensed Ink Rates'!C:C,'Dispensed Ink Rates'!CS:CS),VLOOKUP(GV28,'Jan-2026 rates'!$E:$F,2,0)))</f>
        <v>0</v>
      </c>
      <c r="HG28" s="409"/>
      <c r="HH28" s="398">
        <f>IF(HG28=0,0,IF(LEN(GW28)=11,_xlfn.XLOOKUP(GW28,'Dispensed Ink Rates'!C:C,'Dispensed Ink Rates'!CS:CS),VLOOKUP(GW28,'Jan-2026 rates'!$E:$F,2,0)))</f>
        <v>0</v>
      </c>
      <c r="HI28" s="409"/>
      <c r="HJ28" s="398">
        <f>IF(HI28=0,0,IF(LEN(GX28)=11,_xlfn.XLOOKUP(GX28,'Dispensed Ink Rates'!C:C,'Dispensed Ink Rates'!CS:CS),VLOOKUP(GX28,'Jan-2026 rates'!$E:$F,2,0)))</f>
        <v>0</v>
      </c>
      <c r="HK28" s="409"/>
      <c r="HL28" s="398">
        <f>IF(HK28=0,0,IF(LEN(GY28)=11,_xlfn.XLOOKUP(GY28,'Dispensed Ink Rates'!C:C,'Dispensed Ink Rates'!CS:CS),VLOOKUP(GY28,'Jan-2026 rates'!$E:$F,2,0)))</f>
        <v>0</v>
      </c>
      <c r="HM28" s="409"/>
      <c r="HN28" s="398">
        <f>IF(HM28=0,0,IF(LEN(GZ28)=11,_xlfn.XLOOKUP(GZ28,'Dispensed Ink Rates'!C:C,'Dispensed Ink Rates'!CS:CS),VLOOKUP(GZ28,'Jan-2026 rates'!$E:$F,2,0)))</f>
        <v>0</v>
      </c>
      <c r="HO28" s="409"/>
      <c r="HP28" s="398">
        <f>IF(HO28=0,0,IF(LEN(HA28)=11,_xlfn.XLOOKUP(HA28,'Dispensed Ink Rates'!C:C,'Dispensed Ink Rates'!CS:CS),VLOOKUP(HA28,'Jan-2026 rates'!$E:$F,2,0)))</f>
        <v>0</v>
      </c>
      <c r="HQ28" s="409"/>
      <c r="HR28" s="398">
        <f>IF(HQ28=0,0,IF(LEN(HB28)=11,_xlfn.XLOOKUP(HB28,'Dispensed Ink Rates'!C:C,'Dispensed Ink Rates'!CS:CS),VLOOKUP(HB28,'Jan-2026 rates'!$E:$F,2,0)))</f>
        <v>0</v>
      </c>
      <c r="HS28" s="409"/>
      <c r="HT28" s="409"/>
      <c r="HU28" s="411">
        <f t="shared" si="21"/>
        <v>0</v>
      </c>
      <c r="HV28" s="411">
        <f t="shared" si="22"/>
        <v>0</v>
      </c>
      <c r="HW28" s="414">
        <f t="shared" si="23"/>
        <v>0</v>
      </c>
      <c r="HX28" s="405"/>
      <c r="HY28" s="409"/>
      <c r="HZ28" s="420" t="str">
        <f t="shared" si="24"/>
        <v xml:space="preserve"> - </v>
      </c>
      <c r="IA28" s="409"/>
      <c r="IB28" s="411">
        <f>IF(IA28=0,0,IF($LB28=70%,VLOOKUP($HZ28,'Jan-2026 rates'!$L:$R,4,0),IF($LB28=65%,VLOOKUP($HZ28,'Jan-2026 rates'!$L:$R,4,0),IF($LB28=40%,VLOOKUP($HZ28,'Jan-2026 rates'!$L:$R,5,0),IF($LB28=30%,VLOOKUP($HZ28,'Jan-2026 rates'!$L:$R,6,0),IF($LB28=100%,VLOOKUP($HZ28,'Jan-2026 rates'!$L:$R,7,0),IF($LB28=60%,VLOOKUP($HZ28,'Jan-2026 rates'!$L:$S,8,0),IF($LB28=80%,VLOOKUP($HZ28,'Jan-2026 rates'!L:T,9,0),0))))))))</f>
        <v>0</v>
      </c>
      <c r="IC28" s="412"/>
      <c r="ID28" s="409"/>
      <c r="IE28" s="411">
        <f>IF(ID28=0,0,IF($LB28=70%,VLOOKUP($HZ28,'Jan-2026 rates'!$L:$R,4,0),IF($LB28=65%,VLOOKUP($HZ28,'Jan-2026 rates'!$L:$R,4,0),IF($LB28=40%,VLOOKUP($HZ28,'Jan-2026 rates'!$L:$R,5,0),IF($LB28=30%,VLOOKUP($HZ28,'Jan-2026 rates'!$L:$R,6,0),IF($LB28=100%,VLOOKUP($HZ28,'Jan-2026 rates'!$L:$R,7,0),IF($LB28=60%,VLOOKUP($HZ28,'Jan-2026 rates'!$L:$S,8,0),IF($LB28=80%,VLOOKUP($HZ28,'Jan-2026 rates'!L:T,9,0),0))))))))</f>
        <v>0</v>
      </c>
      <c r="IF28" s="412"/>
      <c r="IG28" s="413"/>
      <c r="IH28" s="412"/>
      <c r="II28" s="412"/>
      <c r="IJ28" s="412"/>
      <c r="IK28" s="412"/>
      <c r="IL28" s="412"/>
      <c r="IM28" s="412"/>
      <c r="IN28" s="409"/>
      <c r="IO28" s="398">
        <f>IF(IN28=0,0,IF(LEN(IF28)=11,_xlfn.XLOOKUP(IF28,'Dispensed Ink Rates'!C:C,'Dispensed Ink Rates'!CS:CS),VLOOKUP(IF28,'Jan-2026 rates'!$E:$F,2,0)))</f>
        <v>0</v>
      </c>
      <c r="IP28" s="409"/>
      <c r="IQ28" s="398">
        <f>IF(IP28=0,0,IF(LEN(IG28)=11,_xlfn.XLOOKUP(IG28,'Dispensed Ink Rates'!C:C,'Dispensed Ink Rates'!CS:CS),VLOOKUP(IG28,'Jan-2026 rates'!$E:$F,2,0)))</f>
        <v>0</v>
      </c>
      <c r="IR28" s="409"/>
      <c r="IS28" s="398">
        <f>IF(IR28=0,0,IF(LEN(IH28)=11,_xlfn.XLOOKUP(IH28,'Dispensed Ink Rates'!C:C,'Dispensed Ink Rates'!CS:CS),VLOOKUP(IH28,'Jan-2026 rates'!$E:$F,2,0)))</f>
        <v>0</v>
      </c>
      <c r="IT28" s="409"/>
      <c r="IU28" s="398">
        <f>IF(IT28=0,0,IF(LEN(II28)=11,_xlfn.XLOOKUP(II28,'Dispensed Ink Rates'!C:C,'Dispensed Ink Rates'!CS:CS),VLOOKUP(II28,'Jan-2026 rates'!$E:$F,2,0)))</f>
        <v>0</v>
      </c>
      <c r="IV28" s="409"/>
      <c r="IW28" s="398">
        <f>IF(IV28=0,0,IF(LEN(IJ28)=11,_xlfn.XLOOKUP(IJ28,'Dispensed Ink Rates'!C:C,'Dispensed Ink Rates'!CS:CS),VLOOKUP(IJ28,'Jan-2026 rates'!$E:$F,2,0)))</f>
        <v>0</v>
      </c>
      <c r="IX28" s="409"/>
      <c r="IY28" s="398">
        <f>IF(IX28=0,0,IF(LEN(IK28)=11,_xlfn.XLOOKUP(IK28,'Dispensed Ink Rates'!C:C,'Dispensed Ink Rates'!CS:CS),VLOOKUP(IK28,'Jan-2026 rates'!$E:$F,2,0)))</f>
        <v>0</v>
      </c>
      <c r="IZ28" s="409"/>
      <c r="JA28" s="398">
        <f>IF(IZ28=0,0,IF(LEN(IL28)=11,_xlfn.XLOOKUP(IL28,'Dispensed Ink Rates'!C:C,'Dispensed Ink Rates'!CS:CS),VLOOKUP(IL28,'Jan-2026 rates'!$E:$F,2,0)))</f>
        <v>0</v>
      </c>
      <c r="JB28" s="409"/>
      <c r="JC28" s="398">
        <f>IF(JB28=0,0,IF(LEN(IM28)=11,_xlfn.XLOOKUP(IM28,'Dispensed Ink Rates'!C:C,'Dispensed Ink Rates'!CS:CS),VLOOKUP(IM28,'Jan-2026 rates'!$E:$F,2,0)))</f>
        <v>0</v>
      </c>
      <c r="JD28" s="409"/>
      <c r="JE28" s="409"/>
      <c r="JF28" s="411">
        <f t="shared" si="25"/>
        <v>0</v>
      </c>
      <c r="JG28" s="411">
        <f t="shared" si="26"/>
        <v>0</v>
      </c>
      <c r="JH28" s="410">
        <f t="shared" si="27"/>
        <v>0</v>
      </c>
      <c r="JI28" s="405"/>
      <c r="JJ28" s="409"/>
      <c r="JK28" s="420" t="str">
        <f t="shared" si="28"/>
        <v xml:space="preserve"> - </v>
      </c>
      <c r="JL28" s="409"/>
      <c r="JM28" s="411">
        <f>IF(JL28=0,0,IF($LB28=70%,VLOOKUP($JK28,'Jan-2026 rates'!$L:$R,4,0),IF($LB28=65%,VLOOKUP($JK28,'Jan-2026 rates'!$L:$R,4,0),IF($LB28=40%,VLOOKUP($JK28,'Jan-2026 rates'!$L:$R,5,0),IF($LB28=30%,VLOOKUP($JK28,'Jan-2026 rates'!$L:$R,6,0),IF($LB28=100%,VLOOKUP($JK28,'Jan-2026 rates'!$L:$R,7,0),IF($LB28=60%,VLOOKUP($JK28,'Jan-2026 rates'!$L:$S,8,0),IF($LB28=80%,VLOOKUP($JK28,'Jan-2026 rates'!L:T,9,0),0))))))))</f>
        <v>0</v>
      </c>
      <c r="JN28" s="412"/>
      <c r="JO28" s="409"/>
      <c r="JP28" s="411">
        <f>IF(JO28=0,0,IF($LB28=70%,VLOOKUP($JK28,'Jan-2026 rates'!$L:$R,4,0),IF($LB28=65%,VLOOKUP($JK28,'Jan-2026 rates'!$L:$R,4,0),IF($LB28=40%,VLOOKUP($JK28,'Jan-2026 rates'!$L:$R,5,0),IF($LB28=30%,VLOOKUP($JK28,'Jan-2026 rates'!$L:$R,6,0),IF($LB28=100%,VLOOKUP($JK28,'Jan-2026 rates'!$L:$R,7,0),IF($LB28=60%,VLOOKUP($JK28,'Jan-2026 rates'!$L:$S,8,0),IF($LB28=80%,VLOOKUP($JK28,'Jan-2026 rates'!L:T,9,0),0))))))))</f>
        <v>0</v>
      </c>
      <c r="JQ28" s="413"/>
      <c r="JR28" s="412"/>
      <c r="JS28" s="413"/>
      <c r="JT28" s="413"/>
      <c r="JU28" s="412"/>
      <c r="JV28" s="412"/>
      <c r="JW28" s="412"/>
      <c r="JX28" s="412"/>
      <c r="JY28" s="409"/>
      <c r="JZ28" s="398">
        <f>IF(JY28=0,0,IF(LEN(JQ28)=11,_xlfn.XLOOKUP(JQ28,'Dispensed Ink Rates'!C:C,'Dispensed Ink Rates'!CS:CS),VLOOKUP(JQ28,'Jan-2026 rates'!$E:$F,2,0)))</f>
        <v>0</v>
      </c>
      <c r="KA28" s="409"/>
      <c r="KB28" s="398">
        <f>IF(KA28=0,0,IF(LEN(JR28)=11,_xlfn.XLOOKUP(JR28,'Dispensed Ink Rates'!C:C,'Dispensed Ink Rates'!CS:CS),VLOOKUP(JR28,'Jan-2026 rates'!$E:$F,2,0)))</f>
        <v>0</v>
      </c>
      <c r="KC28" s="409"/>
      <c r="KD28" s="398">
        <f>IF(KC28=0,0,IF(LEN(JS28)=11,_xlfn.XLOOKUP(JS28,'Dispensed Ink Rates'!C:C,'Dispensed Ink Rates'!CS:CS),VLOOKUP(JS28,'Jan-2026 rates'!$E:$F,2,0)))</f>
        <v>0</v>
      </c>
      <c r="KE28" s="409"/>
      <c r="KF28" s="398">
        <f>IF(KE28=0,0,IF(LEN(JT28)=11,_xlfn.XLOOKUP(JT28,'Dispensed Ink Rates'!C:C,'Dispensed Ink Rates'!CS:CS),VLOOKUP(JT28,'Jan-2026 rates'!$E:$F,2,0)))</f>
        <v>0</v>
      </c>
      <c r="KG28" s="409"/>
      <c r="KH28" s="398">
        <f>IF(KG28=0,0,IF(LEN(JU28)=11,_xlfn.XLOOKUP(JU28,'Dispensed Ink Rates'!C:C,'Dispensed Ink Rates'!CS:CS),VLOOKUP(JU28,'Jan-2026 rates'!$E:$F,2,0)))</f>
        <v>0</v>
      </c>
      <c r="KI28" s="409"/>
      <c r="KJ28" s="398">
        <f>IF(KI28=0,0,IF(LEN(JV28)=11,_xlfn.XLOOKUP(JV28,'Dispensed Ink Rates'!C:C,'Dispensed Ink Rates'!CS:CS),VLOOKUP(JV28,'Jan-2026 rates'!$E:$F,2,0)))</f>
        <v>0</v>
      </c>
      <c r="KK28" s="409"/>
      <c r="KL28" s="398">
        <f>IF(KK28=0,0,IF(LEN(JW28)=11,_xlfn.XLOOKUP(JW28,'Dispensed Ink Rates'!C:C,'Dispensed Ink Rates'!CS:CS),VLOOKUP(JW28,'Jan-2026 rates'!$E:$F,2,0)))</f>
        <v>0</v>
      </c>
      <c r="KM28" s="428"/>
      <c r="KN28" s="398">
        <f>IF(KM28=0,0,IF(LEN(JX28)=11,_xlfn.XLOOKUP(JX28,'Dispensed Ink Rates'!C:C,'Dispensed Ink Rates'!CS:CS),VLOOKUP(JX28,'Jan-2026 rates'!$E:$F,2,0)))</f>
        <v>0</v>
      </c>
      <c r="KO28" s="409"/>
      <c r="KP28" s="409"/>
      <c r="KQ28" s="411">
        <f t="shared" si="29"/>
        <v>0</v>
      </c>
      <c r="KR28" s="411">
        <f t="shared" si="30"/>
        <v>0</v>
      </c>
      <c r="KS28" s="410">
        <f t="shared" si="31"/>
        <v>0</v>
      </c>
      <c r="KT28" s="409">
        <v>2</v>
      </c>
      <c r="KU28" s="409">
        <v>2</v>
      </c>
      <c r="KV28" s="409">
        <v>0</v>
      </c>
      <c r="KW28" s="409">
        <v>0</v>
      </c>
      <c r="KX28" s="409">
        <v>0</v>
      </c>
      <c r="KY28" s="409">
        <v>0</v>
      </c>
      <c r="KZ28" s="409">
        <v>0</v>
      </c>
      <c r="LA28" s="409">
        <v>0</v>
      </c>
      <c r="LB28" s="415">
        <v>0.3</v>
      </c>
      <c r="LC28" s="415"/>
      <c r="LD28" s="415"/>
      <c r="LE28" s="415">
        <v>0.5</v>
      </c>
      <c r="LF28" s="415">
        <v>0.2</v>
      </c>
      <c r="LG28" s="409">
        <v>0</v>
      </c>
      <c r="LH28" s="409">
        <f>5+5+6+10+4</f>
        <v>30</v>
      </c>
      <c r="LI28" s="409">
        <v>0</v>
      </c>
      <c r="LJ28" s="409">
        <v>0</v>
      </c>
      <c r="LK28" s="416">
        <f t="shared" si="32"/>
        <v>30</v>
      </c>
      <c r="LL28" s="416">
        <f t="shared" si="33"/>
        <v>30</v>
      </c>
      <c r="LM28" s="417">
        <f t="shared" si="34"/>
        <v>9</v>
      </c>
      <c r="LN28" s="417">
        <f>VLOOKUP($LM$8,'Jan-2026 rates'!$H:$I,2,0)</f>
        <v>0</v>
      </c>
      <c r="LO28" s="417">
        <f t="shared" si="35"/>
        <v>0</v>
      </c>
      <c r="LP28" s="417">
        <f>VLOOKUP($LO$8,'Jan-2026 rates'!$H:$I,2,0)</f>
        <v>0</v>
      </c>
      <c r="LQ28" s="417">
        <f t="shared" si="36"/>
        <v>0</v>
      </c>
      <c r="LR28" s="417">
        <f>VLOOKUP($LQ$8,'Jan-2026 rates'!$H:$I,2,0)</f>
        <v>0</v>
      </c>
      <c r="LS28" s="417">
        <f t="shared" si="37"/>
        <v>15</v>
      </c>
      <c r="LT28" s="417">
        <f>VLOOKUP($LS$8,'Jan-2026 rates'!$H:$I,2,0)</f>
        <v>0</v>
      </c>
      <c r="LU28" s="417">
        <f t="shared" si="38"/>
        <v>6</v>
      </c>
      <c r="LV28" s="417">
        <f>VLOOKUP($LU$8,'Jan-2026 rates'!$H:$I,2,0)</f>
        <v>0</v>
      </c>
      <c r="LW28" s="417">
        <f t="shared" si="39"/>
        <v>0</v>
      </c>
      <c r="LX28" s="417">
        <f t="shared" si="40"/>
        <v>0</v>
      </c>
      <c r="LY28" s="418">
        <f t="shared" si="41"/>
        <v>0</v>
      </c>
      <c r="LZ28" s="417"/>
      <c r="MA28" s="435">
        <f t="shared" si="42"/>
        <v>3</v>
      </c>
      <c r="MB28" s="282">
        <f t="shared" si="43"/>
        <v>40</v>
      </c>
      <c r="MC28" s="283" t="s">
        <v>1957</v>
      </c>
      <c r="MD28" s="284" t="str">
        <f t="shared" si="44"/>
        <v>ToyoLiToyoLi</v>
      </c>
      <c r="ME28" s="293" t="str">
        <f t="shared" si="45"/>
        <v>+</v>
      </c>
      <c r="MF28" s="293" t="str">
        <f t="shared" si="46"/>
        <v>+</v>
      </c>
      <c r="MG28" s="293" t="str">
        <f t="shared" si="47"/>
        <v>NIL</v>
      </c>
      <c r="MH28" s="293" t="str">
        <f t="shared" si="48"/>
        <v>NIL</v>
      </c>
      <c r="MI28" s="293" t="str">
        <f t="shared" si="49"/>
        <v>NIL</v>
      </c>
      <c r="MJ28" s="293" t="str">
        <f t="shared" si="50"/>
        <v>NIL</v>
      </c>
      <c r="MK28" s="293" t="str">
        <f t="shared" si="51"/>
        <v>NIL</v>
      </c>
      <c r="ML28" s="293" t="str">
        <f t="shared" si="52"/>
        <v>NIL</v>
      </c>
      <c r="MM28" s="3" t="b">
        <f t="array" ref="MM28">OR(ME28:ML28="-")</f>
        <v>0</v>
      </c>
      <c r="MN28" s="285"/>
      <c r="MO28" s="401"/>
      <c r="MP28" s="286"/>
      <c r="MQ28" s="286"/>
      <c r="MR28" s="402"/>
      <c r="MS28" s="400"/>
      <c r="NH28" s="422"/>
      <c r="NJ28" s="421"/>
    </row>
    <row r="29" spans="1:374" s="1" customFormat="1" ht="16.5">
      <c r="A29" s="403">
        <v>46026</v>
      </c>
      <c r="B29" s="404" t="s">
        <v>1015</v>
      </c>
      <c r="C29" s="405" t="s">
        <v>2707</v>
      </c>
      <c r="D29" s="406" t="s">
        <v>1958</v>
      </c>
      <c r="E29" s="404">
        <v>72</v>
      </c>
      <c r="F29" s="407">
        <v>3400</v>
      </c>
      <c r="G29" s="407" t="s">
        <v>1016</v>
      </c>
      <c r="H29" s="408" t="s">
        <v>1017</v>
      </c>
      <c r="I29" s="409">
        <v>0.5</v>
      </c>
      <c r="J29" s="405" t="s">
        <v>543</v>
      </c>
      <c r="K29" s="404" t="s">
        <v>2708</v>
      </c>
      <c r="L29" s="419" t="str">
        <f t="shared" si="0"/>
        <v>ToyoLi - BLACK</v>
      </c>
      <c r="M29" s="404">
        <v>24</v>
      </c>
      <c r="N29" s="410">
        <f>IF(M29=0,0,IF($LB29=70%,VLOOKUP($L29,'Jan-2026 rates'!$L:$R,4,0),IF($LB29=65%,VLOOKUP($L29,'Jan-2026 rates'!$L:$R,4,0),IF($LB29=40%,VLOOKUP($L29,'Jan-2026 rates'!$L:$R,5,0),IF($LB29=30%,VLOOKUP($L29,'Jan-2026 rates'!$L:$R,6,0),IF($LB29=100%,VLOOKUP($L29,'Jan-2026 rates'!$L:$R,7,0),IF($LB29=60%,VLOOKUP($L29,'Jan-2026 rates'!$L:$S,8,0),IF($LB29=80%,VLOOKUP($L29,'Jan-2026 rates'!L:T,9,0),0))))))))</f>
        <v>0</v>
      </c>
      <c r="O29" s="406"/>
      <c r="P29" s="404"/>
      <c r="Q29" s="410">
        <f>IF(P29=0,0,IF($LB29=70%,VLOOKUP($L29,'Jan-2026 rates'!$L:$R,4,0),IF($LB29=65%,VLOOKUP($L29,'Jan-2026 rates'!$L:$R,4,0),IF($LB29=40%,VLOOKUP($L29,'Jan-2026 rates'!$L:$R,5,0),IF($LB29=30%,VLOOKUP($L29,'Jan-2026 rates'!$L:$R,6,0),IF($LB29=100%,VLOOKUP($L29,'Jan-2026 rates'!$L:$R,7,0),IF($LB29=60%,VLOOKUP($L29,'Jan-2026 rates'!$L:$S,8,0),IF($LB29=80%,VLOOKUP($L29,'Jan-2026 rates'!L:T,9,0),0))))))))</f>
        <v>0</v>
      </c>
      <c r="R29" s="406" t="s">
        <v>1252</v>
      </c>
      <c r="S29" s="406"/>
      <c r="T29" s="406"/>
      <c r="U29" s="406"/>
      <c r="V29" s="406"/>
      <c r="W29" s="406"/>
      <c r="X29" s="406"/>
      <c r="Y29" s="406"/>
      <c r="Z29" s="404">
        <v>2</v>
      </c>
      <c r="AA29" s="398">
        <f>IF(Z29=0,0,IF(LEN(R29)=11,_xlfn.XLOOKUP(R29,'Dispensed Ink Rates'!C:C,'Dispensed Ink Rates'!CS:CS),VLOOKUP(R29,'Jan-2026 rates'!$E:$F,2,0)))</f>
        <v>0</v>
      </c>
      <c r="AB29" s="404"/>
      <c r="AC29" s="398">
        <f>IF(AB29=0,0,IF(LEN(S29)=11,_xlfn.XLOOKUP(S29,'Dispensed Ink Rates'!C:C,'Dispensed Ink Rates'!CS:CS),VLOOKUP(S29,'Jan-2026 rates'!$E:$F,2,0)))</f>
        <v>0</v>
      </c>
      <c r="AD29" s="404"/>
      <c r="AE29" s="398">
        <f>IF(AD29=0,0,IF(LEN(T29)=11,_xlfn.XLOOKUP(T29,'Dispensed Ink Rates'!C:C,'Dispensed Ink Rates'!CS:CS),VLOOKUP(T29,'Jan-2026 rates'!$E:$F,2,0)))</f>
        <v>0</v>
      </c>
      <c r="AF29" s="404"/>
      <c r="AG29" s="398">
        <f>IF(AF29=0,0,IF(LEN(U29)=11,_xlfn.XLOOKUP(U29,'Dispensed Ink Rates'!C:C,'Dispensed Ink Rates'!CS:CS),VLOOKUP(U29,'Jan-2026 rates'!$E:$F,2,0)))</f>
        <v>0</v>
      </c>
      <c r="AH29" s="404"/>
      <c r="AI29" s="398">
        <f>IF(AH29=0,0,IF(LEN(V29)=11,_xlfn.XLOOKUP(V29,'Dispensed Ink Rates'!C:C,'Dispensed Ink Rates'!CS:CS),VLOOKUP(V29,'Jan-2026 rates'!$E:$F,2,0)))</f>
        <v>0</v>
      </c>
      <c r="AJ29" s="404"/>
      <c r="AK29" s="398">
        <f>IF(AJ29=0,0,IF(LEN(W29)=11,_xlfn.XLOOKUP(W29,'Dispensed Ink Rates'!C:C,'Dispensed Ink Rates'!CS:CS),VLOOKUP(W29,'Jan-2026 rates'!$E:$F,2,0)))</f>
        <v>0</v>
      </c>
      <c r="AL29" s="404"/>
      <c r="AM29" s="398">
        <f>IF(AL29=0,0,IF(LEN(X29)=11,_xlfn.XLOOKUP(X29,'Dispensed Ink Rates'!C:C,'Dispensed Ink Rates'!CS:CS),VLOOKUP(X29,'Jan-2026 rates'!$E:$F,2,0)))</f>
        <v>0</v>
      </c>
      <c r="AN29" s="404"/>
      <c r="AO29" s="398">
        <f>IF(AN29=0,0,IF(LEN(Y29)=11,_xlfn.XLOOKUP(Y29,'Dispensed Ink Rates'!C:C,'Dispensed Ink Rates'!CS:CS),VLOOKUP(Y29,'Jan-2026 rates'!$E:$F,2,0)))</f>
        <v>0</v>
      </c>
      <c r="AP29" s="409" t="s">
        <v>1881</v>
      </c>
      <c r="AQ29" s="409">
        <v>23</v>
      </c>
      <c r="AR29" s="410">
        <f t="shared" si="1"/>
        <v>0</v>
      </c>
      <c r="AS29" s="411">
        <f t="shared" si="2"/>
        <v>10.5</v>
      </c>
      <c r="AT29" s="410">
        <f t="shared" si="3"/>
        <v>0</v>
      </c>
      <c r="AU29" s="405" t="s">
        <v>545</v>
      </c>
      <c r="AV29" s="409" t="s">
        <v>2709</v>
      </c>
      <c r="AW29" s="420" t="str">
        <f t="shared" si="4"/>
        <v>ToyoLi - YELLOW</v>
      </c>
      <c r="AX29" s="409">
        <v>28</v>
      </c>
      <c r="AY29" s="411">
        <f>IF(AX29=0,0,IF($LB29=70%,VLOOKUP($AW29,'Jan-2026 rates'!$L:$R,4,0),IF($LB29=65%,VLOOKUP($AW29,'Jan-2026 rates'!$L:$R,4,0),IF($LB29=40%,VLOOKUP($AW29,'Jan-2026 rates'!$L:$R,5,0),IF($LB29=30%,VLOOKUP($AW29,'Jan-2026 rates'!$L:$R,6,0),IF($LB29=100%,VLOOKUP($AW29,'Jan-2026 rates'!$L:$R,7,0),IF($LB29=60%,VLOOKUP($AW29,'Jan-2026 rates'!$L:$S,8,0),IF($LB29=80%,VLOOKUP($AW29,'Jan-2026 rates'!L:T,9,0),0))))))))</f>
        <v>0</v>
      </c>
      <c r="AZ29" s="412"/>
      <c r="BA29" s="409"/>
      <c r="BB29" s="411">
        <f>IF(BA29=0,0,IF($LB29=70%,VLOOKUP($AW29,'Jan-2026 rates'!$L:$R,4,0),IF($LB29=65%,VLOOKUP($AW29,'Jan-2026 rates'!$L:$R,4,0),IF($LB29=40%,VLOOKUP($AW29,'Jan-2026 rates'!$L:$R,5,0),IF($LB29=30%,VLOOKUP($AW29,'Jan-2026 rates'!$L:$R,6,0),IF($LB29=100%,VLOOKUP($AW29,'Jan-2026 rates'!$L:$R,7,0),IF($LB29=60%,VLOOKUP($AW29,'Jan-2026 rates'!$L:$S,8,0),IF($LB29=80%,VLOOKUP($AW29,'Jan-2026 rates'!L:T,9,0),0))))))))</f>
        <v>0</v>
      </c>
      <c r="BC29" s="413" t="s">
        <v>1247</v>
      </c>
      <c r="BD29" s="412"/>
      <c r="BE29" s="412"/>
      <c r="BF29" s="413"/>
      <c r="BG29" s="412"/>
      <c r="BH29" s="412"/>
      <c r="BI29" s="412"/>
      <c r="BJ29" s="412"/>
      <c r="BK29" s="409">
        <v>5</v>
      </c>
      <c r="BL29" s="398">
        <f>IF(BK29=0,0,IF(LEN(BC29)=11,_xlfn.XLOOKUP(BC29,'Dispensed Ink Rates'!C:C,'Dispensed Ink Rates'!CS:CS),VLOOKUP(BC29,'Jan-2026 rates'!$E:$F,2,0)))</f>
        <v>0</v>
      </c>
      <c r="BM29" s="409"/>
      <c r="BN29" s="398">
        <f>IF(BM29=0,0,IF(LEN(BD29)=11,_xlfn.XLOOKUP(BD29,'Dispensed Ink Rates'!C:C,'Dispensed Ink Rates'!CS:CS),VLOOKUP(BD29,'Jan-2026 rates'!$E:$F,2,0)))</f>
        <v>0</v>
      </c>
      <c r="BO29" s="409"/>
      <c r="BP29" s="398">
        <f>IF(BO29=0,0,IF(LEN(BE29)=11,_xlfn.XLOOKUP(BE29,'Dispensed Ink Rates'!C:C,'Dispensed Ink Rates'!CS:CS),VLOOKUP(BE29,'Jan-2026 rates'!$E:$F,2,0)))</f>
        <v>0</v>
      </c>
      <c r="BQ29" s="409"/>
      <c r="BR29" s="398">
        <f>IF(BQ29=0,0,IF(LEN(BF29)=11,_xlfn.XLOOKUP(BF29,'Dispensed Ink Rates'!C:C,'Dispensed Ink Rates'!CS:CS),VLOOKUP(BF29,'Jan-2026 rates'!$E:$F,2,0)))</f>
        <v>0</v>
      </c>
      <c r="BS29" s="409"/>
      <c r="BT29" s="398">
        <f>IF(BS29=0,0,IF(LEN(BG29)=11,_xlfn.XLOOKUP(BG29,'Dispensed Ink Rates'!C:C,'Dispensed Ink Rates'!CS:CS),VLOOKUP(BG29,'Jan-2026 rates'!$E:$F,2,0)))</f>
        <v>0</v>
      </c>
      <c r="BU29" s="409"/>
      <c r="BV29" s="398">
        <f>IF(BU29=0,0,IF(LEN(BH29)=11,_xlfn.XLOOKUP(BH29,'Dispensed Ink Rates'!C:C,'Dispensed Ink Rates'!CS:CS),VLOOKUP(BH29,'Jan-2026 rates'!$E:$F,2,0)))</f>
        <v>0</v>
      </c>
      <c r="BW29" s="409"/>
      <c r="BX29" s="398">
        <f>IF(BW29=0,0,IF(LEN(BI29)=11,_xlfn.XLOOKUP(BI29,'Dispensed Ink Rates'!C:C,'Dispensed Ink Rates'!CS:CS),VLOOKUP(BI29,'Jan-2026 rates'!$E:$F,2,0)))</f>
        <v>0</v>
      </c>
      <c r="BY29" s="409"/>
      <c r="BZ29" s="398">
        <f>IF(BY29=0,0,IF(LEN(BJ29)=11,_xlfn.XLOOKUP(BJ29,'Dispensed Ink Rates'!C:C,'Dispensed Ink Rates'!CS:CS),VLOOKUP(BJ29,'Jan-2026 rates'!$E:$F,2,0)))</f>
        <v>0</v>
      </c>
      <c r="CA29" s="409" t="s">
        <v>1881</v>
      </c>
      <c r="CB29" s="409">
        <v>24</v>
      </c>
      <c r="CC29" s="411">
        <f t="shared" si="5"/>
        <v>0</v>
      </c>
      <c r="CD29" s="411">
        <f t="shared" si="6"/>
        <v>31.5</v>
      </c>
      <c r="CE29" s="410">
        <f t="shared" si="7"/>
        <v>0</v>
      </c>
      <c r="CF29" s="404"/>
      <c r="CG29" s="409"/>
      <c r="CH29" s="420" t="str">
        <f t="shared" si="8"/>
        <v xml:space="preserve"> - </v>
      </c>
      <c r="CI29" s="409"/>
      <c r="CJ29" s="411">
        <f>IF(CI29=0,0,IF($LB29=70%,VLOOKUP($CH29,'Jan-2026 rates'!$L:$R,4,0),IF($LB29=65%,VLOOKUP($CH29,'Jan-2026 rates'!$L:$R,4,0),IF($LB29=40%,VLOOKUP($CH29,'Jan-2026 rates'!$L:$R,5,0),IF($LB29=30%,VLOOKUP($CH29,'Jan-2026 rates'!$L:$R,6,0),IF($LB29=100%,VLOOKUP($CH29,'Jan-2026 rates'!$L:$R,7,0),IF($LB29=60%,VLOOKUP($CH29,'Jan-2026 rates'!$L:$S,8,0),IF($LB29=80%,VLOOKUP($CH29,'Jan-2026 rates'!L:T,9,0),0))))))))</f>
        <v>0</v>
      </c>
      <c r="CK29" s="412"/>
      <c r="CL29" s="409"/>
      <c r="CM29" s="411">
        <f>IF(CL29=0,0,IF($LB29=70%,VLOOKUP($CH29,'Jan-2026 rates'!$L:$R,4,0),IF($LB29=65%,VLOOKUP($CH29,'Jan-2026 rates'!$L:$R,4,0),IF($LB29=40%,VLOOKUP($CH29,'Jan-2026 rates'!$L:$R,5,0),IF($LB29=30%,VLOOKUP($CH29,'Jan-2026 rates'!$L:$R,6,0),IF($LB29=100%,VLOOKUP($CH29,'Jan-2026 rates'!$L:$R,7,0),IF($LB29=60%,VLOOKUP($CH29,'Jan-2026 rates'!$L:$S,8,0),IF($LB29=80%,VLOOKUP($CH29,'Jan-2026 rates'!L:T,9,0),0))))))))</f>
        <v>0</v>
      </c>
      <c r="CN29" s="426"/>
      <c r="CO29" s="427"/>
      <c r="CP29" s="426"/>
      <c r="CQ29" s="426"/>
      <c r="CR29" s="428"/>
      <c r="CS29" s="428"/>
      <c r="CT29" s="428"/>
      <c r="CU29" s="428"/>
      <c r="CV29" s="409"/>
      <c r="CW29" s="398">
        <f>IF(CV29=0,0,IF(LEN(CN29)=11,_xlfn.XLOOKUP(CN29,'Dispensed Ink Rates'!C:C,'Dispensed Ink Rates'!CS:CS),VLOOKUP(CN29,'Jan-2026 rates'!$E:$F,2,0)))</f>
        <v>0</v>
      </c>
      <c r="CX29" s="409"/>
      <c r="CY29" s="398">
        <f>IF(CX29=0,0,IF(LEN(CO29)=11,_xlfn.XLOOKUP(CO29,'Dispensed Ink Rates'!C:C,'Dispensed Ink Rates'!CS:CS),VLOOKUP(CO29,'Jan-2026 rates'!$E:$F,2,0)))</f>
        <v>0</v>
      </c>
      <c r="CZ29" s="409"/>
      <c r="DA29" s="398">
        <f>IF(CZ29=0,0,IF(LEN(CP29)=11,_xlfn.XLOOKUP(CP29,'Dispensed Ink Rates'!C:C,'Dispensed Ink Rates'!CS:CS),VLOOKUP(CP29,'Jan-2026 rates'!$E:$F,2,0)))</f>
        <v>0</v>
      </c>
      <c r="DB29" s="409"/>
      <c r="DC29" s="398">
        <f>IF(DB29=0,0,IF(LEN(CQ29)=11,_xlfn.XLOOKUP(CQ29,'Dispensed Ink Rates'!C:C,'Dispensed Ink Rates'!CS:CS),VLOOKUP(CQ29,'Jan-2026 rates'!$E:$F,2,0)))</f>
        <v>0</v>
      </c>
      <c r="DD29" s="409"/>
      <c r="DE29" s="398">
        <f>IF(DD29=0,0,IF(LEN(CR29)=11,_xlfn.XLOOKUP(CR29,'Dispensed Ink Rates'!C:C,'Dispensed Ink Rates'!CS:CS),VLOOKUP(CR29,'Jan-2026 rates'!$E:$F,2,0)))</f>
        <v>0</v>
      </c>
      <c r="DF29" s="409"/>
      <c r="DG29" s="398">
        <f>IF(DF29=0,0,IF(LEN(CS29)=11,_xlfn.XLOOKUP(CS29,'Dispensed Ink Rates'!C:C,'Dispensed Ink Rates'!CS:CS),VLOOKUP(CS29,'Jan-2026 rates'!$E:$F,2,0)))</f>
        <v>0</v>
      </c>
      <c r="DH29" s="409"/>
      <c r="DI29" s="398">
        <f>IF(DH29=0,0,IF(LEN(CT29)=11,_xlfn.XLOOKUP(CT29,'Dispensed Ink Rates'!C:C,'Dispensed Ink Rates'!CS:CS),VLOOKUP(CT29,'Jan-2026 rates'!$E:$F,2,0)))</f>
        <v>0</v>
      </c>
      <c r="DJ29" s="409"/>
      <c r="DK29" s="398">
        <f>IF(DJ29=0,0,IF(LEN(CU29)=11,_xlfn.XLOOKUP(CU29,'Dispensed Ink Rates'!C:C,'Dispensed Ink Rates'!CS:CS),VLOOKUP(CU29,'Jan-2026 rates'!$E:$F,2,0)))</f>
        <v>0</v>
      </c>
      <c r="DL29" s="409"/>
      <c r="DM29" s="409"/>
      <c r="DN29" s="411">
        <f t="shared" si="9"/>
        <v>0</v>
      </c>
      <c r="DO29" s="411">
        <f t="shared" si="10"/>
        <v>0</v>
      </c>
      <c r="DP29" s="410">
        <f t="shared" si="11"/>
        <v>0</v>
      </c>
      <c r="DQ29" s="405"/>
      <c r="DR29" s="409"/>
      <c r="DS29" s="420" t="str">
        <f t="shared" si="12"/>
        <v xml:space="preserve"> - </v>
      </c>
      <c r="DT29" s="409"/>
      <c r="DU29" s="411">
        <f>IF(DT29=0,0,IF($LB29=70%,VLOOKUP($DS29,'Jan-2026 rates'!$L:$R,4,0),IF($LB29=65%,VLOOKUP($DS29,'Jan-2026 rates'!$L:$R,4,0),IF($LB29=40%,VLOOKUP($DS29,'Jan-2026 rates'!$L:$R,5,0),IF($LB29=30%,VLOOKUP($DS29,'Jan-2026 rates'!$L:$R,6,0),IF($LB29=100%,VLOOKUP($DS29,'Jan-2026 rates'!$L:$R,7,0),IF($LB29=60%,VLOOKUP($DS29,'Jan-2026 rates'!$L:$S,8,0),IF($LB29=80%,VLOOKUP($DS29,'Jan-2026 rates'!L:T,9,0),0))))))))</f>
        <v>0</v>
      </c>
      <c r="DV29" s="412"/>
      <c r="DW29" s="409"/>
      <c r="DX29" s="411">
        <f>IF(DW29=0,0,IF($LB29=70%,VLOOKUP($DS29,'Jan-2026 rates'!$L:$R,4,0),IF($LB29=65%,VLOOKUP($DS29,'Jan-2026 rates'!$L:$R,4,0),IF($LB29=40%,VLOOKUP($DS29,'Jan-2026 rates'!$L:$R,5,0),IF($LB29=30%,VLOOKUP($DS29,'Jan-2026 rates'!$L:$R,6,0),IF($LB29=100%,VLOOKUP($DS29,'Jan-2026 rates'!$L:$R,7,0),IF($LB29=60%,VLOOKUP($DS29,'Jan-2026 rates'!$L:$S,8,0),IF($LB29=80%,VLOOKUP($DS29,'Jan-2026 rates'!L:T,9,0),0))))))))</f>
        <v>0</v>
      </c>
      <c r="DY29" s="413"/>
      <c r="DZ29" s="413"/>
      <c r="EA29" s="412"/>
      <c r="EB29" s="412"/>
      <c r="EC29" s="412"/>
      <c r="ED29" s="412"/>
      <c r="EE29" s="412"/>
      <c r="EF29" s="412"/>
      <c r="EG29" s="409"/>
      <c r="EH29" s="398">
        <f>IF(EG29=0,0,IF(LEN(DY29)=11,_xlfn.XLOOKUP(DY29,'Dispensed Ink Rates'!C:C,'Dispensed Ink Rates'!CS:CS),VLOOKUP(DY29,'Jan-2026 rates'!$E:$F,2,0)))</f>
        <v>0</v>
      </c>
      <c r="EI29" s="409"/>
      <c r="EJ29" s="398">
        <f>IF(EI29=0,0,IF(LEN(DZ29)=11,_xlfn.XLOOKUP(DZ29,'Dispensed Ink Rates'!C:C,'Dispensed Ink Rates'!CS:CS),VLOOKUP(DZ29,'Jan-2026 rates'!$E:$F,2,0)))</f>
        <v>0</v>
      </c>
      <c r="EK29" s="409"/>
      <c r="EL29" s="398">
        <f>IF(EK29=0,0,IF(LEN(EA29)=11,_xlfn.XLOOKUP(EA29,'Dispensed Ink Rates'!C:C,'Dispensed Ink Rates'!CS:CS),VLOOKUP(EA29,'Jan-2026 rates'!$E:$F,2,0)))</f>
        <v>0</v>
      </c>
      <c r="EM29" s="409"/>
      <c r="EN29" s="398">
        <f>IF(EM29=0,0,IF(LEN(EB29)=11,_xlfn.XLOOKUP(EB29,'Dispensed Ink Rates'!C:C,'Dispensed Ink Rates'!CS:CS),VLOOKUP(EB29,'Jan-2026 rates'!$E:$F,2,0)))</f>
        <v>0</v>
      </c>
      <c r="EO29" s="409"/>
      <c r="EP29" s="398">
        <f>IF(EO29=0,0,IF(LEN(EC29)=11,_xlfn.XLOOKUP(EC29,'Dispensed Ink Rates'!C:C,'Dispensed Ink Rates'!CS:CS),VLOOKUP(EC29,'Jan-2026 rates'!$E:$F,2,0)))</f>
        <v>0</v>
      </c>
      <c r="EQ29" s="409"/>
      <c r="ER29" s="398">
        <f>IF(EQ29=0,0,IF(LEN(ED29)=11,_xlfn.XLOOKUP(ED29,'Dispensed Ink Rates'!C:C,'Dispensed Ink Rates'!CS:CS),VLOOKUP(ED29,'Jan-2026 rates'!$E:$F,2,0)))</f>
        <v>0</v>
      </c>
      <c r="ES29" s="409"/>
      <c r="ET29" s="398">
        <f>IF(ES29=0,0,IF(LEN(EE29)=11,_xlfn.XLOOKUP(EE29,'Dispensed Ink Rates'!C:C,'Dispensed Ink Rates'!CS:CS),VLOOKUP(EE29,'Jan-2026 rates'!$E:$F,2,0)))</f>
        <v>0</v>
      </c>
      <c r="EU29" s="409"/>
      <c r="EV29" s="398">
        <f>IF(EU29=0,0,IF(LEN(EF29)=11,_xlfn.XLOOKUP(EF29,'Dispensed Ink Rates'!C:C,'Dispensed Ink Rates'!CS:CS),VLOOKUP(EF29,'Jan-2026 rates'!$E:$F,2,0)))</f>
        <v>0</v>
      </c>
      <c r="EW29" s="409"/>
      <c r="EX29" s="409"/>
      <c r="EY29" s="411">
        <f t="shared" si="13"/>
        <v>0</v>
      </c>
      <c r="EZ29" s="411">
        <f t="shared" si="14"/>
        <v>0</v>
      </c>
      <c r="FA29" s="410">
        <f t="shared" si="15"/>
        <v>0</v>
      </c>
      <c r="FB29" s="405"/>
      <c r="FC29" s="409"/>
      <c r="FD29" s="420" t="str">
        <f t="shared" si="16"/>
        <v xml:space="preserve"> - </v>
      </c>
      <c r="FE29" s="409"/>
      <c r="FF29" s="411">
        <f>IF(FE29=0,0,IF($LB29=70%,VLOOKUP($FD29,'Jan-2026 rates'!$L:$R,4,0),IF($LB29=65%,VLOOKUP($FD29,'Jan-2026 rates'!$L:$R,4,0),IF($LB29=40%,VLOOKUP($FD29,'Jan-2026 rates'!$L:$R,5,0),IF($LB29=30%,VLOOKUP($FD29,'Jan-2026 rates'!$L:$R,6,0),IF($LB29=100%,VLOOKUP($FD29,'Jan-2026 rates'!$L:$R,7,0),IF($LB29=60%,VLOOKUP($FD29,'Jan-2026 rates'!$L:$S,8,0),IF($LB29=80%,VLOOKUP($FD29,'Jan-2026 rates'!L:T,9,0),0))))))))</f>
        <v>0</v>
      </c>
      <c r="FG29" s="412"/>
      <c r="FH29" s="409"/>
      <c r="FI29" s="411">
        <f>IF(FH29=0,0,IF($LB29=70%,VLOOKUP($FD29,'Jan-2026 rates'!$L:$R,4,0),IF($LB29=65%,VLOOKUP($FD29,'Jan-2026 rates'!$L:$R,4,0),IF($LB29=40%,VLOOKUP($FD29,'Jan-2026 rates'!$L:$R,5,0),IF($LB29=30%,VLOOKUP($FD29,'Jan-2026 rates'!$L:$R,6,0),IF($LB29=100%,VLOOKUP($FD29,'Jan-2026 rates'!$L:$R,7,0),IF($LB29=60%,VLOOKUP($FD29,'Jan-2026 rates'!$L:$S,8,0),IF($LB29=80%,VLOOKUP($FD29,'Jan-2026 rates'!L:T,9,0),0))))))))</f>
        <v>0</v>
      </c>
      <c r="FJ29" s="413"/>
      <c r="FK29" s="413"/>
      <c r="FL29" s="413"/>
      <c r="FM29" s="412"/>
      <c r="FN29" s="412"/>
      <c r="FO29" s="412"/>
      <c r="FP29" s="412"/>
      <c r="FQ29" s="412"/>
      <c r="FR29" s="409"/>
      <c r="FS29" s="398">
        <f>IF(FR29=0,0,IF(LEN(FJ29)=11,_xlfn.XLOOKUP(FJ29,'Dispensed Ink Rates'!C:C,'Dispensed Ink Rates'!CS:CS),VLOOKUP(FJ29,'Jan-2026 rates'!$E:$F,2,0)))</f>
        <v>0</v>
      </c>
      <c r="FT29" s="409"/>
      <c r="FU29" s="398">
        <f>IF(FT29=0,0,IF(LEN(FK29)=11,_xlfn.XLOOKUP(FK29,'Dispensed Ink Rates'!C:C,'Dispensed Ink Rates'!CS:CS),VLOOKUP(FK29,'Jan-2026 rates'!$E:$F,2,0)))</f>
        <v>0</v>
      </c>
      <c r="FV29" s="409"/>
      <c r="FW29" s="398">
        <f>IF(FV29=0,0,IF(LEN(FL29)=11,_xlfn.XLOOKUP(FL29,'Dispensed Ink Rates'!C:C,'Dispensed Ink Rates'!CS:CS),VLOOKUP(FL29,'Jan-2026 rates'!$E:$F,2,0)))</f>
        <v>0</v>
      </c>
      <c r="FX29" s="409"/>
      <c r="FY29" s="398">
        <f>IF(FX29=0,0,IF(LEN(FM29)=11,_xlfn.XLOOKUP(FM29,'Dispensed Ink Rates'!C:C,'Dispensed Ink Rates'!CS:CS),VLOOKUP(FM29,'Jan-2026 rates'!$E:$F,2,0)))</f>
        <v>0</v>
      </c>
      <c r="FZ29" s="409"/>
      <c r="GA29" s="398">
        <f>IF(FZ29=0,0,IF(LEN(FN29)=11,_xlfn.XLOOKUP(FN29,'Dispensed Ink Rates'!C:C,'Dispensed Ink Rates'!CS:CS),VLOOKUP(FN29,'Jan-2026 rates'!$E:$F,2,0)))</f>
        <v>0</v>
      </c>
      <c r="GB29" s="409"/>
      <c r="GC29" s="398">
        <f>IF(GB29=0,0,IF(LEN(FO29)=11,_xlfn.XLOOKUP(FO29,'Dispensed Ink Rates'!C:C,'Dispensed Ink Rates'!CS:CS),VLOOKUP(FO29,'Jan-2026 rates'!$E:$F,2,0)))</f>
        <v>0</v>
      </c>
      <c r="GD29" s="409"/>
      <c r="GE29" s="398">
        <f>IF(GD29=0,0,IF(LEN(FP29)=11,_xlfn.XLOOKUP(FP29,'Dispensed Ink Rates'!C:C,'Dispensed Ink Rates'!CS:CS),VLOOKUP(FP29,'Jan-2026 rates'!$E:$F,2,0)))</f>
        <v>0</v>
      </c>
      <c r="GF29" s="409"/>
      <c r="GG29" s="398">
        <f>IF(GF29=0,0,IF(LEN(FQ29)=11,_xlfn.XLOOKUP(FQ29,'Dispensed Ink Rates'!C:C,'Dispensed Ink Rates'!CS:CS),VLOOKUP(FQ29,'Jan-2026 rates'!$E:$F,2,0)))</f>
        <v>0</v>
      </c>
      <c r="GH29" s="409"/>
      <c r="GI29" s="409"/>
      <c r="GJ29" s="411">
        <f t="shared" si="17"/>
        <v>0</v>
      </c>
      <c r="GK29" s="411">
        <f t="shared" si="18"/>
        <v>0</v>
      </c>
      <c r="GL29" s="410">
        <f t="shared" si="19"/>
        <v>0</v>
      </c>
      <c r="GM29" s="405"/>
      <c r="GN29" s="409"/>
      <c r="GO29" s="420" t="str">
        <f t="shared" si="20"/>
        <v xml:space="preserve"> - </v>
      </c>
      <c r="GP29" s="409"/>
      <c r="GQ29" s="411">
        <f>IF(GP29=0,0,IF($LB29=70%,VLOOKUP($GO29,'Jan-2026 rates'!$L:$R,4,0),IF($LB29=65%,VLOOKUP($GO29,'Jan-2026 rates'!$L:$R,4,0),IF($LB29=40%,VLOOKUP($GO29,'Jan-2026 rates'!$L:$R,5,0),IF($LB29=30%,VLOOKUP($GO29,'Jan-2026 rates'!$L:$R,6,0),IF($LB29=100%,VLOOKUP($GO29,'Jan-2026 rates'!$L:$R,7,0),IF($LB29=60%,VLOOKUP($GO29,'Jan-2026 rates'!$L:$S,8,0),IF($LB29=80%,VLOOKUP($GO29,'Jan-2026 rates'!L:T,9,0),0))))))))</f>
        <v>0</v>
      </c>
      <c r="GR29" s="412"/>
      <c r="GS29" s="409"/>
      <c r="GT29" s="411">
        <f>IF(GS29=0,0,IF($LB29=70%,VLOOKUP($GO29,'Jan-2026 rates'!$L:$R,4,0),IF($LB29=65%,VLOOKUP($GO29,'Jan-2026 rates'!$L:$R,4,0),IF($LB29=40%,VLOOKUP($GO29,'Jan-2026 rates'!$L:$R,5,0),IF($LB29=30%,VLOOKUP($GO29,'Jan-2026 rates'!$L:$R,6,0),IF($LB29=100%,VLOOKUP($GO29,'Jan-2026 rates'!$L:$R,7,0),IF($LB29=60%,VLOOKUP($GO29,'Jan-2026 rates'!$L:$S,8,0),IF($LB29=80%,VLOOKUP($GO29,'Jan-2026 rates'!L:T,9,0),0))))))))</f>
        <v>0</v>
      </c>
      <c r="GU29" s="413"/>
      <c r="GV29" s="413"/>
      <c r="GW29" s="412"/>
      <c r="GX29" s="412"/>
      <c r="GY29" s="412"/>
      <c r="GZ29" s="412"/>
      <c r="HA29" s="412"/>
      <c r="HB29" s="412"/>
      <c r="HC29" s="409"/>
      <c r="HD29" s="398">
        <f>IF(HC29=0,0,IF(LEN(GU29)=11,_xlfn.XLOOKUP(GU29,'Dispensed Ink Rates'!C:C,'Dispensed Ink Rates'!CS:CS),VLOOKUP(GU29,'Jan-2026 rates'!$E:$F,2,0)))</f>
        <v>0</v>
      </c>
      <c r="HE29" s="409"/>
      <c r="HF29" s="398">
        <f>IF(HE29=0,0,IF(LEN(GV29)=11,_xlfn.XLOOKUP(GV29,'Dispensed Ink Rates'!C:C,'Dispensed Ink Rates'!CS:CS),VLOOKUP(GV29,'Jan-2026 rates'!$E:$F,2,0)))</f>
        <v>0</v>
      </c>
      <c r="HG29" s="409"/>
      <c r="HH29" s="398">
        <f>IF(HG29=0,0,IF(LEN(GW29)=11,_xlfn.XLOOKUP(GW29,'Dispensed Ink Rates'!C:C,'Dispensed Ink Rates'!CS:CS),VLOOKUP(GW29,'Jan-2026 rates'!$E:$F,2,0)))</f>
        <v>0</v>
      </c>
      <c r="HI29" s="409"/>
      <c r="HJ29" s="398">
        <f>IF(HI29=0,0,IF(LEN(GX29)=11,_xlfn.XLOOKUP(GX29,'Dispensed Ink Rates'!C:C,'Dispensed Ink Rates'!CS:CS),VLOOKUP(GX29,'Jan-2026 rates'!$E:$F,2,0)))</f>
        <v>0</v>
      </c>
      <c r="HK29" s="409"/>
      <c r="HL29" s="398">
        <f>IF(HK29=0,0,IF(LEN(GY29)=11,_xlfn.XLOOKUP(GY29,'Dispensed Ink Rates'!C:C,'Dispensed Ink Rates'!CS:CS),VLOOKUP(GY29,'Jan-2026 rates'!$E:$F,2,0)))</f>
        <v>0</v>
      </c>
      <c r="HM29" s="409"/>
      <c r="HN29" s="398">
        <f>IF(HM29=0,0,IF(LEN(GZ29)=11,_xlfn.XLOOKUP(GZ29,'Dispensed Ink Rates'!C:C,'Dispensed Ink Rates'!CS:CS),VLOOKUP(GZ29,'Jan-2026 rates'!$E:$F,2,0)))</f>
        <v>0</v>
      </c>
      <c r="HO29" s="409"/>
      <c r="HP29" s="398">
        <f>IF(HO29=0,0,IF(LEN(HA29)=11,_xlfn.XLOOKUP(HA29,'Dispensed Ink Rates'!C:C,'Dispensed Ink Rates'!CS:CS),VLOOKUP(HA29,'Jan-2026 rates'!$E:$F,2,0)))</f>
        <v>0</v>
      </c>
      <c r="HQ29" s="409"/>
      <c r="HR29" s="398">
        <f>IF(HQ29=0,0,IF(LEN(HB29)=11,_xlfn.XLOOKUP(HB29,'Dispensed Ink Rates'!C:C,'Dispensed Ink Rates'!CS:CS),VLOOKUP(HB29,'Jan-2026 rates'!$E:$F,2,0)))</f>
        <v>0</v>
      </c>
      <c r="HS29" s="409"/>
      <c r="HT29" s="409"/>
      <c r="HU29" s="411">
        <f t="shared" si="21"/>
        <v>0</v>
      </c>
      <c r="HV29" s="411">
        <f t="shared" si="22"/>
        <v>0</v>
      </c>
      <c r="HW29" s="414">
        <f t="shared" si="23"/>
        <v>0</v>
      </c>
      <c r="HX29" s="405"/>
      <c r="HY29" s="409"/>
      <c r="HZ29" s="420" t="str">
        <f t="shared" si="24"/>
        <v xml:space="preserve"> - </v>
      </c>
      <c r="IA29" s="409"/>
      <c r="IB29" s="411">
        <f>IF(IA29=0,0,IF($LB29=70%,VLOOKUP($HZ29,'Jan-2026 rates'!$L:$R,4,0),IF($LB29=65%,VLOOKUP($HZ29,'Jan-2026 rates'!$L:$R,4,0),IF($LB29=40%,VLOOKUP($HZ29,'Jan-2026 rates'!$L:$R,5,0),IF($LB29=30%,VLOOKUP($HZ29,'Jan-2026 rates'!$L:$R,6,0),IF($LB29=100%,VLOOKUP($HZ29,'Jan-2026 rates'!$L:$R,7,0),IF($LB29=60%,VLOOKUP($HZ29,'Jan-2026 rates'!$L:$S,8,0),IF($LB29=80%,VLOOKUP($HZ29,'Jan-2026 rates'!L:T,9,0),0))))))))</f>
        <v>0</v>
      </c>
      <c r="IC29" s="412"/>
      <c r="ID29" s="409"/>
      <c r="IE29" s="411">
        <f>IF(ID29=0,0,IF($LB29=70%,VLOOKUP($HZ29,'Jan-2026 rates'!$L:$R,4,0),IF($LB29=65%,VLOOKUP($HZ29,'Jan-2026 rates'!$L:$R,4,0),IF($LB29=40%,VLOOKUP($HZ29,'Jan-2026 rates'!$L:$R,5,0),IF($LB29=30%,VLOOKUP($HZ29,'Jan-2026 rates'!$L:$R,6,0),IF($LB29=100%,VLOOKUP($HZ29,'Jan-2026 rates'!$L:$R,7,0),IF($LB29=60%,VLOOKUP($HZ29,'Jan-2026 rates'!$L:$S,8,0),IF($LB29=80%,VLOOKUP($HZ29,'Jan-2026 rates'!L:T,9,0),0))))))))</f>
        <v>0</v>
      </c>
      <c r="IF29" s="412"/>
      <c r="IG29" s="413"/>
      <c r="IH29" s="412"/>
      <c r="II29" s="412"/>
      <c r="IJ29" s="412"/>
      <c r="IK29" s="412"/>
      <c r="IL29" s="412"/>
      <c r="IM29" s="412"/>
      <c r="IN29" s="409"/>
      <c r="IO29" s="398">
        <f>IF(IN29=0,0,IF(LEN(IF29)=11,_xlfn.XLOOKUP(IF29,'Dispensed Ink Rates'!C:C,'Dispensed Ink Rates'!CS:CS),VLOOKUP(IF29,'Jan-2026 rates'!$E:$F,2,0)))</f>
        <v>0</v>
      </c>
      <c r="IP29" s="409"/>
      <c r="IQ29" s="398">
        <f>IF(IP29=0,0,IF(LEN(IG29)=11,_xlfn.XLOOKUP(IG29,'Dispensed Ink Rates'!C:C,'Dispensed Ink Rates'!CS:CS),VLOOKUP(IG29,'Jan-2026 rates'!$E:$F,2,0)))</f>
        <v>0</v>
      </c>
      <c r="IR29" s="409"/>
      <c r="IS29" s="398">
        <f>IF(IR29=0,0,IF(LEN(IH29)=11,_xlfn.XLOOKUP(IH29,'Dispensed Ink Rates'!C:C,'Dispensed Ink Rates'!CS:CS),VLOOKUP(IH29,'Jan-2026 rates'!$E:$F,2,0)))</f>
        <v>0</v>
      </c>
      <c r="IT29" s="409"/>
      <c r="IU29" s="398">
        <f>IF(IT29=0,0,IF(LEN(II29)=11,_xlfn.XLOOKUP(II29,'Dispensed Ink Rates'!C:C,'Dispensed Ink Rates'!CS:CS),VLOOKUP(II29,'Jan-2026 rates'!$E:$F,2,0)))</f>
        <v>0</v>
      </c>
      <c r="IV29" s="409"/>
      <c r="IW29" s="398">
        <f>IF(IV29=0,0,IF(LEN(IJ29)=11,_xlfn.XLOOKUP(IJ29,'Dispensed Ink Rates'!C:C,'Dispensed Ink Rates'!CS:CS),VLOOKUP(IJ29,'Jan-2026 rates'!$E:$F,2,0)))</f>
        <v>0</v>
      </c>
      <c r="IX29" s="409"/>
      <c r="IY29" s="398">
        <f>IF(IX29=0,0,IF(LEN(IK29)=11,_xlfn.XLOOKUP(IK29,'Dispensed Ink Rates'!C:C,'Dispensed Ink Rates'!CS:CS),VLOOKUP(IK29,'Jan-2026 rates'!$E:$F,2,0)))</f>
        <v>0</v>
      </c>
      <c r="IZ29" s="409"/>
      <c r="JA29" s="398">
        <f>IF(IZ29=0,0,IF(LEN(IL29)=11,_xlfn.XLOOKUP(IL29,'Dispensed Ink Rates'!C:C,'Dispensed Ink Rates'!CS:CS),VLOOKUP(IL29,'Jan-2026 rates'!$E:$F,2,0)))</f>
        <v>0</v>
      </c>
      <c r="JB29" s="409"/>
      <c r="JC29" s="398">
        <f>IF(JB29=0,0,IF(LEN(IM29)=11,_xlfn.XLOOKUP(IM29,'Dispensed Ink Rates'!C:C,'Dispensed Ink Rates'!CS:CS),VLOOKUP(IM29,'Jan-2026 rates'!$E:$F,2,0)))</f>
        <v>0</v>
      </c>
      <c r="JD29" s="409"/>
      <c r="JE29" s="409"/>
      <c r="JF29" s="411">
        <f t="shared" si="25"/>
        <v>0</v>
      </c>
      <c r="JG29" s="411">
        <f t="shared" si="26"/>
        <v>0</v>
      </c>
      <c r="JH29" s="410">
        <f t="shared" si="27"/>
        <v>0</v>
      </c>
      <c r="JI29" s="405"/>
      <c r="JJ29" s="409"/>
      <c r="JK29" s="420" t="str">
        <f t="shared" si="28"/>
        <v xml:space="preserve"> - </v>
      </c>
      <c r="JL29" s="409"/>
      <c r="JM29" s="411">
        <f>IF(JL29=0,0,IF($LB29=70%,VLOOKUP($JK29,'Jan-2026 rates'!$L:$R,4,0),IF($LB29=65%,VLOOKUP($JK29,'Jan-2026 rates'!$L:$R,4,0),IF($LB29=40%,VLOOKUP($JK29,'Jan-2026 rates'!$L:$R,5,0),IF($LB29=30%,VLOOKUP($JK29,'Jan-2026 rates'!$L:$R,6,0),IF($LB29=100%,VLOOKUP($JK29,'Jan-2026 rates'!$L:$R,7,0),IF($LB29=60%,VLOOKUP($JK29,'Jan-2026 rates'!$L:$S,8,0),IF($LB29=80%,VLOOKUP($JK29,'Jan-2026 rates'!L:T,9,0),0))))))))</f>
        <v>0</v>
      </c>
      <c r="JN29" s="412"/>
      <c r="JO29" s="409"/>
      <c r="JP29" s="411">
        <f>IF(JO29=0,0,IF($LB29=70%,VLOOKUP($JK29,'Jan-2026 rates'!$L:$R,4,0),IF($LB29=65%,VLOOKUP($JK29,'Jan-2026 rates'!$L:$R,4,0),IF($LB29=40%,VLOOKUP($JK29,'Jan-2026 rates'!$L:$R,5,0),IF($LB29=30%,VLOOKUP($JK29,'Jan-2026 rates'!$L:$R,6,0),IF($LB29=100%,VLOOKUP($JK29,'Jan-2026 rates'!$L:$R,7,0),IF($LB29=60%,VLOOKUP($JK29,'Jan-2026 rates'!$L:$S,8,0),IF($LB29=80%,VLOOKUP($JK29,'Jan-2026 rates'!L:T,9,0),0))))))))</f>
        <v>0</v>
      </c>
      <c r="JQ29" s="413"/>
      <c r="JR29" s="412"/>
      <c r="JS29" s="413"/>
      <c r="JT29" s="413"/>
      <c r="JU29" s="412"/>
      <c r="JV29" s="412"/>
      <c r="JW29" s="412"/>
      <c r="JX29" s="412"/>
      <c r="JY29" s="409"/>
      <c r="JZ29" s="398">
        <f>IF(JY29=0,0,IF(LEN(JQ29)=11,_xlfn.XLOOKUP(JQ29,'Dispensed Ink Rates'!C:C,'Dispensed Ink Rates'!CS:CS),VLOOKUP(JQ29,'Jan-2026 rates'!$E:$F,2,0)))</f>
        <v>0</v>
      </c>
      <c r="KA29" s="409"/>
      <c r="KB29" s="398">
        <f>IF(KA29=0,0,IF(LEN(JR29)=11,_xlfn.XLOOKUP(JR29,'Dispensed Ink Rates'!C:C,'Dispensed Ink Rates'!CS:CS),VLOOKUP(JR29,'Jan-2026 rates'!$E:$F,2,0)))</f>
        <v>0</v>
      </c>
      <c r="KC29" s="409"/>
      <c r="KD29" s="398">
        <f>IF(KC29=0,0,IF(LEN(JS29)=11,_xlfn.XLOOKUP(JS29,'Dispensed Ink Rates'!C:C,'Dispensed Ink Rates'!CS:CS),VLOOKUP(JS29,'Jan-2026 rates'!$E:$F,2,0)))</f>
        <v>0</v>
      </c>
      <c r="KE29" s="409"/>
      <c r="KF29" s="398">
        <f>IF(KE29=0,0,IF(LEN(JT29)=11,_xlfn.XLOOKUP(JT29,'Dispensed Ink Rates'!C:C,'Dispensed Ink Rates'!CS:CS),VLOOKUP(JT29,'Jan-2026 rates'!$E:$F,2,0)))</f>
        <v>0</v>
      </c>
      <c r="KG29" s="409"/>
      <c r="KH29" s="398">
        <f>IF(KG29=0,0,IF(LEN(JU29)=11,_xlfn.XLOOKUP(JU29,'Dispensed Ink Rates'!C:C,'Dispensed Ink Rates'!CS:CS),VLOOKUP(JU29,'Jan-2026 rates'!$E:$F,2,0)))</f>
        <v>0</v>
      </c>
      <c r="KI29" s="409"/>
      <c r="KJ29" s="398">
        <f>IF(KI29=0,0,IF(LEN(JV29)=11,_xlfn.XLOOKUP(JV29,'Dispensed Ink Rates'!C:C,'Dispensed Ink Rates'!CS:CS),VLOOKUP(JV29,'Jan-2026 rates'!$E:$F,2,0)))</f>
        <v>0</v>
      </c>
      <c r="KK29" s="409"/>
      <c r="KL29" s="398">
        <f>IF(KK29=0,0,IF(LEN(JW29)=11,_xlfn.XLOOKUP(JW29,'Dispensed Ink Rates'!C:C,'Dispensed Ink Rates'!CS:CS),VLOOKUP(JW29,'Jan-2026 rates'!$E:$F,2,0)))</f>
        <v>0</v>
      </c>
      <c r="KM29" s="428"/>
      <c r="KN29" s="398">
        <f>IF(KM29=0,0,IF(LEN(JX29)=11,_xlfn.XLOOKUP(JX29,'Dispensed Ink Rates'!C:C,'Dispensed Ink Rates'!CS:CS),VLOOKUP(JX29,'Jan-2026 rates'!$E:$F,2,0)))</f>
        <v>0</v>
      </c>
      <c r="KO29" s="409"/>
      <c r="KP29" s="409"/>
      <c r="KQ29" s="411">
        <f t="shared" si="29"/>
        <v>0</v>
      </c>
      <c r="KR29" s="411">
        <f t="shared" si="30"/>
        <v>0</v>
      </c>
      <c r="KS29" s="410">
        <f t="shared" si="31"/>
        <v>0</v>
      </c>
      <c r="KT29" s="409">
        <v>1</v>
      </c>
      <c r="KU29" s="409">
        <v>3</v>
      </c>
      <c r="KV29" s="409">
        <v>0</v>
      </c>
      <c r="KW29" s="409">
        <v>0</v>
      </c>
      <c r="KX29" s="409">
        <v>0</v>
      </c>
      <c r="KY29" s="409">
        <v>0</v>
      </c>
      <c r="KZ29" s="409">
        <v>0</v>
      </c>
      <c r="LA29" s="409">
        <v>0</v>
      </c>
      <c r="LB29" s="415">
        <v>0.3</v>
      </c>
      <c r="LC29" s="415"/>
      <c r="LD29" s="415"/>
      <c r="LE29" s="415">
        <v>0.5</v>
      </c>
      <c r="LF29" s="415">
        <v>0.2</v>
      </c>
      <c r="LG29" s="409">
        <v>0</v>
      </c>
      <c r="LH29" s="409">
        <f>5+5+6+10+4</f>
        <v>30</v>
      </c>
      <c r="LI29" s="409">
        <v>0</v>
      </c>
      <c r="LJ29" s="409">
        <v>0</v>
      </c>
      <c r="LK29" s="416">
        <f t="shared" si="32"/>
        <v>30</v>
      </c>
      <c r="LL29" s="416">
        <f t="shared" si="33"/>
        <v>30</v>
      </c>
      <c r="LM29" s="417">
        <f t="shared" si="34"/>
        <v>9</v>
      </c>
      <c r="LN29" s="417">
        <f>VLOOKUP($LM$8,'Jan-2026 rates'!$H:$I,2,0)</f>
        <v>0</v>
      </c>
      <c r="LO29" s="417">
        <f t="shared" si="35"/>
        <v>0</v>
      </c>
      <c r="LP29" s="417">
        <f>VLOOKUP($LO$8,'Jan-2026 rates'!$H:$I,2,0)</f>
        <v>0</v>
      </c>
      <c r="LQ29" s="417">
        <f t="shared" si="36"/>
        <v>0</v>
      </c>
      <c r="LR29" s="417">
        <f>VLOOKUP($LQ$8,'Jan-2026 rates'!$H:$I,2,0)</f>
        <v>0</v>
      </c>
      <c r="LS29" s="417">
        <f t="shared" si="37"/>
        <v>15</v>
      </c>
      <c r="LT29" s="417">
        <f>VLOOKUP($LS$8,'Jan-2026 rates'!$H:$I,2,0)</f>
        <v>0</v>
      </c>
      <c r="LU29" s="417">
        <f t="shared" si="38"/>
        <v>6</v>
      </c>
      <c r="LV29" s="417">
        <f>VLOOKUP($LU$8,'Jan-2026 rates'!$H:$I,2,0)</f>
        <v>0</v>
      </c>
      <c r="LW29" s="417">
        <f t="shared" si="39"/>
        <v>0</v>
      </c>
      <c r="LX29" s="417">
        <f t="shared" si="40"/>
        <v>0</v>
      </c>
      <c r="LY29" s="418">
        <f t="shared" si="41"/>
        <v>0</v>
      </c>
      <c r="LZ29" s="417"/>
      <c r="MA29" s="435">
        <f t="shared" si="42"/>
        <v>7</v>
      </c>
      <c r="MB29" s="282">
        <f t="shared" si="43"/>
        <v>42</v>
      </c>
      <c r="MC29" s="283" t="s">
        <v>1958</v>
      </c>
      <c r="MD29" s="284" t="str">
        <f t="shared" si="44"/>
        <v>ToyoLiToyoLi</v>
      </c>
      <c r="ME29" s="293" t="str">
        <f t="shared" si="45"/>
        <v>+</v>
      </c>
      <c r="MF29" s="293" t="str">
        <f t="shared" si="46"/>
        <v>+</v>
      </c>
      <c r="MG29" s="293" t="str">
        <f t="shared" si="47"/>
        <v>NIL</v>
      </c>
      <c r="MH29" s="293" t="str">
        <f t="shared" si="48"/>
        <v>NIL</v>
      </c>
      <c r="MI29" s="293" t="str">
        <f t="shared" si="49"/>
        <v>NIL</v>
      </c>
      <c r="MJ29" s="293" t="str">
        <f t="shared" si="50"/>
        <v>NIL</v>
      </c>
      <c r="MK29" s="293" t="str">
        <f t="shared" si="51"/>
        <v>NIL</v>
      </c>
      <c r="ML29" s="293" t="str">
        <f t="shared" si="52"/>
        <v>NIL</v>
      </c>
      <c r="MM29" s="3" t="b">
        <f t="array" ref="MM29">OR(ME29:ML29="-")</f>
        <v>0</v>
      </c>
      <c r="MN29" s="285"/>
      <c r="MO29" s="401"/>
      <c r="MP29" s="286"/>
      <c r="MQ29" s="286"/>
      <c r="MR29" s="402"/>
      <c r="MS29" s="400"/>
      <c r="NH29" s="422"/>
      <c r="NJ29" s="421"/>
    </row>
    <row r="30" spans="1:374" s="1" customFormat="1" ht="16.5">
      <c r="A30" s="403">
        <v>46026</v>
      </c>
      <c r="B30" s="404" t="s">
        <v>1015</v>
      </c>
      <c r="C30" s="405" t="s">
        <v>2710</v>
      </c>
      <c r="D30" s="406" t="s">
        <v>1959</v>
      </c>
      <c r="E30" s="404">
        <v>138</v>
      </c>
      <c r="F30" s="407">
        <v>8800</v>
      </c>
      <c r="G30" s="407" t="s">
        <v>1016</v>
      </c>
      <c r="H30" s="408" t="s">
        <v>1017</v>
      </c>
      <c r="I30" s="409">
        <v>1.1000000000000001</v>
      </c>
      <c r="J30" s="405" t="s">
        <v>543</v>
      </c>
      <c r="K30" s="404" t="s">
        <v>2711</v>
      </c>
      <c r="L30" s="419" t="str">
        <f t="shared" si="0"/>
        <v>ToyoLi - BLACK</v>
      </c>
      <c r="M30" s="404">
        <v>23</v>
      </c>
      <c r="N30" s="410">
        <f>IF(M30=0,0,IF($LB30=70%,VLOOKUP($L30,'Jan-2026 rates'!$L:$R,4,0),IF($LB30=65%,VLOOKUP($L30,'Jan-2026 rates'!$L:$R,4,0),IF($LB30=40%,VLOOKUP($L30,'Jan-2026 rates'!$L:$R,5,0),IF($LB30=30%,VLOOKUP($L30,'Jan-2026 rates'!$L:$R,6,0),IF($LB30=100%,VLOOKUP($L30,'Jan-2026 rates'!$L:$R,7,0),IF($LB30=60%,VLOOKUP($L30,'Jan-2026 rates'!$L:$S,8,0),IF($LB30=80%,VLOOKUP($L30,'Jan-2026 rates'!L:T,9,0),0))))))))</f>
        <v>0</v>
      </c>
      <c r="O30" s="406"/>
      <c r="P30" s="404"/>
      <c r="Q30" s="410">
        <f>IF(P30=0,0,IF($LB30=70%,VLOOKUP($L30,'Jan-2026 rates'!$L:$R,4,0),IF($LB30=65%,VLOOKUP($L30,'Jan-2026 rates'!$L:$R,4,0),IF($LB30=40%,VLOOKUP($L30,'Jan-2026 rates'!$L:$R,5,0),IF($LB30=30%,VLOOKUP($L30,'Jan-2026 rates'!$L:$R,6,0),IF($LB30=100%,VLOOKUP($L30,'Jan-2026 rates'!$L:$R,7,0),IF($LB30=60%,VLOOKUP($L30,'Jan-2026 rates'!$L:$S,8,0),IF($LB30=80%,VLOOKUP($L30,'Jan-2026 rates'!L:T,9,0),0))))))))</f>
        <v>0</v>
      </c>
      <c r="R30" s="406" t="s">
        <v>1921</v>
      </c>
      <c r="S30" s="406"/>
      <c r="T30" s="406"/>
      <c r="U30" s="406"/>
      <c r="V30" s="406"/>
      <c r="W30" s="406"/>
      <c r="X30" s="406"/>
      <c r="Y30" s="406"/>
      <c r="Z30" s="404">
        <v>3</v>
      </c>
      <c r="AA30" s="398">
        <f>IF(Z30=0,0,IF(LEN(R30)=11,_xlfn.XLOOKUP(R30,'Dispensed Ink Rates'!C:C,'Dispensed Ink Rates'!CS:CS),VLOOKUP(R30,'Jan-2026 rates'!$E:$F,2,0)))</f>
        <v>0</v>
      </c>
      <c r="AB30" s="404"/>
      <c r="AC30" s="398">
        <f>IF(AB30=0,0,IF(LEN(S30)=11,_xlfn.XLOOKUP(S30,'Dispensed Ink Rates'!C:C,'Dispensed Ink Rates'!CS:CS),VLOOKUP(S30,'Jan-2026 rates'!$E:$F,2,0)))</f>
        <v>0</v>
      </c>
      <c r="AD30" s="404"/>
      <c r="AE30" s="398">
        <f>IF(AD30=0,0,IF(LEN(T30)=11,_xlfn.XLOOKUP(T30,'Dispensed Ink Rates'!C:C,'Dispensed Ink Rates'!CS:CS),VLOOKUP(T30,'Jan-2026 rates'!$E:$F,2,0)))</f>
        <v>0</v>
      </c>
      <c r="AF30" s="404"/>
      <c r="AG30" s="398">
        <f>IF(AF30=0,0,IF(LEN(U30)=11,_xlfn.XLOOKUP(U30,'Dispensed Ink Rates'!C:C,'Dispensed Ink Rates'!CS:CS),VLOOKUP(U30,'Jan-2026 rates'!$E:$F,2,0)))</f>
        <v>0</v>
      </c>
      <c r="AH30" s="404"/>
      <c r="AI30" s="398">
        <f>IF(AH30=0,0,IF(LEN(V30)=11,_xlfn.XLOOKUP(V30,'Dispensed Ink Rates'!C:C,'Dispensed Ink Rates'!CS:CS),VLOOKUP(V30,'Jan-2026 rates'!$E:$F,2,0)))</f>
        <v>0</v>
      </c>
      <c r="AJ30" s="404"/>
      <c r="AK30" s="398">
        <f>IF(AJ30=0,0,IF(LEN(W30)=11,_xlfn.XLOOKUP(W30,'Dispensed Ink Rates'!C:C,'Dispensed Ink Rates'!CS:CS),VLOOKUP(W30,'Jan-2026 rates'!$E:$F,2,0)))</f>
        <v>0</v>
      </c>
      <c r="AL30" s="404"/>
      <c r="AM30" s="398">
        <f>IF(AL30=0,0,IF(LEN(X30)=11,_xlfn.XLOOKUP(X30,'Dispensed Ink Rates'!C:C,'Dispensed Ink Rates'!CS:CS),VLOOKUP(X30,'Jan-2026 rates'!$E:$F,2,0)))</f>
        <v>0</v>
      </c>
      <c r="AN30" s="404"/>
      <c r="AO30" s="398">
        <f>IF(AN30=0,0,IF(LEN(Y30)=11,_xlfn.XLOOKUP(Y30,'Dispensed Ink Rates'!C:C,'Dispensed Ink Rates'!CS:CS),VLOOKUP(Y30,'Jan-2026 rates'!$E:$F,2,0)))</f>
        <v>0</v>
      </c>
      <c r="AP30" s="409" t="s">
        <v>1881</v>
      </c>
      <c r="AQ30" s="409">
        <v>26</v>
      </c>
      <c r="AR30" s="410">
        <f t="shared" si="1"/>
        <v>0</v>
      </c>
      <c r="AS30" s="411">
        <f t="shared" si="2"/>
        <v>3.3658536585365866</v>
      </c>
      <c r="AT30" s="410">
        <f t="shared" si="3"/>
        <v>0</v>
      </c>
      <c r="AU30" s="405" t="s">
        <v>546</v>
      </c>
      <c r="AV30" s="409" t="s">
        <v>2691</v>
      </c>
      <c r="AW30" s="420" t="str">
        <f t="shared" si="4"/>
        <v>ToyoLi - REFLEX BLUE</v>
      </c>
      <c r="AX30" s="409">
        <v>11</v>
      </c>
      <c r="AY30" s="411">
        <f>IF(AX30=0,0,IF($LB30=70%,VLOOKUP($AW30,'Jan-2026 rates'!$L:$R,4,0),IF($LB30=65%,VLOOKUP($AW30,'Jan-2026 rates'!$L:$R,4,0),IF($LB30=40%,VLOOKUP($AW30,'Jan-2026 rates'!$L:$R,5,0),IF($LB30=30%,VLOOKUP($AW30,'Jan-2026 rates'!$L:$R,6,0),IF($LB30=100%,VLOOKUP($AW30,'Jan-2026 rates'!$L:$R,7,0),IF($LB30=60%,VLOOKUP($AW30,'Jan-2026 rates'!$L:$S,8,0),IF($LB30=80%,VLOOKUP($AW30,'Jan-2026 rates'!L:T,9,0),0))))))))</f>
        <v>0</v>
      </c>
      <c r="AZ30" s="412"/>
      <c r="BA30" s="409"/>
      <c r="BB30" s="411">
        <f>IF(BA30=0,0,IF($LB30=70%,VLOOKUP($AW30,'Jan-2026 rates'!$L:$R,4,0),IF($LB30=65%,VLOOKUP($AW30,'Jan-2026 rates'!$L:$R,4,0),IF($LB30=40%,VLOOKUP($AW30,'Jan-2026 rates'!$L:$R,5,0),IF($LB30=30%,VLOOKUP($AW30,'Jan-2026 rates'!$L:$R,6,0),IF($LB30=100%,VLOOKUP($AW30,'Jan-2026 rates'!$L:$R,7,0),IF($LB30=60%,VLOOKUP($AW30,'Jan-2026 rates'!$L:$S,8,0),IF($LB30=80%,VLOOKUP($AW30,'Jan-2026 rates'!L:T,9,0),0))))))))</f>
        <v>0</v>
      </c>
      <c r="BC30" s="413" t="s">
        <v>1880</v>
      </c>
      <c r="BD30" s="412" t="s">
        <v>1250</v>
      </c>
      <c r="BE30" s="412"/>
      <c r="BF30" s="413"/>
      <c r="BG30" s="412"/>
      <c r="BH30" s="412"/>
      <c r="BI30" s="412"/>
      <c r="BJ30" s="412"/>
      <c r="BK30" s="409">
        <v>10</v>
      </c>
      <c r="BL30" s="398">
        <f>IF(BK30=0,0,IF(LEN(BC30)=11,_xlfn.XLOOKUP(BC30,'Dispensed Ink Rates'!C:C,'Dispensed Ink Rates'!CS:CS),VLOOKUP(BC30,'Jan-2026 rates'!$E:$F,2,0)))</f>
        <v>0</v>
      </c>
      <c r="BM30" s="409">
        <v>4</v>
      </c>
      <c r="BN30" s="398">
        <f>IF(BM30=0,0,IF(LEN(BD30)=11,_xlfn.XLOOKUP(BD30,'Dispensed Ink Rates'!C:C,'Dispensed Ink Rates'!CS:CS),VLOOKUP(BD30,'Jan-2026 rates'!$E:$F,2,0)))</f>
        <v>0</v>
      </c>
      <c r="BO30" s="409"/>
      <c r="BP30" s="398">
        <f>IF(BO30=0,0,IF(LEN(BE30)=11,_xlfn.XLOOKUP(BE30,'Dispensed Ink Rates'!C:C,'Dispensed Ink Rates'!CS:CS),VLOOKUP(BE30,'Jan-2026 rates'!$E:$F,2,0)))</f>
        <v>0</v>
      </c>
      <c r="BQ30" s="409"/>
      <c r="BR30" s="398">
        <f>IF(BQ30=0,0,IF(LEN(BF30)=11,_xlfn.XLOOKUP(BF30,'Dispensed Ink Rates'!C:C,'Dispensed Ink Rates'!CS:CS),VLOOKUP(BF30,'Jan-2026 rates'!$E:$F,2,0)))</f>
        <v>0</v>
      </c>
      <c r="BS30" s="409"/>
      <c r="BT30" s="398">
        <f>IF(BS30=0,0,IF(LEN(BG30)=11,_xlfn.XLOOKUP(BG30,'Dispensed Ink Rates'!C:C,'Dispensed Ink Rates'!CS:CS),VLOOKUP(BG30,'Jan-2026 rates'!$E:$F,2,0)))</f>
        <v>0</v>
      </c>
      <c r="BU30" s="409"/>
      <c r="BV30" s="398">
        <f>IF(BU30=0,0,IF(LEN(BH30)=11,_xlfn.XLOOKUP(BH30,'Dispensed Ink Rates'!C:C,'Dispensed Ink Rates'!CS:CS),VLOOKUP(BH30,'Jan-2026 rates'!$E:$F,2,0)))</f>
        <v>0</v>
      </c>
      <c r="BW30" s="409"/>
      <c r="BX30" s="398">
        <f>IF(BW30=0,0,IF(LEN(BI30)=11,_xlfn.XLOOKUP(BI30,'Dispensed Ink Rates'!C:C,'Dispensed Ink Rates'!CS:CS),VLOOKUP(BI30,'Jan-2026 rates'!$E:$F,2,0)))</f>
        <v>0</v>
      </c>
      <c r="BY30" s="409"/>
      <c r="BZ30" s="398">
        <f>IF(BY30=0,0,IF(LEN(BJ30)=11,_xlfn.XLOOKUP(BJ30,'Dispensed Ink Rates'!C:C,'Dispensed Ink Rates'!CS:CS),VLOOKUP(BJ30,'Jan-2026 rates'!$E:$F,2,0)))</f>
        <v>0</v>
      </c>
      <c r="CA30" s="409" t="s">
        <v>1881</v>
      </c>
      <c r="CB30" s="409">
        <v>28</v>
      </c>
      <c r="CC30" s="411">
        <f t="shared" si="5"/>
        <v>0</v>
      </c>
      <c r="CD30" s="411">
        <f t="shared" si="6"/>
        <v>10.463414634146346</v>
      </c>
      <c r="CE30" s="410">
        <f t="shared" si="7"/>
        <v>0</v>
      </c>
      <c r="CF30" s="404" t="s">
        <v>857</v>
      </c>
      <c r="CG30" s="409" t="s">
        <v>2712</v>
      </c>
      <c r="CH30" s="420" t="str">
        <f t="shared" si="8"/>
        <v>ToyoLi - RED</v>
      </c>
      <c r="CI30" s="409">
        <v>20</v>
      </c>
      <c r="CJ30" s="411">
        <f>IF(CI30=0,0,IF($LB30=70%,VLOOKUP($CH30,'Jan-2026 rates'!$L:$R,4,0),IF($LB30=65%,VLOOKUP($CH30,'Jan-2026 rates'!$L:$R,4,0),IF($LB30=40%,VLOOKUP($CH30,'Jan-2026 rates'!$L:$R,5,0),IF($LB30=30%,VLOOKUP($CH30,'Jan-2026 rates'!$L:$R,6,0),IF($LB30=100%,VLOOKUP($CH30,'Jan-2026 rates'!$L:$R,7,0),IF($LB30=60%,VLOOKUP($CH30,'Jan-2026 rates'!$L:$S,8,0),IF($LB30=80%,VLOOKUP($CH30,'Jan-2026 rates'!L:T,9,0),0))))))))</f>
        <v>0</v>
      </c>
      <c r="CK30" s="412"/>
      <c r="CL30" s="409"/>
      <c r="CM30" s="411">
        <f>IF(CL30=0,0,IF($LB30=70%,VLOOKUP($CH30,'Jan-2026 rates'!$L:$R,4,0),IF($LB30=65%,VLOOKUP($CH30,'Jan-2026 rates'!$L:$R,4,0),IF($LB30=40%,VLOOKUP($CH30,'Jan-2026 rates'!$L:$R,5,0),IF($LB30=30%,VLOOKUP($CH30,'Jan-2026 rates'!$L:$R,6,0),IF($LB30=100%,VLOOKUP($CH30,'Jan-2026 rates'!$L:$R,7,0),IF($LB30=60%,VLOOKUP($CH30,'Jan-2026 rates'!$L:$S,8,0),IF($LB30=80%,VLOOKUP($CH30,'Jan-2026 rates'!L:T,9,0),0))))))))</f>
        <v>0</v>
      </c>
      <c r="CN30" s="426" t="s">
        <v>1505</v>
      </c>
      <c r="CO30" s="427"/>
      <c r="CP30" s="426"/>
      <c r="CQ30" s="426"/>
      <c r="CR30" s="428"/>
      <c r="CS30" s="428"/>
      <c r="CT30" s="428"/>
      <c r="CU30" s="428"/>
      <c r="CV30" s="409">
        <v>6</v>
      </c>
      <c r="CW30" s="398">
        <f>IF(CV30=0,0,IF(LEN(CN30)=11,_xlfn.XLOOKUP(CN30,'Dispensed Ink Rates'!C:C,'Dispensed Ink Rates'!CS:CS),VLOOKUP(CN30,'Jan-2026 rates'!$E:$F,2,0)))</f>
        <v>0</v>
      </c>
      <c r="CX30" s="409"/>
      <c r="CY30" s="398">
        <f>IF(CX30=0,0,IF(LEN(CO30)=11,_xlfn.XLOOKUP(CO30,'Dispensed Ink Rates'!C:C,'Dispensed Ink Rates'!CS:CS),VLOOKUP(CO30,'Jan-2026 rates'!$E:$F,2,0)))</f>
        <v>0</v>
      </c>
      <c r="CZ30" s="409"/>
      <c r="DA30" s="398">
        <f>IF(CZ30=0,0,IF(LEN(CP30)=11,_xlfn.XLOOKUP(CP30,'Dispensed Ink Rates'!C:C,'Dispensed Ink Rates'!CS:CS),VLOOKUP(CP30,'Jan-2026 rates'!$E:$F,2,0)))</f>
        <v>0</v>
      </c>
      <c r="DB30" s="409"/>
      <c r="DC30" s="398">
        <f>IF(DB30=0,0,IF(LEN(CQ30)=11,_xlfn.XLOOKUP(CQ30,'Dispensed Ink Rates'!C:C,'Dispensed Ink Rates'!CS:CS),VLOOKUP(CQ30,'Jan-2026 rates'!$E:$F,2,0)))</f>
        <v>0</v>
      </c>
      <c r="DD30" s="409"/>
      <c r="DE30" s="398">
        <f>IF(DD30=0,0,IF(LEN(CR30)=11,_xlfn.XLOOKUP(CR30,'Dispensed Ink Rates'!C:C,'Dispensed Ink Rates'!CS:CS),VLOOKUP(CR30,'Jan-2026 rates'!$E:$F,2,0)))</f>
        <v>0</v>
      </c>
      <c r="DF30" s="409"/>
      <c r="DG30" s="398">
        <f>IF(DF30=0,0,IF(LEN(CS30)=11,_xlfn.XLOOKUP(CS30,'Dispensed Ink Rates'!C:C,'Dispensed Ink Rates'!CS:CS),VLOOKUP(CS30,'Jan-2026 rates'!$E:$F,2,0)))</f>
        <v>0</v>
      </c>
      <c r="DH30" s="409"/>
      <c r="DI30" s="398">
        <f>IF(DH30=0,0,IF(LEN(CT30)=11,_xlfn.XLOOKUP(CT30,'Dispensed Ink Rates'!C:C,'Dispensed Ink Rates'!CS:CS),VLOOKUP(CT30,'Jan-2026 rates'!$E:$F,2,0)))</f>
        <v>0</v>
      </c>
      <c r="DJ30" s="409"/>
      <c r="DK30" s="398">
        <f>IF(DJ30=0,0,IF(LEN(CU30)=11,_xlfn.XLOOKUP(CU30,'Dispensed Ink Rates'!C:C,'Dispensed Ink Rates'!CS:CS),VLOOKUP(CU30,'Jan-2026 rates'!$E:$F,2,0)))</f>
        <v>0</v>
      </c>
      <c r="DL30" s="409" t="s">
        <v>1881</v>
      </c>
      <c r="DM30" s="409">
        <v>27</v>
      </c>
      <c r="DN30" s="411">
        <f t="shared" si="9"/>
        <v>0</v>
      </c>
      <c r="DO30" s="411">
        <f t="shared" si="10"/>
        <v>4.0487804878048763</v>
      </c>
      <c r="DP30" s="410">
        <f t="shared" si="11"/>
        <v>0</v>
      </c>
      <c r="DQ30" s="405" t="s">
        <v>547</v>
      </c>
      <c r="DR30" s="409"/>
      <c r="DS30" s="420" t="str">
        <f t="shared" si="12"/>
        <v>ToyoLi - GREEN</v>
      </c>
      <c r="DT30" s="409"/>
      <c r="DU30" s="411">
        <f>IF(DT30=0,0,IF($LB30=70%,VLOOKUP($DS30,'Jan-2026 rates'!$L:$R,4,0),IF($LB30=65%,VLOOKUP($DS30,'Jan-2026 rates'!$L:$R,4,0),IF($LB30=40%,VLOOKUP($DS30,'Jan-2026 rates'!$L:$R,5,0),IF($LB30=30%,VLOOKUP($DS30,'Jan-2026 rates'!$L:$R,6,0),IF($LB30=100%,VLOOKUP($DS30,'Jan-2026 rates'!$L:$R,7,0),IF($LB30=60%,VLOOKUP($DS30,'Jan-2026 rates'!$L:$S,8,0),IF($LB30=80%,VLOOKUP($DS30,'Jan-2026 rates'!L:T,9,0),0))))))))</f>
        <v>0</v>
      </c>
      <c r="DV30" s="412"/>
      <c r="DW30" s="409"/>
      <c r="DX30" s="411">
        <f>IF(DW30=0,0,IF($LB30=70%,VLOOKUP($DS30,'Jan-2026 rates'!$L:$R,4,0),IF($LB30=65%,VLOOKUP($DS30,'Jan-2026 rates'!$L:$R,4,0),IF($LB30=40%,VLOOKUP($DS30,'Jan-2026 rates'!$L:$R,5,0),IF($LB30=30%,VLOOKUP($DS30,'Jan-2026 rates'!$L:$R,6,0),IF($LB30=100%,VLOOKUP($DS30,'Jan-2026 rates'!$L:$R,7,0),IF($LB30=60%,VLOOKUP($DS30,'Jan-2026 rates'!$L:$S,8,0),IF($LB30=80%,VLOOKUP($DS30,'Jan-2026 rates'!L:T,9,0),0))))))))</f>
        <v>0</v>
      </c>
      <c r="DY30" s="413" t="s">
        <v>1247</v>
      </c>
      <c r="DZ30" s="413" t="s">
        <v>1251</v>
      </c>
      <c r="EA30" s="412"/>
      <c r="EB30" s="412"/>
      <c r="EC30" s="412"/>
      <c r="ED30" s="412"/>
      <c r="EE30" s="412"/>
      <c r="EF30" s="412"/>
      <c r="EG30" s="409">
        <v>15</v>
      </c>
      <c r="EH30" s="398">
        <f>IF(EG30=0,0,IF(LEN(DY30)=11,_xlfn.XLOOKUP(DY30,'Dispensed Ink Rates'!C:C,'Dispensed Ink Rates'!CS:CS),VLOOKUP(DY30,'Jan-2026 rates'!$E:$F,2,0)))</f>
        <v>0</v>
      </c>
      <c r="EI30" s="409">
        <v>3</v>
      </c>
      <c r="EJ30" s="398">
        <f>IF(EI30=0,0,IF(LEN(DZ30)=11,_xlfn.XLOOKUP(DZ30,'Dispensed Ink Rates'!C:C,'Dispensed Ink Rates'!CS:CS),VLOOKUP(DZ30,'Jan-2026 rates'!$E:$F,2,0)))</f>
        <v>0</v>
      </c>
      <c r="EK30" s="409"/>
      <c r="EL30" s="398">
        <f>IF(EK30=0,0,IF(LEN(EA30)=11,_xlfn.XLOOKUP(EA30,'Dispensed Ink Rates'!C:C,'Dispensed Ink Rates'!CS:CS),VLOOKUP(EA30,'Jan-2026 rates'!$E:$F,2,0)))</f>
        <v>0</v>
      </c>
      <c r="EM30" s="409"/>
      <c r="EN30" s="398">
        <f>IF(EM30=0,0,IF(LEN(EB30)=11,_xlfn.XLOOKUP(EB30,'Dispensed Ink Rates'!C:C,'Dispensed Ink Rates'!CS:CS),VLOOKUP(EB30,'Jan-2026 rates'!$E:$F,2,0)))</f>
        <v>0</v>
      </c>
      <c r="EO30" s="409"/>
      <c r="EP30" s="398">
        <f>IF(EO30=0,0,IF(LEN(EC30)=11,_xlfn.XLOOKUP(EC30,'Dispensed Ink Rates'!C:C,'Dispensed Ink Rates'!CS:CS),VLOOKUP(EC30,'Jan-2026 rates'!$E:$F,2,0)))</f>
        <v>0</v>
      </c>
      <c r="EQ30" s="409"/>
      <c r="ER30" s="398">
        <f>IF(EQ30=0,0,IF(LEN(ED30)=11,_xlfn.XLOOKUP(ED30,'Dispensed Ink Rates'!C:C,'Dispensed Ink Rates'!CS:CS),VLOOKUP(ED30,'Jan-2026 rates'!$E:$F,2,0)))</f>
        <v>0</v>
      </c>
      <c r="ES30" s="409"/>
      <c r="ET30" s="398">
        <f>IF(ES30=0,0,IF(LEN(EE30)=11,_xlfn.XLOOKUP(EE30,'Dispensed Ink Rates'!C:C,'Dispensed Ink Rates'!CS:CS),VLOOKUP(EE30,'Jan-2026 rates'!$E:$F,2,0)))</f>
        <v>0</v>
      </c>
      <c r="EU30" s="409"/>
      <c r="EV30" s="398">
        <f>IF(EU30=0,0,IF(LEN(EF30)=11,_xlfn.XLOOKUP(EF30,'Dispensed Ink Rates'!C:C,'Dispensed Ink Rates'!CS:CS),VLOOKUP(EF30,'Jan-2026 rates'!$E:$F,2,0)))</f>
        <v>0</v>
      </c>
      <c r="EW30" s="409" t="s">
        <v>1881</v>
      </c>
      <c r="EX30" s="409">
        <v>25</v>
      </c>
      <c r="EY30" s="411">
        <f t="shared" si="13"/>
        <v>0</v>
      </c>
      <c r="EZ30" s="411">
        <f t="shared" si="14"/>
        <v>6.4634146341463428</v>
      </c>
      <c r="FA30" s="410">
        <f t="shared" si="15"/>
        <v>0</v>
      </c>
      <c r="FB30" s="405" t="s">
        <v>855</v>
      </c>
      <c r="FC30" s="409" t="s">
        <v>2713</v>
      </c>
      <c r="FD30" s="420" t="str">
        <f t="shared" si="16"/>
        <v>ToyoLi - CYAN</v>
      </c>
      <c r="FE30" s="409">
        <v>25</v>
      </c>
      <c r="FF30" s="411">
        <f>IF(FE30=0,0,IF($LB30=70%,VLOOKUP($FD30,'Jan-2026 rates'!$L:$R,4,0),IF($LB30=65%,VLOOKUP($FD30,'Jan-2026 rates'!$L:$R,4,0),IF($LB30=40%,VLOOKUP($FD30,'Jan-2026 rates'!$L:$R,5,0),IF($LB30=30%,VLOOKUP($FD30,'Jan-2026 rates'!$L:$R,6,0),IF($LB30=100%,VLOOKUP($FD30,'Jan-2026 rates'!$L:$R,7,0),IF($LB30=60%,VLOOKUP($FD30,'Jan-2026 rates'!$L:$S,8,0),IF($LB30=80%,VLOOKUP($FD30,'Jan-2026 rates'!L:T,9,0),0))))))))</f>
        <v>0</v>
      </c>
      <c r="FG30" s="412"/>
      <c r="FH30" s="409"/>
      <c r="FI30" s="411">
        <f>IF(FH30=0,0,IF($LB30=70%,VLOOKUP($FD30,'Jan-2026 rates'!$L:$R,4,0),IF($LB30=65%,VLOOKUP($FD30,'Jan-2026 rates'!$L:$R,4,0),IF($LB30=40%,VLOOKUP($FD30,'Jan-2026 rates'!$L:$R,5,0),IF($LB30=30%,VLOOKUP($FD30,'Jan-2026 rates'!$L:$R,6,0),IF($LB30=100%,VLOOKUP($FD30,'Jan-2026 rates'!$L:$R,7,0),IF($LB30=60%,VLOOKUP($FD30,'Jan-2026 rates'!$L:$S,8,0),IF($LB30=80%,VLOOKUP($FD30,'Jan-2026 rates'!L:T,9,0),0))))))))</f>
        <v>0</v>
      </c>
      <c r="FJ30" s="413" t="s">
        <v>1250</v>
      </c>
      <c r="FK30" s="413"/>
      <c r="FL30" s="413"/>
      <c r="FM30" s="412"/>
      <c r="FN30" s="412"/>
      <c r="FO30" s="412"/>
      <c r="FP30" s="412"/>
      <c r="FQ30" s="412"/>
      <c r="FR30" s="409">
        <v>2</v>
      </c>
      <c r="FS30" s="398">
        <f>IF(FR30=0,0,IF(LEN(FJ30)=11,_xlfn.XLOOKUP(FJ30,'Dispensed Ink Rates'!C:C,'Dispensed Ink Rates'!CS:CS),VLOOKUP(FJ30,'Jan-2026 rates'!$E:$F,2,0)))</f>
        <v>0</v>
      </c>
      <c r="FT30" s="409"/>
      <c r="FU30" s="398">
        <f>IF(FT30=0,0,IF(LEN(FK30)=11,_xlfn.XLOOKUP(FK30,'Dispensed Ink Rates'!C:C,'Dispensed Ink Rates'!CS:CS),VLOOKUP(FK30,'Jan-2026 rates'!$E:$F,2,0)))</f>
        <v>0</v>
      </c>
      <c r="FV30" s="409"/>
      <c r="FW30" s="398">
        <f>IF(FV30=0,0,IF(LEN(FL30)=11,_xlfn.XLOOKUP(FL30,'Dispensed Ink Rates'!C:C,'Dispensed Ink Rates'!CS:CS),VLOOKUP(FL30,'Jan-2026 rates'!$E:$F,2,0)))</f>
        <v>0</v>
      </c>
      <c r="FX30" s="409"/>
      <c r="FY30" s="398">
        <f>IF(FX30=0,0,IF(LEN(FM30)=11,_xlfn.XLOOKUP(FM30,'Dispensed Ink Rates'!C:C,'Dispensed Ink Rates'!CS:CS),VLOOKUP(FM30,'Jan-2026 rates'!$E:$F,2,0)))</f>
        <v>0</v>
      </c>
      <c r="FZ30" s="409"/>
      <c r="GA30" s="398">
        <f>IF(FZ30=0,0,IF(LEN(FN30)=11,_xlfn.XLOOKUP(FN30,'Dispensed Ink Rates'!C:C,'Dispensed Ink Rates'!CS:CS),VLOOKUP(FN30,'Jan-2026 rates'!$E:$F,2,0)))</f>
        <v>0</v>
      </c>
      <c r="GB30" s="409"/>
      <c r="GC30" s="398">
        <f>IF(GB30=0,0,IF(LEN(FO30)=11,_xlfn.XLOOKUP(FO30,'Dispensed Ink Rates'!C:C,'Dispensed Ink Rates'!CS:CS),VLOOKUP(FO30,'Jan-2026 rates'!$E:$F,2,0)))</f>
        <v>0</v>
      </c>
      <c r="GD30" s="409"/>
      <c r="GE30" s="398">
        <f>IF(GD30=0,0,IF(LEN(FP30)=11,_xlfn.XLOOKUP(FP30,'Dispensed Ink Rates'!C:C,'Dispensed Ink Rates'!CS:CS),VLOOKUP(FP30,'Jan-2026 rates'!$E:$F,2,0)))</f>
        <v>0</v>
      </c>
      <c r="GF30" s="409"/>
      <c r="GG30" s="398">
        <f>IF(GF30=0,0,IF(LEN(FQ30)=11,_xlfn.XLOOKUP(FQ30,'Dispensed Ink Rates'!C:C,'Dispensed Ink Rates'!CS:CS),VLOOKUP(FQ30,'Jan-2026 rates'!$E:$F,2,0)))</f>
        <v>0</v>
      </c>
      <c r="GH30" s="409" t="s">
        <v>1881</v>
      </c>
      <c r="GI30" s="409">
        <v>28</v>
      </c>
      <c r="GJ30" s="411">
        <f t="shared" si="17"/>
        <v>0</v>
      </c>
      <c r="GK30" s="411">
        <f t="shared" si="18"/>
        <v>4.0487804878048763</v>
      </c>
      <c r="GL30" s="410">
        <f t="shared" si="19"/>
        <v>0</v>
      </c>
      <c r="GM30" s="405" t="s">
        <v>544</v>
      </c>
      <c r="GN30" s="409" t="s">
        <v>2714</v>
      </c>
      <c r="GO30" s="420" t="str">
        <f t="shared" si="20"/>
        <v>ToyoLi - MAGENTA</v>
      </c>
      <c r="GP30" s="409">
        <v>23</v>
      </c>
      <c r="GQ30" s="411">
        <f>IF(GP30=0,0,IF($LB30=70%,VLOOKUP($GO30,'Jan-2026 rates'!$L:$R,4,0),IF($LB30=65%,VLOOKUP($GO30,'Jan-2026 rates'!$L:$R,4,0),IF($LB30=40%,VLOOKUP($GO30,'Jan-2026 rates'!$L:$R,5,0),IF($LB30=30%,VLOOKUP($GO30,'Jan-2026 rates'!$L:$R,6,0),IF($LB30=100%,VLOOKUP($GO30,'Jan-2026 rates'!$L:$R,7,0),IF($LB30=60%,VLOOKUP($GO30,'Jan-2026 rates'!$L:$S,8,0),IF($LB30=80%,VLOOKUP($GO30,'Jan-2026 rates'!L:T,9,0),0))))))))</f>
        <v>0</v>
      </c>
      <c r="GR30" s="412"/>
      <c r="GS30" s="409"/>
      <c r="GT30" s="411">
        <f>IF(GS30=0,0,IF($LB30=70%,VLOOKUP($GO30,'Jan-2026 rates'!$L:$R,4,0),IF($LB30=65%,VLOOKUP($GO30,'Jan-2026 rates'!$L:$R,4,0),IF($LB30=40%,VLOOKUP($GO30,'Jan-2026 rates'!$L:$R,5,0),IF($LB30=30%,VLOOKUP($GO30,'Jan-2026 rates'!$L:$R,6,0),IF($LB30=100%,VLOOKUP($GO30,'Jan-2026 rates'!$L:$R,7,0),IF($LB30=60%,VLOOKUP($GO30,'Jan-2026 rates'!$L:$S,8,0),IF($LB30=80%,VLOOKUP($GO30,'Jan-2026 rates'!L:T,9,0),0))))))))</f>
        <v>0</v>
      </c>
      <c r="GU30" s="413" t="s">
        <v>1921</v>
      </c>
      <c r="GV30" s="413"/>
      <c r="GW30" s="412"/>
      <c r="GX30" s="412"/>
      <c r="GY30" s="412"/>
      <c r="GZ30" s="412"/>
      <c r="HA30" s="412"/>
      <c r="HB30" s="412"/>
      <c r="HC30" s="409">
        <v>2</v>
      </c>
      <c r="HD30" s="398">
        <f>IF(HC30=0,0,IF(LEN(GU30)=11,_xlfn.XLOOKUP(GU30,'Dispensed Ink Rates'!C:C,'Dispensed Ink Rates'!CS:CS),VLOOKUP(GU30,'Jan-2026 rates'!$E:$F,2,0)))</f>
        <v>0</v>
      </c>
      <c r="HE30" s="409"/>
      <c r="HF30" s="398">
        <f>IF(HE30=0,0,IF(LEN(GV30)=11,_xlfn.XLOOKUP(GV30,'Dispensed Ink Rates'!C:C,'Dispensed Ink Rates'!CS:CS),VLOOKUP(GV30,'Jan-2026 rates'!$E:$F,2,0)))</f>
        <v>0</v>
      </c>
      <c r="HG30" s="409"/>
      <c r="HH30" s="398">
        <f>IF(HG30=0,0,IF(LEN(GW30)=11,_xlfn.XLOOKUP(GW30,'Dispensed Ink Rates'!C:C,'Dispensed Ink Rates'!CS:CS),VLOOKUP(GW30,'Jan-2026 rates'!$E:$F,2,0)))</f>
        <v>0</v>
      </c>
      <c r="HI30" s="409"/>
      <c r="HJ30" s="398">
        <f>IF(HI30=0,0,IF(LEN(GX30)=11,_xlfn.XLOOKUP(GX30,'Dispensed Ink Rates'!C:C,'Dispensed Ink Rates'!CS:CS),VLOOKUP(GX30,'Jan-2026 rates'!$E:$F,2,0)))</f>
        <v>0</v>
      </c>
      <c r="HK30" s="409"/>
      <c r="HL30" s="398">
        <f>IF(HK30=0,0,IF(LEN(GY30)=11,_xlfn.XLOOKUP(GY30,'Dispensed Ink Rates'!C:C,'Dispensed Ink Rates'!CS:CS),VLOOKUP(GY30,'Jan-2026 rates'!$E:$F,2,0)))</f>
        <v>0</v>
      </c>
      <c r="HM30" s="409"/>
      <c r="HN30" s="398">
        <f>IF(HM30=0,0,IF(LEN(GZ30)=11,_xlfn.XLOOKUP(GZ30,'Dispensed Ink Rates'!C:C,'Dispensed Ink Rates'!CS:CS),VLOOKUP(GZ30,'Jan-2026 rates'!$E:$F,2,0)))</f>
        <v>0</v>
      </c>
      <c r="HO30" s="409"/>
      <c r="HP30" s="398">
        <f>IF(HO30=0,0,IF(LEN(HA30)=11,_xlfn.XLOOKUP(HA30,'Dispensed Ink Rates'!C:C,'Dispensed Ink Rates'!CS:CS),VLOOKUP(HA30,'Jan-2026 rates'!$E:$F,2,0)))</f>
        <v>0</v>
      </c>
      <c r="HQ30" s="409"/>
      <c r="HR30" s="398">
        <f>IF(HQ30=0,0,IF(LEN(HB30)=11,_xlfn.XLOOKUP(HB30,'Dispensed Ink Rates'!C:C,'Dispensed Ink Rates'!CS:CS),VLOOKUP(HB30,'Jan-2026 rates'!$E:$F,2,0)))</f>
        <v>0</v>
      </c>
      <c r="HS30" s="409" t="s">
        <v>1881</v>
      </c>
      <c r="HT30" s="409">
        <v>25</v>
      </c>
      <c r="HU30" s="411">
        <f t="shared" si="21"/>
        <v>0</v>
      </c>
      <c r="HV30" s="411">
        <f t="shared" si="22"/>
        <v>3.3658536585365866</v>
      </c>
      <c r="HW30" s="414">
        <f t="shared" si="23"/>
        <v>0</v>
      </c>
      <c r="HX30" s="405" t="s">
        <v>545</v>
      </c>
      <c r="HY30" s="409" t="s">
        <v>2715</v>
      </c>
      <c r="HZ30" s="420" t="str">
        <f t="shared" si="24"/>
        <v>ToyoLi - YELLOW</v>
      </c>
      <c r="IA30" s="409">
        <v>24</v>
      </c>
      <c r="IB30" s="411">
        <f>IF(IA30=0,0,IF($LB30=70%,VLOOKUP($HZ30,'Jan-2026 rates'!$L:$R,4,0),IF($LB30=65%,VLOOKUP($HZ30,'Jan-2026 rates'!$L:$R,4,0),IF($LB30=40%,VLOOKUP($HZ30,'Jan-2026 rates'!$L:$R,5,0),IF($LB30=30%,VLOOKUP($HZ30,'Jan-2026 rates'!$L:$R,6,0),IF($LB30=100%,VLOOKUP($HZ30,'Jan-2026 rates'!$L:$R,7,0),IF($LB30=60%,VLOOKUP($HZ30,'Jan-2026 rates'!$L:$S,8,0),IF($LB30=80%,VLOOKUP($HZ30,'Jan-2026 rates'!L:T,9,0),0))))))))</f>
        <v>0</v>
      </c>
      <c r="IC30" s="412"/>
      <c r="ID30" s="409"/>
      <c r="IE30" s="411">
        <f>IF(ID30=0,0,IF($LB30=70%,VLOOKUP($HZ30,'Jan-2026 rates'!$L:$R,4,0),IF($LB30=65%,VLOOKUP($HZ30,'Jan-2026 rates'!$L:$R,4,0),IF($LB30=40%,VLOOKUP($HZ30,'Jan-2026 rates'!$L:$R,5,0),IF($LB30=30%,VLOOKUP($HZ30,'Jan-2026 rates'!$L:$R,6,0),IF($LB30=100%,VLOOKUP($HZ30,'Jan-2026 rates'!$L:$R,7,0),IF($LB30=60%,VLOOKUP($HZ30,'Jan-2026 rates'!$L:$S,8,0),IF($LB30=80%,VLOOKUP($HZ30,'Jan-2026 rates'!L:T,9,0),0))))))))</f>
        <v>0</v>
      </c>
      <c r="IF30" s="412" t="s">
        <v>1247</v>
      </c>
      <c r="IG30" s="413"/>
      <c r="IH30" s="412"/>
      <c r="II30" s="412"/>
      <c r="IJ30" s="412"/>
      <c r="IK30" s="412"/>
      <c r="IL30" s="412"/>
      <c r="IM30" s="412"/>
      <c r="IN30" s="409">
        <v>5</v>
      </c>
      <c r="IO30" s="398">
        <f>IF(IN30=0,0,IF(LEN(IF30)=11,_xlfn.XLOOKUP(IF30,'Dispensed Ink Rates'!C:C,'Dispensed Ink Rates'!CS:CS),VLOOKUP(IF30,'Jan-2026 rates'!$E:$F,2,0)))</f>
        <v>0</v>
      </c>
      <c r="IP30" s="409"/>
      <c r="IQ30" s="398">
        <f>IF(IP30=0,0,IF(LEN(IG30)=11,_xlfn.XLOOKUP(IG30,'Dispensed Ink Rates'!C:C,'Dispensed Ink Rates'!CS:CS),VLOOKUP(IG30,'Jan-2026 rates'!$E:$F,2,0)))</f>
        <v>0</v>
      </c>
      <c r="IR30" s="409"/>
      <c r="IS30" s="398">
        <f>IF(IR30=0,0,IF(LEN(IH30)=11,_xlfn.XLOOKUP(IH30,'Dispensed Ink Rates'!C:C,'Dispensed Ink Rates'!CS:CS),VLOOKUP(IH30,'Jan-2026 rates'!$E:$F,2,0)))</f>
        <v>0</v>
      </c>
      <c r="IT30" s="409"/>
      <c r="IU30" s="398">
        <f>IF(IT30=0,0,IF(LEN(II30)=11,_xlfn.XLOOKUP(II30,'Dispensed Ink Rates'!C:C,'Dispensed Ink Rates'!CS:CS),VLOOKUP(II30,'Jan-2026 rates'!$E:$F,2,0)))</f>
        <v>0</v>
      </c>
      <c r="IV30" s="409"/>
      <c r="IW30" s="398">
        <f>IF(IV30=0,0,IF(LEN(IJ30)=11,_xlfn.XLOOKUP(IJ30,'Dispensed Ink Rates'!C:C,'Dispensed Ink Rates'!CS:CS),VLOOKUP(IJ30,'Jan-2026 rates'!$E:$F,2,0)))</f>
        <v>0</v>
      </c>
      <c r="IX30" s="409"/>
      <c r="IY30" s="398">
        <f>IF(IX30=0,0,IF(LEN(IK30)=11,_xlfn.XLOOKUP(IK30,'Dispensed Ink Rates'!C:C,'Dispensed Ink Rates'!CS:CS),VLOOKUP(IK30,'Jan-2026 rates'!$E:$F,2,0)))</f>
        <v>0</v>
      </c>
      <c r="IZ30" s="409"/>
      <c r="JA30" s="398">
        <f>IF(IZ30=0,0,IF(LEN(IL30)=11,_xlfn.XLOOKUP(IL30,'Dispensed Ink Rates'!C:C,'Dispensed Ink Rates'!CS:CS),VLOOKUP(IL30,'Jan-2026 rates'!$E:$F,2,0)))</f>
        <v>0</v>
      </c>
      <c r="JB30" s="409"/>
      <c r="JC30" s="398">
        <f>IF(JB30=0,0,IF(LEN(IM30)=11,_xlfn.XLOOKUP(IM30,'Dispensed Ink Rates'!C:C,'Dispensed Ink Rates'!CS:CS),VLOOKUP(IM30,'Jan-2026 rates'!$E:$F,2,0)))</f>
        <v>0</v>
      </c>
      <c r="JD30" s="409" t="s">
        <v>1881</v>
      </c>
      <c r="JE30" s="409">
        <v>32</v>
      </c>
      <c r="JF30" s="411">
        <f t="shared" si="25"/>
        <v>0</v>
      </c>
      <c r="JG30" s="411">
        <f t="shared" si="26"/>
        <v>5.4146341463414629</v>
      </c>
      <c r="JH30" s="410">
        <f t="shared" si="27"/>
        <v>0</v>
      </c>
      <c r="JI30" s="405" t="s">
        <v>856</v>
      </c>
      <c r="JJ30" s="409" t="s">
        <v>2716</v>
      </c>
      <c r="JK30" s="420" t="str">
        <f t="shared" si="28"/>
        <v>ToyoLi - WHITE</v>
      </c>
      <c r="JL30" s="409">
        <v>20</v>
      </c>
      <c r="JM30" s="411">
        <f>IF(JL30=0,0,IF($LB30=70%,VLOOKUP($JK30,'Jan-2026 rates'!$L:$R,4,0),IF($LB30=65%,VLOOKUP($JK30,'Jan-2026 rates'!$L:$R,4,0),IF($LB30=40%,VLOOKUP($JK30,'Jan-2026 rates'!$L:$R,5,0),IF($LB30=30%,VLOOKUP($JK30,'Jan-2026 rates'!$L:$R,6,0),IF($LB30=100%,VLOOKUP($JK30,'Jan-2026 rates'!$L:$R,7,0),IF($LB30=60%,VLOOKUP($JK30,'Jan-2026 rates'!$L:$S,8,0),IF($LB30=80%,VLOOKUP($JK30,'Jan-2026 rates'!L:T,9,0),0))))))))</f>
        <v>0</v>
      </c>
      <c r="JN30" s="412"/>
      <c r="JO30" s="409"/>
      <c r="JP30" s="411">
        <f>IF(JO30=0,0,IF($LB30=70%,VLOOKUP($JK30,'Jan-2026 rates'!$L:$R,4,0),IF($LB30=65%,VLOOKUP($JK30,'Jan-2026 rates'!$L:$R,4,0),IF($LB30=40%,VLOOKUP($JK30,'Jan-2026 rates'!$L:$R,5,0),IF($LB30=30%,VLOOKUP($JK30,'Jan-2026 rates'!$L:$R,6,0),IF($LB30=100%,VLOOKUP($JK30,'Jan-2026 rates'!$L:$R,7,0),IF($LB30=60%,VLOOKUP($JK30,'Jan-2026 rates'!$L:$S,8,0),IF($LB30=80%,VLOOKUP($JK30,'Jan-2026 rates'!L:T,9,0),0))))))))</f>
        <v>0</v>
      </c>
      <c r="JQ30" s="413" t="s">
        <v>1249</v>
      </c>
      <c r="JR30" s="412" t="s">
        <v>1122</v>
      </c>
      <c r="JS30" s="413"/>
      <c r="JT30" s="413"/>
      <c r="JU30" s="412"/>
      <c r="JV30" s="412"/>
      <c r="JW30" s="412"/>
      <c r="JX30" s="412"/>
      <c r="JY30" s="409">
        <f>10+10</f>
        <v>20</v>
      </c>
      <c r="JZ30" s="398">
        <f>IF(JY30=0,0,IF(LEN(JQ30)=11,_xlfn.XLOOKUP(JQ30,'Dispensed Ink Rates'!C:C,'Dispensed Ink Rates'!CS:CS),VLOOKUP(JQ30,'Jan-2026 rates'!$E:$F,2,0)))</f>
        <v>0</v>
      </c>
      <c r="KA30" s="409">
        <v>4.29</v>
      </c>
      <c r="KB30" s="398">
        <f>IF(KA30=0,0,IF(LEN(JR30)=11,_xlfn.XLOOKUP(JR30,'Dispensed Ink Rates'!C:C,'Dispensed Ink Rates'!CS:CS),VLOOKUP(JR30,'Jan-2026 rates'!$E:$F,2,0)))</f>
        <v>0</v>
      </c>
      <c r="KC30" s="409"/>
      <c r="KD30" s="398">
        <f>IF(KC30=0,0,IF(LEN(JS30)=11,_xlfn.XLOOKUP(JS30,'Dispensed Ink Rates'!C:C,'Dispensed Ink Rates'!CS:CS),VLOOKUP(JS30,'Jan-2026 rates'!$E:$F,2,0)))</f>
        <v>0</v>
      </c>
      <c r="KE30" s="409"/>
      <c r="KF30" s="398">
        <f>IF(KE30=0,0,IF(LEN(JT30)=11,_xlfn.XLOOKUP(JT30,'Dispensed Ink Rates'!C:C,'Dispensed Ink Rates'!CS:CS),VLOOKUP(JT30,'Jan-2026 rates'!$E:$F,2,0)))</f>
        <v>0</v>
      </c>
      <c r="KG30" s="409"/>
      <c r="KH30" s="398">
        <f>IF(KG30=0,0,IF(LEN(JU30)=11,_xlfn.XLOOKUP(JU30,'Dispensed Ink Rates'!C:C,'Dispensed Ink Rates'!CS:CS),VLOOKUP(JU30,'Jan-2026 rates'!$E:$F,2,0)))</f>
        <v>0</v>
      </c>
      <c r="KI30" s="409"/>
      <c r="KJ30" s="398">
        <f>IF(KI30=0,0,IF(LEN(JV30)=11,_xlfn.XLOOKUP(JV30,'Dispensed Ink Rates'!C:C,'Dispensed Ink Rates'!CS:CS),VLOOKUP(JV30,'Jan-2026 rates'!$E:$F,2,0)))</f>
        <v>0</v>
      </c>
      <c r="KK30" s="409"/>
      <c r="KL30" s="398">
        <f>IF(KK30=0,0,IF(LEN(JW30)=11,_xlfn.XLOOKUP(JW30,'Dispensed Ink Rates'!C:C,'Dispensed Ink Rates'!CS:CS),VLOOKUP(JW30,'Jan-2026 rates'!$E:$F,2,0)))</f>
        <v>0</v>
      </c>
      <c r="KM30" s="428"/>
      <c r="KN30" s="398">
        <f>IF(KM30=0,0,IF(LEN(JX30)=11,_xlfn.XLOOKUP(JX30,'Dispensed Ink Rates'!C:C,'Dispensed Ink Rates'!CS:CS),VLOOKUP(JX30,'Jan-2026 rates'!$E:$F,2,0)))</f>
        <v>0</v>
      </c>
      <c r="KO30" s="409" t="s">
        <v>1881</v>
      </c>
      <c r="KP30" s="409">
        <v>20</v>
      </c>
      <c r="KQ30" s="411">
        <f t="shared" si="29"/>
        <v>0</v>
      </c>
      <c r="KR30" s="411">
        <f t="shared" si="30"/>
        <v>41.119268292682925</v>
      </c>
      <c r="KS30" s="410">
        <f t="shared" si="31"/>
        <v>0</v>
      </c>
      <c r="KT30" s="409">
        <v>2</v>
      </c>
      <c r="KU30" s="409">
        <v>8</v>
      </c>
      <c r="KV30" s="409">
        <v>3</v>
      </c>
      <c r="KW30" s="409">
        <v>8</v>
      </c>
      <c r="KX30" s="409">
        <v>3</v>
      </c>
      <c r="KY30" s="409">
        <v>2</v>
      </c>
      <c r="KZ30" s="409">
        <v>5</v>
      </c>
      <c r="LA30" s="409">
        <v>10</v>
      </c>
      <c r="LB30" s="415">
        <v>0.3</v>
      </c>
      <c r="LC30" s="415"/>
      <c r="LD30" s="415"/>
      <c r="LE30" s="415">
        <v>0.5</v>
      </c>
      <c r="LF30" s="415">
        <v>0.2</v>
      </c>
      <c r="LG30" s="409">
        <v>0</v>
      </c>
      <c r="LH30" s="409">
        <f>10+9+15+25+10</f>
        <v>69</v>
      </c>
      <c r="LI30" s="409">
        <v>0</v>
      </c>
      <c r="LJ30" s="409">
        <v>0</v>
      </c>
      <c r="LK30" s="416">
        <f t="shared" si="32"/>
        <v>69</v>
      </c>
      <c r="LL30" s="416">
        <f t="shared" si="33"/>
        <v>69</v>
      </c>
      <c r="LM30" s="417">
        <f t="shared" si="34"/>
        <v>20.7</v>
      </c>
      <c r="LN30" s="417">
        <f>VLOOKUP($LM$8,'Jan-2026 rates'!$H:$I,2,0)</f>
        <v>0</v>
      </c>
      <c r="LO30" s="417">
        <f t="shared" si="35"/>
        <v>0</v>
      </c>
      <c r="LP30" s="417">
        <f>VLOOKUP($LO$8,'Jan-2026 rates'!$H:$I,2,0)</f>
        <v>0</v>
      </c>
      <c r="LQ30" s="417">
        <f t="shared" si="36"/>
        <v>0</v>
      </c>
      <c r="LR30" s="417">
        <f>VLOOKUP($LQ$8,'Jan-2026 rates'!$H:$I,2,0)</f>
        <v>0</v>
      </c>
      <c r="LS30" s="417">
        <f t="shared" si="37"/>
        <v>34.5</v>
      </c>
      <c r="LT30" s="417">
        <f>VLOOKUP($LS$8,'Jan-2026 rates'!$H:$I,2,0)</f>
        <v>0</v>
      </c>
      <c r="LU30" s="417">
        <f t="shared" si="38"/>
        <v>13.8</v>
      </c>
      <c r="LV30" s="417">
        <f>VLOOKUP($LU$8,'Jan-2026 rates'!$H:$I,2,0)</f>
        <v>0</v>
      </c>
      <c r="LW30" s="417">
        <f t="shared" si="39"/>
        <v>0</v>
      </c>
      <c r="LX30" s="417">
        <f t="shared" si="40"/>
        <v>0</v>
      </c>
      <c r="LY30" s="418">
        <f t="shared" si="41"/>
        <v>0</v>
      </c>
      <c r="LZ30" s="417"/>
      <c r="MA30" s="435">
        <f t="shared" si="42"/>
        <v>74.290000000000006</v>
      </c>
      <c r="MB30" s="282">
        <f t="shared" si="43"/>
        <v>78.289999999999992</v>
      </c>
      <c r="MC30" s="283" t="s">
        <v>1959</v>
      </c>
      <c r="MD30" s="284" t="str">
        <f t="shared" si="44"/>
        <v>ToyoLiToyoLiToyoLiToyoLiToyoLiToyoLiToyoLiToyoLi</v>
      </c>
      <c r="ME30" s="293" t="str">
        <f t="shared" si="45"/>
        <v>+</v>
      </c>
      <c r="MF30" s="293" t="str">
        <f t="shared" si="46"/>
        <v>+</v>
      </c>
      <c r="MG30" s="293" t="str">
        <f t="shared" si="47"/>
        <v>+</v>
      </c>
      <c r="MH30" s="293" t="str">
        <f t="shared" si="48"/>
        <v>+</v>
      </c>
      <c r="MI30" s="293" t="str">
        <f t="shared" si="49"/>
        <v>+</v>
      </c>
      <c r="MJ30" s="293" t="str">
        <f t="shared" si="50"/>
        <v>+</v>
      </c>
      <c r="MK30" s="293" t="str">
        <f t="shared" si="51"/>
        <v>+</v>
      </c>
      <c r="ML30" s="293" t="str">
        <f t="shared" si="52"/>
        <v>+</v>
      </c>
      <c r="MM30" s="3" t="b">
        <f t="array" ref="MM30">OR(ME30:ML30="-")</f>
        <v>0</v>
      </c>
      <c r="MN30" s="285"/>
      <c r="MO30" s="401"/>
      <c r="MP30" s="286"/>
      <c r="MQ30" s="286"/>
      <c r="MR30" s="402"/>
      <c r="MS30" s="400"/>
      <c r="NH30" s="422"/>
      <c r="NJ30" s="421"/>
    </row>
    <row r="31" spans="1:374" s="1" customFormat="1" ht="16.5">
      <c r="A31" s="403">
        <v>46026</v>
      </c>
      <c r="B31" s="404" t="s">
        <v>1018</v>
      </c>
      <c r="C31" s="405" t="s">
        <v>2717</v>
      </c>
      <c r="D31" s="406" t="s">
        <v>1960</v>
      </c>
      <c r="E31" s="404">
        <v>379</v>
      </c>
      <c r="F31" s="407">
        <v>26200</v>
      </c>
      <c r="G31" s="407" t="s">
        <v>1016</v>
      </c>
      <c r="H31" s="408" t="s">
        <v>1017</v>
      </c>
      <c r="I31" s="409">
        <v>1.32</v>
      </c>
      <c r="J31" s="405" t="s">
        <v>543</v>
      </c>
      <c r="K31" s="404" t="s">
        <v>2718</v>
      </c>
      <c r="L31" s="419" t="str">
        <f t="shared" si="0"/>
        <v>ToyoLi - BLACK</v>
      </c>
      <c r="M31" s="404">
        <v>26</v>
      </c>
      <c r="N31" s="410">
        <f>IF(M31=0,0,IF($LB31=70%,VLOOKUP($L31,'Jan-2026 rates'!$L:$R,4,0),IF($LB31=65%,VLOOKUP($L31,'Jan-2026 rates'!$L:$R,4,0),IF($LB31=40%,VLOOKUP($L31,'Jan-2026 rates'!$L:$R,5,0),IF($LB31=30%,VLOOKUP($L31,'Jan-2026 rates'!$L:$R,6,0),IF($LB31=100%,VLOOKUP($L31,'Jan-2026 rates'!$L:$R,7,0),IF($LB31=60%,VLOOKUP($L31,'Jan-2026 rates'!$L:$S,8,0),IF($LB31=80%,VLOOKUP($L31,'Jan-2026 rates'!L:T,9,0),0))))))))</f>
        <v>0</v>
      </c>
      <c r="O31" s="406"/>
      <c r="P31" s="404"/>
      <c r="Q31" s="410">
        <f>IF(P31=0,0,IF($LB31=70%,VLOOKUP($L31,'Jan-2026 rates'!$L:$R,4,0),IF($LB31=65%,VLOOKUP($L31,'Jan-2026 rates'!$L:$R,4,0),IF($LB31=40%,VLOOKUP($L31,'Jan-2026 rates'!$L:$R,5,0),IF($LB31=30%,VLOOKUP($L31,'Jan-2026 rates'!$L:$R,6,0),IF($LB31=100%,VLOOKUP($L31,'Jan-2026 rates'!$L:$R,7,0),IF($LB31=60%,VLOOKUP($L31,'Jan-2026 rates'!$L:$S,8,0),IF($LB31=80%,VLOOKUP($L31,'Jan-2026 rates'!L:T,9,0),0))))))))</f>
        <v>0</v>
      </c>
      <c r="R31" s="406" t="s">
        <v>1252</v>
      </c>
      <c r="S31" s="406"/>
      <c r="T31" s="406"/>
      <c r="U31" s="406"/>
      <c r="V31" s="406"/>
      <c r="W31" s="406"/>
      <c r="X31" s="406"/>
      <c r="Y31" s="406"/>
      <c r="Z31" s="404">
        <v>3</v>
      </c>
      <c r="AA31" s="398">
        <f>IF(Z31=0,0,IF(LEN(R31)=11,_xlfn.XLOOKUP(R31,'Dispensed Ink Rates'!C:C,'Dispensed Ink Rates'!CS:CS),VLOOKUP(R31,'Jan-2026 rates'!$E:$F,2,0)))</f>
        <v>0</v>
      </c>
      <c r="AB31" s="404"/>
      <c r="AC31" s="398">
        <f>IF(AB31=0,0,IF(LEN(S31)=11,_xlfn.XLOOKUP(S31,'Dispensed Ink Rates'!C:C,'Dispensed Ink Rates'!CS:CS),VLOOKUP(S31,'Jan-2026 rates'!$E:$F,2,0)))</f>
        <v>0</v>
      </c>
      <c r="AD31" s="404"/>
      <c r="AE31" s="398">
        <f>IF(AD31=0,0,IF(LEN(T31)=11,_xlfn.XLOOKUP(T31,'Dispensed Ink Rates'!C:C,'Dispensed Ink Rates'!CS:CS),VLOOKUP(T31,'Jan-2026 rates'!$E:$F,2,0)))</f>
        <v>0</v>
      </c>
      <c r="AF31" s="404"/>
      <c r="AG31" s="398">
        <f>IF(AF31=0,0,IF(LEN(U31)=11,_xlfn.XLOOKUP(U31,'Dispensed Ink Rates'!C:C,'Dispensed Ink Rates'!CS:CS),VLOOKUP(U31,'Jan-2026 rates'!$E:$F,2,0)))</f>
        <v>0</v>
      </c>
      <c r="AH31" s="404"/>
      <c r="AI31" s="398">
        <f>IF(AH31=0,0,IF(LEN(V31)=11,_xlfn.XLOOKUP(V31,'Dispensed Ink Rates'!C:C,'Dispensed Ink Rates'!CS:CS),VLOOKUP(V31,'Jan-2026 rates'!$E:$F,2,0)))</f>
        <v>0</v>
      </c>
      <c r="AJ31" s="404"/>
      <c r="AK31" s="398">
        <f>IF(AJ31=0,0,IF(LEN(W31)=11,_xlfn.XLOOKUP(W31,'Dispensed Ink Rates'!C:C,'Dispensed Ink Rates'!CS:CS),VLOOKUP(W31,'Jan-2026 rates'!$E:$F,2,0)))</f>
        <v>0</v>
      </c>
      <c r="AL31" s="404"/>
      <c r="AM31" s="398">
        <f>IF(AL31=0,0,IF(LEN(X31)=11,_xlfn.XLOOKUP(X31,'Dispensed Ink Rates'!C:C,'Dispensed Ink Rates'!CS:CS),VLOOKUP(X31,'Jan-2026 rates'!$E:$F,2,0)))</f>
        <v>0</v>
      </c>
      <c r="AN31" s="404"/>
      <c r="AO31" s="398">
        <f>IF(AN31=0,0,IF(LEN(Y31)=11,_xlfn.XLOOKUP(Y31,'Dispensed Ink Rates'!C:C,'Dispensed Ink Rates'!CS:CS),VLOOKUP(Y31,'Jan-2026 rates'!$E:$F,2,0)))</f>
        <v>0</v>
      </c>
      <c r="AP31" s="409" t="s">
        <v>1881</v>
      </c>
      <c r="AQ31" s="409">
        <v>27</v>
      </c>
      <c r="AR31" s="410">
        <f t="shared" si="1"/>
        <v>0</v>
      </c>
      <c r="AS31" s="411">
        <f t="shared" si="2"/>
        <v>7.8965517241379288</v>
      </c>
      <c r="AT31" s="410">
        <f t="shared" si="3"/>
        <v>0</v>
      </c>
      <c r="AU31" s="405" t="s">
        <v>546</v>
      </c>
      <c r="AV31" s="409" t="s">
        <v>2718</v>
      </c>
      <c r="AW31" s="420" t="str">
        <f t="shared" si="4"/>
        <v>ToyoLi - REFLEX BLUE</v>
      </c>
      <c r="AX31" s="409">
        <v>10</v>
      </c>
      <c r="AY31" s="411">
        <f>IF(AX31=0,0,IF($LB31=70%,VLOOKUP($AW31,'Jan-2026 rates'!$L:$R,4,0),IF($LB31=65%,VLOOKUP($AW31,'Jan-2026 rates'!$L:$R,4,0),IF($LB31=40%,VLOOKUP($AW31,'Jan-2026 rates'!$L:$R,5,0),IF($LB31=30%,VLOOKUP($AW31,'Jan-2026 rates'!$L:$R,6,0),IF($LB31=100%,VLOOKUP($AW31,'Jan-2026 rates'!$L:$R,7,0),IF($LB31=60%,VLOOKUP($AW31,'Jan-2026 rates'!$L:$S,8,0),IF($LB31=80%,VLOOKUP($AW31,'Jan-2026 rates'!L:T,9,0),0))))))))</f>
        <v>0</v>
      </c>
      <c r="AZ31" s="412"/>
      <c r="BA31" s="409"/>
      <c r="BB31" s="411">
        <f>IF(BA31=0,0,IF($LB31=70%,VLOOKUP($AW31,'Jan-2026 rates'!$L:$R,4,0),IF($LB31=65%,VLOOKUP($AW31,'Jan-2026 rates'!$L:$R,4,0),IF($LB31=40%,VLOOKUP($AW31,'Jan-2026 rates'!$L:$R,5,0),IF($LB31=30%,VLOOKUP($AW31,'Jan-2026 rates'!$L:$R,6,0),IF($LB31=100%,VLOOKUP($AW31,'Jan-2026 rates'!$L:$R,7,0),IF($LB31=60%,VLOOKUP($AW31,'Jan-2026 rates'!$L:$S,8,0),IF($LB31=80%,VLOOKUP($AW31,'Jan-2026 rates'!L:T,9,0),0))))))))</f>
        <v>0</v>
      </c>
      <c r="BC31" s="413" t="s">
        <v>1585</v>
      </c>
      <c r="BD31" s="412" t="s">
        <v>1246</v>
      </c>
      <c r="BE31" s="412" t="s">
        <v>1880</v>
      </c>
      <c r="BF31" s="413"/>
      <c r="BG31" s="412"/>
      <c r="BH31" s="412"/>
      <c r="BI31" s="412"/>
      <c r="BJ31" s="412"/>
      <c r="BK31" s="409">
        <f>6+3</f>
        <v>9</v>
      </c>
      <c r="BL31" s="398">
        <f>IF(BK31=0,0,IF(LEN(BC31)=11,_xlfn.XLOOKUP(BC31,'Dispensed Ink Rates'!C:C,'Dispensed Ink Rates'!CS:CS),VLOOKUP(BC31,'Jan-2026 rates'!$E:$F,2,0)))</f>
        <v>0</v>
      </c>
      <c r="BM31" s="409">
        <f>5+2</f>
        <v>7</v>
      </c>
      <c r="BN31" s="398">
        <f>IF(BM31=0,0,IF(LEN(BD31)=11,_xlfn.XLOOKUP(BD31,'Dispensed Ink Rates'!C:C,'Dispensed Ink Rates'!CS:CS),VLOOKUP(BD31,'Jan-2026 rates'!$E:$F,2,0)))</f>
        <v>0</v>
      </c>
      <c r="BO31" s="409">
        <v>2</v>
      </c>
      <c r="BP31" s="398">
        <f>IF(BO31=0,0,IF(LEN(BE31)=11,_xlfn.XLOOKUP(BE31,'Dispensed Ink Rates'!C:C,'Dispensed Ink Rates'!CS:CS),VLOOKUP(BE31,'Jan-2026 rates'!$E:$F,2,0)))</f>
        <v>0</v>
      </c>
      <c r="BQ31" s="409"/>
      <c r="BR31" s="398">
        <f>IF(BQ31=0,0,IF(LEN(BF31)=11,_xlfn.XLOOKUP(BF31,'Dispensed Ink Rates'!C:C,'Dispensed Ink Rates'!CS:CS),VLOOKUP(BF31,'Jan-2026 rates'!$E:$F,2,0)))</f>
        <v>0</v>
      </c>
      <c r="BS31" s="409"/>
      <c r="BT31" s="398">
        <f>IF(BS31=0,0,IF(LEN(BG31)=11,_xlfn.XLOOKUP(BG31,'Dispensed Ink Rates'!C:C,'Dispensed Ink Rates'!CS:CS),VLOOKUP(BG31,'Jan-2026 rates'!$E:$F,2,0)))</f>
        <v>0</v>
      </c>
      <c r="BU31" s="409"/>
      <c r="BV31" s="398">
        <f>IF(BU31=0,0,IF(LEN(BH31)=11,_xlfn.XLOOKUP(BH31,'Dispensed Ink Rates'!C:C,'Dispensed Ink Rates'!CS:CS),VLOOKUP(BH31,'Jan-2026 rates'!$E:$F,2,0)))</f>
        <v>0</v>
      </c>
      <c r="BW31" s="409"/>
      <c r="BX31" s="398">
        <f>IF(BW31=0,0,IF(LEN(BI31)=11,_xlfn.XLOOKUP(BI31,'Dispensed Ink Rates'!C:C,'Dispensed Ink Rates'!CS:CS),VLOOKUP(BI31,'Jan-2026 rates'!$E:$F,2,0)))</f>
        <v>0</v>
      </c>
      <c r="BY31" s="409"/>
      <c r="BZ31" s="398">
        <f>IF(BY31=0,0,IF(LEN(BJ31)=11,_xlfn.XLOOKUP(BJ31,'Dispensed Ink Rates'!C:C,'Dispensed Ink Rates'!CS:CS),VLOOKUP(BJ31,'Jan-2026 rates'!$E:$F,2,0)))</f>
        <v>0</v>
      </c>
      <c r="CA31" s="409" t="s">
        <v>1881</v>
      </c>
      <c r="CB31" s="409">
        <f>15+9</f>
        <v>24</v>
      </c>
      <c r="CC31" s="411">
        <f t="shared" si="5"/>
        <v>0</v>
      </c>
      <c r="CD31" s="411">
        <f t="shared" si="6"/>
        <v>24.637931034482762</v>
      </c>
      <c r="CE31" s="410">
        <f t="shared" si="7"/>
        <v>0</v>
      </c>
      <c r="CF31" s="404" t="s">
        <v>855</v>
      </c>
      <c r="CG31" s="409" t="s">
        <v>2719</v>
      </c>
      <c r="CH31" s="420" t="str">
        <f t="shared" si="8"/>
        <v>ToyoLi - CYAN</v>
      </c>
      <c r="CI31" s="409">
        <v>28</v>
      </c>
      <c r="CJ31" s="411">
        <f>IF(CI31=0,0,IF($LB31=70%,VLOOKUP($CH31,'Jan-2026 rates'!$L:$R,4,0),IF($LB31=65%,VLOOKUP($CH31,'Jan-2026 rates'!$L:$R,4,0),IF($LB31=40%,VLOOKUP($CH31,'Jan-2026 rates'!$L:$R,5,0),IF($LB31=30%,VLOOKUP($CH31,'Jan-2026 rates'!$L:$R,6,0),IF($LB31=100%,VLOOKUP($CH31,'Jan-2026 rates'!$L:$R,7,0),IF($LB31=60%,VLOOKUP($CH31,'Jan-2026 rates'!$L:$S,8,0),IF($LB31=80%,VLOOKUP($CH31,'Jan-2026 rates'!L:T,9,0),0))))))))</f>
        <v>0</v>
      </c>
      <c r="CK31" s="412"/>
      <c r="CL31" s="409"/>
      <c r="CM31" s="411">
        <f>IF(CL31=0,0,IF($LB31=70%,VLOOKUP($CH31,'Jan-2026 rates'!$L:$R,4,0),IF($LB31=65%,VLOOKUP($CH31,'Jan-2026 rates'!$L:$R,4,0),IF($LB31=40%,VLOOKUP($CH31,'Jan-2026 rates'!$L:$R,5,0),IF($LB31=30%,VLOOKUP($CH31,'Jan-2026 rates'!$L:$R,6,0),IF($LB31=100%,VLOOKUP($CH31,'Jan-2026 rates'!$L:$R,7,0),IF($LB31=60%,VLOOKUP($CH31,'Jan-2026 rates'!$L:$S,8,0),IF($LB31=80%,VLOOKUP($CH31,'Jan-2026 rates'!L:T,9,0),0))))))))</f>
        <v>0</v>
      </c>
      <c r="CN31" s="426" t="s">
        <v>1250</v>
      </c>
      <c r="CO31" s="427" t="s">
        <v>1921</v>
      </c>
      <c r="CP31" s="426"/>
      <c r="CQ31" s="426"/>
      <c r="CR31" s="428"/>
      <c r="CS31" s="428"/>
      <c r="CT31" s="428"/>
      <c r="CU31" s="428"/>
      <c r="CV31" s="409">
        <v>3</v>
      </c>
      <c r="CW31" s="398">
        <f>IF(CV31=0,0,IF(LEN(CN31)=11,_xlfn.XLOOKUP(CN31,'Dispensed Ink Rates'!C:C,'Dispensed Ink Rates'!CS:CS),VLOOKUP(CN31,'Jan-2026 rates'!$E:$F,2,0)))</f>
        <v>0</v>
      </c>
      <c r="CX31" s="409">
        <v>4</v>
      </c>
      <c r="CY31" s="398">
        <f>IF(CX31=0,0,IF(LEN(CO31)=11,_xlfn.XLOOKUP(CO31,'Dispensed Ink Rates'!C:C,'Dispensed Ink Rates'!CS:CS),VLOOKUP(CO31,'Jan-2026 rates'!$E:$F,2,0)))</f>
        <v>0</v>
      </c>
      <c r="CZ31" s="409"/>
      <c r="DA31" s="398">
        <f>IF(CZ31=0,0,IF(LEN(CP31)=11,_xlfn.XLOOKUP(CP31,'Dispensed Ink Rates'!C:C,'Dispensed Ink Rates'!CS:CS),VLOOKUP(CP31,'Jan-2026 rates'!$E:$F,2,0)))</f>
        <v>0</v>
      </c>
      <c r="DB31" s="409"/>
      <c r="DC31" s="398">
        <f>IF(DB31=0,0,IF(LEN(CQ31)=11,_xlfn.XLOOKUP(CQ31,'Dispensed Ink Rates'!C:C,'Dispensed Ink Rates'!CS:CS),VLOOKUP(CQ31,'Jan-2026 rates'!$E:$F,2,0)))</f>
        <v>0</v>
      </c>
      <c r="DD31" s="409"/>
      <c r="DE31" s="398">
        <f>IF(DD31=0,0,IF(LEN(CR31)=11,_xlfn.XLOOKUP(CR31,'Dispensed Ink Rates'!C:C,'Dispensed Ink Rates'!CS:CS),VLOOKUP(CR31,'Jan-2026 rates'!$E:$F,2,0)))</f>
        <v>0</v>
      </c>
      <c r="DF31" s="409"/>
      <c r="DG31" s="398">
        <f>IF(DF31=0,0,IF(LEN(CS31)=11,_xlfn.XLOOKUP(CS31,'Dispensed Ink Rates'!C:C,'Dispensed Ink Rates'!CS:CS),VLOOKUP(CS31,'Jan-2026 rates'!$E:$F,2,0)))</f>
        <v>0</v>
      </c>
      <c r="DH31" s="409"/>
      <c r="DI31" s="398">
        <f>IF(DH31=0,0,IF(LEN(CT31)=11,_xlfn.XLOOKUP(CT31,'Dispensed Ink Rates'!C:C,'Dispensed Ink Rates'!CS:CS),VLOOKUP(CT31,'Jan-2026 rates'!$E:$F,2,0)))</f>
        <v>0</v>
      </c>
      <c r="DJ31" s="409"/>
      <c r="DK31" s="398">
        <f>IF(DJ31=0,0,IF(LEN(CU31)=11,_xlfn.XLOOKUP(CU31,'Dispensed Ink Rates'!C:C,'Dispensed Ink Rates'!CS:CS),VLOOKUP(CU31,'Jan-2026 rates'!$E:$F,2,0)))</f>
        <v>0</v>
      </c>
      <c r="DL31" s="409" t="s">
        <v>1881</v>
      </c>
      <c r="DM31" s="409">
        <v>30</v>
      </c>
      <c r="DN31" s="411">
        <f t="shared" si="9"/>
        <v>0</v>
      </c>
      <c r="DO31" s="411">
        <f t="shared" si="10"/>
        <v>16.793103448275858</v>
      </c>
      <c r="DP31" s="410">
        <f t="shared" si="11"/>
        <v>0</v>
      </c>
      <c r="DQ31" s="405" t="s">
        <v>544</v>
      </c>
      <c r="DR31" s="409" t="s">
        <v>2720</v>
      </c>
      <c r="DS31" s="420" t="str">
        <f t="shared" si="12"/>
        <v>ToyoLi - MAGENTA</v>
      </c>
      <c r="DT31" s="409">
        <v>25</v>
      </c>
      <c r="DU31" s="411">
        <f>IF(DT31=0,0,IF($LB31=70%,VLOOKUP($DS31,'Jan-2026 rates'!$L:$R,4,0),IF($LB31=65%,VLOOKUP($DS31,'Jan-2026 rates'!$L:$R,4,0),IF($LB31=40%,VLOOKUP($DS31,'Jan-2026 rates'!$L:$R,5,0),IF($LB31=30%,VLOOKUP($DS31,'Jan-2026 rates'!$L:$R,6,0),IF($LB31=100%,VLOOKUP($DS31,'Jan-2026 rates'!$L:$R,7,0),IF($LB31=60%,VLOOKUP($DS31,'Jan-2026 rates'!$L:$S,8,0),IF($LB31=80%,VLOOKUP($DS31,'Jan-2026 rates'!L:T,9,0),0))))))))</f>
        <v>0</v>
      </c>
      <c r="DV31" s="412"/>
      <c r="DW31" s="409"/>
      <c r="DX31" s="411">
        <f>IF(DW31=0,0,IF($LB31=70%,VLOOKUP($DS31,'Jan-2026 rates'!$L:$R,4,0),IF($LB31=65%,VLOOKUP($DS31,'Jan-2026 rates'!$L:$R,4,0),IF($LB31=40%,VLOOKUP($DS31,'Jan-2026 rates'!$L:$R,5,0),IF($LB31=30%,VLOOKUP($DS31,'Jan-2026 rates'!$L:$R,6,0),IF($LB31=100%,VLOOKUP($DS31,'Jan-2026 rates'!$L:$R,7,0),IF($LB31=60%,VLOOKUP($DS31,'Jan-2026 rates'!$L:$S,8,0),IF($LB31=80%,VLOOKUP($DS31,'Jan-2026 rates'!L:T,9,0),0))))))))</f>
        <v>0</v>
      </c>
      <c r="DY31" s="413" t="s">
        <v>1246</v>
      </c>
      <c r="DZ31" s="413" t="s">
        <v>1921</v>
      </c>
      <c r="EA31" s="412"/>
      <c r="EB31" s="412"/>
      <c r="EC31" s="412"/>
      <c r="ED31" s="412"/>
      <c r="EE31" s="412"/>
      <c r="EF31" s="412"/>
      <c r="EG31" s="409">
        <v>5</v>
      </c>
      <c r="EH31" s="398">
        <f>IF(EG31=0,0,IF(LEN(DY31)=11,_xlfn.XLOOKUP(DY31,'Dispensed Ink Rates'!C:C,'Dispensed Ink Rates'!CS:CS),VLOOKUP(DY31,'Jan-2026 rates'!$E:$F,2,0)))</f>
        <v>0</v>
      </c>
      <c r="EI31" s="409">
        <v>4</v>
      </c>
      <c r="EJ31" s="398">
        <f>IF(EI31=0,0,IF(LEN(DZ31)=11,_xlfn.XLOOKUP(DZ31,'Dispensed Ink Rates'!C:C,'Dispensed Ink Rates'!CS:CS),VLOOKUP(DZ31,'Jan-2026 rates'!$E:$F,2,0)))</f>
        <v>0</v>
      </c>
      <c r="EK31" s="409"/>
      <c r="EL31" s="398">
        <f>IF(EK31=0,0,IF(LEN(EA31)=11,_xlfn.XLOOKUP(EA31,'Dispensed Ink Rates'!C:C,'Dispensed Ink Rates'!CS:CS),VLOOKUP(EA31,'Jan-2026 rates'!$E:$F,2,0)))</f>
        <v>0</v>
      </c>
      <c r="EM31" s="409"/>
      <c r="EN31" s="398">
        <f>IF(EM31=0,0,IF(LEN(EB31)=11,_xlfn.XLOOKUP(EB31,'Dispensed Ink Rates'!C:C,'Dispensed Ink Rates'!CS:CS),VLOOKUP(EB31,'Jan-2026 rates'!$E:$F,2,0)))</f>
        <v>0</v>
      </c>
      <c r="EO31" s="409"/>
      <c r="EP31" s="398">
        <f>IF(EO31=0,0,IF(LEN(EC31)=11,_xlfn.XLOOKUP(EC31,'Dispensed Ink Rates'!C:C,'Dispensed Ink Rates'!CS:CS),VLOOKUP(EC31,'Jan-2026 rates'!$E:$F,2,0)))</f>
        <v>0</v>
      </c>
      <c r="EQ31" s="409"/>
      <c r="ER31" s="398">
        <f>IF(EQ31=0,0,IF(LEN(ED31)=11,_xlfn.XLOOKUP(ED31,'Dispensed Ink Rates'!C:C,'Dispensed Ink Rates'!CS:CS),VLOOKUP(ED31,'Jan-2026 rates'!$E:$F,2,0)))</f>
        <v>0</v>
      </c>
      <c r="ES31" s="409"/>
      <c r="ET31" s="398">
        <f>IF(ES31=0,0,IF(LEN(EE31)=11,_xlfn.XLOOKUP(EE31,'Dispensed Ink Rates'!C:C,'Dispensed Ink Rates'!CS:CS),VLOOKUP(EE31,'Jan-2026 rates'!$E:$F,2,0)))</f>
        <v>0</v>
      </c>
      <c r="EU31" s="409"/>
      <c r="EV31" s="398">
        <f>IF(EU31=0,0,IF(LEN(EF31)=11,_xlfn.XLOOKUP(EF31,'Dispensed Ink Rates'!C:C,'Dispensed Ink Rates'!CS:CS),VLOOKUP(EF31,'Jan-2026 rates'!$E:$F,2,0)))</f>
        <v>0</v>
      </c>
      <c r="EW31" s="409" t="s">
        <v>1881</v>
      </c>
      <c r="EX31" s="409">
        <v>28</v>
      </c>
      <c r="EY31" s="411">
        <f t="shared" si="13"/>
        <v>0</v>
      </c>
      <c r="EZ31" s="411">
        <f t="shared" si="14"/>
        <v>20.741379310344826</v>
      </c>
      <c r="FA31" s="410">
        <f t="shared" si="15"/>
        <v>0</v>
      </c>
      <c r="FB31" s="405" t="s">
        <v>545</v>
      </c>
      <c r="FC31" s="409" t="s">
        <v>2721</v>
      </c>
      <c r="FD31" s="420" t="str">
        <f t="shared" si="16"/>
        <v>ToyoLi - YELLOW</v>
      </c>
      <c r="FE31" s="409">
        <v>32</v>
      </c>
      <c r="FF31" s="411">
        <f>IF(FE31=0,0,IF($LB31=70%,VLOOKUP($FD31,'Jan-2026 rates'!$L:$R,4,0),IF($LB31=65%,VLOOKUP($FD31,'Jan-2026 rates'!$L:$R,4,0),IF($LB31=40%,VLOOKUP($FD31,'Jan-2026 rates'!$L:$R,5,0),IF($LB31=30%,VLOOKUP($FD31,'Jan-2026 rates'!$L:$R,6,0),IF($LB31=100%,VLOOKUP($FD31,'Jan-2026 rates'!$L:$R,7,0),IF($LB31=60%,VLOOKUP($FD31,'Jan-2026 rates'!$L:$S,8,0),IF($LB31=80%,VLOOKUP($FD31,'Jan-2026 rates'!L:T,9,0),0))))))))</f>
        <v>0</v>
      </c>
      <c r="FG31" s="412"/>
      <c r="FH31" s="409"/>
      <c r="FI31" s="411">
        <f>IF(FH31=0,0,IF($LB31=70%,VLOOKUP($FD31,'Jan-2026 rates'!$L:$R,4,0),IF($LB31=65%,VLOOKUP($FD31,'Jan-2026 rates'!$L:$R,4,0),IF($LB31=40%,VLOOKUP($FD31,'Jan-2026 rates'!$L:$R,5,0),IF($LB31=30%,VLOOKUP($FD31,'Jan-2026 rates'!$L:$R,6,0),IF($LB31=100%,VLOOKUP($FD31,'Jan-2026 rates'!$L:$R,7,0),IF($LB31=60%,VLOOKUP($FD31,'Jan-2026 rates'!$L:$S,8,0),IF($LB31=80%,VLOOKUP($FD31,'Jan-2026 rates'!L:T,9,0),0))))))))</f>
        <v>0</v>
      </c>
      <c r="FJ31" s="413" t="s">
        <v>1247</v>
      </c>
      <c r="FK31" s="413"/>
      <c r="FL31" s="413"/>
      <c r="FM31" s="412"/>
      <c r="FN31" s="412"/>
      <c r="FO31" s="412"/>
      <c r="FP31" s="412"/>
      <c r="FQ31" s="412"/>
      <c r="FR31" s="409">
        <v>6</v>
      </c>
      <c r="FS31" s="398">
        <f>IF(FR31=0,0,IF(LEN(FJ31)=11,_xlfn.XLOOKUP(FJ31,'Dispensed Ink Rates'!C:C,'Dispensed Ink Rates'!CS:CS),VLOOKUP(FJ31,'Jan-2026 rates'!$E:$F,2,0)))</f>
        <v>0</v>
      </c>
      <c r="FT31" s="409"/>
      <c r="FU31" s="398">
        <f>IF(FT31=0,0,IF(LEN(FK31)=11,_xlfn.XLOOKUP(FK31,'Dispensed Ink Rates'!C:C,'Dispensed Ink Rates'!CS:CS),VLOOKUP(FK31,'Jan-2026 rates'!$E:$F,2,0)))</f>
        <v>0</v>
      </c>
      <c r="FV31" s="409"/>
      <c r="FW31" s="398">
        <f>IF(FV31=0,0,IF(LEN(FL31)=11,_xlfn.XLOOKUP(FL31,'Dispensed Ink Rates'!C:C,'Dispensed Ink Rates'!CS:CS),VLOOKUP(FL31,'Jan-2026 rates'!$E:$F,2,0)))</f>
        <v>0</v>
      </c>
      <c r="FX31" s="409"/>
      <c r="FY31" s="398">
        <f>IF(FX31=0,0,IF(LEN(FM31)=11,_xlfn.XLOOKUP(FM31,'Dispensed Ink Rates'!C:C,'Dispensed Ink Rates'!CS:CS),VLOOKUP(FM31,'Jan-2026 rates'!$E:$F,2,0)))</f>
        <v>0</v>
      </c>
      <c r="FZ31" s="409"/>
      <c r="GA31" s="398">
        <f>IF(FZ31=0,0,IF(LEN(FN31)=11,_xlfn.XLOOKUP(FN31,'Dispensed Ink Rates'!C:C,'Dispensed Ink Rates'!CS:CS),VLOOKUP(FN31,'Jan-2026 rates'!$E:$F,2,0)))</f>
        <v>0</v>
      </c>
      <c r="GB31" s="409"/>
      <c r="GC31" s="398">
        <f>IF(GB31=0,0,IF(LEN(FO31)=11,_xlfn.XLOOKUP(FO31,'Dispensed Ink Rates'!C:C,'Dispensed Ink Rates'!CS:CS),VLOOKUP(FO31,'Jan-2026 rates'!$E:$F,2,0)))</f>
        <v>0</v>
      </c>
      <c r="GD31" s="409"/>
      <c r="GE31" s="398">
        <f>IF(GD31=0,0,IF(LEN(FP31)=11,_xlfn.XLOOKUP(FP31,'Dispensed Ink Rates'!C:C,'Dispensed Ink Rates'!CS:CS),VLOOKUP(FP31,'Jan-2026 rates'!$E:$F,2,0)))</f>
        <v>0</v>
      </c>
      <c r="GF31" s="409"/>
      <c r="GG31" s="398">
        <f>IF(GF31=0,0,IF(LEN(FQ31)=11,_xlfn.XLOOKUP(FQ31,'Dispensed Ink Rates'!C:C,'Dispensed Ink Rates'!CS:CS),VLOOKUP(FQ31,'Jan-2026 rates'!$E:$F,2,0)))</f>
        <v>0</v>
      </c>
      <c r="GH31" s="409" t="s">
        <v>1881</v>
      </c>
      <c r="GI31" s="409">
        <v>26</v>
      </c>
      <c r="GJ31" s="411">
        <f t="shared" si="17"/>
        <v>0</v>
      </c>
      <c r="GK31" s="411">
        <f t="shared" si="18"/>
        <v>26.741379310344826</v>
      </c>
      <c r="GL31" s="410">
        <f t="shared" si="19"/>
        <v>0</v>
      </c>
      <c r="GM31" s="405" t="s">
        <v>548</v>
      </c>
      <c r="GN31" s="409" t="s">
        <v>2722</v>
      </c>
      <c r="GO31" s="420" t="str">
        <f t="shared" si="20"/>
        <v>INK PRODUCT - GOLD</v>
      </c>
      <c r="GP31" s="409">
        <v>36</v>
      </c>
      <c r="GQ31" s="411">
        <f>IF(GP31=0,0,IF($LB31=70%,VLOOKUP($GO31,'Jan-2026 rates'!$L:$R,4,0),IF($LB31=65%,VLOOKUP($GO31,'Jan-2026 rates'!$L:$R,4,0),IF($LB31=40%,VLOOKUP($GO31,'Jan-2026 rates'!$L:$R,5,0),IF($LB31=30%,VLOOKUP($GO31,'Jan-2026 rates'!$L:$R,6,0),IF($LB31=100%,VLOOKUP($GO31,'Jan-2026 rates'!$L:$R,7,0),IF($LB31=60%,VLOOKUP($GO31,'Jan-2026 rates'!$L:$S,8,0),IF($LB31=80%,VLOOKUP($GO31,'Jan-2026 rates'!L:T,9,0),0))))))))</f>
        <v>0</v>
      </c>
      <c r="GR31" s="412"/>
      <c r="GS31" s="409"/>
      <c r="GT31" s="411">
        <f>IF(GS31=0,0,IF($LB31=70%,VLOOKUP($GO31,'Jan-2026 rates'!$L:$R,4,0),IF($LB31=65%,VLOOKUP($GO31,'Jan-2026 rates'!$L:$R,4,0),IF($LB31=40%,VLOOKUP($GO31,'Jan-2026 rates'!$L:$R,5,0),IF($LB31=30%,VLOOKUP($GO31,'Jan-2026 rates'!$L:$R,6,0),IF($LB31=100%,VLOOKUP($GO31,'Jan-2026 rates'!$L:$R,7,0),IF($LB31=60%,VLOOKUP($GO31,'Jan-2026 rates'!$L:$S,8,0),IF($LB31=80%,VLOOKUP($GO31,'Jan-2026 rates'!L:T,9,0),0))))))))</f>
        <v>0</v>
      </c>
      <c r="GU31" s="413">
        <v>70271</v>
      </c>
      <c r="GV31" s="413">
        <v>165</v>
      </c>
      <c r="GW31" s="412"/>
      <c r="GX31" s="412"/>
      <c r="GY31" s="412"/>
      <c r="GZ31" s="412"/>
      <c r="HA31" s="412"/>
      <c r="HB31" s="412"/>
      <c r="HC31" s="409">
        <v>60</v>
      </c>
      <c r="HD31" s="398">
        <f>IF(HC31=0,0,IF(LEN(GU31)=11,_xlfn.XLOOKUP(GU31,'Dispensed Ink Rates'!C:C,'Dispensed Ink Rates'!CS:CS),VLOOKUP(GU31,'Jan-2026 rates'!$E:$F,2,0)))</f>
        <v>0</v>
      </c>
      <c r="HE31" s="409">
        <v>2.34</v>
      </c>
      <c r="HF31" s="398">
        <f>IF(HE31=0,0,IF(LEN(GV31)=11,_xlfn.XLOOKUP(GV31,'Dispensed Ink Rates'!C:C,'Dispensed Ink Rates'!CS:CS),VLOOKUP(GV31,'Jan-2026 rates'!$E:$F,2,0)))</f>
        <v>0</v>
      </c>
      <c r="HG31" s="409"/>
      <c r="HH31" s="398">
        <f>IF(HG31=0,0,IF(LEN(GW31)=11,_xlfn.XLOOKUP(GW31,'Dispensed Ink Rates'!C:C,'Dispensed Ink Rates'!CS:CS),VLOOKUP(GW31,'Jan-2026 rates'!$E:$F,2,0)))</f>
        <v>0</v>
      </c>
      <c r="HI31" s="409"/>
      <c r="HJ31" s="398">
        <f>IF(HI31=0,0,IF(LEN(GX31)=11,_xlfn.XLOOKUP(GX31,'Dispensed Ink Rates'!C:C,'Dispensed Ink Rates'!CS:CS),VLOOKUP(GX31,'Jan-2026 rates'!$E:$F,2,0)))</f>
        <v>0</v>
      </c>
      <c r="HK31" s="409"/>
      <c r="HL31" s="398">
        <f>IF(HK31=0,0,IF(LEN(GY31)=11,_xlfn.XLOOKUP(GY31,'Dispensed Ink Rates'!C:C,'Dispensed Ink Rates'!CS:CS),VLOOKUP(GY31,'Jan-2026 rates'!$E:$F,2,0)))</f>
        <v>0</v>
      </c>
      <c r="HM31" s="409"/>
      <c r="HN31" s="398">
        <f>IF(HM31=0,0,IF(LEN(GZ31)=11,_xlfn.XLOOKUP(GZ31,'Dispensed Ink Rates'!C:C,'Dispensed Ink Rates'!CS:CS),VLOOKUP(GZ31,'Jan-2026 rates'!$E:$F,2,0)))</f>
        <v>0</v>
      </c>
      <c r="HO31" s="409"/>
      <c r="HP31" s="398">
        <f>IF(HO31=0,0,IF(LEN(HA31)=11,_xlfn.XLOOKUP(HA31,'Dispensed Ink Rates'!C:C,'Dispensed Ink Rates'!CS:CS),VLOOKUP(HA31,'Jan-2026 rates'!$E:$F,2,0)))</f>
        <v>0</v>
      </c>
      <c r="HQ31" s="409"/>
      <c r="HR31" s="398">
        <f>IF(HQ31=0,0,IF(LEN(HB31)=11,_xlfn.XLOOKUP(HB31,'Dispensed Ink Rates'!C:C,'Dispensed Ink Rates'!CS:CS),VLOOKUP(HB31,'Jan-2026 rates'!$E:$F,2,0)))</f>
        <v>0</v>
      </c>
      <c r="HS31" s="409" t="s">
        <v>719</v>
      </c>
      <c r="HT31" s="409">
        <v>30</v>
      </c>
      <c r="HU31" s="411">
        <f t="shared" si="21"/>
        <v>0</v>
      </c>
      <c r="HV31" s="411">
        <f t="shared" si="22"/>
        <v>112.56413793103448</v>
      </c>
      <c r="HW31" s="414">
        <f t="shared" si="23"/>
        <v>0</v>
      </c>
      <c r="HX31" s="405" t="s">
        <v>856</v>
      </c>
      <c r="HY31" s="409" t="s">
        <v>2723</v>
      </c>
      <c r="HZ31" s="420" t="str">
        <f t="shared" si="24"/>
        <v>ToyoLi - WHITE</v>
      </c>
      <c r="IA31" s="409">
        <v>20</v>
      </c>
      <c r="IB31" s="411">
        <f>IF(IA31=0,0,IF($LB31=70%,VLOOKUP($HZ31,'Jan-2026 rates'!$L:$R,4,0),IF($LB31=65%,VLOOKUP($HZ31,'Jan-2026 rates'!$L:$R,4,0),IF($LB31=40%,VLOOKUP($HZ31,'Jan-2026 rates'!$L:$R,5,0),IF($LB31=30%,VLOOKUP($HZ31,'Jan-2026 rates'!$L:$R,6,0),IF($LB31=100%,VLOOKUP($HZ31,'Jan-2026 rates'!$L:$R,7,0),IF($LB31=60%,VLOOKUP($HZ31,'Jan-2026 rates'!$L:$S,8,0),IF($LB31=80%,VLOOKUP($HZ31,'Jan-2026 rates'!L:T,9,0),0))))))))</f>
        <v>0</v>
      </c>
      <c r="IC31" s="412"/>
      <c r="ID31" s="409"/>
      <c r="IE31" s="411">
        <f>IF(ID31=0,0,IF($LB31=70%,VLOOKUP($HZ31,'Jan-2026 rates'!$L:$R,4,0),IF($LB31=65%,VLOOKUP($HZ31,'Jan-2026 rates'!$L:$R,4,0),IF($LB31=40%,VLOOKUP($HZ31,'Jan-2026 rates'!$L:$R,5,0),IF($LB31=30%,VLOOKUP($HZ31,'Jan-2026 rates'!$L:$R,6,0),IF($LB31=100%,VLOOKUP($HZ31,'Jan-2026 rates'!$L:$R,7,0),IF($LB31=60%,VLOOKUP($HZ31,'Jan-2026 rates'!$L:$S,8,0),IF($LB31=80%,VLOOKUP($HZ31,'Jan-2026 rates'!L:T,9,0),0))))))))</f>
        <v>0</v>
      </c>
      <c r="IF31" s="412" t="s">
        <v>1249</v>
      </c>
      <c r="IG31" s="413" t="s">
        <v>1122</v>
      </c>
      <c r="IH31" s="412"/>
      <c r="II31" s="412"/>
      <c r="IJ31" s="412"/>
      <c r="IK31" s="412"/>
      <c r="IL31" s="412"/>
      <c r="IM31" s="412"/>
      <c r="IN31" s="409">
        <v>40</v>
      </c>
      <c r="IO31" s="398">
        <f>IF(IN31=0,0,IF(LEN(IF31)=11,_xlfn.XLOOKUP(IF31,'Dispensed Ink Rates'!C:C,'Dispensed Ink Rates'!CS:CS),VLOOKUP(IF31,'Jan-2026 rates'!$E:$F,2,0)))</f>
        <v>0</v>
      </c>
      <c r="IP31" s="409">
        <v>4.5999999999999996</v>
      </c>
      <c r="IQ31" s="398">
        <f>IF(IP31=0,0,IF(LEN(IG31)=11,_xlfn.XLOOKUP(IG31,'Dispensed Ink Rates'!C:C,'Dispensed Ink Rates'!CS:CS),VLOOKUP(IG31,'Jan-2026 rates'!$E:$F,2,0)))</f>
        <v>0</v>
      </c>
      <c r="IR31" s="409"/>
      <c r="IS31" s="398">
        <f>IF(IR31=0,0,IF(LEN(IH31)=11,_xlfn.XLOOKUP(IH31,'Dispensed Ink Rates'!C:C,'Dispensed Ink Rates'!CS:CS),VLOOKUP(IH31,'Jan-2026 rates'!$E:$F,2,0)))</f>
        <v>0</v>
      </c>
      <c r="IT31" s="409"/>
      <c r="IU31" s="398">
        <f>IF(IT31=0,0,IF(LEN(II31)=11,_xlfn.XLOOKUP(II31,'Dispensed Ink Rates'!C:C,'Dispensed Ink Rates'!CS:CS),VLOOKUP(II31,'Jan-2026 rates'!$E:$F,2,0)))</f>
        <v>0</v>
      </c>
      <c r="IV31" s="409"/>
      <c r="IW31" s="398">
        <f>IF(IV31=0,0,IF(LEN(IJ31)=11,_xlfn.XLOOKUP(IJ31,'Dispensed Ink Rates'!C:C,'Dispensed Ink Rates'!CS:CS),VLOOKUP(IJ31,'Jan-2026 rates'!$E:$F,2,0)))</f>
        <v>0</v>
      </c>
      <c r="IX31" s="409"/>
      <c r="IY31" s="398">
        <f>IF(IX31=0,0,IF(LEN(IK31)=11,_xlfn.XLOOKUP(IK31,'Dispensed Ink Rates'!C:C,'Dispensed Ink Rates'!CS:CS),VLOOKUP(IK31,'Jan-2026 rates'!$E:$F,2,0)))</f>
        <v>0</v>
      </c>
      <c r="IZ31" s="409"/>
      <c r="JA31" s="398">
        <f>IF(IZ31=0,0,IF(LEN(IL31)=11,_xlfn.XLOOKUP(IL31,'Dispensed Ink Rates'!C:C,'Dispensed Ink Rates'!CS:CS),VLOOKUP(IL31,'Jan-2026 rates'!$E:$F,2,0)))</f>
        <v>0</v>
      </c>
      <c r="JB31" s="409"/>
      <c r="JC31" s="398">
        <f>IF(JB31=0,0,IF(LEN(IM31)=11,_xlfn.XLOOKUP(IM31,'Dispensed Ink Rates'!C:C,'Dispensed Ink Rates'!CS:CS),VLOOKUP(IM31,'Jan-2026 rates'!$E:$F,2,0)))</f>
        <v>0</v>
      </c>
      <c r="JD31" s="409" t="s">
        <v>1881</v>
      </c>
      <c r="JE31" s="409">
        <v>25</v>
      </c>
      <c r="JF31" s="411">
        <f t="shared" si="25"/>
        <v>0</v>
      </c>
      <c r="JG31" s="411">
        <f t="shared" si="26"/>
        <v>98.565517241379311</v>
      </c>
      <c r="JH31" s="410">
        <f t="shared" si="27"/>
        <v>0</v>
      </c>
      <c r="JI31" s="405"/>
      <c r="JJ31" s="409"/>
      <c r="JK31" s="420" t="str">
        <f t="shared" si="28"/>
        <v xml:space="preserve"> - </v>
      </c>
      <c r="JL31" s="409"/>
      <c r="JM31" s="411">
        <f>IF(JL31=0,0,IF($LB31=70%,VLOOKUP($JK31,'Jan-2026 rates'!$L:$R,4,0),IF($LB31=65%,VLOOKUP($JK31,'Jan-2026 rates'!$L:$R,4,0),IF($LB31=40%,VLOOKUP($JK31,'Jan-2026 rates'!$L:$R,5,0),IF($LB31=30%,VLOOKUP($JK31,'Jan-2026 rates'!$L:$R,6,0),IF($LB31=100%,VLOOKUP($JK31,'Jan-2026 rates'!$L:$R,7,0),IF($LB31=60%,VLOOKUP($JK31,'Jan-2026 rates'!$L:$S,8,0),IF($LB31=80%,VLOOKUP($JK31,'Jan-2026 rates'!L:T,9,0),0))))))))</f>
        <v>0</v>
      </c>
      <c r="JN31" s="412"/>
      <c r="JO31" s="409"/>
      <c r="JP31" s="411">
        <f>IF(JO31=0,0,IF($LB31=70%,VLOOKUP($JK31,'Jan-2026 rates'!$L:$R,4,0),IF($LB31=65%,VLOOKUP($JK31,'Jan-2026 rates'!$L:$R,4,0),IF($LB31=40%,VLOOKUP($JK31,'Jan-2026 rates'!$L:$R,5,0),IF($LB31=30%,VLOOKUP($JK31,'Jan-2026 rates'!$L:$R,6,0),IF($LB31=100%,VLOOKUP($JK31,'Jan-2026 rates'!$L:$R,7,0),IF($LB31=60%,VLOOKUP($JK31,'Jan-2026 rates'!$L:$S,8,0),IF($LB31=80%,VLOOKUP($JK31,'Jan-2026 rates'!L:T,9,0),0))))))))</f>
        <v>0</v>
      </c>
      <c r="JQ31" s="413"/>
      <c r="JR31" s="412"/>
      <c r="JS31" s="413"/>
      <c r="JT31" s="413"/>
      <c r="JU31" s="412"/>
      <c r="JV31" s="412"/>
      <c r="JW31" s="412"/>
      <c r="JX31" s="412"/>
      <c r="JY31" s="409"/>
      <c r="JZ31" s="398">
        <f>IF(JY31=0,0,IF(LEN(JQ31)=11,_xlfn.XLOOKUP(JQ31,'Dispensed Ink Rates'!C:C,'Dispensed Ink Rates'!CS:CS),VLOOKUP(JQ31,'Jan-2026 rates'!$E:$F,2,0)))</f>
        <v>0</v>
      </c>
      <c r="KA31" s="409"/>
      <c r="KB31" s="398">
        <f>IF(KA31=0,0,IF(LEN(JR31)=11,_xlfn.XLOOKUP(JR31,'Dispensed Ink Rates'!C:C,'Dispensed Ink Rates'!CS:CS),VLOOKUP(JR31,'Jan-2026 rates'!$E:$F,2,0)))</f>
        <v>0</v>
      </c>
      <c r="KC31" s="409"/>
      <c r="KD31" s="398">
        <f>IF(KC31=0,0,IF(LEN(JS31)=11,_xlfn.XLOOKUP(JS31,'Dispensed Ink Rates'!C:C,'Dispensed Ink Rates'!CS:CS),VLOOKUP(JS31,'Jan-2026 rates'!$E:$F,2,0)))</f>
        <v>0</v>
      </c>
      <c r="KE31" s="409"/>
      <c r="KF31" s="398">
        <f>IF(KE31=0,0,IF(LEN(JT31)=11,_xlfn.XLOOKUP(JT31,'Dispensed Ink Rates'!C:C,'Dispensed Ink Rates'!CS:CS),VLOOKUP(JT31,'Jan-2026 rates'!$E:$F,2,0)))</f>
        <v>0</v>
      </c>
      <c r="KG31" s="409"/>
      <c r="KH31" s="398">
        <f>IF(KG31=0,0,IF(LEN(JU31)=11,_xlfn.XLOOKUP(JU31,'Dispensed Ink Rates'!C:C,'Dispensed Ink Rates'!CS:CS),VLOOKUP(JU31,'Jan-2026 rates'!$E:$F,2,0)))</f>
        <v>0</v>
      </c>
      <c r="KI31" s="409"/>
      <c r="KJ31" s="398">
        <f>IF(KI31=0,0,IF(LEN(JV31)=11,_xlfn.XLOOKUP(JV31,'Dispensed Ink Rates'!C:C,'Dispensed Ink Rates'!CS:CS),VLOOKUP(JV31,'Jan-2026 rates'!$E:$F,2,0)))</f>
        <v>0</v>
      </c>
      <c r="KK31" s="409"/>
      <c r="KL31" s="398">
        <f>IF(KK31=0,0,IF(LEN(JW31)=11,_xlfn.XLOOKUP(JW31,'Dispensed Ink Rates'!C:C,'Dispensed Ink Rates'!CS:CS),VLOOKUP(JW31,'Jan-2026 rates'!$E:$F,2,0)))</f>
        <v>0</v>
      </c>
      <c r="KM31" s="428"/>
      <c r="KN31" s="398">
        <f>IF(KM31=0,0,IF(LEN(JX31)=11,_xlfn.XLOOKUP(JX31,'Dispensed Ink Rates'!C:C,'Dispensed Ink Rates'!CS:CS),VLOOKUP(JX31,'Jan-2026 rates'!$E:$F,2,0)))</f>
        <v>0</v>
      </c>
      <c r="KO31" s="409"/>
      <c r="KP31" s="409"/>
      <c r="KQ31" s="411">
        <f t="shared" si="29"/>
        <v>0</v>
      </c>
      <c r="KR31" s="411">
        <f t="shared" si="30"/>
        <v>0</v>
      </c>
      <c r="KS31" s="410">
        <f t="shared" si="31"/>
        <v>0</v>
      </c>
      <c r="KT31" s="409">
        <v>2</v>
      </c>
      <c r="KU31" s="409">
        <f>4+3</f>
        <v>7</v>
      </c>
      <c r="KV31" s="409">
        <v>4</v>
      </c>
      <c r="KW31" s="409">
        <v>5</v>
      </c>
      <c r="KX31" s="409">
        <v>5</v>
      </c>
      <c r="KY31" s="409">
        <v>15</v>
      </c>
      <c r="KZ31" s="409">
        <v>20</v>
      </c>
      <c r="LA31" s="409">
        <v>0</v>
      </c>
      <c r="LB31" s="415">
        <v>0.3</v>
      </c>
      <c r="LC31" s="415"/>
      <c r="LD31" s="415"/>
      <c r="LE31" s="415">
        <v>0.5</v>
      </c>
      <c r="LF31" s="415">
        <v>0.2</v>
      </c>
      <c r="LG31" s="409">
        <v>0</v>
      </c>
      <c r="LH31" s="409">
        <f>35+30+30+50+6+20</f>
        <v>171</v>
      </c>
      <c r="LI31" s="409">
        <v>0</v>
      </c>
      <c r="LJ31" s="409">
        <v>0</v>
      </c>
      <c r="LK31" s="416">
        <f t="shared" si="32"/>
        <v>171</v>
      </c>
      <c r="LL31" s="416">
        <f t="shared" si="33"/>
        <v>171</v>
      </c>
      <c r="LM31" s="417">
        <f t="shared" si="34"/>
        <v>51.3</v>
      </c>
      <c r="LN31" s="417">
        <f>VLOOKUP($LM$8,'Jan-2026 rates'!$H:$I,2,0)</f>
        <v>0</v>
      </c>
      <c r="LO31" s="417">
        <f t="shared" si="35"/>
        <v>0</v>
      </c>
      <c r="LP31" s="417">
        <f>VLOOKUP($LO$8,'Jan-2026 rates'!$H:$I,2,0)</f>
        <v>0</v>
      </c>
      <c r="LQ31" s="417">
        <f t="shared" si="36"/>
        <v>0</v>
      </c>
      <c r="LR31" s="417">
        <f>VLOOKUP($LQ$8,'Jan-2026 rates'!$H:$I,2,0)</f>
        <v>0</v>
      </c>
      <c r="LS31" s="417">
        <f t="shared" si="37"/>
        <v>85.5</v>
      </c>
      <c r="LT31" s="417">
        <f>VLOOKUP($LS$8,'Jan-2026 rates'!$H:$I,2,0)</f>
        <v>0</v>
      </c>
      <c r="LU31" s="417">
        <f t="shared" si="38"/>
        <v>34.200000000000003</v>
      </c>
      <c r="LV31" s="417">
        <f>VLOOKUP($LU$8,'Jan-2026 rates'!$H:$I,2,0)</f>
        <v>0</v>
      </c>
      <c r="LW31" s="417">
        <f t="shared" si="39"/>
        <v>0</v>
      </c>
      <c r="LX31" s="417">
        <f t="shared" si="40"/>
        <v>0</v>
      </c>
      <c r="LY31" s="418">
        <f t="shared" si="41"/>
        <v>0</v>
      </c>
      <c r="LZ31" s="417"/>
      <c r="MA31" s="435">
        <f t="shared" si="42"/>
        <v>149.94</v>
      </c>
      <c r="MB31" s="282">
        <f t="shared" si="43"/>
        <v>307.94</v>
      </c>
      <c r="MC31" s="283" t="s">
        <v>1960</v>
      </c>
      <c r="MD31" s="284" t="str">
        <f t="shared" si="44"/>
        <v>ToyoLiToyoLiToyoLiToyoLiToyoLiINK PRODUCTToyoLi</v>
      </c>
      <c r="ME31" s="293" t="str">
        <f t="shared" si="45"/>
        <v>+</v>
      </c>
      <c r="MF31" s="293" t="str">
        <f t="shared" si="46"/>
        <v>+</v>
      </c>
      <c r="MG31" s="293" t="str">
        <f t="shared" si="47"/>
        <v>+</v>
      </c>
      <c r="MH31" s="293" t="str">
        <f t="shared" si="48"/>
        <v>+</v>
      </c>
      <c r="MI31" s="293" t="str">
        <f t="shared" si="49"/>
        <v>+</v>
      </c>
      <c r="MJ31" s="293" t="str">
        <f t="shared" si="50"/>
        <v>+</v>
      </c>
      <c r="MK31" s="293" t="str">
        <f t="shared" si="51"/>
        <v>+</v>
      </c>
      <c r="ML31" s="293" t="str">
        <f t="shared" si="52"/>
        <v>NIL</v>
      </c>
      <c r="MM31" s="3" t="b">
        <f t="array" ref="MM31">OR(ME31:ML31="-")</f>
        <v>0</v>
      </c>
      <c r="MN31" s="285"/>
      <c r="MO31" s="401"/>
      <c r="MP31" s="286"/>
      <c r="MQ31" s="286"/>
      <c r="MR31" s="402"/>
      <c r="MS31" s="400"/>
      <c r="NH31" s="422"/>
      <c r="NJ31" s="421"/>
    </row>
    <row r="32" spans="1:374" s="1" customFormat="1" ht="16.5">
      <c r="A32" s="403">
        <v>46026</v>
      </c>
      <c r="B32" s="404" t="s">
        <v>1018</v>
      </c>
      <c r="C32" s="405" t="s">
        <v>2724</v>
      </c>
      <c r="D32" s="406" t="s">
        <v>1960</v>
      </c>
      <c r="E32" s="404">
        <v>84</v>
      </c>
      <c r="F32" s="407">
        <v>4500</v>
      </c>
      <c r="G32" s="407" t="s">
        <v>1016</v>
      </c>
      <c r="H32" s="408" t="s">
        <v>1017</v>
      </c>
      <c r="I32" s="409">
        <v>1.25</v>
      </c>
      <c r="J32" s="405" t="s">
        <v>543</v>
      </c>
      <c r="K32" s="404" t="s">
        <v>2725</v>
      </c>
      <c r="L32" s="419" t="str">
        <f t="shared" si="0"/>
        <v>ToyoLi - BLACK</v>
      </c>
      <c r="M32" s="404">
        <v>27</v>
      </c>
      <c r="N32" s="410">
        <f>IF(M32=0,0,IF($LB32=70%,VLOOKUP($L32,'Jan-2026 rates'!$L:$R,4,0),IF($LB32=65%,VLOOKUP($L32,'Jan-2026 rates'!$L:$R,4,0),IF($LB32=40%,VLOOKUP($L32,'Jan-2026 rates'!$L:$R,5,0),IF($LB32=30%,VLOOKUP($L32,'Jan-2026 rates'!$L:$R,6,0),IF($LB32=100%,VLOOKUP($L32,'Jan-2026 rates'!$L:$R,7,0),IF($LB32=60%,VLOOKUP($L32,'Jan-2026 rates'!$L:$S,8,0),IF($LB32=80%,VLOOKUP($L32,'Jan-2026 rates'!L:T,9,0),0))))))))</f>
        <v>0</v>
      </c>
      <c r="O32" s="406"/>
      <c r="P32" s="404"/>
      <c r="Q32" s="410">
        <f>IF(P32=0,0,IF($LB32=70%,VLOOKUP($L32,'Jan-2026 rates'!$L:$R,4,0),IF($LB32=65%,VLOOKUP($L32,'Jan-2026 rates'!$L:$R,4,0),IF($LB32=40%,VLOOKUP($L32,'Jan-2026 rates'!$L:$R,5,0),IF($LB32=30%,VLOOKUP($L32,'Jan-2026 rates'!$L:$R,6,0),IF($LB32=100%,VLOOKUP($L32,'Jan-2026 rates'!$L:$R,7,0),IF($LB32=60%,VLOOKUP($L32,'Jan-2026 rates'!$L:$S,8,0),IF($LB32=80%,VLOOKUP($L32,'Jan-2026 rates'!L:T,9,0),0))))))))</f>
        <v>0</v>
      </c>
      <c r="R32" s="406" t="s">
        <v>1252</v>
      </c>
      <c r="S32" s="406"/>
      <c r="T32" s="406"/>
      <c r="U32" s="406"/>
      <c r="V32" s="406"/>
      <c r="W32" s="406"/>
      <c r="X32" s="406"/>
      <c r="Y32" s="406"/>
      <c r="Z32" s="404">
        <v>2</v>
      </c>
      <c r="AA32" s="398">
        <f>IF(Z32=0,0,IF(LEN(R32)=11,_xlfn.XLOOKUP(R32,'Dispensed Ink Rates'!C:C,'Dispensed Ink Rates'!CS:CS),VLOOKUP(R32,'Jan-2026 rates'!$E:$F,2,0)))</f>
        <v>0</v>
      </c>
      <c r="AB32" s="404"/>
      <c r="AC32" s="398">
        <f>IF(AB32=0,0,IF(LEN(S32)=11,_xlfn.XLOOKUP(S32,'Dispensed Ink Rates'!C:C,'Dispensed Ink Rates'!CS:CS),VLOOKUP(S32,'Jan-2026 rates'!$E:$F,2,0)))</f>
        <v>0</v>
      </c>
      <c r="AD32" s="404"/>
      <c r="AE32" s="398">
        <f>IF(AD32=0,0,IF(LEN(T32)=11,_xlfn.XLOOKUP(T32,'Dispensed Ink Rates'!C:C,'Dispensed Ink Rates'!CS:CS),VLOOKUP(T32,'Jan-2026 rates'!$E:$F,2,0)))</f>
        <v>0</v>
      </c>
      <c r="AF32" s="404"/>
      <c r="AG32" s="398">
        <f>IF(AF32=0,0,IF(LEN(U32)=11,_xlfn.XLOOKUP(U32,'Dispensed Ink Rates'!C:C,'Dispensed Ink Rates'!CS:CS),VLOOKUP(U32,'Jan-2026 rates'!$E:$F,2,0)))</f>
        <v>0</v>
      </c>
      <c r="AH32" s="404"/>
      <c r="AI32" s="398">
        <f>IF(AH32=0,0,IF(LEN(V32)=11,_xlfn.XLOOKUP(V32,'Dispensed Ink Rates'!C:C,'Dispensed Ink Rates'!CS:CS),VLOOKUP(V32,'Jan-2026 rates'!$E:$F,2,0)))</f>
        <v>0</v>
      </c>
      <c r="AJ32" s="404"/>
      <c r="AK32" s="398">
        <f>IF(AJ32=0,0,IF(LEN(W32)=11,_xlfn.XLOOKUP(W32,'Dispensed Ink Rates'!C:C,'Dispensed Ink Rates'!CS:CS),VLOOKUP(W32,'Jan-2026 rates'!$E:$F,2,0)))</f>
        <v>0</v>
      </c>
      <c r="AL32" s="404"/>
      <c r="AM32" s="398">
        <f>IF(AL32=0,0,IF(LEN(X32)=11,_xlfn.XLOOKUP(X32,'Dispensed Ink Rates'!C:C,'Dispensed Ink Rates'!CS:CS),VLOOKUP(X32,'Jan-2026 rates'!$E:$F,2,0)))</f>
        <v>0</v>
      </c>
      <c r="AN32" s="404"/>
      <c r="AO32" s="398">
        <f>IF(AN32=0,0,IF(LEN(Y32)=11,_xlfn.XLOOKUP(Y32,'Dispensed Ink Rates'!C:C,'Dispensed Ink Rates'!CS:CS),VLOOKUP(Y32,'Jan-2026 rates'!$E:$F,2,0)))</f>
        <v>0</v>
      </c>
      <c r="AP32" s="409" t="s">
        <v>1881</v>
      </c>
      <c r="AQ32" s="409">
        <v>26</v>
      </c>
      <c r="AR32" s="410">
        <f t="shared" si="1"/>
        <v>0</v>
      </c>
      <c r="AS32" s="411">
        <f t="shared" si="2"/>
        <v>4.5862068965517224</v>
      </c>
      <c r="AT32" s="410">
        <f t="shared" si="3"/>
        <v>0</v>
      </c>
      <c r="AU32" s="405" t="s">
        <v>546</v>
      </c>
      <c r="AV32" s="409" t="s">
        <v>2726</v>
      </c>
      <c r="AW32" s="420" t="str">
        <f t="shared" si="4"/>
        <v>ToyoLi - REFLEX BLUE</v>
      </c>
      <c r="AX32" s="409">
        <v>15</v>
      </c>
      <c r="AY32" s="411">
        <f>IF(AX32=0,0,IF($LB32=70%,VLOOKUP($AW32,'Jan-2026 rates'!$L:$R,4,0),IF($LB32=65%,VLOOKUP($AW32,'Jan-2026 rates'!$L:$R,4,0),IF($LB32=40%,VLOOKUP($AW32,'Jan-2026 rates'!$L:$R,5,0),IF($LB32=30%,VLOOKUP($AW32,'Jan-2026 rates'!$L:$R,6,0),IF($LB32=100%,VLOOKUP($AW32,'Jan-2026 rates'!$L:$R,7,0),IF($LB32=60%,VLOOKUP($AW32,'Jan-2026 rates'!$L:$S,8,0),IF($LB32=80%,VLOOKUP($AW32,'Jan-2026 rates'!L:T,9,0),0))))))))</f>
        <v>0</v>
      </c>
      <c r="AZ32" s="412"/>
      <c r="BA32" s="409"/>
      <c r="BB32" s="411">
        <f>IF(BA32=0,0,IF($LB32=70%,VLOOKUP($AW32,'Jan-2026 rates'!$L:$R,4,0),IF($LB32=65%,VLOOKUP($AW32,'Jan-2026 rates'!$L:$R,4,0),IF($LB32=40%,VLOOKUP($AW32,'Jan-2026 rates'!$L:$R,5,0),IF($LB32=30%,VLOOKUP($AW32,'Jan-2026 rates'!$L:$R,6,0),IF($LB32=100%,VLOOKUP($AW32,'Jan-2026 rates'!$L:$R,7,0),IF($LB32=60%,VLOOKUP($AW32,'Jan-2026 rates'!$L:$S,8,0),IF($LB32=80%,VLOOKUP($AW32,'Jan-2026 rates'!L:T,9,0),0))))))))</f>
        <v>0</v>
      </c>
      <c r="BC32" s="413" t="s">
        <v>1246</v>
      </c>
      <c r="BD32" s="412" t="s">
        <v>1880</v>
      </c>
      <c r="BE32" s="412" t="s">
        <v>1252</v>
      </c>
      <c r="BF32" s="413"/>
      <c r="BG32" s="412"/>
      <c r="BH32" s="412"/>
      <c r="BI32" s="412"/>
      <c r="BJ32" s="412"/>
      <c r="BK32" s="409">
        <v>10</v>
      </c>
      <c r="BL32" s="398">
        <f>IF(BK32=0,0,IF(LEN(BC32)=11,_xlfn.XLOOKUP(BC32,'Dispensed Ink Rates'!C:C,'Dispensed Ink Rates'!CS:CS),VLOOKUP(BC32,'Jan-2026 rates'!$E:$F,2,0)))</f>
        <v>0</v>
      </c>
      <c r="BM32" s="409">
        <v>3</v>
      </c>
      <c r="BN32" s="398">
        <f>IF(BM32=0,0,IF(LEN(BD32)=11,_xlfn.XLOOKUP(BD32,'Dispensed Ink Rates'!C:C,'Dispensed Ink Rates'!CS:CS),VLOOKUP(BD32,'Jan-2026 rates'!$E:$F,2,0)))</f>
        <v>0</v>
      </c>
      <c r="BO32" s="409">
        <v>1</v>
      </c>
      <c r="BP32" s="398">
        <f>IF(BO32=0,0,IF(LEN(BE32)=11,_xlfn.XLOOKUP(BE32,'Dispensed Ink Rates'!C:C,'Dispensed Ink Rates'!CS:CS),VLOOKUP(BE32,'Jan-2026 rates'!$E:$F,2,0)))</f>
        <v>0</v>
      </c>
      <c r="BQ32" s="409"/>
      <c r="BR32" s="398">
        <f>IF(BQ32=0,0,IF(LEN(BF32)=11,_xlfn.XLOOKUP(BF32,'Dispensed Ink Rates'!C:C,'Dispensed Ink Rates'!CS:CS),VLOOKUP(BF32,'Jan-2026 rates'!$E:$F,2,0)))</f>
        <v>0</v>
      </c>
      <c r="BS32" s="409"/>
      <c r="BT32" s="398">
        <f>IF(BS32=0,0,IF(LEN(BG32)=11,_xlfn.XLOOKUP(BG32,'Dispensed Ink Rates'!C:C,'Dispensed Ink Rates'!CS:CS),VLOOKUP(BG32,'Jan-2026 rates'!$E:$F,2,0)))</f>
        <v>0</v>
      </c>
      <c r="BU32" s="409"/>
      <c r="BV32" s="398">
        <f>IF(BU32=0,0,IF(LEN(BH32)=11,_xlfn.XLOOKUP(BH32,'Dispensed Ink Rates'!C:C,'Dispensed Ink Rates'!CS:CS),VLOOKUP(BH32,'Jan-2026 rates'!$E:$F,2,0)))</f>
        <v>0</v>
      </c>
      <c r="BW32" s="409"/>
      <c r="BX32" s="398">
        <f>IF(BW32=0,0,IF(LEN(BI32)=11,_xlfn.XLOOKUP(BI32,'Dispensed Ink Rates'!C:C,'Dispensed Ink Rates'!CS:CS),VLOOKUP(BI32,'Jan-2026 rates'!$E:$F,2,0)))</f>
        <v>0</v>
      </c>
      <c r="BY32" s="409"/>
      <c r="BZ32" s="398">
        <f>IF(BY32=0,0,IF(LEN(BJ32)=11,_xlfn.XLOOKUP(BJ32,'Dispensed Ink Rates'!C:C,'Dispensed Ink Rates'!CS:CS),VLOOKUP(BJ32,'Jan-2026 rates'!$E:$F,2,0)))</f>
        <v>0</v>
      </c>
      <c r="CA32" s="409" t="s">
        <v>1881</v>
      </c>
      <c r="CB32" s="409">
        <v>20</v>
      </c>
      <c r="CC32" s="411">
        <f t="shared" si="5"/>
        <v>0</v>
      </c>
      <c r="CD32" s="411">
        <f t="shared" si="6"/>
        <v>16.931034482758619</v>
      </c>
      <c r="CE32" s="410">
        <f t="shared" si="7"/>
        <v>0</v>
      </c>
      <c r="CF32" s="404" t="s">
        <v>857</v>
      </c>
      <c r="CG32" s="409" t="s">
        <v>2727</v>
      </c>
      <c r="CH32" s="420" t="str">
        <f t="shared" si="8"/>
        <v>ToyoLi - RED</v>
      </c>
      <c r="CI32" s="409">
        <v>27</v>
      </c>
      <c r="CJ32" s="411">
        <f>IF(CI32=0,0,IF($LB32=70%,VLOOKUP($CH32,'Jan-2026 rates'!$L:$R,4,0),IF($LB32=65%,VLOOKUP($CH32,'Jan-2026 rates'!$L:$R,4,0),IF($LB32=40%,VLOOKUP($CH32,'Jan-2026 rates'!$L:$R,5,0),IF($LB32=30%,VLOOKUP($CH32,'Jan-2026 rates'!$L:$R,6,0),IF($LB32=100%,VLOOKUP($CH32,'Jan-2026 rates'!$L:$R,7,0),IF($LB32=60%,VLOOKUP($CH32,'Jan-2026 rates'!$L:$S,8,0),IF($LB32=80%,VLOOKUP($CH32,'Jan-2026 rates'!L:T,9,0),0))))))))</f>
        <v>0</v>
      </c>
      <c r="CK32" s="412"/>
      <c r="CL32" s="409"/>
      <c r="CM32" s="411">
        <f>IF(CL32=0,0,IF($LB32=70%,VLOOKUP($CH32,'Jan-2026 rates'!$L:$R,4,0),IF($LB32=65%,VLOOKUP($CH32,'Jan-2026 rates'!$L:$R,4,0),IF($LB32=40%,VLOOKUP($CH32,'Jan-2026 rates'!$L:$R,5,0),IF($LB32=30%,VLOOKUP($CH32,'Jan-2026 rates'!$L:$R,6,0),IF($LB32=100%,VLOOKUP($CH32,'Jan-2026 rates'!$L:$R,7,0),IF($LB32=60%,VLOOKUP($CH32,'Jan-2026 rates'!$L:$S,8,0),IF($LB32=80%,VLOOKUP($CH32,'Jan-2026 rates'!L:T,9,0),0))))))))</f>
        <v>0</v>
      </c>
      <c r="CN32" s="426" t="s">
        <v>1505</v>
      </c>
      <c r="CO32" s="427" t="s">
        <v>1248</v>
      </c>
      <c r="CP32" s="426"/>
      <c r="CQ32" s="426"/>
      <c r="CR32" s="428"/>
      <c r="CS32" s="428"/>
      <c r="CT32" s="428"/>
      <c r="CU32" s="428"/>
      <c r="CV32" s="409">
        <v>3</v>
      </c>
      <c r="CW32" s="398">
        <f>IF(CV32=0,0,IF(LEN(CN32)=11,_xlfn.XLOOKUP(CN32,'Dispensed Ink Rates'!C:C,'Dispensed Ink Rates'!CS:CS),VLOOKUP(CN32,'Jan-2026 rates'!$E:$F,2,0)))</f>
        <v>0</v>
      </c>
      <c r="CX32" s="409">
        <v>3</v>
      </c>
      <c r="CY32" s="398">
        <f>IF(CX32=0,0,IF(LEN(CO32)=11,_xlfn.XLOOKUP(CO32,'Dispensed Ink Rates'!C:C,'Dispensed Ink Rates'!CS:CS),VLOOKUP(CO32,'Jan-2026 rates'!$E:$F,2,0)))</f>
        <v>0</v>
      </c>
      <c r="CZ32" s="409"/>
      <c r="DA32" s="398">
        <f>IF(CZ32=0,0,IF(LEN(CP32)=11,_xlfn.XLOOKUP(CP32,'Dispensed Ink Rates'!C:C,'Dispensed Ink Rates'!CS:CS),VLOOKUP(CP32,'Jan-2026 rates'!$E:$F,2,0)))</f>
        <v>0</v>
      </c>
      <c r="DB32" s="409"/>
      <c r="DC32" s="398">
        <f>IF(DB32=0,0,IF(LEN(CQ32)=11,_xlfn.XLOOKUP(CQ32,'Dispensed Ink Rates'!C:C,'Dispensed Ink Rates'!CS:CS),VLOOKUP(CQ32,'Jan-2026 rates'!$E:$F,2,0)))</f>
        <v>0</v>
      </c>
      <c r="DD32" s="409"/>
      <c r="DE32" s="398">
        <f>IF(DD32=0,0,IF(LEN(CR32)=11,_xlfn.XLOOKUP(CR32,'Dispensed Ink Rates'!C:C,'Dispensed Ink Rates'!CS:CS),VLOOKUP(CR32,'Jan-2026 rates'!$E:$F,2,0)))</f>
        <v>0</v>
      </c>
      <c r="DF32" s="409"/>
      <c r="DG32" s="398">
        <f>IF(DF32=0,0,IF(LEN(CS32)=11,_xlfn.XLOOKUP(CS32,'Dispensed Ink Rates'!C:C,'Dispensed Ink Rates'!CS:CS),VLOOKUP(CS32,'Jan-2026 rates'!$E:$F,2,0)))</f>
        <v>0</v>
      </c>
      <c r="DH32" s="409"/>
      <c r="DI32" s="398">
        <f>IF(DH32=0,0,IF(LEN(CT32)=11,_xlfn.XLOOKUP(CT32,'Dispensed Ink Rates'!C:C,'Dispensed Ink Rates'!CS:CS),VLOOKUP(CT32,'Jan-2026 rates'!$E:$F,2,0)))</f>
        <v>0</v>
      </c>
      <c r="DJ32" s="409"/>
      <c r="DK32" s="398">
        <f>IF(DJ32=0,0,IF(LEN(CU32)=11,_xlfn.XLOOKUP(CU32,'Dispensed Ink Rates'!C:C,'Dispensed Ink Rates'!CS:CS),VLOOKUP(CU32,'Jan-2026 rates'!$E:$F,2,0)))</f>
        <v>0</v>
      </c>
      <c r="DL32" s="409" t="s">
        <v>1881</v>
      </c>
      <c r="DM32" s="409">
        <f>16+17</f>
        <v>33</v>
      </c>
      <c r="DN32" s="411">
        <f t="shared" si="9"/>
        <v>0</v>
      </c>
      <c r="DO32" s="411">
        <f t="shared" si="10"/>
        <v>7.9310344827586192</v>
      </c>
      <c r="DP32" s="410">
        <f t="shared" si="11"/>
        <v>0</v>
      </c>
      <c r="DQ32" s="405" t="s">
        <v>855</v>
      </c>
      <c r="DR32" s="409" t="s">
        <v>2728</v>
      </c>
      <c r="DS32" s="420" t="str">
        <f t="shared" si="12"/>
        <v>ToyoLi - CYAN</v>
      </c>
      <c r="DT32" s="409">
        <v>30</v>
      </c>
      <c r="DU32" s="411">
        <f>IF(DT32=0,0,IF($LB32=70%,VLOOKUP($DS32,'Jan-2026 rates'!$L:$R,4,0),IF($LB32=65%,VLOOKUP($DS32,'Jan-2026 rates'!$L:$R,4,0),IF($LB32=40%,VLOOKUP($DS32,'Jan-2026 rates'!$L:$R,5,0),IF($LB32=30%,VLOOKUP($DS32,'Jan-2026 rates'!$L:$R,6,0),IF($LB32=100%,VLOOKUP($DS32,'Jan-2026 rates'!$L:$R,7,0),IF($LB32=60%,VLOOKUP($DS32,'Jan-2026 rates'!$L:$S,8,0),IF($LB32=80%,VLOOKUP($DS32,'Jan-2026 rates'!L:T,9,0),0))))))))</f>
        <v>0</v>
      </c>
      <c r="DV32" s="412"/>
      <c r="DW32" s="409"/>
      <c r="DX32" s="411">
        <f>IF(DW32=0,0,IF($LB32=70%,VLOOKUP($DS32,'Jan-2026 rates'!$L:$R,4,0),IF($LB32=65%,VLOOKUP($DS32,'Jan-2026 rates'!$L:$R,4,0),IF($LB32=40%,VLOOKUP($DS32,'Jan-2026 rates'!$L:$R,5,0),IF($LB32=30%,VLOOKUP($DS32,'Jan-2026 rates'!$L:$R,6,0),IF($LB32=100%,VLOOKUP($DS32,'Jan-2026 rates'!$L:$R,7,0),IF($LB32=60%,VLOOKUP($DS32,'Jan-2026 rates'!$L:$S,8,0),IF($LB32=80%,VLOOKUP($DS32,'Jan-2026 rates'!L:T,9,0),0))))))))</f>
        <v>0</v>
      </c>
      <c r="DY32" s="413" t="s">
        <v>1250</v>
      </c>
      <c r="DZ32" s="413"/>
      <c r="EA32" s="412"/>
      <c r="EB32" s="412"/>
      <c r="EC32" s="412"/>
      <c r="ED32" s="412"/>
      <c r="EE32" s="412"/>
      <c r="EF32" s="412"/>
      <c r="EG32" s="409">
        <v>1</v>
      </c>
      <c r="EH32" s="398">
        <f>IF(EG32=0,0,IF(LEN(DY32)=11,_xlfn.XLOOKUP(DY32,'Dispensed Ink Rates'!C:C,'Dispensed Ink Rates'!CS:CS),VLOOKUP(DY32,'Jan-2026 rates'!$E:$F,2,0)))</f>
        <v>0</v>
      </c>
      <c r="EI32" s="409"/>
      <c r="EJ32" s="398">
        <f>IF(EI32=0,0,IF(LEN(DZ32)=11,_xlfn.XLOOKUP(DZ32,'Dispensed Ink Rates'!C:C,'Dispensed Ink Rates'!CS:CS),VLOOKUP(DZ32,'Jan-2026 rates'!$E:$F,2,0)))</f>
        <v>0</v>
      </c>
      <c r="EK32" s="409"/>
      <c r="EL32" s="398">
        <f>IF(EK32=0,0,IF(LEN(EA32)=11,_xlfn.XLOOKUP(EA32,'Dispensed Ink Rates'!C:C,'Dispensed Ink Rates'!CS:CS),VLOOKUP(EA32,'Jan-2026 rates'!$E:$F,2,0)))</f>
        <v>0</v>
      </c>
      <c r="EM32" s="409"/>
      <c r="EN32" s="398">
        <f>IF(EM32=0,0,IF(LEN(EB32)=11,_xlfn.XLOOKUP(EB32,'Dispensed Ink Rates'!C:C,'Dispensed Ink Rates'!CS:CS),VLOOKUP(EB32,'Jan-2026 rates'!$E:$F,2,0)))</f>
        <v>0</v>
      </c>
      <c r="EO32" s="409"/>
      <c r="EP32" s="398">
        <f>IF(EO32=0,0,IF(LEN(EC32)=11,_xlfn.XLOOKUP(EC32,'Dispensed Ink Rates'!C:C,'Dispensed Ink Rates'!CS:CS),VLOOKUP(EC32,'Jan-2026 rates'!$E:$F,2,0)))</f>
        <v>0</v>
      </c>
      <c r="EQ32" s="409"/>
      <c r="ER32" s="398">
        <f>IF(EQ32=0,0,IF(LEN(ED32)=11,_xlfn.XLOOKUP(ED32,'Dispensed Ink Rates'!C:C,'Dispensed Ink Rates'!CS:CS),VLOOKUP(ED32,'Jan-2026 rates'!$E:$F,2,0)))</f>
        <v>0</v>
      </c>
      <c r="ES32" s="409"/>
      <c r="ET32" s="398">
        <f>IF(ES32=0,0,IF(LEN(EE32)=11,_xlfn.XLOOKUP(EE32,'Dispensed Ink Rates'!C:C,'Dispensed Ink Rates'!CS:CS),VLOOKUP(EE32,'Jan-2026 rates'!$E:$F,2,0)))</f>
        <v>0</v>
      </c>
      <c r="EU32" s="409"/>
      <c r="EV32" s="398">
        <f>IF(EU32=0,0,IF(LEN(EF32)=11,_xlfn.XLOOKUP(EF32,'Dispensed Ink Rates'!C:C,'Dispensed Ink Rates'!CS:CS),VLOOKUP(EF32,'Jan-2026 rates'!$E:$F,2,0)))</f>
        <v>0</v>
      </c>
      <c r="EW32" s="409" t="s">
        <v>1881</v>
      </c>
      <c r="EX32" s="409">
        <v>30</v>
      </c>
      <c r="EY32" s="411">
        <f t="shared" si="13"/>
        <v>0</v>
      </c>
      <c r="EZ32" s="411">
        <f t="shared" si="14"/>
        <v>4.1724137931034448</v>
      </c>
      <c r="FA32" s="410">
        <f t="shared" si="15"/>
        <v>0</v>
      </c>
      <c r="FB32" s="405" t="s">
        <v>544</v>
      </c>
      <c r="FC32" s="409" t="s">
        <v>2729</v>
      </c>
      <c r="FD32" s="420" t="str">
        <f t="shared" si="16"/>
        <v>ToyoLi - MAGENTA</v>
      </c>
      <c r="FE32" s="409">
        <v>28</v>
      </c>
      <c r="FF32" s="411">
        <f>IF(FE32=0,0,IF($LB32=70%,VLOOKUP($FD32,'Jan-2026 rates'!$L:$R,4,0),IF($LB32=65%,VLOOKUP($FD32,'Jan-2026 rates'!$L:$R,4,0),IF($LB32=40%,VLOOKUP($FD32,'Jan-2026 rates'!$L:$R,5,0),IF($LB32=30%,VLOOKUP($FD32,'Jan-2026 rates'!$L:$R,6,0),IF($LB32=100%,VLOOKUP($FD32,'Jan-2026 rates'!$L:$R,7,0),IF($LB32=60%,VLOOKUP($FD32,'Jan-2026 rates'!$L:$S,8,0),IF($LB32=80%,VLOOKUP($FD32,'Jan-2026 rates'!L:T,9,0),0))))))))</f>
        <v>0</v>
      </c>
      <c r="FG32" s="412"/>
      <c r="FH32" s="409"/>
      <c r="FI32" s="411">
        <f>IF(FH32=0,0,IF($LB32=70%,VLOOKUP($FD32,'Jan-2026 rates'!$L:$R,4,0),IF($LB32=65%,VLOOKUP($FD32,'Jan-2026 rates'!$L:$R,4,0),IF($LB32=40%,VLOOKUP($FD32,'Jan-2026 rates'!$L:$R,5,0),IF($LB32=30%,VLOOKUP($FD32,'Jan-2026 rates'!$L:$R,6,0),IF($LB32=100%,VLOOKUP($FD32,'Jan-2026 rates'!$L:$R,7,0),IF($LB32=60%,VLOOKUP($FD32,'Jan-2026 rates'!$L:$S,8,0),IF($LB32=80%,VLOOKUP($FD32,'Jan-2026 rates'!L:T,9,0),0))))))))</f>
        <v>0</v>
      </c>
      <c r="FJ32" s="413" t="s">
        <v>1246</v>
      </c>
      <c r="FK32" s="413"/>
      <c r="FL32" s="413"/>
      <c r="FM32" s="412"/>
      <c r="FN32" s="412"/>
      <c r="FO32" s="412"/>
      <c r="FP32" s="412"/>
      <c r="FQ32" s="412"/>
      <c r="FR32" s="409">
        <v>2</v>
      </c>
      <c r="FS32" s="398">
        <f>IF(FR32=0,0,IF(LEN(FJ32)=11,_xlfn.XLOOKUP(FJ32,'Dispensed Ink Rates'!C:C,'Dispensed Ink Rates'!CS:CS),VLOOKUP(FJ32,'Jan-2026 rates'!$E:$F,2,0)))</f>
        <v>0</v>
      </c>
      <c r="FT32" s="409"/>
      <c r="FU32" s="398">
        <f>IF(FT32=0,0,IF(LEN(FK32)=11,_xlfn.XLOOKUP(FK32,'Dispensed Ink Rates'!C:C,'Dispensed Ink Rates'!CS:CS),VLOOKUP(FK32,'Jan-2026 rates'!$E:$F,2,0)))</f>
        <v>0</v>
      </c>
      <c r="FV32" s="409"/>
      <c r="FW32" s="398">
        <f>IF(FV32=0,0,IF(LEN(FL32)=11,_xlfn.XLOOKUP(FL32,'Dispensed Ink Rates'!C:C,'Dispensed Ink Rates'!CS:CS),VLOOKUP(FL32,'Jan-2026 rates'!$E:$F,2,0)))</f>
        <v>0</v>
      </c>
      <c r="FX32" s="409"/>
      <c r="FY32" s="398">
        <f>IF(FX32=0,0,IF(LEN(FM32)=11,_xlfn.XLOOKUP(FM32,'Dispensed Ink Rates'!C:C,'Dispensed Ink Rates'!CS:CS),VLOOKUP(FM32,'Jan-2026 rates'!$E:$F,2,0)))</f>
        <v>0</v>
      </c>
      <c r="FZ32" s="409"/>
      <c r="GA32" s="398">
        <f>IF(FZ32=0,0,IF(LEN(FN32)=11,_xlfn.XLOOKUP(FN32,'Dispensed Ink Rates'!C:C,'Dispensed Ink Rates'!CS:CS),VLOOKUP(FN32,'Jan-2026 rates'!$E:$F,2,0)))</f>
        <v>0</v>
      </c>
      <c r="GB32" s="409"/>
      <c r="GC32" s="398">
        <f>IF(GB32=0,0,IF(LEN(FO32)=11,_xlfn.XLOOKUP(FO32,'Dispensed Ink Rates'!C:C,'Dispensed Ink Rates'!CS:CS),VLOOKUP(FO32,'Jan-2026 rates'!$E:$F,2,0)))</f>
        <v>0</v>
      </c>
      <c r="GD32" s="409"/>
      <c r="GE32" s="398">
        <f>IF(GD32=0,0,IF(LEN(FP32)=11,_xlfn.XLOOKUP(FP32,'Dispensed Ink Rates'!C:C,'Dispensed Ink Rates'!CS:CS),VLOOKUP(FP32,'Jan-2026 rates'!$E:$F,2,0)))</f>
        <v>0</v>
      </c>
      <c r="GF32" s="409"/>
      <c r="GG32" s="398">
        <f>IF(GF32=0,0,IF(LEN(FQ32)=11,_xlfn.XLOOKUP(FQ32,'Dispensed Ink Rates'!C:C,'Dispensed Ink Rates'!CS:CS),VLOOKUP(FQ32,'Jan-2026 rates'!$E:$F,2,0)))</f>
        <v>0</v>
      </c>
      <c r="GH32" s="409" t="s">
        <v>1881</v>
      </c>
      <c r="GI32" s="409">
        <v>28</v>
      </c>
      <c r="GJ32" s="411">
        <f t="shared" si="17"/>
        <v>0</v>
      </c>
      <c r="GK32" s="411">
        <f t="shared" si="18"/>
        <v>5.1724137931034448</v>
      </c>
      <c r="GL32" s="410">
        <f t="shared" si="19"/>
        <v>0</v>
      </c>
      <c r="GM32" s="405" t="s">
        <v>545</v>
      </c>
      <c r="GN32" s="409" t="s">
        <v>2730</v>
      </c>
      <c r="GO32" s="420" t="str">
        <f t="shared" si="20"/>
        <v>ToyoLi - YELLOW</v>
      </c>
      <c r="GP32" s="409">
        <v>26</v>
      </c>
      <c r="GQ32" s="411">
        <f>IF(GP32=0,0,IF($LB32=70%,VLOOKUP($GO32,'Jan-2026 rates'!$L:$R,4,0),IF($LB32=65%,VLOOKUP($GO32,'Jan-2026 rates'!$L:$R,4,0),IF($LB32=40%,VLOOKUP($GO32,'Jan-2026 rates'!$L:$R,5,0),IF($LB32=30%,VLOOKUP($GO32,'Jan-2026 rates'!$L:$R,6,0),IF($LB32=100%,VLOOKUP($GO32,'Jan-2026 rates'!$L:$R,7,0),IF($LB32=60%,VLOOKUP($GO32,'Jan-2026 rates'!$L:$S,8,0),IF($LB32=80%,VLOOKUP($GO32,'Jan-2026 rates'!L:T,9,0),0))))))))</f>
        <v>0</v>
      </c>
      <c r="GR32" s="412"/>
      <c r="GS32" s="409"/>
      <c r="GT32" s="411">
        <f>IF(GS32=0,0,IF($LB32=70%,VLOOKUP($GO32,'Jan-2026 rates'!$L:$R,4,0),IF($LB32=65%,VLOOKUP($GO32,'Jan-2026 rates'!$L:$R,4,0),IF($LB32=40%,VLOOKUP($GO32,'Jan-2026 rates'!$L:$R,5,0),IF($LB32=30%,VLOOKUP($GO32,'Jan-2026 rates'!$L:$R,6,0),IF($LB32=100%,VLOOKUP($GO32,'Jan-2026 rates'!$L:$R,7,0),IF($LB32=60%,VLOOKUP($GO32,'Jan-2026 rates'!$L:$S,8,0),IF($LB32=80%,VLOOKUP($GO32,'Jan-2026 rates'!L:T,9,0),0))))))))</f>
        <v>0</v>
      </c>
      <c r="GU32" s="413" t="s">
        <v>1247</v>
      </c>
      <c r="GV32" s="413"/>
      <c r="GW32" s="412"/>
      <c r="GX32" s="412"/>
      <c r="GY32" s="412"/>
      <c r="GZ32" s="412"/>
      <c r="HA32" s="412"/>
      <c r="HB32" s="412"/>
      <c r="HC32" s="409">
        <v>2</v>
      </c>
      <c r="HD32" s="398">
        <f>IF(HC32=0,0,IF(LEN(GU32)=11,_xlfn.XLOOKUP(GU32,'Dispensed Ink Rates'!C:C,'Dispensed Ink Rates'!CS:CS),VLOOKUP(GU32,'Jan-2026 rates'!$E:$F,2,0)))</f>
        <v>0</v>
      </c>
      <c r="HE32" s="409"/>
      <c r="HF32" s="398">
        <f>IF(HE32=0,0,IF(LEN(GV32)=11,_xlfn.XLOOKUP(GV32,'Dispensed Ink Rates'!C:C,'Dispensed Ink Rates'!CS:CS),VLOOKUP(GV32,'Jan-2026 rates'!$E:$F,2,0)))</f>
        <v>0</v>
      </c>
      <c r="HG32" s="409"/>
      <c r="HH32" s="398">
        <f>IF(HG32=0,0,IF(LEN(GW32)=11,_xlfn.XLOOKUP(GW32,'Dispensed Ink Rates'!C:C,'Dispensed Ink Rates'!CS:CS),VLOOKUP(GW32,'Jan-2026 rates'!$E:$F,2,0)))</f>
        <v>0</v>
      </c>
      <c r="HI32" s="409"/>
      <c r="HJ32" s="398">
        <f>IF(HI32=0,0,IF(LEN(GX32)=11,_xlfn.XLOOKUP(GX32,'Dispensed Ink Rates'!C:C,'Dispensed Ink Rates'!CS:CS),VLOOKUP(GX32,'Jan-2026 rates'!$E:$F,2,0)))</f>
        <v>0</v>
      </c>
      <c r="HK32" s="409"/>
      <c r="HL32" s="398">
        <f>IF(HK32=0,0,IF(LEN(GY32)=11,_xlfn.XLOOKUP(GY32,'Dispensed Ink Rates'!C:C,'Dispensed Ink Rates'!CS:CS),VLOOKUP(GY32,'Jan-2026 rates'!$E:$F,2,0)))</f>
        <v>0</v>
      </c>
      <c r="HM32" s="409"/>
      <c r="HN32" s="398">
        <f>IF(HM32=0,0,IF(LEN(GZ32)=11,_xlfn.XLOOKUP(GZ32,'Dispensed Ink Rates'!C:C,'Dispensed Ink Rates'!CS:CS),VLOOKUP(GZ32,'Jan-2026 rates'!$E:$F,2,0)))</f>
        <v>0</v>
      </c>
      <c r="HO32" s="409"/>
      <c r="HP32" s="398">
        <f>IF(HO32=0,0,IF(LEN(HA32)=11,_xlfn.XLOOKUP(HA32,'Dispensed Ink Rates'!C:C,'Dispensed Ink Rates'!CS:CS),VLOOKUP(HA32,'Jan-2026 rates'!$E:$F,2,0)))</f>
        <v>0</v>
      </c>
      <c r="HQ32" s="409"/>
      <c r="HR32" s="398">
        <f>IF(HQ32=0,0,IF(LEN(HB32)=11,_xlfn.XLOOKUP(HB32,'Dispensed Ink Rates'!C:C,'Dispensed Ink Rates'!CS:CS),VLOOKUP(HB32,'Jan-2026 rates'!$E:$F,2,0)))</f>
        <v>0</v>
      </c>
      <c r="HS32" s="409" t="s">
        <v>1881</v>
      </c>
      <c r="HT32" s="409">
        <v>28</v>
      </c>
      <c r="HU32" s="411">
        <f t="shared" si="21"/>
        <v>0</v>
      </c>
      <c r="HV32" s="411">
        <f t="shared" si="22"/>
        <v>3.1724137931034484</v>
      </c>
      <c r="HW32" s="414">
        <f t="shared" si="23"/>
        <v>0</v>
      </c>
      <c r="HX32" s="405" t="s">
        <v>548</v>
      </c>
      <c r="HY32" s="409" t="s">
        <v>2731</v>
      </c>
      <c r="HZ32" s="420" t="str">
        <f t="shared" si="24"/>
        <v>ToyoLi - GOLD</v>
      </c>
      <c r="IA32" s="409">
        <v>20</v>
      </c>
      <c r="IB32" s="411">
        <f>IF(IA32=0,0,IF($LB32=70%,VLOOKUP($HZ32,'Jan-2026 rates'!$L:$R,4,0),IF($LB32=65%,VLOOKUP($HZ32,'Jan-2026 rates'!$L:$R,4,0),IF($LB32=40%,VLOOKUP($HZ32,'Jan-2026 rates'!$L:$R,5,0),IF($LB32=30%,VLOOKUP($HZ32,'Jan-2026 rates'!$L:$R,6,0),IF($LB32=100%,VLOOKUP($HZ32,'Jan-2026 rates'!$L:$R,7,0),IF($LB32=60%,VLOOKUP($HZ32,'Jan-2026 rates'!$L:$S,8,0),IF($LB32=80%,VLOOKUP($HZ32,'Jan-2026 rates'!L:T,9,0),0))))))))</f>
        <v>0</v>
      </c>
      <c r="IC32" s="412"/>
      <c r="ID32" s="409"/>
      <c r="IE32" s="411">
        <f>IF(ID32=0,0,IF($LB32=70%,VLOOKUP($HZ32,'Jan-2026 rates'!$L:$R,4,0),IF($LB32=65%,VLOOKUP($HZ32,'Jan-2026 rates'!$L:$R,4,0),IF($LB32=40%,VLOOKUP($HZ32,'Jan-2026 rates'!$L:$R,5,0),IF($LB32=30%,VLOOKUP($HZ32,'Jan-2026 rates'!$L:$R,6,0),IF($LB32=100%,VLOOKUP($HZ32,'Jan-2026 rates'!$L:$R,7,0),IF($LB32=60%,VLOOKUP($HZ32,'Jan-2026 rates'!$L:$S,8,0),IF($LB32=80%,VLOOKUP($HZ32,'Jan-2026 rates'!L:T,9,0),0))))))))</f>
        <v>0</v>
      </c>
      <c r="IF32" s="412" t="s">
        <v>1891</v>
      </c>
      <c r="IG32" s="413"/>
      <c r="IH32" s="412"/>
      <c r="II32" s="412"/>
      <c r="IJ32" s="412"/>
      <c r="IK32" s="412"/>
      <c r="IL32" s="412"/>
      <c r="IM32" s="412"/>
      <c r="IN32" s="409">
        <v>2</v>
      </c>
      <c r="IO32" s="398">
        <f>IF(IN32=0,0,IF(LEN(IF32)=11,_xlfn.XLOOKUP(IF32,'Dispensed Ink Rates'!C:C,'Dispensed Ink Rates'!CS:CS),VLOOKUP(IF32,'Jan-2026 rates'!$E:$F,2,0)))</f>
        <v>0</v>
      </c>
      <c r="IP32" s="409"/>
      <c r="IQ32" s="398">
        <f>IF(IP32=0,0,IF(LEN(IG32)=11,_xlfn.XLOOKUP(IG32,'Dispensed Ink Rates'!C:C,'Dispensed Ink Rates'!CS:CS),VLOOKUP(IG32,'Jan-2026 rates'!$E:$F,2,0)))</f>
        <v>0</v>
      </c>
      <c r="IR32" s="409"/>
      <c r="IS32" s="398">
        <f>IF(IR32=0,0,IF(LEN(IH32)=11,_xlfn.XLOOKUP(IH32,'Dispensed Ink Rates'!C:C,'Dispensed Ink Rates'!CS:CS),VLOOKUP(IH32,'Jan-2026 rates'!$E:$F,2,0)))</f>
        <v>0</v>
      </c>
      <c r="IT32" s="409"/>
      <c r="IU32" s="398">
        <f>IF(IT32=0,0,IF(LEN(II32)=11,_xlfn.XLOOKUP(II32,'Dispensed Ink Rates'!C:C,'Dispensed Ink Rates'!CS:CS),VLOOKUP(II32,'Jan-2026 rates'!$E:$F,2,0)))</f>
        <v>0</v>
      </c>
      <c r="IV32" s="409"/>
      <c r="IW32" s="398">
        <f>IF(IV32=0,0,IF(LEN(IJ32)=11,_xlfn.XLOOKUP(IJ32,'Dispensed Ink Rates'!C:C,'Dispensed Ink Rates'!CS:CS),VLOOKUP(IJ32,'Jan-2026 rates'!$E:$F,2,0)))</f>
        <v>0</v>
      </c>
      <c r="IX32" s="409"/>
      <c r="IY32" s="398">
        <f>IF(IX32=0,0,IF(LEN(IK32)=11,_xlfn.XLOOKUP(IK32,'Dispensed Ink Rates'!C:C,'Dispensed Ink Rates'!CS:CS),VLOOKUP(IK32,'Jan-2026 rates'!$E:$F,2,0)))</f>
        <v>0</v>
      </c>
      <c r="IZ32" s="409"/>
      <c r="JA32" s="398">
        <f>IF(IZ32=0,0,IF(LEN(IL32)=11,_xlfn.XLOOKUP(IL32,'Dispensed Ink Rates'!C:C,'Dispensed Ink Rates'!CS:CS),VLOOKUP(IL32,'Jan-2026 rates'!$E:$F,2,0)))</f>
        <v>0</v>
      </c>
      <c r="JB32" s="409"/>
      <c r="JC32" s="398">
        <f>IF(JB32=0,0,IF(LEN(IM32)=11,_xlfn.XLOOKUP(IM32,'Dispensed Ink Rates'!C:C,'Dispensed Ink Rates'!CS:CS),VLOOKUP(IM32,'Jan-2026 rates'!$E:$F,2,0)))</f>
        <v>0</v>
      </c>
      <c r="JD32" s="409" t="s">
        <v>1881</v>
      </c>
      <c r="JE32" s="409">
        <v>20</v>
      </c>
      <c r="JF32" s="411">
        <f t="shared" si="25"/>
        <v>0</v>
      </c>
      <c r="JG32" s="411">
        <f t="shared" si="26"/>
        <v>5.1724137931034484</v>
      </c>
      <c r="JH32" s="410">
        <f t="shared" si="27"/>
        <v>0</v>
      </c>
      <c r="JI32" s="405" t="s">
        <v>856</v>
      </c>
      <c r="JJ32" s="409" t="s">
        <v>2732</v>
      </c>
      <c r="JK32" s="420" t="str">
        <f t="shared" si="28"/>
        <v>ToyoLi - WHITE</v>
      </c>
      <c r="JL32" s="409">
        <v>25</v>
      </c>
      <c r="JM32" s="411">
        <f>IF(JL32=0,0,IF($LB32=70%,VLOOKUP($JK32,'Jan-2026 rates'!$L:$R,4,0),IF($LB32=65%,VLOOKUP($JK32,'Jan-2026 rates'!$L:$R,4,0),IF($LB32=40%,VLOOKUP($JK32,'Jan-2026 rates'!$L:$R,5,0),IF($LB32=30%,VLOOKUP($JK32,'Jan-2026 rates'!$L:$R,6,0),IF($LB32=100%,VLOOKUP($JK32,'Jan-2026 rates'!$L:$R,7,0),IF($LB32=60%,VLOOKUP($JK32,'Jan-2026 rates'!$L:$S,8,0),IF($LB32=80%,VLOOKUP($JK32,'Jan-2026 rates'!L:T,9,0),0))))))))</f>
        <v>0</v>
      </c>
      <c r="JN32" s="412"/>
      <c r="JO32" s="409"/>
      <c r="JP32" s="411">
        <f>IF(JO32=0,0,IF($LB32=70%,VLOOKUP($JK32,'Jan-2026 rates'!$L:$R,4,0),IF($LB32=65%,VLOOKUP($JK32,'Jan-2026 rates'!$L:$R,4,0),IF($LB32=40%,VLOOKUP($JK32,'Jan-2026 rates'!$L:$R,5,0),IF($LB32=30%,VLOOKUP($JK32,'Jan-2026 rates'!$L:$R,6,0),IF($LB32=100%,VLOOKUP($JK32,'Jan-2026 rates'!$L:$R,7,0),IF($LB32=60%,VLOOKUP($JK32,'Jan-2026 rates'!$L:$S,8,0),IF($LB32=80%,VLOOKUP($JK32,'Jan-2026 rates'!L:T,9,0),0))))))))</f>
        <v>0</v>
      </c>
      <c r="JQ32" s="413" t="s">
        <v>1249</v>
      </c>
      <c r="JR32" s="412"/>
      <c r="JS32" s="413"/>
      <c r="JT32" s="413"/>
      <c r="JU32" s="412"/>
      <c r="JV32" s="412"/>
      <c r="JW32" s="412"/>
      <c r="JX32" s="412"/>
      <c r="JY32" s="409">
        <v>20</v>
      </c>
      <c r="JZ32" s="398">
        <f>IF(JY32=0,0,IF(LEN(JQ32)=11,_xlfn.XLOOKUP(JQ32,'Dispensed Ink Rates'!C:C,'Dispensed Ink Rates'!CS:CS),VLOOKUP(JQ32,'Jan-2026 rates'!$E:$F,2,0)))</f>
        <v>0</v>
      </c>
      <c r="KA32" s="409"/>
      <c r="KB32" s="398">
        <f>IF(KA32=0,0,IF(LEN(JR32)=11,_xlfn.XLOOKUP(JR32,'Dispensed Ink Rates'!C:C,'Dispensed Ink Rates'!CS:CS),VLOOKUP(JR32,'Jan-2026 rates'!$E:$F,2,0)))</f>
        <v>0</v>
      </c>
      <c r="KC32" s="409"/>
      <c r="KD32" s="398">
        <f>IF(KC32=0,0,IF(LEN(JS32)=11,_xlfn.XLOOKUP(JS32,'Dispensed Ink Rates'!C:C,'Dispensed Ink Rates'!CS:CS),VLOOKUP(JS32,'Jan-2026 rates'!$E:$F,2,0)))</f>
        <v>0</v>
      </c>
      <c r="KE32" s="409"/>
      <c r="KF32" s="398">
        <f>IF(KE32=0,0,IF(LEN(JT32)=11,_xlfn.XLOOKUP(JT32,'Dispensed Ink Rates'!C:C,'Dispensed Ink Rates'!CS:CS),VLOOKUP(JT32,'Jan-2026 rates'!$E:$F,2,0)))</f>
        <v>0</v>
      </c>
      <c r="KG32" s="409"/>
      <c r="KH32" s="398">
        <f>IF(KG32=0,0,IF(LEN(JU32)=11,_xlfn.XLOOKUP(JU32,'Dispensed Ink Rates'!C:C,'Dispensed Ink Rates'!CS:CS),VLOOKUP(JU32,'Jan-2026 rates'!$E:$F,2,0)))</f>
        <v>0</v>
      </c>
      <c r="KI32" s="409"/>
      <c r="KJ32" s="398">
        <f>IF(KI32=0,0,IF(LEN(JV32)=11,_xlfn.XLOOKUP(JV32,'Dispensed Ink Rates'!C:C,'Dispensed Ink Rates'!CS:CS),VLOOKUP(JV32,'Jan-2026 rates'!$E:$F,2,0)))</f>
        <v>0</v>
      </c>
      <c r="KK32" s="409"/>
      <c r="KL32" s="398">
        <f>IF(KK32=0,0,IF(LEN(JW32)=11,_xlfn.XLOOKUP(JW32,'Dispensed Ink Rates'!C:C,'Dispensed Ink Rates'!CS:CS),VLOOKUP(JW32,'Jan-2026 rates'!$E:$F,2,0)))</f>
        <v>0</v>
      </c>
      <c r="KM32" s="428"/>
      <c r="KN32" s="398">
        <f>IF(KM32=0,0,IF(LEN(JX32)=11,_xlfn.XLOOKUP(JX32,'Dispensed Ink Rates'!C:C,'Dispensed Ink Rates'!CS:CS),VLOOKUP(JX32,'Jan-2026 rates'!$E:$F,2,0)))</f>
        <v>0</v>
      </c>
      <c r="KO32" s="409" t="s">
        <v>1881</v>
      </c>
      <c r="KP32" s="409">
        <v>30</v>
      </c>
      <c r="KQ32" s="411">
        <f t="shared" si="29"/>
        <v>0</v>
      </c>
      <c r="KR32" s="411">
        <f t="shared" si="30"/>
        <v>30.862068965517238</v>
      </c>
      <c r="KS32" s="410">
        <f t="shared" si="31"/>
        <v>0</v>
      </c>
      <c r="KT32" s="409">
        <v>1</v>
      </c>
      <c r="KU32" s="409">
        <v>5</v>
      </c>
      <c r="KV32" s="409">
        <v>5</v>
      </c>
      <c r="KW32" s="409">
        <v>2</v>
      </c>
      <c r="KX32" s="409">
        <v>2</v>
      </c>
      <c r="KY32" s="409">
        <v>2</v>
      </c>
      <c r="KZ32" s="409">
        <v>2</v>
      </c>
      <c r="LA32" s="409">
        <v>10</v>
      </c>
      <c r="LB32" s="415">
        <v>0.3</v>
      </c>
      <c r="LC32" s="415"/>
      <c r="LD32" s="415"/>
      <c r="LE32" s="415">
        <v>0.5</v>
      </c>
      <c r="LF32" s="415">
        <v>0.2</v>
      </c>
      <c r="LG32" s="409">
        <v>0</v>
      </c>
      <c r="LH32" s="409">
        <f>10+10+6+10+6+4</f>
        <v>46</v>
      </c>
      <c r="LI32" s="409">
        <v>0</v>
      </c>
      <c r="LJ32" s="409">
        <v>0</v>
      </c>
      <c r="LK32" s="416">
        <f t="shared" si="32"/>
        <v>46</v>
      </c>
      <c r="LL32" s="416">
        <f t="shared" si="33"/>
        <v>46</v>
      </c>
      <c r="LM32" s="417">
        <f t="shared" si="34"/>
        <v>13.799999999999999</v>
      </c>
      <c r="LN32" s="417">
        <f>VLOOKUP($LM$8,'Jan-2026 rates'!$H:$I,2,0)</f>
        <v>0</v>
      </c>
      <c r="LO32" s="417">
        <f t="shared" si="35"/>
        <v>0</v>
      </c>
      <c r="LP32" s="417">
        <f>VLOOKUP($LO$8,'Jan-2026 rates'!$H:$I,2,0)</f>
        <v>0</v>
      </c>
      <c r="LQ32" s="417">
        <f t="shared" si="36"/>
        <v>0</v>
      </c>
      <c r="LR32" s="417">
        <f>VLOOKUP($LQ$8,'Jan-2026 rates'!$H:$I,2,0)</f>
        <v>0</v>
      </c>
      <c r="LS32" s="417">
        <f t="shared" si="37"/>
        <v>23</v>
      </c>
      <c r="LT32" s="417">
        <f>VLOOKUP($LS$8,'Jan-2026 rates'!$H:$I,2,0)</f>
        <v>0</v>
      </c>
      <c r="LU32" s="417">
        <f t="shared" si="38"/>
        <v>9.2000000000000011</v>
      </c>
      <c r="LV32" s="417">
        <f>VLOOKUP($LU$8,'Jan-2026 rates'!$H:$I,2,0)</f>
        <v>0</v>
      </c>
      <c r="LW32" s="417">
        <f t="shared" si="39"/>
        <v>0</v>
      </c>
      <c r="LX32" s="417">
        <f t="shared" si="40"/>
        <v>0</v>
      </c>
      <c r="LY32" s="418">
        <f t="shared" si="41"/>
        <v>0</v>
      </c>
      <c r="LZ32" s="417"/>
      <c r="MA32" s="435">
        <f t="shared" si="42"/>
        <v>49</v>
      </c>
      <c r="MB32" s="282">
        <f t="shared" si="43"/>
        <v>77.999999999999986</v>
      </c>
      <c r="MC32" s="283" t="s">
        <v>1960</v>
      </c>
      <c r="MD32" s="284" t="str">
        <f t="shared" si="44"/>
        <v>ToyoLiToyoLiToyoLiToyoLiToyoLiToyoLiToyoLiToyoLi</v>
      </c>
      <c r="ME32" s="293" t="str">
        <f t="shared" si="45"/>
        <v>+</v>
      </c>
      <c r="MF32" s="293" t="str">
        <f t="shared" si="46"/>
        <v>+</v>
      </c>
      <c r="MG32" s="293" t="str">
        <f t="shared" si="47"/>
        <v>+</v>
      </c>
      <c r="MH32" s="293" t="str">
        <f t="shared" si="48"/>
        <v>+</v>
      </c>
      <c r="MI32" s="293" t="str">
        <f t="shared" si="49"/>
        <v>+</v>
      </c>
      <c r="MJ32" s="293" t="str">
        <f t="shared" si="50"/>
        <v>+</v>
      </c>
      <c r="MK32" s="293" t="str">
        <f t="shared" si="51"/>
        <v>+</v>
      </c>
      <c r="ML32" s="293" t="str">
        <f t="shared" si="52"/>
        <v>+</v>
      </c>
      <c r="MM32" s="3" t="b">
        <f t="array" ref="MM32">OR(ME32:ML32="-")</f>
        <v>0</v>
      </c>
      <c r="MN32" s="285"/>
      <c r="MO32" s="401"/>
      <c r="MP32" s="286"/>
      <c r="MQ32" s="286"/>
      <c r="MR32" s="402"/>
      <c r="MS32" s="400"/>
      <c r="NH32" s="422"/>
      <c r="NJ32" s="421"/>
    </row>
    <row r="33" spans="1:374" s="1" customFormat="1" ht="16.5">
      <c r="A33" s="403">
        <v>46026</v>
      </c>
      <c r="B33" s="404" t="s">
        <v>1018</v>
      </c>
      <c r="C33" s="405" t="s">
        <v>2733</v>
      </c>
      <c r="D33" s="406" t="s">
        <v>1961</v>
      </c>
      <c r="E33" s="404">
        <v>161</v>
      </c>
      <c r="F33" s="407">
        <v>8600</v>
      </c>
      <c r="G33" s="407" t="s">
        <v>1016</v>
      </c>
      <c r="H33" s="408" t="s">
        <v>1017</v>
      </c>
      <c r="I33" s="409">
        <v>1.99</v>
      </c>
      <c r="J33" s="405" t="s">
        <v>543</v>
      </c>
      <c r="K33" s="404" t="s">
        <v>2734</v>
      </c>
      <c r="L33" s="419" t="str">
        <f t="shared" si="0"/>
        <v>ToyoLi - BLACK</v>
      </c>
      <c r="M33" s="404">
        <v>26</v>
      </c>
      <c r="N33" s="410">
        <f>IF(M33=0,0,IF($LB33=70%,VLOOKUP($L33,'Jan-2026 rates'!$L:$R,4,0),IF($LB33=65%,VLOOKUP($L33,'Jan-2026 rates'!$L:$R,4,0),IF($LB33=40%,VLOOKUP($L33,'Jan-2026 rates'!$L:$R,5,0),IF($LB33=30%,VLOOKUP($L33,'Jan-2026 rates'!$L:$R,6,0),IF($LB33=100%,VLOOKUP($L33,'Jan-2026 rates'!$L:$R,7,0),IF($LB33=60%,VLOOKUP($L33,'Jan-2026 rates'!$L:$S,8,0),IF($LB33=80%,VLOOKUP($L33,'Jan-2026 rates'!L:T,9,0),0))))))))</f>
        <v>0</v>
      </c>
      <c r="O33" s="406"/>
      <c r="P33" s="404"/>
      <c r="Q33" s="410">
        <f>IF(P33=0,0,IF($LB33=70%,VLOOKUP($L33,'Jan-2026 rates'!$L:$R,4,0),IF($LB33=65%,VLOOKUP($L33,'Jan-2026 rates'!$L:$R,4,0),IF($LB33=40%,VLOOKUP($L33,'Jan-2026 rates'!$L:$R,5,0),IF($LB33=30%,VLOOKUP($L33,'Jan-2026 rates'!$L:$R,6,0),IF($LB33=100%,VLOOKUP($L33,'Jan-2026 rates'!$L:$R,7,0),IF($LB33=60%,VLOOKUP($L33,'Jan-2026 rates'!$L:$S,8,0),IF($LB33=80%,VLOOKUP($L33,'Jan-2026 rates'!L:T,9,0),0))))))))</f>
        <v>0</v>
      </c>
      <c r="R33" s="406" t="s">
        <v>1252</v>
      </c>
      <c r="S33" s="406"/>
      <c r="T33" s="406"/>
      <c r="U33" s="406"/>
      <c r="V33" s="406"/>
      <c r="W33" s="406"/>
      <c r="X33" s="406"/>
      <c r="Y33" s="406"/>
      <c r="Z33" s="404">
        <v>6</v>
      </c>
      <c r="AA33" s="398">
        <f>IF(Z33=0,0,IF(LEN(R33)=11,_xlfn.XLOOKUP(R33,'Dispensed Ink Rates'!C:C,'Dispensed Ink Rates'!CS:CS),VLOOKUP(R33,'Jan-2026 rates'!$E:$F,2,0)))</f>
        <v>0</v>
      </c>
      <c r="AB33" s="404"/>
      <c r="AC33" s="398">
        <f>IF(AB33=0,0,IF(LEN(S33)=11,_xlfn.XLOOKUP(S33,'Dispensed Ink Rates'!C:C,'Dispensed Ink Rates'!CS:CS),VLOOKUP(S33,'Jan-2026 rates'!$E:$F,2,0)))</f>
        <v>0</v>
      </c>
      <c r="AD33" s="404"/>
      <c r="AE33" s="398">
        <f>IF(AD33=0,0,IF(LEN(T33)=11,_xlfn.XLOOKUP(T33,'Dispensed Ink Rates'!C:C,'Dispensed Ink Rates'!CS:CS),VLOOKUP(T33,'Jan-2026 rates'!$E:$F,2,0)))</f>
        <v>0</v>
      </c>
      <c r="AF33" s="404"/>
      <c r="AG33" s="398">
        <f>IF(AF33=0,0,IF(LEN(U33)=11,_xlfn.XLOOKUP(U33,'Dispensed Ink Rates'!C:C,'Dispensed Ink Rates'!CS:CS),VLOOKUP(U33,'Jan-2026 rates'!$E:$F,2,0)))</f>
        <v>0</v>
      </c>
      <c r="AH33" s="404"/>
      <c r="AI33" s="398">
        <f>IF(AH33=0,0,IF(LEN(V33)=11,_xlfn.XLOOKUP(V33,'Dispensed Ink Rates'!C:C,'Dispensed Ink Rates'!CS:CS),VLOOKUP(V33,'Jan-2026 rates'!$E:$F,2,0)))</f>
        <v>0</v>
      </c>
      <c r="AJ33" s="404"/>
      <c r="AK33" s="398">
        <f>IF(AJ33=0,0,IF(LEN(W33)=11,_xlfn.XLOOKUP(W33,'Dispensed Ink Rates'!C:C,'Dispensed Ink Rates'!CS:CS),VLOOKUP(W33,'Jan-2026 rates'!$E:$F,2,0)))</f>
        <v>0</v>
      </c>
      <c r="AL33" s="404"/>
      <c r="AM33" s="398">
        <f>IF(AL33=0,0,IF(LEN(X33)=11,_xlfn.XLOOKUP(X33,'Dispensed Ink Rates'!C:C,'Dispensed Ink Rates'!CS:CS),VLOOKUP(X33,'Jan-2026 rates'!$E:$F,2,0)))</f>
        <v>0</v>
      </c>
      <c r="AN33" s="404"/>
      <c r="AO33" s="398">
        <f>IF(AN33=0,0,IF(LEN(Y33)=11,_xlfn.XLOOKUP(Y33,'Dispensed Ink Rates'!C:C,'Dispensed Ink Rates'!CS:CS),VLOOKUP(Y33,'Jan-2026 rates'!$E:$F,2,0)))</f>
        <v>0</v>
      </c>
      <c r="AP33" s="409" t="s">
        <v>1881</v>
      </c>
      <c r="AQ33" s="409">
        <f>18+15</f>
        <v>33</v>
      </c>
      <c r="AR33" s="410">
        <f t="shared" si="1"/>
        <v>0</v>
      </c>
      <c r="AS33" s="411">
        <f t="shared" si="2"/>
        <v>7.8043478260869534</v>
      </c>
      <c r="AT33" s="410">
        <f t="shared" si="3"/>
        <v>0</v>
      </c>
      <c r="AU33" s="405" t="s">
        <v>855</v>
      </c>
      <c r="AV33" s="409" t="s">
        <v>2735</v>
      </c>
      <c r="AW33" s="420" t="str">
        <f t="shared" si="4"/>
        <v>ToyoLi - CYAN</v>
      </c>
      <c r="AX33" s="409">
        <v>30</v>
      </c>
      <c r="AY33" s="411">
        <f>IF(AX33=0,0,IF($LB33=70%,VLOOKUP($AW33,'Jan-2026 rates'!$L:$R,4,0),IF($LB33=65%,VLOOKUP($AW33,'Jan-2026 rates'!$L:$R,4,0),IF($LB33=40%,VLOOKUP($AW33,'Jan-2026 rates'!$L:$R,5,0),IF($LB33=30%,VLOOKUP($AW33,'Jan-2026 rates'!$L:$R,6,0),IF($LB33=100%,VLOOKUP($AW33,'Jan-2026 rates'!$L:$R,7,0),IF($LB33=60%,VLOOKUP($AW33,'Jan-2026 rates'!$L:$S,8,0),IF($LB33=80%,VLOOKUP($AW33,'Jan-2026 rates'!L:T,9,0),0))))))))</f>
        <v>0</v>
      </c>
      <c r="AZ33" s="412"/>
      <c r="BA33" s="409"/>
      <c r="BB33" s="411">
        <f>IF(BA33=0,0,IF($LB33=70%,VLOOKUP($AW33,'Jan-2026 rates'!$L:$R,4,0),IF($LB33=65%,VLOOKUP($AW33,'Jan-2026 rates'!$L:$R,4,0),IF($LB33=40%,VLOOKUP($AW33,'Jan-2026 rates'!$L:$R,5,0),IF($LB33=30%,VLOOKUP($AW33,'Jan-2026 rates'!$L:$R,6,0),IF($LB33=100%,VLOOKUP($AW33,'Jan-2026 rates'!$L:$R,7,0),IF($LB33=60%,VLOOKUP($AW33,'Jan-2026 rates'!$L:$S,8,0),IF($LB33=80%,VLOOKUP($AW33,'Jan-2026 rates'!L:T,9,0),0))))))))</f>
        <v>0</v>
      </c>
      <c r="BC33" s="413" t="s">
        <v>1250</v>
      </c>
      <c r="BD33" s="412" t="s">
        <v>1921</v>
      </c>
      <c r="BE33" s="412"/>
      <c r="BF33" s="413"/>
      <c r="BG33" s="412"/>
      <c r="BH33" s="412"/>
      <c r="BI33" s="412"/>
      <c r="BJ33" s="412"/>
      <c r="BK33" s="409">
        <v>6</v>
      </c>
      <c r="BL33" s="398">
        <f>IF(BK33=0,0,IF(LEN(BC33)=11,_xlfn.XLOOKUP(BC33,'Dispensed Ink Rates'!C:C,'Dispensed Ink Rates'!CS:CS),VLOOKUP(BC33,'Jan-2026 rates'!$E:$F,2,0)))</f>
        <v>0</v>
      </c>
      <c r="BM33" s="409">
        <v>4</v>
      </c>
      <c r="BN33" s="398">
        <f>IF(BM33=0,0,IF(LEN(BD33)=11,_xlfn.XLOOKUP(BD33,'Dispensed Ink Rates'!C:C,'Dispensed Ink Rates'!CS:CS),VLOOKUP(BD33,'Jan-2026 rates'!$E:$F,2,0)))</f>
        <v>0</v>
      </c>
      <c r="BO33" s="409"/>
      <c r="BP33" s="398">
        <f>IF(BO33=0,0,IF(LEN(BE33)=11,_xlfn.XLOOKUP(BE33,'Dispensed Ink Rates'!C:C,'Dispensed Ink Rates'!CS:CS),VLOOKUP(BE33,'Jan-2026 rates'!$E:$F,2,0)))</f>
        <v>0</v>
      </c>
      <c r="BQ33" s="409"/>
      <c r="BR33" s="398">
        <f>IF(BQ33=0,0,IF(LEN(BF33)=11,_xlfn.XLOOKUP(BF33,'Dispensed Ink Rates'!C:C,'Dispensed Ink Rates'!CS:CS),VLOOKUP(BF33,'Jan-2026 rates'!$E:$F,2,0)))</f>
        <v>0</v>
      </c>
      <c r="BS33" s="409"/>
      <c r="BT33" s="398">
        <f>IF(BS33=0,0,IF(LEN(BG33)=11,_xlfn.XLOOKUP(BG33,'Dispensed Ink Rates'!C:C,'Dispensed Ink Rates'!CS:CS),VLOOKUP(BG33,'Jan-2026 rates'!$E:$F,2,0)))</f>
        <v>0</v>
      </c>
      <c r="BU33" s="409"/>
      <c r="BV33" s="398">
        <f>IF(BU33=0,0,IF(LEN(BH33)=11,_xlfn.XLOOKUP(BH33,'Dispensed Ink Rates'!C:C,'Dispensed Ink Rates'!CS:CS),VLOOKUP(BH33,'Jan-2026 rates'!$E:$F,2,0)))</f>
        <v>0</v>
      </c>
      <c r="BW33" s="409"/>
      <c r="BX33" s="398">
        <f>IF(BW33=0,0,IF(LEN(BI33)=11,_xlfn.XLOOKUP(BI33,'Dispensed Ink Rates'!C:C,'Dispensed Ink Rates'!CS:CS),VLOOKUP(BI33,'Jan-2026 rates'!$E:$F,2,0)))</f>
        <v>0</v>
      </c>
      <c r="BY33" s="409"/>
      <c r="BZ33" s="398">
        <f>IF(BY33=0,0,IF(LEN(BJ33)=11,_xlfn.XLOOKUP(BJ33,'Dispensed Ink Rates'!C:C,'Dispensed Ink Rates'!CS:CS),VLOOKUP(BJ33,'Jan-2026 rates'!$E:$F,2,0)))</f>
        <v>0</v>
      </c>
      <c r="CA33" s="409" t="s">
        <v>1881</v>
      </c>
      <c r="CB33" s="409">
        <f>20+20</f>
        <v>40</v>
      </c>
      <c r="CC33" s="411">
        <f t="shared" si="5"/>
        <v>0</v>
      </c>
      <c r="CD33" s="411">
        <f t="shared" si="6"/>
        <v>8.8043478260869534</v>
      </c>
      <c r="CE33" s="410">
        <f t="shared" si="7"/>
        <v>0</v>
      </c>
      <c r="CF33" s="404" t="s">
        <v>544</v>
      </c>
      <c r="CG33" s="409" t="s">
        <v>2736</v>
      </c>
      <c r="CH33" s="420" t="str">
        <f t="shared" si="8"/>
        <v>ToyoLi - MAGENTA</v>
      </c>
      <c r="CI33" s="409">
        <v>28</v>
      </c>
      <c r="CJ33" s="411">
        <f>IF(CI33=0,0,IF($LB33=70%,VLOOKUP($CH33,'Jan-2026 rates'!$L:$R,4,0),IF($LB33=65%,VLOOKUP($CH33,'Jan-2026 rates'!$L:$R,4,0),IF($LB33=40%,VLOOKUP($CH33,'Jan-2026 rates'!$L:$R,5,0),IF($LB33=30%,VLOOKUP($CH33,'Jan-2026 rates'!$L:$R,6,0),IF($LB33=100%,VLOOKUP($CH33,'Jan-2026 rates'!$L:$R,7,0),IF($LB33=60%,VLOOKUP($CH33,'Jan-2026 rates'!$L:$S,8,0),IF($LB33=80%,VLOOKUP($CH33,'Jan-2026 rates'!L:T,9,0),0))))))))</f>
        <v>0</v>
      </c>
      <c r="CK33" s="412"/>
      <c r="CL33" s="409"/>
      <c r="CM33" s="411">
        <f>IF(CL33=0,0,IF($LB33=70%,VLOOKUP($CH33,'Jan-2026 rates'!$L:$R,4,0),IF($LB33=65%,VLOOKUP($CH33,'Jan-2026 rates'!$L:$R,4,0),IF($LB33=40%,VLOOKUP($CH33,'Jan-2026 rates'!$L:$R,5,0),IF($LB33=30%,VLOOKUP($CH33,'Jan-2026 rates'!$L:$R,6,0),IF($LB33=100%,VLOOKUP($CH33,'Jan-2026 rates'!$L:$R,7,0),IF($LB33=60%,VLOOKUP($CH33,'Jan-2026 rates'!$L:$S,8,0),IF($LB33=80%,VLOOKUP($CH33,'Jan-2026 rates'!L:T,9,0),0))))))))</f>
        <v>0</v>
      </c>
      <c r="CN33" s="426" t="s">
        <v>1246</v>
      </c>
      <c r="CO33" s="427"/>
      <c r="CP33" s="426"/>
      <c r="CQ33" s="426"/>
      <c r="CR33" s="428"/>
      <c r="CS33" s="428"/>
      <c r="CT33" s="428"/>
      <c r="CU33" s="428"/>
      <c r="CV33" s="409">
        <v>4</v>
      </c>
      <c r="CW33" s="398">
        <f>IF(CV33=0,0,IF(LEN(CN33)=11,_xlfn.XLOOKUP(CN33,'Dispensed Ink Rates'!C:C,'Dispensed Ink Rates'!CS:CS),VLOOKUP(CN33,'Jan-2026 rates'!$E:$F,2,0)))</f>
        <v>0</v>
      </c>
      <c r="CX33" s="409"/>
      <c r="CY33" s="398">
        <f>IF(CX33=0,0,IF(LEN(CO33)=11,_xlfn.XLOOKUP(CO33,'Dispensed Ink Rates'!C:C,'Dispensed Ink Rates'!CS:CS),VLOOKUP(CO33,'Jan-2026 rates'!$E:$F,2,0)))</f>
        <v>0</v>
      </c>
      <c r="CZ33" s="409"/>
      <c r="DA33" s="398">
        <f>IF(CZ33=0,0,IF(LEN(CP33)=11,_xlfn.XLOOKUP(CP33,'Dispensed Ink Rates'!C:C,'Dispensed Ink Rates'!CS:CS),VLOOKUP(CP33,'Jan-2026 rates'!$E:$F,2,0)))</f>
        <v>0</v>
      </c>
      <c r="DB33" s="409"/>
      <c r="DC33" s="398">
        <f>IF(DB33=0,0,IF(LEN(CQ33)=11,_xlfn.XLOOKUP(CQ33,'Dispensed Ink Rates'!C:C,'Dispensed Ink Rates'!CS:CS),VLOOKUP(CQ33,'Jan-2026 rates'!$E:$F,2,0)))</f>
        <v>0</v>
      </c>
      <c r="DD33" s="409"/>
      <c r="DE33" s="398">
        <f>IF(DD33=0,0,IF(LEN(CR33)=11,_xlfn.XLOOKUP(CR33,'Dispensed Ink Rates'!C:C,'Dispensed Ink Rates'!CS:CS),VLOOKUP(CR33,'Jan-2026 rates'!$E:$F,2,0)))</f>
        <v>0</v>
      </c>
      <c r="DF33" s="409"/>
      <c r="DG33" s="398">
        <f>IF(DF33=0,0,IF(LEN(CS33)=11,_xlfn.XLOOKUP(CS33,'Dispensed Ink Rates'!C:C,'Dispensed Ink Rates'!CS:CS),VLOOKUP(CS33,'Jan-2026 rates'!$E:$F,2,0)))</f>
        <v>0</v>
      </c>
      <c r="DH33" s="409"/>
      <c r="DI33" s="398">
        <f>IF(DH33=0,0,IF(LEN(CT33)=11,_xlfn.XLOOKUP(CT33,'Dispensed Ink Rates'!C:C,'Dispensed Ink Rates'!CS:CS),VLOOKUP(CT33,'Jan-2026 rates'!$E:$F,2,0)))</f>
        <v>0</v>
      </c>
      <c r="DJ33" s="409"/>
      <c r="DK33" s="398">
        <f>IF(DJ33=0,0,IF(LEN(CU33)=11,_xlfn.XLOOKUP(CU33,'Dispensed Ink Rates'!C:C,'Dispensed Ink Rates'!CS:CS),VLOOKUP(CU33,'Jan-2026 rates'!$E:$F,2,0)))</f>
        <v>0</v>
      </c>
      <c r="DL33" s="409" t="s">
        <v>1881</v>
      </c>
      <c r="DM33" s="409">
        <f>13+17</f>
        <v>30</v>
      </c>
      <c r="DN33" s="411">
        <f t="shared" si="9"/>
        <v>0</v>
      </c>
      <c r="DO33" s="411">
        <f t="shared" si="10"/>
        <v>9.0434782608695627</v>
      </c>
      <c r="DP33" s="410">
        <f t="shared" si="11"/>
        <v>0</v>
      </c>
      <c r="DQ33" s="405" t="s">
        <v>545</v>
      </c>
      <c r="DR33" s="409" t="s">
        <v>2737</v>
      </c>
      <c r="DS33" s="420" t="str">
        <f t="shared" si="12"/>
        <v>ToyoLi - YELLOW</v>
      </c>
      <c r="DT33" s="409">
        <v>28</v>
      </c>
      <c r="DU33" s="411">
        <f>IF(DT33=0,0,IF($LB33=70%,VLOOKUP($DS33,'Jan-2026 rates'!$L:$R,4,0),IF($LB33=65%,VLOOKUP($DS33,'Jan-2026 rates'!$L:$R,4,0),IF($LB33=40%,VLOOKUP($DS33,'Jan-2026 rates'!$L:$R,5,0),IF($LB33=30%,VLOOKUP($DS33,'Jan-2026 rates'!$L:$R,6,0),IF($LB33=100%,VLOOKUP($DS33,'Jan-2026 rates'!$L:$R,7,0),IF($LB33=60%,VLOOKUP($DS33,'Jan-2026 rates'!$L:$S,8,0),IF($LB33=80%,VLOOKUP($DS33,'Jan-2026 rates'!L:T,9,0),0))))))))</f>
        <v>0</v>
      </c>
      <c r="DV33" s="412"/>
      <c r="DW33" s="409"/>
      <c r="DX33" s="411">
        <f>IF(DW33=0,0,IF($LB33=70%,VLOOKUP($DS33,'Jan-2026 rates'!$L:$R,4,0),IF($LB33=65%,VLOOKUP($DS33,'Jan-2026 rates'!$L:$R,4,0),IF($LB33=40%,VLOOKUP($DS33,'Jan-2026 rates'!$L:$R,5,0),IF($LB33=30%,VLOOKUP($DS33,'Jan-2026 rates'!$L:$R,6,0),IF($LB33=100%,VLOOKUP($DS33,'Jan-2026 rates'!$L:$R,7,0),IF($LB33=60%,VLOOKUP($DS33,'Jan-2026 rates'!$L:$S,8,0),IF($LB33=80%,VLOOKUP($DS33,'Jan-2026 rates'!L:T,9,0),0))))))))</f>
        <v>0</v>
      </c>
      <c r="DY33" s="413" t="s">
        <v>1247</v>
      </c>
      <c r="DZ33" s="413"/>
      <c r="EA33" s="412"/>
      <c r="EB33" s="412"/>
      <c r="EC33" s="412"/>
      <c r="ED33" s="412"/>
      <c r="EE33" s="412"/>
      <c r="EF33" s="412"/>
      <c r="EG33" s="409">
        <v>4</v>
      </c>
      <c r="EH33" s="398">
        <f>IF(EG33=0,0,IF(LEN(DY33)=11,_xlfn.XLOOKUP(DY33,'Dispensed Ink Rates'!C:C,'Dispensed Ink Rates'!CS:CS),VLOOKUP(DY33,'Jan-2026 rates'!$E:$F,2,0)))</f>
        <v>0</v>
      </c>
      <c r="EI33" s="409"/>
      <c r="EJ33" s="398">
        <f>IF(EI33=0,0,IF(LEN(DZ33)=11,_xlfn.XLOOKUP(DZ33,'Dispensed Ink Rates'!C:C,'Dispensed Ink Rates'!CS:CS),VLOOKUP(DZ33,'Jan-2026 rates'!$E:$F,2,0)))</f>
        <v>0</v>
      </c>
      <c r="EK33" s="409"/>
      <c r="EL33" s="398">
        <f>IF(EK33=0,0,IF(LEN(EA33)=11,_xlfn.XLOOKUP(EA33,'Dispensed Ink Rates'!C:C,'Dispensed Ink Rates'!CS:CS),VLOOKUP(EA33,'Jan-2026 rates'!$E:$F,2,0)))</f>
        <v>0</v>
      </c>
      <c r="EM33" s="409"/>
      <c r="EN33" s="398">
        <f>IF(EM33=0,0,IF(LEN(EB33)=11,_xlfn.XLOOKUP(EB33,'Dispensed Ink Rates'!C:C,'Dispensed Ink Rates'!CS:CS),VLOOKUP(EB33,'Jan-2026 rates'!$E:$F,2,0)))</f>
        <v>0</v>
      </c>
      <c r="EO33" s="409"/>
      <c r="EP33" s="398">
        <f>IF(EO33=0,0,IF(LEN(EC33)=11,_xlfn.XLOOKUP(EC33,'Dispensed Ink Rates'!C:C,'Dispensed Ink Rates'!CS:CS),VLOOKUP(EC33,'Jan-2026 rates'!$E:$F,2,0)))</f>
        <v>0</v>
      </c>
      <c r="EQ33" s="409"/>
      <c r="ER33" s="398">
        <f>IF(EQ33=0,0,IF(LEN(ED33)=11,_xlfn.XLOOKUP(ED33,'Dispensed Ink Rates'!C:C,'Dispensed Ink Rates'!CS:CS),VLOOKUP(ED33,'Jan-2026 rates'!$E:$F,2,0)))</f>
        <v>0</v>
      </c>
      <c r="ES33" s="409"/>
      <c r="ET33" s="398">
        <f>IF(ES33=0,0,IF(LEN(EE33)=11,_xlfn.XLOOKUP(EE33,'Dispensed Ink Rates'!C:C,'Dispensed Ink Rates'!CS:CS),VLOOKUP(EE33,'Jan-2026 rates'!$E:$F,2,0)))</f>
        <v>0</v>
      </c>
      <c r="EU33" s="409"/>
      <c r="EV33" s="398">
        <f>IF(EU33=0,0,IF(LEN(EF33)=11,_xlfn.XLOOKUP(EF33,'Dispensed Ink Rates'!C:C,'Dispensed Ink Rates'!CS:CS),VLOOKUP(EF33,'Jan-2026 rates'!$E:$F,2,0)))</f>
        <v>0</v>
      </c>
      <c r="EW33" s="409" t="s">
        <v>1881</v>
      </c>
      <c r="EX33" s="409">
        <f>18+9</f>
        <v>27</v>
      </c>
      <c r="EY33" s="411">
        <f t="shared" si="13"/>
        <v>0</v>
      </c>
      <c r="EZ33" s="411">
        <f t="shared" si="14"/>
        <v>8.5217391304347814</v>
      </c>
      <c r="FA33" s="410">
        <f t="shared" si="15"/>
        <v>0</v>
      </c>
      <c r="FB33" s="405" t="s">
        <v>547</v>
      </c>
      <c r="FC33" s="409"/>
      <c r="FD33" s="420" t="str">
        <f t="shared" si="16"/>
        <v>ToyoLi - GREEN</v>
      </c>
      <c r="FE33" s="409"/>
      <c r="FF33" s="411">
        <f>IF(FE33=0,0,IF($LB33=70%,VLOOKUP($FD33,'Jan-2026 rates'!$L:$R,4,0),IF($LB33=65%,VLOOKUP($FD33,'Jan-2026 rates'!$L:$R,4,0),IF($LB33=40%,VLOOKUP($FD33,'Jan-2026 rates'!$L:$R,5,0),IF($LB33=30%,VLOOKUP($FD33,'Jan-2026 rates'!$L:$R,6,0),IF($LB33=100%,VLOOKUP($FD33,'Jan-2026 rates'!$L:$R,7,0),IF($LB33=60%,VLOOKUP($FD33,'Jan-2026 rates'!$L:$S,8,0),IF($LB33=80%,VLOOKUP($FD33,'Jan-2026 rates'!L:T,9,0),0))))))))</f>
        <v>0</v>
      </c>
      <c r="FG33" s="412"/>
      <c r="FH33" s="409"/>
      <c r="FI33" s="411">
        <f>IF(FH33=0,0,IF($LB33=70%,VLOOKUP($FD33,'Jan-2026 rates'!$L:$R,4,0),IF($LB33=65%,VLOOKUP($FD33,'Jan-2026 rates'!$L:$R,4,0),IF($LB33=40%,VLOOKUP($FD33,'Jan-2026 rates'!$L:$R,5,0),IF($LB33=30%,VLOOKUP($FD33,'Jan-2026 rates'!$L:$R,6,0),IF($LB33=100%,VLOOKUP($FD33,'Jan-2026 rates'!$L:$R,7,0),IF($LB33=60%,VLOOKUP($FD33,'Jan-2026 rates'!$L:$S,8,0),IF($LB33=80%,VLOOKUP($FD33,'Jan-2026 rates'!L:T,9,0),0))))))))</f>
        <v>0</v>
      </c>
      <c r="FJ33" s="413" t="s">
        <v>1247</v>
      </c>
      <c r="FK33" s="413" t="s">
        <v>1251</v>
      </c>
      <c r="FL33" s="413" t="s">
        <v>1250</v>
      </c>
      <c r="FM33" s="412"/>
      <c r="FN33" s="412"/>
      <c r="FO33" s="412"/>
      <c r="FP33" s="412"/>
      <c r="FQ33" s="412"/>
      <c r="FR33" s="409">
        <f>20+5+8</f>
        <v>33</v>
      </c>
      <c r="FS33" s="398">
        <f>IF(FR33=0,0,IF(LEN(FJ33)=11,_xlfn.XLOOKUP(FJ33,'Dispensed Ink Rates'!C:C,'Dispensed Ink Rates'!CS:CS),VLOOKUP(FJ33,'Jan-2026 rates'!$E:$F,2,0)))</f>
        <v>0</v>
      </c>
      <c r="FT33" s="409">
        <v>2</v>
      </c>
      <c r="FU33" s="398">
        <f>IF(FT33=0,0,IF(LEN(FK33)=11,_xlfn.XLOOKUP(FK33,'Dispensed Ink Rates'!C:C,'Dispensed Ink Rates'!CS:CS),VLOOKUP(FK33,'Jan-2026 rates'!$E:$F,2,0)))</f>
        <v>0</v>
      </c>
      <c r="FV33" s="409">
        <v>0.5</v>
      </c>
      <c r="FW33" s="398">
        <f>IF(FV33=0,0,IF(LEN(FL33)=11,_xlfn.XLOOKUP(FL33,'Dispensed Ink Rates'!C:C,'Dispensed Ink Rates'!CS:CS),VLOOKUP(FL33,'Jan-2026 rates'!$E:$F,2,0)))</f>
        <v>0</v>
      </c>
      <c r="FX33" s="409"/>
      <c r="FY33" s="398">
        <f>IF(FX33=0,0,IF(LEN(FM33)=11,_xlfn.XLOOKUP(FM33,'Dispensed Ink Rates'!C:C,'Dispensed Ink Rates'!CS:CS),VLOOKUP(FM33,'Jan-2026 rates'!$E:$F,2,0)))</f>
        <v>0</v>
      </c>
      <c r="FZ33" s="409"/>
      <c r="GA33" s="398">
        <f>IF(FZ33=0,0,IF(LEN(FN33)=11,_xlfn.XLOOKUP(FN33,'Dispensed Ink Rates'!C:C,'Dispensed Ink Rates'!CS:CS),VLOOKUP(FN33,'Jan-2026 rates'!$E:$F,2,0)))</f>
        <v>0</v>
      </c>
      <c r="GB33" s="409"/>
      <c r="GC33" s="398">
        <f>IF(GB33=0,0,IF(LEN(FO33)=11,_xlfn.XLOOKUP(FO33,'Dispensed Ink Rates'!C:C,'Dispensed Ink Rates'!CS:CS),VLOOKUP(FO33,'Jan-2026 rates'!$E:$F,2,0)))</f>
        <v>0</v>
      </c>
      <c r="GD33" s="409"/>
      <c r="GE33" s="398">
        <f>IF(GD33=0,0,IF(LEN(FP33)=11,_xlfn.XLOOKUP(FP33,'Dispensed Ink Rates'!C:C,'Dispensed Ink Rates'!CS:CS),VLOOKUP(FP33,'Jan-2026 rates'!$E:$F,2,0)))</f>
        <v>0</v>
      </c>
      <c r="GF33" s="409"/>
      <c r="GG33" s="398">
        <f>IF(GF33=0,0,IF(LEN(FQ33)=11,_xlfn.XLOOKUP(FQ33,'Dispensed Ink Rates'!C:C,'Dispensed Ink Rates'!CS:CS),VLOOKUP(FQ33,'Jan-2026 rates'!$E:$F,2,0)))</f>
        <v>0</v>
      </c>
      <c r="GH33" s="409" t="s">
        <v>1881</v>
      </c>
      <c r="GI33" s="409">
        <f>16+18</f>
        <v>34</v>
      </c>
      <c r="GJ33" s="411">
        <f t="shared" si="17"/>
        <v>0</v>
      </c>
      <c r="GK33" s="411">
        <f t="shared" si="18"/>
        <v>19.108695652173914</v>
      </c>
      <c r="GL33" s="410">
        <f t="shared" si="19"/>
        <v>0</v>
      </c>
      <c r="GM33" s="405" t="s">
        <v>856</v>
      </c>
      <c r="GN33" s="409" t="s">
        <v>2738</v>
      </c>
      <c r="GO33" s="420" t="str">
        <f t="shared" si="20"/>
        <v>ToyoLi - WHITE</v>
      </c>
      <c r="GP33" s="409">
        <v>30</v>
      </c>
      <c r="GQ33" s="411">
        <f>IF(GP33=0,0,IF($LB33=70%,VLOOKUP($GO33,'Jan-2026 rates'!$L:$R,4,0),IF($LB33=65%,VLOOKUP($GO33,'Jan-2026 rates'!$L:$R,4,0),IF($LB33=40%,VLOOKUP($GO33,'Jan-2026 rates'!$L:$R,5,0),IF($LB33=30%,VLOOKUP($GO33,'Jan-2026 rates'!$L:$R,6,0),IF($LB33=100%,VLOOKUP($GO33,'Jan-2026 rates'!$L:$R,7,0),IF($LB33=60%,VLOOKUP($GO33,'Jan-2026 rates'!$L:$S,8,0),IF($LB33=80%,VLOOKUP($GO33,'Jan-2026 rates'!L:T,9,0),0))))))))</f>
        <v>0</v>
      </c>
      <c r="GR33" s="412"/>
      <c r="GS33" s="409"/>
      <c r="GT33" s="411">
        <f>IF(GS33=0,0,IF($LB33=70%,VLOOKUP($GO33,'Jan-2026 rates'!$L:$R,4,0),IF($LB33=65%,VLOOKUP($GO33,'Jan-2026 rates'!$L:$R,4,0),IF($LB33=40%,VLOOKUP($GO33,'Jan-2026 rates'!$L:$R,5,0),IF($LB33=30%,VLOOKUP($GO33,'Jan-2026 rates'!$L:$R,6,0),IF($LB33=100%,VLOOKUP($GO33,'Jan-2026 rates'!$L:$R,7,0),IF($LB33=60%,VLOOKUP($GO33,'Jan-2026 rates'!$L:$S,8,0),IF($LB33=80%,VLOOKUP($GO33,'Jan-2026 rates'!L:T,9,0),0))))))))</f>
        <v>0</v>
      </c>
      <c r="GU33" s="413" t="s">
        <v>1249</v>
      </c>
      <c r="GV33" s="413" t="s">
        <v>1122</v>
      </c>
      <c r="GW33" s="412"/>
      <c r="GX33" s="412"/>
      <c r="GY33" s="412"/>
      <c r="GZ33" s="412"/>
      <c r="HA33" s="412"/>
      <c r="HB33" s="412"/>
      <c r="HC33" s="409">
        <v>40</v>
      </c>
      <c r="HD33" s="398">
        <f>IF(HC33=0,0,IF(LEN(GU33)=11,_xlfn.XLOOKUP(GU33,'Dispensed Ink Rates'!C:C,'Dispensed Ink Rates'!CS:CS),VLOOKUP(GU33,'Jan-2026 rates'!$E:$F,2,0)))</f>
        <v>0</v>
      </c>
      <c r="HE33" s="409">
        <v>5.0999999999999996</v>
      </c>
      <c r="HF33" s="398">
        <f>IF(HE33=0,0,IF(LEN(GV33)=11,_xlfn.XLOOKUP(GV33,'Dispensed Ink Rates'!C:C,'Dispensed Ink Rates'!CS:CS),VLOOKUP(GV33,'Jan-2026 rates'!$E:$F,2,0)))</f>
        <v>0</v>
      </c>
      <c r="HG33" s="409"/>
      <c r="HH33" s="398">
        <f>IF(HG33=0,0,IF(LEN(GW33)=11,_xlfn.XLOOKUP(GW33,'Dispensed Ink Rates'!C:C,'Dispensed Ink Rates'!CS:CS),VLOOKUP(GW33,'Jan-2026 rates'!$E:$F,2,0)))</f>
        <v>0</v>
      </c>
      <c r="HI33" s="409"/>
      <c r="HJ33" s="398">
        <f>IF(HI33=0,0,IF(LEN(GX33)=11,_xlfn.XLOOKUP(GX33,'Dispensed Ink Rates'!C:C,'Dispensed Ink Rates'!CS:CS),VLOOKUP(GX33,'Jan-2026 rates'!$E:$F,2,0)))</f>
        <v>0</v>
      </c>
      <c r="HK33" s="409"/>
      <c r="HL33" s="398">
        <f>IF(HK33=0,0,IF(LEN(GY33)=11,_xlfn.XLOOKUP(GY33,'Dispensed Ink Rates'!C:C,'Dispensed Ink Rates'!CS:CS),VLOOKUP(GY33,'Jan-2026 rates'!$E:$F,2,0)))</f>
        <v>0</v>
      </c>
      <c r="HM33" s="409"/>
      <c r="HN33" s="398">
        <f>IF(HM33=0,0,IF(LEN(GZ33)=11,_xlfn.XLOOKUP(GZ33,'Dispensed Ink Rates'!C:C,'Dispensed Ink Rates'!CS:CS),VLOOKUP(GZ33,'Jan-2026 rates'!$E:$F,2,0)))</f>
        <v>0</v>
      </c>
      <c r="HO33" s="409"/>
      <c r="HP33" s="398">
        <f>IF(HO33=0,0,IF(LEN(HA33)=11,_xlfn.XLOOKUP(HA33,'Dispensed Ink Rates'!C:C,'Dispensed Ink Rates'!CS:CS),VLOOKUP(HA33,'Jan-2026 rates'!$E:$F,2,0)))</f>
        <v>0</v>
      </c>
      <c r="HQ33" s="409"/>
      <c r="HR33" s="398">
        <f>IF(HQ33=0,0,IF(LEN(HB33)=11,_xlfn.XLOOKUP(HB33,'Dispensed Ink Rates'!C:C,'Dispensed Ink Rates'!CS:CS),VLOOKUP(HB33,'Jan-2026 rates'!$E:$F,2,0)))</f>
        <v>0</v>
      </c>
      <c r="HS33" s="409" t="s">
        <v>1881</v>
      </c>
      <c r="HT33" s="409">
        <v>25</v>
      </c>
      <c r="HU33" s="411">
        <f t="shared" si="21"/>
        <v>0</v>
      </c>
      <c r="HV33" s="411">
        <f t="shared" si="22"/>
        <v>85.317391304347822</v>
      </c>
      <c r="HW33" s="414">
        <f t="shared" si="23"/>
        <v>0</v>
      </c>
      <c r="HX33" s="405"/>
      <c r="HY33" s="409"/>
      <c r="HZ33" s="420" t="str">
        <f t="shared" si="24"/>
        <v xml:space="preserve"> - </v>
      </c>
      <c r="IA33" s="409"/>
      <c r="IB33" s="411">
        <f>IF(IA33=0,0,IF($LB33=70%,VLOOKUP($HZ33,'Jan-2026 rates'!$L:$R,4,0),IF($LB33=65%,VLOOKUP($HZ33,'Jan-2026 rates'!$L:$R,4,0),IF($LB33=40%,VLOOKUP($HZ33,'Jan-2026 rates'!$L:$R,5,0),IF($LB33=30%,VLOOKUP($HZ33,'Jan-2026 rates'!$L:$R,6,0),IF($LB33=100%,VLOOKUP($HZ33,'Jan-2026 rates'!$L:$R,7,0),IF($LB33=60%,VLOOKUP($HZ33,'Jan-2026 rates'!$L:$S,8,0),IF($LB33=80%,VLOOKUP($HZ33,'Jan-2026 rates'!L:T,9,0),0))))))))</f>
        <v>0</v>
      </c>
      <c r="IC33" s="412"/>
      <c r="ID33" s="409"/>
      <c r="IE33" s="411">
        <f>IF(ID33=0,0,IF($LB33=70%,VLOOKUP($HZ33,'Jan-2026 rates'!$L:$R,4,0),IF($LB33=65%,VLOOKUP($HZ33,'Jan-2026 rates'!$L:$R,4,0),IF($LB33=40%,VLOOKUP($HZ33,'Jan-2026 rates'!$L:$R,5,0),IF($LB33=30%,VLOOKUP($HZ33,'Jan-2026 rates'!$L:$R,6,0),IF($LB33=100%,VLOOKUP($HZ33,'Jan-2026 rates'!$L:$R,7,0),IF($LB33=60%,VLOOKUP($HZ33,'Jan-2026 rates'!$L:$S,8,0),IF($LB33=80%,VLOOKUP($HZ33,'Jan-2026 rates'!L:T,9,0),0))))))))</f>
        <v>0</v>
      </c>
      <c r="IF33" s="412"/>
      <c r="IG33" s="413"/>
      <c r="IH33" s="412"/>
      <c r="II33" s="412"/>
      <c r="IJ33" s="412"/>
      <c r="IK33" s="412"/>
      <c r="IL33" s="412"/>
      <c r="IM33" s="412"/>
      <c r="IN33" s="409"/>
      <c r="IO33" s="398">
        <f>IF(IN33=0,0,IF(LEN(IF33)=11,_xlfn.XLOOKUP(IF33,'Dispensed Ink Rates'!C:C,'Dispensed Ink Rates'!CS:CS),VLOOKUP(IF33,'Jan-2026 rates'!$E:$F,2,0)))</f>
        <v>0</v>
      </c>
      <c r="IP33" s="409"/>
      <c r="IQ33" s="398">
        <f>IF(IP33=0,0,IF(LEN(IG33)=11,_xlfn.XLOOKUP(IG33,'Dispensed Ink Rates'!C:C,'Dispensed Ink Rates'!CS:CS),VLOOKUP(IG33,'Jan-2026 rates'!$E:$F,2,0)))</f>
        <v>0</v>
      </c>
      <c r="IR33" s="409"/>
      <c r="IS33" s="398">
        <f>IF(IR33=0,0,IF(LEN(IH33)=11,_xlfn.XLOOKUP(IH33,'Dispensed Ink Rates'!C:C,'Dispensed Ink Rates'!CS:CS),VLOOKUP(IH33,'Jan-2026 rates'!$E:$F,2,0)))</f>
        <v>0</v>
      </c>
      <c r="IT33" s="409"/>
      <c r="IU33" s="398">
        <f>IF(IT33=0,0,IF(LEN(II33)=11,_xlfn.XLOOKUP(II33,'Dispensed Ink Rates'!C:C,'Dispensed Ink Rates'!CS:CS),VLOOKUP(II33,'Jan-2026 rates'!$E:$F,2,0)))</f>
        <v>0</v>
      </c>
      <c r="IV33" s="409"/>
      <c r="IW33" s="398">
        <f>IF(IV33=0,0,IF(LEN(IJ33)=11,_xlfn.XLOOKUP(IJ33,'Dispensed Ink Rates'!C:C,'Dispensed Ink Rates'!CS:CS),VLOOKUP(IJ33,'Jan-2026 rates'!$E:$F,2,0)))</f>
        <v>0</v>
      </c>
      <c r="IX33" s="409"/>
      <c r="IY33" s="398">
        <f>IF(IX33=0,0,IF(LEN(IK33)=11,_xlfn.XLOOKUP(IK33,'Dispensed Ink Rates'!C:C,'Dispensed Ink Rates'!CS:CS),VLOOKUP(IK33,'Jan-2026 rates'!$E:$F,2,0)))</f>
        <v>0</v>
      </c>
      <c r="IZ33" s="409"/>
      <c r="JA33" s="398">
        <f>IF(IZ33=0,0,IF(LEN(IL33)=11,_xlfn.XLOOKUP(IL33,'Dispensed Ink Rates'!C:C,'Dispensed Ink Rates'!CS:CS),VLOOKUP(IL33,'Jan-2026 rates'!$E:$F,2,0)))</f>
        <v>0</v>
      </c>
      <c r="JB33" s="409"/>
      <c r="JC33" s="398">
        <f>IF(JB33=0,0,IF(LEN(IM33)=11,_xlfn.XLOOKUP(IM33,'Dispensed Ink Rates'!C:C,'Dispensed Ink Rates'!CS:CS),VLOOKUP(IM33,'Jan-2026 rates'!$E:$F,2,0)))</f>
        <v>0</v>
      </c>
      <c r="JD33" s="409"/>
      <c r="JE33" s="409"/>
      <c r="JF33" s="411">
        <f t="shared" si="25"/>
        <v>0</v>
      </c>
      <c r="JG33" s="411">
        <f t="shared" si="26"/>
        <v>0</v>
      </c>
      <c r="JH33" s="410">
        <f t="shared" si="27"/>
        <v>0</v>
      </c>
      <c r="JI33" s="405"/>
      <c r="JJ33" s="409"/>
      <c r="JK33" s="420" t="str">
        <f t="shared" si="28"/>
        <v xml:space="preserve"> - </v>
      </c>
      <c r="JL33" s="409"/>
      <c r="JM33" s="411">
        <f>IF(JL33=0,0,IF($LB33=70%,VLOOKUP($JK33,'Jan-2026 rates'!$L:$R,4,0),IF($LB33=65%,VLOOKUP($JK33,'Jan-2026 rates'!$L:$R,4,0),IF($LB33=40%,VLOOKUP($JK33,'Jan-2026 rates'!$L:$R,5,0),IF($LB33=30%,VLOOKUP($JK33,'Jan-2026 rates'!$L:$R,6,0),IF($LB33=100%,VLOOKUP($JK33,'Jan-2026 rates'!$L:$R,7,0),IF($LB33=60%,VLOOKUP($JK33,'Jan-2026 rates'!$L:$S,8,0),IF($LB33=80%,VLOOKUP($JK33,'Jan-2026 rates'!L:T,9,0),0))))))))</f>
        <v>0</v>
      </c>
      <c r="JN33" s="412"/>
      <c r="JO33" s="409"/>
      <c r="JP33" s="411">
        <f>IF(JO33=0,0,IF($LB33=70%,VLOOKUP($JK33,'Jan-2026 rates'!$L:$R,4,0),IF($LB33=65%,VLOOKUP($JK33,'Jan-2026 rates'!$L:$R,4,0),IF($LB33=40%,VLOOKUP($JK33,'Jan-2026 rates'!$L:$R,5,0),IF($LB33=30%,VLOOKUP($JK33,'Jan-2026 rates'!$L:$R,6,0),IF($LB33=100%,VLOOKUP($JK33,'Jan-2026 rates'!$L:$R,7,0),IF($LB33=60%,VLOOKUP($JK33,'Jan-2026 rates'!$L:$S,8,0),IF($LB33=80%,VLOOKUP($JK33,'Jan-2026 rates'!L:T,9,0),0))))))))</f>
        <v>0</v>
      </c>
      <c r="JQ33" s="413"/>
      <c r="JR33" s="412"/>
      <c r="JS33" s="413"/>
      <c r="JT33" s="413"/>
      <c r="JU33" s="412"/>
      <c r="JV33" s="412"/>
      <c r="JW33" s="412"/>
      <c r="JX33" s="412"/>
      <c r="JY33" s="409"/>
      <c r="JZ33" s="398">
        <f>IF(JY33=0,0,IF(LEN(JQ33)=11,_xlfn.XLOOKUP(JQ33,'Dispensed Ink Rates'!C:C,'Dispensed Ink Rates'!CS:CS),VLOOKUP(JQ33,'Jan-2026 rates'!$E:$F,2,0)))</f>
        <v>0</v>
      </c>
      <c r="KA33" s="409"/>
      <c r="KB33" s="398">
        <f>IF(KA33=0,0,IF(LEN(JR33)=11,_xlfn.XLOOKUP(JR33,'Dispensed Ink Rates'!C:C,'Dispensed Ink Rates'!CS:CS),VLOOKUP(JR33,'Jan-2026 rates'!$E:$F,2,0)))</f>
        <v>0</v>
      </c>
      <c r="KC33" s="409"/>
      <c r="KD33" s="398">
        <f>IF(KC33=0,0,IF(LEN(JS33)=11,_xlfn.XLOOKUP(JS33,'Dispensed Ink Rates'!C:C,'Dispensed Ink Rates'!CS:CS),VLOOKUP(JS33,'Jan-2026 rates'!$E:$F,2,0)))</f>
        <v>0</v>
      </c>
      <c r="KE33" s="409"/>
      <c r="KF33" s="398">
        <f>IF(KE33=0,0,IF(LEN(JT33)=11,_xlfn.XLOOKUP(JT33,'Dispensed Ink Rates'!C:C,'Dispensed Ink Rates'!CS:CS),VLOOKUP(JT33,'Jan-2026 rates'!$E:$F,2,0)))</f>
        <v>0</v>
      </c>
      <c r="KG33" s="409"/>
      <c r="KH33" s="398">
        <f>IF(KG33=0,0,IF(LEN(JU33)=11,_xlfn.XLOOKUP(JU33,'Dispensed Ink Rates'!C:C,'Dispensed Ink Rates'!CS:CS),VLOOKUP(JU33,'Jan-2026 rates'!$E:$F,2,0)))</f>
        <v>0</v>
      </c>
      <c r="KI33" s="409"/>
      <c r="KJ33" s="398">
        <f>IF(KI33=0,0,IF(LEN(JV33)=11,_xlfn.XLOOKUP(JV33,'Dispensed Ink Rates'!C:C,'Dispensed Ink Rates'!CS:CS),VLOOKUP(JV33,'Jan-2026 rates'!$E:$F,2,0)))</f>
        <v>0</v>
      </c>
      <c r="KK33" s="409"/>
      <c r="KL33" s="398">
        <f>IF(KK33=0,0,IF(LEN(JW33)=11,_xlfn.XLOOKUP(JW33,'Dispensed Ink Rates'!C:C,'Dispensed Ink Rates'!CS:CS),VLOOKUP(JW33,'Jan-2026 rates'!$E:$F,2,0)))</f>
        <v>0</v>
      </c>
      <c r="KM33" s="428"/>
      <c r="KN33" s="398">
        <f>IF(KM33=0,0,IF(LEN(JX33)=11,_xlfn.XLOOKUP(JX33,'Dispensed Ink Rates'!C:C,'Dispensed Ink Rates'!CS:CS),VLOOKUP(JX33,'Jan-2026 rates'!$E:$F,2,0)))</f>
        <v>0</v>
      </c>
      <c r="KO33" s="409"/>
      <c r="KP33" s="409"/>
      <c r="KQ33" s="411">
        <f t="shared" si="29"/>
        <v>0</v>
      </c>
      <c r="KR33" s="411">
        <f t="shared" si="30"/>
        <v>0</v>
      </c>
      <c r="KS33" s="410">
        <f t="shared" si="31"/>
        <v>0</v>
      </c>
      <c r="KT33" s="409">
        <v>5</v>
      </c>
      <c r="KU33" s="409">
        <v>5</v>
      </c>
      <c r="KV33" s="409">
        <v>4</v>
      </c>
      <c r="KW33" s="409">
        <v>2</v>
      </c>
      <c r="KX33" s="409">
        <v>10</v>
      </c>
      <c r="KY33" s="409">
        <v>20</v>
      </c>
      <c r="KZ33" s="409">
        <v>0</v>
      </c>
      <c r="LA33" s="409">
        <v>0</v>
      </c>
      <c r="LB33" s="415">
        <v>0.3</v>
      </c>
      <c r="LC33" s="415"/>
      <c r="LD33" s="415"/>
      <c r="LE33" s="415">
        <v>0.5</v>
      </c>
      <c r="LF33" s="415">
        <v>0.2</v>
      </c>
      <c r="LG33" s="409">
        <v>0</v>
      </c>
      <c r="LH33" s="409">
        <f>20+20+9+15+5+5+1+6</f>
        <v>81</v>
      </c>
      <c r="LI33" s="409">
        <v>0</v>
      </c>
      <c r="LJ33" s="409">
        <v>0</v>
      </c>
      <c r="LK33" s="416">
        <f t="shared" si="32"/>
        <v>81</v>
      </c>
      <c r="LL33" s="416">
        <f t="shared" si="33"/>
        <v>81</v>
      </c>
      <c r="LM33" s="417">
        <f t="shared" si="34"/>
        <v>24.3</v>
      </c>
      <c r="LN33" s="417">
        <f>VLOOKUP($LM$8,'Jan-2026 rates'!$H:$I,2,0)</f>
        <v>0</v>
      </c>
      <c r="LO33" s="417">
        <f t="shared" si="35"/>
        <v>0</v>
      </c>
      <c r="LP33" s="417">
        <f>VLOOKUP($LO$8,'Jan-2026 rates'!$H:$I,2,0)</f>
        <v>0</v>
      </c>
      <c r="LQ33" s="417">
        <f t="shared" si="36"/>
        <v>0</v>
      </c>
      <c r="LR33" s="417">
        <f>VLOOKUP($LQ$8,'Jan-2026 rates'!$H:$I,2,0)</f>
        <v>0</v>
      </c>
      <c r="LS33" s="417">
        <f t="shared" si="37"/>
        <v>40.5</v>
      </c>
      <c r="LT33" s="417">
        <f>VLOOKUP($LS$8,'Jan-2026 rates'!$H:$I,2,0)</f>
        <v>0</v>
      </c>
      <c r="LU33" s="417">
        <f t="shared" si="38"/>
        <v>16.2</v>
      </c>
      <c r="LV33" s="417">
        <f>VLOOKUP($LU$8,'Jan-2026 rates'!$H:$I,2,0)</f>
        <v>0</v>
      </c>
      <c r="LW33" s="417">
        <f t="shared" si="39"/>
        <v>0</v>
      </c>
      <c r="LX33" s="417">
        <f t="shared" si="40"/>
        <v>0</v>
      </c>
      <c r="LY33" s="418">
        <f t="shared" si="41"/>
        <v>0</v>
      </c>
      <c r="LZ33" s="417"/>
      <c r="MA33" s="435">
        <f t="shared" si="42"/>
        <v>104.6</v>
      </c>
      <c r="MB33" s="282">
        <f t="shared" si="43"/>
        <v>138.6</v>
      </c>
      <c r="MC33" s="283" t="s">
        <v>1961</v>
      </c>
      <c r="MD33" s="284" t="str">
        <f t="shared" si="44"/>
        <v>ToyoLiToyoLiToyoLiToyoLiToyoLiToyoLi</v>
      </c>
      <c r="ME33" s="293" t="str">
        <f t="shared" si="45"/>
        <v>+</v>
      </c>
      <c r="MF33" s="293" t="str">
        <f t="shared" si="46"/>
        <v>+</v>
      </c>
      <c r="MG33" s="293" t="str">
        <f t="shared" si="47"/>
        <v>+</v>
      </c>
      <c r="MH33" s="293" t="str">
        <f t="shared" si="48"/>
        <v>+</v>
      </c>
      <c r="MI33" s="293" t="str">
        <f t="shared" si="49"/>
        <v>+</v>
      </c>
      <c r="MJ33" s="293" t="str">
        <f t="shared" si="50"/>
        <v>+</v>
      </c>
      <c r="MK33" s="293" t="str">
        <f t="shared" si="51"/>
        <v>NIL</v>
      </c>
      <c r="ML33" s="293" t="str">
        <f t="shared" si="52"/>
        <v>NIL</v>
      </c>
      <c r="MM33" s="3" t="b">
        <f t="array" ref="MM33">OR(ME33:ML33="-")</f>
        <v>0</v>
      </c>
      <c r="MN33" s="285"/>
      <c r="MO33" s="401"/>
      <c r="MP33" s="286"/>
      <c r="MQ33" s="286"/>
      <c r="MR33" s="402"/>
      <c r="MS33" s="400"/>
      <c r="NH33" s="422"/>
      <c r="NJ33" s="421"/>
    </row>
    <row r="34" spans="1:374" s="1" customFormat="1" ht="16.5">
      <c r="A34" s="403">
        <v>46027</v>
      </c>
      <c r="B34" s="404" t="s">
        <v>1015</v>
      </c>
      <c r="C34" s="405" t="s">
        <v>2739</v>
      </c>
      <c r="D34" s="406" t="s">
        <v>1962</v>
      </c>
      <c r="E34" s="404">
        <v>144</v>
      </c>
      <c r="F34" s="407">
        <v>9400</v>
      </c>
      <c r="G34" s="407" t="s">
        <v>1016</v>
      </c>
      <c r="H34" s="408" t="s">
        <v>1017</v>
      </c>
      <c r="I34" s="409">
        <v>0.49</v>
      </c>
      <c r="J34" s="405" t="s">
        <v>543</v>
      </c>
      <c r="K34" s="404" t="s">
        <v>2740</v>
      </c>
      <c r="L34" s="419" t="str">
        <f t="shared" si="0"/>
        <v>ToyoLi - BLACK</v>
      </c>
      <c r="M34" s="404">
        <v>15</v>
      </c>
      <c r="N34" s="410">
        <f>IF(M34=0,0,IF($LB34=70%,VLOOKUP($L34,'Jan-2026 rates'!$L:$R,4,0),IF($LB34=65%,VLOOKUP($L34,'Jan-2026 rates'!$L:$R,4,0),IF($LB34=40%,VLOOKUP($L34,'Jan-2026 rates'!$L:$R,5,0),IF($LB34=30%,VLOOKUP($L34,'Jan-2026 rates'!$L:$R,6,0),IF($LB34=100%,VLOOKUP($L34,'Jan-2026 rates'!$L:$R,7,0),IF($LB34=60%,VLOOKUP($L34,'Jan-2026 rates'!$L:$S,8,0),IF($LB34=80%,VLOOKUP($L34,'Jan-2026 rates'!L:T,9,0),0))))))))</f>
        <v>0</v>
      </c>
      <c r="O34" s="406"/>
      <c r="P34" s="404"/>
      <c r="Q34" s="410">
        <f>IF(P34=0,0,IF($LB34=70%,VLOOKUP($L34,'Jan-2026 rates'!$L:$R,4,0),IF($LB34=65%,VLOOKUP($L34,'Jan-2026 rates'!$L:$R,4,0),IF($LB34=40%,VLOOKUP($L34,'Jan-2026 rates'!$L:$R,5,0),IF($LB34=30%,VLOOKUP($L34,'Jan-2026 rates'!$L:$R,6,0),IF($LB34=100%,VLOOKUP($L34,'Jan-2026 rates'!$L:$R,7,0),IF($LB34=60%,VLOOKUP($L34,'Jan-2026 rates'!$L:$S,8,0),IF($LB34=80%,VLOOKUP($L34,'Jan-2026 rates'!L:T,9,0),0))))))))</f>
        <v>0</v>
      </c>
      <c r="R34" s="406" t="s">
        <v>1252</v>
      </c>
      <c r="S34" s="406"/>
      <c r="T34" s="406"/>
      <c r="U34" s="406"/>
      <c r="V34" s="406"/>
      <c r="W34" s="406"/>
      <c r="X34" s="406"/>
      <c r="Y34" s="406"/>
      <c r="Z34" s="404">
        <v>10</v>
      </c>
      <c r="AA34" s="398">
        <f>IF(Z34=0,0,IF(LEN(R34)=11,_xlfn.XLOOKUP(R34,'Dispensed Ink Rates'!C:C,'Dispensed Ink Rates'!CS:CS),VLOOKUP(R34,'Jan-2026 rates'!$E:$F,2,0)))</f>
        <v>0</v>
      </c>
      <c r="AB34" s="404"/>
      <c r="AC34" s="398">
        <f>IF(AB34=0,0,IF(LEN(S34)=11,_xlfn.XLOOKUP(S34,'Dispensed Ink Rates'!C:C,'Dispensed Ink Rates'!CS:CS),VLOOKUP(S34,'Jan-2026 rates'!$E:$F,2,0)))</f>
        <v>0</v>
      </c>
      <c r="AD34" s="404"/>
      <c r="AE34" s="398">
        <f>IF(AD34=0,0,IF(LEN(T34)=11,_xlfn.XLOOKUP(T34,'Dispensed Ink Rates'!C:C,'Dispensed Ink Rates'!CS:CS),VLOOKUP(T34,'Jan-2026 rates'!$E:$F,2,0)))</f>
        <v>0</v>
      </c>
      <c r="AF34" s="404"/>
      <c r="AG34" s="398">
        <f>IF(AF34=0,0,IF(LEN(U34)=11,_xlfn.XLOOKUP(U34,'Dispensed Ink Rates'!C:C,'Dispensed Ink Rates'!CS:CS),VLOOKUP(U34,'Jan-2026 rates'!$E:$F,2,0)))</f>
        <v>0</v>
      </c>
      <c r="AH34" s="404"/>
      <c r="AI34" s="398">
        <f>IF(AH34=0,0,IF(LEN(V34)=11,_xlfn.XLOOKUP(V34,'Dispensed Ink Rates'!C:C,'Dispensed Ink Rates'!CS:CS),VLOOKUP(V34,'Jan-2026 rates'!$E:$F,2,0)))</f>
        <v>0</v>
      </c>
      <c r="AJ34" s="404"/>
      <c r="AK34" s="398">
        <f>IF(AJ34=0,0,IF(LEN(W34)=11,_xlfn.XLOOKUP(W34,'Dispensed Ink Rates'!C:C,'Dispensed Ink Rates'!CS:CS),VLOOKUP(W34,'Jan-2026 rates'!$E:$F,2,0)))</f>
        <v>0</v>
      </c>
      <c r="AL34" s="404"/>
      <c r="AM34" s="398">
        <f>IF(AL34=0,0,IF(LEN(X34)=11,_xlfn.XLOOKUP(X34,'Dispensed Ink Rates'!C:C,'Dispensed Ink Rates'!CS:CS),VLOOKUP(X34,'Jan-2026 rates'!$E:$F,2,0)))</f>
        <v>0</v>
      </c>
      <c r="AN34" s="404"/>
      <c r="AO34" s="398">
        <f>IF(AN34=0,0,IF(LEN(Y34)=11,_xlfn.XLOOKUP(Y34,'Dispensed Ink Rates'!C:C,'Dispensed Ink Rates'!CS:CS),VLOOKUP(Y34,'Jan-2026 rates'!$E:$F,2,0)))</f>
        <v>0</v>
      </c>
      <c r="AP34" s="409" t="s">
        <v>1881</v>
      </c>
      <c r="AQ34" s="409">
        <f>10+14</f>
        <v>24</v>
      </c>
      <c r="AR34" s="410">
        <f t="shared" si="1"/>
        <v>0</v>
      </c>
      <c r="AS34" s="411">
        <f t="shared" si="2"/>
        <v>21</v>
      </c>
      <c r="AT34" s="410">
        <f t="shared" si="3"/>
        <v>0</v>
      </c>
      <c r="AU34" s="405" t="s">
        <v>855</v>
      </c>
      <c r="AV34" s="409" t="s">
        <v>2206</v>
      </c>
      <c r="AW34" s="420" t="str">
        <f t="shared" si="4"/>
        <v>ToyoLi - CYAN</v>
      </c>
      <c r="AX34" s="409">
        <v>19</v>
      </c>
      <c r="AY34" s="411">
        <f>IF(AX34=0,0,IF($LB34=70%,VLOOKUP($AW34,'Jan-2026 rates'!$L:$R,4,0),IF($LB34=65%,VLOOKUP($AW34,'Jan-2026 rates'!$L:$R,4,0),IF($LB34=40%,VLOOKUP($AW34,'Jan-2026 rates'!$L:$R,5,0),IF($LB34=30%,VLOOKUP($AW34,'Jan-2026 rates'!$L:$R,6,0),IF($LB34=100%,VLOOKUP($AW34,'Jan-2026 rates'!$L:$R,7,0),IF($LB34=60%,VLOOKUP($AW34,'Jan-2026 rates'!$L:$S,8,0),IF($LB34=80%,VLOOKUP($AW34,'Jan-2026 rates'!L:T,9,0),0))))))))</f>
        <v>0</v>
      </c>
      <c r="AZ34" s="412" t="s">
        <v>2741</v>
      </c>
      <c r="BA34" s="409">
        <v>4</v>
      </c>
      <c r="BB34" s="411">
        <f>IF(BA34=0,0,IF($LB34=70%,VLOOKUP($AW34,'Jan-2026 rates'!$L:$R,4,0),IF($LB34=65%,VLOOKUP($AW34,'Jan-2026 rates'!$L:$R,4,0),IF($LB34=40%,VLOOKUP($AW34,'Jan-2026 rates'!$L:$R,5,0),IF($LB34=30%,VLOOKUP($AW34,'Jan-2026 rates'!$L:$R,6,0),IF($LB34=100%,VLOOKUP($AW34,'Jan-2026 rates'!$L:$R,7,0),IF($LB34=60%,VLOOKUP($AW34,'Jan-2026 rates'!$L:$S,8,0),IF($LB34=80%,VLOOKUP($AW34,'Jan-2026 rates'!L:T,9,0),0))))))))</f>
        <v>0</v>
      </c>
      <c r="BC34" s="413" t="s">
        <v>1250</v>
      </c>
      <c r="BD34" s="412" t="s">
        <v>1921</v>
      </c>
      <c r="BE34" s="412"/>
      <c r="BF34" s="413"/>
      <c r="BG34" s="412"/>
      <c r="BH34" s="412"/>
      <c r="BI34" s="412"/>
      <c r="BJ34" s="412"/>
      <c r="BK34" s="409">
        <v>8</v>
      </c>
      <c r="BL34" s="398">
        <f>IF(BK34=0,0,IF(LEN(BC34)=11,_xlfn.XLOOKUP(BC34,'Dispensed Ink Rates'!C:C,'Dispensed Ink Rates'!CS:CS),VLOOKUP(BC34,'Jan-2026 rates'!$E:$F,2,0)))</f>
        <v>0</v>
      </c>
      <c r="BM34" s="409">
        <v>8</v>
      </c>
      <c r="BN34" s="398">
        <f>IF(BM34=0,0,IF(LEN(BD34)=11,_xlfn.XLOOKUP(BD34,'Dispensed Ink Rates'!C:C,'Dispensed Ink Rates'!CS:CS),VLOOKUP(BD34,'Jan-2026 rates'!$E:$F,2,0)))</f>
        <v>0</v>
      </c>
      <c r="BO34" s="409"/>
      <c r="BP34" s="398">
        <f>IF(BO34=0,0,IF(LEN(BE34)=11,_xlfn.XLOOKUP(BE34,'Dispensed Ink Rates'!C:C,'Dispensed Ink Rates'!CS:CS),VLOOKUP(BE34,'Jan-2026 rates'!$E:$F,2,0)))</f>
        <v>0</v>
      </c>
      <c r="BQ34" s="409"/>
      <c r="BR34" s="398">
        <f>IF(BQ34=0,0,IF(LEN(BF34)=11,_xlfn.XLOOKUP(BF34,'Dispensed Ink Rates'!C:C,'Dispensed Ink Rates'!CS:CS),VLOOKUP(BF34,'Jan-2026 rates'!$E:$F,2,0)))</f>
        <v>0</v>
      </c>
      <c r="BS34" s="409"/>
      <c r="BT34" s="398">
        <f>IF(BS34=0,0,IF(LEN(BG34)=11,_xlfn.XLOOKUP(BG34,'Dispensed Ink Rates'!C:C,'Dispensed Ink Rates'!CS:CS),VLOOKUP(BG34,'Jan-2026 rates'!$E:$F,2,0)))</f>
        <v>0</v>
      </c>
      <c r="BU34" s="409"/>
      <c r="BV34" s="398">
        <f>IF(BU34=0,0,IF(LEN(BH34)=11,_xlfn.XLOOKUP(BH34,'Dispensed Ink Rates'!C:C,'Dispensed Ink Rates'!CS:CS),VLOOKUP(BH34,'Jan-2026 rates'!$E:$F,2,0)))</f>
        <v>0</v>
      </c>
      <c r="BW34" s="409"/>
      <c r="BX34" s="398">
        <f>IF(BW34=0,0,IF(LEN(BI34)=11,_xlfn.XLOOKUP(BI34,'Dispensed Ink Rates'!C:C,'Dispensed Ink Rates'!CS:CS),VLOOKUP(BI34,'Jan-2026 rates'!$E:$F,2,0)))</f>
        <v>0</v>
      </c>
      <c r="BY34" s="409"/>
      <c r="BZ34" s="398">
        <f>IF(BY34=0,0,IF(LEN(BJ34)=11,_xlfn.XLOOKUP(BJ34,'Dispensed Ink Rates'!C:C,'Dispensed Ink Rates'!CS:CS),VLOOKUP(BJ34,'Jan-2026 rates'!$E:$F,2,0)))</f>
        <v>0</v>
      </c>
      <c r="CA34" s="409" t="s">
        <v>1881</v>
      </c>
      <c r="CB34" s="409">
        <v>11</v>
      </c>
      <c r="CC34" s="411">
        <f t="shared" si="5"/>
        <v>0</v>
      </c>
      <c r="CD34" s="411">
        <f t="shared" si="6"/>
        <v>48</v>
      </c>
      <c r="CE34" s="410">
        <f t="shared" si="7"/>
        <v>0</v>
      </c>
      <c r="CF34" s="404"/>
      <c r="CG34" s="409"/>
      <c r="CH34" s="420" t="str">
        <f t="shared" si="8"/>
        <v xml:space="preserve"> - </v>
      </c>
      <c r="CI34" s="409"/>
      <c r="CJ34" s="411">
        <f>IF(CI34=0,0,IF($LB34=70%,VLOOKUP($CH34,'Jan-2026 rates'!$L:$R,4,0),IF($LB34=65%,VLOOKUP($CH34,'Jan-2026 rates'!$L:$R,4,0),IF($LB34=40%,VLOOKUP($CH34,'Jan-2026 rates'!$L:$R,5,0),IF($LB34=30%,VLOOKUP($CH34,'Jan-2026 rates'!$L:$R,6,0),IF($LB34=100%,VLOOKUP($CH34,'Jan-2026 rates'!$L:$R,7,0),IF($LB34=60%,VLOOKUP($CH34,'Jan-2026 rates'!$L:$S,8,0),IF($LB34=80%,VLOOKUP($CH34,'Jan-2026 rates'!L:T,9,0),0))))))))</f>
        <v>0</v>
      </c>
      <c r="CK34" s="412"/>
      <c r="CL34" s="409"/>
      <c r="CM34" s="411">
        <f>IF(CL34=0,0,IF($LB34=70%,VLOOKUP($CH34,'Jan-2026 rates'!$L:$R,4,0),IF($LB34=65%,VLOOKUP($CH34,'Jan-2026 rates'!$L:$R,4,0),IF($LB34=40%,VLOOKUP($CH34,'Jan-2026 rates'!$L:$R,5,0),IF($LB34=30%,VLOOKUP($CH34,'Jan-2026 rates'!$L:$R,6,0),IF($LB34=100%,VLOOKUP($CH34,'Jan-2026 rates'!$L:$R,7,0),IF($LB34=60%,VLOOKUP($CH34,'Jan-2026 rates'!$L:$S,8,0),IF($LB34=80%,VLOOKUP($CH34,'Jan-2026 rates'!L:T,9,0),0))))))))</f>
        <v>0</v>
      </c>
      <c r="CN34" s="426"/>
      <c r="CO34" s="427"/>
      <c r="CP34" s="426"/>
      <c r="CQ34" s="426"/>
      <c r="CR34" s="428"/>
      <c r="CS34" s="428"/>
      <c r="CT34" s="428"/>
      <c r="CU34" s="428"/>
      <c r="CV34" s="409"/>
      <c r="CW34" s="398">
        <f>IF(CV34=0,0,IF(LEN(CN34)=11,_xlfn.XLOOKUP(CN34,'Dispensed Ink Rates'!C:C,'Dispensed Ink Rates'!CS:CS),VLOOKUP(CN34,'Jan-2026 rates'!$E:$F,2,0)))</f>
        <v>0</v>
      </c>
      <c r="CX34" s="409"/>
      <c r="CY34" s="398">
        <f>IF(CX34=0,0,IF(LEN(CO34)=11,_xlfn.XLOOKUP(CO34,'Dispensed Ink Rates'!C:C,'Dispensed Ink Rates'!CS:CS),VLOOKUP(CO34,'Jan-2026 rates'!$E:$F,2,0)))</f>
        <v>0</v>
      </c>
      <c r="CZ34" s="409"/>
      <c r="DA34" s="398">
        <f>IF(CZ34=0,0,IF(LEN(CP34)=11,_xlfn.XLOOKUP(CP34,'Dispensed Ink Rates'!C:C,'Dispensed Ink Rates'!CS:CS),VLOOKUP(CP34,'Jan-2026 rates'!$E:$F,2,0)))</f>
        <v>0</v>
      </c>
      <c r="DB34" s="409"/>
      <c r="DC34" s="398">
        <f>IF(DB34=0,0,IF(LEN(CQ34)=11,_xlfn.XLOOKUP(CQ34,'Dispensed Ink Rates'!C:C,'Dispensed Ink Rates'!CS:CS),VLOOKUP(CQ34,'Jan-2026 rates'!$E:$F,2,0)))</f>
        <v>0</v>
      </c>
      <c r="DD34" s="409"/>
      <c r="DE34" s="398">
        <f>IF(DD34=0,0,IF(LEN(CR34)=11,_xlfn.XLOOKUP(CR34,'Dispensed Ink Rates'!C:C,'Dispensed Ink Rates'!CS:CS),VLOOKUP(CR34,'Jan-2026 rates'!$E:$F,2,0)))</f>
        <v>0</v>
      </c>
      <c r="DF34" s="409"/>
      <c r="DG34" s="398">
        <f>IF(DF34=0,0,IF(LEN(CS34)=11,_xlfn.XLOOKUP(CS34,'Dispensed Ink Rates'!C:C,'Dispensed Ink Rates'!CS:CS),VLOOKUP(CS34,'Jan-2026 rates'!$E:$F,2,0)))</f>
        <v>0</v>
      </c>
      <c r="DH34" s="409"/>
      <c r="DI34" s="398">
        <f>IF(DH34=0,0,IF(LEN(CT34)=11,_xlfn.XLOOKUP(CT34,'Dispensed Ink Rates'!C:C,'Dispensed Ink Rates'!CS:CS),VLOOKUP(CT34,'Jan-2026 rates'!$E:$F,2,0)))</f>
        <v>0</v>
      </c>
      <c r="DJ34" s="409"/>
      <c r="DK34" s="398">
        <f>IF(DJ34=0,0,IF(LEN(CU34)=11,_xlfn.XLOOKUP(CU34,'Dispensed Ink Rates'!C:C,'Dispensed Ink Rates'!CS:CS),VLOOKUP(CU34,'Jan-2026 rates'!$E:$F,2,0)))</f>
        <v>0</v>
      </c>
      <c r="DL34" s="409"/>
      <c r="DM34" s="409"/>
      <c r="DN34" s="411">
        <f t="shared" si="9"/>
        <v>0</v>
      </c>
      <c r="DO34" s="411">
        <f t="shared" si="10"/>
        <v>0</v>
      </c>
      <c r="DP34" s="410">
        <f t="shared" si="11"/>
        <v>0</v>
      </c>
      <c r="DQ34" s="405"/>
      <c r="DR34" s="409"/>
      <c r="DS34" s="420" t="str">
        <f t="shared" si="12"/>
        <v xml:space="preserve"> - </v>
      </c>
      <c r="DT34" s="409"/>
      <c r="DU34" s="411">
        <f>IF(DT34=0,0,IF($LB34=70%,VLOOKUP($DS34,'Jan-2026 rates'!$L:$R,4,0),IF($LB34=65%,VLOOKUP($DS34,'Jan-2026 rates'!$L:$R,4,0),IF($LB34=40%,VLOOKUP($DS34,'Jan-2026 rates'!$L:$R,5,0),IF($LB34=30%,VLOOKUP($DS34,'Jan-2026 rates'!$L:$R,6,0),IF($LB34=100%,VLOOKUP($DS34,'Jan-2026 rates'!$L:$R,7,0),IF($LB34=60%,VLOOKUP($DS34,'Jan-2026 rates'!$L:$S,8,0),IF($LB34=80%,VLOOKUP($DS34,'Jan-2026 rates'!L:T,9,0),0))))))))</f>
        <v>0</v>
      </c>
      <c r="DV34" s="412"/>
      <c r="DW34" s="409"/>
      <c r="DX34" s="411">
        <f>IF(DW34=0,0,IF($LB34=70%,VLOOKUP($DS34,'Jan-2026 rates'!$L:$R,4,0),IF($LB34=65%,VLOOKUP($DS34,'Jan-2026 rates'!$L:$R,4,0),IF($LB34=40%,VLOOKUP($DS34,'Jan-2026 rates'!$L:$R,5,0),IF($LB34=30%,VLOOKUP($DS34,'Jan-2026 rates'!$L:$R,6,0),IF($LB34=100%,VLOOKUP($DS34,'Jan-2026 rates'!$L:$R,7,0),IF($LB34=60%,VLOOKUP($DS34,'Jan-2026 rates'!$L:$S,8,0),IF($LB34=80%,VLOOKUP($DS34,'Jan-2026 rates'!L:T,9,0),0))))))))</f>
        <v>0</v>
      </c>
      <c r="DY34" s="413"/>
      <c r="DZ34" s="413"/>
      <c r="EA34" s="412"/>
      <c r="EB34" s="412"/>
      <c r="EC34" s="412"/>
      <c r="ED34" s="412"/>
      <c r="EE34" s="412"/>
      <c r="EF34" s="412"/>
      <c r="EG34" s="409"/>
      <c r="EH34" s="398">
        <f>IF(EG34=0,0,IF(LEN(DY34)=11,_xlfn.XLOOKUP(DY34,'Dispensed Ink Rates'!C:C,'Dispensed Ink Rates'!CS:CS),VLOOKUP(DY34,'Jan-2026 rates'!$E:$F,2,0)))</f>
        <v>0</v>
      </c>
      <c r="EI34" s="409"/>
      <c r="EJ34" s="398">
        <f>IF(EI34=0,0,IF(LEN(DZ34)=11,_xlfn.XLOOKUP(DZ34,'Dispensed Ink Rates'!C:C,'Dispensed Ink Rates'!CS:CS),VLOOKUP(DZ34,'Jan-2026 rates'!$E:$F,2,0)))</f>
        <v>0</v>
      </c>
      <c r="EK34" s="409"/>
      <c r="EL34" s="398">
        <f>IF(EK34=0,0,IF(LEN(EA34)=11,_xlfn.XLOOKUP(EA34,'Dispensed Ink Rates'!C:C,'Dispensed Ink Rates'!CS:CS),VLOOKUP(EA34,'Jan-2026 rates'!$E:$F,2,0)))</f>
        <v>0</v>
      </c>
      <c r="EM34" s="409"/>
      <c r="EN34" s="398">
        <f>IF(EM34=0,0,IF(LEN(EB34)=11,_xlfn.XLOOKUP(EB34,'Dispensed Ink Rates'!C:C,'Dispensed Ink Rates'!CS:CS),VLOOKUP(EB34,'Jan-2026 rates'!$E:$F,2,0)))</f>
        <v>0</v>
      </c>
      <c r="EO34" s="409"/>
      <c r="EP34" s="398">
        <f>IF(EO34=0,0,IF(LEN(EC34)=11,_xlfn.XLOOKUP(EC34,'Dispensed Ink Rates'!C:C,'Dispensed Ink Rates'!CS:CS),VLOOKUP(EC34,'Jan-2026 rates'!$E:$F,2,0)))</f>
        <v>0</v>
      </c>
      <c r="EQ34" s="409"/>
      <c r="ER34" s="398">
        <f>IF(EQ34=0,0,IF(LEN(ED34)=11,_xlfn.XLOOKUP(ED34,'Dispensed Ink Rates'!C:C,'Dispensed Ink Rates'!CS:CS),VLOOKUP(ED34,'Jan-2026 rates'!$E:$F,2,0)))</f>
        <v>0</v>
      </c>
      <c r="ES34" s="409"/>
      <c r="ET34" s="398">
        <f>IF(ES34=0,0,IF(LEN(EE34)=11,_xlfn.XLOOKUP(EE34,'Dispensed Ink Rates'!C:C,'Dispensed Ink Rates'!CS:CS),VLOOKUP(EE34,'Jan-2026 rates'!$E:$F,2,0)))</f>
        <v>0</v>
      </c>
      <c r="EU34" s="409"/>
      <c r="EV34" s="398">
        <f>IF(EU34=0,0,IF(LEN(EF34)=11,_xlfn.XLOOKUP(EF34,'Dispensed Ink Rates'!C:C,'Dispensed Ink Rates'!CS:CS),VLOOKUP(EF34,'Jan-2026 rates'!$E:$F,2,0)))</f>
        <v>0</v>
      </c>
      <c r="EW34" s="409"/>
      <c r="EX34" s="409"/>
      <c r="EY34" s="411">
        <f t="shared" si="13"/>
        <v>0</v>
      </c>
      <c r="EZ34" s="411">
        <f t="shared" si="14"/>
        <v>0</v>
      </c>
      <c r="FA34" s="410">
        <f t="shared" si="15"/>
        <v>0</v>
      </c>
      <c r="FB34" s="405"/>
      <c r="FC34" s="409"/>
      <c r="FD34" s="420" t="str">
        <f t="shared" si="16"/>
        <v xml:space="preserve"> - </v>
      </c>
      <c r="FE34" s="409"/>
      <c r="FF34" s="411">
        <f>IF(FE34=0,0,IF($LB34=70%,VLOOKUP($FD34,'Jan-2026 rates'!$L:$R,4,0),IF($LB34=65%,VLOOKUP($FD34,'Jan-2026 rates'!$L:$R,4,0),IF($LB34=40%,VLOOKUP($FD34,'Jan-2026 rates'!$L:$R,5,0),IF($LB34=30%,VLOOKUP($FD34,'Jan-2026 rates'!$L:$R,6,0),IF($LB34=100%,VLOOKUP($FD34,'Jan-2026 rates'!$L:$R,7,0),IF($LB34=60%,VLOOKUP($FD34,'Jan-2026 rates'!$L:$S,8,0),IF($LB34=80%,VLOOKUP($FD34,'Jan-2026 rates'!L:T,9,0),0))))))))</f>
        <v>0</v>
      </c>
      <c r="FG34" s="412"/>
      <c r="FH34" s="409"/>
      <c r="FI34" s="411">
        <f>IF(FH34=0,0,IF($LB34=70%,VLOOKUP($FD34,'Jan-2026 rates'!$L:$R,4,0),IF($LB34=65%,VLOOKUP($FD34,'Jan-2026 rates'!$L:$R,4,0),IF($LB34=40%,VLOOKUP($FD34,'Jan-2026 rates'!$L:$R,5,0),IF($LB34=30%,VLOOKUP($FD34,'Jan-2026 rates'!$L:$R,6,0),IF($LB34=100%,VLOOKUP($FD34,'Jan-2026 rates'!$L:$R,7,0),IF($LB34=60%,VLOOKUP($FD34,'Jan-2026 rates'!$L:$S,8,0),IF($LB34=80%,VLOOKUP($FD34,'Jan-2026 rates'!L:T,9,0),0))))))))</f>
        <v>0</v>
      </c>
      <c r="FJ34" s="413"/>
      <c r="FK34" s="413"/>
      <c r="FL34" s="413"/>
      <c r="FM34" s="412"/>
      <c r="FN34" s="412"/>
      <c r="FO34" s="412"/>
      <c r="FP34" s="412"/>
      <c r="FQ34" s="412"/>
      <c r="FR34" s="409"/>
      <c r="FS34" s="398">
        <f>IF(FR34=0,0,IF(LEN(FJ34)=11,_xlfn.XLOOKUP(FJ34,'Dispensed Ink Rates'!C:C,'Dispensed Ink Rates'!CS:CS),VLOOKUP(FJ34,'Jan-2026 rates'!$E:$F,2,0)))</f>
        <v>0</v>
      </c>
      <c r="FT34" s="409"/>
      <c r="FU34" s="398">
        <f>IF(FT34=0,0,IF(LEN(FK34)=11,_xlfn.XLOOKUP(FK34,'Dispensed Ink Rates'!C:C,'Dispensed Ink Rates'!CS:CS),VLOOKUP(FK34,'Jan-2026 rates'!$E:$F,2,0)))</f>
        <v>0</v>
      </c>
      <c r="FV34" s="409"/>
      <c r="FW34" s="398">
        <f>IF(FV34=0,0,IF(LEN(FL34)=11,_xlfn.XLOOKUP(FL34,'Dispensed Ink Rates'!C:C,'Dispensed Ink Rates'!CS:CS),VLOOKUP(FL34,'Jan-2026 rates'!$E:$F,2,0)))</f>
        <v>0</v>
      </c>
      <c r="FX34" s="409"/>
      <c r="FY34" s="398">
        <f>IF(FX34=0,0,IF(LEN(FM34)=11,_xlfn.XLOOKUP(FM34,'Dispensed Ink Rates'!C:C,'Dispensed Ink Rates'!CS:CS),VLOOKUP(FM34,'Jan-2026 rates'!$E:$F,2,0)))</f>
        <v>0</v>
      </c>
      <c r="FZ34" s="409"/>
      <c r="GA34" s="398">
        <f>IF(FZ34=0,0,IF(LEN(FN34)=11,_xlfn.XLOOKUP(FN34,'Dispensed Ink Rates'!C:C,'Dispensed Ink Rates'!CS:CS),VLOOKUP(FN34,'Jan-2026 rates'!$E:$F,2,0)))</f>
        <v>0</v>
      </c>
      <c r="GB34" s="409"/>
      <c r="GC34" s="398">
        <f>IF(GB34=0,0,IF(LEN(FO34)=11,_xlfn.XLOOKUP(FO34,'Dispensed Ink Rates'!C:C,'Dispensed Ink Rates'!CS:CS),VLOOKUP(FO34,'Jan-2026 rates'!$E:$F,2,0)))</f>
        <v>0</v>
      </c>
      <c r="GD34" s="409"/>
      <c r="GE34" s="398">
        <f>IF(GD34=0,0,IF(LEN(FP34)=11,_xlfn.XLOOKUP(FP34,'Dispensed Ink Rates'!C:C,'Dispensed Ink Rates'!CS:CS),VLOOKUP(FP34,'Jan-2026 rates'!$E:$F,2,0)))</f>
        <v>0</v>
      </c>
      <c r="GF34" s="409"/>
      <c r="GG34" s="398">
        <f>IF(GF34=0,0,IF(LEN(FQ34)=11,_xlfn.XLOOKUP(FQ34,'Dispensed Ink Rates'!C:C,'Dispensed Ink Rates'!CS:CS),VLOOKUP(FQ34,'Jan-2026 rates'!$E:$F,2,0)))</f>
        <v>0</v>
      </c>
      <c r="GH34" s="409"/>
      <c r="GI34" s="409"/>
      <c r="GJ34" s="411">
        <f t="shared" si="17"/>
        <v>0</v>
      </c>
      <c r="GK34" s="411">
        <f t="shared" si="18"/>
        <v>0</v>
      </c>
      <c r="GL34" s="410">
        <f t="shared" si="19"/>
        <v>0</v>
      </c>
      <c r="GM34" s="405"/>
      <c r="GN34" s="409"/>
      <c r="GO34" s="420" t="str">
        <f t="shared" si="20"/>
        <v xml:space="preserve"> - </v>
      </c>
      <c r="GP34" s="409"/>
      <c r="GQ34" s="411">
        <f>IF(GP34=0,0,IF($LB34=70%,VLOOKUP($GO34,'Jan-2026 rates'!$L:$R,4,0),IF($LB34=65%,VLOOKUP($GO34,'Jan-2026 rates'!$L:$R,4,0),IF($LB34=40%,VLOOKUP($GO34,'Jan-2026 rates'!$L:$R,5,0),IF($LB34=30%,VLOOKUP($GO34,'Jan-2026 rates'!$L:$R,6,0),IF($LB34=100%,VLOOKUP($GO34,'Jan-2026 rates'!$L:$R,7,0),IF($LB34=60%,VLOOKUP($GO34,'Jan-2026 rates'!$L:$S,8,0),IF($LB34=80%,VLOOKUP($GO34,'Jan-2026 rates'!L:T,9,0),0))))))))</f>
        <v>0</v>
      </c>
      <c r="GR34" s="412"/>
      <c r="GS34" s="409"/>
      <c r="GT34" s="411">
        <f>IF(GS34=0,0,IF($LB34=70%,VLOOKUP($GO34,'Jan-2026 rates'!$L:$R,4,0),IF($LB34=65%,VLOOKUP($GO34,'Jan-2026 rates'!$L:$R,4,0),IF($LB34=40%,VLOOKUP($GO34,'Jan-2026 rates'!$L:$R,5,0),IF($LB34=30%,VLOOKUP($GO34,'Jan-2026 rates'!$L:$R,6,0),IF($LB34=100%,VLOOKUP($GO34,'Jan-2026 rates'!$L:$R,7,0),IF($LB34=60%,VLOOKUP($GO34,'Jan-2026 rates'!$L:$S,8,0),IF($LB34=80%,VLOOKUP($GO34,'Jan-2026 rates'!L:T,9,0),0))))))))</f>
        <v>0</v>
      </c>
      <c r="GU34" s="413"/>
      <c r="GV34" s="413"/>
      <c r="GW34" s="412"/>
      <c r="GX34" s="412"/>
      <c r="GY34" s="412"/>
      <c r="GZ34" s="412"/>
      <c r="HA34" s="412"/>
      <c r="HB34" s="412"/>
      <c r="HC34" s="409"/>
      <c r="HD34" s="398">
        <f>IF(HC34=0,0,IF(LEN(GU34)=11,_xlfn.XLOOKUP(GU34,'Dispensed Ink Rates'!C:C,'Dispensed Ink Rates'!CS:CS),VLOOKUP(GU34,'Jan-2026 rates'!$E:$F,2,0)))</f>
        <v>0</v>
      </c>
      <c r="HE34" s="409"/>
      <c r="HF34" s="398">
        <f>IF(HE34=0,0,IF(LEN(GV34)=11,_xlfn.XLOOKUP(GV34,'Dispensed Ink Rates'!C:C,'Dispensed Ink Rates'!CS:CS),VLOOKUP(GV34,'Jan-2026 rates'!$E:$F,2,0)))</f>
        <v>0</v>
      </c>
      <c r="HG34" s="409"/>
      <c r="HH34" s="398">
        <f>IF(HG34=0,0,IF(LEN(GW34)=11,_xlfn.XLOOKUP(GW34,'Dispensed Ink Rates'!C:C,'Dispensed Ink Rates'!CS:CS),VLOOKUP(GW34,'Jan-2026 rates'!$E:$F,2,0)))</f>
        <v>0</v>
      </c>
      <c r="HI34" s="409"/>
      <c r="HJ34" s="398">
        <f>IF(HI34=0,0,IF(LEN(GX34)=11,_xlfn.XLOOKUP(GX34,'Dispensed Ink Rates'!C:C,'Dispensed Ink Rates'!CS:CS),VLOOKUP(GX34,'Jan-2026 rates'!$E:$F,2,0)))</f>
        <v>0</v>
      </c>
      <c r="HK34" s="409"/>
      <c r="HL34" s="398">
        <f>IF(HK34=0,0,IF(LEN(GY34)=11,_xlfn.XLOOKUP(GY34,'Dispensed Ink Rates'!C:C,'Dispensed Ink Rates'!CS:CS),VLOOKUP(GY34,'Jan-2026 rates'!$E:$F,2,0)))</f>
        <v>0</v>
      </c>
      <c r="HM34" s="409"/>
      <c r="HN34" s="398">
        <f>IF(HM34=0,0,IF(LEN(GZ34)=11,_xlfn.XLOOKUP(GZ34,'Dispensed Ink Rates'!C:C,'Dispensed Ink Rates'!CS:CS),VLOOKUP(GZ34,'Jan-2026 rates'!$E:$F,2,0)))</f>
        <v>0</v>
      </c>
      <c r="HO34" s="409"/>
      <c r="HP34" s="398">
        <f>IF(HO34=0,0,IF(LEN(HA34)=11,_xlfn.XLOOKUP(HA34,'Dispensed Ink Rates'!C:C,'Dispensed Ink Rates'!CS:CS),VLOOKUP(HA34,'Jan-2026 rates'!$E:$F,2,0)))</f>
        <v>0</v>
      </c>
      <c r="HQ34" s="409"/>
      <c r="HR34" s="398">
        <f>IF(HQ34=0,0,IF(LEN(HB34)=11,_xlfn.XLOOKUP(HB34,'Dispensed Ink Rates'!C:C,'Dispensed Ink Rates'!CS:CS),VLOOKUP(HB34,'Jan-2026 rates'!$E:$F,2,0)))</f>
        <v>0</v>
      </c>
      <c r="HS34" s="409"/>
      <c r="HT34" s="409"/>
      <c r="HU34" s="411">
        <f t="shared" si="21"/>
        <v>0</v>
      </c>
      <c r="HV34" s="411">
        <f t="shared" si="22"/>
        <v>0</v>
      </c>
      <c r="HW34" s="414">
        <f t="shared" si="23"/>
        <v>0</v>
      </c>
      <c r="HX34" s="405"/>
      <c r="HY34" s="409"/>
      <c r="HZ34" s="420" t="str">
        <f t="shared" si="24"/>
        <v xml:space="preserve"> - </v>
      </c>
      <c r="IA34" s="409"/>
      <c r="IB34" s="411">
        <f>IF(IA34=0,0,IF($LB34=70%,VLOOKUP($HZ34,'Jan-2026 rates'!$L:$R,4,0),IF($LB34=65%,VLOOKUP($HZ34,'Jan-2026 rates'!$L:$R,4,0),IF($LB34=40%,VLOOKUP($HZ34,'Jan-2026 rates'!$L:$R,5,0),IF($LB34=30%,VLOOKUP($HZ34,'Jan-2026 rates'!$L:$R,6,0),IF($LB34=100%,VLOOKUP($HZ34,'Jan-2026 rates'!$L:$R,7,0),IF($LB34=60%,VLOOKUP($HZ34,'Jan-2026 rates'!$L:$S,8,0),IF($LB34=80%,VLOOKUP($HZ34,'Jan-2026 rates'!L:T,9,0),0))))))))</f>
        <v>0</v>
      </c>
      <c r="IC34" s="412"/>
      <c r="ID34" s="409"/>
      <c r="IE34" s="411">
        <f>IF(ID34=0,0,IF($LB34=70%,VLOOKUP($HZ34,'Jan-2026 rates'!$L:$R,4,0),IF($LB34=65%,VLOOKUP($HZ34,'Jan-2026 rates'!$L:$R,4,0),IF($LB34=40%,VLOOKUP($HZ34,'Jan-2026 rates'!$L:$R,5,0),IF($LB34=30%,VLOOKUP($HZ34,'Jan-2026 rates'!$L:$R,6,0),IF($LB34=100%,VLOOKUP($HZ34,'Jan-2026 rates'!$L:$R,7,0),IF($LB34=60%,VLOOKUP($HZ34,'Jan-2026 rates'!$L:$S,8,0),IF($LB34=80%,VLOOKUP($HZ34,'Jan-2026 rates'!L:T,9,0),0))))))))</f>
        <v>0</v>
      </c>
      <c r="IF34" s="412"/>
      <c r="IG34" s="413"/>
      <c r="IH34" s="412"/>
      <c r="II34" s="412"/>
      <c r="IJ34" s="412"/>
      <c r="IK34" s="412"/>
      <c r="IL34" s="412"/>
      <c r="IM34" s="412"/>
      <c r="IN34" s="409"/>
      <c r="IO34" s="398">
        <f>IF(IN34=0,0,IF(LEN(IF34)=11,_xlfn.XLOOKUP(IF34,'Dispensed Ink Rates'!C:C,'Dispensed Ink Rates'!CS:CS),VLOOKUP(IF34,'Jan-2026 rates'!$E:$F,2,0)))</f>
        <v>0</v>
      </c>
      <c r="IP34" s="409"/>
      <c r="IQ34" s="398">
        <f>IF(IP34=0,0,IF(LEN(IG34)=11,_xlfn.XLOOKUP(IG34,'Dispensed Ink Rates'!C:C,'Dispensed Ink Rates'!CS:CS),VLOOKUP(IG34,'Jan-2026 rates'!$E:$F,2,0)))</f>
        <v>0</v>
      </c>
      <c r="IR34" s="409"/>
      <c r="IS34" s="398">
        <f>IF(IR34=0,0,IF(LEN(IH34)=11,_xlfn.XLOOKUP(IH34,'Dispensed Ink Rates'!C:C,'Dispensed Ink Rates'!CS:CS),VLOOKUP(IH34,'Jan-2026 rates'!$E:$F,2,0)))</f>
        <v>0</v>
      </c>
      <c r="IT34" s="409"/>
      <c r="IU34" s="398">
        <f>IF(IT34=0,0,IF(LEN(II34)=11,_xlfn.XLOOKUP(II34,'Dispensed Ink Rates'!C:C,'Dispensed Ink Rates'!CS:CS),VLOOKUP(II34,'Jan-2026 rates'!$E:$F,2,0)))</f>
        <v>0</v>
      </c>
      <c r="IV34" s="409"/>
      <c r="IW34" s="398">
        <f>IF(IV34=0,0,IF(LEN(IJ34)=11,_xlfn.XLOOKUP(IJ34,'Dispensed Ink Rates'!C:C,'Dispensed Ink Rates'!CS:CS),VLOOKUP(IJ34,'Jan-2026 rates'!$E:$F,2,0)))</f>
        <v>0</v>
      </c>
      <c r="IX34" s="409"/>
      <c r="IY34" s="398">
        <f>IF(IX34=0,0,IF(LEN(IK34)=11,_xlfn.XLOOKUP(IK34,'Dispensed Ink Rates'!C:C,'Dispensed Ink Rates'!CS:CS),VLOOKUP(IK34,'Jan-2026 rates'!$E:$F,2,0)))</f>
        <v>0</v>
      </c>
      <c r="IZ34" s="409"/>
      <c r="JA34" s="398">
        <f>IF(IZ34=0,0,IF(LEN(IL34)=11,_xlfn.XLOOKUP(IL34,'Dispensed Ink Rates'!C:C,'Dispensed Ink Rates'!CS:CS),VLOOKUP(IL34,'Jan-2026 rates'!$E:$F,2,0)))</f>
        <v>0</v>
      </c>
      <c r="JB34" s="409"/>
      <c r="JC34" s="398">
        <f>IF(JB34=0,0,IF(LEN(IM34)=11,_xlfn.XLOOKUP(IM34,'Dispensed Ink Rates'!C:C,'Dispensed Ink Rates'!CS:CS),VLOOKUP(IM34,'Jan-2026 rates'!$E:$F,2,0)))</f>
        <v>0</v>
      </c>
      <c r="JD34" s="409"/>
      <c r="JE34" s="409"/>
      <c r="JF34" s="411">
        <f t="shared" si="25"/>
        <v>0</v>
      </c>
      <c r="JG34" s="411">
        <f t="shared" si="26"/>
        <v>0</v>
      </c>
      <c r="JH34" s="410">
        <f t="shared" si="27"/>
        <v>0</v>
      </c>
      <c r="JI34" s="405"/>
      <c r="JJ34" s="409"/>
      <c r="JK34" s="420" t="str">
        <f t="shared" si="28"/>
        <v xml:space="preserve"> - </v>
      </c>
      <c r="JL34" s="409"/>
      <c r="JM34" s="411">
        <f>IF(JL34=0,0,IF($LB34=70%,VLOOKUP($JK34,'Jan-2026 rates'!$L:$R,4,0),IF($LB34=65%,VLOOKUP($JK34,'Jan-2026 rates'!$L:$R,4,0),IF($LB34=40%,VLOOKUP($JK34,'Jan-2026 rates'!$L:$R,5,0),IF($LB34=30%,VLOOKUP($JK34,'Jan-2026 rates'!$L:$R,6,0),IF($LB34=100%,VLOOKUP($JK34,'Jan-2026 rates'!$L:$R,7,0),IF($LB34=60%,VLOOKUP($JK34,'Jan-2026 rates'!$L:$S,8,0),IF($LB34=80%,VLOOKUP($JK34,'Jan-2026 rates'!L:T,9,0),0))))))))</f>
        <v>0</v>
      </c>
      <c r="JN34" s="412"/>
      <c r="JO34" s="409"/>
      <c r="JP34" s="411">
        <f>IF(JO34=0,0,IF($LB34=70%,VLOOKUP($JK34,'Jan-2026 rates'!$L:$R,4,0),IF($LB34=65%,VLOOKUP($JK34,'Jan-2026 rates'!$L:$R,4,0),IF($LB34=40%,VLOOKUP($JK34,'Jan-2026 rates'!$L:$R,5,0),IF($LB34=30%,VLOOKUP($JK34,'Jan-2026 rates'!$L:$R,6,0),IF($LB34=100%,VLOOKUP($JK34,'Jan-2026 rates'!$L:$R,7,0),IF($LB34=60%,VLOOKUP($JK34,'Jan-2026 rates'!$L:$S,8,0),IF($LB34=80%,VLOOKUP($JK34,'Jan-2026 rates'!L:T,9,0),0))))))))</f>
        <v>0</v>
      </c>
      <c r="JQ34" s="413"/>
      <c r="JR34" s="412"/>
      <c r="JS34" s="413"/>
      <c r="JT34" s="413"/>
      <c r="JU34" s="412"/>
      <c r="JV34" s="412"/>
      <c r="JW34" s="412"/>
      <c r="JX34" s="412"/>
      <c r="JY34" s="409"/>
      <c r="JZ34" s="398">
        <f>IF(JY34=0,0,IF(LEN(JQ34)=11,_xlfn.XLOOKUP(JQ34,'Dispensed Ink Rates'!C:C,'Dispensed Ink Rates'!CS:CS),VLOOKUP(JQ34,'Jan-2026 rates'!$E:$F,2,0)))</f>
        <v>0</v>
      </c>
      <c r="KA34" s="409"/>
      <c r="KB34" s="398">
        <f>IF(KA34=0,0,IF(LEN(JR34)=11,_xlfn.XLOOKUP(JR34,'Dispensed Ink Rates'!C:C,'Dispensed Ink Rates'!CS:CS),VLOOKUP(JR34,'Jan-2026 rates'!$E:$F,2,0)))</f>
        <v>0</v>
      </c>
      <c r="KC34" s="409"/>
      <c r="KD34" s="398">
        <f>IF(KC34=0,0,IF(LEN(JS34)=11,_xlfn.XLOOKUP(JS34,'Dispensed Ink Rates'!C:C,'Dispensed Ink Rates'!CS:CS),VLOOKUP(JS34,'Jan-2026 rates'!$E:$F,2,0)))</f>
        <v>0</v>
      </c>
      <c r="KE34" s="409"/>
      <c r="KF34" s="398">
        <f>IF(KE34=0,0,IF(LEN(JT34)=11,_xlfn.XLOOKUP(JT34,'Dispensed Ink Rates'!C:C,'Dispensed Ink Rates'!CS:CS),VLOOKUP(JT34,'Jan-2026 rates'!$E:$F,2,0)))</f>
        <v>0</v>
      </c>
      <c r="KG34" s="409"/>
      <c r="KH34" s="398">
        <f>IF(KG34=0,0,IF(LEN(JU34)=11,_xlfn.XLOOKUP(JU34,'Dispensed Ink Rates'!C:C,'Dispensed Ink Rates'!CS:CS),VLOOKUP(JU34,'Jan-2026 rates'!$E:$F,2,0)))</f>
        <v>0</v>
      </c>
      <c r="KI34" s="409"/>
      <c r="KJ34" s="398">
        <f>IF(KI34=0,0,IF(LEN(JV34)=11,_xlfn.XLOOKUP(JV34,'Dispensed Ink Rates'!C:C,'Dispensed Ink Rates'!CS:CS),VLOOKUP(JV34,'Jan-2026 rates'!$E:$F,2,0)))</f>
        <v>0</v>
      </c>
      <c r="KK34" s="409"/>
      <c r="KL34" s="398">
        <f>IF(KK34=0,0,IF(LEN(JW34)=11,_xlfn.XLOOKUP(JW34,'Dispensed Ink Rates'!C:C,'Dispensed Ink Rates'!CS:CS),VLOOKUP(JW34,'Jan-2026 rates'!$E:$F,2,0)))</f>
        <v>0</v>
      </c>
      <c r="KM34" s="428"/>
      <c r="KN34" s="398">
        <f>IF(KM34=0,0,IF(LEN(JX34)=11,_xlfn.XLOOKUP(JX34,'Dispensed Ink Rates'!C:C,'Dispensed Ink Rates'!CS:CS),VLOOKUP(JX34,'Jan-2026 rates'!$E:$F,2,0)))</f>
        <v>0</v>
      </c>
      <c r="KO34" s="409"/>
      <c r="KP34" s="409"/>
      <c r="KQ34" s="411">
        <f t="shared" si="29"/>
        <v>0</v>
      </c>
      <c r="KR34" s="411">
        <f t="shared" si="30"/>
        <v>0</v>
      </c>
      <c r="KS34" s="410">
        <f t="shared" si="31"/>
        <v>0</v>
      </c>
      <c r="KT34" s="409">
        <v>5</v>
      </c>
      <c r="KU34" s="409">
        <v>5</v>
      </c>
      <c r="KV34" s="409">
        <v>0</v>
      </c>
      <c r="KW34" s="409">
        <v>0</v>
      </c>
      <c r="KX34" s="409">
        <v>0</v>
      </c>
      <c r="KY34" s="409">
        <v>0</v>
      </c>
      <c r="KZ34" s="409">
        <v>0</v>
      </c>
      <c r="LA34" s="409">
        <v>0</v>
      </c>
      <c r="LB34" s="415">
        <v>0.3</v>
      </c>
      <c r="LC34" s="415"/>
      <c r="LD34" s="415"/>
      <c r="LE34" s="415">
        <v>0.5</v>
      </c>
      <c r="LF34" s="415">
        <v>0.2</v>
      </c>
      <c r="LG34" s="409">
        <v>0</v>
      </c>
      <c r="LH34" s="409">
        <f>10+10+6+10+4</f>
        <v>40</v>
      </c>
      <c r="LI34" s="409">
        <v>0</v>
      </c>
      <c r="LJ34" s="409">
        <v>0</v>
      </c>
      <c r="LK34" s="416">
        <f t="shared" si="32"/>
        <v>40</v>
      </c>
      <c r="LL34" s="416">
        <f t="shared" si="33"/>
        <v>40</v>
      </c>
      <c r="LM34" s="417">
        <f t="shared" si="34"/>
        <v>12</v>
      </c>
      <c r="LN34" s="417">
        <f>VLOOKUP($LM$8,'Jan-2026 rates'!$H:$I,2,0)</f>
        <v>0</v>
      </c>
      <c r="LO34" s="417">
        <f t="shared" si="35"/>
        <v>0</v>
      </c>
      <c r="LP34" s="417">
        <f>VLOOKUP($LO$8,'Jan-2026 rates'!$H:$I,2,0)</f>
        <v>0</v>
      </c>
      <c r="LQ34" s="417">
        <f t="shared" si="36"/>
        <v>0</v>
      </c>
      <c r="LR34" s="417">
        <f>VLOOKUP($LQ$8,'Jan-2026 rates'!$H:$I,2,0)</f>
        <v>0</v>
      </c>
      <c r="LS34" s="417">
        <f t="shared" si="37"/>
        <v>20</v>
      </c>
      <c r="LT34" s="417">
        <f>VLOOKUP($LS$8,'Jan-2026 rates'!$H:$I,2,0)</f>
        <v>0</v>
      </c>
      <c r="LU34" s="417">
        <f t="shared" si="38"/>
        <v>8</v>
      </c>
      <c r="LV34" s="417">
        <f>VLOOKUP($LU$8,'Jan-2026 rates'!$H:$I,2,0)</f>
        <v>0</v>
      </c>
      <c r="LW34" s="417">
        <f t="shared" si="39"/>
        <v>0</v>
      </c>
      <c r="LX34" s="417">
        <f t="shared" si="40"/>
        <v>0</v>
      </c>
      <c r="LY34" s="418">
        <f t="shared" si="41"/>
        <v>0</v>
      </c>
      <c r="LZ34" s="417"/>
      <c r="MA34" s="435">
        <f t="shared" si="42"/>
        <v>26</v>
      </c>
      <c r="MB34" s="282">
        <f t="shared" si="43"/>
        <v>69</v>
      </c>
      <c r="MC34" s="283" t="s">
        <v>1962</v>
      </c>
      <c r="MD34" s="284" t="str">
        <f t="shared" si="44"/>
        <v>ToyoLiToyoLi</v>
      </c>
      <c r="ME34" s="293" t="str">
        <f t="shared" si="45"/>
        <v>+</v>
      </c>
      <c r="MF34" s="293" t="str">
        <f t="shared" si="46"/>
        <v>+</v>
      </c>
      <c r="MG34" s="293" t="str">
        <f t="shared" si="47"/>
        <v>NIL</v>
      </c>
      <c r="MH34" s="293" t="str">
        <f t="shared" si="48"/>
        <v>NIL</v>
      </c>
      <c r="MI34" s="293" t="str">
        <f t="shared" si="49"/>
        <v>NIL</v>
      </c>
      <c r="MJ34" s="293" t="str">
        <f t="shared" si="50"/>
        <v>NIL</v>
      </c>
      <c r="MK34" s="293" t="str">
        <f t="shared" si="51"/>
        <v>NIL</v>
      </c>
      <c r="ML34" s="293" t="str">
        <f t="shared" si="52"/>
        <v>NIL</v>
      </c>
      <c r="MM34" s="3" t="b">
        <f t="array" ref="MM34">OR(ME34:ML34="-")</f>
        <v>0</v>
      </c>
      <c r="MN34" s="285"/>
      <c r="MO34" s="401"/>
      <c r="MP34" s="286"/>
      <c r="MQ34" s="286"/>
      <c r="MR34" s="402"/>
      <c r="MS34" s="400"/>
      <c r="NH34" s="422"/>
      <c r="NJ34" s="421"/>
    </row>
    <row r="35" spans="1:374" s="1" customFormat="1" ht="16.5">
      <c r="A35" s="403">
        <v>46028</v>
      </c>
      <c r="B35" s="404" t="s">
        <v>1015</v>
      </c>
      <c r="C35" s="405" t="s">
        <v>2742</v>
      </c>
      <c r="D35" s="406" t="s">
        <v>1963</v>
      </c>
      <c r="E35" s="404">
        <v>225</v>
      </c>
      <c r="F35" s="407">
        <v>10800</v>
      </c>
      <c r="G35" s="407" t="s">
        <v>1016</v>
      </c>
      <c r="H35" s="408" t="s">
        <v>1017</v>
      </c>
      <c r="I35" s="409">
        <v>1.39</v>
      </c>
      <c r="J35" s="405" t="s">
        <v>543</v>
      </c>
      <c r="K35" s="404" t="s">
        <v>2743</v>
      </c>
      <c r="L35" s="419" t="str">
        <f t="shared" si="0"/>
        <v>ToyoLi - BLACK</v>
      </c>
      <c r="M35" s="404">
        <f>14+10</f>
        <v>24</v>
      </c>
      <c r="N35" s="410">
        <f>IF(M35=0,0,IF($LB35=70%,VLOOKUP($L35,'Jan-2026 rates'!$L:$R,4,0),IF($LB35=65%,VLOOKUP($L35,'Jan-2026 rates'!$L:$R,4,0),IF($LB35=40%,VLOOKUP($L35,'Jan-2026 rates'!$L:$R,5,0),IF($LB35=30%,VLOOKUP($L35,'Jan-2026 rates'!$L:$R,6,0),IF($LB35=100%,VLOOKUP($L35,'Jan-2026 rates'!$L:$R,7,0),IF($LB35=60%,VLOOKUP($L35,'Jan-2026 rates'!$L:$S,8,0),IF($LB35=80%,VLOOKUP($L35,'Jan-2026 rates'!L:T,9,0),0))))))))</f>
        <v>0</v>
      </c>
      <c r="O35" s="406"/>
      <c r="P35" s="404"/>
      <c r="Q35" s="410">
        <f>IF(P35=0,0,IF($LB35=70%,VLOOKUP($L35,'Jan-2026 rates'!$L:$R,4,0),IF($LB35=65%,VLOOKUP($L35,'Jan-2026 rates'!$L:$R,4,0),IF($LB35=40%,VLOOKUP($L35,'Jan-2026 rates'!$L:$R,5,0),IF($LB35=30%,VLOOKUP($L35,'Jan-2026 rates'!$L:$R,6,0),IF($LB35=100%,VLOOKUP($L35,'Jan-2026 rates'!$L:$R,7,0),IF($LB35=60%,VLOOKUP($L35,'Jan-2026 rates'!$L:$S,8,0),IF($LB35=80%,VLOOKUP($L35,'Jan-2026 rates'!L:T,9,0),0))))))))</f>
        <v>0</v>
      </c>
      <c r="R35" s="406" t="s">
        <v>1252</v>
      </c>
      <c r="S35" s="406"/>
      <c r="T35" s="406"/>
      <c r="U35" s="406"/>
      <c r="V35" s="406"/>
      <c r="W35" s="406"/>
      <c r="X35" s="406"/>
      <c r="Y35" s="406"/>
      <c r="Z35" s="404">
        <v>3</v>
      </c>
      <c r="AA35" s="398">
        <f>IF(Z35=0,0,IF(LEN(R35)=11,_xlfn.XLOOKUP(R35,'Dispensed Ink Rates'!C:C,'Dispensed Ink Rates'!CS:CS),VLOOKUP(R35,'Jan-2026 rates'!$E:$F,2,0)))</f>
        <v>0</v>
      </c>
      <c r="AB35" s="404"/>
      <c r="AC35" s="398">
        <f>IF(AB35=0,0,IF(LEN(S35)=11,_xlfn.XLOOKUP(S35,'Dispensed Ink Rates'!C:C,'Dispensed Ink Rates'!CS:CS),VLOOKUP(S35,'Jan-2026 rates'!$E:$F,2,0)))</f>
        <v>0</v>
      </c>
      <c r="AD35" s="404"/>
      <c r="AE35" s="398">
        <f>IF(AD35=0,0,IF(LEN(T35)=11,_xlfn.XLOOKUP(T35,'Dispensed Ink Rates'!C:C,'Dispensed Ink Rates'!CS:CS),VLOOKUP(T35,'Jan-2026 rates'!$E:$F,2,0)))</f>
        <v>0</v>
      </c>
      <c r="AF35" s="404"/>
      <c r="AG35" s="398">
        <f>IF(AF35=0,0,IF(LEN(U35)=11,_xlfn.XLOOKUP(U35,'Dispensed Ink Rates'!C:C,'Dispensed Ink Rates'!CS:CS),VLOOKUP(U35,'Jan-2026 rates'!$E:$F,2,0)))</f>
        <v>0</v>
      </c>
      <c r="AH35" s="404"/>
      <c r="AI35" s="398">
        <f>IF(AH35=0,0,IF(LEN(V35)=11,_xlfn.XLOOKUP(V35,'Dispensed Ink Rates'!C:C,'Dispensed Ink Rates'!CS:CS),VLOOKUP(V35,'Jan-2026 rates'!$E:$F,2,0)))</f>
        <v>0</v>
      </c>
      <c r="AJ35" s="404"/>
      <c r="AK35" s="398">
        <f>IF(AJ35=0,0,IF(LEN(W35)=11,_xlfn.XLOOKUP(W35,'Dispensed Ink Rates'!C:C,'Dispensed Ink Rates'!CS:CS),VLOOKUP(W35,'Jan-2026 rates'!$E:$F,2,0)))</f>
        <v>0</v>
      </c>
      <c r="AL35" s="404"/>
      <c r="AM35" s="398">
        <f>IF(AL35=0,0,IF(LEN(X35)=11,_xlfn.XLOOKUP(X35,'Dispensed Ink Rates'!C:C,'Dispensed Ink Rates'!CS:CS),VLOOKUP(X35,'Jan-2026 rates'!$E:$F,2,0)))</f>
        <v>0</v>
      </c>
      <c r="AN35" s="404"/>
      <c r="AO35" s="398">
        <f>IF(AN35=0,0,IF(LEN(Y35)=11,_xlfn.XLOOKUP(Y35,'Dispensed Ink Rates'!C:C,'Dispensed Ink Rates'!CS:CS),VLOOKUP(Y35,'Jan-2026 rates'!$E:$F,2,0)))</f>
        <v>0</v>
      </c>
      <c r="AP35" s="409" t="s">
        <v>1881</v>
      </c>
      <c r="AQ35" s="409">
        <v>26</v>
      </c>
      <c r="AR35" s="410">
        <f t="shared" si="1"/>
        <v>0</v>
      </c>
      <c r="AS35" s="411">
        <f t="shared" si="2"/>
        <v>4.8846153846153868</v>
      </c>
      <c r="AT35" s="410">
        <f t="shared" si="3"/>
        <v>0</v>
      </c>
      <c r="AU35" s="405" t="s">
        <v>828</v>
      </c>
      <c r="AV35" s="409" t="s">
        <v>2744</v>
      </c>
      <c r="AW35" s="420" t="str">
        <f t="shared" si="4"/>
        <v>ToyoLi - ORANGE</v>
      </c>
      <c r="AX35" s="409">
        <v>16</v>
      </c>
      <c r="AY35" s="411">
        <f>IF(AX35=0,0,IF($LB35=70%,VLOOKUP($AW35,'Jan-2026 rates'!$L:$R,4,0),IF($LB35=65%,VLOOKUP($AW35,'Jan-2026 rates'!$L:$R,4,0),IF($LB35=40%,VLOOKUP($AW35,'Jan-2026 rates'!$L:$R,5,0),IF($LB35=30%,VLOOKUP($AW35,'Jan-2026 rates'!$L:$R,6,0),IF($LB35=100%,VLOOKUP($AW35,'Jan-2026 rates'!$L:$R,7,0),IF($LB35=60%,VLOOKUP($AW35,'Jan-2026 rates'!$L:$S,8,0),IF($LB35=80%,VLOOKUP($AW35,'Jan-2026 rates'!L:T,9,0),0))))))))</f>
        <v>0</v>
      </c>
      <c r="AZ35" s="412" t="s">
        <v>2745</v>
      </c>
      <c r="BA35" s="409">
        <v>18</v>
      </c>
      <c r="BB35" s="411">
        <f>IF(BA35=0,0,IF($LB35=70%,VLOOKUP($AW35,'Jan-2026 rates'!$L:$R,4,0),IF($LB35=65%,VLOOKUP($AW35,'Jan-2026 rates'!$L:$R,4,0),IF($LB35=40%,VLOOKUP($AW35,'Jan-2026 rates'!$L:$R,5,0),IF($LB35=30%,VLOOKUP($AW35,'Jan-2026 rates'!$L:$R,6,0),IF($LB35=100%,VLOOKUP($AW35,'Jan-2026 rates'!$L:$R,7,0),IF($LB35=60%,VLOOKUP($AW35,'Jan-2026 rates'!$L:$S,8,0),IF($LB35=80%,VLOOKUP($AW35,'Jan-2026 rates'!L:T,9,0),0))))))))</f>
        <v>0</v>
      </c>
      <c r="BC35" s="413" t="s">
        <v>1248</v>
      </c>
      <c r="BD35" s="412" t="s">
        <v>1247</v>
      </c>
      <c r="BE35" s="412" t="s">
        <v>1246</v>
      </c>
      <c r="BF35" s="413" t="s">
        <v>1252</v>
      </c>
      <c r="BG35" s="412"/>
      <c r="BH35" s="412"/>
      <c r="BI35" s="412"/>
      <c r="BJ35" s="412"/>
      <c r="BK35" s="409">
        <v>10</v>
      </c>
      <c r="BL35" s="398">
        <f>IF(BK35=0,0,IF(LEN(BC35)=11,_xlfn.XLOOKUP(BC35,'Dispensed Ink Rates'!C:C,'Dispensed Ink Rates'!CS:CS),VLOOKUP(BC35,'Jan-2026 rates'!$E:$F,2,0)))</f>
        <v>0</v>
      </c>
      <c r="BM35" s="409">
        <v>5</v>
      </c>
      <c r="BN35" s="398">
        <f>IF(BM35=0,0,IF(LEN(BD35)=11,_xlfn.XLOOKUP(BD35,'Dispensed Ink Rates'!C:C,'Dispensed Ink Rates'!CS:CS),VLOOKUP(BD35,'Jan-2026 rates'!$E:$F,2,0)))</f>
        <v>0</v>
      </c>
      <c r="BO35" s="409">
        <v>1</v>
      </c>
      <c r="BP35" s="398">
        <f>IF(BO35=0,0,IF(LEN(BE35)=11,_xlfn.XLOOKUP(BE35,'Dispensed Ink Rates'!C:C,'Dispensed Ink Rates'!CS:CS),VLOOKUP(BE35,'Jan-2026 rates'!$E:$F,2,0)))</f>
        <v>0</v>
      </c>
      <c r="BQ35" s="409">
        <v>0.5</v>
      </c>
      <c r="BR35" s="398">
        <f>IF(BQ35=0,0,IF(LEN(BF35)=11,_xlfn.XLOOKUP(BF35,'Dispensed Ink Rates'!C:C,'Dispensed Ink Rates'!CS:CS),VLOOKUP(BF35,'Jan-2026 rates'!$E:$F,2,0)))</f>
        <v>0</v>
      </c>
      <c r="BS35" s="409"/>
      <c r="BT35" s="398">
        <f>IF(BS35=0,0,IF(LEN(BG35)=11,_xlfn.XLOOKUP(BG35,'Dispensed Ink Rates'!C:C,'Dispensed Ink Rates'!CS:CS),VLOOKUP(BG35,'Jan-2026 rates'!$E:$F,2,0)))</f>
        <v>0</v>
      </c>
      <c r="BU35" s="409"/>
      <c r="BV35" s="398">
        <f>IF(BU35=0,0,IF(LEN(BH35)=11,_xlfn.XLOOKUP(BH35,'Dispensed Ink Rates'!C:C,'Dispensed Ink Rates'!CS:CS),VLOOKUP(BH35,'Jan-2026 rates'!$E:$F,2,0)))</f>
        <v>0</v>
      </c>
      <c r="BW35" s="409"/>
      <c r="BX35" s="398">
        <f>IF(BW35=0,0,IF(LEN(BI35)=11,_xlfn.XLOOKUP(BI35,'Dispensed Ink Rates'!C:C,'Dispensed Ink Rates'!CS:CS),VLOOKUP(BI35,'Jan-2026 rates'!$E:$F,2,0)))</f>
        <v>0</v>
      </c>
      <c r="BY35" s="409"/>
      <c r="BZ35" s="398">
        <f>IF(BY35=0,0,IF(LEN(BJ35)=11,_xlfn.XLOOKUP(BJ35,'Dispensed Ink Rates'!C:C,'Dispensed Ink Rates'!CS:CS),VLOOKUP(BJ35,'Jan-2026 rates'!$E:$F,2,0)))</f>
        <v>0</v>
      </c>
      <c r="CA35" s="409" t="s">
        <v>1881</v>
      </c>
      <c r="CB35" s="409">
        <f>16+18</f>
        <v>34</v>
      </c>
      <c r="CC35" s="411">
        <f t="shared" si="5"/>
        <v>0</v>
      </c>
      <c r="CD35" s="411">
        <f t="shared" si="6"/>
        <v>28.153846153846153</v>
      </c>
      <c r="CE35" s="410">
        <f t="shared" si="7"/>
        <v>0</v>
      </c>
      <c r="CF35" s="404" t="s">
        <v>855</v>
      </c>
      <c r="CG35" s="409" t="s">
        <v>2741</v>
      </c>
      <c r="CH35" s="420" t="str">
        <f t="shared" si="8"/>
        <v>ToyoLi - CYAN</v>
      </c>
      <c r="CI35" s="409">
        <f>20+4</f>
        <v>24</v>
      </c>
      <c r="CJ35" s="411">
        <f>IF(CI35=0,0,IF($LB35=70%,VLOOKUP($CH35,'Jan-2026 rates'!$L:$R,4,0),IF($LB35=65%,VLOOKUP($CH35,'Jan-2026 rates'!$L:$R,4,0),IF($LB35=40%,VLOOKUP($CH35,'Jan-2026 rates'!$L:$R,5,0),IF($LB35=30%,VLOOKUP($CH35,'Jan-2026 rates'!$L:$R,6,0),IF($LB35=100%,VLOOKUP($CH35,'Jan-2026 rates'!$L:$R,7,0),IF($LB35=60%,VLOOKUP($CH35,'Jan-2026 rates'!$L:$S,8,0),IF($LB35=80%,VLOOKUP($CH35,'Jan-2026 rates'!L:T,9,0),0))))))))</f>
        <v>0</v>
      </c>
      <c r="CK35" s="412"/>
      <c r="CL35" s="409"/>
      <c r="CM35" s="411">
        <f>IF(CL35=0,0,IF($LB35=70%,VLOOKUP($CH35,'Jan-2026 rates'!$L:$R,4,0),IF($LB35=65%,VLOOKUP($CH35,'Jan-2026 rates'!$L:$R,4,0),IF($LB35=40%,VLOOKUP($CH35,'Jan-2026 rates'!$L:$R,5,0),IF($LB35=30%,VLOOKUP($CH35,'Jan-2026 rates'!$L:$R,6,0),IF($LB35=100%,VLOOKUP($CH35,'Jan-2026 rates'!$L:$R,7,0),IF($LB35=60%,VLOOKUP($CH35,'Jan-2026 rates'!$L:$S,8,0),IF($LB35=80%,VLOOKUP($CH35,'Jan-2026 rates'!L:T,9,0),0))))))))</f>
        <v>0</v>
      </c>
      <c r="CN35" s="426" t="s">
        <v>1250</v>
      </c>
      <c r="CO35" s="427"/>
      <c r="CP35" s="426"/>
      <c r="CQ35" s="426"/>
      <c r="CR35" s="428"/>
      <c r="CS35" s="428"/>
      <c r="CT35" s="428"/>
      <c r="CU35" s="428"/>
      <c r="CV35" s="409">
        <v>6</v>
      </c>
      <c r="CW35" s="398">
        <f>IF(CV35=0,0,IF(LEN(CN35)=11,_xlfn.XLOOKUP(CN35,'Dispensed Ink Rates'!C:C,'Dispensed Ink Rates'!CS:CS),VLOOKUP(CN35,'Jan-2026 rates'!$E:$F,2,0)))</f>
        <v>0</v>
      </c>
      <c r="CX35" s="409"/>
      <c r="CY35" s="398">
        <f>IF(CX35=0,0,IF(LEN(CO35)=11,_xlfn.XLOOKUP(CO35,'Dispensed Ink Rates'!C:C,'Dispensed Ink Rates'!CS:CS),VLOOKUP(CO35,'Jan-2026 rates'!$E:$F,2,0)))</f>
        <v>0</v>
      </c>
      <c r="CZ35" s="409"/>
      <c r="DA35" s="398">
        <f>IF(CZ35=0,0,IF(LEN(CP35)=11,_xlfn.XLOOKUP(CP35,'Dispensed Ink Rates'!C:C,'Dispensed Ink Rates'!CS:CS),VLOOKUP(CP35,'Jan-2026 rates'!$E:$F,2,0)))</f>
        <v>0</v>
      </c>
      <c r="DB35" s="409"/>
      <c r="DC35" s="398">
        <f>IF(DB35=0,0,IF(LEN(CQ35)=11,_xlfn.XLOOKUP(CQ35,'Dispensed Ink Rates'!C:C,'Dispensed Ink Rates'!CS:CS),VLOOKUP(CQ35,'Jan-2026 rates'!$E:$F,2,0)))</f>
        <v>0</v>
      </c>
      <c r="DD35" s="409"/>
      <c r="DE35" s="398">
        <f>IF(DD35=0,0,IF(LEN(CR35)=11,_xlfn.XLOOKUP(CR35,'Dispensed Ink Rates'!C:C,'Dispensed Ink Rates'!CS:CS),VLOOKUP(CR35,'Jan-2026 rates'!$E:$F,2,0)))</f>
        <v>0</v>
      </c>
      <c r="DF35" s="409"/>
      <c r="DG35" s="398">
        <f>IF(DF35=0,0,IF(LEN(CS35)=11,_xlfn.XLOOKUP(CS35,'Dispensed Ink Rates'!C:C,'Dispensed Ink Rates'!CS:CS),VLOOKUP(CS35,'Jan-2026 rates'!$E:$F,2,0)))</f>
        <v>0</v>
      </c>
      <c r="DH35" s="409"/>
      <c r="DI35" s="398">
        <f>IF(DH35=0,0,IF(LEN(CT35)=11,_xlfn.XLOOKUP(CT35,'Dispensed Ink Rates'!C:C,'Dispensed Ink Rates'!CS:CS),VLOOKUP(CT35,'Jan-2026 rates'!$E:$F,2,0)))</f>
        <v>0</v>
      </c>
      <c r="DJ35" s="409"/>
      <c r="DK35" s="398">
        <f>IF(DJ35=0,0,IF(LEN(CU35)=11,_xlfn.XLOOKUP(CU35,'Dispensed Ink Rates'!C:C,'Dispensed Ink Rates'!CS:CS),VLOOKUP(CU35,'Jan-2026 rates'!$E:$F,2,0)))</f>
        <v>0</v>
      </c>
      <c r="DL35" s="409" t="s">
        <v>1881</v>
      </c>
      <c r="DM35" s="409">
        <v>28</v>
      </c>
      <c r="DN35" s="411">
        <f t="shared" si="9"/>
        <v>0</v>
      </c>
      <c r="DO35" s="411">
        <f t="shared" si="10"/>
        <v>5.8846153846153868</v>
      </c>
      <c r="DP35" s="410">
        <f t="shared" si="11"/>
        <v>0</v>
      </c>
      <c r="DQ35" s="405" t="s">
        <v>544</v>
      </c>
      <c r="DR35" s="409" t="s">
        <v>2746</v>
      </c>
      <c r="DS35" s="420" t="str">
        <f t="shared" si="12"/>
        <v>ToyoLi - MAGENTA</v>
      </c>
      <c r="DT35" s="409">
        <v>17</v>
      </c>
      <c r="DU35" s="411">
        <f>IF(DT35=0,0,IF($LB35=70%,VLOOKUP($DS35,'Jan-2026 rates'!$L:$R,4,0),IF($LB35=65%,VLOOKUP($DS35,'Jan-2026 rates'!$L:$R,4,0),IF($LB35=40%,VLOOKUP($DS35,'Jan-2026 rates'!$L:$R,5,0),IF($LB35=30%,VLOOKUP($DS35,'Jan-2026 rates'!$L:$R,6,0),IF($LB35=100%,VLOOKUP($DS35,'Jan-2026 rates'!$L:$R,7,0),IF($LB35=60%,VLOOKUP($DS35,'Jan-2026 rates'!$L:$S,8,0),IF($LB35=80%,VLOOKUP($DS35,'Jan-2026 rates'!L:T,9,0),0))))))))</f>
        <v>0</v>
      </c>
      <c r="DV35" s="412"/>
      <c r="DW35" s="409"/>
      <c r="DX35" s="411">
        <f>IF(DW35=0,0,IF($LB35=70%,VLOOKUP($DS35,'Jan-2026 rates'!$L:$R,4,0),IF($LB35=65%,VLOOKUP($DS35,'Jan-2026 rates'!$L:$R,4,0),IF($LB35=40%,VLOOKUP($DS35,'Jan-2026 rates'!$L:$R,5,0),IF($LB35=30%,VLOOKUP($DS35,'Jan-2026 rates'!$L:$R,6,0),IF($LB35=100%,VLOOKUP($DS35,'Jan-2026 rates'!$L:$R,7,0),IF($LB35=60%,VLOOKUP($DS35,'Jan-2026 rates'!$L:$S,8,0),IF($LB35=80%,VLOOKUP($DS35,'Jan-2026 rates'!L:T,9,0),0))))))))</f>
        <v>0</v>
      </c>
      <c r="DY35" s="413" t="s">
        <v>1246</v>
      </c>
      <c r="DZ35" s="413"/>
      <c r="EA35" s="412"/>
      <c r="EB35" s="412"/>
      <c r="EC35" s="412"/>
      <c r="ED35" s="412"/>
      <c r="EE35" s="412"/>
      <c r="EF35" s="412"/>
      <c r="EG35" s="409">
        <v>4</v>
      </c>
      <c r="EH35" s="398">
        <f>IF(EG35=0,0,IF(LEN(DY35)=11,_xlfn.XLOOKUP(DY35,'Dispensed Ink Rates'!C:C,'Dispensed Ink Rates'!CS:CS),VLOOKUP(DY35,'Jan-2026 rates'!$E:$F,2,0)))</f>
        <v>0</v>
      </c>
      <c r="EI35" s="409"/>
      <c r="EJ35" s="398">
        <f>IF(EI35=0,0,IF(LEN(DZ35)=11,_xlfn.XLOOKUP(DZ35,'Dispensed Ink Rates'!C:C,'Dispensed Ink Rates'!CS:CS),VLOOKUP(DZ35,'Jan-2026 rates'!$E:$F,2,0)))</f>
        <v>0</v>
      </c>
      <c r="EK35" s="409"/>
      <c r="EL35" s="398">
        <f>IF(EK35=0,0,IF(LEN(EA35)=11,_xlfn.XLOOKUP(EA35,'Dispensed Ink Rates'!C:C,'Dispensed Ink Rates'!CS:CS),VLOOKUP(EA35,'Jan-2026 rates'!$E:$F,2,0)))</f>
        <v>0</v>
      </c>
      <c r="EM35" s="409"/>
      <c r="EN35" s="398">
        <f>IF(EM35=0,0,IF(LEN(EB35)=11,_xlfn.XLOOKUP(EB35,'Dispensed Ink Rates'!C:C,'Dispensed Ink Rates'!CS:CS),VLOOKUP(EB35,'Jan-2026 rates'!$E:$F,2,0)))</f>
        <v>0</v>
      </c>
      <c r="EO35" s="409"/>
      <c r="EP35" s="398">
        <f>IF(EO35=0,0,IF(LEN(EC35)=11,_xlfn.XLOOKUP(EC35,'Dispensed Ink Rates'!C:C,'Dispensed Ink Rates'!CS:CS),VLOOKUP(EC35,'Jan-2026 rates'!$E:$F,2,0)))</f>
        <v>0</v>
      </c>
      <c r="EQ35" s="409"/>
      <c r="ER35" s="398">
        <f>IF(EQ35=0,0,IF(LEN(ED35)=11,_xlfn.XLOOKUP(ED35,'Dispensed Ink Rates'!C:C,'Dispensed Ink Rates'!CS:CS),VLOOKUP(ED35,'Jan-2026 rates'!$E:$F,2,0)))</f>
        <v>0</v>
      </c>
      <c r="ES35" s="409"/>
      <c r="ET35" s="398">
        <f>IF(ES35=0,0,IF(LEN(EE35)=11,_xlfn.XLOOKUP(EE35,'Dispensed Ink Rates'!C:C,'Dispensed Ink Rates'!CS:CS),VLOOKUP(EE35,'Jan-2026 rates'!$E:$F,2,0)))</f>
        <v>0</v>
      </c>
      <c r="EU35" s="409"/>
      <c r="EV35" s="398">
        <f>IF(EU35=0,0,IF(LEN(EF35)=11,_xlfn.XLOOKUP(EF35,'Dispensed Ink Rates'!C:C,'Dispensed Ink Rates'!CS:CS),VLOOKUP(EF35,'Jan-2026 rates'!$E:$F,2,0)))</f>
        <v>0</v>
      </c>
      <c r="EW35" s="409" t="s">
        <v>1881</v>
      </c>
      <c r="EX35" s="409">
        <v>21</v>
      </c>
      <c r="EY35" s="411">
        <f t="shared" si="13"/>
        <v>0</v>
      </c>
      <c r="EZ35" s="411">
        <f t="shared" si="14"/>
        <v>3.8846153846153868</v>
      </c>
      <c r="FA35" s="410">
        <f t="shared" si="15"/>
        <v>0</v>
      </c>
      <c r="FB35" s="405" t="s">
        <v>545</v>
      </c>
      <c r="FC35" s="409" t="s">
        <v>2747</v>
      </c>
      <c r="FD35" s="420" t="str">
        <f t="shared" si="16"/>
        <v>ToyoLi - YELLOW</v>
      </c>
      <c r="FE35" s="409">
        <f>18+4</f>
        <v>22</v>
      </c>
      <c r="FF35" s="411">
        <f>IF(FE35=0,0,IF($LB35=70%,VLOOKUP($FD35,'Jan-2026 rates'!$L:$R,4,0),IF($LB35=65%,VLOOKUP($FD35,'Jan-2026 rates'!$L:$R,4,0),IF($LB35=40%,VLOOKUP($FD35,'Jan-2026 rates'!$L:$R,5,0),IF($LB35=30%,VLOOKUP($FD35,'Jan-2026 rates'!$L:$R,6,0),IF($LB35=100%,VLOOKUP($FD35,'Jan-2026 rates'!$L:$R,7,0),IF($LB35=60%,VLOOKUP($FD35,'Jan-2026 rates'!$L:$S,8,0),IF($LB35=80%,VLOOKUP($FD35,'Jan-2026 rates'!L:T,9,0),0))))))))</f>
        <v>0</v>
      </c>
      <c r="FG35" s="412"/>
      <c r="FH35" s="409"/>
      <c r="FI35" s="411">
        <f>IF(FH35=0,0,IF($LB35=70%,VLOOKUP($FD35,'Jan-2026 rates'!$L:$R,4,0),IF($LB35=65%,VLOOKUP($FD35,'Jan-2026 rates'!$L:$R,4,0),IF($LB35=40%,VLOOKUP($FD35,'Jan-2026 rates'!$L:$R,5,0),IF($LB35=30%,VLOOKUP($FD35,'Jan-2026 rates'!$L:$R,6,0),IF($LB35=100%,VLOOKUP($FD35,'Jan-2026 rates'!$L:$R,7,0),IF($LB35=60%,VLOOKUP($FD35,'Jan-2026 rates'!$L:$S,8,0),IF($LB35=80%,VLOOKUP($FD35,'Jan-2026 rates'!L:T,9,0),0))))))))</f>
        <v>0</v>
      </c>
      <c r="FJ35" s="413" t="s">
        <v>1247</v>
      </c>
      <c r="FK35" s="413"/>
      <c r="FL35" s="413"/>
      <c r="FM35" s="412"/>
      <c r="FN35" s="412"/>
      <c r="FO35" s="412"/>
      <c r="FP35" s="412"/>
      <c r="FQ35" s="412"/>
      <c r="FR35" s="409">
        <v>5</v>
      </c>
      <c r="FS35" s="398">
        <f>IF(FR35=0,0,IF(LEN(FJ35)=11,_xlfn.XLOOKUP(FJ35,'Dispensed Ink Rates'!C:C,'Dispensed Ink Rates'!CS:CS),VLOOKUP(FJ35,'Jan-2026 rates'!$E:$F,2,0)))</f>
        <v>0</v>
      </c>
      <c r="FT35" s="409"/>
      <c r="FU35" s="398">
        <f>IF(FT35=0,0,IF(LEN(FK35)=11,_xlfn.XLOOKUP(FK35,'Dispensed Ink Rates'!C:C,'Dispensed Ink Rates'!CS:CS),VLOOKUP(FK35,'Jan-2026 rates'!$E:$F,2,0)))</f>
        <v>0</v>
      </c>
      <c r="FV35" s="409"/>
      <c r="FW35" s="398">
        <f>IF(FV35=0,0,IF(LEN(FL35)=11,_xlfn.XLOOKUP(FL35,'Dispensed Ink Rates'!C:C,'Dispensed Ink Rates'!CS:CS),VLOOKUP(FL35,'Jan-2026 rates'!$E:$F,2,0)))</f>
        <v>0</v>
      </c>
      <c r="FX35" s="409"/>
      <c r="FY35" s="398">
        <f>IF(FX35=0,0,IF(LEN(FM35)=11,_xlfn.XLOOKUP(FM35,'Dispensed Ink Rates'!C:C,'Dispensed Ink Rates'!CS:CS),VLOOKUP(FM35,'Jan-2026 rates'!$E:$F,2,0)))</f>
        <v>0</v>
      </c>
      <c r="FZ35" s="409"/>
      <c r="GA35" s="398">
        <f>IF(FZ35=0,0,IF(LEN(FN35)=11,_xlfn.XLOOKUP(FN35,'Dispensed Ink Rates'!C:C,'Dispensed Ink Rates'!CS:CS),VLOOKUP(FN35,'Jan-2026 rates'!$E:$F,2,0)))</f>
        <v>0</v>
      </c>
      <c r="GB35" s="409"/>
      <c r="GC35" s="398">
        <f>IF(GB35=0,0,IF(LEN(FO35)=11,_xlfn.XLOOKUP(FO35,'Dispensed Ink Rates'!C:C,'Dispensed Ink Rates'!CS:CS),VLOOKUP(FO35,'Jan-2026 rates'!$E:$F,2,0)))</f>
        <v>0</v>
      </c>
      <c r="GD35" s="409"/>
      <c r="GE35" s="398">
        <f>IF(GD35=0,0,IF(LEN(FP35)=11,_xlfn.XLOOKUP(FP35,'Dispensed Ink Rates'!C:C,'Dispensed Ink Rates'!CS:CS),VLOOKUP(FP35,'Jan-2026 rates'!$E:$F,2,0)))</f>
        <v>0</v>
      </c>
      <c r="GF35" s="409"/>
      <c r="GG35" s="398">
        <f>IF(GF35=0,0,IF(LEN(FQ35)=11,_xlfn.XLOOKUP(FQ35,'Dispensed Ink Rates'!C:C,'Dispensed Ink Rates'!CS:CS),VLOOKUP(FQ35,'Jan-2026 rates'!$E:$F,2,0)))</f>
        <v>0</v>
      </c>
      <c r="GH35" s="409" t="s">
        <v>1881</v>
      </c>
      <c r="GI35" s="409">
        <v>26</v>
      </c>
      <c r="GJ35" s="411">
        <f t="shared" si="17"/>
        <v>0</v>
      </c>
      <c r="GK35" s="411">
        <f t="shared" si="18"/>
        <v>1</v>
      </c>
      <c r="GL35" s="410">
        <f t="shared" si="19"/>
        <v>0</v>
      </c>
      <c r="GM35" s="405" t="s">
        <v>545</v>
      </c>
      <c r="GN35" s="409"/>
      <c r="GO35" s="420" t="str">
        <f t="shared" si="20"/>
        <v>ToyoLi - YELLOW</v>
      </c>
      <c r="GP35" s="409"/>
      <c r="GQ35" s="411">
        <f>IF(GP35=0,0,IF($LB35=70%,VLOOKUP($GO35,'Jan-2026 rates'!$L:$R,4,0),IF($LB35=65%,VLOOKUP($GO35,'Jan-2026 rates'!$L:$R,4,0),IF($LB35=40%,VLOOKUP($GO35,'Jan-2026 rates'!$L:$R,5,0),IF($LB35=30%,VLOOKUP($GO35,'Jan-2026 rates'!$L:$R,6,0),IF($LB35=100%,VLOOKUP($GO35,'Jan-2026 rates'!$L:$R,7,0),IF($LB35=60%,VLOOKUP($GO35,'Jan-2026 rates'!$L:$S,8,0),IF($LB35=80%,VLOOKUP($GO35,'Jan-2026 rates'!L:T,9,0),0))))))))</f>
        <v>0</v>
      </c>
      <c r="GR35" s="412"/>
      <c r="GS35" s="409"/>
      <c r="GT35" s="411">
        <f>IF(GS35=0,0,IF($LB35=70%,VLOOKUP($GO35,'Jan-2026 rates'!$L:$R,4,0),IF($LB35=65%,VLOOKUP($GO35,'Jan-2026 rates'!$L:$R,4,0),IF($LB35=40%,VLOOKUP($GO35,'Jan-2026 rates'!$L:$R,5,0),IF($LB35=30%,VLOOKUP($GO35,'Jan-2026 rates'!$L:$R,6,0),IF($LB35=100%,VLOOKUP($GO35,'Jan-2026 rates'!$L:$R,7,0),IF($LB35=60%,VLOOKUP($GO35,'Jan-2026 rates'!$L:$S,8,0),IF($LB35=80%,VLOOKUP($GO35,'Jan-2026 rates'!L:T,9,0),0))))))))</f>
        <v>0</v>
      </c>
      <c r="GU35" s="413" t="s">
        <v>1247</v>
      </c>
      <c r="GV35" s="413"/>
      <c r="GW35" s="412"/>
      <c r="GX35" s="412"/>
      <c r="GY35" s="412"/>
      <c r="GZ35" s="412"/>
      <c r="HA35" s="412"/>
      <c r="HB35" s="412"/>
      <c r="HC35" s="409">
        <v>20</v>
      </c>
      <c r="HD35" s="398">
        <f>IF(HC35=0,0,IF(LEN(GU35)=11,_xlfn.XLOOKUP(GU35,'Dispensed Ink Rates'!C:C,'Dispensed Ink Rates'!CS:CS),VLOOKUP(GU35,'Jan-2026 rates'!$E:$F,2,0)))</f>
        <v>0</v>
      </c>
      <c r="HE35" s="409"/>
      <c r="HF35" s="398">
        <f>IF(HE35=0,0,IF(LEN(GV35)=11,_xlfn.XLOOKUP(GV35,'Dispensed Ink Rates'!C:C,'Dispensed Ink Rates'!CS:CS),VLOOKUP(GV35,'Jan-2026 rates'!$E:$F,2,0)))</f>
        <v>0</v>
      </c>
      <c r="HG35" s="409"/>
      <c r="HH35" s="398">
        <f>IF(HG35=0,0,IF(LEN(GW35)=11,_xlfn.XLOOKUP(GW35,'Dispensed Ink Rates'!C:C,'Dispensed Ink Rates'!CS:CS),VLOOKUP(GW35,'Jan-2026 rates'!$E:$F,2,0)))</f>
        <v>0</v>
      </c>
      <c r="HI35" s="409"/>
      <c r="HJ35" s="398">
        <f>IF(HI35=0,0,IF(LEN(GX35)=11,_xlfn.XLOOKUP(GX35,'Dispensed Ink Rates'!C:C,'Dispensed Ink Rates'!CS:CS),VLOOKUP(GX35,'Jan-2026 rates'!$E:$F,2,0)))</f>
        <v>0</v>
      </c>
      <c r="HK35" s="409"/>
      <c r="HL35" s="398">
        <f>IF(HK35=0,0,IF(LEN(GY35)=11,_xlfn.XLOOKUP(GY35,'Dispensed Ink Rates'!C:C,'Dispensed Ink Rates'!CS:CS),VLOOKUP(GY35,'Jan-2026 rates'!$E:$F,2,0)))</f>
        <v>0</v>
      </c>
      <c r="HM35" s="409"/>
      <c r="HN35" s="398">
        <f>IF(HM35=0,0,IF(LEN(GZ35)=11,_xlfn.XLOOKUP(GZ35,'Dispensed Ink Rates'!C:C,'Dispensed Ink Rates'!CS:CS),VLOOKUP(GZ35,'Jan-2026 rates'!$E:$F,2,0)))</f>
        <v>0</v>
      </c>
      <c r="HO35" s="409"/>
      <c r="HP35" s="398">
        <f>IF(HO35=0,0,IF(LEN(HA35)=11,_xlfn.XLOOKUP(HA35,'Dispensed Ink Rates'!C:C,'Dispensed Ink Rates'!CS:CS),VLOOKUP(HA35,'Jan-2026 rates'!$E:$F,2,0)))</f>
        <v>0</v>
      </c>
      <c r="HQ35" s="409"/>
      <c r="HR35" s="398">
        <f>IF(HQ35=0,0,IF(LEN(HB35)=11,_xlfn.XLOOKUP(HB35,'Dispensed Ink Rates'!C:C,'Dispensed Ink Rates'!CS:CS),VLOOKUP(HB35,'Jan-2026 rates'!$E:$F,2,0)))</f>
        <v>0</v>
      </c>
      <c r="HS35" s="409" t="s">
        <v>1881</v>
      </c>
      <c r="HT35" s="409">
        <v>17</v>
      </c>
      <c r="HU35" s="411">
        <f t="shared" si="21"/>
        <v>0</v>
      </c>
      <c r="HV35" s="411">
        <f t="shared" si="22"/>
        <v>22.42307692307692</v>
      </c>
      <c r="HW35" s="414">
        <f t="shared" si="23"/>
        <v>0</v>
      </c>
      <c r="HX35" s="405" t="s">
        <v>856</v>
      </c>
      <c r="HY35" s="409"/>
      <c r="HZ35" s="420" t="str">
        <f t="shared" si="24"/>
        <v>ToyoLi - WHITE</v>
      </c>
      <c r="IA35" s="409"/>
      <c r="IB35" s="411">
        <f>IF(IA35=0,0,IF($LB35=70%,VLOOKUP($HZ35,'Jan-2026 rates'!$L:$R,4,0),IF($LB35=65%,VLOOKUP($HZ35,'Jan-2026 rates'!$L:$R,4,0),IF($LB35=40%,VLOOKUP($HZ35,'Jan-2026 rates'!$L:$R,5,0),IF($LB35=30%,VLOOKUP($HZ35,'Jan-2026 rates'!$L:$R,6,0),IF($LB35=100%,VLOOKUP($HZ35,'Jan-2026 rates'!$L:$R,7,0),IF($LB35=60%,VLOOKUP($HZ35,'Jan-2026 rates'!$L:$S,8,0),IF($LB35=80%,VLOOKUP($HZ35,'Jan-2026 rates'!L:T,9,0),0))))))))</f>
        <v>0</v>
      </c>
      <c r="IC35" s="412"/>
      <c r="ID35" s="409"/>
      <c r="IE35" s="411">
        <f>IF(ID35=0,0,IF($LB35=70%,VLOOKUP($HZ35,'Jan-2026 rates'!$L:$R,4,0),IF($LB35=65%,VLOOKUP($HZ35,'Jan-2026 rates'!$L:$R,4,0),IF($LB35=40%,VLOOKUP($HZ35,'Jan-2026 rates'!$L:$R,5,0),IF($LB35=30%,VLOOKUP($HZ35,'Jan-2026 rates'!$L:$R,6,0),IF($LB35=100%,VLOOKUP($HZ35,'Jan-2026 rates'!$L:$R,7,0),IF($LB35=60%,VLOOKUP($HZ35,'Jan-2026 rates'!$L:$S,8,0),IF($LB35=80%,VLOOKUP($HZ35,'Jan-2026 rates'!L:T,9,0),0))))))))</f>
        <v>0</v>
      </c>
      <c r="IF35" s="412" t="s">
        <v>1249</v>
      </c>
      <c r="IG35" s="413" t="s">
        <v>1122</v>
      </c>
      <c r="IH35" s="412"/>
      <c r="II35" s="412"/>
      <c r="IJ35" s="412"/>
      <c r="IK35" s="412"/>
      <c r="IL35" s="412"/>
      <c r="IM35" s="412"/>
      <c r="IN35" s="409">
        <v>60</v>
      </c>
      <c r="IO35" s="398">
        <f>IF(IN35=0,0,IF(LEN(IF35)=11,_xlfn.XLOOKUP(IF35,'Dispensed Ink Rates'!C:C,'Dispensed Ink Rates'!CS:CS),VLOOKUP(IF35,'Jan-2026 rates'!$E:$F,2,0)))</f>
        <v>0</v>
      </c>
      <c r="IP35" s="409">
        <v>5.26</v>
      </c>
      <c r="IQ35" s="398">
        <f>IF(IP35=0,0,IF(LEN(IG35)=11,_xlfn.XLOOKUP(IG35,'Dispensed Ink Rates'!C:C,'Dispensed Ink Rates'!CS:CS),VLOOKUP(IG35,'Jan-2026 rates'!$E:$F,2,0)))</f>
        <v>0</v>
      </c>
      <c r="IR35" s="409"/>
      <c r="IS35" s="398">
        <f>IF(IR35=0,0,IF(LEN(IH35)=11,_xlfn.XLOOKUP(IH35,'Dispensed Ink Rates'!C:C,'Dispensed Ink Rates'!CS:CS),VLOOKUP(IH35,'Jan-2026 rates'!$E:$F,2,0)))</f>
        <v>0</v>
      </c>
      <c r="IT35" s="409"/>
      <c r="IU35" s="398">
        <f>IF(IT35=0,0,IF(LEN(II35)=11,_xlfn.XLOOKUP(II35,'Dispensed Ink Rates'!C:C,'Dispensed Ink Rates'!CS:CS),VLOOKUP(II35,'Jan-2026 rates'!$E:$F,2,0)))</f>
        <v>0</v>
      </c>
      <c r="IV35" s="409"/>
      <c r="IW35" s="398">
        <f>IF(IV35=0,0,IF(LEN(IJ35)=11,_xlfn.XLOOKUP(IJ35,'Dispensed Ink Rates'!C:C,'Dispensed Ink Rates'!CS:CS),VLOOKUP(IJ35,'Jan-2026 rates'!$E:$F,2,0)))</f>
        <v>0</v>
      </c>
      <c r="IX35" s="409"/>
      <c r="IY35" s="398">
        <f>IF(IX35=0,0,IF(LEN(IK35)=11,_xlfn.XLOOKUP(IK35,'Dispensed Ink Rates'!C:C,'Dispensed Ink Rates'!CS:CS),VLOOKUP(IK35,'Jan-2026 rates'!$E:$F,2,0)))</f>
        <v>0</v>
      </c>
      <c r="IZ35" s="409"/>
      <c r="JA35" s="398">
        <f>IF(IZ35=0,0,IF(LEN(IL35)=11,_xlfn.XLOOKUP(IL35,'Dispensed Ink Rates'!C:C,'Dispensed Ink Rates'!CS:CS),VLOOKUP(IL35,'Jan-2026 rates'!$E:$F,2,0)))</f>
        <v>0</v>
      </c>
      <c r="JB35" s="409"/>
      <c r="JC35" s="398">
        <f>IF(JB35=0,0,IF(LEN(IM35)=11,_xlfn.XLOOKUP(IM35,'Dispensed Ink Rates'!C:C,'Dispensed Ink Rates'!CS:CS),VLOOKUP(IM35,'Jan-2026 rates'!$E:$F,2,0)))</f>
        <v>0</v>
      </c>
      <c r="JD35" s="409" t="s">
        <v>1881</v>
      </c>
      <c r="JE35" s="409">
        <v>30</v>
      </c>
      <c r="JF35" s="411">
        <f t="shared" si="25"/>
        <v>0</v>
      </c>
      <c r="JG35" s="411">
        <f t="shared" si="26"/>
        <v>93.529230769230765</v>
      </c>
      <c r="JH35" s="410">
        <f t="shared" si="27"/>
        <v>0</v>
      </c>
      <c r="JI35" s="405"/>
      <c r="JJ35" s="409"/>
      <c r="JK35" s="420" t="str">
        <f t="shared" si="28"/>
        <v xml:space="preserve"> - </v>
      </c>
      <c r="JL35" s="409"/>
      <c r="JM35" s="411">
        <f>IF(JL35=0,0,IF($LB35=70%,VLOOKUP($JK35,'Jan-2026 rates'!$L:$R,4,0),IF($LB35=65%,VLOOKUP($JK35,'Jan-2026 rates'!$L:$R,4,0),IF($LB35=40%,VLOOKUP($JK35,'Jan-2026 rates'!$L:$R,5,0),IF($LB35=30%,VLOOKUP($JK35,'Jan-2026 rates'!$L:$R,6,0),IF($LB35=100%,VLOOKUP($JK35,'Jan-2026 rates'!$L:$R,7,0),IF($LB35=60%,VLOOKUP($JK35,'Jan-2026 rates'!$L:$S,8,0),IF($LB35=80%,VLOOKUP($JK35,'Jan-2026 rates'!L:T,9,0),0))))))))</f>
        <v>0</v>
      </c>
      <c r="JN35" s="412"/>
      <c r="JO35" s="409"/>
      <c r="JP35" s="411">
        <f>IF(JO35=0,0,IF($LB35=70%,VLOOKUP($JK35,'Jan-2026 rates'!$L:$R,4,0),IF($LB35=65%,VLOOKUP($JK35,'Jan-2026 rates'!$L:$R,4,0),IF($LB35=40%,VLOOKUP($JK35,'Jan-2026 rates'!$L:$R,5,0),IF($LB35=30%,VLOOKUP($JK35,'Jan-2026 rates'!$L:$R,6,0),IF($LB35=100%,VLOOKUP($JK35,'Jan-2026 rates'!$L:$R,7,0),IF($LB35=60%,VLOOKUP($JK35,'Jan-2026 rates'!$L:$S,8,0),IF($LB35=80%,VLOOKUP($JK35,'Jan-2026 rates'!L:T,9,0),0))))))))</f>
        <v>0</v>
      </c>
      <c r="JQ35" s="413"/>
      <c r="JR35" s="412"/>
      <c r="JS35" s="413"/>
      <c r="JT35" s="413"/>
      <c r="JU35" s="412"/>
      <c r="JV35" s="412"/>
      <c r="JW35" s="412"/>
      <c r="JX35" s="412"/>
      <c r="JY35" s="409"/>
      <c r="JZ35" s="398">
        <f>IF(JY35=0,0,IF(LEN(JQ35)=11,_xlfn.XLOOKUP(JQ35,'Dispensed Ink Rates'!C:C,'Dispensed Ink Rates'!CS:CS),VLOOKUP(JQ35,'Jan-2026 rates'!$E:$F,2,0)))</f>
        <v>0</v>
      </c>
      <c r="KA35" s="409"/>
      <c r="KB35" s="398">
        <f>IF(KA35=0,0,IF(LEN(JR35)=11,_xlfn.XLOOKUP(JR35,'Dispensed Ink Rates'!C:C,'Dispensed Ink Rates'!CS:CS),VLOOKUP(JR35,'Jan-2026 rates'!$E:$F,2,0)))</f>
        <v>0</v>
      </c>
      <c r="KC35" s="409"/>
      <c r="KD35" s="398">
        <f>IF(KC35=0,0,IF(LEN(JS35)=11,_xlfn.XLOOKUP(JS35,'Dispensed Ink Rates'!C:C,'Dispensed Ink Rates'!CS:CS),VLOOKUP(JS35,'Jan-2026 rates'!$E:$F,2,0)))</f>
        <v>0</v>
      </c>
      <c r="KE35" s="409"/>
      <c r="KF35" s="398">
        <f>IF(KE35=0,0,IF(LEN(JT35)=11,_xlfn.XLOOKUP(JT35,'Dispensed Ink Rates'!C:C,'Dispensed Ink Rates'!CS:CS),VLOOKUP(JT35,'Jan-2026 rates'!$E:$F,2,0)))</f>
        <v>0</v>
      </c>
      <c r="KG35" s="409"/>
      <c r="KH35" s="398">
        <f>IF(KG35=0,0,IF(LEN(JU35)=11,_xlfn.XLOOKUP(JU35,'Dispensed Ink Rates'!C:C,'Dispensed Ink Rates'!CS:CS),VLOOKUP(JU35,'Jan-2026 rates'!$E:$F,2,0)))</f>
        <v>0</v>
      </c>
      <c r="KI35" s="409"/>
      <c r="KJ35" s="398">
        <f>IF(KI35=0,0,IF(LEN(JV35)=11,_xlfn.XLOOKUP(JV35,'Dispensed Ink Rates'!C:C,'Dispensed Ink Rates'!CS:CS),VLOOKUP(JV35,'Jan-2026 rates'!$E:$F,2,0)))</f>
        <v>0</v>
      </c>
      <c r="KK35" s="409"/>
      <c r="KL35" s="398">
        <f>IF(KK35=0,0,IF(LEN(JW35)=11,_xlfn.XLOOKUP(JW35,'Dispensed Ink Rates'!C:C,'Dispensed Ink Rates'!CS:CS),VLOOKUP(JW35,'Jan-2026 rates'!$E:$F,2,0)))</f>
        <v>0</v>
      </c>
      <c r="KM35" s="428"/>
      <c r="KN35" s="398">
        <f>IF(KM35=0,0,IF(LEN(JX35)=11,_xlfn.XLOOKUP(JX35,'Dispensed Ink Rates'!C:C,'Dispensed Ink Rates'!CS:CS),VLOOKUP(JX35,'Jan-2026 rates'!$E:$F,2,0)))</f>
        <v>0</v>
      </c>
      <c r="KO35" s="409"/>
      <c r="KP35" s="409"/>
      <c r="KQ35" s="411">
        <f t="shared" si="29"/>
        <v>0</v>
      </c>
      <c r="KR35" s="411">
        <f t="shared" si="30"/>
        <v>0</v>
      </c>
      <c r="KS35" s="410">
        <f t="shared" si="31"/>
        <v>0</v>
      </c>
      <c r="KT35" s="409">
        <v>2</v>
      </c>
      <c r="KU35" s="409">
        <v>6</v>
      </c>
      <c r="KV35" s="409">
        <v>2</v>
      </c>
      <c r="KW35" s="409">
        <v>2</v>
      </c>
      <c r="KX35" s="409">
        <v>0</v>
      </c>
      <c r="KY35" s="409">
        <v>10</v>
      </c>
      <c r="KZ35" s="409">
        <v>30</v>
      </c>
      <c r="LA35" s="409">
        <v>0</v>
      </c>
      <c r="LB35" s="415">
        <v>0.3</v>
      </c>
      <c r="LC35" s="415"/>
      <c r="LD35" s="415"/>
      <c r="LE35" s="415">
        <v>0.5</v>
      </c>
      <c r="LF35" s="415">
        <v>0.2</v>
      </c>
      <c r="LG35" s="409">
        <v>0</v>
      </c>
      <c r="LH35" s="409">
        <f>30+20+12+20+6+5+8</f>
        <v>101</v>
      </c>
      <c r="LI35" s="409">
        <v>0</v>
      </c>
      <c r="LJ35" s="409">
        <v>0</v>
      </c>
      <c r="LK35" s="416">
        <f t="shared" si="32"/>
        <v>101</v>
      </c>
      <c r="LL35" s="416">
        <f t="shared" si="33"/>
        <v>101</v>
      </c>
      <c r="LM35" s="417">
        <f t="shared" si="34"/>
        <v>30.299999999999997</v>
      </c>
      <c r="LN35" s="417">
        <f>VLOOKUP($LM$8,'Jan-2026 rates'!$H:$I,2,0)</f>
        <v>0</v>
      </c>
      <c r="LO35" s="417">
        <f t="shared" si="35"/>
        <v>0</v>
      </c>
      <c r="LP35" s="417">
        <f>VLOOKUP($LO$8,'Jan-2026 rates'!$H:$I,2,0)</f>
        <v>0</v>
      </c>
      <c r="LQ35" s="417">
        <f t="shared" si="36"/>
        <v>0</v>
      </c>
      <c r="LR35" s="417">
        <f>VLOOKUP($LQ$8,'Jan-2026 rates'!$H:$I,2,0)</f>
        <v>0</v>
      </c>
      <c r="LS35" s="417">
        <f t="shared" si="37"/>
        <v>50.5</v>
      </c>
      <c r="LT35" s="417">
        <f>VLOOKUP($LS$8,'Jan-2026 rates'!$H:$I,2,0)</f>
        <v>0</v>
      </c>
      <c r="LU35" s="417">
        <f t="shared" si="38"/>
        <v>20.200000000000003</v>
      </c>
      <c r="LV35" s="417">
        <f>VLOOKUP($LU$8,'Jan-2026 rates'!$H:$I,2,0)</f>
        <v>0</v>
      </c>
      <c r="LW35" s="417">
        <f t="shared" si="39"/>
        <v>0</v>
      </c>
      <c r="LX35" s="417">
        <f t="shared" si="40"/>
        <v>0</v>
      </c>
      <c r="LY35" s="418">
        <f t="shared" si="41"/>
        <v>0</v>
      </c>
      <c r="LZ35" s="417"/>
      <c r="MA35" s="435">
        <f t="shared" si="42"/>
        <v>119.76</v>
      </c>
      <c r="MB35" s="282">
        <f t="shared" si="43"/>
        <v>159.76</v>
      </c>
      <c r="MC35" s="283" t="s">
        <v>1963</v>
      </c>
      <c r="MD35" s="284" t="str">
        <f t="shared" si="44"/>
        <v>ToyoLiToyoLiToyoLiToyoLiToyoLiToyoLiToyoLi</v>
      </c>
      <c r="ME35" s="293" t="str">
        <f t="shared" si="45"/>
        <v>+</v>
      </c>
      <c r="MF35" s="293" t="str">
        <f t="shared" si="46"/>
        <v>+</v>
      </c>
      <c r="MG35" s="293" t="str">
        <f t="shared" si="47"/>
        <v>+</v>
      </c>
      <c r="MH35" s="293" t="str">
        <f t="shared" si="48"/>
        <v>+</v>
      </c>
      <c r="MI35" s="293" t="str">
        <f t="shared" si="49"/>
        <v>+</v>
      </c>
      <c r="MJ35" s="293" t="str">
        <f t="shared" si="50"/>
        <v>+</v>
      </c>
      <c r="MK35" s="293" t="str">
        <f t="shared" si="51"/>
        <v>+</v>
      </c>
      <c r="ML35" s="293" t="str">
        <f t="shared" si="52"/>
        <v>NIL</v>
      </c>
      <c r="MM35" s="3" t="b">
        <f t="array" ref="MM35">OR(ME35:ML35="-")</f>
        <v>0</v>
      </c>
      <c r="MN35" s="285"/>
      <c r="MO35" s="401"/>
      <c r="MP35" s="286"/>
      <c r="MQ35" s="286"/>
      <c r="MR35" s="402"/>
      <c r="MS35" s="400"/>
      <c r="NH35" s="422"/>
      <c r="NJ35" s="421"/>
    </row>
    <row r="36" spans="1:374" s="1" customFormat="1" ht="16.5">
      <c r="A36" s="403">
        <v>46028</v>
      </c>
      <c r="B36" s="404" t="s">
        <v>1015</v>
      </c>
      <c r="C36" s="405" t="s">
        <v>2748</v>
      </c>
      <c r="D36" s="406" t="s">
        <v>1964</v>
      </c>
      <c r="E36" s="404">
        <v>223</v>
      </c>
      <c r="F36" s="407">
        <v>10700</v>
      </c>
      <c r="G36" s="407" t="s">
        <v>1016</v>
      </c>
      <c r="H36" s="408" t="s">
        <v>1017</v>
      </c>
      <c r="I36" s="409">
        <v>1.4</v>
      </c>
      <c r="J36" s="405" t="s">
        <v>543</v>
      </c>
      <c r="K36" s="404" t="s">
        <v>2749</v>
      </c>
      <c r="L36" s="419" t="str">
        <f t="shared" si="0"/>
        <v>ToyoLi - BLACK</v>
      </c>
      <c r="M36" s="404">
        <v>26</v>
      </c>
      <c r="N36" s="410">
        <f>IF(M36=0,0,IF($LB36=70%,VLOOKUP($L36,'Jan-2026 rates'!$L:$R,4,0),IF($LB36=65%,VLOOKUP($L36,'Jan-2026 rates'!$L:$R,4,0),IF($LB36=40%,VLOOKUP($L36,'Jan-2026 rates'!$L:$R,5,0),IF($LB36=30%,VLOOKUP($L36,'Jan-2026 rates'!$L:$R,6,0),IF($LB36=100%,VLOOKUP($L36,'Jan-2026 rates'!$L:$R,7,0),IF($LB36=60%,VLOOKUP($L36,'Jan-2026 rates'!$L:$S,8,0),IF($LB36=80%,VLOOKUP($L36,'Jan-2026 rates'!L:T,9,0),0))))))))</f>
        <v>0</v>
      </c>
      <c r="O36" s="406"/>
      <c r="P36" s="404"/>
      <c r="Q36" s="410">
        <f>IF(P36=0,0,IF($LB36=70%,VLOOKUP($L36,'Jan-2026 rates'!$L:$R,4,0),IF($LB36=65%,VLOOKUP($L36,'Jan-2026 rates'!$L:$R,4,0),IF($LB36=40%,VLOOKUP($L36,'Jan-2026 rates'!$L:$R,5,0),IF($LB36=30%,VLOOKUP($L36,'Jan-2026 rates'!$L:$R,6,0),IF($LB36=100%,VLOOKUP($L36,'Jan-2026 rates'!$L:$R,7,0),IF($LB36=60%,VLOOKUP($L36,'Jan-2026 rates'!$L:$S,8,0),IF($LB36=80%,VLOOKUP($L36,'Jan-2026 rates'!L:T,9,0),0))))))))</f>
        <v>0</v>
      </c>
      <c r="R36" s="406" t="s">
        <v>1252</v>
      </c>
      <c r="S36" s="406"/>
      <c r="T36" s="406"/>
      <c r="U36" s="406"/>
      <c r="V36" s="406"/>
      <c r="W36" s="406"/>
      <c r="X36" s="406"/>
      <c r="Y36" s="406"/>
      <c r="Z36" s="404">
        <v>4</v>
      </c>
      <c r="AA36" s="398">
        <f>IF(Z36=0,0,IF(LEN(R36)=11,_xlfn.XLOOKUP(R36,'Dispensed Ink Rates'!C:C,'Dispensed Ink Rates'!CS:CS),VLOOKUP(R36,'Jan-2026 rates'!$E:$F,2,0)))</f>
        <v>0</v>
      </c>
      <c r="AB36" s="404"/>
      <c r="AC36" s="398">
        <f>IF(AB36=0,0,IF(LEN(S36)=11,_xlfn.XLOOKUP(S36,'Dispensed Ink Rates'!C:C,'Dispensed Ink Rates'!CS:CS),VLOOKUP(S36,'Jan-2026 rates'!$E:$F,2,0)))</f>
        <v>0</v>
      </c>
      <c r="AD36" s="404"/>
      <c r="AE36" s="398">
        <f>IF(AD36=0,0,IF(LEN(T36)=11,_xlfn.XLOOKUP(T36,'Dispensed Ink Rates'!C:C,'Dispensed Ink Rates'!CS:CS),VLOOKUP(T36,'Jan-2026 rates'!$E:$F,2,0)))</f>
        <v>0</v>
      </c>
      <c r="AF36" s="404"/>
      <c r="AG36" s="398">
        <f>IF(AF36=0,0,IF(LEN(U36)=11,_xlfn.XLOOKUP(U36,'Dispensed Ink Rates'!C:C,'Dispensed Ink Rates'!CS:CS),VLOOKUP(U36,'Jan-2026 rates'!$E:$F,2,0)))</f>
        <v>0</v>
      </c>
      <c r="AH36" s="404"/>
      <c r="AI36" s="398">
        <f>IF(AH36=0,0,IF(LEN(V36)=11,_xlfn.XLOOKUP(V36,'Dispensed Ink Rates'!C:C,'Dispensed Ink Rates'!CS:CS),VLOOKUP(V36,'Jan-2026 rates'!$E:$F,2,0)))</f>
        <v>0</v>
      </c>
      <c r="AJ36" s="404"/>
      <c r="AK36" s="398">
        <f>IF(AJ36=0,0,IF(LEN(W36)=11,_xlfn.XLOOKUP(W36,'Dispensed Ink Rates'!C:C,'Dispensed Ink Rates'!CS:CS),VLOOKUP(W36,'Jan-2026 rates'!$E:$F,2,0)))</f>
        <v>0</v>
      </c>
      <c r="AL36" s="404"/>
      <c r="AM36" s="398">
        <f>IF(AL36=0,0,IF(LEN(X36)=11,_xlfn.XLOOKUP(X36,'Dispensed Ink Rates'!C:C,'Dispensed Ink Rates'!CS:CS),VLOOKUP(X36,'Jan-2026 rates'!$E:$F,2,0)))</f>
        <v>0</v>
      </c>
      <c r="AN36" s="404"/>
      <c r="AO36" s="398">
        <f>IF(AN36=0,0,IF(LEN(Y36)=11,_xlfn.XLOOKUP(Y36,'Dispensed Ink Rates'!C:C,'Dispensed Ink Rates'!CS:CS),VLOOKUP(Y36,'Jan-2026 rates'!$E:$F,2,0)))</f>
        <v>0</v>
      </c>
      <c r="AP36" s="409" t="s">
        <v>1881</v>
      </c>
      <c r="AQ36" s="409">
        <v>28</v>
      </c>
      <c r="AR36" s="410">
        <f t="shared" si="1"/>
        <v>0</v>
      </c>
      <c r="AS36" s="411">
        <f t="shared" si="2"/>
        <v>8.25</v>
      </c>
      <c r="AT36" s="410">
        <f t="shared" si="3"/>
        <v>0</v>
      </c>
      <c r="AU36" s="405" t="s">
        <v>546</v>
      </c>
      <c r="AV36" s="409" t="s">
        <v>2718</v>
      </c>
      <c r="AW36" s="420" t="str">
        <f t="shared" si="4"/>
        <v>ToyoLi - REFLEX BLUE</v>
      </c>
      <c r="AX36" s="409">
        <v>16</v>
      </c>
      <c r="AY36" s="411">
        <f>IF(AX36=0,0,IF($LB36=70%,VLOOKUP($AW36,'Jan-2026 rates'!$L:$R,4,0),IF($LB36=65%,VLOOKUP($AW36,'Jan-2026 rates'!$L:$R,4,0),IF($LB36=40%,VLOOKUP($AW36,'Jan-2026 rates'!$L:$R,5,0),IF($LB36=30%,VLOOKUP($AW36,'Jan-2026 rates'!$L:$R,6,0),IF($LB36=100%,VLOOKUP($AW36,'Jan-2026 rates'!$L:$R,7,0),IF($LB36=60%,VLOOKUP($AW36,'Jan-2026 rates'!$L:$S,8,0),IF($LB36=80%,VLOOKUP($AW36,'Jan-2026 rates'!L:T,9,0),0))))))))</f>
        <v>0</v>
      </c>
      <c r="AZ36" s="412" t="s">
        <v>2750</v>
      </c>
      <c r="BA36" s="409">
        <f>20+7</f>
        <v>27</v>
      </c>
      <c r="BB36" s="411">
        <f>IF(BA36=0,0,IF($LB36=70%,VLOOKUP($AW36,'Jan-2026 rates'!$L:$R,4,0),IF($LB36=65%,VLOOKUP($AW36,'Jan-2026 rates'!$L:$R,4,0),IF($LB36=40%,VLOOKUP($AW36,'Jan-2026 rates'!$L:$R,5,0),IF($LB36=30%,VLOOKUP($AW36,'Jan-2026 rates'!$L:$R,6,0),IF($LB36=100%,VLOOKUP($AW36,'Jan-2026 rates'!$L:$R,7,0),IF($LB36=60%,VLOOKUP($AW36,'Jan-2026 rates'!$L:$S,8,0),IF($LB36=80%,VLOOKUP($AW36,'Jan-2026 rates'!L:T,9,0),0))))))))</f>
        <v>0</v>
      </c>
      <c r="BC36" s="413"/>
      <c r="BD36" s="412"/>
      <c r="BE36" s="412"/>
      <c r="BF36" s="413"/>
      <c r="BG36" s="412"/>
      <c r="BH36" s="412"/>
      <c r="BI36" s="412"/>
      <c r="BJ36" s="412"/>
      <c r="BK36" s="409"/>
      <c r="BL36" s="398">
        <f>IF(BK36=0,0,IF(LEN(BC36)=11,_xlfn.XLOOKUP(BC36,'Dispensed Ink Rates'!C:C,'Dispensed Ink Rates'!CS:CS),VLOOKUP(BC36,'Jan-2026 rates'!$E:$F,2,0)))</f>
        <v>0</v>
      </c>
      <c r="BM36" s="409"/>
      <c r="BN36" s="398">
        <f>IF(BM36=0,0,IF(LEN(BD36)=11,_xlfn.XLOOKUP(BD36,'Dispensed Ink Rates'!C:C,'Dispensed Ink Rates'!CS:CS),VLOOKUP(BD36,'Jan-2026 rates'!$E:$F,2,0)))</f>
        <v>0</v>
      </c>
      <c r="BO36" s="409"/>
      <c r="BP36" s="398">
        <f>IF(BO36=0,0,IF(LEN(BE36)=11,_xlfn.XLOOKUP(BE36,'Dispensed Ink Rates'!C:C,'Dispensed Ink Rates'!CS:CS),VLOOKUP(BE36,'Jan-2026 rates'!$E:$F,2,0)))</f>
        <v>0</v>
      </c>
      <c r="BQ36" s="409"/>
      <c r="BR36" s="398">
        <f>IF(BQ36=0,0,IF(LEN(BF36)=11,_xlfn.XLOOKUP(BF36,'Dispensed Ink Rates'!C:C,'Dispensed Ink Rates'!CS:CS),VLOOKUP(BF36,'Jan-2026 rates'!$E:$F,2,0)))</f>
        <v>0</v>
      </c>
      <c r="BS36" s="409"/>
      <c r="BT36" s="398">
        <f>IF(BS36=0,0,IF(LEN(BG36)=11,_xlfn.XLOOKUP(BG36,'Dispensed Ink Rates'!C:C,'Dispensed Ink Rates'!CS:CS),VLOOKUP(BG36,'Jan-2026 rates'!$E:$F,2,0)))</f>
        <v>0</v>
      </c>
      <c r="BU36" s="409"/>
      <c r="BV36" s="398">
        <f>IF(BU36=0,0,IF(LEN(BH36)=11,_xlfn.XLOOKUP(BH36,'Dispensed Ink Rates'!C:C,'Dispensed Ink Rates'!CS:CS),VLOOKUP(BH36,'Jan-2026 rates'!$E:$F,2,0)))</f>
        <v>0</v>
      </c>
      <c r="BW36" s="409"/>
      <c r="BX36" s="398">
        <f>IF(BW36=0,0,IF(LEN(BI36)=11,_xlfn.XLOOKUP(BI36,'Dispensed Ink Rates'!C:C,'Dispensed Ink Rates'!CS:CS),VLOOKUP(BI36,'Jan-2026 rates'!$E:$F,2,0)))</f>
        <v>0</v>
      </c>
      <c r="BY36" s="409"/>
      <c r="BZ36" s="398">
        <f>IF(BY36=0,0,IF(LEN(BJ36)=11,_xlfn.XLOOKUP(BJ36,'Dispensed Ink Rates'!C:C,'Dispensed Ink Rates'!CS:CS),VLOOKUP(BJ36,'Jan-2026 rates'!$E:$F,2,0)))</f>
        <v>0</v>
      </c>
      <c r="CA36" s="409" t="s">
        <v>1881</v>
      </c>
      <c r="CB36" s="409">
        <f>12+14</f>
        <v>26</v>
      </c>
      <c r="CC36" s="411">
        <f t="shared" si="5"/>
        <v>0</v>
      </c>
      <c r="CD36" s="411">
        <f t="shared" si="6"/>
        <v>21.166666666666664</v>
      </c>
      <c r="CE36" s="410">
        <f t="shared" si="7"/>
        <v>0</v>
      </c>
      <c r="CF36" s="404" t="s">
        <v>855</v>
      </c>
      <c r="CG36" s="409" t="s">
        <v>2751</v>
      </c>
      <c r="CH36" s="420" t="str">
        <f t="shared" si="8"/>
        <v>ToyoLi - CYAN</v>
      </c>
      <c r="CI36" s="409">
        <v>28</v>
      </c>
      <c r="CJ36" s="411">
        <f>IF(CI36=0,0,IF($LB36=70%,VLOOKUP($CH36,'Jan-2026 rates'!$L:$R,4,0),IF($LB36=65%,VLOOKUP($CH36,'Jan-2026 rates'!$L:$R,4,0),IF($LB36=40%,VLOOKUP($CH36,'Jan-2026 rates'!$L:$R,5,0),IF($LB36=30%,VLOOKUP($CH36,'Jan-2026 rates'!$L:$R,6,0),IF($LB36=100%,VLOOKUP($CH36,'Jan-2026 rates'!$L:$R,7,0),IF($LB36=60%,VLOOKUP($CH36,'Jan-2026 rates'!$L:$S,8,0),IF($LB36=80%,VLOOKUP($CH36,'Jan-2026 rates'!L:T,9,0),0))))))))</f>
        <v>0</v>
      </c>
      <c r="CK36" s="412"/>
      <c r="CL36" s="409"/>
      <c r="CM36" s="411">
        <f>IF(CL36=0,0,IF($LB36=70%,VLOOKUP($CH36,'Jan-2026 rates'!$L:$R,4,0),IF($LB36=65%,VLOOKUP($CH36,'Jan-2026 rates'!$L:$R,4,0),IF($LB36=40%,VLOOKUP($CH36,'Jan-2026 rates'!$L:$R,5,0),IF($LB36=30%,VLOOKUP($CH36,'Jan-2026 rates'!$L:$R,6,0),IF($LB36=100%,VLOOKUP($CH36,'Jan-2026 rates'!$L:$R,7,0),IF($LB36=60%,VLOOKUP($CH36,'Jan-2026 rates'!$L:$S,8,0),IF($LB36=80%,VLOOKUP($CH36,'Jan-2026 rates'!L:T,9,0),0))))))))</f>
        <v>0</v>
      </c>
      <c r="CN36" s="426" t="s">
        <v>1250</v>
      </c>
      <c r="CO36" s="427"/>
      <c r="CP36" s="426"/>
      <c r="CQ36" s="426"/>
      <c r="CR36" s="428"/>
      <c r="CS36" s="428"/>
      <c r="CT36" s="428"/>
      <c r="CU36" s="428"/>
      <c r="CV36" s="409">
        <v>2</v>
      </c>
      <c r="CW36" s="398">
        <f>IF(CV36=0,0,IF(LEN(CN36)=11,_xlfn.XLOOKUP(CN36,'Dispensed Ink Rates'!C:C,'Dispensed Ink Rates'!CS:CS),VLOOKUP(CN36,'Jan-2026 rates'!$E:$F,2,0)))</f>
        <v>0</v>
      </c>
      <c r="CX36" s="409"/>
      <c r="CY36" s="398">
        <f>IF(CX36=0,0,IF(LEN(CO36)=11,_xlfn.XLOOKUP(CO36,'Dispensed Ink Rates'!C:C,'Dispensed Ink Rates'!CS:CS),VLOOKUP(CO36,'Jan-2026 rates'!$E:$F,2,0)))</f>
        <v>0</v>
      </c>
      <c r="CZ36" s="409"/>
      <c r="DA36" s="398">
        <f>IF(CZ36=0,0,IF(LEN(CP36)=11,_xlfn.XLOOKUP(CP36,'Dispensed Ink Rates'!C:C,'Dispensed Ink Rates'!CS:CS),VLOOKUP(CP36,'Jan-2026 rates'!$E:$F,2,0)))</f>
        <v>0</v>
      </c>
      <c r="DB36" s="409"/>
      <c r="DC36" s="398">
        <f>IF(DB36=0,0,IF(LEN(CQ36)=11,_xlfn.XLOOKUP(CQ36,'Dispensed Ink Rates'!C:C,'Dispensed Ink Rates'!CS:CS),VLOOKUP(CQ36,'Jan-2026 rates'!$E:$F,2,0)))</f>
        <v>0</v>
      </c>
      <c r="DD36" s="409"/>
      <c r="DE36" s="398">
        <f>IF(DD36=0,0,IF(LEN(CR36)=11,_xlfn.XLOOKUP(CR36,'Dispensed Ink Rates'!C:C,'Dispensed Ink Rates'!CS:CS),VLOOKUP(CR36,'Jan-2026 rates'!$E:$F,2,0)))</f>
        <v>0</v>
      </c>
      <c r="DF36" s="409"/>
      <c r="DG36" s="398">
        <f>IF(DF36=0,0,IF(LEN(CS36)=11,_xlfn.XLOOKUP(CS36,'Dispensed Ink Rates'!C:C,'Dispensed Ink Rates'!CS:CS),VLOOKUP(CS36,'Jan-2026 rates'!$E:$F,2,0)))</f>
        <v>0</v>
      </c>
      <c r="DH36" s="409"/>
      <c r="DI36" s="398">
        <f>IF(DH36=0,0,IF(LEN(CT36)=11,_xlfn.XLOOKUP(CT36,'Dispensed Ink Rates'!C:C,'Dispensed Ink Rates'!CS:CS),VLOOKUP(CT36,'Jan-2026 rates'!$E:$F,2,0)))</f>
        <v>0</v>
      </c>
      <c r="DJ36" s="409"/>
      <c r="DK36" s="398">
        <f>IF(DJ36=0,0,IF(LEN(CU36)=11,_xlfn.XLOOKUP(CU36,'Dispensed Ink Rates'!C:C,'Dispensed Ink Rates'!CS:CS),VLOOKUP(CU36,'Jan-2026 rates'!$E:$F,2,0)))</f>
        <v>0</v>
      </c>
      <c r="DL36" s="409" t="s">
        <v>1881</v>
      </c>
      <c r="DM36" s="409">
        <v>27</v>
      </c>
      <c r="DN36" s="411">
        <f t="shared" si="9"/>
        <v>0</v>
      </c>
      <c r="DO36" s="411">
        <f t="shared" si="10"/>
        <v>9.25</v>
      </c>
      <c r="DP36" s="410">
        <f t="shared" si="11"/>
        <v>0</v>
      </c>
      <c r="DQ36" s="405" t="s">
        <v>544</v>
      </c>
      <c r="DR36" s="409" t="s">
        <v>2752</v>
      </c>
      <c r="DS36" s="420" t="str">
        <f t="shared" si="12"/>
        <v>ToyoLi - MAGENTA</v>
      </c>
      <c r="DT36" s="409">
        <v>21</v>
      </c>
      <c r="DU36" s="411">
        <f>IF(DT36=0,0,IF($LB36=70%,VLOOKUP($DS36,'Jan-2026 rates'!$L:$R,4,0),IF($LB36=65%,VLOOKUP($DS36,'Jan-2026 rates'!$L:$R,4,0),IF($LB36=40%,VLOOKUP($DS36,'Jan-2026 rates'!$L:$R,5,0),IF($LB36=30%,VLOOKUP($DS36,'Jan-2026 rates'!$L:$R,6,0),IF($LB36=100%,VLOOKUP($DS36,'Jan-2026 rates'!$L:$R,7,0),IF($LB36=60%,VLOOKUP($DS36,'Jan-2026 rates'!$L:$S,8,0),IF($LB36=80%,VLOOKUP($DS36,'Jan-2026 rates'!L:T,9,0),0))))))))</f>
        <v>0</v>
      </c>
      <c r="DV36" s="412"/>
      <c r="DW36" s="409"/>
      <c r="DX36" s="411">
        <f>IF(DW36=0,0,IF($LB36=70%,VLOOKUP($DS36,'Jan-2026 rates'!$L:$R,4,0),IF($LB36=65%,VLOOKUP($DS36,'Jan-2026 rates'!$L:$R,4,0),IF($LB36=40%,VLOOKUP($DS36,'Jan-2026 rates'!$L:$R,5,0),IF($LB36=30%,VLOOKUP($DS36,'Jan-2026 rates'!$L:$R,6,0),IF($LB36=100%,VLOOKUP($DS36,'Jan-2026 rates'!$L:$R,7,0),IF($LB36=60%,VLOOKUP($DS36,'Jan-2026 rates'!$L:$S,8,0),IF($LB36=80%,VLOOKUP($DS36,'Jan-2026 rates'!L:T,9,0),0))))))))</f>
        <v>0</v>
      </c>
      <c r="DY36" s="413" t="s">
        <v>1246</v>
      </c>
      <c r="DZ36" s="413"/>
      <c r="EA36" s="412"/>
      <c r="EB36" s="412"/>
      <c r="EC36" s="412"/>
      <c r="ED36" s="412"/>
      <c r="EE36" s="412"/>
      <c r="EF36" s="412"/>
      <c r="EG36" s="409">
        <v>6</v>
      </c>
      <c r="EH36" s="398">
        <f>IF(EG36=0,0,IF(LEN(DY36)=11,_xlfn.XLOOKUP(DY36,'Dispensed Ink Rates'!C:C,'Dispensed Ink Rates'!CS:CS),VLOOKUP(DY36,'Jan-2026 rates'!$E:$F,2,0)))</f>
        <v>0</v>
      </c>
      <c r="EI36" s="409"/>
      <c r="EJ36" s="398">
        <f>IF(EI36=0,0,IF(LEN(DZ36)=11,_xlfn.XLOOKUP(DZ36,'Dispensed Ink Rates'!C:C,'Dispensed Ink Rates'!CS:CS),VLOOKUP(DZ36,'Jan-2026 rates'!$E:$F,2,0)))</f>
        <v>0</v>
      </c>
      <c r="EK36" s="409"/>
      <c r="EL36" s="398">
        <f>IF(EK36=0,0,IF(LEN(EA36)=11,_xlfn.XLOOKUP(EA36,'Dispensed Ink Rates'!C:C,'Dispensed Ink Rates'!CS:CS),VLOOKUP(EA36,'Jan-2026 rates'!$E:$F,2,0)))</f>
        <v>0</v>
      </c>
      <c r="EM36" s="409"/>
      <c r="EN36" s="398">
        <f>IF(EM36=0,0,IF(LEN(EB36)=11,_xlfn.XLOOKUP(EB36,'Dispensed Ink Rates'!C:C,'Dispensed Ink Rates'!CS:CS),VLOOKUP(EB36,'Jan-2026 rates'!$E:$F,2,0)))</f>
        <v>0</v>
      </c>
      <c r="EO36" s="409"/>
      <c r="EP36" s="398">
        <f>IF(EO36=0,0,IF(LEN(EC36)=11,_xlfn.XLOOKUP(EC36,'Dispensed Ink Rates'!C:C,'Dispensed Ink Rates'!CS:CS),VLOOKUP(EC36,'Jan-2026 rates'!$E:$F,2,0)))</f>
        <v>0</v>
      </c>
      <c r="EQ36" s="409"/>
      <c r="ER36" s="398">
        <f>IF(EQ36=0,0,IF(LEN(ED36)=11,_xlfn.XLOOKUP(ED36,'Dispensed Ink Rates'!C:C,'Dispensed Ink Rates'!CS:CS),VLOOKUP(ED36,'Jan-2026 rates'!$E:$F,2,0)))</f>
        <v>0</v>
      </c>
      <c r="ES36" s="409"/>
      <c r="ET36" s="398">
        <f>IF(ES36=0,0,IF(LEN(EE36)=11,_xlfn.XLOOKUP(EE36,'Dispensed Ink Rates'!C:C,'Dispensed Ink Rates'!CS:CS),VLOOKUP(EE36,'Jan-2026 rates'!$E:$F,2,0)))</f>
        <v>0</v>
      </c>
      <c r="EU36" s="409"/>
      <c r="EV36" s="398">
        <f>IF(EU36=0,0,IF(LEN(EF36)=11,_xlfn.XLOOKUP(EF36,'Dispensed Ink Rates'!C:C,'Dispensed Ink Rates'!CS:CS),VLOOKUP(EF36,'Jan-2026 rates'!$E:$F,2,0)))</f>
        <v>0</v>
      </c>
      <c r="EW36" s="409" t="s">
        <v>1881</v>
      </c>
      <c r="EX36" s="409">
        <v>26</v>
      </c>
      <c r="EY36" s="411">
        <f t="shared" si="13"/>
        <v>0</v>
      </c>
      <c r="EZ36" s="411">
        <f t="shared" si="14"/>
        <v>5.1666666666666643</v>
      </c>
      <c r="FA36" s="410">
        <f t="shared" si="15"/>
        <v>0</v>
      </c>
      <c r="FB36" s="405" t="s">
        <v>545</v>
      </c>
      <c r="FC36" s="409" t="s">
        <v>2753</v>
      </c>
      <c r="FD36" s="420" t="str">
        <f t="shared" si="16"/>
        <v>ToyoLi - YELLOW</v>
      </c>
      <c r="FE36" s="409">
        <v>26</v>
      </c>
      <c r="FF36" s="411">
        <f>IF(FE36=0,0,IF($LB36=70%,VLOOKUP($FD36,'Jan-2026 rates'!$L:$R,4,0),IF($LB36=65%,VLOOKUP($FD36,'Jan-2026 rates'!$L:$R,4,0),IF($LB36=40%,VLOOKUP($FD36,'Jan-2026 rates'!$L:$R,5,0),IF($LB36=30%,VLOOKUP($FD36,'Jan-2026 rates'!$L:$R,6,0),IF($LB36=100%,VLOOKUP($FD36,'Jan-2026 rates'!$L:$R,7,0),IF($LB36=60%,VLOOKUP($FD36,'Jan-2026 rates'!$L:$S,8,0),IF($LB36=80%,VLOOKUP($FD36,'Jan-2026 rates'!L:T,9,0),0))))))))</f>
        <v>0</v>
      </c>
      <c r="FG36" s="412"/>
      <c r="FH36" s="409"/>
      <c r="FI36" s="411">
        <f>IF(FH36=0,0,IF($LB36=70%,VLOOKUP($FD36,'Jan-2026 rates'!$L:$R,4,0),IF($LB36=65%,VLOOKUP($FD36,'Jan-2026 rates'!$L:$R,4,0),IF($LB36=40%,VLOOKUP($FD36,'Jan-2026 rates'!$L:$R,5,0),IF($LB36=30%,VLOOKUP($FD36,'Jan-2026 rates'!$L:$R,6,0),IF($LB36=100%,VLOOKUP($FD36,'Jan-2026 rates'!$L:$R,7,0),IF($LB36=60%,VLOOKUP($FD36,'Jan-2026 rates'!$L:$S,8,0),IF($LB36=80%,VLOOKUP($FD36,'Jan-2026 rates'!L:T,9,0),0))))))))</f>
        <v>0</v>
      </c>
      <c r="FJ36" s="413" t="s">
        <v>1247</v>
      </c>
      <c r="FK36" s="413"/>
      <c r="FL36" s="413"/>
      <c r="FM36" s="412"/>
      <c r="FN36" s="412"/>
      <c r="FO36" s="412"/>
      <c r="FP36" s="412"/>
      <c r="FQ36" s="412"/>
      <c r="FR36" s="409">
        <v>3</v>
      </c>
      <c r="FS36" s="398">
        <f>IF(FR36=0,0,IF(LEN(FJ36)=11,_xlfn.XLOOKUP(FJ36,'Dispensed Ink Rates'!C:C,'Dispensed Ink Rates'!CS:CS),VLOOKUP(FJ36,'Jan-2026 rates'!$E:$F,2,0)))</f>
        <v>0</v>
      </c>
      <c r="FT36" s="409"/>
      <c r="FU36" s="398">
        <f>IF(FT36=0,0,IF(LEN(FK36)=11,_xlfn.XLOOKUP(FK36,'Dispensed Ink Rates'!C:C,'Dispensed Ink Rates'!CS:CS),VLOOKUP(FK36,'Jan-2026 rates'!$E:$F,2,0)))</f>
        <v>0</v>
      </c>
      <c r="FV36" s="409"/>
      <c r="FW36" s="398">
        <f>IF(FV36=0,0,IF(LEN(FL36)=11,_xlfn.XLOOKUP(FL36,'Dispensed Ink Rates'!C:C,'Dispensed Ink Rates'!CS:CS),VLOOKUP(FL36,'Jan-2026 rates'!$E:$F,2,0)))</f>
        <v>0</v>
      </c>
      <c r="FX36" s="409"/>
      <c r="FY36" s="398">
        <f>IF(FX36=0,0,IF(LEN(FM36)=11,_xlfn.XLOOKUP(FM36,'Dispensed Ink Rates'!C:C,'Dispensed Ink Rates'!CS:CS),VLOOKUP(FM36,'Jan-2026 rates'!$E:$F,2,0)))</f>
        <v>0</v>
      </c>
      <c r="FZ36" s="409"/>
      <c r="GA36" s="398">
        <f>IF(FZ36=0,0,IF(LEN(FN36)=11,_xlfn.XLOOKUP(FN36,'Dispensed Ink Rates'!C:C,'Dispensed Ink Rates'!CS:CS),VLOOKUP(FN36,'Jan-2026 rates'!$E:$F,2,0)))</f>
        <v>0</v>
      </c>
      <c r="GB36" s="409"/>
      <c r="GC36" s="398">
        <f>IF(GB36=0,0,IF(LEN(FO36)=11,_xlfn.XLOOKUP(FO36,'Dispensed Ink Rates'!C:C,'Dispensed Ink Rates'!CS:CS),VLOOKUP(FO36,'Jan-2026 rates'!$E:$F,2,0)))</f>
        <v>0</v>
      </c>
      <c r="GD36" s="409"/>
      <c r="GE36" s="398">
        <f>IF(GD36=0,0,IF(LEN(FP36)=11,_xlfn.XLOOKUP(FP36,'Dispensed Ink Rates'!C:C,'Dispensed Ink Rates'!CS:CS),VLOOKUP(FP36,'Jan-2026 rates'!$E:$F,2,0)))</f>
        <v>0</v>
      </c>
      <c r="GF36" s="409"/>
      <c r="GG36" s="398">
        <f>IF(GF36=0,0,IF(LEN(FQ36)=11,_xlfn.XLOOKUP(FQ36,'Dispensed Ink Rates'!C:C,'Dispensed Ink Rates'!CS:CS),VLOOKUP(FQ36,'Jan-2026 rates'!$E:$F,2,0)))</f>
        <v>0</v>
      </c>
      <c r="GH36" s="409" t="s">
        <v>1881</v>
      </c>
      <c r="GI36" s="409">
        <v>25</v>
      </c>
      <c r="GJ36" s="411">
        <f t="shared" si="17"/>
        <v>0</v>
      </c>
      <c r="GK36" s="411">
        <f t="shared" si="18"/>
        <v>41.5</v>
      </c>
      <c r="GL36" s="410">
        <f t="shared" si="19"/>
        <v>0</v>
      </c>
      <c r="GM36" s="405" t="s">
        <v>855</v>
      </c>
      <c r="GN36" s="409" t="s">
        <v>2754</v>
      </c>
      <c r="GO36" s="420" t="str">
        <f t="shared" si="20"/>
        <v>ToyoLi - CYAN</v>
      </c>
      <c r="GP36" s="409">
        <v>11</v>
      </c>
      <c r="GQ36" s="411">
        <f>IF(GP36=0,0,IF($LB36=70%,VLOOKUP($GO36,'Jan-2026 rates'!$L:$R,4,0),IF($LB36=65%,VLOOKUP($GO36,'Jan-2026 rates'!$L:$R,4,0),IF($LB36=40%,VLOOKUP($GO36,'Jan-2026 rates'!$L:$R,5,0),IF($LB36=30%,VLOOKUP($GO36,'Jan-2026 rates'!$L:$R,6,0),IF($LB36=100%,VLOOKUP($GO36,'Jan-2026 rates'!$L:$R,7,0),IF($LB36=60%,VLOOKUP($GO36,'Jan-2026 rates'!$L:$S,8,0),IF($LB36=80%,VLOOKUP($GO36,'Jan-2026 rates'!L:T,9,0),0))))))))</f>
        <v>0</v>
      </c>
      <c r="GR36" s="412"/>
      <c r="GS36" s="409"/>
      <c r="GT36" s="411">
        <f>IF(GS36=0,0,IF($LB36=70%,VLOOKUP($GO36,'Jan-2026 rates'!$L:$R,4,0),IF($LB36=65%,VLOOKUP($GO36,'Jan-2026 rates'!$L:$R,4,0),IF($LB36=40%,VLOOKUP($GO36,'Jan-2026 rates'!$L:$R,5,0),IF($LB36=30%,VLOOKUP($GO36,'Jan-2026 rates'!$L:$R,6,0),IF($LB36=100%,VLOOKUP($GO36,'Jan-2026 rates'!$L:$R,7,0),IF($LB36=60%,VLOOKUP($GO36,'Jan-2026 rates'!$L:$S,8,0),IF($LB36=80%,VLOOKUP($GO36,'Jan-2026 rates'!L:T,9,0),0))))))))</f>
        <v>0</v>
      </c>
      <c r="GU36" s="413" t="s">
        <v>1921</v>
      </c>
      <c r="GV36" s="413" t="s">
        <v>1246</v>
      </c>
      <c r="GW36" s="412"/>
      <c r="GX36" s="412"/>
      <c r="GY36" s="412"/>
      <c r="GZ36" s="412"/>
      <c r="HA36" s="412"/>
      <c r="HB36" s="412"/>
      <c r="HC36" s="409">
        <f>15+20</f>
        <v>35</v>
      </c>
      <c r="HD36" s="398">
        <f>IF(HC36=0,0,IF(LEN(GU36)=11,_xlfn.XLOOKUP(GU36,'Dispensed Ink Rates'!C:C,'Dispensed Ink Rates'!CS:CS),VLOOKUP(GU36,'Jan-2026 rates'!$E:$F,2,0)))</f>
        <v>0</v>
      </c>
      <c r="HE36" s="409">
        <v>0.5</v>
      </c>
      <c r="HF36" s="398">
        <f>IF(HE36=0,0,IF(LEN(GV36)=11,_xlfn.XLOOKUP(GV36,'Dispensed Ink Rates'!C:C,'Dispensed Ink Rates'!CS:CS),VLOOKUP(GV36,'Jan-2026 rates'!$E:$F,2,0)))</f>
        <v>0</v>
      </c>
      <c r="HG36" s="409"/>
      <c r="HH36" s="398">
        <f>IF(HG36=0,0,IF(LEN(GW36)=11,_xlfn.XLOOKUP(GW36,'Dispensed Ink Rates'!C:C,'Dispensed Ink Rates'!CS:CS),VLOOKUP(GW36,'Jan-2026 rates'!$E:$F,2,0)))</f>
        <v>0</v>
      </c>
      <c r="HI36" s="409"/>
      <c r="HJ36" s="398">
        <f>IF(HI36=0,0,IF(LEN(GX36)=11,_xlfn.XLOOKUP(GX36,'Dispensed Ink Rates'!C:C,'Dispensed Ink Rates'!CS:CS),VLOOKUP(GX36,'Jan-2026 rates'!$E:$F,2,0)))</f>
        <v>0</v>
      </c>
      <c r="HK36" s="409"/>
      <c r="HL36" s="398">
        <f>IF(HK36=0,0,IF(LEN(GY36)=11,_xlfn.XLOOKUP(GY36,'Dispensed Ink Rates'!C:C,'Dispensed Ink Rates'!CS:CS),VLOOKUP(GY36,'Jan-2026 rates'!$E:$F,2,0)))</f>
        <v>0</v>
      </c>
      <c r="HM36" s="409"/>
      <c r="HN36" s="398">
        <f>IF(HM36=0,0,IF(LEN(GZ36)=11,_xlfn.XLOOKUP(GZ36,'Dispensed Ink Rates'!C:C,'Dispensed Ink Rates'!CS:CS),VLOOKUP(GZ36,'Jan-2026 rates'!$E:$F,2,0)))</f>
        <v>0</v>
      </c>
      <c r="HO36" s="409"/>
      <c r="HP36" s="398">
        <f>IF(HO36=0,0,IF(LEN(HA36)=11,_xlfn.XLOOKUP(HA36,'Dispensed Ink Rates'!C:C,'Dispensed Ink Rates'!CS:CS),VLOOKUP(HA36,'Jan-2026 rates'!$E:$F,2,0)))</f>
        <v>0</v>
      </c>
      <c r="HQ36" s="409"/>
      <c r="HR36" s="398">
        <f>IF(HQ36=0,0,IF(LEN(HB36)=11,_xlfn.XLOOKUP(HB36,'Dispensed Ink Rates'!C:C,'Dispensed Ink Rates'!CS:CS),VLOOKUP(HB36,'Jan-2026 rates'!$E:$F,2,0)))</f>
        <v>0</v>
      </c>
      <c r="HS36" s="409" t="s">
        <v>1881</v>
      </c>
      <c r="HT36" s="409">
        <f>19+17+21</f>
        <v>57</v>
      </c>
      <c r="HU36" s="411">
        <f t="shared" si="21"/>
        <v>0</v>
      </c>
      <c r="HV36" s="411">
        <f t="shared" si="22"/>
        <v>31.166666666666671</v>
      </c>
      <c r="HW36" s="414">
        <f t="shared" si="23"/>
        <v>0</v>
      </c>
      <c r="HX36" s="405" t="s">
        <v>856</v>
      </c>
      <c r="HY36" s="409" t="s">
        <v>2755</v>
      </c>
      <c r="HZ36" s="420" t="str">
        <f t="shared" si="24"/>
        <v>ToyoLi - WHITE</v>
      </c>
      <c r="IA36" s="409">
        <v>30</v>
      </c>
      <c r="IB36" s="411">
        <f>IF(IA36=0,0,IF($LB36=70%,VLOOKUP($HZ36,'Jan-2026 rates'!$L:$R,4,0),IF($LB36=65%,VLOOKUP($HZ36,'Jan-2026 rates'!$L:$R,4,0),IF($LB36=40%,VLOOKUP($HZ36,'Jan-2026 rates'!$L:$R,5,0),IF($LB36=30%,VLOOKUP($HZ36,'Jan-2026 rates'!$L:$R,6,0),IF($LB36=100%,VLOOKUP($HZ36,'Jan-2026 rates'!$L:$R,7,0),IF($LB36=60%,VLOOKUP($HZ36,'Jan-2026 rates'!$L:$S,8,0),IF($LB36=80%,VLOOKUP($HZ36,'Jan-2026 rates'!L:T,9,0),0))))))))</f>
        <v>0</v>
      </c>
      <c r="IC36" s="412"/>
      <c r="ID36" s="409"/>
      <c r="IE36" s="411">
        <f>IF(ID36=0,0,IF($LB36=70%,VLOOKUP($HZ36,'Jan-2026 rates'!$L:$R,4,0),IF($LB36=65%,VLOOKUP($HZ36,'Jan-2026 rates'!$L:$R,4,0),IF($LB36=40%,VLOOKUP($HZ36,'Jan-2026 rates'!$L:$R,5,0),IF($LB36=30%,VLOOKUP($HZ36,'Jan-2026 rates'!$L:$R,6,0),IF($LB36=100%,VLOOKUP($HZ36,'Jan-2026 rates'!$L:$R,7,0),IF($LB36=60%,VLOOKUP($HZ36,'Jan-2026 rates'!$L:$S,8,0),IF($LB36=80%,VLOOKUP($HZ36,'Jan-2026 rates'!L:T,9,0),0))))))))</f>
        <v>0</v>
      </c>
      <c r="IF36" s="412" t="s">
        <v>1249</v>
      </c>
      <c r="IG36" s="413" t="s">
        <v>1122</v>
      </c>
      <c r="IH36" s="412"/>
      <c r="II36" s="412"/>
      <c r="IJ36" s="412"/>
      <c r="IK36" s="412"/>
      <c r="IL36" s="412"/>
      <c r="IM36" s="412"/>
      <c r="IN36" s="409">
        <v>40</v>
      </c>
      <c r="IO36" s="398">
        <f>IF(IN36=0,0,IF(LEN(IF36)=11,_xlfn.XLOOKUP(IF36,'Dispensed Ink Rates'!C:C,'Dispensed Ink Rates'!CS:CS),VLOOKUP(IF36,'Jan-2026 rates'!$E:$F,2,0)))</f>
        <v>0</v>
      </c>
      <c r="IP36" s="409">
        <v>5.5</v>
      </c>
      <c r="IQ36" s="398">
        <f>IF(IP36=0,0,IF(LEN(IG36)=11,_xlfn.XLOOKUP(IG36,'Dispensed Ink Rates'!C:C,'Dispensed Ink Rates'!CS:CS),VLOOKUP(IG36,'Jan-2026 rates'!$E:$F,2,0)))</f>
        <v>0</v>
      </c>
      <c r="IR36" s="409"/>
      <c r="IS36" s="398">
        <f>IF(IR36=0,0,IF(LEN(IH36)=11,_xlfn.XLOOKUP(IH36,'Dispensed Ink Rates'!C:C,'Dispensed Ink Rates'!CS:CS),VLOOKUP(IH36,'Jan-2026 rates'!$E:$F,2,0)))</f>
        <v>0</v>
      </c>
      <c r="IT36" s="409"/>
      <c r="IU36" s="398">
        <f>IF(IT36=0,0,IF(LEN(II36)=11,_xlfn.XLOOKUP(II36,'Dispensed Ink Rates'!C:C,'Dispensed Ink Rates'!CS:CS),VLOOKUP(II36,'Jan-2026 rates'!$E:$F,2,0)))</f>
        <v>0</v>
      </c>
      <c r="IV36" s="409"/>
      <c r="IW36" s="398">
        <f>IF(IV36=0,0,IF(LEN(IJ36)=11,_xlfn.XLOOKUP(IJ36,'Dispensed Ink Rates'!C:C,'Dispensed Ink Rates'!CS:CS),VLOOKUP(IJ36,'Jan-2026 rates'!$E:$F,2,0)))</f>
        <v>0</v>
      </c>
      <c r="IX36" s="409"/>
      <c r="IY36" s="398">
        <f>IF(IX36=0,0,IF(LEN(IK36)=11,_xlfn.XLOOKUP(IK36,'Dispensed Ink Rates'!C:C,'Dispensed Ink Rates'!CS:CS),VLOOKUP(IK36,'Jan-2026 rates'!$E:$F,2,0)))</f>
        <v>0</v>
      </c>
      <c r="IZ36" s="409"/>
      <c r="JA36" s="398">
        <f>IF(IZ36=0,0,IF(LEN(IL36)=11,_xlfn.XLOOKUP(IL36,'Dispensed Ink Rates'!C:C,'Dispensed Ink Rates'!CS:CS),VLOOKUP(IL36,'Jan-2026 rates'!$E:$F,2,0)))</f>
        <v>0</v>
      </c>
      <c r="JB36" s="409"/>
      <c r="JC36" s="398">
        <f>IF(JB36=0,0,IF(LEN(IM36)=11,_xlfn.XLOOKUP(IM36,'Dispensed Ink Rates'!C:C,'Dispensed Ink Rates'!CS:CS),VLOOKUP(IM36,'Jan-2026 rates'!$E:$F,2,0)))</f>
        <v>0</v>
      </c>
      <c r="JD36" s="409" t="s">
        <v>1881</v>
      </c>
      <c r="JE36" s="409">
        <v>30</v>
      </c>
      <c r="JF36" s="411">
        <f t="shared" si="25"/>
        <v>0</v>
      </c>
      <c r="JG36" s="411">
        <f t="shared" si="26"/>
        <v>45.5</v>
      </c>
      <c r="JH36" s="410">
        <f t="shared" si="27"/>
        <v>0</v>
      </c>
      <c r="JI36" s="405"/>
      <c r="JJ36" s="409"/>
      <c r="JK36" s="420" t="str">
        <f t="shared" si="28"/>
        <v xml:space="preserve"> - </v>
      </c>
      <c r="JL36" s="409"/>
      <c r="JM36" s="411">
        <f>IF(JL36=0,0,IF($LB36=70%,VLOOKUP($JK36,'Jan-2026 rates'!$L:$R,4,0),IF($LB36=65%,VLOOKUP($JK36,'Jan-2026 rates'!$L:$R,4,0),IF($LB36=40%,VLOOKUP($JK36,'Jan-2026 rates'!$L:$R,5,0),IF($LB36=30%,VLOOKUP($JK36,'Jan-2026 rates'!$L:$R,6,0),IF($LB36=100%,VLOOKUP($JK36,'Jan-2026 rates'!$L:$R,7,0),IF($LB36=60%,VLOOKUP($JK36,'Jan-2026 rates'!$L:$S,8,0),IF($LB36=80%,VLOOKUP($JK36,'Jan-2026 rates'!L:T,9,0),0))))))))</f>
        <v>0</v>
      </c>
      <c r="JN36" s="412"/>
      <c r="JO36" s="409"/>
      <c r="JP36" s="411">
        <f>IF(JO36=0,0,IF($LB36=70%,VLOOKUP($JK36,'Jan-2026 rates'!$L:$R,4,0),IF($LB36=65%,VLOOKUP($JK36,'Jan-2026 rates'!$L:$R,4,0),IF($LB36=40%,VLOOKUP($JK36,'Jan-2026 rates'!$L:$R,5,0),IF($LB36=30%,VLOOKUP($JK36,'Jan-2026 rates'!$L:$R,6,0),IF($LB36=100%,VLOOKUP($JK36,'Jan-2026 rates'!$L:$R,7,0),IF($LB36=60%,VLOOKUP($JK36,'Jan-2026 rates'!$L:$S,8,0),IF($LB36=80%,VLOOKUP($JK36,'Jan-2026 rates'!L:T,9,0),0))))))))</f>
        <v>0</v>
      </c>
      <c r="JQ36" s="413"/>
      <c r="JR36" s="412"/>
      <c r="JS36" s="413"/>
      <c r="JT36" s="413"/>
      <c r="JU36" s="412"/>
      <c r="JV36" s="412"/>
      <c r="JW36" s="412"/>
      <c r="JX36" s="412"/>
      <c r="JY36" s="409"/>
      <c r="JZ36" s="398">
        <f>IF(JY36=0,0,IF(LEN(JQ36)=11,_xlfn.XLOOKUP(JQ36,'Dispensed Ink Rates'!C:C,'Dispensed Ink Rates'!CS:CS),VLOOKUP(JQ36,'Jan-2026 rates'!$E:$F,2,0)))</f>
        <v>0</v>
      </c>
      <c r="KA36" s="409"/>
      <c r="KB36" s="398">
        <f>IF(KA36=0,0,IF(LEN(JR36)=11,_xlfn.XLOOKUP(JR36,'Dispensed Ink Rates'!C:C,'Dispensed Ink Rates'!CS:CS),VLOOKUP(JR36,'Jan-2026 rates'!$E:$F,2,0)))</f>
        <v>0</v>
      </c>
      <c r="KC36" s="409"/>
      <c r="KD36" s="398">
        <f>IF(KC36=0,0,IF(LEN(JS36)=11,_xlfn.XLOOKUP(JS36,'Dispensed Ink Rates'!C:C,'Dispensed Ink Rates'!CS:CS),VLOOKUP(JS36,'Jan-2026 rates'!$E:$F,2,0)))</f>
        <v>0</v>
      </c>
      <c r="KE36" s="409"/>
      <c r="KF36" s="398">
        <f>IF(KE36=0,0,IF(LEN(JT36)=11,_xlfn.XLOOKUP(JT36,'Dispensed Ink Rates'!C:C,'Dispensed Ink Rates'!CS:CS),VLOOKUP(JT36,'Jan-2026 rates'!$E:$F,2,0)))</f>
        <v>0</v>
      </c>
      <c r="KG36" s="409"/>
      <c r="KH36" s="398">
        <f>IF(KG36=0,0,IF(LEN(JU36)=11,_xlfn.XLOOKUP(JU36,'Dispensed Ink Rates'!C:C,'Dispensed Ink Rates'!CS:CS),VLOOKUP(JU36,'Jan-2026 rates'!$E:$F,2,0)))</f>
        <v>0</v>
      </c>
      <c r="KI36" s="409"/>
      <c r="KJ36" s="398">
        <f>IF(KI36=0,0,IF(LEN(JV36)=11,_xlfn.XLOOKUP(JV36,'Dispensed Ink Rates'!C:C,'Dispensed Ink Rates'!CS:CS),VLOOKUP(JV36,'Jan-2026 rates'!$E:$F,2,0)))</f>
        <v>0</v>
      </c>
      <c r="KK36" s="409"/>
      <c r="KL36" s="398">
        <f>IF(KK36=0,0,IF(LEN(JW36)=11,_xlfn.XLOOKUP(JW36,'Dispensed Ink Rates'!C:C,'Dispensed Ink Rates'!CS:CS),VLOOKUP(JW36,'Jan-2026 rates'!$E:$F,2,0)))</f>
        <v>0</v>
      </c>
      <c r="KM36" s="428"/>
      <c r="KN36" s="398">
        <f>IF(KM36=0,0,IF(LEN(JX36)=11,_xlfn.XLOOKUP(JX36,'Dispensed Ink Rates'!C:C,'Dispensed Ink Rates'!CS:CS),VLOOKUP(JX36,'Jan-2026 rates'!$E:$F,2,0)))</f>
        <v>0</v>
      </c>
      <c r="KO36" s="409"/>
      <c r="KP36" s="409"/>
      <c r="KQ36" s="411">
        <f t="shared" si="29"/>
        <v>0</v>
      </c>
      <c r="KR36" s="411">
        <f t="shared" si="30"/>
        <v>0</v>
      </c>
      <c r="KS36" s="410">
        <f t="shared" si="31"/>
        <v>0</v>
      </c>
      <c r="KT36" s="409">
        <v>3</v>
      </c>
      <c r="KU36" s="409">
        <v>2</v>
      </c>
      <c r="KV36" s="409">
        <v>3</v>
      </c>
      <c r="KW36" s="409">
        <v>2</v>
      </c>
      <c r="KX36" s="409">
        <v>18</v>
      </c>
      <c r="KY36" s="409">
        <v>20</v>
      </c>
      <c r="KZ36" s="409">
        <v>0</v>
      </c>
      <c r="LA36" s="409">
        <v>0</v>
      </c>
      <c r="LB36" s="415">
        <v>0.3</v>
      </c>
      <c r="LC36" s="415"/>
      <c r="LD36" s="415"/>
      <c r="LE36" s="415">
        <v>0.5</v>
      </c>
      <c r="LF36" s="415">
        <v>0.2</v>
      </c>
      <c r="LG36" s="409">
        <v>0</v>
      </c>
      <c r="LH36" s="409">
        <f>20+18+15+25+6+6+10</f>
        <v>100</v>
      </c>
      <c r="LI36" s="409">
        <v>0</v>
      </c>
      <c r="LJ36" s="409">
        <v>0</v>
      </c>
      <c r="LK36" s="416">
        <f t="shared" si="32"/>
        <v>100</v>
      </c>
      <c r="LL36" s="416">
        <f t="shared" si="33"/>
        <v>100</v>
      </c>
      <c r="LM36" s="417">
        <f t="shared" si="34"/>
        <v>30</v>
      </c>
      <c r="LN36" s="417">
        <f>VLOOKUP($LM$8,'Jan-2026 rates'!$H:$I,2,0)</f>
        <v>0</v>
      </c>
      <c r="LO36" s="417">
        <f t="shared" si="35"/>
        <v>0</v>
      </c>
      <c r="LP36" s="417">
        <f>VLOOKUP($LO$8,'Jan-2026 rates'!$H:$I,2,0)</f>
        <v>0</v>
      </c>
      <c r="LQ36" s="417">
        <f t="shared" si="36"/>
        <v>0</v>
      </c>
      <c r="LR36" s="417">
        <f>VLOOKUP($LQ$8,'Jan-2026 rates'!$H:$I,2,0)</f>
        <v>0</v>
      </c>
      <c r="LS36" s="417">
        <f t="shared" si="37"/>
        <v>50</v>
      </c>
      <c r="LT36" s="417">
        <f>VLOOKUP($LS$8,'Jan-2026 rates'!$H:$I,2,0)</f>
        <v>0</v>
      </c>
      <c r="LU36" s="417">
        <f t="shared" si="38"/>
        <v>20</v>
      </c>
      <c r="LV36" s="417">
        <f>VLOOKUP($LU$8,'Jan-2026 rates'!$H:$I,2,0)</f>
        <v>0</v>
      </c>
      <c r="LW36" s="417">
        <f t="shared" si="39"/>
        <v>0</v>
      </c>
      <c r="LX36" s="417">
        <f t="shared" si="40"/>
        <v>0</v>
      </c>
      <c r="LY36" s="418">
        <f t="shared" si="41"/>
        <v>0</v>
      </c>
      <c r="LZ36" s="417"/>
      <c r="MA36" s="435">
        <f t="shared" si="42"/>
        <v>96</v>
      </c>
      <c r="MB36" s="282">
        <f t="shared" si="43"/>
        <v>162</v>
      </c>
      <c r="MC36" s="283" t="s">
        <v>1964</v>
      </c>
      <c r="MD36" s="284" t="str">
        <f t="shared" si="44"/>
        <v>ToyoLiToyoLiToyoLiToyoLiToyoLiToyoLiToyoLi</v>
      </c>
      <c r="ME36" s="293" t="str">
        <f t="shared" si="45"/>
        <v>+</v>
      </c>
      <c r="MF36" s="293" t="str">
        <f t="shared" si="46"/>
        <v>+</v>
      </c>
      <c r="MG36" s="293" t="str">
        <f t="shared" si="47"/>
        <v>+</v>
      </c>
      <c r="MH36" s="293" t="str">
        <f t="shared" si="48"/>
        <v>+</v>
      </c>
      <c r="MI36" s="293" t="str">
        <f t="shared" si="49"/>
        <v>+</v>
      </c>
      <c r="MJ36" s="293" t="str">
        <f t="shared" si="50"/>
        <v>+</v>
      </c>
      <c r="MK36" s="293" t="str">
        <f t="shared" si="51"/>
        <v>+</v>
      </c>
      <c r="ML36" s="293" t="str">
        <f t="shared" si="52"/>
        <v>NIL</v>
      </c>
      <c r="MM36" s="3" t="b">
        <f t="array" ref="MM36">OR(ME36:ML36="-")</f>
        <v>0</v>
      </c>
      <c r="MN36" s="285"/>
      <c r="MO36" s="401"/>
      <c r="MP36" s="286"/>
      <c r="MQ36" s="286"/>
      <c r="MR36" s="402"/>
      <c r="MS36" s="400"/>
      <c r="NH36" s="422"/>
      <c r="NJ36" s="421"/>
    </row>
    <row r="37" spans="1:374" s="1" customFormat="1" ht="16.5">
      <c r="A37" s="403">
        <v>46028</v>
      </c>
      <c r="B37" s="404" t="s">
        <v>1015</v>
      </c>
      <c r="C37" s="405" t="s">
        <v>2756</v>
      </c>
      <c r="D37" s="406" t="s">
        <v>1965</v>
      </c>
      <c r="E37" s="404">
        <v>235</v>
      </c>
      <c r="F37" s="407">
        <v>10800</v>
      </c>
      <c r="G37" s="407" t="s">
        <v>1016</v>
      </c>
      <c r="H37" s="408" t="s">
        <v>1017</v>
      </c>
      <c r="I37" s="409">
        <v>1.4</v>
      </c>
      <c r="J37" s="405" t="s">
        <v>543</v>
      </c>
      <c r="K37" s="404" t="s">
        <v>2757</v>
      </c>
      <c r="L37" s="419" t="str">
        <f t="shared" si="0"/>
        <v>ToyoLi - BLACK</v>
      </c>
      <c r="M37" s="404">
        <v>28</v>
      </c>
      <c r="N37" s="410">
        <f>IF(M37=0,0,IF($LB37=70%,VLOOKUP($L37,'Jan-2026 rates'!$L:$R,4,0),IF($LB37=65%,VLOOKUP($L37,'Jan-2026 rates'!$L:$R,4,0),IF($LB37=40%,VLOOKUP($L37,'Jan-2026 rates'!$L:$R,5,0),IF($LB37=30%,VLOOKUP($L37,'Jan-2026 rates'!$L:$R,6,0),IF($LB37=100%,VLOOKUP($L37,'Jan-2026 rates'!$L:$R,7,0),IF($LB37=60%,VLOOKUP($L37,'Jan-2026 rates'!$L:$S,8,0),IF($LB37=80%,VLOOKUP($L37,'Jan-2026 rates'!L:T,9,0),0))))))))</f>
        <v>0</v>
      </c>
      <c r="O37" s="406"/>
      <c r="P37" s="404"/>
      <c r="Q37" s="410">
        <f>IF(P37=0,0,IF($LB37=70%,VLOOKUP($L37,'Jan-2026 rates'!$L:$R,4,0),IF($LB37=65%,VLOOKUP($L37,'Jan-2026 rates'!$L:$R,4,0),IF($LB37=40%,VLOOKUP($L37,'Jan-2026 rates'!$L:$R,5,0),IF($LB37=30%,VLOOKUP($L37,'Jan-2026 rates'!$L:$R,6,0),IF($LB37=100%,VLOOKUP($L37,'Jan-2026 rates'!$L:$R,7,0),IF($LB37=60%,VLOOKUP($L37,'Jan-2026 rates'!$L:$S,8,0),IF($LB37=80%,VLOOKUP($L37,'Jan-2026 rates'!L:T,9,0),0))))))))</f>
        <v>0</v>
      </c>
      <c r="R37" s="406" t="s">
        <v>1252</v>
      </c>
      <c r="S37" s="406"/>
      <c r="T37" s="406"/>
      <c r="U37" s="406"/>
      <c r="V37" s="406"/>
      <c r="W37" s="406"/>
      <c r="X37" s="406"/>
      <c r="Y37" s="406"/>
      <c r="Z37" s="404">
        <v>3</v>
      </c>
      <c r="AA37" s="398">
        <f>IF(Z37=0,0,IF(LEN(R37)=11,_xlfn.XLOOKUP(R37,'Dispensed Ink Rates'!C:C,'Dispensed Ink Rates'!CS:CS),VLOOKUP(R37,'Jan-2026 rates'!$E:$F,2,0)))</f>
        <v>0</v>
      </c>
      <c r="AB37" s="404"/>
      <c r="AC37" s="398">
        <f>IF(AB37=0,0,IF(LEN(S37)=11,_xlfn.XLOOKUP(S37,'Dispensed Ink Rates'!C:C,'Dispensed Ink Rates'!CS:CS),VLOOKUP(S37,'Jan-2026 rates'!$E:$F,2,0)))</f>
        <v>0</v>
      </c>
      <c r="AD37" s="404"/>
      <c r="AE37" s="398">
        <f>IF(AD37=0,0,IF(LEN(T37)=11,_xlfn.XLOOKUP(T37,'Dispensed Ink Rates'!C:C,'Dispensed Ink Rates'!CS:CS),VLOOKUP(T37,'Jan-2026 rates'!$E:$F,2,0)))</f>
        <v>0</v>
      </c>
      <c r="AF37" s="404"/>
      <c r="AG37" s="398">
        <f>IF(AF37=0,0,IF(LEN(U37)=11,_xlfn.XLOOKUP(U37,'Dispensed Ink Rates'!C:C,'Dispensed Ink Rates'!CS:CS),VLOOKUP(U37,'Jan-2026 rates'!$E:$F,2,0)))</f>
        <v>0</v>
      </c>
      <c r="AH37" s="404"/>
      <c r="AI37" s="398">
        <f>IF(AH37=0,0,IF(LEN(V37)=11,_xlfn.XLOOKUP(V37,'Dispensed Ink Rates'!C:C,'Dispensed Ink Rates'!CS:CS),VLOOKUP(V37,'Jan-2026 rates'!$E:$F,2,0)))</f>
        <v>0</v>
      </c>
      <c r="AJ37" s="404"/>
      <c r="AK37" s="398">
        <f>IF(AJ37=0,0,IF(LEN(W37)=11,_xlfn.XLOOKUP(W37,'Dispensed Ink Rates'!C:C,'Dispensed Ink Rates'!CS:CS),VLOOKUP(W37,'Jan-2026 rates'!$E:$F,2,0)))</f>
        <v>0</v>
      </c>
      <c r="AL37" s="404"/>
      <c r="AM37" s="398">
        <f>IF(AL37=0,0,IF(LEN(X37)=11,_xlfn.XLOOKUP(X37,'Dispensed Ink Rates'!C:C,'Dispensed Ink Rates'!CS:CS),VLOOKUP(X37,'Jan-2026 rates'!$E:$F,2,0)))</f>
        <v>0</v>
      </c>
      <c r="AN37" s="404"/>
      <c r="AO37" s="398">
        <f>IF(AN37=0,0,IF(LEN(Y37)=11,_xlfn.XLOOKUP(Y37,'Dispensed Ink Rates'!C:C,'Dispensed Ink Rates'!CS:CS),VLOOKUP(Y37,'Jan-2026 rates'!$E:$F,2,0)))</f>
        <v>0</v>
      </c>
      <c r="AP37" s="409" t="s">
        <v>1881</v>
      </c>
      <c r="AQ37" s="409">
        <v>27</v>
      </c>
      <c r="AR37" s="410">
        <f t="shared" si="1"/>
        <v>0</v>
      </c>
      <c r="AS37" s="411">
        <f t="shared" si="2"/>
        <v>8.1568627450980387</v>
      </c>
      <c r="AT37" s="410">
        <f t="shared" si="3"/>
        <v>0</v>
      </c>
      <c r="AU37" s="405" t="s">
        <v>546</v>
      </c>
      <c r="AV37" s="409" t="s">
        <v>2758</v>
      </c>
      <c r="AW37" s="420" t="str">
        <f t="shared" si="4"/>
        <v>ToyoLi - REFLEX BLUE</v>
      </c>
      <c r="AX37" s="409">
        <v>20</v>
      </c>
      <c r="AY37" s="411">
        <f>IF(AX37=0,0,IF($LB37=70%,VLOOKUP($AW37,'Jan-2026 rates'!$L:$R,4,0),IF($LB37=65%,VLOOKUP($AW37,'Jan-2026 rates'!$L:$R,4,0),IF($LB37=40%,VLOOKUP($AW37,'Jan-2026 rates'!$L:$R,5,0),IF($LB37=30%,VLOOKUP($AW37,'Jan-2026 rates'!$L:$R,6,0),IF($LB37=100%,VLOOKUP($AW37,'Jan-2026 rates'!$L:$R,7,0),IF($LB37=60%,VLOOKUP($AW37,'Jan-2026 rates'!$L:$S,8,0),IF($LB37=80%,VLOOKUP($AW37,'Jan-2026 rates'!L:T,9,0),0))))))))</f>
        <v>0</v>
      </c>
      <c r="AZ37" s="412"/>
      <c r="BA37" s="409"/>
      <c r="BB37" s="411">
        <f>IF(BA37=0,0,IF($LB37=70%,VLOOKUP($AW37,'Jan-2026 rates'!$L:$R,4,0),IF($LB37=65%,VLOOKUP($AW37,'Jan-2026 rates'!$L:$R,4,0),IF($LB37=40%,VLOOKUP($AW37,'Jan-2026 rates'!$L:$R,5,0),IF($LB37=30%,VLOOKUP($AW37,'Jan-2026 rates'!$L:$R,6,0),IF($LB37=100%,VLOOKUP($AW37,'Jan-2026 rates'!$L:$R,7,0),IF($LB37=60%,VLOOKUP($AW37,'Jan-2026 rates'!$L:$S,8,0),IF($LB37=80%,VLOOKUP($AW37,'Jan-2026 rates'!L:T,9,0),0))))))))</f>
        <v>0</v>
      </c>
      <c r="BC37" s="413" t="s">
        <v>1246</v>
      </c>
      <c r="BD37" s="412" t="s">
        <v>1585</v>
      </c>
      <c r="BE37" s="412"/>
      <c r="BF37" s="413"/>
      <c r="BG37" s="412"/>
      <c r="BH37" s="412"/>
      <c r="BI37" s="412"/>
      <c r="BJ37" s="412"/>
      <c r="BK37" s="409">
        <v>20</v>
      </c>
      <c r="BL37" s="398">
        <f>IF(BK37=0,0,IF(LEN(BC37)=11,_xlfn.XLOOKUP(BC37,'Dispensed Ink Rates'!C:C,'Dispensed Ink Rates'!CS:CS),VLOOKUP(BC37,'Jan-2026 rates'!$E:$F,2,0)))</f>
        <v>0</v>
      </c>
      <c r="BM37" s="409">
        <v>4</v>
      </c>
      <c r="BN37" s="398">
        <f>IF(BM37=0,0,IF(LEN(BD37)=11,_xlfn.XLOOKUP(BD37,'Dispensed Ink Rates'!C:C,'Dispensed Ink Rates'!CS:CS),VLOOKUP(BD37,'Jan-2026 rates'!$E:$F,2,0)))</f>
        <v>0</v>
      </c>
      <c r="BO37" s="409"/>
      <c r="BP37" s="398">
        <f>IF(BO37=0,0,IF(LEN(BE37)=11,_xlfn.XLOOKUP(BE37,'Dispensed Ink Rates'!C:C,'Dispensed Ink Rates'!CS:CS),VLOOKUP(BE37,'Jan-2026 rates'!$E:$F,2,0)))</f>
        <v>0</v>
      </c>
      <c r="BQ37" s="409"/>
      <c r="BR37" s="398">
        <f>IF(BQ37=0,0,IF(LEN(BF37)=11,_xlfn.XLOOKUP(BF37,'Dispensed Ink Rates'!C:C,'Dispensed Ink Rates'!CS:CS),VLOOKUP(BF37,'Jan-2026 rates'!$E:$F,2,0)))</f>
        <v>0</v>
      </c>
      <c r="BS37" s="409"/>
      <c r="BT37" s="398">
        <f>IF(BS37=0,0,IF(LEN(BG37)=11,_xlfn.XLOOKUP(BG37,'Dispensed Ink Rates'!C:C,'Dispensed Ink Rates'!CS:CS),VLOOKUP(BG37,'Jan-2026 rates'!$E:$F,2,0)))</f>
        <v>0</v>
      </c>
      <c r="BU37" s="409"/>
      <c r="BV37" s="398">
        <f>IF(BU37=0,0,IF(LEN(BH37)=11,_xlfn.XLOOKUP(BH37,'Dispensed Ink Rates'!C:C,'Dispensed Ink Rates'!CS:CS),VLOOKUP(BH37,'Jan-2026 rates'!$E:$F,2,0)))</f>
        <v>0</v>
      </c>
      <c r="BW37" s="409"/>
      <c r="BX37" s="398">
        <f>IF(BW37=0,0,IF(LEN(BI37)=11,_xlfn.XLOOKUP(BI37,'Dispensed Ink Rates'!C:C,'Dispensed Ink Rates'!CS:CS),VLOOKUP(BI37,'Jan-2026 rates'!$E:$F,2,0)))</f>
        <v>0</v>
      </c>
      <c r="BY37" s="409"/>
      <c r="BZ37" s="398">
        <f>IF(BY37=0,0,IF(LEN(BJ37)=11,_xlfn.XLOOKUP(BJ37,'Dispensed Ink Rates'!C:C,'Dispensed Ink Rates'!CS:CS),VLOOKUP(BJ37,'Jan-2026 rates'!$E:$F,2,0)))</f>
        <v>0</v>
      </c>
      <c r="CA37" s="409" t="s">
        <v>1881</v>
      </c>
      <c r="CB37" s="409">
        <f>11+16</f>
        <v>27</v>
      </c>
      <c r="CC37" s="411">
        <f t="shared" si="5"/>
        <v>0</v>
      </c>
      <c r="CD37" s="411">
        <f t="shared" si="6"/>
        <v>37.784313725490193</v>
      </c>
      <c r="CE37" s="410">
        <f t="shared" si="7"/>
        <v>0</v>
      </c>
      <c r="CF37" s="404" t="s">
        <v>855</v>
      </c>
      <c r="CG37" s="409" t="s">
        <v>2759</v>
      </c>
      <c r="CH37" s="420" t="str">
        <f t="shared" si="8"/>
        <v>ToyoLi - CYAN</v>
      </c>
      <c r="CI37" s="409">
        <v>27</v>
      </c>
      <c r="CJ37" s="411">
        <f>IF(CI37=0,0,IF($LB37=70%,VLOOKUP($CH37,'Jan-2026 rates'!$L:$R,4,0),IF($LB37=65%,VLOOKUP($CH37,'Jan-2026 rates'!$L:$R,4,0),IF($LB37=40%,VLOOKUP($CH37,'Jan-2026 rates'!$L:$R,5,0),IF($LB37=30%,VLOOKUP($CH37,'Jan-2026 rates'!$L:$R,6,0),IF($LB37=100%,VLOOKUP($CH37,'Jan-2026 rates'!$L:$R,7,0),IF($LB37=60%,VLOOKUP($CH37,'Jan-2026 rates'!$L:$S,8,0),IF($LB37=80%,VLOOKUP($CH37,'Jan-2026 rates'!L:T,9,0),0))))))))</f>
        <v>0</v>
      </c>
      <c r="CK37" s="412"/>
      <c r="CL37" s="409"/>
      <c r="CM37" s="411">
        <f>IF(CL37=0,0,IF($LB37=70%,VLOOKUP($CH37,'Jan-2026 rates'!$L:$R,4,0),IF($LB37=65%,VLOOKUP($CH37,'Jan-2026 rates'!$L:$R,4,0),IF($LB37=40%,VLOOKUP($CH37,'Jan-2026 rates'!$L:$R,5,0),IF($LB37=30%,VLOOKUP($CH37,'Jan-2026 rates'!$L:$R,6,0),IF($LB37=100%,VLOOKUP($CH37,'Jan-2026 rates'!$L:$R,7,0),IF($LB37=60%,VLOOKUP($CH37,'Jan-2026 rates'!$L:$S,8,0),IF($LB37=80%,VLOOKUP($CH37,'Jan-2026 rates'!L:T,9,0),0))))))))</f>
        <v>0</v>
      </c>
      <c r="CN37" s="426" t="s">
        <v>1250</v>
      </c>
      <c r="CO37" s="427"/>
      <c r="CP37" s="426"/>
      <c r="CQ37" s="426"/>
      <c r="CR37" s="428"/>
      <c r="CS37" s="428"/>
      <c r="CT37" s="428"/>
      <c r="CU37" s="428"/>
      <c r="CV37" s="409">
        <v>3</v>
      </c>
      <c r="CW37" s="398">
        <f>IF(CV37=0,0,IF(LEN(CN37)=11,_xlfn.XLOOKUP(CN37,'Dispensed Ink Rates'!C:C,'Dispensed Ink Rates'!CS:CS),VLOOKUP(CN37,'Jan-2026 rates'!$E:$F,2,0)))</f>
        <v>0</v>
      </c>
      <c r="CX37" s="409"/>
      <c r="CY37" s="398">
        <f>IF(CX37=0,0,IF(LEN(CO37)=11,_xlfn.XLOOKUP(CO37,'Dispensed Ink Rates'!C:C,'Dispensed Ink Rates'!CS:CS),VLOOKUP(CO37,'Jan-2026 rates'!$E:$F,2,0)))</f>
        <v>0</v>
      </c>
      <c r="CZ37" s="409"/>
      <c r="DA37" s="398">
        <f>IF(CZ37=0,0,IF(LEN(CP37)=11,_xlfn.XLOOKUP(CP37,'Dispensed Ink Rates'!C:C,'Dispensed Ink Rates'!CS:CS),VLOOKUP(CP37,'Jan-2026 rates'!$E:$F,2,0)))</f>
        <v>0</v>
      </c>
      <c r="DB37" s="409"/>
      <c r="DC37" s="398">
        <f>IF(DB37=0,0,IF(LEN(CQ37)=11,_xlfn.XLOOKUP(CQ37,'Dispensed Ink Rates'!C:C,'Dispensed Ink Rates'!CS:CS),VLOOKUP(CQ37,'Jan-2026 rates'!$E:$F,2,0)))</f>
        <v>0</v>
      </c>
      <c r="DD37" s="409"/>
      <c r="DE37" s="398">
        <f>IF(DD37=0,0,IF(LEN(CR37)=11,_xlfn.XLOOKUP(CR37,'Dispensed Ink Rates'!C:C,'Dispensed Ink Rates'!CS:CS),VLOOKUP(CR37,'Jan-2026 rates'!$E:$F,2,0)))</f>
        <v>0</v>
      </c>
      <c r="DF37" s="409"/>
      <c r="DG37" s="398">
        <f>IF(DF37=0,0,IF(LEN(CS37)=11,_xlfn.XLOOKUP(CS37,'Dispensed Ink Rates'!C:C,'Dispensed Ink Rates'!CS:CS),VLOOKUP(CS37,'Jan-2026 rates'!$E:$F,2,0)))</f>
        <v>0</v>
      </c>
      <c r="DH37" s="409"/>
      <c r="DI37" s="398">
        <f>IF(DH37=0,0,IF(LEN(CT37)=11,_xlfn.XLOOKUP(CT37,'Dispensed Ink Rates'!C:C,'Dispensed Ink Rates'!CS:CS),VLOOKUP(CT37,'Jan-2026 rates'!$E:$F,2,0)))</f>
        <v>0</v>
      </c>
      <c r="DJ37" s="409"/>
      <c r="DK37" s="398">
        <f>IF(DJ37=0,0,IF(LEN(CU37)=11,_xlfn.XLOOKUP(CU37,'Dispensed Ink Rates'!C:C,'Dispensed Ink Rates'!CS:CS),VLOOKUP(CU37,'Jan-2026 rates'!$E:$F,2,0)))</f>
        <v>0</v>
      </c>
      <c r="DL37" s="409" t="s">
        <v>1881</v>
      </c>
      <c r="DM37" s="409">
        <v>28</v>
      </c>
      <c r="DN37" s="411">
        <f t="shared" si="9"/>
        <v>0</v>
      </c>
      <c r="DO37" s="411">
        <f t="shared" si="10"/>
        <v>6.1568627450980387</v>
      </c>
      <c r="DP37" s="410">
        <f t="shared" si="11"/>
        <v>0</v>
      </c>
      <c r="DQ37" s="405" t="s">
        <v>544</v>
      </c>
      <c r="DR37" s="409" t="s">
        <v>2760</v>
      </c>
      <c r="DS37" s="420" t="str">
        <f t="shared" si="12"/>
        <v>ToyoLi - MAGENTA</v>
      </c>
      <c r="DT37" s="409">
        <v>26</v>
      </c>
      <c r="DU37" s="411">
        <f>IF(DT37=0,0,IF($LB37=70%,VLOOKUP($DS37,'Jan-2026 rates'!$L:$R,4,0),IF($LB37=65%,VLOOKUP($DS37,'Jan-2026 rates'!$L:$R,4,0),IF($LB37=40%,VLOOKUP($DS37,'Jan-2026 rates'!$L:$R,5,0),IF($LB37=30%,VLOOKUP($DS37,'Jan-2026 rates'!$L:$R,6,0),IF($LB37=100%,VLOOKUP($DS37,'Jan-2026 rates'!$L:$R,7,0),IF($LB37=60%,VLOOKUP($DS37,'Jan-2026 rates'!$L:$S,8,0),IF($LB37=80%,VLOOKUP($DS37,'Jan-2026 rates'!L:T,9,0),0))))))))</f>
        <v>0</v>
      </c>
      <c r="DV37" s="412"/>
      <c r="DW37" s="409"/>
      <c r="DX37" s="411">
        <f>IF(DW37=0,0,IF($LB37=70%,VLOOKUP($DS37,'Jan-2026 rates'!$L:$R,4,0),IF($LB37=65%,VLOOKUP($DS37,'Jan-2026 rates'!$L:$R,4,0),IF($LB37=40%,VLOOKUP($DS37,'Jan-2026 rates'!$L:$R,5,0),IF($LB37=30%,VLOOKUP($DS37,'Jan-2026 rates'!$L:$R,6,0),IF($LB37=100%,VLOOKUP($DS37,'Jan-2026 rates'!$L:$R,7,0),IF($LB37=60%,VLOOKUP($DS37,'Jan-2026 rates'!$L:$S,8,0),IF($LB37=80%,VLOOKUP($DS37,'Jan-2026 rates'!L:T,9,0),0))))))))</f>
        <v>0</v>
      </c>
      <c r="DY37" s="413" t="s">
        <v>1246</v>
      </c>
      <c r="DZ37" s="413"/>
      <c r="EA37" s="412"/>
      <c r="EB37" s="412"/>
      <c r="EC37" s="412"/>
      <c r="ED37" s="412"/>
      <c r="EE37" s="412"/>
      <c r="EF37" s="412"/>
      <c r="EG37" s="409">
        <v>4</v>
      </c>
      <c r="EH37" s="398">
        <f>IF(EG37=0,0,IF(LEN(DY37)=11,_xlfn.XLOOKUP(DY37,'Dispensed Ink Rates'!C:C,'Dispensed Ink Rates'!CS:CS),VLOOKUP(DY37,'Jan-2026 rates'!$E:$F,2,0)))</f>
        <v>0</v>
      </c>
      <c r="EI37" s="409"/>
      <c r="EJ37" s="398">
        <f>IF(EI37=0,0,IF(LEN(DZ37)=11,_xlfn.XLOOKUP(DZ37,'Dispensed Ink Rates'!C:C,'Dispensed Ink Rates'!CS:CS),VLOOKUP(DZ37,'Jan-2026 rates'!$E:$F,2,0)))</f>
        <v>0</v>
      </c>
      <c r="EK37" s="409"/>
      <c r="EL37" s="398">
        <f>IF(EK37=0,0,IF(LEN(EA37)=11,_xlfn.XLOOKUP(EA37,'Dispensed Ink Rates'!C:C,'Dispensed Ink Rates'!CS:CS),VLOOKUP(EA37,'Jan-2026 rates'!$E:$F,2,0)))</f>
        <v>0</v>
      </c>
      <c r="EM37" s="409"/>
      <c r="EN37" s="398">
        <f>IF(EM37=0,0,IF(LEN(EB37)=11,_xlfn.XLOOKUP(EB37,'Dispensed Ink Rates'!C:C,'Dispensed Ink Rates'!CS:CS),VLOOKUP(EB37,'Jan-2026 rates'!$E:$F,2,0)))</f>
        <v>0</v>
      </c>
      <c r="EO37" s="409"/>
      <c r="EP37" s="398">
        <f>IF(EO37=0,0,IF(LEN(EC37)=11,_xlfn.XLOOKUP(EC37,'Dispensed Ink Rates'!C:C,'Dispensed Ink Rates'!CS:CS),VLOOKUP(EC37,'Jan-2026 rates'!$E:$F,2,0)))</f>
        <v>0</v>
      </c>
      <c r="EQ37" s="409"/>
      <c r="ER37" s="398">
        <f>IF(EQ37=0,0,IF(LEN(ED37)=11,_xlfn.XLOOKUP(ED37,'Dispensed Ink Rates'!C:C,'Dispensed Ink Rates'!CS:CS),VLOOKUP(ED37,'Jan-2026 rates'!$E:$F,2,0)))</f>
        <v>0</v>
      </c>
      <c r="ES37" s="409"/>
      <c r="ET37" s="398">
        <f>IF(ES37=0,0,IF(LEN(EE37)=11,_xlfn.XLOOKUP(EE37,'Dispensed Ink Rates'!C:C,'Dispensed Ink Rates'!CS:CS),VLOOKUP(EE37,'Jan-2026 rates'!$E:$F,2,0)))</f>
        <v>0</v>
      </c>
      <c r="EU37" s="409"/>
      <c r="EV37" s="398">
        <f>IF(EU37=0,0,IF(LEN(EF37)=11,_xlfn.XLOOKUP(EF37,'Dispensed Ink Rates'!C:C,'Dispensed Ink Rates'!CS:CS),VLOOKUP(EF37,'Jan-2026 rates'!$E:$F,2,0)))</f>
        <v>0</v>
      </c>
      <c r="EW37" s="409" t="s">
        <v>1881</v>
      </c>
      <c r="EX37" s="409">
        <v>28</v>
      </c>
      <c r="EY37" s="411">
        <f t="shared" si="13"/>
        <v>0</v>
      </c>
      <c r="EZ37" s="411">
        <f t="shared" si="14"/>
        <v>6.1568627450980387</v>
      </c>
      <c r="FA37" s="410">
        <f t="shared" si="15"/>
        <v>0</v>
      </c>
      <c r="FB37" s="405" t="s">
        <v>545</v>
      </c>
      <c r="FC37" s="409" t="s">
        <v>2761</v>
      </c>
      <c r="FD37" s="420" t="str">
        <f t="shared" si="16"/>
        <v>ToyoLi - YELLOW</v>
      </c>
      <c r="FE37" s="409">
        <v>25</v>
      </c>
      <c r="FF37" s="411">
        <f>IF(FE37=0,0,IF($LB37=70%,VLOOKUP($FD37,'Jan-2026 rates'!$L:$R,4,0),IF($LB37=65%,VLOOKUP($FD37,'Jan-2026 rates'!$L:$R,4,0),IF($LB37=40%,VLOOKUP($FD37,'Jan-2026 rates'!$L:$R,5,0),IF($LB37=30%,VLOOKUP($FD37,'Jan-2026 rates'!$L:$R,6,0),IF($LB37=100%,VLOOKUP($FD37,'Jan-2026 rates'!$L:$R,7,0),IF($LB37=60%,VLOOKUP($FD37,'Jan-2026 rates'!$L:$S,8,0),IF($LB37=80%,VLOOKUP($FD37,'Jan-2026 rates'!L:T,9,0),0))))))))</f>
        <v>0</v>
      </c>
      <c r="FG37" s="412"/>
      <c r="FH37" s="409"/>
      <c r="FI37" s="411">
        <f>IF(FH37=0,0,IF($LB37=70%,VLOOKUP($FD37,'Jan-2026 rates'!$L:$R,4,0),IF($LB37=65%,VLOOKUP($FD37,'Jan-2026 rates'!$L:$R,4,0),IF($LB37=40%,VLOOKUP($FD37,'Jan-2026 rates'!$L:$R,5,0),IF($LB37=30%,VLOOKUP($FD37,'Jan-2026 rates'!$L:$R,6,0),IF($LB37=100%,VLOOKUP($FD37,'Jan-2026 rates'!$L:$R,7,0),IF($LB37=60%,VLOOKUP($FD37,'Jan-2026 rates'!$L:$S,8,0),IF($LB37=80%,VLOOKUP($FD37,'Jan-2026 rates'!L:T,9,0),0))))))))</f>
        <v>0</v>
      </c>
      <c r="FJ37" s="413" t="s">
        <v>1247</v>
      </c>
      <c r="FK37" s="413"/>
      <c r="FL37" s="413"/>
      <c r="FM37" s="412"/>
      <c r="FN37" s="412"/>
      <c r="FO37" s="412"/>
      <c r="FP37" s="412"/>
      <c r="FQ37" s="412"/>
      <c r="FR37" s="409">
        <v>5</v>
      </c>
      <c r="FS37" s="398">
        <f>IF(FR37=0,0,IF(LEN(FJ37)=11,_xlfn.XLOOKUP(FJ37,'Dispensed Ink Rates'!C:C,'Dispensed Ink Rates'!CS:CS),VLOOKUP(FJ37,'Jan-2026 rates'!$E:$F,2,0)))</f>
        <v>0</v>
      </c>
      <c r="FT37" s="409"/>
      <c r="FU37" s="398">
        <f>IF(FT37=0,0,IF(LEN(FK37)=11,_xlfn.XLOOKUP(FK37,'Dispensed Ink Rates'!C:C,'Dispensed Ink Rates'!CS:CS),VLOOKUP(FK37,'Jan-2026 rates'!$E:$F,2,0)))</f>
        <v>0</v>
      </c>
      <c r="FV37" s="409"/>
      <c r="FW37" s="398">
        <f>IF(FV37=0,0,IF(LEN(FL37)=11,_xlfn.XLOOKUP(FL37,'Dispensed Ink Rates'!C:C,'Dispensed Ink Rates'!CS:CS),VLOOKUP(FL37,'Jan-2026 rates'!$E:$F,2,0)))</f>
        <v>0</v>
      </c>
      <c r="FX37" s="409"/>
      <c r="FY37" s="398">
        <f>IF(FX37=0,0,IF(LEN(FM37)=11,_xlfn.XLOOKUP(FM37,'Dispensed Ink Rates'!C:C,'Dispensed Ink Rates'!CS:CS),VLOOKUP(FM37,'Jan-2026 rates'!$E:$F,2,0)))</f>
        <v>0</v>
      </c>
      <c r="FZ37" s="409"/>
      <c r="GA37" s="398">
        <f>IF(FZ37=0,0,IF(LEN(FN37)=11,_xlfn.XLOOKUP(FN37,'Dispensed Ink Rates'!C:C,'Dispensed Ink Rates'!CS:CS),VLOOKUP(FN37,'Jan-2026 rates'!$E:$F,2,0)))</f>
        <v>0</v>
      </c>
      <c r="GB37" s="409"/>
      <c r="GC37" s="398">
        <f>IF(GB37=0,0,IF(LEN(FO37)=11,_xlfn.XLOOKUP(FO37,'Dispensed Ink Rates'!C:C,'Dispensed Ink Rates'!CS:CS),VLOOKUP(FO37,'Jan-2026 rates'!$E:$F,2,0)))</f>
        <v>0</v>
      </c>
      <c r="GD37" s="409"/>
      <c r="GE37" s="398">
        <f>IF(GD37=0,0,IF(LEN(FP37)=11,_xlfn.XLOOKUP(FP37,'Dispensed Ink Rates'!C:C,'Dispensed Ink Rates'!CS:CS),VLOOKUP(FP37,'Jan-2026 rates'!$E:$F,2,0)))</f>
        <v>0</v>
      </c>
      <c r="GF37" s="409"/>
      <c r="GG37" s="398">
        <f>IF(GF37=0,0,IF(LEN(FQ37)=11,_xlfn.XLOOKUP(FQ37,'Dispensed Ink Rates'!C:C,'Dispensed Ink Rates'!CS:CS),VLOOKUP(FQ37,'Jan-2026 rates'!$E:$F,2,0)))</f>
        <v>0</v>
      </c>
      <c r="GH37" s="409" t="s">
        <v>1881</v>
      </c>
      <c r="GI37" s="409">
        <v>24</v>
      </c>
      <c r="GJ37" s="411">
        <f t="shared" si="17"/>
        <v>0</v>
      </c>
      <c r="GK37" s="411">
        <f t="shared" si="18"/>
        <v>10.156862745098039</v>
      </c>
      <c r="GL37" s="410">
        <f t="shared" si="19"/>
        <v>0</v>
      </c>
      <c r="GM37" s="405" t="s">
        <v>857</v>
      </c>
      <c r="GN37" s="409"/>
      <c r="GO37" s="420" t="str">
        <f t="shared" si="20"/>
        <v>ToyoLi - RED</v>
      </c>
      <c r="GP37" s="409"/>
      <c r="GQ37" s="411">
        <f>IF(GP37=0,0,IF($LB37=70%,VLOOKUP($GO37,'Jan-2026 rates'!$L:$R,4,0),IF($LB37=65%,VLOOKUP($GO37,'Jan-2026 rates'!$L:$R,4,0),IF($LB37=40%,VLOOKUP($GO37,'Jan-2026 rates'!$L:$R,5,0),IF($LB37=30%,VLOOKUP($GO37,'Jan-2026 rates'!$L:$R,6,0),IF($LB37=100%,VLOOKUP($GO37,'Jan-2026 rates'!$L:$R,7,0),IF($LB37=60%,VLOOKUP($GO37,'Jan-2026 rates'!$L:$S,8,0),IF($LB37=80%,VLOOKUP($GO37,'Jan-2026 rates'!L:T,9,0),0))))))))</f>
        <v>0</v>
      </c>
      <c r="GR37" s="412"/>
      <c r="GS37" s="409"/>
      <c r="GT37" s="411">
        <f>IF(GS37=0,0,IF($LB37=70%,VLOOKUP($GO37,'Jan-2026 rates'!$L:$R,4,0),IF($LB37=65%,VLOOKUP($GO37,'Jan-2026 rates'!$L:$R,4,0),IF($LB37=40%,VLOOKUP($GO37,'Jan-2026 rates'!$L:$R,5,0),IF($LB37=30%,VLOOKUP($GO37,'Jan-2026 rates'!$L:$R,6,0),IF($LB37=100%,VLOOKUP($GO37,'Jan-2026 rates'!$L:$R,7,0),IF($LB37=60%,VLOOKUP($GO37,'Jan-2026 rates'!$L:$S,8,0),IF($LB37=80%,VLOOKUP($GO37,'Jan-2026 rates'!L:T,9,0),0))))))))</f>
        <v>0</v>
      </c>
      <c r="GU37" s="413" t="s">
        <v>1921</v>
      </c>
      <c r="GV37" s="413" t="s">
        <v>1246</v>
      </c>
      <c r="GW37" s="412" t="s">
        <v>1248</v>
      </c>
      <c r="GX37" s="412"/>
      <c r="GY37" s="412"/>
      <c r="GZ37" s="412"/>
      <c r="HA37" s="412"/>
      <c r="HB37" s="412"/>
      <c r="HC37" s="409">
        <v>20</v>
      </c>
      <c r="HD37" s="398">
        <f>IF(HC37=0,0,IF(LEN(GU37)=11,_xlfn.XLOOKUP(GU37,'Dispensed Ink Rates'!C:C,'Dispensed Ink Rates'!CS:CS),VLOOKUP(GU37,'Jan-2026 rates'!$E:$F,2,0)))</f>
        <v>0</v>
      </c>
      <c r="HE37" s="409">
        <v>0.5</v>
      </c>
      <c r="HF37" s="398">
        <f>IF(HE37=0,0,IF(LEN(GV37)=11,_xlfn.XLOOKUP(GV37,'Dispensed Ink Rates'!C:C,'Dispensed Ink Rates'!CS:CS),VLOOKUP(GV37,'Jan-2026 rates'!$E:$F,2,0)))</f>
        <v>0</v>
      </c>
      <c r="HG37" s="409">
        <v>0.1</v>
      </c>
      <c r="HH37" s="398">
        <f>IF(HG37=0,0,IF(LEN(GW37)=11,_xlfn.XLOOKUP(GW37,'Dispensed Ink Rates'!C:C,'Dispensed Ink Rates'!CS:CS),VLOOKUP(GW37,'Jan-2026 rates'!$E:$F,2,0)))</f>
        <v>0</v>
      </c>
      <c r="HI37" s="409"/>
      <c r="HJ37" s="398">
        <f>IF(HI37=0,0,IF(LEN(GX37)=11,_xlfn.XLOOKUP(GX37,'Dispensed Ink Rates'!C:C,'Dispensed Ink Rates'!CS:CS),VLOOKUP(GX37,'Jan-2026 rates'!$E:$F,2,0)))</f>
        <v>0</v>
      </c>
      <c r="HK37" s="409"/>
      <c r="HL37" s="398">
        <f>IF(HK37=0,0,IF(LEN(GY37)=11,_xlfn.XLOOKUP(GY37,'Dispensed Ink Rates'!C:C,'Dispensed Ink Rates'!CS:CS),VLOOKUP(GY37,'Jan-2026 rates'!$E:$F,2,0)))</f>
        <v>0</v>
      </c>
      <c r="HM37" s="409"/>
      <c r="HN37" s="398">
        <f>IF(HM37=0,0,IF(LEN(GZ37)=11,_xlfn.XLOOKUP(GZ37,'Dispensed Ink Rates'!C:C,'Dispensed Ink Rates'!CS:CS),VLOOKUP(GZ37,'Jan-2026 rates'!$E:$F,2,0)))</f>
        <v>0</v>
      </c>
      <c r="HO37" s="409"/>
      <c r="HP37" s="398">
        <f>IF(HO37=0,0,IF(LEN(HA37)=11,_xlfn.XLOOKUP(HA37,'Dispensed Ink Rates'!C:C,'Dispensed Ink Rates'!CS:CS),VLOOKUP(HA37,'Jan-2026 rates'!$E:$F,2,0)))</f>
        <v>0</v>
      </c>
      <c r="HQ37" s="409"/>
      <c r="HR37" s="398">
        <f>IF(HQ37=0,0,IF(LEN(HB37)=11,_xlfn.XLOOKUP(HB37,'Dispensed Ink Rates'!C:C,'Dispensed Ink Rates'!CS:CS),VLOOKUP(HB37,'Jan-2026 rates'!$E:$F,2,0)))</f>
        <v>0</v>
      </c>
      <c r="HS37" s="409" t="s">
        <v>1881</v>
      </c>
      <c r="HT37" s="409">
        <f>16+13</f>
        <v>29</v>
      </c>
      <c r="HU37" s="411">
        <f t="shared" si="21"/>
        <v>0</v>
      </c>
      <c r="HV37" s="411">
        <f t="shared" si="22"/>
        <v>18.619607843137253</v>
      </c>
      <c r="HW37" s="414">
        <f t="shared" si="23"/>
        <v>0</v>
      </c>
      <c r="HX37" s="405" t="s">
        <v>856</v>
      </c>
      <c r="HY37" s="409" t="s">
        <v>2762</v>
      </c>
      <c r="HZ37" s="420" t="str">
        <f t="shared" si="24"/>
        <v>ToyoLi - WHITE</v>
      </c>
      <c r="IA37" s="409">
        <v>30</v>
      </c>
      <c r="IB37" s="411">
        <f>IF(IA37=0,0,IF($LB37=70%,VLOOKUP($HZ37,'Jan-2026 rates'!$L:$R,4,0),IF($LB37=65%,VLOOKUP($HZ37,'Jan-2026 rates'!$L:$R,4,0),IF($LB37=40%,VLOOKUP($HZ37,'Jan-2026 rates'!$L:$R,5,0),IF($LB37=30%,VLOOKUP($HZ37,'Jan-2026 rates'!$L:$R,6,0),IF($LB37=100%,VLOOKUP($HZ37,'Jan-2026 rates'!$L:$R,7,0),IF($LB37=60%,VLOOKUP($HZ37,'Jan-2026 rates'!$L:$S,8,0),IF($LB37=80%,VLOOKUP($HZ37,'Jan-2026 rates'!L:T,9,0),0))))))))</f>
        <v>0</v>
      </c>
      <c r="IC37" s="412"/>
      <c r="ID37" s="409"/>
      <c r="IE37" s="411">
        <f>IF(ID37=0,0,IF($LB37=70%,VLOOKUP($HZ37,'Jan-2026 rates'!$L:$R,4,0),IF($LB37=65%,VLOOKUP($HZ37,'Jan-2026 rates'!$L:$R,4,0),IF($LB37=40%,VLOOKUP($HZ37,'Jan-2026 rates'!$L:$R,5,0),IF($LB37=30%,VLOOKUP($HZ37,'Jan-2026 rates'!$L:$R,6,0),IF($LB37=100%,VLOOKUP($HZ37,'Jan-2026 rates'!$L:$R,7,0),IF($LB37=60%,VLOOKUP($HZ37,'Jan-2026 rates'!$L:$S,8,0),IF($LB37=80%,VLOOKUP($HZ37,'Jan-2026 rates'!L:T,9,0),0))))))))</f>
        <v>0</v>
      </c>
      <c r="IF37" s="412" t="s">
        <v>1249</v>
      </c>
      <c r="IG37" s="413" t="s">
        <v>1122</v>
      </c>
      <c r="IH37" s="412"/>
      <c r="II37" s="412"/>
      <c r="IJ37" s="412"/>
      <c r="IK37" s="412"/>
      <c r="IL37" s="412"/>
      <c r="IM37" s="412"/>
      <c r="IN37" s="409">
        <v>40</v>
      </c>
      <c r="IO37" s="398">
        <f>IF(IN37=0,0,IF(LEN(IF37)=11,_xlfn.XLOOKUP(IF37,'Dispensed Ink Rates'!C:C,'Dispensed Ink Rates'!CS:CS),VLOOKUP(IF37,'Jan-2026 rates'!$E:$F,2,0)))</f>
        <v>0</v>
      </c>
      <c r="IP37" s="409">
        <v>5.34</v>
      </c>
      <c r="IQ37" s="398">
        <f>IF(IP37=0,0,IF(LEN(IG37)=11,_xlfn.XLOOKUP(IG37,'Dispensed Ink Rates'!C:C,'Dispensed Ink Rates'!CS:CS),VLOOKUP(IG37,'Jan-2026 rates'!$E:$F,2,0)))</f>
        <v>0</v>
      </c>
      <c r="IR37" s="409"/>
      <c r="IS37" s="398">
        <f>IF(IR37=0,0,IF(LEN(IH37)=11,_xlfn.XLOOKUP(IH37,'Dispensed Ink Rates'!C:C,'Dispensed Ink Rates'!CS:CS),VLOOKUP(IH37,'Jan-2026 rates'!$E:$F,2,0)))</f>
        <v>0</v>
      </c>
      <c r="IT37" s="409"/>
      <c r="IU37" s="398">
        <f>IF(IT37=0,0,IF(LEN(II37)=11,_xlfn.XLOOKUP(II37,'Dispensed Ink Rates'!C:C,'Dispensed Ink Rates'!CS:CS),VLOOKUP(II37,'Jan-2026 rates'!$E:$F,2,0)))</f>
        <v>0</v>
      </c>
      <c r="IV37" s="409"/>
      <c r="IW37" s="398">
        <f>IF(IV37=0,0,IF(LEN(IJ37)=11,_xlfn.XLOOKUP(IJ37,'Dispensed Ink Rates'!C:C,'Dispensed Ink Rates'!CS:CS),VLOOKUP(IJ37,'Jan-2026 rates'!$E:$F,2,0)))</f>
        <v>0</v>
      </c>
      <c r="IX37" s="409"/>
      <c r="IY37" s="398">
        <f>IF(IX37=0,0,IF(LEN(IK37)=11,_xlfn.XLOOKUP(IK37,'Dispensed Ink Rates'!C:C,'Dispensed Ink Rates'!CS:CS),VLOOKUP(IK37,'Jan-2026 rates'!$E:$F,2,0)))</f>
        <v>0</v>
      </c>
      <c r="IZ37" s="409"/>
      <c r="JA37" s="398">
        <f>IF(IZ37=0,0,IF(LEN(IL37)=11,_xlfn.XLOOKUP(IL37,'Dispensed Ink Rates'!C:C,'Dispensed Ink Rates'!CS:CS),VLOOKUP(IL37,'Jan-2026 rates'!$E:$F,2,0)))</f>
        <v>0</v>
      </c>
      <c r="JB37" s="409"/>
      <c r="JC37" s="398">
        <f>IF(JB37=0,0,IF(LEN(IM37)=11,_xlfn.XLOOKUP(IM37,'Dispensed Ink Rates'!C:C,'Dispensed Ink Rates'!CS:CS),VLOOKUP(IM37,'Jan-2026 rates'!$E:$F,2,0)))</f>
        <v>0</v>
      </c>
      <c r="JD37" s="409" t="s">
        <v>1881</v>
      </c>
      <c r="JE37" s="409">
        <v>30</v>
      </c>
      <c r="JF37" s="411">
        <f t="shared" si="25"/>
        <v>0</v>
      </c>
      <c r="JG37" s="411">
        <f t="shared" si="26"/>
        <v>86.90862745098039</v>
      </c>
      <c r="JH37" s="410">
        <f t="shared" si="27"/>
        <v>0</v>
      </c>
      <c r="JI37" s="405"/>
      <c r="JJ37" s="409"/>
      <c r="JK37" s="420" t="str">
        <f t="shared" si="28"/>
        <v xml:space="preserve"> - </v>
      </c>
      <c r="JL37" s="409"/>
      <c r="JM37" s="411">
        <f>IF(JL37=0,0,IF($LB37=70%,VLOOKUP($JK37,'Jan-2026 rates'!$L:$R,4,0),IF($LB37=65%,VLOOKUP($JK37,'Jan-2026 rates'!$L:$R,4,0),IF($LB37=40%,VLOOKUP($JK37,'Jan-2026 rates'!$L:$R,5,0),IF($LB37=30%,VLOOKUP($JK37,'Jan-2026 rates'!$L:$R,6,0),IF($LB37=100%,VLOOKUP($JK37,'Jan-2026 rates'!$L:$R,7,0),IF($LB37=60%,VLOOKUP($JK37,'Jan-2026 rates'!$L:$S,8,0),IF($LB37=80%,VLOOKUP($JK37,'Jan-2026 rates'!L:T,9,0),0))))))))</f>
        <v>0</v>
      </c>
      <c r="JN37" s="412"/>
      <c r="JO37" s="409"/>
      <c r="JP37" s="411">
        <f>IF(JO37=0,0,IF($LB37=70%,VLOOKUP($JK37,'Jan-2026 rates'!$L:$R,4,0),IF($LB37=65%,VLOOKUP($JK37,'Jan-2026 rates'!$L:$R,4,0),IF($LB37=40%,VLOOKUP($JK37,'Jan-2026 rates'!$L:$R,5,0),IF($LB37=30%,VLOOKUP($JK37,'Jan-2026 rates'!$L:$R,6,0),IF($LB37=100%,VLOOKUP($JK37,'Jan-2026 rates'!$L:$R,7,0),IF($LB37=60%,VLOOKUP($JK37,'Jan-2026 rates'!$L:$S,8,0),IF($LB37=80%,VLOOKUP($JK37,'Jan-2026 rates'!L:T,9,0),0))))))))</f>
        <v>0</v>
      </c>
      <c r="JQ37" s="413"/>
      <c r="JR37" s="412"/>
      <c r="JS37" s="413"/>
      <c r="JT37" s="413"/>
      <c r="JU37" s="412"/>
      <c r="JV37" s="412"/>
      <c r="JW37" s="412"/>
      <c r="JX37" s="412"/>
      <c r="JY37" s="409"/>
      <c r="JZ37" s="398">
        <f>IF(JY37=0,0,IF(LEN(JQ37)=11,_xlfn.XLOOKUP(JQ37,'Dispensed Ink Rates'!C:C,'Dispensed Ink Rates'!CS:CS),VLOOKUP(JQ37,'Jan-2026 rates'!$E:$F,2,0)))</f>
        <v>0</v>
      </c>
      <c r="KA37" s="409"/>
      <c r="KB37" s="398">
        <f>IF(KA37=0,0,IF(LEN(JR37)=11,_xlfn.XLOOKUP(JR37,'Dispensed Ink Rates'!C:C,'Dispensed Ink Rates'!CS:CS),VLOOKUP(JR37,'Jan-2026 rates'!$E:$F,2,0)))</f>
        <v>0</v>
      </c>
      <c r="KC37" s="409"/>
      <c r="KD37" s="398">
        <f>IF(KC37=0,0,IF(LEN(JS37)=11,_xlfn.XLOOKUP(JS37,'Dispensed Ink Rates'!C:C,'Dispensed Ink Rates'!CS:CS),VLOOKUP(JS37,'Jan-2026 rates'!$E:$F,2,0)))</f>
        <v>0</v>
      </c>
      <c r="KE37" s="409"/>
      <c r="KF37" s="398">
        <f>IF(KE37=0,0,IF(LEN(JT37)=11,_xlfn.XLOOKUP(JT37,'Dispensed Ink Rates'!C:C,'Dispensed Ink Rates'!CS:CS),VLOOKUP(JT37,'Jan-2026 rates'!$E:$F,2,0)))</f>
        <v>0</v>
      </c>
      <c r="KG37" s="409"/>
      <c r="KH37" s="398">
        <f>IF(KG37=0,0,IF(LEN(JU37)=11,_xlfn.XLOOKUP(JU37,'Dispensed Ink Rates'!C:C,'Dispensed Ink Rates'!CS:CS),VLOOKUP(JU37,'Jan-2026 rates'!$E:$F,2,0)))</f>
        <v>0</v>
      </c>
      <c r="KI37" s="409"/>
      <c r="KJ37" s="398">
        <f>IF(KI37=0,0,IF(LEN(JV37)=11,_xlfn.XLOOKUP(JV37,'Dispensed Ink Rates'!C:C,'Dispensed Ink Rates'!CS:CS),VLOOKUP(JV37,'Jan-2026 rates'!$E:$F,2,0)))</f>
        <v>0</v>
      </c>
      <c r="KK37" s="409"/>
      <c r="KL37" s="398">
        <f>IF(KK37=0,0,IF(LEN(JW37)=11,_xlfn.XLOOKUP(JW37,'Dispensed Ink Rates'!C:C,'Dispensed Ink Rates'!CS:CS),VLOOKUP(JW37,'Jan-2026 rates'!$E:$F,2,0)))</f>
        <v>0</v>
      </c>
      <c r="KM37" s="428"/>
      <c r="KN37" s="398">
        <f>IF(KM37=0,0,IF(LEN(JX37)=11,_xlfn.XLOOKUP(JX37,'Dispensed Ink Rates'!C:C,'Dispensed Ink Rates'!CS:CS),VLOOKUP(JX37,'Jan-2026 rates'!$E:$F,2,0)))</f>
        <v>0</v>
      </c>
      <c r="KO37" s="409"/>
      <c r="KP37" s="409"/>
      <c r="KQ37" s="411">
        <f t="shared" si="29"/>
        <v>0</v>
      </c>
      <c r="KR37" s="411">
        <f t="shared" si="30"/>
        <v>0</v>
      </c>
      <c r="KS37" s="410">
        <f t="shared" si="31"/>
        <v>0</v>
      </c>
      <c r="KT37" s="409">
        <v>2</v>
      </c>
      <c r="KU37" s="409">
        <v>10</v>
      </c>
      <c r="KV37" s="409">
        <v>2</v>
      </c>
      <c r="KW37" s="409">
        <v>2</v>
      </c>
      <c r="KX37" s="409">
        <v>2</v>
      </c>
      <c r="KY37" s="409">
        <f>8+5</f>
        <v>13</v>
      </c>
      <c r="KZ37" s="409">
        <v>20</v>
      </c>
      <c r="LA37" s="409">
        <v>0</v>
      </c>
      <c r="LB37" s="415">
        <v>0.3</v>
      </c>
      <c r="LC37" s="415"/>
      <c r="LD37" s="415"/>
      <c r="LE37" s="415">
        <v>0.5</v>
      </c>
      <c r="LF37" s="415">
        <v>0.2</v>
      </c>
      <c r="LG37" s="409">
        <v>0</v>
      </c>
      <c r="LH37" s="409">
        <f>20+20+18+30+6+12</f>
        <v>106</v>
      </c>
      <c r="LI37" s="409">
        <v>0</v>
      </c>
      <c r="LJ37" s="409">
        <v>0</v>
      </c>
      <c r="LK37" s="416">
        <f t="shared" si="32"/>
        <v>106</v>
      </c>
      <c r="LL37" s="416">
        <f t="shared" si="33"/>
        <v>106</v>
      </c>
      <c r="LM37" s="417">
        <f t="shared" si="34"/>
        <v>31.799999999999997</v>
      </c>
      <c r="LN37" s="417">
        <f>VLOOKUP($LM$8,'Jan-2026 rates'!$H:$I,2,0)</f>
        <v>0</v>
      </c>
      <c r="LO37" s="417">
        <f t="shared" si="35"/>
        <v>0</v>
      </c>
      <c r="LP37" s="417">
        <f>VLOOKUP($LO$8,'Jan-2026 rates'!$H:$I,2,0)</f>
        <v>0</v>
      </c>
      <c r="LQ37" s="417">
        <f t="shared" si="36"/>
        <v>0</v>
      </c>
      <c r="LR37" s="417">
        <f>VLOOKUP($LQ$8,'Jan-2026 rates'!$H:$I,2,0)</f>
        <v>0</v>
      </c>
      <c r="LS37" s="417">
        <f t="shared" si="37"/>
        <v>53</v>
      </c>
      <c r="LT37" s="417">
        <f>VLOOKUP($LS$8,'Jan-2026 rates'!$H:$I,2,0)</f>
        <v>0</v>
      </c>
      <c r="LU37" s="417">
        <f t="shared" si="38"/>
        <v>21.200000000000003</v>
      </c>
      <c r="LV37" s="417">
        <f>VLOOKUP($LU$8,'Jan-2026 rates'!$H:$I,2,0)</f>
        <v>0</v>
      </c>
      <c r="LW37" s="417">
        <f t="shared" si="39"/>
        <v>0</v>
      </c>
      <c r="LX37" s="417">
        <f t="shared" si="40"/>
        <v>0</v>
      </c>
      <c r="LY37" s="418">
        <f t="shared" si="41"/>
        <v>0</v>
      </c>
      <c r="LZ37" s="417"/>
      <c r="MA37" s="435">
        <f t="shared" si="42"/>
        <v>104.94</v>
      </c>
      <c r="MB37" s="282">
        <f t="shared" si="43"/>
        <v>173.94</v>
      </c>
      <c r="MC37" s="283" t="s">
        <v>1965</v>
      </c>
      <c r="MD37" s="284" t="str">
        <f t="shared" si="44"/>
        <v>ToyoLiToyoLiToyoLiToyoLiToyoLiToyoLiToyoLi</v>
      </c>
      <c r="ME37" s="293" t="str">
        <f t="shared" si="45"/>
        <v>+</v>
      </c>
      <c r="MF37" s="293" t="str">
        <f t="shared" si="46"/>
        <v>+</v>
      </c>
      <c r="MG37" s="293" t="str">
        <f t="shared" si="47"/>
        <v>+</v>
      </c>
      <c r="MH37" s="293" t="str">
        <f t="shared" si="48"/>
        <v>+</v>
      </c>
      <c r="MI37" s="293" t="str">
        <f t="shared" si="49"/>
        <v>+</v>
      </c>
      <c r="MJ37" s="293" t="str">
        <f t="shared" si="50"/>
        <v>+</v>
      </c>
      <c r="MK37" s="293" t="str">
        <f t="shared" si="51"/>
        <v>+</v>
      </c>
      <c r="ML37" s="293" t="str">
        <f t="shared" si="52"/>
        <v>NIL</v>
      </c>
      <c r="MM37" s="3" t="b">
        <f t="array" ref="MM37">OR(ME37:ML37="-")</f>
        <v>0</v>
      </c>
      <c r="MN37" s="285"/>
      <c r="MO37" s="401"/>
      <c r="MP37" s="286"/>
      <c r="MQ37" s="286"/>
      <c r="MR37" s="402"/>
      <c r="MS37" s="400"/>
      <c r="NH37" s="422"/>
      <c r="NJ37" s="421"/>
    </row>
    <row r="38" spans="1:374" s="1" customFormat="1" ht="16.5">
      <c r="A38" s="403">
        <v>46028</v>
      </c>
      <c r="B38" s="404" t="s">
        <v>1015</v>
      </c>
      <c r="C38" s="405" t="s">
        <v>2763</v>
      </c>
      <c r="D38" s="406" t="s">
        <v>1966</v>
      </c>
      <c r="E38" s="404">
        <v>237</v>
      </c>
      <c r="F38" s="407">
        <v>10900</v>
      </c>
      <c r="G38" s="407" t="s">
        <v>1016</v>
      </c>
      <c r="H38" s="408" t="s">
        <v>1017</v>
      </c>
      <c r="I38" s="409">
        <v>1.5</v>
      </c>
      <c r="J38" s="405" t="s">
        <v>543</v>
      </c>
      <c r="K38" s="404" t="s">
        <v>2764</v>
      </c>
      <c r="L38" s="419" t="str">
        <f t="shared" si="0"/>
        <v>ToyoLi - BLACK</v>
      </c>
      <c r="M38" s="404">
        <v>27</v>
      </c>
      <c r="N38" s="410">
        <f>IF(M38=0,0,IF($LB38=70%,VLOOKUP($L38,'Jan-2026 rates'!$L:$R,4,0),IF($LB38=65%,VLOOKUP($L38,'Jan-2026 rates'!$L:$R,4,0),IF($LB38=40%,VLOOKUP($L38,'Jan-2026 rates'!$L:$R,5,0),IF($LB38=30%,VLOOKUP($L38,'Jan-2026 rates'!$L:$R,6,0),IF($LB38=100%,VLOOKUP($L38,'Jan-2026 rates'!$L:$R,7,0),IF($LB38=60%,VLOOKUP($L38,'Jan-2026 rates'!$L:$S,8,0),IF($LB38=80%,VLOOKUP($L38,'Jan-2026 rates'!L:T,9,0),0))))))))</f>
        <v>0</v>
      </c>
      <c r="O38" s="406"/>
      <c r="P38" s="404"/>
      <c r="Q38" s="410">
        <f>IF(P38=0,0,IF($LB38=70%,VLOOKUP($L38,'Jan-2026 rates'!$L:$R,4,0),IF($LB38=65%,VLOOKUP($L38,'Jan-2026 rates'!$L:$R,4,0),IF($LB38=40%,VLOOKUP($L38,'Jan-2026 rates'!$L:$R,5,0),IF($LB38=30%,VLOOKUP($L38,'Jan-2026 rates'!$L:$R,6,0),IF($LB38=100%,VLOOKUP($L38,'Jan-2026 rates'!$L:$R,7,0),IF($LB38=60%,VLOOKUP($L38,'Jan-2026 rates'!$L:$S,8,0),IF($LB38=80%,VLOOKUP($L38,'Jan-2026 rates'!L:T,9,0),0))))))))</f>
        <v>0</v>
      </c>
      <c r="R38" s="406" t="s">
        <v>1252</v>
      </c>
      <c r="S38" s="406"/>
      <c r="T38" s="406"/>
      <c r="U38" s="406"/>
      <c r="V38" s="406"/>
      <c r="W38" s="406"/>
      <c r="X38" s="406"/>
      <c r="Y38" s="406"/>
      <c r="Z38" s="404">
        <v>30</v>
      </c>
      <c r="AA38" s="398">
        <f>IF(Z38=0,0,IF(LEN(R38)=11,_xlfn.XLOOKUP(R38,'Dispensed Ink Rates'!C:C,'Dispensed Ink Rates'!CS:CS),VLOOKUP(R38,'Jan-2026 rates'!$E:$F,2,0)))</f>
        <v>0</v>
      </c>
      <c r="AB38" s="404"/>
      <c r="AC38" s="398">
        <f>IF(AB38=0,0,IF(LEN(S38)=11,_xlfn.XLOOKUP(S38,'Dispensed Ink Rates'!C:C,'Dispensed Ink Rates'!CS:CS),VLOOKUP(S38,'Jan-2026 rates'!$E:$F,2,0)))</f>
        <v>0</v>
      </c>
      <c r="AD38" s="404"/>
      <c r="AE38" s="398">
        <f>IF(AD38=0,0,IF(LEN(T38)=11,_xlfn.XLOOKUP(T38,'Dispensed Ink Rates'!C:C,'Dispensed Ink Rates'!CS:CS),VLOOKUP(T38,'Jan-2026 rates'!$E:$F,2,0)))</f>
        <v>0</v>
      </c>
      <c r="AF38" s="404"/>
      <c r="AG38" s="398">
        <f>IF(AF38=0,0,IF(LEN(U38)=11,_xlfn.XLOOKUP(U38,'Dispensed Ink Rates'!C:C,'Dispensed Ink Rates'!CS:CS),VLOOKUP(U38,'Jan-2026 rates'!$E:$F,2,0)))</f>
        <v>0</v>
      </c>
      <c r="AH38" s="404"/>
      <c r="AI38" s="398">
        <f>IF(AH38=0,0,IF(LEN(V38)=11,_xlfn.XLOOKUP(V38,'Dispensed Ink Rates'!C:C,'Dispensed Ink Rates'!CS:CS),VLOOKUP(V38,'Jan-2026 rates'!$E:$F,2,0)))</f>
        <v>0</v>
      </c>
      <c r="AJ38" s="404"/>
      <c r="AK38" s="398">
        <f>IF(AJ38=0,0,IF(LEN(W38)=11,_xlfn.XLOOKUP(W38,'Dispensed Ink Rates'!C:C,'Dispensed Ink Rates'!CS:CS),VLOOKUP(W38,'Jan-2026 rates'!$E:$F,2,0)))</f>
        <v>0</v>
      </c>
      <c r="AL38" s="404"/>
      <c r="AM38" s="398">
        <f>IF(AL38=0,0,IF(LEN(X38)=11,_xlfn.XLOOKUP(X38,'Dispensed Ink Rates'!C:C,'Dispensed Ink Rates'!CS:CS),VLOOKUP(X38,'Jan-2026 rates'!$E:$F,2,0)))</f>
        <v>0</v>
      </c>
      <c r="AN38" s="404"/>
      <c r="AO38" s="398">
        <f>IF(AN38=0,0,IF(LEN(Y38)=11,_xlfn.XLOOKUP(Y38,'Dispensed Ink Rates'!C:C,'Dispensed Ink Rates'!CS:CS),VLOOKUP(Y38,'Jan-2026 rates'!$E:$F,2,0)))</f>
        <v>0</v>
      </c>
      <c r="AP38" s="409" t="s">
        <v>1881</v>
      </c>
      <c r="AQ38" s="409">
        <v>24</v>
      </c>
      <c r="AR38" s="410">
        <f t="shared" si="1"/>
        <v>0</v>
      </c>
      <c r="AS38" s="411">
        <f t="shared" si="2"/>
        <v>54.400000000000006</v>
      </c>
      <c r="AT38" s="410">
        <f t="shared" si="3"/>
        <v>0</v>
      </c>
      <c r="AU38" s="405" t="s">
        <v>857</v>
      </c>
      <c r="AV38" s="409" t="s">
        <v>2765</v>
      </c>
      <c r="AW38" s="420" t="str">
        <f t="shared" si="4"/>
        <v>ToyoLi - RED</v>
      </c>
      <c r="AX38" s="409">
        <v>20</v>
      </c>
      <c r="AY38" s="411">
        <f>IF(AX38=0,0,IF($LB38=70%,VLOOKUP($AW38,'Jan-2026 rates'!$L:$R,4,0),IF($LB38=65%,VLOOKUP($AW38,'Jan-2026 rates'!$L:$R,4,0),IF($LB38=40%,VLOOKUP($AW38,'Jan-2026 rates'!$L:$R,5,0),IF($LB38=30%,VLOOKUP($AW38,'Jan-2026 rates'!$L:$R,6,0),IF($LB38=100%,VLOOKUP($AW38,'Jan-2026 rates'!$L:$R,7,0),IF($LB38=60%,VLOOKUP($AW38,'Jan-2026 rates'!$L:$S,8,0),IF($LB38=80%,VLOOKUP($AW38,'Jan-2026 rates'!L:T,9,0),0))))))))</f>
        <v>0</v>
      </c>
      <c r="AZ38" s="412"/>
      <c r="BA38" s="409"/>
      <c r="BB38" s="411">
        <f>IF(BA38=0,0,IF($LB38=70%,VLOOKUP($AW38,'Jan-2026 rates'!$L:$R,4,0),IF($LB38=65%,VLOOKUP($AW38,'Jan-2026 rates'!$L:$R,4,0),IF($LB38=40%,VLOOKUP($AW38,'Jan-2026 rates'!$L:$R,5,0),IF($LB38=30%,VLOOKUP($AW38,'Jan-2026 rates'!$L:$R,6,0),IF($LB38=100%,VLOOKUP($AW38,'Jan-2026 rates'!$L:$R,7,0),IF($LB38=60%,VLOOKUP($AW38,'Jan-2026 rates'!$L:$S,8,0),IF($LB38=80%,VLOOKUP($AW38,'Jan-2026 rates'!L:T,9,0),0))))))))</f>
        <v>0</v>
      </c>
      <c r="BC38" s="413" t="s">
        <v>1505</v>
      </c>
      <c r="BD38" s="412" t="s">
        <v>1246</v>
      </c>
      <c r="BE38" s="412"/>
      <c r="BF38" s="413"/>
      <c r="BG38" s="412"/>
      <c r="BH38" s="412"/>
      <c r="BI38" s="412"/>
      <c r="BJ38" s="412"/>
      <c r="BK38" s="409">
        <v>10</v>
      </c>
      <c r="BL38" s="398">
        <f>IF(BK38=0,0,IF(LEN(BC38)=11,_xlfn.XLOOKUP(BC38,'Dispensed Ink Rates'!C:C,'Dispensed Ink Rates'!CS:CS),VLOOKUP(BC38,'Jan-2026 rates'!$E:$F,2,0)))</f>
        <v>0</v>
      </c>
      <c r="BM38" s="409">
        <v>5</v>
      </c>
      <c r="BN38" s="398">
        <f>IF(BM38=0,0,IF(LEN(BD38)=11,_xlfn.XLOOKUP(BD38,'Dispensed Ink Rates'!C:C,'Dispensed Ink Rates'!CS:CS),VLOOKUP(BD38,'Jan-2026 rates'!$E:$F,2,0)))</f>
        <v>0</v>
      </c>
      <c r="BO38" s="409"/>
      <c r="BP38" s="398">
        <f>IF(BO38=0,0,IF(LEN(BE38)=11,_xlfn.XLOOKUP(BE38,'Dispensed Ink Rates'!C:C,'Dispensed Ink Rates'!CS:CS),VLOOKUP(BE38,'Jan-2026 rates'!$E:$F,2,0)))</f>
        <v>0</v>
      </c>
      <c r="BQ38" s="409"/>
      <c r="BR38" s="398">
        <f>IF(BQ38=0,0,IF(LEN(BF38)=11,_xlfn.XLOOKUP(BF38,'Dispensed Ink Rates'!C:C,'Dispensed Ink Rates'!CS:CS),VLOOKUP(BF38,'Jan-2026 rates'!$E:$F,2,0)))</f>
        <v>0</v>
      </c>
      <c r="BS38" s="409"/>
      <c r="BT38" s="398">
        <f>IF(BS38=0,0,IF(LEN(BG38)=11,_xlfn.XLOOKUP(BG38,'Dispensed Ink Rates'!C:C,'Dispensed Ink Rates'!CS:CS),VLOOKUP(BG38,'Jan-2026 rates'!$E:$F,2,0)))</f>
        <v>0</v>
      </c>
      <c r="BU38" s="409"/>
      <c r="BV38" s="398">
        <f>IF(BU38=0,0,IF(LEN(BH38)=11,_xlfn.XLOOKUP(BH38,'Dispensed Ink Rates'!C:C,'Dispensed Ink Rates'!CS:CS),VLOOKUP(BH38,'Jan-2026 rates'!$E:$F,2,0)))</f>
        <v>0</v>
      </c>
      <c r="BW38" s="409"/>
      <c r="BX38" s="398">
        <f>IF(BW38=0,0,IF(LEN(BI38)=11,_xlfn.XLOOKUP(BI38,'Dispensed Ink Rates'!C:C,'Dispensed Ink Rates'!CS:CS),VLOOKUP(BI38,'Jan-2026 rates'!$E:$F,2,0)))</f>
        <v>0</v>
      </c>
      <c r="BY38" s="409"/>
      <c r="BZ38" s="398">
        <f>IF(BY38=0,0,IF(LEN(BJ38)=11,_xlfn.XLOOKUP(BJ38,'Dispensed Ink Rates'!C:C,'Dispensed Ink Rates'!CS:CS),VLOOKUP(BJ38,'Jan-2026 rates'!$E:$F,2,0)))</f>
        <v>0</v>
      </c>
      <c r="CA38" s="409" t="s">
        <v>1881</v>
      </c>
      <c r="CB38" s="409">
        <f>15+16</f>
        <v>31</v>
      </c>
      <c r="CC38" s="411">
        <f t="shared" si="5"/>
        <v>0</v>
      </c>
      <c r="CD38" s="411">
        <f t="shared" si="6"/>
        <v>10.420000000000002</v>
      </c>
      <c r="CE38" s="410">
        <f t="shared" si="7"/>
        <v>0</v>
      </c>
      <c r="CF38" s="404" t="s">
        <v>855</v>
      </c>
      <c r="CG38" s="409" t="s">
        <v>2766</v>
      </c>
      <c r="CH38" s="420" t="str">
        <f t="shared" si="8"/>
        <v>ToyoLi - CYAN</v>
      </c>
      <c r="CI38" s="409">
        <v>28</v>
      </c>
      <c r="CJ38" s="411">
        <f>IF(CI38=0,0,IF($LB38=70%,VLOOKUP($CH38,'Jan-2026 rates'!$L:$R,4,0),IF($LB38=65%,VLOOKUP($CH38,'Jan-2026 rates'!$L:$R,4,0),IF($LB38=40%,VLOOKUP($CH38,'Jan-2026 rates'!$L:$R,5,0),IF($LB38=30%,VLOOKUP($CH38,'Jan-2026 rates'!$L:$R,6,0),IF($LB38=100%,VLOOKUP($CH38,'Jan-2026 rates'!$L:$R,7,0),IF($LB38=60%,VLOOKUP($CH38,'Jan-2026 rates'!$L:$S,8,0),IF($LB38=80%,VLOOKUP($CH38,'Jan-2026 rates'!L:T,9,0),0))))))))</f>
        <v>0</v>
      </c>
      <c r="CK38" s="412"/>
      <c r="CL38" s="409"/>
      <c r="CM38" s="411">
        <f>IF(CL38=0,0,IF($LB38=70%,VLOOKUP($CH38,'Jan-2026 rates'!$L:$R,4,0),IF($LB38=65%,VLOOKUP($CH38,'Jan-2026 rates'!$L:$R,4,0),IF($LB38=40%,VLOOKUP($CH38,'Jan-2026 rates'!$L:$R,5,0),IF($LB38=30%,VLOOKUP($CH38,'Jan-2026 rates'!$L:$R,6,0),IF($LB38=100%,VLOOKUP($CH38,'Jan-2026 rates'!$L:$R,7,0),IF($LB38=60%,VLOOKUP($CH38,'Jan-2026 rates'!$L:$S,8,0),IF($LB38=80%,VLOOKUP($CH38,'Jan-2026 rates'!L:T,9,0),0))))))))</f>
        <v>0</v>
      </c>
      <c r="CN38" s="426"/>
      <c r="CO38" s="427"/>
      <c r="CP38" s="426"/>
      <c r="CQ38" s="426"/>
      <c r="CR38" s="428"/>
      <c r="CS38" s="428"/>
      <c r="CT38" s="428"/>
      <c r="CU38" s="428"/>
      <c r="CV38" s="409"/>
      <c r="CW38" s="398">
        <f>IF(CV38=0,0,IF(LEN(CN38)=11,_xlfn.XLOOKUP(CN38,'Dispensed Ink Rates'!C:C,'Dispensed Ink Rates'!CS:CS),VLOOKUP(CN38,'Jan-2026 rates'!$E:$F,2,0)))</f>
        <v>0</v>
      </c>
      <c r="CX38" s="409"/>
      <c r="CY38" s="398">
        <f>IF(CX38=0,0,IF(LEN(CO38)=11,_xlfn.XLOOKUP(CO38,'Dispensed Ink Rates'!C:C,'Dispensed Ink Rates'!CS:CS),VLOOKUP(CO38,'Jan-2026 rates'!$E:$F,2,0)))</f>
        <v>0</v>
      </c>
      <c r="CZ38" s="409"/>
      <c r="DA38" s="398">
        <f>IF(CZ38=0,0,IF(LEN(CP38)=11,_xlfn.XLOOKUP(CP38,'Dispensed Ink Rates'!C:C,'Dispensed Ink Rates'!CS:CS),VLOOKUP(CP38,'Jan-2026 rates'!$E:$F,2,0)))</f>
        <v>0</v>
      </c>
      <c r="DB38" s="409"/>
      <c r="DC38" s="398">
        <f>IF(DB38=0,0,IF(LEN(CQ38)=11,_xlfn.XLOOKUP(CQ38,'Dispensed Ink Rates'!C:C,'Dispensed Ink Rates'!CS:CS),VLOOKUP(CQ38,'Jan-2026 rates'!$E:$F,2,0)))</f>
        <v>0</v>
      </c>
      <c r="DD38" s="409"/>
      <c r="DE38" s="398">
        <f>IF(DD38=0,0,IF(LEN(CR38)=11,_xlfn.XLOOKUP(CR38,'Dispensed Ink Rates'!C:C,'Dispensed Ink Rates'!CS:CS),VLOOKUP(CR38,'Jan-2026 rates'!$E:$F,2,0)))</f>
        <v>0</v>
      </c>
      <c r="DF38" s="409"/>
      <c r="DG38" s="398">
        <f>IF(DF38=0,0,IF(LEN(CS38)=11,_xlfn.XLOOKUP(CS38,'Dispensed Ink Rates'!C:C,'Dispensed Ink Rates'!CS:CS),VLOOKUP(CS38,'Jan-2026 rates'!$E:$F,2,0)))</f>
        <v>0</v>
      </c>
      <c r="DH38" s="409"/>
      <c r="DI38" s="398">
        <f>IF(DH38=0,0,IF(LEN(CT38)=11,_xlfn.XLOOKUP(CT38,'Dispensed Ink Rates'!C:C,'Dispensed Ink Rates'!CS:CS),VLOOKUP(CT38,'Jan-2026 rates'!$E:$F,2,0)))</f>
        <v>0</v>
      </c>
      <c r="DJ38" s="409"/>
      <c r="DK38" s="398">
        <f>IF(DJ38=0,0,IF(LEN(CU38)=11,_xlfn.XLOOKUP(CU38,'Dispensed Ink Rates'!C:C,'Dispensed Ink Rates'!CS:CS),VLOOKUP(CU38,'Jan-2026 rates'!$E:$F,2,0)))</f>
        <v>0</v>
      </c>
      <c r="DL38" s="409" t="s">
        <v>1881</v>
      </c>
      <c r="DM38" s="409">
        <v>23</v>
      </c>
      <c r="DN38" s="411">
        <f t="shared" si="9"/>
        <v>0</v>
      </c>
      <c r="DO38" s="411">
        <f t="shared" si="10"/>
        <v>13.560000000000002</v>
      </c>
      <c r="DP38" s="410">
        <f t="shared" si="11"/>
        <v>0</v>
      </c>
      <c r="DQ38" s="405" t="s">
        <v>544</v>
      </c>
      <c r="DR38" s="409" t="s">
        <v>2767</v>
      </c>
      <c r="DS38" s="420" t="str">
        <f t="shared" si="12"/>
        <v>ToyoLi - MAGENTA</v>
      </c>
      <c r="DT38" s="409">
        <v>28</v>
      </c>
      <c r="DU38" s="411">
        <f>IF(DT38=0,0,IF($LB38=70%,VLOOKUP($DS38,'Jan-2026 rates'!$L:$R,4,0),IF($LB38=65%,VLOOKUP($DS38,'Jan-2026 rates'!$L:$R,4,0),IF($LB38=40%,VLOOKUP($DS38,'Jan-2026 rates'!$L:$R,5,0),IF($LB38=30%,VLOOKUP($DS38,'Jan-2026 rates'!$L:$R,6,0),IF($LB38=100%,VLOOKUP($DS38,'Jan-2026 rates'!$L:$R,7,0),IF($LB38=60%,VLOOKUP($DS38,'Jan-2026 rates'!$L:$S,8,0),IF($LB38=80%,VLOOKUP($DS38,'Jan-2026 rates'!L:T,9,0),0))))))))</f>
        <v>0</v>
      </c>
      <c r="DV38" s="412"/>
      <c r="DW38" s="409"/>
      <c r="DX38" s="411">
        <f>IF(DW38=0,0,IF($LB38=70%,VLOOKUP($DS38,'Jan-2026 rates'!$L:$R,4,0),IF($LB38=65%,VLOOKUP($DS38,'Jan-2026 rates'!$L:$R,4,0),IF($LB38=40%,VLOOKUP($DS38,'Jan-2026 rates'!$L:$R,5,0),IF($LB38=30%,VLOOKUP($DS38,'Jan-2026 rates'!$L:$R,6,0),IF($LB38=100%,VLOOKUP($DS38,'Jan-2026 rates'!$L:$R,7,0),IF($LB38=60%,VLOOKUP($DS38,'Jan-2026 rates'!$L:$S,8,0),IF($LB38=80%,VLOOKUP($DS38,'Jan-2026 rates'!L:T,9,0),0))))))))</f>
        <v>0</v>
      </c>
      <c r="DY38" s="413" t="s">
        <v>1246</v>
      </c>
      <c r="DZ38" s="413"/>
      <c r="EA38" s="412"/>
      <c r="EB38" s="412"/>
      <c r="EC38" s="412"/>
      <c r="ED38" s="412"/>
      <c r="EE38" s="412"/>
      <c r="EF38" s="412"/>
      <c r="EG38" s="409">
        <f>2+2</f>
        <v>4</v>
      </c>
      <c r="EH38" s="398">
        <f>IF(EG38=0,0,IF(LEN(DY38)=11,_xlfn.XLOOKUP(DY38,'Dispensed Ink Rates'!C:C,'Dispensed Ink Rates'!CS:CS),VLOOKUP(DY38,'Jan-2026 rates'!$E:$F,2,0)))</f>
        <v>0</v>
      </c>
      <c r="EI38" s="409"/>
      <c r="EJ38" s="398">
        <f>IF(EI38=0,0,IF(LEN(DZ38)=11,_xlfn.XLOOKUP(DZ38,'Dispensed Ink Rates'!C:C,'Dispensed Ink Rates'!CS:CS),VLOOKUP(DZ38,'Jan-2026 rates'!$E:$F,2,0)))</f>
        <v>0</v>
      </c>
      <c r="EK38" s="409"/>
      <c r="EL38" s="398">
        <f>IF(EK38=0,0,IF(LEN(EA38)=11,_xlfn.XLOOKUP(EA38,'Dispensed Ink Rates'!C:C,'Dispensed Ink Rates'!CS:CS),VLOOKUP(EA38,'Jan-2026 rates'!$E:$F,2,0)))</f>
        <v>0</v>
      </c>
      <c r="EM38" s="409"/>
      <c r="EN38" s="398">
        <f>IF(EM38=0,0,IF(LEN(EB38)=11,_xlfn.XLOOKUP(EB38,'Dispensed Ink Rates'!C:C,'Dispensed Ink Rates'!CS:CS),VLOOKUP(EB38,'Jan-2026 rates'!$E:$F,2,0)))</f>
        <v>0</v>
      </c>
      <c r="EO38" s="409"/>
      <c r="EP38" s="398">
        <f>IF(EO38=0,0,IF(LEN(EC38)=11,_xlfn.XLOOKUP(EC38,'Dispensed Ink Rates'!C:C,'Dispensed Ink Rates'!CS:CS),VLOOKUP(EC38,'Jan-2026 rates'!$E:$F,2,0)))</f>
        <v>0</v>
      </c>
      <c r="EQ38" s="409"/>
      <c r="ER38" s="398">
        <f>IF(EQ38=0,0,IF(LEN(ED38)=11,_xlfn.XLOOKUP(ED38,'Dispensed Ink Rates'!C:C,'Dispensed Ink Rates'!CS:CS),VLOOKUP(ED38,'Jan-2026 rates'!$E:$F,2,0)))</f>
        <v>0</v>
      </c>
      <c r="ES38" s="409"/>
      <c r="ET38" s="398">
        <f>IF(ES38=0,0,IF(LEN(EE38)=11,_xlfn.XLOOKUP(EE38,'Dispensed Ink Rates'!C:C,'Dispensed Ink Rates'!CS:CS),VLOOKUP(EE38,'Jan-2026 rates'!$E:$F,2,0)))</f>
        <v>0</v>
      </c>
      <c r="EU38" s="409"/>
      <c r="EV38" s="398">
        <f>IF(EU38=0,0,IF(LEN(EF38)=11,_xlfn.XLOOKUP(EF38,'Dispensed Ink Rates'!C:C,'Dispensed Ink Rates'!CS:CS),VLOOKUP(EF38,'Jan-2026 rates'!$E:$F,2,0)))</f>
        <v>0</v>
      </c>
      <c r="EW38" s="409" t="s">
        <v>1881</v>
      </c>
      <c r="EX38" s="409">
        <f>26+5</f>
        <v>31</v>
      </c>
      <c r="EY38" s="411">
        <f t="shared" si="13"/>
        <v>0</v>
      </c>
      <c r="EZ38" s="411">
        <f t="shared" si="14"/>
        <v>7.4200000000000017</v>
      </c>
      <c r="FA38" s="410">
        <f t="shared" si="15"/>
        <v>0</v>
      </c>
      <c r="FB38" s="405" t="s">
        <v>545</v>
      </c>
      <c r="FC38" s="409" t="s">
        <v>2768</v>
      </c>
      <c r="FD38" s="420" t="str">
        <f t="shared" si="16"/>
        <v>ToyoLi - YELLOW</v>
      </c>
      <c r="FE38" s="409">
        <v>24</v>
      </c>
      <c r="FF38" s="411">
        <f>IF(FE38=0,0,IF($LB38=70%,VLOOKUP($FD38,'Jan-2026 rates'!$L:$R,4,0),IF($LB38=65%,VLOOKUP($FD38,'Jan-2026 rates'!$L:$R,4,0),IF($LB38=40%,VLOOKUP($FD38,'Jan-2026 rates'!$L:$R,5,0),IF($LB38=30%,VLOOKUP($FD38,'Jan-2026 rates'!$L:$R,6,0),IF($LB38=100%,VLOOKUP($FD38,'Jan-2026 rates'!$L:$R,7,0),IF($LB38=60%,VLOOKUP($FD38,'Jan-2026 rates'!$L:$S,8,0),IF($LB38=80%,VLOOKUP($FD38,'Jan-2026 rates'!L:T,9,0),0))))))))</f>
        <v>0</v>
      </c>
      <c r="FG38" s="412"/>
      <c r="FH38" s="409"/>
      <c r="FI38" s="411">
        <f>IF(FH38=0,0,IF($LB38=70%,VLOOKUP($FD38,'Jan-2026 rates'!$L:$R,4,0),IF($LB38=65%,VLOOKUP($FD38,'Jan-2026 rates'!$L:$R,4,0),IF($LB38=40%,VLOOKUP($FD38,'Jan-2026 rates'!$L:$R,5,0),IF($LB38=30%,VLOOKUP($FD38,'Jan-2026 rates'!$L:$R,6,0),IF($LB38=100%,VLOOKUP($FD38,'Jan-2026 rates'!$L:$R,7,0),IF($LB38=60%,VLOOKUP($FD38,'Jan-2026 rates'!$L:$S,8,0),IF($LB38=80%,VLOOKUP($FD38,'Jan-2026 rates'!L:T,9,0),0))))))))</f>
        <v>0</v>
      </c>
      <c r="FJ38" s="413" t="s">
        <v>1247</v>
      </c>
      <c r="FK38" s="413"/>
      <c r="FL38" s="413"/>
      <c r="FM38" s="412"/>
      <c r="FN38" s="412"/>
      <c r="FO38" s="412"/>
      <c r="FP38" s="412"/>
      <c r="FQ38" s="412"/>
      <c r="FR38" s="409">
        <v>3</v>
      </c>
      <c r="FS38" s="398">
        <f>IF(FR38=0,0,IF(LEN(FJ38)=11,_xlfn.XLOOKUP(FJ38,'Dispensed Ink Rates'!C:C,'Dispensed Ink Rates'!CS:CS),VLOOKUP(FJ38,'Jan-2026 rates'!$E:$F,2,0)))</f>
        <v>0</v>
      </c>
      <c r="FT38" s="409"/>
      <c r="FU38" s="398">
        <f>IF(FT38=0,0,IF(LEN(FK38)=11,_xlfn.XLOOKUP(FK38,'Dispensed Ink Rates'!C:C,'Dispensed Ink Rates'!CS:CS),VLOOKUP(FK38,'Jan-2026 rates'!$E:$F,2,0)))</f>
        <v>0</v>
      </c>
      <c r="FV38" s="409"/>
      <c r="FW38" s="398">
        <f>IF(FV38=0,0,IF(LEN(FL38)=11,_xlfn.XLOOKUP(FL38,'Dispensed Ink Rates'!C:C,'Dispensed Ink Rates'!CS:CS),VLOOKUP(FL38,'Jan-2026 rates'!$E:$F,2,0)))</f>
        <v>0</v>
      </c>
      <c r="FX38" s="409"/>
      <c r="FY38" s="398">
        <f>IF(FX38=0,0,IF(LEN(FM38)=11,_xlfn.XLOOKUP(FM38,'Dispensed Ink Rates'!C:C,'Dispensed Ink Rates'!CS:CS),VLOOKUP(FM38,'Jan-2026 rates'!$E:$F,2,0)))</f>
        <v>0</v>
      </c>
      <c r="FZ38" s="409"/>
      <c r="GA38" s="398">
        <f>IF(FZ38=0,0,IF(LEN(FN38)=11,_xlfn.XLOOKUP(FN38,'Dispensed Ink Rates'!C:C,'Dispensed Ink Rates'!CS:CS),VLOOKUP(FN38,'Jan-2026 rates'!$E:$F,2,0)))</f>
        <v>0</v>
      </c>
      <c r="GB38" s="409"/>
      <c r="GC38" s="398">
        <f>IF(GB38=0,0,IF(LEN(FO38)=11,_xlfn.XLOOKUP(FO38,'Dispensed Ink Rates'!C:C,'Dispensed Ink Rates'!CS:CS),VLOOKUP(FO38,'Jan-2026 rates'!$E:$F,2,0)))</f>
        <v>0</v>
      </c>
      <c r="GD38" s="409"/>
      <c r="GE38" s="398">
        <f>IF(GD38=0,0,IF(LEN(FP38)=11,_xlfn.XLOOKUP(FP38,'Dispensed Ink Rates'!C:C,'Dispensed Ink Rates'!CS:CS),VLOOKUP(FP38,'Jan-2026 rates'!$E:$F,2,0)))</f>
        <v>0</v>
      </c>
      <c r="GF38" s="409"/>
      <c r="GG38" s="398">
        <f>IF(GF38=0,0,IF(LEN(FQ38)=11,_xlfn.XLOOKUP(FQ38,'Dispensed Ink Rates'!C:C,'Dispensed Ink Rates'!CS:CS),VLOOKUP(FQ38,'Jan-2026 rates'!$E:$F,2,0)))</f>
        <v>0</v>
      </c>
      <c r="GH38" s="409" t="s">
        <v>1881</v>
      </c>
      <c r="GI38" s="409">
        <v>20</v>
      </c>
      <c r="GJ38" s="411">
        <f t="shared" si="17"/>
        <v>0</v>
      </c>
      <c r="GK38" s="411">
        <f t="shared" si="18"/>
        <v>11.280000000000001</v>
      </c>
      <c r="GL38" s="410">
        <f t="shared" si="19"/>
        <v>0</v>
      </c>
      <c r="GM38" s="405" t="s">
        <v>545</v>
      </c>
      <c r="GN38" s="409" t="s">
        <v>2753</v>
      </c>
      <c r="GO38" s="420" t="str">
        <f t="shared" si="20"/>
        <v>ToyoLi - YELLOW</v>
      </c>
      <c r="GP38" s="409">
        <v>17</v>
      </c>
      <c r="GQ38" s="411">
        <f>IF(GP38=0,0,IF($LB38=70%,VLOOKUP($GO38,'Jan-2026 rates'!$L:$R,4,0),IF($LB38=65%,VLOOKUP($GO38,'Jan-2026 rates'!$L:$R,4,0),IF($LB38=40%,VLOOKUP($GO38,'Jan-2026 rates'!$L:$R,5,0),IF($LB38=30%,VLOOKUP($GO38,'Jan-2026 rates'!$L:$R,6,0),IF($LB38=100%,VLOOKUP($GO38,'Jan-2026 rates'!$L:$R,7,0),IF($LB38=60%,VLOOKUP($GO38,'Jan-2026 rates'!$L:$S,8,0),IF($LB38=80%,VLOOKUP($GO38,'Jan-2026 rates'!L:T,9,0),0))))))))</f>
        <v>0</v>
      </c>
      <c r="GR38" s="412"/>
      <c r="GS38" s="409"/>
      <c r="GT38" s="411">
        <f>IF(GS38=0,0,IF($LB38=70%,VLOOKUP($GO38,'Jan-2026 rates'!$L:$R,4,0),IF($LB38=65%,VLOOKUP($GO38,'Jan-2026 rates'!$L:$R,4,0),IF($LB38=40%,VLOOKUP($GO38,'Jan-2026 rates'!$L:$R,5,0),IF($LB38=30%,VLOOKUP($GO38,'Jan-2026 rates'!$L:$R,6,0),IF($LB38=100%,VLOOKUP($GO38,'Jan-2026 rates'!$L:$R,7,0),IF($LB38=60%,VLOOKUP($GO38,'Jan-2026 rates'!$L:$S,8,0),IF($LB38=80%,VLOOKUP($GO38,'Jan-2026 rates'!L:T,9,0),0))))))))</f>
        <v>0</v>
      </c>
      <c r="GU38" s="413" t="s">
        <v>1247</v>
      </c>
      <c r="GV38" s="413" t="s">
        <v>1248</v>
      </c>
      <c r="GW38" s="412" t="s">
        <v>1921</v>
      </c>
      <c r="GX38" s="412"/>
      <c r="GY38" s="412"/>
      <c r="GZ38" s="412"/>
      <c r="HA38" s="412"/>
      <c r="HB38" s="412"/>
      <c r="HC38" s="409">
        <v>10</v>
      </c>
      <c r="HD38" s="398">
        <f>IF(HC38=0,0,IF(LEN(GU38)=11,_xlfn.XLOOKUP(GU38,'Dispensed Ink Rates'!C:C,'Dispensed Ink Rates'!CS:CS),VLOOKUP(GU38,'Jan-2026 rates'!$E:$F,2,0)))</f>
        <v>0</v>
      </c>
      <c r="HE38" s="409">
        <v>1</v>
      </c>
      <c r="HF38" s="398">
        <f>IF(HE38=0,0,IF(LEN(GV38)=11,_xlfn.XLOOKUP(GV38,'Dispensed Ink Rates'!C:C,'Dispensed Ink Rates'!CS:CS),VLOOKUP(GV38,'Jan-2026 rates'!$E:$F,2,0)))</f>
        <v>0</v>
      </c>
      <c r="HG38" s="409">
        <v>6</v>
      </c>
      <c r="HH38" s="398">
        <f>IF(HG38=0,0,IF(LEN(GW38)=11,_xlfn.XLOOKUP(GW38,'Dispensed Ink Rates'!C:C,'Dispensed Ink Rates'!CS:CS),VLOOKUP(GW38,'Jan-2026 rates'!$E:$F,2,0)))</f>
        <v>0</v>
      </c>
      <c r="HI38" s="409"/>
      <c r="HJ38" s="398">
        <f>IF(HI38=0,0,IF(LEN(GX38)=11,_xlfn.XLOOKUP(GX38,'Dispensed Ink Rates'!C:C,'Dispensed Ink Rates'!CS:CS),VLOOKUP(GX38,'Jan-2026 rates'!$E:$F,2,0)))</f>
        <v>0</v>
      </c>
      <c r="HK38" s="409"/>
      <c r="HL38" s="398">
        <f>IF(HK38=0,0,IF(LEN(GY38)=11,_xlfn.XLOOKUP(GY38,'Dispensed Ink Rates'!C:C,'Dispensed Ink Rates'!CS:CS),VLOOKUP(GY38,'Jan-2026 rates'!$E:$F,2,0)))</f>
        <v>0</v>
      </c>
      <c r="HM38" s="409"/>
      <c r="HN38" s="398">
        <f>IF(HM38=0,0,IF(LEN(GZ38)=11,_xlfn.XLOOKUP(GZ38,'Dispensed Ink Rates'!C:C,'Dispensed Ink Rates'!CS:CS),VLOOKUP(GZ38,'Jan-2026 rates'!$E:$F,2,0)))</f>
        <v>0</v>
      </c>
      <c r="HO38" s="409"/>
      <c r="HP38" s="398">
        <f>IF(HO38=0,0,IF(LEN(HA38)=11,_xlfn.XLOOKUP(HA38,'Dispensed Ink Rates'!C:C,'Dispensed Ink Rates'!CS:CS),VLOOKUP(HA38,'Jan-2026 rates'!$E:$F,2,0)))</f>
        <v>0</v>
      </c>
      <c r="HQ38" s="409"/>
      <c r="HR38" s="398">
        <f>IF(HQ38=0,0,IF(LEN(HB38)=11,_xlfn.XLOOKUP(HB38,'Dispensed Ink Rates'!C:C,'Dispensed Ink Rates'!CS:CS),VLOOKUP(HB38,'Jan-2026 rates'!$E:$F,2,0)))</f>
        <v>0</v>
      </c>
      <c r="HS38" s="409" t="s">
        <v>1881</v>
      </c>
      <c r="HT38" s="409">
        <f>18+17</f>
        <v>35</v>
      </c>
      <c r="HU38" s="411">
        <f t="shared" si="21"/>
        <v>0</v>
      </c>
      <c r="HV38" s="411">
        <f t="shared" si="22"/>
        <v>16.120000000000005</v>
      </c>
      <c r="HW38" s="414">
        <f t="shared" si="23"/>
        <v>0</v>
      </c>
      <c r="HX38" s="405" t="s">
        <v>856</v>
      </c>
      <c r="HY38" s="409" t="s">
        <v>2769</v>
      </c>
      <c r="HZ38" s="420" t="str">
        <f t="shared" si="24"/>
        <v>ToyoLi - WHITE</v>
      </c>
      <c r="IA38" s="409">
        <v>30</v>
      </c>
      <c r="IB38" s="411">
        <f>IF(IA38=0,0,IF($LB38=70%,VLOOKUP($HZ38,'Jan-2026 rates'!$L:$R,4,0),IF($LB38=65%,VLOOKUP($HZ38,'Jan-2026 rates'!$L:$R,4,0),IF($LB38=40%,VLOOKUP($HZ38,'Jan-2026 rates'!$L:$R,5,0),IF($LB38=30%,VLOOKUP($HZ38,'Jan-2026 rates'!$L:$R,6,0),IF($LB38=100%,VLOOKUP($HZ38,'Jan-2026 rates'!$L:$R,7,0),IF($LB38=60%,VLOOKUP($HZ38,'Jan-2026 rates'!$L:$S,8,0),IF($LB38=80%,VLOOKUP($HZ38,'Jan-2026 rates'!L:T,9,0),0))))))))</f>
        <v>0</v>
      </c>
      <c r="IC38" s="412"/>
      <c r="ID38" s="409"/>
      <c r="IE38" s="411">
        <f>IF(ID38=0,0,IF($LB38=70%,VLOOKUP($HZ38,'Jan-2026 rates'!$L:$R,4,0),IF($LB38=65%,VLOOKUP($HZ38,'Jan-2026 rates'!$L:$R,4,0),IF($LB38=40%,VLOOKUP($HZ38,'Jan-2026 rates'!$L:$R,5,0),IF($LB38=30%,VLOOKUP($HZ38,'Jan-2026 rates'!$L:$R,6,0),IF($LB38=100%,VLOOKUP($HZ38,'Jan-2026 rates'!$L:$R,7,0),IF($LB38=60%,VLOOKUP($HZ38,'Jan-2026 rates'!$L:$S,8,0),IF($LB38=80%,VLOOKUP($HZ38,'Jan-2026 rates'!L:T,9,0),0))))))))</f>
        <v>0</v>
      </c>
      <c r="IF38" s="412" t="s">
        <v>1249</v>
      </c>
      <c r="IG38" s="413" t="s">
        <v>1122</v>
      </c>
      <c r="IH38" s="412"/>
      <c r="II38" s="412"/>
      <c r="IJ38" s="412"/>
      <c r="IK38" s="412"/>
      <c r="IL38" s="412"/>
      <c r="IM38" s="412"/>
      <c r="IN38" s="409">
        <v>40</v>
      </c>
      <c r="IO38" s="398">
        <f>IF(IN38=0,0,IF(LEN(IF38)=11,_xlfn.XLOOKUP(IF38,'Dispensed Ink Rates'!C:C,'Dispensed Ink Rates'!CS:CS),VLOOKUP(IF38,'Jan-2026 rates'!$E:$F,2,0)))</f>
        <v>0</v>
      </c>
      <c r="IP38" s="409">
        <v>5.88</v>
      </c>
      <c r="IQ38" s="398">
        <f>IF(IP38=0,0,IF(LEN(IG38)=11,_xlfn.XLOOKUP(IG38,'Dispensed Ink Rates'!C:C,'Dispensed Ink Rates'!CS:CS),VLOOKUP(IG38,'Jan-2026 rates'!$E:$F,2,0)))</f>
        <v>0</v>
      </c>
      <c r="IR38" s="409"/>
      <c r="IS38" s="398">
        <f>IF(IR38=0,0,IF(LEN(IH38)=11,_xlfn.XLOOKUP(IH38,'Dispensed Ink Rates'!C:C,'Dispensed Ink Rates'!CS:CS),VLOOKUP(IH38,'Jan-2026 rates'!$E:$F,2,0)))</f>
        <v>0</v>
      </c>
      <c r="IT38" s="409"/>
      <c r="IU38" s="398">
        <f>IF(IT38=0,0,IF(LEN(II38)=11,_xlfn.XLOOKUP(II38,'Dispensed Ink Rates'!C:C,'Dispensed Ink Rates'!CS:CS),VLOOKUP(II38,'Jan-2026 rates'!$E:$F,2,0)))</f>
        <v>0</v>
      </c>
      <c r="IV38" s="409"/>
      <c r="IW38" s="398">
        <f>IF(IV38=0,0,IF(LEN(IJ38)=11,_xlfn.XLOOKUP(IJ38,'Dispensed Ink Rates'!C:C,'Dispensed Ink Rates'!CS:CS),VLOOKUP(IJ38,'Jan-2026 rates'!$E:$F,2,0)))</f>
        <v>0</v>
      </c>
      <c r="IX38" s="409"/>
      <c r="IY38" s="398">
        <f>IF(IX38=0,0,IF(LEN(IK38)=11,_xlfn.XLOOKUP(IK38,'Dispensed Ink Rates'!C:C,'Dispensed Ink Rates'!CS:CS),VLOOKUP(IK38,'Jan-2026 rates'!$E:$F,2,0)))</f>
        <v>0</v>
      </c>
      <c r="IZ38" s="409"/>
      <c r="JA38" s="398">
        <f>IF(IZ38=0,0,IF(LEN(IL38)=11,_xlfn.XLOOKUP(IL38,'Dispensed Ink Rates'!C:C,'Dispensed Ink Rates'!CS:CS),VLOOKUP(IL38,'Jan-2026 rates'!$E:$F,2,0)))</f>
        <v>0</v>
      </c>
      <c r="JB38" s="409"/>
      <c r="JC38" s="398">
        <f>IF(JB38=0,0,IF(LEN(IM38)=11,_xlfn.XLOOKUP(IM38,'Dispensed Ink Rates'!C:C,'Dispensed Ink Rates'!CS:CS),VLOOKUP(IM38,'Jan-2026 rates'!$E:$F,2,0)))</f>
        <v>0</v>
      </c>
      <c r="JD38" s="409" t="s">
        <v>1881</v>
      </c>
      <c r="JE38" s="409">
        <v>27</v>
      </c>
      <c r="JF38" s="411">
        <f t="shared" si="25"/>
        <v>0</v>
      </c>
      <c r="JG38" s="411">
        <f t="shared" si="26"/>
        <v>91.68</v>
      </c>
      <c r="JH38" s="410">
        <f t="shared" si="27"/>
        <v>0</v>
      </c>
      <c r="JI38" s="405"/>
      <c r="JJ38" s="409"/>
      <c r="JK38" s="420" t="str">
        <f t="shared" si="28"/>
        <v xml:space="preserve"> - </v>
      </c>
      <c r="JL38" s="409"/>
      <c r="JM38" s="411">
        <f>IF(JL38=0,0,IF($LB38=70%,VLOOKUP($JK38,'Jan-2026 rates'!$L:$R,4,0),IF($LB38=65%,VLOOKUP($JK38,'Jan-2026 rates'!$L:$R,4,0),IF($LB38=40%,VLOOKUP($JK38,'Jan-2026 rates'!$L:$R,5,0),IF($LB38=30%,VLOOKUP($JK38,'Jan-2026 rates'!$L:$R,6,0),IF($LB38=100%,VLOOKUP($JK38,'Jan-2026 rates'!$L:$R,7,0),IF($LB38=60%,VLOOKUP($JK38,'Jan-2026 rates'!$L:$S,8,0),IF($LB38=80%,VLOOKUP($JK38,'Jan-2026 rates'!L:T,9,0),0))))))))</f>
        <v>0</v>
      </c>
      <c r="JN38" s="412"/>
      <c r="JO38" s="409"/>
      <c r="JP38" s="411">
        <f>IF(JO38=0,0,IF($LB38=70%,VLOOKUP($JK38,'Jan-2026 rates'!$L:$R,4,0),IF($LB38=65%,VLOOKUP($JK38,'Jan-2026 rates'!$L:$R,4,0),IF($LB38=40%,VLOOKUP($JK38,'Jan-2026 rates'!$L:$R,5,0),IF($LB38=30%,VLOOKUP($JK38,'Jan-2026 rates'!$L:$R,6,0),IF($LB38=100%,VLOOKUP($JK38,'Jan-2026 rates'!$L:$R,7,0),IF($LB38=60%,VLOOKUP($JK38,'Jan-2026 rates'!$L:$S,8,0),IF($LB38=80%,VLOOKUP($JK38,'Jan-2026 rates'!L:T,9,0),0))))))))</f>
        <v>0</v>
      </c>
      <c r="JQ38" s="413"/>
      <c r="JR38" s="412"/>
      <c r="JS38" s="413"/>
      <c r="JT38" s="413"/>
      <c r="JU38" s="412"/>
      <c r="JV38" s="412"/>
      <c r="JW38" s="412"/>
      <c r="JX38" s="412"/>
      <c r="JY38" s="409"/>
      <c r="JZ38" s="398">
        <f>IF(JY38=0,0,IF(LEN(JQ38)=11,_xlfn.XLOOKUP(JQ38,'Dispensed Ink Rates'!C:C,'Dispensed Ink Rates'!CS:CS),VLOOKUP(JQ38,'Jan-2026 rates'!$E:$F,2,0)))</f>
        <v>0</v>
      </c>
      <c r="KA38" s="409"/>
      <c r="KB38" s="398">
        <f>IF(KA38=0,0,IF(LEN(JR38)=11,_xlfn.XLOOKUP(JR38,'Dispensed Ink Rates'!C:C,'Dispensed Ink Rates'!CS:CS),VLOOKUP(JR38,'Jan-2026 rates'!$E:$F,2,0)))</f>
        <v>0</v>
      </c>
      <c r="KC38" s="409"/>
      <c r="KD38" s="398">
        <f>IF(KC38=0,0,IF(LEN(JS38)=11,_xlfn.XLOOKUP(JS38,'Dispensed Ink Rates'!C:C,'Dispensed Ink Rates'!CS:CS),VLOOKUP(JS38,'Jan-2026 rates'!$E:$F,2,0)))</f>
        <v>0</v>
      </c>
      <c r="KE38" s="409"/>
      <c r="KF38" s="398">
        <f>IF(KE38=0,0,IF(LEN(JT38)=11,_xlfn.XLOOKUP(JT38,'Dispensed Ink Rates'!C:C,'Dispensed Ink Rates'!CS:CS),VLOOKUP(JT38,'Jan-2026 rates'!$E:$F,2,0)))</f>
        <v>0</v>
      </c>
      <c r="KG38" s="409"/>
      <c r="KH38" s="398">
        <f>IF(KG38=0,0,IF(LEN(JU38)=11,_xlfn.XLOOKUP(JU38,'Dispensed Ink Rates'!C:C,'Dispensed Ink Rates'!CS:CS),VLOOKUP(JU38,'Jan-2026 rates'!$E:$F,2,0)))</f>
        <v>0</v>
      </c>
      <c r="KI38" s="409"/>
      <c r="KJ38" s="398">
        <f>IF(KI38=0,0,IF(LEN(JV38)=11,_xlfn.XLOOKUP(JV38,'Dispensed Ink Rates'!C:C,'Dispensed Ink Rates'!CS:CS),VLOOKUP(JV38,'Jan-2026 rates'!$E:$F,2,0)))</f>
        <v>0</v>
      </c>
      <c r="KK38" s="409"/>
      <c r="KL38" s="398">
        <f>IF(KK38=0,0,IF(LEN(JW38)=11,_xlfn.XLOOKUP(JW38,'Dispensed Ink Rates'!C:C,'Dispensed Ink Rates'!CS:CS),VLOOKUP(JW38,'Jan-2026 rates'!$E:$F,2,0)))</f>
        <v>0</v>
      </c>
      <c r="KM38" s="428"/>
      <c r="KN38" s="398">
        <f>IF(KM38=0,0,IF(LEN(JX38)=11,_xlfn.XLOOKUP(JX38,'Dispensed Ink Rates'!C:C,'Dispensed Ink Rates'!CS:CS),VLOOKUP(JX38,'Jan-2026 rates'!$E:$F,2,0)))</f>
        <v>0</v>
      </c>
      <c r="KO38" s="409"/>
      <c r="KP38" s="409"/>
      <c r="KQ38" s="411">
        <f t="shared" si="29"/>
        <v>0</v>
      </c>
      <c r="KR38" s="411">
        <f t="shared" si="30"/>
        <v>0</v>
      </c>
      <c r="KS38" s="410">
        <f t="shared" si="31"/>
        <v>0</v>
      </c>
      <c r="KT38" s="409">
        <v>10</v>
      </c>
      <c r="KU38" s="409">
        <v>3</v>
      </c>
      <c r="KV38" s="409">
        <v>4</v>
      </c>
      <c r="KW38" s="409">
        <v>3</v>
      </c>
      <c r="KX38" s="409">
        <v>2</v>
      </c>
      <c r="KY38" s="409">
        <v>8</v>
      </c>
      <c r="KZ38" s="409">
        <v>20</v>
      </c>
      <c r="LA38" s="409">
        <v>0</v>
      </c>
      <c r="LB38" s="415">
        <v>0.3</v>
      </c>
      <c r="LC38" s="415"/>
      <c r="LD38" s="415"/>
      <c r="LE38" s="415">
        <v>0.5</v>
      </c>
      <c r="LF38" s="415">
        <v>0.2</v>
      </c>
      <c r="LG38" s="409">
        <v>0</v>
      </c>
      <c r="LH38" s="409">
        <f>28+20+15+25+5+4+10</f>
        <v>107</v>
      </c>
      <c r="LI38" s="409">
        <v>0</v>
      </c>
      <c r="LJ38" s="409">
        <v>0</v>
      </c>
      <c r="LK38" s="416">
        <f t="shared" si="32"/>
        <v>107</v>
      </c>
      <c r="LL38" s="416">
        <f t="shared" si="33"/>
        <v>107</v>
      </c>
      <c r="LM38" s="417">
        <f t="shared" si="34"/>
        <v>32.1</v>
      </c>
      <c r="LN38" s="417">
        <f>VLOOKUP($LM$8,'Jan-2026 rates'!$H:$I,2,0)</f>
        <v>0</v>
      </c>
      <c r="LO38" s="417">
        <f t="shared" si="35"/>
        <v>0</v>
      </c>
      <c r="LP38" s="417">
        <f>VLOOKUP($LO$8,'Jan-2026 rates'!$H:$I,2,0)</f>
        <v>0</v>
      </c>
      <c r="LQ38" s="417">
        <f t="shared" si="36"/>
        <v>0</v>
      </c>
      <c r="LR38" s="417">
        <f>VLOOKUP($LQ$8,'Jan-2026 rates'!$H:$I,2,0)</f>
        <v>0</v>
      </c>
      <c r="LS38" s="417">
        <f t="shared" si="37"/>
        <v>53.5</v>
      </c>
      <c r="LT38" s="417">
        <f>VLOOKUP($LS$8,'Jan-2026 rates'!$H:$I,2,0)</f>
        <v>0</v>
      </c>
      <c r="LU38" s="417">
        <f t="shared" si="38"/>
        <v>21.400000000000002</v>
      </c>
      <c r="LV38" s="417">
        <f>VLOOKUP($LU$8,'Jan-2026 rates'!$H:$I,2,0)</f>
        <v>0</v>
      </c>
      <c r="LW38" s="417">
        <f t="shared" si="39"/>
        <v>0</v>
      </c>
      <c r="LX38" s="417">
        <f t="shared" si="40"/>
        <v>0</v>
      </c>
      <c r="LY38" s="418">
        <f t="shared" si="41"/>
        <v>0</v>
      </c>
      <c r="LZ38" s="417"/>
      <c r="MA38" s="435">
        <f t="shared" si="42"/>
        <v>114.88</v>
      </c>
      <c r="MB38" s="282">
        <f t="shared" si="43"/>
        <v>204.88000000000002</v>
      </c>
      <c r="MC38" s="283" t="s">
        <v>1966</v>
      </c>
      <c r="MD38" s="284" t="str">
        <f t="shared" si="44"/>
        <v>ToyoLiToyoLiToyoLiToyoLiToyoLiToyoLiToyoLi</v>
      </c>
      <c r="ME38" s="293" t="str">
        <f t="shared" si="45"/>
        <v>+</v>
      </c>
      <c r="MF38" s="293" t="str">
        <f t="shared" si="46"/>
        <v>+</v>
      </c>
      <c r="MG38" s="293" t="str">
        <f t="shared" si="47"/>
        <v>+</v>
      </c>
      <c r="MH38" s="293" t="str">
        <f t="shared" si="48"/>
        <v>+</v>
      </c>
      <c r="MI38" s="293" t="str">
        <f t="shared" si="49"/>
        <v>+</v>
      </c>
      <c r="MJ38" s="293" t="str">
        <f t="shared" si="50"/>
        <v>+</v>
      </c>
      <c r="MK38" s="293" t="str">
        <f t="shared" si="51"/>
        <v>+</v>
      </c>
      <c r="ML38" s="293" t="str">
        <f t="shared" si="52"/>
        <v>NIL</v>
      </c>
      <c r="MM38" s="3" t="b">
        <f t="array" ref="MM38">OR(ME38:ML38="-")</f>
        <v>0</v>
      </c>
      <c r="MN38" s="285"/>
      <c r="MO38" s="401"/>
      <c r="MP38" s="286"/>
      <c r="MQ38" s="286"/>
      <c r="MR38" s="402"/>
      <c r="MS38" s="400"/>
      <c r="NH38" s="422"/>
      <c r="NJ38" s="421"/>
    </row>
    <row r="39" spans="1:374" s="1" customFormat="1" ht="16.5">
      <c r="A39" s="403">
        <v>46028</v>
      </c>
      <c r="B39" s="404" t="s">
        <v>1015</v>
      </c>
      <c r="C39" s="405" t="s">
        <v>2770</v>
      </c>
      <c r="D39" s="406" t="s">
        <v>1967</v>
      </c>
      <c r="E39" s="404">
        <v>217</v>
      </c>
      <c r="F39" s="407">
        <v>10400</v>
      </c>
      <c r="G39" s="407" t="s">
        <v>1016</v>
      </c>
      <c r="H39" s="408" t="s">
        <v>1017</v>
      </c>
      <c r="I39" s="409">
        <v>1.4</v>
      </c>
      <c r="J39" s="405" t="s">
        <v>543</v>
      </c>
      <c r="K39" s="404" t="s">
        <v>2771</v>
      </c>
      <c r="L39" s="419" t="str">
        <f t="shared" si="0"/>
        <v>ToyoLi - BLACK</v>
      </c>
      <c r="M39" s="404">
        <v>24</v>
      </c>
      <c r="N39" s="410">
        <f>IF(M39=0,0,IF($LB39=70%,VLOOKUP($L39,'Jan-2026 rates'!$L:$R,4,0),IF($LB39=65%,VLOOKUP($L39,'Jan-2026 rates'!$L:$R,4,0),IF($LB39=40%,VLOOKUP($L39,'Jan-2026 rates'!$L:$R,5,0),IF($LB39=30%,VLOOKUP($L39,'Jan-2026 rates'!$L:$R,6,0),IF($LB39=100%,VLOOKUP($L39,'Jan-2026 rates'!$L:$R,7,0),IF($LB39=60%,VLOOKUP($L39,'Jan-2026 rates'!$L:$S,8,0),IF($LB39=80%,VLOOKUP($L39,'Jan-2026 rates'!L:T,9,0),0))))))))</f>
        <v>0</v>
      </c>
      <c r="O39" s="406"/>
      <c r="P39" s="404"/>
      <c r="Q39" s="410">
        <f>IF(P39=0,0,IF($LB39=70%,VLOOKUP($L39,'Jan-2026 rates'!$L:$R,4,0),IF($LB39=65%,VLOOKUP($L39,'Jan-2026 rates'!$L:$R,4,0),IF($LB39=40%,VLOOKUP($L39,'Jan-2026 rates'!$L:$R,5,0),IF($LB39=30%,VLOOKUP($L39,'Jan-2026 rates'!$L:$R,6,0),IF($LB39=100%,VLOOKUP($L39,'Jan-2026 rates'!$L:$R,7,0),IF($LB39=60%,VLOOKUP($L39,'Jan-2026 rates'!$L:$S,8,0),IF($LB39=80%,VLOOKUP($L39,'Jan-2026 rates'!L:T,9,0),0))))))))</f>
        <v>0</v>
      </c>
      <c r="R39" s="406" t="s">
        <v>1252</v>
      </c>
      <c r="S39" s="406"/>
      <c r="T39" s="406"/>
      <c r="U39" s="406"/>
      <c r="V39" s="406"/>
      <c r="W39" s="406"/>
      <c r="X39" s="406"/>
      <c r="Y39" s="406"/>
      <c r="Z39" s="404">
        <v>6</v>
      </c>
      <c r="AA39" s="398">
        <f>IF(Z39=0,0,IF(LEN(R39)=11,_xlfn.XLOOKUP(R39,'Dispensed Ink Rates'!C:C,'Dispensed Ink Rates'!CS:CS),VLOOKUP(R39,'Jan-2026 rates'!$E:$F,2,0)))</f>
        <v>0</v>
      </c>
      <c r="AB39" s="404"/>
      <c r="AC39" s="398">
        <f>IF(AB39=0,0,IF(LEN(S39)=11,_xlfn.XLOOKUP(S39,'Dispensed Ink Rates'!C:C,'Dispensed Ink Rates'!CS:CS),VLOOKUP(S39,'Jan-2026 rates'!$E:$F,2,0)))</f>
        <v>0</v>
      </c>
      <c r="AD39" s="404"/>
      <c r="AE39" s="398">
        <f>IF(AD39=0,0,IF(LEN(T39)=11,_xlfn.XLOOKUP(T39,'Dispensed Ink Rates'!C:C,'Dispensed Ink Rates'!CS:CS),VLOOKUP(T39,'Jan-2026 rates'!$E:$F,2,0)))</f>
        <v>0</v>
      </c>
      <c r="AF39" s="404"/>
      <c r="AG39" s="398">
        <f>IF(AF39=0,0,IF(LEN(U39)=11,_xlfn.XLOOKUP(U39,'Dispensed Ink Rates'!C:C,'Dispensed Ink Rates'!CS:CS),VLOOKUP(U39,'Jan-2026 rates'!$E:$F,2,0)))</f>
        <v>0</v>
      </c>
      <c r="AH39" s="404"/>
      <c r="AI39" s="398">
        <f>IF(AH39=0,0,IF(LEN(V39)=11,_xlfn.XLOOKUP(V39,'Dispensed Ink Rates'!C:C,'Dispensed Ink Rates'!CS:CS),VLOOKUP(V39,'Jan-2026 rates'!$E:$F,2,0)))</f>
        <v>0</v>
      </c>
      <c r="AJ39" s="404"/>
      <c r="AK39" s="398">
        <f>IF(AJ39=0,0,IF(LEN(W39)=11,_xlfn.XLOOKUP(W39,'Dispensed Ink Rates'!C:C,'Dispensed Ink Rates'!CS:CS),VLOOKUP(W39,'Jan-2026 rates'!$E:$F,2,0)))</f>
        <v>0</v>
      </c>
      <c r="AL39" s="404"/>
      <c r="AM39" s="398">
        <f>IF(AL39=0,0,IF(LEN(X39)=11,_xlfn.XLOOKUP(X39,'Dispensed Ink Rates'!C:C,'Dispensed Ink Rates'!CS:CS),VLOOKUP(X39,'Jan-2026 rates'!$E:$F,2,0)))</f>
        <v>0</v>
      </c>
      <c r="AN39" s="404"/>
      <c r="AO39" s="398">
        <f>IF(AN39=0,0,IF(LEN(Y39)=11,_xlfn.XLOOKUP(Y39,'Dispensed Ink Rates'!C:C,'Dispensed Ink Rates'!CS:CS),VLOOKUP(Y39,'Jan-2026 rates'!$E:$F,2,0)))</f>
        <v>0</v>
      </c>
      <c r="AP39" s="409" t="s">
        <v>1881</v>
      </c>
      <c r="AQ39" s="409">
        <v>27</v>
      </c>
      <c r="AR39" s="410">
        <f t="shared" si="1"/>
        <v>0</v>
      </c>
      <c r="AS39" s="411">
        <f t="shared" si="2"/>
        <v>13.543478260869563</v>
      </c>
      <c r="AT39" s="410">
        <f t="shared" si="3"/>
        <v>0</v>
      </c>
      <c r="AU39" s="405" t="s">
        <v>547</v>
      </c>
      <c r="AV39" s="409" t="s">
        <v>2772</v>
      </c>
      <c r="AW39" s="420" t="str">
        <f t="shared" si="4"/>
        <v>ToyoLi - GREEN</v>
      </c>
      <c r="AX39" s="409">
        <v>10</v>
      </c>
      <c r="AY39" s="411">
        <f>IF(AX39=0,0,IF($LB39=70%,VLOOKUP($AW39,'Jan-2026 rates'!$L:$R,4,0),IF($LB39=65%,VLOOKUP($AW39,'Jan-2026 rates'!$L:$R,4,0),IF($LB39=40%,VLOOKUP($AW39,'Jan-2026 rates'!$L:$R,5,0),IF($LB39=30%,VLOOKUP($AW39,'Jan-2026 rates'!$L:$R,6,0),IF($LB39=100%,VLOOKUP($AW39,'Jan-2026 rates'!$L:$R,7,0),IF($LB39=60%,VLOOKUP($AW39,'Jan-2026 rates'!$L:$S,8,0),IF($LB39=80%,VLOOKUP($AW39,'Jan-2026 rates'!L:T,9,0),0))))))))</f>
        <v>0</v>
      </c>
      <c r="AZ39" s="412" t="s">
        <v>2773</v>
      </c>
      <c r="BA39" s="409">
        <v>15</v>
      </c>
      <c r="BB39" s="411">
        <f>IF(BA39=0,0,IF($LB39=70%,VLOOKUP($AW39,'Jan-2026 rates'!$L:$R,4,0),IF($LB39=65%,VLOOKUP($AW39,'Jan-2026 rates'!$L:$R,4,0),IF($LB39=40%,VLOOKUP($AW39,'Jan-2026 rates'!$L:$R,5,0),IF($LB39=30%,VLOOKUP($AW39,'Jan-2026 rates'!$L:$R,6,0),IF($LB39=100%,VLOOKUP($AW39,'Jan-2026 rates'!$L:$R,7,0),IF($LB39=60%,VLOOKUP($AW39,'Jan-2026 rates'!$L:$S,8,0),IF($LB39=80%,VLOOKUP($AW39,'Jan-2026 rates'!L:T,9,0),0))))))))</f>
        <v>0</v>
      </c>
      <c r="BC39" s="413" t="s">
        <v>1247</v>
      </c>
      <c r="BD39" s="412" t="s">
        <v>1250</v>
      </c>
      <c r="BE39" s="412" t="s">
        <v>1880</v>
      </c>
      <c r="BF39" s="413" t="s">
        <v>1252</v>
      </c>
      <c r="BG39" s="412"/>
      <c r="BH39" s="412"/>
      <c r="BI39" s="412"/>
      <c r="BJ39" s="412"/>
      <c r="BK39" s="409">
        <v>10</v>
      </c>
      <c r="BL39" s="398">
        <f>IF(BK39=0,0,IF(LEN(BC39)=11,_xlfn.XLOOKUP(BC39,'Dispensed Ink Rates'!C:C,'Dispensed Ink Rates'!CS:CS),VLOOKUP(BC39,'Jan-2026 rates'!$E:$F,2,0)))</f>
        <v>0</v>
      </c>
      <c r="BM39" s="409">
        <v>15</v>
      </c>
      <c r="BN39" s="398">
        <f>IF(BM39=0,0,IF(LEN(BD39)=11,_xlfn.XLOOKUP(BD39,'Dispensed Ink Rates'!C:C,'Dispensed Ink Rates'!CS:CS),VLOOKUP(BD39,'Jan-2026 rates'!$E:$F,2,0)))</f>
        <v>0</v>
      </c>
      <c r="BO39" s="409">
        <v>2</v>
      </c>
      <c r="BP39" s="398">
        <f>IF(BO39=0,0,IF(LEN(BE39)=11,_xlfn.XLOOKUP(BE39,'Dispensed Ink Rates'!C:C,'Dispensed Ink Rates'!CS:CS),VLOOKUP(BE39,'Jan-2026 rates'!$E:$F,2,0)))</f>
        <v>0</v>
      </c>
      <c r="BQ39" s="409">
        <v>1</v>
      </c>
      <c r="BR39" s="398">
        <f>IF(BQ39=0,0,IF(LEN(BF39)=11,_xlfn.XLOOKUP(BF39,'Dispensed Ink Rates'!C:C,'Dispensed Ink Rates'!CS:CS),VLOOKUP(BF39,'Jan-2026 rates'!$E:$F,2,0)))</f>
        <v>0</v>
      </c>
      <c r="BS39" s="409"/>
      <c r="BT39" s="398">
        <f>IF(BS39=0,0,IF(LEN(BG39)=11,_xlfn.XLOOKUP(BG39,'Dispensed Ink Rates'!C:C,'Dispensed Ink Rates'!CS:CS),VLOOKUP(BG39,'Jan-2026 rates'!$E:$F,2,0)))</f>
        <v>0</v>
      </c>
      <c r="BU39" s="409"/>
      <c r="BV39" s="398">
        <f>IF(BU39=0,0,IF(LEN(BH39)=11,_xlfn.XLOOKUP(BH39,'Dispensed Ink Rates'!C:C,'Dispensed Ink Rates'!CS:CS),VLOOKUP(BH39,'Jan-2026 rates'!$E:$F,2,0)))</f>
        <v>0</v>
      </c>
      <c r="BW39" s="409"/>
      <c r="BX39" s="398">
        <f>IF(BW39=0,0,IF(LEN(BI39)=11,_xlfn.XLOOKUP(BI39,'Dispensed Ink Rates'!C:C,'Dispensed Ink Rates'!CS:CS),VLOOKUP(BI39,'Jan-2026 rates'!$E:$F,2,0)))</f>
        <v>0</v>
      </c>
      <c r="BY39" s="409"/>
      <c r="BZ39" s="398">
        <f>IF(BY39=0,0,IF(LEN(BJ39)=11,_xlfn.XLOOKUP(BJ39,'Dispensed Ink Rates'!C:C,'Dispensed Ink Rates'!CS:CS),VLOOKUP(BJ39,'Jan-2026 rates'!$E:$F,2,0)))</f>
        <v>0</v>
      </c>
      <c r="CA39" s="409" t="s">
        <v>1881</v>
      </c>
      <c r="CB39" s="409">
        <f>20+18</f>
        <v>38</v>
      </c>
      <c r="CC39" s="411">
        <f t="shared" si="5"/>
        <v>0</v>
      </c>
      <c r="CD39" s="411">
        <f t="shared" si="6"/>
        <v>31.869565217391312</v>
      </c>
      <c r="CE39" s="410">
        <f t="shared" si="7"/>
        <v>0</v>
      </c>
      <c r="CF39" s="404" t="s">
        <v>855</v>
      </c>
      <c r="CG39" s="409" t="s">
        <v>2774</v>
      </c>
      <c r="CH39" s="420" t="str">
        <f t="shared" si="8"/>
        <v>ToyoLi - CYAN</v>
      </c>
      <c r="CI39" s="409">
        <v>23</v>
      </c>
      <c r="CJ39" s="411">
        <f>IF(CI39=0,0,IF($LB39=70%,VLOOKUP($CH39,'Jan-2026 rates'!$L:$R,4,0),IF($LB39=65%,VLOOKUP($CH39,'Jan-2026 rates'!$L:$R,4,0),IF($LB39=40%,VLOOKUP($CH39,'Jan-2026 rates'!$L:$R,5,0),IF($LB39=30%,VLOOKUP($CH39,'Jan-2026 rates'!$L:$R,6,0),IF($LB39=100%,VLOOKUP($CH39,'Jan-2026 rates'!$L:$R,7,0),IF($LB39=60%,VLOOKUP($CH39,'Jan-2026 rates'!$L:$S,8,0),IF($LB39=80%,VLOOKUP($CH39,'Jan-2026 rates'!L:T,9,0),0))))))))</f>
        <v>0</v>
      </c>
      <c r="CK39" s="412"/>
      <c r="CL39" s="409"/>
      <c r="CM39" s="411">
        <f>IF(CL39=0,0,IF($LB39=70%,VLOOKUP($CH39,'Jan-2026 rates'!$L:$R,4,0),IF($LB39=65%,VLOOKUP($CH39,'Jan-2026 rates'!$L:$R,4,0),IF($LB39=40%,VLOOKUP($CH39,'Jan-2026 rates'!$L:$R,5,0),IF($LB39=30%,VLOOKUP($CH39,'Jan-2026 rates'!$L:$R,6,0),IF($LB39=100%,VLOOKUP($CH39,'Jan-2026 rates'!$L:$R,7,0),IF($LB39=60%,VLOOKUP($CH39,'Jan-2026 rates'!$L:$S,8,0),IF($LB39=80%,VLOOKUP($CH39,'Jan-2026 rates'!L:T,9,0),0))))))))</f>
        <v>0</v>
      </c>
      <c r="CN39" s="426" t="s">
        <v>1250</v>
      </c>
      <c r="CO39" s="427"/>
      <c r="CP39" s="426"/>
      <c r="CQ39" s="426"/>
      <c r="CR39" s="428"/>
      <c r="CS39" s="428"/>
      <c r="CT39" s="428"/>
      <c r="CU39" s="428"/>
      <c r="CV39" s="409">
        <v>4</v>
      </c>
      <c r="CW39" s="398">
        <f>IF(CV39=0,0,IF(LEN(CN39)=11,_xlfn.XLOOKUP(CN39,'Dispensed Ink Rates'!C:C,'Dispensed Ink Rates'!CS:CS),VLOOKUP(CN39,'Jan-2026 rates'!$E:$F,2,0)))</f>
        <v>0</v>
      </c>
      <c r="CX39" s="409"/>
      <c r="CY39" s="398">
        <f>IF(CX39=0,0,IF(LEN(CO39)=11,_xlfn.XLOOKUP(CO39,'Dispensed Ink Rates'!C:C,'Dispensed Ink Rates'!CS:CS),VLOOKUP(CO39,'Jan-2026 rates'!$E:$F,2,0)))</f>
        <v>0</v>
      </c>
      <c r="CZ39" s="409"/>
      <c r="DA39" s="398">
        <f>IF(CZ39=0,0,IF(LEN(CP39)=11,_xlfn.XLOOKUP(CP39,'Dispensed Ink Rates'!C:C,'Dispensed Ink Rates'!CS:CS),VLOOKUP(CP39,'Jan-2026 rates'!$E:$F,2,0)))</f>
        <v>0</v>
      </c>
      <c r="DB39" s="409"/>
      <c r="DC39" s="398">
        <f>IF(DB39=0,0,IF(LEN(CQ39)=11,_xlfn.XLOOKUP(CQ39,'Dispensed Ink Rates'!C:C,'Dispensed Ink Rates'!CS:CS),VLOOKUP(CQ39,'Jan-2026 rates'!$E:$F,2,0)))</f>
        <v>0</v>
      </c>
      <c r="DD39" s="409"/>
      <c r="DE39" s="398">
        <f>IF(DD39=0,0,IF(LEN(CR39)=11,_xlfn.XLOOKUP(CR39,'Dispensed Ink Rates'!C:C,'Dispensed Ink Rates'!CS:CS),VLOOKUP(CR39,'Jan-2026 rates'!$E:$F,2,0)))</f>
        <v>0</v>
      </c>
      <c r="DF39" s="409"/>
      <c r="DG39" s="398">
        <f>IF(DF39=0,0,IF(LEN(CS39)=11,_xlfn.XLOOKUP(CS39,'Dispensed Ink Rates'!C:C,'Dispensed Ink Rates'!CS:CS),VLOOKUP(CS39,'Jan-2026 rates'!$E:$F,2,0)))</f>
        <v>0</v>
      </c>
      <c r="DH39" s="409"/>
      <c r="DI39" s="398">
        <f>IF(DH39=0,0,IF(LEN(CT39)=11,_xlfn.XLOOKUP(CT39,'Dispensed Ink Rates'!C:C,'Dispensed Ink Rates'!CS:CS),VLOOKUP(CT39,'Jan-2026 rates'!$E:$F,2,0)))</f>
        <v>0</v>
      </c>
      <c r="DJ39" s="409"/>
      <c r="DK39" s="398">
        <f>IF(DJ39=0,0,IF(LEN(CU39)=11,_xlfn.XLOOKUP(CU39,'Dispensed Ink Rates'!C:C,'Dispensed Ink Rates'!CS:CS),VLOOKUP(CU39,'Jan-2026 rates'!$E:$F,2,0)))</f>
        <v>0</v>
      </c>
      <c r="DL39" s="409" t="s">
        <v>1881</v>
      </c>
      <c r="DM39" s="409">
        <v>27</v>
      </c>
      <c r="DN39" s="411">
        <f t="shared" si="9"/>
        <v>0</v>
      </c>
      <c r="DO39" s="411">
        <f t="shared" si="10"/>
        <v>10.543478260869563</v>
      </c>
      <c r="DP39" s="410">
        <f t="shared" si="11"/>
        <v>0</v>
      </c>
      <c r="DQ39" s="405" t="s">
        <v>544</v>
      </c>
      <c r="DR39" s="409" t="s">
        <v>2775</v>
      </c>
      <c r="DS39" s="420" t="str">
        <f t="shared" si="12"/>
        <v>ToyoLi - MAGENTA</v>
      </c>
      <c r="DT39" s="409">
        <v>20</v>
      </c>
      <c r="DU39" s="411">
        <f>IF(DT39=0,0,IF($LB39=70%,VLOOKUP($DS39,'Jan-2026 rates'!$L:$R,4,0),IF($LB39=65%,VLOOKUP($DS39,'Jan-2026 rates'!$L:$R,4,0),IF($LB39=40%,VLOOKUP($DS39,'Jan-2026 rates'!$L:$R,5,0),IF($LB39=30%,VLOOKUP($DS39,'Jan-2026 rates'!$L:$R,6,0),IF($LB39=100%,VLOOKUP($DS39,'Jan-2026 rates'!$L:$R,7,0),IF($LB39=60%,VLOOKUP($DS39,'Jan-2026 rates'!$L:$S,8,0),IF($LB39=80%,VLOOKUP($DS39,'Jan-2026 rates'!L:T,9,0),0))))))))</f>
        <v>0</v>
      </c>
      <c r="DV39" s="412"/>
      <c r="DW39" s="409"/>
      <c r="DX39" s="411">
        <f>IF(DW39=0,0,IF($LB39=70%,VLOOKUP($DS39,'Jan-2026 rates'!$L:$R,4,0),IF($LB39=65%,VLOOKUP($DS39,'Jan-2026 rates'!$L:$R,4,0),IF($LB39=40%,VLOOKUP($DS39,'Jan-2026 rates'!$L:$R,5,0),IF($LB39=30%,VLOOKUP($DS39,'Jan-2026 rates'!$L:$R,6,0),IF($LB39=100%,VLOOKUP($DS39,'Jan-2026 rates'!$L:$R,7,0),IF($LB39=60%,VLOOKUP($DS39,'Jan-2026 rates'!$L:$S,8,0),IF($LB39=80%,VLOOKUP($DS39,'Jan-2026 rates'!L:T,9,0),0))))))))</f>
        <v>0</v>
      </c>
      <c r="DY39" s="413" t="s">
        <v>1921</v>
      </c>
      <c r="DZ39" s="413" t="s">
        <v>1246</v>
      </c>
      <c r="EA39" s="412"/>
      <c r="EB39" s="412"/>
      <c r="EC39" s="412"/>
      <c r="ED39" s="412"/>
      <c r="EE39" s="412"/>
      <c r="EF39" s="412"/>
      <c r="EG39" s="409">
        <v>6</v>
      </c>
      <c r="EH39" s="398">
        <f>IF(EG39=0,0,IF(LEN(DY39)=11,_xlfn.XLOOKUP(DY39,'Dispensed Ink Rates'!C:C,'Dispensed Ink Rates'!CS:CS),VLOOKUP(DY39,'Jan-2026 rates'!$E:$F,2,0)))</f>
        <v>0</v>
      </c>
      <c r="EI39" s="409">
        <v>6</v>
      </c>
      <c r="EJ39" s="398">
        <f>IF(EI39=0,0,IF(LEN(DZ39)=11,_xlfn.XLOOKUP(DZ39,'Dispensed Ink Rates'!C:C,'Dispensed Ink Rates'!CS:CS),VLOOKUP(DZ39,'Jan-2026 rates'!$E:$F,2,0)))</f>
        <v>0</v>
      </c>
      <c r="EK39" s="409"/>
      <c r="EL39" s="398">
        <f>IF(EK39=0,0,IF(LEN(EA39)=11,_xlfn.XLOOKUP(EA39,'Dispensed Ink Rates'!C:C,'Dispensed Ink Rates'!CS:CS),VLOOKUP(EA39,'Jan-2026 rates'!$E:$F,2,0)))</f>
        <v>0</v>
      </c>
      <c r="EM39" s="409"/>
      <c r="EN39" s="398">
        <f>IF(EM39=0,0,IF(LEN(EB39)=11,_xlfn.XLOOKUP(EB39,'Dispensed Ink Rates'!C:C,'Dispensed Ink Rates'!CS:CS),VLOOKUP(EB39,'Jan-2026 rates'!$E:$F,2,0)))</f>
        <v>0</v>
      </c>
      <c r="EO39" s="409"/>
      <c r="EP39" s="398">
        <f>IF(EO39=0,0,IF(LEN(EC39)=11,_xlfn.XLOOKUP(EC39,'Dispensed Ink Rates'!C:C,'Dispensed Ink Rates'!CS:CS),VLOOKUP(EC39,'Jan-2026 rates'!$E:$F,2,0)))</f>
        <v>0</v>
      </c>
      <c r="EQ39" s="409"/>
      <c r="ER39" s="398">
        <f>IF(EQ39=0,0,IF(LEN(ED39)=11,_xlfn.XLOOKUP(ED39,'Dispensed Ink Rates'!C:C,'Dispensed Ink Rates'!CS:CS),VLOOKUP(ED39,'Jan-2026 rates'!$E:$F,2,0)))</f>
        <v>0</v>
      </c>
      <c r="ES39" s="409"/>
      <c r="ET39" s="398">
        <f>IF(ES39=0,0,IF(LEN(EE39)=11,_xlfn.XLOOKUP(EE39,'Dispensed Ink Rates'!C:C,'Dispensed Ink Rates'!CS:CS),VLOOKUP(EE39,'Jan-2026 rates'!$E:$F,2,0)))</f>
        <v>0</v>
      </c>
      <c r="EU39" s="409"/>
      <c r="EV39" s="398">
        <f>IF(EU39=0,0,IF(LEN(EF39)=11,_xlfn.XLOOKUP(EF39,'Dispensed Ink Rates'!C:C,'Dispensed Ink Rates'!CS:CS),VLOOKUP(EF39,'Jan-2026 rates'!$E:$F,2,0)))</f>
        <v>0</v>
      </c>
      <c r="EW39" s="409" t="s">
        <v>1881</v>
      </c>
      <c r="EX39" s="409">
        <v>30</v>
      </c>
      <c r="EY39" s="411">
        <f t="shared" si="13"/>
        <v>0</v>
      </c>
      <c r="EZ39" s="411">
        <f t="shared" si="14"/>
        <v>18.869565217391305</v>
      </c>
      <c r="FA39" s="410">
        <f t="shared" si="15"/>
        <v>0</v>
      </c>
      <c r="FB39" s="405" t="s">
        <v>545</v>
      </c>
      <c r="FC39" s="409" t="s">
        <v>2776</v>
      </c>
      <c r="FD39" s="420" t="str">
        <f t="shared" si="16"/>
        <v>ToyoLi - YELLOW</v>
      </c>
      <c r="FE39" s="409">
        <v>20</v>
      </c>
      <c r="FF39" s="411">
        <f>IF(FE39=0,0,IF($LB39=70%,VLOOKUP($FD39,'Jan-2026 rates'!$L:$R,4,0),IF($LB39=65%,VLOOKUP($FD39,'Jan-2026 rates'!$L:$R,4,0),IF($LB39=40%,VLOOKUP($FD39,'Jan-2026 rates'!$L:$R,5,0),IF($LB39=30%,VLOOKUP($FD39,'Jan-2026 rates'!$L:$R,6,0),IF($LB39=100%,VLOOKUP($FD39,'Jan-2026 rates'!$L:$R,7,0),IF($LB39=60%,VLOOKUP($FD39,'Jan-2026 rates'!$L:$S,8,0),IF($LB39=80%,VLOOKUP($FD39,'Jan-2026 rates'!L:T,9,0),0))))))))</f>
        <v>0</v>
      </c>
      <c r="FG39" s="412"/>
      <c r="FH39" s="409"/>
      <c r="FI39" s="411">
        <f>IF(FH39=0,0,IF($LB39=70%,VLOOKUP($FD39,'Jan-2026 rates'!$L:$R,4,0),IF($LB39=65%,VLOOKUP($FD39,'Jan-2026 rates'!$L:$R,4,0),IF($LB39=40%,VLOOKUP($FD39,'Jan-2026 rates'!$L:$R,5,0),IF($LB39=30%,VLOOKUP($FD39,'Jan-2026 rates'!$L:$R,6,0),IF($LB39=100%,VLOOKUP($FD39,'Jan-2026 rates'!$L:$R,7,0),IF($LB39=60%,VLOOKUP($FD39,'Jan-2026 rates'!$L:$S,8,0),IF($LB39=80%,VLOOKUP($FD39,'Jan-2026 rates'!L:T,9,0),0))))))))</f>
        <v>0</v>
      </c>
      <c r="FJ39" s="413" t="s">
        <v>1247</v>
      </c>
      <c r="FK39" s="413" t="s">
        <v>1921</v>
      </c>
      <c r="FL39" s="413"/>
      <c r="FM39" s="412"/>
      <c r="FN39" s="412"/>
      <c r="FO39" s="412"/>
      <c r="FP39" s="412"/>
      <c r="FQ39" s="412"/>
      <c r="FR39" s="409">
        <v>8</v>
      </c>
      <c r="FS39" s="398">
        <f>IF(FR39=0,0,IF(LEN(FJ39)=11,_xlfn.XLOOKUP(FJ39,'Dispensed Ink Rates'!C:C,'Dispensed Ink Rates'!CS:CS),VLOOKUP(FJ39,'Jan-2026 rates'!$E:$F,2,0)))</f>
        <v>0</v>
      </c>
      <c r="FT39" s="409">
        <v>6</v>
      </c>
      <c r="FU39" s="398">
        <f>IF(FT39=0,0,IF(LEN(FK39)=11,_xlfn.XLOOKUP(FK39,'Dispensed Ink Rates'!C:C,'Dispensed Ink Rates'!CS:CS),VLOOKUP(FK39,'Jan-2026 rates'!$E:$F,2,0)))</f>
        <v>0</v>
      </c>
      <c r="FV39" s="409"/>
      <c r="FW39" s="398">
        <f>IF(FV39=0,0,IF(LEN(FL39)=11,_xlfn.XLOOKUP(FL39,'Dispensed Ink Rates'!C:C,'Dispensed Ink Rates'!CS:CS),VLOOKUP(FL39,'Jan-2026 rates'!$E:$F,2,0)))</f>
        <v>0</v>
      </c>
      <c r="FX39" s="409"/>
      <c r="FY39" s="398">
        <f>IF(FX39=0,0,IF(LEN(FM39)=11,_xlfn.XLOOKUP(FM39,'Dispensed Ink Rates'!C:C,'Dispensed Ink Rates'!CS:CS),VLOOKUP(FM39,'Jan-2026 rates'!$E:$F,2,0)))</f>
        <v>0</v>
      </c>
      <c r="FZ39" s="409"/>
      <c r="GA39" s="398">
        <f>IF(FZ39=0,0,IF(LEN(FN39)=11,_xlfn.XLOOKUP(FN39,'Dispensed Ink Rates'!C:C,'Dispensed Ink Rates'!CS:CS),VLOOKUP(FN39,'Jan-2026 rates'!$E:$F,2,0)))</f>
        <v>0</v>
      </c>
      <c r="GB39" s="409"/>
      <c r="GC39" s="398">
        <f>IF(GB39=0,0,IF(LEN(FO39)=11,_xlfn.XLOOKUP(FO39,'Dispensed Ink Rates'!C:C,'Dispensed Ink Rates'!CS:CS),VLOOKUP(FO39,'Jan-2026 rates'!$E:$F,2,0)))</f>
        <v>0</v>
      </c>
      <c r="GD39" s="409"/>
      <c r="GE39" s="398">
        <f>IF(GD39=0,0,IF(LEN(FP39)=11,_xlfn.XLOOKUP(FP39,'Dispensed Ink Rates'!C:C,'Dispensed Ink Rates'!CS:CS),VLOOKUP(FP39,'Jan-2026 rates'!$E:$F,2,0)))</f>
        <v>0</v>
      </c>
      <c r="GF39" s="409"/>
      <c r="GG39" s="398">
        <f>IF(GF39=0,0,IF(LEN(FQ39)=11,_xlfn.XLOOKUP(FQ39,'Dispensed Ink Rates'!C:C,'Dispensed Ink Rates'!CS:CS),VLOOKUP(FQ39,'Jan-2026 rates'!$E:$F,2,0)))</f>
        <v>0</v>
      </c>
      <c r="GH39" s="409" t="s">
        <v>1881</v>
      </c>
      <c r="GI39" s="409">
        <v>25</v>
      </c>
      <c r="GJ39" s="411">
        <f t="shared" si="17"/>
        <v>0</v>
      </c>
      <c r="GK39" s="411">
        <f t="shared" si="18"/>
        <v>19.543478260869563</v>
      </c>
      <c r="GL39" s="410">
        <f t="shared" si="19"/>
        <v>0</v>
      </c>
      <c r="GM39" s="405" t="s">
        <v>547</v>
      </c>
      <c r="GN39" s="409" t="s">
        <v>2777</v>
      </c>
      <c r="GO39" s="420" t="str">
        <f t="shared" si="20"/>
        <v>ToyoLi - GREEN</v>
      </c>
      <c r="GP39" s="409">
        <v>10</v>
      </c>
      <c r="GQ39" s="411">
        <f>IF(GP39=0,0,IF($LB39=70%,VLOOKUP($GO39,'Jan-2026 rates'!$L:$R,4,0),IF($LB39=65%,VLOOKUP($GO39,'Jan-2026 rates'!$L:$R,4,0),IF($LB39=40%,VLOOKUP($GO39,'Jan-2026 rates'!$L:$R,5,0),IF($LB39=30%,VLOOKUP($GO39,'Jan-2026 rates'!$L:$R,6,0),IF($LB39=100%,VLOOKUP($GO39,'Jan-2026 rates'!$L:$R,7,0),IF($LB39=60%,VLOOKUP($GO39,'Jan-2026 rates'!$L:$S,8,0),IF($LB39=80%,VLOOKUP($GO39,'Jan-2026 rates'!L:T,9,0),0))))))))</f>
        <v>0</v>
      </c>
      <c r="GR39" s="412"/>
      <c r="GS39" s="409"/>
      <c r="GT39" s="411">
        <f>IF(GS39=0,0,IF($LB39=70%,VLOOKUP($GO39,'Jan-2026 rates'!$L:$R,4,0),IF($LB39=65%,VLOOKUP($GO39,'Jan-2026 rates'!$L:$R,4,0),IF($LB39=40%,VLOOKUP($GO39,'Jan-2026 rates'!$L:$R,5,0),IF($LB39=30%,VLOOKUP($GO39,'Jan-2026 rates'!$L:$R,6,0),IF($LB39=100%,VLOOKUP($GO39,'Jan-2026 rates'!$L:$R,7,0),IF($LB39=60%,VLOOKUP($GO39,'Jan-2026 rates'!$L:$S,8,0),IF($LB39=80%,VLOOKUP($GO39,'Jan-2026 rates'!L:T,9,0),0))))))))</f>
        <v>0</v>
      </c>
      <c r="GU39" s="413" t="s">
        <v>1921</v>
      </c>
      <c r="GV39" s="413" t="s">
        <v>1247</v>
      </c>
      <c r="GW39" s="412" t="s">
        <v>1251</v>
      </c>
      <c r="GX39" s="412"/>
      <c r="GY39" s="412"/>
      <c r="GZ39" s="412"/>
      <c r="HA39" s="412"/>
      <c r="HB39" s="412"/>
      <c r="HC39" s="409">
        <v>10</v>
      </c>
      <c r="HD39" s="398">
        <f>IF(HC39=0,0,IF(LEN(GU39)=11,_xlfn.XLOOKUP(GU39,'Dispensed Ink Rates'!C:C,'Dispensed Ink Rates'!CS:CS),VLOOKUP(GU39,'Jan-2026 rates'!$E:$F,2,0)))</f>
        <v>0</v>
      </c>
      <c r="HE39" s="409">
        <v>7</v>
      </c>
      <c r="HF39" s="398">
        <f>IF(HE39=0,0,IF(LEN(GV39)=11,_xlfn.XLOOKUP(GV39,'Dispensed Ink Rates'!C:C,'Dispensed Ink Rates'!CS:CS),VLOOKUP(GV39,'Jan-2026 rates'!$E:$F,2,0)))</f>
        <v>0</v>
      </c>
      <c r="HG39" s="409">
        <v>2</v>
      </c>
      <c r="HH39" s="398">
        <f>IF(HG39=0,0,IF(LEN(GW39)=11,_xlfn.XLOOKUP(GW39,'Dispensed Ink Rates'!C:C,'Dispensed Ink Rates'!CS:CS),VLOOKUP(GW39,'Jan-2026 rates'!$E:$F,2,0)))</f>
        <v>0</v>
      </c>
      <c r="HI39" s="409"/>
      <c r="HJ39" s="398">
        <f>IF(HI39=0,0,IF(LEN(GX39)=11,_xlfn.XLOOKUP(GX39,'Dispensed Ink Rates'!C:C,'Dispensed Ink Rates'!CS:CS),VLOOKUP(GX39,'Jan-2026 rates'!$E:$F,2,0)))</f>
        <v>0</v>
      </c>
      <c r="HK39" s="409"/>
      <c r="HL39" s="398">
        <f>IF(HK39=0,0,IF(LEN(GY39)=11,_xlfn.XLOOKUP(GY39,'Dispensed Ink Rates'!C:C,'Dispensed Ink Rates'!CS:CS),VLOOKUP(GY39,'Jan-2026 rates'!$E:$F,2,0)))</f>
        <v>0</v>
      </c>
      <c r="HM39" s="409"/>
      <c r="HN39" s="398">
        <f>IF(HM39=0,0,IF(LEN(GZ39)=11,_xlfn.XLOOKUP(GZ39,'Dispensed Ink Rates'!C:C,'Dispensed Ink Rates'!CS:CS),VLOOKUP(GZ39,'Jan-2026 rates'!$E:$F,2,0)))</f>
        <v>0</v>
      </c>
      <c r="HO39" s="409"/>
      <c r="HP39" s="398">
        <f>IF(HO39=0,0,IF(LEN(HA39)=11,_xlfn.XLOOKUP(HA39,'Dispensed Ink Rates'!C:C,'Dispensed Ink Rates'!CS:CS),VLOOKUP(HA39,'Jan-2026 rates'!$E:$F,2,0)))</f>
        <v>0</v>
      </c>
      <c r="HQ39" s="409"/>
      <c r="HR39" s="398">
        <f>IF(HQ39=0,0,IF(LEN(HB39)=11,_xlfn.XLOOKUP(HB39,'Dispensed Ink Rates'!C:C,'Dispensed Ink Rates'!CS:CS),VLOOKUP(HB39,'Jan-2026 rates'!$E:$F,2,0)))</f>
        <v>0</v>
      </c>
      <c r="HS39" s="409" t="s">
        <v>1881</v>
      </c>
      <c r="HT39" s="409">
        <f>15+16</f>
        <v>31</v>
      </c>
      <c r="HU39" s="411">
        <f t="shared" si="21"/>
        <v>0</v>
      </c>
      <c r="HV39" s="411">
        <f t="shared" si="22"/>
        <v>8.5434782608695627</v>
      </c>
      <c r="HW39" s="414">
        <f t="shared" si="23"/>
        <v>0</v>
      </c>
      <c r="HX39" s="405" t="s">
        <v>856</v>
      </c>
      <c r="HY39" s="409" t="s">
        <v>2778</v>
      </c>
      <c r="HZ39" s="420" t="str">
        <f t="shared" si="24"/>
        <v>ToyoLi - WHITE</v>
      </c>
      <c r="IA39" s="409">
        <v>27</v>
      </c>
      <c r="IB39" s="411">
        <f>IF(IA39=0,0,IF($LB39=70%,VLOOKUP($HZ39,'Jan-2026 rates'!$L:$R,4,0),IF($LB39=65%,VLOOKUP($HZ39,'Jan-2026 rates'!$L:$R,4,0),IF($LB39=40%,VLOOKUP($HZ39,'Jan-2026 rates'!$L:$R,5,0),IF($LB39=30%,VLOOKUP($HZ39,'Jan-2026 rates'!$L:$R,6,0),IF($LB39=100%,VLOOKUP($HZ39,'Jan-2026 rates'!$L:$R,7,0),IF($LB39=60%,VLOOKUP($HZ39,'Jan-2026 rates'!$L:$S,8,0),IF($LB39=80%,VLOOKUP($HZ39,'Jan-2026 rates'!L:T,9,0),0))))))))</f>
        <v>0</v>
      </c>
      <c r="IC39" s="412"/>
      <c r="ID39" s="409"/>
      <c r="IE39" s="411">
        <f>IF(ID39=0,0,IF($LB39=70%,VLOOKUP($HZ39,'Jan-2026 rates'!$L:$R,4,0),IF($LB39=65%,VLOOKUP($HZ39,'Jan-2026 rates'!$L:$R,4,0),IF($LB39=40%,VLOOKUP($HZ39,'Jan-2026 rates'!$L:$R,5,0),IF($LB39=30%,VLOOKUP($HZ39,'Jan-2026 rates'!$L:$R,6,0),IF($LB39=100%,VLOOKUP($HZ39,'Jan-2026 rates'!$L:$R,7,0),IF($LB39=60%,VLOOKUP($HZ39,'Jan-2026 rates'!$L:$S,8,0),IF($LB39=80%,VLOOKUP($HZ39,'Jan-2026 rates'!L:T,9,0),0))))))))</f>
        <v>0</v>
      </c>
      <c r="IF39" s="412" t="s">
        <v>1249</v>
      </c>
      <c r="IG39" s="413" t="s">
        <v>1122</v>
      </c>
      <c r="IH39" s="412"/>
      <c r="II39" s="412"/>
      <c r="IJ39" s="412"/>
      <c r="IK39" s="412"/>
      <c r="IL39" s="412"/>
      <c r="IM39" s="412"/>
      <c r="IN39" s="409">
        <v>25</v>
      </c>
      <c r="IO39" s="398">
        <f>IF(IN39=0,0,IF(LEN(IF39)=11,_xlfn.XLOOKUP(IF39,'Dispensed Ink Rates'!C:C,'Dispensed Ink Rates'!CS:CS),VLOOKUP(IF39,'Jan-2026 rates'!$E:$F,2,0)))</f>
        <v>0</v>
      </c>
      <c r="IP39" s="409">
        <v>5.47</v>
      </c>
      <c r="IQ39" s="398">
        <f>IF(IP39=0,0,IF(LEN(IG39)=11,_xlfn.XLOOKUP(IG39,'Dispensed Ink Rates'!C:C,'Dispensed Ink Rates'!CS:CS),VLOOKUP(IG39,'Jan-2026 rates'!$E:$F,2,0)))</f>
        <v>0</v>
      </c>
      <c r="IR39" s="409"/>
      <c r="IS39" s="398">
        <f>IF(IR39=0,0,IF(LEN(IH39)=11,_xlfn.XLOOKUP(IH39,'Dispensed Ink Rates'!C:C,'Dispensed Ink Rates'!CS:CS),VLOOKUP(IH39,'Jan-2026 rates'!$E:$F,2,0)))</f>
        <v>0</v>
      </c>
      <c r="IT39" s="409"/>
      <c r="IU39" s="398">
        <f>IF(IT39=0,0,IF(LEN(II39)=11,_xlfn.XLOOKUP(II39,'Dispensed Ink Rates'!C:C,'Dispensed Ink Rates'!CS:CS),VLOOKUP(II39,'Jan-2026 rates'!$E:$F,2,0)))</f>
        <v>0</v>
      </c>
      <c r="IV39" s="409"/>
      <c r="IW39" s="398">
        <f>IF(IV39=0,0,IF(LEN(IJ39)=11,_xlfn.XLOOKUP(IJ39,'Dispensed Ink Rates'!C:C,'Dispensed Ink Rates'!CS:CS),VLOOKUP(IJ39,'Jan-2026 rates'!$E:$F,2,0)))</f>
        <v>0</v>
      </c>
      <c r="IX39" s="409"/>
      <c r="IY39" s="398">
        <f>IF(IX39=0,0,IF(LEN(IK39)=11,_xlfn.XLOOKUP(IK39,'Dispensed Ink Rates'!C:C,'Dispensed Ink Rates'!CS:CS),VLOOKUP(IK39,'Jan-2026 rates'!$E:$F,2,0)))</f>
        <v>0</v>
      </c>
      <c r="IZ39" s="409"/>
      <c r="JA39" s="398">
        <f>IF(IZ39=0,0,IF(LEN(IL39)=11,_xlfn.XLOOKUP(IL39,'Dispensed Ink Rates'!C:C,'Dispensed Ink Rates'!CS:CS),VLOOKUP(IL39,'Jan-2026 rates'!$E:$F,2,0)))</f>
        <v>0</v>
      </c>
      <c r="JB39" s="409"/>
      <c r="JC39" s="398">
        <f>IF(JB39=0,0,IF(LEN(IM39)=11,_xlfn.XLOOKUP(IM39,'Dispensed Ink Rates'!C:C,'Dispensed Ink Rates'!CS:CS),VLOOKUP(IM39,'Jan-2026 rates'!$E:$F,2,0)))</f>
        <v>0</v>
      </c>
      <c r="JD39" s="409" t="s">
        <v>1881</v>
      </c>
      <c r="JE39" s="409">
        <v>24</v>
      </c>
      <c r="JF39" s="411">
        <f t="shared" si="25"/>
        <v>0</v>
      </c>
      <c r="JG39" s="411">
        <f t="shared" si="26"/>
        <v>54.556956521739124</v>
      </c>
      <c r="JH39" s="410">
        <f t="shared" si="27"/>
        <v>0</v>
      </c>
      <c r="JI39" s="405"/>
      <c r="JJ39" s="409"/>
      <c r="JK39" s="420" t="str">
        <f t="shared" si="28"/>
        <v xml:space="preserve"> - </v>
      </c>
      <c r="JL39" s="409"/>
      <c r="JM39" s="411">
        <f>IF(JL39=0,0,IF($LB39=70%,VLOOKUP($JK39,'Jan-2026 rates'!$L:$R,4,0),IF($LB39=65%,VLOOKUP($JK39,'Jan-2026 rates'!$L:$R,4,0),IF($LB39=40%,VLOOKUP($JK39,'Jan-2026 rates'!$L:$R,5,0),IF($LB39=30%,VLOOKUP($JK39,'Jan-2026 rates'!$L:$R,6,0),IF($LB39=100%,VLOOKUP($JK39,'Jan-2026 rates'!$L:$R,7,0),IF($LB39=60%,VLOOKUP($JK39,'Jan-2026 rates'!$L:$S,8,0),IF($LB39=80%,VLOOKUP($JK39,'Jan-2026 rates'!L:T,9,0),0))))))))</f>
        <v>0</v>
      </c>
      <c r="JN39" s="412"/>
      <c r="JO39" s="409"/>
      <c r="JP39" s="411">
        <f>IF(JO39=0,0,IF($LB39=70%,VLOOKUP($JK39,'Jan-2026 rates'!$L:$R,4,0),IF($LB39=65%,VLOOKUP($JK39,'Jan-2026 rates'!$L:$R,4,0),IF($LB39=40%,VLOOKUP($JK39,'Jan-2026 rates'!$L:$R,5,0),IF($LB39=30%,VLOOKUP($JK39,'Jan-2026 rates'!$L:$R,6,0),IF($LB39=100%,VLOOKUP($JK39,'Jan-2026 rates'!$L:$R,7,0),IF($LB39=60%,VLOOKUP($JK39,'Jan-2026 rates'!$L:$S,8,0),IF($LB39=80%,VLOOKUP($JK39,'Jan-2026 rates'!L:T,9,0),0))))))))</f>
        <v>0</v>
      </c>
      <c r="JQ39" s="413"/>
      <c r="JR39" s="412"/>
      <c r="JS39" s="413"/>
      <c r="JT39" s="413"/>
      <c r="JU39" s="412"/>
      <c r="JV39" s="412"/>
      <c r="JW39" s="412"/>
      <c r="JX39" s="412"/>
      <c r="JY39" s="409"/>
      <c r="JZ39" s="398">
        <f>IF(JY39=0,0,IF(LEN(JQ39)=11,_xlfn.XLOOKUP(JQ39,'Dispensed Ink Rates'!C:C,'Dispensed Ink Rates'!CS:CS),VLOOKUP(JQ39,'Jan-2026 rates'!$E:$F,2,0)))</f>
        <v>0</v>
      </c>
      <c r="KA39" s="409"/>
      <c r="KB39" s="398">
        <f>IF(KA39=0,0,IF(LEN(JR39)=11,_xlfn.XLOOKUP(JR39,'Dispensed Ink Rates'!C:C,'Dispensed Ink Rates'!CS:CS),VLOOKUP(JR39,'Jan-2026 rates'!$E:$F,2,0)))</f>
        <v>0</v>
      </c>
      <c r="KC39" s="409"/>
      <c r="KD39" s="398">
        <f>IF(KC39=0,0,IF(LEN(JS39)=11,_xlfn.XLOOKUP(JS39,'Dispensed Ink Rates'!C:C,'Dispensed Ink Rates'!CS:CS),VLOOKUP(JS39,'Jan-2026 rates'!$E:$F,2,0)))</f>
        <v>0</v>
      </c>
      <c r="KE39" s="409"/>
      <c r="KF39" s="398">
        <f>IF(KE39=0,0,IF(LEN(JT39)=11,_xlfn.XLOOKUP(JT39,'Dispensed Ink Rates'!C:C,'Dispensed Ink Rates'!CS:CS),VLOOKUP(JT39,'Jan-2026 rates'!$E:$F,2,0)))</f>
        <v>0</v>
      </c>
      <c r="KG39" s="409"/>
      <c r="KH39" s="398">
        <f>IF(KG39=0,0,IF(LEN(JU39)=11,_xlfn.XLOOKUP(JU39,'Dispensed Ink Rates'!C:C,'Dispensed Ink Rates'!CS:CS),VLOOKUP(JU39,'Jan-2026 rates'!$E:$F,2,0)))</f>
        <v>0</v>
      </c>
      <c r="KI39" s="409"/>
      <c r="KJ39" s="398">
        <f>IF(KI39=0,0,IF(LEN(JV39)=11,_xlfn.XLOOKUP(JV39,'Dispensed Ink Rates'!C:C,'Dispensed Ink Rates'!CS:CS),VLOOKUP(JV39,'Jan-2026 rates'!$E:$F,2,0)))</f>
        <v>0</v>
      </c>
      <c r="KK39" s="409"/>
      <c r="KL39" s="398">
        <f>IF(KK39=0,0,IF(LEN(JW39)=11,_xlfn.XLOOKUP(JW39,'Dispensed Ink Rates'!C:C,'Dispensed Ink Rates'!CS:CS),VLOOKUP(JW39,'Jan-2026 rates'!$E:$F,2,0)))</f>
        <v>0</v>
      </c>
      <c r="KM39" s="428"/>
      <c r="KN39" s="398">
        <f>IF(KM39=0,0,IF(LEN(JX39)=11,_xlfn.XLOOKUP(JX39,'Dispensed Ink Rates'!C:C,'Dispensed Ink Rates'!CS:CS),VLOOKUP(JX39,'Jan-2026 rates'!$E:$F,2,0)))</f>
        <v>0</v>
      </c>
      <c r="KO39" s="409"/>
      <c r="KP39" s="409"/>
      <c r="KQ39" s="411">
        <f t="shared" si="29"/>
        <v>0</v>
      </c>
      <c r="KR39" s="411">
        <f t="shared" si="30"/>
        <v>0</v>
      </c>
      <c r="KS39" s="410">
        <f t="shared" si="31"/>
        <v>0</v>
      </c>
      <c r="KT39" s="409">
        <v>5</v>
      </c>
      <c r="KU39" s="409">
        <v>8</v>
      </c>
      <c r="KV39" s="409">
        <v>5</v>
      </c>
      <c r="KW39" s="409">
        <v>8</v>
      </c>
      <c r="KX39" s="409">
        <v>5</v>
      </c>
      <c r="KY39" s="409">
        <v>5</v>
      </c>
      <c r="KZ39" s="409">
        <v>10</v>
      </c>
      <c r="LA39" s="409">
        <v>0</v>
      </c>
      <c r="LB39" s="415">
        <v>0.3</v>
      </c>
      <c r="LC39" s="415"/>
      <c r="LD39" s="415"/>
      <c r="LE39" s="415">
        <v>0.5</v>
      </c>
      <c r="LF39" s="415">
        <v>0.2</v>
      </c>
      <c r="LG39" s="409">
        <v>0</v>
      </c>
      <c r="LH39" s="409">
        <f>10+20+18+30+7+12</f>
        <v>97</v>
      </c>
      <c r="LI39" s="409">
        <v>0</v>
      </c>
      <c r="LJ39" s="409">
        <v>0</v>
      </c>
      <c r="LK39" s="416">
        <f t="shared" si="32"/>
        <v>97</v>
      </c>
      <c r="LL39" s="416">
        <f t="shared" si="33"/>
        <v>97</v>
      </c>
      <c r="LM39" s="417">
        <f t="shared" si="34"/>
        <v>29.099999999999998</v>
      </c>
      <c r="LN39" s="417">
        <f>VLOOKUP($LM$8,'Jan-2026 rates'!$H:$I,2,0)</f>
        <v>0</v>
      </c>
      <c r="LO39" s="417">
        <f t="shared" si="35"/>
        <v>0</v>
      </c>
      <c r="LP39" s="417">
        <f>VLOOKUP($LO$8,'Jan-2026 rates'!$H:$I,2,0)</f>
        <v>0</v>
      </c>
      <c r="LQ39" s="417">
        <f t="shared" si="36"/>
        <v>0</v>
      </c>
      <c r="LR39" s="417">
        <f>VLOOKUP($LQ$8,'Jan-2026 rates'!$H:$I,2,0)</f>
        <v>0</v>
      </c>
      <c r="LS39" s="417">
        <f t="shared" si="37"/>
        <v>48.5</v>
      </c>
      <c r="LT39" s="417">
        <f>VLOOKUP($LS$8,'Jan-2026 rates'!$H:$I,2,0)</f>
        <v>0</v>
      </c>
      <c r="LU39" s="417">
        <f t="shared" si="38"/>
        <v>19.400000000000002</v>
      </c>
      <c r="LV39" s="417">
        <f>VLOOKUP($LU$8,'Jan-2026 rates'!$H:$I,2,0)</f>
        <v>0</v>
      </c>
      <c r="LW39" s="417">
        <f t="shared" si="39"/>
        <v>0</v>
      </c>
      <c r="LX39" s="417">
        <f t="shared" si="40"/>
        <v>0</v>
      </c>
      <c r="LY39" s="418">
        <f t="shared" si="41"/>
        <v>0</v>
      </c>
      <c r="LZ39" s="417"/>
      <c r="MA39" s="435">
        <f t="shared" si="42"/>
        <v>113.47</v>
      </c>
      <c r="MB39" s="282">
        <f t="shared" si="43"/>
        <v>157.47</v>
      </c>
      <c r="MC39" s="283" t="s">
        <v>1967</v>
      </c>
      <c r="MD39" s="284" t="str">
        <f t="shared" si="44"/>
        <v>ToyoLiToyoLiToyoLiToyoLiToyoLiToyoLiToyoLi</v>
      </c>
      <c r="ME39" s="293" t="str">
        <f t="shared" si="45"/>
        <v>+</v>
      </c>
      <c r="MF39" s="293" t="str">
        <f t="shared" si="46"/>
        <v>+</v>
      </c>
      <c r="MG39" s="293" t="str">
        <f t="shared" si="47"/>
        <v>+</v>
      </c>
      <c r="MH39" s="293" t="str">
        <f t="shared" si="48"/>
        <v>+</v>
      </c>
      <c r="MI39" s="293" t="str">
        <f t="shared" si="49"/>
        <v>+</v>
      </c>
      <c r="MJ39" s="293" t="str">
        <f t="shared" si="50"/>
        <v>+</v>
      </c>
      <c r="MK39" s="293" t="str">
        <f t="shared" si="51"/>
        <v>+</v>
      </c>
      <c r="ML39" s="293" t="str">
        <f t="shared" si="52"/>
        <v>NIL</v>
      </c>
      <c r="MM39" s="3" t="b">
        <f t="array" ref="MM39">OR(ME39:ML39="-")</f>
        <v>0</v>
      </c>
      <c r="MN39" s="285"/>
      <c r="MO39" s="401"/>
      <c r="MP39" s="286"/>
      <c r="MQ39" s="286"/>
      <c r="MR39" s="402"/>
      <c r="MS39" s="400"/>
      <c r="NH39" s="422"/>
      <c r="NJ39" s="421"/>
    </row>
    <row r="40" spans="1:374" s="1" customFormat="1" ht="16.5">
      <c r="A40" s="403">
        <v>46028</v>
      </c>
      <c r="B40" s="404" t="s">
        <v>1015</v>
      </c>
      <c r="C40" s="405" t="s">
        <v>2779</v>
      </c>
      <c r="D40" s="406" t="s">
        <v>1968</v>
      </c>
      <c r="E40" s="404">
        <v>194</v>
      </c>
      <c r="F40" s="407">
        <v>12600</v>
      </c>
      <c r="G40" s="407" t="s">
        <v>1016</v>
      </c>
      <c r="H40" s="408" t="s">
        <v>1017</v>
      </c>
      <c r="I40" s="409">
        <v>1.4</v>
      </c>
      <c r="J40" s="405" t="s">
        <v>543</v>
      </c>
      <c r="K40" s="404" t="s">
        <v>2780</v>
      </c>
      <c r="L40" s="419" t="str">
        <f t="shared" si="0"/>
        <v>ToyoLi - BLACK</v>
      </c>
      <c r="M40" s="404">
        <v>27</v>
      </c>
      <c r="N40" s="410">
        <f>IF(M40=0,0,IF($LB40=70%,VLOOKUP($L40,'Jan-2026 rates'!$L:$R,4,0),IF($LB40=65%,VLOOKUP($L40,'Jan-2026 rates'!$L:$R,4,0),IF($LB40=40%,VLOOKUP($L40,'Jan-2026 rates'!$L:$R,5,0),IF($LB40=30%,VLOOKUP($L40,'Jan-2026 rates'!$L:$R,6,0),IF($LB40=100%,VLOOKUP($L40,'Jan-2026 rates'!$L:$R,7,0),IF($LB40=60%,VLOOKUP($L40,'Jan-2026 rates'!$L:$S,8,0),IF($LB40=80%,VLOOKUP($L40,'Jan-2026 rates'!L:T,9,0),0))))))))</f>
        <v>0</v>
      </c>
      <c r="O40" s="406"/>
      <c r="P40" s="404"/>
      <c r="Q40" s="410">
        <f>IF(P40=0,0,IF($LB40=70%,VLOOKUP($L40,'Jan-2026 rates'!$L:$R,4,0),IF($LB40=65%,VLOOKUP($L40,'Jan-2026 rates'!$L:$R,4,0),IF($LB40=40%,VLOOKUP($L40,'Jan-2026 rates'!$L:$R,5,0),IF($LB40=30%,VLOOKUP($L40,'Jan-2026 rates'!$L:$R,6,0),IF($LB40=100%,VLOOKUP($L40,'Jan-2026 rates'!$L:$R,7,0),IF($LB40=60%,VLOOKUP($L40,'Jan-2026 rates'!$L:$S,8,0),IF($LB40=80%,VLOOKUP($L40,'Jan-2026 rates'!L:T,9,0),0))))))))</f>
        <v>0</v>
      </c>
      <c r="R40" s="406" t="s">
        <v>1252</v>
      </c>
      <c r="S40" s="406"/>
      <c r="T40" s="406"/>
      <c r="U40" s="406"/>
      <c r="V40" s="406"/>
      <c r="W40" s="406"/>
      <c r="X40" s="406"/>
      <c r="Y40" s="406"/>
      <c r="Z40" s="404">
        <v>6</v>
      </c>
      <c r="AA40" s="398">
        <f>IF(Z40=0,0,IF(LEN(R40)=11,_xlfn.XLOOKUP(R40,'Dispensed Ink Rates'!C:C,'Dispensed Ink Rates'!CS:CS),VLOOKUP(R40,'Jan-2026 rates'!$E:$F,2,0)))</f>
        <v>0</v>
      </c>
      <c r="AB40" s="404"/>
      <c r="AC40" s="398">
        <f>IF(AB40=0,0,IF(LEN(S40)=11,_xlfn.XLOOKUP(S40,'Dispensed Ink Rates'!C:C,'Dispensed Ink Rates'!CS:CS),VLOOKUP(S40,'Jan-2026 rates'!$E:$F,2,0)))</f>
        <v>0</v>
      </c>
      <c r="AD40" s="404"/>
      <c r="AE40" s="398">
        <f>IF(AD40=0,0,IF(LEN(T40)=11,_xlfn.XLOOKUP(T40,'Dispensed Ink Rates'!C:C,'Dispensed Ink Rates'!CS:CS),VLOOKUP(T40,'Jan-2026 rates'!$E:$F,2,0)))</f>
        <v>0</v>
      </c>
      <c r="AF40" s="404"/>
      <c r="AG40" s="398">
        <f>IF(AF40=0,0,IF(LEN(U40)=11,_xlfn.XLOOKUP(U40,'Dispensed Ink Rates'!C:C,'Dispensed Ink Rates'!CS:CS),VLOOKUP(U40,'Jan-2026 rates'!$E:$F,2,0)))</f>
        <v>0</v>
      </c>
      <c r="AH40" s="404"/>
      <c r="AI40" s="398">
        <f>IF(AH40=0,0,IF(LEN(V40)=11,_xlfn.XLOOKUP(V40,'Dispensed Ink Rates'!C:C,'Dispensed Ink Rates'!CS:CS),VLOOKUP(V40,'Jan-2026 rates'!$E:$F,2,0)))</f>
        <v>0</v>
      </c>
      <c r="AJ40" s="404"/>
      <c r="AK40" s="398">
        <f>IF(AJ40=0,0,IF(LEN(W40)=11,_xlfn.XLOOKUP(W40,'Dispensed Ink Rates'!C:C,'Dispensed Ink Rates'!CS:CS),VLOOKUP(W40,'Jan-2026 rates'!$E:$F,2,0)))</f>
        <v>0</v>
      </c>
      <c r="AL40" s="404"/>
      <c r="AM40" s="398">
        <f>IF(AL40=0,0,IF(LEN(X40)=11,_xlfn.XLOOKUP(X40,'Dispensed Ink Rates'!C:C,'Dispensed Ink Rates'!CS:CS),VLOOKUP(X40,'Jan-2026 rates'!$E:$F,2,0)))</f>
        <v>0</v>
      </c>
      <c r="AN40" s="404"/>
      <c r="AO40" s="398">
        <f>IF(AN40=0,0,IF(LEN(Y40)=11,_xlfn.XLOOKUP(Y40,'Dispensed Ink Rates'!C:C,'Dispensed Ink Rates'!CS:CS),VLOOKUP(Y40,'Jan-2026 rates'!$E:$F,2,0)))</f>
        <v>0</v>
      </c>
      <c r="AP40" s="409" t="s">
        <v>1881</v>
      </c>
      <c r="AQ40" s="409">
        <v>29</v>
      </c>
      <c r="AR40" s="410">
        <f t="shared" si="1"/>
        <v>0</v>
      </c>
      <c r="AS40" s="411">
        <f t="shared" si="2"/>
        <v>13.666666666666664</v>
      </c>
      <c r="AT40" s="410">
        <f t="shared" si="3"/>
        <v>0</v>
      </c>
      <c r="AU40" s="405" t="s">
        <v>546</v>
      </c>
      <c r="AV40" s="409" t="s">
        <v>2781</v>
      </c>
      <c r="AW40" s="420" t="str">
        <f t="shared" si="4"/>
        <v>ToyoLi - REFLEX BLUE</v>
      </c>
      <c r="AX40" s="409">
        <v>9</v>
      </c>
      <c r="AY40" s="411">
        <f>IF(AX40=0,0,IF($LB40=70%,VLOOKUP($AW40,'Jan-2026 rates'!$L:$R,4,0),IF($LB40=65%,VLOOKUP($AW40,'Jan-2026 rates'!$L:$R,4,0),IF($LB40=40%,VLOOKUP($AW40,'Jan-2026 rates'!$L:$R,5,0),IF($LB40=30%,VLOOKUP($AW40,'Jan-2026 rates'!$L:$R,6,0),IF($LB40=100%,VLOOKUP($AW40,'Jan-2026 rates'!$L:$R,7,0),IF($LB40=60%,VLOOKUP($AW40,'Jan-2026 rates'!$L:$S,8,0),IF($LB40=80%,VLOOKUP($AW40,'Jan-2026 rates'!L:T,9,0),0))))))))</f>
        <v>0</v>
      </c>
      <c r="AZ40" s="412"/>
      <c r="BA40" s="409"/>
      <c r="BB40" s="411">
        <f>IF(BA40=0,0,IF($LB40=70%,VLOOKUP($AW40,'Jan-2026 rates'!$L:$R,4,0),IF($LB40=65%,VLOOKUP($AW40,'Jan-2026 rates'!$L:$R,4,0),IF($LB40=40%,VLOOKUP($AW40,'Jan-2026 rates'!$L:$R,5,0),IF($LB40=30%,VLOOKUP($AW40,'Jan-2026 rates'!$L:$R,6,0),IF($LB40=100%,VLOOKUP($AW40,'Jan-2026 rates'!$L:$R,7,0),IF($LB40=60%,VLOOKUP($AW40,'Jan-2026 rates'!$L:$S,8,0),IF($LB40=80%,VLOOKUP($AW40,'Jan-2026 rates'!L:T,9,0),0))))))))</f>
        <v>0</v>
      </c>
      <c r="BC40" s="413" t="s">
        <v>1880</v>
      </c>
      <c r="BD40" s="412" t="s">
        <v>1246</v>
      </c>
      <c r="BE40" s="412" t="s">
        <v>1250</v>
      </c>
      <c r="BF40" s="413" t="s">
        <v>1252</v>
      </c>
      <c r="BG40" s="412"/>
      <c r="BH40" s="412"/>
      <c r="BI40" s="412"/>
      <c r="BJ40" s="412"/>
      <c r="BK40" s="409">
        <v>20</v>
      </c>
      <c r="BL40" s="398">
        <f>IF(BK40=0,0,IF(LEN(BC40)=11,_xlfn.XLOOKUP(BC40,'Dispensed Ink Rates'!C:C,'Dispensed Ink Rates'!CS:CS),VLOOKUP(BC40,'Jan-2026 rates'!$E:$F,2,0)))</f>
        <v>0</v>
      </c>
      <c r="BM40" s="409">
        <v>8</v>
      </c>
      <c r="BN40" s="398">
        <f>IF(BM40=0,0,IF(LEN(BD40)=11,_xlfn.XLOOKUP(BD40,'Dispensed Ink Rates'!C:C,'Dispensed Ink Rates'!CS:CS),VLOOKUP(BD40,'Jan-2026 rates'!$E:$F,2,0)))</f>
        <v>0</v>
      </c>
      <c r="BO40" s="409">
        <v>10</v>
      </c>
      <c r="BP40" s="398">
        <f>IF(BO40=0,0,IF(LEN(BE40)=11,_xlfn.XLOOKUP(BE40,'Dispensed Ink Rates'!C:C,'Dispensed Ink Rates'!CS:CS),VLOOKUP(BE40,'Jan-2026 rates'!$E:$F,2,0)))</f>
        <v>0</v>
      </c>
      <c r="BQ40" s="409">
        <v>2</v>
      </c>
      <c r="BR40" s="398">
        <f>IF(BQ40=0,0,IF(LEN(BF40)=11,_xlfn.XLOOKUP(BF40,'Dispensed Ink Rates'!C:C,'Dispensed Ink Rates'!CS:CS),VLOOKUP(BF40,'Jan-2026 rates'!$E:$F,2,0)))</f>
        <v>0</v>
      </c>
      <c r="BS40" s="409"/>
      <c r="BT40" s="398">
        <f>IF(BS40=0,0,IF(LEN(BG40)=11,_xlfn.XLOOKUP(BG40,'Dispensed Ink Rates'!C:C,'Dispensed Ink Rates'!CS:CS),VLOOKUP(BG40,'Jan-2026 rates'!$E:$F,2,0)))</f>
        <v>0</v>
      </c>
      <c r="BU40" s="409"/>
      <c r="BV40" s="398">
        <f>IF(BU40=0,0,IF(LEN(BH40)=11,_xlfn.XLOOKUP(BH40,'Dispensed Ink Rates'!C:C,'Dispensed Ink Rates'!CS:CS),VLOOKUP(BH40,'Jan-2026 rates'!$E:$F,2,0)))</f>
        <v>0</v>
      </c>
      <c r="BW40" s="409"/>
      <c r="BX40" s="398">
        <f>IF(BW40=0,0,IF(LEN(BI40)=11,_xlfn.XLOOKUP(BI40,'Dispensed Ink Rates'!C:C,'Dispensed Ink Rates'!CS:CS),VLOOKUP(BI40,'Jan-2026 rates'!$E:$F,2,0)))</f>
        <v>0</v>
      </c>
      <c r="BY40" s="409"/>
      <c r="BZ40" s="398">
        <f>IF(BY40=0,0,IF(LEN(BJ40)=11,_xlfn.XLOOKUP(BJ40,'Dispensed Ink Rates'!C:C,'Dispensed Ink Rates'!CS:CS),VLOOKUP(BJ40,'Jan-2026 rates'!$E:$F,2,0)))</f>
        <v>0</v>
      </c>
      <c r="CA40" s="409" t="s">
        <v>1881</v>
      </c>
      <c r="CB40" s="409">
        <f>7+19</f>
        <v>26</v>
      </c>
      <c r="CC40" s="411">
        <f t="shared" si="5"/>
        <v>0</v>
      </c>
      <c r="CD40" s="411">
        <f t="shared" si="6"/>
        <v>42.333333333333329</v>
      </c>
      <c r="CE40" s="410">
        <f t="shared" si="7"/>
        <v>0</v>
      </c>
      <c r="CF40" s="404" t="s">
        <v>546</v>
      </c>
      <c r="CG40" s="409" t="s">
        <v>2782</v>
      </c>
      <c r="CH40" s="420" t="str">
        <f t="shared" si="8"/>
        <v>ToyoLi - REFLEX BLUE</v>
      </c>
      <c r="CI40" s="409">
        <v>20</v>
      </c>
      <c r="CJ40" s="411">
        <f>IF(CI40=0,0,IF($LB40=70%,VLOOKUP($CH40,'Jan-2026 rates'!$L:$R,4,0),IF($LB40=65%,VLOOKUP($CH40,'Jan-2026 rates'!$L:$R,4,0),IF($LB40=40%,VLOOKUP($CH40,'Jan-2026 rates'!$L:$R,5,0),IF($LB40=30%,VLOOKUP($CH40,'Jan-2026 rates'!$L:$R,6,0),IF($LB40=100%,VLOOKUP($CH40,'Jan-2026 rates'!$L:$R,7,0),IF($LB40=60%,VLOOKUP($CH40,'Jan-2026 rates'!$L:$S,8,0),IF($LB40=80%,VLOOKUP($CH40,'Jan-2026 rates'!L:T,9,0),0))))))))</f>
        <v>0</v>
      </c>
      <c r="CK40" s="412"/>
      <c r="CL40" s="409"/>
      <c r="CM40" s="411">
        <f>IF(CL40=0,0,IF($LB40=70%,VLOOKUP($CH40,'Jan-2026 rates'!$L:$R,4,0),IF($LB40=65%,VLOOKUP($CH40,'Jan-2026 rates'!$L:$R,4,0),IF($LB40=40%,VLOOKUP($CH40,'Jan-2026 rates'!$L:$R,5,0),IF($LB40=30%,VLOOKUP($CH40,'Jan-2026 rates'!$L:$R,6,0),IF($LB40=100%,VLOOKUP($CH40,'Jan-2026 rates'!$L:$R,7,0),IF($LB40=60%,VLOOKUP($CH40,'Jan-2026 rates'!$L:$S,8,0),IF($LB40=80%,VLOOKUP($CH40,'Jan-2026 rates'!L:T,9,0),0))))))))</f>
        <v>0</v>
      </c>
      <c r="CN40" s="426" t="s">
        <v>1921</v>
      </c>
      <c r="CO40" s="427" t="s">
        <v>1250</v>
      </c>
      <c r="CP40" s="426"/>
      <c r="CQ40" s="426"/>
      <c r="CR40" s="428"/>
      <c r="CS40" s="428"/>
      <c r="CT40" s="428"/>
      <c r="CU40" s="428"/>
      <c r="CV40" s="409">
        <v>6</v>
      </c>
      <c r="CW40" s="398">
        <f>IF(CV40=0,0,IF(LEN(CN40)=11,_xlfn.XLOOKUP(CN40,'Dispensed Ink Rates'!C:C,'Dispensed Ink Rates'!CS:CS),VLOOKUP(CN40,'Jan-2026 rates'!$E:$F,2,0)))</f>
        <v>0</v>
      </c>
      <c r="CX40" s="409">
        <v>4</v>
      </c>
      <c r="CY40" s="398">
        <f>IF(CX40=0,0,IF(LEN(CO40)=11,_xlfn.XLOOKUP(CO40,'Dispensed Ink Rates'!C:C,'Dispensed Ink Rates'!CS:CS),VLOOKUP(CO40,'Jan-2026 rates'!$E:$F,2,0)))</f>
        <v>0</v>
      </c>
      <c r="CZ40" s="409"/>
      <c r="DA40" s="398">
        <f>IF(CZ40=0,0,IF(LEN(CP40)=11,_xlfn.XLOOKUP(CP40,'Dispensed Ink Rates'!C:C,'Dispensed Ink Rates'!CS:CS),VLOOKUP(CP40,'Jan-2026 rates'!$E:$F,2,0)))</f>
        <v>0</v>
      </c>
      <c r="DB40" s="409"/>
      <c r="DC40" s="398">
        <f>IF(DB40=0,0,IF(LEN(CQ40)=11,_xlfn.XLOOKUP(CQ40,'Dispensed Ink Rates'!C:C,'Dispensed Ink Rates'!CS:CS),VLOOKUP(CQ40,'Jan-2026 rates'!$E:$F,2,0)))</f>
        <v>0</v>
      </c>
      <c r="DD40" s="409"/>
      <c r="DE40" s="398">
        <f>IF(DD40=0,0,IF(LEN(CR40)=11,_xlfn.XLOOKUP(CR40,'Dispensed Ink Rates'!C:C,'Dispensed Ink Rates'!CS:CS),VLOOKUP(CR40,'Jan-2026 rates'!$E:$F,2,0)))</f>
        <v>0</v>
      </c>
      <c r="DF40" s="409"/>
      <c r="DG40" s="398">
        <f>IF(DF40=0,0,IF(LEN(CS40)=11,_xlfn.XLOOKUP(CS40,'Dispensed Ink Rates'!C:C,'Dispensed Ink Rates'!CS:CS),VLOOKUP(CS40,'Jan-2026 rates'!$E:$F,2,0)))</f>
        <v>0</v>
      </c>
      <c r="DH40" s="409"/>
      <c r="DI40" s="398">
        <f>IF(DH40=0,0,IF(LEN(CT40)=11,_xlfn.XLOOKUP(CT40,'Dispensed Ink Rates'!C:C,'Dispensed Ink Rates'!CS:CS),VLOOKUP(CT40,'Jan-2026 rates'!$E:$F,2,0)))</f>
        <v>0</v>
      </c>
      <c r="DJ40" s="409"/>
      <c r="DK40" s="398">
        <f>IF(DJ40=0,0,IF(LEN(CU40)=11,_xlfn.XLOOKUP(CU40,'Dispensed Ink Rates'!C:C,'Dispensed Ink Rates'!CS:CS),VLOOKUP(CU40,'Jan-2026 rates'!$E:$F,2,0)))</f>
        <v>0</v>
      </c>
      <c r="DL40" s="409" t="s">
        <v>1881</v>
      </c>
      <c r="DM40" s="409">
        <v>27</v>
      </c>
      <c r="DN40" s="411">
        <f t="shared" si="9"/>
        <v>0</v>
      </c>
      <c r="DO40" s="411">
        <f t="shared" si="10"/>
        <v>12.666666666666664</v>
      </c>
      <c r="DP40" s="410">
        <f t="shared" si="11"/>
        <v>0</v>
      </c>
      <c r="DQ40" s="405" t="s">
        <v>545</v>
      </c>
      <c r="DR40" s="409" t="s">
        <v>2776</v>
      </c>
      <c r="DS40" s="420" t="str">
        <f t="shared" si="12"/>
        <v>ToyoLi - YELLOW</v>
      </c>
      <c r="DT40" s="409">
        <v>18</v>
      </c>
      <c r="DU40" s="411">
        <f>IF(DT40=0,0,IF($LB40=70%,VLOOKUP($DS40,'Jan-2026 rates'!$L:$R,4,0),IF($LB40=65%,VLOOKUP($DS40,'Jan-2026 rates'!$L:$R,4,0),IF($LB40=40%,VLOOKUP($DS40,'Jan-2026 rates'!$L:$R,5,0),IF($LB40=30%,VLOOKUP($DS40,'Jan-2026 rates'!$L:$R,6,0),IF($LB40=100%,VLOOKUP($DS40,'Jan-2026 rates'!$L:$R,7,0),IF($LB40=60%,VLOOKUP($DS40,'Jan-2026 rates'!$L:$S,8,0),IF($LB40=80%,VLOOKUP($DS40,'Jan-2026 rates'!L:T,9,0),0))))))))</f>
        <v>0</v>
      </c>
      <c r="DV40" s="412"/>
      <c r="DW40" s="409"/>
      <c r="DX40" s="411">
        <f>IF(DW40=0,0,IF($LB40=70%,VLOOKUP($DS40,'Jan-2026 rates'!$L:$R,4,0),IF($LB40=65%,VLOOKUP($DS40,'Jan-2026 rates'!$L:$R,4,0),IF($LB40=40%,VLOOKUP($DS40,'Jan-2026 rates'!$L:$R,5,0),IF($LB40=30%,VLOOKUP($DS40,'Jan-2026 rates'!$L:$R,6,0),IF($LB40=100%,VLOOKUP($DS40,'Jan-2026 rates'!$L:$R,7,0),IF($LB40=60%,VLOOKUP($DS40,'Jan-2026 rates'!$L:$S,8,0),IF($LB40=80%,VLOOKUP($DS40,'Jan-2026 rates'!L:T,9,0),0))))))))</f>
        <v>0</v>
      </c>
      <c r="DY40" s="413" t="s">
        <v>1247</v>
      </c>
      <c r="DZ40" s="413" t="s">
        <v>1248</v>
      </c>
      <c r="EA40" s="412"/>
      <c r="EB40" s="412"/>
      <c r="EC40" s="412"/>
      <c r="ED40" s="412"/>
      <c r="EE40" s="412"/>
      <c r="EF40" s="412"/>
      <c r="EG40" s="409">
        <v>2</v>
      </c>
      <c r="EH40" s="398">
        <f>IF(EG40=0,0,IF(LEN(DY40)=11,_xlfn.XLOOKUP(DY40,'Dispensed Ink Rates'!C:C,'Dispensed Ink Rates'!CS:CS),VLOOKUP(DY40,'Jan-2026 rates'!$E:$F,2,0)))</f>
        <v>0</v>
      </c>
      <c r="EI40" s="409">
        <v>2</v>
      </c>
      <c r="EJ40" s="398">
        <f>IF(EI40=0,0,IF(LEN(DZ40)=11,_xlfn.XLOOKUP(DZ40,'Dispensed Ink Rates'!C:C,'Dispensed Ink Rates'!CS:CS),VLOOKUP(DZ40,'Jan-2026 rates'!$E:$F,2,0)))</f>
        <v>0</v>
      </c>
      <c r="EK40" s="409"/>
      <c r="EL40" s="398">
        <f>IF(EK40=0,0,IF(LEN(EA40)=11,_xlfn.XLOOKUP(EA40,'Dispensed Ink Rates'!C:C,'Dispensed Ink Rates'!CS:CS),VLOOKUP(EA40,'Jan-2026 rates'!$E:$F,2,0)))</f>
        <v>0</v>
      </c>
      <c r="EM40" s="409"/>
      <c r="EN40" s="398">
        <f>IF(EM40=0,0,IF(LEN(EB40)=11,_xlfn.XLOOKUP(EB40,'Dispensed Ink Rates'!C:C,'Dispensed Ink Rates'!CS:CS),VLOOKUP(EB40,'Jan-2026 rates'!$E:$F,2,0)))</f>
        <v>0</v>
      </c>
      <c r="EO40" s="409"/>
      <c r="EP40" s="398">
        <f>IF(EO40=0,0,IF(LEN(EC40)=11,_xlfn.XLOOKUP(EC40,'Dispensed Ink Rates'!C:C,'Dispensed Ink Rates'!CS:CS),VLOOKUP(EC40,'Jan-2026 rates'!$E:$F,2,0)))</f>
        <v>0</v>
      </c>
      <c r="EQ40" s="409"/>
      <c r="ER40" s="398">
        <f>IF(EQ40=0,0,IF(LEN(ED40)=11,_xlfn.XLOOKUP(ED40,'Dispensed Ink Rates'!C:C,'Dispensed Ink Rates'!CS:CS),VLOOKUP(ED40,'Jan-2026 rates'!$E:$F,2,0)))</f>
        <v>0</v>
      </c>
      <c r="ES40" s="409"/>
      <c r="ET40" s="398">
        <f>IF(ES40=0,0,IF(LEN(EE40)=11,_xlfn.XLOOKUP(EE40,'Dispensed Ink Rates'!C:C,'Dispensed Ink Rates'!CS:CS),VLOOKUP(EE40,'Jan-2026 rates'!$E:$F,2,0)))</f>
        <v>0</v>
      </c>
      <c r="EU40" s="409"/>
      <c r="EV40" s="398">
        <f>IF(EU40=0,0,IF(LEN(EF40)=11,_xlfn.XLOOKUP(EF40,'Dispensed Ink Rates'!C:C,'Dispensed Ink Rates'!CS:CS),VLOOKUP(EF40,'Jan-2026 rates'!$E:$F,2,0)))</f>
        <v>0</v>
      </c>
      <c r="EW40" s="409" t="s">
        <v>1881</v>
      </c>
      <c r="EX40" s="409">
        <v>17</v>
      </c>
      <c r="EY40" s="411">
        <f t="shared" si="13"/>
        <v>0</v>
      </c>
      <c r="EZ40" s="411">
        <f t="shared" si="14"/>
        <v>14.666666666666664</v>
      </c>
      <c r="FA40" s="410">
        <f t="shared" si="15"/>
        <v>0</v>
      </c>
      <c r="FB40" s="405" t="s">
        <v>855</v>
      </c>
      <c r="FC40" s="409" t="s">
        <v>2783</v>
      </c>
      <c r="FD40" s="420" t="str">
        <f t="shared" si="16"/>
        <v>ToyoLi - CYAN</v>
      </c>
      <c r="FE40" s="409">
        <v>27</v>
      </c>
      <c r="FF40" s="411">
        <f>IF(FE40=0,0,IF($LB40=70%,VLOOKUP($FD40,'Jan-2026 rates'!$L:$R,4,0),IF($LB40=65%,VLOOKUP($FD40,'Jan-2026 rates'!$L:$R,4,0),IF($LB40=40%,VLOOKUP($FD40,'Jan-2026 rates'!$L:$R,5,0),IF($LB40=30%,VLOOKUP($FD40,'Jan-2026 rates'!$L:$R,6,0),IF($LB40=100%,VLOOKUP($FD40,'Jan-2026 rates'!$L:$R,7,0),IF($LB40=60%,VLOOKUP($FD40,'Jan-2026 rates'!$L:$S,8,0),IF($LB40=80%,VLOOKUP($FD40,'Jan-2026 rates'!L:T,9,0),0))))))))</f>
        <v>0</v>
      </c>
      <c r="FG40" s="412"/>
      <c r="FH40" s="409"/>
      <c r="FI40" s="411">
        <f>IF(FH40=0,0,IF($LB40=70%,VLOOKUP($FD40,'Jan-2026 rates'!$L:$R,4,0),IF($LB40=65%,VLOOKUP($FD40,'Jan-2026 rates'!$L:$R,4,0),IF($LB40=40%,VLOOKUP($FD40,'Jan-2026 rates'!$L:$R,5,0),IF($LB40=30%,VLOOKUP($FD40,'Jan-2026 rates'!$L:$R,6,0),IF($LB40=100%,VLOOKUP($FD40,'Jan-2026 rates'!$L:$R,7,0),IF($LB40=60%,VLOOKUP($FD40,'Jan-2026 rates'!$L:$S,8,0),IF($LB40=80%,VLOOKUP($FD40,'Jan-2026 rates'!L:T,9,0),0))))))))</f>
        <v>0</v>
      </c>
      <c r="FJ40" s="413" t="s">
        <v>1250</v>
      </c>
      <c r="FK40" s="413"/>
      <c r="FL40" s="413"/>
      <c r="FM40" s="412"/>
      <c r="FN40" s="412"/>
      <c r="FO40" s="412"/>
      <c r="FP40" s="412"/>
      <c r="FQ40" s="412"/>
      <c r="FR40" s="409">
        <v>2</v>
      </c>
      <c r="FS40" s="398">
        <f>IF(FR40=0,0,IF(LEN(FJ40)=11,_xlfn.XLOOKUP(FJ40,'Dispensed Ink Rates'!C:C,'Dispensed Ink Rates'!CS:CS),VLOOKUP(FJ40,'Jan-2026 rates'!$E:$F,2,0)))</f>
        <v>0</v>
      </c>
      <c r="FT40" s="409"/>
      <c r="FU40" s="398">
        <f>IF(FT40=0,0,IF(LEN(FK40)=11,_xlfn.XLOOKUP(FK40,'Dispensed Ink Rates'!C:C,'Dispensed Ink Rates'!CS:CS),VLOOKUP(FK40,'Jan-2026 rates'!$E:$F,2,0)))</f>
        <v>0</v>
      </c>
      <c r="FV40" s="409"/>
      <c r="FW40" s="398">
        <f>IF(FV40=0,0,IF(LEN(FL40)=11,_xlfn.XLOOKUP(FL40,'Dispensed Ink Rates'!C:C,'Dispensed Ink Rates'!CS:CS),VLOOKUP(FL40,'Jan-2026 rates'!$E:$F,2,0)))</f>
        <v>0</v>
      </c>
      <c r="FX40" s="409"/>
      <c r="FY40" s="398">
        <f>IF(FX40=0,0,IF(LEN(FM40)=11,_xlfn.XLOOKUP(FM40,'Dispensed Ink Rates'!C:C,'Dispensed Ink Rates'!CS:CS),VLOOKUP(FM40,'Jan-2026 rates'!$E:$F,2,0)))</f>
        <v>0</v>
      </c>
      <c r="FZ40" s="409"/>
      <c r="GA40" s="398">
        <f>IF(FZ40=0,0,IF(LEN(FN40)=11,_xlfn.XLOOKUP(FN40,'Dispensed Ink Rates'!C:C,'Dispensed Ink Rates'!CS:CS),VLOOKUP(FN40,'Jan-2026 rates'!$E:$F,2,0)))</f>
        <v>0</v>
      </c>
      <c r="GB40" s="409"/>
      <c r="GC40" s="398">
        <f>IF(GB40=0,0,IF(LEN(FO40)=11,_xlfn.XLOOKUP(FO40,'Dispensed Ink Rates'!C:C,'Dispensed Ink Rates'!CS:CS),VLOOKUP(FO40,'Jan-2026 rates'!$E:$F,2,0)))</f>
        <v>0</v>
      </c>
      <c r="GD40" s="409"/>
      <c r="GE40" s="398">
        <f>IF(GD40=0,0,IF(LEN(FP40)=11,_xlfn.XLOOKUP(FP40,'Dispensed Ink Rates'!C:C,'Dispensed Ink Rates'!CS:CS),VLOOKUP(FP40,'Jan-2026 rates'!$E:$F,2,0)))</f>
        <v>0</v>
      </c>
      <c r="GF40" s="409"/>
      <c r="GG40" s="398">
        <f>IF(GF40=0,0,IF(LEN(FQ40)=11,_xlfn.XLOOKUP(FQ40,'Dispensed Ink Rates'!C:C,'Dispensed Ink Rates'!CS:CS),VLOOKUP(FQ40,'Jan-2026 rates'!$E:$F,2,0)))</f>
        <v>0</v>
      </c>
      <c r="GH40" s="409" t="s">
        <v>1881</v>
      </c>
      <c r="GI40" s="409">
        <v>27</v>
      </c>
      <c r="GJ40" s="411">
        <f t="shared" si="17"/>
        <v>0</v>
      </c>
      <c r="GK40" s="411">
        <f t="shared" si="18"/>
        <v>11.666666666666664</v>
      </c>
      <c r="GL40" s="410">
        <f t="shared" si="19"/>
        <v>0</v>
      </c>
      <c r="GM40" s="405" t="s">
        <v>544</v>
      </c>
      <c r="GN40" s="409" t="s">
        <v>2784</v>
      </c>
      <c r="GO40" s="420" t="str">
        <f t="shared" si="20"/>
        <v>ToyoLi - MAGENTA</v>
      </c>
      <c r="GP40" s="409">
        <v>10</v>
      </c>
      <c r="GQ40" s="411">
        <f>IF(GP40=0,0,IF($LB40=70%,VLOOKUP($GO40,'Jan-2026 rates'!$L:$R,4,0),IF($LB40=65%,VLOOKUP($GO40,'Jan-2026 rates'!$L:$R,4,0),IF($LB40=40%,VLOOKUP($GO40,'Jan-2026 rates'!$L:$R,5,0),IF($LB40=30%,VLOOKUP($GO40,'Jan-2026 rates'!$L:$R,6,0),IF($LB40=100%,VLOOKUP($GO40,'Jan-2026 rates'!$L:$R,7,0),IF($LB40=60%,VLOOKUP($GO40,'Jan-2026 rates'!$L:$S,8,0),IF($LB40=80%,VLOOKUP($GO40,'Jan-2026 rates'!L:T,9,0),0))))))))</f>
        <v>0</v>
      </c>
      <c r="GR40" s="412"/>
      <c r="GS40" s="409"/>
      <c r="GT40" s="411">
        <f>IF(GS40=0,0,IF($LB40=70%,VLOOKUP($GO40,'Jan-2026 rates'!$L:$R,4,0),IF($LB40=65%,VLOOKUP($GO40,'Jan-2026 rates'!$L:$R,4,0),IF($LB40=40%,VLOOKUP($GO40,'Jan-2026 rates'!$L:$R,5,0),IF($LB40=30%,VLOOKUP($GO40,'Jan-2026 rates'!$L:$R,6,0),IF($LB40=100%,VLOOKUP($GO40,'Jan-2026 rates'!$L:$R,7,0),IF($LB40=60%,VLOOKUP($GO40,'Jan-2026 rates'!$L:$S,8,0),IF($LB40=80%,VLOOKUP($GO40,'Jan-2026 rates'!L:T,9,0),0))))))))</f>
        <v>0</v>
      </c>
      <c r="GU40" s="413" t="s">
        <v>1246</v>
      </c>
      <c r="GV40" s="413" t="s">
        <v>1921</v>
      </c>
      <c r="GW40" s="412"/>
      <c r="GX40" s="412"/>
      <c r="GY40" s="412"/>
      <c r="GZ40" s="412"/>
      <c r="HA40" s="412"/>
      <c r="HB40" s="412"/>
      <c r="HC40" s="409">
        <v>10</v>
      </c>
      <c r="HD40" s="398">
        <f>IF(HC40=0,0,IF(LEN(GU40)=11,_xlfn.XLOOKUP(GU40,'Dispensed Ink Rates'!C:C,'Dispensed Ink Rates'!CS:CS),VLOOKUP(GU40,'Jan-2026 rates'!$E:$F,2,0)))</f>
        <v>0</v>
      </c>
      <c r="HE40" s="409">
        <v>7</v>
      </c>
      <c r="HF40" s="398">
        <f>IF(HE40=0,0,IF(LEN(GV40)=11,_xlfn.XLOOKUP(GV40,'Dispensed Ink Rates'!C:C,'Dispensed Ink Rates'!CS:CS),VLOOKUP(GV40,'Jan-2026 rates'!$E:$F,2,0)))</f>
        <v>0</v>
      </c>
      <c r="HG40" s="409"/>
      <c r="HH40" s="398">
        <f>IF(HG40=0,0,IF(LEN(GW40)=11,_xlfn.XLOOKUP(GW40,'Dispensed Ink Rates'!C:C,'Dispensed Ink Rates'!CS:CS),VLOOKUP(GW40,'Jan-2026 rates'!$E:$F,2,0)))</f>
        <v>0</v>
      </c>
      <c r="HI40" s="409"/>
      <c r="HJ40" s="398">
        <f>IF(HI40=0,0,IF(LEN(GX40)=11,_xlfn.XLOOKUP(GX40,'Dispensed Ink Rates'!C:C,'Dispensed Ink Rates'!CS:CS),VLOOKUP(GX40,'Jan-2026 rates'!$E:$F,2,0)))</f>
        <v>0</v>
      </c>
      <c r="HK40" s="409"/>
      <c r="HL40" s="398">
        <f>IF(HK40=0,0,IF(LEN(GY40)=11,_xlfn.XLOOKUP(GY40,'Dispensed Ink Rates'!C:C,'Dispensed Ink Rates'!CS:CS),VLOOKUP(GY40,'Jan-2026 rates'!$E:$F,2,0)))</f>
        <v>0</v>
      </c>
      <c r="HM40" s="409"/>
      <c r="HN40" s="398">
        <f>IF(HM40=0,0,IF(LEN(GZ40)=11,_xlfn.XLOOKUP(GZ40,'Dispensed Ink Rates'!C:C,'Dispensed Ink Rates'!CS:CS),VLOOKUP(GZ40,'Jan-2026 rates'!$E:$F,2,0)))</f>
        <v>0</v>
      </c>
      <c r="HO40" s="409"/>
      <c r="HP40" s="398">
        <f>IF(HO40=0,0,IF(LEN(HA40)=11,_xlfn.XLOOKUP(HA40,'Dispensed Ink Rates'!C:C,'Dispensed Ink Rates'!CS:CS),VLOOKUP(HA40,'Jan-2026 rates'!$E:$F,2,0)))</f>
        <v>0</v>
      </c>
      <c r="HQ40" s="409"/>
      <c r="HR40" s="398">
        <f>IF(HQ40=0,0,IF(LEN(HB40)=11,_xlfn.XLOOKUP(HB40,'Dispensed Ink Rates'!C:C,'Dispensed Ink Rates'!CS:CS),VLOOKUP(HB40,'Jan-2026 rates'!$E:$F,2,0)))</f>
        <v>0</v>
      </c>
      <c r="HS40" s="409" t="s">
        <v>1881</v>
      </c>
      <c r="HT40" s="409">
        <v>24</v>
      </c>
      <c r="HU40" s="411">
        <f t="shared" si="21"/>
        <v>0</v>
      </c>
      <c r="HV40" s="411">
        <f t="shared" si="22"/>
        <v>22.333333333333329</v>
      </c>
      <c r="HW40" s="414">
        <f t="shared" si="23"/>
        <v>0</v>
      </c>
      <c r="HX40" s="405" t="s">
        <v>545</v>
      </c>
      <c r="HY40" s="409" t="s">
        <v>2785</v>
      </c>
      <c r="HZ40" s="420" t="str">
        <f t="shared" si="24"/>
        <v>ToyoLi - YELLOW</v>
      </c>
      <c r="IA40" s="409">
        <v>25</v>
      </c>
      <c r="IB40" s="411">
        <f>IF(IA40=0,0,IF($LB40=70%,VLOOKUP($HZ40,'Jan-2026 rates'!$L:$R,4,0),IF($LB40=65%,VLOOKUP($HZ40,'Jan-2026 rates'!$L:$R,4,0),IF($LB40=40%,VLOOKUP($HZ40,'Jan-2026 rates'!$L:$R,5,0),IF($LB40=30%,VLOOKUP($HZ40,'Jan-2026 rates'!$L:$R,6,0),IF($LB40=100%,VLOOKUP($HZ40,'Jan-2026 rates'!$L:$R,7,0),IF($LB40=60%,VLOOKUP($HZ40,'Jan-2026 rates'!$L:$S,8,0),IF($LB40=80%,VLOOKUP($HZ40,'Jan-2026 rates'!L:T,9,0),0))))))))</f>
        <v>0</v>
      </c>
      <c r="IC40" s="412"/>
      <c r="ID40" s="409"/>
      <c r="IE40" s="411">
        <f>IF(ID40=0,0,IF($LB40=70%,VLOOKUP($HZ40,'Jan-2026 rates'!$L:$R,4,0),IF($LB40=65%,VLOOKUP($HZ40,'Jan-2026 rates'!$L:$R,4,0),IF($LB40=40%,VLOOKUP($HZ40,'Jan-2026 rates'!$L:$R,5,0),IF($LB40=30%,VLOOKUP($HZ40,'Jan-2026 rates'!$L:$R,6,0),IF($LB40=100%,VLOOKUP($HZ40,'Jan-2026 rates'!$L:$R,7,0),IF($LB40=60%,VLOOKUP($HZ40,'Jan-2026 rates'!$L:$S,8,0),IF($LB40=80%,VLOOKUP($HZ40,'Jan-2026 rates'!L:T,9,0),0))))))))</f>
        <v>0</v>
      </c>
      <c r="IF40" s="412" t="s">
        <v>1247</v>
      </c>
      <c r="IG40" s="413" t="s">
        <v>1921</v>
      </c>
      <c r="IH40" s="412"/>
      <c r="II40" s="412"/>
      <c r="IJ40" s="412"/>
      <c r="IK40" s="412"/>
      <c r="IL40" s="412"/>
      <c r="IM40" s="412"/>
      <c r="IN40" s="409">
        <v>10</v>
      </c>
      <c r="IO40" s="398">
        <f>IF(IN40=0,0,IF(LEN(IF40)=11,_xlfn.XLOOKUP(IF40,'Dispensed Ink Rates'!C:C,'Dispensed Ink Rates'!CS:CS),VLOOKUP(IF40,'Jan-2026 rates'!$E:$F,2,0)))</f>
        <v>0</v>
      </c>
      <c r="IP40" s="409">
        <v>6</v>
      </c>
      <c r="IQ40" s="398">
        <f>IF(IP40=0,0,IF(LEN(IG40)=11,_xlfn.XLOOKUP(IG40,'Dispensed Ink Rates'!C:C,'Dispensed Ink Rates'!CS:CS),VLOOKUP(IG40,'Jan-2026 rates'!$E:$F,2,0)))</f>
        <v>0</v>
      </c>
      <c r="IR40" s="409"/>
      <c r="IS40" s="398">
        <f>IF(IR40=0,0,IF(LEN(IH40)=11,_xlfn.XLOOKUP(IH40,'Dispensed Ink Rates'!C:C,'Dispensed Ink Rates'!CS:CS),VLOOKUP(IH40,'Jan-2026 rates'!$E:$F,2,0)))</f>
        <v>0</v>
      </c>
      <c r="IT40" s="409"/>
      <c r="IU40" s="398">
        <f>IF(IT40=0,0,IF(LEN(II40)=11,_xlfn.XLOOKUP(II40,'Dispensed Ink Rates'!C:C,'Dispensed Ink Rates'!CS:CS),VLOOKUP(II40,'Jan-2026 rates'!$E:$F,2,0)))</f>
        <v>0</v>
      </c>
      <c r="IV40" s="409"/>
      <c r="IW40" s="398">
        <f>IF(IV40=0,0,IF(LEN(IJ40)=11,_xlfn.XLOOKUP(IJ40,'Dispensed Ink Rates'!C:C,'Dispensed Ink Rates'!CS:CS),VLOOKUP(IJ40,'Jan-2026 rates'!$E:$F,2,0)))</f>
        <v>0</v>
      </c>
      <c r="IX40" s="409"/>
      <c r="IY40" s="398">
        <f>IF(IX40=0,0,IF(LEN(IK40)=11,_xlfn.XLOOKUP(IK40,'Dispensed Ink Rates'!C:C,'Dispensed Ink Rates'!CS:CS),VLOOKUP(IK40,'Jan-2026 rates'!$E:$F,2,0)))</f>
        <v>0</v>
      </c>
      <c r="IZ40" s="409"/>
      <c r="JA40" s="398">
        <f>IF(IZ40=0,0,IF(LEN(IL40)=11,_xlfn.XLOOKUP(IL40,'Dispensed Ink Rates'!C:C,'Dispensed Ink Rates'!CS:CS),VLOOKUP(IL40,'Jan-2026 rates'!$E:$F,2,0)))</f>
        <v>0</v>
      </c>
      <c r="JB40" s="409"/>
      <c r="JC40" s="398">
        <f>IF(JB40=0,0,IF(LEN(IM40)=11,_xlfn.XLOOKUP(IM40,'Dispensed Ink Rates'!C:C,'Dispensed Ink Rates'!CS:CS),VLOOKUP(IM40,'Jan-2026 rates'!$E:$F,2,0)))</f>
        <v>0</v>
      </c>
      <c r="JD40" s="409" t="s">
        <v>1881</v>
      </c>
      <c r="JE40" s="409">
        <v>29</v>
      </c>
      <c r="JF40" s="411">
        <f t="shared" si="25"/>
        <v>0</v>
      </c>
      <c r="JG40" s="411">
        <f t="shared" si="26"/>
        <v>21.666666666666664</v>
      </c>
      <c r="JH40" s="410">
        <f t="shared" si="27"/>
        <v>0</v>
      </c>
      <c r="JI40" s="405" t="s">
        <v>856</v>
      </c>
      <c r="JJ40" s="409" t="s">
        <v>2786</v>
      </c>
      <c r="JK40" s="420" t="str">
        <f t="shared" si="28"/>
        <v>ToyoLi - WHITE</v>
      </c>
      <c r="JL40" s="409">
        <v>24</v>
      </c>
      <c r="JM40" s="411">
        <f>IF(JL40=0,0,IF($LB40=70%,VLOOKUP($JK40,'Jan-2026 rates'!$L:$R,4,0),IF($LB40=65%,VLOOKUP($JK40,'Jan-2026 rates'!$L:$R,4,0),IF($LB40=40%,VLOOKUP($JK40,'Jan-2026 rates'!$L:$R,5,0),IF($LB40=30%,VLOOKUP($JK40,'Jan-2026 rates'!$L:$R,6,0),IF($LB40=100%,VLOOKUP($JK40,'Jan-2026 rates'!$L:$R,7,0),IF($LB40=60%,VLOOKUP($JK40,'Jan-2026 rates'!$L:$S,8,0),IF($LB40=80%,VLOOKUP($JK40,'Jan-2026 rates'!L:T,9,0),0))))))))</f>
        <v>0</v>
      </c>
      <c r="JN40" s="412"/>
      <c r="JO40" s="409"/>
      <c r="JP40" s="411">
        <f>IF(JO40=0,0,IF($LB40=70%,VLOOKUP($JK40,'Jan-2026 rates'!$L:$R,4,0),IF($LB40=65%,VLOOKUP($JK40,'Jan-2026 rates'!$L:$R,4,0),IF($LB40=40%,VLOOKUP($JK40,'Jan-2026 rates'!$L:$R,5,0),IF($LB40=30%,VLOOKUP($JK40,'Jan-2026 rates'!$L:$R,6,0),IF($LB40=100%,VLOOKUP($JK40,'Jan-2026 rates'!$L:$R,7,0),IF($LB40=60%,VLOOKUP($JK40,'Jan-2026 rates'!$L:$S,8,0),IF($LB40=80%,VLOOKUP($JK40,'Jan-2026 rates'!L:T,9,0),0))))))))</f>
        <v>0</v>
      </c>
      <c r="JQ40" s="413" t="s">
        <v>1249</v>
      </c>
      <c r="JR40" s="412" t="s">
        <v>1122</v>
      </c>
      <c r="JS40" s="413"/>
      <c r="JT40" s="413"/>
      <c r="JU40" s="412"/>
      <c r="JV40" s="412"/>
      <c r="JW40" s="412"/>
      <c r="JX40" s="412"/>
      <c r="JY40" s="409">
        <v>25</v>
      </c>
      <c r="JZ40" s="398">
        <f>IF(JY40=0,0,IF(LEN(JQ40)=11,_xlfn.XLOOKUP(JQ40,'Dispensed Ink Rates'!C:C,'Dispensed Ink Rates'!CS:CS),VLOOKUP(JQ40,'Jan-2026 rates'!$E:$F,2,0)))</f>
        <v>0</v>
      </c>
      <c r="KA40" s="409">
        <v>6</v>
      </c>
      <c r="KB40" s="398">
        <f>IF(KA40=0,0,IF(LEN(JR40)=11,_xlfn.XLOOKUP(JR40,'Dispensed Ink Rates'!C:C,'Dispensed Ink Rates'!CS:CS),VLOOKUP(JR40,'Jan-2026 rates'!$E:$F,2,0)))</f>
        <v>0</v>
      </c>
      <c r="KC40" s="409"/>
      <c r="KD40" s="398">
        <f>IF(KC40=0,0,IF(LEN(JS40)=11,_xlfn.XLOOKUP(JS40,'Dispensed Ink Rates'!C:C,'Dispensed Ink Rates'!CS:CS),VLOOKUP(JS40,'Jan-2026 rates'!$E:$F,2,0)))</f>
        <v>0</v>
      </c>
      <c r="KE40" s="409"/>
      <c r="KF40" s="398">
        <f>IF(KE40=0,0,IF(LEN(JT40)=11,_xlfn.XLOOKUP(JT40,'Dispensed Ink Rates'!C:C,'Dispensed Ink Rates'!CS:CS),VLOOKUP(JT40,'Jan-2026 rates'!$E:$F,2,0)))</f>
        <v>0</v>
      </c>
      <c r="KG40" s="409"/>
      <c r="KH40" s="398">
        <f>IF(KG40=0,0,IF(LEN(JU40)=11,_xlfn.XLOOKUP(JU40,'Dispensed Ink Rates'!C:C,'Dispensed Ink Rates'!CS:CS),VLOOKUP(JU40,'Jan-2026 rates'!$E:$F,2,0)))</f>
        <v>0</v>
      </c>
      <c r="KI40" s="409"/>
      <c r="KJ40" s="398">
        <f>IF(KI40=0,0,IF(LEN(JV40)=11,_xlfn.XLOOKUP(JV40,'Dispensed Ink Rates'!C:C,'Dispensed Ink Rates'!CS:CS),VLOOKUP(JV40,'Jan-2026 rates'!$E:$F,2,0)))</f>
        <v>0</v>
      </c>
      <c r="KK40" s="409"/>
      <c r="KL40" s="398">
        <f>IF(KK40=0,0,IF(LEN(JW40)=11,_xlfn.XLOOKUP(JW40,'Dispensed Ink Rates'!C:C,'Dispensed Ink Rates'!CS:CS),VLOOKUP(JW40,'Jan-2026 rates'!$E:$F,2,0)))</f>
        <v>0</v>
      </c>
      <c r="KM40" s="428"/>
      <c r="KN40" s="398">
        <f>IF(KM40=0,0,IF(LEN(JX40)=11,_xlfn.XLOOKUP(JX40,'Dispensed Ink Rates'!C:C,'Dispensed Ink Rates'!CS:CS),VLOOKUP(JX40,'Jan-2026 rates'!$E:$F,2,0)))</f>
        <v>0</v>
      </c>
      <c r="KO40" s="409" t="s">
        <v>1881</v>
      </c>
      <c r="KP40" s="409">
        <v>25</v>
      </c>
      <c r="KQ40" s="411">
        <f t="shared" si="29"/>
        <v>0</v>
      </c>
      <c r="KR40" s="411">
        <f t="shared" si="30"/>
        <v>59</v>
      </c>
      <c r="KS40" s="410">
        <f t="shared" si="31"/>
        <v>0</v>
      </c>
      <c r="KT40" s="409">
        <v>5</v>
      </c>
      <c r="KU40" s="409">
        <v>10</v>
      </c>
      <c r="KV40" s="409">
        <v>5</v>
      </c>
      <c r="KW40" s="409">
        <v>5</v>
      </c>
      <c r="KX40" s="409">
        <v>5</v>
      </c>
      <c r="KY40" s="409">
        <v>10</v>
      </c>
      <c r="KZ40" s="409">
        <v>5</v>
      </c>
      <c r="LA40" s="409">
        <v>15</v>
      </c>
      <c r="LB40" s="415">
        <v>0.3</v>
      </c>
      <c r="LC40" s="415"/>
      <c r="LD40" s="415"/>
      <c r="LE40" s="415">
        <v>0.5</v>
      </c>
      <c r="LF40" s="415">
        <v>0.2</v>
      </c>
      <c r="LG40" s="409">
        <v>0</v>
      </c>
      <c r="LH40" s="409">
        <f>15+21+21+35+5+5+14</f>
        <v>116</v>
      </c>
      <c r="LI40" s="409">
        <v>0</v>
      </c>
      <c r="LJ40" s="409">
        <v>0</v>
      </c>
      <c r="LK40" s="416">
        <f t="shared" si="32"/>
        <v>116</v>
      </c>
      <c r="LL40" s="416">
        <f t="shared" si="33"/>
        <v>116</v>
      </c>
      <c r="LM40" s="417">
        <f t="shared" si="34"/>
        <v>34.799999999999997</v>
      </c>
      <c r="LN40" s="417">
        <f>VLOOKUP($LM$8,'Jan-2026 rates'!$H:$I,2,0)</f>
        <v>0</v>
      </c>
      <c r="LO40" s="417">
        <f t="shared" si="35"/>
        <v>0</v>
      </c>
      <c r="LP40" s="417">
        <f>VLOOKUP($LO$8,'Jan-2026 rates'!$H:$I,2,0)</f>
        <v>0</v>
      </c>
      <c r="LQ40" s="417">
        <f t="shared" si="36"/>
        <v>0</v>
      </c>
      <c r="LR40" s="417">
        <f>VLOOKUP($LQ$8,'Jan-2026 rates'!$H:$I,2,0)</f>
        <v>0</v>
      </c>
      <c r="LS40" s="417">
        <f t="shared" si="37"/>
        <v>58</v>
      </c>
      <c r="LT40" s="417">
        <f>VLOOKUP($LS$8,'Jan-2026 rates'!$H:$I,2,0)</f>
        <v>0</v>
      </c>
      <c r="LU40" s="417">
        <f t="shared" si="38"/>
        <v>23.200000000000003</v>
      </c>
      <c r="LV40" s="417">
        <f>VLOOKUP($LU$8,'Jan-2026 rates'!$H:$I,2,0)</f>
        <v>0</v>
      </c>
      <c r="LW40" s="417">
        <f t="shared" si="39"/>
        <v>0</v>
      </c>
      <c r="LX40" s="417">
        <f t="shared" si="40"/>
        <v>0</v>
      </c>
      <c r="LY40" s="418">
        <f t="shared" si="41"/>
        <v>0</v>
      </c>
      <c r="LZ40" s="417"/>
      <c r="MA40" s="435">
        <f t="shared" si="42"/>
        <v>126</v>
      </c>
      <c r="MB40" s="282">
        <f t="shared" si="43"/>
        <v>197.99999999999997</v>
      </c>
      <c r="MC40" s="283" t="s">
        <v>1968</v>
      </c>
      <c r="MD40" s="284" t="str">
        <f t="shared" si="44"/>
        <v>ToyoLiToyoLiToyoLiToyoLiToyoLiToyoLiToyoLiToyoLi</v>
      </c>
      <c r="ME40" s="293" t="str">
        <f t="shared" si="45"/>
        <v>+</v>
      </c>
      <c r="MF40" s="293" t="str">
        <f t="shared" si="46"/>
        <v>+</v>
      </c>
      <c r="MG40" s="293" t="str">
        <f t="shared" si="47"/>
        <v>+</v>
      </c>
      <c r="MH40" s="293" t="str">
        <f t="shared" si="48"/>
        <v>+</v>
      </c>
      <c r="MI40" s="293" t="str">
        <f t="shared" si="49"/>
        <v>+</v>
      </c>
      <c r="MJ40" s="293" t="str">
        <f t="shared" si="50"/>
        <v>+</v>
      </c>
      <c r="MK40" s="293" t="str">
        <f t="shared" si="51"/>
        <v>+</v>
      </c>
      <c r="ML40" s="293" t="str">
        <f t="shared" si="52"/>
        <v>+</v>
      </c>
      <c r="MM40" s="3" t="b">
        <f t="array" ref="MM40">OR(ME40:ML40="-")</f>
        <v>0</v>
      </c>
      <c r="MN40" s="285"/>
      <c r="MO40" s="401"/>
      <c r="MP40" s="286"/>
      <c r="MQ40" s="286"/>
      <c r="MR40" s="402"/>
      <c r="MS40" s="400"/>
      <c r="NH40" s="422"/>
      <c r="NJ40" s="421"/>
    </row>
    <row r="41" spans="1:374" s="1" customFormat="1" ht="16.5">
      <c r="A41" s="403">
        <v>46028</v>
      </c>
      <c r="B41" s="404" t="s">
        <v>1015</v>
      </c>
      <c r="C41" s="405" t="s">
        <v>2787</v>
      </c>
      <c r="D41" s="406" t="s">
        <v>1969</v>
      </c>
      <c r="E41" s="404">
        <v>302</v>
      </c>
      <c r="F41" s="407">
        <v>24700</v>
      </c>
      <c r="G41" s="407" t="s">
        <v>1016</v>
      </c>
      <c r="H41" s="408" t="s">
        <v>1017</v>
      </c>
      <c r="I41" s="409">
        <v>1.4</v>
      </c>
      <c r="J41" s="405" t="s">
        <v>543</v>
      </c>
      <c r="K41" s="404" t="s">
        <v>2788</v>
      </c>
      <c r="L41" s="419" t="str">
        <f t="shared" si="0"/>
        <v>ToyoLi - BLACK</v>
      </c>
      <c r="M41" s="404">
        <v>29</v>
      </c>
      <c r="N41" s="410">
        <f>IF(M41=0,0,IF($LB41=70%,VLOOKUP($L41,'Jan-2026 rates'!$L:$R,4,0),IF($LB41=65%,VLOOKUP($L41,'Jan-2026 rates'!$L:$R,4,0),IF($LB41=40%,VLOOKUP($L41,'Jan-2026 rates'!$L:$R,5,0),IF($LB41=30%,VLOOKUP($L41,'Jan-2026 rates'!$L:$R,6,0),IF($LB41=100%,VLOOKUP($L41,'Jan-2026 rates'!$L:$R,7,0),IF($LB41=60%,VLOOKUP($L41,'Jan-2026 rates'!$L:$S,8,0),IF($LB41=80%,VLOOKUP($L41,'Jan-2026 rates'!L:T,9,0),0))))))))</f>
        <v>0</v>
      </c>
      <c r="O41" s="406"/>
      <c r="P41" s="404"/>
      <c r="Q41" s="410">
        <f>IF(P41=0,0,IF($LB41=70%,VLOOKUP($L41,'Jan-2026 rates'!$L:$R,4,0),IF($LB41=65%,VLOOKUP($L41,'Jan-2026 rates'!$L:$R,4,0),IF($LB41=40%,VLOOKUP($L41,'Jan-2026 rates'!$L:$R,5,0),IF($LB41=30%,VLOOKUP($L41,'Jan-2026 rates'!$L:$R,6,0),IF($LB41=100%,VLOOKUP($L41,'Jan-2026 rates'!$L:$R,7,0),IF($LB41=60%,VLOOKUP($L41,'Jan-2026 rates'!$L:$S,8,0),IF($LB41=80%,VLOOKUP($L41,'Jan-2026 rates'!L:T,9,0),0))))))))</f>
        <v>0</v>
      </c>
      <c r="R41" s="406" t="s">
        <v>1252</v>
      </c>
      <c r="S41" s="406"/>
      <c r="T41" s="406"/>
      <c r="U41" s="406"/>
      <c r="V41" s="406"/>
      <c r="W41" s="406"/>
      <c r="X41" s="406"/>
      <c r="Y41" s="406"/>
      <c r="Z41" s="404">
        <v>4</v>
      </c>
      <c r="AA41" s="398">
        <f>IF(Z41=0,0,IF(LEN(R41)=11,_xlfn.XLOOKUP(R41,'Dispensed Ink Rates'!C:C,'Dispensed Ink Rates'!CS:CS),VLOOKUP(R41,'Jan-2026 rates'!$E:$F,2,0)))</f>
        <v>0</v>
      </c>
      <c r="AB41" s="404"/>
      <c r="AC41" s="398">
        <f>IF(AB41=0,0,IF(LEN(S41)=11,_xlfn.XLOOKUP(S41,'Dispensed Ink Rates'!C:C,'Dispensed Ink Rates'!CS:CS),VLOOKUP(S41,'Jan-2026 rates'!$E:$F,2,0)))</f>
        <v>0</v>
      </c>
      <c r="AD41" s="404"/>
      <c r="AE41" s="398">
        <f>IF(AD41=0,0,IF(LEN(T41)=11,_xlfn.XLOOKUP(T41,'Dispensed Ink Rates'!C:C,'Dispensed Ink Rates'!CS:CS),VLOOKUP(T41,'Jan-2026 rates'!$E:$F,2,0)))</f>
        <v>0</v>
      </c>
      <c r="AF41" s="404"/>
      <c r="AG41" s="398">
        <f>IF(AF41=0,0,IF(LEN(U41)=11,_xlfn.XLOOKUP(U41,'Dispensed Ink Rates'!C:C,'Dispensed Ink Rates'!CS:CS),VLOOKUP(U41,'Jan-2026 rates'!$E:$F,2,0)))</f>
        <v>0</v>
      </c>
      <c r="AH41" s="404"/>
      <c r="AI41" s="398">
        <f>IF(AH41=0,0,IF(LEN(V41)=11,_xlfn.XLOOKUP(V41,'Dispensed Ink Rates'!C:C,'Dispensed Ink Rates'!CS:CS),VLOOKUP(V41,'Jan-2026 rates'!$E:$F,2,0)))</f>
        <v>0</v>
      </c>
      <c r="AJ41" s="404"/>
      <c r="AK41" s="398">
        <f>IF(AJ41=0,0,IF(LEN(W41)=11,_xlfn.XLOOKUP(W41,'Dispensed Ink Rates'!C:C,'Dispensed Ink Rates'!CS:CS),VLOOKUP(W41,'Jan-2026 rates'!$E:$F,2,0)))</f>
        <v>0</v>
      </c>
      <c r="AL41" s="404"/>
      <c r="AM41" s="398">
        <f>IF(AL41=0,0,IF(LEN(X41)=11,_xlfn.XLOOKUP(X41,'Dispensed Ink Rates'!C:C,'Dispensed Ink Rates'!CS:CS),VLOOKUP(X41,'Jan-2026 rates'!$E:$F,2,0)))</f>
        <v>0</v>
      </c>
      <c r="AN41" s="404"/>
      <c r="AO41" s="398">
        <f>IF(AN41=0,0,IF(LEN(Y41)=11,_xlfn.XLOOKUP(Y41,'Dispensed Ink Rates'!C:C,'Dispensed Ink Rates'!CS:CS),VLOOKUP(Y41,'Jan-2026 rates'!$E:$F,2,0)))</f>
        <v>0</v>
      </c>
      <c r="AP41" s="409" t="s">
        <v>1881</v>
      </c>
      <c r="AQ41" s="409">
        <v>28</v>
      </c>
      <c r="AR41" s="410">
        <f t="shared" si="1"/>
        <v>0</v>
      </c>
      <c r="AS41" s="411">
        <f t="shared" si="2"/>
        <v>11.722222222222221</v>
      </c>
      <c r="AT41" s="410">
        <f t="shared" si="3"/>
        <v>0</v>
      </c>
      <c r="AU41" s="405" t="s">
        <v>543</v>
      </c>
      <c r="AV41" s="409" t="s">
        <v>2253</v>
      </c>
      <c r="AW41" s="420" t="str">
        <f t="shared" si="4"/>
        <v>ToyoLi - BLACK</v>
      </c>
      <c r="AX41" s="409">
        <v>7</v>
      </c>
      <c r="AY41" s="411">
        <f>IF(AX41=0,0,IF($LB41=70%,VLOOKUP($AW41,'Jan-2026 rates'!$L:$R,4,0),IF($LB41=65%,VLOOKUP($AW41,'Jan-2026 rates'!$L:$R,4,0),IF($LB41=40%,VLOOKUP($AW41,'Jan-2026 rates'!$L:$R,5,0),IF($LB41=30%,VLOOKUP($AW41,'Jan-2026 rates'!$L:$R,6,0),IF($LB41=100%,VLOOKUP($AW41,'Jan-2026 rates'!$L:$R,7,0),IF($LB41=60%,VLOOKUP($AW41,'Jan-2026 rates'!$L:$S,8,0),IF($LB41=80%,VLOOKUP($AW41,'Jan-2026 rates'!L:T,9,0),0))))))))</f>
        <v>0</v>
      </c>
      <c r="AZ41" s="412" t="s">
        <v>2789</v>
      </c>
      <c r="BA41" s="409">
        <f>16+10</f>
        <v>26</v>
      </c>
      <c r="BB41" s="411">
        <f>IF(BA41=0,0,IF($LB41=70%,VLOOKUP($AW41,'Jan-2026 rates'!$L:$R,4,0),IF($LB41=65%,VLOOKUP($AW41,'Jan-2026 rates'!$L:$R,4,0),IF($LB41=40%,VLOOKUP($AW41,'Jan-2026 rates'!$L:$R,5,0),IF($LB41=30%,VLOOKUP($AW41,'Jan-2026 rates'!$L:$R,6,0),IF($LB41=100%,VLOOKUP($AW41,'Jan-2026 rates'!$L:$R,7,0),IF($LB41=60%,VLOOKUP($AW41,'Jan-2026 rates'!$L:$S,8,0),IF($LB41=80%,VLOOKUP($AW41,'Jan-2026 rates'!L:T,9,0),0))))))))</f>
        <v>0</v>
      </c>
      <c r="BC41" s="413" t="s">
        <v>1246</v>
      </c>
      <c r="BD41" s="412" t="s">
        <v>1248</v>
      </c>
      <c r="BE41" s="412" t="s">
        <v>1252</v>
      </c>
      <c r="BF41" s="413"/>
      <c r="BG41" s="412"/>
      <c r="BH41" s="412"/>
      <c r="BI41" s="412"/>
      <c r="BJ41" s="412"/>
      <c r="BK41" s="409">
        <f>8+4</f>
        <v>12</v>
      </c>
      <c r="BL41" s="398">
        <f>IF(BK41=0,0,IF(LEN(BC41)=11,_xlfn.XLOOKUP(BC41,'Dispensed Ink Rates'!C:C,'Dispensed Ink Rates'!CS:CS),VLOOKUP(BC41,'Jan-2026 rates'!$E:$F,2,0)))</f>
        <v>0</v>
      </c>
      <c r="BM41" s="409">
        <f>10+5</f>
        <v>15</v>
      </c>
      <c r="BN41" s="398">
        <f>IF(BM41=0,0,IF(LEN(BD41)=11,_xlfn.XLOOKUP(BD41,'Dispensed Ink Rates'!C:C,'Dispensed Ink Rates'!CS:CS),VLOOKUP(BD41,'Jan-2026 rates'!$E:$F,2,0)))</f>
        <v>0</v>
      </c>
      <c r="BO41" s="409">
        <f>2+1</f>
        <v>3</v>
      </c>
      <c r="BP41" s="398">
        <f>IF(BO41=0,0,IF(LEN(BE41)=11,_xlfn.XLOOKUP(BE41,'Dispensed Ink Rates'!C:C,'Dispensed Ink Rates'!CS:CS),VLOOKUP(BE41,'Jan-2026 rates'!$E:$F,2,0)))</f>
        <v>0</v>
      </c>
      <c r="BQ41" s="409"/>
      <c r="BR41" s="398">
        <f>IF(BQ41=0,0,IF(LEN(BF41)=11,_xlfn.XLOOKUP(BF41,'Dispensed Ink Rates'!C:C,'Dispensed Ink Rates'!CS:CS),VLOOKUP(BF41,'Jan-2026 rates'!$E:$F,2,0)))</f>
        <v>0</v>
      </c>
      <c r="BS41" s="409"/>
      <c r="BT41" s="398">
        <f>IF(BS41=0,0,IF(LEN(BG41)=11,_xlfn.XLOOKUP(BG41,'Dispensed Ink Rates'!C:C,'Dispensed Ink Rates'!CS:CS),VLOOKUP(BG41,'Jan-2026 rates'!$E:$F,2,0)))</f>
        <v>0</v>
      </c>
      <c r="BU41" s="409"/>
      <c r="BV41" s="398">
        <f>IF(BU41=0,0,IF(LEN(BH41)=11,_xlfn.XLOOKUP(BH41,'Dispensed Ink Rates'!C:C,'Dispensed Ink Rates'!CS:CS),VLOOKUP(BH41,'Jan-2026 rates'!$E:$F,2,0)))</f>
        <v>0</v>
      </c>
      <c r="BW41" s="409"/>
      <c r="BX41" s="398">
        <f>IF(BW41=0,0,IF(LEN(BI41)=11,_xlfn.XLOOKUP(BI41,'Dispensed Ink Rates'!C:C,'Dispensed Ink Rates'!CS:CS),VLOOKUP(BI41,'Jan-2026 rates'!$E:$F,2,0)))</f>
        <v>0</v>
      </c>
      <c r="BY41" s="409"/>
      <c r="BZ41" s="398">
        <f>IF(BY41=0,0,IF(LEN(BJ41)=11,_xlfn.XLOOKUP(BJ41,'Dispensed Ink Rates'!C:C,'Dispensed Ink Rates'!CS:CS),VLOOKUP(BJ41,'Jan-2026 rates'!$E:$F,2,0)))</f>
        <v>0</v>
      </c>
      <c r="CA41" s="409" t="s">
        <v>1881</v>
      </c>
      <c r="CB41" s="409">
        <f>18+18+12+19</f>
        <v>67</v>
      </c>
      <c r="CC41" s="411">
        <f t="shared" si="5"/>
        <v>0</v>
      </c>
      <c r="CD41" s="411">
        <f t="shared" si="6"/>
        <v>16.166666666666657</v>
      </c>
      <c r="CE41" s="410">
        <f t="shared" si="7"/>
        <v>0</v>
      </c>
      <c r="CF41" s="404" t="s">
        <v>857</v>
      </c>
      <c r="CG41" s="409" t="s">
        <v>2790</v>
      </c>
      <c r="CH41" s="420" t="str">
        <f t="shared" si="8"/>
        <v>ToyoLi - RED</v>
      </c>
      <c r="CI41" s="409">
        <v>17</v>
      </c>
      <c r="CJ41" s="411">
        <f>IF(CI41=0,0,IF($LB41=70%,VLOOKUP($CH41,'Jan-2026 rates'!$L:$R,4,0),IF($LB41=65%,VLOOKUP($CH41,'Jan-2026 rates'!$L:$R,4,0),IF($LB41=40%,VLOOKUP($CH41,'Jan-2026 rates'!$L:$R,5,0),IF($LB41=30%,VLOOKUP($CH41,'Jan-2026 rates'!$L:$R,6,0),IF($LB41=100%,VLOOKUP($CH41,'Jan-2026 rates'!$L:$R,7,0),IF($LB41=60%,VLOOKUP($CH41,'Jan-2026 rates'!$L:$S,8,0),IF($LB41=80%,VLOOKUP($CH41,'Jan-2026 rates'!L:T,9,0),0))))))))</f>
        <v>0</v>
      </c>
      <c r="CK41" s="412"/>
      <c r="CL41" s="409"/>
      <c r="CM41" s="411">
        <f>IF(CL41=0,0,IF($LB41=70%,VLOOKUP($CH41,'Jan-2026 rates'!$L:$R,4,0),IF($LB41=65%,VLOOKUP($CH41,'Jan-2026 rates'!$L:$R,4,0),IF($LB41=40%,VLOOKUP($CH41,'Jan-2026 rates'!$L:$R,5,0),IF($LB41=30%,VLOOKUP($CH41,'Jan-2026 rates'!$L:$R,6,0),IF($LB41=100%,VLOOKUP($CH41,'Jan-2026 rates'!$L:$R,7,0),IF($LB41=60%,VLOOKUP($CH41,'Jan-2026 rates'!$L:$S,8,0),IF($LB41=80%,VLOOKUP($CH41,'Jan-2026 rates'!L:T,9,0),0))))))))</f>
        <v>0</v>
      </c>
      <c r="CN41" s="426" t="s">
        <v>1246</v>
      </c>
      <c r="CO41" s="427" t="s">
        <v>1248</v>
      </c>
      <c r="CP41" s="426"/>
      <c r="CQ41" s="426"/>
      <c r="CR41" s="428"/>
      <c r="CS41" s="428"/>
      <c r="CT41" s="428"/>
      <c r="CU41" s="428"/>
      <c r="CV41" s="409">
        <v>6</v>
      </c>
      <c r="CW41" s="398">
        <f>IF(CV41=0,0,IF(LEN(CN41)=11,_xlfn.XLOOKUP(CN41,'Dispensed Ink Rates'!C:C,'Dispensed Ink Rates'!CS:CS),VLOOKUP(CN41,'Jan-2026 rates'!$E:$F,2,0)))</f>
        <v>0</v>
      </c>
      <c r="CX41" s="409">
        <v>6</v>
      </c>
      <c r="CY41" s="398">
        <f>IF(CX41=0,0,IF(LEN(CO41)=11,_xlfn.XLOOKUP(CO41,'Dispensed Ink Rates'!C:C,'Dispensed Ink Rates'!CS:CS),VLOOKUP(CO41,'Jan-2026 rates'!$E:$F,2,0)))</f>
        <v>0</v>
      </c>
      <c r="CZ41" s="409"/>
      <c r="DA41" s="398">
        <f>IF(CZ41=0,0,IF(LEN(CP41)=11,_xlfn.XLOOKUP(CP41,'Dispensed Ink Rates'!C:C,'Dispensed Ink Rates'!CS:CS),VLOOKUP(CP41,'Jan-2026 rates'!$E:$F,2,0)))</f>
        <v>0</v>
      </c>
      <c r="DB41" s="409"/>
      <c r="DC41" s="398">
        <f>IF(DB41=0,0,IF(LEN(CQ41)=11,_xlfn.XLOOKUP(CQ41,'Dispensed Ink Rates'!C:C,'Dispensed Ink Rates'!CS:CS),VLOOKUP(CQ41,'Jan-2026 rates'!$E:$F,2,0)))</f>
        <v>0</v>
      </c>
      <c r="DD41" s="409"/>
      <c r="DE41" s="398">
        <f>IF(DD41=0,0,IF(LEN(CR41)=11,_xlfn.XLOOKUP(CR41,'Dispensed Ink Rates'!C:C,'Dispensed Ink Rates'!CS:CS),VLOOKUP(CR41,'Jan-2026 rates'!$E:$F,2,0)))</f>
        <v>0</v>
      </c>
      <c r="DF41" s="409"/>
      <c r="DG41" s="398">
        <f>IF(DF41=0,0,IF(LEN(CS41)=11,_xlfn.XLOOKUP(CS41,'Dispensed Ink Rates'!C:C,'Dispensed Ink Rates'!CS:CS),VLOOKUP(CS41,'Jan-2026 rates'!$E:$F,2,0)))</f>
        <v>0</v>
      </c>
      <c r="DH41" s="409"/>
      <c r="DI41" s="398">
        <f>IF(DH41=0,0,IF(LEN(CT41)=11,_xlfn.XLOOKUP(CT41,'Dispensed Ink Rates'!C:C,'Dispensed Ink Rates'!CS:CS),VLOOKUP(CT41,'Jan-2026 rates'!$E:$F,2,0)))</f>
        <v>0</v>
      </c>
      <c r="DJ41" s="409"/>
      <c r="DK41" s="398">
        <f>IF(DJ41=0,0,IF(LEN(CU41)=11,_xlfn.XLOOKUP(CU41,'Dispensed Ink Rates'!C:C,'Dispensed Ink Rates'!CS:CS),VLOOKUP(CU41,'Jan-2026 rates'!$E:$F,2,0)))</f>
        <v>0</v>
      </c>
      <c r="DL41" s="409" t="s">
        <v>1881</v>
      </c>
      <c r="DM41" s="409">
        <v>30</v>
      </c>
      <c r="DN41" s="411">
        <f t="shared" si="9"/>
        <v>0</v>
      </c>
      <c r="DO41" s="411">
        <f t="shared" si="10"/>
        <v>5.7222222222222214</v>
      </c>
      <c r="DP41" s="410">
        <f t="shared" si="11"/>
        <v>0</v>
      </c>
      <c r="DQ41" s="405" t="s">
        <v>547</v>
      </c>
      <c r="DR41" s="409" t="s">
        <v>2791</v>
      </c>
      <c r="DS41" s="420" t="str">
        <f t="shared" si="12"/>
        <v>ToyoLi - GREEN</v>
      </c>
      <c r="DT41" s="409">
        <v>18</v>
      </c>
      <c r="DU41" s="411">
        <f>IF(DT41=0,0,IF($LB41=70%,VLOOKUP($DS41,'Jan-2026 rates'!$L:$R,4,0),IF($LB41=65%,VLOOKUP($DS41,'Jan-2026 rates'!$L:$R,4,0),IF($LB41=40%,VLOOKUP($DS41,'Jan-2026 rates'!$L:$R,5,0),IF($LB41=30%,VLOOKUP($DS41,'Jan-2026 rates'!$L:$R,6,0),IF($LB41=100%,VLOOKUP($DS41,'Jan-2026 rates'!$L:$R,7,0),IF($LB41=60%,VLOOKUP($DS41,'Jan-2026 rates'!$L:$S,8,0),IF($LB41=80%,VLOOKUP($DS41,'Jan-2026 rates'!L:T,9,0),0))))))))</f>
        <v>0</v>
      </c>
      <c r="DV41" s="412"/>
      <c r="DW41" s="409"/>
      <c r="DX41" s="411">
        <f>IF(DW41=0,0,IF($LB41=70%,VLOOKUP($DS41,'Jan-2026 rates'!$L:$R,4,0),IF($LB41=65%,VLOOKUP($DS41,'Jan-2026 rates'!$L:$R,4,0),IF($LB41=40%,VLOOKUP($DS41,'Jan-2026 rates'!$L:$R,5,0),IF($LB41=30%,VLOOKUP($DS41,'Jan-2026 rates'!$L:$R,6,0),IF($LB41=100%,VLOOKUP($DS41,'Jan-2026 rates'!$L:$R,7,0),IF($LB41=60%,VLOOKUP($DS41,'Jan-2026 rates'!$L:$S,8,0),IF($LB41=80%,VLOOKUP($DS41,'Jan-2026 rates'!L:T,9,0),0))))))))</f>
        <v>0</v>
      </c>
      <c r="DY41" s="413" t="s">
        <v>1247</v>
      </c>
      <c r="DZ41" s="413" t="s">
        <v>1250</v>
      </c>
      <c r="EA41" s="412" t="s">
        <v>1921</v>
      </c>
      <c r="EB41" s="412"/>
      <c r="EC41" s="412"/>
      <c r="ED41" s="412"/>
      <c r="EE41" s="412"/>
      <c r="EF41" s="412"/>
      <c r="EG41" s="409">
        <v>2</v>
      </c>
      <c r="EH41" s="398">
        <f>IF(EG41=0,0,IF(LEN(DY41)=11,_xlfn.XLOOKUP(DY41,'Dispensed Ink Rates'!C:C,'Dispensed Ink Rates'!CS:CS),VLOOKUP(DY41,'Jan-2026 rates'!$E:$F,2,0)))</f>
        <v>0</v>
      </c>
      <c r="EI41" s="409">
        <v>1</v>
      </c>
      <c r="EJ41" s="398">
        <f>IF(EI41=0,0,IF(LEN(DZ41)=11,_xlfn.XLOOKUP(DZ41,'Dispensed Ink Rates'!C:C,'Dispensed Ink Rates'!CS:CS),VLOOKUP(DZ41,'Jan-2026 rates'!$E:$F,2,0)))</f>
        <v>0</v>
      </c>
      <c r="EK41" s="409">
        <v>2</v>
      </c>
      <c r="EL41" s="398">
        <f>IF(EK41=0,0,IF(LEN(EA41)=11,_xlfn.XLOOKUP(EA41,'Dispensed Ink Rates'!C:C,'Dispensed Ink Rates'!CS:CS),VLOOKUP(EA41,'Jan-2026 rates'!$E:$F,2,0)))</f>
        <v>0</v>
      </c>
      <c r="EM41" s="409"/>
      <c r="EN41" s="398">
        <f>IF(EM41=0,0,IF(LEN(EB41)=11,_xlfn.XLOOKUP(EB41,'Dispensed Ink Rates'!C:C,'Dispensed Ink Rates'!CS:CS),VLOOKUP(EB41,'Jan-2026 rates'!$E:$F,2,0)))</f>
        <v>0</v>
      </c>
      <c r="EO41" s="409"/>
      <c r="EP41" s="398">
        <f>IF(EO41=0,0,IF(LEN(EC41)=11,_xlfn.XLOOKUP(EC41,'Dispensed Ink Rates'!C:C,'Dispensed Ink Rates'!CS:CS),VLOOKUP(EC41,'Jan-2026 rates'!$E:$F,2,0)))</f>
        <v>0</v>
      </c>
      <c r="EQ41" s="409"/>
      <c r="ER41" s="398">
        <f>IF(EQ41=0,0,IF(LEN(ED41)=11,_xlfn.XLOOKUP(ED41,'Dispensed Ink Rates'!C:C,'Dispensed Ink Rates'!CS:CS),VLOOKUP(ED41,'Jan-2026 rates'!$E:$F,2,0)))</f>
        <v>0</v>
      </c>
      <c r="ES41" s="409"/>
      <c r="ET41" s="398">
        <f>IF(ES41=0,0,IF(LEN(EE41)=11,_xlfn.XLOOKUP(EE41,'Dispensed Ink Rates'!C:C,'Dispensed Ink Rates'!CS:CS),VLOOKUP(EE41,'Jan-2026 rates'!$E:$F,2,0)))</f>
        <v>0</v>
      </c>
      <c r="EU41" s="409"/>
      <c r="EV41" s="398">
        <f>IF(EU41=0,0,IF(LEN(EF41)=11,_xlfn.XLOOKUP(EF41,'Dispensed Ink Rates'!C:C,'Dispensed Ink Rates'!CS:CS),VLOOKUP(EF41,'Jan-2026 rates'!$E:$F,2,0)))</f>
        <v>0</v>
      </c>
      <c r="EW41" s="409" t="s">
        <v>1881</v>
      </c>
      <c r="EX41" s="409">
        <v>20</v>
      </c>
      <c r="EY41" s="411">
        <f t="shared" si="13"/>
        <v>0</v>
      </c>
      <c r="EZ41" s="411">
        <f t="shared" si="14"/>
        <v>9.7222222222222214</v>
      </c>
      <c r="FA41" s="410">
        <f t="shared" si="15"/>
        <v>0</v>
      </c>
      <c r="FB41" s="405" t="s">
        <v>855</v>
      </c>
      <c r="FC41" s="409" t="s">
        <v>2792</v>
      </c>
      <c r="FD41" s="420" t="str">
        <f t="shared" si="16"/>
        <v>ToyoLi - CYAN</v>
      </c>
      <c r="FE41" s="409">
        <v>27</v>
      </c>
      <c r="FF41" s="411">
        <f>IF(FE41=0,0,IF($LB41=70%,VLOOKUP($FD41,'Jan-2026 rates'!$L:$R,4,0),IF($LB41=65%,VLOOKUP($FD41,'Jan-2026 rates'!$L:$R,4,0),IF($LB41=40%,VLOOKUP($FD41,'Jan-2026 rates'!$L:$R,5,0),IF($LB41=30%,VLOOKUP($FD41,'Jan-2026 rates'!$L:$R,6,0),IF($LB41=100%,VLOOKUP($FD41,'Jan-2026 rates'!$L:$R,7,0),IF($LB41=60%,VLOOKUP($FD41,'Jan-2026 rates'!$L:$S,8,0),IF($LB41=80%,VLOOKUP($FD41,'Jan-2026 rates'!L:T,9,0),0))))))))</f>
        <v>0</v>
      </c>
      <c r="FG41" s="412"/>
      <c r="FH41" s="409"/>
      <c r="FI41" s="411">
        <f>IF(FH41=0,0,IF($LB41=70%,VLOOKUP($FD41,'Jan-2026 rates'!$L:$R,4,0),IF($LB41=65%,VLOOKUP($FD41,'Jan-2026 rates'!$L:$R,4,0),IF($LB41=40%,VLOOKUP($FD41,'Jan-2026 rates'!$L:$R,5,0),IF($LB41=30%,VLOOKUP($FD41,'Jan-2026 rates'!$L:$R,6,0),IF($LB41=100%,VLOOKUP($FD41,'Jan-2026 rates'!$L:$R,7,0),IF($LB41=60%,VLOOKUP($FD41,'Jan-2026 rates'!$L:$S,8,0),IF($LB41=80%,VLOOKUP($FD41,'Jan-2026 rates'!L:T,9,0),0))))))))</f>
        <v>0</v>
      </c>
      <c r="FJ41" s="413" t="s">
        <v>1921</v>
      </c>
      <c r="FK41" s="413"/>
      <c r="FL41" s="413"/>
      <c r="FM41" s="412"/>
      <c r="FN41" s="412"/>
      <c r="FO41" s="412"/>
      <c r="FP41" s="412"/>
      <c r="FQ41" s="412"/>
      <c r="FR41" s="409">
        <v>6</v>
      </c>
      <c r="FS41" s="398">
        <f>IF(FR41=0,0,IF(LEN(FJ41)=11,_xlfn.XLOOKUP(FJ41,'Dispensed Ink Rates'!C:C,'Dispensed Ink Rates'!CS:CS),VLOOKUP(FJ41,'Jan-2026 rates'!$E:$F,2,0)))</f>
        <v>0</v>
      </c>
      <c r="FT41" s="409"/>
      <c r="FU41" s="398">
        <f>IF(FT41=0,0,IF(LEN(FK41)=11,_xlfn.XLOOKUP(FK41,'Dispensed Ink Rates'!C:C,'Dispensed Ink Rates'!CS:CS),VLOOKUP(FK41,'Jan-2026 rates'!$E:$F,2,0)))</f>
        <v>0</v>
      </c>
      <c r="FV41" s="409"/>
      <c r="FW41" s="398">
        <f>IF(FV41=0,0,IF(LEN(FL41)=11,_xlfn.XLOOKUP(FL41,'Dispensed Ink Rates'!C:C,'Dispensed Ink Rates'!CS:CS),VLOOKUP(FL41,'Jan-2026 rates'!$E:$F,2,0)))</f>
        <v>0</v>
      </c>
      <c r="FX41" s="409"/>
      <c r="FY41" s="398">
        <f>IF(FX41=0,0,IF(LEN(FM41)=11,_xlfn.XLOOKUP(FM41,'Dispensed Ink Rates'!C:C,'Dispensed Ink Rates'!CS:CS),VLOOKUP(FM41,'Jan-2026 rates'!$E:$F,2,0)))</f>
        <v>0</v>
      </c>
      <c r="FZ41" s="409"/>
      <c r="GA41" s="398">
        <f>IF(FZ41=0,0,IF(LEN(FN41)=11,_xlfn.XLOOKUP(FN41,'Dispensed Ink Rates'!C:C,'Dispensed Ink Rates'!CS:CS),VLOOKUP(FN41,'Jan-2026 rates'!$E:$F,2,0)))</f>
        <v>0</v>
      </c>
      <c r="GB41" s="409"/>
      <c r="GC41" s="398">
        <f>IF(GB41=0,0,IF(LEN(FO41)=11,_xlfn.XLOOKUP(FO41,'Dispensed Ink Rates'!C:C,'Dispensed Ink Rates'!CS:CS),VLOOKUP(FO41,'Jan-2026 rates'!$E:$F,2,0)))</f>
        <v>0</v>
      </c>
      <c r="GD41" s="409"/>
      <c r="GE41" s="398">
        <f>IF(GD41=0,0,IF(LEN(FP41)=11,_xlfn.XLOOKUP(FP41,'Dispensed Ink Rates'!C:C,'Dispensed Ink Rates'!CS:CS),VLOOKUP(FP41,'Jan-2026 rates'!$E:$F,2,0)))</f>
        <v>0</v>
      </c>
      <c r="GF41" s="409"/>
      <c r="GG41" s="398">
        <f>IF(GF41=0,0,IF(LEN(FQ41)=11,_xlfn.XLOOKUP(FQ41,'Dispensed Ink Rates'!C:C,'Dispensed Ink Rates'!CS:CS),VLOOKUP(FQ41,'Jan-2026 rates'!$E:$F,2,0)))</f>
        <v>0</v>
      </c>
      <c r="GH41" s="409" t="s">
        <v>1881</v>
      </c>
      <c r="GI41" s="409">
        <v>28</v>
      </c>
      <c r="GJ41" s="411">
        <f t="shared" si="17"/>
        <v>0</v>
      </c>
      <c r="GK41" s="411">
        <f t="shared" si="18"/>
        <v>11.722222222222221</v>
      </c>
      <c r="GL41" s="410">
        <f t="shared" si="19"/>
        <v>0</v>
      </c>
      <c r="GM41" s="405" t="s">
        <v>544</v>
      </c>
      <c r="GN41" s="409" t="s">
        <v>2793</v>
      </c>
      <c r="GO41" s="420" t="str">
        <f t="shared" si="20"/>
        <v>ToyoLi - MAGENTA</v>
      </c>
      <c r="GP41" s="409">
        <v>24</v>
      </c>
      <c r="GQ41" s="411">
        <f>IF(GP41=0,0,IF($LB41=70%,VLOOKUP($GO41,'Jan-2026 rates'!$L:$R,4,0),IF($LB41=65%,VLOOKUP($GO41,'Jan-2026 rates'!$L:$R,4,0),IF($LB41=40%,VLOOKUP($GO41,'Jan-2026 rates'!$L:$R,5,0),IF($LB41=30%,VLOOKUP($GO41,'Jan-2026 rates'!$L:$R,6,0),IF($LB41=100%,VLOOKUP($GO41,'Jan-2026 rates'!$L:$R,7,0),IF($LB41=60%,VLOOKUP($GO41,'Jan-2026 rates'!$L:$S,8,0),IF($LB41=80%,VLOOKUP($GO41,'Jan-2026 rates'!L:T,9,0),0))))))))</f>
        <v>0</v>
      </c>
      <c r="GR41" s="412"/>
      <c r="GS41" s="409"/>
      <c r="GT41" s="411">
        <f>IF(GS41=0,0,IF($LB41=70%,VLOOKUP($GO41,'Jan-2026 rates'!$L:$R,4,0),IF($LB41=65%,VLOOKUP($GO41,'Jan-2026 rates'!$L:$R,4,0),IF($LB41=40%,VLOOKUP($GO41,'Jan-2026 rates'!$L:$R,5,0),IF($LB41=30%,VLOOKUP($GO41,'Jan-2026 rates'!$L:$R,6,0),IF($LB41=100%,VLOOKUP($GO41,'Jan-2026 rates'!$L:$R,7,0),IF($LB41=60%,VLOOKUP($GO41,'Jan-2026 rates'!$L:$S,8,0),IF($LB41=80%,VLOOKUP($GO41,'Jan-2026 rates'!L:T,9,0),0))))))))</f>
        <v>0</v>
      </c>
      <c r="GU41" s="413" t="s">
        <v>1246</v>
      </c>
      <c r="GV41" s="413"/>
      <c r="GW41" s="412"/>
      <c r="GX41" s="412"/>
      <c r="GY41" s="412"/>
      <c r="GZ41" s="412"/>
      <c r="HA41" s="412"/>
      <c r="HB41" s="412"/>
      <c r="HC41" s="409">
        <v>4</v>
      </c>
      <c r="HD41" s="398">
        <f>IF(HC41=0,0,IF(LEN(GU41)=11,_xlfn.XLOOKUP(GU41,'Dispensed Ink Rates'!C:C,'Dispensed Ink Rates'!CS:CS),VLOOKUP(GU41,'Jan-2026 rates'!$E:$F,2,0)))</f>
        <v>0</v>
      </c>
      <c r="HE41" s="409"/>
      <c r="HF41" s="398">
        <f>IF(HE41=0,0,IF(LEN(GV41)=11,_xlfn.XLOOKUP(GV41,'Dispensed Ink Rates'!C:C,'Dispensed Ink Rates'!CS:CS),VLOOKUP(GV41,'Jan-2026 rates'!$E:$F,2,0)))</f>
        <v>0</v>
      </c>
      <c r="HG41" s="409"/>
      <c r="HH41" s="398">
        <f>IF(HG41=0,0,IF(LEN(GW41)=11,_xlfn.XLOOKUP(GW41,'Dispensed Ink Rates'!C:C,'Dispensed Ink Rates'!CS:CS),VLOOKUP(GW41,'Jan-2026 rates'!$E:$F,2,0)))</f>
        <v>0</v>
      </c>
      <c r="HI41" s="409"/>
      <c r="HJ41" s="398">
        <f>IF(HI41=0,0,IF(LEN(GX41)=11,_xlfn.XLOOKUP(GX41,'Dispensed Ink Rates'!C:C,'Dispensed Ink Rates'!CS:CS),VLOOKUP(GX41,'Jan-2026 rates'!$E:$F,2,0)))</f>
        <v>0</v>
      </c>
      <c r="HK41" s="409"/>
      <c r="HL41" s="398">
        <f>IF(HK41=0,0,IF(LEN(GY41)=11,_xlfn.XLOOKUP(GY41,'Dispensed Ink Rates'!C:C,'Dispensed Ink Rates'!CS:CS),VLOOKUP(GY41,'Jan-2026 rates'!$E:$F,2,0)))</f>
        <v>0</v>
      </c>
      <c r="HM41" s="409"/>
      <c r="HN41" s="398">
        <f>IF(HM41=0,0,IF(LEN(GZ41)=11,_xlfn.XLOOKUP(GZ41,'Dispensed Ink Rates'!C:C,'Dispensed Ink Rates'!CS:CS),VLOOKUP(GZ41,'Jan-2026 rates'!$E:$F,2,0)))</f>
        <v>0</v>
      </c>
      <c r="HO41" s="409"/>
      <c r="HP41" s="398">
        <f>IF(HO41=0,0,IF(LEN(HA41)=11,_xlfn.XLOOKUP(HA41,'Dispensed Ink Rates'!C:C,'Dispensed Ink Rates'!CS:CS),VLOOKUP(HA41,'Jan-2026 rates'!$E:$F,2,0)))</f>
        <v>0</v>
      </c>
      <c r="HQ41" s="409"/>
      <c r="HR41" s="398">
        <f>IF(HQ41=0,0,IF(LEN(HB41)=11,_xlfn.XLOOKUP(HB41,'Dispensed Ink Rates'!C:C,'Dispensed Ink Rates'!CS:CS),VLOOKUP(HB41,'Jan-2026 rates'!$E:$F,2,0)))</f>
        <v>0</v>
      </c>
      <c r="HS41" s="409" t="s">
        <v>1881</v>
      </c>
      <c r="HT41" s="409">
        <v>27</v>
      </c>
      <c r="HU41" s="411">
        <f t="shared" si="21"/>
        <v>0</v>
      </c>
      <c r="HV41" s="411">
        <f t="shared" si="22"/>
        <v>7.7222222222222214</v>
      </c>
      <c r="HW41" s="414">
        <f t="shared" si="23"/>
        <v>0</v>
      </c>
      <c r="HX41" s="405" t="s">
        <v>545</v>
      </c>
      <c r="HY41" s="409" t="s">
        <v>2794</v>
      </c>
      <c r="HZ41" s="420" t="str">
        <f t="shared" si="24"/>
        <v>ToyoLi - YELLOW</v>
      </c>
      <c r="IA41" s="409">
        <v>25</v>
      </c>
      <c r="IB41" s="411">
        <f>IF(IA41=0,0,IF($LB41=70%,VLOOKUP($HZ41,'Jan-2026 rates'!$L:$R,4,0),IF($LB41=65%,VLOOKUP($HZ41,'Jan-2026 rates'!$L:$R,4,0),IF($LB41=40%,VLOOKUP($HZ41,'Jan-2026 rates'!$L:$R,5,0),IF($LB41=30%,VLOOKUP($HZ41,'Jan-2026 rates'!$L:$R,6,0),IF($LB41=100%,VLOOKUP($HZ41,'Jan-2026 rates'!$L:$R,7,0),IF($LB41=60%,VLOOKUP($HZ41,'Jan-2026 rates'!$L:$S,8,0),IF($LB41=80%,VLOOKUP($HZ41,'Jan-2026 rates'!L:T,9,0),0))))))))</f>
        <v>0</v>
      </c>
      <c r="IC41" s="412"/>
      <c r="ID41" s="409"/>
      <c r="IE41" s="411">
        <f>IF(ID41=0,0,IF($LB41=70%,VLOOKUP($HZ41,'Jan-2026 rates'!$L:$R,4,0),IF($LB41=65%,VLOOKUP($HZ41,'Jan-2026 rates'!$L:$R,4,0),IF($LB41=40%,VLOOKUP($HZ41,'Jan-2026 rates'!$L:$R,5,0),IF($LB41=30%,VLOOKUP($HZ41,'Jan-2026 rates'!$L:$R,6,0),IF($LB41=100%,VLOOKUP($HZ41,'Jan-2026 rates'!$L:$R,7,0),IF($LB41=60%,VLOOKUP($HZ41,'Jan-2026 rates'!$L:$S,8,0),IF($LB41=80%,VLOOKUP($HZ41,'Jan-2026 rates'!L:T,9,0),0))))))))</f>
        <v>0</v>
      </c>
      <c r="IF41" s="412" t="s">
        <v>1247</v>
      </c>
      <c r="IG41" s="413"/>
      <c r="IH41" s="412"/>
      <c r="II41" s="412"/>
      <c r="IJ41" s="412"/>
      <c r="IK41" s="412"/>
      <c r="IL41" s="412"/>
      <c r="IM41" s="412"/>
      <c r="IN41" s="409">
        <v>7</v>
      </c>
      <c r="IO41" s="398">
        <f>IF(IN41=0,0,IF(LEN(IF41)=11,_xlfn.XLOOKUP(IF41,'Dispensed Ink Rates'!C:C,'Dispensed Ink Rates'!CS:CS),VLOOKUP(IF41,'Jan-2026 rates'!$E:$F,2,0)))</f>
        <v>0</v>
      </c>
      <c r="IP41" s="409"/>
      <c r="IQ41" s="398">
        <f>IF(IP41=0,0,IF(LEN(IG41)=11,_xlfn.XLOOKUP(IG41,'Dispensed Ink Rates'!C:C,'Dispensed Ink Rates'!CS:CS),VLOOKUP(IG41,'Jan-2026 rates'!$E:$F,2,0)))</f>
        <v>0</v>
      </c>
      <c r="IR41" s="409"/>
      <c r="IS41" s="398">
        <f>IF(IR41=0,0,IF(LEN(IH41)=11,_xlfn.XLOOKUP(IH41,'Dispensed Ink Rates'!C:C,'Dispensed Ink Rates'!CS:CS),VLOOKUP(IH41,'Jan-2026 rates'!$E:$F,2,0)))</f>
        <v>0</v>
      </c>
      <c r="IT41" s="409"/>
      <c r="IU41" s="398">
        <f>IF(IT41=0,0,IF(LEN(II41)=11,_xlfn.XLOOKUP(II41,'Dispensed Ink Rates'!C:C,'Dispensed Ink Rates'!CS:CS),VLOOKUP(II41,'Jan-2026 rates'!$E:$F,2,0)))</f>
        <v>0</v>
      </c>
      <c r="IV41" s="409"/>
      <c r="IW41" s="398">
        <f>IF(IV41=0,0,IF(LEN(IJ41)=11,_xlfn.XLOOKUP(IJ41,'Dispensed Ink Rates'!C:C,'Dispensed Ink Rates'!CS:CS),VLOOKUP(IJ41,'Jan-2026 rates'!$E:$F,2,0)))</f>
        <v>0</v>
      </c>
      <c r="IX41" s="409"/>
      <c r="IY41" s="398">
        <f>IF(IX41=0,0,IF(LEN(IK41)=11,_xlfn.XLOOKUP(IK41,'Dispensed Ink Rates'!C:C,'Dispensed Ink Rates'!CS:CS),VLOOKUP(IK41,'Jan-2026 rates'!$E:$F,2,0)))</f>
        <v>0</v>
      </c>
      <c r="IZ41" s="409"/>
      <c r="JA41" s="398">
        <f>IF(IZ41=0,0,IF(LEN(IL41)=11,_xlfn.XLOOKUP(IL41,'Dispensed Ink Rates'!C:C,'Dispensed Ink Rates'!CS:CS),VLOOKUP(IL41,'Jan-2026 rates'!$E:$F,2,0)))</f>
        <v>0</v>
      </c>
      <c r="JB41" s="409"/>
      <c r="JC41" s="398">
        <f>IF(JB41=0,0,IF(LEN(IM41)=11,_xlfn.XLOOKUP(IM41,'Dispensed Ink Rates'!C:C,'Dispensed Ink Rates'!CS:CS),VLOOKUP(IM41,'Jan-2026 rates'!$E:$F,2,0)))</f>
        <v>0</v>
      </c>
      <c r="JD41" s="409" t="s">
        <v>1881</v>
      </c>
      <c r="JE41" s="409">
        <v>30</v>
      </c>
      <c r="JF41" s="411">
        <f t="shared" si="25"/>
        <v>0</v>
      </c>
      <c r="JG41" s="411">
        <f t="shared" si="26"/>
        <v>8.7222222222222214</v>
      </c>
      <c r="JH41" s="410">
        <f t="shared" si="27"/>
        <v>0</v>
      </c>
      <c r="JI41" s="405" t="s">
        <v>856</v>
      </c>
      <c r="JJ41" s="409" t="s">
        <v>2795</v>
      </c>
      <c r="JK41" s="420" t="str">
        <f t="shared" si="28"/>
        <v>ToyoLi - WHITE</v>
      </c>
      <c r="JL41" s="409">
        <v>25</v>
      </c>
      <c r="JM41" s="411">
        <f>IF(JL41=0,0,IF($LB41=70%,VLOOKUP($JK41,'Jan-2026 rates'!$L:$R,4,0),IF($LB41=65%,VLOOKUP($JK41,'Jan-2026 rates'!$L:$R,4,0),IF($LB41=40%,VLOOKUP($JK41,'Jan-2026 rates'!$L:$R,5,0),IF($LB41=30%,VLOOKUP($JK41,'Jan-2026 rates'!$L:$R,6,0),IF($LB41=100%,VLOOKUP($JK41,'Jan-2026 rates'!$L:$R,7,0),IF($LB41=60%,VLOOKUP($JK41,'Jan-2026 rates'!$L:$S,8,0),IF($LB41=80%,VLOOKUP($JK41,'Jan-2026 rates'!L:T,9,0),0))))))))</f>
        <v>0</v>
      </c>
      <c r="JN41" s="412"/>
      <c r="JO41" s="409"/>
      <c r="JP41" s="411">
        <f>IF(JO41=0,0,IF($LB41=70%,VLOOKUP($JK41,'Jan-2026 rates'!$L:$R,4,0),IF($LB41=65%,VLOOKUP($JK41,'Jan-2026 rates'!$L:$R,4,0),IF($LB41=40%,VLOOKUP($JK41,'Jan-2026 rates'!$L:$R,5,0),IF($LB41=30%,VLOOKUP($JK41,'Jan-2026 rates'!$L:$R,6,0),IF($LB41=100%,VLOOKUP($JK41,'Jan-2026 rates'!$L:$R,7,0),IF($LB41=60%,VLOOKUP($JK41,'Jan-2026 rates'!$L:$S,8,0),IF($LB41=80%,VLOOKUP($JK41,'Jan-2026 rates'!L:T,9,0),0))))))))</f>
        <v>0</v>
      </c>
      <c r="JQ41" s="413" t="s">
        <v>1249</v>
      </c>
      <c r="JR41" s="412" t="s">
        <v>1122</v>
      </c>
      <c r="JS41" s="413"/>
      <c r="JT41" s="413"/>
      <c r="JU41" s="412"/>
      <c r="JV41" s="412"/>
      <c r="JW41" s="412"/>
      <c r="JX41" s="412"/>
      <c r="JY41" s="409">
        <f>25+25+25</f>
        <v>75</v>
      </c>
      <c r="JZ41" s="398">
        <f>IF(JY41=0,0,IF(LEN(JQ41)=11,_xlfn.XLOOKUP(JQ41,'Dispensed Ink Rates'!C:C,'Dispensed Ink Rates'!CS:CS),VLOOKUP(JQ41,'Jan-2026 rates'!$E:$F,2,0)))</f>
        <v>0</v>
      </c>
      <c r="KA41" s="409">
        <v>7.32</v>
      </c>
      <c r="KB41" s="398">
        <f>IF(KA41=0,0,IF(LEN(JR41)=11,_xlfn.XLOOKUP(JR41,'Dispensed Ink Rates'!C:C,'Dispensed Ink Rates'!CS:CS),VLOOKUP(JR41,'Jan-2026 rates'!$E:$F,2,0)))</f>
        <v>0</v>
      </c>
      <c r="KC41" s="409"/>
      <c r="KD41" s="398">
        <f>IF(KC41=0,0,IF(LEN(JS41)=11,_xlfn.XLOOKUP(JS41,'Dispensed Ink Rates'!C:C,'Dispensed Ink Rates'!CS:CS),VLOOKUP(JS41,'Jan-2026 rates'!$E:$F,2,0)))</f>
        <v>0</v>
      </c>
      <c r="KE41" s="409"/>
      <c r="KF41" s="398">
        <f>IF(KE41=0,0,IF(LEN(JT41)=11,_xlfn.XLOOKUP(JT41,'Dispensed Ink Rates'!C:C,'Dispensed Ink Rates'!CS:CS),VLOOKUP(JT41,'Jan-2026 rates'!$E:$F,2,0)))</f>
        <v>0</v>
      </c>
      <c r="KG41" s="409"/>
      <c r="KH41" s="398">
        <f>IF(KG41=0,0,IF(LEN(JU41)=11,_xlfn.XLOOKUP(JU41,'Dispensed Ink Rates'!C:C,'Dispensed Ink Rates'!CS:CS),VLOOKUP(JU41,'Jan-2026 rates'!$E:$F,2,0)))</f>
        <v>0</v>
      </c>
      <c r="KI41" s="409"/>
      <c r="KJ41" s="398">
        <f>IF(KI41=0,0,IF(LEN(JV41)=11,_xlfn.XLOOKUP(JV41,'Dispensed Ink Rates'!C:C,'Dispensed Ink Rates'!CS:CS),VLOOKUP(JV41,'Jan-2026 rates'!$E:$F,2,0)))</f>
        <v>0</v>
      </c>
      <c r="KK41" s="409"/>
      <c r="KL41" s="398">
        <f>IF(KK41=0,0,IF(LEN(JW41)=11,_xlfn.XLOOKUP(JW41,'Dispensed Ink Rates'!C:C,'Dispensed Ink Rates'!CS:CS),VLOOKUP(JW41,'Jan-2026 rates'!$E:$F,2,0)))</f>
        <v>0</v>
      </c>
      <c r="KM41" s="428"/>
      <c r="KN41" s="398">
        <f>IF(KM41=0,0,IF(LEN(JX41)=11,_xlfn.XLOOKUP(JX41,'Dispensed Ink Rates'!C:C,'Dispensed Ink Rates'!CS:CS),VLOOKUP(JX41,'Jan-2026 rates'!$E:$F,2,0)))</f>
        <v>0</v>
      </c>
      <c r="KO41" s="409" t="s">
        <v>1881</v>
      </c>
      <c r="KP41" s="409">
        <v>24</v>
      </c>
      <c r="KQ41" s="411">
        <f t="shared" si="29"/>
        <v>0</v>
      </c>
      <c r="KR41" s="411">
        <f t="shared" si="30"/>
        <v>143.82</v>
      </c>
      <c r="KS41" s="410">
        <f t="shared" si="31"/>
        <v>0</v>
      </c>
      <c r="KT41" s="409">
        <v>5</v>
      </c>
      <c r="KU41" s="409">
        <v>15</v>
      </c>
      <c r="KV41" s="409">
        <v>5</v>
      </c>
      <c r="KW41" s="409">
        <v>5</v>
      </c>
      <c r="KX41" s="409">
        <v>5</v>
      </c>
      <c r="KY41" s="409">
        <v>5</v>
      </c>
      <c r="KZ41" s="409">
        <v>5</v>
      </c>
      <c r="LA41" s="409">
        <f>15+30</f>
        <v>45</v>
      </c>
      <c r="LB41" s="415">
        <v>0.3</v>
      </c>
      <c r="LC41" s="415"/>
      <c r="LD41" s="415"/>
      <c r="LE41" s="415">
        <v>0.5</v>
      </c>
      <c r="LF41" s="415">
        <v>0.2</v>
      </c>
      <c r="LG41" s="409">
        <v>0</v>
      </c>
      <c r="LH41" s="409">
        <f>45+30+12+20+6+8</f>
        <v>121</v>
      </c>
      <c r="LI41" s="409">
        <v>0</v>
      </c>
      <c r="LJ41" s="409">
        <v>0</v>
      </c>
      <c r="LK41" s="416">
        <f t="shared" si="32"/>
        <v>121</v>
      </c>
      <c r="LL41" s="416">
        <f t="shared" si="33"/>
        <v>121</v>
      </c>
      <c r="LM41" s="417">
        <f t="shared" si="34"/>
        <v>36.299999999999997</v>
      </c>
      <c r="LN41" s="417">
        <f>VLOOKUP($LM$8,'Jan-2026 rates'!$H:$I,2,0)</f>
        <v>0</v>
      </c>
      <c r="LO41" s="417">
        <f t="shared" si="35"/>
        <v>0</v>
      </c>
      <c r="LP41" s="417">
        <f>VLOOKUP($LO$8,'Jan-2026 rates'!$H:$I,2,0)</f>
        <v>0</v>
      </c>
      <c r="LQ41" s="417">
        <f t="shared" si="36"/>
        <v>0</v>
      </c>
      <c r="LR41" s="417">
        <f>VLOOKUP($LQ$8,'Jan-2026 rates'!$H:$I,2,0)</f>
        <v>0</v>
      </c>
      <c r="LS41" s="417">
        <f t="shared" si="37"/>
        <v>60.5</v>
      </c>
      <c r="LT41" s="417">
        <f>VLOOKUP($LS$8,'Jan-2026 rates'!$H:$I,2,0)</f>
        <v>0</v>
      </c>
      <c r="LU41" s="417">
        <f t="shared" si="38"/>
        <v>24.200000000000003</v>
      </c>
      <c r="LV41" s="417">
        <f>VLOOKUP($LU$8,'Jan-2026 rates'!$H:$I,2,0)</f>
        <v>0</v>
      </c>
      <c r="LW41" s="417">
        <f t="shared" si="39"/>
        <v>0</v>
      </c>
      <c r="LX41" s="417">
        <f t="shared" si="40"/>
        <v>0</v>
      </c>
      <c r="LY41" s="418">
        <f t="shared" si="41"/>
        <v>0</v>
      </c>
      <c r="LZ41" s="417"/>
      <c r="MA41" s="435">
        <f t="shared" si="42"/>
        <v>150.32</v>
      </c>
      <c r="MB41" s="282">
        <f t="shared" si="43"/>
        <v>215.32</v>
      </c>
      <c r="MC41" s="283" t="s">
        <v>1969</v>
      </c>
      <c r="MD41" s="284" t="str">
        <f t="shared" si="44"/>
        <v>ToyoLiToyoLiToyoLiToyoLiToyoLiToyoLiToyoLiToyoLi</v>
      </c>
      <c r="ME41" s="293" t="str">
        <f t="shared" si="45"/>
        <v>+</v>
      </c>
      <c r="MF41" s="293" t="str">
        <f t="shared" si="46"/>
        <v>+</v>
      </c>
      <c r="MG41" s="293" t="str">
        <f t="shared" si="47"/>
        <v>+</v>
      </c>
      <c r="MH41" s="293" t="str">
        <f t="shared" si="48"/>
        <v>+</v>
      </c>
      <c r="MI41" s="293" t="str">
        <f t="shared" si="49"/>
        <v>+</v>
      </c>
      <c r="MJ41" s="293" t="str">
        <f t="shared" si="50"/>
        <v>+</v>
      </c>
      <c r="MK41" s="293" t="str">
        <f t="shared" si="51"/>
        <v>+</v>
      </c>
      <c r="ML41" s="293" t="str">
        <f t="shared" si="52"/>
        <v>+</v>
      </c>
      <c r="MM41" s="3" t="b">
        <f t="array" ref="MM41">OR(ME41:ML41="-")</f>
        <v>0</v>
      </c>
      <c r="MN41" s="285"/>
      <c r="MO41" s="401"/>
      <c r="MP41" s="286"/>
      <c r="MQ41" s="286"/>
      <c r="MR41" s="402"/>
      <c r="MS41" s="400"/>
      <c r="NH41" s="422"/>
      <c r="NJ41" s="421"/>
    </row>
    <row r="42" spans="1:374" s="1" customFormat="1" ht="16.5">
      <c r="A42" s="403">
        <v>46028</v>
      </c>
      <c r="B42" s="404" t="s">
        <v>1015</v>
      </c>
      <c r="C42" s="405" t="s">
        <v>2796</v>
      </c>
      <c r="D42" s="406" t="s">
        <v>1970</v>
      </c>
      <c r="E42" s="404">
        <v>293</v>
      </c>
      <c r="F42" s="407">
        <v>18800</v>
      </c>
      <c r="G42" s="407" t="s">
        <v>1016</v>
      </c>
      <c r="H42" s="408" t="s">
        <v>1017</v>
      </c>
      <c r="I42" s="409">
        <v>2</v>
      </c>
      <c r="J42" s="405" t="s">
        <v>546</v>
      </c>
      <c r="K42" s="404" t="s">
        <v>2797</v>
      </c>
      <c r="L42" s="419" t="str">
        <f t="shared" si="0"/>
        <v>ToyoLi - REFLEX BLUE</v>
      </c>
      <c r="M42" s="404">
        <v>27</v>
      </c>
      <c r="N42" s="410">
        <f>IF(M42=0,0,IF($LB42=70%,VLOOKUP($L42,'Jan-2026 rates'!$L:$R,4,0),IF($LB42=65%,VLOOKUP($L42,'Jan-2026 rates'!$L:$R,4,0),IF($LB42=40%,VLOOKUP($L42,'Jan-2026 rates'!$L:$R,5,0),IF($LB42=30%,VLOOKUP($L42,'Jan-2026 rates'!$L:$R,6,0),IF($LB42=100%,VLOOKUP($L42,'Jan-2026 rates'!$L:$R,7,0),IF($LB42=60%,VLOOKUP($L42,'Jan-2026 rates'!$L:$S,8,0),IF($LB42=80%,VLOOKUP($L42,'Jan-2026 rates'!L:T,9,0),0))))))))</f>
        <v>0</v>
      </c>
      <c r="O42" s="406"/>
      <c r="P42" s="404"/>
      <c r="Q42" s="410">
        <f>IF(P42=0,0,IF($LB42=70%,VLOOKUP($L42,'Jan-2026 rates'!$L:$R,4,0),IF($LB42=65%,VLOOKUP($L42,'Jan-2026 rates'!$L:$R,4,0),IF($LB42=40%,VLOOKUP($L42,'Jan-2026 rates'!$L:$R,5,0),IF($LB42=30%,VLOOKUP($L42,'Jan-2026 rates'!$L:$R,6,0),IF($LB42=100%,VLOOKUP($L42,'Jan-2026 rates'!$L:$R,7,0),IF($LB42=60%,VLOOKUP($L42,'Jan-2026 rates'!$L:$S,8,0),IF($LB42=80%,VLOOKUP($L42,'Jan-2026 rates'!L:T,9,0),0))))))))</f>
        <v>0</v>
      </c>
      <c r="R42" s="406" t="s">
        <v>1252</v>
      </c>
      <c r="S42" s="406" t="s">
        <v>1246</v>
      </c>
      <c r="T42" s="406"/>
      <c r="U42" s="406"/>
      <c r="V42" s="406"/>
      <c r="W42" s="406"/>
      <c r="X42" s="406"/>
      <c r="Y42" s="406"/>
      <c r="Z42" s="404">
        <v>2</v>
      </c>
      <c r="AA42" s="398">
        <f>IF(Z42=0,0,IF(LEN(R42)=11,_xlfn.XLOOKUP(R42,'Dispensed Ink Rates'!C:C,'Dispensed Ink Rates'!CS:CS),VLOOKUP(R42,'Jan-2026 rates'!$E:$F,2,0)))</f>
        <v>0</v>
      </c>
      <c r="AB42" s="404">
        <v>1</v>
      </c>
      <c r="AC42" s="398">
        <f>IF(AB42=0,0,IF(LEN(S42)=11,_xlfn.XLOOKUP(S42,'Dispensed Ink Rates'!C:C,'Dispensed Ink Rates'!CS:CS),VLOOKUP(S42,'Jan-2026 rates'!$E:$F,2,0)))</f>
        <v>0</v>
      </c>
      <c r="AD42" s="404"/>
      <c r="AE42" s="398">
        <f>IF(AD42=0,0,IF(LEN(T42)=11,_xlfn.XLOOKUP(T42,'Dispensed Ink Rates'!C:C,'Dispensed Ink Rates'!CS:CS),VLOOKUP(T42,'Jan-2026 rates'!$E:$F,2,0)))</f>
        <v>0</v>
      </c>
      <c r="AF42" s="404"/>
      <c r="AG42" s="398">
        <f>IF(AF42=0,0,IF(LEN(U42)=11,_xlfn.XLOOKUP(U42,'Dispensed Ink Rates'!C:C,'Dispensed Ink Rates'!CS:CS),VLOOKUP(U42,'Jan-2026 rates'!$E:$F,2,0)))</f>
        <v>0</v>
      </c>
      <c r="AH42" s="404"/>
      <c r="AI42" s="398">
        <f>IF(AH42=0,0,IF(LEN(V42)=11,_xlfn.XLOOKUP(V42,'Dispensed Ink Rates'!C:C,'Dispensed Ink Rates'!CS:CS),VLOOKUP(V42,'Jan-2026 rates'!$E:$F,2,0)))</f>
        <v>0</v>
      </c>
      <c r="AJ42" s="404"/>
      <c r="AK42" s="398">
        <f>IF(AJ42=0,0,IF(LEN(W42)=11,_xlfn.XLOOKUP(W42,'Dispensed Ink Rates'!C:C,'Dispensed Ink Rates'!CS:CS),VLOOKUP(W42,'Jan-2026 rates'!$E:$F,2,0)))</f>
        <v>0</v>
      </c>
      <c r="AL42" s="404"/>
      <c r="AM42" s="398">
        <f>IF(AL42=0,0,IF(LEN(X42)=11,_xlfn.XLOOKUP(X42,'Dispensed Ink Rates'!C:C,'Dispensed Ink Rates'!CS:CS),VLOOKUP(X42,'Jan-2026 rates'!$E:$F,2,0)))</f>
        <v>0</v>
      </c>
      <c r="AN42" s="404"/>
      <c r="AO42" s="398">
        <f>IF(AN42=0,0,IF(LEN(Y42)=11,_xlfn.XLOOKUP(Y42,'Dispensed Ink Rates'!C:C,'Dispensed Ink Rates'!CS:CS),VLOOKUP(Y42,'Jan-2026 rates'!$E:$F,2,0)))</f>
        <v>0</v>
      </c>
      <c r="AP42" s="409" t="s">
        <v>1881</v>
      </c>
      <c r="AQ42" s="409">
        <v>26</v>
      </c>
      <c r="AR42" s="410">
        <f t="shared" si="1"/>
        <v>0</v>
      </c>
      <c r="AS42" s="411">
        <f t="shared" si="2"/>
        <v>15.037735849056602</v>
      </c>
      <c r="AT42" s="410">
        <f t="shared" si="3"/>
        <v>0</v>
      </c>
      <c r="AU42" s="405" t="s">
        <v>855</v>
      </c>
      <c r="AV42" s="409"/>
      <c r="AW42" s="420"/>
      <c r="AX42" s="409"/>
      <c r="AY42" s="411">
        <f>IF(AX42=0,0,IF($LB42=70%,VLOOKUP($AW42,'Jan-2026 rates'!$L:$R,4,0),IF($LB42=65%,VLOOKUP($AW42,'Jan-2026 rates'!$L:$R,4,0),IF($LB42=40%,VLOOKUP($AW42,'Jan-2026 rates'!$L:$R,5,0),IF($LB42=30%,VLOOKUP($AW42,'Jan-2026 rates'!$L:$R,6,0),IF($LB42=100%,VLOOKUP($AW42,'Jan-2026 rates'!$L:$R,7,0),IF($LB42=60%,VLOOKUP($AW42,'Jan-2026 rates'!$L:$S,8,0),IF($LB42=80%,VLOOKUP($AW42,'Jan-2026 rates'!L:T,9,0),0))))))))</f>
        <v>0</v>
      </c>
      <c r="AZ42" s="412"/>
      <c r="BA42" s="409"/>
      <c r="BB42" s="411">
        <f>IF(BA42=0,0,IF($LB42=70%,VLOOKUP($AW42,'Jan-2026 rates'!$L:$R,4,0),IF($LB42=65%,VLOOKUP($AW42,'Jan-2026 rates'!$L:$R,4,0),IF($LB42=40%,VLOOKUP($AW42,'Jan-2026 rates'!$L:$R,5,0),IF($LB42=30%,VLOOKUP($AW42,'Jan-2026 rates'!$L:$R,6,0),IF($LB42=100%,VLOOKUP($AW42,'Jan-2026 rates'!$L:$R,7,0),IF($LB42=60%,VLOOKUP($AW42,'Jan-2026 rates'!$L:$S,8,0),IF($LB42=80%,VLOOKUP($AW42,'Jan-2026 rates'!L:T,9,0),0))))))))</f>
        <v>0</v>
      </c>
      <c r="BC42" s="413" t="s">
        <v>1921</v>
      </c>
      <c r="BD42" s="412" t="s">
        <v>1250</v>
      </c>
      <c r="BE42" s="412" t="s">
        <v>1880</v>
      </c>
      <c r="BF42" s="413"/>
      <c r="BG42" s="412"/>
      <c r="BH42" s="412"/>
      <c r="BI42" s="412"/>
      <c r="BJ42" s="412"/>
      <c r="BK42" s="409">
        <v>15</v>
      </c>
      <c r="BL42" s="398">
        <f>IF(BK42=0,0,IF(LEN(BC42)=11,_xlfn.XLOOKUP(BC42,'Dispensed Ink Rates'!C:C,'Dispensed Ink Rates'!CS:CS),VLOOKUP(BC42,'Jan-2026 rates'!$E:$F,2,0)))</f>
        <v>0</v>
      </c>
      <c r="BM42" s="409">
        <v>6</v>
      </c>
      <c r="BN42" s="398">
        <f>IF(BM42=0,0,IF(LEN(BD42)=11,_xlfn.XLOOKUP(BD42,'Dispensed Ink Rates'!C:C,'Dispensed Ink Rates'!CS:CS),VLOOKUP(BD42,'Jan-2026 rates'!$E:$F,2,0)))</f>
        <v>0</v>
      </c>
      <c r="BO42" s="409">
        <v>0.2</v>
      </c>
      <c r="BP42" s="398">
        <f>IF(BO42=0,0,IF(LEN(BE42)=11,_xlfn.XLOOKUP(BE42,'Dispensed Ink Rates'!C:C,'Dispensed Ink Rates'!CS:CS),VLOOKUP(BE42,'Jan-2026 rates'!$E:$F,2,0)))</f>
        <v>0</v>
      </c>
      <c r="BQ42" s="409"/>
      <c r="BR42" s="398">
        <f>IF(BQ42=0,0,IF(LEN(BF42)=11,_xlfn.XLOOKUP(BF42,'Dispensed Ink Rates'!C:C,'Dispensed Ink Rates'!CS:CS),VLOOKUP(BF42,'Jan-2026 rates'!$E:$F,2,0)))</f>
        <v>0</v>
      </c>
      <c r="BS42" s="409"/>
      <c r="BT42" s="398">
        <f>IF(BS42=0,0,IF(LEN(BG42)=11,_xlfn.XLOOKUP(BG42,'Dispensed Ink Rates'!C:C,'Dispensed Ink Rates'!CS:CS),VLOOKUP(BG42,'Jan-2026 rates'!$E:$F,2,0)))</f>
        <v>0</v>
      </c>
      <c r="BU42" s="409"/>
      <c r="BV42" s="398">
        <f>IF(BU42=0,0,IF(LEN(BH42)=11,_xlfn.XLOOKUP(BH42,'Dispensed Ink Rates'!C:C,'Dispensed Ink Rates'!CS:CS),VLOOKUP(BH42,'Jan-2026 rates'!$E:$F,2,0)))</f>
        <v>0</v>
      </c>
      <c r="BW42" s="409"/>
      <c r="BX42" s="398">
        <f>IF(BW42=0,0,IF(LEN(BI42)=11,_xlfn.XLOOKUP(BI42,'Dispensed Ink Rates'!C:C,'Dispensed Ink Rates'!CS:CS),VLOOKUP(BI42,'Jan-2026 rates'!$E:$F,2,0)))</f>
        <v>0</v>
      </c>
      <c r="BY42" s="409"/>
      <c r="BZ42" s="398">
        <f>IF(BY42=0,0,IF(LEN(BJ42)=11,_xlfn.XLOOKUP(BJ42,'Dispensed Ink Rates'!C:C,'Dispensed Ink Rates'!CS:CS),VLOOKUP(BJ42,'Jan-2026 rates'!$E:$F,2,0)))</f>
        <v>0</v>
      </c>
      <c r="CA42" s="409" t="s">
        <v>1881</v>
      </c>
      <c r="CB42" s="409">
        <v>19</v>
      </c>
      <c r="CC42" s="411">
        <f t="shared" si="5"/>
        <v>0</v>
      </c>
      <c r="CD42" s="411">
        <f t="shared" si="6"/>
        <v>24.275471698113208</v>
      </c>
      <c r="CE42" s="410">
        <f t="shared" si="7"/>
        <v>0</v>
      </c>
      <c r="CF42" s="404" t="s">
        <v>857</v>
      </c>
      <c r="CG42" s="409" t="s">
        <v>2595</v>
      </c>
      <c r="CH42" s="420" t="str">
        <f t="shared" si="8"/>
        <v>ToyoLi - RED</v>
      </c>
      <c r="CI42" s="409">
        <v>18</v>
      </c>
      <c r="CJ42" s="411">
        <f>IF(CI42=0,0,IF($LB42=70%,VLOOKUP($CH42,'Jan-2026 rates'!$L:$R,4,0),IF($LB42=65%,VLOOKUP($CH42,'Jan-2026 rates'!$L:$R,4,0),IF($LB42=40%,VLOOKUP($CH42,'Jan-2026 rates'!$L:$R,5,0),IF($LB42=30%,VLOOKUP($CH42,'Jan-2026 rates'!$L:$R,6,0),IF($LB42=100%,VLOOKUP($CH42,'Jan-2026 rates'!$L:$R,7,0),IF($LB42=60%,VLOOKUP($CH42,'Jan-2026 rates'!$L:$S,8,0),IF($LB42=80%,VLOOKUP($CH42,'Jan-2026 rates'!L:T,9,0),0))))))))</f>
        <v>0</v>
      </c>
      <c r="CK42" s="412"/>
      <c r="CL42" s="409"/>
      <c r="CM42" s="411">
        <f>IF(CL42=0,0,IF($LB42=70%,VLOOKUP($CH42,'Jan-2026 rates'!$L:$R,4,0),IF($LB42=65%,VLOOKUP($CH42,'Jan-2026 rates'!$L:$R,4,0),IF($LB42=40%,VLOOKUP($CH42,'Jan-2026 rates'!$L:$R,5,0),IF($LB42=30%,VLOOKUP($CH42,'Jan-2026 rates'!$L:$R,6,0),IF($LB42=100%,VLOOKUP($CH42,'Jan-2026 rates'!$L:$R,7,0),IF($LB42=60%,VLOOKUP($CH42,'Jan-2026 rates'!$L:$S,8,0),IF($LB42=80%,VLOOKUP($CH42,'Jan-2026 rates'!L:T,9,0),0))))))))</f>
        <v>0</v>
      </c>
      <c r="CN42" s="426" t="s">
        <v>1921</v>
      </c>
      <c r="CO42" s="427"/>
      <c r="CP42" s="426"/>
      <c r="CQ42" s="426"/>
      <c r="CR42" s="428"/>
      <c r="CS42" s="428"/>
      <c r="CT42" s="428"/>
      <c r="CU42" s="428"/>
      <c r="CV42" s="409">
        <v>4</v>
      </c>
      <c r="CW42" s="398">
        <f>IF(CV42=0,0,IF(LEN(CN42)=11,_xlfn.XLOOKUP(CN42,'Dispensed Ink Rates'!C:C,'Dispensed Ink Rates'!CS:CS),VLOOKUP(CN42,'Jan-2026 rates'!$E:$F,2,0)))</f>
        <v>0</v>
      </c>
      <c r="CX42" s="409"/>
      <c r="CY42" s="398">
        <f>IF(CX42=0,0,IF(LEN(CO42)=11,_xlfn.XLOOKUP(CO42,'Dispensed Ink Rates'!C:C,'Dispensed Ink Rates'!CS:CS),VLOOKUP(CO42,'Jan-2026 rates'!$E:$F,2,0)))</f>
        <v>0</v>
      </c>
      <c r="CZ42" s="409"/>
      <c r="DA42" s="398">
        <f>IF(CZ42=0,0,IF(LEN(CP42)=11,_xlfn.XLOOKUP(CP42,'Dispensed Ink Rates'!C:C,'Dispensed Ink Rates'!CS:CS),VLOOKUP(CP42,'Jan-2026 rates'!$E:$F,2,0)))</f>
        <v>0</v>
      </c>
      <c r="DB42" s="409"/>
      <c r="DC42" s="398">
        <f>IF(DB42=0,0,IF(LEN(CQ42)=11,_xlfn.XLOOKUP(CQ42,'Dispensed Ink Rates'!C:C,'Dispensed Ink Rates'!CS:CS),VLOOKUP(CQ42,'Jan-2026 rates'!$E:$F,2,0)))</f>
        <v>0</v>
      </c>
      <c r="DD42" s="409"/>
      <c r="DE42" s="398">
        <f>IF(DD42=0,0,IF(LEN(CR42)=11,_xlfn.XLOOKUP(CR42,'Dispensed Ink Rates'!C:C,'Dispensed Ink Rates'!CS:CS),VLOOKUP(CR42,'Jan-2026 rates'!$E:$F,2,0)))</f>
        <v>0</v>
      </c>
      <c r="DF42" s="409"/>
      <c r="DG42" s="398">
        <f>IF(DF42=0,0,IF(LEN(CS42)=11,_xlfn.XLOOKUP(CS42,'Dispensed Ink Rates'!C:C,'Dispensed Ink Rates'!CS:CS),VLOOKUP(CS42,'Jan-2026 rates'!$E:$F,2,0)))</f>
        <v>0</v>
      </c>
      <c r="DH42" s="409"/>
      <c r="DI42" s="398">
        <f>IF(DH42=0,0,IF(LEN(CT42)=11,_xlfn.XLOOKUP(CT42,'Dispensed Ink Rates'!C:C,'Dispensed Ink Rates'!CS:CS),VLOOKUP(CT42,'Jan-2026 rates'!$E:$F,2,0)))</f>
        <v>0</v>
      </c>
      <c r="DJ42" s="409"/>
      <c r="DK42" s="398">
        <f>IF(DJ42=0,0,IF(LEN(CU42)=11,_xlfn.XLOOKUP(CU42,'Dispensed Ink Rates'!C:C,'Dispensed Ink Rates'!CS:CS),VLOOKUP(CU42,'Jan-2026 rates'!$E:$F,2,0)))</f>
        <v>0</v>
      </c>
      <c r="DL42" s="409" t="s">
        <v>1881</v>
      </c>
      <c r="DM42" s="409">
        <f>6+12</f>
        <v>18</v>
      </c>
      <c r="DN42" s="411">
        <f t="shared" si="9"/>
        <v>0</v>
      </c>
      <c r="DO42" s="411">
        <f t="shared" si="10"/>
        <v>21.660377358490564</v>
      </c>
      <c r="DP42" s="410">
        <f t="shared" si="11"/>
        <v>0</v>
      </c>
      <c r="DQ42" s="405" t="s">
        <v>829</v>
      </c>
      <c r="DR42" s="409" t="s">
        <v>2705</v>
      </c>
      <c r="DS42" s="420" t="str">
        <f t="shared" si="12"/>
        <v>ToyoLi - MEDIUM</v>
      </c>
      <c r="DT42" s="409">
        <v>22</v>
      </c>
      <c r="DU42" s="411">
        <f>IF(DT42=0,0,IF($LB42=70%,VLOOKUP($DS42,'Jan-2026 rates'!$L:$R,4,0),IF($LB42=65%,VLOOKUP($DS42,'Jan-2026 rates'!$L:$R,4,0),IF($LB42=40%,VLOOKUP($DS42,'Jan-2026 rates'!$L:$R,5,0),IF($LB42=30%,VLOOKUP($DS42,'Jan-2026 rates'!$L:$R,6,0),IF($LB42=100%,VLOOKUP($DS42,'Jan-2026 rates'!$L:$R,7,0),IF($LB42=60%,VLOOKUP($DS42,'Jan-2026 rates'!$L:$S,8,0),IF($LB42=80%,VLOOKUP($DS42,'Jan-2026 rates'!L:T,9,0),0))))))))</f>
        <v>0</v>
      </c>
      <c r="DV42" s="412" t="s">
        <v>2798</v>
      </c>
      <c r="DW42" s="409">
        <f>17+17</f>
        <v>34</v>
      </c>
      <c r="DX42" s="411">
        <f>IF(DW42=0,0,IF($LB42=70%,VLOOKUP($DS42,'Jan-2026 rates'!$L:$R,4,0),IF($LB42=65%,VLOOKUP($DS42,'Jan-2026 rates'!$L:$R,4,0),IF($LB42=40%,VLOOKUP($DS42,'Jan-2026 rates'!$L:$R,5,0),IF($LB42=30%,VLOOKUP($DS42,'Jan-2026 rates'!$L:$R,6,0),IF($LB42=100%,VLOOKUP($DS42,'Jan-2026 rates'!$L:$R,7,0),IF($LB42=60%,VLOOKUP($DS42,'Jan-2026 rates'!$L:$S,8,0),IF($LB42=80%,VLOOKUP($DS42,'Jan-2026 rates'!L:T,9,0),0))))))))</f>
        <v>0</v>
      </c>
      <c r="DY42" s="413" t="s">
        <v>1249</v>
      </c>
      <c r="DZ42" s="413" t="s">
        <v>1247</v>
      </c>
      <c r="EA42" s="412" t="s">
        <v>1505</v>
      </c>
      <c r="EB42" s="412" t="s">
        <v>1252</v>
      </c>
      <c r="EC42" s="412"/>
      <c r="ED42" s="412"/>
      <c r="EE42" s="412"/>
      <c r="EF42" s="412"/>
      <c r="EG42" s="409">
        <v>25</v>
      </c>
      <c r="EH42" s="398">
        <f>IF(EG42=0,0,IF(LEN(DY42)=11,_xlfn.XLOOKUP(DY42,'Dispensed Ink Rates'!C:C,'Dispensed Ink Rates'!CS:CS),VLOOKUP(DY42,'Jan-2026 rates'!$E:$F,2,0)))</f>
        <v>0</v>
      </c>
      <c r="EI42" s="409">
        <v>0.5</v>
      </c>
      <c r="EJ42" s="398">
        <f>IF(EI42=0,0,IF(LEN(DZ42)=11,_xlfn.XLOOKUP(DZ42,'Dispensed Ink Rates'!C:C,'Dispensed Ink Rates'!CS:CS),VLOOKUP(DZ42,'Jan-2026 rates'!$E:$F,2,0)))</f>
        <v>0</v>
      </c>
      <c r="EK42" s="409">
        <v>0.5</v>
      </c>
      <c r="EL42" s="398">
        <f>IF(EK42=0,0,IF(LEN(EA42)=11,_xlfn.XLOOKUP(EA42,'Dispensed Ink Rates'!C:C,'Dispensed Ink Rates'!CS:CS),VLOOKUP(EA42,'Jan-2026 rates'!$E:$F,2,0)))</f>
        <v>0</v>
      </c>
      <c r="EM42" s="409">
        <v>0.2</v>
      </c>
      <c r="EN42" s="398">
        <f>IF(EM42=0,0,IF(LEN(EB42)=11,_xlfn.XLOOKUP(EB42,'Dispensed Ink Rates'!C:C,'Dispensed Ink Rates'!CS:CS),VLOOKUP(EB42,'Jan-2026 rates'!$E:$F,2,0)))</f>
        <v>0</v>
      </c>
      <c r="EO42" s="409"/>
      <c r="EP42" s="398">
        <f>IF(EO42=0,0,IF(LEN(EC42)=11,_xlfn.XLOOKUP(EC42,'Dispensed Ink Rates'!C:C,'Dispensed Ink Rates'!CS:CS),VLOOKUP(EC42,'Jan-2026 rates'!$E:$F,2,0)))</f>
        <v>0</v>
      </c>
      <c r="EQ42" s="409"/>
      <c r="ER42" s="398">
        <f>IF(EQ42=0,0,IF(LEN(ED42)=11,_xlfn.XLOOKUP(ED42,'Dispensed Ink Rates'!C:C,'Dispensed Ink Rates'!CS:CS),VLOOKUP(ED42,'Jan-2026 rates'!$E:$F,2,0)))</f>
        <v>0</v>
      </c>
      <c r="ES42" s="409"/>
      <c r="ET42" s="398">
        <f>IF(ES42=0,0,IF(LEN(EE42)=11,_xlfn.XLOOKUP(EE42,'Dispensed Ink Rates'!C:C,'Dispensed Ink Rates'!CS:CS),VLOOKUP(EE42,'Jan-2026 rates'!$E:$F,2,0)))</f>
        <v>0</v>
      </c>
      <c r="EU42" s="409"/>
      <c r="EV42" s="398">
        <f>IF(EU42=0,0,IF(LEN(EF42)=11,_xlfn.XLOOKUP(EF42,'Dispensed Ink Rates'!C:C,'Dispensed Ink Rates'!CS:CS),VLOOKUP(EF42,'Jan-2026 rates'!$E:$F,2,0)))</f>
        <v>0</v>
      </c>
      <c r="EW42" s="409" t="s">
        <v>1881</v>
      </c>
      <c r="EX42" s="409">
        <f>18+7</f>
        <v>25</v>
      </c>
      <c r="EY42" s="411">
        <f t="shared" si="13"/>
        <v>0</v>
      </c>
      <c r="EZ42" s="411">
        <f t="shared" si="14"/>
        <v>123.42641509433963</v>
      </c>
      <c r="FA42" s="410">
        <f t="shared" si="15"/>
        <v>0</v>
      </c>
      <c r="FB42" s="405" t="s">
        <v>856</v>
      </c>
      <c r="FC42" s="409" t="s">
        <v>2799</v>
      </c>
      <c r="FD42" s="420" t="str">
        <f t="shared" si="16"/>
        <v>ToyoLi - WHITE</v>
      </c>
      <c r="FE42" s="409">
        <v>24</v>
      </c>
      <c r="FF42" s="411">
        <f>IF(FE42=0,0,IF($LB42=70%,VLOOKUP($FD42,'Jan-2026 rates'!$L:$R,4,0),IF($LB42=65%,VLOOKUP($FD42,'Jan-2026 rates'!$L:$R,4,0),IF($LB42=40%,VLOOKUP($FD42,'Jan-2026 rates'!$L:$R,5,0),IF($LB42=30%,VLOOKUP($FD42,'Jan-2026 rates'!$L:$R,6,0),IF($LB42=100%,VLOOKUP($FD42,'Jan-2026 rates'!$L:$R,7,0),IF($LB42=60%,VLOOKUP($FD42,'Jan-2026 rates'!$L:$S,8,0),IF($LB42=80%,VLOOKUP($FD42,'Jan-2026 rates'!L:T,9,0),0))))))))</f>
        <v>0</v>
      </c>
      <c r="FG42" s="412"/>
      <c r="FH42" s="409"/>
      <c r="FI42" s="411">
        <f>IF(FH42=0,0,IF($LB42=70%,VLOOKUP($FD42,'Jan-2026 rates'!$L:$R,4,0),IF($LB42=65%,VLOOKUP($FD42,'Jan-2026 rates'!$L:$R,4,0),IF($LB42=40%,VLOOKUP($FD42,'Jan-2026 rates'!$L:$R,5,0),IF($LB42=30%,VLOOKUP($FD42,'Jan-2026 rates'!$L:$R,6,0),IF($LB42=100%,VLOOKUP($FD42,'Jan-2026 rates'!$L:$R,7,0),IF($LB42=60%,VLOOKUP($FD42,'Jan-2026 rates'!$L:$S,8,0),IF($LB42=80%,VLOOKUP($FD42,'Jan-2026 rates'!L:T,9,0),0))))))))</f>
        <v>0</v>
      </c>
      <c r="FJ42" s="413" t="s">
        <v>1249</v>
      </c>
      <c r="FK42" s="413"/>
      <c r="FL42" s="413"/>
      <c r="FM42" s="412"/>
      <c r="FN42" s="412"/>
      <c r="FO42" s="412"/>
      <c r="FP42" s="412"/>
      <c r="FQ42" s="412"/>
      <c r="FR42" s="409">
        <f>25+25</f>
        <v>50</v>
      </c>
      <c r="FS42" s="398">
        <f>IF(FR42=0,0,IF(LEN(FJ42)=11,_xlfn.XLOOKUP(FJ42,'Dispensed Ink Rates'!C:C,'Dispensed Ink Rates'!CS:CS),VLOOKUP(FJ42,'Jan-2026 rates'!$E:$F,2,0)))</f>
        <v>0</v>
      </c>
      <c r="FT42" s="409"/>
      <c r="FU42" s="398">
        <f>IF(FT42=0,0,IF(LEN(FK42)=11,_xlfn.XLOOKUP(FK42,'Dispensed Ink Rates'!C:C,'Dispensed Ink Rates'!CS:CS),VLOOKUP(FK42,'Jan-2026 rates'!$E:$F,2,0)))</f>
        <v>0</v>
      </c>
      <c r="FV42" s="409"/>
      <c r="FW42" s="398">
        <f>IF(FV42=0,0,IF(LEN(FL42)=11,_xlfn.XLOOKUP(FL42,'Dispensed Ink Rates'!C:C,'Dispensed Ink Rates'!CS:CS),VLOOKUP(FL42,'Jan-2026 rates'!$E:$F,2,0)))</f>
        <v>0</v>
      </c>
      <c r="FX42" s="409"/>
      <c r="FY42" s="398">
        <f>IF(FX42=0,0,IF(LEN(FM42)=11,_xlfn.XLOOKUP(FM42,'Dispensed Ink Rates'!C:C,'Dispensed Ink Rates'!CS:CS),VLOOKUP(FM42,'Jan-2026 rates'!$E:$F,2,0)))</f>
        <v>0</v>
      </c>
      <c r="FZ42" s="409"/>
      <c r="GA42" s="398">
        <f>IF(FZ42=0,0,IF(LEN(FN42)=11,_xlfn.XLOOKUP(FN42,'Dispensed Ink Rates'!C:C,'Dispensed Ink Rates'!CS:CS),VLOOKUP(FN42,'Jan-2026 rates'!$E:$F,2,0)))</f>
        <v>0</v>
      </c>
      <c r="GB42" s="409"/>
      <c r="GC42" s="398">
        <f>IF(GB42=0,0,IF(LEN(FO42)=11,_xlfn.XLOOKUP(FO42,'Dispensed Ink Rates'!C:C,'Dispensed Ink Rates'!CS:CS),VLOOKUP(FO42,'Jan-2026 rates'!$E:$F,2,0)))</f>
        <v>0</v>
      </c>
      <c r="GD42" s="409"/>
      <c r="GE42" s="398">
        <f>IF(GD42=0,0,IF(LEN(FP42)=11,_xlfn.XLOOKUP(FP42,'Dispensed Ink Rates'!C:C,'Dispensed Ink Rates'!CS:CS),VLOOKUP(FP42,'Jan-2026 rates'!$E:$F,2,0)))</f>
        <v>0</v>
      </c>
      <c r="GF42" s="409"/>
      <c r="GG42" s="398">
        <f>IF(GF42=0,0,IF(LEN(FQ42)=11,_xlfn.XLOOKUP(FQ42,'Dispensed Ink Rates'!C:C,'Dispensed Ink Rates'!CS:CS),VLOOKUP(FQ42,'Jan-2026 rates'!$E:$F,2,0)))</f>
        <v>0</v>
      </c>
      <c r="GH42" s="409" t="s">
        <v>1881</v>
      </c>
      <c r="GI42" s="409">
        <v>24</v>
      </c>
      <c r="GJ42" s="411">
        <f t="shared" si="17"/>
        <v>0</v>
      </c>
      <c r="GK42" s="411">
        <f t="shared" si="18"/>
        <v>50</v>
      </c>
      <c r="GL42" s="410">
        <f t="shared" si="19"/>
        <v>0</v>
      </c>
      <c r="GM42" s="405"/>
      <c r="GN42" s="409"/>
      <c r="GO42" s="420" t="str">
        <f t="shared" si="20"/>
        <v xml:space="preserve"> - </v>
      </c>
      <c r="GP42" s="409"/>
      <c r="GQ42" s="411">
        <f>IF(GP42=0,0,IF($LB42=70%,VLOOKUP($GO42,'Jan-2026 rates'!$L:$R,4,0),IF($LB42=65%,VLOOKUP($GO42,'Jan-2026 rates'!$L:$R,4,0),IF($LB42=40%,VLOOKUP($GO42,'Jan-2026 rates'!$L:$R,5,0),IF($LB42=30%,VLOOKUP($GO42,'Jan-2026 rates'!$L:$R,6,0),IF($LB42=100%,VLOOKUP($GO42,'Jan-2026 rates'!$L:$R,7,0),IF($LB42=60%,VLOOKUP($GO42,'Jan-2026 rates'!$L:$S,8,0),IF($LB42=80%,VLOOKUP($GO42,'Jan-2026 rates'!L:T,9,0),0))))))))</f>
        <v>0</v>
      </c>
      <c r="GR42" s="412"/>
      <c r="GS42" s="409"/>
      <c r="GT42" s="411">
        <f>IF(GS42=0,0,IF($LB42=70%,VLOOKUP($GO42,'Jan-2026 rates'!$L:$R,4,0),IF($LB42=65%,VLOOKUP($GO42,'Jan-2026 rates'!$L:$R,4,0),IF($LB42=40%,VLOOKUP($GO42,'Jan-2026 rates'!$L:$R,5,0),IF($LB42=30%,VLOOKUP($GO42,'Jan-2026 rates'!$L:$R,6,0),IF($LB42=100%,VLOOKUP($GO42,'Jan-2026 rates'!$L:$R,7,0),IF($LB42=60%,VLOOKUP($GO42,'Jan-2026 rates'!$L:$S,8,0),IF($LB42=80%,VLOOKUP($GO42,'Jan-2026 rates'!L:T,9,0),0))))))))</f>
        <v>0</v>
      </c>
      <c r="GU42" s="413"/>
      <c r="GV42" s="413"/>
      <c r="GW42" s="412"/>
      <c r="GX42" s="412"/>
      <c r="GY42" s="412"/>
      <c r="GZ42" s="412"/>
      <c r="HA42" s="412"/>
      <c r="HB42" s="412"/>
      <c r="HC42" s="409"/>
      <c r="HD42" s="398">
        <f>IF(HC42=0,0,IF(LEN(GU42)=11,_xlfn.XLOOKUP(GU42,'Dispensed Ink Rates'!C:C,'Dispensed Ink Rates'!CS:CS),VLOOKUP(GU42,'Jan-2026 rates'!$E:$F,2,0)))</f>
        <v>0</v>
      </c>
      <c r="HE42" s="409"/>
      <c r="HF42" s="398">
        <f>IF(HE42=0,0,IF(LEN(GV42)=11,_xlfn.XLOOKUP(GV42,'Dispensed Ink Rates'!C:C,'Dispensed Ink Rates'!CS:CS),VLOOKUP(GV42,'Jan-2026 rates'!$E:$F,2,0)))</f>
        <v>0</v>
      </c>
      <c r="HG42" s="409"/>
      <c r="HH42" s="398">
        <f>IF(HG42=0,0,IF(LEN(GW42)=11,_xlfn.XLOOKUP(GW42,'Dispensed Ink Rates'!C:C,'Dispensed Ink Rates'!CS:CS),VLOOKUP(GW42,'Jan-2026 rates'!$E:$F,2,0)))</f>
        <v>0</v>
      </c>
      <c r="HI42" s="409"/>
      <c r="HJ42" s="398">
        <f>IF(HI42=0,0,IF(LEN(GX42)=11,_xlfn.XLOOKUP(GX42,'Dispensed Ink Rates'!C:C,'Dispensed Ink Rates'!CS:CS),VLOOKUP(GX42,'Jan-2026 rates'!$E:$F,2,0)))</f>
        <v>0</v>
      </c>
      <c r="HK42" s="409"/>
      <c r="HL42" s="398">
        <f>IF(HK42=0,0,IF(LEN(GY42)=11,_xlfn.XLOOKUP(GY42,'Dispensed Ink Rates'!C:C,'Dispensed Ink Rates'!CS:CS),VLOOKUP(GY42,'Jan-2026 rates'!$E:$F,2,0)))</f>
        <v>0</v>
      </c>
      <c r="HM42" s="409"/>
      <c r="HN42" s="398">
        <f>IF(HM42=0,0,IF(LEN(GZ42)=11,_xlfn.XLOOKUP(GZ42,'Dispensed Ink Rates'!C:C,'Dispensed Ink Rates'!CS:CS),VLOOKUP(GZ42,'Jan-2026 rates'!$E:$F,2,0)))</f>
        <v>0</v>
      </c>
      <c r="HO42" s="409"/>
      <c r="HP42" s="398">
        <f>IF(HO42=0,0,IF(LEN(HA42)=11,_xlfn.XLOOKUP(HA42,'Dispensed Ink Rates'!C:C,'Dispensed Ink Rates'!CS:CS),VLOOKUP(HA42,'Jan-2026 rates'!$E:$F,2,0)))</f>
        <v>0</v>
      </c>
      <c r="HQ42" s="409"/>
      <c r="HR42" s="398">
        <f>IF(HQ42=0,0,IF(LEN(HB42)=11,_xlfn.XLOOKUP(HB42,'Dispensed Ink Rates'!C:C,'Dispensed Ink Rates'!CS:CS),VLOOKUP(HB42,'Jan-2026 rates'!$E:$F,2,0)))</f>
        <v>0</v>
      </c>
      <c r="HS42" s="409"/>
      <c r="HT42" s="409"/>
      <c r="HU42" s="411">
        <f t="shared" si="21"/>
        <v>0</v>
      </c>
      <c r="HV42" s="411">
        <f t="shared" si="22"/>
        <v>0</v>
      </c>
      <c r="HW42" s="414">
        <f t="shared" si="23"/>
        <v>0</v>
      </c>
      <c r="HX42" s="405"/>
      <c r="HY42" s="409"/>
      <c r="HZ42" s="420" t="str">
        <f t="shared" si="24"/>
        <v xml:space="preserve"> - </v>
      </c>
      <c r="IA42" s="409"/>
      <c r="IB42" s="411">
        <f>IF(IA42=0,0,IF($LB42=70%,VLOOKUP($HZ42,'Jan-2026 rates'!$L:$R,4,0),IF($LB42=65%,VLOOKUP($HZ42,'Jan-2026 rates'!$L:$R,4,0),IF($LB42=40%,VLOOKUP($HZ42,'Jan-2026 rates'!$L:$R,5,0),IF($LB42=30%,VLOOKUP($HZ42,'Jan-2026 rates'!$L:$R,6,0),IF($LB42=100%,VLOOKUP($HZ42,'Jan-2026 rates'!$L:$R,7,0),IF($LB42=60%,VLOOKUP($HZ42,'Jan-2026 rates'!$L:$S,8,0),IF($LB42=80%,VLOOKUP($HZ42,'Jan-2026 rates'!L:T,9,0),0))))))))</f>
        <v>0</v>
      </c>
      <c r="IC42" s="412"/>
      <c r="ID42" s="409"/>
      <c r="IE42" s="411">
        <f>IF(ID42=0,0,IF($LB42=70%,VLOOKUP($HZ42,'Jan-2026 rates'!$L:$R,4,0),IF($LB42=65%,VLOOKUP($HZ42,'Jan-2026 rates'!$L:$R,4,0),IF($LB42=40%,VLOOKUP($HZ42,'Jan-2026 rates'!$L:$R,5,0),IF($LB42=30%,VLOOKUP($HZ42,'Jan-2026 rates'!$L:$R,6,0),IF($LB42=100%,VLOOKUP($HZ42,'Jan-2026 rates'!$L:$R,7,0),IF($LB42=60%,VLOOKUP($HZ42,'Jan-2026 rates'!$L:$S,8,0),IF($LB42=80%,VLOOKUP($HZ42,'Jan-2026 rates'!L:T,9,0),0))))))))</f>
        <v>0</v>
      </c>
      <c r="IF42" s="412"/>
      <c r="IG42" s="413"/>
      <c r="IH42" s="412"/>
      <c r="II42" s="412"/>
      <c r="IJ42" s="412"/>
      <c r="IK42" s="412"/>
      <c r="IL42" s="412"/>
      <c r="IM42" s="412"/>
      <c r="IN42" s="409"/>
      <c r="IO42" s="398">
        <f>IF(IN42=0,0,IF(LEN(IF42)=11,_xlfn.XLOOKUP(IF42,'Dispensed Ink Rates'!C:C,'Dispensed Ink Rates'!CS:CS),VLOOKUP(IF42,'Jan-2026 rates'!$E:$F,2,0)))</f>
        <v>0</v>
      </c>
      <c r="IP42" s="409"/>
      <c r="IQ42" s="398">
        <f>IF(IP42=0,0,IF(LEN(IG42)=11,_xlfn.XLOOKUP(IG42,'Dispensed Ink Rates'!C:C,'Dispensed Ink Rates'!CS:CS),VLOOKUP(IG42,'Jan-2026 rates'!$E:$F,2,0)))</f>
        <v>0</v>
      </c>
      <c r="IR42" s="409"/>
      <c r="IS42" s="398">
        <f>IF(IR42=0,0,IF(LEN(IH42)=11,_xlfn.XLOOKUP(IH42,'Dispensed Ink Rates'!C:C,'Dispensed Ink Rates'!CS:CS),VLOOKUP(IH42,'Jan-2026 rates'!$E:$F,2,0)))</f>
        <v>0</v>
      </c>
      <c r="IT42" s="409"/>
      <c r="IU42" s="398">
        <f>IF(IT42=0,0,IF(LEN(II42)=11,_xlfn.XLOOKUP(II42,'Dispensed Ink Rates'!C:C,'Dispensed Ink Rates'!CS:CS),VLOOKUP(II42,'Jan-2026 rates'!$E:$F,2,0)))</f>
        <v>0</v>
      </c>
      <c r="IV42" s="409"/>
      <c r="IW42" s="398">
        <f>IF(IV42=0,0,IF(LEN(IJ42)=11,_xlfn.XLOOKUP(IJ42,'Dispensed Ink Rates'!C:C,'Dispensed Ink Rates'!CS:CS),VLOOKUP(IJ42,'Jan-2026 rates'!$E:$F,2,0)))</f>
        <v>0</v>
      </c>
      <c r="IX42" s="409"/>
      <c r="IY42" s="398">
        <f>IF(IX42=0,0,IF(LEN(IK42)=11,_xlfn.XLOOKUP(IK42,'Dispensed Ink Rates'!C:C,'Dispensed Ink Rates'!CS:CS),VLOOKUP(IK42,'Jan-2026 rates'!$E:$F,2,0)))</f>
        <v>0</v>
      </c>
      <c r="IZ42" s="409"/>
      <c r="JA42" s="398">
        <f>IF(IZ42=0,0,IF(LEN(IL42)=11,_xlfn.XLOOKUP(IL42,'Dispensed Ink Rates'!C:C,'Dispensed Ink Rates'!CS:CS),VLOOKUP(IL42,'Jan-2026 rates'!$E:$F,2,0)))</f>
        <v>0</v>
      </c>
      <c r="JB42" s="409"/>
      <c r="JC42" s="398">
        <f>IF(JB42=0,0,IF(LEN(IM42)=11,_xlfn.XLOOKUP(IM42,'Dispensed Ink Rates'!C:C,'Dispensed Ink Rates'!CS:CS),VLOOKUP(IM42,'Jan-2026 rates'!$E:$F,2,0)))</f>
        <v>0</v>
      </c>
      <c r="JD42" s="409"/>
      <c r="JE42" s="409"/>
      <c r="JF42" s="411">
        <f t="shared" si="25"/>
        <v>0</v>
      </c>
      <c r="JG42" s="411">
        <f t="shared" si="26"/>
        <v>0</v>
      </c>
      <c r="JH42" s="410">
        <f t="shared" si="27"/>
        <v>0</v>
      </c>
      <c r="JI42" s="405"/>
      <c r="JJ42" s="409"/>
      <c r="JK42" s="420" t="str">
        <f t="shared" si="28"/>
        <v xml:space="preserve"> - </v>
      </c>
      <c r="JL42" s="409"/>
      <c r="JM42" s="411">
        <f>IF(JL42=0,0,IF($LB42=70%,VLOOKUP($JK42,'Jan-2026 rates'!$L:$R,4,0),IF($LB42=65%,VLOOKUP($JK42,'Jan-2026 rates'!$L:$R,4,0),IF($LB42=40%,VLOOKUP($JK42,'Jan-2026 rates'!$L:$R,5,0),IF($LB42=30%,VLOOKUP($JK42,'Jan-2026 rates'!$L:$R,6,0),IF($LB42=100%,VLOOKUP($JK42,'Jan-2026 rates'!$L:$R,7,0),IF($LB42=60%,VLOOKUP($JK42,'Jan-2026 rates'!$L:$S,8,0),IF($LB42=80%,VLOOKUP($JK42,'Jan-2026 rates'!L:T,9,0),0))))))))</f>
        <v>0</v>
      </c>
      <c r="JN42" s="412"/>
      <c r="JO42" s="409"/>
      <c r="JP42" s="411">
        <f>IF(JO42=0,0,IF($LB42=70%,VLOOKUP($JK42,'Jan-2026 rates'!$L:$R,4,0),IF($LB42=65%,VLOOKUP($JK42,'Jan-2026 rates'!$L:$R,4,0),IF($LB42=40%,VLOOKUP($JK42,'Jan-2026 rates'!$L:$R,5,0),IF($LB42=30%,VLOOKUP($JK42,'Jan-2026 rates'!$L:$R,6,0),IF($LB42=100%,VLOOKUP($JK42,'Jan-2026 rates'!$L:$R,7,0),IF($LB42=60%,VLOOKUP($JK42,'Jan-2026 rates'!$L:$S,8,0),IF($LB42=80%,VLOOKUP($JK42,'Jan-2026 rates'!L:T,9,0),0))))))))</f>
        <v>0</v>
      </c>
      <c r="JQ42" s="413"/>
      <c r="JR42" s="412"/>
      <c r="JS42" s="413"/>
      <c r="JT42" s="413"/>
      <c r="JU42" s="412"/>
      <c r="JV42" s="412"/>
      <c r="JW42" s="412"/>
      <c r="JX42" s="412"/>
      <c r="JY42" s="409"/>
      <c r="JZ42" s="398">
        <f>IF(JY42=0,0,IF(LEN(JQ42)=11,_xlfn.XLOOKUP(JQ42,'Dispensed Ink Rates'!C:C,'Dispensed Ink Rates'!CS:CS),VLOOKUP(JQ42,'Jan-2026 rates'!$E:$F,2,0)))</f>
        <v>0</v>
      </c>
      <c r="KA42" s="409"/>
      <c r="KB42" s="398">
        <f>IF(KA42=0,0,IF(LEN(JR42)=11,_xlfn.XLOOKUP(JR42,'Dispensed Ink Rates'!C:C,'Dispensed Ink Rates'!CS:CS),VLOOKUP(JR42,'Jan-2026 rates'!$E:$F,2,0)))</f>
        <v>0</v>
      </c>
      <c r="KC42" s="409"/>
      <c r="KD42" s="398">
        <f>IF(KC42=0,0,IF(LEN(JS42)=11,_xlfn.XLOOKUP(JS42,'Dispensed Ink Rates'!C:C,'Dispensed Ink Rates'!CS:CS),VLOOKUP(JS42,'Jan-2026 rates'!$E:$F,2,0)))</f>
        <v>0</v>
      </c>
      <c r="KE42" s="409"/>
      <c r="KF42" s="398">
        <f>IF(KE42=0,0,IF(LEN(JT42)=11,_xlfn.XLOOKUP(JT42,'Dispensed Ink Rates'!C:C,'Dispensed Ink Rates'!CS:CS),VLOOKUP(JT42,'Jan-2026 rates'!$E:$F,2,0)))</f>
        <v>0</v>
      </c>
      <c r="KG42" s="409"/>
      <c r="KH42" s="398">
        <f>IF(KG42=0,0,IF(LEN(JU42)=11,_xlfn.XLOOKUP(JU42,'Dispensed Ink Rates'!C:C,'Dispensed Ink Rates'!CS:CS),VLOOKUP(JU42,'Jan-2026 rates'!$E:$F,2,0)))</f>
        <v>0</v>
      </c>
      <c r="KI42" s="409"/>
      <c r="KJ42" s="398">
        <f>IF(KI42=0,0,IF(LEN(JV42)=11,_xlfn.XLOOKUP(JV42,'Dispensed Ink Rates'!C:C,'Dispensed Ink Rates'!CS:CS),VLOOKUP(JV42,'Jan-2026 rates'!$E:$F,2,0)))</f>
        <v>0</v>
      </c>
      <c r="KK42" s="409"/>
      <c r="KL42" s="398">
        <f>IF(KK42=0,0,IF(LEN(JW42)=11,_xlfn.XLOOKUP(JW42,'Dispensed Ink Rates'!C:C,'Dispensed Ink Rates'!CS:CS),VLOOKUP(JW42,'Jan-2026 rates'!$E:$F,2,0)))</f>
        <v>0</v>
      </c>
      <c r="KM42" s="428"/>
      <c r="KN42" s="398">
        <f>IF(KM42=0,0,IF(LEN(JX42)=11,_xlfn.XLOOKUP(JX42,'Dispensed Ink Rates'!C:C,'Dispensed Ink Rates'!CS:CS),VLOOKUP(JX42,'Jan-2026 rates'!$E:$F,2,0)))</f>
        <v>0</v>
      </c>
      <c r="KO42" s="409"/>
      <c r="KP42" s="409"/>
      <c r="KQ42" s="411">
        <f t="shared" si="29"/>
        <v>0</v>
      </c>
      <c r="KR42" s="411">
        <f t="shared" si="30"/>
        <v>0</v>
      </c>
      <c r="KS42" s="410">
        <f t="shared" si="31"/>
        <v>0</v>
      </c>
      <c r="KT42" s="409">
        <v>5</v>
      </c>
      <c r="KU42" s="409">
        <v>10</v>
      </c>
      <c r="KV42" s="409">
        <v>8</v>
      </c>
      <c r="KW42" s="409">
        <f>15+15</f>
        <v>30</v>
      </c>
      <c r="KX42" s="409">
        <v>0</v>
      </c>
      <c r="KY42" s="409">
        <v>0</v>
      </c>
      <c r="KZ42" s="409">
        <v>0</v>
      </c>
      <c r="LA42" s="409">
        <v>0</v>
      </c>
      <c r="LB42" s="415">
        <v>0.3</v>
      </c>
      <c r="LC42" s="415"/>
      <c r="LD42" s="415"/>
      <c r="LE42" s="415">
        <v>0.5</v>
      </c>
      <c r="LF42" s="415">
        <v>0.2</v>
      </c>
      <c r="LG42" s="409">
        <v>0</v>
      </c>
      <c r="LH42" s="409">
        <f>30+30+15+25+7+10</f>
        <v>117</v>
      </c>
      <c r="LI42" s="409">
        <v>0</v>
      </c>
      <c r="LJ42" s="409">
        <v>0</v>
      </c>
      <c r="LK42" s="416">
        <f t="shared" si="32"/>
        <v>117</v>
      </c>
      <c r="LL42" s="416">
        <f t="shared" si="33"/>
        <v>117</v>
      </c>
      <c r="LM42" s="417">
        <f t="shared" si="34"/>
        <v>35.1</v>
      </c>
      <c r="LN42" s="417">
        <f>VLOOKUP($LM$8,'Jan-2026 rates'!$H:$I,2,0)</f>
        <v>0</v>
      </c>
      <c r="LO42" s="417">
        <f t="shared" si="35"/>
        <v>0</v>
      </c>
      <c r="LP42" s="417">
        <f>VLOOKUP($LO$8,'Jan-2026 rates'!$H:$I,2,0)</f>
        <v>0</v>
      </c>
      <c r="LQ42" s="417">
        <f t="shared" si="36"/>
        <v>0</v>
      </c>
      <c r="LR42" s="417">
        <f>VLOOKUP($LQ$8,'Jan-2026 rates'!$H:$I,2,0)</f>
        <v>0</v>
      </c>
      <c r="LS42" s="417">
        <f t="shared" si="37"/>
        <v>58.5</v>
      </c>
      <c r="LT42" s="417">
        <f>VLOOKUP($LS$8,'Jan-2026 rates'!$H:$I,2,0)</f>
        <v>0</v>
      </c>
      <c r="LU42" s="417">
        <f t="shared" si="38"/>
        <v>23.400000000000002</v>
      </c>
      <c r="LV42" s="417">
        <f>VLOOKUP($LU$8,'Jan-2026 rates'!$H:$I,2,0)</f>
        <v>0</v>
      </c>
      <c r="LW42" s="417">
        <f t="shared" si="39"/>
        <v>0</v>
      </c>
      <c r="LX42" s="417">
        <f t="shared" si="40"/>
        <v>0</v>
      </c>
      <c r="LY42" s="418">
        <f t="shared" si="41"/>
        <v>0</v>
      </c>
      <c r="LZ42" s="417"/>
      <c r="MA42" s="435">
        <f t="shared" si="42"/>
        <v>104.4</v>
      </c>
      <c r="MB42" s="282">
        <f t="shared" si="43"/>
        <v>234.4</v>
      </c>
      <c r="MC42" s="283" t="s">
        <v>1970</v>
      </c>
      <c r="MD42" s="284" t="str">
        <f t="shared" si="44"/>
        <v>ToyoLiToyoLiToyoLiToyoLiToyoLi</v>
      </c>
      <c r="ME42" s="293" t="str">
        <f t="shared" si="45"/>
        <v>+</v>
      </c>
      <c r="MF42" s="293" t="str">
        <f t="shared" si="46"/>
        <v>+</v>
      </c>
      <c r="MG42" s="293" t="str">
        <f t="shared" si="47"/>
        <v>+</v>
      </c>
      <c r="MH42" s="293" t="str">
        <f t="shared" si="48"/>
        <v>+</v>
      </c>
      <c r="MI42" s="293" t="str">
        <f t="shared" si="49"/>
        <v>+</v>
      </c>
      <c r="MJ42" s="293" t="str">
        <f t="shared" si="50"/>
        <v>NIL</v>
      </c>
      <c r="MK42" s="293" t="str">
        <f t="shared" si="51"/>
        <v>NIL</v>
      </c>
      <c r="ML42" s="293" t="str">
        <f t="shared" si="52"/>
        <v>NIL</v>
      </c>
      <c r="MM42" s="3" t="b">
        <f t="array" ref="MM42">OR(ME42:ML42="-")</f>
        <v>0</v>
      </c>
      <c r="MN42" s="285"/>
      <c r="MO42" s="401"/>
      <c r="MP42" s="286"/>
      <c r="MQ42" s="286"/>
      <c r="MR42" s="402"/>
      <c r="MS42" s="400"/>
      <c r="NH42" s="422"/>
      <c r="NJ42" s="421"/>
    </row>
    <row r="43" spans="1:374" s="1" customFormat="1" ht="16.5">
      <c r="A43" s="403">
        <v>46028</v>
      </c>
      <c r="B43" s="404" t="s">
        <v>1015</v>
      </c>
      <c r="C43" s="405" t="s">
        <v>2800</v>
      </c>
      <c r="D43" s="406" t="s">
        <v>1971</v>
      </c>
      <c r="E43" s="404">
        <v>484</v>
      </c>
      <c r="F43" s="407">
        <v>27100</v>
      </c>
      <c r="G43" s="407" t="s">
        <v>1016</v>
      </c>
      <c r="H43" s="408" t="s">
        <v>1017</v>
      </c>
      <c r="I43" s="409">
        <v>1.6</v>
      </c>
      <c r="J43" s="405" t="s">
        <v>546</v>
      </c>
      <c r="K43" s="404" t="s">
        <v>2801</v>
      </c>
      <c r="L43" s="419" t="str">
        <f t="shared" si="0"/>
        <v>ToyoLi - REFLEX BLUE</v>
      </c>
      <c r="M43" s="404">
        <v>28</v>
      </c>
      <c r="N43" s="410">
        <f>IF(M43=0,0,IF($LB43=70%,VLOOKUP($L43,'Jan-2026 rates'!$L:$R,4,0),IF($LB43=65%,VLOOKUP($L43,'Jan-2026 rates'!$L:$R,4,0),IF($LB43=40%,VLOOKUP($L43,'Jan-2026 rates'!$L:$R,5,0),IF($LB43=30%,VLOOKUP($L43,'Jan-2026 rates'!$L:$R,6,0),IF($LB43=100%,VLOOKUP($L43,'Jan-2026 rates'!$L:$R,7,0),IF($LB43=60%,VLOOKUP($L43,'Jan-2026 rates'!$L:$S,8,0),IF($LB43=80%,VLOOKUP($L43,'Jan-2026 rates'!L:T,9,0),0))))))))</f>
        <v>0</v>
      </c>
      <c r="O43" s="406"/>
      <c r="P43" s="404"/>
      <c r="Q43" s="410">
        <f>IF(P43=0,0,IF($LB43=70%,VLOOKUP($L43,'Jan-2026 rates'!$L:$R,4,0),IF($LB43=65%,VLOOKUP($L43,'Jan-2026 rates'!$L:$R,4,0),IF($LB43=40%,VLOOKUP($L43,'Jan-2026 rates'!$L:$R,5,0),IF($LB43=30%,VLOOKUP($L43,'Jan-2026 rates'!$L:$R,6,0),IF($LB43=100%,VLOOKUP($L43,'Jan-2026 rates'!$L:$R,7,0),IF($LB43=60%,VLOOKUP($L43,'Jan-2026 rates'!$L:$S,8,0),IF($LB43=80%,VLOOKUP($L43,'Jan-2026 rates'!L:T,9,0),0))))))))</f>
        <v>0</v>
      </c>
      <c r="R43" s="406" t="s">
        <v>1250</v>
      </c>
      <c r="S43" s="406" t="s">
        <v>1880</v>
      </c>
      <c r="T43" s="406"/>
      <c r="U43" s="406"/>
      <c r="V43" s="406"/>
      <c r="W43" s="406"/>
      <c r="X43" s="406"/>
      <c r="Y43" s="406"/>
      <c r="Z43" s="404">
        <f>6+2+10</f>
        <v>18</v>
      </c>
      <c r="AA43" s="398">
        <f>IF(Z43=0,0,IF(LEN(R43)=11,_xlfn.XLOOKUP(R43,'Dispensed Ink Rates'!C:C,'Dispensed Ink Rates'!CS:CS),VLOOKUP(R43,'Jan-2026 rates'!$E:$F,2,0)))</f>
        <v>0</v>
      </c>
      <c r="AB43" s="404">
        <v>0.5</v>
      </c>
      <c r="AC43" s="398">
        <f>IF(AB43=0,0,IF(LEN(S43)=11,_xlfn.XLOOKUP(S43,'Dispensed Ink Rates'!C:C,'Dispensed Ink Rates'!CS:CS),VLOOKUP(S43,'Jan-2026 rates'!$E:$F,2,0)))</f>
        <v>0</v>
      </c>
      <c r="AD43" s="404"/>
      <c r="AE43" s="398">
        <f>IF(AD43=0,0,IF(LEN(T43)=11,_xlfn.XLOOKUP(T43,'Dispensed Ink Rates'!C:C,'Dispensed Ink Rates'!CS:CS),VLOOKUP(T43,'Jan-2026 rates'!$E:$F,2,0)))</f>
        <v>0</v>
      </c>
      <c r="AF43" s="404"/>
      <c r="AG43" s="398">
        <f>IF(AF43=0,0,IF(LEN(U43)=11,_xlfn.XLOOKUP(U43,'Dispensed Ink Rates'!C:C,'Dispensed Ink Rates'!CS:CS),VLOOKUP(U43,'Jan-2026 rates'!$E:$F,2,0)))</f>
        <v>0</v>
      </c>
      <c r="AH43" s="404"/>
      <c r="AI43" s="398">
        <f>IF(AH43=0,0,IF(LEN(V43)=11,_xlfn.XLOOKUP(V43,'Dispensed Ink Rates'!C:C,'Dispensed Ink Rates'!CS:CS),VLOOKUP(V43,'Jan-2026 rates'!$E:$F,2,0)))</f>
        <v>0</v>
      </c>
      <c r="AJ43" s="404"/>
      <c r="AK43" s="398">
        <f>IF(AJ43=0,0,IF(LEN(W43)=11,_xlfn.XLOOKUP(W43,'Dispensed Ink Rates'!C:C,'Dispensed Ink Rates'!CS:CS),VLOOKUP(W43,'Jan-2026 rates'!$E:$F,2,0)))</f>
        <v>0</v>
      </c>
      <c r="AL43" s="404"/>
      <c r="AM43" s="398">
        <f>IF(AL43=0,0,IF(LEN(X43)=11,_xlfn.XLOOKUP(X43,'Dispensed Ink Rates'!C:C,'Dispensed Ink Rates'!CS:CS),VLOOKUP(X43,'Jan-2026 rates'!$E:$F,2,0)))</f>
        <v>0</v>
      </c>
      <c r="AN43" s="404"/>
      <c r="AO43" s="398">
        <f>IF(AN43=0,0,IF(LEN(Y43)=11,_xlfn.XLOOKUP(Y43,'Dispensed Ink Rates'!C:C,'Dispensed Ink Rates'!CS:CS),VLOOKUP(Y43,'Jan-2026 rates'!$E:$F,2,0)))</f>
        <v>0</v>
      </c>
      <c r="AP43" s="409" t="s">
        <v>1881</v>
      </c>
      <c r="AQ43" s="409">
        <v>26</v>
      </c>
      <c r="AR43" s="410">
        <f t="shared" si="1"/>
        <v>0</v>
      </c>
      <c r="AS43" s="411">
        <f t="shared" si="2"/>
        <v>32.571428571428569</v>
      </c>
      <c r="AT43" s="410">
        <f t="shared" si="3"/>
        <v>0</v>
      </c>
      <c r="AU43" s="405" t="s">
        <v>856</v>
      </c>
      <c r="AV43" s="409" t="s">
        <v>2802</v>
      </c>
      <c r="AW43" s="420" t="str">
        <f t="shared" ref="AW43:AW140" si="53">CONCATENATE(CA43," - ",AU43)</f>
        <v>ToyoLi - WHITE</v>
      </c>
      <c r="AX43" s="409">
        <v>24</v>
      </c>
      <c r="AY43" s="411">
        <f>IF(AX43=0,0,IF($LB43=70%,VLOOKUP($AW43,'Jan-2026 rates'!$L:$R,4,0),IF($LB43=65%,VLOOKUP($AW43,'Jan-2026 rates'!$L:$R,4,0),IF($LB43=40%,VLOOKUP($AW43,'Jan-2026 rates'!$L:$R,5,0),IF($LB43=30%,VLOOKUP($AW43,'Jan-2026 rates'!$L:$R,6,0),IF($LB43=100%,VLOOKUP($AW43,'Jan-2026 rates'!$L:$R,7,0),IF($LB43=60%,VLOOKUP($AW43,'Jan-2026 rates'!$L:$S,8,0),IF($LB43=80%,VLOOKUP($AW43,'Jan-2026 rates'!L:T,9,0),0))))))))</f>
        <v>0</v>
      </c>
      <c r="AZ43" s="412"/>
      <c r="BA43" s="409"/>
      <c r="BB43" s="411">
        <f>IF(BA43=0,0,IF($LB43=70%,VLOOKUP($AW43,'Jan-2026 rates'!$L:$R,4,0),IF($LB43=65%,VLOOKUP($AW43,'Jan-2026 rates'!$L:$R,4,0),IF($LB43=40%,VLOOKUP($AW43,'Jan-2026 rates'!$L:$R,5,0),IF($LB43=30%,VLOOKUP($AW43,'Jan-2026 rates'!$L:$R,6,0),IF($LB43=100%,VLOOKUP($AW43,'Jan-2026 rates'!$L:$R,7,0),IF($LB43=60%,VLOOKUP($AW43,'Jan-2026 rates'!$L:$S,8,0),IF($LB43=80%,VLOOKUP($AW43,'Jan-2026 rates'!L:T,9,0),0))))))))</f>
        <v>0</v>
      </c>
      <c r="BC43" s="413" t="s">
        <v>1249</v>
      </c>
      <c r="BD43" s="412"/>
      <c r="BE43" s="412"/>
      <c r="BF43" s="413"/>
      <c r="BG43" s="412"/>
      <c r="BH43" s="412"/>
      <c r="BI43" s="412"/>
      <c r="BJ43" s="412"/>
      <c r="BK43" s="409">
        <f>50+60</f>
        <v>110</v>
      </c>
      <c r="BL43" s="398">
        <f>IF(BK43=0,0,IF(LEN(BC43)=11,_xlfn.XLOOKUP(BC43,'Dispensed Ink Rates'!C:C,'Dispensed Ink Rates'!CS:CS),VLOOKUP(BC43,'Jan-2026 rates'!$E:$F,2,0)))</f>
        <v>0</v>
      </c>
      <c r="BM43" s="409"/>
      <c r="BN43" s="398">
        <f>IF(BM43=0,0,IF(LEN(BD43)=11,_xlfn.XLOOKUP(BD43,'Dispensed Ink Rates'!C:C,'Dispensed Ink Rates'!CS:CS),VLOOKUP(BD43,'Jan-2026 rates'!$E:$F,2,0)))</f>
        <v>0</v>
      </c>
      <c r="BO43" s="409"/>
      <c r="BP43" s="398">
        <f>IF(BO43=0,0,IF(LEN(BE43)=11,_xlfn.XLOOKUP(BE43,'Dispensed Ink Rates'!C:C,'Dispensed Ink Rates'!CS:CS),VLOOKUP(BE43,'Jan-2026 rates'!$E:$F,2,0)))</f>
        <v>0</v>
      </c>
      <c r="BQ43" s="409"/>
      <c r="BR43" s="398">
        <f>IF(BQ43=0,0,IF(LEN(BF43)=11,_xlfn.XLOOKUP(BF43,'Dispensed Ink Rates'!C:C,'Dispensed Ink Rates'!CS:CS),VLOOKUP(BF43,'Jan-2026 rates'!$E:$F,2,0)))</f>
        <v>0</v>
      </c>
      <c r="BS43" s="409"/>
      <c r="BT43" s="398">
        <f>IF(BS43=0,0,IF(LEN(BG43)=11,_xlfn.XLOOKUP(BG43,'Dispensed Ink Rates'!C:C,'Dispensed Ink Rates'!CS:CS),VLOOKUP(BG43,'Jan-2026 rates'!$E:$F,2,0)))</f>
        <v>0</v>
      </c>
      <c r="BU43" s="409"/>
      <c r="BV43" s="398">
        <f>IF(BU43=0,0,IF(LEN(BH43)=11,_xlfn.XLOOKUP(BH43,'Dispensed Ink Rates'!C:C,'Dispensed Ink Rates'!CS:CS),VLOOKUP(BH43,'Jan-2026 rates'!$E:$F,2,0)))</f>
        <v>0</v>
      </c>
      <c r="BW43" s="409"/>
      <c r="BX43" s="398">
        <f>IF(BW43=0,0,IF(LEN(BI43)=11,_xlfn.XLOOKUP(BI43,'Dispensed Ink Rates'!C:C,'Dispensed Ink Rates'!CS:CS),VLOOKUP(BI43,'Jan-2026 rates'!$E:$F,2,0)))</f>
        <v>0</v>
      </c>
      <c r="BY43" s="409"/>
      <c r="BZ43" s="398">
        <f>IF(BY43=0,0,IF(LEN(BJ43)=11,_xlfn.XLOOKUP(BJ43,'Dispensed Ink Rates'!C:C,'Dispensed Ink Rates'!CS:CS),VLOOKUP(BJ43,'Jan-2026 rates'!$E:$F,2,0)))</f>
        <v>0</v>
      </c>
      <c r="CA43" s="409" t="s">
        <v>1881</v>
      </c>
      <c r="CB43" s="409">
        <v>30</v>
      </c>
      <c r="CC43" s="411">
        <f t="shared" si="5"/>
        <v>0</v>
      </c>
      <c r="CD43" s="411">
        <f t="shared" si="6"/>
        <v>260.92857142857144</v>
      </c>
      <c r="CE43" s="410">
        <f t="shared" si="7"/>
        <v>0</v>
      </c>
      <c r="CF43" s="404"/>
      <c r="CG43" s="409"/>
      <c r="CH43" s="420" t="str">
        <f t="shared" si="8"/>
        <v xml:space="preserve"> - </v>
      </c>
      <c r="CI43" s="409"/>
      <c r="CJ43" s="411">
        <f>IF(CI43=0,0,IF($LB43=70%,VLOOKUP($CH43,'Jan-2026 rates'!$L:$R,4,0),IF($LB43=65%,VLOOKUP($CH43,'Jan-2026 rates'!$L:$R,4,0),IF($LB43=40%,VLOOKUP($CH43,'Jan-2026 rates'!$L:$R,5,0),IF($LB43=30%,VLOOKUP($CH43,'Jan-2026 rates'!$L:$R,6,0),IF($LB43=100%,VLOOKUP($CH43,'Jan-2026 rates'!$L:$R,7,0),IF($LB43=60%,VLOOKUP($CH43,'Jan-2026 rates'!$L:$S,8,0),IF($LB43=80%,VLOOKUP($CH43,'Jan-2026 rates'!L:T,9,0),0))))))))</f>
        <v>0</v>
      </c>
      <c r="CK43" s="412"/>
      <c r="CL43" s="409"/>
      <c r="CM43" s="411">
        <f>IF(CL43=0,0,IF($LB43=70%,VLOOKUP($CH43,'Jan-2026 rates'!$L:$R,4,0),IF($LB43=65%,VLOOKUP($CH43,'Jan-2026 rates'!$L:$R,4,0),IF($LB43=40%,VLOOKUP($CH43,'Jan-2026 rates'!$L:$R,5,0),IF($LB43=30%,VLOOKUP($CH43,'Jan-2026 rates'!$L:$R,6,0),IF($LB43=100%,VLOOKUP($CH43,'Jan-2026 rates'!$L:$R,7,0),IF($LB43=60%,VLOOKUP($CH43,'Jan-2026 rates'!$L:$S,8,0),IF($LB43=80%,VLOOKUP($CH43,'Jan-2026 rates'!L:T,9,0),0))))))))</f>
        <v>0</v>
      </c>
      <c r="CN43" s="426"/>
      <c r="CO43" s="427"/>
      <c r="CP43" s="426"/>
      <c r="CQ43" s="426"/>
      <c r="CR43" s="428"/>
      <c r="CS43" s="428"/>
      <c r="CT43" s="428"/>
      <c r="CU43" s="428"/>
      <c r="CV43" s="409"/>
      <c r="CW43" s="398">
        <f>IF(CV43=0,0,IF(LEN(CN43)=11,_xlfn.XLOOKUP(CN43,'Dispensed Ink Rates'!C:C,'Dispensed Ink Rates'!CS:CS),VLOOKUP(CN43,'Jan-2026 rates'!$E:$F,2,0)))</f>
        <v>0</v>
      </c>
      <c r="CX43" s="409"/>
      <c r="CY43" s="398">
        <f>IF(CX43=0,0,IF(LEN(CO43)=11,_xlfn.XLOOKUP(CO43,'Dispensed Ink Rates'!C:C,'Dispensed Ink Rates'!CS:CS),VLOOKUP(CO43,'Jan-2026 rates'!$E:$F,2,0)))</f>
        <v>0</v>
      </c>
      <c r="CZ43" s="409"/>
      <c r="DA43" s="398">
        <f>IF(CZ43=0,0,IF(LEN(CP43)=11,_xlfn.XLOOKUP(CP43,'Dispensed Ink Rates'!C:C,'Dispensed Ink Rates'!CS:CS),VLOOKUP(CP43,'Jan-2026 rates'!$E:$F,2,0)))</f>
        <v>0</v>
      </c>
      <c r="DB43" s="409"/>
      <c r="DC43" s="398">
        <f>IF(DB43=0,0,IF(LEN(CQ43)=11,_xlfn.XLOOKUP(CQ43,'Dispensed Ink Rates'!C:C,'Dispensed Ink Rates'!CS:CS),VLOOKUP(CQ43,'Jan-2026 rates'!$E:$F,2,0)))</f>
        <v>0</v>
      </c>
      <c r="DD43" s="409"/>
      <c r="DE43" s="398">
        <f>IF(DD43=0,0,IF(LEN(CR43)=11,_xlfn.XLOOKUP(CR43,'Dispensed Ink Rates'!C:C,'Dispensed Ink Rates'!CS:CS),VLOOKUP(CR43,'Jan-2026 rates'!$E:$F,2,0)))</f>
        <v>0</v>
      </c>
      <c r="DF43" s="409"/>
      <c r="DG43" s="398">
        <f>IF(DF43=0,0,IF(LEN(CS43)=11,_xlfn.XLOOKUP(CS43,'Dispensed Ink Rates'!C:C,'Dispensed Ink Rates'!CS:CS),VLOOKUP(CS43,'Jan-2026 rates'!$E:$F,2,0)))</f>
        <v>0</v>
      </c>
      <c r="DH43" s="409"/>
      <c r="DI43" s="398">
        <f>IF(DH43=0,0,IF(LEN(CT43)=11,_xlfn.XLOOKUP(CT43,'Dispensed Ink Rates'!C:C,'Dispensed Ink Rates'!CS:CS),VLOOKUP(CT43,'Jan-2026 rates'!$E:$F,2,0)))</f>
        <v>0</v>
      </c>
      <c r="DJ43" s="409"/>
      <c r="DK43" s="398">
        <f>IF(DJ43=0,0,IF(LEN(CU43)=11,_xlfn.XLOOKUP(CU43,'Dispensed Ink Rates'!C:C,'Dispensed Ink Rates'!CS:CS),VLOOKUP(CU43,'Jan-2026 rates'!$E:$F,2,0)))</f>
        <v>0</v>
      </c>
      <c r="DL43" s="409"/>
      <c r="DM43" s="409"/>
      <c r="DN43" s="411">
        <f t="shared" si="9"/>
        <v>0</v>
      </c>
      <c r="DO43" s="411">
        <f t="shared" si="10"/>
        <v>0</v>
      </c>
      <c r="DP43" s="410">
        <f t="shared" si="11"/>
        <v>0</v>
      </c>
      <c r="DQ43" s="405"/>
      <c r="DR43" s="409"/>
      <c r="DS43" s="420" t="str">
        <f t="shared" si="12"/>
        <v xml:space="preserve"> - </v>
      </c>
      <c r="DT43" s="409"/>
      <c r="DU43" s="411">
        <f>IF(DT43=0,0,IF($LB43=70%,VLOOKUP($DS43,'Jan-2026 rates'!$L:$R,4,0),IF($LB43=65%,VLOOKUP($DS43,'Jan-2026 rates'!$L:$R,4,0),IF($LB43=40%,VLOOKUP($DS43,'Jan-2026 rates'!$L:$R,5,0),IF($LB43=30%,VLOOKUP($DS43,'Jan-2026 rates'!$L:$R,6,0),IF($LB43=100%,VLOOKUP($DS43,'Jan-2026 rates'!$L:$R,7,0),IF($LB43=60%,VLOOKUP($DS43,'Jan-2026 rates'!$L:$S,8,0),IF($LB43=80%,VLOOKUP($DS43,'Jan-2026 rates'!L:T,9,0),0))))))))</f>
        <v>0</v>
      </c>
      <c r="DV43" s="412"/>
      <c r="DW43" s="409"/>
      <c r="DX43" s="411">
        <f>IF(DW43=0,0,IF($LB43=70%,VLOOKUP($DS43,'Jan-2026 rates'!$L:$R,4,0),IF($LB43=65%,VLOOKUP($DS43,'Jan-2026 rates'!$L:$R,4,0),IF($LB43=40%,VLOOKUP($DS43,'Jan-2026 rates'!$L:$R,5,0),IF($LB43=30%,VLOOKUP($DS43,'Jan-2026 rates'!$L:$R,6,0),IF($LB43=100%,VLOOKUP($DS43,'Jan-2026 rates'!$L:$R,7,0),IF($LB43=60%,VLOOKUP($DS43,'Jan-2026 rates'!$L:$S,8,0),IF($LB43=80%,VLOOKUP($DS43,'Jan-2026 rates'!L:T,9,0),0))))))))</f>
        <v>0</v>
      </c>
      <c r="DY43" s="413"/>
      <c r="DZ43" s="413"/>
      <c r="EA43" s="412"/>
      <c r="EB43" s="412"/>
      <c r="EC43" s="412"/>
      <c r="ED43" s="412"/>
      <c r="EE43" s="412"/>
      <c r="EF43" s="412"/>
      <c r="EG43" s="409"/>
      <c r="EH43" s="398">
        <f>IF(EG43=0,0,IF(LEN(DY43)=11,_xlfn.XLOOKUP(DY43,'Dispensed Ink Rates'!C:C,'Dispensed Ink Rates'!CS:CS),VLOOKUP(DY43,'Jan-2026 rates'!$E:$F,2,0)))</f>
        <v>0</v>
      </c>
      <c r="EI43" s="409"/>
      <c r="EJ43" s="398">
        <f>IF(EI43=0,0,IF(LEN(DZ43)=11,_xlfn.XLOOKUP(DZ43,'Dispensed Ink Rates'!C:C,'Dispensed Ink Rates'!CS:CS),VLOOKUP(DZ43,'Jan-2026 rates'!$E:$F,2,0)))</f>
        <v>0</v>
      </c>
      <c r="EK43" s="409"/>
      <c r="EL43" s="398">
        <f>IF(EK43=0,0,IF(LEN(EA43)=11,_xlfn.XLOOKUP(EA43,'Dispensed Ink Rates'!C:C,'Dispensed Ink Rates'!CS:CS),VLOOKUP(EA43,'Jan-2026 rates'!$E:$F,2,0)))</f>
        <v>0</v>
      </c>
      <c r="EM43" s="409"/>
      <c r="EN43" s="398">
        <f>IF(EM43=0,0,IF(LEN(EB43)=11,_xlfn.XLOOKUP(EB43,'Dispensed Ink Rates'!C:C,'Dispensed Ink Rates'!CS:CS),VLOOKUP(EB43,'Jan-2026 rates'!$E:$F,2,0)))</f>
        <v>0</v>
      </c>
      <c r="EO43" s="409"/>
      <c r="EP43" s="398">
        <f>IF(EO43=0,0,IF(LEN(EC43)=11,_xlfn.XLOOKUP(EC43,'Dispensed Ink Rates'!C:C,'Dispensed Ink Rates'!CS:CS),VLOOKUP(EC43,'Jan-2026 rates'!$E:$F,2,0)))</f>
        <v>0</v>
      </c>
      <c r="EQ43" s="409"/>
      <c r="ER43" s="398">
        <f>IF(EQ43=0,0,IF(LEN(ED43)=11,_xlfn.XLOOKUP(ED43,'Dispensed Ink Rates'!C:C,'Dispensed Ink Rates'!CS:CS),VLOOKUP(ED43,'Jan-2026 rates'!$E:$F,2,0)))</f>
        <v>0</v>
      </c>
      <c r="ES43" s="409"/>
      <c r="ET43" s="398">
        <f>IF(ES43=0,0,IF(LEN(EE43)=11,_xlfn.XLOOKUP(EE43,'Dispensed Ink Rates'!C:C,'Dispensed Ink Rates'!CS:CS),VLOOKUP(EE43,'Jan-2026 rates'!$E:$F,2,0)))</f>
        <v>0</v>
      </c>
      <c r="EU43" s="409"/>
      <c r="EV43" s="398">
        <f>IF(EU43=0,0,IF(LEN(EF43)=11,_xlfn.XLOOKUP(EF43,'Dispensed Ink Rates'!C:C,'Dispensed Ink Rates'!CS:CS),VLOOKUP(EF43,'Jan-2026 rates'!$E:$F,2,0)))</f>
        <v>0</v>
      </c>
      <c r="EW43" s="409"/>
      <c r="EX43" s="409"/>
      <c r="EY43" s="411">
        <f t="shared" si="13"/>
        <v>0</v>
      </c>
      <c r="EZ43" s="411">
        <f t="shared" si="14"/>
        <v>0</v>
      </c>
      <c r="FA43" s="410">
        <f t="shared" si="15"/>
        <v>0</v>
      </c>
      <c r="FB43" s="405"/>
      <c r="FC43" s="409"/>
      <c r="FD43" s="420" t="str">
        <f t="shared" si="16"/>
        <v xml:space="preserve"> - </v>
      </c>
      <c r="FE43" s="409"/>
      <c r="FF43" s="411">
        <f>IF(FE43=0,0,IF($LB43=70%,VLOOKUP($FD43,'Jan-2026 rates'!$L:$R,4,0),IF($LB43=65%,VLOOKUP($FD43,'Jan-2026 rates'!$L:$R,4,0),IF($LB43=40%,VLOOKUP($FD43,'Jan-2026 rates'!$L:$R,5,0),IF($LB43=30%,VLOOKUP($FD43,'Jan-2026 rates'!$L:$R,6,0),IF($LB43=100%,VLOOKUP($FD43,'Jan-2026 rates'!$L:$R,7,0),IF($LB43=60%,VLOOKUP($FD43,'Jan-2026 rates'!$L:$S,8,0),IF($LB43=80%,VLOOKUP($FD43,'Jan-2026 rates'!L:T,9,0),0))))))))</f>
        <v>0</v>
      </c>
      <c r="FG43" s="412"/>
      <c r="FH43" s="409"/>
      <c r="FI43" s="411">
        <f>IF(FH43=0,0,IF($LB43=70%,VLOOKUP($FD43,'Jan-2026 rates'!$L:$R,4,0),IF($LB43=65%,VLOOKUP($FD43,'Jan-2026 rates'!$L:$R,4,0),IF($LB43=40%,VLOOKUP($FD43,'Jan-2026 rates'!$L:$R,5,0),IF($LB43=30%,VLOOKUP($FD43,'Jan-2026 rates'!$L:$R,6,0),IF($LB43=100%,VLOOKUP($FD43,'Jan-2026 rates'!$L:$R,7,0),IF($LB43=60%,VLOOKUP($FD43,'Jan-2026 rates'!$L:$S,8,0),IF($LB43=80%,VLOOKUP($FD43,'Jan-2026 rates'!L:T,9,0),0))))))))</f>
        <v>0</v>
      </c>
      <c r="FJ43" s="413"/>
      <c r="FK43" s="413"/>
      <c r="FL43" s="413"/>
      <c r="FM43" s="412"/>
      <c r="FN43" s="412"/>
      <c r="FO43" s="412"/>
      <c r="FP43" s="412"/>
      <c r="FQ43" s="412"/>
      <c r="FR43" s="409"/>
      <c r="FS43" s="398">
        <f>IF(FR43=0,0,IF(LEN(FJ43)=11,_xlfn.XLOOKUP(FJ43,'Dispensed Ink Rates'!C:C,'Dispensed Ink Rates'!CS:CS),VLOOKUP(FJ43,'Jan-2026 rates'!$E:$F,2,0)))</f>
        <v>0</v>
      </c>
      <c r="FT43" s="409"/>
      <c r="FU43" s="398">
        <f>IF(FT43=0,0,IF(LEN(FK43)=11,_xlfn.XLOOKUP(FK43,'Dispensed Ink Rates'!C:C,'Dispensed Ink Rates'!CS:CS),VLOOKUP(FK43,'Jan-2026 rates'!$E:$F,2,0)))</f>
        <v>0</v>
      </c>
      <c r="FV43" s="409"/>
      <c r="FW43" s="398">
        <f>IF(FV43=0,0,IF(LEN(FL43)=11,_xlfn.XLOOKUP(FL43,'Dispensed Ink Rates'!C:C,'Dispensed Ink Rates'!CS:CS),VLOOKUP(FL43,'Jan-2026 rates'!$E:$F,2,0)))</f>
        <v>0</v>
      </c>
      <c r="FX43" s="409"/>
      <c r="FY43" s="398">
        <f>IF(FX43=0,0,IF(LEN(FM43)=11,_xlfn.XLOOKUP(FM43,'Dispensed Ink Rates'!C:C,'Dispensed Ink Rates'!CS:CS),VLOOKUP(FM43,'Jan-2026 rates'!$E:$F,2,0)))</f>
        <v>0</v>
      </c>
      <c r="FZ43" s="409"/>
      <c r="GA43" s="398">
        <f>IF(FZ43=0,0,IF(LEN(FN43)=11,_xlfn.XLOOKUP(FN43,'Dispensed Ink Rates'!C:C,'Dispensed Ink Rates'!CS:CS),VLOOKUP(FN43,'Jan-2026 rates'!$E:$F,2,0)))</f>
        <v>0</v>
      </c>
      <c r="GB43" s="409"/>
      <c r="GC43" s="398">
        <f>IF(GB43=0,0,IF(LEN(FO43)=11,_xlfn.XLOOKUP(FO43,'Dispensed Ink Rates'!C:C,'Dispensed Ink Rates'!CS:CS),VLOOKUP(FO43,'Jan-2026 rates'!$E:$F,2,0)))</f>
        <v>0</v>
      </c>
      <c r="GD43" s="409"/>
      <c r="GE43" s="398">
        <f>IF(GD43=0,0,IF(LEN(FP43)=11,_xlfn.XLOOKUP(FP43,'Dispensed Ink Rates'!C:C,'Dispensed Ink Rates'!CS:CS),VLOOKUP(FP43,'Jan-2026 rates'!$E:$F,2,0)))</f>
        <v>0</v>
      </c>
      <c r="GF43" s="409"/>
      <c r="GG43" s="398">
        <f>IF(GF43=0,0,IF(LEN(FQ43)=11,_xlfn.XLOOKUP(FQ43,'Dispensed Ink Rates'!C:C,'Dispensed Ink Rates'!CS:CS),VLOOKUP(FQ43,'Jan-2026 rates'!$E:$F,2,0)))</f>
        <v>0</v>
      </c>
      <c r="GH43" s="409"/>
      <c r="GI43" s="409"/>
      <c r="GJ43" s="411">
        <f t="shared" si="17"/>
        <v>0</v>
      </c>
      <c r="GK43" s="411">
        <f t="shared" si="18"/>
        <v>0</v>
      </c>
      <c r="GL43" s="410">
        <f t="shared" si="19"/>
        <v>0</v>
      </c>
      <c r="GM43" s="405"/>
      <c r="GN43" s="409"/>
      <c r="GO43" s="420" t="str">
        <f t="shared" si="20"/>
        <v xml:space="preserve"> - </v>
      </c>
      <c r="GP43" s="409"/>
      <c r="GQ43" s="411">
        <f>IF(GP43=0,0,IF($LB43=70%,VLOOKUP($GO43,'Jan-2026 rates'!$L:$R,4,0),IF($LB43=65%,VLOOKUP($GO43,'Jan-2026 rates'!$L:$R,4,0),IF($LB43=40%,VLOOKUP($GO43,'Jan-2026 rates'!$L:$R,5,0),IF($LB43=30%,VLOOKUP($GO43,'Jan-2026 rates'!$L:$R,6,0),IF($LB43=100%,VLOOKUP($GO43,'Jan-2026 rates'!$L:$R,7,0),IF($LB43=60%,VLOOKUP($GO43,'Jan-2026 rates'!$L:$S,8,0),IF($LB43=80%,VLOOKUP($GO43,'Jan-2026 rates'!L:T,9,0),0))))))))</f>
        <v>0</v>
      </c>
      <c r="GR43" s="412"/>
      <c r="GS43" s="409"/>
      <c r="GT43" s="411">
        <f>IF(GS43=0,0,IF($LB43=70%,VLOOKUP($GO43,'Jan-2026 rates'!$L:$R,4,0),IF($LB43=65%,VLOOKUP($GO43,'Jan-2026 rates'!$L:$R,4,0),IF($LB43=40%,VLOOKUP($GO43,'Jan-2026 rates'!$L:$R,5,0),IF($LB43=30%,VLOOKUP($GO43,'Jan-2026 rates'!$L:$R,6,0),IF($LB43=100%,VLOOKUP($GO43,'Jan-2026 rates'!$L:$R,7,0),IF($LB43=60%,VLOOKUP($GO43,'Jan-2026 rates'!$L:$S,8,0),IF($LB43=80%,VLOOKUP($GO43,'Jan-2026 rates'!L:T,9,0),0))))))))</f>
        <v>0</v>
      </c>
      <c r="GU43" s="413"/>
      <c r="GV43" s="413"/>
      <c r="GW43" s="412"/>
      <c r="GX43" s="412"/>
      <c r="GY43" s="412"/>
      <c r="GZ43" s="412"/>
      <c r="HA43" s="412"/>
      <c r="HB43" s="412"/>
      <c r="HC43" s="409"/>
      <c r="HD43" s="398">
        <f>IF(HC43=0,0,IF(LEN(GU43)=11,_xlfn.XLOOKUP(GU43,'Dispensed Ink Rates'!C:C,'Dispensed Ink Rates'!CS:CS),VLOOKUP(GU43,'Jan-2026 rates'!$E:$F,2,0)))</f>
        <v>0</v>
      </c>
      <c r="HE43" s="409"/>
      <c r="HF43" s="398">
        <f>IF(HE43=0,0,IF(LEN(GV43)=11,_xlfn.XLOOKUP(GV43,'Dispensed Ink Rates'!C:C,'Dispensed Ink Rates'!CS:CS),VLOOKUP(GV43,'Jan-2026 rates'!$E:$F,2,0)))</f>
        <v>0</v>
      </c>
      <c r="HG43" s="409"/>
      <c r="HH43" s="398">
        <f>IF(HG43=0,0,IF(LEN(GW43)=11,_xlfn.XLOOKUP(GW43,'Dispensed Ink Rates'!C:C,'Dispensed Ink Rates'!CS:CS),VLOOKUP(GW43,'Jan-2026 rates'!$E:$F,2,0)))</f>
        <v>0</v>
      </c>
      <c r="HI43" s="409"/>
      <c r="HJ43" s="398">
        <f>IF(HI43=0,0,IF(LEN(GX43)=11,_xlfn.XLOOKUP(GX43,'Dispensed Ink Rates'!C:C,'Dispensed Ink Rates'!CS:CS),VLOOKUP(GX43,'Jan-2026 rates'!$E:$F,2,0)))</f>
        <v>0</v>
      </c>
      <c r="HK43" s="409"/>
      <c r="HL43" s="398">
        <f>IF(HK43=0,0,IF(LEN(GY43)=11,_xlfn.XLOOKUP(GY43,'Dispensed Ink Rates'!C:C,'Dispensed Ink Rates'!CS:CS),VLOOKUP(GY43,'Jan-2026 rates'!$E:$F,2,0)))</f>
        <v>0</v>
      </c>
      <c r="HM43" s="409"/>
      <c r="HN43" s="398">
        <f>IF(HM43=0,0,IF(LEN(GZ43)=11,_xlfn.XLOOKUP(GZ43,'Dispensed Ink Rates'!C:C,'Dispensed Ink Rates'!CS:CS),VLOOKUP(GZ43,'Jan-2026 rates'!$E:$F,2,0)))</f>
        <v>0</v>
      </c>
      <c r="HO43" s="409"/>
      <c r="HP43" s="398">
        <f>IF(HO43=0,0,IF(LEN(HA43)=11,_xlfn.XLOOKUP(HA43,'Dispensed Ink Rates'!C:C,'Dispensed Ink Rates'!CS:CS),VLOOKUP(HA43,'Jan-2026 rates'!$E:$F,2,0)))</f>
        <v>0</v>
      </c>
      <c r="HQ43" s="409"/>
      <c r="HR43" s="398">
        <f>IF(HQ43=0,0,IF(LEN(HB43)=11,_xlfn.XLOOKUP(HB43,'Dispensed Ink Rates'!C:C,'Dispensed Ink Rates'!CS:CS),VLOOKUP(HB43,'Jan-2026 rates'!$E:$F,2,0)))</f>
        <v>0</v>
      </c>
      <c r="HS43" s="409"/>
      <c r="HT43" s="409"/>
      <c r="HU43" s="411">
        <f t="shared" si="21"/>
        <v>0</v>
      </c>
      <c r="HV43" s="411">
        <f t="shared" si="22"/>
        <v>0</v>
      </c>
      <c r="HW43" s="414">
        <f t="shared" si="23"/>
        <v>0</v>
      </c>
      <c r="HX43" s="405"/>
      <c r="HY43" s="409"/>
      <c r="HZ43" s="420" t="str">
        <f t="shared" si="24"/>
        <v xml:space="preserve"> - </v>
      </c>
      <c r="IA43" s="409"/>
      <c r="IB43" s="411">
        <f>IF(IA43=0,0,IF($LB43=70%,VLOOKUP($HZ43,'Jan-2026 rates'!$L:$R,4,0),IF($LB43=65%,VLOOKUP($HZ43,'Jan-2026 rates'!$L:$R,4,0),IF($LB43=40%,VLOOKUP($HZ43,'Jan-2026 rates'!$L:$R,5,0),IF($LB43=30%,VLOOKUP($HZ43,'Jan-2026 rates'!$L:$R,6,0),IF($LB43=100%,VLOOKUP($HZ43,'Jan-2026 rates'!$L:$R,7,0),IF($LB43=60%,VLOOKUP($HZ43,'Jan-2026 rates'!$L:$S,8,0),IF($LB43=80%,VLOOKUP($HZ43,'Jan-2026 rates'!L:T,9,0),0))))))))</f>
        <v>0</v>
      </c>
      <c r="IC43" s="412"/>
      <c r="ID43" s="409"/>
      <c r="IE43" s="411">
        <f>IF(ID43=0,0,IF($LB43=70%,VLOOKUP($HZ43,'Jan-2026 rates'!$L:$R,4,0),IF($LB43=65%,VLOOKUP($HZ43,'Jan-2026 rates'!$L:$R,4,0),IF($LB43=40%,VLOOKUP($HZ43,'Jan-2026 rates'!$L:$R,5,0),IF($LB43=30%,VLOOKUP($HZ43,'Jan-2026 rates'!$L:$R,6,0),IF($LB43=100%,VLOOKUP($HZ43,'Jan-2026 rates'!$L:$R,7,0),IF($LB43=60%,VLOOKUP($HZ43,'Jan-2026 rates'!$L:$S,8,0),IF($LB43=80%,VLOOKUP($HZ43,'Jan-2026 rates'!L:T,9,0),0))))))))</f>
        <v>0</v>
      </c>
      <c r="IF43" s="412"/>
      <c r="IG43" s="413"/>
      <c r="IH43" s="412"/>
      <c r="II43" s="412"/>
      <c r="IJ43" s="412"/>
      <c r="IK43" s="412"/>
      <c r="IL43" s="412"/>
      <c r="IM43" s="412"/>
      <c r="IN43" s="409"/>
      <c r="IO43" s="398">
        <f>IF(IN43=0,0,IF(LEN(IF43)=11,_xlfn.XLOOKUP(IF43,'Dispensed Ink Rates'!C:C,'Dispensed Ink Rates'!CS:CS),VLOOKUP(IF43,'Jan-2026 rates'!$E:$F,2,0)))</f>
        <v>0</v>
      </c>
      <c r="IP43" s="409"/>
      <c r="IQ43" s="398">
        <f>IF(IP43=0,0,IF(LEN(IG43)=11,_xlfn.XLOOKUP(IG43,'Dispensed Ink Rates'!C:C,'Dispensed Ink Rates'!CS:CS),VLOOKUP(IG43,'Jan-2026 rates'!$E:$F,2,0)))</f>
        <v>0</v>
      </c>
      <c r="IR43" s="409"/>
      <c r="IS43" s="398">
        <f>IF(IR43=0,0,IF(LEN(IH43)=11,_xlfn.XLOOKUP(IH43,'Dispensed Ink Rates'!C:C,'Dispensed Ink Rates'!CS:CS),VLOOKUP(IH43,'Jan-2026 rates'!$E:$F,2,0)))</f>
        <v>0</v>
      </c>
      <c r="IT43" s="409"/>
      <c r="IU43" s="398">
        <f>IF(IT43=0,0,IF(LEN(II43)=11,_xlfn.XLOOKUP(II43,'Dispensed Ink Rates'!C:C,'Dispensed Ink Rates'!CS:CS),VLOOKUP(II43,'Jan-2026 rates'!$E:$F,2,0)))</f>
        <v>0</v>
      </c>
      <c r="IV43" s="409"/>
      <c r="IW43" s="398">
        <f>IF(IV43=0,0,IF(LEN(IJ43)=11,_xlfn.XLOOKUP(IJ43,'Dispensed Ink Rates'!C:C,'Dispensed Ink Rates'!CS:CS),VLOOKUP(IJ43,'Jan-2026 rates'!$E:$F,2,0)))</f>
        <v>0</v>
      </c>
      <c r="IX43" s="409"/>
      <c r="IY43" s="398">
        <f>IF(IX43=0,0,IF(LEN(IK43)=11,_xlfn.XLOOKUP(IK43,'Dispensed Ink Rates'!C:C,'Dispensed Ink Rates'!CS:CS),VLOOKUP(IK43,'Jan-2026 rates'!$E:$F,2,0)))</f>
        <v>0</v>
      </c>
      <c r="IZ43" s="409"/>
      <c r="JA43" s="398">
        <f>IF(IZ43=0,0,IF(LEN(IL43)=11,_xlfn.XLOOKUP(IL43,'Dispensed Ink Rates'!C:C,'Dispensed Ink Rates'!CS:CS),VLOOKUP(IL43,'Jan-2026 rates'!$E:$F,2,0)))</f>
        <v>0</v>
      </c>
      <c r="JB43" s="409"/>
      <c r="JC43" s="398">
        <f>IF(JB43=0,0,IF(LEN(IM43)=11,_xlfn.XLOOKUP(IM43,'Dispensed Ink Rates'!C:C,'Dispensed Ink Rates'!CS:CS),VLOOKUP(IM43,'Jan-2026 rates'!$E:$F,2,0)))</f>
        <v>0</v>
      </c>
      <c r="JD43" s="409"/>
      <c r="JE43" s="409"/>
      <c r="JF43" s="411">
        <f t="shared" si="25"/>
        <v>0</v>
      </c>
      <c r="JG43" s="411">
        <f t="shared" si="26"/>
        <v>0</v>
      </c>
      <c r="JH43" s="410">
        <f t="shared" si="27"/>
        <v>0</v>
      </c>
      <c r="JI43" s="405"/>
      <c r="JJ43" s="409"/>
      <c r="JK43" s="420" t="str">
        <f t="shared" si="28"/>
        <v xml:space="preserve"> - </v>
      </c>
      <c r="JL43" s="409"/>
      <c r="JM43" s="411">
        <f>IF(JL43=0,0,IF($LB43=70%,VLOOKUP($JK43,'Jan-2026 rates'!$L:$R,4,0),IF($LB43=65%,VLOOKUP($JK43,'Jan-2026 rates'!$L:$R,4,0),IF($LB43=40%,VLOOKUP($JK43,'Jan-2026 rates'!$L:$R,5,0),IF($LB43=30%,VLOOKUP($JK43,'Jan-2026 rates'!$L:$R,6,0),IF($LB43=100%,VLOOKUP($JK43,'Jan-2026 rates'!$L:$R,7,0),IF($LB43=60%,VLOOKUP($JK43,'Jan-2026 rates'!$L:$S,8,0),IF($LB43=80%,VLOOKUP($JK43,'Jan-2026 rates'!L:T,9,0),0))))))))</f>
        <v>0</v>
      </c>
      <c r="JN43" s="412"/>
      <c r="JO43" s="409"/>
      <c r="JP43" s="411">
        <f>IF(JO43=0,0,IF($LB43=70%,VLOOKUP($JK43,'Jan-2026 rates'!$L:$R,4,0),IF($LB43=65%,VLOOKUP($JK43,'Jan-2026 rates'!$L:$R,4,0),IF($LB43=40%,VLOOKUP($JK43,'Jan-2026 rates'!$L:$R,5,0),IF($LB43=30%,VLOOKUP($JK43,'Jan-2026 rates'!$L:$R,6,0),IF($LB43=100%,VLOOKUP($JK43,'Jan-2026 rates'!$L:$R,7,0),IF($LB43=60%,VLOOKUP($JK43,'Jan-2026 rates'!$L:$S,8,0),IF($LB43=80%,VLOOKUP($JK43,'Jan-2026 rates'!L:T,9,0),0))))))))</f>
        <v>0</v>
      </c>
      <c r="JQ43" s="413"/>
      <c r="JR43" s="412"/>
      <c r="JS43" s="413"/>
      <c r="JT43" s="413"/>
      <c r="JU43" s="412"/>
      <c r="JV43" s="412"/>
      <c r="JW43" s="412"/>
      <c r="JX43" s="412"/>
      <c r="JY43" s="409"/>
      <c r="JZ43" s="398">
        <f>IF(JY43=0,0,IF(LEN(JQ43)=11,_xlfn.XLOOKUP(JQ43,'Dispensed Ink Rates'!C:C,'Dispensed Ink Rates'!CS:CS),VLOOKUP(JQ43,'Jan-2026 rates'!$E:$F,2,0)))</f>
        <v>0</v>
      </c>
      <c r="KA43" s="409"/>
      <c r="KB43" s="398">
        <f>IF(KA43=0,0,IF(LEN(JR43)=11,_xlfn.XLOOKUP(JR43,'Dispensed Ink Rates'!C:C,'Dispensed Ink Rates'!CS:CS),VLOOKUP(JR43,'Jan-2026 rates'!$E:$F,2,0)))</f>
        <v>0</v>
      </c>
      <c r="KC43" s="409"/>
      <c r="KD43" s="398">
        <f>IF(KC43=0,0,IF(LEN(JS43)=11,_xlfn.XLOOKUP(JS43,'Dispensed Ink Rates'!C:C,'Dispensed Ink Rates'!CS:CS),VLOOKUP(JS43,'Jan-2026 rates'!$E:$F,2,0)))</f>
        <v>0</v>
      </c>
      <c r="KE43" s="409"/>
      <c r="KF43" s="398">
        <f>IF(KE43=0,0,IF(LEN(JT43)=11,_xlfn.XLOOKUP(JT43,'Dispensed Ink Rates'!C:C,'Dispensed Ink Rates'!CS:CS),VLOOKUP(JT43,'Jan-2026 rates'!$E:$F,2,0)))</f>
        <v>0</v>
      </c>
      <c r="KG43" s="409"/>
      <c r="KH43" s="398">
        <f>IF(KG43=0,0,IF(LEN(JU43)=11,_xlfn.XLOOKUP(JU43,'Dispensed Ink Rates'!C:C,'Dispensed Ink Rates'!CS:CS),VLOOKUP(JU43,'Jan-2026 rates'!$E:$F,2,0)))</f>
        <v>0</v>
      </c>
      <c r="KI43" s="409"/>
      <c r="KJ43" s="398">
        <f>IF(KI43=0,0,IF(LEN(JV43)=11,_xlfn.XLOOKUP(JV43,'Dispensed Ink Rates'!C:C,'Dispensed Ink Rates'!CS:CS),VLOOKUP(JV43,'Jan-2026 rates'!$E:$F,2,0)))</f>
        <v>0</v>
      </c>
      <c r="KK43" s="409"/>
      <c r="KL43" s="398">
        <f>IF(KK43=0,0,IF(LEN(JW43)=11,_xlfn.XLOOKUP(JW43,'Dispensed Ink Rates'!C:C,'Dispensed Ink Rates'!CS:CS),VLOOKUP(JW43,'Jan-2026 rates'!$E:$F,2,0)))</f>
        <v>0</v>
      </c>
      <c r="KM43" s="428"/>
      <c r="KN43" s="398">
        <f>IF(KM43=0,0,IF(LEN(JX43)=11,_xlfn.XLOOKUP(JX43,'Dispensed Ink Rates'!C:C,'Dispensed Ink Rates'!CS:CS),VLOOKUP(JX43,'Jan-2026 rates'!$E:$F,2,0)))</f>
        <v>0</v>
      </c>
      <c r="KO43" s="409"/>
      <c r="KP43" s="409"/>
      <c r="KQ43" s="411">
        <f t="shared" si="29"/>
        <v>0</v>
      </c>
      <c r="KR43" s="411">
        <f t="shared" si="30"/>
        <v>0</v>
      </c>
      <c r="KS43" s="410">
        <f t="shared" si="31"/>
        <v>0</v>
      </c>
      <c r="KT43" s="409">
        <v>5</v>
      </c>
      <c r="KU43" s="409">
        <v>65</v>
      </c>
      <c r="KV43" s="409">
        <v>0</v>
      </c>
      <c r="KW43" s="409">
        <v>0</v>
      </c>
      <c r="KX43" s="409">
        <v>0</v>
      </c>
      <c r="KY43" s="409">
        <v>0</v>
      </c>
      <c r="KZ43" s="409">
        <v>0</v>
      </c>
      <c r="LA43" s="409">
        <v>0</v>
      </c>
      <c r="LB43" s="415">
        <v>0.3</v>
      </c>
      <c r="LC43" s="415"/>
      <c r="LD43" s="415"/>
      <c r="LE43" s="415">
        <v>0.5</v>
      </c>
      <c r="LF43" s="415">
        <v>0.2</v>
      </c>
      <c r="LG43" s="409">
        <v>0</v>
      </c>
      <c r="LH43" s="409">
        <f>65+40+18+4+30+12</f>
        <v>169</v>
      </c>
      <c r="LI43" s="409">
        <v>0</v>
      </c>
      <c r="LJ43" s="409">
        <v>0</v>
      </c>
      <c r="LK43" s="416">
        <f t="shared" si="32"/>
        <v>169</v>
      </c>
      <c r="LL43" s="416">
        <f t="shared" si="33"/>
        <v>169</v>
      </c>
      <c r="LM43" s="417">
        <f t="shared" si="34"/>
        <v>50.699999999999996</v>
      </c>
      <c r="LN43" s="417">
        <f>VLOOKUP($LM$8,'Jan-2026 rates'!$H:$I,2,0)</f>
        <v>0</v>
      </c>
      <c r="LO43" s="417">
        <f t="shared" si="35"/>
        <v>0</v>
      </c>
      <c r="LP43" s="417">
        <f>VLOOKUP($LO$8,'Jan-2026 rates'!$H:$I,2,0)</f>
        <v>0</v>
      </c>
      <c r="LQ43" s="417">
        <f t="shared" si="36"/>
        <v>0</v>
      </c>
      <c r="LR43" s="417">
        <f>VLOOKUP($LQ$8,'Jan-2026 rates'!$H:$I,2,0)</f>
        <v>0</v>
      </c>
      <c r="LS43" s="417">
        <f t="shared" si="37"/>
        <v>84.5</v>
      </c>
      <c r="LT43" s="417">
        <f>VLOOKUP($LS$8,'Jan-2026 rates'!$H:$I,2,0)</f>
        <v>0</v>
      </c>
      <c r="LU43" s="417">
        <f t="shared" si="38"/>
        <v>33.800000000000004</v>
      </c>
      <c r="LV43" s="417">
        <f>VLOOKUP($LU$8,'Jan-2026 rates'!$H:$I,2,0)</f>
        <v>0</v>
      </c>
      <c r="LW43" s="417">
        <f t="shared" si="39"/>
        <v>0</v>
      </c>
      <c r="LX43" s="417">
        <f t="shared" si="40"/>
        <v>0</v>
      </c>
      <c r="LY43" s="418">
        <f t="shared" si="41"/>
        <v>0</v>
      </c>
      <c r="LZ43" s="417"/>
      <c r="MA43" s="435">
        <f t="shared" si="42"/>
        <v>128.5</v>
      </c>
      <c r="MB43" s="282">
        <f t="shared" si="43"/>
        <v>293.5</v>
      </c>
      <c r="MC43" s="283" t="s">
        <v>1971</v>
      </c>
      <c r="MD43" s="284" t="str">
        <f t="shared" si="44"/>
        <v>ToyoLiToyoLi</v>
      </c>
      <c r="ME43" s="293" t="str">
        <f t="shared" si="45"/>
        <v>+</v>
      </c>
      <c r="MF43" s="293" t="str">
        <f t="shared" si="46"/>
        <v>+</v>
      </c>
      <c r="MG43" s="293" t="str">
        <f t="shared" si="47"/>
        <v>NIL</v>
      </c>
      <c r="MH43" s="293" t="str">
        <f t="shared" si="48"/>
        <v>NIL</v>
      </c>
      <c r="MI43" s="293" t="str">
        <f t="shared" si="49"/>
        <v>NIL</v>
      </c>
      <c r="MJ43" s="293" t="str">
        <f t="shared" si="50"/>
        <v>NIL</v>
      </c>
      <c r="MK43" s="293" t="str">
        <f t="shared" si="51"/>
        <v>NIL</v>
      </c>
      <c r="ML43" s="293" t="str">
        <f t="shared" si="52"/>
        <v>NIL</v>
      </c>
      <c r="MM43" s="3" t="b">
        <f t="array" ref="MM43">OR(ME43:ML43="-")</f>
        <v>0</v>
      </c>
      <c r="MN43" s="285"/>
      <c r="MO43" s="401"/>
      <c r="MP43" s="286"/>
      <c r="MQ43" s="286"/>
      <c r="MR43" s="402"/>
      <c r="MS43" s="400"/>
      <c r="NH43" s="422"/>
      <c r="NJ43" s="421"/>
    </row>
    <row r="44" spans="1:374" s="1" customFormat="1" ht="16.5">
      <c r="A44" s="403">
        <v>46028</v>
      </c>
      <c r="B44" s="404" t="s">
        <v>1015</v>
      </c>
      <c r="C44" s="405" t="s">
        <v>2803</v>
      </c>
      <c r="D44" s="406" t="s">
        <v>1972</v>
      </c>
      <c r="E44" s="404">
        <v>468</v>
      </c>
      <c r="F44" s="407">
        <v>30000</v>
      </c>
      <c r="G44" s="407" t="s">
        <v>1016</v>
      </c>
      <c r="H44" s="408" t="s">
        <v>1017</v>
      </c>
      <c r="I44" s="409">
        <v>1.91</v>
      </c>
      <c r="J44" s="405" t="s">
        <v>546</v>
      </c>
      <c r="K44" s="404" t="s">
        <v>2804</v>
      </c>
      <c r="L44" s="419" t="str">
        <f t="shared" si="0"/>
        <v>ToyoLi - REFLEX BLUE</v>
      </c>
      <c r="M44" s="404">
        <v>26</v>
      </c>
      <c r="N44" s="410">
        <f>IF(M44=0,0,IF($LB44=70%,VLOOKUP($L44,'Jan-2026 rates'!$L:$R,4,0),IF($LB44=65%,VLOOKUP($L44,'Jan-2026 rates'!$L:$R,4,0),IF($LB44=40%,VLOOKUP($L44,'Jan-2026 rates'!$L:$R,5,0),IF($LB44=30%,VLOOKUP($L44,'Jan-2026 rates'!$L:$R,6,0),IF($LB44=100%,VLOOKUP($L44,'Jan-2026 rates'!$L:$R,7,0),IF($LB44=60%,VLOOKUP($L44,'Jan-2026 rates'!$L:$S,8,0),IF($LB44=80%,VLOOKUP($L44,'Jan-2026 rates'!L:T,9,0),0))))))))</f>
        <v>0</v>
      </c>
      <c r="O44" s="406"/>
      <c r="P44" s="404"/>
      <c r="Q44" s="410">
        <f>IF(P44=0,0,IF($LB44=70%,VLOOKUP($L44,'Jan-2026 rates'!$L:$R,4,0),IF($LB44=65%,VLOOKUP($L44,'Jan-2026 rates'!$L:$R,4,0),IF($LB44=40%,VLOOKUP($L44,'Jan-2026 rates'!$L:$R,5,0),IF($LB44=30%,VLOOKUP($L44,'Jan-2026 rates'!$L:$R,6,0),IF($LB44=100%,VLOOKUP($L44,'Jan-2026 rates'!$L:$R,7,0),IF($LB44=60%,VLOOKUP($L44,'Jan-2026 rates'!$L:$S,8,0),IF($LB44=80%,VLOOKUP($L44,'Jan-2026 rates'!L:T,9,0),0))))))))</f>
        <v>0</v>
      </c>
      <c r="R44" s="406" t="s">
        <v>1880</v>
      </c>
      <c r="S44" s="406" t="s">
        <v>1250</v>
      </c>
      <c r="T44" s="406"/>
      <c r="U44" s="406"/>
      <c r="V44" s="406"/>
      <c r="W44" s="406"/>
      <c r="X44" s="406"/>
      <c r="Y44" s="406"/>
      <c r="Z44" s="404">
        <v>2</v>
      </c>
      <c r="AA44" s="398">
        <f>IF(Z44=0,0,IF(LEN(R44)=11,_xlfn.XLOOKUP(R44,'Dispensed Ink Rates'!C:C,'Dispensed Ink Rates'!CS:CS),VLOOKUP(R44,'Jan-2026 rates'!$E:$F,2,0)))</f>
        <v>0</v>
      </c>
      <c r="AB44" s="404">
        <v>2</v>
      </c>
      <c r="AC44" s="398">
        <f>IF(AB44=0,0,IF(LEN(S44)=11,_xlfn.XLOOKUP(S44,'Dispensed Ink Rates'!C:C,'Dispensed Ink Rates'!CS:CS),VLOOKUP(S44,'Jan-2026 rates'!$E:$F,2,0)))</f>
        <v>0</v>
      </c>
      <c r="AD44" s="404"/>
      <c r="AE44" s="398">
        <f>IF(AD44=0,0,IF(LEN(T44)=11,_xlfn.XLOOKUP(T44,'Dispensed Ink Rates'!C:C,'Dispensed Ink Rates'!CS:CS),VLOOKUP(T44,'Jan-2026 rates'!$E:$F,2,0)))</f>
        <v>0</v>
      </c>
      <c r="AF44" s="404"/>
      <c r="AG44" s="398">
        <f>IF(AF44=0,0,IF(LEN(U44)=11,_xlfn.XLOOKUP(U44,'Dispensed Ink Rates'!C:C,'Dispensed Ink Rates'!CS:CS),VLOOKUP(U44,'Jan-2026 rates'!$E:$F,2,0)))</f>
        <v>0</v>
      </c>
      <c r="AH44" s="404"/>
      <c r="AI44" s="398">
        <f>IF(AH44=0,0,IF(LEN(V44)=11,_xlfn.XLOOKUP(V44,'Dispensed Ink Rates'!C:C,'Dispensed Ink Rates'!CS:CS),VLOOKUP(V44,'Jan-2026 rates'!$E:$F,2,0)))</f>
        <v>0</v>
      </c>
      <c r="AJ44" s="404"/>
      <c r="AK44" s="398">
        <f>IF(AJ44=0,0,IF(LEN(W44)=11,_xlfn.XLOOKUP(W44,'Dispensed Ink Rates'!C:C,'Dispensed Ink Rates'!CS:CS),VLOOKUP(W44,'Jan-2026 rates'!$E:$F,2,0)))</f>
        <v>0</v>
      </c>
      <c r="AL44" s="404"/>
      <c r="AM44" s="398">
        <f>IF(AL44=0,0,IF(LEN(X44)=11,_xlfn.XLOOKUP(X44,'Dispensed Ink Rates'!C:C,'Dispensed Ink Rates'!CS:CS),VLOOKUP(X44,'Jan-2026 rates'!$E:$F,2,0)))</f>
        <v>0</v>
      </c>
      <c r="AN44" s="404"/>
      <c r="AO44" s="398">
        <f>IF(AN44=0,0,IF(LEN(Y44)=11,_xlfn.XLOOKUP(Y44,'Dispensed Ink Rates'!C:C,'Dispensed Ink Rates'!CS:CS),VLOOKUP(Y44,'Jan-2026 rates'!$E:$F,2,0)))</f>
        <v>0</v>
      </c>
      <c r="AP44" s="409" t="s">
        <v>1881</v>
      </c>
      <c r="AQ44" s="409">
        <v>17</v>
      </c>
      <c r="AR44" s="410">
        <f t="shared" si="1"/>
        <v>0</v>
      </c>
      <c r="AS44" s="411">
        <f t="shared" si="2"/>
        <v>24.265060240963855</v>
      </c>
      <c r="AT44" s="410">
        <f t="shared" si="3"/>
        <v>0</v>
      </c>
      <c r="AU44" s="405" t="s">
        <v>857</v>
      </c>
      <c r="AV44" s="409" t="s">
        <v>2805</v>
      </c>
      <c r="AW44" s="420" t="str">
        <f t="shared" si="53"/>
        <v>ToyoLi - RED</v>
      </c>
      <c r="AX44" s="409">
        <v>30</v>
      </c>
      <c r="AY44" s="411">
        <f>IF(AX44=0,0,IF($LB44=70%,VLOOKUP($AW44,'Jan-2026 rates'!$L:$R,4,0),IF($LB44=65%,VLOOKUP($AW44,'Jan-2026 rates'!$L:$R,4,0),IF($LB44=40%,VLOOKUP($AW44,'Jan-2026 rates'!$L:$R,5,0),IF($LB44=30%,VLOOKUP($AW44,'Jan-2026 rates'!$L:$R,6,0),IF($LB44=100%,VLOOKUP($AW44,'Jan-2026 rates'!$L:$R,7,0),IF($LB44=60%,VLOOKUP($AW44,'Jan-2026 rates'!$L:$S,8,0),IF($LB44=80%,VLOOKUP($AW44,'Jan-2026 rates'!L:T,9,0),0))))))))</f>
        <v>0</v>
      </c>
      <c r="AZ44" s="412" t="s">
        <v>2806</v>
      </c>
      <c r="BA44" s="409">
        <f>18+20</f>
        <v>38</v>
      </c>
      <c r="BB44" s="411">
        <f>IF(BA44=0,0,IF($LB44=70%,VLOOKUP($AW44,'Jan-2026 rates'!$L:$R,4,0),IF($LB44=65%,VLOOKUP($AW44,'Jan-2026 rates'!$L:$R,4,0),IF($LB44=40%,VLOOKUP($AW44,'Jan-2026 rates'!$L:$R,5,0),IF($LB44=30%,VLOOKUP($AW44,'Jan-2026 rates'!$L:$R,6,0),IF($LB44=100%,VLOOKUP($AW44,'Jan-2026 rates'!$L:$R,7,0),IF($LB44=60%,VLOOKUP($AW44,'Jan-2026 rates'!$L:$S,8,0),IF($LB44=80%,VLOOKUP($AW44,'Jan-2026 rates'!L:T,9,0),0))))))))</f>
        <v>0</v>
      </c>
      <c r="BC44" s="413" t="s">
        <v>1252</v>
      </c>
      <c r="BD44" s="412" t="s">
        <v>1246</v>
      </c>
      <c r="BE44" s="412" t="s">
        <v>1248</v>
      </c>
      <c r="BF44" s="413" t="s">
        <v>1252</v>
      </c>
      <c r="BG44" s="412"/>
      <c r="BH44" s="412"/>
      <c r="BI44" s="412"/>
      <c r="BJ44" s="412"/>
      <c r="BK44" s="409">
        <v>0.5</v>
      </c>
      <c r="BL44" s="398">
        <f>IF(BK44=0,0,IF(LEN(BC44)=11,_xlfn.XLOOKUP(BC44,'Dispensed Ink Rates'!C:C,'Dispensed Ink Rates'!CS:CS),VLOOKUP(BC44,'Jan-2026 rates'!$E:$F,2,0)))</f>
        <v>0</v>
      </c>
      <c r="BM44" s="409">
        <f>10+10</f>
        <v>20</v>
      </c>
      <c r="BN44" s="398">
        <f>IF(BM44=0,0,IF(LEN(BD44)=11,_xlfn.XLOOKUP(BD44,'Dispensed Ink Rates'!C:C,'Dispensed Ink Rates'!CS:CS),VLOOKUP(BD44,'Jan-2026 rates'!$E:$F,2,0)))</f>
        <v>0</v>
      </c>
      <c r="BO44" s="409">
        <f>15+10</f>
        <v>25</v>
      </c>
      <c r="BP44" s="398">
        <f>IF(BO44=0,0,IF(LEN(BE44)=11,_xlfn.XLOOKUP(BE44,'Dispensed Ink Rates'!C:C,'Dispensed Ink Rates'!CS:CS),VLOOKUP(BE44,'Jan-2026 rates'!$E:$F,2,0)))</f>
        <v>0</v>
      </c>
      <c r="BQ44" s="409">
        <v>1</v>
      </c>
      <c r="BR44" s="398">
        <f>IF(BQ44=0,0,IF(LEN(BF44)=11,_xlfn.XLOOKUP(BF44,'Dispensed Ink Rates'!C:C,'Dispensed Ink Rates'!CS:CS),VLOOKUP(BF44,'Jan-2026 rates'!$E:$F,2,0)))</f>
        <v>0</v>
      </c>
      <c r="BS44" s="409"/>
      <c r="BT44" s="398">
        <f>IF(BS44=0,0,IF(LEN(BG44)=11,_xlfn.XLOOKUP(BG44,'Dispensed Ink Rates'!C:C,'Dispensed Ink Rates'!CS:CS),VLOOKUP(BG44,'Jan-2026 rates'!$E:$F,2,0)))</f>
        <v>0</v>
      </c>
      <c r="BU44" s="409"/>
      <c r="BV44" s="398">
        <f>IF(BU44=0,0,IF(LEN(BH44)=11,_xlfn.XLOOKUP(BH44,'Dispensed Ink Rates'!C:C,'Dispensed Ink Rates'!CS:CS),VLOOKUP(BH44,'Jan-2026 rates'!$E:$F,2,0)))</f>
        <v>0</v>
      </c>
      <c r="BW44" s="409"/>
      <c r="BX44" s="398">
        <f>IF(BW44=0,0,IF(LEN(BI44)=11,_xlfn.XLOOKUP(BI44,'Dispensed Ink Rates'!C:C,'Dispensed Ink Rates'!CS:CS),VLOOKUP(BI44,'Jan-2026 rates'!$E:$F,2,0)))</f>
        <v>0</v>
      </c>
      <c r="BY44" s="409"/>
      <c r="BZ44" s="398">
        <f>IF(BY44=0,0,IF(LEN(BJ44)=11,_xlfn.XLOOKUP(BJ44,'Dispensed Ink Rates'!C:C,'Dispensed Ink Rates'!CS:CS),VLOOKUP(BJ44,'Jan-2026 rates'!$E:$F,2,0)))</f>
        <v>0</v>
      </c>
      <c r="CA44" s="409" t="s">
        <v>1881</v>
      </c>
      <c r="CB44" s="409">
        <f>17+8+20</f>
        <v>45</v>
      </c>
      <c r="CC44" s="411">
        <f t="shared" si="5"/>
        <v>0</v>
      </c>
      <c r="CD44" s="411">
        <f t="shared" si="6"/>
        <v>94.283132530120497</v>
      </c>
      <c r="CE44" s="410">
        <f t="shared" si="7"/>
        <v>0</v>
      </c>
      <c r="CF44" s="404" t="s">
        <v>829</v>
      </c>
      <c r="CG44" s="409" t="s">
        <v>2807</v>
      </c>
      <c r="CH44" s="420" t="str">
        <f t="shared" si="8"/>
        <v>ToyoLi - MEDIUM</v>
      </c>
      <c r="CI44" s="409">
        <v>12</v>
      </c>
      <c r="CJ44" s="411">
        <f>IF(CI44=0,0,IF($LB44=70%,VLOOKUP($CH44,'Jan-2026 rates'!$L:$R,4,0),IF($LB44=65%,VLOOKUP($CH44,'Jan-2026 rates'!$L:$R,4,0),IF($LB44=40%,VLOOKUP($CH44,'Jan-2026 rates'!$L:$R,5,0),IF($LB44=30%,VLOOKUP($CH44,'Jan-2026 rates'!$L:$R,6,0),IF($LB44=100%,VLOOKUP($CH44,'Jan-2026 rates'!$L:$R,7,0),IF($LB44=60%,VLOOKUP($CH44,'Jan-2026 rates'!$L:$S,8,0),IF($LB44=80%,VLOOKUP($CH44,'Jan-2026 rates'!L:T,9,0),0))))))))</f>
        <v>0</v>
      </c>
      <c r="CK44" s="412" t="s">
        <v>2808</v>
      </c>
      <c r="CL44" s="409">
        <f>12+10</f>
        <v>22</v>
      </c>
      <c r="CM44" s="411">
        <f>IF(CL44=0,0,IF($LB44=70%,VLOOKUP($CH44,'Jan-2026 rates'!$L:$R,4,0),IF($LB44=65%,VLOOKUP($CH44,'Jan-2026 rates'!$L:$R,4,0),IF($LB44=40%,VLOOKUP($CH44,'Jan-2026 rates'!$L:$R,5,0),IF($LB44=30%,VLOOKUP($CH44,'Jan-2026 rates'!$L:$R,6,0),IF($LB44=100%,VLOOKUP($CH44,'Jan-2026 rates'!$L:$R,7,0),IF($LB44=60%,VLOOKUP($CH44,'Jan-2026 rates'!$L:$S,8,0),IF($LB44=80%,VLOOKUP($CH44,'Jan-2026 rates'!L:T,9,0),0))))))))</f>
        <v>0</v>
      </c>
      <c r="CN44" s="426" t="s">
        <v>1921</v>
      </c>
      <c r="CO44" s="427"/>
      <c r="CP44" s="426"/>
      <c r="CQ44" s="426"/>
      <c r="CR44" s="428"/>
      <c r="CS44" s="428"/>
      <c r="CT44" s="428"/>
      <c r="CU44" s="428"/>
      <c r="CV44" s="409">
        <f>2+4+3</f>
        <v>9</v>
      </c>
      <c r="CW44" s="398">
        <f>IF(CV44=0,0,IF(LEN(CN44)=11,_xlfn.XLOOKUP(CN44,'Dispensed Ink Rates'!C:C,'Dispensed Ink Rates'!CS:CS),VLOOKUP(CN44,'Jan-2026 rates'!$E:$F,2,0)))</f>
        <v>0</v>
      </c>
      <c r="CX44" s="409"/>
      <c r="CY44" s="398">
        <f>IF(CX44=0,0,IF(LEN(CO44)=11,_xlfn.XLOOKUP(CO44,'Dispensed Ink Rates'!C:C,'Dispensed Ink Rates'!CS:CS),VLOOKUP(CO44,'Jan-2026 rates'!$E:$F,2,0)))</f>
        <v>0</v>
      </c>
      <c r="CZ44" s="409"/>
      <c r="DA44" s="398">
        <f>IF(CZ44=0,0,IF(LEN(CP44)=11,_xlfn.XLOOKUP(CP44,'Dispensed Ink Rates'!C:C,'Dispensed Ink Rates'!CS:CS),VLOOKUP(CP44,'Jan-2026 rates'!$E:$F,2,0)))</f>
        <v>0</v>
      </c>
      <c r="DB44" s="409"/>
      <c r="DC44" s="398">
        <f>IF(DB44=0,0,IF(LEN(CQ44)=11,_xlfn.XLOOKUP(CQ44,'Dispensed Ink Rates'!C:C,'Dispensed Ink Rates'!CS:CS),VLOOKUP(CQ44,'Jan-2026 rates'!$E:$F,2,0)))</f>
        <v>0</v>
      </c>
      <c r="DD44" s="409"/>
      <c r="DE44" s="398">
        <f>IF(DD44=0,0,IF(LEN(CR44)=11,_xlfn.XLOOKUP(CR44,'Dispensed Ink Rates'!C:C,'Dispensed Ink Rates'!CS:CS),VLOOKUP(CR44,'Jan-2026 rates'!$E:$F,2,0)))</f>
        <v>0</v>
      </c>
      <c r="DF44" s="409"/>
      <c r="DG44" s="398">
        <f>IF(DF44=0,0,IF(LEN(CS44)=11,_xlfn.XLOOKUP(CS44,'Dispensed Ink Rates'!C:C,'Dispensed Ink Rates'!CS:CS),VLOOKUP(CS44,'Jan-2026 rates'!$E:$F,2,0)))</f>
        <v>0</v>
      </c>
      <c r="DH44" s="409"/>
      <c r="DI44" s="398">
        <f>IF(DH44=0,0,IF(LEN(CT44)=11,_xlfn.XLOOKUP(CT44,'Dispensed Ink Rates'!C:C,'Dispensed Ink Rates'!CS:CS),VLOOKUP(CT44,'Jan-2026 rates'!$E:$F,2,0)))</f>
        <v>0</v>
      </c>
      <c r="DJ44" s="409"/>
      <c r="DK44" s="398">
        <f>IF(DJ44=0,0,IF(LEN(CU44)=11,_xlfn.XLOOKUP(CU44,'Dispensed Ink Rates'!C:C,'Dispensed Ink Rates'!CS:CS),VLOOKUP(CU44,'Jan-2026 rates'!$E:$F,2,0)))</f>
        <v>0</v>
      </c>
      <c r="DL44" s="409" t="s">
        <v>1881</v>
      </c>
      <c r="DM44" s="409">
        <f>15+19</f>
        <v>34</v>
      </c>
      <c r="DN44" s="411">
        <f t="shared" si="9"/>
        <v>0</v>
      </c>
      <c r="DO44" s="411">
        <f t="shared" si="10"/>
        <v>29.277108433734938</v>
      </c>
      <c r="DP44" s="410">
        <f t="shared" si="11"/>
        <v>0</v>
      </c>
      <c r="DQ44" s="405" t="s">
        <v>855</v>
      </c>
      <c r="DR44" s="409" t="s">
        <v>2809</v>
      </c>
      <c r="DS44" s="420" t="str">
        <f t="shared" si="12"/>
        <v>ToyoLi - CYAN</v>
      </c>
      <c r="DT44" s="409">
        <v>26</v>
      </c>
      <c r="DU44" s="411">
        <f>IF(DT44=0,0,IF($LB44=70%,VLOOKUP($DS44,'Jan-2026 rates'!$L:$R,4,0),IF($LB44=65%,VLOOKUP($DS44,'Jan-2026 rates'!$L:$R,4,0),IF($LB44=40%,VLOOKUP($DS44,'Jan-2026 rates'!$L:$R,5,0),IF($LB44=30%,VLOOKUP($DS44,'Jan-2026 rates'!$L:$R,6,0),IF($LB44=100%,VLOOKUP($DS44,'Jan-2026 rates'!$L:$R,7,0),IF($LB44=60%,VLOOKUP($DS44,'Jan-2026 rates'!$L:$S,8,0),IF($LB44=80%,VLOOKUP($DS44,'Jan-2026 rates'!L:T,9,0),0))))))))</f>
        <v>0</v>
      </c>
      <c r="DV44" s="412"/>
      <c r="DW44" s="409"/>
      <c r="DX44" s="411">
        <f>IF(DW44=0,0,IF($LB44=70%,VLOOKUP($DS44,'Jan-2026 rates'!$L:$R,4,0),IF($LB44=65%,VLOOKUP($DS44,'Jan-2026 rates'!$L:$R,4,0),IF($LB44=40%,VLOOKUP($DS44,'Jan-2026 rates'!$L:$R,5,0),IF($LB44=30%,VLOOKUP($DS44,'Jan-2026 rates'!$L:$R,6,0),IF($LB44=100%,VLOOKUP($DS44,'Jan-2026 rates'!$L:$R,7,0),IF($LB44=60%,VLOOKUP($DS44,'Jan-2026 rates'!$L:$S,8,0),IF($LB44=80%,VLOOKUP($DS44,'Jan-2026 rates'!L:T,9,0),0))))))))</f>
        <v>0</v>
      </c>
      <c r="DY44" s="413" t="s">
        <v>1250</v>
      </c>
      <c r="DZ44" s="413"/>
      <c r="EA44" s="412"/>
      <c r="EB44" s="412"/>
      <c r="EC44" s="412"/>
      <c r="ED44" s="412"/>
      <c r="EE44" s="412"/>
      <c r="EF44" s="412"/>
      <c r="EG44" s="409">
        <v>6</v>
      </c>
      <c r="EH44" s="398">
        <f>IF(EG44=0,0,IF(LEN(DY44)=11,_xlfn.XLOOKUP(DY44,'Dispensed Ink Rates'!C:C,'Dispensed Ink Rates'!CS:CS),VLOOKUP(DY44,'Jan-2026 rates'!$E:$F,2,0)))</f>
        <v>0</v>
      </c>
      <c r="EI44" s="409"/>
      <c r="EJ44" s="398">
        <f>IF(EI44=0,0,IF(LEN(DZ44)=11,_xlfn.XLOOKUP(DZ44,'Dispensed Ink Rates'!C:C,'Dispensed Ink Rates'!CS:CS),VLOOKUP(DZ44,'Jan-2026 rates'!$E:$F,2,0)))</f>
        <v>0</v>
      </c>
      <c r="EK44" s="409"/>
      <c r="EL44" s="398">
        <f>IF(EK44=0,0,IF(LEN(EA44)=11,_xlfn.XLOOKUP(EA44,'Dispensed Ink Rates'!C:C,'Dispensed Ink Rates'!CS:CS),VLOOKUP(EA44,'Jan-2026 rates'!$E:$F,2,0)))</f>
        <v>0</v>
      </c>
      <c r="EM44" s="409"/>
      <c r="EN44" s="398">
        <f>IF(EM44=0,0,IF(LEN(EB44)=11,_xlfn.XLOOKUP(EB44,'Dispensed Ink Rates'!C:C,'Dispensed Ink Rates'!CS:CS),VLOOKUP(EB44,'Jan-2026 rates'!$E:$F,2,0)))</f>
        <v>0</v>
      </c>
      <c r="EO44" s="409"/>
      <c r="EP44" s="398">
        <f>IF(EO44=0,0,IF(LEN(EC44)=11,_xlfn.XLOOKUP(EC44,'Dispensed Ink Rates'!C:C,'Dispensed Ink Rates'!CS:CS),VLOOKUP(EC44,'Jan-2026 rates'!$E:$F,2,0)))</f>
        <v>0</v>
      </c>
      <c r="EQ44" s="409"/>
      <c r="ER44" s="398">
        <f>IF(EQ44=0,0,IF(LEN(ED44)=11,_xlfn.XLOOKUP(ED44,'Dispensed Ink Rates'!C:C,'Dispensed Ink Rates'!CS:CS),VLOOKUP(ED44,'Jan-2026 rates'!$E:$F,2,0)))</f>
        <v>0</v>
      </c>
      <c r="ES44" s="409"/>
      <c r="ET44" s="398">
        <f>IF(ES44=0,0,IF(LEN(EE44)=11,_xlfn.XLOOKUP(EE44,'Dispensed Ink Rates'!C:C,'Dispensed Ink Rates'!CS:CS),VLOOKUP(EE44,'Jan-2026 rates'!$E:$F,2,0)))</f>
        <v>0</v>
      </c>
      <c r="EU44" s="409"/>
      <c r="EV44" s="398">
        <f>IF(EU44=0,0,IF(LEN(EF44)=11,_xlfn.XLOOKUP(EF44,'Dispensed Ink Rates'!C:C,'Dispensed Ink Rates'!CS:CS),VLOOKUP(EF44,'Jan-2026 rates'!$E:$F,2,0)))</f>
        <v>0</v>
      </c>
      <c r="EW44" s="409" t="s">
        <v>1881</v>
      </c>
      <c r="EX44" s="409">
        <f>17+17</f>
        <v>34</v>
      </c>
      <c r="EY44" s="411">
        <f t="shared" si="13"/>
        <v>0</v>
      </c>
      <c r="EZ44" s="411">
        <f t="shared" si="14"/>
        <v>9.2650602409638552</v>
      </c>
      <c r="FA44" s="410">
        <f t="shared" si="15"/>
        <v>0</v>
      </c>
      <c r="FB44" s="405" t="s">
        <v>544</v>
      </c>
      <c r="FC44" s="409" t="s">
        <v>2810</v>
      </c>
      <c r="FD44" s="420" t="str">
        <f t="shared" si="16"/>
        <v>ToyoLi - MAGENTA</v>
      </c>
      <c r="FE44" s="409">
        <v>28</v>
      </c>
      <c r="FF44" s="411">
        <f>IF(FE44=0,0,IF($LB44=70%,VLOOKUP($FD44,'Jan-2026 rates'!$L:$R,4,0),IF($LB44=65%,VLOOKUP($FD44,'Jan-2026 rates'!$L:$R,4,0),IF($LB44=40%,VLOOKUP($FD44,'Jan-2026 rates'!$L:$R,5,0),IF($LB44=30%,VLOOKUP($FD44,'Jan-2026 rates'!$L:$R,6,0),IF($LB44=100%,VLOOKUP($FD44,'Jan-2026 rates'!$L:$R,7,0),IF($LB44=60%,VLOOKUP($FD44,'Jan-2026 rates'!$L:$S,8,0),IF($LB44=80%,VLOOKUP($FD44,'Jan-2026 rates'!L:T,9,0),0))))))))</f>
        <v>0</v>
      </c>
      <c r="FG44" s="412"/>
      <c r="FH44" s="409"/>
      <c r="FI44" s="411">
        <f>IF(FH44=0,0,IF($LB44=70%,VLOOKUP($FD44,'Jan-2026 rates'!$L:$R,4,0),IF($LB44=65%,VLOOKUP($FD44,'Jan-2026 rates'!$L:$R,4,0),IF($LB44=40%,VLOOKUP($FD44,'Jan-2026 rates'!$L:$R,5,0),IF($LB44=30%,VLOOKUP($FD44,'Jan-2026 rates'!$L:$R,6,0),IF($LB44=100%,VLOOKUP($FD44,'Jan-2026 rates'!$L:$R,7,0),IF($LB44=60%,VLOOKUP($FD44,'Jan-2026 rates'!$L:$S,8,0),IF($LB44=80%,VLOOKUP($FD44,'Jan-2026 rates'!L:T,9,0),0))))))))</f>
        <v>0</v>
      </c>
      <c r="FJ44" s="413" t="s">
        <v>1246</v>
      </c>
      <c r="FK44" s="413"/>
      <c r="FL44" s="413"/>
      <c r="FM44" s="412"/>
      <c r="FN44" s="412"/>
      <c r="FO44" s="412"/>
      <c r="FP44" s="412"/>
      <c r="FQ44" s="412"/>
      <c r="FR44" s="409">
        <v>4</v>
      </c>
      <c r="FS44" s="398">
        <f>IF(FR44=0,0,IF(LEN(FJ44)=11,_xlfn.XLOOKUP(FJ44,'Dispensed Ink Rates'!C:C,'Dispensed Ink Rates'!CS:CS),VLOOKUP(FJ44,'Jan-2026 rates'!$E:$F,2,0)))</f>
        <v>0</v>
      </c>
      <c r="FT44" s="409"/>
      <c r="FU44" s="398">
        <f>IF(FT44=0,0,IF(LEN(FK44)=11,_xlfn.XLOOKUP(FK44,'Dispensed Ink Rates'!C:C,'Dispensed Ink Rates'!CS:CS),VLOOKUP(FK44,'Jan-2026 rates'!$E:$F,2,0)))</f>
        <v>0</v>
      </c>
      <c r="FV44" s="409"/>
      <c r="FW44" s="398">
        <f>IF(FV44=0,0,IF(LEN(FL44)=11,_xlfn.XLOOKUP(FL44,'Dispensed Ink Rates'!C:C,'Dispensed Ink Rates'!CS:CS),VLOOKUP(FL44,'Jan-2026 rates'!$E:$F,2,0)))</f>
        <v>0</v>
      </c>
      <c r="FX44" s="409"/>
      <c r="FY44" s="398">
        <f>IF(FX44=0,0,IF(LEN(FM44)=11,_xlfn.XLOOKUP(FM44,'Dispensed Ink Rates'!C:C,'Dispensed Ink Rates'!CS:CS),VLOOKUP(FM44,'Jan-2026 rates'!$E:$F,2,0)))</f>
        <v>0</v>
      </c>
      <c r="FZ44" s="409"/>
      <c r="GA44" s="398">
        <f>IF(FZ44=0,0,IF(LEN(FN44)=11,_xlfn.XLOOKUP(FN44,'Dispensed Ink Rates'!C:C,'Dispensed Ink Rates'!CS:CS),VLOOKUP(FN44,'Jan-2026 rates'!$E:$F,2,0)))</f>
        <v>0</v>
      </c>
      <c r="GB44" s="409"/>
      <c r="GC44" s="398">
        <f>IF(GB44=0,0,IF(LEN(FO44)=11,_xlfn.XLOOKUP(FO44,'Dispensed Ink Rates'!C:C,'Dispensed Ink Rates'!CS:CS),VLOOKUP(FO44,'Jan-2026 rates'!$E:$F,2,0)))</f>
        <v>0</v>
      </c>
      <c r="GD44" s="409"/>
      <c r="GE44" s="398">
        <f>IF(GD44=0,0,IF(LEN(FP44)=11,_xlfn.XLOOKUP(FP44,'Dispensed Ink Rates'!C:C,'Dispensed Ink Rates'!CS:CS),VLOOKUP(FP44,'Jan-2026 rates'!$E:$F,2,0)))</f>
        <v>0</v>
      </c>
      <c r="GF44" s="409"/>
      <c r="GG44" s="398">
        <f>IF(GF44=0,0,IF(LEN(FQ44)=11,_xlfn.XLOOKUP(FQ44,'Dispensed Ink Rates'!C:C,'Dispensed Ink Rates'!CS:CS),VLOOKUP(FQ44,'Jan-2026 rates'!$E:$F,2,0)))</f>
        <v>0</v>
      </c>
      <c r="GH44" s="409" t="s">
        <v>1881</v>
      </c>
      <c r="GI44" s="409">
        <v>30</v>
      </c>
      <c r="GJ44" s="411">
        <f t="shared" si="17"/>
        <v>0</v>
      </c>
      <c r="GK44" s="411">
        <f t="shared" si="18"/>
        <v>8.7590361445783103</v>
      </c>
      <c r="GL44" s="410">
        <f t="shared" si="19"/>
        <v>0</v>
      </c>
      <c r="GM44" s="405" t="s">
        <v>545</v>
      </c>
      <c r="GN44" s="409" t="s">
        <v>2811</v>
      </c>
      <c r="GO44" s="420" t="str">
        <f t="shared" si="20"/>
        <v>ToyoLi - YELLOW</v>
      </c>
      <c r="GP44" s="409">
        <v>30</v>
      </c>
      <c r="GQ44" s="411">
        <f>IF(GP44=0,0,IF($LB44=70%,VLOOKUP($GO44,'Jan-2026 rates'!$L:$R,4,0),IF($LB44=65%,VLOOKUP($GO44,'Jan-2026 rates'!$L:$R,4,0),IF($LB44=40%,VLOOKUP($GO44,'Jan-2026 rates'!$L:$R,5,0),IF($LB44=30%,VLOOKUP($GO44,'Jan-2026 rates'!$L:$R,6,0),IF($LB44=100%,VLOOKUP($GO44,'Jan-2026 rates'!$L:$R,7,0),IF($LB44=60%,VLOOKUP($GO44,'Jan-2026 rates'!$L:$S,8,0),IF($LB44=80%,VLOOKUP($GO44,'Jan-2026 rates'!L:T,9,0),0))))))))</f>
        <v>0</v>
      </c>
      <c r="GR44" s="412"/>
      <c r="GS44" s="409"/>
      <c r="GT44" s="411">
        <f>IF(GS44=0,0,IF($LB44=70%,VLOOKUP($GO44,'Jan-2026 rates'!$L:$R,4,0),IF($LB44=65%,VLOOKUP($GO44,'Jan-2026 rates'!$L:$R,4,0),IF($LB44=40%,VLOOKUP($GO44,'Jan-2026 rates'!$L:$R,5,0),IF($LB44=30%,VLOOKUP($GO44,'Jan-2026 rates'!$L:$R,6,0),IF($LB44=100%,VLOOKUP($GO44,'Jan-2026 rates'!$L:$R,7,0),IF($LB44=60%,VLOOKUP($GO44,'Jan-2026 rates'!$L:$S,8,0),IF($LB44=80%,VLOOKUP($GO44,'Jan-2026 rates'!L:T,9,0),0))))))))</f>
        <v>0</v>
      </c>
      <c r="GU44" s="413" t="s">
        <v>1247</v>
      </c>
      <c r="GV44" s="413"/>
      <c r="GW44" s="412"/>
      <c r="GX44" s="412"/>
      <c r="GY44" s="412"/>
      <c r="GZ44" s="412"/>
      <c r="HA44" s="412"/>
      <c r="HB44" s="412"/>
      <c r="HC44" s="409">
        <v>4</v>
      </c>
      <c r="HD44" s="398">
        <f>IF(HC44=0,0,IF(LEN(GU44)=11,_xlfn.XLOOKUP(GU44,'Dispensed Ink Rates'!C:C,'Dispensed Ink Rates'!CS:CS),VLOOKUP(GU44,'Jan-2026 rates'!$E:$F,2,0)))</f>
        <v>0</v>
      </c>
      <c r="HE44" s="409"/>
      <c r="HF44" s="398">
        <f>IF(HE44=0,0,IF(LEN(GV44)=11,_xlfn.XLOOKUP(GV44,'Dispensed Ink Rates'!C:C,'Dispensed Ink Rates'!CS:CS),VLOOKUP(GV44,'Jan-2026 rates'!$E:$F,2,0)))</f>
        <v>0</v>
      </c>
      <c r="HG44" s="409"/>
      <c r="HH44" s="398">
        <f>IF(HG44=0,0,IF(LEN(GW44)=11,_xlfn.XLOOKUP(GW44,'Dispensed Ink Rates'!C:C,'Dispensed Ink Rates'!CS:CS),VLOOKUP(GW44,'Jan-2026 rates'!$E:$F,2,0)))</f>
        <v>0</v>
      </c>
      <c r="HI44" s="409"/>
      <c r="HJ44" s="398">
        <f>IF(HI44=0,0,IF(LEN(GX44)=11,_xlfn.XLOOKUP(GX44,'Dispensed Ink Rates'!C:C,'Dispensed Ink Rates'!CS:CS),VLOOKUP(GX44,'Jan-2026 rates'!$E:$F,2,0)))</f>
        <v>0</v>
      </c>
      <c r="HK44" s="409"/>
      <c r="HL44" s="398">
        <f>IF(HK44=0,0,IF(LEN(GY44)=11,_xlfn.XLOOKUP(GY44,'Dispensed Ink Rates'!C:C,'Dispensed Ink Rates'!CS:CS),VLOOKUP(GY44,'Jan-2026 rates'!$E:$F,2,0)))</f>
        <v>0</v>
      </c>
      <c r="HM44" s="409"/>
      <c r="HN44" s="398">
        <f>IF(HM44=0,0,IF(LEN(GZ44)=11,_xlfn.XLOOKUP(GZ44,'Dispensed Ink Rates'!C:C,'Dispensed Ink Rates'!CS:CS),VLOOKUP(GZ44,'Jan-2026 rates'!$E:$F,2,0)))</f>
        <v>0</v>
      </c>
      <c r="HO44" s="409"/>
      <c r="HP44" s="398">
        <f>IF(HO44=0,0,IF(LEN(HA44)=11,_xlfn.XLOOKUP(HA44,'Dispensed Ink Rates'!C:C,'Dispensed Ink Rates'!CS:CS),VLOOKUP(HA44,'Jan-2026 rates'!$E:$F,2,0)))</f>
        <v>0</v>
      </c>
      <c r="HQ44" s="409"/>
      <c r="HR44" s="398">
        <f>IF(HQ44=0,0,IF(LEN(HB44)=11,_xlfn.XLOOKUP(HB44,'Dispensed Ink Rates'!C:C,'Dispensed Ink Rates'!CS:CS),VLOOKUP(HB44,'Jan-2026 rates'!$E:$F,2,0)))</f>
        <v>0</v>
      </c>
      <c r="HS44" s="409" t="s">
        <v>1881</v>
      </c>
      <c r="HT44" s="409">
        <v>32</v>
      </c>
      <c r="HU44" s="411">
        <f t="shared" si="21"/>
        <v>0</v>
      </c>
      <c r="HV44" s="411">
        <f t="shared" si="22"/>
        <v>13.265060240963855</v>
      </c>
      <c r="HW44" s="414">
        <f t="shared" si="23"/>
        <v>0</v>
      </c>
      <c r="HX44" s="405" t="s">
        <v>856</v>
      </c>
      <c r="HY44" s="409" t="s">
        <v>2812</v>
      </c>
      <c r="HZ44" s="420" t="str">
        <f t="shared" si="24"/>
        <v>ToyoLi - WHITE</v>
      </c>
      <c r="IA44" s="409">
        <v>30</v>
      </c>
      <c r="IB44" s="411">
        <f>IF(IA44=0,0,IF($LB44=70%,VLOOKUP($HZ44,'Jan-2026 rates'!$L:$R,4,0),IF($LB44=65%,VLOOKUP($HZ44,'Jan-2026 rates'!$L:$R,4,0),IF($LB44=40%,VLOOKUP($HZ44,'Jan-2026 rates'!$L:$R,5,0),IF($LB44=30%,VLOOKUP($HZ44,'Jan-2026 rates'!$L:$R,6,0),IF($LB44=100%,VLOOKUP($HZ44,'Jan-2026 rates'!$L:$R,7,0),IF($LB44=60%,VLOOKUP($HZ44,'Jan-2026 rates'!$L:$S,8,0),IF($LB44=80%,VLOOKUP($HZ44,'Jan-2026 rates'!L:T,9,0),0))))))))</f>
        <v>0</v>
      </c>
      <c r="IC44" s="412"/>
      <c r="ID44" s="409"/>
      <c r="IE44" s="411">
        <f>IF(ID44=0,0,IF($LB44=70%,VLOOKUP($HZ44,'Jan-2026 rates'!$L:$R,4,0),IF($LB44=65%,VLOOKUP($HZ44,'Jan-2026 rates'!$L:$R,4,0),IF($LB44=40%,VLOOKUP($HZ44,'Jan-2026 rates'!$L:$R,5,0),IF($LB44=30%,VLOOKUP($HZ44,'Jan-2026 rates'!$L:$R,6,0),IF($LB44=100%,VLOOKUP($HZ44,'Jan-2026 rates'!$L:$R,7,0),IF($LB44=60%,VLOOKUP($HZ44,'Jan-2026 rates'!$L:$S,8,0),IF($LB44=80%,VLOOKUP($HZ44,'Jan-2026 rates'!L:T,9,0),0))))))))</f>
        <v>0</v>
      </c>
      <c r="IF44" s="412" t="s">
        <v>1249</v>
      </c>
      <c r="IG44" s="413"/>
      <c r="IH44" s="412"/>
      <c r="II44" s="412"/>
      <c r="IJ44" s="412"/>
      <c r="IK44" s="412"/>
      <c r="IL44" s="412"/>
      <c r="IM44" s="412"/>
      <c r="IN44" s="409">
        <f>25+25+25</f>
        <v>75</v>
      </c>
      <c r="IO44" s="398">
        <f>IF(IN44=0,0,IF(LEN(IF44)=11,_xlfn.XLOOKUP(IF44,'Dispensed Ink Rates'!C:C,'Dispensed Ink Rates'!CS:CS),VLOOKUP(IF44,'Jan-2026 rates'!$E:$F,2,0)))</f>
        <v>0</v>
      </c>
      <c r="IP44" s="409"/>
      <c r="IQ44" s="398">
        <f>IF(IP44=0,0,IF(LEN(IG44)=11,_xlfn.XLOOKUP(IG44,'Dispensed Ink Rates'!C:C,'Dispensed Ink Rates'!CS:CS),VLOOKUP(IG44,'Jan-2026 rates'!$E:$F,2,0)))</f>
        <v>0</v>
      </c>
      <c r="IR44" s="409"/>
      <c r="IS44" s="398">
        <f>IF(IR44=0,0,IF(LEN(IH44)=11,_xlfn.XLOOKUP(IH44,'Dispensed Ink Rates'!C:C,'Dispensed Ink Rates'!CS:CS),VLOOKUP(IH44,'Jan-2026 rates'!$E:$F,2,0)))</f>
        <v>0</v>
      </c>
      <c r="IT44" s="409"/>
      <c r="IU44" s="398">
        <f>IF(IT44=0,0,IF(LEN(II44)=11,_xlfn.XLOOKUP(II44,'Dispensed Ink Rates'!C:C,'Dispensed Ink Rates'!CS:CS),VLOOKUP(II44,'Jan-2026 rates'!$E:$F,2,0)))</f>
        <v>0</v>
      </c>
      <c r="IV44" s="409"/>
      <c r="IW44" s="398">
        <f>IF(IV44=0,0,IF(LEN(IJ44)=11,_xlfn.XLOOKUP(IJ44,'Dispensed Ink Rates'!C:C,'Dispensed Ink Rates'!CS:CS),VLOOKUP(IJ44,'Jan-2026 rates'!$E:$F,2,0)))</f>
        <v>0</v>
      </c>
      <c r="IX44" s="409"/>
      <c r="IY44" s="398">
        <f>IF(IX44=0,0,IF(LEN(IK44)=11,_xlfn.XLOOKUP(IK44,'Dispensed Ink Rates'!C:C,'Dispensed Ink Rates'!CS:CS),VLOOKUP(IK44,'Jan-2026 rates'!$E:$F,2,0)))</f>
        <v>0</v>
      </c>
      <c r="IZ44" s="409"/>
      <c r="JA44" s="398">
        <f>IF(IZ44=0,0,IF(LEN(IL44)=11,_xlfn.XLOOKUP(IL44,'Dispensed Ink Rates'!C:C,'Dispensed Ink Rates'!CS:CS),VLOOKUP(IL44,'Jan-2026 rates'!$E:$F,2,0)))</f>
        <v>0</v>
      </c>
      <c r="JB44" s="409"/>
      <c r="JC44" s="398">
        <f>IF(JB44=0,0,IF(LEN(IM44)=11,_xlfn.XLOOKUP(IM44,'Dispensed Ink Rates'!C:C,'Dispensed Ink Rates'!CS:CS),VLOOKUP(IM44,'Jan-2026 rates'!$E:$F,2,0)))</f>
        <v>0</v>
      </c>
      <c r="JD44" s="409" t="s">
        <v>1881</v>
      </c>
      <c r="JE44" s="409">
        <v>25</v>
      </c>
      <c r="JF44" s="411">
        <f t="shared" si="25"/>
        <v>0</v>
      </c>
      <c r="JG44" s="411">
        <f t="shared" si="26"/>
        <v>181.3855421686747</v>
      </c>
      <c r="JH44" s="410">
        <f t="shared" si="27"/>
        <v>0</v>
      </c>
      <c r="JI44" s="405"/>
      <c r="JJ44" s="409"/>
      <c r="JK44" s="420" t="str">
        <f t="shared" si="28"/>
        <v xml:space="preserve"> - </v>
      </c>
      <c r="JL44" s="409"/>
      <c r="JM44" s="411">
        <f>IF(JL44=0,0,IF($LB44=70%,VLOOKUP($JK44,'Jan-2026 rates'!$L:$R,4,0),IF($LB44=65%,VLOOKUP($JK44,'Jan-2026 rates'!$L:$R,4,0),IF($LB44=40%,VLOOKUP($JK44,'Jan-2026 rates'!$L:$R,5,0),IF($LB44=30%,VLOOKUP($JK44,'Jan-2026 rates'!$L:$R,6,0),IF($LB44=100%,VLOOKUP($JK44,'Jan-2026 rates'!$L:$R,7,0),IF($LB44=60%,VLOOKUP($JK44,'Jan-2026 rates'!$L:$S,8,0),IF($LB44=80%,VLOOKUP($JK44,'Jan-2026 rates'!L:T,9,0),0))))))))</f>
        <v>0</v>
      </c>
      <c r="JN44" s="412"/>
      <c r="JO44" s="409"/>
      <c r="JP44" s="411">
        <f>IF(JO44=0,0,IF($LB44=70%,VLOOKUP($JK44,'Jan-2026 rates'!$L:$R,4,0),IF($LB44=65%,VLOOKUP($JK44,'Jan-2026 rates'!$L:$R,4,0),IF($LB44=40%,VLOOKUP($JK44,'Jan-2026 rates'!$L:$R,5,0),IF($LB44=30%,VLOOKUP($JK44,'Jan-2026 rates'!$L:$R,6,0),IF($LB44=100%,VLOOKUP($JK44,'Jan-2026 rates'!$L:$R,7,0),IF($LB44=60%,VLOOKUP($JK44,'Jan-2026 rates'!$L:$S,8,0),IF($LB44=80%,VLOOKUP($JK44,'Jan-2026 rates'!L:T,9,0),0))))))))</f>
        <v>0</v>
      </c>
      <c r="JQ44" s="413"/>
      <c r="JR44" s="412"/>
      <c r="JS44" s="413"/>
      <c r="JT44" s="413"/>
      <c r="JU44" s="412"/>
      <c r="JV44" s="412"/>
      <c r="JW44" s="412"/>
      <c r="JX44" s="412"/>
      <c r="JY44" s="409"/>
      <c r="JZ44" s="398">
        <f>IF(JY44=0,0,IF(LEN(JQ44)=11,_xlfn.XLOOKUP(JQ44,'Dispensed Ink Rates'!C:C,'Dispensed Ink Rates'!CS:CS),VLOOKUP(JQ44,'Jan-2026 rates'!$E:$F,2,0)))</f>
        <v>0</v>
      </c>
      <c r="KA44" s="409"/>
      <c r="KB44" s="398">
        <f>IF(KA44=0,0,IF(LEN(JR44)=11,_xlfn.XLOOKUP(JR44,'Dispensed Ink Rates'!C:C,'Dispensed Ink Rates'!CS:CS),VLOOKUP(JR44,'Jan-2026 rates'!$E:$F,2,0)))</f>
        <v>0</v>
      </c>
      <c r="KC44" s="409"/>
      <c r="KD44" s="398">
        <f>IF(KC44=0,0,IF(LEN(JS44)=11,_xlfn.XLOOKUP(JS44,'Dispensed Ink Rates'!C:C,'Dispensed Ink Rates'!CS:CS),VLOOKUP(JS44,'Jan-2026 rates'!$E:$F,2,0)))</f>
        <v>0</v>
      </c>
      <c r="KE44" s="409"/>
      <c r="KF44" s="398">
        <f>IF(KE44=0,0,IF(LEN(JT44)=11,_xlfn.XLOOKUP(JT44,'Dispensed Ink Rates'!C:C,'Dispensed Ink Rates'!CS:CS),VLOOKUP(JT44,'Jan-2026 rates'!$E:$F,2,0)))</f>
        <v>0</v>
      </c>
      <c r="KG44" s="409"/>
      <c r="KH44" s="398">
        <f>IF(KG44=0,0,IF(LEN(JU44)=11,_xlfn.XLOOKUP(JU44,'Dispensed Ink Rates'!C:C,'Dispensed Ink Rates'!CS:CS),VLOOKUP(JU44,'Jan-2026 rates'!$E:$F,2,0)))</f>
        <v>0</v>
      </c>
      <c r="KI44" s="409"/>
      <c r="KJ44" s="398">
        <f>IF(KI44=0,0,IF(LEN(JV44)=11,_xlfn.XLOOKUP(JV44,'Dispensed Ink Rates'!C:C,'Dispensed Ink Rates'!CS:CS),VLOOKUP(JV44,'Jan-2026 rates'!$E:$F,2,0)))</f>
        <v>0</v>
      </c>
      <c r="KK44" s="409"/>
      <c r="KL44" s="398">
        <f>IF(KK44=0,0,IF(LEN(JW44)=11,_xlfn.XLOOKUP(JW44,'Dispensed Ink Rates'!C:C,'Dispensed Ink Rates'!CS:CS),VLOOKUP(JW44,'Jan-2026 rates'!$E:$F,2,0)))</f>
        <v>0</v>
      </c>
      <c r="KM44" s="428"/>
      <c r="KN44" s="398">
        <f>IF(KM44=0,0,IF(LEN(JX44)=11,_xlfn.XLOOKUP(JX44,'Dispensed Ink Rates'!C:C,'Dispensed Ink Rates'!CS:CS),VLOOKUP(JX44,'Jan-2026 rates'!$E:$F,2,0)))</f>
        <v>0</v>
      </c>
      <c r="KO44" s="409"/>
      <c r="KP44" s="409"/>
      <c r="KQ44" s="411">
        <f t="shared" si="29"/>
        <v>0</v>
      </c>
      <c r="KR44" s="411">
        <f t="shared" si="30"/>
        <v>0</v>
      </c>
      <c r="KS44" s="410">
        <f t="shared" si="31"/>
        <v>0</v>
      </c>
      <c r="KT44" s="409">
        <v>5</v>
      </c>
      <c r="KU44" s="409">
        <f>5+6</f>
        <v>11</v>
      </c>
      <c r="KV44" s="409">
        <f>5+4</f>
        <v>9</v>
      </c>
      <c r="KW44" s="409">
        <v>5</v>
      </c>
      <c r="KX44" s="409">
        <v>3</v>
      </c>
      <c r="KY44" s="409">
        <v>5</v>
      </c>
      <c r="KZ44" s="409">
        <f>15+30</f>
        <v>45</v>
      </c>
      <c r="LA44" s="409">
        <v>0</v>
      </c>
      <c r="LB44" s="415">
        <v>0.3</v>
      </c>
      <c r="LC44" s="415"/>
      <c r="LD44" s="415"/>
      <c r="LE44" s="415">
        <v>0.5</v>
      </c>
      <c r="LF44" s="415">
        <v>0.2</v>
      </c>
      <c r="LG44" s="409">
        <v>0</v>
      </c>
      <c r="LH44" s="409">
        <f>45+30+30+50+5+5+2+20</f>
        <v>187</v>
      </c>
      <c r="LI44" s="409">
        <v>0</v>
      </c>
      <c r="LJ44" s="409">
        <v>0</v>
      </c>
      <c r="LK44" s="416">
        <f t="shared" si="32"/>
        <v>187</v>
      </c>
      <c r="LL44" s="416">
        <f t="shared" si="33"/>
        <v>187</v>
      </c>
      <c r="LM44" s="417">
        <f t="shared" si="34"/>
        <v>56.1</v>
      </c>
      <c r="LN44" s="417">
        <f>VLOOKUP($LM$8,'Jan-2026 rates'!$H:$I,2,0)</f>
        <v>0</v>
      </c>
      <c r="LO44" s="417">
        <f t="shared" si="35"/>
        <v>0</v>
      </c>
      <c r="LP44" s="417">
        <f>VLOOKUP($LO$8,'Jan-2026 rates'!$H:$I,2,0)</f>
        <v>0</v>
      </c>
      <c r="LQ44" s="417">
        <f t="shared" si="36"/>
        <v>0</v>
      </c>
      <c r="LR44" s="417">
        <f>VLOOKUP($LQ$8,'Jan-2026 rates'!$H:$I,2,0)</f>
        <v>0</v>
      </c>
      <c r="LS44" s="417">
        <f t="shared" si="37"/>
        <v>93.5</v>
      </c>
      <c r="LT44" s="417">
        <f>VLOOKUP($LS$8,'Jan-2026 rates'!$H:$I,2,0)</f>
        <v>0</v>
      </c>
      <c r="LU44" s="417">
        <f t="shared" si="38"/>
        <v>37.4</v>
      </c>
      <c r="LV44" s="417">
        <f>VLOOKUP($LU$8,'Jan-2026 rates'!$H:$I,2,0)</f>
        <v>0</v>
      </c>
      <c r="LW44" s="417">
        <f t="shared" si="39"/>
        <v>0</v>
      </c>
      <c r="LX44" s="417">
        <f t="shared" si="40"/>
        <v>0</v>
      </c>
      <c r="LY44" s="418">
        <f t="shared" si="41"/>
        <v>0</v>
      </c>
      <c r="LZ44" s="417"/>
      <c r="MA44" s="435">
        <f t="shared" si="42"/>
        <v>148.5</v>
      </c>
      <c r="MB44" s="282">
        <f t="shared" si="43"/>
        <v>360.50000000000006</v>
      </c>
      <c r="MC44" s="283" t="s">
        <v>1972</v>
      </c>
      <c r="MD44" s="284" t="str">
        <f t="shared" si="44"/>
        <v>ToyoLiToyoLiToyoLiToyoLiToyoLiToyoLiToyoLi</v>
      </c>
      <c r="ME44" s="293" t="str">
        <f t="shared" si="45"/>
        <v>+</v>
      </c>
      <c r="MF44" s="293" t="str">
        <f t="shared" si="46"/>
        <v>+</v>
      </c>
      <c r="MG44" s="293" t="str">
        <f t="shared" si="47"/>
        <v>+</v>
      </c>
      <c r="MH44" s="293" t="str">
        <f t="shared" si="48"/>
        <v>+</v>
      </c>
      <c r="MI44" s="293" t="str">
        <f t="shared" si="49"/>
        <v>+</v>
      </c>
      <c r="MJ44" s="293" t="str">
        <f t="shared" si="50"/>
        <v>+</v>
      </c>
      <c r="MK44" s="293" t="str">
        <f t="shared" si="51"/>
        <v>+</v>
      </c>
      <c r="ML44" s="293" t="str">
        <f t="shared" si="52"/>
        <v>NIL</v>
      </c>
      <c r="MM44" s="3" t="b">
        <f t="array" ref="MM44">OR(ME44:ML44="-")</f>
        <v>0</v>
      </c>
      <c r="MN44" s="285"/>
      <c r="MO44" s="401"/>
      <c r="MP44" s="286"/>
      <c r="MQ44" s="286"/>
      <c r="MR44" s="402"/>
      <c r="MS44" s="400"/>
      <c r="NH44" s="422"/>
      <c r="NJ44" s="421"/>
    </row>
    <row r="45" spans="1:374" s="1" customFormat="1" ht="16.5">
      <c r="A45" s="403">
        <v>46029</v>
      </c>
      <c r="B45" s="404" t="s">
        <v>1015</v>
      </c>
      <c r="C45" s="405" t="s">
        <v>2813</v>
      </c>
      <c r="D45" s="406" t="s">
        <v>1973</v>
      </c>
      <c r="E45" s="404">
        <v>86</v>
      </c>
      <c r="F45" s="407">
        <v>4800</v>
      </c>
      <c r="G45" s="407" t="s">
        <v>1016</v>
      </c>
      <c r="H45" s="408" t="s">
        <v>1017</v>
      </c>
      <c r="I45" s="409">
        <v>2.16</v>
      </c>
      <c r="J45" s="405" t="s">
        <v>543</v>
      </c>
      <c r="K45" s="404" t="s">
        <v>2801</v>
      </c>
      <c r="L45" s="419" t="str">
        <f t="shared" si="0"/>
        <v>ToyoLi - BLACK</v>
      </c>
      <c r="M45" s="404">
        <v>28</v>
      </c>
      <c r="N45" s="410">
        <f>IF(M45=0,0,IF($LB45=70%,VLOOKUP($L45,'Jan-2026 rates'!$L:$R,4,0),IF($LB45=65%,VLOOKUP($L45,'Jan-2026 rates'!$L:$R,4,0),IF($LB45=40%,VLOOKUP($L45,'Jan-2026 rates'!$L:$R,5,0),IF($LB45=30%,VLOOKUP($L45,'Jan-2026 rates'!$L:$R,6,0),IF($LB45=100%,VLOOKUP($L45,'Jan-2026 rates'!$L:$R,7,0),IF($LB45=60%,VLOOKUP($L45,'Jan-2026 rates'!$L:$S,8,0),IF($LB45=80%,VLOOKUP($L45,'Jan-2026 rates'!L:T,9,0),0))))))))</f>
        <v>0</v>
      </c>
      <c r="O45" s="406"/>
      <c r="P45" s="404"/>
      <c r="Q45" s="410">
        <f>IF(P45=0,0,IF($LB45=70%,VLOOKUP($L45,'Jan-2026 rates'!$L:$R,4,0),IF($LB45=65%,VLOOKUP($L45,'Jan-2026 rates'!$L:$R,4,0),IF($LB45=40%,VLOOKUP($L45,'Jan-2026 rates'!$L:$R,5,0),IF($LB45=30%,VLOOKUP($L45,'Jan-2026 rates'!$L:$R,6,0),IF($LB45=100%,VLOOKUP($L45,'Jan-2026 rates'!$L:$R,7,0),IF($LB45=60%,VLOOKUP($L45,'Jan-2026 rates'!$L:$S,8,0),IF($LB45=80%,VLOOKUP($L45,'Jan-2026 rates'!L:T,9,0),0))))))))</f>
        <v>0</v>
      </c>
      <c r="R45" s="406" t="s">
        <v>1252</v>
      </c>
      <c r="S45" s="406"/>
      <c r="T45" s="406"/>
      <c r="U45" s="406"/>
      <c r="V45" s="406"/>
      <c r="W45" s="406"/>
      <c r="X45" s="406"/>
      <c r="Y45" s="406"/>
      <c r="Z45" s="404">
        <v>4</v>
      </c>
      <c r="AA45" s="398">
        <f>IF(Z45=0,0,IF(LEN(R45)=11,_xlfn.XLOOKUP(R45,'Dispensed Ink Rates'!C:C,'Dispensed Ink Rates'!CS:CS),VLOOKUP(R45,'Jan-2026 rates'!$E:$F,2,0)))</f>
        <v>0</v>
      </c>
      <c r="AB45" s="404"/>
      <c r="AC45" s="398">
        <f>IF(AB45=0,0,IF(LEN(S45)=11,_xlfn.XLOOKUP(S45,'Dispensed Ink Rates'!C:C,'Dispensed Ink Rates'!CS:CS),VLOOKUP(S45,'Jan-2026 rates'!$E:$F,2,0)))</f>
        <v>0</v>
      </c>
      <c r="AD45" s="404"/>
      <c r="AE45" s="398">
        <f>IF(AD45=0,0,IF(LEN(T45)=11,_xlfn.XLOOKUP(T45,'Dispensed Ink Rates'!C:C,'Dispensed Ink Rates'!CS:CS),VLOOKUP(T45,'Jan-2026 rates'!$E:$F,2,0)))</f>
        <v>0</v>
      </c>
      <c r="AF45" s="404"/>
      <c r="AG45" s="398">
        <f>IF(AF45=0,0,IF(LEN(U45)=11,_xlfn.XLOOKUP(U45,'Dispensed Ink Rates'!C:C,'Dispensed Ink Rates'!CS:CS),VLOOKUP(U45,'Jan-2026 rates'!$E:$F,2,0)))</f>
        <v>0</v>
      </c>
      <c r="AH45" s="404"/>
      <c r="AI45" s="398">
        <f>IF(AH45=0,0,IF(LEN(V45)=11,_xlfn.XLOOKUP(V45,'Dispensed Ink Rates'!C:C,'Dispensed Ink Rates'!CS:CS),VLOOKUP(V45,'Jan-2026 rates'!$E:$F,2,0)))</f>
        <v>0</v>
      </c>
      <c r="AJ45" s="404"/>
      <c r="AK45" s="398">
        <f>IF(AJ45=0,0,IF(LEN(W45)=11,_xlfn.XLOOKUP(W45,'Dispensed Ink Rates'!C:C,'Dispensed Ink Rates'!CS:CS),VLOOKUP(W45,'Jan-2026 rates'!$E:$F,2,0)))</f>
        <v>0</v>
      </c>
      <c r="AL45" s="404"/>
      <c r="AM45" s="398">
        <f>IF(AL45=0,0,IF(LEN(X45)=11,_xlfn.XLOOKUP(X45,'Dispensed Ink Rates'!C:C,'Dispensed Ink Rates'!CS:CS),VLOOKUP(X45,'Jan-2026 rates'!$E:$F,2,0)))</f>
        <v>0</v>
      </c>
      <c r="AN45" s="404"/>
      <c r="AO45" s="398">
        <f>IF(AN45=0,0,IF(LEN(Y45)=11,_xlfn.XLOOKUP(Y45,'Dispensed Ink Rates'!C:C,'Dispensed Ink Rates'!CS:CS),VLOOKUP(Y45,'Jan-2026 rates'!$E:$F,2,0)))</f>
        <v>0</v>
      </c>
      <c r="AP45" s="409" t="s">
        <v>1881</v>
      </c>
      <c r="AQ45" s="409">
        <f>16+14</f>
        <v>30</v>
      </c>
      <c r="AR45" s="410">
        <f t="shared" si="1"/>
        <v>0</v>
      </c>
      <c r="AS45" s="411">
        <f t="shared" si="2"/>
        <v>7.7333333333333343</v>
      </c>
      <c r="AT45" s="410">
        <f t="shared" si="3"/>
        <v>0</v>
      </c>
      <c r="AU45" s="405" t="s">
        <v>547</v>
      </c>
      <c r="AV45" s="409" t="s">
        <v>2814</v>
      </c>
      <c r="AW45" s="420" t="str">
        <f t="shared" si="53"/>
        <v>ToyoLi - GREEN</v>
      </c>
      <c r="AX45" s="409">
        <v>7</v>
      </c>
      <c r="AY45" s="411">
        <f>IF(AX45=0,0,IF($LB45=70%,VLOOKUP($AW45,'Jan-2026 rates'!$L:$R,4,0),IF($LB45=65%,VLOOKUP($AW45,'Jan-2026 rates'!$L:$R,4,0),IF($LB45=40%,VLOOKUP($AW45,'Jan-2026 rates'!$L:$R,5,0),IF($LB45=30%,VLOOKUP($AW45,'Jan-2026 rates'!$L:$R,6,0),IF($LB45=100%,VLOOKUP($AW45,'Jan-2026 rates'!$L:$R,7,0),IF($LB45=60%,VLOOKUP($AW45,'Jan-2026 rates'!$L:$S,8,0),IF($LB45=80%,VLOOKUP($AW45,'Jan-2026 rates'!L:T,9,0),0))))))))</f>
        <v>0</v>
      </c>
      <c r="AZ45" s="412"/>
      <c r="BA45" s="409"/>
      <c r="BB45" s="411">
        <f>IF(BA45=0,0,IF($LB45=70%,VLOOKUP($AW45,'Jan-2026 rates'!$L:$R,4,0),IF($LB45=65%,VLOOKUP($AW45,'Jan-2026 rates'!$L:$R,4,0),IF($LB45=40%,VLOOKUP($AW45,'Jan-2026 rates'!$L:$R,5,0),IF($LB45=30%,VLOOKUP($AW45,'Jan-2026 rates'!$L:$R,6,0),IF($LB45=100%,VLOOKUP($AW45,'Jan-2026 rates'!$L:$R,7,0),IF($LB45=60%,VLOOKUP($AW45,'Jan-2026 rates'!$L:$S,8,0),IF($LB45=80%,VLOOKUP($AW45,'Jan-2026 rates'!L:T,9,0),0))))))))</f>
        <v>0</v>
      </c>
      <c r="BC45" s="413" t="s">
        <v>1247</v>
      </c>
      <c r="BD45" s="412" t="s">
        <v>1250</v>
      </c>
      <c r="BE45" s="412"/>
      <c r="BF45" s="413"/>
      <c r="BG45" s="412"/>
      <c r="BH45" s="412"/>
      <c r="BI45" s="412"/>
      <c r="BJ45" s="412"/>
      <c r="BK45" s="409">
        <v>10</v>
      </c>
      <c r="BL45" s="398">
        <f>IF(BK45=0,0,IF(LEN(BC45)=11,_xlfn.XLOOKUP(BC45,'Dispensed Ink Rates'!C:C,'Dispensed Ink Rates'!CS:CS),VLOOKUP(BC45,'Jan-2026 rates'!$E:$F,2,0)))</f>
        <v>0</v>
      </c>
      <c r="BM45" s="409">
        <v>5</v>
      </c>
      <c r="BN45" s="398">
        <f>IF(BM45=0,0,IF(LEN(BD45)=11,_xlfn.XLOOKUP(BD45,'Dispensed Ink Rates'!C:C,'Dispensed Ink Rates'!CS:CS),VLOOKUP(BD45,'Jan-2026 rates'!$E:$F,2,0)))</f>
        <v>0</v>
      </c>
      <c r="BO45" s="409"/>
      <c r="BP45" s="398">
        <f>IF(BO45=0,0,IF(LEN(BE45)=11,_xlfn.XLOOKUP(BE45,'Dispensed Ink Rates'!C:C,'Dispensed Ink Rates'!CS:CS),VLOOKUP(BE45,'Jan-2026 rates'!$E:$F,2,0)))</f>
        <v>0</v>
      </c>
      <c r="BQ45" s="409"/>
      <c r="BR45" s="398">
        <f>IF(BQ45=0,0,IF(LEN(BF45)=11,_xlfn.XLOOKUP(BF45,'Dispensed Ink Rates'!C:C,'Dispensed Ink Rates'!CS:CS),VLOOKUP(BF45,'Jan-2026 rates'!$E:$F,2,0)))</f>
        <v>0</v>
      </c>
      <c r="BS45" s="409"/>
      <c r="BT45" s="398">
        <f>IF(BS45=0,0,IF(LEN(BG45)=11,_xlfn.XLOOKUP(BG45,'Dispensed Ink Rates'!C:C,'Dispensed Ink Rates'!CS:CS),VLOOKUP(BG45,'Jan-2026 rates'!$E:$F,2,0)))</f>
        <v>0</v>
      </c>
      <c r="BU45" s="409"/>
      <c r="BV45" s="398">
        <f>IF(BU45=0,0,IF(LEN(BH45)=11,_xlfn.XLOOKUP(BH45,'Dispensed Ink Rates'!C:C,'Dispensed Ink Rates'!CS:CS),VLOOKUP(BH45,'Jan-2026 rates'!$E:$F,2,0)))</f>
        <v>0</v>
      </c>
      <c r="BW45" s="409"/>
      <c r="BX45" s="398">
        <f>IF(BW45=0,0,IF(LEN(BI45)=11,_xlfn.XLOOKUP(BI45,'Dispensed Ink Rates'!C:C,'Dispensed Ink Rates'!CS:CS),VLOOKUP(BI45,'Jan-2026 rates'!$E:$F,2,0)))</f>
        <v>0</v>
      </c>
      <c r="BY45" s="409"/>
      <c r="BZ45" s="398">
        <f>IF(BY45=0,0,IF(LEN(BJ45)=11,_xlfn.XLOOKUP(BJ45,'Dispensed Ink Rates'!C:C,'Dispensed Ink Rates'!CS:CS),VLOOKUP(BJ45,'Jan-2026 rates'!$E:$F,2,0)))</f>
        <v>0</v>
      </c>
      <c r="CA45" s="409" t="s">
        <v>1881</v>
      </c>
      <c r="CB45" s="409">
        <f>10+18</f>
        <v>28</v>
      </c>
      <c r="CC45" s="411">
        <f t="shared" si="5"/>
        <v>0</v>
      </c>
      <c r="CD45" s="411">
        <f t="shared" si="6"/>
        <v>9.2888888888888914</v>
      </c>
      <c r="CE45" s="410">
        <f t="shared" si="7"/>
        <v>0</v>
      </c>
      <c r="CF45" s="404" t="s">
        <v>546</v>
      </c>
      <c r="CG45" s="409" t="s">
        <v>2718</v>
      </c>
      <c r="CH45" s="420" t="str">
        <f t="shared" si="8"/>
        <v>ToyoLi - REFLEX BLUE</v>
      </c>
      <c r="CI45" s="409">
        <v>18</v>
      </c>
      <c r="CJ45" s="411">
        <f>IF(CI45=0,0,IF($LB45=70%,VLOOKUP($CH45,'Jan-2026 rates'!$L:$R,4,0),IF($LB45=65%,VLOOKUP($CH45,'Jan-2026 rates'!$L:$R,4,0),IF($LB45=40%,VLOOKUP($CH45,'Jan-2026 rates'!$L:$R,5,0),IF($LB45=30%,VLOOKUP($CH45,'Jan-2026 rates'!$L:$R,6,0),IF($LB45=100%,VLOOKUP($CH45,'Jan-2026 rates'!$L:$R,7,0),IF($LB45=60%,VLOOKUP($CH45,'Jan-2026 rates'!$L:$S,8,0),IF($LB45=80%,VLOOKUP($CH45,'Jan-2026 rates'!L:T,9,0),0))))))))</f>
        <v>0</v>
      </c>
      <c r="CK45" s="412"/>
      <c r="CL45" s="409"/>
      <c r="CM45" s="411">
        <f>IF(CL45=0,0,IF($LB45=70%,VLOOKUP($CH45,'Jan-2026 rates'!$L:$R,4,0),IF($LB45=65%,VLOOKUP($CH45,'Jan-2026 rates'!$L:$R,4,0),IF($LB45=40%,VLOOKUP($CH45,'Jan-2026 rates'!$L:$R,5,0),IF($LB45=30%,VLOOKUP($CH45,'Jan-2026 rates'!$L:$R,6,0),IF($LB45=100%,VLOOKUP($CH45,'Jan-2026 rates'!$L:$R,7,0),IF($LB45=60%,VLOOKUP($CH45,'Jan-2026 rates'!$L:$S,8,0),IF($LB45=80%,VLOOKUP($CH45,'Jan-2026 rates'!L:T,9,0),0))))))))</f>
        <v>0</v>
      </c>
      <c r="CN45" s="426" t="s">
        <v>1250</v>
      </c>
      <c r="CO45" s="427" t="s">
        <v>1880</v>
      </c>
      <c r="CP45" s="426"/>
      <c r="CQ45" s="426"/>
      <c r="CR45" s="428"/>
      <c r="CS45" s="428"/>
      <c r="CT45" s="428"/>
      <c r="CU45" s="428"/>
      <c r="CV45" s="409">
        <v>20</v>
      </c>
      <c r="CW45" s="398">
        <f>IF(CV45=0,0,IF(LEN(CN45)=11,_xlfn.XLOOKUP(CN45,'Dispensed Ink Rates'!C:C,'Dispensed Ink Rates'!CS:CS),VLOOKUP(CN45,'Jan-2026 rates'!$E:$F,2,0)))</f>
        <v>0</v>
      </c>
      <c r="CX45" s="409">
        <v>1</v>
      </c>
      <c r="CY45" s="398">
        <f>IF(CX45=0,0,IF(LEN(CO45)=11,_xlfn.XLOOKUP(CO45,'Dispensed Ink Rates'!C:C,'Dispensed Ink Rates'!CS:CS),VLOOKUP(CO45,'Jan-2026 rates'!$E:$F,2,0)))</f>
        <v>0</v>
      </c>
      <c r="CZ45" s="409"/>
      <c r="DA45" s="398">
        <f>IF(CZ45=0,0,IF(LEN(CP45)=11,_xlfn.XLOOKUP(CP45,'Dispensed Ink Rates'!C:C,'Dispensed Ink Rates'!CS:CS),VLOOKUP(CP45,'Jan-2026 rates'!$E:$F,2,0)))</f>
        <v>0</v>
      </c>
      <c r="DB45" s="409"/>
      <c r="DC45" s="398">
        <f>IF(DB45=0,0,IF(LEN(CQ45)=11,_xlfn.XLOOKUP(CQ45,'Dispensed Ink Rates'!C:C,'Dispensed Ink Rates'!CS:CS),VLOOKUP(CQ45,'Jan-2026 rates'!$E:$F,2,0)))</f>
        <v>0</v>
      </c>
      <c r="DD45" s="409"/>
      <c r="DE45" s="398">
        <f>IF(DD45=0,0,IF(LEN(CR45)=11,_xlfn.XLOOKUP(CR45,'Dispensed Ink Rates'!C:C,'Dispensed Ink Rates'!CS:CS),VLOOKUP(CR45,'Jan-2026 rates'!$E:$F,2,0)))</f>
        <v>0</v>
      </c>
      <c r="DF45" s="409"/>
      <c r="DG45" s="398">
        <f>IF(DF45=0,0,IF(LEN(CS45)=11,_xlfn.XLOOKUP(CS45,'Dispensed Ink Rates'!C:C,'Dispensed Ink Rates'!CS:CS),VLOOKUP(CS45,'Jan-2026 rates'!$E:$F,2,0)))</f>
        <v>0</v>
      </c>
      <c r="DH45" s="409"/>
      <c r="DI45" s="398">
        <f>IF(DH45=0,0,IF(LEN(CT45)=11,_xlfn.XLOOKUP(CT45,'Dispensed Ink Rates'!C:C,'Dispensed Ink Rates'!CS:CS),VLOOKUP(CT45,'Jan-2026 rates'!$E:$F,2,0)))</f>
        <v>0</v>
      </c>
      <c r="DJ45" s="409"/>
      <c r="DK45" s="398">
        <f>IF(DJ45=0,0,IF(LEN(CU45)=11,_xlfn.XLOOKUP(CU45,'Dispensed Ink Rates'!C:C,'Dispensed Ink Rates'!CS:CS),VLOOKUP(CU45,'Jan-2026 rates'!$E:$F,2,0)))</f>
        <v>0</v>
      </c>
      <c r="DL45" s="409" t="s">
        <v>1881</v>
      </c>
      <c r="DM45" s="409">
        <f>14+12</f>
        <v>26</v>
      </c>
      <c r="DN45" s="411">
        <f t="shared" si="9"/>
        <v>0</v>
      </c>
      <c r="DO45" s="411">
        <f t="shared" si="10"/>
        <v>22.555555555555557</v>
      </c>
      <c r="DP45" s="410">
        <f t="shared" si="11"/>
        <v>0</v>
      </c>
      <c r="DQ45" s="405" t="s">
        <v>544</v>
      </c>
      <c r="DR45" s="409" t="s">
        <v>2815</v>
      </c>
      <c r="DS45" s="420" t="str">
        <f t="shared" si="12"/>
        <v>ToyoLi - MAGENTA</v>
      </c>
      <c r="DT45" s="409">
        <v>30</v>
      </c>
      <c r="DU45" s="411">
        <f>IF(DT45=0,0,IF($LB45=70%,VLOOKUP($DS45,'Jan-2026 rates'!$L:$R,4,0),IF($LB45=65%,VLOOKUP($DS45,'Jan-2026 rates'!$L:$R,4,0),IF($LB45=40%,VLOOKUP($DS45,'Jan-2026 rates'!$L:$R,5,0),IF($LB45=30%,VLOOKUP($DS45,'Jan-2026 rates'!$L:$R,6,0),IF($LB45=100%,VLOOKUP($DS45,'Jan-2026 rates'!$L:$R,7,0),IF($LB45=60%,VLOOKUP($DS45,'Jan-2026 rates'!$L:$S,8,0),IF($LB45=80%,VLOOKUP($DS45,'Jan-2026 rates'!L:T,9,0),0))))))))</f>
        <v>0</v>
      </c>
      <c r="DV45" s="412"/>
      <c r="DW45" s="409"/>
      <c r="DX45" s="411">
        <f>IF(DW45=0,0,IF($LB45=70%,VLOOKUP($DS45,'Jan-2026 rates'!$L:$R,4,0),IF($LB45=65%,VLOOKUP($DS45,'Jan-2026 rates'!$L:$R,4,0),IF($LB45=40%,VLOOKUP($DS45,'Jan-2026 rates'!$L:$R,5,0),IF($LB45=30%,VLOOKUP($DS45,'Jan-2026 rates'!$L:$R,6,0),IF($LB45=100%,VLOOKUP($DS45,'Jan-2026 rates'!$L:$R,7,0),IF($LB45=60%,VLOOKUP($DS45,'Jan-2026 rates'!$L:$S,8,0),IF($LB45=80%,VLOOKUP($DS45,'Jan-2026 rates'!L:T,9,0),0))))))))</f>
        <v>0</v>
      </c>
      <c r="DY45" s="413"/>
      <c r="DZ45" s="413"/>
      <c r="EA45" s="412"/>
      <c r="EB45" s="412"/>
      <c r="EC45" s="412"/>
      <c r="ED45" s="412"/>
      <c r="EE45" s="412"/>
      <c r="EF45" s="412"/>
      <c r="EG45" s="409"/>
      <c r="EH45" s="398">
        <f>IF(EG45=0,0,IF(LEN(DY45)=11,_xlfn.XLOOKUP(DY45,'Dispensed Ink Rates'!C:C,'Dispensed Ink Rates'!CS:CS),VLOOKUP(DY45,'Jan-2026 rates'!$E:$F,2,0)))</f>
        <v>0</v>
      </c>
      <c r="EI45" s="409"/>
      <c r="EJ45" s="398">
        <f>IF(EI45=0,0,IF(LEN(DZ45)=11,_xlfn.XLOOKUP(DZ45,'Dispensed Ink Rates'!C:C,'Dispensed Ink Rates'!CS:CS),VLOOKUP(DZ45,'Jan-2026 rates'!$E:$F,2,0)))</f>
        <v>0</v>
      </c>
      <c r="EK45" s="409"/>
      <c r="EL45" s="398">
        <f>IF(EK45=0,0,IF(LEN(EA45)=11,_xlfn.XLOOKUP(EA45,'Dispensed Ink Rates'!C:C,'Dispensed Ink Rates'!CS:CS),VLOOKUP(EA45,'Jan-2026 rates'!$E:$F,2,0)))</f>
        <v>0</v>
      </c>
      <c r="EM45" s="409"/>
      <c r="EN45" s="398">
        <f>IF(EM45=0,0,IF(LEN(EB45)=11,_xlfn.XLOOKUP(EB45,'Dispensed Ink Rates'!C:C,'Dispensed Ink Rates'!CS:CS),VLOOKUP(EB45,'Jan-2026 rates'!$E:$F,2,0)))</f>
        <v>0</v>
      </c>
      <c r="EO45" s="409"/>
      <c r="EP45" s="398">
        <f>IF(EO45=0,0,IF(LEN(EC45)=11,_xlfn.XLOOKUP(EC45,'Dispensed Ink Rates'!C:C,'Dispensed Ink Rates'!CS:CS),VLOOKUP(EC45,'Jan-2026 rates'!$E:$F,2,0)))</f>
        <v>0</v>
      </c>
      <c r="EQ45" s="409"/>
      <c r="ER45" s="398">
        <f>IF(EQ45=0,0,IF(LEN(ED45)=11,_xlfn.XLOOKUP(ED45,'Dispensed Ink Rates'!C:C,'Dispensed Ink Rates'!CS:CS),VLOOKUP(ED45,'Jan-2026 rates'!$E:$F,2,0)))</f>
        <v>0</v>
      </c>
      <c r="ES45" s="409"/>
      <c r="ET45" s="398">
        <f>IF(ES45=0,0,IF(LEN(EE45)=11,_xlfn.XLOOKUP(EE45,'Dispensed Ink Rates'!C:C,'Dispensed Ink Rates'!CS:CS),VLOOKUP(EE45,'Jan-2026 rates'!$E:$F,2,0)))</f>
        <v>0</v>
      </c>
      <c r="EU45" s="409"/>
      <c r="EV45" s="398">
        <f>IF(EU45=0,0,IF(LEN(EF45)=11,_xlfn.XLOOKUP(EF45,'Dispensed Ink Rates'!C:C,'Dispensed Ink Rates'!CS:CS),VLOOKUP(EF45,'Jan-2026 rates'!$E:$F,2,0)))</f>
        <v>0</v>
      </c>
      <c r="EW45" s="409" t="s">
        <v>1881</v>
      </c>
      <c r="EX45" s="409">
        <f>14+14</f>
        <v>28</v>
      </c>
      <c r="EY45" s="411">
        <f t="shared" si="13"/>
        <v>0</v>
      </c>
      <c r="EZ45" s="411">
        <f t="shared" si="14"/>
        <v>5.8222222222222229</v>
      </c>
      <c r="FA45" s="410">
        <f t="shared" si="15"/>
        <v>0</v>
      </c>
      <c r="FB45" s="405" t="s">
        <v>545</v>
      </c>
      <c r="FC45" s="409" t="s">
        <v>2816</v>
      </c>
      <c r="FD45" s="420" t="str">
        <f t="shared" si="16"/>
        <v>ToyoLi - YELLOW</v>
      </c>
      <c r="FE45" s="409">
        <v>32</v>
      </c>
      <c r="FF45" s="411">
        <f>IF(FE45=0,0,IF($LB45=70%,VLOOKUP($FD45,'Jan-2026 rates'!$L:$R,4,0),IF($LB45=65%,VLOOKUP($FD45,'Jan-2026 rates'!$L:$R,4,0),IF($LB45=40%,VLOOKUP($FD45,'Jan-2026 rates'!$L:$R,5,0),IF($LB45=30%,VLOOKUP($FD45,'Jan-2026 rates'!$L:$R,6,0),IF($LB45=100%,VLOOKUP($FD45,'Jan-2026 rates'!$L:$R,7,0),IF($LB45=60%,VLOOKUP($FD45,'Jan-2026 rates'!$L:$S,8,0),IF($LB45=80%,VLOOKUP($FD45,'Jan-2026 rates'!L:T,9,0),0))))))))</f>
        <v>0</v>
      </c>
      <c r="FG45" s="412"/>
      <c r="FH45" s="409"/>
      <c r="FI45" s="411">
        <f>IF(FH45=0,0,IF($LB45=70%,VLOOKUP($FD45,'Jan-2026 rates'!$L:$R,4,0),IF($LB45=65%,VLOOKUP($FD45,'Jan-2026 rates'!$L:$R,4,0),IF($LB45=40%,VLOOKUP($FD45,'Jan-2026 rates'!$L:$R,5,0),IF($LB45=30%,VLOOKUP($FD45,'Jan-2026 rates'!$L:$R,6,0),IF($LB45=100%,VLOOKUP($FD45,'Jan-2026 rates'!$L:$R,7,0),IF($LB45=60%,VLOOKUP($FD45,'Jan-2026 rates'!$L:$S,8,0),IF($LB45=80%,VLOOKUP($FD45,'Jan-2026 rates'!L:T,9,0),0))))))))</f>
        <v>0</v>
      </c>
      <c r="FJ45" s="413"/>
      <c r="FK45" s="413"/>
      <c r="FL45" s="413"/>
      <c r="FM45" s="412"/>
      <c r="FN45" s="412"/>
      <c r="FO45" s="412"/>
      <c r="FP45" s="412"/>
      <c r="FQ45" s="412"/>
      <c r="FR45" s="409"/>
      <c r="FS45" s="398">
        <f>IF(FR45=0,0,IF(LEN(FJ45)=11,_xlfn.XLOOKUP(FJ45,'Dispensed Ink Rates'!C:C,'Dispensed Ink Rates'!CS:CS),VLOOKUP(FJ45,'Jan-2026 rates'!$E:$F,2,0)))</f>
        <v>0</v>
      </c>
      <c r="FT45" s="409"/>
      <c r="FU45" s="398">
        <f>IF(FT45=0,0,IF(LEN(FK45)=11,_xlfn.XLOOKUP(FK45,'Dispensed Ink Rates'!C:C,'Dispensed Ink Rates'!CS:CS),VLOOKUP(FK45,'Jan-2026 rates'!$E:$F,2,0)))</f>
        <v>0</v>
      </c>
      <c r="FV45" s="409"/>
      <c r="FW45" s="398">
        <f>IF(FV45=0,0,IF(LEN(FL45)=11,_xlfn.XLOOKUP(FL45,'Dispensed Ink Rates'!C:C,'Dispensed Ink Rates'!CS:CS),VLOOKUP(FL45,'Jan-2026 rates'!$E:$F,2,0)))</f>
        <v>0</v>
      </c>
      <c r="FX45" s="409"/>
      <c r="FY45" s="398">
        <f>IF(FX45=0,0,IF(LEN(FM45)=11,_xlfn.XLOOKUP(FM45,'Dispensed Ink Rates'!C:C,'Dispensed Ink Rates'!CS:CS),VLOOKUP(FM45,'Jan-2026 rates'!$E:$F,2,0)))</f>
        <v>0</v>
      </c>
      <c r="FZ45" s="409"/>
      <c r="GA45" s="398">
        <f>IF(FZ45=0,0,IF(LEN(FN45)=11,_xlfn.XLOOKUP(FN45,'Dispensed Ink Rates'!C:C,'Dispensed Ink Rates'!CS:CS),VLOOKUP(FN45,'Jan-2026 rates'!$E:$F,2,0)))</f>
        <v>0</v>
      </c>
      <c r="GB45" s="409"/>
      <c r="GC45" s="398">
        <f>IF(GB45=0,0,IF(LEN(FO45)=11,_xlfn.XLOOKUP(FO45,'Dispensed Ink Rates'!C:C,'Dispensed Ink Rates'!CS:CS),VLOOKUP(FO45,'Jan-2026 rates'!$E:$F,2,0)))</f>
        <v>0</v>
      </c>
      <c r="GD45" s="409"/>
      <c r="GE45" s="398">
        <f>IF(GD45=0,0,IF(LEN(FP45)=11,_xlfn.XLOOKUP(FP45,'Dispensed Ink Rates'!C:C,'Dispensed Ink Rates'!CS:CS),VLOOKUP(FP45,'Jan-2026 rates'!$E:$F,2,0)))</f>
        <v>0</v>
      </c>
      <c r="GF45" s="409"/>
      <c r="GG45" s="398">
        <f>IF(GF45=0,0,IF(LEN(FQ45)=11,_xlfn.XLOOKUP(FQ45,'Dispensed Ink Rates'!C:C,'Dispensed Ink Rates'!CS:CS),VLOOKUP(FQ45,'Jan-2026 rates'!$E:$F,2,0)))</f>
        <v>0</v>
      </c>
      <c r="GH45" s="409" t="s">
        <v>1881</v>
      </c>
      <c r="GI45" s="409">
        <f>16+17</f>
        <v>33</v>
      </c>
      <c r="GJ45" s="411">
        <f t="shared" si="17"/>
        <v>0</v>
      </c>
      <c r="GK45" s="411">
        <f t="shared" si="18"/>
        <v>2.8222222222222229</v>
      </c>
      <c r="GL45" s="410">
        <f t="shared" si="19"/>
        <v>0</v>
      </c>
      <c r="GM45" s="405" t="s">
        <v>548</v>
      </c>
      <c r="GN45" s="409" t="s">
        <v>2581</v>
      </c>
      <c r="GO45" s="420" t="str">
        <f t="shared" si="20"/>
        <v>ToyoLi - GOLD</v>
      </c>
      <c r="GP45" s="409">
        <v>18</v>
      </c>
      <c r="GQ45" s="411">
        <f>IF(GP45=0,0,IF($LB45=70%,VLOOKUP($GO45,'Jan-2026 rates'!$L:$R,4,0),IF($LB45=65%,VLOOKUP($GO45,'Jan-2026 rates'!$L:$R,4,0),IF($LB45=40%,VLOOKUP($GO45,'Jan-2026 rates'!$L:$R,5,0),IF($LB45=30%,VLOOKUP($GO45,'Jan-2026 rates'!$L:$R,6,0),IF($LB45=100%,VLOOKUP($GO45,'Jan-2026 rates'!$L:$R,7,0),IF($LB45=60%,VLOOKUP($GO45,'Jan-2026 rates'!$L:$S,8,0),IF($LB45=80%,VLOOKUP($GO45,'Jan-2026 rates'!L:T,9,0),0))))))))</f>
        <v>0</v>
      </c>
      <c r="GR45" s="412"/>
      <c r="GS45" s="409"/>
      <c r="GT45" s="411">
        <f>IF(GS45=0,0,IF($LB45=70%,VLOOKUP($GO45,'Jan-2026 rates'!$L:$R,4,0),IF($LB45=65%,VLOOKUP($GO45,'Jan-2026 rates'!$L:$R,4,0),IF($LB45=40%,VLOOKUP($GO45,'Jan-2026 rates'!$L:$R,5,0),IF($LB45=30%,VLOOKUP($GO45,'Jan-2026 rates'!$L:$R,6,0),IF($LB45=100%,VLOOKUP($GO45,'Jan-2026 rates'!$L:$R,7,0),IF($LB45=60%,VLOOKUP($GO45,'Jan-2026 rates'!$L:$S,8,0),IF($LB45=80%,VLOOKUP($GO45,'Jan-2026 rates'!L:T,9,0),0))))))))</f>
        <v>0</v>
      </c>
      <c r="GU45" s="413" t="s">
        <v>1891</v>
      </c>
      <c r="GV45" s="413"/>
      <c r="GW45" s="412"/>
      <c r="GX45" s="412"/>
      <c r="GY45" s="412"/>
      <c r="GZ45" s="412"/>
      <c r="HA45" s="412"/>
      <c r="HB45" s="412"/>
      <c r="HC45" s="409">
        <v>10</v>
      </c>
      <c r="HD45" s="398">
        <f>IF(HC45=0,0,IF(LEN(GU45)=11,_xlfn.XLOOKUP(GU45,'Dispensed Ink Rates'!C:C,'Dispensed Ink Rates'!CS:CS),VLOOKUP(GU45,'Jan-2026 rates'!$E:$F,2,0)))</f>
        <v>0</v>
      </c>
      <c r="HE45" s="409"/>
      <c r="HF45" s="398">
        <f>IF(HE45=0,0,IF(LEN(GV45)=11,_xlfn.XLOOKUP(GV45,'Dispensed Ink Rates'!C:C,'Dispensed Ink Rates'!CS:CS),VLOOKUP(GV45,'Jan-2026 rates'!$E:$F,2,0)))</f>
        <v>0</v>
      </c>
      <c r="HG45" s="409"/>
      <c r="HH45" s="398">
        <f>IF(HG45=0,0,IF(LEN(GW45)=11,_xlfn.XLOOKUP(GW45,'Dispensed Ink Rates'!C:C,'Dispensed Ink Rates'!CS:CS),VLOOKUP(GW45,'Jan-2026 rates'!$E:$F,2,0)))</f>
        <v>0</v>
      </c>
      <c r="HI45" s="409"/>
      <c r="HJ45" s="398">
        <f>IF(HI45=0,0,IF(LEN(GX45)=11,_xlfn.XLOOKUP(GX45,'Dispensed Ink Rates'!C:C,'Dispensed Ink Rates'!CS:CS),VLOOKUP(GX45,'Jan-2026 rates'!$E:$F,2,0)))</f>
        <v>0</v>
      </c>
      <c r="HK45" s="409"/>
      <c r="HL45" s="398">
        <f>IF(HK45=0,0,IF(LEN(GY45)=11,_xlfn.XLOOKUP(GY45,'Dispensed Ink Rates'!C:C,'Dispensed Ink Rates'!CS:CS),VLOOKUP(GY45,'Jan-2026 rates'!$E:$F,2,0)))</f>
        <v>0</v>
      </c>
      <c r="HM45" s="409"/>
      <c r="HN45" s="398">
        <f>IF(HM45=0,0,IF(LEN(GZ45)=11,_xlfn.XLOOKUP(GZ45,'Dispensed Ink Rates'!C:C,'Dispensed Ink Rates'!CS:CS),VLOOKUP(GZ45,'Jan-2026 rates'!$E:$F,2,0)))</f>
        <v>0</v>
      </c>
      <c r="HO45" s="409"/>
      <c r="HP45" s="398">
        <f>IF(HO45=0,0,IF(LEN(HA45)=11,_xlfn.XLOOKUP(HA45,'Dispensed Ink Rates'!C:C,'Dispensed Ink Rates'!CS:CS),VLOOKUP(HA45,'Jan-2026 rates'!$E:$F,2,0)))</f>
        <v>0</v>
      </c>
      <c r="HQ45" s="409"/>
      <c r="HR45" s="398">
        <f>IF(HQ45=0,0,IF(LEN(HB45)=11,_xlfn.XLOOKUP(HB45,'Dispensed Ink Rates'!C:C,'Dispensed Ink Rates'!CS:CS),VLOOKUP(HB45,'Jan-2026 rates'!$E:$F,2,0)))</f>
        <v>0</v>
      </c>
      <c r="HS45" s="409" t="s">
        <v>1881</v>
      </c>
      <c r="HT45" s="409">
        <f>9+17</f>
        <v>26</v>
      </c>
      <c r="HU45" s="411">
        <f t="shared" si="21"/>
        <v>0</v>
      </c>
      <c r="HV45" s="411">
        <f t="shared" si="22"/>
        <v>11.555555555555557</v>
      </c>
      <c r="HW45" s="414">
        <f t="shared" si="23"/>
        <v>0</v>
      </c>
      <c r="HX45" s="405" t="s">
        <v>856</v>
      </c>
      <c r="HY45" s="409" t="s">
        <v>2817</v>
      </c>
      <c r="HZ45" s="420" t="str">
        <f t="shared" si="24"/>
        <v>ToyoLi - WHITE</v>
      </c>
      <c r="IA45" s="409">
        <v>25</v>
      </c>
      <c r="IB45" s="411">
        <f>IF(IA45=0,0,IF($LB45=70%,VLOOKUP($HZ45,'Jan-2026 rates'!$L:$R,4,0),IF($LB45=65%,VLOOKUP($HZ45,'Jan-2026 rates'!$L:$R,4,0),IF($LB45=40%,VLOOKUP($HZ45,'Jan-2026 rates'!$L:$R,5,0),IF($LB45=30%,VLOOKUP($HZ45,'Jan-2026 rates'!$L:$R,6,0),IF($LB45=100%,VLOOKUP($HZ45,'Jan-2026 rates'!$L:$R,7,0),IF($LB45=60%,VLOOKUP($HZ45,'Jan-2026 rates'!$L:$S,8,0),IF($LB45=80%,VLOOKUP($HZ45,'Jan-2026 rates'!L:T,9,0),0))))))))</f>
        <v>0</v>
      </c>
      <c r="IC45" s="412"/>
      <c r="ID45" s="409"/>
      <c r="IE45" s="411">
        <f>IF(ID45=0,0,IF($LB45=70%,VLOOKUP($HZ45,'Jan-2026 rates'!$L:$R,4,0),IF($LB45=65%,VLOOKUP($HZ45,'Jan-2026 rates'!$L:$R,4,0),IF($LB45=40%,VLOOKUP($HZ45,'Jan-2026 rates'!$L:$R,5,0),IF($LB45=30%,VLOOKUP($HZ45,'Jan-2026 rates'!$L:$R,6,0),IF($LB45=100%,VLOOKUP($HZ45,'Jan-2026 rates'!$L:$R,7,0),IF($LB45=60%,VLOOKUP($HZ45,'Jan-2026 rates'!$L:$S,8,0),IF($LB45=80%,VLOOKUP($HZ45,'Jan-2026 rates'!L:T,9,0),0))))))))</f>
        <v>0</v>
      </c>
      <c r="IF45" s="412" t="s">
        <v>1249</v>
      </c>
      <c r="IG45" s="413" t="s">
        <v>1122</v>
      </c>
      <c r="IH45" s="412"/>
      <c r="II45" s="412"/>
      <c r="IJ45" s="412"/>
      <c r="IK45" s="412"/>
      <c r="IL45" s="412"/>
      <c r="IM45" s="412"/>
      <c r="IN45" s="409">
        <v>40</v>
      </c>
      <c r="IO45" s="398">
        <f>IF(IN45=0,0,IF(LEN(IF45)=11,_xlfn.XLOOKUP(IF45,'Dispensed Ink Rates'!C:C,'Dispensed Ink Rates'!CS:CS),VLOOKUP(IF45,'Jan-2026 rates'!$E:$F,2,0)))</f>
        <v>0</v>
      </c>
      <c r="IP45" s="409">
        <v>5.07</v>
      </c>
      <c r="IQ45" s="398">
        <f>IF(IP45=0,0,IF(LEN(IG45)=11,_xlfn.XLOOKUP(IG45,'Dispensed Ink Rates'!C:C,'Dispensed Ink Rates'!CS:CS),VLOOKUP(IG45,'Jan-2026 rates'!$E:$F,2,0)))</f>
        <v>0</v>
      </c>
      <c r="IR45" s="409"/>
      <c r="IS45" s="398">
        <f>IF(IR45=0,0,IF(LEN(IH45)=11,_xlfn.XLOOKUP(IH45,'Dispensed Ink Rates'!C:C,'Dispensed Ink Rates'!CS:CS),VLOOKUP(IH45,'Jan-2026 rates'!$E:$F,2,0)))</f>
        <v>0</v>
      </c>
      <c r="IT45" s="409"/>
      <c r="IU45" s="398">
        <f>IF(IT45=0,0,IF(LEN(II45)=11,_xlfn.XLOOKUP(II45,'Dispensed Ink Rates'!C:C,'Dispensed Ink Rates'!CS:CS),VLOOKUP(II45,'Jan-2026 rates'!$E:$F,2,0)))</f>
        <v>0</v>
      </c>
      <c r="IV45" s="409"/>
      <c r="IW45" s="398">
        <f>IF(IV45=0,0,IF(LEN(IJ45)=11,_xlfn.XLOOKUP(IJ45,'Dispensed Ink Rates'!C:C,'Dispensed Ink Rates'!CS:CS),VLOOKUP(IJ45,'Jan-2026 rates'!$E:$F,2,0)))</f>
        <v>0</v>
      </c>
      <c r="IX45" s="409"/>
      <c r="IY45" s="398">
        <f>IF(IX45=0,0,IF(LEN(IK45)=11,_xlfn.XLOOKUP(IK45,'Dispensed Ink Rates'!C:C,'Dispensed Ink Rates'!CS:CS),VLOOKUP(IK45,'Jan-2026 rates'!$E:$F,2,0)))</f>
        <v>0</v>
      </c>
      <c r="IZ45" s="409"/>
      <c r="JA45" s="398">
        <f>IF(IZ45=0,0,IF(LEN(IL45)=11,_xlfn.XLOOKUP(IL45,'Dispensed Ink Rates'!C:C,'Dispensed Ink Rates'!CS:CS),VLOOKUP(IL45,'Jan-2026 rates'!$E:$F,2,0)))</f>
        <v>0</v>
      </c>
      <c r="JB45" s="409"/>
      <c r="JC45" s="398">
        <f>IF(JB45=0,0,IF(LEN(IM45)=11,_xlfn.XLOOKUP(IM45,'Dispensed Ink Rates'!C:C,'Dispensed Ink Rates'!CS:CS),VLOOKUP(IM45,'Jan-2026 rates'!$E:$F,2,0)))</f>
        <v>0</v>
      </c>
      <c r="JD45" s="409" t="s">
        <v>1881</v>
      </c>
      <c r="JE45" s="409">
        <v>30</v>
      </c>
      <c r="JF45" s="411">
        <f t="shared" si="25"/>
        <v>0</v>
      </c>
      <c r="JG45" s="411">
        <f t="shared" si="26"/>
        <v>78.292222222222222</v>
      </c>
      <c r="JH45" s="410">
        <f t="shared" si="27"/>
        <v>0</v>
      </c>
      <c r="JI45" s="405"/>
      <c r="JJ45" s="409"/>
      <c r="JK45" s="420" t="str">
        <f t="shared" si="28"/>
        <v xml:space="preserve"> - </v>
      </c>
      <c r="JL45" s="409"/>
      <c r="JM45" s="411">
        <f>IF(JL45=0,0,IF($LB45=70%,VLOOKUP($JK45,'Jan-2026 rates'!$L:$R,4,0),IF($LB45=65%,VLOOKUP($JK45,'Jan-2026 rates'!$L:$R,4,0),IF($LB45=40%,VLOOKUP($JK45,'Jan-2026 rates'!$L:$R,5,0),IF($LB45=30%,VLOOKUP($JK45,'Jan-2026 rates'!$L:$R,6,0),IF($LB45=100%,VLOOKUP($JK45,'Jan-2026 rates'!$L:$R,7,0),IF($LB45=60%,VLOOKUP($JK45,'Jan-2026 rates'!$L:$S,8,0),IF($LB45=80%,VLOOKUP($JK45,'Jan-2026 rates'!L:T,9,0),0))))))))</f>
        <v>0</v>
      </c>
      <c r="JN45" s="412"/>
      <c r="JO45" s="409"/>
      <c r="JP45" s="411">
        <f>IF(JO45=0,0,IF($LB45=70%,VLOOKUP($JK45,'Jan-2026 rates'!$L:$R,4,0),IF($LB45=65%,VLOOKUP($JK45,'Jan-2026 rates'!$L:$R,4,0),IF($LB45=40%,VLOOKUP($JK45,'Jan-2026 rates'!$L:$R,5,0),IF($LB45=30%,VLOOKUP($JK45,'Jan-2026 rates'!$L:$R,6,0),IF($LB45=100%,VLOOKUP($JK45,'Jan-2026 rates'!$L:$R,7,0),IF($LB45=60%,VLOOKUP($JK45,'Jan-2026 rates'!$L:$S,8,0),IF($LB45=80%,VLOOKUP($JK45,'Jan-2026 rates'!L:T,9,0),0))))))))</f>
        <v>0</v>
      </c>
      <c r="JQ45" s="413"/>
      <c r="JR45" s="412"/>
      <c r="JS45" s="413"/>
      <c r="JT45" s="413"/>
      <c r="JU45" s="412"/>
      <c r="JV45" s="412"/>
      <c r="JW45" s="412"/>
      <c r="JX45" s="412"/>
      <c r="JY45" s="409"/>
      <c r="JZ45" s="398">
        <f>IF(JY45=0,0,IF(LEN(JQ45)=11,_xlfn.XLOOKUP(JQ45,'Dispensed Ink Rates'!C:C,'Dispensed Ink Rates'!CS:CS),VLOOKUP(JQ45,'Jan-2026 rates'!$E:$F,2,0)))</f>
        <v>0</v>
      </c>
      <c r="KA45" s="409"/>
      <c r="KB45" s="398">
        <f>IF(KA45=0,0,IF(LEN(JR45)=11,_xlfn.XLOOKUP(JR45,'Dispensed Ink Rates'!C:C,'Dispensed Ink Rates'!CS:CS),VLOOKUP(JR45,'Jan-2026 rates'!$E:$F,2,0)))</f>
        <v>0</v>
      </c>
      <c r="KC45" s="409"/>
      <c r="KD45" s="398">
        <f>IF(KC45=0,0,IF(LEN(JS45)=11,_xlfn.XLOOKUP(JS45,'Dispensed Ink Rates'!C:C,'Dispensed Ink Rates'!CS:CS),VLOOKUP(JS45,'Jan-2026 rates'!$E:$F,2,0)))</f>
        <v>0</v>
      </c>
      <c r="KE45" s="409"/>
      <c r="KF45" s="398">
        <f>IF(KE45=0,0,IF(LEN(JT45)=11,_xlfn.XLOOKUP(JT45,'Dispensed Ink Rates'!C:C,'Dispensed Ink Rates'!CS:CS),VLOOKUP(JT45,'Jan-2026 rates'!$E:$F,2,0)))</f>
        <v>0</v>
      </c>
      <c r="KG45" s="409"/>
      <c r="KH45" s="398">
        <f>IF(KG45=0,0,IF(LEN(JU45)=11,_xlfn.XLOOKUP(JU45,'Dispensed Ink Rates'!C:C,'Dispensed Ink Rates'!CS:CS),VLOOKUP(JU45,'Jan-2026 rates'!$E:$F,2,0)))</f>
        <v>0</v>
      </c>
      <c r="KI45" s="409"/>
      <c r="KJ45" s="398">
        <f>IF(KI45=0,0,IF(LEN(JV45)=11,_xlfn.XLOOKUP(JV45,'Dispensed Ink Rates'!C:C,'Dispensed Ink Rates'!CS:CS),VLOOKUP(JV45,'Jan-2026 rates'!$E:$F,2,0)))</f>
        <v>0</v>
      </c>
      <c r="KK45" s="409"/>
      <c r="KL45" s="398">
        <f>IF(KK45=0,0,IF(LEN(JW45)=11,_xlfn.XLOOKUP(JW45,'Dispensed Ink Rates'!C:C,'Dispensed Ink Rates'!CS:CS),VLOOKUP(JW45,'Jan-2026 rates'!$E:$F,2,0)))</f>
        <v>0</v>
      </c>
      <c r="KM45" s="428"/>
      <c r="KN45" s="398">
        <f>IF(KM45=0,0,IF(LEN(JX45)=11,_xlfn.XLOOKUP(JX45,'Dispensed Ink Rates'!C:C,'Dispensed Ink Rates'!CS:CS),VLOOKUP(JX45,'Jan-2026 rates'!$E:$F,2,0)))</f>
        <v>0</v>
      </c>
      <c r="KO45" s="409"/>
      <c r="KP45" s="409"/>
      <c r="KQ45" s="411">
        <f t="shared" si="29"/>
        <v>0</v>
      </c>
      <c r="KR45" s="411">
        <f t="shared" si="30"/>
        <v>0</v>
      </c>
      <c r="KS45" s="410">
        <f t="shared" si="31"/>
        <v>0</v>
      </c>
      <c r="KT45" s="409">
        <v>3</v>
      </c>
      <c r="KU45" s="409">
        <v>8</v>
      </c>
      <c r="KV45" s="409">
        <v>5</v>
      </c>
      <c r="KW45" s="409">
        <v>2</v>
      </c>
      <c r="KX45" s="409">
        <v>2</v>
      </c>
      <c r="KY45" s="409">
        <v>5</v>
      </c>
      <c r="KZ45" s="409">
        <v>20</v>
      </c>
      <c r="LA45" s="409">
        <v>0</v>
      </c>
      <c r="LB45" s="415">
        <v>0.3</v>
      </c>
      <c r="LC45" s="415"/>
      <c r="LD45" s="415"/>
      <c r="LE45" s="415">
        <v>0.5</v>
      </c>
      <c r="LF45" s="415">
        <v>0.2</v>
      </c>
      <c r="LG45" s="409">
        <v>0</v>
      </c>
      <c r="LH45" s="409">
        <f>25+21+12+20+8</f>
        <v>86</v>
      </c>
      <c r="LI45" s="409">
        <v>0</v>
      </c>
      <c r="LJ45" s="409">
        <v>0</v>
      </c>
      <c r="LK45" s="416">
        <f t="shared" si="32"/>
        <v>86</v>
      </c>
      <c r="LL45" s="416">
        <f t="shared" si="33"/>
        <v>86</v>
      </c>
      <c r="LM45" s="417">
        <f t="shared" si="34"/>
        <v>25.8</v>
      </c>
      <c r="LN45" s="417">
        <f>VLOOKUP($LM$8,'Jan-2026 rates'!$H:$I,2,0)</f>
        <v>0</v>
      </c>
      <c r="LO45" s="417">
        <f t="shared" si="35"/>
        <v>0</v>
      </c>
      <c r="LP45" s="417">
        <f>VLOOKUP($LO$8,'Jan-2026 rates'!$H:$I,2,0)</f>
        <v>0</v>
      </c>
      <c r="LQ45" s="417">
        <f t="shared" si="36"/>
        <v>0</v>
      </c>
      <c r="LR45" s="417">
        <f>VLOOKUP($LQ$8,'Jan-2026 rates'!$H:$I,2,0)</f>
        <v>0</v>
      </c>
      <c r="LS45" s="417">
        <f t="shared" si="37"/>
        <v>43</v>
      </c>
      <c r="LT45" s="417">
        <f>VLOOKUP($LS$8,'Jan-2026 rates'!$H:$I,2,0)</f>
        <v>0</v>
      </c>
      <c r="LU45" s="417">
        <f t="shared" si="38"/>
        <v>17.2</v>
      </c>
      <c r="LV45" s="417">
        <f>VLOOKUP($LU$8,'Jan-2026 rates'!$H:$I,2,0)</f>
        <v>0</v>
      </c>
      <c r="LW45" s="417">
        <f t="shared" si="39"/>
        <v>0</v>
      </c>
      <c r="LX45" s="417">
        <f t="shared" si="40"/>
        <v>0</v>
      </c>
      <c r="LY45" s="418">
        <f t="shared" si="41"/>
        <v>0</v>
      </c>
      <c r="LZ45" s="417"/>
      <c r="MA45" s="435">
        <f t="shared" si="42"/>
        <v>95.07</v>
      </c>
      <c r="MB45" s="282">
        <f t="shared" si="43"/>
        <v>138.07</v>
      </c>
      <c r="MC45" s="283" t="s">
        <v>1973</v>
      </c>
      <c r="MD45" s="284" t="str">
        <f t="shared" si="44"/>
        <v>ToyoLiToyoLiToyoLiToyoLiToyoLiToyoLiToyoLi</v>
      </c>
      <c r="ME45" s="293" t="str">
        <f t="shared" si="45"/>
        <v>+</v>
      </c>
      <c r="MF45" s="293" t="str">
        <f t="shared" si="46"/>
        <v>+</v>
      </c>
      <c r="MG45" s="293" t="str">
        <f t="shared" si="47"/>
        <v>+</v>
      </c>
      <c r="MH45" s="293" t="str">
        <f t="shared" si="48"/>
        <v>+</v>
      </c>
      <c r="MI45" s="293" t="str">
        <f t="shared" si="49"/>
        <v>+</v>
      </c>
      <c r="MJ45" s="293" t="str">
        <f t="shared" si="50"/>
        <v>+</v>
      </c>
      <c r="MK45" s="293" t="str">
        <f t="shared" si="51"/>
        <v>+</v>
      </c>
      <c r="ML45" s="293" t="str">
        <f t="shared" si="52"/>
        <v>NIL</v>
      </c>
      <c r="MM45" s="3" t="b">
        <f t="array" ref="MM45">OR(ME45:ML45="-")</f>
        <v>0</v>
      </c>
      <c r="MN45" s="285"/>
      <c r="MO45" s="401"/>
      <c r="MP45" s="286"/>
      <c r="MQ45" s="286"/>
      <c r="MR45" s="402"/>
      <c r="MS45" s="400"/>
      <c r="NH45" s="422"/>
      <c r="NJ45" s="421"/>
    </row>
    <row r="46" spans="1:374" s="1" customFormat="1" ht="16.5">
      <c r="A46" s="403">
        <v>46024</v>
      </c>
      <c r="B46" s="404" t="s">
        <v>1018</v>
      </c>
      <c r="C46" s="405" t="s">
        <v>2818</v>
      </c>
      <c r="D46" s="406">
        <v>1</v>
      </c>
      <c r="E46" s="404">
        <v>243</v>
      </c>
      <c r="F46" s="407">
        <v>10400</v>
      </c>
      <c r="G46" s="407" t="s">
        <v>1019</v>
      </c>
      <c r="H46" s="408" t="s">
        <v>1017</v>
      </c>
      <c r="I46" s="409">
        <v>2.16</v>
      </c>
      <c r="J46" s="405" t="s">
        <v>547</v>
      </c>
      <c r="K46" s="404" t="s">
        <v>2819</v>
      </c>
      <c r="L46" s="419" t="str">
        <f t="shared" si="0"/>
        <v>FLINTSL - GREEN</v>
      </c>
      <c r="M46" s="404">
        <v>17</v>
      </c>
      <c r="N46" s="410">
        <f>IF(M46=0,0,IF($LB46=70%,VLOOKUP($L46,'Jan-2026 rates'!$L:$R,4,0),IF($LB46=65%,VLOOKUP($L46,'Jan-2026 rates'!$L:$R,4,0),IF($LB46=40%,VLOOKUP($L46,'Jan-2026 rates'!$L:$R,5,0),IF($LB46=30%,VLOOKUP($L46,'Jan-2026 rates'!$L:$R,6,0),IF($LB46=100%,VLOOKUP($L46,'Jan-2026 rates'!$L:$R,7,0),IF($LB46=60%,VLOOKUP($L46,'Jan-2026 rates'!$L:$S,8,0),IF($LB46=80%,VLOOKUP($L46,'Jan-2026 rates'!L:T,9,0),0))))))))</f>
        <v>0</v>
      </c>
      <c r="O46" s="406"/>
      <c r="P46" s="404"/>
      <c r="Q46" s="410">
        <f>IF(P46=0,0,IF($LB46=70%,VLOOKUP($L46,'Jan-2026 rates'!$L:$R,4,0),IF($LB46=65%,VLOOKUP($L46,'Jan-2026 rates'!$L:$R,4,0),IF($LB46=40%,VLOOKUP($L46,'Jan-2026 rates'!$L:$R,5,0),IF($LB46=30%,VLOOKUP($L46,'Jan-2026 rates'!$L:$R,6,0),IF($LB46=100%,VLOOKUP($L46,'Jan-2026 rates'!$L:$R,7,0),IF($LB46=60%,VLOOKUP($L46,'Jan-2026 rates'!$L:$S,8,0),IF($LB46=80%,VLOOKUP($L46,'Jan-2026 rates'!L:T,9,0),0))))))))</f>
        <v>0</v>
      </c>
      <c r="R46" s="406">
        <v>25863000002</v>
      </c>
      <c r="S46" s="406">
        <v>25864000008</v>
      </c>
      <c r="T46" s="406"/>
      <c r="U46" s="406"/>
      <c r="V46" s="406"/>
      <c r="W46" s="406"/>
      <c r="X46" s="406"/>
      <c r="Y46" s="406"/>
      <c r="Z46" s="404">
        <v>2</v>
      </c>
      <c r="AA46" s="398" t="e">
        <f>IF(Z46=0,0,IF(LEN(R46)=11,_xlfn.XLOOKUP(R46,'Dispensed Ink Rates'!C:C,'Dispensed Ink Rates'!CS:CS),VLOOKUP(R46,'Jan-2026 rates'!$E:$F,2,0)))</f>
        <v>#N/A</v>
      </c>
      <c r="AB46" s="404">
        <v>4</v>
      </c>
      <c r="AC46" s="398" t="e">
        <f>IF(AB46=0,0,IF(LEN(S46)=11,_xlfn.XLOOKUP(S46,'Dispensed Ink Rates'!C:C,'Dispensed Ink Rates'!CS:CS),VLOOKUP(S46,'Jan-2026 rates'!$E:$F,2,0)))</f>
        <v>#N/A</v>
      </c>
      <c r="AD46" s="404"/>
      <c r="AE46" s="398">
        <f>IF(AD46=0,0,IF(LEN(T46)=11,_xlfn.XLOOKUP(T46,'Dispensed Ink Rates'!C:C,'Dispensed Ink Rates'!CS:CS),VLOOKUP(T46,'Jan-2026 rates'!$E:$F,2,0)))</f>
        <v>0</v>
      </c>
      <c r="AF46" s="404"/>
      <c r="AG46" s="398">
        <f>IF(AF46=0,0,IF(LEN(U46)=11,_xlfn.XLOOKUP(U46,'Dispensed Ink Rates'!C:C,'Dispensed Ink Rates'!CS:CS),VLOOKUP(U46,'Jan-2026 rates'!$E:$F,2,0)))</f>
        <v>0</v>
      </c>
      <c r="AH46" s="404"/>
      <c r="AI46" s="398">
        <f>IF(AH46=0,0,IF(LEN(V46)=11,_xlfn.XLOOKUP(V46,'Dispensed Ink Rates'!C:C,'Dispensed Ink Rates'!CS:CS),VLOOKUP(V46,'Jan-2026 rates'!$E:$F,2,0)))</f>
        <v>0</v>
      </c>
      <c r="AJ46" s="404"/>
      <c r="AK46" s="398">
        <f>IF(AJ46=0,0,IF(LEN(W46)=11,_xlfn.XLOOKUP(W46,'Dispensed Ink Rates'!C:C,'Dispensed Ink Rates'!CS:CS),VLOOKUP(W46,'Jan-2026 rates'!$E:$F,2,0)))</f>
        <v>0</v>
      </c>
      <c r="AL46" s="404"/>
      <c r="AM46" s="398">
        <f>IF(AL46=0,0,IF(LEN(X46)=11,_xlfn.XLOOKUP(X46,'Dispensed Ink Rates'!C:C,'Dispensed Ink Rates'!CS:CS),VLOOKUP(X46,'Jan-2026 rates'!$E:$F,2,0)))</f>
        <v>0</v>
      </c>
      <c r="AN46" s="404"/>
      <c r="AO46" s="398">
        <f>IF(AN46=0,0,IF(LEN(Y46)=11,_xlfn.XLOOKUP(Y46,'Dispensed Ink Rates'!C:C,'Dispensed Ink Rates'!CS:CS),VLOOKUP(Y46,'Jan-2026 rates'!$E:$F,2,0)))</f>
        <v>0</v>
      </c>
      <c r="AP46" s="409" t="s">
        <v>1443</v>
      </c>
      <c r="AQ46" s="409">
        <v>22</v>
      </c>
      <c r="AR46" s="410">
        <f t="shared" si="1"/>
        <v>0</v>
      </c>
      <c r="AS46" s="411">
        <f t="shared" si="2"/>
        <v>6.1904761904761898</v>
      </c>
      <c r="AT46" s="410">
        <f t="shared" si="3"/>
        <v>0</v>
      </c>
      <c r="AU46" s="405" t="s">
        <v>547</v>
      </c>
      <c r="AV46" s="409" t="s">
        <v>2394</v>
      </c>
      <c r="AW46" s="420" t="str">
        <f t="shared" si="53"/>
        <v>FLINTSL - GREEN</v>
      </c>
      <c r="AX46" s="409">
        <v>12</v>
      </c>
      <c r="AY46" s="411">
        <f>IF(AX46=0,0,IF($LB46=70%,VLOOKUP($AW46,'Jan-2026 rates'!$L:$R,4,0),IF($LB46=65%,VLOOKUP($AW46,'Jan-2026 rates'!$L:$R,4,0),IF($LB46=40%,VLOOKUP($AW46,'Jan-2026 rates'!$L:$R,5,0),IF($LB46=30%,VLOOKUP($AW46,'Jan-2026 rates'!$L:$R,6,0),IF($LB46=100%,VLOOKUP($AW46,'Jan-2026 rates'!$L:$R,7,0),IF($LB46=60%,VLOOKUP($AW46,'Jan-2026 rates'!$L:$S,8,0),IF($LB46=80%,VLOOKUP($AW46,'Jan-2026 rates'!L:T,9,0),0))))))))</f>
        <v>0</v>
      </c>
      <c r="AZ46" s="412"/>
      <c r="BA46" s="409"/>
      <c r="BB46" s="411">
        <f>IF(BA46=0,0,IF($LB46=70%,VLOOKUP($AW46,'Jan-2026 rates'!$L:$R,4,0),IF($LB46=65%,VLOOKUP($AW46,'Jan-2026 rates'!$L:$R,4,0),IF($LB46=40%,VLOOKUP($AW46,'Jan-2026 rates'!$L:$R,5,0),IF($LB46=30%,VLOOKUP($AW46,'Jan-2026 rates'!$L:$R,6,0),IF($LB46=100%,VLOOKUP($AW46,'Jan-2026 rates'!$L:$R,7,0),IF($LB46=60%,VLOOKUP($AW46,'Jan-2026 rates'!$L:$S,8,0),IF($LB46=80%,VLOOKUP($AW46,'Jan-2026 rates'!L:T,9,0),0))))))))</f>
        <v>0</v>
      </c>
      <c r="BC46" s="413">
        <v>26502000001</v>
      </c>
      <c r="BD46" s="412">
        <v>25864000008</v>
      </c>
      <c r="BE46" s="412">
        <v>25851000006</v>
      </c>
      <c r="BF46" s="413"/>
      <c r="BG46" s="412"/>
      <c r="BH46" s="412"/>
      <c r="BI46" s="412"/>
      <c r="BJ46" s="412"/>
      <c r="BK46" s="409">
        <v>30</v>
      </c>
      <c r="BL46" s="398" t="e">
        <f>IF(BK46=0,0,IF(LEN(BC46)=11,_xlfn.XLOOKUP(BC46,'Dispensed Ink Rates'!C:C,'Dispensed Ink Rates'!CS:CS),VLOOKUP(BC46,'Jan-2026 rates'!$E:$F,2,0)))</f>
        <v>#N/A</v>
      </c>
      <c r="BM46" s="409">
        <v>8</v>
      </c>
      <c r="BN46" s="398" t="e">
        <f>IF(BM46=0,0,IF(LEN(BD46)=11,_xlfn.XLOOKUP(BD46,'Dispensed Ink Rates'!C:C,'Dispensed Ink Rates'!CS:CS),VLOOKUP(BD46,'Jan-2026 rates'!$E:$F,2,0)))</f>
        <v>#N/A</v>
      </c>
      <c r="BO46" s="409">
        <v>2</v>
      </c>
      <c r="BP46" s="398" t="e">
        <f>IF(BO46=0,0,IF(LEN(BE46)=11,_xlfn.XLOOKUP(BE46,'Dispensed Ink Rates'!C:C,'Dispensed Ink Rates'!CS:CS),VLOOKUP(BE46,'Jan-2026 rates'!$E:$F,2,0)))</f>
        <v>#N/A</v>
      </c>
      <c r="BQ46" s="409"/>
      <c r="BR46" s="398">
        <f>IF(BQ46=0,0,IF(LEN(BF46)=11,_xlfn.XLOOKUP(BF46,'Dispensed Ink Rates'!C:C,'Dispensed Ink Rates'!CS:CS),VLOOKUP(BF46,'Jan-2026 rates'!$E:$F,2,0)))</f>
        <v>0</v>
      </c>
      <c r="BS46" s="409"/>
      <c r="BT46" s="398">
        <f>IF(BS46=0,0,IF(LEN(BG46)=11,_xlfn.XLOOKUP(BG46,'Dispensed Ink Rates'!C:C,'Dispensed Ink Rates'!CS:CS),VLOOKUP(BG46,'Jan-2026 rates'!$E:$F,2,0)))</f>
        <v>0</v>
      </c>
      <c r="BU46" s="409"/>
      <c r="BV46" s="398">
        <f>IF(BU46=0,0,IF(LEN(BH46)=11,_xlfn.XLOOKUP(BH46,'Dispensed Ink Rates'!C:C,'Dispensed Ink Rates'!CS:CS),VLOOKUP(BH46,'Jan-2026 rates'!$E:$F,2,0)))</f>
        <v>0</v>
      </c>
      <c r="BW46" s="409"/>
      <c r="BX46" s="398">
        <f>IF(BW46=0,0,IF(LEN(BI46)=11,_xlfn.XLOOKUP(BI46,'Dispensed Ink Rates'!C:C,'Dispensed Ink Rates'!CS:CS),VLOOKUP(BI46,'Jan-2026 rates'!$E:$F,2,0)))</f>
        <v>0</v>
      </c>
      <c r="BY46" s="409"/>
      <c r="BZ46" s="398">
        <f>IF(BY46=0,0,IF(LEN(BJ46)=11,_xlfn.XLOOKUP(BJ46,'Dispensed Ink Rates'!C:C,'Dispensed Ink Rates'!CS:CS),VLOOKUP(BJ46,'Jan-2026 rates'!$E:$F,2,0)))</f>
        <v>0</v>
      </c>
      <c r="CA46" s="409" t="s">
        <v>1443</v>
      </c>
      <c r="CB46" s="409">
        <v>27</v>
      </c>
      <c r="CC46" s="411">
        <f t="shared" si="5"/>
        <v>0</v>
      </c>
      <c r="CD46" s="411">
        <f t="shared" si="6"/>
        <v>42.301587301587304</v>
      </c>
      <c r="CE46" s="410">
        <f t="shared" si="7"/>
        <v>0</v>
      </c>
      <c r="CF46" s="404" t="s">
        <v>857</v>
      </c>
      <c r="CG46" s="409" t="s">
        <v>2820</v>
      </c>
      <c r="CH46" s="420" t="str">
        <f t="shared" si="8"/>
        <v>FLINTSL - RED</v>
      </c>
      <c r="CI46" s="409">
        <v>24</v>
      </c>
      <c r="CJ46" s="411">
        <f>IF(CI46=0,0,IF($LB46=70%,VLOOKUP($CH46,'Jan-2026 rates'!$L:$R,4,0),IF($LB46=65%,VLOOKUP($CH46,'Jan-2026 rates'!$L:$R,4,0),IF($LB46=40%,VLOOKUP($CH46,'Jan-2026 rates'!$L:$R,5,0),IF($LB46=30%,VLOOKUP($CH46,'Jan-2026 rates'!$L:$R,6,0),IF($LB46=100%,VLOOKUP($CH46,'Jan-2026 rates'!$L:$R,7,0),IF($LB46=60%,VLOOKUP($CH46,'Jan-2026 rates'!$L:$S,8,0),IF($LB46=80%,VLOOKUP($CH46,'Jan-2026 rates'!L:T,9,0),0))))))))</f>
        <v>0</v>
      </c>
      <c r="CK46" s="412"/>
      <c r="CL46" s="409"/>
      <c r="CM46" s="411">
        <f>IF(CL46=0,0,IF($LB46=70%,VLOOKUP($CH46,'Jan-2026 rates'!$L:$R,4,0),IF($LB46=65%,VLOOKUP($CH46,'Jan-2026 rates'!$L:$R,4,0),IF($LB46=40%,VLOOKUP($CH46,'Jan-2026 rates'!$L:$R,5,0),IF($LB46=30%,VLOOKUP($CH46,'Jan-2026 rates'!$L:$R,6,0),IF($LB46=100%,VLOOKUP($CH46,'Jan-2026 rates'!$L:$R,7,0),IF($LB46=60%,VLOOKUP($CH46,'Jan-2026 rates'!$L:$S,8,0),IF($LB46=80%,VLOOKUP($CH46,'Jan-2026 rates'!L:T,9,0),0))))))))</f>
        <v>0</v>
      </c>
      <c r="CN46" s="426">
        <v>25862000010</v>
      </c>
      <c r="CO46" s="427"/>
      <c r="CP46" s="426"/>
      <c r="CQ46" s="426"/>
      <c r="CR46" s="428"/>
      <c r="CS46" s="428"/>
      <c r="CT46" s="428"/>
      <c r="CU46" s="428"/>
      <c r="CV46" s="409">
        <v>5</v>
      </c>
      <c r="CW46" s="398" t="e">
        <f>IF(CV46=0,0,IF(LEN(CN46)=11,_xlfn.XLOOKUP(CN46,'Dispensed Ink Rates'!C:C,'Dispensed Ink Rates'!CS:CS),VLOOKUP(CN46,'Jan-2026 rates'!$E:$F,2,0)))</f>
        <v>#N/A</v>
      </c>
      <c r="CX46" s="409"/>
      <c r="CY46" s="398">
        <f>IF(CX46=0,0,IF(LEN(CO46)=11,_xlfn.XLOOKUP(CO46,'Dispensed Ink Rates'!C:C,'Dispensed Ink Rates'!CS:CS),VLOOKUP(CO46,'Jan-2026 rates'!$E:$F,2,0)))</f>
        <v>0</v>
      </c>
      <c r="CZ46" s="409"/>
      <c r="DA46" s="398">
        <f>IF(CZ46=0,0,IF(LEN(CP46)=11,_xlfn.XLOOKUP(CP46,'Dispensed Ink Rates'!C:C,'Dispensed Ink Rates'!CS:CS),VLOOKUP(CP46,'Jan-2026 rates'!$E:$F,2,0)))</f>
        <v>0</v>
      </c>
      <c r="DB46" s="409"/>
      <c r="DC46" s="398">
        <f>IF(DB46=0,0,IF(LEN(CQ46)=11,_xlfn.XLOOKUP(CQ46,'Dispensed Ink Rates'!C:C,'Dispensed Ink Rates'!CS:CS),VLOOKUP(CQ46,'Jan-2026 rates'!$E:$F,2,0)))</f>
        <v>0</v>
      </c>
      <c r="DD46" s="409"/>
      <c r="DE46" s="398">
        <f>IF(DD46=0,0,IF(LEN(CR46)=11,_xlfn.XLOOKUP(CR46,'Dispensed Ink Rates'!C:C,'Dispensed Ink Rates'!CS:CS),VLOOKUP(CR46,'Jan-2026 rates'!$E:$F,2,0)))</f>
        <v>0</v>
      </c>
      <c r="DF46" s="409"/>
      <c r="DG46" s="398">
        <f>IF(DF46=0,0,IF(LEN(CS46)=11,_xlfn.XLOOKUP(CS46,'Dispensed Ink Rates'!C:C,'Dispensed Ink Rates'!CS:CS),VLOOKUP(CS46,'Jan-2026 rates'!$E:$F,2,0)))</f>
        <v>0</v>
      </c>
      <c r="DH46" s="409"/>
      <c r="DI46" s="398">
        <f>IF(DH46=0,0,IF(LEN(CT46)=11,_xlfn.XLOOKUP(CT46,'Dispensed Ink Rates'!C:C,'Dispensed Ink Rates'!CS:CS),VLOOKUP(CT46,'Jan-2026 rates'!$E:$F,2,0)))</f>
        <v>0</v>
      </c>
      <c r="DJ46" s="409"/>
      <c r="DK46" s="398">
        <f>IF(DJ46=0,0,IF(LEN(CU46)=11,_xlfn.XLOOKUP(CU46,'Dispensed Ink Rates'!C:C,'Dispensed Ink Rates'!CS:CS),VLOOKUP(CU46,'Jan-2026 rates'!$E:$F,2,0)))</f>
        <v>0</v>
      </c>
      <c r="DL46" s="409" t="s">
        <v>1443</v>
      </c>
      <c r="DM46" s="409">
        <f>16+10</f>
        <v>26</v>
      </c>
      <c r="DN46" s="411">
        <f t="shared" si="9"/>
        <v>0</v>
      </c>
      <c r="DO46" s="411">
        <f t="shared" si="10"/>
        <v>11.650793650793652</v>
      </c>
      <c r="DP46" s="410">
        <f t="shared" si="11"/>
        <v>0</v>
      </c>
      <c r="DQ46" s="405" t="s">
        <v>547</v>
      </c>
      <c r="DR46" s="409"/>
      <c r="DS46" s="420" t="str">
        <f t="shared" si="12"/>
        <v>FLINTSL - GREEN</v>
      </c>
      <c r="DT46" s="409"/>
      <c r="DU46" s="411">
        <f>IF(DT46=0,0,IF($LB46=70%,VLOOKUP($DS46,'Jan-2026 rates'!$L:$R,4,0),IF($LB46=65%,VLOOKUP($DS46,'Jan-2026 rates'!$L:$R,4,0),IF($LB46=40%,VLOOKUP($DS46,'Jan-2026 rates'!$L:$R,5,0),IF($LB46=30%,VLOOKUP($DS46,'Jan-2026 rates'!$L:$R,6,0),IF($LB46=100%,VLOOKUP($DS46,'Jan-2026 rates'!$L:$R,7,0),IF($LB46=60%,VLOOKUP($DS46,'Jan-2026 rates'!$L:$S,8,0),IF($LB46=80%,VLOOKUP($DS46,'Jan-2026 rates'!L:T,9,0),0))))))))</f>
        <v>0</v>
      </c>
      <c r="DV46" s="412"/>
      <c r="DW46" s="409"/>
      <c r="DX46" s="411">
        <f>IF(DW46=0,0,IF($LB46=70%,VLOOKUP($DS46,'Jan-2026 rates'!$L:$R,4,0),IF($LB46=65%,VLOOKUP($DS46,'Jan-2026 rates'!$L:$R,4,0),IF($LB46=40%,VLOOKUP($DS46,'Jan-2026 rates'!$L:$R,5,0),IF($LB46=30%,VLOOKUP($DS46,'Jan-2026 rates'!$L:$R,6,0),IF($LB46=100%,VLOOKUP($DS46,'Jan-2026 rates'!$L:$R,7,0),IF($LB46=60%,VLOOKUP($DS46,'Jan-2026 rates'!$L:$S,8,0),IF($LB46=80%,VLOOKUP($DS46,'Jan-2026 rates'!L:T,9,0),0))))))))</f>
        <v>0</v>
      </c>
      <c r="DY46" s="413">
        <v>26502000002</v>
      </c>
      <c r="DZ46" s="413">
        <v>26502000007</v>
      </c>
      <c r="EA46" s="412"/>
      <c r="EB46" s="412"/>
      <c r="EC46" s="412"/>
      <c r="ED46" s="412"/>
      <c r="EE46" s="412"/>
      <c r="EF46" s="412"/>
      <c r="EG46" s="409">
        <v>30</v>
      </c>
      <c r="EH46" s="398" t="e">
        <f>IF(EG46=0,0,IF(LEN(DY46)=11,_xlfn.XLOOKUP(DY46,'Dispensed Ink Rates'!C:C,'Dispensed Ink Rates'!CS:CS),VLOOKUP(DY46,'Jan-2026 rates'!$E:$F,2,0)))</f>
        <v>#N/A</v>
      </c>
      <c r="EI46" s="409">
        <v>40</v>
      </c>
      <c r="EJ46" s="398" t="e">
        <f>IF(EI46=0,0,IF(LEN(DZ46)=11,_xlfn.XLOOKUP(DZ46,'Dispensed Ink Rates'!C:C,'Dispensed Ink Rates'!CS:CS),VLOOKUP(DZ46,'Jan-2026 rates'!$E:$F,2,0)))</f>
        <v>#N/A</v>
      </c>
      <c r="EK46" s="409"/>
      <c r="EL46" s="398">
        <f>IF(EK46=0,0,IF(LEN(EA46)=11,_xlfn.XLOOKUP(EA46,'Dispensed Ink Rates'!C:C,'Dispensed Ink Rates'!CS:CS),VLOOKUP(EA46,'Jan-2026 rates'!$E:$F,2,0)))</f>
        <v>0</v>
      </c>
      <c r="EM46" s="409"/>
      <c r="EN46" s="398">
        <f>IF(EM46=0,0,IF(LEN(EB46)=11,_xlfn.XLOOKUP(EB46,'Dispensed Ink Rates'!C:C,'Dispensed Ink Rates'!CS:CS),VLOOKUP(EB46,'Jan-2026 rates'!$E:$F,2,0)))</f>
        <v>0</v>
      </c>
      <c r="EO46" s="409"/>
      <c r="EP46" s="398">
        <f>IF(EO46=0,0,IF(LEN(EC46)=11,_xlfn.XLOOKUP(EC46,'Dispensed Ink Rates'!C:C,'Dispensed Ink Rates'!CS:CS),VLOOKUP(EC46,'Jan-2026 rates'!$E:$F,2,0)))</f>
        <v>0</v>
      </c>
      <c r="EQ46" s="409"/>
      <c r="ER46" s="398">
        <f>IF(EQ46=0,0,IF(LEN(ED46)=11,_xlfn.XLOOKUP(ED46,'Dispensed Ink Rates'!C:C,'Dispensed Ink Rates'!CS:CS),VLOOKUP(ED46,'Jan-2026 rates'!$E:$F,2,0)))</f>
        <v>0</v>
      </c>
      <c r="ES46" s="409"/>
      <c r="ET46" s="398">
        <f>IF(ES46=0,0,IF(LEN(EE46)=11,_xlfn.XLOOKUP(EE46,'Dispensed Ink Rates'!C:C,'Dispensed Ink Rates'!CS:CS),VLOOKUP(EE46,'Jan-2026 rates'!$E:$F,2,0)))</f>
        <v>0</v>
      </c>
      <c r="EU46" s="409"/>
      <c r="EV46" s="398">
        <f>IF(EU46=0,0,IF(LEN(EF46)=11,_xlfn.XLOOKUP(EF46,'Dispensed Ink Rates'!C:C,'Dispensed Ink Rates'!CS:CS),VLOOKUP(EF46,'Jan-2026 rates'!$E:$F,2,0)))</f>
        <v>0</v>
      </c>
      <c r="EW46" s="409" t="s">
        <v>1443</v>
      </c>
      <c r="EX46" s="409">
        <v>28</v>
      </c>
      <c r="EY46" s="411">
        <f t="shared" si="13"/>
        <v>0</v>
      </c>
      <c r="EZ46" s="411">
        <f t="shared" si="14"/>
        <v>55.841269841269835</v>
      </c>
      <c r="FA46" s="410">
        <f t="shared" si="15"/>
        <v>0</v>
      </c>
      <c r="FB46" s="405" t="s">
        <v>547</v>
      </c>
      <c r="FC46" s="409"/>
      <c r="FD46" s="420" t="str">
        <f t="shared" si="16"/>
        <v>FLINTSL - GREEN</v>
      </c>
      <c r="FE46" s="409"/>
      <c r="FF46" s="411">
        <f>IF(FE46=0,0,IF($LB46=70%,VLOOKUP($FD46,'Jan-2026 rates'!$L:$R,4,0),IF($LB46=65%,VLOOKUP($FD46,'Jan-2026 rates'!$L:$R,4,0),IF($LB46=40%,VLOOKUP($FD46,'Jan-2026 rates'!$L:$R,5,0),IF($LB46=30%,VLOOKUP($FD46,'Jan-2026 rates'!$L:$R,6,0),IF($LB46=100%,VLOOKUP($FD46,'Jan-2026 rates'!$L:$R,7,0),IF($LB46=60%,VLOOKUP($FD46,'Jan-2026 rates'!$L:$S,8,0),IF($LB46=80%,VLOOKUP($FD46,'Jan-2026 rates'!L:T,9,0),0))))))))</f>
        <v>0</v>
      </c>
      <c r="FG46" s="412"/>
      <c r="FH46" s="409"/>
      <c r="FI46" s="411">
        <f>IF(FH46=0,0,IF($LB46=70%,VLOOKUP($FD46,'Jan-2026 rates'!$L:$R,4,0),IF($LB46=65%,VLOOKUP($FD46,'Jan-2026 rates'!$L:$R,4,0),IF($LB46=40%,VLOOKUP($FD46,'Jan-2026 rates'!$L:$R,5,0),IF($LB46=30%,VLOOKUP($FD46,'Jan-2026 rates'!$L:$R,6,0),IF($LB46=100%,VLOOKUP($FD46,'Jan-2026 rates'!$L:$R,7,0),IF($LB46=60%,VLOOKUP($FD46,'Jan-2026 rates'!$L:$S,8,0),IF($LB46=80%,VLOOKUP($FD46,'Jan-2026 rates'!L:T,9,0),0))))))))</f>
        <v>0</v>
      </c>
      <c r="FJ46" s="413">
        <v>25864000008</v>
      </c>
      <c r="FK46" s="413">
        <v>25863000002</v>
      </c>
      <c r="FL46" s="413">
        <v>26502000008</v>
      </c>
      <c r="FM46" s="412"/>
      <c r="FN46" s="412"/>
      <c r="FO46" s="412"/>
      <c r="FP46" s="412"/>
      <c r="FQ46" s="412"/>
      <c r="FR46" s="409">
        <v>4</v>
      </c>
      <c r="FS46" s="398" t="e">
        <f>IF(FR46=0,0,IF(LEN(FJ46)=11,_xlfn.XLOOKUP(FJ46,'Dispensed Ink Rates'!C:C,'Dispensed Ink Rates'!CS:CS),VLOOKUP(FJ46,'Jan-2026 rates'!$E:$F,2,0)))</f>
        <v>#N/A</v>
      </c>
      <c r="FT46" s="409">
        <v>1</v>
      </c>
      <c r="FU46" s="398" t="e">
        <f>IF(FT46=0,0,IF(LEN(FK46)=11,_xlfn.XLOOKUP(FK46,'Dispensed Ink Rates'!C:C,'Dispensed Ink Rates'!CS:CS),VLOOKUP(FK46,'Jan-2026 rates'!$E:$F,2,0)))</f>
        <v>#N/A</v>
      </c>
      <c r="FV46" s="409">
        <v>15</v>
      </c>
      <c r="FW46" s="398" t="e">
        <f>IF(FV46=0,0,IF(LEN(FL46)=11,_xlfn.XLOOKUP(FL46,'Dispensed Ink Rates'!C:C,'Dispensed Ink Rates'!CS:CS),VLOOKUP(FL46,'Jan-2026 rates'!$E:$F,2,0)))</f>
        <v>#N/A</v>
      </c>
      <c r="FX46" s="409"/>
      <c r="FY46" s="398">
        <f>IF(FX46=0,0,IF(LEN(FM46)=11,_xlfn.XLOOKUP(FM46,'Dispensed Ink Rates'!C:C,'Dispensed Ink Rates'!CS:CS),VLOOKUP(FM46,'Jan-2026 rates'!$E:$F,2,0)))</f>
        <v>0</v>
      </c>
      <c r="FZ46" s="409"/>
      <c r="GA46" s="398">
        <f>IF(FZ46=0,0,IF(LEN(FN46)=11,_xlfn.XLOOKUP(FN46,'Dispensed Ink Rates'!C:C,'Dispensed Ink Rates'!CS:CS),VLOOKUP(FN46,'Jan-2026 rates'!$E:$F,2,0)))</f>
        <v>0</v>
      </c>
      <c r="GB46" s="409"/>
      <c r="GC46" s="398">
        <f>IF(GB46=0,0,IF(LEN(FO46)=11,_xlfn.XLOOKUP(FO46,'Dispensed Ink Rates'!C:C,'Dispensed Ink Rates'!CS:CS),VLOOKUP(FO46,'Jan-2026 rates'!$E:$F,2,0)))</f>
        <v>0</v>
      </c>
      <c r="GD46" s="409"/>
      <c r="GE46" s="398">
        <f>IF(GD46=0,0,IF(LEN(FP46)=11,_xlfn.XLOOKUP(FP46,'Dispensed Ink Rates'!C:C,'Dispensed Ink Rates'!CS:CS),VLOOKUP(FP46,'Jan-2026 rates'!$E:$F,2,0)))</f>
        <v>0</v>
      </c>
      <c r="GF46" s="409"/>
      <c r="GG46" s="398">
        <f>IF(GF46=0,0,IF(LEN(FQ46)=11,_xlfn.XLOOKUP(FQ46,'Dispensed Ink Rates'!C:C,'Dispensed Ink Rates'!CS:CS),VLOOKUP(FQ46,'Jan-2026 rates'!$E:$F,2,0)))</f>
        <v>0</v>
      </c>
      <c r="GH46" s="409" t="s">
        <v>1443</v>
      </c>
      <c r="GI46" s="409">
        <v>25</v>
      </c>
      <c r="GJ46" s="411">
        <f t="shared" si="17"/>
        <v>0</v>
      </c>
      <c r="GK46" s="411">
        <f t="shared" si="18"/>
        <v>3.650793650793652</v>
      </c>
      <c r="GL46" s="410">
        <f t="shared" si="19"/>
        <v>0</v>
      </c>
      <c r="GM46" s="405" t="s">
        <v>828</v>
      </c>
      <c r="GN46" s="409" t="s">
        <v>2821</v>
      </c>
      <c r="GO46" s="420" t="str">
        <f t="shared" si="20"/>
        <v>FLINTSL - ORANGE</v>
      </c>
      <c r="GP46" s="409">
        <v>27</v>
      </c>
      <c r="GQ46" s="411">
        <f>IF(GP46=0,0,IF($LB46=70%,VLOOKUP($GO46,'Jan-2026 rates'!$L:$R,4,0),IF($LB46=65%,VLOOKUP($GO46,'Jan-2026 rates'!$L:$R,4,0),IF($LB46=40%,VLOOKUP($GO46,'Jan-2026 rates'!$L:$R,5,0),IF($LB46=30%,VLOOKUP($GO46,'Jan-2026 rates'!$L:$R,6,0),IF($LB46=100%,VLOOKUP($GO46,'Jan-2026 rates'!$L:$R,7,0),IF($LB46=60%,VLOOKUP($GO46,'Jan-2026 rates'!$L:$S,8,0),IF($LB46=80%,VLOOKUP($GO46,'Jan-2026 rates'!L:T,9,0),0))))))))</f>
        <v>0</v>
      </c>
      <c r="GR46" s="412"/>
      <c r="GS46" s="409"/>
      <c r="GT46" s="411">
        <f>IF(GS46=0,0,IF($LB46=70%,VLOOKUP($GO46,'Jan-2026 rates'!$L:$R,4,0),IF($LB46=65%,VLOOKUP($GO46,'Jan-2026 rates'!$L:$R,4,0),IF($LB46=40%,VLOOKUP($GO46,'Jan-2026 rates'!$L:$R,5,0),IF($LB46=30%,VLOOKUP($GO46,'Jan-2026 rates'!$L:$R,6,0),IF($LB46=100%,VLOOKUP($GO46,'Jan-2026 rates'!$L:$R,7,0),IF($LB46=60%,VLOOKUP($GO46,'Jan-2026 rates'!$L:$S,8,0),IF($LB46=80%,VLOOKUP($GO46,'Jan-2026 rates'!L:T,9,0),0))))))))</f>
        <v>0</v>
      </c>
      <c r="GU46" s="413">
        <v>25862000010</v>
      </c>
      <c r="GV46" s="413"/>
      <c r="GW46" s="412"/>
      <c r="GX46" s="412"/>
      <c r="GY46" s="412"/>
      <c r="GZ46" s="412"/>
      <c r="HA46" s="412"/>
      <c r="HB46" s="412"/>
      <c r="HC46" s="409">
        <v>1</v>
      </c>
      <c r="HD46" s="398" t="e">
        <f>IF(HC46=0,0,IF(LEN(GU46)=11,_xlfn.XLOOKUP(GU46,'Dispensed Ink Rates'!C:C,'Dispensed Ink Rates'!CS:CS),VLOOKUP(GU46,'Jan-2026 rates'!$E:$F,2,0)))</f>
        <v>#N/A</v>
      </c>
      <c r="HE46" s="409"/>
      <c r="HF46" s="398">
        <f>IF(HE46=0,0,IF(LEN(GV46)=11,_xlfn.XLOOKUP(GV46,'Dispensed Ink Rates'!C:C,'Dispensed Ink Rates'!CS:CS),VLOOKUP(GV46,'Jan-2026 rates'!$E:$F,2,0)))</f>
        <v>0</v>
      </c>
      <c r="HG46" s="409"/>
      <c r="HH46" s="398">
        <f>IF(HG46=0,0,IF(LEN(GW46)=11,_xlfn.XLOOKUP(GW46,'Dispensed Ink Rates'!C:C,'Dispensed Ink Rates'!CS:CS),VLOOKUP(GW46,'Jan-2026 rates'!$E:$F,2,0)))</f>
        <v>0</v>
      </c>
      <c r="HI46" s="409"/>
      <c r="HJ46" s="398">
        <f>IF(HI46=0,0,IF(LEN(GX46)=11,_xlfn.XLOOKUP(GX46,'Dispensed Ink Rates'!C:C,'Dispensed Ink Rates'!CS:CS),VLOOKUP(GX46,'Jan-2026 rates'!$E:$F,2,0)))</f>
        <v>0</v>
      </c>
      <c r="HK46" s="409"/>
      <c r="HL46" s="398">
        <f>IF(HK46=0,0,IF(LEN(GY46)=11,_xlfn.XLOOKUP(GY46,'Dispensed Ink Rates'!C:C,'Dispensed Ink Rates'!CS:CS),VLOOKUP(GY46,'Jan-2026 rates'!$E:$F,2,0)))</f>
        <v>0</v>
      </c>
      <c r="HM46" s="409"/>
      <c r="HN46" s="398">
        <f>IF(HM46=0,0,IF(LEN(GZ46)=11,_xlfn.XLOOKUP(GZ46,'Dispensed Ink Rates'!C:C,'Dispensed Ink Rates'!CS:CS),VLOOKUP(GZ46,'Jan-2026 rates'!$E:$F,2,0)))</f>
        <v>0</v>
      </c>
      <c r="HO46" s="409"/>
      <c r="HP46" s="398">
        <f>IF(HO46=0,0,IF(LEN(HA46)=11,_xlfn.XLOOKUP(HA46,'Dispensed Ink Rates'!C:C,'Dispensed Ink Rates'!CS:CS),VLOOKUP(HA46,'Jan-2026 rates'!$E:$F,2,0)))</f>
        <v>0</v>
      </c>
      <c r="HQ46" s="409"/>
      <c r="HR46" s="398">
        <f>IF(HQ46=0,0,IF(LEN(HB46)=11,_xlfn.XLOOKUP(HB46,'Dispensed Ink Rates'!C:C,'Dispensed Ink Rates'!CS:CS),VLOOKUP(HB46,'Jan-2026 rates'!$E:$F,2,0)))</f>
        <v>0</v>
      </c>
      <c r="HS46" s="409" t="s">
        <v>1443</v>
      </c>
      <c r="HT46" s="409">
        <v>24</v>
      </c>
      <c r="HU46" s="411">
        <f t="shared" si="21"/>
        <v>0</v>
      </c>
      <c r="HV46" s="411">
        <f t="shared" si="22"/>
        <v>7.4603174603174587</v>
      </c>
      <c r="HW46" s="414">
        <f t="shared" si="23"/>
        <v>0</v>
      </c>
      <c r="HX46" s="405" t="s">
        <v>856</v>
      </c>
      <c r="HY46" s="409"/>
      <c r="HZ46" s="420" t="str">
        <f t="shared" si="24"/>
        <v>FLINTSL - WHITE</v>
      </c>
      <c r="IA46" s="409"/>
      <c r="IB46" s="411">
        <f>IF(IA46=0,0,IF($LB46=70%,VLOOKUP($HZ46,'Jan-2026 rates'!$L:$R,4,0),IF($LB46=65%,VLOOKUP($HZ46,'Jan-2026 rates'!$L:$R,4,0),IF($LB46=40%,VLOOKUP($HZ46,'Jan-2026 rates'!$L:$R,5,0),IF($LB46=30%,VLOOKUP($HZ46,'Jan-2026 rates'!$L:$R,6,0),IF($LB46=100%,VLOOKUP($HZ46,'Jan-2026 rates'!$L:$R,7,0),IF($LB46=60%,VLOOKUP($HZ46,'Jan-2026 rates'!$L:$S,8,0),IF($LB46=80%,VLOOKUP($HZ46,'Jan-2026 rates'!L:T,9,0),0))))))))</f>
        <v>0</v>
      </c>
      <c r="IC46" s="412"/>
      <c r="ID46" s="409"/>
      <c r="IE46" s="411">
        <f>IF(ID46=0,0,IF($LB46=70%,VLOOKUP($HZ46,'Jan-2026 rates'!$L:$R,4,0),IF($LB46=65%,VLOOKUP($HZ46,'Jan-2026 rates'!$L:$R,4,0),IF($LB46=40%,VLOOKUP($HZ46,'Jan-2026 rates'!$L:$R,5,0),IF($LB46=30%,VLOOKUP($HZ46,'Jan-2026 rates'!$L:$R,6,0),IF($LB46=100%,VLOOKUP($HZ46,'Jan-2026 rates'!$L:$R,7,0),IF($LB46=60%,VLOOKUP($HZ46,'Jan-2026 rates'!$L:$S,8,0),IF($LB46=80%,VLOOKUP($HZ46,'Jan-2026 rates'!L:T,9,0),0))))))))</f>
        <v>0</v>
      </c>
      <c r="IF46" s="412" t="s">
        <v>484</v>
      </c>
      <c r="IG46" s="413"/>
      <c r="IH46" s="412"/>
      <c r="II46" s="412"/>
      <c r="IJ46" s="412"/>
      <c r="IK46" s="412"/>
      <c r="IL46" s="412"/>
      <c r="IM46" s="412"/>
      <c r="IN46" s="409">
        <v>60</v>
      </c>
      <c r="IO46" s="398">
        <f>IF(IN46=0,0,IF(LEN(IF46)=11,_xlfn.XLOOKUP(IF46,'Dispensed Ink Rates'!C:C,'Dispensed Ink Rates'!CS:CS),VLOOKUP(IF46,'Jan-2026 rates'!$E:$F,2,0)))</f>
        <v>0</v>
      </c>
      <c r="IP46" s="409"/>
      <c r="IQ46" s="398">
        <f>IF(IP46=0,0,IF(LEN(IG46)=11,_xlfn.XLOOKUP(IG46,'Dispensed Ink Rates'!C:C,'Dispensed Ink Rates'!CS:CS),VLOOKUP(IG46,'Jan-2026 rates'!$E:$F,2,0)))</f>
        <v>0</v>
      </c>
      <c r="IR46" s="409"/>
      <c r="IS46" s="398">
        <f>IF(IR46=0,0,IF(LEN(IH46)=11,_xlfn.XLOOKUP(IH46,'Dispensed Ink Rates'!C:C,'Dispensed Ink Rates'!CS:CS),VLOOKUP(IH46,'Jan-2026 rates'!$E:$F,2,0)))</f>
        <v>0</v>
      </c>
      <c r="IT46" s="409"/>
      <c r="IU46" s="398">
        <f>IF(IT46=0,0,IF(LEN(II46)=11,_xlfn.XLOOKUP(II46,'Dispensed Ink Rates'!C:C,'Dispensed Ink Rates'!CS:CS),VLOOKUP(II46,'Jan-2026 rates'!$E:$F,2,0)))</f>
        <v>0</v>
      </c>
      <c r="IV46" s="409"/>
      <c r="IW46" s="398">
        <f>IF(IV46=0,0,IF(LEN(IJ46)=11,_xlfn.XLOOKUP(IJ46,'Dispensed Ink Rates'!C:C,'Dispensed Ink Rates'!CS:CS),VLOOKUP(IJ46,'Jan-2026 rates'!$E:$F,2,0)))</f>
        <v>0</v>
      </c>
      <c r="IX46" s="409"/>
      <c r="IY46" s="398">
        <f>IF(IX46=0,0,IF(LEN(IK46)=11,_xlfn.XLOOKUP(IK46,'Dispensed Ink Rates'!C:C,'Dispensed Ink Rates'!CS:CS),VLOOKUP(IK46,'Jan-2026 rates'!$E:$F,2,0)))</f>
        <v>0</v>
      </c>
      <c r="IZ46" s="409"/>
      <c r="JA46" s="398">
        <f>IF(IZ46=0,0,IF(LEN(IL46)=11,_xlfn.XLOOKUP(IL46,'Dispensed Ink Rates'!C:C,'Dispensed Ink Rates'!CS:CS),VLOOKUP(IL46,'Jan-2026 rates'!$E:$F,2,0)))</f>
        <v>0</v>
      </c>
      <c r="JB46" s="409"/>
      <c r="JC46" s="398">
        <f>IF(JB46=0,0,IF(LEN(IM46)=11,_xlfn.XLOOKUP(IM46,'Dispensed Ink Rates'!C:C,'Dispensed Ink Rates'!CS:CS),VLOOKUP(IM46,'Jan-2026 rates'!$E:$F,2,0)))</f>
        <v>0</v>
      </c>
      <c r="JD46" s="409" t="s">
        <v>1443</v>
      </c>
      <c r="JE46" s="409">
        <v>35</v>
      </c>
      <c r="JF46" s="411">
        <f t="shared" si="25"/>
        <v>0</v>
      </c>
      <c r="JG46" s="411">
        <f t="shared" si="26"/>
        <v>76.904761904761898</v>
      </c>
      <c r="JH46" s="410">
        <f t="shared" si="27"/>
        <v>0</v>
      </c>
      <c r="JI46" s="405"/>
      <c r="JJ46" s="409"/>
      <c r="JK46" s="420" t="str">
        <f t="shared" si="28"/>
        <v xml:space="preserve"> - </v>
      </c>
      <c r="JL46" s="409"/>
      <c r="JM46" s="411">
        <f>IF(JL46=0,0,IF($LB46=70%,VLOOKUP($JK46,'Jan-2026 rates'!$L:$R,4,0),IF($LB46=65%,VLOOKUP($JK46,'Jan-2026 rates'!$L:$R,4,0),IF($LB46=40%,VLOOKUP($JK46,'Jan-2026 rates'!$L:$R,5,0),IF($LB46=30%,VLOOKUP($JK46,'Jan-2026 rates'!$L:$R,6,0),IF($LB46=100%,VLOOKUP($JK46,'Jan-2026 rates'!$L:$R,7,0),IF($LB46=60%,VLOOKUP($JK46,'Jan-2026 rates'!$L:$S,8,0),IF($LB46=80%,VLOOKUP($JK46,'Jan-2026 rates'!L:T,9,0),0))))))))</f>
        <v>0</v>
      </c>
      <c r="JN46" s="412"/>
      <c r="JO46" s="409"/>
      <c r="JP46" s="411">
        <f>IF(JO46=0,0,IF($LB46=70%,VLOOKUP($JK46,'Jan-2026 rates'!$L:$R,4,0),IF($LB46=65%,VLOOKUP($JK46,'Jan-2026 rates'!$L:$R,4,0),IF($LB46=40%,VLOOKUP($JK46,'Jan-2026 rates'!$L:$R,5,0),IF($LB46=30%,VLOOKUP($JK46,'Jan-2026 rates'!$L:$R,6,0),IF($LB46=100%,VLOOKUP($JK46,'Jan-2026 rates'!$L:$R,7,0),IF($LB46=60%,VLOOKUP($JK46,'Jan-2026 rates'!$L:$S,8,0),IF($LB46=80%,VLOOKUP($JK46,'Jan-2026 rates'!L:T,9,0),0))))))))</f>
        <v>0</v>
      </c>
      <c r="JQ46" s="413"/>
      <c r="JR46" s="412"/>
      <c r="JS46" s="413"/>
      <c r="JT46" s="413"/>
      <c r="JU46" s="412"/>
      <c r="JV46" s="412"/>
      <c r="JW46" s="412"/>
      <c r="JX46" s="412"/>
      <c r="JY46" s="409"/>
      <c r="JZ46" s="398">
        <f>IF(JY46=0,0,IF(LEN(JQ46)=11,_xlfn.XLOOKUP(JQ46,'Dispensed Ink Rates'!C:C,'Dispensed Ink Rates'!CS:CS),VLOOKUP(JQ46,'Jan-2026 rates'!$E:$F,2,0)))</f>
        <v>0</v>
      </c>
      <c r="KA46" s="409"/>
      <c r="KB46" s="398">
        <f>IF(KA46=0,0,IF(LEN(JR46)=11,_xlfn.XLOOKUP(JR46,'Dispensed Ink Rates'!C:C,'Dispensed Ink Rates'!CS:CS),VLOOKUP(JR46,'Jan-2026 rates'!$E:$F,2,0)))</f>
        <v>0</v>
      </c>
      <c r="KC46" s="409"/>
      <c r="KD46" s="398">
        <f>IF(KC46=0,0,IF(LEN(JS46)=11,_xlfn.XLOOKUP(JS46,'Dispensed Ink Rates'!C:C,'Dispensed Ink Rates'!CS:CS),VLOOKUP(JS46,'Jan-2026 rates'!$E:$F,2,0)))</f>
        <v>0</v>
      </c>
      <c r="KE46" s="409"/>
      <c r="KF46" s="398">
        <f>IF(KE46=0,0,IF(LEN(JT46)=11,_xlfn.XLOOKUP(JT46,'Dispensed Ink Rates'!C:C,'Dispensed Ink Rates'!CS:CS),VLOOKUP(JT46,'Jan-2026 rates'!$E:$F,2,0)))</f>
        <v>0</v>
      </c>
      <c r="KG46" s="409"/>
      <c r="KH46" s="398">
        <f>IF(KG46=0,0,IF(LEN(JU46)=11,_xlfn.XLOOKUP(JU46,'Dispensed Ink Rates'!C:C,'Dispensed Ink Rates'!CS:CS),VLOOKUP(JU46,'Jan-2026 rates'!$E:$F,2,0)))</f>
        <v>0</v>
      </c>
      <c r="KI46" s="409"/>
      <c r="KJ46" s="398">
        <f>IF(KI46=0,0,IF(LEN(JV46)=11,_xlfn.XLOOKUP(JV46,'Dispensed Ink Rates'!C:C,'Dispensed Ink Rates'!CS:CS),VLOOKUP(JV46,'Jan-2026 rates'!$E:$F,2,0)))</f>
        <v>0</v>
      </c>
      <c r="KK46" s="409"/>
      <c r="KL46" s="398">
        <f>IF(KK46=0,0,IF(LEN(JW46)=11,_xlfn.XLOOKUP(JW46,'Dispensed Ink Rates'!C:C,'Dispensed Ink Rates'!CS:CS),VLOOKUP(JW46,'Jan-2026 rates'!$E:$F,2,0)))</f>
        <v>0</v>
      </c>
      <c r="KM46" s="428"/>
      <c r="KN46" s="398">
        <f>IF(KM46=0,0,IF(LEN(JX46)=11,_xlfn.XLOOKUP(JX46,'Dispensed Ink Rates'!C:C,'Dispensed Ink Rates'!CS:CS),VLOOKUP(JX46,'Jan-2026 rates'!$E:$F,2,0)))</f>
        <v>0</v>
      </c>
      <c r="KO46" s="409"/>
      <c r="KP46" s="409"/>
      <c r="KQ46" s="411">
        <f t="shared" si="29"/>
        <v>0</v>
      </c>
      <c r="KR46" s="411">
        <f t="shared" si="30"/>
        <v>0</v>
      </c>
      <c r="KS46" s="410">
        <f t="shared" si="31"/>
        <v>0</v>
      </c>
      <c r="KT46" s="409">
        <v>3</v>
      </c>
      <c r="KU46" s="409">
        <v>10</v>
      </c>
      <c r="KV46" s="409">
        <v>5</v>
      </c>
      <c r="KW46" s="409">
        <v>8</v>
      </c>
      <c r="KX46" s="409">
        <v>5</v>
      </c>
      <c r="KY46" s="409">
        <v>2</v>
      </c>
      <c r="KZ46" s="409">
        <v>30</v>
      </c>
      <c r="LA46" s="409">
        <v>0</v>
      </c>
      <c r="LB46" s="415">
        <v>0.8</v>
      </c>
      <c r="LC46" s="415">
        <v>0.2</v>
      </c>
      <c r="LD46" s="415"/>
      <c r="LE46" s="415"/>
      <c r="LF46" s="415"/>
      <c r="LG46" s="409">
        <v>0</v>
      </c>
      <c r="LH46" s="409">
        <f>30+29+40+10</f>
        <v>109</v>
      </c>
      <c r="LI46" s="409">
        <v>0</v>
      </c>
      <c r="LJ46" s="409">
        <v>0</v>
      </c>
      <c r="LK46" s="416">
        <f t="shared" si="32"/>
        <v>109</v>
      </c>
      <c r="LL46" s="416">
        <f t="shared" si="33"/>
        <v>109</v>
      </c>
      <c r="LM46" s="417">
        <f t="shared" si="34"/>
        <v>87.2</v>
      </c>
      <c r="LN46" s="417">
        <f>VLOOKUP($LM$8,'Jan-2026 rates'!$H:$I,2,0)</f>
        <v>0</v>
      </c>
      <c r="LO46" s="417">
        <f t="shared" si="35"/>
        <v>21.8</v>
      </c>
      <c r="LP46" s="417">
        <f>VLOOKUP($LO$8,'Jan-2026 rates'!$H:$I,2,0)</f>
        <v>0</v>
      </c>
      <c r="LQ46" s="417">
        <f t="shared" si="36"/>
        <v>0</v>
      </c>
      <c r="LR46" s="417">
        <f>VLOOKUP($LQ$8,'Jan-2026 rates'!$H:$I,2,0)</f>
        <v>0</v>
      </c>
      <c r="LS46" s="417">
        <f t="shared" si="37"/>
        <v>0</v>
      </c>
      <c r="LT46" s="417">
        <f>VLOOKUP($LS$8,'Jan-2026 rates'!$H:$I,2,0)</f>
        <v>0</v>
      </c>
      <c r="LU46" s="417">
        <f t="shared" si="38"/>
        <v>0</v>
      </c>
      <c r="LV46" s="417">
        <f>VLOOKUP($LU$8,'Jan-2026 rates'!$H:$I,2,0)</f>
        <v>0</v>
      </c>
      <c r="LW46" s="417">
        <f t="shared" si="39"/>
        <v>0</v>
      </c>
      <c r="LX46" s="417">
        <f t="shared" si="40"/>
        <v>0</v>
      </c>
      <c r="LY46" s="418">
        <f t="shared" si="41"/>
        <v>0</v>
      </c>
      <c r="LZ46" s="417"/>
      <c r="MA46" s="435">
        <f t="shared" si="42"/>
        <v>202</v>
      </c>
      <c r="MB46" s="282">
        <f t="shared" si="43"/>
        <v>204</v>
      </c>
      <c r="MC46" s="283">
        <v>1</v>
      </c>
      <c r="MD46" s="284" t="str">
        <f t="shared" si="44"/>
        <v>FLINTSLFLINTSLFLINTSLFLINTSLFLINTSLFLINTSLFLINTSL</v>
      </c>
      <c r="ME46" s="293" t="str">
        <f t="shared" si="45"/>
        <v>+</v>
      </c>
      <c r="MF46" s="293" t="str">
        <f t="shared" si="46"/>
        <v>+</v>
      </c>
      <c r="MG46" s="293" t="str">
        <f t="shared" si="47"/>
        <v>+</v>
      </c>
      <c r="MH46" s="293" t="str">
        <f t="shared" si="48"/>
        <v>+</v>
      </c>
      <c r="MI46" s="293" t="str">
        <f t="shared" si="49"/>
        <v>+</v>
      </c>
      <c r="MJ46" s="293" t="str">
        <f t="shared" si="50"/>
        <v>+</v>
      </c>
      <c r="MK46" s="293" t="str">
        <f t="shared" si="51"/>
        <v>+</v>
      </c>
      <c r="ML46" s="293" t="str">
        <f t="shared" si="52"/>
        <v>NIL</v>
      </c>
      <c r="MM46" s="3" t="b">
        <f t="array" ref="MM46">OR(ME46:ML46="-")</f>
        <v>0</v>
      </c>
      <c r="MN46" s="285"/>
      <c r="MO46" s="401"/>
      <c r="MP46" s="286"/>
      <c r="MQ46" s="286"/>
      <c r="MR46" s="402"/>
      <c r="MS46" s="400"/>
      <c r="NH46" s="422"/>
      <c r="NJ46" s="421"/>
    </row>
    <row r="47" spans="1:374" s="1" customFormat="1" ht="16.5">
      <c r="A47" s="403">
        <v>46024</v>
      </c>
      <c r="B47" s="404" t="s">
        <v>1018</v>
      </c>
      <c r="C47" s="405" t="s">
        <v>2822</v>
      </c>
      <c r="D47" s="406">
        <v>2</v>
      </c>
      <c r="E47" s="404">
        <v>471</v>
      </c>
      <c r="F47" s="407">
        <v>24700</v>
      </c>
      <c r="G47" s="407" t="s">
        <v>1019</v>
      </c>
      <c r="H47" s="408" t="s">
        <v>1017</v>
      </c>
      <c r="I47" s="409">
        <v>0.61</v>
      </c>
      <c r="J47" s="405" t="s">
        <v>543</v>
      </c>
      <c r="K47" s="404" t="s">
        <v>2823</v>
      </c>
      <c r="L47" s="419" t="str">
        <f t="shared" si="0"/>
        <v>FLINTSL - BLACK</v>
      </c>
      <c r="M47" s="404">
        <v>29</v>
      </c>
      <c r="N47" s="410">
        <f>IF(M47=0,0,IF($LB47=70%,VLOOKUP($L47,'Jan-2026 rates'!$L:$R,4,0),IF($LB47=65%,VLOOKUP($L47,'Jan-2026 rates'!$L:$R,4,0),IF($LB47=40%,VLOOKUP($L47,'Jan-2026 rates'!$L:$R,5,0),IF($LB47=30%,VLOOKUP($L47,'Jan-2026 rates'!$L:$R,6,0),IF($LB47=100%,VLOOKUP($L47,'Jan-2026 rates'!$L:$R,7,0),IF($LB47=60%,VLOOKUP($L47,'Jan-2026 rates'!$L:$S,8,0),IF($LB47=80%,VLOOKUP($L47,'Jan-2026 rates'!L:T,9,0),0))))))))</f>
        <v>0</v>
      </c>
      <c r="O47" s="406"/>
      <c r="P47" s="404"/>
      <c r="Q47" s="410">
        <f>IF(P47=0,0,IF($LB47=70%,VLOOKUP($L47,'Jan-2026 rates'!$L:$R,4,0),IF($LB47=65%,VLOOKUP($L47,'Jan-2026 rates'!$L:$R,4,0),IF($LB47=40%,VLOOKUP($L47,'Jan-2026 rates'!$L:$R,5,0),IF($LB47=30%,VLOOKUP($L47,'Jan-2026 rates'!$L:$R,6,0),IF($LB47=100%,VLOOKUP($L47,'Jan-2026 rates'!$L:$R,7,0),IF($LB47=60%,VLOOKUP($L47,'Jan-2026 rates'!$L:$S,8,0),IF($LB47=80%,VLOOKUP($L47,'Jan-2026 rates'!L:T,9,0),0))))))))</f>
        <v>0</v>
      </c>
      <c r="R47" s="406">
        <v>25862000007</v>
      </c>
      <c r="S47" s="406"/>
      <c r="T47" s="406"/>
      <c r="U47" s="406"/>
      <c r="V47" s="406"/>
      <c r="W47" s="406"/>
      <c r="X47" s="406"/>
      <c r="Y47" s="406"/>
      <c r="Z47" s="404">
        <v>1</v>
      </c>
      <c r="AA47" s="398" t="e">
        <f>IF(Z47=0,0,IF(LEN(R47)=11,_xlfn.XLOOKUP(R47,'Dispensed Ink Rates'!C:C,'Dispensed Ink Rates'!CS:CS),VLOOKUP(R47,'Jan-2026 rates'!$E:$F,2,0)))</f>
        <v>#N/A</v>
      </c>
      <c r="AB47" s="404"/>
      <c r="AC47" s="398">
        <f>IF(AB47=0,0,IF(LEN(S47)=11,_xlfn.XLOOKUP(S47,'Dispensed Ink Rates'!C:C,'Dispensed Ink Rates'!CS:CS),VLOOKUP(S47,'Jan-2026 rates'!$E:$F,2,0)))</f>
        <v>0</v>
      </c>
      <c r="AD47" s="404"/>
      <c r="AE47" s="398">
        <f>IF(AD47=0,0,IF(LEN(T47)=11,_xlfn.XLOOKUP(T47,'Dispensed Ink Rates'!C:C,'Dispensed Ink Rates'!CS:CS),VLOOKUP(T47,'Jan-2026 rates'!$E:$F,2,0)))</f>
        <v>0</v>
      </c>
      <c r="AF47" s="404"/>
      <c r="AG47" s="398">
        <f>IF(AF47=0,0,IF(LEN(U47)=11,_xlfn.XLOOKUP(U47,'Dispensed Ink Rates'!C:C,'Dispensed Ink Rates'!CS:CS),VLOOKUP(U47,'Jan-2026 rates'!$E:$F,2,0)))</f>
        <v>0</v>
      </c>
      <c r="AH47" s="404"/>
      <c r="AI47" s="398">
        <f>IF(AH47=0,0,IF(LEN(V47)=11,_xlfn.XLOOKUP(V47,'Dispensed Ink Rates'!C:C,'Dispensed Ink Rates'!CS:CS),VLOOKUP(V47,'Jan-2026 rates'!$E:$F,2,0)))</f>
        <v>0</v>
      </c>
      <c r="AJ47" s="404"/>
      <c r="AK47" s="398">
        <f>IF(AJ47=0,0,IF(LEN(W47)=11,_xlfn.XLOOKUP(W47,'Dispensed Ink Rates'!C:C,'Dispensed Ink Rates'!CS:CS),VLOOKUP(W47,'Jan-2026 rates'!$E:$F,2,0)))</f>
        <v>0</v>
      </c>
      <c r="AL47" s="404"/>
      <c r="AM47" s="398">
        <f>IF(AL47=0,0,IF(LEN(X47)=11,_xlfn.XLOOKUP(X47,'Dispensed Ink Rates'!C:C,'Dispensed Ink Rates'!CS:CS),VLOOKUP(X47,'Jan-2026 rates'!$E:$F,2,0)))</f>
        <v>0</v>
      </c>
      <c r="AN47" s="404"/>
      <c r="AO47" s="398">
        <f>IF(AN47=0,0,IF(LEN(Y47)=11,_xlfn.XLOOKUP(Y47,'Dispensed Ink Rates'!C:C,'Dispensed Ink Rates'!CS:CS),VLOOKUP(Y47,'Jan-2026 rates'!$E:$F,2,0)))</f>
        <v>0</v>
      </c>
      <c r="AP47" s="409" t="s">
        <v>1443</v>
      </c>
      <c r="AQ47" s="409">
        <v>27</v>
      </c>
      <c r="AR47" s="410">
        <f t="shared" si="1"/>
        <v>0</v>
      </c>
      <c r="AS47" s="411">
        <f t="shared" si="2"/>
        <v>10.151515151515149</v>
      </c>
      <c r="AT47" s="410">
        <f t="shared" si="3"/>
        <v>0</v>
      </c>
      <c r="AU47" s="405" t="s">
        <v>857</v>
      </c>
      <c r="AV47" s="409" t="s">
        <v>2824</v>
      </c>
      <c r="AW47" s="420" t="str">
        <f t="shared" si="53"/>
        <v>FLINTSL - RED</v>
      </c>
      <c r="AX47" s="409">
        <v>26</v>
      </c>
      <c r="AY47" s="411">
        <f>IF(AX47=0,0,IF($LB47=70%,VLOOKUP($AW47,'Jan-2026 rates'!$L:$R,4,0),IF($LB47=65%,VLOOKUP($AW47,'Jan-2026 rates'!$L:$R,4,0),IF($LB47=40%,VLOOKUP($AW47,'Jan-2026 rates'!$L:$R,5,0),IF($LB47=30%,VLOOKUP($AW47,'Jan-2026 rates'!$L:$R,6,0),IF($LB47=100%,VLOOKUP($AW47,'Jan-2026 rates'!$L:$R,7,0),IF($LB47=60%,VLOOKUP($AW47,'Jan-2026 rates'!$L:$S,8,0),IF($LB47=80%,VLOOKUP($AW47,'Jan-2026 rates'!L:T,9,0),0))))))))</f>
        <v>0</v>
      </c>
      <c r="AZ47" s="412"/>
      <c r="BA47" s="409"/>
      <c r="BB47" s="411">
        <f>IF(BA47=0,0,IF($LB47=70%,VLOOKUP($AW47,'Jan-2026 rates'!$L:$R,4,0),IF($LB47=65%,VLOOKUP($AW47,'Jan-2026 rates'!$L:$R,4,0),IF($LB47=40%,VLOOKUP($AW47,'Jan-2026 rates'!$L:$R,5,0),IF($LB47=30%,VLOOKUP($AW47,'Jan-2026 rates'!$L:$R,6,0),IF($LB47=100%,VLOOKUP($AW47,'Jan-2026 rates'!$L:$R,7,0),IF($LB47=60%,VLOOKUP($AW47,'Jan-2026 rates'!$L:$S,8,0),IF($LB47=80%,VLOOKUP($AW47,'Jan-2026 rates'!L:T,9,0),0))))))))</f>
        <v>0</v>
      </c>
      <c r="BC47" s="413">
        <v>25863000024</v>
      </c>
      <c r="BD47" s="412"/>
      <c r="BE47" s="412"/>
      <c r="BF47" s="413"/>
      <c r="BG47" s="412"/>
      <c r="BH47" s="412"/>
      <c r="BI47" s="412"/>
      <c r="BJ47" s="412"/>
      <c r="BK47" s="409">
        <v>2</v>
      </c>
      <c r="BL47" s="398" t="e">
        <f>IF(BK47=0,0,IF(LEN(BC47)=11,_xlfn.XLOOKUP(BC47,'Dispensed Ink Rates'!C:C,'Dispensed Ink Rates'!CS:CS),VLOOKUP(BC47,'Jan-2026 rates'!$E:$F,2,0)))</f>
        <v>#N/A</v>
      </c>
      <c r="BM47" s="409"/>
      <c r="BN47" s="398">
        <f>IF(BM47=0,0,IF(LEN(BD47)=11,_xlfn.XLOOKUP(BD47,'Dispensed Ink Rates'!C:C,'Dispensed Ink Rates'!CS:CS),VLOOKUP(BD47,'Jan-2026 rates'!$E:$F,2,0)))</f>
        <v>0</v>
      </c>
      <c r="BO47" s="409"/>
      <c r="BP47" s="398">
        <f>IF(BO47=0,0,IF(LEN(BE47)=11,_xlfn.XLOOKUP(BE47,'Dispensed Ink Rates'!C:C,'Dispensed Ink Rates'!CS:CS),VLOOKUP(BE47,'Jan-2026 rates'!$E:$F,2,0)))</f>
        <v>0</v>
      </c>
      <c r="BQ47" s="409"/>
      <c r="BR47" s="398">
        <f>IF(BQ47=0,0,IF(LEN(BF47)=11,_xlfn.XLOOKUP(BF47,'Dispensed Ink Rates'!C:C,'Dispensed Ink Rates'!CS:CS),VLOOKUP(BF47,'Jan-2026 rates'!$E:$F,2,0)))</f>
        <v>0</v>
      </c>
      <c r="BS47" s="409"/>
      <c r="BT47" s="398">
        <f>IF(BS47=0,0,IF(LEN(BG47)=11,_xlfn.XLOOKUP(BG47,'Dispensed Ink Rates'!C:C,'Dispensed Ink Rates'!CS:CS),VLOOKUP(BG47,'Jan-2026 rates'!$E:$F,2,0)))</f>
        <v>0</v>
      </c>
      <c r="BU47" s="409"/>
      <c r="BV47" s="398">
        <f>IF(BU47=0,0,IF(LEN(BH47)=11,_xlfn.XLOOKUP(BH47,'Dispensed Ink Rates'!C:C,'Dispensed Ink Rates'!CS:CS),VLOOKUP(BH47,'Jan-2026 rates'!$E:$F,2,0)))</f>
        <v>0</v>
      </c>
      <c r="BW47" s="409"/>
      <c r="BX47" s="398">
        <f>IF(BW47=0,0,IF(LEN(BI47)=11,_xlfn.XLOOKUP(BI47,'Dispensed Ink Rates'!C:C,'Dispensed Ink Rates'!CS:CS),VLOOKUP(BI47,'Jan-2026 rates'!$E:$F,2,0)))</f>
        <v>0</v>
      </c>
      <c r="BY47" s="409"/>
      <c r="BZ47" s="398">
        <f>IF(BY47=0,0,IF(LEN(BJ47)=11,_xlfn.XLOOKUP(BJ47,'Dispensed Ink Rates'!C:C,'Dispensed Ink Rates'!CS:CS),VLOOKUP(BJ47,'Jan-2026 rates'!$E:$F,2,0)))</f>
        <v>0</v>
      </c>
      <c r="CA47" s="409" t="s">
        <v>1443</v>
      </c>
      <c r="CB47" s="409">
        <v>25</v>
      </c>
      <c r="CC47" s="411">
        <f t="shared" si="5"/>
        <v>0</v>
      </c>
      <c r="CD47" s="411">
        <f t="shared" si="6"/>
        <v>10.151515151515149</v>
      </c>
      <c r="CE47" s="410">
        <f t="shared" si="7"/>
        <v>0</v>
      </c>
      <c r="CF47" s="404" t="s">
        <v>543</v>
      </c>
      <c r="CG47" s="409" t="s">
        <v>2396</v>
      </c>
      <c r="CH47" s="420" t="str">
        <f t="shared" si="8"/>
        <v>FLINTSL - BLACK</v>
      </c>
      <c r="CI47" s="409">
        <v>15</v>
      </c>
      <c r="CJ47" s="411">
        <f>IF(CI47=0,0,IF($LB47=70%,VLOOKUP($CH47,'Jan-2026 rates'!$L:$R,4,0),IF($LB47=65%,VLOOKUP($CH47,'Jan-2026 rates'!$L:$R,4,0),IF($LB47=40%,VLOOKUP($CH47,'Jan-2026 rates'!$L:$R,5,0),IF($LB47=30%,VLOOKUP($CH47,'Jan-2026 rates'!$L:$R,6,0),IF($LB47=100%,VLOOKUP($CH47,'Jan-2026 rates'!$L:$R,7,0),IF($LB47=60%,VLOOKUP($CH47,'Jan-2026 rates'!$L:$S,8,0),IF($LB47=80%,VLOOKUP($CH47,'Jan-2026 rates'!L:T,9,0),0))))))))</f>
        <v>0</v>
      </c>
      <c r="CK47" s="412"/>
      <c r="CL47" s="409"/>
      <c r="CM47" s="411">
        <f>IF(CL47=0,0,IF($LB47=70%,VLOOKUP($CH47,'Jan-2026 rates'!$L:$R,4,0),IF($LB47=65%,VLOOKUP($CH47,'Jan-2026 rates'!$L:$R,4,0),IF($LB47=40%,VLOOKUP($CH47,'Jan-2026 rates'!$L:$R,5,0),IF($LB47=30%,VLOOKUP($CH47,'Jan-2026 rates'!$L:$R,6,0),IF($LB47=100%,VLOOKUP($CH47,'Jan-2026 rates'!$L:$R,7,0),IF($LB47=60%,VLOOKUP($CH47,'Jan-2026 rates'!$L:$S,8,0),IF($LB47=80%,VLOOKUP($CH47,'Jan-2026 rates'!L:T,9,0),0))))))))</f>
        <v>0</v>
      </c>
      <c r="CN47" s="426">
        <v>25862000007</v>
      </c>
      <c r="CO47" s="427">
        <v>25863000024</v>
      </c>
      <c r="CP47" s="426">
        <v>25864000008</v>
      </c>
      <c r="CQ47" s="426"/>
      <c r="CR47" s="428"/>
      <c r="CS47" s="428"/>
      <c r="CT47" s="428"/>
      <c r="CU47" s="428"/>
      <c r="CV47" s="409">
        <v>4</v>
      </c>
      <c r="CW47" s="398" t="e">
        <f>IF(CV47=0,0,IF(LEN(CN47)=11,_xlfn.XLOOKUP(CN47,'Dispensed Ink Rates'!C:C,'Dispensed Ink Rates'!CS:CS),VLOOKUP(CN47,'Jan-2026 rates'!$E:$F,2,0)))</f>
        <v>#N/A</v>
      </c>
      <c r="CX47" s="409">
        <v>2</v>
      </c>
      <c r="CY47" s="398" t="e">
        <f>IF(CX47=0,0,IF(LEN(CO47)=11,_xlfn.XLOOKUP(CO47,'Dispensed Ink Rates'!C:C,'Dispensed Ink Rates'!CS:CS),VLOOKUP(CO47,'Jan-2026 rates'!$E:$F,2,0)))</f>
        <v>#N/A</v>
      </c>
      <c r="CZ47" s="409">
        <v>2</v>
      </c>
      <c r="DA47" s="398" t="e">
        <f>IF(CZ47=0,0,IF(LEN(CP47)=11,_xlfn.XLOOKUP(CP47,'Dispensed Ink Rates'!C:C,'Dispensed Ink Rates'!CS:CS),VLOOKUP(CP47,'Jan-2026 rates'!$E:$F,2,0)))</f>
        <v>#N/A</v>
      </c>
      <c r="DB47" s="409"/>
      <c r="DC47" s="398">
        <f>IF(DB47=0,0,IF(LEN(CQ47)=11,_xlfn.XLOOKUP(CQ47,'Dispensed Ink Rates'!C:C,'Dispensed Ink Rates'!CS:CS),VLOOKUP(CQ47,'Jan-2026 rates'!$E:$F,2,0)))</f>
        <v>0</v>
      </c>
      <c r="DD47" s="409"/>
      <c r="DE47" s="398">
        <f>IF(DD47=0,0,IF(LEN(CR47)=11,_xlfn.XLOOKUP(CR47,'Dispensed Ink Rates'!C:C,'Dispensed Ink Rates'!CS:CS),VLOOKUP(CR47,'Jan-2026 rates'!$E:$F,2,0)))</f>
        <v>0</v>
      </c>
      <c r="DF47" s="409"/>
      <c r="DG47" s="398">
        <f>IF(DF47=0,0,IF(LEN(CS47)=11,_xlfn.XLOOKUP(CS47,'Dispensed Ink Rates'!C:C,'Dispensed Ink Rates'!CS:CS),VLOOKUP(CS47,'Jan-2026 rates'!$E:$F,2,0)))</f>
        <v>0</v>
      </c>
      <c r="DH47" s="409"/>
      <c r="DI47" s="398">
        <f>IF(DH47=0,0,IF(LEN(CT47)=11,_xlfn.XLOOKUP(CT47,'Dispensed Ink Rates'!C:C,'Dispensed Ink Rates'!CS:CS),VLOOKUP(CT47,'Jan-2026 rates'!$E:$F,2,0)))</f>
        <v>0</v>
      </c>
      <c r="DJ47" s="409"/>
      <c r="DK47" s="398">
        <f>IF(DJ47=0,0,IF(LEN(CU47)=11,_xlfn.XLOOKUP(CU47,'Dispensed Ink Rates'!C:C,'Dispensed Ink Rates'!CS:CS),VLOOKUP(CU47,'Jan-2026 rates'!$E:$F,2,0)))</f>
        <v>0</v>
      </c>
      <c r="DL47" s="409" t="s">
        <v>1443</v>
      </c>
      <c r="DM47" s="409">
        <v>24</v>
      </c>
      <c r="DN47" s="411">
        <f t="shared" si="9"/>
        <v>0</v>
      </c>
      <c r="DO47" s="411">
        <f t="shared" si="10"/>
        <v>16.878787878787875</v>
      </c>
      <c r="DP47" s="410">
        <f t="shared" si="11"/>
        <v>0</v>
      </c>
      <c r="DQ47" s="405" t="s">
        <v>543</v>
      </c>
      <c r="DR47" s="409" t="s">
        <v>2391</v>
      </c>
      <c r="DS47" s="420" t="str">
        <f t="shared" si="12"/>
        <v>FLINTSL - BLACK</v>
      </c>
      <c r="DT47" s="409">
        <v>11</v>
      </c>
      <c r="DU47" s="411">
        <f>IF(DT47=0,0,IF($LB47=70%,VLOOKUP($DS47,'Jan-2026 rates'!$L:$R,4,0),IF($LB47=65%,VLOOKUP($DS47,'Jan-2026 rates'!$L:$R,4,0),IF($LB47=40%,VLOOKUP($DS47,'Jan-2026 rates'!$L:$R,5,0),IF($LB47=30%,VLOOKUP($DS47,'Jan-2026 rates'!$L:$R,6,0),IF($LB47=100%,VLOOKUP($DS47,'Jan-2026 rates'!$L:$R,7,0),IF($LB47=60%,VLOOKUP($DS47,'Jan-2026 rates'!$L:$S,8,0),IF($LB47=80%,VLOOKUP($DS47,'Jan-2026 rates'!L:T,9,0),0))))))))</f>
        <v>0</v>
      </c>
      <c r="DV47" s="412"/>
      <c r="DW47" s="409"/>
      <c r="DX47" s="411">
        <f>IF(DW47=0,0,IF($LB47=70%,VLOOKUP($DS47,'Jan-2026 rates'!$L:$R,4,0),IF($LB47=65%,VLOOKUP($DS47,'Jan-2026 rates'!$L:$R,4,0),IF($LB47=40%,VLOOKUP($DS47,'Jan-2026 rates'!$L:$R,5,0),IF($LB47=30%,VLOOKUP($DS47,'Jan-2026 rates'!$L:$R,6,0),IF($LB47=100%,VLOOKUP($DS47,'Jan-2026 rates'!$L:$R,7,0),IF($LB47=60%,VLOOKUP($DS47,'Jan-2026 rates'!$L:$S,8,0),IF($LB47=80%,VLOOKUP($DS47,'Jan-2026 rates'!L:T,9,0),0))))))))</f>
        <v>0</v>
      </c>
      <c r="DY47" s="413">
        <v>25864000008</v>
      </c>
      <c r="DZ47" s="413">
        <v>25863000024</v>
      </c>
      <c r="EA47" s="412"/>
      <c r="EB47" s="412"/>
      <c r="EC47" s="412"/>
      <c r="ED47" s="412"/>
      <c r="EE47" s="412"/>
      <c r="EF47" s="412"/>
      <c r="EG47" s="409">
        <v>8</v>
      </c>
      <c r="EH47" s="398" t="e">
        <f>IF(EG47=0,0,IF(LEN(DY47)=11,_xlfn.XLOOKUP(DY47,'Dispensed Ink Rates'!C:C,'Dispensed Ink Rates'!CS:CS),VLOOKUP(DY47,'Jan-2026 rates'!$E:$F,2,0)))</f>
        <v>#N/A</v>
      </c>
      <c r="EI47" s="409">
        <v>1</v>
      </c>
      <c r="EJ47" s="398" t="e">
        <f>IF(EI47=0,0,IF(LEN(DZ47)=11,_xlfn.XLOOKUP(DZ47,'Dispensed Ink Rates'!C:C,'Dispensed Ink Rates'!CS:CS),VLOOKUP(DZ47,'Jan-2026 rates'!$E:$F,2,0)))</f>
        <v>#N/A</v>
      </c>
      <c r="EK47" s="409"/>
      <c r="EL47" s="398">
        <f>IF(EK47=0,0,IF(LEN(EA47)=11,_xlfn.XLOOKUP(EA47,'Dispensed Ink Rates'!C:C,'Dispensed Ink Rates'!CS:CS),VLOOKUP(EA47,'Jan-2026 rates'!$E:$F,2,0)))</f>
        <v>0</v>
      </c>
      <c r="EM47" s="409"/>
      <c r="EN47" s="398">
        <f>IF(EM47=0,0,IF(LEN(EB47)=11,_xlfn.XLOOKUP(EB47,'Dispensed Ink Rates'!C:C,'Dispensed Ink Rates'!CS:CS),VLOOKUP(EB47,'Jan-2026 rates'!$E:$F,2,0)))</f>
        <v>0</v>
      </c>
      <c r="EO47" s="409"/>
      <c r="EP47" s="398">
        <f>IF(EO47=0,0,IF(LEN(EC47)=11,_xlfn.XLOOKUP(EC47,'Dispensed Ink Rates'!C:C,'Dispensed Ink Rates'!CS:CS),VLOOKUP(EC47,'Jan-2026 rates'!$E:$F,2,0)))</f>
        <v>0</v>
      </c>
      <c r="EQ47" s="409"/>
      <c r="ER47" s="398">
        <f>IF(EQ47=0,0,IF(LEN(ED47)=11,_xlfn.XLOOKUP(ED47,'Dispensed Ink Rates'!C:C,'Dispensed Ink Rates'!CS:CS),VLOOKUP(ED47,'Jan-2026 rates'!$E:$F,2,0)))</f>
        <v>0</v>
      </c>
      <c r="ES47" s="409"/>
      <c r="ET47" s="398">
        <f>IF(ES47=0,0,IF(LEN(EE47)=11,_xlfn.XLOOKUP(EE47,'Dispensed Ink Rates'!C:C,'Dispensed Ink Rates'!CS:CS),VLOOKUP(EE47,'Jan-2026 rates'!$E:$F,2,0)))</f>
        <v>0</v>
      </c>
      <c r="EU47" s="409"/>
      <c r="EV47" s="398">
        <f>IF(EU47=0,0,IF(LEN(EF47)=11,_xlfn.XLOOKUP(EF47,'Dispensed Ink Rates'!C:C,'Dispensed Ink Rates'!CS:CS),VLOOKUP(EF47,'Jan-2026 rates'!$E:$F,2,0)))</f>
        <v>0</v>
      </c>
      <c r="EW47" s="409" t="s">
        <v>1443</v>
      </c>
      <c r="EX47" s="409">
        <v>21</v>
      </c>
      <c r="EY47" s="411">
        <f t="shared" si="13"/>
        <v>0</v>
      </c>
      <c r="EZ47" s="411">
        <f t="shared" si="14"/>
        <v>16.878787878787875</v>
      </c>
      <c r="FA47" s="410">
        <f t="shared" si="15"/>
        <v>0</v>
      </c>
      <c r="FB47" s="405" t="s">
        <v>546</v>
      </c>
      <c r="FC47" s="409"/>
      <c r="FD47" s="420" t="str">
        <f t="shared" si="16"/>
        <v>FLINTSL - REFLEX BLUE</v>
      </c>
      <c r="FE47" s="409"/>
      <c r="FF47" s="411">
        <f>IF(FE47=0,0,IF($LB47=70%,VLOOKUP($FD47,'Jan-2026 rates'!$L:$R,4,0),IF($LB47=65%,VLOOKUP($FD47,'Jan-2026 rates'!$L:$R,4,0),IF($LB47=40%,VLOOKUP($FD47,'Jan-2026 rates'!$L:$R,5,0),IF($LB47=30%,VLOOKUP($FD47,'Jan-2026 rates'!$L:$R,6,0),IF($LB47=100%,VLOOKUP($FD47,'Jan-2026 rates'!$L:$R,7,0),IF($LB47=60%,VLOOKUP($FD47,'Jan-2026 rates'!$L:$S,8,0),IF($LB47=80%,VLOOKUP($FD47,'Jan-2026 rates'!L:T,9,0),0))))))))</f>
        <v>0</v>
      </c>
      <c r="FG47" s="412"/>
      <c r="FH47" s="409"/>
      <c r="FI47" s="411">
        <f>IF(FH47=0,0,IF($LB47=70%,VLOOKUP($FD47,'Jan-2026 rates'!$L:$R,4,0),IF($LB47=65%,VLOOKUP($FD47,'Jan-2026 rates'!$L:$R,4,0),IF($LB47=40%,VLOOKUP($FD47,'Jan-2026 rates'!$L:$R,5,0),IF($LB47=30%,VLOOKUP($FD47,'Jan-2026 rates'!$L:$R,6,0),IF($LB47=100%,VLOOKUP($FD47,'Jan-2026 rates'!$L:$R,7,0),IF($LB47=60%,VLOOKUP($FD47,'Jan-2026 rates'!$L:$S,8,0),IF($LB47=80%,VLOOKUP($FD47,'Jan-2026 rates'!L:T,9,0),0))))))))</f>
        <v>0</v>
      </c>
      <c r="FJ47" s="413">
        <v>26501000002</v>
      </c>
      <c r="FK47" s="413" t="s">
        <v>1266</v>
      </c>
      <c r="FL47" s="413">
        <v>25863000002</v>
      </c>
      <c r="FM47" s="412">
        <v>26502000003</v>
      </c>
      <c r="FN47" s="412">
        <v>26502000009</v>
      </c>
      <c r="FO47" s="412"/>
      <c r="FP47" s="412"/>
      <c r="FQ47" s="412"/>
      <c r="FR47" s="409">
        <f>4+6</f>
        <v>10</v>
      </c>
      <c r="FS47" s="398" t="e">
        <f>IF(FR47=0,0,IF(LEN(FJ47)=11,_xlfn.XLOOKUP(FJ47,'Dispensed Ink Rates'!C:C,'Dispensed Ink Rates'!CS:CS),VLOOKUP(FJ47,'Jan-2026 rates'!$E:$F,2,0)))</f>
        <v>#N/A</v>
      </c>
      <c r="FT47" s="409">
        <v>7</v>
      </c>
      <c r="FU47" s="398">
        <f>IF(FT47=0,0,IF(LEN(FK47)=11,_xlfn.XLOOKUP(FK47,'Dispensed Ink Rates'!C:C,'Dispensed Ink Rates'!CS:CS),VLOOKUP(FK47,'Jan-2026 rates'!$E:$F,2,0)))</f>
        <v>0</v>
      </c>
      <c r="FV47" s="409">
        <v>4</v>
      </c>
      <c r="FW47" s="398" t="e">
        <f>IF(FV47=0,0,IF(LEN(FL47)=11,_xlfn.XLOOKUP(FL47,'Dispensed Ink Rates'!C:C,'Dispensed Ink Rates'!CS:CS),VLOOKUP(FL47,'Jan-2026 rates'!$E:$F,2,0)))</f>
        <v>#N/A</v>
      </c>
      <c r="FX47" s="409">
        <v>40</v>
      </c>
      <c r="FY47" s="398" t="e">
        <f>IF(FX47=0,0,IF(LEN(FM47)=11,_xlfn.XLOOKUP(FM47,'Dispensed Ink Rates'!C:C,'Dispensed Ink Rates'!CS:CS),VLOOKUP(FM47,'Jan-2026 rates'!$E:$F,2,0)))</f>
        <v>#N/A</v>
      </c>
      <c r="FZ47" s="409">
        <v>40</v>
      </c>
      <c r="GA47" s="398" t="e">
        <f>IF(FZ47=0,0,IF(LEN(FN47)=11,_xlfn.XLOOKUP(FN47,'Dispensed Ink Rates'!C:C,'Dispensed Ink Rates'!CS:CS),VLOOKUP(FN47,'Jan-2026 rates'!$E:$F,2,0)))</f>
        <v>#N/A</v>
      </c>
      <c r="GB47" s="409"/>
      <c r="GC47" s="398">
        <f>IF(GB47=0,0,IF(LEN(FO47)=11,_xlfn.XLOOKUP(FO47,'Dispensed Ink Rates'!C:C,'Dispensed Ink Rates'!CS:CS),VLOOKUP(FO47,'Jan-2026 rates'!$E:$F,2,0)))</f>
        <v>0</v>
      </c>
      <c r="GD47" s="409"/>
      <c r="GE47" s="398">
        <f>IF(GD47=0,0,IF(LEN(FP47)=11,_xlfn.XLOOKUP(FP47,'Dispensed Ink Rates'!C:C,'Dispensed Ink Rates'!CS:CS),VLOOKUP(FP47,'Jan-2026 rates'!$E:$F,2,0)))</f>
        <v>0</v>
      </c>
      <c r="GF47" s="409"/>
      <c r="GG47" s="398">
        <f>IF(GF47=0,0,IF(LEN(FQ47)=11,_xlfn.XLOOKUP(FQ47,'Dispensed Ink Rates'!C:C,'Dispensed Ink Rates'!CS:CS),VLOOKUP(FQ47,'Jan-2026 rates'!$E:$F,2,0)))</f>
        <v>0</v>
      </c>
      <c r="GH47" s="409" t="s">
        <v>1443</v>
      </c>
      <c r="GI47" s="409">
        <v>15</v>
      </c>
      <c r="GJ47" s="411">
        <f t="shared" si="17"/>
        <v>0</v>
      </c>
      <c r="GK47" s="411">
        <f t="shared" si="18"/>
        <v>121.75757575757575</v>
      </c>
      <c r="GL47" s="410">
        <f t="shared" si="19"/>
        <v>0</v>
      </c>
      <c r="GM47" s="405" t="s">
        <v>855</v>
      </c>
      <c r="GN47" s="409" t="s">
        <v>2825</v>
      </c>
      <c r="GO47" s="420" t="str">
        <f t="shared" si="20"/>
        <v>FLINTSL - CYAN</v>
      </c>
      <c r="GP47" s="409">
        <v>26</v>
      </c>
      <c r="GQ47" s="411">
        <f>IF(GP47=0,0,IF($LB47=70%,VLOOKUP($GO47,'Jan-2026 rates'!$L:$R,4,0),IF($LB47=65%,VLOOKUP($GO47,'Jan-2026 rates'!$L:$R,4,0),IF($LB47=40%,VLOOKUP($GO47,'Jan-2026 rates'!$L:$R,5,0),IF($LB47=30%,VLOOKUP($GO47,'Jan-2026 rates'!$L:$R,6,0),IF($LB47=100%,VLOOKUP($GO47,'Jan-2026 rates'!$L:$R,7,0),IF($LB47=60%,VLOOKUP($GO47,'Jan-2026 rates'!$L:$S,8,0),IF($LB47=80%,VLOOKUP($GO47,'Jan-2026 rates'!L:T,9,0),0))))))))</f>
        <v>0</v>
      </c>
      <c r="GR47" s="412"/>
      <c r="GS47" s="409"/>
      <c r="GT47" s="411">
        <f>IF(GS47=0,0,IF($LB47=70%,VLOOKUP($GO47,'Jan-2026 rates'!$L:$R,4,0),IF($LB47=65%,VLOOKUP($GO47,'Jan-2026 rates'!$L:$R,4,0),IF($LB47=40%,VLOOKUP($GO47,'Jan-2026 rates'!$L:$R,5,0),IF($LB47=30%,VLOOKUP($GO47,'Jan-2026 rates'!$L:$R,6,0),IF($LB47=100%,VLOOKUP($GO47,'Jan-2026 rates'!$L:$R,7,0),IF($LB47=60%,VLOOKUP($GO47,'Jan-2026 rates'!$L:$S,8,0),IF($LB47=80%,VLOOKUP($GO47,'Jan-2026 rates'!L:T,9,0),0))))))))</f>
        <v>0</v>
      </c>
      <c r="GU47" s="413">
        <v>25863000002</v>
      </c>
      <c r="GV47" s="413"/>
      <c r="GW47" s="412"/>
      <c r="GX47" s="412"/>
      <c r="GY47" s="412"/>
      <c r="GZ47" s="412"/>
      <c r="HA47" s="412"/>
      <c r="HB47" s="412"/>
      <c r="HC47" s="409">
        <v>1</v>
      </c>
      <c r="HD47" s="398" t="e">
        <f>IF(HC47=0,0,IF(LEN(GU47)=11,_xlfn.XLOOKUP(GU47,'Dispensed Ink Rates'!C:C,'Dispensed Ink Rates'!CS:CS),VLOOKUP(GU47,'Jan-2026 rates'!$E:$F,2,0)))</f>
        <v>#N/A</v>
      </c>
      <c r="HE47" s="409"/>
      <c r="HF47" s="398">
        <f>IF(HE47=0,0,IF(LEN(GV47)=11,_xlfn.XLOOKUP(GV47,'Dispensed Ink Rates'!C:C,'Dispensed Ink Rates'!CS:CS),VLOOKUP(GV47,'Jan-2026 rates'!$E:$F,2,0)))</f>
        <v>0</v>
      </c>
      <c r="HG47" s="409"/>
      <c r="HH47" s="398">
        <f>IF(HG47=0,0,IF(LEN(GW47)=11,_xlfn.XLOOKUP(GW47,'Dispensed Ink Rates'!C:C,'Dispensed Ink Rates'!CS:CS),VLOOKUP(GW47,'Jan-2026 rates'!$E:$F,2,0)))</f>
        <v>0</v>
      </c>
      <c r="HI47" s="409"/>
      <c r="HJ47" s="398">
        <f>IF(HI47=0,0,IF(LEN(GX47)=11,_xlfn.XLOOKUP(GX47,'Dispensed Ink Rates'!C:C,'Dispensed Ink Rates'!CS:CS),VLOOKUP(GX47,'Jan-2026 rates'!$E:$F,2,0)))</f>
        <v>0</v>
      </c>
      <c r="HK47" s="409"/>
      <c r="HL47" s="398">
        <f>IF(HK47=0,0,IF(LEN(GY47)=11,_xlfn.XLOOKUP(GY47,'Dispensed Ink Rates'!C:C,'Dispensed Ink Rates'!CS:CS),VLOOKUP(GY47,'Jan-2026 rates'!$E:$F,2,0)))</f>
        <v>0</v>
      </c>
      <c r="HM47" s="409"/>
      <c r="HN47" s="398">
        <f>IF(HM47=0,0,IF(LEN(GZ47)=11,_xlfn.XLOOKUP(GZ47,'Dispensed Ink Rates'!C:C,'Dispensed Ink Rates'!CS:CS),VLOOKUP(GZ47,'Jan-2026 rates'!$E:$F,2,0)))</f>
        <v>0</v>
      </c>
      <c r="HO47" s="409"/>
      <c r="HP47" s="398">
        <f>IF(HO47=0,0,IF(LEN(HA47)=11,_xlfn.XLOOKUP(HA47,'Dispensed Ink Rates'!C:C,'Dispensed Ink Rates'!CS:CS),VLOOKUP(HA47,'Jan-2026 rates'!$E:$F,2,0)))</f>
        <v>0</v>
      </c>
      <c r="HQ47" s="409"/>
      <c r="HR47" s="398">
        <f>IF(HQ47=0,0,IF(LEN(HB47)=11,_xlfn.XLOOKUP(HB47,'Dispensed Ink Rates'!C:C,'Dispensed Ink Rates'!CS:CS),VLOOKUP(HB47,'Jan-2026 rates'!$E:$F,2,0)))</f>
        <v>0</v>
      </c>
      <c r="HS47" s="409" t="s">
        <v>1443</v>
      </c>
      <c r="HT47" s="409">
        <v>24</v>
      </c>
      <c r="HU47" s="411">
        <f t="shared" si="21"/>
        <v>0</v>
      </c>
      <c r="HV47" s="411">
        <f t="shared" si="22"/>
        <v>10.151515151515149</v>
      </c>
      <c r="HW47" s="414">
        <f t="shared" si="23"/>
        <v>0</v>
      </c>
      <c r="HX47" s="405" t="s">
        <v>544</v>
      </c>
      <c r="HY47" s="409" t="s">
        <v>2826</v>
      </c>
      <c r="HZ47" s="420" t="str">
        <f t="shared" si="24"/>
        <v>FLINTSL - MAGENTA</v>
      </c>
      <c r="IA47" s="409">
        <v>24</v>
      </c>
      <c r="IB47" s="411">
        <f>IF(IA47=0,0,IF($LB47=70%,VLOOKUP($HZ47,'Jan-2026 rates'!$L:$R,4,0),IF($LB47=65%,VLOOKUP($HZ47,'Jan-2026 rates'!$L:$R,4,0),IF($LB47=40%,VLOOKUP($HZ47,'Jan-2026 rates'!$L:$R,5,0),IF($LB47=30%,VLOOKUP($HZ47,'Jan-2026 rates'!$L:$R,6,0),IF($LB47=100%,VLOOKUP($HZ47,'Jan-2026 rates'!$L:$R,7,0),IF($LB47=60%,VLOOKUP($HZ47,'Jan-2026 rates'!$L:$S,8,0),IF($LB47=80%,VLOOKUP($HZ47,'Jan-2026 rates'!L:T,9,0),0))))))))</f>
        <v>0</v>
      </c>
      <c r="IC47" s="412"/>
      <c r="ID47" s="409"/>
      <c r="IE47" s="411">
        <f>IF(ID47=0,0,IF($LB47=70%,VLOOKUP($HZ47,'Jan-2026 rates'!$L:$R,4,0),IF($LB47=65%,VLOOKUP($HZ47,'Jan-2026 rates'!$L:$R,4,0),IF($LB47=40%,VLOOKUP($HZ47,'Jan-2026 rates'!$L:$R,5,0),IF($LB47=30%,VLOOKUP($HZ47,'Jan-2026 rates'!$L:$R,6,0),IF($LB47=100%,VLOOKUP($HZ47,'Jan-2026 rates'!$L:$R,7,0),IF($LB47=60%,VLOOKUP($HZ47,'Jan-2026 rates'!$L:$S,8,0),IF($LB47=80%,VLOOKUP($HZ47,'Jan-2026 rates'!L:T,9,0),0))))))))</f>
        <v>0</v>
      </c>
      <c r="IF47" s="412" t="s">
        <v>1266</v>
      </c>
      <c r="IG47" s="413"/>
      <c r="IH47" s="412"/>
      <c r="II47" s="412"/>
      <c r="IJ47" s="412"/>
      <c r="IK47" s="412"/>
      <c r="IL47" s="412"/>
      <c r="IM47" s="412"/>
      <c r="IN47" s="409">
        <v>4</v>
      </c>
      <c r="IO47" s="398">
        <f>IF(IN47=0,0,IF(LEN(IF47)=11,_xlfn.XLOOKUP(IF47,'Dispensed Ink Rates'!C:C,'Dispensed Ink Rates'!CS:CS),VLOOKUP(IF47,'Jan-2026 rates'!$E:$F,2,0)))</f>
        <v>0</v>
      </c>
      <c r="IP47" s="409"/>
      <c r="IQ47" s="398">
        <f>IF(IP47=0,0,IF(LEN(IG47)=11,_xlfn.XLOOKUP(IG47,'Dispensed Ink Rates'!C:C,'Dispensed Ink Rates'!CS:CS),VLOOKUP(IG47,'Jan-2026 rates'!$E:$F,2,0)))</f>
        <v>0</v>
      </c>
      <c r="IR47" s="409"/>
      <c r="IS47" s="398">
        <f>IF(IR47=0,0,IF(LEN(IH47)=11,_xlfn.XLOOKUP(IH47,'Dispensed Ink Rates'!C:C,'Dispensed Ink Rates'!CS:CS),VLOOKUP(IH47,'Jan-2026 rates'!$E:$F,2,0)))</f>
        <v>0</v>
      </c>
      <c r="IT47" s="409"/>
      <c r="IU47" s="398">
        <f>IF(IT47=0,0,IF(LEN(II47)=11,_xlfn.XLOOKUP(II47,'Dispensed Ink Rates'!C:C,'Dispensed Ink Rates'!CS:CS),VLOOKUP(II47,'Jan-2026 rates'!$E:$F,2,0)))</f>
        <v>0</v>
      </c>
      <c r="IV47" s="409"/>
      <c r="IW47" s="398">
        <f>IF(IV47=0,0,IF(LEN(IJ47)=11,_xlfn.XLOOKUP(IJ47,'Dispensed Ink Rates'!C:C,'Dispensed Ink Rates'!CS:CS),VLOOKUP(IJ47,'Jan-2026 rates'!$E:$F,2,0)))</f>
        <v>0</v>
      </c>
      <c r="IX47" s="409"/>
      <c r="IY47" s="398">
        <f>IF(IX47=0,0,IF(LEN(IK47)=11,_xlfn.XLOOKUP(IK47,'Dispensed Ink Rates'!C:C,'Dispensed Ink Rates'!CS:CS),VLOOKUP(IK47,'Jan-2026 rates'!$E:$F,2,0)))</f>
        <v>0</v>
      </c>
      <c r="IZ47" s="409"/>
      <c r="JA47" s="398">
        <f>IF(IZ47=0,0,IF(LEN(IL47)=11,_xlfn.XLOOKUP(IL47,'Dispensed Ink Rates'!C:C,'Dispensed Ink Rates'!CS:CS),VLOOKUP(IL47,'Jan-2026 rates'!$E:$F,2,0)))</f>
        <v>0</v>
      </c>
      <c r="JB47" s="409"/>
      <c r="JC47" s="398">
        <f>IF(JB47=0,0,IF(LEN(IM47)=11,_xlfn.XLOOKUP(IM47,'Dispensed Ink Rates'!C:C,'Dispensed Ink Rates'!CS:CS),VLOOKUP(IM47,'Jan-2026 rates'!$E:$F,2,0)))</f>
        <v>0</v>
      </c>
      <c r="JD47" s="409" t="s">
        <v>1443</v>
      </c>
      <c r="JE47" s="409">
        <v>26</v>
      </c>
      <c r="JF47" s="411">
        <f t="shared" si="25"/>
        <v>0</v>
      </c>
      <c r="JG47" s="411">
        <f t="shared" si="26"/>
        <v>19.878787878787875</v>
      </c>
      <c r="JH47" s="410">
        <f t="shared" si="27"/>
        <v>0</v>
      </c>
      <c r="JI47" s="405" t="s">
        <v>545</v>
      </c>
      <c r="JJ47" s="409" t="s">
        <v>2827</v>
      </c>
      <c r="JK47" s="420" t="str">
        <f t="shared" si="28"/>
        <v>FLINTSL - YELLOW</v>
      </c>
      <c r="JL47" s="409">
        <v>28</v>
      </c>
      <c r="JM47" s="411">
        <f>IF(JL47=0,0,IF($LB47=70%,VLOOKUP($JK47,'Jan-2026 rates'!$L:$R,4,0),IF($LB47=65%,VLOOKUP($JK47,'Jan-2026 rates'!$L:$R,4,0),IF($LB47=40%,VLOOKUP($JK47,'Jan-2026 rates'!$L:$R,5,0),IF($LB47=30%,VLOOKUP($JK47,'Jan-2026 rates'!$L:$R,6,0),IF($LB47=100%,VLOOKUP($JK47,'Jan-2026 rates'!$L:$R,7,0),IF($LB47=60%,VLOOKUP($JK47,'Jan-2026 rates'!$L:$S,8,0),IF($LB47=80%,VLOOKUP($JK47,'Jan-2026 rates'!L:T,9,0),0))))))))</f>
        <v>0</v>
      </c>
      <c r="JN47" s="412"/>
      <c r="JO47" s="409"/>
      <c r="JP47" s="411">
        <f>IF(JO47=0,0,IF($LB47=70%,VLOOKUP($JK47,'Jan-2026 rates'!$L:$R,4,0),IF($LB47=65%,VLOOKUP($JK47,'Jan-2026 rates'!$L:$R,4,0),IF($LB47=40%,VLOOKUP($JK47,'Jan-2026 rates'!$L:$R,5,0),IF($LB47=30%,VLOOKUP($JK47,'Jan-2026 rates'!$L:$R,6,0),IF($LB47=100%,VLOOKUP($JK47,'Jan-2026 rates'!$L:$R,7,0),IF($LB47=60%,VLOOKUP($JK47,'Jan-2026 rates'!$L:$S,8,0),IF($LB47=80%,VLOOKUP($JK47,'Jan-2026 rates'!L:T,9,0),0))))))))</f>
        <v>0</v>
      </c>
      <c r="JQ47" s="413">
        <v>25864000008</v>
      </c>
      <c r="JR47" s="412"/>
      <c r="JS47" s="413"/>
      <c r="JT47" s="413"/>
      <c r="JU47" s="412"/>
      <c r="JV47" s="412"/>
      <c r="JW47" s="412"/>
      <c r="JX47" s="412"/>
      <c r="JY47" s="409">
        <v>4</v>
      </c>
      <c r="JZ47" s="398" t="e">
        <f>IF(JY47=0,0,IF(LEN(JQ47)=11,_xlfn.XLOOKUP(JQ47,'Dispensed Ink Rates'!C:C,'Dispensed Ink Rates'!CS:CS),VLOOKUP(JQ47,'Jan-2026 rates'!$E:$F,2,0)))</f>
        <v>#N/A</v>
      </c>
      <c r="KA47" s="409"/>
      <c r="KB47" s="398">
        <f>IF(KA47=0,0,IF(LEN(JR47)=11,_xlfn.XLOOKUP(JR47,'Dispensed Ink Rates'!C:C,'Dispensed Ink Rates'!CS:CS),VLOOKUP(JR47,'Jan-2026 rates'!$E:$F,2,0)))</f>
        <v>0</v>
      </c>
      <c r="KC47" s="409"/>
      <c r="KD47" s="398">
        <f>IF(KC47=0,0,IF(LEN(JS47)=11,_xlfn.XLOOKUP(JS47,'Dispensed Ink Rates'!C:C,'Dispensed Ink Rates'!CS:CS),VLOOKUP(JS47,'Jan-2026 rates'!$E:$F,2,0)))</f>
        <v>0</v>
      </c>
      <c r="KE47" s="409"/>
      <c r="KF47" s="398">
        <f>IF(KE47=0,0,IF(LEN(JT47)=11,_xlfn.XLOOKUP(JT47,'Dispensed Ink Rates'!C:C,'Dispensed Ink Rates'!CS:CS),VLOOKUP(JT47,'Jan-2026 rates'!$E:$F,2,0)))</f>
        <v>0</v>
      </c>
      <c r="KG47" s="409"/>
      <c r="KH47" s="398">
        <f>IF(KG47=0,0,IF(LEN(JU47)=11,_xlfn.XLOOKUP(JU47,'Dispensed Ink Rates'!C:C,'Dispensed Ink Rates'!CS:CS),VLOOKUP(JU47,'Jan-2026 rates'!$E:$F,2,0)))</f>
        <v>0</v>
      </c>
      <c r="KI47" s="409"/>
      <c r="KJ47" s="398">
        <f>IF(KI47=0,0,IF(LEN(JV47)=11,_xlfn.XLOOKUP(JV47,'Dispensed Ink Rates'!C:C,'Dispensed Ink Rates'!CS:CS),VLOOKUP(JV47,'Jan-2026 rates'!$E:$F,2,0)))</f>
        <v>0</v>
      </c>
      <c r="KK47" s="409"/>
      <c r="KL47" s="398">
        <f>IF(KK47=0,0,IF(LEN(JW47)=11,_xlfn.XLOOKUP(JW47,'Dispensed Ink Rates'!C:C,'Dispensed Ink Rates'!CS:CS),VLOOKUP(JW47,'Jan-2026 rates'!$E:$F,2,0)))</f>
        <v>0</v>
      </c>
      <c r="KM47" s="428"/>
      <c r="KN47" s="398">
        <f>IF(KM47=0,0,IF(LEN(JX47)=11,_xlfn.XLOOKUP(JX47,'Dispensed Ink Rates'!C:C,'Dispensed Ink Rates'!CS:CS),VLOOKUP(JX47,'Jan-2026 rates'!$E:$F,2,0)))</f>
        <v>0</v>
      </c>
      <c r="KO47" s="409" t="s">
        <v>1443</v>
      </c>
      <c r="KP47" s="409">
        <v>25</v>
      </c>
      <c r="KQ47" s="411">
        <f t="shared" si="29"/>
        <v>0</v>
      </c>
      <c r="KR47" s="411">
        <f t="shared" si="30"/>
        <v>14.151515151515149</v>
      </c>
      <c r="KS47" s="410">
        <f t="shared" si="31"/>
        <v>0</v>
      </c>
      <c r="KT47" s="409">
        <v>2</v>
      </c>
      <c r="KU47" s="409">
        <v>2</v>
      </c>
      <c r="KV47" s="409">
        <v>5</v>
      </c>
      <c r="KW47" s="409">
        <v>5</v>
      </c>
      <c r="KX47" s="409">
        <v>10</v>
      </c>
      <c r="KY47" s="409">
        <v>2</v>
      </c>
      <c r="KZ47" s="409">
        <v>5</v>
      </c>
      <c r="LA47" s="409">
        <v>2</v>
      </c>
      <c r="LB47" s="415">
        <v>0.8</v>
      </c>
      <c r="LC47" s="415">
        <v>0.2</v>
      </c>
      <c r="LD47" s="415"/>
      <c r="LE47" s="415"/>
      <c r="LF47" s="415"/>
      <c r="LG47" s="409">
        <v>0</v>
      </c>
      <c r="LH47" s="409">
        <f>17+21+30+40+10</f>
        <v>118</v>
      </c>
      <c r="LI47" s="409">
        <v>0</v>
      </c>
      <c r="LJ47" s="409">
        <v>0</v>
      </c>
      <c r="LK47" s="416">
        <f t="shared" si="32"/>
        <v>118</v>
      </c>
      <c r="LL47" s="416">
        <f t="shared" si="33"/>
        <v>118</v>
      </c>
      <c r="LM47" s="417">
        <f t="shared" si="34"/>
        <v>94.4</v>
      </c>
      <c r="LN47" s="417">
        <f>VLOOKUP($LM$8,'Jan-2026 rates'!$H:$I,2,0)</f>
        <v>0</v>
      </c>
      <c r="LO47" s="417">
        <f t="shared" si="35"/>
        <v>23.6</v>
      </c>
      <c r="LP47" s="417">
        <f>VLOOKUP($LO$8,'Jan-2026 rates'!$H:$I,2,0)</f>
        <v>0</v>
      </c>
      <c r="LQ47" s="417">
        <f t="shared" si="36"/>
        <v>0</v>
      </c>
      <c r="LR47" s="417">
        <f>VLOOKUP($LQ$8,'Jan-2026 rates'!$H:$I,2,0)</f>
        <v>0</v>
      </c>
      <c r="LS47" s="417">
        <f t="shared" si="37"/>
        <v>0</v>
      </c>
      <c r="LT47" s="417">
        <f>VLOOKUP($LS$8,'Jan-2026 rates'!$H:$I,2,0)</f>
        <v>0</v>
      </c>
      <c r="LU47" s="417">
        <f t="shared" si="38"/>
        <v>0</v>
      </c>
      <c r="LV47" s="417">
        <f>VLOOKUP($LU$8,'Jan-2026 rates'!$H:$I,2,0)</f>
        <v>0</v>
      </c>
      <c r="LW47" s="417">
        <f t="shared" si="39"/>
        <v>0</v>
      </c>
      <c r="LX47" s="417">
        <f t="shared" si="40"/>
        <v>0</v>
      </c>
      <c r="LY47" s="418">
        <f t="shared" si="41"/>
        <v>0</v>
      </c>
      <c r="LZ47" s="417"/>
      <c r="MA47" s="435">
        <f t="shared" si="42"/>
        <v>130</v>
      </c>
      <c r="MB47" s="282">
        <f t="shared" si="43"/>
        <v>220</v>
      </c>
      <c r="MC47" s="283">
        <v>2</v>
      </c>
      <c r="MD47" s="284" t="str">
        <f t="shared" si="44"/>
        <v>FLINTSLFLINTSLFLINTSLFLINTSLFLINTSLFLINTSLFLINTSLFLINTSL</v>
      </c>
      <c r="ME47" s="293" t="str">
        <f t="shared" si="45"/>
        <v>+</v>
      </c>
      <c r="MF47" s="293" t="str">
        <f t="shared" si="46"/>
        <v>+</v>
      </c>
      <c r="MG47" s="293" t="str">
        <f t="shared" si="47"/>
        <v>+</v>
      </c>
      <c r="MH47" s="293" t="str">
        <f t="shared" si="48"/>
        <v>+</v>
      </c>
      <c r="MI47" s="293" t="str">
        <f t="shared" si="49"/>
        <v>+</v>
      </c>
      <c r="MJ47" s="293" t="str">
        <f t="shared" si="50"/>
        <v>+</v>
      </c>
      <c r="MK47" s="293" t="str">
        <f t="shared" si="51"/>
        <v>+</v>
      </c>
      <c r="ML47" s="293" t="str">
        <f t="shared" si="52"/>
        <v>+</v>
      </c>
      <c r="MM47" s="3" t="b">
        <f t="array" ref="MM47">OR(ME47:ML47="-")</f>
        <v>0</v>
      </c>
      <c r="MN47" s="285"/>
      <c r="MO47" s="401"/>
      <c r="MP47" s="286"/>
      <c r="MQ47" s="286"/>
      <c r="MR47" s="402"/>
      <c r="MS47" s="400"/>
      <c r="NH47" s="422"/>
      <c r="NJ47" s="421"/>
    </row>
    <row r="48" spans="1:374" s="1" customFormat="1" ht="16.5">
      <c r="A48" s="403">
        <v>46024</v>
      </c>
      <c r="B48" s="404" t="s">
        <v>1018</v>
      </c>
      <c r="C48" s="405" t="s">
        <v>2828</v>
      </c>
      <c r="D48" s="406">
        <v>3</v>
      </c>
      <c r="E48" s="404">
        <v>478</v>
      </c>
      <c r="F48" s="407">
        <v>25100</v>
      </c>
      <c r="G48" s="407" t="s">
        <v>1019</v>
      </c>
      <c r="H48" s="408" t="s">
        <v>1017</v>
      </c>
      <c r="I48" s="409">
        <v>0.61</v>
      </c>
      <c r="J48" s="405" t="s">
        <v>543</v>
      </c>
      <c r="K48" s="404" t="s">
        <v>2829</v>
      </c>
      <c r="L48" s="419" t="str">
        <f t="shared" si="0"/>
        <v>FLINTSL - BLACK</v>
      </c>
      <c r="M48" s="404">
        <v>27</v>
      </c>
      <c r="N48" s="410">
        <f>IF(M48=0,0,IF($LB48=70%,VLOOKUP($L48,'Jan-2026 rates'!$L:$R,4,0),IF($LB48=65%,VLOOKUP($L48,'Jan-2026 rates'!$L:$R,4,0),IF($LB48=40%,VLOOKUP($L48,'Jan-2026 rates'!$L:$R,5,0),IF($LB48=30%,VLOOKUP($L48,'Jan-2026 rates'!$L:$R,6,0),IF($LB48=100%,VLOOKUP($L48,'Jan-2026 rates'!$L:$R,7,0),IF($LB48=60%,VLOOKUP($L48,'Jan-2026 rates'!$L:$S,8,0),IF($LB48=80%,VLOOKUP($L48,'Jan-2026 rates'!L:T,9,0),0))))))))</f>
        <v>0</v>
      </c>
      <c r="O48" s="406"/>
      <c r="P48" s="404"/>
      <c r="Q48" s="410">
        <f>IF(P48=0,0,IF($LB48=70%,VLOOKUP($L48,'Jan-2026 rates'!$L:$R,4,0),IF($LB48=65%,VLOOKUP($L48,'Jan-2026 rates'!$L:$R,4,0),IF($LB48=40%,VLOOKUP($L48,'Jan-2026 rates'!$L:$R,5,0),IF($LB48=30%,VLOOKUP($L48,'Jan-2026 rates'!$L:$R,6,0),IF($LB48=100%,VLOOKUP($L48,'Jan-2026 rates'!$L:$R,7,0),IF($LB48=60%,VLOOKUP($L48,'Jan-2026 rates'!$L:$S,8,0),IF($LB48=80%,VLOOKUP($L48,'Jan-2026 rates'!L:T,9,0),0))))))))</f>
        <v>0</v>
      </c>
      <c r="R48" s="406">
        <v>25862000007</v>
      </c>
      <c r="S48" s="406"/>
      <c r="T48" s="406"/>
      <c r="U48" s="406"/>
      <c r="V48" s="406"/>
      <c r="W48" s="406"/>
      <c r="X48" s="406"/>
      <c r="Y48" s="406"/>
      <c r="Z48" s="404">
        <v>1</v>
      </c>
      <c r="AA48" s="398" t="e">
        <f>IF(Z48=0,0,IF(LEN(R48)=11,_xlfn.XLOOKUP(R48,'Dispensed Ink Rates'!C:C,'Dispensed Ink Rates'!CS:CS),VLOOKUP(R48,'Jan-2026 rates'!$E:$F,2,0)))</f>
        <v>#N/A</v>
      </c>
      <c r="AB48" s="404"/>
      <c r="AC48" s="398">
        <f>IF(AB48=0,0,IF(LEN(S48)=11,_xlfn.XLOOKUP(S48,'Dispensed Ink Rates'!C:C,'Dispensed Ink Rates'!CS:CS),VLOOKUP(S48,'Jan-2026 rates'!$E:$F,2,0)))</f>
        <v>0</v>
      </c>
      <c r="AD48" s="404"/>
      <c r="AE48" s="398">
        <f>IF(AD48=0,0,IF(LEN(T48)=11,_xlfn.XLOOKUP(T48,'Dispensed Ink Rates'!C:C,'Dispensed Ink Rates'!CS:CS),VLOOKUP(T48,'Jan-2026 rates'!$E:$F,2,0)))</f>
        <v>0</v>
      </c>
      <c r="AF48" s="404"/>
      <c r="AG48" s="398">
        <f>IF(AF48=0,0,IF(LEN(U48)=11,_xlfn.XLOOKUP(U48,'Dispensed Ink Rates'!C:C,'Dispensed Ink Rates'!CS:CS),VLOOKUP(U48,'Jan-2026 rates'!$E:$F,2,0)))</f>
        <v>0</v>
      </c>
      <c r="AH48" s="404"/>
      <c r="AI48" s="398">
        <f>IF(AH48=0,0,IF(LEN(V48)=11,_xlfn.XLOOKUP(V48,'Dispensed Ink Rates'!C:C,'Dispensed Ink Rates'!CS:CS),VLOOKUP(V48,'Jan-2026 rates'!$E:$F,2,0)))</f>
        <v>0</v>
      </c>
      <c r="AJ48" s="404"/>
      <c r="AK48" s="398">
        <f>IF(AJ48=0,0,IF(LEN(W48)=11,_xlfn.XLOOKUP(W48,'Dispensed Ink Rates'!C:C,'Dispensed Ink Rates'!CS:CS),VLOOKUP(W48,'Jan-2026 rates'!$E:$F,2,0)))</f>
        <v>0</v>
      </c>
      <c r="AL48" s="404"/>
      <c r="AM48" s="398">
        <f>IF(AL48=0,0,IF(LEN(X48)=11,_xlfn.XLOOKUP(X48,'Dispensed Ink Rates'!C:C,'Dispensed Ink Rates'!CS:CS),VLOOKUP(X48,'Jan-2026 rates'!$E:$F,2,0)))</f>
        <v>0</v>
      </c>
      <c r="AN48" s="404"/>
      <c r="AO48" s="398">
        <f>IF(AN48=0,0,IF(LEN(Y48)=11,_xlfn.XLOOKUP(Y48,'Dispensed Ink Rates'!C:C,'Dispensed Ink Rates'!CS:CS),VLOOKUP(Y48,'Jan-2026 rates'!$E:$F,2,0)))</f>
        <v>0</v>
      </c>
      <c r="AP48" s="409" t="s">
        <v>1443</v>
      </c>
      <c r="AQ48" s="409">
        <v>25</v>
      </c>
      <c r="AR48" s="410">
        <f t="shared" si="1"/>
        <v>0</v>
      </c>
      <c r="AS48" s="411">
        <f t="shared" si="2"/>
        <v>12.600000000000001</v>
      </c>
      <c r="AT48" s="410">
        <f t="shared" si="3"/>
        <v>0</v>
      </c>
      <c r="AU48" s="405" t="s">
        <v>857</v>
      </c>
      <c r="AV48" s="409" t="s">
        <v>2830</v>
      </c>
      <c r="AW48" s="420" t="str">
        <f t="shared" si="53"/>
        <v>FLINTSL - RED</v>
      </c>
      <c r="AX48" s="409">
        <v>25</v>
      </c>
      <c r="AY48" s="411">
        <f>IF(AX48=0,0,IF($LB48=70%,VLOOKUP($AW48,'Jan-2026 rates'!$L:$R,4,0),IF($LB48=65%,VLOOKUP($AW48,'Jan-2026 rates'!$L:$R,4,0),IF($LB48=40%,VLOOKUP($AW48,'Jan-2026 rates'!$L:$R,5,0),IF($LB48=30%,VLOOKUP($AW48,'Jan-2026 rates'!$L:$R,6,0),IF($LB48=100%,VLOOKUP($AW48,'Jan-2026 rates'!$L:$R,7,0),IF($LB48=60%,VLOOKUP($AW48,'Jan-2026 rates'!$L:$S,8,0),IF($LB48=80%,VLOOKUP($AW48,'Jan-2026 rates'!L:T,9,0),0))))))))</f>
        <v>0</v>
      </c>
      <c r="AZ48" s="412"/>
      <c r="BA48" s="409"/>
      <c r="BB48" s="411">
        <f>IF(BA48=0,0,IF($LB48=70%,VLOOKUP($AW48,'Jan-2026 rates'!$L:$R,4,0),IF($LB48=65%,VLOOKUP($AW48,'Jan-2026 rates'!$L:$R,4,0),IF($LB48=40%,VLOOKUP($AW48,'Jan-2026 rates'!$L:$R,5,0),IF($LB48=30%,VLOOKUP($AW48,'Jan-2026 rates'!$L:$R,6,0),IF($LB48=100%,VLOOKUP($AW48,'Jan-2026 rates'!$L:$R,7,0),IF($LB48=60%,VLOOKUP($AW48,'Jan-2026 rates'!$L:$S,8,0),IF($LB48=80%,VLOOKUP($AW48,'Jan-2026 rates'!L:T,9,0),0))))))))</f>
        <v>0</v>
      </c>
      <c r="BC48" s="413">
        <v>25863000024</v>
      </c>
      <c r="BD48" s="412"/>
      <c r="BE48" s="412"/>
      <c r="BF48" s="413"/>
      <c r="BG48" s="412"/>
      <c r="BH48" s="412"/>
      <c r="BI48" s="412"/>
      <c r="BJ48" s="412"/>
      <c r="BK48" s="409">
        <v>1</v>
      </c>
      <c r="BL48" s="398" t="e">
        <f>IF(BK48=0,0,IF(LEN(BC48)=11,_xlfn.XLOOKUP(BC48,'Dispensed Ink Rates'!C:C,'Dispensed Ink Rates'!CS:CS),VLOOKUP(BC48,'Jan-2026 rates'!$E:$F,2,0)))</f>
        <v>#N/A</v>
      </c>
      <c r="BM48" s="409"/>
      <c r="BN48" s="398">
        <f>IF(BM48=0,0,IF(LEN(BD48)=11,_xlfn.XLOOKUP(BD48,'Dispensed Ink Rates'!C:C,'Dispensed Ink Rates'!CS:CS),VLOOKUP(BD48,'Jan-2026 rates'!$E:$F,2,0)))</f>
        <v>0</v>
      </c>
      <c r="BO48" s="409"/>
      <c r="BP48" s="398">
        <f>IF(BO48=0,0,IF(LEN(BE48)=11,_xlfn.XLOOKUP(BE48,'Dispensed Ink Rates'!C:C,'Dispensed Ink Rates'!CS:CS),VLOOKUP(BE48,'Jan-2026 rates'!$E:$F,2,0)))</f>
        <v>0</v>
      </c>
      <c r="BQ48" s="409"/>
      <c r="BR48" s="398">
        <f>IF(BQ48=0,0,IF(LEN(BF48)=11,_xlfn.XLOOKUP(BF48,'Dispensed Ink Rates'!C:C,'Dispensed Ink Rates'!CS:CS),VLOOKUP(BF48,'Jan-2026 rates'!$E:$F,2,0)))</f>
        <v>0</v>
      </c>
      <c r="BS48" s="409"/>
      <c r="BT48" s="398">
        <f>IF(BS48=0,0,IF(LEN(BG48)=11,_xlfn.XLOOKUP(BG48,'Dispensed Ink Rates'!C:C,'Dispensed Ink Rates'!CS:CS),VLOOKUP(BG48,'Jan-2026 rates'!$E:$F,2,0)))</f>
        <v>0</v>
      </c>
      <c r="BU48" s="409"/>
      <c r="BV48" s="398">
        <f>IF(BU48=0,0,IF(LEN(BH48)=11,_xlfn.XLOOKUP(BH48,'Dispensed Ink Rates'!C:C,'Dispensed Ink Rates'!CS:CS),VLOOKUP(BH48,'Jan-2026 rates'!$E:$F,2,0)))</f>
        <v>0</v>
      </c>
      <c r="BW48" s="409"/>
      <c r="BX48" s="398">
        <f>IF(BW48=0,0,IF(LEN(BI48)=11,_xlfn.XLOOKUP(BI48,'Dispensed Ink Rates'!C:C,'Dispensed Ink Rates'!CS:CS),VLOOKUP(BI48,'Jan-2026 rates'!$E:$F,2,0)))</f>
        <v>0</v>
      </c>
      <c r="BY48" s="409"/>
      <c r="BZ48" s="398">
        <f>IF(BY48=0,0,IF(LEN(BJ48)=11,_xlfn.XLOOKUP(BJ48,'Dispensed Ink Rates'!C:C,'Dispensed Ink Rates'!CS:CS),VLOOKUP(BJ48,'Jan-2026 rates'!$E:$F,2,0)))</f>
        <v>0</v>
      </c>
      <c r="CA48" s="409" t="s">
        <v>1443</v>
      </c>
      <c r="CB48" s="409">
        <v>22</v>
      </c>
      <c r="CC48" s="411">
        <f t="shared" si="5"/>
        <v>0</v>
      </c>
      <c r="CD48" s="411">
        <f t="shared" si="6"/>
        <v>13.600000000000001</v>
      </c>
      <c r="CE48" s="410">
        <f t="shared" si="7"/>
        <v>0</v>
      </c>
      <c r="CF48" s="404" t="s">
        <v>543</v>
      </c>
      <c r="CG48" s="409" t="s">
        <v>2829</v>
      </c>
      <c r="CH48" s="420" t="str">
        <f t="shared" si="8"/>
        <v>FLINTSL - BLACK</v>
      </c>
      <c r="CI48" s="409">
        <v>24</v>
      </c>
      <c r="CJ48" s="411">
        <f>IF(CI48=0,0,IF($LB48=70%,VLOOKUP($CH48,'Jan-2026 rates'!$L:$R,4,0),IF($LB48=65%,VLOOKUP($CH48,'Jan-2026 rates'!$L:$R,4,0),IF($LB48=40%,VLOOKUP($CH48,'Jan-2026 rates'!$L:$R,5,0),IF($LB48=30%,VLOOKUP($CH48,'Jan-2026 rates'!$L:$R,6,0),IF($LB48=100%,VLOOKUP($CH48,'Jan-2026 rates'!$L:$R,7,0),IF($LB48=60%,VLOOKUP($CH48,'Jan-2026 rates'!$L:$S,8,0),IF($LB48=80%,VLOOKUP($CH48,'Jan-2026 rates'!L:T,9,0),0))))))))</f>
        <v>0</v>
      </c>
      <c r="CK48" s="412"/>
      <c r="CL48" s="409"/>
      <c r="CM48" s="411">
        <f>IF(CL48=0,0,IF($LB48=70%,VLOOKUP($CH48,'Jan-2026 rates'!$L:$R,4,0),IF($LB48=65%,VLOOKUP($CH48,'Jan-2026 rates'!$L:$R,4,0),IF($LB48=40%,VLOOKUP($CH48,'Jan-2026 rates'!$L:$R,5,0),IF($LB48=30%,VLOOKUP($CH48,'Jan-2026 rates'!$L:$R,6,0),IF($LB48=100%,VLOOKUP($CH48,'Jan-2026 rates'!$L:$R,7,0),IF($LB48=60%,VLOOKUP($CH48,'Jan-2026 rates'!$L:$S,8,0),IF($LB48=80%,VLOOKUP($CH48,'Jan-2026 rates'!L:T,9,0),0))))))))</f>
        <v>0</v>
      </c>
      <c r="CN48" s="426">
        <v>25862000007</v>
      </c>
      <c r="CO48" s="427">
        <v>25864000008</v>
      </c>
      <c r="CP48" s="426"/>
      <c r="CQ48" s="426"/>
      <c r="CR48" s="428"/>
      <c r="CS48" s="428"/>
      <c r="CT48" s="428"/>
      <c r="CU48" s="428"/>
      <c r="CV48" s="409">
        <v>0.4</v>
      </c>
      <c r="CW48" s="398" t="e">
        <f>IF(CV48=0,0,IF(LEN(CN48)=11,_xlfn.XLOOKUP(CN48,'Dispensed Ink Rates'!C:C,'Dispensed Ink Rates'!CS:CS),VLOOKUP(CN48,'Jan-2026 rates'!$E:$F,2,0)))</f>
        <v>#N/A</v>
      </c>
      <c r="CX48" s="409">
        <v>2</v>
      </c>
      <c r="CY48" s="398" t="e">
        <f>IF(CX48=0,0,IF(LEN(CO48)=11,_xlfn.XLOOKUP(CO48,'Dispensed Ink Rates'!C:C,'Dispensed Ink Rates'!CS:CS),VLOOKUP(CO48,'Jan-2026 rates'!$E:$F,2,0)))</f>
        <v>#N/A</v>
      </c>
      <c r="CZ48" s="409"/>
      <c r="DA48" s="398">
        <f>IF(CZ48=0,0,IF(LEN(CP48)=11,_xlfn.XLOOKUP(CP48,'Dispensed Ink Rates'!C:C,'Dispensed Ink Rates'!CS:CS),VLOOKUP(CP48,'Jan-2026 rates'!$E:$F,2,0)))</f>
        <v>0</v>
      </c>
      <c r="DB48" s="409"/>
      <c r="DC48" s="398">
        <f>IF(DB48=0,0,IF(LEN(CQ48)=11,_xlfn.XLOOKUP(CQ48,'Dispensed Ink Rates'!C:C,'Dispensed Ink Rates'!CS:CS),VLOOKUP(CQ48,'Jan-2026 rates'!$E:$F,2,0)))</f>
        <v>0</v>
      </c>
      <c r="DD48" s="409"/>
      <c r="DE48" s="398">
        <f>IF(DD48=0,0,IF(LEN(CR48)=11,_xlfn.XLOOKUP(CR48,'Dispensed Ink Rates'!C:C,'Dispensed Ink Rates'!CS:CS),VLOOKUP(CR48,'Jan-2026 rates'!$E:$F,2,0)))</f>
        <v>0</v>
      </c>
      <c r="DF48" s="409"/>
      <c r="DG48" s="398">
        <f>IF(DF48=0,0,IF(LEN(CS48)=11,_xlfn.XLOOKUP(CS48,'Dispensed Ink Rates'!C:C,'Dispensed Ink Rates'!CS:CS),VLOOKUP(CS48,'Jan-2026 rates'!$E:$F,2,0)))</f>
        <v>0</v>
      </c>
      <c r="DH48" s="409"/>
      <c r="DI48" s="398">
        <f>IF(DH48=0,0,IF(LEN(CT48)=11,_xlfn.XLOOKUP(CT48,'Dispensed Ink Rates'!C:C,'Dispensed Ink Rates'!CS:CS),VLOOKUP(CT48,'Jan-2026 rates'!$E:$F,2,0)))</f>
        <v>0</v>
      </c>
      <c r="DJ48" s="409"/>
      <c r="DK48" s="398">
        <f>IF(DJ48=0,0,IF(LEN(CU48)=11,_xlfn.XLOOKUP(CU48,'Dispensed Ink Rates'!C:C,'Dispensed Ink Rates'!CS:CS),VLOOKUP(CU48,'Jan-2026 rates'!$E:$F,2,0)))</f>
        <v>0</v>
      </c>
      <c r="DL48" s="409" t="s">
        <v>1443</v>
      </c>
      <c r="DM48" s="409">
        <v>23</v>
      </c>
      <c r="DN48" s="411">
        <f t="shared" si="9"/>
        <v>0</v>
      </c>
      <c r="DO48" s="411">
        <f t="shared" si="10"/>
        <v>27.4</v>
      </c>
      <c r="DP48" s="410">
        <f t="shared" si="11"/>
        <v>0</v>
      </c>
      <c r="DQ48" s="405" t="s">
        <v>543</v>
      </c>
      <c r="DR48" s="409" t="s">
        <v>2829</v>
      </c>
      <c r="DS48" s="420" t="str">
        <f t="shared" si="12"/>
        <v>FLINTSL - BLACK</v>
      </c>
      <c r="DT48" s="409">
        <v>21</v>
      </c>
      <c r="DU48" s="411">
        <f>IF(DT48=0,0,IF($LB48=70%,VLOOKUP($DS48,'Jan-2026 rates'!$L:$R,4,0),IF($LB48=65%,VLOOKUP($DS48,'Jan-2026 rates'!$L:$R,4,0),IF($LB48=40%,VLOOKUP($DS48,'Jan-2026 rates'!$L:$R,5,0),IF($LB48=30%,VLOOKUP($DS48,'Jan-2026 rates'!$L:$R,6,0),IF($LB48=100%,VLOOKUP($DS48,'Jan-2026 rates'!$L:$R,7,0),IF($LB48=60%,VLOOKUP($DS48,'Jan-2026 rates'!$L:$S,8,0),IF($LB48=80%,VLOOKUP($DS48,'Jan-2026 rates'!L:T,9,0),0))))))))</f>
        <v>0</v>
      </c>
      <c r="DV48" s="412"/>
      <c r="DW48" s="409"/>
      <c r="DX48" s="411">
        <f>IF(DW48=0,0,IF($LB48=70%,VLOOKUP($DS48,'Jan-2026 rates'!$L:$R,4,0),IF($LB48=65%,VLOOKUP($DS48,'Jan-2026 rates'!$L:$R,4,0),IF($LB48=40%,VLOOKUP($DS48,'Jan-2026 rates'!$L:$R,5,0),IF($LB48=30%,VLOOKUP($DS48,'Jan-2026 rates'!$L:$R,6,0),IF($LB48=100%,VLOOKUP($DS48,'Jan-2026 rates'!$L:$R,7,0),IF($LB48=60%,VLOOKUP($DS48,'Jan-2026 rates'!$L:$S,8,0),IF($LB48=80%,VLOOKUP($DS48,'Jan-2026 rates'!L:T,9,0),0))))))))</f>
        <v>0</v>
      </c>
      <c r="DY48" s="413">
        <v>25863000024</v>
      </c>
      <c r="DZ48" s="413"/>
      <c r="EA48" s="412"/>
      <c r="EB48" s="412"/>
      <c r="EC48" s="412"/>
      <c r="ED48" s="412"/>
      <c r="EE48" s="412"/>
      <c r="EF48" s="412"/>
      <c r="EG48" s="409">
        <v>0.5</v>
      </c>
      <c r="EH48" s="398" t="e">
        <f>IF(EG48=0,0,IF(LEN(DY48)=11,_xlfn.XLOOKUP(DY48,'Dispensed Ink Rates'!C:C,'Dispensed Ink Rates'!CS:CS),VLOOKUP(DY48,'Jan-2026 rates'!$E:$F,2,0)))</f>
        <v>#N/A</v>
      </c>
      <c r="EI48" s="409"/>
      <c r="EJ48" s="398">
        <f>IF(EI48=0,0,IF(LEN(DZ48)=11,_xlfn.XLOOKUP(DZ48,'Dispensed Ink Rates'!C:C,'Dispensed Ink Rates'!CS:CS),VLOOKUP(DZ48,'Jan-2026 rates'!$E:$F,2,0)))</f>
        <v>0</v>
      </c>
      <c r="EK48" s="409"/>
      <c r="EL48" s="398">
        <f>IF(EK48=0,0,IF(LEN(EA48)=11,_xlfn.XLOOKUP(EA48,'Dispensed Ink Rates'!C:C,'Dispensed Ink Rates'!CS:CS),VLOOKUP(EA48,'Jan-2026 rates'!$E:$F,2,0)))</f>
        <v>0</v>
      </c>
      <c r="EM48" s="409"/>
      <c r="EN48" s="398">
        <f>IF(EM48=0,0,IF(LEN(EB48)=11,_xlfn.XLOOKUP(EB48,'Dispensed Ink Rates'!C:C,'Dispensed Ink Rates'!CS:CS),VLOOKUP(EB48,'Jan-2026 rates'!$E:$F,2,0)))</f>
        <v>0</v>
      </c>
      <c r="EO48" s="409"/>
      <c r="EP48" s="398">
        <f>IF(EO48=0,0,IF(LEN(EC48)=11,_xlfn.XLOOKUP(EC48,'Dispensed Ink Rates'!C:C,'Dispensed Ink Rates'!CS:CS),VLOOKUP(EC48,'Jan-2026 rates'!$E:$F,2,0)))</f>
        <v>0</v>
      </c>
      <c r="EQ48" s="409"/>
      <c r="ER48" s="398">
        <f>IF(EQ48=0,0,IF(LEN(ED48)=11,_xlfn.XLOOKUP(ED48,'Dispensed Ink Rates'!C:C,'Dispensed Ink Rates'!CS:CS),VLOOKUP(ED48,'Jan-2026 rates'!$E:$F,2,0)))</f>
        <v>0</v>
      </c>
      <c r="ES48" s="409"/>
      <c r="ET48" s="398">
        <f>IF(ES48=0,0,IF(LEN(EE48)=11,_xlfn.XLOOKUP(EE48,'Dispensed Ink Rates'!C:C,'Dispensed Ink Rates'!CS:CS),VLOOKUP(EE48,'Jan-2026 rates'!$E:$F,2,0)))</f>
        <v>0</v>
      </c>
      <c r="EU48" s="409"/>
      <c r="EV48" s="398">
        <f>IF(EU48=0,0,IF(LEN(EF48)=11,_xlfn.XLOOKUP(EF48,'Dispensed Ink Rates'!C:C,'Dispensed Ink Rates'!CS:CS),VLOOKUP(EF48,'Jan-2026 rates'!$E:$F,2,0)))</f>
        <v>0</v>
      </c>
      <c r="EW48" s="409" t="s">
        <v>1443</v>
      </c>
      <c r="EX48" s="409">
        <v>20</v>
      </c>
      <c r="EY48" s="411">
        <f t="shared" si="13"/>
        <v>0</v>
      </c>
      <c r="EZ48" s="411">
        <f t="shared" si="14"/>
        <v>15.899999999999999</v>
      </c>
      <c r="FA48" s="410">
        <f t="shared" si="15"/>
        <v>0</v>
      </c>
      <c r="FB48" s="405" t="s">
        <v>543</v>
      </c>
      <c r="FC48" s="409"/>
      <c r="FD48" s="420" t="str">
        <f t="shared" si="16"/>
        <v>FLINTSL - BLACK</v>
      </c>
      <c r="FE48" s="409"/>
      <c r="FF48" s="411">
        <f>IF(FE48=0,0,IF($LB48=70%,VLOOKUP($FD48,'Jan-2026 rates'!$L:$R,4,0),IF($LB48=65%,VLOOKUP($FD48,'Jan-2026 rates'!$L:$R,4,0),IF($LB48=40%,VLOOKUP($FD48,'Jan-2026 rates'!$L:$R,5,0),IF($LB48=30%,VLOOKUP($FD48,'Jan-2026 rates'!$L:$R,6,0),IF($LB48=100%,VLOOKUP($FD48,'Jan-2026 rates'!$L:$R,7,0),IF($LB48=60%,VLOOKUP($FD48,'Jan-2026 rates'!$L:$S,8,0),IF($LB48=80%,VLOOKUP($FD48,'Jan-2026 rates'!L:T,9,0),0))))))))</f>
        <v>0</v>
      </c>
      <c r="FG48" s="412"/>
      <c r="FH48" s="409"/>
      <c r="FI48" s="411">
        <f>IF(FH48=0,0,IF($LB48=70%,VLOOKUP($FD48,'Jan-2026 rates'!$L:$R,4,0),IF($LB48=65%,VLOOKUP($FD48,'Jan-2026 rates'!$L:$R,4,0),IF($LB48=40%,VLOOKUP($FD48,'Jan-2026 rates'!$L:$R,5,0),IF($LB48=30%,VLOOKUP($FD48,'Jan-2026 rates'!$L:$R,6,0),IF($LB48=100%,VLOOKUP($FD48,'Jan-2026 rates'!$L:$R,7,0),IF($LB48=60%,VLOOKUP($FD48,'Jan-2026 rates'!$L:$S,8,0),IF($LB48=80%,VLOOKUP($FD48,'Jan-2026 rates'!L:T,9,0),0))))))))</f>
        <v>0</v>
      </c>
      <c r="FJ48" s="413">
        <v>26503000001</v>
      </c>
      <c r="FK48" s="413">
        <v>26502000004</v>
      </c>
      <c r="FL48" s="413">
        <v>25862000007</v>
      </c>
      <c r="FM48" s="412"/>
      <c r="FN48" s="412"/>
      <c r="FO48" s="412"/>
      <c r="FP48" s="412"/>
      <c r="FQ48" s="412"/>
      <c r="FR48" s="409">
        <v>40</v>
      </c>
      <c r="FS48" s="398" t="e">
        <f>IF(FR48=0,0,IF(LEN(FJ48)=11,_xlfn.XLOOKUP(FJ48,'Dispensed Ink Rates'!C:C,'Dispensed Ink Rates'!CS:CS),VLOOKUP(FJ48,'Jan-2026 rates'!$E:$F,2,0)))</f>
        <v>#N/A</v>
      </c>
      <c r="FT48" s="409">
        <v>40</v>
      </c>
      <c r="FU48" s="398" t="e">
        <f>IF(FT48=0,0,IF(LEN(FK48)=11,_xlfn.XLOOKUP(FK48,'Dispensed Ink Rates'!C:C,'Dispensed Ink Rates'!CS:CS),VLOOKUP(FK48,'Jan-2026 rates'!$E:$F,2,0)))</f>
        <v>#N/A</v>
      </c>
      <c r="FV48" s="409">
        <v>2</v>
      </c>
      <c r="FW48" s="398" t="e">
        <f>IF(FV48=0,0,IF(LEN(FL48)=11,_xlfn.XLOOKUP(FL48,'Dispensed Ink Rates'!C:C,'Dispensed Ink Rates'!CS:CS),VLOOKUP(FL48,'Jan-2026 rates'!$E:$F,2,0)))</f>
        <v>#N/A</v>
      </c>
      <c r="FX48" s="409"/>
      <c r="FY48" s="398">
        <f>IF(FX48=0,0,IF(LEN(FM48)=11,_xlfn.XLOOKUP(FM48,'Dispensed Ink Rates'!C:C,'Dispensed Ink Rates'!CS:CS),VLOOKUP(FM48,'Jan-2026 rates'!$E:$F,2,0)))</f>
        <v>0</v>
      </c>
      <c r="FZ48" s="409"/>
      <c r="GA48" s="398">
        <f>IF(FZ48=0,0,IF(LEN(FN48)=11,_xlfn.XLOOKUP(FN48,'Dispensed Ink Rates'!C:C,'Dispensed Ink Rates'!CS:CS),VLOOKUP(FN48,'Jan-2026 rates'!$E:$F,2,0)))</f>
        <v>0</v>
      </c>
      <c r="GB48" s="409"/>
      <c r="GC48" s="398">
        <f>IF(GB48=0,0,IF(LEN(FO48)=11,_xlfn.XLOOKUP(FO48,'Dispensed Ink Rates'!C:C,'Dispensed Ink Rates'!CS:CS),VLOOKUP(FO48,'Jan-2026 rates'!$E:$F,2,0)))</f>
        <v>0</v>
      </c>
      <c r="GD48" s="409"/>
      <c r="GE48" s="398">
        <f>IF(GD48=0,0,IF(LEN(FP48)=11,_xlfn.XLOOKUP(FP48,'Dispensed Ink Rates'!C:C,'Dispensed Ink Rates'!CS:CS),VLOOKUP(FP48,'Jan-2026 rates'!$E:$F,2,0)))</f>
        <v>0</v>
      </c>
      <c r="GF48" s="409"/>
      <c r="GG48" s="398">
        <f>IF(GF48=0,0,IF(LEN(FQ48)=11,_xlfn.XLOOKUP(FQ48,'Dispensed Ink Rates'!C:C,'Dispensed Ink Rates'!CS:CS),VLOOKUP(FQ48,'Jan-2026 rates'!$E:$F,2,0)))</f>
        <v>0</v>
      </c>
      <c r="GH48" s="409" t="s">
        <v>1443</v>
      </c>
      <c r="GI48" s="409">
        <v>20</v>
      </c>
      <c r="GJ48" s="411">
        <f t="shared" si="17"/>
        <v>0</v>
      </c>
      <c r="GK48" s="411">
        <f t="shared" si="18"/>
        <v>95.6</v>
      </c>
      <c r="GL48" s="410">
        <f t="shared" si="19"/>
        <v>0</v>
      </c>
      <c r="GM48" s="405" t="s">
        <v>855</v>
      </c>
      <c r="GN48" s="409" t="s">
        <v>2831</v>
      </c>
      <c r="GO48" s="420" t="str">
        <f t="shared" si="20"/>
        <v>FLINTSL - CYAN</v>
      </c>
      <c r="GP48" s="409">
        <v>24</v>
      </c>
      <c r="GQ48" s="411">
        <f>IF(GP48=0,0,IF($LB48=70%,VLOOKUP($GO48,'Jan-2026 rates'!$L:$R,4,0),IF($LB48=65%,VLOOKUP($GO48,'Jan-2026 rates'!$L:$R,4,0),IF($LB48=40%,VLOOKUP($GO48,'Jan-2026 rates'!$L:$R,5,0),IF($LB48=30%,VLOOKUP($GO48,'Jan-2026 rates'!$L:$R,6,0),IF($LB48=100%,VLOOKUP($GO48,'Jan-2026 rates'!$L:$R,7,0),IF($LB48=60%,VLOOKUP($GO48,'Jan-2026 rates'!$L:$S,8,0),IF($LB48=80%,VLOOKUP($GO48,'Jan-2026 rates'!L:T,9,0),0))))))))</f>
        <v>0</v>
      </c>
      <c r="GR48" s="412"/>
      <c r="GS48" s="409"/>
      <c r="GT48" s="411">
        <f>IF(GS48=0,0,IF($LB48=70%,VLOOKUP($GO48,'Jan-2026 rates'!$L:$R,4,0),IF($LB48=65%,VLOOKUP($GO48,'Jan-2026 rates'!$L:$R,4,0),IF($LB48=40%,VLOOKUP($GO48,'Jan-2026 rates'!$L:$R,5,0),IF($LB48=30%,VLOOKUP($GO48,'Jan-2026 rates'!$L:$R,6,0),IF($LB48=100%,VLOOKUP($GO48,'Jan-2026 rates'!$L:$R,7,0),IF($LB48=60%,VLOOKUP($GO48,'Jan-2026 rates'!$L:$S,8,0),IF($LB48=80%,VLOOKUP($GO48,'Jan-2026 rates'!L:T,9,0),0))))))))</f>
        <v>0</v>
      </c>
      <c r="GU48" s="413">
        <v>25863000002</v>
      </c>
      <c r="GV48" s="413"/>
      <c r="GW48" s="412"/>
      <c r="GX48" s="412"/>
      <c r="GY48" s="412"/>
      <c r="GZ48" s="412"/>
      <c r="HA48" s="412"/>
      <c r="HB48" s="412"/>
      <c r="HC48" s="409">
        <v>1</v>
      </c>
      <c r="HD48" s="398" t="e">
        <f>IF(HC48=0,0,IF(LEN(GU48)=11,_xlfn.XLOOKUP(GU48,'Dispensed Ink Rates'!C:C,'Dispensed Ink Rates'!CS:CS),VLOOKUP(GU48,'Jan-2026 rates'!$E:$F,2,0)))</f>
        <v>#N/A</v>
      </c>
      <c r="HE48" s="409"/>
      <c r="HF48" s="398">
        <f>IF(HE48=0,0,IF(LEN(GV48)=11,_xlfn.XLOOKUP(GV48,'Dispensed Ink Rates'!C:C,'Dispensed Ink Rates'!CS:CS),VLOOKUP(GV48,'Jan-2026 rates'!$E:$F,2,0)))</f>
        <v>0</v>
      </c>
      <c r="HG48" s="409"/>
      <c r="HH48" s="398">
        <f>IF(HG48=0,0,IF(LEN(GW48)=11,_xlfn.XLOOKUP(GW48,'Dispensed Ink Rates'!C:C,'Dispensed Ink Rates'!CS:CS),VLOOKUP(GW48,'Jan-2026 rates'!$E:$F,2,0)))</f>
        <v>0</v>
      </c>
      <c r="HI48" s="409"/>
      <c r="HJ48" s="398">
        <f>IF(HI48=0,0,IF(LEN(GX48)=11,_xlfn.XLOOKUP(GX48,'Dispensed Ink Rates'!C:C,'Dispensed Ink Rates'!CS:CS),VLOOKUP(GX48,'Jan-2026 rates'!$E:$F,2,0)))</f>
        <v>0</v>
      </c>
      <c r="HK48" s="409"/>
      <c r="HL48" s="398">
        <f>IF(HK48=0,0,IF(LEN(GY48)=11,_xlfn.XLOOKUP(GY48,'Dispensed Ink Rates'!C:C,'Dispensed Ink Rates'!CS:CS),VLOOKUP(GY48,'Jan-2026 rates'!$E:$F,2,0)))</f>
        <v>0</v>
      </c>
      <c r="HM48" s="409"/>
      <c r="HN48" s="398">
        <f>IF(HM48=0,0,IF(LEN(GZ48)=11,_xlfn.XLOOKUP(GZ48,'Dispensed Ink Rates'!C:C,'Dispensed Ink Rates'!CS:CS),VLOOKUP(GZ48,'Jan-2026 rates'!$E:$F,2,0)))</f>
        <v>0</v>
      </c>
      <c r="HO48" s="409"/>
      <c r="HP48" s="398">
        <f>IF(HO48=0,0,IF(LEN(HA48)=11,_xlfn.XLOOKUP(HA48,'Dispensed Ink Rates'!C:C,'Dispensed Ink Rates'!CS:CS),VLOOKUP(HA48,'Jan-2026 rates'!$E:$F,2,0)))</f>
        <v>0</v>
      </c>
      <c r="HQ48" s="409"/>
      <c r="HR48" s="398">
        <f>IF(HQ48=0,0,IF(LEN(HB48)=11,_xlfn.XLOOKUP(HB48,'Dispensed Ink Rates'!C:C,'Dispensed Ink Rates'!CS:CS),VLOOKUP(HB48,'Jan-2026 rates'!$E:$F,2,0)))</f>
        <v>0</v>
      </c>
      <c r="HS48" s="409" t="s">
        <v>1443</v>
      </c>
      <c r="HT48" s="409">
        <v>22</v>
      </c>
      <c r="HU48" s="411">
        <f t="shared" si="21"/>
        <v>0</v>
      </c>
      <c r="HV48" s="411">
        <f t="shared" si="22"/>
        <v>12.600000000000001</v>
      </c>
      <c r="HW48" s="414">
        <f t="shared" si="23"/>
        <v>0</v>
      </c>
      <c r="HX48" s="405" t="s">
        <v>544</v>
      </c>
      <c r="HY48" s="409" t="s">
        <v>2832</v>
      </c>
      <c r="HZ48" s="420" t="str">
        <f t="shared" si="24"/>
        <v>FLINTSL - MAGENTA</v>
      </c>
      <c r="IA48" s="409">
        <v>26</v>
      </c>
      <c r="IB48" s="411">
        <f>IF(IA48=0,0,IF($LB48=70%,VLOOKUP($HZ48,'Jan-2026 rates'!$L:$R,4,0),IF($LB48=65%,VLOOKUP($HZ48,'Jan-2026 rates'!$L:$R,4,0),IF($LB48=40%,VLOOKUP($HZ48,'Jan-2026 rates'!$L:$R,5,0),IF($LB48=30%,VLOOKUP($HZ48,'Jan-2026 rates'!$L:$R,6,0),IF($LB48=100%,VLOOKUP($HZ48,'Jan-2026 rates'!$L:$R,7,0),IF($LB48=60%,VLOOKUP($HZ48,'Jan-2026 rates'!$L:$S,8,0),IF($LB48=80%,VLOOKUP($HZ48,'Jan-2026 rates'!L:T,9,0),0))))))))</f>
        <v>0</v>
      </c>
      <c r="IC48" s="412"/>
      <c r="ID48" s="409"/>
      <c r="IE48" s="411">
        <f>IF(ID48=0,0,IF($LB48=70%,VLOOKUP($HZ48,'Jan-2026 rates'!$L:$R,4,0),IF($LB48=65%,VLOOKUP($HZ48,'Jan-2026 rates'!$L:$R,4,0),IF($LB48=40%,VLOOKUP($HZ48,'Jan-2026 rates'!$L:$R,5,0),IF($LB48=30%,VLOOKUP($HZ48,'Jan-2026 rates'!$L:$R,6,0),IF($LB48=100%,VLOOKUP($HZ48,'Jan-2026 rates'!$L:$R,7,0),IF($LB48=60%,VLOOKUP($HZ48,'Jan-2026 rates'!$L:$S,8,0),IF($LB48=80%,VLOOKUP($HZ48,'Jan-2026 rates'!L:T,9,0),0))))))))</f>
        <v>0</v>
      </c>
      <c r="IF48" s="412">
        <v>25862000007</v>
      </c>
      <c r="IG48" s="413"/>
      <c r="IH48" s="412"/>
      <c r="II48" s="412"/>
      <c r="IJ48" s="412"/>
      <c r="IK48" s="412"/>
      <c r="IL48" s="412"/>
      <c r="IM48" s="412"/>
      <c r="IN48" s="409">
        <v>2</v>
      </c>
      <c r="IO48" s="398" t="e">
        <f>IF(IN48=0,0,IF(LEN(IF48)=11,_xlfn.XLOOKUP(IF48,'Dispensed Ink Rates'!C:C,'Dispensed Ink Rates'!CS:CS),VLOOKUP(IF48,'Jan-2026 rates'!$E:$F,2,0)))</f>
        <v>#N/A</v>
      </c>
      <c r="IP48" s="409"/>
      <c r="IQ48" s="398">
        <f>IF(IP48=0,0,IF(LEN(IG48)=11,_xlfn.XLOOKUP(IG48,'Dispensed Ink Rates'!C:C,'Dispensed Ink Rates'!CS:CS),VLOOKUP(IG48,'Jan-2026 rates'!$E:$F,2,0)))</f>
        <v>0</v>
      </c>
      <c r="IR48" s="409"/>
      <c r="IS48" s="398">
        <f>IF(IR48=0,0,IF(LEN(IH48)=11,_xlfn.XLOOKUP(IH48,'Dispensed Ink Rates'!C:C,'Dispensed Ink Rates'!CS:CS),VLOOKUP(IH48,'Jan-2026 rates'!$E:$F,2,0)))</f>
        <v>0</v>
      </c>
      <c r="IT48" s="409"/>
      <c r="IU48" s="398">
        <f>IF(IT48=0,0,IF(LEN(II48)=11,_xlfn.XLOOKUP(II48,'Dispensed Ink Rates'!C:C,'Dispensed Ink Rates'!CS:CS),VLOOKUP(II48,'Jan-2026 rates'!$E:$F,2,0)))</f>
        <v>0</v>
      </c>
      <c r="IV48" s="409"/>
      <c r="IW48" s="398">
        <f>IF(IV48=0,0,IF(LEN(IJ48)=11,_xlfn.XLOOKUP(IJ48,'Dispensed Ink Rates'!C:C,'Dispensed Ink Rates'!CS:CS),VLOOKUP(IJ48,'Jan-2026 rates'!$E:$F,2,0)))</f>
        <v>0</v>
      </c>
      <c r="IX48" s="409"/>
      <c r="IY48" s="398">
        <f>IF(IX48=0,0,IF(LEN(IK48)=11,_xlfn.XLOOKUP(IK48,'Dispensed Ink Rates'!C:C,'Dispensed Ink Rates'!CS:CS),VLOOKUP(IK48,'Jan-2026 rates'!$E:$F,2,0)))</f>
        <v>0</v>
      </c>
      <c r="IZ48" s="409"/>
      <c r="JA48" s="398">
        <f>IF(IZ48=0,0,IF(LEN(IL48)=11,_xlfn.XLOOKUP(IL48,'Dispensed Ink Rates'!C:C,'Dispensed Ink Rates'!CS:CS),VLOOKUP(IL48,'Jan-2026 rates'!$E:$F,2,0)))</f>
        <v>0</v>
      </c>
      <c r="JB48" s="409"/>
      <c r="JC48" s="398">
        <f>IF(JB48=0,0,IF(LEN(IM48)=11,_xlfn.XLOOKUP(IM48,'Dispensed Ink Rates'!C:C,'Dispensed Ink Rates'!CS:CS),VLOOKUP(IM48,'Jan-2026 rates'!$E:$F,2,0)))</f>
        <v>0</v>
      </c>
      <c r="JD48" s="409" t="s">
        <v>1443</v>
      </c>
      <c r="JE48" s="409">
        <v>24</v>
      </c>
      <c r="JF48" s="411">
        <f t="shared" si="25"/>
        <v>0</v>
      </c>
      <c r="JG48" s="411">
        <f t="shared" si="26"/>
        <v>8.7999999999999972</v>
      </c>
      <c r="JH48" s="410">
        <f t="shared" si="27"/>
        <v>0</v>
      </c>
      <c r="JI48" s="405" t="s">
        <v>545</v>
      </c>
      <c r="JJ48" s="409" t="s">
        <v>2833</v>
      </c>
      <c r="JK48" s="420" t="str">
        <f t="shared" si="28"/>
        <v>FLINTSL - YELLOW</v>
      </c>
      <c r="JL48" s="409">
        <v>25</v>
      </c>
      <c r="JM48" s="411">
        <f>IF(JL48=0,0,IF($LB48=70%,VLOOKUP($JK48,'Jan-2026 rates'!$L:$R,4,0),IF($LB48=65%,VLOOKUP($JK48,'Jan-2026 rates'!$L:$R,4,0),IF($LB48=40%,VLOOKUP($JK48,'Jan-2026 rates'!$L:$R,5,0),IF($LB48=30%,VLOOKUP($JK48,'Jan-2026 rates'!$L:$R,6,0),IF($LB48=100%,VLOOKUP($JK48,'Jan-2026 rates'!$L:$R,7,0),IF($LB48=60%,VLOOKUP($JK48,'Jan-2026 rates'!$L:$S,8,0),IF($LB48=80%,VLOOKUP($JK48,'Jan-2026 rates'!L:T,9,0),0))))))))</f>
        <v>0</v>
      </c>
      <c r="JN48" s="412"/>
      <c r="JO48" s="409"/>
      <c r="JP48" s="411">
        <f>IF(JO48=0,0,IF($LB48=70%,VLOOKUP($JK48,'Jan-2026 rates'!$L:$R,4,0),IF($LB48=65%,VLOOKUP($JK48,'Jan-2026 rates'!$L:$R,4,0),IF($LB48=40%,VLOOKUP($JK48,'Jan-2026 rates'!$L:$R,5,0),IF($LB48=30%,VLOOKUP($JK48,'Jan-2026 rates'!$L:$R,6,0),IF($LB48=100%,VLOOKUP($JK48,'Jan-2026 rates'!$L:$R,7,0),IF($LB48=60%,VLOOKUP($JK48,'Jan-2026 rates'!$L:$S,8,0),IF($LB48=80%,VLOOKUP($JK48,'Jan-2026 rates'!L:T,9,0),0))))))))</f>
        <v>0</v>
      </c>
      <c r="JQ48" s="413">
        <v>25864000008</v>
      </c>
      <c r="JR48" s="412"/>
      <c r="JS48" s="413"/>
      <c r="JT48" s="413"/>
      <c r="JU48" s="412"/>
      <c r="JV48" s="412"/>
      <c r="JW48" s="412"/>
      <c r="JX48" s="412"/>
      <c r="JY48" s="409">
        <v>3</v>
      </c>
      <c r="JZ48" s="398" t="e">
        <f>IF(JY48=0,0,IF(LEN(JQ48)=11,_xlfn.XLOOKUP(JQ48,'Dispensed Ink Rates'!C:C,'Dispensed Ink Rates'!CS:CS),VLOOKUP(JQ48,'Jan-2026 rates'!$E:$F,2,0)))</f>
        <v>#N/A</v>
      </c>
      <c r="KA48" s="409"/>
      <c r="KB48" s="398">
        <f>IF(KA48=0,0,IF(LEN(JR48)=11,_xlfn.XLOOKUP(JR48,'Dispensed Ink Rates'!C:C,'Dispensed Ink Rates'!CS:CS),VLOOKUP(JR48,'Jan-2026 rates'!$E:$F,2,0)))</f>
        <v>0</v>
      </c>
      <c r="KC48" s="409"/>
      <c r="KD48" s="398">
        <f>IF(KC48=0,0,IF(LEN(JS48)=11,_xlfn.XLOOKUP(JS48,'Dispensed Ink Rates'!C:C,'Dispensed Ink Rates'!CS:CS),VLOOKUP(JS48,'Jan-2026 rates'!$E:$F,2,0)))</f>
        <v>0</v>
      </c>
      <c r="KE48" s="409"/>
      <c r="KF48" s="398">
        <f>IF(KE48=0,0,IF(LEN(JT48)=11,_xlfn.XLOOKUP(JT48,'Dispensed Ink Rates'!C:C,'Dispensed Ink Rates'!CS:CS),VLOOKUP(JT48,'Jan-2026 rates'!$E:$F,2,0)))</f>
        <v>0</v>
      </c>
      <c r="KG48" s="409"/>
      <c r="KH48" s="398">
        <f>IF(KG48=0,0,IF(LEN(JU48)=11,_xlfn.XLOOKUP(JU48,'Dispensed Ink Rates'!C:C,'Dispensed Ink Rates'!CS:CS),VLOOKUP(JU48,'Jan-2026 rates'!$E:$F,2,0)))</f>
        <v>0</v>
      </c>
      <c r="KI48" s="409"/>
      <c r="KJ48" s="398">
        <f>IF(KI48=0,0,IF(LEN(JV48)=11,_xlfn.XLOOKUP(JV48,'Dispensed Ink Rates'!C:C,'Dispensed Ink Rates'!CS:CS),VLOOKUP(JV48,'Jan-2026 rates'!$E:$F,2,0)))</f>
        <v>0</v>
      </c>
      <c r="KK48" s="409"/>
      <c r="KL48" s="398">
        <f>IF(KK48=0,0,IF(LEN(JW48)=11,_xlfn.XLOOKUP(JW48,'Dispensed Ink Rates'!C:C,'Dispensed Ink Rates'!CS:CS),VLOOKUP(JW48,'Jan-2026 rates'!$E:$F,2,0)))</f>
        <v>0</v>
      </c>
      <c r="KM48" s="428"/>
      <c r="KN48" s="398">
        <f>IF(KM48=0,0,IF(LEN(JX48)=11,_xlfn.XLOOKUP(JX48,'Dispensed Ink Rates'!C:C,'Dispensed Ink Rates'!CS:CS),VLOOKUP(JX48,'Jan-2026 rates'!$E:$F,2,0)))</f>
        <v>0</v>
      </c>
      <c r="KO48" s="409" t="s">
        <v>1443</v>
      </c>
      <c r="KP48" s="409">
        <v>24</v>
      </c>
      <c r="KQ48" s="411">
        <f t="shared" si="29"/>
        <v>0</v>
      </c>
      <c r="KR48" s="411">
        <f t="shared" si="30"/>
        <v>18.399999999999999</v>
      </c>
      <c r="KS48" s="410">
        <f t="shared" si="31"/>
        <v>0</v>
      </c>
      <c r="KT48" s="409">
        <v>2</v>
      </c>
      <c r="KU48" s="409">
        <v>2</v>
      </c>
      <c r="KV48" s="409">
        <v>5</v>
      </c>
      <c r="KW48" s="409">
        <v>3</v>
      </c>
      <c r="KX48" s="409">
        <v>7</v>
      </c>
      <c r="KY48" s="409">
        <v>2</v>
      </c>
      <c r="KZ48" s="409">
        <v>1</v>
      </c>
      <c r="LA48" s="409">
        <v>3</v>
      </c>
      <c r="LB48" s="415">
        <v>0.8</v>
      </c>
      <c r="LC48" s="415">
        <v>0.2</v>
      </c>
      <c r="LD48" s="415"/>
      <c r="LE48" s="415"/>
      <c r="LF48" s="415"/>
      <c r="LG48" s="409">
        <v>0</v>
      </c>
      <c r="LH48" s="409">
        <f>25+25+56+14</f>
        <v>120</v>
      </c>
      <c r="LI48" s="409">
        <v>0</v>
      </c>
      <c r="LJ48" s="409">
        <v>0</v>
      </c>
      <c r="LK48" s="416">
        <f t="shared" si="32"/>
        <v>120</v>
      </c>
      <c r="LL48" s="416">
        <f t="shared" si="33"/>
        <v>120</v>
      </c>
      <c r="LM48" s="417">
        <f t="shared" si="34"/>
        <v>96</v>
      </c>
      <c r="LN48" s="417">
        <f>VLOOKUP($LM$8,'Jan-2026 rates'!$H:$I,2,0)</f>
        <v>0</v>
      </c>
      <c r="LO48" s="417">
        <f t="shared" si="35"/>
        <v>24</v>
      </c>
      <c r="LP48" s="417">
        <f>VLOOKUP($LO$8,'Jan-2026 rates'!$H:$I,2,0)</f>
        <v>0</v>
      </c>
      <c r="LQ48" s="417">
        <f t="shared" si="36"/>
        <v>0</v>
      </c>
      <c r="LR48" s="417">
        <f>VLOOKUP($LQ$8,'Jan-2026 rates'!$H:$I,2,0)</f>
        <v>0</v>
      </c>
      <c r="LS48" s="417">
        <f t="shared" si="37"/>
        <v>0</v>
      </c>
      <c r="LT48" s="417">
        <f>VLOOKUP($LS$8,'Jan-2026 rates'!$H:$I,2,0)</f>
        <v>0</v>
      </c>
      <c r="LU48" s="417">
        <f t="shared" si="38"/>
        <v>0</v>
      </c>
      <c r="LV48" s="417">
        <f>VLOOKUP($LU$8,'Jan-2026 rates'!$H:$I,2,0)</f>
        <v>0</v>
      </c>
      <c r="LW48" s="417">
        <f t="shared" si="39"/>
        <v>0</v>
      </c>
      <c r="LX48" s="417">
        <f t="shared" si="40"/>
        <v>0</v>
      </c>
      <c r="LY48" s="418">
        <f t="shared" si="41"/>
        <v>0</v>
      </c>
      <c r="LZ48" s="417"/>
      <c r="MA48" s="435">
        <f t="shared" si="42"/>
        <v>92.9</v>
      </c>
      <c r="MB48" s="282">
        <f t="shared" si="43"/>
        <v>204.9</v>
      </c>
      <c r="MC48" s="283">
        <v>3</v>
      </c>
      <c r="MD48" s="284" t="str">
        <f t="shared" si="44"/>
        <v>FLINTSLFLINTSLFLINTSLFLINTSLFLINTSLFLINTSLFLINTSLFLINTSL</v>
      </c>
      <c r="ME48" s="293" t="str">
        <f t="shared" si="45"/>
        <v>+</v>
      </c>
      <c r="MF48" s="293" t="str">
        <f t="shared" si="46"/>
        <v>+</v>
      </c>
      <c r="MG48" s="293" t="str">
        <f t="shared" si="47"/>
        <v>+</v>
      </c>
      <c r="MH48" s="293" t="str">
        <f t="shared" si="48"/>
        <v>+</v>
      </c>
      <c r="MI48" s="293" t="str">
        <f t="shared" si="49"/>
        <v>+</v>
      </c>
      <c r="MJ48" s="293" t="str">
        <f t="shared" si="50"/>
        <v>+</v>
      </c>
      <c r="MK48" s="293" t="str">
        <f t="shared" si="51"/>
        <v>+</v>
      </c>
      <c r="ML48" s="293" t="str">
        <f t="shared" si="52"/>
        <v>+</v>
      </c>
      <c r="MM48" s="3" t="b">
        <f t="array" ref="MM48">OR(ME48:ML48="-")</f>
        <v>0</v>
      </c>
      <c r="MN48" s="285"/>
      <c r="MO48" s="401"/>
      <c r="MP48" s="286"/>
      <c r="MQ48" s="286"/>
      <c r="MR48" s="402"/>
      <c r="MS48" s="400"/>
      <c r="NH48" s="422"/>
      <c r="NJ48" s="421"/>
    </row>
    <row r="49" spans="1:374" s="1" customFormat="1" ht="16.5">
      <c r="A49" s="403">
        <v>46024</v>
      </c>
      <c r="B49" s="404" t="s">
        <v>1018</v>
      </c>
      <c r="C49" s="405" t="s">
        <v>2834</v>
      </c>
      <c r="D49" s="406">
        <v>4</v>
      </c>
      <c r="E49" s="404">
        <v>744</v>
      </c>
      <c r="F49" s="407">
        <v>33900</v>
      </c>
      <c r="G49" s="407" t="s">
        <v>1019</v>
      </c>
      <c r="H49" s="408" t="s">
        <v>1017</v>
      </c>
      <c r="I49" s="409">
        <v>1.65</v>
      </c>
      <c r="J49" s="405" t="s">
        <v>543</v>
      </c>
      <c r="K49" s="404" t="s">
        <v>2835</v>
      </c>
      <c r="L49" s="419" t="str">
        <f t="shared" si="0"/>
        <v>FLINTSL - BLACK</v>
      </c>
      <c r="M49" s="404">
        <v>25</v>
      </c>
      <c r="N49" s="410">
        <f>IF(M49=0,0,IF($LB49=70%,VLOOKUP($L49,'Jan-2026 rates'!$L:$R,4,0),IF($LB49=65%,VLOOKUP($L49,'Jan-2026 rates'!$L:$R,4,0),IF($LB49=40%,VLOOKUP($L49,'Jan-2026 rates'!$L:$R,5,0),IF($LB49=30%,VLOOKUP($L49,'Jan-2026 rates'!$L:$R,6,0),IF($LB49=100%,VLOOKUP($L49,'Jan-2026 rates'!$L:$R,7,0),IF($LB49=60%,VLOOKUP($L49,'Jan-2026 rates'!$L:$S,8,0),IF($LB49=80%,VLOOKUP($L49,'Jan-2026 rates'!L:T,9,0),0))))))))</f>
        <v>0</v>
      </c>
      <c r="O49" s="406"/>
      <c r="P49" s="404"/>
      <c r="Q49" s="410">
        <f>IF(P49=0,0,IF($LB49=70%,VLOOKUP($L49,'Jan-2026 rates'!$L:$R,4,0),IF($LB49=65%,VLOOKUP($L49,'Jan-2026 rates'!$L:$R,4,0),IF($LB49=40%,VLOOKUP($L49,'Jan-2026 rates'!$L:$R,5,0),IF($LB49=30%,VLOOKUP($L49,'Jan-2026 rates'!$L:$R,6,0),IF($LB49=100%,VLOOKUP($L49,'Jan-2026 rates'!$L:$R,7,0),IF($LB49=60%,VLOOKUP($L49,'Jan-2026 rates'!$L:$S,8,0),IF($LB49=80%,VLOOKUP($L49,'Jan-2026 rates'!L:T,9,0),0))))))))</f>
        <v>0</v>
      </c>
      <c r="R49" s="406">
        <v>25862000007</v>
      </c>
      <c r="S49" s="406"/>
      <c r="T49" s="406"/>
      <c r="U49" s="406"/>
      <c r="V49" s="406"/>
      <c r="W49" s="406"/>
      <c r="X49" s="406"/>
      <c r="Y49" s="406"/>
      <c r="Z49" s="404">
        <v>13</v>
      </c>
      <c r="AA49" s="398" t="e">
        <f>IF(Z49=0,0,IF(LEN(R49)=11,_xlfn.XLOOKUP(R49,'Dispensed Ink Rates'!C:C,'Dispensed Ink Rates'!CS:CS),VLOOKUP(R49,'Jan-2026 rates'!$E:$F,2,0)))</f>
        <v>#N/A</v>
      </c>
      <c r="AB49" s="404"/>
      <c r="AC49" s="398">
        <f>IF(AB49=0,0,IF(LEN(S49)=11,_xlfn.XLOOKUP(S49,'Dispensed Ink Rates'!C:C,'Dispensed Ink Rates'!CS:CS),VLOOKUP(S49,'Jan-2026 rates'!$E:$F,2,0)))</f>
        <v>0</v>
      </c>
      <c r="AD49" s="404"/>
      <c r="AE49" s="398">
        <f>IF(AD49=0,0,IF(LEN(T49)=11,_xlfn.XLOOKUP(T49,'Dispensed Ink Rates'!C:C,'Dispensed Ink Rates'!CS:CS),VLOOKUP(T49,'Jan-2026 rates'!$E:$F,2,0)))</f>
        <v>0</v>
      </c>
      <c r="AF49" s="404"/>
      <c r="AG49" s="398">
        <f>IF(AF49=0,0,IF(LEN(U49)=11,_xlfn.XLOOKUP(U49,'Dispensed Ink Rates'!C:C,'Dispensed Ink Rates'!CS:CS),VLOOKUP(U49,'Jan-2026 rates'!$E:$F,2,0)))</f>
        <v>0</v>
      </c>
      <c r="AH49" s="404"/>
      <c r="AI49" s="398">
        <f>IF(AH49=0,0,IF(LEN(V49)=11,_xlfn.XLOOKUP(V49,'Dispensed Ink Rates'!C:C,'Dispensed Ink Rates'!CS:CS),VLOOKUP(V49,'Jan-2026 rates'!$E:$F,2,0)))</f>
        <v>0</v>
      </c>
      <c r="AJ49" s="404"/>
      <c r="AK49" s="398">
        <f>IF(AJ49=0,0,IF(LEN(W49)=11,_xlfn.XLOOKUP(W49,'Dispensed Ink Rates'!C:C,'Dispensed Ink Rates'!CS:CS),VLOOKUP(W49,'Jan-2026 rates'!$E:$F,2,0)))</f>
        <v>0</v>
      </c>
      <c r="AL49" s="404"/>
      <c r="AM49" s="398">
        <f>IF(AL49=0,0,IF(LEN(X49)=11,_xlfn.XLOOKUP(X49,'Dispensed Ink Rates'!C:C,'Dispensed Ink Rates'!CS:CS),VLOOKUP(X49,'Jan-2026 rates'!$E:$F,2,0)))</f>
        <v>0</v>
      </c>
      <c r="AN49" s="404"/>
      <c r="AO49" s="398">
        <f>IF(AN49=0,0,IF(LEN(Y49)=11,_xlfn.XLOOKUP(Y49,'Dispensed Ink Rates'!C:C,'Dispensed Ink Rates'!CS:CS),VLOOKUP(Y49,'Jan-2026 rates'!$E:$F,2,0)))</f>
        <v>0</v>
      </c>
      <c r="AP49" s="409" t="s">
        <v>1443</v>
      </c>
      <c r="AQ49" s="409">
        <v>24</v>
      </c>
      <c r="AR49" s="410">
        <f t="shared" si="1"/>
        <v>0</v>
      </c>
      <c r="AS49" s="411">
        <f t="shared" si="2"/>
        <v>21.450000000000003</v>
      </c>
      <c r="AT49" s="410">
        <f t="shared" si="3"/>
        <v>0</v>
      </c>
      <c r="AU49" s="405" t="s">
        <v>543</v>
      </c>
      <c r="AV49" s="409" t="s">
        <v>2835</v>
      </c>
      <c r="AW49" s="420" t="str">
        <f t="shared" si="53"/>
        <v>FLINTSL - BLACK</v>
      </c>
      <c r="AX49" s="409">
        <v>20</v>
      </c>
      <c r="AY49" s="411">
        <f>IF(AX49=0,0,IF($LB49=70%,VLOOKUP($AW49,'Jan-2026 rates'!$L:$R,4,0),IF($LB49=65%,VLOOKUP($AW49,'Jan-2026 rates'!$L:$R,4,0),IF($LB49=40%,VLOOKUP($AW49,'Jan-2026 rates'!$L:$R,5,0),IF($LB49=30%,VLOOKUP($AW49,'Jan-2026 rates'!$L:$R,6,0),IF($LB49=100%,VLOOKUP($AW49,'Jan-2026 rates'!$L:$R,7,0),IF($LB49=60%,VLOOKUP($AW49,'Jan-2026 rates'!$L:$S,8,0),IF($LB49=80%,VLOOKUP($AW49,'Jan-2026 rates'!L:T,9,0),0))))))))</f>
        <v>0</v>
      </c>
      <c r="AZ49" s="412"/>
      <c r="BA49" s="409"/>
      <c r="BB49" s="411">
        <f>IF(BA49=0,0,IF($LB49=70%,VLOOKUP($AW49,'Jan-2026 rates'!$L:$R,4,0),IF($LB49=65%,VLOOKUP($AW49,'Jan-2026 rates'!$L:$R,4,0),IF($LB49=40%,VLOOKUP($AW49,'Jan-2026 rates'!$L:$R,5,0),IF($LB49=30%,VLOOKUP($AW49,'Jan-2026 rates'!$L:$R,6,0),IF($LB49=100%,VLOOKUP($AW49,'Jan-2026 rates'!$L:$R,7,0),IF($LB49=60%,VLOOKUP($AW49,'Jan-2026 rates'!$L:$S,8,0),IF($LB49=80%,VLOOKUP($AW49,'Jan-2026 rates'!L:T,9,0),0))))))))</f>
        <v>0</v>
      </c>
      <c r="BC49" s="413">
        <v>25862000007</v>
      </c>
      <c r="BD49" s="412">
        <v>25863000009</v>
      </c>
      <c r="BE49" s="412">
        <v>25864000008</v>
      </c>
      <c r="BF49" s="413"/>
      <c r="BG49" s="412"/>
      <c r="BH49" s="412"/>
      <c r="BI49" s="412"/>
      <c r="BJ49" s="412"/>
      <c r="BK49" s="409">
        <v>1</v>
      </c>
      <c r="BL49" s="398" t="e">
        <f>IF(BK49=0,0,IF(LEN(BC49)=11,_xlfn.XLOOKUP(BC49,'Dispensed Ink Rates'!C:C,'Dispensed Ink Rates'!CS:CS),VLOOKUP(BC49,'Jan-2026 rates'!$E:$F,2,0)))</f>
        <v>#N/A</v>
      </c>
      <c r="BM49" s="409">
        <v>3</v>
      </c>
      <c r="BN49" s="398" t="e">
        <f>IF(BM49=0,0,IF(LEN(BD49)=11,_xlfn.XLOOKUP(BD49,'Dispensed Ink Rates'!C:C,'Dispensed Ink Rates'!CS:CS),VLOOKUP(BD49,'Jan-2026 rates'!$E:$F,2,0)))</f>
        <v>#N/A</v>
      </c>
      <c r="BO49" s="409">
        <v>4</v>
      </c>
      <c r="BP49" s="398" t="e">
        <f>IF(BO49=0,0,IF(LEN(BE49)=11,_xlfn.XLOOKUP(BE49,'Dispensed Ink Rates'!C:C,'Dispensed Ink Rates'!CS:CS),VLOOKUP(BE49,'Jan-2026 rates'!$E:$F,2,0)))</f>
        <v>#N/A</v>
      </c>
      <c r="BQ49" s="409"/>
      <c r="BR49" s="398">
        <f>IF(BQ49=0,0,IF(LEN(BF49)=11,_xlfn.XLOOKUP(BF49,'Dispensed Ink Rates'!C:C,'Dispensed Ink Rates'!CS:CS),VLOOKUP(BF49,'Jan-2026 rates'!$E:$F,2,0)))</f>
        <v>0</v>
      </c>
      <c r="BS49" s="409"/>
      <c r="BT49" s="398">
        <f>IF(BS49=0,0,IF(LEN(BG49)=11,_xlfn.XLOOKUP(BG49,'Dispensed Ink Rates'!C:C,'Dispensed Ink Rates'!CS:CS),VLOOKUP(BG49,'Jan-2026 rates'!$E:$F,2,0)))</f>
        <v>0</v>
      </c>
      <c r="BU49" s="409"/>
      <c r="BV49" s="398">
        <f>IF(BU49=0,0,IF(LEN(BH49)=11,_xlfn.XLOOKUP(BH49,'Dispensed Ink Rates'!C:C,'Dispensed Ink Rates'!CS:CS),VLOOKUP(BH49,'Jan-2026 rates'!$E:$F,2,0)))</f>
        <v>0</v>
      </c>
      <c r="BW49" s="409"/>
      <c r="BX49" s="398">
        <f>IF(BW49=0,0,IF(LEN(BI49)=11,_xlfn.XLOOKUP(BI49,'Dispensed Ink Rates'!C:C,'Dispensed Ink Rates'!CS:CS),VLOOKUP(BI49,'Jan-2026 rates'!$E:$F,2,0)))</f>
        <v>0</v>
      </c>
      <c r="BY49" s="409"/>
      <c r="BZ49" s="398">
        <f>IF(BY49=0,0,IF(LEN(BJ49)=11,_xlfn.XLOOKUP(BJ49,'Dispensed Ink Rates'!C:C,'Dispensed Ink Rates'!CS:CS),VLOOKUP(BJ49,'Jan-2026 rates'!$E:$F,2,0)))</f>
        <v>0</v>
      </c>
      <c r="CA49" s="409" t="s">
        <v>1443</v>
      </c>
      <c r="CB49" s="409">
        <v>29</v>
      </c>
      <c r="CC49" s="411">
        <f t="shared" si="5"/>
        <v>0</v>
      </c>
      <c r="CD49" s="411">
        <f t="shared" si="6"/>
        <v>11.416666666666664</v>
      </c>
      <c r="CE49" s="410">
        <f t="shared" si="7"/>
        <v>0</v>
      </c>
      <c r="CF49" s="404" t="s">
        <v>829</v>
      </c>
      <c r="CG49" s="409" t="s">
        <v>2378</v>
      </c>
      <c r="CH49" s="420" t="str">
        <f t="shared" si="8"/>
        <v>FLINTSL - MEDIUM</v>
      </c>
      <c r="CI49" s="409">
        <v>10</v>
      </c>
      <c r="CJ49" s="411">
        <f>IF(CI49=0,0,IF($LB49=70%,VLOOKUP($CH49,'Jan-2026 rates'!$L:$R,4,0),IF($LB49=65%,VLOOKUP($CH49,'Jan-2026 rates'!$L:$R,4,0),IF($LB49=40%,VLOOKUP($CH49,'Jan-2026 rates'!$L:$R,5,0),IF($LB49=30%,VLOOKUP($CH49,'Jan-2026 rates'!$L:$R,6,0),IF($LB49=100%,VLOOKUP($CH49,'Jan-2026 rates'!$L:$R,7,0),IF($LB49=60%,VLOOKUP($CH49,'Jan-2026 rates'!$L:$S,8,0),IF($LB49=80%,VLOOKUP($CH49,'Jan-2026 rates'!L:T,9,0),0))))))))</f>
        <v>0</v>
      </c>
      <c r="CK49" s="412" t="s">
        <v>2376</v>
      </c>
      <c r="CL49" s="409">
        <v>30</v>
      </c>
      <c r="CM49" s="411">
        <f>IF(CL49=0,0,IF($LB49=70%,VLOOKUP($CH49,'Jan-2026 rates'!$L:$R,4,0),IF($LB49=65%,VLOOKUP($CH49,'Jan-2026 rates'!$L:$R,4,0),IF($LB49=40%,VLOOKUP($CH49,'Jan-2026 rates'!$L:$R,5,0),IF($LB49=30%,VLOOKUP($CH49,'Jan-2026 rates'!$L:$R,6,0),IF($LB49=100%,VLOOKUP($CH49,'Jan-2026 rates'!$L:$R,7,0),IF($LB49=60%,VLOOKUP($CH49,'Jan-2026 rates'!$L:$S,8,0),IF($LB49=80%,VLOOKUP($CH49,'Jan-2026 rates'!L:T,9,0),0))))))))</f>
        <v>0</v>
      </c>
      <c r="CN49" s="426" t="s">
        <v>484</v>
      </c>
      <c r="CO49" s="427" t="s">
        <v>1266</v>
      </c>
      <c r="CP49" s="426">
        <v>25864000008</v>
      </c>
      <c r="CQ49" s="426"/>
      <c r="CR49" s="428"/>
      <c r="CS49" s="428"/>
      <c r="CT49" s="428"/>
      <c r="CU49" s="428"/>
      <c r="CV49" s="409">
        <v>15</v>
      </c>
      <c r="CW49" s="398">
        <f>IF(CV49=0,0,IF(LEN(CN49)=11,_xlfn.XLOOKUP(CN49,'Dispensed Ink Rates'!C:C,'Dispensed Ink Rates'!CS:CS),VLOOKUP(CN49,'Jan-2026 rates'!$E:$F,2,0)))</f>
        <v>0</v>
      </c>
      <c r="CX49" s="409">
        <v>5</v>
      </c>
      <c r="CY49" s="398">
        <f>IF(CX49=0,0,IF(LEN(CO49)=11,_xlfn.XLOOKUP(CO49,'Dispensed Ink Rates'!C:C,'Dispensed Ink Rates'!CS:CS),VLOOKUP(CO49,'Jan-2026 rates'!$E:$F,2,0)))</f>
        <v>0</v>
      </c>
      <c r="CZ49" s="409">
        <v>2</v>
      </c>
      <c r="DA49" s="398" t="e">
        <f>IF(CZ49=0,0,IF(LEN(CP49)=11,_xlfn.XLOOKUP(CP49,'Dispensed Ink Rates'!C:C,'Dispensed Ink Rates'!CS:CS),VLOOKUP(CP49,'Jan-2026 rates'!$E:$F,2,0)))</f>
        <v>#N/A</v>
      </c>
      <c r="DB49" s="409"/>
      <c r="DC49" s="398">
        <f>IF(DB49=0,0,IF(LEN(CQ49)=11,_xlfn.XLOOKUP(CQ49,'Dispensed Ink Rates'!C:C,'Dispensed Ink Rates'!CS:CS),VLOOKUP(CQ49,'Jan-2026 rates'!$E:$F,2,0)))</f>
        <v>0</v>
      </c>
      <c r="DD49" s="409"/>
      <c r="DE49" s="398">
        <f>IF(DD49=0,0,IF(LEN(CR49)=11,_xlfn.XLOOKUP(CR49,'Dispensed Ink Rates'!C:C,'Dispensed Ink Rates'!CS:CS),VLOOKUP(CR49,'Jan-2026 rates'!$E:$F,2,0)))</f>
        <v>0</v>
      </c>
      <c r="DF49" s="409"/>
      <c r="DG49" s="398">
        <f>IF(DF49=0,0,IF(LEN(CS49)=11,_xlfn.XLOOKUP(CS49,'Dispensed Ink Rates'!C:C,'Dispensed Ink Rates'!CS:CS),VLOOKUP(CS49,'Jan-2026 rates'!$E:$F,2,0)))</f>
        <v>0</v>
      </c>
      <c r="DH49" s="409"/>
      <c r="DI49" s="398">
        <f>IF(DH49=0,0,IF(LEN(CT49)=11,_xlfn.XLOOKUP(CT49,'Dispensed Ink Rates'!C:C,'Dispensed Ink Rates'!CS:CS),VLOOKUP(CT49,'Jan-2026 rates'!$E:$F,2,0)))</f>
        <v>0</v>
      </c>
      <c r="DJ49" s="409"/>
      <c r="DK49" s="398">
        <f>IF(DJ49=0,0,IF(LEN(CU49)=11,_xlfn.XLOOKUP(CU49,'Dispensed Ink Rates'!C:C,'Dispensed Ink Rates'!CS:CS),VLOOKUP(CU49,'Jan-2026 rates'!$E:$F,2,0)))</f>
        <v>0</v>
      </c>
      <c r="DL49" s="409" t="s">
        <v>1443</v>
      </c>
      <c r="DM49" s="409">
        <v>44</v>
      </c>
      <c r="DN49" s="411">
        <f t="shared" si="9"/>
        <v>0</v>
      </c>
      <c r="DO49" s="411">
        <f t="shared" si="10"/>
        <v>47.8</v>
      </c>
      <c r="DP49" s="410">
        <f t="shared" si="11"/>
        <v>0</v>
      </c>
      <c r="DQ49" s="405" t="s">
        <v>547</v>
      </c>
      <c r="DR49" s="409" t="s">
        <v>2836</v>
      </c>
      <c r="DS49" s="420" t="str">
        <f t="shared" si="12"/>
        <v>FLINTSL - GREEN</v>
      </c>
      <c r="DT49" s="409">
        <v>25</v>
      </c>
      <c r="DU49" s="411">
        <f>IF(DT49=0,0,IF($LB49=70%,VLOOKUP($DS49,'Jan-2026 rates'!$L:$R,4,0),IF($LB49=65%,VLOOKUP($DS49,'Jan-2026 rates'!$L:$R,4,0),IF($LB49=40%,VLOOKUP($DS49,'Jan-2026 rates'!$L:$R,5,0),IF($LB49=30%,VLOOKUP($DS49,'Jan-2026 rates'!$L:$R,6,0),IF($LB49=100%,VLOOKUP($DS49,'Jan-2026 rates'!$L:$R,7,0),IF($LB49=60%,VLOOKUP($DS49,'Jan-2026 rates'!$L:$S,8,0),IF($LB49=80%,VLOOKUP($DS49,'Jan-2026 rates'!L:T,9,0),0))))))))</f>
        <v>0</v>
      </c>
      <c r="DV49" s="412"/>
      <c r="DW49" s="409"/>
      <c r="DX49" s="411">
        <f>IF(DW49=0,0,IF($LB49=70%,VLOOKUP($DS49,'Jan-2026 rates'!$L:$R,4,0),IF($LB49=65%,VLOOKUP($DS49,'Jan-2026 rates'!$L:$R,4,0),IF($LB49=40%,VLOOKUP($DS49,'Jan-2026 rates'!$L:$R,5,0),IF($LB49=30%,VLOOKUP($DS49,'Jan-2026 rates'!$L:$R,6,0),IF($LB49=100%,VLOOKUP($DS49,'Jan-2026 rates'!$L:$R,7,0),IF($LB49=60%,VLOOKUP($DS49,'Jan-2026 rates'!$L:$S,8,0),IF($LB49=80%,VLOOKUP($DS49,'Jan-2026 rates'!L:T,9,0),0))))))))</f>
        <v>0</v>
      </c>
      <c r="DY49" s="413">
        <v>25863000002</v>
      </c>
      <c r="DZ49" s="413"/>
      <c r="EA49" s="412"/>
      <c r="EB49" s="412"/>
      <c r="EC49" s="412"/>
      <c r="ED49" s="412"/>
      <c r="EE49" s="412"/>
      <c r="EF49" s="412"/>
      <c r="EG49" s="409">
        <v>12</v>
      </c>
      <c r="EH49" s="398" t="e">
        <f>IF(EG49=0,0,IF(LEN(DY49)=11,_xlfn.XLOOKUP(DY49,'Dispensed Ink Rates'!C:C,'Dispensed Ink Rates'!CS:CS),VLOOKUP(DY49,'Jan-2026 rates'!$E:$F,2,0)))</f>
        <v>#N/A</v>
      </c>
      <c r="EI49" s="409"/>
      <c r="EJ49" s="398">
        <f>IF(EI49=0,0,IF(LEN(DZ49)=11,_xlfn.XLOOKUP(DZ49,'Dispensed Ink Rates'!C:C,'Dispensed Ink Rates'!CS:CS),VLOOKUP(DZ49,'Jan-2026 rates'!$E:$F,2,0)))</f>
        <v>0</v>
      </c>
      <c r="EK49" s="409"/>
      <c r="EL49" s="398">
        <f>IF(EK49=0,0,IF(LEN(EA49)=11,_xlfn.XLOOKUP(EA49,'Dispensed Ink Rates'!C:C,'Dispensed Ink Rates'!CS:CS),VLOOKUP(EA49,'Jan-2026 rates'!$E:$F,2,0)))</f>
        <v>0</v>
      </c>
      <c r="EM49" s="409"/>
      <c r="EN49" s="398">
        <f>IF(EM49=0,0,IF(LEN(EB49)=11,_xlfn.XLOOKUP(EB49,'Dispensed Ink Rates'!C:C,'Dispensed Ink Rates'!CS:CS),VLOOKUP(EB49,'Jan-2026 rates'!$E:$F,2,0)))</f>
        <v>0</v>
      </c>
      <c r="EO49" s="409"/>
      <c r="EP49" s="398">
        <f>IF(EO49=0,0,IF(LEN(EC49)=11,_xlfn.XLOOKUP(EC49,'Dispensed Ink Rates'!C:C,'Dispensed Ink Rates'!CS:CS),VLOOKUP(EC49,'Jan-2026 rates'!$E:$F,2,0)))</f>
        <v>0</v>
      </c>
      <c r="EQ49" s="409"/>
      <c r="ER49" s="398">
        <f>IF(EQ49=0,0,IF(LEN(ED49)=11,_xlfn.XLOOKUP(ED49,'Dispensed Ink Rates'!C:C,'Dispensed Ink Rates'!CS:CS),VLOOKUP(ED49,'Jan-2026 rates'!$E:$F,2,0)))</f>
        <v>0</v>
      </c>
      <c r="ES49" s="409"/>
      <c r="ET49" s="398">
        <f>IF(ES49=0,0,IF(LEN(EE49)=11,_xlfn.XLOOKUP(EE49,'Dispensed Ink Rates'!C:C,'Dispensed Ink Rates'!CS:CS),VLOOKUP(EE49,'Jan-2026 rates'!$E:$F,2,0)))</f>
        <v>0</v>
      </c>
      <c r="EU49" s="409"/>
      <c r="EV49" s="398">
        <f>IF(EU49=0,0,IF(LEN(EF49)=11,_xlfn.XLOOKUP(EF49,'Dispensed Ink Rates'!C:C,'Dispensed Ink Rates'!CS:CS),VLOOKUP(EF49,'Jan-2026 rates'!$E:$F,2,0)))</f>
        <v>0</v>
      </c>
      <c r="EW49" s="409" t="s">
        <v>1443</v>
      </c>
      <c r="EX49" s="409">
        <v>24</v>
      </c>
      <c r="EY49" s="411">
        <f t="shared" si="13"/>
        <v>0</v>
      </c>
      <c r="EZ49" s="411">
        <f t="shared" si="14"/>
        <v>20.450000000000003</v>
      </c>
      <c r="FA49" s="410">
        <f t="shared" si="15"/>
        <v>0</v>
      </c>
      <c r="FB49" s="405" t="s">
        <v>544</v>
      </c>
      <c r="FC49" s="409" t="s">
        <v>2837</v>
      </c>
      <c r="FD49" s="420" t="str">
        <f t="shared" si="16"/>
        <v>FLINTSL - MAGENTA</v>
      </c>
      <c r="FE49" s="409">
        <v>24</v>
      </c>
      <c r="FF49" s="411">
        <f>IF(FE49=0,0,IF($LB49=70%,VLOOKUP($FD49,'Jan-2026 rates'!$L:$R,4,0),IF($LB49=65%,VLOOKUP($FD49,'Jan-2026 rates'!$L:$R,4,0),IF($LB49=40%,VLOOKUP($FD49,'Jan-2026 rates'!$L:$R,5,0),IF($LB49=30%,VLOOKUP($FD49,'Jan-2026 rates'!$L:$R,6,0),IF($LB49=100%,VLOOKUP($FD49,'Jan-2026 rates'!$L:$R,7,0),IF($LB49=60%,VLOOKUP($FD49,'Jan-2026 rates'!$L:$S,8,0),IF($LB49=80%,VLOOKUP($FD49,'Jan-2026 rates'!L:T,9,0),0))))))))</f>
        <v>0</v>
      </c>
      <c r="FG49" s="412"/>
      <c r="FH49" s="409"/>
      <c r="FI49" s="411">
        <f>IF(FH49=0,0,IF($LB49=70%,VLOOKUP($FD49,'Jan-2026 rates'!$L:$R,4,0),IF($LB49=65%,VLOOKUP($FD49,'Jan-2026 rates'!$L:$R,4,0),IF($LB49=40%,VLOOKUP($FD49,'Jan-2026 rates'!$L:$R,5,0),IF($LB49=30%,VLOOKUP($FD49,'Jan-2026 rates'!$L:$R,6,0),IF($LB49=100%,VLOOKUP($FD49,'Jan-2026 rates'!$L:$R,7,0),IF($LB49=60%,VLOOKUP($FD49,'Jan-2026 rates'!$L:$S,8,0),IF($LB49=80%,VLOOKUP($FD49,'Jan-2026 rates'!L:T,9,0),0))))))))</f>
        <v>0</v>
      </c>
      <c r="FJ49" s="413">
        <v>25863000024</v>
      </c>
      <c r="FK49" s="413"/>
      <c r="FL49" s="413"/>
      <c r="FM49" s="412"/>
      <c r="FN49" s="412"/>
      <c r="FO49" s="412"/>
      <c r="FP49" s="412"/>
      <c r="FQ49" s="412"/>
      <c r="FR49" s="409">
        <v>13</v>
      </c>
      <c r="FS49" s="398" t="e">
        <f>IF(FR49=0,0,IF(LEN(FJ49)=11,_xlfn.XLOOKUP(FJ49,'Dispensed Ink Rates'!C:C,'Dispensed Ink Rates'!CS:CS),VLOOKUP(FJ49,'Jan-2026 rates'!$E:$F,2,0)))</f>
        <v>#N/A</v>
      </c>
      <c r="FT49" s="409"/>
      <c r="FU49" s="398">
        <f>IF(FT49=0,0,IF(LEN(FK49)=11,_xlfn.XLOOKUP(FK49,'Dispensed Ink Rates'!C:C,'Dispensed Ink Rates'!CS:CS),VLOOKUP(FK49,'Jan-2026 rates'!$E:$F,2,0)))</f>
        <v>0</v>
      </c>
      <c r="FV49" s="409"/>
      <c r="FW49" s="398">
        <f>IF(FV49=0,0,IF(LEN(FL49)=11,_xlfn.XLOOKUP(FL49,'Dispensed Ink Rates'!C:C,'Dispensed Ink Rates'!CS:CS),VLOOKUP(FL49,'Jan-2026 rates'!$E:$F,2,0)))</f>
        <v>0</v>
      </c>
      <c r="FX49" s="409"/>
      <c r="FY49" s="398">
        <f>IF(FX49=0,0,IF(LEN(FM49)=11,_xlfn.XLOOKUP(FM49,'Dispensed Ink Rates'!C:C,'Dispensed Ink Rates'!CS:CS),VLOOKUP(FM49,'Jan-2026 rates'!$E:$F,2,0)))</f>
        <v>0</v>
      </c>
      <c r="FZ49" s="409"/>
      <c r="GA49" s="398">
        <f>IF(FZ49=0,0,IF(LEN(FN49)=11,_xlfn.XLOOKUP(FN49,'Dispensed Ink Rates'!C:C,'Dispensed Ink Rates'!CS:CS),VLOOKUP(FN49,'Jan-2026 rates'!$E:$F,2,0)))</f>
        <v>0</v>
      </c>
      <c r="GB49" s="409"/>
      <c r="GC49" s="398">
        <f>IF(GB49=0,0,IF(LEN(FO49)=11,_xlfn.XLOOKUP(FO49,'Dispensed Ink Rates'!C:C,'Dispensed Ink Rates'!CS:CS),VLOOKUP(FO49,'Jan-2026 rates'!$E:$F,2,0)))</f>
        <v>0</v>
      </c>
      <c r="GD49" s="409"/>
      <c r="GE49" s="398">
        <f>IF(GD49=0,0,IF(LEN(FP49)=11,_xlfn.XLOOKUP(FP49,'Dispensed Ink Rates'!C:C,'Dispensed Ink Rates'!CS:CS),VLOOKUP(FP49,'Jan-2026 rates'!$E:$F,2,0)))</f>
        <v>0</v>
      </c>
      <c r="GF49" s="409"/>
      <c r="GG49" s="398">
        <f>IF(GF49=0,0,IF(LEN(FQ49)=11,_xlfn.XLOOKUP(FQ49,'Dispensed Ink Rates'!C:C,'Dispensed Ink Rates'!CS:CS),VLOOKUP(FQ49,'Jan-2026 rates'!$E:$F,2,0)))</f>
        <v>0</v>
      </c>
      <c r="GH49" s="409" t="s">
        <v>1443</v>
      </c>
      <c r="GI49" s="409">
        <v>22</v>
      </c>
      <c r="GJ49" s="411">
        <f t="shared" si="17"/>
        <v>0</v>
      </c>
      <c r="GK49" s="411">
        <f t="shared" si="18"/>
        <v>19.966666666666669</v>
      </c>
      <c r="GL49" s="410">
        <f t="shared" si="19"/>
        <v>0</v>
      </c>
      <c r="GM49" s="405" t="s">
        <v>545</v>
      </c>
      <c r="GN49" s="409" t="s">
        <v>2838</v>
      </c>
      <c r="GO49" s="420" t="str">
        <f t="shared" si="20"/>
        <v>FLINTSL - YELLOW</v>
      </c>
      <c r="GP49" s="409">
        <v>24</v>
      </c>
      <c r="GQ49" s="411">
        <f>IF(GP49=0,0,IF($LB49=70%,VLOOKUP($GO49,'Jan-2026 rates'!$L:$R,4,0),IF($LB49=65%,VLOOKUP($GO49,'Jan-2026 rates'!$L:$R,4,0),IF($LB49=40%,VLOOKUP($GO49,'Jan-2026 rates'!$L:$R,5,0),IF($LB49=30%,VLOOKUP($GO49,'Jan-2026 rates'!$L:$R,6,0),IF($LB49=100%,VLOOKUP($GO49,'Jan-2026 rates'!$L:$R,7,0),IF($LB49=60%,VLOOKUP($GO49,'Jan-2026 rates'!$L:$S,8,0),IF($LB49=80%,VLOOKUP($GO49,'Jan-2026 rates'!L:T,9,0),0))))))))</f>
        <v>0</v>
      </c>
      <c r="GR49" s="412"/>
      <c r="GS49" s="409"/>
      <c r="GT49" s="411">
        <f>IF(GS49=0,0,IF($LB49=70%,VLOOKUP($GO49,'Jan-2026 rates'!$L:$R,4,0),IF($LB49=65%,VLOOKUP($GO49,'Jan-2026 rates'!$L:$R,4,0),IF($LB49=40%,VLOOKUP($GO49,'Jan-2026 rates'!$L:$R,5,0),IF($LB49=30%,VLOOKUP($GO49,'Jan-2026 rates'!$L:$R,6,0),IF($LB49=100%,VLOOKUP($GO49,'Jan-2026 rates'!$L:$R,7,0),IF($LB49=60%,VLOOKUP($GO49,'Jan-2026 rates'!$L:$S,8,0),IF($LB49=80%,VLOOKUP($GO49,'Jan-2026 rates'!L:T,9,0),0))))))))</f>
        <v>0</v>
      </c>
      <c r="GU49" s="413" t="s">
        <v>1266</v>
      </c>
      <c r="GV49" s="413"/>
      <c r="GW49" s="412"/>
      <c r="GX49" s="412"/>
      <c r="GY49" s="412"/>
      <c r="GZ49" s="412"/>
      <c r="HA49" s="412"/>
      <c r="HB49" s="412"/>
      <c r="HC49" s="409">
        <v>14</v>
      </c>
      <c r="HD49" s="398">
        <f>IF(HC49=0,0,IF(LEN(GU49)=11,_xlfn.XLOOKUP(GU49,'Dispensed Ink Rates'!C:C,'Dispensed Ink Rates'!CS:CS),VLOOKUP(GU49,'Jan-2026 rates'!$E:$F,2,0)))</f>
        <v>0</v>
      </c>
      <c r="HE49" s="409"/>
      <c r="HF49" s="398">
        <f>IF(HE49=0,0,IF(LEN(GV49)=11,_xlfn.XLOOKUP(GV49,'Dispensed Ink Rates'!C:C,'Dispensed Ink Rates'!CS:CS),VLOOKUP(GV49,'Jan-2026 rates'!$E:$F,2,0)))</f>
        <v>0</v>
      </c>
      <c r="HG49" s="409"/>
      <c r="HH49" s="398">
        <f>IF(HG49=0,0,IF(LEN(GW49)=11,_xlfn.XLOOKUP(GW49,'Dispensed Ink Rates'!C:C,'Dispensed Ink Rates'!CS:CS),VLOOKUP(GW49,'Jan-2026 rates'!$E:$F,2,0)))</f>
        <v>0</v>
      </c>
      <c r="HI49" s="409"/>
      <c r="HJ49" s="398">
        <f>IF(HI49=0,0,IF(LEN(GX49)=11,_xlfn.XLOOKUP(GX49,'Dispensed Ink Rates'!C:C,'Dispensed Ink Rates'!CS:CS),VLOOKUP(GX49,'Jan-2026 rates'!$E:$F,2,0)))</f>
        <v>0</v>
      </c>
      <c r="HK49" s="409"/>
      <c r="HL49" s="398">
        <f>IF(HK49=0,0,IF(LEN(GY49)=11,_xlfn.XLOOKUP(GY49,'Dispensed Ink Rates'!C:C,'Dispensed Ink Rates'!CS:CS),VLOOKUP(GY49,'Jan-2026 rates'!$E:$F,2,0)))</f>
        <v>0</v>
      </c>
      <c r="HM49" s="409"/>
      <c r="HN49" s="398">
        <f>IF(HM49=0,0,IF(LEN(GZ49)=11,_xlfn.XLOOKUP(GZ49,'Dispensed Ink Rates'!C:C,'Dispensed Ink Rates'!CS:CS),VLOOKUP(GZ49,'Jan-2026 rates'!$E:$F,2,0)))</f>
        <v>0</v>
      </c>
      <c r="HO49" s="409"/>
      <c r="HP49" s="398">
        <f>IF(HO49=0,0,IF(LEN(HA49)=11,_xlfn.XLOOKUP(HA49,'Dispensed Ink Rates'!C:C,'Dispensed Ink Rates'!CS:CS),VLOOKUP(HA49,'Jan-2026 rates'!$E:$F,2,0)))</f>
        <v>0</v>
      </c>
      <c r="HQ49" s="409"/>
      <c r="HR49" s="398">
        <f>IF(HQ49=0,0,IF(LEN(HB49)=11,_xlfn.XLOOKUP(HB49,'Dispensed Ink Rates'!C:C,'Dispensed Ink Rates'!CS:CS),VLOOKUP(HB49,'Jan-2026 rates'!$E:$F,2,0)))</f>
        <v>0</v>
      </c>
      <c r="HS49" s="409" t="s">
        <v>1443</v>
      </c>
      <c r="HT49" s="409">
        <v>25</v>
      </c>
      <c r="HU49" s="411">
        <f t="shared" si="21"/>
        <v>0</v>
      </c>
      <c r="HV49" s="411">
        <f t="shared" si="22"/>
        <v>25.416666666666664</v>
      </c>
      <c r="HW49" s="414">
        <f t="shared" si="23"/>
        <v>0</v>
      </c>
      <c r="HX49" s="405" t="s">
        <v>856</v>
      </c>
      <c r="HY49" s="409" t="s">
        <v>2839</v>
      </c>
      <c r="HZ49" s="420" t="str">
        <f t="shared" si="24"/>
        <v>FLINTSL - WHITE</v>
      </c>
      <c r="IA49" s="409">
        <v>35</v>
      </c>
      <c r="IB49" s="411">
        <f>IF(IA49=0,0,IF($LB49=70%,VLOOKUP($HZ49,'Jan-2026 rates'!$L:$R,4,0),IF($LB49=65%,VLOOKUP($HZ49,'Jan-2026 rates'!$L:$R,4,0),IF($LB49=40%,VLOOKUP($HZ49,'Jan-2026 rates'!$L:$R,5,0),IF($LB49=30%,VLOOKUP($HZ49,'Jan-2026 rates'!$L:$R,6,0),IF($LB49=100%,VLOOKUP($HZ49,'Jan-2026 rates'!$L:$R,7,0),IF($LB49=60%,VLOOKUP($HZ49,'Jan-2026 rates'!$L:$S,8,0),IF($LB49=80%,VLOOKUP($HZ49,'Jan-2026 rates'!L:T,9,0),0))))))))</f>
        <v>0</v>
      </c>
      <c r="IC49" s="412"/>
      <c r="ID49" s="409"/>
      <c r="IE49" s="411">
        <f>IF(ID49=0,0,IF($LB49=70%,VLOOKUP($HZ49,'Jan-2026 rates'!$L:$R,4,0),IF($LB49=65%,VLOOKUP($HZ49,'Jan-2026 rates'!$L:$R,4,0),IF($LB49=40%,VLOOKUP($HZ49,'Jan-2026 rates'!$L:$R,5,0),IF($LB49=30%,VLOOKUP($HZ49,'Jan-2026 rates'!$L:$R,6,0),IF($LB49=100%,VLOOKUP($HZ49,'Jan-2026 rates'!$L:$R,7,0),IF($LB49=60%,VLOOKUP($HZ49,'Jan-2026 rates'!$L:$S,8,0),IF($LB49=80%,VLOOKUP($HZ49,'Jan-2026 rates'!L:T,9,0),0))))))))</f>
        <v>0</v>
      </c>
      <c r="IF49" s="412" t="s">
        <v>484</v>
      </c>
      <c r="IG49" s="413"/>
      <c r="IH49" s="412"/>
      <c r="II49" s="412"/>
      <c r="IJ49" s="412"/>
      <c r="IK49" s="412"/>
      <c r="IL49" s="412"/>
      <c r="IM49" s="412"/>
      <c r="IN49" s="409">
        <f>100+60</f>
        <v>160</v>
      </c>
      <c r="IO49" s="398">
        <f>IF(IN49=0,0,IF(LEN(IF49)=11,_xlfn.XLOOKUP(IF49,'Dispensed Ink Rates'!C:C,'Dispensed Ink Rates'!CS:CS),VLOOKUP(IF49,'Jan-2026 rates'!$E:$F,2,0)))</f>
        <v>0</v>
      </c>
      <c r="IP49" s="409"/>
      <c r="IQ49" s="398">
        <f>IF(IP49=0,0,IF(LEN(IG49)=11,_xlfn.XLOOKUP(IG49,'Dispensed Ink Rates'!C:C,'Dispensed Ink Rates'!CS:CS),VLOOKUP(IG49,'Jan-2026 rates'!$E:$F,2,0)))</f>
        <v>0</v>
      </c>
      <c r="IR49" s="409"/>
      <c r="IS49" s="398">
        <f>IF(IR49=0,0,IF(LEN(IH49)=11,_xlfn.XLOOKUP(IH49,'Dispensed Ink Rates'!C:C,'Dispensed Ink Rates'!CS:CS),VLOOKUP(IH49,'Jan-2026 rates'!$E:$F,2,0)))</f>
        <v>0</v>
      </c>
      <c r="IT49" s="409"/>
      <c r="IU49" s="398">
        <f>IF(IT49=0,0,IF(LEN(II49)=11,_xlfn.XLOOKUP(II49,'Dispensed Ink Rates'!C:C,'Dispensed Ink Rates'!CS:CS),VLOOKUP(II49,'Jan-2026 rates'!$E:$F,2,0)))</f>
        <v>0</v>
      </c>
      <c r="IV49" s="409"/>
      <c r="IW49" s="398">
        <f>IF(IV49=0,0,IF(LEN(IJ49)=11,_xlfn.XLOOKUP(IJ49,'Dispensed Ink Rates'!C:C,'Dispensed Ink Rates'!CS:CS),VLOOKUP(IJ49,'Jan-2026 rates'!$E:$F,2,0)))</f>
        <v>0</v>
      </c>
      <c r="IX49" s="409"/>
      <c r="IY49" s="398">
        <f>IF(IX49=0,0,IF(LEN(IK49)=11,_xlfn.XLOOKUP(IK49,'Dispensed Ink Rates'!C:C,'Dispensed Ink Rates'!CS:CS),VLOOKUP(IK49,'Jan-2026 rates'!$E:$F,2,0)))</f>
        <v>0</v>
      </c>
      <c r="IZ49" s="409"/>
      <c r="JA49" s="398">
        <f>IF(IZ49=0,0,IF(LEN(IL49)=11,_xlfn.XLOOKUP(IL49,'Dispensed Ink Rates'!C:C,'Dispensed Ink Rates'!CS:CS),VLOOKUP(IL49,'Jan-2026 rates'!$E:$F,2,0)))</f>
        <v>0</v>
      </c>
      <c r="JB49" s="409"/>
      <c r="JC49" s="398">
        <f>IF(JB49=0,0,IF(LEN(IM49)=11,_xlfn.XLOOKUP(IM49,'Dispensed Ink Rates'!C:C,'Dispensed Ink Rates'!CS:CS),VLOOKUP(IM49,'Jan-2026 rates'!$E:$F,2,0)))</f>
        <v>0</v>
      </c>
      <c r="JD49" s="409" t="s">
        <v>1443</v>
      </c>
      <c r="JE49" s="409">
        <v>29</v>
      </c>
      <c r="JF49" s="411">
        <f t="shared" si="25"/>
        <v>0</v>
      </c>
      <c r="JG49" s="411">
        <f t="shared" si="26"/>
        <v>389.5</v>
      </c>
      <c r="JH49" s="410">
        <f t="shared" si="27"/>
        <v>0</v>
      </c>
      <c r="JI49" s="405"/>
      <c r="JJ49" s="409"/>
      <c r="JK49" s="420" t="str">
        <f t="shared" si="28"/>
        <v xml:space="preserve"> - </v>
      </c>
      <c r="JL49" s="409"/>
      <c r="JM49" s="411">
        <f>IF(JL49=0,0,IF($LB49=70%,VLOOKUP($JK49,'Jan-2026 rates'!$L:$R,4,0),IF($LB49=65%,VLOOKUP($JK49,'Jan-2026 rates'!$L:$R,4,0),IF($LB49=40%,VLOOKUP($JK49,'Jan-2026 rates'!$L:$R,5,0),IF($LB49=30%,VLOOKUP($JK49,'Jan-2026 rates'!$L:$R,6,0),IF($LB49=100%,VLOOKUP($JK49,'Jan-2026 rates'!$L:$R,7,0),IF($LB49=60%,VLOOKUP($JK49,'Jan-2026 rates'!$L:$S,8,0),IF($LB49=80%,VLOOKUP($JK49,'Jan-2026 rates'!L:T,9,0),0))))))))</f>
        <v>0</v>
      </c>
      <c r="JN49" s="412"/>
      <c r="JO49" s="409"/>
      <c r="JP49" s="411">
        <f>IF(JO49=0,0,IF($LB49=70%,VLOOKUP($JK49,'Jan-2026 rates'!$L:$R,4,0),IF($LB49=65%,VLOOKUP($JK49,'Jan-2026 rates'!$L:$R,4,0),IF($LB49=40%,VLOOKUP($JK49,'Jan-2026 rates'!$L:$R,5,0),IF($LB49=30%,VLOOKUP($JK49,'Jan-2026 rates'!$L:$R,6,0),IF($LB49=100%,VLOOKUP($JK49,'Jan-2026 rates'!$L:$R,7,0),IF($LB49=60%,VLOOKUP($JK49,'Jan-2026 rates'!$L:$S,8,0),IF($LB49=80%,VLOOKUP($JK49,'Jan-2026 rates'!L:T,9,0),0))))))))</f>
        <v>0</v>
      </c>
      <c r="JQ49" s="413"/>
      <c r="JR49" s="412"/>
      <c r="JS49" s="413"/>
      <c r="JT49" s="413"/>
      <c r="JU49" s="412"/>
      <c r="JV49" s="412"/>
      <c r="JW49" s="412"/>
      <c r="JX49" s="412"/>
      <c r="JY49" s="409"/>
      <c r="JZ49" s="398">
        <f>IF(JY49=0,0,IF(LEN(JQ49)=11,_xlfn.XLOOKUP(JQ49,'Dispensed Ink Rates'!C:C,'Dispensed Ink Rates'!CS:CS),VLOOKUP(JQ49,'Jan-2026 rates'!$E:$F,2,0)))</f>
        <v>0</v>
      </c>
      <c r="KA49" s="409"/>
      <c r="KB49" s="398">
        <f>IF(KA49=0,0,IF(LEN(JR49)=11,_xlfn.XLOOKUP(JR49,'Dispensed Ink Rates'!C:C,'Dispensed Ink Rates'!CS:CS),VLOOKUP(JR49,'Jan-2026 rates'!$E:$F,2,0)))</f>
        <v>0</v>
      </c>
      <c r="KC49" s="409"/>
      <c r="KD49" s="398">
        <f>IF(KC49=0,0,IF(LEN(JS49)=11,_xlfn.XLOOKUP(JS49,'Dispensed Ink Rates'!C:C,'Dispensed Ink Rates'!CS:CS),VLOOKUP(JS49,'Jan-2026 rates'!$E:$F,2,0)))</f>
        <v>0</v>
      </c>
      <c r="KE49" s="409"/>
      <c r="KF49" s="398">
        <f>IF(KE49=0,0,IF(LEN(JT49)=11,_xlfn.XLOOKUP(JT49,'Dispensed Ink Rates'!C:C,'Dispensed Ink Rates'!CS:CS),VLOOKUP(JT49,'Jan-2026 rates'!$E:$F,2,0)))</f>
        <v>0</v>
      </c>
      <c r="KG49" s="409"/>
      <c r="KH49" s="398">
        <f>IF(KG49=0,0,IF(LEN(JU49)=11,_xlfn.XLOOKUP(JU49,'Dispensed Ink Rates'!C:C,'Dispensed Ink Rates'!CS:CS),VLOOKUP(JU49,'Jan-2026 rates'!$E:$F,2,0)))</f>
        <v>0</v>
      </c>
      <c r="KI49" s="409"/>
      <c r="KJ49" s="398">
        <f>IF(KI49=0,0,IF(LEN(JV49)=11,_xlfn.XLOOKUP(JV49,'Dispensed Ink Rates'!C:C,'Dispensed Ink Rates'!CS:CS),VLOOKUP(JV49,'Jan-2026 rates'!$E:$F,2,0)))</f>
        <v>0</v>
      </c>
      <c r="KK49" s="409"/>
      <c r="KL49" s="398">
        <f>IF(KK49=0,0,IF(LEN(JW49)=11,_xlfn.XLOOKUP(JW49,'Dispensed Ink Rates'!C:C,'Dispensed Ink Rates'!CS:CS),VLOOKUP(JW49,'Jan-2026 rates'!$E:$F,2,0)))</f>
        <v>0</v>
      </c>
      <c r="KM49" s="428"/>
      <c r="KN49" s="398">
        <f>IF(KM49=0,0,IF(LEN(JX49)=11,_xlfn.XLOOKUP(JX49,'Dispensed Ink Rates'!C:C,'Dispensed Ink Rates'!CS:CS),VLOOKUP(JX49,'Jan-2026 rates'!$E:$F,2,0)))</f>
        <v>0</v>
      </c>
      <c r="KO49" s="409"/>
      <c r="KP49" s="409"/>
      <c r="KQ49" s="411">
        <f t="shared" si="29"/>
        <v>0</v>
      </c>
      <c r="KR49" s="411">
        <f t="shared" si="30"/>
        <v>0</v>
      </c>
      <c r="KS49" s="410">
        <f t="shared" si="31"/>
        <v>0</v>
      </c>
      <c r="KT49" s="409">
        <v>3</v>
      </c>
      <c r="KU49" s="409">
        <v>5</v>
      </c>
      <c r="KV49" s="409">
        <f>7+5</f>
        <v>12</v>
      </c>
      <c r="KW49" s="409">
        <v>3</v>
      </c>
      <c r="KX49" s="409">
        <v>2</v>
      </c>
      <c r="KY49" s="409">
        <v>5</v>
      </c>
      <c r="KZ49" s="409">
        <f>60+30</f>
        <v>90</v>
      </c>
      <c r="LA49" s="409">
        <v>0</v>
      </c>
      <c r="LB49" s="415">
        <v>0.8</v>
      </c>
      <c r="LC49" s="415">
        <v>0.2</v>
      </c>
      <c r="LD49" s="415"/>
      <c r="LE49" s="415"/>
      <c r="LF49" s="415"/>
      <c r="LG49" s="409">
        <v>0</v>
      </c>
      <c r="LH49" s="409">
        <f>90+60+112+28+4+4</f>
        <v>298</v>
      </c>
      <c r="LI49" s="409">
        <v>0</v>
      </c>
      <c r="LJ49" s="409">
        <v>0</v>
      </c>
      <c r="LK49" s="416">
        <f t="shared" si="32"/>
        <v>298</v>
      </c>
      <c r="LL49" s="416">
        <f t="shared" si="33"/>
        <v>298</v>
      </c>
      <c r="LM49" s="417">
        <f t="shared" si="34"/>
        <v>238.4</v>
      </c>
      <c r="LN49" s="417">
        <f>VLOOKUP($LM$8,'Jan-2026 rates'!$H:$I,2,0)</f>
        <v>0</v>
      </c>
      <c r="LO49" s="417">
        <f t="shared" si="35"/>
        <v>59.6</v>
      </c>
      <c r="LP49" s="417">
        <f>VLOOKUP($LO$8,'Jan-2026 rates'!$H:$I,2,0)</f>
        <v>0</v>
      </c>
      <c r="LQ49" s="417">
        <f t="shared" si="36"/>
        <v>0</v>
      </c>
      <c r="LR49" s="417">
        <f>VLOOKUP($LQ$8,'Jan-2026 rates'!$H:$I,2,0)</f>
        <v>0</v>
      </c>
      <c r="LS49" s="417">
        <f t="shared" si="37"/>
        <v>0</v>
      </c>
      <c r="LT49" s="417">
        <f>VLOOKUP($LS$8,'Jan-2026 rates'!$H:$I,2,0)</f>
        <v>0</v>
      </c>
      <c r="LU49" s="417">
        <f t="shared" si="38"/>
        <v>0</v>
      </c>
      <c r="LV49" s="417">
        <f>VLOOKUP($LU$8,'Jan-2026 rates'!$H:$I,2,0)</f>
        <v>0</v>
      </c>
      <c r="LW49" s="417">
        <f t="shared" si="39"/>
        <v>0</v>
      </c>
      <c r="LX49" s="417">
        <f t="shared" si="40"/>
        <v>0</v>
      </c>
      <c r="LY49" s="418">
        <f t="shared" si="41"/>
        <v>0</v>
      </c>
      <c r="LZ49" s="417"/>
      <c r="MA49" s="435">
        <f t="shared" si="42"/>
        <v>242</v>
      </c>
      <c r="MB49" s="282">
        <f t="shared" si="43"/>
        <v>536</v>
      </c>
      <c r="MC49" s="283">
        <v>4</v>
      </c>
      <c r="MD49" s="284" t="str">
        <f t="shared" si="44"/>
        <v>FLINTSLFLINTSLFLINTSLFLINTSLFLINTSLFLINTSLFLINTSL</v>
      </c>
      <c r="ME49" s="293" t="str">
        <f t="shared" si="45"/>
        <v>+</v>
      </c>
      <c r="MF49" s="293" t="str">
        <f t="shared" si="46"/>
        <v>+</v>
      </c>
      <c r="MG49" s="293" t="str">
        <f t="shared" si="47"/>
        <v>+</v>
      </c>
      <c r="MH49" s="293" t="str">
        <f t="shared" si="48"/>
        <v>+</v>
      </c>
      <c r="MI49" s="293" t="str">
        <f t="shared" si="49"/>
        <v>+</v>
      </c>
      <c r="MJ49" s="293" t="str">
        <f t="shared" si="50"/>
        <v>+</v>
      </c>
      <c r="MK49" s="293" t="str">
        <f t="shared" si="51"/>
        <v>+</v>
      </c>
      <c r="ML49" s="293" t="str">
        <f t="shared" si="52"/>
        <v>NIL</v>
      </c>
      <c r="MM49" s="3" t="b">
        <f t="array" ref="MM49">OR(ME49:ML49="-")</f>
        <v>0</v>
      </c>
      <c r="MN49" s="285"/>
      <c r="MO49" s="401"/>
      <c r="MP49" s="286"/>
      <c r="MQ49" s="286"/>
      <c r="MR49" s="402"/>
      <c r="MS49" s="400"/>
      <c r="NH49" s="422"/>
      <c r="NJ49" s="421"/>
    </row>
    <row r="50" spans="1:374" s="1" customFormat="1" ht="16.5">
      <c r="A50" s="403">
        <v>46024</v>
      </c>
      <c r="B50" s="404" t="s">
        <v>1018</v>
      </c>
      <c r="C50" s="405" t="s">
        <v>2840</v>
      </c>
      <c r="D50" s="406">
        <v>5</v>
      </c>
      <c r="E50" s="404">
        <v>473</v>
      </c>
      <c r="F50" s="407">
        <v>23500</v>
      </c>
      <c r="G50" s="407" t="s">
        <v>1019</v>
      </c>
      <c r="H50" s="408" t="s">
        <v>1017</v>
      </c>
      <c r="I50" s="409">
        <v>2.1</v>
      </c>
      <c r="J50" s="405" t="s">
        <v>543</v>
      </c>
      <c r="K50" s="404" t="s">
        <v>2841</v>
      </c>
      <c r="L50" s="419" t="str">
        <f t="shared" si="0"/>
        <v>FLINTSL - BLACK</v>
      </c>
      <c r="M50" s="404">
        <v>24</v>
      </c>
      <c r="N50" s="410">
        <f>IF(M50=0,0,IF($LB50=70%,VLOOKUP($L50,'Jan-2026 rates'!$L:$R,4,0),IF($LB50=65%,VLOOKUP($L50,'Jan-2026 rates'!$L:$R,4,0),IF($LB50=40%,VLOOKUP($L50,'Jan-2026 rates'!$L:$R,5,0),IF($LB50=30%,VLOOKUP($L50,'Jan-2026 rates'!$L:$R,6,0),IF($LB50=100%,VLOOKUP($L50,'Jan-2026 rates'!$L:$R,7,0),IF($LB50=60%,VLOOKUP($L50,'Jan-2026 rates'!$L:$S,8,0),IF($LB50=80%,VLOOKUP($L50,'Jan-2026 rates'!L:T,9,0),0))))))))</f>
        <v>0</v>
      </c>
      <c r="O50" s="406"/>
      <c r="P50" s="404"/>
      <c r="Q50" s="410">
        <f>IF(P50=0,0,IF($LB50=70%,VLOOKUP($L50,'Jan-2026 rates'!$L:$R,4,0),IF($LB50=65%,VLOOKUP($L50,'Jan-2026 rates'!$L:$R,4,0),IF($LB50=40%,VLOOKUP($L50,'Jan-2026 rates'!$L:$R,5,0),IF($LB50=30%,VLOOKUP($L50,'Jan-2026 rates'!$L:$R,6,0),IF($LB50=100%,VLOOKUP($L50,'Jan-2026 rates'!$L:$R,7,0),IF($LB50=60%,VLOOKUP($L50,'Jan-2026 rates'!$L:$S,8,0),IF($LB50=80%,VLOOKUP($L50,'Jan-2026 rates'!L:T,9,0),0))))))))</f>
        <v>0</v>
      </c>
      <c r="R50" s="406">
        <v>25862000007</v>
      </c>
      <c r="S50" s="406"/>
      <c r="T50" s="406"/>
      <c r="U50" s="406"/>
      <c r="V50" s="406"/>
      <c r="W50" s="406"/>
      <c r="X50" s="406"/>
      <c r="Y50" s="406"/>
      <c r="Z50" s="404">
        <v>2</v>
      </c>
      <c r="AA50" s="398" t="e">
        <f>IF(Z50=0,0,IF(LEN(R50)=11,_xlfn.XLOOKUP(R50,'Dispensed Ink Rates'!C:C,'Dispensed Ink Rates'!CS:CS),VLOOKUP(R50,'Jan-2026 rates'!$E:$F,2,0)))</f>
        <v>#N/A</v>
      </c>
      <c r="AB50" s="404"/>
      <c r="AC50" s="398">
        <f>IF(AB50=0,0,IF(LEN(S50)=11,_xlfn.XLOOKUP(S50,'Dispensed Ink Rates'!C:C,'Dispensed Ink Rates'!CS:CS),VLOOKUP(S50,'Jan-2026 rates'!$E:$F,2,0)))</f>
        <v>0</v>
      </c>
      <c r="AD50" s="404"/>
      <c r="AE50" s="398">
        <f>IF(AD50=0,0,IF(LEN(T50)=11,_xlfn.XLOOKUP(T50,'Dispensed Ink Rates'!C:C,'Dispensed Ink Rates'!CS:CS),VLOOKUP(T50,'Jan-2026 rates'!$E:$F,2,0)))</f>
        <v>0</v>
      </c>
      <c r="AF50" s="404"/>
      <c r="AG50" s="398">
        <f>IF(AF50=0,0,IF(LEN(U50)=11,_xlfn.XLOOKUP(U50,'Dispensed Ink Rates'!C:C,'Dispensed Ink Rates'!CS:CS),VLOOKUP(U50,'Jan-2026 rates'!$E:$F,2,0)))</f>
        <v>0</v>
      </c>
      <c r="AH50" s="404"/>
      <c r="AI50" s="398">
        <f>IF(AH50=0,0,IF(LEN(V50)=11,_xlfn.XLOOKUP(V50,'Dispensed Ink Rates'!C:C,'Dispensed Ink Rates'!CS:CS),VLOOKUP(V50,'Jan-2026 rates'!$E:$F,2,0)))</f>
        <v>0</v>
      </c>
      <c r="AJ50" s="404"/>
      <c r="AK50" s="398">
        <f>IF(AJ50=0,0,IF(LEN(W50)=11,_xlfn.XLOOKUP(W50,'Dispensed Ink Rates'!C:C,'Dispensed Ink Rates'!CS:CS),VLOOKUP(W50,'Jan-2026 rates'!$E:$F,2,0)))</f>
        <v>0</v>
      </c>
      <c r="AL50" s="404"/>
      <c r="AM50" s="398">
        <f>IF(AL50=0,0,IF(LEN(X50)=11,_xlfn.XLOOKUP(X50,'Dispensed Ink Rates'!C:C,'Dispensed Ink Rates'!CS:CS),VLOOKUP(X50,'Jan-2026 rates'!$E:$F,2,0)))</f>
        <v>0</v>
      </c>
      <c r="AN50" s="404"/>
      <c r="AO50" s="398">
        <f>IF(AN50=0,0,IF(LEN(Y50)=11,_xlfn.XLOOKUP(Y50,'Dispensed Ink Rates'!C:C,'Dispensed Ink Rates'!CS:CS),VLOOKUP(Y50,'Jan-2026 rates'!$E:$F,2,0)))</f>
        <v>0</v>
      </c>
      <c r="AP50" s="409" t="s">
        <v>1443</v>
      </c>
      <c r="AQ50" s="409">
        <v>27</v>
      </c>
      <c r="AR50" s="410">
        <f t="shared" si="1"/>
        <v>0</v>
      </c>
      <c r="AS50" s="411">
        <f t="shared" si="2"/>
        <v>9.125</v>
      </c>
      <c r="AT50" s="410">
        <f t="shared" si="3"/>
        <v>0</v>
      </c>
      <c r="AU50" s="405" t="s">
        <v>546</v>
      </c>
      <c r="AV50" s="409" t="s">
        <v>2842</v>
      </c>
      <c r="AW50" s="420" t="str">
        <f t="shared" si="53"/>
        <v>FLINTSL - REFLEX BLUE</v>
      </c>
      <c r="AX50" s="409">
        <v>15</v>
      </c>
      <c r="AY50" s="411">
        <f>IF(AX50=0,0,IF($LB50=70%,VLOOKUP($AW50,'Jan-2026 rates'!$L:$R,4,0),IF($LB50=65%,VLOOKUP($AW50,'Jan-2026 rates'!$L:$R,4,0),IF($LB50=40%,VLOOKUP($AW50,'Jan-2026 rates'!$L:$R,5,0),IF($LB50=30%,VLOOKUP($AW50,'Jan-2026 rates'!$L:$R,6,0),IF($LB50=100%,VLOOKUP($AW50,'Jan-2026 rates'!$L:$R,7,0),IF($LB50=60%,VLOOKUP($AW50,'Jan-2026 rates'!$L:$S,8,0),IF($LB50=80%,VLOOKUP($AW50,'Jan-2026 rates'!L:T,9,0),0))))))))</f>
        <v>0</v>
      </c>
      <c r="AZ50" s="412" t="s">
        <v>2823</v>
      </c>
      <c r="BA50" s="409">
        <v>7</v>
      </c>
      <c r="BB50" s="411">
        <f>IF(BA50=0,0,IF($LB50=70%,VLOOKUP($AW50,'Jan-2026 rates'!$L:$R,4,0),IF($LB50=65%,VLOOKUP($AW50,'Jan-2026 rates'!$L:$R,4,0),IF($LB50=40%,VLOOKUP($AW50,'Jan-2026 rates'!$L:$R,5,0),IF($LB50=30%,VLOOKUP($AW50,'Jan-2026 rates'!$L:$R,6,0),IF($LB50=100%,VLOOKUP($AW50,'Jan-2026 rates'!$L:$R,7,0),IF($LB50=60%,VLOOKUP($AW50,'Jan-2026 rates'!$L:$S,8,0),IF($LB50=80%,VLOOKUP($AW50,'Jan-2026 rates'!L:T,9,0),0))))))))</f>
        <v>0</v>
      </c>
      <c r="BC50" s="413" t="s">
        <v>1266</v>
      </c>
      <c r="BD50" s="412">
        <v>25863000002</v>
      </c>
      <c r="BE50" s="412"/>
      <c r="BF50" s="413"/>
      <c r="BG50" s="412"/>
      <c r="BH50" s="412"/>
      <c r="BI50" s="412"/>
      <c r="BJ50" s="412"/>
      <c r="BK50" s="409">
        <v>5</v>
      </c>
      <c r="BL50" s="398">
        <f>IF(BK50=0,0,IF(LEN(BC50)=11,_xlfn.XLOOKUP(BC50,'Dispensed Ink Rates'!C:C,'Dispensed Ink Rates'!CS:CS),VLOOKUP(BC50,'Jan-2026 rates'!$E:$F,2,0)))</f>
        <v>0</v>
      </c>
      <c r="BM50" s="409">
        <v>2</v>
      </c>
      <c r="BN50" s="398" t="e">
        <f>IF(BM50=0,0,IF(LEN(BD50)=11,_xlfn.XLOOKUP(BD50,'Dispensed Ink Rates'!C:C,'Dispensed Ink Rates'!CS:CS),VLOOKUP(BD50,'Jan-2026 rates'!$E:$F,2,0)))</f>
        <v>#N/A</v>
      </c>
      <c r="BO50" s="409"/>
      <c r="BP50" s="398">
        <f>IF(BO50=0,0,IF(LEN(BE50)=11,_xlfn.XLOOKUP(BE50,'Dispensed Ink Rates'!C:C,'Dispensed Ink Rates'!CS:CS),VLOOKUP(BE50,'Jan-2026 rates'!$E:$F,2,0)))</f>
        <v>0</v>
      </c>
      <c r="BQ50" s="409"/>
      <c r="BR50" s="398">
        <f>IF(BQ50=0,0,IF(LEN(BF50)=11,_xlfn.XLOOKUP(BF50,'Dispensed Ink Rates'!C:C,'Dispensed Ink Rates'!CS:CS),VLOOKUP(BF50,'Jan-2026 rates'!$E:$F,2,0)))</f>
        <v>0</v>
      </c>
      <c r="BS50" s="409"/>
      <c r="BT50" s="398">
        <f>IF(BS50=0,0,IF(LEN(BG50)=11,_xlfn.XLOOKUP(BG50,'Dispensed Ink Rates'!C:C,'Dispensed Ink Rates'!CS:CS),VLOOKUP(BG50,'Jan-2026 rates'!$E:$F,2,0)))</f>
        <v>0</v>
      </c>
      <c r="BU50" s="409"/>
      <c r="BV50" s="398">
        <f>IF(BU50=0,0,IF(LEN(BH50)=11,_xlfn.XLOOKUP(BH50,'Dispensed Ink Rates'!C:C,'Dispensed Ink Rates'!CS:CS),VLOOKUP(BH50,'Jan-2026 rates'!$E:$F,2,0)))</f>
        <v>0</v>
      </c>
      <c r="BW50" s="409"/>
      <c r="BX50" s="398">
        <f>IF(BW50=0,0,IF(LEN(BI50)=11,_xlfn.XLOOKUP(BI50,'Dispensed Ink Rates'!C:C,'Dispensed Ink Rates'!CS:CS),VLOOKUP(BI50,'Jan-2026 rates'!$E:$F,2,0)))</f>
        <v>0</v>
      </c>
      <c r="BY50" s="409"/>
      <c r="BZ50" s="398">
        <f>IF(BY50=0,0,IF(LEN(BJ50)=11,_xlfn.XLOOKUP(BJ50,'Dispensed Ink Rates'!C:C,'Dispensed Ink Rates'!CS:CS),VLOOKUP(BJ50,'Jan-2026 rates'!$E:$F,2,0)))</f>
        <v>0</v>
      </c>
      <c r="CA50" s="409" t="s">
        <v>1443</v>
      </c>
      <c r="CB50" s="409">
        <v>25</v>
      </c>
      <c r="CC50" s="411">
        <f t="shared" si="5"/>
        <v>0</v>
      </c>
      <c r="CD50" s="411">
        <f t="shared" si="6"/>
        <v>20.875</v>
      </c>
      <c r="CE50" s="410">
        <f t="shared" si="7"/>
        <v>0</v>
      </c>
      <c r="CF50" s="404" t="s">
        <v>857</v>
      </c>
      <c r="CG50" s="409" t="s">
        <v>2843</v>
      </c>
      <c r="CH50" s="420" t="str">
        <f t="shared" si="8"/>
        <v>FLINTSL - RED</v>
      </c>
      <c r="CI50" s="409">
        <v>20</v>
      </c>
      <c r="CJ50" s="411">
        <f>IF(CI50=0,0,IF($LB50=70%,VLOOKUP($CH50,'Jan-2026 rates'!$L:$R,4,0),IF($LB50=65%,VLOOKUP($CH50,'Jan-2026 rates'!$L:$R,4,0),IF($LB50=40%,VLOOKUP($CH50,'Jan-2026 rates'!$L:$R,5,0),IF($LB50=30%,VLOOKUP($CH50,'Jan-2026 rates'!$L:$R,6,0),IF($LB50=100%,VLOOKUP($CH50,'Jan-2026 rates'!$L:$R,7,0),IF($LB50=60%,VLOOKUP($CH50,'Jan-2026 rates'!$L:$S,8,0),IF($LB50=80%,VLOOKUP($CH50,'Jan-2026 rates'!L:T,9,0),0))))))))</f>
        <v>0</v>
      </c>
      <c r="CK50" s="412"/>
      <c r="CL50" s="409"/>
      <c r="CM50" s="411">
        <f>IF(CL50=0,0,IF($LB50=70%,VLOOKUP($CH50,'Jan-2026 rates'!$L:$R,4,0),IF($LB50=65%,VLOOKUP($CH50,'Jan-2026 rates'!$L:$R,4,0),IF($LB50=40%,VLOOKUP($CH50,'Jan-2026 rates'!$L:$R,5,0),IF($LB50=30%,VLOOKUP($CH50,'Jan-2026 rates'!$L:$R,6,0),IF($LB50=100%,VLOOKUP($CH50,'Jan-2026 rates'!$L:$R,7,0),IF($LB50=60%,VLOOKUP($CH50,'Jan-2026 rates'!$L:$S,8,0),IF($LB50=80%,VLOOKUP($CH50,'Jan-2026 rates'!L:T,9,0),0))))))))</f>
        <v>0</v>
      </c>
      <c r="CN50" s="426">
        <v>26502000005</v>
      </c>
      <c r="CO50" s="427">
        <v>25863000024</v>
      </c>
      <c r="CP50" s="426"/>
      <c r="CQ50" s="426"/>
      <c r="CR50" s="428"/>
      <c r="CS50" s="428"/>
      <c r="CT50" s="428"/>
      <c r="CU50" s="428"/>
      <c r="CV50" s="409">
        <v>40</v>
      </c>
      <c r="CW50" s="398" t="e">
        <f>IF(CV50=0,0,IF(LEN(CN50)=11,_xlfn.XLOOKUP(CN50,'Dispensed Ink Rates'!C:C,'Dispensed Ink Rates'!CS:CS),VLOOKUP(CN50,'Jan-2026 rates'!$E:$F,2,0)))</f>
        <v>#N/A</v>
      </c>
      <c r="CX50" s="409">
        <v>7</v>
      </c>
      <c r="CY50" s="398" t="e">
        <f>IF(CX50=0,0,IF(LEN(CO50)=11,_xlfn.XLOOKUP(CO50,'Dispensed Ink Rates'!C:C,'Dispensed Ink Rates'!CS:CS),VLOOKUP(CO50,'Jan-2026 rates'!$E:$F,2,0)))</f>
        <v>#N/A</v>
      </c>
      <c r="CZ50" s="409"/>
      <c r="DA50" s="398">
        <f>IF(CZ50=0,0,IF(LEN(CP50)=11,_xlfn.XLOOKUP(CP50,'Dispensed Ink Rates'!C:C,'Dispensed Ink Rates'!CS:CS),VLOOKUP(CP50,'Jan-2026 rates'!$E:$F,2,0)))</f>
        <v>0</v>
      </c>
      <c r="DB50" s="409"/>
      <c r="DC50" s="398">
        <f>IF(DB50=0,0,IF(LEN(CQ50)=11,_xlfn.XLOOKUP(CQ50,'Dispensed Ink Rates'!C:C,'Dispensed Ink Rates'!CS:CS),VLOOKUP(CQ50,'Jan-2026 rates'!$E:$F,2,0)))</f>
        <v>0</v>
      </c>
      <c r="DD50" s="409"/>
      <c r="DE50" s="398">
        <f>IF(DD50=0,0,IF(LEN(CR50)=11,_xlfn.XLOOKUP(CR50,'Dispensed Ink Rates'!C:C,'Dispensed Ink Rates'!CS:CS),VLOOKUP(CR50,'Jan-2026 rates'!$E:$F,2,0)))</f>
        <v>0</v>
      </c>
      <c r="DF50" s="409"/>
      <c r="DG50" s="398">
        <f>IF(DF50=0,0,IF(LEN(CS50)=11,_xlfn.XLOOKUP(CS50,'Dispensed Ink Rates'!C:C,'Dispensed Ink Rates'!CS:CS),VLOOKUP(CS50,'Jan-2026 rates'!$E:$F,2,0)))</f>
        <v>0</v>
      </c>
      <c r="DH50" s="409"/>
      <c r="DI50" s="398">
        <f>IF(DH50=0,0,IF(LEN(CT50)=11,_xlfn.XLOOKUP(CT50,'Dispensed Ink Rates'!C:C,'Dispensed Ink Rates'!CS:CS),VLOOKUP(CT50,'Jan-2026 rates'!$E:$F,2,0)))</f>
        <v>0</v>
      </c>
      <c r="DJ50" s="409"/>
      <c r="DK50" s="398">
        <f>IF(DJ50=0,0,IF(LEN(CU50)=11,_xlfn.XLOOKUP(CU50,'Dispensed Ink Rates'!C:C,'Dispensed Ink Rates'!CS:CS),VLOOKUP(CU50,'Jan-2026 rates'!$E:$F,2,0)))</f>
        <v>0</v>
      </c>
      <c r="DL50" s="409" t="s">
        <v>1443</v>
      </c>
      <c r="DM50" s="409">
        <v>30</v>
      </c>
      <c r="DN50" s="411">
        <f t="shared" si="9"/>
        <v>0</v>
      </c>
      <c r="DO50" s="411">
        <f t="shared" si="10"/>
        <v>50.5</v>
      </c>
      <c r="DP50" s="410">
        <f t="shared" si="11"/>
        <v>0</v>
      </c>
      <c r="DQ50" s="405" t="s">
        <v>855</v>
      </c>
      <c r="DR50" s="409" t="s">
        <v>2844</v>
      </c>
      <c r="DS50" s="420" t="str">
        <f t="shared" si="12"/>
        <v>FLINTSL - CYAN</v>
      </c>
      <c r="DT50" s="409">
        <v>22</v>
      </c>
      <c r="DU50" s="411">
        <f>IF(DT50=0,0,IF($LB50=70%,VLOOKUP($DS50,'Jan-2026 rates'!$L:$R,4,0),IF($LB50=65%,VLOOKUP($DS50,'Jan-2026 rates'!$L:$R,4,0),IF($LB50=40%,VLOOKUP($DS50,'Jan-2026 rates'!$L:$R,5,0),IF($LB50=30%,VLOOKUP($DS50,'Jan-2026 rates'!$L:$R,6,0),IF($LB50=100%,VLOOKUP($DS50,'Jan-2026 rates'!$L:$R,7,0),IF($LB50=60%,VLOOKUP($DS50,'Jan-2026 rates'!$L:$S,8,0),IF($LB50=80%,VLOOKUP($DS50,'Jan-2026 rates'!L:T,9,0),0))))))))</f>
        <v>0</v>
      </c>
      <c r="DV50" s="412"/>
      <c r="DW50" s="409"/>
      <c r="DX50" s="411">
        <f>IF(DW50=0,0,IF($LB50=70%,VLOOKUP($DS50,'Jan-2026 rates'!$L:$R,4,0),IF($LB50=65%,VLOOKUP($DS50,'Jan-2026 rates'!$L:$R,4,0),IF($LB50=40%,VLOOKUP($DS50,'Jan-2026 rates'!$L:$R,5,0),IF($LB50=30%,VLOOKUP($DS50,'Jan-2026 rates'!$L:$R,6,0),IF($LB50=100%,VLOOKUP($DS50,'Jan-2026 rates'!$L:$R,7,0),IF($LB50=60%,VLOOKUP($DS50,'Jan-2026 rates'!$L:$S,8,0),IF($LB50=80%,VLOOKUP($DS50,'Jan-2026 rates'!L:T,9,0),0))))))))</f>
        <v>0</v>
      </c>
      <c r="DY50" s="413">
        <v>25863000002</v>
      </c>
      <c r="DZ50" s="413"/>
      <c r="EA50" s="412"/>
      <c r="EB50" s="412"/>
      <c r="EC50" s="412"/>
      <c r="ED50" s="412"/>
      <c r="EE50" s="412"/>
      <c r="EF50" s="412"/>
      <c r="EG50" s="409">
        <v>4</v>
      </c>
      <c r="EH50" s="398" t="e">
        <f>IF(EG50=0,0,IF(LEN(DY50)=11,_xlfn.XLOOKUP(DY50,'Dispensed Ink Rates'!C:C,'Dispensed Ink Rates'!CS:CS),VLOOKUP(DY50,'Jan-2026 rates'!$E:$F,2,0)))</f>
        <v>#N/A</v>
      </c>
      <c r="EI50" s="409"/>
      <c r="EJ50" s="398">
        <f>IF(EI50=0,0,IF(LEN(DZ50)=11,_xlfn.XLOOKUP(DZ50,'Dispensed Ink Rates'!C:C,'Dispensed Ink Rates'!CS:CS),VLOOKUP(DZ50,'Jan-2026 rates'!$E:$F,2,0)))</f>
        <v>0</v>
      </c>
      <c r="EK50" s="409"/>
      <c r="EL50" s="398">
        <f>IF(EK50=0,0,IF(LEN(EA50)=11,_xlfn.XLOOKUP(EA50,'Dispensed Ink Rates'!C:C,'Dispensed Ink Rates'!CS:CS),VLOOKUP(EA50,'Jan-2026 rates'!$E:$F,2,0)))</f>
        <v>0</v>
      </c>
      <c r="EM50" s="409"/>
      <c r="EN50" s="398">
        <f>IF(EM50=0,0,IF(LEN(EB50)=11,_xlfn.XLOOKUP(EB50,'Dispensed Ink Rates'!C:C,'Dispensed Ink Rates'!CS:CS),VLOOKUP(EB50,'Jan-2026 rates'!$E:$F,2,0)))</f>
        <v>0</v>
      </c>
      <c r="EO50" s="409"/>
      <c r="EP50" s="398">
        <f>IF(EO50=0,0,IF(LEN(EC50)=11,_xlfn.XLOOKUP(EC50,'Dispensed Ink Rates'!C:C,'Dispensed Ink Rates'!CS:CS),VLOOKUP(EC50,'Jan-2026 rates'!$E:$F,2,0)))</f>
        <v>0</v>
      </c>
      <c r="EQ50" s="409"/>
      <c r="ER50" s="398">
        <f>IF(EQ50=0,0,IF(LEN(ED50)=11,_xlfn.XLOOKUP(ED50,'Dispensed Ink Rates'!C:C,'Dispensed Ink Rates'!CS:CS),VLOOKUP(ED50,'Jan-2026 rates'!$E:$F,2,0)))</f>
        <v>0</v>
      </c>
      <c r="ES50" s="409"/>
      <c r="ET50" s="398">
        <f>IF(ES50=0,0,IF(LEN(EE50)=11,_xlfn.XLOOKUP(EE50,'Dispensed Ink Rates'!C:C,'Dispensed Ink Rates'!CS:CS),VLOOKUP(EE50,'Jan-2026 rates'!$E:$F,2,0)))</f>
        <v>0</v>
      </c>
      <c r="EU50" s="409"/>
      <c r="EV50" s="398">
        <f>IF(EU50=0,0,IF(LEN(EF50)=11,_xlfn.XLOOKUP(EF50,'Dispensed Ink Rates'!C:C,'Dispensed Ink Rates'!CS:CS),VLOOKUP(EF50,'Jan-2026 rates'!$E:$F,2,0)))</f>
        <v>0</v>
      </c>
      <c r="EW50" s="409" t="s">
        <v>1443</v>
      </c>
      <c r="EX50" s="409">
        <v>26</v>
      </c>
      <c r="EY50" s="411">
        <f t="shared" si="13"/>
        <v>0</v>
      </c>
      <c r="EZ50" s="411">
        <f t="shared" si="14"/>
        <v>10.125</v>
      </c>
      <c r="FA50" s="410">
        <f t="shared" si="15"/>
        <v>0</v>
      </c>
      <c r="FB50" s="405" t="s">
        <v>544</v>
      </c>
      <c r="FC50" s="409" t="s">
        <v>2845</v>
      </c>
      <c r="FD50" s="420" t="str">
        <f t="shared" si="16"/>
        <v>FLINTSL - MAGENTA</v>
      </c>
      <c r="FE50" s="409">
        <v>22</v>
      </c>
      <c r="FF50" s="411">
        <f>IF(FE50=0,0,IF($LB50=70%,VLOOKUP($FD50,'Jan-2026 rates'!$L:$R,4,0),IF($LB50=65%,VLOOKUP($FD50,'Jan-2026 rates'!$L:$R,4,0),IF($LB50=40%,VLOOKUP($FD50,'Jan-2026 rates'!$L:$R,5,0),IF($LB50=30%,VLOOKUP($FD50,'Jan-2026 rates'!$L:$R,6,0),IF($LB50=100%,VLOOKUP($FD50,'Jan-2026 rates'!$L:$R,7,0),IF($LB50=60%,VLOOKUP($FD50,'Jan-2026 rates'!$L:$S,8,0),IF($LB50=80%,VLOOKUP($FD50,'Jan-2026 rates'!L:T,9,0),0))))))))</f>
        <v>0</v>
      </c>
      <c r="FG50" s="412"/>
      <c r="FH50" s="409"/>
      <c r="FI50" s="411">
        <f>IF(FH50=0,0,IF($LB50=70%,VLOOKUP($FD50,'Jan-2026 rates'!$L:$R,4,0),IF($LB50=65%,VLOOKUP($FD50,'Jan-2026 rates'!$L:$R,4,0),IF($LB50=40%,VLOOKUP($FD50,'Jan-2026 rates'!$L:$R,5,0),IF($LB50=30%,VLOOKUP($FD50,'Jan-2026 rates'!$L:$R,6,0),IF($LB50=100%,VLOOKUP($FD50,'Jan-2026 rates'!$L:$R,7,0),IF($LB50=60%,VLOOKUP($FD50,'Jan-2026 rates'!$L:$S,8,0),IF($LB50=80%,VLOOKUP($FD50,'Jan-2026 rates'!L:T,9,0),0))))))))</f>
        <v>0</v>
      </c>
      <c r="FJ50" s="413">
        <v>25863000024</v>
      </c>
      <c r="FK50" s="413"/>
      <c r="FL50" s="413"/>
      <c r="FM50" s="412"/>
      <c r="FN50" s="412"/>
      <c r="FO50" s="412"/>
      <c r="FP50" s="412"/>
      <c r="FQ50" s="412"/>
      <c r="FR50" s="409">
        <v>3</v>
      </c>
      <c r="FS50" s="398" t="e">
        <f>IF(FR50=0,0,IF(LEN(FJ50)=11,_xlfn.XLOOKUP(FJ50,'Dispensed Ink Rates'!C:C,'Dispensed Ink Rates'!CS:CS),VLOOKUP(FJ50,'Jan-2026 rates'!$E:$F,2,0)))</f>
        <v>#N/A</v>
      </c>
      <c r="FT50" s="409"/>
      <c r="FU50" s="398">
        <f>IF(FT50=0,0,IF(LEN(FK50)=11,_xlfn.XLOOKUP(FK50,'Dispensed Ink Rates'!C:C,'Dispensed Ink Rates'!CS:CS),VLOOKUP(FK50,'Jan-2026 rates'!$E:$F,2,0)))</f>
        <v>0</v>
      </c>
      <c r="FV50" s="409"/>
      <c r="FW50" s="398">
        <f>IF(FV50=0,0,IF(LEN(FL50)=11,_xlfn.XLOOKUP(FL50,'Dispensed Ink Rates'!C:C,'Dispensed Ink Rates'!CS:CS),VLOOKUP(FL50,'Jan-2026 rates'!$E:$F,2,0)))</f>
        <v>0</v>
      </c>
      <c r="FX50" s="409"/>
      <c r="FY50" s="398">
        <f>IF(FX50=0,0,IF(LEN(FM50)=11,_xlfn.XLOOKUP(FM50,'Dispensed Ink Rates'!C:C,'Dispensed Ink Rates'!CS:CS),VLOOKUP(FM50,'Jan-2026 rates'!$E:$F,2,0)))</f>
        <v>0</v>
      </c>
      <c r="FZ50" s="409"/>
      <c r="GA50" s="398">
        <f>IF(FZ50=0,0,IF(LEN(FN50)=11,_xlfn.XLOOKUP(FN50,'Dispensed Ink Rates'!C:C,'Dispensed Ink Rates'!CS:CS),VLOOKUP(FN50,'Jan-2026 rates'!$E:$F,2,0)))</f>
        <v>0</v>
      </c>
      <c r="GB50" s="409"/>
      <c r="GC50" s="398">
        <f>IF(GB50=0,0,IF(LEN(FO50)=11,_xlfn.XLOOKUP(FO50,'Dispensed Ink Rates'!C:C,'Dispensed Ink Rates'!CS:CS),VLOOKUP(FO50,'Jan-2026 rates'!$E:$F,2,0)))</f>
        <v>0</v>
      </c>
      <c r="GD50" s="409"/>
      <c r="GE50" s="398">
        <f>IF(GD50=0,0,IF(LEN(FP50)=11,_xlfn.XLOOKUP(FP50,'Dispensed Ink Rates'!C:C,'Dispensed Ink Rates'!CS:CS),VLOOKUP(FP50,'Jan-2026 rates'!$E:$F,2,0)))</f>
        <v>0</v>
      </c>
      <c r="GF50" s="409"/>
      <c r="GG50" s="398">
        <f>IF(GF50=0,0,IF(LEN(FQ50)=11,_xlfn.XLOOKUP(FQ50,'Dispensed Ink Rates'!C:C,'Dispensed Ink Rates'!CS:CS),VLOOKUP(FQ50,'Jan-2026 rates'!$E:$F,2,0)))</f>
        <v>0</v>
      </c>
      <c r="GH50" s="409" t="s">
        <v>1443</v>
      </c>
      <c r="GI50" s="409">
        <v>25</v>
      </c>
      <c r="GJ50" s="411">
        <f t="shared" si="17"/>
        <v>0</v>
      </c>
      <c r="GK50" s="411">
        <f t="shared" si="18"/>
        <v>10.125</v>
      </c>
      <c r="GL50" s="410">
        <f t="shared" si="19"/>
        <v>0</v>
      </c>
      <c r="GM50" s="405" t="s">
        <v>545</v>
      </c>
      <c r="GN50" s="409" t="s">
        <v>2845</v>
      </c>
      <c r="GO50" s="420" t="str">
        <f t="shared" si="20"/>
        <v>FLINTSL - YELLOW</v>
      </c>
      <c r="GP50" s="409">
        <v>25</v>
      </c>
      <c r="GQ50" s="411">
        <f>IF(GP50=0,0,IF($LB50=70%,VLOOKUP($GO50,'Jan-2026 rates'!$L:$R,4,0),IF($LB50=65%,VLOOKUP($GO50,'Jan-2026 rates'!$L:$R,4,0),IF($LB50=40%,VLOOKUP($GO50,'Jan-2026 rates'!$L:$R,5,0),IF($LB50=30%,VLOOKUP($GO50,'Jan-2026 rates'!$L:$R,6,0),IF($LB50=100%,VLOOKUP($GO50,'Jan-2026 rates'!$L:$R,7,0),IF($LB50=60%,VLOOKUP($GO50,'Jan-2026 rates'!$L:$S,8,0),IF($LB50=80%,VLOOKUP($GO50,'Jan-2026 rates'!L:T,9,0),0))))))))</f>
        <v>0</v>
      </c>
      <c r="GR50" s="412"/>
      <c r="GS50" s="409"/>
      <c r="GT50" s="411">
        <f>IF(GS50=0,0,IF($LB50=70%,VLOOKUP($GO50,'Jan-2026 rates'!$L:$R,4,0),IF($LB50=65%,VLOOKUP($GO50,'Jan-2026 rates'!$L:$R,4,0),IF($LB50=40%,VLOOKUP($GO50,'Jan-2026 rates'!$L:$R,5,0),IF($LB50=30%,VLOOKUP($GO50,'Jan-2026 rates'!$L:$R,6,0),IF($LB50=100%,VLOOKUP($GO50,'Jan-2026 rates'!$L:$R,7,0),IF($LB50=60%,VLOOKUP($GO50,'Jan-2026 rates'!$L:$S,8,0),IF($LB50=80%,VLOOKUP($GO50,'Jan-2026 rates'!L:T,9,0),0))))))))</f>
        <v>0</v>
      </c>
      <c r="GU50" s="413">
        <v>25864000008</v>
      </c>
      <c r="GV50" s="413" t="s">
        <v>1266</v>
      </c>
      <c r="GW50" s="412"/>
      <c r="GX50" s="412"/>
      <c r="GY50" s="412"/>
      <c r="GZ50" s="412"/>
      <c r="HA50" s="412"/>
      <c r="HB50" s="412"/>
      <c r="HC50" s="409">
        <v>4</v>
      </c>
      <c r="HD50" s="398" t="e">
        <f>IF(HC50=0,0,IF(LEN(GU50)=11,_xlfn.XLOOKUP(GU50,'Dispensed Ink Rates'!C:C,'Dispensed Ink Rates'!CS:CS),VLOOKUP(GU50,'Jan-2026 rates'!$E:$F,2,0)))</f>
        <v>#N/A</v>
      </c>
      <c r="HE50" s="409">
        <v>5</v>
      </c>
      <c r="HF50" s="398">
        <f>IF(HE50=0,0,IF(LEN(GV50)=11,_xlfn.XLOOKUP(GV50,'Dispensed Ink Rates'!C:C,'Dispensed Ink Rates'!CS:CS),VLOOKUP(GV50,'Jan-2026 rates'!$E:$F,2,0)))</f>
        <v>0</v>
      </c>
      <c r="HG50" s="409"/>
      <c r="HH50" s="398">
        <f>IF(HG50=0,0,IF(LEN(GW50)=11,_xlfn.XLOOKUP(GW50,'Dispensed Ink Rates'!C:C,'Dispensed Ink Rates'!CS:CS),VLOOKUP(GW50,'Jan-2026 rates'!$E:$F,2,0)))</f>
        <v>0</v>
      </c>
      <c r="HI50" s="409"/>
      <c r="HJ50" s="398">
        <f>IF(HI50=0,0,IF(LEN(GX50)=11,_xlfn.XLOOKUP(GX50,'Dispensed Ink Rates'!C:C,'Dispensed Ink Rates'!CS:CS),VLOOKUP(GX50,'Jan-2026 rates'!$E:$F,2,0)))</f>
        <v>0</v>
      </c>
      <c r="HK50" s="409"/>
      <c r="HL50" s="398">
        <f>IF(HK50=0,0,IF(LEN(GY50)=11,_xlfn.XLOOKUP(GY50,'Dispensed Ink Rates'!C:C,'Dispensed Ink Rates'!CS:CS),VLOOKUP(GY50,'Jan-2026 rates'!$E:$F,2,0)))</f>
        <v>0</v>
      </c>
      <c r="HM50" s="409"/>
      <c r="HN50" s="398">
        <f>IF(HM50=0,0,IF(LEN(GZ50)=11,_xlfn.XLOOKUP(GZ50,'Dispensed Ink Rates'!C:C,'Dispensed Ink Rates'!CS:CS),VLOOKUP(GZ50,'Jan-2026 rates'!$E:$F,2,0)))</f>
        <v>0</v>
      </c>
      <c r="HO50" s="409"/>
      <c r="HP50" s="398">
        <f>IF(HO50=0,0,IF(LEN(HA50)=11,_xlfn.XLOOKUP(HA50,'Dispensed Ink Rates'!C:C,'Dispensed Ink Rates'!CS:CS),VLOOKUP(HA50,'Jan-2026 rates'!$E:$F,2,0)))</f>
        <v>0</v>
      </c>
      <c r="HQ50" s="409"/>
      <c r="HR50" s="398">
        <f>IF(HQ50=0,0,IF(LEN(HB50)=11,_xlfn.XLOOKUP(HB50,'Dispensed Ink Rates'!C:C,'Dispensed Ink Rates'!CS:CS),VLOOKUP(HB50,'Jan-2026 rates'!$E:$F,2,0)))</f>
        <v>0</v>
      </c>
      <c r="HS50" s="409" t="s">
        <v>1443</v>
      </c>
      <c r="HT50" s="409">
        <v>30</v>
      </c>
      <c r="HU50" s="411">
        <f t="shared" si="21"/>
        <v>0</v>
      </c>
      <c r="HV50" s="411">
        <f t="shared" si="22"/>
        <v>17.5</v>
      </c>
      <c r="HW50" s="414">
        <f t="shared" si="23"/>
        <v>0</v>
      </c>
      <c r="HX50" s="405" t="s">
        <v>545</v>
      </c>
      <c r="HY50" s="409"/>
      <c r="HZ50" s="420" t="str">
        <f t="shared" si="24"/>
        <v>FLINTSL - YELLOW</v>
      </c>
      <c r="IA50" s="409"/>
      <c r="IB50" s="411">
        <f>IF(IA50=0,0,IF($LB50=70%,VLOOKUP($HZ50,'Jan-2026 rates'!$L:$R,4,0),IF($LB50=65%,VLOOKUP($HZ50,'Jan-2026 rates'!$L:$R,4,0),IF($LB50=40%,VLOOKUP($HZ50,'Jan-2026 rates'!$L:$R,5,0),IF($LB50=30%,VLOOKUP($HZ50,'Jan-2026 rates'!$L:$R,6,0),IF($LB50=100%,VLOOKUP($HZ50,'Jan-2026 rates'!$L:$R,7,0),IF($LB50=60%,VLOOKUP($HZ50,'Jan-2026 rates'!$L:$S,8,0),IF($LB50=80%,VLOOKUP($HZ50,'Jan-2026 rates'!L:T,9,0),0))))))))</f>
        <v>0</v>
      </c>
      <c r="IC50" s="412"/>
      <c r="ID50" s="409"/>
      <c r="IE50" s="411">
        <f>IF(ID50=0,0,IF($LB50=70%,VLOOKUP($HZ50,'Jan-2026 rates'!$L:$R,4,0),IF($LB50=65%,VLOOKUP($HZ50,'Jan-2026 rates'!$L:$R,4,0),IF($LB50=40%,VLOOKUP($HZ50,'Jan-2026 rates'!$L:$R,5,0),IF($LB50=30%,VLOOKUP($HZ50,'Jan-2026 rates'!$L:$R,6,0),IF($LB50=100%,VLOOKUP($HZ50,'Jan-2026 rates'!$L:$R,7,0),IF($LB50=60%,VLOOKUP($HZ50,'Jan-2026 rates'!$L:$S,8,0),IF($LB50=80%,VLOOKUP($HZ50,'Jan-2026 rates'!L:T,9,0),0))))))))</f>
        <v>0</v>
      </c>
      <c r="IF50" s="412">
        <v>26502000006</v>
      </c>
      <c r="IG50" s="413">
        <v>25864000008</v>
      </c>
      <c r="IH50" s="412">
        <v>26503000004</v>
      </c>
      <c r="II50" s="412"/>
      <c r="IJ50" s="412"/>
      <c r="IK50" s="412"/>
      <c r="IL50" s="412"/>
      <c r="IM50" s="412"/>
      <c r="IN50" s="409">
        <v>40</v>
      </c>
      <c r="IO50" s="398" t="e">
        <f>IF(IN50=0,0,IF(LEN(IF50)=11,_xlfn.XLOOKUP(IF50,'Dispensed Ink Rates'!C:C,'Dispensed Ink Rates'!CS:CS),VLOOKUP(IF50,'Jan-2026 rates'!$E:$F,2,0)))</f>
        <v>#N/A</v>
      </c>
      <c r="IP50" s="409">
        <v>5</v>
      </c>
      <c r="IQ50" s="398" t="e">
        <f>IF(IP50=0,0,IF(LEN(IG50)=11,_xlfn.XLOOKUP(IG50,'Dispensed Ink Rates'!C:C,'Dispensed Ink Rates'!CS:CS),VLOOKUP(IG50,'Jan-2026 rates'!$E:$F,2,0)))</f>
        <v>#N/A</v>
      </c>
      <c r="IR50" s="409">
        <v>30</v>
      </c>
      <c r="IS50" s="398" t="e">
        <f>IF(IR50=0,0,IF(LEN(IH50)=11,_xlfn.XLOOKUP(IH50,'Dispensed Ink Rates'!C:C,'Dispensed Ink Rates'!CS:CS),VLOOKUP(IH50,'Jan-2026 rates'!$E:$F,2,0)))</f>
        <v>#N/A</v>
      </c>
      <c r="IT50" s="409"/>
      <c r="IU50" s="398">
        <f>IF(IT50=0,0,IF(LEN(II50)=11,_xlfn.XLOOKUP(II50,'Dispensed Ink Rates'!C:C,'Dispensed Ink Rates'!CS:CS),VLOOKUP(II50,'Jan-2026 rates'!$E:$F,2,0)))</f>
        <v>0</v>
      </c>
      <c r="IV50" s="409"/>
      <c r="IW50" s="398">
        <f>IF(IV50=0,0,IF(LEN(IJ50)=11,_xlfn.XLOOKUP(IJ50,'Dispensed Ink Rates'!C:C,'Dispensed Ink Rates'!CS:CS),VLOOKUP(IJ50,'Jan-2026 rates'!$E:$F,2,0)))</f>
        <v>0</v>
      </c>
      <c r="IX50" s="409"/>
      <c r="IY50" s="398">
        <f>IF(IX50=0,0,IF(LEN(IK50)=11,_xlfn.XLOOKUP(IK50,'Dispensed Ink Rates'!C:C,'Dispensed Ink Rates'!CS:CS),VLOOKUP(IK50,'Jan-2026 rates'!$E:$F,2,0)))</f>
        <v>0</v>
      </c>
      <c r="IZ50" s="409"/>
      <c r="JA50" s="398">
        <f>IF(IZ50=0,0,IF(LEN(IL50)=11,_xlfn.XLOOKUP(IL50,'Dispensed Ink Rates'!C:C,'Dispensed Ink Rates'!CS:CS),VLOOKUP(IL50,'Jan-2026 rates'!$E:$F,2,0)))</f>
        <v>0</v>
      </c>
      <c r="JB50" s="409"/>
      <c r="JC50" s="398">
        <f>IF(JB50=0,0,IF(LEN(IM50)=11,_xlfn.XLOOKUP(IM50,'Dispensed Ink Rates'!C:C,'Dispensed Ink Rates'!CS:CS),VLOOKUP(IM50,'Jan-2026 rates'!$E:$F,2,0)))</f>
        <v>0</v>
      </c>
      <c r="JD50" s="409" t="s">
        <v>1443</v>
      </c>
      <c r="JE50" s="409">
        <v>30</v>
      </c>
      <c r="JF50" s="411">
        <f t="shared" si="25"/>
        <v>0</v>
      </c>
      <c r="JG50" s="411">
        <f t="shared" si="26"/>
        <v>58.5</v>
      </c>
      <c r="JH50" s="410">
        <f t="shared" si="27"/>
        <v>0</v>
      </c>
      <c r="JI50" s="405" t="s">
        <v>856</v>
      </c>
      <c r="JJ50" s="409" t="s">
        <v>2846</v>
      </c>
      <c r="JK50" s="420" t="str">
        <f t="shared" si="28"/>
        <v>KSA Ink Product - WHITE</v>
      </c>
      <c r="JL50" s="409">
        <v>29</v>
      </c>
      <c r="JM50" s="411">
        <f>IF(JL50=0,0,IF($LB50=70%,VLOOKUP($JK50,'Jan-2026 rates'!$L:$R,4,0),IF($LB50=65%,VLOOKUP($JK50,'Jan-2026 rates'!$L:$R,4,0),IF($LB50=40%,VLOOKUP($JK50,'Jan-2026 rates'!$L:$R,5,0),IF($LB50=30%,VLOOKUP($JK50,'Jan-2026 rates'!$L:$R,6,0),IF($LB50=100%,VLOOKUP($JK50,'Jan-2026 rates'!$L:$R,7,0),IF($LB50=60%,VLOOKUP($JK50,'Jan-2026 rates'!$L:$S,8,0),IF($LB50=80%,VLOOKUP($JK50,'Jan-2026 rates'!L:T,9,0),0))))))))</f>
        <v>0</v>
      </c>
      <c r="JN50" s="412"/>
      <c r="JO50" s="409"/>
      <c r="JP50" s="411">
        <f>IF(JO50=0,0,IF($LB50=70%,VLOOKUP($JK50,'Jan-2026 rates'!$L:$R,4,0),IF($LB50=65%,VLOOKUP($JK50,'Jan-2026 rates'!$L:$R,4,0),IF($LB50=40%,VLOOKUP($JK50,'Jan-2026 rates'!$L:$R,5,0),IF($LB50=30%,VLOOKUP($JK50,'Jan-2026 rates'!$L:$R,6,0),IF($LB50=100%,VLOOKUP($JK50,'Jan-2026 rates'!$L:$R,7,0),IF($LB50=60%,VLOOKUP($JK50,'Jan-2026 rates'!$L:$S,8,0),IF($LB50=80%,VLOOKUP($JK50,'Jan-2026 rates'!L:T,9,0),0))))))))</f>
        <v>0</v>
      </c>
      <c r="JQ50" s="413">
        <v>2000</v>
      </c>
      <c r="JR50" s="412">
        <v>165</v>
      </c>
      <c r="JS50" s="413"/>
      <c r="JT50" s="413"/>
      <c r="JU50" s="412"/>
      <c r="JV50" s="412"/>
      <c r="JW50" s="412"/>
      <c r="JX50" s="412"/>
      <c r="JY50" s="409">
        <v>50</v>
      </c>
      <c r="JZ50" s="398">
        <f>IF(JY50=0,0,IF(LEN(JQ50)=11,_xlfn.XLOOKUP(JQ50,'Dispensed Ink Rates'!C:C,'Dispensed Ink Rates'!CS:CS),VLOOKUP(JQ50,'Jan-2026 rates'!$E:$F,2,0)))</f>
        <v>0</v>
      </c>
      <c r="KA50" s="409">
        <v>1.93</v>
      </c>
      <c r="KB50" s="398">
        <f>IF(KA50=0,0,IF(LEN(JR50)=11,_xlfn.XLOOKUP(JR50,'Dispensed Ink Rates'!C:C,'Dispensed Ink Rates'!CS:CS),VLOOKUP(JR50,'Jan-2026 rates'!$E:$F,2,0)))</f>
        <v>0</v>
      </c>
      <c r="KC50" s="409"/>
      <c r="KD50" s="398">
        <f>IF(KC50=0,0,IF(LEN(JS50)=11,_xlfn.XLOOKUP(JS50,'Dispensed Ink Rates'!C:C,'Dispensed Ink Rates'!CS:CS),VLOOKUP(JS50,'Jan-2026 rates'!$E:$F,2,0)))</f>
        <v>0</v>
      </c>
      <c r="KE50" s="409"/>
      <c r="KF50" s="398">
        <f>IF(KE50=0,0,IF(LEN(JT50)=11,_xlfn.XLOOKUP(JT50,'Dispensed Ink Rates'!C:C,'Dispensed Ink Rates'!CS:CS),VLOOKUP(JT50,'Jan-2026 rates'!$E:$F,2,0)))</f>
        <v>0</v>
      </c>
      <c r="KG50" s="409"/>
      <c r="KH50" s="398">
        <f>IF(KG50=0,0,IF(LEN(JU50)=11,_xlfn.XLOOKUP(JU50,'Dispensed Ink Rates'!C:C,'Dispensed Ink Rates'!CS:CS),VLOOKUP(JU50,'Jan-2026 rates'!$E:$F,2,0)))</f>
        <v>0</v>
      </c>
      <c r="KI50" s="409"/>
      <c r="KJ50" s="398">
        <f>IF(KI50=0,0,IF(LEN(JV50)=11,_xlfn.XLOOKUP(JV50,'Dispensed Ink Rates'!C:C,'Dispensed Ink Rates'!CS:CS),VLOOKUP(JV50,'Jan-2026 rates'!$E:$F,2,0)))</f>
        <v>0</v>
      </c>
      <c r="KK50" s="409"/>
      <c r="KL50" s="398">
        <f>IF(KK50=0,0,IF(LEN(JW50)=11,_xlfn.XLOOKUP(JW50,'Dispensed Ink Rates'!C:C,'Dispensed Ink Rates'!CS:CS),VLOOKUP(JW50,'Jan-2026 rates'!$E:$F,2,0)))</f>
        <v>0</v>
      </c>
      <c r="KM50" s="428"/>
      <c r="KN50" s="398">
        <f>IF(KM50=0,0,IF(LEN(JX50)=11,_xlfn.XLOOKUP(JX50,'Dispensed Ink Rates'!C:C,'Dispensed Ink Rates'!CS:CS),VLOOKUP(JX50,'Jan-2026 rates'!$E:$F,2,0)))</f>
        <v>0</v>
      </c>
      <c r="KO50" s="409" t="s">
        <v>1091</v>
      </c>
      <c r="KP50" s="409">
        <v>30</v>
      </c>
      <c r="KQ50" s="411">
        <f t="shared" si="29"/>
        <v>0</v>
      </c>
      <c r="KR50" s="411">
        <f t="shared" si="30"/>
        <v>152.18</v>
      </c>
      <c r="KS50" s="410">
        <f t="shared" si="31"/>
        <v>0</v>
      </c>
      <c r="KT50" s="409">
        <v>3</v>
      </c>
      <c r="KU50" s="409">
        <v>5</v>
      </c>
      <c r="KV50" s="409">
        <v>4</v>
      </c>
      <c r="KW50" s="409">
        <v>3</v>
      </c>
      <c r="KX50" s="409">
        <v>3</v>
      </c>
      <c r="KY50" s="409">
        <v>4</v>
      </c>
      <c r="KZ50" s="409">
        <v>4</v>
      </c>
      <c r="LA50" s="409">
        <v>30</v>
      </c>
      <c r="LB50" s="415">
        <v>0.8</v>
      </c>
      <c r="LC50" s="415">
        <v>0.2</v>
      </c>
      <c r="LD50" s="415"/>
      <c r="LE50" s="415"/>
      <c r="LF50" s="415"/>
      <c r="LG50" s="409">
        <v>0</v>
      </c>
      <c r="LH50" s="409">
        <f>30+30+96+24+5+4</f>
        <v>189</v>
      </c>
      <c r="LI50" s="409">
        <v>0</v>
      </c>
      <c r="LJ50" s="409">
        <v>0</v>
      </c>
      <c r="LK50" s="416">
        <f t="shared" si="32"/>
        <v>189</v>
      </c>
      <c r="LL50" s="416">
        <f t="shared" si="33"/>
        <v>189</v>
      </c>
      <c r="LM50" s="417">
        <f t="shared" si="34"/>
        <v>151.20000000000002</v>
      </c>
      <c r="LN50" s="417">
        <f>VLOOKUP($LM$8,'Jan-2026 rates'!$H:$I,2,0)</f>
        <v>0</v>
      </c>
      <c r="LO50" s="417">
        <f t="shared" si="35"/>
        <v>37.800000000000004</v>
      </c>
      <c r="LP50" s="417">
        <f>VLOOKUP($LO$8,'Jan-2026 rates'!$H:$I,2,0)</f>
        <v>0</v>
      </c>
      <c r="LQ50" s="417">
        <f t="shared" si="36"/>
        <v>0</v>
      </c>
      <c r="LR50" s="417">
        <f>VLOOKUP($LQ$8,'Jan-2026 rates'!$H:$I,2,0)</f>
        <v>0</v>
      </c>
      <c r="LS50" s="417">
        <f t="shared" si="37"/>
        <v>0</v>
      </c>
      <c r="LT50" s="417">
        <f>VLOOKUP($LS$8,'Jan-2026 rates'!$H:$I,2,0)</f>
        <v>0</v>
      </c>
      <c r="LU50" s="417">
        <f t="shared" si="38"/>
        <v>0</v>
      </c>
      <c r="LV50" s="417">
        <f>VLOOKUP($LU$8,'Jan-2026 rates'!$H:$I,2,0)</f>
        <v>0</v>
      </c>
      <c r="LW50" s="417">
        <f t="shared" si="39"/>
        <v>0</v>
      </c>
      <c r="LX50" s="417">
        <f t="shared" si="40"/>
        <v>0</v>
      </c>
      <c r="LY50" s="418">
        <f t="shared" si="41"/>
        <v>0</v>
      </c>
      <c r="LZ50" s="417"/>
      <c r="MA50" s="435">
        <f t="shared" si="42"/>
        <v>198.93</v>
      </c>
      <c r="MB50" s="282">
        <f t="shared" si="43"/>
        <v>328.93</v>
      </c>
      <c r="MC50" s="283">
        <v>5</v>
      </c>
      <c r="MD50" s="284" t="str">
        <f t="shared" si="44"/>
        <v>FLINTSLFLINTSLFLINTSLFLINTSLFLINTSLFLINTSLFLINTSLKSA Ink Product</v>
      </c>
      <c r="ME50" s="293" t="str">
        <f t="shared" si="45"/>
        <v>+</v>
      </c>
      <c r="MF50" s="293" t="str">
        <f t="shared" si="46"/>
        <v>+</v>
      </c>
      <c r="MG50" s="293" t="str">
        <f t="shared" si="47"/>
        <v>+</v>
      </c>
      <c r="MH50" s="293" t="str">
        <f t="shared" si="48"/>
        <v>+</v>
      </c>
      <c r="MI50" s="293" t="str">
        <f t="shared" si="49"/>
        <v>+</v>
      </c>
      <c r="MJ50" s="293" t="str">
        <f t="shared" si="50"/>
        <v>+</v>
      </c>
      <c r="MK50" s="293" t="str">
        <f t="shared" si="51"/>
        <v>+</v>
      </c>
      <c r="ML50" s="293" t="str">
        <f t="shared" si="52"/>
        <v>+</v>
      </c>
      <c r="MM50" s="3" t="b">
        <f t="array" ref="MM50">OR(ME50:ML50="-")</f>
        <v>0</v>
      </c>
      <c r="MN50" s="285"/>
      <c r="MO50" s="401"/>
      <c r="MP50" s="286"/>
      <c r="MQ50" s="286"/>
      <c r="MR50" s="402"/>
      <c r="MS50" s="400"/>
      <c r="NH50" s="422"/>
      <c r="NJ50" s="421"/>
    </row>
    <row r="51" spans="1:374" s="1" customFormat="1" ht="16.5">
      <c r="A51" s="403">
        <v>46025</v>
      </c>
      <c r="B51" s="404" t="s">
        <v>1015</v>
      </c>
      <c r="C51" s="405" t="s">
        <v>2847</v>
      </c>
      <c r="D51" s="406">
        <v>6</v>
      </c>
      <c r="E51" s="404">
        <v>497</v>
      </c>
      <c r="F51" s="407">
        <v>26200</v>
      </c>
      <c r="G51" s="407" t="s">
        <v>1019</v>
      </c>
      <c r="H51" s="408" t="s">
        <v>1017</v>
      </c>
      <c r="I51" s="409">
        <v>0.1</v>
      </c>
      <c r="J51" s="405" t="s">
        <v>543</v>
      </c>
      <c r="K51" s="404" t="s">
        <v>2848</v>
      </c>
      <c r="L51" s="419" t="str">
        <f t="shared" si="0"/>
        <v>FLINTSL - BLACK</v>
      </c>
      <c r="M51" s="404">
        <v>27</v>
      </c>
      <c r="N51" s="410">
        <f>IF(M51=0,0,IF($LB51=70%,VLOOKUP($L51,'Jan-2026 rates'!$L:$R,4,0),IF($LB51=65%,VLOOKUP($L51,'Jan-2026 rates'!$L:$R,4,0),IF($LB51=40%,VLOOKUP($L51,'Jan-2026 rates'!$L:$R,5,0),IF($LB51=30%,VLOOKUP($L51,'Jan-2026 rates'!$L:$R,6,0),IF($LB51=100%,VLOOKUP($L51,'Jan-2026 rates'!$L:$R,7,0),IF($LB51=60%,VLOOKUP($L51,'Jan-2026 rates'!$L:$S,8,0),IF($LB51=80%,VLOOKUP($L51,'Jan-2026 rates'!L:T,9,0),0))))))))</f>
        <v>0</v>
      </c>
      <c r="O51" s="406"/>
      <c r="P51" s="404"/>
      <c r="Q51" s="410">
        <f>IF(P51=0,0,IF($LB51=70%,VLOOKUP($L51,'Jan-2026 rates'!$L:$R,4,0),IF($LB51=65%,VLOOKUP($L51,'Jan-2026 rates'!$L:$R,4,0),IF($LB51=40%,VLOOKUP($L51,'Jan-2026 rates'!$L:$R,5,0),IF($LB51=30%,VLOOKUP($L51,'Jan-2026 rates'!$L:$R,6,0),IF($LB51=100%,VLOOKUP($L51,'Jan-2026 rates'!$L:$R,7,0),IF($LB51=60%,VLOOKUP($L51,'Jan-2026 rates'!$L:$S,8,0),IF($LB51=80%,VLOOKUP($L51,'Jan-2026 rates'!L:T,9,0),0))))))))</f>
        <v>0</v>
      </c>
      <c r="R51" s="406">
        <v>25862000007</v>
      </c>
      <c r="S51" s="406"/>
      <c r="T51" s="406"/>
      <c r="U51" s="406"/>
      <c r="V51" s="406"/>
      <c r="W51" s="406"/>
      <c r="X51" s="406"/>
      <c r="Y51" s="406"/>
      <c r="Z51" s="404">
        <v>14</v>
      </c>
      <c r="AA51" s="398" t="e">
        <f>IF(Z51=0,0,IF(LEN(R51)=11,_xlfn.XLOOKUP(R51,'Dispensed Ink Rates'!C:C,'Dispensed Ink Rates'!CS:CS),VLOOKUP(R51,'Jan-2026 rates'!$E:$F,2,0)))</f>
        <v>#N/A</v>
      </c>
      <c r="AB51" s="404"/>
      <c r="AC51" s="398">
        <f>IF(AB51=0,0,IF(LEN(S51)=11,_xlfn.XLOOKUP(S51,'Dispensed Ink Rates'!C:C,'Dispensed Ink Rates'!CS:CS),VLOOKUP(S51,'Jan-2026 rates'!$E:$F,2,0)))</f>
        <v>0</v>
      </c>
      <c r="AD51" s="404"/>
      <c r="AE51" s="398">
        <f>IF(AD51=0,0,IF(LEN(T51)=11,_xlfn.XLOOKUP(T51,'Dispensed Ink Rates'!C:C,'Dispensed Ink Rates'!CS:CS),VLOOKUP(T51,'Jan-2026 rates'!$E:$F,2,0)))</f>
        <v>0</v>
      </c>
      <c r="AF51" s="404"/>
      <c r="AG51" s="398">
        <f>IF(AF51=0,0,IF(LEN(U51)=11,_xlfn.XLOOKUP(U51,'Dispensed Ink Rates'!C:C,'Dispensed Ink Rates'!CS:CS),VLOOKUP(U51,'Jan-2026 rates'!$E:$F,2,0)))</f>
        <v>0</v>
      </c>
      <c r="AH51" s="404"/>
      <c r="AI51" s="398">
        <f>IF(AH51=0,0,IF(LEN(V51)=11,_xlfn.XLOOKUP(V51,'Dispensed Ink Rates'!C:C,'Dispensed Ink Rates'!CS:CS),VLOOKUP(V51,'Jan-2026 rates'!$E:$F,2,0)))</f>
        <v>0</v>
      </c>
      <c r="AJ51" s="404"/>
      <c r="AK51" s="398">
        <f>IF(AJ51=0,0,IF(LEN(W51)=11,_xlfn.XLOOKUP(W51,'Dispensed Ink Rates'!C:C,'Dispensed Ink Rates'!CS:CS),VLOOKUP(W51,'Jan-2026 rates'!$E:$F,2,0)))</f>
        <v>0</v>
      </c>
      <c r="AL51" s="404"/>
      <c r="AM51" s="398">
        <f>IF(AL51=0,0,IF(LEN(X51)=11,_xlfn.XLOOKUP(X51,'Dispensed Ink Rates'!C:C,'Dispensed Ink Rates'!CS:CS),VLOOKUP(X51,'Jan-2026 rates'!$E:$F,2,0)))</f>
        <v>0</v>
      </c>
      <c r="AN51" s="404"/>
      <c r="AO51" s="398">
        <f>IF(AN51=0,0,IF(LEN(Y51)=11,_xlfn.XLOOKUP(Y51,'Dispensed Ink Rates'!C:C,'Dispensed Ink Rates'!CS:CS),VLOOKUP(Y51,'Jan-2026 rates'!$E:$F,2,0)))</f>
        <v>0</v>
      </c>
      <c r="AP51" s="409" t="s">
        <v>1443</v>
      </c>
      <c r="AQ51" s="409">
        <v>29</v>
      </c>
      <c r="AR51" s="410">
        <f t="shared" si="1"/>
        <v>0</v>
      </c>
      <c r="AS51" s="411">
        <f t="shared" si="2"/>
        <v>54</v>
      </c>
      <c r="AT51" s="410">
        <f t="shared" si="3"/>
        <v>0</v>
      </c>
      <c r="AU51" s="405"/>
      <c r="AV51" s="409"/>
      <c r="AW51" s="420" t="str">
        <f t="shared" si="53"/>
        <v xml:space="preserve"> - </v>
      </c>
      <c r="AX51" s="409"/>
      <c r="AY51" s="411">
        <f>IF(AX51=0,0,IF($LB51=70%,VLOOKUP($AW51,'Jan-2026 rates'!$L:$R,4,0),IF($LB51=65%,VLOOKUP($AW51,'Jan-2026 rates'!$L:$R,4,0),IF($LB51=40%,VLOOKUP($AW51,'Jan-2026 rates'!$L:$R,5,0),IF($LB51=30%,VLOOKUP($AW51,'Jan-2026 rates'!$L:$R,6,0),IF($LB51=100%,VLOOKUP($AW51,'Jan-2026 rates'!$L:$R,7,0),IF($LB51=60%,VLOOKUP($AW51,'Jan-2026 rates'!$L:$S,8,0),IF($LB51=80%,VLOOKUP($AW51,'Jan-2026 rates'!L:T,9,0),0))))))))</f>
        <v>0</v>
      </c>
      <c r="AZ51" s="412"/>
      <c r="BA51" s="409"/>
      <c r="BB51" s="411">
        <f>IF(BA51=0,0,IF($LB51=70%,VLOOKUP($AW51,'Jan-2026 rates'!$L:$R,4,0),IF($LB51=65%,VLOOKUP($AW51,'Jan-2026 rates'!$L:$R,4,0),IF($LB51=40%,VLOOKUP($AW51,'Jan-2026 rates'!$L:$R,5,0),IF($LB51=30%,VLOOKUP($AW51,'Jan-2026 rates'!$L:$R,6,0),IF($LB51=100%,VLOOKUP($AW51,'Jan-2026 rates'!$L:$R,7,0),IF($LB51=60%,VLOOKUP($AW51,'Jan-2026 rates'!$L:$S,8,0),IF($LB51=80%,VLOOKUP($AW51,'Jan-2026 rates'!L:T,9,0),0))))))))</f>
        <v>0</v>
      </c>
      <c r="BC51" s="413"/>
      <c r="BD51" s="412"/>
      <c r="BE51" s="412"/>
      <c r="BF51" s="413"/>
      <c r="BG51" s="412"/>
      <c r="BH51" s="412"/>
      <c r="BI51" s="412"/>
      <c r="BJ51" s="412"/>
      <c r="BK51" s="409"/>
      <c r="BL51" s="398">
        <f>IF(BK51=0,0,IF(LEN(BC51)=11,_xlfn.XLOOKUP(BC51,'Dispensed Ink Rates'!C:C,'Dispensed Ink Rates'!CS:CS),VLOOKUP(BC51,'Jan-2026 rates'!$E:$F,2,0)))</f>
        <v>0</v>
      </c>
      <c r="BM51" s="409"/>
      <c r="BN51" s="398">
        <f>IF(BM51=0,0,IF(LEN(BD51)=11,_xlfn.XLOOKUP(BD51,'Dispensed Ink Rates'!C:C,'Dispensed Ink Rates'!CS:CS),VLOOKUP(BD51,'Jan-2026 rates'!$E:$F,2,0)))</f>
        <v>0</v>
      </c>
      <c r="BO51" s="409"/>
      <c r="BP51" s="398">
        <f>IF(BO51=0,0,IF(LEN(BE51)=11,_xlfn.XLOOKUP(BE51,'Dispensed Ink Rates'!C:C,'Dispensed Ink Rates'!CS:CS),VLOOKUP(BE51,'Jan-2026 rates'!$E:$F,2,0)))</f>
        <v>0</v>
      </c>
      <c r="BQ51" s="409"/>
      <c r="BR51" s="398">
        <f>IF(BQ51=0,0,IF(LEN(BF51)=11,_xlfn.XLOOKUP(BF51,'Dispensed Ink Rates'!C:C,'Dispensed Ink Rates'!CS:CS),VLOOKUP(BF51,'Jan-2026 rates'!$E:$F,2,0)))</f>
        <v>0</v>
      </c>
      <c r="BS51" s="409"/>
      <c r="BT51" s="398">
        <f>IF(BS51=0,0,IF(LEN(BG51)=11,_xlfn.XLOOKUP(BG51,'Dispensed Ink Rates'!C:C,'Dispensed Ink Rates'!CS:CS),VLOOKUP(BG51,'Jan-2026 rates'!$E:$F,2,0)))</f>
        <v>0</v>
      </c>
      <c r="BU51" s="409"/>
      <c r="BV51" s="398">
        <f>IF(BU51=0,0,IF(LEN(BH51)=11,_xlfn.XLOOKUP(BH51,'Dispensed Ink Rates'!C:C,'Dispensed Ink Rates'!CS:CS),VLOOKUP(BH51,'Jan-2026 rates'!$E:$F,2,0)))</f>
        <v>0</v>
      </c>
      <c r="BW51" s="409"/>
      <c r="BX51" s="398">
        <f>IF(BW51=0,0,IF(LEN(BI51)=11,_xlfn.XLOOKUP(BI51,'Dispensed Ink Rates'!C:C,'Dispensed Ink Rates'!CS:CS),VLOOKUP(BI51,'Jan-2026 rates'!$E:$F,2,0)))</f>
        <v>0</v>
      </c>
      <c r="BY51" s="409"/>
      <c r="BZ51" s="398">
        <f>IF(BY51=0,0,IF(LEN(BJ51)=11,_xlfn.XLOOKUP(BJ51,'Dispensed Ink Rates'!C:C,'Dispensed Ink Rates'!CS:CS),VLOOKUP(BJ51,'Jan-2026 rates'!$E:$F,2,0)))</f>
        <v>0</v>
      </c>
      <c r="CA51" s="409"/>
      <c r="CB51" s="409"/>
      <c r="CC51" s="411">
        <f t="shared" si="5"/>
        <v>0</v>
      </c>
      <c r="CD51" s="411">
        <f t="shared" si="6"/>
        <v>0</v>
      </c>
      <c r="CE51" s="410">
        <f t="shared" si="7"/>
        <v>0</v>
      </c>
      <c r="CF51" s="404"/>
      <c r="CG51" s="409"/>
      <c r="CH51" s="420" t="str">
        <f t="shared" si="8"/>
        <v xml:space="preserve"> - </v>
      </c>
      <c r="CI51" s="409"/>
      <c r="CJ51" s="411">
        <f>IF(CI51=0,0,IF($LB51=70%,VLOOKUP($CH51,'Jan-2026 rates'!$L:$R,4,0),IF($LB51=65%,VLOOKUP($CH51,'Jan-2026 rates'!$L:$R,4,0),IF($LB51=40%,VLOOKUP($CH51,'Jan-2026 rates'!$L:$R,5,0),IF($LB51=30%,VLOOKUP($CH51,'Jan-2026 rates'!$L:$R,6,0),IF($LB51=100%,VLOOKUP($CH51,'Jan-2026 rates'!$L:$R,7,0),IF($LB51=60%,VLOOKUP($CH51,'Jan-2026 rates'!$L:$S,8,0),IF($LB51=80%,VLOOKUP($CH51,'Jan-2026 rates'!L:T,9,0),0))))))))</f>
        <v>0</v>
      </c>
      <c r="CK51" s="412"/>
      <c r="CL51" s="409"/>
      <c r="CM51" s="411">
        <f>IF(CL51=0,0,IF($LB51=70%,VLOOKUP($CH51,'Jan-2026 rates'!$L:$R,4,0),IF($LB51=65%,VLOOKUP($CH51,'Jan-2026 rates'!$L:$R,4,0),IF($LB51=40%,VLOOKUP($CH51,'Jan-2026 rates'!$L:$R,5,0),IF($LB51=30%,VLOOKUP($CH51,'Jan-2026 rates'!$L:$R,6,0),IF($LB51=100%,VLOOKUP($CH51,'Jan-2026 rates'!$L:$R,7,0),IF($LB51=60%,VLOOKUP($CH51,'Jan-2026 rates'!$L:$S,8,0),IF($LB51=80%,VLOOKUP($CH51,'Jan-2026 rates'!L:T,9,0),0))))))))</f>
        <v>0</v>
      </c>
      <c r="CN51" s="426"/>
      <c r="CO51" s="427"/>
      <c r="CP51" s="426"/>
      <c r="CQ51" s="426"/>
      <c r="CR51" s="428"/>
      <c r="CS51" s="428"/>
      <c r="CT51" s="428"/>
      <c r="CU51" s="428"/>
      <c r="CV51" s="409"/>
      <c r="CW51" s="398">
        <f>IF(CV51=0,0,IF(LEN(CN51)=11,_xlfn.XLOOKUP(CN51,'Dispensed Ink Rates'!C:C,'Dispensed Ink Rates'!CS:CS),VLOOKUP(CN51,'Jan-2026 rates'!$E:$F,2,0)))</f>
        <v>0</v>
      </c>
      <c r="CX51" s="409"/>
      <c r="CY51" s="398">
        <f>IF(CX51=0,0,IF(LEN(CO51)=11,_xlfn.XLOOKUP(CO51,'Dispensed Ink Rates'!C:C,'Dispensed Ink Rates'!CS:CS),VLOOKUP(CO51,'Jan-2026 rates'!$E:$F,2,0)))</f>
        <v>0</v>
      </c>
      <c r="CZ51" s="409"/>
      <c r="DA51" s="398">
        <f>IF(CZ51=0,0,IF(LEN(CP51)=11,_xlfn.XLOOKUP(CP51,'Dispensed Ink Rates'!C:C,'Dispensed Ink Rates'!CS:CS),VLOOKUP(CP51,'Jan-2026 rates'!$E:$F,2,0)))</f>
        <v>0</v>
      </c>
      <c r="DB51" s="409"/>
      <c r="DC51" s="398">
        <f>IF(DB51=0,0,IF(LEN(CQ51)=11,_xlfn.XLOOKUP(CQ51,'Dispensed Ink Rates'!C:C,'Dispensed Ink Rates'!CS:CS),VLOOKUP(CQ51,'Jan-2026 rates'!$E:$F,2,0)))</f>
        <v>0</v>
      </c>
      <c r="DD51" s="409"/>
      <c r="DE51" s="398">
        <f>IF(DD51=0,0,IF(LEN(CR51)=11,_xlfn.XLOOKUP(CR51,'Dispensed Ink Rates'!C:C,'Dispensed Ink Rates'!CS:CS),VLOOKUP(CR51,'Jan-2026 rates'!$E:$F,2,0)))</f>
        <v>0</v>
      </c>
      <c r="DF51" s="409"/>
      <c r="DG51" s="398">
        <f>IF(DF51=0,0,IF(LEN(CS51)=11,_xlfn.XLOOKUP(CS51,'Dispensed Ink Rates'!C:C,'Dispensed Ink Rates'!CS:CS),VLOOKUP(CS51,'Jan-2026 rates'!$E:$F,2,0)))</f>
        <v>0</v>
      </c>
      <c r="DH51" s="409"/>
      <c r="DI51" s="398">
        <f>IF(DH51=0,0,IF(LEN(CT51)=11,_xlfn.XLOOKUP(CT51,'Dispensed Ink Rates'!C:C,'Dispensed Ink Rates'!CS:CS),VLOOKUP(CT51,'Jan-2026 rates'!$E:$F,2,0)))</f>
        <v>0</v>
      </c>
      <c r="DJ51" s="409"/>
      <c r="DK51" s="398">
        <f>IF(DJ51=0,0,IF(LEN(CU51)=11,_xlfn.XLOOKUP(CU51,'Dispensed Ink Rates'!C:C,'Dispensed Ink Rates'!CS:CS),VLOOKUP(CU51,'Jan-2026 rates'!$E:$F,2,0)))</f>
        <v>0</v>
      </c>
      <c r="DL51" s="409"/>
      <c r="DM51" s="409"/>
      <c r="DN51" s="411">
        <f t="shared" si="9"/>
        <v>0</v>
      </c>
      <c r="DO51" s="411">
        <f t="shared" si="10"/>
        <v>0</v>
      </c>
      <c r="DP51" s="410">
        <f t="shared" si="11"/>
        <v>0</v>
      </c>
      <c r="DQ51" s="405"/>
      <c r="DR51" s="409"/>
      <c r="DS51" s="420" t="str">
        <f t="shared" si="12"/>
        <v xml:space="preserve"> - </v>
      </c>
      <c r="DT51" s="409"/>
      <c r="DU51" s="411">
        <f>IF(DT51=0,0,IF($LB51=70%,VLOOKUP($DS51,'Jan-2026 rates'!$L:$R,4,0),IF($LB51=65%,VLOOKUP($DS51,'Jan-2026 rates'!$L:$R,4,0),IF($LB51=40%,VLOOKUP($DS51,'Jan-2026 rates'!$L:$R,5,0),IF($LB51=30%,VLOOKUP($DS51,'Jan-2026 rates'!$L:$R,6,0),IF($LB51=100%,VLOOKUP($DS51,'Jan-2026 rates'!$L:$R,7,0),IF($LB51=60%,VLOOKUP($DS51,'Jan-2026 rates'!$L:$S,8,0),IF($LB51=80%,VLOOKUP($DS51,'Jan-2026 rates'!L:T,9,0),0))))))))</f>
        <v>0</v>
      </c>
      <c r="DV51" s="412"/>
      <c r="DW51" s="409"/>
      <c r="DX51" s="411">
        <f>IF(DW51=0,0,IF($LB51=70%,VLOOKUP($DS51,'Jan-2026 rates'!$L:$R,4,0),IF($LB51=65%,VLOOKUP($DS51,'Jan-2026 rates'!$L:$R,4,0),IF($LB51=40%,VLOOKUP($DS51,'Jan-2026 rates'!$L:$R,5,0),IF($LB51=30%,VLOOKUP($DS51,'Jan-2026 rates'!$L:$R,6,0),IF($LB51=100%,VLOOKUP($DS51,'Jan-2026 rates'!$L:$R,7,0),IF($LB51=60%,VLOOKUP($DS51,'Jan-2026 rates'!$L:$S,8,0),IF($LB51=80%,VLOOKUP($DS51,'Jan-2026 rates'!L:T,9,0),0))))))))</f>
        <v>0</v>
      </c>
      <c r="DY51" s="413"/>
      <c r="DZ51" s="413"/>
      <c r="EA51" s="412"/>
      <c r="EB51" s="412"/>
      <c r="EC51" s="412"/>
      <c r="ED51" s="412"/>
      <c r="EE51" s="412"/>
      <c r="EF51" s="412"/>
      <c r="EG51" s="409"/>
      <c r="EH51" s="398">
        <f>IF(EG51=0,0,IF(LEN(DY51)=11,_xlfn.XLOOKUP(DY51,'Dispensed Ink Rates'!C:C,'Dispensed Ink Rates'!CS:CS),VLOOKUP(DY51,'Jan-2026 rates'!$E:$F,2,0)))</f>
        <v>0</v>
      </c>
      <c r="EI51" s="409"/>
      <c r="EJ51" s="398">
        <f>IF(EI51=0,0,IF(LEN(DZ51)=11,_xlfn.XLOOKUP(DZ51,'Dispensed Ink Rates'!C:C,'Dispensed Ink Rates'!CS:CS),VLOOKUP(DZ51,'Jan-2026 rates'!$E:$F,2,0)))</f>
        <v>0</v>
      </c>
      <c r="EK51" s="409"/>
      <c r="EL51" s="398">
        <f>IF(EK51=0,0,IF(LEN(EA51)=11,_xlfn.XLOOKUP(EA51,'Dispensed Ink Rates'!C:C,'Dispensed Ink Rates'!CS:CS),VLOOKUP(EA51,'Jan-2026 rates'!$E:$F,2,0)))</f>
        <v>0</v>
      </c>
      <c r="EM51" s="409"/>
      <c r="EN51" s="398">
        <f>IF(EM51=0,0,IF(LEN(EB51)=11,_xlfn.XLOOKUP(EB51,'Dispensed Ink Rates'!C:C,'Dispensed Ink Rates'!CS:CS),VLOOKUP(EB51,'Jan-2026 rates'!$E:$F,2,0)))</f>
        <v>0</v>
      </c>
      <c r="EO51" s="409"/>
      <c r="EP51" s="398">
        <f>IF(EO51=0,0,IF(LEN(EC51)=11,_xlfn.XLOOKUP(EC51,'Dispensed Ink Rates'!C:C,'Dispensed Ink Rates'!CS:CS),VLOOKUP(EC51,'Jan-2026 rates'!$E:$F,2,0)))</f>
        <v>0</v>
      </c>
      <c r="EQ51" s="409"/>
      <c r="ER51" s="398">
        <f>IF(EQ51=0,0,IF(LEN(ED51)=11,_xlfn.XLOOKUP(ED51,'Dispensed Ink Rates'!C:C,'Dispensed Ink Rates'!CS:CS),VLOOKUP(ED51,'Jan-2026 rates'!$E:$F,2,0)))</f>
        <v>0</v>
      </c>
      <c r="ES51" s="409"/>
      <c r="ET51" s="398">
        <f>IF(ES51=0,0,IF(LEN(EE51)=11,_xlfn.XLOOKUP(EE51,'Dispensed Ink Rates'!C:C,'Dispensed Ink Rates'!CS:CS),VLOOKUP(EE51,'Jan-2026 rates'!$E:$F,2,0)))</f>
        <v>0</v>
      </c>
      <c r="EU51" s="409"/>
      <c r="EV51" s="398">
        <f>IF(EU51=0,0,IF(LEN(EF51)=11,_xlfn.XLOOKUP(EF51,'Dispensed Ink Rates'!C:C,'Dispensed Ink Rates'!CS:CS),VLOOKUP(EF51,'Jan-2026 rates'!$E:$F,2,0)))</f>
        <v>0</v>
      </c>
      <c r="EW51" s="409"/>
      <c r="EX51" s="409"/>
      <c r="EY51" s="411">
        <f t="shared" si="13"/>
        <v>0</v>
      </c>
      <c r="EZ51" s="411">
        <f t="shared" si="14"/>
        <v>0</v>
      </c>
      <c r="FA51" s="410">
        <f t="shared" si="15"/>
        <v>0</v>
      </c>
      <c r="FB51" s="405"/>
      <c r="FC51" s="409"/>
      <c r="FD51" s="420" t="str">
        <f t="shared" si="16"/>
        <v xml:space="preserve"> - </v>
      </c>
      <c r="FE51" s="409"/>
      <c r="FF51" s="411">
        <f>IF(FE51=0,0,IF($LB51=70%,VLOOKUP($FD51,'Jan-2026 rates'!$L:$R,4,0),IF($LB51=65%,VLOOKUP($FD51,'Jan-2026 rates'!$L:$R,4,0),IF($LB51=40%,VLOOKUP($FD51,'Jan-2026 rates'!$L:$R,5,0),IF($LB51=30%,VLOOKUP($FD51,'Jan-2026 rates'!$L:$R,6,0),IF($LB51=100%,VLOOKUP($FD51,'Jan-2026 rates'!$L:$R,7,0),IF($LB51=60%,VLOOKUP($FD51,'Jan-2026 rates'!$L:$S,8,0),IF($LB51=80%,VLOOKUP($FD51,'Jan-2026 rates'!L:T,9,0),0))))))))</f>
        <v>0</v>
      </c>
      <c r="FG51" s="412"/>
      <c r="FH51" s="409"/>
      <c r="FI51" s="411">
        <f>IF(FH51=0,0,IF($LB51=70%,VLOOKUP($FD51,'Jan-2026 rates'!$L:$R,4,0),IF($LB51=65%,VLOOKUP($FD51,'Jan-2026 rates'!$L:$R,4,0),IF($LB51=40%,VLOOKUP($FD51,'Jan-2026 rates'!$L:$R,5,0),IF($LB51=30%,VLOOKUP($FD51,'Jan-2026 rates'!$L:$R,6,0),IF($LB51=100%,VLOOKUP($FD51,'Jan-2026 rates'!$L:$R,7,0),IF($LB51=60%,VLOOKUP($FD51,'Jan-2026 rates'!$L:$S,8,0),IF($LB51=80%,VLOOKUP($FD51,'Jan-2026 rates'!L:T,9,0),0))))))))</f>
        <v>0</v>
      </c>
      <c r="FJ51" s="413"/>
      <c r="FK51" s="413"/>
      <c r="FL51" s="413"/>
      <c r="FM51" s="412"/>
      <c r="FN51" s="412"/>
      <c r="FO51" s="412"/>
      <c r="FP51" s="412"/>
      <c r="FQ51" s="412"/>
      <c r="FR51" s="409"/>
      <c r="FS51" s="398">
        <f>IF(FR51=0,0,IF(LEN(FJ51)=11,_xlfn.XLOOKUP(FJ51,'Dispensed Ink Rates'!C:C,'Dispensed Ink Rates'!CS:CS),VLOOKUP(FJ51,'Jan-2026 rates'!$E:$F,2,0)))</f>
        <v>0</v>
      </c>
      <c r="FT51" s="409"/>
      <c r="FU51" s="398">
        <f>IF(FT51=0,0,IF(LEN(FK51)=11,_xlfn.XLOOKUP(FK51,'Dispensed Ink Rates'!C:C,'Dispensed Ink Rates'!CS:CS),VLOOKUP(FK51,'Jan-2026 rates'!$E:$F,2,0)))</f>
        <v>0</v>
      </c>
      <c r="FV51" s="409"/>
      <c r="FW51" s="398">
        <f>IF(FV51=0,0,IF(LEN(FL51)=11,_xlfn.XLOOKUP(FL51,'Dispensed Ink Rates'!C:C,'Dispensed Ink Rates'!CS:CS),VLOOKUP(FL51,'Jan-2026 rates'!$E:$F,2,0)))</f>
        <v>0</v>
      </c>
      <c r="FX51" s="409"/>
      <c r="FY51" s="398">
        <f>IF(FX51=0,0,IF(LEN(FM51)=11,_xlfn.XLOOKUP(FM51,'Dispensed Ink Rates'!C:C,'Dispensed Ink Rates'!CS:CS),VLOOKUP(FM51,'Jan-2026 rates'!$E:$F,2,0)))</f>
        <v>0</v>
      </c>
      <c r="FZ51" s="409"/>
      <c r="GA51" s="398">
        <f>IF(FZ51=0,0,IF(LEN(FN51)=11,_xlfn.XLOOKUP(FN51,'Dispensed Ink Rates'!C:C,'Dispensed Ink Rates'!CS:CS),VLOOKUP(FN51,'Jan-2026 rates'!$E:$F,2,0)))</f>
        <v>0</v>
      </c>
      <c r="GB51" s="409"/>
      <c r="GC51" s="398">
        <f>IF(GB51=0,0,IF(LEN(FO51)=11,_xlfn.XLOOKUP(FO51,'Dispensed Ink Rates'!C:C,'Dispensed Ink Rates'!CS:CS),VLOOKUP(FO51,'Jan-2026 rates'!$E:$F,2,0)))</f>
        <v>0</v>
      </c>
      <c r="GD51" s="409"/>
      <c r="GE51" s="398">
        <f>IF(GD51=0,0,IF(LEN(FP51)=11,_xlfn.XLOOKUP(FP51,'Dispensed Ink Rates'!C:C,'Dispensed Ink Rates'!CS:CS),VLOOKUP(FP51,'Jan-2026 rates'!$E:$F,2,0)))</f>
        <v>0</v>
      </c>
      <c r="GF51" s="409"/>
      <c r="GG51" s="398">
        <f>IF(GF51=0,0,IF(LEN(FQ51)=11,_xlfn.XLOOKUP(FQ51,'Dispensed Ink Rates'!C:C,'Dispensed Ink Rates'!CS:CS),VLOOKUP(FQ51,'Jan-2026 rates'!$E:$F,2,0)))</f>
        <v>0</v>
      </c>
      <c r="GH51" s="409"/>
      <c r="GI51" s="409"/>
      <c r="GJ51" s="411">
        <f t="shared" si="17"/>
        <v>0</v>
      </c>
      <c r="GK51" s="411">
        <f t="shared" si="18"/>
        <v>0</v>
      </c>
      <c r="GL51" s="410">
        <f t="shared" si="19"/>
        <v>0</v>
      </c>
      <c r="GM51" s="405"/>
      <c r="GN51" s="409"/>
      <c r="GO51" s="420" t="str">
        <f t="shared" si="20"/>
        <v xml:space="preserve"> - </v>
      </c>
      <c r="GP51" s="409"/>
      <c r="GQ51" s="411">
        <f>IF(GP51=0,0,IF($LB51=70%,VLOOKUP($GO51,'Jan-2026 rates'!$L:$R,4,0),IF($LB51=65%,VLOOKUP($GO51,'Jan-2026 rates'!$L:$R,4,0),IF($LB51=40%,VLOOKUP($GO51,'Jan-2026 rates'!$L:$R,5,0),IF($LB51=30%,VLOOKUP($GO51,'Jan-2026 rates'!$L:$R,6,0),IF($LB51=100%,VLOOKUP($GO51,'Jan-2026 rates'!$L:$R,7,0),IF($LB51=60%,VLOOKUP($GO51,'Jan-2026 rates'!$L:$S,8,0),IF($LB51=80%,VLOOKUP($GO51,'Jan-2026 rates'!L:T,9,0),0))))))))</f>
        <v>0</v>
      </c>
      <c r="GR51" s="412"/>
      <c r="GS51" s="409"/>
      <c r="GT51" s="411">
        <f>IF(GS51=0,0,IF($LB51=70%,VLOOKUP($GO51,'Jan-2026 rates'!$L:$R,4,0),IF($LB51=65%,VLOOKUP($GO51,'Jan-2026 rates'!$L:$R,4,0),IF($LB51=40%,VLOOKUP($GO51,'Jan-2026 rates'!$L:$R,5,0),IF($LB51=30%,VLOOKUP($GO51,'Jan-2026 rates'!$L:$R,6,0),IF($LB51=100%,VLOOKUP($GO51,'Jan-2026 rates'!$L:$R,7,0),IF($LB51=60%,VLOOKUP($GO51,'Jan-2026 rates'!$L:$S,8,0),IF($LB51=80%,VLOOKUP($GO51,'Jan-2026 rates'!L:T,9,0),0))))))))</f>
        <v>0</v>
      </c>
      <c r="GU51" s="413"/>
      <c r="GV51" s="413"/>
      <c r="GW51" s="412"/>
      <c r="GX51" s="412"/>
      <c r="GY51" s="412"/>
      <c r="GZ51" s="412"/>
      <c r="HA51" s="412"/>
      <c r="HB51" s="412"/>
      <c r="HC51" s="409"/>
      <c r="HD51" s="398">
        <f>IF(HC51=0,0,IF(LEN(GU51)=11,_xlfn.XLOOKUP(GU51,'Dispensed Ink Rates'!C:C,'Dispensed Ink Rates'!CS:CS),VLOOKUP(GU51,'Jan-2026 rates'!$E:$F,2,0)))</f>
        <v>0</v>
      </c>
      <c r="HE51" s="409"/>
      <c r="HF51" s="398">
        <f>IF(HE51=0,0,IF(LEN(GV51)=11,_xlfn.XLOOKUP(GV51,'Dispensed Ink Rates'!C:C,'Dispensed Ink Rates'!CS:CS),VLOOKUP(GV51,'Jan-2026 rates'!$E:$F,2,0)))</f>
        <v>0</v>
      </c>
      <c r="HG51" s="409"/>
      <c r="HH51" s="398">
        <f>IF(HG51=0,0,IF(LEN(GW51)=11,_xlfn.XLOOKUP(GW51,'Dispensed Ink Rates'!C:C,'Dispensed Ink Rates'!CS:CS),VLOOKUP(GW51,'Jan-2026 rates'!$E:$F,2,0)))</f>
        <v>0</v>
      </c>
      <c r="HI51" s="409"/>
      <c r="HJ51" s="398">
        <f>IF(HI51=0,0,IF(LEN(GX51)=11,_xlfn.XLOOKUP(GX51,'Dispensed Ink Rates'!C:C,'Dispensed Ink Rates'!CS:CS),VLOOKUP(GX51,'Jan-2026 rates'!$E:$F,2,0)))</f>
        <v>0</v>
      </c>
      <c r="HK51" s="409"/>
      <c r="HL51" s="398">
        <f>IF(HK51=0,0,IF(LEN(GY51)=11,_xlfn.XLOOKUP(GY51,'Dispensed Ink Rates'!C:C,'Dispensed Ink Rates'!CS:CS),VLOOKUP(GY51,'Jan-2026 rates'!$E:$F,2,0)))</f>
        <v>0</v>
      </c>
      <c r="HM51" s="409"/>
      <c r="HN51" s="398">
        <f>IF(HM51=0,0,IF(LEN(GZ51)=11,_xlfn.XLOOKUP(GZ51,'Dispensed Ink Rates'!C:C,'Dispensed Ink Rates'!CS:CS),VLOOKUP(GZ51,'Jan-2026 rates'!$E:$F,2,0)))</f>
        <v>0</v>
      </c>
      <c r="HO51" s="409"/>
      <c r="HP51" s="398">
        <f>IF(HO51=0,0,IF(LEN(HA51)=11,_xlfn.XLOOKUP(HA51,'Dispensed Ink Rates'!C:C,'Dispensed Ink Rates'!CS:CS),VLOOKUP(HA51,'Jan-2026 rates'!$E:$F,2,0)))</f>
        <v>0</v>
      </c>
      <c r="HQ51" s="409"/>
      <c r="HR51" s="398">
        <f>IF(HQ51=0,0,IF(LEN(HB51)=11,_xlfn.XLOOKUP(HB51,'Dispensed Ink Rates'!C:C,'Dispensed Ink Rates'!CS:CS),VLOOKUP(HB51,'Jan-2026 rates'!$E:$F,2,0)))</f>
        <v>0</v>
      </c>
      <c r="HS51" s="409"/>
      <c r="HT51" s="409"/>
      <c r="HU51" s="411">
        <f t="shared" si="21"/>
        <v>0</v>
      </c>
      <c r="HV51" s="411">
        <f t="shared" si="22"/>
        <v>0</v>
      </c>
      <c r="HW51" s="414">
        <f t="shared" si="23"/>
        <v>0</v>
      </c>
      <c r="HX51" s="405"/>
      <c r="HY51" s="409"/>
      <c r="HZ51" s="420" t="str">
        <f t="shared" si="24"/>
        <v xml:space="preserve"> - </v>
      </c>
      <c r="IA51" s="409"/>
      <c r="IB51" s="411">
        <f>IF(IA51=0,0,IF($LB51=70%,VLOOKUP($HZ51,'Jan-2026 rates'!$L:$R,4,0),IF($LB51=65%,VLOOKUP($HZ51,'Jan-2026 rates'!$L:$R,4,0),IF($LB51=40%,VLOOKUP($HZ51,'Jan-2026 rates'!$L:$R,5,0),IF($LB51=30%,VLOOKUP($HZ51,'Jan-2026 rates'!$L:$R,6,0),IF($LB51=100%,VLOOKUP($HZ51,'Jan-2026 rates'!$L:$R,7,0),IF($LB51=60%,VLOOKUP($HZ51,'Jan-2026 rates'!$L:$S,8,0),IF($LB51=80%,VLOOKUP($HZ51,'Jan-2026 rates'!L:T,9,0),0))))))))</f>
        <v>0</v>
      </c>
      <c r="IC51" s="412"/>
      <c r="ID51" s="409"/>
      <c r="IE51" s="411">
        <f>IF(ID51=0,0,IF($LB51=70%,VLOOKUP($HZ51,'Jan-2026 rates'!$L:$R,4,0),IF($LB51=65%,VLOOKUP($HZ51,'Jan-2026 rates'!$L:$R,4,0),IF($LB51=40%,VLOOKUP($HZ51,'Jan-2026 rates'!$L:$R,5,0),IF($LB51=30%,VLOOKUP($HZ51,'Jan-2026 rates'!$L:$R,6,0),IF($LB51=100%,VLOOKUP($HZ51,'Jan-2026 rates'!$L:$R,7,0),IF($LB51=60%,VLOOKUP($HZ51,'Jan-2026 rates'!$L:$S,8,0),IF($LB51=80%,VLOOKUP($HZ51,'Jan-2026 rates'!L:T,9,0),0))))))))</f>
        <v>0</v>
      </c>
      <c r="IF51" s="412"/>
      <c r="IG51" s="413"/>
      <c r="IH51" s="412"/>
      <c r="II51" s="412"/>
      <c r="IJ51" s="412"/>
      <c r="IK51" s="412"/>
      <c r="IL51" s="412"/>
      <c r="IM51" s="412"/>
      <c r="IN51" s="409"/>
      <c r="IO51" s="398">
        <f>IF(IN51=0,0,IF(LEN(IF51)=11,_xlfn.XLOOKUP(IF51,'Dispensed Ink Rates'!C:C,'Dispensed Ink Rates'!CS:CS),VLOOKUP(IF51,'Jan-2026 rates'!$E:$F,2,0)))</f>
        <v>0</v>
      </c>
      <c r="IP51" s="409"/>
      <c r="IQ51" s="398">
        <f>IF(IP51=0,0,IF(LEN(IG51)=11,_xlfn.XLOOKUP(IG51,'Dispensed Ink Rates'!C:C,'Dispensed Ink Rates'!CS:CS),VLOOKUP(IG51,'Jan-2026 rates'!$E:$F,2,0)))</f>
        <v>0</v>
      </c>
      <c r="IR51" s="409"/>
      <c r="IS51" s="398">
        <f>IF(IR51=0,0,IF(LEN(IH51)=11,_xlfn.XLOOKUP(IH51,'Dispensed Ink Rates'!C:C,'Dispensed Ink Rates'!CS:CS),VLOOKUP(IH51,'Jan-2026 rates'!$E:$F,2,0)))</f>
        <v>0</v>
      </c>
      <c r="IT51" s="409"/>
      <c r="IU51" s="398">
        <f>IF(IT51=0,0,IF(LEN(II51)=11,_xlfn.XLOOKUP(II51,'Dispensed Ink Rates'!C:C,'Dispensed Ink Rates'!CS:CS),VLOOKUP(II51,'Jan-2026 rates'!$E:$F,2,0)))</f>
        <v>0</v>
      </c>
      <c r="IV51" s="409"/>
      <c r="IW51" s="398">
        <f>IF(IV51=0,0,IF(LEN(IJ51)=11,_xlfn.XLOOKUP(IJ51,'Dispensed Ink Rates'!C:C,'Dispensed Ink Rates'!CS:CS),VLOOKUP(IJ51,'Jan-2026 rates'!$E:$F,2,0)))</f>
        <v>0</v>
      </c>
      <c r="IX51" s="409"/>
      <c r="IY51" s="398">
        <f>IF(IX51=0,0,IF(LEN(IK51)=11,_xlfn.XLOOKUP(IK51,'Dispensed Ink Rates'!C:C,'Dispensed Ink Rates'!CS:CS),VLOOKUP(IK51,'Jan-2026 rates'!$E:$F,2,0)))</f>
        <v>0</v>
      </c>
      <c r="IZ51" s="409"/>
      <c r="JA51" s="398">
        <f>IF(IZ51=0,0,IF(LEN(IL51)=11,_xlfn.XLOOKUP(IL51,'Dispensed Ink Rates'!C:C,'Dispensed Ink Rates'!CS:CS),VLOOKUP(IL51,'Jan-2026 rates'!$E:$F,2,0)))</f>
        <v>0</v>
      </c>
      <c r="JB51" s="409"/>
      <c r="JC51" s="398">
        <f>IF(JB51=0,0,IF(LEN(IM51)=11,_xlfn.XLOOKUP(IM51,'Dispensed Ink Rates'!C:C,'Dispensed Ink Rates'!CS:CS),VLOOKUP(IM51,'Jan-2026 rates'!$E:$F,2,0)))</f>
        <v>0</v>
      </c>
      <c r="JD51" s="409"/>
      <c r="JE51" s="409"/>
      <c r="JF51" s="411">
        <f t="shared" si="25"/>
        <v>0</v>
      </c>
      <c r="JG51" s="411">
        <f t="shared" si="26"/>
        <v>0</v>
      </c>
      <c r="JH51" s="410">
        <f t="shared" si="27"/>
        <v>0</v>
      </c>
      <c r="JI51" s="405"/>
      <c r="JJ51" s="409"/>
      <c r="JK51" s="420" t="str">
        <f t="shared" si="28"/>
        <v xml:space="preserve"> - </v>
      </c>
      <c r="JL51" s="409"/>
      <c r="JM51" s="411">
        <f>IF(JL51=0,0,IF($LB51=70%,VLOOKUP($JK51,'Jan-2026 rates'!$L:$R,4,0),IF($LB51=65%,VLOOKUP($JK51,'Jan-2026 rates'!$L:$R,4,0),IF($LB51=40%,VLOOKUP($JK51,'Jan-2026 rates'!$L:$R,5,0),IF($LB51=30%,VLOOKUP($JK51,'Jan-2026 rates'!$L:$R,6,0),IF($LB51=100%,VLOOKUP($JK51,'Jan-2026 rates'!$L:$R,7,0),IF($LB51=60%,VLOOKUP($JK51,'Jan-2026 rates'!$L:$S,8,0),IF($LB51=80%,VLOOKUP($JK51,'Jan-2026 rates'!L:T,9,0),0))))))))</f>
        <v>0</v>
      </c>
      <c r="JN51" s="412"/>
      <c r="JO51" s="409"/>
      <c r="JP51" s="411">
        <f>IF(JO51=0,0,IF($LB51=70%,VLOOKUP($JK51,'Jan-2026 rates'!$L:$R,4,0),IF($LB51=65%,VLOOKUP($JK51,'Jan-2026 rates'!$L:$R,4,0),IF($LB51=40%,VLOOKUP($JK51,'Jan-2026 rates'!$L:$R,5,0),IF($LB51=30%,VLOOKUP($JK51,'Jan-2026 rates'!$L:$R,6,0),IF($LB51=100%,VLOOKUP($JK51,'Jan-2026 rates'!$L:$R,7,0),IF($LB51=60%,VLOOKUP($JK51,'Jan-2026 rates'!$L:$S,8,0),IF($LB51=80%,VLOOKUP($JK51,'Jan-2026 rates'!L:T,9,0),0))))))))</f>
        <v>0</v>
      </c>
      <c r="JQ51" s="413"/>
      <c r="JR51" s="412"/>
      <c r="JS51" s="413"/>
      <c r="JT51" s="413"/>
      <c r="JU51" s="412"/>
      <c r="JV51" s="412"/>
      <c r="JW51" s="412"/>
      <c r="JX51" s="412"/>
      <c r="JY51" s="409"/>
      <c r="JZ51" s="398">
        <f>IF(JY51=0,0,IF(LEN(JQ51)=11,_xlfn.XLOOKUP(JQ51,'Dispensed Ink Rates'!C:C,'Dispensed Ink Rates'!CS:CS),VLOOKUP(JQ51,'Jan-2026 rates'!$E:$F,2,0)))</f>
        <v>0</v>
      </c>
      <c r="KA51" s="409"/>
      <c r="KB51" s="398">
        <f>IF(KA51=0,0,IF(LEN(JR51)=11,_xlfn.XLOOKUP(JR51,'Dispensed Ink Rates'!C:C,'Dispensed Ink Rates'!CS:CS),VLOOKUP(JR51,'Jan-2026 rates'!$E:$F,2,0)))</f>
        <v>0</v>
      </c>
      <c r="KC51" s="409"/>
      <c r="KD51" s="398">
        <f>IF(KC51=0,0,IF(LEN(JS51)=11,_xlfn.XLOOKUP(JS51,'Dispensed Ink Rates'!C:C,'Dispensed Ink Rates'!CS:CS),VLOOKUP(JS51,'Jan-2026 rates'!$E:$F,2,0)))</f>
        <v>0</v>
      </c>
      <c r="KE51" s="409"/>
      <c r="KF51" s="398">
        <f>IF(KE51=0,0,IF(LEN(JT51)=11,_xlfn.XLOOKUP(JT51,'Dispensed Ink Rates'!C:C,'Dispensed Ink Rates'!CS:CS),VLOOKUP(JT51,'Jan-2026 rates'!$E:$F,2,0)))</f>
        <v>0</v>
      </c>
      <c r="KG51" s="409"/>
      <c r="KH51" s="398">
        <f>IF(KG51=0,0,IF(LEN(JU51)=11,_xlfn.XLOOKUP(JU51,'Dispensed Ink Rates'!C:C,'Dispensed Ink Rates'!CS:CS),VLOOKUP(JU51,'Jan-2026 rates'!$E:$F,2,0)))</f>
        <v>0</v>
      </c>
      <c r="KI51" s="409"/>
      <c r="KJ51" s="398">
        <f>IF(KI51=0,0,IF(LEN(JV51)=11,_xlfn.XLOOKUP(JV51,'Dispensed Ink Rates'!C:C,'Dispensed Ink Rates'!CS:CS),VLOOKUP(JV51,'Jan-2026 rates'!$E:$F,2,0)))</f>
        <v>0</v>
      </c>
      <c r="KK51" s="409"/>
      <c r="KL51" s="398">
        <f>IF(KK51=0,0,IF(LEN(JW51)=11,_xlfn.XLOOKUP(JW51,'Dispensed Ink Rates'!C:C,'Dispensed Ink Rates'!CS:CS),VLOOKUP(JW51,'Jan-2026 rates'!$E:$F,2,0)))</f>
        <v>0</v>
      </c>
      <c r="KM51" s="428"/>
      <c r="KN51" s="398">
        <f>IF(KM51=0,0,IF(LEN(JX51)=11,_xlfn.XLOOKUP(JX51,'Dispensed Ink Rates'!C:C,'Dispensed Ink Rates'!CS:CS),VLOOKUP(JX51,'Jan-2026 rates'!$E:$F,2,0)))</f>
        <v>0</v>
      </c>
      <c r="KO51" s="409"/>
      <c r="KP51" s="409"/>
      <c r="KQ51" s="411">
        <f t="shared" si="29"/>
        <v>0</v>
      </c>
      <c r="KR51" s="411">
        <f t="shared" si="30"/>
        <v>0</v>
      </c>
      <c r="KS51" s="410">
        <f t="shared" si="31"/>
        <v>0</v>
      </c>
      <c r="KT51" s="409">
        <v>12</v>
      </c>
      <c r="KU51" s="409">
        <v>0</v>
      </c>
      <c r="KV51" s="409">
        <v>0</v>
      </c>
      <c r="KW51" s="409">
        <v>0</v>
      </c>
      <c r="KX51" s="409">
        <v>0</v>
      </c>
      <c r="KY51" s="409">
        <v>0</v>
      </c>
      <c r="KZ51" s="409">
        <v>0</v>
      </c>
      <c r="LA51" s="409">
        <v>0</v>
      </c>
      <c r="LB51" s="415">
        <v>0.8</v>
      </c>
      <c r="LC51" s="415">
        <v>0.2</v>
      </c>
      <c r="LD51" s="415"/>
      <c r="LE51" s="415"/>
      <c r="LF51" s="415"/>
      <c r="LG51" s="409">
        <v>0</v>
      </c>
      <c r="LH51" s="409">
        <f>12+10+16+4</f>
        <v>42</v>
      </c>
      <c r="LI51" s="409">
        <v>0</v>
      </c>
      <c r="LJ51" s="409">
        <v>0</v>
      </c>
      <c r="LK51" s="416">
        <f t="shared" si="32"/>
        <v>42</v>
      </c>
      <c r="LL51" s="416">
        <f t="shared" si="33"/>
        <v>42</v>
      </c>
      <c r="LM51" s="417">
        <f t="shared" si="34"/>
        <v>33.6</v>
      </c>
      <c r="LN51" s="417">
        <f>VLOOKUP($LM$8,'Jan-2026 rates'!$H:$I,2,0)</f>
        <v>0</v>
      </c>
      <c r="LO51" s="417">
        <f t="shared" si="35"/>
        <v>8.4</v>
      </c>
      <c r="LP51" s="417">
        <f>VLOOKUP($LO$8,'Jan-2026 rates'!$H:$I,2,0)</f>
        <v>0</v>
      </c>
      <c r="LQ51" s="417">
        <f t="shared" si="36"/>
        <v>0</v>
      </c>
      <c r="LR51" s="417">
        <f>VLOOKUP($LQ$8,'Jan-2026 rates'!$H:$I,2,0)</f>
        <v>0</v>
      </c>
      <c r="LS51" s="417">
        <f t="shared" si="37"/>
        <v>0</v>
      </c>
      <c r="LT51" s="417">
        <f>VLOOKUP($LS$8,'Jan-2026 rates'!$H:$I,2,0)</f>
        <v>0</v>
      </c>
      <c r="LU51" s="417">
        <f t="shared" si="38"/>
        <v>0</v>
      </c>
      <c r="LV51" s="417">
        <f>VLOOKUP($LU$8,'Jan-2026 rates'!$H:$I,2,0)</f>
        <v>0</v>
      </c>
      <c r="LW51" s="417">
        <f t="shared" si="39"/>
        <v>0</v>
      </c>
      <c r="LX51" s="417">
        <f t="shared" si="40"/>
        <v>0</v>
      </c>
      <c r="LY51" s="418">
        <f t="shared" si="41"/>
        <v>0</v>
      </c>
      <c r="LZ51" s="417"/>
      <c r="MA51" s="435">
        <f t="shared" si="42"/>
        <v>14</v>
      </c>
      <c r="MB51" s="282">
        <f t="shared" si="43"/>
        <v>54</v>
      </c>
      <c r="MC51" s="283">
        <v>6</v>
      </c>
      <c r="MD51" s="284" t="str">
        <f t="shared" si="44"/>
        <v>FLINTSL</v>
      </c>
      <c r="ME51" s="293" t="str">
        <f t="shared" si="45"/>
        <v>+</v>
      </c>
      <c r="MF51" s="293" t="str">
        <f t="shared" si="46"/>
        <v>NIL</v>
      </c>
      <c r="MG51" s="293" t="str">
        <f t="shared" si="47"/>
        <v>NIL</v>
      </c>
      <c r="MH51" s="293" t="str">
        <f t="shared" si="48"/>
        <v>NIL</v>
      </c>
      <c r="MI51" s="293" t="str">
        <f t="shared" si="49"/>
        <v>NIL</v>
      </c>
      <c r="MJ51" s="293" t="str">
        <f t="shared" si="50"/>
        <v>NIL</v>
      </c>
      <c r="MK51" s="293" t="str">
        <f t="shared" si="51"/>
        <v>NIL</v>
      </c>
      <c r="ML51" s="293" t="str">
        <f t="shared" si="52"/>
        <v>NIL</v>
      </c>
      <c r="MM51" s="3" t="b">
        <f t="array" ref="MM51">OR(ME51:ML51="-")</f>
        <v>0</v>
      </c>
      <c r="MN51" s="285"/>
      <c r="MO51" s="401"/>
      <c r="MP51" s="286"/>
      <c r="MQ51" s="286"/>
      <c r="MR51" s="402"/>
      <c r="MS51" s="400"/>
      <c r="NH51" s="422"/>
      <c r="NJ51" s="421"/>
    </row>
    <row r="52" spans="1:374" s="1" customFormat="1" ht="16.5">
      <c r="A52" s="403">
        <v>46025</v>
      </c>
      <c r="B52" s="404" t="s">
        <v>1015</v>
      </c>
      <c r="C52" s="405" t="s">
        <v>2849</v>
      </c>
      <c r="D52" s="406">
        <v>7</v>
      </c>
      <c r="E52" s="404">
        <v>248</v>
      </c>
      <c r="F52" s="407">
        <v>13500</v>
      </c>
      <c r="G52" s="407" t="s">
        <v>1019</v>
      </c>
      <c r="H52" s="408" t="s">
        <v>1017</v>
      </c>
      <c r="I52" s="409">
        <v>1.3</v>
      </c>
      <c r="J52" s="405" t="s">
        <v>543</v>
      </c>
      <c r="K52" s="404" t="s">
        <v>2850</v>
      </c>
      <c r="L52" s="419" t="str">
        <f t="shared" si="0"/>
        <v>FLINTSL - BLACK</v>
      </c>
      <c r="M52" s="404">
        <v>29</v>
      </c>
      <c r="N52" s="410">
        <f>IF(M52=0,0,IF($LB52=70%,VLOOKUP($L52,'Jan-2026 rates'!$L:$R,4,0),IF($LB52=65%,VLOOKUP($L52,'Jan-2026 rates'!$L:$R,4,0),IF($LB52=40%,VLOOKUP($L52,'Jan-2026 rates'!$L:$R,5,0),IF($LB52=30%,VLOOKUP($L52,'Jan-2026 rates'!$L:$R,6,0),IF($LB52=100%,VLOOKUP($L52,'Jan-2026 rates'!$L:$R,7,0),IF($LB52=60%,VLOOKUP($L52,'Jan-2026 rates'!$L:$S,8,0),IF($LB52=80%,VLOOKUP($L52,'Jan-2026 rates'!L:T,9,0),0))))))))</f>
        <v>0</v>
      </c>
      <c r="O52" s="406"/>
      <c r="P52" s="404"/>
      <c r="Q52" s="410">
        <f>IF(P52=0,0,IF($LB52=70%,VLOOKUP($L52,'Jan-2026 rates'!$L:$R,4,0),IF($LB52=65%,VLOOKUP($L52,'Jan-2026 rates'!$L:$R,4,0),IF($LB52=40%,VLOOKUP($L52,'Jan-2026 rates'!$L:$R,5,0),IF($LB52=30%,VLOOKUP($L52,'Jan-2026 rates'!$L:$R,6,0),IF($LB52=100%,VLOOKUP($L52,'Jan-2026 rates'!$L:$R,7,0),IF($LB52=60%,VLOOKUP($L52,'Jan-2026 rates'!$L:$S,8,0),IF($LB52=80%,VLOOKUP($L52,'Jan-2026 rates'!L:T,9,0),0))))))))</f>
        <v>0</v>
      </c>
      <c r="R52" s="406">
        <v>26503000005</v>
      </c>
      <c r="S52" s="406"/>
      <c r="T52" s="406"/>
      <c r="U52" s="406"/>
      <c r="V52" s="406"/>
      <c r="W52" s="406"/>
      <c r="X52" s="406"/>
      <c r="Y52" s="406"/>
      <c r="Z52" s="404">
        <v>2</v>
      </c>
      <c r="AA52" s="398" t="e">
        <f>IF(Z52=0,0,IF(LEN(R52)=11,_xlfn.XLOOKUP(R52,'Dispensed Ink Rates'!C:C,'Dispensed Ink Rates'!CS:CS),VLOOKUP(R52,'Jan-2026 rates'!$E:$F,2,0)))</f>
        <v>#N/A</v>
      </c>
      <c r="AB52" s="404"/>
      <c r="AC52" s="398">
        <f>IF(AB52=0,0,IF(LEN(S52)=11,_xlfn.XLOOKUP(S52,'Dispensed Ink Rates'!C:C,'Dispensed Ink Rates'!CS:CS),VLOOKUP(S52,'Jan-2026 rates'!$E:$F,2,0)))</f>
        <v>0</v>
      </c>
      <c r="AD52" s="404"/>
      <c r="AE52" s="398">
        <f>IF(AD52=0,0,IF(LEN(T52)=11,_xlfn.XLOOKUP(T52,'Dispensed Ink Rates'!C:C,'Dispensed Ink Rates'!CS:CS),VLOOKUP(T52,'Jan-2026 rates'!$E:$F,2,0)))</f>
        <v>0</v>
      </c>
      <c r="AF52" s="404"/>
      <c r="AG52" s="398">
        <f>IF(AF52=0,0,IF(LEN(U52)=11,_xlfn.XLOOKUP(U52,'Dispensed Ink Rates'!C:C,'Dispensed Ink Rates'!CS:CS),VLOOKUP(U52,'Jan-2026 rates'!$E:$F,2,0)))</f>
        <v>0</v>
      </c>
      <c r="AH52" s="404"/>
      <c r="AI52" s="398">
        <f>IF(AH52=0,0,IF(LEN(V52)=11,_xlfn.XLOOKUP(V52,'Dispensed Ink Rates'!C:C,'Dispensed Ink Rates'!CS:CS),VLOOKUP(V52,'Jan-2026 rates'!$E:$F,2,0)))</f>
        <v>0</v>
      </c>
      <c r="AJ52" s="404"/>
      <c r="AK52" s="398">
        <f>IF(AJ52=0,0,IF(LEN(W52)=11,_xlfn.XLOOKUP(W52,'Dispensed Ink Rates'!C:C,'Dispensed Ink Rates'!CS:CS),VLOOKUP(W52,'Jan-2026 rates'!$E:$F,2,0)))</f>
        <v>0</v>
      </c>
      <c r="AL52" s="404"/>
      <c r="AM52" s="398">
        <f>IF(AL52=0,0,IF(LEN(X52)=11,_xlfn.XLOOKUP(X52,'Dispensed Ink Rates'!C:C,'Dispensed Ink Rates'!CS:CS),VLOOKUP(X52,'Jan-2026 rates'!$E:$F,2,0)))</f>
        <v>0</v>
      </c>
      <c r="AN52" s="404"/>
      <c r="AO52" s="398">
        <f>IF(AN52=0,0,IF(LEN(Y52)=11,_xlfn.XLOOKUP(Y52,'Dispensed Ink Rates'!C:C,'Dispensed Ink Rates'!CS:CS),VLOOKUP(Y52,'Jan-2026 rates'!$E:$F,2,0)))</f>
        <v>0</v>
      </c>
      <c r="AP52" s="409" t="s">
        <v>1443</v>
      </c>
      <c r="AQ52" s="409">
        <v>28</v>
      </c>
      <c r="AR52" s="410">
        <f t="shared" si="1"/>
        <v>0</v>
      </c>
      <c r="AS52" s="411">
        <f t="shared" si="2"/>
        <v>5.6052631578947398</v>
      </c>
      <c r="AT52" s="410">
        <f t="shared" si="3"/>
        <v>0</v>
      </c>
      <c r="AU52" s="405" t="s">
        <v>857</v>
      </c>
      <c r="AV52" s="409" t="s">
        <v>2851</v>
      </c>
      <c r="AW52" s="420" t="str">
        <f t="shared" si="53"/>
        <v>FLINTSL - RED</v>
      </c>
      <c r="AX52" s="409">
        <v>30</v>
      </c>
      <c r="AY52" s="411">
        <f>IF(AX52=0,0,IF($LB52=70%,VLOOKUP($AW52,'Jan-2026 rates'!$L:$R,4,0),IF($LB52=65%,VLOOKUP($AW52,'Jan-2026 rates'!$L:$R,4,0),IF($LB52=40%,VLOOKUP($AW52,'Jan-2026 rates'!$L:$R,5,0),IF($LB52=30%,VLOOKUP($AW52,'Jan-2026 rates'!$L:$R,6,0),IF($LB52=100%,VLOOKUP($AW52,'Jan-2026 rates'!$L:$R,7,0),IF($LB52=60%,VLOOKUP($AW52,'Jan-2026 rates'!$L:$S,8,0),IF($LB52=80%,VLOOKUP($AW52,'Jan-2026 rates'!L:T,9,0),0))))))))</f>
        <v>0</v>
      </c>
      <c r="AZ52" s="412"/>
      <c r="BA52" s="409"/>
      <c r="BB52" s="411">
        <f>IF(BA52=0,0,IF($LB52=70%,VLOOKUP($AW52,'Jan-2026 rates'!$L:$R,4,0),IF($LB52=65%,VLOOKUP($AW52,'Jan-2026 rates'!$L:$R,4,0),IF($LB52=40%,VLOOKUP($AW52,'Jan-2026 rates'!$L:$R,5,0),IF($LB52=30%,VLOOKUP($AW52,'Jan-2026 rates'!$L:$R,6,0),IF($LB52=100%,VLOOKUP($AW52,'Jan-2026 rates'!$L:$R,7,0),IF($LB52=60%,VLOOKUP($AW52,'Jan-2026 rates'!$L:$S,8,0),IF($LB52=80%,VLOOKUP($AW52,'Jan-2026 rates'!L:T,9,0),0))))))))</f>
        <v>0</v>
      </c>
      <c r="BC52" s="413"/>
      <c r="BD52" s="412"/>
      <c r="BE52" s="412"/>
      <c r="BF52" s="413"/>
      <c r="BG52" s="412"/>
      <c r="BH52" s="412"/>
      <c r="BI52" s="412"/>
      <c r="BJ52" s="412"/>
      <c r="BK52" s="409"/>
      <c r="BL52" s="398">
        <f>IF(BK52=0,0,IF(LEN(BC52)=11,_xlfn.XLOOKUP(BC52,'Dispensed Ink Rates'!C:C,'Dispensed Ink Rates'!CS:CS),VLOOKUP(BC52,'Jan-2026 rates'!$E:$F,2,0)))</f>
        <v>0</v>
      </c>
      <c r="BM52" s="409"/>
      <c r="BN52" s="398">
        <f>IF(BM52=0,0,IF(LEN(BD52)=11,_xlfn.XLOOKUP(BD52,'Dispensed Ink Rates'!C:C,'Dispensed Ink Rates'!CS:CS),VLOOKUP(BD52,'Jan-2026 rates'!$E:$F,2,0)))</f>
        <v>0</v>
      </c>
      <c r="BO52" s="409"/>
      <c r="BP52" s="398">
        <f>IF(BO52=0,0,IF(LEN(BE52)=11,_xlfn.XLOOKUP(BE52,'Dispensed Ink Rates'!C:C,'Dispensed Ink Rates'!CS:CS),VLOOKUP(BE52,'Jan-2026 rates'!$E:$F,2,0)))</f>
        <v>0</v>
      </c>
      <c r="BQ52" s="409"/>
      <c r="BR52" s="398">
        <f>IF(BQ52=0,0,IF(LEN(BF52)=11,_xlfn.XLOOKUP(BF52,'Dispensed Ink Rates'!C:C,'Dispensed Ink Rates'!CS:CS),VLOOKUP(BF52,'Jan-2026 rates'!$E:$F,2,0)))</f>
        <v>0</v>
      </c>
      <c r="BS52" s="409"/>
      <c r="BT52" s="398">
        <f>IF(BS52=0,0,IF(LEN(BG52)=11,_xlfn.XLOOKUP(BG52,'Dispensed Ink Rates'!C:C,'Dispensed Ink Rates'!CS:CS),VLOOKUP(BG52,'Jan-2026 rates'!$E:$F,2,0)))</f>
        <v>0</v>
      </c>
      <c r="BU52" s="409"/>
      <c r="BV52" s="398">
        <f>IF(BU52=0,0,IF(LEN(BH52)=11,_xlfn.XLOOKUP(BH52,'Dispensed Ink Rates'!C:C,'Dispensed Ink Rates'!CS:CS),VLOOKUP(BH52,'Jan-2026 rates'!$E:$F,2,0)))</f>
        <v>0</v>
      </c>
      <c r="BW52" s="409"/>
      <c r="BX52" s="398">
        <f>IF(BW52=0,0,IF(LEN(BI52)=11,_xlfn.XLOOKUP(BI52,'Dispensed Ink Rates'!C:C,'Dispensed Ink Rates'!CS:CS),VLOOKUP(BI52,'Jan-2026 rates'!$E:$F,2,0)))</f>
        <v>0</v>
      </c>
      <c r="BY52" s="409"/>
      <c r="BZ52" s="398">
        <f>IF(BY52=0,0,IF(LEN(BJ52)=11,_xlfn.XLOOKUP(BJ52,'Dispensed Ink Rates'!C:C,'Dispensed Ink Rates'!CS:CS),VLOOKUP(BJ52,'Jan-2026 rates'!$E:$F,2,0)))</f>
        <v>0</v>
      </c>
      <c r="CA52" s="409" t="s">
        <v>1443</v>
      </c>
      <c r="CB52" s="409">
        <v>22</v>
      </c>
      <c r="CC52" s="411">
        <f t="shared" si="5"/>
        <v>0</v>
      </c>
      <c r="CD52" s="411">
        <f t="shared" si="6"/>
        <v>13.210526315789473</v>
      </c>
      <c r="CE52" s="410">
        <f t="shared" si="7"/>
        <v>0</v>
      </c>
      <c r="CF52" s="404" t="s">
        <v>547</v>
      </c>
      <c r="CG52" s="409" t="s">
        <v>2836</v>
      </c>
      <c r="CH52" s="420" t="str">
        <f t="shared" si="8"/>
        <v>FLINTSL - GREEN</v>
      </c>
      <c r="CI52" s="409">
        <v>22</v>
      </c>
      <c r="CJ52" s="411">
        <f>IF(CI52=0,0,IF($LB52=70%,VLOOKUP($CH52,'Jan-2026 rates'!$L:$R,4,0),IF($LB52=65%,VLOOKUP($CH52,'Jan-2026 rates'!$L:$R,4,0),IF($LB52=40%,VLOOKUP($CH52,'Jan-2026 rates'!$L:$R,5,0),IF($LB52=30%,VLOOKUP($CH52,'Jan-2026 rates'!$L:$R,6,0),IF($LB52=100%,VLOOKUP($CH52,'Jan-2026 rates'!$L:$R,7,0),IF($LB52=60%,VLOOKUP($CH52,'Jan-2026 rates'!$L:$S,8,0),IF($LB52=80%,VLOOKUP($CH52,'Jan-2026 rates'!L:T,9,0),0))))))))</f>
        <v>0</v>
      </c>
      <c r="CK52" s="412"/>
      <c r="CL52" s="409"/>
      <c r="CM52" s="411">
        <f>IF(CL52=0,0,IF($LB52=70%,VLOOKUP($CH52,'Jan-2026 rates'!$L:$R,4,0),IF($LB52=65%,VLOOKUP($CH52,'Jan-2026 rates'!$L:$R,4,0),IF($LB52=40%,VLOOKUP($CH52,'Jan-2026 rates'!$L:$R,5,0),IF($LB52=30%,VLOOKUP($CH52,'Jan-2026 rates'!$L:$R,6,0),IF($LB52=100%,VLOOKUP($CH52,'Jan-2026 rates'!$L:$R,7,0),IF($LB52=60%,VLOOKUP($CH52,'Jan-2026 rates'!$L:$S,8,0),IF($LB52=80%,VLOOKUP($CH52,'Jan-2026 rates'!L:T,9,0),0))))))))</f>
        <v>0</v>
      </c>
      <c r="CN52" s="426">
        <v>26503000005</v>
      </c>
      <c r="CO52" s="427">
        <v>25863000002</v>
      </c>
      <c r="CP52" s="426"/>
      <c r="CQ52" s="426"/>
      <c r="CR52" s="428"/>
      <c r="CS52" s="428"/>
      <c r="CT52" s="428"/>
      <c r="CU52" s="428"/>
      <c r="CV52" s="409">
        <v>2</v>
      </c>
      <c r="CW52" s="398" t="e">
        <f>IF(CV52=0,0,IF(LEN(CN52)=11,_xlfn.XLOOKUP(CN52,'Dispensed Ink Rates'!C:C,'Dispensed Ink Rates'!CS:CS),VLOOKUP(CN52,'Jan-2026 rates'!$E:$F,2,0)))</f>
        <v>#N/A</v>
      </c>
      <c r="CX52" s="409">
        <v>3</v>
      </c>
      <c r="CY52" s="398" t="e">
        <f>IF(CX52=0,0,IF(LEN(CO52)=11,_xlfn.XLOOKUP(CO52,'Dispensed Ink Rates'!C:C,'Dispensed Ink Rates'!CS:CS),VLOOKUP(CO52,'Jan-2026 rates'!$E:$F,2,0)))</f>
        <v>#N/A</v>
      </c>
      <c r="CZ52" s="409"/>
      <c r="DA52" s="398">
        <f>IF(CZ52=0,0,IF(LEN(CP52)=11,_xlfn.XLOOKUP(CP52,'Dispensed Ink Rates'!C:C,'Dispensed Ink Rates'!CS:CS),VLOOKUP(CP52,'Jan-2026 rates'!$E:$F,2,0)))</f>
        <v>0</v>
      </c>
      <c r="DB52" s="409"/>
      <c r="DC52" s="398">
        <f>IF(DB52=0,0,IF(LEN(CQ52)=11,_xlfn.XLOOKUP(CQ52,'Dispensed Ink Rates'!C:C,'Dispensed Ink Rates'!CS:CS),VLOOKUP(CQ52,'Jan-2026 rates'!$E:$F,2,0)))</f>
        <v>0</v>
      </c>
      <c r="DD52" s="409"/>
      <c r="DE52" s="398">
        <f>IF(DD52=0,0,IF(LEN(CR52)=11,_xlfn.XLOOKUP(CR52,'Dispensed Ink Rates'!C:C,'Dispensed Ink Rates'!CS:CS),VLOOKUP(CR52,'Jan-2026 rates'!$E:$F,2,0)))</f>
        <v>0</v>
      </c>
      <c r="DF52" s="409"/>
      <c r="DG52" s="398">
        <f>IF(DF52=0,0,IF(LEN(CS52)=11,_xlfn.XLOOKUP(CS52,'Dispensed Ink Rates'!C:C,'Dispensed Ink Rates'!CS:CS),VLOOKUP(CS52,'Jan-2026 rates'!$E:$F,2,0)))</f>
        <v>0</v>
      </c>
      <c r="DH52" s="409"/>
      <c r="DI52" s="398">
        <f>IF(DH52=0,0,IF(LEN(CT52)=11,_xlfn.XLOOKUP(CT52,'Dispensed Ink Rates'!C:C,'Dispensed Ink Rates'!CS:CS),VLOOKUP(CT52,'Jan-2026 rates'!$E:$F,2,0)))</f>
        <v>0</v>
      </c>
      <c r="DJ52" s="409"/>
      <c r="DK52" s="398">
        <f>IF(DJ52=0,0,IF(LEN(CU52)=11,_xlfn.XLOOKUP(CU52,'Dispensed Ink Rates'!C:C,'Dispensed Ink Rates'!CS:CS),VLOOKUP(CU52,'Jan-2026 rates'!$E:$F,2,0)))</f>
        <v>0</v>
      </c>
      <c r="DL52" s="409" t="s">
        <v>1443</v>
      </c>
      <c r="DM52" s="409">
        <v>24</v>
      </c>
      <c r="DN52" s="411">
        <f t="shared" si="9"/>
        <v>0</v>
      </c>
      <c r="DO52" s="411">
        <f t="shared" si="10"/>
        <v>8.2105263157894726</v>
      </c>
      <c r="DP52" s="410">
        <f t="shared" si="11"/>
        <v>0</v>
      </c>
      <c r="DQ52" s="405" t="s">
        <v>547</v>
      </c>
      <c r="DR52" s="409" t="s">
        <v>2852</v>
      </c>
      <c r="DS52" s="420" t="str">
        <f t="shared" si="12"/>
        <v>FLINTSL - GREEN</v>
      </c>
      <c r="DT52" s="409">
        <v>25</v>
      </c>
      <c r="DU52" s="411">
        <f>IF(DT52=0,0,IF($LB52=70%,VLOOKUP($DS52,'Jan-2026 rates'!$L:$R,4,0),IF($LB52=65%,VLOOKUP($DS52,'Jan-2026 rates'!$L:$R,4,0),IF($LB52=40%,VLOOKUP($DS52,'Jan-2026 rates'!$L:$R,5,0),IF($LB52=30%,VLOOKUP($DS52,'Jan-2026 rates'!$L:$R,6,0),IF($LB52=100%,VLOOKUP($DS52,'Jan-2026 rates'!$L:$R,7,0),IF($LB52=60%,VLOOKUP($DS52,'Jan-2026 rates'!$L:$S,8,0),IF($LB52=80%,VLOOKUP($DS52,'Jan-2026 rates'!L:T,9,0),0))))))))</f>
        <v>0</v>
      </c>
      <c r="DV52" s="412"/>
      <c r="DW52" s="409"/>
      <c r="DX52" s="411">
        <f>IF(DW52=0,0,IF($LB52=70%,VLOOKUP($DS52,'Jan-2026 rates'!$L:$R,4,0),IF($LB52=65%,VLOOKUP($DS52,'Jan-2026 rates'!$L:$R,4,0),IF($LB52=40%,VLOOKUP($DS52,'Jan-2026 rates'!$L:$R,5,0),IF($LB52=30%,VLOOKUP($DS52,'Jan-2026 rates'!$L:$R,6,0),IF($LB52=100%,VLOOKUP($DS52,'Jan-2026 rates'!$L:$R,7,0),IF($LB52=60%,VLOOKUP($DS52,'Jan-2026 rates'!$L:$S,8,0),IF($LB52=80%,VLOOKUP($DS52,'Jan-2026 rates'!L:T,9,0),0))))))))</f>
        <v>0</v>
      </c>
      <c r="DY52" s="413">
        <v>25863000002</v>
      </c>
      <c r="DZ52" s="413">
        <v>25864000008</v>
      </c>
      <c r="EA52" s="412">
        <v>25862000007</v>
      </c>
      <c r="EB52" s="412"/>
      <c r="EC52" s="412"/>
      <c r="ED52" s="412"/>
      <c r="EE52" s="412"/>
      <c r="EF52" s="412"/>
      <c r="EG52" s="409">
        <v>5</v>
      </c>
      <c r="EH52" s="398" t="e">
        <f>IF(EG52=0,0,IF(LEN(DY52)=11,_xlfn.XLOOKUP(DY52,'Dispensed Ink Rates'!C:C,'Dispensed Ink Rates'!CS:CS),VLOOKUP(DY52,'Jan-2026 rates'!$E:$F,2,0)))</f>
        <v>#N/A</v>
      </c>
      <c r="EI52" s="409">
        <v>4</v>
      </c>
      <c r="EJ52" s="398" t="e">
        <f>IF(EI52=0,0,IF(LEN(DZ52)=11,_xlfn.XLOOKUP(DZ52,'Dispensed Ink Rates'!C:C,'Dispensed Ink Rates'!CS:CS),VLOOKUP(DZ52,'Jan-2026 rates'!$E:$F,2,0)))</f>
        <v>#N/A</v>
      </c>
      <c r="EK52" s="409">
        <v>1.5</v>
      </c>
      <c r="EL52" s="398" t="e">
        <f>IF(EK52=0,0,IF(LEN(EA52)=11,_xlfn.XLOOKUP(EA52,'Dispensed Ink Rates'!C:C,'Dispensed Ink Rates'!CS:CS),VLOOKUP(EA52,'Jan-2026 rates'!$E:$F,2,0)))</f>
        <v>#N/A</v>
      </c>
      <c r="EM52" s="409"/>
      <c r="EN52" s="398">
        <f>IF(EM52=0,0,IF(LEN(EB52)=11,_xlfn.XLOOKUP(EB52,'Dispensed Ink Rates'!C:C,'Dispensed Ink Rates'!CS:CS),VLOOKUP(EB52,'Jan-2026 rates'!$E:$F,2,0)))</f>
        <v>0</v>
      </c>
      <c r="EO52" s="409"/>
      <c r="EP52" s="398">
        <f>IF(EO52=0,0,IF(LEN(EC52)=11,_xlfn.XLOOKUP(EC52,'Dispensed Ink Rates'!C:C,'Dispensed Ink Rates'!CS:CS),VLOOKUP(EC52,'Jan-2026 rates'!$E:$F,2,0)))</f>
        <v>0</v>
      </c>
      <c r="EQ52" s="409"/>
      <c r="ER52" s="398">
        <f>IF(EQ52=0,0,IF(LEN(ED52)=11,_xlfn.XLOOKUP(ED52,'Dispensed Ink Rates'!C:C,'Dispensed Ink Rates'!CS:CS),VLOOKUP(ED52,'Jan-2026 rates'!$E:$F,2,0)))</f>
        <v>0</v>
      </c>
      <c r="ES52" s="409"/>
      <c r="ET52" s="398">
        <f>IF(ES52=0,0,IF(LEN(EE52)=11,_xlfn.XLOOKUP(EE52,'Dispensed Ink Rates'!C:C,'Dispensed Ink Rates'!CS:CS),VLOOKUP(EE52,'Jan-2026 rates'!$E:$F,2,0)))</f>
        <v>0</v>
      </c>
      <c r="EU52" s="409"/>
      <c r="EV52" s="398">
        <f>IF(EU52=0,0,IF(LEN(EF52)=11,_xlfn.XLOOKUP(EF52,'Dispensed Ink Rates'!C:C,'Dispensed Ink Rates'!CS:CS),VLOOKUP(EF52,'Jan-2026 rates'!$E:$F,2,0)))</f>
        <v>0</v>
      </c>
      <c r="EW52" s="409" t="s">
        <v>1443</v>
      </c>
      <c r="EX52" s="409">
        <v>25</v>
      </c>
      <c r="EY52" s="411">
        <f t="shared" si="13"/>
        <v>0</v>
      </c>
      <c r="EZ52" s="411">
        <f t="shared" si="14"/>
        <v>26.131578947368418</v>
      </c>
      <c r="FA52" s="410">
        <f t="shared" si="15"/>
        <v>0</v>
      </c>
      <c r="FB52" s="405" t="s">
        <v>855</v>
      </c>
      <c r="FC52" s="409" t="s">
        <v>2852</v>
      </c>
      <c r="FD52" s="420" t="str">
        <f t="shared" si="16"/>
        <v>FLINTSL - CYAN</v>
      </c>
      <c r="FE52" s="409">
        <v>25</v>
      </c>
      <c r="FF52" s="411">
        <f>IF(FE52=0,0,IF($LB52=70%,VLOOKUP($FD52,'Jan-2026 rates'!$L:$R,4,0),IF($LB52=65%,VLOOKUP($FD52,'Jan-2026 rates'!$L:$R,4,0),IF($LB52=40%,VLOOKUP($FD52,'Jan-2026 rates'!$L:$R,5,0),IF($LB52=30%,VLOOKUP($FD52,'Jan-2026 rates'!$L:$R,6,0),IF($LB52=100%,VLOOKUP($FD52,'Jan-2026 rates'!$L:$R,7,0),IF($LB52=60%,VLOOKUP($FD52,'Jan-2026 rates'!$L:$S,8,0),IF($LB52=80%,VLOOKUP($FD52,'Jan-2026 rates'!L:T,9,0),0))))))))</f>
        <v>0</v>
      </c>
      <c r="FG52" s="412"/>
      <c r="FH52" s="409"/>
      <c r="FI52" s="411">
        <f>IF(FH52=0,0,IF($LB52=70%,VLOOKUP($FD52,'Jan-2026 rates'!$L:$R,4,0),IF($LB52=65%,VLOOKUP($FD52,'Jan-2026 rates'!$L:$R,4,0),IF($LB52=40%,VLOOKUP($FD52,'Jan-2026 rates'!$L:$R,5,0),IF($LB52=30%,VLOOKUP($FD52,'Jan-2026 rates'!$L:$R,6,0),IF($LB52=100%,VLOOKUP($FD52,'Jan-2026 rates'!$L:$R,7,0),IF($LB52=60%,VLOOKUP($FD52,'Jan-2026 rates'!$L:$S,8,0),IF($LB52=80%,VLOOKUP($FD52,'Jan-2026 rates'!L:T,9,0),0))))))))</f>
        <v>0</v>
      </c>
      <c r="FJ52" s="413">
        <v>25863000002</v>
      </c>
      <c r="FK52" s="413"/>
      <c r="FL52" s="413"/>
      <c r="FM52" s="412"/>
      <c r="FN52" s="412"/>
      <c r="FO52" s="412"/>
      <c r="FP52" s="412"/>
      <c r="FQ52" s="412"/>
      <c r="FR52" s="409">
        <v>3</v>
      </c>
      <c r="FS52" s="398" t="e">
        <f>IF(FR52=0,0,IF(LEN(FJ52)=11,_xlfn.XLOOKUP(FJ52,'Dispensed Ink Rates'!C:C,'Dispensed Ink Rates'!CS:CS),VLOOKUP(FJ52,'Jan-2026 rates'!$E:$F,2,0)))</f>
        <v>#N/A</v>
      </c>
      <c r="FT52" s="409"/>
      <c r="FU52" s="398">
        <f>IF(FT52=0,0,IF(LEN(FK52)=11,_xlfn.XLOOKUP(FK52,'Dispensed Ink Rates'!C:C,'Dispensed Ink Rates'!CS:CS),VLOOKUP(FK52,'Jan-2026 rates'!$E:$F,2,0)))</f>
        <v>0</v>
      </c>
      <c r="FV52" s="409"/>
      <c r="FW52" s="398">
        <f>IF(FV52=0,0,IF(LEN(FL52)=11,_xlfn.XLOOKUP(FL52,'Dispensed Ink Rates'!C:C,'Dispensed Ink Rates'!CS:CS),VLOOKUP(FL52,'Jan-2026 rates'!$E:$F,2,0)))</f>
        <v>0</v>
      </c>
      <c r="FX52" s="409"/>
      <c r="FY52" s="398">
        <f>IF(FX52=0,0,IF(LEN(FM52)=11,_xlfn.XLOOKUP(FM52,'Dispensed Ink Rates'!C:C,'Dispensed Ink Rates'!CS:CS),VLOOKUP(FM52,'Jan-2026 rates'!$E:$F,2,0)))</f>
        <v>0</v>
      </c>
      <c r="FZ52" s="409"/>
      <c r="GA52" s="398">
        <f>IF(FZ52=0,0,IF(LEN(FN52)=11,_xlfn.XLOOKUP(FN52,'Dispensed Ink Rates'!C:C,'Dispensed Ink Rates'!CS:CS),VLOOKUP(FN52,'Jan-2026 rates'!$E:$F,2,0)))</f>
        <v>0</v>
      </c>
      <c r="GB52" s="409"/>
      <c r="GC52" s="398">
        <f>IF(GB52=0,0,IF(LEN(FO52)=11,_xlfn.XLOOKUP(FO52,'Dispensed Ink Rates'!C:C,'Dispensed Ink Rates'!CS:CS),VLOOKUP(FO52,'Jan-2026 rates'!$E:$F,2,0)))</f>
        <v>0</v>
      </c>
      <c r="GD52" s="409"/>
      <c r="GE52" s="398">
        <f>IF(GD52=0,0,IF(LEN(FP52)=11,_xlfn.XLOOKUP(FP52,'Dispensed Ink Rates'!C:C,'Dispensed Ink Rates'!CS:CS),VLOOKUP(FP52,'Jan-2026 rates'!$E:$F,2,0)))</f>
        <v>0</v>
      </c>
      <c r="GF52" s="409"/>
      <c r="GG52" s="398">
        <f>IF(GF52=0,0,IF(LEN(FQ52)=11,_xlfn.XLOOKUP(FQ52,'Dispensed Ink Rates'!C:C,'Dispensed Ink Rates'!CS:CS),VLOOKUP(FQ52,'Jan-2026 rates'!$E:$F,2,0)))</f>
        <v>0</v>
      </c>
      <c r="GH52" s="409" t="s">
        <v>1443</v>
      </c>
      <c r="GI52" s="409">
        <v>27</v>
      </c>
      <c r="GJ52" s="411">
        <f t="shared" si="17"/>
        <v>0</v>
      </c>
      <c r="GK52" s="411">
        <f t="shared" si="18"/>
        <v>6.2105263157894726</v>
      </c>
      <c r="GL52" s="410">
        <f t="shared" si="19"/>
        <v>0</v>
      </c>
      <c r="GM52" s="405" t="s">
        <v>544</v>
      </c>
      <c r="GN52" s="409" t="s">
        <v>2853</v>
      </c>
      <c r="GO52" s="420" t="str">
        <f t="shared" si="20"/>
        <v>FLINTSL - MAGENTA</v>
      </c>
      <c r="GP52" s="409">
        <v>30</v>
      </c>
      <c r="GQ52" s="411">
        <f>IF(GP52=0,0,IF($LB52=70%,VLOOKUP($GO52,'Jan-2026 rates'!$L:$R,4,0),IF($LB52=65%,VLOOKUP($GO52,'Jan-2026 rates'!$L:$R,4,0),IF($LB52=40%,VLOOKUP($GO52,'Jan-2026 rates'!$L:$R,5,0),IF($LB52=30%,VLOOKUP($GO52,'Jan-2026 rates'!$L:$R,6,0),IF($LB52=100%,VLOOKUP($GO52,'Jan-2026 rates'!$L:$R,7,0),IF($LB52=60%,VLOOKUP($GO52,'Jan-2026 rates'!$L:$S,8,0),IF($LB52=80%,VLOOKUP($GO52,'Jan-2026 rates'!L:T,9,0),0))))))))</f>
        <v>0</v>
      </c>
      <c r="GR52" s="412"/>
      <c r="GS52" s="409"/>
      <c r="GT52" s="411">
        <f>IF(GS52=0,0,IF($LB52=70%,VLOOKUP($GO52,'Jan-2026 rates'!$L:$R,4,0),IF($LB52=65%,VLOOKUP($GO52,'Jan-2026 rates'!$L:$R,4,0),IF($LB52=40%,VLOOKUP($GO52,'Jan-2026 rates'!$L:$R,5,0),IF($LB52=30%,VLOOKUP($GO52,'Jan-2026 rates'!$L:$R,6,0),IF($LB52=100%,VLOOKUP($GO52,'Jan-2026 rates'!$L:$R,7,0),IF($LB52=60%,VLOOKUP($GO52,'Jan-2026 rates'!$L:$S,8,0),IF($LB52=80%,VLOOKUP($GO52,'Jan-2026 rates'!L:T,9,0),0))))))))</f>
        <v>0</v>
      </c>
      <c r="GU52" s="413">
        <v>25863000024</v>
      </c>
      <c r="GV52" s="413"/>
      <c r="GW52" s="412"/>
      <c r="GX52" s="412"/>
      <c r="GY52" s="412"/>
      <c r="GZ52" s="412"/>
      <c r="HA52" s="412"/>
      <c r="HB52" s="412"/>
      <c r="HC52" s="409">
        <v>2</v>
      </c>
      <c r="HD52" s="398" t="e">
        <f>IF(HC52=0,0,IF(LEN(GU52)=11,_xlfn.XLOOKUP(GU52,'Dispensed Ink Rates'!C:C,'Dispensed Ink Rates'!CS:CS),VLOOKUP(GU52,'Jan-2026 rates'!$E:$F,2,0)))</f>
        <v>#N/A</v>
      </c>
      <c r="HE52" s="409"/>
      <c r="HF52" s="398">
        <f>IF(HE52=0,0,IF(LEN(GV52)=11,_xlfn.XLOOKUP(GV52,'Dispensed Ink Rates'!C:C,'Dispensed Ink Rates'!CS:CS),VLOOKUP(GV52,'Jan-2026 rates'!$E:$F,2,0)))</f>
        <v>0</v>
      </c>
      <c r="HG52" s="409"/>
      <c r="HH52" s="398">
        <f>IF(HG52=0,0,IF(LEN(GW52)=11,_xlfn.XLOOKUP(GW52,'Dispensed Ink Rates'!C:C,'Dispensed Ink Rates'!CS:CS),VLOOKUP(GW52,'Jan-2026 rates'!$E:$F,2,0)))</f>
        <v>0</v>
      </c>
      <c r="HI52" s="409"/>
      <c r="HJ52" s="398">
        <f>IF(HI52=0,0,IF(LEN(GX52)=11,_xlfn.XLOOKUP(GX52,'Dispensed Ink Rates'!C:C,'Dispensed Ink Rates'!CS:CS),VLOOKUP(GX52,'Jan-2026 rates'!$E:$F,2,0)))</f>
        <v>0</v>
      </c>
      <c r="HK52" s="409"/>
      <c r="HL52" s="398">
        <f>IF(HK52=0,0,IF(LEN(GY52)=11,_xlfn.XLOOKUP(GY52,'Dispensed Ink Rates'!C:C,'Dispensed Ink Rates'!CS:CS),VLOOKUP(GY52,'Jan-2026 rates'!$E:$F,2,0)))</f>
        <v>0</v>
      </c>
      <c r="HM52" s="409"/>
      <c r="HN52" s="398">
        <f>IF(HM52=0,0,IF(LEN(GZ52)=11,_xlfn.XLOOKUP(GZ52,'Dispensed Ink Rates'!C:C,'Dispensed Ink Rates'!CS:CS),VLOOKUP(GZ52,'Jan-2026 rates'!$E:$F,2,0)))</f>
        <v>0</v>
      </c>
      <c r="HO52" s="409"/>
      <c r="HP52" s="398">
        <f>IF(HO52=0,0,IF(LEN(HA52)=11,_xlfn.XLOOKUP(HA52,'Dispensed Ink Rates'!C:C,'Dispensed Ink Rates'!CS:CS),VLOOKUP(HA52,'Jan-2026 rates'!$E:$F,2,0)))</f>
        <v>0</v>
      </c>
      <c r="HQ52" s="409"/>
      <c r="HR52" s="398">
        <f>IF(HQ52=0,0,IF(LEN(HB52)=11,_xlfn.XLOOKUP(HB52,'Dispensed Ink Rates'!C:C,'Dispensed Ink Rates'!CS:CS),VLOOKUP(HB52,'Jan-2026 rates'!$E:$F,2,0)))</f>
        <v>0</v>
      </c>
      <c r="HS52" s="409" t="s">
        <v>1443</v>
      </c>
      <c r="HT52" s="409">
        <v>30</v>
      </c>
      <c r="HU52" s="411">
        <f t="shared" si="21"/>
        <v>0</v>
      </c>
      <c r="HV52" s="411">
        <f t="shared" si="22"/>
        <v>9.8157894736842124</v>
      </c>
      <c r="HW52" s="414">
        <f t="shared" si="23"/>
        <v>0</v>
      </c>
      <c r="HX52" s="405" t="s">
        <v>545</v>
      </c>
      <c r="HY52" s="409" t="s">
        <v>2854</v>
      </c>
      <c r="HZ52" s="420" t="str">
        <f t="shared" si="24"/>
        <v>FLINTSL - YELLOW</v>
      </c>
      <c r="IA52" s="409">
        <v>30</v>
      </c>
      <c r="IB52" s="411">
        <f>IF(IA52=0,0,IF($LB52=70%,VLOOKUP($HZ52,'Jan-2026 rates'!$L:$R,4,0),IF($LB52=65%,VLOOKUP($HZ52,'Jan-2026 rates'!$L:$R,4,0),IF($LB52=40%,VLOOKUP($HZ52,'Jan-2026 rates'!$L:$R,5,0),IF($LB52=30%,VLOOKUP($HZ52,'Jan-2026 rates'!$L:$R,6,0),IF($LB52=100%,VLOOKUP($HZ52,'Jan-2026 rates'!$L:$R,7,0),IF($LB52=60%,VLOOKUP($HZ52,'Jan-2026 rates'!$L:$S,8,0),IF($LB52=80%,VLOOKUP($HZ52,'Jan-2026 rates'!L:T,9,0),0))))))))</f>
        <v>0</v>
      </c>
      <c r="IC52" s="412"/>
      <c r="ID52" s="409"/>
      <c r="IE52" s="411">
        <f>IF(ID52=0,0,IF($LB52=70%,VLOOKUP($HZ52,'Jan-2026 rates'!$L:$R,4,0),IF($LB52=65%,VLOOKUP($HZ52,'Jan-2026 rates'!$L:$R,4,0),IF($LB52=40%,VLOOKUP($HZ52,'Jan-2026 rates'!$L:$R,5,0),IF($LB52=30%,VLOOKUP($HZ52,'Jan-2026 rates'!$L:$R,6,0),IF($LB52=100%,VLOOKUP($HZ52,'Jan-2026 rates'!$L:$R,7,0),IF($LB52=60%,VLOOKUP($HZ52,'Jan-2026 rates'!$L:$S,8,0),IF($LB52=80%,VLOOKUP($HZ52,'Jan-2026 rates'!L:T,9,0),0))))))))</f>
        <v>0</v>
      </c>
      <c r="IF52" s="412"/>
      <c r="IG52" s="413"/>
      <c r="IH52" s="412"/>
      <c r="II52" s="412"/>
      <c r="IJ52" s="412"/>
      <c r="IK52" s="412"/>
      <c r="IL52" s="412"/>
      <c r="IM52" s="412"/>
      <c r="IN52" s="409"/>
      <c r="IO52" s="398">
        <f>IF(IN52=0,0,IF(LEN(IF52)=11,_xlfn.XLOOKUP(IF52,'Dispensed Ink Rates'!C:C,'Dispensed Ink Rates'!CS:CS),VLOOKUP(IF52,'Jan-2026 rates'!$E:$F,2,0)))</f>
        <v>0</v>
      </c>
      <c r="IP52" s="409"/>
      <c r="IQ52" s="398">
        <f>IF(IP52=0,0,IF(LEN(IG52)=11,_xlfn.XLOOKUP(IG52,'Dispensed Ink Rates'!C:C,'Dispensed Ink Rates'!CS:CS),VLOOKUP(IG52,'Jan-2026 rates'!$E:$F,2,0)))</f>
        <v>0</v>
      </c>
      <c r="IR52" s="409"/>
      <c r="IS52" s="398">
        <f>IF(IR52=0,0,IF(LEN(IH52)=11,_xlfn.XLOOKUP(IH52,'Dispensed Ink Rates'!C:C,'Dispensed Ink Rates'!CS:CS),VLOOKUP(IH52,'Jan-2026 rates'!$E:$F,2,0)))</f>
        <v>0</v>
      </c>
      <c r="IT52" s="409"/>
      <c r="IU52" s="398">
        <f>IF(IT52=0,0,IF(LEN(II52)=11,_xlfn.XLOOKUP(II52,'Dispensed Ink Rates'!C:C,'Dispensed Ink Rates'!CS:CS),VLOOKUP(II52,'Jan-2026 rates'!$E:$F,2,0)))</f>
        <v>0</v>
      </c>
      <c r="IV52" s="409"/>
      <c r="IW52" s="398">
        <f>IF(IV52=0,0,IF(LEN(IJ52)=11,_xlfn.XLOOKUP(IJ52,'Dispensed Ink Rates'!C:C,'Dispensed Ink Rates'!CS:CS),VLOOKUP(IJ52,'Jan-2026 rates'!$E:$F,2,0)))</f>
        <v>0</v>
      </c>
      <c r="IX52" s="409"/>
      <c r="IY52" s="398">
        <f>IF(IX52=0,0,IF(LEN(IK52)=11,_xlfn.XLOOKUP(IK52,'Dispensed Ink Rates'!C:C,'Dispensed Ink Rates'!CS:CS),VLOOKUP(IK52,'Jan-2026 rates'!$E:$F,2,0)))</f>
        <v>0</v>
      </c>
      <c r="IZ52" s="409"/>
      <c r="JA52" s="398">
        <f>IF(IZ52=0,0,IF(LEN(IL52)=11,_xlfn.XLOOKUP(IL52,'Dispensed Ink Rates'!C:C,'Dispensed Ink Rates'!CS:CS),VLOOKUP(IL52,'Jan-2026 rates'!$E:$F,2,0)))</f>
        <v>0</v>
      </c>
      <c r="JB52" s="409"/>
      <c r="JC52" s="398">
        <f>IF(JB52=0,0,IF(LEN(IM52)=11,_xlfn.XLOOKUP(IM52,'Dispensed Ink Rates'!C:C,'Dispensed Ink Rates'!CS:CS),VLOOKUP(IM52,'Jan-2026 rates'!$E:$F,2,0)))</f>
        <v>0</v>
      </c>
      <c r="JD52" s="409" t="s">
        <v>1443</v>
      </c>
      <c r="JE52" s="409">
        <v>28</v>
      </c>
      <c r="JF52" s="411">
        <f t="shared" si="25"/>
        <v>0</v>
      </c>
      <c r="JG52" s="411">
        <f t="shared" si="26"/>
        <v>7.2105263157894726</v>
      </c>
      <c r="JH52" s="410">
        <f t="shared" si="27"/>
        <v>0</v>
      </c>
      <c r="JI52" s="405" t="s">
        <v>856</v>
      </c>
      <c r="JJ52" s="409" t="s">
        <v>2855</v>
      </c>
      <c r="JK52" s="420" t="str">
        <f t="shared" si="28"/>
        <v>FLINTSL - WHITE</v>
      </c>
      <c r="JL52" s="409">
        <v>30</v>
      </c>
      <c r="JM52" s="411">
        <f>IF(JL52=0,0,IF($LB52=70%,VLOOKUP($JK52,'Jan-2026 rates'!$L:$R,4,0),IF($LB52=65%,VLOOKUP($JK52,'Jan-2026 rates'!$L:$R,4,0),IF($LB52=40%,VLOOKUP($JK52,'Jan-2026 rates'!$L:$R,5,0),IF($LB52=30%,VLOOKUP($JK52,'Jan-2026 rates'!$L:$R,6,0),IF($LB52=100%,VLOOKUP($JK52,'Jan-2026 rates'!$L:$R,7,0),IF($LB52=60%,VLOOKUP($JK52,'Jan-2026 rates'!$L:$S,8,0),IF($LB52=80%,VLOOKUP($JK52,'Jan-2026 rates'!L:T,9,0),0))))))))</f>
        <v>0</v>
      </c>
      <c r="JN52" s="412"/>
      <c r="JO52" s="409"/>
      <c r="JP52" s="411">
        <f>IF(JO52=0,0,IF($LB52=70%,VLOOKUP($JK52,'Jan-2026 rates'!$L:$R,4,0),IF($LB52=65%,VLOOKUP($JK52,'Jan-2026 rates'!$L:$R,4,0),IF($LB52=40%,VLOOKUP($JK52,'Jan-2026 rates'!$L:$R,5,0),IF($LB52=30%,VLOOKUP($JK52,'Jan-2026 rates'!$L:$R,6,0),IF($LB52=100%,VLOOKUP($JK52,'Jan-2026 rates'!$L:$R,7,0),IF($LB52=60%,VLOOKUP($JK52,'Jan-2026 rates'!$L:$S,8,0),IF($LB52=80%,VLOOKUP($JK52,'Jan-2026 rates'!L:T,9,0),0))))))))</f>
        <v>0</v>
      </c>
      <c r="JQ52" s="413" t="s">
        <v>484</v>
      </c>
      <c r="JR52" s="412"/>
      <c r="JS52" s="413"/>
      <c r="JT52" s="413"/>
      <c r="JU52" s="412"/>
      <c r="JV52" s="412"/>
      <c r="JW52" s="412"/>
      <c r="JX52" s="412"/>
      <c r="JY52" s="409">
        <f>20+20</f>
        <v>40</v>
      </c>
      <c r="JZ52" s="398">
        <f>IF(JY52=0,0,IF(LEN(JQ52)=11,_xlfn.XLOOKUP(JQ52,'Dispensed Ink Rates'!C:C,'Dispensed Ink Rates'!CS:CS),VLOOKUP(JQ52,'Jan-2026 rates'!$E:$F,2,0)))</f>
        <v>0</v>
      </c>
      <c r="KA52" s="409"/>
      <c r="KB52" s="398">
        <f>IF(KA52=0,0,IF(LEN(JR52)=11,_xlfn.XLOOKUP(JR52,'Dispensed Ink Rates'!C:C,'Dispensed Ink Rates'!CS:CS),VLOOKUP(JR52,'Jan-2026 rates'!$E:$F,2,0)))</f>
        <v>0</v>
      </c>
      <c r="KC52" s="409"/>
      <c r="KD52" s="398">
        <f>IF(KC52=0,0,IF(LEN(JS52)=11,_xlfn.XLOOKUP(JS52,'Dispensed Ink Rates'!C:C,'Dispensed Ink Rates'!CS:CS),VLOOKUP(JS52,'Jan-2026 rates'!$E:$F,2,0)))</f>
        <v>0</v>
      </c>
      <c r="KE52" s="409"/>
      <c r="KF52" s="398">
        <f>IF(KE52=0,0,IF(LEN(JT52)=11,_xlfn.XLOOKUP(JT52,'Dispensed Ink Rates'!C:C,'Dispensed Ink Rates'!CS:CS),VLOOKUP(JT52,'Jan-2026 rates'!$E:$F,2,0)))</f>
        <v>0</v>
      </c>
      <c r="KG52" s="409"/>
      <c r="KH52" s="398">
        <f>IF(KG52=0,0,IF(LEN(JU52)=11,_xlfn.XLOOKUP(JU52,'Dispensed Ink Rates'!C:C,'Dispensed Ink Rates'!CS:CS),VLOOKUP(JU52,'Jan-2026 rates'!$E:$F,2,0)))</f>
        <v>0</v>
      </c>
      <c r="KI52" s="409"/>
      <c r="KJ52" s="398">
        <f>IF(KI52=0,0,IF(LEN(JV52)=11,_xlfn.XLOOKUP(JV52,'Dispensed Ink Rates'!C:C,'Dispensed Ink Rates'!CS:CS),VLOOKUP(JV52,'Jan-2026 rates'!$E:$F,2,0)))</f>
        <v>0</v>
      </c>
      <c r="KK52" s="409"/>
      <c r="KL52" s="398">
        <f>IF(KK52=0,0,IF(LEN(JW52)=11,_xlfn.XLOOKUP(JW52,'Dispensed Ink Rates'!C:C,'Dispensed Ink Rates'!CS:CS),VLOOKUP(JW52,'Jan-2026 rates'!$E:$F,2,0)))</f>
        <v>0</v>
      </c>
      <c r="KM52" s="428"/>
      <c r="KN52" s="398">
        <f>IF(KM52=0,0,IF(LEN(JX52)=11,_xlfn.XLOOKUP(JX52,'Dispensed Ink Rates'!C:C,'Dispensed Ink Rates'!CS:CS),VLOOKUP(JX52,'Jan-2026 rates'!$E:$F,2,0)))</f>
        <v>0</v>
      </c>
      <c r="KO52" s="409" t="s">
        <v>1443</v>
      </c>
      <c r="KP52" s="409">
        <v>30</v>
      </c>
      <c r="KQ52" s="411">
        <f t="shared" si="29"/>
        <v>0</v>
      </c>
      <c r="KR52" s="411">
        <f t="shared" si="30"/>
        <v>92.10526315789474</v>
      </c>
      <c r="KS52" s="410">
        <f t="shared" si="31"/>
        <v>0</v>
      </c>
      <c r="KT52" s="409">
        <v>1</v>
      </c>
      <c r="KU52" s="409">
        <v>2</v>
      </c>
      <c r="KV52" s="409">
        <v>2</v>
      </c>
      <c r="KW52" s="409">
        <v>6</v>
      </c>
      <c r="KX52" s="409">
        <v>2</v>
      </c>
      <c r="KY52" s="409">
        <v>3</v>
      </c>
      <c r="KZ52" s="409">
        <v>2</v>
      </c>
      <c r="LA52" s="409">
        <f>10+10</f>
        <v>20</v>
      </c>
      <c r="LB52" s="415">
        <v>0.8</v>
      </c>
      <c r="LC52" s="415">
        <v>0.2</v>
      </c>
      <c r="LD52" s="415"/>
      <c r="LE52" s="415"/>
      <c r="LF52" s="415"/>
      <c r="LG52" s="409">
        <v>0</v>
      </c>
      <c r="LH52" s="409">
        <f>20+20+40+10+5+4</f>
        <v>99</v>
      </c>
      <c r="LI52" s="409">
        <v>0</v>
      </c>
      <c r="LJ52" s="409">
        <v>0</v>
      </c>
      <c r="LK52" s="416">
        <f t="shared" si="32"/>
        <v>99</v>
      </c>
      <c r="LL52" s="416">
        <f t="shared" si="33"/>
        <v>99</v>
      </c>
      <c r="LM52" s="417">
        <f t="shared" si="34"/>
        <v>79.2</v>
      </c>
      <c r="LN52" s="417">
        <f>VLOOKUP($LM$8,'Jan-2026 rates'!$H:$I,2,0)</f>
        <v>0</v>
      </c>
      <c r="LO52" s="417">
        <f t="shared" si="35"/>
        <v>19.8</v>
      </c>
      <c r="LP52" s="417">
        <f>VLOOKUP($LO$8,'Jan-2026 rates'!$H:$I,2,0)</f>
        <v>0</v>
      </c>
      <c r="LQ52" s="417">
        <f t="shared" si="36"/>
        <v>0</v>
      </c>
      <c r="LR52" s="417">
        <f>VLOOKUP($LQ$8,'Jan-2026 rates'!$H:$I,2,0)</f>
        <v>0</v>
      </c>
      <c r="LS52" s="417">
        <f t="shared" si="37"/>
        <v>0</v>
      </c>
      <c r="LT52" s="417">
        <f>VLOOKUP($LS$8,'Jan-2026 rates'!$H:$I,2,0)</f>
        <v>0</v>
      </c>
      <c r="LU52" s="417">
        <f t="shared" si="38"/>
        <v>0</v>
      </c>
      <c r="LV52" s="417">
        <f>VLOOKUP($LU$8,'Jan-2026 rates'!$H:$I,2,0)</f>
        <v>0</v>
      </c>
      <c r="LW52" s="417">
        <f t="shared" si="39"/>
        <v>0</v>
      </c>
      <c r="LX52" s="417">
        <f t="shared" si="40"/>
        <v>0</v>
      </c>
      <c r="LY52" s="418">
        <f t="shared" si="41"/>
        <v>0</v>
      </c>
      <c r="LZ52" s="417"/>
      <c r="MA52" s="435">
        <f t="shared" si="42"/>
        <v>62.5</v>
      </c>
      <c r="MB52" s="282">
        <f t="shared" si="43"/>
        <v>168.5</v>
      </c>
      <c r="MC52" s="283">
        <v>7</v>
      </c>
      <c r="MD52" s="284" t="str">
        <f t="shared" si="44"/>
        <v>FLINTSLFLINTSLFLINTSLFLINTSLFLINTSLFLINTSLFLINTSLFLINTSL</v>
      </c>
      <c r="ME52" s="293" t="str">
        <f t="shared" si="45"/>
        <v>+</v>
      </c>
      <c r="MF52" s="293" t="str">
        <f t="shared" si="46"/>
        <v>+</v>
      </c>
      <c r="MG52" s="293" t="str">
        <f t="shared" si="47"/>
        <v>+</v>
      </c>
      <c r="MH52" s="293" t="str">
        <f t="shared" si="48"/>
        <v>+</v>
      </c>
      <c r="MI52" s="293" t="str">
        <f t="shared" si="49"/>
        <v>+</v>
      </c>
      <c r="MJ52" s="293" t="str">
        <f t="shared" si="50"/>
        <v>+</v>
      </c>
      <c r="MK52" s="293" t="str">
        <f t="shared" si="51"/>
        <v>+</v>
      </c>
      <c r="ML52" s="293" t="str">
        <f t="shared" si="52"/>
        <v>+</v>
      </c>
      <c r="MM52" s="3" t="b">
        <f t="array" ref="MM52">OR(ME52:ML52="-")</f>
        <v>0</v>
      </c>
      <c r="MN52" s="285"/>
      <c r="MO52" s="401"/>
      <c r="MP52" s="286"/>
      <c r="MQ52" s="286"/>
      <c r="MR52" s="402"/>
      <c r="MS52" s="400"/>
      <c r="NH52" s="422"/>
      <c r="NJ52" s="421"/>
    </row>
    <row r="53" spans="1:374" s="1" customFormat="1" ht="16.5">
      <c r="A53" s="403">
        <v>46025</v>
      </c>
      <c r="B53" s="404" t="s">
        <v>1015</v>
      </c>
      <c r="C53" s="405" t="s">
        <v>2856</v>
      </c>
      <c r="D53" s="406">
        <v>8</v>
      </c>
      <c r="E53" s="404">
        <v>1021</v>
      </c>
      <c r="F53" s="407">
        <v>65200</v>
      </c>
      <c r="G53" s="407" t="s">
        <v>1019</v>
      </c>
      <c r="H53" s="408" t="s">
        <v>1017</v>
      </c>
      <c r="I53" s="409">
        <v>1.9</v>
      </c>
      <c r="J53" s="405" t="s">
        <v>543</v>
      </c>
      <c r="K53" s="404" t="s">
        <v>2857</v>
      </c>
      <c r="L53" s="419" t="str">
        <f t="shared" si="0"/>
        <v>FLINTSL - BLACK</v>
      </c>
      <c r="M53" s="404">
        <v>28</v>
      </c>
      <c r="N53" s="410">
        <f>IF(M53=0,0,IF($LB53=70%,VLOOKUP($L53,'Jan-2026 rates'!$L:$R,4,0),IF($LB53=65%,VLOOKUP($L53,'Jan-2026 rates'!$L:$R,4,0),IF($LB53=40%,VLOOKUP($L53,'Jan-2026 rates'!$L:$R,5,0),IF($LB53=30%,VLOOKUP($L53,'Jan-2026 rates'!$L:$R,6,0),IF($LB53=100%,VLOOKUP($L53,'Jan-2026 rates'!$L:$R,7,0),IF($LB53=60%,VLOOKUP($L53,'Jan-2026 rates'!$L:$S,8,0),IF($LB53=80%,VLOOKUP($L53,'Jan-2026 rates'!L:T,9,0),0))))))))</f>
        <v>0</v>
      </c>
      <c r="O53" s="406"/>
      <c r="P53" s="404"/>
      <c r="Q53" s="410">
        <f>IF(P53=0,0,IF($LB53=70%,VLOOKUP($L53,'Jan-2026 rates'!$L:$R,4,0),IF($LB53=65%,VLOOKUP($L53,'Jan-2026 rates'!$L:$R,4,0),IF($LB53=40%,VLOOKUP($L53,'Jan-2026 rates'!$L:$R,5,0),IF($LB53=30%,VLOOKUP($L53,'Jan-2026 rates'!$L:$R,6,0),IF($LB53=100%,VLOOKUP($L53,'Jan-2026 rates'!$L:$R,7,0),IF($LB53=60%,VLOOKUP($L53,'Jan-2026 rates'!$L:$S,8,0),IF($LB53=80%,VLOOKUP($L53,'Jan-2026 rates'!L:T,9,0),0))))))))</f>
        <v>0</v>
      </c>
      <c r="R53" s="406">
        <v>26503000005</v>
      </c>
      <c r="S53" s="406"/>
      <c r="T53" s="406"/>
      <c r="U53" s="406"/>
      <c r="V53" s="406"/>
      <c r="W53" s="406"/>
      <c r="X53" s="406"/>
      <c r="Y53" s="406"/>
      <c r="Z53" s="404">
        <v>2</v>
      </c>
      <c r="AA53" s="398" t="e">
        <f>IF(Z53=0,0,IF(LEN(R53)=11,_xlfn.XLOOKUP(R53,'Dispensed Ink Rates'!C:C,'Dispensed Ink Rates'!CS:CS),VLOOKUP(R53,'Jan-2026 rates'!$E:$F,2,0)))</f>
        <v>#N/A</v>
      </c>
      <c r="AB53" s="404"/>
      <c r="AC53" s="398">
        <f>IF(AB53=0,0,IF(LEN(S53)=11,_xlfn.XLOOKUP(S53,'Dispensed Ink Rates'!C:C,'Dispensed Ink Rates'!CS:CS),VLOOKUP(S53,'Jan-2026 rates'!$E:$F,2,0)))</f>
        <v>0</v>
      </c>
      <c r="AD53" s="404"/>
      <c r="AE53" s="398">
        <f>IF(AD53=0,0,IF(LEN(T53)=11,_xlfn.XLOOKUP(T53,'Dispensed Ink Rates'!C:C,'Dispensed Ink Rates'!CS:CS),VLOOKUP(T53,'Jan-2026 rates'!$E:$F,2,0)))</f>
        <v>0</v>
      </c>
      <c r="AF53" s="404"/>
      <c r="AG53" s="398">
        <f>IF(AF53=0,0,IF(LEN(U53)=11,_xlfn.XLOOKUP(U53,'Dispensed Ink Rates'!C:C,'Dispensed Ink Rates'!CS:CS),VLOOKUP(U53,'Jan-2026 rates'!$E:$F,2,0)))</f>
        <v>0</v>
      </c>
      <c r="AH53" s="404"/>
      <c r="AI53" s="398">
        <f>IF(AH53=0,0,IF(LEN(V53)=11,_xlfn.XLOOKUP(V53,'Dispensed Ink Rates'!C:C,'Dispensed Ink Rates'!CS:CS),VLOOKUP(V53,'Jan-2026 rates'!$E:$F,2,0)))</f>
        <v>0</v>
      </c>
      <c r="AJ53" s="404"/>
      <c r="AK53" s="398">
        <f>IF(AJ53=0,0,IF(LEN(W53)=11,_xlfn.XLOOKUP(W53,'Dispensed Ink Rates'!C:C,'Dispensed Ink Rates'!CS:CS),VLOOKUP(W53,'Jan-2026 rates'!$E:$F,2,0)))</f>
        <v>0</v>
      </c>
      <c r="AL53" s="404"/>
      <c r="AM53" s="398">
        <f>IF(AL53=0,0,IF(LEN(X53)=11,_xlfn.XLOOKUP(X53,'Dispensed Ink Rates'!C:C,'Dispensed Ink Rates'!CS:CS),VLOOKUP(X53,'Jan-2026 rates'!$E:$F,2,0)))</f>
        <v>0</v>
      </c>
      <c r="AN53" s="404"/>
      <c r="AO53" s="398">
        <f>IF(AN53=0,0,IF(LEN(Y53)=11,_xlfn.XLOOKUP(Y53,'Dispensed Ink Rates'!C:C,'Dispensed Ink Rates'!CS:CS),VLOOKUP(Y53,'Jan-2026 rates'!$E:$F,2,0)))</f>
        <v>0</v>
      </c>
      <c r="AP53" s="409" t="s">
        <v>1443</v>
      </c>
      <c r="AQ53" s="409">
        <v>24</v>
      </c>
      <c r="AR53" s="410">
        <f t="shared" si="1"/>
        <v>0</v>
      </c>
      <c r="AS53" s="411">
        <f t="shared" si="2"/>
        <v>18.118811881188122</v>
      </c>
      <c r="AT53" s="410">
        <f t="shared" si="3"/>
        <v>0</v>
      </c>
      <c r="AU53" s="405" t="s">
        <v>546</v>
      </c>
      <c r="AV53" s="409"/>
      <c r="AW53" s="420" t="str">
        <f t="shared" si="53"/>
        <v>FLINTSL - REFLEX BLUE</v>
      </c>
      <c r="AX53" s="409"/>
      <c r="AY53" s="411">
        <f>IF(AX53=0,0,IF($LB53=70%,VLOOKUP($AW53,'Jan-2026 rates'!$L:$R,4,0),IF($LB53=65%,VLOOKUP($AW53,'Jan-2026 rates'!$L:$R,4,0),IF($LB53=40%,VLOOKUP($AW53,'Jan-2026 rates'!$L:$R,5,0),IF($LB53=30%,VLOOKUP($AW53,'Jan-2026 rates'!$L:$R,6,0),IF($LB53=100%,VLOOKUP($AW53,'Jan-2026 rates'!$L:$R,7,0),IF($LB53=60%,VLOOKUP($AW53,'Jan-2026 rates'!$L:$S,8,0),IF($LB53=80%,VLOOKUP($AW53,'Jan-2026 rates'!L:T,9,0),0))))))))</f>
        <v>0</v>
      </c>
      <c r="AZ53" s="412"/>
      <c r="BA53" s="409"/>
      <c r="BB53" s="411">
        <f>IF(BA53=0,0,IF($LB53=70%,VLOOKUP($AW53,'Jan-2026 rates'!$L:$R,4,0),IF($LB53=65%,VLOOKUP($AW53,'Jan-2026 rates'!$L:$R,4,0),IF($LB53=40%,VLOOKUP($AW53,'Jan-2026 rates'!$L:$R,5,0),IF($LB53=30%,VLOOKUP($AW53,'Jan-2026 rates'!$L:$R,6,0),IF($LB53=100%,VLOOKUP($AW53,'Jan-2026 rates'!$L:$R,7,0),IF($LB53=60%,VLOOKUP($AW53,'Jan-2026 rates'!$L:$S,8,0),IF($LB53=80%,VLOOKUP($AW53,'Jan-2026 rates'!L:T,9,0),0))))))))</f>
        <v>0</v>
      </c>
      <c r="BC53" s="413">
        <v>26503000007</v>
      </c>
      <c r="BD53" s="412"/>
      <c r="BE53" s="412"/>
      <c r="BF53" s="413"/>
      <c r="BG53" s="412"/>
      <c r="BH53" s="412"/>
      <c r="BI53" s="412"/>
      <c r="BJ53" s="412"/>
      <c r="BK53" s="409">
        <v>20</v>
      </c>
      <c r="BL53" s="398" t="e">
        <f>IF(BK53=0,0,IF(LEN(BC53)=11,_xlfn.XLOOKUP(BC53,'Dispensed Ink Rates'!C:C,'Dispensed Ink Rates'!CS:CS),VLOOKUP(BC53,'Jan-2026 rates'!$E:$F,2,0)))</f>
        <v>#N/A</v>
      </c>
      <c r="BM53" s="409"/>
      <c r="BN53" s="398">
        <f>IF(BM53=0,0,IF(LEN(BD53)=11,_xlfn.XLOOKUP(BD53,'Dispensed Ink Rates'!C:C,'Dispensed Ink Rates'!CS:CS),VLOOKUP(BD53,'Jan-2026 rates'!$E:$F,2,0)))</f>
        <v>0</v>
      </c>
      <c r="BO53" s="409"/>
      <c r="BP53" s="398">
        <f>IF(BO53=0,0,IF(LEN(BE53)=11,_xlfn.XLOOKUP(BE53,'Dispensed Ink Rates'!C:C,'Dispensed Ink Rates'!CS:CS),VLOOKUP(BE53,'Jan-2026 rates'!$E:$F,2,0)))</f>
        <v>0</v>
      </c>
      <c r="BQ53" s="409"/>
      <c r="BR53" s="398">
        <f>IF(BQ53=0,0,IF(LEN(BF53)=11,_xlfn.XLOOKUP(BF53,'Dispensed Ink Rates'!C:C,'Dispensed Ink Rates'!CS:CS),VLOOKUP(BF53,'Jan-2026 rates'!$E:$F,2,0)))</f>
        <v>0</v>
      </c>
      <c r="BS53" s="409"/>
      <c r="BT53" s="398">
        <f>IF(BS53=0,0,IF(LEN(BG53)=11,_xlfn.XLOOKUP(BG53,'Dispensed Ink Rates'!C:C,'Dispensed Ink Rates'!CS:CS),VLOOKUP(BG53,'Jan-2026 rates'!$E:$F,2,0)))</f>
        <v>0</v>
      </c>
      <c r="BU53" s="409"/>
      <c r="BV53" s="398">
        <f>IF(BU53=0,0,IF(LEN(BH53)=11,_xlfn.XLOOKUP(BH53,'Dispensed Ink Rates'!C:C,'Dispensed Ink Rates'!CS:CS),VLOOKUP(BH53,'Jan-2026 rates'!$E:$F,2,0)))</f>
        <v>0</v>
      </c>
      <c r="BW53" s="409"/>
      <c r="BX53" s="398">
        <f>IF(BW53=0,0,IF(LEN(BI53)=11,_xlfn.XLOOKUP(BI53,'Dispensed Ink Rates'!C:C,'Dispensed Ink Rates'!CS:CS),VLOOKUP(BI53,'Jan-2026 rates'!$E:$F,2,0)))</f>
        <v>0</v>
      </c>
      <c r="BY53" s="409"/>
      <c r="BZ53" s="398">
        <f>IF(BY53=0,0,IF(LEN(BJ53)=11,_xlfn.XLOOKUP(BJ53,'Dispensed Ink Rates'!C:C,'Dispensed Ink Rates'!CS:CS),VLOOKUP(BJ53,'Jan-2026 rates'!$E:$F,2,0)))</f>
        <v>0</v>
      </c>
      <c r="CA53" s="409" t="s">
        <v>1443</v>
      </c>
      <c r="CB53" s="409">
        <v>19</v>
      </c>
      <c r="CC53" s="411">
        <f t="shared" si="5"/>
        <v>0</v>
      </c>
      <c r="CD53" s="411">
        <f t="shared" si="6"/>
        <v>21.198019801980195</v>
      </c>
      <c r="CE53" s="410">
        <f t="shared" si="7"/>
        <v>0</v>
      </c>
      <c r="CF53" s="404" t="s">
        <v>543</v>
      </c>
      <c r="CG53" s="409"/>
      <c r="CH53" s="420" t="str">
        <f t="shared" si="8"/>
        <v>FLINTSL - BLACK</v>
      </c>
      <c r="CI53" s="409"/>
      <c r="CJ53" s="411">
        <f>IF(CI53=0,0,IF($LB53=70%,VLOOKUP($CH53,'Jan-2026 rates'!$L:$R,4,0),IF($LB53=65%,VLOOKUP($CH53,'Jan-2026 rates'!$L:$R,4,0),IF($LB53=40%,VLOOKUP($CH53,'Jan-2026 rates'!$L:$R,5,0),IF($LB53=30%,VLOOKUP($CH53,'Jan-2026 rates'!$L:$R,6,0),IF($LB53=100%,VLOOKUP($CH53,'Jan-2026 rates'!$L:$R,7,0),IF($LB53=60%,VLOOKUP($CH53,'Jan-2026 rates'!$L:$S,8,0),IF($LB53=80%,VLOOKUP($CH53,'Jan-2026 rates'!L:T,9,0),0))))))))</f>
        <v>0</v>
      </c>
      <c r="CK53" s="412"/>
      <c r="CL53" s="409"/>
      <c r="CM53" s="411">
        <f>IF(CL53=0,0,IF($LB53=70%,VLOOKUP($CH53,'Jan-2026 rates'!$L:$R,4,0),IF($LB53=65%,VLOOKUP($CH53,'Jan-2026 rates'!$L:$R,4,0),IF($LB53=40%,VLOOKUP($CH53,'Jan-2026 rates'!$L:$R,5,0),IF($LB53=30%,VLOOKUP($CH53,'Jan-2026 rates'!$L:$R,6,0),IF($LB53=100%,VLOOKUP($CH53,'Jan-2026 rates'!$L:$R,7,0),IF($LB53=60%,VLOOKUP($CH53,'Jan-2026 rates'!$L:$S,8,0),IF($LB53=80%,VLOOKUP($CH53,'Jan-2026 rates'!L:T,9,0),0))))))))</f>
        <v>0</v>
      </c>
      <c r="CN53" s="426">
        <v>26503000005</v>
      </c>
      <c r="CO53" s="427">
        <v>26503000006</v>
      </c>
      <c r="CP53" s="426">
        <v>26503000008</v>
      </c>
      <c r="CQ53" s="426">
        <v>26503000011</v>
      </c>
      <c r="CR53" s="428">
        <v>26503000013</v>
      </c>
      <c r="CS53" s="428">
        <v>26503000016</v>
      </c>
      <c r="CT53" s="428"/>
      <c r="CU53" s="428"/>
      <c r="CV53" s="409">
        <v>1</v>
      </c>
      <c r="CW53" s="398" t="e">
        <f>IF(CV53=0,0,IF(LEN(CN53)=11,_xlfn.XLOOKUP(CN53,'Dispensed Ink Rates'!C:C,'Dispensed Ink Rates'!CS:CS),VLOOKUP(CN53,'Jan-2026 rates'!$E:$F,2,0)))</f>
        <v>#N/A</v>
      </c>
      <c r="CX53" s="409">
        <v>46</v>
      </c>
      <c r="CY53" s="398" t="e">
        <f>IF(CX53=0,0,IF(LEN(CO53)=11,_xlfn.XLOOKUP(CO53,'Dispensed Ink Rates'!C:C,'Dispensed Ink Rates'!CS:CS),VLOOKUP(CO53,'Jan-2026 rates'!$E:$F,2,0)))</f>
        <v>#N/A</v>
      </c>
      <c r="CZ53" s="409">
        <v>35</v>
      </c>
      <c r="DA53" s="398" t="e">
        <f>IF(CZ53=0,0,IF(LEN(CP53)=11,_xlfn.XLOOKUP(CP53,'Dispensed Ink Rates'!C:C,'Dispensed Ink Rates'!CS:CS),VLOOKUP(CP53,'Jan-2026 rates'!$E:$F,2,0)))</f>
        <v>#N/A</v>
      </c>
      <c r="DB53" s="409">
        <v>40</v>
      </c>
      <c r="DC53" s="398" t="e">
        <f>IF(DB53=0,0,IF(LEN(CQ53)=11,_xlfn.XLOOKUP(CQ53,'Dispensed Ink Rates'!C:C,'Dispensed Ink Rates'!CS:CS),VLOOKUP(CQ53,'Jan-2026 rates'!$E:$F,2,0)))</f>
        <v>#N/A</v>
      </c>
      <c r="DD53" s="409">
        <v>40</v>
      </c>
      <c r="DE53" s="398" t="e">
        <f>IF(DD53=0,0,IF(LEN(CR53)=11,_xlfn.XLOOKUP(CR53,'Dispensed Ink Rates'!C:C,'Dispensed Ink Rates'!CS:CS),VLOOKUP(CR53,'Jan-2026 rates'!$E:$F,2,0)))</f>
        <v>#N/A</v>
      </c>
      <c r="DF53" s="409">
        <v>15</v>
      </c>
      <c r="DG53" s="398" t="e">
        <f>IF(DF53=0,0,IF(LEN(CS53)=11,_xlfn.XLOOKUP(CS53,'Dispensed Ink Rates'!C:C,'Dispensed Ink Rates'!CS:CS),VLOOKUP(CS53,'Jan-2026 rates'!$E:$F,2,0)))</f>
        <v>#N/A</v>
      </c>
      <c r="DH53" s="409"/>
      <c r="DI53" s="398">
        <f>IF(DH53=0,0,IF(LEN(CT53)=11,_xlfn.XLOOKUP(CT53,'Dispensed Ink Rates'!C:C,'Dispensed Ink Rates'!CS:CS),VLOOKUP(CT53,'Jan-2026 rates'!$E:$F,2,0)))</f>
        <v>0</v>
      </c>
      <c r="DJ53" s="409"/>
      <c r="DK53" s="398">
        <f>IF(DJ53=0,0,IF(LEN(CU53)=11,_xlfn.XLOOKUP(CU53,'Dispensed Ink Rates'!C:C,'Dispensed Ink Rates'!CS:CS),VLOOKUP(CU53,'Jan-2026 rates'!$E:$F,2,0)))</f>
        <v>0</v>
      </c>
      <c r="DL53" s="409" t="s">
        <v>1443</v>
      </c>
      <c r="DM53" s="409">
        <v>20</v>
      </c>
      <c r="DN53" s="411">
        <f t="shared" si="9"/>
        <v>0</v>
      </c>
      <c r="DO53" s="411">
        <f t="shared" si="10"/>
        <v>157</v>
      </c>
      <c r="DP53" s="410">
        <f t="shared" si="11"/>
        <v>0</v>
      </c>
      <c r="DQ53" s="405" t="s">
        <v>547</v>
      </c>
      <c r="DR53" s="409" t="s">
        <v>2858</v>
      </c>
      <c r="DS53" s="420" t="str">
        <f t="shared" si="12"/>
        <v>FLINTSL - GREEN</v>
      </c>
      <c r="DT53" s="409">
        <v>25</v>
      </c>
      <c r="DU53" s="411">
        <f>IF(DT53=0,0,IF($LB53=70%,VLOOKUP($DS53,'Jan-2026 rates'!$L:$R,4,0),IF($LB53=65%,VLOOKUP($DS53,'Jan-2026 rates'!$L:$R,4,0),IF($LB53=40%,VLOOKUP($DS53,'Jan-2026 rates'!$L:$R,5,0),IF($LB53=30%,VLOOKUP($DS53,'Jan-2026 rates'!$L:$R,6,0),IF($LB53=100%,VLOOKUP($DS53,'Jan-2026 rates'!$L:$R,7,0),IF($LB53=60%,VLOOKUP($DS53,'Jan-2026 rates'!$L:$S,8,0),IF($LB53=80%,VLOOKUP($DS53,'Jan-2026 rates'!L:T,9,0),0))))))))</f>
        <v>0</v>
      </c>
      <c r="DV53" s="412"/>
      <c r="DW53" s="409"/>
      <c r="DX53" s="411">
        <f>IF(DW53=0,0,IF($LB53=70%,VLOOKUP($DS53,'Jan-2026 rates'!$L:$R,4,0),IF($LB53=65%,VLOOKUP($DS53,'Jan-2026 rates'!$L:$R,4,0),IF($LB53=40%,VLOOKUP($DS53,'Jan-2026 rates'!$L:$R,5,0),IF($LB53=30%,VLOOKUP($DS53,'Jan-2026 rates'!$L:$R,6,0),IF($LB53=100%,VLOOKUP($DS53,'Jan-2026 rates'!$L:$R,7,0),IF($LB53=60%,VLOOKUP($DS53,'Jan-2026 rates'!$L:$S,8,0),IF($LB53=80%,VLOOKUP($DS53,'Jan-2026 rates'!L:T,9,0),0))))))))</f>
        <v>0</v>
      </c>
      <c r="DY53" s="413">
        <v>25864000008</v>
      </c>
      <c r="DZ53" s="413"/>
      <c r="EA53" s="412"/>
      <c r="EB53" s="412"/>
      <c r="EC53" s="412"/>
      <c r="ED53" s="412"/>
      <c r="EE53" s="412"/>
      <c r="EF53" s="412"/>
      <c r="EG53" s="409">
        <v>2</v>
      </c>
      <c r="EH53" s="398" t="e">
        <f>IF(EG53=0,0,IF(LEN(DY53)=11,_xlfn.XLOOKUP(DY53,'Dispensed Ink Rates'!C:C,'Dispensed Ink Rates'!CS:CS),VLOOKUP(DY53,'Jan-2026 rates'!$E:$F,2,0)))</f>
        <v>#N/A</v>
      </c>
      <c r="EI53" s="409"/>
      <c r="EJ53" s="398">
        <f>IF(EI53=0,0,IF(LEN(DZ53)=11,_xlfn.XLOOKUP(DZ53,'Dispensed Ink Rates'!C:C,'Dispensed Ink Rates'!CS:CS),VLOOKUP(DZ53,'Jan-2026 rates'!$E:$F,2,0)))</f>
        <v>0</v>
      </c>
      <c r="EK53" s="409"/>
      <c r="EL53" s="398">
        <f>IF(EK53=0,0,IF(LEN(EA53)=11,_xlfn.XLOOKUP(EA53,'Dispensed Ink Rates'!C:C,'Dispensed Ink Rates'!CS:CS),VLOOKUP(EA53,'Jan-2026 rates'!$E:$F,2,0)))</f>
        <v>0</v>
      </c>
      <c r="EM53" s="409"/>
      <c r="EN53" s="398">
        <f>IF(EM53=0,0,IF(LEN(EB53)=11,_xlfn.XLOOKUP(EB53,'Dispensed Ink Rates'!C:C,'Dispensed Ink Rates'!CS:CS),VLOOKUP(EB53,'Jan-2026 rates'!$E:$F,2,0)))</f>
        <v>0</v>
      </c>
      <c r="EO53" s="409"/>
      <c r="EP53" s="398">
        <f>IF(EO53=0,0,IF(LEN(EC53)=11,_xlfn.XLOOKUP(EC53,'Dispensed Ink Rates'!C:C,'Dispensed Ink Rates'!CS:CS),VLOOKUP(EC53,'Jan-2026 rates'!$E:$F,2,0)))</f>
        <v>0</v>
      </c>
      <c r="EQ53" s="409"/>
      <c r="ER53" s="398">
        <f>IF(EQ53=0,0,IF(LEN(ED53)=11,_xlfn.XLOOKUP(ED53,'Dispensed Ink Rates'!C:C,'Dispensed Ink Rates'!CS:CS),VLOOKUP(ED53,'Jan-2026 rates'!$E:$F,2,0)))</f>
        <v>0</v>
      </c>
      <c r="ES53" s="409"/>
      <c r="ET53" s="398">
        <f>IF(ES53=0,0,IF(LEN(EE53)=11,_xlfn.XLOOKUP(EE53,'Dispensed Ink Rates'!C:C,'Dispensed Ink Rates'!CS:CS),VLOOKUP(EE53,'Jan-2026 rates'!$E:$F,2,0)))</f>
        <v>0</v>
      </c>
      <c r="EU53" s="409"/>
      <c r="EV53" s="398">
        <f>IF(EU53=0,0,IF(LEN(EF53)=11,_xlfn.XLOOKUP(EF53,'Dispensed Ink Rates'!C:C,'Dispensed Ink Rates'!CS:CS),VLOOKUP(EF53,'Jan-2026 rates'!$E:$F,2,0)))</f>
        <v>0</v>
      </c>
      <c r="EW53" s="409" t="s">
        <v>1443</v>
      </c>
      <c r="EX53" s="409">
        <v>20</v>
      </c>
      <c r="EY53" s="411">
        <f t="shared" si="13"/>
        <v>0</v>
      </c>
      <c r="EZ53" s="411">
        <f t="shared" si="14"/>
        <v>15.079207920792079</v>
      </c>
      <c r="FA53" s="410">
        <f t="shared" si="15"/>
        <v>0</v>
      </c>
      <c r="FB53" s="405" t="s">
        <v>855</v>
      </c>
      <c r="FC53" s="409" t="s">
        <v>2859</v>
      </c>
      <c r="FD53" s="420" t="str">
        <f t="shared" si="16"/>
        <v>FLINTSL - CYAN</v>
      </c>
      <c r="FE53" s="409">
        <v>27</v>
      </c>
      <c r="FF53" s="411">
        <f>IF(FE53=0,0,IF($LB53=70%,VLOOKUP($FD53,'Jan-2026 rates'!$L:$R,4,0),IF($LB53=65%,VLOOKUP($FD53,'Jan-2026 rates'!$L:$R,4,0),IF($LB53=40%,VLOOKUP($FD53,'Jan-2026 rates'!$L:$R,5,0),IF($LB53=30%,VLOOKUP($FD53,'Jan-2026 rates'!$L:$R,6,0),IF($LB53=100%,VLOOKUP($FD53,'Jan-2026 rates'!$L:$R,7,0),IF($LB53=60%,VLOOKUP($FD53,'Jan-2026 rates'!$L:$S,8,0),IF($LB53=80%,VLOOKUP($FD53,'Jan-2026 rates'!L:T,9,0),0))))))))</f>
        <v>0</v>
      </c>
      <c r="FG53" s="412"/>
      <c r="FH53" s="409"/>
      <c r="FI53" s="411">
        <f>IF(FH53=0,0,IF($LB53=70%,VLOOKUP($FD53,'Jan-2026 rates'!$L:$R,4,0),IF($LB53=65%,VLOOKUP($FD53,'Jan-2026 rates'!$L:$R,4,0),IF($LB53=40%,VLOOKUP($FD53,'Jan-2026 rates'!$L:$R,5,0),IF($LB53=30%,VLOOKUP($FD53,'Jan-2026 rates'!$L:$R,6,0),IF($LB53=100%,VLOOKUP($FD53,'Jan-2026 rates'!$L:$R,7,0),IF($LB53=60%,VLOOKUP($FD53,'Jan-2026 rates'!$L:$S,8,0),IF($LB53=80%,VLOOKUP($FD53,'Jan-2026 rates'!L:T,9,0),0))))))))</f>
        <v>0</v>
      </c>
      <c r="FJ53" s="413">
        <v>25863000002</v>
      </c>
      <c r="FK53" s="413" t="s">
        <v>1266</v>
      </c>
      <c r="FL53" s="413"/>
      <c r="FM53" s="412"/>
      <c r="FN53" s="412"/>
      <c r="FO53" s="412"/>
      <c r="FP53" s="412"/>
      <c r="FQ53" s="412"/>
      <c r="FR53" s="409">
        <v>5</v>
      </c>
      <c r="FS53" s="398" t="e">
        <f>IF(FR53=0,0,IF(LEN(FJ53)=11,_xlfn.XLOOKUP(FJ53,'Dispensed Ink Rates'!C:C,'Dispensed Ink Rates'!CS:CS),VLOOKUP(FJ53,'Jan-2026 rates'!$E:$F,2,0)))</f>
        <v>#N/A</v>
      </c>
      <c r="FT53" s="409">
        <v>5</v>
      </c>
      <c r="FU53" s="398">
        <f>IF(FT53=0,0,IF(LEN(FK53)=11,_xlfn.XLOOKUP(FK53,'Dispensed Ink Rates'!C:C,'Dispensed Ink Rates'!CS:CS),VLOOKUP(FK53,'Jan-2026 rates'!$E:$F,2,0)))</f>
        <v>0</v>
      </c>
      <c r="FV53" s="409"/>
      <c r="FW53" s="398">
        <f>IF(FV53=0,0,IF(LEN(FL53)=11,_xlfn.XLOOKUP(FL53,'Dispensed Ink Rates'!C:C,'Dispensed Ink Rates'!CS:CS),VLOOKUP(FL53,'Jan-2026 rates'!$E:$F,2,0)))</f>
        <v>0</v>
      </c>
      <c r="FX53" s="409"/>
      <c r="FY53" s="398">
        <f>IF(FX53=0,0,IF(LEN(FM53)=11,_xlfn.XLOOKUP(FM53,'Dispensed Ink Rates'!C:C,'Dispensed Ink Rates'!CS:CS),VLOOKUP(FM53,'Jan-2026 rates'!$E:$F,2,0)))</f>
        <v>0</v>
      </c>
      <c r="FZ53" s="409"/>
      <c r="GA53" s="398">
        <f>IF(FZ53=0,0,IF(LEN(FN53)=11,_xlfn.XLOOKUP(FN53,'Dispensed Ink Rates'!C:C,'Dispensed Ink Rates'!CS:CS),VLOOKUP(FN53,'Jan-2026 rates'!$E:$F,2,0)))</f>
        <v>0</v>
      </c>
      <c r="GB53" s="409"/>
      <c r="GC53" s="398">
        <f>IF(GB53=0,0,IF(LEN(FO53)=11,_xlfn.XLOOKUP(FO53,'Dispensed Ink Rates'!C:C,'Dispensed Ink Rates'!CS:CS),VLOOKUP(FO53,'Jan-2026 rates'!$E:$F,2,0)))</f>
        <v>0</v>
      </c>
      <c r="GD53" s="409"/>
      <c r="GE53" s="398">
        <f>IF(GD53=0,0,IF(LEN(FP53)=11,_xlfn.XLOOKUP(FP53,'Dispensed Ink Rates'!C:C,'Dispensed Ink Rates'!CS:CS),VLOOKUP(FP53,'Jan-2026 rates'!$E:$F,2,0)))</f>
        <v>0</v>
      </c>
      <c r="GF53" s="409"/>
      <c r="GG53" s="398">
        <f>IF(GF53=0,0,IF(LEN(FQ53)=11,_xlfn.XLOOKUP(FQ53,'Dispensed Ink Rates'!C:C,'Dispensed Ink Rates'!CS:CS),VLOOKUP(FQ53,'Jan-2026 rates'!$E:$F,2,0)))</f>
        <v>0</v>
      </c>
      <c r="GH53" s="409" t="s">
        <v>1443</v>
      </c>
      <c r="GI53" s="409">
        <v>26</v>
      </c>
      <c r="GJ53" s="411">
        <f t="shared" si="17"/>
        <v>0</v>
      </c>
      <c r="GK53" s="411">
        <f t="shared" si="18"/>
        <v>35.237623762376238</v>
      </c>
      <c r="GL53" s="410">
        <f t="shared" si="19"/>
        <v>0</v>
      </c>
      <c r="GM53" s="405" t="s">
        <v>544</v>
      </c>
      <c r="GN53" s="409" t="s">
        <v>2860</v>
      </c>
      <c r="GO53" s="420" t="str">
        <f t="shared" si="20"/>
        <v>FLINTSL - MAGENTA</v>
      </c>
      <c r="GP53" s="409">
        <v>30</v>
      </c>
      <c r="GQ53" s="411">
        <f>IF(GP53=0,0,IF($LB53=70%,VLOOKUP($GO53,'Jan-2026 rates'!$L:$R,4,0),IF($LB53=65%,VLOOKUP($GO53,'Jan-2026 rates'!$L:$R,4,0),IF($LB53=40%,VLOOKUP($GO53,'Jan-2026 rates'!$L:$R,5,0),IF($LB53=30%,VLOOKUP($GO53,'Jan-2026 rates'!$L:$R,6,0),IF($LB53=100%,VLOOKUP($GO53,'Jan-2026 rates'!$L:$R,7,0),IF($LB53=60%,VLOOKUP($GO53,'Jan-2026 rates'!$L:$S,8,0),IF($LB53=80%,VLOOKUP($GO53,'Jan-2026 rates'!L:T,9,0),0))))))))</f>
        <v>0</v>
      </c>
      <c r="GR53" s="412"/>
      <c r="GS53" s="409"/>
      <c r="GT53" s="411">
        <f>IF(GS53=0,0,IF($LB53=70%,VLOOKUP($GO53,'Jan-2026 rates'!$L:$R,4,0),IF($LB53=65%,VLOOKUP($GO53,'Jan-2026 rates'!$L:$R,4,0),IF($LB53=40%,VLOOKUP($GO53,'Jan-2026 rates'!$L:$R,5,0),IF($LB53=30%,VLOOKUP($GO53,'Jan-2026 rates'!$L:$R,6,0),IF($LB53=100%,VLOOKUP($GO53,'Jan-2026 rates'!$L:$R,7,0),IF($LB53=60%,VLOOKUP($GO53,'Jan-2026 rates'!$L:$S,8,0),IF($LB53=80%,VLOOKUP($GO53,'Jan-2026 rates'!L:T,9,0),0))))))))</f>
        <v>0</v>
      </c>
      <c r="GU53" s="413">
        <v>25863000024</v>
      </c>
      <c r="GV53" s="413"/>
      <c r="GW53" s="412"/>
      <c r="GX53" s="412"/>
      <c r="GY53" s="412"/>
      <c r="GZ53" s="412"/>
      <c r="HA53" s="412"/>
      <c r="HB53" s="412"/>
      <c r="HC53" s="409">
        <v>5</v>
      </c>
      <c r="HD53" s="398" t="e">
        <f>IF(HC53=0,0,IF(LEN(GU53)=11,_xlfn.XLOOKUP(GU53,'Dispensed Ink Rates'!C:C,'Dispensed Ink Rates'!CS:CS),VLOOKUP(GU53,'Jan-2026 rates'!$E:$F,2,0)))</f>
        <v>#N/A</v>
      </c>
      <c r="HE53" s="409"/>
      <c r="HF53" s="398">
        <f>IF(HE53=0,0,IF(LEN(GV53)=11,_xlfn.XLOOKUP(GV53,'Dispensed Ink Rates'!C:C,'Dispensed Ink Rates'!CS:CS),VLOOKUP(GV53,'Jan-2026 rates'!$E:$F,2,0)))</f>
        <v>0</v>
      </c>
      <c r="HG53" s="409"/>
      <c r="HH53" s="398">
        <f>IF(HG53=0,0,IF(LEN(GW53)=11,_xlfn.XLOOKUP(GW53,'Dispensed Ink Rates'!C:C,'Dispensed Ink Rates'!CS:CS),VLOOKUP(GW53,'Jan-2026 rates'!$E:$F,2,0)))</f>
        <v>0</v>
      </c>
      <c r="HI53" s="409"/>
      <c r="HJ53" s="398">
        <f>IF(HI53=0,0,IF(LEN(GX53)=11,_xlfn.XLOOKUP(GX53,'Dispensed Ink Rates'!C:C,'Dispensed Ink Rates'!CS:CS),VLOOKUP(GX53,'Jan-2026 rates'!$E:$F,2,0)))</f>
        <v>0</v>
      </c>
      <c r="HK53" s="409"/>
      <c r="HL53" s="398">
        <f>IF(HK53=0,0,IF(LEN(GY53)=11,_xlfn.XLOOKUP(GY53,'Dispensed Ink Rates'!C:C,'Dispensed Ink Rates'!CS:CS),VLOOKUP(GY53,'Jan-2026 rates'!$E:$F,2,0)))</f>
        <v>0</v>
      </c>
      <c r="HM53" s="409"/>
      <c r="HN53" s="398">
        <f>IF(HM53=0,0,IF(LEN(GZ53)=11,_xlfn.XLOOKUP(GZ53,'Dispensed Ink Rates'!C:C,'Dispensed Ink Rates'!CS:CS),VLOOKUP(GZ53,'Jan-2026 rates'!$E:$F,2,0)))</f>
        <v>0</v>
      </c>
      <c r="HO53" s="409"/>
      <c r="HP53" s="398">
        <f>IF(HO53=0,0,IF(LEN(HA53)=11,_xlfn.XLOOKUP(HA53,'Dispensed Ink Rates'!C:C,'Dispensed Ink Rates'!CS:CS),VLOOKUP(HA53,'Jan-2026 rates'!$E:$F,2,0)))</f>
        <v>0</v>
      </c>
      <c r="HQ53" s="409"/>
      <c r="HR53" s="398">
        <f>IF(HQ53=0,0,IF(LEN(HB53)=11,_xlfn.XLOOKUP(HB53,'Dispensed Ink Rates'!C:C,'Dispensed Ink Rates'!CS:CS),VLOOKUP(HB53,'Jan-2026 rates'!$E:$F,2,0)))</f>
        <v>0</v>
      </c>
      <c r="HS53" s="409" t="s">
        <v>1443</v>
      </c>
      <c r="HT53" s="409">
        <v>25</v>
      </c>
      <c r="HU53" s="411">
        <f t="shared" si="21"/>
        <v>0</v>
      </c>
      <c r="HV53" s="411">
        <f t="shared" si="22"/>
        <v>22.118811881188122</v>
      </c>
      <c r="HW53" s="414">
        <f t="shared" si="23"/>
        <v>0</v>
      </c>
      <c r="HX53" s="405" t="s">
        <v>545</v>
      </c>
      <c r="HY53" s="409" t="s">
        <v>2861</v>
      </c>
      <c r="HZ53" s="420" t="str">
        <f t="shared" si="24"/>
        <v>FLINTSL - YELLOW</v>
      </c>
      <c r="IA53" s="409">
        <v>28</v>
      </c>
      <c r="IB53" s="411">
        <f>IF(IA53=0,0,IF($LB53=70%,VLOOKUP($HZ53,'Jan-2026 rates'!$L:$R,4,0),IF($LB53=65%,VLOOKUP($HZ53,'Jan-2026 rates'!$L:$R,4,0),IF($LB53=40%,VLOOKUP($HZ53,'Jan-2026 rates'!$L:$R,5,0),IF($LB53=30%,VLOOKUP($HZ53,'Jan-2026 rates'!$L:$R,6,0),IF($LB53=100%,VLOOKUP($HZ53,'Jan-2026 rates'!$L:$R,7,0),IF($LB53=60%,VLOOKUP($HZ53,'Jan-2026 rates'!$L:$S,8,0),IF($LB53=80%,VLOOKUP($HZ53,'Jan-2026 rates'!L:T,9,0),0))))))))</f>
        <v>0</v>
      </c>
      <c r="IC53" s="412"/>
      <c r="ID53" s="409"/>
      <c r="IE53" s="411">
        <f>IF(ID53=0,0,IF($LB53=70%,VLOOKUP($HZ53,'Jan-2026 rates'!$L:$R,4,0),IF($LB53=65%,VLOOKUP($HZ53,'Jan-2026 rates'!$L:$R,4,0),IF($LB53=40%,VLOOKUP($HZ53,'Jan-2026 rates'!$L:$R,5,0),IF($LB53=30%,VLOOKUP($HZ53,'Jan-2026 rates'!$L:$R,6,0),IF($LB53=100%,VLOOKUP($HZ53,'Jan-2026 rates'!$L:$R,7,0),IF($LB53=60%,VLOOKUP($HZ53,'Jan-2026 rates'!$L:$S,8,0),IF($LB53=80%,VLOOKUP($HZ53,'Jan-2026 rates'!L:T,9,0),0))))))))</f>
        <v>0</v>
      </c>
      <c r="IF53" s="412">
        <v>25864000008</v>
      </c>
      <c r="IG53" s="413" t="s">
        <v>1266</v>
      </c>
      <c r="IH53" s="412"/>
      <c r="II53" s="412"/>
      <c r="IJ53" s="412"/>
      <c r="IK53" s="412"/>
      <c r="IL53" s="412"/>
      <c r="IM53" s="412"/>
      <c r="IN53" s="409">
        <v>15</v>
      </c>
      <c r="IO53" s="398" t="e">
        <f>IF(IN53=0,0,IF(LEN(IF53)=11,_xlfn.XLOOKUP(IF53,'Dispensed Ink Rates'!C:C,'Dispensed Ink Rates'!CS:CS),VLOOKUP(IF53,'Jan-2026 rates'!$E:$F,2,0)))</f>
        <v>#N/A</v>
      </c>
      <c r="IP53" s="409">
        <v>10</v>
      </c>
      <c r="IQ53" s="398">
        <f>IF(IP53=0,0,IF(LEN(IG53)=11,_xlfn.XLOOKUP(IG53,'Dispensed Ink Rates'!C:C,'Dispensed Ink Rates'!CS:CS),VLOOKUP(IG53,'Jan-2026 rates'!$E:$F,2,0)))</f>
        <v>0</v>
      </c>
      <c r="IR53" s="409"/>
      <c r="IS53" s="398">
        <f>IF(IR53=0,0,IF(LEN(IH53)=11,_xlfn.XLOOKUP(IH53,'Dispensed Ink Rates'!C:C,'Dispensed Ink Rates'!CS:CS),VLOOKUP(IH53,'Jan-2026 rates'!$E:$F,2,0)))</f>
        <v>0</v>
      </c>
      <c r="IT53" s="409"/>
      <c r="IU53" s="398">
        <f>IF(IT53=0,0,IF(LEN(II53)=11,_xlfn.XLOOKUP(II53,'Dispensed Ink Rates'!C:C,'Dispensed Ink Rates'!CS:CS),VLOOKUP(II53,'Jan-2026 rates'!$E:$F,2,0)))</f>
        <v>0</v>
      </c>
      <c r="IV53" s="409"/>
      <c r="IW53" s="398">
        <f>IF(IV53=0,0,IF(LEN(IJ53)=11,_xlfn.XLOOKUP(IJ53,'Dispensed Ink Rates'!C:C,'Dispensed Ink Rates'!CS:CS),VLOOKUP(IJ53,'Jan-2026 rates'!$E:$F,2,0)))</f>
        <v>0</v>
      </c>
      <c r="IX53" s="409"/>
      <c r="IY53" s="398">
        <f>IF(IX53=0,0,IF(LEN(IK53)=11,_xlfn.XLOOKUP(IK53,'Dispensed Ink Rates'!C:C,'Dispensed Ink Rates'!CS:CS),VLOOKUP(IK53,'Jan-2026 rates'!$E:$F,2,0)))</f>
        <v>0</v>
      </c>
      <c r="IZ53" s="409"/>
      <c r="JA53" s="398">
        <f>IF(IZ53=0,0,IF(LEN(IL53)=11,_xlfn.XLOOKUP(IL53,'Dispensed Ink Rates'!C:C,'Dispensed Ink Rates'!CS:CS),VLOOKUP(IL53,'Jan-2026 rates'!$E:$F,2,0)))</f>
        <v>0</v>
      </c>
      <c r="JB53" s="409"/>
      <c r="JC53" s="398">
        <f>IF(JB53=0,0,IF(LEN(IM53)=11,_xlfn.XLOOKUP(IM53,'Dispensed Ink Rates'!C:C,'Dispensed Ink Rates'!CS:CS),VLOOKUP(IM53,'Jan-2026 rates'!$E:$F,2,0)))</f>
        <v>0</v>
      </c>
      <c r="JD53" s="409" t="s">
        <v>1443</v>
      </c>
      <c r="JE53" s="409">
        <v>28</v>
      </c>
      <c r="JF53" s="411">
        <f t="shared" si="25"/>
        <v>0</v>
      </c>
      <c r="JG53" s="411">
        <f t="shared" si="26"/>
        <v>113.87128712871288</v>
      </c>
      <c r="JH53" s="410">
        <f t="shared" si="27"/>
        <v>0</v>
      </c>
      <c r="JI53" s="405" t="s">
        <v>856</v>
      </c>
      <c r="JJ53" s="409" t="s">
        <v>2862</v>
      </c>
      <c r="JK53" s="420" t="str">
        <f t="shared" si="28"/>
        <v>FLINTSL - WHITE</v>
      </c>
      <c r="JL53" s="409">
        <v>30</v>
      </c>
      <c r="JM53" s="411">
        <f>IF(JL53=0,0,IF($LB53=70%,VLOOKUP($JK53,'Jan-2026 rates'!$L:$R,4,0),IF($LB53=65%,VLOOKUP($JK53,'Jan-2026 rates'!$L:$R,4,0),IF($LB53=40%,VLOOKUP($JK53,'Jan-2026 rates'!$L:$R,5,0),IF($LB53=30%,VLOOKUP($JK53,'Jan-2026 rates'!$L:$R,6,0),IF($LB53=100%,VLOOKUP($JK53,'Jan-2026 rates'!$L:$R,7,0),IF($LB53=60%,VLOOKUP($JK53,'Jan-2026 rates'!$L:$S,8,0),IF($LB53=80%,VLOOKUP($JK53,'Jan-2026 rates'!L:T,9,0),0))))))))</f>
        <v>0</v>
      </c>
      <c r="JN53" s="412"/>
      <c r="JO53" s="409"/>
      <c r="JP53" s="411">
        <f>IF(JO53=0,0,IF($LB53=70%,VLOOKUP($JK53,'Jan-2026 rates'!$L:$R,4,0),IF($LB53=65%,VLOOKUP($JK53,'Jan-2026 rates'!$L:$R,4,0),IF($LB53=40%,VLOOKUP($JK53,'Jan-2026 rates'!$L:$R,5,0),IF($LB53=30%,VLOOKUP($JK53,'Jan-2026 rates'!$L:$R,6,0),IF($LB53=100%,VLOOKUP($JK53,'Jan-2026 rates'!$L:$R,7,0),IF($LB53=60%,VLOOKUP($JK53,'Jan-2026 rates'!$L:$S,8,0),IF($LB53=80%,VLOOKUP($JK53,'Jan-2026 rates'!L:T,9,0),0))))))))</f>
        <v>0</v>
      </c>
      <c r="JQ53" s="413" t="s">
        <v>484</v>
      </c>
      <c r="JR53" s="412"/>
      <c r="JS53" s="413"/>
      <c r="JT53" s="413"/>
      <c r="JU53" s="412"/>
      <c r="JV53" s="412"/>
      <c r="JW53" s="412"/>
      <c r="JX53" s="412"/>
      <c r="JY53" s="409">
        <v>100</v>
      </c>
      <c r="JZ53" s="398">
        <f>IF(JY53=0,0,IF(LEN(JQ53)=11,_xlfn.XLOOKUP(JQ53,'Dispensed Ink Rates'!C:C,'Dispensed Ink Rates'!CS:CS),VLOOKUP(JQ53,'Jan-2026 rates'!$E:$F,2,0)))</f>
        <v>0</v>
      </c>
      <c r="KA53" s="409"/>
      <c r="KB53" s="398">
        <f>IF(KA53=0,0,IF(LEN(JR53)=11,_xlfn.XLOOKUP(JR53,'Dispensed Ink Rates'!C:C,'Dispensed Ink Rates'!CS:CS),VLOOKUP(JR53,'Jan-2026 rates'!$E:$F,2,0)))</f>
        <v>0</v>
      </c>
      <c r="KC53" s="409"/>
      <c r="KD53" s="398">
        <f>IF(KC53=0,0,IF(LEN(JS53)=11,_xlfn.XLOOKUP(JS53,'Dispensed Ink Rates'!C:C,'Dispensed Ink Rates'!CS:CS),VLOOKUP(JS53,'Jan-2026 rates'!$E:$F,2,0)))</f>
        <v>0</v>
      </c>
      <c r="KE53" s="409"/>
      <c r="KF53" s="398">
        <f>IF(KE53=0,0,IF(LEN(JT53)=11,_xlfn.XLOOKUP(JT53,'Dispensed Ink Rates'!C:C,'Dispensed Ink Rates'!CS:CS),VLOOKUP(JT53,'Jan-2026 rates'!$E:$F,2,0)))</f>
        <v>0</v>
      </c>
      <c r="KG53" s="409"/>
      <c r="KH53" s="398">
        <f>IF(KG53=0,0,IF(LEN(JU53)=11,_xlfn.XLOOKUP(JU53,'Dispensed Ink Rates'!C:C,'Dispensed Ink Rates'!CS:CS),VLOOKUP(JU53,'Jan-2026 rates'!$E:$F,2,0)))</f>
        <v>0</v>
      </c>
      <c r="KI53" s="409"/>
      <c r="KJ53" s="398">
        <f>IF(KI53=0,0,IF(LEN(JV53)=11,_xlfn.XLOOKUP(JV53,'Dispensed Ink Rates'!C:C,'Dispensed Ink Rates'!CS:CS),VLOOKUP(JV53,'Jan-2026 rates'!$E:$F,2,0)))</f>
        <v>0</v>
      </c>
      <c r="KK53" s="409"/>
      <c r="KL53" s="398">
        <f>IF(KK53=0,0,IF(LEN(JW53)=11,_xlfn.XLOOKUP(JW53,'Dispensed Ink Rates'!C:C,'Dispensed Ink Rates'!CS:CS),VLOOKUP(JW53,'Jan-2026 rates'!$E:$F,2,0)))</f>
        <v>0</v>
      </c>
      <c r="KM53" s="428"/>
      <c r="KN53" s="398">
        <f>IF(KM53=0,0,IF(LEN(JX53)=11,_xlfn.XLOOKUP(JX53,'Dispensed Ink Rates'!C:C,'Dispensed Ink Rates'!CS:CS),VLOOKUP(JX53,'Jan-2026 rates'!$E:$F,2,0)))</f>
        <v>0</v>
      </c>
      <c r="KO53" s="409" t="s">
        <v>1443</v>
      </c>
      <c r="KP53" s="409">
        <v>30</v>
      </c>
      <c r="KQ53" s="411">
        <f t="shared" si="29"/>
        <v>0</v>
      </c>
      <c r="KR53" s="411">
        <f t="shared" si="30"/>
        <v>342.37623762376234</v>
      </c>
      <c r="KS53" s="410">
        <f t="shared" si="31"/>
        <v>0</v>
      </c>
      <c r="KT53" s="409">
        <v>3</v>
      </c>
      <c r="KU53" s="409">
        <v>5</v>
      </c>
      <c r="KV53" s="409">
        <v>0</v>
      </c>
      <c r="KW53" s="409">
        <v>2</v>
      </c>
      <c r="KX53" s="409">
        <v>6</v>
      </c>
      <c r="KY53" s="409">
        <v>3</v>
      </c>
      <c r="KZ53" s="409">
        <v>22</v>
      </c>
      <c r="LA53" s="409">
        <v>60</v>
      </c>
      <c r="LB53" s="415">
        <v>0.8</v>
      </c>
      <c r="LC53" s="415">
        <v>0.2</v>
      </c>
      <c r="LD53" s="415"/>
      <c r="LE53" s="415"/>
      <c r="LF53" s="415"/>
      <c r="LG53" s="409">
        <v>0</v>
      </c>
      <c r="LH53" s="409">
        <f>60+50+224+56+5+5+5+3</f>
        <v>408</v>
      </c>
      <c r="LI53" s="409">
        <v>0</v>
      </c>
      <c r="LJ53" s="409">
        <v>0</v>
      </c>
      <c r="LK53" s="416">
        <f t="shared" si="32"/>
        <v>408</v>
      </c>
      <c r="LL53" s="416">
        <f t="shared" si="33"/>
        <v>408</v>
      </c>
      <c r="LM53" s="417">
        <f t="shared" si="34"/>
        <v>326.40000000000003</v>
      </c>
      <c r="LN53" s="417">
        <f>VLOOKUP($LM$8,'Jan-2026 rates'!$H:$I,2,0)</f>
        <v>0</v>
      </c>
      <c r="LO53" s="417">
        <f t="shared" si="35"/>
        <v>81.600000000000009</v>
      </c>
      <c r="LP53" s="417">
        <f>VLOOKUP($LO$8,'Jan-2026 rates'!$H:$I,2,0)</f>
        <v>0</v>
      </c>
      <c r="LQ53" s="417">
        <f t="shared" si="36"/>
        <v>0</v>
      </c>
      <c r="LR53" s="417">
        <f>VLOOKUP($LQ$8,'Jan-2026 rates'!$H:$I,2,0)</f>
        <v>0</v>
      </c>
      <c r="LS53" s="417">
        <f t="shared" si="37"/>
        <v>0</v>
      </c>
      <c r="LT53" s="417">
        <f>VLOOKUP($LS$8,'Jan-2026 rates'!$H:$I,2,0)</f>
        <v>0</v>
      </c>
      <c r="LU53" s="417">
        <f t="shared" si="38"/>
        <v>0</v>
      </c>
      <c r="LV53" s="417">
        <f>VLOOKUP($LU$8,'Jan-2026 rates'!$H:$I,2,0)</f>
        <v>0</v>
      </c>
      <c r="LW53" s="417">
        <f t="shared" si="39"/>
        <v>0</v>
      </c>
      <c r="LX53" s="417">
        <f t="shared" si="40"/>
        <v>0</v>
      </c>
      <c r="LY53" s="418">
        <f t="shared" si="41"/>
        <v>0</v>
      </c>
      <c r="LZ53" s="417"/>
      <c r="MA53" s="435">
        <f t="shared" si="42"/>
        <v>341</v>
      </c>
      <c r="MB53" s="282">
        <f t="shared" si="43"/>
        <v>725</v>
      </c>
      <c r="MC53" s="283">
        <v>8</v>
      </c>
      <c r="MD53" s="284" t="str">
        <f t="shared" si="44"/>
        <v>FLINTSLFLINTSLFLINTSLFLINTSLFLINTSLFLINTSLFLINTSLFLINTSL</v>
      </c>
      <c r="ME53" s="293" t="str">
        <f t="shared" si="45"/>
        <v>+</v>
      </c>
      <c r="MF53" s="293" t="str">
        <f t="shared" si="46"/>
        <v>+</v>
      </c>
      <c r="MG53" s="293" t="str">
        <f t="shared" si="47"/>
        <v>+</v>
      </c>
      <c r="MH53" s="293" t="str">
        <f t="shared" si="48"/>
        <v>+</v>
      </c>
      <c r="MI53" s="293" t="str">
        <f t="shared" si="49"/>
        <v>+</v>
      </c>
      <c r="MJ53" s="293" t="str">
        <f t="shared" si="50"/>
        <v>+</v>
      </c>
      <c r="MK53" s="293" t="str">
        <f t="shared" si="51"/>
        <v>+</v>
      </c>
      <c r="ML53" s="293" t="str">
        <f t="shared" si="52"/>
        <v>+</v>
      </c>
      <c r="MM53" s="3" t="b">
        <f t="array" ref="MM53">OR(ME53:ML53="-")</f>
        <v>0</v>
      </c>
      <c r="MN53" s="285"/>
      <c r="MO53" s="401"/>
      <c r="MP53" s="286"/>
      <c r="MQ53" s="286"/>
      <c r="MR53" s="402"/>
      <c r="MS53" s="400"/>
      <c r="NH53" s="422"/>
      <c r="NJ53" s="421"/>
    </row>
    <row r="54" spans="1:374" s="1" customFormat="1" ht="16.5">
      <c r="A54" s="403">
        <v>46025</v>
      </c>
      <c r="B54" s="404" t="s">
        <v>1018</v>
      </c>
      <c r="C54" s="405" t="s">
        <v>2863</v>
      </c>
      <c r="D54" s="406">
        <v>9</v>
      </c>
      <c r="E54" s="404">
        <v>1026</v>
      </c>
      <c r="F54" s="407">
        <v>65500</v>
      </c>
      <c r="G54" s="407" t="s">
        <v>1019</v>
      </c>
      <c r="H54" s="408" t="s">
        <v>1017</v>
      </c>
      <c r="I54" s="409">
        <v>1.57</v>
      </c>
      <c r="J54" s="405" t="s">
        <v>546</v>
      </c>
      <c r="K54" s="404"/>
      <c r="L54" s="419" t="str">
        <f t="shared" si="0"/>
        <v>FLINTSL - REFLEX BLUE</v>
      </c>
      <c r="M54" s="404"/>
      <c r="N54" s="410">
        <f>IF(M54=0,0,IF($LB54=70%,VLOOKUP($L54,'Jan-2026 rates'!$L:$R,4,0),IF($LB54=65%,VLOOKUP($L54,'Jan-2026 rates'!$L:$R,4,0),IF($LB54=40%,VLOOKUP($L54,'Jan-2026 rates'!$L:$R,5,0),IF($LB54=30%,VLOOKUP($L54,'Jan-2026 rates'!$L:$R,6,0),IF($LB54=100%,VLOOKUP($L54,'Jan-2026 rates'!$L:$R,7,0),IF($LB54=60%,VLOOKUP($L54,'Jan-2026 rates'!$L:$S,8,0),IF($LB54=80%,VLOOKUP($L54,'Jan-2026 rates'!L:T,9,0),0))))))))</f>
        <v>0</v>
      </c>
      <c r="O54" s="406"/>
      <c r="P54" s="404"/>
      <c r="Q54" s="410">
        <f>IF(P54=0,0,IF($LB54=70%,VLOOKUP($L54,'Jan-2026 rates'!$L:$R,4,0),IF($LB54=65%,VLOOKUP($L54,'Jan-2026 rates'!$L:$R,4,0),IF($LB54=40%,VLOOKUP($L54,'Jan-2026 rates'!$L:$R,5,0),IF($LB54=30%,VLOOKUP($L54,'Jan-2026 rates'!$L:$R,6,0),IF($LB54=100%,VLOOKUP($L54,'Jan-2026 rates'!$L:$R,7,0),IF($LB54=60%,VLOOKUP($L54,'Jan-2026 rates'!$L:$S,8,0),IF($LB54=80%,VLOOKUP($L54,'Jan-2026 rates'!L:T,9,0),0))))))))</f>
        <v>0</v>
      </c>
      <c r="R54" s="406">
        <v>26503000009</v>
      </c>
      <c r="S54" s="406">
        <v>26503000018</v>
      </c>
      <c r="T54" s="406">
        <v>25863000002</v>
      </c>
      <c r="U54" s="406" t="s">
        <v>1266</v>
      </c>
      <c r="V54" s="406"/>
      <c r="W54" s="406"/>
      <c r="X54" s="406"/>
      <c r="Y54" s="406"/>
      <c r="Z54" s="404">
        <v>55</v>
      </c>
      <c r="AA54" s="398" t="e">
        <f>IF(Z54=0,0,IF(LEN(R54)=11,_xlfn.XLOOKUP(R54,'Dispensed Ink Rates'!C:C,'Dispensed Ink Rates'!CS:CS),VLOOKUP(R54,'Jan-2026 rates'!$E:$F,2,0)))</f>
        <v>#N/A</v>
      </c>
      <c r="AB54" s="404">
        <v>28</v>
      </c>
      <c r="AC54" s="398" t="e">
        <f>IF(AB54=0,0,IF(LEN(S54)=11,_xlfn.XLOOKUP(S54,'Dispensed Ink Rates'!C:C,'Dispensed Ink Rates'!CS:CS),VLOOKUP(S54,'Jan-2026 rates'!$E:$F,2,0)))</f>
        <v>#N/A</v>
      </c>
      <c r="AD54" s="404">
        <v>7</v>
      </c>
      <c r="AE54" s="398" t="e">
        <f>IF(AD54=0,0,IF(LEN(T54)=11,_xlfn.XLOOKUP(T54,'Dispensed Ink Rates'!C:C,'Dispensed Ink Rates'!CS:CS),VLOOKUP(T54,'Jan-2026 rates'!$E:$F,2,0)))</f>
        <v>#N/A</v>
      </c>
      <c r="AF54" s="404">
        <v>10</v>
      </c>
      <c r="AG54" s="398">
        <f>IF(AF54=0,0,IF(LEN(U54)=11,_xlfn.XLOOKUP(U54,'Dispensed Ink Rates'!C:C,'Dispensed Ink Rates'!CS:CS),VLOOKUP(U54,'Jan-2026 rates'!$E:$F,2,0)))</f>
        <v>0</v>
      </c>
      <c r="AH54" s="404"/>
      <c r="AI54" s="398">
        <f>IF(AH54=0,0,IF(LEN(V54)=11,_xlfn.XLOOKUP(V54,'Dispensed Ink Rates'!C:C,'Dispensed Ink Rates'!CS:CS),VLOOKUP(V54,'Jan-2026 rates'!$E:$F,2,0)))</f>
        <v>0</v>
      </c>
      <c r="AJ54" s="404"/>
      <c r="AK54" s="398">
        <f>IF(AJ54=0,0,IF(LEN(W54)=11,_xlfn.XLOOKUP(W54,'Dispensed Ink Rates'!C:C,'Dispensed Ink Rates'!CS:CS),VLOOKUP(W54,'Jan-2026 rates'!$E:$F,2,0)))</f>
        <v>0</v>
      </c>
      <c r="AL54" s="404"/>
      <c r="AM54" s="398">
        <f>IF(AL54=0,0,IF(LEN(X54)=11,_xlfn.XLOOKUP(X54,'Dispensed Ink Rates'!C:C,'Dispensed Ink Rates'!CS:CS),VLOOKUP(X54,'Jan-2026 rates'!$E:$F,2,0)))</f>
        <v>0</v>
      </c>
      <c r="AN54" s="404"/>
      <c r="AO54" s="398">
        <f>IF(AN54=0,0,IF(LEN(Y54)=11,_xlfn.XLOOKUP(Y54,'Dispensed Ink Rates'!C:C,'Dispensed Ink Rates'!CS:CS),VLOOKUP(Y54,'Jan-2026 rates'!$E:$F,2,0)))</f>
        <v>0</v>
      </c>
      <c r="AP54" s="409" t="s">
        <v>1443</v>
      </c>
      <c r="AQ54" s="409">
        <v>30</v>
      </c>
      <c r="AR54" s="410">
        <f t="shared" si="1"/>
        <v>0</v>
      </c>
      <c r="AS54" s="411">
        <f t="shared" si="2"/>
        <v>91.851851851851848</v>
      </c>
      <c r="AT54" s="410">
        <f t="shared" si="3"/>
        <v>0</v>
      </c>
      <c r="AU54" s="405" t="s">
        <v>546</v>
      </c>
      <c r="AV54" s="409" t="s">
        <v>2864</v>
      </c>
      <c r="AW54" s="420" t="str">
        <f t="shared" si="53"/>
        <v>FLINTSL - REFLEX BLUE</v>
      </c>
      <c r="AX54" s="409">
        <v>15</v>
      </c>
      <c r="AY54" s="411">
        <f>IF(AX54=0,0,IF($LB54=70%,VLOOKUP($AW54,'Jan-2026 rates'!$L:$R,4,0),IF($LB54=65%,VLOOKUP($AW54,'Jan-2026 rates'!$L:$R,4,0),IF($LB54=40%,VLOOKUP($AW54,'Jan-2026 rates'!$L:$R,5,0),IF($LB54=30%,VLOOKUP($AW54,'Jan-2026 rates'!$L:$R,6,0),IF($LB54=100%,VLOOKUP($AW54,'Jan-2026 rates'!$L:$R,7,0),IF($LB54=60%,VLOOKUP($AW54,'Jan-2026 rates'!$L:$S,8,0),IF($LB54=80%,VLOOKUP($AW54,'Jan-2026 rates'!L:T,9,0),0))))))))</f>
        <v>0</v>
      </c>
      <c r="AZ54" s="412"/>
      <c r="BA54" s="409"/>
      <c r="BB54" s="411">
        <f>IF(BA54=0,0,IF($LB54=70%,VLOOKUP($AW54,'Jan-2026 rates'!$L:$R,4,0),IF($LB54=65%,VLOOKUP($AW54,'Jan-2026 rates'!$L:$R,4,0),IF($LB54=40%,VLOOKUP($AW54,'Jan-2026 rates'!$L:$R,5,0),IF($LB54=30%,VLOOKUP($AW54,'Jan-2026 rates'!$L:$R,6,0),IF($LB54=100%,VLOOKUP($AW54,'Jan-2026 rates'!$L:$R,7,0),IF($LB54=60%,VLOOKUP($AW54,'Jan-2026 rates'!$L:$S,8,0),IF($LB54=80%,VLOOKUP($AW54,'Jan-2026 rates'!L:T,9,0),0))))))))</f>
        <v>0</v>
      </c>
      <c r="BC54" s="413">
        <v>25864000013</v>
      </c>
      <c r="BD54" s="412">
        <v>25863000002</v>
      </c>
      <c r="BE54" s="412"/>
      <c r="BF54" s="413"/>
      <c r="BG54" s="412"/>
      <c r="BH54" s="412"/>
      <c r="BI54" s="412"/>
      <c r="BJ54" s="412"/>
      <c r="BK54" s="409">
        <v>7</v>
      </c>
      <c r="BL54" s="398" t="e">
        <f>IF(BK54=0,0,IF(LEN(BC54)=11,_xlfn.XLOOKUP(BC54,'Dispensed Ink Rates'!C:C,'Dispensed Ink Rates'!CS:CS),VLOOKUP(BC54,'Jan-2026 rates'!$E:$F,2,0)))</f>
        <v>#N/A</v>
      </c>
      <c r="BM54" s="409">
        <v>3</v>
      </c>
      <c r="BN54" s="398" t="e">
        <f>IF(BM54=0,0,IF(LEN(BD54)=11,_xlfn.XLOOKUP(BD54,'Dispensed Ink Rates'!C:C,'Dispensed Ink Rates'!CS:CS),VLOOKUP(BD54,'Jan-2026 rates'!$E:$F,2,0)))</f>
        <v>#N/A</v>
      </c>
      <c r="BO54" s="409"/>
      <c r="BP54" s="398">
        <f>IF(BO54=0,0,IF(LEN(BE54)=11,_xlfn.XLOOKUP(BE54,'Dispensed Ink Rates'!C:C,'Dispensed Ink Rates'!CS:CS),VLOOKUP(BE54,'Jan-2026 rates'!$E:$F,2,0)))</f>
        <v>0</v>
      </c>
      <c r="BQ54" s="409"/>
      <c r="BR54" s="398">
        <f>IF(BQ54=0,0,IF(LEN(BF54)=11,_xlfn.XLOOKUP(BF54,'Dispensed Ink Rates'!C:C,'Dispensed Ink Rates'!CS:CS),VLOOKUP(BF54,'Jan-2026 rates'!$E:$F,2,0)))</f>
        <v>0</v>
      </c>
      <c r="BS54" s="409"/>
      <c r="BT54" s="398">
        <f>IF(BS54=0,0,IF(LEN(BG54)=11,_xlfn.XLOOKUP(BG54,'Dispensed Ink Rates'!C:C,'Dispensed Ink Rates'!CS:CS),VLOOKUP(BG54,'Jan-2026 rates'!$E:$F,2,0)))</f>
        <v>0</v>
      </c>
      <c r="BU54" s="409"/>
      <c r="BV54" s="398">
        <f>IF(BU54=0,0,IF(LEN(BH54)=11,_xlfn.XLOOKUP(BH54,'Dispensed Ink Rates'!C:C,'Dispensed Ink Rates'!CS:CS),VLOOKUP(BH54,'Jan-2026 rates'!$E:$F,2,0)))</f>
        <v>0</v>
      </c>
      <c r="BW54" s="409"/>
      <c r="BX54" s="398">
        <f>IF(BW54=0,0,IF(LEN(BI54)=11,_xlfn.XLOOKUP(BI54,'Dispensed Ink Rates'!C:C,'Dispensed Ink Rates'!CS:CS),VLOOKUP(BI54,'Jan-2026 rates'!$E:$F,2,0)))</f>
        <v>0</v>
      </c>
      <c r="BY54" s="409"/>
      <c r="BZ54" s="398">
        <f>IF(BY54=0,0,IF(LEN(BJ54)=11,_xlfn.XLOOKUP(BJ54,'Dispensed Ink Rates'!C:C,'Dispensed Ink Rates'!CS:CS),VLOOKUP(BJ54,'Jan-2026 rates'!$E:$F,2,0)))</f>
        <v>0</v>
      </c>
      <c r="CA54" s="409" t="s">
        <v>1443</v>
      </c>
      <c r="CB54" s="409">
        <v>25</v>
      </c>
      <c r="CC54" s="411">
        <f t="shared" si="5"/>
        <v>0</v>
      </c>
      <c r="CD54" s="411">
        <f t="shared" si="6"/>
        <v>17.481481481481481</v>
      </c>
      <c r="CE54" s="410">
        <f t="shared" si="7"/>
        <v>0</v>
      </c>
      <c r="CF54" s="404" t="s">
        <v>857</v>
      </c>
      <c r="CG54" s="409" t="s">
        <v>2865</v>
      </c>
      <c r="CH54" s="420" t="str">
        <f t="shared" si="8"/>
        <v>FLINTSL - RED</v>
      </c>
      <c r="CI54" s="409">
        <v>15</v>
      </c>
      <c r="CJ54" s="411">
        <f>IF(CI54=0,0,IF($LB54=70%,VLOOKUP($CH54,'Jan-2026 rates'!$L:$R,4,0),IF($LB54=65%,VLOOKUP($CH54,'Jan-2026 rates'!$L:$R,4,0),IF($LB54=40%,VLOOKUP($CH54,'Jan-2026 rates'!$L:$R,5,0),IF($LB54=30%,VLOOKUP($CH54,'Jan-2026 rates'!$L:$R,6,0),IF($LB54=100%,VLOOKUP($CH54,'Jan-2026 rates'!$L:$R,7,0),IF($LB54=60%,VLOOKUP($CH54,'Jan-2026 rates'!$L:$S,8,0),IF($LB54=80%,VLOOKUP($CH54,'Jan-2026 rates'!L:T,9,0),0))))))))</f>
        <v>0</v>
      </c>
      <c r="CK54" s="412" t="s">
        <v>2380</v>
      </c>
      <c r="CL54" s="409">
        <v>23</v>
      </c>
      <c r="CM54" s="411">
        <f>IF(CL54=0,0,IF($LB54=70%,VLOOKUP($CH54,'Jan-2026 rates'!$L:$R,4,0),IF($LB54=65%,VLOOKUP($CH54,'Jan-2026 rates'!$L:$R,4,0),IF($LB54=40%,VLOOKUP($CH54,'Jan-2026 rates'!$L:$R,5,0),IF($LB54=30%,VLOOKUP($CH54,'Jan-2026 rates'!$L:$R,6,0),IF($LB54=100%,VLOOKUP($CH54,'Jan-2026 rates'!$L:$R,7,0),IF($LB54=60%,VLOOKUP($CH54,'Jan-2026 rates'!$L:$S,8,0),IF($LB54=80%,VLOOKUP($CH54,'Jan-2026 rates'!L:T,9,0),0))))))))</f>
        <v>0</v>
      </c>
      <c r="CN54" s="426">
        <v>25863000024</v>
      </c>
      <c r="CO54" s="427"/>
      <c r="CP54" s="426"/>
      <c r="CQ54" s="426"/>
      <c r="CR54" s="428"/>
      <c r="CS54" s="428"/>
      <c r="CT54" s="428"/>
      <c r="CU54" s="428"/>
      <c r="CV54" s="409">
        <v>5</v>
      </c>
      <c r="CW54" s="398" t="e">
        <f>IF(CV54=0,0,IF(LEN(CN54)=11,_xlfn.XLOOKUP(CN54,'Dispensed Ink Rates'!C:C,'Dispensed Ink Rates'!CS:CS),VLOOKUP(CN54,'Jan-2026 rates'!$E:$F,2,0)))</f>
        <v>#N/A</v>
      </c>
      <c r="CX54" s="409"/>
      <c r="CY54" s="398">
        <f>IF(CX54=0,0,IF(LEN(CO54)=11,_xlfn.XLOOKUP(CO54,'Dispensed Ink Rates'!C:C,'Dispensed Ink Rates'!CS:CS),VLOOKUP(CO54,'Jan-2026 rates'!$E:$F,2,0)))</f>
        <v>0</v>
      </c>
      <c r="CZ54" s="409"/>
      <c r="DA54" s="398">
        <f>IF(CZ54=0,0,IF(LEN(CP54)=11,_xlfn.XLOOKUP(CP54,'Dispensed Ink Rates'!C:C,'Dispensed Ink Rates'!CS:CS),VLOOKUP(CP54,'Jan-2026 rates'!$E:$F,2,0)))</f>
        <v>0</v>
      </c>
      <c r="DB54" s="409"/>
      <c r="DC54" s="398">
        <f>IF(DB54=0,0,IF(LEN(CQ54)=11,_xlfn.XLOOKUP(CQ54,'Dispensed Ink Rates'!C:C,'Dispensed Ink Rates'!CS:CS),VLOOKUP(CQ54,'Jan-2026 rates'!$E:$F,2,0)))</f>
        <v>0</v>
      </c>
      <c r="DD54" s="409"/>
      <c r="DE54" s="398">
        <f>IF(DD54=0,0,IF(LEN(CR54)=11,_xlfn.XLOOKUP(CR54,'Dispensed Ink Rates'!C:C,'Dispensed Ink Rates'!CS:CS),VLOOKUP(CR54,'Jan-2026 rates'!$E:$F,2,0)))</f>
        <v>0</v>
      </c>
      <c r="DF54" s="409"/>
      <c r="DG54" s="398">
        <f>IF(DF54=0,0,IF(LEN(CS54)=11,_xlfn.XLOOKUP(CS54,'Dispensed Ink Rates'!C:C,'Dispensed Ink Rates'!CS:CS),VLOOKUP(CS54,'Jan-2026 rates'!$E:$F,2,0)))</f>
        <v>0</v>
      </c>
      <c r="DH54" s="409"/>
      <c r="DI54" s="398">
        <f>IF(DH54=0,0,IF(LEN(CT54)=11,_xlfn.XLOOKUP(CT54,'Dispensed Ink Rates'!C:C,'Dispensed Ink Rates'!CS:CS),VLOOKUP(CT54,'Jan-2026 rates'!$E:$F,2,0)))</f>
        <v>0</v>
      </c>
      <c r="DJ54" s="409"/>
      <c r="DK54" s="398">
        <f>IF(DJ54=0,0,IF(LEN(CU54)=11,_xlfn.XLOOKUP(CU54,'Dispensed Ink Rates'!C:C,'Dispensed Ink Rates'!CS:CS),VLOOKUP(CU54,'Jan-2026 rates'!$E:$F,2,0)))</f>
        <v>0</v>
      </c>
      <c r="DL54" s="409" t="s">
        <v>1443</v>
      </c>
      <c r="DM54" s="409">
        <v>20</v>
      </c>
      <c r="DN54" s="411">
        <f t="shared" si="9"/>
        <v>0</v>
      </c>
      <c r="DO54" s="411">
        <f t="shared" si="10"/>
        <v>33.925925925925924</v>
      </c>
      <c r="DP54" s="410">
        <f t="shared" si="11"/>
        <v>0</v>
      </c>
      <c r="DQ54" s="405" t="s">
        <v>828</v>
      </c>
      <c r="DR54" s="409" t="s">
        <v>2866</v>
      </c>
      <c r="DS54" s="420" t="str">
        <f t="shared" si="12"/>
        <v>FLINTSL - ORANGE</v>
      </c>
      <c r="DT54" s="409">
        <v>10</v>
      </c>
      <c r="DU54" s="411">
        <f>IF(DT54=0,0,IF($LB54=70%,VLOOKUP($DS54,'Jan-2026 rates'!$L:$R,4,0),IF($LB54=65%,VLOOKUP($DS54,'Jan-2026 rates'!$L:$R,4,0),IF($LB54=40%,VLOOKUP($DS54,'Jan-2026 rates'!$L:$R,5,0),IF($LB54=30%,VLOOKUP($DS54,'Jan-2026 rates'!$L:$R,6,0),IF($LB54=100%,VLOOKUP($DS54,'Jan-2026 rates'!$L:$R,7,0),IF($LB54=60%,VLOOKUP($DS54,'Jan-2026 rates'!$L:$S,8,0),IF($LB54=80%,VLOOKUP($DS54,'Jan-2026 rates'!L:T,9,0),0))))))))</f>
        <v>0</v>
      </c>
      <c r="DV54" s="412"/>
      <c r="DW54" s="409"/>
      <c r="DX54" s="411">
        <f>IF(DW54=0,0,IF($LB54=70%,VLOOKUP($DS54,'Jan-2026 rates'!$L:$R,4,0),IF($LB54=65%,VLOOKUP($DS54,'Jan-2026 rates'!$L:$R,4,0),IF($LB54=40%,VLOOKUP($DS54,'Jan-2026 rates'!$L:$R,5,0),IF($LB54=30%,VLOOKUP($DS54,'Jan-2026 rates'!$L:$R,6,0),IF($LB54=100%,VLOOKUP($DS54,'Jan-2026 rates'!$L:$R,7,0),IF($LB54=60%,VLOOKUP($DS54,'Jan-2026 rates'!$L:$S,8,0),IF($LB54=80%,VLOOKUP($DS54,'Jan-2026 rates'!L:T,9,0),0))))))))</f>
        <v>0</v>
      </c>
      <c r="DY54" s="413">
        <v>25864000008</v>
      </c>
      <c r="DZ54" s="413">
        <v>25863000024</v>
      </c>
      <c r="EA54" s="412" t="s">
        <v>1266</v>
      </c>
      <c r="EB54" s="412"/>
      <c r="EC54" s="412"/>
      <c r="ED54" s="412"/>
      <c r="EE54" s="412"/>
      <c r="EF54" s="412"/>
      <c r="EG54" s="409">
        <v>2</v>
      </c>
      <c r="EH54" s="398" t="e">
        <f>IF(EG54=0,0,IF(LEN(DY54)=11,_xlfn.XLOOKUP(DY54,'Dispensed Ink Rates'!C:C,'Dispensed Ink Rates'!CS:CS),VLOOKUP(DY54,'Jan-2026 rates'!$E:$F,2,0)))</f>
        <v>#N/A</v>
      </c>
      <c r="EI54" s="409">
        <v>2</v>
      </c>
      <c r="EJ54" s="398" t="e">
        <f>IF(EI54=0,0,IF(LEN(DZ54)=11,_xlfn.XLOOKUP(DZ54,'Dispensed Ink Rates'!C:C,'Dispensed Ink Rates'!CS:CS),VLOOKUP(DZ54,'Jan-2026 rates'!$E:$F,2,0)))</f>
        <v>#N/A</v>
      </c>
      <c r="EK54" s="409">
        <v>4</v>
      </c>
      <c r="EL54" s="398">
        <f>IF(EK54=0,0,IF(LEN(EA54)=11,_xlfn.XLOOKUP(EA54,'Dispensed Ink Rates'!C:C,'Dispensed Ink Rates'!CS:CS),VLOOKUP(EA54,'Jan-2026 rates'!$E:$F,2,0)))</f>
        <v>0</v>
      </c>
      <c r="EM54" s="409"/>
      <c r="EN54" s="398">
        <f>IF(EM54=0,0,IF(LEN(EB54)=11,_xlfn.XLOOKUP(EB54,'Dispensed Ink Rates'!C:C,'Dispensed Ink Rates'!CS:CS),VLOOKUP(EB54,'Jan-2026 rates'!$E:$F,2,0)))</f>
        <v>0</v>
      </c>
      <c r="EO54" s="409"/>
      <c r="EP54" s="398">
        <f>IF(EO54=0,0,IF(LEN(EC54)=11,_xlfn.XLOOKUP(EC54,'Dispensed Ink Rates'!C:C,'Dispensed Ink Rates'!CS:CS),VLOOKUP(EC54,'Jan-2026 rates'!$E:$F,2,0)))</f>
        <v>0</v>
      </c>
      <c r="EQ54" s="409"/>
      <c r="ER54" s="398">
        <f>IF(EQ54=0,0,IF(LEN(ED54)=11,_xlfn.XLOOKUP(ED54,'Dispensed Ink Rates'!C:C,'Dispensed Ink Rates'!CS:CS),VLOOKUP(ED54,'Jan-2026 rates'!$E:$F,2,0)))</f>
        <v>0</v>
      </c>
      <c r="ES54" s="409"/>
      <c r="ET54" s="398">
        <f>IF(ES54=0,0,IF(LEN(EE54)=11,_xlfn.XLOOKUP(EE54,'Dispensed Ink Rates'!C:C,'Dispensed Ink Rates'!CS:CS),VLOOKUP(EE54,'Jan-2026 rates'!$E:$F,2,0)))</f>
        <v>0</v>
      </c>
      <c r="EU54" s="409"/>
      <c r="EV54" s="398">
        <f>IF(EU54=0,0,IF(LEN(EF54)=11,_xlfn.XLOOKUP(EF54,'Dispensed Ink Rates'!C:C,'Dispensed Ink Rates'!CS:CS),VLOOKUP(EF54,'Jan-2026 rates'!$E:$F,2,0)))</f>
        <v>0</v>
      </c>
      <c r="EW54" s="409" t="s">
        <v>1443</v>
      </c>
      <c r="EX54" s="409">
        <v>22</v>
      </c>
      <c r="EY54" s="411">
        <f t="shared" si="13"/>
        <v>0</v>
      </c>
      <c r="EZ54" s="411">
        <f t="shared" si="14"/>
        <v>6.9259259259259238</v>
      </c>
      <c r="FA54" s="410">
        <f t="shared" si="15"/>
        <v>0</v>
      </c>
      <c r="FB54" s="405" t="s">
        <v>855</v>
      </c>
      <c r="FC54" s="409" t="s">
        <v>2867</v>
      </c>
      <c r="FD54" s="420" t="str">
        <f t="shared" si="16"/>
        <v>FLINTSL - CYAN</v>
      </c>
      <c r="FE54" s="409">
        <v>26</v>
      </c>
      <c r="FF54" s="411">
        <f>IF(FE54=0,0,IF($LB54=70%,VLOOKUP($FD54,'Jan-2026 rates'!$L:$R,4,0),IF($LB54=65%,VLOOKUP($FD54,'Jan-2026 rates'!$L:$R,4,0),IF($LB54=40%,VLOOKUP($FD54,'Jan-2026 rates'!$L:$R,5,0),IF($LB54=30%,VLOOKUP($FD54,'Jan-2026 rates'!$L:$R,6,0),IF($LB54=100%,VLOOKUP($FD54,'Jan-2026 rates'!$L:$R,7,0),IF($LB54=60%,VLOOKUP($FD54,'Jan-2026 rates'!$L:$S,8,0),IF($LB54=80%,VLOOKUP($FD54,'Jan-2026 rates'!L:T,9,0),0))))))))</f>
        <v>0</v>
      </c>
      <c r="FG54" s="412"/>
      <c r="FH54" s="409"/>
      <c r="FI54" s="411">
        <f>IF(FH54=0,0,IF($LB54=70%,VLOOKUP($FD54,'Jan-2026 rates'!$L:$R,4,0),IF($LB54=65%,VLOOKUP($FD54,'Jan-2026 rates'!$L:$R,4,0),IF($LB54=40%,VLOOKUP($FD54,'Jan-2026 rates'!$L:$R,5,0),IF($LB54=30%,VLOOKUP($FD54,'Jan-2026 rates'!$L:$R,6,0),IF($LB54=100%,VLOOKUP($FD54,'Jan-2026 rates'!$L:$R,7,0),IF($LB54=60%,VLOOKUP($FD54,'Jan-2026 rates'!$L:$S,8,0),IF($LB54=80%,VLOOKUP($FD54,'Jan-2026 rates'!L:T,9,0),0))))))))</f>
        <v>0</v>
      </c>
      <c r="FJ54" s="413">
        <v>25863000002</v>
      </c>
      <c r="FK54" s="413"/>
      <c r="FL54" s="413"/>
      <c r="FM54" s="412"/>
      <c r="FN54" s="412"/>
      <c r="FO54" s="412"/>
      <c r="FP54" s="412"/>
      <c r="FQ54" s="412"/>
      <c r="FR54" s="409">
        <v>2</v>
      </c>
      <c r="FS54" s="398" t="e">
        <f>IF(FR54=0,0,IF(LEN(FJ54)=11,_xlfn.XLOOKUP(FJ54,'Dispensed Ink Rates'!C:C,'Dispensed Ink Rates'!CS:CS),VLOOKUP(FJ54,'Jan-2026 rates'!$E:$F,2,0)))</f>
        <v>#N/A</v>
      </c>
      <c r="FT54" s="409"/>
      <c r="FU54" s="398">
        <f>IF(FT54=0,0,IF(LEN(FK54)=11,_xlfn.XLOOKUP(FK54,'Dispensed Ink Rates'!C:C,'Dispensed Ink Rates'!CS:CS),VLOOKUP(FK54,'Jan-2026 rates'!$E:$F,2,0)))</f>
        <v>0</v>
      </c>
      <c r="FV54" s="409"/>
      <c r="FW54" s="398">
        <f>IF(FV54=0,0,IF(LEN(FL54)=11,_xlfn.XLOOKUP(FL54,'Dispensed Ink Rates'!C:C,'Dispensed Ink Rates'!CS:CS),VLOOKUP(FL54,'Jan-2026 rates'!$E:$F,2,0)))</f>
        <v>0</v>
      </c>
      <c r="FX54" s="409"/>
      <c r="FY54" s="398">
        <f>IF(FX54=0,0,IF(LEN(FM54)=11,_xlfn.XLOOKUP(FM54,'Dispensed Ink Rates'!C:C,'Dispensed Ink Rates'!CS:CS),VLOOKUP(FM54,'Jan-2026 rates'!$E:$F,2,0)))</f>
        <v>0</v>
      </c>
      <c r="FZ54" s="409"/>
      <c r="GA54" s="398">
        <f>IF(FZ54=0,0,IF(LEN(FN54)=11,_xlfn.XLOOKUP(FN54,'Dispensed Ink Rates'!C:C,'Dispensed Ink Rates'!CS:CS),VLOOKUP(FN54,'Jan-2026 rates'!$E:$F,2,0)))</f>
        <v>0</v>
      </c>
      <c r="GB54" s="409"/>
      <c r="GC54" s="398">
        <f>IF(GB54=0,0,IF(LEN(FO54)=11,_xlfn.XLOOKUP(FO54,'Dispensed Ink Rates'!C:C,'Dispensed Ink Rates'!CS:CS),VLOOKUP(FO54,'Jan-2026 rates'!$E:$F,2,0)))</f>
        <v>0</v>
      </c>
      <c r="GD54" s="409"/>
      <c r="GE54" s="398">
        <f>IF(GD54=0,0,IF(LEN(FP54)=11,_xlfn.XLOOKUP(FP54,'Dispensed Ink Rates'!C:C,'Dispensed Ink Rates'!CS:CS),VLOOKUP(FP54,'Jan-2026 rates'!$E:$F,2,0)))</f>
        <v>0</v>
      </c>
      <c r="GF54" s="409"/>
      <c r="GG54" s="398">
        <f>IF(GF54=0,0,IF(LEN(FQ54)=11,_xlfn.XLOOKUP(FQ54,'Dispensed Ink Rates'!C:C,'Dispensed Ink Rates'!CS:CS),VLOOKUP(FQ54,'Jan-2026 rates'!$E:$F,2,0)))</f>
        <v>0</v>
      </c>
      <c r="GH54" s="409" t="s">
        <v>1443</v>
      </c>
      <c r="GI54" s="409">
        <v>24</v>
      </c>
      <c r="GJ54" s="411">
        <f t="shared" si="17"/>
        <v>0</v>
      </c>
      <c r="GK54" s="411">
        <f t="shared" si="18"/>
        <v>8.3703703703703667</v>
      </c>
      <c r="GL54" s="410">
        <f t="shared" si="19"/>
        <v>0</v>
      </c>
      <c r="GM54" s="405" t="s">
        <v>544</v>
      </c>
      <c r="GN54" s="409" t="s">
        <v>2868</v>
      </c>
      <c r="GO54" s="420" t="str">
        <f t="shared" si="20"/>
        <v>FLINTSL - MAGENTA</v>
      </c>
      <c r="GP54" s="409">
        <v>25</v>
      </c>
      <c r="GQ54" s="411">
        <f>IF(GP54=0,0,IF($LB54=70%,VLOOKUP($GO54,'Jan-2026 rates'!$L:$R,4,0),IF($LB54=65%,VLOOKUP($GO54,'Jan-2026 rates'!$L:$R,4,0),IF($LB54=40%,VLOOKUP($GO54,'Jan-2026 rates'!$L:$R,5,0),IF($LB54=30%,VLOOKUP($GO54,'Jan-2026 rates'!$L:$R,6,0),IF($LB54=100%,VLOOKUP($GO54,'Jan-2026 rates'!$L:$R,7,0),IF($LB54=60%,VLOOKUP($GO54,'Jan-2026 rates'!$L:$S,8,0),IF($LB54=80%,VLOOKUP($GO54,'Jan-2026 rates'!L:T,9,0),0))))))))</f>
        <v>0</v>
      </c>
      <c r="GR54" s="412"/>
      <c r="GS54" s="409"/>
      <c r="GT54" s="411">
        <f>IF(GS54=0,0,IF($LB54=70%,VLOOKUP($GO54,'Jan-2026 rates'!$L:$R,4,0),IF($LB54=65%,VLOOKUP($GO54,'Jan-2026 rates'!$L:$R,4,0),IF($LB54=40%,VLOOKUP($GO54,'Jan-2026 rates'!$L:$R,5,0),IF($LB54=30%,VLOOKUP($GO54,'Jan-2026 rates'!$L:$R,6,0),IF($LB54=100%,VLOOKUP($GO54,'Jan-2026 rates'!$L:$R,7,0),IF($LB54=60%,VLOOKUP($GO54,'Jan-2026 rates'!$L:$S,8,0),IF($LB54=80%,VLOOKUP($GO54,'Jan-2026 rates'!L:T,9,0),0))))))))</f>
        <v>0</v>
      </c>
      <c r="GU54" s="413">
        <v>25863000024</v>
      </c>
      <c r="GV54" s="413"/>
      <c r="GW54" s="412"/>
      <c r="GX54" s="412"/>
      <c r="GY54" s="412"/>
      <c r="GZ54" s="412"/>
      <c r="HA54" s="412"/>
      <c r="HB54" s="412"/>
      <c r="HC54" s="409">
        <v>1</v>
      </c>
      <c r="HD54" s="398" t="e">
        <f>IF(HC54=0,0,IF(LEN(GU54)=11,_xlfn.XLOOKUP(GU54,'Dispensed Ink Rates'!C:C,'Dispensed Ink Rates'!CS:CS),VLOOKUP(GU54,'Jan-2026 rates'!$E:$F,2,0)))</f>
        <v>#N/A</v>
      </c>
      <c r="HE54" s="409"/>
      <c r="HF54" s="398">
        <f>IF(HE54=0,0,IF(LEN(GV54)=11,_xlfn.XLOOKUP(GV54,'Dispensed Ink Rates'!C:C,'Dispensed Ink Rates'!CS:CS),VLOOKUP(GV54,'Jan-2026 rates'!$E:$F,2,0)))</f>
        <v>0</v>
      </c>
      <c r="HG54" s="409"/>
      <c r="HH54" s="398">
        <f>IF(HG54=0,0,IF(LEN(GW54)=11,_xlfn.XLOOKUP(GW54,'Dispensed Ink Rates'!C:C,'Dispensed Ink Rates'!CS:CS),VLOOKUP(GW54,'Jan-2026 rates'!$E:$F,2,0)))</f>
        <v>0</v>
      </c>
      <c r="HI54" s="409"/>
      <c r="HJ54" s="398">
        <f>IF(HI54=0,0,IF(LEN(GX54)=11,_xlfn.XLOOKUP(GX54,'Dispensed Ink Rates'!C:C,'Dispensed Ink Rates'!CS:CS),VLOOKUP(GX54,'Jan-2026 rates'!$E:$F,2,0)))</f>
        <v>0</v>
      </c>
      <c r="HK54" s="409"/>
      <c r="HL54" s="398">
        <f>IF(HK54=0,0,IF(LEN(GY54)=11,_xlfn.XLOOKUP(GY54,'Dispensed Ink Rates'!C:C,'Dispensed Ink Rates'!CS:CS),VLOOKUP(GY54,'Jan-2026 rates'!$E:$F,2,0)))</f>
        <v>0</v>
      </c>
      <c r="HM54" s="409"/>
      <c r="HN54" s="398">
        <f>IF(HM54=0,0,IF(LEN(GZ54)=11,_xlfn.XLOOKUP(GZ54,'Dispensed Ink Rates'!C:C,'Dispensed Ink Rates'!CS:CS),VLOOKUP(GZ54,'Jan-2026 rates'!$E:$F,2,0)))</f>
        <v>0</v>
      </c>
      <c r="HO54" s="409"/>
      <c r="HP54" s="398">
        <f>IF(HO54=0,0,IF(LEN(HA54)=11,_xlfn.XLOOKUP(HA54,'Dispensed Ink Rates'!C:C,'Dispensed Ink Rates'!CS:CS),VLOOKUP(HA54,'Jan-2026 rates'!$E:$F,2,0)))</f>
        <v>0</v>
      </c>
      <c r="HQ54" s="409"/>
      <c r="HR54" s="398">
        <f>IF(HQ54=0,0,IF(LEN(HB54)=11,_xlfn.XLOOKUP(HB54,'Dispensed Ink Rates'!C:C,'Dispensed Ink Rates'!CS:CS),VLOOKUP(HB54,'Jan-2026 rates'!$E:$F,2,0)))</f>
        <v>0</v>
      </c>
      <c r="HS54" s="409" t="s">
        <v>1443</v>
      </c>
      <c r="HT54" s="409">
        <v>23</v>
      </c>
      <c r="HU54" s="411">
        <f t="shared" si="21"/>
        <v>0</v>
      </c>
      <c r="HV54" s="411">
        <f t="shared" si="22"/>
        <v>7.3703703703703702</v>
      </c>
      <c r="HW54" s="414">
        <f t="shared" si="23"/>
        <v>0</v>
      </c>
      <c r="HX54" s="405" t="s">
        <v>545</v>
      </c>
      <c r="HY54" s="409" t="s">
        <v>2869</v>
      </c>
      <c r="HZ54" s="420" t="str">
        <f t="shared" si="24"/>
        <v>FLINTSL - YELLOW</v>
      </c>
      <c r="IA54" s="409">
        <v>28</v>
      </c>
      <c r="IB54" s="411">
        <f>IF(IA54=0,0,IF($LB54=70%,VLOOKUP($HZ54,'Jan-2026 rates'!$L:$R,4,0),IF($LB54=65%,VLOOKUP($HZ54,'Jan-2026 rates'!$L:$R,4,0),IF($LB54=40%,VLOOKUP($HZ54,'Jan-2026 rates'!$L:$R,5,0),IF($LB54=30%,VLOOKUP($HZ54,'Jan-2026 rates'!$L:$R,6,0),IF($LB54=100%,VLOOKUP($HZ54,'Jan-2026 rates'!$L:$R,7,0),IF($LB54=60%,VLOOKUP($HZ54,'Jan-2026 rates'!$L:$S,8,0),IF($LB54=80%,VLOOKUP($HZ54,'Jan-2026 rates'!L:T,9,0),0))))))))</f>
        <v>0</v>
      </c>
      <c r="IC54" s="412"/>
      <c r="ID54" s="409"/>
      <c r="IE54" s="411">
        <f>IF(ID54=0,0,IF($LB54=70%,VLOOKUP($HZ54,'Jan-2026 rates'!$L:$R,4,0),IF($LB54=65%,VLOOKUP($HZ54,'Jan-2026 rates'!$L:$R,4,0),IF($LB54=40%,VLOOKUP($HZ54,'Jan-2026 rates'!$L:$R,5,0),IF($LB54=30%,VLOOKUP($HZ54,'Jan-2026 rates'!$L:$R,6,0),IF($LB54=100%,VLOOKUP($HZ54,'Jan-2026 rates'!$L:$R,7,0),IF($LB54=60%,VLOOKUP($HZ54,'Jan-2026 rates'!$L:$S,8,0),IF($LB54=80%,VLOOKUP($HZ54,'Jan-2026 rates'!L:T,9,0),0))))))))</f>
        <v>0</v>
      </c>
      <c r="IF54" s="412">
        <v>25864000008</v>
      </c>
      <c r="IG54" s="413" t="s">
        <v>1266</v>
      </c>
      <c r="IH54" s="412"/>
      <c r="II54" s="412"/>
      <c r="IJ54" s="412"/>
      <c r="IK54" s="412"/>
      <c r="IL54" s="412"/>
      <c r="IM54" s="412"/>
      <c r="IN54" s="409">
        <v>15</v>
      </c>
      <c r="IO54" s="398" t="e">
        <f>IF(IN54=0,0,IF(LEN(IF54)=11,_xlfn.XLOOKUP(IF54,'Dispensed Ink Rates'!C:C,'Dispensed Ink Rates'!CS:CS),VLOOKUP(IF54,'Jan-2026 rates'!$E:$F,2,0)))</f>
        <v>#N/A</v>
      </c>
      <c r="IP54" s="409">
        <v>5</v>
      </c>
      <c r="IQ54" s="398">
        <f>IF(IP54=0,0,IF(LEN(IG54)=11,_xlfn.XLOOKUP(IG54,'Dispensed Ink Rates'!C:C,'Dispensed Ink Rates'!CS:CS),VLOOKUP(IG54,'Jan-2026 rates'!$E:$F,2,0)))</f>
        <v>0</v>
      </c>
      <c r="IR54" s="409"/>
      <c r="IS54" s="398">
        <f>IF(IR54=0,0,IF(LEN(IH54)=11,_xlfn.XLOOKUP(IH54,'Dispensed Ink Rates'!C:C,'Dispensed Ink Rates'!CS:CS),VLOOKUP(IH54,'Jan-2026 rates'!$E:$F,2,0)))</f>
        <v>0</v>
      </c>
      <c r="IT54" s="409"/>
      <c r="IU54" s="398">
        <f>IF(IT54=0,0,IF(LEN(II54)=11,_xlfn.XLOOKUP(II54,'Dispensed Ink Rates'!C:C,'Dispensed Ink Rates'!CS:CS),VLOOKUP(II54,'Jan-2026 rates'!$E:$F,2,0)))</f>
        <v>0</v>
      </c>
      <c r="IV54" s="409"/>
      <c r="IW54" s="398">
        <f>IF(IV54=0,0,IF(LEN(IJ54)=11,_xlfn.XLOOKUP(IJ54,'Dispensed Ink Rates'!C:C,'Dispensed Ink Rates'!CS:CS),VLOOKUP(IJ54,'Jan-2026 rates'!$E:$F,2,0)))</f>
        <v>0</v>
      </c>
      <c r="IX54" s="409"/>
      <c r="IY54" s="398">
        <f>IF(IX54=0,0,IF(LEN(IK54)=11,_xlfn.XLOOKUP(IK54,'Dispensed Ink Rates'!C:C,'Dispensed Ink Rates'!CS:CS),VLOOKUP(IK54,'Jan-2026 rates'!$E:$F,2,0)))</f>
        <v>0</v>
      </c>
      <c r="IZ54" s="409"/>
      <c r="JA54" s="398">
        <f>IF(IZ54=0,0,IF(LEN(IL54)=11,_xlfn.XLOOKUP(IL54,'Dispensed Ink Rates'!C:C,'Dispensed Ink Rates'!CS:CS),VLOOKUP(IL54,'Jan-2026 rates'!$E:$F,2,0)))</f>
        <v>0</v>
      </c>
      <c r="JB54" s="409"/>
      <c r="JC54" s="398">
        <f>IF(JB54=0,0,IF(LEN(IM54)=11,_xlfn.XLOOKUP(IM54,'Dispensed Ink Rates'!C:C,'Dispensed Ink Rates'!CS:CS),VLOOKUP(IM54,'Jan-2026 rates'!$E:$F,2,0)))</f>
        <v>0</v>
      </c>
      <c r="JD54" s="409" t="s">
        <v>1443</v>
      </c>
      <c r="JE54" s="409">
        <v>27</v>
      </c>
      <c r="JF54" s="411">
        <f t="shared" si="25"/>
        <v>0</v>
      </c>
      <c r="JG54" s="411">
        <f t="shared" si="26"/>
        <v>42.851851851851848</v>
      </c>
      <c r="JH54" s="410">
        <f t="shared" si="27"/>
        <v>0</v>
      </c>
      <c r="JI54" s="405" t="s">
        <v>856</v>
      </c>
      <c r="JJ54" s="409" t="s">
        <v>2870</v>
      </c>
      <c r="JK54" s="420" t="str">
        <f t="shared" si="28"/>
        <v>FLINTSL - WHITE</v>
      </c>
      <c r="JL54" s="409">
        <v>30</v>
      </c>
      <c r="JM54" s="411">
        <f>IF(JL54=0,0,IF($LB54=70%,VLOOKUP($JK54,'Jan-2026 rates'!$L:$R,4,0),IF($LB54=65%,VLOOKUP($JK54,'Jan-2026 rates'!$L:$R,4,0),IF($LB54=40%,VLOOKUP($JK54,'Jan-2026 rates'!$L:$R,5,0),IF($LB54=30%,VLOOKUP($JK54,'Jan-2026 rates'!$L:$R,6,0),IF($LB54=100%,VLOOKUP($JK54,'Jan-2026 rates'!$L:$R,7,0),IF($LB54=60%,VLOOKUP($JK54,'Jan-2026 rates'!$L:$S,8,0),IF($LB54=80%,VLOOKUP($JK54,'Jan-2026 rates'!L:T,9,0),0))))))))</f>
        <v>0</v>
      </c>
      <c r="JN54" s="412"/>
      <c r="JO54" s="409"/>
      <c r="JP54" s="411">
        <f>IF(JO54=0,0,IF($LB54=70%,VLOOKUP($JK54,'Jan-2026 rates'!$L:$R,4,0),IF($LB54=65%,VLOOKUP($JK54,'Jan-2026 rates'!$L:$R,4,0),IF($LB54=40%,VLOOKUP($JK54,'Jan-2026 rates'!$L:$R,5,0),IF($LB54=30%,VLOOKUP($JK54,'Jan-2026 rates'!$L:$R,6,0),IF($LB54=100%,VLOOKUP($JK54,'Jan-2026 rates'!$L:$R,7,0),IF($LB54=60%,VLOOKUP($JK54,'Jan-2026 rates'!$L:$S,8,0),IF($LB54=80%,VLOOKUP($JK54,'Jan-2026 rates'!L:T,9,0),0))))))))</f>
        <v>0</v>
      </c>
      <c r="JQ54" s="413" t="s">
        <v>484</v>
      </c>
      <c r="JR54" s="412"/>
      <c r="JS54" s="413"/>
      <c r="JT54" s="413"/>
      <c r="JU54" s="412"/>
      <c r="JV54" s="412"/>
      <c r="JW54" s="412"/>
      <c r="JX54" s="412"/>
      <c r="JY54" s="409">
        <f>100+100</f>
        <v>200</v>
      </c>
      <c r="JZ54" s="398">
        <f>IF(JY54=0,0,IF(LEN(JQ54)=11,_xlfn.XLOOKUP(JQ54,'Dispensed Ink Rates'!C:C,'Dispensed Ink Rates'!CS:CS),VLOOKUP(JQ54,'Jan-2026 rates'!$E:$F,2,0)))</f>
        <v>0</v>
      </c>
      <c r="KA54" s="409"/>
      <c r="KB54" s="398">
        <f>IF(KA54=0,0,IF(LEN(JR54)=11,_xlfn.XLOOKUP(JR54,'Dispensed Ink Rates'!C:C,'Dispensed Ink Rates'!CS:CS),VLOOKUP(JR54,'Jan-2026 rates'!$E:$F,2,0)))</f>
        <v>0</v>
      </c>
      <c r="KC54" s="409"/>
      <c r="KD54" s="398">
        <f>IF(KC54=0,0,IF(LEN(JS54)=11,_xlfn.XLOOKUP(JS54,'Dispensed Ink Rates'!C:C,'Dispensed Ink Rates'!CS:CS),VLOOKUP(JS54,'Jan-2026 rates'!$E:$F,2,0)))</f>
        <v>0</v>
      </c>
      <c r="KE54" s="409"/>
      <c r="KF54" s="398">
        <f>IF(KE54=0,0,IF(LEN(JT54)=11,_xlfn.XLOOKUP(JT54,'Dispensed Ink Rates'!C:C,'Dispensed Ink Rates'!CS:CS),VLOOKUP(JT54,'Jan-2026 rates'!$E:$F,2,0)))</f>
        <v>0</v>
      </c>
      <c r="KG54" s="409"/>
      <c r="KH54" s="398">
        <f>IF(KG54=0,0,IF(LEN(JU54)=11,_xlfn.XLOOKUP(JU54,'Dispensed Ink Rates'!C:C,'Dispensed Ink Rates'!CS:CS),VLOOKUP(JU54,'Jan-2026 rates'!$E:$F,2,0)))</f>
        <v>0</v>
      </c>
      <c r="KI54" s="409"/>
      <c r="KJ54" s="398">
        <f>IF(KI54=0,0,IF(LEN(JV54)=11,_xlfn.XLOOKUP(JV54,'Dispensed Ink Rates'!C:C,'Dispensed Ink Rates'!CS:CS),VLOOKUP(JV54,'Jan-2026 rates'!$E:$F,2,0)))</f>
        <v>0</v>
      </c>
      <c r="KK54" s="409"/>
      <c r="KL54" s="398">
        <f>IF(KK54=0,0,IF(LEN(JW54)=11,_xlfn.XLOOKUP(JW54,'Dispensed Ink Rates'!C:C,'Dispensed Ink Rates'!CS:CS),VLOOKUP(JW54,'Jan-2026 rates'!$E:$F,2,0)))</f>
        <v>0</v>
      </c>
      <c r="KM54" s="428"/>
      <c r="KN54" s="398">
        <f>IF(KM54=0,0,IF(LEN(JX54)=11,_xlfn.XLOOKUP(JX54,'Dispensed Ink Rates'!C:C,'Dispensed Ink Rates'!CS:CS),VLOOKUP(JX54,'Jan-2026 rates'!$E:$F,2,0)))</f>
        <v>0</v>
      </c>
      <c r="KO54" s="409" t="s">
        <v>1443</v>
      </c>
      <c r="KP54" s="409">
        <v>30</v>
      </c>
      <c r="KQ54" s="411">
        <f t="shared" si="29"/>
        <v>0</v>
      </c>
      <c r="KR54" s="411">
        <f t="shared" si="30"/>
        <v>462.22222222222223</v>
      </c>
      <c r="KS54" s="410">
        <f t="shared" si="31"/>
        <v>0</v>
      </c>
      <c r="KT54" s="409">
        <v>10</v>
      </c>
      <c r="KU54" s="409">
        <v>8</v>
      </c>
      <c r="KV54" s="409">
        <v>5</v>
      </c>
      <c r="KW54" s="409">
        <v>5</v>
      </c>
      <c r="KX54" s="409">
        <v>2</v>
      </c>
      <c r="KY54" s="409">
        <v>2</v>
      </c>
      <c r="KZ54" s="409">
        <v>10</v>
      </c>
      <c r="LA54" s="409">
        <f>60+60</f>
        <v>120</v>
      </c>
      <c r="LB54" s="415">
        <v>0.8</v>
      </c>
      <c r="LC54" s="415">
        <v>0.2</v>
      </c>
      <c r="LD54" s="415"/>
      <c r="LE54" s="415"/>
      <c r="LF54" s="415"/>
      <c r="LG54" s="409">
        <v>0</v>
      </c>
      <c r="LH54" s="409">
        <f>120+100+96+24+5+5+4</f>
        <v>354</v>
      </c>
      <c r="LI54" s="409">
        <v>0</v>
      </c>
      <c r="LJ54" s="409">
        <v>0</v>
      </c>
      <c r="LK54" s="416">
        <f t="shared" si="32"/>
        <v>354</v>
      </c>
      <c r="LL54" s="416">
        <f t="shared" si="33"/>
        <v>354</v>
      </c>
      <c r="LM54" s="417">
        <f t="shared" si="34"/>
        <v>283.2</v>
      </c>
      <c r="LN54" s="417">
        <f>VLOOKUP($LM$8,'Jan-2026 rates'!$H:$I,2,0)</f>
        <v>0</v>
      </c>
      <c r="LO54" s="417">
        <f t="shared" si="35"/>
        <v>70.8</v>
      </c>
      <c r="LP54" s="417">
        <f>VLOOKUP($LO$8,'Jan-2026 rates'!$H:$I,2,0)</f>
        <v>0</v>
      </c>
      <c r="LQ54" s="417">
        <f t="shared" si="36"/>
        <v>0</v>
      </c>
      <c r="LR54" s="417">
        <f>VLOOKUP($LQ$8,'Jan-2026 rates'!$H:$I,2,0)</f>
        <v>0</v>
      </c>
      <c r="LS54" s="417">
        <f t="shared" si="37"/>
        <v>0</v>
      </c>
      <c r="LT54" s="417">
        <f>VLOOKUP($LS$8,'Jan-2026 rates'!$H:$I,2,0)</f>
        <v>0</v>
      </c>
      <c r="LU54" s="417">
        <f t="shared" si="38"/>
        <v>0</v>
      </c>
      <c r="LV54" s="417">
        <f>VLOOKUP($LU$8,'Jan-2026 rates'!$H:$I,2,0)</f>
        <v>0</v>
      </c>
      <c r="LW54" s="417">
        <f t="shared" si="39"/>
        <v>0</v>
      </c>
      <c r="LX54" s="417">
        <f t="shared" si="40"/>
        <v>0</v>
      </c>
      <c r="LY54" s="418">
        <f t="shared" si="41"/>
        <v>0</v>
      </c>
      <c r="LZ54" s="417"/>
      <c r="MA54" s="435">
        <f t="shared" si="42"/>
        <v>346</v>
      </c>
      <c r="MB54" s="282">
        <f t="shared" si="43"/>
        <v>671</v>
      </c>
      <c r="MC54" s="283">
        <v>9</v>
      </c>
      <c r="MD54" s="284" t="str">
        <f t="shared" si="44"/>
        <v>FLINTSLFLINTSLFLINTSLFLINTSLFLINTSLFLINTSLFLINTSLFLINTSL</v>
      </c>
      <c r="ME54" s="293" t="str">
        <f t="shared" si="45"/>
        <v>+</v>
      </c>
      <c r="MF54" s="293" t="str">
        <f t="shared" si="46"/>
        <v>+</v>
      </c>
      <c r="MG54" s="293" t="str">
        <f t="shared" si="47"/>
        <v>+</v>
      </c>
      <c r="MH54" s="293" t="str">
        <f t="shared" si="48"/>
        <v>+</v>
      </c>
      <c r="MI54" s="293" t="str">
        <f t="shared" si="49"/>
        <v>+</v>
      </c>
      <c r="MJ54" s="293" t="str">
        <f t="shared" si="50"/>
        <v>+</v>
      </c>
      <c r="MK54" s="293" t="str">
        <f t="shared" si="51"/>
        <v>+</v>
      </c>
      <c r="ML54" s="293" t="str">
        <f t="shared" si="52"/>
        <v>+</v>
      </c>
      <c r="MM54" s="3" t="b">
        <f t="array" ref="MM54">OR(ME54:ML54="-")</f>
        <v>0</v>
      </c>
      <c r="MN54" s="285"/>
      <c r="MO54" s="401"/>
      <c r="MP54" s="286"/>
      <c r="MQ54" s="286"/>
      <c r="MR54" s="402"/>
      <c r="MS54" s="400"/>
      <c r="NH54" s="422"/>
      <c r="NJ54" s="421"/>
    </row>
    <row r="55" spans="1:374" s="1" customFormat="1" ht="16.5">
      <c r="A55" s="403">
        <v>46025</v>
      </c>
      <c r="B55" s="404" t="s">
        <v>1018</v>
      </c>
      <c r="C55" s="405" t="s">
        <v>2871</v>
      </c>
      <c r="D55" s="406">
        <v>10</v>
      </c>
      <c r="E55" s="404">
        <v>1558</v>
      </c>
      <c r="F55" s="407">
        <v>99500</v>
      </c>
      <c r="G55" s="407" t="s">
        <v>1019</v>
      </c>
      <c r="H55" s="408" t="s">
        <v>1017</v>
      </c>
      <c r="I55" s="409">
        <v>2</v>
      </c>
      <c r="J55" s="405" t="s">
        <v>543</v>
      </c>
      <c r="K55" s="404" t="s">
        <v>2864</v>
      </c>
      <c r="L55" s="419" t="str">
        <f t="shared" si="0"/>
        <v>FLINTSL - BLACK</v>
      </c>
      <c r="M55" s="404">
        <v>24</v>
      </c>
      <c r="N55" s="410">
        <f>IF(M55=0,0,IF($LB55=70%,VLOOKUP($L55,'Jan-2026 rates'!$L:$R,4,0),IF($LB55=65%,VLOOKUP($L55,'Jan-2026 rates'!$L:$R,4,0),IF($LB55=40%,VLOOKUP($L55,'Jan-2026 rates'!$L:$R,5,0),IF($LB55=30%,VLOOKUP($L55,'Jan-2026 rates'!$L:$R,6,0),IF($LB55=100%,VLOOKUP($L55,'Jan-2026 rates'!$L:$R,7,0),IF($LB55=60%,VLOOKUP($L55,'Jan-2026 rates'!$L:$S,8,0),IF($LB55=80%,VLOOKUP($L55,'Jan-2026 rates'!L:T,9,0),0))))))))</f>
        <v>0</v>
      </c>
      <c r="O55" s="406"/>
      <c r="P55" s="404"/>
      <c r="Q55" s="410">
        <f>IF(P55=0,0,IF($LB55=70%,VLOOKUP($L55,'Jan-2026 rates'!$L:$R,4,0),IF($LB55=65%,VLOOKUP($L55,'Jan-2026 rates'!$L:$R,4,0),IF($LB55=40%,VLOOKUP($L55,'Jan-2026 rates'!$L:$R,5,0),IF($LB55=30%,VLOOKUP($L55,'Jan-2026 rates'!$L:$R,6,0),IF($LB55=100%,VLOOKUP($L55,'Jan-2026 rates'!$L:$R,7,0),IF($LB55=60%,VLOOKUP($L55,'Jan-2026 rates'!$L:$S,8,0),IF($LB55=80%,VLOOKUP($L55,'Jan-2026 rates'!L:T,9,0),0))))))))</f>
        <v>0</v>
      </c>
      <c r="R55" s="406" t="s">
        <v>1266</v>
      </c>
      <c r="S55" s="406"/>
      <c r="T55" s="406"/>
      <c r="U55" s="406"/>
      <c r="V55" s="406"/>
      <c r="W55" s="406"/>
      <c r="X55" s="406"/>
      <c r="Y55" s="406"/>
      <c r="Z55" s="404">
        <v>5</v>
      </c>
      <c r="AA55" s="398">
        <f>IF(Z55=0,0,IF(LEN(R55)=11,_xlfn.XLOOKUP(R55,'Dispensed Ink Rates'!C:C,'Dispensed Ink Rates'!CS:CS),VLOOKUP(R55,'Jan-2026 rates'!$E:$F,2,0)))</f>
        <v>0</v>
      </c>
      <c r="AB55" s="404"/>
      <c r="AC55" s="398">
        <f>IF(AB55=0,0,IF(LEN(S55)=11,_xlfn.XLOOKUP(S55,'Dispensed Ink Rates'!C:C,'Dispensed Ink Rates'!CS:CS),VLOOKUP(S55,'Jan-2026 rates'!$E:$F,2,0)))</f>
        <v>0</v>
      </c>
      <c r="AD55" s="404"/>
      <c r="AE55" s="398">
        <f>IF(AD55=0,0,IF(LEN(T55)=11,_xlfn.XLOOKUP(T55,'Dispensed Ink Rates'!C:C,'Dispensed Ink Rates'!CS:CS),VLOOKUP(T55,'Jan-2026 rates'!$E:$F,2,0)))</f>
        <v>0</v>
      </c>
      <c r="AF55" s="404"/>
      <c r="AG55" s="398">
        <f>IF(AF55=0,0,IF(LEN(U55)=11,_xlfn.XLOOKUP(U55,'Dispensed Ink Rates'!C:C,'Dispensed Ink Rates'!CS:CS),VLOOKUP(U55,'Jan-2026 rates'!$E:$F,2,0)))</f>
        <v>0</v>
      </c>
      <c r="AH55" s="404"/>
      <c r="AI55" s="398">
        <f>IF(AH55=0,0,IF(LEN(V55)=11,_xlfn.XLOOKUP(V55,'Dispensed Ink Rates'!C:C,'Dispensed Ink Rates'!CS:CS),VLOOKUP(V55,'Jan-2026 rates'!$E:$F,2,0)))</f>
        <v>0</v>
      </c>
      <c r="AJ55" s="404"/>
      <c r="AK55" s="398">
        <f>IF(AJ55=0,0,IF(LEN(W55)=11,_xlfn.XLOOKUP(W55,'Dispensed Ink Rates'!C:C,'Dispensed Ink Rates'!CS:CS),VLOOKUP(W55,'Jan-2026 rates'!$E:$F,2,0)))</f>
        <v>0</v>
      </c>
      <c r="AL55" s="404"/>
      <c r="AM55" s="398">
        <f>IF(AL55=0,0,IF(LEN(X55)=11,_xlfn.XLOOKUP(X55,'Dispensed Ink Rates'!C:C,'Dispensed Ink Rates'!CS:CS),VLOOKUP(X55,'Jan-2026 rates'!$E:$F,2,0)))</f>
        <v>0</v>
      </c>
      <c r="AN55" s="404"/>
      <c r="AO55" s="398">
        <f>IF(AN55=0,0,IF(LEN(Y55)=11,_xlfn.XLOOKUP(Y55,'Dispensed Ink Rates'!C:C,'Dispensed Ink Rates'!CS:CS),VLOOKUP(Y55,'Jan-2026 rates'!$E:$F,2,0)))</f>
        <v>0</v>
      </c>
      <c r="AP55" s="409" t="s">
        <v>1443</v>
      </c>
      <c r="AQ55" s="409">
        <v>30</v>
      </c>
      <c r="AR55" s="410">
        <f t="shared" si="1"/>
        <v>0</v>
      </c>
      <c r="AS55" s="411">
        <f t="shared" si="2"/>
        <v>14.055248618784532</v>
      </c>
      <c r="AT55" s="410">
        <f t="shared" si="3"/>
        <v>0</v>
      </c>
      <c r="AU55" s="405" t="s">
        <v>546</v>
      </c>
      <c r="AV55" s="409" t="s">
        <v>2872</v>
      </c>
      <c r="AW55" s="420" t="str">
        <f t="shared" si="53"/>
        <v>FLINTSL - REFLEX BLUE</v>
      </c>
      <c r="AX55" s="409">
        <v>25</v>
      </c>
      <c r="AY55" s="411">
        <f>IF(AX55=0,0,IF($LB55=70%,VLOOKUP($AW55,'Jan-2026 rates'!$L:$R,4,0),IF($LB55=65%,VLOOKUP($AW55,'Jan-2026 rates'!$L:$R,4,0),IF($LB55=40%,VLOOKUP($AW55,'Jan-2026 rates'!$L:$R,5,0),IF($LB55=30%,VLOOKUP($AW55,'Jan-2026 rates'!$L:$R,6,0),IF($LB55=100%,VLOOKUP($AW55,'Jan-2026 rates'!$L:$R,7,0),IF($LB55=60%,VLOOKUP($AW55,'Jan-2026 rates'!$L:$S,8,0),IF($LB55=80%,VLOOKUP($AW55,'Jan-2026 rates'!L:T,9,0),0))))))))</f>
        <v>0</v>
      </c>
      <c r="AZ55" s="412"/>
      <c r="BA55" s="409"/>
      <c r="BB55" s="411">
        <f>IF(BA55=0,0,IF($LB55=70%,VLOOKUP($AW55,'Jan-2026 rates'!$L:$R,4,0),IF($LB55=65%,VLOOKUP($AW55,'Jan-2026 rates'!$L:$R,4,0),IF($LB55=40%,VLOOKUP($AW55,'Jan-2026 rates'!$L:$R,5,0),IF($LB55=30%,VLOOKUP($AW55,'Jan-2026 rates'!$L:$R,6,0),IF($LB55=100%,VLOOKUP($AW55,'Jan-2026 rates'!$L:$R,7,0),IF($LB55=60%,VLOOKUP($AW55,'Jan-2026 rates'!$L:$S,8,0),IF($LB55=80%,VLOOKUP($AW55,'Jan-2026 rates'!L:T,9,0),0))))))))</f>
        <v>0</v>
      </c>
      <c r="BC55" s="413">
        <v>25864000009</v>
      </c>
      <c r="BD55" s="412" t="s">
        <v>1266</v>
      </c>
      <c r="BE55" s="412"/>
      <c r="BF55" s="413"/>
      <c r="BG55" s="412"/>
      <c r="BH55" s="412"/>
      <c r="BI55" s="412"/>
      <c r="BJ55" s="412"/>
      <c r="BK55" s="409">
        <v>4</v>
      </c>
      <c r="BL55" s="398" t="e">
        <f>IF(BK55=0,0,IF(LEN(BC55)=11,_xlfn.XLOOKUP(BC55,'Dispensed Ink Rates'!C:C,'Dispensed Ink Rates'!CS:CS),VLOOKUP(BC55,'Jan-2026 rates'!$E:$F,2,0)))</f>
        <v>#N/A</v>
      </c>
      <c r="BM55" s="409">
        <v>4</v>
      </c>
      <c r="BN55" s="398">
        <f>IF(BM55=0,0,IF(LEN(BD55)=11,_xlfn.XLOOKUP(BD55,'Dispensed Ink Rates'!C:C,'Dispensed Ink Rates'!CS:CS),VLOOKUP(BD55,'Jan-2026 rates'!$E:$F,2,0)))</f>
        <v>0</v>
      </c>
      <c r="BO55" s="409"/>
      <c r="BP55" s="398">
        <f>IF(BO55=0,0,IF(LEN(BE55)=11,_xlfn.XLOOKUP(BE55,'Dispensed Ink Rates'!C:C,'Dispensed Ink Rates'!CS:CS),VLOOKUP(BE55,'Jan-2026 rates'!$E:$F,2,0)))</f>
        <v>0</v>
      </c>
      <c r="BQ55" s="409"/>
      <c r="BR55" s="398">
        <f>IF(BQ55=0,0,IF(LEN(BF55)=11,_xlfn.XLOOKUP(BF55,'Dispensed Ink Rates'!C:C,'Dispensed Ink Rates'!CS:CS),VLOOKUP(BF55,'Jan-2026 rates'!$E:$F,2,0)))</f>
        <v>0</v>
      </c>
      <c r="BS55" s="409"/>
      <c r="BT55" s="398">
        <f>IF(BS55=0,0,IF(LEN(BG55)=11,_xlfn.XLOOKUP(BG55,'Dispensed Ink Rates'!C:C,'Dispensed Ink Rates'!CS:CS),VLOOKUP(BG55,'Jan-2026 rates'!$E:$F,2,0)))</f>
        <v>0</v>
      </c>
      <c r="BU55" s="409"/>
      <c r="BV55" s="398">
        <f>IF(BU55=0,0,IF(LEN(BH55)=11,_xlfn.XLOOKUP(BH55,'Dispensed Ink Rates'!C:C,'Dispensed Ink Rates'!CS:CS),VLOOKUP(BH55,'Jan-2026 rates'!$E:$F,2,0)))</f>
        <v>0</v>
      </c>
      <c r="BW55" s="409"/>
      <c r="BX55" s="398">
        <f>IF(BW55=0,0,IF(LEN(BI55)=11,_xlfn.XLOOKUP(BI55,'Dispensed Ink Rates'!C:C,'Dispensed Ink Rates'!CS:CS),VLOOKUP(BI55,'Jan-2026 rates'!$E:$F,2,0)))</f>
        <v>0</v>
      </c>
      <c r="BY55" s="409"/>
      <c r="BZ55" s="398">
        <f>IF(BY55=0,0,IF(LEN(BJ55)=11,_xlfn.XLOOKUP(BJ55,'Dispensed Ink Rates'!C:C,'Dispensed Ink Rates'!CS:CS),VLOOKUP(BJ55,'Jan-2026 rates'!$E:$F,2,0)))</f>
        <v>0</v>
      </c>
      <c r="CA55" s="409" t="s">
        <v>1443</v>
      </c>
      <c r="CB55" s="409">
        <v>29</v>
      </c>
      <c r="CC55" s="411">
        <f t="shared" si="5"/>
        <v>0</v>
      </c>
      <c r="CD55" s="411">
        <f t="shared" si="6"/>
        <v>13.033149171270722</v>
      </c>
      <c r="CE55" s="410">
        <f t="shared" si="7"/>
        <v>0</v>
      </c>
      <c r="CF55" s="404" t="s">
        <v>857</v>
      </c>
      <c r="CG55" s="409"/>
      <c r="CH55" s="420" t="str">
        <f t="shared" si="8"/>
        <v>FLINTSL - RED</v>
      </c>
      <c r="CI55" s="409"/>
      <c r="CJ55" s="411">
        <f>IF(CI55=0,0,IF($LB55=70%,VLOOKUP($CH55,'Jan-2026 rates'!$L:$R,4,0),IF($LB55=65%,VLOOKUP($CH55,'Jan-2026 rates'!$L:$R,4,0),IF($LB55=40%,VLOOKUP($CH55,'Jan-2026 rates'!$L:$R,5,0),IF($LB55=30%,VLOOKUP($CH55,'Jan-2026 rates'!$L:$R,6,0),IF($LB55=100%,VLOOKUP($CH55,'Jan-2026 rates'!$L:$R,7,0),IF($LB55=60%,VLOOKUP($CH55,'Jan-2026 rates'!$L:$S,8,0),IF($LB55=80%,VLOOKUP($CH55,'Jan-2026 rates'!L:T,9,0),0))))))))</f>
        <v>0</v>
      </c>
      <c r="CK55" s="412"/>
      <c r="CL55" s="409"/>
      <c r="CM55" s="411">
        <f>IF(CL55=0,0,IF($LB55=70%,VLOOKUP($CH55,'Jan-2026 rates'!$L:$R,4,0),IF($LB55=65%,VLOOKUP($CH55,'Jan-2026 rates'!$L:$R,4,0),IF($LB55=40%,VLOOKUP($CH55,'Jan-2026 rates'!$L:$R,5,0),IF($LB55=30%,VLOOKUP($CH55,'Jan-2026 rates'!$L:$R,6,0),IF($LB55=100%,VLOOKUP($CH55,'Jan-2026 rates'!$L:$R,7,0),IF($LB55=60%,VLOOKUP($CH55,'Jan-2026 rates'!$L:$S,8,0),IF($LB55=80%,VLOOKUP($CH55,'Jan-2026 rates'!L:T,9,0),0))))))))</f>
        <v>0</v>
      </c>
      <c r="CN55" s="426">
        <v>26504000002</v>
      </c>
      <c r="CO55" s="427">
        <v>26503000012</v>
      </c>
      <c r="CP55" s="426">
        <v>25862000010</v>
      </c>
      <c r="CQ55" s="426">
        <v>25863000024</v>
      </c>
      <c r="CR55" s="428">
        <v>25863000009</v>
      </c>
      <c r="CS55" s="428"/>
      <c r="CT55" s="428"/>
      <c r="CU55" s="428"/>
      <c r="CV55" s="409">
        <v>15</v>
      </c>
      <c r="CW55" s="398" t="e">
        <f>IF(CV55=0,0,IF(LEN(CN55)=11,_xlfn.XLOOKUP(CN55,'Dispensed Ink Rates'!C:C,'Dispensed Ink Rates'!CS:CS),VLOOKUP(CN55,'Jan-2026 rates'!$E:$F,2,0)))</f>
        <v>#N/A</v>
      </c>
      <c r="CX55" s="409">
        <v>30</v>
      </c>
      <c r="CY55" s="398" t="e">
        <f>IF(CX55=0,0,IF(LEN(CO55)=11,_xlfn.XLOOKUP(CO55,'Dispensed Ink Rates'!C:C,'Dispensed Ink Rates'!CS:CS),VLOOKUP(CO55,'Jan-2026 rates'!$E:$F,2,0)))</f>
        <v>#N/A</v>
      </c>
      <c r="CZ55" s="409">
        <f>10+5</f>
        <v>15</v>
      </c>
      <c r="DA55" s="398" t="e">
        <f>IF(CZ55=0,0,IF(LEN(CP55)=11,_xlfn.XLOOKUP(CP55,'Dispensed Ink Rates'!C:C,'Dispensed Ink Rates'!CS:CS),VLOOKUP(CP55,'Jan-2026 rates'!$E:$F,2,0)))</f>
        <v>#N/A</v>
      </c>
      <c r="DB55" s="409">
        <f>10+4</f>
        <v>14</v>
      </c>
      <c r="DC55" s="398" t="e">
        <f>IF(DB55=0,0,IF(LEN(CQ55)=11,_xlfn.XLOOKUP(CQ55,'Dispensed Ink Rates'!C:C,'Dispensed Ink Rates'!CS:CS),VLOOKUP(CQ55,'Jan-2026 rates'!$E:$F,2,0)))</f>
        <v>#N/A</v>
      </c>
      <c r="DD55" s="409">
        <f>17+16</f>
        <v>33</v>
      </c>
      <c r="DE55" s="398" t="e">
        <f>IF(DD55=0,0,IF(LEN(CR55)=11,_xlfn.XLOOKUP(CR55,'Dispensed Ink Rates'!C:C,'Dispensed Ink Rates'!CS:CS),VLOOKUP(CR55,'Jan-2026 rates'!$E:$F,2,0)))</f>
        <v>#N/A</v>
      </c>
      <c r="DF55" s="409"/>
      <c r="DG55" s="398">
        <f>IF(DF55=0,0,IF(LEN(CS55)=11,_xlfn.XLOOKUP(CS55,'Dispensed Ink Rates'!C:C,'Dispensed Ink Rates'!CS:CS),VLOOKUP(CS55,'Jan-2026 rates'!$E:$F,2,0)))</f>
        <v>0</v>
      </c>
      <c r="DH55" s="409"/>
      <c r="DI55" s="398">
        <f>IF(DH55=0,0,IF(LEN(CT55)=11,_xlfn.XLOOKUP(CT55,'Dispensed Ink Rates'!C:C,'Dispensed Ink Rates'!CS:CS),VLOOKUP(CT55,'Jan-2026 rates'!$E:$F,2,0)))</f>
        <v>0</v>
      </c>
      <c r="DJ55" s="409"/>
      <c r="DK55" s="398">
        <f>IF(DJ55=0,0,IF(LEN(CU55)=11,_xlfn.XLOOKUP(CU55,'Dispensed Ink Rates'!C:C,'Dispensed Ink Rates'!CS:CS),VLOOKUP(CU55,'Jan-2026 rates'!$E:$F,2,0)))</f>
        <v>0</v>
      </c>
      <c r="DL55" s="409" t="s">
        <v>1443</v>
      </c>
      <c r="DM55" s="409">
        <v>32</v>
      </c>
      <c r="DN55" s="411">
        <f t="shared" si="9"/>
        <v>0</v>
      </c>
      <c r="DO55" s="411">
        <f t="shared" si="10"/>
        <v>165.33149171270719</v>
      </c>
      <c r="DP55" s="410">
        <f t="shared" si="11"/>
        <v>0</v>
      </c>
      <c r="DQ55" s="405" t="s">
        <v>855</v>
      </c>
      <c r="DR55" s="409" t="s">
        <v>2873</v>
      </c>
      <c r="DS55" s="420" t="str">
        <f t="shared" si="12"/>
        <v>FLINTSL - CYAN</v>
      </c>
      <c r="DT55" s="409">
        <v>24</v>
      </c>
      <c r="DU55" s="411">
        <f>IF(DT55=0,0,IF($LB55=70%,VLOOKUP($DS55,'Jan-2026 rates'!$L:$R,4,0),IF($LB55=65%,VLOOKUP($DS55,'Jan-2026 rates'!$L:$R,4,0),IF($LB55=40%,VLOOKUP($DS55,'Jan-2026 rates'!$L:$R,5,0),IF($LB55=30%,VLOOKUP($DS55,'Jan-2026 rates'!$L:$R,6,0),IF($LB55=100%,VLOOKUP($DS55,'Jan-2026 rates'!$L:$R,7,0),IF($LB55=60%,VLOOKUP($DS55,'Jan-2026 rates'!$L:$S,8,0),IF($LB55=80%,VLOOKUP($DS55,'Jan-2026 rates'!L:T,9,0),0))))))))</f>
        <v>0</v>
      </c>
      <c r="DV55" s="412"/>
      <c r="DW55" s="409"/>
      <c r="DX55" s="411">
        <f>IF(DW55=0,0,IF($LB55=70%,VLOOKUP($DS55,'Jan-2026 rates'!$L:$R,4,0),IF($LB55=65%,VLOOKUP($DS55,'Jan-2026 rates'!$L:$R,4,0),IF($LB55=40%,VLOOKUP($DS55,'Jan-2026 rates'!$L:$R,5,0),IF($LB55=30%,VLOOKUP($DS55,'Jan-2026 rates'!$L:$R,6,0),IF($LB55=100%,VLOOKUP($DS55,'Jan-2026 rates'!$L:$R,7,0),IF($LB55=60%,VLOOKUP($DS55,'Jan-2026 rates'!$L:$S,8,0),IF($LB55=80%,VLOOKUP($DS55,'Jan-2026 rates'!L:T,9,0),0))))))))</f>
        <v>0</v>
      </c>
      <c r="DY55" s="413">
        <v>25864000009</v>
      </c>
      <c r="DZ55" s="413"/>
      <c r="EA55" s="412"/>
      <c r="EB55" s="412"/>
      <c r="EC55" s="412"/>
      <c r="ED55" s="412"/>
      <c r="EE55" s="412"/>
      <c r="EF55" s="412"/>
      <c r="EG55" s="409">
        <v>5</v>
      </c>
      <c r="EH55" s="398" t="e">
        <f>IF(EG55=0,0,IF(LEN(DY55)=11,_xlfn.XLOOKUP(DY55,'Dispensed Ink Rates'!C:C,'Dispensed Ink Rates'!CS:CS),VLOOKUP(DY55,'Jan-2026 rates'!$E:$F,2,0)))</f>
        <v>#N/A</v>
      </c>
      <c r="EI55" s="409"/>
      <c r="EJ55" s="398">
        <f>IF(EI55=0,0,IF(LEN(DZ55)=11,_xlfn.XLOOKUP(DZ55,'Dispensed Ink Rates'!C:C,'Dispensed Ink Rates'!CS:CS),VLOOKUP(DZ55,'Jan-2026 rates'!$E:$F,2,0)))</f>
        <v>0</v>
      </c>
      <c r="EK55" s="409"/>
      <c r="EL55" s="398">
        <f>IF(EK55=0,0,IF(LEN(EA55)=11,_xlfn.XLOOKUP(EA55,'Dispensed Ink Rates'!C:C,'Dispensed Ink Rates'!CS:CS),VLOOKUP(EA55,'Jan-2026 rates'!$E:$F,2,0)))</f>
        <v>0</v>
      </c>
      <c r="EM55" s="409"/>
      <c r="EN55" s="398">
        <f>IF(EM55=0,0,IF(LEN(EB55)=11,_xlfn.XLOOKUP(EB55,'Dispensed Ink Rates'!C:C,'Dispensed Ink Rates'!CS:CS),VLOOKUP(EB55,'Jan-2026 rates'!$E:$F,2,0)))</f>
        <v>0</v>
      </c>
      <c r="EO55" s="409"/>
      <c r="EP55" s="398">
        <f>IF(EO55=0,0,IF(LEN(EC55)=11,_xlfn.XLOOKUP(EC55,'Dispensed Ink Rates'!C:C,'Dispensed Ink Rates'!CS:CS),VLOOKUP(EC55,'Jan-2026 rates'!$E:$F,2,0)))</f>
        <v>0</v>
      </c>
      <c r="EQ55" s="409"/>
      <c r="ER55" s="398">
        <f>IF(EQ55=0,0,IF(LEN(ED55)=11,_xlfn.XLOOKUP(ED55,'Dispensed Ink Rates'!C:C,'Dispensed Ink Rates'!CS:CS),VLOOKUP(ED55,'Jan-2026 rates'!$E:$F,2,0)))</f>
        <v>0</v>
      </c>
      <c r="ES55" s="409"/>
      <c r="ET55" s="398">
        <f>IF(ES55=0,0,IF(LEN(EE55)=11,_xlfn.XLOOKUP(EE55,'Dispensed Ink Rates'!C:C,'Dispensed Ink Rates'!CS:CS),VLOOKUP(EE55,'Jan-2026 rates'!$E:$F,2,0)))</f>
        <v>0</v>
      </c>
      <c r="EU55" s="409"/>
      <c r="EV55" s="398">
        <f>IF(EU55=0,0,IF(LEN(EF55)=11,_xlfn.XLOOKUP(EF55,'Dispensed Ink Rates'!C:C,'Dispensed Ink Rates'!CS:CS),VLOOKUP(EF55,'Jan-2026 rates'!$E:$F,2,0)))</f>
        <v>0</v>
      </c>
      <c r="EW55" s="409" t="s">
        <v>1443</v>
      </c>
      <c r="EX55" s="409">
        <v>30</v>
      </c>
      <c r="EY55" s="411">
        <f t="shared" si="13"/>
        <v>0</v>
      </c>
      <c r="EZ55" s="411">
        <f t="shared" si="14"/>
        <v>8.0331491712707219</v>
      </c>
      <c r="FA55" s="410">
        <f t="shared" si="15"/>
        <v>0</v>
      </c>
      <c r="FB55" s="405" t="s">
        <v>544</v>
      </c>
      <c r="FC55" s="409" t="s">
        <v>2874</v>
      </c>
      <c r="FD55" s="420" t="str">
        <f t="shared" si="16"/>
        <v>FLINTSL - MAGENTA</v>
      </c>
      <c r="FE55" s="409">
        <v>23</v>
      </c>
      <c r="FF55" s="411">
        <f>IF(FE55=0,0,IF($LB55=70%,VLOOKUP($FD55,'Jan-2026 rates'!$L:$R,4,0),IF($LB55=65%,VLOOKUP($FD55,'Jan-2026 rates'!$L:$R,4,0),IF($LB55=40%,VLOOKUP($FD55,'Jan-2026 rates'!$L:$R,5,0),IF($LB55=30%,VLOOKUP($FD55,'Jan-2026 rates'!$L:$R,6,0),IF($LB55=100%,VLOOKUP($FD55,'Jan-2026 rates'!$L:$R,7,0),IF($LB55=60%,VLOOKUP($FD55,'Jan-2026 rates'!$L:$S,8,0),IF($LB55=80%,VLOOKUP($FD55,'Jan-2026 rates'!L:T,9,0),0))))))))</f>
        <v>0</v>
      </c>
      <c r="FG55" s="412"/>
      <c r="FH55" s="409"/>
      <c r="FI55" s="411">
        <f>IF(FH55=0,0,IF($LB55=70%,VLOOKUP($FD55,'Jan-2026 rates'!$L:$R,4,0),IF($LB55=65%,VLOOKUP($FD55,'Jan-2026 rates'!$L:$R,4,0),IF($LB55=40%,VLOOKUP($FD55,'Jan-2026 rates'!$L:$R,5,0),IF($LB55=30%,VLOOKUP($FD55,'Jan-2026 rates'!$L:$R,6,0),IF($LB55=100%,VLOOKUP($FD55,'Jan-2026 rates'!$L:$R,7,0),IF($LB55=60%,VLOOKUP($FD55,'Jan-2026 rates'!$L:$S,8,0),IF($LB55=80%,VLOOKUP($FD55,'Jan-2026 rates'!L:T,9,0),0))))))))</f>
        <v>0</v>
      </c>
      <c r="FJ55" s="413">
        <v>26503000003</v>
      </c>
      <c r="FK55" s="413" t="s">
        <v>1266</v>
      </c>
      <c r="FL55" s="413"/>
      <c r="FM55" s="412"/>
      <c r="FN55" s="412"/>
      <c r="FO55" s="412"/>
      <c r="FP55" s="412"/>
      <c r="FQ55" s="412"/>
      <c r="FR55" s="409">
        <v>5</v>
      </c>
      <c r="FS55" s="398" t="e">
        <f>IF(FR55=0,0,IF(LEN(FJ55)=11,_xlfn.XLOOKUP(FJ55,'Dispensed Ink Rates'!C:C,'Dispensed Ink Rates'!CS:CS),VLOOKUP(FJ55,'Jan-2026 rates'!$E:$F,2,0)))</f>
        <v>#N/A</v>
      </c>
      <c r="FT55" s="409">
        <v>3</v>
      </c>
      <c r="FU55" s="398">
        <f>IF(FT55=0,0,IF(LEN(FK55)=11,_xlfn.XLOOKUP(FK55,'Dispensed Ink Rates'!C:C,'Dispensed Ink Rates'!CS:CS),VLOOKUP(FK55,'Jan-2026 rates'!$E:$F,2,0)))</f>
        <v>0</v>
      </c>
      <c r="FV55" s="409"/>
      <c r="FW55" s="398">
        <f>IF(FV55=0,0,IF(LEN(FL55)=11,_xlfn.XLOOKUP(FL55,'Dispensed Ink Rates'!C:C,'Dispensed Ink Rates'!CS:CS),VLOOKUP(FL55,'Jan-2026 rates'!$E:$F,2,0)))</f>
        <v>0</v>
      </c>
      <c r="FX55" s="409"/>
      <c r="FY55" s="398">
        <f>IF(FX55=0,0,IF(LEN(FM55)=11,_xlfn.XLOOKUP(FM55,'Dispensed Ink Rates'!C:C,'Dispensed Ink Rates'!CS:CS),VLOOKUP(FM55,'Jan-2026 rates'!$E:$F,2,0)))</f>
        <v>0</v>
      </c>
      <c r="FZ55" s="409"/>
      <c r="GA55" s="398">
        <f>IF(FZ55=0,0,IF(LEN(FN55)=11,_xlfn.XLOOKUP(FN55,'Dispensed Ink Rates'!C:C,'Dispensed Ink Rates'!CS:CS),VLOOKUP(FN55,'Jan-2026 rates'!$E:$F,2,0)))</f>
        <v>0</v>
      </c>
      <c r="GB55" s="409"/>
      <c r="GC55" s="398">
        <f>IF(GB55=0,0,IF(LEN(FO55)=11,_xlfn.XLOOKUP(FO55,'Dispensed Ink Rates'!C:C,'Dispensed Ink Rates'!CS:CS),VLOOKUP(FO55,'Jan-2026 rates'!$E:$F,2,0)))</f>
        <v>0</v>
      </c>
      <c r="GD55" s="409"/>
      <c r="GE55" s="398">
        <f>IF(GD55=0,0,IF(LEN(FP55)=11,_xlfn.XLOOKUP(FP55,'Dispensed Ink Rates'!C:C,'Dispensed Ink Rates'!CS:CS),VLOOKUP(FP55,'Jan-2026 rates'!$E:$F,2,0)))</f>
        <v>0</v>
      </c>
      <c r="GF55" s="409"/>
      <c r="GG55" s="398">
        <f>IF(GF55=0,0,IF(LEN(FQ55)=11,_xlfn.XLOOKUP(FQ55,'Dispensed Ink Rates'!C:C,'Dispensed Ink Rates'!CS:CS),VLOOKUP(FQ55,'Jan-2026 rates'!$E:$F,2,0)))</f>
        <v>0</v>
      </c>
      <c r="GH55" s="409" t="s">
        <v>1443</v>
      </c>
      <c r="GI55" s="409">
        <v>30</v>
      </c>
      <c r="GJ55" s="411">
        <f t="shared" si="17"/>
        <v>0</v>
      </c>
      <c r="GK55" s="411">
        <f t="shared" si="18"/>
        <v>1</v>
      </c>
      <c r="GL55" s="410">
        <f t="shared" si="19"/>
        <v>0</v>
      </c>
      <c r="GM55" s="405" t="s">
        <v>545</v>
      </c>
      <c r="GN55" s="409" t="s">
        <v>2875</v>
      </c>
      <c r="GO55" s="420" t="str">
        <f t="shared" si="20"/>
        <v>FLINTSL - YELLOW</v>
      </c>
      <c r="GP55" s="409">
        <v>27</v>
      </c>
      <c r="GQ55" s="411">
        <f>IF(GP55=0,0,IF($LB55=70%,VLOOKUP($GO55,'Jan-2026 rates'!$L:$R,4,0),IF($LB55=65%,VLOOKUP($GO55,'Jan-2026 rates'!$L:$R,4,0),IF($LB55=40%,VLOOKUP($GO55,'Jan-2026 rates'!$L:$R,5,0),IF($LB55=30%,VLOOKUP($GO55,'Jan-2026 rates'!$L:$R,6,0),IF($LB55=100%,VLOOKUP($GO55,'Jan-2026 rates'!$L:$R,7,0),IF($LB55=60%,VLOOKUP($GO55,'Jan-2026 rates'!$L:$S,8,0),IF($LB55=80%,VLOOKUP($GO55,'Jan-2026 rates'!L:T,9,0),0))))))))</f>
        <v>0</v>
      </c>
      <c r="GR55" s="412"/>
      <c r="GS55" s="409"/>
      <c r="GT55" s="411">
        <f>IF(GS55=0,0,IF($LB55=70%,VLOOKUP($GO55,'Jan-2026 rates'!$L:$R,4,0),IF($LB55=65%,VLOOKUP($GO55,'Jan-2026 rates'!$L:$R,4,0),IF($LB55=40%,VLOOKUP($GO55,'Jan-2026 rates'!$L:$R,5,0),IF($LB55=30%,VLOOKUP($GO55,'Jan-2026 rates'!$L:$R,6,0),IF($LB55=100%,VLOOKUP($GO55,'Jan-2026 rates'!$L:$R,7,0),IF($LB55=60%,VLOOKUP($GO55,'Jan-2026 rates'!$L:$S,8,0),IF($LB55=80%,VLOOKUP($GO55,'Jan-2026 rates'!L:T,9,0),0))))))))</f>
        <v>0</v>
      </c>
      <c r="GU55" s="413">
        <v>26503000021</v>
      </c>
      <c r="GV55" s="413" t="s">
        <v>1266</v>
      </c>
      <c r="GW55" s="412">
        <v>25864000008</v>
      </c>
      <c r="GX55" s="412"/>
      <c r="GY55" s="412"/>
      <c r="GZ55" s="412"/>
      <c r="HA55" s="412"/>
      <c r="HB55" s="412"/>
      <c r="HC55" s="409">
        <v>80</v>
      </c>
      <c r="HD55" s="398" t="e">
        <f>IF(HC55=0,0,IF(LEN(GU55)=11,_xlfn.XLOOKUP(GU55,'Dispensed Ink Rates'!C:C,'Dispensed Ink Rates'!CS:CS),VLOOKUP(GU55,'Jan-2026 rates'!$E:$F,2,0)))</f>
        <v>#N/A</v>
      </c>
      <c r="HE55" s="409">
        <v>10</v>
      </c>
      <c r="HF55" s="398">
        <f>IF(HE55=0,0,IF(LEN(GV55)=11,_xlfn.XLOOKUP(GV55,'Dispensed Ink Rates'!C:C,'Dispensed Ink Rates'!CS:CS),VLOOKUP(GV55,'Jan-2026 rates'!$E:$F,2,0)))</f>
        <v>0</v>
      </c>
      <c r="HG55" s="409">
        <v>20</v>
      </c>
      <c r="HH55" s="398" t="e">
        <f>IF(HG55=0,0,IF(LEN(GW55)=11,_xlfn.XLOOKUP(GW55,'Dispensed Ink Rates'!C:C,'Dispensed Ink Rates'!CS:CS),VLOOKUP(GW55,'Jan-2026 rates'!$E:$F,2,0)))</f>
        <v>#N/A</v>
      </c>
      <c r="HI55" s="409"/>
      <c r="HJ55" s="398">
        <f>IF(HI55=0,0,IF(LEN(GX55)=11,_xlfn.XLOOKUP(GX55,'Dispensed Ink Rates'!C:C,'Dispensed Ink Rates'!CS:CS),VLOOKUP(GX55,'Jan-2026 rates'!$E:$F,2,0)))</f>
        <v>0</v>
      </c>
      <c r="HK55" s="409"/>
      <c r="HL55" s="398">
        <f>IF(HK55=0,0,IF(LEN(GY55)=11,_xlfn.XLOOKUP(GY55,'Dispensed Ink Rates'!C:C,'Dispensed Ink Rates'!CS:CS),VLOOKUP(GY55,'Jan-2026 rates'!$E:$F,2,0)))</f>
        <v>0</v>
      </c>
      <c r="HM55" s="409"/>
      <c r="HN55" s="398">
        <f>IF(HM55=0,0,IF(LEN(GZ55)=11,_xlfn.XLOOKUP(GZ55,'Dispensed Ink Rates'!C:C,'Dispensed Ink Rates'!CS:CS),VLOOKUP(GZ55,'Jan-2026 rates'!$E:$F,2,0)))</f>
        <v>0</v>
      </c>
      <c r="HO55" s="409"/>
      <c r="HP55" s="398">
        <f>IF(HO55=0,0,IF(LEN(HA55)=11,_xlfn.XLOOKUP(HA55,'Dispensed Ink Rates'!C:C,'Dispensed Ink Rates'!CS:CS),VLOOKUP(HA55,'Jan-2026 rates'!$E:$F,2,0)))</f>
        <v>0</v>
      </c>
      <c r="HQ55" s="409"/>
      <c r="HR55" s="398">
        <f>IF(HQ55=0,0,IF(LEN(HB55)=11,_xlfn.XLOOKUP(HB55,'Dispensed Ink Rates'!C:C,'Dispensed Ink Rates'!CS:CS),VLOOKUP(HB55,'Jan-2026 rates'!$E:$F,2,0)))</f>
        <v>0</v>
      </c>
      <c r="HS55" s="409" t="s">
        <v>1443</v>
      </c>
      <c r="HT55" s="409">
        <v>31</v>
      </c>
      <c r="HU55" s="411">
        <f t="shared" si="21"/>
        <v>0</v>
      </c>
      <c r="HV55" s="411">
        <f t="shared" si="22"/>
        <v>151.1657458563536</v>
      </c>
      <c r="HW55" s="414">
        <f t="shared" si="23"/>
        <v>0</v>
      </c>
      <c r="HX55" s="405" t="s">
        <v>548</v>
      </c>
      <c r="HY55" s="409" t="s">
        <v>2876</v>
      </c>
      <c r="HZ55" s="420" t="str">
        <f t="shared" si="24"/>
        <v>FLINTSL - GOLD</v>
      </c>
      <c r="IA55" s="409">
        <v>26</v>
      </c>
      <c r="IB55" s="411">
        <f>IF(IA55=0,0,IF($LB55=70%,VLOOKUP($HZ55,'Jan-2026 rates'!$L:$R,4,0),IF($LB55=65%,VLOOKUP($HZ55,'Jan-2026 rates'!$L:$R,4,0),IF($LB55=40%,VLOOKUP($HZ55,'Jan-2026 rates'!$L:$R,5,0),IF($LB55=30%,VLOOKUP($HZ55,'Jan-2026 rates'!$L:$R,6,0),IF($LB55=100%,VLOOKUP($HZ55,'Jan-2026 rates'!$L:$R,7,0),IF($LB55=60%,VLOOKUP($HZ55,'Jan-2026 rates'!$L:$S,8,0),IF($LB55=80%,VLOOKUP($HZ55,'Jan-2026 rates'!L:T,9,0),0))))))))</f>
        <v>0</v>
      </c>
      <c r="IC55" s="412"/>
      <c r="ID55" s="409"/>
      <c r="IE55" s="411">
        <f>IF(ID55=0,0,IF($LB55=70%,VLOOKUP($HZ55,'Jan-2026 rates'!$L:$R,4,0),IF($LB55=65%,VLOOKUP($HZ55,'Jan-2026 rates'!$L:$R,4,0),IF($LB55=40%,VLOOKUP($HZ55,'Jan-2026 rates'!$L:$R,5,0),IF($LB55=30%,VLOOKUP($HZ55,'Jan-2026 rates'!$L:$R,6,0),IF($LB55=100%,VLOOKUP($HZ55,'Jan-2026 rates'!$L:$R,7,0),IF($LB55=60%,VLOOKUP($HZ55,'Jan-2026 rates'!$L:$S,8,0),IF($LB55=80%,VLOOKUP($HZ55,'Jan-2026 rates'!L:T,9,0),0))))))))</f>
        <v>0</v>
      </c>
      <c r="IF55" s="412" t="s">
        <v>1340</v>
      </c>
      <c r="IG55" s="413" t="s">
        <v>1341</v>
      </c>
      <c r="IH55" s="412"/>
      <c r="II55" s="412"/>
      <c r="IJ55" s="412"/>
      <c r="IK55" s="412"/>
      <c r="IL55" s="412"/>
      <c r="IM55" s="412"/>
      <c r="IN55" s="409">
        <v>5</v>
      </c>
      <c r="IO55" s="398">
        <f>IF(IN55=0,0,IF(LEN(IF55)=11,_xlfn.XLOOKUP(IF55,'Dispensed Ink Rates'!C:C,'Dispensed Ink Rates'!CS:CS),VLOOKUP(IF55,'Jan-2026 rates'!$E:$F,2,0)))</f>
        <v>0</v>
      </c>
      <c r="IP55" s="409">
        <v>4</v>
      </c>
      <c r="IQ55" s="398">
        <f>IF(IP55=0,0,IF(LEN(IG55)=11,_xlfn.XLOOKUP(IG55,'Dispensed Ink Rates'!C:C,'Dispensed Ink Rates'!CS:CS),VLOOKUP(IG55,'Jan-2026 rates'!$E:$F,2,0)))</f>
        <v>0</v>
      </c>
      <c r="IR55" s="409"/>
      <c r="IS55" s="398">
        <f>IF(IR55=0,0,IF(LEN(IH55)=11,_xlfn.XLOOKUP(IH55,'Dispensed Ink Rates'!C:C,'Dispensed Ink Rates'!CS:CS),VLOOKUP(IH55,'Jan-2026 rates'!$E:$F,2,0)))</f>
        <v>0</v>
      </c>
      <c r="IT55" s="409"/>
      <c r="IU55" s="398">
        <f>IF(IT55=0,0,IF(LEN(II55)=11,_xlfn.XLOOKUP(II55,'Dispensed Ink Rates'!C:C,'Dispensed Ink Rates'!CS:CS),VLOOKUP(II55,'Jan-2026 rates'!$E:$F,2,0)))</f>
        <v>0</v>
      </c>
      <c r="IV55" s="409"/>
      <c r="IW55" s="398">
        <f>IF(IV55=0,0,IF(LEN(IJ55)=11,_xlfn.XLOOKUP(IJ55,'Dispensed Ink Rates'!C:C,'Dispensed Ink Rates'!CS:CS),VLOOKUP(IJ55,'Jan-2026 rates'!$E:$F,2,0)))</f>
        <v>0</v>
      </c>
      <c r="IX55" s="409"/>
      <c r="IY55" s="398">
        <f>IF(IX55=0,0,IF(LEN(IK55)=11,_xlfn.XLOOKUP(IK55,'Dispensed Ink Rates'!C:C,'Dispensed Ink Rates'!CS:CS),VLOOKUP(IK55,'Jan-2026 rates'!$E:$F,2,0)))</f>
        <v>0</v>
      </c>
      <c r="IZ55" s="409"/>
      <c r="JA55" s="398">
        <f>IF(IZ55=0,0,IF(LEN(IL55)=11,_xlfn.XLOOKUP(IL55,'Dispensed Ink Rates'!C:C,'Dispensed Ink Rates'!CS:CS),VLOOKUP(IL55,'Jan-2026 rates'!$E:$F,2,0)))</f>
        <v>0</v>
      </c>
      <c r="JB55" s="409"/>
      <c r="JC55" s="398">
        <f>IF(JB55=0,0,IF(LEN(IM55)=11,_xlfn.XLOOKUP(IM55,'Dispensed Ink Rates'!C:C,'Dispensed Ink Rates'!CS:CS),VLOOKUP(IM55,'Jan-2026 rates'!$E:$F,2,0)))</f>
        <v>0</v>
      </c>
      <c r="JD55" s="409" t="s">
        <v>1443</v>
      </c>
      <c r="JE55" s="409">
        <v>36</v>
      </c>
      <c r="JF55" s="411">
        <f t="shared" si="25"/>
        <v>0</v>
      </c>
      <c r="JG55" s="411">
        <f t="shared" si="26"/>
        <v>14.055248618784532</v>
      </c>
      <c r="JH55" s="410">
        <f t="shared" si="27"/>
        <v>0</v>
      </c>
      <c r="JI55" s="405" t="s">
        <v>856</v>
      </c>
      <c r="JJ55" s="409" t="s">
        <v>2877</v>
      </c>
      <c r="JK55" s="420" t="str">
        <f t="shared" si="28"/>
        <v>FLINTSL - WHITE</v>
      </c>
      <c r="JL55" s="409">
        <v>30</v>
      </c>
      <c r="JM55" s="411">
        <f>IF(JL55=0,0,IF($LB55=70%,VLOOKUP($JK55,'Jan-2026 rates'!$L:$R,4,0),IF($LB55=65%,VLOOKUP($JK55,'Jan-2026 rates'!$L:$R,4,0),IF($LB55=40%,VLOOKUP($JK55,'Jan-2026 rates'!$L:$R,5,0),IF($LB55=30%,VLOOKUP($JK55,'Jan-2026 rates'!$L:$R,6,0),IF($LB55=100%,VLOOKUP($JK55,'Jan-2026 rates'!$L:$R,7,0),IF($LB55=60%,VLOOKUP($JK55,'Jan-2026 rates'!$L:$S,8,0),IF($LB55=80%,VLOOKUP($JK55,'Jan-2026 rates'!L:T,9,0),0))))))))</f>
        <v>0</v>
      </c>
      <c r="JN55" s="412"/>
      <c r="JO55" s="409"/>
      <c r="JP55" s="411">
        <f>IF(JO55=0,0,IF($LB55=70%,VLOOKUP($JK55,'Jan-2026 rates'!$L:$R,4,0),IF($LB55=65%,VLOOKUP($JK55,'Jan-2026 rates'!$L:$R,4,0),IF($LB55=40%,VLOOKUP($JK55,'Jan-2026 rates'!$L:$R,5,0),IF($LB55=30%,VLOOKUP($JK55,'Jan-2026 rates'!$L:$R,6,0),IF($LB55=100%,VLOOKUP($JK55,'Jan-2026 rates'!$L:$R,7,0),IF($LB55=60%,VLOOKUP($JK55,'Jan-2026 rates'!$L:$S,8,0),IF($LB55=80%,VLOOKUP($JK55,'Jan-2026 rates'!L:T,9,0),0))))))))</f>
        <v>0</v>
      </c>
      <c r="JQ55" s="413" t="s">
        <v>484</v>
      </c>
      <c r="JR55" s="412"/>
      <c r="JS55" s="413"/>
      <c r="JT55" s="413"/>
      <c r="JU55" s="412"/>
      <c r="JV55" s="412"/>
      <c r="JW55" s="412"/>
      <c r="JX55" s="412"/>
      <c r="JY55" s="409">
        <f>100+100</f>
        <v>200</v>
      </c>
      <c r="JZ55" s="398">
        <f>IF(JY55=0,0,IF(LEN(JQ55)=11,_xlfn.XLOOKUP(JQ55,'Dispensed Ink Rates'!C:C,'Dispensed Ink Rates'!CS:CS),VLOOKUP(JQ55,'Jan-2026 rates'!$E:$F,2,0)))</f>
        <v>0</v>
      </c>
      <c r="KA55" s="409"/>
      <c r="KB55" s="398">
        <f>IF(KA55=0,0,IF(LEN(JR55)=11,_xlfn.XLOOKUP(JR55,'Dispensed Ink Rates'!C:C,'Dispensed Ink Rates'!CS:CS),VLOOKUP(JR55,'Jan-2026 rates'!$E:$F,2,0)))</f>
        <v>0</v>
      </c>
      <c r="KC55" s="409"/>
      <c r="KD55" s="398">
        <f>IF(KC55=0,0,IF(LEN(JS55)=11,_xlfn.XLOOKUP(JS55,'Dispensed Ink Rates'!C:C,'Dispensed Ink Rates'!CS:CS),VLOOKUP(JS55,'Jan-2026 rates'!$E:$F,2,0)))</f>
        <v>0</v>
      </c>
      <c r="KE55" s="409"/>
      <c r="KF55" s="398">
        <f>IF(KE55=0,0,IF(LEN(JT55)=11,_xlfn.XLOOKUP(JT55,'Dispensed Ink Rates'!C:C,'Dispensed Ink Rates'!CS:CS),VLOOKUP(JT55,'Jan-2026 rates'!$E:$F,2,0)))</f>
        <v>0</v>
      </c>
      <c r="KG55" s="409"/>
      <c r="KH55" s="398">
        <f>IF(KG55=0,0,IF(LEN(JU55)=11,_xlfn.XLOOKUP(JU55,'Dispensed Ink Rates'!C:C,'Dispensed Ink Rates'!CS:CS),VLOOKUP(JU55,'Jan-2026 rates'!$E:$F,2,0)))</f>
        <v>0</v>
      </c>
      <c r="KI55" s="409"/>
      <c r="KJ55" s="398">
        <f>IF(KI55=0,0,IF(LEN(JV55)=11,_xlfn.XLOOKUP(JV55,'Dispensed Ink Rates'!C:C,'Dispensed Ink Rates'!CS:CS),VLOOKUP(JV55,'Jan-2026 rates'!$E:$F,2,0)))</f>
        <v>0</v>
      </c>
      <c r="KK55" s="409"/>
      <c r="KL55" s="398">
        <f>IF(KK55=0,0,IF(LEN(JW55)=11,_xlfn.XLOOKUP(JW55,'Dispensed Ink Rates'!C:C,'Dispensed Ink Rates'!CS:CS),VLOOKUP(JW55,'Jan-2026 rates'!$E:$F,2,0)))</f>
        <v>0</v>
      </c>
      <c r="KM55" s="428"/>
      <c r="KN55" s="398">
        <f>IF(KM55=0,0,IF(LEN(JX55)=11,_xlfn.XLOOKUP(JX55,'Dispensed Ink Rates'!C:C,'Dispensed Ink Rates'!CS:CS),VLOOKUP(JX55,'Jan-2026 rates'!$E:$F,2,0)))</f>
        <v>0</v>
      </c>
      <c r="KO55" s="409" t="s">
        <v>1443</v>
      </c>
      <c r="KP55" s="409">
        <v>24</v>
      </c>
      <c r="KQ55" s="411">
        <f t="shared" si="29"/>
        <v>0</v>
      </c>
      <c r="KR55" s="411">
        <f t="shared" si="30"/>
        <v>567.32596685082876</v>
      </c>
      <c r="KS55" s="410">
        <f t="shared" si="31"/>
        <v>0</v>
      </c>
      <c r="KT55" s="409">
        <v>5</v>
      </c>
      <c r="KU55" s="409">
        <v>3</v>
      </c>
      <c r="KV55" s="409">
        <f>20+10</f>
        <v>30</v>
      </c>
      <c r="KW55" s="409">
        <v>3</v>
      </c>
      <c r="KX55" s="409">
        <v>0</v>
      </c>
      <c r="KY55" s="409">
        <v>15</v>
      </c>
      <c r="KZ55" s="409">
        <v>5</v>
      </c>
      <c r="LA55" s="409">
        <f>60+60</f>
        <v>120</v>
      </c>
      <c r="LB55" s="415">
        <v>0.8</v>
      </c>
      <c r="LC55" s="415">
        <v>0.2</v>
      </c>
      <c r="LD55" s="415"/>
      <c r="LE55" s="415"/>
      <c r="LF55" s="415"/>
      <c r="LG55" s="409">
        <v>0</v>
      </c>
      <c r="LH55" s="409">
        <f>120+200+160+40+5+5+5+5+5</f>
        <v>545</v>
      </c>
      <c r="LI55" s="409">
        <v>0</v>
      </c>
      <c r="LJ55" s="409">
        <v>0</v>
      </c>
      <c r="LK55" s="416">
        <f t="shared" si="32"/>
        <v>545</v>
      </c>
      <c r="LL55" s="416">
        <f t="shared" si="33"/>
        <v>545</v>
      </c>
      <c r="LM55" s="417">
        <f t="shared" si="34"/>
        <v>436</v>
      </c>
      <c r="LN55" s="417">
        <f>VLOOKUP($LM$8,'Jan-2026 rates'!$H:$I,2,0)</f>
        <v>0</v>
      </c>
      <c r="LO55" s="417">
        <f t="shared" si="35"/>
        <v>109</v>
      </c>
      <c r="LP55" s="417">
        <f>VLOOKUP($LO$8,'Jan-2026 rates'!$H:$I,2,0)</f>
        <v>0</v>
      </c>
      <c r="LQ55" s="417">
        <f t="shared" si="36"/>
        <v>0</v>
      </c>
      <c r="LR55" s="417">
        <f>VLOOKUP($LQ$8,'Jan-2026 rates'!$H:$I,2,0)</f>
        <v>0</v>
      </c>
      <c r="LS55" s="417">
        <f t="shared" si="37"/>
        <v>0</v>
      </c>
      <c r="LT55" s="417">
        <f>VLOOKUP($LS$8,'Jan-2026 rates'!$H:$I,2,0)</f>
        <v>0</v>
      </c>
      <c r="LU55" s="417">
        <f t="shared" si="38"/>
        <v>0</v>
      </c>
      <c r="LV55" s="417">
        <f>VLOOKUP($LU$8,'Jan-2026 rates'!$H:$I,2,0)</f>
        <v>0</v>
      </c>
      <c r="LW55" s="417">
        <f t="shared" si="39"/>
        <v>0</v>
      </c>
      <c r="LX55" s="417">
        <f t="shared" si="40"/>
        <v>0</v>
      </c>
      <c r="LY55" s="418">
        <f t="shared" si="41"/>
        <v>0</v>
      </c>
      <c r="LZ55" s="417"/>
      <c r="MA55" s="435">
        <f t="shared" si="42"/>
        <v>452</v>
      </c>
      <c r="MB55" s="282">
        <f t="shared" si="43"/>
        <v>934</v>
      </c>
      <c r="MC55" s="283">
        <v>10</v>
      </c>
      <c r="MD55" s="284" t="str">
        <f t="shared" si="44"/>
        <v>FLINTSLFLINTSLFLINTSLFLINTSLFLINTSLFLINTSLFLINTSLFLINTSL</v>
      </c>
      <c r="ME55" s="293" t="str">
        <f t="shared" si="45"/>
        <v>+</v>
      </c>
      <c r="MF55" s="293" t="str">
        <f t="shared" si="46"/>
        <v>+</v>
      </c>
      <c r="MG55" s="293" t="str">
        <f t="shared" si="47"/>
        <v>+</v>
      </c>
      <c r="MH55" s="293" t="str">
        <f t="shared" si="48"/>
        <v>+</v>
      </c>
      <c r="MI55" s="293" t="str">
        <f t="shared" si="49"/>
        <v>+</v>
      </c>
      <c r="MJ55" s="293" t="str">
        <f t="shared" si="50"/>
        <v>+</v>
      </c>
      <c r="MK55" s="293" t="str">
        <f t="shared" si="51"/>
        <v>+</v>
      </c>
      <c r="ML55" s="293" t="str">
        <f t="shared" si="52"/>
        <v>+</v>
      </c>
      <c r="MM55" s="3" t="b">
        <f t="array" ref="MM55">OR(ME55:ML55="-")</f>
        <v>0</v>
      </c>
      <c r="MN55" s="285"/>
      <c r="MO55" s="401"/>
      <c r="MP55" s="286"/>
      <c r="MQ55" s="286"/>
      <c r="MR55" s="402"/>
      <c r="MS55" s="400"/>
      <c r="NH55" s="422"/>
      <c r="NJ55" s="421"/>
    </row>
    <row r="56" spans="1:374" s="1" customFormat="1" ht="16.5">
      <c r="A56" s="403">
        <v>46025</v>
      </c>
      <c r="B56" s="404" t="s">
        <v>1018</v>
      </c>
      <c r="C56" s="405" t="s">
        <v>2878</v>
      </c>
      <c r="D56" s="406">
        <v>11</v>
      </c>
      <c r="E56" s="404">
        <v>2451</v>
      </c>
      <c r="F56" s="407">
        <v>129200</v>
      </c>
      <c r="G56" s="407" t="s">
        <v>1019</v>
      </c>
      <c r="H56" s="408" t="s">
        <v>1017</v>
      </c>
      <c r="I56" s="409">
        <v>2.0499999999999998</v>
      </c>
      <c r="J56" s="405" t="s">
        <v>543</v>
      </c>
      <c r="K56" s="404" t="s">
        <v>2879</v>
      </c>
      <c r="L56" s="419" t="str">
        <f t="shared" si="0"/>
        <v>FLINTSL - BLACK</v>
      </c>
      <c r="M56" s="404">
        <v>30</v>
      </c>
      <c r="N56" s="410">
        <f>IF(M56=0,0,IF($LB56=70%,VLOOKUP($L56,'Jan-2026 rates'!$L:$R,4,0),IF($LB56=65%,VLOOKUP($L56,'Jan-2026 rates'!$L:$R,4,0),IF($LB56=40%,VLOOKUP($L56,'Jan-2026 rates'!$L:$R,5,0),IF($LB56=30%,VLOOKUP($L56,'Jan-2026 rates'!$L:$R,6,0),IF($LB56=100%,VLOOKUP($L56,'Jan-2026 rates'!$L:$R,7,0),IF($LB56=60%,VLOOKUP($L56,'Jan-2026 rates'!$L:$S,8,0),IF($LB56=80%,VLOOKUP($L56,'Jan-2026 rates'!L:T,9,0),0))))))))</f>
        <v>0</v>
      </c>
      <c r="O56" s="406"/>
      <c r="P56" s="404"/>
      <c r="Q56" s="410">
        <f>IF(P56=0,0,IF($LB56=70%,VLOOKUP($L56,'Jan-2026 rates'!$L:$R,4,0),IF($LB56=65%,VLOOKUP($L56,'Jan-2026 rates'!$L:$R,4,0),IF($LB56=40%,VLOOKUP($L56,'Jan-2026 rates'!$L:$R,5,0),IF($LB56=30%,VLOOKUP($L56,'Jan-2026 rates'!$L:$R,6,0),IF($LB56=100%,VLOOKUP($L56,'Jan-2026 rates'!$L:$R,7,0),IF($LB56=60%,VLOOKUP($L56,'Jan-2026 rates'!$L:$S,8,0),IF($LB56=80%,VLOOKUP($L56,'Jan-2026 rates'!L:T,9,0),0))))))))</f>
        <v>0</v>
      </c>
      <c r="R56" s="406">
        <v>26503000005</v>
      </c>
      <c r="S56" s="406"/>
      <c r="T56" s="406"/>
      <c r="U56" s="406"/>
      <c r="V56" s="406"/>
      <c r="W56" s="406"/>
      <c r="X56" s="406"/>
      <c r="Y56" s="406"/>
      <c r="Z56" s="404">
        <f>6+6</f>
        <v>12</v>
      </c>
      <c r="AA56" s="398" t="e">
        <f>IF(Z56=0,0,IF(LEN(R56)=11,_xlfn.XLOOKUP(R56,'Dispensed Ink Rates'!C:C,'Dispensed Ink Rates'!CS:CS),VLOOKUP(R56,'Jan-2026 rates'!$E:$F,2,0)))</f>
        <v>#N/A</v>
      </c>
      <c r="AB56" s="404"/>
      <c r="AC56" s="398">
        <f>IF(AB56=0,0,IF(LEN(S56)=11,_xlfn.XLOOKUP(S56,'Dispensed Ink Rates'!C:C,'Dispensed Ink Rates'!CS:CS),VLOOKUP(S56,'Jan-2026 rates'!$E:$F,2,0)))</f>
        <v>0</v>
      </c>
      <c r="AD56" s="404"/>
      <c r="AE56" s="398">
        <f>IF(AD56=0,0,IF(LEN(T56)=11,_xlfn.XLOOKUP(T56,'Dispensed Ink Rates'!C:C,'Dispensed Ink Rates'!CS:CS),VLOOKUP(T56,'Jan-2026 rates'!$E:$F,2,0)))</f>
        <v>0</v>
      </c>
      <c r="AF56" s="404"/>
      <c r="AG56" s="398">
        <f>IF(AF56=0,0,IF(LEN(U56)=11,_xlfn.XLOOKUP(U56,'Dispensed Ink Rates'!C:C,'Dispensed Ink Rates'!CS:CS),VLOOKUP(U56,'Jan-2026 rates'!$E:$F,2,0)))</f>
        <v>0</v>
      </c>
      <c r="AH56" s="404"/>
      <c r="AI56" s="398">
        <f>IF(AH56=0,0,IF(LEN(V56)=11,_xlfn.XLOOKUP(V56,'Dispensed Ink Rates'!C:C,'Dispensed Ink Rates'!CS:CS),VLOOKUP(V56,'Jan-2026 rates'!$E:$F,2,0)))</f>
        <v>0</v>
      </c>
      <c r="AJ56" s="404"/>
      <c r="AK56" s="398">
        <f>IF(AJ56=0,0,IF(LEN(W56)=11,_xlfn.XLOOKUP(W56,'Dispensed Ink Rates'!C:C,'Dispensed Ink Rates'!CS:CS),VLOOKUP(W56,'Jan-2026 rates'!$E:$F,2,0)))</f>
        <v>0</v>
      </c>
      <c r="AL56" s="404"/>
      <c r="AM56" s="398">
        <f>IF(AL56=0,0,IF(LEN(X56)=11,_xlfn.XLOOKUP(X56,'Dispensed Ink Rates'!C:C,'Dispensed Ink Rates'!CS:CS),VLOOKUP(X56,'Jan-2026 rates'!$E:$F,2,0)))</f>
        <v>0</v>
      </c>
      <c r="AN56" s="404"/>
      <c r="AO56" s="398">
        <f>IF(AN56=0,0,IF(LEN(Y56)=11,_xlfn.XLOOKUP(Y56,'Dispensed Ink Rates'!C:C,'Dispensed Ink Rates'!CS:CS),VLOOKUP(Y56,'Jan-2026 rates'!$E:$F,2,0)))</f>
        <v>0</v>
      </c>
      <c r="AP56" s="409" t="s">
        <v>1443</v>
      </c>
      <c r="AQ56" s="409">
        <v>29</v>
      </c>
      <c r="AR56" s="410">
        <f t="shared" si="1"/>
        <v>0</v>
      </c>
      <c r="AS56" s="411">
        <f t="shared" si="2"/>
        <v>39.56346749226006</v>
      </c>
      <c r="AT56" s="410">
        <f t="shared" si="3"/>
        <v>0</v>
      </c>
      <c r="AU56" s="405" t="s">
        <v>546</v>
      </c>
      <c r="AV56" s="409" t="s">
        <v>2364</v>
      </c>
      <c r="AW56" s="420" t="str">
        <f t="shared" si="53"/>
        <v>FLINTSL - REFLEX BLUE</v>
      </c>
      <c r="AX56" s="409">
        <v>22</v>
      </c>
      <c r="AY56" s="411">
        <f>IF(AX56=0,0,IF($LB56=70%,VLOOKUP($AW56,'Jan-2026 rates'!$L:$R,4,0),IF($LB56=65%,VLOOKUP($AW56,'Jan-2026 rates'!$L:$R,4,0),IF($LB56=40%,VLOOKUP($AW56,'Jan-2026 rates'!$L:$R,5,0),IF($LB56=30%,VLOOKUP($AW56,'Jan-2026 rates'!$L:$R,6,0),IF($LB56=100%,VLOOKUP($AW56,'Jan-2026 rates'!$L:$R,7,0),IF($LB56=60%,VLOOKUP($AW56,'Jan-2026 rates'!$L:$S,8,0),IF($LB56=80%,VLOOKUP($AW56,'Jan-2026 rates'!L:T,9,0),0))))))))</f>
        <v>0</v>
      </c>
      <c r="AZ56" s="412" t="s">
        <v>2401</v>
      </c>
      <c r="BA56" s="409">
        <v>10</v>
      </c>
      <c r="BB56" s="411">
        <f>IF(BA56=0,0,IF($LB56=70%,VLOOKUP($AW56,'Jan-2026 rates'!$L:$R,4,0),IF($LB56=65%,VLOOKUP($AW56,'Jan-2026 rates'!$L:$R,4,0),IF($LB56=40%,VLOOKUP($AW56,'Jan-2026 rates'!$L:$R,5,0),IF($LB56=30%,VLOOKUP($AW56,'Jan-2026 rates'!$L:$R,6,0),IF($LB56=100%,VLOOKUP($AW56,'Jan-2026 rates'!$L:$R,7,0),IF($LB56=60%,VLOOKUP($AW56,'Jan-2026 rates'!$L:$S,8,0),IF($LB56=80%,VLOOKUP($AW56,'Jan-2026 rates'!L:T,9,0),0))))))))</f>
        <v>0</v>
      </c>
      <c r="BC56" s="413">
        <v>26504000004</v>
      </c>
      <c r="BD56" s="412">
        <v>26504000003</v>
      </c>
      <c r="BE56" s="412">
        <v>9472</v>
      </c>
      <c r="BF56" s="413">
        <v>26503000003</v>
      </c>
      <c r="BG56" s="412">
        <v>26504000006</v>
      </c>
      <c r="BH56" s="412">
        <v>26503000014</v>
      </c>
      <c r="BI56" s="412"/>
      <c r="BJ56" s="412"/>
      <c r="BK56" s="409">
        <v>140</v>
      </c>
      <c r="BL56" s="398" t="e">
        <f>IF(BK56=0,0,IF(LEN(BC56)=11,_xlfn.XLOOKUP(BC56,'Dispensed Ink Rates'!C:C,'Dispensed Ink Rates'!CS:CS),VLOOKUP(BC56,'Jan-2026 rates'!$E:$F,2,0)))</f>
        <v>#N/A</v>
      </c>
      <c r="BM56" s="409">
        <v>40</v>
      </c>
      <c r="BN56" s="398" t="e">
        <f>IF(BM56=0,0,IF(LEN(BD56)=11,_xlfn.XLOOKUP(BD56,'Dispensed Ink Rates'!C:C,'Dispensed Ink Rates'!CS:CS),VLOOKUP(BD56,'Jan-2026 rates'!$E:$F,2,0)))</f>
        <v>#N/A</v>
      </c>
      <c r="BO56" s="409">
        <f>10+60</f>
        <v>70</v>
      </c>
      <c r="BP56" s="398">
        <f>IF(BO56=0,0,IF(LEN(BE56)=11,_xlfn.XLOOKUP(BE56,'Dispensed Ink Rates'!C:C,'Dispensed Ink Rates'!CS:CS),VLOOKUP(BE56,'Jan-2026 rates'!$E:$F,2,0)))</f>
        <v>0</v>
      </c>
      <c r="BQ56" s="409">
        <f>16+10</f>
        <v>26</v>
      </c>
      <c r="BR56" s="398" t="e">
        <f>IF(BQ56=0,0,IF(LEN(BF56)=11,_xlfn.XLOOKUP(BF56,'Dispensed Ink Rates'!C:C,'Dispensed Ink Rates'!CS:CS),VLOOKUP(BF56,'Jan-2026 rates'!$E:$F,2,0)))</f>
        <v>#N/A</v>
      </c>
      <c r="BS56" s="409">
        <v>40</v>
      </c>
      <c r="BT56" s="398" t="e">
        <f>IF(BS56=0,0,IF(LEN(BG56)=11,_xlfn.XLOOKUP(BG56,'Dispensed Ink Rates'!C:C,'Dispensed Ink Rates'!CS:CS),VLOOKUP(BG56,'Jan-2026 rates'!$E:$F,2,0)))</f>
        <v>#N/A</v>
      </c>
      <c r="BU56" s="409">
        <v>42</v>
      </c>
      <c r="BV56" s="398" t="e">
        <f>IF(BU56=0,0,IF(LEN(BH56)=11,_xlfn.XLOOKUP(BH56,'Dispensed Ink Rates'!C:C,'Dispensed Ink Rates'!CS:CS),VLOOKUP(BH56,'Jan-2026 rates'!$E:$F,2,0)))</f>
        <v>#N/A</v>
      </c>
      <c r="BW56" s="409"/>
      <c r="BX56" s="398">
        <f>IF(BW56=0,0,IF(LEN(BI56)=11,_xlfn.XLOOKUP(BI56,'Dispensed Ink Rates'!C:C,'Dispensed Ink Rates'!CS:CS),VLOOKUP(BI56,'Jan-2026 rates'!$E:$F,2,0)))</f>
        <v>0</v>
      </c>
      <c r="BY56" s="409"/>
      <c r="BZ56" s="398">
        <f>IF(BY56=0,0,IF(LEN(BJ56)=11,_xlfn.XLOOKUP(BJ56,'Dispensed Ink Rates'!C:C,'Dispensed Ink Rates'!CS:CS),VLOOKUP(BJ56,'Jan-2026 rates'!$E:$F,2,0)))</f>
        <v>0</v>
      </c>
      <c r="CA56" s="409" t="s">
        <v>1443</v>
      </c>
      <c r="CB56" s="409">
        <v>30</v>
      </c>
      <c r="CC56" s="411">
        <f t="shared" si="5"/>
        <v>0</v>
      </c>
      <c r="CD56" s="411">
        <f t="shared" si="6"/>
        <v>413.12693498452012</v>
      </c>
      <c r="CE56" s="410">
        <f t="shared" si="7"/>
        <v>0</v>
      </c>
      <c r="CF56" s="404" t="s">
        <v>857</v>
      </c>
      <c r="CG56" s="409" t="s">
        <v>2880</v>
      </c>
      <c r="CH56" s="420" t="str">
        <f t="shared" si="8"/>
        <v>FLINTSL - RED</v>
      </c>
      <c r="CI56" s="409">
        <v>32</v>
      </c>
      <c r="CJ56" s="411">
        <f>IF(CI56=0,0,IF($LB56=70%,VLOOKUP($CH56,'Jan-2026 rates'!$L:$R,4,0),IF($LB56=65%,VLOOKUP($CH56,'Jan-2026 rates'!$L:$R,4,0),IF($LB56=40%,VLOOKUP($CH56,'Jan-2026 rates'!$L:$R,5,0),IF($LB56=30%,VLOOKUP($CH56,'Jan-2026 rates'!$L:$R,6,0),IF($LB56=100%,VLOOKUP($CH56,'Jan-2026 rates'!$L:$R,7,0),IF($LB56=60%,VLOOKUP($CH56,'Jan-2026 rates'!$L:$S,8,0),IF($LB56=80%,VLOOKUP($CH56,'Jan-2026 rates'!L:T,9,0),0))))))))</f>
        <v>0</v>
      </c>
      <c r="CK56" s="412"/>
      <c r="CL56" s="409"/>
      <c r="CM56" s="411">
        <f>IF(CL56=0,0,IF($LB56=70%,VLOOKUP($CH56,'Jan-2026 rates'!$L:$R,4,0),IF($LB56=65%,VLOOKUP($CH56,'Jan-2026 rates'!$L:$R,4,0),IF($LB56=40%,VLOOKUP($CH56,'Jan-2026 rates'!$L:$R,5,0),IF($LB56=30%,VLOOKUP($CH56,'Jan-2026 rates'!$L:$R,6,0),IF($LB56=100%,VLOOKUP($CH56,'Jan-2026 rates'!$L:$R,7,0),IF($LB56=60%,VLOOKUP($CH56,'Jan-2026 rates'!$L:$S,8,0),IF($LB56=80%,VLOOKUP($CH56,'Jan-2026 rates'!L:T,9,0),0))))))))</f>
        <v>0</v>
      </c>
      <c r="CN56" s="426">
        <v>25862000010</v>
      </c>
      <c r="CO56" s="427">
        <v>26503000003</v>
      </c>
      <c r="CP56" s="426">
        <v>25863000009</v>
      </c>
      <c r="CQ56" s="426"/>
      <c r="CR56" s="428"/>
      <c r="CS56" s="428"/>
      <c r="CT56" s="428"/>
      <c r="CU56" s="428"/>
      <c r="CV56" s="409">
        <f>6+5</f>
        <v>11</v>
      </c>
      <c r="CW56" s="398" t="e">
        <f>IF(CV56=0,0,IF(LEN(CN56)=11,_xlfn.XLOOKUP(CN56,'Dispensed Ink Rates'!C:C,'Dispensed Ink Rates'!CS:CS),VLOOKUP(CN56,'Jan-2026 rates'!$E:$F,2,0)))</f>
        <v>#N/A</v>
      </c>
      <c r="CX56" s="409">
        <v>6</v>
      </c>
      <c r="CY56" s="398" t="e">
        <f>IF(CX56=0,0,IF(LEN(CO56)=11,_xlfn.XLOOKUP(CO56,'Dispensed Ink Rates'!C:C,'Dispensed Ink Rates'!CS:CS),VLOOKUP(CO56,'Jan-2026 rates'!$E:$F,2,0)))</f>
        <v>#N/A</v>
      </c>
      <c r="CZ56" s="409">
        <v>4</v>
      </c>
      <c r="DA56" s="398" t="e">
        <f>IF(CZ56=0,0,IF(LEN(CP56)=11,_xlfn.XLOOKUP(CP56,'Dispensed Ink Rates'!C:C,'Dispensed Ink Rates'!CS:CS),VLOOKUP(CP56,'Jan-2026 rates'!$E:$F,2,0)))</f>
        <v>#N/A</v>
      </c>
      <c r="DB56" s="409"/>
      <c r="DC56" s="398">
        <f>IF(DB56=0,0,IF(LEN(CQ56)=11,_xlfn.XLOOKUP(CQ56,'Dispensed Ink Rates'!C:C,'Dispensed Ink Rates'!CS:CS),VLOOKUP(CQ56,'Jan-2026 rates'!$E:$F,2,0)))</f>
        <v>0</v>
      </c>
      <c r="DD56" s="409"/>
      <c r="DE56" s="398">
        <f>IF(DD56=0,0,IF(LEN(CR56)=11,_xlfn.XLOOKUP(CR56,'Dispensed Ink Rates'!C:C,'Dispensed Ink Rates'!CS:CS),VLOOKUP(CR56,'Jan-2026 rates'!$E:$F,2,0)))</f>
        <v>0</v>
      </c>
      <c r="DF56" s="409"/>
      <c r="DG56" s="398">
        <f>IF(DF56=0,0,IF(LEN(CS56)=11,_xlfn.XLOOKUP(CS56,'Dispensed Ink Rates'!C:C,'Dispensed Ink Rates'!CS:CS),VLOOKUP(CS56,'Jan-2026 rates'!$E:$F,2,0)))</f>
        <v>0</v>
      </c>
      <c r="DH56" s="409"/>
      <c r="DI56" s="398">
        <f>IF(DH56=0,0,IF(LEN(CT56)=11,_xlfn.XLOOKUP(CT56,'Dispensed Ink Rates'!C:C,'Dispensed Ink Rates'!CS:CS),VLOOKUP(CT56,'Jan-2026 rates'!$E:$F,2,0)))</f>
        <v>0</v>
      </c>
      <c r="DJ56" s="409"/>
      <c r="DK56" s="398">
        <f>IF(DJ56=0,0,IF(LEN(CU56)=11,_xlfn.XLOOKUP(CU56,'Dispensed Ink Rates'!C:C,'Dispensed Ink Rates'!CS:CS),VLOOKUP(CU56,'Jan-2026 rates'!$E:$F,2,0)))</f>
        <v>0</v>
      </c>
      <c r="DL56" s="409" t="s">
        <v>1443</v>
      </c>
      <c r="DM56" s="409">
        <v>30</v>
      </c>
      <c r="DN56" s="411">
        <f t="shared" si="9"/>
        <v>0</v>
      </c>
      <c r="DO56" s="411">
        <f t="shared" si="10"/>
        <v>49.56346749226006</v>
      </c>
      <c r="DP56" s="410">
        <f t="shared" si="11"/>
        <v>0</v>
      </c>
      <c r="DQ56" s="405" t="s">
        <v>855</v>
      </c>
      <c r="DR56" s="409" t="s">
        <v>2881</v>
      </c>
      <c r="DS56" s="420" t="str">
        <f t="shared" si="12"/>
        <v>FLINTSL - CYAN</v>
      </c>
      <c r="DT56" s="409">
        <v>30</v>
      </c>
      <c r="DU56" s="411">
        <f>IF(DT56=0,0,IF($LB56=70%,VLOOKUP($DS56,'Jan-2026 rates'!$L:$R,4,0),IF($LB56=65%,VLOOKUP($DS56,'Jan-2026 rates'!$L:$R,4,0),IF($LB56=40%,VLOOKUP($DS56,'Jan-2026 rates'!$L:$R,5,0),IF($LB56=30%,VLOOKUP($DS56,'Jan-2026 rates'!$L:$R,6,0),IF($LB56=100%,VLOOKUP($DS56,'Jan-2026 rates'!$L:$R,7,0),IF($LB56=60%,VLOOKUP($DS56,'Jan-2026 rates'!$L:$S,8,0),IF($LB56=80%,VLOOKUP($DS56,'Jan-2026 rates'!L:T,9,0),0))))))))</f>
        <v>0</v>
      </c>
      <c r="DV56" s="412"/>
      <c r="DW56" s="409"/>
      <c r="DX56" s="411">
        <f>IF(DW56=0,0,IF($LB56=70%,VLOOKUP($DS56,'Jan-2026 rates'!$L:$R,4,0),IF($LB56=65%,VLOOKUP($DS56,'Jan-2026 rates'!$L:$R,4,0),IF($LB56=40%,VLOOKUP($DS56,'Jan-2026 rates'!$L:$R,5,0),IF($LB56=30%,VLOOKUP($DS56,'Jan-2026 rates'!$L:$R,6,0),IF($LB56=100%,VLOOKUP($DS56,'Jan-2026 rates'!$L:$R,7,0),IF($LB56=60%,VLOOKUP($DS56,'Jan-2026 rates'!$L:$S,8,0),IF($LB56=80%,VLOOKUP($DS56,'Jan-2026 rates'!L:T,9,0),0))))))))</f>
        <v>0</v>
      </c>
      <c r="DY56" s="413">
        <v>25864000009</v>
      </c>
      <c r="DZ56" s="413" t="s">
        <v>1266</v>
      </c>
      <c r="EA56" s="412"/>
      <c r="EB56" s="412"/>
      <c r="EC56" s="412"/>
      <c r="ED56" s="412"/>
      <c r="EE56" s="412"/>
      <c r="EF56" s="412"/>
      <c r="EG56" s="409">
        <v>10</v>
      </c>
      <c r="EH56" s="398" t="e">
        <f>IF(EG56=0,0,IF(LEN(DY56)=11,_xlfn.XLOOKUP(DY56,'Dispensed Ink Rates'!C:C,'Dispensed Ink Rates'!CS:CS),VLOOKUP(DY56,'Jan-2026 rates'!$E:$F,2,0)))</f>
        <v>#N/A</v>
      </c>
      <c r="EI56" s="409">
        <v>6</v>
      </c>
      <c r="EJ56" s="398">
        <f>IF(EI56=0,0,IF(LEN(DZ56)=11,_xlfn.XLOOKUP(DZ56,'Dispensed Ink Rates'!C:C,'Dispensed Ink Rates'!CS:CS),VLOOKUP(DZ56,'Jan-2026 rates'!$E:$F,2,0)))</f>
        <v>0</v>
      </c>
      <c r="EK56" s="409"/>
      <c r="EL56" s="398">
        <f>IF(EK56=0,0,IF(LEN(EA56)=11,_xlfn.XLOOKUP(EA56,'Dispensed Ink Rates'!C:C,'Dispensed Ink Rates'!CS:CS),VLOOKUP(EA56,'Jan-2026 rates'!$E:$F,2,0)))</f>
        <v>0</v>
      </c>
      <c r="EM56" s="409"/>
      <c r="EN56" s="398">
        <f>IF(EM56=0,0,IF(LEN(EB56)=11,_xlfn.XLOOKUP(EB56,'Dispensed Ink Rates'!C:C,'Dispensed Ink Rates'!CS:CS),VLOOKUP(EB56,'Jan-2026 rates'!$E:$F,2,0)))</f>
        <v>0</v>
      </c>
      <c r="EO56" s="409"/>
      <c r="EP56" s="398">
        <f>IF(EO56=0,0,IF(LEN(EC56)=11,_xlfn.XLOOKUP(EC56,'Dispensed Ink Rates'!C:C,'Dispensed Ink Rates'!CS:CS),VLOOKUP(EC56,'Jan-2026 rates'!$E:$F,2,0)))</f>
        <v>0</v>
      </c>
      <c r="EQ56" s="409"/>
      <c r="ER56" s="398">
        <f>IF(EQ56=0,0,IF(LEN(ED56)=11,_xlfn.XLOOKUP(ED56,'Dispensed Ink Rates'!C:C,'Dispensed Ink Rates'!CS:CS),VLOOKUP(ED56,'Jan-2026 rates'!$E:$F,2,0)))</f>
        <v>0</v>
      </c>
      <c r="ES56" s="409"/>
      <c r="ET56" s="398">
        <f>IF(ES56=0,0,IF(LEN(EE56)=11,_xlfn.XLOOKUP(EE56,'Dispensed Ink Rates'!C:C,'Dispensed Ink Rates'!CS:CS),VLOOKUP(EE56,'Jan-2026 rates'!$E:$F,2,0)))</f>
        <v>0</v>
      </c>
      <c r="EU56" s="409"/>
      <c r="EV56" s="398">
        <f>IF(EU56=0,0,IF(LEN(EF56)=11,_xlfn.XLOOKUP(EF56,'Dispensed Ink Rates'!C:C,'Dispensed Ink Rates'!CS:CS),VLOOKUP(EF56,'Jan-2026 rates'!$E:$F,2,0)))</f>
        <v>0</v>
      </c>
      <c r="EW56" s="409" t="s">
        <v>1443</v>
      </c>
      <c r="EX56" s="409">
        <v>31</v>
      </c>
      <c r="EY56" s="411">
        <f t="shared" si="13"/>
        <v>0</v>
      </c>
      <c r="EZ56" s="411">
        <f t="shared" si="14"/>
        <v>41.56346749226006</v>
      </c>
      <c r="FA56" s="410">
        <f t="shared" si="15"/>
        <v>0</v>
      </c>
      <c r="FB56" s="405" t="s">
        <v>544</v>
      </c>
      <c r="FC56" s="409" t="s">
        <v>2882</v>
      </c>
      <c r="FD56" s="420" t="str">
        <f t="shared" si="16"/>
        <v>FLINTSL - MAGENTA</v>
      </c>
      <c r="FE56" s="409">
        <v>30</v>
      </c>
      <c r="FF56" s="411">
        <f>IF(FE56=0,0,IF($LB56=70%,VLOOKUP($FD56,'Jan-2026 rates'!$L:$R,4,0),IF($LB56=65%,VLOOKUP($FD56,'Jan-2026 rates'!$L:$R,4,0),IF($LB56=40%,VLOOKUP($FD56,'Jan-2026 rates'!$L:$R,5,0),IF($LB56=30%,VLOOKUP($FD56,'Jan-2026 rates'!$L:$R,6,0),IF($LB56=100%,VLOOKUP($FD56,'Jan-2026 rates'!$L:$R,7,0),IF($LB56=60%,VLOOKUP($FD56,'Jan-2026 rates'!$L:$S,8,0),IF($LB56=80%,VLOOKUP($FD56,'Jan-2026 rates'!L:T,9,0),0))))))))</f>
        <v>0</v>
      </c>
      <c r="FG56" s="412"/>
      <c r="FH56" s="409"/>
      <c r="FI56" s="411">
        <f>IF(FH56=0,0,IF($LB56=70%,VLOOKUP($FD56,'Jan-2026 rates'!$L:$R,4,0),IF($LB56=65%,VLOOKUP($FD56,'Jan-2026 rates'!$L:$R,4,0),IF($LB56=40%,VLOOKUP($FD56,'Jan-2026 rates'!$L:$R,5,0),IF($LB56=30%,VLOOKUP($FD56,'Jan-2026 rates'!$L:$R,6,0),IF($LB56=100%,VLOOKUP($FD56,'Jan-2026 rates'!$L:$R,7,0),IF($LB56=60%,VLOOKUP($FD56,'Jan-2026 rates'!$L:$S,8,0),IF($LB56=80%,VLOOKUP($FD56,'Jan-2026 rates'!L:T,9,0),0))))))))</f>
        <v>0</v>
      </c>
      <c r="FJ56" s="413">
        <v>26503000003</v>
      </c>
      <c r="FK56" s="413" t="s">
        <v>1266</v>
      </c>
      <c r="FL56" s="413"/>
      <c r="FM56" s="412"/>
      <c r="FN56" s="412"/>
      <c r="FO56" s="412"/>
      <c r="FP56" s="412"/>
      <c r="FQ56" s="412"/>
      <c r="FR56" s="409">
        <v>8</v>
      </c>
      <c r="FS56" s="398" t="e">
        <f>IF(FR56=0,0,IF(LEN(FJ56)=11,_xlfn.XLOOKUP(FJ56,'Dispensed Ink Rates'!C:C,'Dispensed Ink Rates'!CS:CS),VLOOKUP(FJ56,'Jan-2026 rates'!$E:$F,2,0)))</f>
        <v>#N/A</v>
      </c>
      <c r="FT56" s="409">
        <v>6</v>
      </c>
      <c r="FU56" s="398">
        <f>IF(FT56=0,0,IF(LEN(FK56)=11,_xlfn.XLOOKUP(FK56,'Dispensed Ink Rates'!C:C,'Dispensed Ink Rates'!CS:CS),VLOOKUP(FK56,'Jan-2026 rates'!$E:$F,2,0)))</f>
        <v>0</v>
      </c>
      <c r="FV56" s="409"/>
      <c r="FW56" s="398">
        <f>IF(FV56=0,0,IF(LEN(FL56)=11,_xlfn.XLOOKUP(FL56,'Dispensed Ink Rates'!C:C,'Dispensed Ink Rates'!CS:CS),VLOOKUP(FL56,'Jan-2026 rates'!$E:$F,2,0)))</f>
        <v>0</v>
      </c>
      <c r="FX56" s="409"/>
      <c r="FY56" s="398">
        <f>IF(FX56=0,0,IF(LEN(FM56)=11,_xlfn.XLOOKUP(FM56,'Dispensed Ink Rates'!C:C,'Dispensed Ink Rates'!CS:CS),VLOOKUP(FM56,'Jan-2026 rates'!$E:$F,2,0)))</f>
        <v>0</v>
      </c>
      <c r="FZ56" s="409"/>
      <c r="GA56" s="398">
        <f>IF(FZ56=0,0,IF(LEN(FN56)=11,_xlfn.XLOOKUP(FN56,'Dispensed Ink Rates'!C:C,'Dispensed Ink Rates'!CS:CS),VLOOKUP(FN56,'Jan-2026 rates'!$E:$F,2,0)))</f>
        <v>0</v>
      </c>
      <c r="GB56" s="409"/>
      <c r="GC56" s="398">
        <f>IF(GB56=0,0,IF(LEN(FO56)=11,_xlfn.XLOOKUP(FO56,'Dispensed Ink Rates'!C:C,'Dispensed Ink Rates'!CS:CS),VLOOKUP(FO56,'Jan-2026 rates'!$E:$F,2,0)))</f>
        <v>0</v>
      </c>
      <c r="GD56" s="409"/>
      <c r="GE56" s="398">
        <f>IF(GD56=0,0,IF(LEN(FP56)=11,_xlfn.XLOOKUP(FP56,'Dispensed Ink Rates'!C:C,'Dispensed Ink Rates'!CS:CS),VLOOKUP(FP56,'Jan-2026 rates'!$E:$F,2,0)))</f>
        <v>0</v>
      </c>
      <c r="GF56" s="409"/>
      <c r="GG56" s="398">
        <f>IF(GF56=0,0,IF(LEN(FQ56)=11,_xlfn.XLOOKUP(FQ56,'Dispensed Ink Rates'!C:C,'Dispensed Ink Rates'!CS:CS),VLOOKUP(FQ56,'Jan-2026 rates'!$E:$F,2,0)))</f>
        <v>0</v>
      </c>
      <c r="GH56" s="409" t="s">
        <v>1443</v>
      </c>
      <c r="GI56" s="409">
        <v>30</v>
      </c>
      <c r="GJ56" s="411">
        <f t="shared" si="17"/>
        <v>0</v>
      </c>
      <c r="GK56" s="411">
        <f t="shared" si="18"/>
        <v>48.532507739938083</v>
      </c>
      <c r="GL56" s="410">
        <f t="shared" si="19"/>
        <v>0</v>
      </c>
      <c r="GM56" s="405" t="s">
        <v>545</v>
      </c>
      <c r="GN56" s="409" t="s">
        <v>2883</v>
      </c>
      <c r="GO56" s="420" t="str">
        <f t="shared" si="20"/>
        <v>FLINTSL - YELLOW</v>
      </c>
      <c r="GP56" s="409">
        <v>31</v>
      </c>
      <c r="GQ56" s="411">
        <f>IF(GP56=0,0,IF($LB56=70%,VLOOKUP($GO56,'Jan-2026 rates'!$L:$R,4,0),IF($LB56=65%,VLOOKUP($GO56,'Jan-2026 rates'!$L:$R,4,0),IF($LB56=40%,VLOOKUP($GO56,'Jan-2026 rates'!$L:$R,5,0),IF($LB56=30%,VLOOKUP($GO56,'Jan-2026 rates'!$L:$R,6,0),IF($LB56=100%,VLOOKUP($GO56,'Jan-2026 rates'!$L:$R,7,0),IF($LB56=60%,VLOOKUP($GO56,'Jan-2026 rates'!$L:$S,8,0),IF($LB56=80%,VLOOKUP($GO56,'Jan-2026 rates'!L:T,9,0),0))))))))</f>
        <v>0</v>
      </c>
      <c r="GR56" s="412"/>
      <c r="GS56" s="409"/>
      <c r="GT56" s="411">
        <f>IF(GS56=0,0,IF($LB56=70%,VLOOKUP($GO56,'Jan-2026 rates'!$L:$R,4,0),IF($LB56=65%,VLOOKUP($GO56,'Jan-2026 rates'!$L:$R,4,0),IF($LB56=40%,VLOOKUP($GO56,'Jan-2026 rates'!$L:$R,5,0),IF($LB56=30%,VLOOKUP($GO56,'Jan-2026 rates'!$L:$R,6,0),IF($LB56=100%,VLOOKUP($GO56,'Jan-2026 rates'!$L:$R,7,0),IF($LB56=60%,VLOOKUP($GO56,'Jan-2026 rates'!$L:$S,8,0),IF($LB56=80%,VLOOKUP($GO56,'Jan-2026 rates'!L:T,9,0),0))))))))</f>
        <v>0</v>
      </c>
      <c r="GU56" s="413">
        <v>26503000002</v>
      </c>
      <c r="GV56" s="413" t="s">
        <v>1266</v>
      </c>
      <c r="GW56" s="412"/>
      <c r="GX56" s="412"/>
      <c r="GY56" s="412"/>
      <c r="GZ56" s="412"/>
      <c r="HA56" s="412"/>
      <c r="HB56" s="412"/>
      <c r="HC56" s="409">
        <v>20</v>
      </c>
      <c r="HD56" s="398" t="e">
        <f>IF(HC56=0,0,IF(LEN(GU56)=11,_xlfn.XLOOKUP(GU56,'Dispensed Ink Rates'!C:C,'Dispensed Ink Rates'!CS:CS),VLOOKUP(GU56,'Jan-2026 rates'!$E:$F,2,0)))</f>
        <v>#N/A</v>
      </c>
      <c r="HE56" s="409">
        <v>10</v>
      </c>
      <c r="HF56" s="398">
        <f>IF(HE56=0,0,IF(LEN(GV56)=11,_xlfn.XLOOKUP(GV56,'Dispensed Ink Rates'!C:C,'Dispensed Ink Rates'!CS:CS),VLOOKUP(GV56,'Jan-2026 rates'!$E:$F,2,0)))</f>
        <v>0</v>
      </c>
      <c r="HG56" s="409"/>
      <c r="HH56" s="398">
        <f>IF(HG56=0,0,IF(LEN(GW56)=11,_xlfn.XLOOKUP(GW56,'Dispensed Ink Rates'!C:C,'Dispensed Ink Rates'!CS:CS),VLOOKUP(GW56,'Jan-2026 rates'!$E:$F,2,0)))</f>
        <v>0</v>
      </c>
      <c r="HI56" s="409"/>
      <c r="HJ56" s="398">
        <f>IF(HI56=0,0,IF(LEN(GX56)=11,_xlfn.XLOOKUP(GX56,'Dispensed Ink Rates'!C:C,'Dispensed Ink Rates'!CS:CS),VLOOKUP(GX56,'Jan-2026 rates'!$E:$F,2,0)))</f>
        <v>0</v>
      </c>
      <c r="HK56" s="409"/>
      <c r="HL56" s="398">
        <f>IF(HK56=0,0,IF(LEN(GY56)=11,_xlfn.XLOOKUP(GY56,'Dispensed Ink Rates'!C:C,'Dispensed Ink Rates'!CS:CS),VLOOKUP(GY56,'Jan-2026 rates'!$E:$F,2,0)))</f>
        <v>0</v>
      </c>
      <c r="HM56" s="409"/>
      <c r="HN56" s="398">
        <f>IF(HM56=0,0,IF(LEN(GZ56)=11,_xlfn.XLOOKUP(GZ56,'Dispensed Ink Rates'!C:C,'Dispensed Ink Rates'!CS:CS),VLOOKUP(GZ56,'Jan-2026 rates'!$E:$F,2,0)))</f>
        <v>0</v>
      </c>
      <c r="HO56" s="409"/>
      <c r="HP56" s="398">
        <f>IF(HO56=0,0,IF(LEN(HA56)=11,_xlfn.XLOOKUP(HA56,'Dispensed Ink Rates'!C:C,'Dispensed Ink Rates'!CS:CS),VLOOKUP(HA56,'Jan-2026 rates'!$E:$F,2,0)))</f>
        <v>0</v>
      </c>
      <c r="HQ56" s="409"/>
      <c r="HR56" s="398">
        <f>IF(HQ56=0,0,IF(LEN(HB56)=11,_xlfn.XLOOKUP(HB56,'Dispensed Ink Rates'!C:C,'Dispensed Ink Rates'!CS:CS),VLOOKUP(HB56,'Jan-2026 rates'!$E:$F,2,0)))</f>
        <v>0</v>
      </c>
      <c r="HS56" s="409" t="s">
        <v>1443</v>
      </c>
      <c r="HT56" s="409">
        <v>32</v>
      </c>
      <c r="HU56" s="411">
        <f t="shared" si="21"/>
        <v>0</v>
      </c>
      <c r="HV56" s="411">
        <f t="shared" si="22"/>
        <v>82.126934984520119</v>
      </c>
      <c r="HW56" s="414">
        <f t="shared" si="23"/>
        <v>0</v>
      </c>
      <c r="HX56" s="405" t="s">
        <v>856</v>
      </c>
      <c r="HY56" s="409" t="s">
        <v>2884</v>
      </c>
      <c r="HZ56" s="420" t="str">
        <f t="shared" si="24"/>
        <v>FLINTSL - WHITE</v>
      </c>
      <c r="IA56" s="409">
        <v>24</v>
      </c>
      <c r="IB56" s="411">
        <f>IF(IA56=0,0,IF($LB56=70%,VLOOKUP($HZ56,'Jan-2026 rates'!$L:$R,4,0),IF($LB56=65%,VLOOKUP($HZ56,'Jan-2026 rates'!$L:$R,4,0),IF($LB56=40%,VLOOKUP($HZ56,'Jan-2026 rates'!$L:$R,5,0),IF($LB56=30%,VLOOKUP($HZ56,'Jan-2026 rates'!$L:$R,6,0),IF($LB56=100%,VLOOKUP($HZ56,'Jan-2026 rates'!$L:$R,7,0),IF($LB56=60%,VLOOKUP($HZ56,'Jan-2026 rates'!$L:$S,8,0),IF($LB56=80%,VLOOKUP($HZ56,'Jan-2026 rates'!L:T,9,0),0))))))))</f>
        <v>0</v>
      </c>
      <c r="IC56" s="412"/>
      <c r="ID56" s="409"/>
      <c r="IE56" s="411">
        <f>IF(ID56=0,0,IF($LB56=70%,VLOOKUP($HZ56,'Jan-2026 rates'!$L:$R,4,0),IF($LB56=65%,VLOOKUP($HZ56,'Jan-2026 rates'!$L:$R,4,0),IF($LB56=40%,VLOOKUP($HZ56,'Jan-2026 rates'!$L:$R,5,0),IF($LB56=30%,VLOOKUP($HZ56,'Jan-2026 rates'!$L:$R,6,0),IF($LB56=100%,VLOOKUP($HZ56,'Jan-2026 rates'!$L:$R,7,0),IF($LB56=60%,VLOOKUP($HZ56,'Jan-2026 rates'!$L:$S,8,0),IF($LB56=80%,VLOOKUP($HZ56,'Jan-2026 rates'!L:T,9,0),0))))))))</f>
        <v>0</v>
      </c>
      <c r="IF56" s="412">
        <v>2000</v>
      </c>
      <c r="IG56" s="413">
        <v>165</v>
      </c>
      <c r="IH56" s="412"/>
      <c r="II56" s="412"/>
      <c r="IJ56" s="412"/>
      <c r="IK56" s="412"/>
      <c r="IL56" s="412"/>
      <c r="IM56" s="412"/>
      <c r="IN56" s="409">
        <f>200+200</f>
        <v>400</v>
      </c>
      <c r="IO56" s="398">
        <f>IF(IN56=0,0,IF(LEN(IF56)=11,_xlfn.XLOOKUP(IF56,'Dispensed Ink Rates'!C:C,'Dispensed Ink Rates'!CS:CS),VLOOKUP(IF56,'Jan-2026 rates'!$E:$F,2,0)))</f>
        <v>0</v>
      </c>
      <c r="IP56" s="409">
        <v>12.36</v>
      </c>
      <c r="IQ56" s="398">
        <f>IF(IP56=0,0,IF(LEN(IG56)=11,_xlfn.XLOOKUP(IG56,'Dispensed Ink Rates'!C:C,'Dispensed Ink Rates'!CS:CS),VLOOKUP(IG56,'Jan-2026 rates'!$E:$F,2,0)))</f>
        <v>0</v>
      </c>
      <c r="IR56" s="409"/>
      <c r="IS56" s="398">
        <f>IF(IR56=0,0,IF(LEN(IH56)=11,_xlfn.XLOOKUP(IH56,'Dispensed Ink Rates'!C:C,'Dispensed Ink Rates'!CS:CS),VLOOKUP(IH56,'Jan-2026 rates'!$E:$F,2,0)))</f>
        <v>0</v>
      </c>
      <c r="IT56" s="409"/>
      <c r="IU56" s="398">
        <f>IF(IT56=0,0,IF(LEN(II56)=11,_xlfn.XLOOKUP(II56,'Dispensed Ink Rates'!C:C,'Dispensed Ink Rates'!CS:CS),VLOOKUP(II56,'Jan-2026 rates'!$E:$F,2,0)))</f>
        <v>0</v>
      </c>
      <c r="IV56" s="409"/>
      <c r="IW56" s="398">
        <f>IF(IV56=0,0,IF(LEN(IJ56)=11,_xlfn.XLOOKUP(IJ56,'Dispensed Ink Rates'!C:C,'Dispensed Ink Rates'!CS:CS),VLOOKUP(IJ56,'Jan-2026 rates'!$E:$F,2,0)))</f>
        <v>0</v>
      </c>
      <c r="IX56" s="409"/>
      <c r="IY56" s="398">
        <f>IF(IX56=0,0,IF(LEN(IK56)=11,_xlfn.XLOOKUP(IK56,'Dispensed Ink Rates'!C:C,'Dispensed Ink Rates'!CS:CS),VLOOKUP(IK56,'Jan-2026 rates'!$E:$F,2,0)))</f>
        <v>0</v>
      </c>
      <c r="IZ56" s="409"/>
      <c r="JA56" s="398">
        <f>IF(IZ56=0,0,IF(LEN(IL56)=11,_xlfn.XLOOKUP(IL56,'Dispensed Ink Rates'!C:C,'Dispensed Ink Rates'!CS:CS),VLOOKUP(IL56,'Jan-2026 rates'!$E:$F,2,0)))</f>
        <v>0</v>
      </c>
      <c r="JB56" s="409"/>
      <c r="JC56" s="398">
        <f>IF(JB56=0,0,IF(LEN(IM56)=11,_xlfn.XLOOKUP(IM56,'Dispensed Ink Rates'!C:C,'Dispensed Ink Rates'!CS:CS),VLOOKUP(IM56,'Jan-2026 rates'!$E:$F,2,0)))</f>
        <v>0</v>
      </c>
      <c r="JD56" s="409" t="s">
        <v>1443</v>
      </c>
      <c r="JE56" s="409">
        <v>24</v>
      </c>
      <c r="JF56" s="411">
        <f t="shared" si="25"/>
        <v>0</v>
      </c>
      <c r="JG56" s="411">
        <f t="shared" si="26"/>
        <v>1049.8832198142416</v>
      </c>
      <c r="JH56" s="410">
        <f t="shared" si="27"/>
        <v>0</v>
      </c>
      <c r="JI56" s="405"/>
      <c r="JJ56" s="409"/>
      <c r="JK56" s="420" t="str">
        <f t="shared" si="28"/>
        <v xml:space="preserve"> - </v>
      </c>
      <c r="JL56" s="409"/>
      <c r="JM56" s="411">
        <f>IF(JL56=0,0,IF($LB56=70%,VLOOKUP($JK56,'Jan-2026 rates'!$L:$R,4,0),IF($LB56=65%,VLOOKUP($JK56,'Jan-2026 rates'!$L:$R,4,0),IF($LB56=40%,VLOOKUP($JK56,'Jan-2026 rates'!$L:$R,5,0),IF($LB56=30%,VLOOKUP($JK56,'Jan-2026 rates'!$L:$R,6,0),IF($LB56=100%,VLOOKUP($JK56,'Jan-2026 rates'!$L:$R,7,0),IF($LB56=60%,VLOOKUP($JK56,'Jan-2026 rates'!$L:$S,8,0),IF($LB56=80%,VLOOKUP($JK56,'Jan-2026 rates'!L:T,9,0),0))))))))</f>
        <v>0</v>
      </c>
      <c r="JN56" s="412"/>
      <c r="JO56" s="409"/>
      <c r="JP56" s="411">
        <f>IF(JO56=0,0,IF($LB56=70%,VLOOKUP($JK56,'Jan-2026 rates'!$L:$R,4,0),IF($LB56=65%,VLOOKUP($JK56,'Jan-2026 rates'!$L:$R,4,0),IF($LB56=40%,VLOOKUP($JK56,'Jan-2026 rates'!$L:$R,5,0),IF($LB56=30%,VLOOKUP($JK56,'Jan-2026 rates'!$L:$R,6,0),IF($LB56=100%,VLOOKUP($JK56,'Jan-2026 rates'!$L:$R,7,0),IF($LB56=60%,VLOOKUP($JK56,'Jan-2026 rates'!$L:$S,8,0),IF($LB56=80%,VLOOKUP($JK56,'Jan-2026 rates'!L:T,9,0),0))))))))</f>
        <v>0</v>
      </c>
      <c r="JQ56" s="413"/>
      <c r="JR56" s="412"/>
      <c r="JS56" s="413"/>
      <c r="JT56" s="413"/>
      <c r="JU56" s="412"/>
      <c r="JV56" s="412"/>
      <c r="JW56" s="412"/>
      <c r="JX56" s="412"/>
      <c r="JY56" s="409"/>
      <c r="JZ56" s="398">
        <f>IF(JY56=0,0,IF(LEN(JQ56)=11,_xlfn.XLOOKUP(JQ56,'Dispensed Ink Rates'!C:C,'Dispensed Ink Rates'!CS:CS),VLOOKUP(JQ56,'Jan-2026 rates'!$E:$F,2,0)))</f>
        <v>0</v>
      </c>
      <c r="KA56" s="409"/>
      <c r="KB56" s="398">
        <f>IF(KA56=0,0,IF(LEN(JR56)=11,_xlfn.XLOOKUP(JR56,'Dispensed Ink Rates'!C:C,'Dispensed Ink Rates'!CS:CS),VLOOKUP(JR56,'Jan-2026 rates'!$E:$F,2,0)))</f>
        <v>0</v>
      </c>
      <c r="KC56" s="409"/>
      <c r="KD56" s="398">
        <f>IF(KC56=0,0,IF(LEN(JS56)=11,_xlfn.XLOOKUP(JS56,'Dispensed Ink Rates'!C:C,'Dispensed Ink Rates'!CS:CS),VLOOKUP(JS56,'Jan-2026 rates'!$E:$F,2,0)))</f>
        <v>0</v>
      </c>
      <c r="KE56" s="409"/>
      <c r="KF56" s="398">
        <f>IF(KE56=0,0,IF(LEN(JT56)=11,_xlfn.XLOOKUP(JT56,'Dispensed Ink Rates'!C:C,'Dispensed Ink Rates'!CS:CS),VLOOKUP(JT56,'Jan-2026 rates'!$E:$F,2,0)))</f>
        <v>0</v>
      </c>
      <c r="KG56" s="409"/>
      <c r="KH56" s="398">
        <f>IF(KG56=0,0,IF(LEN(JU56)=11,_xlfn.XLOOKUP(JU56,'Dispensed Ink Rates'!C:C,'Dispensed Ink Rates'!CS:CS),VLOOKUP(JU56,'Jan-2026 rates'!$E:$F,2,0)))</f>
        <v>0</v>
      </c>
      <c r="KI56" s="409"/>
      <c r="KJ56" s="398">
        <f>IF(KI56=0,0,IF(LEN(JV56)=11,_xlfn.XLOOKUP(JV56,'Dispensed Ink Rates'!C:C,'Dispensed Ink Rates'!CS:CS),VLOOKUP(JV56,'Jan-2026 rates'!$E:$F,2,0)))</f>
        <v>0</v>
      </c>
      <c r="KK56" s="409"/>
      <c r="KL56" s="398">
        <f>IF(KK56=0,0,IF(LEN(JW56)=11,_xlfn.XLOOKUP(JW56,'Dispensed Ink Rates'!C:C,'Dispensed Ink Rates'!CS:CS),VLOOKUP(JW56,'Jan-2026 rates'!$E:$F,2,0)))</f>
        <v>0</v>
      </c>
      <c r="KM56" s="428"/>
      <c r="KN56" s="398">
        <f>IF(KM56=0,0,IF(LEN(JX56)=11,_xlfn.XLOOKUP(JX56,'Dispensed Ink Rates'!C:C,'Dispensed Ink Rates'!CS:CS),VLOOKUP(JX56,'Jan-2026 rates'!$E:$F,2,0)))</f>
        <v>0</v>
      </c>
      <c r="KO56" s="409"/>
      <c r="KP56" s="409"/>
      <c r="KQ56" s="411">
        <f t="shared" si="29"/>
        <v>0</v>
      </c>
      <c r="KR56" s="411">
        <f t="shared" si="30"/>
        <v>0</v>
      </c>
      <c r="KS56" s="410">
        <f t="shared" si="31"/>
        <v>0</v>
      </c>
      <c r="KT56" s="409">
        <v>10</v>
      </c>
      <c r="KU56" s="409">
        <v>20</v>
      </c>
      <c r="KV56" s="409">
        <v>10</v>
      </c>
      <c r="KW56" s="409">
        <v>10</v>
      </c>
      <c r="KX56" s="409">
        <f>5+8</f>
        <v>13</v>
      </c>
      <c r="KY56" s="409">
        <v>20</v>
      </c>
      <c r="KZ56" s="409">
        <f>60+60+120</f>
        <v>240</v>
      </c>
      <c r="LA56" s="409">
        <v>0</v>
      </c>
      <c r="LB56" s="415">
        <v>0.8</v>
      </c>
      <c r="LC56" s="415">
        <v>0.2</v>
      </c>
      <c r="LD56" s="415"/>
      <c r="LE56" s="415"/>
      <c r="LF56" s="415"/>
      <c r="LG56" s="409">
        <v>0</v>
      </c>
      <c r="LH56" s="409">
        <f>240+180+336+84+5+5+5+3</f>
        <v>858</v>
      </c>
      <c r="LI56" s="409">
        <v>0</v>
      </c>
      <c r="LJ56" s="409">
        <v>0</v>
      </c>
      <c r="LK56" s="416">
        <f t="shared" si="32"/>
        <v>858</v>
      </c>
      <c r="LL56" s="416">
        <f t="shared" si="33"/>
        <v>858</v>
      </c>
      <c r="LM56" s="417">
        <f t="shared" si="34"/>
        <v>686.40000000000009</v>
      </c>
      <c r="LN56" s="417">
        <f>VLOOKUP($LM$8,'Jan-2026 rates'!$H:$I,2,0)</f>
        <v>0</v>
      </c>
      <c r="LO56" s="417">
        <f t="shared" si="35"/>
        <v>171.60000000000002</v>
      </c>
      <c r="LP56" s="417">
        <f>VLOOKUP($LO$8,'Jan-2026 rates'!$H:$I,2,0)</f>
        <v>0</v>
      </c>
      <c r="LQ56" s="417">
        <f t="shared" si="36"/>
        <v>0</v>
      </c>
      <c r="LR56" s="417">
        <f>VLOOKUP($LQ$8,'Jan-2026 rates'!$H:$I,2,0)</f>
        <v>0</v>
      </c>
      <c r="LS56" s="417">
        <f t="shared" si="37"/>
        <v>0</v>
      </c>
      <c r="LT56" s="417">
        <f>VLOOKUP($LS$8,'Jan-2026 rates'!$H:$I,2,0)</f>
        <v>0</v>
      </c>
      <c r="LU56" s="417">
        <f t="shared" si="38"/>
        <v>0</v>
      </c>
      <c r="LV56" s="417">
        <f>VLOOKUP($LU$8,'Jan-2026 rates'!$H:$I,2,0)</f>
        <v>0</v>
      </c>
      <c r="LW56" s="417">
        <f t="shared" si="39"/>
        <v>0</v>
      </c>
      <c r="LX56" s="417">
        <f t="shared" si="40"/>
        <v>0</v>
      </c>
      <c r="LY56" s="418">
        <f t="shared" si="41"/>
        <v>0</v>
      </c>
      <c r="LZ56" s="417"/>
      <c r="MA56" s="435">
        <f t="shared" si="42"/>
        <v>863.36</v>
      </c>
      <c r="MB56" s="282">
        <f t="shared" si="43"/>
        <v>1724.3600000000001</v>
      </c>
      <c r="MC56" s="283">
        <v>11</v>
      </c>
      <c r="MD56" s="284" t="str">
        <f t="shared" si="44"/>
        <v>FLINTSLFLINTSLFLINTSLFLINTSLFLINTSLFLINTSLFLINTSL</v>
      </c>
      <c r="ME56" s="293" t="str">
        <f t="shared" si="45"/>
        <v>+</v>
      </c>
      <c r="MF56" s="293" t="str">
        <f t="shared" si="46"/>
        <v>+</v>
      </c>
      <c r="MG56" s="293" t="str">
        <f t="shared" si="47"/>
        <v>+</v>
      </c>
      <c r="MH56" s="293" t="str">
        <f t="shared" si="48"/>
        <v>+</v>
      </c>
      <c r="MI56" s="293" t="str">
        <f t="shared" si="49"/>
        <v>+</v>
      </c>
      <c r="MJ56" s="293" t="str">
        <f t="shared" si="50"/>
        <v>+</v>
      </c>
      <c r="MK56" s="293" t="str">
        <f t="shared" si="51"/>
        <v>+</v>
      </c>
      <c r="ML56" s="293" t="str">
        <f t="shared" si="52"/>
        <v>NIL</v>
      </c>
      <c r="MM56" s="3" t="b">
        <f t="array" ref="MM56">OR(ME56:ML56="-")</f>
        <v>0</v>
      </c>
      <c r="MN56" s="285"/>
      <c r="MO56" s="401"/>
      <c r="MP56" s="286"/>
      <c r="MQ56" s="286"/>
      <c r="MR56" s="402"/>
      <c r="MS56" s="400"/>
      <c r="NH56" s="422"/>
      <c r="NJ56" s="421"/>
    </row>
    <row r="57" spans="1:374" s="1" customFormat="1" ht="16.5">
      <c r="A57" s="403">
        <v>46026</v>
      </c>
      <c r="B57" s="404" t="s">
        <v>1015</v>
      </c>
      <c r="C57" s="405" t="s">
        <v>2885</v>
      </c>
      <c r="D57" s="406">
        <v>12</v>
      </c>
      <c r="E57" s="404">
        <v>1724</v>
      </c>
      <c r="F57" s="407">
        <v>92900</v>
      </c>
      <c r="G57" s="407" t="s">
        <v>1019</v>
      </c>
      <c r="H57" s="408" t="s">
        <v>1017</v>
      </c>
      <c r="I57" s="409">
        <v>1.9</v>
      </c>
      <c r="J57" s="405" t="s">
        <v>543</v>
      </c>
      <c r="K57" s="404" t="s">
        <v>2886</v>
      </c>
      <c r="L57" s="419" t="str">
        <f t="shared" si="0"/>
        <v>FLINTSL - BLACK</v>
      </c>
      <c r="M57" s="404">
        <v>29</v>
      </c>
      <c r="N57" s="410">
        <f>IF(M57=0,0,IF($LB57=70%,VLOOKUP($L57,'Jan-2026 rates'!$L:$R,4,0),IF($LB57=65%,VLOOKUP($L57,'Jan-2026 rates'!$L:$R,4,0),IF($LB57=40%,VLOOKUP($L57,'Jan-2026 rates'!$L:$R,5,0),IF($LB57=30%,VLOOKUP($L57,'Jan-2026 rates'!$L:$R,6,0),IF($LB57=100%,VLOOKUP($L57,'Jan-2026 rates'!$L:$R,7,0),IF($LB57=60%,VLOOKUP($L57,'Jan-2026 rates'!$L:$S,8,0),IF($LB57=80%,VLOOKUP($L57,'Jan-2026 rates'!L:T,9,0),0))))))))</f>
        <v>0</v>
      </c>
      <c r="O57" s="406"/>
      <c r="P57" s="404"/>
      <c r="Q57" s="410">
        <f>IF(P57=0,0,IF($LB57=70%,VLOOKUP($L57,'Jan-2026 rates'!$L:$R,4,0),IF($LB57=65%,VLOOKUP($L57,'Jan-2026 rates'!$L:$R,4,0),IF($LB57=40%,VLOOKUP($L57,'Jan-2026 rates'!$L:$R,5,0),IF($LB57=30%,VLOOKUP($L57,'Jan-2026 rates'!$L:$R,6,0),IF($LB57=100%,VLOOKUP($L57,'Jan-2026 rates'!$L:$R,7,0),IF($LB57=60%,VLOOKUP($L57,'Jan-2026 rates'!$L:$S,8,0),IF($LB57=80%,VLOOKUP($L57,'Jan-2026 rates'!L:T,9,0),0))))))))</f>
        <v>0</v>
      </c>
      <c r="R57" s="406">
        <v>26503000005</v>
      </c>
      <c r="S57" s="406"/>
      <c r="T57" s="406"/>
      <c r="U57" s="406"/>
      <c r="V57" s="406"/>
      <c r="W57" s="406"/>
      <c r="X57" s="406"/>
      <c r="Y57" s="406"/>
      <c r="Z57" s="404">
        <f>6+2</f>
        <v>8</v>
      </c>
      <c r="AA57" s="398" t="e">
        <f>IF(Z57=0,0,IF(LEN(R57)=11,_xlfn.XLOOKUP(R57,'Dispensed Ink Rates'!C:C,'Dispensed Ink Rates'!CS:CS),VLOOKUP(R57,'Jan-2026 rates'!$E:$F,2,0)))</f>
        <v>#N/A</v>
      </c>
      <c r="AB57" s="404"/>
      <c r="AC57" s="398">
        <f>IF(AB57=0,0,IF(LEN(S57)=11,_xlfn.XLOOKUP(S57,'Dispensed Ink Rates'!C:C,'Dispensed Ink Rates'!CS:CS),VLOOKUP(S57,'Jan-2026 rates'!$E:$F,2,0)))</f>
        <v>0</v>
      </c>
      <c r="AD57" s="404"/>
      <c r="AE57" s="398">
        <f>IF(AD57=0,0,IF(LEN(T57)=11,_xlfn.XLOOKUP(T57,'Dispensed Ink Rates'!C:C,'Dispensed Ink Rates'!CS:CS),VLOOKUP(T57,'Jan-2026 rates'!$E:$F,2,0)))</f>
        <v>0</v>
      </c>
      <c r="AF57" s="404"/>
      <c r="AG57" s="398">
        <f>IF(AF57=0,0,IF(LEN(U57)=11,_xlfn.XLOOKUP(U57,'Dispensed Ink Rates'!C:C,'Dispensed Ink Rates'!CS:CS),VLOOKUP(U57,'Jan-2026 rates'!$E:$F,2,0)))</f>
        <v>0</v>
      </c>
      <c r="AH57" s="404"/>
      <c r="AI57" s="398">
        <f>IF(AH57=0,0,IF(LEN(V57)=11,_xlfn.XLOOKUP(V57,'Dispensed Ink Rates'!C:C,'Dispensed Ink Rates'!CS:CS),VLOOKUP(V57,'Jan-2026 rates'!$E:$F,2,0)))</f>
        <v>0</v>
      </c>
      <c r="AJ57" s="404"/>
      <c r="AK57" s="398">
        <f>IF(AJ57=0,0,IF(LEN(W57)=11,_xlfn.XLOOKUP(W57,'Dispensed Ink Rates'!C:C,'Dispensed Ink Rates'!CS:CS),VLOOKUP(W57,'Jan-2026 rates'!$E:$F,2,0)))</f>
        <v>0</v>
      </c>
      <c r="AL57" s="404"/>
      <c r="AM57" s="398">
        <f>IF(AL57=0,0,IF(LEN(X57)=11,_xlfn.XLOOKUP(X57,'Dispensed Ink Rates'!C:C,'Dispensed Ink Rates'!CS:CS),VLOOKUP(X57,'Jan-2026 rates'!$E:$F,2,0)))</f>
        <v>0</v>
      </c>
      <c r="AN57" s="404"/>
      <c r="AO57" s="398">
        <f>IF(AN57=0,0,IF(LEN(Y57)=11,_xlfn.XLOOKUP(Y57,'Dispensed Ink Rates'!C:C,'Dispensed Ink Rates'!CS:CS),VLOOKUP(Y57,'Jan-2026 rates'!$E:$F,2,0)))</f>
        <v>0</v>
      </c>
      <c r="AP57" s="409" t="s">
        <v>1443</v>
      </c>
      <c r="AQ57" s="409">
        <v>30</v>
      </c>
      <c r="AR57" s="410">
        <f t="shared" si="1"/>
        <v>0</v>
      </c>
      <c r="AS57" s="411">
        <f t="shared" si="2"/>
        <v>21.85221674876847</v>
      </c>
      <c r="AT57" s="410">
        <f t="shared" si="3"/>
        <v>0</v>
      </c>
      <c r="AU57" s="405" t="s">
        <v>546</v>
      </c>
      <c r="AV57" s="409" t="s">
        <v>2887</v>
      </c>
      <c r="AW57" s="420" t="str">
        <f t="shared" si="53"/>
        <v>FLINTSL - REFLEX BLUE</v>
      </c>
      <c r="AX57" s="409">
        <v>30</v>
      </c>
      <c r="AY57" s="411">
        <f>IF(AX57=0,0,IF($LB57=70%,VLOOKUP($AW57,'Jan-2026 rates'!$L:$R,4,0),IF($LB57=65%,VLOOKUP($AW57,'Jan-2026 rates'!$L:$R,4,0),IF($LB57=40%,VLOOKUP($AW57,'Jan-2026 rates'!$L:$R,5,0),IF($LB57=30%,VLOOKUP($AW57,'Jan-2026 rates'!$L:$R,6,0),IF($LB57=100%,VLOOKUP($AW57,'Jan-2026 rates'!$L:$R,7,0),IF($LB57=60%,VLOOKUP($AW57,'Jan-2026 rates'!$L:$S,8,0),IF($LB57=80%,VLOOKUP($AW57,'Jan-2026 rates'!L:T,9,0),0))))))))</f>
        <v>0</v>
      </c>
      <c r="AZ57" s="412" t="s">
        <v>2888</v>
      </c>
      <c r="BA57" s="409">
        <v>30</v>
      </c>
      <c r="BB57" s="411">
        <f>IF(BA57=0,0,IF($LB57=70%,VLOOKUP($AW57,'Jan-2026 rates'!$L:$R,4,0),IF($LB57=65%,VLOOKUP($AW57,'Jan-2026 rates'!$L:$R,4,0),IF($LB57=40%,VLOOKUP($AW57,'Jan-2026 rates'!$L:$R,5,0),IF($LB57=30%,VLOOKUP($AW57,'Jan-2026 rates'!$L:$R,6,0),IF($LB57=100%,VLOOKUP($AW57,'Jan-2026 rates'!$L:$R,7,0),IF($LB57=60%,VLOOKUP($AW57,'Jan-2026 rates'!$L:$S,8,0),IF($LB57=80%,VLOOKUP($AW57,'Jan-2026 rates'!L:T,9,0),0))))))))</f>
        <v>0</v>
      </c>
      <c r="BC57" s="413">
        <v>9472</v>
      </c>
      <c r="BD57" s="412">
        <v>25864000009</v>
      </c>
      <c r="BE57" s="412">
        <v>26504000007</v>
      </c>
      <c r="BF57" s="413">
        <v>26503000017</v>
      </c>
      <c r="BG57" s="412"/>
      <c r="BH57" s="412"/>
      <c r="BI57" s="412"/>
      <c r="BJ57" s="412"/>
      <c r="BK57" s="409">
        <v>130</v>
      </c>
      <c r="BL57" s="398">
        <f>IF(BK57=0,0,IF(LEN(BC57)=11,_xlfn.XLOOKUP(BC57,'Dispensed Ink Rates'!C:C,'Dispensed Ink Rates'!CS:CS),VLOOKUP(BC57,'Jan-2026 rates'!$E:$F,2,0)))</f>
        <v>0</v>
      </c>
      <c r="BM57" s="409">
        <v>20</v>
      </c>
      <c r="BN57" s="398" t="e">
        <f>IF(BM57=0,0,IF(LEN(BD57)=11,_xlfn.XLOOKUP(BD57,'Dispensed Ink Rates'!C:C,'Dispensed Ink Rates'!CS:CS),VLOOKUP(BD57,'Jan-2026 rates'!$E:$F,2,0)))</f>
        <v>#N/A</v>
      </c>
      <c r="BO57" s="409">
        <v>164</v>
      </c>
      <c r="BP57" s="398" t="e">
        <f>IF(BO57=0,0,IF(LEN(BE57)=11,_xlfn.XLOOKUP(BE57,'Dispensed Ink Rates'!C:C,'Dispensed Ink Rates'!CS:CS),VLOOKUP(BE57,'Jan-2026 rates'!$E:$F,2,0)))</f>
        <v>#N/A</v>
      </c>
      <c r="BQ57" s="409">
        <v>10</v>
      </c>
      <c r="BR57" s="398" t="e">
        <f>IF(BQ57=0,0,IF(LEN(BF57)=11,_xlfn.XLOOKUP(BF57,'Dispensed Ink Rates'!C:C,'Dispensed Ink Rates'!CS:CS),VLOOKUP(BF57,'Jan-2026 rates'!$E:$F,2,0)))</f>
        <v>#N/A</v>
      </c>
      <c r="BS57" s="409"/>
      <c r="BT57" s="398">
        <f>IF(BS57=0,0,IF(LEN(BG57)=11,_xlfn.XLOOKUP(BG57,'Dispensed Ink Rates'!C:C,'Dispensed Ink Rates'!CS:CS),VLOOKUP(BG57,'Jan-2026 rates'!$E:$F,2,0)))</f>
        <v>0</v>
      </c>
      <c r="BU57" s="409"/>
      <c r="BV57" s="398">
        <f>IF(BU57=0,0,IF(LEN(BH57)=11,_xlfn.XLOOKUP(BH57,'Dispensed Ink Rates'!C:C,'Dispensed Ink Rates'!CS:CS),VLOOKUP(BH57,'Jan-2026 rates'!$E:$F,2,0)))</f>
        <v>0</v>
      </c>
      <c r="BW57" s="409"/>
      <c r="BX57" s="398">
        <f>IF(BW57=0,0,IF(LEN(BI57)=11,_xlfn.XLOOKUP(BI57,'Dispensed Ink Rates'!C:C,'Dispensed Ink Rates'!CS:CS),VLOOKUP(BI57,'Jan-2026 rates'!$E:$F,2,0)))</f>
        <v>0</v>
      </c>
      <c r="BY57" s="409"/>
      <c r="BZ57" s="398">
        <f>IF(BY57=0,0,IF(LEN(BJ57)=11,_xlfn.XLOOKUP(BJ57,'Dispensed Ink Rates'!C:C,'Dispensed Ink Rates'!CS:CS),VLOOKUP(BJ57,'Jan-2026 rates'!$E:$F,2,0)))</f>
        <v>0</v>
      </c>
      <c r="CA57" s="409" t="s">
        <v>1443</v>
      </c>
      <c r="CB57" s="409">
        <v>32</v>
      </c>
      <c r="CC57" s="411">
        <f t="shared" si="5"/>
        <v>0</v>
      </c>
      <c r="CD57" s="411">
        <f t="shared" si="6"/>
        <v>366.85221674876846</v>
      </c>
      <c r="CE57" s="410">
        <f t="shared" si="7"/>
        <v>0</v>
      </c>
      <c r="CF57" s="404" t="s">
        <v>857</v>
      </c>
      <c r="CG57" s="409" t="s">
        <v>2889</v>
      </c>
      <c r="CH57" s="420" t="str">
        <f t="shared" si="8"/>
        <v>FLINTSL - RED</v>
      </c>
      <c r="CI57" s="409">
        <v>32</v>
      </c>
      <c r="CJ57" s="411">
        <f>IF(CI57=0,0,IF($LB57=70%,VLOOKUP($CH57,'Jan-2026 rates'!$L:$R,4,0),IF($LB57=65%,VLOOKUP($CH57,'Jan-2026 rates'!$L:$R,4,0),IF($LB57=40%,VLOOKUP($CH57,'Jan-2026 rates'!$L:$R,5,0),IF($LB57=30%,VLOOKUP($CH57,'Jan-2026 rates'!$L:$R,6,0),IF($LB57=100%,VLOOKUP($CH57,'Jan-2026 rates'!$L:$R,7,0),IF($LB57=60%,VLOOKUP($CH57,'Jan-2026 rates'!$L:$S,8,0),IF($LB57=80%,VLOOKUP($CH57,'Jan-2026 rates'!L:T,9,0),0))))))))</f>
        <v>0</v>
      </c>
      <c r="CK57" s="412"/>
      <c r="CL57" s="409"/>
      <c r="CM57" s="411">
        <f>IF(CL57=0,0,IF($LB57=70%,VLOOKUP($CH57,'Jan-2026 rates'!$L:$R,4,0),IF($LB57=65%,VLOOKUP($CH57,'Jan-2026 rates'!$L:$R,4,0),IF($LB57=40%,VLOOKUP($CH57,'Jan-2026 rates'!$L:$R,5,0),IF($LB57=30%,VLOOKUP($CH57,'Jan-2026 rates'!$L:$R,6,0),IF($LB57=100%,VLOOKUP($CH57,'Jan-2026 rates'!$L:$R,7,0),IF($LB57=60%,VLOOKUP($CH57,'Jan-2026 rates'!$L:$S,8,0),IF($LB57=80%,VLOOKUP($CH57,'Jan-2026 rates'!L:T,9,0),0))))))))</f>
        <v>0</v>
      </c>
      <c r="CN57" s="426">
        <v>26504000005</v>
      </c>
      <c r="CO57" s="427">
        <v>26503000005</v>
      </c>
      <c r="CP57" s="426"/>
      <c r="CQ57" s="426"/>
      <c r="CR57" s="428"/>
      <c r="CS57" s="428"/>
      <c r="CT57" s="428"/>
      <c r="CU57" s="428"/>
      <c r="CV57" s="409">
        <v>10</v>
      </c>
      <c r="CW57" s="398" t="e">
        <f>IF(CV57=0,0,IF(LEN(CN57)=11,_xlfn.XLOOKUP(CN57,'Dispensed Ink Rates'!C:C,'Dispensed Ink Rates'!CS:CS),VLOOKUP(CN57,'Jan-2026 rates'!$E:$F,2,0)))</f>
        <v>#N/A</v>
      </c>
      <c r="CX57" s="409">
        <v>0.2</v>
      </c>
      <c r="CY57" s="398" t="e">
        <f>IF(CX57=0,0,IF(LEN(CO57)=11,_xlfn.XLOOKUP(CO57,'Dispensed Ink Rates'!C:C,'Dispensed Ink Rates'!CS:CS),VLOOKUP(CO57,'Jan-2026 rates'!$E:$F,2,0)))</f>
        <v>#N/A</v>
      </c>
      <c r="CZ57" s="409"/>
      <c r="DA57" s="398">
        <f>IF(CZ57=0,0,IF(LEN(CP57)=11,_xlfn.XLOOKUP(CP57,'Dispensed Ink Rates'!C:C,'Dispensed Ink Rates'!CS:CS),VLOOKUP(CP57,'Jan-2026 rates'!$E:$F,2,0)))</f>
        <v>0</v>
      </c>
      <c r="DB57" s="409"/>
      <c r="DC57" s="398">
        <f>IF(DB57=0,0,IF(LEN(CQ57)=11,_xlfn.XLOOKUP(CQ57,'Dispensed Ink Rates'!C:C,'Dispensed Ink Rates'!CS:CS),VLOOKUP(CQ57,'Jan-2026 rates'!$E:$F,2,0)))</f>
        <v>0</v>
      </c>
      <c r="DD57" s="409"/>
      <c r="DE57" s="398">
        <f>IF(DD57=0,0,IF(LEN(CR57)=11,_xlfn.XLOOKUP(CR57,'Dispensed Ink Rates'!C:C,'Dispensed Ink Rates'!CS:CS),VLOOKUP(CR57,'Jan-2026 rates'!$E:$F,2,0)))</f>
        <v>0</v>
      </c>
      <c r="DF57" s="409"/>
      <c r="DG57" s="398">
        <f>IF(DF57=0,0,IF(LEN(CS57)=11,_xlfn.XLOOKUP(CS57,'Dispensed Ink Rates'!C:C,'Dispensed Ink Rates'!CS:CS),VLOOKUP(CS57,'Jan-2026 rates'!$E:$F,2,0)))</f>
        <v>0</v>
      </c>
      <c r="DH57" s="409"/>
      <c r="DI57" s="398">
        <f>IF(DH57=0,0,IF(LEN(CT57)=11,_xlfn.XLOOKUP(CT57,'Dispensed Ink Rates'!C:C,'Dispensed Ink Rates'!CS:CS),VLOOKUP(CT57,'Jan-2026 rates'!$E:$F,2,0)))</f>
        <v>0</v>
      </c>
      <c r="DJ57" s="409"/>
      <c r="DK57" s="398">
        <f>IF(DJ57=0,0,IF(LEN(CU57)=11,_xlfn.XLOOKUP(CU57,'Dispensed Ink Rates'!C:C,'Dispensed Ink Rates'!CS:CS),VLOOKUP(CU57,'Jan-2026 rates'!$E:$F,2,0)))</f>
        <v>0</v>
      </c>
      <c r="DL57" s="409" t="s">
        <v>1443</v>
      </c>
      <c r="DM57" s="409">
        <f>30+5</f>
        <v>35</v>
      </c>
      <c r="DN57" s="411">
        <f t="shared" si="9"/>
        <v>0</v>
      </c>
      <c r="DO57" s="411">
        <f t="shared" si="10"/>
        <v>7.2000000000000028</v>
      </c>
      <c r="DP57" s="410">
        <f t="shared" si="11"/>
        <v>0</v>
      </c>
      <c r="DQ57" s="405" t="s">
        <v>855</v>
      </c>
      <c r="DR57" s="409" t="s">
        <v>2890</v>
      </c>
      <c r="DS57" s="420" t="str">
        <f t="shared" si="12"/>
        <v>FLINTSL - CYAN</v>
      </c>
      <c r="DT57" s="409">
        <v>31</v>
      </c>
      <c r="DU57" s="411">
        <f>IF(DT57=0,0,IF($LB57=70%,VLOOKUP($DS57,'Jan-2026 rates'!$L:$R,4,0),IF($LB57=65%,VLOOKUP($DS57,'Jan-2026 rates'!$L:$R,4,0),IF($LB57=40%,VLOOKUP($DS57,'Jan-2026 rates'!$L:$R,5,0),IF($LB57=30%,VLOOKUP($DS57,'Jan-2026 rates'!$L:$R,6,0),IF($LB57=100%,VLOOKUP($DS57,'Jan-2026 rates'!$L:$R,7,0),IF($LB57=60%,VLOOKUP($DS57,'Jan-2026 rates'!$L:$S,8,0),IF($LB57=80%,VLOOKUP($DS57,'Jan-2026 rates'!L:T,9,0),0))))))))</f>
        <v>0</v>
      </c>
      <c r="DV57" s="412"/>
      <c r="DW57" s="409"/>
      <c r="DX57" s="411">
        <f>IF(DW57=0,0,IF($LB57=70%,VLOOKUP($DS57,'Jan-2026 rates'!$L:$R,4,0),IF($LB57=65%,VLOOKUP($DS57,'Jan-2026 rates'!$L:$R,4,0),IF($LB57=40%,VLOOKUP($DS57,'Jan-2026 rates'!$L:$R,5,0),IF($LB57=30%,VLOOKUP($DS57,'Jan-2026 rates'!$L:$R,6,0),IF($LB57=100%,VLOOKUP($DS57,'Jan-2026 rates'!$L:$R,7,0),IF($LB57=60%,VLOOKUP($DS57,'Jan-2026 rates'!$L:$S,8,0),IF($LB57=80%,VLOOKUP($DS57,'Jan-2026 rates'!L:T,9,0),0))))))))</f>
        <v>0</v>
      </c>
      <c r="DY57" s="413">
        <v>25864000009</v>
      </c>
      <c r="DZ57" s="413" t="s">
        <v>1266</v>
      </c>
      <c r="EA57" s="412"/>
      <c r="EB57" s="412"/>
      <c r="EC57" s="412"/>
      <c r="ED57" s="412"/>
      <c r="EE57" s="412"/>
      <c r="EF57" s="412"/>
      <c r="EG57" s="409">
        <v>12</v>
      </c>
      <c r="EH57" s="398" t="e">
        <f>IF(EG57=0,0,IF(LEN(DY57)=11,_xlfn.XLOOKUP(DY57,'Dispensed Ink Rates'!C:C,'Dispensed Ink Rates'!CS:CS),VLOOKUP(DY57,'Jan-2026 rates'!$E:$F,2,0)))</f>
        <v>#N/A</v>
      </c>
      <c r="EI57" s="409">
        <v>6</v>
      </c>
      <c r="EJ57" s="398">
        <f>IF(EI57=0,0,IF(LEN(DZ57)=11,_xlfn.XLOOKUP(DZ57,'Dispensed Ink Rates'!C:C,'Dispensed Ink Rates'!CS:CS),VLOOKUP(DZ57,'Jan-2026 rates'!$E:$F,2,0)))</f>
        <v>0</v>
      </c>
      <c r="EK57" s="409"/>
      <c r="EL57" s="398">
        <f>IF(EK57=0,0,IF(LEN(EA57)=11,_xlfn.XLOOKUP(EA57,'Dispensed Ink Rates'!C:C,'Dispensed Ink Rates'!CS:CS),VLOOKUP(EA57,'Jan-2026 rates'!$E:$F,2,0)))</f>
        <v>0</v>
      </c>
      <c r="EM57" s="409"/>
      <c r="EN57" s="398">
        <f>IF(EM57=0,0,IF(LEN(EB57)=11,_xlfn.XLOOKUP(EB57,'Dispensed Ink Rates'!C:C,'Dispensed Ink Rates'!CS:CS),VLOOKUP(EB57,'Jan-2026 rates'!$E:$F,2,0)))</f>
        <v>0</v>
      </c>
      <c r="EO57" s="409"/>
      <c r="EP57" s="398">
        <f>IF(EO57=0,0,IF(LEN(EC57)=11,_xlfn.XLOOKUP(EC57,'Dispensed Ink Rates'!C:C,'Dispensed Ink Rates'!CS:CS),VLOOKUP(EC57,'Jan-2026 rates'!$E:$F,2,0)))</f>
        <v>0</v>
      </c>
      <c r="EQ57" s="409"/>
      <c r="ER57" s="398">
        <f>IF(EQ57=0,0,IF(LEN(ED57)=11,_xlfn.XLOOKUP(ED57,'Dispensed Ink Rates'!C:C,'Dispensed Ink Rates'!CS:CS),VLOOKUP(ED57,'Jan-2026 rates'!$E:$F,2,0)))</f>
        <v>0</v>
      </c>
      <c r="ES57" s="409"/>
      <c r="ET57" s="398">
        <f>IF(ES57=0,0,IF(LEN(EE57)=11,_xlfn.XLOOKUP(EE57,'Dispensed Ink Rates'!C:C,'Dispensed Ink Rates'!CS:CS),VLOOKUP(EE57,'Jan-2026 rates'!$E:$F,2,0)))</f>
        <v>0</v>
      </c>
      <c r="EU57" s="409"/>
      <c r="EV57" s="398">
        <f>IF(EU57=0,0,IF(LEN(EF57)=11,_xlfn.XLOOKUP(EF57,'Dispensed Ink Rates'!C:C,'Dispensed Ink Rates'!CS:CS),VLOOKUP(EF57,'Jan-2026 rates'!$E:$F,2,0)))</f>
        <v>0</v>
      </c>
      <c r="EW57" s="409" t="s">
        <v>1443</v>
      </c>
      <c r="EX57" s="409">
        <v>45</v>
      </c>
      <c r="EY57" s="411">
        <f t="shared" si="13"/>
        <v>0</v>
      </c>
      <c r="EZ57" s="411">
        <f t="shared" si="14"/>
        <v>27.763546798029552</v>
      </c>
      <c r="FA57" s="410">
        <f t="shared" si="15"/>
        <v>0</v>
      </c>
      <c r="FB57" s="405" t="s">
        <v>544</v>
      </c>
      <c r="FC57" s="409" t="s">
        <v>2891</v>
      </c>
      <c r="FD57" s="420" t="str">
        <f t="shared" si="16"/>
        <v>FLINTSL - MAGENTA</v>
      </c>
      <c r="FE57" s="409">
        <v>30</v>
      </c>
      <c r="FF57" s="411">
        <f>IF(FE57=0,0,IF($LB57=70%,VLOOKUP($FD57,'Jan-2026 rates'!$L:$R,4,0),IF($LB57=65%,VLOOKUP($FD57,'Jan-2026 rates'!$L:$R,4,0),IF($LB57=40%,VLOOKUP($FD57,'Jan-2026 rates'!$L:$R,5,0),IF($LB57=30%,VLOOKUP($FD57,'Jan-2026 rates'!$L:$R,6,0),IF($LB57=100%,VLOOKUP($FD57,'Jan-2026 rates'!$L:$R,7,0),IF($LB57=60%,VLOOKUP($FD57,'Jan-2026 rates'!$L:$S,8,0),IF($LB57=80%,VLOOKUP($FD57,'Jan-2026 rates'!L:T,9,0),0))))))))</f>
        <v>0</v>
      </c>
      <c r="FG57" s="412"/>
      <c r="FH57" s="409"/>
      <c r="FI57" s="411">
        <f>IF(FH57=0,0,IF($LB57=70%,VLOOKUP($FD57,'Jan-2026 rates'!$L:$R,4,0),IF($LB57=65%,VLOOKUP($FD57,'Jan-2026 rates'!$L:$R,4,0),IF($LB57=40%,VLOOKUP($FD57,'Jan-2026 rates'!$L:$R,5,0),IF($LB57=30%,VLOOKUP($FD57,'Jan-2026 rates'!$L:$R,6,0),IF($LB57=100%,VLOOKUP($FD57,'Jan-2026 rates'!$L:$R,7,0),IF($LB57=60%,VLOOKUP($FD57,'Jan-2026 rates'!$L:$S,8,0),IF($LB57=80%,VLOOKUP($FD57,'Jan-2026 rates'!L:T,9,0),0))))))))</f>
        <v>0</v>
      </c>
      <c r="FJ57" s="413" t="s">
        <v>1266</v>
      </c>
      <c r="FK57" s="413">
        <v>26504000005</v>
      </c>
      <c r="FL57" s="413"/>
      <c r="FM57" s="412"/>
      <c r="FN57" s="412"/>
      <c r="FO57" s="412"/>
      <c r="FP57" s="412"/>
      <c r="FQ57" s="412"/>
      <c r="FR57" s="409">
        <v>7</v>
      </c>
      <c r="FS57" s="398">
        <f>IF(FR57=0,0,IF(LEN(FJ57)=11,_xlfn.XLOOKUP(FJ57,'Dispensed Ink Rates'!C:C,'Dispensed Ink Rates'!CS:CS),VLOOKUP(FJ57,'Jan-2026 rates'!$E:$F,2,0)))</f>
        <v>0</v>
      </c>
      <c r="FT57" s="409">
        <v>12</v>
      </c>
      <c r="FU57" s="398" t="e">
        <f>IF(FT57=0,0,IF(LEN(FK57)=11,_xlfn.XLOOKUP(FK57,'Dispensed Ink Rates'!C:C,'Dispensed Ink Rates'!CS:CS),VLOOKUP(FK57,'Jan-2026 rates'!$E:$F,2,0)))</f>
        <v>#N/A</v>
      </c>
      <c r="FV57" s="409"/>
      <c r="FW57" s="398">
        <f>IF(FV57=0,0,IF(LEN(FL57)=11,_xlfn.XLOOKUP(FL57,'Dispensed Ink Rates'!C:C,'Dispensed Ink Rates'!CS:CS),VLOOKUP(FL57,'Jan-2026 rates'!$E:$F,2,0)))</f>
        <v>0</v>
      </c>
      <c r="FX57" s="409"/>
      <c r="FY57" s="398">
        <f>IF(FX57=0,0,IF(LEN(FM57)=11,_xlfn.XLOOKUP(FM57,'Dispensed Ink Rates'!C:C,'Dispensed Ink Rates'!CS:CS),VLOOKUP(FM57,'Jan-2026 rates'!$E:$F,2,0)))</f>
        <v>0</v>
      </c>
      <c r="FZ57" s="409"/>
      <c r="GA57" s="398">
        <f>IF(FZ57=0,0,IF(LEN(FN57)=11,_xlfn.XLOOKUP(FN57,'Dispensed Ink Rates'!C:C,'Dispensed Ink Rates'!CS:CS),VLOOKUP(FN57,'Jan-2026 rates'!$E:$F,2,0)))</f>
        <v>0</v>
      </c>
      <c r="GB57" s="409"/>
      <c r="GC57" s="398">
        <f>IF(GB57=0,0,IF(LEN(FO57)=11,_xlfn.XLOOKUP(FO57,'Dispensed Ink Rates'!C:C,'Dispensed Ink Rates'!CS:CS),VLOOKUP(FO57,'Jan-2026 rates'!$E:$F,2,0)))</f>
        <v>0</v>
      </c>
      <c r="GD57" s="409"/>
      <c r="GE57" s="398">
        <f>IF(GD57=0,0,IF(LEN(FP57)=11,_xlfn.XLOOKUP(FP57,'Dispensed Ink Rates'!C:C,'Dispensed Ink Rates'!CS:CS),VLOOKUP(FP57,'Jan-2026 rates'!$E:$F,2,0)))</f>
        <v>0</v>
      </c>
      <c r="GF57" s="409"/>
      <c r="GG57" s="398">
        <f>IF(GF57=0,0,IF(LEN(FQ57)=11,_xlfn.XLOOKUP(FQ57,'Dispensed Ink Rates'!C:C,'Dispensed Ink Rates'!CS:CS),VLOOKUP(FQ57,'Jan-2026 rates'!$E:$F,2,0)))</f>
        <v>0</v>
      </c>
      <c r="GH57" s="409" t="s">
        <v>1443</v>
      </c>
      <c r="GI57" s="409">
        <v>30</v>
      </c>
      <c r="GJ57" s="411">
        <f t="shared" si="17"/>
        <v>0</v>
      </c>
      <c r="GK57" s="411">
        <f t="shared" si="18"/>
        <v>48.70443349753694</v>
      </c>
      <c r="GL57" s="410">
        <f t="shared" si="19"/>
        <v>0</v>
      </c>
      <c r="GM57" s="405" t="s">
        <v>545</v>
      </c>
      <c r="GN57" s="409" t="s">
        <v>2892</v>
      </c>
      <c r="GO57" s="420" t="str">
        <f t="shared" si="20"/>
        <v>FLINTSL - YELLOW</v>
      </c>
      <c r="GP57" s="409">
        <v>32</v>
      </c>
      <c r="GQ57" s="411">
        <f>IF(GP57=0,0,IF($LB57=70%,VLOOKUP($GO57,'Jan-2026 rates'!$L:$R,4,0),IF($LB57=65%,VLOOKUP($GO57,'Jan-2026 rates'!$L:$R,4,0),IF($LB57=40%,VLOOKUP($GO57,'Jan-2026 rates'!$L:$R,5,0),IF($LB57=30%,VLOOKUP($GO57,'Jan-2026 rates'!$L:$R,6,0),IF($LB57=100%,VLOOKUP($GO57,'Jan-2026 rates'!$L:$R,7,0),IF($LB57=60%,VLOOKUP($GO57,'Jan-2026 rates'!$L:$S,8,0),IF($LB57=80%,VLOOKUP($GO57,'Jan-2026 rates'!L:T,9,0),0))))))))</f>
        <v>0</v>
      </c>
      <c r="GR57" s="412"/>
      <c r="GS57" s="409"/>
      <c r="GT57" s="411">
        <f>IF(GS57=0,0,IF($LB57=70%,VLOOKUP($GO57,'Jan-2026 rates'!$L:$R,4,0),IF($LB57=65%,VLOOKUP($GO57,'Jan-2026 rates'!$L:$R,4,0),IF($LB57=40%,VLOOKUP($GO57,'Jan-2026 rates'!$L:$R,5,0),IF($LB57=30%,VLOOKUP($GO57,'Jan-2026 rates'!$L:$R,6,0),IF($LB57=100%,VLOOKUP($GO57,'Jan-2026 rates'!$L:$R,7,0),IF($LB57=60%,VLOOKUP($GO57,'Jan-2026 rates'!$L:$S,8,0),IF($LB57=80%,VLOOKUP($GO57,'Jan-2026 rates'!L:T,9,0),0))))))))</f>
        <v>0</v>
      </c>
      <c r="GU57" s="413">
        <v>26503000002</v>
      </c>
      <c r="GV57" s="413" t="s">
        <v>1266</v>
      </c>
      <c r="GW57" s="412"/>
      <c r="GX57" s="412"/>
      <c r="GY57" s="412"/>
      <c r="GZ57" s="412"/>
      <c r="HA57" s="412"/>
      <c r="HB57" s="412"/>
      <c r="HC57" s="409">
        <v>20</v>
      </c>
      <c r="HD57" s="398" t="e">
        <f>IF(HC57=0,0,IF(LEN(GU57)=11,_xlfn.XLOOKUP(GU57,'Dispensed Ink Rates'!C:C,'Dispensed Ink Rates'!CS:CS),VLOOKUP(GU57,'Jan-2026 rates'!$E:$F,2,0)))</f>
        <v>#N/A</v>
      </c>
      <c r="HE57" s="409">
        <v>10</v>
      </c>
      <c r="HF57" s="398">
        <f>IF(HE57=0,0,IF(LEN(GV57)=11,_xlfn.XLOOKUP(GV57,'Dispensed Ink Rates'!C:C,'Dispensed Ink Rates'!CS:CS),VLOOKUP(GV57,'Jan-2026 rates'!$E:$F,2,0)))</f>
        <v>0</v>
      </c>
      <c r="HG57" s="409"/>
      <c r="HH57" s="398">
        <f>IF(HG57=0,0,IF(LEN(GW57)=11,_xlfn.XLOOKUP(GW57,'Dispensed Ink Rates'!C:C,'Dispensed Ink Rates'!CS:CS),VLOOKUP(GW57,'Jan-2026 rates'!$E:$F,2,0)))</f>
        <v>0</v>
      </c>
      <c r="HI57" s="409"/>
      <c r="HJ57" s="398">
        <f>IF(HI57=0,0,IF(LEN(GX57)=11,_xlfn.XLOOKUP(GX57,'Dispensed Ink Rates'!C:C,'Dispensed Ink Rates'!CS:CS),VLOOKUP(GX57,'Jan-2026 rates'!$E:$F,2,0)))</f>
        <v>0</v>
      </c>
      <c r="HK57" s="409"/>
      <c r="HL57" s="398">
        <f>IF(HK57=0,0,IF(LEN(GY57)=11,_xlfn.XLOOKUP(GY57,'Dispensed Ink Rates'!C:C,'Dispensed Ink Rates'!CS:CS),VLOOKUP(GY57,'Jan-2026 rates'!$E:$F,2,0)))</f>
        <v>0</v>
      </c>
      <c r="HM57" s="409"/>
      <c r="HN57" s="398">
        <f>IF(HM57=0,0,IF(LEN(GZ57)=11,_xlfn.XLOOKUP(GZ57,'Dispensed Ink Rates'!C:C,'Dispensed Ink Rates'!CS:CS),VLOOKUP(GZ57,'Jan-2026 rates'!$E:$F,2,0)))</f>
        <v>0</v>
      </c>
      <c r="HO57" s="409"/>
      <c r="HP57" s="398">
        <f>IF(HO57=0,0,IF(LEN(HA57)=11,_xlfn.XLOOKUP(HA57,'Dispensed Ink Rates'!C:C,'Dispensed Ink Rates'!CS:CS),VLOOKUP(HA57,'Jan-2026 rates'!$E:$F,2,0)))</f>
        <v>0</v>
      </c>
      <c r="HQ57" s="409"/>
      <c r="HR57" s="398">
        <f>IF(HQ57=0,0,IF(LEN(HB57)=11,_xlfn.XLOOKUP(HB57,'Dispensed Ink Rates'!C:C,'Dispensed Ink Rates'!CS:CS),VLOOKUP(HB57,'Jan-2026 rates'!$E:$F,2,0)))</f>
        <v>0</v>
      </c>
      <c r="HS57" s="409" t="s">
        <v>1443</v>
      </c>
      <c r="HT57" s="409">
        <v>25</v>
      </c>
      <c r="HU57" s="411">
        <f t="shared" si="21"/>
        <v>0</v>
      </c>
      <c r="HV57" s="411">
        <f t="shared" si="22"/>
        <v>66.70443349753694</v>
      </c>
      <c r="HW57" s="414">
        <f t="shared" si="23"/>
        <v>0</v>
      </c>
      <c r="HX57" s="405" t="s">
        <v>856</v>
      </c>
      <c r="HY57" s="409" t="s">
        <v>2893</v>
      </c>
      <c r="HZ57" s="420" t="str">
        <f t="shared" si="24"/>
        <v>FLINTSL - WHITE</v>
      </c>
      <c r="IA57" s="409">
        <v>24</v>
      </c>
      <c r="IB57" s="411">
        <f>IF(IA57=0,0,IF($LB57=70%,VLOOKUP($HZ57,'Jan-2026 rates'!$L:$R,4,0),IF($LB57=65%,VLOOKUP($HZ57,'Jan-2026 rates'!$L:$R,4,0),IF($LB57=40%,VLOOKUP($HZ57,'Jan-2026 rates'!$L:$R,5,0),IF($LB57=30%,VLOOKUP($HZ57,'Jan-2026 rates'!$L:$R,6,0),IF($LB57=100%,VLOOKUP($HZ57,'Jan-2026 rates'!$L:$R,7,0),IF($LB57=60%,VLOOKUP($HZ57,'Jan-2026 rates'!$L:$S,8,0),IF($LB57=80%,VLOOKUP($HZ57,'Jan-2026 rates'!L:T,9,0),0))))))))</f>
        <v>0</v>
      </c>
      <c r="IC57" s="412"/>
      <c r="ID57" s="409"/>
      <c r="IE57" s="411">
        <f>IF(ID57=0,0,IF($LB57=70%,VLOOKUP($HZ57,'Jan-2026 rates'!$L:$R,4,0),IF($LB57=65%,VLOOKUP($HZ57,'Jan-2026 rates'!$L:$R,4,0),IF($LB57=40%,VLOOKUP($HZ57,'Jan-2026 rates'!$L:$R,5,0),IF($LB57=30%,VLOOKUP($HZ57,'Jan-2026 rates'!$L:$R,6,0),IF($LB57=100%,VLOOKUP($HZ57,'Jan-2026 rates'!$L:$R,7,0),IF($LB57=60%,VLOOKUP($HZ57,'Jan-2026 rates'!$L:$S,8,0),IF($LB57=80%,VLOOKUP($HZ57,'Jan-2026 rates'!L:T,9,0),0))))))))</f>
        <v>0</v>
      </c>
      <c r="IF57" s="412" t="s">
        <v>484</v>
      </c>
      <c r="IG57" s="413"/>
      <c r="IH57" s="412"/>
      <c r="II57" s="412"/>
      <c r="IJ57" s="412"/>
      <c r="IK57" s="412"/>
      <c r="IL57" s="412"/>
      <c r="IM57" s="412"/>
      <c r="IN57" s="409">
        <f>100+100+60</f>
        <v>260</v>
      </c>
      <c r="IO57" s="398">
        <f>IF(IN57=0,0,IF(LEN(IF57)=11,_xlfn.XLOOKUP(IF57,'Dispensed Ink Rates'!C:C,'Dispensed Ink Rates'!CS:CS),VLOOKUP(IF57,'Jan-2026 rates'!$E:$F,2,0)))</f>
        <v>0</v>
      </c>
      <c r="IP57" s="409"/>
      <c r="IQ57" s="398">
        <f>IF(IP57=0,0,IF(LEN(IG57)=11,_xlfn.XLOOKUP(IG57,'Dispensed Ink Rates'!C:C,'Dispensed Ink Rates'!CS:CS),VLOOKUP(IG57,'Jan-2026 rates'!$E:$F,2,0)))</f>
        <v>0</v>
      </c>
      <c r="IR57" s="409"/>
      <c r="IS57" s="398">
        <f>IF(IR57=0,0,IF(LEN(IH57)=11,_xlfn.XLOOKUP(IH57,'Dispensed Ink Rates'!C:C,'Dispensed Ink Rates'!CS:CS),VLOOKUP(IH57,'Jan-2026 rates'!$E:$F,2,0)))</f>
        <v>0</v>
      </c>
      <c r="IT57" s="409"/>
      <c r="IU57" s="398">
        <f>IF(IT57=0,0,IF(LEN(II57)=11,_xlfn.XLOOKUP(II57,'Dispensed Ink Rates'!C:C,'Dispensed Ink Rates'!CS:CS),VLOOKUP(II57,'Jan-2026 rates'!$E:$F,2,0)))</f>
        <v>0</v>
      </c>
      <c r="IV57" s="409"/>
      <c r="IW57" s="398">
        <f>IF(IV57=0,0,IF(LEN(IJ57)=11,_xlfn.XLOOKUP(IJ57,'Dispensed Ink Rates'!C:C,'Dispensed Ink Rates'!CS:CS),VLOOKUP(IJ57,'Jan-2026 rates'!$E:$F,2,0)))</f>
        <v>0</v>
      </c>
      <c r="IX57" s="409"/>
      <c r="IY57" s="398">
        <f>IF(IX57=0,0,IF(LEN(IK57)=11,_xlfn.XLOOKUP(IK57,'Dispensed Ink Rates'!C:C,'Dispensed Ink Rates'!CS:CS),VLOOKUP(IK57,'Jan-2026 rates'!$E:$F,2,0)))</f>
        <v>0</v>
      </c>
      <c r="IZ57" s="409"/>
      <c r="JA57" s="398">
        <f>IF(IZ57=0,0,IF(LEN(IL57)=11,_xlfn.XLOOKUP(IL57,'Dispensed Ink Rates'!C:C,'Dispensed Ink Rates'!CS:CS),VLOOKUP(IL57,'Jan-2026 rates'!$E:$F,2,0)))</f>
        <v>0</v>
      </c>
      <c r="JB57" s="409"/>
      <c r="JC57" s="398">
        <f>IF(JB57=0,0,IF(LEN(IM57)=11,_xlfn.XLOOKUP(IM57,'Dispensed Ink Rates'!C:C,'Dispensed Ink Rates'!CS:CS),VLOOKUP(IM57,'Jan-2026 rates'!$E:$F,2,0)))</f>
        <v>0</v>
      </c>
      <c r="JD57" s="409" t="s">
        <v>1443</v>
      </c>
      <c r="JE57" s="409">
        <v>30</v>
      </c>
      <c r="JF57" s="411">
        <f t="shared" si="25"/>
        <v>0</v>
      </c>
      <c r="JG57" s="411">
        <f t="shared" si="26"/>
        <v>298.55665024630542</v>
      </c>
      <c r="JH57" s="410">
        <f t="shared" si="27"/>
        <v>0</v>
      </c>
      <c r="JI57" s="405"/>
      <c r="JJ57" s="409"/>
      <c r="JK57" s="420" t="str">
        <f t="shared" si="28"/>
        <v xml:space="preserve"> - </v>
      </c>
      <c r="JL57" s="409"/>
      <c r="JM57" s="411">
        <f>IF(JL57=0,0,IF($LB57=70%,VLOOKUP($JK57,'Jan-2026 rates'!$L:$R,4,0),IF($LB57=65%,VLOOKUP($JK57,'Jan-2026 rates'!$L:$R,4,0),IF($LB57=40%,VLOOKUP($JK57,'Jan-2026 rates'!$L:$R,5,0),IF($LB57=30%,VLOOKUP($JK57,'Jan-2026 rates'!$L:$R,6,0),IF($LB57=100%,VLOOKUP($JK57,'Jan-2026 rates'!$L:$R,7,0),IF($LB57=60%,VLOOKUP($JK57,'Jan-2026 rates'!$L:$S,8,0),IF($LB57=80%,VLOOKUP($JK57,'Jan-2026 rates'!L:T,9,0),0))))))))</f>
        <v>0</v>
      </c>
      <c r="JN57" s="412"/>
      <c r="JO57" s="409"/>
      <c r="JP57" s="411">
        <f>IF(JO57=0,0,IF($LB57=70%,VLOOKUP($JK57,'Jan-2026 rates'!$L:$R,4,0),IF($LB57=65%,VLOOKUP($JK57,'Jan-2026 rates'!$L:$R,4,0),IF($LB57=40%,VLOOKUP($JK57,'Jan-2026 rates'!$L:$R,5,0),IF($LB57=30%,VLOOKUP($JK57,'Jan-2026 rates'!$L:$R,6,0),IF($LB57=100%,VLOOKUP($JK57,'Jan-2026 rates'!$L:$R,7,0),IF($LB57=60%,VLOOKUP($JK57,'Jan-2026 rates'!$L:$S,8,0),IF($LB57=80%,VLOOKUP($JK57,'Jan-2026 rates'!L:T,9,0),0))))))))</f>
        <v>0</v>
      </c>
      <c r="JQ57" s="413"/>
      <c r="JR57" s="412"/>
      <c r="JS57" s="413"/>
      <c r="JT57" s="413"/>
      <c r="JU57" s="412"/>
      <c r="JV57" s="412"/>
      <c r="JW57" s="412"/>
      <c r="JX57" s="412"/>
      <c r="JY57" s="409"/>
      <c r="JZ57" s="398">
        <f>IF(JY57=0,0,IF(LEN(JQ57)=11,_xlfn.XLOOKUP(JQ57,'Dispensed Ink Rates'!C:C,'Dispensed Ink Rates'!CS:CS),VLOOKUP(JQ57,'Jan-2026 rates'!$E:$F,2,0)))</f>
        <v>0</v>
      </c>
      <c r="KA57" s="409"/>
      <c r="KB57" s="398">
        <f>IF(KA57=0,0,IF(LEN(JR57)=11,_xlfn.XLOOKUP(JR57,'Dispensed Ink Rates'!C:C,'Dispensed Ink Rates'!CS:CS),VLOOKUP(JR57,'Jan-2026 rates'!$E:$F,2,0)))</f>
        <v>0</v>
      </c>
      <c r="KC57" s="409"/>
      <c r="KD57" s="398">
        <f>IF(KC57=0,0,IF(LEN(JS57)=11,_xlfn.XLOOKUP(JS57,'Dispensed Ink Rates'!C:C,'Dispensed Ink Rates'!CS:CS),VLOOKUP(JS57,'Jan-2026 rates'!$E:$F,2,0)))</f>
        <v>0</v>
      </c>
      <c r="KE57" s="409"/>
      <c r="KF57" s="398">
        <f>IF(KE57=0,0,IF(LEN(JT57)=11,_xlfn.XLOOKUP(JT57,'Dispensed Ink Rates'!C:C,'Dispensed Ink Rates'!CS:CS),VLOOKUP(JT57,'Jan-2026 rates'!$E:$F,2,0)))</f>
        <v>0</v>
      </c>
      <c r="KG57" s="409"/>
      <c r="KH57" s="398">
        <f>IF(KG57=0,0,IF(LEN(JU57)=11,_xlfn.XLOOKUP(JU57,'Dispensed Ink Rates'!C:C,'Dispensed Ink Rates'!CS:CS),VLOOKUP(JU57,'Jan-2026 rates'!$E:$F,2,0)))</f>
        <v>0</v>
      </c>
      <c r="KI57" s="409"/>
      <c r="KJ57" s="398">
        <f>IF(KI57=0,0,IF(LEN(JV57)=11,_xlfn.XLOOKUP(JV57,'Dispensed Ink Rates'!C:C,'Dispensed Ink Rates'!CS:CS),VLOOKUP(JV57,'Jan-2026 rates'!$E:$F,2,0)))</f>
        <v>0</v>
      </c>
      <c r="KK57" s="409"/>
      <c r="KL57" s="398">
        <f>IF(KK57=0,0,IF(LEN(JW57)=11,_xlfn.XLOOKUP(JW57,'Dispensed Ink Rates'!C:C,'Dispensed Ink Rates'!CS:CS),VLOOKUP(JW57,'Jan-2026 rates'!$E:$F,2,0)))</f>
        <v>0</v>
      </c>
      <c r="KM57" s="428"/>
      <c r="KN57" s="398">
        <f>IF(KM57=0,0,IF(LEN(JX57)=11,_xlfn.XLOOKUP(JX57,'Dispensed Ink Rates'!C:C,'Dispensed Ink Rates'!CS:CS),VLOOKUP(JX57,'Jan-2026 rates'!$E:$F,2,0)))</f>
        <v>0</v>
      </c>
      <c r="KO57" s="409"/>
      <c r="KP57" s="409"/>
      <c r="KQ57" s="411">
        <f t="shared" si="29"/>
        <v>0</v>
      </c>
      <c r="KR57" s="411">
        <f t="shared" si="30"/>
        <v>445.56650246305418</v>
      </c>
      <c r="KS57" s="410">
        <f t="shared" si="31"/>
        <v>0</v>
      </c>
      <c r="KT57" s="409">
        <v>5</v>
      </c>
      <c r="KU57" s="409">
        <v>5</v>
      </c>
      <c r="KV57" s="409">
        <v>0</v>
      </c>
      <c r="KW57" s="409">
        <v>8</v>
      </c>
      <c r="KX57" s="409">
        <v>10</v>
      </c>
      <c r="KY57" s="409">
        <v>10</v>
      </c>
      <c r="KZ57" s="409">
        <v>15</v>
      </c>
      <c r="LA57" s="409">
        <f>60+60+30</f>
        <v>150</v>
      </c>
      <c r="LB57" s="415">
        <v>0.8</v>
      </c>
      <c r="LC57" s="415">
        <v>0.2</v>
      </c>
      <c r="LD57" s="415"/>
      <c r="LE57" s="415"/>
      <c r="LF57" s="415"/>
      <c r="LG57" s="409">
        <v>0</v>
      </c>
      <c r="LH57" s="409">
        <f>150+140+240+60+5+5+3</f>
        <v>603</v>
      </c>
      <c r="LI57" s="409">
        <v>0</v>
      </c>
      <c r="LJ57" s="409">
        <v>0</v>
      </c>
      <c r="LK57" s="416">
        <f t="shared" si="32"/>
        <v>603</v>
      </c>
      <c r="LL57" s="416">
        <f t="shared" si="33"/>
        <v>603</v>
      </c>
      <c r="LM57" s="417">
        <f t="shared" si="34"/>
        <v>482.40000000000003</v>
      </c>
      <c r="LN57" s="417">
        <f>VLOOKUP($LM$8,'Jan-2026 rates'!$H:$I,2,0)</f>
        <v>0</v>
      </c>
      <c r="LO57" s="417">
        <f t="shared" si="35"/>
        <v>120.60000000000001</v>
      </c>
      <c r="LP57" s="417">
        <f>VLOOKUP($LO$8,'Jan-2026 rates'!$H:$I,2,0)</f>
        <v>0</v>
      </c>
      <c r="LQ57" s="417">
        <f t="shared" si="36"/>
        <v>0</v>
      </c>
      <c r="LR57" s="417">
        <f>VLOOKUP($LQ$8,'Jan-2026 rates'!$H:$I,2,0)</f>
        <v>0</v>
      </c>
      <c r="LS57" s="417">
        <f t="shared" si="37"/>
        <v>0</v>
      </c>
      <c r="LT57" s="417">
        <f>VLOOKUP($LS$8,'Jan-2026 rates'!$H:$I,2,0)</f>
        <v>0</v>
      </c>
      <c r="LU57" s="417">
        <f t="shared" si="38"/>
        <v>0</v>
      </c>
      <c r="LV57" s="417">
        <f>VLOOKUP($LU$8,'Jan-2026 rates'!$H:$I,2,0)</f>
        <v>0</v>
      </c>
      <c r="LW57" s="417">
        <f t="shared" si="39"/>
        <v>0</v>
      </c>
      <c r="LX57" s="417">
        <f t="shared" si="40"/>
        <v>0</v>
      </c>
      <c r="LY57" s="418">
        <f t="shared" si="41"/>
        <v>0</v>
      </c>
      <c r="LZ57" s="417"/>
      <c r="MA57" s="435">
        <f t="shared" si="42"/>
        <v>669.2</v>
      </c>
      <c r="MB57" s="282">
        <f t="shared" si="43"/>
        <v>1283.1999999999998</v>
      </c>
      <c r="MC57" s="283">
        <v>12</v>
      </c>
      <c r="MD57" s="284" t="str">
        <f t="shared" si="44"/>
        <v>FLINTSLFLINTSLFLINTSLFLINTSLFLINTSLFLINTSLFLINTSL</v>
      </c>
      <c r="ME57" s="293" t="str">
        <f t="shared" si="45"/>
        <v>+</v>
      </c>
      <c r="MF57" s="293" t="str">
        <f t="shared" si="46"/>
        <v>+</v>
      </c>
      <c r="MG57" s="293" t="str">
        <f t="shared" si="47"/>
        <v>+</v>
      </c>
      <c r="MH57" s="293" t="str">
        <f t="shared" si="48"/>
        <v>+</v>
      </c>
      <c r="MI57" s="293" t="str">
        <f t="shared" si="49"/>
        <v>+</v>
      </c>
      <c r="MJ57" s="293" t="str">
        <f t="shared" si="50"/>
        <v>+</v>
      </c>
      <c r="MK57" s="293" t="str">
        <f t="shared" si="51"/>
        <v>+</v>
      </c>
      <c r="ML57" s="293" t="str">
        <f t="shared" si="52"/>
        <v>NIL</v>
      </c>
      <c r="MM57" s="3" t="b">
        <f t="array" ref="MM57">OR(ME57:ML57="-")</f>
        <v>0</v>
      </c>
      <c r="MN57" s="285"/>
      <c r="MO57" s="401"/>
      <c r="MP57" s="286"/>
      <c r="MQ57" s="286"/>
      <c r="MR57" s="402"/>
      <c r="MS57" s="400"/>
      <c r="NH57" s="422"/>
      <c r="NJ57" s="421"/>
    </row>
    <row r="58" spans="1:374" s="1" customFormat="1" ht="16.5">
      <c r="A58" s="403">
        <v>46026</v>
      </c>
      <c r="B58" s="404" t="s">
        <v>1018</v>
      </c>
      <c r="C58" s="405" t="s">
        <v>2894</v>
      </c>
      <c r="D58" s="406">
        <v>13</v>
      </c>
      <c r="E58" s="404">
        <v>497</v>
      </c>
      <c r="F58" s="407">
        <v>26800</v>
      </c>
      <c r="G58" s="407" t="s">
        <v>1019</v>
      </c>
      <c r="H58" s="408" t="s">
        <v>1017</v>
      </c>
      <c r="I58" s="409">
        <v>1.56</v>
      </c>
      <c r="J58" s="405" t="s">
        <v>543</v>
      </c>
      <c r="K58" s="404" t="s">
        <v>2895</v>
      </c>
      <c r="L58" s="419" t="str">
        <f t="shared" si="0"/>
        <v>FLINTSL - BLACK</v>
      </c>
      <c r="M58" s="404">
        <v>30</v>
      </c>
      <c r="N58" s="410">
        <f>IF(M58=0,0,IF($LB58=70%,VLOOKUP($L58,'Jan-2026 rates'!$L:$R,4,0),IF($LB58=65%,VLOOKUP($L58,'Jan-2026 rates'!$L:$R,4,0),IF($LB58=40%,VLOOKUP($L58,'Jan-2026 rates'!$L:$R,5,0),IF($LB58=30%,VLOOKUP($L58,'Jan-2026 rates'!$L:$R,6,0),IF($LB58=100%,VLOOKUP($L58,'Jan-2026 rates'!$L:$R,7,0),IF($LB58=60%,VLOOKUP($L58,'Jan-2026 rates'!$L:$S,8,0),IF($LB58=80%,VLOOKUP($L58,'Jan-2026 rates'!L:T,9,0),0))))))))</f>
        <v>0</v>
      </c>
      <c r="O58" s="406"/>
      <c r="P58" s="404"/>
      <c r="Q58" s="410">
        <f>IF(P58=0,0,IF($LB58=70%,VLOOKUP($L58,'Jan-2026 rates'!$L:$R,4,0),IF($LB58=65%,VLOOKUP($L58,'Jan-2026 rates'!$L:$R,4,0),IF($LB58=40%,VLOOKUP($L58,'Jan-2026 rates'!$L:$R,5,0),IF($LB58=30%,VLOOKUP($L58,'Jan-2026 rates'!$L:$R,6,0),IF($LB58=100%,VLOOKUP($L58,'Jan-2026 rates'!$L:$R,7,0),IF($LB58=60%,VLOOKUP($L58,'Jan-2026 rates'!$L:$S,8,0),IF($LB58=80%,VLOOKUP($L58,'Jan-2026 rates'!L:T,9,0),0))))))))</f>
        <v>0</v>
      </c>
      <c r="R58" s="406" t="s">
        <v>1266</v>
      </c>
      <c r="S58" s="406"/>
      <c r="T58" s="406"/>
      <c r="U58" s="406"/>
      <c r="V58" s="406"/>
      <c r="W58" s="406"/>
      <c r="X58" s="406"/>
      <c r="Y58" s="406"/>
      <c r="Z58" s="404">
        <v>5</v>
      </c>
      <c r="AA58" s="398">
        <f>IF(Z58=0,0,IF(LEN(R58)=11,_xlfn.XLOOKUP(R58,'Dispensed Ink Rates'!C:C,'Dispensed Ink Rates'!CS:CS),VLOOKUP(R58,'Jan-2026 rates'!$E:$F,2,0)))</f>
        <v>0</v>
      </c>
      <c r="AB58" s="404"/>
      <c r="AC58" s="398">
        <f>IF(AB58=0,0,IF(LEN(S58)=11,_xlfn.XLOOKUP(S58,'Dispensed Ink Rates'!C:C,'Dispensed Ink Rates'!CS:CS),VLOOKUP(S58,'Jan-2026 rates'!$E:$F,2,0)))</f>
        <v>0</v>
      </c>
      <c r="AD58" s="404"/>
      <c r="AE58" s="398">
        <f>IF(AD58=0,0,IF(LEN(T58)=11,_xlfn.XLOOKUP(T58,'Dispensed Ink Rates'!C:C,'Dispensed Ink Rates'!CS:CS),VLOOKUP(T58,'Jan-2026 rates'!$E:$F,2,0)))</f>
        <v>0</v>
      </c>
      <c r="AF58" s="404"/>
      <c r="AG58" s="398">
        <f>IF(AF58=0,0,IF(LEN(U58)=11,_xlfn.XLOOKUP(U58,'Dispensed Ink Rates'!C:C,'Dispensed Ink Rates'!CS:CS),VLOOKUP(U58,'Jan-2026 rates'!$E:$F,2,0)))</f>
        <v>0</v>
      </c>
      <c r="AH58" s="404"/>
      <c r="AI58" s="398">
        <f>IF(AH58=0,0,IF(LEN(V58)=11,_xlfn.XLOOKUP(V58,'Dispensed Ink Rates'!C:C,'Dispensed Ink Rates'!CS:CS),VLOOKUP(V58,'Jan-2026 rates'!$E:$F,2,0)))</f>
        <v>0</v>
      </c>
      <c r="AJ58" s="404"/>
      <c r="AK58" s="398">
        <f>IF(AJ58=0,0,IF(LEN(W58)=11,_xlfn.XLOOKUP(W58,'Dispensed Ink Rates'!C:C,'Dispensed Ink Rates'!CS:CS),VLOOKUP(W58,'Jan-2026 rates'!$E:$F,2,0)))</f>
        <v>0</v>
      </c>
      <c r="AL58" s="404"/>
      <c r="AM58" s="398">
        <f>IF(AL58=0,0,IF(LEN(X58)=11,_xlfn.XLOOKUP(X58,'Dispensed Ink Rates'!C:C,'Dispensed Ink Rates'!CS:CS),VLOOKUP(X58,'Jan-2026 rates'!$E:$F,2,0)))</f>
        <v>0</v>
      </c>
      <c r="AN58" s="404"/>
      <c r="AO58" s="398">
        <f>IF(AN58=0,0,IF(LEN(Y58)=11,_xlfn.XLOOKUP(Y58,'Dispensed Ink Rates'!C:C,'Dispensed Ink Rates'!CS:CS),VLOOKUP(Y58,'Jan-2026 rates'!$E:$F,2,0)))</f>
        <v>0</v>
      </c>
      <c r="AP58" s="409" t="s">
        <v>1443</v>
      </c>
      <c r="AQ58" s="409">
        <v>30</v>
      </c>
      <c r="AR58" s="410">
        <f t="shared" si="1"/>
        <v>0</v>
      </c>
      <c r="AS58" s="411">
        <f t="shared" si="2"/>
        <v>11.96</v>
      </c>
      <c r="AT58" s="410">
        <f t="shared" si="3"/>
        <v>0</v>
      </c>
      <c r="AU58" s="405" t="s">
        <v>857</v>
      </c>
      <c r="AV58" s="409" t="s">
        <v>2896</v>
      </c>
      <c r="AW58" s="420" t="str">
        <f t="shared" si="53"/>
        <v>FLINTSL - RED</v>
      </c>
      <c r="AX58" s="409">
        <v>5</v>
      </c>
      <c r="AY58" s="411">
        <f>IF(AX58=0,0,IF($LB58=70%,VLOOKUP($AW58,'Jan-2026 rates'!$L:$R,4,0),IF($LB58=65%,VLOOKUP($AW58,'Jan-2026 rates'!$L:$R,4,0),IF($LB58=40%,VLOOKUP($AW58,'Jan-2026 rates'!$L:$R,5,0),IF($LB58=30%,VLOOKUP($AW58,'Jan-2026 rates'!$L:$R,6,0),IF($LB58=100%,VLOOKUP($AW58,'Jan-2026 rates'!$L:$R,7,0),IF($LB58=60%,VLOOKUP($AW58,'Jan-2026 rates'!$L:$S,8,0),IF($LB58=80%,VLOOKUP($AW58,'Jan-2026 rates'!L:T,9,0),0))))))))</f>
        <v>0</v>
      </c>
      <c r="AZ58" s="412"/>
      <c r="BA58" s="409"/>
      <c r="BB58" s="411">
        <f>IF(BA58=0,0,IF($LB58=70%,VLOOKUP($AW58,'Jan-2026 rates'!$L:$R,4,0),IF($LB58=65%,VLOOKUP($AW58,'Jan-2026 rates'!$L:$R,4,0),IF($LB58=40%,VLOOKUP($AW58,'Jan-2026 rates'!$L:$R,5,0),IF($LB58=30%,VLOOKUP($AW58,'Jan-2026 rates'!$L:$R,6,0),IF($LB58=100%,VLOOKUP($AW58,'Jan-2026 rates'!$L:$R,7,0),IF($LB58=60%,VLOOKUP($AW58,'Jan-2026 rates'!$L:$S,8,0),IF($LB58=80%,VLOOKUP($AW58,'Jan-2026 rates'!L:T,9,0),0))))))))</f>
        <v>0</v>
      </c>
      <c r="BC58" s="413">
        <v>26504000005</v>
      </c>
      <c r="BD58" s="412">
        <v>25862000010</v>
      </c>
      <c r="BE58" s="412"/>
      <c r="BF58" s="413"/>
      <c r="BG58" s="412"/>
      <c r="BH58" s="412"/>
      <c r="BI58" s="412"/>
      <c r="BJ58" s="412"/>
      <c r="BK58" s="409">
        <v>6</v>
      </c>
      <c r="BL58" s="398" t="e">
        <f>IF(BK58=0,0,IF(LEN(BC58)=11,_xlfn.XLOOKUP(BC58,'Dispensed Ink Rates'!C:C,'Dispensed Ink Rates'!CS:CS),VLOOKUP(BC58,'Jan-2026 rates'!$E:$F,2,0)))</f>
        <v>#N/A</v>
      </c>
      <c r="BM58" s="409">
        <v>4</v>
      </c>
      <c r="BN58" s="398" t="e">
        <f>IF(BM58=0,0,IF(LEN(BD58)=11,_xlfn.XLOOKUP(BD58,'Dispensed Ink Rates'!C:C,'Dispensed Ink Rates'!CS:CS),VLOOKUP(BD58,'Jan-2026 rates'!$E:$F,2,0)))</f>
        <v>#N/A</v>
      </c>
      <c r="BO58" s="409"/>
      <c r="BP58" s="398">
        <f>IF(BO58=0,0,IF(LEN(BE58)=11,_xlfn.XLOOKUP(BE58,'Dispensed Ink Rates'!C:C,'Dispensed Ink Rates'!CS:CS),VLOOKUP(BE58,'Jan-2026 rates'!$E:$F,2,0)))</f>
        <v>0</v>
      </c>
      <c r="BQ58" s="409"/>
      <c r="BR58" s="398">
        <f>IF(BQ58=0,0,IF(LEN(BF58)=11,_xlfn.XLOOKUP(BF58,'Dispensed Ink Rates'!C:C,'Dispensed Ink Rates'!CS:CS),VLOOKUP(BF58,'Jan-2026 rates'!$E:$F,2,0)))</f>
        <v>0</v>
      </c>
      <c r="BS58" s="409"/>
      <c r="BT58" s="398">
        <f>IF(BS58=0,0,IF(LEN(BG58)=11,_xlfn.XLOOKUP(BG58,'Dispensed Ink Rates'!C:C,'Dispensed Ink Rates'!CS:CS),VLOOKUP(BG58,'Jan-2026 rates'!$E:$F,2,0)))</f>
        <v>0</v>
      </c>
      <c r="BU58" s="409"/>
      <c r="BV58" s="398">
        <f>IF(BU58=0,0,IF(LEN(BH58)=11,_xlfn.XLOOKUP(BH58,'Dispensed Ink Rates'!C:C,'Dispensed Ink Rates'!CS:CS),VLOOKUP(BH58,'Jan-2026 rates'!$E:$F,2,0)))</f>
        <v>0</v>
      </c>
      <c r="BW58" s="409"/>
      <c r="BX58" s="398">
        <f>IF(BW58=0,0,IF(LEN(BI58)=11,_xlfn.XLOOKUP(BI58,'Dispensed Ink Rates'!C:C,'Dispensed Ink Rates'!CS:CS),VLOOKUP(BI58,'Jan-2026 rates'!$E:$F,2,0)))</f>
        <v>0</v>
      </c>
      <c r="BY58" s="409"/>
      <c r="BZ58" s="398">
        <f>IF(BY58=0,0,IF(LEN(BJ58)=11,_xlfn.XLOOKUP(BJ58,'Dispensed Ink Rates'!C:C,'Dispensed Ink Rates'!CS:CS),VLOOKUP(BJ58,'Jan-2026 rates'!$E:$F,2,0)))</f>
        <v>0</v>
      </c>
      <c r="CA58" s="409" t="s">
        <v>1443</v>
      </c>
      <c r="CB58" s="409">
        <v>21</v>
      </c>
      <c r="CC58" s="411">
        <f t="shared" si="5"/>
        <v>0</v>
      </c>
      <c r="CD58" s="411">
        <f t="shared" si="6"/>
        <v>17.200000000000003</v>
      </c>
      <c r="CE58" s="410">
        <f t="shared" si="7"/>
        <v>0</v>
      </c>
      <c r="CF58" s="404" t="s">
        <v>546</v>
      </c>
      <c r="CG58" s="409"/>
      <c r="CH58" s="420" t="str">
        <f t="shared" si="8"/>
        <v>FLINTSL - REFLEX BLUE</v>
      </c>
      <c r="CI58" s="409"/>
      <c r="CJ58" s="411">
        <f>IF(CI58=0,0,IF($LB58=70%,VLOOKUP($CH58,'Jan-2026 rates'!$L:$R,4,0),IF($LB58=65%,VLOOKUP($CH58,'Jan-2026 rates'!$L:$R,4,0),IF($LB58=40%,VLOOKUP($CH58,'Jan-2026 rates'!$L:$R,5,0),IF($LB58=30%,VLOOKUP($CH58,'Jan-2026 rates'!$L:$R,6,0),IF($LB58=100%,VLOOKUP($CH58,'Jan-2026 rates'!$L:$R,7,0),IF($LB58=60%,VLOOKUP($CH58,'Jan-2026 rates'!$L:$S,8,0),IF($LB58=80%,VLOOKUP($CH58,'Jan-2026 rates'!L:T,9,0),0))))))))</f>
        <v>0</v>
      </c>
      <c r="CK58" s="412"/>
      <c r="CL58" s="409"/>
      <c r="CM58" s="411">
        <f>IF(CL58=0,0,IF($LB58=70%,VLOOKUP($CH58,'Jan-2026 rates'!$L:$R,4,0),IF($LB58=65%,VLOOKUP($CH58,'Jan-2026 rates'!$L:$R,4,0),IF($LB58=40%,VLOOKUP($CH58,'Jan-2026 rates'!$L:$R,5,0),IF($LB58=30%,VLOOKUP($CH58,'Jan-2026 rates'!$L:$R,6,0),IF($LB58=100%,VLOOKUP($CH58,'Jan-2026 rates'!$L:$R,7,0),IF($LB58=60%,VLOOKUP($CH58,'Jan-2026 rates'!$L:$S,8,0),IF($LB58=80%,VLOOKUP($CH58,'Jan-2026 rates'!L:T,9,0),0))))))))</f>
        <v>0</v>
      </c>
      <c r="CN58" s="426">
        <v>26503000015</v>
      </c>
      <c r="CO58" s="427">
        <v>26504000010</v>
      </c>
      <c r="CP58" s="426">
        <v>26504000009</v>
      </c>
      <c r="CQ58" s="426">
        <v>26504000011</v>
      </c>
      <c r="CR58" s="428"/>
      <c r="CS58" s="428"/>
      <c r="CT58" s="428"/>
      <c r="CU58" s="428"/>
      <c r="CV58" s="409">
        <v>30</v>
      </c>
      <c r="CW58" s="398" t="e">
        <f>IF(CV58=0,0,IF(LEN(CN58)=11,_xlfn.XLOOKUP(CN58,'Dispensed Ink Rates'!C:C,'Dispensed Ink Rates'!CS:CS),VLOOKUP(CN58,'Jan-2026 rates'!$E:$F,2,0)))</f>
        <v>#N/A</v>
      </c>
      <c r="CX58" s="409">
        <v>40</v>
      </c>
      <c r="CY58" s="398" t="e">
        <f>IF(CX58=0,0,IF(LEN(CO58)=11,_xlfn.XLOOKUP(CO58,'Dispensed Ink Rates'!C:C,'Dispensed Ink Rates'!CS:CS),VLOOKUP(CO58,'Jan-2026 rates'!$E:$F,2,0)))</f>
        <v>#N/A</v>
      </c>
      <c r="CZ58" s="409">
        <v>40</v>
      </c>
      <c r="DA58" s="398" t="e">
        <f>IF(CZ58=0,0,IF(LEN(CP58)=11,_xlfn.XLOOKUP(CP58,'Dispensed Ink Rates'!C:C,'Dispensed Ink Rates'!CS:CS),VLOOKUP(CP58,'Jan-2026 rates'!$E:$F,2,0)))</f>
        <v>#N/A</v>
      </c>
      <c r="DB58" s="409">
        <v>10</v>
      </c>
      <c r="DC58" s="398" t="e">
        <f>IF(DB58=0,0,IF(LEN(CQ58)=11,_xlfn.XLOOKUP(CQ58,'Dispensed Ink Rates'!C:C,'Dispensed Ink Rates'!CS:CS),VLOOKUP(CQ58,'Jan-2026 rates'!$E:$F,2,0)))</f>
        <v>#N/A</v>
      </c>
      <c r="DD58" s="409"/>
      <c r="DE58" s="398">
        <f>IF(DD58=0,0,IF(LEN(CR58)=11,_xlfn.XLOOKUP(CR58,'Dispensed Ink Rates'!C:C,'Dispensed Ink Rates'!CS:CS),VLOOKUP(CR58,'Jan-2026 rates'!$E:$F,2,0)))</f>
        <v>0</v>
      </c>
      <c r="DF58" s="409"/>
      <c r="DG58" s="398">
        <f>IF(DF58=0,0,IF(LEN(CS58)=11,_xlfn.XLOOKUP(CS58,'Dispensed Ink Rates'!C:C,'Dispensed Ink Rates'!CS:CS),VLOOKUP(CS58,'Jan-2026 rates'!$E:$F,2,0)))</f>
        <v>0</v>
      </c>
      <c r="DH58" s="409"/>
      <c r="DI58" s="398">
        <f>IF(DH58=0,0,IF(LEN(CT58)=11,_xlfn.XLOOKUP(CT58,'Dispensed Ink Rates'!C:C,'Dispensed Ink Rates'!CS:CS),VLOOKUP(CT58,'Jan-2026 rates'!$E:$F,2,0)))</f>
        <v>0</v>
      </c>
      <c r="DJ58" s="409"/>
      <c r="DK58" s="398">
        <f>IF(DJ58=0,0,IF(LEN(CU58)=11,_xlfn.XLOOKUP(CU58,'Dispensed Ink Rates'!C:C,'Dispensed Ink Rates'!CS:CS),VLOOKUP(CU58,'Jan-2026 rates'!$E:$F,2,0)))</f>
        <v>0</v>
      </c>
      <c r="DL58" s="409" t="s">
        <v>1443</v>
      </c>
      <c r="DM58" s="409">
        <v>23</v>
      </c>
      <c r="DN58" s="411">
        <f t="shared" si="9"/>
        <v>0</v>
      </c>
      <c r="DO58" s="411">
        <f t="shared" si="10"/>
        <v>97</v>
      </c>
      <c r="DP58" s="410">
        <f t="shared" si="11"/>
        <v>0</v>
      </c>
      <c r="DQ58" s="405" t="s">
        <v>855</v>
      </c>
      <c r="DR58" s="409" t="s">
        <v>2897</v>
      </c>
      <c r="DS58" s="420" t="str">
        <f t="shared" si="12"/>
        <v>FLINTSL - CYAN</v>
      </c>
      <c r="DT58" s="409">
        <v>10</v>
      </c>
      <c r="DU58" s="411">
        <f>IF(DT58=0,0,IF($LB58=70%,VLOOKUP($DS58,'Jan-2026 rates'!$L:$R,4,0),IF($LB58=65%,VLOOKUP($DS58,'Jan-2026 rates'!$L:$R,4,0),IF($LB58=40%,VLOOKUP($DS58,'Jan-2026 rates'!$L:$R,5,0),IF($LB58=30%,VLOOKUP($DS58,'Jan-2026 rates'!$L:$R,6,0),IF($LB58=100%,VLOOKUP($DS58,'Jan-2026 rates'!$L:$R,7,0),IF($LB58=60%,VLOOKUP($DS58,'Jan-2026 rates'!$L:$S,8,0),IF($LB58=80%,VLOOKUP($DS58,'Jan-2026 rates'!L:T,9,0),0))))))))</f>
        <v>0</v>
      </c>
      <c r="DV58" s="412"/>
      <c r="DW58" s="409"/>
      <c r="DX58" s="411">
        <f>IF(DW58=0,0,IF($LB58=70%,VLOOKUP($DS58,'Jan-2026 rates'!$L:$R,4,0),IF($LB58=65%,VLOOKUP($DS58,'Jan-2026 rates'!$L:$R,4,0),IF($LB58=40%,VLOOKUP($DS58,'Jan-2026 rates'!$L:$R,5,0),IF($LB58=30%,VLOOKUP($DS58,'Jan-2026 rates'!$L:$R,6,0),IF($LB58=100%,VLOOKUP($DS58,'Jan-2026 rates'!$L:$R,7,0),IF($LB58=60%,VLOOKUP($DS58,'Jan-2026 rates'!$L:$S,8,0),IF($LB58=80%,VLOOKUP($DS58,'Jan-2026 rates'!L:T,9,0),0))))))))</f>
        <v>0</v>
      </c>
      <c r="DY58" s="413" t="s">
        <v>1266</v>
      </c>
      <c r="DZ58" s="413"/>
      <c r="EA58" s="412"/>
      <c r="EB58" s="412"/>
      <c r="EC58" s="412"/>
      <c r="ED58" s="412"/>
      <c r="EE58" s="412"/>
      <c r="EF58" s="412"/>
      <c r="EG58" s="409">
        <v>10</v>
      </c>
      <c r="EH58" s="398">
        <f>IF(EG58=0,0,IF(LEN(DY58)=11,_xlfn.XLOOKUP(DY58,'Dispensed Ink Rates'!C:C,'Dispensed Ink Rates'!CS:CS),VLOOKUP(DY58,'Jan-2026 rates'!$E:$F,2,0)))</f>
        <v>0</v>
      </c>
      <c r="EI58" s="409"/>
      <c r="EJ58" s="398">
        <f>IF(EI58=0,0,IF(LEN(DZ58)=11,_xlfn.XLOOKUP(DZ58,'Dispensed Ink Rates'!C:C,'Dispensed Ink Rates'!CS:CS),VLOOKUP(DZ58,'Jan-2026 rates'!$E:$F,2,0)))</f>
        <v>0</v>
      </c>
      <c r="EK58" s="409"/>
      <c r="EL58" s="398">
        <f>IF(EK58=0,0,IF(LEN(EA58)=11,_xlfn.XLOOKUP(EA58,'Dispensed Ink Rates'!C:C,'Dispensed Ink Rates'!CS:CS),VLOOKUP(EA58,'Jan-2026 rates'!$E:$F,2,0)))</f>
        <v>0</v>
      </c>
      <c r="EM58" s="409"/>
      <c r="EN58" s="398">
        <f>IF(EM58=0,0,IF(LEN(EB58)=11,_xlfn.XLOOKUP(EB58,'Dispensed Ink Rates'!C:C,'Dispensed Ink Rates'!CS:CS),VLOOKUP(EB58,'Jan-2026 rates'!$E:$F,2,0)))</f>
        <v>0</v>
      </c>
      <c r="EO58" s="409"/>
      <c r="EP58" s="398">
        <f>IF(EO58=0,0,IF(LEN(EC58)=11,_xlfn.XLOOKUP(EC58,'Dispensed Ink Rates'!C:C,'Dispensed Ink Rates'!CS:CS),VLOOKUP(EC58,'Jan-2026 rates'!$E:$F,2,0)))</f>
        <v>0</v>
      </c>
      <c r="EQ58" s="409"/>
      <c r="ER58" s="398">
        <f>IF(EQ58=0,0,IF(LEN(ED58)=11,_xlfn.XLOOKUP(ED58,'Dispensed Ink Rates'!C:C,'Dispensed Ink Rates'!CS:CS),VLOOKUP(ED58,'Jan-2026 rates'!$E:$F,2,0)))</f>
        <v>0</v>
      </c>
      <c r="ES58" s="409"/>
      <c r="ET58" s="398">
        <f>IF(ES58=0,0,IF(LEN(EE58)=11,_xlfn.XLOOKUP(EE58,'Dispensed Ink Rates'!C:C,'Dispensed Ink Rates'!CS:CS),VLOOKUP(EE58,'Jan-2026 rates'!$E:$F,2,0)))</f>
        <v>0</v>
      </c>
      <c r="EU58" s="409"/>
      <c r="EV58" s="398">
        <f>IF(EU58=0,0,IF(LEN(EF58)=11,_xlfn.XLOOKUP(EF58,'Dispensed Ink Rates'!C:C,'Dispensed Ink Rates'!CS:CS),VLOOKUP(EF58,'Jan-2026 rates'!$E:$F,2,0)))</f>
        <v>0</v>
      </c>
      <c r="EW58" s="409" t="s">
        <v>1443</v>
      </c>
      <c r="EX58" s="409">
        <v>29</v>
      </c>
      <c r="EY58" s="411">
        <f t="shared" si="13"/>
        <v>0</v>
      </c>
      <c r="EZ58" s="411">
        <f t="shared" si="14"/>
        <v>14.200000000000003</v>
      </c>
      <c r="FA58" s="410">
        <f t="shared" si="15"/>
        <v>0</v>
      </c>
      <c r="FB58" s="405" t="s">
        <v>544</v>
      </c>
      <c r="FC58" s="409" t="s">
        <v>2898</v>
      </c>
      <c r="FD58" s="420" t="str">
        <f t="shared" si="16"/>
        <v>FLINTSL - MAGENTA</v>
      </c>
      <c r="FE58" s="409">
        <v>30</v>
      </c>
      <c r="FF58" s="411">
        <f>IF(FE58=0,0,IF($LB58=70%,VLOOKUP($FD58,'Jan-2026 rates'!$L:$R,4,0),IF($LB58=65%,VLOOKUP($FD58,'Jan-2026 rates'!$L:$R,4,0),IF($LB58=40%,VLOOKUP($FD58,'Jan-2026 rates'!$L:$R,5,0),IF($LB58=30%,VLOOKUP($FD58,'Jan-2026 rates'!$L:$R,6,0),IF($LB58=100%,VLOOKUP($FD58,'Jan-2026 rates'!$L:$R,7,0),IF($LB58=60%,VLOOKUP($FD58,'Jan-2026 rates'!$L:$S,8,0),IF($LB58=80%,VLOOKUP($FD58,'Jan-2026 rates'!L:T,9,0),0))))))))</f>
        <v>0</v>
      </c>
      <c r="FG58" s="412"/>
      <c r="FH58" s="409"/>
      <c r="FI58" s="411">
        <f>IF(FH58=0,0,IF($LB58=70%,VLOOKUP($FD58,'Jan-2026 rates'!$L:$R,4,0),IF($LB58=65%,VLOOKUP($FD58,'Jan-2026 rates'!$L:$R,4,0),IF($LB58=40%,VLOOKUP($FD58,'Jan-2026 rates'!$L:$R,5,0),IF($LB58=30%,VLOOKUP($FD58,'Jan-2026 rates'!$L:$R,6,0),IF($LB58=100%,VLOOKUP($FD58,'Jan-2026 rates'!$L:$R,7,0),IF($LB58=60%,VLOOKUP($FD58,'Jan-2026 rates'!$L:$S,8,0),IF($LB58=80%,VLOOKUP($FD58,'Jan-2026 rates'!L:T,9,0),0))))))))</f>
        <v>0</v>
      </c>
      <c r="FJ58" s="413" t="s">
        <v>1266</v>
      </c>
      <c r="FK58" s="413"/>
      <c r="FL58" s="413"/>
      <c r="FM58" s="412"/>
      <c r="FN58" s="412"/>
      <c r="FO58" s="412"/>
      <c r="FP58" s="412"/>
      <c r="FQ58" s="412"/>
      <c r="FR58" s="409">
        <v>3</v>
      </c>
      <c r="FS58" s="398">
        <f>IF(FR58=0,0,IF(LEN(FJ58)=11,_xlfn.XLOOKUP(FJ58,'Dispensed Ink Rates'!C:C,'Dispensed Ink Rates'!CS:CS),VLOOKUP(FJ58,'Jan-2026 rates'!$E:$F,2,0)))</f>
        <v>0</v>
      </c>
      <c r="FT58" s="409"/>
      <c r="FU58" s="398">
        <f>IF(FT58=0,0,IF(LEN(FK58)=11,_xlfn.XLOOKUP(FK58,'Dispensed Ink Rates'!C:C,'Dispensed Ink Rates'!CS:CS),VLOOKUP(FK58,'Jan-2026 rates'!$E:$F,2,0)))</f>
        <v>0</v>
      </c>
      <c r="FV58" s="409"/>
      <c r="FW58" s="398">
        <f>IF(FV58=0,0,IF(LEN(FL58)=11,_xlfn.XLOOKUP(FL58,'Dispensed Ink Rates'!C:C,'Dispensed Ink Rates'!CS:CS),VLOOKUP(FL58,'Jan-2026 rates'!$E:$F,2,0)))</f>
        <v>0</v>
      </c>
      <c r="FX58" s="409"/>
      <c r="FY58" s="398">
        <f>IF(FX58=0,0,IF(LEN(FM58)=11,_xlfn.XLOOKUP(FM58,'Dispensed Ink Rates'!C:C,'Dispensed Ink Rates'!CS:CS),VLOOKUP(FM58,'Jan-2026 rates'!$E:$F,2,0)))</f>
        <v>0</v>
      </c>
      <c r="FZ58" s="409"/>
      <c r="GA58" s="398">
        <f>IF(FZ58=0,0,IF(LEN(FN58)=11,_xlfn.XLOOKUP(FN58,'Dispensed Ink Rates'!C:C,'Dispensed Ink Rates'!CS:CS),VLOOKUP(FN58,'Jan-2026 rates'!$E:$F,2,0)))</f>
        <v>0</v>
      </c>
      <c r="GB58" s="409"/>
      <c r="GC58" s="398">
        <f>IF(GB58=0,0,IF(LEN(FO58)=11,_xlfn.XLOOKUP(FO58,'Dispensed Ink Rates'!C:C,'Dispensed Ink Rates'!CS:CS),VLOOKUP(FO58,'Jan-2026 rates'!$E:$F,2,0)))</f>
        <v>0</v>
      </c>
      <c r="GD58" s="409"/>
      <c r="GE58" s="398">
        <f>IF(GD58=0,0,IF(LEN(FP58)=11,_xlfn.XLOOKUP(FP58,'Dispensed Ink Rates'!C:C,'Dispensed Ink Rates'!CS:CS),VLOOKUP(FP58,'Jan-2026 rates'!$E:$F,2,0)))</f>
        <v>0</v>
      </c>
      <c r="GF58" s="409"/>
      <c r="GG58" s="398">
        <f>IF(GF58=0,0,IF(LEN(FQ58)=11,_xlfn.XLOOKUP(FQ58,'Dispensed Ink Rates'!C:C,'Dispensed Ink Rates'!CS:CS),VLOOKUP(FQ58,'Jan-2026 rates'!$E:$F,2,0)))</f>
        <v>0</v>
      </c>
      <c r="GH58" s="409" t="s">
        <v>1443</v>
      </c>
      <c r="GI58" s="409">
        <v>33</v>
      </c>
      <c r="GJ58" s="411">
        <f t="shared" si="17"/>
        <v>0</v>
      </c>
      <c r="GK58" s="411">
        <f t="shared" si="18"/>
        <v>9.2800000000000011</v>
      </c>
      <c r="GL58" s="410">
        <f t="shared" si="19"/>
        <v>0</v>
      </c>
      <c r="GM58" s="405" t="s">
        <v>545</v>
      </c>
      <c r="GN58" s="409"/>
      <c r="GO58" s="420" t="str">
        <f t="shared" si="20"/>
        <v>FLINTSL - YELLOW</v>
      </c>
      <c r="GP58" s="409"/>
      <c r="GQ58" s="411">
        <f>IF(GP58=0,0,IF($LB58=70%,VLOOKUP($GO58,'Jan-2026 rates'!$L:$R,4,0),IF($LB58=65%,VLOOKUP($GO58,'Jan-2026 rates'!$L:$R,4,0),IF($LB58=40%,VLOOKUP($GO58,'Jan-2026 rates'!$L:$R,5,0),IF($LB58=30%,VLOOKUP($GO58,'Jan-2026 rates'!$L:$R,6,0),IF($LB58=100%,VLOOKUP($GO58,'Jan-2026 rates'!$L:$R,7,0),IF($LB58=60%,VLOOKUP($GO58,'Jan-2026 rates'!$L:$S,8,0),IF($LB58=80%,VLOOKUP($GO58,'Jan-2026 rates'!L:T,9,0),0))))))))</f>
        <v>0</v>
      </c>
      <c r="GR58" s="412"/>
      <c r="GS58" s="409"/>
      <c r="GT58" s="411">
        <f>IF(GS58=0,0,IF($LB58=70%,VLOOKUP($GO58,'Jan-2026 rates'!$L:$R,4,0),IF($LB58=65%,VLOOKUP($GO58,'Jan-2026 rates'!$L:$R,4,0),IF($LB58=40%,VLOOKUP($GO58,'Jan-2026 rates'!$L:$R,5,0),IF($LB58=30%,VLOOKUP($GO58,'Jan-2026 rates'!$L:$R,6,0),IF($LB58=100%,VLOOKUP($GO58,'Jan-2026 rates'!$L:$R,7,0),IF($LB58=60%,VLOOKUP($GO58,'Jan-2026 rates'!$L:$S,8,0),IF($LB58=80%,VLOOKUP($GO58,'Jan-2026 rates'!L:T,9,0),0))))))))</f>
        <v>0</v>
      </c>
      <c r="GU58" s="413">
        <v>26503000002</v>
      </c>
      <c r="GV58" s="413"/>
      <c r="GW58" s="412"/>
      <c r="GX58" s="412"/>
      <c r="GY58" s="412"/>
      <c r="GZ58" s="412"/>
      <c r="HA58" s="412"/>
      <c r="HB58" s="412"/>
      <c r="HC58" s="409">
        <f>10+5</f>
        <v>15</v>
      </c>
      <c r="HD58" s="398" t="e">
        <f>IF(HC58=0,0,IF(LEN(GU58)=11,_xlfn.XLOOKUP(GU58,'Dispensed Ink Rates'!C:C,'Dispensed Ink Rates'!CS:CS),VLOOKUP(GU58,'Jan-2026 rates'!$E:$F,2,0)))</f>
        <v>#N/A</v>
      </c>
      <c r="HE58" s="409"/>
      <c r="HF58" s="398">
        <f>IF(HE58=0,0,IF(LEN(GV58)=11,_xlfn.XLOOKUP(GV58,'Dispensed Ink Rates'!C:C,'Dispensed Ink Rates'!CS:CS),VLOOKUP(GV58,'Jan-2026 rates'!$E:$F,2,0)))</f>
        <v>0</v>
      </c>
      <c r="HG58" s="409"/>
      <c r="HH58" s="398">
        <f>IF(HG58=0,0,IF(LEN(GW58)=11,_xlfn.XLOOKUP(GW58,'Dispensed Ink Rates'!C:C,'Dispensed Ink Rates'!CS:CS),VLOOKUP(GW58,'Jan-2026 rates'!$E:$F,2,0)))</f>
        <v>0</v>
      </c>
      <c r="HI58" s="409"/>
      <c r="HJ58" s="398">
        <f>IF(HI58=0,0,IF(LEN(GX58)=11,_xlfn.XLOOKUP(GX58,'Dispensed Ink Rates'!C:C,'Dispensed Ink Rates'!CS:CS),VLOOKUP(GX58,'Jan-2026 rates'!$E:$F,2,0)))</f>
        <v>0</v>
      </c>
      <c r="HK58" s="409"/>
      <c r="HL58" s="398">
        <f>IF(HK58=0,0,IF(LEN(GY58)=11,_xlfn.XLOOKUP(GY58,'Dispensed Ink Rates'!C:C,'Dispensed Ink Rates'!CS:CS),VLOOKUP(GY58,'Jan-2026 rates'!$E:$F,2,0)))</f>
        <v>0</v>
      </c>
      <c r="HM58" s="409"/>
      <c r="HN58" s="398">
        <f>IF(HM58=0,0,IF(LEN(GZ58)=11,_xlfn.XLOOKUP(GZ58,'Dispensed Ink Rates'!C:C,'Dispensed Ink Rates'!CS:CS),VLOOKUP(GZ58,'Jan-2026 rates'!$E:$F,2,0)))</f>
        <v>0</v>
      </c>
      <c r="HO58" s="409"/>
      <c r="HP58" s="398">
        <f>IF(HO58=0,0,IF(LEN(HA58)=11,_xlfn.XLOOKUP(HA58,'Dispensed Ink Rates'!C:C,'Dispensed Ink Rates'!CS:CS),VLOOKUP(HA58,'Jan-2026 rates'!$E:$F,2,0)))</f>
        <v>0</v>
      </c>
      <c r="HQ58" s="409"/>
      <c r="HR58" s="398">
        <f>IF(HQ58=0,0,IF(LEN(HB58)=11,_xlfn.XLOOKUP(HB58,'Dispensed Ink Rates'!C:C,'Dispensed Ink Rates'!CS:CS),VLOOKUP(HB58,'Jan-2026 rates'!$E:$F,2,0)))</f>
        <v>0</v>
      </c>
      <c r="HS58" s="409" t="s">
        <v>1443</v>
      </c>
      <c r="HT58" s="409">
        <v>23</v>
      </c>
      <c r="HU58" s="411">
        <f t="shared" si="21"/>
        <v>0</v>
      </c>
      <c r="HV58" s="411">
        <f t="shared" si="22"/>
        <v>15.200000000000003</v>
      </c>
      <c r="HW58" s="414">
        <f t="shared" si="23"/>
        <v>0</v>
      </c>
      <c r="HX58" s="405" t="s">
        <v>545</v>
      </c>
      <c r="HY58" s="409"/>
      <c r="HZ58" s="420" t="str">
        <f t="shared" si="24"/>
        <v>FLINTSL - YELLOW</v>
      </c>
      <c r="IA58" s="409"/>
      <c r="IB58" s="411">
        <f>IF(IA58=0,0,IF($LB58=70%,VLOOKUP($HZ58,'Jan-2026 rates'!$L:$R,4,0),IF($LB58=65%,VLOOKUP($HZ58,'Jan-2026 rates'!$L:$R,4,0),IF($LB58=40%,VLOOKUP($HZ58,'Jan-2026 rates'!$L:$R,5,0),IF($LB58=30%,VLOOKUP($HZ58,'Jan-2026 rates'!$L:$R,6,0),IF($LB58=100%,VLOOKUP($HZ58,'Jan-2026 rates'!$L:$R,7,0),IF($LB58=60%,VLOOKUP($HZ58,'Jan-2026 rates'!$L:$S,8,0),IF($LB58=80%,VLOOKUP($HZ58,'Jan-2026 rates'!L:T,9,0),0))))))))</f>
        <v>0</v>
      </c>
      <c r="IC58" s="412"/>
      <c r="ID58" s="409"/>
      <c r="IE58" s="411">
        <f>IF(ID58=0,0,IF($LB58=70%,VLOOKUP($HZ58,'Jan-2026 rates'!$L:$R,4,0),IF($LB58=65%,VLOOKUP($HZ58,'Jan-2026 rates'!$L:$R,4,0),IF($LB58=40%,VLOOKUP($HZ58,'Jan-2026 rates'!$L:$R,5,0),IF($LB58=30%,VLOOKUP($HZ58,'Jan-2026 rates'!$L:$R,6,0),IF($LB58=100%,VLOOKUP($HZ58,'Jan-2026 rates'!$L:$R,7,0),IF($LB58=60%,VLOOKUP($HZ58,'Jan-2026 rates'!$L:$S,8,0),IF($LB58=80%,VLOOKUP($HZ58,'Jan-2026 rates'!L:T,9,0),0))))))))</f>
        <v>0</v>
      </c>
      <c r="IF58" s="412">
        <v>26503000002</v>
      </c>
      <c r="IG58" s="413" t="s">
        <v>1266</v>
      </c>
      <c r="IH58" s="412">
        <v>26504000005</v>
      </c>
      <c r="II58" s="412"/>
      <c r="IJ58" s="412"/>
      <c r="IK58" s="412"/>
      <c r="IL58" s="412"/>
      <c r="IM58" s="412"/>
      <c r="IN58" s="409">
        <v>15</v>
      </c>
      <c r="IO58" s="398" t="e">
        <f>IF(IN58=0,0,IF(LEN(IF58)=11,_xlfn.XLOOKUP(IF58,'Dispensed Ink Rates'!C:C,'Dispensed Ink Rates'!CS:CS),VLOOKUP(IF58,'Jan-2026 rates'!$E:$F,2,0)))</f>
        <v>#N/A</v>
      </c>
      <c r="IP58" s="409">
        <v>8</v>
      </c>
      <c r="IQ58" s="398">
        <f>IF(IP58=0,0,IF(LEN(IG58)=11,_xlfn.XLOOKUP(IG58,'Dispensed Ink Rates'!C:C,'Dispensed Ink Rates'!CS:CS),VLOOKUP(IG58,'Jan-2026 rates'!$E:$F,2,0)))</f>
        <v>0</v>
      </c>
      <c r="IR58" s="409">
        <v>1</v>
      </c>
      <c r="IS58" s="398" t="e">
        <f>IF(IR58=0,0,IF(LEN(IH58)=11,_xlfn.XLOOKUP(IH58,'Dispensed Ink Rates'!C:C,'Dispensed Ink Rates'!CS:CS),VLOOKUP(IH58,'Jan-2026 rates'!$E:$F,2,0)))</f>
        <v>#N/A</v>
      </c>
      <c r="IT58" s="409"/>
      <c r="IU58" s="398">
        <f>IF(IT58=0,0,IF(LEN(II58)=11,_xlfn.XLOOKUP(II58,'Dispensed Ink Rates'!C:C,'Dispensed Ink Rates'!CS:CS),VLOOKUP(II58,'Jan-2026 rates'!$E:$F,2,0)))</f>
        <v>0</v>
      </c>
      <c r="IV58" s="409"/>
      <c r="IW58" s="398">
        <f>IF(IV58=0,0,IF(LEN(IJ58)=11,_xlfn.XLOOKUP(IJ58,'Dispensed Ink Rates'!C:C,'Dispensed Ink Rates'!CS:CS),VLOOKUP(IJ58,'Jan-2026 rates'!$E:$F,2,0)))</f>
        <v>0</v>
      </c>
      <c r="IX58" s="409"/>
      <c r="IY58" s="398">
        <f>IF(IX58=0,0,IF(LEN(IK58)=11,_xlfn.XLOOKUP(IK58,'Dispensed Ink Rates'!C:C,'Dispensed Ink Rates'!CS:CS),VLOOKUP(IK58,'Jan-2026 rates'!$E:$F,2,0)))</f>
        <v>0</v>
      </c>
      <c r="IZ58" s="409"/>
      <c r="JA58" s="398">
        <f>IF(IZ58=0,0,IF(LEN(IL58)=11,_xlfn.XLOOKUP(IL58,'Dispensed Ink Rates'!C:C,'Dispensed Ink Rates'!CS:CS),VLOOKUP(IL58,'Jan-2026 rates'!$E:$F,2,0)))</f>
        <v>0</v>
      </c>
      <c r="JB58" s="409"/>
      <c r="JC58" s="398">
        <f>IF(JB58=0,0,IF(LEN(IM58)=11,_xlfn.XLOOKUP(IM58,'Dispensed Ink Rates'!C:C,'Dispensed Ink Rates'!CS:CS),VLOOKUP(IM58,'Jan-2026 rates'!$E:$F,2,0)))</f>
        <v>0</v>
      </c>
      <c r="JD58" s="409" t="s">
        <v>1443</v>
      </c>
      <c r="JE58" s="409">
        <v>30</v>
      </c>
      <c r="JF58" s="411">
        <f t="shared" si="25"/>
        <v>0</v>
      </c>
      <c r="JG58" s="411">
        <f t="shared" si="26"/>
        <v>12.560000000000002</v>
      </c>
      <c r="JH58" s="410">
        <f t="shared" si="27"/>
        <v>0</v>
      </c>
      <c r="JI58" s="405" t="s">
        <v>856</v>
      </c>
      <c r="JJ58" s="409" t="s">
        <v>2899</v>
      </c>
      <c r="JK58" s="420" t="str">
        <f t="shared" si="28"/>
        <v>FLINTSL - WHITE</v>
      </c>
      <c r="JL58" s="409">
        <v>30</v>
      </c>
      <c r="JM58" s="411">
        <f>IF(JL58=0,0,IF($LB58=70%,VLOOKUP($JK58,'Jan-2026 rates'!$L:$R,4,0),IF($LB58=65%,VLOOKUP($JK58,'Jan-2026 rates'!$L:$R,4,0),IF($LB58=40%,VLOOKUP($JK58,'Jan-2026 rates'!$L:$R,5,0),IF($LB58=30%,VLOOKUP($JK58,'Jan-2026 rates'!$L:$R,6,0),IF($LB58=100%,VLOOKUP($JK58,'Jan-2026 rates'!$L:$R,7,0),IF($LB58=60%,VLOOKUP($JK58,'Jan-2026 rates'!$L:$S,8,0),IF($LB58=80%,VLOOKUP($JK58,'Jan-2026 rates'!L:T,9,0),0))))))))</f>
        <v>0</v>
      </c>
      <c r="JN58" s="412"/>
      <c r="JO58" s="409"/>
      <c r="JP58" s="411">
        <f>IF(JO58=0,0,IF($LB58=70%,VLOOKUP($JK58,'Jan-2026 rates'!$L:$R,4,0),IF($LB58=65%,VLOOKUP($JK58,'Jan-2026 rates'!$L:$R,4,0),IF($LB58=40%,VLOOKUP($JK58,'Jan-2026 rates'!$L:$R,5,0),IF($LB58=30%,VLOOKUP($JK58,'Jan-2026 rates'!$L:$R,6,0),IF($LB58=100%,VLOOKUP($JK58,'Jan-2026 rates'!$L:$R,7,0),IF($LB58=60%,VLOOKUP($JK58,'Jan-2026 rates'!$L:$S,8,0),IF($LB58=80%,VLOOKUP($JK58,'Jan-2026 rates'!L:T,9,0),0))))))))</f>
        <v>0</v>
      </c>
      <c r="JQ58" s="413" t="s">
        <v>484</v>
      </c>
      <c r="JR58" s="412"/>
      <c r="JS58" s="413"/>
      <c r="JT58" s="413"/>
      <c r="JU58" s="412"/>
      <c r="JV58" s="412"/>
      <c r="JW58" s="412"/>
      <c r="JX58" s="412"/>
      <c r="JY58" s="409">
        <v>50</v>
      </c>
      <c r="JZ58" s="398">
        <f>IF(JY58=0,0,IF(LEN(JQ58)=11,_xlfn.XLOOKUP(JQ58,'Dispensed Ink Rates'!C:C,'Dispensed Ink Rates'!CS:CS),VLOOKUP(JQ58,'Jan-2026 rates'!$E:$F,2,0)))</f>
        <v>0</v>
      </c>
      <c r="KA58" s="409"/>
      <c r="KB58" s="398">
        <f>IF(KA58=0,0,IF(LEN(JR58)=11,_xlfn.XLOOKUP(JR58,'Dispensed Ink Rates'!C:C,'Dispensed Ink Rates'!CS:CS),VLOOKUP(JR58,'Jan-2026 rates'!$E:$F,2,0)))</f>
        <v>0</v>
      </c>
      <c r="KC58" s="409"/>
      <c r="KD58" s="398">
        <f>IF(KC58=0,0,IF(LEN(JS58)=11,_xlfn.XLOOKUP(JS58,'Dispensed Ink Rates'!C:C,'Dispensed Ink Rates'!CS:CS),VLOOKUP(JS58,'Jan-2026 rates'!$E:$F,2,0)))</f>
        <v>0</v>
      </c>
      <c r="KE58" s="409"/>
      <c r="KF58" s="398">
        <f>IF(KE58=0,0,IF(LEN(JT58)=11,_xlfn.XLOOKUP(JT58,'Dispensed Ink Rates'!C:C,'Dispensed Ink Rates'!CS:CS),VLOOKUP(JT58,'Jan-2026 rates'!$E:$F,2,0)))</f>
        <v>0</v>
      </c>
      <c r="KG58" s="409"/>
      <c r="KH58" s="398">
        <f>IF(KG58=0,0,IF(LEN(JU58)=11,_xlfn.XLOOKUP(JU58,'Dispensed Ink Rates'!C:C,'Dispensed Ink Rates'!CS:CS),VLOOKUP(JU58,'Jan-2026 rates'!$E:$F,2,0)))</f>
        <v>0</v>
      </c>
      <c r="KI58" s="409"/>
      <c r="KJ58" s="398">
        <f>IF(KI58=0,0,IF(LEN(JV58)=11,_xlfn.XLOOKUP(JV58,'Dispensed Ink Rates'!C:C,'Dispensed Ink Rates'!CS:CS),VLOOKUP(JV58,'Jan-2026 rates'!$E:$F,2,0)))</f>
        <v>0</v>
      </c>
      <c r="KK58" s="409"/>
      <c r="KL58" s="398">
        <f>IF(KK58=0,0,IF(LEN(JW58)=11,_xlfn.XLOOKUP(JW58,'Dispensed Ink Rates'!C:C,'Dispensed Ink Rates'!CS:CS),VLOOKUP(JW58,'Jan-2026 rates'!$E:$F,2,0)))</f>
        <v>0</v>
      </c>
      <c r="KM58" s="428"/>
      <c r="KN58" s="398">
        <f>IF(KM58=0,0,IF(LEN(JX58)=11,_xlfn.XLOOKUP(JX58,'Dispensed Ink Rates'!C:C,'Dispensed Ink Rates'!CS:CS),VLOOKUP(JX58,'Jan-2026 rates'!$E:$F,2,0)))</f>
        <v>0</v>
      </c>
      <c r="KO58" s="409" t="s">
        <v>1443</v>
      </c>
      <c r="KP58" s="409">
        <v>30</v>
      </c>
      <c r="KQ58" s="411">
        <f t="shared" si="29"/>
        <v>0</v>
      </c>
      <c r="KR58" s="411">
        <f t="shared" si="30"/>
        <v>119.60000000000002</v>
      </c>
      <c r="KS58" s="410">
        <f t="shared" si="31"/>
        <v>0</v>
      </c>
      <c r="KT58" s="409">
        <v>3</v>
      </c>
      <c r="KU58" s="409">
        <v>10</v>
      </c>
      <c r="KV58" s="409">
        <v>0</v>
      </c>
      <c r="KW58" s="409">
        <v>10</v>
      </c>
      <c r="KX58" s="409">
        <v>4</v>
      </c>
      <c r="KY58" s="409">
        <v>10</v>
      </c>
      <c r="KZ58" s="409">
        <v>8</v>
      </c>
      <c r="LA58" s="409">
        <v>30</v>
      </c>
      <c r="LB58" s="415">
        <v>0.8</v>
      </c>
      <c r="LC58" s="415">
        <v>0.2</v>
      </c>
      <c r="LD58" s="415"/>
      <c r="LE58" s="415"/>
      <c r="LF58" s="415"/>
      <c r="LG58" s="409">
        <v>0</v>
      </c>
      <c r="LH58" s="409">
        <f>30+35+80+20+5+4</f>
        <v>174</v>
      </c>
      <c r="LI58" s="409">
        <v>0</v>
      </c>
      <c r="LJ58" s="409">
        <v>0</v>
      </c>
      <c r="LK58" s="416">
        <f t="shared" si="32"/>
        <v>174</v>
      </c>
      <c r="LL58" s="416">
        <f t="shared" si="33"/>
        <v>174</v>
      </c>
      <c r="LM58" s="417">
        <f t="shared" si="34"/>
        <v>139.20000000000002</v>
      </c>
      <c r="LN58" s="417">
        <f>VLOOKUP($LM$8,'Jan-2026 rates'!$H:$I,2,0)</f>
        <v>0</v>
      </c>
      <c r="LO58" s="417">
        <f t="shared" si="35"/>
        <v>34.800000000000004</v>
      </c>
      <c r="LP58" s="417">
        <f>VLOOKUP($LO$8,'Jan-2026 rates'!$H:$I,2,0)</f>
        <v>0</v>
      </c>
      <c r="LQ58" s="417">
        <f t="shared" si="36"/>
        <v>0</v>
      </c>
      <c r="LR58" s="417">
        <f>VLOOKUP($LQ$8,'Jan-2026 rates'!$H:$I,2,0)</f>
        <v>0</v>
      </c>
      <c r="LS58" s="417">
        <f t="shared" si="37"/>
        <v>0</v>
      </c>
      <c r="LT58" s="417">
        <f>VLOOKUP($LS$8,'Jan-2026 rates'!$H:$I,2,0)</f>
        <v>0</v>
      </c>
      <c r="LU58" s="417">
        <f t="shared" si="38"/>
        <v>0</v>
      </c>
      <c r="LV58" s="417">
        <f>VLOOKUP($LU$8,'Jan-2026 rates'!$H:$I,2,0)</f>
        <v>0</v>
      </c>
      <c r="LW58" s="417">
        <f t="shared" si="39"/>
        <v>0</v>
      </c>
      <c r="LX58" s="417">
        <f t="shared" si="40"/>
        <v>0</v>
      </c>
      <c r="LY58" s="418">
        <f t="shared" si="41"/>
        <v>0</v>
      </c>
      <c r="LZ58" s="417"/>
      <c r="MA58" s="435">
        <f t="shared" si="42"/>
        <v>237</v>
      </c>
      <c r="MB58" s="282">
        <f t="shared" si="43"/>
        <v>297.00000000000006</v>
      </c>
      <c r="MC58" s="283">
        <v>13</v>
      </c>
      <c r="MD58" s="284" t="str">
        <f t="shared" si="44"/>
        <v>FLINTSLFLINTSLFLINTSLFLINTSLFLINTSLFLINTSLFLINTSLFLINTSL</v>
      </c>
      <c r="ME58" s="293" t="str">
        <f t="shared" si="45"/>
        <v>+</v>
      </c>
      <c r="MF58" s="293" t="str">
        <f t="shared" si="46"/>
        <v>+</v>
      </c>
      <c r="MG58" s="293" t="str">
        <f t="shared" si="47"/>
        <v>+</v>
      </c>
      <c r="MH58" s="293" t="str">
        <f t="shared" si="48"/>
        <v>+</v>
      </c>
      <c r="MI58" s="293" t="str">
        <f t="shared" si="49"/>
        <v>+</v>
      </c>
      <c r="MJ58" s="293" t="str">
        <f t="shared" si="50"/>
        <v>+</v>
      </c>
      <c r="MK58" s="293" t="str">
        <f t="shared" si="51"/>
        <v>+</v>
      </c>
      <c r="ML58" s="293" t="str">
        <f t="shared" si="52"/>
        <v>+</v>
      </c>
      <c r="MM58" s="3" t="b">
        <f t="array" ref="MM58">OR(ME58:ML58="-")</f>
        <v>0</v>
      </c>
      <c r="MN58" s="285"/>
      <c r="MO58" s="401"/>
      <c r="MP58" s="286"/>
      <c r="MQ58" s="286"/>
      <c r="MR58" s="402"/>
      <c r="MS58" s="400"/>
      <c r="NH58" s="422"/>
      <c r="NJ58" s="421"/>
    </row>
    <row r="59" spans="1:374" s="1" customFormat="1" ht="16.5">
      <c r="A59" s="403">
        <v>46026</v>
      </c>
      <c r="B59" s="404" t="s">
        <v>1018</v>
      </c>
      <c r="C59" s="405" t="s">
        <v>2900</v>
      </c>
      <c r="D59" s="406">
        <v>14</v>
      </c>
      <c r="E59" s="404">
        <v>1992</v>
      </c>
      <c r="F59" s="407">
        <v>98900</v>
      </c>
      <c r="G59" s="407" t="s">
        <v>1019</v>
      </c>
      <c r="H59" s="408" t="s">
        <v>1017</v>
      </c>
      <c r="I59" s="409">
        <v>1.89</v>
      </c>
      <c r="J59" s="405" t="s">
        <v>543</v>
      </c>
      <c r="K59" s="404" t="s">
        <v>2901</v>
      </c>
      <c r="L59" s="419" t="str">
        <f t="shared" si="0"/>
        <v>FLINTSL - BLACK</v>
      </c>
      <c r="M59" s="404">
        <v>30</v>
      </c>
      <c r="N59" s="410">
        <f>IF(M59=0,0,IF($LB59=70%,VLOOKUP($L59,'Jan-2026 rates'!$L:$R,4,0),IF($LB59=65%,VLOOKUP($L59,'Jan-2026 rates'!$L:$R,4,0),IF($LB59=40%,VLOOKUP($L59,'Jan-2026 rates'!$L:$R,5,0),IF($LB59=30%,VLOOKUP($L59,'Jan-2026 rates'!$L:$R,6,0),IF($LB59=100%,VLOOKUP($L59,'Jan-2026 rates'!$L:$R,7,0),IF($LB59=60%,VLOOKUP($L59,'Jan-2026 rates'!$L:$S,8,0),IF($LB59=80%,VLOOKUP($L59,'Jan-2026 rates'!L:T,9,0),0))))))))</f>
        <v>0</v>
      </c>
      <c r="O59" s="406" t="s">
        <v>2289</v>
      </c>
      <c r="P59" s="404">
        <v>10</v>
      </c>
      <c r="Q59" s="410">
        <f>IF(P59=0,0,IF($LB59=70%,VLOOKUP($L59,'Jan-2026 rates'!$L:$R,4,0),IF($LB59=65%,VLOOKUP($L59,'Jan-2026 rates'!$L:$R,4,0),IF($LB59=40%,VLOOKUP($L59,'Jan-2026 rates'!$L:$R,5,0),IF($LB59=30%,VLOOKUP($L59,'Jan-2026 rates'!$L:$R,6,0),IF($LB59=100%,VLOOKUP($L59,'Jan-2026 rates'!$L:$R,7,0),IF($LB59=60%,VLOOKUP($L59,'Jan-2026 rates'!$L:$S,8,0),IF($LB59=80%,VLOOKUP($L59,'Jan-2026 rates'!L:T,9,0),0))))))))</f>
        <v>0</v>
      </c>
      <c r="R59" s="406">
        <v>26503000005</v>
      </c>
      <c r="S59" s="406" t="s">
        <v>1266</v>
      </c>
      <c r="T59" s="406"/>
      <c r="U59" s="406"/>
      <c r="V59" s="406"/>
      <c r="W59" s="406"/>
      <c r="X59" s="406"/>
      <c r="Y59" s="406"/>
      <c r="Z59" s="404">
        <v>6</v>
      </c>
      <c r="AA59" s="398" t="e">
        <f>IF(Z59=0,0,IF(LEN(R59)=11,_xlfn.XLOOKUP(R59,'Dispensed Ink Rates'!C:C,'Dispensed Ink Rates'!CS:CS),VLOOKUP(R59,'Jan-2026 rates'!$E:$F,2,0)))</f>
        <v>#N/A</v>
      </c>
      <c r="AB59" s="404">
        <v>8</v>
      </c>
      <c r="AC59" s="398">
        <f>IF(AB59=0,0,IF(LEN(S59)=11,_xlfn.XLOOKUP(S59,'Dispensed Ink Rates'!C:C,'Dispensed Ink Rates'!CS:CS),VLOOKUP(S59,'Jan-2026 rates'!$E:$F,2,0)))</f>
        <v>0</v>
      </c>
      <c r="AD59" s="404"/>
      <c r="AE59" s="398">
        <f>IF(AD59=0,0,IF(LEN(T59)=11,_xlfn.XLOOKUP(T59,'Dispensed Ink Rates'!C:C,'Dispensed Ink Rates'!CS:CS),VLOOKUP(T59,'Jan-2026 rates'!$E:$F,2,0)))</f>
        <v>0</v>
      </c>
      <c r="AF59" s="404"/>
      <c r="AG59" s="398">
        <f>IF(AF59=0,0,IF(LEN(U59)=11,_xlfn.XLOOKUP(U59,'Dispensed Ink Rates'!C:C,'Dispensed Ink Rates'!CS:CS),VLOOKUP(U59,'Jan-2026 rates'!$E:$F,2,0)))</f>
        <v>0</v>
      </c>
      <c r="AH59" s="404"/>
      <c r="AI59" s="398">
        <f>IF(AH59=0,0,IF(LEN(V59)=11,_xlfn.XLOOKUP(V59,'Dispensed Ink Rates'!C:C,'Dispensed Ink Rates'!CS:CS),VLOOKUP(V59,'Jan-2026 rates'!$E:$F,2,0)))</f>
        <v>0</v>
      </c>
      <c r="AJ59" s="404"/>
      <c r="AK59" s="398">
        <f>IF(AJ59=0,0,IF(LEN(W59)=11,_xlfn.XLOOKUP(W59,'Dispensed Ink Rates'!C:C,'Dispensed Ink Rates'!CS:CS),VLOOKUP(W59,'Jan-2026 rates'!$E:$F,2,0)))</f>
        <v>0</v>
      </c>
      <c r="AL59" s="404"/>
      <c r="AM59" s="398">
        <f>IF(AL59=0,0,IF(LEN(X59)=11,_xlfn.XLOOKUP(X59,'Dispensed Ink Rates'!C:C,'Dispensed Ink Rates'!CS:CS),VLOOKUP(X59,'Jan-2026 rates'!$E:$F,2,0)))</f>
        <v>0</v>
      </c>
      <c r="AN59" s="404"/>
      <c r="AO59" s="398">
        <f>IF(AN59=0,0,IF(LEN(Y59)=11,_xlfn.XLOOKUP(Y59,'Dispensed Ink Rates'!C:C,'Dispensed Ink Rates'!CS:CS),VLOOKUP(Y59,'Jan-2026 rates'!$E:$F,2,0)))</f>
        <v>0</v>
      </c>
      <c r="AP59" s="409" t="s">
        <v>1443</v>
      </c>
      <c r="AQ59" s="409">
        <v>25</v>
      </c>
      <c r="AR59" s="410">
        <f t="shared" si="1"/>
        <v>0</v>
      </c>
      <c r="AS59" s="411">
        <f t="shared" si="2"/>
        <v>52.079470198675494</v>
      </c>
      <c r="AT59" s="410">
        <f t="shared" si="3"/>
        <v>0</v>
      </c>
      <c r="AU59" s="405" t="s">
        <v>543</v>
      </c>
      <c r="AV59" s="409" t="s">
        <v>2835</v>
      </c>
      <c r="AW59" s="420" t="str">
        <f t="shared" si="53"/>
        <v>FLINTSL - BLACK</v>
      </c>
      <c r="AX59" s="409">
        <v>20</v>
      </c>
      <c r="AY59" s="411">
        <f>IF(AX59=0,0,IF($LB59=70%,VLOOKUP($AW59,'Jan-2026 rates'!$L:$R,4,0),IF($LB59=65%,VLOOKUP($AW59,'Jan-2026 rates'!$L:$R,4,0),IF($LB59=40%,VLOOKUP($AW59,'Jan-2026 rates'!$L:$R,5,0),IF($LB59=30%,VLOOKUP($AW59,'Jan-2026 rates'!$L:$R,6,0),IF($LB59=100%,VLOOKUP($AW59,'Jan-2026 rates'!$L:$R,7,0),IF($LB59=60%,VLOOKUP($AW59,'Jan-2026 rates'!$L:$S,8,0),IF($LB59=80%,VLOOKUP($AW59,'Jan-2026 rates'!L:T,9,0),0))))))))</f>
        <v>0</v>
      </c>
      <c r="AZ59" s="412" t="s">
        <v>2864</v>
      </c>
      <c r="BA59" s="409">
        <v>20</v>
      </c>
      <c r="BB59" s="411">
        <f>IF(BA59=0,0,IF($LB59=70%,VLOOKUP($AW59,'Jan-2026 rates'!$L:$R,4,0),IF($LB59=65%,VLOOKUP($AW59,'Jan-2026 rates'!$L:$R,4,0),IF($LB59=40%,VLOOKUP($AW59,'Jan-2026 rates'!$L:$R,5,0),IF($LB59=30%,VLOOKUP($AW59,'Jan-2026 rates'!$L:$R,6,0),IF($LB59=100%,VLOOKUP($AW59,'Jan-2026 rates'!$L:$R,7,0),IF($LB59=60%,VLOOKUP($AW59,'Jan-2026 rates'!$L:$S,8,0),IF($LB59=80%,VLOOKUP($AW59,'Jan-2026 rates'!L:T,9,0),0))))))))</f>
        <v>0</v>
      </c>
      <c r="BC59" s="413">
        <v>26503000005</v>
      </c>
      <c r="BD59" s="412"/>
      <c r="BE59" s="412"/>
      <c r="BF59" s="413"/>
      <c r="BG59" s="412"/>
      <c r="BH59" s="412"/>
      <c r="BI59" s="412"/>
      <c r="BJ59" s="412"/>
      <c r="BK59" s="409">
        <v>5</v>
      </c>
      <c r="BL59" s="398" t="e">
        <f>IF(BK59=0,0,IF(LEN(BC59)=11,_xlfn.XLOOKUP(BC59,'Dispensed Ink Rates'!C:C,'Dispensed Ink Rates'!CS:CS),VLOOKUP(BC59,'Jan-2026 rates'!$E:$F,2,0)))</f>
        <v>#N/A</v>
      </c>
      <c r="BM59" s="409"/>
      <c r="BN59" s="398">
        <f>IF(BM59=0,0,IF(LEN(BD59)=11,_xlfn.XLOOKUP(BD59,'Dispensed Ink Rates'!C:C,'Dispensed Ink Rates'!CS:CS),VLOOKUP(BD59,'Jan-2026 rates'!$E:$F,2,0)))</f>
        <v>0</v>
      </c>
      <c r="BO59" s="409"/>
      <c r="BP59" s="398">
        <f>IF(BO59=0,0,IF(LEN(BE59)=11,_xlfn.XLOOKUP(BE59,'Dispensed Ink Rates'!C:C,'Dispensed Ink Rates'!CS:CS),VLOOKUP(BE59,'Jan-2026 rates'!$E:$F,2,0)))</f>
        <v>0</v>
      </c>
      <c r="BQ59" s="409"/>
      <c r="BR59" s="398">
        <f>IF(BQ59=0,0,IF(LEN(BF59)=11,_xlfn.XLOOKUP(BF59,'Dispensed Ink Rates'!C:C,'Dispensed Ink Rates'!CS:CS),VLOOKUP(BF59,'Jan-2026 rates'!$E:$F,2,0)))</f>
        <v>0</v>
      </c>
      <c r="BS59" s="409"/>
      <c r="BT59" s="398">
        <f>IF(BS59=0,0,IF(LEN(BG59)=11,_xlfn.XLOOKUP(BG59,'Dispensed Ink Rates'!C:C,'Dispensed Ink Rates'!CS:CS),VLOOKUP(BG59,'Jan-2026 rates'!$E:$F,2,0)))</f>
        <v>0</v>
      </c>
      <c r="BU59" s="409"/>
      <c r="BV59" s="398">
        <f>IF(BU59=0,0,IF(LEN(BH59)=11,_xlfn.XLOOKUP(BH59,'Dispensed Ink Rates'!C:C,'Dispensed Ink Rates'!CS:CS),VLOOKUP(BH59,'Jan-2026 rates'!$E:$F,2,0)))</f>
        <v>0</v>
      </c>
      <c r="BW59" s="409"/>
      <c r="BX59" s="398">
        <f>IF(BW59=0,0,IF(LEN(BI59)=11,_xlfn.XLOOKUP(BI59,'Dispensed Ink Rates'!C:C,'Dispensed Ink Rates'!CS:CS),VLOOKUP(BI59,'Jan-2026 rates'!$E:$F,2,0)))</f>
        <v>0</v>
      </c>
      <c r="BY59" s="409"/>
      <c r="BZ59" s="398">
        <f>IF(BY59=0,0,IF(LEN(BJ59)=11,_xlfn.XLOOKUP(BJ59,'Dispensed Ink Rates'!C:C,'Dispensed Ink Rates'!CS:CS),VLOOKUP(BJ59,'Jan-2026 rates'!$E:$F,2,0)))</f>
        <v>0</v>
      </c>
      <c r="CA59" s="409" t="s">
        <v>1443</v>
      </c>
      <c r="CB59" s="409">
        <v>24</v>
      </c>
      <c r="CC59" s="411">
        <f t="shared" si="5"/>
        <v>0</v>
      </c>
      <c r="CD59" s="411">
        <f t="shared" si="6"/>
        <v>44.079470198675494</v>
      </c>
      <c r="CE59" s="410">
        <f t="shared" si="7"/>
        <v>0</v>
      </c>
      <c r="CF59" s="404" t="s">
        <v>547</v>
      </c>
      <c r="CG59" s="409" t="s">
        <v>2902</v>
      </c>
      <c r="CH59" s="420" t="str">
        <f t="shared" si="8"/>
        <v>FLINTSL - GREEN</v>
      </c>
      <c r="CI59" s="409">
        <v>14</v>
      </c>
      <c r="CJ59" s="411">
        <f>IF(CI59=0,0,IF($LB59=70%,VLOOKUP($CH59,'Jan-2026 rates'!$L:$R,4,0),IF($LB59=65%,VLOOKUP($CH59,'Jan-2026 rates'!$L:$R,4,0),IF($LB59=40%,VLOOKUP($CH59,'Jan-2026 rates'!$L:$R,5,0),IF($LB59=30%,VLOOKUP($CH59,'Jan-2026 rates'!$L:$R,6,0),IF($LB59=100%,VLOOKUP($CH59,'Jan-2026 rates'!$L:$R,7,0),IF($LB59=60%,VLOOKUP($CH59,'Jan-2026 rates'!$L:$S,8,0),IF($LB59=80%,VLOOKUP($CH59,'Jan-2026 rates'!L:T,9,0),0))))))))</f>
        <v>0</v>
      </c>
      <c r="CK59" s="412" t="s">
        <v>2819</v>
      </c>
      <c r="CL59" s="409">
        <v>20</v>
      </c>
      <c r="CM59" s="411">
        <f>IF(CL59=0,0,IF($LB59=70%,VLOOKUP($CH59,'Jan-2026 rates'!$L:$R,4,0),IF($LB59=65%,VLOOKUP($CH59,'Jan-2026 rates'!$L:$R,4,0),IF($LB59=40%,VLOOKUP($CH59,'Jan-2026 rates'!$L:$R,5,0),IF($LB59=30%,VLOOKUP($CH59,'Jan-2026 rates'!$L:$R,6,0),IF($LB59=100%,VLOOKUP($CH59,'Jan-2026 rates'!$L:$R,7,0),IF($LB59=60%,VLOOKUP($CH59,'Jan-2026 rates'!$L:$S,8,0),IF($LB59=80%,VLOOKUP($CH59,'Jan-2026 rates'!L:T,9,0),0))))))))</f>
        <v>0</v>
      </c>
      <c r="CN59" s="426">
        <v>25864000009</v>
      </c>
      <c r="CO59" s="427"/>
      <c r="CP59" s="426"/>
      <c r="CQ59" s="426"/>
      <c r="CR59" s="428"/>
      <c r="CS59" s="428"/>
      <c r="CT59" s="428"/>
      <c r="CU59" s="428"/>
      <c r="CV59" s="409">
        <v>5</v>
      </c>
      <c r="CW59" s="398" t="e">
        <f>IF(CV59=0,0,IF(LEN(CN59)=11,_xlfn.XLOOKUP(CN59,'Dispensed Ink Rates'!C:C,'Dispensed Ink Rates'!CS:CS),VLOOKUP(CN59,'Jan-2026 rates'!$E:$F,2,0)))</f>
        <v>#N/A</v>
      </c>
      <c r="CX59" s="409"/>
      <c r="CY59" s="398">
        <f>IF(CX59=0,0,IF(LEN(CO59)=11,_xlfn.XLOOKUP(CO59,'Dispensed Ink Rates'!C:C,'Dispensed Ink Rates'!CS:CS),VLOOKUP(CO59,'Jan-2026 rates'!$E:$F,2,0)))</f>
        <v>0</v>
      </c>
      <c r="CZ59" s="409"/>
      <c r="DA59" s="398">
        <f>IF(CZ59=0,0,IF(LEN(CP59)=11,_xlfn.XLOOKUP(CP59,'Dispensed Ink Rates'!C:C,'Dispensed Ink Rates'!CS:CS),VLOOKUP(CP59,'Jan-2026 rates'!$E:$F,2,0)))</f>
        <v>0</v>
      </c>
      <c r="DB59" s="409"/>
      <c r="DC59" s="398">
        <f>IF(DB59=0,0,IF(LEN(CQ59)=11,_xlfn.XLOOKUP(CQ59,'Dispensed Ink Rates'!C:C,'Dispensed Ink Rates'!CS:CS),VLOOKUP(CQ59,'Jan-2026 rates'!$E:$F,2,0)))</f>
        <v>0</v>
      </c>
      <c r="DD59" s="409"/>
      <c r="DE59" s="398">
        <f>IF(DD59=0,0,IF(LEN(CR59)=11,_xlfn.XLOOKUP(CR59,'Dispensed Ink Rates'!C:C,'Dispensed Ink Rates'!CS:CS),VLOOKUP(CR59,'Jan-2026 rates'!$E:$F,2,0)))</f>
        <v>0</v>
      </c>
      <c r="DF59" s="409"/>
      <c r="DG59" s="398">
        <f>IF(DF59=0,0,IF(LEN(CS59)=11,_xlfn.XLOOKUP(CS59,'Dispensed Ink Rates'!C:C,'Dispensed Ink Rates'!CS:CS),VLOOKUP(CS59,'Jan-2026 rates'!$E:$F,2,0)))</f>
        <v>0</v>
      </c>
      <c r="DH59" s="409"/>
      <c r="DI59" s="398">
        <f>IF(DH59=0,0,IF(LEN(CT59)=11,_xlfn.XLOOKUP(CT59,'Dispensed Ink Rates'!C:C,'Dispensed Ink Rates'!CS:CS),VLOOKUP(CT59,'Jan-2026 rates'!$E:$F,2,0)))</f>
        <v>0</v>
      </c>
      <c r="DJ59" s="409"/>
      <c r="DK59" s="398">
        <f>IF(DJ59=0,0,IF(LEN(CU59)=11,_xlfn.XLOOKUP(CU59,'Dispensed Ink Rates'!C:C,'Dispensed Ink Rates'!CS:CS),VLOOKUP(CU59,'Jan-2026 rates'!$E:$F,2,0)))</f>
        <v>0</v>
      </c>
      <c r="DL59" s="409" t="s">
        <v>1443</v>
      </c>
      <c r="DM59" s="409">
        <v>25</v>
      </c>
      <c r="DN59" s="411">
        <f t="shared" si="9"/>
        <v>0</v>
      </c>
      <c r="DO59" s="411">
        <f t="shared" si="10"/>
        <v>20.923841059602651</v>
      </c>
      <c r="DP59" s="410">
        <f t="shared" si="11"/>
        <v>0</v>
      </c>
      <c r="DQ59" s="405" t="s">
        <v>855</v>
      </c>
      <c r="DR59" s="409" t="s">
        <v>2903</v>
      </c>
      <c r="DS59" s="420" t="str">
        <f t="shared" si="12"/>
        <v>FLINTSL - CYAN</v>
      </c>
      <c r="DT59" s="409">
        <v>29</v>
      </c>
      <c r="DU59" s="411">
        <f>IF(DT59=0,0,IF($LB59=70%,VLOOKUP($DS59,'Jan-2026 rates'!$L:$R,4,0),IF($LB59=65%,VLOOKUP($DS59,'Jan-2026 rates'!$L:$R,4,0),IF($LB59=40%,VLOOKUP($DS59,'Jan-2026 rates'!$L:$R,5,0),IF($LB59=30%,VLOOKUP($DS59,'Jan-2026 rates'!$L:$R,6,0),IF($LB59=100%,VLOOKUP($DS59,'Jan-2026 rates'!$L:$R,7,0),IF($LB59=60%,VLOOKUP($DS59,'Jan-2026 rates'!$L:$S,8,0),IF($LB59=80%,VLOOKUP($DS59,'Jan-2026 rates'!L:T,9,0),0))))))))</f>
        <v>0</v>
      </c>
      <c r="DV59" s="412"/>
      <c r="DW59" s="409"/>
      <c r="DX59" s="411">
        <f>IF(DW59=0,0,IF($LB59=70%,VLOOKUP($DS59,'Jan-2026 rates'!$L:$R,4,0),IF($LB59=65%,VLOOKUP($DS59,'Jan-2026 rates'!$L:$R,4,0),IF($LB59=40%,VLOOKUP($DS59,'Jan-2026 rates'!$L:$R,5,0),IF($LB59=30%,VLOOKUP($DS59,'Jan-2026 rates'!$L:$R,6,0),IF($LB59=100%,VLOOKUP($DS59,'Jan-2026 rates'!$L:$R,7,0),IF($LB59=60%,VLOOKUP($DS59,'Jan-2026 rates'!$L:$S,8,0),IF($LB59=80%,VLOOKUP($DS59,'Jan-2026 rates'!L:T,9,0),0))))))))</f>
        <v>0</v>
      </c>
      <c r="DY59" s="413" t="s">
        <v>1266</v>
      </c>
      <c r="DZ59" s="413"/>
      <c r="EA59" s="412"/>
      <c r="EB59" s="412"/>
      <c r="EC59" s="412"/>
      <c r="ED59" s="412"/>
      <c r="EE59" s="412"/>
      <c r="EF59" s="412"/>
      <c r="EG59" s="409">
        <v>7</v>
      </c>
      <c r="EH59" s="398">
        <f>IF(EG59=0,0,IF(LEN(DY59)=11,_xlfn.XLOOKUP(DY59,'Dispensed Ink Rates'!C:C,'Dispensed Ink Rates'!CS:CS),VLOOKUP(DY59,'Jan-2026 rates'!$E:$F,2,0)))</f>
        <v>0</v>
      </c>
      <c r="EI59" s="409"/>
      <c r="EJ59" s="398">
        <f>IF(EI59=0,0,IF(LEN(DZ59)=11,_xlfn.XLOOKUP(DZ59,'Dispensed Ink Rates'!C:C,'Dispensed Ink Rates'!CS:CS),VLOOKUP(DZ59,'Jan-2026 rates'!$E:$F,2,0)))</f>
        <v>0</v>
      </c>
      <c r="EK59" s="409"/>
      <c r="EL59" s="398">
        <f>IF(EK59=0,0,IF(LEN(EA59)=11,_xlfn.XLOOKUP(EA59,'Dispensed Ink Rates'!C:C,'Dispensed Ink Rates'!CS:CS),VLOOKUP(EA59,'Jan-2026 rates'!$E:$F,2,0)))</f>
        <v>0</v>
      </c>
      <c r="EM59" s="409"/>
      <c r="EN59" s="398">
        <f>IF(EM59=0,0,IF(LEN(EB59)=11,_xlfn.XLOOKUP(EB59,'Dispensed Ink Rates'!C:C,'Dispensed Ink Rates'!CS:CS),VLOOKUP(EB59,'Jan-2026 rates'!$E:$F,2,0)))</f>
        <v>0</v>
      </c>
      <c r="EO59" s="409"/>
      <c r="EP59" s="398">
        <f>IF(EO59=0,0,IF(LEN(EC59)=11,_xlfn.XLOOKUP(EC59,'Dispensed Ink Rates'!C:C,'Dispensed Ink Rates'!CS:CS),VLOOKUP(EC59,'Jan-2026 rates'!$E:$F,2,0)))</f>
        <v>0</v>
      </c>
      <c r="EQ59" s="409"/>
      <c r="ER59" s="398">
        <f>IF(EQ59=0,0,IF(LEN(ED59)=11,_xlfn.XLOOKUP(ED59,'Dispensed Ink Rates'!C:C,'Dispensed Ink Rates'!CS:CS),VLOOKUP(ED59,'Jan-2026 rates'!$E:$F,2,0)))</f>
        <v>0</v>
      </c>
      <c r="ES59" s="409"/>
      <c r="ET59" s="398">
        <f>IF(ES59=0,0,IF(LEN(EE59)=11,_xlfn.XLOOKUP(EE59,'Dispensed Ink Rates'!C:C,'Dispensed Ink Rates'!CS:CS),VLOOKUP(EE59,'Jan-2026 rates'!$E:$F,2,0)))</f>
        <v>0</v>
      </c>
      <c r="EU59" s="409"/>
      <c r="EV59" s="398">
        <f>IF(EU59=0,0,IF(LEN(EF59)=11,_xlfn.XLOOKUP(EF59,'Dispensed Ink Rates'!C:C,'Dispensed Ink Rates'!CS:CS),VLOOKUP(EF59,'Jan-2026 rates'!$E:$F,2,0)))</f>
        <v>0</v>
      </c>
      <c r="EW59" s="409" t="s">
        <v>1443</v>
      </c>
      <c r="EX59" s="409">
        <v>23</v>
      </c>
      <c r="EY59" s="411">
        <f t="shared" si="13"/>
        <v>0</v>
      </c>
      <c r="EZ59" s="411">
        <f t="shared" si="14"/>
        <v>31.463576158940398</v>
      </c>
      <c r="FA59" s="410">
        <f t="shared" si="15"/>
        <v>0</v>
      </c>
      <c r="FB59" s="405" t="s">
        <v>544</v>
      </c>
      <c r="FC59" s="409" t="s">
        <v>2904</v>
      </c>
      <c r="FD59" s="420" t="str">
        <f t="shared" si="16"/>
        <v>FLINTSL - MAGENTA</v>
      </c>
      <c r="FE59" s="409">
        <v>33</v>
      </c>
      <c r="FF59" s="411">
        <f>IF(FE59=0,0,IF($LB59=70%,VLOOKUP($FD59,'Jan-2026 rates'!$L:$R,4,0),IF($LB59=65%,VLOOKUP($FD59,'Jan-2026 rates'!$L:$R,4,0),IF($LB59=40%,VLOOKUP($FD59,'Jan-2026 rates'!$L:$R,5,0),IF($LB59=30%,VLOOKUP($FD59,'Jan-2026 rates'!$L:$R,6,0),IF($LB59=100%,VLOOKUP($FD59,'Jan-2026 rates'!$L:$R,7,0),IF($LB59=60%,VLOOKUP($FD59,'Jan-2026 rates'!$L:$S,8,0),IF($LB59=80%,VLOOKUP($FD59,'Jan-2026 rates'!L:T,9,0),0))))))))</f>
        <v>0</v>
      </c>
      <c r="FG59" s="412"/>
      <c r="FH59" s="409"/>
      <c r="FI59" s="411">
        <f>IF(FH59=0,0,IF($LB59=70%,VLOOKUP($FD59,'Jan-2026 rates'!$L:$R,4,0),IF($LB59=65%,VLOOKUP($FD59,'Jan-2026 rates'!$L:$R,4,0),IF($LB59=40%,VLOOKUP($FD59,'Jan-2026 rates'!$L:$R,5,0),IF($LB59=30%,VLOOKUP($FD59,'Jan-2026 rates'!$L:$R,6,0),IF($LB59=100%,VLOOKUP($FD59,'Jan-2026 rates'!$L:$R,7,0),IF($LB59=60%,VLOOKUP($FD59,'Jan-2026 rates'!$L:$S,8,0),IF($LB59=80%,VLOOKUP($FD59,'Jan-2026 rates'!L:T,9,0),0))))))))</f>
        <v>0</v>
      </c>
      <c r="FJ59" s="413" t="s">
        <v>1266</v>
      </c>
      <c r="FK59" s="413"/>
      <c r="FL59" s="413"/>
      <c r="FM59" s="412"/>
      <c r="FN59" s="412"/>
      <c r="FO59" s="412"/>
      <c r="FP59" s="412"/>
      <c r="FQ59" s="412"/>
      <c r="FR59" s="409">
        <v>3</v>
      </c>
      <c r="FS59" s="398">
        <f>IF(FR59=0,0,IF(LEN(FJ59)=11,_xlfn.XLOOKUP(FJ59,'Dispensed Ink Rates'!C:C,'Dispensed Ink Rates'!CS:CS),VLOOKUP(FJ59,'Jan-2026 rates'!$E:$F,2,0)))</f>
        <v>0</v>
      </c>
      <c r="FT59" s="409"/>
      <c r="FU59" s="398">
        <f>IF(FT59=0,0,IF(LEN(FK59)=11,_xlfn.XLOOKUP(FK59,'Dispensed Ink Rates'!C:C,'Dispensed Ink Rates'!CS:CS),VLOOKUP(FK59,'Jan-2026 rates'!$E:$F,2,0)))</f>
        <v>0</v>
      </c>
      <c r="FV59" s="409"/>
      <c r="FW59" s="398">
        <f>IF(FV59=0,0,IF(LEN(FL59)=11,_xlfn.XLOOKUP(FL59,'Dispensed Ink Rates'!C:C,'Dispensed Ink Rates'!CS:CS),VLOOKUP(FL59,'Jan-2026 rates'!$E:$F,2,0)))</f>
        <v>0</v>
      </c>
      <c r="FX59" s="409"/>
      <c r="FY59" s="398">
        <f>IF(FX59=0,0,IF(LEN(FM59)=11,_xlfn.XLOOKUP(FM59,'Dispensed Ink Rates'!C:C,'Dispensed Ink Rates'!CS:CS),VLOOKUP(FM59,'Jan-2026 rates'!$E:$F,2,0)))</f>
        <v>0</v>
      </c>
      <c r="FZ59" s="409"/>
      <c r="GA59" s="398">
        <f>IF(FZ59=0,0,IF(LEN(FN59)=11,_xlfn.XLOOKUP(FN59,'Dispensed Ink Rates'!C:C,'Dispensed Ink Rates'!CS:CS),VLOOKUP(FN59,'Jan-2026 rates'!$E:$F,2,0)))</f>
        <v>0</v>
      </c>
      <c r="GB59" s="409"/>
      <c r="GC59" s="398">
        <f>IF(GB59=0,0,IF(LEN(FO59)=11,_xlfn.XLOOKUP(FO59,'Dispensed Ink Rates'!C:C,'Dispensed Ink Rates'!CS:CS),VLOOKUP(FO59,'Jan-2026 rates'!$E:$F,2,0)))</f>
        <v>0</v>
      </c>
      <c r="GD59" s="409"/>
      <c r="GE59" s="398">
        <f>IF(GD59=0,0,IF(LEN(FP59)=11,_xlfn.XLOOKUP(FP59,'Dispensed Ink Rates'!C:C,'Dispensed Ink Rates'!CS:CS),VLOOKUP(FP59,'Jan-2026 rates'!$E:$F,2,0)))</f>
        <v>0</v>
      </c>
      <c r="GF59" s="409"/>
      <c r="GG59" s="398">
        <f>IF(GF59=0,0,IF(LEN(FQ59)=11,_xlfn.XLOOKUP(FQ59,'Dispensed Ink Rates'!C:C,'Dispensed Ink Rates'!CS:CS),VLOOKUP(FQ59,'Jan-2026 rates'!$E:$F,2,0)))</f>
        <v>0</v>
      </c>
      <c r="GH59" s="409" t="s">
        <v>1443</v>
      </c>
      <c r="GI59" s="409">
        <v>27</v>
      </c>
      <c r="GJ59" s="411">
        <f t="shared" si="17"/>
        <v>0</v>
      </c>
      <c r="GK59" s="411">
        <f t="shared" si="18"/>
        <v>15.923841059602651</v>
      </c>
      <c r="GL59" s="410">
        <f t="shared" si="19"/>
        <v>0</v>
      </c>
      <c r="GM59" s="405" t="s">
        <v>545</v>
      </c>
      <c r="GN59" s="409" t="s">
        <v>2905</v>
      </c>
      <c r="GO59" s="420" t="str">
        <f t="shared" si="20"/>
        <v>FLINTSL - YELLOW</v>
      </c>
      <c r="GP59" s="409">
        <v>23</v>
      </c>
      <c r="GQ59" s="411">
        <f>IF(GP59=0,0,IF($LB59=70%,VLOOKUP($GO59,'Jan-2026 rates'!$L:$R,4,0),IF($LB59=65%,VLOOKUP($GO59,'Jan-2026 rates'!$L:$R,4,0),IF($LB59=40%,VLOOKUP($GO59,'Jan-2026 rates'!$L:$R,5,0),IF($LB59=30%,VLOOKUP($GO59,'Jan-2026 rates'!$L:$R,6,0),IF($LB59=100%,VLOOKUP($GO59,'Jan-2026 rates'!$L:$R,7,0),IF($LB59=60%,VLOOKUP($GO59,'Jan-2026 rates'!$L:$S,8,0),IF($LB59=80%,VLOOKUP($GO59,'Jan-2026 rates'!L:T,9,0),0))))))))</f>
        <v>0</v>
      </c>
      <c r="GR59" s="412"/>
      <c r="GS59" s="409"/>
      <c r="GT59" s="411">
        <f>IF(GS59=0,0,IF($LB59=70%,VLOOKUP($GO59,'Jan-2026 rates'!$L:$R,4,0),IF($LB59=65%,VLOOKUP($GO59,'Jan-2026 rates'!$L:$R,4,0),IF($LB59=40%,VLOOKUP($GO59,'Jan-2026 rates'!$L:$R,5,0),IF($LB59=30%,VLOOKUP($GO59,'Jan-2026 rates'!$L:$R,6,0),IF($LB59=100%,VLOOKUP($GO59,'Jan-2026 rates'!$L:$R,7,0),IF($LB59=60%,VLOOKUP($GO59,'Jan-2026 rates'!$L:$S,8,0),IF($LB59=80%,VLOOKUP($GO59,'Jan-2026 rates'!L:T,9,0),0))))))))</f>
        <v>0</v>
      </c>
      <c r="GU59" s="413">
        <v>26503000002</v>
      </c>
      <c r="GV59" s="413" t="s">
        <v>1266</v>
      </c>
      <c r="GW59" s="412"/>
      <c r="GX59" s="412"/>
      <c r="GY59" s="412"/>
      <c r="GZ59" s="412"/>
      <c r="HA59" s="412"/>
      <c r="HB59" s="412"/>
      <c r="HC59" s="409">
        <f>10+10</f>
        <v>20</v>
      </c>
      <c r="HD59" s="398" t="e">
        <f>IF(HC59=0,0,IF(LEN(GU59)=11,_xlfn.XLOOKUP(GU59,'Dispensed Ink Rates'!C:C,'Dispensed Ink Rates'!CS:CS),VLOOKUP(GU59,'Jan-2026 rates'!$E:$F,2,0)))</f>
        <v>#N/A</v>
      </c>
      <c r="HE59" s="409">
        <f>5+5</f>
        <v>10</v>
      </c>
      <c r="HF59" s="398">
        <f>IF(HE59=0,0,IF(LEN(GV59)=11,_xlfn.XLOOKUP(GV59,'Dispensed Ink Rates'!C:C,'Dispensed Ink Rates'!CS:CS),VLOOKUP(GV59,'Jan-2026 rates'!$E:$F,2,0)))</f>
        <v>0</v>
      </c>
      <c r="HG59" s="409"/>
      <c r="HH59" s="398">
        <f>IF(HG59=0,0,IF(LEN(GW59)=11,_xlfn.XLOOKUP(GW59,'Dispensed Ink Rates'!C:C,'Dispensed Ink Rates'!CS:CS),VLOOKUP(GW59,'Jan-2026 rates'!$E:$F,2,0)))</f>
        <v>0</v>
      </c>
      <c r="HI59" s="409"/>
      <c r="HJ59" s="398">
        <f>IF(HI59=0,0,IF(LEN(GX59)=11,_xlfn.XLOOKUP(GX59,'Dispensed Ink Rates'!C:C,'Dispensed Ink Rates'!CS:CS),VLOOKUP(GX59,'Jan-2026 rates'!$E:$F,2,0)))</f>
        <v>0</v>
      </c>
      <c r="HK59" s="409"/>
      <c r="HL59" s="398">
        <f>IF(HK59=0,0,IF(LEN(GY59)=11,_xlfn.XLOOKUP(GY59,'Dispensed Ink Rates'!C:C,'Dispensed Ink Rates'!CS:CS),VLOOKUP(GY59,'Jan-2026 rates'!$E:$F,2,0)))</f>
        <v>0</v>
      </c>
      <c r="HM59" s="409"/>
      <c r="HN59" s="398">
        <f>IF(HM59=0,0,IF(LEN(GZ59)=11,_xlfn.XLOOKUP(GZ59,'Dispensed Ink Rates'!C:C,'Dispensed Ink Rates'!CS:CS),VLOOKUP(GZ59,'Jan-2026 rates'!$E:$F,2,0)))</f>
        <v>0</v>
      </c>
      <c r="HO59" s="409"/>
      <c r="HP59" s="398">
        <f>IF(HO59=0,0,IF(LEN(HA59)=11,_xlfn.XLOOKUP(HA59,'Dispensed Ink Rates'!C:C,'Dispensed Ink Rates'!CS:CS),VLOOKUP(HA59,'Jan-2026 rates'!$E:$F,2,0)))</f>
        <v>0</v>
      </c>
      <c r="HQ59" s="409"/>
      <c r="HR59" s="398">
        <f>IF(HQ59=0,0,IF(LEN(HB59)=11,_xlfn.XLOOKUP(HB59,'Dispensed Ink Rates'!C:C,'Dispensed Ink Rates'!CS:CS),VLOOKUP(HB59,'Jan-2026 rates'!$E:$F,2,0)))</f>
        <v>0</v>
      </c>
      <c r="HS59" s="409" t="s">
        <v>1443</v>
      </c>
      <c r="HT59" s="409">
        <v>28</v>
      </c>
      <c r="HU59" s="411">
        <f t="shared" si="21"/>
        <v>0</v>
      </c>
      <c r="HV59" s="411">
        <f t="shared" si="22"/>
        <v>66.543046357615893</v>
      </c>
      <c r="HW59" s="414">
        <f t="shared" si="23"/>
        <v>0</v>
      </c>
      <c r="HX59" s="405" t="s">
        <v>548</v>
      </c>
      <c r="HY59" s="409" t="s">
        <v>2906</v>
      </c>
      <c r="HZ59" s="420" t="str">
        <f t="shared" si="24"/>
        <v>FLINTSL - GOLD</v>
      </c>
      <c r="IA59" s="409">
        <v>20</v>
      </c>
      <c r="IB59" s="411">
        <f>IF(IA59=0,0,IF($LB59=70%,VLOOKUP($HZ59,'Jan-2026 rates'!$L:$R,4,0),IF($LB59=65%,VLOOKUP($HZ59,'Jan-2026 rates'!$L:$R,4,0),IF($LB59=40%,VLOOKUP($HZ59,'Jan-2026 rates'!$L:$R,5,0),IF($LB59=30%,VLOOKUP($HZ59,'Jan-2026 rates'!$L:$R,6,0),IF($LB59=100%,VLOOKUP($HZ59,'Jan-2026 rates'!$L:$R,7,0),IF($LB59=60%,VLOOKUP($HZ59,'Jan-2026 rates'!$L:$S,8,0),IF($LB59=80%,VLOOKUP($HZ59,'Jan-2026 rates'!L:T,9,0),0))))))))</f>
        <v>0</v>
      </c>
      <c r="IC59" s="412"/>
      <c r="ID59" s="409"/>
      <c r="IE59" s="411">
        <f>IF(ID59=0,0,IF($LB59=70%,VLOOKUP($HZ59,'Jan-2026 rates'!$L:$R,4,0),IF($LB59=65%,VLOOKUP($HZ59,'Jan-2026 rates'!$L:$R,4,0),IF($LB59=40%,VLOOKUP($HZ59,'Jan-2026 rates'!$L:$R,5,0),IF($LB59=30%,VLOOKUP($HZ59,'Jan-2026 rates'!$L:$R,6,0),IF($LB59=100%,VLOOKUP($HZ59,'Jan-2026 rates'!$L:$R,7,0),IF($LB59=60%,VLOOKUP($HZ59,'Jan-2026 rates'!$L:$S,8,0),IF($LB59=80%,VLOOKUP($HZ59,'Jan-2026 rates'!L:T,9,0),0))))))))</f>
        <v>0</v>
      </c>
      <c r="IF59" s="412">
        <v>24161</v>
      </c>
      <c r="IG59" s="413">
        <v>70271</v>
      </c>
      <c r="IH59" s="412">
        <v>26503000002</v>
      </c>
      <c r="II59" s="412">
        <v>165</v>
      </c>
      <c r="IJ59" s="412"/>
      <c r="IK59" s="412"/>
      <c r="IL59" s="412"/>
      <c r="IM59" s="412"/>
      <c r="IN59" s="409">
        <f>100+120</f>
        <v>220</v>
      </c>
      <c r="IO59" s="398">
        <f>IF(IN59=0,0,IF(LEN(IF59)=11,_xlfn.XLOOKUP(IF59,'Dispensed Ink Rates'!C:C,'Dispensed Ink Rates'!CS:CS),VLOOKUP(IF59,'Jan-2026 rates'!$E:$F,2,0)))</f>
        <v>0</v>
      </c>
      <c r="IP59" s="409">
        <f>30+10</f>
        <v>40</v>
      </c>
      <c r="IQ59" s="398">
        <f>IF(IP59=0,0,IF(LEN(IG59)=11,_xlfn.XLOOKUP(IG59,'Dispensed Ink Rates'!C:C,'Dispensed Ink Rates'!CS:CS),VLOOKUP(IG59,'Jan-2026 rates'!$E:$F,2,0)))</f>
        <v>0</v>
      </c>
      <c r="IR59" s="409">
        <f>8+10</f>
        <v>18</v>
      </c>
      <c r="IS59" s="398" t="e">
        <f>IF(IR59=0,0,IF(LEN(IH59)=11,_xlfn.XLOOKUP(IH59,'Dispensed Ink Rates'!C:C,'Dispensed Ink Rates'!CS:CS),VLOOKUP(IH59,'Jan-2026 rates'!$E:$F,2,0)))</f>
        <v>#N/A</v>
      </c>
      <c r="IT59" s="409">
        <v>8.34</v>
      </c>
      <c r="IU59" s="398">
        <f>IF(IT59=0,0,IF(LEN(II59)=11,_xlfn.XLOOKUP(II59,'Dispensed Ink Rates'!C:C,'Dispensed Ink Rates'!CS:CS),VLOOKUP(II59,'Jan-2026 rates'!$E:$F,2,0)))</f>
        <v>0</v>
      </c>
      <c r="IV59" s="409"/>
      <c r="IW59" s="398">
        <f>IF(IV59=0,0,IF(LEN(IJ59)=11,_xlfn.XLOOKUP(IJ59,'Dispensed Ink Rates'!C:C,'Dispensed Ink Rates'!CS:CS),VLOOKUP(IJ59,'Jan-2026 rates'!$E:$F,2,0)))</f>
        <v>0</v>
      </c>
      <c r="IX59" s="409"/>
      <c r="IY59" s="398">
        <f>IF(IX59=0,0,IF(LEN(IK59)=11,_xlfn.XLOOKUP(IK59,'Dispensed Ink Rates'!C:C,'Dispensed Ink Rates'!CS:CS),VLOOKUP(IK59,'Jan-2026 rates'!$E:$F,2,0)))</f>
        <v>0</v>
      </c>
      <c r="IZ59" s="409"/>
      <c r="JA59" s="398">
        <f>IF(IZ59=0,0,IF(LEN(IL59)=11,_xlfn.XLOOKUP(IL59,'Dispensed Ink Rates'!C:C,'Dispensed Ink Rates'!CS:CS),VLOOKUP(IL59,'Jan-2026 rates'!$E:$F,2,0)))</f>
        <v>0</v>
      </c>
      <c r="JB59" s="409"/>
      <c r="JC59" s="398">
        <f>IF(JB59=0,0,IF(LEN(IM59)=11,_xlfn.XLOOKUP(IM59,'Dispensed Ink Rates'!C:C,'Dispensed Ink Rates'!CS:CS),VLOOKUP(IM59,'Jan-2026 rates'!$E:$F,2,0)))</f>
        <v>0</v>
      </c>
      <c r="JD59" s="409" t="s">
        <v>1443</v>
      </c>
      <c r="JE59" s="409">
        <v>37</v>
      </c>
      <c r="JF59" s="411">
        <f t="shared" si="25"/>
        <v>0</v>
      </c>
      <c r="JG59" s="411">
        <f t="shared" si="26"/>
        <v>430.89629139072844</v>
      </c>
      <c r="JH59" s="410">
        <f t="shared" si="27"/>
        <v>0</v>
      </c>
      <c r="JI59" s="405" t="s">
        <v>856</v>
      </c>
      <c r="JJ59" s="409" t="s">
        <v>2907</v>
      </c>
      <c r="JK59" s="420" t="str">
        <f t="shared" si="28"/>
        <v>FLINTSL - WHITE</v>
      </c>
      <c r="JL59" s="409">
        <v>30</v>
      </c>
      <c r="JM59" s="411">
        <f>IF(JL59=0,0,IF($LB59=70%,VLOOKUP($JK59,'Jan-2026 rates'!$L:$R,4,0),IF($LB59=65%,VLOOKUP($JK59,'Jan-2026 rates'!$L:$R,4,0),IF($LB59=40%,VLOOKUP($JK59,'Jan-2026 rates'!$L:$R,5,0),IF($LB59=30%,VLOOKUP($JK59,'Jan-2026 rates'!$L:$R,6,0),IF($LB59=100%,VLOOKUP($JK59,'Jan-2026 rates'!$L:$R,7,0),IF($LB59=60%,VLOOKUP($JK59,'Jan-2026 rates'!$L:$S,8,0),IF($LB59=80%,VLOOKUP($JK59,'Jan-2026 rates'!L:T,9,0),0))))))))</f>
        <v>0</v>
      </c>
      <c r="JN59" s="412"/>
      <c r="JO59" s="409"/>
      <c r="JP59" s="411">
        <f>IF(JO59=0,0,IF($LB59=70%,VLOOKUP($JK59,'Jan-2026 rates'!$L:$R,4,0),IF($LB59=65%,VLOOKUP($JK59,'Jan-2026 rates'!$L:$R,4,0),IF($LB59=40%,VLOOKUP($JK59,'Jan-2026 rates'!$L:$R,5,0),IF($LB59=30%,VLOOKUP($JK59,'Jan-2026 rates'!$L:$R,6,0),IF($LB59=100%,VLOOKUP($JK59,'Jan-2026 rates'!$L:$R,7,0),IF($LB59=60%,VLOOKUP($JK59,'Jan-2026 rates'!$L:$S,8,0),IF($LB59=80%,VLOOKUP($JK59,'Jan-2026 rates'!L:T,9,0),0))))))))</f>
        <v>0</v>
      </c>
      <c r="JQ59" s="413" t="s">
        <v>484</v>
      </c>
      <c r="JR59" s="412"/>
      <c r="JS59" s="413"/>
      <c r="JT59" s="413"/>
      <c r="JU59" s="412"/>
      <c r="JV59" s="412"/>
      <c r="JW59" s="412"/>
      <c r="JX59" s="412"/>
      <c r="JY59" s="409">
        <f>200+100</f>
        <v>300</v>
      </c>
      <c r="JZ59" s="398">
        <f>IF(JY59=0,0,IF(LEN(JQ59)=11,_xlfn.XLOOKUP(JQ59,'Dispensed Ink Rates'!C:C,'Dispensed Ink Rates'!CS:CS),VLOOKUP(JQ59,'Jan-2026 rates'!$E:$F,2,0)))</f>
        <v>0</v>
      </c>
      <c r="KA59" s="409"/>
      <c r="KB59" s="398">
        <f>IF(KA59=0,0,IF(LEN(JR59)=11,_xlfn.XLOOKUP(JR59,'Dispensed Ink Rates'!C:C,'Dispensed Ink Rates'!CS:CS),VLOOKUP(JR59,'Jan-2026 rates'!$E:$F,2,0)))</f>
        <v>0</v>
      </c>
      <c r="KC59" s="409"/>
      <c r="KD59" s="398">
        <f>IF(KC59=0,0,IF(LEN(JS59)=11,_xlfn.XLOOKUP(JS59,'Dispensed Ink Rates'!C:C,'Dispensed Ink Rates'!CS:CS),VLOOKUP(JS59,'Jan-2026 rates'!$E:$F,2,0)))</f>
        <v>0</v>
      </c>
      <c r="KE59" s="409"/>
      <c r="KF59" s="398">
        <f>IF(KE59=0,0,IF(LEN(JT59)=11,_xlfn.XLOOKUP(JT59,'Dispensed Ink Rates'!C:C,'Dispensed Ink Rates'!CS:CS),VLOOKUP(JT59,'Jan-2026 rates'!$E:$F,2,0)))</f>
        <v>0</v>
      </c>
      <c r="KG59" s="409"/>
      <c r="KH59" s="398">
        <f>IF(KG59=0,0,IF(LEN(JU59)=11,_xlfn.XLOOKUP(JU59,'Dispensed Ink Rates'!C:C,'Dispensed Ink Rates'!CS:CS),VLOOKUP(JU59,'Jan-2026 rates'!$E:$F,2,0)))</f>
        <v>0</v>
      </c>
      <c r="KI59" s="409"/>
      <c r="KJ59" s="398">
        <f>IF(KI59=0,0,IF(LEN(JV59)=11,_xlfn.XLOOKUP(JV59,'Dispensed Ink Rates'!C:C,'Dispensed Ink Rates'!CS:CS),VLOOKUP(JV59,'Jan-2026 rates'!$E:$F,2,0)))</f>
        <v>0</v>
      </c>
      <c r="KK59" s="409"/>
      <c r="KL59" s="398">
        <f>IF(KK59=0,0,IF(LEN(JW59)=11,_xlfn.XLOOKUP(JW59,'Dispensed Ink Rates'!C:C,'Dispensed Ink Rates'!CS:CS),VLOOKUP(JW59,'Jan-2026 rates'!$E:$F,2,0)))</f>
        <v>0</v>
      </c>
      <c r="KM59" s="428"/>
      <c r="KN59" s="398">
        <f>IF(KM59=0,0,IF(LEN(JX59)=11,_xlfn.XLOOKUP(JX59,'Dispensed Ink Rates'!C:C,'Dispensed Ink Rates'!CS:CS),VLOOKUP(JX59,'Jan-2026 rates'!$E:$F,2,0)))</f>
        <v>0</v>
      </c>
      <c r="KO59" s="409" t="s">
        <v>1443</v>
      </c>
      <c r="KP59" s="409">
        <v>30</v>
      </c>
      <c r="KQ59" s="411">
        <f t="shared" si="29"/>
        <v>0</v>
      </c>
      <c r="KR59" s="411">
        <f t="shared" si="30"/>
        <v>715.4304635761589</v>
      </c>
      <c r="KS59" s="410">
        <f t="shared" si="31"/>
        <v>0</v>
      </c>
      <c r="KT59" s="409">
        <v>10</v>
      </c>
      <c r="KU59" s="409">
        <v>10</v>
      </c>
      <c r="KV59" s="409">
        <v>3</v>
      </c>
      <c r="KW59" s="409">
        <v>8</v>
      </c>
      <c r="KX59" s="409">
        <v>3</v>
      </c>
      <c r="KY59" s="409">
        <f>8+10</f>
        <v>18</v>
      </c>
      <c r="KZ59" s="409">
        <f>35+35</f>
        <v>70</v>
      </c>
      <c r="LA59" s="409">
        <f>120+60</f>
        <v>180</v>
      </c>
      <c r="LB59" s="415">
        <v>0.8</v>
      </c>
      <c r="LC59" s="415">
        <v>0.2</v>
      </c>
      <c r="LD59" s="415"/>
      <c r="LE59" s="415"/>
      <c r="LF59" s="415"/>
      <c r="LG59" s="409">
        <v>0</v>
      </c>
      <c r="LH59" s="409">
        <f>250+140+240+60+5+2</f>
        <v>697</v>
      </c>
      <c r="LI59" s="409">
        <v>0</v>
      </c>
      <c r="LJ59" s="409">
        <v>0</v>
      </c>
      <c r="LK59" s="416">
        <f t="shared" si="32"/>
        <v>697</v>
      </c>
      <c r="LL59" s="416">
        <f t="shared" si="33"/>
        <v>697</v>
      </c>
      <c r="LM59" s="417">
        <f t="shared" si="34"/>
        <v>557.6</v>
      </c>
      <c r="LN59" s="417">
        <f>VLOOKUP($LM$8,'Jan-2026 rates'!$H:$I,2,0)</f>
        <v>0</v>
      </c>
      <c r="LO59" s="417">
        <f t="shared" si="35"/>
        <v>139.4</v>
      </c>
      <c r="LP59" s="417">
        <f>VLOOKUP($LO$8,'Jan-2026 rates'!$H:$I,2,0)</f>
        <v>0</v>
      </c>
      <c r="LQ59" s="417">
        <f t="shared" si="36"/>
        <v>0</v>
      </c>
      <c r="LR59" s="417">
        <f>VLOOKUP($LQ$8,'Jan-2026 rates'!$H:$I,2,0)</f>
        <v>0</v>
      </c>
      <c r="LS59" s="417">
        <f t="shared" si="37"/>
        <v>0</v>
      </c>
      <c r="LT59" s="417">
        <f>VLOOKUP($LS$8,'Jan-2026 rates'!$H:$I,2,0)</f>
        <v>0</v>
      </c>
      <c r="LU59" s="417">
        <f t="shared" si="38"/>
        <v>0</v>
      </c>
      <c r="LV59" s="417">
        <f>VLOOKUP($LU$8,'Jan-2026 rates'!$H:$I,2,0)</f>
        <v>0</v>
      </c>
      <c r="LW59" s="417">
        <f t="shared" si="39"/>
        <v>0</v>
      </c>
      <c r="LX59" s="417">
        <f t="shared" si="40"/>
        <v>0</v>
      </c>
      <c r="LY59" s="418">
        <f t="shared" si="41"/>
        <v>0</v>
      </c>
      <c r="LZ59" s="417"/>
      <c r="MA59" s="435">
        <f t="shared" si="42"/>
        <v>650.33999999999992</v>
      </c>
      <c r="MB59" s="282">
        <f t="shared" si="43"/>
        <v>1377.34</v>
      </c>
      <c r="MC59" s="283">
        <v>14</v>
      </c>
      <c r="MD59" s="284" t="str">
        <f t="shared" si="44"/>
        <v>FLINTSLFLINTSLFLINTSLFLINTSLFLINTSLFLINTSLFLINTSLFLINTSL</v>
      </c>
      <c r="ME59" s="293" t="str">
        <f t="shared" si="45"/>
        <v>+</v>
      </c>
      <c r="MF59" s="293" t="str">
        <f t="shared" si="46"/>
        <v>+</v>
      </c>
      <c r="MG59" s="293" t="str">
        <f t="shared" si="47"/>
        <v>+</v>
      </c>
      <c r="MH59" s="293" t="str">
        <f t="shared" si="48"/>
        <v>+</v>
      </c>
      <c r="MI59" s="293" t="str">
        <f t="shared" si="49"/>
        <v>+</v>
      </c>
      <c r="MJ59" s="293" t="str">
        <f t="shared" si="50"/>
        <v>+</v>
      </c>
      <c r="MK59" s="293" t="str">
        <f t="shared" si="51"/>
        <v>+</v>
      </c>
      <c r="ML59" s="293" t="str">
        <f t="shared" si="52"/>
        <v>+</v>
      </c>
      <c r="MM59" s="3" t="b">
        <f t="array" ref="MM59">OR(ME59:ML59="-")</f>
        <v>0</v>
      </c>
      <c r="MN59" s="285"/>
      <c r="MO59" s="401"/>
      <c r="MP59" s="286"/>
      <c r="MQ59" s="286"/>
      <c r="MR59" s="402"/>
      <c r="MS59" s="400"/>
      <c r="NH59" s="422"/>
      <c r="NJ59" s="421"/>
    </row>
    <row r="60" spans="1:374" s="1" customFormat="1" ht="16.5">
      <c r="A60" s="403">
        <v>46026</v>
      </c>
      <c r="B60" s="404" t="s">
        <v>1018</v>
      </c>
      <c r="C60" s="405" t="s">
        <v>2908</v>
      </c>
      <c r="D60" s="406">
        <v>15</v>
      </c>
      <c r="E60" s="404">
        <v>519</v>
      </c>
      <c r="F60" s="407">
        <v>26500</v>
      </c>
      <c r="G60" s="407" t="s">
        <v>1016</v>
      </c>
      <c r="H60" s="408" t="s">
        <v>1017</v>
      </c>
      <c r="I60" s="409">
        <v>2.0099999999999998</v>
      </c>
      <c r="J60" s="405" t="s">
        <v>543</v>
      </c>
      <c r="K60" s="404"/>
      <c r="L60" s="419" t="str">
        <f t="shared" si="0"/>
        <v>FLINTSL - BLACK</v>
      </c>
      <c r="M60" s="404"/>
      <c r="N60" s="410">
        <f>IF(M60=0,0,IF($LB60=70%,VLOOKUP($L60,'Jan-2026 rates'!$L:$R,4,0),IF($LB60=65%,VLOOKUP($L60,'Jan-2026 rates'!$L:$R,4,0),IF($LB60=40%,VLOOKUP($L60,'Jan-2026 rates'!$L:$R,5,0),IF($LB60=30%,VLOOKUP($L60,'Jan-2026 rates'!$L:$R,6,0),IF($LB60=100%,VLOOKUP($L60,'Jan-2026 rates'!$L:$R,7,0),IF($LB60=60%,VLOOKUP($L60,'Jan-2026 rates'!$L:$S,8,0),IF($LB60=80%,VLOOKUP($L60,'Jan-2026 rates'!L:T,9,0),0))))))))</f>
        <v>0</v>
      </c>
      <c r="O60" s="406"/>
      <c r="P60" s="404"/>
      <c r="Q60" s="410">
        <f>IF(P60=0,0,IF($LB60=70%,VLOOKUP($L60,'Jan-2026 rates'!$L:$R,4,0),IF($LB60=65%,VLOOKUP($L60,'Jan-2026 rates'!$L:$R,4,0),IF($LB60=40%,VLOOKUP($L60,'Jan-2026 rates'!$L:$R,5,0),IF($LB60=30%,VLOOKUP($L60,'Jan-2026 rates'!$L:$R,6,0),IF($LB60=100%,VLOOKUP($L60,'Jan-2026 rates'!$L:$R,7,0),IF($LB60=60%,VLOOKUP($L60,'Jan-2026 rates'!$L:$S,8,0),IF($LB60=80%,VLOOKUP($L60,'Jan-2026 rates'!L:T,9,0),0))))))))</f>
        <v>0</v>
      </c>
      <c r="R60" s="406">
        <v>26503000005</v>
      </c>
      <c r="S60" s="406"/>
      <c r="T60" s="406"/>
      <c r="U60" s="406"/>
      <c r="V60" s="406"/>
      <c r="W60" s="406"/>
      <c r="X60" s="406"/>
      <c r="Y60" s="406"/>
      <c r="Z60" s="404">
        <v>20</v>
      </c>
      <c r="AA60" s="398" t="e">
        <f>IF(Z60=0,0,IF(LEN(R60)=11,_xlfn.XLOOKUP(R60,'Dispensed Ink Rates'!C:C,'Dispensed Ink Rates'!CS:CS),VLOOKUP(R60,'Jan-2026 rates'!$E:$F,2,0)))</f>
        <v>#N/A</v>
      </c>
      <c r="AB60" s="404"/>
      <c r="AC60" s="398">
        <f>IF(AB60=0,0,IF(LEN(S60)=11,_xlfn.XLOOKUP(S60,'Dispensed Ink Rates'!C:C,'Dispensed Ink Rates'!CS:CS),VLOOKUP(S60,'Jan-2026 rates'!$E:$F,2,0)))</f>
        <v>0</v>
      </c>
      <c r="AD60" s="404"/>
      <c r="AE60" s="398">
        <f>IF(AD60=0,0,IF(LEN(T60)=11,_xlfn.XLOOKUP(T60,'Dispensed Ink Rates'!C:C,'Dispensed Ink Rates'!CS:CS),VLOOKUP(T60,'Jan-2026 rates'!$E:$F,2,0)))</f>
        <v>0</v>
      </c>
      <c r="AF60" s="404"/>
      <c r="AG60" s="398">
        <f>IF(AF60=0,0,IF(LEN(U60)=11,_xlfn.XLOOKUP(U60,'Dispensed Ink Rates'!C:C,'Dispensed Ink Rates'!CS:CS),VLOOKUP(U60,'Jan-2026 rates'!$E:$F,2,0)))</f>
        <v>0</v>
      </c>
      <c r="AH60" s="404"/>
      <c r="AI60" s="398">
        <f>IF(AH60=0,0,IF(LEN(V60)=11,_xlfn.XLOOKUP(V60,'Dispensed Ink Rates'!C:C,'Dispensed Ink Rates'!CS:CS),VLOOKUP(V60,'Jan-2026 rates'!$E:$F,2,0)))</f>
        <v>0</v>
      </c>
      <c r="AJ60" s="404"/>
      <c r="AK60" s="398">
        <f>IF(AJ60=0,0,IF(LEN(W60)=11,_xlfn.XLOOKUP(W60,'Dispensed Ink Rates'!C:C,'Dispensed Ink Rates'!CS:CS),VLOOKUP(W60,'Jan-2026 rates'!$E:$F,2,0)))</f>
        <v>0</v>
      </c>
      <c r="AL60" s="404"/>
      <c r="AM60" s="398">
        <f>IF(AL60=0,0,IF(LEN(X60)=11,_xlfn.XLOOKUP(X60,'Dispensed Ink Rates'!C:C,'Dispensed Ink Rates'!CS:CS),VLOOKUP(X60,'Jan-2026 rates'!$E:$F,2,0)))</f>
        <v>0</v>
      </c>
      <c r="AN60" s="404"/>
      <c r="AO60" s="398">
        <f>IF(AN60=0,0,IF(LEN(Y60)=11,_xlfn.XLOOKUP(Y60,'Dispensed Ink Rates'!C:C,'Dispensed Ink Rates'!CS:CS),VLOOKUP(Y60,'Jan-2026 rates'!$E:$F,2,0)))</f>
        <v>0</v>
      </c>
      <c r="AP60" s="409" t="s">
        <v>1443</v>
      </c>
      <c r="AQ60" s="409">
        <v>30</v>
      </c>
      <c r="AR60" s="410">
        <f t="shared" si="1"/>
        <v>0</v>
      </c>
      <c r="AS60" s="411">
        <f t="shared" si="2"/>
        <v>15.785123966942152</v>
      </c>
      <c r="AT60" s="410">
        <f t="shared" si="3"/>
        <v>0</v>
      </c>
      <c r="AU60" s="405"/>
      <c r="AV60" s="409"/>
      <c r="AW60" s="420" t="str">
        <f t="shared" si="53"/>
        <v xml:space="preserve"> - </v>
      </c>
      <c r="AX60" s="409"/>
      <c r="AY60" s="411">
        <f>IF(AX60=0,0,IF($LB60=70%,VLOOKUP($AW60,'Jan-2026 rates'!$L:$R,4,0),IF($LB60=65%,VLOOKUP($AW60,'Jan-2026 rates'!$L:$R,4,0),IF($LB60=40%,VLOOKUP($AW60,'Jan-2026 rates'!$L:$R,5,0),IF($LB60=30%,VLOOKUP($AW60,'Jan-2026 rates'!$L:$R,6,0),IF($LB60=100%,VLOOKUP($AW60,'Jan-2026 rates'!$L:$R,7,0),IF($LB60=60%,VLOOKUP($AW60,'Jan-2026 rates'!$L:$S,8,0),IF($LB60=80%,VLOOKUP($AW60,'Jan-2026 rates'!L:T,9,0),0))))))))</f>
        <v>0</v>
      </c>
      <c r="AZ60" s="412"/>
      <c r="BA60" s="409"/>
      <c r="BB60" s="411">
        <f>IF(BA60=0,0,IF($LB60=70%,VLOOKUP($AW60,'Jan-2026 rates'!$L:$R,4,0),IF($LB60=65%,VLOOKUP($AW60,'Jan-2026 rates'!$L:$R,4,0),IF($LB60=40%,VLOOKUP($AW60,'Jan-2026 rates'!$L:$R,5,0),IF($LB60=30%,VLOOKUP($AW60,'Jan-2026 rates'!$L:$R,6,0),IF($LB60=100%,VLOOKUP($AW60,'Jan-2026 rates'!$L:$R,7,0),IF($LB60=60%,VLOOKUP($AW60,'Jan-2026 rates'!$L:$S,8,0),IF($LB60=80%,VLOOKUP($AW60,'Jan-2026 rates'!L:T,9,0),0))))))))</f>
        <v>0</v>
      </c>
      <c r="BC60" s="413"/>
      <c r="BD60" s="412"/>
      <c r="BE60" s="412"/>
      <c r="BF60" s="413"/>
      <c r="BG60" s="412"/>
      <c r="BH60" s="412"/>
      <c r="BI60" s="412"/>
      <c r="BJ60" s="412"/>
      <c r="BK60" s="409"/>
      <c r="BL60" s="398">
        <f>IF(BK60=0,0,IF(LEN(BC60)=11,_xlfn.XLOOKUP(BC60,'Dispensed Ink Rates'!C:C,'Dispensed Ink Rates'!CS:CS),VLOOKUP(BC60,'Jan-2026 rates'!$E:$F,2,0)))</f>
        <v>0</v>
      </c>
      <c r="BM60" s="409"/>
      <c r="BN60" s="398">
        <f>IF(BM60=0,0,IF(LEN(BD60)=11,_xlfn.XLOOKUP(BD60,'Dispensed Ink Rates'!C:C,'Dispensed Ink Rates'!CS:CS),VLOOKUP(BD60,'Jan-2026 rates'!$E:$F,2,0)))</f>
        <v>0</v>
      </c>
      <c r="BO60" s="409"/>
      <c r="BP60" s="398">
        <f>IF(BO60=0,0,IF(LEN(BE60)=11,_xlfn.XLOOKUP(BE60,'Dispensed Ink Rates'!C:C,'Dispensed Ink Rates'!CS:CS),VLOOKUP(BE60,'Jan-2026 rates'!$E:$F,2,0)))</f>
        <v>0</v>
      </c>
      <c r="BQ60" s="409"/>
      <c r="BR60" s="398">
        <f>IF(BQ60=0,0,IF(LEN(BF60)=11,_xlfn.XLOOKUP(BF60,'Dispensed Ink Rates'!C:C,'Dispensed Ink Rates'!CS:CS),VLOOKUP(BF60,'Jan-2026 rates'!$E:$F,2,0)))</f>
        <v>0</v>
      </c>
      <c r="BS60" s="409"/>
      <c r="BT60" s="398">
        <f>IF(BS60=0,0,IF(LEN(BG60)=11,_xlfn.XLOOKUP(BG60,'Dispensed Ink Rates'!C:C,'Dispensed Ink Rates'!CS:CS),VLOOKUP(BG60,'Jan-2026 rates'!$E:$F,2,0)))</f>
        <v>0</v>
      </c>
      <c r="BU60" s="409"/>
      <c r="BV60" s="398">
        <f>IF(BU60=0,0,IF(LEN(BH60)=11,_xlfn.XLOOKUP(BH60,'Dispensed Ink Rates'!C:C,'Dispensed Ink Rates'!CS:CS),VLOOKUP(BH60,'Jan-2026 rates'!$E:$F,2,0)))</f>
        <v>0</v>
      </c>
      <c r="BW60" s="409"/>
      <c r="BX60" s="398">
        <f>IF(BW60=0,0,IF(LEN(BI60)=11,_xlfn.XLOOKUP(BI60,'Dispensed Ink Rates'!C:C,'Dispensed Ink Rates'!CS:CS),VLOOKUP(BI60,'Jan-2026 rates'!$E:$F,2,0)))</f>
        <v>0</v>
      </c>
      <c r="BY60" s="409"/>
      <c r="BZ60" s="398">
        <f>IF(BY60=0,0,IF(LEN(BJ60)=11,_xlfn.XLOOKUP(BJ60,'Dispensed Ink Rates'!C:C,'Dispensed Ink Rates'!CS:CS),VLOOKUP(BJ60,'Jan-2026 rates'!$E:$F,2,0)))</f>
        <v>0</v>
      </c>
      <c r="CA60" s="409"/>
      <c r="CB60" s="409"/>
      <c r="CC60" s="411">
        <f t="shared" si="5"/>
        <v>0</v>
      </c>
      <c r="CD60" s="411">
        <f t="shared" si="6"/>
        <v>0</v>
      </c>
      <c r="CE60" s="410">
        <f t="shared" si="7"/>
        <v>0</v>
      </c>
      <c r="CF60" s="404" t="s">
        <v>857</v>
      </c>
      <c r="CG60" s="409" t="s">
        <v>2909</v>
      </c>
      <c r="CH60" s="420" t="str">
        <f t="shared" si="8"/>
        <v>FLINTSL - RED</v>
      </c>
      <c r="CI60" s="409">
        <v>22</v>
      </c>
      <c r="CJ60" s="411">
        <f>IF(CI60=0,0,IF($LB60=70%,VLOOKUP($CH60,'Jan-2026 rates'!$L:$R,4,0),IF($LB60=65%,VLOOKUP($CH60,'Jan-2026 rates'!$L:$R,4,0),IF($LB60=40%,VLOOKUP($CH60,'Jan-2026 rates'!$L:$R,5,0),IF($LB60=30%,VLOOKUP($CH60,'Jan-2026 rates'!$L:$R,6,0),IF($LB60=100%,VLOOKUP($CH60,'Jan-2026 rates'!$L:$R,7,0),IF($LB60=60%,VLOOKUP($CH60,'Jan-2026 rates'!$L:$S,8,0),IF($LB60=80%,VLOOKUP($CH60,'Jan-2026 rates'!L:T,9,0),0))))))))</f>
        <v>0</v>
      </c>
      <c r="CK60" s="412"/>
      <c r="CL60" s="409"/>
      <c r="CM60" s="411">
        <f>IF(CL60=0,0,IF($LB60=70%,VLOOKUP($CH60,'Jan-2026 rates'!$L:$R,4,0),IF($LB60=65%,VLOOKUP($CH60,'Jan-2026 rates'!$L:$R,4,0),IF($LB60=40%,VLOOKUP($CH60,'Jan-2026 rates'!$L:$R,5,0),IF($LB60=30%,VLOOKUP($CH60,'Jan-2026 rates'!$L:$R,6,0),IF($LB60=100%,VLOOKUP($CH60,'Jan-2026 rates'!$L:$R,7,0),IF($LB60=60%,VLOOKUP($CH60,'Jan-2026 rates'!$L:$S,8,0),IF($LB60=80%,VLOOKUP($CH60,'Jan-2026 rates'!L:T,9,0),0))))))))</f>
        <v>0</v>
      </c>
      <c r="CN60" s="426">
        <v>26505000005</v>
      </c>
      <c r="CO60" s="427">
        <v>25862000014</v>
      </c>
      <c r="CP60" s="426">
        <v>25863000019</v>
      </c>
      <c r="CQ60" s="426"/>
      <c r="CR60" s="428"/>
      <c r="CS60" s="428"/>
      <c r="CT60" s="428"/>
      <c r="CU60" s="428"/>
      <c r="CV60" s="409">
        <v>25</v>
      </c>
      <c r="CW60" s="398" t="e">
        <f>IF(CV60=0,0,IF(LEN(CN60)=11,_xlfn.XLOOKUP(CN60,'Dispensed Ink Rates'!C:C,'Dispensed Ink Rates'!CS:CS),VLOOKUP(CN60,'Jan-2026 rates'!$E:$F,2,0)))</f>
        <v>#N/A</v>
      </c>
      <c r="CX60" s="409">
        <v>20</v>
      </c>
      <c r="CY60" s="398" t="e">
        <f>IF(CX60=0,0,IF(LEN(CO60)=11,_xlfn.XLOOKUP(CO60,'Dispensed Ink Rates'!C:C,'Dispensed Ink Rates'!CS:CS),VLOOKUP(CO60,'Jan-2026 rates'!$E:$F,2,0)))</f>
        <v>#N/A</v>
      </c>
      <c r="CZ60" s="409">
        <v>15</v>
      </c>
      <c r="DA60" s="398" t="e">
        <f>IF(CZ60=0,0,IF(LEN(CP60)=11,_xlfn.XLOOKUP(CP60,'Dispensed Ink Rates'!C:C,'Dispensed Ink Rates'!CS:CS),VLOOKUP(CP60,'Jan-2026 rates'!$E:$F,2,0)))</f>
        <v>#N/A</v>
      </c>
      <c r="DB60" s="409"/>
      <c r="DC60" s="398">
        <f>IF(DB60=0,0,IF(LEN(CQ60)=11,_xlfn.XLOOKUP(CQ60,'Dispensed Ink Rates'!C:C,'Dispensed Ink Rates'!CS:CS),VLOOKUP(CQ60,'Jan-2026 rates'!$E:$F,2,0)))</f>
        <v>0</v>
      </c>
      <c r="DD60" s="409"/>
      <c r="DE60" s="398">
        <f>IF(DD60=0,0,IF(LEN(CR60)=11,_xlfn.XLOOKUP(CR60,'Dispensed Ink Rates'!C:C,'Dispensed Ink Rates'!CS:CS),VLOOKUP(CR60,'Jan-2026 rates'!$E:$F,2,0)))</f>
        <v>0</v>
      </c>
      <c r="DF60" s="409"/>
      <c r="DG60" s="398">
        <f>IF(DF60=0,0,IF(LEN(CS60)=11,_xlfn.XLOOKUP(CS60,'Dispensed Ink Rates'!C:C,'Dispensed Ink Rates'!CS:CS),VLOOKUP(CS60,'Jan-2026 rates'!$E:$F,2,0)))</f>
        <v>0</v>
      </c>
      <c r="DH60" s="409"/>
      <c r="DI60" s="398">
        <f>IF(DH60=0,0,IF(LEN(CT60)=11,_xlfn.XLOOKUP(CT60,'Dispensed Ink Rates'!C:C,'Dispensed Ink Rates'!CS:CS),VLOOKUP(CT60,'Jan-2026 rates'!$E:$F,2,0)))</f>
        <v>0</v>
      </c>
      <c r="DJ60" s="409"/>
      <c r="DK60" s="398">
        <f>IF(DJ60=0,0,IF(LEN(CU60)=11,_xlfn.XLOOKUP(CU60,'Dispensed Ink Rates'!C:C,'Dispensed Ink Rates'!CS:CS),VLOOKUP(CU60,'Jan-2026 rates'!$E:$F,2,0)))</f>
        <v>0</v>
      </c>
      <c r="DL60" s="409" t="s">
        <v>1443</v>
      </c>
      <c r="DM60" s="409">
        <v>21</v>
      </c>
      <c r="DN60" s="411">
        <f t="shared" si="9"/>
        <v>0</v>
      </c>
      <c r="DO60" s="411">
        <f t="shared" si="10"/>
        <v>95.380165289256198</v>
      </c>
      <c r="DP60" s="410">
        <f t="shared" si="11"/>
        <v>0</v>
      </c>
      <c r="DQ60" s="405" t="s">
        <v>855</v>
      </c>
      <c r="DR60" s="409" t="s">
        <v>2910</v>
      </c>
      <c r="DS60" s="420" t="str">
        <f t="shared" si="12"/>
        <v>FLINTSL - CYAN</v>
      </c>
      <c r="DT60" s="409">
        <v>20</v>
      </c>
      <c r="DU60" s="411">
        <f>IF(DT60=0,0,IF($LB60=70%,VLOOKUP($DS60,'Jan-2026 rates'!$L:$R,4,0),IF($LB60=65%,VLOOKUP($DS60,'Jan-2026 rates'!$L:$R,4,0),IF($LB60=40%,VLOOKUP($DS60,'Jan-2026 rates'!$L:$R,5,0),IF($LB60=30%,VLOOKUP($DS60,'Jan-2026 rates'!$L:$R,6,0),IF($LB60=100%,VLOOKUP($DS60,'Jan-2026 rates'!$L:$R,7,0),IF($LB60=60%,VLOOKUP($DS60,'Jan-2026 rates'!$L:$S,8,0),IF($LB60=80%,VLOOKUP($DS60,'Jan-2026 rates'!L:T,9,0),0))))))))</f>
        <v>0</v>
      </c>
      <c r="DV60" s="412"/>
      <c r="DW60" s="409"/>
      <c r="DX60" s="411">
        <f>IF(DW60=0,0,IF($LB60=70%,VLOOKUP($DS60,'Jan-2026 rates'!$L:$R,4,0),IF($LB60=65%,VLOOKUP($DS60,'Jan-2026 rates'!$L:$R,4,0),IF($LB60=40%,VLOOKUP($DS60,'Jan-2026 rates'!$L:$R,5,0),IF($LB60=30%,VLOOKUP($DS60,'Jan-2026 rates'!$L:$R,6,0),IF($LB60=100%,VLOOKUP($DS60,'Jan-2026 rates'!$L:$R,7,0),IF($LB60=60%,VLOOKUP($DS60,'Jan-2026 rates'!$L:$S,8,0),IF($LB60=80%,VLOOKUP($DS60,'Jan-2026 rates'!L:T,9,0),0))))))))</f>
        <v>0</v>
      </c>
      <c r="DY60" s="413">
        <v>26503000005</v>
      </c>
      <c r="DZ60" s="413">
        <v>25864000009</v>
      </c>
      <c r="EA60" s="412"/>
      <c r="EB60" s="412"/>
      <c r="EC60" s="412"/>
      <c r="ED60" s="412"/>
      <c r="EE60" s="412"/>
      <c r="EF60" s="412"/>
      <c r="EG60" s="409">
        <v>1</v>
      </c>
      <c r="EH60" s="398" t="e">
        <f>IF(EG60=0,0,IF(LEN(DY60)=11,_xlfn.XLOOKUP(DY60,'Dispensed Ink Rates'!C:C,'Dispensed Ink Rates'!CS:CS),VLOOKUP(DY60,'Jan-2026 rates'!$E:$F,2,0)))</f>
        <v>#N/A</v>
      </c>
      <c r="EI60" s="409">
        <v>2</v>
      </c>
      <c r="EJ60" s="398" t="e">
        <f>IF(EI60=0,0,IF(LEN(DZ60)=11,_xlfn.XLOOKUP(DZ60,'Dispensed Ink Rates'!C:C,'Dispensed Ink Rates'!CS:CS),VLOOKUP(DZ60,'Jan-2026 rates'!$E:$F,2,0)))</f>
        <v>#N/A</v>
      </c>
      <c r="EK60" s="409"/>
      <c r="EL60" s="398">
        <f>IF(EK60=0,0,IF(LEN(EA60)=11,_xlfn.XLOOKUP(EA60,'Dispensed Ink Rates'!C:C,'Dispensed Ink Rates'!CS:CS),VLOOKUP(EA60,'Jan-2026 rates'!$E:$F,2,0)))</f>
        <v>0</v>
      </c>
      <c r="EM60" s="409"/>
      <c r="EN60" s="398">
        <f>IF(EM60=0,0,IF(LEN(EB60)=11,_xlfn.XLOOKUP(EB60,'Dispensed Ink Rates'!C:C,'Dispensed Ink Rates'!CS:CS),VLOOKUP(EB60,'Jan-2026 rates'!$E:$F,2,0)))</f>
        <v>0</v>
      </c>
      <c r="EO60" s="409"/>
      <c r="EP60" s="398">
        <f>IF(EO60=0,0,IF(LEN(EC60)=11,_xlfn.XLOOKUP(EC60,'Dispensed Ink Rates'!C:C,'Dispensed Ink Rates'!CS:CS),VLOOKUP(EC60,'Jan-2026 rates'!$E:$F,2,0)))</f>
        <v>0</v>
      </c>
      <c r="EQ60" s="409"/>
      <c r="ER60" s="398">
        <f>IF(EQ60=0,0,IF(LEN(ED60)=11,_xlfn.XLOOKUP(ED60,'Dispensed Ink Rates'!C:C,'Dispensed Ink Rates'!CS:CS),VLOOKUP(ED60,'Jan-2026 rates'!$E:$F,2,0)))</f>
        <v>0</v>
      </c>
      <c r="ES60" s="409"/>
      <c r="ET60" s="398">
        <f>IF(ES60=0,0,IF(LEN(EE60)=11,_xlfn.XLOOKUP(EE60,'Dispensed Ink Rates'!C:C,'Dispensed Ink Rates'!CS:CS),VLOOKUP(EE60,'Jan-2026 rates'!$E:$F,2,0)))</f>
        <v>0</v>
      </c>
      <c r="EU60" s="409"/>
      <c r="EV60" s="398">
        <f>IF(EU60=0,0,IF(LEN(EF60)=11,_xlfn.XLOOKUP(EF60,'Dispensed Ink Rates'!C:C,'Dispensed Ink Rates'!CS:CS),VLOOKUP(EF60,'Jan-2026 rates'!$E:$F,2,0)))</f>
        <v>0</v>
      </c>
      <c r="EW60" s="409" t="s">
        <v>1443</v>
      </c>
      <c r="EX60" s="409">
        <v>21</v>
      </c>
      <c r="EY60" s="411">
        <f t="shared" si="13"/>
        <v>0</v>
      </c>
      <c r="EZ60" s="411">
        <f t="shared" si="14"/>
        <v>5.438016528925619</v>
      </c>
      <c r="FA60" s="410">
        <f t="shared" si="15"/>
        <v>0</v>
      </c>
      <c r="FB60" s="405" t="s">
        <v>855</v>
      </c>
      <c r="FC60" s="409" t="s">
        <v>2911</v>
      </c>
      <c r="FD60" s="420" t="str">
        <f t="shared" si="16"/>
        <v>FLINTSL - CYAN</v>
      </c>
      <c r="FE60" s="409">
        <v>22</v>
      </c>
      <c r="FF60" s="411">
        <f>IF(FE60=0,0,IF($LB60=70%,VLOOKUP($FD60,'Jan-2026 rates'!$L:$R,4,0),IF($LB60=65%,VLOOKUP($FD60,'Jan-2026 rates'!$L:$R,4,0),IF($LB60=40%,VLOOKUP($FD60,'Jan-2026 rates'!$L:$R,5,0),IF($LB60=30%,VLOOKUP($FD60,'Jan-2026 rates'!$L:$R,6,0),IF($LB60=100%,VLOOKUP($FD60,'Jan-2026 rates'!$L:$R,7,0),IF($LB60=60%,VLOOKUP($FD60,'Jan-2026 rates'!$L:$S,8,0),IF($LB60=80%,VLOOKUP($FD60,'Jan-2026 rates'!L:T,9,0),0))))))))</f>
        <v>0</v>
      </c>
      <c r="FG60" s="412"/>
      <c r="FH60" s="409"/>
      <c r="FI60" s="411">
        <f>IF(FH60=0,0,IF($LB60=70%,VLOOKUP($FD60,'Jan-2026 rates'!$L:$R,4,0),IF($LB60=65%,VLOOKUP($FD60,'Jan-2026 rates'!$L:$R,4,0),IF($LB60=40%,VLOOKUP($FD60,'Jan-2026 rates'!$L:$R,5,0),IF($LB60=30%,VLOOKUP($FD60,'Jan-2026 rates'!$L:$R,6,0),IF($LB60=100%,VLOOKUP($FD60,'Jan-2026 rates'!$L:$R,7,0),IF($LB60=60%,VLOOKUP($FD60,'Jan-2026 rates'!$L:$S,8,0),IF($LB60=80%,VLOOKUP($FD60,'Jan-2026 rates'!L:T,9,0),0))))))))</f>
        <v>0</v>
      </c>
      <c r="FJ60" s="413">
        <v>25864000009</v>
      </c>
      <c r="FK60" s="413"/>
      <c r="FL60" s="413"/>
      <c r="FM60" s="412"/>
      <c r="FN60" s="412"/>
      <c r="FO60" s="412"/>
      <c r="FP60" s="412"/>
      <c r="FQ60" s="412"/>
      <c r="FR60" s="409">
        <v>4</v>
      </c>
      <c r="FS60" s="398" t="e">
        <f>IF(FR60=0,0,IF(LEN(FJ60)=11,_xlfn.XLOOKUP(FJ60,'Dispensed Ink Rates'!C:C,'Dispensed Ink Rates'!CS:CS),VLOOKUP(FJ60,'Jan-2026 rates'!$E:$F,2,0)))</f>
        <v>#N/A</v>
      </c>
      <c r="FT60" s="409"/>
      <c r="FU60" s="398">
        <f>IF(FT60=0,0,IF(LEN(FK60)=11,_xlfn.XLOOKUP(FK60,'Dispensed Ink Rates'!C:C,'Dispensed Ink Rates'!CS:CS),VLOOKUP(FK60,'Jan-2026 rates'!$E:$F,2,0)))</f>
        <v>0</v>
      </c>
      <c r="FV60" s="409"/>
      <c r="FW60" s="398">
        <f>IF(FV60=0,0,IF(LEN(FL60)=11,_xlfn.XLOOKUP(FL60,'Dispensed Ink Rates'!C:C,'Dispensed Ink Rates'!CS:CS),VLOOKUP(FL60,'Jan-2026 rates'!$E:$F,2,0)))</f>
        <v>0</v>
      </c>
      <c r="FX60" s="409"/>
      <c r="FY60" s="398">
        <f>IF(FX60=0,0,IF(LEN(FM60)=11,_xlfn.XLOOKUP(FM60,'Dispensed Ink Rates'!C:C,'Dispensed Ink Rates'!CS:CS),VLOOKUP(FM60,'Jan-2026 rates'!$E:$F,2,0)))</f>
        <v>0</v>
      </c>
      <c r="FZ60" s="409"/>
      <c r="GA60" s="398">
        <f>IF(FZ60=0,0,IF(LEN(FN60)=11,_xlfn.XLOOKUP(FN60,'Dispensed Ink Rates'!C:C,'Dispensed Ink Rates'!CS:CS),VLOOKUP(FN60,'Jan-2026 rates'!$E:$F,2,0)))</f>
        <v>0</v>
      </c>
      <c r="GB60" s="409"/>
      <c r="GC60" s="398">
        <f>IF(GB60=0,0,IF(LEN(FO60)=11,_xlfn.XLOOKUP(FO60,'Dispensed Ink Rates'!C:C,'Dispensed Ink Rates'!CS:CS),VLOOKUP(FO60,'Jan-2026 rates'!$E:$F,2,0)))</f>
        <v>0</v>
      </c>
      <c r="GD60" s="409"/>
      <c r="GE60" s="398">
        <f>IF(GD60=0,0,IF(LEN(FP60)=11,_xlfn.XLOOKUP(FP60,'Dispensed Ink Rates'!C:C,'Dispensed Ink Rates'!CS:CS),VLOOKUP(FP60,'Jan-2026 rates'!$E:$F,2,0)))</f>
        <v>0</v>
      </c>
      <c r="GF60" s="409"/>
      <c r="GG60" s="398">
        <f>IF(GF60=0,0,IF(LEN(FQ60)=11,_xlfn.XLOOKUP(FQ60,'Dispensed Ink Rates'!C:C,'Dispensed Ink Rates'!CS:CS),VLOOKUP(FQ60,'Jan-2026 rates'!$E:$F,2,0)))</f>
        <v>0</v>
      </c>
      <c r="GH60" s="409" t="s">
        <v>1443</v>
      </c>
      <c r="GI60" s="409">
        <v>26</v>
      </c>
      <c r="GJ60" s="411">
        <f t="shared" si="17"/>
        <v>0</v>
      </c>
      <c r="GK60" s="411">
        <f t="shared" si="18"/>
        <v>3.438016528925619</v>
      </c>
      <c r="GL60" s="410">
        <f t="shared" si="19"/>
        <v>0</v>
      </c>
      <c r="GM60" s="405" t="s">
        <v>544</v>
      </c>
      <c r="GN60" s="409"/>
      <c r="GO60" s="420" t="str">
        <f t="shared" si="20"/>
        <v>FLINTSL - MAGENTA</v>
      </c>
      <c r="GP60" s="409"/>
      <c r="GQ60" s="411">
        <f>IF(GP60=0,0,IF($LB60=70%,VLOOKUP($GO60,'Jan-2026 rates'!$L:$R,4,0),IF($LB60=65%,VLOOKUP($GO60,'Jan-2026 rates'!$L:$R,4,0),IF($LB60=40%,VLOOKUP($GO60,'Jan-2026 rates'!$L:$R,5,0),IF($LB60=30%,VLOOKUP($GO60,'Jan-2026 rates'!$L:$R,6,0),IF($LB60=100%,VLOOKUP($GO60,'Jan-2026 rates'!$L:$R,7,0),IF($LB60=60%,VLOOKUP($GO60,'Jan-2026 rates'!$L:$S,8,0),IF($LB60=80%,VLOOKUP($GO60,'Jan-2026 rates'!L:T,9,0),0))))))))</f>
        <v>0</v>
      </c>
      <c r="GR60" s="412"/>
      <c r="GS60" s="409"/>
      <c r="GT60" s="411">
        <f>IF(GS60=0,0,IF($LB60=70%,VLOOKUP($GO60,'Jan-2026 rates'!$L:$R,4,0),IF($LB60=65%,VLOOKUP($GO60,'Jan-2026 rates'!$L:$R,4,0),IF($LB60=40%,VLOOKUP($GO60,'Jan-2026 rates'!$L:$R,5,0),IF($LB60=30%,VLOOKUP($GO60,'Jan-2026 rates'!$L:$R,6,0),IF($LB60=100%,VLOOKUP($GO60,'Jan-2026 rates'!$L:$R,7,0),IF($LB60=60%,VLOOKUP($GO60,'Jan-2026 rates'!$L:$S,8,0),IF($LB60=80%,VLOOKUP($GO60,'Jan-2026 rates'!L:T,9,0),0))))))))</f>
        <v>0</v>
      </c>
      <c r="GU60" s="413">
        <v>26504000005</v>
      </c>
      <c r="GV60" s="413" t="s">
        <v>1266</v>
      </c>
      <c r="GW60" s="412"/>
      <c r="GX60" s="412"/>
      <c r="GY60" s="412"/>
      <c r="GZ60" s="412"/>
      <c r="HA60" s="412"/>
      <c r="HB60" s="412"/>
      <c r="HC60" s="409">
        <v>15</v>
      </c>
      <c r="HD60" s="398" t="e">
        <f>IF(HC60=0,0,IF(LEN(GU60)=11,_xlfn.XLOOKUP(GU60,'Dispensed Ink Rates'!C:C,'Dispensed Ink Rates'!CS:CS),VLOOKUP(GU60,'Jan-2026 rates'!$E:$F,2,0)))</f>
        <v>#N/A</v>
      </c>
      <c r="HE60" s="409">
        <v>8</v>
      </c>
      <c r="HF60" s="398">
        <f>IF(HE60=0,0,IF(LEN(GV60)=11,_xlfn.XLOOKUP(GV60,'Dispensed Ink Rates'!C:C,'Dispensed Ink Rates'!CS:CS),VLOOKUP(GV60,'Jan-2026 rates'!$E:$F,2,0)))</f>
        <v>0</v>
      </c>
      <c r="HG60" s="409"/>
      <c r="HH60" s="398">
        <f>IF(HG60=0,0,IF(LEN(GW60)=11,_xlfn.XLOOKUP(GW60,'Dispensed Ink Rates'!C:C,'Dispensed Ink Rates'!CS:CS),VLOOKUP(GW60,'Jan-2026 rates'!$E:$F,2,0)))</f>
        <v>0</v>
      </c>
      <c r="HI60" s="409"/>
      <c r="HJ60" s="398">
        <f>IF(HI60=0,0,IF(LEN(GX60)=11,_xlfn.XLOOKUP(GX60,'Dispensed Ink Rates'!C:C,'Dispensed Ink Rates'!CS:CS),VLOOKUP(GX60,'Jan-2026 rates'!$E:$F,2,0)))</f>
        <v>0</v>
      </c>
      <c r="HK60" s="409"/>
      <c r="HL60" s="398">
        <f>IF(HK60=0,0,IF(LEN(GY60)=11,_xlfn.XLOOKUP(GY60,'Dispensed Ink Rates'!C:C,'Dispensed Ink Rates'!CS:CS),VLOOKUP(GY60,'Jan-2026 rates'!$E:$F,2,0)))</f>
        <v>0</v>
      </c>
      <c r="HM60" s="409"/>
      <c r="HN60" s="398">
        <f>IF(HM60=0,0,IF(LEN(GZ60)=11,_xlfn.XLOOKUP(GZ60,'Dispensed Ink Rates'!C:C,'Dispensed Ink Rates'!CS:CS),VLOOKUP(GZ60,'Jan-2026 rates'!$E:$F,2,0)))</f>
        <v>0</v>
      </c>
      <c r="HO60" s="409"/>
      <c r="HP60" s="398">
        <f>IF(HO60=0,0,IF(LEN(HA60)=11,_xlfn.XLOOKUP(HA60,'Dispensed Ink Rates'!C:C,'Dispensed Ink Rates'!CS:CS),VLOOKUP(HA60,'Jan-2026 rates'!$E:$F,2,0)))</f>
        <v>0</v>
      </c>
      <c r="HQ60" s="409"/>
      <c r="HR60" s="398">
        <f>IF(HQ60=0,0,IF(LEN(HB60)=11,_xlfn.XLOOKUP(HB60,'Dispensed Ink Rates'!C:C,'Dispensed Ink Rates'!CS:CS),VLOOKUP(HB60,'Jan-2026 rates'!$E:$F,2,0)))</f>
        <v>0</v>
      </c>
      <c r="HS60" s="409" t="s">
        <v>1443</v>
      </c>
      <c r="HT60" s="409">
        <v>32</v>
      </c>
      <c r="HU60" s="411">
        <f t="shared" si="21"/>
        <v>0</v>
      </c>
      <c r="HV60" s="411">
        <f t="shared" si="22"/>
        <v>11.628099173553721</v>
      </c>
      <c r="HW60" s="414">
        <f t="shared" si="23"/>
        <v>0</v>
      </c>
      <c r="HX60" s="405" t="s">
        <v>545</v>
      </c>
      <c r="HY60" s="409"/>
      <c r="HZ60" s="420" t="str">
        <f t="shared" si="24"/>
        <v>FLINTSL - YELLOW</v>
      </c>
      <c r="IA60" s="409"/>
      <c r="IB60" s="411">
        <f>IF(IA60=0,0,IF($LB60=70%,VLOOKUP($HZ60,'Jan-2026 rates'!$L:$R,4,0),IF($LB60=65%,VLOOKUP($HZ60,'Jan-2026 rates'!$L:$R,4,0),IF($LB60=40%,VLOOKUP($HZ60,'Jan-2026 rates'!$L:$R,5,0),IF($LB60=30%,VLOOKUP($HZ60,'Jan-2026 rates'!$L:$R,6,0),IF($LB60=100%,VLOOKUP($HZ60,'Jan-2026 rates'!$L:$R,7,0),IF($LB60=60%,VLOOKUP($HZ60,'Jan-2026 rates'!$L:$S,8,0),IF($LB60=80%,VLOOKUP($HZ60,'Jan-2026 rates'!L:T,9,0),0))))))))</f>
        <v>0</v>
      </c>
      <c r="IC60" s="412"/>
      <c r="ID60" s="409"/>
      <c r="IE60" s="411">
        <f>IF(ID60=0,0,IF($LB60=70%,VLOOKUP($HZ60,'Jan-2026 rates'!$L:$R,4,0),IF($LB60=65%,VLOOKUP($HZ60,'Jan-2026 rates'!$L:$R,4,0),IF($LB60=40%,VLOOKUP($HZ60,'Jan-2026 rates'!$L:$R,5,0),IF($LB60=30%,VLOOKUP($HZ60,'Jan-2026 rates'!$L:$R,6,0),IF($LB60=100%,VLOOKUP($HZ60,'Jan-2026 rates'!$L:$R,7,0),IF($LB60=60%,VLOOKUP($HZ60,'Jan-2026 rates'!$L:$S,8,0),IF($LB60=80%,VLOOKUP($HZ60,'Jan-2026 rates'!L:T,9,0),0))))))))</f>
        <v>0</v>
      </c>
      <c r="IF60" s="412" t="s">
        <v>1646</v>
      </c>
      <c r="IG60" s="413" t="s">
        <v>1266</v>
      </c>
      <c r="IH60" s="412"/>
      <c r="II60" s="412"/>
      <c r="IJ60" s="412"/>
      <c r="IK60" s="412"/>
      <c r="IL60" s="412"/>
      <c r="IM60" s="412"/>
      <c r="IN60" s="409">
        <v>20</v>
      </c>
      <c r="IO60" s="433">
        <f>IF(IN60=0,0,IF(LEN(IF60)=11,_xlfn.XLOOKUP(IF60,'Dispensed Ink Rates'!C:C,'Dispensed Ink Rates'!CS:CS),VLOOKUP(IF60,'Jan-2026 rates'!$E:$F,2,0)))</f>
        <v>0</v>
      </c>
      <c r="IP60" s="409">
        <v>6</v>
      </c>
      <c r="IQ60" s="398">
        <f>IF(IP60=0,0,IF(LEN(IG60)=11,_xlfn.XLOOKUP(IG60,'Dispensed Ink Rates'!C:C,'Dispensed Ink Rates'!CS:CS),VLOOKUP(IG60,'Jan-2026 rates'!$E:$F,2,0)))</f>
        <v>0</v>
      </c>
      <c r="IR60" s="409"/>
      <c r="IS60" s="398">
        <f>IF(IR60=0,0,IF(LEN(IH60)=11,_xlfn.XLOOKUP(IH60,'Dispensed Ink Rates'!C:C,'Dispensed Ink Rates'!CS:CS),VLOOKUP(IH60,'Jan-2026 rates'!$E:$F,2,0)))</f>
        <v>0</v>
      </c>
      <c r="IT60" s="409"/>
      <c r="IU60" s="398">
        <f>IF(IT60=0,0,IF(LEN(II60)=11,_xlfn.XLOOKUP(II60,'Dispensed Ink Rates'!C:C,'Dispensed Ink Rates'!CS:CS),VLOOKUP(II60,'Jan-2026 rates'!$E:$F,2,0)))</f>
        <v>0</v>
      </c>
      <c r="IV60" s="409"/>
      <c r="IW60" s="398">
        <f>IF(IV60=0,0,IF(LEN(IJ60)=11,_xlfn.XLOOKUP(IJ60,'Dispensed Ink Rates'!C:C,'Dispensed Ink Rates'!CS:CS),VLOOKUP(IJ60,'Jan-2026 rates'!$E:$F,2,0)))</f>
        <v>0</v>
      </c>
      <c r="IX60" s="409"/>
      <c r="IY60" s="398">
        <f>IF(IX60=0,0,IF(LEN(IK60)=11,_xlfn.XLOOKUP(IK60,'Dispensed Ink Rates'!C:C,'Dispensed Ink Rates'!CS:CS),VLOOKUP(IK60,'Jan-2026 rates'!$E:$F,2,0)))</f>
        <v>0</v>
      </c>
      <c r="IZ60" s="409"/>
      <c r="JA60" s="398">
        <f>IF(IZ60=0,0,IF(LEN(IL60)=11,_xlfn.XLOOKUP(IL60,'Dispensed Ink Rates'!C:C,'Dispensed Ink Rates'!CS:CS),VLOOKUP(IL60,'Jan-2026 rates'!$E:$F,2,0)))</f>
        <v>0</v>
      </c>
      <c r="JB60" s="409"/>
      <c r="JC60" s="398">
        <f>IF(JB60=0,0,IF(LEN(IM60)=11,_xlfn.XLOOKUP(IM60,'Dispensed Ink Rates'!C:C,'Dispensed Ink Rates'!CS:CS),VLOOKUP(IM60,'Jan-2026 rates'!$E:$F,2,0)))</f>
        <v>0</v>
      </c>
      <c r="JD60" s="409" t="s">
        <v>1443</v>
      </c>
      <c r="JE60" s="409">
        <v>33</v>
      </c>
      <c r="JF60" s="411">
        <f t="shared" si="25"/>
        <v>0</v>
      </c>
      <c r="JG60" s="411">
        <f t="shared" si="26"/>
        <v>10.190082644628099</v>
      </c>
      <c r="JH60" s="410">
        <f t="shared" si="27"/>
        <v>0</v>
      </c>
      <c r="JI60" s="405" t="s">
        <v>856</v>
      </c>
      <c r="JJ60" s="409"/>
      <c r="JK60" s="420" t="str">
        <f t="shared" si="28"/>
        <v>FLINTSL - WHITE</v>
      </c>
      <c r="JL60" s="409"/>
      <c r="JM60" s="411">
        <f>IF(JL60=0,0,IF($LB60=70%,VLOOKUP($JK60,'Jan-2026 rates'!$L:$R,4,0),IF($LB60=65%,VLOOKUP($JK60,'Jan-2026 rates'!$L:$R,4,0),IF($LB60=40%,VLOOKUP($JK60,'Jan-2026 rates'!$L:$R,5,0),IF($LB60=30%,VLOOKUP($JK60,'Jan-2026 rates'!$L:$R,6,0),IF($LB60=100%,VLOOKUP($JK60,'Jan-2026 rates'!$L:$R,7,0),IF($LB60=60%,VLOOKUP($JK60,'Jan-2026 rates'!$L:$S,8,0),IF($LB60=80%,VLOOKUP($JK60,'Jan-2026 rates'!L:T,9,0),0))))))))</f>
        <v>0</v>
      </c>
      <c r="JN60" s="412"/>
      <c r="JO60" s="409"/>
      <c r="JP60" s="411">
        <f>IF(JO60=0,0,IF($LB60=70%,VLOOKUP($JK60,'Jan-2026 rates'!$L:$R,4,0),IF($LB60=65%,VLOOKUP($JK60,'Jan-2026 rates'!$L:$R,4,0),IF($LB60=40%,VLOOKUP($JK60,'Jan-2026 rates'!$L:$R,5,0),IF($LB60=30%,VLOOKUP($JK60,'Jan-2026 rates'!$L:$R,6,0),IF($LB60=100%,VLOOKUP($JK60,'Jan-2026 rates'!$L:$R,7,0),IF($LB60=60%,VLOOKUP($JK60,'Jan-2026 rates'!$L:$S,8,0),IF($LB60=80%,VLOOKUP($JK60,'Jan-2026 rates'!L:T,9,0),0))))))))</f>
        <v>0</v>
      </c>
      <c r="JQ60" s="413" t="s">
        <v>484</v>
      </c>
      <c r="JR60" s="412"/>
      <c r="JS60" s="413"/>
      <c r="JT60" s="413"/>
      <c r="JU60" s="412"/>
      <c r="JV60" s="412"/>
      <c r="JW60" s="412"/>
      <c r="JX60" s="412"/>
      <c r="JY60" s="409">
        <f>80+20</f>
        <v>100</v>
      </c>
      <c r="JZ60" s="398">
        <f>IF(JY60=0,0,IF(LEN(JQ60)=11,_xlfn.XLOOKUP(JQ60,'Dispensed Ink Rates'!C:C,'Dispensed Ink Rates'!CS:CS),VLOOKUP(JQ60,'Jan-2026 rates'!$E:$F,2,0)))</f>
        <v>0</v>
      </c>
      <c r="KA60" s="409"/>
      <c r="KB60" s="398">
        <f>IF(KA60=0,0,IF(LEN(JR60)=11,_xlfn.XLOOKUP(JR60,'Dispensed Ink Rates'!C:C,'Dispensed Ink Rates'!CS:CS),VLOOKUP(JR60,'Jan-2026 rates'!$E:$F,2,0)))</f>
        <v>0</v>
      </c>
      <c r="KC60" s="409"/>
      <c r="KD60" s="398">
        <f>IF(KC60=0,0,IF(LEN(JS60)=11,_xlfn.XLOOKUP(JS60,'Dispensed Ink Rates'!C:C,'Dispensed Ink Rates'!CS:CS),VLOOKUP(JS60,'Jan-2026 rates'!$E:$F,2,0)))</f>
        <v>0</v>
      </c>
      <c r="KE60" s="409"/>
      <c r="KF60" s="398">
        <f>IF(KE60=0,0,IF(LEN(JT60)=11,_xlfn.XLOOKUP(JT60,'Dispensed Ink Rates'!C:C,'Dispensed Ink Rates'!CS:CS),VLOOKUP(JT60,'Jan-2026 rates'!$E:$F,2,0)))</f>
        <v>0</v>
      </c>
      <c r="KG60" s="409"/>
      <c r="KH60" s="398">
        <f>IF(KG60=0,0,IF(LEN(JU60)=11,_xlfn.XLOOKUP(JU60,'Dispensed Ink Rates'!C:C,'Dispensed Ink Rates'!CS:CS),VLOOKUP(JU60,'Jan-2026 rates'!$E:$F,2,0)))</f>
        <v>0</v>
      </c>
      <c r="KI60" s="409"/>
      <c r="KJ60" s="398">
        <f>IF(KI60=0,0,IF(LEN(JV60)=11,_xlfn.XLOOKUP(JV60,'Dispensed Ink Rates'!C:C,'Dispensed Ink Rates'!CS:CS),VLOOKUP(JV60,'Jan-2026 rates'!$E:$F,2,0)))</f>
        <v>0</v>
      </c>
      <c r="KK60" s="409"/>
      <c r="KL60" s="398">
        <f>IF(KK60=0,0,IF(LEN(JW60)=11,_xlfn.XLOOKUP(JW60,'Dispensed Ink Rates'!C:C,'Dispensed Ink Rates'!CS:CS),VLOOKUP(JW60,'Jan-2026 rates'!$E:$F,2,0)))</f>
        <v>0</v>
      </c>
      <c r="KM60" s="428"/>
      <c r="KN60" s="398">
        <f>IF(KM60=0,0,IF(LEN(JX60)=11,_xlfn.XLOOKUP(JX60,'Dispensed Ink Rates'!C:C,'Dispensed Ink Rates'!CS:CS),VLOOKUP(JX60,'Jan-2026 rates'!$E:$F,2,0)))</f>
        <v>0</v>
      </c>
      <c r="KO60" s="409" t="s">
        <v>1443</v>
      </c>
      <c r="KP60" s="409">
        <v>30</v>
      </c>
      <c r="KQ60" s="411">
        <f t="shared" si="29"/>
        <v>0</v>
      </c>
      <c r="KR60" s="411">
        <f t="shared" si="30"/>
        <v>173.14049586776861</v>
      </c>
      <c r="KS60" s="410">
        <f t="shared" si="31"/>
        <v>0</v>
      </c>
      <c r="KT60" s="409">
        <v>15</v>
      </c>
      <c r="KU60" s="409">
        <v>0</v>
      </c>
      <c r="KV60" s="409">
        <v>20</v>
      </c>
      <c r="KW60" s="409">
        <v>2</v>
      </c>
      <c r="KX60" s="409">
        <v>2</v>
      </c>
      <c r="KY60" s="409">
        <v>12</v>
      </c>
      <c r="KZ60" s="409">
        <v>10</v>
      </c>
      <c r="LA60" s="409">
        <f>40+20</f>
        <v>60</v>
      </c>
      <c r="LB60" s="415">
        <v>0.8</v>
      </c>
      <c r="LC60" s="415">
        <v>0.2</v>
      </c>
      <c r="LD60" s="415"/>
      <c r="LE60" s="415"/>
      <c r="LF60" s="415"/>
      <c r="LG60" s="409">
        <v>0</v>
      </c>
      <c r="LH60" s="409">
        <f>60+50+72+18+5+3</f>
        <v>208</v>
      </c>
      <c r="LI60" s="409">
        <v>0</v>
      </c>
      <c r="LJ60" s="409">
        <v>0</v>
      </c>
      <c r="LK60" s="416">
        <f t="shared" si="32"/>
        <v>208</v>
      </c>
      <c r="LL60" s="416">
        <f t="shared" si="33"/>
        <v>208</v>
      </c>
      <c r="LM60" s="417">
        <f t="shared" si="34"/>
        <v>166.4</v>
      </c>
      <c r="LN60" s="417">
        <f>VLOOKUP($LM$8,'Jan-2026 rates'!$H:$I,2,0)</f>
        <v>0</v>
      </c>
      <c r="LO60" s="417">
        <f t="shared" si="35"/>
        <v>41.6</v>
      </c>
      <c r="LP60" s="417">
        <f>VLOOKUP($LO$8,'Jan-2026 rates'!$H:$I,2,0)</f>
        <v>0</v>
      </c>
      <c r="LQ60" s="417">
        <f t="shared" si="36"/>
        <v>0</v>
      </c>
      <c r="LR60" s="417">
        <f>VLOOKUP($LQ$8,'Jan-2026 rates'!$H:$I,2,0)</f>
        <v>0</v>
      </c>
      <c r="LS60" s="417">
        <f t="shared" si="37"/>
        <v>0</v>
      </c>
      <c r="LT60" s="417">
        <f>VLOOKUP($LS$8,'Jan-2026 rates'!$H:$I,2,0)</f>
        <v>0</v>
      </c>
      <c r="LU60" s="417">
        <f t="shared" si="38"/>
        <v>0</v>
      </c>
      <c r="LV60" s="417">
        <f>VLOOKUP($LU$8,'Jan-2026 rates'!$H:$I,2,0)</f>
        <v>0</v>
      </c>
      <c r="LW60" s="417">
        <f t="shared" si="39"/>
        <v>0</v>
      </c>
      <c r="LX60" s="417">
        <f t="shared" si="40"/>
        <v>0</v>
      </c>
      <c r="LY60" s="418">
        <f t="shared" si="41"/>
        <v>0</v>
      </c>
      <c r="LZ60" s="417"/>
      <c r="MA60" s="435">
        <f t="shared" si="42"/>
        <v>236</v>
      </c>
      <c r="MB60" s="282">
        <f t="shared" si="43"/>
        <v>315</v>
      </c>
      <c r="MC60" s="283">
        <v>15</v>
      </c>
      <c r="MD60" s="284" t="str">
        <f t="shared" si="44"/>
        <v>FLINTSLFLINTSLFLINTSLFLINTSLFLINTSLFLINTSLFLINTSL</v>
      </c>
      <c r="ME60" s="293" t="str">
        <f t="shared" si="45"/>
        <v>+</v>
      </c>
      <c r="MF60" s="293" t="str">
        <f t="shared" si="46"/>
        <v>NIL</v>
      </c>
      <c r="MG60" s="293" t="str">
        <f t="shared" si="47"/>
        <v>+</v>
      </c>
      <c r="MH60" s="293" t="str">
        <f t="shared" si="48"/>
        <v>+</v>
      </c>
      <c r="MI60" s="293" t="str">
        <f t="shared" si="49"/>
        <v>+</v>
      </c>
      <c r="MJ60" s="293" t="str">
        <f t="shared" si="50"/>
        <v>+</v>
      </c>
      <c r="MK60" s="293" t="str">
        <f t="shared" si="51"/>
        <v>+</v>
      </c>
      <c r="ML60" s="293" t="str">
        <f t="shared" si="52"/>
        <v>+</v>
      </c>
      <c r="MM60" s="3" t="b">
        <f t="array" ref="MM60">OR(ME60:ML60="-")</f>
        <v>0</v>
      </c>
      <c r="MN60" s="285"/>
      <c r="MO60" s="401"/>
      <c r="MP60" s="286"/>
      <c r="MQ60" s="286"/>
      <c r="MR60" s="402"/>
      <c r="MS60" s="400"/>
      <c r="NH60" s="422"/>
      <c r="NJ60" s="421"/>
    </row>
    <row r="61" spans="1:374" s="1" customFormat="1" ht="16.5">
      <c r="A61" s="403">
        <v>46026</v>
      </c>
      <c r="B61" s="404" t="s">
        <v>1018</v>
      </c>
      <c r="C61" s="405" t="s">
        <v>2912</v>
      </c>
      <c r="D61" s="406">
        <v>16</v>
      </c>
      <c r="E61" s="404">
        <v>523</v>
      </c>
      <c r="F61" s="407">
        <v>25400</v>
      </c>
      <c r="G61" s="407" t="s">
        <v>1016</v>
      </c>
      <c r="H61" s="408" t="s">
        <v>1017</v>
      </c>
      <c r="I61" s="409">
        <v>0.04</v>
      </c>
      <c r="J61" s="405" t="s">
        <v>543</v>
      </c>
      <c r="K61" s="404" t="s">
        <v>2913</v>
      </c>
      <c r="L61" s="419" t="str">
        <f t="shared" si="0"/>
        <v>FLINTSL - BLACK</v>
      </c>
      <c r="M61" s="404">
        <v>30</v>
      </c>
      <c r="N61" s="410">
        <f>IF(M61=0,0,IF($LB61=70%,VLOOKUP($L61,'Jan-2026 rates'!$L:$R,4,0),IF($LB61=65%,VLOOKUP($L61,'Jan-2026 rates'!$L:$R,4,0),IF($LB61=40%,VLOOKUP($L61,'Jan-2026 rates'!$L:$R,5,0),IF($LB61=30%,VLOOKUP($L61,'Jan-2026 rates'!$L:$R,6,0),IF($LB61=100%,VLOOKUP($L61,'Jan-2026 rates'!$L:$R,7,0),IF($LB61=60%,VLOOKUP($L61,'Jan-2026 rates'!$L:$S,8,0),IF($LB61=80%,VLOOKUP($L61,'Jan-2026 rates'!L:T,9,0),0))))))))</f>
        <v>0</v>
      </c>
      <c r="O61" s="406"/>
      <c r="P61" s="404"/>
      <c r="Q61" s="410">
        <f>IF(P61=0,0,IF($LB61=70%,VLOOKUP($L61,'Jan-2026 rates'!$L:$R,4,0),IF($LB61=65%,VLOOKUP($L61,'Jan-2026 rates'!$L:$R,4,0),IF($LB61=40%,VLOOKUP($L61,'Jan-2026 rates'!$L:$R,5,0),IF($LB61=30%,VLOOKUP($L61,'Jan-2026 rates'!$L:$R,6,0),IF($LB61=100%,VLOOKUP($L61,'Jan-2026 rates'!$L:$R,7,0),IF($LB61=60%,VLOOKUP($L61,'Jan-2026 rates'!$L:$S,8,0),IF($LB61=80%,VLOOKUP($L61,'Jan-2026 rates'!L:T,9,0),0))))))))</f>
        <v>0</v>
      </c>
      <c r="R61" s="406">
        <v>26503000005</v>
      </c>
      <c r="S61" s="406"/>
      <c r="T61" s="406"/>
      <c r="U61" s="406"/>
      <c r="V61" s="406"/>
      <c r="W61" s="406"/>
      <c r="X61" s="406"/>
      <c r="Y61" s="406"/>
      <c r="Z61" s="404">
        <v>8</v>
      </c>
      <c r="AA61" s="398" t="e">
        <f>IF(Z61=0,0,IF(LEN(R61)=11,_xlfn.XLOOKUP(R61,'Dispensed Ink Rates'!C:C,'Dispensed Ink Rates'!CS:CS),VLOOKUP(R61,'Jan-2026 rates'!$E:$F,2,0)))</f>
        <v>#N/A</v>
      </c>
      <c r="AB61" s="404"/>
      <c r="AC61" s="398">
        <f>IF(AB61=0,0,IF(LEN(S61)=11,_xlfn.XLOOKUP(S61,'Dispensed Ink Rates'!C:C,'Dispensed Ink Rates'!CS:CS),VLOOKUP(S61,'Jan-2026 rates'!$E:$F,2,0)))</f>
        <v>0</v>
      </c>
      <c r="AD61" s="404"/>
      <c r="AE61" s="398">
        <f>IF(AD61=0,0,IF(LEN(T61)=11,_xlfn.XLOOKUP(T61,'Dispensed Ink Rates'!C:C,'Dispensed Ink Rates'!CS:CS),VLOOKUP(T61,'Jan-2026 rates'!$E:$F,2,0)))</f>
        <v>0</v>
      </c>
      <c r="AF61" s="404"/>
      <c r="AG61" s="398">
        <f>IF(AF61=0,0,IF(LEN(U61)=11,_xlfn.XLOOKUP(U61,'Dispensed Ink Rates'!C:C,'Dispensed Ink Rates'!CS:CS),VLOOKUP(U61,'Jan-2026 rates'!$E:$F,2,0)))</f>
        <v>0</v>
      </c>
      <c r="AH61" s="404"/>
      <c r="AI61" s="398">
        <f>IF(AH61=0,0,IF(LEN(V61)=11,_xlfn.XLOOKUP(V61,'Dispensed Ink Rates'!C:C,'Dispensed Ink Rates'!CS:CS),VLOOKUP(V61,'Jan-2026 rates'!$E:$F,2,0)))</f>
        <v>0</v>
      </c>
      <c r="AJ61" s="404"/>
      <c r="AK61" s="398">
        <f>IF(AJ61=0,0,IF(LEN(W61)=11,_xlfn.XLOOKUP(W61,'Dispensed Ink Rates'!C:C,'Dispensed Ink Rates'!CS:CS),VLOOKUP(W61,'Jan-2026 rates'!$E:$F,2,0)))</f>
        <v>0</v>
      </c>
      <c r="AL61" s="404"/>
      <c r="AM61" s="398">
        <f>IF(AL61=0,0,IF(LEN(X61)=11,_xlfn.XLOOKUP(X61,'Dispensed Ink Rates'!C:C,'Dispensed Ink Rates'!CS:CS),VLOOKUP(X61,'Jan-2026 rates'!$E:$F,2,0)))</f>
        <v>0</v>
      </c>
      <c r="AN61" s="404"/>
      <c r="AO61" s="398">
        <f>IF(AN61=0,0,IF(LEN(Y61)=11,_xlfn.XLOOKUP(Y61,'Dispensed Ink Rates'!C:C,'Dispensed Ink Rates'!CS:CS),VLOOKUP(Y61,'Jan-2026 rates'!$E:$F,2,0)))</f>
        <v>0</v>
      </c>
      <c r="AP61" s="409" t="s">
        <v>1443</v>
      </c>
      <c r="AQ61" s="409">
        <v>25</v>
      </c>
      <c r="AR61" s="410">
        <f t="shared" si="1"/>
        <v>0</v>
      </c>
      <c r="AS61" s="411">
        <f t="shared" si="2"/>
        <v>53</v>
      </c>
      <c r="AT61" s="410">
        <f t="shared" si="3"/>
        <v>0</v>
      </c>
      <c r="AU61" s="405"/>
      <c r="AV61" s="409"/>
      <c r="AW61" s="420" t="str">
        <f t="shared" si="53"/>
        <v xml:space="preserve"> - </v>
      </c>
      <c r="AX61" s="409"/>
      <c r="AY61" s="411">
        <f>IF(AX61=0,0,IF($LB61=70%,VLOOKUP($AW61,'Jan-2026 rates'!$L:$R,4,0),IF($LB61=65%,VLOOKUP($AW61,'Jan-2026 rates'!$L:$R,4,0),IF($LB61=40%,VLOOKUP($AW61,'Jan-2026 rates'!$L:$R,5,0),IF($LB61=30%,VLOOKUP($AW61,'Jan-2026 rates'!$L:$R,6,0),IF($LB61=100%,VLOOKUP($AW61,'Jan-2026 rates'!$L:$R,7,0),IF($LB61=60%,VLOOKUP($AW61,'Jan-2026 rates'!$L:$S,8,0),IF($LB61=80%,VLOOKUP($AW61,'Jan-2026 rates'!L:T,9,0),0))))))))</f>
        <v>0</v>
      </c>
      <c r="AZ61" s="412"/>
      <c r="BA61" s="409"/>
      <c r="BB61" s="411">
        <f>IF(BA61=0,0,IF($LB61=70%,VLOOKUP($AW61,'Jan-2026 rates'!$L:$R,4,0),IF($LB61=65%,VLOOKUP($AW61,'Jan-2026 rates'!$L:$R,4,0),IF($LB61=40%,VLOOKUP($AW61,'Jan-2026 rates'!$L:$R,5,0),IF($LB61=30%,VLOOKUP($AW61,'Jan-2026 rates'!$L:$R,6,0),IF($LB61=100%,VLOOKUP($AW61,'Jan-2026 rates'!$L:$R,7,0),IF($LB61=60%,VLOOKUP($AW61,'Jan-2026 rates'!$L:$S,8,0),IF($LB61=80%,VLOOKUP($AW61,'Jan-2026 rates'!L:T,9,0),0))))))))</f>
        <v>0</v>
      </c>
      <c r="BC61" s="413"/>
      <c r="BD61" s="412"/>
      <c r="BE61" s="412"/>
      <c r="BF61" s="413"/>
      <c r="BG61" s="412"/>
      <c r="BH61" s="412"/>
      <c r="BI61" s="412"/>
      <c r="BJ61" s="412"/>
      <c r="BK61" s="409"/>
      <c r="BL61" s="398">
        <f>IF(BK61=0,0,IF(LEN(BC61)=11,_xlfn.XLOOKUP(BC61,'Dispensed Ink Rates'!C:C,'Dispensed Ink Rates'!CS:CS),VLOOKUP(BC61,'Jan-2026 rates'!$E:$F,2,0)))</f>
        <v>0</v>
      </c>
      <c r="BM61" s="409"/>
      <c r="BN61" s="398">
        <f>IF(BM61=0,0,IF(LEN(BD61)=11,_xlfn.XLOOKUP(BD61,'Dispensed Ink Rates'!C:C,'Dispensed Ink Rates'!CS:CS),VLOOKUP(BD61,'Jan-2026 rates'!$E:$F,2,0)))</f>
        <v>0</v>
      </c>
      <c r="BO61" s="409"/>
      <c r="BP61" s="398">
        <f>IF(BO61=0,0,IF(LEN(BE61)=11,_xlfn.XLOOKUP(BE61,'Dispensed Ink Rates'!C:C,'Dispensed Ink Rates'!CS:CS),VLOOKUP(BE61,'Jan-2026 rates'!$E:$F,2,0)))</f>
        <v>0</v>
      </c>
      <c r="BQ61" s="409"/>
      <c r="BR61" s="398">
        <f>IF(BQ61=0,0,IF(LEN(BF61)=11,_xlfn.XLOOKUP(BF61,'Dispensed Ink Rates'!C:C,'Dispensed Ink Rates'!CS:CS),VLOOKUP(BF61,'Jan-2026 rates'!$E:$F,2,0)))</f>
        <v>0</v>
      </c>
      <c r="BS61" s="409"/>
      <c r="BT61" s="398">
        <f>IF(BS61=0,0,IF(LEN(BG61)=11,_xlfn.XLOOKUP(BG61,'Dispensed Ink Rates'!C:C,'Dispensed Ink Rates'!CS:CS),VLOOKUP(BG61,'Jan-2026 rates'!$E:$F,2,0)))</f>
        <v>0</v>
      </c>
      <c r="BU61" s="409"/>
      <c r="BV61" s="398">
        <f>IF(BU61=0,0,IF(LEN(BH61)=11,_xlfn.XLOOKUP(BH61,'Dispensed Ink Rates'!C:C,'Dispensed Ink Rates'!CS:CS),VLOOKUP(BH61,'Jan-2026 rates'!$E:$F,2,0)))</f>
        <v>0</v>
      </c>
      <c r="BW61" s="409"/>
      <c r="BX61" s="398">
        <f>IF(BW61=0,0,IF(LEN(BI61)=11,_xlfn.XLOOKUP(BI61,'Dispensed Ink Rates'!C:C,'Dispensed Ink Rates'!CS:CS),VLOOKUP(BI61,'Jan-2026 rates'!$E:$F,2,0)))</f>
        <v>0</v>
      </c>
      <c r="BY61" s="409"/>
      <c r="BZ61" s="398">
        <f>IF(BY61=0,0,IF(LEN(BJ61)=11,_xlfn.XLOOKUP(BJ61,'Dispensed Ink Rates'!C:C,'Dispensed Ink Rates'!CS:CS),VLOOKUP(BJ61,'Jan-2026 rates'!$E:$F,2,0)))</f>
        <v>0</v>
      </c>
      <c r="CA61" s="409"/>
      <c r="CB61" s="409"/>
      <c r="CC61" s="411">
        <f t="shared" si="5"/>
        <v>0</v>
      </c>
      <c r="CD61" s="411">
        <f t="shared" si="6"/>
        <v>0</v>
      </c>
      <c r="CE61" s="410">
        <f t="shared" si="7"/>
        <v>0</v>
      </c>
      <c r="CF61" s="404"/>
      <c r="CG61" s="409"/>
      <c r="CH61" s="420" t="str">
        <f t="shared" si="8"/>
        <v xml:space="preserve"> - </v>
      </c>
      <c r="CI61" s="409"/>
      <c r="CJ61" s="411">
        <f>IF(CI61=0,0,IF($LB61=70%,VLOOKUP($CH61,'Jan-2026 rates'!$L:$R,4,0),IF($LB61=65%,VLOOKUP($CH61,'Jan-2026 rates'!$L:$R,4,0),IF($LB61=40%,VLOOKUP($CH61,'Jan-2026 rates'!$L:$R,5,0),IF($LB61=30%,VLOOKUP($CH61,'Jan-2026 rates'!$L:$R,6,0),IF($LB61=100%,VLOOKUP($CH61,'Jan-2026 rates'!$L:$R,7,0),IF($LB61=60%,VLOOKUP($CH61,'Jan-2026 rates'!$L:$S,8,0),IF($LB61=80%,VLOOKUP($CH61,'Jan-2026 rates'!L:T,9,0),0))))))))</f>
        <v>0</v>
      </c>
      <c r="CK61" s="412"/>
      <c r="CL61" s="409"/>
      <c r="CM61" s="411">
        <f>IF(CL61=0,0,IF($LB61=70%,VLOOKUP($CH61,'Jan-2026 rates'!$L:$R,4,0),IF($LB61=65%,VLOOKUP($CH61,'Jan-2026 rates'!$L:$R,4,0),IF($LB61=40%,VLOOKUP($CH61,'Jan-2026 rates'!$L:$R,5,0),IF($LB61=30%,VLOOKUP($CH61,'Jan-2026 rates'!$L:$R,6,0),IF($LB61=100%,VLOOKUP($CH61,'Jan-2026 rates'!$L:$R,7,0),IF($LB61=60%,VLOOKUP($CH61,'Jan-2026 rates'!$L:$S,8,0),IF($LB61=80%,VLOOKUP($CH61,'Jan-2026 rates'!L:T,9,0),0))))))))</f>
        <v>0</v>
      </c>
      <c r="CN61" s="426"/>
      <c r="CO61" s="427"/>
      <c r="CP61" s="426"/>
      <c r="CQ61" s="426"/>
      <c r="CR61" s="428"/>
      <c r="CS61" s="428"/>
      <c r="CT61" s="428"/>
      <c r="CU61" s="428"/>
      <c r="CV61" s="409"/>
      <c r="CW61" s="398">
        <f>IF(CV61=0,0,IF(LEN(CN61)=11,_xlfn.XLOOKUP(CN61,'Dispensed Ink Rates'!C:C,'Dispensed Ink Rates'!CS:CS),VLOOKUP(CN61,'Jan-2026 rates'!$E:$F,2,0)))</f>
        <v>0</v>
      </c>
      <c r="CX61" s="409"/>
      <c r="CY61" s="398">
        <f>IF(CX61=0,0,IF(LEN(CO61)=11,_xlfn.XLOOKUP(CO61,'Dispensed Ink Rates'!C:C,'Dispensed Ink Rates'!CS:CS),VLOOKUP(CO61,'Jan-2026 rates'!$E:$F,2,0)))</f>
        <v>0</v>
      </c>
      <c r="CZ61" s="409"/>
      <c r="DA61" s="398">
        <f>IF(CZ61=0,0,IF(LEN(CP61)=11,_xlfn.XLOOKUP(CP61,'Dispensed Ink Rates'!C:C,'Dispensed Ink Rates'!CS:CS),VLOOKUP(CP61,'Jan-2026 rates'!$E:$F,2,0)))</f>
        <v>0</v>
      </c>
      <c r="DB61" s="409"/>
      <c r="DC61" s="398">
        <f>IF(DB61=0,0,IF(LEN(CQ61)=11,_xlfn.XLOOKUP(CQ61,'Dispensed Ink Rates'!C:C,'Dispensed Ink Rates'!CS:CS),VLOOKUP(CQ61,'Jan-2026 rates'!$E:$F,2,0)))</f>
        <v>0</v>
      </c>
      <c r="DD61" s="409"/>
      <c r="DE61" s="398">
        <f>IF(DD61=0,0,IF(LEN(CR61)=11,_xlfn.XLOOKUP(CR61,'Dispensed Ink Rates'!C:C,'Dispensed Ink Rates'!CS:CS),VLOOKUP(CR61,'Jan-2026 rates'!$E:$F,2,0)))</f>
        <v>0</v>
      </c>
      <c r="DF61" s="409"/>
      <c r="DG61" s="398">
        <f>IF(DF61=0,0,IF(LEN(CS61)=11,_xlfn.XLOOKUP(CS61,'Dispensed Ink Rates'!C:C,'Dispensed Ink Rates'!CS:CS),VLOOKUP(CS61,'Jan-2026 rates'!$E:$F,2,0)))</f>
        <v>0</v>
      </c>
      <c r="DH61" s="409"/>
      <c r="DI61" s="398">
        <f>IF(DH61=0,0,IF(LEN(CT61)=11,_xlfn.XLOOKUP(CT61,'Dispensed Ink Rates'!C:C,'Dispensed Ink Rates'!CS:CS),VLOOKUP(CT61,'Jan-2026 rates'!$E:$F,2,0)))</f>
        <v>0</v>
      </c>
      <c r="DJ61" s="409"/>
      <c r="DK61" s="398">
        <f>IF(DJ61=0,0,IF(LEN(CU61)=11,_xlfn.XLOOKUP(CU61,'Dispensed Ink Rates'!C:C,'Dispensed Ink Rates'!CS:CS),VLOOKUP(CU61,'Jan-2026 rates'!$E:$F,2,0)))</f>
        <v>0</v>
      </c>
      <c r="DL61" s="409"/>
      <c r="DM61" s="409"/>
      <c r="DN61" s="411">
        <f t="shared" si="9"/>
        <v>0</v>
      </c>
      <c r="DO61" s="411">
        <f t="shared" si="10"/>
        <v>0</v>
      </c>
      <c r="DP61" s="410">
        <f t="shared" si="11"/>
        <v>0</v>
      </c>
      <c r="DQ61" s="405"/>
      <c r="DR61" s="409"/>
      <c r="DS61" s="420" t="str">
        <f t="shared" si="12"/>
        <v xml:space="preserve"> - </v>
      </c>
      <c r="DT61" s="409"/>
      <c r="DU61" s="411">
        <f>IF(DT61=0,0,IF($LB61=70%,VLOOKUP($DS61,'Jan-2026 rates'!$L:$R,4,0),IF($LB61=65%,VLOOKUP($DS61,'Jan-2026 rates'!$L:$R,4,0),IF($LB61=40%,VLOOKUP($DS61,'Jan-2026 rates'!$L:$R,5,0),IF($LB61=30%,VLOOKUP($DS61,'Jan-2026 rates'!$L:$R,6,0),IF($LB61=100%,VLOOKUP($DS61,'Jan-2026 rates'!$L:$R,7,0),IF($LB61=60%,VLOOKUP($DS61,'Jan-2026 rates'!$L:$S,8,0),IF($LB61=80%,VLOOKUP($DS61,'Jan-2026 rates'!L:T,9,0),0))))))))</f>
        <v>0</v>
      </c>
      <c r="DV61" s="412"/>
      <c r="DW61" s="409"/>
      <c r="DX61" s="411">
        <f>IF(DW61=0,0,IF($LB61=70%,VLOOKUP($DS61,'Jan-2026 rates'!$L:$R,4,0),IF($LB61=65%,VLOOKUP($DS61,'Jan-2026 rates'!$L:$R,4,0),IF($LB61=40%,VLOOKUP($DS61,'Jan-2026 rates'!$L:$R,5,0),IF($LB61=30%,VLOOKUP($DS61,'Jan-2026 rates'!$L:$R,6,0),IF($LB61=100%,VLOOKUP($DS61,'Jan-2026 rates'!$L:$R,7,0),IF($LB61=60%,VLOOKUP($DS61,'Jan-2026 rates'!$L:$S,8,0),IF($LB61=80%,VLOOKUP($DS61,'Jan-2026 rates'!L:T,9,0),0))))))))</f>
        <v>0</v>
      </c>
      <c r="DY61" s="413"/>
      <c r="DZ61" s="413"/>
      <c r="EA61" s="412"/>
      <c r="EB61" s="412"/>
      <c r="EC61" s="412"/>
      <c r="ED61" s="412"/>
      <c r="EE61" s="412"/>
      <c r="EF61" s="412"/>
      <c r="EG61" s="409"/>
      <c r="EH61" s="398">
        <f>IF(EG61=0,0,IF(LEN(DY61)=11,_xlfn.XLOOKUP(DY61,'Dispensed Ink Rates'!C:C,'Dispensed Ink Rates'!CS:CS),VLOOKUP(DY61,'Jan-2026 rates'!$E:$F,2,0)))</f>
        <v>0</v>
      </c>
      <c r="EI61" s="409"/>
      <c r="EJ61" s="398">
        <f>IF(EI61=0,0,IF(LEN(DZ61)=11,_xlfn.XLOOKUP(DZ61,'Dispensed Ink Rates'!C:C,'Dispensed Ink Rates'!CS:CS),VLOOKUP(DZ61,'Jan-2026 rates'!$E:$F,2,0)))</f>
        <v>0</v>
      </c>
      <c r="EK61" s="409"/>
      <c r="EL61" s="398">
        <f>IF(EK61=0,0,IF(LEN(EA61)=11,_xlfn.XLOOKUP(EA61,'Dispensed Ink Rates'!C:C,'Dispensed Ink Rates'!CS:CS),VLOOKUP(EA61,'Jan-2026 rates'!$E:$F,2,0)))</f>
        <v>0</v>
      </c>
      <c r="EM61" s="409"/>
      <c r="EN61" s="398">
        <f>IF(EM61=0,0,IF(LEN(EB61)=11,_xlfn.XLOOKUP(EB61,'Dispensed Ink Rates'!C:C,'Dispensed Ink Rates'!CS:CS),VLOOKUP(EB61,'Jan-2026 rates'!$E:$F,2,0)))</f>
        <v>0</v>
      </c>
      <c r="EO61" s="409"/>
      <c r="EP61" s="398">
        <f>IF(EO61=0,0,IF(LEN(EC61)=11,_xlfn.XLOOKUP(EC61,'Dispensed Ink Rates'!C:C,'Dispensed Ink Rates'!CS:CS),VLOOKUP(EC61,'Jan-2026 rates'!$E:$F,2,0)))</f>
        <v>0</v>
      </c>
      <c r="EQ61" s="409"/>
      <c r="ER61" s="398">
        <f>IF(EQ61=0,0,IF(LEN(ED61)=11,_xlfn.XLOOKUP(ED61,'Dispensed Ink Rates'!C:C,'Dispensed Ink Rates'!CS:CS),VLOOKUP(ED61,'Jan-2026 rates'!$E:$F,2,0)))</f>
        <v>0</v>
      </c>
      <c r="ES61" s="409"/>
      <c r="ET61" s="398">
        <f>IF(ES61=0,0,IF(LEN(EE61)=11,_xlfn.XLOOKUP(EE61,'Dispensed Ink Rates'!C:C,'Dispensed Ink Rates'!CS:CS),VLOOKUP(EE61,'Jan-2026 rates'!$E:$F,2,0)))</f>
        <v>0</v>
      </c>
      <c r="EU61" s="409"/>
      <c r="EV61" s="398">
        <f>IF(EU61=0,0,IF(LEN(EF61)=11,_xlfn.XLOOKUP(EF61,'Dispensed Ink Rates'!C:C,'Dispensed Ink Rates'!CS:CS),VLOOKUP(EF61,'Jan-2026 rates'!$E:$F,2,0)))</f>
        <v>0</v>
      </c>
      <c r="EW61" s="409"/>
      <c r="EX61" s="409"/>
      <c r="EY61" s="411">
        <f t="shared" si="13"/>
        <v>0</v>
      </c>
      <c r="EZ61" s="411">
        <f t="shared" si="14"/>
        <v>0</v>
      </c>
      <c r="FA61" s="410">
        <f t="shared" si="15"/>
        <v>0</v>
      </c>
      <c r="FB61" s="405"/>
      <c r="FC61" s="409"/>
      <c r="FD61" s="420" t="str">
        <f t="shared" si="16"/>
        <v xml:space="preserve"> - </v>
      </c>
      <c r="FE61" s="409"/>
      <c r="FF61" s="411">
        <f>IF(FE61=0,0,IF($LB61=70%,VLOOKUP($FD61,'Jan-2026 rates'!$L:$R,4,0),IF($LB61=65%,VLOOKUP($FD61,'Jan-2026 rates'!$L:$R,4,0),IF($LB61=40%,VLOOKUP($FD61,'Jan-2026 rates'!$L:$R,5,0),IF($LB61=30%,VLOOKUP($FD61,'Jan-2026 rates'!$L:$R,6,0),IF($LB61=100%,VLOOKUP($FD61,'Jan-2026 rates'!$L:$R,7,0),IF($LB61=60%,VLOOKUP($FD61,'Jan-2026 rates'!$L:$S,8,0),IF($LB61=80%,VLOOKUP($FD61,'Jan-2026 rates'!L:T,9,0),0))))))))</f>
        <v>0</v>
      </c>
      <c r="FG61" s="412"/>
      <c r="FH61" s="409"/>
      <c r="FI61" s="411">
        <f>IF(FH61=0,0,IF($LB61=70%,VLOOKUP($FD61,'Jan-2026 rates'!$L:$R,4,0),IF($LB61=65%,VLOOKUP($FD61,'Jan-2026 rates'!$L:$R,4,0),IF($LB61=40%,VLOOKUP($FD61,'Jan-2026 rates'!$L:$R,5,0),IF($LB61=30%,VLOOKUP($FD61,'Jan-2026 rates'!$L:$R,6,0),IF($LB61=100%,VLOOKUP($FD61,'Jan-2026 rates'!$L:$R,7,0),IF($LB61=60%,VLOOKUP($FD61,'Jan-2026 rates'!$L:$S,8,0),IF($LB61=80%,VLOOKUP($FD61,'Jan-2026 rates'!L:T,9,0),0))))))))</f>
        <v>0</v>
      </c>
      <c r="FJ61" s="413"/>
      <c r="FK61" s="413"/>
      <c r="FL61" s="413"/>
      <c r="FM61" s="412"/>
      <c r="FN61" s="412"/>
      <c r="FO61" s="412"/>
      <c r="FP61" s="412"/>
      <c r="FQ61" s="412"/>
      <c r="FR61" s="409"/>
      <c r="FS61" s="398">
        <f>IF(FR61=0,0,IF(LEN(FJ61)=11,_xlfn.XLOOKUP(FJ61,'Dispensed Ink Rates'!C:C,'Dispensed Ink Rates'!CS:CS),VLOOKUP(FJ61,'Jan-2026 rates'!$E:$F,2,0)))</f>
        <v>0</v>
      </c>
      <c r="FT61" s="409"/>
      <c r="FU61" s="398">
        <f>IF(FT61=0,0,IF(LEN(FK61)=11,_xlfn.XLOOKUP(FK61,'Dispensed Ink Rates'!C:C,'Dispensed Ink Rates'!CS:CS),VLOOKUP(FK61,'Jan-2026 rates'!$E:$F,2,0)))</f>
        <v>0</v>
      </c>
      <c r="FV61" s="409"/>
      <c r="FW61" s="398">
        <f>IF(FV61=0,0,IF(LEN(FL61)=11,_xlfn.XLOOKUP(FL61,'Dispensed Ink Rates'!C:C,'Dispensed Ink Rates'!CS:CS),VLOOKUP(FL61,'Jan-2026 rates'!$E:$F,2,0)))</f>
        <v>0</v>
      </c>
      <c r="FX61" s="409"/>
      <c r="FY61" s="398">
        <f>IF(FX61=0,0,IF(LEN(FM61)=11,_xlfn.XLOOKUP(FM61,'Dispensed Ink Rates'!C:C,'Dispensed Ink Rates'!CS:CS),VLOOKUP(FM61,'Jan-2026 rates'!$E:$F,2,0)))</f>
        <v>0</v>
      </c>
      <c r="FZ61" s="409"/>
      <c r="GA61" s="398">
        <f>IF(FZ61=0,0,IF(LEN(FN61)=11,_xlfn.XLOOKUP(FN61,'Dispensed Ink Rates'!C:C,'Dispensed Ink Rates'!CS:CS),VLOOKUP(FN61,'Jan-2026 rates'!$E:$F,2,0)))</f>
        <v>0</v>
      </c>
      <c r="GB61" s="409"/>
      <c r="GC61" s="398">
        <f>IF(GB61=0,0,IF(LEN(FO61)=11,_xlfn.XLOOKUP(FO61,'Dispensed Ink Rates'!C:C,'Dispensed Ink Rates'!CS:CS),VLOOKUP(FO61,'Jan-2026 rates'!$E:$F,2,0)))</f>
        <v>0</v>
      </c>
      <c r="GD61" s="409"/>
      <c r="GE61" s="398">
        <f>IF(GD61=0,0,IF(LEN(FP61)=11,_xlfn.XLOOKUP(FP61,'Dispensed Ink Rates'!C:C,'Dispensed Ink Rates'!CS:CS),VLOOKUP(FP61,'Jan-2026 rates'!$E:$F,2,0)))</f>
        <v>0</v>
      </c>
      <c r="GF61" s="409"/>
      <c r="GG61" s="398">
        <f>IF(GF61=0,0,IF(LEN(FQ61)=11,_xlfn.XLOOKUP(FQ61,'Dispensed Ink Rates'!C:C,'Dispensed Ink Rates'!CS:CS),VLOOKUP(FQ61,'Jan-2026 rates'!$E:$F,2,0)))</f>
        <v>0</v>
      </c>
      <c r="GH61" s="409"/>
      <c r="GI61" s="409"/>
      <c r="GJ61" s="411">
        <f t="shared" si="17"/>
        <v>0</v>
      </c>
      <c r="GK61" s="411">
        <f t="shared" si="18"/>
        <v>0</v>
      </c>
      <c r="GL61" s="410">
        <f t="shared" si="19"/>
        <v>0</v>
      </c>
      <c r="GM61" s="405"/>
      <c r="GN61" s="409"/>
      <c r="GO61" s="420" t="str">
        <f t="shared" si="20"/>
        <v xml:space="preserve"> - </v>
      </c>
      <c r="GP61" s="409"/>
      <c r="GQ61" s="411">
        <f>IF(GP61=0,0,IF($LB61=70%,VLOOKUP($GO61,'Jan-2026 rates'!$L:$R,4,0),IF($LB61=65%,VLOOKUP($GO61,'Jan-2026 rates'!$L:$R,4,0),IF($LB61=40%,VLOOKUP($GO61,'Jan-2026 rates'!$L:$R,5,0),IF($LB61=30%,VLOOKUP($GO61,'Jan-2026 rates'!$L:$R,6,0),IF($LB61=100%,VLOOKUP($GO61,'Jan-2026 rates'!$L:$R,7,0),IF($LB61=60%,VLOOKUP($GO61,'Jan-2026 rates'!$L:$S,8,0),IF($LB61=80%,VLOOKUP($GO61,'Jan-2026 rates'!L:T,9,0),0))))))))</f>
        <v>0</v>
      </c>
      <c r="GR61" s="412"/>
      <c r="GS61" s="409"/>
      <c r="GT61" s="411">
        <f>IF(GS61=0,0,IF($LB61=70%,VLOOKUP($GO61,'Jan-2026 rates'!$L:$R,4,0),IF($LB61=65%,VLOOKUP($GO61,'Jan-2026 rates'!$L:$R,4,0),IF($LB61=40%,VLOOKUP($GO61,'Jan-2026 rates'!$L:$R,5,0),IF($LB61=30%,VLOOKUP($GO61,'Jan-2026 rates'!$L:$R,6,0),IF($LB61=100%,VLOOKUP($GO61,'Jan-2026 rates'!$L:$R,7,0),IF($LB61=60%,VLOOKUP($GO61,'Jan-2026 rates'!$L:$S,8,0),IF($LB61=80%,VLOOKUP($GO61,'Jan-2026 rates'!L:T,9,0),0))))))))</f>
        <v>0</v>
      </c>
      <c r="GU61" s="413"/>
      <c r="GV61" s="413"/>
      <c r="GW61" s="412"/>
      <c r="GX61" s="412"/>
      <c r="GY61" s="412"/>
      <c r="GZ61" s="412"/>
      <c r="HA61" s="412"/>
      <c r="HB61" s="412"/>
      <c r="HC61" s="409"/>
      <c r="HD61" s="398">
        <f>IF(HC61=0,0,IF(LEN(GU61)=11,_xlfn.XLOOKUP(GU61,'Dispensed Ink Rates'!C:C,'Dispensed Ink Rates'!CS:CS),VLOOKUP(GU61,'Jan-2026 rates'!$E:$F,2,0)))</f>
        <v>0</v>
      </c>
      <c r="HE61" s="409"/>
      <c r="HF61" s="398">
        <f>IF(HE61=0,0,IF(LEN(GV61)=11,_xlfn.XLOOKUP(GV61,'Dispensed Ink Rates'!C:C,'Dispensed Ink Rates'!CS:CS),VLOOKUP(GV61,'Jan-2026 rates'!$E:$F,2,0)))</f>
        <v>0</v>
      </c>
      <c r="HG61" s="409"/>
      <c r="HH61" s="398">
        <f>IF(HG61=0,0,IF(LEN(GW61)=11,_xlfn.XLOOKUP(GW61,'Dispensed Ink Rates'!C:C,'Dispensed Ink Rates'!CS:CS),VLOOKUP(GW61,'Jan-2026 rates'!$E:$F,2,0)))</f>
        <v>0</v>
      </c>
      <c r="HI61" s="409"/>
      <c r="HJ61" s="398">
        <f>IF(HI61=0,0,IF(LEN(GX61)=11,_xlfn.XLOOKUP(GX61,'Dispensed Ink Rates'!C:C,'Dispensed Ink Rates'!CS:CS),VLOOKUP(GX61,'Jan-2026 rates'!$E:$F,2,0)))</f>
        <v>0</v>
      </c>
      <c r="HK61" s="409"/>
      <c r="HL61" s="398">
        <f>IF(HK61=0,0,IF(LEN(GY61)=11,_xlfn.XLOOKUP(GY61,'Dispensed Ink Rates'!C:C,'Dispensed Ink Rates'!CS:CS),VLOOKUP(GY61,'Jan-2026 rates'!$E:$F,2,0)))</f>
        <v>0</v>
      </c>
      <c r="HM61" s="409"/>
      <c r="HN61" s="398">
        <f>IF(HM61=0,0,IF(LEN(GZ61)=11,_xlfn.XLOOKUP(GZ61,'Dispensed Ink Rates'!C:C,'Dispensed Ink Rates'!CS:CS),VLOOKUP(GZ61,'Jan-2026 rates'!$E:$F,2,0)))</f>
        <v>0</v>
      </c>
      <c r="HO61" s="409"/>
      <c r="HP61" s="398">
        <f>IF(HO61=0,0,IF(LEN(HA61)=11,_xlfn.XLOOKUP(HA61,'Dispensed Ink Rates'!C:C,'Dispensed Ink Rates'!CS:CS),VLOOKUP(HA61,'Jan-2026 rates'!$E:$F,2,0)))</f>
        <v>0</v>
      </c>
      <c r="HQ61" s="409"/>
      <c r="HR61" s="398">
        <f>IF(HQ61=0,0,IF(LEN(HB61)=11,_xlfn.XLOOKUP(HB61,'Dispensed Ink Rates'!C:C,'Dispensed Ink Rates'!CS:CS),VLOOKUP(HB61,'Jan-2026 rates'!$E:$F,2,0)))</f>
        <v>0</v>
      </c>
      <c r="HS61" s="409"/>
      <c r="HT61" s="409"/>
      <c r="HU61" s="411">
        <f t="shared" si="21"/>
        <v>0</v>
      </c>
      <c r="HV61" s="411">
        <f t="shared" si="22"/>
        <v>0</v>
      </c>
      <c r="HW61" s="414">
        <f t="shared" si="23"/>
        <v>0</v>
      </c>
      <c r="HX61" s="405"/>
      <c r="HY61" s="409"/>
      <c r="HZ61" s="420" t="str">
        <f t="shared" si="24"/>
        <v xml:space="preserve"> - </v>
      </c>
      <c r="IA61" s="409"/>
      <c r="IB61" s="411">
        <f>IF(IA61=0,0,IF($LB61=70%,VLOOKUP($HZ61,'Jan-2026 rates'!$L:$R,4,0),IF($LB61=65%,VLOOKUP($HZ61,'Jan-2026 rates'!$L:$R,4,0),IF($LB61=40%,VLOOKUP($HZ61,'Jan-2026 rates'!$L:$R,5,0),IF($LB61=30%,VLOOKUP($HZ61,'Jan-2026 rates'!$L:$R,6,0),IF($LB61=100%,VLOOKUP($HZ61,'Jan-2026 rates'!$L:$R,7,0),IF($LB61=60%,VLOOKUP($HZ61,'Jan-2026 rates'!$L:$S,8,0),IF($LB61=80%,VLOOKUP($HZ61,'Jan-2026 rates'!L:T,9,0),0))))))))</f>
        <v>0</v>
      </c>
      <c r="IC61" s="412"/>
      <c r="ID61" s="409"/>
      <c r="IE61" s="411">
        <f>IF(ID61=0,0,IF($LB61=70%,VLOOKUP($HZ61,'Jan-2026 rates'!$L:$R,4,0),IF($LB61=65%,VLOOKUP($HZ61,'Jan-2026 rates'!$L:$R,4,0),IF($LB61=40%,VLOOKUP($HZ61,'Jan-2026 rates'!$L:$R,5,0),IF($LB61=30%,VLOOKUP($HZ61,'Jan-2026 rates'!$L:$R,6,0),IF($LB61=100%,VLOOKUP($HZ61,'Jan-2026 rates'!$L:$R,7,0),IF($LB61=60%,VLOOKUP($HZ61,'Jan-2026 rates'!$L:$S,8,0),IF($LB61=80%,VLOOKUP($HZ61,'Jan-2026 rates'!L:T,9,0),0))))))))</f>
        <v>0</v>
      </c>
      <c r="IF61" s="412"/>
      <c r="IG61" s="413"/>
      <c r="IH61" s="412"/>
      <c r="II61" s="412"/>
      <c r="IJ61" s="412"/>
      <c r="IK61" s="412"/>
      <c r="IL61" s="412"/>
      <c r="IM61" s="412"/>
      <c r="IN61" s="409"/>
      <c r="IO61" s="398">
        <f>IF(IN61=0,0,IF(LEN(IF61)=11,_xlfn.XLOOKUP(IF61,'Dispensed Ink Rates'!C:C,'Dispensed Ink Rates'!CS:CS),VLOOKUP(IF61,'Jan-2026 rates'!$E:$F,2,0)))</f>
        <v>0</v>
      </c>
      <c r="IP61" s="409"/>
      <c r="IQ61" s="398">
        <f>IF(IP61=0,0,IF(LEN(IG61)=11,_xlfn.XLOOKUP(IG61,'Dispensed Ink Rates'!C:C,'Dispensed Ink Rates'!CS:CS),VLOOKUP(IG61,'Jan-2026 rates'!$E:$F,2,0)))</f>
        <v>0</v>
      </c>
      <c r="IR61" s="409"/>
      <c r="IS61" s="398">
        <f>IF(IR61=0,0,IF(LEN(IH61)=11,_xlfn.XLOOKUP(IH61,'Dispensed Ink Rates'!C:C,'Dispensed Ink Rates'!CS:CS),VLOOKUP(IH61,'Jan-2026 rates'!$E:$F,2,0)))</f>
        <v>0</v>
      </c>
      <c r="IT61" s="409"/>
      <c r="IU61" s="398">
        <f>IF(IT61=0,0,IF(LEN(II61)=11,_xlfn.XLOOKUP(II61,'Dispensed Ink Rates'!C:C,'Dispensed Ink Rates'!CS:CS),VLOOKUP(II61,'Jan-2026 rates'!$E:$F,2,0)))</f>
        <v>0</v>
      </c>
      <c r="IV61" s="409"/>
      <c r="IW61" s="398">
        <f>IF(IV61=0,0,IF(LEN(IJ61)=11,_xlfn.XLOOKUP(IJ61,'Dispensed Ink Rates'!C:C,'Dispensed Ink Rates'!CS:CS),VLOOKUP(IJ61,'Jan-2026 rates'!$E:$F,2,0)))</f>
        <v>0</v>
      </c>
      <c r="IX61" s="409"/>
      <c r="IY61" s="398">
        <f>IF(IX61=0,0,IF(LEN(IK61)=11,_xlfn.XLOOKUP(IK61,'Dispensed Ink Rates'!C:C,'Dispensed Ink Rates'!CS:CS),VLOOKUP(IK61,'Jan-2026 rates'!$E:$F,2,0)))</f>
        <v>0</v>
      </c>
      <c r="IZ61" s="409"/>
      <c r="JA61" s="398">
        <f>IF(IZ61=0,0,IF(LEN(IL61)=11,_xlfn.XLOOKUP(IL61,'Dispensed Ink Rates'!C:C,'Dispensed Ink Rates'!CS:CS),VLOOKUP(IL61,'Jan-2026 rates'!$E:$F,2,0)))</f>
        <v>0</v>
      </c>
      <c r="JB61" s="409"/>
      <c r="JC61" s="398">
        <f>IF(JB61=0,0,IF(LEN(IM61)=11,_xlfn.XLOOKUP(IM61,'Dispensed Ink Rates'!C:C,'Dispensed Ink Rates'!CS:CS),VLOOKUP(IM61,'Jan-2026 rates'!$E:$F,2,0)))</f>
        <v>0</v>
      </c>
      <c r="JD61" s="409"/>
      <c r="JE61" s="409"/>
      <c r="JF61" s="411">
        <f t="shared" si="25"/>
        <v>0</v>
      </c>
      <c r="JG61" s="411">
        <f t="shared" si="26"/>
        <v>0</v>
      </c>
      <c r="JH61" s="410">
        <f t="shared" si="27"/>
        <v>0</v>
      </c>
      <c r="JI61" s="405"/>
      <c r="JJ61" s="409"/>
      <c r="JK61" s="420" t="str">
        <f t="shared" si="28"/>
        <v xml:space="preserve"> - </v>
      </c>
      <c r="JL61" s="409"/>
      <c r="JM61" s="411">
        <f>IF(JL61=0,0,IF($LB61=70%,VLOOKUP($JK61,'Jan-2026 rates'!$L:$R,4,0),IF($LB61=65%,VLOOKUP($JK61,'Jan-2026 rates'!$L:$R,4,0),IF($LB61=40%,VLOOKUP($JK61,'Jan-2026 rates'!$L:$R,5,0),IF($LB61=30%,VLOOKUP($JK61,'Jan-2026 rates'!$L:$R,6,0),IF($LB61=100%,VLOOKUP($JK61,'Jan-2026 rates'!$L:$R,7,0),IF($LB61=60%,VLOOKUP($JK61,'Jan-2026 rates'!$L:$S,8,0),IF($LB61=80%,VLOOKUP($JK61,'Jan-2026 rates'!L:T,9,0),0))))))))</f>
        <v>0</v>
      </c>
      <c r="JN61" s="412"/>
      <c r="JO61" s="409"/>
      <c r="JP61" s="411">
        <f>IF(JO61=0,0,IF($LB61=70%,VLOOKUP($JK61,'Jan-2026 rates'!$L:$R,4,0),IF($LB61=65%,VLOOKUP($JK61,'Jan-2026 rates'!$L:$R,4,0),IF($LB61=40%,VLOOKUP($JK61,'Jan-2026 rates'!$L:$R,5,0),IF($LB61=30%,VLOOKUP($JK61,'Jan-2026 rates'!$L:$R,6,0),IF($LB61=100%,VLOOKUP($JK61,'Jan-2026 rates'!$L:$R,7,0),IF($LB61=60%,VLOOKUP($JK61,'Jan-2026 rates'!$L:$S,8,0),IF($LB61=80%,VLOOKUP($JK61,'Jan-2026 rates'!L:T,9,0),0))))))))</f>
        <v>0</v>
      </c>
      <c r="JQ61" s="413"/>
      <c r="JR61" s="412"/>
      <c r="JS61" s="413"/>
      <c r="JT61" s="413"/>
      <c r="JU61" s="412"/>
      <c r="JV61" s="412"/>
      <c r="JW61" s="412"/>
      <c r="JX61" s="412"/>
      <c r="JY61" s="409"/>
      <c r="JZ61" s="398">
        <f>IF(JY61=0,0,IF(LEN(JQ61)=11,_xlfn.XLOOKUP(JQ61,'Dispensed Ink Rates'!C:C,'Dispensed Ink Rates'!CS:CS),VLOOKUP(JQ61,'Jan-2026 rates'!$E:$F,2,0)))</f>
        <v>0</v>
      </c>
      <c r="KA61" s="409"/>
      <c r="KB61" s="398">
        <f>IF(KA61=0,0,IF(LEN(JR61)=11,_xlfn.XLOOKUP(JR61,'Dispensed Ink Rates'!C:C,'Dispensed Ink Rates'!CS:CS),VLOOKUP(JR61,'Jan-2026 rates'!$E:$F,2,0)))</f>
        <v>0</v>
      </c>
      <c r="KC61" s="409"/>
      <c r="KD61" s="398">
        <f>IF(KC61=0,0,IF(LEN(JS61)=11,_xlfn.XLOOKUP(JS61,'Dispensed Ink Rates'!C:C,'Dispensed Ink Rates'!CS:CS),VLOOKUP(JS61,'Jan-2026 rates'!$E:$F,2,0)))</f>
        <v>0</v>
      </c>
      <c r="KE61" s="409"/>
      <c r="KF61" s="398">
        <f>IF(KE61=0,0,IF(LEN(JT61)=11,_xlfn.XLOOKUP(JT61,'Dispensed Ink Rates'!C:C,'Dispensed Ink Rates'!CS:CS),VLOOKUP(JT61,'Jan-2026 rates'!$E:$F,2,0)))</f>
        <v>0</v>
      </c>
      <c r="KG61" s="409"/>
      <c r="KH61" s="398">
        <f>IF(KG61=0,0,IF(LEN(JU61)=11,_xlfn.XLOOKUP(JU61,'Dispensed Ink Rates'!C:C,'Dispensed Ink Rates'!CS:CS),VLOOKUP(JU61,'Jan-2026 rates'!$E:$F,2,0)))</f>
        <v>0</v>
      </c>
      <c r="KI61" s="409"/>
      <c r="KJ61" s="398">
        <f>IF(KI61=0,0,IF(LEN(JV61)=11,_xlfn.XLOOKUP(JV61,'Dispensed Ink Rates'!C:C,'Dispensed Ink Rates'!CS:CS),VLOOKUP(JV61,'Jan-2026 rates'!$E:$F,2,0)))</f>
        <v>0</v>
      </c>
      <c r="KK61" s="409"/>
      <c r="KL61" s="398">
        <f>IF(KK61=0,0,IF(LEN(JW61)=11,_xlfn.XLOOKUP(JW61,'Dispensed Ink Rates'!C:C,'Dispensed Ink Rates'!CS:CS),VLOOKUP(JW61,'Jan-2026 rates'!$E:$F,2,0)))</f>
        <v>0</v>
      </c>
      <c r="KM61" s="428"/>
      <c r="KN61" s="398">
        <f>IF(KM61=0,0,IF(LEN(JX61)=11,_xlfn.XLOOKUP(JX61,'Dispensed Ink Rates'!C:C,'Dispensed Ink Rates'!CS:CS),VLOOKUP(JX61,'Jan-2026 rates'!$E:$F,2,0)))</f>
        <v>0</v>
      </c>
      <c r="KO61" s="409"/>
      <c r="KP61" s="409"/>
      <c r="KQ61" s="411">
        <f t="shared" si="29"/>
        <v>0</v>
      </c>
      <c r="KR61" s="411">
        <f t="shared" si="30"/>
        <v>0</v>
      </c>
      <c r="KS61" s="410">
        <f t="shared" si="31"/>
        <v>0</v>
      </c>
      <c r="KT61" s="409">
        <v>4</v>
      </c>
      <c r="KU61" s="409">
        <v>0</v>
      </c>
      <c r="KV61" s="409">
        <v>0</v>
      </c>
      <c r="KW61" s="409">
        <v>0</v>
      </c>
      <c r="KX61" s="409">
        <v>0</v>
      </c>
      <c r="KY61" s="409">
        <v>0</v>
      </c>
      <c r="KZ61" s="409">
        <v>0</v>
      </c>
      <c r="LA61" s="409">
        <v>0</v>
      </c>
      <c r="LB61" s="415">
        <v>0.8</v>
      </c>
      <c r="LC61" s="415">
        <v>0.2</v>
      </c>
      <c r="LD61" s="415"/>
      <c r="LE61" s="415"/>
      <c r="LF61" s="415"/>
      <c r="LG61" s="409">
        <v>0</v>
      </c>
      <c r="LH61" s="409">
        <f>10+10+16+4</f>
        <v>40</v>
      </c>
      <c r="LI61" s="409">
        <v>0</v>
      </c>
      <c r="LJ61" s="409">
        <v>0</v>
      </c>
      <c r="LK61" s="416">
        <f t="shared" si="32"/>
        <v>40</v>
      </c>
      <c r="LL61" s="416">
        <f t="shared" si="33"/>
        <v>40</v>
      </c>
      <c r="LM61" s="417">
        <f t="shared" si="34"/>
        <v>32</v>
      </c>
      <c r="LN61" s="417">
        <f>VLOOKUP($LM$8,'Jan-2026 rates'!$H:$I,2,0)</f>
        <v>0</v>
      </c>
      <c r="LO61" s="417">
        <f t="shared" si="35"/>
        <v>8</v>
      </c>
      <c r="LP61" s="417">
        <f>VLOOKUP($LO$8,'Jan-2026 rates'!$H:$I,2,0)</f>
        <v>0</v>
      </c>
      <c r="LQ61" s="417">
        <f t="shared" si="36"/>
        <v>0</v>
      </c>
      <c r="LR61" s="417">
        <f>VLOOKUP($LQ$8,'Jan-2026 rates'!$H:$I,2,0)</f>
        <v>0</v>
      </c>
      <c r="LS61" s="417">
        <f t="shared" si="37"/>
        <v>0</v>
      </c>
      <c r="LT61" s="417">
        <f>VLOOKUP($LS$8,'Jan-2026 rates'!$H:$I,2,0)</f>
        <v>0</v>
      </c>
      <c r="LU61" s="417">
        <f t="shared" si="38"/>
        <v>0</v>
      </c>
      <c r="LV61" s="417">
        <f>VLOOKUP($LU$8,'Jan-2026 rates'!$H:$I,2,0)</f>
        <v>0</v>
      </c>
      <c r="LW61" s="417">
        <f t="shared" si="39"/>
        <v>0</v>
      </c>
      <c r="LX61" s="417">
        <f t="shared" si="40"/>
        <v>0</v>
      </c>
      <c r="LY61" s="418">
        <f t="shared" si="41"/>
        <v>0</v>
      </c>
      <c r="LZ61" s="417"/>
      <c r="MA61" s="435">
        <f t="shared" si="42"/>
        <v>8</v>
      </c>
      <c r="MB61" s="282">
        <f t="shared" si="43"/>
        <v>53</v>
      </c>
      <c r="MC61" s="283">
        <v>16</v>
      </c>
      <c r="MD61" s="284" t="str">
        <f t="shared" si="44"/>
        <v>FLINTSL</v>
      </c>
      <c r="ME61" s="293" t="str">
        <f t="shared" si="45"/>
        <v>+</v>
      </c>
      <c r="MF61" s="293" t="str">
        <f t="shared" si="46"/>
        <v>NIL</v>
      </c>
      <c r="MG61" s="293" t="str">
        <f t="shared" si="47"/>
        <v>NIL</v>
      </c>
      <c r="MH61" s="293" t="str">
        <f t="shared" si="48"/>
        <v>NIL</v>
      </c>
      <c r="MI61" s="293" t="str">
        <f t="shared" si="49"/>
        <v>NIL</v>
      </c>
      <c r="MJ61" s="293" t="str">
        <f t="shared" si="50"/>
        <v>NIL</v>
      </c>
      <c r="MK61" s="293" t="str">
        <f t="shared" si="51"/>
        <v>NIL</v>
      </c>
      <c r="ML61" s="293" t="str">
        <f t="shared" si="52"/>
        <v>NIL</v>
      </c>
      <c r="MM61" s="3" t="b">
        <f t="array" ref="MM61">OR(ME61:ML61="-")</f>
        <v>0</v>
      </c>
      <c r="MN61" s="285"/>
      <c r="MO61" s="401"/>
      <c r="MP61" s="286"/>
      <c r="MQ61" s="286"/>
      <c r="MR61" s="402"/>
      <c r="MS61" s="400"/>
      <c r="NH61" s="422"/>
      <c r="NJ61" s="421"/>
    </row>
    <row r="62" spans="1:374" s="1" customFormat="1" ht="16.5">
      <c r="A62" s="403">
        <v>46026</v>
      </c>
      <c r="B62" s="404" t="s">
        <v>1018</v>
      </c>
      <c r="C62" s="405" t="s">
        <v>5130</v>
      </c>
      <c r="D62" s="406">
        <v>17</v>
      </c>
      <c r="E62" s="404">
        <v>493</v>
      </c>
      <c r="F62" s="407">
        <v>26600</v>
      </c>
      <c r="G62" s="407" t="s">
        <v>1019</v>
      </c>
      <c r="H62" s="408" t="s">
        <v>1017</v>
      </c>
      <c r="I62" s="409">
        <v>2.15</v>
      </c>
      <c r="J62" s="405" t="s">
        <v>543</v>
      </c>
      <c r="K62" s="404" t="s">
        <v>2914</v>
      </c>
      <c r="L62" s="419" t="str">
        <f t="shared" si="0"/>
        <v>FLINTSL - BLACK</v>
      </c>
      <c r="M62" s="404">
        <v>25</v>
      </c>
      <c r="N62" s="410">
        <f>IF(M62=0,0,IF($LB62=70%,VLOOKUP($L62,'Jan-2026 rates'!$L:$R,4,0),IF($LB62=65%,VLOOKUP($L62,'Jan-2026 rates'!$L:$R,4,0),IF($LB62=40%,VLOOKUP($L62,'Jan-2026 rates'!$L:$R,5,0),IF($LB62=30%,VLOOKUP($L62,'Jan-2026 rates'!$L:$R,6,0),IF($LB62=100%,VLOOKUP($L62,'Jan-2026 rates'!$L:$R,7,0),IF($LB62=60%,VLOOKUP($L62,'Jan-2026 rates'!$L:$S,8,0),IF($LB62=80%,VLOOKUP($L62,'Jan-2026 rates'!L:T,9,0),0))))))))</f>
        <v>0</v>
      </c>
      <c r="O62" s="406"/>
      <c r="P62" s="404"/>
      <c r="Q62" s="410">
        <f>IF(P62=0,0,IF($LB62=70%,VLOOKUP($L62,'Jan-2026 rates'!$L:$R,4,0),IF($LB62=65%,VLOOKUP($L62,'Jan-2026 rates'!$L:$R,4,0),IF($LB62=40%,VLOOKUP($L62,'Jan-2026 rates'!$L:$R,5,0),IF($LB62=30%,VLOOKUP($L62,'Jan-2026 rates'!$L:$R,6,0),IF($LB62=100%,VLOOKUP($L62,'Jan-2026 rates'!$L:$R,7,0),IF($LB62=60%,VLOOKUP($L62,'Jan-2026 rates'!$L:$S,8,0),IF($LB62=80%,VLOOKUP($L62,'Jan-2026 rates'!L:T,9,0),0))))))))</f>
        <v>0</v>
      </c>
      <c r="R62" s="406" t="s">
        <v>1266</v>
      </c>
      <c r="S62" s="406"/>
      <c r="T62" s="406"/>
      <c r="U62" s="406"/>
      <c r="V62" s="406"/>
      <c r="W62" s="406"/>
      <c r="X62" s="406"/>
      <c r="Y62" s="406"/>
      <c r="Z62" s="404">
        <v>7</v>
      </c>
      <c r="AA62" s="398">
        <f>IF(Z62=0,0,IF(LEN(R62)=11,_xlfn.XLOOKUP(R62,'Dispensed Ink Rates'!C:C,'Dispensed Ink Rates'!CS:CS),VLOOKUP(R62,'Jan-2026 rates'!$E:$F,2,0)))</f>
        <v>0</v>
      </c>
      <c r="AB62" s="404"/>
      <c r="AC62" s="398">
        <f>IF(AB62=0,0,IF(LEN(S62)=11,_xlfn.XLOOKUP(S62,'Dispensed Ink Rates'!C:C,'Dispensed Ink Rates'!CS:CS),VLOOKUP(S62,'Jan-2026 rates'!$E:$F,2,0)))</f>
        <v>0</v>
      </c>
      <c r="AD62" s="404"/>
      <c r="AE62" s="398">
        <f>IF(AD62=0,0,IF(LEN(T62)=11,_xlfn.XLOOKUP(T62,'Dispensed Ink Rates'!C:C,'Dispensed Ink Rates'!CS:CS),VLOOKUP(T62,'Jan-2026 rates'!$E:$F,2,0)))</f>
        <v>0</v>
      </c>
      <c r="AF62" s="404"/>
      <c r="AG62" s="398">
        <f>IF(AF62=0,0,IF(LEN(U62)=11,_xlfn.XLOOKUP(U62,'Dispensed Ink Rates'!C:C,'Dispensed Ink Rates'!CS:CS),VLOOKUP(U62,'Jan-2026 rates'!$E:$F,2,0)))</f>
        <v>0</v>
      </c>
      <c r="AH62" s="404"/>
      <c r="AI62" s="398">
        <f>IF(AH62=0,0,IF(LEN(V62)=11,_xlfn.XLOOKUP(V62,'Dispensed Ink Rates'!C:C,'Dispensed Ink Rates'!CS:CS),VLOOKUP(V62,'Jan-2026 rates'!$E:$F,2,0)))</f>
        <v>0</v>
      </c>
      <c r="AJ62" s="404"/>
      <c r="AK62" s="398">
        <f>IF(AJ62=0,0,IF(LEN(W62)=11,_xlfn.XLOOKUP(W62,'Dispensed Ink Rates'!C:C,'Dispensed Ink Rates'!CS:CS),VLOOKUP(W62,'Jan-2026 rates'!$E:$F,2,0)))</f>
        <v>0</v>
      </c>
      <c r="AL62" s="404"/>
      <c r="AM62" s="398">
        <f>IF(AL62=0,0,IF(LEN(X62)=11,_xlfn.XLOOKUP(X62,'Dispensed Ink Rates'!C:C,'Dispensed Ink Rates'!CS:CS),VLOOKUP(X62,'Jan-2026 rates'!$E:$F,2,0)))</f>
        <v>0</v>
      </c>
      <c r="AN62" s="404"/>
      <c r="AO62" s="398">
        <f>IF(AN62=0,0,IF(LEN(Y62)=11,_xlfn.XLOOKUP(Y62,'Dispensed Ink Rates'!C:C,'Dispensed Ink Rates'!CS:CS),VLOOKUP(Y62,'Jan-2026 rates'!$E:$F,2,0)))</f>
        <v>0</v>
      </c>
      <c r="AP62" s="409" t="s">
        <v>1443</v>
      </c>
      <c r="AQ62" s="409">
        <v>29</v>
      </c>
      <c r="AR62" s="410">
        <f t="shared" si="1"/>
        <v>0</v>
      </c>
      <c r="AS62" s="411">
        <f t="shared" si="2"/>
        <v>17.485294117647058</v>
      </c>
      <c r="AT62" s="410">
        <f t="shared" si="3"/>
        <v>0</v>
      </c>
      <c r="AU62" s="405" t="s">
        <v>543</v>
      </c>
      <c r="AV62" s="409" t="s">
        <v>2914</v>
      </c>
      <c r="AW62" s="420" t="str">
        <f t="shared" si="53"/>
        <v>FLINTSL - BLACK</v>
      </c>
      <c r="AX62" s="409">
        <v>24</v>
      </c>
      <c r="AY62" s="411">
        <f>IF(AX62=0,0,IF($LB62=70%,VLOOKUP($AW62,'Jan-2026 rates'!$L:$R,4,0),IF($LB62=65%,VLOOKUP($AW62,'Jan-2026 rates'!$L:$R,4,0),IF($LB62=40%,VLOOKUP($AW62,'Jan-2026 rates'!$L:$R,5,0),IF($LB62=30%,VLOOKUP($AW62,'Jan-2026 rates'!$L:$R,6,0),IF($LB62=100%,VLOOKUP($AW62,'Jan-2026 rates'!$L:$R,7,0),IF($LB62=60%,VLOOKUP($AW62,'Jan-2026 rates'!$L:$S,8,0),IF($LB62=80%,VLOOKUP($AW62,'Jan-2026 rates'!L:T,9,0),0))))))))</f>
        <v>0</v>
      </c>
      <c r="AZ62" s="412"/>
      <c r="BA62" s="409"/>
      <c r="BB62" s="411">
        <f>IF(BA62=0,0,IF($LB62=70%,VLOOKUP($AW62,'Jan-2026 rates'!$L:$R,4,0),IF($LB62=65%,VLOOKUP($AW62,'Jan-2026 rates'!$L:$R,4,0),IF($LB62=40%,VLOOKUP($AW62,'Jan-2026 rates'!$L:$R,5,0),IF($LB62=30%,VLOOKUP($AW62,'Jan-2026 rates'!$L:$R,6,0),IF($LB62=100%,VLOOKUP($AW62,'Jan-2026 rates'!$L:$R,7,0),IF($LB62=60%,VLOOKUP($AW62,'Jan-2026 rates'!$L:$S,8,0),IF($LB62=80%,VLOOKUP($AW62,'Jan-2026 rates'!L:T,9,0),0))))))))</f>
        <v>0</v>
      </c>
      <c r="BC62" s="413">
        <v>26503000005</v>
      </c>
      <c r="BD62" s="412">
        <v>25862000010</v>
      </c>
      <c r="BE62" s="412"/>
      <c r="BF62" s="413"/>
      <c r="BG62" s="412"/>
      <c r="BH62" s="412"/>
      <c r="BI62" s="412"/>
      <c r="BJ62" s="412"/>
      <c r="BK62" s="409">
        <v>3</v>
      </c>
      <c r="BL62" s="398" t="e">
        <f>IF(BK62=0,0,IF(LEN(BC62)=11,_xlfn.XLOOKUP(BC62,'Dispensed Ink Rates'!C:C,'Dispensed Ink Rates'!CS:CS),VLOOKUP(BC62,'Jan-2026 rates'!$E:$F,2,0)))</f>
        <v>#N/A</v>
      </c>
      <c r="BM62" s="409">
        <f>3+1</f>
        <v>4</v>
      </c>
      <c r="BN62" s="398" t="e">
        <f>IF(BM62=0,0,IF(LEN(BD62)=11,_xlfn.XLOOKUP(BD62,'Dispensed Ink Rates'!C:C,'Dispensed Ink Rates'!CS:CS),VLOOKUP(BD62,'Jan-2026 rates'!$E:$F,2,0)))</f>
        <v>#N/A</v>
      </c>
      <c r="BO62" s="409"/>
      <c r="BP62" s="398">
        <f>IF(BO62=0,0,IF(LEN(BE62)=11,_xlfn.XLOOKUP(BE62,'Dispensed Ink Rates'!C:C,'Dispensed Ink Rates'!CS:CS),VLOOKUP(BE62,'Jan-2026 rates'!$E:$F,2,0)))</f>
        <v>0</v>
      </c>
      <c r="BQ62" s="409"/>
      <c r="BR62" s="398">
        <f>IF(BQ62=0,0,IF(LEN(BF62)=11,_xlfn.XLOOKUP(BF62,'Dispensed Ink Rates'!C:C,'Dispensed Ink Rates'!CS:CS),VLOOKUP(BF62,'Jan-2026 rates'!$E:$F,2,0)))</f>
        <v>0</v>
      </c>
      <c r="BS62" s="409"/>
      <c r="BT62" s="398">
        <f>IF(BS62=0,0,IF(LEN(BG62)=11,_xlfn.XLOOKUP(BG62,'Dispensed Ink Rates'!C:C,'Dispensed Ink Rates'!CS:CS),VLOOKUP(BG62,'Jan-2026 rates'!$E:$F,2,0)))</f>
        <v>0</v>
      </c>
      <c r="BU62" s="409"/>
      <c r="BV62" s="398">
        <f>IF(BU62=0,0,IF(LEN(BH62)=11,_xlfn.XLOOKUP(BH62,'Dispensed Ink Rates'!C:C,'Dispensed Ink Rates'!CS:CS),VLOOKUP(BH62,'Jan-2026 rates'!$E:$F,2,0)))</f>
        <v>0</v>
      </c>
      <c r="BW62" s="409"/>
      <c r="BX62" s="398">
        <f>IF(BW62=0,0,IF(LEN(BI62)=11,_xlfn.XLOOKUP(BI62,'Dispensed Ink Rates'!C:C,'Dispensed Ink Rates'!CS:CS),VLOOKUP(BI62,'Jan-2026 rates'!$E:$F,2,0)))</f>
        <v>0</v>
      </c>
      <c r="BY62" s="409"/>
      <c r="BZ62" s="398">
        <f>IF(BY62=0,0,IF(LEN(BJ62)=11,_xlfn.XLOOKUP(BJ62,'Dispensed Ink Rates'!C:C,'Dispensed Ink Rates'!CS:CS),VLOOKUP(BJ62,'Jan-2026 rates'!$E:$F,2,0)))</f>
        <v>0</v>
      </c>
      <c r="CA62" s="409" t="s">
        <v>1443</v>
      </c>
      <c r="CB62" s="409">
        <v>32</v>
      </c>
      <c r="CC62" s="411">
        <f t="shared" si="5"/>
        <v>0</v>
      </c>
      <c r="CD62" s="411">
        <f t="shared" si="6"/>
        <v>19.279411764705884</v>
      </c>
      <c r="CE62" s="410">
        <f t="shared" si="7"/>
        <v>0</v>
      </c>
      <c r="CF62" s="404" t="s">
        <v>857</v>
      </c>
      <c r="CG62" s="409"/>
      <c r="CH62" s="420" t="str">
        <f t="shared" si="8"/>
        <v>FLINTSL - RED</v>
      </c>
      <c r="CI62" s="409"/>
      <c r="CJ62" s="411">
        <f>IF(CI62=0,0,IF($LB62=70%,VLOOKUP($CH62,'Jan-2026 rates'!$L:$R,4,0),IF($LB62=65%,VLOOKUP($CH62,'Jan-2026 rates'!$L:$R,4,0),IF($LB62=40%,VLOOKUP($CH62,'Jan-2026 rates'!$L:$R,5,0),IF($LB62=30%,VLOOKUP($CH62,'Jan-2026 rates'!$L:$R,6,0),IF($LB62=100%,VLOOKUP($CH62,'Jan-2026 rates'!$L:$R,7,0),IF($LB62=60%,VLOOKUP($CH62,'Jan-2026 rates'!$L:$S,8,0),IF($LB62=80%,VLOOKUP($CH62,'Jan-2026 rates'!L:T,9,0),0))))))))</f>
        <v>0</v>
      </c>
      <c r="CK62" s="412"/>
      <c r="CL62" s="409"/>
      <c r="CM62" s="411">
        <f>IF(CL62=0,0,IF($LB62=70%,VLOOKUP($CH62,'Jan-2026 rates'!$L:$R,4,0),IF($LB62=65%,VLOOKUP($CH62,'Jan-2026 rates'!$L:$R,4,0),IF($LB62=40%,VLOOKUP($CH62,'Jan-2026 rates'!$L:$R,5,0),IF($LB62=30%,VLOOKUP($CH62,'Jan-2026 rates'!$L:$R,6,0),IF($LB62=100%,VLOOKUP($CH62,'Jan-2026 rates'!$L:$R,7,0),IF($LB62=60%,VLOOKUP($CH62,'Jan-2026 rates'!$L:$S,8,0),IF($LB62=80%,VLOOKUP($CH62,'Jan-2026 rates'!L:T,9,0),0))))))))</f>
        <v>0</v>
      </c>
      <c r="CN62" s="426">
        <v>26503000003</v>
      </c>
      <c r="CO62" s="427">
        <v>26505000001</v>
      </c>
      <c r="CP62" s="426">
        <v>26505000003</v>
      </c>
      <c r="CQ62" s="426">
        <v>25863000019</v>
      </c>
      <c r="CR62" s="428"/>
      <c r="CS62" s="428"/>
      <c r="CT62" s="428"/>
      <c r="CU62" s="428"/>
      <c r="CV62" s="409">
        <v>5</v>
      </c>
      <c r="CW62" s="398" t="e">
        <f>IF(CV62=0,0,IF(LEN(CN62)=11,_xlfn.XLOOKUP(CN62,'Dispensed Ink Rates'!C:C,'Dispensed Ink Rates'!CS:CS),VLOOKUP(CN62,'Jan-2026 rates'!$E:$F,2,0)))</f>
        <v>#N/A</v>
      </c>
      <c r="CX62" s="409">
        <v>40</v>
      </c>
      <c r="CY62" s="398" t="e">
        <f>IF(CX62=0,0,IF(LEN(CO62)=11,_xlfn.XLOOKUP(CO62,'Dispensed Ink Rates'!C:C,'Dispensed Ink Rates'!CS:CS),VLOOKUP(CO62,'Jan-2026 rates'!$E:$F,2,0)))</f>
        <v>#N/A</v>
      </c>
      <c r="CZ62" s="409">
        <v>25</v>
      </c>
      <c r="DA62" s="398" t="e">
        <f>IF(CZ62=0,0,IF(LEN(CP62)=11,_xlfn.XLOOKUP(CP62,'Dispensed Ink Rates'!C:C,'Dispensed Ink Rates'!CS:CS),VLOOKUP(CP62,'Jan-2026 rates'!$E:$F,2,0)))</f>
        <v>#N/A</v>
      </c>
      <c r="DB62" s="409">
        <v>10</v>
      </c>
      <c r="DC62" s="398" t="e">
        <f>IF(DB62=0,0,IF(LEN(CQ62)=11,_xlfn.XLOOKUP(CQ62,'Dispensed Ink Rates'!C:C,'Dispensed Ink Rates'!CS:CS),VLOOKUP(CQ62,'Jan-2026 rates'!$E:$F,2,0)))</f>
        <v>#N/A</v>
      </c>
      <c r="DD62" s="409"/>
      <c r="DE62" s="398">
        <f>IF(DD62=0,0,IF(LEN(CR62)=11,_xlfn.XLOOKUP(CR62,'Dispensed Ink Rates'!C:C,'Dispensed Ink Rates'!CS:CS),VLOOKUP(CR62,'Jan-2026 rates'!$E:$F,2,0)))</f>
        <v>0</v>
      </c>
      <c r="DF62" s="409"/>
      <c r="DG62" s="398">
        <f>IF(DF62=0,0,IF(LEN(CS62)=11,_xlfn.XLOOKUP(CS62,'Dispensed Ink Rates'!C:C,'Dispensed Ink Rates'!CS:CS),VLOOKUP(CS62,'Jan-2026 rates'!$E:$F,2,0)))</f>
        <v>0</v>
      </c>
      <c r="DH62" s="409"/>
      <c r="DI62" s="398">
        <f>IF(DH62=0,0,IF(LEN(CT62)=11,_xlfn.XLOOKUP(CT62,'Dispensed Ink Rates'!C:C,'Dispensed Ink Rates'!CS:CS),VLOOKUP(CT62,'Jan-2026 rates'!$E:$F,2,0)))</f>
        <v>0</v>
      </c>
      <c r="DJ62" s="409"/>
      <c r="DK62" s="398">
        <f>IF(DJ62=0,0,IF(LEN(CU62)=11,_xlfn.XLOOKUP(CU62,'Dispensed Ink Rates'!C:C,'Dispensed Ink Rates'!CS:CS),VLOOKUP(CU62,'Jan-2026 rates'!$E:$F,2,0)))</f>
        <v>0</v>
      </c>
      <c r="DL62" s="409" t="s">
        <v>1443</v>
      </c>
      <c r="DM62" s="409">
        <v>20</v>
      </c>
      <c r="DN62" s="411">
        <f t="shared" si="9"/>
        <v>0</v>
      </c>
      <c r="DO62" s="411">
        <f t="shared" si="10"/>
        <v>94.764705882352942</v>
      </c>
      <c r="DP62" s="410">
        <f t="shared" si="11"/>
        <v>0</v>
      </c>
      <c r="DQ62" s="405" t="s">
        <v>855</v>
      </c>
      <c r="DR62" s="409" t="s">
        <v>2915</v>
      </c>
      <c r="DS62" s="420" t="str">
        <f t="shared" si="12"/>
        <v>FLINTSL - CYAN</v>
      </c>
      <c r="DT62" s="409">
        <v>23</v>
      </c>
      <c r="DU62" s="411">
        <f>IF(DT62=0,0,IF($LB62=70%,VLOOKUP($DS62,'Jan-2026 rates'!$L:$R,4,0),IF($LB62=65%,VLOOKUP($DS62,'Jan-2026 rates'!$L:$R,4,0),IF($LB62=40%,VLOOKUP($DS62,'Jan-2026 rates'!$L:$R,5,0),IF($LB62=30%,VLOOKUP($DS62,'Jan-2026 rates'!$L:$R,6,0),IF($LB62=100%,VLOOKUP($DS62,'Jan-2026 rates'!$L:$R,7,0),IF($LB62=60%,VLOOKUP($DS62,'Jan-2026 rates'!$L:$S,8,0),IF($LB62=80%,VLOOKUP($DS62,'Jan-2026 rates'!L:T,9,0),0))))))))</f>
        <v>0</v>
      </c>
      <c r="DV62" s="412"/>
      <c r="DW62" s="409"/>
      <c r="DX62" s="411">
        <f>IF(DW62=0,0,IF($LB62=70%,VLOOKUP($DS62,'Jan-2026 rates'!$L:$R,4,0),IF($LB62=65%,VLOOKUP($DS62,'Jan-2026 rates'!$L:$R,4,0),IF($LB62=40%,VLOOKUP($DS62,'Jan-2026 rates'!$L:$R,5,0),IF($LB62=30%,VLOOKUP($DS62,'Jan-2026 rates'!$L:$R,6,0),IF($LB62=100%,VLOOKUP($DS62,'Jan-2026 rates'!$L:$R,7,0),IF($LB62=60%,VLOOKUP($DS62,'Jan-2026 rates'!$L:$S,8,0),IF($LB62=80%,VLOOKUP($DS62,'Jan-2026 rates'!L:T,9,0),0))))))))</f>
        <v>0</v>
      </c>
      <c r="DY62" s="413" t="s">
        <v>1266</v>
      </c>
      <c r="DZ62" s="413"/>
      <c r="EA62" s="412"/>
      <c r="EB62" s="412"/>
      <c r="EC62" s="412"/>
      <c r="ED62" s="412"/>
      <c r="EE62" s="412"/>
      <c r="EF62" s="412"/>
      <c r="EG62" s="409">
        <v>10</v>
      </c>
      <c r="EH62" s="398">
        <f>IF(EG62=0,0,IF(LEN(DY62)=11,_xlfn.XLOOKUP(DY62,'Dispensed Ink Rates'!C:C,'Dispensed Ink Rates'!CS:CS),VLOOKUP(DY62,'Jan-2026 rates'!$E:$F,2,0)))</f>
        <v>0</v>
      </c>
      <c r="EI62" s="409"/>
      <c r="EJ62" s="398">
        <f>IF(EI62=0,0,IF(LEN(DZ62)=11,_xlfn.XLOOKUP(DZ62,'Dispensed Ink Rates'!C:C,'Dispensed Ink Rates'!CS:CS),VLOOKUP(DZ62,'Jan-2026 rates'!$E:$F,2,0)))</f>
        <v>0</v>
      </c>
      <c r="EK62" s="409"/>
      <c r="EL62" s="398">
        <f>IF(EK62=0,0,IF(LEN(EA62)=11,_xlfn.XLOOKUP(EA62,'Dispensed Ink Rates'!C:C,'Dispensed Ink Rates'!CS:CS),VLOOKUP(EA62,'Jan-2026 rates'!$E:$F,2,0)))</f>
        <v>0</v>
      </c>
      <c r="EM62" s="409"/>
      <c r="EN62" s="398">
        <f>IF(EM62=0,0,IF(LEN(EB62)=11,_xlfn.XLOOKUP(EB62,'Dispensed Ink Rates'!C:C,'Dispensed Ink Rates'!CS:CS),VLOOKUP(EB62,'Jan-2026 rates'!$E:$F,2,0)))</f>
        <v>0</v>
      </c>
      <c r="EO62" s="409"/>
      <c r="EP62" s="398">
        <f>IF(EO62=0,0,IF(LEN(EC62)=11,_xlfn.XLOOKUP(EC62,'Dispensed Ink Rates'!C:C,'Dispensed Ink Rates'!CS:CS),VLOOKUP(EC62,'Jan-2026 rates'!$E:$F,2,0)))</f>
        <v>0</v>
      </c>
      <c r="EQ62" s="409"/>
      <c r="ER62" s="398">
        <f>IF(EQ62=0,0,IF(LEN(ED62)=11,_xlfn.XLOOKUP(ED62,'Dispensed Ink Rates'!C:C,'Dispensed Ink Rates'!CS:CS),VLOOKUP(ED62,'Jan-2026 rates'!$E:$F,2,0)))</f>
        <v>0</v>
      </c>
      <c r="ES62" s="409"/>
      <c r="ET62" s="398">
        <f>IF(ES62=0,0,IF(LEN(EE62)=11,_xlfn.XLOOKUP(EE62,'Dispensed Ink Rates'!C:C,'Dispensed Ink Rates'!CS:CS),VLOOKUP(EE62,'Jan-2026 rates'!$E:$F,2,0)))</f>
        <v>0</v>
      </c>
      <c r="EU62" s="409"/>
      <c r="EV62" s="398">
        <f>IF(EU62=0,0,IF(LEN(EF62)=11,_xlfn.XLOOKUP(EF62,'Dispensed Ink Rates'!C:C,'Dispensed Ink Rates'!CS:CS),VLOOKUP(EF62,'Jan-2026 rates'!$E:$F,2,0)))</f>
        <v>0</v>
      </c>
      <c r="EW62" s="409" t="s">
        <v>1443</v>
      </c>
      <c r="EX62" s="409">
        <v>28</v>
      </c>
      <c r="EY62" s="411">
        <f t="shared" si="13"/>
        <v>0</v>
      </c>
      <c r="EZ62" s="411">
        <f t="shared" si="14"/>
        <v>19.485294117647058</v>
      </c>
      <c r="FA62" s="410">
        <f t="shared" si="15"/>
        <v>0</v>
      </c>
      <c r="FB62" s="405" t="s">
        <v>544</v>
      </c>
      <c r="FC62" s="409" t="s">
        <v>2916</v>
      </c>
      <c r="FD62" s="420" t="str">
        <f t="shared" si="16"/>
        <v>FLINTSL - MAGENTA</v>
      </c>
      <c r="FE62" s="409">
        <v>27</v>
      </c>
      <c r="FF62" s="411">
        <f>IF(FE62=0,0,IF($LB62=70%,VLOOKUP($FD62,'Jan-2026 rates'!$L:$R,4,0),IF($LB62=65%,VLOOKUP($FD62,'Jan-2026 rates'!$L:$R,4,0),IF($LB62=40%,VLOOKUP($FD62,'Jan-2026 rates'!$L:$R,5,0),IF($LB62=30%,VLOOKUP($FD62,'Jan-2026 rates'!$L:$R,6,0),IF($LB62=100%,VLOOKUP($FD62,'Jan-2026 rates'!$L:$R,7,0),IF($LB62=60%,VLOOKUP($FD62,'Jan-2026 rates'!$L:$S,8,0),IF($LB62=80%,VLOOKUP($FD62,'Jan-2026 rates'!L:T,9,0),0))))))))</f>
        <v>0</v>
      </c>
      <c r="FG62" s="412"/>
      <c r="FH62" s="409"/>
      <c r="FI62" s="411">
        <f>IF(FH62=0,0,IF($LB62=70%,VLOOKUP($FD62,'Jan-2026 rates'!$L:$R,4,0),IF($LB62=65%,VLOOKUP($FD62,'Jan-2026 rates'!$L:$R,4,0),IF($LB62=40%,VLOOKUP($FD62,'Jan-2026 rates'!$L:$R,5,0),IF($LB62=30%,VLOOKUP($FD62,'Jan-2026 rates'!$L:$R,6,0),IF($LB62=100%,VLOOKUP($FD62,'Jan-2026 rates'!$L:$R,7,0),IF($LB62=60%,VLOOKUP($FD62,'Jan-2026 rates'!$L:$S,8,0),IF($LB62=80%,VLOOKUP($FD62,'Jan-2026 rates'!L:T,9,0),0))))))))</f>
        <v>0</v>
      </c>
      <c r="FJ62" s="413">
        <v>26504000005</v>
      </c>
      <c r="FK62" s="413"/>
      <c r="FL62" s="413"/>
      <c r="FM62" s="412"/>
      <c r="FN62" s="412"/>
      <c r="FO62" s="412"/>
      <c r="FP62" s="412"/>
      <c r="FQ62" s="412"/>
      <c r="FR62" s="409">
        <v>4</v>
      </c>
      <c r="FS62" s="398" t="e">
        <f>IF(FR62=0,0,IF(LEN(FJ62)=11,_xlfn.XLOOKUP(FJ62,'Dispensed Ink Rates'!C:C,'Dispensed Ink Rates'!CS:CS),VLOOKUP(FJ62,'Jan-2026 rates'!$E:$F,2,0)))</f>
        <v>#N/A</v>
      </c>
      <c r="FT62" s="409"/>
      <c r="FU62" s="398">
        <f>IF(FT62=0,0,IF(LEN(FK62)=11,_xlfn.XLOOKUP(FK62,'Dispensed Ink Rates'!C:C,'Dispensed Ink Rates'!CS:CS),VLOOKUP(FK62,'Jan-2026 rates'!$E:$F,2,0)))</f>
        <v>0</v>
      </c>
      <c r="FV62" s="409"/>
      <c r="FW62" s="398">
        <f>IF(FV62=0,0,IF(LEN(FL62)=11,_xlfn.XLOOKUP(FL62,'Dispensed Ink Rates'!C:C,'Dispensed Ink Rates'!CS:CS),VLOOKUP(FL62,'Jan-2026 rates'!$E:$F,2,0)))</f>
        <v>0</v>
      </c>
      <c r="FX62" s="409"/>
      <c r="FY62" s="398">
        <f>IF(FX62=0,0,IF(LEN(FM62)=11,_xlfn.XLOOKUP(FM62,'Dispensed Ink Rates'!C:C,'Dispensed Ink Rates'!CS:CS),VLOOKUP(FM62,'Jan-2026 rates'!$E:$F,2,0)))</f>
        <v>0</v>
      </c>
      <c r="FZ62" s="409"/>
      <c r="GA62" s="398">
        <f>IF(FZ62=0,0,IF(LEN(FN62)=11,_xlfn.XLOOKUP(FN62,'Dispensed Ink Rates'!C:C,'Dispensed Ink Rates'!CS:CS),VLOOKUP(FN62,'Jan-2026 rates'!$E:$F,2,0)))</f>
        <v>0</v>
      </c>
      <c r="GB62" s="409"/>
      <c r="GC62" s="398">
        <f>IF(GB62=0,0,IF(LEN(FO62)=11,_xlfn.XLOOKUP(FO62,'Dispensed Ink Rates'!C:C,'Dispensed Ink Rates'!CS:CS),VLOOKUP(FO62,'Jan-2026 rates'!$E:$F,2,0)))</f>
        <v>0</v>
      </c>
      <c r="GD62" s="409"/>
      <c r="GE62" s="398">
        <f>IF(GD62=0,0,IF(LEN(FP62)=11,_xlfn.XLOOKUP(FP62,'Dispensed Ink Rates'!C:C,'Dispensed Ink Rates'!CS:CS),VLOOKUP(FP62,'Jan-2026 rates'!$E:$F,2,0)))</f>
        <v>0</v>
      </c>
      <c r="GF62" s="409"/>
      <c r="GG62" s="398">
        <f>IF(GF62=0,0,IF(LEN(FQ62)=11,_xlfn.XLOOKUP(FQ62,'Dispensed Ink Rates'!C:C,'Dispensed Ink Rates'!CS:CS),VLOOKUP(FQ62,'Jan-2026 rates'!$E:$F,2,0)))</f>
        <v>0</v>
      </c>
      <c r="GH62" s="409" t="s">
        <v>1443</v>
      </c>
      <c r="GI62" s="409">
        <v>26</v>
      </c>
      <c r="GJ62" s="411">
        <f t="shared" si="17"/>
        <v>0</v>
      </c>
      <c r="GK62" s="411">
        <f t="shared" si="18"/>
        <v>10.794117647058826</v>
      </c>
      <c r="GL62" s="410">
        <f t="shared" si="19"/>
        <v>0</v>
      </c>
      <c r="GM62" s="405" t="s">
        <v>545</v>
      </c>
      <c r="GN62" s="409" t="s">
        <v>2917</v>
      </c>
      <c r="GO62" s="420" t="str">
        <f t="shared" si="20"/>
        <v>FLINTSL - YELLOW</v>
      </c>
      <c r="GP62" s="409">
        <v>28</v>
      </c>
      <c r="GQ62" s="411">
        <f>IF(GP62=0,0,IF($LB62=70%,VLOOKUP($GO62,'Jan-2026 rates'!$L:$R,4,0),IF($LB62=65%,VLOOKUP($GO62,'Jan-2026 rates'!$L:$R,4,0),IF($LB62=40%,VLOOKUP($GO62,'Jan-2026 rates'!$L:$R,5,0),IF($LB62=30%,VLOOKUP($GO62,'Jan-2026 rates'!$L:$R,6,0),IF($LB62=100%,VLOOKUP($GO62,'Jan-2026 rates'!$L:$R,7,0),IF($LB62=60%,VLOOKUP($GO62,'Jan-2026 rates'!$L:$S,8,0),IF($LB62=80%,VLOOKUP($GO62,'Jan-2026 rates'!L:T,9,0),0))))))))</f>
        <v>0</v>
      </c>
      <c r="GR62" s="412"/>
      <c r="GS62" s="409"/>
      <c r="GT62" s="411">
        <f>IF(GS62=0,0,IF($LB62=70%,VLOOKUP($GO62,'Jan-2026 rates'!$L:$R,4,0),IF($LB62=65%,VLOOKUP($GO62,'Jan-2026 rates'!$L:$R,4,0),IF($LB62=40%,VLOOKUP($GO62,'Jan-2026 rates'!$L:$R,5,0),IF($LB62=30%,VLOOKUP($GO62,'Jan-2026 rates'!$L:$R,6,0),IF($LB62=100%,VLOOKUP($GO62,'Jan-2026 rates'!$L:$R,7,0),IF($LB62=60%,VLOOKUP($GO62,'Jan-2026 rates'!$L:$S,8,0),IF($LB62=80%,VLOOKUP($GO62,'Jan-2026 rates'!L:T,9,0),0))))))))</f>
        <v>0</v>
      </c>
      <c r="GU62" s="413">
        <v>26503000002</v>
      </c>
      <c r="GV62" s="413"/>
      <c r="GW62" s="412"/>
      <c r="GX62" s="412"/>
      <c r="GY62" s="412"/>
      <c r="GZ62" s="412"/>
      <c r="HA62" s="412"/>
      <c r="HB62" s="412"/>
      <c r="HC62" s="409">
        <v>5</v>
      </c>
      <c r="HD62" s="398" t="e">
        <f>IF(HC62=0,0,IF(LEN(GU62)=11,_xlfn.XLOOKUP(GU62,'Dispensed Ink Rates'!C:C,'Dispensed Ink Rates'!CS:CS),VLOOKUP(GU62,'Jan-2026 rates'!$E:$F,2,0)))</f>
        <v>#N/A</v>
      </c>
      <c r="HE62" s="409"/>
      <c r="HF62" s="398">
        <f>IF(HE62=0,0,IF(LEN(GV62)=11,_xlfn.XLOOKUP(GV62,'Dispensed Ink Rates'!C:C,'Dispensed Ink Rates'!CS:CS),VLOOKUP(GV62,'Jan-2026 rates'!$E:$F,2,0)))</f>
        <v>0</v>
      </c>
      <c r="HG62" s="409"/>
      <c r="HH62" s="398">
        <f>IF(HG62=0,0,IF(LEN(GW62)=11,_xlfn.XLOOKUP(GW62,'Dispensed Ink Rates'!C:C,'Dispensed Ink Rates'!CS:CS),VLOOKUP(GW62,'Jan-2026 rates'!$E:$F,2,0)))</f>
        <v>0</v>
      </c>
      <c r="HI62" s="409"/>
      <c r="HJ62" s="398">
        <f>IF(HI62=0,0,IF(LEN(GX62)=11,_xlfn.XLOOKUP(GX62,'Dispensed Ink Rates'!C:C,'Dispensed Ink Rates'!CS:CS),VLOOKUP(GX62,'Jan-2026 rates'!$E:$F,2,0)))</f>
        <v>0</v>
      </c>
      <c r="HK62" s="409"/>
      <c r="HL62" s="398">
        <f>IF(HK62=0,0,IF(LEN(GY62)=11,_xlfn.XLOOKUP(GY62,'Dispensed Ink Rates'!C:C,'Dispensed Ink Rates'!CS:CS),VLOOKUP(GY62,'Jan-2026 rates'!$E:$F,2,0)))</f>
        <v>0</v>
      </c>
      <c r="HM62" s="409"/>
      <c r="HN62" s="398">
        <f>IF(HM62=0,0,IF(LEN(GZ62)=11,_xlfn.XLOOKUP(GZ62,'Dispensed Ink Rates'!C:C,'Dispensed Ink Rates'!CS:CS),VLOOKUP(GZ62,'Jan-2026 rates'!$E:$F,2,0)))</f>
        <v>0</v>
      </c>
      <c r="HO62" s="409"/>
      <c r="HP62" s="398">
        <f>IF(HO62=0,0,IF(LEN(HA62)=11,_xlfn.XLOOKUP(HA62,'Dispensed Ink Rates'!C:C,'Dispensed Ink Rates'!CS:CS),VLOOKUP(HA62,'Jan-2026 rates'!$E:$F,2,0)))</f>
        <v>0</v>
      </c>
      <c r="HQ62" s="409"/>
      <c r="HR62" s="398">
        <f>IF(HQ62=0,0,IF(LEN(HB62)=11,_xlfn.XLOOKUP(HB62,'Dispensed Ink Rates'!C:C,'Dispensed Ink Rates'!CS:CS),VLOOKUP(HB62,'Jan-2026 rates'!$E:$F,2,0)))</f>
        <v>0</v>
      </c>
      <c r="HS62" s="409" t="s">
        <v>1443</v>
      </c>
      <c r="HT62" s="409">
        <v>27</v>
      </c>
      <c r="HU62" s="411">
        <f t="shared" si="21"/>
        <v>0</v>
      </c>
      <c r="HV62" s="411">
        <f t="shared" si="22"/>
        <v>11.794117647058826</v>
      </c>
      <c r="HW62" s="414">
        <f t="shared" si="23"/>
        <v>0</v>
      </c>
      <c r="HX62" s="405" t="s">
        <v>545</v>
      </c>
      <c r="HY62" s="409" t="s">
        <v>2918</v>
      </c>
      <c r="HZ62" s="420" t="str">
        <f t="shared" si="24"/>
        <v>FLINTSL - YELLOW</v>
      </c>
      <c r="IA62" s="409">
        <v>25</v>
      </c>
      <c r="IB62" s="411">
        <f>IF(IA62=0,0,IF($LB62=70%,VLOOKUP($HZ62,'Jan-2026 rates'!$L:$R,4,0),IF($LB62=65%,VLOOKUP($HZ62,'Jan-2026 rates'!$L:$R,4,0),IF($LB62=40%,VLOOKUP($HZ62,'Jan-2026 rates'!$L:$R,5,0),IF($LB62=30%,VLOOKUP($HZ62,'Jan-2026 rates'!$L:$R,6,0),IF($LB62=100%,VLOOKUP($HZ62,'Jan-2026 rates'!$L:$R,7,0),IF($LB62=60%,VLOOKUP($HZ62,'Jan-2026 rates'!$L:$S,8,0),IF($LB62=80%,VLOOKUP($HZ62,'Jan-2026 rates'!L:T,9,0),0))))))))</f>
        <v>0</v>
      </c>
      <c r="IC62" s="412"/>
      <c r="ID62" s="409"/>
      <c r="IE62" s="411">
        <f>IF(ID62=0,0,IF($LB62=70%,VLOOKUP($HZ62,'Jan-2026 rates'!$L:$R,4,0),IF($LB62=65%,VLOOKUP($HZ62,'Jan-2026 rates'!$L:$R,4,0),IF($LB62=40%,VLOOKUP($HZ62,'Jan-2026 rates'!$L:$R,5,0),IF($LB62=30%,VLOOKUP($HZ62,'Jan-2026 rates'!$L:$R,6,0),IF($LB62=100%,VLOOKUP($HZ62,'Jan-2026 rates'!$L:$R,7,0),IF($LB62=60%,VLOOKUP($HZ62,'Jan-2026 rates'!$L:$S,8,0),IF($LB62=80%,VLOOKUP($HZ62,'Jan-2026 rates'!L:T,9,0),0))))))))</f>
        <v>0</v>
      </c>
      <c r="IF62" s="412">
        <v>25862000014</v>
      </c>
      <c r="IG62" s="413">
        <v>26503000002</v>
      </c>
      <c r="IH62" s="412"/>
      <c r="II62" s="412"/>
      <c r="IJ62" s="412"/>
      <c r="IK62" s="412"/>
      <c r="IL62" s="412"/>
      <c r="IM62" s="412"/>
      <c r="IN62" s="409">
        <v>1</v>
      </c>
      <c r="IO62" s="398" t="e">
        <f>IF(IN62=0,0,IF(LEN(IF62)=11,_xlfn.XLOOKUP(IF62,'Dispensed Ink Rates'!C:C,'Dispensed Ink Rates'!CS:CS),VLOOKUP(IF62,'Jan-2026 rates'!$E:$F,2,0)))</f>
        <v>#N/A</v>
      </c>
      <c r="IP62" s="409">
        <v>10</v>
      </c>
      <c r="IQ62" s="398" t="e">
        <f>IF(IP62=0,0,IF(LEN(IG62)=11,_xlfn.XLOOKUP(IG62,'Dispensed Ink Rates'!C:C,'Dispensed Ink Rates'!CS:CS),VLOOKUP(IG62,'Jan-2026 rates'!$E:$F,2,0)))</f>
        <v>#N/A</v>
      </c>
      <c r="IR62" s="409"/>
      <c r="IS62" s="398">
        <f>IF(IR62=0,0,IF(LEN(IH62)=11,_xlfn.XLOOKUP(IH62,'Dispensed Ink Rates'!C:C,'Dispensed Ink Rates'!CS:CS),VLOOKUP(IH62,'Jan-2026 rates'!$E:$F,2,0)))</f>
        <v>0</v>
      </c>
      <c r="IT62" s="409"/>
      <c r="IU62" s="398">
        <f>IF(IT62=0,0,IF(LEN(II62)=11,_xlfn.XLOOKUP(II62,'Dispensed Ink Rates'!C:C,'Dispensed Ink Rates'!CS:CS),VLOOKUP(II62,'Jan-2026 rates'!$E:$F,2,0)))</f>
        <v>0</v>
      </c>
      <c r="IV62" s="409"/>
      <c r="IW62" s="398">
        <f>IF(IV62=0,0,IF(LEN(IJ62)=11,_xlfn.XLOOKUP(IJ62,'Dispensed Ink Rates'!C:C,'Dispensed Ink Rates'!CS:CS),VLOOKUP(IJ62,'Jan-2026 rates'!$E:$F,2,0)))</f>
        <v>0</v>
      </c>
      <c r="IX62" s="409"/>
      <c r="IY62" s="398">
        <f>IF(IX62=0,0,IF(LEN(IK62)=11,_xlfn.XLOOKUP(IK62,'Dispensed Ink Rates'!C:C,'Dispensed Ink Rates'!CS:CS),VLOOKUP(IK62,'Jan-2026 rates'!$E:$F,2,0)))</f>
        <v>0</v>
      </c>
      <c r="IZ62" s="409"/>
      <c r="JA62" s="398">
        <f>IF(IZ62=0,0,IF(LEN(IL62)=11,_xlfn.XLOOKUP(IL62,'Dispensed Ink Rates'!C:C,'Dispensed Ink Rates'!CS:CS),VLOOKUP(IL62,'Jan-2026 rates'!$E:$F,2,0)))</f>
        <v>0</v>
      </c>
      <c r="JB62" s="409"/>
      <c r="JC62" s="398">
        <f>IF(JB62=0,0,IF(LEN(IM62)=11,_xlfn.XLOOKUP(IM62,'Dispensed Ink Rates'!C:C,'Dispensed Ink Rates'!CS:CS),VLOOKUP(IM62,'Jan-2026 rates'!$E:$F,2,0)))</f>
        <v>0</v>
      </c>
      <c r="JD62" s="409" t="s">
        <v>1443</v>
      </c>
      <c r="JE62" s="409">
        <v>15</v>
      </c>
      <c r="JF62" s="411">
        <f t="shared" si="25"/>
        <v>0</v>
      </c>
      <c r="JG62" s="411">
        <f t="shared" si="26"/>
        <v>35.485294117647058</v>
      </c>
      <c r="JH62" s="410">
        <f t="shared" si="27"/>
        <v>0</v>
      </c>
      <c r="JI62" s="405" t="s">
        <v>856</v>
      </c>
      <c r="JJ62" s="409" t="s">
        <v>2919</v>
      </c>
      <c r="JK62" s="420" t="str">
        <f t="shared" si="28"/>
        <v>FLINTSL - WHITE</v>
      </c>
      <c r="JL62" s="409">
        <v>30</v>
      </c>
      <c r="JM62" s="411">
        <f>IF(JL62=0,0,IF($LB62=70%,VLOOKUP($JK62,'Jan-2026 rates'!$L:$R,4,0),IF($LB62=65%,VLOOKUP($JK62,'Jan-2026 rates'!$L:$R,4,0),IF($LB62=40%,VLOOKUP($JK62,'Jan-2026 rates'!$L:$R,5,0),IF($LB62=30%,VLOOKUP($JK62,'Jan-2026 rates'!$L:$R,6,0),IF($LB62=100%,VLOOKUP($JK62,'Jan-2026 rates'!$L:$R,7,0),IF($LB62=60%,VLOOKUP($JK62,'Jan-2026 rates'!$L:$S,8,0),IF($LB62=80%,VLOOKUP($JK62,'Jan-2026 rates'!L:T,9,0),0))))))))</f>
        <v>0</v>
      </c>
      <c r="JN62" s="412"/>
      <c r="JO62" s="409"/>
      <c r="JP62" s="411">
        <f>IF(JO62=0,0,IF($LB62=70%,VLOOKUP($JK62,'Jan-2026 rates'!$L:$R,4,0),IF($LB62=65%,VLOOKUP($JK62,'Jan-2026 rates'!$L:$R,4,0),IF($LB62=40%,VLOOKUP($JK62,'Jan-2026 rates'!$L:$R,5,0),IF($LB62=30%,VLOOKUP($JK62,'Jan-2026 rates'!$L:$R,6,0),IF($LB62=100%,VLOOKUP($JK62,'Jan-2026 rates'!$L:$R,7,0),IF($LB62=60%,VLOOKUP($JK62,'Jan-2026 rates'!$L:$S,8,0),IF($LB62=80%,VLOOKUP($JK62,'Jan-2026 rates'!L:T,9,0),0))))))))</f>
        <v>0</v>
      </c>
      <c r="JQ62" s="413" t="s">
        <v>484</v>
      </c>
      <c r="JR62" s="412"/>
      <c r="JS62" s="413"/>
      <c r="JT62" s="413"/>
      <c r="JU62" s="412"/>
      <c r="JV62" s="412"/>
      <c r="JW62" s="412"/>
      <c r="JX62" s="412"/>
      <c r="JY62" s="409">
        <v>60</v>
      </c>
      <c r="JZ62" s="398">
        <f>IF(JY62=0,0,IF(LEN(JQ62)=11,_xlfn.XLOOKUP(JQ62,'Dispensed Ink Rates'!C:C,'Dispensed Ink Rates'!CS:CS),VLOOKUP(JQ62,'Jan-2026 rates'!$E:$F,2,0)))</f>
        <v>0</v>
      </c>
      <c r="KA62" s="409"/>
      <c r="KB62" s="398">
        <f>IF(KA62=0,0,IF(LEN(JR62)=11,_xlfn.XLOOKUP(JR62,'Dispensed Ink Rates'!C:C,'Dispensed Ink Rates'!CS:CS),VLOOKUP(JR62,'Jan-2026 rates'!$E:$F,2,0)))</f>
        <v>0</v>
      </c>
      <c r="KC62" s="409"/>
      <c r="KD62" s="398">
        <f>IF(KC62=0,0,IF(LEN(JS62)=11,_xlfn.XLOOKUP(JS62,'Dispensed Ink Rates'!C:C,'Dispensed Ink Rates'!CS:CS),VLOOKUP(JS62,'Jan-2026 rates'!$E:$F,2,0)))</f>
        <v>0</v>
      </c>
      <c r="KE62" s="409"/>
      <c r="KF62" s="398">
        <f>IF(KE62=0,0,IF(LEN(JT62)=11,_xlfn.XLOOKUP(JT62,'Dispensed Ink Rates'!C:C,'Dispensed Ink Rates'!CS:CS),VLOOKUP(JT62,'Jan-2026 rates'!$E:$F,2,0)))</f>
        <v>0</v>
      </c>
      <c r="KG62" s="409"/>
      <c r="KH62" s="398">
        <f>IF(KG62=0,0,IF(LEN(JU62)=11,_xlfn.XLOOKUP(JU62,'Dispensed Ink Rates'!C:C,'Dispensed Ink Rates'!CS:CS),VLOOKUP(JU62,'Jan-2026 rates'!$E:$F,2,0)))</f>
        <v>0</v>
      </c>
      <c r="KI62" s="409"/>
      <c r="KJ62" s="398">
        <f>IF(KI62=0,0,IF(LEN(JV62)=11,_xlfn.XLOOKUP(JV62,'Dispensed Ink Rates'!C:C,'Dispensed Ink Rates'!CS:CS),VLOOKUP(JV62,'Jan-2026 rates'!$E:$F,2,0)))</f>
        <v>0</v>
      </c>
      <c r="KK62" s="409"/>
      <c r="KL62" s="398">
        <f>IF(KK62=0,0,IF(LEN(JW62)=11,_xlfn.XLOOKUP(JW62,'Dispensed Ink Rates'!C:C,'Dispensed Ink Rates'!CS:CS),VLOOKUP(JW62,'Jan-2026 rates'!$E:$F,2,0)))</f>
        <v>0</v>
      </c>
      <c r="KM62" s="428"/>
      <c r="KN62" s="398">
        <f>IF(KM62=0,0,IF(LEN(JX62)=11,_xlfn.XLOOKUP(JX62,'Dispensed Ink Rates'!C:C,'Dispensed Ink Rates'!CS:CS),VLOOKUP(JX62,'Jan-2026 rates'!$E:$F,2,0)))</f>
        <v>0</v>
      </c>
      <c r="KO62" s="409" t="s">
        <v>1443</v>
      </c>
      <c r="KP62" s="409">
        <v>20</v>
      </c>
      <c r="KQ62" s="411">
        <f t="shared" si="29"/>
        <v>0</v>
      </c>
      <c r="KR62" s="411">
        <f t="shared" si="30"/>
        <v>156.91176470588235</v>
      </c>
      <c r="KS62" s="410">
        <f t="shared" si="31"/>
        <v>0</v>
      </c>
      <c r="KT62" s="409">
        <v>5</v>
      </c>
      <c r="KU62" s="409">
        <v>7</v>
      </c>
      <c r="KV62" s="409">
        <v>12</v>
      </c>
      <c r="KW62" s="409">
        <v>5</v>
      </c>
      <c r="KX62" s="409">
        <v>2</v>
      </c>
      <c r="KY62" s="409">
        <v>2</v>
      </c>
      <c r="KZ62" s="409">
        <v>5</v>
      </c>
      <c r="LA62" s="409">
        <v>30</v>
      </c>
      <c r="LB62" s="415">
        <v>0.8</v>
      </c>
      <c r="LC62" s="415">
        <v>0.2</v>
      </c>
      <c r="LD62" s="415"/>
      <c r="LE62" s="415"/>
      <c r="LF62" s="415"/>
      <c r="LG62" s="409">
        <v>0</v>
      </c>
      <c r="LH62" s="409">
        <f>30+50+80+20+5+5+7</f>
        <v>197</v>
      </c>
      <c r="LI62" s="409">
        <v>0</v>
      </c>
      <c r="LJ62" s="409">
        <v>0</v>
      </c>
      <c r="LK62" s="416">
        <f t="shared" si="32"/>
        <v>197</v>
      </c>
      <c r="LL62" s="416">
        <f t="shared" si="33"/>
        <v>197</v>
      </c>
      <c r="LM62" s="417">
        <f t="shared" si="34"/>
        <v>157.60000000000002</v>
      </c>
      <c r="LN62" s="417">
        <f>VLOOKUP($LM$8,'Jan-2026 rates'!$H:$I,2,0)</f>
        <v>0</v>
      </c>
      <c r="LO62" s="417">
        <f t="shared" si="35"/>
        <v>39.400000000000006</v>
      </c>
      <c r="LP62" s="417">
        <f>VLOOKUP($LO$8,'Jan-2026 rates'!$H:$I,2,0)</f>
        <v>0</v>
      </c>
      <c r="LQ62" s="417">
        <f t="shared" si="36"/>
        <v>0</v>
      </c>
      <c r="LR62" s="417">
        <f>VLOOKUP($LQ$8,'Jan-2026 rates'!$H:$I,2,0)</f>
        <v>0</v>
      </c>
      <c r="LS62" s="417">
        <f t="shared" si="37"/>
        <v>0</v>
      </c>
      <c r="LT62" s="417">
        <f>VLOOKUP($LS$8,'Jan-2026 rates'!$H:$I,2,0)</f>
        <v>0</v>
      </c>
      <c r="LU62" s="417">
        <f t="shared" si="38"/>
        <v>0</v>
      </c>
      <c r="LV62" s="417">
        <f>VLOOKUP($LU$8,'Jan-2026 rates'!$H:$I,2,0)</f>
        <v>0</v>
      </c>
      <c r="LW62" s="417">
        <f t="shared" si="39"/>
        <v>0</v>
      </c>
      <c r="LX62" s="417">
        <f t="shared" si="40"/>
        <v>0</v>
      </c>
      <c r="LY62" s="418">
        <f t="shared" si="41"/>
        <v>0</v>
      </c>
      <c r="LZ62" s="417"/>
      <c r="MA62" s="435">
        <f t="shared" si="42"/>
        <v>184</v>
      </c>
      <c r="MB62" s="282">
        <f t="shared" si="43"/>
        <v>366</v>
      </c>
      <c r="MC62" s="283">
        <v>17</v>
      </c>
      <c r="MD62" s="284" t="str">
        <f t="shared" si="44"/>
        <v>FLINTSLFLINTSLFLINTSLFLINTSLFLINTSLFLINTSLFLINTSLFLINTSL</v>
      </c>
      <c r="ME62" s="293" t="str">
        <f t="shared" si="45"/>
        <v>+</v>
      </c>
      <c r="MF62" s="293" t="str">
        <f t="shared" si="46"/>
        <v>+</v>
      </c>
      <c r="MG62" s="293" t="str">
        <f t="shared" si="47"/>
        <v>+</v>
      </c>
      <c r="MH62" s="293" t="str">
        <f t="shared" si="48"/>
        <v>+</v>
      </c>
      <c r="MI62" s="293" t="str">
        <f t="shared" si="49"/>
        <v>+</v>
      </c>
      <c r="MJ62" s="293" t="str">
        <f t="shared" si="50"/>
        <v>+</v>
      </c>
      <c r="MK62" s="293" t="str">
        <f t="shared" si="51"/>
        <v>+</v>
      </c>
      <c r="ML62" s="293" t="str">
        <f t="shared" si="52"/>
        <v>+</v>
      </c>
      <c r="MM62" s="3" t="b">
        <f t="array" ref="MM62">OR(ME62:ML62="-")</f>
        <v>0</v>
      </c>
      <c r="MN62" s="285"/>
      <c r="MO62" s="401"/>
      <c r="MP62" s="286"/>
      <c r="MQ62" s="286"/>
      <c r="MR62" s="402"/>
      <c r="MS62" s="400"/>
      <c r="NH62" s="422"/>
      <c r="NJ62" s="421"/>
    </row>
    <row r="63" spans="1:374" s="1" customFormat="1" ht="16.5">
      <c r="A63" s="403">
        <v>46027</v>
      </c>
      <c r="B63" s="404" t="s">
        <v>1015</v>
      </c>
      <c r="C63" s="405" t="s">
        <v>2920</v>
      </c>
      <c r="D63" s="406">
        <v>18</v>
      </c>
      <c r="E63" s="404">
        <v>960</v>
      </c>
      <c r="F63" s="407">
        <v>46600</v>
      </c>
      <c r="G63" s="407" t="s">
        <v>1016</v>
      </c>
      <c r="H63" s="408" t="s">
        <v>1017</v>
      </c>
      <c r="I63" s="409">
        <v>1.3</v>
      </c>
      <c r="J63" s="405" t="s">
        <v>543</v>
      </c>
      <c r="K63" s="404" t="s">
        <v>2921</v>
      </c>
      <c r="L63" s="419" t="str">
        <f t="shared" si="0"/>
        <v>FLINTSL - BLACK</v>
      </c>
      <c r="M63" s="404">
        <v>25</v>
      </c>
      <c r="N63" s="410">
        <f>IF(M63=0,0,IF($LB63=70%,VLOOKUP($L63,'Jan-2026 rates'!$L:$R,4,0),IF($LB63=65%,VLOOKUP($L63,'Jan-2026 rates'!$L:$R,4,0),IF($LB63=40%,VLOOKUP($L63,'Jan-2026 rates'!$L:$R,5,0),IF($LB63=30%,VLOOKUP($L63,'Jan-2026 rates'!$L:$R,6,0),IF($LB63=100%,VLOOKUP($L63,'Jan-2026 rates'!$L:$R,7,0),IF($LB63=60%,VLOOKUP($L63,'Jan-2026 rates'!$L:$S,8,0),IF($LB63=80%,VLOOKUP($L63,'Jan-2026 rates'!L:T,9,0),0))))))))</f>
        <v>0</v>
      </c>
      <c r="O63" s="406"/>
      <c r="P63" s="404"/>
      <c r="Q63" s="410">
        <f>IF(P63=0,0,IF($LB63=70%,VLOOKUP($L63,'Jan-2026 rates'!$L:$R,4,0),IF($LB63=65%,VLOOKUP($L63,'Jan-2026 rates'!$L:$R,4,0),IF($LB63=40%,VLOOKUP($L63,'Jan-2026 rates'!$L:$R,5,0),IF($LB63=30%,VLOOKUP($L63,'Jan-2026 rates'!$L:$R,6,0),IF($LB63=100%,VLOOKUP($L63,'Jan-2026 rates'!$L:$R,7,0),IF($LB63=60%,VLOOKUP($L63,'Jan-2026 rates'!$L:$S,8,0),IF($LB63=80%,VLOOKUP($L63,'Jan-2026 rates'!L:T,9,0),0))))))))</f>
        <v>0</v>
      </c>
      <c r="R63" s="406" t="s">
        <v>1266</v>
      </c>
      <c r="S63" s="406"/>
      <c r="T63" s="406"/>
      <c r="U63" s="406"/>
      <c r="V63" s="406"/>
      <c r="W63" s="406"/>
      <c r="X63" s="406"/>
      <c r="Y63" s="406"/>
      <c r="Z63" s="404">
        <v>5</v>
      </c>
      <c r="AA63" s="398">
        <f>IF(Z63=0,0,IF(LEN(R63)=11,_xlfn.XLOOKUP(R63,'Dispensed Ink Rates'!C:C,'Dispensed Ink Rates'!CS:CS),VLOOKUP(R63,'Jan-2026 rates'!$E:$F,2,0)))</f>
        <v>0</v>
      </c>
      <c r="AB63" s="404"/>
      <c r="AC63" s="398">
        <f>IF(AB63=0,0,IF(LEN(S63)=11,_xlfn.XLOOKUP(S63,'Dispensed Ink Rates'!C:C,'Dispensed Ink Rates'!CS:CS),VLOOKUP(S63,'Jan-2026 rates'!$E:$F,2,0)))</f>
        <v>0</v>
      </c>
      <c r="AD63" s="404"/>
      <c r="AE63" s="398">
        <f>IF(AD63=0,0,IF(LEN(T63)=11,_xlfn.XLOOKUP(T63,'Dispensed Ink Rates'!C:C,'Dispensed Ink Rates'!CS:CS),VLOOKUP(T63,'Jan-2026 rates'!$E:$F,2,0)))</f>
        <v>0</v>
      </c>
      <c r="AF63" s="404"/>
      <c r="AG63" s="398">
        <f>IF(AF63=0,0,IF(LEN(U63)=11,_xlfn.XLOOKUP(U63,'Dispensed Ink Rates'!C:C,'Dispensed Ink Rates'!CS:CS),VLOOKUP(U63,'Jan-2026 rates'!$E:$F,2,0)))</f>
        <v>0</v>
      </c>
      <c r="AH63" s="404"/>
      <c r="AI63" s="398">
        <f>IF(AH63=0,0,IF(LEN(V63)=11,_xlfn.XLOOKUP(V63,'Dispensed Ink Rates'!C:C,'Dispensed Ink Rates'!CS:CS),VLOOKUP(V63,'Jan-2026 rates'!$E:$F,2,0)))</f>
        <v>0</v>
      </c>
      <c r="AJ63" s="404"/>
      <c r="AK63" s="398">
        <f>IF(AJ63=0,0,IF(LEN(W63)=11,_xlfn.XLOOKUP(W63,'Dispensed Ink Rates'!C:C,'Dispensed Ink Rates'!CS:CS),VLOOKUP(W63,'Jan-2026 rates'!$E:$F,2,0)))</f>
        <v>0</v>
      </c>
      <c r="AL63" s="404"/>
      <c r="AM63" s="398">
        <f>IF(AL63=0,0,IF(LEN(X63)=11,_xlfn.XLOOKUP(X63,'Dispensed Ink Rates'!C:C,'Dispensed Ink Rates'!CS:CS),VLOOKUP(X63,'Jan-2026 rates'!$E:$F,2,0)))</f>
        <v>0</v>
      </c>
      <c r="AN63" s="404"/>
      <c r="AO63" s="398">
        <f>IF(AN63=0,0,IF(LEN(Y63)=11,_xlfn.XLOOKUP(Y63,'Dispensed Ink Rates'!C:C,'Dispensed Ink Rates'!CS:CS),VLOOKUP(Y63,'Jan-2026 rates'!$E:$F,2,0)))</f>
        <v>0</v>
      </c>
      <c r="AP63" s="409" t="s">
        <v>1443</v>
      </c>
      <c r="AQ63" s="409">
        <v>18</v>
      </c>
      <c r="AR63" s="410">
        <f t="shared" si="1"/>
        <v>0</v>
      </c>
      <c r="AS63" s="411">
        <f t="shared" si="2"/>
        <v>24.262773722627735</v>
      </c>
      <c r="AT63" s="410">
        <f t="shared" si="3"/>
        <v>0</v>
      </c>
      <c r="AU63" s="405" t="s">
        <v>546</v>
      </c>
      <c r="AV63" s="409" t="s">
        <v>2913</v>
      </c>
      <c r="AW63" s="420" t="str">
        <f t="shared" si="53"/>
        <v>FLINTSL - REFLEX BLUE</v>
      </c>
      <c r="AX63" s="409">
        <v>22</v>
      </c>
      <c r="AY63" s="411">
        <f>IF(AX63=0,0,IF($LB63=70%,VLOOKUP($AW63,'Jan-2026 rates'!$L:$R,4,0),IF($LB63=65%,VLOOKUP($AW63,'Jan-2026 rates'!$L:$R,4,0),IF($LB63=40%,VLOOKUP($AW63,'Jan-2026 rates'!$L:$R,5,0),IF($LB63=30%,VLOOKUP($AW63,'Jan-2026 rates'!$L:$R,6,0),IF($LB63=100%,VLOOKUP($AW63,'Jan-2026 rates'!$L:$R,7,0),IF($LB63=60%,VLOOKUP($AW63,'Jan-2026 rates'!$L:$S,8,0),IF($LB63=80%,VLOOKUP($AW63,'Jan-2026 rates'!L:T,9,0),0))))))))</f>
        <v>0</v>
      </c>
      <c r="AZ63" s="412"/>
      <c r="BA63" s="409"/>
      <c r="BB63" s="411">
        <f>IF(BA63=0,0,IF($LB63=70%,VLOOKUP($AW63,'Jan-2026 rates'!$L:$R,4,0),IF($LB63=65%,VLOOKUP($AW63,'Jan-2026 rates'!$L:$R,4,0),IF($LB63=40%,VLOOKUP($AW63,'Jan-2026 rates'!$L:$R,5,0),IF($LB63=30%,VLOOKUP($AW63,'Jan-2026 rates'!$L:$R,6,0),IF($LB63=100%,VLOOKUP($AW63,'Jan-2026 rates'!$L:$R,7,0),IF($LB63=60%,VLOOKUP($AW63,'Jan-2026 rates'!$L:$S,8,0),IF($LB63=80%,VLOOKUP($AW63,'Jan-2026 rates'!L:T,9,0),0))))))))</f>
        <v>0</v>
      </c>
      <c r="BC63" s="413" t="s">
        <v>482</v>
      </c>
      <c r="BD63" s="412">
        <v>25864000013</v>
      </c>
      <c r="BE63" s="412"/>
      <c r="BF63" s="413"/>
      <c r="BG63" s="412"/>
      <c r="BH63" s="412"/>
      <c r="BI63" s="412"/>
      <c r="BJ63" s="412"/>
      <c r="BK63" s="409">
        <v>4</v>
      </c>
      <c r="BL63" s="433">
        <f>IF(BK63=0,0,IF(LEN(BC63)=11,_xlfn.XLOOKUP(BC63,'Dispensed Ink Rates'!C:C,'Dispensed Ink Rates'!CS:CS),VLOOKUP(BC63,'Jan-2026 rates'!$E:$F,2,0)))</f>
        <v>0</v>
      </c>
      <c r="BM63" s="409">
        <v>7</v>
      </c>
      <c r="BN63" s="398" t="e">
        <f>IF(BM63=0,0,IF(LEN(BD63)=11,_xlfn.XLOOKUP(BD63,'Dispensed Ink Rates'!C:C,'Dispensed Ink Rates'!CS:CS),VLOOKUP(BD63,'Jan-2026 rates'!$E:$F,2,0)))</f>
        <v>#N/A</v>
      </c>
      <c r="BO63" s="409"/>
      <c r="BP63" s="398">
        <f>IF(BO63=0,0,IF(LEN(BE63)=11,_xlfn.XLOOKUP(BE63,'Dispensed Ink Rates'!C:C,'Dispensed Ink Rates'!CS:CS),VLOOKUP(BE63,'Jan-2026 rates'!$E:$F,2,0)))</f>
        <v>0</v>
      </c>
      <c r="BQ63" s="409"/>
      <c r="BR63" s="398">
        <f>IF(BQ63=0,0,IF(LEN(BF63)=11,_xlfn.XLOOKUP(BF63,'Dispensed Ink Rates'!C:C,'Dispensed Ink Rates'!CS:CS),VLOOKUP(BF63,'Jan-2026 rates'!$E:$F,2,0)))</f>
        <v>0</v>
      </c>
      <c r="BS63" s="409"/>
      <c r="BT63" s="398">
        <f>IF(BS63=0,0,IF(LEN(BG63)=11,_xlfn.XLOOKUP(BG63,'Dispensed Ink Rates'!C:C,'Dispensed Ink Rates'!CS:CS),VLOOKUP(BG63,'Jan-2026 rates'!$E:$F,2,0)))</f>
        <v>0</v>
      </c>
      <c r="BU63" s="409"/>
      <c r="BV63" s="398">
        <f>IF(BU63=0,0,IF(LEN(BH63)=11,_xlfn.XLOOKUP(BH63,'Dispensed Ink Rates'!C:C,'Dispensed Ink Rates'!CS:CS),VLOOKUP(BH63,'Jan-2026 rates'!$E:$F,2,0)))</f>
        <v>0</v>
      </c>
      <c r="BW63" s="409"/>
      <c r="BX63" s="398">
        <f>IF(BW63=0,0,IF(LEN(BI63)=11,_xlfn.XLOOKUP(BI63,'Dispensed Ink Rates'!C:C,'Dispensed Ink Rates'!CS:CS),VLOOKUP(BI63,'Jan-2026 rates'!$E:$F,2,0)))</f>
        <v>0</v>
      </c>
      <c r="BY63" s="409"/>
      <c r="BZ63" s="398">
        <f>IF(BY63=0,0,IF(LEN(BJ63)=11,_xlfn.XLOOKUP(BJ63,'Dispensed Ink Rates'!C:C,'Dispensed Ink Rates'!CS:CS),VLOOKUP(BJ63,'Jan-2026 rates'!$E:$F,2,0)))</f>
        <v>0</v>
      </c>
      <c r="CA63" s="409" t="s">
        <v>1443</v>
      </c>
      <c r="CB63" s="409">
        <v>20</v>
      </c>
      <c r="CC63" s="411">
        <f t="shared" si="5"/>
        <v>0</v>
      </c>
      <c r="CD63" s="411">
        <f t="shared" si="6"/>
        <v>30.167883211678827</v>
      </c>
      <c r="CE63" s="410">
        <f t="shared" si="7"/>
        <v>0</v>
      </c>
      <c r="CF63" s="404" t="s">
        <v>857</v>
      </c>
      <c r="CG63" s="409" t="s">
        <v>2922</v>
      </c>
      <c r="CH63" s="420" t="str">
        <f t="shared" si="8"/>
        <v>FLINTSL - RED</v>
      </c>
      <c r="CI63" s="409">
        <v>24</v>
      </c>
      <c r="CJ63" s="411">
        <f>IF(CI63=0,0,IF($LB63=70%,VLOOKUP($CH63,'Jan-2026 rates'!$L:$R,4,0),IF($LB63=65%,VLOOKUP($CH63,'Jan-2026 rates'!$L:$R,4,0),IF($LB63=40%,VLOOKUP($CH63,'Jan-2026 rates'!$L:$R,5,0),IF($LB63=30%,VLOOKUP($CH63,'Jan-2026 rates'!$L:$R,6,0),IF($LB63=100%,VLOOKUP($CH63,'Jan-2026 rates'!$L:$R,7,0),IF($LB63=60%,VLOOKUP($CH63,'Jan-2026 rates'!$L:$S,8,0),IF($LB63=80%,VLOOKUP($CH63,'Jan-2026 rates'!L:T,9,0),0))))))))</f>
        <v>0</v>
      </c>
      <c r="CK63" s="412"/>
      <c r="CL63" s="409"/>
      <c r="CM63" s="411">
        <f>IF(CL63=0,0,IF($LB63=70%,VLOOKUP($CH63,'Jan-2026 rates'!$L:$R,4,0),IF($LB63=65%,VLOOKUP($CH63,'Jan-2026 rates'!$L:$R,4,0),IF($LB63=40%,VLOOKUP($CH63,'Jan-2026 rates'!$L:$R,5,0),IF($LB63=30%,VLOOKUP($CH63,'Jan-2026 rates'!$L:$R,6,0),IF($LB63=100%,VLOOKUP($CH63,'Jan-2026 rates'!$L:$R,7,0),IF($LB63=60%,VLOOKUP($CH63,'Jan-2026 rates'!$L:$S,8,0),IF($LB63=80%,VLOOKUP($CH63,'Jan-2026 rates'!L:T,9,0),0))))))))</f>
        <v>0</v>
      </c>
      <c r="CN63" s="426">
        <v>26505000005</v>
      </c>
      <c r="CO63" s="427">
        <v>26503000005</v>
      </c>
      <c r="CP63" s="426"/>
      <c r="CQ63" s="426"/>
      <c r="CR63" s="428"/>
      <c r="CS63" s="428"/>
      <c r="CT63" s="428"/>
      <c r="CU63" s="428"/>
      <c r="CV63" s="409">
        <v>3</v>
      </c>
      <c r="CW63" s="398" t="e">
        <f>IF(CV63=0,0,IF(LEN(CN63)=11,_xlfn.XLOOKUP(CN63,'Dispensed Ink Rates'!C:C,'Dispensed Ink Rates'!CS:CS),VLOOKUP(CN63,'Jan-2026 rates'!$E:$F,2,0)))</f>
        <v>#N/A</v>
      </c>
      <c r="CX63" s="409">
        <v>0.2</v>
      </c>
      <c r="CY63" s="398" t="e">
        <f>IF(CX63=0,0,IF(LEN(CO63)=11,_xlfn.XLOOKUP(CO63,'Dispensed Ink Rates'!C:C,'Dispensed Ink Rates'!CS:CS),VLOOKUP(CO63,'Jan-2026 rates'!$E:$F,2,0)))</f>
        <v>#N/A</v>
      </c>
      <c r="CZ63" s="409"/>
      <c r="DA63" s="398">
        <f>IF(CZ63=0,0,IF(LEN(CP63)=11,_xlfn.XLOOKUP(CP63,'Dispensed Ink Rates'!C:C,'Dispensed Ink Rates'!CS:CS),VLOOKUP(CP63,'Jan-2026 rates'!$E:$F,2,0)))</f>
        <v>0</v>
      </c>
      <c r="DB63" s="409"/>
      <c r="DC63" s="398">
        <f>IF(DB63=0,0,IF(LEN(CQ63)=11,_xlfn.XLOOKUP(CQ63,'Dispensed Ink Rates'!C:C,'Dispensed Ink Rates'!CS:CS),VLOOKUP(CQ63,'Jan-2026 rates'!$E:$F,2,0)))</f>
        <v>0</v>
      </c>
      <c r="DD63" s="409"/>
      <c r="DE63" s="398">
        <f>IF(DD63=0,0,IF(LEN(CR63)=11,_xlfn.XLOOKUP(CR63,'Dispensed Ink Rates'!C:C,'Dispensed Ink Rates'!CS:CS),VLOOKUP(CR63,'Jan-2026 rates'!$E:$F,2,0)))</f>
        <v>0</v>
      </c>
      <c r="DF63" s="409"/>
      <c r="DG63" s="398">
        <f>IF(DF63=0,0,IF(LEN(CS63)=11,_xlfn.XLOOKUP(CS63,'Dispensed Ink Rates'!C:C,'Dispensed Ink Rates'!CS:CS),VLOOKUP(CS63,'Jan-2026 rates'!$E:$F,2,0)))</f>
        <v>0</v>
      </c>
      <c r="DH63" s="409"/>
      <c r="DI63" s="398">
        <f>IF(DH63=0,0,IF(LEN(CT63)=11,_xlfn.XLOOKUP(CT63,'Dispensed Ink Rates'!C:C,'Dispensed Ink Rates'!CS:CS),VLOOKUP(CT63,'Jan-2026 rates'!$E:$F,2,0)))</f>
        <v>0</v>
      </c>
      <c r="DJ63" s="409"/>
      <c r="DK63" s="398">
        <f>IF(DJ63=0,0,IF(LEN(CU63)=11,_xlfn.XLOOKUP(CU63,'Dispensed Ink Rates'!C:C,'Dispensed Ink Rates'!CS:CS),VLOOKUP(CU63,'Jan-2026 rates'!$E:$F,2,0)))</f>
        <v>0</v>
      </c>
      <c r="DL63" s="409" t="s">
        <v>1443</v>
      </c>
      <c r="DM63" s="409">
        <v>23</v>
      </c>
      <c r="DN63" s="411">
        <f t="shared" si="9"/>
        <v>0</v>
      </c>
      <c r="DO63" s="411">
        <f t="shared" si="10"/>
        <v>9.1051094890510953</v>
      </c>
      <c r="DP63" s="410">
        <f t="shared" si="11"/>
        <v>0</v>
      </c>
      <c r="DQ63" s="405" t="s">
        <v>855</v>
      </c>
      <c r="DR63" s="409" t="s">
        <v>2923</v>
      </c>
      <c r="DS63" s="420" t="str">
        <f t="shared" si="12"/>
        <v>FLINTSL - CYAN</v>
      </c>
      <c r="DT63" s="409">
        <v>26</v>
      </c>
      <c r="DU63" s="411">
        <f>IF(DT63=0,0,IF($LB63=70%,VLOOKUP($DS63,'Jan-2026 rates'!$L:$R,4,0),IF($LB63=65%,VLOOKUP($DS63,'Jan-2026 rates'!$L:$R,4,0),IF($LB63=40%,VLOOKUP($DS63,'Jan-2026 rates'!$L:$R,5,0),IF($LB63=30%,VLOOKUP($DS63,'Jan-2026 rates'!$L:$R,6,0),IF($LB63=100%,VLOOKUP($DS63,'Jan-2026 rates'!$L:$R,7,0),IF($LB63=60%,VLOOKUP($DS63,'Jan-2026 rates'!$L:$S,8,0),IF($LB63=80%,VLOOKUP($DS63,'Jan-2026 rates'!L:T,9,0),0))))))))</f>
        <v>0</v>
      </c>
      <c r="DV63" s="412" t="s">
        <v>2897</v>
      </c>
      <c r="DW63" s="409">
        <v>25</v>
      </c>
      <c r="DX63" s="411">
        <f>IF(DW63=0,0,IF($LB63=70%,VLOOKUP($DS63,'Jan-2026 rates'!$L:$R,4,0),IF($LB63=65%,VLOOKUP($DS63,'Jan-2026 rates'!$L:$R,4,0),IF($LB63=40%,VLOOKUP($DS63,'Jan-2026 rates'!$L:$R,5,0),IF($LB63=30%,VLOOKUP($DS63,'Jan-2026 rates'!$L:$R,6,0),IF($LB63=100%,VLOOKUP($DS63,'Jan-2026 rates'!$L:$R,7,0),IF($LB63=60%,VLOOKUP($DS63,'Jan-2026 rates'!$L:$S,8,0),IF($LB63=80%,VLOOKUP($DS63,'Jan-2026 rates'!L:T,9,0),0))))))))</f>
        <v>0</v>
      </c>
      <c r="DY63" s="413">
        <v>25864000009</v>
      </c>
      <c r="DZ63" s="413" t="s">
        <v>1266</v>
      </c>
      <c r="EA63" s="412"/>
      <c r="EB63" s="412"/>
      <c r="EC63" s="412"/>
      <c r="ED63" s="412"/>
      <c r="EE63" s="412"/>
      <c r="EF63" s="412"/>
      <c r="EG63" s="409">
        <f>30+20</f>
        <v>50</v>
      </c>
      <c r="EH63" s="398" t="e">
        <f>IF(EG63=0,0,IF(LEN(DY63)=11,_xlfn.XLOOKUP(DY63,'Dispensed Ink Rates'!C:C,'Dispensed Ink Rates'!CS:CS),VLOOKUP(DY63,'Jan-2026 rates'!$E:$F,2,0)))</f>
        <v>#N/A</v>
      </c>
      <c r="EI63" s="409">
        <f>10+10</f>
        <v>20</v>
      </c>
      <c r="EJ63" s="398">
        <f>IF(EI63=0,0,IF(LEN(DZ63)=11,_xlfn.XLOOKUP(DZ63,'Dispensed Ink Rates'!C:C,'Dispensed Ink Rates'!CS:CS),VLOOKUP(DZ63,'Jan-2026 rates'!$E:$F,2,0)))</f>
        <v>0</v>
      </c>
      <c r="EK63" s="409"/>
      <c r="EL63" s="398">
        <f>IF(EK63=0,0,IF(LEN(EA63)=11,_xlfn.XLOOKUP(EA63,'Dispensed Ink Rates'!C:C,'Dispensed Ink Rates'!CS:CS),VLOOKUP(EA63,'Jan-2026 rates'!$E:$F,2,0)))</f>
        <v>0</v>
      </c>
      <c r="EM63" s="409"/>
      <c r="EN63" s="398">
        <f>IF(EM63=0,0,IF(LEN(EB63)=11,_xlfn.XLOOKUP(EB63,'Dispensed Ink Rates'!C:C,'Dispensed Ink Rates'!CS:CS),VLOOKUP(EB63,'Jan-2026 rates'!$E:$F,2,0)))</f>
        <v>0</v>
      </c>
      <c r="EO63" s="409"/>
      <c r="EP63" s="398">
        <f>IF(EO63=0,0,IF(LEN(EC63)=11,_xlfn.XLOOKUP(EC63,'Dispensed Ink Rates'!C:C,'Dispensed Ink Rates'!CS:CS),VLOOKUP(EC63,'Jan-2026 rates'!$E:$F,2,0)))</f>
        <v>0</v>
      </c>
      <c r="EQ63" s="409"/>
      <c r="ER63" s="398">
        <f>IF(EQ63=0,0,IF(LEN(ED63)=11,_xlfn.XLOOKUP(ED63,'Dispensed Ink Rates'!C:C,'Dispensed Ink Rates'!CS:CS),VLOOKUP(ED63,'Jan-2026 rates'!$E:$F,2,0)))</f>
        <v>0</v>
      </c>
      <c r="ES63" s="409"/>
      <c r="ET63" s="398">
        <f>IF(ES63=0,0,IF(LEN(EE63)=11,_xlfn.XLOOKUP(EE63,'Dispensed Ink Rates'!C:C,'Dispensed Ink Rates'!CS:CS),VLOOKUP(EE63,'Jan-2026 rates'!$E:$F,2,0)))</f>
        <v>0</v>
      </c>
      <c r="EU63" s="409"/>
      <c r="EV63" s="398">
        <f>IF(EU63=0,0,IF(LEN(EF63)=11,_xlfn.XLOOKUP(EF63,'Dispensed Ink Rates'!C:C,'Dispensed Ink Rates'!CS:CS),VLOOKUP(EF63,'Jan-2026 rates'!$E:$F,2,0)))</f>
        <v>0</v>
      </c>
      <c r="EW63" s="409" t="s">
        <v>1443</v>
      </c>
      <c r="EX63" s="409">
        <v>20</v>
      </c>
      <c r="EY63" s="411">
        <f t="shared" si="13"/>
        <v>0</v>
      </c>
      <c r="EZ63" s="411">
        <f t="shared" si="14"/>
        <v>150.05109489051094</v>
      </c>
      <c r="FA63" s="410">
        <f t="shared" si="15"/>
        <v>0</v>
      </c>
      <c r="FB63" s="405" t="s">
        <v>544</v>
      </c>
      <c r="FC63" s="409" t="s">
        <v>2924</v>
      </c>
      <c r="FD63" s="420" t="str">
        <f t="shared" si="16"/>
        <v>FLINTSL - MAGENTA</v>
      </c>
      <c r="FE63" s="409">
        <v>32</v>
      </c>
      <c r="FF63" s="411">
        <f>IF(FE63=0,0,IF($LB63=70%,VLOOKUP($FD63,'Jan-2026 rates'!$L:$R,4,0),IF($LB63=65%,VLOOKUP($FD63,'Jan-2026 rates'!$L:$R,4,0),IF($LB63=40%,VLOOKUP($FD63,'Jan-2026 rates'!$L:$R,5,0),IF($LB63=30%,VLOOKUP($FD63,'Jan-2026 rates'!$L:$R,6,0),IF($LB63=100%,VLOOKUP($FD63,'Jan-2026 rates'!$L:$R,7,0),IF($LB63=60%,VLOOKUP($FD63,'Jan-2026 rates'!$L:$S,8,0),IF($LB63=80%,VLOOKUP($FD63,'Jan-2026 rates'!L:T,9,0),0))))))))</f>
        <v>0</v>
      </c>
      <c r="FG63" s="412"/>
      <c r="FH63" s="409"/>
      <c r="FI63" s="411">
        <f>IF(FH63=0,0,IF($LB63=70%,VLOOKUP($FD63,'Jan-2026 rates'!$L:$R,4,0),IF($LB63=65%,VLOOKUP($FD63,'Jan-2026 rates'!$L:$R,4,0),IF($LB63=40%,VLOOKUP($FD63,'Jan-2026 rates'!$L:$R,5,0),IF($LB63=30%,VLOOKUP($FD63,'Jan-2026 rates'!$L:$R,6,0),IF($LB63=100%,VLOOKUP($FD63,'Jan-2026 rates'!$L:$R,7,0),IF($LB63=60%,VLOOKUP($FD63,'Jan-2026 rates'!$L:$S,8,0),IF($LB63=80%,VLOOKUP($FD63,'Jan-2026 rates'!L:T,9,0),0))))))))</f>
        <v>0</v>
      </c>
      <c r="FJ63" s="413" t="s">
        <v>1266</v>
      </c>
      <c r="FK63" s="413"/>
      <c r="FL63" s="413"/>
      <c r="FM63" s="412"/>
      <c r="FN63" s="412"/>
      <c r="FO63" s="412"/>
      <c r="FP63" s="412"/>
      <c r="FQ63" s="412"/>
      <c r="FR63" s="409">
        <f>2+2</f>
        <v>4</v>
      </c>
      <c r="FS63" s="398">
        <f>IF(FR63=0,0,IF(LEN(FJ63)=11,_xlfn.XLOOKUP(FJ63,'Dispensed Ink Rates'!C:C,'Dispensed Ink Rates'!CS:CS),VLOOKUP(FJ63,'Jan-2026 rates'!$E:$F,2,0)))</f>
        <v>0</v>
      </c>
      <c r="FT63" s="409"/>
      <c r="FU63" s="398">
        <f>IF(FT63=0,0,IF(LEN(FK63)=11,_xlfn.XLOOKUP(FK63,'Dispensed Ink Rates'!C:C,'Dispensed Ink Rates'!CS:CS),VLOOKUP(FK63,'Jan-2026 rates'!$E:$F,2,0)))</f>
        <v>0</v>
      </c>
      <c r="FV63" s="409"/>
      <c r="FW63" s="398">
        <f>IF(FV63=0,0,IF(LEN(FL63)=11,_xlfn.XLOOKUP(FL63,'Dispensed Ink Rates'!C:C,'Dispensed Ink Rates'!CS:CS),VLOOKUP(FL63,'Jan-2026 rates'!$E:$F,2,0)))</f>
        <v>0</v>
      </c>
      <c r="FX63" s="409"/>
      <c r="FY63" s="398">
        <f>IF(FX63=0,0,IF(LEN(FM63)=11,_xlfn.XLOOKUP(FM63,'Dispensed Ink Rates'!C:C,'Dispensed Ink Rates'!CS:CS),VLOOKUP(FM63,'Jan-2026 rates'!$E:$F,2,0)))</f>
        <v>0</v>
      </c>
      <c r="FZ63" s="409"/>
      <c r="GA63" s="398">
        <f>IF(FZ63=0,0,IF(LEN(FN63)=11,_xlfn.XLOOKUP(FN63,'Dispensed Ink Rates'!C:C,'Dispensed Ink Rates'!CS:CS),VLOOKUP(FN63,'Jan-2026 rates'!$E:$F,2,0)))</f>
        <v>0</v>
      </c>
      <c r="GB63" s="409"/>
      <c r="GC63" s="398">
        <f>IF(GB63=0,0,IF(LEN(FO63)=11,_xlfn.XLOOKUP(FO63,'Dispensed Ink Rates'!C:C,'Dispensed Ink Rates'!CS:CS),VLOOKUP(FO63,'Jan-2026 rates'!$E:$F,2,0)))</f>
        <v>0</v>
      </c>
      <c r="GD63" s="409"/>
      <c r="GE63" s="398">
        <f>IF(GD63=0,0,IF(LEN(FP63)=11,_xlfn.XLOOKUP(FP63,'Dispensed Ink Rates'!C:C,'Dispensed Ink Rates'!CS:CS),VLOOKUP(FP63,'Jan-2026 rates'!$E:$F,2,0)))</f>
        <v>0</v>
      </c>
      <c r="GF63" s="409"/>
      <c r="GG63" s="398">
        <f>IF(GF63=0,0,IF(LEN(FQ63)=11,_xlfn.XLOOKUP(FQ63,'Dispensed Ink Rates'!C:C,'Dispensed Ink Rates'!CS:CS),VLOOKUP(FQ63,'Jan-2026 rates'!$E:$F,2,0)))</f>
        <v>0</v>
      </c>
      <c r="GH63" s="409" t="s">
        <v>1443</v>
      </c>
      <c r="GI63" s="409">
        <v>30</v>
      </c>
      <c r="GJ63" s="411">
        <f t="shared" si="17"/>
        <v>0</v>
      </c>
      <c r="GK63" s="411">
        <f t="shared" si="18"/>
        <v>15.810218978102192</v>
      </c>
      <c r="GL63" s="410">
        <f t="shared" si="19"/>
        <v>0</v>
      </c>
      <c r="GM63" s="405" t="s">
        <v>545</v>
      </c>
      <c r="GN63" s="409" t="s">
        <v>2925</v>
      </c>
      <c r="GO63" s="420" t="str">
        <f t="shared" si="20"/>
        <v>FLINTSL - YELLOW</v>
      </c>
      <c r="GP63" s="409">
        <v>33</v>
      </c>
      <c r="GQ63" s="411">
        <f>IF(GP63=0,0,IF($LB63=70%,VLOOKUP($GO63,'Jan-2026 rates'!$L:$R,4,0),IF($LB63=65%,VLOOKUP($GO63,'Jan-2026 rates'!$L:$R,4,0),IF($LB63=40%,VLOOKUP($GO63,'Jan-2026 rates'!$L:$R,5,0),IF($LB63=30%,VLOOKUP($GO63,'Jan-2026 rates'!$L:$R,6,0),IF($LB63=100%,VLOOKUP($GO63,'Jan-2026 rates'!$L:$R,7,0),IF($LB63=60%,VLOOKUP($GO63,'Jan-2026 rates'!$L:$S,8,0),IF($LB63=80%,VLOOKUP($GO63,'Jan-2026 rates'!L:T,9,0),0))))))))</f>
        <v>0</v>
      </c>
      <c r="GR63" s="412"/>
      <c r="GS63" s="409"/>
      <c r="GT63" s="411">
        <f>IF(GS63=0,0,IF($LB63=70%,VLOOKUP($GO63,'Jan-2026 rates'!$L:$R,4,0),IF($LB63=65%,VLOOKUP($GO63,'Jan-2026 rates'!$L:$R,4,0),IF($LB63=40%,VLOOKUP($GO63,'Jan-2026 rates'!$L:$R,5,0),IF($LB63=30%,VLOOKUP($GO63,'Jan-2026 rates'!$L:$R,6,0),IF($LB63=100%,VLOOKUP($GO63,'Jan-2026 rates'!$L:$R,7,0),IF($LB63=60%,VLOOKUP($GO63,'Jan-2026 rates'!$L:$S,8,0),IF($LB63=80%,VLOOKUP($GO63,'Jan-2026 rates'!L:T,9,0),0))))))))</f>
        <v>0</v>
      </c>
      <c r="GU63" s="413">
        <v>26503000002</v>
      </c>
      <c r="GV63" s="413"/>
      <c r="GW63" s="412"/>
      <c r="GX63" s="412"/>
      <c r="GY63" s="412"/>
      <c r="GZ63" s="412"/>
      <c r="HA63" s="412"/>
      <c r="HB63" s="412"/>
      <c r="HC63" s="409">
        <f>15+3</f>
        <v>18</v>
      </c>
      <c r="HD63" s="398" t="e">
        <f>IF(HC63=0,0,IF(LEN(GU63)=11,_xlfn.XLOOKUP(GU63,'Dispensed Ink Rates'!C:C,'Dispensed Ink Rates'!CS:CS),VLOOKUP(GU63,'Jan-2026 rates'!$E:$F,2,0)))</f>
        <v>#N/A</v>
      </c>
      <c r="HE63" s="409"/>
      <c r="HF63" s="398">
        <f>IF(HE63=0,0,IF(LEN(GV63)=11,_xlfn.XLOOKUP(GV63,'Dispensed Ink Rates'!C:C,'Dispensed Ink Rates'!CS:CS),VLOOKUP(GV63,'Jan-2026 rates'!$E:$F,2,0)))</f>
        <v>0</v>
      </c>
      <c r="HG63" s="409"/>
      <c r="HH63" s="398">
        <f>IF(HG63=0,0,IF(LEN(GW63)=11,_xlfn.XLOOKUP(GW63,'Dispensed Ink Rates'!C:C,'Dispensed Ink Rates'!CS:CS),VLOOKUP(GW63,'Jan-2026 rates'!$E:$F,2,0)))</f>
        <v>0</v>
      </c>
      <c r="HI63" s="409"/>
      <c r="HJ63" s="398">
        <f>IF(HI63=0,0,IF(LEN(GX63)=11,_xlfn.XLOOKUP(GX63,'Dispensed Ink Rates'!C:C,'Dispensed Ink Rates'!CS:CS),VLOOKUP(GX63,'Jan-2026 rates'!$E:$F,2,0)))</f>
        <v>0</v>
      </c>
      <c r="HK63" s="409"/>
      <c r="HL63" s="398">
        <f>IF(HK63=0,0,IF(LEN(GY63)=11,_xlfn.XLOOKUP(GY63,'Dispensed Ink Rates'!C:C,'Dispensed Ink Rates'!CS:CS),VLOOKUP(GY63,'Jan-2026 rates'!$E:$F,2,0)))</f>
        <v>0</v>
      </c>
      <c r="HM63" s="409"/>
      <c r="HN63" s="398">
        <f>IF(HM63=0,0,IF(LEN(GZ63)=11,_xlfn.XLOOKUP(GZ63,'Dispensed Ink Rates'!C:C,'Dispensed Ink Rates'!CS:CS),VLOOKUP(GZ63,'Jan-2026 rates'!$E:$F,2,0)))</f>
        <v>0</v>
      </c>
      <c r="HO63" s="409"/>
      <c r="HP63" s="398">
        <f>IF(HO63=0,0,IF(LEN(HA63)=11,_xlfn.XLOOKUP(HA63,'Dispensed Ink Rates'!C:C,'Dispensed Ink Rates'!CS:CS),VLOOKUP(HA63,'Jan-2026 rates'!$E:$F,2,0)))</f>
        <v>0</v>
      </c>
      <c r="HQ63" s="409"/>
      <c r="HR63" s="398">
        <f>IF(HQ63=0,0,IF(LEN(HB63)=11,_xlfn.XLOOKUP(HB63,'Dispensed Ink Rates'!C:C,'Dispensed Ink Rates'!CS:CS),VLOOKUP(HB63,'Jan-2026 rates'!$E:$F,2,0)))</f>
        <v>0</v>
      </c>
      <c r="HS63" s="409" t="s">
        <v>1443</v>
      </c>
      <c r="HT63" s="409">
        <v>28</v>
      </c>
      <c r="HU63" s="411">
        <f t="shared" si="21"/>
        <v>0</v>
      </c>
      <c r="HV63" s="411">
        <f t="shared" si="22"/>
        <v>32.810218978102192</v>
      </c>
      <c r="HW63" s="414">
        <f t="shared" si="23"/>
        <v>0</v>
      </c>
      <c r="HX63" s="405" t="s">
        <v>856</v>
      </c>
      <c r="HY63" s="409" t="s">
        <v>2926</v>
      </c>
      <c r="HZ63" s="420" t="str">
        <f t="shared" si="24"/>
        <v>FLINTSL - WHITE</v>
      </c>
      <c r="IA63" s="409">
        <v>30</v>
      </c>
      <c r="IB63" s="411">
        <f>IF(IA63=0,0,IF($LB63=70%,VLOOKUP($HZ63,'Jan-2026 rates'!$L:$R,4,0),IF($LB63=65%,VLOOKUP($HZ63,'Jan-2026 rates'!$L:$R,4,0),IF($LB63=40%,VLOOKUP($HZ63,'Jan-2026 rates'!$L:$R,5,0),IF($LB63=30%,VLOOKUP($HZ63,'Jan-2026 rates'!$L:$R,6,0),IF($LB63=100%,VLOOKUP($HZ63,'Jan-2026 rates'!$L:$R,7,0),IF($LB63=60%,VLOOKUP($HZ63,'Jan-2026 rates'!$L:$S,8,0),IF($LB63=80%,VLOOKUP($HZ63,'Jan-2026 rates'!L:T,9,0),0))))))))</f>
        <v>0</v>
      </c>
      <c r="IC63" s="412"/>
      <c r="ID63" s="409"/>
      <c r="IE63" s="411">
        <f>IF(ID63=0,0,IF($LB63=70%,VLOOKUP($HZ63,'Jan-2026 rates'!$L:$R,4,0),IF($LB63=65%,VLOOKUP($HZ63,'Jan-2026 rates'!$L:$R,4,0),IF($LB63=40%,VLOOKUP($HZ63,'Jan-2026 rates'!$L:$R,5,0),IF($LB63=30%,VLOOKUP($HZ63,'Jan-2026 rates'!$L:$R,6,0),IF($LB63=100%,VLOOKUP($HZ63,'Jan-2026 rates'!$L:$R,7,0),IF($LB63=60%,VLOOKUP($HZ63,'Jan-2026 rates'!$L:$S,8,0),IF($LB63=80%,VLOOKUP($HZ63,'Jan-2026 rates'!L:T,9,0),0))))))))</f>
        <v>0</v>
      </c>
      <c r="IF63" s="412" t="s">
        <v>484</v>
      </c>
      <c r="IG63" s="413"/>
      <c r="IH63" s="412"/>
      <c r="II63" s="412"/>
      <c r="IJ63" s="412"/>
      <c r="IK63" s="412"/>
      <c r="IL63" s="412"/>
      <c r="IM63" s="412"/>
      <c r="IN63" s="409">
        <f>70+100</f>
        <v>170</v>
      </c>
      <c r="IO63" s="398">
        <f>IF(IN63=0,0,IF(LEN(IF63)=11,_xlfn.XLOOKUP(IF63,'Dispensed Ink Rates'!C:C,'Dispensed Ink Rates'!CS:CS),VLOOKUP(IF63,'Jan-2026 rates'!$E:$F,2,0)))</f>
        <v>0</v>
      </c>
      <c r="IP63" s="409"/>
      <c r="IQ63" s="398">
        <f>IF(IP63=0,0,IF(LEN(IG63)=11,_xlfn.XLOOKUP(IG63,'Dispensed Ink Rates'!C:C,'Dispensed Ink Rates'!CS:CS),VLOOKUP(IG63,'Jan-2026 rates'!$E:$F,2,0)))</f>
        <v>0</v>
      </c>
      <c r="IR63" s="409"/>
      <c r="IS63" s="398">
        <f>IF(IR63=0,0,IF(LEN(IH63)=11,_xlfn.XLOOKUP(IH63,'Dispensed Ink Rates'!C:C,'Dispensed Ink Rates'!CS:CS),VLOOKUP(IH63,'Jan-2026 rates'!$E:$F,2,0)))</f>
        <v>0</v>
      </c>
      <c r="IT63" s="409"/>
      <c r="IU63" s="398">
        <f>IF(IT63=0,0,IF(LEN(II63)=11,_xlfn.XLOOKUP(II63,'Dispensed Ink Rates'!C:C,'Dispensed Ink Rates'!CS:CS),VLOOKUP(II63,'Jan-2026 rates'!$E:$F,2,0)))</f>
        <v>0</v>
      </c>
      <c r="IV63" s="409"/>
      <c r="IW63" s="398">
        <f>IF(IV63=0,0,IF(LEN(IJ63)=11,_xlfn.XLOOKUP(IJ63,'Dispensed Ink Rates'!C:C,'Dispensed Ink Rates'!CS:CS),VLOOKUP(IJ63,'Jan-2026 rates'!$E:$F,2,0)))</f>
        <v>0</v>
      </c>
      <c r="IX63" s="409"/>
      <c r="IY63" s="398">
        <f>IF(IX63=0,0,IF(LEN(IK63)=11,_xlfn.XLOOKUP(IK63,'Dispensed Ink Rates'!C:C,'Dispensed Ink Rates'!CS:CS),VLOOKUP(IK63,'Jan-2026 rates'!$E:$F,2,0)))</f>
        <v>0</v>
      </c>
      <c r="IZ63" s="409"/>
      <c r="JA63" s="398">
        <f>IF(IZ63=0,0,IF(LEN(IL63)=11,_xlfn.XLOOKUP(IL63,'Dispensed Ink Rates'!C:C,'Dispensed Ink Rates'!CS:CS),VLOOKUP(IL63,'Jan-2026 rates'!$E:$F,2,0)))</f>
        <v>0</v>
      </c>
      <c r="JB63" s="409"/>
      <c r="JC63" s="398">
        <f>IF(JB63=0,0,IF(LEN(IM63)=11,_xlfn.XLOOKUP(IM63,'Dispensed Ink Rates'!C:C,'Dispensed Ink Rates'!CS:CS),VLOOKUP(IM63,'Jan-2026 rates'!$E:$F,2,0)))</f>
        <v>0</v>
      </c>
      <c r="JD63" s="409" t="s">
        <v>1443</v>
      </c>
      <c r="JE63" s="409">
        <v>25</v>
      </c>
      <c r="JF63" s="411">
        <f t="shared" si="25"/>
        <v>0</v>
      </c>
      <c r="JG63" s="411">
        <f t="shared" si="26"/>
        <v>407.99270072992704</v>
      </c>
      <c r="JH63" s="410">
        <f t="shared" si="27"/>
        <v>0</v>
      </c>
      <c r="JI63" s="405"/>
      <c r="JJ63" s="409"/>
      <c r="JK63" s="420" t="str">
        <f t="shared" si="28"/>
        <v xml:space="preserve"> - </v>
      </c>
      <c r="JL63" s="409"/>
      <c r="JM63" s="411">
        <f>IF(JL63=0,0,IF($LB63=70%,VLOOKUP($JK63,'Jan-2026 rates'!$L:$R,4,0),IF($LB63=65%,VLOOKUP($JK63,'Jan-2026 rates'!$L:$R,4,0),IF($LB63=40%,VLOOKUP($JK63,'Jan-2026 rates'!$L:$R,5,0),IF($LB63=30%,VLOOKUP($JK63,'Jan-2026 rates'!$L:$R,6,0),IF($LB63=100%,VLOOKUP($JK63,'Jan-2026 rates'!$L:$R,7,0),IF($LB63=60%,VLOOKUP($JK63,'Jan-2026 rates'!$L:$S,8,0),IF($LB63=80%,VLOOKUP($JK63,'Jan-2026 rates'!L:T,9,0),0))))))))</f>
        <v>0</v>
      </c>
      <c r="JN63" s="412"/>
      <c r="JO63" s="409"/>
      <c r="JP63" s="411">
        <f>IF(JO63=0,0,IF($LB63=70%,VLOOKUP($JK63,'Jan-2026 rates'!$L:$R,4,0),IF($LB63=65%,VLOOKUP($JK63,'Jan-2026 rates'!$L:$R,4,0),IF($LB63=40%,VLOOKUP($JK63,'Jan-2026 rates'!$L:$R,5,0),IF($LB63=30%,VLOOKUP($JK63,'Jan-2026 rates'!$L:$R,6,0),IF($LB63=100%,VLOOKUP($JK63,'Jan-2026 rates'!$L:$R,7,0),IF($LB63=60%,VLOOKUP($JK63,'Jan-2026 rates'!$L:$S,8,0),IF($LB63=80%,VLOOKUP($JK63,'Jan-2026 rates'!L:T,9,0),0))))))))</f>
        <v>0</v>
      </c>
      <c r="JQ63" s="413"/>
      <c r="JR63" s="412"/>
      <c r="JS63" s="413"/>
      <c r="JT63" s="413"/>
      <c r="JU63" s="412"/>
      <c r="JV63" s="412"/>
      <c r="JW63" s="412"/>
      <c r="JX63" s="412"/>
      <c r="JY63" s="409"/>
      <c r="JZ63" s="398">
        <f>IF(JY63=0,0,IF(LEN(JQ63)=11,_xlfn.XLOOKUP(JQ63,'Dispensed Ink Rates'!C:C,'Dispensed Ink Rates'!CS:CS),VLOOKUP(JQ63,'Jan-2026 rates'!$E:$F,2,0)))</f>
        <v>0</v>
      </c>
      <c r="KA63" s="409"/>
      <c r="KB63" s="398">
        <f>IF(KA63=0,0,IF(LEN(JR63)=11,_xlfn.XLOOKUP(JR63,'Dispensed Ink Rates'!C:C,'Dispensed Ink Rates'!CS:CS),VLOOKUP(JR63,'Jan-2026 rates'!$E:$F,2,0)))</f>
        <v>0</v>
      </c>
      <c r="KC63" s="409"/>
      <c r="KD63" s="398">
        <f>IF(KC63=0,0,IF(LEN(JS63)=11,_xlfn.XLOOKUP(JS63,'Dispensed Ink Rates'!C:C,'Dispensed Ink Rates'!CS:CS),VLOOKUP(JS63,'Jan-2026 rates'!$E:$F,2,0)))</f>
        <v>0</v>
      </c>
      <c r="KE63" s="409"/>
      <c r="KF63" s="398">
        <f>IF(KE63=0,0,IF(LEN(JT63)=11,_xlfn.XLOOKUP(JT63,'Dispensed Ink Rates'!C:C,'Dispensed Ink Rates'!CS:CS),VLOOKUP(JT63,'Jan-2026 rates'!$E:$F,2,0)))</f>
        <v>0</v>
      </c>
      <c r="KG63" s="409"/>
      <c r="KH63" s="398">
        <f>IF(KG63=0,0,IF(LEN(JU63)=11,_xlfn.XLOOKUP(JU63,'Dispensed Ink Rates'!C:C,'Dispensed Ink Rates'!CS:CS),VLOOKUP(JU63,'Jan-2026 rates'!$E:$F,2,0)))</f>
        <v>0</v>
      </c>
      <c r="KI63" s="409"/>
      <c r="KJ63" s="398">
        <f>IF(KI63=0,0,IF(LEN(JV63)=11,_xlfn.XLOOKUP(JV63,'Dispensed Ink Rates'!C:C,'Dispensed Ink Rates'!CS:CS),VLOOKUP(JV63,'Jan-2026 rates'!$E:$F,2,0)))</f>
        <v>0</v>
      </c>
      <c r="KK63" s="409"/>
      <c r="KL63" s="398">
        <f>IF(KK63=0,0,IF(LEN(JW63)=11,_xlfn.XLOOKUP(JW63,'Dispensed Ink Rates'!C:C,'Dispensed Ink Rates'!CS:CS),VLOOKUP(JW63,'Jan-2026 rates'!$E:$F,2,0)))</f>
        <v>0</v>
      </c>
      <c r="KM63" s="428"/>
      <c r="KN63" s="398">
        <f>IF(KM63=0,0,IF(LEN(JX63)=11,_xlfn.XLOOKUP(JX63,'Dispensed Ink Rates'!C:C,'Dispensed Ink Rates'!CS:CS),VLOOKUP(JX63,'Jan-2026 rates'!$E:$F,2,0)))</f>
        <v>0</v>
      </c>
      <c r="KO63" s="409"/>
      <c r="KP63" s="409"/>
      <c r="KQ63" s="411">
        <f t="shared" si="29"/>
        <v>0</v>
      </c>
      <c r="KR63" s="411">
        <f t="shared" si="30"/>
        <v>0</v>
      </c>
      <c r="KS63" s="410">
        <f t="shared" si="31"/>
        <v>0</v>
      </c>
      <c r="KT63" s="409">
        <v>5</v>
      </c>
      <c r="KU63" s="409">
        <v>7</v>
      </c>
      <c r="KV63" s="409">
        <v>2</v>
      </c>
      <c r="KW63" s="409">
        <v>20</v>
      </c>
      <c r="KX63" s="409">
        <v>4</v>
      </c>
      <c r="KY63" s="409">
        <v>4</v>
      </c>
      <c r="KZ63" s="409">
        <f>35+60</f>
        <v>95</v>
      </c>
      <c r="LA63" s="409">
        <v>0</v>
      </c>
      <c r="LB63" s="415">
        <v>0.8</v>
      </c>
      <c r="LC63" s="415">
        <v>0.2</v>
      </c>
      <c r="LD63" s="415"/>
      <c r="LE63" s="415"/>
      <c r="LF63" s="415"/>
      <c r="LG63" s="409">
        <v>0</v>
      </c>
      <c r="LH63" s="409">
        <f>95+80+112+28+6+5+5+5</f>
        <v>336</v>
      </c>
      <c r="LI63" s="409">
        <v>0</v>
      </c>
      <c r="LJ63" s="409">
        <v>0</v>
      </c>
      <c r="LK63" s="416">
        <f t="shared" si="32"/>
        <v>336</v>
      </c>
      <c r="LL63" s="416">
        <f t="shared" si="33"/>
        <v>336</v>
      </c>
      <c r="LM63" s="417">
        <f t="shared" si="34"/>
        <v>268.8</v>
      </c>
      <c r="LN63" s="417">
        <f>VLOOKUP($LM$8,'Jan-2026 rates'!$H:$I,2,0)</f>
        <v>0</v>
      </c>
      <c r="LO63" s="417">
        <f t="shared" si="35"/>
        <v>67.2</v>
      </c>
      <c r="LP63" s="417">
        <f>VLOOKUP($LO$8,'Jan-2026 rates'!$H:$I,2,0)</f>
        <v>0</v>
      </c>
      <c r="LQ63" s="417">
        <f t="shared" si="36"/>
        <v>0</v>
      </c>
      <c r="LR63" s="417">
        <f>VLOOKUP($LQ$8,'Jan-2026 rates'!$H:$I,2,0)</f>
        <v>0</v>
      </c>
      <c r="LS63" s="417">
        <f t="shared" si="37"/>
        <v>0</v>
      </c>
      <c r="LT63" s="417">
        <f>VLOOKUP($LS$8,'Jan-2026 rates'!$H:$I,2,0)</f>
        <v>0</v>
      </c>
      <c r="LU63" s="417">
        <f t="shared" si="38"/>
        <v>0</v>
      </c>
      <c r="LV63" s="417">
        <f>VLOOKUP($LU$8,'Jan-2026 rates'!$H:$I,2,0)</f>
        <v>0</v>
      </c>
      <c r="LW63" s="417">
        <f t="shared" si="39"/>
        <v>0</v>
      </c>
      <c r="LX63" s="417">
        <f t="shared" si="40"/>
        <v>0</v>
      </c>
      <c r="LY63" s="418">
        <f t="shared" si="41"/>
        <v>0</v>
      </c>
      <c r="LZ63" s="417"/>
      <c r="MA63" s="435">
        <f t="shared" si="42"/>
        <v>281.2</v>
      </c>
      <c r="MB63" s="282">
        <f t="shared" si="43"/>
        <v>670.2</v>
      </c>
      <c r="MC63" s="283">
        <v>18</v>
      </c>
      <c r="MD63" s="284" t="str">
        <f t="shared" si="44"/>
        <v>FLINTSLFLINTSLFLINTSLFLINTSLFLINTSLFLINTSLFLINTSL</v>
      </c>
      <c r="ME63" s="293" t="str">
        <f t="shared" si="45"/>
        <v>+</v>
      </c>
      <c r="MF63" s="293" t="str">
        <f t="shared" si="46"/>
        <v>+</v>
      </c>
      <c r="MG63" s="293" t="str">
        <f t="shared" si="47"/>
        <v>+</v>
      </c>
      <c r="MH63" s="293" t="str">
        <f t="shared" si="48"/>
        <v>+</v>
      </c>
      <c r="MI63" s="293" t="str">
        <f t="shared" si="49"/>
        <v>+</v>
      </c>
      <c r="MJ63" s="293" t="str">
        <f t="shared" si="50"/>
        <v>+</v>
      </c>
      <c r="MK63" s="293" t="str">
        <f t="shared" si="51"/>
        <v>+</v>
      </c>
      <c r="ML63" s="293" t="str">
        <f t="shared" si="52"/>
        <v>NIL</v>
      </c>
      <c r="MM63" s="3" t="b">
        <f t="array" ref="MM63">OR(ME63:ML63="-")</f>
        <v>0</v>
      </c>
      <c r="MN63" s="285"/>
      <c r="MO63" s="401"/>
      <c r="MP63" s="286"/>
      <c r="MQ63" s="286"/>
      <c r="MR63" s="402"/>
      <c r="MS63" s="400"/>
      <c r="NH63" s="422"/>
      <c r="NJ63" s="421"/>
    </row>
    <row r="64" spans="1:374" s="1" customFormat="1" ht="16.5">
      <c r="A64" s="403">
        <v>46027</v>
      </c>
      <c r="B64" s="404" t="s">
        <v>1015</v>
      </c>
      <c r="C64" s="405" t="s">
        <v>2927</v>
      </c>
      <c r="D64" s="406">
        <v>19</v>
      </c>
      <c r="E64" s="404">
        <v>502</v>
      </c>
      <c r="F64" s="407">
        <v>16900</v>
      </c>
      <c r="G64" s="407" t="s">
        <v>1019</v>
      </c>
      <c r="H64" s="408" t="s">
        <v>1017</v>
      </c>
      <c r="I64" s="409">
        <v>1.9</v>
      </c>
      <c r="J64" s="405" t="s">
        <v>543</v>
      </c>
      <c r="K64" s="404" t="s">
        <v>2345</v>
      </c>
      <c r="L64" s="419" t="str">
        <f t="shared" si="0"/>
        <v>FLINTSL - BLACK</v>
      </c>
      <c r="M64" s="404">
        <v>29</v>
      </c>
      <c r="N64" s="410">
        <f>IF(M64=0,0,IF($LB64=70%,VLOOKUP($L64,'Jan-2026 rates'!$L:$R,4,0),IF($LB64=65%,VLOOKUP($L64,'Jan-2026 rates'!$L:$R,4,0),IF($LB64=40%,VLOOKUP($L64,'Jan-2026 rates'!$L:$R,5,0),IF($LB64=30%,VLOOKUP($L64,'Jan-2026 rates'!$L:$R,6,0),IF($LB64=100%,VLOOKUP($L64,'Jan-2026 rates'!$L:$R,7,0),IF($LB64=60%,VLOOKUP($L64,'Jan-2026 rates'!$L:$S,8,0),IF($LB64=80%,VLOOKUP($L64,'Jan-2026 rates'!L:T,9,0),0))))))))</f>
        <v>0</v>
      </c>
      <c r="O64" s="406"/>
      <c r="P64" s="404"/>
      <c r="Q64" s="410">
        <f>IF(P64=0,0,IF($LB64=70%,VLOOKUP($L64,'Jan-2026 rates'!$L:$R,4,0),IF($LB64=65%,VLOOKUP($L64,'Jan-2026 rates'!$L:$R,4,0),IF($LB64=40%,VLOOKUP($L64,'Jan-2026 rates'!$L:$R,5,0),IF($LB64=30%,VLOOKUP($L64,'Jan-2026 rates'!$L:$R,6,0),IF($LB64=100%,VLOOKUP($L64,'Jan-2026 rates'!$L:$R,7,0),IF($LB64=60%,VLOOKUP($L64,'Jan-2026 rates'!$L:$S,8,0),IF($LB64=80%,VLOOKUP($L64,'Jan-2026 rates'!L:T,9,0),0))))))))</f>
        <v>0</v>
      </c>
      <c r="R64" s="406">
        <v>26503000005</v>
      </c>
      <c r="S64" s="406"/>
      <c r="T64" s="406"/>
      <c r="U64" s="406"/>
      <c r="V64" s="406"/>
      <c r="W64" s="406"/>
      <c r="X64" s="406"/>
      <c r="Y64" s="406"/>
      <c r="Z64" s="404">
        <v>3</v>
      </c>
      <c r="AA64" s="398" t="e">
        <f>IF(Z64=0,0,IF(LEN(R64)=11,_xlfn.XLOOKUP(R64,'Dispensed Ink Rates'!C:C,'Dispensed Ink Rates'!CS:CS),VLOOKUP(R64,'Jan-2026 rates'!$E:$F,2,0)))</f>
        <v>#N/A</v>
      </c>
      <c r="AB64" s="404"/>
      <c r="AC64" s="398">
        <f>IF(AB64=0,0,IF(LEN(S64)=11,_xlfn.XLOOKUP(S64,'Dispensed Ink Rates'!C:C,'Dispensed Ink Rates'!CS:CS),VLOOKUP(S64,'Jan-2026 rates'!$E:$F,2,0)))</f>
        <v>0</v>
      </c>
      <c r="AD64" s="404"/>
      <c r="AE64" s="398">
        <f>IF(AD64=0,0,IF(LEN(T64)=11,_xlfn.XLOOKUP(T64,'Dispensed Ink Rates'!C:C,'Dispensed Ink Rates'!CS:CS),VLOOKUP(T64,'Jan-2026 rates'!$E:$F,2,0)))</f>
        <v>0</v>
      </c>
      <c r="AF64" s="404"/>
      <c r="AG64" s="398">
        <f>IF(AF64=0,0,IF(LEN(U64)=11,_xlfn.XLOOKUP(U64,'Dispensed Ink Rates'!C:C,'Dispensed Ink Rates'!CS:CS),VLOOKUP(U64,'Jan-2026 rates'!$E:$F,2,0)))</f>
        <v>0</v>
      </c>
      <c r="AH64" s="404"/>
      <c r="AI64" s="398">
        <f>IF(AH64=0,0,IF(LEN(V64)=11,_xlfn.XLOOKUP(V64,'Dispensed Ink Rates'!C:C,'Dispensed Ink Rates'!CS:CS),VLOOKUP(V64,'Jan-2026 rates'!$E:$F,2,0)))</f>
        <v>0</v>
      </c>
      <c r="AJ64" s="404"/>
      <c r="AK64" s="398">
        <f>IF(AJ64=0,0,IF(LEN(W64)=11,_xlfn.XLOOKUP(W64,'Dispensed Ink Rates'!C:C,'Dispensed Ink Rates'!CS:CS),VLOOKUP(W64,'Jan-2026 rates'!$E:$F,2,0)))</f>
        <v>0</v>
      </c>
      <c r="AL64" s="404"/>
      <c r="AM64" s="398">
        <f>IF(AL64=0,0,IF(LEN(X64)=11,_xlfn.XLOOKUP(X64,'Dispensed Ink Rates'!C:C,'Dispensed Ink Rates'!CS:CS),VLOOKUP(X64,'Jan-2026 rates'!$E:$F,2,0)))</f>
        <v>0</v>
      </c>
      <c r="AN64" s="404"/>
      <c r="AO64" s="398">
        <f>IF(AN64=0,0,IF(LEN(Y64)=11,_xlfn.XLOOKUP(Y64,'Dispensed Ink Rates'!C:C,'Dispensed Ink Rates'!CS:CS),VLOOKUP(Y64,'Jan-2026 rates'!$E:$F,2,0)))</f>
        <v>0</v>
      </c>
      <c r="AP64" s="409" t="s">
        <v>1443</v>
      </c>
      <c r="AQ64" s="409">
        <v>28</v>
      </c>
      <c r="AR64" s="410">
        <f t="shared" si="1"/>
        <v>0</v>
      </c>
      <c r="AS64" s="411">
        <f t="shared" si="2"/>
        <v>7.3599999999999994</v>
      </c>
      <c r="AT64" s="410">
        <f t="shared" si="3"/>
        <v>0</v>
      </c>
      <c r="AU64" s="405" t="s">
        <v>546</v>
      </c>
      <c r="AV64" s="409" t="s">
        <v>2387</v>
      </c>
      <c r="AW64" s="420" t="str">
        <f t="shared" si="53"/>
        <v>FLINTSL - REFLEX BLUE</v>
      </c>
      <c r="AX64" s="409">
        <v>7</v>
      </c>
      <c r="AY64" s="411">
        <f>IF(AX64=0,0,IF($LB64=70%,VLOOKUP($AW64,'Jan-2026 rates'!$L:$R,4,0),IF($LB64=65%,VLOOKUP($AW64,'Jan-2026 rates'!$L:$R,4,0),IF($LB64=40%,VLOOKUP($AW64,'Jan-2026 rates'!$L:$R,5,0),IF($LB64=30%,VLOOKUP($AW64,'Jan-2026 rates'!$L:$R,6,0),IF($LB64=100%,VLOOKUP($AW64,'Jan-2026 rates'!$L:$R,7,0),IF($LB64=60%,VLOOKUP($AW64,'Jan-2026 rates'!$L:$S,8,0),IF($LB64=80%,VLOOKUP($AW64,'Jan-2026 rates'!L:T,9,0),0))))))))</f>
        <v>0</v>
      </c>
      <c r="AZ64" s="412"/>
      <c r="BA64" s="409"/>
      <c r="BB64" s="411">
        <f>IF(BA64=0,0,IF($LB64=70%,VLOOKUP($AW64,'Jan-2026 rates'!$L:$R,4,0),IF($LB64=65%,VLOOKUP($AW64,'Jan-2026 rates'!$L:$R,4,0),IF($LB64=40%,VLOOKUP($AW64,'Jan-2026 rates'!$L:$R,5,0),IF($LB64=30%,VLOOKUP($AW64,'Jan-2026 rates'!$L:$R,6,0),IF($LB64=100%,VLOOKUP($AW64,'Jan-2026 rates'!$L:$R,7,0),IF($LB64=60%,VLOOKUP($AW64,'Jan-2026 rates'!$L:$S,8,0),IF($LB64=80%,VLOOKUP($AW64,'Jan-2026 rates'!L:T,9,0),0))))))))</f>
        <v>0</v>
      </c>
      <c r="BC64" s="413">
        <v>25864000013</v>
      </c>
      <c r="BD64" s="412">
        <v>9472</v>
      </c>
      <c r="BE64" s="412"/>
      <c r="BF64" s="413"/>
      <c r="BG64" s="412"/>
      <c r="BH64" s="412"/>
      <c r="BI64" s="412"/>
      <c r="BJ64" s="412"/>
      <c r="BK64" s="409">
        <v>10</v>
      </c>
      <c r="BL64" s="398" t="e">
        <f>IF(BK64=0,0,IF(LEN(BC64)=11,_xlfn.XLOOKUP(BC64,'Dispensed Ink Rates'!C:C,'Dispensed Ink Rates'!CS:CS),VLOOKUP(BC64,'Jan-2026 rates'!$E:$F,2,0)))</f>
        <v>#N/A</v>
      </c>
      <c r="BM64" s="409">
        <v>5</v>
      </c>
      <c r="BN64" s="398">
        <f>IF(BM64=0,0,IF(LEN(BD64)=11,_xlfn.XLOOKUP(BD64,'Dispensed Ink Rates'!C:C,'Dispensed Ink Rates'!CS:CS),VLOOKUP(BD64,'Jan-2026 rates'!$E:$F,2,0)))</f>
        <v>0</v>
      </c>
      <c r="BO64" s="409"/>
      <c r="BP64" s="398">
        <f>IF(BO64=0,0,IF(LEN(BE64)=11,_xlfn.XLOOKUP(BE64,'Dispensed Ink Rates'!C:C,'Dispensed Ink Rates'!CS:CS),VLOOKUP(BE64,'Jan-2026 rates'!$E:$F,2,0)))</f>
        <v>0</v>
      </c>
      <c r="BQ64" s="409"/>
      <c r="BR64" s="398">
        <f>IF(BQ64=0,0,IF(LEN(BF64)=11,_xlfn.XLOOKUP(BF64,'Dispensed Ink Rates'!C:C,'Dispensed Ink Rates'!CS:CS),VLOOKUP(BF64,'Jan-2026 rates'!$E:$F,2,0)))</f>
        <v>0</v>
      </c>
      <c r="BS64" s="409"/>
      <c r="BT64" s="398">
        <f>IF(BS64=0,0,IF(LEN(BG64)=11,_xlfn.XLOOKUP(BG64,'Dispensed Ink Rates'!C:C,'Dispensed Ink Rates'!CS:CS),VLOOKUP(BG64,'Jan-2026 rates'!$E:$F,2,0)))</f>
        <v>0</v>
      </c>
      <c r="BU64" s="409"/>
      <c r="BV64" s="398">
        <f>IF(BU64=0,0,IF(LEN(BH64)=11,_xlfn.XLOOKUP(BH64,'Dispensed Ink Rates'!C:C,'Dispensed Ink Rates'!CS:CS),VLOOKUP(BH64,'Jan-2026 rates'!$E:$F,2,0)))</f>
        <v>0</v>
      </c>
      <c r="BW64" s="409"/>
      <c r="BX64" s="398">
        <f>IF(BW64=0,0,IF(LEN(BI64)=11,_xlfn.XLOOKUP(BI64,'Dispensed Ink Rates'!C:C,'Dispensed Ink Rates'!CS:CS),VLOOKUP(BI64,'Jan-2026 rates'!$E:$F,2,0)))</f>
        <v>0</v>
      </c>
      <c r="BY64" s="409"/>
      <c r="BZ64" s="398">
        <f>IF(BY64=0,0,IF(LEN(BJ64)=11,_xlfn.XLOOKUP(BJ64,'Dispensed Ink Rates'!C:C,'Dispensed Ink Rates'!CS:CS),VLOOKUP(BJ64,'Jan-2026 rates'!$E:$F,2,0)))</f>
        <v>0</v>
      </c>
      <c r="CA64" s="409" t="s">
        <v>1443</v>
      </c>
      <c r="CB64" s="409">
        <v>23</v>
      </c>
      <c r="CC64" s="411">
        <f t="shared" si="5"/>
        <v>0</v>
      </c>
      <c r="CD64" s="411">
        <f t="shared" si="6"/>
        <v>10.759999999999998</v>
      </c>
      <c r="CE64" s="410">
        <f t="shared" si="7"/>
        <v>0</v>
      </c>
      <c r="CF64" s="404" t="s">
        <v>828</v>
      </c>
      <c r="CG64" s="409" t="s">
        <v>2928</v>
      </c>
      <c r="CH64" s="420" t="str">
        <f t="shared" si="8"/>
        <v>FLINTSL - ORANGE</v>
      </c>
      <c r="CI64" s="409">
        <v>15</v>
      </c>
      <c r="CJ64" s="411">
        <f>IF(CI64=0,0,IF($LB64=70%,VLOOKUP($CH64,'Jan-2026 rates'!$L:$R,4,0),IF($LB64=65%,VLOOKUP($CH64,'Jan-2026 rates'!$L:$R,4,0),IF($LB64=40%,VLOOKUP($CH64,'Jan-2026 rates'!$L:$R,5,0),IF($LB64=30%,VLOOKUP($CH64,'Jan-2026 rates'!$L:$R,6,0),IF($LB64=100%,VLOOKUP($CH64,'Jan-2026 rates'!$L:$R,7,0),IF($LB64=60%,VLOOKUP($CH64,'Jan-2026 rates'!$L:$S,8,0),IF($LB64=80%,VLOOKUP($CH64,'Jan-2026 rates'!L:T,9,0),0))))))))</f>
        <v>0</v>
      </c>
      <c r="CK64" s="412"/>
      <c r="CL64" s="409"/>
      <c r="CM64" s="411">
        <f>IF(CL64=0,0,IF($LB64=70%,VLOOKUP($CH64,'Jan-2026 rates'!$L:$R,4,0),IF($LB64=65%,VLOOKUP($CH64,'Jan-2026 rates'!$L:$R,4,0),IF($LB64=40%,VLOOKUP($CH64,'Jan-2026 rates'!$L:$R,5,0),IF($LB64=30%,VLOOKUP($CH64,'Jan-2026 rates'!$L:$R,6,0),IF($LB64=100%,VLOOKUP($CH64,'Jan-2026 rates'!$L:$R,7,0),IF($LB64=60%,VLOOKUP($CH64,'Jan-2026 rates'!$L:$S,8,0),IF($LB64=80%,VLOOKUP($CH64,'Jan-2026 rates'!L:T,9,0),0))))))))</f>
        <v>0</v>
      </c>
      <c r="CN64" s="426">
        <v>26504000008</v>
      </c>
      <c r="CO64" s="427">
        <v>25863000019</v>
      </c>
      <c r="CP64" s="426"/>
      <c r="CQ64" s="426"/>
      <c r="CR64" s="428"/>
      <c r="CS64" s="428"/>
      <c r="CT64" s="428"/>
      <c r="CU64" s="428"/>
      <c r="CV64" s="409">
        <v>10</v>
      </c>
      <c r="CW64" s="398" t="e">
        <f>IF(CV64=0,0,IF(LEN(CN64)=11,_xlfn.XLOOKUP(CN64,'Dispensed Ink Rates'!C:C,'Dispensed Ink Rates'!CS:CS),VLOOKUP(CN64,'Jan-2026 rates'!$E:$F,2,0)))</f>
        <v>#N/A</v>
      </c>
      <c r="CX64" s="409">
        <v>1</v>
      </c>
      <c r="CY64" s="398" t="e">
        <f>IF(CX64=0,0,IF(LEN(CO64)=11,_xlfn.XLOOKUP(CO64,'Dispensed Ink Rates'!C:C,'Dispensed Ink Rates'!CS:CS),VLOOKUP(CO64,'Jan-2026 rates'!$E:$F,2,0)))</f>
        <v>#N/A</v>
      </c>
      <c r="CZ64" s="409"/>
      <c r="DA64" s="398">
        <f>IF(CZ64=0,0,IF(LEN(CP64)=11,_xlfn.XLOOKUP(CP64,'Dispensed Ink Rates'!C:C,'Dispensed Ink Rates'!CS:CS),VLOOKUP(CP64,'Jan-2026 rates'!$E:$F,2,0)))</f>
        <v>0</v>
      </c>
      <c r="DB64" s="409"/>
      <c r="DC64" s="398">
        <f>IF(DB64=0,0,IF(LEN(CQ64)=11,_xlfn.XLOOKUP(CQ64,'Dispensed Ink Rates'!C:C,'Dispensed Ink Rates'!CS:CS),VLOOKUP(CQ64,'Jan-2026 rates'!$E:$F,2,0)))</f>
        <v>0</v>
      </c>
      <c r="DD64" s="409"/>
      <c r="DE64" s="398">
        <f>IF(DD64=0,0,IF(LEN(CR64)=11,_xlfn.XLOOKUP(CR64,'Dispensed Ink Rates'!C:C,'Dispensed Ink Rates'!CS:CS),VLOOKUP(CR64,'Jan-2026 rates'!$E:$F,2,0)))</f>
        <v>0</v>
      </c>
      <c r="DF64" s="409"/>
      <c r="DG64" s="398">
        <f>IF(DF64=0,0,IF(LEN(CS64)=11,_xlfn.XLOOKUP(CS64,'Dispensed Ink Rates'!C:C,'Dispensed Ink Rates'!CS:CS),VLOOKUP(CS64,'Jan-2026 rates'!$E:$F,2,0)))</f>
        <v>0</v>
      </c>
      <c r="DH64" s="409"/>
      <c r="DI64" s="398">
        <f>IF(DH64=0,0,IF(LEN(CT64)=11,_xlfn.XLOOKUP(CT64,'Dispensed Ink Rates'!C:C,'Dispensed Ink Rates'!CS:CS),VLOOKUP(CT64,'Jan-2026 rates'!$E:$F,2,0)))</f>
        <v>0</v>
      </c>
      <c r="DJ64" s="409"/>
      <c r="DK64" s="398">
        <f>IF(DJ64=0,0,IF(LEN(CU64)=11,_xlfn.XLOOKUP(CU64,'Dispensed Ink Rates'!C:C,'Dispensed Ink Rates'!CS:CS),VLOOKUP(CU64,'Jan-2026 rates'!$E:$F,2,0)))</f>
        <v>0</v>
      </c>
      <c r="DL64" s="409" t="s">
        <v>1443</v>
      </c>
      <c r="DM64" s="409">
        <v>26</v>
      </c>
      <c r="DN64" s="411">
        <f t="shared" si="9"/>
        <v>0</v>
      </c>
      <c r="DO64" s="411">
        <f t="shared" si="10"/>
        <v>8.3999999999999986</v>
      </c>
      <c r="DP64" s="410">
        <f t="shared" si="11"/>
        <v>0</v>
      </c>
      <c r="DQ64" s="405" t="s">
        <v>855</v>
      </c>
      <c r="DR64" s="409" t="s">
        <v>2346</v>
      </c>
      <c r="DS64" s="420" t="str">
        <f t="shared" si="12"/>
        <v>FLINTSL - CYAN</v>
      </c>
      <c r="DT64" s="409">
        <v>8</v>
      </c>
      <c r="DU64" s="411">
        <f>IF(DT64=0,0,IF($LB64=70%,VLOOKUP($DS64,'Jan-2026 rates'!$L:$R,4,0),IF($LB64=65%,VLOOKUP($DS64,'Jan-2026 rates'!$L:$R,4,0),IF($LB64=40%,VLOOKUP($DS64,'Jan-2026 rates'!$L:$R,5,0),IF($LB64=30%,VLOOKUP($DS64,'Jan-2026 rates'!$L:$R,6,0),IF($LB64=100%,VLOOKUP($DS64,'Jan-2026 rates'!$L:$R,7,0),IF($LB64=60%,VLOOKUP($DS64,'Jan-2026 rates'!$L:$S,8,0),IF($LB64=80%,VLOOKUP($DS64,'Jan-2026 rates'!L:T,9,0),0))))))))</f>
        <v>0</v>
      </c>
      <c r="DV64" s="412"/>
      <c r="DW64" s="409"/>
      <c r="DX64" s="411">
        <f>IF(DW64=0,0,IF($LB64=70%,VLOOKUP($DS64,'Jan-2026 rates'!$L:$R,4,0),IF($LB64=65%,VLOOKUP($DS64,'Jan-2026 rates'!$L:$R,4,0),IF($LB64=40%,VLOOKUP($DS64,'Jan-2026 rates'!$L:$R,5,0),IF($LB64=30%,VLOOKUP($DS64,'Jan-2026 rates'!$L:$R,6,0),IF($LB64=100%,VLOOKUP($DS64,'Jan-2026 rates'!$L:$R,7,0),IF($LB64=60%,VLOOKUP($DS64,'Jan-2026 rates'!$L:$S,8,0),IF($LB64=80%,VLOOKUP($DS64,'Jan-2026 rates'!L:T,9,0),0))))))))</f>
        <v>0</v>
      </c>
      <c r="DY64" s="413">
        <v>25851000006</v>
      </c>
      <c r="DZ64" s="413">
        <v>26504000001</v>
      </c>
      <c r="EA64" s="412" t="s">
        <v>1266</v>
      </c>
      <c r="EB64" s="412"/>
      <c r="EC64" s="412"/>
      <c r="ED64" s="412"/>
      <c r="EE64" s="412"/>
      <c r="EF64" s="412"/>
      <c r="EG64" s="409">
        <v>0.3</v>
      </c>
      <c r="EH64" s="398" t="e">
        <f>IF(EG64=0,0,IF(LEN(DY64)=11,_xlfn.XLOOKUP(DY64,'Dispensed Ink Rates'!C:C,'Dispensed Ink Rates'!CS:CS),VLOOKUP(DY64,'Jan-2026 rates'!$E:$F,2,0)))</f>
        <v>#N/A</v>
      </c>
      <c r="EI64" s="409">
        <v>30</v>
      </c>
      <c r="EJ64" s="398" t="e">
        <f>IF(EI64=0,0,IF(LEN(DZ64)=11,_xlfn.XLOOKUP(DZ64,'Dispensed Ink Rates'!C:C,'Dispensed Ink Rates'!CS:CS),VLOOKUP(DZ64,'Jan-2026 rates'!$E:$F,2,0)))</f>
        <v>#N/A</v>
      </c>
      <c r="EK64" s="409">
        <v>18</v>
      </c>
      <c r="EL64" s="398">
        <f>IF(EK64=0,0,IF(LEN(EA64)=11,_xlfn.XLOOKUP(EA64,'Dispensed Ink Rates'!C:C,'Dispensed Ink Rates'!CS:CS),VLOOKUP(EA64,'Jan-2026 rates'!$E:$F,2,0)))</f>
        <v>0</v>
      </c>
      <c r="EM64" s="409"/>
      <c r="EN64" s="398">
        <f>IF(EM64=0,0,IF(LEN(EB64)=11,_xlfn.XLOOKUP(EB64,'Dispensed Ink Rates'!C:C,'Dispensed Ink Rates'!CS:CS),VLOOKUP(EB64,'Jan-2026 rates'!$E:$F,2,0)))</f>
        <v>0</v>
      </c>
      <c r="EO64" s="409"/>
      <c r="EP64" s="398">
        <f>IF(EO64=0,0,IF(LEN(EC64)=11,_xlfn.XLOOKUP(EC64,'Dispensed Ink Rates'!C:C,'Dispensed Ink Rates'!CS:CS),VLOOKUP(EC64,'Jan-2026 rates'!$E:$F,2,0)))</f>
        <v>0</v>
      </c>
      <c r="EQ64" s="409"/>
      <c r="ER64" s="398">
        <f>IF(EQ64=0,0,IF(LEN(ED64)=11,_xlfn.XLOOKUP(ED64,'Dispensed Ink Rates'!C:C,'Dispensed Ink Rates'!CS:CS),VLOOKUP(ED64,'Jan-2026 rates'!$E:$F,2,0)))</f>
        <v>0</v>
      </c>
      <c r="ES64" s="409"/>
      <c r="ET64" s="398">
        <f>IF(ES64=0,0,IF(LEN(EE64)=11,_xlfn.XLOOKUP(EE64,'Dispensed Ink Rates'!C:C,'Dispensed Ink Rates'!CS:CS),VLOOKUP(EE64,'Jan-2026 rates'!$E:$F,2,0)))</f>
        <v>0</v>
      </c>
      <c r="EU64" s="409"/>
      <c r="EV64" s="398">
        <f>IF(EU64=0,0,IF(LEN(EF64)=11,_xlfn.XLOOKUP(EF64,'Dispensed Ink Rates'!C:C,'Dispensed Ink Rates'!CS:CS),VLOOKUP(EF64,'Jan-2026 rates'!$E:$F,2,0)))</f>
        <v>0</v>
      </c>
      <c r="EW64" s="409" t="s">
        <v>1443</v>
      </c>
      <c r="EX64" s="409">
        <v>20</v>
      </c>
      <c r="EY64" s="411">
        <f t="shared" si="13"/>
        <v>0</v>
      </c>
      <c r="EZ64" s="411">
        <f t="shared" si="14"/>
        <v>69.900000000000006</v>
      </c>
      <c r="FA64" s="410">
        <f t="shared" si="15"/>
        <v>0</v>
      </c>
      <c r="FB64" s="405" t="s">
        <v>855</v>
      </c>
      <c r="FC64" s="409" t="s">
        <v>2346</v>
      </c>
      <c r="FD64" s="420" t="str">
        <f t="shared" si="16"/>
        <v>FLINTSL - CYAN</v>
      </c>
      <c r="FE64" s="409">
        <v>20</v>
      </c>
      <c r="FF64" s="411">
        <f>IF(FE64=0,0,IF($LB64=70%,VLOOKUP($FD64,'Jan-2026 rates'!$L:$R,4,0),IF($LB64=65%,VLOOKUP($FD64,'Jan-2026 rates'!$L:$R,4,0),IF($LB64=40%,VLOOKUP($FD64,'Jan-2026 rates'!$L:$R,5,0),IF($LB64=30%,VLOOKUP($FD64,'Jan-2026 rates'!$L:$R,6,0),IF($LB64=100%,VLOOKUP($FD64,'Jan-2026 rates'!$L:$R,7,0),IF($LB64=60%,VLOOKUP($FD64,'Jan-2026 rates'!$L:$S,8,0),IF($LB64=80%,VLOOKUP($FD64,'Jan-2026 rates'!L:T,9,0),0))))))))</f>
        <v>0</v>
      </c>
      <c r="FG64" s="412"/>
      <c r="FH64" s="409"/>
      <c r="FI64" s="411">
        <f>IF(FH64=0,0,IF($LB64=70%,VLOOKUP($FD64,'Jan-2026 rates'!$L:$R,4,0),IF($LB64=65%,VLOOKUP($FD64,'Jan-2026 rates'!$L:$R,4,0),IF($LB64=40%,VLOOKUP($FD64,'Jan-2026 rates'!$L:$R,5,0),IF($LB64=30%,VLOOKUP($FD64,'Jan-2026 rates'!$L:$R,6,0),IF($LB64=100%,VLOOKUP($FD64,'Jan-2026 rates'!$L:$R,7,0),IF($LB64=60%,VLOOKUP($FD64,'Jan-2026 rates'!$L:$S,8,0),IF($LB64=80%,VLOOKUP($FD64,'Jan-2026 rates'!L:T,9,0),0))))))))</f>
        <v>0</v>
      </c>
      <c r="FJ64" s="413">
        <v>25864000009</v>
      </c>
      <c r="FK64" s="413"/>
      <c r="FL64" s="413"/>
      <c r="FM64" s="412"/>
      <c r="FN64" s="412"/>
      <c r="FO64" s="412"/>
      <c r="FP64" s="412"/>
      <c r="FQ64" s="412"/>
      <c r="FR64" s="409">
        <v>5</v>
      </c>
      <c r="FS64" s="398" t="e">
        <f>IF(FR64=0,0,IF(LEN(FJ64)=11,_xlfn.XLOOKUP(FJ64,'Dispensed Ink Rates'!C:C,'Dispensed Ink Rates'!CS:CS),VLOOKUP(FJ64,'Jan-2026 rates'!$E:$F,2,0)))</f>
        <v>#N/A</v>
      </c>
      <c r="FT64" s="409"/>
      <c r="FU64" s="398">
        <f>IF(FT64=0,0,IF(LEN(FK64)=11,_xlfn.XLOOKUP(FK64,'Dispensed Ink Rates'!C:C,'Dispensed Ink Rates'!CS:CS),VLOOKUP(FK64,'Jan-2026 rates'!$E:$F,2,0)))</f>
        <v>0</v>
      </c>
      <c r="FV64" s="409"/>
      <c r="FW64" s="398">
        <f>IF(FV64=0,0,IF(LEN(FL64)=11,_xlfn.XLOOKUP(FL64,'Dispensed Ink Rates'!C:C,'Dispensed Ink Rates'!CS:CS),VLOOKUP(FL64,'Jan-2026 rates'!$E:$F,2,0)))</f>
        <v>0</v>
      </c>
      <c r="FX64" s="409"/>
      <c r="FY64" s="398">
        <f>IF(FX64=0,0,IF(LEN(FM64)=11,_xlfn.XLOOKUP(FM64,'Dispensed Ink Rates'!C:C,'Dispensed Ink Rates'!CS:CS),VLOOKUP(FM64,'Jan-2026 rates'!$E:$F,2,0)))</f>
        <v>0</v>
      </c>
      <c r="FZ64" s="409"/>
      <c r="GA64" s="398">
        <f>IF(FZ64=0,0,IF(LEN(FN64)=11,_xlfn.XLOOKUP(FN64,'Dispensed Ink Rates'!C:C,'Dispensed Ink Rates'!CS:CS),VLOOKUP(FN64,'Jan-2026 rates'!$E:$F,2,0)))</f>
        <v>0</v>
      </c>
      <c r="GB64" s="409"/>
      <c r="GC64" s="398">
        <f>IF(GB64=0,0,IF(LEN(FO64)=11,_xlfn.XLOOKUP(FO64,'Dispensed Ink Rates'!C:C,'Dispensed Ink Rates'!CS:CS),VLOOKUP(FO64,'Jan-2026 rates'!$E:$F,2,0)))</f>
        <v>0</v>
      </c>
      <c r="GD64" s="409"/>
      <c r="GE64" s="398">
        <f>IF(GD64=0,0,IF(LEN(FP64)=11,_xlfn.XLOOKUP(FP64,'Dispensed Ink Rates'!C:C,'Dispensed Ink Rates'!CS:CS),VLOOKUP(FP64,'Jan-2026 rates'!$E:$F,2,0)))</f>
        <v>0</v>
      </c>
      <c r="GF64" s="409"/>
      <c r="GG64" s="398">
        <f>IF(GF64=0,0,IF(LEN(FQ64)=11,_xlfn.XLOOKUP(FQ64,'Dispensed Ink Rates'!C:C,'Dispensed Ink Rates'!CS:CS),VLOOKUP(FQ64,'Jan-2026 rates'!$E:$F,2,0)))</f>
        <v>0</v>
      </c>
      <c r="GH64" s="409" t="s">
        <v>1443</v>
      </c>
      <c r="GI64" s="409">
        <v>24</v>
      </c>
      <c r="GJ64" s="411">
        <f t="shared" si="17"/>
        <v>0</v>
      </c>
      <c r="GK64" s="411">
        <f t="shared" si="18"/>
        <v>7.7199999999999989</v>
      </c>
      <c r="GL64" s="410">
        <f t="shared" si="19"/>
        <v>0</v>
      </c>
      <c r="GM64" s="405" t="s">
        <v>544</v>
      </c>
      <c r="GN64" s="409" t="s">
        <v>2347</v>
      </c>
      <c r="GO64" s="420" t="str">
        <f t="shared" si="20"/>
        <v>FLINTSL - MAGENTA</v>
      </c>
      <c r="GP64" s="409">
        <v>26</v>
      </c>
      <c r="GQ64" s="411">
        <f>IF(GP64=0,0,IF($LB64=70%,VLOOKUP($GO64,'Jan-2026 rates'!$L:$R,4,0),IF($LB64=65%,VLOOKUP($GO64,'Jan-2026 rates'!$L:$R,4,0),IF($LB64=40%,VLOOKUP($GO64,'Jan-2026 rates'!$L:$R,5,0),IF($LB64=30%,VLOOKUP($GO64,'Jan-2026 rates'!$L:$R,6,0),IF($LB64=100%,VLOOKUP($GO64,'Jan-2026 rates'!$L:$R,7,0),IF($LB64=60%,VLOOKUP($GO64,'Jan-2026 rates'!$L:$S,8,0),IF($LB64=80%,VLOOKUP($GO64,'Jan-2026 rates'!L:T,9,0),0))))))))</f>
        <v>0</v>
      </c>
      <c r="GR64" s="412"/>
      <c r="GS64" s="409"/>
      <c r="GT64" s="411">
        <f>IF(GS64=0,0,IF($LB64=70%,VLOOKUP($GO64,'Jan-2026 rates'!$L:$R,4,0),IF($LB64=65%,VLOOKUP($GO64,'Jan-2026 rates'!$L:$R,4,0),IF($LB64=40%,VLOOKUP($GO64,'Jan-2026 rates'!$L:$R,5,0),IF($LB64=30%,VLOOKUP($GO64,'Jan-2026 rates'!$L:$R,6,0),IF($LB64=100%,VLOOKUP($GO64,'Jan-2026 rates'!$L:$R,7,0),IF($LB64=60%,VLOOKUP($GO64,'Jan-2026 rates'!$L:$S,8,0),IF($LB64=80%,VLOOKUP($GO64,'Jan-2026 rates'!L:T,9,0),0))))))))</f>
        <v>0</v>
      </c>
      <c r="GU64" s="413">
        <v>26505000005</v>
      </c>
      <c r="GV64" s="413"/>
      <c r="GW64" s="412"/>
      <c r="GX64" s="412"/>
      <c r="GY64" s="412"/>
      <c r="GZ64" s="412"/>
      <c r="HA64" s="412"/>
      <c r="HB64" s="412"/>
      <c r="HC64" s="409">
        <v>5</v>
      </c>
      <c r="HD64" s="398" t="e">
        <f>IF(HC64=0,0,IF(LEN(GU64)=11,_xlfn.XLOOKUP(GU64,'Dispensed Ink Rates'!C:C,'Dispensed Ink Rates'!CS:CS),VLOOKUP(GU64,'Jan-2026 rates'!$E:$F,2,0)))</f>
        <v>#N/A</v>
      </c>
      <c r="HE64" s="409"/>
      <c r="HF64" s="398">
        <f>IF(HE64=0,0,IF(LEN(GV64)=11,_xlfn.XLOOKUP(GV64,'Dispensed Ink Rates'!C:C,'Dispensed Ink Rates'!CS:CS),VLOOKUP(GV64,'Jan-2026 rates'!$E:$F,2,0)))</f>
        <v>0</v>
      </c>
      <c r="HG64" s="409"/>
      <c r="HH64" s="398">
        <f>IF(HG64=0,0,IF(LEN(GW64)=11,_xlfn.XLOOKUP(GW64,'Dispensed Ink Rates'!C:C,'Dispensed Ink Rates'!CS:CS),VLOOKUP(GW64,'Jan-2026 rates'!$E:$F,2,0)))</f>
        <v>0</v>
      </c>
      <c r="HI64" s="409"/>
      <c r="HJ64" s="398">
        <f>IF(HI64=0,0,IF(LEN(GX64)=11,_xlfn.XLOOKUP(GX64,'Dispensed Ink Rates'!C:C,'Dispensed Ink Rates'!CS:CS),VLOOKUP(GX64,'Jan-2026 rates'!$E:$F,2,0)))</f>
        <v>0</v>
      </c>
      <c r="HK64" s="409"/>
      <c r="HL64" s="398">
        <f>IF(HK64=0,0,IF(LEN(GY64)=11,_xlfn.XLOOKUP(GY64,'Dispensed Ink Rates'!C:C,'Dispensed Ink Rates'!CS:CS),VLOOKUP(GY64,'Jan-2026 rates'!$E:$F,2,0)))</f>
        <v>0</v>
      </c>
      <c r="HM64" s="409"/>
      <c r="HN64" s="398">
        <f>IF(HM64=0,0,IF(LEN(GZ64)=11,_xlfn.XLOOKUP(GZ64,'Dispensed Ink Rates'!C:C,'Dispensed Ink Rates'!CS:CS),VLOOKUP(GZ64,'Jan-2026 rates'!$E:$F,2,0)))</f>
        <v>0</v>
      </c>
      <c r="HO64" s="409"/>
      <c r="HP64" s="398">
        <f>IF(HO64=0,0,IF(LEN(HA64)=11,_xlfn.XLOOKUP(HA64,'Dispensed Ink Rates'!C:C,'Dispensed Ink Rates'!CS:CS),VLOOKUP(HA64,'Jan-2026 rates'!$E:$F,2,0)))</f>
        <v>0</v>
      </c>
      <c r="HQ64" s="409"/>
      <c r="HR64" s="398">
        <f>IF(HQ64=0,0,IF(LEN(HB64)=11,_xlfn.XLOOKUP(HB64,'Dispensed Ink Rates'!C:C,'Dispensed Ink Rates'!CS:CS),VLOOKUP(HB64,'Jan-2026 rates'!$E:$F,2,0)))</f>
        <v>0</v>
      </c>
      <c r="HS64" s="409" t="s">
        <v>1443</v>
      </c>
      <c r="HT64" s="409">
        <v>28</v>
      </c>
      <c r="HU64" s="411">
        <f t="shared" si="21"/>
        <v>0</v>
      </c>
      <c r="HV64" s="411">
        <f t="shared" si="22"/>
        <v>6.3599999999999994</v>
      </c>
      <c r="HW64" s="414">
        <f t="shared" si="23"/>
        <v>0</v>
      </c>
      <c r="HX64" s="405" t="s">
        <v>545</v>
      </c>
      <c r="HY64" s="409" t="s">
        <v>2348</v>
      </c>
      <c r="HZ64" s="420" t="str">
        <f t="shared" si="24"/>
        <v>FLINTSL - YELLOW</v>
      </c>
      <c r="IA64" s="409">
        <v>27</v>
      </c>
      <c r="IB64" s="411">
        <f>IF(IA64=0,0,IF($LB64=70%,VLOOKUP($HZ64,'Jan-2026 rates'!$L:$R,4,0),IF($LB64=65%,VLOOKUP($HZ64,'Jan-2026 rates'!$L:$R,4,0),IF($LB64=40%,VLOOKUP($HZ64,'Jan-2026 rates'!$L:$R,5,0),IF($LB64=30%,VLOOKUP($HZ64,'Jan-2026 rates'!$L:$R,6,0),IF($LB64=100%,VLOOKUP($HZ64,'Jan-2026 rates'!$L:$R,7,0),IF($LB64=60%,VLOOKUP($HZ64,'Jan-2026 rates'!$L:$S,8,0),IF($LB64=80%,VLOOKUP($HZ64,'Jan-2026 rates'!L:T,9,0),0))))))))</f>
        <v>0</v>
      </c>
      <c r="IC64" s="412"/>
      <c r="ID64" s="409"/>
      <c r="IE64" s="411">
        <f>IF(ID64=0,0,IF($LB64=70%,VLOOKUP($HZ64,'Jan-2026 rates'!$L:$R,4,0),IF($LB64=65%,VLOOKUP($HZ64,'Jan-2026 rates'!$L:$R,4,0),IF($LB64=40%,VLOOKUP($HZ64,'Jan-2026 rates'!$L:$R,5,0),IF($LB64=30%,VLOOKUP($HZ64,'Jan-2026 rates'!$L:$R,6,0),IF($LB64=100%,VLOOKUP($HZ64,'Jan-2026 rates'!$L:$R,7,0),IF($LB64=60%,VLOOKUP($HZ64,'Jan-2026 rates'!$L:$S,8,0),IF($LB64=80%,VLOOKUP($HZ64,'Jan-2026 rates'!L:T,9,0),0))))))))</f>
        <v>0</v>
      </c>
      <c r="IF64" s="412">
        <v>25864000008</v>
      </c>
      <c r="IG64" s="413"/>
      <c r="IH64" s="412"/>
      <c r="II64" s="412"/>
      <c r="IJ64" s="412"/>
      <c r="IK64" s="412"/>
      <c r="IL64" s="412"/>
      <c r="IM64" s="412"/>
      <c r="IN64" s="409">
        <v>1</v>
      </c>
      <c r="IO64" s="398" t="e">
        <f>IF(IN64=0,0,IF(LEN(IF64)=11,_xlfn.XLOOKUP(IF64,'Dispensed Ink Rates'!C:C,'Dispensed Ink Rates'!CS:CS),VLOOKUP(IF64,'Jan-2026 rates'!$E:$F,2,0)))</f>
        <v>#N/A</v>
      </c>
      <c r="IP64" s="409"/>
      <c r="IQ64" s="398">
        <f>IF(IP64=0,0,IF(LEN(IG64)=11,_xlfn.XLOOKUP(IG64,'Dispensed Ink Rates'!C:C,'Dispensed Ink Rates'!CS:CS),VLOOKUP(IG64,'Jan-2026 rates'!$E:$F,2,0)))</f>
        <v>0</v>
      </c>
      <c r="IR64" s="409"/>
      <c r="IS64" s="398">
        <f>IF(IR64=0,0,IF(LEN(IH64)=11,_xlfn.XLOOKUP(IH64,'Dispensed Ink Rates'!C:C,'Dispensed Ink Rates'!CS:CS),VLOOKUP(IH64,'Jan-2026 rates'!$E:$F,2,0)))</f>
        <v>0</v>
      </c>
      <c r="IT64" s="409"/>
      <c r="IU64" s="398">
        <f>IF(IT64=0,0,IF(LEN(II64)=11,_xlfn.XLOOKUP(II64,'Dispensed Ink Rates'!C:C,'Dispensed Ink Rates'!CS:CS),VLOOKUP(II64,'Jan-2026 rates'!$E:$F,2,0)))</f>
        <v>0</v>
      </c>
      <c r="IV64" s="409"/>
      <c r="IW64" s="398">
        <f>IF(IV64=0,0,IF(LEN(IJ64)=11,_xlfn.XLOOKUP(IJ64,'Dispensed Ink Rates'!C:C,'Dispensed Ink Rates'!CS:CS),VLOOKUP(IJ64,'Jan-2026 rates'!$E:$F,2,0)))</f>
        <v>0</v>
      </c>
      <c r="IX64" s="409"/>
      <c r="IY64" s="398">
        <f>IF(IX64=0,0,IF(LEN(IK64)=11,_xlfn.XLOOKUP(IK64,'Dispensed Ink Rates'!C:C,'Dispensed Ink Rates'!CS:CS),VLOOKUP(IK64,'Jan-2026 rates'!$E:$F,2,0)))</f>
        <v>0</v>
      </c>
      <c r="IZ64" s="409"/>
      <c r="JA64" s="398">
        <f>IF(IZ64=0,0,IF(LEN(IL64)=11,_xlfn.XLOOKUP(IL64,'Dispensed Ink Rates'!C:C,'Dispensed Ink Rates'!CS:CS),VLOOKUP(IL64,'Jan-2026 rates'!$E:$F,2,0)))</f>
        <v>0</v>
      </c>
      <c r="JB64" s="409"/>
      <c r="JC64" s="398">
        <f>IF(JB64=0,0,IF(LEN(IM64)=11,_xlfn.XLOOKUP(IM64,'Dispensed Ink Rates'!C:C,'Dispensed Ink Rates'!CS:CS),VLOOKUP(IM64,'Jan-2026 rates'!$E:$F,2,0)))</f>
        <v>0</v>
      </c>
      <c r="JD64" s="409" t="s">
        <v>1443</v>
      </c>
      <c r="JE64" s="409">
        <v>26</v>
      </c>
      <c r="JF64" s="411">
        <f t="shared" si="25"/>
        <v>0</v>
      </c>
      <c r="JG64" s="411">
        <f t="shared" si="26"/>
        <v>10.399999999999999</v>
      </c>
      <c r="JH64" s="410">
        <f t="shared" si="27"/>
        <v>0</v>
      </c>
      <c r="JI64" s="405" t="s">
        <v>856</v>
      </c>
      <c r="JJ64" s="409" t="s">
        <v>2349</v>
      </c>
      <c r="JK64" s="420" t="str">
        <f t="shared" si="28"/>
        <v>FLINTSL - WHITE</v>
      </c>
      <c r="JL64" s="409">
        <v>20</v>
      </c>
      <c r="JM64" s="411">
        <f>IF(JL64=0,0,IF($LB64=70%,VLOOKUP($JK64,'Jan-2026 rates'!$L:$R,4,0),IF($LB64=65%,VLOOKUP($JK64,'Jan-2026 rates'!$L:$R,4,0),IF($LB64=40%,VLOOKUP($JK64,'Jan-2026 rates'!$L:$R,5,0),IF($LB64=30%,VLOOKUP($JK64,'Jan-2026 rates'!$L:$R,6,0),IF($LB64=100%,VLOOKUP($JK64,'Jan-2026 rates'!$L:$R,7,0),IF($LB64=60%,VLOOKUP($JK64,'Jan-2026 rates'!$L:$S,8,0),IF($LB64=80%,VLOOKUP($JK64,'Jan-2026 rates'!L:T,9,0),0))))))))</f>
        <v>0</v>
      </c>
      <c r="JN64" s="412"/>
      <c r="JO64" s="409"/>
      <c r="JP64" s="411">
        <f>IF(JO64=0,0,IF($LB64=70%,VLOOKUP($JK64,'Jan-2026 rates'!$L:$R,4,0),IF($LB64=65%,VLOOKUP($JK64,'Jan-2026 rates'!$L:$R,4,0),IF($LB64=40%,VLOOKUP($JK64,'Jan-2026 rates'!$L:$R,5,0),IF($LB64=30%,VLOOKUP($JK64,'Jan-2026 rates'!$L:$R,6,0),IF($LB64=100%,VLOOKUP($JK64,'Jan-2026 rates'!$L:$R,7,0),IF($LB64=60%,VLOOKUP($JK64,'Jan-2026 rates'!$L:$S,8,0),IF($LB64=80%,VLOOKUP($JK64,'Jan-2026 rates'!L:T,9,0),0))))))))</f>
        <v>0</v>
      </c>
      <c r="JQ64" s="413" t="s">
        <v>484</v>
      </c>
      <c r="JR64" s="412"/>
      <c r="JS64" s="413"/>
      <c r="JT64" s="413"/>
      <c r="JU64" s="412"/>
      <c r="JV64" s="412"/>
      <c r="JW64" s="412"/>
      <c r="JX64" s="412"/>
      <c r="JY64" s="409">
        <v>60</v>
      </c>
      <c r="JZ64" s="398">
        <f>IF(JY64=0,0,IF(LEN(JQ64)=11,_xlfn.XLOOKUP(JQ64,'Dispensed Ink Rates'!C:C,'Dispensed Ink Rates'!CS:CS),VLOOKUP(JQ64,'Jan-2026 rates'!$E:$F,2,0)))</f>
        <v>0</v>
      </c>
      <c r="KA64" s="409"/>
      <c r="KB64" s="398">
        <f>IF(KA64=0,0,IF(LEN(JR64)=11,_xlfn.XLOOKUP(JR64,'Dispensed Ink Rates'!C:C,'Dispensed Ink Rates'!CS:CS),VLOOKUP(JR64,'Jan-2026 rates'!$E:$F,2,0)))</f>
        <v>0</v>
      </c>
      <c r="KC64" s="409"/>
      <c r="KD64" s="398">
        <f>IF(KC64=0,0,IF(LEN(JS64)=11,_xlfn.XLOOKUP(JS64,'Dispensed Ink Rates'!C:C,'Dispensed Ink Rates'!CS:CS),VLOOKUP(JS64,'Jan-2026 rates'!$E:$F,2,0)))</f>
        <v>0</v>
      </c>
      <c r="KE64" s="409"/>
      <c r="KF64" s="398">
        <f>IF(KE64=0,0,IF(LEN(JT64)=11,_xlfn.XLOOKUP(JT64,'Dispensed Ink Rates'!C:C,'Dispensed Ink Rates'!CS:CS),VLOOKUP(JT64,'Jan-2026 rates'!$E:$F,2,0)))</f>
        <v>0</v>
      </c>
      <c r="KG64" s="409"/>
      <c r="KH64" s="398">
        <f>IF(KG64=0,0,IF(LEN(JU64)=11,_xlfn.XLOOKUP(JU64,'Dispensed Ink Rates'!C:C,'Dispensed Ink Rates'!CS:CS),VLOOKUP(JU64,'Jan-2026 rates'!$E:$F,2,0)))</f>
        <v>0</v>
      </c>
      <c r="KI64" s="409"/>
      <c r="KJ64" s="398">
        <f>IF(KI64=0,0,IF(LEN(JV64)=11,_xlfn.XLOOKUP(JV64,'Dispensed Ink Rates'!C:C,'Dispensed Ink Rates'!CS:CS),VLOOKUP(JV64,'Jan-2026 rates'!$E:$F,2,0)))</f>
        <v>0</v>
      </c>
      <c r="KK64" s="409"/>
      <c r="KL64" s="398">
        <f>IF(KK64=0,0,IF(LEN(JW64)=11,_xlfn.XLOOKUP(JW64,'Dispensed Ink Rates'!C:C,'Dispensed Ink Rates'!CS:CS),VLOOKUP(JW64,'Jan-2026 rates'!$E:$F,2,0)))</f>
        <v>0</v>
      </c>
      <c r="KM64" s="428"/>
      <c r="KN64" s="398">
        <f>IF(KM64=0,0,IF(LEN(JX64)=11,_xlfn.XLOOKUP(JX64,'Dispensed Ink Rates'!C:C,'Dispensed Ink Rates'!CS:CS),VLOOKUP(JX64,'Jan-2026 rates'!$E:$F,2,0)))</f>
        <v>0</v>
      </c>
      <c r="KO64" s="409" t="s">
        <v>1443</v>
      </c>
      <c r="KP64" s="409">
        <v>31</v>
      </c>
      <c r="KQ64" s="411">
        <f t="shared" si="29"/>
        <v>0</v>
      </c>
      <c r="KR64" s="411">
        <f t="shared" si="30"/>
        <v>99.4</v>
      </c>
      <c r="KS64" s="410">
        <f t="shared" si="31"/>
        <v>0</v>
      </c>
      <c r="KT64" s="409">
        <v>2</v>
      </c>
      <c r="KU64" s="409">
        <v>7</v>
      </c>
      <c r="KV64" s="409">
        <v>5</v>
      </c>
      <c r="KW64" s="409">
        <v>20</v>
      </c>
      <c r="KX64" s="409">
        <v>4</v>
      </c>
      <c r="KY64" s="409">
        <v>2</v>
      </c>
      <c r="KZ64" s="409">
        <v>5</v>
      </c>
      <c r="LA64" s="409">
        <v>30</v>
      </c>
      <c r="LB64" s="415">
        <v>0.8</v>
      </c>
      <c r="LC64" s="415">
        <v>0.2</v>
      </c>
      <c r="LD64" s="415"/>
      <c r="LE64" s="415"/>
      <c r="LF64" s="415"/>
      <c r="LG64" s="409">
        <v>0</v>
      </c>
      <c r="LH64" s="409">
        <f>30+20+56+14+6</f>
        <v>126</v>
      </c>
      <c r="LI64" s="409">
        <v>0</v>
      </c>
      <c r="LJ64" s="409">
        <v>0</v>
      </c>
      <c r="LK64" s="416">
        <f t="shared" si="32"/>
        <v>126</v>
      </c>
      <c r="LL64" s="416">
        <f t="shared" si="33"/>
        <v>126</v>
      </c>
      <c r="LM64" s="417">
        <f t="shared" si="34"/>
        <v>100.80000000000001</v>
      </c>
      <c r="LN64" s="417">
        <f>VLOOKUP($LM$8,'Jan-2026 rates'!$H:$I,2,0)</f>
        <v>0</v>
      </c>
      <c r="LO64" s="417">
        <f t="shared" si="35"/>
        <v>25.200000000000003</v>
      </c>
      <c r="LP64" s="417">
        <f>VLOOKUP($LO$8,'Jan-2026 rates'!$H:$I,2,0)</f>
        <v>0</v>
      </c>
      <c r="LQ64" s="417">
        <f t="shared" si="36"/>
        <v>0</v>
      </c>
      <c r="LR64" s="417">
        <f>VLOOKUP($LQ$8,'Jan-2026 rates'!$H:$I,2,0)</f>
        <v>0</v>
      </c>
      <c r="LS64" s="417">
        <f t="shared" si="37"/>
        <v>0</v>
      </c>
      <c r="LT64" s="417">
        <f>VLOOKUP($LS$8,'Jan-2026 rates'!$H:$I,2,0)</f>
        <v>0</v>
      </c>
      <c r="LU64" s="417">
        <f t="shared" si="38"/>
        <v>0</v>
      </c>
      <c r="LV64" s="417">
        <f>VLOOKUP($LU$8,'Jan-2026 rates'!$H:$I,2,0)</f>
        <v>0</v>
      </c>
      <c r="LW64" s="417">
        <f t="shared" si="39"/>
        <v>0</v>
      </c>
      <c r="LX64" s="417">
        <f t="shared" si="40"/>
        <v>0</v>
      </c>
      <c r="LY64" s="418">
        <f t="shared" si="41"/>
        <v>0</v>
      </c>
      <c r="LZ64" s="417"/>
      <c r="MA64" s="435">
        <f t="shared" si="42"/>
        <v>148.30000000000001</v>
      </c>
      <c r="MB64" s="282">
        <f t="shared" si="43"/>
        <v>220.3</v>
      </c>
      <c r="MC64" s="283">
        <v>19</v>
      </c>
      <c r="MD64" s="284" t="str">
        <f t="shared" si="44"/>
        <v>FLINTSLFLINTSLFLINTSLFLINTSLFLINTSLFLINTSLFLINTSLFLINTSL</v>
      </c>
      <c r="ME64" s="293" t="str">
        <f t="shared" si="45"/>
        <v>+</v>
      </c>
      <c r="MF64" s="293" t="str">
        <f t="shared" si="46"/>
        <v>+</v>
      </c>
      <c r="MG64" s="293" t="str">
        <f t="shared" si="47"/>
        <v>+</v>
      </c>
      <c r="MH64" s="293" t="str">
        <f t="shared" si="48"/>
        <v>+</v>
      </c>
      <c r="MI64" s="293" t="str">
        <f t="shared" si="49"/>
        <v>+</v>
      </c>
      <c r="MJ64" s="293" t="str">
        <f t="shared" si="50"/>
        <v>+</v>
      </c>
      <c r="MK64" s="293" t="str">
        <f t="shared" si="51"/>
        <v>+</v>
      </c>
      <c r="ML64" s="293" t="str">
        <f t="shared" si="52"/>
        <v>+</v>
      </c>
      <c r="MM64" s="3" t="b">
        <f t="array" ref="MM64">OR(ME64:ML64="-")</f>
        <v>0</v>
      </c>
      <c r="MN64" s="285"/>
      <c r="MO64" s="401"/>
      <c r="MP64" s="286"/>
      <c r="MQ64" s="286"/>
      <c r="MR64" s="402"/>
      <c r="MS64" s="400"/>
      <c r="NH64" s="422"/>
      <c r="NJ64" s="421"/>
    </row>
    <row r="65" spans="1:374" s="1" customFormat="1" ht="16.5">
      <c r="A65" s="403">
        <v>46027</v>
      </c>
      <c r="B65" s="404" t="s">
        <v>1015</v>
      </c>
      <c r="C65" s="405" t="s">
        <v>2929</v>
      </c>
      <c r="D65" s="406">
        <v>20</v>
      </c>
      <c r="E65" s="404">
        <v>482</v>
      </c>
      <c r="F65" s="407">
        <v>26300</v>
      </c>
      <c r="G65" s="407" t="s">
        <v>1016</v>
      </c>
      <c r="H65" s="408" t="s">
        <v>1017</v>
      </c>
      <c r="I65" s="409">
        <v>1.31</v>
      </c>
      <c r="J65" s="405" t="s">
        <v>543</v>
      </c>
      <c r="K65" s="404" t="s">
        <v>2930</v>
      </c>
      <c r="L65" s="419" t="str">
        <f t="shared" si="0"/>
        <v>FLINTSL - BLACK</v>
      </c>
      <c r="M65" s="404">
        <v>18</v>
      </c>
      <c r="N65" s="410">
        <f>IF(M65=0,0,IF($LB65=70%,VLOOKUP($L65,'Jan-2026 rates'!$L:$R,4,0),IF($LB65=65%,VLOOKUP($L65,'Jan-2026 rates'!$L:$R,4,0),IF($LB65=40%,VLOOKUP($L65,'Jan-2026 rates'!$L:$R,5,0),IF($LB65=30%,VLOOKUP($L65,'Jan-2026 rates'!$L:$R,6,0),IF($LB65=100%,VLOOKUP($L65,'Jan-2026 rates'!$L:$R,7,0),IF($LB65=60%,VLOOKUP($L65,'Jan-2026 rates'!$L:$S,8,0),IF($LB65=80%,VLOOKUP($L65,'Jan-2026 rates'!L:T,9,0),0))))))))</f>
        <v>0</v>
      </c>
      <c r="O65" s="406"/>
      <c r="P65" s="404"/>
      <c r="Q65" s="410">
        <f>IF(P65=0,0,IF($LB65=70%,VLOOKUP($L65,'Jan-2026 rates'!$L:$R,4,0),IF($LB65=65%,VLOOKUP($L65,'Jan-2026 rates'!$L:$R,4,0),IF($LB65=40%,VLOOKUP($L65,'Jan-2026 rates'!$L:$R,5,0),IF($LB65=30%,VLOOKUP($L65,'Jan-2026 rates'!$L:$R,6,0),IF($LB65=100%,VLOOKUP($L65,'Jan-2026 rates'!$L:$R,7,0),IF($LB65=60%,VLOOKUP($L65,'Jan-2026 rates'!$L:$S,8,0),IF($LB65=80%,VLOOKUP($L65,'Jan-2026 rates'!L:T,9,0),0))))))))</f>
        <v>0</v>
      </c>
      <c r="R65" s="406">
        <v>26503000005</v>
      </c>
      <c r="S65" s="406"/>
      <c r="T65" s="406"/>
      <c r="U65" s="406"/>
      <c r="V65" s="406"/>
      <c r="W65" s="406"/>
      <c r="X65" s="406"/>
      <c r="Y65" s="406"/>
      <c r="Z65" s="404">
        <v>5</v>
      </c>
      <c r="AA65" s="398" t="e">
        <f>IF(Z65=0,0,IF(LEN(R65)=11,_xlfn.XLOOKUP(R65,'Dispensed Ink Rates'!C:C,'Dispensed Ink Rates'!CS:CS),VLOOKUP(R65,'Jan-2026 rates'!$E:$F,2,0)))</f>
        <v>#N/A</v>
      </c>
      <c r="AB65" s="404"/>
      <c r="AC65" s="398">
        <f>IF(AB65=0,0,IF(LEN(S65)=11,_xlfn.XLOOKUP(S65,'Dispensed Ink Rates'!C:C,'Dispensed Ink Rates'!CS:CS),VLOOKUP(S65,'Jan-2026 rates'!$E:$F,2,0)))</f>
        <v>0</v>
      </c>
      <c r="AD65" s="404"/>
      <c r="AE65" s="398">
        <f>IF(AD65=0,0,IF(LEN(T65)=11,_xlfn.XLOOKUP(T65,'Dispensed Ink Rates'!C:C,'Dispensed Ink Rates'!CS:CS),VLOOKUP(T65,'Jan-2026 rates'!$E:$F,2,0)))</f>
        <v>0</v>
      </c>
      <c r="AF65" s="404"/>
      <c r="AG65" s="398">
        <f>IF(AF65=0,0,IF(LEN(U65)=11,_xlfn.XLOOKUP(U65,'Dispensed Ink Rates'!C:C,'Dispensed Ink Rates'!CS:CS),VLOOKUP(U65,'Jan-2026 rates'!$E:$F,2,0)))</f>
        <v>0</v>
      </c>
      <c r="AH65" s="404"/>
      <c r="AI65" s="398">
        <f>IF(AH65=0,0,IF(LEN(V65)=11,_xlfn.XLOOKUP(V65,'Dispensed Ink Rates'!C:C,'Dispensed Ink Rates'!CS:CS),VLOOKUP(V65,'Jan-2026 rates'!$E:$F,2,0)))</f>
        <v>0</v>
      </c>
      <c r="AJ65" s="404"/>
      <c r="AK65" s="398">
        <f>IF(AJ65=0,0,IF(LEN(W65)=11,_xlfn.XLOOKUP(W65,'Dispensed Ink Rates'!C:C,'Dispensed Ink Rates'!CS:CS),VLOOKUP(W65,'Jan-2026 rates'!$E:$F,2,0)))</f>
        <v>0</v>
      </c>
      <c r="AL65" s="404"/>
      <c r="AM65" s="398">
        <f>IF(AL65=0,0,IF(LEN(X65)=11,_xlfn.XLOOKUP(X65,'Dispensed Ink Rates'!C:C,'Dispensed Ink Rates'!CS:CS),VLOOKUP(X65,'Jan-2026 rates'!$E:$F,2,0)))</f>
        <v>0</v>
      </c>
      <c r="AN65" s="404"/>
      <c r="AO65" s="398">
        <f>IF(AN65=0,0,IF(LEN(Y65)=11,_xlfn.XLOOKUP(Y65,'Dispensed Ink Rates'!C:C,'Dispensed Ink Rates'!CS:CS),VLOOKUP(Y65,'Jan-2026 rates'!$E:$F,2,0)))</f>
        <v>0</v>
      </c>
      <c r="AP65" s="409" t="s">
        <v>1443</v>
      </c>
      <c r="AQ65" s="409">
        <v>24</v>
      </c>
      <c r="AR65" s="410">
        <f t="shared" si="1"/>
        <v>0</v>
      </c>
      <c r="AS65" s="411">
        <f t="shared" si="2"/>
        <v>4.9647058823529413</v>
      </c>
      <c r="AT65" s="410">
        <f t="shared" si="3"/>
        <v>0</v>
      </c>
      <c r="AU65" s="405" t="s">
        <v>857</v>
      </c>
      <c r="AV65" s="409" t="s">
        <v>2931</v>
      </c>
      <c r="AW65" s="420" t="str">
        <f t="shared" si="53"/>
        <v>FLINTSL - RED</v>
      </c>
      <c r="AX65" s="409">
        <v>23</v>
      </c>
      <c r="AY65" s="411">
        <f>IF(AX65=0,0,IF($LB65=70%,VLOOKUP($AW65,'Jan-2026 rates'!$L:$R,4,0),IF($LB65=65%,VLOOKUP($AW65,'Jan-2026 rates'!$L:$R,4,0),IF($LB65=40%,VLOOKUP($AW65,'Jan-2026 rates'!$L:$R,5,0),IF($LB65=30%,VLOOKUP($AW65,'Jan-2026 rates'!$L:$R,6,0),IF($LB65=100%,VLOOKUP($AW65,'Jan-2026 rates'!$L:$R,7,0),IF($LB65=60%,VLOOKUP($AW65,'Jan-2026 rates'!$L:$S,8,0),IF($LB65=80%,VLOOKUP($AW65,'Jan-2026 rates'!L:T,9,0),0))))))))</f>
        <v>0</v>
      </c>
      <c r="AZ65" s="412"/>
      <c r="BA65" s="409"/>
      <c r="BB65" s="411">
        <f>IF(BA65=0,0,IF($LB65=70%,VLOOKUP($AW65,'Jan-2026 rates'!$L:$R,4,0),IF($LB65=65%,VLOOKUP($AW65,'Jan-2026 rates'!$L:$R,4,0),IF($LB65=40%,VLOOKUP($AW65,'Jan-2026 rates'!$L:$R,5,0),IF($LB65=30%,VLOOKUP($AW65,'Jan-2026 rates'!$L:$R,6,0),IF($LB65=100%,VLOOKUP($AW65,'Jan-2026 rates'!$L:$R,7,0),IF($LB65=60%,VLOOKUP($AW65,'Jan-2026 rates'!$L:$S,8,0),IF($LB65=80%,VLOOKUP($AW65,'Jan-2026 rates'!L:T,9,0),0))))))))</f>
        <v>0</v>
      </c>
      <c r="BC65" s="413">
        <v>26504000005</v>
      </c>
      <c r="BD65" s="412">
        <v>25862000014</v>
      </c>
      <c r="BE65" s="412"/>
      <c r="BF65" s="413"/>
      <c r="BG65" s="412"/>
      <c r="BH65" s="412"/>
      <c r="BI65" s="412"/>
      <c r="BJ65" s="412"/>
      <c r="BK65" s="409">
        <v>2</v>
      </c>
      <c r="BL65" s="398" t="e">
        <f>IF(BK65=0,0,IF(LEN(BC65)=11,_xlfn.XLOOKUP(BC65,'Dispensed Ink Rates'!C:C,'Dispensed Ink Rates'!CS:CS),VLOOKUP(BC65,'Jan-2026 rates'!$E:$F,2,0)))</f>
        <v>#N/A</v>
      </c>
      <c r="BM65" s="409">
        <v>2</v>
      </c>
      <c r="BN65" s="398" t="e">
        <f>IF(BM65=0,0,IF(LEN(BD65)=11,_xlfn.XLOOKUP(BD65,'Dispensed Ink Rates'!C:C,'Dispensed Ink Rates'!CS:CS),VLOOKUP(BD65,'Jan-2026 rates'!$E:$F,2,0)))</f>
        <v>#N/A</v>
      </c>
      <c r="BO65" s="409"/>
      <c r="BP65" s="398">
        <f>IF(BO65=0,0,IF(LEN(BE65)=11,_xlfn.XLOOKUP(BE65,'Dispensed Ink Rates'!C:C,'Dispensed Ink Rates'!CS:CS),VLOOKUP(BE65,'Jan-2026 rates'!$E:$F,2,0)))</f>
        <v>0</v>
      </c>
      <c r="BQ65" s="409"/>
      <c r="BR65" s="398">
        <f>IF(BQ65=0,0,IF(LEN(BF65)=11,_xlfn.XLOOKUP(BF65,'Dispensed Ink Rates'!C:C,'Dispensed Ink Rates'!CS:CS),VLOOKUP(BF65,'Jan-2026 rates'!$E:$F,2,0)))</f>
        <v>0</v>
      </c>
      <c r="BS65" s="409"/>
      <c r="BT65" s="398">
        <f>IF(BS65=0,0,IF(LEN(BG65)=11,_xlfn.XLOOKUP(BG65,'Dispensed Ink Rates'!C:C,'Dispensed Ink Rates'!CS:CS),VLOOKUP(BG65,'Jan-2026 rates'!$E:$F,2,0)))</f>
        <v>0</v>
      </c>
      <c r="BU65" s="409"/>
      <c r="BV65" s="398">
        <f>IF(BU65=0,0,IF(LEN(BH65)=11,_xlfn.XLOOKUP(BH65,'Dispensed Ink Rates'!C:C,'Dispensed Ink Rates'!CS:CS),VLOOKUP(BH65,'Jan-2026 rates'!$E:$F,2,0)))</f>
        <v>0</v>
      </c>
      <c r="BW65" s="409"/>
      <c r="BX65" s="398">
        <f>IF(BW65=0,0,IF(LEN(BI65)=11,_xlfn.XLOOKUP(BI65,'Dispensed Ink Rates'!C:C,'Dispensed Ink Rates'!CS:CS),VLOOKUP(BI65,'Jan-2026 rates'!$E:$F,2,0)))</f>
        <v>0</v>
      </c>
      <c r="BY65" s="409"/>
      <c r="BZ65" s="398">
        <f>IF(BY65=0,0,IF(LEN(BJ65)=11,_xlfn.XLOOKUP(BJ65,'Dispensed Ink Rates'!C:C,'Dispensed Ink Rates'!CS:CS),VLOOKUP(BJ65,'Jan-2026 rates'!$E:$F,2,0)))</f>
        <v>0</v>
      </c>
      <c r="CA65" s="409" t="s">
        <v>1443</v>
      </c>
      <c r="CB65" s="409">
        <v>24</v>
      </c>
      <c r="CC65" s="411">
        <f t="shared" si="5"/>
        <v>0</v>
      </c>
      <c r="CD65" s="411">
        <f t="shared" si="6"/>
        <v>4.9882352941176471</v>
      </c>
      <c r="CE65" s="410">
        <f t="shared" si="7"/>
        <v>0</v>
      </c>
      <c r="CF65" s="404" t="s">
        <v>547</v>
      </c>
      <c r="CG65" s="409" t="s">
        <v>2858</v>
      </c>
      <c r="CH65" s="420" t="str">
        <f t="shared" si="8"/>
        <v>FLINTSL - GREEN</v>
      </c>
      <c r="CI65" s="409">
        <v>24</v>
      </c>
      <c r="CJ65" s="411">
        <f>IF(CI65=0,0,IF($LB65=70%,VLOOKUP($CH65,'Jan-2026 rates'!$L:$R,4,0),IF($LB65=65%,VLOOKUP($CH65,'Jan-2026 rates'!$L:$R,4,0),IF($LB65=40%,VLOOKUP($CH65,'Jan-2026 rates'!$L:$R,5,0),IF($LB65=30%,VLOOKUP($CH65,'Jan-2026 rates'!$L:$R,6,0),IF($LB65=100%,VLOOKUP($CH65,'Jan-2026 rates'!$L:$R,7,0),IF($LB65=60%,VLOOKUP($CH65,'Jan-2026 rates'!$L:$S,8,0),IF($LB65=80%,VLOOKUP($CH65,'Jan-2026 rates'!L:T,9,0),0))))))))</f>
        <v>0</v>
      </c>
      <c r="CK65" s="412"/>
      <c r="CL65" s="409"/>
      <c r="CM65" s="411">
        <f>IF(CL65=0,0,IF($LB65=70%,VLOOKUP($CH65,'Jan-2026 rates'!$L:$R,4,0),IF($LB65=65%,VLOOKUP($CH65,'Jan-2026 rates'!$L:$R,4,0),IF($LB65=40%,VLOOKUP($CH65,'Jan-2026 rates'!$L:$R,5,0),IF($LB65=30%,VLOOKUP($CH65,'Jan-2026 rates'!$L:$R,6,0),IF($LB65=100%,VLOOKUP($CH65,'Jan-2026 rates'!$L:$R,7,0),IF($LB65=60%,VLOOKUP($CH65,'Jan-2026 rates'!$L:$S,8,0),IF($LB65=80%,VLOOKUP($CH65,'Jan-2026 rates'!L:T,9,0),0))))))))</f>
        <v>0</v>
      </c>
      <c r="CN65" s="426">
        <v>26504000001</v>
      </c>
      <c r="CO65" s="427"/>
      <c r="CP65" s="426"/>
      <c r="CQ65" s="426"/>
      <c r="CR65" s="428"/>
      <c r="CS65" s="428"/>
      <c r="CT65" s="428"/>
      <c r="CU65" s="428"/>
      <c r="CV65" s="409">
        <v>4</v>
      </c>
      <c r="CW65" s="398" t="e">
        <f>IF(CV65=0,0,IF(LEN(CN65)=11,_xlfn.XLOOKUP(CN65,'Dispensed Ink Rates'!C:C,'Dispensed Ink Rates'!CS:CS),VLOOKUP(CN65,'Jan-2026 rates'!$E:$F,2,0)))</f>
        <v>#N/A</v>
      </c>
      <c r="CX65" s="409"/>
      <c r="CY65" s="398">
        <f>IF(CX65=0,0,IF(LEN(CO65)=11,_xlfn.XLOOKUP(CO65,'Dispensed Ink Rates'!C:C,'Dispensed Ink Rates'!CS:CS),VLOOKUP(CO65,'Jan-2026 rates'!$E:$F,2,0)))</f>
        <v>0</v>
      </c>
      <c r="CZ65" s="409"/>
      <c r="DA65" s="398">
        <f>IF(CZ65=0,0,IF(LEN(CP65)=11,_xlfn.XLOOKUP(CP65,'Dispensed Ink Rates'!C:C,'Dispensed Ink Rates'!CS:CS),VLOOKUP(CP65,'Jan-2026 rates'!$E:$F,2,0)))</f>
        <v>0</v>
      </c>
      <c r="DB65" s="409"/>
      <c r="DC65" s="398">
        <f>IF(DB65=0,0,IF(LEN(CQ65)=11,_xlfn.XLOOKUP(CQ65,'Dispensed Ink Rates'!C:C,'Dispensed Ink Rates'!CS:CS),VLOOKUP(CQ65,'Jan-2026 rates'!$E:$F,2,0)))</f>
        <v>0</v>
      </c>
      <c r="DD65" s="409"/>
      <c r="DE65" s="398">
        <f>IF(DD65=0,0,IF(LEN(CR65)=11,_xlfn.XLOOKUP(CR65,'Dispensed Ink Rates'!C:C,'Dispensed Ink Rates'!CS:CS),VLOOKUP(CR65,'Jan-2026 rates'!$E:$F,2,0)))</f>
        <v>0</v>
      </c>
      <c r="DF65" s="409"/>
      <c r="DG65" s="398">
        <f>IF(DF65=0,0,IF(LEN(CS65)=11,_xlfn.XLOOKUP(CS65,'Dispensed Ink Rates'!C:C,'Dispensed Ink Rates'!CS:CS),VLOOKUP(CS65,'Jan-2026 rates'!$E:$F,2,0)))</f>
        <v>0</v>
      </c>
      <c r="DH65" s="409"/>
      <c r="DI65" s="398">
        <f>IF(DH65=0,0,IF(LEN(CT65)=11,_xlfn.XLOOKUP(CT65,'Dispensed Ink Rates'!C:C,'Dispensed Ink Rates'!CS:CS),VLOOKUP(CT65,'Jan-2026 rates'!$E:$F,2,0)))</f>
        <v>0</v>
      </c>
      <c r="DJ65" s="409"/>
      <c r="DK65" s="398">
        <f>IF(DJ65=0,0,IF(LEN(CU65)=11,_xlfn.XLOOKUP(CU65,'Dispensed Ink Rates'!C:C,'Dispensed Ink Rates'!CS:CS),VLOOKUP(CU65,'Jan-2026 rates'!$E:$F,2,0)))</f>
        <v>0</v>
      </c>
      <c r="DL65" s="409" t="s">
        <v>1443</v>
      </c>
      <c r="DM65" s="409">
        <v>20</v>
      </c>
      <c r="DN65" s="411">
        <f t="shared" si="9"/>
        <v>0</v>
      </c>
      <c r="DO65" s="411">
        <f t="shared" si="10"/>
        <v>11.976470588235294</v>
      </c>
      <c r="DP65" s="410">
        <f t="shared" si="11"/>
        <v>0</v>
      </c>
      <c r="DQ65" s="405" t="s">
        <v>547</v>
      </c>
      <c r="DR65" s="409" t="s">
        <v>2932</v>
      </c>
      <c r="DS65" s="420" t="str">
        <f t="shared" si="12"/>
        <v>FLINTSL - GREEN</v>
      </c>
      <c r="DT65" s="409">
        <v>21</v>
      </c>
      <c r="DU65" s="411">
        <f>IF(DT65=0,0,IF($LB65=70%,VLOOKUP($DS65,'Jan-2026 rates'!$L:$R,4,0),IF($LB65=65%,VLOOKUP($DS65,'Jan-2026 rates'!$L:$R,4,0),IF($LB65=40%,VLOOKUP($DS65,'Jan-2026 rates'!$L:$R,5,0),IF($LB65=30%,VLOOKUP($DS65,'Jan-2026 rates'!$L:$R,6,0),IF($LB65=100%,VLOOKUP($DS65,'Jan-2026 rates'!$L:$R,7,0),IF($LB65=60%,VLOOKUP($DS65,'Jan-2026 rates'!$L:$S,8,0),IF($LB65=80%,VLOOKUP($DS65,'Jan-2026 rates'!L:T,9,0),0))))))))</f>
        <v>0</v>
      </c>
      <c r="DV65" s="412" t="s">
        <v>2906</v>
      </c>
      <c r="DW65" s="409">
        <v>25</v>
      </c>
      <c r="DX65" s="411">
        <f>IF(DW65=0,0,IF($LB65=70%,VLOOKUP($DS65,'Jan-2026 rates'!$L:$R,4,0),IF($LB65=65%,VLOOKUP($DS65,'Jan-2026 rates'!$L:$R,4,0),IF($LB65=40%,VLOOKUP($DS65,'Jan-2026 rates'!$L:$R,5,0),IF($LB65=30%,VLOOKUP($DS65,'Jan-2026 rates'!$L:$R,6,0),IF($LB65=100%,VLOOKUP($DS65,'Jan-2026 rates'!$L:$R,7,0),IF($LB65=60%,VLOOKUP($DS65,'Jan-2026 rates'!$L:$S,8,0),IF($LB65=80%,VLOOKUP($DS65,'Jan-2026 rates'!L:T,9,0),0))))))))</f>
        <v>0</v>
      </c>
      <c r="DY65" s="413">
        <v>25864000009</v>
      </c>
      <c r="DZ65" s="413">
        <v>26504000008</v>
      </c>
      <c r="EA65" s="412" t="s">
        <v>1266</v>
      </c>
      <c r="EB65" s="412"/>
      <c r="EC65" s="412"/>
      <c r="ED65" s="412"/>
      <c r="EE65" s="412"/>
      <c r="EF65" s="412"/>
      <c r="EG65" s="409">
        <v>10</v>
      </c>
      <c r="EH65" s="398" t="e">
        <f>IF(EG65=0,0,IF(LEN(DY65)=11,_xlfn.XLOOKUP(DY65,'Dispensed Ink Rates'!C:C,'Dispensed Ink Rates'!CS:CS),VLOOKUP(DY65,'Jan-2026 rates'!$E:$F,2,0)))</f>
        <v>#N/A</v>
      </c>
      <c r="EI65" s="409">
        <v>15</v>
      </c>
      <c r="EJ65" s="398" t="e">
        <f>IF(EI65=0,0,IF(LEN(DZ65)=11,_xlfn.XLOOKUP(DZ65,'Dispensed Ink Rates'!C:C,'Dispensed Ink Rates'!CS:CS),VLOOKUP(DZ65,'Jan-2026 rates'!$E:$F,2,0)))</f>
        <v>#N/A</v>
      </c>
      <c r="EK65" s="409">
        <v>5</v>
      </c>
      <c r="EL65" s="398">
        <f>IF(EK65=0,0,IF(LEN(EA65)=11,_xlfn.XLOOKUP(EA65,'Dispensed Ink Rates'!C:C,'Dispensed Ink Rates'!CS:CS),VLOOKUP(EA65,'Jan-2026 rates'!$E:$F,2,0)))</f>
        <v>0</v>
      </c>
      <c r="EM65" s="409"/>
      <c r="EN65" s="398">
        <f>IF(EM65=0,0,IF(LEN(EB65)=11,_xlfn.XLOOKUP(EB65,'Dispensed Ink Rates'!C:C,'Dispensed Ink Rates'!CS:CS),VLOOKUP(EB65,'Jan-2026 rates'!$E:$F,2,0)))</f>
        <v>0</v>
      </c>
      <c r="EO65" s="409"/>
      <c r="EP65" s="398">
        <f>IF(EO65=0,0,IF(LEN(EC65)=11,_xlfn.XLOOKUP(EC65,'Dispensed Ink Rates'!C:C,'Dispensed Ink Rates'!CS:CS),VLOOKUP(EC65,'Jan-2026 rates'!$E:$F,2,0)))</f>
        <v>0</v>
      </c>
      <c r="EQ65" s="409"/>
      <c r="ER65" s="398">
        <f>IF(EQ65=0,0,IF(LEN(ED65)=11,_xlfn.XLOOKUP(ED65,'Dispensed Ink Rates'!C:C,'Dispensed Ink Rates'!CS:CS),VLOOKUP(ED65,'Jan-2026 rates'!$E:$F,2,0)))</f>
        <v>0</v>
      </c>
      <c r="ES65" s="409"/>
      <c r="ET65" s="398">
        <f>IF(ES65=0,0,IF(LEN(EE65)=11,_xlfn.XLOOKUP(EE65,'Dispensed Ink Rates'!C:C,'Dispensed Ink Rates'!CS:CS),VLOOKUP(EE65,'Jan-2026 rates'!$E:$F,2,0)))</f>
        <v>0</v>
      </c>
      <c r="EU65" s="409"/>
      <c r="EV65" s="398">
        <f>IF(EU65=0,0,IF(LEN(EF65)=11,_xlfn.XLOOKUP(EF65,'Dispensed Ink Rates'!C:C,'Dispensed Ink Rates'!CS:CS),VLOOKUP(EF65,'Jan-2026 rates'!$E:$F,2,0)))</f>
        <v>0</v>
      </c>
      <c r="EW65" s="409" t="s">
        <v>1443</v>
      </c>
      <c r="EX65" s="409">
        <v>30</v>
      </c>
      <c r="EY65" s="411">
        <f t="shared" si="13"/>
        <v>0</v>
      </c>
      <c r="EZ65" s="411">
        <f t="shared" si="14"/>
        <v>65.882352941176464</v>
      </c>
      <c r="FA65" s="410">
        <f t="shared" si="15"/>
        <v>0</v>
      </c>
      <c r="FB65" s="405" t="s">
        <v>855</v>
      </c>
      <c r="FC65" s="409" t="s">
        <v>2933</v>
      </c>
      <c r="FD65" s="420" t="str">
        <f t="shared" si="16"/>
        <v>FLINTSL - CYAN</v>
      </c>
      <c r="FE65" s="409">
        <v>20</v>
      </c>
      <c r="FF65" s="411">
        <f>IF(FE65=0,0,IF($LB65=70%,VLOOKUP($FD65,'Jan-2026 rates'!$L:$R,4,0),IF($LB65=65%,VLOOKUP($FD65,'Jan-2026 rates'!$L:$R,4,0),IF($LB65=40%,VLOOKUP($FD65,'Jan-2026 rates'!$L:$R,5,0),IF($LB65=30%,VLOOKUP($FD65,'Jan-2026 rates'!$L:$R,6,0),IF($LB65=100%,VLOOKUP($FD65,'Jan-2026 rates'!$L:$R,7,0),IF($LB65=60%,VLOOKUP($FD65,'Jan-2026 rates'!$L:$S,8,0),IF($LB65=80%,VLOOKUP($FD65,'Jan-2026 rates'!L:T,9,0),0))))))))</f>
        <v>0</v>
      </c>
      <c r="FG65" s="412"/>
      <c r="FH65" s="409"/>
      <c r="FI65" s="411">
        <f>IF(FH65=0,0,IF($LB65=70%,VLOOKUP($FD65,'Jan-2026 rates'!$L:$R,4,0),IF($LB65=65%,VLOOKUP($FD65,'Jan-2026 rates'!$L:$R,4,0),IF($LB65=40%,VLOOKUP($FD65,'Jan-2026 rates'!$L:$R,5,0),IF($LB65=30%,VLOOKUP($FD65,'Jan-2026 rates'!$L:$R,6,0),IF($LB65=100%,VLOOKUP($FD65,'Jan-2026 rates'!$L:$R,7,0),IF($LB65=60%,VLOOKUP($FD65,'Jan-2026 rates'!$L:$S,8,0),IF($LB65=80%,VLOOKUP($FD65,'Jan-2026 rates'!L:T,9,0),0))))))))</f>
        <v>0</v>
      </c>
      <c r="FJ65" s="413" t="s">
        <v>1266</v>
      </c>
      <c r="FK65" s="413"/>
      <c r="FL65" s="413"/>
      <c r="FM65" s="412"/>
      <c r="FN65" s="412"/>
      <c r="FO65" s="412"/>
      <c r="FP65" s="412"/>
      <c r="FQ65" s="412"/>
      <c r="FR65" s="409">
        <v>5</v>
      </c>
      <c r="FS65" s="398">
        <f>IF(FR65=0,0,IF(LEN(FJ65)=11,_xlfn.XLOOKUP(FJ65,'Dispensed Ink Rates'!C:C,'Dispensed Ink Rates'!CS:CS),VLOOKUP(FJ65,'Jan-2026 rates'!$E:$F,2,0)))</f>
        <v>0</v>
      </c>
      <c r="FT65" s="409"/>
      <c r="FU65" s="398">
        <f>IF(FT65=0,0,IF(LEN(FK65)=11,_xlfn.XLOOKUP(FK65,'Dispensed Ink Rates'!C:C,'Dispensed Ink Rates'!CS:CS),VLOOKUP(FK65,'Jan-2026 rates'!$E:$F,2,0)))</f>
        <v>0</v>
      </c>
      <c r="FV65" s="409"/>
      <c r="FW65" s="398">
        <f>IF(FV65=0,0,IF(LEN(FL65)=11,_xlfn.XLOOKUP(FL65,'Dispensed Ink Rates'!C:C,'Dispensed Ink Rates'!CS:CS),VLOOKUP(FL65,'Jan-2026 rates'!$E:$F,2,0)))</f>
        <v>0</v>
      </c>
      <c r="FX65" s="409"/>
      <c r="FY65" s="398">
        <f>IF(FX65=0,0,IF(LEN(FM65)=11,_xlfn.XLOOKUP(FM65,'Dispensed Ink Rates'!C:C,'Dispensed Ink Rates'!CS:CS),VLOOKUP(FM65,'Jan-2026 rates'!$E:$F,2,0)))</f>
        <v>0</v>
      </c>
      <c r="FZ65" s="409"/>
      <c r="GA65" s="398">
        <f>IF(FZ65=0,0,IF(LEN(FN65)=11,_xlfn.XLOOKUP(FN65,'Dispensed Ink Rates'!C:C,'Dispensed Ink Rates'!CS:CS),VLOOKUP(FN65,'Jan-2026 rates'!$E:$F,2,0)))</f>
        <v>0</v>
      </c>
      <c r="GB65" s="409"/>
      <c r="GC65" s="398">
        <f>IF(GB65=0,0,IF(LEN(FO65)=11,_xlfn.XLOOKUP(FO65,'Dispensed Ink Rates'!C:C,'Dispensed Ink Rates'!CS:CS),VLOOKUP(FO65,'Jan-2026 rates'!$E:$F,2,0)))</f>
        <v>0</v>
      </c>
      <c r="GD65" s="409"/>
      <c r="GE65" s="398">
        <f>IF(GD65=0,0,IF(LEN(FP65)=11,_xlfn.XLOOKUP(FP65,'Dispensed Ink Rates'!C:C,'Dispensed Ink Rates'!CS:CS),VLOOKUP(FP65,'Jan-2026 rates'!$E:$F,2,0)))</f>
        <v>0</v>
      </c>
      <c r="GF65" s="409"/>
      <c r="GG65" s="398">
        <f>IF(GF65=0,0,IF(LEN(FQ65)=11,_xlfn.XLOOKUP(FQ65,'Dispensed Ink Rates'!C:C,'Dispensed Ink Rates'!CS:CS),VLOOKUP(FQ65,'Jan-2026 rates'!$E:$F,2,0)))</f>
        <v>0</v>
      </c>
      <c r="GH65" s="409" t="s">
        <v>1443</v>
      </c>
      <c r="GI65" s="409">
        <v>26</v>
      </c>
      <c r="GJ65" s="411">
        <f t="shared" si="17"/>
        <v>0</v>
      </c>
      <c r="GK65" s="411">
        <f t="shared" si="18"/>
        <v>8.941176470588232</v>
      </c>
      <c r="GL65" s="410">
        <f t="shared" si="19"/>
        <v>0</v>
      </c>
      <c r="GM65" s="405" t="s">
        <v>544</v>
      </c>
      <c r="GN65" s="409" t="s">
        <v>2934</v>
      </c>
      <c r="GO65" s="420" t="str">
        <f t="shared" si="20"/>
        <v>FLINTSL - MAGENTA</v>
      </c>
      <c r="GP65" s="409">
        <v>30</v>
      </c>
      <c r="GQ65" s="411">
        <f>IF(GP65=0,0,IF($LB65=70%,VLOOKUP($GO65,'Jan-2026 rates'!$L:$R,4,0),IF($LB65=65%,VLOOKUP($GO65,'Jan-2026 rates'!$L:$R,4,0),IF($LB65=40%,VLOOKUP($GO65,'Jan-2026 rates'!$L:$R,5,0),IF($LB65=30%,VLOOKUP($GO65,'Jan-2026 rates'!$L:$R,6,0),IF($LB65=100%,VLOOKUP($GO65,'Jan-2026 rates'!$L:$R,7,0),IF($LB65=60%,VLOOKUP($GO65,'Jan-2026 rates'!$L:$S,8,0),IF($LB65=80%,VLOOKUP($GO65,'Jan-2026 rates'!L:T,9,0),0))))))))</f>
        <v>0</v>
      </c>
      <c r="GR65" s="412"/>
      <c r="GS65" s="409"/>
      <c r="GT65" s="411">
        <f>IF(GS65=0,0,IF($LB65=70%,VLOOKUP($GO65,'Jan-2026 rates'!$L:$R,4,0),IF($LB65=65%,VLOOKUP($GO65,'Jan-2026 rates'!$L:$R,4,0),IF($LB65=40%,VLOOKUP($GO65,'Jan-2026 rates'!$L:$R,5,0),IF($LB65=30%,VLOOKUP($GO65,'Jan-2026 rates'!$L:$R,6,0),IF($LB65=100%,VLOOKUP($GO65,'Jan-2026 rates'!$L:$R,7,0),IF($LB65=60%,VLOOKUP($GO65,'Jan-2026 rates'!$L:$S,8,0),IF($LB65=80%,VLOOKUP($GO65,'Jan-2026 rates'!L:T,9,0),0))))))))</f>
        <v>0</v>
      </c>
      <c r="GU65" s="413">
        <v>26505000005</v>
      </c>
      <c r="GV65" s="413"/>
      <c r="GW65" s="412"/>
      <c r="GX65" s="412"/>
      <c r="GY65" s="412"/>
      <c r="GZ65" s="412"/>
      <c r="HA65" s="412"/>
      <c r="HB65" s="412"/>
      <c r="HC65" s="409">
        <v>2</v>
      </c>
      <c r="HD65" s="398" t="e">
        <f>IF(HC65=0,0,IF(LEN(GU65)=11,_xlfn.XLOOKUP(GU65,'Dispensed Ink Rates'!C:C,'Dispensed Ink Rates'!CS:CS),VLOOKUP(GU65,'Jan-2026 rates'!$E:$F,2,0)))</f>
        <v>#N/A</v>
      </c>
      <c r="HE65" s="409"/>
      <c r="HF65" s="398">
        <f>IF(HE65=0,0,IF(LEN(GV65)=11,_xlfn.XLOOKUP(GV65,'Dispensed Ink Rates'!C:C,'Dispensed Ink Rates'!CS:CS),VLOOKUP(GV65,'Jan-2026 rates'!$E:$F,2,0)))</f>
        <v>0</v>
      </c>
      <c r="HG65" s="409"/>
      <c r="HH65" s="398">
        <f>IF(HG65=0,0,IF(LEN(GW65)=11,_xlfn.XLOOKUP(GW65,'Dispensed Ink Rates'!C:C,'Dispensed Ink Rates'!CS:CS),VLOOKUP(GW65,'Jan-2026 rates'!$E:$F,2,0)))</f>
        <v>0</v>
      </c>
      <c r="HI65" s="409"/>
      <c r="HJ65" s="398">
        <f>IF(HI65=0,0,IF(LEN(GX65)=11,_xlfn.XLOOKUP(GX65,'Dispensed Ink Rates'!C:C,'Dispensed Ink Rates'!CS:CS),VLOOKUP(GX65,'Jan-2026 rates'!$E:$F,2,0)))</f>
        <v>0</v>
      </c>
      <c r="HK65" s="409"/>
      <c r="HL65" s="398">
        <f>IF(HK65=0,0,IF(LEN(GY65)=11,_xlfn.XLOOKUP(GY65,'Dispensed Ink Rates'!C:C,'Dispensed Ink Rates'!CS:CS),VLOOKUP(GY65,'Jan-2026 rates'!$E:$F,2,0)))</f>
        <v>0</v>
      </c>
      <c r="HM65" s="409"/>
      <c r="HN65" s="398">
        <f>IF(HM65=0,0,IF(LEN(GZ65)=11,_xlfn.XLOOKUP(GZ65,'Dispensed Ink Rates'!C:C,'Dispensed Ink Rates'!CS:CS),VLOOKUP(GZ65,'Jan-2026 rates'!$E:$F,2,0)))</f>
        <v>0</v>
      </c>
      <c r="HO65" s="409"/>
      <c r="HP65" s="398">
        <f>IF(HO65=0,0,IF(LEN(HA65)=11,_xlfn.XLOOKUP(HA65,'Dispensed Ink Rates'!C:C,'Dispensed Ink Rates'!CS:CS),VLOOKUP(HA65,'Jan-2026 rates'!$E:$F,2,0)))</f>
        <v>0</v>
      </c>
      <c r="HQ65" s="409"/>
      <c r="HR65" s="398">
        <f>IF(HQ65=0,0,IF(LEN(HB65)=11,_xlfn.XLOOKUP(HB65,'Dispensed Ink Rates'!C:C,'Dispensed Ink Rates'!CS:CS),VLOOKUP(HB65,'Jan-2026 rates'!$E:$F,2,0)))</f>
        <v>0</v>
      </c>
      <c r="HS65" s="409" t="s">
        <v>1443</v>
      </c>
      <c r="HT65" s="409">
        <v>27</v>
      </c>
      <c r="HU65" s="411">
        <f t="shared" si="21"/>
        <v>0</v>
      </c>
      <c r="HV65" s="411">
        <f t="shared" si="22"/>
        <v>8.9764705882352942</v>
      </c>
      <c r="HW65" s="414">
        <f t="shared" si="23"/>
        <v>0</v>
      </c>
      <c r="HX65" s="405" t="s">
        <v>545</v>
      </c>
      <c r="HY65" s="409" t="s">
        <v>2935</v>
      </c>
      <c r="HZ65" s="420" t="str">
        <f t="shared" si="24"/>
        <v>FLINTSL - YELLOW</v>
      </c>
      <c r="IA65" s="409">
        <v>28</v>
      </c>
      <c r="IB65" s="411">
        <f>IF(IA65=0,0,IF($LB65=70%,VLOOKUP($HZ65,'Jan-2026 rates'!$L:$R,4,0),IF($LB65=65%,VLOOKUP($HZ65,'Jan-2026 rates'!$L:$R,4,0),IF($LB65=40%,VLOOKUP($HZ65,'Jan-2026 rates'!$L:$R,5,0),IF($LB65=30%,VLOOKUP($HZ65,'Jan-2026 rates'!$L:$R,6,0),IF($LB65=100%,VLOOKUP($HZ65,'Jan-2026 rates'!$L:$R,7,0),IF($LB65=60%,VLOOKUP($HZ65,'Jan-2026 rates'!$L:$S,8,0),IF($LB65=80%,VLOOKUP($HZ65,'Jan-2026 rates'!L:T,9,0),0))))))))</f>
        <v>0</v>
      </c>
      <c r="IC65" s="412"/>
      <c r="ID65" s="409"/>
      <c r="IE65" s="411">
        <f>IF(ID65=0,0,IF($LB65=70%,VLOOKUP($HZ65,'Jan-2026 rates'!$L:$R,4,0),IF($LB65=65%,VLOOKUP($HZ65,'Jan-2026 rates'!$L:$R,4,0),IF($LB65=40%,VLOOKUP($HZ65,'Jan-2026 rates'!$L:$R,5,0),IF($LB65=30%,VLOOKUP($HZ65,'Jan-2026 rates'!$L:$R,6,0),IF($LB65=100%,VLOOKUP($HZ65,'Jan-2026 rates'!$L:$R,7,0),IF($LB65=60%,VLOOKUP($HZ65,'Jan-2026 rates'!$L:$S,8,0),IF($LB65=80%,VLOOKUP($HZ65,'Jan-2026 rates'!L:T,9,0),0))))))))</f>
        <v>0</v>
      </c>
      <c r="IF65" s="412">
        <v>25864000008</v>
      </c>
      <c r="IG65" s="413"/>
      <c r="IH65" s="412"/>
      <c r="II65" s="412"/>
      <c r="IJ65" s="412"/>
      <c r="IK65" s="412"/>
      <c r="IL65" s="412"/>
      <c r="IM65" s="412"/>
      <c r="IN65" s="409">
        <f>5+1</f>
        <v>6</v>
      </c>
      <c r="IO65" s="398" t="e">
        <f>IF(IN65=0,0,IF(LEN(IF65)=11,_xlfn.XLOOKUP(IF65,'Dispensed Ink Rates'!C:C,'Dispensed Ink Rates'!CS:CS),VLOOKUP(IF65,'Jan-2026 rates'!$E:$F,2,0)))</f>
        <v>#N/A</v>
      </c>
      <c r="IP65" s="409"/>
      <c r="IQ65" s="398">
        <f>IF(IP65=0,0,IF(LEN(IG65)=11,_xlfn.XLOOKUP(IG65,'Dispensed Ink Rates'!C:C,'Dispensed Ink Rates'!CS:CS),VLOOKUP(IG65,'Jan-2026 rates'!$E:$F,2,0)))</f>
        <v>0</v>
      </c>
      <c r="IR65" s="409"/>
      <c r="IS65" s="398">
        <f>IF(IR65=0,0,IF(LEN(IH65)=11,_xlfn.XLOOKUP(IH65,'Dispensed Ink Rates'!C:C,'Dispensed Ink Rates'!CS:CS),VLOOKUP(IH65,'Jan-2026 rates'!$E:$F,2,0)))</f>
        <v>0</v>
      </c>
      <c r="IT65" s="409"/>
      <c r="IU65" s="398">
        <f>IF(IT65=0,0,IF(LEN(II65)=11,_xlfn.XLOOKUP(II65,'Dispensed Ink Rates'!C:C,'Dispensed Ink Rates'!CS:CS),VLOOKUP(II65,'Jan-2026 rates'!$E:$F,2,0)))</f>
        <v>0</v>
      </c>
      <c r="IV65" s="409"/>
      <c r="IW65" s="398">
        <f>IF(IV65=0,0,IF(LEN(IJ65)=11,_xlfn.XLOOKUP(IJ65,'Dispensed Ink Rates'!C:C,'Dispensed Ink Rates'!CS:CS),VLOOKUP(IJ65,'Jan-2026 rates'!$E:$F,2,0)))</f>
        <v>0</v>
      </c>
      <c r="IX65" s="409"/>
      <c r="IY65" s="398">
        <f>IF(IX65=0,0,IF(LEN(IK65)=11,_xlfn.XLOOKUP(IK65,'Dispensed Ink Rates'!C:C,'Dispensed Ink Rates'!CS:CS),VLOOKUP(IK65,'Jan-2026 rates'!$E:$F,2,0)))</f>
        <v>0</v>
      </c>
      <c r="IZ65" s="409"/>
      <c r="JA65" s="398">
        <f>IF(IZ65=0,0,IF(LEN(IL65)=11,_xlfn.XLOOKUP(IL65,'Dispensed Ink Rates'!C:C,'Dispensed Ink Rates'!CS:CS),VLOOKUP(IL65,'Jan-2026 rates'!$E:$F,2,0)))</f>
        <v>0</v>
      </c>
      <c r="JB65" s="409"/>
      <c r="JC65" s="398">
        <f>IF(JB65=0,0,IF(LEN(IM65)=11,_xlfn.XLOOKUP(IM65,'Dispensed Ink Rates'!C:C,'Dispensed Ink Rates'!CS:CS),VLOOKUP(IM65,'Jan-2026 rates'!$E:$F,2,0)))</f>
        <v>0</v>
      </c>
      <c r="JD65" s="409" t="s">
        <v>1443</v>
      </c>
      <c r="JE65" s="409">
        <v>26</v>
      </c>
      <c r="JF65" s="411">
        <f t="shared" si="25"/>
        <v>0</v>
      </c>
      <c r="JG65" s="411">
        <f t="shared" si="26"/>
        <v>11.976470588235294</v>
      </c>
      <c r="JH65" s="410">
        <f t="shared" si="27"/>
        <v>0</v>
      </c>
      <c r="JI65" s="405" t="s">
        <v>856</v>
      </c>
      <c r="JJ65" s="409" t="s">
        <v>2936</v>
      </c>
      <c r="JK65" s="420" t="str">
        <f t="shared" si="28"/>
        <v>FLINTSL - WHITE</v>
      </c>
      <c r="JL65" s="409">
        <v>25</v>
      </c>
      <c r="JM65" s="411">
        <f>IF(JL65=0,0,IF($LB65=70%,VLOOKUP($JK65,'Jan-2026 rates'!$L:$R,4,0),IF($LB65=65%,VLOOKUP($JK65,'Jan-2026 rates'!$L:$R,4,0),IF($LB65=40%,VLOOKUP($JK65,'Jan-2026 rates'!$L:$R,5,0),IF($LB65=30%,VLOOKUP($JK65,'Jan-2026 rates'!$L:$R,6,0),IF($LB65=100%,VLOOKUP($JK65,'Jan-2026 rates'!$L:$R,7,0),IF($LB65=60%,VLOOKUP($JK65,'Jan-2026 rates'!$L:$S,8,0),IF($LB65=80%,VLOOKUP($JK65,'Jan-2026 rates'!L:T,9,0),0))))))))</f>
        <v>0</v>
      </c>
      <c r="JN65" s="412"/>
      <c r="JO65" s="409"/>
      <c r="JP65" s="411">
        <f>IF(JO65=0,0,IF($LB65=70%,VLOOKUP($JK65,'Jan-2026 rates'!$L:$R,4,0),IF($LB65=65%,VLOOKUP($JK65,'Jan-2026 rates'!$L:$R,4,0),IF($LB65=40%,VLOOKUP($JK65,'Jan-2026 rates'!$L:$R,5,0),IF($LB65=30%,VLOOKUP($JK65,'Jan-2026 rates'!$L:$R,6,0),IF($LB65=100%,VLOOKUP($JK65,'Jan-2026 rates'!$L:$R,7,0),IF($LB65=60%,VLOOKUP($JK65,'Jan-2026 rates'!$L:$S,8,0),IF($LB65=80%,VLOOKUP($JK65,'Jan-2026 rates'!L:T,9,0),0))))))))</f>
        <v>0</v>
      </c>
      <c r="JQ65" s="413" t="s">
        <v>484</v>
      </c>
      <c r="JR65" s="412"/>
      <c r="JS65" s="413"/>
      <c r="JT65" s="413"/>
      <c r="JU65" s="412"/>
      <c r="JV65" s="412"/>
      <c r="JW65" s="412"/>
      <c r="JX65" s="412"/>
      <c r="JY65" s="409">
        <f>60+40</f>
        <v>100</v>
      </c>
      <c r="JZ65" s="398">
        <f>IF(JY65=0,0,IF(LEN(JQ65)=11,_xlfn.XLOOKUP(JQ65,'Dispensed Ink Rates'!C:C,'Dispensed Ink Rates'!CS:CS),VLOOKUP(JQ65,'Jan-2026 rates'!$E:$F,2,0)))</f>
        <v>0</v>
      </c>
      <c r="KA65" s="409"/>
      <c r="KB65" s="398">
        <f>IF(KA65=0,0,IF(LEN(JR65)=11,_xlfn.XLOOKUP(JR65,'Dispensed Ink Rates'!C:C,'Dispensed Ink Rates'!CS:CS),VLOOKUP(JR65,'Jan-2026 rates'!$E:$F,2,0)))</f>
        <v>0</v>
      </c>
      <c r="KC65" s="409"/>
      <c r="KD65" s="398">
        <f>IF(KC65=0,0,IF(LEN(JS65)=11,_xlfn.XLOOKUP(JS65,'Dispensed Ink Rates'!C:C,'Dispensed Ink Rates'!CS:CS),VLOOKUP(JS65,'Jan-2026 rates'!$E:$F,2,0)))</f>
        <v>0</v>
      </c>
      <c r="KE65" s="409"/>
      <c r="KF65" s="398">
        <f>IF(KE65=0,0,IF(LEN(JT65)=11,_xlfn.XLOOKUP(JT65,'Dispensed Ink Rates'!C:C,'Dispensed Ink Rates'!CS:CS),VLOOKUP(JT65,'Jan-2026 rates'!$E:$F,2,0)))</f>
        <v>0</v>
      </c>
      <c r="KG65" s="409"/>
      <c r="KH65" s="398">
        <f>IF(KG65=0,0,IF(LEN(JU65)=11,_xlfn.XLOOKUP(JU65,'Dispensed Ink Rates'!C:C,'Dispensed Ink Rates'!CS:CS),VLOOKUP(JU65,'Jan-2026 rates'!$E:$F,2,0)))</f>
        <v>0</v>
      </c>
      <c r="KI65" s="409"/>
      <c r="KJ65" s="398">
        <f>IF(KI65=0,0,IF(LEN(JV65)=11,_xlfn.XLOOKUP(JV65,'Dispensed Ink Rates'!C:C,'Dispensed Ink Rates'!CS:CS),VLOOKUP(JV65,'Jan-2026 rates'!$E:$F,2,0)))</f>
        <v>0</v>
      </c>
      <c r="KK65" s="409"/>
      <c r="KL65" s="398">
        <f>IF(KK65=0,0,IF(LEN(JW65)=11,_xlfn.XLOOKUP(JW65,'Dispensed Ink Rates'!C:C,'Dispensed Ink Rates'!CS:CS),VLOOKUP(JW65,'Jan-2026 rates'!$E:$F,2,0)))</f>
        <v>0</v>
      </c>
      <c r="KM65" s="428"/>
      <c r="KN65" s="398">
        <f>IF(KM65=0,0,IF(LEN(JX65)=11,_xlfn.XLOOKUP(JX65,'Dispensed Ink Rates'!C:C,'Dispensed Ink Rates'!CS:CS),VLOOKUP(JX65,'Jan-2026 rates'!$E:$F,2,0)))</f>
        <v>0</v>
      </c>
      <c r="KO65" s="409" t="s">
        <v>1443</v>
      </c>
      <c r="KP65" s="409">
        <v>20</v>
      </c>
      <c r="KQ65" s="411">
        <f t="shared" si="29"/>
        <v>0</v>
      </c>
      <c r="KR65" s="411">
        <f t="shared" si="30"/>
        <v>224.29411764705884</v>
      </c>
      <c r="KS65" s="410">
        <f t="shared" si="31"/>
        <v>0</v>
      </c>
      <c r="KT65" s="409">
        <v>3</v>
      </c>
      <c r="KU65" s="409">
        <v>1</v>
      </c>
      <c r="KV65" s="409">
        <v>2</v>
      </c>
      <c r="KW65" s="409">
        <v>10</v>
      </c>
      <c r="KX65" s="409">
        <v>5</v>
      </c>
      <c r="KY65" s="409">
        <v>2</v>
      </c>
      <c r="KZ65" s="409">
        <v>2</v>
      </c>
      <c r="LA65" s="409">
        <f>30+30</f>
        <v>60</v>
      </c>
      <c r="LB65" s="415">
        <v>0.8</v>
      </c>
      <c r="LC65" s="415">
        <v>0.2</v>
      </c>
      <c r="LD65" s="415"/>
      <c r="LE65" s="415"/>
      <c r="LF65" s="415"/>
      <c r="LG65" s="409">
        <v>0</v>
      </c>
      <c r="LH65" s="409">
        <f>60+30+56+14+5+4</f>
        <v>169</v>
      </c>
      <c r="LI65" s="409">
        <v>0</v>
      </c>
      <c r="LJ65" s="409">
        <v>0</v>
      </c>
      <c r="LK65" s="416">
        <f t="shared" si="32"/>
        <v>169</v>
      </c>
      <c r="LL65" s="416">
        <f t="shared" si="33"/>
        <v>169</v>
      </c>
      <c r="LM65" s="417">
        <f t="shared" si="34"/>
        <v>135.20000000000002</v>
      </c>
      <c r="LN65" s="417">
        <f>VLOOKUP($LM$8,'Jan-2026 rates'!$H:$I,2,0)</f>
        <v>0</v>
      </c>
      <c r="LO65" s="417">
        <f t="shared" si="35"/>
        <v>33.800000000000004</v>
      </c>
      <c r="LP65" s="417">
        <f>VLOOKUP($LO$8,'Jan-2026 rates'!$H:$I,2,0)</f>
        <v>0</v>
      </c>
      <c r="LQ65" s="417">
        <f t="shared" si="36"/>
        <v>0</v>
      </c>
      <c r="LR65" s="417">
        <f>VLOOKUP($LQ$8,'Jan-2026 rates'!$H:$I,2,0)</f>
        <v>0</v>
      </c>
      <c r="LS65" s="417">
        <f t="shared" si="37"/>
        <v>0</v>
      </c>
      <c r="LT65" s="417">
        <f>VLOOKUP($LS$8,'Jan-2026 rates'!$H:$I,2,0)</f>
        <v>0</v>
      </c>
      <c r="LU65" s="417">
        <f t="shared" si="38"/>
        <v>0</v>
      </c>
      <c r="LV65" s="417">
        <f>VLOOKUP($LU$8,'Jan-2026 rates'!$H:$I,2,0)</f>
        <v>0</v>
      </c>
      <c r="LW65" s="417">
        <f t="shared" si="39"/>
        <v>0</v>
      </c>
      <c r="LX65" s="417">
        <f t="shared" si="40"/>
        <v>0</v>
      </c>
      <c r="LY65" s="418">
        <f t="shared" si="41"/>
        <v>0</v>
      </c>
      <c r="LZ65" s="417"/>
      <c r="MA65" s="435">
        <f t="shared" si="42"/>
        <v>156</v>
      </c>
      <c r="MB65" s="282">
        <f t="shared" si="43"/>
        <v>342</v>
      </c>
      <c r="MC65" s="283">
        <v>20</v>
      </c>
      <c r="MD65" s="284" t="str">
        <f t="shared" si="44"/>
        <v>FLINTSLFLINTSLFLINTSLFLINTSLFLINTSLFLINTSLFLINTSLFLINTSL</v>
      </c>
      <c r="ME65" s="293" t="str">
        <f t="shared" si="45"/>
        <v>+</v>
      </c>
      <c r="MF65" s="293" t="str">
        <f t="shared" si="46"/>
        <v>+</v>
      </c>
      <c r="MG65" s="293" t="str">
        <f t="shared" si="47"/>
        <v>+</v>
      </c>
      <c r="MH65" s="293" t="str">
        <f t="shared" si="48"/>
        <v>+</v>
      </c>
      <c r="MI65" s="293" t="str">
        <f t="shared" si="49"/>
        <v>+</v>
      </c>
      <c r="MJ65" s="293" t="str">
        <f t="shared" si="50"/>
        <v>+</v>
      </c>
      <c r="MK65" s="293" t="str">
        <f t="shared" si="51"/>
        <v>+</v>
      </c>
      <c r="ML65" s="293" t="str">
        <f t="shared" si="52"/>
        <v>+</v>
      </c>
      <c r="MM65" s="3" t="b">
        <f t="array" ref="MM65">OR(ME65:ML65="-")</f>
        <v>0</v>
      </c>
      <c r="MN65" s="285"/>
      <c r="MO65" s="401"/>
      <c r="MP65" s="286"/>
      <c r="MQ65" s="286"/>
      <c r="MR65" s="402"/>
      <c r="MS65" s="400"/>
      <c r="NH65" s="422"/>
      <c r="NJ65" s="421"/>
    </row>
    <row r="66" spans="1:374" s="1" customFormat="1" ht="16.5">
      <c r="A66" s="403">
        <v>46027</v>
      </c>
      <c r="B66" s="404" t="s">
        <v>1015</v>
      </c>
      <c r="C66" s="405" t="s">
        <v>2937</v>
      </c>
      <c r="D66" s="406">
        <v>21</v>
      </c>
      <c r="E66" s="404">
        <v>495</v>
      </c>
      <c r="F66" s="407">
        <v>27000</v>
      </c>
      <c r="G66" s="407" t="s">
        <v>1016</v>
      </c>
      <c r="H66" s="408" t="s">
        <v>1017</v>
      </c>
      <c r="I66" s="409">
        <v>1.31</v>
      </c>
      <c r="J66" s="405" t="s">
        <v>543</v>
      </c>
      <c r="K66" s="404" t="s">
        <v>2938</v>
      </c>
      <c r="L66" s="419" t="str">
        <f t="shared" si="0"/>
        <v>FLINTSL - BLACK</v>
      </c>
      <c r="M66" s="404">
        <v>24</v>
      </c>
      <c r="N66" s="410">
        <f>IF(M66=0,0,IF($LB66=70%,VLOOKUP($L66,'Jan-2026 rates'!$L:$R,4,0),IF($LB66=65%,VLOOKUP($L66,'Jan-2026 rates'!$L:$R,4,0),IF($LB66=40%,VLOOKUP($L66,'Jan-2026 rates'!$L:$R,5,0),IF($LB66=30%,VLOOKUP($L66,'Jan-2026 rates'!$L:$R,6,0),IF($LB66=100%,VLOOKUP($L66,'Jan-2026 rates'!$L:$R,7,0),IF($LB66=60%,VLOOKUP($L66,'Jan-2026 rates'!$L:$S,8,0),IF($LB66=80%,VLOOKUP($L66,'Jan-2026 rates'!L:T,9,0),0))))))))</f>
        <v>0</v>
      </c>
      <c r="O66" s="406"/>
      <c r="P66" s="404"/>
      <c r="Q66" s="410">
        <f>IF(P66=0,0,IF($LB66=70%,VLOOKUP($L66,'Jan-2026 rates'!$L:$R,4,0),IF($LB66=65%,VLOOKUP($L66,'Jan-2026 rates'!$L:$R,4,0),IF($LB66=40%,VLOOKUP($L66,'Jan-2026 rates'!$L:$R,5,0),IF($LB66=30%,VLOOKUP($L66,'Jan-2026 rates'!$L:$R,6,0),IF($LB66=100%,VLOOKUP($L66,'Jan-2026 rates'!$L:$R,7,0),IF($LB66=60%,VLOOKUP($L66,'Jan-2026 rates'!$L:$S,8,0),IF($LB66=80%,VLOOKUP($L66,'Jan-2026 rates'!L:T,9,0),0))))))))</f>
        <v>0</v>
      </c>
      <c r="R66" s="406">
        <v>26503000005</v>
      </c>
      <c r="S66" s="406"/>
      <c r="T66" s="406"/>
      <c r="U66" s="406"/>
      <c r="V66" s="406"/>
      <c r="W66" s="406"/>
      <c r="X66" s="406"/>
      <c r="Y66" s="406"/>
      <c r="Z66" s="404">
        <v>3</v>
      </c>
      <c r="AA66" s="398" t="e">
        <f>IF(Z66=0,0,IF(LEN(R66)=11,_xlfn.XLOOKUP(R66,'Dispensed Ink Rates'!C:C,'Dispensed Ink Rates'!CS:CS),VLOOKUP(R66,'Jan-2026 rates'!$E:$F,2,0)))</f>
        <v>#N/A</v>
      </c>
      <c r="AB66" s="404"/>
      <c r="AC66" s="398">
        <f>IF(AB66=0,0,IF(LEN(S66)=11,_xlfn.XLOOKUP(S66,'Dispensed Ink Rates'!C:C,'Dispensed Ink Rates'!CS:CS),VLOOKUP(S66,'Jan-2026 rates'!$E:$F,2,0)))</f>
        <v>0</v>
      </c>
      <c r="AD66" s="404"/>
      <c r="AE66" s="398">
        <f>IF(AD66=0,0,IF(LEN(T66)=11,_xlfn.XLOOKUP(T66,'Dispensed Ink Rates'!C:C,'Dispensed Ink Rates'!CS:CS),VLOOKUP(T66,'Jan-2026 rates'!$E:$F,2,0)))</f>
        <v>0</v>
      </c>
      <c r="AF66" s="404"/>
      <c r="AG66" s="398">
        <f>IF(AF66=0,0,IF(LEN(U66)=11,_xlfn.XLOOKUP(U66,'Dispensed Ink Rates'!C:C,'Dispensed Ink Rates'!CS:CS),VLOOKUP(U66,'Jan-2026 rates'!$E:$F,2,0)))</f>
        <v>0</v>
      </c>
      <c r="AH66" s="404"/>
      <c r="AI66" s="398">
        <f>IF(AH66=0,0,IF(LEN(V66)=11,_xlfn.XLOOKUP(V66,'Dispensed Ink Rates'!C:C,'Dispensed Ink Rates'!CS:CS),VLOOKUP(V66,'Jan-2026 rates'!$E:$F,2,0)))</f>
        <v>0</v>
      </c>
      <c r="AJ66" s="404"/>
      <c r="AK66" s="398">
        <f>IF(AJ66=0,0,IF(LEN(W66)=11,_xlfn.XLOOKUP(W66,'Dispensed Ink Rates'!C:C,'Dispensed Ink Rates'!CS:CS),VLOOKUP(W66,'Jan-2026 rates'!$E:$F,2,0)))</f>
        <v>0</v>
      </c>
      <c r="AL66" s="404"/>
      <c r="AM66" s="398">
        <f>IF(AL66=0,0,IF(LEN(X66)=11,_xlfn.XLOOKUP(X66,'Dispensed Ink Rates'!C:C,'Dispensed Ink Rates'!CS:CS),VLOOKUP(X66,'Jan-2026 rates'!$E:$F,2,0)))</f>
        <v>0</v>
      </c>
      <c r="AN66" s="404"/>
      <c r="AO66" s="398">
        <f>IF(AN66=0,0,IF(LEN(Y66)=11,_xlfn.XLOOKUP(Y66,'Dispensed Ink Rates'!C:C,'Dispensed Ink Rates'!CS:CS),VLOOKUP(Y66,'Jan-2026 rates'!$E:$F,2,0)))</f>
        <v>0</v>
      </c>
      <c r="AP66" s="409" t="s">
        <v>1443</v>
      </c>
      <c r="AQ66" s="409">
        <v>22</v>
      </c>
      <c r="AR66" s="410">
        <f t="shared" si="1"/>
        <v>0</v>
      </c>
      <c r="AS66" s="411">
        <f t="shared" si="2"/>
        <v>11.920000000000002</v>
      </c>
      <c r="AT66" s="410">
        <f t="shared" si="3"/>
        <v>0</v>
      </c>
      <c r="AU66" s="405" t="s">
        <v>857</v>
      </c>
      <c r="AV66" s="409" t="s">
        <v>2939</v>
      </c>
      <c r="AW66" s="420" t="str">
        <f t="shared" si="53"/>
        <v>FLINTSL - RED</v>
      </c>
      <c r="AX66" s="409">
        <v>24</v>
      </c>
      <c r="AY66" s="411">
        <f>IF(AX66=0,0,IF($LB66=70%,VLOOKUP($AW66,'Jan-2026 rates'!$L:$R,4,0),IF($LB66=65%,VLOOKUP($AW66,'Jan-2026 rates'!$L:$R,4,0),IF($LB66=40%,VLOOKUP($AW66,'Jan-2026 rates'!$L:$R,5,0),IF($LB66=30%,VLOOKUP($AW66,'Jan-2026 rates'!$L:$R,6,0),IF($LB66=100%,VLOOKUP($AW66,'Jan-2026 rates'!$L:$R,7,0),IF($LB66=60%,VLOOKUP($AW66,'Jan-2026 rates'!$L:$S,8,0),IF($LB66=80%,VLOOKUP($AW66,'Jan-2026 rates'!L:T,9,0),0))))))))</f>
        <v>0</v>
      </c>
      <c r="AZ66" s="412"/>
      <c r="BA66" s="409"/>
      <c r="BB66" s="411">
        <f>IF(BA66=0,0,IF($LB66=70%,VLOOKUP($AW66,'Jan-2026 rates'!$L:$R,4,0),IF($LB66=65%,VLOOKUP($AW66,'Jan-2026 rates'!$L:$R,4,0),IF($LB66=40%,VLOOKUP($AW66,'Jan-2026 rates'!$L:$R,5,0),IF($LB66=30%,VLOOKUP($AW66,'Jan-2026 rates'!$L:$R,6,0),IF($LB66=100%,VLOOKUP($AW66,'Jan-2026 rates'!$L:$R,7,0),IF($LB66=60%,VLOOKUP($AW66,'Jan-2026 rates'!$L:$S,8,0),IF($LB66=80%,VLOOKUP($AW66,'Jan-2026 rates'!L:T,9,0),0))))))))</f>
        <v>0</v>
      </c>
      <c r="BC66" s="413">
        <v>26505000005</v>
      </c>
      <c r="BD66" s="412">
        <v>25862000014</v>
      </c>
      <c r="BE66" s="412"/>
      <c r="BF66" s="413"/>
      <c r="BG66" s="412"/>
      <c r="BH66" s="412"/>
      <c r="BI66" s="412"/>
      <c r="BJ66" s="412"/>
      <c r="BK66" s="409">
        <v>2</v>
      </c>
      <c r="BL66" s="398" t="e">
        <f>IF(BK66=0,0,IF(LEN(BC66)=11,_xlfn.XLOOKUP(BC66,'Dispensed Ink Rates'!C:C,'Dispensed Ink Rates'!CS:CS),VLOOKUP(BC66,'Jan-2026 rates'!$E:$F,2,0)))</f>
        <v>#N/A</v>
      </c>
      <c r="BM66" s="409">
        <v>1</v>
      </c>
      <c r="BN66" s="398" t="e">
        <f>IF(BM66=0,0,IF(LEN(BD66)=11,_xlfn.XLOOKUP(BD66,'Dispensed Ink Rates'!C:C,'Dispensed Ink Rates'!CS:CS),VLOOKUP(BD66,'Jan-2026 rates'!$E:$F,2,0)))</f>
        <v>#N/A</v>
      </c>
      <c r="BO66" s="409"/>
      <c r="BP66" s="398">
        <f>IF(BO66=0,0,IF(LEN(BE66)=11,_xlfn.XLOOKUP(BE66,'Dispensed Ink Rates'!C:C,'Dispensed Ink Rates'!CS:CS),VLOOKUP(BE66,'Jan-2026 rates'!$E:$F,2,0)))</f>
        <v>0</v>
      </c>
      <c r="BQ66" s="409"/>
      <c r="BR66" s="398">
        <f>IF(BQ66=0,0,IF(LEN(BF66)=11,_xlfn.XLOOKUP(BF66,'Dispensed Ink Rates'!C:C,'Dispensed Ink Rates'!CS:CS),VLOOKUP(BF66,'Jan-2026 rates'!$E:$F,2,0)))</f>
        <v>0</v>
      </c>
      <c r="BS66" s="409"/>
      <c r="BT66" s="398">
        <f>IF(BS66=0,0,IF(LEN(BG66)=11,_xlfn.XLOOKUP(BG66,'Dispensed Ink Rates'!C:C,'Dispensed Ink Rates'!CS:CS),VLOOKUP(BG66,'Jan-2026 rates'!$E:$F,2,0)))</f>
        <v>0</v>
      </c>
      <c r="BU66" s="409"/>
      <c r="BV66" s="398">
        <f>IF(BU66=0,0,IF(LEN(BH66)=11,_xlfn.XLOOKUP(BH66,'Dispensed Ink Rates'!C:C,'Dispensed Ink Rates'!CS:CS),VLOOKUP(BH66,'Jan-2026 rates'!$E:$F,2,0)))</f>
        <v>0</v>
      </c>
      <c r="BW66" s="409"/>
      <c r="BX66" s="398">
        <f>IF(BW66=0,0,IF(LEN(BI66)=11,_xlfn.XLOOKUP(BI66,'Dispensed Ink Rates'!C:C,'Dispensed Ink Rates'!CS:CS),VLOOKUP(BI66,'Jan-2026 rates'!$E:$F,2,0)))</f>
        <v>0</v>
      </c>
      <c r="BY66" s="409"/>
      <c r="BZ66" s="398">
        <f>IF(BY66=0,0,IF(LEN(BJ66)=11,_xlfn.XLOOKUP(BJ66,'Dispensed Ink Rates'!C:C,'Dispensed Ink Rates'!CS:CS),VLOOKUP(BJ66,'Jan-2026 rates'!$E:$F,2,0)))</f>
        <v>0</v>
      </c>
      <c r="CA66" s="409" t="s">
        <v>1443</v>
      </c>
      <c r="CB66" s="409">
        <v>24</v>
      </c>
      <c r="CC66" s="411">
        <f t="shared" si="5"/>
        <v>0</v>
      </c>
      <c r="CD66" s="411">
        <f t="shared" si="6"/>
        <v>9.9200000000000017</v>
      </c>
      <c r="CE66" s="410">
        <f t="shared" si="7"/>
        <v>0</v>
      </c>
      <c r="CF66" s="404" t="s">
        <v>546</v>
      </c>
      <c r="CG66" s="409" t="s">
        <v>2940</v>
      </c>
      <c r="CH66" s="420" t="str">
        <f t="shared" si="8"/>
        <v>FLINTSL - REFLEX BLUE</v>
      </c>
      <c r="CI66" s="409">
        <v>20</v>
      </c>
      <c r="CJ66" s="411">
        <f>IF(CI66=0,0,IF($LB66=70%,VLOOKUP($CH66,'Jan-2026 rates'!$L:$R,4,0),IF($LB66=65%,VLOOKUP($CH66,'Jan-2026 rates'!$L:$R,4,0),IF($LB66=40%,VLOOKUP($CH66,'Jan-2026 rates'!$L:$R,5,0),IF($LB66=30%,VLOOKUP($CH66,'Jan-2026 rates'!$L:$R,6,0),IF($LB66=100%,VLOOKUP($CH66,'Jan-2026 rates'!$L:$R,7,0),IF($LB66=60%,VLOOKUP($CH66,'Jan-2026 rates'!$L:$S,8,0),IF($LB66=80%,VLOOKUP($CH66,'Jan-2026 rates'!L:T,9,0),0))))))))</f>
        <v>0</v>
      </c>
      <c r="CK66" s="412"/>
      <c r="CL66" s="409"/>
      <c r="CM66" s="411">
        <f>IF(CL66=0,0,IF($LB66=70%,VLOOKUP($CH66,'Jan-2026 rates'!$L:$R,4,0),IF($LB66=65%,VLOOKUP($CH66,'Jan-2026 rates'!$L:$R,4,0),IF($LB66=40%,VLOOKUP($CH66,'Jan-2026 rates'!$L:$R,5,0),IF($LB66=30%,VLOOKUP($CH66,'Jan-2026 rates'!$L:$R,6,0),IF($LB66=100%,VLOOKUP($CH66,'Jan-2026 rates'!$L:$R,7,0),IF($LB66=60%,VLOOKUP($CH66,'Jan-2026 rates'!$L:$S,8,0),IF($LB66=80%,VLOOKUP($CH66,'Jan-2026 rates'!L:T,9,0),0))))))))</f>
        <v>0</v>
      </c>
      <c r="CN66" s="426">
        <v>26504000001</v>
      </c>
      <c r="CO66" s="427">
        <v>26503000002</v>
      </c>
      <c r="CP66" s="426">
        <v>26503000005</v>
      </c>
      <c r="CQ66" s="426"/>
      <c r="CR66" s="428"/>
      <c r="CS66" s="428"/>
      <c r="CT66" s="428"/>
      <c r="CU66" s="428"/>
      <c r="CV66" s="409">
        <v>5</v>
      </c>
      <c r="CW66" s="398" t="e">
        <f>IF(CV66=0,0,IF(LEN(CN66)=11,_xlfn.XLOOKUP(CN66,'Dispensed Ink Rates'!C:C,'Dispensed Ink Rates'!CS:CS),VLOOKUP(CN66,'Jan-2026 rates'!$E:$F,2,0)))</f>
        <v>#N/A</v>
      </c>
      <c r="CX66" s="409">
        <f>1+1</f>
        <v>2</v>
      </c>
      <c r="CY66" s="398" t="e">
        <f>IF(CX66=0,0,IF(LEN(CO66)=11,_xlfn.XLOOKUP(CO66,'Dispensed Ink Rates'!C:C,'Dispensed Ink Rates'!CS:CS),VLOOKUP(CO66,'Jan-2026 rates'!$E:$F,2,0)))</f>
        <v>#N/A</v>
      </c>
      <c r="CZ66" s="409">
        <v>0.2</v>
      </c>
      <c r="DA66" s="398" t="e">
        <f>IF(CZ66=0,0,IF(LEN(CP66)=11,_xlfn.XLOOKUP(CP66,'Dispensed Ink Rates'!C:C,'Dispensed Ink Rates'!CS:CS),VLOOKUP(CP66,'Jan-2026 rates'!$E:$F,2,0)))</f>
        <v>#N/A</v>
      </c>
      <c r="DB66" s="409"/>
      <c r="DC66" s="398">
        <f>IF(DB66=0,0,IF(LEN(CQ66)=11,_xlfn.XLOOKUP(CQ66,'Dispensed Ink Rates'!C:C,'Dispensed Ink Rates'!CS:CS),VLOOKUP(CQ66,'Jan-2026 rates'!$E:$F,2,0)))</f>
        <v>0</v>
      </c>
      <c r="DD66" s="409"/>
      <c r="DE66" s="398">
        <f>IF(DD66=0,0,IF(LEN(CR66)=11,_xlfn.XLOOKUP(CR66,'Dispensed Ink Rates'!C:C,'Dispensed Ink Rates'!CS:CS),VLOOKUP(CR66,'Jan-2026 rates'!$E:$F,2,0)))</f>
        <v>0</v>
      </c>
      <c r="DF66" s="409"/>
      <c r="DG66" s="398">
        <f>IF(DF66=0,0,IF(LEN(CS66)=11,_xlfn.XLOOKUP(CS66,'Dispensed Ink Rates'!C:C,'Dispensed Ink Rates'!CS:CS),VLOOKUP(CS66,'Jan-2026 rates'!$E:$F,2,0)))</f>
        <v>0</v>
      </c>
      <c r="DH66" s="409"/>
      <c r="DI66" s="398">
        <f>IF(DH66=0,0,IF(LEN(CT66)=11,_xlfn.XLOOKUP(CT66,'Dispensed Ink Rates'!C:C,'Dispensed Ink Rates'!CS:CS),VLOOKUP(CT66,'Jan-2026 rates'!$E:$F,2,0)))</f>
        <v>0</v>
      </c>
      <c r="DJ66" s="409"/>
      <c r="DK66" s="398">
        <f>IF(DJ66=0,0,IF(LEN(CU66)=11,_xlfn.XLOOKUP(CU66,'Dispensed Ink Rates'!C:C,'Dispensed Ink Rates'!CS:CS),VLOOKUP(CU66,'Jan-2026 rates'!$E:$F,2,0)))</f>
        <v>0</v>
      </c>
      <c r="DL66" s="409" t="s">
        <v>1443</v>
      </c>
      <c r="DM66" s="409">
        <v>27</v>
      </c>
      <c r="DN66" s="411">
        <f t="shared" si="9"/>
        <v>0</v>
      </c>
      <c r="DO66" s="411">
        <f t="shared" si="10"/>
        <v>10.579999999999998</v>
      </c>
      <c r="DP66" s="410">
        <f t="shared" si="11"/>
        <v>0</v>
      </c>
      <c r="DQ66" s="405" t="s">
        <v>546</v>
      </c>
      <c r="DR66" s="409" t="s">
        <v>2895</v>
      </c>
      <c r="DS66" s="420" t="str">
        <f t="shared" si="12"/>
        <v>FLINTSL - REFLEX BLUE</v>
      </c>
      <c r="DT66" s="409">
        <v>20</v>
      </c>
      <c r="DU66" s="411">
        <f>IF(DT66=0,0,IF($LB66=70%,VLOOKUP($DS66,'Jan-2026 rates'!$L:$R,4,0),IF($LB66=65%,VLOOKUP($DS66,'Jan-2026 rates'!$L:$R,4,0),IF($LB66=40%,VLOOKUP($DS66,'Jan-2026 rates'!$L:$R,5,0),IF($LB66=30%,VLOOKUP($DS66,'Jan-2026 rates'!$L:$R,6,0),IF($LB66=100%,VLOOKUP($DS66,'Jan-2026 rates'!$L:$R,7,0),IF($LB66=60%,VLOOKUP($DS66,'Jan-2026 rates'!$L:$S,8,0),IF($LB66=80%,VLOOKUP($DS66,'Jan-2026 rates'!L:T,9,0),0))))))))</f>
        <v>0</v>
      </c>
      <c r="DV66" s="412"/>
      <c r="DW66" s="409"/>
      <c r="DX66" s="411">
        <f>IF(DW66=0,0,IF($LB66=70%,VLOOKUP($DS66,'Jan-2026 rates'!$L:$R,4,0),IF($LB66=65%,VLOOKUP($DS66,'Jan-2026 rates'!$L:$R,4,0),IF($LB66=40%,VLOOKUP($DS66,'Jan-2026 rates'!$L:$R,5,0),IF($LB66=30%,VLOOKUP($DS66,'Jan-2026 rates'!$L:$R,6,0),IF($LB66=100%,VLOOKUP($DS66,'Jan-2026 rates'!$L:$R,7,0),IF($LB66=60%,VLOOKUP($DS66,'Jan-2026 rates'!$L:$S,8,0),IF($LB66=80%,VLOOKUP($DS66,'Jan-2026 rates'!L:T,9,0),0))))))))</f>
        <v>0</v>
      </c>
      <c r="DY66" s="413">
        <v>26505000008</v>
      </c>
      <c r="DZ66" s="413">
        <v>26505000009</v>
      </c>
      <c r="EA66" s="412">
        <v>26505000011</v>
      </c>
      <c r="EB66" s="412">
        <v>9472</v>
      </c>
      <c r="EC66" s="412"/>
      <c r="ED66" s="412"/>
      <c r="EE66" s="412"/>
      <c r="EF66" s="412"/>
      <c r="EG66" s="409">
        <v>40</v>
      </c>
      <c r="EH66" s="398" t="e">
        <f>IF(EG66=0,0,IF(LEN(DY66)=11,_xlfn.XLOOKUP(DY66,'Dispensed Ink Rates'!C:C,'Dispensed Ink Rates'!CS:CS),VLOOKUP(DY66,'Jan-2026 rates'!$E:$F,2,0)))</f>
        <v>#N/A</v>
      </c>
      <c r="EI66" s="409">
        <v>30</v>
      </c>
      <c r="EJ66" s="398" t="e">
        <f>IF(EI66=0,0,IF(LEN(DZ66)=11,_xlfn.XLOOKUP(DZ66,'Dispensed Ink Rates'!C:C,'Dispensed Ink Rates'!CS:CS),VLOOKUP(DZ66,'Jan-2026 rates'!$E:$F,2,0)))</f>
        <v>#N/A</v>
      </c>
      <c r="EK66" s="409">
        <v>30</v>
      </c>
      <c r="EL66" s="398" t="e">
        <f>IF(EK66=0,0,IF(LEN(EA66)=11,_xlfn.XLOOKUP(EA66,'Dispensed Ink Rates'!C:C,'Dispensed Ink Rates'!CS:CS),VLOOKUP(EA66,'Jan-2026 rates'!$E:$F,2,0)))</f>
        <v>#N/A</v>
      </c>
      <c r="EM66" s="409">
        <v>5</v>
      </c>
      <c r="EN66" s="398">
        <f>IF(EM66=0,0,IF(LEN(EB66)=11,_xlfn.XLOOKUP(EB66,'Dispensed Ink Rates'!C:C,'Dispensed Ink Rates'!CS:CS),VLOOKUP(EB66,'Jan-2026 rates'!$E:$F,2,0)))</f>
        <v>0</v>
      </c>
      <c r="EO66" s="409"/>
      <c r="EP66" s="398">
        <f>IF(EO66=0,0,IF(LEN(EC66)=11,_xlfn.XLOOKUP(EC66,'Dispensed Ink Rates'!C:C,'Dispensed Ink Rates'!CS:CS),VLOOKUP(EC66,'Jan-2026 rates'!$E:$F,2,0)))</f>
        <v>0</v>
      </c>
      <c r="EQ66" s="409"/>
      <c r="ER66" s="398">
        <f>IF(EQ66=0,0,IF(LEN(ED66)=11,_xlfn.XLOOKUP(ED66,'Dispensed Ink Rates'!C:C,'Dispensed Ink Rates'!CS:CS),VLOOKUP(ED66,'Jan-2026 rates'!$E:$F,2,0)))</f>
        <v>0</v>
      </c>
      <c r="ES66" s="409"/>
      <c r="ET66" s="398">
        <f>IF(ES66=0,0,IF(LEN(EE66)=11,_xlfn.XLOOKUP(EE66,'Dispensed Ink Rates'!C:C,'Dispensed Ink Rates'!CS:CS),VLOOKUP(EE66,'Jan-2026 rates'!$E:$F,2,0)))</f>
        <v>0</v>
      </c>
      <c r="EU66" s="409"/>
      <c r="EV66" s="398">
        <f>IF(EU66=0,0,IF(LEN(EF66)=11,_xlfn.XLOOKUP(EF66,'Dispensed Ink Rates'!C:C,'Dispensed Ink Rates'!CS:CS),VLOOKUP(EF66,'Jan-2026 rates'!$E:$F,2,0)))</f>
        <v>0</v>
      </c>
      <c r="EW66" s="409" t="s">
        <v>1443</v>
      </c>
      <c r="EX66" s="409">
        <v>25</v>
      </c>
      <c r="EY66" s="411">
        <f t="shared" si="13"/>
        <v>0</v>
      </c>
      <c r="EZ66" s="411">
        <f t="shared" si="14"/>
        <v>134.6</v>
      </c>
      <c r="FA66" s="410">
        <f t="shared" si="15"/>
        <v>0</v>
      </c>
      <c r="FB66" s="405" t="s">
        <v>855</v>
      </c>
      <c r="FC66" s="409" t="s">
        <v>2941</v>
      </c>
      <c r="FD66" s="420" t="str">
        <f t="shared" si="16"/>
        <v>FLINTSL - CYAN</v>
      </c>
      <c r="FE66" s="409">
        <v>26</v>
      </c>
      <c r="FF66" s="411">
        <f>IF(FE66=0,0,IF($LB66=70%,VLOOKUP($FD66,'Jan-2026 rates'!$L:$R,4,0),IF($LB66=65%,VLOOKUP($FD66,'Jan-2026 rates'!$L:$R,4,0),IF($LB66=40%,VLOOKUP($FD66,'Jan-2026 rates'!$L:$R,5,0),IF($LB66=30%,VLOOKUP($FD66,'Jan-2026 rates'!$L:$R,6,0),IF($LB66=100%,VLOOKUP($FD66,'Jan-2026 rates'!$L:$R,7,0),IF($LB66=60%,VLOOKUP($FD66,'Jan-2026 rates'!$L:$S,8,0),IF($LB66=80%,VLOOKUP($FD66,'Jan-2026 rates'!L:T,9,0),0))))))))</f>
        <v>0</v>
      </c>
      <c r="FG66" s="412"/>
      <c r="FH66" s="409"/>
      <c r="FI66" s="411">
        <f>IF(FH66=0,0,IF($LB66=70%,VLOOKUP($FD66,'Jan-2026 rates'!$L:$R,4,0),IF($LB66=65%,VLOOKUP($FD66,'Jan-2026 rates'!$L:$R,4,0),IF($LB66=40%,VLOOKUP($FD66,'Jan-2026 rates'!$L:$R,5,0),IF($LB66=30%,VLOOKUP($FD66,'Jan-2026 rates'!$L:$R,6,0),IF($LB66=100%,VLOOKUP($FD66,'Jan-2026 rates'!$L:$R,7,0),IF($LB66=60%,VLOOKUP($FD66,'Jan-2026 rates'!$L:$S,8,0),IF($LB66=80%,VLOOKUP($FD66,'Jan-2026 rates'!L:T,9,0),0))))))))</f>
        <v>0</v>
      </c>
      <c r="FJ66" s="413">
        <v>25864000009</v>
      </c>
      <c r="FK66" s="413"/>
      <c r="FL66" s="413"/>
      <c r="FM66" s="412"/>
      <c r="FN66" s="412"/>
      <c r="FO66" s="412"/>
      <c r="FP66" s="412"/>
      <c r="FQ66" s="412"/>
      <c r="FR66" s="409">
        <f>1+2</f>
        <v>3</v>
      </c>
      <c r="FS66" s="398" t="e">
        <f>IF(FR66=0,0,IF(LEN(FJ66)=11,_xlfn.XLOOKUP(FJ66,'Dispensed Ink Rates'!C:C,'Dispensed Ink Rates'!CS:CS),VLOOKUP(FJ66,'Jan-2026 rates'!$E:$F,2,0)))</f>
        <v>#N/A</v>
      </c>
      <c r="FT66" s="409"/>
      <c r="FU66" s="398">
        <f>IF(FT66=0,0,IF(LEN(FK66)=11,_xlfn.XLOOKUP(FK66,'Dispensed Ink Rates'!C:C,'Dispensed Ink Rates'!CS:CS),VLOOKUP(FK66,'Jan-2026 rates'!$E:$F,2,0)))</f>
        <v>0</v>
      </c>
      <c r="FV66" s="409"/>
      <c r="FW66" s="398">
        <f>IF(FV66=0,0,IF(LEN(FL66)=11,_xlfn.XLOOKUP(FL66,'Dispensed Ink Rates'!C:C,'Dispensed Ink Rates'!CS:CS),VLOOKUP(FL66,'Jan-2026 rates'!$E:$F,2,0)))</f>
        <v>0</v>
      </c>
      <c r="FX66" s="409"/>
      <c r="FY66" s="398">
        <f>IF(FX66=0,0,IF(LEN(FM66)=11,_xlfn.XLOOKUP(FM66,'Dispensed Ink Rates'!C:C,'Dispensed Ink Rates'!CS:CS),VLOOKUP(FM66,'Jan-2026 rates'!$E:$F,2,0)))</f>
        <v>0</v>
      </c>
      <c r="FZ66" s="409"/>
      <c r="GA66" s="398">
        <f>IF(FZ66=0,0,IF(LEN(FN66)=11,_xlfn.XLOOKUP(FN66,'Dispensed Ink Rates'!C:C,'Dispensed Ink Rates'!CS:CS),VLOOKUP(FN66,'Jan-2026 rates'!$E:$F,2,0)))</f>
        <v>0</v>
      </c>
      <c r="GB66" s="409"/>
      <c r="GC66" s="398">
        <f>IF(GB66=0,0,IF(LEN(FO66)=11,_xlfn.XLOOKUP(FO66,'Dispensed Ink Rates'!C:C,'Dispensed Ink Rates'!CS:CS),VLOOKUP(FO66,'Jan-2026 rates'!$E:$F,2,0)))</f>
        <v>0</v>
      </c>
      <c r="GD66" s="409"/>
      <c r="GE66" s="398">
        <f>IF(GD66=0,0,IF(LEN(FP66)=11,_xlfn.XLOOKUP(FP66,'Dispensed Ink Rates'!C:C,'Dispensed Ink Rates'!CS:CS),VLOOKUP(FP66,'Jan-2026 rates'!$E:$F,2,0)))</f>
        <v>0</v>
      </c>
      <c r="GF66" s="409"/>
      <c r="GG66" s="398">
        <f>IF(GF66=0,0,IF(LEN(FQ66)=11,_xlfn.XLOOKUP(FQ66,'Dispensed Ink Rates'!C:C,'Dispensed Ink Rates'!CS:CS),VLOOKUP(FQ66,'Jan-2026 rates'!$E:$F,2,0)))</f>
        <v>0</v>
      </c>
      <c r="GH66" s="409" t="s">
        <v>1443</v>
      </c>
      <c r="GI66" s="409">
        <v>22</v>
      </c>
      <c r="GJ66" s="411">
        <f t="shared" si="17"/>
        <v>0</v>
      </c>
      <c r="GK66" s="411">
        <f t="shared" si="18"/>
        <v>10.46</v>
      </c>
      <c r="GL66" s="410">
        <f t="shared" si="19"/>
        <v>0</v>
      </c>
      <c r="GM66" s="405" t="s">
        <v>544</v>
      </c>
      <c r="GN66" s="409" t="s">
        <v>2942</v>
      </c>
      <c r="GO66" s="420" t="str">
        <f t="shared" si="20"/>
        <v>FLINTSL - MAGENTA</v>
      </c>
      <c r="GP66" s="409">
        <v>27</v>
      </c>
      <c r="GQ66" s="411">
        <f>IF(GP66=0,0,IF($LB66=70%,VLOOKUP($GO66,'Jan-2026 rates'!$L:$R,4,0),IF($LB66=65%,VLOOKUP($GO66,'Jan-2026 rates'!$L:$R,4,0),IF($LB66=40%,VLOOKUP($GO66,'Jan-2026 rates'!$L:$R,5,0),IF($LB66=30%,VLOOKUP($GO66,'Jan-2026 rates'!$L:$R,6,0),IF($LB66=100%,VLOOKUP($GO66,'Jan-2026 rates'!$L:$R,7,0),IF($LB66=60%,VLOOKUP($GO66,'Jan-2026 rates'!$L:$S,8,0),IF($LB66=80%,VLOOKUP($GO66,'Jan-2026 rates'!L:T,9,0),0))))))))</f>
        <v>0</v>
      </c>
      <c r="GR66" s="412"/>
      <c r="GS66" s="409"/>
      <c r="GT66" s="411">
        <f>IF(GS66=0,0,IF($LB66=70%,VLOOKUP($GO66,'Jan-2026 rates'!$L:$R,4,0),IF($LB66=65%,VLOOKUP($GO66,'Jan-2026 rates'!$L:$R,4,0),IF($LB66=40%,VLOOKUP($GO66,'Jan-2026 rates'!$L:$R,5,0),IF($LB66=30%,VLOOKUP($GO66,'Jan-2026 rates'!$L:$R,6,0),IF($LB66=100%,VLOOKUP($GO66,'Jan-2026 rates'!$L:$R,7,0),IF($LB66=60%,VLOOKUP($GO66,'Jan-2026 rates'!$L:$S,8,0),IF($LB66=80%,VLOOKUP($GO66,'Jan-2026 rates'!L:T,9,0),0))))))))</f>
        <v>0</v>
      </c>
      <c r="GU66" s="413" t="s">
        <v>1266</v>
      </c>
      <c r="GV66" s="413"/>
      <c r="GW66" s="412"/>
      <c r="GX66" s="412"/>
      <c r="GY66" s="412"/>
      <c r="GZ66" s="412"/>
      <c r="HA66" s="412"/>
      <c r="HB66" s="412"/>
      <c r="HC66" s="409">
        <v>1</v>
      </c>
      <c r="HD66" s="398">
        <f>IF(HC66=0,0,IF(LEN(GU66)=11,_xlfn.XLOOKUP(GU66,'Dispensed Ink Rates'!C:C,'Dispensed Ink Rates'!CS:CS),VLOOKUP(GU66,'Jan-2026 rates'!$E:$F,2,0)))</f>
        <v>0</v>
      </c>
      <c r="HE66" s="409"/>
      <c r="HF66" s="398">
        <f>IF(HE66=0,0,IF(LEN(GV66)=11,_xlfn.XLOOKUP(GV66,'Dispensed Ink Rates'!C:C,'Dispensed Ink Rates'!CS:CS),VLOOKUP(GV66,'Jan-2026 rates'!$E:$F,2,0)))</f>
        <v>0</v>
      </c>
      <c r="HG66" s="409"/>
      <c r="HH66" s="398">
        <f>IF(HG66=0,0,IF(LEN(GW66)=11,_xlfn.XLOOKUP(GW66,'Dispensed Ink Rates'!C:C,'Dispensed Ink Rates'!CS:CS),VLOOKUP(GW66,'Jan-2026 rates'!$E:$F,2,0)))</f>
        <v>0</v>
      </c>
      <c r="HI66" s="409"/>
      <c r="HJ66" s="398">
        <f>IF(HI66=0,0,IF(LEN(GX66)=11,_xlfn.XLOOKUP(GX66,'Dispensed Ink Rates'!C:C,'Dispensed Ink Rates'!CS:CS),VLOOKUP(GX66,'Jan-2026 rates'!$E:$F,2,0)))</f>
        <v>0</v>
      </c>
      <c r="HK66" s="409"/>
      <c r="HL66" s="398">
        <f>IF(HK66=0,0,IF(LEN(GY66)=11,_xlfn.XLOOKUP(GY66,'Dispensed Ink Rates'!C:C,'Dispensed Ink Rates'!CS:CS),VLOOKUP(GY66,'Jan-2026 rates'!$E:$F,2,0)))</f>
        <v>0</v>
      </c>
      <c r="HM66" s="409"/>
      <c r="HN66" s="398">
        <f>IF(HM66=0,0,IF(LEN(GZ66)=11,_xlfn.XLOOKUP(GZ66,'Dispensed Ink Rates'!C:C,'Dispensed Ink Rates'!CS:CS),VLOOKUP(GZ66,'Jan-2026 rates'!$E:$F,2,0)))</f>
        <v>0</v>
      </c>
      <c r="HO66" s="409"/>
      <c r="HP66" s="398">
        <f>IF(HO66=0,0,IF(LEN(HA66)=11,_xlfn.XLOOKUP(HA66,'Dispensed Ink Rates'!C:C,'Dispensed Ink Rates'!CS:CS),VLOOKUP(HA66,'Jan-2026 rates'!$E:$F,2,0)))</f>
        <v>0</v>
      </c>
      <c r="HQ66" s="409"/>
      <c r="HR66" s="398">
        <f>IF(HQ66=0,0,IF(LEN(HB66)=11,_xlfn.XLOOKUP(HB66,'Dispensed Ink Rates'!C:C,'Dispensed Ink Rates'!CS:CS),VLOOKUP(HB66,'Jan-2026 rates'!$E:$F,2,0)))</f>
        <v>0</v>
      </c>
      <c r="HS66" s="409" t="s">
        <v>1443</v>
      </c>
      <c r="HT66" s="409">
        <v>22</v>
      </c>
      <c r="HU66" s="411">
        <f t="shared" si="21"/>
        <v>0</v>
      </c>
      <c r="HV66" s="411">
        <f t="shared" si="22"/>
        <v>9.4600000000000009</v>
      </c>
      <c r="HW66" s="414">
        <f t="shared" si="23"/>
        <v>0</v>
      </c>
      <c r="HX66" s="405" t="s">
        <v>545</v>
      </c>
      <c r="HY66" s="409" t="s">
        <v>2943</v>
      </c>
      <c r="HZ66" s="420" t="str">
        <f t="shared" si="24"/>
        <v>FLINTSL - YELLOW</v>
      </c>
      <c r="IA66" s="409">
        <v>26</v>
      </c>
      <c r="IB66" s="411">
        <f>IF(IA66=0,0,IF($LB66=70%,VLOOKUP($HZ66,'Jan-2026 rates'!$L:$R,4,0),IF($LB66=65%,VLOOKUP($HZ66,'Jan-2026 rates'!$L:$R,4,0),IF($LB66=40%,VLOOKUP($HZ66,'Jan-2026 rates'!$L:$R,5,0),IF($LB66=30%,VLOOKUP($HZ66,'Jan-2026 rates'!$L:$R,6,0),IF($LB66=100%,VLOOKUP($HZ66,'Jan-2026 rates'!$L:$R,7,0),IF($LB66=60%,VLOOKUP($HZ66,'Jan-2026 rates'!$L:$S,8,0),IF($LB66=80%,VLOOKUP($HZ66,'Jan-2026 rates'!L:T,9,0),0))))))))</f>
        <v>0</v>
      </c>
      <c r="IC66" s="412"/>
      <c r="ID66" s="409"/>
      <c r="IE66" s="411">
        <f>IF(ID66=0,0,IF($LB66=70%,VLOOKUP($HZ66,'Jan-2026 rates'!$L:$R,4,0),IF($LB66=65%,VLOOKUP($HZ66,'Jan-2026 rates'!$L:$R,4,0),IF($LB66=40%,VLOOKUP($HZ66,'Jan-2026 rates'!$L:$R,5,0),IF($LB66=30%,VLOOKUP($HZ66,'Jan-2026 rates'!$L:$R,6,0),IF($LB66=100%,VLOOKUP($HZ66,'Jan-2026 rates'!$L:$R,7,0),IF($LB66=60%,VLOOKUP($HZ66,'Jan-2026 rates'!$L:$S,8,0),IF($LB66=80%,VLOOKUP($HZ66,'Jan-2026 rates'!L:T,9,0),0))))))))</f>
        <v>0</v>
      </c>
      <c r="IF66" s="412">
        <v>26503000002</v>
      </c>
      <c r="IG66" s="413"/>
      <c r="IH66" s="412"/>
      <c r="II66" s="412"/>
      <c r="IJ66" s="412"/>
      <c r="IK66" s="412"/>
      <c r="IL66" s="412"/>
      <c r="IM66" s="412"/>
      <c r="IN66" s="409">
        <v>2</v>
      </c>
      <c r="IO66" s="398" t="e">
        <f>IF(IN66=0,0,IF(LEN(IF66)=11,_xlfn.XLOOKUP(IF66,'Dispensed Ink Rates'!C:C,'Dispensed Ink Rates'!CS:CS),VLOOKUP(IF66,'Jan-2026 rates'!$E:$F,2,0)))</f>
        <v>#N/A</v>
      </c>
      <c r="IP66" s="409"/>
      <c r="IQ66" s="398">
        <f>IF(IP66=0,0,IF(LEN(IG66)=11,_xlfn.XLOOKUP(IG66,'Dispensed Ink Rates'!C:C,'Dispensed Ink Rates'!CS:CS),VLOOKUP(IG66,'Jan-2026 rates'!$E:$F,2,0)))</f>
        <v>0</v>
      </c>
      <c r="IR66" s="409"/>
      <c r="IS66" s="398">
        <f>IF(IR66=0,0,IF(LEN(IH66)=11,_xlfn.XLOOKUP(IH66,'Dispensed Ink Rates'!C:C,'Dispensed Ink Rates'!CS:CS),VLOOKUP(IH66,'Jan-2026 rates'!$E:$F,2,0)))</f>
        <v>0</v>
      </c>
      <c r="IT66" s="409"/>
      <c r="IU66" s="398">
        <f>IF(IT66=0,0,IF(LEN(II66)=11,_xlfn.XLOOKUP(II66,'Dispensed Ink Rates'!C:C,'Dispensed Ink Rates'!CS:CS),VLOOKUP(II66,'Jan-2026 rates'!$E:$F,2,0)))</f>
        <v>0</v>
      </c>
      <c r="IV66" s="409"/>
      <c r="IW66" s="398">
        <f>IF(IV66=0,0,IF(LEN(IJ66)=11,_xlfn.XLOOKUP(IJ66,'Dispensed Ink Rates'!C:C,'Dispensed Ink Rates'!CS:CS),VLOOKUP(IJ66,'Jan-2026 rates'!$E:$F,2,0)))</f>
        <v>0</v>
      </c>
      <c r="IX66" s="409"/>
      <c r="IY66" s="398">
        <f>IF(IX66=0,0,IF(LEN(IK66)=11,_xlfn.XLOOKUP(IK66,'Dispensed Ink Rates'!C:C,'Dispensed Ink Rates'!CS:CS),VLOOKUP(IK66,'Jan-2026 rates'!$E:$F,2,0)))</f>
        <v>0</v>
      </c>
      <c r="IZ66" s="409"/>
      <c r="JA66" s="398">
        <f>IF(IZ66=0,0,IF(LEN(IL66)=11,_xlfn.XLOOKUP(IL66,'Dispensed Ink Rates'!C:C,'Dispensed Ink Rates'!CS:CS),VLOOKUP(IL66,'Jan-2026 rates'!$E:$F,2,0)))</f>
        <v>0</v>
      </c>
      <c r="JB66" s="409"/>
      <c r="JC66" s="398">
        <f>IF(JB66=0,0,IF(LEN(IM66)=11,_xlfn.XLOOKUP(IM66,'Dispensed Ink Rates'!C:C,'Dispensed Ink Rates'!CS:CS),VLOOKUP(IM66,'Jan-2026 rates'!$E:$F,2,0)))</f>
        <v>0</v>
      </c>
      <c r="JD66" s="409" t="s">
        <v>1443</v>
      </c>
      <c r="JE66" s="409">
        <v>24</v>
      </c>
      <c r="JF66" s="411">
        <f t="shared" si="25"/>
        <v>0</v>
      </c>
      <c r="JG66" s="411">
        <f t="shared" si="26"/>
        <v>7.4600000000000009</v>
      </c>
      <c r="JH66" s="410">
        <f t="shared" si="27"/>
        <v>0</v>
      </c>
      <c r="JI66" s="405" t="s">
        <v>856</v>
      </c>
      <c r="JJ66" s="409" t="s">
        <v>2944</v>
      </c>
      <c r="JK66" s="420" t="str">
        <f t="shared" si="28"/>
        <v>FLINTSL - WHITE</v>
      </c>
      <c r="JL66" s="409">
        <v>20</v>
      </c>
      <c r="JM66" s="411">
        <f>IF(JL66=0,0,IF($LB66=70%,VLOOKUP($JK66,'Jan-2026 rates'!$L:$R,4,0),IF($LB66=65%,VLOOKUP($JK66,'Jan-2026 rates'!$L:$R,4,0),IF($LB66=40%,VLOOKUP($JK66,'Jan-2026 rates'!$L:$R,5,0),IF($LB66=30%,VLOOKUP($JK66,'Jan-2026 rates'!$L:$R,6,0),IF($LB66=100%,VLOOKUP($JK66,'Jan-2026 rates'!$L:$R,7,0),IF($LB66=60%,VLOOKUP($JK66,'Jan-2026 rates'!$L:$S,8,0),IF($LB66=80%,VLOOKUP($JK66,'Jan-2026 rates'!L:T,9,0),0))))))))</f>
        <v>0</v>
      </c>
      <c r="JN66" s="412"/>
      <c r="JO66" s="409"/>
      <c r="JP66" s="411">
        <f>IF(JO66=0,0,IF($LB66=70%,VLOOKUP($JK66,'Jan-2026 rates'!$L:$R,4,0),IF($LB66=65%,VLOOKUP($JK66,'Jan-2026 rates'!$L:$R,4,0),IF($LB66=40%,VLOOKUP($JK66,'Jan-2026 rates'!$L:$R,5,0),IF($LB66=30%,VLOOKUP($JK66,'Jan-2026 rates'!$L:$R,6,0),IF($LB66=100%,VLOOKUP($JK66,'Jan-2026 rates'!$L:$R,7,0),IF($LB66=60%,VLOOKUP($JK66,'Jan-2026 rates'!$L:$S,8,0),IF($LB66=80%,VLOOKUP($JK66,'Jan-2026 rates'!L:T,9,0),0))))))))</f>
        <v>0</v>
      </c>
      <c r="JQ66" s="413" t="s">
        <v>484</v>
      </c>
      <c r="JR66" s="412"/>
      <c r="JS66" s="413"/>
      <c r="JT66" s="413"/>
      <c r="JU66" s="412"/>
      <c r="JV66" s="412"/>
      <c r="JW66" s="412"/>
      <c r="JX66" s="412"/>
      <c r="JY66" s="409">
        <v>60</v>
      </c>
      <c r="JZ66" s="398">
        <f>IF(JY66=0,0,IF(LEN(JQ66)=11,_xlfn.XLOOKUP(JQ66,'Dispensed Ink Rates'!C:C,'Dispensed Ink Rates'!CS:CS),VLOOKUP(JQ66,'Jan-2026 rates'!$E:$F,2,0)))</f>
        <v>0</v>
      </c>
      <c r="KA66" s="409"/>
      <c r="KB66" s="398">
        <f>IF(KA66=0,0,IF(LEN(JR66)=11,_xlfn.XLOOKUP(JR66,'Dispensed Ink Rates'!C:C,'Dispensed Ink Rates'!CS:CS),VLOOKUP(JR66,'Jan-2026 rates'!$E:$F,2,0)))</f>
        <v>0</v>
      </c>
      <c r="KC66" s="409"/>
      <c r="KD66" s="398">
        <f>IF(KC66=0,0,IF(LEN(JS66)=11,_xlfn.XLOOKUP(JS66,'Dispensed Ink Rates'!C:C,'Dispensed Ink Rates'!CS:CS),VLOOKUP(JS66,'Jan-2026 rates'!$E:$F,2,0)))</f>
        <v>0</v>
      </c>
      <c r="KE66" s="409"/>
      <c r="KF66" s="398">
        <f>IF(KE66=0,0,IF(LEN(JT66)=11,_xlfn.XLOOKUP(JT66,'Dispensed Ink Rates'!C:C,'Dispensed Ink Rates'!CS:CS),VLOOKUP(JT66,'Jan-2026 rates'!$E:$F,2,0)))</f>
        <v>0</v>
      </c>
      <c r="KG66" s="409"/>
      <c r="KH66" s="398">
        <f>IF(KG66=0,0,IF(LEN(JU66)=11,_xlfn.XLOOKUP(JU66,'Dispensed Ink Rates'!C:C,'Dispensed Ink Rates'!CS:CS),VLOOKUP(JU66,'Jan-2026 rates'!$E:$F,2,0)))</f>
        <v>0</v>
      </c>
      <c r="KI66" s="409"/>
      <c r="KJ66" s="398">
        <f>IF(KI66=0,0,IF(LEN(JV66)=11,_xlfn.XLOOKUP(JV66,'Dispensed Ink Rates'!C:C,'Dispensed Ink Rates'!CS:CS),VLOOKUP(JV66,'Jan-2026 rates'!$E:$F,2,0)))</f>
        <v>0</v>
      </c>
      <c r="KK66" s="409"/>
      <c r="KL66" s="398">
        <f>IF(KK66=0,0,IF(LEN(JW66)=11,_xlfn.XLOOKUP(JW66,'Dispensed Ink Rates'!C:C,'Dispensed Ink Rates'!CS:CS),VLOOKUP(JW66,'Jan-2026 rates'!$E:$F,2,0)))</f>
        <v>0</v>
      </c>
      <c r="KM66" s="428"/>
      <c r="KN66" s="398">
        <f>IF(KM66=0,0,IF(LEN(JX66)=11,_xlfn.XLOOKUP(JX66,'Dispensed Ink Rates'!C:C,'Dispensed Ink Rates'!CS:CS),VLOOKUP(JX66,'Jan-2026 rates'!$E:$F,2,0)))</f>
        <v>0</v>
      </c>
      <c r="KO66" s="409" t="s">
        <v>1443</v>
      </c>
      <c r="KP66" s="409">
        <v>26</v>
      </c>
      <c r="KQ66" s="411">
        <f t="shared" si="29"/>
        <v>0</v>
      </c>
      <c r="KR66" s="411">
        <f t="shared" si="30"/>
        <v>157.80000000000001</v>
      </c>
      <c r="KS66" s="410">
        <f t="shared" si="31"/>
        <v>0</v>
      </c>
      <c r="KT66" s="409">
        <v>2</v>
      </c>
      <c r="KU66" s="409">
        <v>2</v>
      </c>
      <c r="KV66" s="409">
        <v>3</v>
      </c>
      <c r="KW66" s="409">
        <v>10</v>
      </c>
      <c r="KX66" s="409">
        <v>1</v>
      </c>
      <c r="KY66" s="409">
        <v>1</v>
      </c>
      <c r="KZ66" s="409">
        <v>1</v>
      </c>
      <c r="LA66" s="409">
        <v>30</v>
      </c>
      <c r="LB66" s="415">
        <v>0.8</v>
      </c>
      <c r="LC66" s="415">
        <v>0.2</v>
      </c>
      <c r="LD66" s="415"/>
      <c r="LE66" s="415"/>
      <c r="LF66" s="415"/>
      <c r="LG66" s="409">
        <v>0</v>
      </c>
      <c r="LH66" s="409">
        <f>30+30+80+20+5+5+3</f>
        <v>173</v>
      </c>
      <c r="LI66" s="409">
        <v>0</v>
      </c>
      <c r="LJ66" s="409">
        <v>0</v>
      </c>
      <c r="LK66" s="416">
        <f t="shared" si="32"/>
        <v>173</v>
      </c>
      <c r="LL66" s="416">
        <f t="shared" si="33"/>
        <v>173</v>
      </c>
      <c r="LM66" s="417">
        <f t="shared" si="34"/>
        <v>138.4</v>
      </c>
      <c r="LN66" s="417">
        <f>VLOOKUP($LM$8,'Jan-2026 rates'!$H:$I,2,0)</f>
        <v>0</v>
      </c>
      <c r="LO66" s="417">
        <f t="shared" si="35"/>
        <v>34.6</v>
      </c>
      <c r="LP66" s="417">
        <f>VLOOKUP($LO$8,'Jan-2026 rates'!$H:$I,2,0)</f>
        <v>0</v>
      </c>
      <c r="LQ66" s="417">
        <f t="shared" si="36"/>
        <v>0</v>
      </c>
      <c r="LR66" s="417">
        <f>VLOOKUP($LQ$8,'Jan-2026 rates'!$H:$I,2,0)</f>
        <v>0</v>
      </c>
      <c r="LS66" s="417">
        <f t="shared" si="37"/>
        <v>0</v>
      </c>
      <c r="LT66" s="417">
        <f>VLOOKUP($LS$8,'Jan-2026 rates'!$H:$I,2,0)</f>
        <v>0</v>
      </c>
      <c r="LU66" s="417">
        <f t="shared" si="38"/>
        <v>0</v>
      </c>
      <c r="LV66" s="417">
        <f>VLOOKUP($LU$8,'Jan-2026 rates'!$H:$I,2,0)</f>
        <v>0</v>
      </c>
      <c r="LW66" s="417">
        <f t="shared" si="39"/>
        <v>0</v>
      </c>
      <c r="LX66" s="417">
        <f t="shared" si="40"/>
        <v>0</v>
      </c>
      <c r="LY66" s="418">
        <f t="shared" si="41"/>
        <v>0</v>
      </c>
      <c r="LZ66" s="417"/>
      <c r="MA66" s="435">
        <f t="shared" si="42"/>
        <v>184.2</v>
      </c>
      <c r="MB66" s="282">
        <f t="shared" si="43"/>
        <v>352.20000000000005</v>
      </c>
      <c r="MC66" s="283">
        <v>21</v>
      </c>
      <c r="MD66" s="284" t="str">
        <f t="shared" si="44"/>
        <v>FLINTSLFLINTSLFLINTSLFLINTSLFLINTSLFLINTSLFLINTSLFLINTSL</v>
      </c>
      <c r="ME66" s="293" t="str">
        <f t="shared" si="45"/>
        <v>+</v>
      </c>
      <c r="MF66" s="293" t="str">
        <f t="shared" si="46"/>
        <v>+</v>
      </c>
      <c r="MG66" s="293" t="str">
        <f t="shared" si="47"/>
        <v>+</v>
      </c>
      <c r="MH66" s="293" t="str">
        <f t="shared" si="48"/>
        <v>+</v>
      </c>
      <c r="MI66" s="293" t="str">
        <f t="shared" si="49"/>
        <v>+</v>
      </c>
      <c r="MJ66" s="293" t="str">
        <f t="shared" si="50"/>
        <v>+</v>
      </c>
      <c r="MK66" s="293" t="str">
        <f t="shared" si="51"/>
        <v>+</v>
      </c>
      <c r="ML66" s="293" t="str">
        <f t="shared" si="52"/>
        <v>+</v>
      </c>
      <c r="MM66" s="3" t="b">
        <f t="array" ref="MM66">OR(ME66:ML66="-")</f>
        <v>0</v>
      </c>
      <c r="MN66" s="285"/>
      <c r="MO66" s="401"/>
      <c r="MP66" s="286"/>
      <c r="MQ66" s="286"/>
      <c r="MR66" s="402"/>
      <c r="MS66" s="400"/>
      <c r="NH66" s="422"/>
      <c r="NJ66" s="421"/>
    </row>
    <row r="67" spans="1:374" s="1" customFormat="1" ht="16.5">
      <c r="A67" s="403">
        <v>46027</v>
      </c>
      <c r="B67" s="404" t="s">
        <v>1015</v>
      </c>
      <c r="C67" s="405" t="s">
        <v>2945</v>
      </c>
      <c r="D67" s="406">
        <v>22</v>
      </c>
      <c r="E67" s="404">
        <v>718</v>
      </c>
      <c r="F67" s="407">
        <v>24200</v>
      </c>
      <c r="G67" s="407" t="s">
        <v>1019</v>
      </c>
      <c r="H67" s="408" t="s">
        <v>1017</v>
      </c>
      <c r="I67" s="409">
        <v>1.86</v>
      </c>
      <c r="J67" s="405" t="s">
        <v>543</v>
      </c>
      <c r="K67" s="404" t="s">
        <v>2946</v>
      </c>
      <c r="L67" s="419" t="str">
        <f t="shared" si="0"/>
        <v>FLINTSL - BLACK</v>
      </c>
      <c r="M67" s="404">
        <v>24</v>
      </c>
      <c r="N67" s="410">
        <f>IF(M67=0,0,IF($LB67=70%,VLOOKUP($L67,'Jan-2026 rates'!$L:$R,4,0),IF($LB67=65%,VLOOKUP($L67,'Jan-2026 rates'!$L:$R,4,0),IF($LB67=40%,VLOOKUP($L67,'Jan-2026 rates'!$L:$R,5,0),IF($LB67=30%,VLOOKUP($L67,'Jan-2026 rates'!$L:$R,6,0),IF($LB67=100%,VLOOKUP($L67,'Jan-2026 rates'!$L:$R,7,0),IF($LB67=60%,VLOOKUP($L67,'Jan-2026 rates'!$L:$S,8,0),IF($LB67=80%,VLOOKUP($L67,'Jan-2026 rates'!L:T,9,0),0))))))))</f>
        <v>0</v>
      </c>
      <c r="O67" s="406"/>
      <c r="P67" s="404"/>
      <c r="Q67" s="410">
        <f>IF(P67=0,0,IF($LB67=70%,VLOOKUP($L67,'Jan-2026 rates'!$L:$R,4,0),IF($LB67=65%,VLOOKUP($L67,'Jan-2026 rates'!$L:$R,4,0),IF($LB67=40%,VLOOKUP($L67,'Jan-2026 rates'!$L:$R,5,0),IF($LB67=30%,VLOOKUP($L67,'Jan-2026 rates'!$L:$R,6,0),IF($LB67=100%,VLOOKUP($L67,'Jan-2026 rates'!$L:$R,7,0),IF($LB67=60%,VLOOKUP($L67,'Jan-2026 rates'!$L:$S,8,0),IF($LB67=80%,VLOOKUP($L67,'Jan-2026 rates'!L:T,9,0),0))))))))</f>
        <v>0</v>
      </c>
      <c r="R67" s="406">
        <v>26506000005</v>
      </c>
      <c r="S67" s="406"/>
      <c r="T67" s="406"/>
      <c r="U67" s="406"/>
      <c r="V67" s="406"/>
      <c r="W67" s="406"/>
      <c r="X67" s="406"/>
      <c r="Y67" s="406"/>
      <c r="Z67" s="404">
        <v>3</v>
      </c>
      <c r="AA67" s="398" t="e">
        <f>IF(Z67=0,0,IF(LEN(R67)=11,_xlfn.XLOOKUP(R67,'Dispensed Ink Rates'!C:C,'Dispensed Ink Rates'!CS:CS),VLOOKUP(R67,'Jan-2026 rates'!$E:$F,2,0)))</f>
        <v>#N/A</v>
      </c>
      <c r="AB67" s="404"/>
      <c r="AC67" s="398">
        <f>IF(AB67=0,0,IF(LEN(S67)=11,_xlfn.XLOOKUP(S67,'Dispensed Ink Rates'!C:C,'Dispensed Ink Rates'!CS:CS),VLOOKUP(S67,'Jan-2026 rates'!$E:$F,2,0)))</f>
        <v>0</v>
      </c>
      <c r="AD67" s="404"/>
      <c r="AE67" s="398">
        <f>IF(AD67=0,0,IF(LEN(T67)=11,_xlfn.XLOOKUP(T67,'Dispensed Ink Rates'!C:C,'Dispensed Ink Rates'!CS:CS),VLOOKUP(T67,'Jan-2026 rates'!$E:$F,2,0)))</f>
        <v>0</v>
      </c>
      <c r="AF67" s="404"/>
      <c r="AG67" s="398">
        <f>IF(AF67=0,0,IF(LEN(U67)=11,_xlfn.XLOOKUP(U67,'Dispensed Ink Rates'!C:C,'Dispensed Ink Rates'!CS:CS),VLOOKUP(U67,'Jan-2026 rates'!$E:$F,2,0)))</f>
        <v>0</v>
      </c>
      <c r="AH67" s="404"/>
      <c r="AI67" s="398">
        <f>IF(AH67=0,0,IF(LEN(V67)=11,_xlfn.XLOOKUP(V67,'Dispensed Ink Rates'!C:C,'Dispensed Ink Rates'!CS:CS),VLOOKUP(V67,'Jan-2026 rates'!$E:$F,2,0)))</f>
        <v>0</v>
      </c>
      <c r="AJ67" s="404"/>
      <c r="AK67" s="398">
        <f>IF(AJ67=0,0,IF(LEN(W67)=11,_xlfn.XLOOKUP(W67,'Dispensed Ink Rates'!C:C,'Dispensed Ink Rates'!CS:CS),VLOOKUP(W67,'Jan-2026 rates'!$E:$F,2,0)))</f>
        <v>0</v>
      </c>
      <c r="AL67" s="404"/>
      <c r="AM67" s="398">
        <f>IF(AL67=0,0,IF(LEN(X67)=11,_xlfn.XLOOKUP(X67,'Dispensed Ink Rates'!C:C,'Dispensed Ink Rates'!CS:CS),VLOOKUP(X67,'Jan-2026 rates'!$E:$F,2,0)))</f>
        <v>0</v>
      </c>
      <c r="AN67" s="404"/>
      <c r="AO67" s="398">
        <f>IF(AN67=0,0,IF(LEN(Y67)=11,_xlfn.XLOOKUP(Y67,'Dispensed Ink Rates'!C:C,'Dispensed Ink Rates'!CS:CS),VLOOKUP(Y67,'Jan-2026 rates'!$E:$F,2,0)))</f>
        <v>0</v>
      </c>
      <c r="AP67" s="409" t="s">
        <v>1443</v>
      </c>
      <c r="AQ67" s="409">
        <v>27</v>
      </c>
      <c r="AR67" s="410">
        <f t="shared" si="1"/>
        <v>0</v>
      </c>
      <c r="AS67" s="411">
        <f t="shared" si="2"/>
        <v>3.2432432432432421</v>
      </c>
      <c r="AT67" s="410">
        <f t="shared" si="3"/>
        <v>0</v>
      </c>
      <c r="AU67" s="405" t="s">
        <v>546</v>
      </c>
      <c r="AV67" s="409" t="s">
        <v>2946</v>
      </c>
      <c r="AW67" s="420" t="str">
        <f t="shared" si="53"/>
        <v>FLINTSL - REFLEX BLUE</v>
      </c>
      <c r="AX67" s="409">
        <v>26</v>
      </c>
      <c r="AY67" s="411">
        <f>IF(AX67=0,0,IF($LB67=70%,VLOOKUP($AW67,'Jan-2026 rates'!$L:$R,4,0),IF($LB67=65%,VLOOKUP($AW67,'Jan-2026 rates'!$L:$R,4,0),IF($LB67=40%,VLOOKUP($AW67,'Jan-2026 rates'!$L:$R,5,0),IF($LB67=30%,VLOOKUP($AW67,'Jan-2026 rates'!$L:$R,6,0),IF($LB67=100%,VLOOKUP($AW67,'Jan-2026 rates'!$L:$R,7,0),IF($LB67=60%,VLOOKUP($AW67,'Jan-2026 rates'!$L:$S,8,0),IF($LB67=80%,VLOOKUP($AW67,'Jan-2026 rates'!L:T,9,0),0))))))))</f>
        <v>0</v>
      </c>
      <c r="AZ67" s="412"/>
      <c r="BA67" s="409"/>
      <c r="BB67" s="411">
        <f>IF(BA67=0,0,IF($LB67=70%,VLOOKUP($AW67,'Jan-2026 rates'!$L:$R,4,0),IF($LB67=65%,VLOOKUP($AW67,'Jan-2026 rates'!$L:$R,4,0),IF($LB67=40%,VLOOKUP($AW67,'Jan-2026 rates'!$L:$R,5,0),IF($LB67=30%,VLOOKUP($AW67,'Jan-2026 rates'!$L:$R,6,0),IF($LB67=100%,VLOOKUP($AW67,'Jan-2026 rates'!$L:$R,7,0),IF($LB67=60%,VLOOKUP($AW67,'Jan-2026 rates'!$L:$S,8,0),IF($LB67=80%,VLOOKUP($AW67,'Jan-2026 rates'!L:T,9,0),0))))))))</f>
        <v>0</v>
      </c>
      <c r="BC67" s="413">
        <v>26505000024</v>
      </c>
      <c r="BD67" s="412"/>
      <c r="BE67" s="412"/>
      <c r="BF67" s="413"/>
      <c r="BG67" s="412"/>
      <c r="BH67" s="412"/>
      <c r="BI67" s="412"/>
      <c r="BJ67" s="412"/>
      <c r="BK67" s="409">
        <v>1</v>
      </c>
      <c r="BL67" s="398" t="e">
        <f>IF(BK67=0,0,IF(LEN(BC67)=11,_xlfn.XLOOKUP(BC67,'Dispensed Ink Rates'!C:C,'Dispensed Ink Rates'!CS:CS),VLOOKUP(BC67,'Jan-2026 rates'!$E:$F,2,0)))</f>
        <v>#N/A</v>
      </c>
      <c r="BM67" s="409"/>
      <c r="BN67" s="398">
        <f>IF(BM67=0,0,IF(LEN(BD67)=11,_xlfn.XLOOKUP(BD67,'Dispensed Ink Rates'!C:C,'Dispensed Ink Rates'!CS:CS),VLOOKUP(BD67,'Jan-2026 rates'!$E:$F,2,0)))</f>
        <v>0</v>
      </c>
      <c r="BO67" s="409"/>
      <c r="BP67" s="398">
        <f>IF(BO67=0,0,IF(LEN(BE67)=11,_xlfn.XLOOKUP(BE67,'Dispensed Ink Rates'!C:C,'Dispensed Ink Rates'!CS:CS),VLOOKUP(BE67,'Jan-2026 rates'!$E:$F,2,0)))</f>
        <v>0</v>
      </c>
      <c r="BQ67" s="409"/>
      <c r="BR67" s="398">
        <f>IF(BQ67=0,0,IF(LEN(BF67)=11,_xlfn.XLOOKUP(BF67,'Dispensed Ink Rates'!C:C,'Dispensed Ink Rates'!CS:CS),VLOOKUP(BF67,'Jan-2026 rates'!$E:$F,2,0)))</f>
        <v>0</v>
      </c>
      <c r="BS67" s="409"/>
      <c r="BT67" s="398">
        <f>IF(BS67=0,0,IF(LEN(BG67)=11,_xlfn.XLOOKUP(BG67,'Dispensed Ink Rates'!C:C,'Dispensed Ink Rates'!CS:CS),VLOOKUP(BG67,'Jan-2026 rates'!$E:$F,2,0)))</f>
        <v>0</v>
      </c>
      <c r="BU67" s="409"/>
      <c r="BV67" s="398">
        <f>IF(BU67=0,0,IF(LEN(BH67)=11,_xlfn.XLOOKUP(BH67,'Dispensed Ink Rates'!C:C,'Dispensed Ink Rates'!CS:CS),VLOOKUP(BH67,'Jan-2026 rates'!$E:$F,2,0)))</f>
        <v>0</v>
      </c>
      <c r="BW67" s="409"/>
      <c r="BX67" s="398">
        <f>IF(BW67=0,0,IF(LEN(BI67)=11,_xlfn.XLOOKUP(BI67,'Dispensed Ink Rates'!C:C,'Dispensed Ink Rates'!CS:CS),VLOOKUP(BI67,'Jan-2026 rates'!$E:$F,2,0)))</f>
        <v>0</v>
      </c>
      <c r="BY67" s="409"/>
      <c r="BZ67" s="398">
        <f>IF(BY67=0,0,IF(LEN(BJ67)=11,_xlfn.XLOOKUP(BJ67,'Dispensed Ink Rates'!C:C,'Dispensed Ink Rates'!CS:CS),VLOOKUP(BJ67,'Jan-2026 rates'!$E:$F,2,0)))</f>
        <v>0</v>
      </c>
      <c r="CA67" s="409" t="s">
        <v>1443</v>
      </c>
      <c r="CB67" s="409">
        <v>28</v>
      </c>
      <c r="CC67" s="411">
        <f t="shared" si="5"/>
        <v>0</v>
      </c>
      <c r="CD67" s="411">
        <f t="shared" si="6"/>
        <v>2.2432432432432421</v>
      </c>
      <c r="CE67" s="410">
        <f t="shared" si="7"/>
        <v>0</v>
      </c>
      <c r="CF67" s="404" t="s">
        <v>547</v>
      </c>
      <c r="CG67" s="409" t="s">
        <v>2836</v>
      </c>
      <c r="CH67" s="420" t="str">
        <f t="shared" si="8"/>
        <v>FLINTSL - GREEN</v>
      </c>
      <c r="CI67" s="409">
        <v>27</v>
      </c>
      <c r="CJ67" s="411">
        <f>IF(CI67=0,0,IF($LB67=70%,VLOOKUP($CH67,'Jan-2026 rates'!$L:$R,4,0),IF($LB67=65%,VLOOKUP($CH67,'Jan-2026 rates'!$L:$R,4,0),IF($LB67=40%,VLOOKUP($CH67,'Jan-2026 rates'!$L:$R,5,0),IF($LB67=30%,VLOOKUP($CH67,'Jan-2026 rates'!$L:$R,6,0),IF($LB67=100%,VLOOKUP($CH67,'Jan-2026 rates'!$L:$R,7,0),IF($LB67=60%,VLOOKUP($CH67,'Jan-2026 rates'!$L:$S,8,0),IF($LB67=80%,VLOOKUP($CH67,'Jan-2026 rates'!L:T,9,0),0))))))))</f>
        <v>0</v>
      </c>
      <c r="CK67" s="412"/>
      <c r="CL67" s="409"/>
      <c r="CM67" s="411">
        <f>IF(CL67=0,0,IF($LB67=70%,VLOOKUP($CH67,'Jan-2026 rates'!$L:$R,4,0),IF($LB67=65%,VLOOKUP($CH67,'Jan-2026 rates'!$L:$R,4,0),IF($LB67=40%,VLOOKUP($CH67,'Jan-2026 rates'!$L:$R,5,0),IF($LB67=30%,VLOOKUP($CH67,'Jan-2026 rates'!$L:$R,6,0),IF($LB67=100%,VLOOKUP($CH67,'Jan-2026 rates'!$L:$R,7,0),IF($LB67=60%,VLOOKUP($CH67,'Jan-2026 rates'!$L:$S,8,0),IF($LB67=80%,VLOOKUP($CH67,'Jan-2026 rates'!L:T,9,0),0))))))))</f>
        <v>0</v>
      </c>
      <c r="CN67" s="426">
        <v>25851000006</v>
      </c>
      <c r="CO67" s="427">
        <v>26505000024</v>
      </c>
      <c r="CP67" s="426">
        <v>26504000008</v>
      </c>
      <c r="CQ67" s="426"/>
      <c r="CR67" s="428"/>
      <c r="CS67" s="428"/>
      <c r="CT67" s="428"/>
      <c r="CU67" s="428"/>
      <c r="CV67" s="409">
        <v>12</v>
      </c>
      <c r="CW67" s="398" t="e">
        <f>IF(CV67=0,0,IF(LEN(CN67)=11,_xlfn.XLOOKUP(CN67,'Dispensed Ink Rates'!C:C,'Dispensed Ink Rates'!CS:CS),VLOOKUP(CN67,'Jan-2026 rates'!$E:$F,2,0)))</f>
        <v>#N/A</v>
      </c>
      <c r="CX67" s="409">
        <v>5</v>
      </c>
      <c r="CY67" s="398" t="e">
        <f>IF(CX67=0,0,IF(LEN(CO67)=11,_xlfn.XLOOKUP(CO67,'Dispensed Ink Rates'!C:C,'Dispensed Ink Rates'!CS:CS),VLOOKUP(CO67,'Jan-2026 rates'!$E:$F,2,0)))</f>
        <v>#N/A</v>
      </c>
      <c r="CZ67" s="409">
        <f>4+2</f>
        <v>6</v>
      </c>
      <c r="DA67" s="398" t="e">
        <f>IF(CZ67=0,0,IF(LEN(CP67)=11,_xlfn.XLOOKUP(CP67,'Dispensed Ink Rates'!C:C,'Dispensed Ink Rates'!CS:CS),VLOOKUP(CP67,'Jan-2026 rates'!$E:$F,2,0)))</f>
        <v>#N/A</v>
      </c>
      <c r="DB67" s="409"/>
      <c r="DC67" s="398">
        <f>IF(DB67=0,0,IF(LEN(CQ67)=11,_xlfn.XLOOKUP(CQ67,'Dispensed Ink Rates'!C:C,'Dispensed Ink Rates'!CS:CS),VLOOKUP(CQ67,'Jan-2026 rates'!$E:$F,2,0)))</f>
        <v>0</v>
      </c>
      <c r="DD67" s="409"/>
      <c r="DE67" s="398">
        <f>IF(DD67=0,0,IF(LEN(CR67)=11,_xlfn.XLOOKUP(CR67,'Dispensed Ink Rates'!C:C,'Dispensed Ink Rates'!CS:CS),VLOOKUP(CR67,'Jan-2026 rates'!$E:$F,2,0)))</f>
        <v>0</v>
      </c>
      <c r="DF67" s="409"/>
      <c r="DG67" s="398">
        <f>IF(DF67=0,0,IF(LEN(CS67)=11,_xlfn.XLOOKUP(CS67,'Dispensed Ink Rates'!C:C,'Dispensed Ink Rates'!CS:CS),VLOOKUP(CS67,'Jan-2026 rates'!$E:$F,2,0)))</f>
        <v>0</v>
      </c>
      <c r="DH67" s="409"/>
      <c r="DI67" s="398">
        <f>IF(DH67=0,0,IF(LEN(CT67)=11,_xlfn.XLOOKUP(CT67,'Dispensed Ink Rates'!C:C,'Dispensed Ink Rates'!CS:CS),VLOOKUP(CT67,'Jan-2026 rates'!$E:$F,2,0)))</f>
        <v>0</v>
      </c>
      <c r="DJ67" s="409"/>
      <c r="DK67" s="398">
        <f>IF(DJ67=0,0,IF(LEN(CU67)=11,_xlfn.XLOOKUP(CU67,'Dispensed Ink Rates'!C:C,'Dispensed Ink Rates'!CS:CS),VLOOKUP(CU67,'Jan-2026 rates'!$E:$F,2,0)))</f>
        <v>0</v>
      </c>
      <c r="DL67" s="409" t="s">
        <v>1443</v>
      </c>
      <c r="DM67" s="409">
        <v>38</v>
      </c>
      <c r="DN67" s="411">
        <f t="shared" si="9"/>
        <v>0</v>
      </c>
      <c r="DO67" s="411">
        <f t="shared" si="10"/>
        <v>16.864864864864863</v>
      </c>
      <c r="DP67" s="410">
        <f t="shared" si="11"/>
        <v>0</v>
      </c>
      <c r="DQ67" s="405" t="s">
        <v>543</v>
      </c>
      <c r="DR67" s="409"/>
      <c r="DS67" s="420" t="str">
        <f t="shared" si="12"/>
        <v>FLINTSL - BLACK</v>
      </c>
      <c r="DT67" s="409"/>
      <c r="DU67" s="411">
        <f>IF(DT67=0,0,IF($LB67=70%,VLOOKUP($DS67,'Jan-2026 rates'!$L:$R,4,0),IF($LB67=65%,VLOOKUP($DS67,'Jan-2026 rates'!$L:$R,4,0),IF($LB67=40%,VLOOKUP($DS67,'Jan-2026 rates'!$L:$R,5,0),IF($LB67=30%,VLOOKUP($DS67,'Jan-2026 rates'!$L:$R,6,0),IF($LB67=100%,VLOOKUP($DS67,'Jan-2026 rates'!$L:$R,7,0),IF($LB67=60%,VLOOKUP($DS67,'Jan-2026 rates'!$L:$S,8,0),IF($LB67=80%,VLOOKUP($DS67,'Jan-2026 rates'!L:T,9,0),0))))))))</f>
        <v>0</v>
      </c>
      <c r="DV67" s="412"/>
      <c r="DW67" s="409"/>
      <c r="DX67" s="411">
        <f>IF(DW67=0,0,IF($LB67=70%,VLOOKUP($DS67,'Jan-2026 rates'!$L:$R,4,0),IF($LB67=65%,VLOOKUP($DS67,'Jan-2026 rates'!$L:$R,4,0),IF($LB67=40%,VLOOKUP($DS67,'Jan-2026 rates'!$L:$R,5,0),IF($LB67=30%,VLOOKUP($DS67,'Jan-2026 rates'!$L:$R,6,0),IF($LB67=100%,VLOOKUP($DS67,'Jan-2026 rates'!$L:$R,7,0),IF($LB67=60%,VLOOKUP($DS67,'Jan-2026 rates'!$L:$S,8,0),IF($LB67=80%,VLOOKUP($DS67,'Jan-2026 rates'!L:T,9,0),0))))))))</f>
        <v>0</v>
      </c>
      <c r="DY67" s="413">
        <v>26503000005</v>
      </c>
      <c r="DZ67" s="413"/>
      <c r="EA67" s="412"/>
      <c r="EB67" s="412"/>
      <c r="EC67" s="412"/>
      <c r="ED67" s="412"/>
      <c r="EE67" s="412"/>
      <c r="EF67" s="412"/>
      <c r="EG67" s="409">
        <f>40+8</f>
        <v>48</v>
      </c>
      <c r="EH67" s="398" t="e">
        <f>IF(EG67=0,0,IF(LEN(DY67)=11,_xlfn.XLOOKUP(DY67,'Dispensed Ink Rates'!C:C,'Dispensed Ink Rates'!CS:CS),VLOOKUP(DY67,'Jan-2026 rates'!$E:$F,2,0)))</f>
        <v>#N/A</v>
      </c>
      <c r="EI67" s="409"/>
      <c r="EJ67" s="398">
        <f>IF(EI67=0,0,IF(LEN(DZ67)=11,_xlfn.XLOOKUP(DZ67,'Dispensed Ink Rates'!C:C,'Dispensed Ink Rates'!CS:CS),VLOOKUP(DZ67,'Jan-2026 rates'!$E:$F,2,0)))</f>
        <v>0</v>
      </c>
      <c r="EK67" s="409"/>
      <c r="EL67" s="398">
        <f>IF(EK67=0,0,IF(LEN(EA67)=11,_xlfn.XLOOKUP(EA67,'Dispensed Ink Rates'!C:C,'Dispensed Ink Rates'!CS:CS),VLOOKUP(EA67,'Jan-2026 rates'!$E:$F,2,0)))</f>
        <v>0</v>
      </c>
      <c r="EM67" s="409"/>
      <c r="EN67" s="398">
        <f>IF(EM67=0,0,IF(LEN(EB67)=11,_xlfn.XLOOKUP(EB67,'Dispensed Ink Rates'!C:C,'Dispensed Ink Rates'!CS:CS),VLOOKUP(EB67,'Jan-2026 rates'!$E:$F,2,0)))</f>
        <v>0</v>
      </c>
      <c r="EO67" s="409"/>
      <c r="EP67" s="398">
        <f>IF(EO67=0,0,IF(LEN(EC67)=11,_xlfn.XLOOKUP(EC67,'Dispensed Ink Rates'!C:C,'Dispensed Ink Rates'!CS:CS),VLOOKUP(EC67,'Jan-2026 rates'!$E:$F,2,0)))</f>
        <v>0</v>
      </c>
      <c r="EQ67" s="409"/>
      <c r="ER67" s="398">
        <f>IF(EQ67=0,0,IF(LEN(ED67)=11,_xlfn.XLOOKUP(ED67,'Dispensed Ink Rates'!C:C,'Dispensed Ink Rates'!CS:CS),VLOOKUP(ED67,'Jan-2026 rates'!$E:$F,2,0)))</f>
        <v>0</v>
      </c>
      <c r="ES67" s="409"/>
      <c r="ET67" s="398">
        <f>IF(ES67=0,0,IF(LEN(EE67)=11,_xlfn.XLOOKUP(EE67,'Dispensed Ink Rates'!C:C,'Dispensed Ink Rates'!CS:CS),VLOOKUP(EE67,'Jan-2026 rates'!$E:$F,2,0)))</f>
        <v>0</v>
      </c>
      <c r="EU67" s="409"/>
      <c r="EV67" s="398">
        <f>IF(EU67=0,0,IF(LEN(EF67)=11,_xlfn.XLOOKUP(EF67,'Dispensed Ink Rates'!C:C,'Dispensed Ink Rates'!CS:CS),VLOOKUP(EF67,'Jan-2026 rates'!$E:$F,2,0)))</f>
        <v>0</v>
      </c>
      <c r="EW67" s="409" t="s">
        <v>1443</v>
      </c>
      <c r="EX67" s="409">
        <v>23</v>
      </c>
      <c r="EY67" s="411">
        <f t="shared" si="13"/>
        <v>0</v>
      </c>
      <c r="EZ67" s="411">
        <f t="shared" si="14"/>
        <v>76.891891891891902</v>
      </c>
      <c r="FA67" s="410">
        <f t="shared" si="15"/>
        <v>0</v>
      </c>
      <c r="FB67" s="405" t="s">
        <v>855</v>
      </c>
      <c r="FC67" s="409" t="s">
        <v>2947</v>
      </c>
      <c r="FD67" s="420" t="str">
        <f t="shared" si="16"/>
        <v>FLINTSL - CYAN</v>
      </c>
      <c r="FE67" s="409">
        <v>23</v>
      </c>
      <c r="FF67" s="411">
        <f>IF(FE67=0,0,IF($LB67=70%,VLOOKUP($FD67,'Jan-2026 rates'!$L:$R,4,0),IF($LB67=65%,VLOOKUP($FD67,'Jan-2026 rates'!$L:$R,4,0),IF($LB67=40%,VLOOKUP($FD67,'Jan-2026 rates'!$L:$R,5,0),IF($LB67=30%,VLOOKUP($FD67,'Jan-2026 rates'!$L:$R,6,0),IF($LB67=100%,VLOOKUP($FD67,'Jan-2026 rates'!$L:$R,7,0),IF($LB67=60%,VLOOKUP($FD67,'Jan-2026 rates'!$L:$S,8,0),IF($LB67=80%,VLOOKUP($FD67,'Jan-2026 rates'!L:T,9,0),0))))))))</f>
        <v>0</v>
      </c>
      <c r="FG67" s="412"/>
      <c r="FH67" s="409"/>
      <c r="FI67" s="411">
        <f>IF(FH67=0,0,IF($LB67=70%,VLOOKUP($FD67,'Jan-2026 rates'!$L:$R,4,0),IF($LB67=65%,VLOOKUP($FD67,'Jan-2026 rates'!$L:$R,4,0),IF($LB67=40%,VLOOKUP($FD67,'Jan-2026 rates'!$L:$R,5,0),IF($LB67=30%,VLOOKUP($FD67,'Jan-2026 rates'!$L:$R,6,0),IF($LB67=100%,VLOOKUP($FD67,'Jan-2026 rates'!$L:$R,7,0),IF($LB67=60%,VLOOKUP($FD67,'Jan-2026 rates'!$L:$S,8,0),IF($LB67=80%,VLOOKUP($FD67,'Jan-2026 rates'!L:T,9,0),0))))))))</f>
        <v>0</v>
      </c>
      <c r="FJ67" s="413">
        <v>26504000001</v>
      </c>
      <c r="FK67" s="413"/>
      <c r="FL67" s="413"/>
      <c r="FM67" s="412"/>
      <c r="FN67" s="412"/>
      <c r="FO67" s="412"/>
      <c r="FP67" s="412"/>
      <c r="FQ67" s="412"/>
      <c r="FR67" s="409">
        <v>4</v>
      </c>
      <c r="FS67" s="398" t="e">
        <f>IF(FR67=0,0,IF(LEN(FJ67)=11,_xlfn.XLOOKUP(FJ67,'Dispensed Ink Rates'!C:C,'Dispensed Ink Rates'!CS:CS),VLOOKUP(FJ67,'Jan-2026 rates'!$E:$F,2,0)))</f>
        <v>#N/A</v>
      </c>
      <c r="FT67" s="409"/>
      <c r="FU67" s="398">
        <f>IF(FT67=0,0,IF(LEN(FK67)=11,_xlfn.XLOOKUP(FK67,'Dispensed Ink Rates'!C:C,'Dispensed Ink Rates'!CS:CS),VLOOKUP(FK67,'Jan-2026 rates'!$E:$F,2,0)))</f>
        <v>0</v>
      </c>
      <c r="FV67" s="409"/>
      <c r="FW67" s="398">
        <f>IF(FV67=0,0,IF(LEN(FL67)=11,_xlfn.XLOOKUP(FL67,'Dispensed Ink Rates'!C:C,'Dispensed Ink Rates'!CS:CS),VLOOKUP(FL67,'Jan-2026 rates'!$E:$F,2,0)))</f>
        <v>0</v>
      </c>
      <c r="FX67" s="409"/>
      <c r="FY67" s="398">
        <f>IF(FX67=0,0,IF(LEN(FM67)=11,_xlfn.XLOOKUP(FM67,'Dispensed Ink Rates'!C:C,'Dispensed Ink Rates'!CS:CS),VLOOKUP(FM67,'Jan-2026 rates'!$E:$F,2,0)))</f>
        <v>0</v>
      </c>
      <c r="FZ67" s="409"/>
      <c r="GA67" s="398">
        <f>IF(FZ67=0,0,IF(LEN(FN67)=11,_xlfn.XLOOKUP(FN67,'Dispensed Ink Rates'!C:C,'Dispensed Ink Rates'!CS:CS),VLOOKUP(FN67,'Jan-2026 rates'!$E:$F,2,0)))</f>
        <v>0</v>
      </c>
      <c r="GB67" s="409"/>
      <c r="GC67" s="398">
        <f>IF(GB67=0,0,IF(LEN(FO67)=11,_xlfn.XLOOKUP(FO67,'Dispensed Ink Rates'!C:C,'Dispensed Ink Rates'!CS:CS),VLOOKUP(FO67,'Jan-2026 rates'!$E:$F,2,0)))</f>
        <v>0</v>
      </c>
      <c r="GD67" s="409"/>
      <c r="GE67" s="398">
        <f>IF(GD67=0,0,IF(LEN(FP67)=11,_xlfn.XLOOKUP(FP67,'Dispensed Ink Rates'!C:C,'Dispensed Ink Rates'!CS:CS),VLOOKUP(FP67,'Jan-2026 rates'!$E:$F,2,0)))</f>
        <v>0</v>
      </c>
      <c r="GF67" s="409"/>
      <c r="GG67" s="398">
        <f>IF(GF67=0,0,IF(LEN(FQ67)=11,_xlfn.XLOOKUP(FQ67,'Dispensed Ink Rates'!C:C,'Dispensed Ink Rates'!CS:CS),VLOOKUP(FQ67,'Jan-2026 rates'!$E:$F,2,0)))</f>
        <v>0</v>
      </c>
      <c r="GH67" s="409" t="s">
        <v>1443</v>
      </c>
      <c r="GI67" s="409">
        <v>29</v>
      </c>
      <c r="GJ67" s="411">
        <f t="shared" si="17"/>
        <v>0</v>
      </c>
      <c r="GK67" s="411">
        <f t="shared" si="18"/>
        <v>6.1081081081081052</v>
      </c>
      <c r="GL67" s="410">
        <f t="shared" si="19"/>
        <v>0</v>
      </c>
      <c r="GM67" s="405" t="s">
        <v>544</v>
      </c>
      <c r="GN67" s="409" t="s">
        <v>2948</v>
      </c>
      <c r="GO67" s="420" t="str">
        <f t="shared" si="20"/>
        <v>FLINTSL - MAGENTA</v>
      </c>
      <c r="GP67" s="409">
        <v>25</v>
      </c>
      <c r="GQ67" s="411">
        <f>IF(GP67=0,0,IF($LB67=70%,VLOOKUP($GO67,'Jan-2026 rates'!$L:$R,4,0),IF($LB67=65%,VLOOKUP($GO67,'Jan-2026 rates'!$L:$R,4,0),IF($LB67=40%,VLOOKUP($GO67,'Jan-2026 rates'!$L:$R,5,0),IF($LB67=30%,VLOOKUP($GO67,'Jan-2026 rates'!$L:$R,6,0),IF($LB67=100%,VLOOKUP($GO67,'Jan-2026 rates'!$L:$R,7,0),IF($LB67=60%,VLOOKUP($GO67,'Jan-2026 rates'!$L:$S,8,0),IF($LB67=80%,VLOOKUP($GO67,'Jan-2026 rates'!L:T,9,0),0))))))))</f>
        <v>0</v>
      </c>
      <c r="GR67" s="412"/>
      <c r="GS67" s="409"/>
      <c r="GT67" s="411">
        <f>IF(GS67=0,0,IF($LB67=70%,VLOOKUP($GO67,'Jan-2026 rates'!$L:$R,4,0),IF($LB67=65%,VLOOKUP($GO67,'Jan-2026 rates'!$L:$R,4,0),IF($LB67=40%,VLOOKUP($GO67,'Jan-2026 rates'!$L:$R,5,0),IF($LB67=30%,VLOOKUP($GO67,'Jan-2026 rates'!$L:$R,6,0),IF($LB67=100%,VLOOKUP($GO67,'Jan-2026 rates'!$L:$R,7,0),IF($LB67=60%,VLOOKUP($GO67,'Jan-2026 rates'!$L:$S,8,0),IF($LB67=80%,VLOOKUP($GO67,'Jan-2026 rates'!L:T,9,0),0))))))))</f>
        <v>0</v>
      </c>
      <c r="GU67" s="413">
        <v>26505000005</v>
      </c>
      <c r="GV67" s="413"/>
      <c r="GW67" s="412"/>
      <c r="GX67" s="412"/>
      <c r="GY67" s="412"/>
      <c r="GZ67" s="412"/>
      <c r="HA67" s="412"/>
      <c r="HB67" s="412"/>
      <c r="HC67" s="409">
        <v>2</v>
      </c>
      <c r="HD67" s="398" t="e">
        <f>IF(HC67=0,0,IF(LEN(GU67)=11,_xlfn.XLOOKUP(GU67,'Dispensed Ink Rates'!C:C,'Dispensed Ink Rates'!CS:CS),VLOOKUP(GU67,'Jan-2026 rates'!$E:$F,2,0)))</f>
        <v>#N/A</v>
      </c>
      <c r="HE67" s="409"/>
      <c r="HF67" s="398">
        <f>IF(HE67=0,0,IF(LEN(GV67)=11,_xlfn.XLOOKUP(GV67,'Dispensed Ink Rates'!C:C,'Dispensed Ink Rates'!CS:CS),VLOOKUP(GV67,'Jan-2026 rates'!$E:$F,2,0)))</f>
        <v>0</v>
      </c>
      <c r="HG67" s="409"/>
      <c r="HH67" s="398">
        <f>IF(HG67=0,0,IF(LEN(GW67)=11,_xlfn.XLOOKUP(GW67,'Dispensed Ink Rates'!C:C,'Dispensed Ink Rates'!CS:CS),VLOOKUP(GW67,'Jan-2026 rates'!$E:$F,2,0)))</f>
        <v>0</v>
      </c>
      <c r="HI67" s="409"/>
      <c r="HJ67" s="398">
        <f>IF(HI67=0,0,IF(LEN(GX67)=11,_xlfn.XLOOKUP(GX67,'Dispensed Ink Rates'!C:C,'Dispensed Ink Rates'!CS:CS),VLOOKUP(GX67,'Jan-2026 rates'!$E:$F,2,0)))</f>
        <v>0</v>
      </c>
      <c r="HK67" s="409"/>
      <c r="HL67" s="398">
        <f>IF(HK67=0,0,IF(LEN(GY67)=11,_xlfn.XLOOKUP(GY67,'Dispensed Ink Rates'!C:C,'Dispensed Ink Rates'!CS:CS),VLOOKUP(GY67,'Jan-2026 rates'!$E:$F,2,0)))</f>
        <v>0</v>
      </c>
      <c r="HM67" s="409"/>
      <c r="HN67" s="398">
        <f>IF(HM67=0,0,IF(LEN(GZ67)=11,_xlfn.XLOOKUP(GZ67,'Dispensed Ink Rates'!C:C,'Dispensed Ink Rates'!CS:CS),VLOOKUP(GZ67,'Jan-2026 rates'!$E:$F,2,0)))</f>
        <v>0</v>
      </c>
      <c r="HO67" s="409"/>
      <c r="HP67" s="398">
        <f>IF(HO67=0,0,IF(LEN(HA67)=11,_xlfn.XLOOKUP(HA67,'Dispensed Ink Rates'!C:C,'Dispensed Ink Rates'!CS:CS),VLOOKUP(HA67,'Jan-2026 rates'!$E:$F,2,0)))</f>
        <v>0</v>
      </c>
      <c r="HQ67" s="409"/>
      <c r="HR67" s="398">
        <f>IF(HQ67=0,0,IF(LEN(HB67)=11,_xlfn.XLOOKUP(HB67,'Dispensed Ink Rates'!C:C,'Dispensed Ink Rates'!CS:CS),VLOOKUP(HB67,'Jan-2026 rates'!$E:$F,2,0)))</f>
        <v>0</v>
      </c>
      <c r="HS67" s="409" t="s">
        <v>1443</v>
      </c>
      <c r="HT67" s="409">
        <v>28</v>
      </c>
      <c r="HU67" s="411">
        <f t="shared" si="21"/>
        <v>0</v>
      </c>
      <c r="HV67" s="411">
        <f t="shared" si="22"/>
        <v>2.2432432432432421</v>
      </c>
      <c r="HW67" s="414">
        <f t="shared" si="23"/>
        <v>0</v>
      </c>
      <c r="HX67" s="405" t="s">
        <v>545</v>
      </c>
      <c r="HY67" s="409" t="s">
        <v>2949</v>
      </c>
      <c r="HZ67" s="420" t="str">
        <f t="shared" si="24"/>
        <v>FLINTSL - YELLOW</v>
      </c>
      <c r="IA67" s="409">
        <v>25</v>
      </c>
      <c r="IB67" s="411">
        <f>IF(IA67=0,0,IF($LB67=70%,VLOOKUP($HZ67,'Jan-2026 rates'!$L:$R,4,0),IF($LB67=65%,VLOOKUP($HZ67,'Jan-2026 rates'!$L:$R,4,0),IF($LB67=40%,VLOOKUP($HZ67,'Jan-2026 rates'!$L:$R,5,0),IF($LB67=30%,VLOOKUP($HZ67,'Jan-2026 rates'!$L:$R,6,0),IF($LB67=100%,VLOOKUP($HZ67,'Jan-2026 rates'!$L:$R,7,0),IF($LB67=60%,VLOOKUP($HZ67,'Jan-2026 rates'!$L:$S,8,0),IF($LB67=80%,VLOOKUP($HZ67,'Jan-2026 rates'!L:T,9,0),0))))))))</f>
        <v>0</v>
      </c>
      <c r="IC67" s="412"/>
      <c r="ID67" s="409"/>
      <c r="IE67" s="411">
        <f>IF(ID67=0,0,IF($LB67=70%,VLOOKUP($HZ67,'Jan-2026 rates'!$L:$R,4,0),IF($LB67=65%,VLOOKUP($HZ67,'Jan-2026 rates'!$L:$R,4,0),IF($LB67=40%,VLOOKUP($HZ67,'Jan-2026 rates'!$L:$R,5,0),IF($LB67=30%,VLOOKUP($HZ67,'Jan-2026 rates'!$L:$R,6,0),IF($LB67=100%,VLOOKUP($HZ67,'Jan-2026 rates'!$L:$R,7,0),IF($LB67=60%,VLOOKUP($HZ67,'Jan-2026 rates'!$L:$S,8,0),IF($LB67=80%,VLOOKUP($HZ67,'Jan-2026 rates'!L:T,9,0),0))))))))</f>
        <v>0</v>
      </c>
      <c r="IF67" s="412">
        <v>26503000002</v>
      </c>
      <c r="IG67" s="413"/>
      <c r="IH67" s="412"/>
      <c r="II67" s="412"/>
      <c r="IJ67" s="412"/>
      <c r="IK67" s="412"/>
      <c r="IL67" s="412"/>
      <c r="IM67" s="412"/>
      <c r="IN67" s="409">
        <v>5</v>
      </c>
      <c r="IO67" s="398" t="e">
        <f>IF(IN67=0,0,IF(LEN(IF67)=11,_xlfn.XLOOKUP(IF67,'Dispensed Ink Rates'!C:C,'Dispensed Ink Rates'!CS:CS),VLOOKUP(IF67,'Jan-2026 rates'!$E:$F,2,0)))</f>
        <v>#N/A</v>
      </c>
      <c r="IP67" s="409"/>
      <c r="IQ67" s="398">
        <f>IF(IP67=0,0,IF(LEN(IG67)=11,_xlfn.XLOOKUP(IG67,'Dispensed Ink Rates'!C:C,'Dispensed Ink Rates'!CS:CS),VLOOKUP(IG67,'Jan-2026 rates'!$E:$F,2,0)))</f>
        <v>0</v>
      </c>
      <c r="IR67" s="409"/>
      <c r="IS67" s="398">
        <f>IF(IR67=0,0,IF(LEN(IH67)=11,_xlfn.XLOOKUP(IH67,'Dispensed Ink Rates'!C:C,'Dispensed Ink Rates'!CS:CS),VLOOKUP(IH67,'Jan-2026 rates'!$E:$F,2,0)))</f>
        <v>0</v>
      </c>
      <c r="IT67" s="409"/>
      <c r="IU67" s="398">
        <f>IF(IT67=0,0,IF(LEN(II67)=11,_xlfn.XLOOKUP(II67,'Dispensed Ink Rates'!C:C,'Dispensed Ink Rates'!CS:CS),VLOOKUP(II67,'Jan-2026 rates'!$E:$F,2,0)))</f>
        <v>0</v>
      </c>
      <c r="IV67" s="409"/>
      <c r="IW67" s="398">
        <f>IF(IV67=0,0,IF(LEN(IJ67)=11,_xlfn.XLOOKUP(IJ67,'Dispensed Ink Rates'!C:C,'Dispensed Ink Rates'!CS:CS),VLOOKUP(IJ67,'Jan-2026 rates'!$E:$F,2,0)))</f>
        <v>0</v>
      </c>
      <c r="IX67" s="409"/>
      <c r="IY67" s="398">
        <f>IF(IX67=0,0,IF(LEN(IK67)=11,_xlfn.XLOOKUP(IK67,'Dispensed Ink Rates'!C:C,'Dispensed Ink Rates'!CS:CS),VLOOKUP(IK67,'Jan-2026 rates'!$E:$F,2,0)))</f>
        <v>0</v>
      </c>
      <c r="IZ67" s="409"/>
      <c r="JA67" s="398">
        <f>IF(IZ67=0,0,IF(LEN(IL67)=11,_xlfn.XLOOKUP(IL67,'Dispensed Ink Rates'!C:C,'Dispensed Ink Rates'!CS:CS),VLOOKUP(IL67,'Jan-2026 rates'!$E:$F,2,0)))</f>
        <v>0</v>
      </c>
      <c r="JB67" s="409"/>
      <c r="JC67" s="398">
        <f>IF(JB67=0,0,IF(LEN(IM67)=11,_xlfn.XLOOKUP(IM67,'Dispensed Ink Rates'!C:C,'Dispensed Ink Rates'!CS:CS),VLOOKUP(IM67,'Jan-2026 rates'!$E:$F,2,0)))</f>
        <v>0</v>
      </c>
      <c r="JD67" s="409" t="s">
        <v>1443</v>
      </c>
      <c r="JE67" s="409">
        <v>30</v>
      </c>
      <c r="JF67" s="411">
        <f t="shared" si="25"/>
        <v>0</v>
      </c>
      <c r="JG67" s="411">
        <f t="shared" si="26"/>
        <v>8.1081081081081052</v>
      </c>
      <c r="JH67" s="410">
        <f t="shared" si="27"/>
        <v>0</v>
      </c>
      <c r="JI67" s="405" t="s">
        <v>856</v>
      </c>
      <c r="JJ67" s="409" t="s">
        <v>2950</v>
      </c>
      <c r="JK67" s="420" t="str">
        <f t="shared" si="28"/>
        <v>FLINTSL - WHITE</v>
      </c>
      <c r="JL67" s="409">
        <v>26</v>
      </c>
      <c r="JM67" s="411">
        <f>IF(JL67=0,0,IF($LB67=70%,VLOOKUP($JK67,'Jan-2026 rates'!$L:$R,4,0),IF($LB67=65%,VLOOKUP($JK67,'Jan-2026 rates'!$L:$R,4,0),IF($LB67=40%,VLOOKUP($JK67,'Jan-2026 rates'!$L:$R,5,0),IF($LB67=30%,VLOOKUP($JK67,'Jan-2026 rates'!$L:$R,6,0),IF($LB67=100%,VLOOKUP($JK67,'Jan-2026 rates'!$L:$R,7,0),IF($LB67=60%,VLOOKUP($JK67,'Jan-2026 rates'!$L:$S,8,0),IF($LB67=80%,VLOOKUP($JK67,'Jan-2026 rates'!L:T,9,0),0))))))))</f>
        <v>0</v>
      </c>
      <c r="JN67" s="412"/>
      <c r="JO67" s="409"/>
      <c r="JP67" s="411">
        <f>IF(JO67=0,0,IF($LB67=70%,VLOOKUP($JK67,'Jan-2026 rates'!$L:$R,4,0),IF($LB67=65%,VLOOKUP($JK67,'Jan-2026 rates'!$L:$R,4,0),IF($LB67=40%,VLOOKUP($JK67,'Jan-2026 rates'!$L:$R,5,0),IF($LB67=30%,VLOOKUP($JK67,'Jan-2026 rates'!$L:$R,6,0),IF($LB67=100%,VLOOKUP($JK67,'Jan-2026 rates'!$L:$R,7,0),IF($LB67=60%,VLOOKUP($JK67,'Jan-2026 rates'!$L:$S,8,0),IF($LB67=80%,VLOOKUP($JK67,'Jan-2026 rates'!L:T,9,0),0))))))))</f>
        <v>0</v>
      </c>
      <c r="JQ67" s="413" t="s">
        <v>484</v>
      </c>
      <c r="JR67" s="412"/>
      <c r="JS67" s="413"/>
      <c r="JT67" s="413"/>
      <c r="JU67" s="412"/>
      <c r="JV67" s="412"/>
      <c r="JW67" s="412"/>
      <c r="JX67" s="412"/>
      <c r="JY67" s="409">
        <f>60+60</f>
        <v>120</v>
      </c>
      <c r="JZ67" s="398">
        <f>IF(JY67=0,0,IF(LEN(JQ67)=11,_xlfn.XLOOKUP(JQ67,'Dispensed Ink Rates'!C:C,'Dispensed Ink Rates'!CS:CS),VLOOKUP(JQ67,'Jan-2026 rates'!$E:$F,2,0)))</f>
        <v>0</v>
      </c>
      <c r="KA67" s="409"/>
      <c r="KB67" s="398">
        <f>IF(KA67=0,0,IF(LEN(JR67)=11,_xlfn.XLOOKUP(JR67,'Dispensed Ink Rates'!C:C,'Dispensed Ink Rates'!CS:CS),VLOOKUP(JR67,'Jan-2026 rates'!$E:$F,2,0)))</f>
        <v>0</v>
      </c>
      <c r="KC67" s="409"/>
      <c r="KD67" s="398">
        <f>IF(KC67=0,0,IF(LEN(JS67)=11,_xlfn.XLOOKUP(JS67,'Dispensed Ink Rates'!C:C,'Dispensed Ink Rates'!CS:CS),VLOOKUP(JS67,'Jan-2026 rates'!$E:$F,2,0)))</f>
        <v>0</v>
      </c>
      <c r="KE67" s="409"/>
      <c r="KF67" s="398">
        <f>IF(KE67=0,0,IF(LEN(JT67)=11,_xlfn.XLOOKUP(JT67,'Dispensed Ink Rates'!C:C,'Dispensed Ink Rates'!CS:CS),VLOOKUP(JT67,'Jan-2026 rates'!$E:$F,2,0)))</f>
        <v>0</v>
      </c>
      <c r="KG67" s="409"/>
      <c r="KH67" s="398">
        <f>IF(KG67=0,0,IF(LEN(JU67)=11,_xlfn.XLOOKUP(JU67,'Dispensed Ink Rates'!C:C,'Dispensed Ink Rates'!CS:CS),VLOOKUP(JU67,'Jan-2026 rates'!$E:$F,2,0)))</f>
        <v>0</v>
      </c>
      <c r="KI67" s="409"/>
      <c r="KJ67" s="398">
        <f>IF(KI67=0,0,IF(LEN(JV67)=11,_xlfn.XLOOKUP(JV67,'Dispensed Ink Rates'!C:C,'Dispensed Ink Rates'!CS:CS),VLOOKUP(JV67,'Jan-2026 rates'!$E:$F,2,0)))</f>
        <v>0</v>
      </c>
      <c r="KK67" s="409"/>
      <c r="KL67" s="398">
        <f>IF(KK67=0,0,IF(LEN(JW67)=11,_xlfn.XLOOKUP(JW67,'Dispensed Ink Rates'!C:C,'Dispensed Ink Rates'!CS:CS),VLOOKUP(JW67,'Jan-2026 rates'!$E:$F,2,0)))</f>
        <v>0</v>
      </c>
      <c r="KM67" s="428"/>
      <c r="KN67" s="398">
        <f>IF(KM67=0,0,IF(LEN(JX67)=11,_xlfn.XLOOKUP(JX67,'Dispensed Ink Rates'!C:C,'Dispensed Ink Rates'!CS:CS),VLOOKUP(JX67,'Jan-2026 rates'!$E:$F,2,0)))</f>
        <v>0</v>
      </c>
      <c r="KO67" s="409" t="s">
        <v>1443</v>
      </c>
      <c r="KP67" s="409">
        <v>30</v>
      </c>
      <c r="KQ67" s="411">
        <f t="shared" si="29"/>
        <v>0</v>
      </c>
      <c r="KR67" s="411">
        <f t="shared" si="30"/>
        <v>213.29729729729729</v>
      </c>
      <c r="KS67" s="410">
        <f t="shared" si="31"/>
        <v>0</v>
      </c>
      <c r="KT67" s="409">
        <v>2</v>
      </c>
      <c r="KU67" s="409">
        <v>2</v>
      </c>
      <c r="KV67" s="409">
        <v>3</v>
      </c>
      <c r="KW67" s="409">
        <f>25+7</f>
        <v>32</v>
      </c>
      <c r="KX67" s="409">
        <v>5</v>
      </c>
      <c r="KY67" s="409">
        <v>2</v>
      </c>
      <c r="KZ67" s="409">
        <v>5</v>
      </c>
      <c r="LA67" s="409">
        <f>30+30</f>
        <v>60</v>
      </c>
      <c r="LB67" s="415">
        <v>0.8</v>
      </c>
      <c r="LC67" s="415">
        <v>0.2</v>
      </c>
      <c r="LD67" s="415"/>
      <c r="LE67" s="415"/>
      <c r="LF67" s="415"/>
      <c r="LG67" s="409">
        <v>0</v>
      </c>
      <c r="LH67" s="409">
        <f>60+50+48+12+5+5</f>
        <v>180</v>
      </c>
      <c r="LI67" s="409">
        <v>0</v>
      </c>
      <c r="LJ67" s="409">
        <v>0</v>
      </c>
      <c r="LK67" s="416">
        <f t="shared" si="32"/>
        <v>180</v>
      </c>
      <c r="LL67" s="416">
        <f t="shared" si="33"/>
        <v>180</v>
      </c>
      <c r="LM67" s="417">
        <f t="shared" si="34"/>
        <v>144</v>
      </c>
      <c r="LN67" s="417">
        <f>VLOOKUP($LM$8,'Jan-2026 rates'!$H:$I,2,0)</f>
        <v>0</v>
      </c>
      <c r="LO67" s="417">
        <f t="shared" si="35"/>
        <v>36</v>
      </c>
      <c r="LP67" s="417">
        <f>VLOOKUP($LO$8,'Jan-2026 rates'!$H:$I,2,0)</f>
        <v>0</v>
      </c>
      <c r="LQ67" s="417">
        <f t="shared" si="36"/>
        <v>0</v>
      </c>
      <c r="LR67" s="417">
        <f>VLOOKUP($LQ$8,'Jan-2026 rates'!$H:$I,2,0)</f>
        <v>0</v>
      </c>
      <c r="LS67" s="417">
        <f t="shared" si="37"/>
        <v>0</v>
      </c>
      <c r="LT67" s="417">
        <f>VLOOKUP($LS$8,'Jan-2026 rates'!$H:$I,2,0)</f>
        <v>0</v>
      </c>
      <c r="LU67" s="417">
        <f t="shared" si="38"/>
        <v>0</v>
      </c>
      <c r="LV67" s="417">
        <f>VLOOKUP($LU$8,'Jan-2026 rates'!$H:$I,2,0)</f>
        <v>0</v>
      </c>
      <c r="LW67" s="417">
        <f t="shared" si="39"/>
        <v>0</v>
      </c>
      <c r="LX67" s="417">
        <f t="shared" si="40"/>
        <v>0</v>
      </c>
      <c r="LY67" s="418">
        <f t="shared" si="41"/>
        <v>0</v>
      </c>
      <c r="LZ67" s="417"/>
      <c r="MA67" s="435">
        <f t="shared" si="42"/>
        <v>206</v>
      </c>
      <c r="MB67" s="282">
        <f t="shared" si="43"/>
        <v>329</v>
      </c>
      <c r="MC67" s="283">
        <v>22</v>
      </c>
      <c r="MD67" s="284" t="str">
        <f t="shared" si="44"/>
        <v>FLINTSLFLINTSLFLINTSLFLINTSLFLINTSLFLINTSLFLINTSLFLINTSL</v>
      </c>
      <c r="ME67" s="293" t="str">
        <f t="shared" si="45"/>
        <v>+</v>
      </c>
      <c r="MF67" s="293" t="str">
        <f t="shared" si="46"/>
        <v>+</v>
      </c>
      <c r="MG67" s="293" t="str">
        <f t="shared" si="47"/>
        <v>+</v>
      </c>
      <c r="MH67" s="293" t="str">
        <f t="shared" si="48"/>
        <v>+</v>
      </c>
      <c r="MI67" s="293" t="str">
        <f t="shared" si="49"/>
        <v>+</v>
      </c>
      <c r="MJ67" s="293" t="str">
        <f t="shared" si="50"/>
        <v>+</v>
      </c>
      <c r="MK67" s="293" t="str">
        <f t="shared" si="51"/>
        <v>+</v>
      </c>
      <c r="ML67" s="293" t="str">
        <f t="shared" si="52"/>
        <v>+</v>
      </c>
      <c r="MM67" s="3" t="b">
        <f t="array" ref="MM67">OR(ME67:ML67="-")</f>
        <v>0</v>
      </c>
      <c r="MN67" s="285"/>
      <c r="MO67" s="401"/>
      <c r="MP67" s="286"/>
      <c r="MQ67" s="286"/>
      <c r="MR67" s="402"/>
      <c r="MS67" s="400"/>
      <c r="NH67" s="422"/>
      <c r="NJ67" s="421"/>
    </row>
    <row r="68" spans="1:374" s="1" customFormat="1" ht="16.5">
      <c r="A68" s="403">
        <v>46027</v>
      </c>
      <c r="B68" s="404" t="s">
        <v>1015</v>
      </c>
      <c r="C68" s="405" t="s">
        <v>2951</v>
      </c>
      <c r="D68" s="406">
        <v>23</v>
      </c>
      <c r="E68" s="404">
        <v>772</v>
      </c>
      <c r="F68" s="407">
        <v>26000</v>
      </c>
      <c r="G68" s="407" t="s">
        <v>1019</v>
      </c>
      <c r="H68" s="408" t="s">
        <v>1017</v>
      </c>
      <c r="I68" s="409">
        <v>1.89</v>
      </c>
      <c r="J68" s="405" t="s">
        <v>543</v>
      </c>
      <c r="K68" s="404" t="s">
        <v>2952</v>
      </c>
      <c r="L68" s="419" t="str">
        <f t="shared" si="0"/>
        <v>FLINTSL - BLACK</v>
      </c>
      <c r="M68" s="404">
        <v>28</v>
      </c>
      <c r="N68" s="410">
        <f>IF(M68=0,0,IF($LB68=70%,VLOOKUP($L68,'Jan-2026 rates'!$L:$R,4,0),IF($LB68=65%,VLOOKUP($L68,'Jan-2026 rates'!$L:$R,4,0),IF($LB68=40%,VLOOKUP($L68,'Jan-2026 rates'!$L:$R,5,0),IF($LB68=30%,VLOOKUP($L68,'Jan-2026 rates'!$L:$R,6,0),IF($LB68=100%,VLOOKUP($L68,'Jan-2026 rates'!$L:$R,7,0),IF($LB68=60%,VLOOKUP($L68,'Jan-2026 rates'!$L:$S,8,0),IF($LB68=80%,VLOOKUP($L68,'Jan-2026 rates'!L:T,9,0),0))))))))</f>
        <v>0</v>
      </c>
      <c r="O68" s="406"/>
      <c r="P68" s="404"/>
      <c r="Q68" s="410">
        <f>IF(P68=0,0,IF($LB68=70%,VLOOKUP($L68,'Jan-2026 rates'!$L:$R,4,0),IF($LB68=65%,VLOOKUP($L68,'Jan-2026 rates'!$L:$R,4,0),IF($LB68=40%,VLOOKUP($L68,'Jan-2026 rates'!$L:$R,5,0),IF($LB68=30%,VLOOKUP($L68,'Jan-2026 rates'!$L:$R,6,0),IF($LB68=100%,VLOOKUP($L68,'Jan-2026 rates'!$L:$R,7,0),IF($LB68=60%,VLOOKUP($L68,'Jan-2026 rates'!$L:$S,8,0),IF($LB68=80%,VLOOKUP($L68,'Jan-2026 rates'!L:T,9,0),0))))))))</f>
        <v>0</v>
      </c>
      <c r="R68" s="406">
        <v>26506000004</v>
      </c>
      <c r="S68" s="406"/>
      <c r="T68" s="406"/>
      <c r="U68" s="406"/>
      <c r="V68" s="406"/>
      <c r="W68" s="406"/>
      <c r="X68" s="406"/>
      <c r="Y68" s="406"/>
      <c r="Z68" s="404">
        <v>2</v>
      </c>
      <c r="AA68" s="398" t="e">
        <f>IF(Z68=0,0,IF(LEN(R68)=11,_xlfn.XLOOKUP(R68,'Dispensed Ink Rates'!C:C,'Dispensed Ink Rates'!CS:CS),VLOOKUP(R68,'Jan-2026 rates'!$E:$F,2,0)))</f>
        <v>#N/A</v>
      </c>
      <c r="AB68" s="404"/>
      <c r="AC68" s="398">
        <f>IF(AB68=0,0,IF(LEN(S68)=11,_xlfn.XLOOKUP(S68,'Dispensed Ink Rates'!C:C,'Dispensed Ink Rates'!CS:CS),VLOOKUP(S68,'Jan-2026 rates'!$E:$F,2,0)))</f>
        <v>0</v>
      </c>
      <c r="AD68" s="404"/>
      <c r="AE68" s="398">
        <f>IF(AD68=0,0,IF(LEN(T68)=11,_xlfn.XLOOKUP(T68,'Dispensed Ink Rates'!C:C,'Dispensed Ink Rates'!CS:CS),VLOOKUP(T68,'Jan-2026 rates'!$E:$F,2,0)))</f>
        <v>0</v>
      </c>
      <c r="AF68" s="404"/>
      <c r="AG68" s="398">
        <f>IF(AF68=0,0,IF(LEN(U68)=11,_xlfn.XLOOKUP(U68,'Dispensed Ink Rates'!C:C,'Dispensed Ink Rates'!CS:CS),VLOOKUP(U68,'Jan-2026 rates'!$E:$F,2,0)))</f>
        <v>0</v>
      </c>
      <c r="AH68" s="404"/>
      <c r="AI68" s="398">
        <f>IF(AH68=0,0,IF(LEN(V68)=11,_xlfn.XLOOKUP(V68,'Dispensed Ink Rates'!C:C,'Dispensed Ink Rates'!CS:CS),VLOOKUP(V68,'Jan-2026 rates'!$E:$F,2,0)))</f>
        <v>0</v>
      </c>
      <c r="AJ68" s="404"/>
      <c r="AK68" s="398">
        <f>IF(AJ68=0,0,IF(LEN(W68)=11,_xlfn.XLOOKUP(W68,'Dispensed Ink Rates'!C:C,'Dispensed Ink Rates'!CS:CS),VLOOKUP(W68,'Jan-2026 rates'!$E:$F,2,0)))</f>
        <v>0</v>
      </c>
      <c r="AL68" s="404"/>
      <c r="AM68" s="398">
        <f>IF(AL68=0,0,IF(LEN(X68)=11,_xlfn.XLOOKUP(X68,'Dispensed Ink Rates'!C:C,'Dispensed Ink Rates'!CS:CS),VLOOKUP(X68,'Jan-2026 rates'!$E:$F,2,0)))</f>
        <v>0</v>
      </c>
      <c r="AN68" s="404"/>
      <c r="AO68" s="398">
        <f>IF(AN68=0,0,IF(LEN(Y68)=11,_xlfn.XLOOKUP(Y68,'Dispensed Ink Rates'!C:C,'Dispensed Ink Rates'!CS:CS),VLOOKUP(Y68,'Jan-2026 rates'!$E:$F,2,0)))</f>
        <v>0</v>
      </c>
      <c r="AP68" s="409" t="s">
        <v>1443</v>
      </c>
      <c r="AQ68" s="409">
        <v>24</v>
      </c>
      <c r="AR68" s="410">
        <f t="shared" si="1"/>
        <v>0</v>
      </c>
      <c r="AS68" s="411">
        <f t="shared" si="2"/>
        <v>13.283018867924525</v>
      </c>
      <c r="AT68" s="410">
        <f t="shared" si="3"/>
        <v>0</v>
      </c>
      <c r="AU68" s="405" t="s">
        <v>546</v>
      </c>
      <c r="AV68" s="409" t="s">
        <v>2952</v>
      </c>
      <c r="AW68" s="420" t="str">
        <f t="shared" si="53"/>
        <v>FLINTSL - REFLEX BLUE</v>
      </c>
      <c r="AX68" s="409">
        <v>23</v>
      </c>
      <c r="AY68" s="411">
        <f>IF(AX68=0,0,IF($LB68=70%,VLOOKUP($AW68,'Jan-2026 rates'!$L:$R,4,0),IF($LB68=65%,VLOOKUP($AW68,'Jan-2026 rates'!$L:$R,4,0),IF($LB68=40%,VLOOKUP($AW68,'Jan-2026 rates'!$L:$R,5,0),IF($LB68=30%,VLOOKUP($AW68,'Jan-2026 rates'!$L:$R,6,0),IF($LB68=100%,VLOOKUP($AW68,'Jan-2026 rates'!$L:$R,7,0),IF($LB68=60%,VLOOKUP($AW68,'Jan-2026 rates'!$L:$S,8,0),IF($LB68=80%,VLOOKUP($AW68,'Jan-2026 rates'!L:T,9,0),0))))))))</f>
        <v>0</v>
      </c>
      <c r="AZ68" s="412"/>
      <c r="BA68" s="409"/>
      <c r="BB68" s="411">
        <f>IF(BA68=0,0,IF($LB68=70%,VLOOKUP($AW68,'Jan-2026 rates'!$L:$R,4,0),IF($LB68=65%,VLOOKUP($AW68,'Jan-2026 rates'!$L:$R,4,0),IF($LB68=40%,VLOOKUP($AW68,'Jan-2026 rates'!$L:$R,5,0),IF($LB68=30%,VLOOKUP($AW68,'Jan-2026 rates'!$L:$R,6,0),IF($LB68=100%,VLOOKUP($AW68,'Jan-2026 rates'!$L:$R,7,0),IF($LB68=60%,VLOOKUP($AW68,'Jan-2026 rates'!$L:$S,8,0),IF($LB68=80%,VLOOKUP($AW68,'Jan-2026 rates'!L:T,9,0),0))))))))</f>
        <v>0</v>
      </c>
      <c r="BC68" s="413">
        <v>25864000013</v>
      </c>
      <c r="BD68" s="412"/>
      <c r="BE68" s="412"/>
      <c r="BF68" s="413"/>
      <c r="BG68" s="412"/>
      <c r="BH68" s="412"/>
      <c r="BI68" s="412"/>
      <c r="BJ68" s="412"/>
      <c r="BK68" s="409">
        <v>2</v>
      </c>
      <c r="BL68" s="398" t="e">
        <f>IF(BK68=0,0,IF(LEN(BC68)=11,_xlfn.XLOOKUP(BC68,'Dispensed Ink Rates'!C:C,'Dispensed Ink Rates'!CS:CS),VLOOKUP(BC68,'Jan-2026 rates'!$E:$F,2,0)))</f>
        <v>#N/A</v>
      </c>
      <c r="BM68" s="409"/>
      <c r="BN68" s="398">
        <f>IF(BM68=0,0,IF(LEN(BD68)=11,_xlfn.XLOOKUP(BD68,'Dispensed Ink Rates'!C:C,'Dispensed Ink Rates'!CS:CS),VLOOKUP(BD68,'Jan-2026 rates'!$E:$F,2,0)))</f>
        <v>0</v>
      </c>
      <c r="BO68" s="409"/>
      <c r="BP68" s="398">
        <f>IF(BO68=0,0,IF(LEN(BE68)=11,_xlfn.XLOOKUP(BE68,'Dispensed Ink Rates'!C:C,'Dispensed Ink Rates'!CS:CS),VLOOKUP(BE68,'Jan-2026 rates'!$E:$F,2,0)))</f>
        <v>0</v>
      </c>
      <c r="BQ68" s="409"/>
      <c r="BR68" s="398">
        <f>IF(BQ68=0,0,IF(LEN(BF68)=11,_xlfn.XLOOKUP(BF68,'Dispensed Ink Rates'!C:C,'Dispensed Ink Rates'!CS:CS),VLOOKUP(BF68,'Jan-2026 rates'!$E:$F,2,0)))</f>
        <v>0</v>
      </c>
      <c r="BS68" s="409"/>
      <c r="BT68" s="398">
        <f>IF(BS68=0,0,IF(LEN(BG68)=11,_xlfn.XLOOKUP(BG68,'Dispensed Ink Rates'!C:C,'Dispensed Ink Rates'!CS:CS),VLOOKUP(BG68,'Jan-2026 rates'!$E:$F,2,0)))</f>
        <v>0</v>
      </c>
      <c r="BU68" s="409"/>
      <c r="BV68" s="398">
        <f>IF(BU68=0,0,IF(LEN(BH68)=11,_xlfn.XLOOKUP(BH68,'Dispensed Ink Rates'!C:C,'Dispensed Ink Rates'!CS:CS),VLOOKUP(BH68,'Jan-2026 rates'!$E:$F,2,0)))</f>
        <v>0</v>
      </c>
      <c r="BW68" s="409"/>
      <c r="BX68" s="398">
        <f>IF(BW68=0,0,IF(LEN(BI68)=11,_xlfn.XLOOKUP(BI68,'Dispensed Ink Rates'!C:C,'Dispensed Ink Rates'!CS:CS),VLOOKUP(BI68,'Jan-2026 rates'!$E:$F,2,0)))</f>
        <v>0</v>
      </c>
      <c r="BY68" s="409"/>
      <c r="BZ68" s="398">
        <f>IF(BY68=0,0,IF(LEN(BJ68)=11,_xlfn.XLOOKUP(BJ68,'Dispensed Ink Rates'!C:C,'Dispensed Ink Rates'!CS:CS),VLOOKUP(BJ68,'Jan-2026 rates'!$E:$F,2,0)))</f>
        <v>0</v>
      </c>
      <c r="CA68" s="409" t="s">
        <v>1443</v>
      </c>
      <c r="CB68" s="409">
        <v>24</v>
      </c>
      <c r="CC68" s="411">
        <f t="shared" si="5"/>
        <v>0</v>
      </c>
      <c r="CD68" s="411">
        <f t="shared" si="6"/>
        <v>19.20754716981132</v>
      </c>
      <c r="CE68" s="410">
        <f t="shared" si="7"/>
        <v>0</v>
      </c>
      <c r="CF68" s="404" t="s">
        <v>545</v>
      </c>
      <c r="CG68" s="409" t="s">
        <v>2953</v>
      </c>
      <c r="CH68" s="420" t="str">
        <f t="shared" si="8"/>
        <v>FLINTSL - YELLOW</v>
      </c>
      <c r="CI68" s="409">
        <v>26</v>
      </c>
      <c r="CJ68" s="411">
        <f>IF(CI68=0,0,IF($LB68=70%,VLOOKUP($CH68,'Jan-2026 rates'!$L:$R,4,0),IF($LB68=65%,VLOOKUP($CH68,'Jan-2026 rates'!$L:$R,4,0),IF($LB68=40%,VLOOKUP($CH68,'Jan-2026 rates'!$L:$R,5,0),IF($LB68=30%,VLOOKUP($CH68,'Jan-2026 rates'!$L:$R,6,0),IF($LB68=100%,VLOOKUP($CH68,'Jan-2026 rates'!$L:$R,7,0),IF($LB68=60%,VLOOKUP($CH68,'Jan-2026 rates'!$L:$S,8,0),IF($LB68=80%,VLOOKUP($CH68,'Jan-2026 rates'!L:T,9,0),0))))))))</f>
        <v>0</v>
      </c>
      <c r="CK68" s="412"/>
      <c r="CL68" s="409"/>
      <c r="CM68" s="411">
        <f>IF(CL68=0,0,IF($LB68=70%,VLOOKUP($CH68,'Jan-2026 rates'!$L:$R,4,0),IF($LB68=65%,VLOOKUP($CH68,'Jan-2026 rates'!$L:$R,4,0),IF($LB68=40%,VLOOKUP($CH68,'Jan-2026 rates'!$L:$R,5,0),IF($LB68=30%,VLOOKUP($CH68,'Jan-2026 rates'!$L:$R,6,0),IF($LB68=100%,VLOOKUP($CH68,'Jan-2026 rates'!$L:$R,7,0),IF($LB68=60%,VLOOKUP($CH68,'Jan-2026 rates'!$L:$S,8,0),IF($LB68=80%,VLOOKUP($CH68,'Jan-2026 rates'!L:T,9,0),0))))))))</f>
        <v>0</v>
      </c>
      <c r="CN68" s="426">
        <v>25862000014</v>
      </c>
      <c r="CO68" s="427"/>
      <c r="CP68" s="426"/>
      <c r="CQ68" s="426"/>
      <c r="CR68" s="428"/>
      <c r="CS68" s="428"/>
      <c r="CT68" s="428"/>
      <c r="CU68" s="428"/>
      <c r="CV68" s="409">
        <v>1</v>
      </c>
      <c r="CW68" s="398" t="e">
        <f>IF(CV68=0,0,IF(LEN(CN68)=11,_xlfn.XLOOKUP(CN68,'Dispensed Ink Rates'!C:C,'Dispensed Ink Rates'!CS:CS),VLOOKUP(CN68,'Jan-2026 rates'!$E:$F,2,0)))</f>
        <v>#N/A</v>
      </c>
      <c r="CX68" s="409"/>
      <c r="CY68" s="398">
        <f>IF(CX68=0,0,IF(LEN(CO68)=11,_xlfn.XLOOKUP(CO68,'Dispensed Ink Rates'!C:C,'Dispensed Ink Rates'!CS:CS),VLOOKUP(CO68,'Jan-2026 rates'!$E:$F,2,0)))</f>
        <v>0</v>
      </c>
      <c r="CZ68" s="409"/>
      <c r="DA68" s="398">
        <f>IF(CZ68=0,0,IF(LEN(CP68)=11,_xlfn.XLOOKUP(CP68,'Dispensed Ink Rates'!C:C,'Dispensed Ink Rates'!CS:CS),VLOOKUP(CP68,'Jan-2026 rates'!$E:$F,2,0)))</f>
        <v>0</v>
      </c>
      <c r="DB68" s="409"/>
      <c r="DC68" s="398">
        <f>IF(DB68=0,0,IF(LEN(CQ68)=11,_xlfn.XLOOKUP(CQ68,'Dispensed Ink Rates'!C:C,'Dispensed Ink Rates'!CS:CS),VLOOKUP(CQ68,'Jan-2026 rates'!$E:$F,2,0)))</f>
        <v>0</v>
      </c>
      <c r="DD68" s="409"/>
      <c r="DE68" s="398">
        <f>IF(DD68=0,0,IF(LEN(CR68)=11,_xlfn.XLOOKUP(CR68,'Dispensed Ink Rates'!C:C,'Dispensed Ink Rates'!CS:CS),VLOOKUP(CR68,'Jan-2026 rates'!$E:$F,2,0)))</f>
        <v>0</v>
      </c>
      <c r="DF68" s="409"/>
      <c r="DG68" s="398">
        <f>IF(DF68=0,0,IF(LEN(CS68)=11,_xlfn.XLOOKUP(CS68,'Dispensed Ink Rates'!C:C,'Dispensed Ink Rates'!CS:CS),VLOOKUP(CS68,'Jan-2026 rates'!$E:$F,2,0)))</f>
        <v>0</v>
      </c>
      <c r="DH68" s="409"/>
      <c r="DI68" s="398">
        <f>IF(DH68=0,0,IF(LEN(CT68)=11,_xlfn.XLOOKUP(CT68,'Dispensed Ink Rates'!C:C,'Dispensed Ink Rates'!CS:CS),VLOOKUP(CT68,'Jan-2026 rates'!$E:$F,2,0)))</f>
        <v>0</v>
      </c>
      <c r="DJ68" s="409"/>
      <c r="DK68" s="398">
        <f>IF(DJ68=0,0,IF(LEN(CU68)=11,_xlfn.XLOOKUP(CU68,'Dispensed Ink Rates'!C:C,'Dispensed Ink Rates'!CS:CS),VLOOKUP(CU68,'Jan-2026 rates'!$E:$F,2,0)))</f>
        <v>0</v>
      </c>
      <c r="DL68" s="409" t="s">
        <v>1443</v>
      </c>
      <c r="DM68" s="409">
        <v>23</v>
      </c>
      <c r="DN68" s="411">
        <f t="shared" si="9"/>
        <v>0</v>
      </c>
      <c r="DO68" s="411">
        <f t="shared" si="10"/>
        <v>11.283018867924525</v>
      </c>
      <c r="DP68" s="410">
        <f t="shared" si="11"/>
        <v>0</v>
      </c>
      <c r="DQ68" s="405" t="s">
        <v>857</v>
      </c>
      <c r="DR68" s="409" t="s">
        <v>2954</v>
      </c>
      <c r="DS68" s="420" t="str">
        <f t="shared" si="12"/>
        <v>FLINTSL - RED</v>
      </c>
      <c r="DT68" s="409">
        <v>20</v>
      </c>
      <c r="DU68" s="411">
        <f>IF(DT68=0,0,IF($LB68=70%,VLOOKUP($DS68,'Jan-2026 rates'!$L:$R,4,0),IF($LB68=65%,VLOOKUP($DS68,'Jan-2026 rates'!$L:$R,4,0),IF($LB68=40%,VLOOKUP($DS68,'Jan-2026 rates'!$L:$R,5,0),IF($LB68=30%,VLOOKUP($DS68,'Jan-2026 rates'!$L:$R,6,0),IF($LB68=100%,VLOOKUP($DS68,'Jan-2026 rates'!$L:$R,7,0),IF($LB68=60%,VLOOKUP($DS68,'Jan-2026 rates'!$L:$S,8,0),IF($LB68=80%,VLOOKUP($DS68,'Jan-2026 rates'!L:T,9,0),0))))))))</f>
        <v>0</v>
      </c>
      <c r="DV68" s="412"/>
      <c r="DW68" s="409"/>
      <c r="DX68" s="411">
        <f>IF(DW68=0,0,IF($LB68=70%,VLOOKUP($DS68,'Jan-2026 rates'!$L:$R,4,0),IF($LB68=65%,VLOOKUP($DS68,'Jan-2026 rates'!$L:$R,4,0),IF($LB68=40%,VLOOKUP($DS68,'Jan-2026 rates'!$L:$R,5,0),IF($LB68=30%,VLOOKUP($DS68,'Jan-2026 rates'!$L:$R,6,0),IF($LB68=100%,VLOOKUP($DS68,'Jan-2026 rates'!$L:$R,7,0),IF($LB68=60%,VLOOKUP($DS68,'Jan-2026 rates'!$L:$S,8,0),IF($LB68=80%,VLOOKUP($DS68,'Jan-2026 rates'!L:T,9,0),0))))))))</f>
        <v>0</v>
      </c>
      <c r="DY68" s="413">
        <v>25863000019</v>
      </c>
      <c r="DZ68" s="413">
        <v>26505000006</v>
      </c>
      <c r="EA68" s="412">
        <v>26505000007</v>
      </c>
      <c r="EB68" s="412"/>
      <c r="EC68" s="412"/>
      <c r="ED68" s="412"/>
      <c r="EE68" s="412"/>
      <c r="EF68" s="412"/>
      <c r="EG68" s="409">
        <v>5</v>
      </c>
      <c r="EH68" s="398" t="e">
        <f>IF(EG68=0,0,IF(LEN(DY68)=11,_xlfn.XLOOKUP(DY68,'Dispensed Ink Rates'!C:C,'Dispensed Ink Rates'!CS:CS),VLOOKUP(DY68,'Jan-2026 rates'!$E:$F,2,0)))</f>
        <v>#N/A</v>
      </c>
      <c r="EI68" s="409">
        <v>40</v>
      </c>
      <c r="EJ68" s="398" t="e">
        <f>IF(EI68=0,0,IF(LEN(DZ68)=11,_xlfn.XLOOKUP(DZ68,'Dispensed Ink Rates'!C:C,'Dispensed Ink Rates'!CS:CS),VLOOKUP(DZ68,'Jan-2026 rates'!$E:$F,2,0)))</f>
        <v>#N/A</v>
      </c>
      <c r="EK68" s="409">
        <v>30</v>
      </c>
      <c r="EL68" s="398" t="e">
        <f>IF(EK68=0,0,IF(LEN(EA68)=11,_xlfn.XLOOKUP(EA68,'Dispensed Ink Rates'!C:C,'Dispensed Ink Rates'!CS:CS),VLOOKUP(EA68,'Jan-2026 rates'!$E:$F,2,0)))</f>
        <v>#N/A</v>
      </c>
      <c r="EM68" s="409"/>
      <c r="EN68" s="398">
        <f>IF(EM68=0,0,IF(LEN(EB68)=11,_xlfn.XLOOKUP(EB68,'Dispensed Ink Rates'!C:C,'Dispensed Ink Rates'!CS:CS),VLOOKUP(EB68,'Jan-2026 rates'!$E:$F,2,0)))</f>
        <v>0</v>
      </c>
      <c r="EO68" s="409"/>
      <c r="EP68" s="398">
        <f>IF(EO68=0,0,IF(LEN(EC68)=11,_xlfn.XLOOKUP(EC68,'Dispensed Ink Rates'!C:C,'Dispensed Ink Rates'!CS:CS),VLOOKUP(EC68,'Jan-2026 rates'!$E:$F,2,0)))</f>
        <v>0</v>
      </c>
      <c r="EQ68" s="409"/>
      <c r="ER68" s="398">
        <f>IF(EQ68=0,0,IF(LEN(ED68)=11,_xlfn.XLOOKUP(ED68,'Dispensed Ink Rates'!C:C,'Dispensed Ink Rates'!CS:CS),VLOOKUP(ED68,'Jan-2026 rates'!$E:$F,2,0)))</f>
        <v>0</v>
      </c>
      <c r="ES68" s="409"/>
      <c r="ET68" s="398">
        <f>IF(ES68=0,0,IF(LEN(EE68)=11,_xlfn.XLOOKUP(EE68,'Dispensed Ink Rates'!C:C,'Dispensed Ink Rates'!CS:CS),VLOOKUP(EE68,'Jan-2026 rates'!$E:$F,2,0)))</f>
        <v>0</v>
      </c>
      <c r="EU68" s="409"/>
      <c r="EV68" s="398">
        <f>IF(EU68=0,0,IF(LEN(EF68)=11,_xlfn.XLOOKUP(EF68,'Dispensed Ink Rates'!C:C,'Dispensed Ink Rates'!CS:CS),VLOOKUP(EF68,'Jan-2026 rates'!$E:$F,2,0)))</f>
        <v>0</v>
      </c>
      <c r="EW68" s="409" t="s">
        <v>1443</v>
      </c>
      <c r="EX68" s="409">
        <v>24</v>
      </c>
      <c r="EY68" s="411">
        <f t="shared" si="13"/>
        <v>0</v>
      </c>
      <c r="EZ68" s="411">
        <f t="shared" si="14"/>
        <v>89.20754716981132</v>
      </c>
      <c r="FA68" s="410">
        <f t="shared" si="15"/>
        <v>0</v>
      </c>
      <c r="FB68" s="405" t="s">
        <v>855</v>
      </c>
      <c r="FC68" s="409" t="s">
        <v>2955</v>
      </c>
      <c r="FD68" s="420" t="str">
        <f t="shared" si="16"/>
        <v>FLINTSL - CYAN</v>
      </c>
      <c r="FE68" s="409">
        <v>24</v>
      </c>
      <c r="FF68" s="411">
        <f>IF(FE68=0,0,IF($LB68=70%,VLOOKUP($FD68,'Jan-2026 rates'!$L:$R,4,0),IF($LB68=65%,VLOOKUP($FD68,'Jan-2026 rates'!$L:$R,4,0),IF($LB68=40%,VLOOKUP($FD68,'Jan-2026 rates'!$L:$R,5,0),IF($LB68=30%,VLOOKUP($FD68,'Jan-2026 rates'!$L:$R,6,0),IF($LB68=100%,VLOOKUP($FD68,'Jan-2026 rates'!$L:$R,7,0),IF($LB68=60%,VLOOKUP($FD68,'Jan-2026 rates'!$L:$S,8,0),IF($LB68=80%,VLOOKUP($FD68,'Jan-2026 rates'!L:T,9,0),0))))))))</f>
        <v>0</v>
      </c>
      <c r="FG68" s="412"/>
      <c r="FH68" s="409"/>
      <c r="FI68" s="411">
        <f>IF(FH68=0,0,IF($LB68=70%,VLOOKUP($FD68,'Jan-2026 rates'!$L:$R,4,0),IF($LB68=65%,VLOOKUP($FD68,'Jan-2026 rates'!$L:$R,4,0),IF($LB68=40%,VLOOKUP($FD68,'Jan-2026 rates'!$L:$R,5,0),IF($LB68=30%,VLOOKUP($FD68,'Jan-2026 rates'!$L:$R,6,0),IF($LB68=100%,VLOOKUP($FD68,'Jan-2026 rates'!$L:$R,7,0),IF($LB68=60%,VLOOKUP($FD68,'Jan-2026 rates'!$L:$S,8,0),IF($LB68=80%,VLOOKUP($FD68,'Jan-2026 rates'!L:T,9,0),0))))))))</f>
        <v>0</v>
      </c>
      <c r="FJ68" s="413">
        <v>26504000001</v>
      </c>
      <c r="FK68" s="413"/>
      <c r="FL68" s="413"/>
      <c r="FM68" s="412"/>
      <c r="FN68" s="412"/>
      <c r="FO68" s="412"/>
      <c r="FP68" s="412"/>
      <c r="FQ68" s="412"/>
      <c r="FR68" s="409">
        <v>4</v>
      </c>
      <c r="FS68" s="398" t="e">
        <f>IF(FR68=0,0,IF(LEN(FJ68)=11,_xlfn.XLOOKUP(FJ68,'Dispensed Ink Rates'!C:C,'Dispensed Ink Rates'!CS:CS),VLOOKUP(FJ68,'Jan-2026 rates'!$E:$F,2,0)))</f>
        <v>#N/A</v>
      </c>
      <c r="FT68" s="409"/>
      <c r="FU68" s="398">
        <f>IF(FT68=0,0,IF(LEN(FK68)=11,_xlfn.XLOOKUP(FK68,'Dispensed Ink Rates'!C:C,'Dispensed Ink Rates'!CS:CS),VLOOKUP(FK68,'Jan-2026 rates'!$E:$F,2,0)))</f>
        <v>0</v>
      </c>
      <c r="FV68" s="409"/>
      <c r="FW68" s="398">
        <f>IF(FV68=0,0,IF(LEN(FL68)=11,_xlfn.XLOOKUP(FL68,'Dispensed Ink Rates'!C:C,'Dispensed Ink Rates'!CS:CS),VLOOKUP(FL68,'Jan-2026 rates'!$E:$F,2,0)))</f>
        <v>0</v>
      </c>
      <c r="FX68" s="409"/>
      <c r="FY68" s="398">
        <f>IF(FX68=0,0,IF(LEN(FM68)=11,_xlfn.XLOOKUP(FM68,'Dispensed Ink Rates'!C:C,'Dispensed Ink Rates'!CS:CS),VLOOKUP(FM68,'Jan-2026 rates'!$E:$F,2,0)))</f>
        <v>0</v>
      </c>
      <c r="FZ68" s="409"/>
      <c r="GA68" s="398">
        <f>IF(FZ68=0,0,IF(LEN(FN68)=11,_xlfn.XLOOKUP(FN68,'Dispensed Ink Rates'!C:C,'Dispensed Ink Rates'!CS:CS),VLOOKUP(FN68,'Jan-2026 rates'!$E:$F,2,0)))</f>
        <v>0</v>
      </c>
      <c r="GB68" s="409"/>
      <c r="GC68" s="398">
        <f>IF(GB68=0,0,IF(LEN(FO68)=11,_xlfn.XLOOKUP(FO68,'Dispensed Ink Rates'!C:C,'Dispensed Ink Rates'!CS:CS),VLOOKUP(FO68,'Jan-2026 rates'!$E:$F,2,0)))</f>
        <v>0</v>
      </c>
      <c r="GD68" s="409"/>
      <c r="GE68" s="398">
        <f>IF(GD68=0,0,IF(LEN(FP68)=11,_xlfn.XLOOKUP(FP68,'Dispensed Ink Rates'!C:C,'Dispensed Ink Rates'!CS:CS),VLOOKUP(FP68,'Jan-2026 rates'!$E:$F,2,0)))</f>
        <v>0</v>
      </c>
      <c r="GF68" s="409"/>
      <c r="GG68" s="398">
        <f>IF(GF68=0,0,IF(LEN(FQ68)=11,_xlfn.XLOOKUP(FQ68,'Dispensed Ink Rates'!C:C,'Dispensed Ink Rates'!CS:CS),VLOOKUP(FQ68,'Jan-2026 rates'!$E:$F,2,0)))</f>
        <v>0</v>
      </c>
      <c r="GH68" s="409" t="s">
        <v>1443</v>
      </c>
      <c r="GI68" s="409">
        <v>24</v>
      </c>
      <c r="GJ68" s="411">
        <f t="shared" si="17"/>
        <v>0</v>
      </c>
      <c r="GK68" s="411">
        <f t="shared" si="18"/>
        <v>11.283018867924525</v>
      </c>
      <c r="GL68" s="410">
        <f t="shared" si="19"/>
        <v>0</v>
      </c>
      <c r="GM68" s="405" t="s">
        <v>544</v>
      </c>
      <c r="GN68" s="409" t="s">
        <v>2956</v>
      </c>
      <c r="GO68" s="420" t="str">
        <f t="shared" si="20"/>
        <v>FLINTSL - MAGENTA</v>
      </c>
      <c r="GP68" s="409">
        <v>28</v>
      </c>
      <c r="GQ68" s="411">
        <f>IF(GP68=0,0,IF($LB68=70%,VLOOKUP($GO68,'Jan-2026 rates'!$L:$R,4,0),IF($LB68=65%,VLOOKUP($GO68,'Jan-2026 rates'!$L:$R,4,0),IF($LB68=40%,VLOOKUP($GO68,'Jan-2026 rates'!$L:$R,5,0),IF($LB68=30%,VLOOKUP($GO68,'Jan-2026 rates'!$L:$R,6,0),IF($LB68=100%,VLOOKUP($GO68,'Jan-2026 rates'!$L:$R,7,0),IF($LB68=60%,VLOOKUP($GO68,'Jan-2026 rates'!$L:$S,8,0),IF($LB68=80%,VLOOKUP($GO68,'Jan-2026 rates'!L:T,9,0),0))))))))</f>
        <v>0</v>
      </c>
      <c r="GR68" s="412"/>
      <c r="GS68" s="409"/>
      <c r="GT68" s="411">
        <f>IF(GS68=0,0,IF($LB68=70%,VLOOKUP($GO68,'Jan-2026 rates'!$L:$R,4,0),IF($LB68=65%,VLOOKUP($GO68,'Jan-2026 rates'!$L:$R,4,0),IF($LB68=40%,VLOOKUP($GO68,'Jan-2026 rates'!$L:$R,5,0),IF($LB68=30%,VLOOKUP($GO68,'Jan-2026 rates'!$L:$R,6,0),IF($LB68=100%,VLOOKUP($GO68,'Jan-2026 rates'!$L:$R,7,0),IF($LB68=60%,VLOOKUP($GO68,'Jan-2026 rates'!$L:$S,8,0),IF($LB68=80%,VLOOKUP($GO68,'Jan-2026 rates'!L:T,9,0),0))))))))</f>
        <v>0</v>
      </c>
      <c r="GU68" s="413">
        <v>26505000005</v>
      </c>
      <c r="GV68" s="413"/>
      <c r="GW68" s="412"/>
      <c r="GX68" s="412"/>
      <c r="GY68" s="412"/>
      <c r="GZ68" s="412"/>
      <c r="HA68" s="412"/>
      <c r="HB68" s="412"/>
      <c r="HC68" s="409">
        <v>4</v>
      </c>
      <c r="HD68" s="398" t="e">
        <f>IF(HC68=0,0,IF(LEN(GU68)=11,_xlfn.XLOOKUP(GU68,'Dispensed Ink Rates'!C:C,'Dispensed Ink Rates'!CS:CS),VLOOKUP(GU68,'Jan-2026 rates'!$E:$F,2,0)))</f>
        <v>#N/A</v>
      </c>
      <c r="HE68" s="409"/>
      <c r="HF68" s="398">
        <f>IF(HE68=0,0,IF(LEN(GV68)=11,_xlfn.XLOOKUP(GV68,'Dispensed Ink Rates'!C:C,'Dispensed Ink Rates'!CS:CS),VLOOKUP(GV68,'Jan-2026 rates'!$E:$F,2,0)))</f>
        <v>0</v>
      </c>
      <c r="HG68" s="409"/>
      <c r="HH68" s="398">
        <f>IF(HG68=0,0,IF(LEN(GW68)=11,_xlfn.XLOOKUP(GW68,'Dispensed Ink Rates'!C:C,'Dispensed Ink Rates'!CS:CS),VLOOKUP(GW68,'Jan-2026 rates'!$E:$F,2,0)))</f>
        <v>0</v>
      </c>
      <c r="HI68" s="409"/>
      <c r="HJ68" s="398">
        <f>IF(HI68=0,0,IF(LEN(GX68)=11,_xlfn.XLOOKUP(GX68,'Dispensed Ink Rates'!C:C,'Dispensed Ink Rates'!CS:CS),VLOOKUP(GX68,'Jan-2026 rates'!$E:$F,2,0)))</f>
        <v>0</v>
      </c>
      <c r="HK68" s="409"/>
      <c r="HL68" s="398">
        <f>IF(HK68=0,0,IF(LEN(GY68)=11,_xlfn.XLOOKUP(GY68,'Dispensed Ink Rates'!C:C,'Dispensed Ink Rates'!CS:CS),VLOOKUP(GY68,'Jan-2026 rates'!$E:$F,2,0)))</f>
        <v>0</v>
      </c>
      <c r="HM68" s="409"/>
      <c r="HN68" s="398">
        <f>IF(HM68=0,0,IF(LEN(GZ68)=11,_xlfn.XLOOKUP(GZ68,'Dispensed Ink Rates'!C:C,'Dispensed Ink Rates'!CS:CS),VLOOKUP(GZ68,'Jan-2026 rates'!$E:$F,2,0)))</f>
        <v>0</v>
      </c>
      <c r="HO68" s="409"/>
      <c r="HP68" s="398">
        <f>IF(HO68=0,0,IF(LEN(HA68)=11,_xlfn.XLOOKUP(HA68,'Dispensed Ink Rates'!C:C,'Dispensed Ink Rates'!CS:CS),VLOOKUP(HA68,'Jan-2026 rates'!$E:$F,2,0)))</f>
        <v>0</v>
      </c>
      <c r="HQ68" s="409"/>
      <c r="HR68" s="398">
        <f>IF(HQ68=0,0,IF(LEN(HB68)=11,_xlfn.XLOOKUP(HB68,'Dispensed Ink Rates'!C:C,'Dispensed Ink Rates'!CS:CS),VLOOKUP(HB68,'Jan-2026 rates'!$E:$F,2,0)))</f>
        <v>0</v>
      </c>
      <c r="HS68" s="409" t="s">
        <v>1443</v>
      </c>
      <c r="HT68" s="409">
        <v>25</v>
      </c>
      <c r="HU68" s="411">
        <f t="shared" si="21"/>
        <v>0</v>
      </c>
      <c r="HV68" s="411">
        <f t="shared" si="22"/>
        <v>14.283018867924525</v>
      </c>
      <c r="HW68" s="414">
        <f t="shared" si="23"/>
        <v>0</v>
      </c>
      <c r="HX68" s="405" t="s">
        <v>545</v>
      </c>
      <c r="HY68" s="409" t="s">
        <v>2953</v>
      </c>
      <c r="HZ68" s="420" t="str">
        <f t="shared" si="24"/>
        <v>FLINTSL - YELLOW</v>
      </c>
      <c r="IA68" s="409">
        <v>26</v>
      </c>
      <c r="IB68" s="411">
        <f>IF(IA68=0,0,IF($LB68=70%,VLOOKUP($HZ68,'Jan-2026 rates'!$L:$R,4,0),IF($LB68=65%,VLOOKUP($HZ68,'Jan-2026 rates'!$L:$R,4,0),IF($LB68=40%,VLOOKUP($HZ68,'Jan-2026 rates'!$L:$R,5,0),IF($LB68=30%,VLOOKUP($HZ68,'Jan-2026 rates'!$L:$R,6,0),IF($LB68=100%,VLOOKUP($HZ68,'Jan-2026 rates'!$L:$R,7,0),IF($LB68=60%,VLOOKUP($HZ68,'Jan-2026 rates'!$L:$S,8,0),IF($LB68=80%,VLOOKUP($HZ68,'Jan-2026 rates'!L:T,9,0),0))))))))</f>
        <v>0</v>
      </c>
      <c r="IC68" s="412"/>
      <c r="ID68" s="409"/>
      <c r="IE68" s="411">
        <f>IF(ID68=0,0,IF($LB68=70%,VLOOKUP($HZ68,'Jan-2026 rates'!$L:$R,4,0),IF($LB68=65%,VLOOKUP($HZ68,'Jan-2026 rates'!$L:$R,4,0),IF($LB68=40%,VLOOKUP($HZ68,'Jan-2026 rates'!$L:$R,5,0),IF($LB68=30%,VLOOKUP($HZ68,'Jan-2026 rates'!$L:$R,6,0),IF($LB68=100%,VLOOKUP($HZ68,'Jan-2026 rates'!$L:$R,7,0),IF($LB68=60%,VLOOKUP($HZ68,'Jan-2026 rates'!$L:$S,8,0),IF($LB68=80%,VLOOKUP($HZ68,'Jan-2026 rates'!L:T,9,0),0))))))))</f>
        <v>0</v>
      </c>
      <c r="IF68" s="412">
        <v>26505000004</v>
      </c>
      <c r="IG68" s="413" t="s">
        <v>1266</v>
      </c>
      <c r="IH68" s="412"/>
      <c r="II68" s="412"/>
      <c r="IJ68" s="412"/>
      <c r="IK68" s="412"/>
      <c r="IL68" s="412"/>
      <c r="IM68" s="412"/>
      <c r="IN68" s="409">
        <v>4</v>
      </c>
      <c r="IO68" s="398" t="e">
        <f>IF(IN68=0,0,IF(LEN(IF68)=11,_xlfn.XLOOKUP(IF68,'Dispensed Ink Rates'!C:C,'Dispensed Ink Rates'!CS:CS),VLOOKUP(IF68,'Jan-2026 rates'!$E:$F,2,0)))</f>
        <v>#N/A</v>
      </c>
      <c r="IP68" s="409">
        <v>2</v>
      </c>
      <c r="IQ68" s="398">
        <f>IF(IP68=0,0,IF(LEN(IG68)=11,_xlfn.XLOOKUP(IG68,'Dispensed Ink Rates'!C:C,'Dispensed Ink Rates'!CS:CS),VLOOKUP(IG68,'Jan-2026 rates'!$E:$F,2,0)))</f>
        <v>0</v>
      </c>
      <c r="IR68" s="409"/>
      <c r="IS68" s="398">
        <f>IF(IR68=0,0,IF(LEN(IH68)=11,_xlfn.XLOOKUP(IH68,'Dispensed Ink Rates'!C:C,'Dispensed Ink Rates'!CS:CS),VLOOKUP(IH68,'Jan-2026 rates'!$E:$F,2,0)))</f>
        <v>0</v>
      </c>
      <c r="IT68" s="409"/>
      <c r="IU68" s="398">
        <f>IF(IT68=0,0,IF(LEN(II68)=11,_xlfn.XLOOKUP(II68,'Dispensed Ink Rates'!C:C,'Dispensed Ink Rates'!CS:CS),VLOOKUP(II68,'Jan-2026 rates'!$E:$F,2,0)))</f>
        <v>0</v>
      </c>
      <c r="IV68" s="409"/>
      <c r="IW68" s="398">
        <f>IF(IV68=0,0,IF(LEN(IJ68)=11,_xlfn.XLOOKUP(IJ68,'Dispensed Ink Rates'!C:C,'Dispensed Ink Rates'!CS:CS),VLOOKUP(IJ68,'Jan-2026 rates'!$E:$F,2,0)))</f>
        <v>0</v>
      </c>
      <c r="IX68" s="409"/>
      <c r="IY68" s="398">
        <f>IF(IX68=0,0,IF(LEN(IK68)=11,_xlfn.XLOOKUP(IK68,'Dispensed Ink Rates'!C:C,'Dispensed Ink Rates'!CS:CS),VLOOKUP(IK68,'Jan-2026 rates'!$E:$F,2,0)))</f>
        <v>0</v>
      </c>
      <c r="IZ68" s="409"/>
      <c r="JA68" s="398">
        <f>IF(IZ68=0,0,IF(LEN(IL68)=11,_xlfn.XLOOKUP(IL68,'Dispensed Ink Rates'!C:C,'Dispensed Ink Rates'!CS:CS),VLOOKUP(IL68,'Jan-2026 rates'!$E:$F,2,0)))</f>
        <v>0</v>
      </c>
      <c r="JB68" s="409"/>
      <c r="JC68" s="398">
        <f>IF(JB68=0,0,IF(LEN(IM68)=11,_xlfn.XLOOKUP(IM68,'Dispensed Ink Rates'!C:C,'Dispensed Ink Rates'!CS:CS),VLOOKUP(IM68,'Jan-2026 rates'!$E:$F,2,0)))</f>
        <v>0</v>
      </c>
      <c r="JD68" s="409" t="s">
        <v>1443</v>
      </c>
      <c r="JE68" s="409">
        <v>20</v>
      </c>
      <c r="JF68" s="411">
        <f t="shared" si="25"/>
        <v>0</v>
      </c>
      <c r="JG68" s="411">
        <f t="shared" si="26"/>
        <v>30.20754716981132</v>
      </c>
      <c r="JH68" s="410">
        <f t="shared" si="27"/>
        <v>0</v>
      </c>
      <c r="JI68" s="405" t="s">
        <v>856</v>
      </c>
      <c r="JJ68" s="409" t="s">
        <v>2957</v>
      </c>
      <c r="JK68" s="420" t="str">
        <f t="shared" si="28"/>
        <v>FLINTSL - WHITE</v>
      </c>
      <c r="JL68" s="409">
        <v>31</v>
      </c>
      <c r="JM68" s="411">
        <f>IF(JL68=0,0,IF($LB68=70%,VLOOKUP($JK68,'Jan-2026 rates'!$L:$R,4,0),IF($LB68=65%,VLOOKUP($JK68,'Jan-2026 rates'!$L:$R,4,0),IF($LB68=40%,VLOOKUP($JK68,'Jan-2026 rates'!$L:$R,5,0),IF($LB68=30%,VLOOKUP($JK68,'Jan-2026 rates'!$L:$R,6,0),IF($LB68=100%,VLOOKUP($JK68,'Jan-2026 rates'!$L:$R,7,0),IF($LB68=60%,VLOOKUP($JK68,'Jan-2026 rates'!$L:$S,8,0),IF($LB68=80%,VLOOKUP($JK68,'Jan-2026 rates'!L:T,9,0),0))))))))</f>
        <v>0</v>
      </c>
      <c r="JN68" s="412"/>
      <c r="JO68" s="409"/>
      <c r="JP68" s="411">
        <f>IF(JO68=0,0,IF($LB68=70%,VLOOKUP($JK68,'Jan-2026 rates'!$L:$R,4,0),IF($LB68=65%,VLOOKUP($JK68,'Jan-2026 rates'!$L:$R,4,0),IF($LB68=40%,VLOOKUP($JK68,'Jan-2026 rates'!$L:$R,5,0),IF($LB68=30%,VLOOKUP($JK68,'Jan-2026 rates'!$L:$R,6,0),IF($LB68=100%,VLOOKUP($JK68,'Jan-2026 rates'!$L:$R,7,0),IF($LB68=60%,VLOOKUP($JK68,'Jan-2026 rates'!$L:$S,8,0),IF($LB68=80%,VLOOKUP($JK68,'Jan-2026 rates'!L:T,9,0),0))))))))</f>
        <v>0</v>
      </c>
      <c r="JQ68" s="413" t="s">
        <v>484</v>
      </c>
      <c r="JR68" s="412"/>
      <c r="JS68" s="413"/>
      <c r="JT68" s="413"/>
      <c r="JU68" s="412"/>
      <c r="JV68" s="412"/>
      <c r="JW68" s="412"/>
      <c r="JX68" s="412"/>
      <c r="JY68" s="409">
        <v>60</v>
      </c>
      <c r="JZ68" s="398">
        <f>IF(JY68=0,0,IF(LEN(JQ68)=11,_xlfn.XLOOKUP(JQ68,'Dispensed Ink Rates'!C:C,'Dispensed Ink Rates'!CS:CS),VLOOKUP(JQ68,'Jan-2026 rates'!$E:$F,2,0)))</f>
        <v>0</v>
      </c>
      <c r="KA68" s="409"/>
      <c r="KB68" s="398">
        <f>IF(KA68=0,0,IF(LEN(JR68)=11,_xlfn.XLOOKUP(JR68,'Dispensed Ink Rates'!C:C,'Dispensed Ink Rates'!CS:CS),VLOOKUP(JR68,'Jan-2026 rates'!$E:$F,2,0)))</f>
        <v>0</v>
      </c>
      <c r="KC68" s="409"/>
      <c r="KD68" s="398">
        <f>IF(KC68=0,0,IF(LEN(JS68)=11,_xlfn.XLOOKUP(JS68,'Dispensed Ink Rates'!C:C,'Dispensed Ink Rates'!CS:CS),VLOOKUP(JS68,'Jan-2026 rates'!$E:$F,2,0)))</f>
        <v>0</v>
      </c>
      <c r="KE68" s="409"/>
      <c r="KF68" s="398">
        <f>IF(KE68=0,0,IF(LEN(JT68)=11,_xlfn.XLOOKUP(JT68,'Dispensed Ink Rates'!C:C,'Dispensed Ink Rates'!CS:CS),VLOOKUP(JT68,'Jan-2026 rates'!$E:$F,2,0)))</f>
        <v>0</v>
      </c>
      <c r="KG68" s="409"/>
      <c r="KH68" s="398">
        <f>IF(KG68=0,0,IF(LEN(JU68)=11,_xlfn.XLOOKUP(JU68,'Dispensed Ink Rates'!C:C,'Dispensed Ink Rates'!CS:CS),VLOOKUP(JU68,'Jan-2026 rates'!$E:$F,2,0)))</f>
        <v>0</v>
      </c>
      <c r="KI68" s="409"/>
      <c r="KJ68" s="398">
        <f>IF(KI68=0,0,IF(LEN(JV68)=11,_xlfn.XLOOKUP(JV68,'Dispensed Ink Rates'!C:C,'Dispensed Ink Rates'!CS:CS),VLOOKUP(JV68,'Jan-2026 rates'!$E:$F,2,0)))</f>
        <v>0</v>
      </c>
      <c r="KK68" s="409"/>
      <c r="KL68" s="398">
        <f>IF(KK68=0,0,IF(LEN(JW68)=11,_xlfn.XLOOKUP(JW68,'Dispensed Ink Rates'!C:C,'Dispensed Ink Rates'!CS:CS),VLOOKUP(JW68,'Jan-2026 rates'!$E:$F,2,0)))</f>
        <v>0</v>
      </c>
      <c r="KM68" s="428"/>
      <c r="KN68" s="398">
        <f>IF(KM68=0,0,IF(LEN(JX68)=11,_xlfn.XLOOKUP(JX68,'Dispensed Ink Rates'!C:C,'Dispensed Ink Rates'!CS:CS),VLOOKUP(JX68,'Jan-2026 rates'!$E:$F,2,0)))</f>
        <v>0</v>
      </c>
      <c r="KO68" s="409" t="s">
        <v>1443</v>
      </c>
      <c r="KP68" s="409">
        <v>27</v>
      </c>
      <c r="KQ68" s="411">
        <f t="shared" si="29"/>
        <v>0</v>
      </c>
      <c r="KR68" s="411">
        <f t="shared" si="30"/>
        <v>173.24528301886792</v>
      </c>
      <c r="KS68" s="410">
        <f t="shared" si="31"/>
        <v>0</v>
      </c>
      <c r="KT68" s="409">
        <v>2</v>
      </c>
      <c r="KU68" s="409">
        <v>5</v>
      </c>
      <c r="KV68" s="409">
        <v>2</v>
      </c>
      <c r="KW68" s="409">
        <v>5</v>
      </c>
      <c r="KX68" s="409">
        <v>2</v>
      </c>
      <c r="KY68" s="409">
        <v>2</v>
      </c>
      <c r="KZ68" s="409">
        <v>5</v>
      </c>
      <c r="LA68" s="409">
        <v>30</v>
      </c>
      <c r="LB68" s="415">
        <v>0.8</v>
      </c>
      <c r="LC68" s="415">
        <v>0.2</v>
      </c>
      <c r="LD68" s="415"/>
      <c r="LE68" s="415"/>
      <c r="LF68" s="415"/>
      <c r="LG68" s="409">
        <v>0</v>
      </c>
      <c r="LH68" s="409">
        <f>30+30+96+24+5+5+3</f>
        <v>193</v>
      </c>
      <c r="LI68" s="409">
        <v>0</v>
      </c>
      <c r="LJ68" s="409">
        <v>0</v>
      </c>
      <c r="LK68" s="416">
        <f t="shared" si="32"/>
        <v>193</v>
      </c>
      <c r="LL68" s="416">
        <f t="shared" si="33"/>
        <v>193</v>
      </c>
      <c r="LM68" s="417">
        <f t="shared" si="34"/>
        <v>154.4</v>
      </c>
      <c r="LN68" s="417">
        <f>VLOOKUP($LM$8,'Jan-2026 rates'!$H:$I,2,0)</f>
        <v>0</v>
      </c>
      <c r="LO68" s="417">
        <f t="shared" si="35"/>
        <v>38.6</v>
      </c>
      <c r="LP68" s="417">
        <f>VLOOKUP($LO$8,'Jan-2026 rates'!$H:$I,2,0)</f>
        <v>0</v>
      </c>
      <c r="LQ68" s="417">
        <f t="shared" si="36"/>
        <v>0</v>
      </c>
      <c r="LR68" s="417">
        <f>VLOOKUP($LQ$8,'Jan-2026 rates'!$H:$I,2,0)</f>
        <v>0</v>
      </c>
      <c r="LS68" s="417">
        <f t="shared" si="37"/>
        <v>0</v>
      </c>
      <c r="LT68" s="417">
        <f>VLOOKUP($LS$8,'Jan-2026 rates'!$H:$I,2,0)</f>
        <v>0</v>
      </c>
      <c r="LU68" s="417">
        <f t="shared" si="38"/>
        <v>0</v>
      </c>
      <c r="LV68" s="417">
        <f>VLOOKUP($LU$8,'Jan-2026 rates'!$H:$I,2,0)</f>
        <v>0</v>
      </c>
      <c r="LW68" s="417">
        <f t="shared" si="39"/>
        <v>0</v>
      </c>
      <c r="LX68" s="417">
        <f t="shared" si="40"/>
        <v>0</v>
      </c>
      <c r="LY68" s="418">
        <f t="shared" si="41"/>
        <v>0</v>
      </c>
      <c r="LZ68" s="417"/>
      <c r="MA68" s="435">
        <f t="shared" si="42"/>
        <v>154</v>
      </c>
      <c r="MB68" s="282">
        <f t="shared" si="43"/>
        <v>362</v>
      </c>
      <c r="MC68" s="283">
        <v>23</v>
      </c>
      <c r="MD68" s="284" t="str">
        <f t="shared" si="44"/>
        <v>FLINTSLFLINTSLFLINTSLFLINTSLFLINTSLFLINTSLFLINTSLFLINTSL</v>
      </c>
      <c r="ME68" s="293" t="str">
        <f t="shared" si="45"/>
        <v>+</v>
      </c>
      <c r="MF68" s="293" t="str">
        <f t="shared" si="46"/>
        <v>+</v>
      </c>
      <c r="MG68" s="293" t="str">
        <f t="shared" si="47"/>
        <v>+</v>
      </c>
      <c r="MH68" s="293" t="str">
        <f t="shared" si="48"/>
        <v>+</v>
      </c>
      <c r="MI68" s="293" t="str">
        <f t="shared" si="49"/>
        <v>+</v>
      </c>
      <c r="MJ68" s="293" t="str">
        <f t="shared" si="50"/>
        <v>+</v>
      </c>
      <c r="MK68" s="293" t="str">
        <f t="shared" si="51"/>
        <v>+</v>
      </c>
      <c r="ML68" s="293" t="str">
        <f t="shared" si="52"/>
        <v>+</v>
      </c>
      <c r="MM68" s="3" t="b">
        <f t="array" ref="MM68">OR(ME68:ML68="-")</f>
        <v>0</v>
      </c>
      <c r="MN68" s="285"/>
      <c r="MO68" s="401"/>
      <c r="MP68" s="286"/>
      <c r="MQ68" s="286"/>
      <c r="MR68" s="402"/>
      <c r="MS68" s="400"/>
      <c r="NH68" s="422"/>
      <c r="NJ68" s="421"/>
    </row>
    <row r="69" spans="1:374" s="1" customFormat="1" ht="16.5">
      <c r="A69" s="403">
        <v>46027</v>
      </c>
      <c r="B69" s="404" t="s">
        <v>1015</v>
      </c>
      <c r="C69" s="405" t="s">
        <v>2958</v>
      </c>
      <c r="D69" s="406">
        <v>24</v>
      </c>
      <c r="E69" s="404">
        <v>772</v>
      </c>
      <c r="F69" s="407">
        <v>26000</v>
      </c>
      <c r="G69" s="407" t="s">
        <v>1019</v>
      </c>
      <c r="H69" s="408" t="s">
        <v>1017</v>
      </c>
      <c r="I69" s="409">
        <v>1.81</v>
      </c>
      <c r="J69" s="405" t="s">
        <v>543</v>
      </c>
      <c r="K69" s="404" t="s">
        <v>2959</v>
      </c>
      <c r="L69" s="419" t="str">
        <f t="shared" si="0"/>
        <v>FLINTSL - BLACK</v>
      </c>
      <c r="M69" s="404">
        <v>24</v>
      </c>
      <c r="N69" s="410">
        <f>IF(M69=0,0,IF($LB69=70%,VLOOKUP($L69,'Jan-2026 rates'!$L:$R,4,0),IF($LB69=65%,VLOOKUP($L69,'Jan-2026 rates'!$L:$R,4,0),IF($LB69=40%,VLOOKUP($L69,'Jan-2026 rates'!$L:$R,5,0),IF($LB69=30%,VLOOKUP($L69,'Jan-2026 rates'!$L:$R,6,0),IF($LB69=100%,VLOOKUP($L69,'Jan-2026 rates'!$L:$R,7,0),IF($LB69=60%,VLOOKUP($L69,'Jan-2026 rates'!$L:$S,8,0),IF($LB69=80%,VLOOKUP($L69,'Jan-2026 rates'!L:T,9,0),0))))))))</f>
        <v>0</v>
      </c>
      <c r="O69" s="406"/>
      <c r="P69" s="404"/>
      <c r="Q69" s="410">
        <f>IF(P69=0,0,IF($LB69=70%,VLOOKUP($L69,'Jan-2026 rates'!$L:$R,4,0),IF($LB69=65%,VLOOKUP($L69,'Jan-2026 rates'!$L:$R,4,0),IF($LB69=40%,VLOOKUP($L69,'Jan-2026 rates'!$L:$R,5,0),IF($LB69=30%,VLOOKUP($L69,'Jan-2026 rates'!$L:$R,6,0),IF($LB69=100%,VLOOKUP($L69,'Jan-2026 rates'!$L:$R,7,0),IF($LB69=60%,VLOOKUP($L69,'Jan-2026 rates'!$L:$S,8,0),IF($LB69=80%,VLOOKUP($L69,'Jan-2026 rates'!L:T,9,0),0))))))))</f>
        <v>0</v>
      </c>
      <c r="R69" s="406">
        <v>26506000005</v>
      </c>
      <c r="S69" s="406"/>
      <c r="T69" s="406"/>
      <c r="U69" s="406"/>
      <c r="V69" s="406"/>
      <c r="W69" s="406"/>
      <c r="X69" s="406"/>
      <c r="Y69" s="406"/>
      <c r="Z69" s="404">
        <v>2</v>
      </c>
      <c r="AA69" s="398" t="e">
        <f>IF(Z69=0,0,IF(LEN(R69)=11,_xlfn.XLOOKUP(R69,'Dispensed Ink Rates'!C:C,'Dispensed Ink Rates'!CS:CS),VLOOKUP(R69,'Jan-2026 rates'!$E:$F,2,0)))</f>
        <v>#N/A</v>
      </c>
      <c r="AB69" s="404"/>
      <c r="AC69" s="398">
        <f>IF(AB69=0,0,IF(LEN(S69)=11,_xlfn.XLOOKUP(S69,'Dispensed Ink Rates'!C:C,'Dispensed Ink Rates'!CS:CS),VLOOKUP(S69,'Jan-2026 rates'!$E:$F,2,0)))</f>
        <v>0</v>
      </c>
      <c r="AD69" s="404"/>
      <c r="AE69" s="398">
        <f>IF(AD69=0,0,IF(LEN(T69)=11,_xlfn.XLOOKUP(T69,'Dispensed Ink Rates'!C:C,'Dispensed Ink Rates'!CS:CS),VLOOKUP(T69,'Jan-2026 rates'!$E:$F,2,0)))</f>
        <v>0</v>
      </c>
      <c r="AF69" s="404"/>
      <c r="AG69" s="398">
        <f>IF(AF69=0,0,IF(LEN(U69)=11,_xlfn.XLOOKUP(U69,'Dispensed Ink Rates'!C:C,'Dispensed Ink Rates'!CS:CS),VLOOKUP(U69,'Jan-2026 rates'!$E:$F,2,0)))</f>
        <v>0</v>
      </c>
      <c r="AH69" s="404"/>
      <c r="AI69" s="398">
        <f>IF(AH69=0,0,IF(LEN(V69)=11,_xlfn.XLOOKUP(V69,'Dispensed Ink Rates'!C:C,'Dispensed Ink Rates'!CS:CS),VLOOKUP(V69,'Jan-2026 rates'!$E:$F,2,0)))</f>
        <v>0</v>
      </c>
      <c r="AJ69" s="404"/>
      <c r="AK69" s="398">
        <f>IF(AJ69=0,0,IF(LEN(W69)=11,_xlfn.XLOOKUP(W69,'Dispensed Ink Rates'!C:C,'Dispensed Ink Rates'!CS:CS),VLOOKUP(W69,'Jan-2026 rates'!$E:$F,2,0)))</f>
        <v>0</v>
      </c>
      <c r="AL69" s="404"/>
      <c r="AM69" s="398">
        <f>IF(AL69=0,0,IF(LEN(X69)=11,_xlfn.XLOOKUP(X69,'Dispensed Ink Rates'!C:C,'Dispensed Ink Rates'!CS:CS),VLOOKUP(X69,'Jan-2026 rates'!$E:$F,2,0)))</f>
        <v>0</v>
      </c>
      <c r="AN69" s="404"/>
      <c r="AO69" s="398">
        <f>IF(AN69=0,0,IF(LEN(Y69)=11,_xlfn.XLOOKUP(Y69,'Dispensed Ink Rates'!C:C,'Dispensed Ink Rates'!CS:CS),VLOOKUP(Y69,'Jan-2026 rates'!$E:$F,2,0)))</f>
        <v>0</v>
      </c>
      <c r="AP69" s="409" t="s">
        <v>1443</v>
      </c>
      <c r="AQ69" s="409">
        <v>24</v>
      </c>
      <c r="AR69" s="410">
        <f t="shared" si="1"/>
        <v>0</v>
      </c>
      <c r="AS69" s="411">
        <f t="shared" si="2"/>
        <v>13.696969696969695</v>
      </c>
      <c r="AT69" s="410">
        <f t="shared" si="3"/>
        <v>0</v>
      </c>
      <c r="AU69" s="405" t="s">
        <v>546</v>
      </c>
      <c r="AV69" s="409" t="s">
        <v>2959</v>
      </c>
      <c r="AW69" s="420" t="str">
        <f t="shared" si="53"/>
        <v>FLINTSL - REFLEX BLUE</v>
      </c>
      <c r="AX69" s="409">
        <v>24</v>
      </c>
      <c r="AY69" s="411">
        <f>IF(AX69=0,0,IF($LB69=70%,VLOOKUP($AW69,'Jan-2026 rates'!$L:$R,4,0),IF($LB69=65%,VLOOKUP($AW69,'Jan-2026 rates'!$L:$R,4,0),IF($LB69=40%,VLOOKUP($AW69,'Jan-2026 rates'!$L:$R,5,0),IF($LB69=30%,VLOOKUP($AW69,'Jan-2026 rates'!$L:$R,6,0),IF($LB69=100%,VLOOKUP($AW69,'Jan-2026 rates'!$L:$R,7,0),IF($LB69=60%,VLOOKUP($AW69,'Jan-2026 rates'!$L:$S,8,0),IF($LB69=80%,VLOOKUP($AW69,'Jan-2026 rates'!L:T,9,0),0))))))))</f>
        <v>0</v>
      </c>
      <c r="AZ69" s="412"/>
      <c r="BA69" s="409"/>
      <c r="BB69" s="411">
        <f>IF(BA69=0,0,IF($LB69=70%,VLOOKUP($AW69,'Jan-2026 rates'!$L:$R,4,0),IF($LB69=65%,VLOOKUP($AW69,'Jan-2026 rates'!$L:$R,4,0),IF($LB69=40%,VLOOKUP($AW69,'Jan-2026 rates'!$L:$R,5,0),IF($LB69=30%,VLOOKUP($AW69,'Jan-2026 rates'!$L:$R,6,0),IF($LB69=100%,VLOOKUP($AW69,'Jan-2026 rates'!$L:$R,7,0),IF($LB69=60%,VLOOKUP($AW69,'Jan-2026 rates'!$L:$S,8,0),IF($LB69=80%,VLOOKUP($AW69,'Jan-2026 rates'!L:T,9,0),0))))))))</f>
        <v>0</v>
      </c>
      <c r="BC69" s="413">
        <v>25864000013</v>
      </c>
      <c r="BD69" s="412">
        <v>26504000001</v>
      </c>
      <c r="BE69" s="412"/>
      <c r="BF69" s="413"/>
      <c r="BG69" s="412"/>
      <c r="BH69" s="412"/>
      <c r="BI69" s="412"/>
      <c r="BJ69" s="412"/>
      <c r="BK69" s="409">
        <v>3</v>
      </c>
      <c r="BL69" s="398" t="e">
        <f>IF(BK69=0,0,IF(LEN(BC69)=11,_xlfn.XLOOKUP(BC69,'Dispensed Ink Rates'!C:C,'Dispensed Ink Rates'!CS:CS),VLOOKUP(BC69,'Jan-2026 rates'!$E:$F,2,0)))</f>
        <v>#N/A</v>
      </c>
      <c r="BM69" s="409">
        <v>4</v>
      </c>
      <c r="BN69" s="398" t="e">
        <f>IF(BM69=0,0,IF(LEN(BD69)=11,_xlfn.XLOOKUP(BD69,'Dispensed Ink Rates'!C:C,'Dispensed Ink Rates'!CS:CS),VLOOKUP(BD69,'Jan-2026 rates'!$E:$F,2,0)))</f>
        <v>#N/A</v>
      </c>
      <c r="BO69" s="409"/>
      <c r="BP69" s="398">
        <f>IF(BO69=0,0,IF(LEN(BE69)=11,_xlfn.XLOOKUP(BE69,'Dispensed Ink Rates'!C:C,'Dispensed Ink Rates'!CS:CS),VLOOKUP(BE69,'Jan-2026 rates'!$E:$F,2,0)))</f>
        <v>0</v>
      </c>
      <c r="BQ69" s="409"/>
      <c r="BR69" s="398">
        <f>IF(BQ69=0,0,IF(LEN(BF69)=11,_xlfn.XLOOKUP(BF69,'Dispensed Ink Rates'!C:C,'Dispensed Ink Rates'!CS:CS),VLOOKUP(BF69,'Jan-2026 rates'!$E:$F,2,0)))</f>
        <v>0</v>
      </c>
      <c r="BS69" s="409"/>
      <c r="BT69" s="398">
        <f>IF(BS69=0,0,IF(LEN(BG69)=11,_xlfn.XLOOKUP(BG69,'Dispensed Ink Rates'!C:C,'Dispensed Ink Rates'!CS:CS),VLOOKUP(BG69,'Jan-2026 rates'!$E:$F,2,0)))</f>
        <v>0</v>
      </c>
      <c r="BU69" s="409"/>
      <c r="BV69" s="398">
        <f>IF(BU69=0,0,IF(LEN(BH69)=11,_xlfn.XLOOKUP(BH69,'Dispensed Ink Rates'!C:C,'Dispensed Ink Rates'!CS:CS),VLOOKUP(BH69,'Jan-2026 rates'!$E:$F,2,0)))</f>
        <v>0</v>
      </c>
      <c r="BW69" s="409"/>
      <c r="BX69" s="398">
        <f>IF(BW69=0,0,IF(LEN(BI69)=11,_xlfn.XLOOKUP(BI69,'Dispensed Ink Rates'!C:C,'Dispensed Ink Rates'!CS:CS),VLOOKUP(BI69,'Jan-2026 rates'!$E:$F,2,0)))</f>
        <v>0</v>
      </c>
      <c r="BY69" s="409"/>
      <c r="BZ69" s="398">
        <f>IF(BY69=0,0,IF(LEN(BJ69)=11,_xlfn.XLOOKUP(BJ69,'Dispensed Ink Rates'!C:C,'Dispensed Ink Rates'!CS:CS),VLOOKUP(BJ69,'Jan-2026 rates'!$E:$F,2,0)))</f>
        <v>0</v>
      </c>
      <c r="CA69" s="409" t="s">
        <v>1443</v>
      </c>
      <c r="CB69" s="409">
        <v>26</v>
      </c>
      <c r="CC69" s="411">
        <f t="shared" si="5"/>
        <v>0</v>
      </c>
      <c r="CD69" s="411">
        <f t="shared" si="6"/>
        <v>16.696969696969695</v>
      </c>
      <c r="CE69" s="410">
        <f t="shared" si="7"/>
        <v>0</v>
      </c>
      <c r="CF69" s="404" t="s">
        <v>828</v>
      </c>
      <c r="CG69" s="409" t="s">
        <v>2960</v>
      </c>
      <c r="CH69" s="420" t="str">
        <f t="shared" si="8"/>
        <v>FLINTSL - ORANGE</v>
      </c>
      <c r="CI69" s="409">
        <v>23</v>
      </c>
      <c r="CJ69" s="411">
        <f>IF(CI69=0,0,IF($LB69=70%,VLOOKUP($CH69,'Jan-2026 rates'!$L:$R,4,0),IF($LB69=65%,VLOOKUP($CH69,'Jan-2026 rates'!$L:$R,4,0),IF($LB69=40%,VLOOKUP($CH69,'Jan-2026 rates'!$L:$R,5,0),IF($LB69=30%,VLOOKUP($CH69,'Jan-2026 rates'!$L:$R,6,0),IF($LB69=100%,VLOOKUP($CH69,'Jan-2026 rates'!$L:$R,7,0),IF($LB69=60%,VLOOKUP($CH69,'Jan-2026 rates'!$L:$S,8,0),IF($LB69=80%,VLOOKUP($CH69,'Jan-2026 rates'!L:T,9,0),0))))))))</f>
        <v>0</v>
      </c>
      <c r="CK69" s="412"/>
      <c r="CL69" s="409"/>
      <c r="CM69" s="411">
        <f>IF(CL69=0,0,IF($LB69=70%,VLOOKUP($CH69,'Jan-2026 rates'!$L:$R,4,0),IF($LB69=65%,VLOOKUP($CH69,'Jan-2026 rates'!$L:$R,4,0),IF($LB69=40%,VLOOKUP($CH69,'Jan-2026 rates'!$L:$R,5,0),IF($LB69=30%,VLOOKUP($CH69,'Jan-2026 rates'!$L:$R,6,0),IF($LB69=100%,VLOOKUP($CH69,'Jan-2026 rates'!$L:$R,7,0),IF($LB69=60%,VLOOKUP($CH69,'Jan-2026 rates'!$L:$S,8,0),IF($LB69=80%,VLOOKUP($CH69,'Jan-2026 rates'!L:T,9,0),0))))))))</f>
        <v>0</v>
      </c>
      <c r="CN69" s="426">
        <v>26505000004</v>
      </c>
      <c r="CO69" s="427"/>
      <c r="CP69" s="426"/>
      <c r="CQ69" s="426"/>
      <c r="CR69" s="428"/>
      <c r="CS69" s="428"/>
      <c r="CT69" s="428"/>
      <c r="CU69" s="428"/>
      <c r="CV69" s="409">
        <v>3</v>
      </c>
      <c r="CW69" s="398" t="e">
        <f>IF(CV69=0,0,IF(LEN(CN69)=11,_xlfn.XLOOKUP(CN69,'Dispensed Ink Rates'!C:C,'Dispensed Ink Rates'!CS:CS),VLOOKUP(CN69,'Jan-2026 rates'!$E:$F,2,0)))</f>
        <v>#N/A</v>
      </c>
      <c r="CX69" s="409"/>
      <c r="CY69" s="398">
        <f>IF(CX69=0,0,IF(LEN(CO69)=11,_xlfn.XLOOKUP(CO69,'Dispensed Ink Rates'!C:C,'Dispensed Ink Rates'!CS:CS),VLOOKUP(CO69,'Jan-2026 rates'!$E:$F,2,0)))</f>
        <v>0</v>
      </c>
      <c r="CZ69" s="409"/>
      <c r="DA69" s="398">
        <f>IF(CZ69=0,0,IF(LEN(CP69)=11,_xlfn.XLOOKUP(CP69,'Dispensed Ink Rates'!C:C,'Dispensed Ink Rates'!CS:CS),VLOOKUP(CP69,'Jan-2026 rates'!$E:$F,2,0)))</f>
        <v>0</v>
      </c>
      <c r="DB69" s="409"/>
      <c r="DC69" s="398">
        <f>IF(DB69=0,0,IF(LEN(CQ69)=11,_xlfn.XLOOKUP(CQ69,'Dispensed Ink Rates'!C:C,'Dispensed Ink Rates'!CS:CS),VLOOKUP(CQ69,'Jan-2026 rates'!$E:$F,2,0)))</f>
        <v>0</v>
      </c>
      <c r="DD69" s="409"/>
      <c r="DE69" s="398">
        <f>IF(DD69=0,0,IF(LEN(CR69)=11,_xlfn.XLOOKUP(CR69,'Dispensed Ink Rates'!C:C,'Dispensed Ink Rates'!CS:CS),VLOOKUP(CR69,'Jan-2026 rates'!$E:$F,2,0)))</f>
        <v>0</v>
      </c>
      <c r="DF69" s="409"/>
      <c r="DG69" s="398">
        <f>IF(DF69=0,0,IF(LEN(CS69)=11,_xlfn.XLOOKUP(CS69,'Dispensed Ink Rates'!C:C,'Dispensed Ink Rates'!CS:CS),VLOOKUP(CS69,'Jan-2026 rates'!$E:$F,2,0)))</f>
        <v>0</v>
      </c>
      <c r="DH69" s="409"/>
      <c r="DI69" s="398">
        <f>IF(DH69=0,0,IF(LEN(CT69)=11,_xlfn.XLOOKUP(CT69,'Dispensed Ink Rates'!C:C,'Dispensed Ink Rates'!CS:CS),VLOOKUP(CT69,'Jan-2026 rates'!$E:$F,2,0)))</f>
        <v>0</v>
      </c>
      <c r="DJ69" s="409"/>
      <c r="DK69" s="398">
        <f>IF(DJ69=0,0,IF(LEN(CU69)=11,_xlfn.XLOOKUP(CU69,'Dispensed Ink Rates'!C:C,'Dispensed Ink Rates'!CS:CS),VLOOKUP(CU69,'Jan-2026 rates'!$E:$F,2,0)))</f>
        <v>0</v>
      </c>
      <c r="DL69" s="409" t="s">
        <v>1443</v>
      </c>
      <c r="DM69" s="409">
        <v>24</v>
      </c>
      <c r="DN69" s="411">
        <f t="shared" si="9"/>
        <v>0</v>
      </c>
      <c r="DO69" s="411">
        <f t="shared" si="10"/>
        <v>13.696969696969695</v>
      </c>
      <c r="DP69" s="410">
        <f t="shared" si="11"/>
        <v>0</v>
      </c>
      <c r="DQ69" s="405" t="s">
        <v>828</v>
      </c>
      <c r="DR69" s="409"/>
      <c r="DS69" s="420" t="str">
        <f t="shared" si="12"/>
        <v>FLINTSL - ORANGE</v>
      </c>
      <c r="DT69" s="409"/>
      <c r="DU69" s="411">
        <f>IF(DT69=0,0,IF($LB69=70%,VLOOKUP($DS69,'Jan-2026 rates'!$L:$R,4,0),IF($LB69=65%,VLOOKUP($DS69,'Jan-2026 rates'!$L:$R,4,0),IF($LB69=40%,VLOOKUP($DS69,'Jan-2026 rates'!$L:$R,5,0),IF($LB69=30%,VLOOKUP($DS69,'Jan-2026 rates'!$L:$R,6,0),IF($LB69=100%,VLOOKUP($DS69,'Jan-2026 rates'!$L:$R,7,0),IF($LB69=60%,VLOOKUP($DS69,'Jan-2026 rates'!$L:$S,8,0),IF($LB69=80%,VLOOKUP($DS69,'Jan-2026 rates'!L:T,9,0),0))))))))</f>
        <v>0</v>
      </c>
      <c r="DV69" s="412"/>
      <c r="DW69" s="409"/>
      <c r="DX69" s="411">
        <f>IF(DW69=0,0,IF($LB69=70%,VLOOKUP($DS69,'Jan-2026 rates'!$L:$R,4,0),IF($LB69=65%,VLOOKUP($DS69,'Jan-2026 rates'!$L:$R,4,0),IF($LB69=40%,VLOOKUP($DS69,'Jan-2026 rates'!$L:$R,5,0),IF($LB69=30%,VLOOKUP($DS69,'Jan-2026 rates'!$L:$R,6,0),IF($LB69=100%,VLOOKUP($DS69,'Jan-2026 rates'!$L:$R,7,0),IF($LB69=60%,VLOOKUP($DS69,'Jan-2026 rates'!$L:$S,8,0),IF($LB69=80%,VLOOKUP($DS69,'Jan-2026 rates'!L:T,9,0),0))))))))</f>
        <v>0</v>
      </c>
      <c r="DY69" s="413">
        <v>26505000010</v>
      </c>
      <c r="DZ69" s="413">
        <v>26505000012</v>
      </c>
      <c r="EA69" s="412">
        <v>26505000015</v>
      </c>
      <c r="EB69" s="412">
        <v>25862000014</v>
      </c>
      <c r="EC69" s="412"/>
      <c r="ED69" s="412"/>
      <c r="EE69" s="412"/>
      <c r="EF69" s="412"/>
      <c r="EG69" s="409">
        <v>40</v>
      </c>
      <c r="EH69" s="398" t="e">
        <f>IF(EG69=0,0,IF(LEN(DY69)=11,_xlfn.XLOOKUP(DY69,'Dispensed Ink Rates'!C:C,'Dispensed Ink Rates'!CS:CS),VLOOKUP(DY69,'Jan-2026 rates'!$E:$F,2,0)))</f>
        <v>#N/A</v>
      </c>
      <c r="EI69" s="409">
        <v>20</v>
      </c>
      <c r="EJ69" s="398" t="e">
        <f>IF(EI69=0,0,IF(LEN(DZ69)=11,_xlfn.XLOOKUP(DZ69,'Dispensed Ink Rates'!C:C,'Dispensed Ink Rates'!CS:CS),VLOOKUP(DZ69,'Jan-2026 rates'!$E:$F,2,0)))</f>
        <v>#N/A</v>
      </c>
      <c r="EK69" s="409">
        <v>30</v>
      </c>
      <c r="EL69" s="398" t="e">
        <f>IF(EK69=0,0,IF(LEN(EA69)=11,_xlfn.XLOOKUP(EA69,'Dispensed Ink Rates'!C:C,'Dispensed Ink Rates'!CS:CS),VLOOKUP(EA69,'Jan-2026 rates'!$E:$F,2,0)))</f>
        <v>#N/A</v>
      </c>
      <c r="EM69" s="409">
        <v>3</v>
      </c>
      <c r="EN69" s="398" t="e">
        <f>IF(EM69=0,0,IF(LEN(EB69)=11,_xlfn.XLOOKUP(EB69,'Dispensed Ink Rates'!C:C,'Dispensed Ink Rates'!CS:CS),VLOOKUP(EB69,'Jan-2026 rates'!$E:$F,2,0)))</f>
        <v>#N/A</v>
      </c>
      <c r="EO69" s="409"/>
      <c r="EP69" s="398">
        <f>IF(EO69=0,0,IF(LEN(EC69)=11,_xlfn.XLOOKUP(EC69,'Dispensed Ink Rates'!C:C,'Dispensed Ink Rates'!CS:CS),VLOOKUP(EC69,'Jan-2026 rates'!$E:$F,2,0)))</f>
        <v>0</v>
      </c>
      <c r="EQ69" s="409"/>
      <c r="ER69" s="398">
        <f>IF(EQ69=0,0,IF(LEN(ED69)=11,_xlfn.XLOOKUP(ED69,'Dispensed Ink Rates'!C:C,'Dispensed Ink Rates'!CS:CS),VLOOKUP(ED69,'Jan-2026 rates'!$E:$F,2,0)))</f>
        <v>0</v>
      </c>
      <c r="ES69" s="409"/>
      <c r="ET69" s="398">
        <f>IF(ES69=0,0,IF(LEN(EE69)=11,_xlfn.XLOOKUP(EE69,'Dispensed Ink Rates'!C:C,'Dispensed Ink Rates'!CS:CS),VLOOKUP(EE69,'Jan-2026 rates'!$E:$F,2,0)))</f>
        <v>0</v>
      </c>
      <c r="EU69" s="409"/>
      <c r="EV69" s="398">
        <f>IF(EU69=0,0,IF(LEN(EF69)=11,_xlfn.XLOOKUP(EF69,'Dispensed Ink Rates'!C:C,'Dispensed Ink Rates'!CS:CS),VLOOKUP(EF69,'Jan-2026 rates'!$E:$F,2,0)))</f>
        <v>0</v>
      </c>
      <c r="EW69" s="409" t="s">
        <v>1443</v>
      </c>
      <c r="EX69" s="409">
        <v>13</v>
      </c>
      <c r="EY69" s="411">
        <f t="shared" si="13"/>
        <v>0</v>
      </c>
      <c r="EZ69" s="411">
        <f t="shared" si="14"/>
        <v>100.46969696969697</v>
      </c>
      <c r="FA69" s="410">
        <f t="shared" si="15"/>
        <v>0</v>
      </c>
      <c r="FB69" s="405" t="s">
        <v>855</v>
      </c>
      <c r="FC69" s="409" t="s">
        <v>2961</v>
      </c>
      <c r="FD69" s="420" t="str">
        <f t="shared" si="16"/>
        <v>FLINTSL - CYAN</v>
      </c>
      <c r="FE69" s="409">
        <v>24</v>
      </c>
      <c r="FF69" s="411">
        <f>IF(FE69=0,0,IF($LB69=70%,VLOOKUP($FD69,'Jan-2026 rates'!$L:$R,4,0),IF($LB69=65%,VLOOKUP($FD69,'Jan-2026 rates'!$L:$R,4,0),IF($LB69=40%,VLOOKUP($FD69,'Jan-2026 rates'!$L:$R,5,0),IF($LB69=30%,VLOOKUP($FD69,'Jan-2026 rates'!$L:$R,6,0),IF($LB69=100%,VLOOKUP($FD69,'Jan-2026 rates'!$L:$R,7,0),IF($LB69=60%,VLOOKUP($FD69,'Jan-2026 rates'!$L:$S,8,0),IF($LB69=80%,VLOOKUP($FD69,'Jan-2026 rates'!L:T,9,0),0))))))))</f>
        <v>0</v>
      </c>
      <c r="FG69" s="412"/>
      <c r="FH69" s="409"/>
      <c r="FI69" s="411">
        <f>IF(FH69=0,0,IF($LB69=70%,VLOOKUP($FD69,'Jan-2026 rates'!$L:$R,4,0),IF($LB69=65%,VLOOKUP($FD69,'Jan-2026 rates'!$L:$R,4,0),IF($LB69=40%,VLOOKUP($FD69,'Jan-2026 rates'!$L:$R,5,0),IF($LB69=30%,VLOOKUP($FD69,'Jan-2026 rates'!$L:$R,6,0),IF($LB69=100%,VLOOKUP($FD69,'Jan-2026 rates'!$L:$R,7,0),IF($LB69=60%,VLOOKUP($FD69,'Jan-2026 rates'!$L:$S,8,0),IF($LB69=80%,VLOOKUP($FD69,'Jan-2026 rates'!L:T,9,0),0))))))))</f>
        <v>0</v>
      </c>
      <c r="FJ69" s="413">
        <v>26504000001</v>
      </c>
      <c r="FK69" s="413" t="s">
        <v>1266</v>
      </c>
      <c r="FL69" s="413"/>
      <c r="FM69" s="412"/>
      <c r="FN69" s="412"/>
      <c r="FO69" s="412"/>
      <c r="FP69" s="412"/>
      <c r="FQ69" s="412"/>
      <c r="FR69" s="409">
        <v>2</v>
      </c>
      <c r="FS69" s="398" t="e">
        <f>IF(FR69=0,0,IF(LEN(FJ69)=11,_xlfn.XLOOKUP(FJ69,'Dispensed Ink Rates'!C:C,'Dispensed Ink Rates'!CS:CS),VLOOKUP(FJ69,'Jan-2026 rates'!$E:$F,2,0)))</f>
        <v>#N/A</v>
      </c>
      <c r="FT69" s="409">
        <v>5</v>
      </c>
      <c r="FU69" s="398">
        <f>IF(FT69=0,0,IF(LEN(FK69)=11,_xlfn.XLOOKUP(FK69,'Dispensed Ink Rates'!C:C,'Dispensed Ink Rates'!CS:CS),VLOOKUP(FK69,'Jan-2026 rates'!$E:$F,2,0)))</f>
        <v>0</v>
      </c>
      <c r="FV69" s="409"/>
      <c r="FW69" s="398">
        <f>IF(FV69=0,0,IF(LEN(FL69)=11,_xlfn.XLOOKUP(FL69,'Dispensed Ink Rates'!C:C,'Dispensed Ink Rates'!CS:CS),VLOOKUP(FL69,'Jan-2026 rates'!$E:$F,2,0)))</f>
        <v>0</v>
      </c>
      <c r="FX69" s="409"/>
      <c r="FY69" s="398">
        <f>IF(FX69=0,0,IF(LEN(FM69)=11,_xlfn.XLOOKUP(FM69,'Dispensed Ink Rates'!C:C,'Dispensed Ink Rates'!CS:CS),VLOOKUP(FM69,'Jan-2026 rates'!$E:$F,2,0)))</f>
        <v>0</v>
      </c>
      <c r="FZ69" s="409"/>
      <c r="GA69" s="398">
        <f>IF(FZ69=0,0,IF(LEN(FN69)=11,_xlfn.XLOOKUP(FN69,'Dispensed Ink Rates'!C:C,'Dispensed Ink Rates'!CS:CS),VLOOKUP(FN69,'Jan-2026 rates'!$E:$F,2,0)))</f>
        <v>0</v>
      </c>
      <c r="GB69" s="409"/>
      <c r="GC69" s="398">
        <f>IF(GB69=0,0,IF(LEN(FO69)=11,_xlfn.XLOOKUP(FO69,'Dispensed Ink Rates'!C:C,'Dispensed Ink Rates'!CS:CS),VLOOKUP(FO69,'Jan-2026 rates'!$E:$F,2,0)))</f>
        <v>0</v>
      </c>
      <c r="GD69" s="409"/>
      <c r="GE69" s="398">
        <f>IF(GD69=0,0,IF(LEN(FP69)=11,_xlfn.XLOOKUP(FP69,'Dispensed Ink Rates'!C:C,'Dispensed Ink Rates'!CS:CS),VLOOKUP(FP69,'Jan-2026 rates'!$E:$F,2,0)))</f>
        <v>0</v>
      </c>
      <c r="GF69" s="409"/>
      <c r="GG69" s="398">
        <f>IF(GF69=0,0,IF(LEN(FQ69)=11,_xlfn.XLOOKUP(FQ69,'Dispensed Ink Rates'!C:C,'Dispensed Ink Rates'!CS:CS),VLOOKUP(FQ69,'Jan-2026 rates'!$E:$F,2,0)))</f>
        <v>0</v>
      </c>
      <c r="GH69" s="409" t="s">
        <v>1443</v>
      </c>
      <c r="GI69" s="409">
        <v>23</v>
      </c>
      <c r="GJ69" s="411">
        <f t="shared" si="17"/>
        <v>0</v>
      </c>
      <c r="GK69" s="411">
        <f t="shared" si="18"/>
        <v>13.848484848484851</v>
      </c>
      <c r="GL69" s="410">
        <f t="shared" si="19"/>
        <v>0</v>
      </c>
      <c r="GM69" s="405" t="s">
        <v>544</v>
      </c>
      <c r="GN69" s="409" t="s">
        <v>2962</v>
      </c>
      <c r="GO69" s="420" t="str">
        <f t="shared" si="20"/>
        <v>FLINTSL - MAGENTA</v>
      </c>
      <c r="GP69" s="409">
        <v>25</v>
      </c>
      <c r="GQ69" s="411">
        <f>IF(GP69=0,0,IF($LB69=70%,VLOOKUP($GO69,'Jan-2026 rates'!$L:$R,4,0),IF($LB69=65%,VLOOKUP($GO69,'Jan-2026 rates'!$L:$R,4,0),IF($LB69=40%,VLOOKUP($GO69,'Jan-2026 rates'!$L:$R,5,0),IF($LB69=30%,VLOOKUP($GO69,'Jan-2026 rates'!$L:$R,6,0),IF($LB69=100%,VLOOKUP($GO69,'Jan-2026 rates'!$L:$R,7,0),IF($LB69=60%,VLOOKUP($GO69,'Jan-2026 rates'!$L:$S,8,0),IF($LB69=80%,VLOOKUP($GO69,'Jan-2026 rates'!L:T,9,0),0))))))))</f>
        <v>0</v>
      </c>
      <c r="GR69" s="412"/>
      <c r="GS69" s="409"/>
      <c r="GT69" s="411">
        <f>IF(GS69=0,0,IF($LB69=70%,VLOOKUP($GO69,'Jan-2026 rates'!$L:$R,4,0),IF($LB69=65%,VLOOKUP($GO69,'Jan-2026 rates'!$L:$R,4,0),IF($LB69=40%,VLOOKUP($GO69,'Jan-2026 rates'!$L:$R,5,0),IF($LB69=30%,VLOOKUP($GO69,'Jan-2026 rates'!$L:$R,6,0),IF($LB69=100%,VLOOKUP($GO69,'Jan-2026 rates'!$L:$R,7,0),IF($LB69=60%,VLOOKUP($GO69,'Jan-2026 rates'!$L:$S,8,0),IF($LB69=80%,VLOOKUP($GO69,'Jan-2026 rates'!L:T,9,0),0))))))))</f>
        <v>0</v>
      </c>
      <c r="GU69" s="413">
        <v>26505000005</v>
      </c>
      <c r="GV69" s="413"/>
      <c r="GW69" s="412"/>
      <c r="GX69" s="412"/>
      <c r="GY69" s="412"/>
      <c r="GZ69" s="412"/>
      <c r="HA69" s="412"/>
      <c r="HB69" s="412"/>
      <c r="HC69" s="409">
        <v>4</v>
      </c>
      <c r="HD69" s="398" t="e">
        <f>IF(HC69=0,0,IF(LEN(GU69)=11,_xlfn.XLOOKUP(GU69,'Dispensed Ink Rates'!C:C,'Dispensed Ink Rates'!CS:CS),VLOOKUP(GU69,'Jan-2026 rates'!$E:$F,2,0)))</f>
        <v>#N/A</v>
      </c>
      <c r="HE69" s="409"/>
      <c r="HF69" s="398">
        <f>IF(HE69=0,0,IF(LEN(GV69)=11,_xlfn.XLOOKUP(GV69,'Dispensed Ink Rates'!C:C,'Dispensed Ink Rates'!CS:CS),VLOOKUP(GV69,'Jan-2026 rates'!$E:$F,2,0)))</f>
        <v>0</v>
      </c>
      <c r="HG69" s="409"/>
      <c r="HH69" s="398">
        <f>IF(HG69=0,0,IF(LEN(GW69)=11,_xlfn.XLOOKUP(GW69,'Dispensed Ink Rates'!C:C,'Dispensed Ink Rates'!CS:CS),VLOOKUP(GW69,'Jan-2026 rates'!$E:$F,2,0)))</f>
        <v>0</v>
      </c>
      <c r="HI69" s="409"/>
      <c r="HJ69" s="398">
        <f>IF(HI69=0,0,IF(LEN(GX69)=11,_xlfn.XLOOKUP(GX69,'Dispensed Ink Rates'!C:C,'Dispensed Ink Rates'!CS:CS),VLOOKUP(GX69,'Jan-2026 rates'!$E:$F,2,0)))</f>
        <v>0</v>
      </c>
      <c r="HK69" s="409"/>
      <c r="HL69" s="398">
        <f>IF(HK69=0,0,IF(LEN(GY69)=11,_xlfn.XLOOKUP(GY69,'Dispensed Ink Rates'!C:C,'Dispensed Ink Rates'!CS:CS),VLOOKUP(GY69,'Jan-2026 rates'!$E:$F,2,0)))</f>
        <v>0</v>
      </c>
      <c r="HM69" s="409"/>
      <c r="HN69" s="398">
        <f>IF(HM69=0,0,IF(LEN(GZ69)=11,_xlfn.XLOOKUP(GZ69,'Dispensed Ink Rates'!C:C,'Dispensed Ink Rates'!CS:CS),VLOOKUP(GZ69,'Jan-2026 rates'!$E:$F,2,0)))</f>
        <v>0</v>
      </c>
      <c r="HO69" s="409"/>
      <c r="HP69" s="398">
        <f>IF(HO69=0,0,IF(LEN(HA69)=11,_xlfn.XLOOKUP(HA69,'Dispensed Ink Rates'!C:C,'Dispensed Ink Rates'!CS:CS),VLOOKUP(HA69,'Jan-2026 rates'!$E:$F,2,0)))</f>
        <v>0</v>
      </c>
      <c r="HQ69" s="409"/>
      <c r="HR69" s="398">
        <f>IF(HQ69=0,0,IF(LEN(HB69)=11,_xlfn.XLOOKUP(HB69,'Dispensed Ink Rates'!C:C,'Dispensed Ink Rates'!CS:CS),VLOOKUP(HB69,'Jan-2026 rates'!$E:$F,2,0)))</f>
        <v>0</v>
      </c>
      <c r="HS69" s="409" t="s">
        <v>1443</v>
      </c>
      <c r="HT69" s="409">
        <v>25</v>
      </c>
      <c r="HU69" s="411">
        <f t="shared" si="21"/>
        <v>0</v>
      </c>
      <c r="HV69" s="411">
        <f t="shared" si="22"/>
        <v>18.621212121212125</v>
      </c>
      <c r="HW69" s="414">
        <f t="shared" si="23"/>
        <v>0</v>
      </c>
      <c r="HX69" s="405" t="s">
        <v>545</v>
      </c>
      <c r="HY69" s="409" t="s">
        <v>2963</v>
      </c>
      <c r="HZ69" s="420" t="str">
        <f t="shared" si="24"/>
        <v>FLINTSL - YELLOW</v>
      </c>
      <c r="IA69" s="409">
        <v>20</v>
      </c>
      <c r="IB69" s="411">
        <f>IF(IA69=0,0,IF($LB69=70%,VLOOKUP($HZ69,'Jan-2026 rates'!$L:$R,4,0),IF($LB69=65%,VLOOKUP($HZ69,'Jan-2026 rates'!$L:$R,4,0),IF($LB69=40%,VLOOKUP($HZ69,'Jan-2026 rates'!$L:$R,5,0),IF($LB69=30%,VLOOKUP($HZ69,'Jan-2026 rates'!$L:$R,6,0),IF($LB69=100%,VLOOKUP($HZ69,'Jan-2026 rates'!$L:$R,7,0),IF($LB69=60%,VLOOKUP($HZ69,'Jan-2026 rates'!$L:$S,8,0),IF($LB69=80%,VLOOKUP($HZ69,'Jan-2026 rates'!L:T,9,0),0))))))))</f>
        <v>0</v>
      </c>
      <c r="IC69" s="412"/>
      <c r="ID69" s="409"/>
      <c r="IE69" s="411">
        <f>IF(ID69=0,0,IF($LB69=70%,VLOOKUP($HZ69,'Jan-2026 rates'!$L:$R,4,0),IF($LB69=65%,VLOOKUP($HZ69,'Jan-2026 rates'!$L:$R,4,0),IF($LB69=40%,VLOOKUP($HZ69,'Jan-2026 rates'!$L:$R,5,0),IF($LB69=30%,VLOOKUP($HZ69,'Jan-2026 rates'!$L:$R,6,0),IF($LB69=100%,VLOOKUP($HZ69,'Jan-2026 rates'!$L:$R,7,0),IF($LB69=60%,VLOOKUP($HZ69,'Jan-2026 rates'!$L:$S,8,0),IF($LB69=80%,VLOOKUP($HZ69,'Jan-2026 rates'!L:T,9,0),0))))))))</f>
        <v>0</v>
      </c>
      <c r="IF69" s="412">
        <v>26505000004</v>
      </c>
      <c r="IG69" s="413"/>
      <c r="IH69" s="412"/>
      <c r="II69" s="412"/>
      <c r="IJ69" s="412"/>
      <c r="IK69" s="412"/>
      <c r="IL69" s="412"/>
      <c r="IM69" s="412"/>
      <c r="IN69" s="409">
        <v>10</v>
      </c>
      <c r="IO69" s="398" t="e">
        <f>IF(IN69=0,0,IF(LEN(IF69)=11,_xlfn.XLOOKUP(IF69,'Dispensed Ink Rates'!C:C,'Dispensed Ink Rates'!CS:CS),VLOOKUP(IF69,'Jan-2026 rates'!$E:$F,2,0)))</f>
        <v>#N/A</v>
      </c>
      <c r="IP69" s="409"/>
      <c r="IQ69" s="398">
        <f>IF(IP69=0,0,IF(LEN(IG69)=11,_xlfn.XLOOKUP(IG69,'Dispensed Ink Rates'!C:C,'Dispensed Ink Rates'!CS:CS),VLOOKUP(IG69,'Jan-2026 rates'!$E:$F,2,0)))</f>
        <v>0</v>
      </c>
      <c r="IR69" s="409"/>
      <c r="IS69" s="398">
        <f>IF(IR69=0,0,IF(LEN(IH69)=11,_xlfn.XLOOKUP(IH69,'Dispensed Ink Rates'!C:C,'Dispensed Ink Rates'!CS:CS),VLOOKUP(IH69,'Jan-2026 rates'!$E:$F,2,0)))</f>
        <v>0</v>
      </c>
      <c r="IT69" s="409"/>
      <c r="IU69" s="398">
        <f>IF(IT69=0,0,IF(LEN(II69)=11,_xlfn.XLOOKUP(II69,'Dispensed Ink Rates'!C:C,'Dispensed Ink Rates'!CS:CS),VLOOKUP(II69,'Jan-2026 rates'!$E:$F,2,0)))</f>
        <v>0</v>
      </c>
      <c r="IV69" s="409"/>
      <c r="IW69" s="398">
        <f>IF(IV69=0,0,IF(LEN(IJ69)=11,_xlfn.XLOOKUP(IJ69,'Dispensed Ink Rates'!C:C,'Dispensed Ink Rates'!CS:CS),VLOOKUP(IJ69,'Jan-2026 rates'!$E:$F,2,0)))</f>
        <v>0</v>
      </c>
      <c r="IX69" s="409"/>
      <c r="IY69" s="398">
        <f>IF(IX69=0,0,IF(LEN(IK69)=11,_xlfn.XLOOKUP(IK69,'Dispensed Ink Rates'!C:C,'Dispensed Ink Rates'!CS:CS),VLOOKUP(IK69,'Jan-2026 rates'!$E:$F,2,0)))</f>
        <v>0</v>
      </c>
      <c r="IZ69" s="409"/>
      <c r="JA69" s="398">
        <f>IF(IZ69=0,0,IF(LEN(IL69)=11,_xlfn.XLOOKUP(IL69,'Dispensed Ink Rates'!C:C,'Dispensed Ink Rates'!CS:CS),VLOOKUP(IL69,'Jan-2026 rates'!$E:$F,2,0)))</f>
        <v>0</v>
      </c>
      <c r="JB69" s="409"/>
      <c r="JC69" s="398">
        <f>IF(JB69=0,0,IF(LEN(IM69)=11,_xlfn.XLOOKUP(IM69,'Dispensed Ink Rates'!C:C,'Dispensed Ink Rates'!CS:CS),VLOOKUP(IM69,'Jan-2026 rates'!$E:$F,2,0)))</f>
        <v>0</v>
      </c>
      <c r="JD69" s="409" t="s">
        <v>1443</v>
      </c>
      <c r="JE69" s="409">
        <v>25</v>
      </c>
      <c r="JF69" s="411">
        <f t="shared" si="25"/>
        <v>0</v>
      </c>
      <c r="JG69" s="411">
        <f t="shared" si="26"/>
        <v>34.242424242424242</v>
      </c>
      <c r="JH69" s="410">
        <f t="shared" si="27"/>
        <v>0</v>
      </c>
      <c r="JI69" s="405" t="s">
        <v>856</v>
      </c>
      <c r="JJ69" s="409" t="s">
        <v>2964</v>
      </c>
      <c r="JK69" s="420" t="str">
        <f t="shared" si="28"/>
        <v>FLINTSL - WHITE</v>
      </c>
      <c r="JL69" s="409">
        <v>27</v>
      </c>
      <c r="JM69" s="411">
        <f>IF(JL69=0,0,IF($LB69=70%,VLOOKUP($JK69,'Jan-2026 rates'!$L:$R,4,0),IF($LB69=65%,VLOOKUP($JK69,'Jan-2026 rates'!$L:$R,4,0),IF($LB69=40%,VLOOKUP($JK69,'Jan-2026 rates'!$L:$R,5,0),IF($LB69=30%,VLOOKUP($JK69,'Jan-2026 rates'!$L:$R,6,0),IF($LB69=100%,VLOOKUP($JK69,'Jan-2026 rates'!$L:$R,7,0),IF($LB69=60%,VLOOKUP($JK69,'Jan-2026 rates'!$L:$S,8,0),IF($LB69=80%,VLOOKUP($JK69,'Jan-2026 rates'!L:T,9,0),0))))))))</f>
        <v>0</v>
      </c>
      <c r="JN69" s="412"/>
      <c r="JO69" s="409"/>
      <c r="JP69" s="411">
        <f>IF(JO69=0,0,IF($LB69=70%,VLOOKUP($JK69,'Jan-2026 rates'!$L:$R,4,0),IF($LB69=65%,VLOOKUP($JK69,'Jan-2026 rates'!$L:$R,4,0),IF($LB69=40%,VLOOKUP($JK69,'Jan-2026 rates'!$L:$R,5,0),IF($LB69=30%,VLOOKUP($JK69,'Jan-2026 rates'!$L:$R,6,0),IF($LB69=100%,VLOOKUP($JK69,'Jan-2026 rates'!$L:$R,7,0),IF($LB69=60%,VLOOKUP($JK69,'Jan-2026 rates'!$L:$S,8,0),IF($LB69=80%,VLOOKUP($JK69,'Jan-2026 rates'!L:T,9,0),0))))))))</f>
        <v>0</v>
      </c>
      <c r="JQ69" s="413" t="s">
        <v>484</v>
      </c>
      <c r="JR69" s="412"/>
      <c r="JS69" s="413"/>
      <c r="JT69" s="413"/>
      <c r="JU69" s="412"/>
      <c r="JV69" s="412"/>
      <c r="JW69" s="412"/>
      <c r="JX69" s="412"/>
      <c r="JY69" s="409">
        <v>60</v>
      </c>
      <c r="JZ69" s="398">
        <f>IF(JY69=0,0,IF(LEN(JQ69)=11,_xlfn.XLOOKUP(JQ69,'Dispensed Ink Rates'!C:C,'Dispensed Ink Rates'!CS:CS),VLOOKUP(JQ69,'Jan-2026 rates'!$E:$F,2,0)))</f>
        <v>0</v>
      </c>
      <c r="KA69" s="409"/>
      <c r="KB69" s="398">
        <f>IF(KA69=0,0,IF(LEN(JR69)=11,_xlfn.XLOOKUP(JR69,'Dispensed Ink Rates'!C:C,'Dispensed Ink Rates'!CS:CS),VLOOKUP(JR69,'Jan-2026 rates'!$E:$F,2,0)))</f>
        <v>0</v>
      </c>
      <c r="KC69" s="409"/>
      <c r="KD69" s="398">
        <f>IF(KC69=0,0,IF(LEN(JS69)=11,_xlfn.XLOOKUP(JS69,'Dispensed Ink Rates'!C:C,'Dispensed Ink Rates'!CS:CS),VLOOKUP(JS69,'Jan-2026 rates'!$E:$F,2,0)))</f>
        <v>0</v>
      </c>
      <c r="KE69" s="409"/>
      <c r="KF69" s="398">
        <f>IF(KE69=0,0,IF(LEN(JT69)=11,_xlfn.XLOOKUP(JT69,'Dispensed Ink Rates'!C:C,'Dispensed Ink Rates'!CS:CS),VLOOKUP(JT69,'Jan-2026 rates'!$E:$F,2,0)))</f>
        <v>0</v>
      </c>
      <c r="KG69" s="409"/>
      <c r="KH69" s="398">
        <f>IF(KG69=0,0,IF(LEN(JU69)=11,_xlfn.XLOOKUP(JU69,'Dispensed Ink Rates'!C:C,'Dispensed Ink Rates'!CS:CS),VLOOKUP(JU69,'Jan-2026 rates'!$E:$F,2,0)))</f>
        <v>0</v>
      </c>
      <c r="KI69" s="409"/>
      <c r="KJ69" s="398">
        <f>IF(KI69=0,0,IF(LEN(JV69)=11,_xlfn.XLOOKUP(JV69,'Dispensed Ink Rates'!C:C,'Dispensed Ink Rates'!CS:CS),VLOOKUP(JV69,'Jan-2026 rates'!$E:$F,2,0)))</f>
        <v>0</v>
      </c>
      <c r="KK69" s="409"/>
      <c r="KL69" s="398">
        <f>IF(KK69=0,0,IF(LEN(JW69)=11,_xlfn.XLOOKUP(JW69,'Dispensed Ink Rates'!C:C,'Dispensed Ink Rates'!CS:CS),VLOOKUP(JW69,'Jan-2026 rates'!$E:$F,2,0)))</f>
        <v>0</v>
      </c>
      <c r="KM69" s="428"/>
      <c r="KN69" s="398">
        <f>IF(KM69=0,0,IF(LEN(JX69)=11,_xlfn.XLOOKUP(JX69,'Dispensed Ink Rates'!C:C,'Dispensed Ink Rates'!CS:CS),VLOOKUP(JX69,'Jan-2026 rates'!$E:$F,2,0)))</f>
        <v>0</v>
      </c>
      <c r="KO69" s="409" t="s">
        <v>1443</v>
      </c>
      <c r="KP69" s="409">
        <v>26</v>
      </c>
      <c r="KQ69" s="411">
        <f t="shared" si="29"/>
        <v>0</v>
      </c>
      <c r="KR69" s="411">
        <f t="shared" si="30"/>
        <v>148.72727272727272</v>
      </c>
      <c r="KS69" s="410">
        <f t="shared" si="31"/>
        <v>0</v>
      </c>
      <c r="KT69" s="409">
        <v>4</v>
      </c>
      <c r="KU69" s="409">
        <v>4</v>
      </c>
      <c r="KV69" s="409">
        <v>4</v>
      </c>
      <c r="KW69" s="409">
        <v>7</v>
      </c>
      <c r="KX69" s="409">
        <v>2</v>
      </c>
      <c r="KY69" s="409">
        <v>5</v>
      </c>
      <c r="KZ69" s="409">
        <v>10</v>
      </c>
      <c r="LA69" s="409">
        <v>30</v>
      </c>
      <c r="LB69" s="415">
        <v>0.8</v>
      </c>
      <c r="LC69" s="415">
        <v>0.2</v>
      </c>
      <c r="LD69" s="415"/>
      <c r="LE69" s="415"/>
      <c r="LF69" s="415"/>
      <c r="LG69" s="409">
        <v>0</v>
      </c>
      <c r="LH69" s="409">
        <f>30+30+96+24+5+5+3</f>
        <v>193</v>
      </c>
      <c r="LI69" s="409">
        <v>0</v>
      </c>
      <c r="LJ69" s="409">
        <v>0</v>
      </c>
      <c r="LK69" s="416">
        <f t="shared" si="32"/>
        <v>193</v>
      </c>
      <c r="LL69" s="416">
        <f t="shared" si="33"/>
        <v>193</v>
      </c>
      <c r="LM69" s="417">
        <f t="shared" si="34"/>
        <v>154.4</v>
      </c>
      <c r="LN69" s="417">
        <f>VLOOKUP($LM$8,'Jan-2026 rates'!$H:$I,2,0)</f>
        <v>0</v>
      </c>
      <c r="LO69" s="417">
        <f t="shared" si="35"/>
        <v>38.6</v>
      </c>
      <c r="LP69" s="417">
        <f>VLOOKUP($LO$8,'Jan-2026 rates'!$H:$I,2,0)</f>
        <v>0</v>
      </c>
      <c r="LQ69" s="417">
        <f t="shared" si="36"/>
        <v>0</v>
      </c>
      <c r="LR69" s="417">
        <f>VLOOKUP($LQ$8,'Jan-2026 rates'!$H:$I,2,0)</f>
        <v>0</v>
      </c>
      <c r="LS69" s="417">
        <f t="shared" si="37"/>
        <v>0</v>
      </c>
      <c r="LT69" s="417">
        <f>VLOOKUP($LS$8,'Jan-2026 rates'!$H:$I,2,0)</f>
        <v>0</v>
      </c>
      <c r="LU69" s="417">
        <f t="shared" si="38"/>
        <v>0</v>
      </c>
      <c r="LV69" s="417">
        <f>VLOOKUP($LU$8,'Jan-2026 rates'!$H:$I,2,0)</f>
        <v>0</v>
      </c>
      <c r="LW69" s="417">
        <f t="shared" si="39"/>
        <v>0</v>
      </c>
      <c r="LX69" s="417">
        <f t="shared" si="40"/>
        <v>0</v>
      </c>
      <c r="LY69" s="418">
        <f t="shared" si="41"/>
        <v>0</v>
      </c>
      <c r="LZ69" s="417"/>
      <c r="MA69" s="435">
        <f t="shared" si="42"/>
        <v>186</v>
      </c>
      <c r="MB69" s="282">
        <f t="shared" si="43"/>
        <v>360</v>
      </c>
      <c r="MC69" s="283">
        <v>24</v>
      </c>
      <c r="MD69" s="284" t="str">
        <f t="shared" si="44"/>
        <v>FLINTSLFLINTSLFLINTSLFLINTSLFLINTSLFLINTSLFLINTSLFLINTSL</v>
      </c>
      <c r="ME69" s="293" t="str">
        <f t="shared" si="45"/>
        <v>+</v>
      </c>
      <c r="MF69" s="293" t="str">
        <f t="shared" si="46"/>
        <v>+</v>
      </c>
      <c r="MG69" s="293" t="str">
        <f t="shared" si="47"/>
        <v>+</v>
      </c>
      <c r="MH69" s="293" t="str">
        <f t="shared" si="48"/>
        <v>+</v>
      </c>
      <c r="MI69" s="293" t="str">
        <f t="shared" si="49"/>
        <v>+</v>
      </c>
      <c r="MJ69" s="293" t="str">
        <f t="shared" si="50"/>
        <v>+</v>
      </c>
      <c r="MK69" s="293" t="str">
        <f t="shared" si="51"/>
        <v>+</v>
      </c>
      <c r="ML69" s="293" t="str">
        <f t="shared" si="52"/>
        <v>+</v>
      </c>
      <c r="MM69" s="3" t="b">
        <f t="array" ref="MM69">OR(ME69:ML69="-")</f>
        <v>0</v>
      </c>
      <c r="MN69" s="285"/>
      <c r="MO69" s="401"/>
      <c r="MP69" s="286"/>
      <c r="MQ69" s="286"/>
      <c r="MR69" s="402"/>
      <c r="MS69" s="400"/>
      <c r="NH69" s="422"/>
      <c r="NJ69" s="421"/>
    </row>
    <row r="70" spans="1:374" s="1" customFormat="1" ht="16.5">
      <c r="A70" s="403">
        <v>46027</v>
      </c>
      <c r="B70" s="404" t="s">
        <v>1015</v>
      </c>
      <c r="C70" s="405" t="s">
        <v>2965</v>
      </c>
      <c r="D70" s="406">
        <v>25</v>
      </c>
      <c r="E70" s="404">
        <v>472</v>
      </c>
      <c r="F70" s="407">
        <v>23900</v>
      </c>
      <c r="G70" s="407" t="s">
        <v>1016</v>
      </c>
      <c r="H70" s="408" t="s">
        <v>1017</v>
      </c>
      <c r="I70" s="409">
        <v>1.21</v>
      </c>
      <c r="J70" s="405" t="s">
        <v>543</v>
      </c>
      <c r="K70" s="404" t="s">
        <v>2966</v>
      </c>
      <c r="L70" s="419" t="str">
        <f t="shared" si="0"/>
        <v>FLINTSL - BLACK</v>
      </c>
      <c r="M70" s="404">
        <v>22</v>
      </c>
      <c r="N70" s="410">
        <f>IF(M70=0,0,IF($LB70=70%,VLOOKUP($L70,'Jan-2026 rates'!$L:$R,4,0),IF($LB70=65%,VLOOKUP($L70,'Jan-2026 rates'!$L:$R,4,0),IF($LB70=40%,VLOOKUP($L70,'Jan-2026 rates'!$L:$R,5,0),IF($LB70=30%,VLOOKUP($L70,'Jan-2026 rates'!$L:$R,6,0),IF($LB70=100%,VLOOKUP($L70,'Jan-2026 rates'!$L:$R,7,0),IF($LB70=60%,VLOOKUP($L70,'Jan-2026 rates'!$L:$S,8,0),IF($LB70=80%,VLOOKUP($L70,'Jan-2026 rates'!L:T,9,0),0))))))))</f>
        <v>0</v>
      </c>
      <c r="O70" s="406"/>
      <c r="P70" s="404"/>
      <c r="Q70" s="410">
        <f>IF(P70=0,0,IF($LB70=70%,VLOOKUP($L70,'Jan-2026 rates'!$L:$R,4,0),IF($LB70=65%,VLOOKUP($L70,'Jan-2026 rates'!$L:$R,4,0),IF($LB70=40%,VLOOKUP($L70,'Jan-2026 rates'!$L:$R,5,0),IF($LB70=30%,VLOOKUP($L70,'Jan-2026 rates'!$L:$R,6,0),IF($LB70=100%,VLOOKUP($L70,'Jan-2026 rates'!$L:$R,7,0),IF($LB70=60%,VLOOKUP($L70,'Jan-2026 rates'!$L:$S,8,0),IF($LB70=80%,VLOOKUP($L70,'Jan-2026 rates'!L:T,9,0),0))))))))</f>
        <v>0</v>
      </c>
      <c r="R70" s="406">
        <v>26506000005</v>
      </c>
      <c r="S70" s="406"/>
      <c r="T70" s="406"/>
      <c r="U70" s="406"/>
      <c r="V70" s="406"/>
      <c r="W70" s="406"/>
      <c r="X70" s="406"/>
      <c r="Y70" s="406"/>
      <c r="Z70" s="404">
        <v>2</v>
      </c>
      <c r="AA70" s="398" t="e">
        <f>IF(Z70=0,0,IF(LEN(R70)=11,_xlfn.XLOOKUP(R70,'Dispensed Ink Rates'!C:C,'Dispensed Ink Rates'!CS:CS),VLOOKUP(R70,'Jan-2026 rates'!$E:$F,2,0)))</f>
        <v>#N/A</v>
      </c>
      <c r="AB70" s="404"/>
      <c r="AC70" s="398">
        <f>IF(AB70=0,0,IF(LEN(S70)=11,_xlfn.XLOOKUP(S70,'Dispensed Ink Rates'!C:C,'Dispensed Ink Rates'!CS:CS),VLOOKUP(S70,'Jan-2026 rates'!$E:$F,2,0)))</f>
        <v>0</v>
      </c>
      <c r="AD70" s="404"/>
      <c r="AE70" s="398">
        <f>IF(AD70=0,0,IF(LEN(T70)=11,_xlfn.XLOOKUP(T70,'Dispensed Ink Rates'!C:C,'Dispensed Ink Rates'!CS:CS),VLOOKUP(T70,'Jan-2026 rates'!$E:$F,2,0)))</f>
        <v>0</v>
      </c>
      <c r="AF70" s="404"/>
      <c r="AG70" s="398">
        <f>IF(AF70=0,0,IF(LEN(U70)=11,_xlfn.XLOOKUP(U70,'Dispensed Ink Rates'!C:C,'Dispensed Ink Rates'!CS:CS),VLOOKUP(U70,'Jan-2026 rates'!$E:$F,2,0)))</f>
        <v>0</v>
      </c>
      <c r="AH70" s="404"/>
      <c r="AI70" s="398">
        <f>IF(AH70=0,0,IF(LEN(V70)=11,_xlfn.XLOOKUP(V70,'Dispensed Ink Rates'!C:C,'Dispensed Ink Rates'!CS:CS),VLOOKUP(V70,'Jan-2026 rates'!$E:$F,2,0)))</f>
        <v>0</v>
      </c>
      <c r="AJ70" s="404"/>
      <c r="AK70" s="398">
        <f>IF(AJ70=0,0,IF(LEN(W70)=11,_xlfn.XLOOKUP(W70,'Dispensed Ink Rates'!C:C,'Dispensed Ink Rates'!CS:CS),VLOOKUP(W70,'Jan-2026 rates'!$E:$F,2,0)))</f>
        <v>0</v>
      </c>
      <c r="AL70" s="404"/>
      <c r="AM70" s="398">
        <f>IF(AL70=0,0,IF(LEN(X70)=11,_xlfn.XLOOKUP(X70,'Dispensed Ink Rates'!C:C,'Dispensed Ink Rates'!CS:CS),VLOOKUP(X70,'Jan-2026 rates'!$E:$F,2,0)))</f>
        <v>0</v>
      </c>
      <c r="AN70" s="404"/>
      <c r="AO70" s="398">
        <f>IF(AN70=0,0,IF(LEN(Y70)=11,_xlfn.XLOOKUP(Y70,'Dispensed Ink Rates'!C:C,'Dispensed Ink Rates'!CS:CS),VLOOKUP(Y70,'Jan-2026 rates'!$E:$F,2,0)))</f>
        <v>0</v>
      </c>
      <c r="AP70" s="409" t="s">
        <v>1443</v>
      </c>
      <c r="AQ70" s="409">
        <v>29</v>
      </c>
      <c r="AR70" s="410">
        <f t="shared" si="1"/>
        <v>0</v>
      </c>
      <c r="AS70" s="411">
        <f t="shared" si="2"/>
        <v>2.3880597014925371</v>
      </c>
      <c r="AT70" s="410">
        <f t="shared" si="3"/>
        <v>0</v>
      </c>
      <c r="AU70" s="405" t="s">
        <v>857</v>
      </c>
      <c r="AV70" s="409" t="s">
        <v>2967</v>
      </c>
      <c r="AW70" s="420" t="str">
        <f t="shared" si="53"/>
        <v>FLINTSL - RED</v>
      </c>
      <c r="AX70" s="409">
        <v>24</v>
      </c>
      <c r="AY70" s="411">
        <f>IF(AX70=0,0,IF($LB70=70%,VLOOKUP($AW70,'Jan-2026 rates'!$L:$R,4,0),IF($LB70=65%,VLOOKUP($AW70,'Jan-2026 rates'!$L:$R,4,0),IF($LB70=40%,VLOOKUP($AW70,'Jan-2026 rates'!$L:$R,5,0),IF($LB70=30%,VLOOKUP($AW70,'Jan-2026 rates'!$L:$R,6,0),IF($LB70=100%,VLOOKUP($AW70,'Jan-2026 rates'!$L:$R,7,0),IF($LB70=60%,VLOOKUP($AW70,'Jan-2026 rates'!$L:$S,8,0),IF($LB70=80%,VLOOKUP($AW70,'Jan-2026 rates'!L:T,9,0),0))))))))</f>
        <v>0</v>
      </c>
      <c r="AZ70" s="412"/>
      <c r="BA70" s="409"/>
      <c r="BB70" s="411">
        <f>IF(BA70=0,0,IF($LB70=70%,VLOOKUP($AW70,'Jan-2026 rates'!$L:$R,4,0),IF($LB70=65%,VLOOKUP($AW70,'Jan-2026 rates'!$L:$R,4,0),IF($LB70=40%,VLOOKUP($AW70,'Jan-2026 rates'!$L:$R,5,0),IF($LB70=30%,VLOOKUP($AW70,'Jan-2026 rates'!$L:$R,6,0),IF($LB70=100%,VLOOKUP($AW70,'Jan-2026 rates'!$L:$R,7,0),IF($LB70=60%,VLOOKUP($AW70,'Jan-2026 rates'!$L:$S,8,0),IF($LB70=80%,VLOOKUP($AW70,'Jan-2026 rates'!L:T,9,0),0))))))))</f>
        <v>0</v>
      </c>
      <c r="BC70" s="413">
        <v>25862000014</v>
      </c>
      <c r="BD70" s="412"/>
      <c r="BE70" s="412"/>
      <c r="BF70" s="413"/>
      <c r="BG70" s="412"/>
      <c r="BH70" s="412"/>
      <c r="BI70" s="412"/>
      <c r="BJ70" s="412"/>
      <c r="BK70" s="409">
        <v>2</v>
      </c>
      <c r="BL70" s="398" t="e">
        <f>IF(BK70=0,0,IF(LEN(BC70)=11,_xlfn.XLOOKUP(BC70,'Dispensed Ink Rates'!C:C,'Dispensed Ink Rates'!CS:CS),VLOOKUP(BC70,'Jan-2026 rates'!$E:$F,2,0)))</f>
        <v>#N/A</v>
      </c>
      <c r="BM70" s="409"/>
      <c r="BN70" s="398">
        <f>IF(BM70=0,0,IF(LEN(BD70)=11,_xlfn.XLOOKUP(BD70,'Dispensed Ink Rates'!C:C,'Dispensed Ink Rates'!CS:CS),VLOOKUP(BD70,'Jan-2026 rates'!$E:$F,2,0)))</f>
        <v>0</v>
      </c>
      <c r="BO70" s="409"/>
      <c r="BP70" s="398">
        <f>IF(BO70=0,0,IF(LEN(BE70)=11,_xlfn.XLOOKUP(BE70,'Dispensed Ink Rates'!C:C,'Dispensed Ink Rates'!CS:CS),VLOOKUP(BE70,'Jan-2026 rates'!$E:$F,2,0)))</f>
        <v>0</v>
      </c>
      <c r="BQ70" s="409"/>
      <c r="BR70" s="398">
        <f>IF(BQ70=0,0,IF(LEN(BF70)=11,_xlfn.XLOOKUP(BF70,'Dispensed Ink Rates'!C:C,'Dispensed Ink Rates'!CS:CS),VLOOKUP(BF70,'Jan-2026 rates'!$E:$F,2,0)))</f>
        <v>0</v>
      </c>
      <c r="BS70" s="409"/>
      <c r="BT70" s="398">
        <f>IF(BS70=0,0,IF(LEN(BG70)=11,_xlfn.XLOOKUP(BG70,'Dispensed Ink Rates'!C:C,'Dispensed Ink Rates'!CS:CS),VLOOKUP(BG70,'Jan-2026 rates'!$E:$F,2,0)))</f>
        <v>0</v>
      </c>
      <c r="BU70" s="409"/>
      <c r="BV70" s="398">
        <f>IF(BU70=0,0,IF(LEN(BH70)=11,_xlfn.XLOOKUP(BH70,'Dispensed Ink Rates'!C:C,'Dispensed Ink Rates'!CS:CS),VLOOKUP(BH70,'Jan-2026 rates'!$E:$F,2,0)))</f>
        <v>0</v>
      </c>
      <c r="BW70" s="409"/>
      <c r="BX70" s="398">
        <f>IF(BW70=0,0,IF(LEN(BI70)=11,_xlfn.XLOOKUP(BI70,'Dispensed Ink Rates'!C:C,'Dispensed Ink Rates'!CS:CS),VLOOKUP(BI70,'Jan-2026 rates'!$E:$F,2,0)))</f>
        <v>0</v>
      </c>
      <c r="BY70" s="409"/>
      <c r="BZ70" s="398">
        <f>IF(BY70=0,0,IF(LEN(BJ70)=11,_xlfn.XLOOKUP(BJ70,'Dispensed Ink Rates'!C:C,'Dispensed Ink Rates'!CS:CS),VLOOKUP(BJ70,'Jan-2026 rates'!$E:$F,2,0)))</f>
        <v>0</v>
      </c>
      <c r="CA70" s="409" t="s">
        <v>1443</v>
      </c>
      <c r="CB70" s="409">
        <v>27</v>
      </c>
      <c r="CC70" s="411">
        <f t="shared" si="5"/>
        <v>0</v>
      </c>
      <c r="CD70" s="411">
        <f t="shared" si="6"/>
        <v>1.4626865671641802</v>
      </c>
      <c r="CE70" s="410">
        <f t="shared" si="7"/>
        <v>0</v>
      </c>
      <c r="CF70" s="404" t="s">
        <v>547</v>
      </c>
      <c r="CG70" s="409"/>
      <c r="CH70" s="420" t="str">
        <f t="shared" si="8"/>
        <v>FLINTSL - GREEN</v>
      </c>
      <c r="CI70" s="409"/>
      <c r="CJ70" s="411">
        <f>IF(CI70=0,0,IF($LB70=70%,VLOOKUP($CH70,'Jan-2026 rates'!$L:$R,4,0),IF($LB70=65%,VLOOKUP($CH70,'Jan-2026 rates'!$L:$R,4,0),IF($LB70=40%,VLOOKUP($CH70,'Jan-2026 rates'!$L:$R,5,0),IF($LB70=30%,VLOOKUP($CH70,'Jan-2026 rates'!$L:$R,6,0),IF($LB70=100%,VLOOKUP($CH70,'Jan-2026 rates'!$L:$R,7,0),IF($LB70=60%,VLOOKUP($CH70,'Jan-2026 rates'!$L:$S,8,0),IF($LB70=80%,VLOOKUP($CH70,'Jan-2026 rates'!L:T,9,0),0))))))))</f>
        <v>0</v>
      </c>
      <c r="CK70" s="412"/>
      <c r="CL70" s="409"/>
      <c r="CM70" s="411">
        <f>IF(CL70=0,0,IF($LB70=70%,VLOOKUP($CH70,'Jan-2026 rates'!$L:$R,4,0),IF($LB70=65%,VLOOKUP($CH70,'Jan-2026 rates'!$L:$R,4,0),IF($LB70=40%,VLOOKUP($CH70,'Jan-2026 rates'!$L:$R,5,0),IF($LB70=30%,VLOOKUP($CH70,'Jan-2026 rates'!$L:$R,6,0),IF($LB70=100%,VLOOKUP($CH70,'Jan-2026 rates'!$L:$R,7,0),IF($LB70=60%,VLOOKUP($CH70,'Jan-2026 rates'!$L:$S,8,0),IF($LB70=80%,VLOOKUP($CH70,'Jan-2026 rates'!L:T,9,0),0))))))))</f>
        <v>0</v>
      </c>
      <c r="CN70" s="426">
        <v>26505000019</v>
      </c>
      <c r="CO70" s="427">
        <v>26505000020</v>
      </c>
      <c r="CP70" s="426">
        <v>26505000004</v>
      </c>
      <c r="CQ70" s="426">
        <v>26504000001</v>
      </c>
      <c r="CR70" s="428" t="s">
        <v>1266</v>
      </c>
      <c r="CS70" s="428"/>
      <c r="CT70" s="428"/>
      <c r="CU70" s="428"/>
      <c r="CV70" s="409">
        <v>0.18</v>
      </c>
      <c r="CW70" s="398" t="e">
        <f>IF(CV70=0,0,IF(LEN(CN70)=11,_xlfn.XLOOKUP(CN70,'Dispensed Ink Rates'!C:C,'Dispensed Ink Rates'!CS:CS),VLOOKUP(CN70,'Jan-2026 rates'!$E:$F,2,0)))</f>
        <v>#N/A</v>
      </c>
      <c r="CX70" s="409">
        <v>30</v>
      </c>
      <c r="CY70" s="398" t="e">
        <f>IF(CX70=0,0,IF(LEN(CO70)=11,_xlfn.XLOOKUP(CO70,'Dispensed Ink Rates'!C:C,'Dispensed Ink Rates'!CS:CS),VLOOKUP(CO70,'Jan-2026 rates'!$E:$F,2,0)))</f>
        <v>#N/A</v>
      </c>
      <c r="CZ70" s="409">
        <v>20</v>
      </c>
      <c r="DA70" s="398" t="e">
        <f>IF(CZ70=0,0,IF(LEN(CP70)=11,_xlfn.XLOOKUP(CP70,'Dispensed Ink Rates'!C:C,'Dispensed Ink Rates'!CS:CS),VLOOKUP(CP70,'Jan-2026 rates'!$E:$F,2,0)))</f>
        <v>#N/A</v>
      </c>
      <c r="DB70" s="409">
        <v>30</v>
      </c>
      <c r="DC70" s="398" t="e">
        <f>IF(DB70=0,0,IF(LEN(CQ70)=11,_xlfn.XLOOKUP(CQ70,'Dispensed Ink Rates'!C:C,'Dispensed Ink Rates'!CS:CS),VLOOKUP(CQ70,'Jan-2026 rates'!$E:$F,2,0)))</f>
        <v>#N/A</v>
      </c>
      <c r="DD70" s="409">
        <v>5</v>
      </c>
      <c r="DE70" s="398">
        <f>IF(DD70=0,0,IF(LEN(CR70)=11,_xlfn.XLOOKUP(CR70,'Dispensed Ink Rates'!C:C,'Dispensed Ink Rates'!CS:CS),VLOOKUP(CR70,'Jan-2026 rates'!$E:$F,2,0)))</f>
        <v>0</v>
      </c>
      <c r="DF70" s="409"/>
      <c r="DG70" s="398">
        <f>IF(DF70=0,0,IF(LEN(CS70)=11,_xlfn.XLOOKUP(CS70,'Dispensed Ink Rates'!C:C,'Dispensed Ink Rates'!CS:CS),VLOOKUP(CS70,'Jan-2026 rates'!$E:$F,2,0)))</f>
        <v>0</v>
      </c>
      <c r="DH70" s="409"/>
      <c r="DI70" s="398">
        <f>IF(DH70=0,0,IF(LEN(CT70)=11,_xlfn.XLOOKUP(CT70,'Dispensed Ink Rates'!C:C,'Dispensed Ink Rates'!CS:CS),VLOOKUP(CT70,'Jan-2026 rates'!$E:$F,2,0)))</f>
        <v>0</v>
      </c>
      <c r="DJ70" s="409"/>
      <c r="DK70" s="398">
        <f>IF(DJ70=0,0,IF(LEN(CU70)=11,_xlfn.XLOOKUP(CU70,'Dispensed Ink Rates'!C:C,'Dispensed Ink Rates'!CS:CS),VLOOKUP(CU70,'Jan-2026 rates'!$E:$F,2,0)))</f>
        <v>0</v>
      </c>
      <c r="DL70" s="409" t="s">
        <v>1443</v>
      </c>
      <c r="DM70" s="409">
        <v>40</v>
      </c>
      <c r="DN70" s="411">
        <f t="shared" si="9"/>
        <v>0</v>
      </c>
      <c r="DO70" s="411">
        <f t="shared" si="10"/>
        <v>69.806865671641788</v>
      </c>
      <c r="DP70" s="410">
        <f t="shared" si="11"/>
        <v>0</v>
      </c>
      <c r="DQ70" s="405" t="s">
        <v>855</v>
      </c>
      <c r="DR70" s="409" t="s">
        <v>2968</v>
      </c>
      <c r="DS70" s="420" t="str">
        <f t="shared" si="12"/>
        <v>FLINTSL - CYAN</v>
      </c>
      <c r="DT70" s="409">
        <v>22</v>
      </c>
      <c r="DU70" s="411">
        <f>IF(DT70=0,0,IF($LB70=70%,VLOOKUP($DS70,'Jan-2026 rates'!$L:$R,4,0),IF($LB70=65%,VLOOKUP($DS70,'Jan-2026 rates'!$L:$R,4,0),IF($LB70=40%,VLOOKUP($DS70,'Jan-2026 rates'!$L:$R,5,0),IF($LB70=30%,VLOOKUP($DS70,'Jan-2026 rates'!$L:$R,6,0),IF($LB70=100%,VLOOKUP($DS70,'Jan-2026 rates'!$L:$R,7,0),IF($LB70=60%,VLOOKUP($DS70,'Jan-2026 rates'!$L:$S,8,0),IF($LB70=80%,VLOOKUP($DS70,'Jan-2026 rates'!L:T,9,0),0))))))))</f>
        <v>0</v>
      </c>
      <c r="DV70" s="412"/>
      <c r="DW70" s="409"/>
      <c r="DX70" s="411">
        <f>IF(DW70=0,0,IF($LB70=70%,VLOOKUP($DS70,'Jan-2026 rates'!$L:$R,4,0),IF($LB70=65%,VLOOKUP($DS70,'Jan-2026 rates'!$L:$R,4,0),IF($LB70=40%,VLOOKUP($DS70,'Jan-2026 rates'!$L:$R,5,0),IF($LB70=30%,VLOOKUP($DS70,'Jan-2026 rates'!$L:$R,6,0),IF($LB70=100%,VLOOKUP($DS70,'Jan-2026 rates'!$L:$R,7,0),IF($LB70=60%,VLOOKUP($DS70,'Jan-2026 rates'!$L:$S,8,0),IF($LB70=80%,VLOOKUP($DS70,'Jan-2026 rates'!L:T,9,0),0))))))))</f>
        <v>0</v>
      </c>
      <c r="DY70" s="413">
        <v>26505000021</v>
      </c>
      <c r="DZ70" s="413"/>
      <c r="EA70" s="412"/>
      <c r="EB70" s="412"/>
      <c r="EC70" s="412"/>
      <c r="ED70" s="412"/>
      <c r="EE70" s="412"/>
      <c r="EF70" s="412"/>
      <c r="EG70" s="409">
        <f>20+20</f>
        <v>40</v>
      </c>
      <c r="EH70" s="398" t="e">
        <f>IF(EG70=0,0,IF(LEN(DY70)=11,_xlfn.XLOOKUP(DY70,'Dispensed Ink Rates'!C:C,'Dispensed Ink Rates'!CS:CS),VLOOKUP(DY70,'Jan-2026 rates'!$E:$F,2,0)))</f>
        <v>#N/A</v>
      </c>
      <c r="EI70" s="409"/>
      <c r="EJ70" s="398">
        <f>IF(EI70=0,0,IF(LEN(DZ70)=11,_xlfn.XLOOKUP(DZ70,'Dispensed Ink Rates'!C:C,'Dispensed Ink Rates'!CS:CS),VLOOKUP(DZ70,'Jan-2026 rates'!$E:$F,2,0)))</f>
        <v>0</v>
      </c>
      <c r="EK70" s="409"/>
      <c r="EL70" s="398">
        <f>IF(EK70=0,0,IF(LEN(EA70)=11,_xlfn.XLOOKUP(EA70,'Dispensed Ink Rates'!C:C,'Dispensed Ink Rates'!CS:CS),VLOOKUP(EA70,'Jan-2026 rates'!$E:$F,2,0)))</f>
        <v>0</v>
      </c>
      <c r="EM70" s="409"/>
      <c r="EN70" s="398">
        <f>IF(EM70=0,0,IF(LEN(EB70)=11,_xlfn.XLOOKUP(EB70,'Dispensed Ink Rates'!C:C,'Dispensed Ink Rates'!CS:CS),VLOOKUP(EB70,'Jan-2026 rates'!$E:$F,2,0)))</f>
        <v>0</v>
      </c>
      <c r="EO70" s="409"/>
      <c r="EP70" s="398">
        <f>IF(EO70=0,0,IF(LEN(EC70)=11,_xlfn.XLOOKUP(EC70,'Dispensed Ink Rates'!C:C,'Dispensed Ink Rates'!CS:CS),VLOOKUP(EC70,'Jan-2026 rates'!$E:$F,2,0)))</f>
        <v>0</v>
      </c>
      <c r="EQ70" s="409"/>
      <c r="ER70" s="398">
        <f>IF(EQ70=0,0,IF(LEN(ED70)=11,_xlfn.XLOOKUP(ED70,'Dispensed Ink Rates'!C:C,'Dispensed Ink Rates'!CS:CS),VLOOKUP(ED70,'Jan-2026 rates'!$E:$F,2,0)))</f>
        <v>0</v>
      </c>
      <c r="ES70" s="409"/>
      <c r="ET70" s="398">
        <f>IF(ES70=0,0,IF(LEN(EE70)=11,_xlfn.XLOOKUP(EE70,'Dispensed Ink Rates'!C:C,'Dispensed Ink Rates'!CS:CS),VLOOKUP(EE70,'Jan-2026 rates'!$E:$F,2,0)))</f>
        <v>0</v>
      </c>
      <c r="EU70" s="409"/>
      <c r="EV70" s="398">
        <f>IF(EU70=0,0,IF(LEN(EF70)=11,_xlfn.XLOOKUP(EF70,'Dispensed Ink Rates'!C:C,'Dispensed Ink Rates'!CS:CS),VLOOKUP(EF70,'Jan-2026 rates'!$E:$F,2,0)))</f>
        <v>0</v>
      </c>
      <c r="EW70" s="409" t="s">
        <v>1443</v>
      </c>
      <c r="EX70" s="409">
        <v>29</v>
      </c>
      <c r="EY70" s="411">
        <f t="shared" si="13"/>
        <v>0</v>
      </c>
      <c r="EZ70" s="411">
        <f t="shared" si="14"/>
        <v>33</v>
      </c>
      <c r="FA70" s="410">
        <f t="shared" si="15"/>
        <v>0</v>
      </c>
      <c r="FB70" s="405" t="s">
        <v>544</v>
      </c>
      <c r="FC70" s="409" t="s">
        <v>2969</v>
      </c>
      <c r="FD70" s="420" t="str">
        <f t="shared" si="16"/>
        <v>FLINTSL - MAGENTA</v>
      </c>
      <c r="FE70" s="409">
        <v>22</v>
      </c>
      <c r="FF70" s="411">
        <f>IF(FE70=0,0,IF($LB70=70%,VLOOKUP($FD70,'Jan-2026 rates'!$L:$R,4,0),IF($LB70=65%,VLOOKUP($FD70,'Jan-2026 rates'!$L:$R,4,0),IF($LB70=40%,VLOOKUP($FD70,'Jan-2026 rates'!$L:$R,5,0),IF($LB70=30%,VLOOKUP($FD70,'Jan-2026 rates'!$L:$R,6,0),IF($LB70=100%,VLOOKUP($FD70,'Jan-2026 rates'!$L:$R,7,0),IF($LB70=60%,VLOOKUP($FD70,'Jan-2026 rates'!$L:$S,8,0),IF($LB70=80%,VLOOKUP($FD70,'Jan-2026 rates'!L:T,9,0),0))))))))</f>
        <v>0</v>
      </c>
      <c r="FG70" s="412"/>
      <c r="FH70" s="409"/>
      <c r="FI70" s="411">
        <f>IF(FH70=0,0,IF($LB70=70%,VLOOKUP($FD70,'Jan-2026 rates'!$L:$R,4,0),IF($LB70=65%,VLOOKUP($FD70,'Jan-2026 rates'!$L:$R,4,0),IF($LB70=40%,VLOOKUP($FD70,'Jan-2026 rates'!$L:$R,5,0),IF($LB70=30%,VLOOKUP($FD70,'Jan-2026 rates'!$L:$R,6,0),IF($LB70=100%,VLOOKUP($FD70,'Jan-2026 rates'!$L:$R,7,0),IF($LB70=60%,VLOOKUP($FD70,'Jan-2026 rates'!$L:$S,8,0),IF($LB70=80%,VLOOKUP($FD70,'Jan-2026 rates'!L:T,9,0),0))))))))</f>
        <v>0</v>
      </c>
      <c r="FJ70" s="413">
        <v>26505000005</v>
      </c>
      <c r="FK70" s="413" t="s">
        <v>1266</v>
      </c>
      <c r="FL70" s="413"/>
      <c r="FM70" s="412"/>
      <c r="FN70" s="412"/>
      <c r="FO70" s="412"/>
      <c r="FP70" s="412"/>
      <c r="FQ70" s="412"/>
      <c r="FR70" s="409">
        <v>5</v>
      </c>
      <c r="FS70" s="398" t="e">
        <f>IF(FR70=0,0,IF(LEN(FJ70)=11,_xlfn.XLOOKUP(FJ70,'Dispensed Ink Rates'!C:C,'Dispensed Ink Rates'!CS:CS),VLOOKUP(FJ70,'Jan-2026 rates'!$E:$F,2,0)))</f>
        <v>#N/A</v>
      </c>
      <c r="FT70" s="409">
        <v>10</v>
      </c>
      <c r="FU70" s="398">
        <f>IF(FT70=0,0,IF(LEN(FK70)=11,_xlfn.XLOOKUP(FK70,'Dispensed Ink Rates'!C:C,'Dispensed Ink Rates'!CS:CS),VLOOKUP(FK70,'Jan-2026 rates'!$E:$F,2,0)))</f>
        <v>0</v>
      </c>
      <c r="FV70" s="409"/>
      <c r="FW70" s="398">
        <f>IF(FV70=0,0,IF(LEN(FL70)=11,_xlfn.XLOOKUP(FL70,'Dispensed Ink Rates'!C:C,'Dispensed Ink Rates'!CS:CS),VLOOKUP(FL70,'Jan-2026 rates'!$E:$F,2,0)))</f>
        <v>0</v>
      </c>
      <c r="FX70" s="409"/>
      <c r="FY70" s="398">
        <f>IF(FX70=0,0,IF(LEN(FM70)=11,_xlfn.XLOOKUP(FM70,'Dispensed Ink Rates'!C:C,'Dispensed Ink Rates'!CS:CS),VLOOKUP(FM70,'Jan-2026 rates'!$E:$F,2,0)))</f>
        <v>0</v>
      </c>
      <c r="FZ70" s="409"/>
      <c r="GA70" s="398">
        <f>IF(FZ70=0,0,IF(LEN(FN70)=11,_xlfn.XLOOKUP(FN70,'Dispensed Ink Rates'!C:C,'Dispensed Ink Rates'!CS:CS),VLOOKUP(FN70,'Jan-2026 rates'!$E:$F,2,0)))</f>
        <v>0</v>
      </c>
      <c r="GB70" s="409"/>
      <c r="GC70" s="398">
        <f>IF(GB70=0,0,IF(LEN(FO70)=11,_xlfn.XLOOKUP(FO70,'Dispensed Ink Rates'!C:C,'Dispensed Ink Rates'!CS:CS),VLOOKUP(FO70,'Jan-2026 rates'!$E:$F,2,0)))</f>
        <v>0</v>
      </c>
      <c r="GD70" s="409"/>
      <c r="GE70" s="398">
        <f>IF(GD70=0,0,IF(LEN(FP70)=11,_xlfn.XLOOKUP(FP70,'Dispensed Ink Rates'!C:C,'Dispensed Ink Rates'!CS:CS),VLOOKUP(FP70,'Jan-2026 rates'!$E:$F,2,0)))</f>
        <v>0</v>
      </c>
      <c r="GF70" s="409"/>
      <c r="GG70" s="398">
        <f>IF(GF70=0,0,IF(LEN(FQ70)=11,_xlfn.XLOOKUP(FQ70,'Dispensed Ink Rates'!C:C,'Dispensed Ink Rates'!CS:CS),VLOOKUP(FQ70,'Jan-2026 rates'!$E:$F,2,0)))</f>
        <v>0</v>
      </c>
      <c r="GH70" s="409" t="s">
        <v>1443</v>
      </c>
      <c r="GI70" s="409">
        <f>30+12</f>
        <v>42</v>
      </c>
      <c r="GJ70" s="411">
        <f t="shared" si="17"/>
        <v>0</v>
      </c>
      <c r="GK70" s="411">
        <f t="shared" si="18"/>
        <v>2.3880597014925371</v>
      </c>
      <c r="GL70" s="410">
        <f t="shared" si="19"/>
        <v>0</v>
      </c>
      <c r="GM70" s="405" t="s">
        <v>545</v>
      </c>
      <c r="GN70" s="409" t="s">
        <v>2970</v>
      </c>
      <c r="GO70" s="420" t="str">
        <f t="shared" si="20"/>
        <v>FLINTSL - YELLOW</v>
      </c>
      <c r="GP70" s="409">
        <v>24</v>
      </c>
      <c r="GQ70" s="411">
        <f>IF(GP70=0,0,IF($LB70=70%,VLOOKUP($GO70,'Jan-2026 rates'!$L:$R,4,0),IF($LB70=65%,VLOOKUP($GO70,'Jan-2026 rates'!$L:$R,4,0),IF($LB70=40%,VLOOKUP($GO70,'Jan-2026 rates'!$L:$R,5,0),IF($LB70=30%,VLOOKUP($GO70,'Jan-2026 rates'!$L:$R,6,0),IF($LB70=100%,VLOOKUP($GO70,'Jan-2026 rates'!$L:$R,7,0),IF($LB70=60%,VLOOKUP($GO70,'Jan-2026 rates'!$L:$S,8,0),IF($LB70=80%,VLOOKUP($GO70,'Jan-2026 rates'!L:T,9,0),0))))))))</f>
        <v>0</v>
      </c>
      <c r="GR70" s="412"/>
      <c r="GS70" s="409"/>
      <c r="GT70" s="411">
        <f>IF(GS70=0,0,IF($LB70=70%,VLOOKUP($GO70,'Jan-2026 rates'!$L:$R,4,0),IF($LB70=65%,VLOOKUP($GO70,'Jan-2026 rates'!$L:$R,4,0),IF($LB70=40%,VLOOKUP($GO70,'Jan-2026 rates'!$L:$R,5,0),IF($LB70=30%,VLOOKUP($GO70,'Jan-2026 rates'!$L:$R,6,0),IF($LB70=100%,VLOOKUP($GO70,'Jan-2026 rates'!$L:$R,7,0),IF($LB70=60%,VLOOKUP($GO70,'Jan-2026 rates'!$L:$S,8,0),IF($LB70=80%,VLOOKUP($GO70,'Jan-2026 rates'!L:T,9,0),0))))))))</f>
        <v>0</v>
      </c>
      <c r="GU70" s="413" t="s">
        <v>1266</v>
      </c>
      <c r="GV70" s="413"/>
      <c r="GW70" s="412"/>
      <c r="GX70" s="412"/>
      <c r="GY70" s="412"/>
      <c r="GZ70" s="412"/>
      <c r="HA70" s="412"/>
      <c r="HB70" s="412"/>
      <c r="HC70" s="409">
        <v>5</v>
      </c>
      <c r="HD70" s="398">
        <f>IF(HC70=0,0,IF(LEN(GU70)=11,_xlfn.XLOOKUP(GU70,'Dispensed Ink Rates'!C:C,'Dispensed Ink Rates'!CS:CS),VLOOKUP(GU70,'Jan-2026 rates'!$E:$F,2,0)))</f>
        <v>0</v>
      </c>
      <c r="HE70" s="409"/>
      <c r="HF70" s="398">
        <f>IF(HE70=0,0,IF(LEN(GV70)=11,_xlfn.XLOOKUP(GV70,'Dispensed Ink Rates'!C:C,'Dispensed Ink Rates'!CS:CS),VLOOKUP(GV70,'Jan-2026 rates'!$E:$F,2,0)))</f>
        <v>0</v>
      </c>
      <c r="HG70" s="409"/>
      <c r="HH70" s="398">
        <f>IF(HG70=0,0,IF(LEN(GW70)=11,_xlfn.XLOOKUP(GW70,'Dispensed Ink Rates'!C:C,'Dispensed Ink Rates'!CS:CS),VLOOKUP(GW70,'Jan-2026 rates'!$E:$F,2,0)))</f>
        <v>0</v>
      </c>
      <c r="HI70" s="409"/>
      <c r="HJ70" s="398">
        <f>IF(HI70=0,0,IF(LEN(GX70)=11,_xlfn.XLOOKUP(GX70,'Dispensed Ink Rates'!C:C,'Dispensed Ink Rates'!CS:CS),VLOOKUP(GX70,'Jan-2026 rates'!$E:$F,2,0)))</f>
        <v>0</v>
      </c>
      <c r="HK70" s="409"/>
      <c r="HL70" s="398">
        <f>IF(HK70=0,0,IF(LEN(GY70)=11,_xlfn.XLOOKUP(GY70,'Dispensed Ink Rates'!C:C,'Dispensed Ink Rates'!CS:CS),VLOOKUP(GY70,'Jan-2026 rates'!$E:$F,2,0)))</f>
        <v>0</v>
      </c>
      <c r="HM70" s="409"/>
      <c r="HN70" s="398">
        <f>IF(HM70=0,0,IF(LEN(GZ70)=11,_xlfn.XLOOKUP(GZ70,'Dispensed Ink Rates'!C:C,'Dispensed Ink Rates'!CS:CS),VLOOKUP(GZ70,'Jan-2026 rates'!$E:$F,2,0)))</f>
        <v>0</v>
      </c>
      <c r="HO70" s="409"/>
      <c r="HP70" s="398">
        <f>IF(HO70=0,0,IF(LEN(HA70)=11,_xlfn.XLOOKUP(HA70,'Dispensed Ink Rates'!C:C,'Dispensed Ink Rates'!CS:CS),VLOOKUP(HA70,'Jan-2026 rates'!$E:$F,2,0)))</f>
        <v>0</v>
      </c>
      <c r="HQ70" s="409"/>
      <c r="HR70" s="398">
        <f>IF(HQ70=0,0,IF(LEN(HB70)=11,_xlfn.XLOOKUP(HB70,'Dispensed Ink Rates'!C:C,'Dispensed Ink Rates'!CS:CS),VLOOKUP(HB70,'Jan-2026 rates'!$E:$F,2,0)))</f>
        <v>0</v>
      </c>
      <c r="HS70" s="409" t="s">
        <v>1443</v>
      </c>
      <c r="HT70" s="409">
        <v>29</v>
      </c>
      <c r="HU70" s="411">
        <f t="shared" si="21"/>
        <v>0</v>
      </c>
      <c r="HV70" s="411">
        <f t="shared" si="22"/>
        <v>12.31343283582089</v>
      </c>
      <c r="HW70" s="414">
        <f t="shared" si="23"/>
        <v>0</v>
      </c>
      <c r="HX70" s="405" t="s">
        <v>856</v>
      </c>
      <c r="HY70" s="409" t="s">
        <v>2971</v>
      </c>
      <c r="HZ70" s="420" t="str">
        <f t="shared" si="24"/>
        <v>FLINTSL - WHITE</v>
      </c>
      <c r="IA70" s="409">
        <v>26</v>
      </c>
      <c r="IB70" s="411">
        <f>IF(IA70=0,0,IF($LB70=70%,VLOOKUP($HZ70,'Jan-2026 rates'!$L:$R,4,0),IF($LB70=65%,VLOOKUP($HZ70,'Jan-2026 rates'!$L:$R,4,0),IF($LB70=40%,VLOOKUP($HZ70,'Jan-2026 rates'!$L:$R,5,0),IF($LB70=30%,VLOOKUP($HZ70,'Jan-2026 rates'!$L:$R,6,0),IF($LB70=100%,VLOOKUP($HZ70,'Jan-2026 rates'!$L:$R,7,0),IF($LB70=60%,VLOOKUP($HZ70,'Jan-2026 rates'!$L:$S,8,0),IF($LB70=80%,VLOOKUP($HZ70,'Jan-2026 rates'!L:T,9,0),0))))))))</f>
        <v>0</v>
      </c>
      <c r="IC70" s="412"/>
      <c r="ID70" s="409"/>
      <c r="IE70" s="411">
        <f>IF(ID70=0,0,IF($LB70=70%,VLOOKUP($HZ70,'Jan-2026 rates'!$L:$R,4,0),IF($LB70=65%,VLOOKUP($HZ70,'Jan-2026 rates'!$L:$R,4,0),IF($LB70=40%,VLOOKUP($HZ70,'Jan-2026 rates'!$L:$R,5,0),IF($LB70=30%,VLOOKUP($HZ70,'Jan-2026 rates'!$L:$R,6,0),IF($LB70=100%,VLOOKUP($HZ70,'Jan-2026 rates'!$L:$R,7,0),IF($LB70=60%,VLOOKUP($HZ70,'Jan-2026 rates'!$L:$S,8,0),IF($LB70=80%,VLOOKUP($HZ70,'Jan-2026 rates'!L:T,9,0),0))))))))</f>
        <v>0</v>
      </c>
      <c r="IF70" s="412" t="s">
        <v>484</v>
      </c>
      <c r="IG70" s="413"/>
      <c r="IH70" s="412"/>
      <c r="II70" s="412"/>
      <c r="IJ70" s="412"/>
      <c r="IK70" s="412"/>
      <c r="IL70" s="412"/>
      <c r="IM70" s="412"/>
      <c r="IN70" s="409">
        <f>40+40</f>
        <v>80</v>
      </c>
      <c r="IO70" s="398">
        <f>IF(IN70=0,0,IF(LEN(IF70)=11,_xlfn.XLOOKUP(IF70,'Dispensed Ink Rates'!C:C,'Dispensed Ink Rates'!CS:CS),VLOOKUP(IF70,'Jan-2026 rates'!$E:$F,2,0)))</f>
        <v>0</v>
      </c>
      <c r="IP70" s="409"/>
      <c r="IQ70" s="398">
        <f>IF(IP70=0,0,IF(LEN(IG70)=11,_xlfn.XLOOKUP(IG70,'Dispensed Ink Rates'!C:C,'Dispensed Ink Rates'!CS:CS),VLOOKUP(IG70,'Jan-2026 rates'!$E:$F,2,0)))</f>
        <v>0</v>
      </c>
      <c r="IR70" s="409"/>
      <c r="IS70" s="398">
        <f>IF(IR70=0,0,IF(LEN(IH70)=11,_xlfn.XLOOKUP(IH70,'Dispensed Ink Rates'!C:C,'Dispensed Ink Rates'!CS:CS),VLOOKUP(IH70,'Jan-2026 rates'!$E:$F,2,0)))</f>
        <v>0</v>
      </c>
      <c r="IT70" s="409"/>
      <c r="IU70" s="398">
        <f>IF(IT70=0,0,IF(LEN(II70)=11,_xlfn.XLOOKUP(II70,'Dispensed Ink Rates'!C:C,'Dispensed Ink Rates'!CS:CS),VLOOKUP(II70,'Jan-2026 rates'!$E:$F,2,0)))</f>
        <v>0</v>
      </c>
      <c r="IV70" s="409"/>
      <c r="IW70" s="398">
        <f>IF(IV70=0,0,IF(LEN(IJ70)=11,_xlfn.XLOOKUP(IJ70,'Dispensed Ink Rates'!C:C,'Dispensed Ink Rates'!CS:CS),VLOOKUP(IJ70,'Jan-2026 rates'!$E:$F,2,0)))</f>
        <v>0</v>
      </c>
      <c r="IX70" s="409"/>
      <c r="IY70" s="398">
        <f>IF(IX70=0,0,IF(LEN(IK70)=11,_xlfn.XLOOKUP(IK70,'Dispensed Ink Rates'!C:C,'Dispensed Ink Rates'!CS:CS),VLOOKUP(IK70,'Jan-2026 rates'!$E:$F,2,0)))</f>
        <v>0</v>
      </c>
      <c r="IZ70" s="409"/>
      <c r="JA70" s="398">
        <f>IF(IZ70=0,0,IF(LEN(IL70)=11,_xlfn.XLOOKUP(IL70,'Dispensed Ink Rates'!C:C,'Dispensed Ink Rates'!CS:CS),VLOOKUP(IL70,'Jan-2026 rates'!$E:$F,2,0)))</f>
        <v>0</v>
      </c>
      <c r="JB70" s="409"/>
      <c r="JC70" s="398">
        <f>IF(JB70=0,0,IF(LEN(IM70)=11,_xlfn.XLOOKUP(IM70,'Dispensed Ink Rates'!C:C,'Dispensed Ink Rates'!CS:CS),VLOOKUP(IM70,'Jan-2026 rates'!$E:$F,2,0)))</f>
        <v>0</v>
      </c>
      <c r="JD70" s="409" t="s">
        <v>1443</v>
      </c>
      <c r="JE70" s="409">
        <v>30</v>
      </c>
      <c r="JF70" s="411">
        <f t="shared" si="25"/>
        <v>0</v>
      </c>
      <c r="JG70" s="411">
        <f t="shared" si="26"/>
        <v>186.82089552238807</v>
      </c>
      <c r="JH70" s="410">
        <f t="shared" si="27"/>
        <v>0</v>
      </c>
      <c r="JI70" s="405"/>
      <c r="JJ70" s="409"/>
      <c r="JK70" s="420" t="str">
        <f t="shared" si="28"/>
        <v xml:space="preserve"> - </v>
      </c>
      <c r="JL70" s="409"/>
      <c r="JM70" s="411">
        <f>IF(JL70=0,0,IF($LB70=70%,VLOOKUP($JK70,'Jan-2026 rates'!$L:$R,4,0),IF($LB70=65%,VLOOKUP($JK70,'Jan-2026 rates'!$L:$R,4,0),IF($LB70=40%,VLOOKUP($JK70,'Jan-2026 rates'!$L:$R,5,0),IF($LB70=30%,VLOOKUP($JK70,'Jan-2026 rates'!$L:$R,6,0),IF($LB70=100%,VLOOKUP($JK70,'Jan-2026 rates'!$L:$R,7,0),IF($LB70=60%,VLOOKUP($JK70,'Jan-2026 rates'!$L:$S,8,0),IF($LB70=80%,VLOOKUP($JK70,'Jan-2026 rates'!L:T,9,0),0))))))))</f>
        <v>0</v>
      </c>
      <c r="JN70" s="412"/>
      <c r="JO70" s="409"/>
      <c r="JP70" s="411">
        <f>IF(JO70=0,0,IF($LB70=70%,VLOOKUP($JK70,'Jan-2026 rates'!$L:$R,4,0),IF($LB70=65%,VLOOKUP($JK70,'Jan-2026 rates'!$L:$R,4,0),IF($LB70=40%,VLOOKUP($JK70,'Jan-2026 rates'!$L:$R,5,0),IF($LB70=30%,VLOOKUP($JK70,'Jan-2026 rates'!$L:$R,6,0),IF($LB70=100%,VLOOKUP($JK70,'Jan-2026 rates'!$L:$R,7,0),IF($LB70=60%,VLOOKUP($JK70,'Jan-2026 rates'!$L:$S,8,0),IF($LB70=80%,VLOOKUP($JK70,'Jan-2026 rates'!L:T,9,0),0))))))))</f>
        <v>0</v>
      </c>
      <c r="JQ70" s="413"/>
      <c r="JR70" s="412"/>
      <c r="JS70" s="413"/>
      <c r="JT70" s="413"/>
      <c r="JU70" s="412"/>
      <c r="JV70" s="412"/>
      <c r="JW70" s="412"/>
      <c r="JX70" s="412"/>
      <c r="JY70" s="409"/>
      <c r="JZ70" s="398">
        <f>IF(JY70=0,0,IF(LEN(JQ70)=11,_xlfn.XLOOKUP(JQ70,'Dispensed Ink Rates'!C:C,'Dispensed Ink Rates'!CS:CS),VLOOKUP(JQ70,'Jan-2026 rates'!$E:$F,2,0)))</f>
        <v>0</v>
      </c>
      <c r="KA70" s="409"/>
      <c r="KB70" s="398">
        <f>IF(KA70=0,0,IF(LEN(JR70)=11,_xlfn.XLOOKUP(JR70,'Dispensed Ink Rates'!C:C,'Dispensed Ink Rates'!CS:CS),VLOOKUP(JR70,'Jan-2026 rates'!$E:$F,2,0)))</f>
        <v>0</v>
      </c>
      <c r="KC70" s="409"/>
      <c r="KD70" s="398">
        <f>IF(KC70=0,0,IF(LEN(JS70)=11,_xlfn.XLOOKUP(JS70,'Dispensed Ink Rates'!C:C,'Dispensed Ink Rates'!CS:CS),VLOOKUP(JS70,'Jan-2026 rates'!$E:$F,2,0)))</f>
        <v>0</v>
      </c>
      <c r="KE70" s="409"/>
      <c r="KF70" s="398">
        <f>IF(KE70=0,0,IF(LEN(JT70)=11,_xlfn.XLOOKUP(JT70,'Dispensed Ink Rates'!C:C,'Dispensed Ink Rates'!CS:CS),VLOOKUP(JT70,'Jan-2026 rates'!$E:$F,2,0)))</f>
        <v>0</v>
      </c>
      <c r="KG70" s="409"/>
      <c r="KH70" s="398">
        <f>IF(KG70=0,0,IF(LEN(JU70)=11,_xlfn.XLOOKUP(JU70,'Dispensed Ink Rates'!C:C,'Dispensed Ink Rates'!CS:CS),VLOOKUP(JU70,'Jan-2026 rates'!$E:$F,2,0)))</f>
        <v>0</v>
      </c>
      <c r="KI70" s="409"/>
      <c r="KJ70" s="398">
        <f>IF(KI70=0,0,IF(LEN(JV70)=11,_xlfn.XLOOKUP(JV70,'Dispensed Ink Rates'!C:C,'Dispensed Ink Rates'!CS:CS),VLOOKUP(JV70,'Jan-2026 rates'!$E:$F,2,0)))</f>
        <v>0</v>
      </c>
      <c r="KK70" s="409"/>
      <c r="KL70" s="398">
        <f>IF(KK70=0,0,IF(LEN(JW70)=11,_xlfn.XLOOKUP(JW70,'Dispensed Ink Rates'!C:C,'Dispensed Ink Rates'!CS:CS),VLOOKUP(JW70,'Jan-2026 rates'!$E:$F,2,0)))</f>
        <v>0</v>
      </c>
      <c r="KM70" s="428"/>
      <c r="KN70" s="398">
        <f>IF(KM70=0,0,IF(LEN(JX70)=11,_xlfn.XLOOKUP(JX70,'Dispensed Ink Rates'!C:C,'Dispensed Ink Rates'!CS:CS),VLOOKUP(JX70,'Jan-2026 rates'!$E:$F,2,0)))</f>
        <v>0</v>
      </c>
      <c r="KO70" s="409"/>
      <c r="KP70" s="409"/>
      <c r="KQ70" s="411">
        <f t="shared" si="29"/>
        <v>0</v>
      </c>
      <c r="KR70" s="411">
        <f t="shared" si="30"/>
        <v>0</v>
      </c>
      <c r="KS70" s="410">
        <f t="shared" si="31"/>
        <v>0</v>
      </c>
      <c r="KT70" s="409">
        <v>3</v>
      </c>
      <c r="KU70" s="409">
        <v>1</v>
      </c>
      <c r="KV70" s="409">
        <v>10</v>
      </c>
      <c r="KW70" s="409">
        <v>0</v>
      </c>
      <c r="KX70" s="409">
        <v>3</v>
      </c>
      <c r="KY70" s="409">
        <v>5</v>
      </c>
      <c r="KZ70" s="409">
        <f>20+25</f>
        <v>45</v>
      </c>
      <c r="LA70" s="409">
        <v>0</v>
      </c>
      <c r="LB70" s="415">
        <v>0.8</v>
      </c>
      <c r="LC70" s="415">
        <v>0.2</v>
      </c>
      <c r="LD70" s="415"/>
      <c r="LE70" s="415"/>
      <c r="LF70" s="415"/>
      <c r="LG70" s="409">
        <v>0</v>
      </c>
      <c r="LH70" s="409">
        <f>45+30+64+16+5+5</f>
        <v>165</v>
      </c>
      <c r="LI70" s="409">
        <v>0</v>
      </c>
      <c r="LJ70" s="409">
        <v>0</v>
      </c>
      <c r="LK70" s="416">
        <f t="shared" si="32"/>
        <v>165</v>
      </c>
      <c r="LL70" s="416">
        <f t="shared" si="33"/>
        <v>165</v>
      </c>
      <c r="LM70" s="417">
        <f t="shared" si="34"/>
        <v>132</v>
      </c>
      <c r="LN70" s="417">
        <f>VLOOKUP($LM$8,'Jan-2026 rates'!$H:$I,2,0)</f>
        <v>0</v>
      </c>
      <c r="LO70" s="417">
        <f t="shared" si="35"/>
        <v>33</v>
      </c>
      <c r="LP70" s="417">
        <f>VLOOKUP($LO$8,'Jan-2026 rates'!$H:$I,2,0)</f>
        <v>0</v>
      </c>
      <c r="LQ70" s="417">
        <f t="shared" si="36"/>
        <v>0</v>
      </c>
      <c r="LR70" s="417">
        <f>VLOOKUP($LQ$8,'Jan-2026 rates'!$H:$I,2,0)</f>
        <v>0</v>
      </c>
      <c r="LS70" s="417">
        <f t="shared" si="37"/>
        <v>0</v>
      </c>
      <c r="LT70" s="417">
        <f>VLOOKUP($LS$8,'Jan-2026 rates'!$H:$I,2,0)</f>
        <v>0</v>
      </c>
      <c r="LU70" s="417">
        <f t="shared" si="38"/>
        <v>0</v>
      </c>
      <c r="LV70" s="417">
        <f>VLOOKUP($LU$8,'Jan-2026 rates'!$H:$I,2,0)</f>
        <v>0</v>
      </c>
      <c r="LW70" s="417">
        <f t="shared" si="39"/>
        <v>0</v>
      </c>
      <c r="LX70" s="417">
        <f t="shared" si="40"/>
        <v>0</v>
      </c>
      <c r="LY70" s="418">
        <f t="shared" si="41"/>
        <v>0</v>
      </c>
      <c r="LZ70" s="417"/>
      <c r="MA70" s="435">
        <f t="shared" si="42"/>
        <v>229.18</v>
      </c>
      <c r="MB70" s="282">
        <f t="shared" si="43"/>
        <v>308.18</v>
      </c>
      <c r="MC70" s="283">
        <v>25</v>
      </c>
      <c r="MD70" s="284" t="str">
        <f t="shared" si="44"/>
        <v>FLINTSLFLINTSLFLINTSLFLINTSLFLINTSLFLINTSLFLINTSL</v>
      </c>
      <c r="ME70" s="293" t="str">
        <f t="shared" si="45"/>
        <v>+</v>
      </c>
      <c r="MF70" s="293" t="str">
        <f t="shared" si="46"/>
        <v>+</v>
      </c>
      <c r="MG70" s="293" t="str">
        <f t="shared" si="47"/>
        <v>+</v>
      </c>
      <c r="MH70" s="293" t="str">
        <f t="shared" si="48"/>
        <v>+</v>
      </c>
      <c r="MI70" s="293" t="str">
        <f t="shared" si="49"/>
        <v>+</v>
      </c>
      <c r="MJ70" s="293" t="str">
        <f t="shared" si="50"/>
        <v>+</v>
      </c>
      <c r="MK70" s="293" t="str">
        <f t="shared" si="51"/>
        <v>+</v>
      </c>
      <c r="ML70" s="293" t="str">
        <f t="shared" si="52"/>
        <v>NIL</v>
      </c>
      <c r="MM70" s="3" t="b">
        <f t="array" ref="MM70">OR(ME70:ML70="-")</f>
        <v>0</v>
      </c>
      <c r="MN70" s="285"/>
      <c r="MO70" s="401"/>
      <c r="MP70" s="286"/>
      <c r="MQ70" s="286"/>
      <c r="MR70" s="402"/>
      <c r="MS70" s="400"/>
      <c r="NH70" s="422"/>
      <c r="NJ70" s="421"/>
    </row>
    <row r="71" spans="1:374" s="1" customFormat="1" ht="16.5">
      <c r="A71" s="403">
        <v>46027</v>
      </c>
      <c r="B71" s="404" t="s">
        <v>1015</v>
      </c>
      <c r="C71" s="405" t="s">
        <v>2972</v>
      </c>
      <c r="D71" s="406">
        <v>26</v>
      </c>
      <c r="E71" s="404">
        <v>691</v>
      </c>
      <c r="F71" s="407">
        <v>23300</v>
      </c>
      <c r="G71" s="407" t="s">
        <v>1019</v>
      </c>
      <c r="H71" s="408" t="s">
        <v>1017</v>
      </c>
      <c r="I71" s="409">
        <v>1.85</v>
      </c>
      <c r="J71" s="405" t="s">
        <v>543</v>
      </c>
      <c r="K71" s="404" t="s">
        <v>2973</v>
      </c>
      <c r="L71" s="419" t="str">
        <f t="shared" si="0"/>
        <v>FLINTSL - BLACK</v>
      </c>
      <c r="M71" s="404">
        <v>27</v>
      </c>
      <c r="N71" s="410">
        <f>IF(M71=0,0,IF($LB71=70%,VLOOKUP($L71,'Jan-2026 rates'!$L:$R,4,0),IF($LB71=65%,VLOOKUP($L71,'Jan-2026 rates'!$L:$R,4,0),IF($LB71=40%,VLOOKUP($L71,'Jan-2026 rates'!$L:$R,5,0),IF($LB71=30%,VLOOKUP($L71,'Jan-2026 rates'!$L:$R,6,0),IF($LB71=100%,VLOOKUP($L71,'Jan-2026 rates'!$L:$R,7,0),IF($LB71=60%,VLOOKUP($L71,'Jan-2026 rates'!$L:$S,8,0),IF($LB71=80%,VLOOKUP($L71,'Jan-2026 rates'!L:T,9,0),0))))))))</f>
        <v>0</v>
      </c>
      <c r="O71" s="406" t="s">
        <v>2973</v>
      </c>
      <c r="P71" s="404">
        <v>23</v>
      </c>
      <c r="Q71" s="410">
        <f>IF(P71=0,0,IF($LB71=70%,VLOOKUP($L71,'Jan-2026 rates'!$L:$R,4,0),IF($LB71=65%,VLOOKUP($L71,'Jan-2026 rates'!$L:$R,4,0),IF($LB71=40%,VLOOKUP($L71,'Jan-2026 rates'!$L:$R,5,0),IF($LB71=30%,VLOOKUP($L71,'Jan-2026 rates'!$L:$R,6,0),IF($LB71=100%,VLOOKUP($L71,'Jan-2026 rates'!$L:$R,7,0),IF($LB71=60%,VLOOKUP($L71,'Jan-2026 rates'!$L:$S,8,0),IF($LB71=80%,VLOOKUP($L71,'Jan-2026 rates'!L:T,9,0),0))))))))</f>
        <v>0</v>
      </c>
      <c r="R71" s="406"/>
      <c r="S71" s="406"/>
      <c r="T71" s="406"/>
      <c r="U71" s="406"/>
      <c r="V71" s="406"/>
      <c r="W71" s="406"/>
      <c r="X71" s="406"/>
      <c r="Y71" s="406"/>
      <c r="Z71" s="404"/>
      <c r="AA71" s="398">
        <f>IF(Z71=0,0,IF(LEN(R71)=11,_xlfn.XLOOKUP(R71,'Dispensed Ink Rates'!C:C,'Dispensed Ink Rates'!CS:CS),VLOOKUP(R71,'Jan-2026 rates'!$E:$F,2,0)))</f>
        <v>0</v>
      </c>
      <c r="AB71" s="404"/>
      <c r="AC71" s="398">
        <f>IF(AB71=0,0,IF(LEN(S71)=11,_xlfn.XLOOKUP(S71,'Dispensed Ink Rates'!C:C,'Dispensed Ink Rates'!CS:CS),VLOOKUP(S71,'Jan-2026 rates'!$E:$F,2,0)))</f>
        <v>0</v>
      </c>
      <c r="AD71" s="404"/>
      <c r="AE71" s="398">
        <f>IF(AD71=0,0,IF(LEN(T71)=11,_xlfn.XLOOKUP(T71,'Dispensed Ink Rates'!C:C,'Dispensed Ink Rates'!CS:CS),VLOOKUP(T71,'Jan-2026 rates'!$E:$F,2,0)))</f>
        <v>0</v>
      </c>
      <c r="AF71" s="404"/>
      <c r="AG71" s="398">
        <f>IF(AF71=0,0,IF(LEN(U71)=11,_xlfn.XLOOKUP(U71,'Dispensed Ink Rates'!C:C,'Dispensed Ink Rates'!CS:CS),VLOOKUP(U71,'Jan-2026 rates'!$E:$F,2,0)))</f>
        <v>0</v>
      </c>
      <c r="AH71" s="404"/>
      <c r="AI71" s="398">
        <f>IF(AH71=0,0,IF(LEN(V71)=11,_xlfn.XLOOKUP(V71,'Dispensed Ink Rates'!C:C,'Dispensed Ink Rates'!CS:CS),VLOOKUP(V71,'Jan-2026 rates'!$E:$F,2,0)))</f>
        <v>0</v>
      </c>
      <c r="AJ71" s="404"/>
      <c r="AK71" s="398">
        <f>IF(AJ71=0,0,IF(LEN(W71)=11,_xlfn.XLOOKUP(W71,'Dispensed Ink Rates'!C:C,'Dispensed Ink Rates'!CS:CS),VLOOKUP(W71,'Jan-2026 rates'!$E:$F,2,0)))</f>
        <v>0</v>
      </c>
      <c r="AL71" s="404"/>
      <c r="AM71" s="398">
        <f>IF(AL71=0,0,IF(LEN(X71)=11,_xlfn.XLOOKUP(X71,'Dispensed Ink Rates'!C:C,'Dispensed Ink Rates'!CS:CS),VLOOKUP(X71,'Jan-2026 rates'!$E:$F,2,0)))</f>
        <v>0</v>
      </c>
      <c r="AN71" s="404"/>
      <c r="AO71" s="398">
        <f>IF(AN71=0,0,IF(LEN(Y71)=11,_xlfn.XLOOKUP(Y71,'Dispensed Ink Rates'!C:C,'Dispensed Ink Rates'!CS:CS),VLOOKUP(Y71,'Jan-2026 rates'!$E:$F,2,0)))</f>
        <v>0</v>
      </c>
      <c r="AP71" s="409" t="s">
        <v>1443</v>
      </c>
      <c r="AQ71" s="409">
        <v>30</v>
      </c>
      <c r="AR71" s="410">
        <f t="shared" si="1"/>
        <v>0</v>
      </c>
      <c r="AS71" s="411">
        <f t="shared" si="2"/>
        <v>30.117647058823529</v>
      </c>
      <c r="AT71" s="410">
        <f t="shared" si="3"/>
        <v>0</v>
      </c>
      <c r="AU71" s="405" t="s">
        <v>546</v>
      </c>
      <c r="AV71" s="409" t="s">
        <v>2973</v>
      </c>
      <c r="AW71" s="420" t="str">
        <f t="shared" si="53"/>
        <v>FLINTSL - REFLEX BLUE</v>
      </c>
      <c r="AX71" s="409">
        <v>28</v>
      </c>
      <c r="AY71" s="411">
        <f>IF(AX71=0,0,IF($LB71=70%,VLOOKUP($AW71,'Jan-2026 rates'!$L:$R,4,0),IF($LB71=65%,VLOOKUP($AW71,'Jan-2026 rates'!$L:$R,4,0),IF($LB71=40%,VLOOKUP($AW71,'Jan-2026 rates'!$L:$R,5,0),IF($LB71=30%,VLOOKUP($AW71,'Jan-2026 rates'!$L:$R,6,0),IF($LB71=100%,VLOOKUP($AW71,'Jan-2026 rates'!$L:$R,7,0),IF($LB71=60%,VLOOKUP($AW71,'Jan-2026 rates'!$L:$S,8,0),IF($LB71=80%,VLOOKUP($AW71,'Jan-2026 rates'!L:T,9,0),0))))))))</f>
        <v>0</v>
      </c>
      <c r="AZ71" s="412"/>
      <c r="BA71" s="409"/>
      <c r="BB71" s="411">
        <f>IF(BA71=0,0,IF($LB71=70%,VLOOKUP($AW71,'Jan-2026 rates'!$L:$R,4,0),IF($LB71=65%,VLOOKUP($AW71,'Jan-2026 rates'!$L:$R,4,0),IF($LB71=40%,VLOOKUP($AW71,'Jan-2026 rates'!$L:$R,5,0),IF($LB71=30%,VLOOKUP($AW71,'Jan-2026 rates'!$L:$R,6,0),IF($LB71=100%,VLOOKUP($AW71,'Jan-2026 rates'!$L:$R,7,0),IF($LB71=60%,VLOOKUP($AW71,'Jan-2026 rates'!$L:$S,8,0),IF($LB71=80%,VLOOKUP($AW71,'Jan-2026 rates'!L:T,9,0),0))))))))</f>
        <v>0</v>
      </c>
      <c r="BC71" s="413">
        <v>25864000013</v>
      </c>
      <c r="BD71" s="412"/>
      <c r="BE71" s="412"/>
      <c r="BF71" s="413"/>
      <c r="BG71" s="412"/>
      <c r="BH71" s="412"/>
      <c r="BI71" s="412"/>
      <c r="BJ71" s="412"/>
      <c r="BK71" s="409">
        <v>4</v>
      </c>
      <c r="BL71" s="398" t="e">
        <f>IF(BK71=0,0,IF(LEN(BC71)=11,_xlfn.XLOOKUP(BC71,'Dispensed Ink Rates'!C:C,'Dispensed Ink Rates'!CS:CS),VLOOKUP(BC71,'Jan-2026 rates'!$E:$F,2,0)))</f>
        <v>#N/A</v>
      </c>
      <c r="BM71" s="409"/>
      <c r="BN71" s="398">
        <f>IF(BM71=0,0,IF(LEN(BD71)=11,_xlfn.XLOOKUP(BD71,'Dispensed Ink Rates'!C:C,'Dispensed Ink Rates'!CS:CS),VLOOKUP(BD71,'Jan-2026 rates'!$E:$F,2,0)))</f>
        <v>0</v>
      </c>
      <c r="BO71" s="409"/>
      <c r="BP71" s="398">
        <f>IF(BO71=0,0,IF(LEN(BE71)=11,_xlfn.XLOOKUP(BE71,'Dispensed Ink Rates'!C:C,'Dispensed Ink Rates'!CS:CS),VLOOKUP(BE71,'Jan-2026 rates'!$E:$F,2,0)))</f>
        <v>0</v>
      </c>
      <c r="BQ71" s="409"/>
      <c r="BR71" s="398">
        <f>IF(BQ71=0,0,IF(LEN(BF71)=11,_xlfn.XLOOKUP(BF71,'Dispensed Ink Rates'!C:C,'Dispensed Ink Rates'!CS:CS),VLOOKUP(BF71,'Jan-2026 rates'!$E:$F,2,0)))</f>
        <v>0</v>
      </c>
      <c r="BS71" s="409"/>
      <c r="BT71" s="398">
        <f>IF(BS71=0,0,IF(LEN(BG71)=11,_xlfn.XLOOKUP(BG71,'Dispensed Ink Rates'!C:C,'Dispensed Ink Rates'!CS:CS),VLOOKUP(BG71,'Jan-2026 rates'!$E:$F,2,0)))</f>
        <v>0</v>
      </c>
      <c r="BU71" s="409"/>
      <c r="BV71" s="398">
        <f>IF(BU71=0,0,IF(LEN(BH71)=11,_xlfn.XLOOKUP(BH71,'Dispensed Ink Rates'!C:C,'Dispensed Ink Rates'!CS:CS),VLOOKUP(BH71,'Jan-2026 rates'!$E:$F,2,0)))</f>
        <v>0</v>
      </c>
      <c r="BW71" s="409"/>
      <c r="BX71" s="398">
        <f>IF(BW71=0,0,IF(LEN(BI71)=11,_xlfn.XLOOKUP(BI71,'Dispensed Ink Rates'!C:C,'Dispensed Ink Rates'!CS:CS),VLOOKUP(BI71,'Jan-2026 rates'!$E:$F,2,0)))</f>
        <v>0</v>
      </c>
      <c r="BY71" s="409"/>
      <c r="BZ71" s="398">
        <f>IF(BY71=0,0,IF(LEN(BJ71)=11,_xlfn.XLOOKUP(BJ71,'Dispensed Ink Rates'!C:C,'Dispensed Ink Rates'!CS:CS),VLOOKUP(BJ71,'Jan-2026 rates'!$E:$F,2,0)))</f>
        <v>0</v>
      </c>
      <c r="CA71" s="409" t="s">
        <v>1443</v>
      </c>
      <c r="CB71" s="409">
        <v>29</v>
      </c>
      <c r="CC71" s="411">
        <f t="shared" si="5"/>
        <v>0</v>
      </c>
      <c r="CD71" s="411">
        <f t="shared" si="6"/>
        <v>15.141176470588235</v>
      </c>
      <c r="CE71" s="410">
        <f t="shared" si="7"/>
        <v>0</v>
      </c>
      <c r="CF71" s="404" t="s">
        <v>545</v>
      </c>
      <c r="CG71" s="409" t="s">
        <v>2949</v>
      </c>
      <c r="CH71" s="420" t="str">
        <f t="shared" si="8"/>
        <v>FLINTSL - YELLOW</v>
      </c>
      <c r="CI71" s="409">
        <v>24</v>
      </c>
      <c r="CJ71" s="411">
        <f>IF(CI71=0,0,IF($LB71=70%,VLOOKUP($CH71,'Jan-2026 rates'!$L:$R,4,0),IF($LB71=65%,VLOOKUP($CH71,'Jan-2026 rates'!$L:$R,4,0),IF($LB71=40%,VLOOKUP($CH71,'Jan-2026 rates'!$L:$R,5,0),IF($LB71=30%,VLOOKUP($CH71,'Jan-2026 rates'!$L:$R,6,0),IF($LB71=100%,VLOOKUP($CH71,'Jan-2026 rates'!$L:$R,7,0),IF($LB71=60%,VLOOKUP($CH71,'Jan-2026 rates'!$L:$S,8,0),IF($LB71=80%,VLOOKUP($CH71,'Jan-2026 rates'!L:T,9,0),0))))))))</f>
        <v>0</v>
      </c>
      <c r="CK71" s="412"/>
      <c r="CL71" s="409"/>
      <c r="CM71" s="411">
        <f>IF(CL71=0,0,IF($LB71=70%,VLOOKUP($CH71,'Jan-2026 rates'!$L:$R,4,0),IF($LB71=65%,VLOOKUP($CH71,'Jan-2026 rates'!$L:$R,4,0),IF($LB71=40%,VLOOKUP($CH71,'Jan-2026 rates'!$L:$R,5,0),IF($LB71=30%,VLOOKUP($CH71,'Jan-2026 rates'!$L:$R,6,0),IF($LB71=100%,VLOOKUP($CH71,'Jan-2026 rates'!$L:$R,7,0),IF($LB71=60%,VLOOKUP($CH71,'Jan-2026 rates'!$L:$S,8,0),IF($LB71=80%,VLOOKUP($CH71,'Jan-2026 rates'!L:T,9,0),0))))))))</f>
        <v>0</v>
      </c>
      <c r="CN71" s="426">
        <v>26505000004</v>
      </c>
      <c r="CO71" s="427"/>
      <c r="CP71" s="426"/>
      <c r="CQ71" s="426"/>
      <c r="CR71" s="428"/>
      <c r="CS71" s="428"/>
      <c r="CT71" s="428"/>
      <c r="CU71" s="428"/>
      <c r="CV71" s="409">
        <v>2</v>
      </c>
      <c r="CW71" s="398" t="e">
        <f>IF(CV71=0,0,IF(LEN(CN71)=11,_xlfn.XLOOKUP(CN71,'Dispensed Ink Rates'!C:C,'Dispensed Ink Rates'!CS:CS),VLOOKUP(CN71,'Jan-2026 rates'!$E:$F,2,0)))</f>
        <v>#N/A</v>
      </c>
      <c r="CX71" s="409"/>
      <c r="CY71" s="398">
        <f>IF(CX71=0,0,IF(LEN(CO71)=11,_xlfn.XLOOKUP(CO71,'Dispensed Ink Rates'!C:C,'Dispensed Ink Rates'!CS:CS),VLOOKUP(CO71,'Jan-2026 rates'!$E:$F,2,0)))</f>
        <v>0</v>
      </c>
      <c r="CZ71" s="409"/>
      <c r="DA71" s="398">
        <f>IF(CZ71=0,0,IF(LEN(CP71)=11,_xlfn.XLOOKUP(CP71,'Dispensed Ink Rates'!C:C,'Dispensed Ink Rates'!CS:CS),VLOOKUP(CP71,'Jan-2026 rates'!$E:$F,2,0)))</f>
        <v>0</v>
      </c>
      <c r="DB71" s="409"/>
      <c r="DC71" s="398">
        <f>IF(DB71=0,0,IF(LEN(CQ71)=11,_xlfn.XLOOKUP(CQ71,'Dispensed Ink Rates'!C:C,'Dispensed Ink Rates'!CS:CS),VLOOKUP(CQ71,'Jan-2026 rates'!$E:$F,2,0)))</f>
        <v>0</v>
      </c>
      <c r="DD71" s="409"/>
      <c r="DE71" s="398">
        <f>IF(DD71=0,0,IF(LEN(CR71)=11,_xlfn.XLOOKUP(CR71,'Dispensed Ink Rates'!C:C,'Dispensed Ink Rates'!CS:CS),VLOOKUP(CR71,'Jan-2026 rates'!$E:$F,2,0)))</f>
        <v>0</v>
      </c>
      <c r="DF71" s="409"/>
      <c r="DG71" s="398">
        <f>IF(DF71=0,0,IF(LEN(CS71)=11,_xlfn.XLOOKUP(CS71,'Dispensed Ink Rates'!C:C,'Dispensed Ink Rates'!CS:CS),VLOOKUP(CS71,'Jan-2026 rates'!$E:$F,2,0)))</f>
        <v>0</v>
      </c>
      <c r="DH71" s="409"/>
      <c r="DI71" s="398">
        <f>IF(DH71=0,0,IF(LEN(CT71)=11,_xlfn.XLOOKUP(CT71,'Dispensed Ink Rates'!C:C,'Dispensed Ink Rates'!CS:CS),VLOOKUP(CT71,'Jan-2026 rates'!$E:$F,2,0)))</f>
        <v>0</v>
      </c>
      <c r="DJ71" s="409"/>
      <c r="DK71" s="398">
        <f>IF(DJ71=0,0,IF(LEN(CU71)=11,_xlfn.XLOOKUP(CU71,'Dispensed Ink Rates'!C:C,'Dispensed Ink Rates'!CS:CS),VLOOKUP(CU71,'Jan-2026 rates'!$E:$F,2,0)))</f>
        <v>0</v>
      </c>
      <c r="DL71" s="409" t="s">
        <v>1443</v>
      </c>
      <c r="DM71" s="409">
        <v>26</v>
      </c>
      <c r="DN71" s="411">
        <f t="shared" si="9"/>
        <v>0</v>
      </c>
      <c r="DO71" s="411">
        <f t="shared" si="10"/>
        <v>6.0705882352941174</v>
      </c>
      <c r="DP71" s="410">
        <f t="shared" si="11"/>
        <v>0</v>
      </c>
      <c r="DQ71" s="405" t="s">
        <v>546</v>
      </c>
      <c r="DR71" s="409" t="s">
        <v>2387</v>
      </c>
      <c r="DS71" s="420" t="str">
        <f t="shared" si="12"/>
        <v>FLINTSL - REFLEX BLUE</v>
      </c>
      <c r="DT71" s="409">
        <v>20</v>
      </c>
      <c r="DU71" s="411">
        <f>IF(DT71=0,0,IF($LB71=70%,VLOOKUP($DS71,'Jan-2026 rates'!$L:$R,4,0),IF($LB71=65%,VLOOKUP($DS71,'Jan-2026 rates'!$L:$R,4,0),IF($LB71=40%,VLOOKUP($DS71,'Jan-2026 rates'!$L:$R,5,0),IF($LB71=30%,VLOOKUP($DS71,'Jan-2026 rates'!$L:$R,6,0),IF($LB71=100%,VLOOKUP($DS71,'Jan-2026 rates'!$L:$R,7,0),IF($LB71=60%,VLOOKUP($DS71,'Jan-2026 rates'!$L:$S,8,0),IF($LB71=80%,VLOOKUP($DS71,'Jan-2026 rates'!L:T,9,0),0))))))))</f>
        <v>0</v>
      </c>
      <c r="DV71" s="412"/>
      <c r="DW71" s="409"/>
      <c r="DX71" s="411">
        <f>IF(DW71=0,0,IF($LB71=70%,VLOOKUP($DS71,'Jan-2026 rates'!$L:$R,4,0),IF($LB71=65%,VLOOKUP($DS71,'Jan-2026 rates'!$L:$R,4,0),IF($LB71=40%,VLOOKUP($DS71,'Jan-2026 rates'!$L:$R,5,0),IF($LB71=30%,VLOOKUP($DS71,'Jan-2026 rates'!$L:$R,6,0),IF($LB71=100%,VLOOKUP($DS71,'Jan-2026 rates'!$L:$R,7,0),IF($LB71=60%,VLOOKUP($DS71,'Jan-2026 rates'!$L:$S,8,0),IF($LB71=80%,VLOOKUP($DS71,'Jan-2026 rates'!L:T,9,0),0))))))))</f>
        <v>0</v>
      </c>
      <c r="DY71" s="413">
        <v>25864000013</v>
      </c>
      <c r="DZ71" s="413">
        <v>26505000016</v>
      </c>
      <c r="EA71" s="412">
        <v>26505000017</v>
      </c>
      <c r="EB71" s="412"/>
      <c r="EC71" s="412"/>
      <c r="ED71" s="412"/>
      <c r="EE71" s="412"/>
      <c r="EF71" s="412"/>
      <c r="EG71" s="409">
        <f>5+2</f>
        <v>7</v>
      </c>
      <c r="EH71" s="398" t="e">
        <f>IF(EG71=0,0,IF(LEN(DY71)=11,_xlfn.XLOOKUP(DY71,'Dispensed Ink Rates'!C:C,'Dispensed Ink Rates'!CS:CS),VLOOKUP(DY71,'Jan-2026 rates'!$E:$F,2,0)))</f>
        <v>#N/A</v>
      </c>
      <c r="EI71" s="409">
        <v>10</v>
      </c>
      <c r="EJ71" s="398" t="e">
        <f>IF(EI71=0,0,IF(LEN(DZ71)=11,_xlfn.XLOOKUP(DZ71,'Dispensed Ink Rates'!C:C,'Dispensed Ink Rates'!CS:CS),VLOOKUP(DZ71,'Jan-2026 rates'!$E:$F,2,0)))</f>
        <v>#N/A</v>
      </c>
      <c r="EK71" s="409">
        <v>20</v>
      </c>
      <c r="EL71" s="398" t="e">
        <f>IF(EK71=0,0,IF(LEN(EA71)=11,_xlfn.XLOOKUP(EA71,'Dispensed Ink Rates'!C:C,'Dispensed Ink Rates'!CS:CS),VLOOKUP(EA71,'Jan-2026 rates'!$E:$F,2,0)))</f>
        <v>#N/A</v>
      </c>
      <c r="EM71" s="409"/>
      <c r="EN71" s="398">
        <f>IF(EM71=0,0,IF(LEN(EB71)=11,_xlfn.XLOOKUP(EB71,'Dispensed Ink Rates'!C:C,'Dispensed Ink Rates'!CS:CS),VLOOKUP(EB71,'Jan-2026 rates'!$E:$F,2,0)))</f>
        <v>0</v>
      </c>
      <c r="EO71" s="409"/>
      <c r="EP71" s="398">
        <f>IF(EO71=0,0,IF(LEN(EC71)=11,_xlfn.XLOOKUP(EC71,'Dispensed Ink Rates'!C:C,'Dispensed Ink Rates'!CS:CS),VLOOKUP(EC71,'Jan-2026 rates'!$E:$F,2,0)))</f>
        <v>0</v>
      </c>
      <c r="EQ71" s="409"/>
      <c r="ER71" s="398">
        <f>IF(EQ71=0,0,IF(LEN(ED71)=11,_xlfn.XLOOKUP(ED71,'Dispensed Ink Rates'!C:C,'Dispensed Ink Rates'!CS:CS),VLOOKUP(ED71,'Jan-2026 rates'!$E:$F,2,0)))</f>
        <v>0</v>
      </c>
      <c r="ES71" s="409"/>
      <c r="ET71" s="398">
        <f>IF(ES71=0,0,IF(LEN(EE71)=11,_xlfn.XLOOKUP(EE71,'Dispensed Ink Rates'!C:C,'Dispensed Ink Rates'!CS:CS),VLOOKUP(EE71,'Jan-2026 rates'!$E:$F,2,0)))</f>
        <v>0</v>
      </c>
      <c r="EU71" s="409"/>
      <c r="EV71" s="398">
        <f>IF(EU71=0,0,IF(LEN(EF71)=11,_xlfn.XLOOKUP(EF71,'Dispensed Ink Rates'!C:C,'Dispensed Ink Rates'!CS:CS),VLOOKUP(EF71,'Jan-2026 rates'!$E:$F,2,0)))</f>
        <v>0</v>
      </c>
      <c r="EW71" s="409" t="s">
        <v>1443</v>
      </c>
      <c r="EX71" s="409">
        <v>22</v>
      </c>
      <c r="EY71" s="411">
        <f t="shared" si="13"/>
        <v>0</v>
      </c>
      <c r="EZ71" s="411">
        <f t="shared" si="14"/>
        <v>51.188235294117646</v>
      </c>
      <c r="FA71" s="410">
        <f t="shared" si="15"/>
        <v>0</v>
      </c>
      <c r="FB71" s="405" t="s">
        <v>855</v>
      </c>
      <c r="FC71" s="409" t="s">
        <v>2974</v>
      </c>
      <c r="FD71" s="420" t="str">
        <f t="shared" si="16"/>
        <v>FLINTSL - CYAN</v>
      </c>
      <c r="FE71" s="409">
        <v>29</v>
      </c>
      <c r="FF71" s="411">
        <f>IF(FE71=0,0,IF($LB71=70%,VLOOKUP($FD71,'Jan-2026 rates'!$L:$R,4,0),IF($LB71=65%,VLOOKUP($FD71,'Jan-2026 rates'!$L:$R,4,0),IF($LB71=40%,VLOOKUP($FD71,'Jan-2026 rates'!$L:$R,5,0),IF($LB71=30%,VLOOKUP($FD71,'Jan-2026 rates'!$L:$R,6,0),IF($LB71=100%,VLOOKUP($FD71,'Jan-2026 rates'!$L:$R,7,0),IF($LB71=60%,VLOOKUP($FD71,'Jan-2026 rates'!$L:$S,8,0),IF($LB71=80%,VLOOKUP($FD71,'Jan-2026 rates'!L:T,9,0),0))))))))</f>
        <v>0</v>
      </c>
      <c r="FG71" s="412"/>
      <c r="FH71" s="409"/>
      <c r="FI71" s="411">
        <f>IF(FH71=0,0,IF($LB71=70%,VLOOKUP($FD71,'Jan-2026 rates'!$L:$R,4,0),IF($LB71=65%,VLOOKUP($FD71,'Jan-2026 rates'!$L:$R,4,0),IF($LB71=40%,VLOOKUP($FD71,'Jan-2026 rates'!$L:$R,5,0),IF($LB71=30%,VLOOKUP($FD71,'Jan-2026 rates'!$L:$R,6,0),IF($LB71=100%,VLOOKUP($FD71,'Jan-2026 rates'!$L:$R,7,0),IF($LB71=60%,VLOOKUP($FD71,'Jan-2026 rates'!$L:$S,8,0),IF($LB71=80%,VLOOKUP($FD71,'Jan-2026 rates'!L:T,9,0),0))))))))</f>
        <v>0</v>
      </c>
      <c r="FJ71" s="413"/>
      <c r="FK71" s="413"/>
      <c r="FL71" s="413"/>
      <c r="FM71" s="412"/>
      <c r="FN71" s="412"/>
      <c r="FO71" s="412"/>
      <c r="FP71" s="412"/>
      <c r="FQ71" s="412"/>
      <c r="FR71" s="409"/>
      <c r="FS71" s="398">
        <f>IF(FR71=0,0,IF(LEN(FJ71)=11,_xlfn.XLOOKUP(FJ71,'Dispensed Ink Rates'!C:C,'Dispensed Ink Rates'!CS:CS),VLOOKUP(FJ71,'Jan-2026 rates'!$E:$F,2,0)))</f>
        <v>0</v>
      </c>
      <c r="FT71" s="409"/>
      <c r="FU71" s="398">
        <f>IF(FT71=0,0,IF(LEN(FK71)=11,_xlfn.XLOOKUP(FK71,'Dispensed Ink Rates'!C:C,'Dispensed Ink Rates'!CS:CS),VLOOKUP(FK71,'Jan-2026 rates'!$E:$F,2,0)))</f>
        <v>0</v>
      </c>
      <c r="FV71" s="409"/>
      <c r="FW71" s="398">
        <f>IF(FV71=0,0,IF(LEN(FL71)=11,_xlfn.XLOOKUP(FL71,'Dispensed Ink Rates'!C:C,'Dispensed Ink Rates'!CS:CS),VLOOKUP(FL71,'Jan-2026 rates'!$E:$F,2,0)))</f>
        <v>0</v>
      </c>
      <c r="FX71" s="409"/>
      <c r="FY71" s="398">
        <f>IF(FX71=0,0,IF(LEN(FM71)=11,_xlfn.XLOOKUP(FM71,'Dispensed Ink Rates'!C:C,'Dispensed Ink Rates'!CS:CS),VLOOKUP(FM71,'Jan-2026 rates'!$E:$F,2,0)))</f>
        <v>0</v>
      </c>
      <c r="FZ71" s="409"/>
      <c r="GA71" s="398">
        <f>IF(FZ71=0,0,IF(LEN(FN71)=11,_xlfn.XLOOKUP(FN71,'Dispensed Ink Rates'!C:C,'Dispensed Ink Rates'!CS:CS),VLOOKUP(FN71,'Jan-2026 rates'!$E:$F,2,0)))</f>
        <v>0</v>
      </c>
      <c r="GB71" s="409"/>
      <c r="GC71" s="398">
        <f>IF(GB71=0,0,IF(LEN(FO71)=11,_xlfn.XLOOKUP(FO71,'Dispensed Ink Rates'!C:C,'Dispensed Ink Rates'!CS:CS),VLOOKUP(FO71,'Jan-2026 rates'!$E:$F,2,0)))</f>
        <v>0</v>
      </c>
      <c r="GD71" s="409"/>
      <c r="GE71" s="398">
        <f>IF(GD71=0,0,IF(LEN(FP71)=11,_xlfn.XLOOKUP(FP71,'Dispensed Ink Rates'!C:C,'Dispensed Ink Rates'!CS:CS),VLOOKUP(FP71,'Jan-2026 rates'!$E:$F,2,0)))</f>
        <v>0</v>
      </c>
      <c r="GF71" s="409"/>
      <c r="GG71" s="398">
        <f>IF(GF71=0,0,IF(LEN(FQ71)=11,_xlfn.XLOOKUP(FQ71,'Dispensed Ink Rates'!C:C,'Dispensed Ink Rates'!CS:CS),VLOOKUP(FQ71,'Jan-2026 rates'!$E:$F,2,0)))</f>
        <v>0</v>
      </c>
      <c r="GH71" s="409" t="s">
        <v>1443</v>
      </c>
      <c r="GI71" s="409">
        <v>28</v>
      </c>
      <c r="GJ71" s="411">
        <f t="shared" si="17"/>
        <v>0</v>
      </c>
      <c r="GK71" s="411">
        <f t="shared" si="18"/>
        <v>5.0470588235294116</v>
      </c>
      <c r="GL71" s="410">
        <f t="shared" si="19"/>
        <v>0</v>
      </c>
      <c r="GM71" s="405" t="s">
        <v>544</v>
      </c>
      <c r="GN71" s="409" t="s">
        <v>2975</v>
      </c>
      <c r="GO71" s="420" t="str">
        <f t="shared" si="20"/>
        <v>FLINTSL - MAGENTA</v>
      </c>
      <c r="GP71" s="409">
        <v>28</v>
      </c>
      <c r="GQ71" s="411">
        <f>IF(GP71=0,0,IF($LB71=70%,VLOOKUP($GO71,'Jan-2026 rates'!$L:$R,4,0),IF($LB71=65%,VLOOKUP($GO71,'Jan-2026 rates'!$L:$R,4,0),IF($LB71=40%,VLOOKUP($GO71,'Jan-2026 rates'!$L:$R,5,0),IF($LB71=30%,VLOOKUP($GO71,'Jan-2026 rates'!$L:$R,6,0),IF($LB71=100%,VLOOKUP($GO71,'Jan-2026 rates'!$L:$R,7,0),IF($LB71=60%,VLOOKUP($GO71,'Jan-2026 rates'!$L:$S,8,0),IF($LB71=80%,VLOOKUP($GO71,'Jan-2026 rates'!L:T,9,0),0))))))))</f>
        <v>0</v>
      </c>
      <c r="GR71" s="412"/>
      <c r="GS71" s="409"/>
      <c r="GT71" s="411">
        <f>IF(GS71=0,0,IF($LB71=70%,VLOOKUP($GO71,'Jan-2026 rates'!$L:$R,4,0),IF($LB71=65%,VLOOKUP($GO71,'Jan-2026 rates'!$L:$R,4,0),IF($LB71=40%,VLOOKUP($GO71,'Jan-2026 rates'!$L:$R,5,0),IF($LB71=30%,VLOOKUP($GO71,'Jan-2026 rates'!$L:$R,6,0),IF($LB71=100%,VLOOKUP($GO71,'Jan-2026 rates'!$L:$R,7,0),IF($LB71=60%,VLOOKUP($GO71,'Jan-2026 rates'!$L:$S,8,0),IF($LB71=80%,VLOOKUP($GO71,'Jan-2026 rates'!L:T,9,0),0))))))))</f>
        <v>0</v>
      </c>
      <c r="GU71" s="413">
        <v>26505000005</v>
      </c>
      <c r="GV71" s="413"/>
      <c r="GW71" s="412"/>
      <c r="GX71" s="412"/>
      <c r="GY71" s="412"/>
      <c r="GZ71" s="412"/>
      <c r="HA71" s="412"/>
      <c r="HB71" s="412"/>
      <c r="HC71" s="409">
        <v>2</v>
      </c>
      <c r="HD71" s="398" t="e">
        <f>IF(HC71=0,0,IF(LEN(GU71)=11,_xlfn.XLOOKUP(GU71,'Dispensed Ink Rates'!C:C,'Dispensed Ink Rates'!CS:CS),VLOOKUP(GU71,'Jan-2026 rates'!$E:$F,2,0)))</f>
        <v>#N/A</v>
      </c>
      <c r="HE71" s="409"/>
      <c r="HF71" s="398">
        <f>IF(HE71=0,0,IF(LEN(GV71)=11,_xlfn.XLOOKUP(GV71,'Dispensed Ink Rates'!C:C,'Dispensed Ink Rates'!CS:CS),VLOOKUP(GV71,'Jan-2026 rates'!$E:$F,2,0)))</f>
        <v>0</v>
      </c>
      <c r="HG71" s="409"/>
      <c r="HH71" s="398">
        <f>IF(HG71=0,0,IF(LEN(GW71)=11,_xlfn.XLOOKUP(GW71,'Dispensed Ink Rates'!C:C,'Dispensed Ink Rates'!CS:CS),VLOOKUP(GW71,'Jan-2026 rates'!$E:$F,2,0)))</f>
        <v>0</v>
      </c>
      <c r="HI71" s="409"/>
      <c r="HJ71" s="398">
        <f>IF(HI71=0,0,IF(LEN(GX71)=11,_xlfn.XLOOKUP(GX71,'Dispensed Ink Rates'!C:C,'Dispensed Ink Rates'!CS:CS),VLOOKUP(GX71,'Jan-2026 rates'!$E:$F,2,0)))</f>
        <v>0</v>
      </c>
      <c r="HK71" s="409"/>
      <c r="HL71" s="398">
        <f>IF(HK71=0,0,IF(LEN(GY71)=11,_xlfn.XLOOKUP(GY71,'Dispensed Ink Rates'!C:C,'Dispensed Ink Rates'!CS:CS),VLOOKUP(GY71,'Jan-2026 rates'!$E:$F,2,0)))</f>
        <v>0</v>
      </c>
      <c r="HM71" s="409"/>
      <c r="HN71" s="398">
        <f>IF(HM71=0,0,IF(LEN(GZ71)=11,_xlfn.XLOOKUP(GZ71,'Dispensed Ink Rates'!C:C,'Dispensed Ink Rates'!CS:CS),VLOOKUP(GZ71,'Jan-2026 rates'!$E:$F,2,0)))</f>
        <v>0</v>
      </c>
      <c r="HO71" s="409"/>
      <c r="HP71" s="398">
        <f>IF(HO71=0,0,IF(LEN(HA71)=11,_xlfn.XLOOKUP(HA71,'Dispensed Ink Rates'!C:C,'Dispensed Ink Rates'!CS:CS),VLOOKUP(HA71,'Jan-2026 rates'!$E:$F,2,0)))</f>
        <v>0</v>
      </c>
      <c r="HQ71" s="409"/>
      <c r="HR71" s="398">
        <f>IF(HQ71=0,0,IF(LEN(HB71)=11,_xlfn.XLOOKUP(HB71,'Dispensed Ink Rates'!C:C,'Dispensed Ink Rates'!CS:CS),VLOOKUP(HB71,'Jan-2026 rates'!$E:$F,2,0)))</f>
        <v>0</v>
      </c>
      <c r="HS71" s="409" t="s">
        <v>1443</v>
      </c>
      <c r="HT71" s="409">
        <v>29</v>
      </c>
      <c r="HU71" s="411">
        <f t="shared" si="21"/>
        <v>0</v>
      </c>
      <c r="HV71" s="411">
        <f t="shared" si="22"/>
        <v>7.0705882352941174</v>
      </c>
      <c r="HW71" s="414">
        <f t="shared" si="23"/>
        <v>0</v>
      </c>
      <c r="HX71" s="405" t="s">
        <v>545</v>
      </c>
      <c r="HY71" s="409" t="s">
        <v>2976</v>
      </c>
      <c r="HZ71" s="420" t="str">
        <f t="shared" si="24"/>
        <v>FLINTSL - YELLOW</v>
      </c>
      <c r="IA71" s="409">
        <v>30</v>
      </c>
      <c r="IB71" s="411">
        <f>IF(IA71=0,0,IF($LB71=70%,VLOOKUP($HZ71,'Jan-2026 rates'!$L:$R,4,0),IF($LB71=65%,VLOOKUP($HZ71,'Jan-2026 rates'!$L:$R,4,0),IF($LB71=40%,VLOOKUP($HZ71,'Jan-2026 rates'!$L:$R,5,0),IF($LB71=30%,VLOOKUP($HZ71,'Jan-2026 rates'!$L:$R,6,0),IF($LB71=100%,VLOOKUP($HZ71,'Jan-2026 rates'!$L:$R,7,0),IF($LB71=60%,VLOOKUP($HZ71,'Jan-2026 rates'!$L:$S,8,0),IF($LB71=80%,VLOOKUP($HZ71,'Jan-2026 rates'!L:T,9,0),0))))))))</f>
        <v>0</v>
      </c>
      <c r="IC71" s="412"/>
      <c r="ID71" s="409"/>
      <c r="IE71" s="411">
        <f>IF(ID71=0,0,IF($LB71=70%,VLOOKUP($HZ71,'Jan-2026 rates'!$L:$R,4,0),IF($LB71=65%,VLOOKUP($HZ71,'Jan-2026 rates'!$L:$R,4,0),IF($LB71=40%,VLOOKUP($HZ71,'Jan-2026 rates'!$L:$R,5,0),IF($LB71=30%,VLOOKUP($HZ71,'Jan-2026 rates'!$L:$R,6,0),IF($LB71=100%,VLOOKUP($HZ71,'Jan-2026 rates'!$L:$R,7,0),IF($LB71=60%,VLOOKUP($HZ71,'Jan-2026 rates'!$L:$S,8,0),IF($LB71=80%,VLOOKUP($HZ71,'Jan-2026 rates'!L:T,9,0),0))))))))</f>
        <v>0</v>
      </c>
      <c r="IF71" s="412">
        <v>26505000004</v>
      </c>
      <c r="IG71" s="413" t="s">
        <v>1266</v>
      </c>
      <c r="IH71" s="412"/>
      <c r="II71" s="412"/>
      <c r="IJ71" s="412"/>
      <c r="IK71" s="412"/>
      <c r="IL71" s="412"/>
      <c r="IM71" s="412"/>
      <c r="IN71" s="409">
        <v>6</v>
      </c>
      <c r="IO71" s="398" t="e">
        <f>IF(IN71=0,0,IF(LEN(IF71)=11,_xlfn.XLOOKUP(IF71,'Dispensed Ink Rates'!C:C,'Dispensed Ink Rates'!CS:CS),VLOOKUP(IF71,'Jan-2026 rates'!$E:$F,2,0)))</f>
        <v>#N/A</v>
      </c>
      <c r="IP71" s="409">
        <v>5</v>
      </c>
      <c r="IQ71" s="398">
        <f>IF(IP71=0,0,IF(LEN(IG71)=11,_xlfn.XLOOKUP(IG71,'Dispensed Ink Rates'!C:C,'Dispensed Ink Rates'!CS:CS),VLOOKUP(IG71,'Jan-2026 rates'!$E:$F,2,0)))</f>
        <v>0</v>
      </c>
      <c r="IR71" s="409"/>
      <c r="IS71" s="398">
        <f>IF(IR71=0,0,IF(LEN(IH71)=11,_xlfn.XLOOKUP(IH71,'Dispensed Ink Rates'!C:C,'Dispensed Ink Rates'!CS:CS),VLOOKUP(IH71,'Jan-2026 rates'!$E:$F,2,0)))</f>
        <v>0</v>
      </c>
      <c r="IT71" s="409"/>
      <c r="IU71" s="398">
        <f>IF(IT71=0,0,IF(LEN(II71)=11,_xlfn.XLOOKUP(II71,'Dispensed Ink Rates'!C:C,'Dispensed Ink Rates'!CS:CS),VLOOKUP(II71,'Jan-2026 rates'!$E:$F,2,0)))</f>
        <v>0</v>
      </c>
      <c r="IV71" s="409"/>
      <c r="IW71" s="398">
        <f>IF(IV71=0,0,IF(LEN(IJ71)=11,_xlfn.XLOOKUP(IJ71,'Dispensed Ink Rates'!C:C,'Dispensed Ink Rates'!CS:CS),VLOOKUP(IJ71,'Jan-2026 rates'!$E:$F,2,0)))</f>
        <v>0</v>
      </c>
      <c r="IX71" s="409"/>
      <c r="IY71" s="398">
        <f>IF(IX71=0,0,IF(LEN(IK71)=11,_xlfn.XLOOKUP(IK71,'Dispensed Ink Rates'!C:C,'Dispensed Ink Rates'!CS:CS),VLOOKUP(IK71,'Jan-2026 rates'!$E:$F,2,0)))</f>
        <v>0</v>
      </c>
      <c r="IZ71" s="409"/>
      <c r="JA71" s="398">
        <f>IF(IZ71=0,0,IF(LEN(IL71)=11,_xlfn.XLOOKUP(IL71,'Dispensed Ink Rates'!C:C,'Dispensed Ink Rates'!CS:CS),VLOOKUP(IL71,'Jan-2026 rates'!$E:$F,2,0)))</f>
        <v>0</v>
      </c>
      <c r="JB71" s="409"/>
      <c r="JC71" s="398">
        <f>IF(JB71=0,0,IF(LEN(IM71)=11,_xlfn.XLOOKUP(IM71,'Dispensed Ink Rates'!C:C,'Dispensed Ink Rates'!CS:CS),VLOOKUP(IM71,'Jan-2026 rates'!$E:$F,2,0)))</f>
        <v>0</v>
      </c>
      <c r="JD71" s="409" t="s">
        <v>1443</v>
      </c>
      <c r="JE71" s="409">
        <v>30</v>
      </c>
      <c r="JF71" s="411">
        <f t="shared" si="25"/>
        <v>0</v>
      </c>
      <c r="JG71" s="411">
        <f t="shared" si="26"/>
        <v>27.188235294117646</v>
      </c>
      <c r="JH71" s="410">
        <f t="shared" si="27"/>
        <v>0</v>
      </c>
      <c r="JI71" s="405" t="s">
        <v>856</v>
      </c>
      <c r="JJ71" s="409" t="s">
        <v>2977</v>
      </c>
      <c r="JK71" s="420" t="str">
        <f t="shared" si="28"/>
        <v>FLINTSL - WHITE</v>
      </c>
      <c r="JL71" s="409">
        <v>30</v>
      </c>
      <c r="JM71" s="411">
        <f>IF(JL71=0,0,IF($LB71=70%,VLOOKUP($JK71,'Jan-2026 rates'!$L:$R,4,0),IF($LB71=65%,VLOOKUP($JK71,'Jan-2026 rates'!$L:$R,4,0),IF($LB71=40%,VLOOKUP($JK71,'Jan-2026 rates'!$L:$R,5,0),IF($LB71=30%,VLOOKUP($JK71,'Jan-2026 rates'!$L:$R,6,0),IF($LB71=100%,VLOOKUP($JK71,'Jan-2026 rates'!$L:$R,7,0),IF($LB71=60%,VLOOKUP($JK71,'Jan-2026 rates'!$L:$S,8,0),IF($LB71=80%,VLOOKUP($JK71,'Jan-2026 rates'!L:T,9,0),0))))))))</f>
        <v>0</v>
      </c>
      <c r="JN71" s="412"/>
      <c r="JO71" s="409"/>
      <c r="JP71" s="411">
        <f>IF(JO71=0,0,IF($LB71=70%,VLOOKUP($JK71,'Jan-2026 rates'!$L:$R,4,0),IF($LB71=65%,VLOOKUP($JK71,'Jan-2026 rates'!$L:$R,4,0),IF($LB71=40%,VLOOKUP($JK71,'Jan-2026 rates'!$L:$R,5,0),IF($LB71=30%,VLOOKUP($JK71,'Jan-2026 rates'!$L:$R,6,0),IF($LB71=100%,VLOOKUP($JK71,'Jan-2026 rates'!$L:$R,7,0),IF($LB71=60%,VLOOKUP($JK71,'Jan-2026 rates'!$L:$S,8,0),IF($LB71=80%,VLOOKUP($JK71,'Jan-2026 rates'!L:T,9,0),0))))))))</f>
        <v>0</v>
      </c>
      <c r="JQ71" s="413" t="s">
        <v>484</v>
      </c>
      <c r="JR71" s="412"/>
      <c r="JS71" s="413"/>
      <c r="JT71" s="413"/>
      <c r="JU71" s="412"/>
      <c r="JV71" s="412"/>
      <c r="JW71" s="412"/>
      <c r="JX71" s="412"/>
      <c r="JY71" s="409">
        <f>30+40</f>
        <v>70</v>
      </c>
      <c r="JZ71" s="398">
        <f>IF(JY71=0,0,IF(LEN(JQ71)=11,_xlfn.XLOOKUP(JQ71,'Dispensed Ink Rates'!C:C,'Dispensed Ink Rates'!CS:CS),VLOOKUP(JQ71,'Jan-2026 rates'!$E:$F,2,0)))</f>
        <v>0</v>
      </c>
      <c r="KA71" s="409"/>
      <c r="KB71" s="398">
        <f>IF(KA71=0,0,IF(LEN(JR71)=11,_xlfn.XLOOKUP(JR71,'Dispensed Ink Rates'!C:C,'Dispensed Ink Rates'!CS:CS),VLOOKUP(JR71,'Jan-2026 rates'!$E:$F,2,0)))</f>
        <v>0</v>
      </c>
      <c r="KC71" s="409"/>
      <c r="KD71" s="398">
        <f>IF(KC71=0,0,IF(LEN(JS71)=11,_xlfn.XLOOKUP(JS71,'Dispensed Ink Rates'!C:C,'Dispensed Ink Rates'!CS:CS),VLOOKUP(JS71,'Jan-2026 rates'!$E:$F,2,0)))</f>
        <v>0</v>
      </c>
      <c r="KE71" s="409"/>
      <c r="KF71" s="398">
        <f>IF(KE71=0,0,IF(LEN(JT71)=11,_xlfn.XLOOKUP(JT71,'Dispensed Ink Rates'!C:C,'Dispensed Ink Rates'!CS:CS),VLOOKUP(JT71,'Jan-2026 rates'!$E:$F,2,0)))</f>
        <v>0</v>
      </c>
      <c r="KG71" s="409"/>
      <c r="KH71" s="398">
        <f>IF(KG71=0,0,IF(LEN(JU71)=11,_xlfn.XLOOKUP(JU71,'Dispensed Ink Rates'!C:C,'Dispensed Ink Rates'!CS:CS),VLOOKUP(JU71,'Jan-2026 rates'!$E:$F,2,0)))</f>
        <v>0</v>
      </c>
      <c r="KI71" s="409"/>
      <c r="KJ71" s="398">
        <f>IF(KI71=0,0,IF(LEN(JV71)=11,_xlfn.XLOOKUP(JV71,'Dispensed Ink Rates'!C:C,'Dispensed Ink Rates'!CS:CS),VLOOKUP(JV71,'Jan-2026 rates'!$E:$F,2,0)))</f>
        <v>0</v>
      </c>
      <c r="KK71" s="409"/>
      <c r="KL71" s="398">
        <f>IF(KK71=0,0,IF(LEN(JW71)=11,_xlfn.XLOOKUP(JW71,'Dispensed Ink Rates'!C:C,'Dispensed Ink Rates'!CS:CS),VLOOKUP(JW71,'Jan-2026 rates'!$E:$F,2,0)))</f>
        <v>0</v>
      </c>
      <c r="KM71" s="428"/>
      <c r="KN71" s="398">
        <f>IF(KM71=0,0,IF(LEN(JX71)=11,_xlfn.XLOOKUP(JX71,'Dispensed Ink Rates'!C:C,'Dispensed Ink Rates'!CS:CS),VLOOKUP(JX71,'Jan-2026 rates'!$E:$F,2,0)))</f>
        <v>0</v>
      </c>
      <c r="KO71" s="409" t="s">
        <v>1443</v>
      </c>
      <c r="KP71" s="409">
        <v>30</v>
      </c>
      <c r="KQ71" s="411">
        <f t="shared" si="29"/>
        <v>0</v>
      </c>
      <c r="KR71" s="411">
        <f t="shared" si="30"/>
        <v>171.1764705882353</v>
      </c>
      <c r="KS71" s="410">
        <f t="shared" si="31"/>
        <v>0</v>
      </c>
      <c r="KT71" s="409">
        <v>5</v>
      </c>
      <c r="KU71" s="409">
        <v>6</v>
      </c>
      <c r="KV71" s="409">
        <v>3</v>
      </c>
      <c r="KW71" s="409">
        <v>8</v>
      </c>
      <c r="KX71" s="409">
        <v>2</v>
      </c>
      <c r="KY71" s="409">
        <v>3</v>
      </c>
      <c r="KZ71" s="409">
        <v>8</v>
      </c>
      <c r="LA71" s="409">
        <f>20+30</f>
        <v>50</v>
      </c>
      <c r="LB71" s="415">
        <v>0.8</v>
      </c>
      <c r="LC71" s="415">
        <v>0.2</v>
      </c>
      <c r="LD71" s="415"/>
      <c r="LE71" s="415"/>
      <c r="LF71" s="415"/>
      <c r="LG71" s="409">
        <v>0</v>
      </c>
      <c r="LH71" s="409">
        <f>50+40+56+14+5+5+2</f>
        <v>172</v>
      </c>
      <c r="LI71" s="409">
        <v>0</v>
      </c>
      <c r="LJ71" s="409">
        <v>0</v>
      </c>
      <c r="LK71" s="416">
        <f t="shared" si="32"/>
        <v>172</v>
      </c>
      <c r="LL71" s="416">
        <f t="shared" si="33"/>
        <v>172</v>
      </c>
      <c r="LM71" s="417">
        <f t="shared" si="34"/>
        <v>137.6</v>
      </c>
      <c r="LN71" s="417">
        <f>VLOOKUP($LM$8,'Jan-2026 rates'!$H:$I,2,0)</f>
        <v>0</v>
      </c>
      <c r="LO71" s="417">
        <f t="shared" si="35"/>
        <v>34.4</v>
      </c>
      <c r="LP71" s="417">
        <f>VLOOKUP($LO$8,'Jan-2026 rates'!$H:$I,2,0)</f>
        <v>0</v>
      </c>
      <c r="LQ71" s="417">
        <f t="shared" si="36"/>
        <v>0</v>
      </c>
      <c r="LR71" s="417">
        <f>VLOOKUP($LQ$8,'Jan-2026 rates'!$H:$I,2,0)</f>
        <v>0</v>
      </c>
      <c r="LS71" s="417">
        <f t="shared" si="37"/>
        <v>0</v>
      </c>
      <c r="LT71" s="417">
        <f>VLOOKUP($LS$8,'Jan-2026 rates'!$H:$I,2,0)</f>
        <v>0</v>
      </c>
      <c r="LU71" s="417">
        <f t="shared" si="38"/>
        <v>0</v>
      </c>
      <c r="LV71" s="417">
        <f>VLOOKUP($LU$8,'Jan-2026 rates'!$H:$I,2,0)</f>
        <v>0</v>
      </c>
      <c r="LW71" s="417">
        <f t="shared" si="39"/>
        <v>0</v>
      </c>
      <c r="LX71" s="417">
        <f t="shared" si="40"/>
        <v>0</v>
      </c>
      <c r="LY71" s="418">
        <f t="shared" si="41"/>
        <v>0</v>
      </c>
      <c r="LZ71" s="417"/>
      <c r="MA71" s="435">
        <f t="shared" si="42"/>
        <v>126</v>
      </c>
      <c r="MB71" s="282">
        <f t="shared" si="43"/>
        <v>313</v>
      </c>
      <c r="MC71" s="283">
        <v>26</v>
      </c>
      <c r="MD71" s="284" t="str">
        <f t="shared" si="44"/>
        <v>FLINTSLFLINTSLFLINTSLFLINTSLFLINTSLFLINTSLFLINTSLFLINTSL</v>
      </c>
      <c r="ME71" s="293" t="str">
        <f t="shared" si="45"/>
        <v>+</v>
      </c>
      <c r="MF71" s="293" t="str">
        <f t="shared" si="46"/>
        <v>+</v>
      </c>
      <c r="MG71" s="293" t="str">
        <f t="shared" si="47"/>
        <v>+</v>
      </c>
      <c r="MH71" s="293" t="str">
        <f t="shared" si="48"/>
        <v>+</v>
      </c>
      <c r="MI71" s="293" t="str">
        <f t="shared" si="49"/>
        <v>+</v>
      </c>
      <c r="MJ71" s="293" t="str">
        <f t="shared" si="50"/>
        <v>+</v>
      </c>
      <c r="MK71" s="293" t="str">
        <f t="shared" si="51"/>
        <v>+</v>
      </c>
      <c r="ML71" s="293" t="str">
        <f t="shared" si="52"/>
        <v>+</v>
      </c>
      <c r="MM71" s="3" t="b">
        <f t="array" ref="MM71">OR(ME71:ML71="-")</f>
        <v>0</v>
      </c>
      <c r="MN71" s="285"/>
      <c r="MO71" s="401"/>
      <c r="MP71" s="286"/>
      <c r="MQ71" s="286"/>
      <c r="MR71" s="402"/>
      <c r="MS71" s="400"/>
      <c r="NH71" s="422"/>
      <c r="NJ71" s="421"/>
    </row>
    <row r="72" spans="1:374" s="1" customFormat="1" ht="16.5">
      <c r="A72" s="403">
        <v>46027</v>
      </c>
      <c r="B72" s="404" t="s">
        <v>1015</v>
      </c>
      <c r="C72" s="405" t="s">
        <v>2978</v>
      </c>
      <c r="D72" s="406">
        <v>27</v>
      </c>
      <c r="E72" s="404">
        <v>478</v>
      </c>
      <c r="F72" s="407">
        <v>24200</v>
      </c>
      <c r="G72" s="407" t="s">
        <v>1016</v>
      </c>
      <c r="H72" s="408" t="s">
        <v>1017</v>
      </c>
      <c r="I72" s="409">
        <v>1.0900000000000001</v>
      </c>
      <c r="J72" s="405" t="s">
        <v>543</v>
      </c>
      <c r="K72" s="404" t="s">
        <v>2979</v>
      </c>
      <c r="L72" s="419" t="str">
        <f t="shared" ref="L72:L169" si="54">CONCATENATE(AP72," - ",J72)</f>
        <v>FLINTSL - BLACK</v>
      </c>
      <c r="M72" s="404">
        <v>29</v>
      </c>
      <c r="N72" s="410">
        <f>IF(M72=0,0,IF($LB72=70%,VLOOKUP($L72,'Jan-2026 rates'!$L:$R,4,0),IF($LB72=65%,VLOOKUP($L72,'Jan-2026 rates'!$L:$R,4,0),IF($LB72=40%,VLOOKUP($L72,'Jan-2026 rates'!$L:$R,5,0),IF($LB72=30%,VLOOKUP($L72,'Jan-2026 rates'!$L:$R,6,0),IF($LB72=100%,VLOOKUP($L72,'Jan-2026 rates'!$L:$R,7,0),IF($LB72=60%,VLOOKUP($L72,'Jan-2026 rates'!$L:$S,8,0),IF($LB72=80%,VLOOKUP($L72,'Jan-2026 rates'!L:T,9,0),0))))))))</f>
        <v>0</v>
      </c>
      <c r="O72" s="406"/>
      <c r="P72" s="404"/>
      <c r="Q72" s="410">
        <f>IF(P72=0,0,IF($LB72=70%,VLOOKUP($L72,'Jan-2026 rates'!$L:$R,4,0),IF($LB72=65%,VLOOKUP($L72,'Jan-2026 rates'!$L:$R,4,0),IF($LB72=40%,VLOOKUP($L72,'Jan-2026 rates'!$L:$R,5,0),IF($LB72=30%,VLOOKUP($L72,'Jan-2026 rates'!$L:$R,6,0),IF($LB72=100%,VLOOKUP($L72,'Jan-2026 rates'!$L:$R,7,0),IF($LB72=60%,VLOOKUP($L72,'Jan-2026 rates'!$L:$S,8,0),IF($LB72=80%,VLOOKUP($L72,'Jan-2026 rates'!L:T,9,0),0))))))))</f>
        <v>0</v>
      </c>
      <c r="R72" s="406">
        <v>26506000005</v>
      </c>
      <c r="S72" s="406"/>
      <c r="T72" s="406"/>
      <c r="U72" s="406"/>
      <c r="V72" s="406"/>
      <c r="W72" s="406"/>
      <c r="X72" s="406"/>
      <c r="Y72" s="406"/>
      <c r="Z72" s="404">
        <v>6</v>
      </c>
      <c r="AA72" s="398" t="e">
        <f>IF(Z72=0,0,IF(LEN(R72)=11,_xlfn.XLOOKUP(R72,'Dispensed Ink Rates'!C:C,'Dispensed Ink Rates'!CS:CS),VLOOKUP(R72,'Jan-2026 rates'!$E:$F,2,0)))</f>
        <v>#N/A</v>
      </c>
      <c r="AB72" s="404"/>
      <c r="AC72" s="398">
        <f>IF(AB72=0,0,IF(LEN(S72)=11,_xlfn.XLOOKUP(S72,'Dispensed Ink Rates'!C:C,'Dispensed Ink Rates'!CS:CS),VLOOKUP(S72,'Jan-2026 rates'!$E:$F,2,0)))</f>
        <v>0</v>
      </c>
      <c r="AD72" s="404"/>
      <c r="AE72" s="398">
        <f>IF(AD72=0,0,IF(LEN(T72)=11,_xlfn.XLOOKUP(T72,'Dispensed Ink Rates'!C:C,'Dispensed Ink Rates'!CS:CS),VLOOKUP(T72,'Jan-2026 rates'!$E:$F,2,0)))</f>
        <v>0</v>
      </c>
      <c r="AF72" s="404"/>
      <c r="AG72" s="398">
        <f>IF(AF72=0,0,IF(LEN(U72)=11,_xlfn.XLOOKUP(U72,'Dispensed Ink Rates'!C:C,'Dispensed Ink Rates'!CS:CS),VLOOKUP(U72,'Jan-2026 rates'!$E:$F,2,0)))</f>
        <v>0</v>
      </c>
      <c r="AH72" s="404"/>
      <c r="AI72" s="398">
        <f>IF(AH72=0,0,IF(LEN(V72)=11,_xlfn.XLOOKUP(V72,'Dispensed Ink Rates'!C:C,'Dispensed Ink Rates'!CS:CS),VLOOKUP(V72,'Jan-2026 rates'!$E:$F,2,0)))</f>
        <v>0</v>
      </c>
      <c r="AJ72" s="404"/>
      <c r="AK72" s="398">
        <f>IF(AJ72=0,0,IF(LEN(W72)=11,_xlfn.XLOOKUP(W72,'Dispensed Ink Rates'!C:C,'Dispensed Ink Rates'!CS:CS),VLOOKUP(W72,'Jan-2026 rates'!$E:$F,2,0)))</f>
        <v>0</v>
      </c>
      <c r="AL72" s="404"/>
      <c r="AM72" s="398">
        <f>IF(AL72=0,0,IF(LEN(X72)=11,_xlfn.XLOOKUP(X72,'Dispensed Ink Rates'!C:C,'Dispensed Ink Rates'!CS:CS),VLOOKUP(X72,'Jan-2026 rates'!$E:$F,2,0)))</f>
        <v>0</v>
      </c>
      <c r="AN72" s="404"/>
      <c r="AO72" s="398">
        <f>IF(AN72=0,0,IF(LEN(Y72)=11,_xlfn.XLOOKUP(Y72,'Dispensed Ink Rates'!C:C,'Dispensed Ink Rates'!CS:CS),VLOOKUP(Y72,'Jan-2026 rates'!$E:$F,2,0)))</f>
        <v>0</v>
      </c>
      <c r="AP72" s="409" t="s">
        <v>1443</v>
      </c>
      <c r="AQ72" s="409">
        <v>26</v>
      </c>
      <c r="AR72" s="410">
        <f t="shared" si="1"/>
        <v>0</v>
      </c>
      <c r="AS72" s="411">
        <f t="shared" si="2"/>
        <v>22</v>
      </c>
      <c r="AT72" s="410">
        <f t="shared" si="3"/>
        <v>0</v>
      </c>
      <c r="AU72" s="405" t="s">
        <v>857</v>
      </c>
      <c r="AV72" s="409" t="s">
        <v>2980</v>
      </c>
      <c r="AW72" s="420" t="str">
        <f t="shared" si="53"/>
        <v>FLINTSL - RED</v>
      </c>
      <c r="AX72" s="409">
        <v>27</v>
      </c>
      <c r="AY72" s="411">
        <f>IF(AX72=0,0,IF($LB72=70%,VLOOKUP($AW72,'Jan-2026 rates'!$L:$R,4,0),IF($LB72=65%,VLOOKUP($AW72,'Jan-2026 rates'!$L:$R,4,0),IF($LB72=40%,VLOOKUP($AW72,'Jan-2026 rates'!$L:$R,5,0),IF($LB72=30%,VLOOKUP($AW72,'Jan-2026 rates'!$L:$R,6,0),IF($LB72=100%,VLOOKUP($AW72,'Jan-2026 rates'!$L:$R,7,0),IF($LB72=60%,VLOOKUP($AW72,'Jan-2026 rates'!$L:$S,8,0),IF($LB72=80%,VLOOKUP($AW72,'Jan-2026 rates'!L:T,9,0),0))))))))</f>
        <v>0</v>
      </c>
      <c r="AZ72" s="412"/>
      <c r="BA72" s="409"/>
      <c r="BB72" s="411">
        <f>IF(BA72=0,0,IF($LB72=70%,VLOOKUP($AW72,'Jan-2026 rates'!$L:$R,4,0),IF($LB72=65%,VLOOKUP($AW72,'Jan-2026 rates'!$L:$R,4,0),IF($LB72=40%,VLOOKUP($AW72,'Jan-2026 rates'!$L:$R,5,0),IF($LB72=30%,VLOOKUP($AW72,'Jan-2026 rates'!$L:$R,6,0),IF($LB72=100%,VLOOKUP($AW72,'Jan-2026 rates'!$L:$R,7,0),IF($LB72=60%,VLOOKUP($AW72,'Jan-2026 rates'!$L:$S,8,0),IF($LB72=80%,VLOOKUP($AW72,'Jan-2026 rates'!L:T,9,0),0))))))))</f>
        <v>0</v>
      </c>
      <c r="BC72" s="413"/>
      <c r="BD72" s="412"/>
      <c r="BE72" s="412"/>
      <c r="BF72" s="413"/>
      <c r="BG72" s="412"/>
      <c r="BH72" s="412"/>
      <c r="BI72" s="412"/>
      <c r="BJ72" s="412"/>
      <c r="BK72" s="409"/>
      <c r="BL72" s="398">
        <f>IF(BK72=0,0,IF(LEN(BC72)=11,_xlfn.XLOOKUP(BC72,'Dispensed Ink Rates'!C:C,'Dispensed Ink Rates'!CS:CS),VLOOKUP(BC72,'Jan-2026 rates'!$E:$F,2,0)))</f>
        <v>0</v>
      </c>
      <c r="BM72" s="409"/>
      <c r="BN72" s="398">
        <f>IF(BM72=0,0,IF(LEN(BD72)=11,_xlfn.XLOOKUP(BD72,'Dispensed Ink Rates'!C:C,'Dispensed Ink Rates'!CS:CS),VLOOKUP(BD72,'Jan-2026 rates'!$E:$F,2,0)))</f>
        <v>0</v>
      </c>
      <c r="BO72" s="409"/>
      <c r="BP72" s="398">
        <f>IF(BO72=0,0,IF(LEN(BE72)=11,_xlfn.XLOOKUP(BE72,'Dispensed Ink Rates'!C:C,'Dispensed Ink Rates'!CS:CS),VLOOKUP(BE72,'Jan-2026 rates'!$E:$F,2,0)))</f>
        <v>0</v>
      </c>
      <c r="BQ72" s="409"/>
      <c r="BR72" s="398">
        <f>IF(BQ72=0,0,IF(LEN(BF72)=11,_xlfn.XLOOKUP(BF72,'Dispensed Ink Rates'!C:C,'Dispensed Ink Rates'!CS:CS),VLOOKUP(BF72,'Jan-2026 rates'!$E:$F,2,0)))</f>
        <v>0</v>
      </c>
      <c r="BS72" s="409"/>
      <c r="BT72" s="398">
        <f>IF(BS72=0,0,IF(LEN(BG72)=11,_xlfn.XLOOKUP(BG72,'Dispensed Ink Rates'!C:C,'Dispensed Ink Rates'!CS:CS),VLOOKUP(BG72,'Jan-2026 rates'!$E:$F,2,0)))</f>
        <v>0</v>
      </c>
      <c r="BU72" s="409"/>
      <c r="BV72" s="398">
        <f>IF(BU72=0,0,IF(LEN(BH72)=11,_xlfn.XLOOKUP(BH72,'Dispensed Ink Rates'!C:C,'Dispensed Ink Rates'!CS:CS),VLOOKUP(BH72,'Jan-2026 rates'!$E:$F,2,0)))</f>
        <v>0</v>
      </c>
      <c r="BW72" s="409"/>
      <c r="BX72" s="398">
        <f>IF(BW72=0,0,IF(LEN(BI72)=11,_xlfn.XLOOKUP(BI72,'Dispensed Ink Rates'!C:C,'Dispensed Ink Rates'!CS:CS),VLOOKUP(BI72,'Jan-2026 rates'!$E:$F,2,0)))</f>
        <v>0</v>
      </c>
      <c r="BY72" s="409"/>
      <c r="BZ72" s="398">
        <f>IF(BY72=0,0,IF(LEN(BJ72)=11,_xlfn.XLOOKUP(BJ72,'Dispensed Ink Rates'!C:C,'Dispensed Ink Rates'!CS:CS),VLOOKUP(BJ72,'Jan-2026 rates'!$E:$F,2,0)))</f>
        <v>0</v>
      </c>
      <c r="CA72" s="409" t="s">
        <v>1443</v>
      </c>
      <c r="CB72" s="409">
        <v>25</v>
      </c>
      <c r="CC72" s="411">
        <f t="shared" si="5"/>
        <v>0</v>
      </c>
      <c r="CD72" s="411">
        <f t="shared" si="6"/>
        <v>2</v>
      </c>
      <c r="CE72" s="410">
        <f t="shared" si="7"/>
        <v>0</v>
      </c>
      <c r="CF72" s="404" t="s">
        <v>857</v>
      </c>
      <c r="CG72" s="409"/>
      <c r="CH72" s="420" t="str">
        <f t="shared" ref="CH72:CH169" si="55">CONCATENATE(DL72," - ",CF72)</f>
        <v>FLINTSL - RED</v>
      </c>
      <c r="CI72" s="409"/>
      <c r="CJ72" s="411">
        <f>IF(CI72=0,0,IF($LB72=70%,VLOOKUP($CH72,'Jan-2026 rates'!$L:$R,4,0),IF($LB72=65%,VLOOKUP($CH72,'Jan-2026 rates'!$L:$R,4,0),IF($LB72=40%,VLOOKUP($CH72,'Jan-2026 rates'!$L:$R,5,0),IF($LB72=30%,VLOOKUP($CH72,'Jan-2026 rates'!$L:$R,6,0),IF($LB72=100%,VLOOKUP($CH72,'Jan-2026 rates'!$L:$R,7,0),IF($LB72=60%,VLOOKUP($CH72,'Jan-2026 rates'!$L:$S,8,0),IF($LB72=80%,VLOOKUP($CH72,'Jan-2026 rates'!L:T,9,0),0))))))))</f>
        <v>0</v>
      </c>
      <c r="CK72" s="412"/>
      <c r="CL72" s="409"/>
      <c r="CM72" s="411">
        <f>IF(CL72=0,0,IF($LB72=70%,VLOOKUP($CH72,'Jan-2026 rates'!$L:$R,4,0),IF($LB72=65%,VLOOKUP($CH72,'Jan-2026 rates'!$L:$R,4,0),IF($LB72=40%,VLOOKUP($CH72,'Jan-2026 rates'!$L:$R,5,0),IF($LB72=30%,VLOOKUP($CH72,'Jan-2026 rates'!$L:$R,6,0),IF($LB72=100%,VLOOKUP($CH72,'Jan-2026 rates'!$L:$R,7,0),IF($LB72=60%,VLOOKUP($CH72,'Jan-2026 rates'!$L:$S,8,0),IF($LB72=80%,VLOOKUP($CH72,'Jan-2026 rates'!L:T,9,0),0))))))))</f>
        <v>0</v>
      </c>
      <c r="CN72" s="426">
        <v>26505000022</v>
      </c>
      <c r="CO72" s="427">
        <v>26505000026</v>
      </c>
      <c r="CP72" s="426"/>
      <c r="CQ72" s="426"/>
      <c r="CR72" s="428"/>
      <c r="CS72" s="428"/>
      <c r="CT72" s="428"/>
      <c r="CU72" s="428"/>
      <c r="CV72" s="409">
        <v>40</v>
      </c>
      <c r="CW72" s="398" t="e">
        <f>IF(CV72=0,0,IF(LEN(CN72)=11,_xlfn.XLOOKUP(CN72,'Dispensed Ink Rates'!C:C,'Dispensed Ink Rates'!CS:CS),VLOOKUP(CN72,'Jan-2026 rates'!$E:$F,2,0)))</f>
        <v>#N/A</v>
      </c>
      <c r="CX72" s="409">
        <v>28.6</v>
      </c>
      <c r="CY72" s="398" t="e">
        <f>IF(CX72=0,0,IF(LEN(CO72)=11,_xlfn.XLOOKUP(CO72,'Dispensed Ink Rates'!C:C,'Dispensed Ink Rates'!CS:CS),VLOOKUP(CO72,'Jan-2026 rates'!$E:$F,2,0)))</f>
        <v>#N/A</v>
      </c>
      <c r="CZ72" s="409"/>
      <c r="DA72" s="398">
        <f>IF(CZ72=0,0,IF(LEN(CP72)=11,_xlfn.XLOOKUP(CP72,'Dispensed Ink Rates'!C:C,'Dispensed Ink Rates'!CS:CS),VLOOKUP(CP72,'Jan-2026 rates'!$E:$F,2,0)))</f>
        <v>0</v>
      </c>
      <c r="DB72" s="409"/>
      <c r="DC72" s="398">
        <f>IF(DB72=0,0,IF(LEN(CQ72)=11,_xlfn.XLOOKUP(CQ72,'Dispensed Ink Rates'!C:C,'Dispensed Ink Rates'!CS:CS),VLOOKUP(CQ72,'Jan-2026 rates'!$E:$F,2,0)))</f>
        <v>0</v>
      </c>
      <c r="DD72" s="409"/>
      <c r="DE72" s="398">
        <f>IF(DD72=0,0,IF(LEN(CR72)=11,_xlfn.XLOOKUP(CR72,'Dispensed Ink Rates'!C:C,'Dispensed Ink Rates'!CS:CS),VLOOKUP(CR72,'Jan-2026 rates'!$E:$F,2,0)))</f>
        <v>0</v>
      </c>
      <c r="DF72" s="409"/>
      <c r="DG72" s="398">
        <f>IF(DF72=0,0,IF(LEN(CS72)=11,_xlfn.XLOOKUP(CS72,'Dispensed Ink Rates'!C:C,'Dispensed Ink Rates'!CS:CS),VLOOKUP(CS72,'Jan-2026 rates'!$E:$F,2,0)))</f>
        <v>0</v>
      </c>
      <c r="DH72" s="409"/>
      <c r="DI72" s="398">
        <f>IF(DH72=0,0,IF(LEN(CT72)=11,_xlfn.XLOOKUP(CT72,'Dispensed Ink Rates'!C:C,'Dispensed Ink Rates'!CS:CS),VLOOKUP(CT72,'Jan-2026 rates'!$E:$F,2,0)))</f>
        <v>0</v>
      </c>
      <c r="DJ72" s="409"/>
      <c r="DK72" s="398">
        <f>IF(DJ72=0,0,IF(LEN(CU72)=11,_xlfn.XLOOKUP(CU72,'Dispensed Ink Rates'!C:C,'Dispensed Ink Rates'!CS:CS),VLOOKUP(CU72,'Jan-2026 rates'!$E:$F,2,0)))</f>
        <v>0</v>
      </c>
      <c r="DL72" s="409" t="s">
        <v>1443</v>
      </c>
      <c r="DM72" s="409">
        <v>24</v>
      </c>
      <c r="DN72" s="411">
        <f t="shared" si="9"/>
        <v>0</v>
      </c>
      <c r="DO72" s="411">
        <f t="shared" si="10"/>
        <v>57.599999999999994</v>
      </c>
      <c r="DP72" s="410">
        <f t="shared" si="11"/>
        <v>0</v>
      </c>
      <c r="DQ72" s="405" t="s">
        <v>855</v>
      </c>
      <c r="DR72" s="409" t="s">
        <v>2981</v>
      </c>
      <c r="DS72" s="420" t="str">
        <f t="shared" ref="DS72:DS169" si="56">CONCATENATE(EW72," - ",DQ72)</f>
        <v>FLINTSL - CYAN</v>
      </c>
      <c r="DT72" s="409">
        <v>29</v>
      </c>
      <c r="DU72" s="411">
        <f>IF(DT72=0,0,IF($LB72=70%,VLOOKUP($DS72,'Jan-2026 rates'!$L:$R,4,0),IF($LB72=65%,VLOOKUP($DS72,'Jan-2026 rates'!$L:$R,4,0),IF($LB72=40%,VLOOKUP($DS72,'Jan-2026 rates'!$L:$R,5,0),IF($LB72=30%,VLOOKUP($DS72,'Jan-2026 rates'!$L:$R,6,0),IF($LB72=100%,VLOOKUP($DS72,'Jan-2026 rates'!$L:$R,7,0),IF($LB72=60%,VLOOKUP($DS72,'Jan-2026 rates'!$L:$S,8,0),IF($LB72=80%,VLOOKUP($DS72,'Jan-2026 rates'!L:T,9,0),0))))))))</f>
        <v>0</v>
      </c>
      <c r="DV72" s="412"/>
      <c r="DW72" s="409"/>
      <c r="DX72" s="411">
        <f>IF(DW72=0,0,IF($LB72=70%,VLOOKUP($DS72,'Jan-2026 rates'!$L:$R,4,0),IF($LB72=65%,VLOOKUP($DS72,'Jan-2026 rates'!$L:$R,4,0),IF($LB72=40%,VLOOKUP($DS72,'Jan-2026 rates'!$L:$R,5,0),IF($LB72=30%,VLOOKUP($DS72,'Jan-2026 rates'!$L:$R,6,0),IF($LB72=100%,VLOOKUP($DS72,'Jan-2026 rates'!$L:$R,7,0),IF($LB72=60%,VLOOKUP($DS72,'Jan-2026 rates'!$L:$S,8,0),IF($LB72=80%,VLOOKUP($DS72,'Jan-2026 rates'!L:T,9,0),0))))))))</f>
        <v>0</v>
      </c>
      <c r="DY72" s="413">
        <v>26504000001</v>
      </c>
      <c r="DZ72" s="413"/>
      <c r="EA72" s="412"/>
      <c r="EB72" s="412"/>
      <c r="EC72" s="412"/>
      <c r="ED72" s="412"/>
      <c r="EE72" s="412"/>
      <c r="EF72" s="412"/>
      <c r="EG72" s="409">
        <v>2</v>
      </c>
      <c r="EH72" s="398" t="e">
        <f>IF(EG72=0,0,IF(LEN(DY72)=11,_xlfn.XLOOKUP(DY72,'Dispensed Ink Rates'!C:C,'Dispensed Ink Rates'!CS:CS),VLOOKUP(DY72,'Jan-2026 rates'!$E:$F,2,0)))</f>
        <v>#N/A</v>
      </c>
      <c r="EI72" s="409"/>
      <c r="EJ72" s="398">
        <f>IF(EI72=0,0,IF(LEN(DZ72)=11,_xlfn.XLOOKUP(DZ72,'Dispensed Ink Rates'!C:C,'Dispensed Ink Rates'!CS:CS),VLOOKUP(DZ72,'Jan-2026 rates'!$E:$F,2,0)))</f>
        <v>0</v>
      </c>
      <c r="EK72" s="409"/>
      <c r="EL72" s="398">
        <f>IF(EK72=0,0,IF(LEN(EA72)=11,_xlfn.XLOOKUP(EA72,'Dispensed Ink Rates'!C:C,'Dispensed Ink Rates'!CS:CS),VLOOKUP(EA72,'Jan-2026 rates'!$E:$F,2,0)))</f>
        <v>0</v>
      </c>
      <c r="EM72" s="409"/>
      <c r="EN72" s="398">
        <f>IF(EM72=0,0,IF(LEN(EB72)=11,_xlfn.XLOOKUP(EB72,'Dispensed Ink Rates'!C:C,'Dispensed Ink Rates'!CS:CS),VLOOKUP(EB72,'Jan-2026 rates'!$E:$F,2,0)))</f>
        <v>0</v>
      </c>
      <c r="EO72" s="409"/>
      <c r="EP72" s="398">
        <f>IF(EO72=0,0,IF(LEN(EC72)=11,_xlfn.XLOOKUP(EC72,'Dispensed Ink Rates'!C:C,'Dispensed Ink Rates'!CS:CS),VLOOKUP(EC72,'Jan-2026 rates'!$E:$F,2,0)))</f>
        <v>0</v>
      </c>
      <c r="EQ72" s="409"/>
      <c r="ER72" s="398">
        <f>IF(EQ72=0,0,IF(LEN(ED72)=11,_xlfn.XLOOKUP(ED72,'Dispensed Ink Rates'!C:C,'Dispensed Ink Rates'!CS:CS),VLOOKUP(ED72,'Jan-2026 rates'!$E:$F,2,0)))</f>
        <v>0</v>
      </c>
      <c r="ES72" s="409"/>
      <c r="ET72" s="398">
        <f>IF(ES72=0,0,IF(LEN(EE72)=11,_xlfn.XLOOKUP(EE72,'Dispensed Ink Rates'!C:C,'Dispensed Ink Rates'!CS:CS),VLOOKUP(EE72,'Jan-2026 rates'!$E:$F,2,0)))</f>
        <v>0</v>
      </c>
      <c r="EU72" s="409"/>
      <c r="EV72" s="398">
        <f>IF(EU72=0,0,IF(LEN(EF72)=11,_xlfn.XLOOKUP(EF72,'Dispensed Ink Rates'!C:C,'Dispensed Ink Rates'!CS:CS),VLOOKUP(EF72,'Jan-2026 rates'!$E:$F,2,0)))</f>
        <v>0</v>
      </c>
      <c r="EW72" s="409" t="s">
        <v>1443</v>
      </c>
      <c r="EX72" s="409">
        <v>27</v>
      </c>
      <c r="EY72" s="411">
        <f t="shared" si="13"/>
        <v>0</v>
      </c>
      <c r="EZ72" s="411">
        <f t="shared" si="14"/>
        <v>17</v>
      </c>
      <c r="FA72" s="410">
        <f t="shared" si="15"/>
        <v>0</v>
      </c>
      <c r="FB72" s="405" t="s">
        <v>544</v>
      </c>
      <c r="FC72" s="409" t="s">
        <v>2982</v>
      </c>
      <c r="FD72" s="420" t="str">
        <f t="shared" ref="FD72:FD169" si="57">CONCATENATE(GH72," - ",FB72)</f>
        <v>FLINTSL - MAGENTA</v>
      </c>
      <c r="FE72" s="409">
        <v>30</v>
      </c>
      <c r="FF72" s="411">
        <f>IF(FE72=0,0,IF($LB72=70%,VLOOKUP($FD72,'Jan-2026 rates'!$L:$R,4,0),IF($LB72=65%,VLOOKUP($FD72,'Jan-2026 rates'!$L:$R,4,0),IF($LB72=40%,VLOOKUP($FD72,'Jan-2026 rates'!$L:$R,5,0),IF($LB72=30%,VLOOKUP($FD72,'Jan-2026 rates'!$L:$R,6,0),IF($LB72=100%,VLOOKUP($FD72,'Jan-2026 rates'!$L:$R,7,0),IF($LB72=60%,VLOOKUP($FD72,'Jan-2026 rates'!$L:$S,8,0),IF($LB72=80%,VLOOKUP($FD72,'Jan-2026 rates'!L:T,9,0),0))))))))</f>
        <v>0</v>
      </c>
      <c r="FG72" s="412"/>
      <c r="FH72" s="409"/>
      <c r="FI72" s="411">
        <f>IF(FH72=0,0,IF($LB72=70%,VLOOKUP($FD72,'Jan-2026 rates'!$L:$R,4,0),IF($LB72=65%,VLOOKUP($FD72,'Jan-2026 rates'!$L:$R,4,0),IF($LB72=40%,VLOOKUP($FD72,'Jan-2026 rates'!$L:$R,5,0),IF($LB72=30%,VLOOKUP($FD72,'Jan-2026 rates'!$L:$R,6,0),IF($LB72=100%,VLOOKUP($FD72,'Jan-2026 rates'!$L:$R,7,0),IF($LB72=60%,VLOOKUP($FD72,'Jan-2026 rates'!$L:$S,8,0),IF($LB72=80%,VLOOKUP($FD72,'Jan-2026 rates'!L:T,9,0),0))))))))</f>
        <v>0</v>
      </c>
      <c r="FJ72" s="413" t="s">
        <v>1266</v>
      </c>
      <c r="FK72" s="413"/>
      <c r="FL72" s="413"/>
      <c r="FM72" s="412"/>
      <c r="FN72" s="412"/>
      <c r="FO72" s="412"/>
      <c r="FP72" s="412"/>
      <c r="FQ72" s="412"/>
      <c r="FR72" s="409">
        <v>6</v>
      </c>
      <c r="FS72" s="398">
        <f>IF(FR72=0,0,IF(LEN(FJ72)=11,_xlfn.XLOOKUP(FJ72,'Dispensed Ink Rates'!C:C,'Dispensed Ink Rates'!CS:CS),VLOOKUP(FJ72,'Jan-2026 rates'!$E:$F,2,0)))</f>
        <v>0</v>
      </c>
      <c r="FT72" s="409"/>
      <c r="FU72" s="398">
        <f>IF(FT72=0,0,IF(LEN(FK72)=11,_xlfn.XLOOKUP(FK72,'Dispensed Ink Rates'!C:C,'Dispensed Ink Rates'!CS:CS),VLOOKUP(FK72,'Jan-2026 rates'!$E:$F,2,0)))</f>
        <v>0</v>
      </c>
      <c r="FV72" s="409"/>
      <c r="FW72" s="398">
        <f>IF(FV72=0,0,IF(LEN(FL72)=11,_xlfn.XLOOKUP(FL72,'Dispensed Ink Rates'!C:C,'Dispensed Ink Rates'!CS:CS),VLOOKUP(FL72,'Jan-2026 rates'!$E:$F,2,0)))</f>
        <v>0</v>
      </c>
      <c r="FX72" s="409"/>
      <c r="FY72" s="398">
        <f>IF(FX72=0,0,IF(LEN(FM72)=11,_xlfn.XLOOKUP(FM72,'Dispensed Ink Rates'!C:C,'Dispensed Ink Rates'!CS:CS),VLOOKUP(FM72,'Jan-2026 rates'!$E:$F,2,0)))</f>
        <v>0</v>
      </c>
      <c r="FZ72" s="409"/>
      <c r="GA72" s="398">
        <f>IF(FZ72=0,0,IF(LEN(FN72)=11,_xlfn.XLOOKUP(FN72,'Dispensed Ink Rates'!C:C,'Dispensed Ink Rates'!CS:CS),VLOOKUP(FN72,'Jan-2026 rates'!$E:$F,2,0)))</f>
        <v>0</v>
      </c>
      <c r="GB72" s="409"/>
      <c r="GC72" s="398">
        <f>IF(GB72=0,0,IF(LEN(FO72)=11,_xlfn.XLOOKUP(FO72,'Dispensed Ink Rates'!C:C,'Dispensed Ink Rates'!CS:CS),VLOOKUP(FO72,'Jan-2026 rates'!$E:$F,2,0)))</f>
        <v>0</v>
      </c>
      <c r="GD72" s="409"/>
      <c r="GE72" s="398">
        <f>IF(GD72=0,0,IF(LEN(FP72)=11,_xlfn.XLOOKUP(FP72,'Dispensed Ink Rates'!C:C,'Dispensed Ink Rates'!CS:CS),VLOOKUP(FP72,'Jan-2026 rates'!$E:$F,2,0)))</f>
        <v>0</v>
      </c>
      <c r="GF72" s="409"/>
      <c r="GG72" s="398">
        <f>IF(GF72=0,0,IF(LEN(FQ72)=11,_xlfn.XLOOKUP(FQ72,'Dispensed Ink Rates'!C:C,'Dispensed Ink Rates'!CS:CS),VLOOKUP(FQ72,'Jan-2026 rates'!$E:$F,2,0)))</f>
        <v>0</v>
      </c>
      <c r="GH72" s="409" t="s">
        <v>1443</v>
      </c>
      <c r="GI72" s="409">
        <v>29</v>
      </c>
      <c r="GJ72" s="411">
        <f t="shared" si="17"/>
        <v>0</v>
      </c>
      <c r="GK72" s="411">
        <f t="shared" si="18"/>
        <v>20</v>
      </c>
      <c r="GL72" s="410">
        <f t="shared" si="19"/>
        <v>0</v>
      </c>
      <c r="GM72" s="405" t="s">
        <v>545</v>
      </c>
      <c r="GN72" s="409" t="s">
        <v>2983</v>
      </c>
      <c r="GO72" s="420" t="str">
        <f t="shared" ref="GO72:GO169" si="58">CONCATENATE(HS72," - ",GM72)</f>
        <v>FLINTSL - YELLOW</v>
      </c>
      <c r="GP72" s="409">
        <v>29</v>
      </c>
      <c r="GQ72" s="411">
        <f>IF(GP72=0,0,IF($LB72=70%,VLOOKUP($GO72,'Jan-2026 rates'!$L:$R,4,0),IF($LB72=65%,VLOOKUP($GO72,'Jan-2026 rates'!$L:$R,4,0),IF($LB72=40%,VLOOKUP($GO72,'Jan-2026 rates'!$L:$R,5,0),IF($LB72=30%,VLOOKUP($GO72,'Jan-2026 rates'!$L:$R,6,0),IF($LB72=100%,VLOOKUP($GO72,'Jan-2026 rates'!$L:$R,7,0),IF($LB72=60%,VLOOKUP($GO72,'Jan-2026 rates'!$L:$S,8,0),IF($LB72=80%,VLOOKUP($GO72,'Jan-2026 rates'!L:T,9,0),0))))))))</f>
        <v>0</v>
      </c>
      <c r="GR72" s="412"/>
      <c r="GS72" s="409"/>
      <c r="GT72" s="411">
        <f>IF(GS72=0,0,IF($LB72=70%,VLOOKUP($GO72,'Jan-2026 rates'!$L:$R,4,0),IF($LB72=65%,VLOOKUP($GO72,'Jan-2026 rates'!$L:$R,4,0),IF($LB72=40%,VLOOKUP($GO72,'Jan-2026 rates'!$L:$R,5,0),IF($LB72=30%,VLOOKUP($GO72,'Jan-2026 rates'!$L:$R,6,0),IF($LB72=100%,VLOOKUP($GO72,'Jan-2026 rates'!$L:$R,7,0),IF($LB72=60%,VLOOKUP($GO72,'Jan-2026 rates'!$L:$S,8,0),IF($LB72=80%,VLOOKUP($GO72,'Jan-2026 rates'!L:T,9,0),0))))))))</f>
        <v>0</v>
      </c>
      <c r="GU72" s="413">
        <v>26505000004</v>
      </c>
      <c r="GV72" s="413" t="s">
        <v>1266</v>
      </c>
      <c r="GW72" s="412"/>
      <c r="GX72" s="412"/>
      <c r="GY72" s="412"/>
      <c r="GZ72" s="412"/>
      <c r="HA72" s="412"/>
      <c r="HB72" s="412"/>
      <c r="HC72" s="409">
        <v>10</v>
      </c>
      <c r="HD72" s="398" t="e">
        <f>IF(HC72=0,0,IF(LEN(GU72)=11,_xlfn.XLOOKUP(GU72,'Dispensed Ink Rates'!C:C,'Dispensed Ink Rates'!CS:CS),VLOOKUP(GU72,'Jan-2026 rates'!$E:$F,2,0)))</f>
        <v>#N/A</v>
      </c>
      <c r="HE72" s="409">
        <v>6</v>
      </c>
      <c r="HF72" s="398">
        <f>IF(HE72=0,0,IF(LEN(GV72)=11,_xlfn.XLOOKUP(GV72,'Dispensed Ink Rates'!C:C,'Dispensed Ink Rates'!CS:CS),VLOOKUP(GV72,'Jan-2026 rates'!$E:$F,2,0)))</f>
        <v>0</v>
      </c>
      <c r="HG72" s="409"/>
      <c r="HH72" s="398">
        <f>IF(HG72=0,0,IF(LEN(GW72)=11,_xlfn.XLOOKUP(GW72,'Dispensed Ink Rates'!C:C,'Dispensed Ink Rates'!CS:CS),VLOOKUP(GW72,'Jan-2026 rates'!$E:$F,2,0)))</f>
        <v>0</v>
      </c>
      <c r="HI72" s="409"/>
      <c r="HJ72" s="398">
        <f>IF(HI72=0,0,IF(LEN(GX72)=11,_xlfn.XLOOKUP(GX72,'Dispensed Ink Rates'!C:C,'Dispensed Ink Rates'!CS:CS),VLOOKUP(GX72,'Jan-2026 rates'!$E:$F,2,0)))</f>
        <v>0</v>
      </c>
      <c r="HK72" s="409"/>
      <c r="HL72" s="398">
        <f>IF(HK72=0,0,IF(LEN(GY72)=11,_xlfn.XLOOKUP(GY72,'Dispensed Ink Rates'!C:C,'Dispensed Ink Rates'!CS:CS),VLOOKUP(GY72,'Jan-2026 rates'!$E:$F,2,0)))</f>
        <v>0</v>
      </c>
      <c r="HM72" s="409"/>
      <c r="HN72" s="398">
        <f>IF(HM72=0,0,IF(LEN(GZ72)=11,_xlfn.XLOOKUP(GZ72,'Dispensed Ink Rates'!C:C,'Dispensed Ink Rates'!CS:CS),VLOOKUP(GZ72,'Jan-2026 rates'!$E:$F,2,0)))</f>
        <v>0</v>
      </c>
      <c r="HO72" s="409"/>
      <c r="HP72" s="398">
        <f>IF(HO72=0,0,IF(LEN(HA72)=11,_xlfn.XLOOKUP(HA72,'Dispensed Ink Rates'!C:C,'Dispensed Ink Rates'!CS:CS),VLOOKUP(HA72,'Jan-2026 rates'!$E:$F,2,0)))</f>
        <v>0</v>
      </c>
      <c r="HQ72" s="409"/>
      <c r="HR72" s="398">
        <f>IF(HQ72=0,0,IF(LEN(HB72)=11,_xlfn.XLOOKUP(HB72,'Dispensed Ink Rates'!C:C,'Dispensed Ink Rates'!CS:CS),VLOOKUP(HB72,'Jan-2026 rates'!$E:$F,2,0)))</f>
        <v>0</v>
      </c>
      <c r="HS72" s="409" t="s">
        <v>1443</v>
      </c>
      <c r="HT72" s="409">
        <v>26</v>
      </c>
      <c r="HU72" s="411">
        <f t="shared" si="21"/>
        <v>0</v>
      </c>
      <c r="HV72" s="411">
        <f t="shared" si="22"/>
        <v>32</v>
      </c>
      <c r="HW72" s="414">
        <f t="shared" si="23"/>
        <v>0</v>
      </c>
      <c r="HX72" s="405" t="s">
        <v>856</v>
      </c>
      <c r="HY72" s="409" t="s">
        <v>2984</v>
      </c>
      <c r="HZ72" s="420" t="str">
        <f t="shared" ref="HZ72:HZ169" si="59">CONCATENATE(JD72," - ",HX72)</f>
        <v>FLINTSL - WHITE</v>
      </c>
      <c r="IA72" s="409">
        <v>30</v>
      </c>
      <c r="IB72" s="411">
        <f>IF(IA72=0,0,IF($LB72=70%,VLOOKUP($HZ72,'Jan-2026 rates'!$L:$R,4,0),IF($LB72=65%,VLOOKUP($HZ72,'Jan-2026 rates'!$L:$R,4,0),IF($LB72=40%,VLOOKUP($HZ72,'Jan-2026 rates'!$L:$R,5,0),IF($LB72=30%,VLOOKUP($HZ72,'Jan-2026 rates'!$L:$R,6,0),IF($LB72=100%,VLOOKUP($HZ72,'Jan-2026 rates'!$L:$R,7,0),IF($LB72=60%,VLOOKUP($HZ72,'Jan-2026 rates'!$L:$S,8,0),IF($LB72=80%,VLOOKUP($HZ72,'Jan-2026 rates'!L:T,9,0),0))))))))</f>
        <v>0</v>
      </c>
      <c r="IC72" s="412"/>
      <c r="ID72" s="409"/>
      <c r="IE72" s="411">
        <f>IF(ID72=0,0,IF($LB72=70%,VLOOKUP($HZ72,'Jan-2026 rates'!$L:$R,4,0),IF($LB72=65%,VLOOKUP($HZ72,'Jan-2026 rates'!$L:$R,4,0),IF($LB72=40%,VLOOKUP($HZ72,'Jan-2026 rates'!$L:$R,5,0),IF($LB72=30%,VLOOKUP($HZ72,'Jan-2026 rates'!$L:$R,6,0),IF($LB72=100%,VLOOKUP($HZ72,'Jan-2026 rates'!$L:$R,7,0),IF($LB72=60%,VLOOKUP($HZ72,'Jan-2026 rates'!$L:$S,8,0),IF($LB72=80%,VLOOKUP($HZ72,'Jan-2026 rates'!L:T,9,0),0))))))))</f>
        <v>0</v>
      </c>
      <c r="IF72" s="412" t="s">
        <v>484</v>
      </c>
      <c r="IG72" s="413"/>
      <c r="IH72" s="412"/>
      <c r="II72" s="412"/>
      <c r="IJ72" s="412"/>
      <c r="IK72" s="412"/>
      <c r="IL72" s="412"/>
      <c r="IM72" s="412"/>
      <c r="IN72" s="409">
        <f>25+25</f>
        <v>50</v>
      </c>
      <c r="IO72" s="398">
        <f>IF(IN72=0,0,IF(LEN(IF72)=11,_xlfn.XLOOKUP(IF72,'Dispensed Ink Rates'!C:C,'Dispensed Ink Rates'!CS:CS),VLOOKUP(IF72,'Jan-2026 rates'!$E:$F,2,0)))</f>
        <v>0</v>
      </c>
      <c r="IP72" s="409"/>
      <c r="IQ72" s="398">
        <f>IF(IP72=0,0,IF(LEN(IG72)=11,_xlfn.XLOOKUP(IG72,'Dispensed Ink Rates'!C:C,'Dispensed Ink Rates'!CS:CS),VLOOKUP(IG72,'Jan-2026 rates'!$E:$F,2,0)))</f>
        <v>0</v>
      </c>
      <c r="IR72" s="409"/>
      <c r="IS72" s="398">
        <f>IF(IR72=0,0,IF(LEN(IH72)=11,_xlfn.XLOOKUP(IH72,'Dispensed Ink Rates'!C:C,'Dispensed Ink Rates'!CS:CS),VLOOKUP(IH72,'Jan-2026 rates'!$E:$F,2,0)))</f>
        <v>0</v>
      </c>
      <c r="IT72" s="409"/>
      <c r="IU72" s="398">
        <f>IF(IT72=0,0,IF(LEN(II72)=11,_xlfn.XLOOKUP(II72,'Dispensed Ink Rates'!C:C,'Dispensed Ink Rates'!CS:CS),VLOOKUP(II72,'Jan-2026 rates'!$E:$F,2,0)))</f>
        <v>0</v>
      </c>
      <c r="IV72" s="409"/>
      <c r="IW72" s="398">
        <f>IF(IV72=0,0,IF(LEN(IJ72)=11,_xlfn.XLOOKUP(IJ72,'Dispensed Ink Rates'!C:C,'Dispensed Ink Rates'!CS:CS),VLOOKUP(IJ72,'Jan-2026 rates'!$E:$F,2,0)))</f>
        <v>0</v>
      </c>
      <c r="IX72" s="409"/>
      <c r="IY72" s="398">
        <f>IF(IX72=0,0,IF(LEN(IK72)=11,_xlfn.XLOOKUP(IK72,'Dispensed Ink Rates'!C:C,'Dispensed Ink Rates'!CS:CS),VLOOKUP(IK72,'Jan-2026 rates'!$E:$F,2,0)))</f>
        <v>0</v>
      </c>
      <c r="IZ72" s="409"/>
      <c r="JA72" s="398">
        <f>IF(IZ72=0,0,IF(LEN(IL72)=11,_xlfn.XLOOKUP(IL72,'Dispensed Ink Rates'!C:C,'Dispensed Ink Rates'!CS:CS),VLOOKUP(IL72,'Jan-2026 rates'!$E:$F,2,0)))</f>
        <v>0</v>
      </c>
      <c r="JB72" s="409"/>
      <c r="JC72" s="398">
        <f>IF(JB72=0,0,IF(LEN(IM72)=11,_xlfn.XLOOKUP(IM72,'Dispensed Ink Rates'!C:C,'Dispensed Ink Rates'!CS:CS),VLOOKUP(IM72,'Jan-2026 rates'!$E:$F,2,0)))</f>
        <v>0</v>
      </c>
      <c r="JD72" s="409" t="s">
        <v>1443</v>
      </c>
      <c r="JE72" s="409">
        <v>24</v>
      </c>
      <c r="JF72" s="411">
        <f t="shared" si="25"/>
        <v>0</v>
      </c>
      <c r="JG72" s="411">
        <f t="shared" si="26"/>
        <v>134</v>
      </c>
      <c r="JH72" s="410">
        <f t="shared" si="27"/>
        <v>0</v>
      </c>
      <c r="JI72" s="405"/>
      <c r="JJ72" s="409"/>
      <c r="JK72" s="420" t="str">
        <f t="shared" ref="JK72:JK169" si="60">CONCATENATE(KO72," - ",JI72)</f>
        <v xml:space="preserve"> - </v>
      </c>
      <c r="JL72" s="409"/>
      <c r="JM72" s="411">
        <f>IF(JL72=0,0,IF($LB72=70%,VLOOKUP($JK72,'Jan-2026 rates'!$L:$R,4,0),IF($LB72=65%,VLOOKUP($JK72,'Jan-2026 rates'!$L:$R,4,0),IF($LB72=40%,VLOOKUP($JK72,'Jan-2026 rates'!$L:$R,5,0),IF($LB72=30%,VLOOKUP($JK72,'Jan-2026 rates'!$L:$R,6,0),IF($LB72=100%,VLOOKUP($JK72,'Jan-2026 rates'!$L:$R,7,0),IF($LB72=60%,VLOOKUP($JK72,'Jan-2026 rates'!$L:$S,8,0),IF($LB72=80%,VLOOKUP($JK72,'Jan-2026 rates'!L:T,9,0),0))))))))</f>
        <v>0</v>
      </c>
      <c r="JN72" s="412"/>
      <c r="JO72" s="409"/>
      <c r="JP72" s="411">
        <f>IF(JO72=0,0,IF($LB72=70%,VLOOKUP($JK72,'Jan-2026 rates'!$L:$R,4,0),IF($LB72=65%,VLOOKUP($JK72,'Jan-2026 rates'!$L:$R,4,0),IF($LB72=40%,VLOOKUP($JK72,'Jan-2026 rates'!$L:$R,5,0),IF($LB72=30%,VLOOKUP($JK72,'Jan-2026 rates'!$L:$R,6,0),IF($LB72=100%,VLOOKUP($JK72,'Jan-2026 rates'!$L:$R,7,0),IF($LB72=60%,VLOOKUP($JK72,'Jan-2026 rates'!$L:$S,8,0),IF($LB72=80%,VLOOKUP($JK72,'Jan-2026 rates'!L:T,9,0),0))))))))</f>
        <v>0</v>
      </c>
      <c r="JQ72" s="413"/>
      <c r="JR72" s="412"/>
      <c r="JS72" s="413"/>
      <c r="JT72" s="413"/>
      <c r="JU72" s="412"/>
      <c r="JV72" s="412"/>
      <c r="JW72" s="412"/>
      <c r="JX72" s="412"/>
      <c r="JY72" s="409"/>
      <c r="JZ72" s="398">
        <f>IF(JY72=0,0,IF(LEN(JQ72)=11,_xlfn.XLOOKUP(JQ72,'Dispensed Ink Rates'!C:C,'Dispensed Ink Rates'!CS:CS),VLOOKUP(JQ72,'Jan-2026 rates'!$E:$F,2,0)))</f>
        <v>0</v>
      </c>
      <c r="KA72" s="409"/>
      <c r="KB72" s="398">
        <f>IF(KA72=0,0,IF(LEN(JR72)=11,_xlfn.XLOOKUP(JR72,'Dispensed Ink Rates'!C:C,'Dispensed Ink Rates'!CS:CS),VLOOKUP(JR72,'Jan-2026 rates'!$E:$F,2,0)))</f>
        <v>0</v>
      </c>
      <c r="KC72" s="409"/>
      <c r="KD72" s="398">
        <f>IF(KC72=0,0,IF(LEN(JS72)=11,_xlfn.XLOOKUP(JS72,'Dispensed Ink Rates'!C:C,'Dispensed Ink Rates'!CS:CS),VLOOKUP(JS72,'Jan-2026 rates'!$E:$F,2,0)))</f>
        <v>0</v>
      </c>
      <c r="KE72" s="409"/>
      <c r="KF72" s="398">
        <f>IF(KE72=0,0,IF(LEN(JT72)=11,_xlfn.XLOOKUP(JT72,'Dispensed Ink Rates'!C:C,'Dispensed Ink Rates'!CS:CS),VLOOKUP(JT72,'Jan-2026 rates'!$E:$F,2,0)))</f>
        <v>0</v>
      </c>
      <c r="KG72" s="409"/>
      <c r="KH72" s="398">
        <f>IF(KG72=0,0,IF(LEN(JU72)=11,_xlfn.XLOOKUP(JU72,'Dispensed Ink Rates'!C:C,'Dispensed Ink Rates'!CS:CS),VLOOKUP(JU72,'Jan-2026 rates'!$E:$F,2,0)))</f>
        <v>0</v>
      </c>
      <c r="KI72" s="409"/>
      <c r="KJ72" s="398">
        <f>IF(KI72=0,0,IF(LEN(JV72)=11,_xlfn.XLOOKUP(JV72,'Dispensed Ink Rates'!C:C,'Dispensed Ink Rates'!CS:CS),VLOOKUP(JV72,'Jan-2026 rates'!$E:$F,2,0)))</f>
        <v>0</v>
      </c>
      <c r="KK72" s="409"/>
      <c r="KL72" s="398">
        <f>IF(KK72=0,0,IF(LEN(JW72)=11,_xlfn.XLOOKUP(JW72,'Dispensed Ink Rates'!C:C,'Dispensed Ink Rates'!CS:CS),VLOOKUP(JW72,'Jan-2026 rates'!$E:$F,2,0)))</f>
        <v>0</v>
      </c>
      <c r="KM72" s="428"/>
      <c r="KN72" s="398">
        <f>IF(KM72=0,0,IF(LEN(JX72)=11,_xlfn.XLOOKUP(JX72,'Dispensed Ink Rates'!C:C,'Dispensed Ink Rates'!CS:CS),VLOOKUP(JX72,'Jan-2026 rates'!$E:$F,2,0)))</f>
        <v>0</v>
      </c>
      <c r="KO72" s="409"/>
      <c r="KP72" s="409"/>
      <c r="KQ72" s="411">
        <f t="shared" si="29"/>
        <v>0</v>
      </c>
      <c r="KR72" s="411">
        <f t="shared" si="30"/>
        <v>0</v>
      </c>
      <c r="KS72" s="410">
        <f t="shared" si="31"/>
        <v>0</v>
      </c>
      <c r="KT72" s="409">
        <v>5</v>
      </c>
      <c r="KU72" s="409">
        <v>0</v>
      </c>
      <c r="KV72" s="409">
        <v>5</v>
      </c>
      <c r="KW72" s="409">
        <v>5</v>
      </c>
      <c r="KX72" s="409">
        <v>5</v>
      </c>
      <c r="KY72" s="409">
        <v>5</v>
      </c>
      <c r="KZ72" s="409">
        <f>15+15</f>
        <v>30</v>
      </c>
      <c r="LA72" s="409">
        <v>0</v>
      </c>
      <c r="LB72" s="415">
        <v>0.8</v>
      </c>
      <c r="LC72" s="415">
        <v>0.2</v>
      </c>
      <c r="LD72" s="415"/>
      <c r="LE72" s="415"/>
      <c r="LF72" s="415"/>
      <c r="LG72" s="409">
        <v>0</v>
      </c>
      <c r="LH72" s="409">
        <f>30+30+56+14+5+5+3</f>
        <v>143</v>
      </c>
      <c r="LI72" s="409">
        <v>0</v>
      </c>
      <c r="LJ72" s="409">
        <v>0</v>
      </c>
      <c r="LK72" s="416">
        <f t="shared" ref="LK72:LK169" si="61">LG72+LH72+LI72-LJ72</f>
        <v>143</v>
      </c>
      <c r="LL72" s="416">
        <f t="shared" ref="LL72:LL169" si="62">IF(LK72&lt;=0,SUM(KT72:LA72),LK72)</f>
        <v>143</v>
      </c>
      <c r="LM72" s="417">
        <f t="shared" ref="LM72:LM169" si="63">IFERROR($LL72*LB72,0)</f>
        <v>114.4</v>
      </c>
      <c r="LN72" s="417">
        <f>VLOOKUP($LM$8,'Jan-2026 rates'!$H:$I,2,0)</f>
        <v>0</v>
      </c>
      <c r="LO72" s="417">
        <f t="shared" ref="LO72:LO169" si="64">IFERROR(LL72*LC72,0)</f>
        <v>28.6</v>
      </c>
      <c r="LP72" s="417">
        <f>VLOOKUP($LO$8,'Jan-2026 rates'!$H:$I,2,0)</f>
        <v>0</v>
      </c>
      <c r="LQ72" s="417">
        <f t="shared" ref="LQ72:LQ169" si="65">IFERROR(LL72*LD72,0)</f>
        <v>0</v>
      </c>
      <c r="LR72" s="417">
        <f>VLOOKUP($LQ$8,'Jan-2026 rates'!$H:$I,2,0)</f>
        <v>0</v>
      </c>
      <c r="LS72" s="417">
        <f t="shared" ref="LS72:LS169" si="66">IFERROR(LL72*LE72,0)</f>
        <v>0</v>
      </c>
      <c r="LT72" s="417">
        <f>VLOOKUP($LS$8,'Jan-2026 rates'!$H:$I,2,0)</f>
        <v>0</v>
      </c>
      <c r="LU72" s="417">
        <f t="shared" ref="LU72:LU169" si="67">IFERROR(LL72*LF72,0)</f>
        <v>0</v>
      </c>
      <c r="LV72" s="417">
        <f>VLOOKUP($LU$8,'Jan-2026 rates'!$H:$I,2,0)</f>
        <v>0</v>
      </c>
      <c r="LW72" s="417">
        <f t="shared" ref="LW72:LW169" si="68">(LM72*LN72+LO72*LP72+LQ72*LR72+LS72*LT72+LU72*LV72)</f>
        <v>0</v>
      </c>
      <c r="LX72" s="417">
        <f t="shared" ref="LX72:LX169" si="69">IFERROR(LW72/LL72,0)</f>
        <v>0</v>
      </c>
      <c r="LY72" s="418">
        <f t="shared" ref="LY72:LY169" si="70">AT72+CE72+DP72+FA72+GL72+HW72+JH72+KS72</f>
        <v>0</v>
      </c>
      <c r="LZ72" s="417"/>
      <c r="MA72" s="435">
        <f t="shared" ref="MA72:MA169" si="71">Z72+AB72+AD72+AF72+AH72+AJ72+AL72+AN72+BK72+BM72+BO72+BQ72+BS72+BU72+BW72+BY72+CV72+CX72+CZ72+DB72+DD72+DF72+DH72+DJ72+EG72+EI72+EK72+EM72+EO72+EQ72+ES72+EU72+FR72+FT72+FV72+FX72+FZ72+GB72+GD72+GF72+HC72+HE72+HG72+HI72+HK72+HM72+HO72+HQ72+IN72+IP72+IR72+IT72+IV72+IX72+IZ72+JB72+JY72+KA72+KC72+KE72+KG72+KI72+KK72+KM72</f>
        <v>148.6</v>
      </c>
      <c r="MB72" s="282">
        <f t="shared" ref="MB72:MB169" si="72">AS72+CD72+DO72+EZ72+GK72+HV72+JG72+KR72</f>
        <v>284.60000000000002</v>
      </c>
      <c r="MC72" s="283">
        <v>27</v>
      </c>
      <c r="MD72" s="284" t="str">
        <f t="shared" ref="MD72:MD169" si="73">CONCATENATE(AP72,CA72,DL72,EW72,GH72,HS72,JD72,KO72)</f>
        <v>FLINTSLFLINTSLFLINTSLFLINTSLFLINTSLFLINTSLFLINTSL</v>
      </c>
      <c r="ME72" s="293" t="str">
        <f t="shared" ref="ME72:ME169" si="74">IF(AQ72&lt;&gt;"",IF(AS72&gt;0,"+","-"),"NIL")</f>
        <v>+</v>
      </c>
      <c r="MF72" s="293" t="str">
        <f t="shared" ref="MF72:MF169" si="75">IF(CB72&lt;&gt;"",IF(CD72&gt;0,"+","-"),"NIL")</f>
        <v>+</v>
      </c>
      <c r="MG72" s="293" t="str">
        <f t="shared" ref="MG72:MG169" si="76">IF(DM72&lt;&gt;"",IF(DO72&gt;0,"+","-"),"NIL")</f>
        <v>+</v>
      </c>
      <c r="MH72" s="293" t="str">
        <f t="shared" ref="MH72:MH169" si="77">IF(EX72&lt;&gt;"",IF(EZ72&gt;0,"+","-"),"NIL")</f>
        <v>+</v>
      </c>
      <c r="MI72" s="293" t="str">
        <f t="shared" ref="MI72:MI169" si="78">IF(GI72&lt;&gt;"",IF(GK72&gt;0,"+","-"),"NIL")</f>
        <v>+</v>
      </c>
      <c r="MJ72" s="293" t="str">
        <f t="shared" ref="MJ72:MJ169" si="79">IF(HT72&lt;&gt;"",IF(HV72&gt;0,"+","-"),"NIL")</f>
        <v>+</v>
      </c>
      <c r="MK72" s="293" t="str">
        <f t="shared" ref="MK72:MK169" si="80">IF(JE72&lt;&gt;"",IF(JG72&gt;0,"+","-"),"NIL")</f>
        <v>+</v>
      </c>
      <c r="ML72" s="293" t="str">
        <f t="shared" ref="ML72:ML169" si="81">IF(KP72&lt;&gt;"",IF(KR72&gt;0,"+","-"),"NIL")</f>
        <v>NIL</v>
      </c>
      <c r="MM72" s="3" t="b">
        <f t="array" ref="MM72">OR(ME72:ML72="-")</f>
        <v>0</v>
      </c>
      <c r="MN72" s="285"/>
      <c r="MO72" s="401"/>
      <c r="MP72" s="286"/>
      <c r="MQ72" s="286"/>
      <c r="MR72" s="402"/>
      <c r="MS72" s="400"/>
      <c r="NH72" s="422"/>
      <c r="NJ72" s="421"/>
    </row>
    <row r="73" spans="1:374" s="1" customFormat="1" ht="16.5">
      <c r="A73" s="403">
        <v>46027</v>
      </c>
      <c r="B73" s="404" t="s">
        <v>1015</v>
      </c>
      <c r="C73" s="405" t="s">
        <v>2985</v>
      </c>
      <c r="D73" s="406">
        <v>28</v>
      </c>
      <c r="E73" s="404">
        <v>519</v>
      </c>
      <c r="F73" s="407">
        <v>26700</v>
      </c>
      <c r="G73" s="407" t="s">
        <v>1019</v>
      </c>
      <c r="H73" s="408" t="s">
        <v>1017</v>
      </c>
      <c r="I73" s="409">
        <v>1.73</v>
      </c>
      <c r="J73" s="405" t="s">
        <v>543</v>
      </c>
      <c r="K73" s="404" t="s">
        <v>2986</v>
      </c>
      <c r="L73" s="419" t="str">
        <f t="shared" si="54"/>
        <v>FLINTSL - BLACK</v>
      </c>
      <c r="M73" s="404">
        <v>30</v>
      </c>
      <c r="N73" s="410">
        <f>IF(M73=0,0,IF($LB73=70%,VLOOKUP($L73,'Jan-2026 rates'!$L:$R,4,0),IF($LB73=65%,VLOOKUP($L73,'Jan-2026 rates'!$L:$R,4,0),IF($LB73=40%,VLOOKUP($L73,'Jan-2026 rates'!$L:$R,5,0),IF($LB73=30%,VLOOKUP($L73,'Jan-2026 rates'!$L:$R,6,0),IF($LB73=100%,VLOOKUP($L73,'Jan-2026 rates'!$L:$R,7,0),IF($LB73=60%,VLOOKUP($L73,'Jan-2026 rates'!$L:$S,8,0),IF($LB73=80%,VLOOKUP($L73,'Jan-2026 rates'!L:T,9,0),0))))))))</f>
        <v>0</v>
      </c>
      <c r="O73" s="406"/>
      <c r="P73" s="404"/>
      <c r="Q73" s="410">
        <f>IF(P73=0,0,IF($LB73=70%,VLOOKUP($L73,'Jan-2026 rates'!$L:$R,4,0),IF($LB73=65%,VLOOKUP($L73,'Jan-2026 rates'!$L:$R,4,0),IF($LB73=40%,VLOOKUP($L73,'Jan-2026 rates'!$L:$R,5,0),IF($LB73=30%,VLOOKUP($L73,'Jan-2026 rates'!$L:$R,6,0),IF($LB73=100%,VLOOKUP($L73,'Jan-2026 rates'!$L:$R,7,0),IF($LB73=60%,VLOOKUP($L73,'Jan-2026 rates'!$L:$S,8,0),IF($LB73=80%,VLOOKUP($L73,'Jan-2026 rates'!L:T,9,0),0))))))))</f>
        <v>0</v>
      </c>
      <c r="R73" s="406"/>
      <c r="S73" s="406"/>
      <c r="T73" s="406"/>
      <c r="U73" s="406"/>
      <c r="V73" s="406"/>
      <c r="W73" s="406"/>
      <c r="X73" s="406"/>
      <c r="Y73" s="406"/>
      <c r="Z73" s="404"/>
      <c r="AA73" s="398">
        <f>IF(Z73=0,0,IF(LEN(R73)=11,_xlfn.XLOOKUP(R73,'Dispensed Ink Rates'!C:C,'Dispensed Ink Rates'!CS:CS),VLOOKUP(R73,'Jan-2026 rates'!$E:$F,2,0)))</f>
        <v>0</v>
      </c>
      <c r="AB73" s="404"/>
      <c r="AC73" s="398">
        <f>IF(AB73=0,0,IF(LEN(S73)=11,_xlfn.XLOOKUP(S73,'Dispensed Ink Rates'!C:C,'Dispensed Ink Rates'!CS:CS),VLOOKUP(S73,'Jan-2026 rates'!$E:$F,2,0)))</f>
        <v>0</v>
      </c>
      <c r="AD73" s="404"/>
      <c r="AE73" s="398">
        <f>IF(AD73=0,0,IF(LEN(T73)=11,_xlfn.XLOOKUP(T73,'Dispensed Ink Rates'!C:C,'Dispensed Ink Rates'!CS:CS),VLOOKUP(T73,'Jan-2026 rates'!$E:$F,2,0)))</f>
        <v>0</v>
      </c>
      <c r="AF73" s="404"/>
      <c r="AG73" s="398">
        <f>IF(AF73=0,0,IF(LEN(U73)=11,_xlfn.XLOOKUP(U73,'Dispensed Ink Rates'!C:C,'Dispensed Ink Rates'!CS:CS),VLOOKUP(U73,'Jan-2026 rates'!$E:$F,2,0)))</f>
        <v>0</v>
      </c>
      <c r="AH73" s="404"/>
      <c r="AI73" s="398">
        <f>IF(AH73=0,0,IF(LEN(V73)=11,_xlfn.XLOOKUP(V73,'Dispensed Ink Rates'!C:C,'Dispensed Ink Rates'!CS:CS),VLOOKUP(V73,'Jan-2026 rates'!$E:$F,2,0)))</f>
        <v>0</v>
      </c>
      <c r="AJ73" s="404"/>
      <c r="AK73" s="398">
        <f>IF(AJ73=0,0,IF(LEN(W73)=11,_xlfn.XLOOKUP(W73,'Dispensed Ink Rates'!C:C,'Dispensed Ink Rates'!CS:CS),VLOOKUP(W73,'Jan-2026 rates'!$E:$F,2,0)))</f>
        <v>0</v>
      </c>
      <c r="AL73" s="404"/>
      <c r="AM73" s="398">
        <f>IF(AL73=0,0,IF(LEN(X73)=11,_xlfn.XLOOKUP(X73,'Dispensed Ink Rates'!C:C,'Dispensed Ink Rates'!CS:CS),VLOOKUP(X73,'Jan-2026 rates'!$E:$F,2,0)))</f>
        <v>0</v>
      </c>
      <c r="AN73" s="404"/>
      <c r="AO73" s="398">
        <f>IF(AN73=0,0,IF(LEN(Y73)=11,_xlfn.XLOOKUP(Y73,'Dispensed Ink Rates'!C:C,'Dispensed Ink Rates'!CS:CS),VLOOKUP(Y73,'Jan-2026 rates'!$E:$F,2,0)))</f>
        <v>0</v>
      </c>
      <c r="AP73" s="409" t="s">
        <v>1443</v>
      </c>
      <c r="AQ73" s="409">
        <v>28</v>
      </c>
      <c r="AR73" s="410">
        <f t="shared" si="1"/>
        <v>0</v>
      </c>
      <c r="AS73" s="411">
        <f t="shared" si="2"/>
        <v>12.833333333333329</v>
      </c>
      <c r="AT73" s="410">
        <f t="shared" si="3"/>
        <v>0</v>
      </c>
      <c r="AU73" s="405" t="s">
        <v>543</v>
      </c>
      <c r="AV73" s="409" t="s">
        <v>2345</v>
      </c>
      <c r="AW73" s="420" t="str">
        <f t="shared" si="53"/>
        <v>FLINTSL - BLACK</v>
      </c>
      <c r="AX73" s="409">
        <v>32</v>
      </c>
      <c r="AY73" s="411">
        <f>IF(AX73=0,0,IF($LB73=70%,VLOOKUP($AW73,'Jan-2026 rates'!$L:$R,4,0),IF($LB73=65%,VLOOKUP($AW73,'Jan-2026 rates'!$L:$R,4,0),IF($LB73=40%,VLOOKUP($AW73,'Jan-2026 rates'!$L:$R,5,0),IF($LB73=30%,VLOOKUP($AW73,'Jan-2026 rates'!$L:$R,6,0),IF($LB73=100%,VLOOKUP($AW73,'Jan-2026 rates'!$L:$R,7,0),IF($LB73=60%,VLOOKUP($AW73,'Jan-2026 rates'!$L:$S,8,0),IF($LB73=80%,VLOOKUP($AW73,'Jan-2026 rates'!L:T,9,0),0))))))))</f>
        <v>0</v>
      </c>
      <c r="AZ73" s="412"/>
      <c r="BA73" s="409"/>
      <c r="BB73" s="411">
        <f>IF(BA73=0,0,IF($LB73=70%,VLOOKUP($AW73,'Jan-2026 rates'!$L:$R,4,0),IF($LB73=65%,VLOOKUP($AW73,'Jan-2026 rates'!$L:$R,4,0),IF($LB73=40%,VLOOKUP($AW73,'Jan-2026 rates'!$L:$R,5,0),IF($LB73=30%,VLOOKUP($AW73,'Jan-2026 rates'!$L:$R,6,0),IF($LB73=100%,VLOOKUP($AW73,'Jan-2026 rates'!$L:$R,7,0),IF($LB73=60%,VLOOKUP($AW73,'Jan-2026 rates'!$L:$S,8,0),IF($LB73=80%,VLOOKUP($AW73,'Jan-2026 rates'!L:T,9,0),0))))))))</f>
        <v>0</v>
      </c>
      <c r="BC73" s="413">
        <v>26506000005</v>
      </c>
      <c r="BD73" s="412">
        <v>9472</v>
      </c>
      <c r="BE73" s="412"/>
      <c r="BF73" s="413"/>
      <c r="BG73" s="412"/>
      <c r="BH73" s="412"/>
      <c r="BI73" s="412"/>
      <c r="BJ73" s="412"/>
      <c r="BK73" s="409">
        <v>1</v>
      </c>
      <c r="BL73" s="398" t="e">
        <f>IF(BK73=0,0,IF(LEN(BC73)=11,_xlfn.XLOOKUP(BC73,'Dispensed Ink Rates'!C:C,'Dispensed Ink Rates'!CS:CS),VLOOKUP(BC73,'Jan-2026 rates'!$E:$F,2,0)))</f>
        <v>#N/A</v>
      </c>
      <c r="BM73" s="409">
        <v>2</v>
      </c>
      <c r="BN73" s="398">
        <f>IF(BM73=0,0,IF(LEN(BD73)=11,_xlfn.XLOOKUP(BD73,'Dispensed Ink Rates'!C:C,'Dispensed Ink Rates'!CS:CS),VLOOKUP(BD73,'Jan-2026 rates'!$E:$F,2,0)))</f>
        <v>0</v>
      </c>
      <c r="BO73" s="409"/>
      <c r="BP73" s="398">
        <f>IF(BO73=0,0,IF(LEN(BE73)=11,_xlfn.XLOOKUP(BE73,'Dispensed Ink Rates'!C:C,'Dispensed Ink Rates'!CS:CS),VLOOKUP(BE73,'Jan-2026 rates'!$E:$F,2,0)))</f>
        <v>0</v>
      </c>
      <c r="BQ73" s="409"/>
      <c r="BR73" s="398">
        <f>IF(BQ73=0,0,IF(LEN(BF73)=11,_xlfn.XLOOKUP(BF73,'Dispensed Ink Rates'!C:C,'Dispensed Ink Rates'!CS:CS),VLOOKUP(BF73,'Jan-2026 rates'!$E:$F,2,0)))</f>
        <v>0</v>
      </c>
      <c r="BS73" s="409"/>
      <c r="BT73" s="398">
        <f>IF(BS73=0,0,IF(LEN(BG73)=11,_xlfn.XLOOKUP(BG73,'Dispensed Ink Rates'!C:C,'Dispensed Ink Rates'!CS:CS),VLOOKUP(BG73,'Jan-2026 rates'!$E:$F,2,0)))</f>
        <v>0</v>
      </c>
      <c r="BU73" s="409"/>
      <c r="BV73" s="398">
        <f>IF(BU73=0,0,IF(LEN(BH73)=11,_xlfn.XLOOKUP(BH73,'Dispensed Ink Rates'!C:C,'Dispensed Ink Rates'!CS:CS),VLOOKUP(BH73,'Jan-2026 rates'!$E:$F,2,0)))</f>
        <v>0</v>
      </c>
      <c r="BW73" s="409"/>
      <c r="BX73" s="398">
        <f>IF(BW73=0,0,IF(LEN(BI73)=11,_xlfn.XLOOKUP(BI73,'Dispensed Ink Rates'!C:C,'Dispensed Ink Rates'!CS:CS),VLOOKUP(BI73,'Jan-2026 rates'!$E:$F,2,0)))</f>
        <v>0</v>
      </c>
      <c r="BY73" s="409"/>
      <c r="BZ73" s="398">
        <f>IF(BY73=0,0,IF(LEN(BJ73)=11,_xlfn.XLOOKUP(BJ73,'Dispensed Ink Rates'!C:C,'Dispensed Ink Rates'!CS:CS),VLOOKUP(BJ73,'Jan-2026 rates'!$E:$F,2,0)))</f>
        <v>0</v>
      </c>
      <c r="CA73" s="409" t="s">
        <v>1443</v>
      </c>
      <c r="CB73" s="409">
        <v>20</v>
      </c>
      <c r="CC73" s="411">
        <f t="shared" si="5"/>
        <v>0</v>
      </c>
      <c r="CD73" s="411">
        <f t="shared" si="6"/>
        <v>23.666666666666664</v>
      </c>
      <c r="CE73" s="410">
        <f t="shared" si="7"/>
        <v>0</v>
      </c>
      <c r="CF73" s="404" t="s">
        <v>857</v>
      </c>
      <c r="CG73" s="409" t="s">
        <v>2987</v>
      </c>
      <c r="CH73" s="420" t="str">
        <f t="shared" si="55"/>
        <v>FLINTSL - RED</v>
      </c>
      <c r="CI73" s="409">
        <v>24</v>
      </c>
      <c r="CJ73" s="411">
        <f>IF(CI73=0,0,IF($LB73=70%,VLOOKUP($CH73,'Jan-2026 rates'!$L:$R,4,0),IF($LB73=65%,VLOOKUP($CH73,'Jan-2026 rates'!$L:$R,4,0),IF($LB73=40%,VLOOKUP($CH73,'Jan-2026 rates'!$L:$R,5,0),IF($LB73=30%,VLOOKUP($CH73,'Jan-2026 rates'!$L:$R,6,0),IF($LB73=100%,VLOOKUP($CH73,'Jan-2026 rates'!$L:$R,7,0),IF($LB73=60%,VLOOKUP($CH73,'Jan-2026 rates'!$L:$S,8,0),IF($LB73=80%,VLOOKUP($CH73,'Jan-2026 rates'!L:T,9,0),0))))))))</f>
        <v>0</v>
      </c>
      <c r="CK73" s="412" t="s">
        <v>2988</v>
      </c>
      <c r="CL73" s="409">
        <f>20+26</f>
        <v>46</v>
      </c>
      <c r="CM73" s="411">
        <f>IF(CL73=0,0,IF($LB73=70%,VLOOKUP($CH73,'Jan-2026 rates'!$L:$R,4,0),IF($LB73=65%,VLOOKUP($CH73,'Jan-2026 rates'!$L:$R,4,0),IF($LB73=40%,VLOOKUP($CH73,'Jan-2026 rates'!$L:$R,5,0),IF($LB73=30%,VLOOKUP($CH73,'Jan-2026 rates'!$L:$R,6,0),IF($LB73=100%,VLOOKUP($CH73,'Jan-2026 rates'!$L:$R,7,0),IF($LB73=60%,VLOOKUP($CH73,'Jan-2026 rates'!$L:$S,8,0),IF($LB73=80%,VLOOKUP($CH73,'Jan-2026 rates'!L:T,9,0),0))))))))</f>
        <v>0</v>
      </c>
      <c r="CN73" s="426">
        <v>26505000005</v>
      </c>
      <c r="CO73" s="427"/>
      <c r="CP73" s="426"/>
      <c r="CQ73" s="426"/>
      <c r="CR73" s="428"/>
      <c r="CS73" s="428"/>
      <c r="CT73" s="428"/>
      <c r="CU73" s="428"/>
      <c r="CV73" s="409">
        <v>10</v>
      </c>
      <c r="CW73" s="398" t="e">
        <f>IF(CV73=0,0,IF(LEN(CN73)=11,_xlfn.XLOOKUP(CN73,'Dispensed Ink Rates'!C:C,'Dispensed Ink Rates'!CS:CS),VLOOKUP(CN73,'Jan-2026 rates'!$E:$F,2,0)))</f>
        <v>#N/A</v>
      </c>
      <c r="CX73" s="409"/>
      <c r="CY73" s="398">
        <f>IF(CX73=0,0,IF(LEN(CO73)=11,_xlfn.XLOOKUP(CO73,'Dispensed Ink Rates'!C:C,'Dispensed Ink Rates'!CS:CS),VLOOKUP(CO73,'Jan-2026 rates'!$E:$F,2,0)))</f>
        <v>0</v>
      </c>
      <c r="CZ73" s="409"/>
      <c r="DA73" s="398">
        <f>IF(CZ73=0,0,IF(LEN(CP73)=11,_xlfn.XLOOKUP(CP73,'Dispensed Ink Rates'!C:C,'Dispensed Ink Rates'!CS:CS),VLOOKUP(CP73,'Jan-2026 rates'!$E:$F,2,0)))</f>
        <v>0</v>
      </c>
      <c r="DB73" s="409"/>
      <c r="DC73" s="398">
        <f>IF(DB73=0,0,IF(LEN(CQ73)=11,_xlfn.XLOOKUP(CQ73,'Dispensed Ink Rates'!C:C,'Dispensed Ink Rates'!CS:CS),VLOOKUP(CQ73,'Jan-2026 rates'!$E:$F,2,0)))</f>
        <v>0</v>
      </c>
      <c r="DD73" s="409"/>
      <c r="DE73" s="398">
        <f>IF(DD73=0,0,IF(LEN(CR73)=11,_xlfn.XLOOKUP(CR73,'Dispensed Ink Rates'!C:C,'Dispensed Ink Rates'!CS:CS),VLOOKUP(CR73,'Jan-2026 rates'!$E:$F,2,0)))</f>
        <v>0</v>
      </c>
      <c r="DF73" s="409"/>
      <c r="DG73" s="398">
        <f>IF(DF73=0,0,IF(LEN(CS73)=11,_xlfn.XLOOKUP(CS73,'Dispensed Ink Rates'!C:C,'Dispensed Ink Rates'!CS:CS),VLOOKUP(CS73,'Jan-2026 rates'!$E:$F,2,0)))</f>
        <v>0</v>
      </c>
      <c r="DH73" s="409"/>
      <c r="DI73" s="398">
        <f>IF(DH73=0,0,IF(LEN(CT73)=11,_xlfn.XLOOKUP(CT73,'Dispensed Ink Rates'!C:C,'Dispensed Ink Rates'!CS:CS),VLOOKUP(CT73,'Jan-2026 rates'!$E:$F,2,0)))</f>
        <v>0</v>
      </c>
      <c r="DJ73" s="409"/>
      <c r="DK73" s="398">
        <f>IF(DJ73=0,0,IF(LEN(CU73)=11,_xlfn.XLOOKUP(CU73,'Dispensed Ink Rates'!C:C,'Dispensed Ink Rates'!CS:CS),VLOOKUP(CU73,'Jan-2026 rates'!$E:$F,2,0)))</f>
        <v>0</v>
      </c>
      <c r="DL73" s="409" t="s">
        <v>1443</v>
      </c>
      <c r="DM73" s="409">
        <v>29</v>
      </c>
      <c r="DN73" s="411">
        <f t="shared" si="9"/>
        <v>0</v>
      </c>
      <c r="DO73" s="411">
        <f t="shared" si="10"/>
        <v>61.833333333333329</v>
      </c>
      <c r="DP73" s="410">
        <f t="shared" si="11"/>
        <v>0</v>
      </c>
      <c r="DQ73" s="405" t="s">
        <v>855</v>
      </c>
      <c r="DR73" s="409" t="s">
        <v>2989</v>
      </c>
      <c r="DS73" s="420" t="str">
        <f t="shared" si="56"/>
        <v>FLINTSL - CYAN</v>
      </c>
      <c r="DT73" s="409">
        <v>28</v>
      </c>
      <c r="DU73" s="411">
        <f>IF(DT73=0,0,IF($LB73=70%,VLOOKUP($DS73,'Jan-2026 rates'!$L:$R,4,0),IF($LB73=65%,VLOOKUP($DS73,'Jan-2026 rates'!$L:$R,4,0),IF($LB73=40%,VLOOKUP($DS73,'Jan-2026 rates'!$L:$R,5,0),IF($LB73=30%,VLOOKUP($DS73,'Jan-2026 rates'!$L:$R,6,0),IF($LB73=100%,VLOOKUP($DS73,'Jan-2026 rates'!$L:$R,7,0),IF($LB73=60%,VLOOKUP($DS73,'Jan-2026 rates'!$L:$S,8,0),IF($LB73=80%,VLOOKUP($DS73,'Jan-2026 rates'!L:T,9,0),0))))))))</f>
        <v>0</v>
      </c>
      <c r="DV73" s="412"/>
      <c r="DW73" s="409"/>
      <c r="DX73" s="411">
        <f>IF(DW73=0,0,IF($LB73=70%,VLOOKUP($DS73,'Jan-2026 rates'!$L:$R,4,0),IF($LB73=65%,VLOOKUP($DS73,'Jan-2026 rates'!$L:$R,4,0),IF($LB73=40%,VLOOKUP($DS73,'Jan-2026 rates'!$L:$R,5,0),IF($LB73=30%,VLOOKUP($DS73,'Jan-2026 rates'!$L:$R,6,0),IF($LB73=100%,VLOOKUP($DS73,'Jan-2026 rates'!$L:$R,7,0),IF($LB73=60%,VLOOKUP($DS73,'Jan-2026 rates'!$L:$S,8,0),IF($LB73=80%,VLOOKUP($DS73,'Jan-2026 rates'!L:T,9,0),0))))))))</f>
        <v>0</v>
      </c>
      <c r="DY73" s="413">
        <v>26504000001</v>
      </c>
      <c r="DZ73" s="413"/>
      <c r="EA73" s="412"/>
      <c r="EB73" s="412"/>
      <c r="EC73" s="412"/>
      <c r="ED73" s="412"/>
      <c r="EE73" s="412"/>
      <c r="EF73" s="412"/>
      <c r="EG73" s="409">
        <v>1</v>
      </c>
      <c r="EH73" s="398" t="e">
        <f>IF(EG73=0,0,IF(LEN(DY73)=11,_xlfn.XLOOKUP(DY73,'Dispensed Ink Rates'!C:C,'Dispensed Ink Rates'!CS:CS),VLOOKUP(DY73,'Jan-2026 rates'!$E:$F,2,0)))</f>
        <v>#N/A</v>
      </c>
      <c r="EI73" s="409"/>
      <c r="EJ73" s="398">
        <f>IF(EI73=0,0,IF(LEN(DZ73)=11,_xlfn.XLOOKUP(DZ73,'Dispensed Ink Rates'!C:C,'Dispensed Ink Rates'!CS:CS),VLOOKUP(DZ73,'Jan-2026 rates'!$E:$F,2,0)))</f>
        <v>0</v>
      </c>
      <c r="EK73" s="409"/>
      <c r="EL73" s="398">
        <f>IF(EK73=0,0,IF(LEN(EA73)=11,_xlfn.XLOOKUP(EA73,'Dispensed Ink Rates'!C:C,'Dispensed Ink Rates'!CS:CS),VLOOKUP(EA73,'Jan-2026 rates'!$E:$F,2,0)))</f>
        <v>0</v>
      </c>
      <c r="EM73" s="409"/>
      <c r="EN73" s="398">
        <f>IF(EM73=0,0,IF(LEN(EB73)=11,_xlfn.XLOOKUP(EB73,'Dispensed Ink Rates'!C:C,'Dispensed Ink Rates'!CS:CS),VLOOKUP(EB73,'Jan-2026 rates'!$E:$F,2,0)))</f>
        <v>0</v>
      </c>
      <c r="EO73" s="409"/>
      <c r="EP73" s="398">
        <f>IF(EO73=0,0,IF(LEN(EC73)=11,_xlfn.XLOOKUP(EC73,'Dispensed Ink Rates'!C:C,'Dispensed Ink Rates'!CS:CS),VLOOKUP(EC73,'Jan-2026 rates'!$E:$F,2,0)))</f>
        <v>0</v>
      </c>
      <c r="EQ73" s="409"/>
      <c r="ER73" s="398">
        <f>IF(EQ73=0,0,IF(LEN(ED73)=11,_xlfn.XLOOKUP(ED73,'Dispensed Ink Rates'!C:C,'Dispensed Ink Rates'!CS:CS),VLOOKUP(ED73,'Jan-2026 rates'!$E:$F,2,0)))</f>
        <v>0</v>
      </c>
      <c r="ES73" s="409"/>
      <c r="ET73" s="398">
        <f>IF(ES73=0,0,IF(LEN(EE73)=11,_xlfn.XLOOKUP(EE73,'Dispensed Ink Rates'!C:C,'Dispensed Ink Rates'!CS:CS),VLOOKUP(EE73,'Jan-2026 rates'!$E:$F,2,0)))</f>
        <v>0</v>
      </c>
      <c r="EU73" s="409"/>
      <c r="EV73" s="398">
        <f>IF(EU73=0,0,IF(LEN(EF73)=11,_xlfn.XLOOKUP(EF73,'Dispensed Ink Rates'!C:C,'Dispensed Ink Rates'!CS:CS),VLOOKUP(EF73,'Jan-2026 rates'!$E:$F,2,0)))</f>
        <v>0</v>
      </c>
      <c r="EW73" s="409" t="s">
        <v>1443</v>
      </c>
      <c r="EX73" s="409">
        <v>28</v>
      </c>
      <c r="EY73" s="411">
        <f t="shared" si="13"/>
        <v>0</v>
      </c>
      <c r="EZ73" s="411">
        <f t="shared" si="14"/>
        <v>7.5</v>
      </c>
      <c r="FA73" s="410">
        <f t="shared" si="15"/>
        <v>0</v>
      </c>
      <c r="FB73" s="405" t="s">
        <v>544</v>
      </c>
      <c r="FC73" s="409" t="s">
        <v>2990</v>
      </c>
      <c r="FD73" s="420" t="str">
        <f t="shared" si="57"/>
        <v>FLINTSL - MAGENTA</v>
      </c>
      <c r="FE73" s="409">
        <v>29</v>
      </c>
      <c r="FF73" s="411">
        <f>IF(FE73=0,0,IF($LB73=70%,VLOOKUP($FD73,'Jan-2026 rates'!$L:$R,4,0),IF($LB73=65%,VLOOKUP($FD73,'Jan-2026 rates'!$L:$R,4,0),IF($LB73=40%,VLOOKUP($FD73,'Jan-2026 rates'!$L:$R,5,0),IF($LB73=30%,VLOOKUP($FD73,'Jan-2026 rates'!$L:$R,6,0),IF($LB73=100%,VLOOKUP($FD73,'Jan-2026 rates'!$L:$R,7,0),IF($LB73=60%,VLOOKUP($FD73,'Jan-2026 rates'!$L:$S,8,0),IF($LB73=80%,VLOOKUP($FD73,'Jan-2026 rates'!L:T,9,0),0))))))))</f>
        <v>0</v>
      </c>
      <c r="FG73" s="412"/>
      <c r="FH73" s="409"/>
      <c r="FI73" s="411">
        <f>IF(FH73=0,0,IF($LB73=70%,VLOOKUP($FD73,'Jan-2026 rates'!$L:$R,4,0),IF($LB73=65%,VLOOKUP($FD73,'Jan-2026 rates'!$L:$R,4,0),IF($LB73=40%,VLOOKUP($FD73,'Jan-2026 rates'!$L:$R,5,0),IF($LB73=30%,VLOOKUP($FD73,'Jan-2026 rates'!$L:$R,6,0),IF($LB73=100%,VLOOKUP($FD73,'Jan-2026 rates'!$L:$R,7,0),IF($LB73=60%,VLOOKUP($FD73,'Jan-2026 rates'!$L:$S,8,0),IF($LB73=80%,VLOOKUP($FD73,'Jan-2026 rates'!L:T,9,0),0))))))))</f>
        <v>0</v>
      </c>
      <c r="FJ73" s="413">
        <v>26505000005</v>
      </c>
      <c r="FK73" s="413"/>
      <c r="FL73" s="413"/>
      <c r="FM73" s="412"/>
      <c r="FN73" s="412"/>
      <c r="FO73" s="412"/>
      <c r="FP73" s="412"/>
      <c r="FQ73" s="412"/>
      <c r="FR73" s="409">
        <v>2</v>
      </c>
      <c r="FS73" s="398" t="e">
        <f>IF(FR73=0,0,IF(LEN(FJ73)=11,_xlfn.XLOOKUP(FJ73,'Dispensed Ink Rates'!C:C,'Dispensed Ink Rates'!CS:CS),VLOOKUP(FJ73,'Jan-2026 rates'!$E:$F,2,0)))</f>
        <v>#N/A</v>
      </c>
      <c r="FT73" s="409"/>
      <c r="FU73" s="398">
        <f>IF(FT73=0,0,IF(LEN(FK73)=11,_xlfn.XLOOKUP(FK73,'Dispensed Ink Rates'!C:C,'Dispensed Ink Rates'!CS:CS),VLOOKUP(FK73,'Jan-2026 rates'!$E:$F,2,0)))</f>
        <v>0</v>
      </c>
      <c r="FV73" s="409"/>
      <c r="FW73" s="398">
        <f>IF(FV73=0,0,IF(LEN(FL73)=11,_xlfn.XLOOKUP(FL73,'Dispensed Ink Rates'!C:C,'Dispensed Ink Rates'!CS:CS),VLOOKUP(FL73,'Jan-2026 rates'!$E:$F,2,0)))</f>
        <v>0</v>
      </c>
      <c r="FX73" s="409"/>
      <c r="FY73" s="398">
        <f>IF(FX73=0,0,IF(LEN(FM73)=11,_xlfn.XLOOKUP(FM73,'Dispensed Ink Rates'!C:C,'Dispensed Ink Rates'!CS:CS),VLOOKUP(FM73,'Jan-2026 rates'!$E:$F,2,0)))</f>
        <v>0</v>
      </c>
      <c r="FZ73" s="409"/>
      <c r="GA73" s="398">
        <f>IF(FZ73=0,0,IF(LEN(FN73)=11,_xlfn.XLOOKUP(FN73,'Dispensed Ink Rates'!C:C,'Dispensed Ink Rates'!CS:CS),VLOOKUP(FN73,'Jan-2026 rates'!$E:$F,2,0)))</f>
        <v>0</v>
      </c>
      <c r="GB73" s="409"/>
      <c r="GC73" s="398">
        <f>IF(GB73=0,0,IF(LEN(FO73)=11,_xlfn.XLOOKUP(FO73,'Dispensed Ink Rates'!C:C,'Dispensed Ink Rates'!CS:CS),VLOOKUP(FO73,'Jan-2026 rates'!$E:$F,2,0)))</f>
        <v>0</v>
      </c>
      <c r="GD73" s="409"/>
      <c r="GE73" s="398">
        <f>IF(GD73=0,0,IF(LEN(FP73)=11,_xlfn.XLOOKUP(FP73,'Dispensed Ink Rates'!C:C,'Dispensed Ink Rates'!CS:CS),VLOOKUP(FP73,'Jan-2026 rates'!$E:$F,2,0)))</f>
        <v>0</v>
      </c>
      <c r="GF73" s="409"/>
      <c r="GG73" s="398">
        <f>IF(GF73=0,0,IF(LEN(FQ73)=11,_xlfn.XLOOKUP(FQ73,'Dispensed Ink Rates'!C:C,'Dispensed Ink Rates'!CS:CS),VLOOKUP(FQ73,'Jan-2026 rates'!$E:$F,2,0)))</f>
        <v>0</v>
      </c>
      <c r="GH73" s="409" t="s">
        <v>1443</v>
      </c>
      <c r="GI73" s="409">
        <v>27</v>
      </c>
      <c r="GJ73" s="411">
        <f t="shared" si="17"/>
        <v>0</v>
      </c>
      <c r="GK73" s="411">
        <f t="shared" si="18"/>
        <v>8.3333333333333357</v>
      </c>
      <c r="GL73" s="410">
        <f t="shared" si="19"/>
        <v>0</v>
      </c>
      <c r="GM73" s="405" t="s">
        <v>545</v>
      </c>
      <c r="GN73" s="409" t="s">
        <v>2991</v>
      </c>
      <c r="GO73" s="420" t="str">
        <f t="shared" si="58"/>
        <v>FLINTSL - YELLOW</v>
      </c>
      <c r="GP73" s="409">
        <v>30</v>
      </c>
      <c r="GQ73" s="411">
        <f>IF(GP73=0,0,IF($LB73=70%,VLOOKUP($GO73,'Jan-2026 rates'!$L:$R,4,0),IF($LB73=65%,VLOOKUP($GO73,'Jan-2026 rates'!$L:$R,4,0),IF($LB73=40%,VLOOKUP($GO73,'Jan-2026 rates'!$L:$R,5,0),IF($LB73=30%,VLOOKUP($GO73,'Jan-2026 rates'!$L:$R,6,0),IF($LB73=100%,VLOOKUP($GO73,'Jan-2026 rates'!$L:$R,7,0),IF($LB73=60%,VLOOKUP($GO73,'Jan-2026 rates'!$L:$S,8,0),IF($LB73=80%,VLOOKUP($GO73,'Jan-2026 rates'!L:T,9,0),0))))))))</f>
        <v>0</v>
      </c>
      <c r="GR73" s="412"/>
      <c r="GS73" s="409"/>
      <c r="GT73" s="411">
        <f>IF(GS73=0,0,IF($LB73=70%,VLOOKUP($GO73,'Jan-2026 rates'!$L:$R,4,0),IF($LB73=65%,VLOOKUP($GO73,'Jan-2026 rates'!$L:$R,4,0),IF($LB73=40%,VLOOKUP($GO73,'Jan-2026 rates'!$L:$R,5,0),IF($LB73=30%,VLOOKUP($GO73,'Jan-2026 rates'!$L:$R,6,0),IF($LB73=100%,VLOOKUP($GO73,'Jan-2026 rates'!$L:$R,7,0),IF($LB73=60%,VLOOKUP($GO73,'Jan-2026 rates'!$L:$S,8,0),IF($LB73=80%,VLOOKUP($GO73,'Jan-2026 rates'!L:T,9,0),0))))))))</f>
        <v>0</v>
      </c>
      <c r="GU73" s="413">
        <v>26505000004</v>
      </c>
      <c r="GV73" s="413" t="s">
        <v>1266</v>
      </c>
      <c r="GW73" s="412"/>
      <c r="GX73" s="412"/>
      <c r="GY73" s="412"/>
      <c r="GZ73" s="412"/>
      <c r="HA73" s="412"/>
      <c r="HB73" s="412"/>
      <c r="HC73" s="409">
        <v>15</v>
      </c>
      <c r="HD73" s="398" t="e">
        <f>IF(HC73=0,0,IF(LEN(GU73)=11,_xlfn.XLOOKUP(GU73,'Dispensed Ink Rates'!C:C,'Dispensed Ink Rates'!CS:CS),VLOOKUP(GU73,'Jan-2026 rates'!$E:$F,2,0)))</f>
        <v>#N/A</v>
      </c>
      <c r="HE73" s="409">
        <v>10</v>
      </c>
      <c r="HF73" s="398">
        <f>IF(HE73=0,0,IF(LEN(GV73)=11,_xlfn.XLOOKUP(GV73,'Dispensed Ink Rates'!C:C,'Dispensed Ink Rates'!CS:CS),VLOOKUP(GV73,'Jan-2026 rates'!$E:$F,2,0)))</f>
        <v>0</v>
      </c>
      <c r="HG73" s="409"/>
      <c r="HH73" s="398">
        <f>IF(HG73=0,0,IF(LEN(GW73)=11,_xlfn.XLOOKUP(GW73,'Dispensed Ink Rates'!C:C,'Dispensed Ink Rates'!CS:CS),VLOOKUP(GW73,'Jan-2026 rates'!$E:$F,2,0)))</f>
        <v>0</v>
      </c>
      <c r="HI73" s="409"/>
      <c r="HJ73" s="398">
        <f>IF(HI73=0,0,IF(LEN(GX73)=11,_xlfn.XLOOKUP(GX73,'Dispensed Ink Rates'!C:C,'Dispensed Ink Rates'!CS:CS),VLOOKUP(GX73,'Jan-2026 rates'!$E:$F,2,0)))</f>
        <v>0</v>
      </c>
      <c r="HK73" s="409"/>
      <c r="HL73" s="398">
        <f>IF(HK73=0,0,IF(LEN(GY73)=11,_xlfn.XLOOKUP(GY73,'Dispensed Ink Rates'!C:C,'Dispensed Ink Rates'!CS:CS),VLOOKUP(GY73,'Jan-2026 rates'!$E:$F,2,0)))</f>
        <v>0</v>
      </c>
      <c r="HM73" s="409"/>
      <c r="HN73" s="398">
        <f>IF(HM73=0,0,IF(LEN(GZ73)=11,_xlfn.XLOOKUP(GZ73,'Dispensed Ink Rates'!C:C,'Dispensed Ink Rates'!CS:CS),VLOOKUP(GZ73,'Jan-2026 rates'!$E:$F,2,0)))</f>
        <v>0</v>
      </c>
      <c r="HO73" s="409"/>
      <c r="HP73" s="398">
        <f>IF(HO73=0,0,IF(LEN(HA73)=11,_xlfn.XLOOKUP(HA73,'Dispensed Ink Rates'!C:C,'Dispensed Ink Rates'!CS:CS),VLOOKUP(HA73,'Jan-2026 rates'!$E:$F,2,0)))</f>
        <v>0</v>
      </c>
      <c r="HQ73" s="409"/>
      <c r="HR73" s="398">
        <f>IF(HQ73=0,0,IF(LEN(HB73)=11,_xlfn.XLOOKUP(HB73,'Dispensed Ink Rates'!C:C,'Dispensed Ink Rates'!CS:CS),VLOOKUP(HB73,'Jan-2026 rates'!$E:$F,2,0)))</f>
        <v>0</v>
      </c>
      <c r="HS73" s="409" t="s">
        <v>1443</v>
      </c>
      <c r="HT73" s="409">
        <v>29</v>
      </c>
      <c r="HU73" s="411">
        <f t="shared" si="21"/>
        <v>0</v>
      </c>
      <c r="HV73" s="411">
        <f t="shared" si="22"/>
        <v>58.5</v>
      </c>
      <c r="HW73" s="414">
        <f t="shared" si="23"/>
        <v>0</v>
      </c>
      <c r="HX73" s="405" t="s">
        <v>856</v>
      </c>
      <c r="HY73" s="409" t="s">
        <v>2992</v>
      </c>
      <c r="HZ73" s="420" t="str">
        <f t="shared" si="59"/>
        <v>FLINTSL - WHITE</v>
      </c>
      <c r="IA73" s="409">
        <v>30</v>
      </c>
      <c r="IB73" s="411">
        <f>IF(IA73=0,0,IF($LB73=70%,VLOOKUP($HZ73,'Jan-2026 rates'!$L:$R,4,0),IF($LB73=65%,VLOOKUP($HZ73,'Jan-2026 rates'!$L:$R,4,0),IF($LB73=40%,VLOOKUP($HZ73,'Jan-2026 rates'!$L:$R,5,0),IF($LB73=30%,VLOOKUP($HZ73,'Jan-2026 rates'!$L:$R,6,0),IF($LB73=100%,VLOOKUP($HZ73,'Jan-2026 rates'!$L:$R,7,0),IF($LB73=60%,VLOOKUP($HZ73,'Jan-2026 rates'!$L:$S,8,0),IF($LB73=80%,VLOOKUP($HZ73,'Jan-2026 rates'!L:T,9,0),0))))))))</f>
        <v>0</v>
      </c>
      <c r="IC73" s="412"/>
      <c r="ID73" s="409"/>
      <c r="IE73" s="411">
        <f>IF(ID73=0,0,IF($LB73=70%,VLOOKUP($HZ73,'Jan-2026 rates'!$L:$R,4,0),IF($LB73=65%,VLOOKUP($HZ73,'Jan-2026 rates'!$L:$R,4,0),IF($LB73=40%,VLOOKUP($HZ73,'Jan-2026 rates'!$L:$R,5,0),IF($LB73=30%,VLOOKUP($HZ73,'Jan-2026 rates'!$L:$R,6,0),IF($LB73=100%,VLOOKUP($HZ73,'Jan-2026 rates'!$L:$R,7,0),IF($LB73=60%,VLOOKUP($HZ73,'Jan-2026 rates'!$L:$S,8,0),IF($LB73=80%,VLOOKUP($HZ73,'Jan-2026 rates'!L:T,9,0),0))))))))</f>
        <v>0</v>
      </c>
      <c r="IF73" s="412" t="s">
        <v>484</v>
      </c>
      <c r="IG73" s="413"/>
      <c r="IH73" s="412"/>
      <c r="II73" s="412"/>
      <c r="IJ73" s="412"/>
      <c r="IK73" s="412"/>
      <c r="IL73" s="412"/>
      <c r="IM73" s="412"/>
      <c r="IN73" s="409">
        <f>30+60</f>
        <v>90</v>
      </c>
      <c r="IO73" s="398">
        <f>IF(IN73=0,0,IF(LEN(IF73)=11,_xlfn.XLOOKUP(IF73,'Dispensed Ink Rates'!C:C,'Dispensed Ink Rates'!CS:CS),VLOOKUP(IF73,'Jan-2026 rates'!$E:$F,2,0)))</f>
        <v>0</v>
      </c>
      <c r="IP73" s="409"/>
      <c r="IQ73" s="398">
        <f>IF(IP73=0,0,IF(LEN(IG73)=11,_xlfn.XLOOKUP(IG73,'Dispensed Ink Rates'!C:C,'Dispensed Ink Rates'!CS:CS),VLOOKUP(IG73,'Jan-2026 rates'!$E:$F,2,0)))</f>
        <v>0</v>
      </c>
      <c r="IR73" s="409"/>
      <c r="IS73" s="398">
        <f>IF(IR73=0,0,IF(LEN(IH73)=11,_xlfn.XLOOKUP(IH73,'Dispensed Ink Rates'!C:C,'Dispensed Ink Rates'!CS:CS),VLOOKUP(IH73,'Jan-2026 rates'!$E:$F,2,0)))</f>
        <v>0</v>
      </c>
      <c r="IT73" s="409"/>
      <c r="IU73" s="398">
        <f>IF(IT73=0,0,IF(LEN(II73)=11,_xlfn.XLOOKUP(II73,'Dispensed Ink Rates'!C:C,'Dispensed Ink Rates'!CS:CS),VLOOKUP(II73,'Jan-2026 rates'!$E:$F,2,0)))</f>
        <v>0</v>
      </c>
      <c r="IV73" s="409"/>
      <c r="IW73" s="398">
        <f>IF(IV73=0,0,IF(LEN(IJ73)=11,_xlfn.XLOOKUP(IJ73,'Dispensed Ink Rates'!C:C,'Dispensed Ink Rates'!CS:CS),VLOOKUP(IJ73,'Jan-2026 rates'!$E:$F,2,0)))</f>
        <v>0</v>
      </c>
      <c r="IX73" s="409"/>
      <c r="IY73" s="398">
        <f>IF(IX73=0,0,IF(LEN(IK73)=11,_xlfn.XLOOKUP(IK73,'Dispensed Ink Rates'!C:C,'Dispensed Ink Rates'!CS:CS),VLOOKUP(IK73,'Jan-2026 rates'!$E:$F,2,0)))</f>
        <v>0</v>
      </c>
      <c r="IZ73" s="409"/>
      <c r="JA73" s="398">
        <f>IF(IZ73=0,0,IF(LEN(IL73)=11,_xlfn.XLOOKUP(IL73,'Dispensed Ink Rates'!C:C,'Dispensed Ink Rates'!CS:CS),VLOOKUP(IL73,'Jan-2026 rates'!$E:$F,2,0)))</f>
        <v>0</v>
      </c>
      <c r="JB73" s="409"/>
      <c r="JC73" s="398">
        <f>IF(JB73=0,0,IF(LEN(IM73)=11,_xlfn.XLOOKUP(IM73,'Dispensed Ink Rates'!C:C,'Dispensed Ink Rates'!CS:CS),VLOOKUP(IM73,'Jan-2026 rates'!$E:$F,2,0)))</f>
        <v>0</v>
      </c>
      <c r="JD73" s="409" t="s">
        <v>1443</v>
      </c>
      <c r="JE73" s="409">
        <v>25</v>
      </c>
      <c r="JF73" s="411">
        <f t="shared" si="25"/>
        <v>0</v>
      </c>
      <c r="JG73" s="411">
        <f t="shared" si="26"/>
        <v>203.33333333333331</v>
      </c>
      <c r="JH73" s="410">
        <f t="shared" si="27"/>
        <v>0</v>
      </c>
      <c r="JI73" s="405"/>
      <c r="JJ73" s="409"/>
      <c r="JK73" s="420" t="str">
        <f t="shared" si="60"/>
        <v xml:space="preserve"> - </v>
      </c>
      <c r="JL73" s="409"/>
      <c r="JM73" s="411">
        <f>IF(JL73=0,0,IF($LB73=70%,VLOOKUP($JK73,'Jan-2026 rates'!$L:$R,4,0),IF($LB73=65%,VLOOKUP($JK73,'Jan-2026 rates'!$L:$R,4,0),IF($LB73=40%,VLOOKUP($JK73,'Jan-2026 rates'!$L:$R,5,0),IF($LB73=30%,VLOOKUP($JK73,'Jan-2026 rates'!$L:$R,6,0),IF($LB73=100%,VLOOKUP($JK73,'Jan-2026 rates'!$L:$R,7,0),IF($LB73=60%,VLOOKUP($JK73,'Jan-2026 rates'!$L:$S,8,0),IF($LB73=80%,VLOOKUP($JK73,'Jan-2026 rates'!L:T,9,0),0))))))))</f>
        <v>0</v>
      </c>
      <c r="JN73" s="412"/>
      <c r="JO73" s="409"/>
      <c r="JP73" s="411">
        <f>IF(JO73=0,0,IF($LB73=70%,VLOOKUP($JK73,'Jan-2026 rates'!$L:$R,4,0),IF($LB73=65%,VLOOKUP($JK73,'Jan-2026 rates'!$L:$R,4,0),IF($LB73=40%,VLOOKUP($JK73,'Jan-2026 rates'!$L:$R,5,0),IF($LB73=30%,VLOOKUP($JK73,'Jan-2026 rates'!$L:$R,6,0),IF($LB73=100%,VLOOKUP($JK73,'Jan-2026 rates'!$L:$R,7,0),IF($LB73=60%,VLOOKUP($JK73,'Jan-2026 rates'!$L:$S,8,0),IF($LB73=80%,VLOOKUP($JK73,'Jan-2026 rates'!L:T,9,0),0))))))))</f>
        <v>0</v>
      </c>
      <c r="JQ73" s="413"/>
      <c r="JR73" s="412"/>
      <c r="JS73" s="413"/>
      <c r="JT73" s="413"/>
      <c r="JU73" s="412"/>
      <c r="JV73" s="412"/>
      <c r="JW73" s="412"/>
      <c r="JX73" s="412"/>
      <c r="JY73" s="409"/>
      <c r="JZ73" s="398">
        <f>IF(JY73=0,0,IF(LEN(JQ73)=11,_xlfn.XLOOKUP(JQ73,'Dispensed Ink Rates'!C:C,'Dispensed Ink Rates'!CS:CS),VLOOKUP(JQ73,'Jan-2026 rates'!$E:$F,2,0)))</f>
        <v>0</v>
      </c>
      <c r="KA73" s="409"/>
      <c r="KB73" s="398">
        <f>IF(KA73=0,0,IF(LEN(JR73)=11,_xlfn.XLOOKUP(JR73,'Dispensed Ink Rates'!C:C,'Dispensed Ink Rates'!CS:CS),VLOOKUP(JR73,'Jan-2026 rates'!$E:$F,2,0)))</f>
        <v>0</v>
      </c>
      <c r="KC73" s="409"/>
      <c r="KD73" s="398">
        <f>IF(KC73=0,0,IF(LEN(JS73)=11,_xlfn.XLOOKUP(JS73,'Dispensed Ink Rates'!C:C,'Dispensed Ink Rates'!CS:CS),VLOOKUP(JS73,'Jan-2026 rates'!$E:$F,2,0)))</f>
        <v>0</v>
      </c>
      <c r="KE73" s="409"/>
      <c r="KF73" s="398">
        <f>IF(KE73=0,0,IF(LEN(JT73)=11,_xlfn.XLOOKUP(JT73,'Dispensed Ink Rates'!C:C,'Dispensed Ink Rates'!CS:CS),VLOOKUP(JT73,'Jan-2026 rates'!$E:$F,2,0)))</f>
        <v>0</v>
      </c>
      <c r="KG73" s="409"/>
      <c r="KH73" s="398">
        <f>IF(KG73=0,0,IF(LEN(JU73)=11,_xlfn.XLOOKUP(JU73,'Dispensed Ink Rates'!C:C,'Dispensed Ink Rates'!CS:CS),VLOOKUP(JU73,'Jan-2026 rates'!$E:$F,2,0)))</f>
        <v>0</v>
      </c>
      <c r="KI73" s="409"/>
      <c r="KJ73" s="398">
        <f>IF(KI73=0,0,IF(LEN(JV73)=11,_xlfn.XLOOKUP(JV73,'Dispensed Ink Rates'!C:C,'Dispensed Ink Rates'!CS:CS),VLOOKUP(JV73,'Jan-2026 rates'!$E:$F,2,0)))</f>
        <v>0</v>
      </c>
      <c r="KK73" s="409"/>
      <c r="KL73" s="398">
        <f>IF(KK73=0,0,IF(LEN(JW73)=11,_xlfn.XLOOKUP(JW73,'Dispensed Ink Rates'!C:C,'Dispensed Ink Rates'!CS:CS),VLOOKUP(JW73,'Jan-2026 rates'!$E:$F,2,0)))</f>
        <v>0</v>
      </c>
      <c r="KM73" s="428"/>
      <c r="KN73" s="398">
        <f>IF(KM73=0,0,IF(LEN(JX73)=11,_xlfn.XLOOKUP(JX73,'Dispensed Ink Rates'!C:C,'Dispensed Ink Rates'!CS:CS),VLOOKUP(JX73,'Jan-2026 rates'!$E:$F,2,0)))</f>
        <v>0</v>
      </c>
      <c r="KO73" s="409"/>
      <c r="KP73" s="409"/>
      <c r="KQ73" s="411">
        <f t="shared" si="29"/>
        <v>0</v>
      </c>
      <c r="KR73" s="411">
        <f t="shared" si="30"/>
        <v>0</v>
      </c>
      <c r="KS73" s="410">
        <f t="shared" si="31"/>
        <v>0</v>
      </c>
      <c r="KT73" s="409">
        <v>5</v>
      </c>
      <c r="KU73" s="409">
        <v>4</v>
      </c>
      <c r="KV73" s="409">
        <v>5</v>
      </c>
      <c r="KW73" s="409">
        <v>3</v>
      </c>
      <c r="KX73" s="409">
        <v>2</v>
      </c>
      <c r="KY73" s="409">
        <v>15</v>
      </c>
      <c r="KZ73" s="409">
        <f>20+30</f>
        <v>50</v>
      </c>
      <c r="LA73" s="409">
        <v>0</v>
      </c>
      <c r="LB73" s="415">
        <v>0.8</v>
      </c>
      <c r="LC73" s="415">
        <v>0.2</v>
      </c>
      <c r="LD73" s="415"/>
      <c r="LE73" s="415"/>
      <c r="LF73" s="415"/>
      <c r="LG73" s="409">
        <v>0</v>
      </c>
      <c r="LH73" s="409">
        <f>50+30+72+18+5+5+2</f>
        <v>182</v>
      </c>
      <c r="LI73" s="409">
        <v>0</v>
      </c>
      <c r="LJ73" s="409">
        <v>0</v>
      </c>
      <c r="LK73" s="416">
        <f t="shared" si="61"/>
        <v>182</v>
      </c>
      <c r="LL73" s="416">
        <f t="shared" si="62"/>
        <v>182</v>
      </c>
      <c r="LM73" s="417">
        <f t="shared" si="63"/>
        <v>145.6</v>
      </c>
      <c r="LN73" s="417">
        <f>VLOOKUP($LM$8,'Jan-2026 rates'!$H:$I,2,0)</f>
        <v>0</v>
      </c>
      <c r="LO73" s="417">
        <f t="shared" si="64"/>
        <v>36.4</v>
      </c>
      <c r="LP73" s="417">
        <f>VLOOKUP($LO$8,'Jan-2026 rates'!$H:$I,2,0)</f>
        <v>0</v>
      </c>
      <c r="LQ73" s="417">
        <f t="shared" si="65"/>
        <v>0</v>
      </c>
      <c r="LR73" s="417">
        <f>VLOOKUP($LQ$8,'Jan-2026 rates'!$H:$I,2,0)</f>
        <v>0</v>
      </c>
      <c r="LS73" s="417">
        <f t="shared" si="66"/>
        <v>0</v>
      </c>
      <c r="LT73" s="417">
        <f>VLOOKUP($LS$8,'Jan-2026 rates'!$H:$I,2,0)</f>
        <v>0</v>
      </c>
      <c r="LU73" s="417">
        <f t="shared" si="67"/>
        <v>0</v>
      </c>
      <c r="LV73" s="417">
        <f>VLOOKUP($LU$8,'Jan-2026 rates'!$H:$I,2,0)</f>
        <v>0</v>
      </c>
      <c r="LW73" s="417">
        <f t="shared" si="68"/>
        <v>0</v>
      </c>
      <c r="LX73" s="417">
        <f t="shared" si="69"/>
        <v>0</v>
      </c>
      <c r="LY73" s="418">
        <f t="shared" si="70"/>
        <v>0</v>
      </c>
      <c r="LZ73" s="417"/>
      <c r="MA73" s="435">
        <f t="shared" si="71"/>
        <v>131</v>
      </c>
      <c r="MB73" s="282">
        <f t="shared" si="72"/>
        <v>376</v>
      </c>
      <c r="MC73" s="283">
        <v>28</v>
      </c>
      <c r="MD73" s="284" t="str">
        <f t="shared" si="73"/>
        <v>FLINTSLFLINTSLFLINTSLFLINTSLFLINTSLFLINTSLFLINTSL</v>
      </c>
      <c r="ME73" s="293" t="str">
        <f t="shared" si="74"/>
        <v>+</v>
      </c>
      <c r="MF73" s="293" t="str">
        <f t="shared" si="75"/>
        <v>+</v>
      </c>
      <c r="MG73" s="293" t="str">
        <f t="shared" si="76"/>
        <v>+</v>
      </c>
      <c r="MH73" s="293" t="str">
        <f t="shared" si="77"/>
        <v>+</v>
      </c>
      <c r="MI73" s="293" t="str">
        <f t="shared" si="78"/>
        <v>+</v>
      </c>
      <c r="MJ73" s="293" t="str">
        <f t="shared" si="79"/>
        <v>+</v>
      </c>
      <c r="MK73" s="293" t="str">
        <f t="shared" si="80"/>
        <v>+</v>
      </c>
      <c r="ML73" s="293" t="str">
        <f t="shared" si="81"/>
        <v>NIL</v>
      </c>
      <c r="MM73" s="3" t="b">
        <f t="array" ref="MM73">OR(ME73:ML73="-")</f>
        <v>0</v>
      </c>
      <c r="MN73" s="285"/>
      <c r="MO73" s="401"/>
      <c r="MP73" s="286"/>
      <c r="MQ73" s="286"/>
      <c r="MR73" s="402"/>
      <c r="MS73" s="400"/>
      <c r="NH73" s="422"/>
      <c r="NJ73" s="421"/>
    </row>
    <row r="74" spans="1:374" s="1" customFormat="1" ht="16.5">
      <c r="A74" s="403">
        <v>46027</v>
      </c>
      <c r="B74" s="404" t="s">
        <v>1015</v>
      </c>
      <c r="C74" s="405" t="s">
        <v>2993</v>
      </c>
      <c r="D74" s="406">
        <v>29</v>
      </c>
      <c r="E74" s="404">
        <v>476</v>
      </c>
      <c r="F74" s="407">
        <v>24100</v>
      </c>
      <c r="G74" s="407" t="s">
        <v>1016</v>
      </c>
      <c r="H74" s="408" t="s">
        <v>1017</v>
      </c>
      <c r="I74" s="409">
        <v>1.1200000000000001</v>
      </c>
      <c r="J74" s="405" t="s">
        <v>543</v>
      </c>
      <c r="K74" s="404" t="s">
        <v>2994</v>
      </c>
      <c r="L74" s="419" t="str">
        <f t="shared" si="54"/>
        <v>FLINTSL - BLACK</v>
      </c>
      <c r="M74" s="404">
        <v>26</v>
      </c>
      <c r="N74" s="410">
        <f>IF(M74=0,0,IF($LB74=70%,VLOOKUP($L74,'Jan-2026 rates'!$L:$R,4,0),IF($LB74=65%,VLOOKUP($L74,'Jan-2026 rates'!$L:$R,4,0),IF($LB74=40%,VLOOKUP($L74,'Jan-2026 rates'!$L:$R,5,0),IF($LB74=30%,VLOOKUP($L74,'Jan-2026 rates'!$L:$R,6,0),IF($LB74=100%,VLOOKUP($L74,'Jan-2026 rates'!$L:$R,7,0),IF($LB74=60%,VLOOKUP($L74,'Jan-2026 rates'!$L:$S,8,0),IF($LB74=80%,VLOOKUP($L74,'Jan-2026 rates'!L:T,9,0),0))))))))</f>
        <v>0</v>
      </c>
      <c r="O74" s="406"/>
      <c r="P74" s="404"/>
      <c r="Q74" s="410">
        <f>IF(P74=0,0,IF($LB74=70%,VLOOKUP($L74,'Jan-2026 rates'!$L:$R,4,0),IF($LB74=65%,VLOOKUP($L74,'Jan-2026 rates'!$L:$R,4,0),IF($LB74=40%,VLOOKUP($L74,'Jan-2026 rates'!$L:$R,5,0),IF($LB74=30%,VLOOKUP($L74,'Jan-2026 rates'!$L:$R,6,0),IF($LB74=100%,VLOOKUP($L74,'Jan-2026 rates'!$L:$R,7,0),IF($LB74=60%,VLOOKUP($L74,'Jan-2026 rates'!$L:$S,8,0),IF($LB74=80%,VLOOKUP($L74,'Jan-2026 rates'!L:T,9,0),0))))))))</f>
        <v>0</v>
      </c>
      <c r="R74" s="406">
        <v>26506000005</v>
      </c>
      <c r="S74" s="406"/>
      <c r="T74" s="406"/>
      <c r="U74" s="406"/>
      <c r="V74" s="406"/>
      <c r="W74" s="406"/>
      <c r="X74" s="406"/>
      <c r="Y74" s="406"/>
      <c r="Z74" s="404">
        <v>6</v>
      </c>
      <c r="AA74" s="398" t="e">
        <f>IF(Z74=0,0,IF(LEN(R74)=11,_xlfn.XLOOKUP(R74,'Dispensed Ink Rates'!C:C,'Dispensed Ink Rates'!CS:CS),VLOOKUP(R74,'Jan-2026 rates'!$E:$F,2,0)))</f>
        <v>#N/A</v>
      </c>
      <c r="AB74" s="404"/>
      <c r="AC74" s="398">
        <f>IF(AB74=0,0,IF(LEN(S74)=11,_xlfn.XLOOKUP(S74,'Dispensed Ink Rates'!C:C,'Dispensed Ink Rates'!CS:CS),VLOOKUP(S74,'Jan-2026 rates'!$E:$F,2,0)))</f>
        <v>0</v>
      </c>
      <c r="AD74" s="404"/>
      <c r="AE74" s="398">
        <f>IF(AD74=0,0,IF(LEN(T74)=11,_xlfn.XLOOKUP(T74,'Dispensed Ink Rates'!C:C,'Dispensed Ink Rates'!CS:CS),VLOOKUP(T74,'Jan-2026 rates'!$E:$F,2,0)))</f>
        <v>0</v>
      </c>
      <c r="AF74" s="404"/>
      <c r="AG74" s="398">
        <f>IF(AF74=0,0,IF(LEN(U74)=11,_xlfn.XLOOKUP(U74,'Dispensed Ink Rates'!C:C,'Dispensed Ink Rates'!CS:CS),VLOOKUP(U74,'Jan-2026 rates'!$E:$F,2,0)))</f>
        <v>0</v>
      </c>
      <c r="AH74" s="404"/>
      <c r="AI74" s="398">
        <f>IF(AH74=0,0,IF(LEN(V74)=11,_xlfn.XLOOKUP(V74,'Dispensed Ink Rates'!C:C,'Dispensed Ink Rates'!CS:CS),VLOOKUP(V74,'Jan-2026 rates'!$E:$F,2,0)))</f>
        <v>0</v>
      </c>
      <c r="AJ74" s="404"/>
      <c r="AK74" s="398">
        <f>IF(AJ74=0,0,IF(LEN(W74)=11,_xlfn.XLOOKUP(W74,'Dispensed Ink Rates'!C:C,'Dispensed Ink Rates'!CS:CS),VLOOKUP(W74,'Jan-2026 rates'!$E:$F,2,0)))</f>
        <v>0</v>
      </c>
      <c r="AL74" s="404"/>
      <c r="AM74" s="398">
        <f>IF(AL74=0,0,IF(LEN(X74)=11,_xlfn.XLOOKUP(X74,'Dispensed Ink Rates'!C:C,'Dispensed Ink Rates'!CS:CS),VLOOKUP(X74,'Jan-2026 rates'!$E:$F,2,0)))</f>
        <v>0</v>
      </c>
      <c r="AN74" s="404"/>
      <c r="AO74" s="398">
        <f>IF(AN74=0,0,IF(LEN(Y74)=11,_xlfn.XLOOKUP(Y74,'Dispensed Ink Rates'!C:C,'Dispensed Ink Rates'!CS:CS),VLOOKUP(Y74,'Jan-2026 rates'!$E:$F,2,0)))</f>
        <v>0</v>
      </c>
      <c r="AP74" s="409" t="s">
        <v>1443</v>
      </c>
      <c r="AQ74" s="409">
        <v>25</v>
      </c>
      <c r="AR74" s="410">
        <f t="shared" ref="AR74:AR137" si="82">IFERROR(IF(AS74&lt;=0,0,(M74*N74+P74*Q74+Z74*AA74+AB74*AC74+AD74*AE74+AF74*AG74+AH74*AI74+AJ74*AK74+AL74*AM74+AN74*AO74+(KT74/SUM(KT74:LA74)*LL74)*LX74)/(M74+P74+Z74+AB74+AD74+AF74+AH74+AJ74+AL74+AN74+(KT74/SUM(KT74:LA74)*LL74))),0)</f>
        <v>0</v>
      </c>
      <c r="AS74" s="411">
        <f t="shared" ref="AS74:AS137" si="83">IFERROR((M74+P74+Z74+AB74+AD74+AF74+AH74+AJ74+AL74+AN74+(KT74/SUM(KT74:LA74)*LL74)-AQ74),0)</f>
        <v>25.555555555555557</v>
      </c>
      <c r="AT74" s="410">
        <f t="shared" ref="AT74:AT137" si="84">IFERROR(IF(AS74&lt;=0,0,(M74*N74+P74*Q74+Z74*AA74+AB74*AC74+AD74*AE74+AF74*AG74+AH74*AI74+AJ74*AK74+AL74*AM74+AN74*AO74-AQ74*AR74+(KT74/SUM(KT74:LA74)*LL74)*LX74)),0)</f>
        <v>0</v>
      </c>
      <c r="AU74" s="405" t="s">
        <v>857</v>
      </c>
      <c r="AV74" s="409" t="s">
        <v>2995</v>
      </c>
      <c r="AW74" s="420" t="str">
        <f t="shared" si="53"/>
        <v>FLINTSL - RED</v>
      </c>
      <c r="AX74" s="409">
        <v>25</v>
      </c>
      <c r="AY74" s="411">
        <f>IF(AX74=0,0,IF($LB74=70%,VLOOKUP($AW74,'Jan-2026 rates'!$L:$R,4,0),IF($LB74=65%,VLOOKUP($AW74,'Jan-2026 rates'!$L:$R,4,0),IF($LB74=40%,VLOOKUP($AW74,'Jan-2026 rates'!$L:$R,5,0),IF($LB74=30%,VLOOKUP($AW74,'Jan-2026 rates'!$L:$R,6,0),IF($LB74=100%,VLOOKUP($AW74,'Jan-2026 rates'!$L:$R,7,0),IF($LB74=60%,VLOOKUP($AW74,'Jan-2026 rates'!$L:$S,8,0),IF($LB74=80%,VLOOKUP($AW74,'Jan-2026 rates'!L:T,9,0),0))))))))</f>
        <v>0</v>
      </c>
      <c r="AZ74" s="412"/>
      <c r="BA74" s="409"/>
      <c r="BB74" s="411">
        <f>IF(BA74=0,0,IF($LB74=70%,VLOOKUP($AW74,'Jan-2026 rates'!$L:$R,4,0),IF($LB74=65%,VLOOKUP($AW74,'Jan-2026 rates'!$L:$R,4,0),IF($LB74=40%,VLOOKUP($AW74,'Jan-2026 rates'!$L:$R,5,0),IF($LB74=30%,VLOOKUP($AW74,'Jan-2026 rates'!$L:$R,6,0),IF($LB74=100%,VLOOKUP($AW74,'Jan-2026 rates'!$L:$R,7,0),IF($LB74=60%,VLOOKUP($AW74,'Jan-2026 rates'!$L:$S,8,0),IF($LB74=80%,VLOOKUP($AW74,'Jan-2026 rates'!L:T,9,0),0))))))))</f>
        <v>0</v>
      </c>
      <c r="BC74" s="413">
        <v>26505000005</v>
      </c>
      <c r="BD74" s="412"/>
      <c r="BE74" s="412"/>
      <c r="BF74" s="413"/>
      <c r="BG74" s="412"/>
      <c r="BH74" s="412"/>
      <c r="BI74" s="412"/>
      <c r="BJ74" s="412"/>
      <c r="BK74" s="409">
        <v>2</v>
      </c>
      <c r="BL74" s="398" t="e">
        <f>IF(BK74=0,0,IF(LEN(BC74)=11,_xlfn.XLOOKUP(BC74,'Dispensed Ink Rates'!C:C,'Dispensed Ink Rates'!CS:CS),VLOOKUP(BC74,'Jan-2026 rates'!$E:$F,2,0)))</f>
        <v>#N/A</v>
      </c>
      <c r="BM74" s="409"/>
      <c r="BN74" s="398">
        <f>IF(BM74=0,0,IF(LEN(BD74)=11,_xlfn.XLOOKUP(BD74,'Dispensed Ink Rates'!C:C,'Dispensed Ink Rates'!CS:CS),VLOOKUP(BD74,'Jan-2026 rates'!$E:$F,2,0)))</f>
        <v>0</v>
      </c>
      <c r="BO74" s="409"/>
      <c r="BP74" s="398">
        <f>IF(BO74=0,0,IF(LEN(BE74)=11,_xlfn.XLOOKUP(BE74,'Dispensed Ink Rates'!C:C,'Dispensed Ink Rates'!CS:CS),VLOOKUP(BE74,'Jan-2026 rates'!$E:$F,2,0)))</f>
        <v>0</v>
      </c>
      <c r="BQ74" s="409"/>
      <c r="BR74" s="398">
        <f>IF(BQ74=0,0,IF(LEN(BF74)=11,_xlfn.XLOOKUP(BF74,'Dispensed Ink Rates'!C:C,'Dispensed Ink Rates'!CS:CS),VLOOKUP(BF74,'Jan-2026 rates'!$E:$F,2,0)))</f>
        <v>0</v>
      </c>
      <c r="BS74" s="409"/>
      <c r="BT74" s="398">
        <f>IF(BS74=0,0,IF(LEN(BG74)=11,_xlfn.XLOOKUP(BG74,'Dispensed Ink Rates'!C:C,'Dispensed Ink Rates'!CS:CS),VLOOKUP(BG74,'Jan-2026 rates'!$E:$F,2,0)))</f>
        <v>0</v>
      </c>
      <c r="BU74" s="409"/>
      <c r="BV74" s="398">
        <f>IF(BU74=0,0,IF(LEN(BH74)=11,_xlfn.XLOOKUP(BH74,'Dispensed Ink Rates'!C:C,'Dispensed Ink Rates'!CS:CS),VLOOKUP(BH74,'Jan-2026 rates'!$E:$F,2,0)))</f>
        <v>0</v>
      </c>
      <c r="BW74" s="409"/>
      <c r="BX74" s="398">
        <f>IF(BW74=0,0,IF(LEN(BI74)=11,_xlfn.XLOOKUP(BI74,'Dispensed Ink Rates'!C:C,'Dispensed Ink Rates'!CS:CS),VLOOKUP(BI74,'Jan-2026 rates'!$E:$F,2,0)))</f>
        <v>0</v>
      </c>
      <c r="BY74" s="409"/>
      <c r="BZ74" s="398">
        <f>IF(BY74=0,0,IF(LEN(BJ74)=11,_xlfn.XLOOKUP(BJ74,'Dispensed Ink Rates'!C:C,'Dispensed Ink Rates'!CS:CS),VLOOKUP(BJ74,'Jan-2026 rates'!$E:$F,2,0)))</f>
        <v>0</v>
      </c>
      <c r="CA74" s="409" t="s">
        <v>1443</v>
      </c>
      <c r="CB74" s="409">
        <v>29</v>
      </c>
      <c r="CC74" s="411">
        <f t="shared" ref="CC74:CC137" si="85">IFERROR(IF(CD74&lt;=0,0,(AX74*AY74+BA74*BB74+BK74*BL74+BM74*BN74+BO74*BP74+BQ74*BR74+BS74*BT74+BU74*BV74+BW74*BX74+BY74*BZ74+(KU74/SUM(KT74:LA74)*LL74)*LX74)/(AX74+BA74+BK74+BM74+BO74+BQ74+BS74+BU74+BW74+BY74+(KU74/SUM(KT74:LA74)*LL74))),0)</f>
        <v>0</v>
      </c>
      <c r="CD74" s="411">
        <f t="shared" ref="CD74:CD137" si="86">IFERROR((AX74+BA74+BK74+BM74+BO74+BQ74+BS74+BU74+BW74+BY74+(KU74/SUM(KT74:LA74)*LL74)-CB74),0)</f>
        <v>16.555555555555557</v>
      </c>
      <c r="CE74" s="410">
        <f t="shared" ref="CE74:CE137" si="87">IFERROR(IF(CD74&lt;=0,0,(AX74*AY74+BA74*BB74+BK74*BL74+BM74*BN74+BO74*BP74+BQ74*BR74+BS74*BT74+BU74*BV74+BW74*BX74+BY74*BZ74-CB74*CC74+(KU74/SUM(KT74:LA74)*LL74)*LX74)),0)</f>
        <v>0</v>
      </c>
      <c r="CF74" s="404" t="s">
        <v>546</v>
      </c>
      <c r="CG74" s="409"/>
      <c r="CH74" s="420" t="str">
        <f t="shared" si="55"/>
        <v>FLINTSL - REFLEX BLUE</v>
      </c>
      <c r="CI74" s="409"/>
      <c r="CJ74" s="411">
        <f>IF(CI74=0,0,IF($LB74=70%,VLOOKUP($CH74,'Jan-2026 rates'!$L:$R,4,0),IF($LB74=65%,VLOOKUP($CH74,'Jan-2026 rates'!$L:$R,4,0),IF($LB74=40%,VLOOKUP($CH74,'Jan-2026 rates'!$L:$R,5,0),IF($LB74=30%,VLOOKUP($CH74,'Jan-2026 rates'!$L:$R,6,0),IF($LB74=100%,VLOOKUP($CH74,'Jan-2026 rates'!$L:$R,7,0),IF($LB74=60%,VLOOKUP($CH74,'Jan-2026 rates'!$L:$S,8,0),IF($LB74=80%,VLOOKUP($CH74,'Jan-2026 rates'!L:T,9,0),0))))))))</f>
        <v>0</v>
      </c>
      <c r="CK74" s="412"/>
      <c r="CL74" s="409"/>
      <c r="CM74" s="411">
        <f>IF(CL74=0,0,IF($LB74=70%,VLOOKUP($CH74,'Jan-2026 rates'!$L:$R,4,0),IF($LB74=65%,VLOOKUP($CH74,'Jan-2026 rates'!$L:$R,4,0),IF($LB74=40%,VLOOKUP($CH74,'Jan-2026 rates'!$L:$R,5,0),IF($LB74=30%,VLOOKUP($CH74,'Jan-2026 rates'!$L:$R,6,0),IF($LB74=100%,VLOOKUP($CH74,'Jan-2026 rates'!$L:$R,7,0),IF($LB74=60%,VLOOKUP($CH74,'Jan-2026 rates'!$L:$S,8,0),IF($LB74=80%,VLOOKUP($CH74,'Jan-2026 rates'!L:T,9,0),0))))))))</f>
        <v>0</v>
      </c>
      <c r="CN74" s="426">
        <v>26505000030</v>
      </c>
      <c r="CO74" s="427">
        <v>26505000023</v>
      </c>
      <c r="CP74" s="426">
        <v>26505000031</v>
      </c>
      <c r="CQ74" s="426"/>
      <c r="CR74" s="428"/>
      <c r="CS74" s="428"/>
      <c r="CT74" s="428"/>
      <c r="CU74" s="428"/>
      <c r="CV74" s="409">
        <v>28.5</v>
      </c>
      <c r="CW74" s="398" t="e">
        <f>IF(CV74=0,0,IF(LEN(CN74)=11,_xlfn.XLOOKUP(CN74,'Dispensed Ink Rates'!C:C,'Dispensed Ink Rates'!CS:CS),VLOOKUP(CN74,'Jan-2026 rates'!$E:$F,2,0)))</f>
        <v>#N/A</v>
      </c>
      <c r="CX74" s="409">
        <v>40</v>
      </c>
      <c r="CY74" s="398" t="e">
        <f>IF(CX74=0,0,IF(LEN(CO74)=11,_xlfn.XLOOKUP(CO74,'Dispensed Ink Rates'!C:C,'Dispensed Ink Rates'!CS:CS),VLOOKUP(CO74,'Jan-2026 rates'!$E:$F,2,0)))</f>
        <v>#N/A</v>
      </c>
      <c r="CZ74" s="409">
        <v>25</v>
      </c>
      <c r="DA74" s="398" t="e">
        <f>IF(CZ74=0,0,IF(LEN(CP74)=11,_xlfn.XLOOKUP(CP74,'Dispensed Ink Rates'!C:C,'Dispensed Ink Rates'!CS:CS),VLOOKUP(CP74,'Jan-2026 rates'!$E:$F,2,0)))</f>
        <v>#N/A</v>
      </c>
      <c r="DB74" s="409"/>
      <c r="DC74" s="398">
        <f>IF(DB74=0,0,IF(LEN(CQ74)=11,_xlfn.XLOOKUP(CQ74,'Dispensed Ink Rates'!C:C,'Dispensed Ink Rates'!CS:CS),VLOOKUP(CQ74,'Jan-2026 rates'!$E:$F,2,0)))</f>
        <v>0</v>
      </c>
      <c r="DD74" s="409"/>
      <c r="DE74" s="398">
        <f>IF(DD74=0,0,IF(LEN(CR74)=11,_xlfn.XLOOKUP(CR74,'Dispensed Ink Rates'!C:C,'Dispensed Ink Rates'!CS:CS),VLOOKUP(CR74,'Jan-2026 rates'!$E:$F,2,0)))</f>
        <v>0</v>
      </c>
      <c r="DF74" s="409"/>
      <c r="DG74" s="398">
        <f>IF(DF74=0,0,IF(LEN(CS74)=11,_xlfn.XLOOKUP(CS74,'Dispensed Ink Rates'!C:C,'Dispensed Ink Rates'!CS:CS),VLOOKUP(CS74,'Jan-2026 rates'!$E:$F,2,0)))</f>
        <v>0</v>
      </c>
      <c r="DH74" s="409"/>
      <c r="DI74" s="398">
        <f>IF(DH74=0,0,IF(LEN(CT74)=11,_xlfn.XLOOKUP(CT74,'Dispensed Ink Rates'!C:C,'Dispensed Ink Rates'!CS:CS),VLOOKUP(CT74,'Jan-2026 rates'!$E:$F,2,0)))</f>
        <v>0</v>
      </c>
      <c r="DJ74" s="409"/>
      <c r="DK74" s="398">
        <f>IF(DJ74=0,0,IF(LEN(CU74)=11,_xlfn.XLOOKUP(CU74,'Dispensed Ink Rates'!C:C,'Dispensed Ink Rates'!CS:CS),VLOOKUP(CU74,'Jan-2026 rates'!$E:$F,2,0)))</f>
        <v>0</v>
      </c>
      <c r="DL74" s="409" t="s">
        <v>1443</v>
      </c>
      <c r="DM74" s="409">
        <v>20</v>
      </c>
      <c r="DN74" s="411">
        <f t="shared" ref="DN74:DN137" si="88">IFERROR(IF(DO74&lt;=0,0,(CI74*CJ74+CL74*CM74+CV74*CW74+CX74*CY74+CZ74*DA74+DB74*DC74+DD74*DE74+DF74*DG74+DH74*DI74+DJ74*DK74+(KV74/SUM(KT74:LA74)*LL74)*LX74)/(CI74+CL74+CV74+CX74+CZ74+DB74+DD74+DF74+DH74+DJ74+(KV74/SUM(KT74:LA74)*LL74))),0)</f>
        <v>0</v>
      </c>
      <c r="DO74" s="411">
        <f t="shared" ref="DO74:DO137" si="89">IFERROR((CI74+CL74+CV74+CX74+CZ74+DB74+DD74+DF74+DH74+DJ74+(KV74/SUM(KT74:LA74)*LL74)-DM74),0)</f>
        <v>92.055555555555557</v>
      </c>
      <c r="DP74" s="410">
        <f t="shared" ref="DP74:DP137" si="90">IFERROR(IF(DO74&lt;=0,0,(CI74*CJ74+CL74*CM74+CV74*CW74+CX74*CY74+CZ74*DA74+DB74*DC74+DD74*DE74+DF74*DG74+DH74*DI74+DJ74*DK74-DM74*DN74+(KV74/SUM(KT74:LA74)*LL74)*LX74)),0)</f>
        <v>0</v>
      </c>
      <c r="DQ74" s="405" t="s">
        <v>855</v>
      </c>
      <c r="DR74" s="409" t="s">
        <v>2996</v>
      </c>
      <c r="DS74" s="420" t="str">
        <f t="shared" si="56"/>
        <v>FLINTSL - CYAN</v>
      </c>
      <c r="DT74" s="409">
        <v>27</v>
      </c>
      <c r="DU74" s="411">
        <f>IF(DT74=0,0,IF($LB74=70%,VLOOKUP($DS74,'Jan-2026 rates'!$L:$R,4,0),IF($LB74=65%,VLOOKUP($DS74,'Jan-2026 rates'!$L:$R,4,0),IF($LB74=40%,VLOOKUP($DS74,'Jan-2026 rates'!$L:$R,5,0),IF($LB74=30%,VLOOKUP($DS74,'Jan-2026 rates'!$L:$R,6,0),IF($LB74=100%,VLOOKUP($DS74,'Jan-2026 rates'!$L:$R,7,0),IF($LB74=60%,VLOOKUP($DS74,'Jan-2026 rates'!$L:$S,8,0),IF($LB74=80%,VLOOKUP($DS74,'Jan-2026 rates'!L:T,9,0),0))))))))</f>
        <v>0</v>
      </c>
      <c r="DV74" s="412"/>
      <c r="DW74" s="409"/>
      <c r="DX74" s="411">
        <f>IF(DW74=0,0,IF($LB74=70%,VLOOKUP($DS74,'Jan-2026 rates'!$L:$R,4,0),IF($LB74=65%,VLOOKUP($DS74,'Jan-2026 rates'!$L:$R,4,0),IF($LB74=40%,VLOOKUP($DS74,'Jan-2026 rates'!$L:$R,5,0),IF($LB74=30%,VLOOKUP($DS74,'Jan-2026 rates'!$L:$R,6,0),IF($LB74=100%,VLOOKUP($DS74,'Jan-2026 rates'!$L:$R,7,0),IF($LB74=60%,VLOOKUP($DS74,'Jan-2026 rates'!$L:$S,8,0),IF($LB74=80%,VLOOKUP($DS74,'Jan-2026 rates'!L:T,9,0),0))))))))</f>
        <v>0</v>
      </c>
      <c r="DY74" s="413" t="s">
        <v>1266</v>
      </c>
      <c r="DZ74" s="413"/>
      <c r="EA74" s="412"/>
      <c r="EB74" s="412"/>
      <c r="EC74" s="412"/>
      <c r="ED74" s="412"/>
      <c r="EE74" s="412"/>
      <c r="EF74" s="412"/>
      <c r="EG74" s="409">
        <v>6</v>
      </c>
      <c r="EH74" s="398">
        <f>IF(EG74=0,0,IF(LEN(DY74)=11,_xlfn.XLOOKUP(DY74,'Dispensed Ink Rates'!C:C,'Dispensed Ink Rates'!CS:CS),VLOOKUP(DY74,'Jan-2026 rates'!$E:$F,2,0)))</f>
        <v>0</v>
      </c>
      <c r="EI74" s="409"/>
      <c r="EJ74" s="398">
        <f>IF(EI74=0,0,IF(LEN(DZ74)=11,_xlfn.XLOOKUP(DZ74,'Dispensed Ink Rates'!C:C,'Dispensed Ink Rates'!CS:CS),VLOOKUP(DZ74,'Jan-2026 rates'!$E:$F,2,0)))</f>
        <v>0</v>
      </c>
      <c r="EK74" s="409"/>
      <c r="EL74" s="398">
        <f>IF(EK74=0,0,IF(LEN(EA74)=11,_xlfn.XLOOKUP(EA74,'Dispensed Ink Rates'!C:C,'Dispensed Ink Rates'!CS:CS),VLOOKUP(EA74,'Jan-2026 rates'!$E:$F,2,0)))</f>
        <v>0</v>
      </c>
      <c r="EM74" s="409"/>
      <c r="EN74" s="398">
        <f>IF(EM74=0,0,IF(LEN(EB74)=11,_xlfn.XLOOKUP(EB74,'Dispensed Ink Rates'!C:C,'Dispensed Ink Rates'!CS:CS),VLOOKUP(EB74,'Jan-2026 rates'!$E:$F,2,0)))</f>
        <v>0</v>
      </c>
      <c r="EO74" s="409"/>
      <c r="EP74" s="398">
        <f>IF(EO74=0,0,IF(LEN(EC74)=11,_xlfn.XLOOKUP(EC74,'Dispensed Ink Rates'!C:C,'Dispensed Ink Rates'!CS:CS),VLOOKUP(EC74,'Jan-2026 rates'!$E:$F,2,0)))</f>
        <v>0</v>
      </c>
      <c r="EQ74" s="409"/>
      <c r="ER74" s="398">
        <f>IF(EQ74=0,0,IF(LEN(ED74)=11,_xlfn.XLOOKUP(ED74,'Dispensed Ink Rates'!C:C,'Dispensed Ink Rates'!CS:CS),VLOOKUP(ED74,'Jan-2026 rates'!$E:$F,2,0)))</f>
        <v>0</v>
      </c>
      <c r="ES74" s="409"/>
      <c r="ET74" s="398">
        <f>IF(ES74=0,0,IF(LEN(EE74)=11,_xlfn.XLOOKUP(EE74,'Dispensed Ink Rates'!C:C,'Dispensed Ink Rates'!CS:CS),VLOOKUP(EE74,'Jan-2026 rates'!$E:$F,2,0)))</f>
        <v>0</v>
      </c>
      <c r="EU74" s="409"/>
      <c r="EV74" s="398">
        <f>IF(EU74=0,0,IF(LEN(EF74)=11,_xlfn.XLOOKUP(EF74,'Dispensed Ink Rates'!C:C,'Dispensed Ink Rates'!CS:CS),VLOOKUP(EF74,'Jan-2026 rates'!$E:$F,2,0)))</f>
        <v>0</v>
      </c>
      <c r="EW74" s="409" t="s">
        <v>1443</v>
      </c>
      <c r="EX74" s="409">
        <v>28</v>
      </c>
      <c r="EY74" s="411">
        <f t="shared" ref="EY74:EY137" si="91">IFERROR(IF(EZ74&lt;=0,0,(DT74*DU74+DW74*DX74+EG74*EH74+EI74*EJ74+EK74*EL74+EM74*EN74+EO74*EP74+EQ74*ER74+ES74*ET74+EU74*EV74+(KW74/SUM(KT74:LA74)*LL74)*LX74)/(DT74+DW74+EG74+EI74+EK74+EM74+EO74+EQ74+ES74+EU74+(KW74/SUM(KT74:LA74)*LL74))),0)</f>
        <v>0</v>
      </c>
      <c r="EZ74" s="411">
        <f t="shared" ref="EZ74:EZ137" si="92">IFERROR((DT74+DW74+EG74+EI74+EK74+EM74+EO74+EQ74+ES74+EU74+(KW74/SUM(KT74:LA74)*LL74)-EX74),0)</f>
        <v>23.555555555555557</v>
      </c>
      <c r="FA74" s="410">
        <f t="shared" ref="FA74:FA137" si="93">IFERROR(IF(EZ74&lt;=0,0,(DT74*DU74+DW74*DX74+EG74*EH74+EI74*EJ74+EK74*EL74+EM74*EN74+EO74*EP74+EQ74*ER74+ES74*ET74+EU74*EV74-EX74*EY74+(KW74/SUM(KT74:LA74)*LL74)*LX74)),0)</f>
        <v>0</v>
      </c>
      <c r="FB74" s="405" t="s">
        <v>544</v>
      </c>
      <c r="FC74" s="409" t="s">
        <v>2997</v>
      </c>
      <c r="FD74" s="420" t="str">
        <f t="shared" si="57"/>
        <v>FLINTSL - MAGENTA</v>
      </c>
      <c r="FE74" s="409">
        <v>29</v>
      </c>
      <c r="FF74" s="411">
        <f>IF(FE74=0,0,IF($LB74=70%,VLOOKUP($FD74,'Jan-2026 rates'!$L:$R,4,0),IF($LB74=65%,VLOOKUP($FD74,'Jan-2026 rates'!$L:$R,4,0),IF($LB74=40%,VLOOKUP($FD74,'Jan-2026 rates'!$L:$R,5,0),IF($LB74=30%,VLOOKUP($FD74,'Jan-2026 rates'!$L:$R,6,0),IF($LB74=100%,VLOOKUP($FD74,'Jan-2026 rates'!$L:$R,7,0),IF($LB74=60%,VLOOKUP($FD74,'Jan-2026 rates'!$L:$S,8,0),IF($LB74=80%,VLOOKUP($FD74,'Jan-2026 rates'!L:T,9,0),0))))))))</f>
        <v>0</v>
      </c>
      <c r="FG74" s="412"/>
      <c r="FH74" s="409"/>
      <c r="FI74" s="411">
        <f>IF(FH74=0,0,IF($LB74=70%,VLOOKUP($FD74,'Jan-2026 rates'!$L:$R,4,0),IF($LB74=65%,VLOOKUP($FD74,'Jan-2026 rates'!$L:$R,4,0),IF($LB74=40%,VLOOKUP($FD74,'Jan-2026 rates'!$L:$R,5,0),IF($LB74=30%,VLOOKUP($FD74,'Jan-2026 rates'!$L:$R,6,0),IF($LB74=100%,VLOOKUP($FD74,'Jan-2026 rates'!$L:$R,7,0),IF($LB74=60%,VLOOKUP($FD74,'Jan-2026 rates'!$L:$S,8,0),IF($LB74=80%,VLOOKUP($FD74,'Jan-2026 rates'!L:T,9,0),0))))))))</f>
        <v>0</v>
      </c>
      <c r="FJ74" s="413">
        <v>26505000005</v>
      </c>
      <c r="FK74" s="413"/>
      <c r="FL74" s="413"/>
      <c r="FM74" s="412"/>
      <c r="FN74" s="412"/>
      <c r="FO74" s="412"/>
      <c r="FP74" s="412"/>
      <c r="FQ74" s="412"/>
      <c r="FR74" s="409">
        <f>6+2</f>
        <v>8</v>
      </c>
      <c r="FS74" s="398" t="e">
        <f>IF(FR74=0,0,IF(LEN(FJ74)=11,_xlfn.XLOOKUP(FJ74,'Dispensed Ink Rates'!C:C,'Dispensed Ink Rates'!CS:CS),VLOOKUP(FJ74,'Jan-2026 rates'!$E:$F,2,0)))</f>
        <v>#N/A</v>
      </c>
      <c r="FT74" s="409"/>
      <c r="FU74" s="398">
        <f>IF(FT74=0,0,IF(LEN(FK74)=11,_xlfn.XLOOKUP(FK74,'Dispensed Ink Rates'!C:C,'Dispensed Ink Rates'!CS:CS),VLOOKUP(FK74,'Jan-2026 rates'!$E:$F,2,0)))</f>
        <v>0</v>
      </c>
      <c r="FV74" s="409"/>
      <c r="FW74" s="398">
        <f>IF(FV74=0,0,IF(LEN(FL74)=11,_xlfn.XLOOKUP(FL74,'Dispensed Ink Rates'!C:C,'Dispensed Ink Rates'!CS:CS),VLOOKUP(FL74,'Jan-2026 rates'!$E:$F,2,0)))</f>
        <v>0</v>
      </c>
      <c r="FX74" s="409"/>
      <c r="FY74" s="398">
        <f>IF(FX74=0,0,IF(LEN(FM74)=11,_xlfn.XLOOKUP(FM74,'Dispensed Ink Rates'!C:C,'Dispensed Ink Rates'!CS:CS),VLOOKUP(FM74,'Jan-2026 rates'!$E:$F,2,0)))</f>
        <v>0</v>
      </c>
      <c r="FZ74" s="409"/>
      <c r="GA74" s="398">
        <f>IF(FZ74=0,0,IF(LEN(FN74)=11,_xlfn.XLOOKUP(FN74,'Dispensed Ink Rates'!C:C,'Dispensed Ink Rates'!CS:CS),VLOOKUP(FN74,'Jan-2026 rates'!$E:$F,2,0)))</f>
        <v>0</v>
      </c>
      <c r="GB74" s="409"/>
      <c r="GC74" s="398">
        <f>IF(GB74=0,0,IF(LEN(FO74)=11,_xlfn.XLOOKUP(FO74,'Dispensed Ink Rates'!C:C,'Dispensed Ink Rates'!CS:CS),VLOOKUP(FO74,'Jan-2026 rates'!$E:$F,2,0)))</f>
        <v>0</v>
      </c>
      <c r="GD74" s="409"/>
      <c r="GE74" s="398">
        <f>IF(GD74=0,0,IF(LEN(FP74)=11,_xlfn.XLOOKUP(FP74,'Dispensed Ink Rates'!C:C,'Dispensed Ink Rates'!CS:CS),VLOOKUP(FP74,'Jan-2026 rates'!$E:$F,2,0)))</f>
        <v>0</v>
      </c>
      <c r="GF74" s="409"/>
      <c r="GG74" s="398">
        <f>IF(GF74=0,0,IF(LEN(FQ74)=11,_xlfn.XLOOKUP(FQ74,'Dispensed Ink Rates'!C:C,'Dispensed Ink Rates'!CS:CS),VLOOKUP(FQ74,'Jan-2026 rates'!$E:$F,2,0)))</f>
        <v>0</v>
      </c>
      <c r="GH74" s="409" t="s">
        <v>1443</v>
      </c>
      <c r="GI74" s="409">
        <v>27</v>
      </c>
      <c r="GJ74" s="411">
        <f t="shared" ref="GJ74:GJ137" si="94">IFERROR(IF(GK74&lt;=0,0,(FE74*FF74+FH74*FI74+FR74*FS74+FT74*FU74+FV74*FW74+FX74*FY74+FZ74*GA74+GB74*GC74+GD74*GE74+GF74*GG74+(KX74/SUM(KT74:LA74)*LL74)*LX74)/(FE74+FH74+FR74+FT74+FV74+FX74+FZ74+GB74+GD74+GF74+(KX74/SUM(KT74:LA74)*LL74))),0)</f>
        <v>0</v>
      </c>
      <c r="GK74" s="411">
        <f t="shared" ref="GK74:GK137" si="95">IFERROR((FE74+FH74+FR74+FT74+FV74+FX74+FZ74+GB74+GD74+GF74+(KX74/SUM(KT74:LA74)*LL74)-GI74),0)</f>
        <v>28.555555555555557</v>
      </c>
      <c r="GL74" s="410">
        <f t="shared" ref="GL74:GL137" si="96">IFERROR(IF(GK74&lt;=0,0,(FE74*FF74+FH74*FI74+FR74*FS74+FT74*FU74+FV74*FW74+FX74*FY74+FZ74*GA74+GB74*GC74+GD74*GE74+GF74*GG74-GI74*GJ74+(KX74/SUM(KT74:LA74)*LL74)*LX74)),0)</f>
        <v>0</v>
      </c>
      <c r="GM74" s="405" t="s">
        <v>545</v>
      </c>
      <c r="GN74" s="409" t="s">
        <v>2998</v>
      </c>
      <c r="GO74" s="420" t="str">
        <f t="shared" si="58"/>
        <v>FLINTSL - YELLOW</v>
      </c>
      <c r="GP74" s="409">
        <v>26</v>
      </c>
      <c r="GQ74" s="411">
        <f>IF(GP74=0,0,IF($LB74=70%,VLOOKUP($GO74,'Jan-2026 rates'!$L:$R,4,0),IF($LB74=65%,VLOOKUP($GO74,'Jan-2026 rates'!$L:$R,4,0),IF($LB74=40%,VLOOKUP($GO74,'Jan-2026 rates'!$L:$R,5,0),IF($LB74=30%,VLOOKUP($GO74,'Jan-2026 rates'!$L:$R,6,0),IF($LB74=100%,VLOOKUP($GO74,'Jan-2026 rates'!$L:$R,7,0),IF($LB74=60%,VLOOKUP($GO74,'Jan-2026 rates'!$L:$S,8,0),IF($LB74=80%,VLOOKUP($GO74,'Jan-2026 rates'!L:T,9,0),0))))))))</f>
        <v>0</v>
      </c>
      <c r="GR74" s="412"/>
      <c r="GS74" s="409"/>
      <c r="GT74" s="411">
        <f>IF(GS74=0,0,IF($LB74=70%,VLOOKUP($GO74,'Jan-2026 rates'!$L:$R,4,0),IF($LB74=65%,VLOOKUP($GO74,'Jan-2026 rates'!$L:$R,4,0),IF($LB74=40%,VLOOKUP($GO74,'Jan-2026 rates'!$L:$R,5,0),IF($LB74=30%,VLOOKUP($GO74,'Jan-2026 rates'!$L:$R,6,0),IF($LB74=100%,VLOOKUP($GO74,'Jan-2026 rates'!$L:$R,7,0),IF($LB74=60%,VLOOKUP($GO74,'Jan-2026 rates'!$L:$S,8,0),IF($LB74=80%,VLOOKUP($GO74,'Jan-2026 rates'!L:T,9,0),0))))))))</f>
        <v>0</v>
      </c>
      <c r="GU74" s="413">
        <v>26505000004</v>
      </c>
      <c r="GV74" s="413"/>
      <c r="GW74" s="412"/>
      <c r="GX74" s="412"/>
      <c r="GY74" s="412"/>
      <c r="GZ74" s="412"/>
      <c r="HA74" s="412"/>
      <c r="HB74" s="412"/>
      <c r="HC74" s="409">
        <v>6</v>
      </c>
      <c r="HD74" s="398" t="e">
        <f>IF(HC74=0,0,IF(LEN(GU74)=11,_xlfn.XLOOKUP(GU74,'Dispensed Ink Rates'!C:C,'Dispensed Ink Rates'!CS:CS),VLOOKUP(GU74,'Jan-2026 rates'!$E:$F,2,0)))</f>
        <v>#N/A</v>
      </c>
      <c r="HE74" s="409"/>
      <c r="HF74" s="398">
        <f>IF(HE74=0,0,IF(LEN(GV74)=11,_xlfn.XLOOKUP(GV74,'Dispensed Ink Rates'!C:C,'Dispensed Ink Rates'!CS:CS),VLOOKUP(GV74,'Jan-2026 rates'!$E:$F,2,0)))</f>
        <v>0</v>
      </c>
      <c r="HG74" s="409"/>
      <c r="HH74" s="398">
        <f>IF(HG74=0,0,IF(LEN(GW74)=11,_xlfn.XLOOKUP(GW74,'Dispensed Ink Rates'!C:C,'Dispensed Ink Rates'!CS:CS),VLOOKUP(GW74,'Jan-2026 rates'!$E:$F,2,0)))</f>
        <v>0</v>
      </c>
      <c r="HI74" s="409"/>
      <c r="HJ74" s="398">
        <f>IF(HI74=0,0,IF(LEN(GX74)=11,_xlfn.XLOOKUP(GX74,'Dispensed Ink Rates'!C:C,'Dispensed Ink Rates'!CS:CS),VLOOKUP(GX74,'Jan-2026 rates'!$E:$F,2,0)))</f>
        <v>0</v>
      </c>
      <c r="HK74" s="409"/>
      <c r="HL74" s="398">
        <f>IF(HK74=0,0,IF(LEN(GY74)=11,_xlfn.XLOOKUP(GY74,'Dispensed Ink Rates'!C:C,'Dispensed Ink Rates'!CS:CS),VLOOKUP(GY74,'Jan-2026 rates'!$E:$F,2,0)))</f>
        <v>0</v>
      </c>
      <c r="HM74" s="409"/>
      <c r="HN74" s="398">
        <f>IF(HM74=0,0,IF(LEN(GZ74)=11,_xlfn.XLOOKUP(GZ74,'Dispensed Ink Rates'!C:C,'Dispensed Ink Rates'!CS:CS),VLOOKUP(GZ74,'Jan-2026 rates'!$E:$F,2,0)))</f>
        <v>0</v>
      </c>
      <c r="HO74" s="409"/>
      <c r="HP74" s="398">
        <f>IF(HO74=0,0,IF(LEN(HA74)=11,_xlfn.XLOOKUP(HA74,'Dispensed Ink Rates'!C:C,'Dispensed Ink Rates'!CS:CS),VLOOKUP(HA74,'Jan-2026 rates'!$E:$F,2,0)))</f>
        <v>0</v>
      </c>
      <c r="HQ74" s="409"/>
      <c r="HR74" s="398">
        <f>IF(HQ74=0,0,IF(LEN(HB74)=11,_xlfn.XLOOKUP(HB74,'Dispensed Ink Rates'!C:C,'Dispensed Ink Rates'!CS:CS),VLOOKUP(HB74,'Jan-2026 rates'!$E:$F,2,0)))</f>
        <v>0</v>
      </c>
      <c r="HS74" s="409" t="s">
        <v>1443</v>
      </c>
      <c r="HT74" s="409">
        <v>25</v>
      </c>
      <c r="HU74" s="411">
        <f t="shared" ref="HU74:HU137" si="97">IFERROR(IF(HV74&lt;=0,0,(GP74*GQ74+GS74*GT74+HC74*HD74+HE74*HF74+HG74*HH74+HI74*HJ74+HK74*HL74+HM74*HN74+HO74*HP74+HQ74*HR74+(KY74/SUM(KT74:LA74)*LL74)*LX74)/(GP74+GS74+HC74+HE74+HG74+HI74+HK74+HM74+HO74+HQ74+(KY74/SUM(KT74:LA74)*LL74))),0)</f>
        <v>0</v>
      </c>
      <c r="HV74" s="411">
        <f t="shared" ref="HV74:HV137" si="98">IFERROR((GP74+GS74+HC74+HE74+HG74+HI74+HK74+HM74+HO74+HQ74+(KY74/SUM(KT74:LA74)*LL74)-HT74),0)</f>
        <v>25.555555555555557</v>
      </c>
      <c r="HW74" s="414">
        <f t="shared" ref="HW74:HW137" si="99">IFERROR(IF(HV74&lt;=0,0,(GP74*GQ74+GS74*GT74+HC74*HD74+HE74*HF74+HG74*HH74+HI74*HJ74+HK74*HL74+HM74*HN74+HO74*HP74+HQ74*HR74-HT74*HU74+(KY74/SUM(KT74:LA74)*LL74)*LX74)),0)</f>
        <v>0</v>
      </c>
      <c r="HX74" s="405" t="s">
        <v>856</v>
      </c>
      <c r="HY74" s="409" t="s">
        <v>2999</v>
      </c>
      <c r="HZ74" s="420" t="str">
        <f t="shared" si="59"/>
        <v>FLINTSL - WHITE</v>
      </c>
      <c r="IA74" s="409">
        <v>24</v>
      </c>
      <c r="IB74" s="411">
        <f>IF(IA74=0,0,IF($LB74=70%,VLOOKUP($HZ74,'Jan-2026 rates'!$L:$R,4,0),IF($LB74=65%,VLOOKUP($HZ74,'Jan-2026 rates'!$L:$R,4,0),IF($LB74=40%,VLOOKUP($HZ74,'Jan-2026 rates'!$L:$R,5,0),IF($LB74=30%,VLOOKUP($HZ74,'Jan-2026 rates'!$L:$R,6,0),IF($LB74=100%,VLOOKUP($HZ74,'Jan-2026 rates'!$L:$R,7,0),IF($LB74=60%,VLOOKUP($HZ74,'Jan-2026 rates'!$L:$S,8,0),IF($LB74=80%,VLOOKUP($HZ74,'Jan-2026 rates'!L:T,9,0),0))))))))</f>
        <v>0</v>
      </c>
      <c r="IC74" s="412"/>
      <c r="ID74" s="409"/>
      <c r="IE74" s="411">
        <f>IF(ID74=0,0,IF($LB74=70%,VLOOKUP($HZ74,'Jan-2026 rates'!$L:$R,4,0),IF($LB74=65%,VLOOKUP($HZ74,'Jan-2026 rates'!$L:$R,4,0),IF($LB74=40%,VLOOKUP($HZ74,'Jan-2026 rates'!$L:$R,5,0),IF($LB74=30%,VLOOKUP($HZ74,'Jan-2026 rates'!$L:$R,6,0),IF($LB74=100%,VLOOKUP($HZ74,'Jan-2026 rates'!$L:$R,7,0),IF($LB74=60%,VLOOKUP($HZ74,'Jan-2026 rates'!$L:$S,8,0),IF($LB74=80%,VLOOKUP($HZ74,'Jan-2026 rates'!L:T,9,0),0))))))))</f>
        <v>0</v>
      </c>
      <c r="IF74" s="412" t="s">
        <v>484</v>
      </c>
      <c r="IG74" s="413"/>
      <c r="IH74" s="412"/>
      <c r="II74" s="412"/>
      <c r="IJ74" s="412"/>
      <c r="IK74" s="412"/>
      <c r="IL74" s="412"/>
      <c r="IM74" s="412"/>
      <c r="IN74" s="409">
        <v>25</v>
      </c>
      <c r="IO74" s="398">
        <f>IF(IN74=0,0,IF(LEN(IF74)=11,_xlfn.XLOOKUP(IF74,'Dispensed Ink Rates'!C:C,'Dispensed Ink Rates'!CS:CS),VLOOKUP(IF74,'Jan-2026 rates'!$E:$F,2,0)))</f>
        <v>0</v>
      </c>
      <c r="IP74" s="409"/>
      <c r="IQ74" s="398">
        <f>IF(IP74=0,0,IF(LEN(IG74)=11,_xlfn.XLOOKUP(IG74,'Dispensed Ink Rates'!C:C,'Dispensed Ink Rates'!CS:CS),VLOOKUP(IG74,'Jan-2026 rates'!$E:$F,2,0)))</f>
        <v>0</v>
      </c>
      <c r="IR74" s="409"/>
      <c r="IS74" s="398">
        <f>IF(IR74=0,0,IF(LEN(IH74)=11,_xlfn.XLOOKUP(IH74,'Dispensed Ink Rates'!C:C,'Dispensed Ink Rates'!CS:CS),VLOOKUP(IH74,'Jan-2026 rates'!$E:$F,2,0)))</f>
        <v>0</v>
      </c>
      <c r="IT74" s="409"/>
      <c r="IU74" s="398">
        <f>IF(IT74=0,0,IF(LEN(II74)=11,_xlfn.XLOOKUP(II74,'Dispensed Ink Rates'!C:C,'Dispensed Ink Rates'!CS:CS),VLOOKUP(II74,'Jan-2026 rates'!$E:$F,2,0)))</f>
        <v>0</v>
      </c>
      <c r="IV74" s="409"/>
      <c r="IW74" s="398">
        <f>IF(IV74=0,0,IF(LEN(IJ74)=11,_xlfn.XLOOKUP(IJ74,'Dispensed Ink Rates'!C:C,'Dispensed Ink Rates'!CS:CS),VLOOKUP(IJ74,'Jan-2026 rates'!$E:$F,2,0)))</f>
        <v>0</v>
      </c>
      <c r="IX74" s="409"/>
      <c r="IY74" s="398">
        <f>IF(IX74=0,0,IF(LEN(IK74)=11,_xlfn.XLOOKUP(IK74,'Dispensed Ink Rates'!C:C,'Dispensed Ink Rates'!CS:CS),VLOOKUP(IK74,'Jan-2026 rates'!$E:$F,2,0)))</f>
        <v>0</v>
      </c>
      <c r="IZ74" s="409"/>
      <c r="JA74" s="398">
        <f>IF(IZ74=0,0,IF(LEN(IL74)=11,_xlfn.XLOOKUP(IL74,'Dispensed Ink Rates'!C:C,'Dispensed Ink Rates'!CS:CS),VLOOKUP(IL74,'Jan-2026 rates'!$E:$F,2,0)))</f>
        <v>0</v>
      </c>
      <c r="JB74" s="409"/>
      <c r="JC74" s="398">
        <f>IF(JB74=0,0,IF(LEN(IM74)=11,_xlfn.XLOOKUP(IM74,'Dispensed Ink Rates'!C:C,'Dispensed Ink Rates'!CS:CS),VLOOKUP(IM74,'Jan-2026 rates'!$E:$F,2,0)))</f>
        <v>0</v>
      </c>
      <c r="JD74" s="409" t="s">
        <v>1443</v>
      </c>
      <c r="JE74" s="409">
        <v>24</v>
      </c>
      <c r="JF74" s="411">
        <f t="shared" ref="JF74:JF137" si="100">IFERROR(IF(JG74&lt;=0,0,(IA74*IB74+ID74*IE74+IN74*IO74+IP74*IQ74+IR74*IS74+IT74*IU74+IV74*IW74+IX74*IY74+IZ74*JA74+JB74*JC74+(KZ74/SUM(KT74:LA74)*LL74)*LX74)/(IA74+ID74+IN74+IP74+IR74+IT74+IV74+IX74+IZ74+JB74+(KZ74/SUM(KT74:LA74)*LL74))),0)</f>
        <v>0</v>
      </c>
      <c r="JG74" s="411">
        <f t="shared" ref="JG74:JG137" si="101">IFERROR((IA74+ID74+IN74+IP74+IR74+IT74+IV74+IX74+IZ74+JB74+(KZ74/SUM(KT74:LA74)*LL74)-JE74),0)</f>
        <v>80.666666666666657</v>
      </c>
      <c r="JH74" s="410">
        <f t="shared" ref="JH74:JH137" si="102">IFERROR(IF(JG74&lt;=0,0,(IA74*IB74+ID74*IE74+IN74*IO74+IP74*IQ74+IR74*IS74+IT74*IU74+IV74*IW74+IX74*IY74+IZ74*JA74+JB74*JC74-JE74*JF74+(KZ74/SUM(KT74:LA74)*LL74)*LX74)),0)</f>
        <v>0</v>
      </c>
      <c r="JI74" s="405"/>
      <c r="JJ74" s="409"/>
      <c r="JK74" s="420" t="str">
        <f t="shared" si="60"/>
        <v xml:space="preserve"> - </v>
      </c>
      <c r="JL74" s="409"/>
      <c r="JM74" s="411">
        <f>IF(JL74=0,0,IF($LB74=70%,VLOOKUP($JK74,'Jan-2026 rates'!$L:$R,4,0),IF($LB74=65%,VLOOKUP($JK74,'Jan-2026 rates'!$L:$R,4,0),IF($LB74=40%,VLOOKUP($JK74,'Jan-2026 rates'!$L:$R,5,0),IF($LB74=30%,VLOOKUP($JK74,'Jan-2026 rates'!$L:$R,6,0),IF($LB74=100%,VLOOKUP($JK74,'Jan-2026 rates'!$L:$R,7,0),IF($LB74=60%,VLOOKUP($JK74,'Jan-2026 rates'!$L:$S,8,0),IF($LB74=80%,VLOOKUP($JK74,'Jan-2026 rates'!L:T,9,0),0))))))))</f>
        <v>0</v>
      </c>
      <c r="JN74" s="412"/>
      <c r="JO74" s="409"/>
      <c r="JP74" s="411">
        <f>IF(JO74=0,0,IF($LB74=70%,VLOOKUP($JK74,'Jan-2026 rates'!$L:$R,4,0),IF($LB74=65%,VLOOKUP($JK74,'Jan-2026 rates'!$L:$R,4,0),IF($LB74=40%,VLOOKUP($JK74,'Jan-2026 rates'!$L:$R,5,0),IF($LB74=30%,VLOOKUP($JK74,'Jan-2026 rates'!$L:$R,6,0),IF($LB74=100%,VLOOKUP($JK74,'Jan-2026 rates'!$L:$R,7,0),IF($LB74=60%,VLOOKUP($JK74,'Jan-2026 rates'!$L:$S,8,0),IF($LB74=80%,VLOOKUP($JK74,'Jan-2026 rates'!L:T,9,0),0))))))))</f>
        <v>0</v>
      </c>
      <c r="JQ74" s="413"/>
      <c r="JR74" s="412"/>
      <c r="JS74" s="413"/>
      <c r="JT74" s="413"/>
      <c r="JU74" s="412"/>
      <c r="JV74" s="412"/>
      <c r="JW74" s="412"/>
      <c r="JX74" s="412"/>
      <c r="JY74" s="409"/>
      <c r="JZ74" s="398">
        <f>IF(JY74=0,0,IF(LEN(JQ74)=11,_xlfn.XLOOKUP(JQ74,'Dispensed Ink Rates'!C:C,'Dispensed Ink Rates'!CS:CS),VLOOKUP(JQ74,'Jan-2026 rates'!$E:$F,2,0)))</f>
        <v>0</v>
      </c>
      <c r="KA74" s="409"/>
      <c r="KB74" s="398">
        <f>IF(KA74=0,0,IF(LEN(JR74)=11,_xlfn.XLOOKUP(JR74,'Dispensed Ink Rates'!C:C,'Dispensed Ink Rates'!CS:CS),VLOOKUP(JR74,'Jan-2026 rates'!$E:$F,2,0)))</f>
        <v>0</v>
      </c>
      <c r="KC74" s="409"/>
      <c r="KD74" s="398">
        <f>IF(KC74=0,0,IF(LEN(JS74)=11,_xlfn.XLOOKUP(JS74,'Dispensed Ink Rates'!C:C,'Dispensed Ink Rates'!CS:CS),VLOOKUP(JS74,'Jan-2026 rates'!$E:$F,2,0)))</f>
        <v>0</v>
      </c>
      <c r="KE74" s="409"/>
      <c r="KF74" s="398">
        <f>IF(KE74=0,0,IF(LEN(JT74)=11,_xlfn.XLOOKUP(JT74,'Dispensed Ink Rates'!C:C,'Dispensed Ink Rates'!CS:CS),VLOOKUP(JT74,'Jan-2026 rates'!$E:$F,2,0)))</f>
        <v>0</v>
      </c>
      <c r="KG74" s="409"/>
      <c r="KH74" s="398">
        <f>IF(KG74=0,0,IF(LEN(JU74)=11,_xlfn.XLOOKUP(JU74,'Dispensed Ink Rates'!C:C,'Dispensed Ink Rates'!CS:CS),VLOOKUP(JU74,'Jan-2026 rates'!$E:$F,2,0)))</f>
        <v>0</v>
      </c>
      <c r="KI74" s="409"/>
      <c r="KJ74" s="398">
        <f>IF(KI74=0,0,IF(LEN(JV74)=11,_xlfn.XLOOKUP(JV74,'Dispensed Ink Rates'!C:C,'Dispensed Ink Rates'!CS:CS),VLOOKUP(JV74,'Jan-2026 rates'!$E:$F,2,0)))</f>
        <v>0</v>
      </c>
      <c r="KK74" s="409"/>
      <c r="KL74" s="398">
        <f>IF(KK74=0,0,IF(LEN(JW74)=11,_xlfn.XLOOKUP(JW74,'Dispensed Ink Rates'!C:C,'Dispensed Ink Rates'!CS:CS),VLOOKUP(JW74,'Jan-2026 rates'!$E:$F,2,0)))</f>
        <v>0</v>
      </c>
      <c r="KM74" s="428"/>
      <c r="KN74" s="398">
        <f>IF(KM74=0,0,IF(LEN(JX74)=11,_xlfn.XLOOKUP(JX74,'Dispensed Ink Rates'!C:C,'Dispensed Ink Rates'!CS:CS),VLOOKUP(JX74,'Jan-2026 rates'!$E:$F,2,0)))</f>
        <v>0</v>
      </c>
      <c r="KO74" s="409"/>
      <c r="KP74" s="409"/>
      <c r="KQ74" s="411">
        <f t="shared" ref="KQ74:KQ137" si="103">IFERROR(IF(KR74&lt;=0,0,(JL74*JM74+JO74*JP74+JY74*JZ74+KA74*KB74+KC74*KD74+KE74*KF74+KG74*KH74+KI74*KJ74+KK74*KL74+KM74*KN74+(LA74/SUM(KT74:LA74)*LL74)*LX74)/(JL74+JO74+JY74+KA74+KC74+KE74+KG74+KI74+KK74+KM74+(LA74/SUM(KT74:LA74)*LL74))),0)</f>
        <v>0</v>
      </c>
      <c r="KR74" s="411">
        <f t="shared" ref="KR74:KR137" si="104">IFERROR((JL74+JO74+JY74+KA74+KC74+KE74+KG74+KI74+KK74+KM74+(LA74/SUM(KT74:LA74)*LL74)-KP74),0)</f>
        <v>0</v>
      </c>
      <c r="KS74" s="410">
        <f t="shared" ref="KS74:KS137" si="105">IFERROR(IF(KR74&lt;=0,0,(JL74*JM74+JO74*JP74+JY74*JZ74+KA74*KB74+KC74*KD74+KE74*KF74+KG74*KH74+KI74*KJ74+KK74*KL74+KM74*KN74-KP74*KQ74+(LA74/SUM(KT74:LA74)*LL74)*LX74)),0)</f>
        <v>0</v>
      </c>
      <c r="KT74" s="409">
        <v>5</v>
      </c>
      <c r="KU74" s="409">
        <v>5</v>
      </c>
      <c r="KV74" s="409">
        <v>5</v>
      </c>
      <c r="KW74" s="409">
        <v>5</v>
      </c>
      <c r="KX74" s="409">
        <v>5</v>
      </c>
      <c r="KY74" s="409">
        <v>5</v>
      </c>
      <c r="KZ74" s="409">
        <v>15</v>
      </c>
      <c r="LA74" s="409">
        <v>0</v>
      </c>
      <c r="LB74" s="415">
        <v>0.8</v>
      </c>
      <c r="LC74" s="415">
        <v>0.2</v>
      </c>
      <c r="LD74" s="415"/>
      <c r="LE74" s="415"/>
      <c r="LF74" s="415"/>
      <c r="LG74" s="409">
        <v>0</v>
      </c>
      <c r="LH74" s="409">
        <f>15+30+88+22+5+5+2</f>
        <v>167</v>
      </c>
      <c r="LI74" s="409">
        <v>0</v>
      </c>
      <c r="LJ74" s="409">
        <v>0</v>
      </c>
      <c r="LK74" s="416">
        <f t="shared" si="61"/>
        <v>167</v>
      </c>
      <c r="LL74" s="416">
        <f t="shared" si="62"/>
        <v>167</v>
      </c>
      <c r="LM74" s="417">
        <f t="shared" si="63"/>
        <v>133.6</v>
      </c>
      <c r="LN74" s="417">
        <f>VLOOKUP($LM$8,'Jan-2026 rates'!$H:$I,2,0)</f>
        <v>0</v>
      </c>
      <c r="LO74" s="417">
        <f t="shared" si="64"/>
        <v>33.4</v>
      </c>
      <c r="LP74" s="417">
        <f>VLOOKUP($LO$8,'Jan-2026 rates'!$H:$I,2,0)</f>
        <v>0</v>
      </c>
      <c r="LQ74" s="417">
        <f t="shared" si="65"/>
        <v>0</v>
      </c>
      <c r="LR74" s="417">
        <f>VLOOKUP($LQ$8,'Jan-2026 rates'!$H:$I,2,0)</f>
        <v>0</v>
      </c>
      <c r="LS74" s="417">
        <f t="shared" si="66"/>
        <v>0</v>
      </c>
      <c r="LT74" s="417">
        <f>VLOOKUP($LS$8,'Jan-2026 rates'!$H:$I,2,0)</f>
        <v>0</v>
      </c>
      <c r="LU74" s="417">
        <f t="shared" si="67"/>
        <v>0</v>
      </c>
      <c r="LV74" s="417">
        <f>VLOOKUP($LU$8,'Jan-2026 rates'!$H:$I,2,0)</f>
        <v>0</v>
      </c>
      <c r="LW74" s="417">
        <f t="shared" si="68"/>
        <v>0</v>
      </c>
      <c r="LX74" s="417">
        <f t="shared" si="69"/>
        <v>0</v>
      </c>
      <c r="LY74" s="418">
        <f t="shared" si="70"/>
        <v>0</v>
      </c>
      <c r="LZ74" s="417"/>
      <c r="MA74" s="435">
        <f t="shared" si="71"/>
        <v>146.5</v>
      </c>
      <c r="MB74" s="282">
        <f t="shared" si="72"/>
        <v>292.5</v>
      </c>
      <c r="MC74" s="283">
        <v>29</v>
      </c>
      <c r="MD74" s="284" t="str">
        <f t="shared" si="73"/>
        <v>FLINTSLFLINTSLFLINTSLFLINTSLFLINTSLFLINTSLFLINTSL</v>
      </c>
      <c r="ME74" s="293" t="str">
        <f t="shared" si="74"/>
        <v>+</v>
      </c>
      <c r="MF74" s="293" t="str">
        <f t="shared" si="75"/>
        <v>+</v>
      </c>
      <c r="MG74" s="293" t="str">
        <f t="shared" si="76"/>
        <v>+</v>
      </c>
      <c r="MH74" s="293" t="str">
        <f t="shared" si="77"/>
        <v>+</v>
      </c>
      <c r="MI74" s="293" t="str">
        <f t="shared" si="78"/>
        <v>+</v>
      </c>
      <c r="MJ74" s="293" t="str">
        <f t="shared" si="79"/>
        <v>+</v>
      </c>
      <c r="MK74" s="293" t="str">
        <f t="shared" si="80"/>
        <v>+</v>
      </c>
      <c r="ML74" s="293" t="str">
        <f t="shared" si="81"/>
        <v>NIL</v>
      </c>
      <c r="MM74" s="3" t="b">
        <f t="array" ref="MM74">OR(ME74:ML74="-")</f>
        <v>0</v>
      </c>
      <c r="MN74" s="285"/>
      <c r="MO74" s="401"/>
      <c r="MP74" s="286"/>
      <c r="MQ74" s="286"/>
      <c r="MR74" s="402"/>
      <c r="MS74" s="400"/>
      <c r="NH74" s="422"/>
      <c r="NJ74" s="421"/>
    </row>
    <row r="75" spans="1:374" s="1" customFormat="1" ht="16.5">
      <c r="A75" s="403">
        <v>46027</v>
      </c>
      <c r="B75" s="404" t="s">
        <v>1015</v>
      </c>
      <c r="C75" s="405" t="s">
        <v>3000</v>
      </c>
      <c r="D75" s="406">
        <v>30</v>
      </c>
      <c r="E75" s="404">
        <v>474</v>
      </c>
      <c r="F75" s="407">
        <v>24000</v>
      </c>
      <c r="G75" s="407" t="s">
        <v>1016</v>
      </c>
      <c r="H75" s="408" t="s">
        <v>1017</v>
      </c>
      <c r="I75" s="409">
        <v>2</v>
      </c>
      <c r="J75" s="405" t="s">
        <v>543</v>
      </c>
      <c r="K75" s="404" t="s">
        <v>3001</v>
      </c>
      <c r="L75" s="419" t="str">
        <f t="shared" si="54"/>
        <v>FLINTSL - BLACK</v>
      </c>
      <c r="M75" s="404">
        <v>25</v>
      </c>
      <c r="N75" s="410">
        <f>IF(M75=0,0,IF($LB75=70%,VLOOKUP($L75,'Jan-2026 rates'!$L:$R,4,0),IF($LB75=65%,VLOOKUP($L75,'Jan-2026 rates'!$L:$R,4,0),IF($LB75=40%,VLOOKUP($L75,'Jan-2026 rates'!$L:$R,5,0),IF($LB75=30%,VLOOKUP($L75,'Jan-2026 rates'!$L:$R,6,0),IF($LB75=100%,VLOOKUP($L75,'Jan-2026 rates'!$L:$R,7,0),IF($LB75=60%,VLOOKUP($L75,'Jan-2026 rates'!$L:$S,8,0),IF($LB75=80%,VLOOKUP($L75,'Jan-2026 rates'!L:T,9,0),0))))))))</f>
        <v>0</v>
      </c>
      <c r="O75" s="406"/>
      <c r="P75" s="404"/>
      <c r="Q75" s="410">
        <f>IF(P75=0,0,IF($LB75=70%,VLOOKUP($L75,'Jan-2026 rates'!$L:$R,4,0),IF($LB75=65%,VLOOKUP($L75,'Jan-2026 rates'!$L:$R,4,0),IF($LB75=40%,VLOOKUP($L75,'Jan-2026 rates'!$L:$R,5,0),IF($LB75=30%,VLOOKUP($L75,'Jan-2026 rates'!$L:$R,6,0),IF($LB75=100%,VLOOKUP($L75,'Jan-2026 rates'!$L:$R,7,0),IF($LB75=60%,VLOOKUP($L75,'Jan-2026 rates'!$L:$S,8,0),IF($LB75=80%,VLOOKUP($L75,'Jan-2026 rates'!L:T,9,0),0))))))))</f>
        <v>0</v>
      </c>
      <c r="R75" s="406" t="s">
        <v>1266</v>
      </c>
      <c r="S75" s="406"/>
      <c r="T75" s="406"/>
      <c r="U75" s="406"/>
      <c r="V75" s="406"/>
      <c r="W75" s="406"/>
      <c r="X75" s="406"/>
      <c r="Y75" s="406"/>
      <c r="Z75" s="404">
        <v>6</v>
      </c>
      <c r="AA75" s="398">
        <f>IF(Z75=0,0,IF(LEN(R75)=11,_xlfn.XLOOKUP(R75,'Dispensed Ink Rates'!C:C,'Dispensed Ink Rates'!CS:CS),VLOOKUP(R75,'Jan-2026 rates'!$E:$F,2,0)))</f>
        <v>0</v>
      </c>
      <c r="AB75" s="404"/>
      <c r="AC75" s="398">
        <f>IF(AB75=0,0,IF(LEN(S75)=11,_xlfn.XLOOKUP(S75,'Dispensed Ink Rates'!C:C,'Dispensed Ink Rates'!CS:CS),VLOOKUP(S75,'Jan-2026 rates'!$E:$F,2,0)))</f>
        <v>0</v>
      </c>
      <c r="AD75" s="404"/>
      <c r="AE75" s="398">
        <f>IF(AD75=0,0,IF(LEN(T75)=11,_xlfn.XLOOKUP(T75,'Dispensed Ink Rates'!C:C,'Dispensed Ink Rates'!CS:CS),VLOOKUP(T75,'Jan-2026 rates'!$E:$F,2,0)))</f>
        <v>0</v>
      </c>
      <c r="AF75" s="404"/>
      <c r="AG75" s="398">
        <f>IF(AF75=0,0,IF(LEN(U75)=11,_xlfn.XLOOKUP(U75,'Dispensed Ink Rates'!C:C,'Dispensed Ink Rates'!CS:CS),VLOOKUP(U75,'Jan-2026 rates'!$E:$F,2,0)))</f>
        <v>0</v>
      </c>
      <c r="AH75" s="404"/>
      <c r="AI75" s="398">
        <f>IF(AH75=0,0,IF(LEN(V75)=11,_xlfn.XLOOKUP(V75,'Dispensed Ink Rates'!C:C,'Dispensed Ink Rates'!CS:CS),VLOOKUP(V75,'Jan-2026 rates'!$E:$F,2,0)))</f>
        <v>0</v>
      </c>
      <c r="AJ75" s="404"/>
      <c r="AK75" s="398">
        <f>IF(AJ75=0,0,IF(LEN(W75)=11,_xlfn.XLOOKUP(W75,'Dispensed Ink Rates'!C:C,'Dispensed Ink Rates'!CS:CS),VLOOKUP(W75,'Jan-2026 rates'!$E:$F,2,0)))</f>
        <v>0</v>
      </c>
      <c r="AL75" s="404"/>
      <c r="AM75" s="398">
        <f>IF(AL75=0,0,IF(LEN(X75)=11,_xlfn.XLOOKUP(X75,'Dispensed Ink Rates'!C:C,'Dispensed Ink Rates'!CS:CS),VLOOKUP(X75,'Jan-2026 rates'!$E:$F,2,0)))</f>
        <v>0</v>
      </c>
      <c r="AN75" s="404"/>
      <c r="AO75" s="398">
        <f>IF(AN75=0,0,IF(LEN(Y75)=11,_xlfn.XLOOKUP(Y75,'Dispensed Ink Rates'!C:C,'Dispensed Ink Rates'!CS:CS),VLOOKUP(Y75,'Jan-2026 rates'!$E:$F,2,0)))</f>
        <v>0</v>
      </c>
      <c r="AP75" s="409" t="s">
        <v>1443</v>
      </c>
      <c r="AQ75" s="409">
        <v>29</v>
      </c>
      <c r="AR75" s="410">
        <f t="shared" si="82"/>
        <v>0</v>
      </c>
      <c r="AS75" s="411">
        <f t="shared" si="83"/>
        <v>11.43181818181818</v>
      </c>
      <c r="AT75" s="410">
        <f t="shared" si="84"/>
        <v>0</v>
      </c>
      <c r="AU75" s="405" t="s">
        <v>543</v>
      </c>
      <c r="AV75" s="409" t="s">
        <v>3001</v>
      </c>
      <c r="AW75" s="420" t="str">
        <f t="shared" si="53"/>
        <v>FLINTSL - BLACK</v>
      </c>
      <c r="AX75" s="409">
        <v>29</v>
      </c>
      <c r="AY75" s="411">
        <f>IF(AX75=0,0,IF($LB75=70%,VLOOKUP($AW75,'Jan-2026 rates'!$L:$R,4,0),IF($LB75=65%,VLOOKUP($AW75,'Jan-2026 rates'!$L:$R,4,0),IF($LB75=40%,VLOOKUP($AW75,'Jan-2026 rates'!$L:$R,5,0),IF($LB75=30%,VLOOKUP($AW75,'Jan-2026 rates'!$L:$R,6,0),IF($LB75=100%,VLOOKUP($AW75,'Jan-2026 rates'!$L:$R,7,0),IF($LB75=60%,VLOOKUP($AW75,'Jan-2026 rates'!$L:$S,8,0),IF($LB75=80%,VLOOKUP($AW75,'Jan-2026 rates'!L:T,9,0),0))))))))</f>
        <v>0</v>
      </c>
      <c r="AZ75" s="412"/>
      <c r="BA75" s="409"/>
      <c r="BB75" s="411">
        <f>IF(BA75=0,0,IF($LB75=70%,VLOOKUP($AW75,'Jan-2026 rates'!$L:$R,4,0),IF($LB75=65%,VLOOKUP($AW75,'Jan-2026 rates'!$L:$R,4,0),IF($LB75=40%,VLOOKUP($AW75,'Jan-2026 rates'!$L:$R,5,0),IF($LB75=30%,VLOOKUP($AW75,'Jan-2026 rates'!$L:$R,6,0),IF($LB75=100%,VLOOKUP($AW75,'Jan-2026 rates'!$L:$R,7,0),IF($LB75=60%,VLOOKUP($AW75,'Jan-2026 rates'!$L:$S,8,0),IF($LB75=80%,VLOOKUP($AW75,'Jan-2026 rates'!L:T,9,0),0))))))))</f>
        <v>0</v>
      </c>
      <c r="BC75" s="413">
        <v>26506000005</v>
      </c>
      <c r="BD75" s="412"/>
      <c r="BE75" s="412"/>
      <c r="BF75" s="413"/>
      <c r="BG75" s="412"/>
      <c r="BH75" s="412"/>
      <c r="BI75" s="412"/>
      <c r="BJ75" s="412"/>
      <c r="BK75" s="409">
        <v>2</v>
      </c>
      <c r="BL75" s="398" t="e">
        <f>IF(BK75=0,0,IF(LEN(BC75)=11,_xlfn.XLOOKUP(BC75,'Dispensed Ink Rates'!C:C,'Dispensed Ink Rates'!CS:CS),VLOOKUP(BC75,'Jan-2026 rates'!$E:$F,2,0)))</f>
        <v>#N/A</v>
      </c>
      <c r="BM75" s="409"/>
      <c r="BN75" s="398">
        <f>IF(BM75=0,0,IF(LEN(BD75)=11,_xlfn.XLOOKUP(BD75,'Dispensed Ink Rates'!C:C,'Dispensed Ink Rates'!CS:CS),VLOOKUP(BD75,'Jan-2026 rates'!$E:$F,2,0)))</f>
        <v>0</v>
      </c>
      <c r="BO75" s="409"/>
      <c r="BP75" s="398">
        <f>IF(BO75=0,0,IF(LEN(BE75)=11,_xlfn.XLOOKUP(BE75,'Dispensed Ink Rates'!C:C,'Dispensed Ink Rates'!CS:CS),VLOOKUP(BE75,'Jan-2026 rates'!$E:$F,2,0)))</f>
        <v>0</v>
      </c>
      <c r="BQ75" s="409"/>
      <c r="BR75" s="398">
        <f>IF(BQ75=0,0,IF(LEN(BF75)=11,_xlfn.XLOOKUP(BF75,'Dispensed Ink Rates'!C:C,'Dispensed Ink Rates'!CS:CS),VLOOKUP(BF75,'Jan-2026 rates'!$E:$F,2,0)))</f>
        <v>0</v>
      </c>
      <c r="BS75" s="409"/>
      <c r="BT75" s="398">
        <f>IF(BS75=0,0,IF(LEN(BG75)=11,_xlfn.XLOOKUP(BG75,'Dispensed Ink Rates'!C:C,'Dispensed Ink Rates'!CS:CS),VLOOKUP(BG75,'Jan-2026 rates'!$E:$F,2,0)))</f>
        <v>0</v>
      </c>
      <c r="BU75" s="409"/>
      <c r="BV75" s="398">
        <f>IF(BU75=0,0,IF(LEN(BH75)=11,_xlfn.XLOOKUP(BH75,'Dispensed Ink Rates'!C:C,'Dispensed Ink Rates'!CS:CS),VLOOKUP(BH75,'Jan-2026 rates'!$E:$F,2,0)))</f>
        <v>0</v>
      </c>
      <c r="BW75" s="409"/>
      <c r="BX75" s="398">
        <f>IF(BW75=0,0,IF(LEN(BI75)=11,_xlfn.XLOOKUP(BI75,'Dispensed Ink Rates'!C:C,'Dispensed Ink Rates'!CS:CS),VLOOKUP(BI75,'Jan-2026 rates'!$E:$F,2,0)))</f>
        <v>0</v>
      </c>
      <c r="BY75" s="409"/>
      <c r="BZ75" s="398">
        <f>IF(BY75=0,0,IF(LEN(BJ75)=11,_xlfn.XLOOKUP(BJ75,'Dispensed Ink Rates'!C:C,'Dispensed Ink Rates'!CS:CS),VLOOKUP(BJ75,'Jan-2026 rates'!$E:$F,2,0)))</f>
        <v>0</v>
      </c>
      <c r="CA75" s="409" t="s">
        <v>1443</v>
      </c>
      <c r="CB75" s="409">
        <v>28</v>
      </c>
      <c r="CC75" s="411">
        <f t="shared" si="85"/>
        <v>0</v>
      </c>
      <c r="CD75" s="411">
        <f t="shared" si="86"/>
        <v>12.43181818181818</v>
      </c>
      <c r="CE75" s="410">
        <f t="shared" si="87"/>
        <v>0</v>
      </c>
      <c r="CF75" s="404" t="s">
        <v>543</v>
      </c>
      <c r="CG75" s="409" t="s">
        <v>2396</v>
      </c>
      <c r="CH75" s="420" t="str">
        <f t="shared" si="55"/>
        <v>FLINTSL - BLACK</v>
      </c>
      <c r="CI75" s="409">
        <v>13</v>
      </c>
      <c r="CJ75" s="411">
        <f>IF(CI75=0,0,IF($LB75=70%,VLOOKUP($CH75,'Jan-2026 rates'!$L:$R,4,0),IF($LB75=65%,VLOOKUP($CH75,'Jan-2026 rates'!$L:$R,4,0),IF($LB75=40%,VLOOKUP($CH75,'Jan-2026 rates'!$L:$R,5,0),IF($LB75=30%,VLOOKUP($CH75,'Jan-2026 rates'!$L:$R,6,0),IF($LB75=100%,VLOOKUP($CH75,'Jan-2026 rates'!$L:$R,7,0),IF($LB75=60%,VLOOKUP($CH75,'Jan-2026 rates'!$L:$S,8,0),IF($LB75=80%,VLOOKUP($CH75,'Jan-2026 rates'!L:T,9,0),0))))))))</f>
        <v>0</v>
      </c>
      <c r="CK75" s="412"/>
      <c r="CL75" s="409"/>
      <c r="CM75" s="411">
        <f>IF(CL75=0,0,IF($LB75=70%,VLOOKUP($CH75,'Jan-2026 rates'!$L:$R,4,0),IF($LB75=65%,VLOOKUP($CH75,'Jan-2026 rates'!$L:$R,4,0),IF($LB75=40%,VLOOKUP($CH75,'Jan-2026 rates'!$L:$R,5,0),IF($LB75=30%,VLOOKUP($CH75,'Jan-2026 rates'!$L:$R,6,0),IF($LB75=100%,VLOOKUP($CH75,'Jan-2026 rates'!$L:$R,7,0),IF($LB75=60%,VLOOKUP($CH75,'Jan-2026 rates'!$L:$S,8,0),IF($LB75=80%,VLOOKUP($CH75,'Jan-2026 rates'!L:T,9,0),0))))))))</f>
        <v>0</v>
      </c>
      <c r="CN75" s="426">
        <v>26505000005</v>
      </c>
      <c r="CO75" s="427">
        <v>26506000005</v>
      </c>
      <c r="CP75" s="426">
        <v>25862000014</v>
      </c>
      <c r="CQ75" s="426"/>
      <c r="CR75" s="428"/>
      <c r="CS75" s="428"/>
      <c r="CT75" s="428"/>
      <c r="CU75" s="428"/>
      <c r="CV75" s="409">
        <v>10</v>
      </c>
      <c r="CW75" s="398" t="e">
        <f>IF(CV75=0,0,IF(LEN(CN75)=11,_xlfn.XLOOKUP(CN75,'Dispensed Ink Rates'!C:C,'Dispensed Ink Rates'!CS:CS),VLOOKUP(CN75,'Jan-2026 rates'!$E:$F,2,0)))</f>
        <v>#N/A</v>
      </c>
      <c r="CX75" s="409">
        <v>2</v>
      </c>
      <c r="CY75" s="398" t="e">
        <f>IF(CX75=0,0,IF(LEN(CO75)=11,_xlfn.XLOOKUP(CO75,'Dispensed Ink Rates'!C:C,'Dispensed Ink Rates'!CS:CS),VLOOKUP(CO75,'Jan-2026 rates'!$E:$F,2,0)))</f>
        <v>#N/A</v>
      </c>
      <c r="CZ75" s="409">
        <v>6</v>
      </c>
      <c r="DA75" s="398" t="e">
        <f>IF(CZ75=0,0,IF(LEN(CP75)=11,_xlfn.XLOOKUP(CP75,'Dispensed Ink Rates'!C:C,'Dispensed Ink Rates'!CS:CS),VLOOKUP(CP75,'Jan-2026 rates'!$E:$F,2,0)))</f>
        <v>#N/A</v>
      </c>
      <c r="DB75" s="409"/>
      <c r="DC75" s="398">
        <f>IF(DB75=0,0,IF(LEN(CQ75)=11,_xlfn.XLOOKUP(CQ75,'Dispensed Ink Rates'!C:C,'Dispensed Ink Rates'!CS:CS),VLOOKUP(CQ75,'Jan-2026 rates'!$E:$F,2,0)))</f>
        <v>0</v>
      </c>
      <c r="DD75" s="409"/>
      <c r="DE75" s="398">
        <f>IF(DD75=0,0,IF(LEN(CR75)=11,_xlfn.XLOOKUP(CR75,'Dispensed Ink Rates'!C:C,'Dispensed Ink Rates'!CS:CS),VLOOKUP(CR75,'Jan-2026 rates'!$E:$F,2,0)))</f>
        <v>0</v>
      </c>
      <c r="DF75" s="409"/>
      <c r="DG75" s="398">
        <f>IF(DF75=0,0,IF(LEN(CS75)=11,_xlfn.XLOOKUP(CS75,'Dispensed Ink Rates'!C:C,'Dispensed Ink Rates'!CS:CS),VLOOKUP(CS75,'Jan-2026 rates'!$E:$F,2,0)))</f>
        <v>0</v>
      </c>
      <c r="DH75" s="409"/>
      <c r="DI75" s="398">
        <f>IF(DH75=0,0,IF(LEN(CT75)=11,_xlfn.XLOOKUP(CT75,'Dispensed Ink Rates'!C:C,'Dispensed Ink Rates'!CS:CS),VLOOKUP(CT75,'Jan-2026 rates'!$E:$F,2,0)))</f>
        <v>0</v>
      </c>
      <c r="DJ75" s="409"/>
      <c r="DK75" s="398">
        <f>IF(DJ75=0,0,IF(LEN(CU75)=11,_xlfn.XLOOKUP(CU75,'Dispensed Ink Rates'!C:C,'Dispensed Ink Rates'!CS:CS),VLOOKUP(CU75,'Jan-2026 rates'!$E:$F,2,0)))</f>
        <v>0</v>
      </c>
      <c r="DL75" s="409" t="s">
        <v>1443</v>
      </c>
      <c r="DM75" s="409">
        <v>29</v>
      </c>
      <c r="DN75" s="411">
        <f t="shared" si="88"/>
        <v>0</v>
      </c>
      <c r="DO75" s="411">
        <f t="shared" si="89"/>
        <v>17.090909090909093</v>
      </c>
      <c r="DP75" s="410">
        <f t="shared" si="90"/>
        <v>0</v>
      </c>
      <c r="DQ75" s="405" t="s">
        <v>855</v>
      </c>
      <c r="DR75" s="409" t="s">
        <v>3002</v>
      </c>
      <c r="DS75" s="420" t="str">
        <f t="shared" si="56"/>
        <v>FLINTSL - CYAN</v>
      </c>
      <c r="DT75" s="409">
        <v>28</v>
      </c>
      <c r="DU75" s="411">
        <f>IF(DT75=0,0,IF($LB75=70%,VLOOKUP($DS75,'Jan-2026 rates'!$L:$R,4,0),IF($LB75=65%,VLOOKUP($DS75,'Jan-2026 rates'!$L:$R,4,0),IF($LB75=40%,VLOOKUP($DS75,'Jan-2026 rates'!$L:$R,5,0),IF($LB75=30%,VLOOKUP($DS75,'Jan-2026 rates'!$L:$R,6,0),IF($LB75=100%,VLOOKUP($DS75,'Jan-2026 rates'!$L:$R,7,0),IF($LB75=60%,VLOOKUP($DS75,'Jan-2026 rates'!$L:$S,8,0),IF($LB75=80%,VLOOKUP($DS75,'Jan-2026 rates'!L:T,9,0),0))))))))</f>
        <v>0</v>
      </c>
      <c r="DV75" s="412"/>
      <c r="DW75" s="409"/>
      <c r="DX75" s="411">
        <f>IF(DW75=0,0,IF($LB75=70%,VLOOKUP($DS75,'Jan-2026 rates'!$L:$R,4,0),IF($LB75=65%,VLOOKUP($DS75,'Jan-2026 rates'!$L:$R,4,0),IF($LB75=40%,VLOOKUP($DS75,'Jan-2026 rates'!$L:$R,5,0),IF($LB75=30%,VLOOKUP($DS75,'Jan-2026 rates'!$L:$R,6,0),IF($LB75=100%,VLOOKUP($DS75,'Jan-2026 rates'!$L:$R,7,0),IF($LB75=60%,VLOOKUP($DS75,'Jan-2026 rates'!$L:$S,8,0),IF($LB75=80%,VLOOKUP($DS75,'Jan-2026 rates'!L:T,9,0),0))))))))</f>
        <v>0</v>
      </c>
      <c r="DY75" s="413">
        <v>26504000001</v>
      </c>
      <c r="DZ75" s="413"/>
      <c r="EA75" s="412"/>
      <c r="EB75" s="412"/>
      <c r="EC75" s="412"/>
      <c r="ED75" s="412"/>
      <c r="EE75" s="412"/>
      <c r="EF75" s="412"/>
      <c r="EG75" s="409">
        <v>2</v>
      </c>
      <c r="EH75" s="398" t="e">
        <f>IF(EG75=0,0,IF(LEN(DY75)=11,_xlfn.XLOOKUP(DY75,'Dispensed Ink Rates'!C:C,'Dispensed Ink Rates'!CS:CS),VLOOKUP(DY75,'Jan-2026 rates'!$E:$F,2,0)))</f>
        <v>#N/A</v>
      </c>
      <c r="EI75" s="409"/>
      <c r="EJ75" s="398">
        <f>IF(EI75=0,0,IF(LEN(DZ75)=11,_xlfn.XLOOKUP(DZ75,'Dispensed Ink Rates'!C:C,'Dispensed Ink Rates'!CS:CS),VLOOKUP(DZ75,'Jan-2026 rates'!$E:$F,2,0)))</f>
        <v>0</v>
      </c>
      <c r="EK75" s="409"/>
      <c r="EL75" s="398">
        <f>IF(EK75=0,0,IF(LEN(EA75)=11,_xlfn.XLOOKUP(EA75,'Dispensed Ink Rates'!C:C,'Dispensed Ink Rates'!CS:CS),VLOOKUP(EA75,'Jan-2026 rates'!$E:$F,2,0)))</f>
        <v>0</v>
      </c>
      <c r="EM75" s="409"/>
      <c r="EN75" s="398">
        <f>IF(EM75=0,0,IF(LEN(EB75)=11,_xlfn.XLOOKUP(EB75,'Dispensed Ink Rates'!C:C,'Dispensed Ink Rates'!CS:CS),VLOOKUP(EB75,'Jan-2026 rates'!$E:$F,2,0)))</f>
        <v>0</v>
      </c>
      <c r="EO75" s="409"/>
      <c r="EP75" s="398">
        <f>IF(EO75=0,0,IF(LEN(EC75)=11,_xlfn.XLOOKUP(EC75,'Dispensed Ink Rates'!C:C,'Dispensed Ink Rates'!CS:CS),VLOOKUP(EC75,'Jan-2026 rates'!$E:$F,2,0)))</f>
        <v>0</v>
      </c>
      <c r="EQ75" s="409"/>
      <c r="ER75" s="398">
        <f>IF(EQ75=0,0,IF(LEN(ED75)=11,_xlfn.XLOOKUP(ED75,'Dispensed Ink Rates'!C:C,'Dispensed Ink Rates'!CS:CS),VLOOKUP(ED75,'Jan-2026 rates'!$E:$F,2,0)))</f>
        <v>0</v>
      </c>
      <c r="ES75" s="409"/>
      <c r="ET75" s="398">
        <f>IF(ES75=0,0,IF(LEN(EE75)=11,_xlfn.XLOOKUP(EE75,'Dispensed Ink Rates'!C:C,'Dispensed Ink Rates'!CS:CS),VLOOKUP(EE75,'Jan-2026 rates'!$E:$F,2,0)))</f>
        <v>0</v>
      </c>
      <c r="EU75" s="409"/>
      <c r="EV75" s="398">
        <f>IF(EU75=0,0,IF(LEN(EF75)=11,_xlfn.XLOOKUP(EF75,'Dispensed Ink Rates'!C:C,'Dispensed Ink Rates'!CS:CS),VLOOKUP(EF75,'Jan-2026 rates'!$E:$F,2,0)))</f>
        <v>0</v>
      </c>
      <c r="EW75" s="409" t="s">
        <v>1443</v>
      </c>
      <c r="EX75" s="409">
        <v>30</v>
      </c>
      <c r="EY75" s="411">
        <f t="shared" si="91"/>
        <v>0</v>
      </c>
      <c r="EZ75" s="411">
        <f t="shared" si="92"/>
        <v>9.4318181818181799</v>
      </c>
      <c r="FA75" s="410">
        <f t="shared" si="93"/>
        <v>0</v>
      </c>
      <c r="FB75" s="405" t="s">
        <v>544</v>
      </c>
      <c r="FC75" s="409" t="s">
        <v>3003</v>
      </c>
      <c r="FD75" s="420" t="str">
        <f t="shared" si="57"/>
        <v>FLINTSL - MAGENTA</v>
      </c>
      <c r="FE75" s="409">
        <v>27</v>
      </c>
      <c r="FF75" s="411">
        <f>IF(FE75=0,0,IF($LB75=70%,VLOOKUP($FD75,'Jan-2026 rates'!$L:$R,4,0),IF($LB75=65%,VLOOKUP($FD75,'Jan-2026 rates'!$L:$R,4,0),IF($LB75=40%,VLOOKUP($FD75,'Jan-2026 rates'!$L:$R,5,0),IF($LB75=30%,VLOOKUP($FD75,'Jan-2026 rates'!$L:$R,6,0),IF($LB75=100%,VLOOKUP($FD75,'Jan-2026 rates'!$L:$R,7,0),IF($LB75=60%,VLOOKUP($FD75,'Jan-2026 rates'!$L:$S,8,0),IF($LB75=80%,VLOOKUP($FD75,'Jan-2026 rates'!L:T,9,0),0))))))))</f>
        <v>0</v>
      </c>
      <c r="FG75" s="412"/>
      <c r="FH75" s="409"/>
      <c r="FI75" s="411">
        <f>IF(FH75=0,0,IF($LB75=70%,VLOOKUP($FD75,'Jan-2026 rates'!$L:$R,4,0),IF($LB75=65%,VLOOKUP($FD75,'Jan-2026 rates'!$L:$R,4,0),IF($LB75=40%,VLOOKUP($FD75,'Jan-2026 rates'!$L:$R,5,0),IF($LB75=30%,VLOOKUP($FD75,'Jan-2026 rates'!$L:$R,6,0),IF($LB75=100%,VLOOKUP($FD75,'Jan-2026 rates'!$L:$R,7,0),IF($LB75=60%,VLOOKUP($FD75,'Jan-2026 rates'!$L:$S,8,0),IF($LB75=80%,VLOOKUP($FD75,'Jan-2026 rates'!L:T,9,0),0))))))))</f>
        <v>0</v>
      </c>
      <c r="FJ75" s="413">
        <v>26505000005</v>
      </c>
      <c r="FK75" s="413"/>
      <c r="FL75" s="413"/>
      <c r="FM75" s="412"/>
      <c r="FN75" s="412"/>
      <c r="FO75" s="412"/>
      <c r="FP75" s="412"/>
      <c r="FQ75" s="412"/>
      <c r="FR75" s="409">
        <f>6+2</f>
        <v>8</v>
      </c>
      <c r="FS75" s="398" t="e">
        <f>IF(FR75=0,0,IF(LEN(FJ75)=11,_xlfn.XLOOKUP(FJ75,'Dispensed Ink Rates'!C:C,'Dispensed Ink Rates'!CS:CS),VLOOKUP(FJ75,'Jan-2026 rates'!$E:$F,2,0)))</f>
        <v>#N/A</v>
      </c>
      <c r="FT75" s="409"/>
      <c r="FU75" s="398">
        <f>IF(FT75=0,0,IF(LEN(FK75)=11,_xlfn.XLOOKUP(FK75,'Dispensed Ink Rates'!C:C,'Dispensed Ink Rates'!CS:CS),VLOOKUP(FK75,'Jan-2026 rates'!$E:$F,2,0)))</f>
        <v>0</v>
      </c>
      <c r="FV75" s="409"/>
      <c r="FW75" s="398">
        <f>IF(FV75=0,0,IF(LEN(FL75)=11,_xlfn.XLOOKUP(FL75,'Dispensed Ink Rates'!C:C,'Dispensed Ink Rates'!CS:CS),VLOOKUP(FL75,'Jan-2026 rates'!$E:$F,2,0)))</f>
        <v>0</v>
      </c>
      <c r="FX75" s="409"/>
      <c r="FY75" s="398">
        <f>IF(FX75=0,0,IF(LEN(FM75)=11,_xlfn.XLOOKUP(FM75,'Dispensed Ink Rates'!C:C,'Dispensed Ink Rates'!CS:CS),VLOOKUP(FM75,'Jan-2026 rates'!$E:$F,2,0)))</f>
        <v>0</v>
      </c>
      <c r="FZ75" s="409"/>
      <c r="GA75" s="398">
        <f>IF(FZ75=0,0,IF(LEN(FN75)=11,_xlfn.XLOOKUP(FN75,'Dispensed Ink Rates'!C:C,'Dispensed Ink Rates'!CS:CS),VLOOKUP(FN75,'Jan-2026 rates'!$E:$F,2,0)))</f>
        <v>0</v>
      </c>
      <c r="GB75" s="409"/>
      <c r="GC75" s="398">
        <f>IF(GB75=0,0,IF(LEN(FO75)=11,_xlfn.XLOOKUP(FO75,'Dispensed Ink Rates'!C:C,'Dispensed Ink Rates'!CS:CS),VLOOKUP(FO75,'Jan-2026 rates'!$E:$F,2,0)))</f>
        <v>0</v>
      </c>
      <c r="GD75" s="409"/>
      <c r="GE75" s="398">
        <f>IF(GD75=0,0,IF(LEN(FP75)=11,_xlfn.XLOOKUP(FP75,'Dispensed Ink Rates'!C:C,'Dispensed Ink Rates'!CS:CS),VLOOKUP(FP75,'Jan-2026 rates'!$E:$F,2,0)))</f>
        <v>0</v>
      </c>
      <c r="GF75" s="409"/>
      <c r="GG75" s="398">
        <f>IF(GF75=0,0,IF(LEN(FQ75)=11,_xlfn.XLOOKUP(FQ75,'Dispensed Ink Rates'!C:C,'Dispensed Ink Rates'!CS:CS),VLOOKUP(FQ75,'Jan-2026 rates'!$E:$F,2,0)))</f>
        <v>0</v>
      </c>
      <c r="GH75" s="409" t="s">
        <v>1443</v>
      </c>
      <c r="GI75" s="409">
        <v>28</v>
      </c>
      <c r="GJ75" s="411">
        <f t="shared" si="94"/>
        <v>0</v>
      </c>
      <c r="GK75" s="411">
        <f t="shared" si="95"/>
        <v>16.43181818181818</v>
      </c>
      <c r="GL75" s="410">
        <f t="shared" si="96"/>
        <v>0</v>
      </c>
      <c r="GM75" s="405" t="s">
        <v>545</v>
      </c>
      <c r="GN75" s="409" t="s">
        <v>3004</v>
      </c>
      <c r="GO75" s="420" t="str">
        <f t="shared" si="58"/>
        <v>FLINTSL - YELLOW</v>
      </c>
      <c r="GP75" s="409">
        <v>25</v>
      </c>
      <c r="GQ75" s="411">
        <f>IF(GP75=0,0,IF($LB75=70%,VLOOKUP($GO75,'Jan-2026 rates'!$L:$R,4,0),IF($LB75=65%,VLOOKUP($GO75,'Jan-2026 rates'!$L:$R,4,0),IF($LB75=40%,VLOOKUP($GO75,'Jan-2026 rates'!$L:$R,5,0),IF($LB75=30%,VLOOKUP($GO75,'Jan-2026 rates'!$L:$R,6,0),IF($LB75=100%,VLOOKUP($GO75,'Jan-2026 rates'!$L:$R,7,0),IF($LB75=60%,VLOOKUP($GO75,'Jan-2026 rates'!$L:$S,8,0),IF($LB75=80%,VLOOKUP($GO75,'Jan-2026 rates'!L:T,9,0),0))))))))</f>
        <v>0</v>
      </c>
      <c r="GR75" s="412"/>
      <c r="GS75" s="409"/>
      <c r="GT75" s="411">
        <f>IF(GS75=0,0,IF($LB75=70%,VLOOKUP($GO75,'Jan-2026 rates'!$L:$R,4,0),IF($LB75=65%,VLOOKUP($GO75,'Jan-2026 rates'!$L:$R,4,0),IF($LB75=40%,VLOOKUP($GO75,'Jan-2026 rates'!$L:$R,5,0),IF($LB75=30%,VLOOKUP($GO75,'Jan-2026 rates'!$L:$R,6,0),IF($LB75=100%,VLOOKUP($GO75,'Jan-2026 rates'!$L:$R,7,0),IF($LB75=60%,VLOOKUP($GO75,'Jan-2026 rates'!$L:$S,8,0),IF($LB75=80%,VLOOKUP($GO75,'Jan-2026 rates'!L:T,9,0),0))))))))</f>
        <v>0</v>
      </c>
      <c r="GU75" s="413">
        <v>26505000004</v>
      </c>
      <c r="GV75" s="413" t="s">
        <v>1266</v>
      </c>
      <c r="GW75" s="412"/>
      <c r="GX75" s="412"/>
      <c r="GY75" s="412"/>
      <c r="GZ75" s="412"/>
      <c r="HA75" s="412"/>
      <c r="HB75" s="412"/>
      <c r="HC75" s="409">
        <v>25</v>
      </c>
      <c r="HD75" s="398" t="e">
        <f>IF(HC75=0,0,IF(LEN(GU75)=11,_xlfn.XLOOKUP(GU75,'Dispensed Ink Rates'!C:C,'Dispensed Ink Rates'!CS:CS),VLOOKUP(GU75,'Jan-2026 rates'!$E:$F,2,0)))</f>
        <v>#N/A</v>
      </c>
      <c r="HE75" s="409">
        <v>10</v>
      </c>
      <c r="HF75" s="398">
        <f>IF(HE75=0,0,IF(LEN(GV75)=11,_xlfn.XLOOKUP(GV75,'Dispensed Ink Rates'!C:C,'Dispensed Ink Rates'!CS:CS),VLOOKUP(GV75,'Jan-2026 rates'!$E:$F,2,0)))</f>
        <v>0</v>
      </c>
      <c r="HG75" s="409"/>
      <c r="HH75" s="398">
        <f>IF(HG75=0,0,IF(LEN(GW75)=11,_xlfn.XLOOKUP(GW75,'Dispensed Ink Rates'!C:C,'Dispensed Ink Rates'!CS:CS),VLOOKUP(GW75,'Jan-2026 rates'!$E:$F,2,0)))</f>
        <v>0</v>
      </c>
      <c r="HI75" s="409"/>
      <c r="HJ75" s="398">
        <f>IF(HI75=0,0,IF(LEN(GX75)=11,_xlfn.XLOOKUP(GX75,'Dispensed Ink Rates'!C:C,'Dispensed Ink Rates'!CS:CS),VLOOKUP(GX75,'Jan-2026 rates'!$E:$F,2,0)))</f>
        <v>0</v>
      </c>
      <c r="HK75" s="409"/>
      <c r="HL75" s="398">
        <f>IF(HK75=0,0,IF(LEN(GY75)=11,_xlfn.XLOOKUP(GY75,'Dispensed Ink Rates'!C:C,'Dispensed Ink Rates'!CS:CS),VLOOKUP(GY75,'Jan-2026 rates'!$E:$F,2,0)))</f>
        <v>0</v>
      </c>
      <c r="HM75" s="409"/>
      <c r="HN75" s="398">
        <f>IF(HM75=0,0,IF(LEN(GZ75)=11,_xlfn.XLOOKUP(GZ75,'Dispensed Ink Rates'!C:C,'Dispensed Ink Rates'!CS:CS),VLOOKUP(GZ75,'Jan-2026 rates'!$E:$F,2,0)))</f>
        <v>0</v>
      </c>
      <c r="HO75" s="409"/>
      <c r="HP75" s="398">
        <f>IF(HO75=0,0,IF(LEN(HA75)=11,_xlfn.XLOOKUP(HA75,'Dispensed Ink Rates'!C:C,'Dispensed Ink Rates'!CS:CS),VLOOKUP(HA75,'Jan-2026 rates'!$E:$F,2,0)))</f>
        <v>0</v>
      </c>
      <c r="HQ75" s="409"/>
      <c r="HR75" s="398">
        <f>IF(HQ75=0,0,IF(LEN(HB75)=11,_xlfn.XLOOKUP(HB75,'Dispensed Ink Rates'!C:C,'Dispensed Ink Rates'!CS:CS),VLOOKUP(HB75,'Jan-2026 rates'!$E:$F,2,0)))</f>
        <v>0</v>
      </c>
      <c r="HS75" s="409" t="s">
        <v>1443</v>
      </c>
      <c r="HT75" s="409">
        <v>26</v>
      </c>
      <c r="HU75" s="411">
        <f t="shared" si="97"/>
        <v>0</v>
      </c>
      <c r="HV75" s="411">
        <f t="shared" si="98"/>
        <v>52.86363636363636</v>
      </c>
      <c r="HW75" s="414">
        <f t="shared" si="99"/>
        <v>0</v>
      </c>
      <c r="HX75" s="405" t="s">
        <v>856</v>
      </c>
      <c r="HY75" s="409" t="s">
        <v>3005</v>
      </c>
      <c r="HZ75" s="420" t="str">
        <f t="shared" si="59"/>
        <v>FLINTSL - WHITE</v>
      </c>
      <c r="IA75" s="409">
        <v>24</v>
      </c>
      <c r="IB75" s="411">
        <f>IF(IA75=0,0,IF($LB75=70%,VLOOKUP($HZ75,'Jan-2026 rates'!$L:$R,4,0),IF($LB75=65%,VLOOKUP($HZ75,'Jan-2026 rates'!$L:$R,4,0),IF($LB75=40%,VLOOKUP($HZ75,'Jan-2026 rates'!$L:$R,5,0),IF($LB75=30%,VLOOKUP($HZ75,'Jan-2026 rates'!$L:$R,6,0),IF($LB75=100%,VLOOKUP($HZ75,'Jan-2026 rates'!$L:$R,7,0),IF($LB75=60%,VLOOKUP($HZ75,'Jan-2026 rates'!$L:$S,8,0),IF($LB75=80%,VLOOKUP($HZ75,'Jan-2026 rates'!L:T,9,0),0))))))))</f>
        <v>0</v>
      </c>
      <c r="IC75" s="412"/>
      <c r="ID75" s="409"/>
      <c r="IE75" s="411">
        <f>IF(ID75=0,0,IF($LB75=70%,VLOOKUP($HZ75,'Jan-2026 rates'!$L:$R,4,0),IF($LB75=65%,VLOOKUP($HZ75,'Jan-2026 rates'!$L:$R,4,0),IF($LB75=40%,VLOOKUP($HZ75,'Jan-2026 rates'!$L:$R,5,0),IF($LB75=30%,VLOOKUP($HZ75,'Jan-2026 rates'!$L:$R,6,0),IF($LB75=100%,VLOOKUP($HZ75,'Jan-2026 rates'!$L:$R,7,0),IF($LB75=60%,VLOOKUP($HZ75,'Jan-2026 rates'!$L:$S,8,0),IF($LB75=80%,VLOOKUP($HZ75,'Jan-2026 rates'!L:T,9,0),0))))))))</f>
        <v>0</v>
      </c>
      <c r="IF75" s="412" t="s">
        <v>484</v>
      </c>
      <c r="IG75" s="413"/>
      <c r="IH75" s="412"/>
      <c r="II75" s="412"/>
      <c r="IJ75" s="412"/>
      <c r="IK75" s="412"/>
      <c r="IL75" s="412"/>
      <c r="IM75" s="412"/>
      <c r="IN75" s="409">
        <f>50+20</f>
        <v>70</v>
      </c>
      <c r="IO75" s="398">
        <f>IF(IN75=0,0,IF(LEN(IF75)=11,_xlfn.XLOOKUP(IF75,'Dispensed Ink Rates'!C:C,'Dispensed Ink Rates'!CS:CS),VLOOKUP(IF75,'Jan-2026 rates'!$E:$F,2,0)))</f>
        <v>0</v>
      </c>
      <c r="IP75" s="409"/>
      <c r="IQ75" s="398">
        <f>IF(IP75=0,0,IF(LEN(IG75)=11,_xlfn.XLOOKUP(IG75,'Dispensed Ink Rates'!C:C,'Dispensed Ink Rates'!CS:CS),VLOOKUP(IG75,'Jan-2026 rates'!$E:$F,2,0)))</f>
        <v>0</v>
      </c>
      <c r="IR75" s="409"/>
      <c r="IS75" s="398">
        <f>IF(IR75=0,0,IF(LEN(IH75)=11,_xlfn.XLOOKUP(IH75,'Dispensed Ink Rates'!C:C,'Dispensed Ink Rates'!CS:CS),VLOOKUP(IH75,'Jan-2026 rates'!$E:$F,2,0)))</f>
        <v>0</v>
      </c>
      <c r="IT75" s="409"/>
      <c r="IU75" s="398">
        <f>IF(IT75=0,0,IF(LEN(II75)=11,_xlfn.XLOOKUP(II75,'Dispensed Ink Rates'!C:C,'Dispensed Ink Rates'!CS:CS),VLOOKUP(II75,'Jan-2026 rates'!$E:$F,2,0)))</f>
        <v>0</v>
      </c>
      <c r="IV75" s="409"/>
      <c r="IW75" s="398">
        <f>IF(IV75=0,0,IF(LEN(IJ75)=11,_xlfn.XLOOKUP(IJ75,'Dispensed Ink Rates'!C:C,'Dispensed Ink Rates'!CS:CS),VLOOKUP(IJ75,'Jan-2026 rates'!$E:$F,2,0)))</f>
        <v>0</v>
      </c>
      <c r="IX75" s="409"/>
      <c r="IY75" s="398">
        <f>IF(IX75=0,0,IF(LEN(IK75)=11,_xlfn.XLOOKUP(IK75,'Dispensed Ink Rates'!C:C,'Dispensed Ink Rates'!CS:CS),VLOOKUP(IK75,'Jan-2026 rates'!$E:$F,2,0)))</f>
        <v>0</v>
      </c>
      <c r="IZ75" s="409"/>
      <c r="JA75" s="398">
        <f>IF(IZ75=0,0,IF(LEN(IL75)=11,_xlfn.XLOOKUP(IL75,'Dispensed Ink Rates'!C:C,'Dispensed Ink Rates'!CS:CS),VLOOKUP(IL75,'Jan-2026 rates'!$E:$F,2,0)))</f>
        <v>0</v>
      </c>
      <c r="JB75" s="409"/>
      <c r="JC75" s="398">
        <f>IF(JB75=0,0,IF(LEN(IM75)=11,_xlfn.XLOOKUP(IM75,'Dispensed Ink Rates'!C:C,'Dispensed Ink Rates'!CS:CS),VLOOKUP(IM75,'Jan-2026 rates'!$E:$F,2,0)))</f>
        <v>0</v>
      </c>
      <c r="JD75" s="409" t="s">
        <v>1443</v>
      </c>
      <c r="JE75" s="409">
        <v>24</v>
      </c>
      <c r="JF75" s="411">
        <f t="shared" si="100"/>
        <v>0</v>
      </c>
      <c r="JG75" s="411">
        <f t="shared" si="101"/>
        <v>164.31818181818181</v>
      </c>
      <c r="JH75" s="410">
        <f t="shared" si="102"/>
        <v>0</v>
      </c>
      <c r="JI75" s="405"/>
      <c r="JJ75" s="409"/>
      <c r="JK75" s="420" t="str">
        <f t="shared" si="60"/>
        <v xml:space="preserve"> - </v>
      </c>
      <c r="JL75" s="409"/>
      <c r="JM75" s="411">
        <f>IF(JL75=0,0,IF($LB75=70%,VLOOKUP($JK75,'Jan-2026 rates'!$L:$R,4,0),IF($LB75=65%,VLOOKUP($JK75,'Jan-2026 rates'!$L:$R,4,0),IF($LB75=40%,VLOOKUP($JK75,'Jan-2026 rates'!$L:$R,5,0),IF($LB75=30%,VLOOKUP($JK75,'Jan-2026 rates'!$L:$R,6,0),IF($LB75=100%,VLOOKUP($JK75,'Jan-2026 rates'!$L:$R,7,0),IF($LB75=60%,VLOOKUP($JK75,'Jan-2026 rates'!$L:$S,8,0),IF($LB75=80%,VLOOKUP($JK75,'Jan-2026 rates'!L:T,9,0),0))))))))</f>
        <v>0</v>
      </c>
      <c r="JN75" s="412"/>
      <c r="JO75" s="409"/>
      <c r="JP75" s="411">
        <f>IF(JO75=0,0,IF($LB75=70%,VLOOKUP($JK75,'Jan-2026 rates'!$L:$R,4,0),IF($LB75=65%,VLOOKUP($JK75,'Jan-2026 rates'!$L:$R,4,0),IF($LB75=40%,VLOOKUP($JK75,'Jan-2026 rates'!$L:$R,5,0),IF($LB75=30%,VLOOKUP($JK75,'Jan-2026 rates'!$L:$R,6,0),IF($LB75=100%,VLOOKUP($JK75,'Jan-2026 rates'!$L:$R,7,0),IF($LB75=60%,VLOOKUP($JK75,'Jan-2026 rates'!$L:$S,8,0),IF($LB75=80%,VLOOKUP($JK75,'Jan-2026 rates'!L:T,9,0),0))))))))</f>
        <v>0</v>
      </c>
      <c r="JQ75" s="413"/>
      <c r="JR75" s="412"/>
      <c r="JS75" s="413"/>
      <c r="JT75" s="413"/>
      <c r="JU75" s="412"/>
      <c r="JV75" s="412"/>
      <c r="JW75" s="412"/>
      <c r="JX75" s="412"/>
      <c r="JY75" s="409"/>
      <c r="JZ75" s="398">
        <f>IF(JY75=0,0,IF(LEN(JQ75)=11,_xlfn.XLOOKUP(JQ75,'Dispensed Ink Rates'!C:C,'Dispensed Ink Rates'!CS:CS),VLOOKUP(JQ75,'Jan-2026 rates'!$E:$F,2,0)))</f>
        <v>0</v>
      </c>
      <c r="KA75" s="409"/>
      <c r="KB75" s="398">
        <f>IF(KA75=0,0,IF(LEN(JR75)=11,_xlfn.XLOOKUP(JR75,'Dispensed Ink Rates'!C:C,'Dispensed Ink Rates'!CS:CS),VLOOKUP(JR75,'Jan-2026 rates'!$E:$F,2,0)))</f>
        <v>0</v>
      </c>
      <c r="KC75" s="409"/>
      <c r="KD75" s="398">
        <f>IF(KC75=0,0,IF(LEN(JS75)=11,_xlfn.XLOOKUP(JS75,'Dispensed Ink Rates'!C:C,'Dispensed Ink Rates'!CS:CS),VLOOKUP(JS75,'Jan-2026 rates'!$E:$F,2,0)))</f>
        <v>0</v>
      </c>
      <c r="KE75" s="409"/>
      <c r="KF75" s="398">
        <f>IF(KE75=0,0,IF(LEN(JT75)=11,_xlfn.XLOOKUP(JT75,'Dispensed Ink Rates'!C:C,'Dispensed Ink Rates'!CS:CS),VLOOKUP(JT75,'Jan-2026 rates'!$E:$F,2,0)))</f>
        <v>0</v>
      </c>
      <c r="KG75" s="409"/>
      <c r="KH75" s="398">
        <f>IF(KG75=0,0,IF(LEN(JU75)=11,_xlfn.XLOOKUP(JU75,'Dispensed Ink Rates'!C:C,'Dispensed Ink Rates'!CS:CS),VLOOKUP(JU75,'Jan-2026 rates'!$E:$F,2,0)))</f>
        <v>0</v>
      </c>
      <c r="KI75" s="409"/>
      <c r="KJ75" s="398">
        <f>IF(KI75=0,0,IF(LEN(JV75)=11,_xlfn.XLOOKUP(JV75,'Dispensed Ink Rates'!C:C,'Dispensed Ink Rates'!CS:CS),VLOOKUP(JV75,'Jan-2026 rates'!$E:$F,2,0)))</f>
        <v>0</v>
      </c>
      <c r="KK75" s="409"/>
      <c r="KL75" s="398">
        <f>IF(KK75=0,0,IF(LEN(JW75)=11,_xlfn.XLOOKUP(JW75,'Dispensed Ink Rates'!C:C,'Dispensed Ink Rates'!CS:CS),VLOOKUP(JW75,'Jan-2026 rates'!$E:$F,2,0)))</f>
        <v>0</v>
      </c>
      <c r="KM75" s="428"/>
      <c r="KN75" s="398">
        <f>IF(KM75=0,0,IF(LEN(JX75)=11,_xlfn.XLOOKUP(JX75,'Dispensed Ink Rates'!C:C,'Dispensed Ink Rates'!CS:CS),VLOOKUP(JX75,'Jan-2026 rates'!$E:$F,2,0)))</f>
        <v>0</v>
      </c>
      <c r="KO75" s="409"/>
      <c r="KP75" s="409"/>
      <c r="KQ75" s="411">
        <f t="shared" si="103"/>
        <v>0</v>
      </c>
      <c r="KR75" s="411">
        <f t="shared" si="104"/>
        <v>0</v>
      </c>
      <c r="KS75" s="410">
        <f t="shared" si="105"/>
        <v>0</v>
      </c>
      <c r="KT75" s="409">
        <v>5</v>
      </c>
      <c r="KU75" s="409">
        <v>5</v>
      </c>
      <c r="KV75" s="409">
        <v>8</v>
      </c>
      <c r="KW75" s="409">
        <v>5</v>
      </c>
      <c r="KX75" s="409">
        <v>5</v>
      </c>
      <c r="KY75" s="409">
        <v>10</v>
      </c>
      <c r="KZ75" s="409">
        <f>30+20</f>
        <v>50</v>
      </c>
      <c r="LA75" s="409">
        <v>0</v>
      </c>
      <c r="LB75" s="415">
        <v>0.8</v>
      </c>
      <c r="LC75" s="415">
        <v>0.2</v>
      </c>
      <c r="LD75" s="415"/>
      <c r="LE75" s="415"/>
      <c r="LF75" s="415"/>
      <c r="LG75" s="409">
        <v>0</v>
      </c>
      <c r="LH75" s="409">
        <f>50+40+48+12+5+5+6</f>
        <v>166</v>
      </c>
      <c r="LI75" s="409">
        <v>0</v>
      </c>
      <c r="LJ75" s="409">
        <v>0</v>
      </c>
      <c r="LK75" s="416">
        <f t="shared" si="61"/>
        <v>166</v>
      </c>
      <c r="LL75" s="416">
        <f t="shared" si="62"/>
        <v>166</v>
      </c>
      <c r="LM75" s="417">
        <f t="shared" si="63"/>
        <v>132.80000000000001</v>
      </c>
      <c r="LN75" s="417">
        <f>VLOOKUP($LM$8,'Jan-2026 rates'!$H:$I,2,0)</f>
        <v>0</v>
      </c>
      <c r="LO75" s="417">
        <f t="shared" si="64"/>
        <v>33.200000000000003</v>
      </c>
      <c r="LP75" s="417">
        <f>VLOOKUP($LO$8,'Jan-2026 rates'!$H:$I,2,0)</f>
        <v>0</v>
      </c>
      <c r="LQ75" s="417">
        <f t="shared" si="65"/>
        <v>0</v>
      </c>
      <c r="LR75" s="417">
        <f>VLOOKUP($LQ$8,'Jan-2026 rates'!$H:$I,2,0)</f>
        <v>0</v>
      </c>
      <c r="LS75" s="417">
        <f t="shared" si="66"/>
        <v>0</v>
      </c>
      <c r="LT75" s="417">
        <f>VLOOKUP($LS$8,'Jan-2026 rates'!$H:$I,2,0)</f>
        <v>0</v>
      </c>
      <c r="LU75" s="417">
        <f t="shared" si="67"/>
        <v>0</v>
      </c>
      <c r="LV75" s="417">
        <f>VLOOKUP($LU$8,'Jan-2026 rates'!$H:$I,2,0)</f>
        <v>0</v>
      </c>
      <c r="LW75" s="417">
        <f t="shared" si="68"/>
        <v>0</v>
      </c>
      <c r="LX75" s="417">
        <f t="shared" si="69"/>
        <v>0</v>
      </c>
      <c r="LY75" s="418">
        <f t="shared" si="70"/>
        <v>0</v>
      </c>
      <c r="LZ75" s="417"/>
      <c r="MA75" s="435">
        <f t="shared" si="71"/>
        <v>141</v>
      </c>
      <c r="MB75" s="282">
        <f t="shared" si="72"/>
        <v>284</v>
      </c>
      <c r="MC75" s="283">
        <v>30</v>
      </c>
      <c r="MD75" s="284" t="str">
        <f t="shared" si="73"/>
        <v>FLINTSLFLINTSLFLINTSLFLINTSLFLINTSLFLINTSLFLINTSL</v>
      </c>
      <c r="ME75" s="293" t="str">
        <f t="shared" si="74"/>
        <v>+</v>
      </c>
      <c r="MF75" s="293" t="str">
        <f t="shared" si="75"/>
        <v>+</v>
      </c>
      <c r="MG75" s="293" t="str">
        <f t="shared" si="76"/>
        <v>+</v>
      </c>
      <c r="MH75" s="293" t="str">
        <f t="shared" si="77"/>
        <v>+</v>
      </c>
      <c r="MI75" s="293" t="str">
        <f t="shared" si="78"/>
        <v>+</v>
      </c>
      <c r="MJ75" s="293" t="str">
        <f t="shared" si="79"/>
        <v>+</v>
      </c>
      <c r="MK75" s="293" t="str">
        <f t="shared" si="80"/>
        <v>+</v>
      </c>
      <c r="ML75" s="293" t="str">
        <f t="shared" si="81"/>
        <v>NIL</v>
      </c>
      <c r="MM75" s="3" t="b">
        <f t="array" ref="MM75">OR(ME75:ML75="-")</f>
        <v>0</v>
      </c>
      <c r="MN75" s="285"/>
      <c r="MO75" s="401"/>
      <c r="MP75" s="286"/>
      <c r="MQ75" s="286"/>
      <c r="MR75" s="402"/>
      <c r="MS75" s="400"/>
      <c r="NH75" s="422"/>
      <c r="NJ75" s="421"/>
    </row>
    <row r="76" spans="1:374" s="1" customFormat="1" ht="16.5">
      <c r="A76" s="403">
        <v>46027</v>
      </c>
      <c r="B76" s="404" t="s">
        <v>1015</v>
      </c>
      <c r="C76" s="405" t="s">
        <v>3006</v>
      </c>
      <c r="D76" s="406">
        <v>31</v>
      </c>
      <c r="E76" s="404">
        <v>517</v>
      </c>
      <c r="F76" s="407">
        <v>26600</v>
      </c>
      <c r="G76" s="407" t="s">
        <v>1016</v>
      </c>
      <c r="H76" s="408" t="s">
        <v>1017</v>
      </c>
      <c r="I76" s="409">
        <v>1.78</v>
      </c>
      <c r="J76" s="405" t="s">
        <v>543</v>
      </c>
      <c r="K76" s="404" t="s">
        <v>3007</v>
      </c>
      <c r="L76" s="419" t="str">
        <f t="shared" si="54"/>
        <v>FLINTSL - BLACK</v>
      </c>
      <c r="M76" s="404">
        <v>28</v>
      </c>
      <c r="N76" s="410">
        <f>IF(M76=0,0,IF($LB76=70%,VLOOKUP($L76,'Jan-2026 rates'!$L:$R,4,0),IF($LB76=65%,VLOOKUP($L76,'Jan-2026 rates'!$L:$R,4,0),IF($LB76=40%,VLOOKUP($L76,'Jan-2026 rates'!$L:$R,5,0),IF($LB76=30%,VLOOKUP($L76,'Jan-2026 rates'!$L:$R,6,0),IF($LB76=100%,VLOOKUP($L76,'Jan-2026 rates'!$L:$R,7,0),IF($LB76=60%,VLOOKUP($L76,'Jan-2026 rates'!$L:$S,8,0),IF($LB76=80%,VLOOKUP($L76,'Jan-2026 rates'!L:T,9,0),0))))))))</f>
        <v>0</v>
      </c>
      <c r="O76" s="406"/>
      <c r="P76" s="404"/>
      <c r="Q76" s="410">
        <f>IF(P76=0,0,IF($LB76=70%,VLOOKUP($L76,'Jan-2026 rates'!$L:$R,4,0),IF($LB76=65%,VLOOKUP($L76,'Jan-2026 rates'!$L:$R,4,0),IF($LB76=40%,VLOOKUP($L76,'Jan-2026 rates'!$L:$R,5,0),IF($LB76=30%,VLOOKUP($L76,'Jan-2026 rates'!$L:$R,6,0),IF($LB76=100%,VLOOKUP($L76,'Jan-2026 rates'!$L:$R,7,0),IF($LB76=60%,VLOOKUP($L76,'Jan-2026 rates'!$L:$S,8,0),IF($LB76=80%,VLOOKUP($L76,'Jan-2026 rates'!L:T,9,0),0))))))))</f>
        <v>0</v>
      </c>
      <c r="R76" s="406">
        <v>26506000005</v>
      </c>
      <c r="S76" s="406"/>
      <c r="T76" s="406"/>
      <c r="U76" s="406"/>
      <c r="V76" s="406"/>
      <c r="W76" s="406"/>
      <c r="X76" s="406"/>
      <c r="Y76" s="406"/>
      <c r="Z76" s="404">
        <v>1</v>
      </c>
      <c r="AA76" s="398" t="e">
        <f>IF(Z76=0,0,IF(LEN(R76)=11,_xlfn.XLOOKUP(R76,'Dispensed Ink Rates'!C:C,'Dispensed Ink Rates'!CS:CS),VLOOKUP(R76,'Jan-2026 rates'!$E:$F,2,0)))</f>
        <v>#N/A</v>
      </c>
      <c r="AB76" s="404"/>
      <c r="AC76" s="398">
        <f>IF(AB76=0,0,IF(LEN(S76)=11,_xlfn.XLOOKUP(S76,'Dispensed Ink Rates'!C:C,'Dispensed Ink Rates'!CS:CS),VLOOKUP(S76,'Jan-2026 rates'!$E:$F,2,0)))</f>
        <v>0</v>
      </c>
      <c r="AD76" s="404"/>
      <c r="AE76" s="398">
        <f>IF(AD76=0,0,IF(LEN(T76)=11,_xlfn.XLOOKUP(T76,'Dispensed Ink Rates'!C:C,'Dispensed Ink Rates'!CS:CS),VLOOKUP(T76,'Jan-2026 rates'!$E:$F,2,0)))</f>
        <v>0</v>
      </c>
      <c r="AF76" s="404"/>
      <c r="AG76" s="398">
        <f>IF(AF76=0,0,IF(LEN(U76)=11,_xlfn.XLOOKUP(U76,'Dispensed Ink Rates'!C:C,'Dispensed Ink Rates'!CS:CS),VLOOKUP(U76,'Jan-2026 rates'!$E:$F,2,0)))</f>
        <v>0</v>
      </c>
      <c r="AH76" s="404"/>
      <c r="AI76" s="398">
        <f>IF(AH76=0,0,IF(LEN(V76)=11,_xlfn.XLOOKUP(V76,'Dispensed Ink Rates'!C:C,'Dispensed Ink Rates'!CS:CS),VLOOKUP(V76,'Jan-2026 rates'!$E:$F,2,0)))</f>
        <v>0</v>
      </c>
      <c r="AJ76" s="404"/>
      <c r="AK76" s="398">
        <f>IF(AJ76=0,0,IF(LEN(W76)=11,_xlfn.XLOOKUP(W76,'Dispensed Ink Rates'!C:C,'Dispensed Ink Rates'!CS:CS),VLOOKUP(W76,'Jan-2026 rates'!$E:$F,2,0)))</f>
        <v>0</v>
      </c>
      <c r="AL76" s="404"/>
      <c r="AM76" s="398">
        <f>IF(AL76=0,0,IF(LEN(X76)=11,_xlfn.XLOOKUP(X76,'Dispensed Ink Rates'!C:C,'Dispensed Ink Rates'!CS:CS),VLOOKUP(X76,'Jan-2026 rates'!$E:$F,2,0)))</f>
        <v>0</v>
      </c>
      <c r="AN76" s="404"/>
      <c r="AO76" s="398">
        <f>IF(AN76=0,0,IF(LEN(Y76)=11,_xlfn.XLOOKUP(Y76,'Dispensed Ink Rates'!C:C,'Dispensed Ink Rates'!CS:CS),VLOOKUP(Y76,'Jan-2026 rates'!$E:$F,2,0)))</f>
        <v>0</v>
      </c>
      <c r="AP76" s="409" t="s">
        <v>1443</v>
      </c>
      <c r="AQ76" s="409">
        <v>27</v>
      </c>
      <c r="AR76" s="410">
        <f t="shared" si="82"/>
        <v>0</v>
      </c>
      <c r="AS76" s="411">
        <f t="shared" si="83"/>
        <v>6.5249999999999986</v>
      </c>
      <c r="AT76" s="410">
        <f t="shared" si="84"/>
        <v>0</v>
      </c>
      <c r="AU76" s="405" t="s">
        <v>546</v>
      </c>
      <c r="AV76" s="409" t="s">
        <v>2986</v>
      </c>
      <c r="AW76" s="420" t="str">
        <f t="shared" si="53"/>
        <v>FLINTSL - REFLEX BLUE</v>
      </c>
      <c r="AX76" s="409">
        <v>29</v>
      </c>
      <c r="AY76" s="411">
        <f>IF(AX76=0,0,IF($LB76=70%,VLOOKUP($AW76,'Jan-2026 rates'!$L:$R,4,0),IF($LB76=65%,VLOOKUP($AW76,'Jan-2026 rates'!$L:$R,4,0),IF($LB76=40%,VLOOKUP($AW76,'Jan-2026 rates'!$L:$R,5,0),IF($LB76=30%,VLOOKUP($AW76,'Jan-2026 rates'!$L:$R,6,0),IF($LB76=100%,VLOOKUP($AW76,'Jan-2026 rates'!$L:$R,7,0),IF($LB76=60%,VLOOKUP($AW76,'Jan-2026 rates'!$L:$S,8,0),IF($LB76=80%,VLOOKUP($AW76,'Jan-2026 rates'!L:T,9,0),0))))))))</f>
        <v>0</v>
      </c>
      <c r="AZ76" s="412"/>
      <c r="BA76" s="409"/>
      <c r="BB76" s="411">
        <f>IF(BA76=0,0,IF($LB76=70%,VLOOKUP($AW76,'Jan-2026 rates'!$L:$R,4,0),IF($LB76=65%,VLOOKUP($AW76,'Jan-2026 rates'!$L:$R,4,0),IF($LB76=40%,VLOOKUP($AW76,'Jan-2026 rates'!$L:$R,5,0),IF($LB76=30%,VLOOKUP($AW76,'Jan-2026 rates'!$L:$R,6,0),IF($LB76=100%,VLOOKUP($AW76,'Jan-2026 rates'!$L:$R,7,0),IF($LB76=60%,VLOOKUP($AW76,'Jan-2026 rates'!$L:$S,8,0),IF($LB76=80%,VLOOKUP($AW76,'Jan-2026 rates'!L:T,9,0),0))))))))</f>
        <v>0</v>
      </c>
      <c r="BC76" s="413">
        <v>26506000005</v>
      </c>
      <c r="BD76" s="412"/>
      <c r="BE76" s="412"/>
      <c r="BF76" s="413"/>
      <c r="BG76" s="412"/>
      <c r="BH76" s="412"/>
      <c r="BI76" s="412"/>
      <c r="BJ76" s="412"/>
      <c r="BK76" s="409">
        <v>0.3</v>
      </c>
      <c r="BL76" s="398" t="e">
        <f>IF(BK76=0,0,IF(LEN(BC76)=11,_xlfn.XLOOKUP(BC76,'Dispensed Ink Rates'!C:C,'Dispensed Ink Rates'!CS:CS),VLOOKUP(BC76,'Jan-2026 rates'!$E:$F,2,0)))</f>
        <v>#N/A</v>
      </c>
      <c r="BM76" s="409"/>
      <c r="BN76" s="398">
        <f>IF(BM76=0,0,IF(LEN(BD76)=11,_xlfn.XLOOKUP(BD76,'Dispensed Ink Rates'!C:C,'Dispensed Ink Rates'!CS:CS),VLOOKUP(BD76,'Jan-2026 rates'!$E:$F,2,0)))</f>
        <v>0</v>
      </c>
      <c r="BO76" s="409"/>
      <c r="BP76" s="398">
        <f>IF(BO76=0,0,IF(LEN(BE76)=11,_xlfn.XLOOKUP(BE76,'Dispensed Ink Rates'!C:C,'Dispensed Ink Rates'!CS:CS),VLOOKUP(BE76,'Jan-2026 rates'!$E:$F,2,0)))</f>
        <v>0</v>
      </c>
      <c r="BQ76" s="409"/>
      <c r="BR76" s="398">
        <f>IF(BQ76=0,0,IF(LEN(BF76)=11,_xlfn.XLOOKUP(BF76,'Dispensed Ink Rates'!C:C,'Dispensed Ink Rates'!CS:CS),VLOOKUP(BF76,'Jan-2026 rates'!$E:$F,2,0)))</f>
        <v>0</v>
      </c>
      <c r="BS76" s="409"/>
      <c r="BT76" s="398">
        <f>IF(BS76=0,0,IF(LEN(BG76)=11,_xlfn.XLOOKUP(BG76,'Dispensed Ink Rates'!C:C,'Dispensed Ink Rates'!CS:CS),VLOOKUP(BG76,'Jan-2026 rates'!$E:$F,2,0)))</f>
        <v>0</v>
      </c>
      <c r="BU76" s="409"/>
      <c r="BV76" s="398">
        <f>IF(BU76=0,0,IF(LEN(BH76)=11,_xlfn.XLOOKUP(BH76,'Dispensed Ink Rates'!C:C,'Dispensed Ink Rates'!CS:CS),VLOOKUP(BH76,'Jan-2026 rates'!$E:$F,2,0)))</f>
        <v>0</v>
      </c>
      <c r="BW76" s="409"/>
      <c r="BX76" s="398">
        <f>IF(BW76=0,0,IF(LEN(BI76)=11,_xlfn.XLOOKUP(BI76,'Dispensed Ink Rates'!C:C,'Dispensed Ink Rates'!CS:CS),VLOOKUP(BI76,'Jan-2026 rates'!$E:$F,2,0)))</f>
        <v>0</v>
      </c>
      <c r="BY76" s="409"/>
      <c r="BZ76" s="398">
        <f>IF(BY76=0,0,IF(LEN(BJ76)=11,_xlfn.XLOOKUP(BJ76,'Dispensed Ink Rates'!C:C,'Dispensed Ink Rates'!CS:CS),VLOOKUP(BJ76,'Jan-2026 rates'!$E:$F,2,0)))</f>
        <v>0</v>
      </c>
      <c r="CA76" s="409" t="s">
        <v>1443</v>
      </c>
      <c r="CB76" s="409">
        <v>27</v>
      </c>
      <c r="CC76" s="411">
        <f t="shared" si="85"/>
        <v>0</v>
      </c>
      <c r="CD76" s="411">
        <f t="shared" si="86"/>
        <v>6.8250000000000028</v>
      </c>
      <c r="CE76" s="410">
        <f t="shared" si="87"/>
        <v>0</v>
      </c>
      <c r="CF76" s="404" t="s">
        <v>547</v>
      </c>
      <c r="CG76" s="409" t="s">
        <v>3008</v>
      </c>
      <c r="CH76" s="420" t="str">
        <f t="shared" si="55"/>
        <v>FLINTSL - GREEN</v>
      </c>
      <c r="CI76" s="409">
        <v>40</v>
      </c>
      <c r="CJ76" s="411">
        <f>IF(CI76=0,0,IF($LB76=70%,VLOOKUP($CH76,'Jan-2026 rates'!$L:$R,4,0),IF($LB76=65%,VLOOKUP($CH76,'Jan-2026 rates'!$L:$R,4,0),IF($LB76=40%,VLOOKUP($CH76,'Jan-2026 rates'!$L:$R,5,0),IF($LB76=30%,VLOOKUP($CH76,'Jan-2026 rates'!$L:$R,6,0),IF($LB76=100%,VLOOKUP($CH76,'Jan-2026 rates'!$L:$R,7,0),IF($LB76=60%,VLOOKUP($CH76,'Jan-2026 rates'!$L:$S,8,0),IF($LB76=80%,VLOOKUP($CH76,'Jan-2026 rates'!L:T,9,0),0))))))))</f>
        <v>0</v>
      </c>
      <c r="CK76" s="412"/>
      <c r="CL76" s="409"/>
      <c r="CM76" s="411">
        <f>IF(CL76=0,0,IF($LB76=70%,VLOOKUP($CH76,'Jan-2026 rates'!$L:$R,4,0),IF($LB76=65%,VLOOKUP($CH76,'Jan-2026 rates'!$L:$R,4,0),IF($LB76=40%,VLOOKUP($CH76,'Jan-2026 rates'!$L:$R,5,0),IF($LB76=30%,VLOOKUP($CH76,'Jan-2026 rates'!$L:$R,6,0),IF($LB76=100%,VLOOKUP($CH76,'Jan-2026 rates'!$L:$R,7,0),IF($LB76=60%,VLOOKUP($CH76,'Jan-2026 rates'!$L:$S,8,0),IF($LB76=80%,VLOOKUP($CH76,'Jan-2026 rates'!L:T,9,0),0))))))))</f>
        <v>0</v>
      </c>
      <c r="CN76" s="426">
        <v>26504000001</v>
      </c>
      <c r="CO76" s="427">
        <v>26505000004</v>
      </c>
      <c r="CP76" s="426"/>
      <c r="CQ76" s="426"/>
      <c r="CR76" s="428"/>
      <c r="CS76" s="428"/>
      <c r="CT76" s="428"/>
      <c r="CU76" s="428"/>
      <c r="CV76" s="409">
        <v>5</v>
      </c>
      <c r="CW76" s="398" t="e">
        <f>IF(CV76=0,0,IF(LEN(CN76)=11,_xlfn.XLOOKUP(CN76,'Dispensed Ink Rates'!C:C,'Dispensed Ink Rates'!CS:CS),VLOOKUP(CN76,'Jan-2026 rates'!$E:$F,2,0)))</f>
        <v>#N/A</v>
      </c>
      <c r="CX76" s="409">
        <v>8</v>
      </c>
      <c r="CY76" s="398" t="e">
        <f>IF(CX76=0,0,IF(LEN(CO76)=11,_xlfn.XLOOKUP(CO76,'Dispensed Ink Rates'!C:C,'Dispensed Ink Rates'!CS:CS),VLOOKUP(CO76,'Jan-2026 rates'!$E:$F,2,0)))</f>
        <v>#N/A</v>
      </c>
      <c r="CZ76" s="409"/>
      <c r="DA76" s="398">
        <f>IF(CZ76=0,0,IF(LEN(CP76)=11,_xlfn.XLOOKUP(CP76,'Dispensed Ink Rates'!C:C,'Dispensed Ink Rates'!CS:CS),VLOOKUP(CP76,'Jan-2026 rates'!$E:$F,2,0)))</f>
        <v>0</v>
      </c>
      <c r="DB76" s="409"/>
      <c r="DC76" s="398">
        <f>IF(DB76=0,0,IF(LEN(CQ76)=11,_xlfn.XLOOKUP(CQ76,'Dispensed Ink Rates'!C:C,'Dispensed Ink Rates'!CS:CS),VLOOKUP(CQ76,'Jan-2026 rates'!$E:$F,2,0)))</f>
        <v>0</v>
      </c>
      <c r="DD76" s="409"/>
      <c r="DE76" s="398">
        <f>IF(DD76=0,0,IF(LEN(CR76)=11,_xlfn.XLOOKUP(CR76,'Dispensed Ink Rates'!C:C,'Dispensed Ink Rates'!CS:CS),VLOOKUP(CR76,'Jan-2026 rates'!$E:$F,2,0)))</f>
        <v>0</v>
      </c>
      <c r="DF76" s="409"/>
      <c r="DG76" s="398">
        <f>IF(DF76=0,0,IF(LEN(CS76)=11,_xlfn.XLOOKUP(CS76,'Dispensed Ink Rates'!C:C,'Dispensed Ink Rates'!CS:CS),VLOOKUP(CS76,'Jan-2026 rates'!$E:$F,2,0)))</f>
        <v>0</v>
      </c>
      <c r="DH76" s="409"/>
      <c r="DI76" s="398">
        <f>IF(DH76=0,0,IF(LEN(CT76)=11,_xlfn.XLOOKUP(CT76,'Dispensed Ink Rates'!C:C,'Dispensed Ink Rates'!CS:CS),VLOOKUP(CT76,'Jan-2026 rates'!$E:$F,2,0)))</f>
        <v>0</v>
      </c>
      <c r="DJ76" s="409"/>
      <c r="DK76" s="398">
        <f>IF(DJ76=0,0,IF(LEN(CU76)=11,_xlfn.XLOOKUP(CU76,'Dispensed Ink Rates'!C:C,'Dispensed Ink Rates'!CS:CS),VLOOKUP(CU76,'Jan-2026 rates'!$E:$F,2,0)))</f>
        <v>0</v>
      </c>
      <c r="DL76" s="409" t="s">
        <v>1443</v>
      </c>
      <c r="DM76" s="409">
        <v>28</v>
      </c>
      <c r="DN76" s="411">
        <f t="shared" si="88"/>
        <v>0</v>
      </c>
      <c r="DO76" s="411">
        <f t="shared" si="89"/>
        <v>36.3125</v>
      </c>
      <c r="DP76" s="410">
        <f t="shared" si="90"/>
        <v>0</v>
      </c>
      <c r="DQ76" s="405" t="s">
        <v>855</v>
      </c>
      <c r="DR76" s="409" t="s">
        <v>3009</v>
      </c>
      <c r="DS76" s="420" t="str">
        <f t="shared" si="56"/>
        <v>FLINTSL - CYAN</v>
      </c>
      <c r="DT76" s="409">
        <v>28</v>
      </c>
      <c r="DU76" s="411">
        <f>IF(DT76=0,0,IF($LB76=70%,VLOOKUP($DS76,'Jan-2026 rates'!$L:$R,4,0),IF($LB76=65%,VLOOKUP($DS76,'Jan-2026 rates'!$L:$R,4,0),IF($LB76=40%,VLOOKUP($DS76,'Jan-2026 rates'!$L:$R,5,0),IF($LB76=30%,VLOOKUP($DS76,'Jan-2026 rates'!$L:$R,6,0),IF($LB76=100%,VLOOKUP($DS76,'Jan-2026 rates'!$L:$R,7,0),IF($LB76=60%,VLOOKUP($DS76,'Jan-2026 rates'!$L:$S,8,0),IF($LB76=80%,VLOOKUP($DS76,'Jan-2026 rates'!L:T,9,0),0))))))))</f>
        <v>0</v>
      </c>
      <c r="DV76" s="412"/>
      <c r="DW76" s="409"/>
      <c r="DX76" s="411">
        <f>IF(DW76=0,0,IF($LB76=70%,VLOOKUP($DS76,'Jan-2026 rates'!$L:$R,4,0),IF($LB76=65%,VLOOKUP($DS76,'Jan-2026 rates'!$L:$R,4,0),IF($LB76=40%,VLOOKUP($DS76,'Jan-2026 rates'!$L:$R,5,0),IF($LB76=30%,VLOOKUP($DS76,'Jan-2026 rates'!$L:$R,6,0),IF($LB76=100%,VLOOKUP($DS76,'Jan-2026 rates'!$L:$R,7,0),IF($LB76=60%,VLOOKUP($DS76,'Jan-2026 rates'!$L:$S,8,0),IF($LB76=80%,VLOOKUP($DS76,'Jan-2026 rates'!L:T,9,0),0))))))))</f>
        <v>0</v>
      </c>
      <c r="DY76" s="413">
        <v>26504000001</v>
      </c>
      <c r="DZ76" s="413"/>
      <c r="EA76" s="412"/>
      <c r="EB76" s="412"/>
      <c r="EC76" s="412"/>
      <c r="ED76" s="412"/>
      <c r="EE76" s="412"/>
      <c r="EF76" s="412"/>
      <c r="EG76" s="409">
        <v>4</v>
      </c>
      <c r="EH76" s="398" t="e">
        <f>IF(EG76=0,0,IF(LEN(DY76)=11,_xlfn.XLOOKUP(DY76,'Dispensed Ink Rates'!C:C,'Dispensed Ink Rates'!CS:CS),VLOOKUP(DY76,'Jan-2026 rates'!$E:$F,2,0)))</f>
        <v>#N/A</v>
      </c>
      <c r="EI76" s="409"/>
      <c r="EJ76" s="398">
        <f>IF(EI76=0,0,IF(LEN(DZ76)=11,_xlfn.XLOOKUP(DZ76,'Dispensed Ink Rates'!C:C,'Dispensed Ink Rates'!CS:CS),VLOOKUP(DZ76,'Jan-2026 rates'!$E:$F,2,0)))</f>
        <v>0</v>
      </c>
      <c r="EK76" s="409"/>
      <c r="EL76" s="398">
        <f>IF(EK76=0,0,IF(LEN(EA76)=11,_xlfn.XLOOKUP(EA76,'Dispensed Ink Rates'!C:C,'Dispensed Ink Rates'!CS:CS),VLOOKUP(EA76,'Jan-2026 rates'!$E:$F,2,0)))</f>
        <v>0</v>
      </c>
      <c r="EM76" s="409"/>
      <c r="EN76" s="398">
        <f>IF(EM76=0,0,IF(LEN(EB76)=11,_xlfn.XLOOKUP(EB76,'Dispensed Ink Rates'!C:C,'Dispensed Ink Rates'!CS:CS),VLOOKUP(EB76,'Jan-2026 rates'!$E:$F,2,0)))</f>
        <v>0</v>
      </c>
      <c r="EO76" s="409"/>
      <c r="EP76" s="398">
        <f>IF(EO76=0,0,IF(LEN(EC76)=11,_xlfn.XLOOKUP(EC76,'Dispensed Ink Rates'!C:C,'Dispensed Ink Rates'!CS:CS),VLOOKUP(EC76,'Jan-2026 rates'!$E:$F,2,0)))</f>
        <v>0</v>
      </c>
      <c r="EQ76" s="409"/>
      <c r="ER76" s="398">
        <f>IF(EQ76=0,0,IF(LEN(ED76)=11,_xlfn.XLOOKUP(ED76,'Dispensed Ink Rates'!C:C,'Dispensed Ink Rates'!CS:CS),VLOOKUP(ED76,'Jan-2026 rates'!$E:$F,2,0)))</f>
        <v>0</v>
      </c>
      <c r="ES76" s="409"/>
      <c r="ET76" s="398">
        <f>IF(ES76=0,0,IF(LEN(EE76)=11,_xlfn.XLOOKUP(EE76,'Dispensed Ink Rates'!C:C,'Dispensed Ink Rates'!CS:CS),VLOOKUP(EE76,'Jan-2026 rates'!$E:$F,2,0)))</f>
        <v>0</v>
      </c>
      <c r="EU76" s="409"/>
      <c r="EV76" s="398">
        <f>IF(EU76=0,0,IF(LEN(EF76)=11,_xlfn.XLOOKUP(EF76,'Dispensed Ink Rates'!C:C,'Dispensed Ink Rates'!CS:CS),VLOOKUP(EF76,'Jan-2026 rates'!$E:$F,2,0)))</f>
        <v>0</v>
      </c>
      <c r="EW76" s="409" t="s">
        <v>1443</v>
      </c>
      <c r="EX76" s="409">
        <v>29</v>
      </c>
      <c r="EY76" s="411">
        <f t="shared" si="91"/>
        <v>0</v>
      </c>
      <c r="EZ76" s="411">
        <f t="shared" si="92"/>
        <v>7.5249999999999986</v>
      </c>
      <c r="FA76" s="410">
        <f t="shared" si="93"/>
        <v>0</v>
      </c>
      <c r="FB76" s="405" t="s">
        <v>544</v>
      </c>
      <c r="FC76" s="409" t="s">
        <v>3010</v>
      </c>
      <c r="FD76" s="420" t="str">
        <f t="shared" si="57"/>
        <v>FLINTSL - MAGENTA</v>
      </c>
      <c r="FE76" s="409">
        <v>27</v>
      </c>
      <c r="FF76" s="411">
        <f>IF(FE76=0,0,IF($LB76=70%,VLOOKUP($FD76,'Jan-2026 rates'!$L:$R,4,0),IF($LB76=65%,VLOOKUP($FD76,'Jan-2026 rates'!$L:$R,4,0),IF($LB76=40%,VLOOKUP($FD76,'Jan-2026 rates'!$L:$R,5,0),IF($LB76=30%,VLOOKUP($FD76,'Jan-2026 rates'!$L:$R,6,0),IF($LB76=100%,VLOOKUP($FD76,'Jan-2026 rates'!$L:$R,7,0),IF($LB76=60%,VLOOKUP($FD76,'Jan-2026 rates'!$L:$S,8,0),IF($LB76=80%,VLOOKUP($FD76,'Jan-2026 rates'!L:T,9,0),0))))))))</f>
        <v>0</v>
      </c>
      <c r="FG76" s="412"/>
      <c r="FH76" s="409"/>
      <c r="FI76" s="411">
        <f>IF(FH76=0,0,IF($LB76=70%,VLOOKUP($FD76,'Jan-2026 rates'!$L:$R,4,0),IF($LB76=65%,VLOOKUP($FD76,'Jan-2026 rates'!$L:$R,4,0),IF($LB76=40%,VLOOKUP($FD76,'Jan-2026 rates'!$L:$R,5,0),IF($LB76=30%,VLOOKUP($FD76,'Jan-2026 rates'!$L:$R,6,0),IF($LB76=100%,VLOOKUP($FD76,'Jan-2026 rates'!$L:$R,7,0),IF($LB76=60%,VLOOKUP($FD76,'Jan-2026 rates'!$L:$S,8,0),IF($LB76=80%,VLOOKUP($FD76,'Jan-2026 rates'!L:T,9,0),0))))))))</f>
        <v>0</v>
      </c>
      <c r="FJ76" s="413">
        <v>26507000017</v>
      </c>
      <c r="FK76" s="413"/>
      <c r="FL76" s="413"/>
      <c r="FM76" s="412"/>
      <c r="FN76" s="412"/>
      <c r="FO76" s="412"/>
      <c r="FP76" s="412"/>
      <c r="FQ76" s="412"/>
      <c r="FR76" s="409">
        <v>6</v>
      </c>
      <c r="FS76" s="398" t="e">
        <f>IF(FR76=0,0,IF(LEN(FJ76)=11,_xlfn.XLOOKUP(FJ76,'Dispensed Ink Rates'!C:C,'Dispensed Ink Rates'!CS:CS),VLOOKUP(FJ76,'Jan-2026 rates'!$E:$F,2,0)))</f>
        <v>#N/A</v>
      </c>
      <c r="FT76" s="409"/>
      <c r="FU76" s="398">
        <f>IF(FT76=0,0,IF(LEN(FK76)=11,_xlfn.XLOOKUP(FK76,'Dispensed Ink Rates'!C:C,'Dispensed Ink Rates'!CS:CS),VLOOKUP(FK76,'Jan-2026 rates'!$E:$F,2,0)))</f>
        <v>0</v>
      </c>
      <c r="FV76" s="409"/>
      <c r="FW76" s="398">
        <f>IF(FV76=0,0,IF(LEN(FL76)=11,_xlfn.XLOOKUP(FL76,'Dispensed Ink Rates'!C:C,'Dispensed Ink Rates'!CS:CS),VLOOKUP(FL76,'Jan-2026 rates'!$E:$F,2,0)))</f>
        <v>0</v>
      </c>
      <c r="FX76" s="409"/>
      <c r="FY76" s="398">
        <f>IF(FX76=0,0,IF(LEN(FM76)=11,_xlfn.XLOOKUP(FM76,'Dispensed Ink Rates'!C:C,'Dispensed Ink Rates'!CS:CS),VLOOKUP(FM76,'Jan-2026 rates'!$E:$F,2,0)))</f>
        <v>0</v>
      </c>
      <c r="FZ76" s="409"/>
      <c r="GA76" s="398">
        <f>IF(FZ76=0,0,IF(LEN(FN76)=11,_xlfn.XLOOKUP(FN76,'Dispensed Ink Rates'!C:C,'Dispensed Ink Rates'!CS:CS),VLOOKUP(FN76,'Jan-2026 rates'!$E:$F,2,0)))</f>
        <v>0</v>
      </c>
      <c r="GB76" s="409"/>
      <c r="GC76" s="398">
        <f>IF(GB76=0,0,IF(LEN(FO76)=11,_xlfn.XLOOKUP(FO76,'Dispensed Ink Rates'!C:C,'Dispensed Ink Rates'!CS:CS),VLOOKUP(FO76,'Jan-2026 rates'!$E:$F,2,0)))</f>
        <v>0</v>
      </c>
      <c r="GD76" s="409"/>
      <c r="GE76" s="398">
        <f>IF(GD76=0,0,IF(LEN(FP76)=11,_xlfn.XLOOKUP(FP76,'Dispensed Ink Rates'!C:C,'Dispensed Ink Rates'!CS:CS),VLOOKUP(FP76,'Jan-2026 rates'!$E:$F,2,0)))</f>
        <v>0</v>
      </c>
      <c r="GF76" s="409"/>
      <c r="GG76" s="398">
        <f>IF(GF76=0,0,IF(LEN(FQ76)=11,_xlfn.XLOOKUP(FQ76,'Dispensed Ink Rates'!C:C,'Dispensed Ink Rates'!CS:CS),VLOOKUP(FQ76,'Jan-2026 rates'!$E:$F,2,0)))</f>
        <v>0</v>
      </c>
      <c r="GH76" s="409" t="s">
        <v>1443</v>
      </c>
      <c r="GI76" s="409">
        <v>30</v>
      </c>
      <c r="GJ76" s="411">
        <f t="shared" si="94"/>
        <v>0</v>
      </c>
      <c r="GK76" s="411">
        <f t="shared" si="95"/>
        <v>12.049999999999997</v>
      </c>
      <c r="GL76" s="410">
        <f t="shared" si="96"/>
        <v>0</v>
      </c>
      <c r="GM76" s="405" t="s">
        <v>545</v>
      </c>
      <c r="GN76" s="409" t="s">
        <v>3011</v>
      </c>
      <c r="GO76" s="420" t="str">
        <f t="shared" si="58"/>
        <v>FLINTSL - YELLOW</v>
      </c>
      <c r="GP76" s="409">
        <v>29</v>
      </c>
      <c r="GQ76" s="411">
        <f>IF(GP76=0,0,IF($LB76=70%,VLOOKUP($GO76,'Jan-2026 rates'!$L:$R,4,0),IF($LB76=65%,VLOOKUP($GO76,'Jan-2026 rates'!$L:$R,4,0),IF($LB76=40%,VLOOKUP($GO76,'Jan-2026 rates'!$L:$R,5,0),IF($LB76=30%,VLOOKUP($GO76,'Jan-2026 rates'!$L:$R,6,0),IF($LB76=100%,VLOOKUP($GO76,'Jan-2026 rates'!$L:$R,7,0),IF($LB76=60%,VLOOKUP($GO76,'Jan-2026 rates'!$L:$S,8,0),IF($LB76=80%,VLOOKUP($GO76,'Jan-2026 rates'!L:T,9,0),0))))))))</f>
        <v>0</v>
      </c>
      <c r="GR76" s="412"/>
      <c r="GS76" s="409"/>
      <c r="GT76" s="411">
        <f>IF(GS76=0,0,IF($LB76=70%,VLOOKUP($GO76,'Jan-2026 rates'!$L:$R,4,0),IF($LB76=65%,VLOOKUP($GO76,'Jan-2026 rates'!$L:$R,4,0),IF($LB76=40%,VLOOKUP($GO76,'Jan-2026 rates'!$L:$R,5,0),IF($LB76=30%,VLOOKUP($GO76,'Jan-2026 rates'!$L:$R,6,0),IF($LB76=100%,VLOOKUP($GO76,'Jan-2026 rates'!$L:$R,7,0),IF($LB76=60%,VLOOKUP($GO76,'Jan-2026 rates'!$L:$S,8,0),IF($LB76=80%,VLOOKUP($GO76,'Jan-2026 rates'!L:T,9,0),0))))))))</f>
        <v>0</v>
      </c>
      <c r="GU76" s="413">
        <v>26505000004</v>
      </c>
      <c r="GV76" s="413" t="s">
        <v>1266</v>
      </c>
      <c r="GW76" s="412"/>
      <c r="GX76" s="412"/>
      <c r="GY76" s="412"/>
      <c r="GZ76" s="412"/>
      <c r="HA76" s="412"/>
      <c r="HB76" s="412"/>
      <c r="HC76" s="409">
        <v>15</v>
      </c>
      <c r="HD76" s="398" t="e">
        <f>IF(HC76=0,0,IF(LEN(GU76)=11,_xlfn.XLOOKUP(GU76,'Dispensed Ink Rates'!C:C,'Dispensed Ink Rates'!CS:CS),VLOOKUP(GU76,'Jan-2026 rates'!$E:$F,2,0)))</f>
        <v>#N/A</v>
      </c>
      <c r="HE76" s="409">
        <v>16</v>
      </c>
      <c r="HF76" s="398">
        <f>IF(HE76=0,0,IF(LEN(GV76)=11,_xlfn.XLOOKUP(GV76,'Dispensed Ink Rates'!C:C,'Dispensed Ink Rates'!CS:CS),VLOOKUP(GV76,'Jan-2026 rates'!$E:$F,2,0)))</f>
        <v>0</v>
      </c>
      <c r="HG76" s="409"/>
      <c r="HH76" s="398">
        <f>IF(HG76=0,0,IF(LEN(GW76)=11,_xlfn.XLOOKUP(GW76,'Dispensed Ink Rates'!C:C,'Dispensed Ink Rates'!CS:CS),VLOOKUP(GW76,'Jan-2026 rates'!$E:$F,2,0)))</f>
        <v>0</v>
      </c>
      <c r="HI76" s="409"/>
      <c r="HJ76" s="398">
        <f>IF(HI76=0,0,IF(LEN(GX76)=11,_xlfn.XLOOKUP(GX76,'Dispensed Ink Rates'!C:C,'Dispensed Ink Rates'!CS:CS),VLOOKUP(GX76,'Jan-2026 rates'!$E:$F,2,0)))</f>
        <v>0</v>
      </c>
      <c r="HK76" s="409"/>
      <c r="HL76" s="398">
        <f>IF(HK76=0,0,IF(LEN(GY76)=11,_xlfn.XLOOKUP(GY76,'Dispensed Ink Rates'!C:C,'Dispensed Ink Rates'!CS:CS),VLOOKUP(GY76,'Jan-2026 rates'!$E:$F,2,0)))</f>
        <v>0</v>
      </c>
      <c r="HM76" s="409"/>
      <c r="HN76" s="398">
        <f>IF(HM76=0,0,IF(LEN(GZ76)=11,_xlfn.XLOOKUP(GZ76,'Dispensed Ink Rates'!C:C,'Dispensed Ink Rates'!CS:CS),VLOOKUP(GZ76,'Jan-2026 rates'!$E:$F,2,0)))</f>
        <v>0</v>
      </c>
      <c r="HO76" s="409"/>
      <c r="HP76" s="398">
        <f>IF(HO76=0,0,IF(LEN(HA76)=11,_xlfn.XLOOKUP(HA76,'Dispensed Ink Rates'!C:C,'Dispensed Ink Rates'!CS:CS),VLOOKUP(HA76,'Jan-2026 rates'!$E:$F,2,0)))</f>
        <v>0</v>
      </c>
      <c r="HQ76" s="409"/>
      <c r="HR76" s="398">
        <f>IF(HQ76=0,0,IF(LEN(HB76)=11,_xlfn.XLOOKUP(HB76,'Dispensed Ink Rates'!C:C,'Dispensed Ink Rates'!CS:CS),VLOOKUP(HB76,'Jan-2026 rates'!$E:$F,2,0)))</f>
        <v>0</v>
      </c>
      <c r="HS76" s="409" t="s">
        <v>1443</v>
      </c>
      <c r="HT76" s="409">
        <v>28</v>
      </c>
      <c r="HU76" s="411">
        <f t="shared" si="97"/>
        <v>0</v>
      </c>
      <c r="HV76" s="411">
        <f t="shared" si="98"/>
        <v>43.3125</v>
      </c>
      <c r="HW76" s="414">
        <f t="shared" si="99"/>
        <v>0</v>
      </c>
      <c r="HX76" s="405" t="s">
        <v>856</v>
      </c>
      <c r="HY76" s="409" t="s">
        <v>3012</v>
      </c>
      <c r="HZ76" s="420" t="str">
        <f t="shared" si="59"/>
        <v>FLINTSL - WHITE</v>
      </c>
      <c r="IA76" s="409">
        <v>25</v>
      </c>
      <c r="IB76" s="411">
        <f>IF(IA76=0,0,IF($LB76=70%,VLOOKUP($HZ76,'Jan-2026 rates'!$L:$R,4,0),IF($LB76=65%,VLOOKUP($HZ76,'Jan-2026 rates'!$L:$R,4,0),IF($LB76=40%,VLOOKUP($HZ76,'Jan-2026 rates'!$L:$R,5,0),IF($LB76=30%,VLOOKUP($HZ76,'Jan-2026 rates'!$L:$R,6,0),IF($LB76=100%,VLOOKUP($HZ76,'Jan-2026 rates'!$L:$R,7,0),IF($LB76=60%,VLOOKUP($HZ76,'Jan-2026 rates'!$L:$S,8,0),IF($LB76=80%,VLOOKUP($HZ76,'Jan-2026 rates'!L:T,9,0),0))))))))</f>
        <v>0</v>
      </c>
      <c r="IC76" s="412"/>
      <c r="ID76" s="409"/>
      <c r="IE76" s="411">
        <f>IF(ID76=0,0,IF($LB76=70%,VLOOKUP($HZ76,'Jan-2026 rates'!$L:$R,4,0),IF($LB76=65%,VLOOKUP($HZ76,'Jan-2026 rates'!$L:$R,4,0),IF($LB76=40%,VLOOKUP($HZ76,'Jan-2026 rates'!$L:$R,5,0),IF($LB76=30%,VLOOKUP($HZ76,'Jan-2026 rates'!$L:$R,6,0),IF($LB76=100%,VLOOKUP($HZ76,'Jan-2026 rates'!$L:$R,7,0),IF($LB76=60%,VLOOKUP($HZ76,'Jan-2026 rates'!$L:$S,8,0),IF($LB76=80%,VLOOKUP($HZ76,'Jan-2026 rates'!L:T,9,0),0))))))))</f>
        <v>0</v>
      </c>
      <c r="IF76" s="412" t="s">
        <v>484</v>
      </c>
      <c r="IG76" s="413"/>
      <c r="IH76" s="412"/>
      <c r="II76" s="412"/>
      <c r="IJ76" s="412"/>
      <c r="IK76" s="412"/>
      <c r="IL76" s="412"/>
      <c r="IM76" s="412"/>
      <c r="IN76" s="409">
        <f>50+50</f>
        <v>100</v>
      </c>
      <c r="IO76" s="398">
        <f>IF(IN76=0,0,IF(LEN(IF76)=11,_xlfn.XLOOKUP(IF76,'Dispensed Ink Rates'!C:C,'Dispensed Ink Rates'!CS:CS),VLOOKUP(IF76,'Jan-2026 rates'!$E:$F,2,0)))</f>
        <v>0</v>
      </c>
      <c r="IP76" s="409"/>
      <c r="IQ76" s="398">
        <f>IF(IP76=0,0,IF(LEN(IG76)=11,_xlfn.XLOOKUP(IG76,'Dispensed Ink Rates'!C:C,'Dispensed Ink Rates'!CS:CS),VLOOKUP(IG76,'Jan-2026 rates'!$E:$F,2,0)))</f>
        <v>0</v>
      </c>
      <c r="IR76" s="409"/>
      <c r="IS76" s="398">
        <f>IF(IR76=0,0,IF(LEN(IH76)=11,_xlfn.XLOOKUP(IH76,'Dispensed Ink Rates'!C:C,'Dispensed Ink Rates'!CS:CS),VLOOKUP(IH76,'Jan-2026 rates'!$E:$F,2,0)))</f>
        <v>0</v>
      </c>
      <c r="IT76" s="409"/>
      <c r="IU76" s="398">
        <f>IF(IT76=0,0,IF(LEN(II76)=11,_xlfn.XLOOKUP(II76,'Dispensed Ink Rates'!C:C,'Dispensed Ink Rates'!CS:CS),VLOOKUP(II76,'Jan-2026 rates'!$E:$F,2,0)))</f>
        <v>0</v>
      </c>
      <c r="IV76" s="409"/>
      <c r="IW76" s="398">
        <f>IF(IV76=0,0,IF(LEN(IJ76)=11,_xlfn.XLOOKUP(IJ76,'Dispensed Ink Rates'!C:C,'Dispensed Ink Rates'!CS:CS),VLOOKUP(IJ76,'Jan-2026 rates'!$E:$F,2,0)))</f>
        <v>0</v>
      </c>
      <c r="IX76" s="409"/>
      <c r="IY76" s="398">
        <f>IF(IX76=0,0,IF(LEN(IK76)=11,_xlfn.XLOOKUP(IK76,'Dispensed Ink Rates'!C:C,'Dispensed Ink Rates'!CS:CS),VLOOKUP(IK76,'Jan-2026 rates'!$E:$F,2,0)))</f>
        <v>0</v>
      </c>
      <c r="IZ76" s="409"/>
      <c r="JA76" s="398">
        <f>IF(IZ76=0,0,IF(LEN(IL76)=11,_xlfn.XLOOKUP(IL76,'Dispensed Ink Rates'!C:C,'Dispensed Ink Rates'!CS:CS),VLOOKUP(IL76,'Jan-2026 rates'!$E:$F,2,0)))</f>
        <v>0</v>
      </c>
      <c r="JB76" s="409"/>
      <c r="JC76" s="398">
        <f>IF(JB76=0,0,IF(LEN(IM76)=11,_xlfn.XLOOKUP(IM76,'Dispensed Ink Rates'!C:C,'Dispensed Ink Rates'!CS:CS),VLOOKUP(IM76,'Jan-2026 rates'!$E:$F,2,0)))</f>
        <v>0</v>
      </c>
      <c r="JD76" s="409" t="s">
        <v>1443</v>
      </c>
      <c r="JE76" s="409">
        <v>30</v>
      </c>
      <c r="JF76" s="411">
        <f t="shared" si="100"/>
        <v>0</v>
      </c>
      <c r="JG76" s="411">
        <f t="shared" si="101"/>
        <v>230.75</v>
      </c>
      <c r="JH76" s="410">
        <f t="shared" si="102"/>
        <v>0</v>
      </c>
      <c r="JI76" s="405"/>
      <c r="JJ76" s="409"/>
      <c r="JK76" s="420" t="str">
        <f t="shared" si="60"/>
        <v xml:space="preserve"> - </v>
      </c>
      <c r="JL76" s="409"/>
      <c r="JM76" s="411">
        <f>IF(JL76=0,0,IF($LB76=70%,VLOOKUP($JK76,'Jan-2026 rates'!$L:$R,4,0),IF($LB76=65%,VLOOKUP($JK76,'Jan-2026 rates'!$L:$R,4,0),IF($LB76=40%,VLOOKUP($JK76,'Jan-2026 rates'!$L:$R,5,0),IF($LB76=30%,VLOOKUP($JK76,'Jan-2026 rates'!$L:$R,6,0),IF($LB76=100%,VLOOKUP($JK76,'Jan-2026 rates'!$L:$R,7,0),IF($LB76=60%,VLOOKUP($JK76,'Jan-2026 rates'!$L:$S,8,0),IF($LB76=80%,VLOOKUP($JK76,'Jan-2026 rates'!L:T,9,0),0))))))))</f>
        <v>0</v>
      </c>
      <c r="JN76" s="412"/>
      <c r="JO76" s="409"/>
      <c r="JP76" s="411">
        <f>IF(JO76=0,0,IF($LB76=70%,VLOOKUP($JK76,'Jan-2026 rates'!$L:$R,4,0),IF($LB76=65%,VLOOKUP($JK76,'Jan-2026 rates'!$L:$R,4,0),IF($LB76=40%,VLOOKUP($JK76,'Jan-2026 rates'!$L:$R,5,0),IF($LB76=30%,VLOOKUP($JK76,'Jan-2026 rates'!$L:$R,6,0),IF($LB76=100%,VLOOKUP($JK76,'Jan-2026 rates'!$L:$R,7,0),IF($LB76=60%,VLOOKUP($JK76,'Jan-2026 rates'!$L:$S,8,0),IF($LB76=80%,VLOOKUP($JK76,'Jan-2026 rates'!L:T,9,0),0))))))))</f>
        <v>0</v>
      </c>
      <c r="JQ76" s="413"/>
      <c r="JR76" s="412"/>
      <c r="JS76" s="413"/>
      <c r="JT76" s="413"/>
      <c r="JU76" s="412"/>
      <c r="JV76" s="412"/>
      <c r="JW76" s="412"/>
      <c r="JX76" s="412"/>
      <c r="JY76" s="409"/>
      <c r="JZ76" s="398">
        <f>IF(JY76=0,0,IF(LEN(JQ76)=11,_xlfn.XLOOKUP(JQ76,'Dispensed Ink Rates'!C:C,'Dispensed Ink Rates'!CS:CS),VLOOKUP(JQ76,'Jan-2026 rates'!$E:$F,2,0)))</f>
        <v>0</v>
      </c>
      <c r="KA76" s="409"/>
      <c r="KB76" s="398">
        <f>IF(KA76=0,0,IF(LEN(JR76)=11,_xlfn.XLOOKUP(JR76,'Dispensed Ink Rates'!C:C,'Dispensed Ink Rates'!CS:CS),VLOOKUP(JR76,'Jan-2026 rates'!$E:$F,2,0)))</f>
        <v>0</v>
      </c>
      <c r="KC76" s="409"/>
      <c r="KD76" s="398">
        <f>IF(KC76=0,0,IF(LEN(JS76)=11,_xlfn.XLOOKUP(JS76,'Dispensed Ink Rates'!C:C,'Dispensed Ink Rates'!CS:CS),VLOOKUP(JS76,'Jan-2026 rates'!$E:$F,2,0)))</f>
        <v>0</v>
      </c>
      <c r="KE76" s="409"/>
      <c r="KF76" s="398">
        <f>IF(KE76=0,0,IF(LEN(JT76)=11,_xlfn.XLOOKUP(JT76,'Dispensed Ink Rates'!C:C,'Dispensed Ink Rates'!CS:CS),VLOOKUP(JT76,'Jan-2026 rates'!$E:$F,2,0)))</f>
        <v>0</v>
      </c>
      <c r="KG76" s="409"/>
      <c r="KH76" s="398">
        <f>IF(KG76=0,0,IF(LEN(JU76)=11,_xlfn.XLOOKUP(JU76,'Dispensed Ink Rates'!C:C,'Dispensed Ink Rates'!CS:CS),VLOOKUP(JU76,'Jan-2026 rates'!$E:$F,2,0)))</f>
        <v>0</v>
      </c>
      <c r="KI76" s="409"/>
      <c r="KJ76" s="398">
        <f>IF(KI76=0,0,IF(LEN(JV76)=11,_xlfn.XLOOKUP(JV76,'Dispensed Ink Rates'!C:C,'Dispensed Ink Rates'!CS:CS),VLOOKUP(JV76,'Jan-2026 rates'!$E:$F,2,0)))</f>
        <v>0</v>
      </c>
      <c r="KK76" s="409"/>
      <c r="KL76" s="398">
        <f>IF(KK76=0,0,IF(LEN(JW76)=11,_xlfn.XLOOKUP(JW76,'Dispensed Ink Rates'!C:C,'Dispensed Ink Rates'!CS:CS),VLOOKUP(JW76,'Jan-2026 rates'!$E:$F,2,0)))</f>
        <v>0</v>
      </c>
      <c r="KM76" s="428"/>
      <c r="KN76" s="398">
        <f>IF(KM76=0,0,IF(LEN(JX76)=11,_xlfn.XLOOKUP(JX76,'Dispensed Ink Rates'!C:C,'Dispensed Ink Rates'!CS:CS),VLOOKUP(JX76,'Jan-2026 rates'!$E:$F,2,0)))</f>
        <v>0</v>
      </c>
      <c r="KO76" s="409"/>
      <c r="KP76" s="409"/>
      <c r="KQ76" s="411">
        <f t="shared" si="103"/>
        <v>0</v>
      </c>
      <c r="KR76" s="411">
        <f t="shared" si="104"/>
        <v>0</v>
      </c>
      <c r="KS76" s="410">
        <f t="shared" si="105"/>
        <v>0</v>
      </c>
      <c r="KT76" s="409">
        <v>2</v>
      </c>
      <c r="KU76" s="409">
        <v>2</v>
      </c>
      <c r="KV76" s="409">
        <v>5</v>
      </c>
      <c r="KW76" s="409">
        <v>2</v>
      </c>
      <c r="KX76" s="409">
        <v>4</v>
      </c>
      <c r="KY76" s="409">
        <v>5</v>
      </c>
      <c r="KZ76" s="409">
        <f>30+30</f>
        <v>60</v>
      </c>
      <c r="LA76" s="409">
        <v>0</v>
      </c>
      <c r="LB76" s="415">
        <v>0.8</v>
      </c>
      <c r="LC76" s="415">
        <v>0.2</v>
      </c>
      <c r="LD76" s="415"/>
      <c r="LE76" s="415"/>
      <c r="LF76" s="415"/>
      <c r="LG76" s="409">
        <v>0</v>
      </c>
      <c r="LH76" s="409">
        <f>60+50+48+12+5+6</f>
        <v>181</v>
      </c>
      <c r="LI76" s="409">
        <v>0</v>
      </c>
      <c r="LJ76" s="409">
        <v>0</v>
      </c>
      <c r="LK76" s="416">
        <f t="shared" si="61"/>
        <v>181</v>
      </c>
      <c r="LL76" s="416">
        <f t="shared" si="62"/>
        <v>181</v>
      </c>
      <c r="LM76" s="417">
        <f t="shared" si="63"/>
        <v>144.80000000000001</v>
      </c>
      <c r="LN76" s="417">
        <f>VLOOKUP($LM$8,'Jan-2026 rates'!$H:$I,2,0)</f>
        <v>0</v>
      </c>
      <c r="LO76" s="417">
        <f t="shared" si="64"/>
        <v>36.200000000000003</v>
      </c>
      <c r="LP76" s="417">
        <f>VLOOKUP($LO$8,'Jan-2026 rates'!$H:$I,2,0)</f>
        <v>0</v>
      </c>
      <c r="LQ76" s="417">
        <f t="shared" si="65"/>
        <v>0</v>
      </c>
      <c r="LR76" s="417">
        <f>VLOOKUP($LQ$8,'Jan-2026 rates'!$H:$I,2,0)</f>
        <v>0</v>
      </c>
      <c r="LS76" s="417">
        <f t="shared" si="66"/>
        <v>0</v>
      </c>
      <c r="LT76" s="417">
        <f>VLOOKUP($LS$8,'Jan-2026 rates'!$H:$I,2,0)</f>
        <v>0</v>
      </c>
      <c r="LU76" s="417">
        <f t="shared" si="67"/>
        <v>0</v>
      </c>
      <c r="LV76" s="417">
        <f>VLOOKUP($LU$8,'Jan-2026 rates'!$H:$I,2,0)</f>
        <v>0</v>
      </c>
      <c r="LW76" s="417">
        <f t="shared" si="68"/>
        <v>0</v>
      </c>
      <c r="LX76" s="417">
        <f t="shared" si="69"/>
        <v>0</v>
      </c>
      <c r="LY76" s="418">
        <f t="shared" si="70"/>
        <v>0</v>
      </c>
      <c r="LZ76" s="417"/>
      <c r="MA76" s="435">
        <f t="shared" si="71"/>
        <v>155.30000000000001</v>
      </c>
      <c r="MB76" s="282">
        <f t="shared" si="72"/>
        <v>343.3</v>
      </c>
      <c r="MC76" s="283">
        <v>31</v>
      </c>
      <c r="MD76" s="284" t="str">
        <f t="shared" si="73"/>
        <v>FLINTSLFLINTSLFLINTSLFLINTSLFLINTSLFLINTSLFLINTSL</v>
      </c>
      <c r="ME76" s="293" t="str">
        <f t="shared" si="74"/>
        <v>+</v>
      </c>
      <c r="MF76" s="293" t="str">
        <f t="shared" si="75"/>
        <v>+</v>
      </c>
      <c r="MG76" s="293" t="str">
        <f t="shared" si="76"/>
        <v>+</v>
      </c>
      <c r="MH76" s="293" t="str">
        <f t="shared" si="77"/>
        <v>+</v>
      </c>
      <c r="MI76" s="293" t="str">
        <f t="shared" si="78"/>
        <v>+</v>
      </c>
      <c r="MJ76" s="293" t="str">
        <f t="shared" si="79"/>
        <v>+</v>
      </c>
      <c r="MK76" s="293" t="str">
        <f t="shared" si="80"/>
        <v>+</v>
      </c>
      <c r="ML76" s="293" t="str">
        <f t="shared" si="81"/>
        <v>NIL</v>
      </c>
      <c r="MM76" s="3" t="b">
        <f t="array" ref="MM76">OR(ME76:ML76="-")</f>
        <v>0</v>
      </c>
      <c r="MN76" s="285"/>
      <c r="MO76" s="401"/>
      <c r="MP76" s="286"/>
      <c r="MQ76" s="286"/>
      <c r="MR76" s="402"/>
      <c r="MS76" s="400"/>
      <c r="NH76" s="422"/>
      <c r="NJ76" s="421"/>
    </row>
    <row r="77" spans="1:374" s="1" customFormat="1" ht="16.5">
      <c r="A77" s="403">
        <v>46027</v>
      </c>
      <c r="B77" s="404" t="s">
        <v>1018</v>
      </c>
      <c r="C77" s="405" t="s">
        <v>3013</v>
      </c>
      <c r="D77" s="406">
        <v>32</v>
      </c>
      <c r="E77" s="404">
        <v>519</v>
      </c>
      <c r="F77" s="407">
        <v>26700</v>
      </c>
      <c r="G77" s="407" t="s">
        <v>1019</v>
      </c>
      <c r="H77" s="408" t="s">
        <v>1017</v>
      </c>
      <c r="I77" s="409">
        <v>1.62</v>
      </c>
      <c r="J77" s="405" t="s">
        <v>543</v>
      </c>
      <c r="K77" s="404" t="s">
        <v>3014</v>
      </c>
      <c r="L77" s="419" t="str">
        <f t="shared" si="54"/>
        <v>FLINTSL - BLACK</v>
      </c>
      <c r="M77" s="404">
        <v>27</v>
      </c>
      <c r="N77" s="410">
        <f>IF(M77=0,0,IF($LB77=70%,VLOOKUP($L77,'Jan-2026 rates'!$L:$R,4,0),IF($LB77=65%,VLOOKUP($L77,'Jan-2026 rates'!$L:$R,4,0),IF($LB77=40%,VLOOKUP($L77,'Jan-2026 rates'!$L:$R,5,0),IF($LB77=30%,VLOOKUP($L77,'Jan-2026 rates'!$L:$R,6,0),IF($LB77=100%,VLOOKUP($L77,'Jan-2026 rates'!$L:$R,7,0),IF($LB77=60%,VLOOKUP($L77,'Jan-2026 rates'!$L:$S,8,0),IF($LB77=80%,VLOOKUP($L77,'Jan-2026 rates'!L:T,9,0),0))))))))</f>
        <v>0</v>
      </c>
      <c r="O77" s="406"/>
      <c r="P77" s="404"/>
      <c r="Q77" s="410">
        <f>IF(P77=0,0,IF($LB77=70%,VLOOKUP($L77,'Jan-2026 rates'!$L:$R,4,0),IF($LB77=65%,VLOOKUP($L77,'Jan-2026 rates'!$L:$R,4,0),IF($LB77=40%,VLOOKUP($L77,'Jan-2026 rates'!$L:$R,5,0),IF($LB77=30%,VLOOKUP($L77,'Jan-2026 rates'!$L:$R,6,0),IF($LB77=100%,VLOOKUP($L77,'Jan-2026 rates'!$L:$R,7,0),IF($LB77=60%,VLOOKUP($L77,'Jan-2026 rates'!$L:$S,8,0),IF($LB77=80%,VLOOKUP($L77,'Jan-2026 rates'!L:T,9,0),0))))))))</f>
        <v>0</v>
      </c>
      <c r="R77" s="406"/>
      <c r="S77" s="406"/>
      <c r="T77" s="406"/>
      <c r="U77" s="406"/>
      <c r="V77" s="406"/>
      <c r="W77" s="406"/>
      <c r="X77" s="406"/>
      <c r="Y77" s="406"/>
      <c r="Z77" s="404"/>
      <c r="AA77" s="398">
        <f>IF(Z77=0,0,IF(LEN(R77)=11,_xlfn.XLOOKUP(R77,'Dispensed Ink Rates'!C:C,'Dispensed Ink Rates'!CS:CS),VLOOKUP(R77,'Jan-2026 rates'!$E:$F,2,0)))</f>
        <v>0</v>
      </c>
      <c r="AB77" s="404"/>
      <c r="AC77" s="398">
        <f>IF(AB77=0,0,IF(LEN(S77)=11,_xlfn.XLOOKUP(S77,'Dispensed Ink Rates'!C:C,'Dispensed Ink Rates'!CS:CS),VLOOKUP(S77,'Jan-2026 rates'!$E:$F,2,0)))</f>
        <v>0</v>
      </c>
      <c r="AD77" s="404"/>
      <c r="AE77" s="398">
        <f>IF(AD77=0,0,IF(LEN(T77)=11,_xlfn.XLOOKUP(T77,'Dispensed Ink Rates'!C:C,'Dispensed Ink Rates'!CS:CS),VLOOKUP(T77,'Jan-2026 rates'!$E:$F,2,0)))</f>
        <v>0</v>
      </c>
      <c r="AF77" s="404"/>
      <c r="AG77" s="398">
        <f>IF(AF77=0,0,IF(LEN(U77)=11,_xlfn.XLOOKUP(U77,'Dispensed Ink Rates'!C:C,'Dispensed Ink Rates'!CS:CS),VLOOKUP(U77,'Jan-2026 rates'!$E:$F,2,0)))</f>
        <v>0</v>
      </c>
      <c r="AH77" s="404"/>
      <c r="AI77" s="398">
        <f>IF(AH77=0,0,IF(LEN(V77)=11,_xlfn.XLOOKUP(V77,'Dispensed Ink Rates'!C:C,'Dispensed Ink Rates'!CS:CS),VLOOKUP(V77,'Jan-2026 rates'!$E:$F,2,0)))</f>
        <v>0</v>
      </c>
      <c r="AJ77" s="404"/>
      <c r="AK77" s="398">
        <f>IF(AJ77=0,0,IF(LEN(W77)=11,_xlfn.XLOOKUP(W77,'Dispensed Ink Rates'!C:C,'Dispensed Ink Rates'!CS:CS),VLOOKUP(W77,'Jan-2026 rates'!$E:$F,2,0)))</f>
        <v>0</v>
      </c>
      <c r="AL77" s="404"/>
      <c r="AM77" s="398">
        <f>IF(AL77=0,0,IF(LEN(X77)=11,_xlfn.XLOOKUP(X77,'Dispensed Ink Rates'!C:C,'Dispensed Ink Rates'!CS:CS),VLOOKUP(X77,'Jan-2026 rates'!$E:$F,2,0)))</f>
        <v>0</v>
      </c>
      <c r="AN77" s="404"/>
      <c r="AO77" s="398">
        <f>IF(AN77=0,0,IF(LEN(Y77)=11,_xlfn.XLOOKUP(Y77,'Dispensed Ink Rates'!C:C,'Dispensed Ink Rates'!CS:CS),VLOOKUP(Y77,'Jan-2026 rates'!$E:$F,2,0)))</f>
        <v>0</v>
      </c>
      <c r="AP77" s="409" t="s">
        <v>1443</v>
      </c>
      <c r="AQ77" s="409">
        <v>28</v>
      </c>
      <c r="AR77" s="410">
        <f t="shared" si="82"/>
        <v>0</v>
      </c>
      <c r="AS77" s="411">
        <f t="shared" si="83"/>
        <v>2.8999999999999986</v>
      </c>
      <c r="AT77" s="410">
        <f t="shared" si="84"/>
        <v>0</v>
      </c>
      <c r="AU77" s="405" t="s">
        <v>546</v>
      </c>
      <c r="AV77" s="409" t="s">
        <v>3014</v>
      </c>
      <c r="AW77" s="420" t="str">
        <f t="shared" si="53"/>
        <v>FLINTSL - REFLEX BLUE</v>
      </c>
      <c r="AX77" s="409">
        <v>27</v>
      </c>
      <c r="AY77" s="411">
        <f>IF(AX77=0,0,IF($LB77=70%,VLOOKUP($AW77,'Jan-2026 rates'!$L:$R,4,0),IF($LB77=65%,VLOOKUP($AW77,'Jan-2026 rates'!$L:$R,4,0),IF($LB77=40%,VLOOKUP($AW77,'Jan-2026 rates'!$L:$R,5,0),IF($LB77=30%,VLOOKUP($AW77,'Jan-2026 rates'!$L:$R,6,0),IF($LB77=100%,VLOOKUP($AW77,'Jan-2026 rates'!$L:$R,7,0),IF($LB77=60%,VLOOKUP($AW77,'Jan-2026 rates'!$L:$S,8,0),IF($LB77=80%,VLOOKUP($AW77,'Jan-2026 rates'!L:T,9,0),0))))))))</f>
        <v>0</v>
      </c>
      <c r="AZ77" s="412"/>
      <c r="BA77" s="409"/>
      <c r="BB77" s="411">
        <f>IF(BA77=0,0,IF($LB77=70%,VLOOKUP($AW77,'Jan-2026 rates'!$L:$R,4,0),IF($LB77=65%,VLOOKUP($AW77,'Jan-2026 rates'!$L:$R,4,0),IF($LB77=40%,VLOOKUP($AW77,'Jan-2026 rates'!$L:$R,5,0),IF($LB77=30%,VLOOKUP($AW77,'Jan-2026 rates'!$L:$R,6,0),IF($LB77=100%,VLOOKUP($AW77,'Jan-2026 rates'!$L:$R,7,0),IF($LB77=60%,VLOOKUP($AW77,'Jan-2026 rates'!$L:$S,8,0),IF($LB77=80%,VLOOKUP($AW77,'Jan-2026 rates'!L:T,9,0),0))))))))</f>
        <v>0</v>
      </c>
      <c r="BC77" s="413"/>
      <c r="BD77" s="412"/>
      <c r="BE77" s="412"/>
      <c r="BF77" s="413"/>
      <c r="BG77" s="412"/>
      <c r="BH77" s="412"/>
      <c r="BI77" s="412"/>
      <c r="BJ77" s="412"/>
      <c r="BK77" s="409"/>
      <c r="BL77" s="398">
        <f>IF(BK77=0,0,IF(LEN(BC77)=11,_xlfn.XLOOKUP(BC77,'Dispensed Ink Rates'!C:C,'Dispensed Ink Rates'!CS:CS),VLOOKUP(BC77,'Jan-2026 rates'!$E:$F,2,0)))</f>
        <v>0</v>
      </c>
      <c r="BM77" s="409"/>
      <c r="BN77" s="398">
        <f>IF(BM77=0,0,IF(LEN(BD77)=11,_xlfn.XLOOKUP(BD77,'Dispensed Ink Rates'!C:C,'Dispensed Ink Rates'!CS:CS),VLOOKUP(BD77,'Jan-2026 rates'!$E:$F,2,0)))</f>
        <v>0</v>
      </c>
      <c r="BO77" s="409"/>
      <c r="BP77" s="398">
        <f>IF(BO77=0,0,IF(LEN(BE77)=11,_xlfn.XLOOKUP(BE77,'Dispensed Ink Rates'!C:C,'Dispensed Ink Rates'!CS:CS),VLOOKUP(BE77,'Jan-2026 rates'!$E:$F,2,0)))</f>
        <v>0</v>
      </c>
      <c r="BQ77" s="409"/>
      <c r="BR77" s="398">
        <f>IF(BQ77=0,0,IF(LEN(BF77)=11,_xlfn.XLOOKUP(BF77,'Dispensed Ink Rates'!C:C,'Dispensed Ink Rates'!CS:CS),VLOOKUP(BF77,'Jan-2026 rates'!$E:$F,2,0)))</f>
        <v>0</v>
      </c>
      <c r="BS77" s="409"/>
      <c r="BT77" s="398">
        <f>IF(BS77=0,0,IF(LEN(BG77)=11,_xlfn.XLOOKUP(BG77,'Dispensed Ink Rates'!C:C,'Dispensed Ink Rates'!CS:CS),VLOOKUP(BG77,'Jan-2026 rates'!$E:$F,2,0)))</f>
        <v>0</v>
      </c>
      <c r="BU77" s="409"/>
      <c r="BV77" s="398">
        <f>IF(BU77=0,0,IF(LEN(BH77)=11,_xlfn.XLOOKUP(BH77,'Dispensed Ink Rates'!C:C,'Dispensed Ink Rates'!CS:CS),VLOOKUP(BH77,'Jan-2026 rates'!$E:$F,2,0)))</f>
        <v>0</v>
      </c>
      <c r="BW77" s="409"/>
      <c r="BX77" s="398">
        <f>IF(BW77=0,0,IF(LEN(BI77)=11,_xlfn.XLOOKUP(BI77,'Dispensed Ink Rates'!C:C,'Dispensed Ink Rates'!CS:CS),VLOOKUP(BI77,'Jan-2026 rates'!$E:$F,2,0)))</f>
        <v>0</v>
      </c>
      <c r="BY77" s="409"/>
      <c r="BZ77" s="398">
        <f>IF(BY77=0,0,IF(LEN(BJ77)=11,_xlfn.XLOOKUP(BJ77,'Dispensed Ink Rates'!C:C,'Dispensed Ink Rates'!CS:CS),VLOOKUP(BJ77,'Jan-2026 rates'!$E:$F,2,0)))</f>
        <v>0</v>
      </c>
      <c r="CA77" s="409" t="s">
        <v>1443</v>
      </c>
      <c r="CB77" s="409">
        <v>13</v>
      </c>
      <c r="CC77" s="411">
        <f t="shared" si="85"/>
        <v>0</v>
      </c>
      <c r="CD77" s="411">
        <f t="shared" si="86"/>
        <v>14</v>
      </c>
      <c r="CE77" s="410">
        <f t="shared" si="87"/>
        <v>0</v>
      </c>
      <c r="CF77" s="404" t="s">
        <v>857</v>
      </c>
      <c r="CG77" s="409" t="s">
        <v>3015</v>
      </c>
      <c r="CH77" s="420" t="str">
        <f t="shared" si="55"/>
        <v>FLINTSL - RED</v>
      </c>
      <c r="CI77" s="409">
        <v>29</v>
      </c>
      <c r="CJ77" s="411">
        <f>IF(CI77=0,0,IF($LB77=70%,VLOOKUP($CH77,'Jan-2026 rates'!$L:$R,4,0),IF($LB77=65%,VLOOKUP($CH77,'Jan-2026 rates'!$L:$R,4,0),IF($LB77=40%,VLOOKUP($CH77,'Jan-2026 rates'!$L:$R,5,0),IF($LB77=30%,VLOOKUP($CH77,'Jan-2026 rates'!$L:$R,6,0),IF($LB77=100%,VLOOKUP($CH77,'Jan-2026 rates'!$L:$R,7,0),IF($LB77=60%,VLOOKUP($CH77,'Jan-2026 rates'!$L:$S,8,0),IF($LB77=80%,VLOOKUP($CH77,'Jan-2026 rates'!L:T,9,0),0))))))))</f>
        <v>0</v>
      </c>
      <c r="CK77" s="412"/>
      <c r="CL77" s="409"/>
      <c r="CM77" s="411">
        <f>IF(CL77=0,0,IF($LB77=70%,VLOOKUP($CH77,'Jan-2026 rates'!$L:$R,4,0),IF($LB77=65%,VLOOKUP($CH77,'Jan-2026 rates'!$L:$R,4,0),IF($LB77=40%,VLOOKUP($CH77,'Jan-2026 rates'!$L:$R,5,0),IF($LB77=30%,VLOOKUP($CH77,'Jan-2026 rates'!$L:$R,6,0),IF($LB77=100%,VLOOKUP($CH77,'Jan-2026 rates'!$L:$R,7,0),IF($LB77=60%,VLOOKUP($CH77,'Jan-2026 rates'!$L:$S,8,0),IF($LB77=80%,VLOOKUP($CH77,'Jan-2026 rates'!L:T,9,0),0))))))))</f>
        <v>0</v>
      </c>
      <c r="CN77" s="426">
        <v>25862000014</v>
      </c>
      <c r="CO77" s="427"/>
      <c r="CP77" s="426"/>
      <c r="CQ77" s="426"/>
      <c r="CR77" s="428"/>
      <c r="CS77" s="428"/>
      <c r="CT77" s="428"/>
      <c r="CU77" s="428"/>
      <c r="CV77" s="409">
        <v>5</v>
      </c>
      <c r="CW77" s="398" t="e">
        <f>IF(CV77=0,0,IF(LEN(CN77)=11,_xlfn.XLOOKUP(CN77,'Dispensed Ink Rates'!C:C,'Dispensed Ink Rates'!CS:CS),VLOOKUP(CN77,'Jan-2026 rates'!$E:$F,2,0)))</f>
        <v>#N/A</v>
      </c>
      <c r="CX77" s="409"/>
      <c r="CY77" s="398">
        <f>IF(CX77=0,0,IF(LEN(CO77)=11,_xlfn.XLOOKUP(CO77,'Dispensed Ink Rates'!C:C,'Dispensed Ink Rates'!CS:CS),VLOOKUP(CO77,'Jan-2026 rates'!$E:$F,2,0)))</f>
        <v>0</v>
      </c>
      <c r="CZ77" s="409"/>
      <c r="DA77" s="398">
        <f>IF(CZ77=0,0,IF(LEN(CP77)=11,_xlfn.XLOOKUP(CP77,'Dispensed Ink Rates'!C:C,'Dispensed Ink Rates'!CS:CS),VLOOKUP(CP77,'Jan-2026 rates'!$E:$F,2,0)))</f>
        <v>0</v>
      </c>
      <c r="DB77" s="409"/>
      <c r="DC77" s="398">
        <f>IF(DB77=0,0,IF(LEN(CQ77)=11,_xlfn.XLOOKUP(CQ77,'Dispensed Ink Rates'!C:C,'Dispensed Ink Rates'!CS:CS),VLOOKUP(CQ77,'Jan-2026 rates'!$E:$F,2,0)))</f>
        <v>0</v>
      </c>
      <c r="DD77" s="409"/>
      <c r="DE77" s="398">
        <f>IF(DD77=0,0,IF(LEN(CR77)=11,_xlfn.XLOOKUP(CR77,'Dispensed Ink Rates'!C:C,'Dispensed Ink Rates'!CS:CS),VLOOKUP(CR77,'Jan-2026 rates'!$E:$F,2,0)))</f>
        <v>0</v>
      </c>
      <c r="DF77" s="409"/>
      <c r="DG77" s="398">
        <f>IF(DF77=0,0,IF(LEN(CS77)=11,_xlfn.XLOOKUP(CS77,'Dispensed Ink Rates'!C:C,'Dispensed Ink Rates'!CS:CS),VLOOKUP(CS77,'Jan-2026 rates'!$E:$F,2,0)))</f>
        <v>0</v>
      </c>
      <c r="DH77" s="409"/>
      <c r="DI77" s="398">
        <f>IF(DH77=0,0,IF(LEN(CT77)=11,_xlfn.XLOOKUP(CT77,'Dispensed Ink Rates'!C:C,'Dispensed Ink Rates'!CS:CS),VLOOKUP(CT77,'Jan-2026 rates'!$E:$F,2,0)))</f>
        <v>0</v>
      </c>
      <c r="DJ77" s="409"/>
      <c r="DK77" s="398">
        <f>IF(DJ77=0,0,IF(LEN(CU77)=11,_xlfn.XLOOKUP(CU77,'Dispensed Ink Rates'!C:C,'Dispensed Ink Rates'!CS:CS),VLOOKUP(CU77,'Jan-2026 rates'!$E:$F,2,0)))</f>
        <v>0</v>
      </c>
      <c r="DL77" s="409" t="s">
        <v>1443</v>
      </c>
      <c r="DM77" s="409">
        <v>32</v>
      </c>
      <c r="DN77" s="411">
        <f t="shared" si="88"/>
        <v>0</v>
      </c>
      <c r="DO77" s="411">
        <f t="shared" si="89"/>
        <v>9.7999999999999972</v>
      </c>
      <c r="DP77" s="410">
        <f t="shared" si="90"/>
        <v>0</v>
      </c>
      <c r="DQ77" s="405" t="s">
        <v>547</v>
      </c>
      <c r="DR77" s="409" t="s">
        <v>3016</v>
      </c>
      <c r="DS77" s="420" t="str">
        <f t="shared" si="56"/>
        <v>FLINTSL - GREEN</v>
      </c>
      <c r="DT77" s="409">
        <v>28</v>
      </c>
      <c r="DU77" s="411">
        <f>IF(DT77=0,0,IF($LB77=70%,VLOOKUP($DS77,'Jan-2026 rates'!$L:$R,4,0),IF($LB77=65%,VLOOKUP($DS77,'Jan-2026 rates'!$L:$R,4,0),IF($LB77=40%,VLOOKUP($DS77,'Jan-2026 rates'!$L:$R,5,0),IF($LB77=30%,VLOOKUP($DS77,'Jan-2026 rates'!$L:$R,6,0),IF($LB77=100%,VLOOKUP($DS77,'Jan-2026 rates'!$L:$R,7,0),IF($LB77=60%,VLOOKUP($DS77,'Jan-2026 rates'!$L:$S,8,0),IF($LB77=80%,VLOOKUP($DS77,'Jan-2026 rates'!L:T,9,0),0))))))))</f>
        <v>0</v>
      </c>
      <c r="DV77" s="412"/>
      <c r="DW77" s="409"/>
      <c r="DX77" s="411">
        <f>IF(DW77=0,0,IF($LB77=70%,VLOOKUP($DS77,'Jan-2026 rates'!$L:$R,4,0),IF($LB77=65%,VLOOKUP($DS77,'Jan-2026 rates'!$L:$R,4,0),IF($LB77=40%,VLOOKUP($DS77,'Jan-2026 rates'!$L:$R,5,0),IF($LB77=30%,VLOOKUP($DS77,'Jan-2026 rates'!$L:$R,6,0),IF($LB77=100%,VLOOKUP($DS77,'Jan-2026 rates'!$L:$R,7,0),IF($LB77=60%,VLOOKUP($DS77,'Jan-2026 rates'!$L:$S,8,0),IF($LB77=80%,VLOOKUP($DS77,'Jan-2026 rates'!L:T,9,0),0))))))))</f>
        <v>0</v>
      </c>
      <c r="DY77" s="413">
        <v>25851000006</v>
      </c>
      <c r="DZ77" s="413" t="s">
        <v>1266</v>
      </c>
      <c r="EA77" s="412"/>
      <c r="EB77" s="412"/>
      <c r="EC77" s="412"/>
      <c r="ED77" s="412"/>
      <c r="EE77" s="412"/>
      <c r="EF77" s="412"/>
      <c r="EG77" s="409">
        <v>13</v>
      </c>
      <c r="EH77" s="398" t="e">
        <f>IF(EG77=0,0,IF(LEN(DY77)=11,_xlfn.XLOOKUP(DY77,'Dispensed Ink Rates'!C:C,'Dispensed Ink Rates'!CS:CS),VLOOKUP(DY77,'Jan-2026 rates'!$E:$F,2,0)))</f>
        <v>#N/A</v>
      </c>
      <c r="EI77" s="409">
        <v>2</v>
      </c>
      <c r="EJ77" s="398">
        <f>IF(EI77=0,0,IF(LEN(DZ77)=11,_xlfn.XLOOKUP(DZ77,'Dispensed Ink Rates'!C:C,'Dispensed Ink Rates'!CS:CS),VLOOKUP(DZ77,'Jan-2026 rates'!$E:$F,2,0)))</f>
        <v>0</v>
      </c>
      <c r="EK77" s="409"/>
      <c r="EL77" s="398">
        <f>IF(EK77=0,0,IF(LEN(EA77)=11,_xlfn.XLOOKUP(EA77,'Dispensed Ink Rates'!C:C,'Dispensed Ink Rates'!CS:CS),VLOOKUP(EA77,'Jan-2026 rates'!$E:$F,2,0)))</f>
        <v>0</v>
      </c>
      <c r="EM77" s="409"/>
      <c r="EN77" s="398">
        <f>IF(EM77=0,0,IF(LEN(EB77)=11,_xlfn.XLOOKUP(EB77,'Dispensed Ink Rates'!C:C,'Dispensed Ink Rates'!CS:CS),VLOOKUP(EB77,'Jan-2026 rates'!$E:$F,2,0)))</f>
        <v>0</v>
      </c>
      <c r="EO77" s="409"/>
      <c r="EP77" s="398">
        <f>IF(EO77=0,0,IF(LEN(EC77)=11,_xlfn.XLOOKUP(EC77,'Dispensed Ink Rates'!C:C,'Dispensed Ink Rates'!CS:CS),VLOOKUP(EC77,'Jan-2026 rates'!$E:$F,2,0)))</f>
        <v>0</v>
      </c>
      <c r="EQ77" s="409"/>
      <c r="ER77" s="398">
        <f>IF(EQ77=0,0,IF(LEN(ED77)=11,_xlfn.XLOOKUP(ED77,'Dispensed Ink Rates'!C:C,'Dispensed Ink Rates'!CS:CS),VLOOKUP(ED77,'Jan-2026 rates'!$E:$F,2,0)))</f>
        <v>0</v>
      </c>
      <c r="ES77" s="409"/>
      <c r="ET77" s="398">
        <f>IF(ES77=0,0,IF(LEN(EE77)=11,_xlfn.XLOOKUP(EE77,'Dispensed Ink Rates'!C:C,'Dispensed Ink Rates'!CS:CS),VLOOKUP(EE77,'Jan-2026 rates'!$E:$F,2,0)))</f>
        <v>0</v>
      </c>
      <c r="EU77" s="409"/>
      <c r="EV77" s="398">
        <f>IF(EU77=0,0,IF(LEN(EF77)=11,_xlfn.XLOOKUP(EF77,'Dispensed Ink Rates'!C:C,'Dispensed Ink Rates'!CS:CS),VLOOKUP(EF77,'Jan-2026 rates'!$E:$F,2,0)))</f>
        <v>0</v>
      </c>
      <c r="EW77" s="409" t="s">
        <v>1443</v>
      </c>
      <c r="EX77" s="409">
        <v>30</v>
      </c>
      <c r="EY77" s="411">
        <f t="shared" si="91"/>
        <v>0</v>
      </c>
      <c r="EZ77" s="411">
        <f t="shared" si="92"/>
        <v>20.799999999999997</v>
      </c>
      <c r="FA77" s="410">
        <f t="shared" si="93"/>
        <v>0</v>
      </c>
      <c r="FB77" s="405" t="s">
        <v>855</v>
      </c>
      <c r="FC77" s="409" t="s">
        <v>3017</v>
      </c>
      <c r="FD77" s="420" t="str">
        <f t="shared" si="57"/>
        <v>FLINTSL - CYAN</v>
      </c>
      <c r="FE77" s="409">
        <v>29</v>
      </c>
      <c r="FF77" s="411">
        <f>IF(FE77=0,0,IF($LB77=70%,VLOOKUP($FD77,'Jan-2026 rates'!$L:$R,4,0),IF($LB77=65%,VLOOKUP($FD77,'Jan-2026 rates'!$L:$R,4,0),IF($LB77=40%,VLOOKUP($FD77,'Jan-2026 rates'!$L:$R,5,0),IF($LB77=30%,VLOOKUP($FD77,'Jan-2026 rates'!$L:$R,6,0),IF($LB77=100%,VLOOKUP($FD77,'Jan-2026 rates'!$L:$R,7,0),IF($LB77=60%,VLOOKUP($FD77,'Jan-2026 rates'!$L:$S,8,0),IF($LB77=80%,VLOOKUP($FD77,'Jan-2026 rates'!L:T,9,0),0))))))))</f>
        <v>0</v>
      </c>
      <c r="FG77" s="412"/>
      <c r="FH77" s="409"/>
      <c r="FI77" s="411">
        <f>IF(FH77=0,0,IF($LB77=70%,VLOOKUP($FD77,'Jan-2026 rates'!$L:$R,4,0),IF($LB77=65%,VLOOKUP($FD77,'Jan-2026 rates'!$L:$R,4,0),IF($LB77=40%,VLOOKUP($FD77,'Jan-2026 rates'!$L:$R,5,0),IF($LB77=30%,VLOOKUP($FD77,'Jan-2026 rates'!$L:$R,6,0),IF($LB77=100%,VLOOKUP($FD77,'Jan-2026 rates'!$L:$R,7,0),IF($LB77=60%,VLOOKUP($FD77,'Jan-2026 rates'!$L:$S,8,0),IF($LB77=80%,VLOOKUP($FD77,'Jan-2026 rates'!L:T,9,0),0))))))))</f>
        <v>0</v>
      </c>
      <c r="FJ77" s="413"/>
      <c r="FK77" s="413"/>
      <c r="FL77" s="413"/>
      <c r="FM77" s="412"/>
      <c r="FN77" s="412"/>
      <c r="FO77" s="412"/>
      <c r="FP77" s="412"/>
      <c r="FQ77" s="412"/>
      <c r="FR77" s="409"/>
      <c r="FS77" s="398">
        <f>IF(FR77=0,0,IF(LEN(FJ77)=11,_xlfn.XLOOKUP(FJ77,'Dispensed Ink Rates'!C:C,'Dispensed Ink Rates'!CS:CS),VLOOKUP(FJ77,'Jan-2026 rates'!$E:$F,2,0)))</f>
        <v>0</v>
      </c>
      <c r="FT77" s="409"/>
      <c r="FU77" s="398">
        <f>IF(FT77=0,0,IF(LEN(FK77)=11,_xlfn.XLOOKUP(FK77,'Dispensed Ink Rates'!C:C,'Dispensed Ink Rates'!CS:CS),VLOOKUP(FK77,'Jan-2026 rates'!$E:$F,2,0)))</f>
        <v>0</v>
      </c>
      <c r="FV77" s="409"/>
      <c r="FW77" s="398">
        <f>IF(FV77=0,0,IF(LEN(FL77)=11,_xlfn.XLOOKUP(FL77,'Dispensed Ink Rates'!C:C,'Dispensed Ink Rates'!CS:CS),VLOOKUP(FL77,'Jan-2026 rates'!$E:$F,2,0)))</f>
        <v>0</v>
      </c>
      <c r="FX77" s="409"/>
      <c r="FY77" s="398">
        <f>IF(FX77=0,0,IF(LEN(FM77)=11,_xlfn.XLOOKUP(FM77,'Dispensed Ink Rates'!C:C,'Dispensed Ink Rates'!CS:CS),VLOOKUP(FM77,'Jan-2026 rates'!$E:$F,2,0)))</f>
        <v>0</v>
      </c>
      <c r="FZ77" s="409"/>
      <c r="GA77" s="398">
        <f>IF(FZ77=0,0,IF(LEN(FN77)=11,_xlfn.XLOOKUP(FN77,'Dispensed Ink Rates'!C:C,'Dispensed Ink Rates'!CS:CS),VLOOKUP(FN77,'Jan-2026 rates'!$E:$F,2,0)))</f>
        <v>0</v>
      </c>
      <c r="GB77" s="409"/>
      <c r="GC77" s="398">
        <f>IF(GB77=0,0,IF(LEN(FO77)=11,_xlfn.XLOOKUP(FO77,'Dispensed Ink Rates'!C:C,'Dispensed Ink Rates'!CS:CS),VLOOKUP(FO77,'Jan-2026 rates'!$E:$F,2,0)))</f>
        <v>0</v>
      </c>
      <c r="GD77" s="409"/>
      <c r="GE77" s="398">
        <f>IF(GD77=0,0,IF(LEN(FP77)=11,_xlfn.XLOOKUP(FP77,'Dispensed Ink Rates'!C:C,'Dispensed Ink Rates'!CS:CS),VLOOKUP(FP77,'Jan-2026 rates'!$E:$F,2,0)))</f>
        <v>0</v>
      </c>
      <c r="GF77" s="409"/>
      <c r="GG77" s="398">
        <f>IF(GF77=0,0,IF(LEN(FQ77)=11,_xlfn.XLOOKUP(FQ77,'Dispensed Ink Rates'!C:C,'Dispensed Ink Rates'!CS:CS),VLOOKUP(FQ77,'Jan-2026 rates'!$E:$F,2,0)))</f>
        <v>0</v>
      </c>
      <c r="GH77" s="409" t="s">
        <v>1443</v>
      </c>
      <c r="GI77" s="409">
        <v>29</v>
      </c>
      <c r="GJ77" s="411">
        <f t="shared" si="94"/>
        <v>0</v>
      </c>
      <c r="GK77" s="411">
        <f t="shared" si="95"/>
        <v>3.8999999999999986</v>
      </c>
      <c r="GL77" s="410">
        <f t="shared" si="96"/>
        <v>0</v>
      </c>
      <c r="GM77" s="405" t="s">
        <v>544</v>
      </c>
      <c r="GN77" s="409" t="s">
        <v>3018</v>
      </c>
      <c r="GO77" s="420" t="str">
        <f t="shared" si="58"/>
        <v>FLINTSL - MAGENTA</v>
      </c>
      <c r="GP77" s="409">
        <v>30</v>
      </c>
      <c r="GQ77" s="411">
        <f>IF(GP77=0,0,IF($LB77=70%,VLOOKUP($GO77,'Jan-2026 rates'!$L:$R,4,0),IF($LB77=65%,VLOOKUP($GO77,'Jan-2026 rates'!$L:$R,4,0),IF($LB77=40%,VLOOKUP($GO77,'Jan-2026 rates'!$L:$R,5,0),IF($LB77=30%,VLOOKUP($GO77,'Jan-2026 rates'!$L:$R,6,0),IF($LB77=100%,VLOOKUP($GO77,'Jan-2026 rates'!$L:$R,7,0),IF($LB77=60%,VLOOKUP($GO77,'Jan-2026 rates'!$L:$S,8,0),IF($LB77=80%,VLOOKUP($GO77,'Jan-2026 rates'!L:T,9,0),0))))))))</f>
        <v>0</v>
      </c>
      <c r="GR77" s="412"/>
      <c r="GS77" s="409"/>
      <c r="GT77" s="411">
        <f>IF(GS77=0,0,IF($LB77=70%,VLOOKUP($GO77,'Jan-2026 rates'!$L:$R,4,0),IF($LB77=65%,VLOOKUP($GO77,'Jan-2026 rates'!$L:$R,4,0),IF($LB77=40%,VLOOKUP($GO77,'Jan-2026 rates'!$L:$R,5,0),IF($LB77=30%,VLOOKUP($GO77,'Jan-2026 rates'!$L:$R,6,0),IF($LB77=100%,VLOOKUP($GO77,'Jan-2026 rates'!$L:$R,7,0),IF($LB77=60%,VLOOKUP($GO77,'Jan-2026 rates'!$L:$S,8,0),IF($LB77=80%,VLOOKUP($GO77,'Jan-2026 rates'!L:T,9,0),0))))))))</f>
        <v>0</v>
      </c>
      <c r="GU77" s="413">
        <v>26507000017</v>
      </c>
      <c r="GV77" s="413"/>
      <c r="GW77" s="412"/>
      <c r="GX77" s="412"/>
      <c r="GY77" s="412"/>
      <c r="GZ77" s="412"/>
      <c r="HA77" s="412"/>
      <c r="HB77" s="412"/>
      <c r="HC77" s="409">
        <v>3</v>
      </c>
      <c r="HD77" s="398" t="e">
        <f>IF(HC77=0,0,IF(LEN(GU77)=11,_xlfn.XLOOKUP(GU77,'Dispensed Ink Rates'!C:C,'Dispensed Ink Rates'!CS:CS),VLOOKUP(GU77,'Jan-2026 rates'!$E:$F,2,0)))</f>
        <v>#N/A</v>
      </c>
      <c r="HE77" s="409"/>
      <c r="HF77" s="398">
        <f>IF(HE77=0,0,IF(LEN(GV77)=11,_xlfn.XLOOKUP(GV77,'Dispensed Ink Rates'!C:C,'Dispensed Ink Rates'!CS:CS),VLOOKUP(GV77,'Jan-2026 rates'!$E:$F,2,0)))</f>
        <v>0</v>
      </c>
      <c r="HG77" s="409"/>
      <c r="HH77" s="398">
        <f>IF(HG77=0,0,IF(LEN(GW77)=11,_xlfn.XLOOKUP(GW77,'Dispensed Ink Rates'!C:C,'Dispensed Ink Rates'!CS:CS),VLOOKUP(GW77,'Jan-2026 rates'!$E:$F,2,0)))</f>
        <v>0</v>
      </c>
      <c r="HI77" s="409"/>
      <c r="HJ77" s="398">
        <f>IF(HI77=0,0,IF(LEN(GX77)=11,_xlfn.XLOOKUP(GX77,'Dispensed Ink Rates'!C:C,'Dispensed Ink Rates'!CS:CS),VLOOKUP(GX77,'Jan-2026 rates'!$E:$F,2,0)))</f>
        <v>0</v>
      </c>
      <c r="HK77" s="409"/>
      <c r="HL77" s="398">
        <f>IF(HK77=0,0,IF(LEN(GY77)=11,_xlfn.XLOOKUP(GY77,'Dispensed Ink Rates'!C:C,'Dispensed Ink Rates'!CS:CS),VLOOKUP(GY77,'Jan-2026 rates'!$E:$F,2,0)))</f>
        <v>0</v>
      </c>
      <c r="HM77" s="409"/>
      <c r="HN77" s="398">
        <f>IF(HM77=0,0,IF(LEN(GZ77)=11,_xlfn.XLOOKUP(GZ77,'Dispensed Ink Rates'!C:C,'Dispensed Ink Rates'!CS:CS),VLOOKUP(GZ77,'Jan-2026 rates'!$E:$F,2,0)))</f>
        <v>0</v>
      </c>
      <c r="HO77" s="409"/>
      <c r="HP77" s="398">
        <f>IF(HO77=0,0,IF(LEN(HA77)=11,_xlfn.XLOOKUP(HA77,'Dispensed Ink Rates'!C:C,'Dispensed Ink Rates'!CS:CS),VLOOKUP(HA77,'Jan-2026 rates'!$E:$F,2,0)))</f>
        <v>0</v>
      </c>
      <c r="HQ77" s="409"/>
      <c r="HR77" s="398">
        <f>IF(HQ77=0,0,IF(LEN(HB77)=11,_xlfn.XLOOKUP(HB77,'Dispensed Ink Rates'!C:C,'Dispensed Ink Rates'!CS:CS),VLOOKUP(HB77,'Jan-2026 rates'!$E:$F,2,0)))</f>
        <v>0</v>
      </c>
      <c r="HS77" s="409" t="s">
        <v>1443</v>
      </c>
      <c r="HT77" s="409">
        <v>30</v>
      </c>
      <c r="HU77" s="411">
        <f t="shared" si="97"/>
        <v>0</v>
      </c>
      <c r="HV77" s="411">
        <f t="shared" si="98"/>
        <v>8.8500000000000014</v>
      </c>
      <c r="HW77" s="414">
        <f t="shared" si="99"/>
        <v>0</v>
      </c>
      <c r="HX77" s="405" t="s">
        <v>545</v>
      </c>
      <c r="HY77" s="409" t="s">
        <v>3019</v>
      </c>
      <c r="HZ77" s="420" t="str">
        <f t="shared" si="59"/>
        <v>FLINTSL - YELLOW</v>
      </c>
      <c r="IA77" s="409">
        <v>28</v>
      </c>
      <c r="IB77" s="411">
        <f>IF(IA77=0,0,IF($LB77=70%,VLOOKUP($HZ77,'Jan-2026 rates'!$L:$R,4,0),IF($LB77=65%,VLOOKUP($HZ77,'Jan-2026 rates'!$L:$R,4,0),IF($LB77=40%,VLOOKUP($HZ77,'Jan-2026 rates'!$L:$R,5,0),IF($LB77=30%,VLOOKUP($HZ77,'Jan-2026 rates'!$L:$R,6,0),IF($LB77=100%,VLOOKUP($HZ77,'Jan-2026 rates'!$L:$R,7,0),IF($LB77=60%,VLOOKUP($HZ77,'Jan-2026 rates'!$L:$S,8,0),IF($LB77=80%,VLOOKUP($HZ77,'Jan-2026 rates'!L:T,9,0),0))))))))</f>
        <v>0</v>
      </c>
      <c r="IC77" s="412"/>
      <c r="ID77" s="409"/>
      <c r="IE77" s="411">
        <f>IF(ID77=0,0,IF($LB77=70%,VLOOKUP($HZ77,'Jan-2026 rates'!$L:$R,4,0),IF($LB77=65%,VLOOKUP($HZ77,'Jan-2026 rates'!$L:$R,4,0),IF($LB77=40%,VLOOKUP($HZ77,'Jan-2026 rates'!$L:$R,5,0),IF($LB77=30%,VLOOKUP($HZ77,'Jan-2026 rates'!$L:$R,6,0),IF($LB77=100%,VLOOKUP($HZ77,'Jan-2026 rates'!$L:$R,7,0),IF($LB77=60%,VLOOKUP($HZ77,'Jan-2026 rates'!$L:$S,8,0),IF($LB77=80%,VLOOKUP($HZ77,'Jan-2026 rates'!L:T,9,0),0))))))))</f>
        <v>0</v>
      </c>
      <c r="IF77" s="412">
        <v>26505000033</v>
      </c>
      <c r="IG77" s="413" t="s">
        <v>1266</v>
      </c>
      <c r="IH77" s="412"/>
      <c r="II77" s="412"/>
      <c r="IJ77" s="412"/>
      <c r="IK77" s="412"/>
      <c r="IL77" s="412"/>
      <c r="IM77" s="412"/>
      <c r="IN77" s="409">
        <v>20</v>
      </c>
      <c r="IO77" s="398" t="e">
        <f>IF(IN77=0,0,IF(LEN(IF77)=11,_xlfn.XLOOKUP(IF77,'Dispensed Ink Rates'!C:C,'Dispensed Ink Rates'!CS:CS),VLOOKUP(IF77,'Jan-2026 rates'!$E:$F,2,0)))</f>
        <v>#N/A</v>
      </c>
      <c r="IP77" s="409">
        <v>20</v>
      </c>
      <c r="IQ77" s="398">
        <f>IF(IP77=0,0,IF(LEN(IG77)=11,_xlfn.XLOOKUP(IG77,'Dispensed Ink Rates'!C:C,'Dispensed Ink Rates'!CS:CS),VLOOKUP(IG77,'Jan-2026 rates'!$E:$F,2,0)))</f>
        <v>0</v>
      </c>
      <c r="IR77" s="409"/>
      <c r="IS77" s="398">
        <f>IF(IR77=0,0,IF(LEN(IH77)=11,_xlfn.XLOOKUP(IH77,'Dispensed Ink Rates'!C:C,'Dispensed Ink Rates'!CS:CS),VLOOKUP(IH77,'Jan-2026 rates'!$E:$F,2,0)))</f>
        <v>0</v>
      </c>
      <c r="IT77" s="409"/>
      <c r="IU77" s="398">
        <f>IF(IT77=0,0,IF(LEN(II77)=11,_xlfn.XLOOKUP(II77,'Dispensed Ink Rates'!C:C,'Dispensed Ink Rates'!CS:CS),VLOOKUP(II77,'Jan-2026 rates'!$E:$F,2,0)))</f>
        <v>0</v>
      </c>
      <c r="IV77" s="409"/>
      <c r="IW77" s="398">
        <f>IF(IV77=0,0,IF(LEN(IJ77)=11,_xlfn.XLOOKUP(IJ77,'Dispensed Ink Rates'!C:C,'Dispensed Ink Rates'!CS:CS),VLOOKUP(IJ77,'Jan-2026 rates'!$E:$F,2,0)))</f>
        <v>0</v>
      </c>
      <c r="IX77" s="409"/>
      <c r="IY77" s="398">
        <f>IF(IX77=0,0,IF(LEN(IK77)=11,_xlfn.XLOOKUP(IK77,'Dispensed Ink Rates'!C:C,'Dispensed Ink Rates'!CS:CS),VLOOKUP(IK77,'Jan-2026 rates'!$E:$F,2,0)))</f>
        <v>0</v>
      </c>
      <c r="IZ77" s="409"/>
      <c r="JA77" s="398">
        <f>IF(IZ77=0,0,IF(LEN(IL77)=11,_xlfn.XLOOKUP(IL77,'Dispensed Ink Rates'!C:C,'Dispensed Ink Rates'!CS:CS),VLOOKUP(IL77,'Jan-2026 rates'!$E:$F,2,0)))</f>
        <v>0</v>
      </c>
      <c r="JB77" s="409"/>
      <c r="JC77" s="398">
        <f>IF(JB77=0,0,IF(LEN(IM77)=11,_xlfn.XLOOKUP(IM77,'Dispensed Ink Rates'!C:C,'Dispensed Ink Rates'!CS:CS),VLOOKUP(IM77,'Jan-2026 rates'!$E:$F,2,0)))</f>
        <v>0</v>
      </c>
      <c r="JD77" s="409" t="s">
        <v>1443</v>
      </c>
      <c r="JE77" s="409">
        <v>25</v>
      </c>
      <c r="JF77" s="411">
        <f t="shared" si="100"/>
        <v>0</v>
      </c>
      <c r="JG77" s="411">
        <f t="shared" si="101"/>
        <v>91.75</v>
      </c>
      <c r="JH77" s="410">
        <f t="shared" si="102"/>
        <v>0</v>
      </c>
      <c r="JI77" s="405" t="s">
        <v>856</v>
      </c>
      <c r="JJ77" s="409" t="s">
        <v>3020</v>
      </c>
      <c r="JK77" s="420" t="str">
        <f t="shared" si="60"/>
        <v>FLINTSL - WHITE</v>
      </c>
      <c r="JL77" s="409">
        <v>30</v>
      </c>
      <c r="JM77" s="411">
        <f>IF(JL77=0,0,IF($LB77=70%,VLOOKUP($JK77,'Jan-2026 rates'!$L:$R,4,0),IF($LB77=65%,VLOOKUP($JK77,'Jan-2026 rates'!$L:$R,4,0),IF($LB77=40%,VLOOKUP($JK77,'Jan-2026 rates'!$L:$R,5,0),IF($LB77=30%,VLOOKUP($JK77,'Jan-2026 rates'!$L:$R,6,0),IF($LB77=100%,VLOOKUP($JK77,'Jan-2026 rates'!$L:$R,7,0),IF($LB77=60%,VLOOKUP($JK77,'Jan-2026 rates'!$L:$S,8,0),IF($LB77=80%,VLOOKUP($JK77,'Jan-2026 rates'!L:T,9,0),0))))))))</f>
        <v>0</v>
      </c>
      <c r="JN77" s="412"/>
      <c r="JO77" s="409"/>
      <c r="JP77" s="411">
        <f>IF(JO77=0,0,IF($LB77=70%,VLOOKUP($JK77,'Jan-2026 rates'!$L:$R,4,0),IF($LB77=65%,VLOOKUP($JK77,'Jan-2026 rates'!$L:$R,4,0),IF($LB77=40%,VLOOKUP($JK77,'Jan-2026 rates'!$L:$R,5,0),IF($LB77=30%,VLOOKUP($JK77,'Jan-2026 rates'!$L:$R,6,0),IF($LB77=100%,VLOOKUP($JK77,'Jan-2026 rates'!$L:$R,7,0),IF($LB77=60%,VLOOKUP($JK77,'Jan-2026 rates'!$L:$S,8,0),IF($LB77=80%,VLOOKUP($JK77,'Jan-2026 rates'!L:T,9,0),0))))))))</f>
        <v>0</v>
      </c>
      <c r="JQ77" s="413" t="s">
        <v>484</v>
      </c>
      <c r="JR77" s="412"/>
      <c r="JS77" s="413"/>
      <c r="JT77" s="413"/>
      <c r="JU77" s="412"/>
      <c r="JV77" s="412"/>
      <c r="JW77" s="412"/>
      <c r="JX77" s="412"/>
      <c r="JY77" s="409">
        <f>50+20</f>
        <v>70</v>
      </c>
      <c r="JZ77" s="398">
        <f>IF(JY77=0,0,IF(LEN(JQ77)=11,_xlfn.XLOOKUP(JQ77,'Dispensed Ink Rates'!C:C,'Dispensed Ink Rates'!CS:CS),VLOOKUP(JQ77,'Jan-2026 rates'!$E:$F,2,0)))</f>
        <v>0</v>
      </c>
      <c r="KA77" s="409"/>
      <c r="KB77" s="398">
        <f>IF(KA77=0,0,IF(LEN(JR77)=11,_xlfn.XLOOKUP(JR77,'Dispensed Ink Rates'!C:C,'Dispensed Ink Rates'!CS:CS),VLOOKUP(JR77,'Jan-2026 rates'!$E:$F,2,0)))</f>
        <v>0</v>
      </c>
      <c r="KC77" s="409"/>
      <c r="KD77" s="398">
        <f>IF(KC77=0,0,IF(LEN(JS77)=11,_xlfn.XLOOKUP(JS77,'Dispensed Ink Rates'!C:C,'Dispensed Ink Rates'!CS:CS),VLOOKUP(JS77,'Jan-2026 rates'!$E:$F,2,0)))</f>
        <v>0</v>
      </c>
      <c r="KE77" s="409"/>
      <c r="KF77" s="398">
        <f>IF(KE77=0,0,IF(LEN(JT77)=11,_xlfn.XLOOKUP(JT77,'Dispensed Ink Rates'!C:C,'Dispensed Ink Rates'!CS:CS),VLOOKUP(JT77,'Jan-2026 rates'!$E:$F,2,0)))</f>
        <v>0</v>
      </c>
      <c r="KG77" s="409"/>
      <c r="KH77" s="398">
        <f>IF(KG77=0,0,IF(LEN(JU77)=11,_xlfn.XLOOKUP(JU77,'Dispensed Ink Rates'!C:C,'Dispensed Ink Rates'!CS:CS),VLOOKUP(JU77,'Jan-2026 rates'!$E:$F,2,0)))</f>
        <v>0</v>
      </c>
      <c r="KI77" s="409"/>
      <c r="KJ77" s="398">
        <f>IF(KI77=0,0,IF(LEN(JV77)=11,_xlfn.XLOOKUP(JV77,'Dispensed Ink Rates'!C:C,'Dispensed Ink Rates'!CS:CS),VLOOKUP(JV77,'Jan-2026 rates'!$E:$F,2,0)))</f>
        <v>0</v>
      </c>
      <c r="KK77" s="409"/>
      <c r="KL77" s="398">
        <f>IF(KK77=0,0,IF(LEN(JW77)=11,_xlfn.XLOOKUP(JW77,'Dispensed Ink Rates'!C:C,'Dispensed Ink Rates'!CS:CS),VLOOKUP(JW77,'Jan-2026 rates'!$E:$F,2,0)))</f>
        <v>0</v>
      </c>
      <c r="KM77" s="428"/>
      <c r="KN77" s="398">
        <f>IF(KM77=0,0,IF(LEN(JX77)=11,_xlfn.XLOOKUP(JX77,'Dispensed Ink Rates'!C:C,'Dispensed Ink Rates'!CS:CS),VLOOKUP(JX77,'Jan-2026 rates'!$E:$F,2,0)))</f>
        <v>0</v>
      </c>
      <c r="KO77" s="409" t="s">
        <v>1443</v>
      </c>
      <c r="KP77" s="409">
        <v>30</v>
      </c>
      <c r="KQ77" s="411">
        <f t="shared" si="103"/>
        <v>0</v>
      </c>
      <c r="KR77" s="411">
        <f t="shared" si="104"/>
        <v>148</v>
      </c>
      <c r="KS77" s="410">
        <f t="shared" si="105"/>
        <v>0</v>
      </c>
      <c r="KT77" s="409">
        <v>2</v>
      </c>
      <c r="KU77" s="409">
        <v>0</v>
      </c>
      <c r="KV77" s="409">
        <v>4</v>
      </c>
      <c r="KW77" s="409">
        <v>4</v>
      </c>
      <c r="KX77" s="409">
        <v>2</v>
      </c>
      <c r="KY77" s="409">
        <v>3</v>
      </c>
      <c r="KZ77" s="409">
        <v>25</v>
      </c>
      <c r="LA77" s="409">
        <f>30+10</f>
        <v>40</v>
      </c>
      <c r="LB77" s="415">
        <v>0.8</v>
      </c>
      <c r="LC77" s="415">
        <v>0.2</v>
      </c>
      <c r="LD77" s="415"/>
      <c r="LE77" s="415"/>
      <c r="LF77" s="415"/>
      <c r="LG77" s="409">
        <v>0</v>
      </c>
      <c r="LH77" s="409">
        <f>40+30+64+16+6</f>
        <v>156</v>
      </c>
      <c r="LI77" s="409">
        <v>0</v>
      </c>
      <c r="LJ77" s="409">
        <v>0</v>
      </c>
      <c r="LK77" s="416">
        <f t="shared" si="61"/>
        <v>156</v>
      </c>
      <c r="LL77" s="416">
        <f t="shared" si="62"/>
        <v>156</v>
      </c>
      <c r="LM77" s="417">
        <f t="shared" si="63"/>
        <v>124.80000000000001</v>
      </c>
      <c r="LN77" s="417">
        <f>VLOOKUP($LM$8,'Jan-2026 rates'!$H:$I,2,0)</f>
        <v>0</v>
      </c>
      <c r="LO77" s="417">
        <f t="shared" si="64"/>
        <v>31.200000000000003</v>
      </c>
      <c r="LP77" s="417">
        <f>VLOOKUP($LO$8,'Jan-2026 rates'!$H:$I,2,0)</f>
        <v>0</v>
      </c>
      <c r="LQ77" s="417">
        <f t="shared" si="65"/>
        <v>0</v>
      </c>
      <c r="LR77" s="417">
        <f>VLOOKUP($LQ$8,'Jan-2026 rates'!$H:$I,2,0)</f>
        <v>0</v>
      </c>
      <c r="LS77" s="417">
        <f t="shared" si="66"/>
        <v>0</v>
      </c>
      <c r="LT77" s="417">
        <f>VLOOKUP($LS$8,'Jan-2026 rates'!$H:$I,2,0)</f>
        <v>0</v>
      </c>
      <c r="LU77" s="417">
        <f t="shared" si="67"/>
        <v>0</v>
      </c>
      <c r="LV77" s="417">
        <f>VLOOKUP($LU$8,'Jan-2026 rates'!$H:$I,2,0)</f>
        <v>0</v>
      </c>
      <c r="LW77" s="417">
        <f t="shared" si="68"/>
        <v>0</v>
      </c>
      <c r="LX77" s="417">
        <f t="shared" si="69"/>
        <v>0</v>
      </c>
      <c r="LY77" s="418">
        <f t="shared" si="70"/>
        <v>0</v>
      </c>
      <c r="LZ77" s="417"/>
      <c r="MA77" s="435">
        <f t="shared" si="71"/>
        <v>133</v>
      </c>
      <c r="MB77" s="282">
        <f t="shared" si="72"/>
        <v>300</v>
      </c>
      <c r="MC77" s="283">
        <v>32</v>
      </c>
      <c r="MD77" s="284" t="str">
        <f t="shared" si="73"/>
        <v>FLINTSLFLINTSLFLINTSLFLINTSLFLINTSLFLINTSLFLINTSLFLINTSL</v>
      </c>
      <c r="ME77" s="293" t="str">
        <f t="shared" si="74"/>
        <v>+</v>
      </c>
      <c r="MF77" s="293" t="str">
        <f t="shared" si="75"/>
        <v>+</v>
      </c>
      <c r="MG77" s="293" t="str">
        <f t="shared" si="76"/>
        <v>+</v>
      </c>
      <c r="MH77" s="293" t="str">
        <f t="shared" si="77"/>
        <v>+</v>
      </c>
      <c r="MI77" s="293" t="str">
        <f t="shared" si="78"/>
        <v>+</v>
      </c>
      <c r="MJ77" s="293" t="str">
        <f t="shared" si="79"/>
        <v>+</v>
      </c>
      <c r="MK77" s="293" t="str">
        <f t="shared" si="80"/>
        <v>+</v>
      </c>
      <c r="ML77" s="293" t="str">
        <f t="shared" si="81"/>
        <v>+</v>
      </c>
      <c r="MM77" s="3" t="b">
        <f t="array" ref="MM77">OR(ME77:ML77="-")</f>
        <v>0</v>
      </c>
      <c r="MN77" s="285"/>
      <c r="MO77" s="401"/>
      <c r="MP77" s="286"/>
      <c r="MQ77" s="286"/>
      <c r="MR77" s="402"/>
      <c r="MS77" s="400"/>
      <c r="NH77" s="422"/>
      <c r="NJ77" s="421"/>
    </row>
    <row r="78" spans="1:374" s="1" customFormat="1" ht="16.5">
      <c r="A78" s="403">
        <v>46027</v>
      </c>
      <c r="B78" s="404" t="s">
        <v>1018</v>
      </c>
      <c r="C78" s="405" t="s">
        <v>3021</v>
      </c>
      <c r="D78" s="406">
        <v>33</v>
      </c>
      <c r="E78" s="404">
        <v>1018</v>
      </c>
      <c r="F78" s="407">
        <v>52400</v>
      </c>
      <c r="G78" s="407" t="s">
        <v>1016</v>
      </c>
      <c r="H78" s="408" t="s">
        <v>1017</v>
      </c>
      <c r="I78" s="409">
        <v>1.86</v>
      </c>
      <c r="J78" s="405" t="s">
        <v>543</v>
      </c>
      <c r="K78" s="404" t="s">
        <v>3022</v>
      </c>
      <c r="L78" s="419" t="str">
        <f t="shared" si="54"/>
        <v>FLINTSL - BLACK</v>
      </c>
      <c r="M78" s="404">
        <v>29</v>
      </c>
      <c r="N78" s="410">
        <f>IF(M78=0,0,IF($LB78=70%,VLOOKUP($L78,'Jan-2026 rates'!$L:$R,4,0),IF($LB78=65%,VLOOKUP($L78,'Jan-2026 rates'!$L:$R,4,0),IF($LB78=40%,VLOOKUP($L78,'Jan-2026 rates'!$L:$R,5,0),IF($LB78=30%,VLOOKUP($L78,'Jan-2026 rates'!$L:$R,6,0),IF($LB78=100%,VLOOKUP($L78,'Jan-2026 rates'!$L:$R,7,0),IF($LB78=60%,VLOOKUP($L78,'Jan-2026 rates'!$L:$S,8,0),IF($LB78=80%,VLOOKUP($L78,'Jan-2026 rates'!L:T,9,0),0))))))))</f>
        <v>0</v>
      </c>
      <c r="O78" s="406"/>
      <c r="P78" s="404"/>
      <c r="Q78" s="410">
        <f>IF(P78=0,0,IF($LB78=70%,VLOOKUP($L78,'Jan-2026 rates'!$L:$R,4,0),IF($LB78=65%,VLOOKUP($L78,'Jan-2026 rates'!$L:$R,4,0),IF($LB78=40%,VLOOKUP($L78,'Jan-2026 rates'!$L:$R,5,0),IF($LB78=30%,VLOOKUP($L78,'Jan-2026 rates'!$L:$R,6,0),IF($LB78=100%,VLOOKUP($L78,'Jan-2026 rates'!$L:$R,7,0),IF($LB78=60%,VLOOKUP($L78,'Jan-2026 rates'!$L:$S,8,0),IF($LB78=80%,VLOOKUP($L78,'Jan-2026 rates'!L:T,9,0),0))))))))</f>
        <v>0</v>
      </c>
      <c r="R78" s="406">
        <v>26506000005</v>
      </c>
      <c r="S78" s="406"/>
      <c r="T78" s="406"/>
      <c r="U78" s="406"/>
      <c r="V78" s="406"/>
      <c r="W78" s="406"/>
      <c r="X78" s="406"/>
      <c r="Y78" s="406"/>
      <c r="Z78" s="404">
        <v>6</v>
      </c>
      <c r="AA78" s="398" t="e">
        <f>IF(Z78=0,0,IF(LEN(R78)=11,_xlfn.XLOOKUP(R78,'Dispensed Ink Rates'!C:C,'Dispensed Ink Rates'!CS:CS),VLOOKUP(R78,'Jan-2026 rates'!$E:$F,2,0)))</f>
        <v>#N/A</v>
      </c>
      <c r="AB78" s="404"/>
      <c r="AC78" s="398">
        <f>IF(AB78=0,0,IF(LEN(S78)=11,_xlfn.XLOOKUP(S78,'Dispensed Ink Rates'!C:C,'Dispensed Ink Rates'!CS:CS),VLOOKUP(S78,'Jan-2026 rates'!$E:$F,2,0)))</f>
        <v>0</v>
      </c>
      <c r="AD78" s="404"/>
      <c r="AE78" s="398">
        <f>IF(AD78=0,0,IF(LEN(T78)=11,_xlfn.XLOOKUP(T78,'Dispensed Ink Rates'!C:C,'Dispensed Ink Rates'!CS:CS),VLOOKUP(T78,'Jan-2026 rates'!$E:$F,2,0)))</f>
        <v>0</v>
      </c>
      <c r="AF78" s="404"/>
      <c r="AG78" s="398">
        <f>IF(AF78=0,0,IF(LEN(U78)=11,_xlfn.XLOOKUP(U78,'Dispensed Ink Rates'!C:C,'Dispensed Ink Rates'!CS:CS),VLOOKUP(U78,'Jan-2026 rates'!$E:$F,2,0)))</f>
        <v>0</v>
      </c>
      <c r="AH78" s="404"/>
      <c r="AI78" s="398">
        <f>IF(AH78=0,0,IF(LEN(V78)=11,_xlfn.XLOOKUP(V78,'Dispensed Ink Rates'!C:C,'Dispensed Ink Rates'!CS:CS),VLOOKUP(V78,'Jan-2026 rates'!$E:$F,2,0)))</f>
        <v>0</v>
      </c>
      <c r="AJ78" s="404"/>
      <c r="AK78" s="398">
        <f>IF(AJ78=0,0,IF(LEN(W78)=11,_xlfn.XLOOKUP(W78,'Dispensed Ink Rates'!C:C,'Dispensed Ink Rates'!CS:CS),VLOOKUP(W78,'Jan-2026 rates'!$E:$F,2,0)))</f>
        <v>0</v>
      </c>
      <c r="AL78" s="404"/>
      <c r="AM78" s="398">
        <f>IF(AL78=0,0,IF(LEN(X78)=11,_xlfn.XLOOKUP(X78,'Dispensed Ink Rates'!C:C,'Dispensed Ink Rates'!CS:CS),VLOOKUP(X78,'Jan-2026 rates'!$E:$F,2,0)))</f>
        <v>0</v>
      </c>
      <c r="AN78" s="404"/>
      <c r="AO78" s="398">
        <f>IF(AN78=0,0,IF(LEN(Y78)=11,_xlfn.XLOOKUP(Y78,'Dispensed Ink Rates'!C:C,'Dispensed Ink Rates'!CS:CS),VLOOKUP(Y78,'Jan-2026 rates'!$E:$F,2,0)))</f>
        <v>0</v>
      </c>
      <c r="AP78" s="409" t="s">
        <v>1443</v>
      </c>
      <c r="AQ78" s="409">
        <v>28</v>
      </c>
      <c r="AR78" s="410">
        <f t="shared" si="82"/>
        <v>0</v>
      </c>
      <c r="AS78" s="411">
        <f t="shared" si="83"/>
        <v>19.447552447552447</v>
      </c>
      <c r="AT78" s="410">
        <f t="shared" si="84"/>
        <v>0</v>
      </c>
      <c r="AU78" s="405" t="s">
        <v>546</v>
      </c>
      <c r="AV78" s="409" t="s">
        <v>3023</v>
      </c>
      <c r="AW78" s="420" t="str">
        <f t="shared" si="53"/>
        <v>FLINTSL - REFLEX BLUE</v>
      </c>
      <c r="AX78" s="409">
        <v>32</v>
      </c>
      <c r="AY78" s="411">
        <f>IF(AX78=0,0,IF($LB78=70%,VLOOKUP($AW78,'Jan-2026 rates'!$L:$R,4,0),IF($LB78=65%,VLOOKUP($AW78,'Jan-2026 rates'!$L:$R,4,0),IF($LB78=40%,VLOOKUP($AW78,'Jan-2026 rates'!$L:$R,5,0),IF($LB78=30%,VLOOKUP($AW78,'Jan-2026 rates'!$L:$R,6,0),IF($LB78=100%,VLOOKUP($AW78,'Jan-2026 rates'!$L:$R,7,0),IF($LB78=60%,VLOOKUP($AW78,'Jan-2026 rates'!$L:$S,8,0),IF($LB78=80%,VLOOKUP($AW78,'Jan-2026 rates'!L:T,9,0),0))))))))</f>
        <v>0</v>
      </c>
      <c r="AZ78" s="412"/>
      <c r="BA78" s="409"/>
      <c r="BB78" s="411">
        <f>IF(BA78=0,0,IF($LB78=70%,VLOOKUP($AW78,'Jan-2026 rates'!$L:$R,4,0),IF($LB78=65%,VLOOKUP($AW78,'Jan-2026 rates'!$L:$R,4,0),IF($LB78=40%,VLOOKUP($AW78,'Jan-2026 rates'!$L:$R,5,0),IF($LB78=30%,VLOOKUP($AW78,'Jan-2026 rates'!$L:$R,6,0),IF($LB78=100%,VLOOKUP($AW78,'Jan-2026 rates'!$L:$R,7,0),IF($LB78=60%,VLOOKUP($AW78,'Jan-2026 rates'!$L:$S,8,0),IF($LB78=80%,VLOOKUP($AW78,'Jan-2026 rates'!L:T,9,0),0))))))))</f>
        <v>0</v>
      </c>
      <c r="BC78" s="413">
        <v>26504000001</v>
      </c>
      <c r="BD78" s="412"/>
      <c r="BE78" s="412"/>
      <c r="BF78" s="413"/>
      <c r="BG78" s="412"/>
      <c r="BH78" s="412"/>
      <c r="BI78" s="412"/>
      <c r="BJ78" s="412"/>
      <c r="BK78" s="409">
        <v>2</v>
      </c>
      <c r="BL78" s="398" t="e">
        <f>IF(BK78=0,0,IF(LEN(BC78)=11,_xlfn.XLOOKUP(BC78,'Dispensed Ink Rates'!C:C,'Dispensed Ink Rates'!CS:CS),VLOOKUP(BC78,'Jan-2026 rates'!$E:$F,2,0)))</f>
        <v>#N/A</v>
      </c>
      <c r="BM78" s="409"/>
      <c r="BN78" s="398">
        <f>IF(BM78=0,0,IF(LEN(BD78)=11,_xlfn.XLOOKUP(BD78,'Dispensed Ink Rates'!C:C,'Dispensed Ink Rates'!CS:CS),VLOOKUP(BD78,'Jan-2026 rates'!$E:$F,2,0)))</f>
        <v>0</v>
      </c>
      <c r="BO78" s="409"/>
      <c r="BP78" s="398">
        <f>IF(BO78=0,0,IF(LEN(BE78)=11,_xlfn.XLOOKUP(BE78,'Dispensed Ink Rates'!C:C,'Dispensed Ink Rates'!CS:CS),VLOOKUP(BE78,'Jan-2026 rates'!$E:$F,2,0)))</f>
        <v>0</v>
      </c>
      <c r="BQ78" s="409"/>
      <c r="BR78" s="398">
        <f>IF(BQ78=0,0,IF(LEN(BF78)=11,_xlfn.XLOOKUP(BF78,'Dispensed Ink Rates'!C:C,'Dispensed Ink Rates'!CS:CS),VLOOKUP(BF78,'Jan-2026 rates'!$E:$F,2,0)))</f>
        <v>0</v>
      </c>
      <c r="BS78" s="409"/>
      <c r="BT78" s="398">
        <f>IF(BS78=0,0,IF(LEN(BG78)=11,_xlfn.XLOOKUP(BG78,'Dispensed Ink Rates'!C:C,'Dispensed Ink Rates'!CS:CS),VLOOKUP(BG78,'Jan-2026 rates'!$E:$F,2,0)))</f>
        <v>0</v>
      </c>
      <c r="BU78" s="409"/>
      <c r="BV78" s="398">
        <f>IF(BU78=0,0,IF(LEN(BH78)=11,_xlfn.XLOOKUP(BH78,'Dispensed Ink Rates'!C:C,'Dispensed Ink Rates'!CS:CS),VLOOKUP(BH78,'Jan-2026 rates'!$E:$F,2,0)))</f>
        <v>0</v>
      </c>
      <c r="BW78" s="409"/>
      <c r="BX78" s="398">
        <f>IF(BW78=0,0,IF(LEN(BI78)=11,_xlfn.XLOOKUP(BI78,'Dispensed Ink Rates'!C:C,'Dispensed Ink Rates'!CS:CS),VLOOKUP(BI78,'Jan-2026 rates'!$E:$F,2,0)))</f>
        <v>0</v>
      </c>
      <c r="BY78" s="409"/>
      <c r="BZ78" s="398">
        <f>IF(BY78=0,0,IF(LEN(BJ78)=11,_xlfn.XLOOKUP(BJ78,'Dispensed Ink Rates'!C:C,'Dispensed Ink Rates'!CS:CS),VLOOKUP(BJ78,'Jan-2026 rates'!$E:$F,2,0)))</f>
        <v>0</v>
      </c>
      <c r="CA78" s="409" t="s">
        <v>1443</v>
      </c>
      <c r="CB78" s="409">
        <v>27</v>
      </c>
      <c r="CC78" s="411">
        <f t="shared" si="85"/>
        <v>0</v>
      </c>
      <c r="CD78" s="411">
        <f t="shared" si="86"/>
        <v>19.447552447552447</v>
      </c>
      <c r="CE78" s="410">
        <f t="shared" si="87"/>
        <v>0</v>
      </c>
      <c r="CF78" s="404" t="s">
        <v>543</v>
      </c>
      <c r="CG78" s="409" t="s">
        <v>3022</v>
      </c>
      <c r="CH78" s="420" t="str">
        <f t="shared" si="55"/>
        <v>FLINTSL - BLACK</v>
      </c>
      <c r="CI78" s="409">
        <v>28</v>
      </c>
      <c r="CJ78" s="411">
        <f>IF(CI78=0,0,IF($LB78=70%,VLOOKUP($CH78,'Jan-2026 rates'!$L:$R,4,0),IF($LB78=65%,VLOOKUP($CH78,'Jan-2026 rates'!$L:$R,4,0),IF($LB78=40%,VLOOKUP($CH78,'Jan-2026 rates'!$L:$R,5,0),IF($LB78=30%,VLOOKUP($CH78,'Jan-2026 rates'!$L:$R,6,0),IF($LB78=100%,VLOOKUP($CH78,'Jan-2026 rates'!$L:$R,7,0),IF($LB78=60%,VLOOKUP($CH78,'Jan-2026 rates'!$L:$S,8,0),IF($LB78=80%,VLOOKUP($CH78,'Jan-2026 rates'!L:T,9,0),0))))))))</f>
        <v>0</v>
      </c>
      <c r="CK78" s="412" t="s">
        <v>3024</v>
      </c>
      <c r="CL78" s="409">
        <f>29+15</f>
        <v>44</v>
      </c>
      <c r="CM78" s="411">
        <f>IF(CL78=0,0,IF($LB78=70%,VLOOKUP($CH78,'Jan-2026 rates'!$L:$R,4,0),IF($LB78=65%,VLOOKUP($CH78,'Jan-2026 rates'!$L:$R,4,0),IF($LB78=40%,VLOOKUP($CH78,'Jan-2026 rates'!$L:$R,5,0),IF($LB78=30%,VLOOKUP($CH78,'Jan-2026 rates'!$L:$R,6,0),IF($LB78=100%,VLOOKUP($CH78,'Jan-2026 rates'!$L:$R,7,0),IF($LB78=60%,VLOOKUP($CH78,'Jan-2026 rates'!$L:$S,8,0),IF($LB78=80%,VLOOKUP($CH78,'Jan-2026 rates'!L:T,9,0),0))))))))</f>
        <v>0</v>
      </c>
      <c r="CN78" s="426">
        <v>26507000017</v>
      </c>
      <c r="CO78" s="427">
        <v>25863000007</v>
      </c>
      <c r="CP78" s="426">
        <v>25863000019</v>
      </c>
      <c r="CQ78" s="426"/>
      <c r="CR78" s="428"/>
      <c r="CS78" s="428"/>
      <c r="CT78" s="428"/>
      <c r="CU78" s="428"/>
      <c r="CV78" s="409">
        <v>30</v>
      </c>
      <c r="CW78" s="398" t="e">
        <f>IF(CV78=0,0,IF(LEN(CN78)=11,_xlfn.XLOOKUP(CN78,'Dispensed Ink Rates'!C:C,'Dispensed Ink Rates'!CS:CS),VLOOKUP(CN78,'Jan-2026 rates'!$E:$F,2,0)))</f>
        <v>#N/A</v>
      </c>
      <c r="CX78" s="409">
        <v>20</v>
      </c>
      <c r="CY78" s="398" t="e">
        <f>IF(CX78=0,0,IF(LEN(CO78)=11,_xlfn.XLOOKUP(CO78,'Dispensed Ink Rates'!C:C,'Dispensed Ink Rates'!CS:CS),VLOOKUP(CO78,'Jan-2026 rates'!$E:$F,2,0)))</f>
        <v>#N/A</v>
      </c>
      <c r="CZ78" s="409">
        <v>10</v>
      </c>
      <c r="DA78" s="398" t="e">
        <f>IF(CZ78=0,0,IF(LEN(CP78)=11,_xlfn.XLOOKUP(CP78,'Dispensed Ink Rates'!C:C,'Dispensed Ink Rates'!CS:CS),VLOOKUP(CP78,'Jan-2026 rates'!$E:$F,2,0)))</f>
        <v>#N/A</v>
      </c>
      <c r="DB78" s="409"/>
      <c r="DC78" s="398">
        <f>IF(DB78=0,0,IF(LEN(CQ78)=11,_xlfn.XLOOKUP(CQ78,'Dispensed Ink Rates'!C:C,'Dispensed Ink Rates'!CS:CS),VLOOKUP(CQ78,'Jan-2026 rates'!$E:$F,2,0)))</f>
        <v>0</v>
      </c>
      <c r="DD78" s="409"/>
      <c r="DE78" s="398">
        <f>IF(DD78=0,0,IF(LEN(CR78)=11,_xlfn.XLOOKUP(CR78,'Dispensed Ink Rates'!C:C,'Dispensed Ink Rates'!CS:CS),VLOOKUP(CR78,'Jan-2026 rates'!$E:$F,2,0)))</f>
        <v>0</v>
      </c>
      <c r="DF78" s="409"/>
      <c r="DG78" s="398">
        <f>IF(DF78=0,0,IF(LEN(CS78)=11,_xlfn.XLOOKUP(CS78,'Dispensed Ink Rates'!C:C,'Dispensed Ink Rates'!CS:CS),VLOOKUP(CS78,'Jan-2026 rates'!$E:$F,2,0)))</f>
        <v>0</v>
      </c>
      <c r="DH78" s="409"/>
      <c r="DI78" s="398">
        <f>IF(DH78=0,0,IF(LEN(CT78)=11,_xlfn.XLOOKUP(CT78,'Dispensed Ink Rates'!C:C,'Dispensed Ink Rates'!CS:CS),VLOOKUP(CT78,'Jan-2026 rates'!$E:$F,2,0)))</f>
        <v>0</v>
      </c>
      <c r="DJ78" s="409"/>
      <c r="DK78" s="398">
        <f>IF(DJ78=0,0,IF(LEN(CU78)=11,_xlfn.XLOOKUP(CU78,'Dispensed Ink Rates'!C:C,'Dispensed Ink Rates'!CS:CS),VLOOKUP(CU78,'Jan-2026 rates'!$E:$F,2,0)))</f>
        <v>0</v>
      </c>
      <c r="DL78" s="409" t="s">
        <v>1443</v>
      </c>
      <c r="DM78" s="409">
        <v>25</v>
      </c>
      <c r="DN78" s="411">
        <f t="shared" si="88"/>
        <v>0</v>
      </c>
      <c r="DO78" s="411">
        <f t="shared" si="89"/>
        <v>169.23776223776224</v>
      </c>
      <c r="DP78" s="410">
        <f t="shared" si="90"/>
        <v>0</v>
      </c>
      <c r="DQ78" s="405" t="s">
        <v>855</v>
      </c>
      <c r="DR78" s="409" t="s">
        <v>3025</v>
      </c>
      <c r="DS78" s="420" t="str">
        <f t="shared" si="56"/>
        <v>FLINTSL - CYAN</v>
      </c>
      <c r="DT78" s="409">
        <v>30</v>
      </c>
      <c r="DU78" s="411">
        <f>IF(DT78=0,0,IF($LB78=70%,VLOOKUP($DS78,'Jan-2026 rates'!$L:$R,4,0),IF($LB78=65%,VLOOKUP($DS78,'Jan-2026 rates'!$L:$R,4,0),IF($LB78=40%,VLOOKUP($DS78,'Jan-2026 rates'!$L:$R,5,0),IF($LB78=30%,VLOOKUP($DS78,'Jan-2026 rates'!$L:$R,6,0),IF($LB78=100%,VLOOKUP($DS78,'Jan-2026 rates'!$L:$R,7,0),IF($LB78=60%,VLOOKUP($DS78,'Jan-2026 rates'!$L:$S,8,0),IF($LB78=80%,VLOOKUP($DS78,'Jan-2026 rates'!L:T,9,0),0))))))))</f>
        <v>0</v>
      </c>
      <c r="DV78" s="412"/>
      <c r="DW78" s="409"/>
      <c r="DX78" s="411">
        <f>IF(DW78=0,0,IF($LB78=70%,VLOOKUP($DS78,'Jan-2026 rates'!$L:$R,4,0),IF($LB78=65%,VLOOKUP($DS78,'Jan-2026 rates'!$L:$R,4,0),IF($LB78=40%,VLOOKUP($DS78,'Jan-2026 rates'!$L:$R,5,0),IF($LB78=30%,VLOOKUP($DS78,'Jan-2026 rates'!$L:$R,6,0),IF($LB78=100%,VLOOKUP($DS78,'Jan-2026 rates'!$L:$R,7,0),IF($LB78=60%,VLOOKUP($DS78,'Jan-2026 rates'!$L:$S,8,0),IF($LB78=80%,VLOOKUP($DS78,'Jan-2026 rates'!L:T,9,0),0))))))))</f>
        <v>0</v>
      </c>
      <c r="DY78" s="413">
        <v>26504000001</v>
      </c>
      <c r="DZ78" s="413" t="s">
        <v>1266</v>
      </c>
      <c r="EA78" s="412"/>
      <c r="EB78" s="412"/>
      <c r="EC78" s="412"/>
      <c r="ED78" s="412"/>
      <c r="EE78" s="412"/>
      <c r="EF78" s="412"/>
      <c r="EG78" s="409">
        <v>4</v>
      </c>
      <c r="EH78" s="398" t="e">
        <f>IF(EG78=0,0,IF(LEN(DY78)=11,_xlfn.XLOOKUP(DY78,'Dispensed Ink Rates'!C:C,'Dispensed Ink Rates'!CS:CS),VLOOKUP(DY78,'Jan-2026 rates'!$E:$F,2,0)))</f>
        <v>#N/A</v>
      </c>
      <c r="EI78" s="409">
        <v>2</v>
      </c>
      <c r="EJ78" s="398">
        <f>IF(EI78=0,0,IF(LEN(DZ78)=11,_xlfn.XLOOKUP(DZ78,'Dispensed Ink Rates'!C:C,'Dispensed Ink Rates'!CS:CS),VLOOKUP(DZ78,'Jan-2026 rates'!$E:$F,2,0)))</f>
        <v>0</v>
      </c>
      <c r="EK78" s="409"/>
      <c r="EL78" s="398">
        <f>IF(EK78=0,0,IF(LEN(EA78)=11,_xlfn.XLOOKUP(EA78,'Dispensed Ink Rates'!C:C,'Dispensed Ink Rates'!CS:CS),VLOOKUP(EA78,'Jan-2026 rates'!$E:$F,2,0)))</f>
        <v>0</v>
      </c>
      <c r="EM78" s="409"/>
      <c r="EN78" s="398">
        <f>IF(EM78=0,0,IF(LEN(EB78)=11,_xlfn.XLOOKUP(EB78,'Dispensed Ink Rates'!C:C,'Dispensed Ink Rates'!CS:CS),VLOOKUP(EB78,'Jan-2026 rates'!$E:$F,2,0)))</f>
        <v>0</v>
      </c>
      <c r="EO78" s="409"/>
      <c r="EP78" s="398">
        <f>IF(EO78=0,0,IF(LEN(EC78)=11,_xlfn.XLOOKUP(EC78,'Dispensed Ink Rates'!C:C,'Dispensed Ink Rates'!CS:CS),VLOOKUP(EC78,'Jan-2026 rates'!$E:$F,2,0)))</f>
        <v>0</v>
      </c>
      <c r="EQ78" s="409"/>
      <c r="ER78" s="398">
        <f>IF(EQ78=0,0,IF(LEN(ED78)=11,_xlfn.XLOOKUP(ED78,'Dispensed Ink Rates'!C:C,'Dispensed Ink Rates'!CS:CS),VLOOKUP(ED78,'Jan-2026 rates'!$E:$F,2,0)))</f>
        <v>0</v>
      </c>
      <c r="ES78" s="409"/>
      <c r="ET78" s="398">
        <f>IF(ES78=0,0,IF(LEN(EE78)=11,_xlfn.XLOOKUP(EE78,'Dispensed Ink Rates'!C:C,'Dispensed Ink Rates'!CS:CS),VLOOKUP(EE78,'Jan-2026 rates'!$E:$F,2,0)))</f>
        <v>0</v>
      </c>
      <c r="EU78" s="409"/>
      <c r="EV78" s="398">
        <f>IF(EU78=0,0,IF(LEN(EF78)=11,_xlfn.XLOOKUP(EF78,'Dispensed Ink Rates'!C:C,'Dispensed Ink Rates'!CS:CS),VLOOKUP(EF78,'Jan-2026 rates'!$E:$F,2,0)))</f>
        <v>0</v>
      </c>
      <c r="EW78" s="409" t="s">
        <v>1443</v>
      </c>
      <c r="EX78" s="409">
        <v>29</v>
      </c>
      <c r="EY78" s="411">
        <f t="shared" si="91"/>
        <v>0</v>
      </c>
      <c r="EZ78" s="411">
        <f t="shared" si="92"/>
        <v>19.447552447552447</v>
      </c>
      <c r="FA78" s="410">
        <f t="shared" si="93"/>
        <v>0</v>
      </c>
      <c r="FB78" s="405" t="s">
        <v>544</v>
      </c>
      <c r="FC78" s="409" t="s">
        <v>3026</v>
      </c>
      <c r="FD78" s="420" t="str">
        <f t="shared" si="57"/>
        <v>FLINTSL - MAGENTA</v>
      </c>
      <c r="FE78" s="409">
        <v>28</v>
      </c>
      <c r="FF78" s="411">
        <f>IF(FE78=0,0,IF($LB78=70%,VLOOKUP($FD78,'Jan-2026 rates'!$L:$R,4,0),IF($LB78=65%,VLOOKUP($FD78,'Jan-2026 rates'!$L:$R,4,0),IF($LB78=40%,VLOOKUP($FD78,'Jan-2026 rates'!$L:$R,5,0),IF($LB78=30%,VLOOKUP($FD78,'Jan-2026 rates'!$L:$R,6,0),IF($LB78=100%,VLOOKUP($FD78,'Jan-2026 rates'!$L:$R,7,0),IF($LB78=60%,VLOOKUP($FD78,'Jan-2026 rates'!$L:$S,8,0),IF($LB78=80%,VLOOKUP($FD78,'Jan-2026 rates'!L:T,9,0),0))))))))</f>
        <v>0</v>
      </c>
      <c r="FG78" s="412" t="s">
        <v>3027</v>
      </c>
      <c r="FH78" s="409">
        <v>27</v>
      </c>
      <c r="FI78" s="411">
        <f>IF(FH78=0,0,IF($LB78=70%,VLOOKUP($FD78,'Jan-2026 rates'!$L:$R,4,0),IF($LB78=65%,VLOOKUP($FD78,'Jan-2026 rates'!$L:$R,4,0),IF($LB78=40%,VLOOKUP($FD78,'Jan-2026 rates'!$L:$R,5,0),IF($LB78=30%,VLOOKUP($FD78,'Jan-2026 rates'!$L:$R,6,0),IF($LB78=100%,VLOOKUP($FD78,'Jan-2026 rates'!$L:$R,7,0),IF($LB78=60%,VLOOKUP($FD78,'Jan-2026 rates'!$L:$S,8,0),IF($LB78=80%,VLOOKUP($FD78,'Jan-2026 rates'!L:T,9,0),0))))))))</f>
        <v>0</v>
      </c>
      <c r="FJ78" s="413" t="s">
        <v>1266</v>
      </c>
      <c r="FK78" s="413"/>
      <c r="FL78" s="413"/>
      <c r="FM78" s="412"/>
      <c r="FN78" s="412"/>
      <c r="FO78" s="412"/>
      <c r="FP78" s="412"/>
      <c r="FQ78" s="412"/>
      <c r="FR78" s="409">
        <v>6</v>
      </c>
      <c r="FS78" s="398">
        <f>IF(FR78=0,0,IF(LEN(FJ78)=11,_xlfn.XLOOKUP(FJ78,'Dispensed Ink Rates'!C:C,'Dispensed Ink Rates'!CS:CS),VLOOKUP(FJ78,'Jan-2026 rates'!$E:$F,2,0)))</f>
        <v>0</v>
      </c>
      <c r="FT78" s="409"/>
      <c r="FU78" s="398">
        <f>IF(FT78=0,0,IF(LEN(FK78)=11,_xlfn.XLOOKUP(FK78,'Dispensed Ink Rates'!C:C,'Dispensed Ink Rates'!CS:CS),VLOOKUP(FK78,'Jan-2026 rates'!$E:$F,2,0)))</f>
        <v>0</v>
      </c>
      <c r="FV78" s="409"/>
      <c r="FW78" s="398">
        <f>IF(FV78=0,0,IF(LEN(FL78)=11,_xlfn.XLOOKUP(FL78,'Dispensed Ink Rates'!C:C,'Dispensed Ink Rates'!CS:CS),VLOOKUP(FL78,'Jan-2026 rates'!$E:$F,2,0)))</f>
        <v>0</v>
      </c>
      <c r="FX78" s="409"/>
      <c r="FY78" s="398">
        <f>IF(FX78=0,0,IF(LEN(FM78)=11,_xlfn.XLOOKUP(FM78,'Dispensed Ink Rates'!C:C,'Dispensed Ink Rates'!CS:CS),VLOOKUP(FM78,'Jan-2026 rates'!$E:$F,2,0)))</f>
        <v>0</v>
      </c>
      <c r="FZ78" s="409"/>
      <c r="GA78" s="398">
        <f>IF(FZ78=0,0,IF(LEN(FN78)=11,_xlfn.XLOOKUP(FN78,'Dispensed Ink Rates'!C:C,'Dispensed Ink Rates'!CS:CS),VLOOKUP(FN78,'Jan-2026 rates'!$E:$F,2,0)))</f>
        <v>0</v>
      </c>
      <c r="GB78" s="409"/>
      <c r="GC78" s="398">
        <f>IF(GB78=0,0,IF(LEN(FO78)=11,_xlfn.XLOOKUP(FO78,'Dispensed Ink Rates'!C:C,'Dispensed Ink Rates'!CS:CS),VLOOKUP(FO78,'Jan-2026 rates'!$E:$F,2,0)))</f>
        <v>0</v>
      </c>
      <c r="GD78" s="409"/>
      <c r="GE78" s="398">
        <f>IF(GD78=0,0,IF(LEN(FP78)=11,_xlfn.XLOOKUP(FP78,'Dispensed Ink Rates'!C:C,'Dispensed Ink Rates'!CS:CS),VLOOKUP(FP78,'Jan-2026 rates'!$E:$F,2,0)))</f>
        <v>0</v>
      </c>
      <c r="GF78" s="409"/>
      <c r="GG78" s="398">
        <f>IF(GF78=0,0,IF(LEN(FQ78)=11,_xlfn.XLOOKUP(FQ78,'Dispensed Ink Rates'!C:C,'Dispensed Ink Rates'!CS:CS),VLOOKUP(FQ78,'Jan-2026 rates'!$E:$F,2,0)))</f>
        <v>0</v>
      </c>
      <c r="GH78" s="409" t="s">
        <v>1443</v>
      </c>
      <c r="GI78" s="409">
        <v>20</v>
      </c>
      <c r="GJ78" s="411">
        <f t="shared" si="94"/>
        <v>0</v>
      </c>
      <c r="GK78" s="411">
        <f t="shared" si="95"/>
        <v>53.447552447552454</v>
      </c>
      <c r="GL78" s="410">
        <f t="shared" si="96"/>
        <v>0</v>
      </c>
      <c r="GM78" s="405" t="s">
        <v>545</v>
      </c>
      <c r="GN78" s="409" t="s">
        <v>3028</v>
      </c>
      <c r="GO78" s="420" t="str">
        <f t="shared" si="58"/>
        <v>FLINTSL - YELLOW</v>
      </c>
      <c r="GP78" s="409">
        <v>26</v>
      </c>
      <c r="GQ78" s="411">
        <f>IF(GP78=0,0,IF($LB78=70%,VLOOKUP($GO78,'Jan-2026 rates'!$L:$R,4,0),IF($LB78=65%,VLOOKUP($GO78,'Jan-2026 rates'!$L:$R,4,0),IF($LB78=40%,VLOOKUP($GO78,'Jan-2026 rates'!$L:$R,5,0),IF($LB78=30%,VLOOKUP($GO78,'Jan-2026 rates'!$L:$R,6,0),IF($LB78=100%,VLOOKUP($GO78,'Jan-2026 rates'!$L:$R,7,0),IF($LB78=60%,VLOOKUP($GO78,'Jan-2026 rates'!$L:$S,8,0),IF($LB78=80%,VLOOKUP($GO78,'Jan-2026 rates'!L:T,9,0),0))))))))</f>
        <v>0</v>
      </c>
      <c r="GR78" s="412"/>
      <c r="GS78" s="409"/>
      <c r="GT78" s="411">
        <f>IF(GS78=0,0,IF($LB78=70%,VLOOKUP($GO78,'Jan-2026 rates'!$L:$R,4,0),IF($LB78=65%,VLOOKUP($GO78,'Jan-2026 rates'!$L:$R,4,0),IF($LB78=40%,VLOOKUP($GO78,'Jan-2026 rates'!$L:$R,5,0),IF($LB78=30%,VLOOKUP($GO78,'Jan-2026 rates'!$L:$R,6,0),IF($LB78=100%,VLOOKUP($GO78,'Jan-2026 rates'!$L:$R,7,0),IF($LB78=60%,VLOOKUP($GO78,'Jan-2026 rates'!$L:$S,8,0),IF($LB78=80%,VLOOKUP($GO78,'Jan-2026 rates'!L:T,9,0),0))))))))</f>
        <v>0</v>
      </c>
      <c r="GU78" s="413">
        <v>26505000033</v>
      </c>
      <c r="GV78" s="413"/>
      <c r="GW78" s="412"/>
      <c r="GX78" s="412"/>
      <c r="GY78" s="412"/>
      <c r="GZ78" s="412"/>
      <c r="HA78" s="412"/>
      <c r="HB78" s="412"/>
      <c r="HC78" s="409">
        <v>10</v>
      </c>
      <c r="HD78" s="398" t="e">
        <f>IF(HC78=0,0,IF(LEN(GU78)=11,_xlfn.XLOOKUP(GU78,'Dispensed Ink Rates'!C:C,'Dispensed Ink Rates'!CS:CS),VLOOKUP(GU78,'Jan-2026 rates'!$E:$F,2,0)))</f>
        <v>#N/A</v>
      </c>
      <c r="HE78" s="409"/>
      <c r="HF78" s="398">
        <f>IF(HE78=0,0,IF(LEN(GV78)=11,_xlfn.XLOOKUP(GV78,'Dispensed Ink Rates'!C:C,'Dispensed Ink Rates'!CS:CS),VLOOKUP(GV78,'Jan-2026 rates'!$E:$F,2,0)))</f>
        <v>0</v>
      </c>
      <c r="HG78" s="409"/>
      <c r="HH78" s="398">
        <f>IF(HG78=0,0,IF(LEN(GW78)=11,_xlfn.XLOOKUP(GW78,'Dispensed Ink Rates'!C:C,'Dispensed Ink Rates'!CS:CS),VLOOKUP(GW78,'Jan-2026 rates'!$E:$F,2,0)))</f>
        <v>0</v>
      </c>
      <c r="HI78" s="409"/>
      <c r="HJ78" s="398">
        <f>IF(HI78=0,0,IF(LEN(GX78)=11,_xlfn.XLOOKUP(GX78,'Dispensed Ink Rates'!C:C,'Dispensed Ink Rates'!CS:CS),VLOOKUP(GX78,'Jan-2026 rates'!$E:$F,2,0)))</f>
        <v>0</v>
      </c>
      <c r="HK78" s="409"/>
      <c r="HL78" s="398">
        <f>IF(HK78=0,0,IF(LEN(GY78)=11,_xlfn.XLOOKUP(GY78,'Dispensed Ink Rates'!C:C,'Dispensed Ink Rates'!CS:CS),VLOOKUP(GY78,'Jan-2026 rates'!$E:$F,2,0)))</f>
        <v>0</v>
      </c>
      <c r="HM78" s="409"/>
      <c r="HN78" s="398">
        <f>IF(HM78=0,0,IF(LEN(GZ78)=11,_xlfn.XLOOKUP(GZ78,'Dispensed Ink Rates'!C:C,'Dispensed Ink Rates'!CS:CS),VLOOKUP(GZ78,'Jan-2026 rates'!$E:$F,2,0)))</f>
        <v>0</v>
      </c>
      <c r="HO78" s="409"/>
      <c r="HP78" s="398">
        <f>IF(HO78=0,0,IF(LEN(HA78)=11,_xlfn.XLOOKUP(HA78,'Dispensed Ink Rates'!C:C,'Dispensed Ink Rates'!CS:CS),VLOOKUP(HA78,'Jan-2026 rates'!$E:$F,2,0)))</f>
        <v>0</v>
      </c>
      <c r="HQ78" s="409"/>
      <c r="HR78" s="398">
        <f>IF(HQ78=0,0,IF(LEN(HB78)=11,_xlfn.XLOOKUP(HB78,'Dispensed Ink Rates'!C:C,'Dispensed Ink Rates'!CS:CS),VLOOKUP(HB78,'Jan-2026 rates'!$E:$F,2,0)))</f>
        <v>0</v>
      </c>
      <c r="HS78" s="409" t="s">
        <v>1443</v>
      </c>
      <c r="HT78" s="409">
        <v>32</v>
      </c>
      <c r="HU78" s="411">
        <f t="shared" si="97"/>
        <v>0</v>
      </c>
      <c r="HV78" s="411">
        <f t="shared" si="98"/>
        <v>23.91608391608392</v>
      </c>
      <c r="HW78" s="414">
        <f t="shared" si="99"/>
        <v>0</v>
      </c>
      <c r="HX78" s="405" t="s">
        <v>856</v>
      </c>
      <c r="HY78" s="409" t="s">
        <v>3029</v>
      </c>
      <c r="HZ78" s="420" t="str">
        <f t="shared" si="59"/>
        <v>FLINTSL - WHITE</v>
      </c>
      <c r="IA78" s="409">
        <v>24</v>
      </c>
      <c r="IB78" s="411">
        <f>IF(IA78=0,0,IF($LB78=70%,VLOOKUP($HZ78,'Jan-2026 rates'!$L:$R,4,0),IF($LB78=65%,VLOOKUP($HZ78,'Jan-2026 rates'!$L:$R,4,0),IF($LB78=40%,VLOOKUP($HZ78,'Jan-2026 rates'!$L:$R,5,0),IF($LB78=30%,VLOOKUP($HZ78,'Jan-2026 rates'!$L:$R,6,0),IF($LB78=100%,VLOOKUP($HZ78,'Jan-2026 rates'!$L:$R,7,0),IF($LB78=60%,VLOOKUP($HZ78,'Jan-2026 rates'!$L:$S,8,0),IF($LB78=80%,VLOOKUP($HZ78,'Jan-2026 rates'!L:T,9,0),0))))))))</f>
        <v>0</v>
      </c>
      <c r="IC78" s="412"/>
      <c r="ID78" s="409"/>
      <c r="IE78" s="411">
        <f>IF(ID78=0,0,IF($LB78=70%,VLOOKUP($HZ78,'Jan-2026 rates'!$L:$R,4,0),IF($LB78=65%,VLOOKUP($HZ78,'Jan-2026 rates'!$L:$R,4,0),IF($LB78=40%,VLOOKUP($HZ78,'Jan-2026 rates'!$L:$R,5,0),IF($LB78=30%,VLOOKUP($HZ78,'Jan-2026 rates'!$L:$R,6,0),IF($LB78=100%,VLOOKUP($HZ78,'Jan-2026 rates'!$L:$R,7,0),IF($LB78=60%,VLOOKUP($HZ78,'Jan-2026 rates'!$L:$S,8,0),IF($LB78=80%,VLOOKUP($HZ78,'Jan-2026 rates'!L:T,9,0),0))))))))</f>
        <v>0</v>
      </c>
      <c r="IF78" s="412" t="s">
        <v>484</v>
      </c>
      <c r="IG78" s="413"/>
      <c r="IH78" s="412"/>
      <c r="II78" s="412"/>
      <c r="IJ78" s="412"/>
      <c r="IK78" s="412"/>
      <c r="IL78" s="412"/>
      <c r="IM78" s="412"/>
      <c r="IN78" s="409">
        <f>100+50</f>
        <v>150</v>
      </c>
      <c r="IO78" s="398">
        <f>IF(IN78=0,0,IF(LEN(IF78)=11,_xlfn.XLOOKUP(IF78,'Dispensed Ink Rates'!C:C,'Dispensed Ink Rates'!CS:CS),VLOOKUP(IF78,'Jan-2026 rates'!$E:$F,2,0)))</f>
        <v>0</v>
      </c>
      <c r="IP78" s="409"/>
      <c r="IQ78" s="398">
        <f>IF(IP78=0,0,IF(LEN(IG78)=11,_xlfn.XLOOKUP(IG78,'Dispensed Ink Rates'!C:C,'Dispensed Ink Rates'!CS:CS),VLOOKUP(IG78,'Jan-2026 rates'!$E:$F,2,0)))</f>
        <v>0</v>
      </c>
      <c r="IR78" s="409"/>
      <c r="IS78" s="398">
        <f>IF(IR78=0,0,IF(LEN(IH78)=11,_xlfn.XLOOKUP(IH78,'Dispensed Ink Rates'!C:C,'Dispensed Ink Rates'!CS:CS),VLOOKUP(IH78,'Jan-2026 rates'!$E:$F,2,0)))</f>
        <v>0</v>
      </c>
      <c r="IT78" s="409"/>
      <c r="IU78" s="398">
        <f>IF(IT78=0,0,IF(LEN(II78)=11,_xlfn.XLOOKUP(II78,'Dispensed Ink Rates'!C:C,'Dispensed Ink Rates'!CS:CS),VLOOKUP(II78,'Jan-2026 rates'!$E:$F,2,0)))</f>
        <v>0</v>
      </c>
      <c r="IV78" s="409"/>
      <c r="IW78" s="398">
        <f>IF(IV78=0,0,IF(LEN(IJ78)=11,_xlfn.XLOOKUP(IJ78,'Dispensed Ink Rates'!C:C,'Dispensed Ink Rates'!CS:CS),VLOOKUP(IJ78,'Jan-2026 rates'!$E:$F,2,0)))</f>
        <v>0</v>
      </c>
      <c r="IX78" s="409"/>
      <c r="IY78" s="398">
        <f>IF(IX78=0,0,IF(LEN(IK78)=11,_xlfn.XLOOKUP(IK78,'Dispensed Ink Rates'!C:C,'Dispensed Ink Rates'!CS:CS),VLOOKUP(IK78,'Jan-2026 rates'!$E:$F,2,0)))</f>
        <v>0</v>
      </c>
      <c r="IZ78" s="409"/>
      <c r="JA78" s="398">
        <f>IF(IZ78=0,0,IF(LEN(IL78)=11,_xlfn.XLOOKUP(IL78,'Dispensed Ink Rates'!C:C,'Dispensed Ink Rates'!CS:CS),VLOOKUP(IL78,'Jan-2026 rates'!$E:$F,2,0)))</f>
        <v>0</v>
      </c>
      <c r="JB78" s="409"/>
      <c r="JC78" s="398">
        <f>IF(JB78=0,0,IF(LEN(IM78)=11,_xlfn.XLOOKUP(IM78,'Dispensed Ink Rates'!C:C,'Dispensed Ink Rates'!CS:CS),VLOOKUP(IM78,'Jan-2026 rates'!$E:$F,2,0)))</f>
        <v>0</v>
      </c>
      <c r="JD78" s="409" t="s">
        <v>1443</v>
      </c>
      <c r="JE78" s="409">
        <v>30</v>
      </c>
      <c r="JF78" s="411">
        <f t="shared" si="100"/>
        <v>0</v>
      </c>
      <c r="JG78" s="411">
        <f t="shared" si="101"/>
        <v>368.05594405594405</v>
      </c>
      <c r="JH78" s="410">
        <f t="shared" si="102"/>
        <v>0</v>
      </c>
      <c r="JI78" s="405" t="s">
        <v>547</v>
      </c>
      <c r="JJ78" s="409" t="s">
        <v>3030</v>
      </c>
      <c r="JK78" s="420" t="str">
        <f t="shared" si="60"/>
        <v>FLINTSL - GREEN</v>
      </c>
      <c r="JL78" s="409">
        <v>30</v>
      </c>
      <c r="JM78" s="411">
        <f>IF(JL78=0,0,IF($LB78=70%,VLOOKUP($JK78,'Jan-2026 rates'!$L:$R,4,0),IF($LB78=65%,VLOOKUP($JK78,'Jan-2026 rates'!$L:$R,4,0),IF($LB78=40%,VLOOKUP($JK78,'Jan-2026 rates'!$L:$R,5,0),IF($LB78=30%,VLOOKUP($JK78,'Jan-2026 rates'!$L:$R,6,0),IF($LB78=100%,VLOOKUP($JK78,'Jan-2026 rates'!$L:$R,7,0),IF($LB78=60%,VLOOKUP($JK78,'Jan-2026 rates'!$L:$S,8,0),IF($LB78=80%,VLOOKUP($JK78,'Jan-2026 rates'!L:T,9,0),0))))))))</f>
        <v>0</v>
      </c>
      <c r="JN78" s="412"/>
      <c r="JO78" s="409"/>
      <c r="JP78" s="411">
        <f>IF(JO78=0,0,IF($LB78=70%,VLOOKUP($JK78,'Jan-2026 rates'!$L:$R,4,0),IF($LB78=65%,VLOOKUP($JK78,'Jan-2026 rates'!$L:$R,4,0),IF($LB78=40%,VLOOKUP($JK78,'Jan-2026 rates'!$L:$R,5,0),IF($LB78=30%,VLOOKUP($JK78,'Jan-2026 rates'!$L:$R,6,0),IF($LB78=100%,VLOOKUP($JK78,'Jan-2026 rates'!$L:$R,7,0),IF($LB78=60%,VLOOKUP($JK78,'Jan-2026 rates'!$L:$S,8,0),IF($LB78=80%,VLOOKUP($JK78,'Jan-2026 rates'!L:T,9,0),0))))))))</f>
        <v>0</v>
      </c>
      <c r="JQ78" s="413">
        <v>26506000005</v>
      </c>
      <c r="JR78" s="412"/>
      <c r="JS78" s="413"/>
      <c r="JT78" s="413"/>
      <c r="JU78" s="412"/>
      <c r="JV78" s="412"/>
      <c r="JW78" s="412"/>
      <c r="JX78" s="412"/>
      <c r="JY78" s="409">
        <v>0.5</v>
      </c>
      <c r="JZ78" s="398" t="e">
        <f>IF(JY78=0,0,IF(LEN(JQ78)=11,_xlfn.XLOOKUP(JQ78,'Dispensed Ink Rates'!C:C,'Dispensed Ink Rates'!CS:CS),VLOOKUP(JQ78,'Jan-2026 rates'!$E:$F,2,0)))</f>
        <v>#N/A</v>
      </c>
      <c r="KA78" s="409"/>
      <c r="KB78" s="398">
        <f>IF(KA78=0,0,IF(LEN(JR78)=11,_xlfn.XLOOKUP(JR78,'Dispensed Ink Rates'!C:C,'Dispensed Ink Rates'!CS:CS),VLOOKUP(JR78,'Jan-2026 rates'!$E:$F,2,0)))</f>
        <v>0</v>
      </c>
      <c r="KC78" s="409"/>
      <c r="KD78" s="398">
        <f>IF(KC78=0,0,IF(LEN(JS78)=11,_xlfn.XLOOKUP(JS78,'Dispensed Ink Rates'!C:C,'Dispensed Ink Rates'!CS:CS),VLOOKUP(JS78,'Jan-2026 rates'!$E:$F,2,0)))</f>
        <v>0</v>
      </c>
      <c r="KE78" s="409"/>
      <c r="KF78" s="398">
        <f>IF(KE78=0,0,IF(LEN(JT78)=11,_xlfn.XLOOKUP(JT78,'Dispensed Ink Rates'!C:C,'Dispensed Ink Rates'!CS:CS),VLOOKUP(JT78,'Jan-2026 rates'!$E:$F,2,0)))</f>
        <v>0</v>
      </c>
      <c r="KG78" s="409"/>
      <c r="KH78" s="398">
        <f>IF(KG78=0,0,IF(LEN(JU78)=11,_xlfn.XLOOKUP(JU78,'Dispensed Ink Rates'!C:C,'Dispensed Ink Rates'!CS:CS),VLOOKUP(JU78,'Jan-2026 rates'!$E:$F,2,0)))</f>
        <v>0</v>
      </c>
      <c r="KI78" s="409"/>
      <c r="KJ78" s="398">
        <f>IF(KI78=0,0,IF(LEN(JV78)=11,_xlfn.XLOOKUP(JV78,'Dispensed Ink Rates'!C:C,'Dispensed Ink Rates'!CS:CS),VLOOKUP(JV78,'Jan-2026 rates'!$E:$F,2,0)))</f>
        <v>0</v>
      </c>
      <c r="KK78" s="409"/>
      <c r="KL78" s="398">
        <f>IF(KK78=0,0,IF(LEN(JW78)=11,_xlfn.XLOOKUP(JW78,'Dispensed Ink Rates'!C:C,'Dispensed Ink Rates'!CS:CS),VLOOKUP(JW78,'Jan-2026 rates'!$E:$F,2,0)))</f>
        <v>0</v>
      </c>
      <c r="KM78" s="428"/>
      <c r="KN78" s="398">
        <f>IF(KM78=0,0,IF(LEN(JX78)=11,_xlfn.XLOOKUP(JX78,'Dispensed Ink Rates'!C:C,'Dispensed Ink Rates'!CS:CS),VLOOKUP(JX78,'Jan-2026 rates'!$E:$F,2,0)))</f>
        <v>0</v>
      </c>
      <c r="KO78" s="409" t="s">
        <v>1443</v>
      </c>
      <c r="KP78" s="409">
        <v>23</v>
      </c>
      <c r="KQ78" s="411">
        <f t="shared" si="103"/>
        <v>0</v>
      </c>
      <c r="KR78" s="411">
        <f t="shared" si="104"/>
        <v>7.5</v>
      </c>
      <c r="KS78" s="410">
        <f t="shared" si="105"/>
        <v>0</v>
      </c>
      <c r="KT78" s="409">
        <v>5</v>
      </c>
      <c r="KU78" s="409">
        <v>5</v>
      </c>
      <c r="KV78" s="409">
        <v>25</v>
      </c>
      <c r="KW78" s="409">
        <v>5</v>
      </c>
      <c r="KX78" s="409">
        <v>5</v>
      </c>
      <c r="KY78" s="409">
        <v>8</v>
      </c>
      <c r="KZ78" s="409">
        <f>60+30</f>
        <v>90</v>
      </c>
      <c r="LA78" s="409">
        <v>0</v>
      </c>
      <c r="LB78" s="415">
        <v>0.8</v>
      </c>
      <c r="LC78" s="415">
        <v>0.2</v>
      </c>
      <c r="LD78" s="415"/>
      <c r="LE78" s="415"/>
      <c r="LF78" s="415"/>
      <c r="LG78" s="409">
        <v>0</v>
      </c>
      <c r="LH78" s="409">
        <f>90+50+160+40+5+5+6</f>
        <v>356</v>
      </c>
      <c r="LI78" s="409">
        <v>0</v>
      </c>
      <c r="LJ78" s="409">
        <v>0</v>
      </c>
      <c r="LK78" s="416">
        <f t="shared" si="61"/>
        <v>356</v>
      </c>
      <c r="LL78" s="416">
        <f t="shared" si="62"/>
        <v>356</v>
      </c>
      <c r="LM78" s="417">
        <f t="shared" si="63"/>
        <v>284.8</v>
      </c>
      <c r="LN78" s="417">
        <f>VLOOKUP($LM$8,'Jan-2026 rates'!$H:$I,2,0)</f>
        <v>0</v>
      </c>
      <c r="LO78" s="417">
        <f t="shared" si="64"/>
        <v>71.2</v>
      </c>
      <c r="LP78" s="417">
        <f>VLOOKUP($LO$8,'Jan-2026 rates'!$H:$I,2,0)</f>
        <v>0</v>
      </c>
      <c r="LQ78" s="417">
        <f t="shared" si="65"/>
        <v>0</v>
      </c>
      <c r="LR78" s="417">
        <f>VLOOKUP($LQ$8,'Jan-2026 rates'!$H:$I,2,0)</f>
        <v>0</v>
      </c>
      <c r="LS78" s="417">
        <f t="shared" si="66"/>
        <v>0</v>
      </c>
      <c r="LT78" s="417">
        <f>VLOOKUP($LS$8,'Jan-2026 rates'!$H:$I,2,0)</f>
        <v>0</v>
      </c>
      <c r="LU78" s="417">
        <f t="shared" si="67"/>
        <v>0</v>
      </c>
      <c r="LV78" s="417">
        <f>VLOOKUP($LU$8,'Jan-2026 rates'!$H:$I,2,0)</f>
        <v>0</v>
      </c>
      <c r="LW78" s="417">
        <f t="shared" si="68"/>
        <v>0</v>
      </c>
      <c r="LX78" s="417">
        <f t="shared" si="69"/>
        <v>0</v>
      </c>
      <c r="LY78" s="418">
        <f t="shared" si="70"/>
        <v>0</v>
      </c>
      <c r="LZ78" s="417"/>
      <c r="MA78" s="435">
        <f t="shared" si="71"/>
        <v>240.5</v>
      </c>
      <c r="MB78" s="282">
        <f t="shared" si="72"/>
        <v>680.5</v>
      </c>
      <c r="MC78" s="283">
        <v>33</v>
      </c>
      <c r="MD78" s="284" t="str">
        <f t="shared" si="73"/>
        <v>FLINTSLFLINTSLFLINTSLFLINTSLFLINTSLFLINTSLFLINTSLFLINTSL</v>
      </c>
      <c r="ME78" s="293" t="str">
        <f t="shared" si="74"/>
        <v>+</v>
      </c>
      <c r="MF78" s="293" t="str">
        <f t="shared" si="75"/>
        <v>+</v>
      </c>
      <c r="MG78" s="293" t="str">
        <f t="shared" si="76"/>
        <v>+</v>
      </c>
      <c r="MH78" s="293" t="str">
        <f t="shared" si="77"/>
        <v>+</v>
      </c>
      <c r="MI78" s="293" t="str">
        <f t="shared" si="78"/>
        <v>+</v>
      </c>
      <c r="MJ78" s="293" t="str">
        <f t="shared" si="79"/>
        <v>+</v>
      </c>
      <c r="MK78" s="293" t="str">
        <f t="shared" si="80"/>
        <v>+</v>
      </c>
      <c r="ML78" s="293" t="str">
        <f t="shared" si="81"/>
        <v>+</v>
      </c>
      <c r="MM78" s="3" t="b">
        <f t="array" ref="MM78">OR(ME78:ML78="-")</f>
        <v>0</v>
      </c>
      <c r="MN78" s="285"/>
      <c r="MO78" s="401"/>
      <c r="MP78" s="286"/>
      <c r="MQ78" s="286"/>
      <c r="MR78" s="402"/>
      <c r="MS78" s="400"/>
      <c r="NH78" s="422"/>
      <c r="NJ78" s="421"/>
    </row>
    <row r="79" spans="1:374" s="1" customFormat="1" ht="16.5">
      <c r="A79" s="403">
        <v>46027</v>
      </c>
      <c r="B79" s="404" t="s">
        <v>1018</v>
      </c>
      <c r="C79" s="405" t="s">
        <v>3031</v>
      </c>
      <c r="D79" s="406">
        <v>34</v>
      </c>
      <c r="E79" s="404">
        <v>486</v>
      </c>
      <c r="F79" s="407">
        <v>25000</v>
      </c>
      <c r="G79" s="407" t="s">
        <v>1019</v>
      </c>
      <c r="H79" s="408" t="s">
        <v>1017</v>
      </c>
      <c r="I79" s="409">
        <v>1.87</v>
      </c>
      <c r="J79" s="405" t="s">
        <v>543</v>
      </c>
      <c r="K79" s="404" t="s">
        <v>3032</v>
      </c>
      <c r="L79" s="419" t="str">
        <f t="shared" si="54"/>
        <v>FLINTSL - BLACK</v>
      </c>
      <c r="M79" s="404">
        <v>28</v>
      </c>
      <c r="N79" s="410">
        <f>IF(M79=0,0,IF($LB79=70%,VLOOKUP($L79,'Jan-2026 rates'!$L:$R,4,0),IF($LB79=65%,VLOOKUP($L79,'Jan-2026 rates'!$L:$R,4,0),IF($LB79=40%,VLOOKUP($L79,'Jan-2026 rates'!$L:$R,5,0),IF($LB79=30%,VLOOKUP($L79,'Jan-2026 rates'!$L:$R,6,0),IF($LB79=100%,VLOOKUP($L79,'Jan-2026 rates'!$L:$R,7,0),IF($LB79=60%,VLOOKUP($L79,'Jan-2026 rates'!$L:$S,8,0),IF($LB79=80%,VLOOKUP($L79,'Jan-2026 rates'!L:T,9,0),0))))))))</f>
        <v>0</v>
      </c>
      <c r="O79" s="406"/>
      <c r="P79" s="404"/>
      <c r="Q79" s="410">
        <f>IF(P79=0,0,IF($LB79=70%,VLOOKUP($L79,'Jan-2026 rates'!$L:$R,4,0),IF($LB79=65%,VLOOKUP($L79,'Jan-2026 rates'!$L:$R,4,0),IF($LB79=40%,VLOOKUP($L79,'Jan-2026 rates'!$L:$R,5,0),IF($LB79=30%,VLOOKUP($L79,'Jan-2026 rates'!$L:$R,6,0),IF($LB79=100%,VLOOKUP($L79,'Jan-2026 rates'!$L:$R,7,0),IF($LB79=60%,VLOOKUP($L79,'Jan-2026 rates'!$L:$S,8,0),IF($LB79=80%,VLOOKUP($L79,'Jan-2026 rates'!L:T,9,0),0))))))))</f>
        <v>0</v>
      </c>
      <c r="R79" s="406">
        <v>26506000005</v>
      </c>
      <c r="S79" s="406"/>
      <c r="T79" s="406"/>
      <c r="U79" s="406"/>
      <c r="V79" s="406"/>
      <c r="W79" s="406"/>
      <c r="X79" s="406"/>
      <c r="Y79" s="406"/>
      <c r="Z79" s="404">
        <v>2</v>
      </c>
      <c r="AA79" s="398" t="e">
        <f>IF(Z79=0,0,IF(LEN(R79)=11,_xlfn.XLOOKUP(R79,'Dispensed Ink Rates'!C:C,'Dispensed Ink Rates'!CS:CS),VLOOKUP(R79,'Jan-2026 rates'!$E:$F,2,0)))</f>
        <v>#N/A</v>
      </c>
      <c r="AB79" s="404"/>
      <c r="AC79" s="398">
        <f>IF(AB79=0,0,IF(LEN(S79)=11,_xlfn.XLOOKUP(S79,'Dispensed Ink Rates'!C:C,'Dispensed Ink Rates'!CS:CS),VLOOKUP(S79,'Jan-2026 rates'!$E:$F,2,0)))</f>
        <v>0</v>
      </c>
      <c r="AD79" s="404"/>
      <c r="AE79" s="398">
        <f>IF(AD79=0,0,IF(LEN(T79)=11,_xlfn.XLOOKUP(T79,'Dispensed Ink Rates'!C:C,'Dispensed Ink Rates'!CS:CS),VLOOKUP(T79,'Jan-2026 rates'!$E:$F,2,0)))</f>
        <v>0</v>
      </c>
      <c r="AF79" s="404"/>
      <c r="AG79" s="398">
        <f>IF(AF79=0,0,IF(LEN(U79)=11,_xlfn.XLOOKUP(U79,'Dispensed Ink Rates'!C:C,'Dispensed Ink Rates'!CS:CS),VLOOKUP(U79,'Jan-2026 rates'!$E:$F,2,0)))</f>
        <v>0</v>
      </c>
      <c r="AH79" s="404"/>
      <c r="AI79" s="398">
        <f>IF(AH79=0,0,IF(LEN(V79)=11,_xlfn.XLOOKUP(V79,'Dispensed Ink Rates'!C:C,'Dispensed Ink Rates'!CS:CS),VLOOKUP(V79,'Jan-2026 rates'!$E:$F,2,0)))</f>
        <v>0</v>
      </c>
      <c r="AJ79" s="404"/>
      <c r="AK79" s="398">
        <f>IF(AJ79=0,0,IF(LEN(W79)=11,_xlfn.XLOOKUP(W79,'Dispensed Ink Rates'!C:C,'Dispensed Ink Rates'!CS:CS),VLOOKUP(W79,'Jan-2026 rates'!$E:$F,2,0)))</f>
        <v>0</v>
      </c>
      <c r="AL79" s="404"/>
      <c r="AM79" s="398">
        <f>IF(AL79=0,0,IF(LEN(X79)=11,_xlfn.XLOOKUP(X79,'Dispensed Ink Rates'!C:C,'Dispensed Ink Rates'!CS:CS),VLOOKUP(X79,'Jan-2026 rates'!$E:$F,2,0)))</f>
        <v>0</v>
      </c>
      <c r="AN79" s="404"/>
      <c r="AO79" s="398">
        <f>IF(AN79=0,0,IF(LEN(Y79)=11,_xlfn.XLOOKUP(Y79,'Dispensed Ink Rates'!C:C,'Dispensed Ink Rates'!CS:CS),VLOOKUP(Y79,'Jan-2026 rates'!$E:$F,2,0)))</f>
        <v>0</v>
      </c>
      <c r="AP79" s="409" t="s">
        <v>1443</v>
      </c>
      <c r="AQ79" s="409">
        <v>26</v>
      </c>
      <c r="AR79" s="410">
        <f t="shared" si="82"/>
        <v>0</v>
      </c>
      <c r="AS79" s="411">
        <f t="shared" si="83"/>
        <v>9.3684210526315752</v>
      </c>
      <c r="AT79" s="410">
        <f t="shared" si="84"/>
        <v>0</v>
      </c>
      <c r="AU79" s="405" t="s">
        <v>546</v>
      </c>
      <c r="AV79" s="409" t="s">
        <v>2966</v>
      </c>
      <c r="AW79" s="420" t="str">
        <f t="shared" si="53"/>
        <v>FLINTSL - REFLEX BLUE</v>
      </c>
      <c r="AX79" s="409">
        <v>27</v>
      </c>
      <c r="AY79" s="411">
        <f>IF(AX79=0,0,IF($LB79=70%,VLOOKUP($AW79,'Jan-2026 rates'!$L:$R,4,0),IF($LB79=65%,VLOOKUP($AW79,'Jan-2026 rates'!$L:$R,4,0),IF($LB79=40%,VLOOKUP($AW79,'Jan-2026 rates'!$L:$R,5,0),IF($LB79=30%,VLOOKUP($AW79,'Jan-2026 rates'!$L:$R,6,0),IF($LB79=100%,VLOOKUP($AW79,'Jan-2026 rates'!$L:$R,7,0),IF($LB79=60%,VLOOKUP($AW79,'Jan-2026 rates'!$L:$S,8,0),IF($LB79=80%,VLOOKUP($AW79,'Jan-2026 rates'!L:T,9,0),0))))))))</f>
        <v>0</v>
      </c>
      <c r="AZ79" s="412" t="s">
        <v>2966</v>
      </c>
      <c r="BA79" s="409">
        <v>15</v>
      </c>
      <c r="BB79" s="411">
        <f>IF(BA79=0,0,IF($LB79=70%,VLOOKUP($AW79,'Jan-2026 rates'!$L:$R,4,0),IF($LB79=65%,VLOOKUP($AW79,'Jan-2026 rates'!$L:$R,4,0),IF($LB79=40%,VLOOKUP($AW79,'Jan-2026 rates'!$L:$R,5,0),IF($LB79=30%,VLOOKUP($AW79,'Jan-2026 rates'!$L:$R,6,0),IF($LB79=100%,VLOOKUP($AW79,'Jan-2026 rates'!$L:$R,7,0),IF($LB79=60%,VLOOKUP($AW79,'Jan-2026 rates'!$L:$S,8,0),IF($LB79=80%,VLOOKUP($AW79,'Jan-2026 rates'!L:T,9,0),0))))))))</f>
        <v>0</v>
      </c>
      <c r="BC79" s="413">
        <v>26507000017</v>
      </c>
      <c r="BD79" s="412">
        <v>26506000005</v>
      </c>
      <c r="BE79" s="412"/>
      <c r="BF79" s="413"/>
      <c r="BG79" s="412"/>
      <c r="BH79" s="412"/>
      <c r="BI79" s="412"/>
      <c r="BJ79" s="412"/>
      <c r="BK79" s="409">
        <v>2</v>
      </c>
      <c r="BL79" s="398" t="e">
        <f>IF(BK79=0,0,IF(LEN(BC79)=11,_xlfn.XLOOKUP(BC79,'Dispensed Ink Rates'!C:C,'Dispensed Ink Rates'!CS:CS),VLOOKUP(BC79,'Jan-2026 rates'!$E:$F,2,0)))</f>
        <v>#N/A</v>
      </c>
      <c r="BM79" s="409">
        <v>2</v>
      </c>
      <c r="BN79" s="398" t="e">
        <f>IF(BM79=0,0,IF(LEN(BD79)=11,_xlfn.XLOOKUP(BD79,'Dispensed Ink Rates'!C:C,'Dispensed Ink Rates'!CS:CS),VLOOKUP(BD79,'Jan-2026 rates'!$E:$F,2,0)))</f>
        <v>#N/A</v>
      </c>
      <c r="BO79" s="409"/>
      <c r="BP79" s="398">
        <f>IF(BO79=0,0,IF(LEN(BE79)=11,_xlfn.XLOOKUP(BE79,'Dispensed Ink Rates'!C:C,'Dispensed Ink Rates'!CS:CS),VLOOKUP(BE79,'Jan-2026 rates'!$E:$F,2,0)))</f>
        <v>0</v>
      </c>
      <c r="BQ79" s="409"/>
      <c r="BR79" s="398">
        <f>IF(BQ79=0,0,IF(LEN(BF79)=11,_xlfn.XLOOKUP(BF79,'Dispensed Ink Rates'!C:C,'Dispensed Ink Rates'!CS:CS),VLOOKUP(BF79,'Jan-2026 rates'!$E:$F,2,0)))</f>
        <v>0</v>
      </c>
      <c r="BS79" s="409"/>
      <c r="BT79" s="398">
        <f>IF(BS79=0,0,IF(LEN(BG79)=11,_xlfn.XLOOKUP(BG79,'Dispensed Ink Rates'!C:C,'Dispensed Ink Rates'!CS:CS),VLOOKUP(BG79,'Jan-2026 rates'!$E:$F,2,0)))</f>
        <v>0</v>
      </c>
      <c r="BU79" s="409"/>
      <c r="BV79" s="398">
        <f>IF(BU79=0,0,IF(LEN(BH79)=11,_xlfn.XLOOKUP(BH79,'Dispensed Ink Rates'!C:C,'Dispensed Ink Rates'!CS:CS),VLOOKUP(BH79,'Jan-2026 rates'!$E:$F,2,0)))</f>
        <v>0</v>
      </c>
      <c r="BW79" s="409"/>
      <c r="BX79" s="398">
        <f>IF(BW79=0,0,IF(LEN(BI79)=11,_xlfn.XLOOKUP(BI79,'Dispensed Ink Rates'!C:C,'Dispensed Ink Rates'!CS:CS),VLOOKUP(BI79,'Jan-2026 rates'!$E:$F,2,0)))</f>
        <v>0</v>
      </c>
      <c r="BY79" s="409"/>
      <c r="BZ79" s="398">
        <f>IF(BY79=0,0,IF(LEN(BJ79)=11,_xlfn.XLOOKUP(BJ79,'Dispensed Ink Rates'!C:C,'Dispensed Ink Rates'!CS:CS),VLOOKUP(BJ79,'Jan-2026 rates'!$E:$F,2,0)))</f>
        <v>0</v>
      </c>
      <c r="CA79" s="409" t="s">
        <v>1443</v>
      </c>
      <c r="CB79" s="409">
        <v>24</v>
      </c>
      <c r="CC79" s="411">
        <f t="shared" si="85"/>
        <v>0</v>
      </c>
      <c r="CD79" s="411">
        <f t="shared" si="86"/>
        <v>29.157894736842103</v>
      </c>
      <c r="CE79" s="410">
        <f t="shared" si="87"/>
        <v>0</v>
      </c>
      <c r="CF79" s="404" t="s">
        <v>857</v>
      </c>
      <c r="CG79" s="409" t="s">
        <v>3033</v>
      </c>
      <c r="CH79" s="420" t="str">
        <f t="shared" si="55"/>
        <v>FLINTSL - RED</v>
      </c>
      <c r="CI79" s="409">
        <v>32</v>
      </c>
      <c r="CJ79" s="411">
        <f>IF(CI79=0,0,IF($LB79=70%,VLOOKUP($CH79,'Jan-2026 rates'!$L:$R,4,0),IF($LB79=65%,VLOOKUP($CH79,'Jan-2026 rates'!$L:$R,4,0),IF($LB79=40%,VLOOKUP($CH79,'Jan-2026 rates'!$L:$R,5,0),IF($LB79=30%,VLOOKUP($CH79,'Jan-2026 rates'!$L:$R,6,0),IF($LB79=100%,VLOOKUP($CH79,'Jan-2026 rates'!$L:$R,7,0),IF($LB79=60%,VLOOKUP($CH79,'Jan-2026 rates'!$L:$S,8,0),IF($LB79=80%,VLOOKUP($CH79,'Jan-2026 rates'!L:T,9,0),0))))))))</f>
        <v>0</v>
      </c>
      <c r="CK79" s="412"/>
      <c r="CL79" s="409"/>
      <c r="CM79" s="411">
        <f>IF(CL79=0,0,IF($LB79=70%,VLOOKUP($CH79,'Jan-2026 rates'!$L:$R,4,0),IF($LB79=65%,VLOOKUP($CH79,'Jan-2026 rates'!$L:$R,4,0),IF($LB79=40%,VLOOKUP($CH79,'Jan-2026 rates'!$L:$R,5,0),IF($LB79=30%,VLOOKUP($CH79,'Jan-2026 rates'!$L:$R,6,0),IF($LB79=100%,VLOOKUP($CH79,'Jan-2026 rates'!$L:$R,7,0),IF($LB79=60%,VLOOKUP($CH79,'Jan-2026 rates'!$L:$S,8,0),IF($LB79=80%,VLOOKUP($CH79,'Jan-2026 rates'!L:T,9,0),0))))))))</f>
        <v>0</v>
      </c>
      <c r="CN79" s="426">
        <v>26507000017</v>
      </c>
      <c r="CO79" s="427">
        <v>25863000007</v>
      </c>
      <c r="CP79" s="426"/>
      <c r="CQ79" s="426"/>
      <c r="CR79" s="428"/>
      <c r="CS79" s="428"/>
      <c r="CT79" s="428"/>
      <c r="CU79" s="428"/>
      <c r="CV79" s="409">
        <v>6</v>
      </c>
      <c r="CW79" s="398" t="e">
        <f>IF(CV79=0,0,IF(LEN(CN79)=11,_xlfn.XLOOKUP(CN79,'Dispensed Ink Rates'!C:C,'Dispensed Ink Rates'!CS:CS),VLOOKUP(CN79,'Jan-2026 rates'!$E:$F,2,0)))</f>
        <v>#N/A</v>
      </c>
      <c r="CX79" s="409">
        <v>4</v>
      </c>
      <c r="CY79" s="398" t="e">
        <f>IF(CX79=0,0,IF(LEN(CO79)=11,_xlfn.XLOOKUP(CO79,'Dispensed Ink Rates'!C:C,'Dispensed Ink Rates'!CS:CS),VLOOKUP(CO79,'Jan-2026 rates'!$E:$F,2,0)))</f>
        <v>#N/A</v>
      </c>
      <c r="CZ79" s="409"/>
      <c r="DA79" s="398">
        <f>IF(CZ79=0,0,IF(LEN(CP79)=11,_xlfn.XLOOKUP(CP79,'Dispensed Ink Rates'!C:C,'Dispensed Ink Rates'!CS:CS),VLOOKUP(CP79,'Jan-2026 rates'!$E:$F,2,0)))</f>
        <v>0</v>
      </c>
      <c r="DB79" s="409"/>
      <c r="DC79" s="398">
        <f>IF(DB79=0,0,IF(LEN(CQ79)=11,_xlfn.XLOOKUP(CQ79,'Dispensed Ink Rates'!C:C,'Dispensed Ink Rates'!CS:CS),VLOOKUP(CQ79,'Jan-2026 rates'!$E:$F,2,0)))</f>
        <v>0</v>
      </c>
      <c r="DD79" s="409"/>
      <c r="DE79" s="398">
        <f>IF(DD79=0,0,IF(LEN(CR79)=11,_xlfn.XLOOKUP(CR79,'Dispensed Ink Rates'!C:C,'Dispensed Ink Rates'!CS:CS),VLOOKUP(CR79,'Jan-2026 rates'!$E:$F,2,0)))</f>
        <v>0</v>
      </c>
      <c r="DF79" s="409"/>
      <c r="DG79" s="398">
        <f>IF(DF79=0,0,IF(LEN(CS79)=11,_xlfn.XLOOKUP(CS79,'Dispensed Ink Rates'!C:C,'Dispensed Ink Rates'!CS:CS),VLOOKUP(CS79,'Jan-2026 rates'!$E:$F,2,0)))</f>
        <v>0</v>
      </c>
      <c r="DH79" s="409"/>
      <c r="DI79" s="398">
        <f>IF(DH79=0,0,IF(LEN(CT79)=11,_xlfn.XLOOKUP(CT79,'Dispensed Ink Rates'!C:C,'Dispensed Ink Rates'!CS:CS),VLOOKUP(CT79,'Jan-2026 rates'!$E:$F,2,0)))</f>
        <v>0</v>
      </c>
      <c r="DJ79" s="409"/>
      <c r="DK79" s="398">
        <f>IF(DJ79=0,0,IF(LEN(CU79)=11,_xlfn.XLOOKUP(CU79,'Dispensed Ink Rates'!C:C,'Dispensed Ink Rates'!CS:CS),VLOOKUP(CU79,'Jan-2026 rates'!$E:$F,2,0)))</f>
        <v>0</v>
      </c>
      <c r="DL79" s="409" t="s">
        <v>1443</v>
      </c>
      <c r="DM79" s="409">
        <v>27</v>
      </c>
      <c r="DN79" s="411">
        <f t="shared" si="88"/>
        <v>0</v>
      </c>
      <c r="DO79" s="411">
        <f t="shared" si="89"/>
        <v>23.94736842105263</v>
      </c>
      <c r="DP79" s="410">
        <f t="shared" si="90"/>
        <v>0</v>
      </c>
      <c r="DQ79" s="405" t="s">
        <v>547</v>
      </c>
      <c r="DR79" s="409" t="s">
        <v>3034</v>
      </c>
      <c r="DS79" s="420" t="str">
        <f t="shared" si="56"/>
        <v>FLINTSL - GREEN</v>
      </c>
      <c r="DT79" s="409">
        <v>28</v>
      </c>
      <c r="DU79" s="411">
        <f>IF(DT79=0,0,IF($LB79=70%,VLOOKUP($DS79,'Jan-2026 rates'!$L:$R,4,0),IF($LB79=65%,VLOOKUP($DS79,'Jan-2026 rates'!$L:$R,4,0),IF($LB79=40%,VLOOKUP($DS79,'Jan-2026 rates'!$L:$R,5,0),IF($LB79=30%,VLOOKUP($DS79,'Jan-2026 rates'!$L:$R,6,0),IF($LB79=100%,VLOOKUP($DS79,'Jan-2026 rates'!$L:$R,7,0),IF($LB79=60%,VLOOKUP($DS79,'Jan-2026 rates'!$L:$S,8,0),IF($LB79=80%,VLOOKUP($DS79,'Jan-2026 rates'!L:T,9,0),0))))))))</f>
        <v>0</v>
      </c>
      <c r="DV79" s="412"/>
      <c r="DW79" s="409"/>
      <c r="DX79" s="411">
        <f>IF(DW79=0,0,IF($LB79=70%,VLOOKUP($DS79,'Jan-2026 rates'!$L:$R,4,0),IF($LB79=65%,VLOOKUP($DS79,'Jan-2026 rates'!$L:$R,4,0),IF($LB79=40%,VLOOKUP($DS79,'Jan-2026 rates'!$L:$R,5,0),IF($LB79=30%,VLOOKUP($DS79,'Jan-2026 rates'!$L:$R,6,0),IF($LB79=100%,VLOOKUP($DS79,'Jan-2026 rates'!$L:$R,7,0),IF($LB79=60%,VLOOKUP($DS79,'Jan-2026 rates'!$L:$S,8,0),IF($LB79=80%,VLOOKUP($DS79,'Jan-2026 rates'!L:T,9,0),0))))))))</f>
        <v>0</v>
      </c>
      <c r="DY79" s="413">
        <v>26506000005</v>
      </c>
      <c r="DZ79" s="413"/>
      <c r="EA79" s="412"/>
      <c r="EB79" s="412"/>
      <c r="EC79" s="412"/>
      <c r="ED79" s="412"/>
      <c r="EE79" s="412"/>
      <c r="EF79" s="412"/>
      <c r="EG79" s="409">
        <v>1</v>
      </c>
      <c r="EH79" s="398" t="e">
        <f>IF(EG79=0,0,IF(LEN(DY79)=11,_xlfn.XLOOKUP(DY79,'Dispensed Ink Rates'!C:C,'Dispensed Ink Rates'!CS:CS),VLOOKUP(DY79,'Jan-2026 rates'!$E:$F,2,0)))</f>
        <v>#N/A</v>
      </c>
      <c r="EI79" s="409"/>
      <c r="EJ79" s="398">
        <f>IF(EI79=0,0,IF(LEN(DZ79)=11,_xlfn.XLOOKUP(DZ79,'Dispensed Ink Rates'!C:C,'Dispensed Ink Rates'!CS:CS),VLOOKUP(DZ79,'Jan-2026 rates'!$E:$F,2,0)))</f>
        <v>0</v>
      </c>
      <c r="EK79" s="409"/>
      <c r="EL79" s="398">
        <f>IF(EK79=0,0,IF(LEN(EA79)=11,_xlfn.XLOOKUP(EA79,'Dispensed Ink Rates'!C:C,'Dispensed Ink Rates'!CS:CS),VLOOKUP(EA79,'Jan-2026 rates'!$E:$F,2,0)))</f>
        <v>0</v>
      </c>
      <c r="EM79" s="409"/>
      <c r="EN79" s="398">
        <f>IF(EM79=0,0,IF(LEN(EB79)=11,_xlfn.XLOOKUP(EB79,'Dispensed Ink Rates'!C:C,'Dispensed Ink Rates'!CS:CS),VLOOKUP(EB79,'Jan-2026 rates'!$E:$F,2,0)))</f>
        <v>0</v>
      </c>
      <c r="EO79" s="409"/>
      <c r="EP79" s="398">
        <f>IF(EO79=0,0,IF(LEN(EC79)=11,_xlfn.XLOOKUP(EC79,'Dispensed Ink Rates'!C:C,'Dispensed Ink Rates'!CS:CS),VLOOKUP(EC79,'Jan-2026 rates'!$E:$F,2,0)))</f>
        <v>0</v>
      </c>
      <c r="EQ79" s="409"/>
      <c r="ER79" s="398">
        <f>IF(EQ79=0,0,IF(LEN(ED79)=11,_xlfn.XLOOKUP(ED79,'Dispensed Ink Rates'!C:C,'Dispensed Ink Rates'!CS:CS),VLOOKUP(ED79,'Jan-2026 rates'!$E:$F,2,0)))</f>
        <v>0</v>
      </c>
      <c r="ES79" s="409"/>
      <c r="ET79" s="398">
        <f>IF(ES79=0,0,IF(LEN(EE79)=11,_xlfn.XLOOKUP(EE79,'Dispensed Ink Rates'!C:C,'Dispensed Ink Rates'!CS:CS),VLOOKUP(EE79,'Jan-2026 rates'!$E:$F,2,0)))</f>
        <v>0</v>
      </c>
      <c r="EU79" s="409"/>
      <c r="EV79" s="398">
        <f>IF(EU79=0,0,IF(LEN(EF79)=11,_xlfn.XLOOKUP(EF79,'Dispensed Ink Rates'!C:C,'Dispensed Ink Rates'!CS:CS),VLOOKUP(EF79,'Jan-2026 rates'!$E:$F,2,0)))</f>
        <v>0</v>
      </c>
      <c r="EW79" s="409" t="s">
        <v>1443</v>
      </c>
      <c r="EX79" s="409">
        <v>29</v>
      </c>
      <c r="EY79" s="411">
        <f t="shared" si="91"/>
        <v>0</v>
      </c>
      <c r="EZ79" s="411">
        <f t="shared" si="92"/>
        <v>5.3684210526315752</v>
      </c>
      <c r="FA79" s="410">
        <f t="shared" si="93"/>
        <v>0</v>
      </c>
      <c r="FB79" s="405" t="s">
        <v>855</v>
      </c>
      <c r="FC79" s="409" t="s">
        <v>3035</v>
      </c>
      <c r="FD79" s="420" t="str">
        <f t="shared" si="57"/>
        <v>FLINTSL - CYAN</v>
      </c>
      <c r="FE79" s="409">
        <v>29</v>
      </c>
      <c r="FF79" s="411">
        <f>IF(FE79=0,0,IF($LB79=70%,VLOOKUP($FD79,'Jan-2026 rates'!$L:$R,4,0),IF($LB79=65%,VLOOKUP($FD79,'Jan-2026 rates'!$L:$R,4,0),IF($LB79=40%,VLOOKUP($FD79,'Jan-2026 rates'!$L:$R,5,0),IF($LB79=30%,VLOOKUP($FD79,'Jan-2026 rates'!$L:$R,6,0),IF($LB79=100%,VLOOKUP($FD79,'Jan-2026 rates'!$L:$R,7,0),IF($LB79=60%,VLOOKUP($FD79,'Jan-2026 rates'!$L:$S,8,0),IF($LB79=80%,VLOOKUP($FD79,'Jan-2026 rates'!L:T,9,0),0))))))))</f>
        <v>0</v>
      </c>
      <c r="FG79" s="412"/>
      <c r="FH79" s="409"/>
      <c r="FI79" s="411">
        <f>IF(FH79=0,0,IF($LB79=70%,VLOOKUP($FD79,'Jan-2026 rates'!$L:$R,4,0),IF($LB79=65%,VLOOKUP($FD79,'Jan-2026 rates'!$L:$R,4,0),IF($LB79=40%,VLOOKUP($FD79,'Jan-2026 rates'!$L:$R,5,0),IF($LB79=30%,VLOOKUP($FD79,'Jan-2026 rates'!$L:$R,6,0),IF($LB79=100%,VLOOKUP($FD79,'Jan-2026 rates'!$L:$R,7,0),IF($LB79=60%,VLOOKUP($FD79,'Jan-2026 rates'!$L:$S,8,0),IF($LB79=80%,VLOOKUP($FD79,'Jan-2026 rates'!L:T,9,0),0))))))))</f>
        <v>0</v>
      </c>
      <c r="FJ79" s="413" t="s">
        <v>1266</v>
      </c>
      <c r="FK79" s="413"/>
      <c r="FL79" s="413"/>
      <c r="FM79" s="412"/>
      <c r="FN79" s="412"/>
      <c r="FO79" s="412"/>
      <c r="FP79" s="412"/>
      <c r="FQ79" s="412"/>
      <c r="FR79" s="409">
        <v>3</v>
      </c>
      <c r="FS79" s="398">
        <f>IF(FR79=0,0,IF(LEN(FJ79)=11,_xlfn.XLOOKUP(FJ79,'Dispensed Ink Rates'!C:C,'Dispensed Ink Rates'!CS:CS),VLOOKUP(FJ79,'Jan-2026 rates'!$E:$F,2,0)))</f>
        <v>0</v>
      </c>
      <c r="FT79" s="409"/>
      <c r="FU79" s="398">
        <f>IF(FT79=0,0,IF(LEN(FK79)=11,_xlfn.XLOOKUP(FK79,'Dispensed Ink Rates'!C:C,'Dispensed Ink Rates'!CS:CS),VLOOKUP(FK79,'Jan-2026 rates'!$E:$F,2,0)))</f>
        <v>0</v>
      </c>
      <c r="FV79" s="409"/>
      <c r="FW79" s="398">
        <f>IF(FV79=0,0,IF(LEN(FL79)=11,_xlfn.XLOOKUP(FL79,'Dispensed Ink Rates'!C:C,'Dispensed Ink Rates'!CS:CS),VLOOKUP(FL79,'Jan-2026 rates'!$E:$F,2,0)))</f>
        <v>0</v>
      </c>
      <c r="FX79" s="409"/>
      <c r="FY79" s="398">
        <f>IF(FX79=0,0,IF(LEN(FM79)=11,_xlfn.XLOOKUP(FM79,'Dispensed Ink Rates'!C:C,'Dispensed Ink Rates'!CS:CS),VLOOKUP(FM79,'Jan-2026 rates'!$E:$F,2,0)))</f>
        <v>0</v>
      </c>
      <c r="FZ79" s="409"/>
      <c r="GA79" s="398">
        <f>IF(FZ79=0,0,IF(LEN(FN79)=11,_xlfn.XLOOKUP(FN79,'Dispensed Ink Rates'!C:C,'Dispensed Ink Rates'!CS:CS),VLOOKUP(FN79,'Jan-2026 rates'!$E:$F,2,0)))</f>
        <v>0</v>
      </c>
      <c r="GB79" s="409"/>
      <c r="GC79" s="398">
        <f>IF(GB79=0,0,IF(LEN(FO79)=11,_xlfn.XLOOKUP(FO79,'Dispensed Ink Rates'!C:C,'Dispensed Ink Rates'!CS:CS),VLOOKUP(FO79,'Jan-2026 rates'!$E:$F,2,0)))</f>
        <v>0</v>
      </c>
      <c r="GD79" s="409"/>
      <c r="GE79" s="398">
        <f>IF(GD79=0,0,IF(LEN(FP79)=11,_xlfn.XLOOKUP(FP79,'Dispensed Ink Rates'!C:C,'Dispensed Ink Rates'!CS:CS),VLOOKUP(FP79,'Jan-2026 rates'!$E:$F,2,0)))</f>
        <v>0</v>
      </c>
      <c r="GF79" s="409"/>
      <c r="GG79" s="398">
        <f>IF(GF79=0,0,IF(LEN(FQ79)=11,_xlfn.XLOOKUP(FQ79,'Dispensed Ink Rates'!C:C,'Dispensed Ink Rates'!CS:CS),VLOOKUP(FQ79,'Jan-2026 rates'!$E:$F,2,0)))</f>
        <v>0</v>
      </c>
      <c r="GH79" s="409" t="s">
        <v>1443</v>
      </c>
      <c r="GI79" s="409">
        <v>24</v>
      </c>
      <c r="GJ79" s="411">
        <f t="shared" si="94"/>
        <v>0</v>
      </c>
      <c r="GK79" s="411">
        <f t="shared" si="95"/>
        <v>13.368421052631575</v>
      </c>
      <c r="GL79" s="410">
        <f t="shared" si="96"/>
        <v>0</v>
      </c>
      <c r="GM79" s="405" t="s">
        <v>544</v>
      </c>
      <c r="GN79" s="409" t="s">
        <v>3036</v>
      </c>
      <c r="GO79" s="420" t="str">
        <f t="shared" si="58"/>
        <v>FLINTSL - MAGENTA</v>
      </c>
      <c r="GP79" s="409">
        <v>30</v>
      </c>
      <c r="GQ79" s="411">
        <f>IF(GP79=0,0,IF($LB79=70%,VLOOKUP($GO79,'Jan-2026 rates'!$L:$R,4,0),IF($LB79=65%,VLOOKUP($GO79,'Jan-2026 rates'!$L:$R,4,0),IF($LB79=40%,VLOOKUP($GO79,'Jan-2026 rates'!$L:$R,5,0),IF($LB79=30%,VLOOKUP($GO79,'Jan-2026 rates'!$L:$R,6,0),IF($LB79=100%,VLOOKUP($GO79,'Jan-2026 rates'!$L:$R,7,0),IF($LB79=60%,VLOOKUP($GO79,'Jan-2026 rates'!$L:$S,8,0),IF($LB79=80%,VLOOKUP($GO79,'Jan-2026 rates'!L:T,9,0),0))))))))</f>
        <v>0</v>
      </c>
      <c r="GR79" s="412"/>
      <c r="GS79" s="409"/>
      <c r="GT79" s="411">
        <f>IF(GS79=0,0,IF($LB79=70%,VLOOKUP($GO79,'Jan-2026 rates'!$L:$R,4,0),IF($LB79=65%,VLOOKUP($GO79,'Jan-2026 rates'!$L:$R,4,0),IF($LB79=40%,VLOOKUP($GO79,'Jan-2026 rates'!$L:$R,5,0),IF($LB79=30%,VLOOKUP($GO79,'Jan-2026 rates'!$L:$R,6,0),IF($LB79=100%,VLOOKUP($GO79,'Jan-2026 rates'!$L:$R,7,0),IF($LB79=60%,VLOOKUP($GO79,'Jan-2026 rates'!$L:$S,8,0),IF($LB79=80%,VLOOKUP($GO79,'Jan-2026 rates'!L:T,9,0),0))))))))</f>
        <v>0</v>
      </c>
      <c r="GU79" s="413">
        <v>26507000017</v>
      </c>
      <c r="GV79" s="413"/>
      <c r="GW79" s="412"/>
      <c r="GX79" s="412"/>
      <c r="GY79" s="412"/>
      <c r="GZ79" s="412"/>
      <c r="HA79" s="412"/>
      <c r="HB79" s="412"/>
      <c r="HC79" s="409">
        <v>3</v>
      </c>
      <c r="HD79" s="398" t="e">
        <f>IF(HC79=0,0,IF(LEN(GU79)=11,_xlfn.XLOOKUP(GU79,'Dispensed Ink Rates'!C:C,'Dispensed Ink Rates'!CS:CS),VLOOKUP(GU79,'Jan-2026 rates'!$E:$F,2,0)))</f>
        <v>#N/A</v>
      </c>
      <c r="HE79" s="409"/>
      <c r="HF79" s="398">
        <f>IF(HE79=0,0,IF(LEN(GV79)=11,_xlfn.XLOOKUP(GV79,'Dispensed Ink Rates'!C:C,'Dispensed Ink Rates'!CS:CS),VLOOKUP(GV79,'Jan-2026 rates'!$E:$F,2,0)))</f>
        <v>0</v>
      </c>
      <c r="HG79" s="409"/>
      <c r="HH79" s="398">
        <f>IF(HG79=0,0,IF(LEN(GW79)=11,_xlfn.XLOOKUP(GW79,'Dispensed Ink Rates'!C:C,'Dispensed Ink Rates'!CS:CS),VLOOKUP(GW79,'Jan-2026 rates'!$E:$F,2,0)))</f>
        <v>0</v>
      </c>
      <c r="HI79" s="409"/>
      <c r="HJ79" s="398">
        <f>IF(HI79=0,0,IF(LEN(GX79)=11,_xlfn.XLOOKUP(GX79,'Dispensed Ink Rates'!C:C,'Dispensed Ink Rates'!CS:CS),VLOOKUP(GX79,'Jan-2026 rates'!$E:$F,2,0)))</f>
        <v>0</v>
      </c>
      <c r="HK79" s="409"/>
      <c r="HL79" s="398">
        <f>IF(HK79=0,0,IF(LEN(GY79)=11,_xlfn.XLOOKUP(GY79,'Dispensed Ink Rates'!C:C,'Dispensed Ink Rates'!CS:CS),VLOOKUP(GY79,'Jan-2026 rates'!$E:$F,2,0)))</f>
        <v>0</v>
      </c>
      <c r="HM79" s="409"/>
      <c r="HN79" s="398">
        <f>IF(HM79=0,0,IF(LEN(GZ79)=11,_xlfn.XLOOKUP(GZ79,'Dispensed Ink Rates'!C:C,'Dispensed Ink Rates'!CS:CS),VLOOKUP(GZ79,'Jan-2026 rates'!$E:$F,2,0)))</f>
        <v>0</v>
      </c>
      <c r="HO79" s="409"/>
      <c r="HP79" s="398">
        <f>IF(HO79=0,0,IF(LEN(HA79)=11,_xlfn.XLOOKUP(HA79,'Dispensed Ink Rates'!C:C,'Dispensed Ink Rates'!CS:CS),VLOOKUP(HA79,'Jan-2026 rates'!$E:$F,2,0)))</f>
        <v>0</v>
      </c>
      <c r="HQ79" s="409"/>
      <c r="HR79" s="398">
        <f>IF(HQ79=0,0,IF(LEN(HB79)=11,_xlfn.XLOOKUP(HB79,'Dispensed Ink Rates'!C:C,'Dispensed Ink Rates'!CS:CS),VLOOKUP(HB79,'Jan-2026 rates'!$E:$F,2,0)))</f>
        <v>0</v>
      </c>
      <c r="HS79" s="409" t="s">
        <v>1443</v>
      </c>
      <c r="HT79" s="409">
        <v>26</v>
      </c>
      <c r="HU79" s="411">
        <f t="shared" si="97"/>
        <v>0</v>
      </c>
      <c r="HV79" s="411">
        <f t="shared" si="98"/>
        <v>10.578947368421055</v>
      </c>
      <c r="HW79" s="414">
        <f t="shared" si="99"/>
        <v>0</v>
      </c>
      <c r="HX79" s="405" t="s">
        <v>545</v>
      </c>
      <c r="HY79" s="409" t="s">
        <v>3037</v>
      </c>
      <c r="HZ79" s="420" t="str">
        <f t="shared" si="59"/>
        <v>FLINTSL - YELLOW</v>
      </c>
      <c r="IA79" s="409">
        <v>25</v>
      </c>
      <c r="IB79" s="411">
        <f>IF(IA79=0,0,IF($LB79=70%,VLOOKUP($HZ79,'Jan-2026 rates'!$L:$R,4,0),IF($LB79=65%,VLOOKUP($HZ79,'Jan-2026 rates'!$L:$R,4,0),IF($LB79=40%,VLOOKUP($HZ79,'Jan-2026 rates'!$L:$R,5,0),IF($LB79=30%,VLOOKUP($HZ79,'Jan-2026 rates'!$L:$R,6,0),IF($LB79=100%,VLOOKUP($HZ79,'Jan-2026 rates'!$L:$R,7,0),IF($LB79=60%,VLOOKUP($HZ79,'Jan-2026 rates'!$L:$S,8,0),IF($LB79=80%,VLOOKUP($HZ79,'Jan-2026 rates'!L:T,9,0),0))))))))</f>
        <v>0</v>
      </c>
      <c r="IC79" s="412"/>
      <c r="ID79" s="409"/>
      <c r="IE79" s="411">
        <f>IF(ID79=0,0,IF($LB79=70%,VLOOKUP($HZ79,'Jan-2026 rates'!$L:$R,4,0),IF($LB79=65%,VLOOKUP($HZ79,'Jan-2026 rates'!$L:$R,4,0),IF($LB79=40%,VLOOKUP($HZ79,'Jan-2026 rates'!$L:$R,5,0),IF($LB79=30%,VLOOKUP($HZ79,'Jan-2026 rates'!$L:$R,6,0),IF($LB79=100%,VLOOKUP($HZ79,'Jan-2026 rates'!$L:$R,7,0),IF($LB79=60%,VLOOKUP($HZ79,'Jan-2026 rates'!$L:$S,8,0),IF($LB79=80%,VLOOKUP($HZ79,'Jan-2026 rates'!L:T,9,0),0))))))))</f>
        <v>0</v>
      </c>
      <c r="IF79" s="412">
        <v>26505000033</v>
      </c>
      <c r="IG79" s="413" t="s">
        <v>1266</v>
      </c>
      <c r="IH79" s="412"/>
      <c r="II79" s="412"/>
      <c r="IJ79" s="412"/>
      <c r="IK79" s="412"/>
      <c r="IL79" s="412"/>
      <c r="IM79" s="412"/>
      <c r="IN79" s="409">
        <v>15</v>
      </c>
      <c r="IO79" s="398" t="e">
        <f>IF(IN79=0,0,IF(LEN(IF79)=11,_xlfn.XLOOKUP(IF79,'Dispensed Ink Rates'!C:C,'Dispensed Ink Rates'!CS:CS),VLOOKUP(IF79,'Jan-2026 rates'!$E:$F,2,0)))</f>
        <v>#N/A</v>
      </c>
      <c r="IP79" s="409">
        <v>20</v>
      </c>
      <c r="IQ79" s="398">
        <f>IF(IP79=0,0,IF(LEN(IG79)=11,_xlfn.XLOOKUP(IG79,'Dispensed Ink Rates'!C:C,'Dispensed Ink Rates'!CS:CS),VLOOKUP(IG79,'Jan-2026 rates'!$E:$F,2,0)))</f>
        <v>0</v>
      </c>
      <c r="IR79" s="409"/>
      <c r="IS79" s="398">
        <f>IF(IR79=0,0,IF(LEN(IH79)=11,_xlfn.XLOOKUP(IH79,'Dispensed Ink Rates'!C:C,'Dispensed Ink Rates'!CS:CS),VLOOKUP(IH79,'Jan-2026 rates'!$E:$F,2,0)))</f>
        <v>0</v>
      </c>
      <c r="IT79" s="409"/>
      <c r="IU79" s="398">
        <f>IF(IT79=0,0,IF(LEN(II79)=11,_xlfn.XLOOKUP(II79,'Dispensed Ink Rates'!C:C,'Dispensed Ink Rates'!CS:CS),VLOOKUP(II79,'Jan-2026 rates'!$E:$F,2,0)))</f>
        <v>0</v>
      </c>
      <c r="IV79" s="409"/>
      <c r="IW79" s="398">
        <f>IF(IV79=0,0,IF(LEN(IJ79)=11,_xlfn.XLOOKUP(IJ79,'Dispensed Ink Rates'!C:C,'Dispensed Ink Rates'!CS:CS),VLOOKUP(IJ79,'Jan-2026 rates'!$E:$F,2,0)))</f>
        <v>0</v>
      </c>
      <c r="IX79" s="409"/>
      <c r="IY79" s="398">
        <f>IF(IX79=0,0,IF(LEN(IK79)=11,_xlfn.XLOOKUP(IK79,'Dispensed Ink Rates'!C:C,'Dispensed Ink Rates'!CS:CS),VLOOKUP(IK79,'Jan-2026 rates'!$E:$F,2,0)))</f>
        <v>0</v>
      </c>
      <c r="IZ79" s="409"/>
      <c r="JA79" s="398">
        <f>IF(IZ79=0,0,IF(LEN(IL79)=11,_xlfn.XLOOKUP(IL79,'Dispensed Ink Rates'!C:C,'Dispensed Ink Rates'!CS:CS),VLOOKUP(IL79,'Jan-2026 rates'!$E:$F,2,0)))</f>
        <v>0</v>
      </c>
      <c r="JB79" s="409"/>
      <c r="JC79" s="398">
        <f>IF(JB79=0,0,IF(LEN(IM79)=11,_xlfn.XLOOKUP(IM79,'Dispensed Ink Rates'!C:C,'Dispensed Ink Rates'!CS:CS),VLOOKUP(IM79,'Jan-2026 rates'!$E:$F,2,0)))</f>
        <v>0</v>
      </c>
      <c r="JD79" s="409" t="s">
        <v>1443</v>
      </c>
      <c r="JE79" s="409">
        <v>22</v>
      </c>
      <c r="JF79" s="411">
        <f t="shared" si="100"/>
        <v>0</v>
      </c>
      <c r="JG79" s="411">
        <f t="shared" si="101"/>
        <v>82.73684210526315</v>
      </c>
      <c r="JH79" s="410">
        <f t="shared" si="102"/>
        <v>0</v>
      </c>
      <c r="JI79" s="405" t="s">
        <v>856</v>
      </c>
      <c r="JJ79" s="409" t="s">
        <v>3038</v>
      </c>
      <c r="JK79" s="420" t="str">
        <f t="shared" si="60"/>
        <v>FLINTSL - WHITE</v>
      </c>
      <c r="JL79" s="409">
        <v>30</v>
      </c>
      <c r="JM79" s="411">
        <f>IF(JL79=0,0,IF($LB79=70%,VLOOKUP($JK79,'Jan-2026 rates'!$L:$R,4,0),IF($LB79=65%,VLOOKUP($JK79,'Jan-2026 rates'!$L:$R,4,0),IF($LB79=40%,VLOOKUP($JK79,'Jan-2026 rates'!$L:$R,5,0),IF($LB79=30%,VLOOKUP($JK79,'Jan-2026 rates'!$L:$R,6,0),IF($LB79=100%,VLOOKUP($JK79,'Jan-2026 rates'!$L:$R,7,0),IF($LB79=60%,VLOOKUP($JK79,'Jan-2026 rates'!$L:$S,8,0),IF($LB79=80%,VLOOKUP($JK79,'Jan-2026 rates'!L:T,9,0),0))))))))</f>
        <v>0</v>
      </c>
      <c r="JN79" s="412"/>
      <c r="JO79" s="409"/>
      <c r="JP79" s="411">
        <f>IF(JO79=0,0,IF($LB79=70%,VLOOKUP($JK79,'Jan-2026 rates'!$L:$R,4,0),IF($LB79=65%,VLOOKUP($JK79,'Jan-2026 rates'!$L:$R,4,0),IF($LB79=40%,VLOOKUP($JK79,'Jan-2026 rates'!$L:$R,5,0),IF($LB79=30%,VLOOKUP($JK79,'Jan-2026 rates'!$L:$R,6,0),IF($LB79=100%,VLOOKUP($JK79,'Jan-2026 rates'!$L:$R,7,0),IF($LB79=60%,VLOOKUP($JK79,'Jan-2026 rates'!$L:$S,8,0),IF($LB79=80%,VLOOKUP($JK79,'Jan-2026 rates'!L:T,9,0),0))))))))</f>
        <v>0</v>
      </c>
      <c r="JQ79" s="413" t="s">
        <v>484</v>
      </c>
      <c r="JR79" s="412"/>
      <c r="JS79" s="413"/>
      <c r="JT79" s="413"/>
      <c r="JU79" s="412"/>
      <c r="JV79" s="412"/>
      <c r="JW79" s="412"/>
      <c r="JX79" s="412"/>
      <c r="JY79" s="409">
        <f>50+40</f>
        <v>90</v>
      </c>
      <c r="JZ79" s="398">
        <f>IF(JY79=0,0,IF(LEN(JQ79)=11,_xlfn.XLOOKUP(JQ79,'Dispensed Ink Rates'!C:C,'Dispensed Ink Rates'!CS:CS),VLOOKUP(JQ79,'Jan-2026 rates'!$E:$F,2,0)))</f>
        <v>0</v>
      </c>
      <c r="KA79" s="409"/>
      <c r="KB79" s="398">
        <f>IF(KA79=0,0,IF(LEN(JR79)=11,_xlfn.XLOOKUP(JR79,'Dispensed Ink Rates'!C:C,'Dispensed Ink Rates'!CS:CS),VLOOKUP(JR79,'Jan-2026 rates'!$E:$F,2,0)))</f>
        <v>0</v>
      </c>
      <c r="KC79" s="409"/>
      <c r="KD79" s="398">
        <f>IF(KC79=0,0,IF(LEN(JS79)=11,_xlfn.XLOOKUP(JS79,'Dispensed Ink Rates'!C:C,'Dispensed Ink Rates'!CS:CS),VLOOKUP(JS79,'Jan-2026 rates'!$E:$F,2,0)))</f>
        <v>0</v>
      </c>
      <c r="KE79" s="409"/>
      <c r="KF79" s="398">
        <f>IF(KE79=0,0,IF(LEN(JT79)=11,_xlfn.XLOOKUP(JT79,'Dispensed Ink Rates'!C:C,'Dispensed Ink Rates'!CS:CS),VLOOKUP(JT79,'Jan-2026 rates'!$E:$F,2,0)))</f>
        <v>0</v>
      </c>
      <c r="KG79" s="409"/>
      <c r="KH79" s="398">
        <f>IF(KG79=0,0,IF(LEN(JU79)=11,_xlfn.XLOOKUP(JU79,'Dispensed Ink Rates'!C:C,'Dispensed Ink Rates'!CS:CS),VLOOKUP(JU79,'Jan-2026 rates'!$E:$F,2,0)))</f>
        <v>0</v>
      </c>
      <c r="KI79" s="409"/>
      <c r="KJ79" s="398">
        <f>IF(KI79=0,0,IF(LEN(JV79)=11,_xlfn.XLOOKUP(JV79,'Dispensed Ink Rates'!C:C,'Dispensed Ink Rates'!CS:CS),VLOOKUP(JV79,'Jan-2026 rates'!$E:$F,2,0)))</f>
        <v>0</v>
      </c>
      <c r="KK79" s="409"/>
      <c r="KL79" s="398">
        <f>IF(KK79=0,0,IF(LEN(JW79)=11,_xlfn.XLOOKUP(JW79,'Dispensed Ink Rates'!C:C,'Dispensed Ink Rates'!CS:CS),VLOOKUP(JW79,'Jan-2026 rates'!$E:$F,2,0)))</f>
        <v>0</v>
      </c>
      <c r="KM79" s="428"/>
      <c r="KN79" s="398">
        <f>IF(KM79=0,0,IF(LEN(JX79)=11,_xlfn.XLOOKUP(JX79,'Dispensed Ink Rates'!C:C,'Dispensed Ink Rates'!CS:CS),VLOOKUP(JX79,'Jan-2026 rates'!$E:$F,2,0)))</f>
        <v>0</v>
      </c>
      <c r="KO79" s="409" t="s">
        <v>1443</v>
      </c>
      <c r="KP79" s="409">
        <v>25</v>
      </c>
      <c r="KQ79" s="411">
        <f t="shared" si="103"/>
        <v>0</v>
      </c>
      <c r="KR79" s="411">
        <f t="shared" si="104"/>
        <v>184.4736842105263</v>
      </c>
      <c r="KS79" s="410">
        <f t="shared" si="105"/>
        <v>0</v>
      </c>
      <c r="KT79" s="409">
        <v>3</v>
      </c>
      <c r="KU79" s="409">
        <v>4</v>
      </c>
      <c r="KV79" s="409">
        <v>5</v>
      </c>
      <c r="KW79" s="409">
        <v>3</v>
      </c>
      <c r="KX79" s="409">
        <v>3</v>
      </c>
      <c r="KY79" s="409">
        <v>2</v>
      </c>
      <c r="KZ79" s="409">
        <v>25</v>
      </c>
      <c r="LA79" s="409">
        <f>30+20</f>
        <v>50</v>
      </c>
      <c r="LB79" s="415">
        <v>0.8</v>
      </c>
      <c r="LC79" s="415">
        <v>0.2</v>
      </c>
      <c r="LD79" s="415"/>
      <c r="LE79" s="415"/>
      <c r="LF79" s="415"/>
      <c r="LG79" s="409">
        <v>0</v>
      </c>
      <c r="LH79" s="409">
        <f>50+40+56+14+5+5</f>
        <v>170</v>
      </c>
      <c r="LI79" s="409">
        <v>0</v>
      </c>
      <c r="LJ79" s="409">
        <v>0</v>
      </c>
      <c r="LK79" s="416">
        <f t="shared" si="61"/>
        <v>170</v>
      </c>
      <c r="LL79" s="416">
        <f t="shared" si="62"/>
        <v>170</v>
      </c>
      <c r="LM79" s="417">
        <f t="shared" si="63"/>
        <v>136</v>
      </c>
      <c r="LN79" s="417">
        <f>VLOOKUP($LM$8,'Jan-2026 rates'!$H:$I,2,0)</f>
        <v>0</v>
      </c>
      <c r="LO79" s="417">
        <f t="shared" si="64"/>
        <v>34</v>
      </c>
      <c r="LP79" s="417">
        <f>VLOOKUP($LO$8,'Jan-2026 rates'!$H:$I,2,0)</f>
        <v>0</v>
      </c>
      <c r="LQ79" s="417">
        <f t="shared" si="65"/>
        <v>0</v>
      </c>
      <c r="LR79" s="417">
        <f>VLOOKUP($LQ$8,'Jan-2026 rates'!$H:$I,2,0)</f>
        <v>0</v>
      </c>
      <c r="LS79" s="417">
        <f t="shared" si="66"/>
        <v>0</v>
      </c>
      <c r="LT79" s="417">
        <f>VLOOKUP($LS$8,'Jan-2026 rates'!$H:$I,2,0)</f>
        <v>0</v>
      </c>
      <c r="LU79" s="417">
        <f t="shared" si="67"/>
        <v>0</v>
      </c>
      <c r="LV79" s="417">
        <f>VLOOKUP($LU$8,'Jan-2026 rates'!$H:$I,2,0)</f>
        <v>0</v>
      </c>
      <c r="LW79" s="417">
        <f t="shared" si="68"/>
        <v>0</v>
      </c>
      <c r="LX79" s="417">
        <f t="shared" si="69"/>
        <v>0</v>
      </c>
      <c r="LY79" s="418">
        <f t="shared" si="70"/>
        <v>0</v>
      </c>
      <c r="LZ79" s="417"/>
      <c r="MA79" s="435">
        <f t="shared" si="71"/>
        <v>148</v>
      </c>
      <c r="MB79" s="282">
        <f t="shared" si="72"/>
        <v>359</v>
      </c>
      <c r="MC79" s="283">
        <v>34</v>
      </c>
      <c r="MD79" s="284" t="str">
        <f t="shared" si="73"/>
        <v>FLINTSLFLINTSLFLINTSLFLINTSLFLINTSLFLINTSLFLINTSLFLINTSL</v>
      </c>
      <c r="ME79" s="293" t="str">
        <f t="shared" si="74"/>
        <v>+</v>
      </c>
      <c r="MF79" s="293" t="str">
        <f t="shared" si="75"/>
        <v>+</v>
      </c>
      <c r="MG79" s="293" t="str">
        <f t="shared" si="76"/>
        <v>+</v>
      </c>
      <c r="MH79" s="293" t="str">
        <f t="shared" si="77"/>
        <v>+</v>
      </c>
      <c r="MI79" s="293" t="str">
        <f t="shared" si="78"/>
        <v>+</v>
      </c>
      <c r="MJ79" s="293" t="str">
        <f t="shared" si="79"/>
        <v>+</v>
      </c>
      <c r="MK79" s="293" t="str">
        <f t="shared" si="80"/>
        <v>+</v>
      </c>
      <c r="ML79" s="293" t="str">
        <f t="shared" si="81"/>
        <v>+</v>
      </c>
      <c r="MM79" s="3" t="b">
        <f t="array" ref="MM79">OR(ME79:ML79="-")</f>
        <v>0</v>
      </c>
      <c r="MN79" s="285"/>
      <c r="MO79" s="401"/>
      <c r="MP79" s="286"/>
      <c r="MQ79" s="286"/>
      <c r="MR79" s="402"/>
      <c r="MS79" s="400"/>
      <c r="NH79" s="422"/>
      <c r="NJ79" s="421"/>
    </row>
    <row r="80" spans="1:374" s="1" customFormat="1" ht="16.5">
      <c r="A80" s="403">
        <v>46028</v>
      </c>
      <c r="B80" s="404" t="s">
        <v>1015</v>
      </c>
      <c r="C80" s="405" t="s">
        <v>3039</v>
      </c>
      <c r="D80" s="406">
        <v>35</v>
      </c>
      <c r="E80" s="404">
        <v>272</v>
      </c>
      <c r="F80" s="407">
        <v>15900</v>
      </c>
      <c r="G80" s="407" t="s">
        <v>1016</v>
      </c>
      <c r="H80" s="408" t="s">
        <v>1017</v>
      </c>
      <c r="I80" s="409">
        <v>1.87</v>
      </c>
      <c r="J80" s="405" t="s">
        <v>543</v>
      </c>
      <c r="K80" s="404" t="s">
        <v>3040</v>
      </c>
      <c r="L80" s="419" t="str">
        <f t="shared" si="54"/>
        <v>FLINTSL - BLACK</v>
      </c>
      <c r="M80" s="404">
        <v>30</v>
      </c>
      <c r="N80" s="410">
        <f>IF(M80=0,0,IF($LB80=70%,VLOOKUP($L80,'Jan-2026 rates'!$L:$R,4,0),IF($LB80=65%,VLOOKUP($L80,'Jan-2026 rates'!$L:$R,4,0),IF($LB80=40%,VLOOKUP($L80,'Jan-2026 rates'!$L:$R,5,0),IF($LB80=30%,VLOOKUP($L80,'Jan-2026 rates'!$L:$R,6,0),IF($LB80=100%,VLOOKUP($L80,'Jan-2026 rates'!$L:$R,7,0),IF($LB80=60%,VLOOKUP($L80,'Jan-2026 rates'!$L:$S,8,0),IF($LB80=80%,VLOOKUP($L80,'Jan-2026 rates'!L:T,9,0),0))))))))</f>
        <v>0</v>
      </c>
      <c r="O80" s="406"/>
      <c r="P80" s="404"/>
      <c r="Q80" s="410">
        <f>IF(P80=0,0,IF($LB80=70%,VLOOKUP($L80,'Jan-2026 rates'!$L:$R,4,0),IF($LB80=65%,VLOOKUP($L80,'Jan-2026 rates'!$L:$R,4,0),IF($LB80=40%,VLOOKUP($L80,'Jan-2026 rates'!$L:$R,5,0),IF($LB80=30%,VLOOKUP($L80,'Jan-2026 rates'!$L:$R,6,0),IF($LB80=100%,VLOOKUP($L80,'Jan-2026 rates'!$L:$R,7,0),IF($LB80=60%,VLOOKUP($L80,'Jan-2026 rates'!$L:$S,8,0),IF($LB80=80%,VLOOKUP($L80,'Jan-2026 rates'!L:T,9,0),0))))))))</f>
        <v>0</v>
      </c>
      <c r="R80" s="406"/>
      <c r="S80" s="406"/>
      <c r="T80" s="406"/>
      <c r="U80" s="406"/>
      <c r="V80" s="406"/>
      <c r="W80" s="406"/>
      <c r="X80" s="406"/>
      <c r="Y80" s="406"/>
      <c r="Z80" s="404"/>
      <c r="AA80" s="398">
        <f>IF(Z80=0,0,IF(LEN(R80)=11,_xlfn.XLOOKUP(R80,'Dispensed Ink Rates'!C:C,'Dispensed Ink Rates'!CS:CS),VLOOKUP(R80,'Jan-2026 rates'!$E:$F,2,0)))</f>
        <v>0</v>
      </c>
      <c r="AB80" s="404"/>
      <c r="AC80" s="398">
        <f>IF(AB80=0,0,IF(LEN(S80)=11,_xlfn.XLOOKUP(S80,'Dispensed Ink Rates'!C:C,'Dispensed Ink Rates'!CS:CS),VLOOKUP(S80,'Jan-2026 rates'!$E:$F,2,0)))</f>
        <v>0</v>
      </c>
      <c r="AD80" s="404"/>
      <c r="AE80" s="398">
        <f>IF(AD80=0,0,IF(LEN(T80)=11,_xlfn.XLOOKUP(T80,'Dispensed Ink Rates'!C:C,'Dispensed Ink Rates'!CS:CS),VLOOKUP(T80,'Jan-2026 rates'!$E:$F,2,0)))</f>
        <v>0</v>
      </c>
      <c r="AF80" s="404"/>
      <c r="AG80" s="398">
        <f>IF(AF80=0,0,IF(LEN(U80)=11,_xlfn.XLOOKUP(U80,'Dispensed Ink Rates'!C:C,'Dispensed Ink Rates'!CS:CS),VLOOKUP(U80,'Jan-2026 rates'!$E:$F,2,0)))</f>
        <v>0</v>
      </c>
      <c r="AH80" s="404"/>
      <c r="AI80" s="398">
        <f>IF(AH80=0,0,IF(LEN(V80)=11,_xlfn.XLOOKUP(V80,'Dispensed Ink Rates'!C:C,'Dispensed Ink Rates'!CS:CS),VLOOKUP(V80,'Jan-2026 rates'!$E:$F,2,0)))</f>
        <v>0</v>
      </c>
      <c r="AJ80" s="404"/>
      <c r="AK80" s="398">
        <f>IF(AJ80=0,0,IF(LEN(W80)=11,_xlfn.XLOOKUP(W80,'Dispensed Ink Rates'!C:C,'Dispensed Ink Rates'!CS:CS),VLOOKUP(W80,'Jan-2026 rates'!$E:$F,2,0)))</f>
        <v>0</v>
      </c>
      <c r="AL80" s="404"/>
      <c r="AM80" s="398">
        <f>IF(AL80=0,0,IF(LEN(X80)=11,_xlfn.XLOOKUP(X80,'Dispensed Ink Rates'!C:C,'Dispensed Ink Rates'!CS:CS),VLOOKUP(X80,'Jan-2026 rates'!$E:$F,2,0)))</f>
        <v>0</v>
      </c>
      <c r="AN80" s="404"/>
      <c r="AO80" s="398">
        <f>IF(AN80=0,0,IF(LEN(Y80)=11,_xlfn.XLOOKUP(Y80,'Dispensed Ink Rates'!C:C,'Dispensed Ink Rates'!CS:CS),VLOOKUP(Y80,'Jan-2026 rates'!$E:$F,2,0)))</f>
        <v>0</v>
      </c>
      <c r="AP80" s="409" t="s">
        <v>1443</v>
      </c>
      <c r="AQ80" s="409">
        <v>20</v>
      </c>
      <c r="AR80" s="410">
        <f t="shared" si="82"/>
        <v>0</v>
      </c>
      <c r="AS80" s="411">
        <f t="shared" si="83"/>
        <v>14.142857142857139</v>
      </c>
      <c r="AT80" s="410">
        <f t="shared" si="84"/>
        <v>0</v>
      </c>
      <c r="AU80" s="405" t="s">
        <v>547</v>
      </c>
      <c r="AV80" s="409" t="s">
        <v>3041</v>
      </c>
      <c r="AW80" s="420" t="str">
        <f t="shared" si="53"/>
        <v>FLINTSL - GREEN</v>
      </c>
      <c r="AX80" s="409">
        <v>30</v>
      </c>
      <c r="AY80" s="411">
        <f>IF(AX80=0,0,IF($LB80=70%,VLOOKUP($AW80,'Jan-2026 rates'!$L:$R,4,0),IF($LB80=65%,VLOOKUP($AW80,'Jan-2026 rates'!$L:$R,4,0),IF($LB80=40%,VLOOKUP($AW80,'Jan-2026 rates'!$L:$R,5,0),IF($LB80=30%,VLOOKUP($AW80,'Jan-2026 rates'!$L:$R,6,0),IF($LB80=100%,VLOOKUP($AW80,'Jan-2026 rates'!$L:$R,7,0),IF($LB80=60%,VLOOKUP($AW80,'Jan-2026 rates'!$L:$S,8,0),IF($LB80=80%,VLOOKUP($AW80,'Jan-2026 rates'!L:T,9,0),0))))))))</f>
        <v>0</v>
      </c>
      <c r="AZ80" s="412"/>
      <c r="BA80" s="409"/>
      <c r="BB80" s="411">
        <f>IF(BA80=0,0,IF($LB80=70%,VLOOKUP($AW80,'Jan-2026 rates'!$L:$R,4,0),IF($LB80=65%,VLOOKUP($AW80,'Jan-2026 rates'!$L:$R,4,0),IF($LB80=40%,VLOOKUP($AW80,'Jan-2026 rates'!$L:$R,5,0),IF($LB80=30%,VLOOKUP($AW80,'Jan-2026 rates'!$L:$R,6,0),IF($LB80=100%,VLOOKUP($AW80,'Jan-2026 rates'!$L:$R,7,0),IF($LB80=60%,VLOOKUP($AW80,'Jan-2026 rates'!$L:$S,8,0),IF($LB80=80%,VLOOKUP($AW80,'Jan-2026 rates'!L:T,9,0),0))))))))</f>
        <v>0</v>
      </c>
      <c r="BC80" s="413">
        <v>26505000033</v>
      </c>
      <c r="BD80" s="412">
        <v>25851000006</v>
      </c>
      <c r="BE80" s="412">
        <v>26504000001</v>
      </c>
      <c r="BF80" s="413"/>
      <c r="BG80" s="412"/>
      <c r="BH80" s="412"/>
      <c r="BI80" s="412"/>
      <c r="BJ80" s="412"/>
      <c r="BK80" s="409">
        <v>10</v>
      </c>
      <c r="BL80" s="398" t="e">
        <f>IF(BK80=0,0,IF(LEN(BC80)=11,_xlfn.XLOOKUP(BC80,'Dispensed Ink Rates'!C:C,'Dispensed Ink Rates'!CS:CS),VLOOKUP(BC80,'Jan-2026 rates'!$E:$F,2,0)))</f>
        <v>#N/A</v>
      </c>
      <c r="BM80" s="409">
        <v>15</v>
      </c>
      <c r="BN80" s="398" t="e">
        <f>IF(BM80=0,0,IF(LEN(BD80)=11,_xlfn.XLOOKUP(BD80,'Dispensed Ink Rates'!C:C,'Dispensed Ink Rates'!CS:CS),VLOOKUP(BD80,'Jan-2026 rates'!$E:$F,2,0)))</f>
        <v>#N/A</v>
      </c>
      <c r="BO80" s="409">
        <v>5</v>
      </c>
      <c r="BP80" s="398" t="e">
        <f>IF(BO80=0,0,IF(LEN(BE80)=11,_xlfn.XLOOKUP(BE80,'Dispensed Ink Rates'!C:C,'Dispensed Ink Rates'!CS:CS),VLOOKUP(BE80,'Jan-2026 rates'!$E:$F,2,0)))</f>
        <v>#N/A</v>
      </c>
      <c r="BQ80" s="409"/>
      <c r="BR80" s="398">
        <f>IF(BQ80=0,0,IF(LEN(BF80)=11,_xlfn.XLOOKUP(BF80,'Dispensed Ink Rates'!C:C,'Dispensed Ink Rates'!CS:CS),VLOOKUP(BF80,'Jan-2026 rates'!$E:$F,2,0)))</f>
        <v>0</v>
      </c>
      <c r="BS80" s="409"/>
      <c r="BT80" s="398">
        <f>IF(BS80=0,0,IF(LEN(BG80)=11,_xlfn.XLOOKUP(BG80,'Dispensed Ink Rates'!C:C,'Dispensed Ink Rates'!CS:CS),VLOOKUP(BG80,'Jan-2026 rates'!$E:$F,2,0)))</f>
        <v>0</v>
      </c>
      <c r="BU80" s="409"/>
      <c r="BV80" s="398">
        <f>IF(BU80=0,0,IF(LEN(BH80)=11,_xlfn.XLOOKUP(BH80,'Dispensed Ink Rates'!C:C,'Dispensed Ink Rates'!CS:CS),VLOOKUP(BH80,'Jan-2026 rates'!$E:$F,2,0)))</f>
        <v>0</v>
      </c>
      <c r="BW80" s="409"/>
      <c r="BX80" s="398">
        <f>IF(BW80=0,0,IF(LEN(BI80)=11,_xlfn.XLOOKUP(BI80,'Dispensed Ink Rates'!C:C,'Dispensed Ink Rates'!CS:CS),VLOOKUP(BI80,'Jan-2026 rates'!$E:$F,2,0)))</f>
        <v>0</v>
      </c>
      <c r="BY80" s="409"/>
      <c r="BZ80" s="398">
        <f>IF(BY80=0,0,IF(LEN(BJ80)=11,_xlfn.XLOOKUP(BJ80,'Dispensed Ink Rates'!C:C,'Dispensed Ink Rates'!CS:CS),VLOOKUP(BJ80,'Jan-2026 rates'!$E:$F,2,0)))</f>
        <v>0</v>
      </c>
      <c r="CA80" s="409" t="s">
        <v>1443</v>
      </c>
      <c r="CB80" s="409">
        <v>32</v>
      </c>
      <c r="CC80" s="411">
        <f t="shared" si="85"/>
        <v>0</v>
      </c>
      <c r="CD80" s="411">
        <f t="shared" si="86"/>
        <v>38.357142857142861</v>
      </c>
      <c r="CE80" s="410">
        <f t="shared" si="87"/>
        <v>0</v>
      </c>
      <c r="CF80" s="404" t="s">
        <v>544</v>
      </c>
      <c r="CG80" s="409" t="s">
        <v>2997</v>
      </c>
      <c r="CH80" s="420" t="str">
        <f t="shared" si="55"/>
        <v>FLINTSL - MAGENTA</v>
      </c>
      <c r="CI80" s="409">
        <v>24</v>
      </c>
      <c r="CJ80" s="411">
        <f>IF(CI80=0,0,IF($LB80=70%,VLOOKUP($CH80,'Jan-2026 rates'!$L:$R,4,0),IF($LB80=65%,VLOOKUP($CH80,'Jan-2026 rates'!$L:$R,4,0),IF($LB80=40%,VLOOKUP($CH80,'Jan-2026 rates'!$L:$R,5,0),IF($LB80=30%,VLOOKUP($CH80,'Jan-2026 rates'!$L:$R,6,0),IF($LB80=100%,VLOOKUP($CH80,'Jan-2026 rates'!$L:$R,7,0),IF($LB80=60%,VLOOKUP($CH80,'Jan-2026 rates'!$L:$S,8,0),IF($LB80=80%,VLOOKUP($CH80,'Jan-2026 rates'!L:T,9,0),0))))))))</f>
        <v>0</v>
      </c>
      <c r="CK80" s="412"/>
      <c r="CL80" s="409"/>
      <c r="CM80" s="411">
        <f>IF(CL80=0,0,IF($LB80=70%,VLOOKUP($CH80,'Jan-2026 rates'!$L:$R,4,0),IF($LB80=65%,VLOOKUP($CH80,'Jan-2026 rates'!$L:$R,4,0),IF($LB80=40%,VLOOKUP($CH80,'Jan-2026 rates'!$L:$R,5,0),IF($LB80=30%,VLOOKUP($CH80,'Jan-2026 rates'!$L:$R,6,0),IF($LB80=100%,VLOOKUP($CH80,'Jan-2026 rates'!$L:$R,7,0),IF($LB80=60%,VLOOKUP($CH80,'Jan-2026 rates'!$L:$S,8,0),IF($LB80=80%,VLOOKUP($CH80,'Jan-2026 rates'!L:T,9,0),0))))))))</f>
        <v>0</v>
      </c>
      <c r="CN80" s="426">
        <v>26507000017</v>
      </c>
      <c r="CO80" s="427"/>
      <c r="CP80" s="426"/>
      <c r="CQ80" s="426"/>
      <c r="CR80" s="428"/>
      <c r="CS80" s="428"/>
      <c r="CT80" s="428"/>
      <c r="CU80" s="428"/>
      <c r="CV80" s="409">
        <v>4</v>
      </c>
      <c r="CW80" s="398" t="e">
        <f>IF(CV80=0,0,IF(LEN(CN80)=11,_xlfn.XLOOKUP(CN80,'Dispensed Ink Rates'!C:C,'Dispensed Ink Rates'!CS:CS),VLOOKUP(CN80,'Jan-2026 rates'!$E:$F,2,0)))</f>
        <v>#N/A</v>
      </c>
      <c r="CX80" s="409"/>
      <c r="CY80" s="398">
        <f>IF(CX80=0,0,IF(LEN(CO80)=11,_xlfn.XLOOKUP(CO80,'Dispensed Ink Rates'!C:C,'Dispensed Ink Rates'!CS:CS),VLOOKUP(CO80,'Jan-2026 rates'!$E:$F,2,0)))</f>
        <v>0</v>
      </c>
      <c r="CZ80" s="409"/>
      <c r="DA80" s="398">
        <f>IF(CZ80=0,0,IF(LEN(CP80)=11,_xlfn.XLOOKUP(CP80,'Dispensed Ink Rates'!C:C,'Dispensed Ink Rates'!CS:CS),VLOOKUP(CP80,'Jan-2026 rates'!$E:$F,2,0)))</f>
        <v>0</v>
      </c>
      <c r="DB80" s="409"/>
      <c r="DC80" s="398">
        <f>IF(DB80=0,0,IF(LEN(CQ80)=11,_xlfn.XLOOKUP(CQ80,'Dispensed Ink Rates'!C:C,'Dispensed Ink Rates'!CS:CS),VLOOKUP(CQ80,'Jan-2026 rates'!$E:$F,2,0)))</f>
        <v>0</v>
      </c>
      <c r="DD80" s="409"/>
      <c r="DE80" s="398">
        <f>IF(DD80=0,0,IF(LEN(CR80)=11,_xlfn.XLOOKUP(CR80,'Dispensed Ink Rates'!C:C,'Dispensed Ink Rates'!CS:CS),VLOOKUP(CR80,'Jan-2026 rates'!$E:$F,2,0)))</f>
        <v>0</v>
      </c>
      <c r="DF80" s="409"/>
      <c r="DG80" s="398">
        <f>IF(DF80=0,0,IF(LEN(CS80)=11,_xlfn.XLOOKUP(CS80,'Dispensed Ink Rates'!C:C,'Dispensed Ink Rates'!CS:CS),VLOOKUP(CS80,'Jan-2026 rates'!$E:$F,2,0)))</f>
        <v>0</v>
      </c>
      <c r="DH80" s="409"/>
      <c r="DI80" s="398">
        <f>IF(DH80=0,0,IF(LEN(CT80)=11,_xlfn.XLOOKUP(CT80,'Dispensed Ink Rates'!C:C,'Dispensed Ink Rates'!CS:CS),VLOOKUP(CT80,'Jan-2026 rates'!$E:$F,2,0)))</f>
        <v>0</v>
      </c>
      <c r="DJ80" s="409"/>
      <c r="DK80" s="398">
        <f>IF(DJ80=0,0,IF(LEN(CU80)=11,_xlfn.XLOOKUP(CU80,'Dispensed Ink Rates'!C:C,'Dispensed Ink Rates'!CS:CS),VLOOKUP(CU80,'Jan-2026 rates'!$E:$F,2,0)))</f>
        <v>0</v>
      </c>
      <c r="DL80" s="409" t="s">
        <v>1443</v>
      </c>
      <c r="DM80" s="409">
        <v>26</v>
      </c>
      <c r="DN80" s="411">
        <f t="shared" si="88"/>
        <v>0</v>
      </c>
      <c r="DO80" s="411">
        <f t="shared" si="89"/>
        <v>8.2142857142857153</v>
      </c>
      <c r="DP80" s="410">
        <f t="shared" si="90"/>
        <v>0</v>
      </c>
      <c r="DQ80" s="405" t="s">
        <v>545</v>
      </c>
      <c r="DR80" s="409" t="s">
        <v>3042</v>
      </c>
      <c r="DS80" s="420" t="str">
        <f t="shared" si="56"/>
        <v>FLINTSL - YELLOW</v>
      </c>
      <c r="DT80" s="409">
        <v>32</v>
      </c>
      <c r="DU80" s="411">
        <f>IF(DT80=0,0,IF($LB80=70%,VLOOKUP($DS80,'Jan-2026 rates'!$L:$R,4,0),IF($LB80=65%,VLOOKUP($DS80,'Jan-2026 rates'!$L:$R,4,0),IF($LB80=40%,VLOOKUP($DS80,'Jan-2026 rates'!$L:$R,5,0),IF($LB80=30%,VLOOKUP($DS80,'Jan-2026 rates'!$L:$R,6,0),IF($LB80=100%,VLOOKUP($DS80,'Jan-2026 rates'!$L:$R,7,0),IF($LB80=60%,VLOOKUP($DS80,'Jan-2026 rates'!$L:$S,8,0),IF($LB80=80%,VLOOKUP($DS80,'Jan-2026 rates'!L:T,9,0),0))))))))</f>
        <v>0</v>
      </c>
      <c r="DV80" s="412"/>
      <c r="DW80" s="409"/>
      <c r="DX80" s="411">
        <f>IF(DW80=0,0,IF($LB80=70%,VLOOKUP($DS80,'Jan-2026 rates'!$L:$R,4,0),IF($LB80=65%,VLOOKUP($DS80,'Jan-2026 rates'!$L:$R,4,0),IF($LB80=40%,VLOOKUP($DS80,'Jan-2026 rates'!$L:$R,5,0),IF($LB80=30%,VLOOKUP($DS80,'Jan-2026 rates'!$L:$R,6,0),IF($LB80=100%,VLOOKUP($DS80,'Jan-2026 rates'!$L:$R,7,0),IF($LB80=60%,VLOOKUP($DS80,'Jan-2026 rates'!$L:$S,8,0),IF($LB80=80%,VLOOKUP($DS80,'Jan-2026 rates'!L:T,9,0),0))))))))</f>
        <v>0</v>
      </c>
      <c r="DY80" s="413">
        <v>26505000033</v>
      </c>
      <c r="DZ80" s="413"/>
      <c r="EA80" s="412"/>
      <c r="EB80" s="412"/>
      <c r="EC80" s="412"/>
      <c r="ED80" s="412"/>
      <c r="EE80" s="412"/>
      <c r="EF80" s="412"/>
      <c r="EG80" s="409">
        <v>10</v>
      </c>
      <c r="EH80" s="398" t="e">
        <f>IF(EG80=0,0,IF(LEN(DY80)=11,_xlfn.XLOOKUP(DY80,'Dispensed Ink Rates'!C:C,'Dispensed Ink Rates'!CS:CS),VLOOKUP(DY80,'Jan-2026 rates'!$E:$F,2,0)))</f>
        <v>#N/A</v>
      </c>
      <c r="EI80" s="409"/>
      <c r="EJ80" s="398">
        <f>IF(EI80=0,0,IF(LEN(DZ80)=11,_xlfn.XLOOKUP(DZ80,'Dispensed Ink Rates'!C:C,'Dispensed Ink Rates'!CS:CS),VLOOKUP(DZ80,'Jan-2026 rates'!$E:$F,2,0)))</f>
        <v>0</v>
      </c>
      <c r="EK80" s="409"/>
      <c r="EL80" s="398">
        <f>IF(EK80=0,0,IF(LEN(EA80)=11,_xlfn.XLOOKUP(EA80,'Dispensed Ink Rates'!C:C,'Dispensed Ink Rates'!CS:CS),VLOOKUP(EA80,'Jan-2026 rates'!$E:$F,2,0)))</f>
        <v>0</v>
      </c>
      <c r="EM80" s="409"/>
      <c r="EN80" s="398">
        <f>IF(EM80=0,0,IF(LEN(EB80)=11,_xlfn.XLOOKUP(EB80,'Dispensed Ink Rates'!C:C,'Dispensed Ink Rates'!CS:CS),VLOOKUP(EB80,'Jan-2026 rates'!$E:$F,2,0)))</f>
        <v>0</v>
      </c>
      <c r="EO80" s="409"/>
      <c r="EP80" s="398">
        <f>IF(EO80=0,0,IF(LEN(EC80)=11,_xlfn.XLOOKUP(EC80,'Dispensed Ink Rates'!C:C,'Dispensed Ink Rates'!CS:CS),VLOOKUP(EC80,'Jan-2026 rates'!$E:$F,2,0)))</f>
        <v>0</v>
      </c>
      <c r="EQ80" s="409"/>
      <c r="ER80" s="398">
        <f>IF(EQ80=0,0,IF(LEN(ED80)=11,_xlfn.XLOOKUP(ED80,'Dispensed Ink Rates'!C:C,'Dispensed Ink Rates'!CS:CS),VLOOKUP(ED80,'Jan-2026 rates'!$E:$F,2,0)))</f>
        <v>0</v>
      </c>
      <c r="ES80" s="409"/>
      <c r="ET80" s="398">
        <f>IF(ES80=0,0,IF(LEN(EE80)=11,_xlfn.XLOOKUP(EE80,'Dispensed Ink Rates'!C:C,'Dispensed Ink Rates'!CS:CS),VLOOKUP(EE80,'Jan-2026 rates'!$E:$F,2,0)))</f>
        <v>0</v>
      </c>
      <c r="EU80" s="409"/>
      <c r="EV80" s="398">
        <f>IF(EU80=0,0,IF(LEN(EF80)=11,_xlfn.XLOOKUP(EF80,'Dispensed Ink Rates'!C:C,'Dispensed Ink Rates'!CS:CS),VLOOKUP(EF80,'Jan-2026 rates'!$E:$F,2,0)))</f>
        <v>0</v>
      </c>
      <c r="EW80" s="409" t="s">
        <v>1443</v>
      </c>
      <c r="EX80" s="409">
        <v>30</v>
      </c>
      <c r="EY80" s="411">
        <f t="shared" si="91"/>
        <v>0</v>
      </c>
      <c r="EZ80" s="411">
        <f t="shared" si="92"/>
        <v>16.142857142857139</v>
      </c>
      <c r="FA80" s="410">
        <f t="shared" si="93"/>
        <v>0</v>
      </c>
      <c r="FB80" s="405" t="s">
        <v>856</v>
      </c>
      <c r="FC80" s="409" t="s">
        <v>3043</v>
      </c>
      <c r="FD80" s="420" t="str">
        <f t="shared" si="57"/>
        <v>FLINTSL - WHITE</v>
      </c>
      <c r="FE80" s="409">
        <v>30</v>
      </c>
      <c r="FF80" s="411">
        <f>IF(FE80=0,0,IF($LB80=70%,VLOOKUP($FD80,'Jan-2026 rates'!$L:$R,4,0),IF($LB80=65%,VLOOKUP($FD80,'Jan-2026 rates'!$L:$R,4,0),IF($LB80=40%,VLOOKUP($FD80,'Jan-2026 rates'!$L:$R,5,0),IF($LB80=30%,VLOOKUP($FD80,'Jan-2026 rates'!$L:$R,6,0),IF($LB80=100%,VLOOKUP($FD80,'Jan-2026 rates'!$L:$R,7,0),IF($LB80=60%,VLOOKUP($FD80,'Jan-2026 rates'!$L:$S,8,0),IF($LB80=80%,VLOOKUP($FD80,'Jan-2026 rates'!L:T,9,0),0))))))))</f>
        <v>0</v>
      </c>
      <c r="FG80" s="412"/>
      <c r="FH80" s="409"/>
      <c r="FI80" s="411">
        <f>IF(FH80=0,0,IF($LB80=70%,VLOOKUP($FD80,'Jan-2026 rates'!$L:$R,4,0),IF($LB80=65%,VLOOKUP($FD80,'Jan-2026 rates'!$L:$R,4,0),IF($LB80=40%,VLOOKUP($FD80,'Jan-2026 rates'!$L:$R,5,0),IF($LB80=30%,VLOOKUP($FD80,'Jan-2026 rates'!$L:$R,6,0),IF($LB80=100%,VLOOKUP($FD80,'Jan-2026 rates'!$L:$R,7,0),IF($LB80=60%,VLOOKUP($FD80,'Jan-2026 rates'!$L:$S,8,0),IF($LB80=80%,VLOOKUP($FD80,'Jan-2026 rates'!L:T,9,0),0))))))))</f>
        <v>0</v>
      </c>
      <c r="FJ80" s="413" t="s">
        <v>484</v>
      </c>
      <c r="FK80" s="413"/>
      <c r="FL80" s="413"/>
      <c r="FM80" s="412"/>
      <c r="FN80" s="412"/>
      <c r="FO80" s="412"/>
      <c r="FP80" s="412"/>
      <c r="FQ80" s="412"/>
      <c r="FR80" s="409">
        <v>60</v>
      </c>
      <c r="FS80" s="398">
        <f>IF(FR80=0,0,IF(LEN(FJ80)=11,_xlfn.XLOOKUP(FJ80,'Dispensed Ink Rates'!C:C,'Dispensed Ink Rates'!CS:CS),VLOOKUP(FJ80,'Jan-2026 rates'!$E:$F,2,0)))</f>
        <v>0</v>
      </c>
      <c r="FT80" s="409"/>
      <c r="FU80" s="398">
        <f>IF(FT80=0,0,IF(LEN(FK80)=11,_xlfn.XLOOKUP(FK80,'Dispensed Ink Rates'!C:C,'Dispensed Ink Rates'!CS:CS),VLOOKUP(FK80,'Jan-2026 rates'!$E:$F,2,0)))</f>
        <v>0</v>
      </c>
      <c r="FV80" s="409"/>
      <c r="FW80" s="398">
        <f>IF(FV80=0,0,IF(LEN(FL80)=11,_xlfn.XLOOKUP(FL80,'Dispensed Ink Rates'!C:C,'Dispensed Ink Rates'!CS:CS),VLOOKUP(FL80,'Jan-2026 rates'!$E:$F,2,0)))</f>
        <v>0</v>
      </c>
      <c r="FX80" s="409"/>
      <c r="FY80" s="398">
        <f>IF(FX80=0,0,IF(LEN(FM80)=11,_xlfn.XLOOKUP(FM80,'Dispensed Ink Rates'!C:C,'Dispensed Ink Rates'!CS:CS),VLOOKUP(FM80,'Jan-2026 rates'!$E:$F,2,0)))</f>
        <v>0</v>
      </c>
      <c r="FZ80" s="409"/>
      <c r="GA80" s="398">
        <f>IF(FZ80=0,0,IF(LEN(FN80)=11,_xlfn.XLOOKUP(FN80,'Dispensed Ink Rates'!C:C,'Dispensed Ink Rates'!CS:CS),VLOOKUP(FN80,'Jan-2026 rates'!$E:$F,2,0)))</f>
        <v>0</v>
      </c>
      <c r="GB80" s="409"/>
      <c r="GC80" s="398">
        <f>IF(GB80=0,0,IF(LEN(FO80)=11,_xlfn.XLOOKUP(FO80,'Dispensed Ink Rates'!C:C,'Dispensed Ink Rates'!CS:CS),VLOOKUP(FO80,'Jan-2026 rates'!$E:$F,2,0)))</f>
        <v>0</v>
      </c>
      <c r="GD80" s="409"/>
      <c r="GE80" s="398">
        <f>IF(GD80=0,0,IF(LEN(FP80)=11,_xlfn.XLOOKUP(FP80,'Dispensed Ink Rates'!C:C,'Dispensed Ink Rates'!CS:CS),VLOOKUP(FP80,'Jan-2026 rates'!$E:$F,2,0)))</f>
        <v>0</v>
      </c>
      <c r="GF80" s="409"/>
      <c r="GG80" s="398">
        <f>IF(GF80=0,0,IF(LEN(FQ80)=11,_xlfn.XLOOKUP(FQ80,'Dispensed Ink Rates'!C:C,'Dispensed Ink Rates'!CS:CS),VLOOKUP(FQ80,'Jan-2026 rates'!$E:$F,2,0)))</f>
        <v>0</v>
      </c>
      <c r="GH80" s="409" t="s">
        <v>1443</v>
      </c>
      <c r="GI80" s="409">
        <v>30</v>
      </c>
      <c r="GJ80" s="411">
        <f t="shared" si="94"/>
        <v>0</v>
      </c>
      <c r="GK80" s="411">
        <f t="shared" si="95"/>
        <v>122.14285714285714</v>
      </c>
      <c r="GL80" s="410">
        <f t="shared" si="96"/>
        <v>0</v>
      </c>
      <c r="GM80" s="405"/>
      <c r="GN80" s="409"/>
      <c r="GO80" s="420" t="str">
        <f t="shared" si="58"/>
        <v xml:space="preserve"> - </v>
      </c>
      <c r="GP80" s="409"/>
      <c r="GQ80" s="411">
        <f>IF(GP80=0,0,IF($LB80=70%,VLOOKUP($GO80,'Jan-2026 rates'!$L:$R,4,0),IF($LB80=65%,VLOOKUP($GO80,'Jan-2026 rates'!$L:$R,4,0),IF($LB80=40%,VLOOKUP($GO80,'Jan-2026 rates'!$L:$R,5,0),IF($LB80=30%,VLOOKUP($GO80,'Jan-2026 rates'!$L:$R,6,0),IF($LB80=100%,VLOOKUP($GO80,'Jan-2026 rates'!$L:$R,7,0),IF($LB80=60%,VLOOKUP($GO80,'Jan-2026 rates'!$L:$S,8,0),IF($LB80=80%,VLOOKUP($GO80,'Jan-2026 rates'!L:T,9,0),0))))))))</f>
        <v>0</v>
      </c>
      <c r="GR80" s="412"/>
      <c r="GS80" s="409"/>
      <c r="GT80" s="411">
        <f>IF(GS80=0,0,IF($LB80=70%,VLOOKUP($GO80,'Jan-2026 rates'!$L:$R,4,0),IF($LB80=65%,VLOOKUP($GO80,'Jan-2026 rates'!$L:$R,4,0),IF($LB80=40%,VLOOKUP($GO80,'Jan-2026 rates'!$L:$R,5,0),IF($LB80=30%,VLOOKUP($GO80,'Jan-2026 rates'!$L:$R,6,0),IF($LB80=100%,VLOOKUP($GO80,'Jan-2026 rates'!$L:$R,7,0),IF($LB80=60%,VLOOKUP($GO80,'Jan-2026 rates'!$L:$S,8,0),IF($LB80=80%,VLOOKUP($GO80,'Jan-2026 rates'!L:T,9,0),0))))))))</f>
        <v>0</v>
      </c>
      <c r="GU80" s="413"/>
      <c r="GV80" s="413"/>
      <c r="GW80" s="412"/>
      <c r="GX80" s="412"/>
      <c r="GY80" s="412"/>
      <c r="GZ80" s="412"/>
      <c r="HA80" s="412"/>
      <c r="HB80" s="412"/>
      <c r="HC80" s="409"/>
      <c r="HD80" s="398">
        <f>IF(HC80=0,0,IF(LEN(GU80)=11,_xlfn.XLOOKUP(GU80,'Dispensed Ink Rates'!C:C,'Dispensed Ink Rates'!CS:CS),VLOOKUP(GU80,'Jan-2026 rates'!$E:$F,2,0)))</f>
        <v>0</v>
      </c>
      <c r="HE80" s="409"/>
      <c r="HF80" s="398">
        <f>IF(HE80=0,0,IF(LEN(GV80)=11,_xlfn.XLOOKUP(GV80,'Dispensed Ink Rates'!C:C,'Dispensed Ink Rates'!CS:CS),VLOOKUP(GV80,'Jan-2026 rates'!$E:$F,2,0)))</f>
        <v>0</v>
      </c>
      <c r="HG80" s="409"/>
      <c r="HH80" s="398">
        <f>IF(HG80=0,0,IF(LEN(GW80)=11,_xlfn.XLOOKUP(GW80,'Dispensed Ink Rates'!C:C,'Dispensed Ink Rates'!CS:CS),VLOOKUP(GW80,'Jan-2026 rates'!$E:$F,2,0)))</f>
        <v>0</v>
      </c>
      <c r="HI80" s="409"/>
      <c r="HJ80" s="398">
        <f>IF(HI80=0,0,IF(LEN(GX80)=11,_xlfn.XLOOKUP(GX80,'Dispensed Ink Rates'!C:C,'Dispensed Ink Rates'!CS:CS),VLOOKUP(GX80,'Jan-2026 rates'!$E:$F,2,0)))</f>
        <v>0</v>
      </c>
      <c r="HK80" s="409"/>
      <c r="HL80" s="398">
        <f>IF(HK80=0,0,IF(LEN(GY80)=11,_xlfn.XLOOKUP(GY80,'Dispensed Ink Rates'!C:C,'Dispensed Ink Rates'!CS:CS),VLOOKUP(GY80,'Jan-2026 rates'!$E:$F,2,0)))</f>
        <v>0</v>
      </c>
      <c r="HM80" s="409"/>
      <c r="HN80" s="398">
        <f>IF(HM80=0,0,IF(LEN(GZ80)=11,_xlfn.XLOOKUP(GZ80,'Dispensed Ink Rates'!C:C,'Dispensed Ink Rates'!CS:CS),VLOOKUP(GZ80,'Jan-2026 rates'!$E:$F,2,0)))</f>
        <v>0</v>
      </c>
      <c r="HO80" s="409"/>
      <c r="HP80" s="398">
        <f>IF(HO80=0,0,IF(LEN(HA80)=11,_xlfn.XLOOKUP(HA80,'Dispensed Ink Rates'!C:C,'Dispensed Ink Rates'!CS:CS),VLOOKUP(HA80,'Jan-2026 rates'!$E:$F,2,0)))</f>
        <v>0</v>
      </c>
      <c r="HQ80" s="409"/>
      <c r="HR80" s="398">
        <f>IF(HQ80=0,0,IF(LEN(HB80)=11,_xlfn.XLOOKUP(HB80,'Dispensed Ink Rates'!C:C,'Dispensed Ink Rates'!CS:CS),VLOOKUP(HB80,'Jan-2026 rates'!$E:$F,2,0)))</f>
        <v>0</v>
      </c>
      <c r="HS80" s="409"/>
      <c r="HT80" s="409"/>
      <c r="HU80" s="411">
        <f t="shared" si="97"/>
        <v>0</v>
      </c>
      <c r="HV80" s="411">
        <f t="shared" si="98"/>
        <v>0</v>
      </c>
      <c r="HW80" s="414">
        <f t="shared" si="99"/>
        <v>0</v>
      </c>
      <c r="HX80" s="405"/>
      <c r="HY80" s="409"/>
      <c r="HZ80" s="420" t="str">
        <f t="shared" si="59"/>
        <v xml:space="preserve"> - </v>
      </c>
      <c r="IA80" s="409"/>
      <c r="IB80" s="411">
        <f>IF(IA80=0,0,IF($LB80=70%,VLOOKUP($HZ80,'Jan-2026 rates'!$L:$R,4,0),IF($LB80=65%,VLOOKUP($HZ80,'Jan-2026 rates'!$L:$R,4,0),IF($LB80=40%,VLOOKUP($HZ80,'Jan-2026 rates'!$L:$R,5,0),IF($LB80=30%,VLOOKUP($HZ80,'Jan-2026 rates'!$L:$R,6,0),IF($LB80=100%,VLOOKUP($HZ80,'Jan-2026 rates'!$L:$R,7,0),IF($LB80=60%,VLOOKUP($HZ80,'Jan-2026 rates'!$L:$S,8,0),IF($LB80=80%,VLOOKUP($HZ80,'Jan-2026 rates'!L:T,9,0),0))))))))</f>
        <v>0</v>
      </c>
      <c r="IC80" s="412"/>
      <c r="ID80" s="409"/>
      <c r="IE80" s="411">
        <f>IF(ID80=0,0,IF($LB80=70%,VLOOKUP($HZ80,'Jan-2026 rates'!$L:$R,4,0),IF($LB80=65%,VLOOKUP($HZ80,'Jan-2026 rates'!$L:$R,4,0),IF($LB80=40%,VLOOKUP($HZ80,'Jan-2026 rates'!$L:$R,5,0),IF($LB80=30%,VLOOKUP($HZ80,'Jan-2026 rates'!$L:$R,6,0),IF($LB80=100%,VLOOKUP($HZ80,'Jan-2026 rates'!$L:$R,7,0),IF($LB80=60%,VLOOKUP($HZ80,'Jan-2026 rates'!$L:$S,8,0),IF($LB80=80%,VLOOKUP($HZ80,'Jan-2026 rates'!L:T,9,0),0))))))))</f>
        <v>0</v>
      </c>
      <c r="IF80" s="412"/>
      <c r="IG80" s="413"/>
      <c r="IH80" s="412"/>
      <c r="II80" s="412"/>
      <c r="IJ80" s="412"/>
      <c r="IK80" s="412"/>
      <c r="IL80" s="412"/>
      <c r="IM80" s="412"/>
      <c r="IN80" s="409"/>
      <c r="IO80" s="398">
        <f>IF(IN80=0,0,IF(LEN(IF80)=11,_xlfn.XLOOKUP(IF80,'Dispensed Ink Rates'!C:C,'Dispensed Ink Rates'!CS:CS),VLOOKUP(IF80,'Jan-2026 rates'!$E:$F,2,0)))</f>
        <v>0</v>
      </c>
      <c r="IP80" s="409"/>
      <c r="IQ80" s="398">
        <f>IF(IP80=0,0,IF(LEN(IG80)=11,_xlfn.XLOOKUP(IG80,'Dispensed Ink Rates'!C:C,'Dispensed Ink Rates'!CS:CS),VLOOKUP(IG80,'Jan-2026 rates'!$E:$F,2,0)))</f>
        <v>0</v>
      </c>
      <c r="IR80" s="409"/>
      <c r="IS80" s="398">
        <f>IF(IR80=0,0,IF(LEN(IH80)=11,_xlfn.XLOOKUP(IH80,'Dispensed Ink Rates'!C:C,'Dispensed Ink Rates'!CS:CS),VLOOKUP(IH80,'Jan-2026 rates'!$E:$F,2,0)))</f>
        <v>0</v>
      </c>
      <c r="IT80" s="409"/>
      <c r="IU80" s="398">
        <f>IF(IT80=0,0,IF(LEN(II80)=11,_xlfn.XLOOKUP(II80,'Dispensed Ink Rates'!C:C,'Dispensed Ink Rates'!CS:CS),VLOOKUP(II80,'Jan-2026 rates'!$E:$F,2,0)))</f>
        <v>0</v>
      </c>
      <c r="IV80" s="409"/>
      <c r="IW80" s="398">
        <f>IF(IV80=0,0,IF(LEN(IJ80)=11,_xlfn.XLOOKUP(IJ80,'Dispensed Ink Rates'!C:C,'Dispensed Ink Rates'!CS:CS),VLOOKUP(IJ80,'Jan-2026 rates'!$E:$F,2,0)))</f>
        <v>0</v>
      </c>
      <c r="IX80" s="409"/>
      <c r="IY80" s="398">
        <f>IF(IX80=0,0,IF(LEN(IK80)=11,_xlfn.XLOOKUP(IK80,'Dispensed Ink Rates'!C:C,'Dispensed Ink Rates'!CS:CS),VLOOKUP(IK80,'Jan-2026 rates'!$E:$F,2,0)))</f>
        <v>0</v>
      </c>
      <c r="IZ80" s="409"/>
      <c r="JA80" s="398">
        <f>IF(IZ80=0,0,IF(LEN(IL80)=11,_xlfn.XLOOKUP(IL80,'Dispensed Ink Rates'!C:C,'Dispensed Ink Rates'!CS:CS),VLOOKUP(IL80,'Jan-2026 rates'!$E:$F,2,0)))</f>
        <v>0</v>
      </c>
      <c r="JB80" s="409"/>
      <c r="JC80" s="398">
        <f>IF(JB80=0,0,IF(LEN(IM80)=11,_xlfn.XLOOKUP(IM80,'Dispensed Ink Rates'!C:C,'Dispensed Ink Rates'!CS:CS),VLOOKUP(IM80,'Jan-2026 rates'!$E:$F,2,0)))</f>
        <v>0</v>
      </c>
      <c r="JD80" s="409"/>
      <c r="JE80" s="409"/>
      <c r="JF80" s="411">
        <f t="shared" si="100"/>
        <v>0</v>
      </c>
      <c r="JG80" s="411">
        <f t="shared" si="101"/>
        <v>0</v>
      </c>
      <c r="JH80" s="410">
        <f t="shared" si="102"/>
        <v>0</v>
      </c>
      <c r="JI80" s="405"/>
      <c r="JJ80" s="409"/>
      <c r="JK80" s="420" t="str">
        <f t="shared" si="60"/>
        <v xml:space="preserve"> - </v>
      </c>
      <c r="JL80" s="409"/>
      <c r="JM80" s="411">
        <f>IF(JL80=0,0,IF($LB80=70%,VLOOKUP($JK80,'Jan-2026 rates'!$L:$R,4,0),IF($LB80=65%,VLOOKUP($JK80,'Jan-2026 rates'!$L:$R,4,0),IF($LB80=40%,VLOOKUP($JK80,'Jan-2026 rates'!$L:$R,5,0),IF($LB80=30%,VLOOKUP($JK80,'Jan-2026 rates'!$L:$R,6,0),IF($LB80=100%,VLOOKUP($JK80,'Jan-2026 rates'!$L:$R,7,0),IF($LB80=60%,VLOOKUP($JK80,'Jan-2026 rates'!$L:$S,8,0),IF($LB80=80%,VLOOKUP($JK80,'Jan-2026 rates'!L:T,9,0),0))))))))</f>
        <v>0</v>
      </c>
      <c r="JN80" s="412"/>
      <c r="JO80" s="409"/>
      <c r="JP80" s="411">
        <f>IF(JO80=0,0,IF($LB80=70%,VLOOKUP($JK80,'Jan-2026 rates'!$L:$R,4,0),IF($LB80=65%,VLOOKUP($JK80,'Jan-2026 rates'!$L:$R,4,0),IF($LB80=40%,VLOOKUP($JK80,'Jan-2026 rates'!$L:$R,5,0),IF($LB80=30%,VLOOKUP($JK80,'Jan-2026 rates'!$L:$R,6,0),IF($LB80=100%,VLOOKUP($JK80,'Jan-2026 rates'!$L:$R,7,0),IF($LB80=60%,VLOOKUP($JK80,'Jan-2026 rates'!$L:$S,8,0),IF($LB80=80%,VLOOKUP($JK80,'Jan-2026 rates'!L:T,9,0),0))))))))</f>
        <v>0</v>
      </c>
      <c r="JQ80" s="413"/>
      <c r="JR80" s="412"/>
      <c r="JS80" s="413"/>
      <c r="JT80" s="413"/>
      <c r="JU80" s="412"/>
      <c r="JV80" s="412"/>
      <c r="JW80" s="412"/>
      <c r="JX80" s="412"/>
      <c r="JY80" s="409"/>
      <c r="JZ80" s="398">
        <f>IF(JY80=0,0,IF(LEN(JQ80)=11,_xlfn.XLOOKUP(JQ80,'Dispensed Ink Rates'!C:C,'Dispensed Ink Rates'!CS:CS),VLOOKUP(JQ80,'Jan-2026 rates'!$E:$F,2,0)))</f>
        <v>0</v>
      </c>
      <c r="KA80" s="409"/>
      <c r="KB80" s="398">
        <f>IF(KA80=0,0,IF(LEN(JR80)=11,_xlfn.XLOOKUP(JR80,'Dispensed Ink Rates'!C:C,'Dispensed Ink Rates'!CS:CS),VLOOKUP(JR80,'Jan-2026 rates'!$E:$F,2,0)))</f>
        <v>0</v>
      </c>
      <c r="KC80" s="409"/>
      <c r="KD80" s="398">
        <f>IF(KC80=0,0,IF(LEN(JS80)=11,_xlfn.XLOOKUP(JS80,'Dispensed Ink Rates'!C:C,'Dispensed Ink Rates'!CS:CS),VLOOKUP(JS80,'Jan-2026 rates'!$E:$F,2,0)))</f>
        <v>0</v>
      </c>
      <c r="KE80" s="409"/>
      <c r="KF80" s="398">
        <f>IF(KE80=0,0,IF(LEN(JT80)=11,_xlfn.XLOOKUP(JT80,'Dispensed Ink Rates'!C:C,'Dispensed Ink Rates'!CS:CS),VLOOKUP(JT80,'Jan-2026 rates'!$E:$F,2,0)))</f>
        <v>0</v>
      </c>
      <c r="KG80" s="409"/>
      <c r="KH80" s="398">
        <f>IF(KG80=0,0,IF(LEN(JU80)=11,_xlfn.XLOOKUP(JU80,'Dispensed Ink Rates'!C:C,'Dispensed Ink Rates'!CS:CS),VLOOKUP(JU80,'Jan-2026 rates'!$E:$F,2,0)))</f>
        <v>0</v>
      </c>
      <c r="KI80" s="409"/>
      <c r="KJ80" s="398">
        <f>IF(KI80=0,0,IF(LEN(JV80)=11,_xlfn.XLOOKUP(JV80,'Dispensed Ink Rates'!C:C,'Dispensed Ink Rates'!CS:CS),VLOOKUP(JV80,'Jan-2026 rates'!$E:$F,2,0)))</f>
        <v>0</v>
      </c>
      <c r="KK80" s="409"/>
      <c r="KL80" s="398">
        <f>IF(KK80=0,0,IF(LEN(JW80)=11,_xlfn.XLOOKUP(JW80,'Dispensed Ink Rates'!C:C,'Dispensed Ink Rates'!CS:CS),VLOOKUP(JW80,'Jan-2026 rates'!$E:$F,2,0)))</f>
        <v>0</v>
      </c>
      <c r="KM80" s="428"/>
      <c r="KN80" s="398">
        <f>IF(KM80=0,0,IF(LEN(JX80)=11,_xlfn.XLOOKUP(JX80,'Dispensed Ink Rates'!C:C,'Dispensed Ink Rates'!CS:CS),VLOOKUP(JX80,'Jan-2026 rates'!$E:$F,2,0)))</f>
        <v>0</v>
      </c>
      <c r="KO80" s="409"/>
      <c r="KP80" s="409"/>
      <c r="KQ80" s="411">
        <f t="shared" si="103"/>
        <v>0</v>
      </c>
      <c r="KR80" s="411">
        <f t="shared" si="104"/>
        <v>0</v>
      </c>
      <c r="KS80" s="410">
        <f t="shared" si="105"/>
        <v>0</v>
      </c>
      <c r="KT80" s="409">
        <v>2</v>
      </c>
      <c r="KU80" s="409">
        <v>5</v>
      </c>
      <c r="KV80" s="409">
        <v>3</v>
      </c>
      <c r="KW80" s="409">
        <v>2</v>
      </c>
      <c r="KX80" s="409">
        <v>30</v>
      </c>
      <c r="KY80" s="409">
        <v>0</v>
      </c>
      <c r="KZ80" s="409">
        <v>0</v>
      </c>
      <c r="LA80" s="409">
        <v>0</v>
      </c>
      <c r="LB80" s="415">
        <v>0.8</v>
      </c>
      <c r="LC80" s="415">
        <v>0.2</v>
      </c>
      <c r="LD80" s="415"/>
      <c r="LE80" s="415"/>
      <c r="LF80" s="415"/>
      <c r="LG80" s="409">
        <v>0</v>
      </c>
      <c r="LH80" s="409">
        <f>30+20+32+5</f>
        <v>87</v>
      </c>
      <c r="LI80" s="409">
        <v>0</v>
      </c>
      <c r="LJ80" s="409">
        <v>0</v>
      </c>
      <c r="LK80" s="416">
        <f t="shared" si="61"/>
        <v>87</v>
      </c>
      <c r="LL80" s="416">
        <f t="shared" si="62"/>
        <v>87</v>
      </c>
      <c r="LM80" s="417">
        <f t="shared" si="63"/>
        <v>69.600000000000009</v>
      </c>
      <c r="LN80" s="417">
        <f>VLOOKUP($LM$8,'Jan-2026 rates'!$H:$I,2,0)</f>
        <v>0</v>
      </c>
      <c r="LO80" s="417">
        <f t="shared" si="64"/>
        <v>17.400000000000002</v>
      </c>
      <c r="LP80" s="417">
        <f>VLOOKUP($LO$8,'Jan-2026 rates'!$H:$I,2,0)</f>
        <v>0</v>
      </c>
      <c r="LQ80" s="417">
        <f t="shared" si="65"/>
        <v>0</v>
      </c>
      <c r="LR80" s="417">
        <f>VLOOKUP($LQ$8,'Jan-2026 rates'!$H:$I,2,0)</f>
        <v>0</v>
      </c>
      <c r="LS80" s="417">
        <f t="shared" si="66"/>
        <v>0</v>
      </c>
      <c r="LT80" s="417">
        <f>VLOOKUP($LS$8,'Jan-2026 rates'!$H:$I,2,0)</f>
        <v>0</v>
      </c>
      <c r="LU80" s="417">
        <f t="shared" si="67"/>
        <v>0</v>
      </c>
      <c r="LV80" s="417">
        <f>VLOOKUP($LU$8,'Jan-2026 rates'!$H:$I,2,0)</f>
        <v>0</v>
      </c>
      <c r="LW80" s="417">
        <f t="shared" si="68"/>
        <v>0</v>
      </c>
      <c r="LX80" s="417">
        <f t="shared" si="69"/>
        <v>0</v>
      </c>
      <c r="LY80" s="418">
        <f t="shared" si="70"/>
        <v>0</v>
      </c>
      <c r="LZ80" s="417"/>
      <c r="MA80" s="435">
        <f t="shared" si="71"/>
        <v>104</v>
      </c>
      <c r="MB80" s="282">
        <f t="shared" si="72"/>
        <v>199</v>
      </c>
      <c r="MC80" s="283">
        <v>35</v>
      </c>
      <c r="MD80" s="284" t="str">
        <f t="shared" si="73"/>
        <v>FLINTSLFLINTSLFLINTSLFLINTSLFLINTSL</v>
      </c>
      <c r="ME80" s="293" t="str">
        <f t="shared" si="74"/>
        <v>+</v>
      </c>
      <c r="MF80" s="293" t="str">
        <f t="shared" si="75"/>
        <v>+</v>
      </c>
      <c r="MG80" s="293" t="str">
        <f t="shared" si="76"/>
        <v>+</v>
      </c>
      <c r="MH80" s="293" t="str">
        <f t="shared" si="77"/>
        <v>+</v>
      </c>
      <c r="MI80" s="293" t="str">
        <f t="shared" si="78"/>
        <v>+</v>
      </c>
      <c r="MJ80" s="293" t="str">
        <f t="shared" si="79"/>
        <v>NIL</v>
      </c>
      <c r="MK80" s="293" t="str">
        <f t="shared" si="80"/>
        <v>NIL</v>
      </c>
      <c r="ML80" s="293" t="str">
        <f t="shared" si="81"/>
        <v>NIL</v>
      </c>
      <c r="MM80" s="3" t="b">
        <f t="array" ref="MM80">OR(ME80:ML80="-")</f>
        <v>0</v>
      </c>
      <c r="MN80" s="285"/>
      <c r="MO80" s="401"/>
      <c r="MP80" s="286"/>
      <c r="MQ80" s="286"/>
      <c r="MR80" s="402"/>
      <c r="MS80" s="400"/>
      <c r="NH80" s="422"/>
      <c r="NJ80" s="421"/>
    </row>
    <row r="81" spans="1:374" s="1" customFormat="1" ht="16.5">
      <c r="A81" s="403">
        <v>46028</v>
      </c>
      <c r="B81" s="404" t="s">
        <v>1015</v>
      </c>
      <c r="C81" s="405" t="s">
        <v>3044</v>
      </c>
      <c r="D81" s="406">
        <v>36</v>
      </c>
      <c r="E81" s="404">
        <v>515</v>
      </c>
      <c r="F81" s="407">
        <v>26500</v>
      </c>
      <c r="G81" s="407" t="s">
        <v>1019</v>
      </c>
      <c r="H81" s="408" t="s">
        <v>1017</v>
      </c>
      <c r="I81" s="409">
        <v>1.63</v>
      </c>
      <c r="J81" s="405" t="s">
        <v>543</v>
      </c>
      <c r="K81" s="404" t="s">
        <v>3045</v>
      </c>
      <c r="L81" s="419" t="str">
        <f t="shared" si="54"/>
        <v>FLINTSL - BLACK</v>
      </c>
      <c r="M81" s="404">
        <v>26</v>
      </c>
      <c r="N81" s="410">
        <f>IF(M81=0,0,IF($LB81=70%,VLOOKUP($L81,'Jan-2026 rates'!$L:$R,4,0),IF($LB81=65%,VLOOKUP($L81,'Jan-2026 rates'!$L:$R,4,0),IF($LB81=40%,VLOOKUP($L81,'Jan-2026 rates'!$L:$R,5,0),IF($LB81=30%,VLOOKUP($L81,'Jan-2026 rates'!$L:$R,6,0),IF($LB81=100%,VLOOKUP($L81,'Jan-2026 rates'!$L:$R,7,0),IF($LB81=60%,VLOOKUP($L81,'Jan-2026 rates'!$L:$S,8,0),IF($LB81=80%,VLOOKUP($L81,'Jan-2026 rates'!L:T,9,0),0))))))))</f>
        <v>0</v>
      </c>
      <c r="O81" s="406"/>
      <c r="P81" s="404"/>
      <c r="Q81" s="410">
        <f>IF(P81=0,0,IF($LB81=70%,VLOOKUP($L81,'Jan-2026 rates'!$L:$R,4,0),IF($LB81=65%,VLOOKUP($L81,'Jan-2026 rates'!$L:$R,4,0),IF($LB81=40%,VLOOKUP($L81,'Jan-2026 rates'!$L:$R,5,0),IF($LB81=30%,VLOOKUP($L81,'Jan-2026 rates'!$L:$R,6,0),IF($LB81=100%,VLOOKUP($L81,'Jan-2026 rates'!$L:$R,7,0),IF($LB81=60%,VLOOKUP($L81,'Jan-2026 rates'!$L:$S,8,0),IF($LB81=80%,VLOOKUP($L81,'Jan-2026 rates'!L:T,9,0),0))))))))</f>
        <v>0</v>
      </c>
      <c r="R81" s="406">
        <v>26506000005</v>
      </c>
      <c r="S81" s="406"/>
      <c r="T81" s="406"/>
      <c r="U81" s="406"/>
      <c r="V81" s="406"/>
      <c r="W81" s="406"/>
      <c r="X81" s="406"/>
      <c r="Y81" s="406"/>
      <c r="Z81" s="404">
        <v>1</v>
      </c>
      <c r="AA81" s="398" t="e">
        <f>IF(Z81=0,0,IF(LEN(R81)=11,_xlfn.XLOOKUP(R81,'Dispensed Ink Rates'!C:C,'Dispensed Ink Rates'!CS:CS),VLOOKUP(R81,'Jan-2026 rates'!$E:$F,2,0)))</f>
        <v>#N/A</v>
      </c>
      <c r="AB81" s="404"/>
      <c r="AC81" s="398">
        <f>IF(AB81=0,0,IF(LEN(S81)=11,_xlfn.XLOOKUP(S81,'Dispensed Ink Rates'!C:C,'Dispensed Ink Rates'!CS:CS),VLOOKUP(S81,'Jan-2026 rates'!$E:$F,2,0)))</f>
        <v>0</v>
      </c>
      <c r="AD81" s="404"/>
      <c r="AE81" s="398">
        <f>IF(AD81=0,0,IF(LEN(T81)=11,_xlfn.XLOOKUP(T81,'Dispensed Ink Rates'!C:C,'Dispensed Ink Rates'!CS:CS),VLOOKUP(T81,'Jan-2026 rates'!$E:$F,2,0)))</f>
        <v>0</v>
      </c>
      <c r="AF81" s="404"/>
      <c r="AG81" s="398">
        <f>IF(AF81=0,0,IF(LEN(U81)=11,_xlfn.XLOOKUP(U81,'Dispensed Ink Rates'!C:C,'Dispensed Ink Rates'!CS:CS),VLOOKUP(U81,'Jan-2026 rates'!$E:$F,2,0)))</f>
        <v>0</v>
      </c>
      <c r="AH81" s="404"/>
      <c r="AI81" s="398">
        <f>IF(AH81=0,0,IF(LEN(V81)=11,_xlfn.XLOOKUP(V81,'Dispensed Ink Rates'!C:C,'Dispensed Ink Rates'!CS:CS),VLOOKUP(V81,'Jan-2026 rates'!$E:$F,2,0)))</f>
        <v>0</v>
      </c>
      <c r="AJ81" s="404"/>
      <c r="AK81" s="398">
        <f>IF(AJ81=0,0,IF(LEN(W81)=11,_xlfn.XLOOKUP(W81,'Dispensed Ink Rates'!C:C,'Dispensed Ink Rates'!CS:CS),VLOOKUP(W81,'Jan-2026 rates'!$E:$F,2,0)))</f>
        <v>0</v>
      </c>
      <c r="AL81" s="404"/>
      <c r="AM81" s="398">
        <f>IF(AL81=0,0,IF(LEN(X81)=11,_xlfn.XLOOKUP(X81,'Dispensed Ink Rates'!C:C,'Dispensed Ink Rates'!CS:CS),VLOOKUP(X81,'Jan-2026 rates'!$E:$F,2,0)))</f>
        <v>0</v>
      </c>
      <c r="AN81" s="404"/>
      <c r="AO81" s="398">
        <f>IF(AN81=0,0,IF(LEN(Y81)=11,_xlfn.XLOOKUP(Y81,'Dispensed Ink Rates'!C:C,'Dispensed Ink Rates'!CS:CS),VLOOKUP(Y81,'Jan-2026 rates'!$E:$F,2,0)))</f>
        <v>0</v>
      </c>
      <c r="AP81" s="409" t="s">
        <v>1443</v>
      </c>
      <c r="AQ81" s="409">
        <v>24</v>
      </c>
      <c r="AR81" s="410">
        <f t="shared" si="82"/>
        <v>0</v>
      </c>
      <c r="AS81" s="411">
        <f t="shared" si="83"/>
        <v>8.8064516129032242</v>
      </c>
      <c r="AT81" s="410">
        <f t="shared" si="84"/>
        <v>0</v>
      </c>
      <c r="AU81" s="405" t="s">
        <v>546</v>
      </c>
      <c r="AV81" s="409" t="s">
        <v>3045</v>
      </c>
      <c r="AW81" s="420" t="str">
        <f t="shared" si="53"/>
        <v>FLINTSL - REFLEX BLUE</v>
      </c>
      <c r="AX81" s="409">
        <v>10</v>
      </c>
      <c r="AY81" s="411">
        <f>IF(AX81=0,0,IF($LB81=70%,VLOOKUP($AW81,'Jan-2026 rates'!$L:$R,4,0),IF($LB81=65%,VLOOKUP($AW81,'Jan-2026 rates'!$L:$R,4,0),IF($LB81=40%,VLOOKUP($AW81,'Jan-2026 rates'!$L:$R,5,0),IF($LB81=30%,VLOOKUP($AW81,'Jan-2026 rates'!$L:$R,6,0),IF($LB81=100%,VLOOKUP($AW81,'Jan-2026 rates'!$L:$R,7,0),IF($LB81=60%,VLOOKUP($AW81,'Jan-2026 rates'!$L:$S,8,0),IF($LB81=80%,VLOOKUP($AW81,'Jan-2026 rates'!L:T,9,0),0))))))))</f>
        <v>0</v>
      </c>
      <c r="AZ81" s="412" t="s">
        <v>3040</v>
      </c>
      <c r="BA81" s="409">
        <v>10</v>
      </c>
      <c r="BB81" s="411">
        <f>IF(BA81=0,0,IF($LB81=70%,VLOOKUP($AW81,'Jan-2026 rates'!$L:$R,4,0),IF($LB81=65%,VLOOKUP($AW81,'Jan-2026 rates'!$L:$R,4,0),IF($LB81=40%,VLOOKUP($AW81,'Jan-2026 rates'!$L:$R,5,0),IF($LB81=30%,VLOOKUP($AW81,'Jan-2026 rates'!$L:$R,6,0),IF($LB81=100%,VLOOKUP($AW81,'Jan-2026 rates'!$L:$R,7,0),IF($LB81=60%,VLOOKUP($AW81,'Jan-2026 rates'!$L:$S,8,0),IF($LB81=80%,VLOOKUP($AW81,'Jan-2026 rates'!L:T,9,0),0))))))))</f>
        <v>0</v>
      </c>
      <c r="BC81" s="413">
        <v>26506000005</v>
      </c>
      <c r="BD81" s="412">
        <v>26505000013</v>
      </c>
      <c r="BE81" s="412">
        <v>9472</v>
      </c>
      <c r="BF81" s="413"/>
      <c r="BG81" s="412"/>
      <c r="BH81" s="412"/>
      <c r="BI81" s="412"/>
      <c r="BJ81" s="412"/>
      <c r="BK81" s="409">
        <v>0.5</v>
      </c>
      <c r="BL81" s="398" t="e">
        <f>IF(BK81=0,0,IF(LEN(BC81)=11,_xlfn.XLOOKUP(BC81,'Dispensed Ink Rates'!C:C,'Dispensed Ink Rates'!CS:CS),VLOOKUP(BC81,'Jan-2026 rates'!$E:$F,2,0)))</f>
        <v>#N/A</v>
      </c>
      <c r="BM81" s="409">
        <v>4</v>
      </c>
      <c r="BN81" s="398" t="e">
        <f>IF(BM81=0,0,IF(LEN(BD81)=11,_xlfn.XLOOKUP(BD81,'Dispensed Ink Rates'!C:C,'Dispensed Ink Rates'!CS:CS),VLOOKUP(BD81,'Jan-2026 rates'!$E:$F,2,0)))</f>
        <v>#N/A</v>
      </c>
      <c r="BO81" s="409">
        <v>5</v>
      </c>
      <c r="BP81" s="398">
        <f>IF(BO81=0,0,IF(LEN(BE81)=11,_xlfn.XLOOKUP(BE81,'Dispensed Ink Rates'!C:C,'Dispensed Ink Rates'!CS:CS),VLOOKUP(BE81,'Jan-2026 rates'!$E:$F,2,0)))</f>
        <v>0</v>
      </c>
      <c r="BQ81" s="409"/>
      <c r="BR81" s="398">
        <f>IF(BQ81=0,0,IF(LEN(BF81)=11,_xlfn.XLOOKUP(BF81,'Dispensed Ink Rates'!C:C,'Dispensed Ink Rates'!CS:CS),VLOOKUP(BF81,'Jan-2026 rates'!$E:$F,2,0)))</f>
        <v>0</v>
      </c>
      <c r="BS81" s="409"/>
      <c r="BT81" s="398">
        <f>IF(BS81=0,0,IF(LEN(BG81)=11,_xlfn.XLOOKUP(BG81,'Dispensed Ink Rates'!C:C,'Dispensed Ink Rates'!CS:CS),VLOOKUP(BG81,'Jan-2026 rates'!$E:$F,2,0)))</f>
        <v>0</v>
      </c>
      <c r="BU81" s="409"/>
      <c r="BV81" s="398">
        <f>IF(BU81=0,0,IF(LEN(BH81)=11,_xlfn.XLOOKUP(BH81,'Dispensed Ink Rates'!C:C,'Dispensed Ink Rates'!CS:CS),VLOOKUP(BH81,'Jan-2026 rates'!$E:$F,2,0)))</f>
        <v>0</v>
      </c>
      <c r="BW81" s="409"/>
      <c r="BX81" s="398">
        <f>IF(BW81=0,0,IF(LEN(BI81)=11,_xlfn.XLOOKUP(BI81,'Dispensed Ink Rates'!C:C,'Dispensed Ink Rates'!CS:CS),VLOOKUP(BI81,'Jan-2026 rates'!$E:$F,2,0)))</f>
        <v>0</v>
      </c>
      <c r="BY81" s="409"/>
      <c r="BZ81" s="398">
        <f>IF(BY81=0,0,IF(LEN(BJ81)=11,_xlfn.XLOOKUP(BJ81,'Dispensed Ink Rates'!C:C,'Dispensed Ink Rates'!CS:CS),VLOOKUP(BJ81,'Jan-2026 rates'!$E:$F,2,0)))</f>
        <v>0</v>
      </c>
      <c r="CA81" s="409" t="s">
        <v>1443</v>
      </c>
      <c r="CB81" s="409">
        <v>28</v>
      </c>
      <c r="CC81" s="411">
        <f t="shared" si="85"/>
        <v>0</v>
      </c>
      <c r="CD81" s="411">
        <f t="shared" si="86"/>
        <v>11.177419354838712</v>
      </c>
      <c r="CE81" s="410">
        <f t="shared" si="87"/>
        <v>0</v>
      </c>
      <c r="CF81" s="404" t="s">
        <v>857</v>
      </c>
      <c r="CG81" s="409" t="s">
        <v>3046</v>
      </c>
      <c r="CH81" s="420" t="str">
        <f t="shared" si="55"/>
        <v>FLINTSL - RED</v>
      </c>
      <c r="CI81" s="409">
        <v>27</v>
      </c>
      <c r="CJ81" s="411">
        <f>IF(CI81=0,0,IF($LB81=70%,VLOOKUP($CH81,'Jan-2026 rates'!$L:$R,4,0),IF($LB81=65%,VLOOKUP($CH81,'Jan-2026 rates'!$L:$R,4,0),IF($LB81=40%,VLOOKUP($CH81,'Jan-2026 rates'!$L:$R,5,0),IF($LB81=30%,VLOOKUP($CH81,'Jan-2026 rates'!$L:$R,6,0),IF($LB81=100%,VLOOKUP($CH81,'Jan-2026 rates'!$L:$R,7,0),IF($LB81=60%,VLOOKUP($CH81,'Jan-2026 rates'!$L:$S,8,0),IF($LB81=80%,VLOOKUP($CH81,'Jan-2026 rates'!L:T,9,0),0))))))))</f>
        <v>0</v>
      </c>
      <c r="CK81" s="412"/>
      <c r="CL81" s="409"/>
      <c r="CM81" s="411">
        <f>IF(CL81=0,0,IF($LB81=70%,VLOOKUP($CH81,'Jan-2026 rates'!$L:$R,4,0),IF($LB81=65%,VLOOKUP($CH81,'Jan-2026 rates'!$L:$R,4,0),IF($LB81=40%,VLOOKUP($CH81,'Jan-2026 rates'!$L:$R,5,0),IF($LB81=30%,VLOOKUP($CH81,'Jan-2026 rates'!$L:$R,6,0),IF($LB81=100%,VLOOKUP($CH81,'Jan-2026 rates'!$L:$R,7,0),IF($LB81=60%,VLOOKUP($CH81,'Jan-2026 rates'!$L:$S,8,0),IF($LB81=80%,VLOOKUP($CH81,'Jan-2026 rates'!L:T,9,0),0))))))))</f>
        <v>0</v>
      </c>
      <c r="CN81" s="426">
        <v>25863000007</v>
      </c>
      <c r="CO81" s="427"/>
      <c r="CP81" s="426"/>
      <c r="CQ81" s="426"/>
      <c r="CR81" s="428"/>
      <c r="CS81" s="428"/>
      <c r="CT81" s="428"/>
      <c r="CU81" s="428"/>
      <c r="CV81" s="409">
        <v>4</v>
      </c>
      <c r="CW81" s="398" t="e">
        <f>IF(CV81=0,0,IF(LEN(CN81)=11,_xlfn.XLOOKUP(CN81,'Dispensed Ink Rates'!C:C,'Dispensed Ink Rates'!CS:CS),VLOOKUP(CN81,'Jan-2026 rates'!$E:$F,2,0)))</f>
        <v>#N/A</v>
      </c>
      <c r="CX81" s="409"/>
      <c r="CY81" s="398">
        <f>IF(CX81=0,0,IF(LEN(CO81)=11,_xlfn.XLOOKUP(CO81,'Dispensed Ink Rates'!C:C,'Dispensed Ink Rates'!CS:CS),VLOOKUP(CO81,'Jan-2026 rates'!$E:$F,2,0)))</f>
        <v>0</v>
      </c>
      <c r="CZ81" s="409"/>
      <c r="DA81" s="398">
        <f>IF(CZ81=0,0,IF(LEN(CP81)=11,_xlfn.XLOOKUP(CP81,'Dispensed Ink Rates'!C:C,'Dispensed Ink Rates'!CS:CS),VLOOKUP(CP81,'Jan-2026 rates'!$E:$F,2,0)))</f>
        <v>0</v>
      </c>
      <c r="DB81" s="409"/>
      <c r="DC81" s="398">
        <f>IF(DB81=0,0,IF(LEN(CQ81)=11,_xlfn.XLOOKUP(CQ81,'Dispensed Ink Rates'!C:C,'Dispensed Ink Rates'!CS:CS),VLOOKUP(CQ81,'Jan-2026 rates'!$E:$F,2,0)))</f>
        <v>0</v>
      </c>
      <c r="DD81" s="409"/>
      <c r="DE81" s="398">
        <f>IF(DD81=0,0,IF(LEN(CR81)=11,_xlfn.XLOOKUP(CR81,'Dispensed Ink Rates'!C:C,'Dispensed Ink Rates'!CS:CS),VLOOKUP(CR81,'Jan-2026 rates'!$E:$F,2,0)))</f>
        <v>0</v>
      </c>
      <c r="DF81" s="409"/>
      <c r="DG81" s="398">
        <f>IF(DF81=0,0,IF(LEN(CS81)=11,_xlfn.XLOOKUP(CS81,'Dispensed Ink Rates'!C:C,'Dispensed Ink Rates'!CS:CS),VLOOKUP(CS81,'Jan-2026 rates'!$E:$F,2,0)))</f>
        <v>0</v>
      </c>
      <c r="DH81" s="409"/>
      <c r="DI81" s="398">
        <f>IF(DH81=0,0,IF(LEN(CT81)=11,_xlfn.XLOOKUP(CT81,'Dispensed Ink Rates'!C:C,'Dispensed Ink Rates'!CS:CS),VLOOKUP(CT81,'Jan-2026 rates'!$E:$F,2,0)))</f>
        <v>0</v>
      </c>
      <c r="DJ81" s="409"/>
      <c r="DK81" s="398">
        <f>IF(DJ81=0,0,IF(LEN(CU81)=11,_xlfn.XLOOKUP(CU81,'Dispensed Ink Rates'!C:C,'Dispensed Ink Rates'!CS:CS),VLOOKUP(CU81,'Jan-2026 rates'!$E:$F,2,0)))</f>
        <v>0</v>
      </c>
      <c r="DL81" s="409" t="s">
        <v>1443</v>
      </c>
      <c r="DM81" s="409">
        <v>25</v>
      </c>
      <c r="DN81" s="411">
        <f t="shared" si="88"/>
        <v>0</v>
      </c>
      <c r="DO81" s="411">
        <f t="shared" si="89"/>
        <v>9.8709677419354875</v>
      </c>
      <c r="DP81" s="410">
        <f t="shared" si="90"/>
        <v>0</v>
      </c>
      <c r="DQ81" s="405" t="s">
        <v>855</v>
      </c>
      <c r="DR81" s="409" t="s">
        <v>3047</v>
      </c>
      <c r="DS81" s="420" t="str">
        <f t="shared" si="56"/>
        <v>FLINTSL - CYAN</v>
      </c>
      <c r="DT81" s="409">
        <v>24</v>
      </c>
      <c r="DU81" s="411">
        <f>IF(DT81=0,0,IF($LB81=70%,VLOOKUP($DS81,'Jan-2026 rates'!$L:$R,4,0),IF($LB81=65%,VLOOKUP($DS81,'Jan-2026 rates'!$L:$R,4,0),IF($LB81=40%,VLOOKUP($DS81,'Jan-2026 rates'!$L:$R,5,0),IF($LB81=30%,VLOOKUP($DS81,'Jan-2026 rates'!$L:$R,6,0),IF($LB81=100%,VLOOKUP($DS81,'Jan-2026 rates'!$L:$R,7,0),IF($LB81=60%,VLOOKUP($DS81,'Jan-2026 rates'!$L:$S,8,0),IF($LB81=80%,VLOOKUP($DS81,'Jan-2026 rates'!L:T,9,0),0))))))))</f>
        <v>0</v>
      </c>
      <c r="DV81" s="412" t="s">
        <v>3048</v>
      </c>
      <c r="DW81" s="409">
        <v>29</v>
      </c>
      <c r="DX81" s="411">
        <f>IF(DW81=0,0,IF($LB81=70%,VLOOKUP($DS81,'Jan-2026 rates'!$L:$R,4,0),IF($LB81=65%,VLOOKUP($DS81,'Jan-2026 rates'!$L:$R,4,0),IF($LB81=40%,VLOOKUP($DS81,'Jan-2026 rates'!$L:$R,5,0),IF($LB81=30%,VLOOKUP($DS81,'Jan-2026 rates'!$L:$R,6,0),IF($LB81=100%,VLOOKUP($DS81,'Jan-2026 rates'!$L:$R,7,0),IF($LB81=60%,VLOOKUP($DS81,'Jan-2026 rates'!$L:$S,8,0),IF($LB81=80%,VLOOKUP($DS81,'Jan-2026 rates'!L:T,9,0),0))))))))</f>
        <v>0</v>
      </c>
      <c r="DY81" s="413">
        <v>26504000001</v>
      </c>
      <c r="DZ81" s="413" t="s">
        <v>1266</v>
      </c>
      <c r="EA81" s="412"/>
      <c r="EB81" s="412"/>
      <c r="EC81" s="412"/>
      <c r="ED81" s="412"/>
      <c r="EE81" s="412"/>
      <c r="EF81" s="412"/>
      <c r="EG81" s="409">
        <v>10</v>
      </c>
      <c r="EH81" s="398" t="e">
        <f>IF(EG81=0,0,IF(LEN(DY81)=11,_xlfn.XLOOKUP(DY81,'Dispensed Ink Rates'!C:C,'Dispensed Ink Rates'!CS:CS),VLOOKUP(DY81,'Jan-2026 rates'!$E:$F,2,0)))</f>
        <v>#N/A</v>
      </c>
      <c r="EI81" s="409">
        <v>7</v>
      </c>
      <c r="EJ81" s="398">
        <f>IF(EI81=0,0,IF(LEN(DZ81)=11,_xlfn.XLOOKUP(DZ81,'Dispensed Ink Rates'!C:C,'Dispensed Ink Rates'!CS:CS),VLOOKUP(DZ81,'Jan-2026 rates'!$E:$F,2,0)))</f>
        <v>0</v>
      </c>
      <c r="EK81" s="409"/>
      <c r="EL81" s="398">
        <f>IF(EK81=0,0,IF(LEN(EA81)=11,_xlfn.XLOOKUP(EA81,'Dispensed Ink Rates'!C:C,'Dispensed Ink Rates'!CS:CS),VLOOKUP(EA81,'Jan-2026 rates'!$E:$F,2,0)))</f>
        <v>0</v>
      </c>
      <c r="EM81" s="409"/>
      <c r="EN81" s="398">
        <f>IF(EM81=0,0,IF(LEN(EB81)=11,_xlfn.XLOOKUP(EB81,'Dispensed Ink Rates'!C:C,'Dispensed Ink Rates'!CS:CS),VLOOKUP(EB81,'Jan-2026 rates'!$E:$F,2,0)))</f>
        <v>0</v>
      </c>
      <c r="EO81" s="409"/>
      <c r="EP81" s="398">
        <f>IF(EO81=0,0,IF(LEN(EC81)=11,_xlfn.XLOOKUP(EC81,'Dispensed Ink Rates'!C:C,'Dispensed Ink Rates'!CS:CS),VLOOKUP(EC81,'Jan-2026 rates'!$E:$F,2,0)))</f>
        <v>0</v>
      </c>
      <c r="EQ81" s="409"/>
      <c r="ER81" s="398">
        <f>IF(EQ81=0,0,IF(LEN(ED81)=11,_xlfn.XLOOKUP(ED81,'Dispensed Ink Rates'!C:C,'Dispensed Ink Rates'!CS:CS),VLOOKUP(ED81,'Jan-2026 rates'!$E:$F,2,0)))</f>
        <v>0</v>
      </c>
      <c r="ES81" s="409"/>
      <c r="ET81" s="398">
        <f>IF(ES81=0,0,IF(LEN(EE81)=11,_xlfn.XLOOKUP(EE81,'Dispensed Ink Rates'!C:C,'Dispensed Ink Rates'!CS:CS),VLOOKUP(EE81,'Jan-2026 rates'!$E:$F,2,0)))</f>
        <v>0</v>
      </c>
      <c r="EU81" s="409"/>
      <c r="EV81" s="398">
        <f>IF(EU81=0,0,IF(LEN(EF81)=11,_xlfn.XLOOKUP(EF81,'Dispensed Ink Rates'!C:C,'Dispensed Ink Rates'!CS:CS),VLOOKUP(EF81,'Jan-2026 rates'!$E:$F,2,0)))</f>
        <v>0</v>
      </c>
      <c r="EW81" s="409" t="s">
        <v>1443</v>
      </c>
      <c r="EX81" s="409">
        <v>25</v>
      </c>
      <c r="EY81" s="411">
        <f t="shared" si="91"/>
        <v>0</v>
      </c>
      <c r="EZ81" s="411">
        <f t="shared" si="92"/>
        <v>74.032258064516128</v>
      </c>
      <c r="FA81" s="410">
        <f t="shared" si="93"/>
        <v>0</v>
      </c>
      <c r="FB81" s="405" t="s">
        <v>544</v>
      </c>
      <c r="FC81" s="409" t="s">
        <v>3049</v>
      </c>
      <c r="FD81" s="420" t="str">
        <f t="shared" si="57"/>
        <v>FLINTSL - MAGENTA</v>
      </c>
      <c r="FE81" s="409">
        <v>26</v>
      </c>
      <c r="FF81" s="411">
        <f>IF(FE81=0,0,IF($LB81=70%,VLOOKUP($FD81,'Jan-2026 rates'!$L:$R,4,0),IF($LB81=65%,VLOOKUP($FD81,'Jan-2026 rates'!$L:$R,4,0),IF($LB81=40%,VLOOKUP($FD81,'Jan-2026 rates'!$L:$R,5,0),IF($LB81=30%,VLOOKUP($FD81,'Jan-2026 rates'!$L:$R,6,0),IF($LB81=100%,VLOOKUP($FD81,'Jan-2026 rates'!$L:$R,7,0),IF($LB81=60%,VLOOKUP($FD81,'Jan-2026 rates'!$L:$S,8,0),IF($LB81=80%,VLOOKUP($FD81,'Jan-2026 rates'!L:T,9,0),0))))))))</f>
        <v>0</v>
      </c>
      <c r="FG81" s="412"/>
      <c r="FH81" s="409"/>
      <c r="FI81" s="411">
        <f>IF(FH81=0,0,IF($LB81=70%,VLOOKUP($FD81,'Jan-2026 rates'!$L:$R,4,0),IF($LB81=65%,VLOOKUP($FD81,'Jan-2026 rates'!$L:$R,4,0),IF($LB81=40%,VLOOKUP($FD81,'Jan-2026 rates'!$L:$R,5,0),IF($LB81=30%,VLOOKUP($FD81,'Jan-2026 rates'!$L:$R,6,0),IF($LB81=100%,VLOOKUP($FD81,'Jan-2026 rates'!$L:$R,7,0),IF($LB81=60%,VLOOKUP($FD81,'Jan-2026 rates'!$L:$S,8,0),IF($LB81=80%,VLOOKUP($FD81,'Jan-2026 rates'!L:T,9,0),0))))))))</f>
        <v>0</v>
      </c>
      <c r="FJ81" s="413">
        <v>26507000017</v>
      </c>
      <c r="FK81" s="413"/>
      <c r="FL81" s="413"/>
      <c r="FM81" s="412"/>
      <c r="FN81" s="412"/>
      <c r="FO81" s="412"/>
      <c r="FP81" s="412"/>
      <c r="FQ81" s="412"/>
      <c r="FR81" s="409">
        <v>2</v>
      </c>
      <c r="FS81" s="398" t="e">
        <f>IF(FR81=0,0,IF(LEN(FJ81)=11,_xlfn.XLOOKUP(FJ81,'Dispensed Ink Rates'!C:C,'Dispensed Ink Rates'!CS:CS),VLOOKUP(FJ81,'Jan-2026 rates'!$E:$F,2,0)))</f>
        <v>#N/A</v>
      </c>
      <c r="FT81" s="409"/>
      <c r="FU81" s="398">
        <f>IF(FT81=0,0,IF(LEN(FK81)=11,_xlfn.XLOOKUP(FK81,'Dispensed Ink Rates'!C:C,'Dispensed Ink Rates'!CS:CS),VLOOKUP(FK81,'Jan-2026 rates'!$E:$F,2,0)))</f>
        <v>0</v>
      </c>
      <c r="FV81" s="409"/>
      <c r="FW81" s="398">
        <f>IF(FV81=0,0,IF(LEN(FL81)=11,_xlfn.XLOOKUP(FL81,'Dispensed Ink Rates'!C:C,'Dispensed Ink Rates'!CS:CS),VLOOKUP(FL81,'Jan-2026 rates'!$E:$F,2,0)))</f>
        <v>0</v>
      </c>
      <c r="FX81" s="409"/>
      <c r="FY81" s="398">
        <f>IF(FX81=0,0,IF(LEN(FM81)=11,_xlfn.XLOOKUP(FM81,'Dispensed Ink Rates'!C:C,'Dispensed Ink Rates'!CS:CS),VLOOKUP(FM81,'Jan-2026 rates'!$E:$F,2,0)))</f>
        <v>0</v>
      </c>
      <c r="FZ81" s="409"/>
      <c r="GA81" s="398">
        <f>IF(FZ81=0,0,IF(LEN(FN81)=11,_xlfn.XLOOKUP(FN81,'Dispensed Ink Rates'!C:C,'Dispensed Ink Rates'!CS:CS),VLOOKUP(FN81,'Jan-2026 rates'!$E:$F,2,0)))</f>
        <v>0</v>
      </c>
      <c r="GB81" s="409"/>
      <c r="GC81" s="398">
        <f>IF(GB81=0,0,IF(LEN(FO81)=11,_xlfn.XLOOKUP(FO81,'Dispensed Ink Rates'!C:C,'Dispensed Ink Rates'!CS:CS),VLOOKUP(FO81,'Jan-2026 rates'!$E:$F,2,0)))</f>
        <v>0</v>
      </c>
      <c r="GD81" s="409"/>
      <c r="GE81" s="398">
        <f>IF(GD81=0,0,IF(LEN(FP81)=11,_xlfn.XLOOKUP(FP81,'Dispensed Ink Rates'!C:C,'Dispensed Ink Rates'!CS:CS),VLOOKUP(FP81,'Jan-2026 rates'!$E:$F,2,0)))</f>
        <v>0</v>
      </c>
      <c r="GF81" s="409"/>
      <c r="GG81" s="398">
        <f>IF(GF81=0,0,IF(LEN(FQ81)=11,_xlfn.XLOOKUP(FQ81,'Dispensed Ink Rates'!C:C,'Dispensed Ink Rates'!CS:CS),VLOOKUP(FQ81,'Jan-2026 rates'!$E:$F,2,0)))</f>
        <v>0</v>
      </c>
      <c r="GH81" s="409" t="s">
        <v>1443</v>
      </c>
      <c r="GI81" s="409">
        <v>24</v>
      </c>
      <c r="GJ81" s="411">
        <f t="shared" si="94"/>
        <v>0</v>
      </c>
      <c r="GK81" s="411">
        <f t="shared" si="95"/>
        <v>7.870967741935484</v>
      </c>
      <c r="GL81" s="410">
        <f t="shared" si="96"/>
        <v>0</v>
      </c>
      <c r="GM81" s="405" t="s">
        <v>545</v>
      </c>
      <c r="GN81" s="409" t="s">
        <v>3050</v>
      </c>
      <c r="GO81" s="420" t="str">
        <f t="shared" si="58"/>
        <v>FLINTSL - YELLOW</v>
      </c>
      <c r="GP81" s="409">
        <v>22</v>
      </c>
      <c r="GQ81" s="411">
        <f>IF(GP81=0,0,IF($LB81=70%,VLOOKUP($GO81,'Jan-2026 rates'!$L:$R,4,0),IF($LB81=65%,VLOOKUP($GO81,'Jan-2026 rates'!$L:$R,4,0),IF($LB81=40%,VLOOKUP($GO81,'Jan-2026 rates'!$L:$R,5,0),IF($LB81=30%,VLOOKUP($GO81,'Jan-2026 rates'!$L:$R,6,0),IF($LB81=100%,VLOOKUP($GO81,'Jan-2026 rates'!$L:$R,7,0),IF($LB81=60%,VLOOKUP($GO81,'Jan-2026 rates'!$L:$S,8,0),IF($LB81=80%,VLOOKUP($GO81,'Jan-2026 rates'!L:T,9,0),0))))))))</f>
        <v>0</v>
      </c>
      <c r="GR81" s="412" t="s">
        <v>3042</v>
      </c>
      <c r="GS81" s="409">
        <v>15</v>
      </c>
      <c r="GT81" s="411">
        <f>IF(GS81=0,0,IF($LB81=70%,VLOOKUP($GO81,'Jan-2026 rates'!$L:$R,4,0),IF($LB81=65%,VLOOKUP($GO81,'Jan-2026 rates'!$L:$R,4,0),IF($LB81=40%,VLOOKUP($GO81,'Jan-2026 rates'!$L:$R,5,0),IF($LB81=30%,VLOOKUP($GO81,'Jan-2026 rates'!$L:$R,6,0),IF($LB81=100%,VLOOKUP($GO81,'Jan-2026 rates'!$L:$R,7,0),IF($LB81=60%,VLOOKUP($GO81,'Jan-2026 rates'!$L:$S,8,0),IF($LB81=80%,VLOOKUP($GO81,'Jan-2026 rates'!L:T,9,0),0))))))))</f>
        <v>0</v>
      </c>
      <c r="GU81" s="413">
        <v>26505000033</v>
      </c>
      <c r="GV81" s="413"/>
      <c r="GW81" s="412"/>
      <c r="GX81" s="412"/>
      <c r="GY81" s="412"/>
      <c r="GZ81" s="412"/>
      <c r="HA81" s="412"/>
      <c r="HB81" s="412"/>
      <c r="HC81" s="409">
        <v>5</v>
      </c>
      <c r="HD81" s="398" t="e">
        <f>IF(HC81=0,0,IF(LEN(GU81)=11,_xlfn.XLOOKUP(GU81,'Dispensed Ink Rates'!C:C,'Dispensed Ink Rates'!CS:CS),VLOOKUP(GU81,'Jan-2026 rates'!$E:$F,2,0)))</f>
        <v>#N/A</v>
      </c>
      <c r="HE81" s="409"/>
      <c r="HF81" s="398">
        <f>IF(HE81=0,0,IF(LEN(GV81)=11,_xlfn.XLOOKUP(GV81,'Dispensed Ink Rates'!C:C,'Dispensed Ink Rates'!CS:CS),VLOOKUP(GV81,'Jan-2026 rates'!$E:$F,2,0)))</f>
        <v>0</v>
      </c>
      <c r="HG81" s="409"/>
      <c r="HH81" s="398">
        <f>IF(HG81=0,0,IF(LEN(GW81)=11,_xlfn.XLOOKUP(GW81,'Dispensed Ink Rates'!C:C,'Dispensed Ink Rates'!CS:CS),VLOOKUP(GW81,'Jan-2026 rates'!$E:$F,2,0)))</f>
        <v>0</v>
      </c>
      <c r="HI81" s="409"/>
      <c r="HJ81" s="398">
        <f>IF(HI81=0,0,IF(LEN(GX81)=11,_xlfn.XLOOKUP(GX81,'Dispensed Ink Rates'!C:C,'Dispensed Ink Rates'!CS:CS),VLOOKUP(GX81,'Jan-2026 rates'!$E:$F,2,0)))</f>
        <v>0</v>
      </c>
      <c r="HK81" s="409"/>
      <c r="HL81" s="398">
        <f>IF(HK81=0,0,IF(LEN(GY81)=11,_xlfn.XLOOKUP(GY81,'Dispensed Ink Rates'!C:C,'Dispensed Ink Rates'!CS:CS),VLOOKUP(GY81,'Jan-2026 rates'!$E:$F,2,0)))</f>
        <v>0</v>
      </c>
      <c r="HM81" s="409"/>
      <c r="HN81" s="398">
        <f>IF(HM81=0,0,IF(LEN(GZ81)=11,_xlfn.XLOOKUP(GZ81,'Dispensed Ink Rates'!C:C,'Dispensed Ink Rates'!CS:CS),VLOOKUP(GZ81,'Jan-2026 rates'!$E:$F,2,0)))</f>
        <v>0</v>
      </c>
      <c r="HO81" s="409"/>
      <c r="HP81" s="398">
        <f>IF(HO81=0,0,IF(LEN(HA81)=11,_xlfn.XLOOKUP(HA81,'Dispensed Ink Rates'!C:C,'Dispensed Ink Rates'!CS:CS),VLOOKUP(HA81,'Jan-2026 rates'!$E:$F,2,0)))</f>
        <v>0</v>
      </c>
      <c r="HQ81" s="409"/>
      <c r="HR81" s="398">
        <f>IF(HQ81=0,0,IF(LEN(HB81)=11,_xlfn.XLOOKUP(HB81,'Dispensed Ink Rates'!C:C,'Dispensed Ink Rates'!CS:CS),VLOOKUP(HB81,'Jan-2026 rates'!$E:$F,2,0)))</f>
        <v>0</v>
      </c>
      <c r="HS81" s="409" t="s">
        <v>1443</v>
      </c>
      <c r="HT81" s="409">
        <v>30</v>
      </c>
      <c r="HU81" s="411">
        <f t="shared" si="97"/>
        <v>0</v>
      </c>
      <c r="HV81" s="411">
        <f t="shared" si="98"/>
        <v>19.741935483870968</v>
      </c>
      <c r="HW81" s="414">
        <f t="shared" si="99"/>
        <v>0</v>
      </c>
      <c r="HX81" s="405" t="s">
        <v>545</v>
      </c>
      <c r="HY81" s="409" t="s">
        <v>2905</v>
      </c>
      <c r="HZ81" s="420" t="str">
        <f t="shared" si="59"/>
        <v>FLINTSL - YELLOW</v>
      </c>
      <c r="IA81" s="409">
        <v>30</v>
      </c>
      <c r="IB81" s="411">
        <f>IF(IA81=0,0,IF($LB81=70%,VLOOKUP($HZ81,'Jan-2026 rates'!$L:$R,4,0),IF($LB81=65%,VLOOKUP($HZ81,'Jan-2026 rates'!$L:$R,4,0),IF($LB81=40%,VLOOKUP($HZ81,'Jan-2026 rates'!$L:$R,5,0),IF($LB81=30%,VLOOKUP($HZ81,'Jan-2026 rates'!$L:$R,6,0),IF($LB81=100%,VLOOKUP($HZ81,'Jan-2026 rates'!$L:$R,7,0),IF($LB81=60%,VLOOKUP($HZ81,'Jan-2026 rates'!$L:$S,8,0),IF($LB81=80%,VLOOKUP($HZ81,'Jan-2026 rates'!L:T,9,0),0))))))))</f>
        <v>0</v>
      </c>
      <c r="IC81" s="412"/>
      <c r="ID81" s="409"/>
      <c r="IE81" s="411">
        <f>IF(ID81=0,0,IF($LB81=70%,VLOOKUP($HZ81,'Jan-2026 rates'!$L:$R,4,0),IF($LB81=65%,VLOOKUP($HZ81,'Jan-2026 rates'!$L:$R,4,0),IF($LB81=40%,VLOOKUP($HZ81,'Jan-2026 rates'!$L:$R,5,0),IF($LB81=30%,VLOOKUP($HZ81,'Jan-2026 rates'!$L:$R,6,0),IF($LB81=100%,VLOOKUP($HZ81,'Jan-2026 rates'!$L:$R,7,0),IF($LB81=60%,VLOOKUP($HZ81,'Jan-2026 rates'!$L:$S,8,0),IF($LB81=80%,VLOOKUP($HZ81,'Jan-2026 rates'!L:T,9,0),0))))))))</f>
        <v>0</v>
      </c>
      <c r="IF81" s="412">
        <v>26505000033</v>
      </c>
      <c r="IG81" s="413"/>
      <c r="IH81" s="412"/>
      <c r="II81" s="412"/>
      <c r="IJ81" s="412"/>
      <c r="IK81" s="412"/>
      <c r="IL81" s="412"/>
      <c r="IM81" s="412"/>
      <c r="IN81" s="409">
        <v>4</v>
      </c>
      <c r="IO81" s="398" t="e">
        <f>IF(IN81=0,0,IF(LEN(IF81)=11,_xlfn.XLOOKUP(IF81,'Dispensed Ink Rates'!C:C,'Dispensed Ink Rates'!CS:CS),VLOOKUP(IF81,'Jan-2026 rates'!$E:$F,2,0)))</f>
        <v>#N/A</v>
      </c>
      <c r="IP81" s="409"/>
      <c r="IQ81" s="398">
        <f>IF(IP81=0,0,IF(LEN(IG81)=11,_xlfn.XLOOKUP(IG81,'Dispensed Ink Rates'!C:C,'Dispensed Ink Rates'!CS:CS),VLOOKUP(IG81,'Jan-2026 rates'!$E:$F,2,0)))</f>
        <v>0</v>
      </c>
      <c r="IR81" s="409"/>
      <c r="IS81" s="398">
        <f>IF(IR81=0,0,IF(LEN(IH81)=11,_xlfn.XLOOKUP(IH81,'Dispensed Ink Rates'!C:C,'Dispensed Ink Rates'!CS:CS),VLOOKUP(IH81,'Jan-2026 rates'!$E:$F,2,0)))</f>
        <v>0</v>
      </c>
      <c r="IT81" s="409"/>
      <c r="IU81" s="398">
        <f>IF(IT81=0,0,IF(LEN(II81)=11,_xlfn.XLOOKUP(II81,'Dispensed Ink Rates'!C:C,'Dispensed Ink Rates'!CS:CS),VLOOKUP(II81,'Jan-2026 rates'!$E:$F,2,0)))</f>
        <v>0</v>
      </c>
      <c r="IV81" s="409"/>
      <c r="IW81" s="398">
        <f>IF(IV81=0,0,IF(LEN(IJ81)=11,_xlfn.XLOOKUP(IJ81,'Dispensed Ink Rates'!C:C,'Dispensed Ink Rates'!CS:CS),VLOOKUP(IJ81,'Jan-2026 rates'!$E:$F,2,0)))</f>
        <v>0</v>
      </c>
      <c r="IX81" s="409"/>
      <c r="IY81" s="398">
        <f>IF(IX81=0,0,IF(LEN(IK81)=11,_xlfn.XLOOKUP(IK81,'Dispensed Ink Rates'!C:C,'Dispensed Ink Rates'!CS:CS),VLOOKUP(IK81,'Jan-2026 rates'!$E:$F,2,0)))</f>
        <v>0</v>
      </c>
      <c r="IZ81" s="409"/>
      <c r="JA81" s="398">
        <f>IF(IZ81=0,0,IF(LEN(IL81)=11,_xlfn.XLOOKUP(IL81,'Dispensed Ink Rates'!C:C,'Dispensed Ink Rates'!CS:CS),VLOOKUP(IL81,'Jan-2026 rates'!$E:$F,2,0)))</f>
        <v>0</v>
      </c>
      <c r="JB81" s="409"/>
      <c r="JC81" s="398">
        <f>IF(JB81=0,0,IF(LEN(IM81)=11,_xlfn.XLOOKUP(IM81,'Dispensed Ink Rates'!C:C,'Dispensed Ink Rates'!CS:CS),VLOOKUP(IM81,'Jan-2026 rates'!$E:$F,2,0)))</f>
        <v>0</v>
      </c>
      <c r="JD81" s="409" t="s">
        <v>1443</v>
      </c>
      <c r="JE81" s="409">
        <v>24</v>
      </c>
      <c r="JF81" s="411">
        <f t="shared" si="100"/>
        <v>0</v>
      </c>
      <c r="JG81" s="411">
        <f t="shared" si="101"/>
        <v>13.870967741935488</v>
      </c>
      <c r="JH81" s="410">
        <f t="shared" si="102"/>
        <v>0</v>
      </c>
      <c r="JI81" s="405" t="s">
        <v>856</v>
      </c>
      <c r="JJ81" s="409" t="s">
        <v>3051</v>
      </c>
      <c r="JK81" s="420" t="str">
        <f t="shared" si="60"/>
        <v>FLINTSL - WHITE</v>
      </c>
      <c r="JL81" s="409">
        <v>25</v>
      </c>
      <c r="JM81" s="411">
        <f>IF(JL81=0,0,IF($LB81=70%,VLOOKUP($JK81,'Jan-2026 rates'!$L:$R,4,0),IF($LB81=65%,VLOOKUP($JK81,'Jan-2026 rates'!$L:$R,4,0),IF($LB81=40%,VLOOKUP($JK81,'Jan-2026 rates'!$L:$R,5,0),IF($LB81=30%,VLOOKUP($JK81,'Jan-2026 rates'!$L:$R,6,0),IF($LB81=100%,VLOOKUP($JK81,'Jan-2026 rates'!$L:$R,7,0),IF($LB81=60%,VLOOKUP($JK81,'Jan-2026 rates'!$L:$S,8,0),IF($LB81=80%,VLOOKUP($JK81,'Jan-2026 rates'!L:T,9,0),0))))))))</f>
        <v>0</v>
      </c>
      <c r="JN81" s="412"/>
      <c r="JO81" s="409"/>
      <c r="JP81" s="411">
        <f>IF(JO81=0,0,IF($LB81=70%,VLOOKUP($JK81,'Jan-2026 rates'!$L:$R,4,0),IF($LB81=65%,VLOOKUP($JK81,'Jan-2026 rates'!$L:$R,4,0),IF($LB81=40%,VLOOKUP($JK81,'Jan-2026 rates'!$L:$R,5,0),IF($LB81=30%,VLOOKUP($JK81,'Jan-2026 rates'!$L:$R,6,0),IF($LB81=100%,VLOOKUP($JK81,'Jan-2026 rates'!$L:$R,7,0),IF($LB81=60%,VLOOKUP($JK81,'Jan-2026 rates'!$L:$S,8,0),IF($LB81=80%,VLOOKUP($JK81,'Jan-2026 rates'!L:T,9,0),0))))))))</f>
        <v>0</v>
      </c>
      <c r="JQ81" s="413" t="s">
        <v>484</v>
      </c>
      <c r="JR81" s="412"/>
      <c r="JS81" s="413"/>
      <c r="JT81" s="413"/>
      <c r="JU81" s="412"/>
      <c r="JV81" s="412"/>
      <c r="JW81" s="412"/>
      <c r="JX81" s="412"/>
      <c r="JY81" s="409">
        <f>70+30</f>
        <v>100</v>
      </c>
      <c r="JZ81" s="398">
        <f>IF(JY81=0,0,IF(LEN(JQ81)=11,_xlfn.XLOOKUP(JQ81,'Dispensed Ink Rates'!C:C,'Dispensed Ink Rates'!CS:CS),VLOOKUP(JQ81,'Jan-2026 rates'!$E:$F,2,0)))</f>
        <v>0</v>
      </c>
      <c r="KA81" s="409"/>
      <c r="KB81" s="398">
        <f>IF(KA81=0,0,IF(LEN(JR81)=11,_xlfn.XLOOKUP(JR81,'Dispensed Ink Rates'!C:C,'Dispensed Ink Rates'!CS:CS),VLOOKUP(JR81,'Jan-2026 rates'!$E:$F,2,0)))</f>
        <v>0</v>
      </c>
      <c r="KC81" s="409"/>
      <c r="KD81" s="398">
        <f>IF(KC81=0,0,IF(LEN(JS81)=11,_xlfn.XLOOKUP(JS81,'Dispensed Ink Rates'!C:C,'Dispensed Ink Rates'!CS:CS),VLOOKUP(JS81,'Jan-2026 rates'!$E:$F,2,0)))</f>
        <v>0</v>
      </c>
      <c r="KE81" s="409"/>
      <c r="KF81" s="398">
        <f>IF(KE81=0,0,IF(LEN(JT81)=11,_xlfn.XLOOKUP(JT81,'Dispensed Ink Rates'!C:C,'Dispensed Ink Rates'!CS:CS),VLOOKUP(JT81,'Jan-2026 rates'!$E:$F,2,0)))</f>
        <v>0</v>
      </c>
      <c r="KG81" s="409"/>
      <c r="KH81" s="398">
        <f>IF(KG81=0,0,IF(LEN(JU81)=11,_xlfn.XLOOKUP(JU81,'Dispensed Ink Rates'!C:C,'Dispensed Ink Rates'!CS:CS),VLOOKUP(JU81,'Jan-2026 rates'!$E:$F,2,0)))</f>
        <v>0</v>
      </c>
      <c r="KI81" s="409"/>
      <c r="KJ81" s="398">
        <f>IF(KI81=0,0,IF(LEN(JV81)=11,_xlfn.XLOOKUP(JV81,'Dispensed Ink Rates'!C:C,'Dispensed Ink Rates'!CS:CS),VLOOKUP(JV81,'Jan-2026 rates'!$E:$F,2,0)))</f>
        <v>0</v>
      </c>
      <c r="KK81" s="409"/>
      <c r="KL81" s="398">
        <f>IF(KK81=0,0,IF(LEN(JW81)=11,_xlfn.XLOOKUP(JW81,'Dispensed Ink Rates'!C:C,'Dispensed Ink Rates'!CS:CS),VLOOKUP(JW81,'Jan-2026 rates'!$E:$F,2,0)))</f>
        <v>0</v>
      </c>
      <c r="KM81" s="428"/>
      <c r="KN81" s="398">
        <f>IF(KM81=0,0,IF(LEN(JX81)=11,_xlfn.XLOOKUP(JX81,'Dispensed Ink Rates'!C:C,'Dispensed Ink Rates'!CS:CS),VLOOKUP(JX81,'Jan-2026 rates'!$E:$F,2,0)))</f>
        <v>0</v>
      </c>
      <c r="KO81" s="409" t="s">
        <v>1443</v>
      </c>
      <c r="KP81" s="409">
        <v>32</v>
      </c>
      <c r="KQ81" s="411">
        <f t="shared" si="103"/>
        <v>0</v>
      </c>
      <c r="KR81" s="411">
        <f t="shared" si="104"/>
        <v>209.12903225806451</v>
      </c>
      <c r="KS81" s="410">
        <f t="shared" si="105"/>
        <v>0</v>
      </c>
      <c r="KT81" s="409">
        <v>3</v>
      </c>
      <c r="KU81" s="409">
        <v>5</v>
      </c>
      <c r="KV81" s="409">
        <v>2</v>
      </c>
      <c r="KW81" s="409">
        <v>15</v>
      </c>
      <c r="KX81" s="409">
        <v>2</v>
      </c>
      <c r="KY81" s="409">
        <v>4</v>
      </c>
      <c r="KZ81" s="409">
        <v>2</v>
      </c>
      <c r="LA81" s="409">
        <f>35+25</f>
        <v>60</v>
      </c>
      <c r="LB81" s="415">
        <v>0.8</v>
      </c>
      <c r="LC81" s="415">
        <v>0.2</v>
      </c>
      <c r="LD81" s="415"/>
      <c r="LE81" s="415"/>
      <c r="LF81" s="415"/>
      <c r="LG81" s="409">
        <v>0</v>
      </c>
      <c r="LH81" s="409">
        <f>60+30+64+16+5+5</f>
        <v>180</v>
      </c>
      <c r="LI81" s="409">
        <v>0</v>
      </c>
      <c r="LJ81" s="409">
        <v>0</v>
      </c>
      <c r="LK81" s="416">
        <f t="shared" si="61"/>
        <v>180</v>
      </c>
      <c r="LL81" s="416">
        <f t="shared" si="62"/>
        <v>180</v>
      </c>
      <c r="LM81" s="417">
        <f t="shared" si="63"/>
        <v>144</v>
      </c>
      <c r="LN81" s="417">
        <f>VLOOKUP($LM$8,'Jan-2026 rates'!$H:$I,2,0)</f>
        <v>0</v>
      </c>
      <c r="LO81" s="417">
        <f t="shared" si="64"/>
        <v>36</v>
      </c>
      <c r="LP81" s="417">
        <f>VLOOKUP($LO$8,'Jan-2026 rates'!$H:$I,2,0)</f>
        <v>0</v>
      </c>
      <c r="LQ81" s="417">
        <f t="shared" si="65"/>
        <v>0</v>
      </c>
      <c r="LR81" s="417">
        <f>VLOOKUP($LQ$8,'Jan-2026 rates'!$H:$I,2,0)</f>
        <v>0</v>
      </c>
      <c r="LS81" s="417">
        <f t="shared" si="66"/>
        <v>0</v>
      </c>
      <c r="LT81" s="417">
        <f>VLOOKUP($LS$8,'Jan-2026 rates'!$H:$I,2,0)</f>
        <v>0</v>
      </c>
      <c r="LU81" s="417">
        <f t="shared" si="67"/>
        <v>0</v>
      </c>
      <c r="LV81" s="417">
        <f>VLOOKUP($LU$8,'Jan-2026 rates'!$H:$I,2,0)</f>
        <v>0</v>
      </c>
      <c r="LW81" s="417">
        <f t="shared" si="68"/>
        <v>0</v>
      </c>
      <c r="LX81" s="417">
        <f t="shared" si="69"/>
        <v>0</v>
      </c>
      <c r="LY81" s="418">
        <f t="shared" si="70"/>
        <v>0</v>
      </c>
      <c r="LZ81" s="417"/>
      <c r="MA81" s="435">
        <f t="shared" si="71"/>
        <v>142.5</v>
      </c>
      <c r="MB81" s="282">
        <f t="shared" si="72"/>
        <v>354.5</v>
      </c>
      <c r="MC81" s="283">
        <v>36</v>
      </c>
      <c r="MD81" s="284" t="str">
        <f t="shared" si="73"/>
        <v>FLINTSLFLINTSLFLINTSLFLINTSLFLINTSLFLINTSLFLINTSLFLINTSL</v>
      </c>
      <c r="ME81" s="293" t="str">
        <f t="shared" si="74"/>
        <v>+</v>
      </c>
      <c r="MF81" s="293" t="str">
        <f t="shared" si="75"/>
        <v>+</v>
      </c>
      <c r="MG81" s="293" t="str">
        <f t="shared" si="76"/>
        <v>+</v>
      </c>
      <c r="MH81" s="293" t="str">
        <f t="shared" si="77"/>
        <v>+</v>
      </c>
      <c r="MI81" s="293" t="str">
        <f t="shared" si="78"/>
        <v>+</v>
      </c>
      <c r="MJ81" s="293" t="str">
        <f t="shared" si="79"/>
        <v>+</v>
      </c>
      <c r="MK81" s="293" t="str">
        <f t="shared" si="80"/>
        <v>+</v>
      </c>
      <c r="ML81" s="293" t="str">
        <f t="shared" si="81"/>
        <v>+</v>
      </c>
      <c r="MM81" s="3" t="b">
        <f t="array" ref="MM81">OR(ME81:ML81="-")</f>
        <v>0</v>
      </c>
      <c r="MN81" s="285"/>
      <c r="MO81" s="401"/>
      <c r="MP81" s="286"/>
      <c r="MQ81" s="286"/>
      <c r="MR81" s="402"/>
      <c r="MS81" s="400"/>
      <c r="NH81" s="422"/>
      <c r="NJ81" s="421"/>
    </row>
    <row r="82" spans="1:374" s="1" customFormat="1" ht="16.5">
      <c r="A82" s="403">
        <v>46028</v>
      </c>
      <c r="B82" s="404" t="s">
        <v>1015</v>
      </c>
      <c r="C82" s="405" t="s">
        <v>3052</v>
      </c>
      <c r="D82" s="406">
        <v>37</v>
      </c>
      <c r="E82" s="404">
        <v>509</v>
      </c>
      <c r="F82" s="407">
        <v>26200</v>
      </c>
      <c r="G82" s="407" t="s">
        <v>1019</v>
      </c>
      <c r="H82" s="408" t="s">
        <v>1017</v>
      </c>
      <c r="I82" s="409">
        <v>1.95</v>
      </c>
      <c r="J82" s="405" t="s">
        <v>543</v>
      </c>
      <c r="K82" s="404" t="s">
        <v>3053</v>
      </c>
      <c r="L82" s="419" t="str">
        <f t="shared" si="54"/>
        <v>FLINTSL - BLACK</v>
      </c>
      <c r="M82" s="404">
        <v>24</v>
      </c>
      <c r="N82" s="410">
        <f>IF(M82=0,0,IF($LB82=70%,VLOOKUP($L82,'Jan-2026 rates'!$L:$R,4,0),IF($LB82=65%,VLOOKUP($L82,'Jan-2026 rates'!$L:$R,4,0),IF($LB82=40%,VLOOKUP($L82,'Jan-2026 rates'!$L:$R,5,0),IF($LB82=30%,VLOOKUP($L82,'Jan-2026 rates'!$L:$R,6,0),IF($LB82=100%,VLOOKUP($L82,'Jan-2026 rates'!$L:$R,7,0),IF($LB82=60%,VLOOKUP($L82,'Jan-2026 rates'!$L:$S,8,0),IF($LB82=80%,VLOOKUP($L82,'Jan-2026 rates'!L:T,9,0),0))))))))</f>
        <v>0</v>
      </c>
      <c r="O82" s="406"/>
      <c r="P82" s="404"/>
      <c r="Q82" s="410">
        <f>IF(P82=0,0,IF($LB82=70%,VLOOKUP($L82,'Jan-2026 rates'!$L:$R,4,0),IF($LB82=65%,VLOOKUP($L82,'Jan-2026 rates'!$L:$R,4,0),IF($LB82=40%,VLOOKUP($L82,'Jan-2026 rates'!$L:$R,5,0),IF($LB82=30%,VLOOKUP($L82,'Jan-2026 rates'!$L:$R,6,0),IF($LB82=100%,VLOOKUP($L82,'Jan-2026 rates'!$L:$R,7,0),IF($LB82=60%,VLOOKUP($L82,'Jan-2026 rates'!$L:$S,8,0),IF($LB82=80%,VLOOKUP($L82,'Jan-2026 rates'!L:T,9,0),0))))))))</f>
        <v>0</v>
      </c>
      <c r="R82" s="406">
        <v>26506000005</v>
      </c>
      <c r="S82" s="406"/>
      <c r="T82" s="406"/>
      <c r="U82" s="406"/>
      <c r="V82" s="406"/>
      <c r="W82" s="406"/>
      <c r="X82" s="406"/>
      <c r="Y82" s="406"/>
      <c r="Z82" s="404">
        <v>2</v>
      </c>
      <c r="AA82" s="398" t="e">
        <f>IF(Z82=0,0,IF(LEN(R82)=11,_xlfn.XLOOKUP(R82,'Dispensed Ink Rates'!C:C,'Dispensed Ink Rates'!CS:CS),VLOOKUP(R82,'Jan-2026 rates'!$E:$F,2,0)))</f>
        <v>#N/A</v>
      </c>
      <c r="AB82" s="404"/>
      <c r="AC82" s="398">
        <f>IF(AB82=0,0,IF(LEN(S82)=11,_xlfn.XLOOKUP(S82,'Dispensed Ink Rates'!C:C,'Dispensed Ink Rates'!CS:CS),VLOOKUP(S82,'Jan-2026 rates'!$E:$F,2,0)))</f>
        <v>0</v>
      </c>
      <c r="AD82" s="404"/>
      <c r="AE82" s="398">
        <f>IF(AD82=0,0,IF(LEN(T82)=11,_xlfn.XLOOKUP(T82,'Dispensed Ink Rates'!C:C,'Dispensed Ink Rates'!CS:CS),VLOOKUP(T82,'Jan-2026 rates'!$E:$F,2,0)))</f>
        <v>0</v>
      </c>
      <c r="AF82" s="404"/>
      <c r="AG82" s="398">
        <f>IF(AF82=0,0,IF(LEN(U82)=11,_xlfn.XLOOKUP(U82,'Dispensed Ink Rates'!C:C,'Dispensed Ink Rates'!CS:CS),VLOOKUP(U82,'Jan-2026 rates'!$E:$F,2,0)))</f>
        <v>0</v>
      </c>
      <c r="AH82" s="404"/>
      <c r="AI82" s="398">
        <f>IF(AH82=0,0,IF(LEN(V82)=11,_xlfn.XLOOKUP(V82,'Dispensed Ink Rates'!C:C,'Dispensed Ink Rates'!CS:CS),VLOOKUP(V82,'Jan-2026 rates'!$E:$F,2,0)))</f>
        <v>0</v>
      </c>
      <c r="AJ82" s="404"/>
      <c r="AK82" s="398">
        <f>IF(AJ82=0,0,IF(LEN(W82)=11,_xlfn.XLOOKUP(W82,'Dispensed Ink Rates'!C:C,'Dispensed Ink Rates'!CS:CS),VLOOKUP(W82,'Jan-2026 rates'!$E:$F,2,0)))</f>
        <v>0</v>
      </c>
      <c r="AL82" s="404"/>
      <c r="AM82" s="398">
        <f>IF(AL82=0,0,IF(LEN(X82)=11,_xlfn.XLOOKUP(X82,'Dispensed Ink Rates'!C:C,'Dispensed Ink Rates'!CS:CS),VLOOKUP(X82,'Jan-2026 rates'!$E:$F,2,0)))</f>
        <v>0</v>
      </c>
      <c r="AN82" s="404"/>
      <c r="AO82" s="398">
        <f>IF(AN82=0,0,IF(LEN(Y82)=11,_xlfn.XLOOKUP(Y82,'Dispensed Ink Rates'!C:C,'Dispensed Ink Rates'!CS:CS),VLOOKUP(Y82,'Jan-2026 rates'!$E:$F,2,0)))</f>
        <v>0</v>
      </c>
      <c r="AP82" s="409" t="s">
        <v>1443</v>
      </c>
      <c r="AQ82" s="409">
        <v>22</v>
      </c>
      <c r="AR82" s="410">
        <f t="shared" si="82"/>
        <v>0</v>
      </c>
      <c r="AS82" s="411">
        <f t="shared" si="83"/>
        <v>8.0454545454545467</v>
      </c>
      <c r="AT82" s="410">
        <f t="shared" si="84"/>
        <v>0</v>
      </c>
      <c r="AU82" s="405" t="s">
        <v>546</v>
      </c>
      <c r="AV82" s="409"/>
      <c r="AW82" s="420" t="str">
        <f t="shared" si="53"/>
        <v>FLINTSL - REFLEX BLUE</v>
      </c>
      <c r="AX82" s="409"/>
      <c r="AY82" s="411">
        <f>IF(AX82=0,0,IF($LB82=70%,VLOOKUP($AW82,'Jan-2026 rates'!$L:$R,4,0),IF($LB82=65%,VLOOKUP($AW82,'Jan-2026 rates'!$L:$R,4,0),IF($LB82=40%,VLOOKUP($AW82,'Jan-2026 rates'!$L:$R,5,0),IF($LB82=30%,VLOOKUP($AW82,'Jan-2026 rates'!$L:$R,6,0),IF($LB82=100%,VLOOKUP($AW82,'Jan-2026 rates'!$L:$R,7,0),IF($LB82=60%,VLOOKUP($AW82,'Jan-2026 rates'!$L:$S,8,0),IF($LB82=80%,VLOOKUP($AW82,'Jan-2026 rates'!L:T,9,0),0))))))))</f>
        <v>0</v>
      </c>
      <c r="AZ82" s="412"/>
      <c r="BA82" s="409"/>
      <c r="BB82" s="411">
        <f>IF(BA82=0,0,IF($LB82=70%,VLOOKUP($AW82,'Jan-2026 rates'!$L:$R,4,0),IF($LB82=65%,VLOOKUP($AW82,'Jan-2026 rates'!$L:$R,4,0),IF($LB82=40%,VLOOKUP($AW82,'Jan-2026 rates'!$L:$R,5,0),IF($LB82=30%,VLOOKUP($AW82,'Jan-2026 rates'!$L:$R,6,0),IF($LB82=100%,VLOOKUP($AW82,'Jan-2026 rates'!$L:$R,7,0),IF($LB82=60%,VLOOKUP($AW82,'Jan-2026 rates'!$L:$S,8,0),IF($LB82=80%,VLOOKUP($AW82,'Jan-2026 rates'!L:T,9,0),0))))))))</f>
        <v>0</v>
      </c>
      <c r="BC82" s="413">
        <v>9472</v>
      </c>
      <c r="BD82" s="412" t="s">
        <v>1266</v>
      </c>
      <c r="BE82" s="412">
        <v>26504000001</v>
      </c>
      <c r="BF82" s="413">
        <v>25851000006</v>
      </c>
      <c r="BG82" s="412"/>
      <c r="BH82" s="412"/>
      <c r="BI82" s="412"/>
      <c r="BJ82" s="412"/>
      <c r="BK82" s="409">
        <v>30</v>
      </c>
      <c r="BL82" s="398">
        <f>IF(BK82=0,0,IF(LEN(BC82)=11,_xlfn.XLOOKUP(BC82,'Dispensed Ink Rates'!C:C,'Dispensed Ink Rates'!CS:CS),VLOOKUP(BC82,'Jan-2026 rates'!$E:$F,2,0)))</f>
        <v>0</v>
      </c>
      <c r="BM82" s="409">
        <v>10</v>
      </c>
      <c r="BN82" s="398">
        <f>IF(BM82=0,0,IF(LEN(BD82)=11,_xlfn.XLOOKUP(BD82,'Dispensed Ink Rates'!C:C,'Dispensed Ink Rates'!CS:CS),VLOOKUP(BD82,'Jan-2026 rates'!$E:$F,2,0)))</f>
        <v>0</v>
      </c>
      <c r="BO82" s="409">
        <v>2</v>
      </c>
      <c r="BP82" s="398" t="e">
        <f>IF(BO82=0,0,IF(LEN(BE82)=11,_xlfn.XLOOKUP(BE82,'Dispensed Ink Rates'!C:C,'Dispensed Ink Rates'!CS:CS),VLOOKUP(BE82,'Jan-2026 rates'!$E:$F,2,0)))</f>
        <v>#N/A</v>
      </c>
      <c r="BQ82" s="409">
        <v>0.5</v>
      </c>
      <c r="BR82" s="398" t="e">
        <f>IF(BQ82=0,0,IF(LEN(BF82)=11,_xlfn.XLOOKUP(BF82,'Dispensed Ink Rates'!C:C,'Dispensed Ink Rates'!CS:CS),VLOOKUP(BF82,'Jan-2026 rates'!$E:$F,2,0)))</f>
        <v>#N/A</v>
      </c>
      <c r="BS82" s="409"/>
      <c r="BT82" s="398">
        <f>IF(BS82=0,0,IF(LEN(BG82)=11,_xlfn.XLOOKUP(BG82,'Dispensed Ink Rates'!C:C,'Dispensed Ink Rates'!CS:CS),VLOOKUP(BG82,'Jan-2026 rates'!$E:$F,2,0)))</f>
        <v>0</v>
      </c>
      <c r="BU82" s="409"/>
      <c r="BV82" s="398">
        <f>IF(BU82=0,0,IF(LEN(BH82)=11,_xlfn.XLOOKUP(BH82,'Dispensed Ink Rates'!C:C,'Dispensed Ink Rates'!CS:CS),VLOOKUP(BH82,'Jan-2026 rates'!$E:$F,2,0)))</f>
        <v>0</v>
      </c>
      <c r="BW82" s="409"/>
      <c r="BX82" s="398">
        <f>IF(BW82=0,0,IF(LEN(BI82)=11,_xlfn.XLOOKUP(BI82,'Dispensed Ink Rates'!C:C,'Dispensed Ink Rates'!CS:CS),VLOOKUP(BI82,'Jan-2026 rates'!$E:$F,2,0)))</f>
        <v>0</v>
      </c>
      <c r="BY82" s="409"/>
      <c r="BZ82" s="398">
        <f>IF(BY82=0,0,IF(LEN(BJ82)=11,_xlfn.XLOOKUP(BJ82,'Dispensed Ink Rates'!C:C,'Dispensed Ink Rates'!CS:CS),VLOOKUP(BJ82,'Jan-2026 rates'!$E:$F,2,0)))</f>
        <v>0</v>
      </c>
      <c r="CA82" s="409" t="s">
        <v>1443</v>
      </c>
      <c r="CB82" s="409">
        <v>34</v>
      </c>
      <c r="CC82" s="411">
        <f t="shared" si="85"/>
        <v>0</v>
      </c>
      <c r="CD82" s="411">
        <f t="shared" si="86"/>
        <v>28.727272727272727</v>
      </c>
      <c r="CE82" s="410">
        <f t="shared" si="87"/>
        <v>0</v>
      </c>
      <c r="CF82" s="404" t="s">
        <v>855</v>
      </c>
      <c r="CG82" s="409" t="s">
        <v>3054</v>
      </c>
      <c r="CH82" s="420" t="str">
        <f t="shared" si="55"/>
        <v>FLINTSL - CYAN</v>
      </c>
      <c r="CI82" s="409">
        <v>24</v>
      </c>
      <c r="CJ82" s="411">
        <f>IF(CI82=0,0,IF($LB82=70%,VLOOKUP($CH82,'Jan-2026 rates'!$L:$R,4,0),IF($LB82=65%,VLOOKUP($CH82,'Jan-2026 rates'!$L:$R,4,0),IF($LB82=40%,VLOOKUP($CH82,'Jan-2026 rates'!$L:$R,5,0),IF($LB82=30%,VLOOKUP($CH82,'Jan-2026 rates'!$L:$R,6,0),IF($LB82=100%,VLOOKUP($CH82,'Jan-2026 rates'!$L:$R,7,0),IF($LB82=60%,VLOOKUP($CH82,'Jan-2026 rates'!$L:$S,8,0),IF($LB82=80%,VLOOKUP($CH82,'Jan-2026 rates'!L:T,9,0),0))))))))</f>
        <v>0</v>
      </c>
      <c r="CK82" s="412"/>
      <c r="CL82" s="409"/>
      <c r="CM82" s="411">
        <f>IF(CL82=0,0,IF($LB82=70%,VLOOKUP($CH82,'Jan-2026 rates'!$L:$R,4,0),IF($LB82=65%,VLOOKUP($CH82,'Jan-2026 rates'!$L:$R,4,0),IF($LB82=40%,VLOOKUP($CH82,'Jan-2026 rates'!$L:$R,5,0),IF($LB82=30%,VLOOKUP($CH82,'Jan-2026 rates'!$L:$R,6,0),IF($LB82=100%,VLOOKUP($CH82,'Jan-2026 rates'!$L:$R,7,0),IF($LB82=60%,VLOOKUP($CH82,'Jan-2026 rates'!$L:$S,8,0),IF($LB82=80%,VLOOKUP($CH82,'Jan-2026 rates'!L:T,9,0),0))))))))</f>
        <v>0</v>
      </c>
      <c r="CN82" s="426">
        <v>26504000001</v>
      </c>
      <c r="CO82" s="427" t="s">
        <v>1266</v>
      </c>
      <c r="CP82" s="426"/>
      <c r="CQ82" s="426"/>
      <c r="CR82" s="428"/>
      <c r="CS82" s="428"/>
      <c r="CT82" s="428"/>
      <c r="CU82" s="428"/>
      <c r="CV82" s="409">
        <v>10</v>
      </c>
      <c r="CW82" s="398" t="e">
        <f>IF(CV82=0,0,IF(LEN(CN82)=11,_xlfn.XLOOKUP(CN82,'Dispensed Ink Rates'!C:C,'Dispensed Ink Rates'!CS:CS),VLOOKUP(CN82,'Jan-2026 rates'!$E:$F,2,0)))</f>
        <v>#N/A</v>
      </c>
      <c r="CX82" s="409">
        <v>7</v>
      </c>
      <c r="CY82" s="398">
        <f>IF(CX82=0,0,IF(LEN(CO82)=11,_xlfn.XLOOKUP(CO82,'Dispensed Ink Rates'!C:C,'Dispensed Ink Rates'!CS:CS),VLOOKUP(CO82,'Jan-2026 rates'!$E:$F,2,0)))</f>
        <v>0</v>
      </c>
      <c r="CZ82" s="409"/>
      <c r="DA82" s="398">
        <f>IF(CZ82=0,0,IF(LEN(CP82)=11,_xlfn.XLOOKUP(CP82,'Dispensed Ink Rates'!C:C,'Dispensed Ink Rates'!CS:CS),VLOOKUP(CP82,'Jan-2026 rates'!$E:$F,2,0)))</f>
        <v>0</v>
      </c>
      <c r="DB82" s="409"/>
      <c r="DC82" s="398">
        <f>IF(DB82=0,0,IF(LEN(CQ82)=11,_xlfn.XLOOKUP(CQ82,'Dispensed Ink Rates'!C:C,'Dispensed Ink Rates'!CS:CS),VLOOKUP(CQ82,'Jan-2026 rates'!$E:$F,2,0)))</f>
        <v>0</v>
      </c>
      <c r="DD82" s="409"/>
      <c r="DE82" s="398">
        <f>IF(DD82=0,0,IF(LEN(CR82)=11,_xlfn.XLOOKUP(CR82,'Dispensed Ink Rates'!C:C,'Dispensed Ink Rates'!CS:CS),VLOOKUP(CR82,'Jan-2026 rates'!$E:$F,2,0)))</f>
        <v>0</v>
      </c>
      <c r="DF82" s="409"/>
      <c r="DG82" s="398">
        <f>IF(DF82=0,0,IF(LEN(CS82)=11,_xlfn.XLOOKUP(CS82,'Dispensed Ink Rates'!C:C,'Dispensed Ink Rates'!CS:CS),VLOOKUP(CS82,'Jan-2026 rates'!$E:$F,2,0)))</f>
        <v>0</v>
      </c>
      <c r="DH82" s="409"/>
      <c r="DI82" s="398">
        <f>IF(DH82=0,0,IF(LEN(CT82)=11,_xlfn.XLOOKUP(CT82,'Dispensed Ink Rates'!C:C,'Dispensed Ink Rates'!CS:CS),VLOOKUP(CT82,'Jan-2026 rates'!$E:$F,2,0)))</f>
        <v>0</v>
      </c>
      <c r="DJ82" s="409"/>
      <c r="DK82" s="398">
        <f>IF(DJ82=0,0,IF(LEN(CU82)=11,_xlfn.XLOOKUP(CU82,'Dispensed Ink Rates'!C:C,'Dispensed Ink Rates'!CS:CS),VLOOKUP(CU82,'Jan-2026 rates'!$E:$F,2,0)))</f>
        <v>0</v>
      </c>
      <c r="DL82" s="409" t="s">
        <v>1443</v>
      </c>
      <c r="DM82" s="409">
        <v>23</v>
      </c>
      <c r="DN82" s="411">
        <f t="shared" si="88"/>
        <v>0</v>
      </c>
      <c r="DO82" s="411">
        <f t="shared" si="89"/>
        <v>38.227272727272727</v>
      </c>
      <c r="DP82" s="410">
        <f t="shared" si="90"/>
        <v>0</v>
      </c>
      <c r="DQ82" s="405" t="s">
        <v>544</v>
      </c>
      <c r="DR82" s="409" t="s">
        <v>3055</v>
      </c>
      <c r="DS82" s="420" t="str">
        <f t="shared" si="56"/>
        <v>FLINTSL - MAGENTA</v>
      </c>
      <c r="DT82" s="409">
        <v>25</v>
      </c>
      <c r="DU82" s="411">
        <f>IF(DT82=0,0,IF($LB82=70%,VLOOKUP($DS82,'Jan-2026 rates'!$L:$R,4,0),IF($LB82=65%,VLOOKUP($DS82,'Jan-2026 rates'!$L:$R,4,0),IF($LB82=40%,VLOOKUP($DS82,'Jan-2026 rates'!$L:$R,5,0),IF($LB82=30%,VLOOKUP($DS82,'Jan-2026 rates'!$L:$R,6,0),IF($LB82=100%,VLOOKUP($DS82,'Jan-2026 rates'!$L:$R,7,0),IF($LB82=60%,VLOOKUP($DS82,'Jan-2026 rates'!$L:$S,8,0),IF($LB82=80%,VLOOKUP($DS82,'Jan-2026 rates'!L:T,9,0),0))))))))</f>
        <v>0</v>
      </c>
      <c r="DV82" s="412"/>
      <c r="DW82" s="409"/>
      <c r="DX82" s="411">
        <f>IF(DW82=0,0,IF($LB82=70%,VLOOKUP($DS82,'Jan-2026 rates'!$L:$R,4,0),IF($LB82=65%,VLOOKUP($DS82,'Jan-2026 rates'!$L:$R,4,0),IF($LB82=40%,VLOOKUP($DS82,'Jan-2026 rates'!$L:$R,5,0),IF($LB82=30%,VLOOKUP($DS82,'Jan-2026 rates'!$L:$R,6,0),IF($LB82=100%,VLOOKUP($DS82,'Jan-2026 rates'!$L:$R,7,0),IF($LB82=60%,VLOOKUP($DS82,'Jan-2026 rates'!$L:$S,8,0),IF($LB82=80%,VLOOKUP($DS82,'Jan-2026 rates'!L:T,9,0),0))))))))</f>
        <v>0</v>
      </c>
      <c r="DY82" s="413">
        <v>26507000017</v>
      </c>
      <c r="DZ82" s="413" t="s">
        <v>1266</v>
      </c>
      <c r="EA82" s="412"/>
      <c r="EB82" s="412"/>
      <c r="EC82" s="412"/>
      <c r="ED82" s="412"/>
      <c r="EE82" s="412"/>
      <c r="EF82" s="412"/>
      <c r="EG82" s="409">
        <v>2</v>
      </c>
      <c r="EH82" s="398" t="e">
        <f>IF(EG82=0,0,IF(LEN(DY82)=11,_xlfn.XLOOKUP(DY82,'Dispensed Ink Rates'!C:C,'Dispensed Ink Rates'!CS:CS),VLOOKUP(DY82,'Jan-2026 rates'!$E:$F,2,0)))</f>
        <v>#N/A</v>
      </c>
      <c r="EI82" s="409">
        <v>5</v>
      </c>
      <c r="EJ82" s="398">
        <f>IF(EI82=0,0,IF(LEN(DZ82)=11,_xlfn.XLOOKUP(DZ82,'Dispensed Ink Rates'!C:C,'Dispensed Ink Rates'!CS:CS),VLOOKUP(DZ82,'Jan-2026 rates'!$E:$F,2,0)))</f>
        <v>0</v>
      </c>
      <c r="EK82" s="409"/>
      <c r="EL82" s="398">
        <f>IF(EK82=0,0,IF(LEN(EA82)=11,_xlfn.XLOOKUP(EA82,'Dispensed Ink Rates'!C:C,'Dispensed Ink Rates'!CS:CS),VLOOKUP(EA82,'Jan-2026 rates'!$E:$F,2,0)))</f>
        <v>0</v>
      </c>
      <c r="EM82" s="409"/>
      <c r="EN82" s="398">
        <f>IF(EM82=0,0,IF(LEN(EB82)=11,_xlfn.XLOOKUP(EB82,'Dispensed Ink Rates'!C:C,'Dispensed Ink Rates'!CS:CS),VLOOKUP(EB82,'Jan-2026 rates'!$E:$F,2,0)))</f>
        <v>0</v>
      </c>
      <c r="EO82" s="409"/>
      <c r="EP82" s="398">
        <f>IF(EO82=0,0,IF(LEN(EC82)=11,_xlfn.XLOOKUP(EC82,'Dispensed Ink Rates'!C:C,'Dispensed Ink Rates'!CS:CS),VLOOKUP(EC82,'Jan-2026 rates'!$E:$F,2,0)))</f>
        <v>0</v>
      </c>
      <c r="EQ82" s="409"/>
      <c r="ER82" s="398">
        <f>IF(EQ82=0,0,IF(LEN(ED82)=11,_xlfn.XLOOKUP(ED82,'Dispensed Ink Rates'!C:C,'Dispensed Ink Rates'!CS:CS),VLOOKUP(ED82,'Jan-2026 rates'!$E:$F,2,0)))</f>
        <v>0</v>
      </c>
      <c r="ES82" s="409"/>
      <c r="ET82" s="398">
        <f>IF(ES82=0,0,IF(LEN(EE82)=11,_xlfn.XLOOKUP(EE82,'Dispensed Ink Rates'!C:C,'Dispensed Ink Rates'!CS:CS),VLOOKUP(EE82,'Jan-2026 rates'!$E:$F,2,0)))</f>
        <v>0</v>
      </c>
      <c r="EU82" s="409"/>
      <c r="EV82" s="398">
        <f>IF(EU82=0,0,IF(LEN(EF82)=11,_xlfn.XLOOKUP(EF82,'Dispensed Ink Rates'!C:C,'Dispensed Ink Rates'!CS:CS),VLOOKUP(EF82,'Jan-2026 rates'!$E:$F,2,0)))</f>
        <v>0</v>
      </c>
      <c r="EW82" s="409" t="s">
        <v>1443</v>
      </c>
      <c r="EX82" s="409">
        <v>24</v>
      </c>
      <c r="EY82" s="411">
        <f t="shared" si="91"/>
        <v>0</v>
      </c>
      <c r="EZ82" s="411">
        <f t="shared" si="92"/>
        <v>16.090909090909093</v>
      </c>
      <c r="FA82" s="410">
        <f t="shared" si="93"/>
        <v>0</v>
      </c>
      <c r="FB82" s="405" t="s">
        <v>545</v>
      </c>
      <c r="FC82" s="409" t="s">
        <v>3056</v>
      </c>
      <c r="FD82" s="420" t="str">
        <f t="shared" si="57"/>
        <v>FLINTSL - YELLOW</v>
      </c>
      <c r="FE82" s="409">
        <v>30</v>
      </c>
      <c r="FF82" s="411">
        <f>IF(FE82=0,0,IF($LB82=70%,VLOOKUP($FD82,'Jan-2026 rates'!$L:$R,4,0),IF($LB82=65%,VLOOKUP($FD82,'Jan-2026 rates'!$L:$R,4,0),IF($LB82=40%,VLOOKUP($FD82,'Jan-2026 rates'!$L:$R,5,0),IF($LB82=30%,VLOOKUP($FD82,'Jan-2026 rates'!$L:$R,6,0),IF($LB82=100%,VLOOKUP($FD82,'Jan-2026 rates'!$L:$R,7,0),IF($LB82=60%,VLOOKUP($FD82,'Jan-2026 rates'!$L:$S,8,0),IF($LB82=80%,VLOOKUP($FD82,'Jan-2026 rates'!L:T,9,0),0))))))))</f>
        <v>0</v>
      </c>
      <c r="FG82" s="412"/>
      <c r="FH82" s="409"/>
      <c r="FI82" s="411">
        <f>IF(FH82=0,0,IF($LB82=70%,VLOOKUP($FD82,'Jan-2026 rates'!$L:$R,4,0),IF($LB82=65%,VLOOKUP($FD82,'Jan-2026 rates'!$L:$R,4,0),IF($LB82=40%,VLOOKUP($FD82,'Jan-2026 rates'!$L:$R,5,0),IF($LB82=30%,VLOOKUP($FD82,'Jan-2026 rates'!$L:$R,6,0),IF($LB82=100%,VLOOKUP($FD82,'Jan-2026 rates'!$L:$R,7,0),IF($LB82=60%,VLOOKUP($FD82,'Jan-2026 rates'!$L:$S,8,0),IF($LB82=80%,VLOOKUP($FD82,'Jan-2026 rates'!L:T,9,0),0))))))))</f>
        <v>0</v>
      </c>
      <c r="FJ82" s="413">
        <v>26505000004</v>
      </c>
      <c r="FK82" s="413"/>
      <c r="FL82" s="413"/>
      <c r="FM82" s="412"/>
      <c r="FN82" s="412"/>
      <c r="FO82" s="412"/>
      <c r="FP82" s="412"/>
      <c r="FQ82" s="412"/>
      <c r="FR82" s="409">
        <f>2+4</f>
        <v>6</v>
      </c>
      <c r="FS82" s="398" t="e">
        <f>IF(FR82=0,0,IF(LEN(FJ82)=11,_xlfn.XLOOKUP(FJ82,'Dispensed Ink Rates'!C:C,'Dispensed Ink Rates'!CS:CS),VLOOKUP(FJ82,'Jan-2026 rates'!$E:$F,2,0)))</f>
        <v>#N/A</v>
      </c>
      <c r="FT82" s="409"/>
      <c r="FU82" s="398">
        <f>IF(FT82=0,0,IF(LEN(FK82)=11,_xlfn.XLOOKUP(FK82,'Dispensed Ink Rates'!C:C,'Dispensed Ink Rates'!CS:CS),VLOOKUP(FK82,'Jan-2026 rates'!$E:$F,2,0)))</f>
        <v>0</v>
      </c>
      <c r="FV82" s="409"/>
      <c r="FW82" s="398">
        <f>IF(FV82=0,0,IF(LEN(FL82)=11,_xlfn.XLOOKUP(FL82,'Dispensed Ink Rates'!C:C,'Dispensed Ink Rates'!CS:CS),VLOOKUP(FL82,'Jan-2026 rates'!$E:$F,2,0)))</f>
        <v>0</v>
      </c>
      <c r="FX82" s="409"/>
      <c r="FY82" s="398">
        <f>IF(FX82=0,0,IF(LEN(FM82)=11,_xlfn.XLOOKUP(FM82,'Dispensed Ink Rates'!C:C,'Dispensed Ink Rates'!CS:CS),VLOOKUP(FM82,'Jan-2026 rates'!$E:$F,2,0)))</f>
        <v>0</v>
      </c>
      <c r="FZ82" s="409"/>
      <c r="GA82" s="398">
        <f>IF(FZ82=0,0,IF(LEN(FN82)=11,_xlfn.XLOOKUP(FN82,'Dispensed Ink Rates'!C:C,'Dispensed Ink Rates'!CS:CS),VLOOKUP(FN82,'Jan-2026 rates'!$E:$F,2,0)))</f>
        <v>0</v>
      </c>
      <c r="GB82" s="409"/>
      <c r="GC82" s="398">
        <f>IF(GB82=0,0,IF(LEN(FO82)=11,_xlfn.XLOOKUP(FO82,'Dispensed Ink Rates'!C:C,'Dispensed Ink Rates'!CS:CS),VLOOKUP(FO82,'Jan-2026 rates'!$E:$F,2,0)))</f>
        <v>0</v>
      </c>
      <c r="GD82" s="409"/>
      <c r="GE82" s="398">
        <f>IF(GD82=0,0,IF(LEN(FP82)=11,_xlfn.XLOOKUP(FP82,'Dispensed Ink Rates'!C:C,'Dispensed Ink Rates'!CS:CS),VLOOKUP(FP82,'Jan-2026 rates'!$E:$F,2,0)))</f>
        <v>0</v>
      </c>
      <c r="GF82" s="409"/>
      <c r="GG82" s="398">
        <f>IF(GF82=0,0,IF(LEN(FQ82)=11,_xlfn.XLOOKUP(FQ82,'Dispensed Ink Rates'!C:C,'Dispensed Ink Rates'!CS:CS),VLOOKUP(FQ82,'Jan-2026 rates'!$E:$F,2,0)))</f>
        <v>0</v>
      </c>
      <c r="GH82" s="409" t="s">
        <v>1443</v>
      </c>
      <c r="GI82" s="409">
        <v>26</v>
      </c>
      <c r="GJ82" s="411">
        <f t="shared" si="94"/>
        <v>0</v>
      </c>
      <c r="GK82" s="411">
        <f t="shared" si="95"/>
        <v>14.045454545454547</v>
      </c>
      <c r="GL82" s="410">
        <f t="shared" si="96"/>
        <v>0</v>
      </c>
      <c r="GM82" s="405" t="s">
        <v>856</v>
      </c>
      <c r="GN82" s="409" t="s">
        <v>3057</v>
      </c>
      <c r="GO82" s="420" t="str">
        <f t="shared" si="58"/>
        <v>FLINTSL - WHITE</v>
      </c>
      <c r="GP82" s="409">
        <v>32</v>
      </c>
      <c r="GQ82" s="411">
        <f>IF(GP82=0,0,IF($LB82=70%,VLOOKUP($GO82,'Jan-2026 rates'!$L:$R,4,0),IF($LB82=65%,VLOOKUP($GO82,'Jan-2026 rates'!$L:$R,4,0),IF($LB82=40%,VLOOKUP($GO82,'Jan-2026 rates'!$L:$R,5,0),IF($LB82=30%,VLOOKUP($GO82,'Jan-2026 rates'!$L:$R,6,0),IF($LB82=100%,VLOOKUP($GO82,'Jan-2026 rates'!$L:$R,7,0),IF($LB82=60%,VLOOKUP($GO82,'Jan-2026 rates'!$L:$S,8,0),IF($LB82=80%,VLOOKUP($GO82,'Jan-2026 rates'!L:T,9,0),0))))))))</f>
        <v>0</v>
      </c>
      <c r="GR82" s="412"/>
      <c r="GS82" s="409"/>
      <c r="GT82" s="411">
        <f>IF(GS82=0,0,IF($LB82=70%,VLOOKUP($GO82,'Jan-2026 rates'!$L:$R,4,0),IF($LB82=65%,VLOOKUP($GO82,'Jan-2026 rates'!$L:$R,4,0),IF($LB82=40%,VLOOKUP($GO82,'Jan-2026 rates'!$L:$R,5,0),IF($LB82=30%,VLOOKUP($GO82,'Jan-2026 rates'!$L:$R,6,0),IF($LB82=100%,VLOOKUP($GO82,'Jan-2026 rates'!$L:$R,7,0),IF($LB82=60%,VLOOKUP($GO82,'Jan-2026 rates'!$L:$S,8,0),IF($LB82=80%,VLOOKUP($GO82,'Jan-2026 rates'!L:T,9,0),0))))))))</f>
        <v>0</v>
      </c>
      <c r="GU82" s="413" t="s">
        <v>484</v>
      </c>
      <c r="GV82" s="413"/>
      <c r="GW82" s="412"/>
      <c r="GX82" s="412"/>
      <c r="GY82" s="412"/>
      <c r="GZ82" s="412"/>
      <c r="HA82" s="412"/>
      <c r="HB82" s="412"/>
      <c r="HC82" s="409">
        <f>60+40</f>
        <v>100</v>
      </c>
      <c r="HD82" s="398">
        <f>IF(HC82=0,0,IF(LEN(GU82)=11,_xlfn.XLOOKUP(GU82,'Dispensed Ink Rates'!C:C,'Dispensed Ink Rates'!CS:CS),VLOOKUP(GU82,'Jan-2026 rates'!$E:$F,2,0)))</f>
        <v>0</v>
      </c>
      <c r="HE82" s="409"/>
      <c r="HF82" s="398">
        <f>IF(HE82=0,0,IF(LEN(GV82)=11,_xlfn.XLOOKUP(GV82,'Dispensed Ink Rates'!C:C,'Dispensed Ink Rates'!CS:CS),VLOOKUP(GV82,'Jan-2026 rates'!$E:$F,2,0)))</f>
        <v>0</v>
      </c>
      <c r="HG82" s="409"/>
      <c r="HH82" s="398">
        <f>IF(HG82=0,0,IF(LEN(GW82)=11,_xlfn.XLOOKUP(GW82,'Dispensed Ink Rates'!C:C,'Dispensed Ink Rates'!CS:CS),VLOOKUP(GW82,'Jan-2026 rates'!$E:$F,2,0)))</f>
        <v>0</v>
      </c>
      <c r="HI82" s="409"/>
      <c r="HJ82" s="398">
        <f>IF(HI82=0,0,IF(LEN(GX82)=11,_xlfn.XLOOKUP(GX82,'Dispensed Ink Rates'!C:C,'Dispensed Ink Rates'!CS:CS),VLOOKUP(GX82,'Jan-2026 rates'!$E:$F,2,0)))</f>
        <v>0</v>
      </c>
      <c r="HK82" s="409"/>
      <c r="HL82" s="398">
        <f>IF(HK82=0,0,IF(LEN(GY82)=11,_xlfn.XLOOKUP(GY82,'Dispensed Ink Rates'!C:C,'Dispensed Ink Rates'!CS:CS),VLOOKUP(GY82,'Jan-2026 rates'!$E:$F,2,0)))</f>
        <v>0</v>
      </c>
      <c r="HM82" s="409"/>
      <c r="HN82" s="398">
        <f>IF(HM82=0,0,IF(LEN(GZ82)=11,_xlfn.XLOOKUP(GZ82,'Dispensed Ink Rates'!C:C,'Dispensed Ink Rates'!CS:CS),VLOOKUP(GZ82,'Jan-2026 rates'!$E:$F,2,0)))</f>
        <v>0</v>
      </c>
      <c r="HO82" s="409"/>
      <c r="HP82" s="398">
        <f>IF(HO82=0,0,IF(LEN(HA82)=11,_xlfn.XLOOKUP(HA82,'Dispensed Ink Rates'!C:C,'Dispensed Ink Rates'!CS:CS),VLOOKUP(HA82,'Jan-2026 rates'!$E:$F,2,0)))</f>
        <v>0</v>
      </c>
      <c r="HQ82" s="409"/>
      <c r="HR82" s="398">
        <f>IF(HQ82=0,0,IF(LEN(HB82)=11,_xlfn.XLOOKUP(HB82,'Dispensed Ink Rates'!C:C,'Dispensed Ink Rates'!CS:CS),VLOOKUP(HB82,'Jan-2026 rates'!$E:$F,2,0)))</f>
        <v>0</v>
      </c>
      <c r="HS82" s="409" t="s">
        <v>1443</v>
      </c>
      <c r="HT82" s="409">
        <v>25</v>
      </c>
      <c r="HU82" s="411">
        <f t="shared" si="97"/>
        <v>0</v>
      </c>
      <c r="HV82" s="411">
        <f t="shared" si="98"/>
        <v>228.36363636363637</v>
      </c>
      <c r="HW82" s="414">
        <f t="shared" si="99"/>
        <v>0</v>
      </c>
      <c r="HX82" s="405"/>
      <c r="HY82" s="409"/>
      <c r="HZ82" s="420" t="str">
        <f t="shared" si="59"/>
        <v xml:space="preserve"> - </v>
      </c>
      <c r="IA82" s="409"/>
      <c r="IB82" s="411">
        <f>IF(IA82=0,0,IF($LB82=70%,VLOOKUP($HZ82,'Jan-2026 rates'!$L:$R,4,0),IF($LB82=65%,VLOOKUP($HZ82,'Jan-2026 rates'!$L:$R,4,0),IF($LB82=40%,VLOOKUP($HZ82,'Jan-2026 rates'!$L:$R,5,0),IF($LB82=30%,VLOOKUP($HZ82,'Jan-2026 rates'!$L:$R,6,0),IF($LB82=100%,VLOOKUP($HZ82,'Jan-2026 rates'!$L:$R,7,0),IF($LB82=60%,VLOOKUP($HZ82,'Jan-2026 rates'!$L:$S,8,0),IF($LB82=80%,VLOOKUP($HZ82,'Jan-2026 rates'!L:T,9,0),0))))))))</f>
        <v>0</v>
      </c>
      <c r="IC82" s="412"/>
      <c r="ID82" s="409"/>
      <c r="IE82" s="411">
        <f>IF(ID82=0,0,IF($LB82=70%,VLOOKUP($HZ82,'Jan-2026 rates'!$L:$R,4,0),IF($LB82=65%,VLOOKUP($HZ82,'Jan-2026 rates'!$L:$R,4,0),IF($LB82=40%,VLOOKUP($HZ82,'Jan-2026 rates'!$L:$R,5,0),IF($LB82=30%,VLOOKUP($HZ82,'Jan-2026 rates'!$L:$R,6,0),IF($LB82=100%,VLOOKUP($HZ82,'Jan-2026 rates'!$L:$R,7,0),IF($LB82=60%,VLOOKUP($HZ82,'Jan-2026 rates'!$L:$S,8,0),IF($LB82=80%,VLOOKUP($HZ82,'Jan-2026 rates'!L:T,9,0),0))))))))</f>
        <v>0</v>
      </c>
      <c r="IF82" s="412"/>
      <c r="IG82" s="413"/>
      <c r="IH82" s="412"/>
      <c r="II82" s="412"/>
      <c r="IJ82" s="412"/>
      <c r="IK82" s="412"/>
      <c r="IL82" s="412"/>
      <c r="IM82" s="412"/>
      <c r="IN82" s="409"/>
      <c r="IO82" s="398">
        <f>IF(IN82=0,0,IF(LEN(IF82)=11,_xlfn.XLOOKUP(IF82,'Dispensed Ink Rates'!C:C,'Dispensed Ink Rates'!CS:CS),VLOOKUP(IF82,'Jan-2026 rates'!$E:$F,2,0)))</f>
        <v>0</v>
      </c>
      <c r="IP82" s="409"/>
      <c r="IQ82" s="398">
        <f>IF(IP82=0,0,IF(LEN(IG82)=11,_xlfn.XLOOKUP(IG82,'Dispensed Ink Rates'!C:C,'Dispensed Ink Rates'!CS:CS),VLOOKUP(IG82,'Jan-2026 rates'!$E:$F,2,0)))</f>
        <v>0</v>
      </c>
      <c r="IR82" s="409"/>
      <c r="IS82" s="398">
        <f>IF(IR82=0,0,IF(LEN(IH82)=11,_xlfn.XLOOKUP(IH82,'Dispensed Ink Rates'!C:C,'Dispensed Ink Rates'!CS:CS),VLOOKUP(IH82,'Jan-2026 rates'!$E:$F,2,0)))</f>
        <v>0</v>
      </c>
      <c r="IT82" s="409"/>
      <c r="IU82" s="398">
        <f>IF(IT82=0,0,IF(LEN(II82)=11,_xlfn.XLOOKUP(II82,'Dispensed Ink Rates'!C:C,'Dispensed Ink Rates'!CS:CS),VLOOKUP(II82,'Jan-2026 rates'!$E:$F,2,0)))</f>
        <v>0</v>
      </c>
      <c r="IV82" s="409"/>
      <c r="IW82" s="398">
        <f>IF(IV82=0,0,IF(LEN(IJ82)=11,_xlfn.XLOOKUP(IJ82,'Dispensed Ink Rates'!C:C,'Dispensed Ink Rates'!CS:CS),VLOOKUP(IJ82,'Jan-2026 rates'!$E:$F,2,0)))</f>
        <v>0</v>
      </c>
      <c r="IX82" s="409"/>
      <c r="IY82" s="398">
        <f>IF(IX82=0,0,IF(LEN(IK82)=11,_xlfn.XLOOKUP(IK82,'Dispensed Ink Rates'!C:C,'Dispensed Ink Rates'!CS:CS),VLOOKUP(IK82,'Jan-2026 rates'!$E:$F,2,0)))</f>
        <v>0</v>
      </c>
      <c r="IZ82" s="409"/>
      <c r="JA82" s="398">
        <f>IF(IZ82=0,0,IF(LEN(IL82)=11,_xlfn.XLOOKUP(IL82,'Dispensed Ink Rates'!C:C,'Dispensed Ink Rates'!CS:CS),VLOOKUP(IL82,'Jan-2026 rates'!$E:$F,2,0)))</f>
        <v>0</v>
      </c>
      <c r="JB82" s="409"/>
      <c r="JC82" s="398">
        <f>IF(JB82=0,0,IF(LEN(IM82)=11,_xlfn.XLOOKUP(IM82,'Dispensed Ink Rates'!C:C,'Dispensed Ink Rates'!CS:CS),VLOOKUP(IM82,'Jan-2026 rates'!$E:$F,2,0)))</f>
        <v>0</v>
      </c>
      <c r="JD82" s="409"/>
      <c r="JE82" s="409"/>
      <c r="JF82" s="411">
        <f t="shared" si="100"/>
        <v>0</v>
      </c>
      <c r="JG82" s="411">
        <f t="shared" si="101"/>
        <v>0</v>
      </c>
      <c r="JH82" s="410">
        <f t="shared" si="102"/>
        <v>0</v>
      </c>
      <c r="JI82" s="405"/>
      <c r="JJ82" s="409"/>
      <c r="JK82" s="420" t="str">
        <f t="shared" si="60"/>
        <v xml:space="preserve"> - </v>
      </c>
      <c r="JL82" s="409"/>
      <c r="JM82" s="411">
        <f>IF(JL82=0,0,IF($LB82=70%,VLOOKUP($JK82,'Jan-2026 rates'!$L:$R,4,0),IF($LB82=65%,VLOOKUP($JK82,'Jan-2026 rates'!$L:$R,4,0),IF($LB82=40%,VLOOKUP($JK82,'Jan-2026 rates'!$L:$R,5,0),IF($LB82=30%,VLOOKUP($JK82,'Jan-2026 rates'!$L:$R,6,0),IF($LB82=100%,VLOOKUP($JK82,'Jan-2026 rates'!$L:$R,7,0),IF($LB82=60%,VLOOKUP($JK82,'Jan-2026 rates'!$L:$S,8,0),IF($LB82=80%,VLOOKUP($JK82,'Jan-2026 rates'!L:T,9,0),0))))))))</f>
        <v>0</v>
      </c>
      <c r="JN82" s="412"/>
      <c r="JO82" s="409"/>
      <c r="JP82" s="411">
        <f>IF(JO82=0,0,IF($LB82=70%,VLOOKUP($JK82,'Jan-2026 rates'!$L:$R,4,0),IF($LB82=65%,VLOOKUP($JK82,'Jan-2026 rates'!$L:$R,4,0),IF($LB82=40%,VLOOKUP($JK82,'Jan-2026 rates'!$L:$R,5,0),IF($LB82=30%,VLOOKUP($JK82,'Jan-2026 rates'!$L:$R,6,0),IF($LB82=100%,VLOOKUP($JK82,'Jan-2026 rates'!$L:$R,7,0),IF($LB82=60%,VLOOKUP($JK82,'Jan-2026 rates'!$L:$S,8,0),IF($LB82=80%,VLOOKUP($JK82,'Jan-2026 rates'!L:T,9,0),0))))))))</f>
        <v>0</v>
      </c>
      <c r="JQ82" s="413"/>
      <c r="JR82" s="412"/>
      <c r="JS82" s="413"/>
      <c r="JT82" s="413"/>
      <c r="JU82" s="412"/>
      <c r="JV82" s="412"/>
      <c r="JW82" s="412"/>
      <c r="JX82" s="412"/>
      <c r="JY82" s="409"/>
      <c r="JZ82" s="398">
        <f>IF(JY82=0,0,IF(LEN(JQ82)=11,_xlfn.XLOOKUP(JQ82,'Dispensed Ink Rates'!C:C,'Dispensed Ink Rates'!CS:CS),VLOOKUP(JQ82,'Jan-2026 rates'!$E:$F,2,0)))</f>
        <v>0</v>
      </c>
      <c r="KA82" s="409"/>
      <c r="KB82" s="398">
        <f>IF(KA82=0,0,IF(LEN(JR82)=11,_xlfn.XLOOKUP(JR82,'Dispensed Ink Rates'!C:C,'Dispensed Ink Rates'!CS:CS),VLOOKUP(JR82,'Jan-2026 rates'!$E:$F,2,0)))</f>
        <v>0</v>
      </c>
      <c r="KC82" s="409"/>
      <c r="KD82" s="398">
        <f>IF(KC82=0,0,IF(LEN(JS82)=11,_xlfn.XLOOKUP(JS82,'Dispensed Ink Rates'!C:C,'Dispensed Ink Rates'!CS:CS),VLOOKUP(JS82,'Jan-2026 rates'!$E:$F,2,0)))</f>
        <v>0</v>
      </c>
      <c r="KE82" s="409"/>
      <c r="KF82" s="398">
        <f>IF(KE82=0,0,IF(LEN(JT82)=11,_xlfn.XLOOKUP(JT82,'Dispensed Ink Rates'!C:C,'Dispensed Ink Rates'!CS:CS),VLOOKUP(JT82,'Jan-2026 rates'!$E:$F,2,0)))</f>
        <v>0</v>
      </c>
      <c r="KG82" s="409"/>
      <c r="KH82" s="398">
        <f>IF(KG82=0,0,IF(LEN(JU82)=11,_xlfn.XLOOKUP(JU82,'Dispensed Ink Rates'!C:C,'Dispensed Ink Rates'!CS:CS),VLOOKUP(JU82,'Jan-2026 rates'!$E:$F,2,0)))</f>
        <v>0</v>
      </c>
      <c r="KI82" s="409"/>
      <c r="KJ82" s="398">
        <f>IF(KI82=0,0,IF(LEN(JV82)=11,_xlfn.XLOOKUP(JV82,'Dispensed Ink Rates'!C:C,'Dispensed Ink Rates'!CS:CS),VLOOKUP(JV82,'Jan-2026 rates'!$E:$F,2,0)))</f>
        <v>0</v>
      </c>
      <c r="KK82" s="409"/>
      <c r="KL82" s="398">
        <f>IF(KK82=0,0,IF(LEN(JW82)=11,_xlfn.XLOOKUP(JW82,'Dispensed Ink Rates'!C:C,'Dispensed Ink Rates'!CS:CS),VLOOKUP(JW82,'Jan-2026 rates'!$E:$F,2,0)))</f>
        <v>0</v>
      </c>
      <c r="KM82" s="428"/>
      <c r="KN82" s="398">
        <f>IF(KM82=0,0,IF(LEN(JX82)=11,_xlfn.XLOOKUP(JX82,'Dispensed Ink Rates'!C:C,'Dispensed Ink Rates'!CS:CS),VLOOKUP(JX82,'Jan-2026 rates'!$E:$F,2,0)))</f>
        <v>0</v>
      </c>
      <c r="KO82" s="409"/>
      <c r="KP82" s="409"/>
      <c r="KQ82" s="411">
        <f t="shared" si="103"/>
        <v>0</v>
      </c>
      <c r="KR82" s="411">
        <f t="shared" si="104"/>
        <v>0</v>
      </c>
      <c r="KS82" s="410">
        <f t="shared" si="105"/>
        <v>0</v>
      </c>
      <c r="KT82" s="409">
        <v>2</v>
      </c>
      <c r="KU82" s="409">
        <v>10</v>
      </c>
      <c r="KV82" s="409">
        <v>10</v>
      </c>
      <c r="KW82" s="409">
        <v>4</v>
      </c>
      <c r="KX82" s="409">
        <v>2</v>
      </c>
      <c r="KY82" s="409">
        <f>30+30</f>
        <v>60</v>
      </c>
      <c r="KZ82" s="409">
        <v>0</v>
      </c>
      <c r="LA82" s="409">
        <v>0</v>
      </c>
      <c r="LB82" s="415">
        <v>0.8</v>
      </c>
      <c r="LC82" s="415">
        <v>0.2</v>
      </c>
      <c r="LD82" s="415"/>
      <c r="LE82" s="415"/>
      <c r="LF82" s="415"/>
      <c r="LG82" s="409">
        <v>0</v>
      </c>
      <c r="LH82" s="409">
        <f>60+50+48+12+5+3</f>
        <v>178</v>
      </c>
      <c r="LI82" s="409">
        <v>0</v>
      </c>
      <c r="LJ82" s="409">
        <v>0</v>
      </c>
      <c r="LK82" s="416">
        <f t="shared" si="61"/>
        <v>178</v>
      </c>
      <c r="LL82" s="416">
        <f t="shared" si="62"/>
        <v>178</v>
      </c>
      <c r="LM82" s="417">
        <f t="shared" si="63"/>
        <v>142.4</v>
      </c>
      <c r="LN82" s="417">
        <f>VLOOKUP($LM$8,'Jan-2026 rates'!$H:$I,2,0)</f>
        <v>0</v>
      </c>
      <c r="LO82" s="417">
        <f t="shared" si="64"/>
        <v>35.6</v>
      </c>
      <c r="LP82" s="417">
        <f>VLOOKUP($LO$8,'Jan-2026 rates'!$H:$I,2,0)</f>
        <v>0</v>
      </c>
      <c r="LQ82" s="417">
        <f t="shared" si="65"/>
        <v>0</v>
      </c>
      <c r="LR82" s="417">
        <f>VLOOKUP($LQ$8,'Jan-2026 rates'!$H:$I,2,0)</f>
        <v>0</v>
      </c>
      <c r="LS82" s="417">
        <f t="shared" si="66"/>
        <v>0</v>
      </c>
      <c r="LT82" s="417">
        <f>VLOOKUP($LS$8,'Jan-2026 rates'!$H:$I,2,0)</f>
        <v>0</v>
      </c>
      <c r="LU82" s="417">
        <f t="shared" si="67"/>
        <v>0</v>
      </c>
      <c r="LV82" s="417">
        <f>VLOOKUP($LU$8,'Jan-2026 rates'!$H:$I,2,0)</f>
        <v>0</v>
      </c>
      <c r="LW82" s="417">
        <f t="shared" si="68"/>
        <v>0</v>
      </c>
      <c r="LX82" s="417">
        <f t="shared" si="69"/>
        <v>0</v>
      </c>
      <c r="LY82" s="418">
        <f t="shared" si="70"/>
        <v>0</v>
      </c>
      <c r="LZ82" s="417"/>
      <c r="MA82" s="435">
        <f t="shared" si="71"/>
        <v>174.5</v>
      </c>
      <c r="MB82" s="282">
        <f t="shared" si="72"/>
        <v>333.5</v>
      </c>
      <c r="MC82" s="283">
        <v>37</v>
      </c>
      <c r="MD82" s="284" t="str">
        <f t="shared" si="73"/>
        <v>FLINTSLFLINTSLFLINTSLFLINTSLFLINTSLFLINTSL</v>
      </c>
      <c r="ME82" s="293" t="str">
        <f t="shared" si="74"/>
        <v>+</v>
      </c>
      <c r="MF82" s="293" t="str">
        <f t="shared" si="75"/>
        <v>+</v>
      </c>
      <c r="MG82" s="293" t="str">
        <f t="shared" si="76"/>
        <v>+</v>
      </c>
      <c r="MH82" s="293" t="str">
        <f t="shared" si="77"/>
        <v>+</v>
      </c>
      <c r="MI82" s="293" t="str">
        <f t="shared" si="78"/>
        <v>+</v>
      </c>
      <c r="MJ82" s="293" t="str">
        <f t="shared" si="79"/>
        <v>+</v>
      </c>
      <c r="MK82" s="293" t="str">
        <f t="shared" si="80"/>
        <v>NIL</v>
      </c>
      <c r="ML82" s="293" t="str">
        <f t="shared" si="81"/>
        <v>NIL</v>
      </c>
      <c r="MM82" s="3" t="b">
        <f t="array" ref="MM82">OR(ME82:ML82="-")</f>
        <v>0</v>
      </c>
      <c r="MN82" s="285"/>
      <c r="MO82" s="401"/>
      <c r="MP82" s="286"/>
      <c r="MQ82" s="286"/>
      <c r="MR82" s="402"/>
      <c r="MS82" s="400"/>
      <c r="NH82" s="422"/>
      <c r="NJ82" s="421"/>
    </row>
    <row r="83" spans="1:374" s="1" customFormat="1" ht="16.5">
      <c r="A83" s="403">
        <v>46028</v>
      </c>
      <c r="B83" s="404" t="s">
        <v>1015</v>
      </c>
      <c r="C83" s="405" t="s">
        <v>3058</v>
      </c>
      <c r="D83" s="406">
        <v>38</v>
      </c>
      <c r="E83" s="404">
        <v>517</v>
      </c>
      <c r="F83" s="407">
        <v>26600</v>
      </c>
      <c r="G83" s="407" t="s">
        <v>1019</v>
      </c>
      <c r="H83" s="408" t="s">
        <v>1017</v>
      </c>
      <c r="I83" s="409">
        <v>1.78</v>
      </c>
      <c r="J83" s="405" t="s">
        <v>543</v>
      </c>
      <c r="K83" s="404" t="s">
        <v>3059</v>
      </c>
      <c r="L83" s="419" t="str">
        <f t="shared" si="54"/>
        <v>FLINTSL - BLACK</v>
      </c>
      <c r="M83" s="404">
        <v>22</v>
      </c>
      <c r="N83" s="410">
        <f>IF(M83=0,0,IF($LB83=70%,VLOOKUP($L83,'Jan-2026 rates'!$L:$R,4,0),IF($LB83=65%,VLOOKUP($L83,'Jan-2026 rates'!$L:$R,4,0),IF($LB83=40%,VLOOKUP($L83,'Jan-2026 rates'!$L:$R,5,0),IF($LB83=30%,VLOOKUP($L83,'Jan-2026 rates'!$L:$R,6,0),IF($LB83=100%,VLOOKUP($L83,'Jan-2026 rates'!$L:$R,7,0),IF($LB83=60%,VLOOKUP($L83,'Jan-2026 rates'!$L:$S,8,0),IF($LB83=80%,VLOOKUP($L83,'Jan-2026 rates'!L:T,9,0),0))))))))</f>
        <v>0</v>
      </c>
      <c r="O83" s="406"/>
      <c r="P83" s="404"/>
      <c r="Q83" s="410">
        <f>IF(P83=0,0,IF($LB83=70%,VLOOKUP($L83,'Jan-2026 rates'!$L:$R,4,0),IF($LB83=65%,VLOOKUP($L83,'Jan-2026 rates'!$L:$R,4,0),IF($LB83=40%,VLOOKUP($L83,'Jan-2026 rates'!$L:$R,5,0),IF($LB83=30%,VLOOKUP($L83,'Jan-2026 rates'!$L:$R,6,0),IF($LB83=100%,VLOOKUP($L83,'Jan-2026 rates'!$L:$R,7,0),IF($LB83=60%,VLOOKUP($L83,'Jan-2026 rates'!$L:$S,8,0),IF($LB83=80%,VLOOKUP($L83,'Jan-2026 rates'!L:T,9,0),0))))))))</f>
        <v>0</v>
      </c>
      <c r="R83" s="406" t="s">
        <v>1266</v>
      </c>
      <c r="S83" s="406"/>
      <c r="T83" s="406"/>
      <c r="U83" s="406"/>
      <c r="V83" s="406"/>
      <c r="W83" s="406"/>
      <c r="X83" s="406"/>
      <c r="Y83" s="406"/>
      <c r="Z83" s="404">
        <v>3</v>
      </c>
      <c r="AA83" s="398">
        <f>IF(Z83=0,0,IF(LEN(R83)=11,_xlfn.XLOOKUP(R83,'Dispensed Ink Rates'!C:C,'Dispensed Ink Rates'!CS:CS),VLOOKUP(R83,'Jan-2026 rates'!$E:$F,2,0)))</f>
        <v>0</v>
      </c>
      <c r="AB83" s="404"/>
      <c r="AC83" s="398">
        <f>IF(AB83=0,0,IF(LEN(S83)=11,_xlfn.XLOOKUP(S83,'Dispensed Ink Rates'!C:C,'Dispensed Ink Rates'!CS:CS),VLOOKUP(S83,'Jan-2026 rates'!$E:$F,2,0)))</f>
        <v>0</v>
      </c>
      <c r="AD83" s="404"/>
      <c r="AE83" s="398">
        <f>IF(AD83=0,0,IF(LEN(T83)=11,_xlfn.XLOOKUP(T83,'Dispensed Ink Rates'!C:C,'Dispensed Ink Rates'!CS:CS),VLOOKUP(T83,'Jan-2026 rates'!$E:$F,2,0)))</f>
        <v>0</v>
      </c>
      <c r="AF83" s="404"/>
      <c r="AG83" s="398">
        <f>IF(AF83=0,0,IF(LEN(U83)=11,_xlfn.XLOOKUP(U83,'Dispensed Ink Rates'!C:C,'Dispensed Ink Rates'!CS:CS),VLOOKUP(U83,'Jan-2026 rates'!$E:$F,2,0)))</f>
        <v>0</v>
      </c>
      <c r="AH83" s="404"/>
      <c r="AI83" s="398">
        <f>IF(AH83=0,0,IF(LEN(V83)=11,_xlfn.XLOOKUP(V83,'Dispensed Ink Rates'!C:C,'Dispensed Ink Rates'!CS:CS),VLOOKUP(V83,'Jan-2026 rates'!$E:$F,2,0)))</f>
        <v>0</v>
      </c>
      <c r="AJ83" s="404"/>
      <c r="AK83" s="398">
        <f>IF(AJ83=0,0,IF(LEN(W83)=11,_xlfn.XLOOKUP(W83,'Dispensed Ink Rates'!C:C,'Dispensed Ink Rates'!CS:CS),VLOOKUP(W83,'Jan-2026 rates'!$E:$F,2,0)))</f>
        <v>0</v>
      </c>
      <c r="AL83" s="404"/>
      <c r="AM83" s="398">
        <f>IF(AL83=0,0,IF(LEN(X83)=11,_xlfn.XLOOKUP(X83,'Dispensed Ink Rates'!C:C,'Dispensed Ink Rates'!CS:CS),VLOOKUP(X83,'Jan-2026 rates'!$E:$F,2,0)))</f>
        <v>0</v>
      </c>
      <c r="AN83" s="404"/>
      <c r="AO83" s="398">
        <f>IF(AN83=0,0,IF(LEN(Y83)=11,_xlfn.XLOOKUP(Y83,'Dispensed Ink Rates'!C:C,'Dispensed Ink Rates'!CS:CS),VLOOKUP(Y83,'Jan-2026 rates'!$E:$F,2,0)))</f>
        <v>0</v>
      </c>
      <c r="AP83" s="409" t="s">
        <v>1443</v>
      </c>
      <c r="AQ83" s="409">
        <v>20</v>
      </c>
      <c r="AR83" s="410">
        <f t="shared" si="82"/>
        <v>0</v>
      </c>
      <c r="AS83" s="411">
        <f t="shared" si="83"/>
        <v>9.0674157303370784</v>
      </c>
      <c r="AT83" s="410">
        <f t="shared" si="84"/>
        <v>0</v>
      </c>
      <c r="AU83" s="405" t="s">
        <v>546</v>
      </c>
      <c r="AV83" s="409"/>
      <c r="AW83" s="420" t="str">
        <f t="shared" si="53"/>
        <v>FLINTSL - REFLEX BLUE</v>
      </c>
      <c r="AX83" s="409"/>
      <c r="AY83" s="411">
        <f>IF(AX83=0,0,IF($LB83=70%,VLOOKUP($AW83,'Jan-2026 rates'!$L:$R,4,0),IF($LB83=65%,VLOOKUP($AW83,'Jan-2026 rates'!$L:$R,4,0),IF($LB83=40%,VLOOKUP($AW83,'Jan-2026 rates'!$L:$R,5,0),IF($LB83=30%,VLOOKUP($AW83,'Jan-2026 rates'!$L:$R,6,0),IF($LB83=100%,VLOOKUP($AW83,'Jan-2026 rates'!$L:$R,7,0),IF($LB83=60%,VLOOKUP($AW83,'Jan-2026 rates'!$L:$S,8,0),IF($LB83=80%,VLOOKUP($AW83,'Jan-2026 rates'!L:T,9,0),0))))))))</f>
        <v>0</v>
      </c>
      <c r="AZ83" s="412"/>
      <c r="BA83" s="409"/>
      <c r="BB83" s="411">
        <f>IF(BA83=0,0,IF($LB83=70%,VLOOKUP($AW83,'Jan-2026 rates'!$L:$R,4,0),IF($LB83=65%,VLOOKUP($AW83,'Jan-2026 rates'!$L:$R,4,0),IF($LB83=40%,VLOOKUP($AW83,'Jan-2026 rates'!$L:$R,5,0),IF($LB83=30%,VLOOKUP($AW83,'Jan-2026 rates'!$L:$R,6,0),IF($LB83=100%,VLOOKUP($AW83,'Jan-2026 rates'!$L:$R,7,0),IF($LB83=60%,VLOOKUP($AW83,'Jan-2026 rates'!$L:$S,8,0),IF($LB83=80%,VLOOKUP($AW83,'Jan-2026 rates'!L:T,9,0),0))))))))</f>
        <v>0</v>
      </c>
      <c r="BC83" s="413">
        <v>26506000003</v>
      </c>
      <c r="BD83" s="412" t="s">
        <v>1266</v>
      </c>
      <c r="BE83" s="412">
        <v>26505000032</v>
      </c>
      <c r="BF83" s="413"/>
      <c r="BG83" s="412"/>
      <c r="BH83" s="412"/>
      <c r="BI83" s="412"/>
      <c r="BJ83" s="412"/>
      <c r="BK83" s="409">
        <v>40</v>
      </c>
      <c r="BL83" s="398" t="e">
        <f>IF(BK83=0,0,IF(LEN(BC83)=11,_xlfn.XLOOKUP(BC83,'Dispensed Ink Rates'!C:C,'Dispensed Ink Rates'!CS:CS),VLOOKUP(BC83,'Jan-2026 rates'!$E:$F,2,0)))</f>
        <v>#N/A</v>
      </c>
      <c r="BM83" s="409">
        <v>7</v>
      </c>
      <c r="BN83" s="398">
        <f>IF(BM83=0,0,IF(LEN(BD83)=11,_xlfn.XLOOKUP(BD83,'Dispensed Ink Rates'!C:C,'Dispensed Ink Rates'!CS:CS),VLOOKUP(BD83,'Jan-2026 rates'!$E:$F,2,0)))</f>
        <v>0</v>
      </c>
      <c r="BO83" s="409">
        <v>4</v>
      </c>
      <c r="BP83" s="398" t="e">
        <f>IF(BO83=0,0,IF(LEN(BE83)=11,_xlfn.XLOOKUP(BE83,'Dispensed Ink Rates'!C:C,'Dispensed Ink Rates'!CS:CS),VLOOKUP(BE83,'Jan-2026 rates'!$E:$F,2,0)))</f>
        <v>#N/A</v>
      </c>
      <c r="BQ83" s="409"/>
      <c r="BR83" s="398">
        <f>IF(BQ83=0,0,IF(LEN(BF83)=11,_xlfn.XLOOKUP(BF83,'Dispensed Ink Rates'!C:C,'Dispensed Ink Rates'!CS:CS),VLOOKUP(BF83,'Jan-2026 rates'!$E:$F,2,0)))</f>
        <v>0</v>
      </c>
      <c r="BS83" s="409"/>
      <c r="BT83" s="398">
        <f>IF(BS83=0,0,IF(LEN(BG83)=11,_xlfn.XLOOKUP(BG83,'Dispensed Ink Rates'!C:C,'Dispensed Ink Rates'!CS:CS),VLOOKUP(BG83,'Jan-2026 rates'!$E:$F,2,0)))</f>
        <v>0</v>
      </c>
      <c r="BU83" s="409"/>
      <c r="BV83" s="398">
        <f>IF(BU83=0,0,IF(LEN(BH83)=11,_xlfn.XLOOKUP(BH83,'Dispensed Ink Rates'!C:C,'Dispensed Ink Rates'!CS:CS),VLOOKUP(BH83,'Jan-2026 rates'!$E:$F,2,0)))</f>
        <v>0</v>
      </c>
      <c r="BW83" s="409"/>
      <c r="BX83" s="398">
        <f>IF(BW83=0,0,IF(LEN(BI83)=11,_xlfn.XLOOKUP(BI83,'Dispensed Ink Rates'!C:C,'Dispensed Ink Rates'!CS:CS),VLOOKUP(BI83,'Jan-2026 rates'!$E:$F,2,0)))</f>
        <v>0</v>
      </c>
      <c r="BY83" s="409"/>
      <c r="BZ83" s="398">
        <f>IF(BY83=0,0,IF(LEN(BJ83)=11,_xlfn.XLOOKUP(BJ83,'Dispensed Ink Rates'!C:C,'Dispensed Ink Rates'!CS:CS),VLOOKUP(BJ83,'Jan-2026 rates'!$E:$F,2,0)))</f>
        <v>0</v>
      </c>
      <c r="CA83" s="409" t="s">
        <v>1443</v>
      </c>
      <c r="CB83" s="409">
        <v>24</v>
      </c>
      <c r="CC83" s="411">
        <f t="shared" si="85"/>
        <v>0</v>
      </c>
      <c r="CD83" s="411">
        <f t="shared" si="86"/>
        <v>47.337078651685388</v>
      </c>
      <c r="CE83" s="410">
        <f t="shared" si="87"/>
        <v>0</v>
      </c>
      <c r="CF83" s="404" t="s">
        <v>855</v>
      </c>
      <c r="CG83" s="409" t="s">
        <v>3060</v>
      </c>
      <c r="CH83" s="420" t="str">
        <f t="shared" si="55"/>
        <v>FLINTSL - CYAN</v>
      </c>
      <c r="CI83" s="409">
        <v>23</v>
      </c>
      <c r="CJ83" s="411">
        <f>IF(CI83=0,0,IF($LB83=70%,VLOOKUP($CH83,'Jan-2026 rates'!$L:$R,4,0),IF($LB83=65%,VLOOKUP($CH83,'Jan-2026 rates'!$L:$R,4,0),IF($LB83=40%,VLOOKUP($CH83,'Jan-2026 rates'!$L:$R,5,0),IF($LB83=30%,VLOOKUP($CH83,'Jan-2026 rates'!$L:$R,6,0),IF($LB83=100%,VLOOKUP($CH83,'Jan-2026 rates'!$L:$R,7,0),IF($LB83=60%,VLOOKUP($CH83,'Jan-2026 rates'!$L:$S,8,0),IF($LB83=80%,VLOOKUP($CH83,'Jan-2026 rates'!L:T,9,0),0))))))))</f>
        <v>0</v>
      </c>
      <c r="CK83" s="412"/>
      <c r="CL83" s="409"/>
      <c r="CM83" s="411">
        <f>IF(CL83=0,0,IF($LB83=70%,VLOOKUP($CH83,'Jan-2026 rates'!$L:$R,4,0),IF($LB83=65%,VLOOKUP($CH83,'Jan-2026 rates'!$L:$R,4,0),IF($LB83=40%,VLOOKUP($CH83,'Jan-2026 rates'!$L:$R,5,0),IF($LB83=30%,VLOOKUP($CH83,'Jan-2026 rates'!$L:$R,6,0),IF($LB83=100%,VLOOKUP($CH83,'Jan-2026 rates'!$L:$R,7,0),IF($LB83=60%,VLOOKUP($CH83,'Jan-2026 rates'!$L:$S,8,0),IF($LB83=80%,VLOOKUP($CH83,'Jan-2026 rates'!L:T,9,0),0))))))))</f>
        <v>0</v>
      </c>
      <c r="CN83" s="426">
        <v>26505000032</v>
      </c>
      <c r="CO83" s="427" t="s">
        <v>1266</v>
      </c>
      <c r="CP83" s="426"/>
      <c r="CQ83" s="426"/>
      <c r="CR83" s="428"/>
      <c r="CS83" s="428"/>
      <c r="CT83" s="428"/>
      <c r="CU83" s="428"/>
      <c r="CV83" s="409">
        <v>8</v>
      </c>
      <c r="CW83" s="398" t="e">
        <f>IF(CV83=0,0,IF(LEN(CN83)=11,_xlfn.XLOOKUP(CN83,'Dispensed Ink Rates'!C:C,'Dispensed Ink Rates'!CS:CS),VLOOKUP(CN83,'Jan-2026 rates'!$E:$F,2,0)))</f>
        <v>#N/A</v>
      </c>
      <c r="CX83" s="409">
        <v>5</v>
      </c>
      <c r="CY83" s="398">
        <f>IF(CX83=0,0,IF(LEN(CO83)=11,_xlfn.XLOOKUP(CO83,'Dispensed Ink Rates'!C:C,'Dispensed Ink Rates'!CS:CS),VLOOKUP(CO83,'Jan-2026 rates'!$E:$F,2,0)))</f>
        <v>0</v>
      </c>
      <c r="CZ83" s="409"/>
      <c r="DA83" s="398">
        <f>IF(CZ83=0,0,IF(LEN(CP83)=11,_xlfn.XLOOKUP(CP83,'Dispensed Ink Rates'!C:C,'Dispensed Ink Rates'!CS:CS),VLOOKUP(CP83,'Jan-2026 rates'!$E:$F,2,0)))</f>
        <v>0</v>
      </c>
      <c r="DB83" s="409"/>
      <c r="DC83" s="398">
        <f>IF(DB83=0,0,IF(LEN(CQ83)=11,_xlfn.XLOOKUP(CQ83,'Dispensed Ink Rates'!C:C,'Dispensed Ink Rates'!CS:CS),VLOOKUP(CQ83,'Jan-2026 rates'!$E:$F,2,0)))</f>
        <v>0</v>
      </c>
      <c r="DD83" s="409"/>
      <c r="DE83" s="398">
        <f>IF(DD83=0,0,IF(LEN(CR83)=11,_xlfn.XLOOKUP(CR83,'Dispensed Ink Rates'!C:C,'Dispensed Ink Rates'!CS:CS),VLOOKUP(CR83,'Jan-2026 rates'!$E:$F,2,0)))</f>
        <v>0</v>
      </c>
      <c r="DF83" s="409"/>
      <c r="DG83" s="398">
        <f>IF(DF83=0,0,IF(LEN(CS83)=11,_xlfn.XLOOKUP(CS83,'Dispensed Ink Rates'!C:C,'Dispensed Ink Rates'!CS:CS),VLOOKUP(CS83,'Jan-2026 rates'!$E:$F,2,0)))</f>
        <v>0</v>
      </c>
      <c r="DH83" s="409"/>
      <c r="DI83" s="398">
        <f>IF(DH83=0,0,IF(LEN(CT83)=11,_xlfn.XLOOKUP(CT83,'Dispensed Ink Rates'!C:C,'Dispensed Ink Rates'!CS:CS),VLOOKUP(CT83,'Jan-2026 rates'!$E:$F,2,0)))</f>
        <v>0</v>
      </c>
      <c r="DJ83" s="409"/>
      <c r="DK83" s="398">
        <f>IF(DJ83=0,0,IF(LEN(CU83)=11,_xlfn.XLOOKUP(CU83,'Dispensed Ink Rates'!C:C,'Dispensed Ink Rates'!CS:CS),VLOOKUP(CU83,'Jan-2026 rates'!$E:$F,2,0)))</f>
        <v>0</v>
      </c>
      <c r="DL83" s="409" t="s">
        <v>1443</v>
      </c>
      <c r="DM83" s="409">
        <v>27</v>
      </c>
      <c r="DN83" s="411">
        <f t="shared" si="88"/>
        <v>0</v>
      </c>
      <c r="DO83" s="411">
        <f t="shared" si="89"/>
        <v>29.337078651685388</v>
      </c>
      <c r="DP83" s="410">
        <f t="shared" si="90"/>
        <v>0</v>
      </c>
      <c r="DQ83" s="405" t="s">
        <v>544</v>
      </c>
      <c r="DR83" s="409" t="s">
        <v>3061</v>
      </c>
      <c r="DS83" s="420" t="str">
        <f t="shared" si="56"/>
        <v>FLINTSL - MAGENTA</v>
      </c>
      <c r="DT83" s="409">
        <v>24</v>
      </c>
      <c r="DU83" s="411">
        <f>IF(DT83=0,0,IF($LB83=70%,VLOOKUP($DS83,'Jan-2026 rates'!$L:$R,4,0),IF($LB83=65%,VLOOKUP($DS83,'Jan-2026 rates'!$L:$R,4,0),IF($LB83=40%,VLOOKUP($DS83,'Jan-2026 rates'!$L:$R,5,0),IF($LB83=30%,VLOOKUP($DS83,'Jan-2026 rates'!$L:$R,6,0),IF($LB83=100%,VLOOKUP($DS83,'Jan-2026 rates'!$L:$R,7,0),IF($LB83=60%,VLOOKUP($DS83,'Jan-2026 rates'!$L:$S,8,0),IF($LB83=80%,VLOOKUP($DS83,'Jan-2026 rates'!L:T,9,0),0))))))))</f>
        <v>0</v>
      </c>
      <c r="DV83" s="412"/>
      <c r="DW83" s="409"/>
      <c r="DX83" s="411">
        <f>IF(DW83=0,0,IF($LB83=70%,VLOOKUP($DS83,'Jan-2026 rates'!$L:$R,4,0),IF($LB83=65%,VLOOKUP($DS83,'Jan-2026 rates'!$L:$R,4,0),IF($LB83=40%,VLOOKUP($DS83,'Jan-2026 rates'!$L:$R,5,0),IF($LB83=30%,VLOOKUP($DS83,'Jan-2026 rates'!$L:$R,6,0),IF($LB83=100%,VLOOKUP($DS83,'Jan-2026 rates'!$L:$R,7,0),IF($LB83=60%,VLOOKUP($DS83,'Jan-2026 rates'!$L:$S,8,0),IF($LB83=80%,VLOOKUP($DS83,'Jan-2026 rates'!L:T,9,0),0))))))))</f>
        <v>0</v>
      </c>
      <c r="DY83" s="413">
        <v>26507000017</v>
      </c>
      <c r="DZ83" s="413"/>
      <c r="EA83" s="412"/>
      <c r="EB83" s="412"/>
      <c r="EC83" s="412"/>
      <c r="ED83" s="412"/>
      <c r="EE83" s="412"/>
      <c r="EF83" s="412"/>
      <c r="EG83" s="409">
        <v>2</v>
      </c>
      <c r="EH83" s="398" t="e">
        <f>IF(EG83=0,0,IF(LEN(DY83)=11,_xlfn.XLOOKUP(DY83,'Dispensed Ink Rates'!C:C,'Dispensed Ink Rates'!CS:CS),VLOOKUP(DY83,'Jan-2026 rates'!$E:$F,2,0)))</f>
        <v>#N/A</v>
      </c>
      <c r="EI83" s="409"/>
      <c r="EJ83" s="398">
        <f>IF(EI83=0,0,IF(LEN(DZ83)=11,_xlfn.XLOOKUP(DZ83,'Dispensed Ink Rates'!C:C,'Dispensed Ink Rates'!CS:CS),VLOOKUP(DZ83,'Jan-2026 rates'!$E:$F,2,0)))</f>
        <v>0</v>
      </c>
      <c r="EK83" s="409"/>
      <c r="EL83" s="398">
        <f>IF(EK83=0,0,IF(LEN(EA83)=11,_xlfn.XLOOKUP(EA83,'Dispensed Ink Rates'!C:C,'Dispensed Ink Rates'!CS:CS),VLOOKUP(EA83,'Jan-2026 rates'!$E:$F,2,0)))</f>
        <v>0</v>
      </c>
      <c r="EM83" s="409"/>
      <c r="EN83" s="398">
        <f>IF(EM83=0,0,IF(LEN(EB83)=11,_xlfn.XLOOKUP(EB83,'Dispensed Ink Rates'!C:C,'Dispensed Ink Rates'!CS:CS),VLOOKUP(EB83,'Jan-2026 rates'!$E:$F,2,0)))</f>
        <v>0</v>
      </c>
      <c r="EO83" s="409"/>
      <c r="EP83" s="398">
        <f>IF(EO83=0,0,IF(LEN(EC83)=11,_xlfn.XLOOKUP(EC83,'Dispensed Ink Rates'!C:C,'Dispensed Ink Rates'!CS:CS),VLOOKUP(EC83,'Jan-2026 rates'!$E:$F,2,0)))</f>
        <v>0</v>
      </c>
      <c r="EQ83" s="409"/>
      <c r="ER83" s="398">
        <f>IF(EQ83=0,0,IF(LEN(ED83)=11,_xlfn.XLOOKUP(ED83,'Dispensed Ink Rates'!C:C,'Dispensed Ink Rates'!CS:CS),VLOOKUP(ED83,'Jan-2026 rates'!$E:$F,2,0)))</f>
        <v>0</v>
      </c>
      <c r="ES83" s="409"/>
      <c r="ET83" s="398">
        <f>IF(ES83=0,0,IF(LEN(EE83)=11,_xlfn.XLOOKUP(EE83,'Dispensed Ink Rates'!C:C,'Dispensed Ink Rates'!CS:CS),VLOOKUP(EE83,'Jan-2026 rates'!$E:$F,2,0)))</f>
        <v>0</v>
      </c>
      <c r="EU83" s="409"/>
      <c r="EV83" s="398">
        <f>IF(EU83=0,0,IF(LEN(EF83)=11,_xlfn.XLOOKUP(EF83,'Dispensed Ink Rates'!C:C,'Dispensed Ink Rates'!CS:CS),VLOOKUP(EF83,'Jan-2026 rates'!$E:$F,2,0)))</f>
        <v>0</v>
      </c>
      <c r="EW83" s="409" t="s">
        <v>1443</v>
      </c>
      <c r="EX83" s="409">
        <v>21</v>
      </c>
      <c r="EY83" s="411">
        <f t="shared" si="91"/>
        <v>0</v>
      </c>
      <c r="EZ83" s="411">
        <f t="shared" si="92"/>
        <v>13.134831460674157</v>
      </c>
      <c r="FA83" s="410">
        <f t="shared" si="93"/>
        <v>0</v>
      </c>
      <c r="FB83" s="405" t="s">
        <v>545</v>
      </c>
      <c r="FC83" s="409" t="s">
        <v>3062</v>
      </c>
      <c r="FD83" s="420" t="str">
        <f t="shared" si="57"/>
        <v>FLINTSL - YELLOW</v>
      </c>
      <c r="FE83" s="409">
        <v>26</v>
      </c>
      <c r="FF83" s="411">
        <f>IF(FE83=0,0,IF($LB83=70%,VLOOKUP($FD83,'Jan-2026 rates'!$L:$R,4,0),IF($LB83=65%,VLOOKUP($FD83,'Jan-2026 rates'!$L:$R,4,0),IF($LB83=40%,VLOOKUP($FD83,'Jan-2026 rates'!$L:$R,5,0),IF($LB83=30%,VLOOKUP($FD83,'Jan-2026 rates'!$L:$R,6,0),IF($LB83=100%,VLOOKUP($FD83,'Jan-2026 rates'!$L:$R,7,0),IF($LB83=60%,VLOOKUP($FD83,'Jan-2026 rates'!$L:$S,8,0),IF($LB83=80%,VLOOKUP($FD83,'Jan-2026 rates'!L:T,9,0),0))))))))</f>
        <v>0</v>
      </c>
      <c r="FG83" s="412" t="s">
        <v>3063</v>
      </c>
      <c r="FH83" s="409">
        <v>15</v>
      </c>
      <c r="FI83" s="411">
        <f>IF(FH83=0,0,IF($LB83=70%,VLOOKUP($FD83,'Jan-2026 rates'!$L:$R,4,0),IF($LB83=65%,VLOOKUP($FD83,'Jan-2026 rates'!$L:$R,4,0),IF($LB83=40%,VLOOKUP($FD83,'Jan-2026 rates'!$L:$R,5,0),IF($LB83=30%,VLOOKUP($FD83,'Jan-2026 rates'!$L:$R,6,0),IF($LB83=100%,VLOOKUP($FD83,'Jan-2026 rates'!$L:$R,7,0),IF($LB83=60%,VLOOKUP($FD83,'Jan-2026 rates'!$L:$S,8,0),IF($LB83=80%,VLOOKUP($FD83,'Jan-2026 rates'!L:T,9,0),0))))))))</f>
        <v>0</v>
      </c>
      <c r="FJ83" s="413"/>
      <c r="FK83" s="413"/>
      <c r="FL83" s="413"/>
      <c r="FM83" s="412"/>
      <c r="FN83" s="412"/>
      <c r="FO83" s="412"/>
      <c r="FP83" s="412"/>
      <c r="FQ83" s="412"/>
      <c r="FR83" s="409"/>
      <c r="FS83" s="398">
        <f>IF(FR83=0,0,IF(LEN(FJ83)=11,_xlfn.XLOOKUP(FJ83,'Dispensed Ink Rates'!C:C,'Dispensed Ink Rates'!CS:CS),VLOOKUP(FJ83,'Jan-2026 rates'!$E:$F,2,0)))</f>
        <v>0</v>
      </c>
      <c r="FT83" s="409"/>
      <c r="FU83" s="398">
        <f>IF(FT83=0,0,IF(LEN(FK83)=11,_xlfn.XLOOKUP(FK83,'Dispensed Ink Rates'!C:C,'Dispensed Ink Rates'!CS:CS),VLOOKUP(FK83,'Jan-2026 rates'!$E:$F,2,0)))</f>
        <v>0</v>
      </c>
      <c r="FV83" s="409"/>
      <c r="FW83" s="398">
        <f>IF(FV83=0,0,IF(LEN(FL83)=11,_xlfn.XLOOKUP(FL83,'Dispensed Ink Rates'!C:C,'Dispensed Ink Rates'!CS:CS),VLOOKUP(FL83,'Jan-2026 rates'!$E:$F,2,0)))</f>
        <v>0</v>
      </c>
      <c r="FX83" s="409"/>
      <c r="FY83" s="398">
        <f>IF(FX83=0,0,IF(LEN(FM83)=11,_xlfn.XLOOKUP(FM83,'Dispensed Ink Rates'!C:C,'Dispensed Ink Rates'!CS:CS),VLOOKUP(FM83,'Jan-2026 rates'!$E:$F,2,0)))</f>
        <v>0</v>
      </c>
      <c r="FZ83" s="409"/>
      <c r="GA83" s="398">
        <f>IF(FZ83=0,0,IF(LEN(FN83)=11,_xlfn.XLOOKUP(FN83,'Dispensed Ink Rates'!C:C,'Dispensed Ink Rates'!CS:CS),VLOOKUP(FN83,'Jan-2026 rates'!$E:$F,2,0)))</f>
        <v>0</v>
      </c>
      <c r="GB83" s="409"/>
      <c r="GC83" s="398">
        <f>IF(GB83=0,0,IF(LEN(FO83)=11,_xlfn.XLOOKUP(FO83,'Dispensed Ink Rates'!C:C,'Dispensed Ink Rates'!CS:CS),VLOOKUP(FO83,'Jan-2026 rates'!$E:$F,2,0)))</f>
        <v>0</v>
      </c>
      <c r="GD83" s="409"/>
      <c r="GE83" s="398">
        <f>IF(GD83=0,0,IF(LEN(FP83)=11,_xlfn.XLOOKUP(FP83,'Dispensed Ink Rates'!C:C,'Dispensed Ink Rates'!CS:CS),VLOOKUP(FP83,'Jan-2026 rates'!$E:$F,2,0)))</f>
        <v>0</v>
      </c>
      <c r="GF83" s="409"/>
      <c r="GG83" s="398">
        <f>IF(GF83=0,0,IF(LEN(FQ83)=11,_xlfn.XLOOKUP(FQ83,'Dispensed Ink Rates'!C:C,'Dispensed Ink Rates'!CS:CS),VLOOKUP(FQ83,'Jan-2026 rates'!$E:$F,2,0)))</f>
        <v>0</v>
      </c>
      <c r="GH83" s="409" t="s">
        <v>1443</v>
      </c>
      <c r="GI83" s="409">
        <v>30</v>
      </c>
      <c r="GJ83" s="411">
        <f t="shared" si="94"/>
        <v>0</v>
      </c>
      <c r="GK83" s="411">
        <f t="shared" si="95"/>
        <v>17.101123595505619</v>
      </c>
      <c r="GL83" s="410">
        <f t="shared" si="96"/>
        <v>0</v>
      </c>
      <c r="GM83" s="405" t="s">
        <v>856</v>
      </c>
      <c r="GN83" s="409" t="s">
        <v>3064</v>
      </c>
      <c r="GO83" s="420" t="str">
        <f t="shared" si="58"/>
        <v>FLINTSL - WHITE</v>
      </c>
      <c r="GP83" s="409">
        <v>25</v>
      </c>
      <c r="GQ83" s="411">
        <f>IF(GP83=0,0,IF($LB83=70%,VLOOKUP($GO83,'Jan-2026 rates'!$L:$R,4,0),IF($LB83=65%,VLOOKUP($GO83,'Jan-2026 rates'!$L:$R,4,0),IF($LB83=40%,VLOOKUP($GO83,'Jan-2026 rates'!$L:$R,5,0),IF($LB83=30%,VLOOKUP($GO83,'Jan-2026 rates'!$L:$R,6,0),IF($LB83=100%,VLOOKUP($GO83,'Jan-2026 rates'!$L:$R,7,0),IF($LB83=60%,VLOOKUP($GO83,'Jan-2026 rates'!$L:$S,8,0),IF($LB83=80%,VLOOKUP($GO83,'Jan-2026 rates'!L:T,9,0),0))))))))</f>
        <v>0</v>
      </c>
      <c r="GR83" s="412"/>
      <c r="GS83" s="409"/>
      <c r="GT83" s="411">
        <f>IF(GS83=0,0,IF($LB83=70%,VLOOKUP($GO83,'Jan-2026 rates'!$L:$R,4,0),IF($LB83=65%,VLOOKUP($GO83,'Jan-2026 rates'!$L:$R,4,0),IF($LB83=40%,VLOOKUP($GO83,'Jan-2026 rates'!$L:$R,5,0),IF($LB83=30%,VLOOKUP($GO83,'Jan-2026 rates'!$L:$R,6,0),IF($LB83=100%,VLOOKUP($GO83,'Jan-2026 rates'!$L:$R,7,0),IF($LB83=60%,VLOOKUP($GO83,'Jan-2026 rates'!$L:$S,8,0),IF($LB83=80%,VLOOKUP($GO83,'Jan-2026 rates'!L:T,9,0),0))))))))</f>
        <v>0</v>
      </c>
      <c r="GU83" s="413" t="s">
        <v>484</v>
      </c>
      <c r="GV83" s="413"/>
      <c r="GW83" s="412"/>
      <c r="GX83" s="412"/>
      <c r="GY83" s="412"/>
      <c r="GZ83" s="412"/>
      <c r="HA83" s="412"/>
      <c r="HB83" s="412"/>
      <c r="HC83" s="409">
        <f>60+40</f>
        <v>100</v>
      </c>
      <c r="HD83" s="398">
        <f>IF(HC83=0,0,IF(LEN(GU83)=11,_xlfn.XLOOKUP(GU83,'Dispensed Ink Rates'!C:C,'Dispensed Ink Rates'!CS:CS),VLOOKUP(GU83,'Jan-2026 rates'!$E:$F,2,0)))</f>
        <v>0</v>
      </c>
      <c r="HE83" s="409"/>
      <c r="HF83" s="398">
        <f>IF(HE83=0,0,IF(LEN(GV83)=11,_xlfn.XLOOKUP(GV83,'Dispensed Ink Rates'!C:C,'Dispensed Ink Rates'!CS:CS),VLOOKUP(GV83,'Jan-2026 rates'!$E:$F,2,0)))</f>
        <v>0</v>
      </c>
      <c r="HG83" s="409"/>
      <c r="HH83" s="398">
        <f>IF(HG83=0,0,IF(LEN(GW83)=11,_xlfn.XLOOKUP(GW83,'Dispensed Ink Rates'!C:C,'Dispensed Ink Rates'!CS:CS),VLOOKUP(GW83,'Jan-2026 rates'!$E:$F,2,0)))</f>
        <v>0</v>
      </c>
      <c r="HI83" s="409"/>
      <c r="HJ83" s="398">
        <f>IF(HI83=0,0,IF(LEN(GX83)=11,_xlfn.XLOOKUP(GX83,'Dispensed Ink Rates'!C:C,'Dispensed Ink Rates'!CS:CS),VLOOKUP(GX83,'Jan-2026 rates'!$E:$F,2,0)))</f>
        <v>0</v>
      </c>
      <c r="HK83" s="409"/>
      <c r="HL83" s="398">
        <f>IF(HK83=0,0,IF(LEN(GY83)=11,_xlfn.XLOOKUP(GY83,'Dispensed Ink Rates'!C:C,'Dispensed Ink Rates'!CS:CS),VLOOKUP(GY83,'Jan-2026 rates'!$E:$F,2,0)))</f>
        <v>0</v>
      </c>
      <c r="HM83" s="409"/>
      <c r="HN83" s="398">
        <f>IF(HM83=0,0,IF(LEN(GZ83)=11,_xlfn.XLOOKUP(GZ83,'Dispensed Ink Rates'!C:C,'Dispensed Ink Rates'!CS:CS),VLOOKUP(GZ83,'Jan-2026 rates'!$E:$F,2,0)))</f>
        <v>0</v>
      </c>
      <c r="HO83" s="409"/>
      <c r="HP83" s="398">
        <f>IF(HO83=0,0,IF(LEN(HA83)=11,_xlfn.XLOOKUP(HA83,'Dispensed Ink Rates'!C:C,'Dispensed Ink Rates'!CS:CS),VLOOKUP(HA83,'Jan-2026 rates'!$E:$F,2,0)))</f>
        <v>0</v>
      </c>
      <c r="HQ83" s="409"/>
      <c r="HR83" s="398">
        <f>IF(HQ83=0,0,IF(LEN(HB83)=11,_xlfn.XLOOKUP(HB83,'Dispensed Ink Rates'!C:C,'Dispensed Ink Rates'!CS:CS),VLOOKUP(HB83,'Jan-2026 rates'!$E:$F,2,0)))</f>
        <v>0</v>
      </c>
      <c r="HS83" s="409" t="s">
        <v>1443</v>
      </c>
      <c r="HT83" s="409">
        <v>29</v>
      </c>
      <c r="HU83" s="411">
        <f t="shared" si="97"/>
        <v>0</v>
      </c>
      <c r="HV83" s="411">
        <f t="shared" si="98"/>
        <v>218.02247191011236</v>
      </c>
      <c r="HW83" s="414">
        <f t="shared" si="99"/>
        <v>0</v>
      </c>
      <c r="HX83" s="405"/>
      <c r="HY83" s="409"/>
      <c r="HZ83" s="420" t="str">
        <f t="shared" si="59"/>
        <v xml:space="preserve"> - </v>
      </c>
      <c r="IA83" s="409"/>
      <c r="IB83" s="411">
        <f>IF(IA83=0,0,IF($LB83=70%,VLOOKUP($HZ83,'Jan-2026 rates'!$L:$R,4,0),IF($LB83=65%,VLOOKUP($HZ83,'Jan-2026 rates'!$L:$R,4,0),IF($LB83=40%,VLOOKUP($HZ83,'Jan-2026 rates'!$L:$R,5,0),IF($LB83=30%,VLOOKUP($HZ83,'Jan-2026 rates'!$L:$R,6,0),IF($LB83=100%,VLOOKUP($HZ83,'Jan-2026 rates'!$L:$R,7,0),IF($LB83=60%,VLOOKUP($HZ83,'Jan-2026 rates'!$L:$S,8,0),IF($LB83=80%,VLOOKUP($HZ83,'Jan-2026 rates'!L:T,9,0),0))))))))</f>
        <v>0</v>
      </c>
      <c r="IC83" s="412"/>
      <c r="ID83" s="409"/>
      <c r="IE83" s="411">
        <f>IF(ID83=0,0,IF($LB83=70%,VLOOKUP($HZ83,'Jan-2026 rates'!$L:$R,4,0),IF($LB83=65%,VLOOKUP($HZ83,'Jan-2026 rates'!$L:$R,4,0),IF($LB83=40%,VLOOKUP($HZ83,'Jan-2026 rates'!$L:$R,5,0),IF($LB83=30%,VLOOKUP($HZ83,'Jan-2026 rates'!$L:$R,6,0),IF($LB83=100%,VLOOKUP($HZ83,'Jan-2026 rates'!$L:$R,7,0),IF($LB83=60%,VLOOKUP($HZ83,'Jan-2026 rates'!$L:$S,8,0),IF($LB83=80%,VLOOKUP($HZ83,'Jan-2026 rates'!L:T,9,0),0))))))))</f>
        <v>0</v>
      </c>
      <c r="IF83" s="412"/>
      <c r="IG83" s="413"/>
      <c r="IH83" s="412"/>
      <c r="II83" s="412"/>
      <c r="IJ83" s="412"/>
      <c r="IK83" s="412"/>
      <c r="IL83" s="412"/>
      <c r="IM83" s="412"/>
      <c r="IN83" s="409"/>
      <c r="IO83" s="398">
        <f>IF(IN83=0,0,IF(LEN(IF83)=11,_xlfn.XLOOKUP(IF83,'Dispensed Ink Rates'!C:C,'Dispensed Ink Rates'!CS:CS),VLOOKUP(IF83,'Jan-2026 rates'!$E:$F,2,0)))</f>
        <v>0</v>
      </c>
      <c r="IP83" s="409"/>
      <c r="IQ83" s="398">
        <f>IF(IP83=0,0,IF(LEN(IG83)=11,_xlfn.XLOOKUP(IG83,'Dispensed Ink Rates'!C:C,'Dispensed Ink Rates'!CS:CS),VLOOKUP(IG83,'Jan-2026 rates'!$E:$F,2,0)))</f>
        <v>0</v>
      </c>
      <c r="IR83" s="409"/>
      <c r="IS83" s="398">
        <f>IF(IR83=0,0,IF(LEN(IH83)=11,_xlfn.XLOOKUP(IH83,'Dispensed Ink Rates'!C:C,'Dispensed Ink Rates'!CS:CS),VLOOKUP(IH83,'Jan-2026 rates'!$E:$F,2,0)))</f>
        <v>0</v>
      </c>
      <c r="IT83" s="409"/>
      <c r="IU83" s="398">
        <f>IF(IT83=0,0,IF(LEN(II83)=11,_xlfn.XLOOKUP(II83,'Dispensed Ink Rates'!C:C,'Dispensed Ink Rates'!CS:CS),VLOOKUP(II83,'Jan-2026 rates'!$E:$F,2,0)))</f>
        <v>0</v>
      </c>
      <c r="IV83" s="409"/>
      <c r="IW83" s="398">
        <f>IF(IV83=0,0,IF(LEN(IJ83)=11,_xlfn.XLOOKUP(IJ83,'Dispensed Ink Rates'!C:C,'Dispensed Ink Rates'!CS:CS),VLOOKUP(IJ83,'Jan-2026 rates'!$E:$F,2,0)))</f>
        <v>0</v>
      </c>
      <c r="IX83" s="409"/>
      <c r="IY83" s="398">
        <f>IF(IX83=0,0,IF(LEN(IK83)=11,_xlfn.XLOOKUP(IK83,'Dispensed Ink Rates'!C:C,'Dispensed Ink Rates'!CS:CS),VLOOKUP(IK83,'Jan-2026 rates'!$E:$F,2,0)))</f>
        <v>0</v>
      </c>
      <c r="IZ83" s="409"/>
      <c r="JA83" s="398">
        <f>IF(IZ83=0,0,IF(LEN(IL83)=11,_xlfn.XLOOKUP(IL83,'Dispensed Ink Rates'!C:C,'Dispensed Ink Rates'!CS:CS),VLOOKUP(IL83,'Jan-2026 rates'!$E:$F,2,0)))</f>
        <v>0</v>
      </c>
      <c r="JB83" s="409"/>
      <c r="JC83" s="398">
        <f>IF(JB83=0,0,IF(LEN(IM83)=11,_xlfn.XLOOKUP(IM83,'Dispensed Ink Rates'!C:C,'Dispensed Ink Rates'!CS:CS),VLOOKUP(IM83,'Jan-2026 rates'!$E:$F,2,0)))</f>
        <v>0</v>
      </c>
      <c r="JD83" s="409"/>
      <c r="JE83" s="409"/>
      <c r="JF83" s="411">
        <f t="shared" si="100"/>
        <v>0</v>
      </c>
      <c r="JG83" s="411">
        <f t="shared" si="101"/>
        <v>0</v>
      </c>
      <c r="JH83" s="410">
        <f t="shared" si="102"/>
        <v>0</v>
      </c>
      <c r="JI83" s="405"/>
      <c r="JJ83" s="409"/>
      <c r="JK83" s="420" t="str">
        <f t="shared" si="60"/>
        <v xml:space="preserve"> - </v>
      </c>
      <c r="JL83" s="409"/>
      <c r="JM83" s="411">
        <f>IF(JL83=0,0,IF($LB83=70%,VLOOKUP($JK83,'Jan-2026 rates'!$L:$R,4,0),IF($LB83=65%,VLOOKUP($JK83,'Jan-2026 rates'!$L:$R,4,0),IF($LB83=40%,VLOOKUP($JK83,'Jan-2026 rates'!$L:$R,5,0),IF($LB83=30%,VLOOKUP($JK83,'Jan-2026 rates'!$L:$R,6,0),IF($LB83=100%,VLOOKUP($JK83,'Jan-2026 rates'!$L:$R,7,0),IF($LB83=60%,VLOOKUP($JK83,'Jan-2026 rates'!$L:$S,8,0),IF($LB83=80%,VLOOKUP($JK83,'Jan-2026 rates'!L:T,9,0),0))))))))</f>
        <v>0</v>
      </c>
      <c r="JN83" s="412"/>
      <c r="JO83" s="409"/>
      <c r="JP83" s="411">
        <f>IF(JO83=0,0,IF($LB83=70%,VLOOKUP($JK83,'Jan-2026 rates'!$L:$R,4,0),IF($LB83=65%,VLOOKUP($JK83,'Jan-2026 rates'!$L:$R,4,0),IF($LB83=40%,VLOOKUP($JK83,'Jan-2026 rates'!$L:$R,5,0),IF($LB83=30%,VLOOKUP($JK83,'Jan-2026 rates'!$L:$R,6,0),IF($LB83=100%,VLOOKUP($JK83,'Jan-2026 rates'!$L:$R,7,0),IF($LB83=60%,VLOOKUP($JK83,'Jan-2026 rates'!$L:$S,8,0),IF($LB83=80%,VLOOKUP($JK83,'Jan-2026 rates'!L:T,9,0),0))))))))</f>
        <v>0</v>
      </c>
      <c r="JQ83" s="413"/>
      <c r="JR83" s="412"/>
      <c r="JS83" s="413"/>
      <c r="JT83" s="413"/>
      <c r="JU83" s="412"/>
      <c r="JV83" s="412"/>
      <c r="JW83" s="412"/>
      <c r="JX83" s="412"/>
      <c r="JY83" s="409"/>
      <c r="JZ83" s="398">
        <f>IF(JY83=0,0,IF(LEN(JQ83)=11,_xlfn.XLOOKUP(JQ83,'Dispensed Ink Rates'!C:C,'Dispensed Ink Rates'!CS:CS),VLOOKUP(JQ83,'Jan-2026 rates'!$E:$F,2,0)))</f>
        <v>0</v>
      </c>
      <c r="KA83" s="409"/>
      <c r="KB83" s="398">
        <f>IF(KA83=0,0,IF(LEN(JR83)=11,_xlfn.XLOOKUP(JR83,'Dispensed Ink Rates'!C:C,'Dispensed Ink Rates'!CS:CS),VLOOKUP(JR83,'Jan-2026 rates'!$E:$F,2,0)))</f>
        <v>0</v>
      </c>
      <c r="KC83" s="409"/>
      <c r="KD83" s="398">
        <f>IF(KC83=0,0,IF(LEN(JS83)=11,_xlfn.XLOOKUP(JS83,'Dispensed Ink Rates'!C:C,'Dispensed Ink Rates'!CS:CS),VLOOKUP(JS83,'Jan-2026 rates'!$E:$F,2,0)))</f>
        <v>0</v>
      </c>
      <c r="KE83" s="409"/>
      <c r="KF83" s="398">
        <f>IF(KE83=0,0,IF(LEN(JT83)=11,_xlfn.XLOOKUP(JT83,'Dispensed Ink Rates'!C:C,'Dispensed Ink Rates'!CS:CS),VLOOKUP(JT83,'Jan-2026 rates'!$E:$F,2,0)))</f>
        <v>0</v>
      </c>
      <c r="KG83" s="409"/>
      <c r="KH83" s="398">
        <f>IF(KG83=0,0,IF(LEN(JU83)=11,_xlfn.XLOOKUP(JU83,'Dispensed Ink Rates'!C:C,'Dispensed Ink Rates'!CS:CS),VLOOKUP(JU83,'Jan-2026 rates'!$E:$F,2,0)))</f>
        <v>0</v>
      </c>
      <c r="KI83" s="409"/>
      <c r="KJ83" s="398">
        <f>IF(KI83=0,0,IF(LEN(JV83)=11,_xlfn.XLOOKUP(JV83,'Dispensed Ink Rates'!C:C,'Dispensed Ink Rates'!CS:CS),VLOOKUP(JV83,'Jan-2026 rates'!$E:$F,2,0)))</f>
        <v>0</v>
      </c>
      <c r="KK83" s="409"/>
      <c r="KL83" s="398">
        <f>IF(KK83=0,0,IF(LEN(JW83)=11,_xlfn.XLOOKUP(JW83,'Dispensed Ink Rates'!C:C,'Dispensed Ink Rates'!CS:CS),VLOOKUP(JW83,'Jan-2026 rates'!$E:$F,2,0)))</f>
        <v>0</v>
      </c>
      <c r="KM83" s="428"/>
      <c r="KN83" s="398">
        <f>IF(KM83=0,0,IF(LEN(JX83)=11,_xlfn.XLOOKUP(JX83,'Dispensed Ink Rates'!C:C,'Dispensed Ink Rates'!CS:CS),VLOOKUP(JX83,'Jan-2026 rates'!$E:$F,2,0)))</f>
        <v>0</v>
      </c>
      <c r="KO83" s="409"/>
      <c r="KP83" s="409"/>
      <c r="KQ83" s="411">
        <f t="shared" si="103"/>
        <v>0</v>
      </c>
      <c r="KR83" s="411">
        <f t="shared" si="104"/>
        <v>0</v>
      </c>
      <c r="KS83" s="410">
        <f t="shared" si="105"/>
        <v>0</v>
      </c>
      <c r="KT83" s="409">
        <v>2</v>
      </c>
      <c r="KU83" s="409">
        <v>10</v>
      </c>
      <c r="KV83" s="409">
        <v>10</v>
      </c>
      <c r="KW83" s="409">
        <v>4</v>
      </c>
      <c r="KX83" s="409">
        <v>3</v>
      </c>
      <c r="KY83" s="409">
        <f>30+30</f>
        <v>60</v>
      </c>
      <c r="KZ83" s="409">
        <v>0</v>
      </c>
      <c r="LA83" s="409">
        <v>0</v>
      </c>
      <c r="LB83" s="415">
        <v>0.8</v>
      </c>
      <c r="LC83" s="415">
        <v>0.2</v>
      </c>
      <c r="LD83" s="415"/>
      <c r="LE83" s="415"/>
      <c r="LF83" s="415"/>
      <c r="LG83" s="409">
        <v>0</v>
      </c>
      <c r="LH83" s="409">
        <f>60+50+48+12+5+6</f>
        <v>181</v>
      </c>
      <c r="LI83" s="409">
        <v>0</v>
      </c>
      <c r="LJ83" s="409">
        <v>0</v>
      </c>
      <c r="LK83" s="416">
        <f t="shared" si="61"/>
        <v>181</v>
      </c>
      <c r="LL83" s="416">
        <f t="shared" si="62"/>
        <v>181</v>
      </c>
      <c r="LM83" s="417">
        <f t="shared" si="63"/>
        <v>144.80000000000001</v>
      </c>
      <c r="LN83" s="417">
        <f>VLOOKUP($LM$8,'Jan-2026 rates'!$H:$I,2,0)</f>
        <v>0</v>
      </c>
      <c r="LO83" s="417">
        <f t="shared" si="64"/>
        <v>36.200000000000003</v>
      </c>
      <c r="LP83" s="417">
        <f>VLOOKUP($LO$8,'Jan-2026 rates'!$H:$I,2,0)</f>
        <v>0</v>
      </c>
      <c r="LQ83" s="417">
        <f t="shared" si="65"/>
        <v>0</v>
      </c>
      <c r="LR83" s="417">
        <f>VLOOKUP($LQ$8,'Jan-2026 rates'!$H:$I,2,0)</f>
        <v>0</v>
      </c>
      <c r="LS83" s="417">
        <f t="shared" si="66"/>
        <v>0</v>
      </c>
      <c r="LT83" s="417">
        <f>VLOOKUP($LS$8,'Jan-2026 rates'!$H:$I,2,0)</f>
        <v>0</v>
      </c>
      <c r="LU83" s="417">
        <f t="shared" si="67"/>
        <v>0</v>
      </c>
      <c r="LV83" s="417">
        <f>VLOOKUP($LU$8,'Jan-2026 rates'!$H:$I,2,0)</f>
        <v>0</v>
      </c>
      <c r="LW83" s="417">
        <f t="shared" si="68"/>
        <v>0</v>
      </c>
      <c r="LX83" s="417">
        <f t="shared" si="69"/>
        <v>0</v>
      </c>
      <c r="LY83" s="418">
        <f t="shared" si="70"/>
        <v>0</v>
      </c>
      <c r="LZ83" s="417"/>
      <c r="MA83" s="435">
        <f t="shared" si="71"/>
        <v>169</v>
      </c>
      <c r="MB83" s="282">
        <f t="shared" si="72"/>
        <v>334</v>
      </c>
      <c r="MC83" s="283">
        <v>38</v>
      </c>
      <c r="MD83" s="284" t="str">
        <f t="shared" si="73"/>
        <v>FLINTSLFLINTSLFLINTSLFLINTSLFLINTSLFLINTSL</v>
      </c>
      <c r="ME83" s="293" t="str">
        <f t="shared" si="74"/>
        <v>+</v>
      </c>
      <c r="MF83" s="293" t="str">
        <f t="shared" si="75"/>
        <v>+</v>
      </c>
      <c r="MG83" s="293" t="str">
        <f t="shared" si="76"/>
        <v>+</v>
      </c>
      <c r="MH83" s="293" t="str">
        <f t="shared" si="77"/>
        <v>+</v>
      </c>
      <c r="MI83" s="293" t="str">
        <f t="shared" si="78"/>
        <v>+</v>
      </c>
      <c r="MJ83" s="293" t="str">
        <f t="shared" si="79"/>
        <v>+</v>
      </c>
      <c r="MK83" s="293" t="str">
        <f t="shared" si="80"/>
        <v>NIL</v>
      </c>
      <c r="ML83" s="293" t="str">
        <f t="shared" si="81"/>
        <v>NIL</v>
      </c>
      <c r="MM83" s="3" t="b">
        <f t="array" ref="MM83">OR(ME83:ML83="-")</f>
        <v>0</v>
      </c>
      <c r="MN83" s="285"/>
      <c r="MO83" s="401"/>
      <c r="MP83" s="286"/>
      <c r="MQ83" s="286"/>
      <c r="MR83" s="402"/>
      <c r="MS83" s="400"/>
      <c r="NH83" s="422"/>
      <c r="NJ83" s="421"/>
    </row>
    <row r="84" spans="1:374" s="1" customFormat="1" ht="16.5">
      <c r="A84" s="403">
        <v>46028</v>
      </c>
      <c r="B84" s="404" t="s">
        <v>1015</v>
      </c>
      <c r="C84" s="405" t="s">
        <v>3065</v>
      </c>
      <c r="D84" s="406">
        <v>39</v>
      </c>
      <c r="E84" s="404">
        <v>269</v>
      </c>
      <c r="F84" s="407">
        <v>15900</v>
      </c>
      <c r="G84" s="407" t="s">
        <v>1019</v>
      </c>
      <c r="H84" s="408" t="s">
        <v>1017</v>
      </c>
      <c r="I84" s="409">
        <v>1.41</v>
      </c>
      <c r="J84" s="405" t="s">
        <v>543</v>
      </c>
      <c r="K84" s="404" t="s">
        <v>3066</v>
      </c>
      <c r="L84" s="419" t="str">
        <f t="shared" si="54"/>
        <v>FLINTSL - BLACK</v>
      </c>
      <c r="M84" s="404">
        <v>20</v>
      </c>
      <c r="N84" s="410">
        <f>IF(M84=0,0,IF($LB84=70%,VLOOKUP($L84,'Jan-2026 rates'!$L:$R,4,0),IF($LB84=65%,VLOOKUP($L84,'Jan-2026 rates'!$L:$R,4,0),IF($LB84=40%,VLOOKUP($L84,'Jan-2026 rates'!$L:$R,5,0),IF($LB84=30%,VLOOKUP($L84,'Jan-2026 rates'!$L:$R,6,0),IF($LB84=100%,VLOOKUP($L84,'Jan-2026 rates'!$L:$R,7,0),IF($LB84=60%,VLOOKUP($L84,'Jan-2026 rates'!$L:$S,8,0),IF($LB84=80%,VLOOKUP($L84,'Jan-2026 rates'!L:T,9,0),0))))))))</f>
        <v>0</v>
      </c>
      <c r="O84" s="406"/>
      <c r="P84" s="404"/>
      <c r="Q84" s="410">
        <f>IF(P84=0,0,IF($LB84=70%,VLOOKUP($L84,'Jan-2026 rates'!$L:$R,4,0),IF($LB84=65%,VLOOKUP($L84,'Jan-2026 rates'!$L:$R,4,0),IF($LB84=40%,VLOOKUP($L84,'Jan-2026 rates'!$L:$R,5,0),IF($LB84=30%,VLOOKUP($L84,'Jan-2026 rates'!$L:$R,6,0),IF($LB84=100%,VLOOKUP($L84,'Jan-2026 rates'!$L:$R,7,0),IF($LB84=60%,VLOOKUP($L84,'Jan-2026 rates'!$L:$S,8,0),IF($LB84=80%,VLOOKUP($L84,'Jan-2026 rates'!L:T,9,0),0))))))))</f>
        <v>0</v>
      </c>
      <c r="R84" s="406" t="s">
        <v>1266</v>
      </c>
      <c r="S84" s="406"/>
      <c r="T84" s="406"/>
      <c r="U84" s="406"/>
      <c r="V84" s="406"/>
      <c r="W84" s="406"/>
      <c r="X84" s="406"/>
      <c r="Y84" s="406"/>
      <c r="Z84" s="404">
        <v>5</v>
      </c>
      <c r="AA84" s="398">
        <f>IF(Z84=0,0,IF(LEN(R84)=11,_xlfn.XLOOKUP(R84,'Dispensed Ink Rates'!C:C,'Dispensed Ink Rates'!CS:CS),VLOOKUP(R84,'Jan-2026 rates'!$E:$F,2,0)))</f>
        <v>0</v>
      </c>
      <c r="AB84" s="404"/>
      <c r="AC84" s="398">
        <f>IF(AB84=0,0,IF(LEN(S84)=11,_xlfn.XLOOKUP(S84,'Dispensed Ink Rates'!C:C,'Dispensed Ink Rates'!CS:CS),VLOOKUP(S84,'Jan-2026 rates'!$E:$F,2,0)))</f>
        <v>0</v>
      </c>
      <c r="AD84" s="404"/>
      <c r="AE84" s="398">
        <f>IF(AD84=0,0,IF(LEN(T84)=11,_xlfn.XLOOKUP(T84,'Dispensed Ink Rates'!C:C,'Dispensed Ink Rates'!CS:CS),VLOOKUP(T84,'Jan-2026 rates'!$E:$F,2,0)))</f>
        <v>0</v>
      </c>
      <c r="AF84" s="404"/>
      <c r="AG84" s="398">
        <f>IF(AF84=0,0,IF(LEN(U84)=11,_xlfn.XLOOKUP(U84,'Dispensed Ink Rates'!C:C,'Dispensed Ink Rates'!CS:CS),VLOOKUP(U84,'Jan-2026 rates'!$E:$F,2,0)))</f>
        <v>0</v>
      </c>
      <c r="AH84" s="404"/>
      <c r="AI84" s="398">
        <f>IF(AH84=0,0,IF(LEN(V84)=11,_xlfn.XLOOKUP(V84,'Dispensed Ink Rates'!C:C,'Dispensed Ink Rates'!CS:CS),VLOOKUP(V84,'Jan-2026 rates'!$E:$F,2,0)))</f>
        <v>0</v>
      </c>
      <c r="AJ84" s="404"/>
      <c r="AK84" s="398">
        <f>IF(AJ84=0,0,IF(LEN(W84)=11,_xlfn.XLOOKUP(W84,'Dispensed Ink Rates'!C:C,'Dispensed Ink Rates'!CS:CS),VLOOKUP(W84,'Jan-2026 rates'!$E:$F,2,0)))</f>
        <v>0</v>
      </c>
      <c r="AL84" s="404"/>
      <c r="AM84" s="398">
        <f>IF(AL84=0,0,IF(LEN(X84)=11,_xlfn.XLOOKUP(X84,'Dispensed Ink Rates'!C:C,'Dispensed Ink Rates'!CS:CS),VLOOKUP(X84,'Jan-2026 rates'!$E:$F,2,0)))</f>
        <v>0</v>
      </c>
      <c r="AN84" s="404"/>
      <c r="AO84" s="398">
        <f>IF(AN84=0,0,IF(LEN(Y84)=11,_xlfn.XLOOKUP(Y84,'Dispensed Ink Rates'!C:C,'Dispensed Ink Rates'!CS:CS),VLOOKUP(Y84,'Jan-2026 rates'!$E:$F,2,0)))</f>
        <v>0</v>
      </c>
      <c r="AP84" s="409" t="s">
        <v>1443</v>
      </c>
      <c r="AQ84" s="409">
        <v>24</v>
      </c>
      <c r="AR84" s="410">
        <f t="shared" si="82"/>
        <v>0</v>
      </c>
      <c r="AS84" s="411">
        <f t="shared" si="83"/>
        <v>10.81818181818182</v>
      </c>
      <c r="AT84" s="410">
        <f t="shared" si="84"/>
        <v>0</v>
      </c>
      <c r="AU84" s="405" t="s">
        <v>546</v>
      </c>
      <c r="AV84" s="409" t="s">
        <v>3059</v>
      </c>
      <c r="AW84" s="420" t="str">
        <f t="shared" si="53"/>
        <v>FLINTSL - REFLEX BLUE</v>
      </c>
      <c r="AX84" s="409">
        <v>34</v>
      </c>
      <c r="AY84" s="411">
        <f>IF(AX84=0,0,IF($LB84=70%,VLOOKUP($AW84,'Jan-2026 rates'!$L:$R,4,0),IF($LB84=65%,VLOOKUP($AW84,'Jan-2026 rates'!$L:$R,4,0),IF($LB84=40%,VLOOKUP($AW84,'Jan-2026 rates'!$L:$R,5,0),IF($LB84=30%,VLOOKUP($AW84,'Jan-2026 rates'!$L:$R,6,0),IF($LB84=100%,VLOOKUP($AW84,'Jan-2026 rates'!$L:$R,7,0),IF($LB84=60%,VLOOKUP($AW84,'Jan-2026 rates'!$L:$S,8,0),IF($LB84=80%,VLOOKUP($AW84,'Jan-2026 rates'!L:T,9,0),0))))))))</f>
        <v>0</v>
      </c>
      <c r="AZ84" s="412"/>
      <c r="BA84" s="409"/>
      <c r="BB84" s="411">
        <f>IF(BA84=0,0,IF($LB84=70%,VLOOKUP($AW84,'Jan-2026 rates'!$L:$R,4,0),IF($LB84=65%,VLOOKUP($AW84,'Jan-2026 rates'!$L:$R,4,0),IF($LB84=40%,VLOOKUP($AW84,'Jan-2026 rates'!$L:$R,5,0),IF($LB84=30%,VLOOKUP($AW84,'Jan-2026 rates'!$L:$R,6,0),IF($LB84=100%,VLOOKUP($AW84,'Jan-2026 rates'!$L:$R,7,0),IF($LB84=60%,VLOOKUP($AW84,'Jan-2026 rates'!$L:$S,8,0),IF($LB84=80%,VLOOKUP($AW84,'Jan-2026 rates'!L:T,9,0),0))))))))</f>
        <v>0</v>
      </c>
      <c r="BC84" s="413">
        <v>26505000013</v>
      </c>
      <c r="BD84" s="412">
        <v>9472</v>
      </c>
      <c r="BE84" s="412"/>
      <c r="BF84" s="413"/>
      <c r="BG84" s="412"/>
      <c r="BH84" s="412"/>
      <c r="BI84" s="412"/>
      <c r="BJ84" s="412"/>
      <c r="BK84" s="409">
        <v>5</v>
      </c>
      <c r="BL84" s="398" t="e">
        <f>IF(BK84=0,0,IF(LEN(BC84)=11,_xlfn.XLOOKUP(BC84,'Dispensed Ink Rates'!C:C,'Dispensed Ink Rates'!CS:CS),VLOOKUP(BC84,'Jan-2026 rates'!$E:$F,2,0)))</f>
        <v>#N/A</v>
      </c>
      <c r="BM84" s="409">
        <v>4</v>
      </c>
      <c r="BN84" s="398">
        <f>IF(BM84=0,0,IF(LEN(BD84)=11,_xlfn.XLOOKUP(BD84,'Dispensed Ink Rates'!C:C,'Dispensed Ink Rates'!CS:CS),VLOOKUP(BD84,'Jan-2026 rates'!$E:$F,2,0)))</f>
        <v>0</v>
      </c>
      <c r="BO84" s="409"/>
      <c r="BP84" s="398">
        <f>IF(BO84=0,0,IF(LEN(BE84)=11,_xlfn.XLOOKUP(BE84,'Dispensed Ink Rates'!C:C,'Dispensed Ink Rates'!CS:CS),VLOOKUP(BE84,'Jan-2026 rates'!$E:$F,2,0)))</f>
        <v>0</v>
      </c>
      <c r="BQ84" s="409"/>
      <c r="BR84" s="398">
        <f>IF(BQ84=0,0,IF(LEN(BF84)=11,_xlfn.XLOOKUP(BF84,'Dispensed Ink Rates'!C:C,'Dispensed Ink Rates'!CS:CS),VLOOKUP(BF84,'Jan-2026 rates'!$E:$F,2,0)))</f>
        <v>0</v>
      </c>
      <c r="BS84" s="409"/>
      <c r="BT84" s="398">
        <f>IF(BS84=0,0,IF(LEN(BG84)=11,_xlfn.XLOOKUP(BG84,'Dispensed Ink Rates'!C:C,'Dispensed Ink Rates'!CS:CS),VLOOKUP(BG84,'Jan-2026 rates'!$E:$F,2,0)))</f>
        <v>0</v>
      </c>
      <c r="BU84" s="409"/>
      <c r="BV84" s="398">
        <f>IF(BU84=0,0,IF(LEN(BH84)=11,_xlfn.XLOOKUP(BH84,'Dispensed Ink Rates'!C:C,'Dispensed Ink Rates'!CS:CS),VLOOKUP(BH84,'Jan-2026 rates'!$E:$F,2,0)))</f>
        <v>0</v>
      </c>
      <c r="BW84" s="409"/>
      <c r="BX84" s="398">
        <f>IF(BW84=0,0,IF(LEN(BI84)=11,_xlfn.XLOOKUP(BI84,'Dispensed Ink Rates'!C:C,'Dispensed Ink Rates'!CS:CS),VLOOKUP(BI84,'Jan-2026 rates'!$E:$F,2,0)))</f>
        <v>0</v>
      </c>
      <c r="BY84" s="409"/>
      <c r="BZ84" s="398">
        <f>IF(BY84=0,0,IF(LEN(BJ84)=11,_xlfn.XLOOKUP(BJ84,'Dispensed Ink Rates'!C:C,'Dispensed Ink Rates'!CS:CS),VLOOKUP(BJ84,'Jan-2026 rates'!$E:$F,2,0)))</f>
        <v>0</v>
      </c>
      <c r="CA84" s="409" t="s">
        <v>1443</v>
      </c>
      <c r="CB84" s="409">
        <v>31</v>
      </c>
      <c r="CC84" s="411">
        <f t="shared" si="85"/>
        <v>0</v>
      </c>
      <c r="CD84" s="411">
        <f t="shared" si="86"/>
        <v>31.63636363636364</v>
      </c>
      <c r="CE84" s="410">
        <f t="shared" si="87"/>
        <v>0</v>
      </c>
      <c r="CF84" s="404" t="s">
        <v>857</v>
      </c>
      <c r="CG84" s="409" t="s">
        <v>3067</v>
      </c>
      <c r="CH84" s="420" t="str">
        <f t="shared" si="55"/>
        <v>FLINTSL - RED</v>
      </c>
      <c r="CI84" s="409">
        <v>25</v>
      </c>
      <c r="CJ84" s="411">
        <f>IF(CI84=0,0,IF($LB84=70%,VLOOKUP($CH84,'Jan-2026 rates'!$L:$R,4,0),IF($LB84=65%,VLOOKUP($CH84,'Jan-2026 rates'!$L:$R,4,0),IF($LB84=40%,VLOOKUP($CH84,'Jan-2026 rates'!$L:$R,5,0),IF($LB84=30%,VLOOKUP($CH84,'Jan-2026 rates'!$L:$R,6,0),IF($LB84=100%,VLOOKUP($CH84,'Jan-2026 rates'!$L:$R,7,0),IF($LB84=60%,VLOOKUP($CH84,'Jan-2026 rates'!$L:$S,8,0),IF($LB84=80%,VLOOKUP($CH84,'Jan-2026 rates'!L:T,9,0),0))))))))</f>
        <v>0</v>
      </c>
      <c r="CK84" s="412" t="s">
        <v>3068</v>
      </c>
      <c r="CL84" s="409">
        <v>26</v>
      </c>
      <c r="CM84" s="411">
        <f>IF(CL84=0,0,IF($LB84=70%,VLOOKUP($CH84,'Jan-2026 rates'!$L:$R,4,0),IF($LB84=65%,VLOOKUP($CH84,'Jan-2026 rates'!$L:$R,4,0),IF($LB84=40%,VLOOKUP($CH84,'Jan-2026 rates'!$L:$R,5,0),IF($LB84=30%,VLOOKUP($CH84,'Jan-2026 rates'!$L:$R,6,0),IF($LB84=100%,VLOOKUP($CH84,'Jan-2026 rates'!$L:$R,7,0),IF($LB84=60%,VLOOKUP($CH84,'Jan-2026 rates'!$L:$S,8,0),IF($LB84=80%,VLOOKUP($CH84,'Jan-2026 rates'!L:T,9,0),0))))))))</f>
        <v>0</v>
      </c>
      <c r="CN84" s="426">
        <v>26501000001</v>
      </c>
      <c r="CO84" s="427"/>
      <c r="CP84" s="426"/>
      <c r="CQ84" s="426"/>
      <c r="CR84" s="428"/>
      <c r="CS84" s="428"/>
      <c r="CT84" s="428"/>
      <c r="CU84" s="428"/>
      <c r="CV84" s="409">
        <v>10</v>
      </c>
      <c r="CW84" s="398" t="e">
        <f>IF(CV84=0,0,IF(LEN(CN84)=11,_xlfn.XLOOKUP(CN84,'Dispensed Ink Rates'!C:C,'Dispensed Ink Rates'!CS:CS),VLOOKUP(CN84,'Jan-2026 rates'!$E:$F,2,0)))</f>
        <v>#N/A</v>
      </c>
      <c r="CX84" s="409"/>
      <c r="CY84" s="398">
        <f>IF(CX84=0,0,IF(LEN(CO84)=11,_xlfn.XLOOKUP(CO84,'Dispensed Ink Rates'!C:C,'Dispensed Ink Rates'!CS:CS),VLOOKUP(CO84,'Jan-2026 rates'!$E:$F,2,0)))</f>
        <v>0</v>
      </c>
      <c r="CZ84" s="409"/>
      <c r="DA84" s="398">
        <f>IF(CZ84=0,0,IF(LEN(CP84)=11,_xlfn.XLOOKUP(CP84,'Dispensed Ink Rates'!C:C,'Dispensed Ink Rates'!CS:CS),VLOOKUP(CP84,'Jan-2026 rates'!$E:$F,2,0)))</f>
        <v>0</v>
      </c>
      <c r="DB84" s="409"/>
      <c r="DC84" s="398">
        <f>IF(DB84=0,0,IF(LEN(CQ84)=11,_xlfn.XLOOKUP(CQ84,'Dispensed Ink Rates'!C:C,'Dispensed Ink Rates'!CS:CS),VLOOKUP(CQ84,'Jan-2026 rates'!$E:$F,2,0)))</f>
        <v>0</v>
      </c>
      <c r="DD84" s="409"/>
      <c r="DE84" s="398">
        <f>IF(DD84=0,0,IF(LEN(CR84)=11,_xlfn.XLOOKUP(CR84,'Dispensed Ink Rates'!C:C,'Dispensed Ink Rates'!CS:CS),VLOOKUP(CR84,'Jan-2026 rates'!$E:$F,2,0)))</f>
        <v>0</v>
      </c>
      <c r="DF84" s="409"/>
      <c r="DG84" s="398">
        <f>IF(DF84=0,0,IF(LEN(CS84)=11,_xlfn.XLOOKUP(CS84,'Dispensed Ink Rates'!C:C,'Dispensed Ink Rates'!CS:CS),VLOOKUP(CS84,'Jan-2026 rates'!$E:$F,2,0)))</f>
        <v>0</v>
      </c>
      <c r="DH84" s="409"/>
      <c r="DI84" s="398">
        <f>IF(DH84=0,0,IF(LEN(CT84)=11,_xlfn.XLOOKUP(CT84,'Dispensed Ink Rates'!C:C,'Dispensed Ink Rates'!CS:CS),VLOOKUP(CT84,'Jan-2026 rates'!$E:$F,2,0)))</f>
        <v>0</v>
      </c>
      <c r="DJ84" s="409"/>
      <c r="DK84" s="398">
        <f>IF(DJ84=0,0,IF(LEN(CU84)=11,_xlfn.XLOOKUP(CU84,'Dispensed Ink Rates'!C:C,'Dispensed Ink Rates'!CS:CS),VLOOKUP(CU84,'Jan-2026 rates'!$E:$F,2,0)))</f>
        <v>0</v>
      </c>
      <c r="DL84" s="409" t="s">
        <v>1443</v>
      </c>
      <c r="DM84" s="409">
        <v>28</v>
      </c>
      <c r="DN84" s="411">
        <f t="shared" si="88"/>
        <v>0</v>
      </c>
      <c r="DO84" s="411">
        <f t="shared" si="89"/>
        <v>52.63636363636364</v>
      </c>
      <c r="DP84" s="410">
        <f t="shared" si="90"/>
        <v>0</v>
      </c>
      <c r="DQ84" s="405" t="s">
        <v>855</v>
      </c>
      <c r="DR84" s="409" t="s">
        <v>3069</v>
      </c>
      <c r="DS84" s="420" t="str">
        <f t="shared" si="56"/>
        <v>FLINTSL - CYAN</v>
      </c>
      <c r="DT84" s="409">
        <v>27</v>
      </c>
      <c r="DU84" s="411">
        <f>IF(DT84=0,0,IF($LB84=70%,VLOOKUP($DS84,'Jan-2026 rates'!$L:$R,4,0),IF($LB84=65%,VLOOKUP($DS84,'Jan-2026 rates'!$L:$R,4,0),IF($LB84=40%,VLOOKUP($DS84,'Jan-2026 rates'!$L:$R,5,0),IF($LB84=30%,VLOOKUP($DS84,'Jan-2026 rates'!$L:$R,6,0),IF($LB84=100%,VLOOKUP($DS84,'Jan-2026 rates'!$L:$R,7,0),IF($LB84=60%,VLOOKUP($DS84,'Jan-2026 rates'!$L:$S,8,0),IF($LB84=80%,VLOOKUP($DS84,'Jan-2026 rates'!L:T,9,0),0))))))))</f>
        <v>0</v>
      </c>
      <c r="DV84" s="412"/>
      <c r="DW84" s="409"/>
      <c r="DX84" s="411">
        <f>IF(DW84=0,0,IF($LB84=70%,VLOOKUP($DS84,'Jan-2026 rates'!$L:$R,4,0),IF($LB84=65%,VLOOKUP($DS84,'Jan-2026 rates'!$L:$R,4,0),IF($LB84=40%,VLOOKUP($DS84,'Jan-2026 rates'!$L:$R,5,0),IF($LB84=30%,VLOOKUP($DS84,'Jan-2026 rates'!$L:$R,6,0),IF($LB84=100%,VLOOKUP($DS84,'Jan-2026 rates'!$L:$R,7,0),IF($LB84=60%,VLOOKUP($DS84,'Jan-2026 rates'!$L:$S,8,0),IF($LB84=80%,VLOOKUP($DS84,'Jan-2026 rates'!L:T,9,0),0))))))))</f>
        <v>0</v>
      </c>
      <c r="DY84" s="413" t="s">
        <v>1266</v>
      </c>
      <c r="DZ84" s="413"/>
      <c r="EA84" s="412"/>
      <c r="EB84" s="412"/>
      <c r="EC84" s="412"/>
      <c r="ED84" s="412"/>
      <c r="EE84" s="412"/>
      <c r="EF84" s="412"/>
      <c r="EG84" s="409">
        <v>4</v>
      </c>
      <c r="EH84" s="398">
        <f>IF(EG84=0,0,IF(LEN(DY84)=11,_xlfn.XLOOKUP(DY84,'Dispensed Ink Rates'!C:C,'Dispensed Ink Rates'!CS:CS),VLOOKUP(DY84,'Jan-2026 rates'!$E:$F,2,0)))</f>
        <v>0</v>
      </c>
      <c r="EI84" s="409"/>
      <c r="EJ84" s="398">
        <f>IF(EI84=0,0,IF(LEN(DZ84)=11,_xlfn.XLOOKUP(DZ84,'Dispensed Ink Rates'!C:C,'Dispensed Ink Rates'!CS:CS),VLOOKUP(DZ84,'Jan-2026 rates'!$E:$F,2,0)))</f>
        <v>0</v>
      </c>
      <c r="EK84" s="409"/>
      <c r="EL84" s="398">
        <f>IF(EK84=0,0,IF(LEN(EA84)=11,_xlfn.XLOOKUP(EA84,'Dispensed Ink Rates'!C:C,'Dispensed Ink Rates'!CS:CS),VLOOKUP(EA84,'Jan-2026 rates'!$E:$F,2,0)))</f>
        <v>0</v>
      </c>
      <c r="EM84" s="409"/>
      <c r="EN84" s="398">
        <f>IF(EM84=0,0,IF(LEN(EB84)=11,_xlfn.XLOOKUP(EB84,'Dispensed Ink Rates'!C:C,'Dispensed Ink Rates'!CS:CS),VLOOKUP(EB84,'Jan-2026 rates'!$E:$F,2,0)))</f>
        <v>0</v>
      </c>
      <c r="EO84" s="409"/>
      <c r="EP84" s="398">
        <f>IF(EO84=0,0,IF(LEN(EC84)=11,_xlfn.XLOOKUP(EC84,'Dispensed Ink Rates'!C:C,'Dispensed Ink Rates'!CS:CS),VLOOKUP(EC84,'Jan-2026 rates'!$E:$F,2,0)))</f>
        <v>0</v>
      </c>
      <c r="EQ84" s="409"/>
      <c r="ER84" s="398">
        <f>IF(EQ84=0,0,IF(LEN(ED84)=11,_xlfn.XLOOKUP(ED84,'Dispensed Ink Rates'!C:C,'Dispensed Ink Rates'!CS:CS),VLOOKUP(ED84,'Jan-2026 rates'!$E:$F,2,0)))</f>
        <v>0</v>
      </c>
      <c r="ES84" s="409"/>
      <c r="ET84" s="398">
        <f>IF(ES84=0,0,IF(LEN(EE84)=11,_xlfn.XLOOKUP(EE84,'Dispensed Ink Rates'!C:C,'Dispensed Ink Rates'!CS:CS),VLOOKUP(EE84,'Jan-2026 rates'!$E:$F,2,0)))</f>
        <v>0</v>
      </c>
      <c r="EU84" s="409"/>
      <c r="EV84" s="398">
        <f>IF(EU84=0,0,IF(LEN(EF84)=11,_xlfn.XLOOKUP(EF84,'Dispensed Ink Rates'!C:C,'Dispensed Ink Rates'!CS:CS),VLOOKUP(EF84,'Jan-2026 rates'!$E:$F,2,0)))</f>
        <v>0</v>
      </c>
      <c r="EW84" s="409" t="s">
        <v>1443</v>
      </c>
      <c r="EX84" s="409">
        <v>24</v>
      </c>
      <c r="EY84" s="411">
        <f t="shared" si="91"/>
        <v>0</v>
      </c>
      <c r="EZ84" s="411">
        <f t="shared" si="92"/>
        <v>12.890909090909091</v>
      </c>
      <c r="FA84" s="410">
        <f t="shared" si="93"/>
        <v>0</v>
      </c>
      <c r="FB84" s="405" t="s">
        <v>544</v>
      </c>
      <c r="FC84" s="409" t="s">
        <v>3070</v>
      </c>
      <c r="FD84" s="420" t="str">
        <f t="shared" si="57"/>
        <v>FLINTSL - MAGENTA</v>
      </c>
      <c r="FE84" s="409">
        <v>21</v>
      </c>
      <c r="FF84" s="411">
        <f>IF(FE84=0,0,IF($LB84=70%,VLOOKUP($FD84,'Jan-2026 rates'!$L:$R,4,0),IF($LB84=65%,VLOOKUP($FD84,'Jan-2026 rates'!$L:$R,4,0),IF($LB84=40%,VLOOKUP($FD84,'Jan-2026 rates'!$L:$R,5,0),IF($LB84=30%,VLOOKUP($FD84,'Jan-2026 rates'!$L:$R,6,0),IF($LB84=100%,VLOOKUP($FD84,'Jan-2026 rates'!$L:$R,7,0),IF($LB84=60%,VLOOKUP($FD84,'Jan-2026 rates'!$L:$S,8,0),IF($LB84=80%,VLOOKUP($FD84,'Jan-2026 rates'!L:T,9,0),0))))))))</f>
        <v>0</v>
      </c>
      <c r="FG84" s="412"/>
      <c r="FH84" s="409"/>
      <c r="FI84" s="411">
        <f>IF(FH84=0,0,IF($LB84=70%,VLOOKUP($FD84,'Jan-2026 rates'!$L:$R,4,0),IF($LB84=65%,VLOOKUP($FD84,'Jan-2026 rates'!$L:$R,4,0),IF($LB84=40%,VLOOKUP($FD84,'Jan-2026 rates'!$L:$R,5,0),IF($LB84=30%,VLOOKUP($FD84,'Jan-2026 rates'!$L:$R,6,0),IF($LB84=100%,VLOOKUP($FD84,'Jan-2026 rates'!$L:$R,7,0),IF($LB84=60%,VLOOKUP($FD84,'Jan-2026 rates'!$L:$S,8,0),IF($LB84=80%,VLOOKUP($FD84,'Jan-2026 rates'!L:T,9,0),0))))))))</f>
        <v>0</v>
      </c>
      <c r="FJ84" s="413">
        <v>26507000017</v>
      </c>
      <c r="FK84" s="413" t="s">
        <v>1266</v>
      </c>
      <c r="FL84" s="413"/>
      <c r="FM84" s="412"/>
      <c r="FN84" s="412"/>
      <c r="FO84" s="412"/>
      <c r="FP84" s="412"/>
      <c r="FQ84" s="412"/>
      <c r="FR84" s="409">
        <v>5</v>
      </c>
      <c r="FS84" s="398" t="e">
        <f>IF(FR84=0,0,IF(LEN(FJ84)=11,_xlfn.XLOOKUP(FJ84,'Dispensed Ink Rates'!C:C,'Dispensed Ink Rates'!CS:CS),VLOOKUP(FJ84,'Jan-2026 rates'!$E:$F,2,0)))</f>
        <v>#N/A</v>
      </c>
      <c r="FT84" s="409">
        <v>2</v>
      </c>
      <c r="FU84" s="398">
        <f>IF(FT84=0,0,IF(LEN(FK84)=11,_xlfn.XLOOKUP(FK84,'Dispensed Ink Rates'!C:C,'Dispensed Ink Rates'!CS:CS),VLOOKUP(FK84,'Jan-2026 rates'!$E:$F,2,0)))</f>
        <v>0</v>
      </c>
      <c r="FV84" s="409"/>
      <c r="FW84" s="398">
        <f>IF(FV84=0,0,IF(LEN(FL84)=11,_xlfn.XLOOKUP(FL84,'Dispensed Ink Rates'!C:C,'Dispensed Ink Rates'!CS:CS),VLOOKUP(FL84,'Jan-2026 rates'!$E:$F,2,0)))</f>
        <v>0</v>
      </c>
      <c r="FX84" s="409"/>
      <c r="FY84" s="398">
        <f>IF(FX84=0,0,IF(LEN(FM84)=11,_xlfn.XLOOKUP(FM84,'Dispensed Ink Rates'!C:C,'Dispensed Ink Rates'!CS:CS),VLOOKUP(FM84,'Jan-2026 rates'!$E:$F,2,0)))</f>
        <v>0</v>
      </c>
      <c r="FZ84" s="409"/>
      <c r="GA84" s="398">
        <f>IF(FZ84=0,0,IF(LEN(FN84)=11,_xlfn.XLOOKUP(FN84,'Dispensed Ink Rates'!C:C,'Dispensed Ink Rates'!CS:CS),VLOOKUP(FN84,'Jan-2026 rates'!$E:$F,2,0)))</f>
        <v>0</v>
      </c>
      <c r="GB84" s="409"/>
      <c r="GC84" s="398">
        <f>IF(GB84=0,0,IF(LEN(FO84)=11,_xlfn.XLOOKUP(FO84,'Dispensed Ink Rates'!C:C,'Dispensed Ink Rates'!CS:CS),VLOOKUP(FO84,'Jan-2026 rates'!$E:$F,2,0)))</f>
        <v>0</v>
      </c>
      <c r="GD84" s="409"/>
      <c r="GE84" s="398">
        <f>IF(GD84=0,0,IF(LEN(FP84)=11,_xlfn.XLOOKUP(FP84,'Dispensed Ink Rates'!C:C,'Dispensed Ink Rates'!CS:CS),VLOOKUP(FP84,'Jan-2026 rates'!$E:$F,2,0)))</f>
        <v>0</v>
      </c>
      <c r="GF84" s="409"/>
      <c r="GG84" s="398">
        <f>IF(GF84=0,0,IF(LEN(FQ84)=11,_xlfn.XLOOKUP(FQ84,'Dispensed Ink Rates'!C:C,'Dispensed Ink Rates'!CS:CS),VLOOKUP(FQ84,'Jan-2026 rates'!$E:$F,2,0)))</f>
        <v>0</v>
      </c>
      <c r="GH84" s="409" t="s">
        <v>1443</v>
      </c>
      <c r="GI84" s="409">
        <v>25</v>
      </c>
      <c r="GJ84" s="411">
        <f t="shared" si="94"/>
        <v>0</v>
      </c>
      <c r="GK84" s="411">
        <f t="shared" si="95"/>
        <v>12.81818181818182</v>
      </c>
      <c r="GL84" s="410">
        <f t="shared" si="96"/>
        <v>0</v>
      </c>
      <c r="GM84" s="405" t="s">
        <v>545</v>
      </c>
      <c r="GN84" s="409" t="s">
        <v>3071</v>
      </c>
      <c r="GO84" s="420" t="str">
        <f t="shared" si="58"/>
        <v>FLINTSL - YELLOW</v>
      </c>
      <c r="GP84" s="409">
        <v>30</v>
      </c>
      <c r="GQ84" s="411">
        <f>IF(GP84=0,0,IF($LB84=70%,VLOOKUP($GO84,'Jan-2026 rates'!$L:$R,4,0),IF($LB84=65%,VLOOKUP($GO84,'Jan-2026 rates'!$L:$R,4,0),IF($LB84=40%,VLOOKUP($GO84,'Jan-2026 rates'!$L:$R,5,0),IF($LB84=30%,VLOOKUP($GO84,'Jan-2026 rates'!$L:$R,6,0),IF($LB84=100%,VLOOKUP($GO84,'Jan-2026 rates'!$L:$R,7,0),IF($LB84=60%,VLOOKUP($GO84,'Jan-2026 rates'!$L:$S,8,0),IF($LB84=80%,VLOOKUP($GO84,'Jan-2026 rates'!L:T,9,0),0))))))))</f>
        <v>0</v>
      </c>
      <c r="GR84" s="412"/>
      <c r="GS84" s="409"/>
      <c r="GT84" s="411">
        <f>IF(GS84=0,0,IF($LB84=70%,VLOOKUP($GO84,'Jan-2026 rates'!$L:$R,4,0),IF($LB84=65%,VLOOKUP($GO84,'Jan-2026 rates'!$L:$R,4,0),IF($LB84=40%,VLOOKUP($GO84,'Jan-2026 rates'!$L:$R,5,0),IF($LB84=30%,VLOOKUP($GO84,'Jan-2026 rates'!$L:$R,6,0),IF($LB84=100%,VLOOKUP($GO84,'Jan-2026 rates'!$L:$R,7,0),IF($LB84=60%,VLOOKUP($GO84,'Jan-2026 rates'!$L:$S,8,0),IF($LB84=80%,VLOOKUP($GO84,'Jan-2026 rates'!L:T,9,0),0))))))))</f>
        <v>0</v>
      </c>
      <c r="GU84" s="413">
        <v>26505000033</v>
      </c>
      <c r="GV84" s="413"/>
      <c r="GW84" s="412"/>
      <c r="GX84" s="412"/>
      <c r="GY84" s="412"/>
      <c r="GZ84" s="412"/>
      <c r="HA84" s="412"/>
      <c r="HB84" s="412"/>
      <c r="HC84" s="409">
        <v>5</v>
      </c>
      <c r="HD84" s="398" t="e">
        <f>IF(HC84=0,0,IF(LEN(GU84)=11,_xlfn.XLOOKUP(GU84,'Dispensed Ink Rates'!C:C,'Dispensed Ink Rates'!CS:CS),VLOOKUP(GU84,'Jan-2026 rates'!$E:$F,2,0)))</f>
        <v>#N/A</v>
      </c>
      <c r="HE84" s="409"/>
      <c r="HF84" s="398">
        <f>IF(HE84=0,0,IF(LEN(GV84)=11,_xlfn.XLOOKUP(GV84,'Dispensed Ink Rates'!C:C,'Dispensed Ink Rates'!CS:CS),VLOOKUP(GV84,'Jan-2026 rates'!$E:$F,2,0)))</f>
        <v>0</v>
      </c>
      <c r="HG84" s="409"/>
      <c r="HH84" s="398">
        <f>IF(HG84=0,0,IF(LEN(GW84)=11,_xlfn.XLOOKUP(GW84,'Dispensed Ink Rates'!C:C,'Dispensed Ink Rates'!CS:CS),VLOOKUP(GW84,'Jan-2026 rates'!$E:$F,2,0)))</f>
        <v>0</v>
      </c>
      <c r="HI84" s="409"/>
      <c r="HJ84" s="398">
        <f>IF(HI84=0,0,IF(LEN(GX84)=11,_xlfn.XLOOKUP(GX84,'Dispensed Ink Rates'!C:C,'Dispensed Ink Rates'!CS:CS),VLOOKUP(GX84,'Jan-2026 rates'!$E:$F,2,0)))</f>
        <v>0</v>
      </c>
      <c r="HK84" s="409"/>
      <c r="HL84" s="398">
        <f>IF(HK84=0,0,IF(LEN(GY84)=11,_xlfn.XLOOKUP(GY84,'Dispensed Ink Rates'!C:C,'Dispensed Ink Rates'!CS:CS),VLOOKUP(GY84,'Jan-2026 rates'!$E:$F,2,0)))</f>
        <v>0</v>
      </c>
      <c r="HM84" s="409"/>
      <c r="HN84" s="398">
        <f>IF(HM84=0,0,IF(LEN(GZ84)=11,_xlfn.XLOOKUP(GZ84,'Dispensed Ink Rates'!C:C,'Dispensed Ink Rates'!CS:CS),VLOOKUP(GZ84,'Jan-2026 rates'!$E:$F,2,0)))</f>
        <v>0</v>
      </c>
      <c r="HO84" s="409"/>
      <c r="HP84" s="398">
        <f>IF(HO84=0,0,IF(LEN(HA84)=11,_xlfn.XLOOKUP(HA84,'Dispensed Ink Rates'!C:C,'Dispensed Ink Rates'!CS:CS),VLOOKUP(HA84,'Jan-2026 rates'!$E:$F,2,0)))</f>
        <v>0</v>
      </c>
      <c r="HQ84" s="409"/>
      <c r="HR84" s="398">
        <f>IF(HQ84=0,0,IF(LEN(HB84)=11,_xlfn.XLOOKUP(HB84,'Dispensed Ink Rates'!C:C,'Dispensed Ink Rates'!CS:CS),VLOOKUP(HB84,'Jan-2026 rates'!$E:$F,2,0)))</f>
        <v>0</v>
      </c>
      <c r="HS84" s="409" t="s">
        <v>1443</v>
      </c>
      <c r="HT84" s="409">
        <v>26</v>
      </c>
      <c r="HU84" s="411">
        <f t="shared" si="97"/>
        <v>0</v>
      </c>
      <c r="HV84" s="411">
        <f t="shared" si="98"/>
        <v>12.927272727272729</v>
      </c>
      <c r="HW84" s="414">
        <f t="shared" si="99"/>
        <v>0</v>
      </c>
      <c r="HX84" s="405" t="s">
        <v>856</v>
      </c>
      <c r="HY84" s="409" t="s">
        <v>3072</v>
      </c>
      <c r="HZ84" s="420" t="str">
        <f t="shared" si="59"/>
        <v>FLINTSL - WHITE</v>
      </c>
      <c r="IA84" s="409">
        <v>29</v>
      </c>
      <c r="IB84" s="411">
        <f>IF(IA84=0,0,IF($LB84=70%,VLOOKUP($HZ84,'Jan-2026 rates'!$L:$R,4,0),IF($LB84=65%,VLOOKUP($HZ84,'Jan-2026 rates'!$L:$R,4,0),IF($LB84=40%,VLOOKUP($HZ84,'Jan-2026 rates'!$L:$R,5,0),IF($LB84=30%,VLOOKUP($HZ84,'Jan-2026 rates'!$L:$R,6,0),IF($LB84=100%,VLOOKUP($HZ84,'Jan-2026 rates'!$L:$R,7,0),IF($LB84=60%,VLOOKUP($HZ84,'Jan-2026 rates'!$L:$S,8,0),IF($LB84=80%,VLOOKUP($HZ84,'Jan-2026 rates'!L:T,9,0),0))))))))</f>
        <v>0</v>
      </c>
      <c r="IC84" s="412"/>
      <c r="ID84" s="409"/>
      <c r="IE84" s="411">
        <f>IF(ID84=0,0,IF($LB84=70%,VLOOKUP($HZ84,'Jan-2026 rates'!$L:$R,4,0),IF($LB84=65%,VLOOKUP($HZ84,'Jan-2026 rates'!$L:$R,4,0),IF($LB84=40%,VLOOKUP($HZ84,'Jan-2026 rates'!$L:$R,5,0),IF($LB84=30%,VLOOKUP($HZ84,'Jan-2026 rates'!$L:$R,6,0),IF($LB84=100%,VLOOKUP($HZ84,'Jan-2026 rates'!$L:$R,7,0),IF($LB84=60%,VLOOKUP($HZ84,'Jan-2026 rates'!$L:$S,8,0),IF($LB84=80%,VLOOKUP($HZ84,'Jan-2026 rates'!L:T,9,0),0))))))))</f>
        <v>0</v>
      </c>
      <c r="IF84" s="412" t="s">
        <v>484</v>
      </c>
      <c r="IG84" s="413"/>
      <c r="IH84" s="412"/>
      <c r="II84" s="412"/>
      <c r="IJ84" s="412"/>
      <c r="IK84" s="412"/>
      <c r="IL84" s="412"/>
      <c r="IM84" s="412"/>
      <c r="IN84" s="409">
        <v>40</v>
      </c>
      <c r="IO84" s="398">
        <f>IF(IN84=0,0,IF(LEN(IF84)=11,_xlfn.XLOOKUP(IF84,'Dispensed Ink Rates'!C:C,'Dispensed Ink Rates'!CS:CS),VLOOKUP(IF84,'Jan-2026 rates'!$E:$F,2,0)))</f>
        <v>0</v>
      </c>
      <c r="IP84" s="409"/>
      <c r="IQ84" s="398">
        <f>IF(IP84=0,0,IF(LEN(IG84)=11,_xlfn.XLOOKUP(IG84,'Dispensed Ink Rates'!C:C,'Dispensed Ink Rates'!CS:CS),VLOOKUP(IG84,'Jan-2026 rates'!$E:$F,2,0)))</f>
        <v>0</v>
      </c>
      <c r="IR84" s="409"/>
      <c r="IS84" s="398">
        <f>IF(IR84=0,0,IF(LEN(IH84)=11,_xlfn.XLOOKUP(IH84,'Dispensed Ink Rates'!C:C,'Dispensed Ink Rates'!CS:CS),VLOOKUP(IH84,'Jan-2026 rates'!$E:$F,2,0)))</f>
        <v>0</v>
      </c>
      <c r="IT84" s="409"/>
      <c r="IU84" s="398">
        <f>IF(IT84=0,0,IF(LEN(II84)=11,_xlfn.XLOOKUP(II84,'Dispensed Ink Rates'!C:C,'Dispensed Ink Rates'!CS:CS),VLOOKUP(II84,'Jan-2026 rates'!$E:$F,2,0)))</f>
        <v>0</v>
      </c>
      <c r="IV84" s="409"/>
      <c r="IW84" s="398">
        <f>IF(IV84=0,0,IF(LEN(IJ84)=11,_xlfn.XLOOKUP(IJ84,'Dispensed Ink Rates'!C:C,'Dispensed Ink Rates'!CS:CS),VLOOKUP(IJ84,'Jan-2026 rates'!$E:$F,2,0)))</f>
        <v>0</v>
      </c>
      <c r="IX84" s="409"/>
      <c r="IY84" s="398">
        <f>IF(IX84=0,0,IF(LEN(IK84)=11,_xlfn.XLOOKUP(IK84,'Dispensed Ink Rates'!C:C,'Dispensed Ink Rates'!CS:CS),VLOOKUP(IK84,'Jan-2026 rates'!$E:$F,2,0)))</f>
        <v>0</v>
      </c>
      <c r="IZ84" s="409"/>
      <c r="JA84" s="398">
        <f>IF(IZ84=0,0,IF(LEN(IL84)=11,_xlfn.XLOOKUP(IL84,'Dispensed Ink Rates'!C:C,'Dispensed Ink Rates'!CS:CS),VLOOKUP(IL84,'Jan-2026 rates'!$E:$F,2,0)))</f>
        <v>0</v>
      </c>
      <c r="JB84" s="409"/>
      <c r="JC84" s="398">
        <f>IF(JB84=0,0,IF(LEN(IM84)=11,_xlfn.XLOOKUP(IM84,'Dispensed Ink Rates'!C:C,'Dispensed Ink Rates'!CS:CS),VLOOKUP(IM84,'Jan-2026 rates'!$E:$F,2,0)))</f>
        <v>0</v>
      </c>
      <c r="JD84" s="409" t="s">
        <v>1443</v>
      </c>
      <c r="JE84" s="409">
        <v>27</v>
      </c>
      <c r="JF84" s="411">
        <f t="shared" si="100"/>
        <v>0</v>
      </c>
      <c r="JG84" s="411">
        <f t="shared" si="101"/>
        <v>81.27272727272728</v>
      </c>
      <c r="JH84" s="410">
        <f t="shared" si="102"/>
        <v>0</v>
      </c>
      <c r="JI84" s="405"/>
      <c r="JJ84" s="409"/>
      <c r="JK84" s="420" t="str">
        <f t="shared" si="60"/>
        <v xml:space="preserve"> - </v>
      </c>
      <c r="JL84" s="409"/>
      <c r="JM84" s="411">
        <f>IF(JL84=0,0,IF($LB84=70%,VLOOKUP($JK84,'Jan-2026 rates'!$L:$R,4,0),IF($LB84=65%,VLOOKUP($JK84,'Jan-2026 rates'!$L:$R,4,0),IF($LB84=40%,VLOOKUP($JK84,'Jan-2026 rates'!$L:$R,5,0),IF($LB84=30%,VLOOKUP($JK84,'Jan-2026 rates'!$L:$R,6,0),IF($LB84=100%,VLOOKUP($JK84,'Jan-2026 rates'!$L:$R,7,0),IF($LB84=60%,VLOOKUP($JK84,'Jan-2026 rates'!$L:$S,8,0),IF($LB84=80%,VLOOKUP($JK84,'Jan-2026 rates'!L:T,9,0),0))))))))</f>
        <v>0</v>
      </c>
      <c r="JN84" s="412"/>
      <c r="JO84" s="409"/>
      <c r="JP84" s="411">
        <f>IF(JO84=0,0,IF($LB84=70%,VLOOKUP($JK84,'Jan-2026 rates'!$L:$R,4,0),IF($LB84=65%,VLOOKUP($JK84,'Jan-2026 rates'!$L:$R,4,0),IF($LB84=40%,VLOOKUP($JK84,'Jan-2026 rates'!$L:$R,5,0),IF($LB84=30%,VLOOKUP($JK84,'Jan-2026 rates'!$L:$R,6,0),IF($LB84=100%,VLOOKUP($JK84,'Jan-2026 rates'!$L:$R,7,0),IF($LB84=60%,VLOOKUP($JK84,'Jan-2026 rates'!$L:$S,8,0),IF($LB84=80%,VLOOKUP($JK84,'Jan-2026 rates'!L:T,9,0),0))))))))</f>
        <v>0</v>
      </c>
      <c r="JQ84" s="413"/>
      <c r="JR84" s="412"/>
      <c r="JS84" s="413"/>
      <c r="JT84" s="413"/>
      <c r="JU84" s="412"/>
      <c r="JV84" s="412"/>
      <c r="JW84" s="412"/>
      <c r="JX84" s="412"/>
      <c r="JY84" s="409"/>
      <c r="JZ84" s="398">
        <f>IF(JY84=0,0,IF(LEN(JQ84)=11,_xlfn.XLOOKUP(JQ84,'Dispensed Ink Rates'!C:C,'Dispensed Ink Rates'!CS:CS),VLOOKUP(JQ84,'Jan-2026 rates'!$E:$F,2,0)))</f>
        <v>0</v>
      </c>
      <c r="KA84" s="409"/>
      <c r="KB84" s="398">
        <f>IF(KA84=0,0,IF(LEN(JR84)=11,_xlfn.XLOOKUP(JR84,'Dispensed Ink Rates'!C:C,'Dispensed Ink Rates'!CS:CS),VLOOKUP(JR84,'Jan-2026 rates'!$E:$F,2,0)))</f>
        <v>0</v>
      </c>
      <c r="KC84" s="409"/>
      <c r="KD84" s="398">
        <f>IF(KC84=0,0,IF(LEN(JS84)=11,_xlfn.XLOOKUP(JS84,'Dispensed Ink Rates'!C:C,'Dispensed Ink Rates'!CS:CS),VLOOKUP(JS84,'Jan-2026 rates'!$E:$F,2,0)))</f>
        <v>0</v>
      </c>
      <c r="KE84" s="409"/>
      <c r="KF84" s="398">
        <f>IF(KE84=0,0,IF(LEN(JT84)=11,_xlfn.XLOOKUP(JT84,'Dispensed Ink Rates'!C:C,'Dispensed Ink Rates'!CS:CS),VLOOKUP(JT84,'Jan-2026 rates'!$E:$F,2,0)))</f>
        <v>0</v>
      </c>
      <c r="KG84" s="409"/>
      <c r="KH84" s="398">
        <f>IF(KG84=0,0,IF(LEN(JU84)=11,_xlfn.XLOOKUP(JU84,'Dispensed Ink Rates'!C:C,'Dispensed Ink Rates'!CS:CS),VLOOKUP(JU84,'Jan-2026 rates'!$E:$F,2,0)))</f>
        <v>0</v>
      </c>
      <c r="KI84" s="409"/>
      <c r="KJ84" s="398">
        <f>IF(KI84=0,0,IF(LEN(JV84)=11,_xlfn.XLOOKUP(JV84,'Dispensed Ink Rates'!C:C,'Dispensed Ink Rates'!CS:CS),VLOOKUP(JV84,'Jan-2026 rates'!$E:$F,2,0)))</f>
        <v>0</v>
      </c>
      <c r="KK84" s="409"/>
      <c r="KL84" s="398">
        <f>IF(KK84=0,0,IF(LEN(JW84)=11,_xlfn.XLOOKUP(JW84,'Dispensed Ink Rates'!C:C,'Dispensed Ink Rates'!CS:CS),VLOOKUP(JW84,'Jan-2026 rates'!$E:$F,2,0)))</f>
        <v>0</v>
      </c>
      <c r="KM84" s="428"/>
      <c r="KN84" s="398">
        <f>IF(KM84=0,0,IF(LEN(JX84)=11,_xlfn.XLOOKUP(JX84,'Dispensed Ink Rates'!C:C,'Dispensed Ink Rates'!CS:CS),VLOOKUP(JX84,'Jan-2026 rates'!$E:$F,2,0)))</f>
        <v>0</v>
      </c>
      <c r="KO84" s="409"/>
      <c r="KP84" s="409"/>
      <c r="KQ84" s="411">
        <f t="shared" si="103"/>
        <v>0</v>
      </c>
      <c r="KR84" s="411">
        <f t="shared" si="104"/>
        <v>0</v>
      </c>
      <c r="KS84" s="410">
        <f t="shared" si="105"/>
        <v>0</v>
      </c>
      <c r="KT84" s="409">
        <v>5</v>
      </c>
      <c r="KU84" s="409">
        <v>10</v>
      </c>
      <c r="KV84" s="409">
        <v>10</v>
      </c>
      <c r="KW84" s="409">
        <v>3</v>
      </c>
      <c r="KX84" s="409">
        <v>5</v>
      </c>
      <c r="KY84" s="409">
        <v>2</v>
      </c>
      <c r="KZ84" s="409">
        <v>20</v>
      </c>
      <c r="LA84" s="409">
        <v>0</v>
      </c>
      <c r="LB84" s="415">
        <v>0.8</v>
      </c>
      <c r="LC84" s="415">
        <v>0.2</v>
      </c>
      <c r="LD84" s="415"/>
      <c r="LE84" s="415"/>
      <c r="LF84" s="415"/>
      <c r="LG84" s="409">
        <v>0</v>
      </c>
      <c r="LH84" s="409">
        <f>20+28+48+12</f>
        <v>108</v>
      </c>
      <c r="LI84" s="409">
        <v>0</v>
      </c>
      <c r="LJ84" s="409">
        <v>0</v>
      </c>
      <c r="LK84" s="416">
        <f t="shared" si="61"/>
        <v>108</v>
      </c>
      <c r="LL84" s="416">
        <f t="shared" si="62"/>
        <v>108</v>
      </c>
      <c r="LM84" s="417">
        <f t="shared" si="63"/>
        <v>86.4</v>
      </c>
      <c r="LN84" s="417">
        <f>VLOOKUP($LM$8,'Jan-2026 rates'!$H:$I,2,0)</f>
        <v>0</v>
      </c>
      <c r="LO84" s="417">
        <f t="shared" si="64"/>
        <v>21.6</v>
      </c>
      <c r="LP84" s="417">
        <f>VLOOKUP($LO$8,'Jan-2026 rates'!$H:$I,2,0)</f>
        <v>0</v>
      </c>
      <c r="LQ84" s="417">
        <f t="shared" si="65"/>
        <v>0</v>
      </c>
      <c r="LR84" s="417">
        <f>VLOOKUP($LQ$8,'Jan-2026 rates'!$H:$I,2,0)</f>
        <v>0</v>
      </c>
      <c r="LS84" s="417">
        <f t="shared" si="66"/>
        <v>0</v>
      </c>
      <c r="LT84" s="417">
        <f>VLOOKUP($LS$8,'Jan-2026 rates'!$H:$I,2,0)</f>
        <v>0</v>
      </c>
      <c r="LU84" s="417">
        <f t="shared" si="67"/>
        <v>0</v>
      </c>
      <c r="LV84" s="417">
        <f>VLOOKUP($LU$8,'Jan-2026 rates'!$H:$I,2,0)</f>
        <v>0</v>
      </c>
      <c r="LW84" s="417">
        <f t="shared" si="68"/>
        <v>0</v>
      </c>
      <c r="LX84" s="417">
        <f t="shared" si="69"/>
        <v>0</v>
      </c>
      <c r="LY84" s="418">
        <f t="shared" si="70"/>
        <v>0</v>
      </c>
      <c r="LZ84" s="417"/>
      <c r="MA84" s="435">
        <f t="shared" si="71"/>
        <v>80</v>
      </c>
      <c r="MB84" s="282">
        <f t="shared" si="72"/>
        <v>215.00000000000003</v>
      </c>
      <c r="MC84" s="283">
        <v>39</v>
      </c>
      <c r="MD84" s="284" t="str">
        <f t="shared" si="73"/>
        <v>FLINTSLFLINTSLFLINTSLFLINTSLFLINTSLFLINTSLFLINTSL</v>
      </c>
      <c r="ME84" s="293" t="str">
        <f t="shared" si="74"/>
        <v>+</v>
      </c>
      <c r="MF84" s="293" t="str">
        <f t="shared" si="75"/>
        <v>+</v>
      </c>
      <c r="MG84" s="293" t="str">
        <f t="shared" si="76"/>
        <v>+</v>
      </c>
      <c r="MH84" s="293" t="str">
        <f t="shared" si="77"/>
        <v>+</v>
      </c>
      <c r="MI84" s="293" t="str">
        <f t="shared" si="78"/>
        <v>+</v>
      </c>
      <c r="MJ84" s="293" t="str">
        <f t="shared" si="79"/>
        <v>+</v>
      </c>
      <c r="MK84" s="293" t="str">
        <f t="shared" si="80"/>
        <v>+</v>
      </c>
      <c r="ML84" s="293" t="str">
        <f t="shared" si="81"/>
        <v>NIL</v>
      </c>
      <c r="MM84" s="3" t="b">
        <f t="array" ref="MM84">OR(ME84:ML84="-")</f>
        <v>0</v>
      </c>
      <c r="MN84" s="285"/>
      <c r="MO84" s="401"/>
      <c r="MP84" s="286"/>
      <c r="MQ84" s="286"/>
      <c r="MR84" s="402"/>
      <c r="MS84" s="400"/>
      <c r="NH84" s="422"/>
      <c r="NJ84" s="421"/>
    </row>
    <row r="85" spans="1:374" s="1" customFormat="1" ht="16.5">
      <c r="A85" s="403">
        <v>46028</v>
      </c>
      <c r="B85" s="404" t="s">
        <v>1015</v>
      </c>
      <c r="C85" s="405" t="s">
        <v>3073</v>
      </c>
      <c r="D85" s="406">
        <v>40</v>
      </c>
      <c r="E85" s="404">
        <v>389</v>
      </c>
      <c r="F85" s="407">
        <v>12000</v>
      </c>
      <c r="G85" s="407" t="s">
        <v>1019</v>
      </c>
      <c r="H85" s="408" t="s">
        <v>1017</v>
      </c>
      <c r="I85" s="409">
        <v>1.7</v>
      </c>
      <c r="J85" s="405" t="s">
        <v>543</v>
      </c>
      <c r="K85" s="404" t="s">
        <v>3074</v>
      </c>
      <c r="L85" s="419" t="str">
        <f t="shared" si="54"/>
        <v>FLINTSL - BLACK</v>
      </c>
      <c r="M85" s="404">
        <v>24</v>
      </c>
      <c r="N85" s="410">
        <f>IF(M85=0,0,IF($LB85=70%,VLOOKUP($L85,'Jan-2026 rates'!$L:$R,4,0),IF($LB85=65%,VLOOKUP($L85,'Jan-2026 rates'!$L:$R,4,0),IF($LB85=40%,VLOOKUP($L85,'Jan-2026 rates'!$L:$R,5,0),IF($LB85=30%,VLOOKUP($L85,'Jan-2026 rates'!$L:$R,6,0),IF($LB85=100%,VLOOKUP($L85,'Jan-2026 rates'!$L:$R,7,0),IF($LB85=60%,VLOOKUP($L85,'Jan-2026 rates'!$L:$S,8,0),IF($LB85=80%,VLOOKUP($L85,'Jan-2026 rates'!L:T,9,0),0))))))))</f>
        <v>0</v>
      </c>
      <c r="O85" s="406"/>
      <c r="P85" s="404"/>
      <c r="Q85" s="410">
        <f>IF(P85=0,0,IF($LB85=70%,VLOOKUP($L85,'Jan-2026 rates'!$L:$R,4,0),IF($LB85=65%,VLOOKUP($L85,'Jan-2026 rates'!$L:$R,4,0),IF($LB85=40%,VLOOKUP($L85,'Jan-2026 rates'!$L:$R,5,0),IF($LB85=30%,VLOOKUP($L85,'Jan-2026 rates'!$L:$R,6,0),IF($LB85=100%,VLOOKUP($L85,'Jan-2026 rates'!$L:$R,7,0),IF($LB85=60%,VLOOKUP($L85,'Jan-2026 rates'!$L:$S,8,0),IF($LB85=80%,VLOOKUP($L85,'Jan-2026 rates'!L:T,9,0),0))))))))</f>
        <v>0</v>
      </c>
      <c r="R85" s="406">
        <v>26506000005</v>
      </c>
      <c r="S85" s="406"/>
      <c r="T85" s="406"/>
      <c r="U85" s="406"/>
      <c r="V85" s="406"/>
      <c r="W85" s="406"/>
      <c r="X85" s="406"/>
      <c r="Y85" s="406"/>
      <c r="Z85" s="404">
        <f>2+3</f>
        <v>5</v>
      </c>
      <c r="AA85" s="398" t="e">
        <f>IF(Z85=0,0,IF(LEN(R85)=11,_xlfn.XLOOKUP(R85,'Dispensed Ink Rates'!C:C,'Dispensed Ink Rates'!CS:CS),VLOOKUP(R85,'Jan-2026 rates'!$E:$F,2,0)))</f>
        <v>#N/A</v>
      </c>
      <c r="AB85" s="404"/>
      <c r="AC85" s="398">
        <f>IF(AB85=0,0,IF(LEN(S85)=11,_xlfn.XLOOKUP(S85,'Dispensed Ink Rates'!C:C,'Dispensed Ink Rates'!CS:CS),VLOOKUP(S85,'Jan-2026 rates'!$E:$F,2,0)))</f>
        <v>0</v>
      </c>
      <c r="AD85" s="404"/>
      <c r="AE85" s="398">
        <f>IF(AD85=0,0,IF(LEN(T85)=11,_xlfn.XLOOKUP(T85,'Dispensed Ink Rates'!C:C,'Dispensed Ink Rates'!CS:CS),VLOOKUP(T85,'Jan-2026 rates'!$E:$F,2,0)))</f>
        <v>0</v>
      </c>
      <c r="AF85" s="404"/>
      <c r="AG85" s="398">
        <f>IF(AF85=0,0,IF(LEN(U85)=11,_xlfn.XLOOKUP(U85,'Dispensed Ink Rates'!C:C,'Dispensed Ink Rates'!CS:CS),VLOOKUP(U85,'Jan-2026 rates'!$E:$F,2,0)))</f>
        <v>0</v>
      </c>
      <c r="AH85" s="404"/>
      <c r="AI85" s="398">
        <f>IF(AH85=0,0,IF(LEN(V85)=11,_xlfn.XLOOKUP(V85,'Dispensed Ink Rates'!C:C,'Dispensed Ink Rates'!CS:CS),VLOOKUP(V85,'Jan-2026 rates'!$E:$F,2,0)))</f>
        <v>0</v>
      </c>
      <c r="AJ85" s="404"/>
      <c r="AK85" s="398">
        <f>IF(AJ85=0,0,IF(LEN(W85)=11,_xlfn.XLOOKUP(W85,'Dispensed Ink Rates'!C:C,'Dispensed Ink Rates'!CS:CS),VLOOKUP(W85,'Jan-2026 rates'!$E:$F,2,0)))</f>
        <v>0</v>
      </c>
      <c r="AL85" s="404"/>
      <c r="AM85" s="398">
        <f>IF(AL85=0,0,IF(LEN(X85)=11,_xlfn.XLOOKUP(X85,'Dispensed Ink Rates'!C:C,'Dispensed Ink Rates'!CS:CS),VLOOKUP(X85,'Jan-2026 rates'!$E:$F,2,0)))</f>
        <v>0</v>
      </c>
      <c r="AN85" s="404"/>
      <c r="AO85" s="398">
        <f>IF(AN85=0,0,IF(LEN(Y85)=11,_xlfn.XLOOKUP(Y85,'Dispensed Ink Rates'!C:C,'Dispensed Ink Rates'!CS:CS),VLOOKUP(Y85,'Jan-2026 rates'!$E:$F,2,0)))</f>
        <v>0</v>
      </c>
      <c r="AP85" s="409" t="s">
        <v>1443</v>
      </c>
      <c r="AQ85" s="409">
        <v>28</v>
      </c>
      <c r="AR85" s="410">
        <f t="shared" si="82"/>
        <v>0</v>
      </c>
      <c r="AS85" s="411">
        <f t="shared" si="83"/>
        <v>4.0793650793650755</v>
      </c>
      <c r="AT85" s="410">
        <f t="shared" si="84"/>
        <v>0</v>
      </c>
      <c r="AU85" s="405" t="s">
        <v>547</v>
      </c>
      <c r="AV85" s="409"/>
      <c r="AW85" s="420" t="str">
        <f t="shared" si="53"/>
        <v>FLINTSL - GREEN</v>
      </c>
      <c r="AX85" s="409"/>
      <c r="AY85" s="411">
        <f>IF(AX85=0,0,IF($LB85=70%,VLOOKUP($AW85,'Jan-2026 rates'!$L:$R,4,0),IF($LB85=65%,VLOOKUP($AW85,'Jan-2026 rates'!$L:$R,4,0),IF($LB85=40%,VLOOKUP($AW85,'Jan-2026 rates'!$L:$R,5,0),IF($LB85=30%,VLOOKUP($AW85,'Jan-2026 rates'!$L:$R,6,0),IF($LB85=100%,VLOOKUP($AW85,'Jan-2026 rates'!$L:$R,7,0),IF($LB85=60%,VLOOKUP($AW85,'Jan-2026 rates'!$L:$S,8,0),IF($LB85=80%,VLOOKUP($AW85,'Jan-2026 rates'!L:T,9,0),0))))))))</f>
        <v>0</v>
      </c>
      <c r="AZ85" s="412"/>
      <c r="BA85" s="409"/>
      <c r="BB85" s="411">
        <f>IF(BA85=0,0,IF($LB85=70%,VLOOKUP($AW85,'Jan-2026 rates'!$L:$R,4,0),IF($LB85=65%,VLOOKUP($AW85,'Jan-2026 rates'!$L:$R,4,0),IF($LB85=40%,VLOOKUP($AW85,'Jan-2026 rates'!$L:$R,5,0),IF($LB85=30%,VLOOKUP($AW85,'Jan-2026 rates'!$L:$R,6,0),IF($LB85=100%,VLOOKUP($AW85,'Jan-2026 rates'!$L:$R,7,0),IF($LB85=60%,VLOOKUP($AW85,'Jan-2026 rates'!$L:$S,8,0),IF($LB85=80%,VLOOKUP($AW85,'Jan-2026 rates'!L:T,9,0),0))))))))</f>
        <v>0</v>
      </c>
      <c r="BC85" s="413">
        <v>9472</v>
      </c>
      <c r="BD85" s="412">
        <v>26505000032</v>
      </c>
      <c r="BE85" s="412">
        <v>26505000033</v>
      </c>
      <c r="BF85" s="413"/>
      <c r="BG85" s="412"/>
      <c r="BH85" s="412"/>
      <c r="BI85" s="412"/>
      <c r="BJ85" s="412"/>
      <c r="BK85" s="409">
        <v>0.5</v>
      </c>
      <c r="BL85" s="398">
        <f>IF(BK85=0,0,IF(LEN(BC85)=11,_xlfn.XLOOKUP(BC85,'Dispensed Ink Rates'!C:C,'Dispensed Ink Rates'!CS:CS),VLOOKUP(BC85,'Jan-2026 rates'!$E:$F,2,0)))</f>
        <v>0</v>
      </c>
      <c r="BM85" s="409">
        <f>7+1</f>
        <v>8</v>
      </c>
      <c r="BN85" s="398" t="e">
        <f>IF(BM85=0,0,IF(LEN(BD85)=11,_xlfn.XLOOKUP(BD85,'Dispensed Ink Rates'!C:C,'Dispensed Ink Rates'!CS:CS),VLOOKUP(BD85,'Jan-2026 rates'!$E:$F,2,0)))</f>
        <v>#N/A</v>
      </c>
      <c r="BO85" s="409">
        <v>10</v>
      </c>
      <c r="BP85" s="398" t="e">
        <f>IF(BO85=0,0,IF(LEN(BE85)=11,_xlfn.XLOOKUP(BE85,'Dispensed Ink Rates'!C:C,'Dispensed Ink Rates'!CS:CS),VLOOKUP(BE85,'Jan-2026 rates'!$E:$F,2,0)))</f>
        <v>#N/A</v>
      </c>
      <c r="BQ85" s="409"/>
      <c r="BR85" s="398">
        <f>IF(BQ85=0,0,IF(LEN(BF85)=11,_xlfn.XLOOKUP(BF85,'Dispensed Ink Rates'!C:C,'Dispensed Ink Rates'!CS:CS),VLOOKUP(BF85,'Jan-2026 rates'!$E:$F,2,0)))</f>
        <v>0</v>
      </c>
      <c r="BS85" s="409"/>
      <c r="BT85" s="398">
        <f>IF(BS85=0,0,IF(LEN(BG85)=11,_xlfn.XLOOKUP(BG85,'Dispensed Ink Rates'!C:C,'Dispensed Ink Rates'!CS:CS),VLOOKUP(BG85,'Jan-2026 rates'!$E:$F,2,0)))</f>
        <v>0</v>
      </c>
      <c r="BU85" s="409"/>
      <c r="BV85" s="398">
        <f>IF(BU85=0,0,IF(LEN(BH85)=11,_xlfn.XLOOKUP(BH85,'Dispensed Ink Rates'!C:C,'Dispensed Ink Rates'!CS:CS),VLOOKUP(BH85,'Jan-2026 rates'!$E:$F,2,0)))</f>
        <v>0</v>
      </c>
      <c r="BW85" s="409"/>
      <c r="BX85" s="398">
        <f>IF(BW85=0,0,IF(LEN(BI85)=11,_xlfn.XLOOKUP(BI85,'Dispensed Ink Rates'!C:C,'Dispensed Ink Rates'!CS:CS),VLOOKUP(BI85,'Jan-2026 rates'!$E:$F,2,0)))</f>
        <v>0</v>
      </c>
      <c r="BY85" s="409"/>
      <c r="BZ85" s="398">
        <f>IF(BY85=0,0,IF(LEN(BJ85)=11,_xlfn.XLOOKUP(BJ85,'Dispensed Ink Rates'!C:C,'Dispensed Ink Rates'!CS:CS),VLOOKUP(BJ85,'Jan-2026 rates'!$E:$F,2,0)))</f>
        <v>0</v>
      </c>
      <c r="CA85" s="409" t="s">
        <v>1443</v>
      </c>
      <c r="CB85" s="409">
        <v>17</v>
      </c>
      <c r="CC85" s="411">
        <f t="shared" si="85"/>
        <v>0</v>
      </c>
      <c r="CD85" s="411">
        <f t="shared" si="86"/>
        <v>16.896825396825392</v>
      </c>
      <c r="CE85" s="410">
        <f t="shared" si="87"/>
        <v>0</v>
      </c>
      <c r="CF85" s="404" t="s">
        <v>857</v>
      </c>
      <c r="CG85" s="409"/>
      <c r="CH85" s="420" t="str">
        <f t="shared" si="55"/>
        <v>FLINTSL - RED</v>
      </c>
      <c r="CI85" s="409"/>
      <c r="CJ85" s="411">
        <f>IF(CI85=0,0,IF($LB85=70%,VLOOKUP($CH85,'Jan-2026 rates'!$L:$R,4,0),IF($LB85=65%,VLOOKUP($CH85,'Jan-2026 rates'!$L:$R,4,0),IF($LB85=40%,VLOOKUP($CH85,'Jan-2026 rates'!$L:$R,5,0),IF($LB85=30%,VLOOKUP($CH85,'Jan-2026 rates'!$L:$R,6,0),IF($LB85=100%,VLOOKUP($CH85,'Jan-2026 rates'!$L:$R,7,0),IF($LB85=60%,VLOOKUP($CH85,'Jan-2026 rates'!$L:$S,8,0),IF($LB85=80%,VLOOKUP($CH85,'Jan-2026 rates'!L:T,9,0),0))))))))</f>
        <v>0</v>
      </c>
      <c r="CK85" s="412"/>
      <c r="CL85" s="409"/>
      <c r="CM85" s="411">
        <f>IF(CL85=0,0,IF($LB85=70%,VLOOKUP($CH85,'Jan-2026 rates'!$L:$R,4,0),IF($LB85=65%,VLOOKUP($CH85,'Jan-2026 rates'!$L:$R,4,0),IF($LB85=40%,VLOOKUP($CH85,'Jan-2026 rates'!$L:$R,5,0),IF($LB85=30%,VLOOKUP($CH85,'Jan-2026 rates'!$L:$R,6,0),IF($LB85=100%,VLOOKUP($CH85,'Jan-2026 rates'!$L:$R,7,0),IF($LB85=60%,VLOOKUP($CH85,'Jan-2026 rates'!$L:$S,8,0),IF($LB85=80%,VLOOKUP($CH85,'Jan-2026 rates'!L:T,9,0),0))))))))</f>
        <v>0</v>
      </c>
      <c r="CN85" s="426">
        <v>25863000007</v>
      </c>
      <c r="CO85" s="427">
        <v>26507000017</v>
      </c>
      <c r="CP85" s="426" t="s">
        <v>1266</v>
      </c>
      <c r="CQ85" s="426">
        <v>66701</v>
      </c>
      <c r="CR85" s="428"/>
      <c r="CS85" s="428"/>
      <c r="CT85" s="428"/>
      <c r="CU85" s="428"/>
      <c r="CV85" s="409">
        <v>0.2</v>
      </c>
      <c r="CW85" s="398" t="e">
        <f>IF(CV85=0,0,IF(LEN(CN85)=11,_xlfn.XLOOKUP(CN85,'Dispensed Ink Rates'!C:C,'Dispensed Ink Rates'!CS:CS),VLOOKUP(CN85,'Jan-2026 rates'!$E:$F,2,0)))</f>
        <v>#N/A</v>
      </c>
      <c r="CX85" s="409">
        <v>7</v>
      </c>
      <c r="CY85" s="398" t="e">
        <f>IF(CX85=0,0,IF(LEN(CO85)=11,_xlfn.XLOOKUP(CO85,'Dispensed Ink Rates'!C:C,'Dispensed Ink Rates'!CS:CS),VLOOKUP(CO85,'Jan-2026 rates'!$E:$F,2,0)))</f>
        <v>#N/A</v>
      </c>
      <c r="CZ85" s="409">
        <f>10+12+5</f>
        <v>27</v>
      </c>
      <c r="DA85" s="398">
        <f>IF(CZ85=0,0,IF(LEN(CP85)=11,_xlfn.XLOOKUP(CP85,'Dispensed Ink Rates'!C:C,'Dispensed Ink Rates'!CS:CS),VLOOKUP(CP85,'Jan-2026 rates'!$E:$F,2,0)))</f>
        <v>0</v>
      </c>
      <c r="DB85" s="409">
        <f>2+1</f>
        <v>3</v>
      </c>
      <c r="DC85" s="398">
        <f>IF(DB85=0,0,IF(LEN(CQ85)=11,_xlfn.XLOOKUP(CQ85,'Dispensed Ink Rates'!C:C,'Dispensed Ink Rates'!CS:CS),VLOOKUP(CQ85,'Jan-2026 rates'!$E:$F,2,0)))</f>
        <v>0</v>
      </c>
      <c r="DD85" s="409"/>
      <c r="DE85" s="398">
        <f>IF(DD85=0,0,IF(LEN(CR85)=11,_xlfn.XLOOKUP(CR85,'Dispensed Ink Rates'!C:C,'Dispensed Ink Rates'!CS:CS),VLOOKUP(CR85,'Jan-2026 rates'!$E:$F,2,0)))</f>
        <v>0</v>
      </c>
      <c r="DF85" s="409"/>
      <c r="DG85" s="398">
        <f>IF(DF85=0,0,IF(LEN(CS85)=11,_xlfn.XLOOKUP(CS85,'Dispensed Ink Rates'!C:C,'Dispensed Ink Rates'!CS:CS),VLOOKUP(CS85,'Jan-2026 rates'!$E:$F,2,0)))</f>
        <v>0</v>
      </c>
      <c r="DH85" s="409"/>
      <c r="DI85" s="398">
        <f>IF(DH85=0,0,IF(LEN(CT85)=11,_xlfn.XLOOKUP(CT85,'Dispensed Ink Rates'!C:C,'Dispensed Ink Rates'!CS:CS),VLOOKUP(CT85,'Jan-2026 rates'!$E:$F,2,0)))</f>
        <v>0</v>
      </c>
      <c r="DJ85" s="409"/>
      <c r="DK85" s="398">
        <f>IF(DJ85=0,0,IF(LEN(CU85)=11,_xlfn.XLOOKUP(CU85,'Dispensed Ink Rates'!C:C,'Dispensed Ink Rates'!CS:CS),VLOOKUP(CU85,'Jan-2026 rates'!$E:$F,2,0)))</f>
        <v>0</v>
      </c>
      <c r="DL85" s="409" t="s">
        <v>1443</v>
      </c>
      <c r="DM85" s="409">
        <f>28+21</f>
        <v>49</v>
      </c>
      <c r="DN85" s="411">
        <f t="shared" si="88"/>
        <v>0</v>
      </c>
      <c r="DO85" s="411">
        <f t="shared" si="89"/>
        <v>14.37460317460318</v>
      </c>
      <c r="DP85" s="410">
        <f t="shared" si="90"/>
        <v>0</v>
      </c>
      <c r="DQ85" s="405" t="s">
        <v>855</v>
      </c>
      <c r="DR85" s="409" t="s">
        <v>3075</v>
      </c>
      <c r="DS85" s="420" t="str">
        <f t="shared" si="56"/>
        <v>FLINTSL - CYAN</v>
      </c>
      <c r="DT85" s="409">
        <v>24</v>
      </c>
      <c r="DU85" s="411">
        <f>IF(DT85=0,0,IF($LB85=70%,VLOOKUP($DS85,'Jan-2026 rates'!$L:$R,4,0),IF($LB85=65%,VLOOKUP($DS85,'Jan-2026 rates'!$L:$R,4,0),IF($LB85=40%,VLOOKUP($DS85,'Jan-2026 rates'!$L:$R,5,0),IF($LB85=30%,VLOOKUP($DS85,'Jan-2026 rates'!$L:$R,6,0),IF($LB85=100%,VLOOKUP($DS85,'Jan-2026 rates'!$L:$R,7,0),IF($LB85=60%,VLOOKUP($DS85,'Jan-2026 rates'!$L:$S,8,0),IF($LB85=80%,VLOOKUP($DS85,'Jan-2026 rates'!L:T,9,0),0))))))))</f>
        <v>0</v>
      </c>
      <c r="DV85" s="412"/>
      <c r="DW85" s="409"/>
      <c r="DX85" s="411">
        <f>IF(DW85=0,0,IF($LB85=70%,VLOOKUP($DS85,'Jan-2026 rates'!$L:$R,4,0),IF($LB85=65%,VLOOKUP($DS85,'Jan-2026 rates'!$L:$R,4,0),IF($LB85=40%,VLOOKUP($DS85,'Jan-2026 rates'!$L:$R,5,0),IF($LB85=30%,VLOOKUP($DS85,'Jan-2026 rates'!$L:$R,6,0),IF($LB85=100%,VLOOKUP($DS85,'Jan-2026 rates'!$L:$R,7,0),IF($LB85=60%,VLOOKUP($DS85,'Jan-2026 rates'!$L:$S,8,0),IF($LB85=80%,VLOOKUP($DS85,'Jan-2026 rates'!L:T,9,0),0))))))))</f>
        <v>0</v>
      </c>
      <c r="DY85" s="413">
        <v>26505000032</v>
      </c>
      <c r="DZ85" s="413"/>
      <c r="EA85" s="412"/>
      <c r="EB85" s="412"/>
      <c r="EC85" s="412"/>
      <c r="ED85" s="412"/>
      <c r="EE85" s="412"/>
      <c r="EF85" s="412"/>
      <c r="EG85" s="409">
        <v>5</v>
      </c>
      <c r="EH85" s="398" t="e">
        <f>IF(EG85=0,0,IF(LEN(DY85)=11,_xlfn.XLOOKUP(DY85,'Dispensed Ink Rates'!C:C,'Dispensed Ink Rates'!CS:CS),VLOOKUP(DY85,'Jan-2026 rates'!$E:$F,2,0)))</f>
        <v>#N/A</v>
      </c>
      <c r="EI85" s="409"/>
      <c r="EJ85" s="398">
        <f>IF(EI85=0,0,IF(LEN(DZ85)=11,_xlfn.XLOOKUP(DZ85,'Dispensed Ink Rates'!C:C,'Dispensed Ink Rates'!CS:CS),VLOOKUP(DZ85,'Jan-2026 rates'!$E:$F,2,0)))</f>
        <v>0</v>
      </c>
      <c r="EK85" s="409"/>
      <c r="EL85" s="398">
        <f>IF(EK85=0,0,IF(LEN(EA85)=11,_xlfn.XLOOKUP(EA85,'Dispensed Ink Rates'!C:C,'Dispensed Ink Rates'!CS:CS),VLOOKUP(EA85,'Jan-2026 rates'!$E:$F,2,0)))</f>
        <v>0</v>
      </c>
      <c r="EM85" s="409"/>
      <c r="EN85" s="398">
        <f>IF(EM85=0,0,IF(LEN(EB85)=11,_xlfn.XLOOKUP(EB85,'Dispensed Ink Rates'!C:C,'Dispensed Ink Rates'!CS:CS),VLOOKUP(EB85,'Jan-2026 rates'!$E:$F,2,0)))</f>
        <v>0</v>
      </c>
      <c r="EO85" s="409"/>
      <c r="EP85" s="398">
        <f>IF(EO85=0,0,IF(LEN(EC85)=11,_xlfn.XLOOKUP(EC85,'Dispensed Ink Rates'!C:C,'Dispensed Ink Rates'!CS:CS),VLOOKUP(EC85,'Jan-2026 rates'!$E:$F,2,0)))</f>
        <v>0</v>
      </c>
      <c r="EQ85" s="409"/>
      <c r="ER85" s="398">
        <f>IF(EQ85=0,0,IF(LEN(ED85)=11,_xlfn.XLOOKUP(ED85,'Dispensed Ink Rates'!C:C,'Dispensed Ink Rates'!CS:CS),VLOOKUP(ED85,'Jan-2026 rates'!$E:$F,2,0)))</f>
        <v>0</v>
      </c>
      <c r="ES85" s="409"/>
      <c r="ET85" s="398">
        <f>IF(ES85=0,0,IF(LEN(EE85)=11,_xlfn.XLOOKUP(EE85,'Dispensed Ink Rates'!C:C,'Dispensed Ink Rates'!CS:CS),VLOOKUP(EE85,'Jan-2026 rates'!$E:$F,2,0)))</f>
        <v>0</v>
      </c>
      <c r="EU85" s="409"/>
      <c r="EV85" s="398">
        <f>IF(EU85=0,0,IF(LEN(EF85)=11,_xlfn.XLOOKUP(EF85,'Dispensed Ink Rates'!C:C,'Dispensed Ink Rates'!CS:CS),VLOOKUP(EF85,'Jan-2026 rates'!$E:$F,2,0)))</f>
        <v>0</v>
      </c>
      <c r="EW85" s="409" t="s">
        <v>1443</v>
      </c>
      <c r="EX85" s="409">
        <v>30</v>
      </c>
      <c r="EY85" s="411">
        <f t="shared" si="91"/>
        <v>0</v>
      </c>
      <c r="EZ85" s="411">
        <f t="shared" si="92"/>
        <v>3.6190476190476204</v>
      </c>
      <c r="FA85" s="410">
        <f t="shared" si="93"/>
        <v>0</v>
      </c>
      <c r="FB85" s="405" t="s">
        <v>544</v>
      </c>
      <c r="FC85" s="409" t="s">
        <v>3076</v>
      </c>
      <c r="FD85" s="420" t="str">
        <f t="shared" si="57"/>
        <v>FLINTSL - MAGENTA</v>
      </c>
      <c r="FE85" s="409">
        <v>25</v>
      </c>
      <c r="FF85" s="411">
        <f>IF(FE85=0,0,IF($LB85=70%,VLOOKUP($FD85,'Jan-2026 rates'!$L:$R,4,0),IF($LB85=65%,VLOOKUP($FD85,'Jan-2026 rates'!$L:$R,4,0),IF($LB85=40%,VLOOKUP($FD85,'Jan-2026 rates'!$L:$R,5,0),IF($LB85=30%,VLOOKUP($FD85,'Jan-2026 rates'!$L:$R,6,0),IF($LB85=100%,VLOOKUP($FD85,'Jan-2026 rates'!$L:$R,7,0),IF($LB85=60%,VLOOKUP($FD85,'Jan-2026 rates'!$L:$S,8,0),IF($LB85=80%,VLOOKUP($FD85,'Jan-2026 rates'!L:T,9,0),0))))))))</f>
        <v>0</v>
      </c>
      <c r="FG85" s="412"/>
      <c r="FH85" s="409"/>
      <c r="FI85" s="411">
        <f>IF(FH85=0,0,IF($LB85=70%,VLOOKUP($FD85,'Jan-2026 rates'!$L:$R,4,0),IF($LB85=65%,VLOOKUP($FD85,'Jan-2026 rates'!$L:$R,4,0),IF($LB85=40%,VLOOKUP($FD85,'Jan-2026 rates'!$L:$R,5,0),IF($LB85=30%,VLOOKUP($FD85,'Jan-2026 rates'!$L:$R,6,0),IF($LB85=100%,VLOOKUP($FD85,'Jan-2026 rates'!$L:$R,7,0),IF($LB85=60%,VLOOKUP($FD85,'Jan-2026 rates'!$L:$S,8,0),IF($LB85=80%,VLOOKUP($FD85,'Jan-2026 rates'!L:T,9,0),0))))))))</f>
        <v>0</v>
      </c>
      <c r="FJ85" s="413">
        <v>26507000017</v>
      </c>
      <c r="FK85" s="413"/>
      <c r="FL85" s="413"/>
      <c r="FM85" s="412"/>
      <c r="FN85" s="412"/>
      <c r="FO85" s="412"/>
      <c r="FP85" s="412"/>
      <c r="FQ85" s="412"/>
      <c r="FR85" s="409">
        <v>2</v>
      </c>
      <c r="FS85" s="398" t="e">
        <f>IF(FR85=0,0,IF(LEN(FJ85)=11,_xlfn.XLOOKUP(FJ85,'Dispensed Ink Rates'!C:C,'Dispensed Ink Rates'!CS:CS),VLOOKUP(FJ85,'Jan-2026 rates'!$E:$F,2,0)))</f>
        <v>#N/A</v>
      </c>
      <c r="FT85" s="409"/>
      <c r="FU85" s="398">
        <f>IF(FT85=0,0,IF(LEN(FK85)=11,_xlfn.XLOOKUP(FK85,'Dispensed Ink Rates'!C:C,'Dispensed Ink Rates'!CS:CS),VLOOKUP(FK85,'Jan-2026 rates'!$E:$F,2,0)))</f>
        <v>0</v>
      </c>
      <c r="FV85" s="409"/>
      <c r="FW85" s="398">
        <f>IF(FV85=0,0,IF(LEN(FL85)=11,_xlfn.XLOOKUP(FL85,'Dispensed Ink Rates'!C:C,'Dispensed Ink Rates'!CS:CS),VLOOKUP(FL85,'Jan-2026 rates'!$E:$F,2,0)))</f>
        <v>0</v>
      </c>
      <c r="FX85" s="409"/>
      <c r="FY85" s="398">
        <f>IF(FX85=0,0,IF(LEN(FM85)=11,_xlfn.XLOOKUP(FM85,'Dispensed Ink Rates'!C:C,'Dispensed Ink Rates'!CS:CS),VLOOKUP(FM85,'Jan-2026 rates'!$E:$F,2,0)))</f>
        <v>0</v>
      </c>
      <c r="FZ85" s="409"/>
      <c r="GA85" s="398">
        <f>IF(FZ85=0,0,IF(LEN(FN85)=11,_xlfn.XLOOKUP(FN85,'Dispensed Ink Rates'!C:C,'Dispensed Ink Rates'!CS:CS),VLOOKUP(FN85,'Jan-2026 rates'!$E:$F,2,0)))</f>
        <v>0</v>
      </c>
      <c r="GB85" s="409"/>
      <c r="GC85" s="398">
        <f>IF(GB85=0,0,IF(LEN(FO85)=11,_xlfn.XLOOKUP(FO85,'Dispensed Ink Rates'!C:C,'Dispensed Ink Rates'!CS:CS),VLOOKUP(FO85,'Jan-2026 rates'!$E:$F,2,0)))</f>
        <v>0</v>
      </c>
      <c r="GD85" s="409"/>
      <c r="GE85" s="398">
        <f>IF(GD85=0,0,IF(LEN(FP85)=11,_xlfn.XLOOKUP(FP85,'Dispensed Ink Rates'!C:C,'Dispensed Ink Rates'!CS:CS),VLOOKUP(FP85,'Jan-2026 rates'!$E:$F,2,0)))</f>
        <v>0</v>
      </c>
      <c r="GF85" s="409"/>
      <c r="GG85" s="398">
        <f>IF(GF85=0,0,IF(LEN(FQ85)=11,_xlfn.XLOOKUP(FQ85,'Dispensed Ink Rates'!C:C,'Dispensed Ink Rates'!CS:CS),VLOOKUP(FQ85,'Jan-2026 rates'!$E:$F,2,0)))</f>
        <v>0</v>
      </c>
      <c r="GH85" s="409" t="s">
        <v>1443</v>
      </c>
      <c r="GI85" s="409">
        <v>27</v>
      </c>
      <c r="GJ85" s="411">
        <f t="shared" si="94"/>
        <v>0</v>
      </c>
      <c r="GK85" s="411">
        <f t="shared" si="95"/>
        <v>3.0793650793650791</v>
      </c>
      <c r="GL85" s="410">
        <f t="shared" si="96"/>
        <v>0</v>
      </c>
      <c r="GM85" s="405" t="s">
        <v>545</v>
      </c>
      <c r="GN85" s="409" t="s">
        <v>3077</v>
      </c>
      <c r="GO85" s="420" t="str">
        <f t="shared" si="58"/>
        <v>FLINTSL - YELLOW</v>
      </c>
      <c r="GP85" s="409">
        <v>26</v>
      </c>
      <c r="GQ85" s="411">
        <f>IF(GP85=0,0,IF($LB85=70%,VLOOKUP($GO85,'Jan-2026 rates'!$L:$R,4,0),IF($LB85=65%,VLOOKUP($GO85,'Jan-2026 rates'!$L:$R,4,0),IF($LB85=40%,VLOOKUP($GO85,'Jan-2026 rates'!$L:$R,5,0),IF($LB85=30%,VLOOKUP($GO85,'Jan-2026 rates'!$L:$R,6,0),IF($LB85=100%,VLOOKUP($GO85,'Jan-2026 rates'!$L:$R,7,0),IF($LB85=60%,VLOOKUP($GO85,'Jan-2026 rates'!$L:$S,8,0),IF($LB85=80%,VLOOKUP($GO85,'Jan-2026 rates'!L:T,9,0),0))))))))</f>
        <v>0</v>
      </c>
      <c r="GR85" s="412"/>
      <c r="GS85" s="409"/>
      <c r="GT85" s="411">
        <f>IF(GS85=0,0,IF($LB85=70%,VLOOKUP($GO85,'Jan-2026 rates'!$L:$R,4,0),IF($LB85=65%,VLOOKUP($GO85,'Jan-2026 rates'!$L:$R,4,0),IF($LB85=40%,VLOOKUP($GO85,'Jan-2026 rates'!$L:$R,5,0),IF($LB85=30%,VLOOKUP($GO85,'Jan-2026 rates'!$L:$R,6,0),IF($LB85=100%,VLOOKUP($GO85,'Jan-2026 rates'!$L:$R,7,0),IF($LB85=60%,VLOOKUP($GO85,'Jan-2026 rates'!$L:$S,8,0),IF($LB85=80%,VLOOKUP($GO85,'Jan-2026 rates'!L:T,9,0),0))))))))</f>
        <v>0</v>
      </c>
      <c r="GU85" s="413">
        <v>26505000033</v>
      </c>
      <c r="GV85" s="413"/>
      <c r="GW85" s="412"/>
      <c r="GX85" s="412"/>
      <c r="GY85" s="412"/>
      <c r="GZ85" s="412"/>
      <c r="HA85" s="412"/>
      <c r="HB85" s="412"/>
      <c r="HC85" s="409">
        <v>2</v>
      </c>
      <c r="HD85" s="398" t="e">
        <f>IF(HC85=0,0,IF(LEN(GU85)=11,_xlfn.XLOOKUP(GU85,'Dispensed Ink Rates'!C:C,'Dispensed Ink Rates'!CS:CS),VLOOKUP(GU85,'Jan-2026 rates'!$E:$F,2,0)))</f>
        <v>#N/A</v>
      </c>
      <c r="HE85" s="409"/>
      <c r="HF85" s="398">
        <f>IF(HE85=0,0,IF(LEN(GV85)=11,_xlfn.XLOOKUP(GV85,'Dispensed Ink Rates'!C:C,'Dispensed Ink Rates'!CS:CS),VLOOKUP(GV85,'Jan-2026 rates'!$E:$F,2,0)))</f>
        <v>0</v>
      </c>
      <c r="HG85" s="409"/>
      <c r="HH85" s="398">
        <f>IF(HG85=0,0,IF(LEN(GW85)=11,_xlfn.XLOOKUP(GW85,'Dispensed Ink Rates'!C:C,'Dispensed Ink Rates'!CS:CS),VLOOKUP(GW85,'Jan-2026 rates'!$E:$F,2,0)))</f>
        <v>0</v>
      </c>
      <c r="HI85" s="409"/>
      <c r="HJ85" s="398">
        <f>IF(HI85=0,0,IF(LEN(GX85)=11,_xlfn.XLOOKUP(GX85,'Dispensed Ink Rates'!C:C,'Dispensed Ink Rates'!CS:CS),VLOOKUP(GX85,'Jan-2026 rates'!$E:$F,2,0)))</f>
        <v>0</v>
      </c>
      <c r="HK85" s="409"/>
      <c r="HL85" s="398">
        <f>IF(HK85=0,0,IF(LEN(GY85)=11,_xlfn.XLOOKUP(GY85,'Dispensed Ink Rates'!C:C,'Dispensed Ink Rates'!CS:CS),VLOOKUP(GY85,'Jan-2026 rates'!$E:$F,2,0)))</f>
        <v>0</v>
      </c>
      <c r="HM85" s="409"/>
      <c r="HN85" s="398">
        <f>IF(HM85=0,0,IF(LEN(GZ85)=11,_xlfn.XLOOKUP(GZ85,'Dispensed Ink Rates'!C:C,'Dispensed Ink Rates'!CS:CS),VLOOKUP(GZ85,'Jan-2026 rates'!$E:$F,2,0)))</f>
        <v>0</v>
      </c>
      <c r="HO85" s="409"/>
      <c r="HP85" s="398">
        <f>IF(HO85=0,0,IF(LEN(HA85)=11,_xlfn.XLOOKUP(HA85,'Dispensed Ink Rates'!C:C,'Dispensed Ink Rates'!CS:CS),VLOOKUP(HA85,'Jan-2026 rates'!$E:$F,2,0)))</f>
        <v>0</v>
      </c>
      <c r="HQ85" s="409"/>
      <c r="HR85" s="398">
        <f>IF(HQ85=0,0,IF(LEN(HB85)=11,_xlfn.XLOOKUP(HB85,'Dispensed Ink Rates'!C:C,'Dispensed Ink Rates'!CS:CS),VLOOKUP(HB85,'Jan-2026 rates'!$E:$F,2,0)))</f>
        <v>0</v>
      </c>
      <c r="HS85" s="409" t="s">
        <v>1443</v>
      </c>
      <c r="HT85" s="409">
        <v>28</v>
      </c>
      <c r="HU85" s="411">
        <f t="shared" si="97"/>
        <v>0</v>
      </c>
      <c r="HV85" s="411">
        <f t="shared" si="98"/>
        <v>6.1587301587301582</v>
      </c>
      <c r="HW85" s="414">
        <f t="shared" si="99"/>
        <v>0</v>
      </c>
      <c r="HX85" s="405" t="s">
        <v>543</v>
      </c>
      <c r="HY85" s="409" t="s">
        <v>3078</v>
      </c>
      <c r="HZ85" s="420" t="str">
        <f t="shared" si="59"/>
        <v>FLINTSL - BLACK</v>
      </c>
      <c r="IA85" s="409">
        <v>14</v>
      </c>
      <c r="IB85" s="411">
        <f>IF(IA85=0,0,IF($LB85=70%,VLOOKUP($HZ85,'Jan-2026 rates'!$L:$R,4,0),IF($LB85=65%,VLOOKUP($HZ85,'Jan-2026 rates'!$L:$R,4,0),IF($LB85=40%,VLOOKUP($HZ85,'Jan-2026 rates'!$L:$R,5,0),IF($LB85=30%,VLOOKUP($HZ85,'Jan-2026 rates'!$L:$R,6,0),IF($LB85=100%,VLOOKUP($HZ85,'Jan-2026 rates'!$L:$R,7,0),IF($LB85=60%,VLOOKUP($HZ85,'Jan-2026 rates'!$L:$S,8,0),IF($LB85=80%,VLOOKUP($HZ85,'Jan-2026 rates'!L:T,9,0),0))))))))</f>
        <v>0</v>
      </c>
      <c r="IC85" s="412"/>
      <c r="ID85" s="409"/>
      <c r="IE85" s="411">
        <f>IF(ID85=0,0,IF($LB85=70%,VLOOKUP($HZ85,'Jan-2026 rates'!$L:$R,4,0),IF($LB85=65%,VLOOKUP($HZ85,'Jan-2026 rates'!$L:$R,4,0),IF($LB85=40%,VLOOKUP($HZ85,'Jan-2026 rates'!$L:$R,5,0),IF($LB85=30%,VLOOKUP($HZ85,'Jan-2026 rates'!$L:$R,6,0),IF($LB85=100%,VLOOKUP($HZ85,'Jan-2026 rates'!$L:$R,7,0),IF($LB85=60%,VLOOKUP($HZ85,'Jan-2026 rates'!$L:$S,8,0),IF($LB85=80%,VLOOKUP($HZ85,'Jan-2026 rates'!L:T,9,0),0))))))))</f>
        <v>0</v>
      </c>
      <c r="IF85" s="412" t="s">
        <v>1266</v>
      </c>
      <c r="IG85" s="413">
        <v>26505000033</v>
      </c>
      <c r="IH85" s="412">
        <v>26506000005</v>
      </c>
      <c r="II85" s="412"/>
      <c r="IJ85" s="412"/>
      <c r="IK85" s="412"/>
      <c r="IL85" s="412"/>
      <c r="IM85" s="412"/>
      <c r="IN85" s="409">
        <v>10</v>
      </c>
      <c r="IO85" s="398">
        <f>IF(IN85=0,0,IF(LEN(IF85)=11,_xlfn.XLOOKUP(IF85,'Dispensed Ink Rates'!C:C,'Dispensed Ink Rates'!CS:CS),VLOOKUP(IF85,'Jan-2026 rates'!$E:$F,2,0)))</f>
        <v>0</v>
      </c>
      <c r="IP85" s="409">
        <v>0.2</v>
      </c>
      <c r="IQ85" s="398" t="e">
        <f>IF(IP85=0,0,IF(LEN(IG85)=11,_xlfn.XLOOKUP(IG85,'Dispensed Ink Rates'!C:C,'Dispensed Ink Rates'!CS:CS),VLOOKUP(IG85,'Jan-2026 rates'!$E:$F,2,0)))</f>
        <v>#N/A</v>
      </c>
      <c r="IR85" s="409">
        <v>1</v>
      </c>
      <c r="IS85" s="398" t="e">
        <f>IF(IR85=0,0,IF(LEN(IH85)=11,_xlfn.XLOOKUP(IH85,'Dispensed Ink Rates'!C:C,'Dispensed Ink Rates'!CS:CS),VLOOKUP(IH85,'Jan-2026 rates'!$E:$F,2,0)))</f>
        <v>#N/A</v>
      </c>
      <c r="IT85" s="409"/>
      <c r="IU85" s="398">
        <f>IF(IT85=0,0,IF(LEN(II85)=11,_xlfn.XLOOKUP(II85,'Dispensed Ink Rates'!C:C,'Dispensed Ink Rates'!CS:CS),VLOOKUP(II85,'Jan-2026 rates'!$E:$F,2,0)))</f>
        <v>0</v>
      </c>
      <c r="IV85" s="409"/>
      <c r="IW85" s="398">
        <f>IF(IV85=0,0,IF(LEN(IJ85)=11,_xlfn.XLOOKUP(IJ85,'Dispensed Ink Rates'!C:C,'Dispensed Ink Rates'!CS:CS),VLOOKUP(IJ85,'Jan-2026 rates'!$E:$F,2,0)))</f>
        <v>0</v>
      </c>
      <c r="IX85" s="409"/>
      <c r="IY85" s="398">
        <f>IF(IX85=0,0,IF(LEN(IK85)=11,_xlfn.XLOOKUP(IK85,'Dispensed Ink Rates'!C:C,'Dispensed Ink Rates'!CS:CS),VLOOKUP(IK85,'Jan-2026 rates'!$E:$F,2,0)))</f>
        <v>0</v>
      </c>
      <c r="IZ85" s="409"/>
      <c r="JA85" s="398">
        <f>IF(IZ85=0,0,IF(LEN(IL85)=11,_xlfn.XLOOKUP(IL85,'Dispensed Ink Rates'!C:C,'Dispensed Ink Rates'!CS:CS),VLOOKUP(IL85,'Jan-2026 rates'!$E:$F,2,0)))</f>
        <v>0</v>
      </c>
      <c r="JB85" s="409"/>
      <c r="JC85" s="398">
        <f>IF(JB85=0,0,IF(LEN(IM85)=11,_xlfn.XLOOKUP(IM85,'Dispensed Ink Rates'!C:C,'Dispensed Ink Rates'!CS:CS),VLOOKUP(IM85,'Jan-2026 rates'!$E:$F,2,0)))</f>
        <v>0</v>
      </c>
      <c r="JD85" s="409" t="s">
        <v>1443</v>
      </c>
      <c r="JE85" s="409">
        <v>22</v>
      </c>
      <c r="JF85" s="411">
        <f t="shared" si="100"/>
        <v>0</v>
      </c>
      <c r="JG85" s="411">
        <f t="shared" si="101"/>
        <v>18.596825396825395</v>
      </c>
      <c r="JH85" s="410">
        <f t="shared" si="102"/>
        <v>0</v>
      </c>
      <c r="JI85" s="405" t="s">
        <v>856</v>
      </c>
      <c r="JJ85" s="409" t="s">
        <v>3079</v>
      </c>
      <c r="JK85" s="420" t="str">
        <f t="shared" si="60"/>
        <v>FLINTSL - WHITE</v>
      </c>
      <c r="JL85" s="409">
        <v>27</v>
      </c>
      <c r="JM85" s="411">
        <f>IF(JL85=0,0,IF($LB85=70%,VLOOKUP($JK85,'Jan-2026 rates'!$L:$R,4,0),IF($LB85=65%,VLOOKUP($JK85,'Jan-2026 rates'!$L:$R,4,0),IF($LB85=40%,VLOOKUP($JK85,'Jan-2026 rates'!$L:$R,5,0),IF($LB85=30%,VLOOKUP($JK85,'Jan-2026 rates'!$L:$R,6,0),IF($LB85=100%,VLOOKUP($JK85,'Jan-2026 rates'!$L:$R,7,0),IF($LB85=60%,VLOOKUP($JK85,'Jan-2026 rates'!$L:$S,8,0),IF($LB85=80%,VLOOKUP($JK85,'Jan-2026 rates'!L:T,9,0),0))))))))</f>
        <v>0</v>
      </c>
      <c r="JN85" s="412"/>
      <c r="JO85" s="409"/>
      <c r="JP85" s="411">
        <f>IF(JO85=0,0,IF($LB85=70%,VLOOKUP($JK85,'Jan-2026 rates'!$L:$R,4,0),IF($LB85=65%,VLOOKUP($JK85,'Jan-2026 rates'!$L:$R,4,0),IF($LB85=40%,VLOOKUP($JK85,'Jan-2026 rates'!$L:$R,5,0),IF($LB85=30%,VLOOKUP($JK85,'Jan-2026 rates'!$L:$R,6,0),IF($LB85=100%,VLOOKUP($JK85,'Jan-2026 rates'!$L:$R,7,0),IF($LB85=60%,VLOOKUP($JK85,'Jan-2026 rates'!$L:$S,8,0),IF($LB85=80%,VLOOKUP($JK85,'Jan-2026 rates'!L:T,9,0),0))))))))</f>
        <v>0</v>
      </c>
      <c r="JQ85" s="413" t="s">
        <v>484</v>
      </c>
      <c r="JR85" s="412"/>
      <c r="JS85" s="413"/>
      <c r="JT85" s="413"/>
      <c r="JU85" s="412"/>
      <c r="JV85" s="412"/>
      <c r="JW85" s="412"/>
      <c r="JX85" s="412"/>
      <c r="JY85" s="409">
        <v>30</v>
      </c>
      <c r="JZ85" s="398">
        <f>IF(JY85=0,0,IF(LEN(JQ85)=11,_xlfn.XLOOKUP(JQ85,'Dispensed Ink Rates'!C:C,'Dispensed Ink Rates'!CS:CS),VLOOKUP(JQ85,'Jan-2026 rates'!$E:$F,2,0)))</f>
        <v>0</v>
      </c>
      <c r="KA85" s="409"/>
      <c r="KB85" s="398">
        <f>IF(KA85=0,0,IF(LEN(JR85)=11,_xlfn.XLOOKUP(JR85,'Dispensed Ink Rates'!C:C,'Dispensed Ink Rates'!CS:CS),VLOOKUP(JR85,'Jan-2026 rates'!$E:$F,2,0)))</f>
        <v>0</v>
      </c>
      <c r="KC85" s="409"/>
      <c r="KD85" s="398">
        <f>IF(KC85=0,0,IF(LEN(JS85)=11,_xlfn.XLOOKUP(JS85,'Dispensed Ink Rates'!C:C,'Dispensed Ink Rates'!CS:CS),VLOOKUP(JS85,'Jan-2026 rates'!$E:$F,2,0)))</f>
        <v>0</v>
      </c>
      <c r="KE85" s="409"/>
      <c r="KF85" s="398">
        <f>IF(KE85=0,0,IF(LEN(JT85)=11,_xlfn.XLOOKUP(JT85,'Dispensed Ink Rates'!C:C,'Dispensed Ink Rates'!CS:CS),VLOOKUP(JT85,'Jan-2026 rates'!$E:$F,2,0)))</f>
        <v>0</v>
      </c>
      <c r="KG85" s="409"/>
      <c r="KH85" s="398">
        <f>IF(KG85=0,0,IF(LEN(JU85)=11,_xlfn.XLOOKUP(JU85,'Dispensed Ink Rates'!C:C,'Dispensed Ink Rates'!CS:CS),VLOOKUP(JU85,'Jan-2026 rates'!$E:$F,2,0)))</f>
        <v>0</v>
      </c>
      <c r="KI85" s="409"/>
      <c r="KJ85" s="398">
        <f>IF(KI85=0,0,IF(LEN(JV85)=11,_xlfn.XLOOKUP(JV85,'Dispensed Ink Rates'!C:C,'Dispensed Ink Rates'!CS:CS),VLOOKUP(JV85,'Jan-2026 rates'!$E:$F,2,0)))</f>
        <v>0</v>
      </c>
      <c r="KK85" s="409"/>
      <c r="KL85" s="398">
        <f>IF(KK85=0,0,IF(LEN(JW85)=11,_xlfn.XLOOKUP(JW85,'Dispensed Ink Rates'!C:C,'Dispensed Ink Rates'!CS:CS),VLOOKUP(JW85,'Jan-2026 rates'!$E:$F,2,0)))</f>
        <v>0</v>
      </c>
      <c r="KM85" s="428"/>
      <c r="KN85" s="398">
        <f>IF(KM85=0,0,IF(LEN(JX85)=11,_xlfn.XLOOKUP(JX85,'Dispensed Ink Rates'!C:C,'Dispensed Ink Rates'!CS:CS),VLOOKUP(JX85,'Jan-2026 rates'!$E:$F,2,0)))</f>
        <v>0</v>
      </c>
      <c r="KO85" s="409" t="s">
        <v>1443</v>
      </c>
      <c r="KP85" s="409">
        <v>30</v>
      </c>
      <c r="KQ85" s="411">
        <f t="shared" si="103"/>
        <v>0</v>
      </c>
      <c r="KR85" s="411">
        <f t="shared" si="104"/>
        <v>50.095238095238102</v>
      </c>
      <c r="KS85" s="410">
        <f t="shared" si="105"/>
        <v>0</v>
      </c>
      <c r="KT85" s="409">
        <v>2</v>
      </c>
      <c r="KU85" s="409">
        <v>10</v>
      </c>
      <c r="KV85" s="409">
        <f>10+7</f>
        <v>17</v>
      </c>
      <c r="KW85" s="409">
        <v>3</v>
      </c>
      <c r="KX85" s="409">
        <v>2</v>
      </c>
      <c r="KY85" s="409">
        <v>4</v>
      </c>
      <c r="KZ85" s="409">
        <v>10</v>
      </c>
      <c r="LA85" s="409">
        <v>15</v>
      </c>
      <c r="LB85" s="415">
        <v>0.8</v>
      </c>
      <c r="LC85" s="415">
        <v>0.2</v>
      </c>
      <c r="LD85" s="415"/>
      <c r="LE85" s="415"/>
      <c r="LF85" s="415"/>
      <c r="LG85" s="409">
        <v>0</v>
      </c>
      <c r="LH85" s="409">
        <f>15+15+48+12+7</f>
        <v>97</v>
      </c>
      <c r="LI85" s="409">
        <v>0</v>
      </c>
      <c r="LJ85" s="409">
        <v>0</v>
      </c>
      <c r="LK85" s="416">
        <f t="shared" si="61"/>
        <v>97</v>
      </c>
      <c r="LL85" s="416">
        <f t="shared" si="62"/>
        <v>97</v>
      </c>
      <c r="LM85" s="417">
        <f t="shared" si="63"/>
        <v>77.600000000000009</v>
      </c>
      <c r="LN85" s="417">
        <f>VLOOKUP($LM$8,'Jan-2026 rates'!$H:$I,2,0)</f>
        <v>0</v>
      </c>
      <c r="LO85" s="417">
        <f t="shared" si="64"/>
        <v>19.400000000000002</v>
      </c>
      <c r="LP85" s="417">
        <f>VLOOKUP($LO$8,'Jan-2026 rates'!$H:$I,2,0)</f>
        <v>0</v>
      </c>
      <c r="LQ85" s="417">
        <f t="shared" si="65"/>
        <v>0</v>
      </c>
      <c r="LR85" s="417">
        <f>VLOOKUP($LQ$8,'Jan-2026 rates'!$H:$I,2,0)</f>
        <v>0</v>
      </c>
      <c r="LS85" s="417">
        <f t="shared" si="66"/>
        <v>0</v>
      </c>
      <c r="LT85" s="417">
        <f>VLOOKUP($LS$8,'Jan-2026 rates'!$H:$I,2,0)</f>
        <v>0</v>
      </c>
      <c r="LU85" s="417">
        <f t="shared" si="67"/>
        <v>0</v>
      </c>
      <c r="LV85" s="417">
        <f>VLOOKUP($LU$8,'Jan-2026 rates'!$H:$I,2,0)</f>
        <v>0</v>
      </c>
      <c r="LW85" s="417">
        <f t="shared" si="68"/>
        <v>0</v>
      </c>
      <c r="LX85" s="417">
        <f t="shared" si="69"/>
        <v>0</v>
      </c>
      <c r="LY85" s="418">
        <f t="shared" si="70"/>
        <v>0</v>
      </c>
      <c r="LZ85" s="417"/>
      <c r="MA85" s="435">
        <f t="shared" si="71"/>
        <v>110.9</v>
      </c>
      <c r="MB85" s="282">
        <f t="shared" si="72"/>
        <v>116.9</v>
      </c>
      <c r="MC85" s="283">
        <v>40</v>
      </c>
      <c r="MD85" s="284" t="str">
        <f t="shared" si="73"/>
        <v>FLINTSLFLINTSLFLINTSLFLINTSLFLINTSLFLINTSLFLINTSLFLINTSL</v>
      </c>
      <c r="ME85" s="293" t="str">
        <f t="shared" si="74"/>
        <v>+</v>
      </c>
      <c r="MF85" s="293" t="str">
        <f t="shared" si="75"/>
        <v>+</v>
      </c>
      <c r="MG85" s="293" t="str">
        <f t="shared" si="76"/>
        <v>+</v>
      </c>
      <c r="MH85" s="293" t="str">
        <f t="shared" si="77"/>
        <v>+</v>
      </c>
      <c r="MI85" s="293" t="str">
        <f t="shared" si="78"/>
        <v>+</v>
      </c>
      <c r="MJ85" s="293" t="str">
        <f t="shared" si="79"/>
        <v>+</v>
      </c>
      <c r="MK85" s="293" t="str">
        <f t="shared" si="80"/>
        <v>+</v>
      </c>
      <c r="ML85" s="293" t="str">
        <f t="shared" si="81"/>
        <v>+</v>
      </c>
      <c r="MM85" s="3" t="b">
        <f t="array" ref="MM85">OR(ME85:ML85="-")</f>
        <v>0</v>
      </c>
      <c r="MN85" s="285"/>
      <c r="MO85" s="401"/>
      <c r="MP85" s="286"/>
      <c r="MQ85" s="286"/>
      <c r="MR85" s="402"/>
      <c r="MS85" s="400"/>
      <c r="NH85" s="422"/>
      <c r="NJ85" s="421"/>
    </row>
    <row r="86" spans="1:374" s="1" customFormat="1" ht="16.5">
      <c r="A86" s="403">
        <v>46028</v>
      </c>
      <c r="B86" s="404" t="s">
        <v>1018</v>
      </c>
      <c r="C86" s="405" t="s">
        <v>3080</v>
      </c>
      <c r="D86" s="406">
        <v>41</v>
      </c>
      <c r="E86" s="404">
        <v>2562</v>
      </c>
      <c r="F86" s="407">
        <v>138800</v>
      </c>
      <c r="G86" s="407" t="s">
        <v>1019</v>
      </c>
      <c r="H86" s="408" t="s">
        <v>1017</v>
      </c>
      <c r="I86" s="409">
        <v>1.7</v>
      </c>
      <c r="J86" s="405" t="s">
        <v>543</v>
      </c>
      <c r="K86" s="404" t="s">
        <v>3081</v>
      </c>
      <c r="L86" s="419" t="str">
        <f t="shared" si="54"/>
        <v>FLINTSL - BLACK</v>
      </c>
      <c r="M86" s="404">
        <v>28</v>
      </c>
      <c r="N86" s="410">
        <f>IF(M86=0,0,IF($LB86=70%,VLOOKUP($L86,'Jan-2026 rates'!$L:$R,4,0),IF($LB86=65%,VLOOKUP($L86,'Jan-2026 rates'!$L:$R,4,0),IF($LB86=40%,VLOOKUP($L86,'Jan-2026 rates'!$L:$R,5,0),IF($LB86=30%,VLOOKUP($L86,'Jan-2026 rates'!$L:$R,6,0),IF($LB86=100%,VLOOKUP($L86,'Jan-2026 rates'!$L:$R,7,0),IF($LB86=60%,VLOOKUP($L86,'Jan-2026 rates'!$L:$S,8,0),IF($LB86=80%,VLOOKUP($L86,'Jan-2026 rates'!L:T,9,0),0))))))))</f>
        <v>0</v>
      </c>
      <c r="O86" s="406"/>
      <c r="P86" s="404"/>
      <c r="Q86" s="410">
        <f>IF(P86=0,0,IF($LB86=70%,VLOOKUP($L86,'Jan-2026 rates'!$L:$R,4,0),IF($LB86=65%,VLOOKUP($L86,'Jan-2026 rates'!$L:$R,4,0),IF($LB86=40%,VLOOKUP($L86,'Jan-2026 rates'!$L:$R,5,0),IF($LB86=30%,VLOOKUP($L86,'Jan-2026 rates'!$L:$R,6,0),IF($LB86=100%,VLOOKUP($L86,'Jan-2026 rates'!$L:$R,7,0),IF($LB86=60%,VLOOKUP($L86,'Jan-2026 rates'!$L:$S,8,0),IF($LB86=80%,VLOOKUP($L86,'Jan-2026 rates'!L:T,9,0),0))))))))</f>
        <v>0</v>
      </c>
      <c r="R86" s="406">
        <v>26506000005</v>
      </c>
      <c r="S86" s="406"/>
      <c r="T86" s="406"/>
      <c r="U86" s="406"/>
      <c r="V86" s="406"/>
      <c r="W86" s="406"/>
      <c r="X86" s="406"/>
      <c r="Y86" s="406"/>
      <c r="Z86" s="404">
        <v>10</v>
      </c>
      <c r="AA86" s="398" t="e">
        <f>IF(Z86=0,0,IF(LEN(R86)=11,_xlfn.XLOOKUP(R86,'Dispensed Ink Rates'!C:C,'Dispensed Ink Rates'!CS:CS),VLOOKUP(R86,'Jan-2026 rates'!$E:$F,2,0)))</f>
        <v>#N/A</v>
      </c>
      <c r="AB86" s="404"/>
      <c r="AC86" s="398">
        <f>IF(AB86=0,0,IF(LEN(S86)=11,_xlfn.XLOOKUP(S86,'Dispensed Ink Rates'!C:C,'Dispensed Ink Rates'!CS:CS),VLOOKUP(S86,'Jan-2026 rates'!$E:$F,2,0)))</f>
        <v>0</v>
      </c>
      <c r="AD86" s="404"/>
      <c r="AE86" s="398">
        <f>IF(AD86=0,0,IF(LEN(T86)=11,_xlfn.XLOOKUP(T86,'Dispensed Ink Rates'!C:C,'Dispensed Ink Rates'!CS:CS),VLOOKUP(T86,'Jan-2026 rates'!$E:$F,2,0)))</f>
        <v>0</v>
      </c>
      <c r="AF86" s="404"/>
      <c r="AG86" s="398">
        <f>IF(AF86=0,0,IF(LEN(U86)=11,_xlfn.XLOOKUP(U86,'Dispensed Ink Rates'!C:C,'Dispensed Ink Rates'!CS:CS),VLOOKUP(U86,'Jan-2026 rates'!$E:$F,2,0)))</f>
        <v>0</v>
      </c>
      <c r="AH86" s="404"/>
      <c r="AI86" s="398">
        <f>IF(AH86=0,0,IF(LEN(V86)=11,_xlfn.XLOOKUP(V86,'Dispensed Ink Rates'!C:C,'Dispensed Ink Rates'!CS:CS),VLOOKUP(V86,'Jan-2026 rates'!$E:$F,2,0)))</f>
        <v>0</v>
      </c>
      <c r="AJ86" s="404"/>
      <c r="AK86" s="398">
        <f>IF(AJ86=0,0,IF(LEN(W86)=11,_xlfn.XLOOKUP(W86,'Dispensed Ink Rates'!C:C,'Dispensed Ink Rates'!CS:CS),VLOOKUP(W86,'Jan-2026 rates'!$E:$F,2,0)))</f>
        <v>0</v>
      </c>
      <c r="AL86" s="404"/>
      <c r="AM86" s="398">
        <f>IF(AL86=0,0,IF(LEN(X86)=11,_xlfn.XLOOKUP(X86,'Dispensed Ink Rates'!C:C,'Dispensed Ink Rates'!CS:CS),VLOOKUP(X86,'Jan-2026 rates'!$E:$F,2,0)))</f>
        <v>0</v>
      </c>
      <c r="AN86" s="404"/>
      <c r="AO86" s="398">
        <f>IF(AN86=0,0,IF(LEN(Y86)=11,_xlfn.XLOOKUP(Y86,'Dispensed Ink Rates'!C:C,'Dispensed Ink Rates'!CS:CS),VLOOKUP(Y86,'Jan-2026 rates'!$E:$F,2,0)))</f>
        <v>0</v>
      </c>
      <c r="AP86" s="409" t="s">
        <v>1443</v>
      </c>
      <c r="AQ86" s="409">
        <v>30</v>
      </c>
      <c r="AR86" s="410">
        <f t="shared" si="82"/>
        <v>0</v>
      </c>
      <c r="AS86" s="411">
        <f t="shared" si="83"/>
        <v>30.239669421487605</v>
      </c>
      <c r="AT86" s="410">
        <f t="shared" si="84"/>
        <v>0</v>
      </c>
      <c r="AU86" s="405" t="s">
        <v>546</v>
      </c>
      <c r="AV86" s="409"/>
      <c r="AW86" s="420" t="str">
        <f t="shared" si="53"/>
        <v>FLINTSL - REFLEX BLUE</v>
      </c>
      <c r="AX86" s="409"/>
      <c r="AY86" s="411">
        <f>IF(AX86=0,0,IF($LB86=70%,VLOOKUP($AW86,'Jan-2026 rates'!$L:$R,4,0),IF($LB86=65%,VLOOKUP($AW86,'Jan-2026 rates'!$L:$R,4,0),IF($LB86=40%,VLOOKUP($AW86,'Jan-2026 rates'!$L:$R,5,0),IF($LB86=30%,VLOOKUP($AW86,'Jan-2026 rates'!$L:$R,6,0),IF($LB86=100%,VLOOKUP($AW86,'Jan-2026 rates'!$L:$R,7,0),IF($LB86=60%,VLOOKUP($AW86,'Jan-2026 rates'!$L:$S,8,0),IF($LB86=80%,VLOOKUP($AW86,'Jan-2026 rates'!L:T,9,0),0))))))))</f>
        <v>0</v>
      </c>
      <c r="AZ86" s="412"/>
      <c r="BA86" s="409"/>
      <c r="BB86" s="411">
        <f>IF(BA86=0,0,IF($LB86=70%,VLOOKUP($AW86,'Jan-2026 rates'!$L:$R,4,0),IF($LB86=65%,VLOOKUP($AW86,'Jan-2026 rates'!$L:$R,4,0),IF($LB86=40%,VLOOKUP($AW86,'Jan-2026 rates'!$L:$R,5,0),IF($LB86=30%,VLOOKUP($AW86,'Jan-2026 rates'!$L:$R,6,0),IF($LB86=100%,VLOOKUP($AW86,'Jan-2026 rates'!$L:$R,7,0),IF($LB86=60%,VLOOKUP($AW86,'Jan-2026 rates'!$L:$S,8,0),IF($LB86=80%,VLOOKUP($AW86,'Jan-2026 rates'!L:T,9,0),0))))))))</f>
        <v>0</v>
      </c>
      <c r="BC86" s="413">
        <v>26507000001</v>
      </c>
      <c r="BD86" s="412">
        <v>26506000008</v>
      </c>
      <c r="BE86" s="412">
        <v>26506000009</v>
      </c>
      <c r="BF86" s="413">
        <v>26506000010</v>
      </c>
      <c r="BG86" s="412">
        <v>26506000012</v>
      </c>
      <c r="BH86" s="412">
        <v>26506000011</v>
      </c>
      <c r="BI86" s="412"/>
      <c r="BJ86" s="412"/>
      <c r="BK86" s="409">
        <v>140</v>
      </c>
      <c r="BL86" s="398" t="e">
        <f>IF(BK86=0,0,IF(LEN(BC86)=11,_xlfn.XLOOKUP(BC86,'Dispensed Ink Rates'!C:C,'Dispensed Ink Rates'!CS:CS),VLOOKUP(BC86,'Jan-2026 rates'!$E:$F,2,0)))</f>
        <v>#N/A</v>
      </c>
      <c r="BM86" s="409">
        <v>21</v>
      </c>
      <c r="BN86" s="398" t="e">
        <f>IF(BM86=0,0,IF(LEN(BD86)=11,_xlfn.XLOOKUP(BD86,'Dispensed Ink Rates'!C:C,'Dispensed Ink Rates'!CS:CS),VLOOKUP(BD86,'Jan-2026 rates'!$E:$F,2,0)))</f>
        <v>#N/A</v>
      </c>
      <c r="BO86" s="409">
        <v>20</v>
      </c>
      <c r="BP86" s="398" t="e">
        <f>IF(BO86=0,0,IF(LEN(BE86)=11,_xlfn.XLOOKUP(BE86,'Dispensed Ink Rates'!C:C,'Dispensed Ink Rates'!CS:CS),VLOOKUP(BE86,'Jan-2026 rates'!$E:$F,2,0)))</f>
        <v>#N/A</v>
      </c>
      <c r="BQ86" s="409">
        <v>40</v>
      </c>
      <c r="BR86" s="398" t="e">
        <f>IF(BQ86=0,0,IF(LEN(BF86)=11,_xlfn.XLOOKUP(BF86,'Dispensed Ink Rates'!C:C,'Dispensed Ink Rates'!CS:CS),VLOOKUP(BF86,'Jan-2026 rates'!$E:$F,2,0)))</f>
        <v>#N/A</v>
      </c>
      <c r="BS86" s="409">
        <v>140</v>
      </c>
      <c r="BT86" s="398" t="e">
        <f>IF(BS86=0,0,IF(LEN(BG86)=11,_xlfn.XLOOKUP(BG86,'Dispensed Ink Rates'!C:C,'Dispensed Ink Rates'!CS:CS),VLOOKUP(BG86,'Jan-2026 rates'!$E:$F,2,0)))</f>
        <v>#N/A</v>
      </c>
      <c r="BU86" s="409">
        <v>140</v>
      </c>
      <c r="BV86" s="398" t="e">
        <f>IF(BU86=0,0,IF(LEN(BH86)=11,_xlfn.XLOOKUP(BH86,'Dispensed Ink Rates'!C:C,'Dispensed Ink Rates'!CS:CS),VLOOKUP(BH86,'Jan-2026 rates'!$E:$F,2,0)))</f>
        <v>#N/A</v>
      </c>
      <c r="BW86" s="409"/>
      <c r="BX86" s="398">
        <f>IF(BW86=0,0,IF(LEN(BI86)=11,_xlfn.XLOOKUP(BI86,'Dispensed Ink Rates'!C:C,'Dispensed Ink Rates'!CS:CS),VLOOKUP(BI86,'Jan-2026 rates'!$E:$F,2,0)))</f>
        <v>0</v>
      </c>
      <c r="BY86" s="409"/>
      <c r="BZ86" s="398">
        <f>IF(BY86=0,0,IF(LEN(BJ86)=11,_xlfn.XLOOKUP(BJ86,'Dispensed Ink Rates'!C:C,'Dispensed Ink Rates'!CS:CS),VLOOKUP(BJ86,'Jan-2026 rates'!$E:$F,2,0)))</f>
        <v>0</v>
      </c>
      <c r="CA86" s="409" t="s">
        <v>1443</v>
      </c>
      <c r="CB86" s="409">
        <v>29</v>
      </c>
      <c r="CC86" s="411">
        <f t="shared" si="85"/>
        <v>0</v>
      </c>
      <c r="CD86" s="411">
        <f t="shared" si="86"/>
        <v>472</v>
      </c>
      <c r="CE86" s="410">
        <f t="shared" si="87"/>
        <v>0</v>
      </c>
      <c r="CF86" s="404" t="s">
        <v>857</v>
      </c>
      <c r="CG86" s="409"/>
      <c r="CH86" s="420" t="str">
        <f t="shared" si="55"/>
        <v>FLINTSL - RED</v>
      </c>
      <c r="CI86" s="409"/>
      <c r="CJ86" s="411">
        <f>IF(CI86=0,0,IF($LB86=70%,VLOOKUP($CH86,'Jan-2026 rates'!$L:$R,4,0),IF($LB86=65%,VLOOKUP($CH86,'Jan-2026 rates'!$L:$R,4,0),IF($LB86=40%,VLOOKUP($CH86,'Jan-2026 rates'!$L:$R,5,0),IF($LB86=30%,VLOOKUP($CH86,'Jan-2026 rates'!$L:$R,6,0),IF($LB86=100%,VLOOKUP($CH86,'Jan-2026 rates'!$L:$R,7,0),IF($LB86=60%,VLOOKUP($CH86,'Jan-2026 rates'!$L:$S,8,0),IF($LB86=80%,VLOOKUP($CH86,'Jan-2026 rates'!L:T,9,0),0))))))))</f>
        <v>0</v>
      </c>
      <c r="CK86" s="412"/>
      <c r="CL86" s="409"/>
      <c r="CM86" s="411">
        <f>IF(CL86=0,0,IF($LB86=70%,VLOOKUP($CH86,'Jan-2026 rates'!$L:$R,4,0),IF($LB86=65%,VLOOKUP($CH86,'Jan-2026 rates'!$L:$R,4,0),IF($LB86=40%,VLOOKUP($CH86,'Jan-2026 rates'!$L:$R,5,0),IF($LB86=30%,VLOOKUP($CH86,'Jan-2026 rates'!$L:$R,6,0),IF($LB86=100%,VLOOKUP($CH86,'Jan-2026 rates'!$L:$R,7,0),IF($LB86=60%,VLOOKUP($CH86,'Jan-2026 rates'!$L:$S,8,0),IF($LB86=80%,VLOOKUP($CH86,'Jan-2026 rates'!L:T,9,0),0))))))))</f>
        <v>0</v>
      </c>
      <c r="CN86" s="426">
        <v>26501000001</v>
      </c>
      <c r="CO86" s="427">
        <v>25863000007</v>
      </c>
      <c r="CP86" s="426">
        <v>26507000017</v>
      </c>
      <c r="CQ86" s="426"/>
      <c r="CR86" s="428"/>
      <c r="CS86" s="428"/>
      <c r="CT86" s="428"/>
      <c r="CU86" s="428"/>
      <c r="CV86" s="409">
        <v>5</v>
      </c>
      <c r="CW86" s="398" t="e">
        <f>IF(CV86=0,0,IF(LEN(CN86)=11,_xlfn.XLOOKUP(CN86,'Dispensed Ink Rates'!C:C,'Dispensed Ink Rates'!CS:CS),VLOOKUP(CN86,'Jan-2026 rates'!$E:$F,2,0)))</f>
        <v>#N/A</v>
      </c>
      <c r="CX86" s="409">
        <v>15</v>
      </c>
      <c r="CY86" s="398" t="e">
        <f>IF(CX86=0,0,IF(LEN(CO86)=11,_xlfn.XLOOKUP(CO86,'Dispensed Ink Rates'!C:C,'Dispensed Ink Rates'!CS:CS),VLOOKUP(CO86,'Jan-2026 rates'!$E:$F,2,0)))</f>
        <v>#N/A</v>
      </c>
      <c r="CZ86" s="409">
        <v>2</v>
      </c>
      <c r="DA86" s="398" t="e">
        <f>IF(CZ86=0,0,IF(LEN(CP86)=11,_xlfn.XLOOKUP(CP86,'Dispensed Ink Rates'!C:C,'Dispensed Ink Rates'!CS:CS),VLOOKUP(CP86,'Jan-2026 rates'!$E:$F,2,0)))</f>
        <v>#N/A</v>
      </c>
      <c r="DB86" s="409"/>
      <c r="DC86" s="398">
        <f>IF(DB86=0,0,IF(LEN(CQ86)=11,_xlfn.XLOOKUP(CQ86,'Dispensed Ink Rates'!C:C,'Dispensed Ink Rates'!CS:CS),VLOOKUP(CQ86,'Jan-2026 rates'!$E:$F,2,0)))</f>
        <v>0</v>
      </c>
      <c r="DD86" s="409"/>
      <c r="DE86" s="398">
        <f>IF(DD86=0,0,IF(LEN(CR86)=11,_xlfn.XLOOKUP(CR86,'Dispensed Ink Rates'!C:C,'Dispensed Ink Rates'!CS:CS),VLOOKUP(CR86,'Jan-2026 rates'!$E:$F,2,0)))</f>
        <v>0</v>
      </c>
      <c r="DF86" s="409"/>
      <c r="DG86" s="398">
        <f>IF(DF86=0,0,IF(LEN(CS86)=11,_xlfn.XLOOKUP(CS86,'Dispensed Ink Rates'!C:C,'Dispensed Ink Rates'!CS:CS),VLOOKUP(CS86,'Jan-2026 rates'!$E:$F,2,0)))</f>
        <v>0</v>
      </c>
      <c r="DH86" s="409"/>
      <c r="DI86" s="398">
        <f>IF(DH86=0,0,IF(LEN(CT86)=11,_xlfn.XLOOKUP(CT86,'Dispensed Ink Rates'!C:C,'Dispensed Ink Rates'!CS:CS),VLOOKUP(CT86,'Jan-2026 rates'!$E:$F,2,0)))</f>
        <v>0</v>
      </c>
      <c r="DJ86" s="409"/>
      <c r="DK86" s="398">
        <f>IF(DJ86=0,0,IF(LEN(CU86)=11,_xlfn.XLOOKUP(CU86,'Dispensed Ink Rates'!C:C,'Dispensed Ink Rates'!CS:CS),VLOOKUP(CU86,'Jan-2026 rates'!$E:$F,2,0)))</f>
        <v>0</v>
      </c>
      <c r="DL86" s="409" t="s">
        <v>1443</v>
      </c>
      <c r="DM86" s="409">
        <v>20</v>
      </c>
      <c r="DN86" s="411">
        <f t="shared" si="88"/>
        <v>0</v>
      </c>
      <c r="DO86" s="411">
        <f t="shared" si="89"/>
        <v>39.066115702479337</v>
      </c>
      <c r="DP86" s="410">
        <f t="shared" si="90"/>
        <v>0</v>
      </c>
      <c r="DQ86" s="405" t="s">
        <v>543</v>
      </c>
      <c r="DR86" s="409" t="s">
        <v>3082</v>
      </c>
      <c r="DS86" s="420" t="str">
        <f t="shared" si="56"/>
        <v>FLINTSL - BLACK</v>
      </c>
      <c r="DT86" s="409">
        <v>12</v>
      </c>
      <c r="DU86" s="411">
        <f>IF(DT86=0,0,IF($LB86=70%,VLOOKUP($DS86,'Jan-2026 rates'!$L:$R,4,0),IF($LB86=65%,VLOOKUP($DS86,'Jan-2026 rates'!$L:$R,4,0),IF($LB86=40%,VLOOKUP($DS86,'Jan-2026 rates'!$L:$R,5,0),IF($LB86=30%,VLOOKUP($DS86,'Jan-2026 rates'!$L:$R,6,0),IF($LB86=100%,VLOOKUP($DS86,'Jan-2026 rates'!$L:$R,7,0),IF($LB86=60%,VLOOKUP($DS86,'Jan-2026 rates'!$L:$S,8,0),IF($LB86=80%,VLOOKUP($DS86,'Jan-2026 rates'!L:T,9,0),0))))))))</f>
        <v>0</v>
      </c>
      <c r="DV86" s="412"/>
      <c r="DW86" s="409"/>
      <c r="DX86" s="411">
        <f>IF(DW86=0,0,IF($LB86=70%,VLOOKUP($DS86,'Jan-2026 rates'!$L:$R,4,0),IF($LB86=65%,VLOOKUP($DS86,'Jan-2026 rates'!$L:$R,4,0),IF($LB86=40%,VLOOKUP($DS86,'Jan-2026 rates'!$L:$R,5,0),IF($LB86=30%,VLOOKUP($DS86,'Jan-2026 rates'!$L:$R,6,0),IF($LB86=100%,VLOOKUP($DS86,'Jan-2026 rates'!$L:$R,7,0),IF($LB86=60%,VLOOKUP($DS86,'Jan-2026 rates'!$L:$S,8,0),IF($LB86=80%,VLOOKUP($DS86,'Jan-2026 rates'!L:T,9,0),0))))))))</f>
        <v>0</v>
      </c>
      <c r="DY86" s="413" t="s">
        <v>1266</v>
      </c>
      <c r="DZ86" s="413"/>
      <c r="EA86" s="412"/>
      <c r="EB86" s="412"/>
      <c r="EC86" s="412"/>
      <c r="ED86" s="412"/>
      <c r="EE86" s="412"/>
      <c r="EF86" s="412"/>
      <c r="EG86" s="409">
        <v>15</v>
      </c>
      <c r="EH86" s="398">
        <f>IF(EG86=0,0,IF(LEN(DY86)=11,_xlfn.XLOOKUP(DY86,'Dispensed Ink Rates'!C:C,'Dispensed Ink Rates'!CS:CS),VLOOKUP(DY86,'Jan-2026 rates'!$E:$F,2,0)))</f>
        <v>0</v>
      </c>
      <c r="EI86" s="409"/>
      <c r="EJ86" s="398">
        <f>IF(EI86=0,0,IF(LEN(DZ86)=11,_xlfn.XLOOKUP(DZ86,'Dispensed Ink Rates'!C:C,'Dispensed Ink Rates'!CS:CS),VLOOKUP(DZ86,'Jan-2026 rates'!$E:$F,2,0)))</f>
        <v>0</v>
      </c>
      <c r="EK86" s="409"/>
      <c r="EL86" s="398">
        <f>IF(EK86=0,0,IF(LEN(EA86)=11,_xlfn.XLOOKUP(EA86,'Dispensed Ink Rates'!C:C,'Dispensed Ink Rates'!CS:CS),VLOOKUP(EA86,'Jan-2026 rates'!$E:$F,2,0)))</f>
        <v>0</v>
      </c>
      <c r="EM86" s="409"/>
      <c r="EN86" s="398">
        <f>IF(EM86=0,0,IF(LEN(EB86)=11,_xlfn.XLOOKUP(EB86,'Dispensed Ink Rates'!C:C,'Dispensed Ink Rates'!CS:CS),VLOOKUP(EB86,'Jan-2026 rates'!$E:$F,2,0)))</f>
        <v>0</v>
      </c>
      <c r="EO86" s="409"/>
      <c r="EP86" s="398">
        <f>IF(EO86=0,0,IF(LEN(EC86)=11,_xlfn.XLOOKUP(EC86,'Dispensed Ink Rates'!C:C,'Dispensed Ink Rates'!CS:CS),VLOOKUP(EC86,'Jan-2026 rates'!$E:$F,2,0)))</f>
        <v>0</v>
      </c>
      <c r="EQ86" s="409"/>
      <c r="ER86" s="398">
        <f>IF(EQ86=0,0,IF(LEN(ED86)=11,_xlfn.XLOOKUP(ED86,'Dispensed Ink Rates'!C:C,'Dispensed Ink Rates'!CS:CS),VLOOKUP(ED86,'Jan-2026 rates'!$E:$F,2,0)))</f>
        <v>0</v>
      </c>
      <c r="ES86" s="409"/>
      <c r="ET86" s="398">
        <f>IF(ES86=0,0,IF(LEN(EE86)=11,_xlfn.XLOOKUP(EE86,'Dispensed Ink Rates'!C:C,'Dispensed Ink Rates'!CS:CS),VLOOKUP(EE86,'Jan-2026 rates'!$E:$F,2,0)))</f>
        <v>0</v>
      </c>
      <c r="EU86" s="409"/>
      <c r="EV86" s="398">
        <f>IF(EU86=0,0,IF(LEN(EF86)=11,_xlfn.XLOOKUP(EF86,'Dispensed Ink Rates'!C:C,'Dispensed Ink Rates'!CS:CS),VLOOKUP(EF86,'Jan-2026 rates'!$E:$F,2,0)))</f>
        <v>0</v>
      </c>
      <c r="EW86" s="409" t="s">
        <v>1443</v>
      </c>
      <c r="EX86" s="409">
        <v>25</v>
      </c>
      <c r="EY86" s="411">
        <f t="shared" si="91"/>
        <v>0</v>
      </c>
      <c r="EZ86" s="411">
        <f t="shared" si="92"/>
        <v>39.066115702479337</v>
      </c>
      <c r="FA86" s="410">
        <f t="shared" si="93"/>
        <v>0</v>
      </c>
      <c r="FB86" s="405" t="s">
        <v>855</v>
      </c>
      <c r="FC86" s="409" t="s">
        <v>3083</v>
      </c>
      <c r="FD86" s="420" t="str">
        <f t="shared" si="57"/>
        <v>FLINTSL - CYAN</v>
      </c>
      <c r="FE86" s="409">
        <v>30</v>
      </c>
      <c r="FF86" s="411">
        <f>IF(FE86=0,0,IF($LB86=70%,VLOOKUP($FD86,'Jan-2026 rates'!$L:$R,4,0),IF($LB86=65%,VLOOKUP($FD86,'Jan-2026 rates'!$L:$R,4,0),IF($LB86=40%,VLOOKUP($FD86,'Jan-2026 rates'!$L:$R,5,0),IF($LB86=30%,VLOOKUP($FD86,'Jan-2026 rates'!$L:$R,6,0),IF($LB86=100%,VLOOKUP($FD86,'Jan-2026 rates'!$L:$R,7,0),IF($LB86=60%,VLOOKUP($FD86,'Jan-2026 rates'!$L:$S,8,0),IF($LB86=80%,VLOOKUP($FD86,'Jan-2026 rates'!L:T,9,0),0))))))))</f>
        <v>0</v>
      </c>
      <c r="FG86" s="412"/>
      <c r="FH86" s="409"/>
      <c r="FI86" s="411">
        <f>IF(FH86=0,0,IF($LB86=70%,VLOOKUP($FD86,'Jan-2026 rates'!$L:$R,4,0),IF($LB86=65%,VLOOKUP($FD86,'Jan-2026 rates'!$L:$R,4,0),IF($LB86=40%,VLOOKUP($FD86,'Jan-2026 rates'!$L:$R,5,0),IF($LB86=30%,VLOOKUP($FD86,'Jan-2026 rates'!$L:$R,6,0),IF($LB86=100%,VLOOKUP($FD86,'Jan-2026 rates'!$L:$R,7,0),IF($LB86=60%,VLOOKUP($FD86,'Jan-2026 rates'!$L:$S,8,0),IF($LB86=80%,VLOOKUP($FD86,'Jan-2026 rates'!L:T,9,0),0))))))))</f>
        <v>0</v>
      </c>
      <c r="FJ86" s="413">
        <v>26505000032</v>
      </c>
      <c r="FK86" s="413" t="s">
        <v>1266</v>
      </c>
      <c r="FL86" s="413"/>
      <c r="FM86" s="412"/>
      <c r="FN86" s="412"/>
      <c r="FO86" s="412"/>
      <c r="FP86" s="412"/>
      <c r="FQ86" s="412"/>
      <c r="FR86" s="409">
        <f>8+5</f>
        <v>13</v>
      </c>
      <c r="FS86" s="398" t="e">
        <f>IF(FR86=0,0,IF(LEN(FJ86)=11,_xlfn.XLOOKUP(FJ86,'Dispensed Ink Rates'!C:C,'Dispensed Ink Rates'!CS:CS),VLOOKUP(FJ86,'Jan-2026 rates'!$E:$F,2,0)))</f>
        <v>#N/A</v>
      </c>
      <c r="FT86" s="409">
        <v>6</v>
      </c>
      <c r="FU86" s="398">
        <f>IF(FT86=0,0,IF(LEN(FK86)=11,_xlfn.XLOOKUP(FK86,'Dispensed Ink Rates'!C:C,'Dispensed Ink Rates'!CS:CS),VLOOKUP(FK86,'Jan-2026 rates'!$E:$F,2,0)))</f>
        <v>0</v>
      </c>
      <c r="FV86" s="409"/>
      <c r="FW86" s="398">
        <f>IF(FV86=0,0,IF(LEN(FL86)=11,_xlfn.XLOOKUP(FL86,'Dispensed Ink Rates'!C:C,'Dispensed Ink Rates'!CS:CS),VLOOKUP(FL86,'Jan-2026 rates'!$E:$F,2,0)))</f>
        <v>0</v>
      </c>
      <c r="FX86" s="409"/>
      <c r="FY86" s="398">
        <f>IF(FX86=0,0,IF(LEN(FM86)=11,_xlfn.XLOOKUP(FM86,'Dispensed Ink Rates'!C:C,'Dispensed Ink Rates'!CS:CS),VLOOKUP(FM86,'Jan-2026 rates'!$E:$F,2,0)))</f>
        <v>0</v>
      </c>
      <c r="FZ86" s="409"/>
      <c r="GA86" s="398">
        <f>IF(FZ86=0,0,IF(LEN(FN86)=11,_xlfn.XLOOKUP(FN86,'Dispensed Ink Rates'!C:C,'Dispensed Ink Rates'!CS:CS),VLOOKUP(FN86,'Jan-2026 rates'!$E:$F,2,0)))</f>
        <v>0</v>
      </c>
      <c r="GB86" s="409"/>
      <c r="GC86" s="398">
        <f>IF(GB86=0,0,IF(LEN(FO86)=11,_xlfn.XLOOKUP(FO86,'Dispensed Ink Rates'!C:C,'Dispensed Ink Rates'!CS:CS),VLOOKUP(FO86,'Jan-2026 rates'!$E:$F,2,0)))</f>
        <v>0</v>
      </c>
      <c r="GD86" s="409"/>
      <c r="GE86" s="398">
        <f>IF(GD86=0,0,IF(LEN(FP86)=11,_xlfn.XLOOKUP(FP86,'Dispensed Ink Rates'!C:C,'Dispensed Ink Rates'!CS:CS),VLOOKUP(FP86,'Jan-2026 rates'!$E:$F,2,0)))</f>
        <v>0</v>
      </c>
      <c r="GF86" s="409"/>
      <c r="GG86" s="398">
        <f>IF(GF86=0,0,IF(LEN(FQ86)=11,_xlfn.XLOOKUP(FQ86,'Dispensed Ink Rates'!C:C,'Dispensed Ink Rates'!CS:CS),VLOOKUP(FQ86,'Jan-2026 rates'!$E:$F,2,0)))</f>
        <v>0</v>
      </c>
      <c r="GH86" s="409" t="s">
        <v>1443</v>
      </c>
      <c r="GI86" s="409">
        <v>30</v>
      </c>
      <c r="GJ86" s="411">
        <f t="shared" si="94"/>
        <v>0</v>
      </c>
      <c r="GK86" s="411">
        <f t="shared" si="95"/>
        <v>67.185950413223139</v>
      </c>
      <c r="GL86" s="410">
        <f t="shared" si="96"/>
        <v>0</v>
      </c>
      <c r="GM86" s="405" t="s">
        <v>544</v>
      </c>
      <c r="GN86" s="409" t="s">
        <v>3083</v>
      </c>
      <c r="GO86" s="420" t="str">
        <f t="shared" si="58"/>
        <v>FLINTSL - MAGENTA</v>
      </c>
      <c r="GP86" s="409">
        <v>27</v>
      </c>
      <c r="GQ86" s="411">
        <f>IF(GP86=0,0,IF($LB86=70%,VLOOKUP($GO86,'Jan-2026 rates'!$L:$R,4,0),IF($LB86=65%,VLOOKUP($GO86,'Jan-2026 rates'!$L:$R,4,0),IF($LB86=40%,VLOOKUP($GO86,'Jan-2026 rates'!$L:$R,5,0),IF($LB86=30%,VLOOKUP($GO86,'Jan-2026 rates'!$L:$R,6,0),IF($LB86=100%,VLOOKUP($GO86,'Jan-2026 rates'!$L:$R,7,0),IF($LB86=60%,VLOOKUP($GO86,'Jan-2026 rates'!$L:$S,8,0),IF($LB86=80%,VLOOKUP($GO86,'Jan-2026 rates'!L:T,9,0),0))))))))</f>
        <v>0</v>
      </c>
      <c r="GR86" s="412"/>
      <c r="GS86" s="409"/>
      <c r="GT86" s="411">
        <f>IF(GS86=0,0,IF($LB86=70%,VLOOKUP($GO86,'Jan-2026 rates'!$L:$R,4,0),IF($LB86=65%,VLOOKUP($GO86,'Jan-2026 rates'!$L:$R,4,0),IF($LB86=40%,VLOOKUP($GO86,'Jan-2026 rates'!$L:$R,5,0),IF($LB86=30%,VLOOKUP($GO86,'Jan-2026 rates'!$L:$R,6,0),IF($LB86=100%,VLOOKUP($GO86,'Jan-2026 rates'!$L:$R,7,0),IF($LB86=60%,VLOOKUP($GO86,'Jan-2026 rates'!$L:$S,8,0),IF($LB86=80%,VLOOKUP($GO86,'Jan-2026 rates'!L:T,9,0),0))))))))</f>
        <v>0</v>
      </c>
      <c r="GU86" s="413">
        <v>26507000017</v>
      </c>
      <c r="GV86" s="413"/>
      <c r="GW86" s="412"/>
      <c r="GX86" s="412"/>
      <c r="GY86" s="412"/>
      <c r="GZ86" s="412"/>
      <c r="HA86" s="412"/>
      <c r="HB86" s="412"/>
      <c r="HC86" s="409">
        <v>5</v>
      </c>
      <c r="HD86" s="398" t="e">
        <f>IF(HC86=0,0,IF(LEN(GU86)=11,_xlfn.XLOOKUP(GU86,'Dispensed Ink Rates'!C:C,'Dispensed Ink Rates'!CS:CS),VLOOKUP(GU86,'Jan-2026 rates'!$E:$F,2,0)))</f>
        <v>#N/A</v>
      </c>
      <c r="HE86" s="409"/>
      <c r="HF86" s="398">
        <f>IF(HE86=0,0,IF(LEN(GV86)=11,_xlfn.XLOOKUP(GV86,'Dispensed Ink Rates'!C:C,'Dispensed Ink Rates'!CS:CS),VLOOKUP(GV86,'Jan-2026 rates'!$E:$F,2,0)))</f>
        <v>0</v>
      </c>
      <c r="HG86" s="409"/>
      <c r="HH86" s="398">
        <f>IF(HG86=0,0,IF(LEN(GW86)=11,_xlfn.XLOOKUP(GW86,'Dispensed Ink Rates'!C:C,'Dispensed Ink Rates'!CS:CS),VLOOKUP(GW86,'Jan-2026 rates'!$E:$F,2,0)))</f>
        <v>0</v>
      </c>
      <c r="HI86" s="409"/>
      <c r="HJ86" s="398">
        <f>IF(HI86=0,0,IF(LEN(GX86)=11,_xlfn.XLOOKUP(GX86,'Dispensed Ink Rates'!C:C,'Dispensed Ink Rates'!CS:CS),VLOOKUP(GX86,'Jan-2026 rates'!$E:$F,2,0)))</f>
        <v>0</v>
      </c>
      <c r="HK86" s="409"/>
      <c r="HL86" s="398">
        <f>IF(HK86=0,0,IF(LEN(GY86)=11,_xlfn.XLOOKUP(GY86,'Dispensed Ink Rates'!C:C,'Dispensed Ink Rates'!CS:CS),VLOOKUP(GY86,'Jan-2026 rates'!$E:$F,2,0)))</f>
        <v>0</v>
      </c>
      <c r="HM86" s="409"/>
      <c r="HN86" s="398">
        <f>IF(HM86=0,0,IF(LEN(GZ86)=11,_xlfn.XLOOKUP(GZ86,'Dispensed Ink Rates'!C:C,'Dispensed Ink Rates'!CS:CS),VLOOKUP(GZ86,'Jan-2026 rates'!$E:$F,2,0)))</f>
        <v>0</v>
      </c>
      <c r="HO86" s="409"/>
      <c r="HP86" s="398">
        <f>IF(HO86=0,0,IF(LEN(HA86)=11,_xlfn.XLOOKUP(HA86,'Dispensed Ink Rates'!C:C,'Dispensed Ink Rates'!CS:CS),VLOOKUP(HA86,'Jan-2026 rates'!$E:$F,2,0)))</f>
        <v>0</v>
      </c>
      <c r="HQ86" s="409"/>
      <c r="HR86" s="398">
        <f>IF(HQ86=0,0,IF(LEN(HB86)=11,_xlfn.XLOOKUP(HB86,'Dispensed Ink Rates'!C:C,'Dispensed Ink Rates'!CS:CS),VLOOKUP(HB86,'Jan-2026 rates'!$E:$F,2,0)))</f>
        <v>0</v>
      </c>
      <c r="HS86" s="409" t="s">
        <v>1443</v>
      </c>
      <c r="HT86" s="409">
        <v>29</v>
      </c>
      <c r="HU86" s="411">
        <f t="shared" si="97"/>
        <v>0</v>
      </c>
      <c r="HV86" s="411">
        <f t="shared" si="98"/>
        <v>25.239669421487605</v>
      </c>
      <c r="HW86" s="414">
        <f t="shared" si="99"/>
        <v>0</v>
      </c>
      <c r="HX86" s="405" t="s">
        <v>545</v>
      </c>
      <c r="HY86" s="409" t="s">
        <v>3084</v>
      </c>
      <c r="HZ86" s="420" t="str">
        <f t="shared" si="59"/>
        <v>FLINTSL - YELLOW</v>
      </c>
      <c r="IA86" s="409">
        <v>28</v>
      </c>
      <c r="IB86" s="411">
        <f>IF(IA86=0,0,IF($LB86=70%,VLOOKUP($HZ86,'Jan-2026 rates'!$L:$R,4,0),IF($LB86=65%,VLOOKUP($HZ86,'Jan-2026 rates'!$L:$R,4,0),IF($LB86=40%,VLOOKUP($HZ86,'Jan-2026 rates'!$L:$R,5,0),IF($LB86=30%,VLOOKUP($HZ86,'Jan-2026 rates'!$L:$R,6,0),IF($LB86=100%,VLOOKUP($HZ86,'Jan-2026 rates'!$L:$R,7,0),IF($LB86=60%,VLOOKUP($HZ86,'Jan-2026 rates'!$L:$S,8,0),IF($LB86=80%,VLOOKUP($HZ86,'Jan-2026 rates'!L:T,9,0),0))))))))</f>
        <v>0</v>
      </c>
      <c r="IC86" s="412"/>
      <c r="ID86" s="409"/>
      <c r="IE86" s="411">
        <f>IF(ID86=0,0,IF($LB86=70%,VLOOKUP($HZ86,'Jan-2026 rates'!$L:$R,4,0),IF($LB86=65%,VLOOKUP($HZ86,'Jan-2026 rates'!$L:$R,4,0),IF($LB86=40%,VLOOKUP($HZ86,'Jan-2026 rates'!$L:$R,5,0),IF($LB86=30%,VLOOKUP($HZ86,'Jan-2026 rates'!$L:$R,6,0),IF($LB86=100%,VLOOKUP($HZ86,'Jan-2026 rates'!$L:$R,7,0),IF($LB86=60%,VLOOKUP($HZ86,'Jan-2026 rates'!$L:$S,8,0),IF($LB86=80%,VLOOKUP($HZ86,'Jan-2026 rates'!L:T,9,0),0))))))))</f>
        <v>0</v>
      </c>
      <c r="IF86" s="412">
        <v>26505000033</v>
      </c>
      <c r="IG86" s="413" t="s">
        <v>1266</v>
      </c>
      <c r="IH86" s="412"/>
      <c r="II86" s="412"/>
      <c r="IJ86" s="412"/>
      <c r="IK86" s="412"/>
      <c r="IL86" s="412"/>
      <c r="IM86" s="412"/>
      <c r="IN86" s="409">
        <f>6+6</f>
        <v>12</v>
      </c>
      <c r="IO86" s="398" t="e">
        <f>IF(IN86=0,0,IF(LEN(IF86)=11,_xlfn.XLOOKUP(IF86,'Dispensed Ink Rates'!C:C,'Dispensed Ink Rates'!CS:CS),VLOOKUP(IF86,'Jan-2026 rates'!$E:$F,2,0)))</f>
        <v>#N/A</v>
      </c>
      <c r="IP86" s="409">
        <v>4</v>
      </c>
      <c r="IQ86" s="398">
        <f>IF(IP86=0,0,IF(LEN(IG86)=11,_xlfn.XLOOKUP(IG86,'Dispensed Ink Rates'!C:C,'Dispensed Ink Rates'!CS:CS),VLOOKUP(IG86,'Jan-2026 rates'!$E:$F,2,0)))</f>
        <v>0</v>
      </c>
      <c r="IR86" s="409"/>
      <c r="IS86" s="398">
        <f>IF(IR86=0,0,IF(LEN(IH86)=11,_xlfn.XLOOKUP(IH86,'Dispensed Ink Rates'!C:C,'Dispensed Ink Rates'!CS:CS),VLOOKUP(IH86,'Jan-2026 rates'!$E:$F,2,0)))</f>
        <v>0</v>
      </c>
      <c r="IT86" s="409"/>
      <c r="IU86" s="398">
        <f>IF(IT86=0,0,IF(LEN(II86)=11,_xlfn.XLOOKUP(II86,'Dispensed Ink Rates'!C:C,'Dispensed Ink Rates'!CS:CS),VLOOKUP(II86,'Jan-2026 rates'!$E:$F,2,0)))</f>
        <v>0</v>
      </c>
      <c r="IV86" s="409"/>
      <c r="IW86" s="398">
        <f>IF(IV86=0,0,IF(LEN(IJ86)=11,_xlfn.XLOOKUP(IJ86,'Dispensed Ink Rates'!C:C,'Dispensed Ink Rates'!CS:CS),VLOOKUP(IJ86,'Jan-2026 rates'!$E:$F,2,0)))</f>
        <v>0</v>
      </c>
      <c r="IX86" s="409"/>
      <c r="IY86" s="398">
        <f>IF(IX86=0,0,IF(LEN(IK86)=11,_xlfn.XLOOKUP(IK86,'Dispensed Ink Rates'!C:C,'Dispensed Ink Rates'!CS:CS),VLOOKUP(IK86,'Jan-2026 rates'!$E:$F,2,0)))</f>
        <v>0</v>
      </c>
      <c r="IZ86" s="409"/>
      <c r="JA86" s="398">
        <f>IF(IZ86=0,0,IF(LEN(IL86)=11,_xlfn.XLOOKUP(IL86,'Dispensed Ink Rates'!C:C,'Dispensed Ink Rates'!CS:CS),VLOOKUP(IL86,'Jan-2026 rates'!$E:$F,2,0)))</f>
        <v>0</v>
      </c>
      <c r="JB86" s="409"/>
      <c r="JC86" s="398">
        <f>IF(JB86=0,0,IF(LEN(IM86)=11,_xlfn.XLOOKUP(IM86,'Dispensed Ink Rates'!C:C,'Dispensed Ink Rates'!CS:CS),VLOOKUP(IM86,'Jan-2026 rates'!$E:$F,2,0)))</f>
        <v>0</v>
      </c>
      <c r="JD86" s="409" t="s">
        <v>1443</v>
      </c>
      <c r="JE86" s="409">
        <v>30</v>
      </c>
      <c r="JF86" s="411">
        <f t="shared" si="100"/>
        <v>0</v>
      </c>
      <c r="JG86" s="411">
        <f t="shared" si="101"/>
        <v>77.012396694214885</v>
      </c>
      <c r="JH86" s="410">
        <f t="shared" si="102"/>
        <v>0</v>
      </c>
      <c r="JI86" s="405" t="s">
        <v>856</v>
      </c>
      <c r="JJ86" s="409" t="s">
        <v>3085</v>
      </c>
      <c r="JK86" s="420" t="str">
        <f t="shared" si="60"/>
        <v>FLINTSL - WHITE</v>
      </c>
      <c r="JL86" s="409">
        <v>30</v>
      </c>
      <c r="JM86" s="411">
        <f>IF(JL86=0,0,IF($LB86=70%,VLOOKUP($JK86,'Jan-2026 rates'!$L:$R,4,0),IF($LB86=65%,VLOOKUP($JK86,'Jan-2026 rates'!$L:$R,4,0),IF($LB86=40%,VLOOKUP($JK86,'Jan-2026 rates'!$L:$R,5,0),IF($LB86=30%,VLOOKUP($JK86,'Jan-2026 rates'!$L:$R,6,0),IF($LB86=100%,VLOOKUP($JK86,'Jan-2026 rates'!$L:$R,7,0),IF($LB86=60%,VLOOKUP($JK86,'Jan-2026 rates'!$L:$S,8,0),IF($LB86=80%,VLOOKUP($JK86,'Jan-2026 rates'!L:T,9,0),0))))))))</f>
        <v>0</v>
      </c>
      <c r="JN86" s="412"/>
      <c r="JO86" s="409"/>
      <c r="JP86" s="411">
        <f>IF(JO86=0,0,IF($LB86=70%,VLOOKUP($JK86,'Jan-2026 rates'!$L:$R,4,0),IF($LB86=65%,VLOOKUP($JK86,'Jan-2026 rates'!$L:$R,4,0),IF($LB86=40%,VLOOKUP($JK86,'Jan-2026 rates'!$L:$R,5,0),IF($LB86=30%,VLOOKUP($JK86,'Jan-2026 rates'!$L:$R,6,0),IF($LB86=100%,VLOOKUP($JK86,'Jan-2026 rates'!$L:$R,7,0),IF($LB86=60%,VLOOKUP($JK86,'Jan-2026 rates'!$L:$S,8,0),IF($LB86=80%,VLOOKUP($JK86,'Jan-2026 rates'!L:T,9,0),0))))))))</f>
        <v>0</v>
      </c>
      <c r="JQ86" s="413" t="s">
        <v>484</v>
      </c>
      <c r="JR86" s="412"/>
      <c r="JS86" s="413"/>
      <c r="JT86" s="413"/>
      <c r="JU86" s="412"/>
      <c r="JV86" s="412"/>
      <c r="JW86" s="412"/>
      <c r="JX86" s="412"/>
      <c r="JY86" s="409">
        <f>150+150</f>
        <v>300</v>
      </c>
      <c r="JZ86" s="398">
        <f>IF(JY86=0,0,IF(LEN(JQ86)=11,_xlfn.XLOOKUP(JQ86,'Dispensed Ink Rates'!C:C,'Dispensed Ink Rates'!CS:CS),VLOOKUP(JQ86,'Jan-2026 rates'!$E:$F,2,0)))</f>
        <v>0</v>
      </c>
      <c r="KA86" s="409"/>
      <c r="KB86" s="398">
        <f>IF(KA86=0,0,IF(LEN(JR86)=11,_xlfn.XLOOKUP(JR86,'Dispensed Ink Rates'!C:C,'Dispensed Ink Rates'!CS:CS),VLOOKUP(JR86,'Jan-2026 rates'!$E:$F,2,0)))</f>
        <v>0</v>
      </c>
      <c r="KC86" s="409"/>
      <c r="KD86" s="398">
        <f>IF(KC86=0,0,IF(LEN(JS86)=11,_xlfn.XLOOKUP(JS86,'Dispensed Ink Rates'!C:C,'Dispensed Ink Rates'!CS:CS),VLOOKUP(JS86,'Jan-2026 rates'!$E:$F,2,0)))</f>
        <v>0</v>
      </c>
      <c r="KE86" s="409"/>
      <c r="KF86" s="398">
        <f>IF(KE86=0,0,IF(LEN(JT86)=11,_xlfn.XLOOKUP(JT86,'Dispensed Ink Rates'!C:C,'Dispensed Ink Rates'!CS:CS),VLOOKUP(JT86,'Jan-2026 rates'!$E:$F,2,0)))</f>
        <v>0</v>
      </c>
      <c r="KG86" s="409"/>
      <c r="KH86" s="398">
        <f>IF(KG86=0,0,IF(LEN(JU86)=11,_xlfn.XLOOKUP(JU86,'Dispensed Ink Rates'!C:C,'Dispensed Ink Rates'!CS:CS),VLOOKUP(JU86,'Jan-2026 rates'!$E:$F,2,0)))</f>
        <v>0</v>
      </c>
      <c r="KI86" s="409"/>
      <c r="KJ86" s="398">
        <f>IF(KI86=0,0,IF(LEN(JV86)=11,_xlfn.XLOOKUP(JV86,'Dispensed Ink Rates'!C:C,'Dispensed Ink Rates'!CS:CS),VLOOKUP(JV86,'Jan-2026 rates'!$E:$F,2,0)))</f>
        <v>0</v>
      </c>
      <c r="KK86" s="409"/>
      <c r="KL86" s="398">
        <f>IF(KK86=0,0,IF(LEN(JW86)=11,_xlfn.XLOOKUP(JW86,'Dispensed Ink Rates'!C:C,'Dispensed Ink Rates'!CS:CS),VLOOKUP(JW86,'Jan-2026 rates'!$E:$F,2,0)))</f>
        <v>0</v>
      </c>
      <c r="KM86" s="428"/>
      <c r="KN86" s="398">
        <f>IF(KM86=0,0,IF(LEN(JX86)=11,_xlfn.XLOOKUP(JX86,'Dispensed Ink Rates'!C:C,'Dispensed Ink Rates'!CS:CS),VLOOKUP(JX86,'Jan-2026 rates'!$E:$F,2,0)))</f>
        <v>0</v>
      </c>
      <c r="KO86" s="409" t="s">
        <v>1443</v>
      </c>
      <c r="KP86" s="409">
        <v>30</v>
      </c>
      <c r="KQ86" s="411">
        <f t="shared" si="103"/>
        <v>0</v>
      </c>
      <c r="KR86" s="411">
        <f t="shared" si="104"/>
        <v>967.19008264462809</v>
      </c>
      <c r="KS86" s="410">
        <f t="shared" si="105"/>
        <v>0</v>
      </c>
      <c r="KT86" s="409">
        <v>6</v>
      </c>
      <c r="KU86" s="409">
        <v>0</v>
      </c>
      <c r="KV86" s="409">
        <v>10</v>
      </c>
      <c r="KW86" s="409">
        <v>10</v>
      </c>
      <c r="KX86" s="409">
        <f>8+5</f>
        <v>13</v>
      </c>
      <c r="KY86" s="409">
        <v>6</v>
      </c>
      <c r="KZ86" s="409">
        <f>10+7</f>
        <v>17</v>
      </c>
      <c r="LA86" s="409">
        <f>90+90</f>
        <v>180</v>
      </c>
      <c r="LB86" s="415">
        <v>0.8</v>
      </c>
      <c r="LC86" s="415">
        <v>0.2</v>
      </c>
      <c r="LD86" s="415"/>
      <c r="LE86" s="415"/>
      <c r="LF86" s="415"/>
      <c r="LG86" s="409">
        <v>0</v>
      </c>
      <c r="LH86" s="409">
        <f>180+150+440+110+5+5+7</f>
        <v>897</v>
      </c>
      <c r="LI86" s="409">
        <v>0</v>
      </c>
      <c r="LJ86" s="409">
        <v>0</v>
      </c>
      <c r="LK86" s="416">
        <f t="shared" si="61"/>
        <v>897</v>
      </c>
      <c r="LL86" s="416">
        <f t="shared" si="62"/>
        <v>897</v>
      </c>
      <c r="LM86" s="417">
        <f t="shared" si="63"/>
        <v>717.6</v>
      </c>
      <c r="LN86" s="417">
        <f>VLOOKUP($LM$8,'Jan-2026 rates'!$H:$I,2,0)</f>
        <v>0</v>
      </c>
      <c r="LO86" s="417">
        <f t="shared" si="64"/>
        <v>179.4</v>
      </c>
      <c r="LP86" s="417">
        <f>VLOOKUP($LO$8,'Jan-2026 rates'!$H:$I,2,0)</f>
        <v>0</v>
      </c>
      <c r="LQ86" s="417">
        <f t="shared" si="65"/>
        <v>0</v>
      </c>
      <c r="LR86" s="417">
        <f>VLOOKUP($LQ$8,'Jan-2026 rates'!$H:$I,2,0)</f>
        <v>0</v>
      </c>
      <c r="LS86" s="417">
        <f t="shared" si="66"/>
        <v>0</v>
      </c>
      <c r="LT86" s="417">
        <f>VLOOKUP($LS$8,'Jan-2026 rates'!$H:$I,2,0)</f>
        <v>0</v>
      </c>
      <c r="LU86" s="417">
        <f t="shared" si="67"/>
        <v>0</v>
      </c>
      <c r="LV86" s="417">
        <f>VLOOKUP($LU$8,'Jan-2026 rates'!$H:$I,2,0)</f>
        <v>0</v>
      </c>
      <c r="LW86" s="417">
        <f t="shared" si="68"/>
        <v>0</v>
      </c>
      <c r="LX86" s="417">
        <f t="shared" si="69"/>
        <v>0</v>
      </c>
      <c r="LY86" s="418">
        <f t="shared" si="70"/>
        <v>0</v>
      </c>
      <c r="LZ86" s="417"/>
      <c r="MA86" s="435">
        <f t="shared" si="71"/>
        <v>888</v>
      </c>
      <c r="MB86" s="282">
        <f t="shared" si="72"/>
        <v>1717</v>
      </c>
      <c r="MC86" s="283">
        <v>41</v>
      </c>
      <c r="MD86" s="284" t="str">
        <f t="shared" si="73"/>
        <v>FLINTSLFLINTSLFLINTSLFLINTSLFLINTSLFLINTSLFLINTSLFLINTSL</v>
      </c>
      <c r="ME86" s="293" t="str">
        <f t="shared" si="74"/>
        <v>+</v>
      </c>
      <c r="MF86" s="293" t="str">
        <f t="shared" si="75"/>
        <v>+</v>
      </c>
      <c r="MG86" s="293" t="str">
        <f t="shared" si="76"/>
        <v>+</v>
      </c>
      <c r="MH86" s="293" t="str">
        <f t="shared" si="77"/>
        <v>+</v>
      </c>
      <c r="MI86" s="293" t="str">
        <f t="shared" si="78"/>
        <v>+</v>
      </c>
      <c r="MJ86" s="293" t="str">
        <f t="shared" si="79"/>
        <v>+</v>
      </c>
      <c r="MK86" s="293" t="str">
        <f t="shared" si="80"/>
        <v>+</v>
      </c>
      <c r="ML86" s="293" t="str">
        <f t="shared" si="81"/>
        <v>+</v>
      </c>
      <c r="MM86" s="3" t="b">
        <f t="array" ref="MM86">OR(ME86:ML86="-")</f>
        <v>0</v>
      </c>
      <c r="MN86" s="285"/>
      <c r="MO86" s="401"/>
      <c r="MP86" s="286"/>
      <c r="MQ86" s="286"/>
      <c r="MR86" s="402"/>
      <c r="MS86" s="400"/>
      <c r="NH86" s="422"/>
      <c r="NJ86" s="421"/>
    </row>
    <row r="87" spans="1:374" s="1" customFormat="1" ht="16.5">
      <c r="A87" s="403">
        <v>46028</v>
      </c>
      <c r="B87" s="404" t="s">
        <v>1018</v>
      </c>
      <c r="C87" s="405" t="s">
        <v>3086</v>
      </c>
      <c r="D87" s="406">
        <v>42</v>
      </c>
      <c r="E87" s="404">
        <v>496</v>
      </c>
      <c r="F87" s="407">
        <v>22600</v>
      </c>
      <c r="G87" s="407" t="s">
        <v>1019</v>
      </c>
      <c r="H87" s="408" t="s">
        <v>1017</v>
      </c>
      <c r="I87" s="409">
        <v>1.45</v>
      </c>
      <c r="J87" s="405" t="s">
        <v>543</v>
      </c>
      <c r="K87" s="404" t="s">
        <v>3087</v>
      </c>
      <c r="L87" s="419" t="str">
        <f t="shared" si="54"/>
        <v>FLINTSL - BLACK</v>
      </c>
      <c r="M87" s="404">
        <v>30</v>
      </c>
      <c r="N87" s="410">
        <f>IF(M87=0,0,IF($LB87=70%,VLOOKUP($L87,'Jan-2026 rates'!$L:$R,4,0),IF($LB87=65%,VLOOKUP($L87,'Jan-2026 rates'!$L:$R,4,0),IF($LB87=40%,VLOOKUP($L87,'Jan-2026 rates'!$L:$R,5,0),IF($LB87=30%,VLOOKUP($L87,'Jan-2026 rates'!$L:$R,6,0),IF($LB87=100%,VLOOKUP($L87,'Jan-2026 rates'!$L:$R,7,0),IF($LB87=60%,VLOOKUP($L87,'Jan-2026 rates'!$L:$S,8,0),IF($LB87=80%,VLOOKUP($L87,'Jan-2026 rates'!L:T,9,0),0))))))))</f>
        <v>0</v>
      </c>
      <c r="O87" s="406"/>
      <c r="P87" s="404"/>
      <c r="Q87" s="410">
        <f>IF(P87=0,0,IF($LB87=70%,VLOOKUP($L87,'Jan-2026 rates'!$L:$R,4,0),IF($LB87=65%,VLOOKUP($L87,'Jan-2026 rates'!$L:$R,4,0),IF($LB87=40%,VLOOKUP($L87,'Jan-2026 rates'!$L:$R,5,0),IF($LB87=30%,VLOOKUP($L87,'Jan-2026 rates'!$L:$R,6,0),IF($LB87=100%,VLOOKUP($L87,'Jan-2026 rates'!$L:$R,7,0),IF($LB87=60%,VLOOKUP($L87,'Jan-2026 rates'!$L:$S,8,0),IF($LB87=80%,VLOOKUP($L87,'Jan-2026 rates'!L:T,9,0),0))))))))</f>
        <v>0</v>
      </c>
      <c r="R87" s="406"/>
      <c r="S87" s="406"/>
      <c r="T87" s="406"/>
      <c r="U87" s="406"/>
      <c r="V87" s="406"/>
      <c r="W87" s="406"/>
      <c r="X87" s="406"/>
      <c r="Y87" s="406"/>
      <c r="Z87" s="404"/>
      <c r="AA87" s="398">
        <f>IF(Z87=0,0,IF(LEN(R87)=11,_xlfn.XLOOKUP(R87,'Dispensed Ink Rates'!C:C,'Dispensed Ink Rates'!CS:CS),VLOOKUP(R87,'Jan-2026 rates'!$E:$F,2,0)))</f>
        <v>0</v>
      </c>
      <c r="AB87" s="404"/>
      <c r="AC87" s="398">
        <f>IF(AB87=0,0,IF(LEN(S87)=11,_xlfn.XLOOKUP(S87,'Dispensed Ink Rates'!C:C,'Dispensed Ink Rates'!CS:CS),VLOOKUP(S87,'Jan-2026 rates'!$E:$F,2,0)))</f>
        <v>0</v>
      </c>
      <c r="AD87" s="404"/>
      <c r="AE87" s="398">
        <f>IF(AD87=0,0,IF(LEN(T87)=11,_xlfn.XLOOKUP(T87,'Dispensed Ink Rates'!C:C,'Dispensed Ink Rates'!CS:CS),VLOOKUP(T87,'Jan-2026 rates'!$E:$F,2,0)))</f>
        <v>0</v>
      </c>
      <c r="AF87" s="404"/>
      <c r="AG87" s="398">
        <f>IF(AF87=0,0,IF(LEN(U87)=11,_xlfn.XLOOKUP(U87,'Dispensed Ink Rates'!C:C,'Dispensed Ink Rates'!CS:CS),VLOOKUP(U87,'Jan-2026 rates'!$E:$F,2,0)))</f>
        <v>0</v>
      </c>
      <c r="AH87" s="404"/>
      <c r="AI87" s="398">
        <f>IF(AH87=0,0,IF(LEN(V87)=11,_xlfn.XLOOKUP(V87,'Dispensed Ink Rates'!C:C,'Dispensed Ink Rates'!CS:CS),VLOOKUP(V87,'Jan-2026 rates'!$E:$F,2,0)))</f>
        <v>0</v>
      </c>
      <c r="AJ87" s="404"/>
      <c r="AK87" s="398">
        <f>IF(AJ87=0,0,IF(LEN(W87)=11,_xlfn.XLOOKUP(W87,'Dispensed Ink Rates'!C:C,'Dispensed Ink Rates'!CS:CS),VLOOKUP(W87,'Jan-2026 rates'!$E:$F,2,0)))</f>
        <v>0</v>
      </c>
      <c r="AL87" s="404"/>
      <c r="AM87" s="398">
        <f>IF(AL87=0,0,IF(LEN(X87)=11,_xlfn.XLOOKUP(X87,'Dispensed Ink Rates'!C:C,'Dispensed Ink Rates'!CS:CS),VLOOKUP(X87,'Jan-2026 rates'!$E:$F,2,0)))</f>
        <v>0</v>
      </c>
      <c r="AN87" s="404"/>
      <c r="AO87" s="398">
        <f>IF(AN87=0,0,IF(LEN(Y87)=11,_xlfn.XLOOKUP(Y87,'Dispensed Ink Rates'!C:C,'Dispensed Ink Rates'!CS:CS),VLOOKUP(Y87,'Jan-2026 rates'!$E:$F,2,0)))</f>
        <v>0</v>
      </c>
      <c r="AP87" s="409" t="s">
        <v>1443</v>
      </c>
      <c r="AQ87" s="409">
        <v>27</v>
      </c>
      <c r="AR87" s="410">
        <f t="shared" si="82"/>
        <v>0</v>
      </c>
      <c r="AS87" s="411">
        <f t="shared" si="83"/>
        <v>9.327272727272728</v>
      </c>
      <c r="AT87" s="410">
        <f t="shared" si="84"/>
        <v>0</v>
      </c>
      <c r="AU87" s="405" t="s">
        <v>548</v>
      </c>
      <c r="AV87" s="409" t="s">
        <v>3088</v>
      </c>
      <c r="AW87" s="420" t="str">
        <f t="shared" si="53"/>
        <v>FLINTSL - GOLD</v>
      </c>
      <c r="AX87" s="409">
        <v>10</v>
      </c>
      <c r="AY87" s="411">
        <f>IF(AX87=0,0,IF($LB87=70%,VLOOKUP($AW87,'Jan-2026 rates'!$L:$R,4,0),IF($LB87=65%,VLOOKUP($AW87,'Jan-2026 rates'!$L:$R,4,0),IF($LB87=40%,VLOOKUP($AW87,'Jan-2026 rates'!$L:$R,5,0),IF($LB87=30%,VLOOKUP($AW87,'Jan-2026 rates'!$L:$R,6,0),IF($LB87=100%,VLOOKUP($AW87,'Jan-2026 rates'!$L:$R,7,0),IF($LB87=60%,VLOOKUP($AW87,'Jan-2026 rates'!$L:$S,8,0),IF($LB87=80%,VLOOKUP($AW87,'Jan-2026 rates'!L:T,9,0),0))))))))</f>
        <v>0</v>
      </c>
      <c r="AZ87" s="412" t="s">
        <v>3089</v>
      </c>
      <c r="BA87" s="409">
        <v>7</v>
      </c>
      <c r="BB87" s="411">
        <f>IF(BA87=0,0,IF($LB87=70%,VLOOKUP($AW87,'Jan-2026 rates'!$L:$R,4,0),IF($LB87=65%,VLOOKUP($AW87,'Jan-2026 rates'!$L:$R,4,0),IF($LB87=40%,VLOOKUP($AW87,'Jan-2026 rates'!$L:$R,5,0),IF($LB87=30%,VLOOKUP($AW87,'Jan-2026 rates'!$L:$R,6,0),IF($LB87=100%,VLOOKUP($AW87,'Jan-2026 rates'!$L:$R,7,0),IF($LB87=60%,VLOOKUP($AW87,'Jan-2026 rates'!$L:$S,8,0),IF($LB87=80%,VLOOKUP($AW87,'Jan-2026 rates'!L:T,9,0),0))))))))</f>
        <v>0</v>
      </c>
      <c r="BC87" s="413" t="s">
        <v>1340</v>
      </c>
      <c r="BD87" s="412"/>
      <c r="BE87" s="412"/>
      <c r="BF87" s="413"/>
      <c r="BG87" s="412"/>
      <c r="BH87" s="412"/>
      <c r="BI87" s="412"/>
      <c r="BJ87" s="412"/>
      <c r="BK87" s="409">
        <v>3</v>
      </c>
      <c r="BL87" s="398">
        <f>IF(BK87=0,0,IF(LEN(BC87)=11,_xlfn.XLOOKUP(BC87,'Dispensed Ink Rates'!C:C,'Dispensed Ink Rates'!CS:CS),VLOOKUP(BC87,'Jan-2026 rates'!$E:$F,2,0)))</f>
        <v>0</v>
      </c>
      <c r="BM87" s="409"/>
      <c r="BN87" s="398">
        <f>IF(BM87=0,0,IF(LEN(BD87)=11,_xlfn.XLOOKUP(BD87,'Dispensed Ink Rates'!C:C,'Dispensed Ink Rates'!CS:CS),VLOOKUP(BD87,'Jan-2026 rates'!$E:$F,2,0)))</f>
        <v>0</v>
      </c>
      <c r="BO87" s="409"/>
      <c r="BP87" s="398">
        <f>IF(BO87=0,0,IF(LEN(BE87)=11,_xlfn.XLOOKUP(BE87,'Dispensed Ink Rates'!C:C,'Dispensed Ink Rates'!CS:CS),VLOOKUP(BE87,'Jan-2026 rates'!$E:$F,2,0)))</f>
        <v>0</v>
      </c>
      <c r="BQ87" s="409"/>
      <c r="BR87" s="398">
        <f>IF(BQ87=0,0,IF(LEN(BF87)=11,_xlfn.XLOOKUP(BF87,'Dispensed Ink Rates'!C:C,'Dispensed Ink Rates'!CS:CS),VLOOKUP(BF87,'Jan-2026 rates'!$E:$F,2,0)))</f>
        <v>0</v>
      </c>
      <c r="BS87" s="409"/>
      <c r="BT87" s="398">
        <f>IF(BS87=0,0,IF(LEN(BG87)=11,_xlfn.XLOOKUP(BG87,'Dispensed Ink Rates'!C:C,'Dispensed Ink Rates'!CS:CS),VLOOKUP(BG87,'Jan-2026 rates'!$E:$F,2,0)))</f>
        <v>0</v>
      </c>
      <c r="BU87" s="409"/>
      <c r="BV87" s="398">
        <f>IF(BU87=0,0,IF(LEN(BH87)=11,_xlfn.XLOOKUP(BH87,'Dispensed Ink Rates'!C:C,'Dispensed Ink Rates'!CS:CS),VLOOKUP(BH87,'Jan-2026 rates'!$E:$F,2,0)))</f>
        <v>0</v>
      </c>
      <c r="BW87" s="409"/>
      <c r="BX87" s="398">
        <f>IF(BW87=0,0,IF(LEN(BI87)=11,_xlfn.XLOOKUP(BI87,'Dispensed Ink Rates'!C:C,'Dispensed Ink Rates'!CS:CS),VLOOKUP(BI87,'Jan-2026 rates'!$E:$F,2,0)))</f>
        <v>0</v>
      </c>
      <c r="BY87" s="409"/>
      <c r="BZ87" s="398">
        <f>IF(BY87=0,0,IF(LEN(BJ87)=11,_xlfn.XLOOKUP(BJ87,'Dispensed Ink Rates'!C:C,'Dispensed Ink Rates'!CS:CS),VLOOKUP(BJ87,'Jan-2026 rates'!$E:$F,2,0)))</f>
        <v>0</v>
      </c>
      <c r="CA87" s="409" t="s">
        <v>1443</v>
      </c>
      <c r="CB87" s="409">
        <v>21</v>
      </c>
      <c r="CC87" s="411">
        <f t="shared" si="85"/>
        <v>0</v>
      </c>
      <c r="CD87" s="411">
        <f t="shared" si="86"/>
        <v>8.4909090909090921</v>
      </c>
      <c r="CE87" s="410">
        <f t="shared" si="87"/>
        <v>0</v>
      </c>
      <c r="CF87" s="404" t="s">
        <v>829</v>
      </c>
      <c r="CG87" s="409" t="s">
        <v>2397</v>
      </c>
      <c r="CH87" s="420" t="str">
        <f t="shared" si="55"/>
        <v>FLINTSL - MEDIUM</v>
      </c>
      <c r="CI87" s="409">
        <v>26</v>
      </c>
      <c r="CJ87" s="411">
        <f>IF(CI87=0,0,IF($LB87=70%,VLOOKUP($CH87,'Jan-2026 rates'!$L:$R,4,0),IF($LB87=65%,VLOOKUP($CH87,'Jan-2026 rates'!$L:$R,4,0),IF($LB87=40%,VLOOKUP($CH87,'Jan-2026 rates'!$L:$R,5,0),IF($LB87=30%,VLOOKUP($CH87,'Jan-2026 rates'!$L:$R,6,0),IF($LB87=100%,VLOOKUP($CH87,'Jan-2026 rates'!$L:$R,7,0),IF($LB87=60%,VLOOKUP($CH87,'Jan-2026 rates'!$L:$S,8,0),IF($LB87=80%,VLOOKUP($CH87,'Jan-2026 rates'!L:T,9,0),0))))))))</f>
        <v>0</v>
      </c>
      <c r="CK87" s="412"/>
      <c r="CL87" s="409"/>
      <c r="CM87" s="411">
        <f>IF(CL87=0,0,IF($LB87=70%,VLOOKUP($CH87,'Jan-2026 rates'!$L:$R,4,0),IF($LB87=65%,VLOOKUP($CH87,'Jan-2026 rates'!$L:$R,4,0),IF($LB87=40%,VLOOKUP($CH87,'Jan-2026 rates'!$L:$R,5,0),IF($LB87=30%,VLOOKUP($CH87,'Jan-2026 rates'!$L:$R,6,0),IF($LB87=100%,VLOOKUP($CH87,'Jan-2026 rates'!$L:$R,7,0),IF($LB87=60%,VLOOKUP($CH87,'Jan-2026 rates'!$L:$S,8,0),IF($LB87=80%,VLOOKUP($CH87,'Jan-2026 rates'!L:T,9,0),0))))))))</f>
        <v>0</v>
      </c>
      <c r="CN87" s="426">
        <v>25863000007</v>
      </c>
      <c r="CO87" s="427">
        <v>26505000033</v>
      </c>
      <c r="CP87" s="426" t="s">
        <v>484</v>
      </c>
      <c r="CQ87" s="426"/>
      <c r="CR87" s="428"/>
      <c r="CS87" s="428"/>
      <c r="CT87" s="428"/>
      <c r="CU87" s="428"/>
      <c r="CV87" s="409">
        <v>0.5</v>
      </c>
      <c r="CW87" s="398" t="e">
        <f>IF(CV87=0,0,IF(LEN(CN87)=11,_xlfn.XLOOKUP(CN87,'Dispensed Ink Rates'!C:C,'Dispensed Ink Rates'!CS:CS),VLOOKUP(CN87,'Jan-2026 rates'!$E:$F,2,0)))</f>
        <v>#N/A</v>
      </c>
      <c r="CX87" s="409">
        <v>1</v>
      </c>
      <c r="CY87" s="398" t="e">
        <f>IF(CX87=0,0,IF(LEN(CO87)=11,_xlfn.XLOOKUP(CO87,'Dispensed Ink Rates'!C:C,'Dispensed Ink Rates'!CS:CS),VLOOKUP(CO87,'Jan-2026 rates'!$E:$F,2,0)))</f>
        <v>#N/A</v>
      </c>
      <c r="CZ87" s="409">
        <v>10</v>
      </c>
      <c r="DA87" s="398">
        <f>IF(CZ87=0,0,IF(LEN(CP87)=11,_xlfn.XLOOKUP(CP87,'Dispensed Ink Rates'!C:C,'Dispensed Ink Rates'!CS:CS),VLOOKUP(CP87,'Jan-2026 rates'!$E:$F,2,0)))</f>
        <v>0</v>
      </c>
      <c r="DB87" s="409"/>
      <c r="DC87" s="398">
        <f>IF(DB87=0,0,IF(LEN(CQ87)=11,_xlfn.XLOOKUP(CQ87,'Dispensed Ink Rates'!C:C,'Dispensed Ink Rates'!CS:CS),VLOOKUP(CQ87,'Jan-2026 rates'!$E:$F,2,0)))</f>
        <v>0</v>
      </c>
      <c r="DD87" s="409"/>
      <c r="DE87" s="398">
        <f>IF(DD87=0,0,IF(LEN(CR87)=11,_xlfn.XLOOKUP(CR87,'Dispensed Ink Rates'!C:C,'Dispensed Ink Rates'!CS:CS),VLOOKUP(CR87,'Jan-2026 rates'!$E:$F,2,0)))</f>
        <v>0</v>
      </c>
      <c r="DF87" s="409"/>
      <c r="DG87" s="398">
        <f>IF(DF87=0,0,IF(LEN(CS87)=11,_xlfn.XLOOKUP(CS87,'Dispensed Ink Rates'!C:C,'Dispensed Ink Rates'!CS:CS),VLOOKUP(CS87,'Jan-2026 rates'!$E:$F,2,0)))</f>
        <v>0</v>
      </c>
      <c r="DH87" s="409"/>
      <c r="DI87" s="398">
        <f>IF(DH87=0,0,IF(LEN(CT87)=11,_xlfn.XLOOKUP(CT87,'Dispensed Ink Rates'!C:C,'Dispensed Ink Rates'!CS:CS),VLOOKUP(CT87,'Jan-2026 rates'!$E:$F,2,0)))</f>
        <v>0</v>
      </c>
      <c r="DJ87" s="409"/>
      <c r="DK87" s="398">
        <f>IF(DJ87=0,0,IF(LEN(CU87)=11,_xlfn.XLOOKUP(CU87,'Dispensed Ink Rates'!C:C,'Dispensed Ink Rates'!CS:CS),VLOOKUP(CU87,'Jan-2026 rates'!$E:$F,2,0)))</f>
        <v>0</v>
      </c>
      <c r="DL87" s="409" t="s">
        <v>1443</v>
      </c>
      <c r="DM87" s="409">
        <v>26</v>
      </c>
      <c r="DN87" s="411">
        <f t="shared" si="88"/>
        <v>0</v>
      </c>
      <c r="DO87" s="411">
        <f t="shared" si="89"/>
        <v>27.31818181818182</v>
      </c>
      <c r="DP87" s="410">
        <f t="shared" si="90"/>
        <v>0</v>
      </c>
      <c r="DQ87" s="405" t="s">
        <v>857</v>
      </c>
      <c r="DR87" s="409" t="s">
        <v>3090</v>
      </c>
      <c r="DS87" s="420" t="str">
        <f t="shared" si="56"/>
        <v>FLINTSL - RED</v>
      </c>
      <c r="DT87" s="409">
        <v>20</v>
      </c>
      <c r="DU87" s="411">
        <f>IF(DT87=0,0,IF($LB87=70%,VLOOKUP($DS87,'Jan-2026 rates'!$L:$R,4,0),IF($LB87=65%,VLOOKUP($DS87,'Jan-2026 rates'!$L:$R,4,0),IF($LB87=40%,VLOOKUP($DS87,'Jan-2026 rates'!$L:$R,5,0),IF($LB87=30%,VLOOKUP($DS87,'Jan-2026 rates'!$L:$R,6,0),IF($LB87=100%,VLOOKUP($DS87,'Jan-2026 rates'!$L:$R,7,0),IF($LB87=60%,VLOOKUP($DS87,'Jan-2026 rates'!$L:$S,8,0),IF($LB87=80%,VLOOKUP($DS87,'Jan-2026 rates'!L:T,9,0),0))))))))</f>
        <v>0</v>
      </c>
      <c r="DV87" s="412"/>
      <c r="DW87" s="409"/>
      <c r="DX87" s="411">
        <f>IF(DW87=0,0,IF($LB87=70%,VLOOKUP($DS87,'Jan-2026 rates'!$L:$R,4,0),IF($LB87=65%,VLOOKUP($DS87,'Jan-2026 rates'!$L:$R,4,0),IF($LB87=40%,VLOOKUP($DS87,'Jan-2026 rates'!$L:$R,5,0),IF($LB87=30%,VLOOKUP($DS87,'Jan-2026 rates'!$L:$R,6,0),IF($LB87=100%,VLOOKUP($DS87,'Jan-2026 rates'!$L:$R,7,0),IF($LB87=60%,VLOOKUP($DS87,'Jan-2026 rates'!$L:$S,8,0),IF($LB87=80%,VLOOKUP($DS87,'Jan-2026 rates'!L:T,9,0),0))))))))</f>
        <v>0</v>
      </c>
      <c r="DY87" s="413">
        <v>26506000005</v>
      </c>
      <c r="DZ87" s="413"/>
      <c r="EA87" s="412"/>
      <c r="EB87" s="412"/>
      <c r="EC87" s="412"/>
      <c r="ED87" s="412"/>
      <c r="EE87" s="412"/>
      <c r="EF87" s="412"/>
      <c r="EG87" s="409">
        <v>0.5</v>
      </c>
      <c r="EH87" s="398" t="e">
        <f>IF(EG87=0,0,IF(LEN(DY87)=11,_xlfn.XLOOKUP(DY87,'Dispensed Ink Rates'!C:C,'Dispensed Ink Rates'!CS:CS),VLOOKUP(DY87,'Jan-2026 rates'!$E:$F,2,0)))</f>
        <v>#N/A</v>
      </c>
      <c r="EI87" s="409"/>
      <c r="EJ87" s="398">
        <f>IF(EI87=0,0,IF(LEN(DZ87)=11,_xlfn.XLOOKUP(DZ87,'Dispensed Ink Rates'!C:C,'Dispensed Ink Rates'!CS:CS),VLOOKUP(DZ87,'Jan-2026 rates'!$E:$F,2,0)))</f>
        <v>0</v>
      </c>
      <c r="EK87" s="409"/>
      <c r="EL87" s="398">
        <f>IF(EK87=0,0,IF(LEN(EA87)=11,_xlfn.XLOOKUP(EA87,'Dispensed Ink Rates'!C:C,'Dispensed Ink Rates'!CS:CS),VLOOKUP(EA87,'Jan-2026 rates'!$E:$F,2,0)))</f>
        <v>0</v>
      </c>
      <c r="EM87" s="409"/>
      <c r="EN87" s="398">
        <f>IF(EM87=0,0,IF(LEN(EB87)=11,_xlfn.XLOOKUP(EB87,'Dispensed Ink Rates'!C:C,'Dispensed Ink Rates'!CS:CS),VLOOKUP(EB87,'Jan-2026 rates'!$E:$F,2,0)))</f>
        <v>0</v>
      </c>
      <c r="EO87" s="409"/>
      <c r="EP87" s="398">
        <f>IF(EO87=0,0,IF(LEN(EC87)=11,_xlfn.XLOOKUP(EC87,'Dispensed Ink Rates'!C:C,'Dispensed Ink Rates'!CS:CS),VLOOKUP(EC87,'Jan-2026 rates'!$E:$F,2,0)))</f>
        <v>0</v>
      </c>
      <c r="EQ87" s="409"/>
      <c r="ER87" s="398">
        <f>IF(EQ87=0,0,IF(LEN(ED87)=11,_xlfn.XLOOKUP(ED87,'Dispensed Ink Rates'!C:C,'Dispensed Ink Rates'!CS:CS),VLOOKUP(ED87,'Jan-2026 rates'!$E:$F,2,0)))</f>
        <v>0</v>
      </c>
      <c r="ES87" s="409"/>
      <c r="ET87" s="398">
        <f>IF(ES87=0,0,IF(LEN(EE87)=11,_xlfn.XLOOKUP(EE87,'Dispensed Ink Rates'!C:C,'Dispensed Ink Rates'!CS:CS),VLOOKUP(EE87,'Jan-2026 rates'!$E:$F,2,0)))</f>
        <v>0</v>
      </c>
      <c r="EU87" s="409"/>
      <c r="EV87" s="398">
        <f>IF(EU87=0,0,IF(LEN(EF87)=11,_xlfn.XLOOKUP(EF87,'Dispensed Ink Rates'!C:C,'Dispensed Ink Rates'!CS:CS),VLOOKUP(EF87,'Jan-2026 rates'!$E:$F,2,0)))</f>
        <v>0</v>
      </c>
      <c r="EW87" s="409" t="s">
        <v>1443</v>
      </c>
      <c r="EX87" s="409">
        <v>18</v>
      </c>
      <c r="EY87" s="411">
        <f t="shared" si="91"/>
        <v>0</v>
      </c>
      <c r="EZ87" s="411">
        <f t="shared" si="92"/>
        <v>18.31818181818182</v>
      </c>
      <c r="FA87" s="410">
        <f t="shared" si="93"/>
        <v>0</v>
      </c>
      <c r="FB87" s="405" t="s">
        <v>547</v>
      </c>
      <c r="FC87" s="409" t="s">
        <v>3091</v>
      </c>
      <c r="FD87" s="420" t="str">
        <f t="shared" si="57"/>
        <v>FLINTSL - GREEN</v>
      </c>
      <c r="FE87" s="409">
        <v>32</v>
      </c>
      <c r="FF87" s="411">
        <f>IF(FE87=0,0,IF($LB87=70%,VLOOKUP($FD87,'Jan-2026 rates'!$L:$R,4,0),IF($LB87=65%,VLOOKUP($FD87,'Jan-2026 rates'!$L:$R,4,0),IF($LB87=40%,VLOOKUP($FD87,'Jan-2026 rates'!$L:$R,5,0),IF($LB87=30%,VLOOKUP($FD87,'Jan-2026 rates'!$L:$R,6,0),IF($LB87=100%,VLOOKUP($FD87,'Jan-2026 rates'!$L:$R,7,0),IF($LB87=60%,VLOOKUP($FD87,'Jan-2026 rates'!$L:$S,8,0),IF($LB87=80%,VLOOKUP($FD87,'Jan-2026 rates'!L:T,9,0),0))))))))</f>
        <v>0</v>
      </c>
      <c r="FG87" s="412"/>
      <c r="FH87" s="409"/>
      <c r="FI87" s="411">
        <f>IF(FH87=0,0,IF($LB87=70%,VLOOKUP($FD87,'Jan-2026 rates'!$L:$R,4,0),IF($LB87=65%,VLOOKUP($FD87,'Jan-2026 rates'!$L:$R,4,0),IF($LB87=40%,VLOOKUP($FD87,'Jan-2026 rates'!$L:$R,5,0),IF($LB87=30%,VLOOKUP($FD87,'Jan-2026 rates'!$L:$R,6,0),IF($LB87=100%,VLOOKUP($FD87,'Jan-2026 rates'!$L:$R,7,0),IF($LB87=60%,VLOOKUP($FD87,'Jan-2026 rates'!$L:$S,8,0),IF($LB87=80%,VLOOKUP($FD87,'Jan-2026 rates'!L:T,9,0),0))))))))</f>
        <v>0</v>
      </c>
      <c r="FJ87" s="413">
        <v>9472</v>
      </c>
      <c r="FK87" s="413">
        <v>26501000001</v>
      </c>
      <c r="FL87" s="413"/>
      <c r="FM87" s="412"/>
      <c r="FN87" s="412"/>
      <c r="FO87" s="412"/>
      <c r="FP87" s="412"/>
      <c r="FQ87" s="412"/>
      <c r="FR87" s="409">
        <v>1</v>
      </c>
      <c r="FS87" s="398">
        <f>IF(FR87=0,0,IF(LEN(FJ87)=11,_xlfn.XLOOKUP(FJ87,'Dispensed Ink Rates'!C:C,'Dispensed Ink Rates'!CS:CS),VLOOKUP(FJ87,'Jan-2026 rates'!$E:$F,2,0)))</f>
        <v>0</v>
      </c>
      <c r="FT87" s="409">
        <v>1</v>
      </c>
      <c r="FU87" s="398" t="e">
        <f>IF(FT87=0,0,IF(LEN(FK87)=11,_xlfn.XLOOKUP(FK87,'Dispensed Ink Rates'!C:C,'Dispensed Ink Rates'!CS:CS),VLOOKUP(FK87,'Jan-2026 rates'!$E:$F,2,0)))</f>
        <v>#N/A</v>
      </c>
      <c r="FV87" s="409"/>
      <c r="FW87" s="398">
        <f>IF(FV87=0,0,IF(LEN(FL87)=11,_xlfn.XLOOKUP(FL87,'Dispensed Ink Rates'!C:C,'Dispensed Ink Rates'!CS:CS),VLOOKUP(FL87,'Jan-2026 rates'!$E:$F,2,0)))</f>
        <v>0</v>
      </c>
      <c r="FX87" s="409"/>
      <c r="FY87" s="398">
        <f>IF(FX87=0,0,IF(LEN(FM87)=11,_xlfn.XLOOKUP(FM87,'Dispensed Ink Rates'!C:C,'Dispensed Ink Rates'!CS:CS),VLOOKUP(FM87,'Jan-2026 rates'!$E:$F,2,0)))</f>
        <v>0</v>
      </c>
      <c r="FZ87" s="409"/>
      <c r="GA87" s="398">
        <f>IF(FZ87=0,0,IF(LEN(FN87)=11,_xlfn.XLOOKUP(FN87,'Dispensed Ink Rates'!C:C,'Dispensed Ink Rates'!CS:CS),VLOOKUP(FN87,'Jan-2026 rates'!$E:$F,2,0)))</f>
        <v>0</v>
      </c>
      <c r="GB87" s="409"/>
      <c r="GC87" s="398">
        <f>IF(GB87=0,0,IF(LEN(FO87)=11,_xlfn.XLOOKUP(FO87,'Dispensed Ink Rates'!C:C,'Dispensed Ink Rates'!CS:CS),VLOOKUP(FO87,'Jan-2026 rates'!$E:$F,2,0)))</f>
        <v>0</v>
      </c>
      <c r="GD87" s="409"/>
      <c r="GE87" s="398">
        <f>IF(GD87=0,0,IF(LEN(FP87)=11,_xlfn.XLOOKUP(FP87,'Dispensed Ink Rates'!C:C,'Dispensed Ink Rates'!CS:CS),VLOOKUP(FP87,'Jan-2026 rates'!$E:$F,2,0)))</f>
        <v>0</v>
      </c>
      <c r="GF87" s="409"/>
      <c r="GG87" s="398">
        <f>IF(GF87=0,0,IF(LEN(FQ87)=11,_xlfn.XLOOKUP(FQ87,'Dispensed Ink Rates'!C:C,'Dispensed Ink Rates'!CS:CS),VLOOKUP(FQ87,'Jan-2026 rates'!$E:$F,2,0)))</f>
        <v>0</v>
      </c>
      <c r="GH87" s="409" t="s">
        <v>1443</v>
      </c>
      <c r="GI87" s="409">
        <v>30</v>
      </c>
      <c r="GJ87" s="411">
        <f t="shared" si="94"/>
        <v>0</v>
      </c>
      <c r="GK87" s="411">
        <f t="shared" si="95"/>
        <v>16.654545454545456</v>
      </c>
      <c r="GL87" s="410">
        <f t="shared" si="96"/>
        <v>0</v>
      </c>
      <c r="GM87" s="405" t="s">
        <v>546</v>
      </c>
      <c r="GN87" s="409"/>
      <c r="GO87" s="420" t="str">
        <f t="shared" si="58"/>
        <v>FLINTSL - REFLEX BLUE</v>
      </c>
      <c r="GP87" s="409"/>
      <c r="GQ87" s="411">
        <f>IF(GP87=0,0,IF($LB87=70%,VLOOKUP($GO87,'Jan-2026 rates'!$L:$R,4,0),IF($LB87=65%,VLOOKUP($GO87,'Jan-2026 rates'!$L:$R,4,0),IF($LB87=40%,VLOOKUP($GO87,'Jan-2026 rates'!$L:$R,5,0),IF($LB87=30%,VLOOKUP($GO87,'Jan-2026 rates'!$L:$R,6,0),IF($LB87=100%,VLOOKUP($GO87,'Jan-2026 rates'!$L:$R,7,0),IF($LB87=60%,VLOOKUP($GO87,'Jan-2026 rates'!$L:$S,8,0),IF($LB87=80%,VLOOKUP($GO87,'Jan-2026 rates'!L:T,9,0),0))))))))</f>
        <v>0</v>
      </c>
      <c r="GR87" s="412"/>
      <c r="GS87" s="409"/>
      <c r="GT87" s="411">
        <f>IF(GS87=0,0,IF($LB87=70%,VLOOKUP($GO87,'Jan-2026 rates'!$L:$R,4,0),IF($LB87=65%,VLOOKUP($GO87,'Jan-2026 rates'!$L:$R,4,0),IF($LB87=40%,VLOOKUP($GO87,'Jan-2026 rates'!$L:$R,5,0),IF($LB87=30%,VLOOKUP($GO87,'Jan-2026 rates'!$L:$R,6,0),IF($LB87=100%,VLOOKUP($GO87,'Jan-2026 rates'!$L:$R,7,0),IF($LB87=60%,VLOOKUP($GO87,'Jan-2026 rates'!$L:$S,8,0),IF($LB87=80%,VLOOKUP($GO87,'Jan-2026 rates'!L:T,9,0),0))))))))</f>
        <v>0</v>
      </c>
      <c r="GU87" s="413" t="s">
        <v>1266</v>
      </c>
      <c r="GV87" s="413">
        <v>26505000014</v>
      </c>
      <c r="GW87" s="412">
        <v>26507000002</v>
      </c>
      <c r="GX87" s="412">
        <v>26505000033</v>
      </c>
      <c r="GY87" s="412"/>
      <c r="GZ87" s="412"/>
      <c r="HA87" s="412"/>
      <c r="HB87" s="412"/>
      <c r="HC87" s="409">
        <v>7</v>
      </c>
      <c r="HD87" s="398">
        <f>IF(HC87=0,0,IF(LEN(GU87)=11,_xlfn.XLOOKUP(GU87,'Dispensed Ink Rates'!C:C,'Dispensed Ink Rates'!CS:CS),VLOOKUP(GU87,'Jan-2026 rates'!$E:$F,2,0)))</f>
        <v>0</v>
      </c>
      <c r="HE87" s="409">
        <v>20</v>
      </c>
      <c r="HF87" s="398" t="e">
        <f>IF(HE87=0,0,IF(LEN(GV87)=11,_xlfn.XLOOKUP(GV87,'Dispensed Ink Rates'!C:C,'Dispensed Ink Rates'!CS:CS),VLOOKUP(GV87,'Jan-2026 rates'!$E:$F,2,0)))</f>
        <v>#N/A</v>
      </c>
      <c r="HG87" s="409">
        <v>25</v>
      </c>
      <c r="HH87" s="398" t="e">
        <f>IF(HG87=0,0,IF(LEN(GW87)=11,_xlfn.XLOOKUP(GW87,'Dispensed Ink Rates'!C:C,'Dispensed Ink Rates'!CS:CS),VLOOKUP(GW87,'Jan-2026 rates'!$E:$F,2,0)))</f>
        <v>#N/A</v>
      </c>
      <c r="HI87" s="409">
        <v>1</v>
      </c>
      <c r="HJ87" s="398" t="e">
        <f>IF(HI87=0,0,IF(LEN(GX87)=11,_xlfn.XLOOKUP(GX87,'Dispensed Ink Rates'!C:C,'Dispensed Ink Rates'!CS:CS),VLOOKUP(GX87,'Jan-2026 rates'!$E:$F,2,0)))</f>
        <v>#N/A</v>
      </c>
      <c r="HK87" s="409"/>
      <c r="HL87" s="398">
        <f>IF(HK87=0,0,IF(LEN(GY87)=11,_xlfn.XLOOKUP(GY87,'Dispensed Ink Rates'!C:C,'Dispensed Ink Rates'!CS:CS),VLOOKUP(GY87,'Jan-2026 rates'!$E:$F,2,0)))</f>
        <v>0</v>
      </c>
      <c r="HM87" s="409"/>
      <c r="HN87" s="398">
        <f>IF(HM87=0,0,IF(LEN(GZ87)=11,_xlfn.XLOOKUP(GZ87,'Dispensed Ink Rates'!C:C,'Dispensed Ink Rates'!CS:CS),VLOOKUP(GZ87,'Jan-2026 rates'!$E:$F,2,0)))</f>
        <v>0</v>
      </c>
      <c r="HO87" s="409"/>
      <c r="HP87" s="398">
        <f>IF(HO87=0,0,IF(LEN(HA87)=11,_xlfn.XLOOKUP(HA87,'Dispensed Ink Rates'!C:C,'Dispensed Ink Rates'!CS:CS),VLOOKUP(HA87,'Jan-2026 rates'!$E:$F,2,0)))</f>
        <v>0</v>
      </c>
      <c r="HQ87" s="409"/>
      <c r="HR87" s="398">
        <f>IF(HQ87=0,0,IF(LEN(HB87)=11,_xlfn.XLOOKUP(HB87,'Dispensed Ink Rates'!C:C,'Dispensed Ink Rates'!CS:CS),VLOOKUP(HB87,'Jan-2026 rates'!$E:$F,2,0)))</f>
        <v>0</v>
      </c>
      <c r="HS87" s="409" t="s">
        <v>1443</v>
      </c>
      <c r="HT87" s="409">
        <v>20</v>
      </c>
      <c r="HU87" s="411">
        <f t="shared" si="97"/>
        <v>0</v>
      </c>
      <c r="HV87" s="411">
        <f t="shared" si="98"/>
        <v>51.981818181818184</v>
      </c>
      <c r="HW87" s="414">
        <f t="shared" si="99"/>
        <v>0</v>
      </c>
      <c r="HX87" s="405" t="s">
        <v>856</v>
      </c>
      <c r="HY87" s="409" t="s">
        <v>3092</v>
      </c>
      <c r="HZ87" s="420" t="str">
        <f t="shared" si="59"/>
        <v>FLINTSL - WHITE</v>
      </c>
      <c r="IA87" s="409">
        <v>30</v>
      </c>
      <c r="IB87" s="411">
        <f>IF(IA87=0,0,IF($LB87=70%,VLOOKUP($HZ87,'Jan-2026 rates'!$L:$R,4,0),IF($LB87=65%,VLOOKUP($HZ87,'Jan-2026 rates'!$L:$R,4,0),IF($LB87=40%,VLOOKUP($HZ87,'Jan-2026 rates'!$L:$R,5,0),IF($LB87=30%,VLOOKUP($HZ87,'Jan-2026 rates'!$L:$R,6,0),IF($LB87=100%,VLOOKUP($HZ87,'Jan-2026 rates'!$L:$R,7,0),IF($LB87=60%,VLOOKUP($HZ87,'Jan-2026 rates'!$L:$S,8,0),IF($LB87=80%,VLOOKUP($HZ87,'Jan-2026 rates'!L:T,9,0),0))))))))</f>
        <v>0</v>
      </c>
      <c r="IC87" s="412"/>
      <c r="ID87" s="409"/>
      <c r="IE87" s="411">
        <f>IF(ID87=0,0,IF($LB87=70%,VLOOKUP($HZ87,'Jan-2026 rates'!$L:$R,4,0),IF($LB87=65%,VLOOKUP($HZ87,'Jan-2026 rates'!$L:$R,4,0),IF($LB87=40%,VLOOKUP($HZ87,'Jan-2026 rates'!$L:$R,5,0),IF($LB87=30%,VLOOKUP($HZ87,'Jan-2026 rates'!$L:$R,6,0),IF($LB87=100%,VLOOKUP($HZ87,'Jan-2026 rates'!$L:$R,7,0),IF($LB87=60%,VLOOKUP($HZ87,'Jan-2026 rates'!$L:$S,8,0),IF($LB87=80%,VLOOKUP($HZ87,'Jan-2026 rates'!L:T,9,0),0))))))))</f>
        <v>0</v>
      </c>
      <c r="IF87" s="412" t="s">
        <v>484</v>
      </c>
      <c r="IG87" s="413"/>
      <c r="IH87" s="412"/>
      <c r="II87" s="412"/>
      <c r="IJ87" s="412"/>
      <c r="IK87" s="412"/>
      <c r="IL87" s="412"/>
      <c r="IM87" s="412"/>
      <c r="IN87" s="409">
        <f>50+30</f>
        <v>80</v>
      </c>
      <c r="IO87" s="398">
        <f>IF(IN87=0,0,IF(LEN(IF87)=11,_xlfn.XLOOKUP(IF87,'Dispensed Ink Rates'!C:C,'Dispensed Ink Rates'!CS:CS),VLOOKUP(IF87,'Jan-2026 rates'!$E:$F,2,0)))</f>
        <v>0</v>
      </c>
      <c r="IP87" s="409"/>
      <c r="IQ87" s="398">
        <f>IF(IP87=0,0,IF(LEN(IG87)=11,_xlfn.XLOOKUP(IG87,'Dispensed Ink Rates'!C:C,'Dispensed Ink Rates'!CS:CS),VLOOKUP(IG87,'Jan-2026 rates'!$E:$F,2,0)))</f>
        <v>0</v>
      </c>
      <c r="IR87" s="409"/>
      <c r="IS87" s="398">
        <f>IF(IR87=0,0,IF(LEN(IH87)=11,_xlfn.XLOOKUP(IH87,'Dispensed Ink Rates'!C:C,'Dispensed Ink Rates'!CS:CS),VLOOKUP(IH87,'Jan-2026 rates'!$E:$F,2,0)))</f>
        <v>0</v>
      </c>
      <c r="IT87" s="409"/>
      <c r="IU87" s="398">
        <f>IF(IT87=0,0,IF(LEN(II87)=11,_xlfn.XLOOKUP(II87,'Dispensed Ink Rates'!C:C,'Dispensed Ink Rates'!CS:CS),VLOOKUP(II87,'Jan-2026 rates'!$E:$F,2,0)))</f>
        <v>0</v>
      </c>
      <c r="IV87" s="409"/>
      <c r="IW87" s="398">
        <f>IF(IV87=0,0,IF(LEN(IJ87)=11,_xlfn.XLOOKUP(IJ87,'Dispensed Ink Rates'!C:C,'Dispensed Ink Rates'!CS:CS),VLOOKUP(IJ87,'Jan-2026 rates'!$E:$F,2,0)))</f>
        <v>0</v>
      </c>
      <c r="IX87" s="409"/>
      <c r="IY87" s="398">
        <f>IF(IX87=0,0,IF(LEN(IK87)=11,_xlfn.XLOOKUP(IK87,'Dispensed Ink Rates'!C:C,'Dispensed Ink Rates'!CS:CS),VLOOKUP(IK87,'Jan-2026 rates'!$E:$F,2,0)))</f>
        <v>0</v>
      </c>
      <c r="IZ87" s="409"/>
      <c r="JA87" s="398">
        <f>IF(IZ87=0,0,IF(LEN(IL87)=11,_xlfn.XLOOKUP(IL87,'Dispensed Ink Rates'!C:C,'Dispensed Ink Rates'!CS:CS),VLOOKUP(IL87,'Jan-2026 rates'!$E:$F,2,0)))</f>
        <v>0</v>
      </c>
      <c r="JB87" s="409"/>
      <c r="JC87" s="398">
        <f>IF(JB87=0,0,IF(LEN(IM87)=11,_xlfn.XLOOKUP(IM87,'Dispensed Ink Rates'!C:C,'Dispensed Ink Rates'!CS:CS),VLOOKUP(IM87,'Jan-2026 rates'!$E:$F,2,0)))</f>
        <v>0</v>
      </c>
      <c r="JD87" s="409" t="s">
        <v>1443</v>
      </c>
      <c r="JE87" s="409">
        <v>25</v>
      </c>
      <c r="JF87" s="411">
        <f t="shared" si="100"/>
        <v>0</v>
      </c>
      <c r="JG87" s="411">
        <f t="shared" si="101"/>
        <v>179.90909090909091</v>
      </c>
      <c r="JH87" s="410">
        <f t="shared" si="102"/>
        <v>0</v>
      </c>
      <c r="JI87" s="405"/>
      <c r="JJ87" s="409"/>
      <c r="JK87" s="420" t="str">
        <f t="shared" si="60"/>
        <v xml:space="preserve"> - </v>
      </c>
      <c r="JL87" s="409"/>
      <c r="JM87" s="411">
        <f>IF(JL87=0,0,IF($LB87=70%,VLOOKUP($JK87,'Jan-2026 rates'!$L:$R,4,0),IF($LB87=65%,VLOOKUP($JK87,'Jan-2026 rates'!$L:$R,4,0),IF($LB87=40%,VLOOKUP($JK87,'Jan-2026 rates'!$L:$R,5,0),IF($LB87=30%,VLOOKUP($JK87,'Jan-2026 rates'!$L:$R,6,0),IF($LB87=100%,VLOOKUP($JK87,'Jan-2026 rates'!$L:$R,7,0),IF($LB87=60%,VLOOKUP($JK87,'Jan-2026 rates'!$L:$S,8,0),IF($LB87=80%,VLOOKUP($JK87,'Jan-2026 rates'!L:T,9,0),0))))))))</f>
        <v>0</v>
      </c>
      <c r="JN87" s="412"/>
      <c r="JO87" s="409"/>
      <c r="JP87" s="411">
        <f>IF(JO87=0,0,IF($LB87=70%,VLOOKUP($JK87,'Jan-2026 rates'!$L:$R,4,0),IF($LB87=65%,VLOOKUP($JK87,'Jan-2026 rates'!$L:$R,4,0),IF($LB87=40%,VLOOKUP($JK87,'Jan-2026 rates'!$L:$R,5,0),IF($LB87=30%,VLOOKUP($JK87,'Jan-2026 rates'!$L:$R,6,0),IF($LB87=100%,VLOOKUP($JK87,'Jan-2026 rates'!$L:$R,7,0),IF($LB87=60%,VLOOKUP($JK87,'Jan-2026 rates'!$L:$S,8,0),IF($LB87=80%,VLOOKUP($JK87,'Jan-2026 rates'!L:T,9,0),0))))))))</f>
        <v>0</v>
      </c>
      <c r="JQ87" s="413"/>
      <c r="JR87" s="412"/>
      <c r="JS87" s="413"/>
      <c r="JT87" s="413"/>
      <c r="JU87" s="412"/>
      <c r="JV87" s="412"/>
      <c r="JW87" s="412"/>
      <c r="JX87" s="412"/>
      <c r="JY87" s="409"/>
      <c r="JZ87" s="398">
        <f>IF(JY87=0,0,IF(LEN(JQ87)=11,_xlfn.XLOOKUP(JQ87,'Dispensed Ink Rates'!C:C,'Dispensed Ink Rates'!CS:CS),VLOOKUP(JQ87,'Jan-2026 rates'!$E:$F,2,0)))</f>
        <v>0</v>
      </c>
      <c r="KA87" s="409"/>
      <c r="KB87" s="398">
        <f>IF(KA87=0,0,IF(LEN(JR87)=11,_xlfn.XLOOKUP(JR87,'Dispensed Ink Rates'!C:C,'Dispensed Ink Rates'!CS:CS),VLOOKUP(JR87,'Jan-2026 rates'!$E:$F,2,0)))</f>
        <v>0</v>
      </c>
      <c r="KC87" s="409"/>
      <c r="KD87" s="398">
        <f>IF(KC87=0,0,IF(LEN(JS87)=11,_xlfn.XLOOKUP(JS87,'Dispensed Ink Rates'!C:C,'Dispensed Ink Rates'!CS:CS),VLOOKUP(JS87,'Jan-2026 rates'!$E:$F,2,0)))</f>
        <v>0</v>
      </c>
      <c r="KE87" s="409"/>
      <c r="KF87" s="398">
        <f>IF(KE87=0,0,IF(LEN(JT87)=11,_xlfn.XLOOKUP(JT87,'Dispensed Ink Rates'!C:C,'Dispensed Ink Rates'!CS:CS),VLOOKUP(JT87,'Jan-2026 rates'!$E:$F,2,0)))</f>
        <v>0</v>
      </c>
      <c r="KG87" s="409"/>
      <c r="KH87" s="398">
        <f>IF(KG87=0,0,IF(LEN(JU87)=11,_xlfn.XLOOKUP(JU87,'Dispensed Ink Rates'!C:C,'Dispensed Ink Rates'!CS:CS),VLOOKUP(JU87,'Jan-2026 rates'!$E:$F,2,0)))</f>
        <v>0</v>
      </c>
      <c r="KI87" s="409"/>
      <c r="KJ87" s="398">
        <f>IF(KI87=0,0,IF(LEN(JV87)=11,_xlfn.XLOOKUP(JV87,'Dispensed Ink Rates'!C:C,'Dispensed Ink Rates'!CS:CS),VLOOKUP(JV87,'Jan-2026 rates'!$E:$F,2,0)))</f>
        <v>0</v>
      </c>
      <c r="KK87" s="409"/>
      <c r="KL87" s="398">
        <f>IF(KK87=0,0,IF(LEN(JW87)=11,_xlfn.XLOOKUP(JW87,'Dispensed Ink Rates'!C:C,'Dispensed Ink Rates'!CS:CS),VLOOKUP(JW87,'Jan-2026 rates'!$E:$F,2,0)))</f>
        <v>0</v>
      </c>
      <c r="KM87" s="428"/>
      <c r="KN87" s="398">
        <f>IF(KM87=0,0,IF(LEN(JX87)=11,_xlfn.XLOOKUP(JX87,'Dispensed Ink Rates'!C:C,'Dispensed Ink Rates'!CS:CS),VLOOKUP(JX87,'Jan-2026 rates'!$E:$F,2,0)))</f>
        <v>0</v>
      </c>
      <c r="KO87" s="409"/>
      <c r="KP87" s="409"/>
      <c r="KQ87" s="411">
        <f t="shared" si="103"/>
        <v>0</v>
      </c>
      <c r="KR87" s="411">
        <f t="shared" si="104"/>
        <v>0</v>
      </c>
      <c r="KS87" s="410">
        <f t="shared" si="105"/>
        <v>0</v>
      </c>
      <c r="KT87" s="409">
        <v>2</v>
      </c>
      <c r="KU87" s="409">
        <v>3</v>
      </c>
      <c r="KV87" s="409">
        <v>5</v>
      </c>
      <c r="KW87" s="409">
        <v>5</v>
      </c>
      <c r="KX87" s="409">
        <v>4</v>
      </c>
      <c r="KY87" s="409">
        <v>6</v>
      </c>
      <c r="KZ87" s="409">
        <v>30</v>
      </c>
      <c r="LA87" s="409">
        <v>0</v>
      </c>
      <c r="LB87" s="415">
        <v>0.8</v>
      </c>
      <c r="LC87" s="415">
        <v>0.2</v>
      </c>
      <c r="LD87" s="415"/>
      <c r="LE87" s="415"/>
      <c r="LF87" s="415"/>
      <c r="LG87" s="409">
        <v>0</v>
      </c>
      <c r="LH87" s="409">
        <f>36+30+80+20+8</f>
        <v>174</v>
      </c>
      <c r="LI87" s="409">
        <v>0</v>
      </c>
      <c r="LJ87" s="409">
        <v>0</v>
      </c>
      <c r="LK87" s="416">
        <f t="shared" si="61"/>
        <v>174</v>
      </c>
      <c r="LL87" s="416">
        <f t="shared" si="62"/>
        <v>174</v>
      </c>
      <c r="LM87" s="417">
        <f t="shared" si="63"/>
        <v>139.20000000000002</v>
      </c>
      <c r="LN87" s="417">
        <f>VLOOKUP($LM$8,'Jan-2026 rates'!$H:$I,2,0)</f>
        <v>0</v>
      </c>
      <c r="LO87" s="417">
        <f t="shared" si="64"/>
        <v>34.800000000000004</v>
      </c>
      <c r="LP87" s="417">
        <f>VLOOKUP($LO$8,'Jan-2026 rates'!$H:$I,2,0)</f>
        <v>0</v>
      </c>
      <c r="LQ87" s="417">
        <f t="shared" si="65"/>
        <v>0</v>
      </c>
      <c r="LR87" s="417">
        <f>VLOOKUP($LQ$8,'Jan-2026 rates'!$H:$I,2,0)</f>
        <v>0</v>
      </c>
      <c r="LS87" s="417">
        <f t="shared" si="66"/>
        <v>0</v>
      </c>
      <c r="LT87" s="417">
        <f>VLOOKUP($LS$8,'Jan-2026 rates'!$H:$I,2,0)</f>
        <v>0</v>
      </c>
      <c r="LU87" s="417">
        <f t="shared" si="67"/>
        <v>0</v>
      </c>
      <c r="LV87" s="417">
        <f>VLOOKUP($LU$8,'Jan-2026 rates'!$H:$I,2,0)</f>
        <v>0</v>
      </c>
      <c r="LW87" s="417">
        <f t="shared" si="68"/>
        <v>0</v>
      </c>
      <c r="LX87" s="417">
        <f t="shared" si="69"/>
        <v>0</v>
      </c>
      <c r="LY87" s="418">
        <f t="shared" si="70"/>
        <v>0</v>
      </c>
      <c r="LZ87" s="417"/>
      <c r="MA87" s="435">
        <f t="shared" si="71"/>
        <v>150</v>
      </c>
      <c r="MB87" s="282">
        <f t="shared" si="72"/>
        <v>312</v>
      </c>
      <c r="MC87" s="283">
        <v>42</v>
      </c>
      <c r="MD87" s="284" t="str">
        <f t="shared" si="73"/>
        <v>FLINTSLFLINTSLFLINTSLFLINTSLFLINTSLFLINTSLFLINTSL</v>
      </c>
      <c r="ME87" s="293" t="str">
        <f t="shared" si="74"/>
        <v>+</v>
      </c>
      <c r="MF87" s="293" t="str">
        <f t="shared" si="75"/>
        <v>+</v>
      </c>
      <c r="MG87" s="293" t="str">
        <f t="shared" si="76"/>
        <v>+</v>
      </c>
      <c r="MH87" s="293" t="str">
        <f t="shared" si="77"/>
        <v>+</v>
      </c>
      <c r="MI87" s="293" t="str">
        <f t="shared" si="78"/>
        <v>+</v>
      </c>
      <c r="MJ87" s="293" t="str">
        <f t="shared" si="79"/>
        <v>+</v>
      </c>
      <c r="MK87" s="293" t="str">
        <f t="shared" si="80"/>
        <v>+</v>
      </c>
      <c r="ML87" s="293" t="str">
        <f t="shared" si="81"/>
        <v>NIL</v>
      </c>
      <c r="MM87" s="3" t="b">
        <f t="array" ref="MM87">OR(ME87:ML87="-")</f>
        <v>0</v>
      </c>
      <c r="MN87" s="285"/>
      <c r="MO87" s="401"/>
      <c r="MP87" s="286"/>
      <c r="MQ87" s="286"/>
      <c r="MR87" s="402"/>
      <c r="MS87" s="400"/>
      <c r="NH87" s="422"/>
      <c r="NJ87" s="421"/>
    </row>
    <row r="88" spans="1:374" s="1" customFormat="1" ht="16.5">
      <c r="A88" s="403">
        <v>46028</v>
      </c>
      <c r="B88" s="404" t="s">
        <v>1015</v>
      </c>
      <c r="C88" s="405" t="s">
        <v>3093</v>
      </c>
      <c r="D88" s="406">
        <v>43</v>
      </c>
      <c r="E88" s="404">
        <v>255</v>
      </c>
      <c r="F88" s="407">
        <v>11600</v>
      </c>
      <c r="G88" s="407" t="s">
        <v>1019</v>
      </c>
      <c r="H88" s="408" t="s">
        <v>1017</v>
      </c>
      <c r="I88" s="409">
        <v>1.92</v>
      </c>
      <c r="J88" s="405" t="s">
        <v>548</v>
      </c>
      <c r="K88" s="404" t="s">
        <v>3094</v>
      </c>
      <c r="L88" s="419" t="str">
        <f t="shared" si="54"/>
        <v>FLINTSL - GOLD</v>
      </c>
      <c r="M88" s="404">
        <v>21</v>
      </c>
      <c r="N88" s="410">
        <f>IF(M88=0,0,IF($LB88=70%,VLOOKUP($L88,'Jan-2026 rates'!$L:$R,4,0),IF($LB88=65%,VLOOKUP($L88,'Jan-2026 rates'!$L:$R,4,0),IF($LB88=40%,VLOOKUP($L88,'Jan-2026 rates'!$L:$R,5,0),IF($LB88=30%,VLOOKUP($L88,'Jan-2026 rates'!$L:$R,6,0),IF($LB88=100%,VLOOKUP($L88,'Jan-2026 rates'!$L:$R,7,0),IF($LB88=60%,VLOOKUP($L88,'Jan-2026 rates'!$L:$S,8,0),IF($LB88=80%,VLOOKUP($L88,'Jan-2026 rates'!L:T,9,0),0))))))))</f>
        <v>0</v>
      </c>
      <c r="O88" s="406"/>
      <c r="P88" s="404"/>
      <c r="Q88" s="410">
        <f>IF(P88=0,0,IF($LB88=70%,VLOOKUP($L88,'Jan-2026 rates'!$L:$R,4,0),IF($LB88=65%,VLOOKUP($L88,'Jan-2026 rates'!$L:$R,4,0),IF($LB88=40%,VLOOKUP($L88,'Jan-2026 rates'!$L:$R,5,0),IF($LB88=30%,VLOOKUP($L88,'Jan-2026 rates'!$L:$R,6,0),IF($LB88=100%,VLOOKUP($L88,'Jan-2026 rates'!$L:$R,7,0),IF($LB88=60%,VLOOKUP($L88,'Jan-2026 rates'!$L:$S,8,0),IF($LB88=80%,VLOOKUP($L88,'Jan-2026 rates'!L:T,9,0),0))))))))</f>
        <v>0</v>
      </c>
      <c r="R88" s="406" t="s">
        <v>1340</v>
      </c>
      <c r="S88" s="406">
        <v>26505000033</v>
      </c>
      <c r="T88" s="406"/>
      <c r="U88" s="406"/>
      <c r="V88" s="406"/>
      <c r="W88" s="406"/>
      <c r="X88" s="406"/>
      <c r="Y88" s="406"/>
      <c r="Z88" s="404">
        <v>5</v>
      </c>
      <c r="AA88" s="398">
        <f>IF(Z88=0,0,IF(LEN(R88)=11,_xlfn.XLOOKUP(R88,'Dispensed Ink Rates'!C:C,'Dispensed Ink Rates'!CS:CS),VLOOKUP(R88,'Jan-2026 rates'!$E:$F,2,0)))</f>
        <v>0</v>
      </c>
      <c r="AB88" s="404">
        <v>1</v>
      </c>
      <c r="AC88" s="398" t="e">
        <f>IF(AB88=0,0,IF(LEN(S88)=11,_xlfn.XLOOKUP(S88,'Dispensed Ink Rates'!C:C,'Dispensed Ink Rates'!CS:CS),VLOOKUP(S88,'Jan-2026 rates'!$E:$F,2,0)))</f>
        <v>#N/A</v>
      </c>
      <c r="AD88" s="404"/>
      <c r="AE88" s="398">
        <f>IF(AD88=0,0,IF(LEN(T88)=11,_xlfn.XLOOKUP(T88,'Dispensed Ink Rates'!C:C,'Dispensed Ink Rates'!CS:CS),VLOOKUP(T88,'Jan-2026 rates'!$E:$F,2,0)))</f>
        <v>0</v>
      </c>
      <c r="AF88" s="404"/>
      <c r="AG88" s="398">
        <f>IF(AF88=0,0,IF(LEN(U88)=11,_xlfn.XLOOKUP(U88,'Dispensed Ink Rates'!C:C,'Dispensed Ink Rates'!CS:CS),VLOOKUP(U88,'Jan-2026 rates'!$E:$F,2,0)))</f>
        <v>0</v>
      </c>
      <c r="AH88" s="404"/>
      <c r="AI88" s="398">
        <f>IF(AH88=0,0,IF(LEN(V88)=11,_xlfn.XLOOKUP(V88,'Dispensed Ink Rates'!C:C,'Dispensed Ink Rates'!CS:CS),VLOOKUP(V88,'Jan-2026 rates'!$E:$F,2,0)))</f>
        <v>0</v>
      </c>
      <c r="AJ88" s="404"/>
      <c r="AK88" s="398">
        <f>IF(AJ88=0,0,IF(LEN(W88)=11,_xlfn.XLOOKUP(W88,'Dispensed Ink Rates'!C:C,'Dispensed Ink Rates'!CS:CS),VLOOKUP(W88,'Jan-2026 rates'!$E:$F,2,0)))</f>
        <v>0</v>
      </c>
      <c r="AL88" s="404"/>
      <c r="AM88" s="398">
        <f>IF(AL88=0,0,IF(LEN(X88)=11,_xlfn.XLOOKUP(X88,'Dispensed Ink Rates'!C:C,'Dispensed Ink Rates'!CS:CS),VLOOKUP(X88,'Jan-2026 rates'!$E:$F,2,0)))</f>
        <v>0</v>
      </c>
      <c r="AN88" s="404"/>
      <c r="AO88" s="398">
        <f>IF(AN88=0,0,IF(LEN(Y88)=11,_xlfn.XLOOKUP(Y88,'Dispensed Ink Rates'!C:C,'Dispensed Ink Rates'!CS:CS),VLOOKUP(Y88,'Jan-2026 rates'!$E:$F,2,0)))</f>
        <v>0</v>
      </c>
      <c r="AP88" s="409" t="s">
        <v>1443</v>
      </c>
      <c r="AQ88" s="409">
        <v>26</v>
      </c>
      <c r="AR88" s="410">
        <f t="shared" si="82"/>
        <v>0</v>
      </c>
      <c r="AS88" s="411">
        <f t="shared" si="83"/>
        <v>5.9444444444444429</v>
      </c>
      <c r="AT88" s="410">
        <f t="shared" si="84"/>
        <v>0</v>
      </c>
      <c r="AU88" s="405" t="s">
        <v>543</v>
      </c>
      <c r="AV88" s="409" t="s">
        <v>3095</v>
      </c>
      <c r="AW88" s="420" t="str">
        <f t="shared" si="53"/>
        <v>FLINTSL - BLACK</v>
      </c>
      <c r="AX88" s="409">
        <v>27</v>
      </c>
      <c r="AY88" s="411">
        <f>IF(AX88=0,0,IF($LB88=70%,VLOOKUP($AW88,'Jan-2026 rates'!$L:$R,4,0),IF($LB88=65%,VLOOKUP($AW88,'Jan-2026 rates'!$L:$R,4,0),IF($LB88=40%,VLOOKUP($AW88,'Jan-2026 rates'!$L:$R,5,0),IF($LB88=30%,VLOOKUP($AW88,'Jan-2026 rates'!$L:$R,6,0),IF($LB88=100%,VLOOKUP($AW88,'Jan-2026 rates'!$L:$R,7,0),IF($LB88=60%,VLOOKUP($AW88,'Jan-2026 rates'!$L:$S,8,0),IF($LB88=80%,VLOOKUP($AW88,'Jan-2026 rates'!L:T,9,0),0))))))))</f>
        <v>0</v>
      </c>
      <c r="AZ88" s="412"/>
      <c r="BA88" s="409"/>
      <c r="BB88" s="411">
        <f>IF(BA88=0,0,IF($LB88=70%,VLOOKUP($AW88,'Jan-2026 rates'!$L:$R,4,0),IF($LB88=65%,VLOOKUP($AW88,'Jan-2026 rates'!$L:$R,4,0),IF($LB88=40%,VLOOKUP($AW88,'Jan-2026 rates'!$L:$R,5,0),IF($LB88=30%,VLOOKUP($AW88,'Jan-2026 rates'!$L:$R,6,0),IF($LB88=100%,VLOOKUP($AW88,'Jan-2026 rates'!$L:$R,7,0),IF($LB88=60%,VLOOKUP($AW88,'Jan-2026 rates'!$L:$S,8,0),IF($LB88=80%,VLOOKUP($AW88,'Jan-2026 rates'!L:T,9,0),0))))))))</f>
        <v>0</v>
      </c>
      <c r="BC88" s="413">
        <v>26506000005</v>
      </c>
      <c r="BD88" s="412" t="s">
        <v>1266</v>
      </c>
      <c r="BE88" s="412"/>
      <c r="BF88" s="413"/>
      <c r="BG88" s="412"/>
      <c r="BH88" s="412"/>
      <c r="BI88" s="412"/>
      <c r="BJ88" s="412"/>
      <c r="BK88" s="409">
        <v>3</v>
      </c>
      <c r="BL88" s="398" t="e">
        <f>IF(BK88=0,0,IF(LEN(BC88)=11,_xlfn.XLOOKUP(BC88,'Dispensed Ink Rates'!C:C,'Dispensed Ink Rates'!CS:CS),VLOOKUP(BC88,'Jan-2026 rates'!$E:$F,2,0)))</f>
        <v>#N/A</v>
      </c>
      <c r="BM88" s="409">
        <v>2</v>
      </c>
      <c r="BN88" s="398">
        <f>IF(BM88=0,0,IF(LEN(BD88)=11,_xlfn.XLOOKUP(BD88,'Dispensed Ink Rates'!C:C,'Dispensed Ink Rates'!CS:CS),VLOOKUP(BD88,'Jan-2026 rates'!$E:$F,2,0)))</f>
        <v>0</v>
      </c>
      <c r="BO88" s="409"/>
      <c r="BP88" s="398">
        <f>IF(BO88=0,0,IF(LEN(BE88)=11,_xlfn.XLOOKUP(BE88,'Dispensed Ink Rates'!C:C,'Dispensed Ink Rates'!CS:CS),VLOOKUP(BE88,'Jan-2026 rates'!$E:$F,2,0)))</f>
        <v>0</v>
      </c>
      <c r="BQ88" s="409"/>
      <c r="BR88" s="398">
        <f>IF(BQ88=0,0,IF(LEN(BF88)=11,_xlfn.XLOOKUP(BF88,'Dispensed Ink Rates'!C:C,'Dispensed Ink Rates'!CS:CS),VLOOKUP(BF88,'Jan-2026 rates'!$E:$F,2,0)))</f>
        <v>0</v>
      </c>
      <c r="BS88" s="409"/>
      <c r="BT88" s="398">
        <f>IF(BS88=0,0,IF(LEN(BG88)=11,_xlfn.XLOOKUP(BG88,'Dispensed Ink Rates'!C:C,'Dispensed Ink Rates'!CS:CS),VLOOKUP(BG88,'Jan-2026 rates'!$E:$F,2,0)))</f>
        <v>0</v>
      </c>
      <c r="BU88" s="409"/>
      <c r="BV88" s="398">
        <f>IF(BU88=0,0,IF(LEN(BH88)=11,_xlfn.XLOOKUP(BH88,'Dispensed Ink Rates'!C:C,'Dispensed Ink Rates'!CS:CS),VLOOKUP(BH88,'Jan-2026 rates'!$E:$F,2,0)))</f>
        <v>0</v>
      </c>
      <c r="BW88" s="409"/>
      <c r="BX88" s="398">
        <f>IF(BW88=0,0,IF(LEN(BI88)=11,_xlfn.XLOOKUP(BI88,'Dispensed Ink Rates'!C:C,'Dispensed Ink Rates'!CS:CS),VLOOKUP(BI88,'Jan-2026 rates'!$E:$F,2,0)))</f>
        <v>0</v>
      </c>
      <c r="BY88" s="409"/>
      <c r="BZ88" s="398">
        <f>IF(BY88=0,0,IF(LEN(BJ88)=11,_xlfn.XLOOKUP(BJ88,'Dispensed Ink Rates'!C:C,'Dispensed Ink Rates'!CS:CS),VLOOKUP(BJ88,'Jan-2026 rates'!$E:$F,2,0)))</f>
        <v>0</v>
      </c>
      <c r="CA88" s="409" t="s">
        <v>1443</v>
      </c>
      <c r="CB88" s="409">
        <v>26</v>
      </c>
      <c r="CC88" s="411">
        <f t="shared" si="85"/>
        <v>0</v>
      </c>
      <c r="CD88" s="411">
        <f t="shared" si="86"/>
        <v>9.2962962962962976</v>
      </c>
      <c r="CE88" s="410">
        <f t="shared" si="87"/>
        <v>0</v>
      </c>
      <c r="CF88" s="404" t="s">
        <v>546</v>
      </c>
      <c r="CG88" s="409"/>
      <c r="CH88" s="420" t="str">
        <f t="shared" si="55"/>
        <v>FLINTSL - REFLEX BLUE</v>
      </c>
      <c r="CI88" s="409"/>
      <c r="CJ88" s="411">
        <f>IF(CI88=0,0,IF($LB88=70%,VLOOKUP($CH88,'Jan-2026 rates'!$L:$R,4,0),IF($LB88=65%,VLOOKUP($CH88,'Jan-2026 rates'!$L:$R,4,0),IF($LB88=40%,VLOOKUP($CH88,'Jan-2026 rates'!$L:$R,5,0),IF($LB88=30%,VLOOKUP($CH88,'Jan-2026 rates'!$L:$R,6,0),IF($LB88=100%,VLOOKUP($CH88,'Jan-2026 rates'!$L:$R,7,0),IF($LB88=60%,VLOOKUP($CH88,'Jan-2026 rates'!$L:$S,8,0),IF($LB88=80%,VLOOKUP($CH88,'Jan-2026 rates'!L:T,9,0),0))))))))</f>
        <v>0</v>
      </c>
      <c r="CK88" s="412"/>
      <c r="CL88" s="409"/>
      <c r="CM88" s="411">
        <f>IF(CL88=0,0,IF($LB88=70%,VLOOKUP($CH88,'Jan-2026 rates'!$L:$R,4,0),IF($LB88=65%,VLOOKUP($CH88,'Jan-2026 rates'!$L:$R,4,0),IF($LB88=40%,VLOOKUP($CH88,'Jan-2026 rates'!$L:$R,5,0),IF($LB88=30%,VLOOKUP($CH88,'Jan-2026 rates'!$L:$R,6,0),IF($LB88=100%,VLOOKUP($CH88,'Jan-2026 rates'!$L:$R,7,0),IF($LB88=60%,VLOOKUP($CH88,'Jan-2026 rates'!$L:$S,8,0),IF($LB88=80%,VLOOKUP($CH88,'Jan-2026 rates'!L:T,9,0),0))))))))</f>
        <v>0</v>
      </c>
      <c r="CN88" s="426">
        <v>9472</v>
      </c>
      <c r="CO88" s="427">
        <v>26505000013</v>
      </c>
      <c r="CP88" s="426">
        <v>26507000017</v>
      </c>
      <c r="CQ88" s="426"/>
      <c r="CR88" s="428"/>
      <c r="CS88" s="428"/>
      <c r="CT88" s="428"/>
      <c r="CU88" s="428"/>
      <c r="CV88" s="409">
        <v>8</v>
      </c>
      <c r="CW88" s="398">
        <f>IF(CV88=0,0,IF(LEN(CN88)=11,_xlfn.XLOOKUP(CN88,'Dispensed Ink Rates'!C:C,'Dispensed Ink Rates'!CS:CS),VLOOKUP(CN88,'Jan-2026 rates'!$E:$F,2,0)))</f>
        <v>0</v>
      </c>
      <c r="CX88" s="409">
        <f>10+1</f>
        <v>11</v>
      </c>
      <c r="CY88" s="398" t="e">
        <f>IF(CX88=0,0,IF(LEN(CO88)=11,_xlfn.XLOOKUP(CO88,'Dispensed Ink Rates'!C:C,'Dispensed Ink Rates'!CS:CS),VLOOKUP(CO88,'Jan-2026 rates'!$E:$F,2,0)))</f>
        <v>#N/A</v>
      </c>
      <c r="CZ88" s="409">
        <v>4</v>
      </c>
      <c r="DA88" s="398" t="e">
        <f>IF(CZ88=0,0,IF(LEN(CP88)=11,_xlfn.XLOOKUP(CP88,'Dispensed Ink Rates'!C:C,'Dispensed Ink Rates'!CS:CS),VLOOKUP(CP88,'Jan-2026 rates'!$E:$F,2,0)))</f>
        <v>#N/A</v>
      </c>
      <c r="DB88" s="409"/>
      <c r="DC88" s="398">
        <f>IF(DB88=0,0,IF(LEN(CQ88)=11,_xlfn.XLOOKUP(CQ88,'Dispensed Ink Rates'!C:C,'Dispensed Ink Rates'!CS:CS),VLOOKUP(CQ88,'Jan-2026 rates'!$E:$F,2,0)))</f>
        <v>0</v>
      </c>
      <c r="DD88" s="409"/>
      <c r="DE88" s="398">
        <f>IF(DD88=0,0,IF(LEN(CR88)=11,_xlfn.XLOOKUP(CR88,'Dispensed Ink Rates'!C:C,'Dispensed Ink Rates'!CS:CS),VLOOKUP(CR88,'Jan-2026 rates'!$E:$F,2,0)))</f>
        <v>0</v>
      </c>
      <c r="DF88" s="409"/>
      <c r="DG88" s="398">
        <f>IF(DF88=0,0,IF(LEN(CS88)=11,_xlfn.XLOOKUP(CS88,'Dispensed Ink Rates'!C:C,'Dispensed Ink Rates'!CS:CS),VLOOKUP(CS88,'Jan-2026 rates'!$E:$F,2,0)))</f>
        <v>0</v>
      </c>
      <c r="DH88" s="409"/>
      <c r="DI88" s="398">
        <f>IF(DH88=0,0,IF(LEN(CT88)=11,_xlfn.XLOOKUP(CT88,'Dispensed Ink Rates'!C:C,'Dispensed Ink Rates'!CS:CS),VLOOKUP(CT88,'Jan-2026 rates'!$E:$F,2,0)))</f>
        <v>0</v>
      </c>
      <c r="DJ88" s="409"/>
      <c r="DK88" s="398">
        <f>IF(DJ88=0,0,IF(LEN(CU88)=11,_xlfn.XLOOKUP(CU88,'Dispensed Ink Rates'!C:C,'Dispensed Ink Rates'!CS:CS),VLOOKUP(CU88,'Jan-2026 rates'!$E:$F,2,0)))</f>
        <v>0</v>
      </c>
      <c r="DL88" s="409" t="s">
        <v>1443</v>
      </c>
      <c r="DM88" s="409">
        <v>28</v>
      </c>
      <c r="DN88" s="411">
        <f t="shared" si="88"/>
        <v>0</v>
      </c>
      <c r="DO88" s="411">
        <f t="shared" si="89"/>
        <v>11.481481481481481</v>
      </c>
      <c r="DP88" s="410">
        <f t="shared" si="90"/>
        <v>0</v>
      </c>
      <c r="DQ88" s="405" t="s">
        <v>547</v>
      </c>
      <c r="DR88" s="409"/>
      <c r="DS88" s="420" t="str">
        <f t="shared" si="56"/>
        <v>FLINTSL - GREEN</v>
      </c>
      <c r="DT88" s="409"/>
      <c r="DU88" s="411">
        <f>IF(DT88=0,0,IF($LB88=70%,VLOOKUP($DS88,'Jan-2026 rates'!$L:$R,4,0),IF($LB88=65%,VLOOKUP($DS88,'Jan-2026 rates'!$L:$R,4,0),IF($LB88=40%,VLOOKUP($DS88,'Jan-2026 rates'!$L:$R,5,0),IF($LB88=30%,VLOOKUP($DS88,'Jan-2026 rates'!$L:$R,6,0),IF($LB88=100%,VLOOKUP($DS88,'Jan-2026 rates'!$L:$R,7,0),IF($LB88=60%,VLOOKUP($DS88,'Jan-2026 rates'!$L:$S,8,0),IF($LB88=80%,VLOOKUP($DS88,'Jan-2026 rates'!L:T,9,0),0))))))))</f>
        <v>0</v>
      </c>
      <c r="DV88" s="412"/>
      <c r="DW88" s="409"/>
      <c r="DX88" s="411">
        <f>IF(DW88=0,0,IF($LB88=70%,VLOOKUP($DS88,'Jan-2026 rates'!$L:$R,4,0),IF($LB88=65%,VLOOKUP($DS88,'Jan-2026 rates'!$L:$R,4,0),IF($LB88=40%,VLOOKUP($DS88,'Jan-2026 rates'!$L:$R,5,0),IF($LB88=30%,VLOOKUP($DS88,'Jan-2026 rates'!$L:$R,6,0),IF($LB88=100%,VLOOKUP($DS88,'Jan-2026 rates'!$L:$R,7,0),IF($LB88=60%,VLOOKUP($DS88,'Jan-2026 rates'!$L:$S,8,0),IF($LB88=80%,VLOOKUP($DS88,'Jan-2026 rates'!L:T,9,0),0))))))))</f>
        <v>0</v>
      </c>
      <c r="DY88" s="413">
        <v>26505000033</v>
      </c>
      <c r="DZ88" s="413">
        <v>26505000032</v>
      </c>
      <c r="EA88" s="412">
        <v>26505000033</v>
      </c>
      <c r="EB88" s="412"/>
      <c r="EC88" s="412"/>
      <c r="ED88" s="412"/>
      <c r="EE88" s="412"/>
      <c r="EF88" s="412"/>
      <c r="EG88" s="409">
        <v>10</v>
      </c>
      <c r="EH88" s="398" t="e">
        <f>IF(EG88=0,0,IF(LEN(DY88)=11,_xlfn.XLOOKUP(DY88,'Dispensed Ink Rates'!C:C,'Dispensed Ink Rates'!CS:CS),VLOOKUP(DY88,'Jan-2026 rates'!$E:$F,2,0)))</f>
        <v>#N/A</v>
      </c>
      <c r="EI88" s="409">
        <v>12</v>
      </c>
      <c r="EJ88" s="398" t="e">
        <f>IF(EI88=0,0,IF(LEN(DZ88)=11,_xlfn.XLOOKUP(DZ88,'Dispensed Ink Rates'!C:C,'Dispensed Ink Rates'!CS:CS),VLOOKUP(DZ88,'Jan-2026 rates'!$E:$F,2,0)))</f>
        <v>#N/A</v>
      </c>
      <c r="EK88" s="409">
        <v>5</v>
      </c>
      <c r="EL88" s="398" t="e">
        <f>IF(EK88=0,0,IF(LEN(EA88)=11,_xlfn.XLOOKUP(EA88,'Dispensed Ink Rates'!C:C,'Dispensed Ink Rates'!CS:CS),VLOOKUP(EA88,'Jan-2026 rates'!$E:$F,2,0)))</f>
        <v>#N/A</v>
      </c>
      <c r="EM88" s="409"/>
      <c r="EN88" s="398">
        <f>IF(EM88=0,0,IF(LEN(EB88)=11,_xlfn.XLOOKUP(EB88,'Dispensed Ink Rates'!C:C,'Dispensed Ink Rates'!CS:CS),VLOOKUP(EB88,'Jan-2026 rates'!$E:$F,2,0)))</f>
        <v>0</v>
      </c>
      <c r="EO88" s="409"/>
      <c r="EP88" s="398">
        <f>IF(EO88=0,0,IF(LEN(EC88)=11,_xlfn.XLOOKUP(EC88,'Dispensed Ink Rates'!C:C,'Dispensed Ink Rates'!CS:CS),VLOOKUP(EC88,'Jan-2026 rates'!$E:$F,2,0)))</f>
        <v>0</v>
      </c>
      <c r="EQ88" s="409"/>
      <c r="ER88" s="398">
        <f>IF(EQ88=0,0,IF(LEN(ED88)=11,_xlfn.XLOOKUP(ED88,'Dispensed Ink Rates'!C:C,'Dispensed Ink Rates'!CS:CS),VLOOKUP(ED88,'Jan-2026 rates'!$E:$F,2,0)))</f>
        <v>0</v>
      </c>
      <c r="ES88" s="409"/>
      <c r="ET88" s="398">
        <f>IF(ES88=0,0,IF(LEN(EE88)=11,_xlfn.XLOOKUP(EE88,'Dispensed Ink Rates'!C:C,'Dispensed Ink Rates'!CS:CS),VLOOKUP(EE88,'Jan-2026 rates'!$E:$F,2,0)))</f>
        <v>0</v>
      </c>
      <c r="EU88" s="409"/>
      <c r="EV88" s="398">
        <f>IF(EU88=0,0,IF(LEN(EF88)=11,_xlfn.XLOOKUP(EF88,'Dispensed Ink Rates'!C:C,'Dispensed Ink Rates'!CS:CS),VLOOKUP(EF88,'Jan-2026 rates'!$E:$F,2,0)))</f>
        <v>0</v>
      </c>
      <c r="EW88" s="409" t="s">
        <v>1443</v>
      </c>
      <c r="EX88" s="409">
        <v>20</v>
      </c>
      <c r="EY88" s="411">
        <f t="shared" si="91"/>
        <v>0</v>
      </c>
      <c r="EZ88" s="411">
        <f t="shared" si="92"/>
        <v>23.481481481481481</v>
      </c>
      <c r="FA88" s="410">
        <f t="shared" si="93"/>
        <v>0</v>
      </c>
      <c r="FB88" s="405" t="s">
        <v>544</v>
      </c>
      <c r="FC88" s="409" t="s">
        <v>3096</v>
      </c>
      <c r="FD88" s="420" t="str">
        <f t="shared" si="57"/>
        <v>FLINTSL - MAGENTA</v>
      </c>
      <c r="FE88" s="409">
        <v>29</v>
      </c>
      <c r="FF88" s="411">
        <f>IF(FE88=0,0,IF($LB88=70%,VLOOKUP($FD88,'Jan-2026 rates'!$L:$R,4,0),IF($LB88=65%,VLOOKUP($FD88,'Jan-2026 rates'!$L:$R,4,0),IF($LB88=40%,VLOOKUP($FD88,'Jan-2026 rates'!$L:$R,5,0),IF($LB88=30%,VLOOKUP($FD88,'Jan-2026 rates'!$L:$R,6,0),IF($LB88=100%,VLOOKUP($FD88,'Jan-2026 rates'!$L:$R,7,0),IF($LB88=60%,VLOOKUP($FD88,'Jan-2026 rates'!$L:$S,8,0),IF($LB88=80%,VLOOKUP($FD88,'Jan-2026 rates'!L:T,9,0),0))))))))</f>
        <v>0</v>
      </c>
      <c r="FG88" s="412"/>
      <c r="FH88" s="409"/>
      <c r="FI88" s="411">
        <f>IF(FH88=0,0,IF($LB88=70%,VLOOKUP($FD88,'Jan-2026 rates'!$L:$R,4,0),IF($LB88=65%,VLOOKUP($FD88,'Jan-2026 rates'!$L:$R,4,0),IF($LB88=40%,VLOOKUP($FD88,'Jan-2026 rates'!$L:$R,5,0),IF($LB88=30%,VLOOKUP($FD88,'Jan-2026 rates'!$L:$R,6,0),IF($LB88=100%,VLOOKUP($FD88,'Jan-2026 rates'!$L:$R,7,0),IF($LB88=60%,VLOOKUP($FD88,'Jan-2026 rates'!$L:$S,8,0),IF($LB88=80%,VLOOKUP($FD88,'Jan-2026 rates'!L:T,9,0),0))))))))</f>
        <v>0</v>
      </c>
      <c r="FJ88" s="413">
        <v>26507000017</v>
      </c>
      <c r="FK88" s="413"/>
      <c r="FL88" s="413"/>
      <c r="FM88" s="412"/>
      <c r="FN88" s="412"/>
      <c r="FO88" s="412"/>
      <c r="FP88" s="412"/>
      <c r="FQ88" s="412"/>
      <c r="FR88" s="409">
        <v>4</v>
      </c>
      <c r="FS88" s="398" t="e">
        <f>IF(FR88=0,0,IF(LEN(FJ88)=11,_xlfn.XLOOKUP(FJ88,'Dispensed Ink Rates'!C:C,'Dispensed Ink Rates'!CS:CS),VLOOKUP(FJ88,'Jan-2026 rates'!$E:$F,2,0)))</f>
        <v>#N/A</v>
      </c>
      <c r="FT88" s="409"/>
      <c r="FU88" s="398">
        <f>IF(FT88=0,0,IF(LEN(FK88)=11,_xlfn.XLOOKUP(FK88,'Dispensed Ink Rates'!C:C,'Dispensed Ink Rates'!CS:CS),VLOOKUP(FK88,'Jan-2026 rates'!$E:$F,2,0)))</f>
        <v>0</v>
      </c>
      <c r="FV88" s="409"/>
      <c r="FW88" s="398">
        <f>IF(FV88=0,0,IF(LEN(FL88)=11,_xlfn.XLOOKUP(FL88,'Dispensed Ink Rates'!C:C,'Dispensed Ink Rates'!CS:CS),VLOOKUP(FL88,'Jan-2026 rates'!$E:$F,2,0)))</f>
        <v>0</v>
      </c>
      <c r="FX88" s="409"/>
      <c r="FY88" s="398">
        <f>IF(FX88=0,0,IF(LEN(FM88)=11,_xlfn.XLOOKUP(FM88,'Dispensed Ink Rates'!C:C,'Dispensed Ink Rates'!CS:CS),VLOOKUP(FM88,'Jan-2026 rates'!$E:$F,2,0)))</f>
        <v>0</v>
      </c>
      <c r="FZ88" s="409"/>
      <c r="GA88" s="398">
        <f>IF(FZ88=0,0,IF(LEN(FN88)=11,_xlfn.XLOOKUP(FN88,'Dispensed Ink Rates'!C:C,'Dispensed Ink Rates'!CS:CS),VLOOKUP(FN88,'Jan-2026 rates'!$E:$F,2,0)))</f>
        <v>0</v>
      </c>
      <c r="GB88" s="409"/>
      <c r="GC88" s="398">
        <f>IF(GB88=0,0,IF(LEN(FO88)=11,_xlfn.XLOOKUP(FO88,'Dispensed Ink Rates'!C:C,'Dispensed Ink Rates'!CS:CS),VLOOKUP(FO88,'Jan-2026 rates'!$E:$F,2,0)))</f>
        <v>0</v>
      </c>
      <c r="GD88" s="409"/>
      <c r="GE88" s="398">
        <f>IF(GD88=0,0,IF(LEN(FP88)=11,_xlfn.XLOOKUP(FP88,'Dispensed Ink Rates'!C:C,'Dispensed Ink Rates'!CS:CS),VLOOKUP(FP88,'Jan-2026 rates'!$E:$F,2,0)))</f>
        <v>0</v>
      </c>
      <c r="GF88" s="409"/>
      <c r="GG88" s="398">
        <f>IF(GF88=0,0,IF(LEN(FQ88)=11,_xlfn.XLOOKUP(FQ88,'Dispensed Ink Rates'!C:C,'Dispensed Ink Rates'!CS:CS),VLOOKUP(FQ88,'Jan-2026 rates'!$E:$F,2,0)))</f>
        <v>0</v>
      </c>
      <c r="GH88" s="409" t="s">
        <v>1443</v>
      </c>
      <c r="GI88" s="409">
        <v>27</v>
      </c>
      <c r="GJ88" s="411">
        <f t="shared" si="94"/>
        <v>0</v>
      </c>
      <c r="GK88" s="411">
        <f t="shared" si="95"/>
        <v>9.2962962962962976</v>
      </c>
      <c r="GL88" s="410">
        <f t="shared" si="96"/>
        <v>0</v>
      </c>
      <c r="GM88" s="405" t="s">
        <v>545</v>
      </c>
      <c r="GN88" s="409" t="s">
        <v>3097</v>
      </c>
      <c r="GO88" s="420" t="str">
        <f t="shared" si="58"/>
        <v>FLINTSL - YELLOW</v>
      </c>
      <c r="GP88" s="409">
        <v>30</v>
      </c>
      <c r="GQ88" s="411">
        <f>IF(GP88=0,0,IF($LB88=70%,VLOOKUP($GO88,'Jan-2026 rates'!$L:$R,4,0),IF($LB88=65%,VLOOKUP($GO88,'Jan-2026 rates'!$L:$R,4,0),IF($LB88=40%,VLOOKUP($GO88,'Jan-2026 rates'!$L:$R,5,0),IF($LB88=30%,VLOOKUP($GO88,'Jan-2026 rates'!$L:$R,6,0),IF($LB88=100%,VLOOKUP($GO88,'Jan-2026 rates'!$L:$R,7,0),IF($LB88=60%,VLOOKUP($GO88,'Jan-2026 rates'!$L:$S,8,0),IF($LB88=80%,VLOOKUP($GO88,'Jan-2026 rates'!L:T,9,0),0))))))))</f>
        <v>0</v>
      </c>
      <c r="GR88" s="412"/>
      <c r="GS88" s="409"/>
      <c r="GT88" s="411">
        <f>IF(GS88=0,0,IF($LB88=70%,VLOOKUP($GO88,'Jan-2026 rates'!$L:$R,4,0),IF($LB88=65%,VLOOKUP($GO88,'Jan-2026 rates'!$L:$R,4,0),IF($LB88=40%,VLOOKUP($GO88,'Jan-2026 rates'!$L:$R,5,0),IF($LB88=30%,VLOOKUP($GO88,'Jan-2026 rates'!$L:$R,6,0),IF($LB88=100%,VLOOKUP($GO88,'Jan-2026 rates'!$L:$R,7,0),IF($LB88=60%,VLOOKUP($GO88,'Jan-2026 rates'!$L:$S,8,0),IF($LB88=80%,VLOOKUP($GO88,'Jan-2026 rates'!L:T,9,0),0))))))))</f>
        <v>0</v>
      </c>
      <c r="GU88" s="413">
        <v>26505000033</v>
      </c>
      <c r="GV88" s="413"/>
      <c r="GW88" s="412"/>
      <c r="GX88" s="412"/>
      <c r="GY88" s="412"/>
      <c r="GZ88" s="412"/>
      <c r="HA88" s="412"/>
      <c r="HB88" s="412"/>
      <c r="HC88" s="409">
        <v>5</v>
      </c>
      <c r="HD88" s="398" t="e">
        <f>IF(HC88=0,0,IF(LEN(GU88)=11,_xlfn.XLOOKUP(GU88,'Dispensed Ink Rates'!C:C,'Dispensed Ink Rates'!CS:CS),VLOOKUP(GU88,'Jan-2026 rates'!$E:$F,2,0)))</f>
        <v>#N/A</v>
      </c>
      <c r="HE88" s="409"/>
      <c r="HF88" s="398">
        <f>IF(HE88=0,0,IF(LEN(GV88)=11,_xlfn.XLOOKUP(GV88,'Dispensed Ink Rates'!C:C,'Dispensed Ink Rates'!CS:CS),VLOOKUP(GV88,'Jan-2026 rates'!$E:$F,2,0)))</f>
        <v>0</v>
      </c>
      <c r="HG88" s="409"/>
      <c r="HH88" s="398">
        <f>IF(HG88=0,0,IF(LEN(GW88)=11,_xlfn.XLOOKUP(GW88,'Dispensed Ink Rates'!C:C,'Dispensed Ink Rates'!CS:CS),VLOOKUP(GW88,'Jan-2026 rates'!$E:$F,2,0)))</f>
        <v>0</v>
      </c>
      <c r="HI88" s="409"/>
      <c r="HJ88" s="398">
        <f>IF(HI88=0,0,IF(LEN(GX88)=11,_xlfn.XLOOKUP(GX88,'Dispensed Ink Rates'!C:C,'Dispensed Ink Rates'!CS:CS),VLOOKUP(GX88,'Jan-2026 rates'!$E:$F,2,0)))</f>
        <v>0</v>
      </c>
      <c r="HK88" s="409"/>
      <c r="HL88" s="398">
        <f>IF(HK88=0,0,IF(LEN(GY88)=11,_xlfn.XLOOKUP(GY88,'Dispensed Ink Rates'!C:C,'Dispensed Ink Rates'!CS:CS),VLOOKUP(GY88,'Jan-2026 rates'!$E:$F,2,0)))</f>
        <v>0</v>
      </c>
      <c r="HM88" s="409"/>
      <c r="HN88" s="398">
        <f>IF(HM88=0,0,IF(LEN(GZ88)=11,_xlfn.XLOOKUP(GZ88,'Dispensed Ink Rates'!C:C,'Dispensed Ink Rates'!CS:CS),VLOOKUP(GZ88,'Jan-2026 rates'!$E:$F,2,0)))</f>
        <v>0</v>
      </c>
      <c r="HO88" s="409"/>
      <c r="HP88" s="398">
        <f>IF(HO88=0,0,IF(LEN(HA88)=11,_xlfn.XLOOKUP(HA88,'Dispensed Ink Rates'!C:C,'Dispensed Ink Rates'!CS:CS),VLOOKUP(HA88,'Jan-2026 rates'!$E:$F,2,0)))</f>
        <v>0</v>
      </c>
      <c r="HQ88" s="409"/>
      <c r="HR88" s="398">
        <f>IF(HQ88=0,0,IF(LEN(HB88)=11,_xlfn.XLOOKUP(HB88,'Dispensed Ink Rates'!C:C,'Dispensed Ink Rates'!CS:CS),VLOOKUP(HB88,'Jan-2026 rates'!$E:$F,2,0)))</f>
        <v>0</v>
      </c>
      <c r="HS88" s="409" t="s">
        <v>1443</v>
      </c>
      <c r="HT88" s="409">
        <v>28</v>
      </c>
      <c r="HU88" s="411">
        <f t="shared" si="97"/>
        <v>0</v>
      </c>
      <c r="HV88" s="411">
        <f t="shared" si="98"/>
        <v>10.296296296296298</v>
      </c>
      <c r="HW88" s="414">
        <f t="shared" si="99"/>
        <v>0</v>
      </c>
      <c r="HX88" s="405" t="s">
        <v>856</v>
      </c>
      <c r="HY88" s="409" t="s">
        <v>3098</v>
      </c>
      <c r="HZ88" s="420" t="str">
        <f t="shared" si="59"/>
        <v>FLINTSL - WHITE</v>
      </c>
      <c r="IA88" s="409">
        <v>25</v>
      </c>
      <c r="IB88" s="411">
        <f>IF(IA88=0,0,IF($LB88=70%,VLOOKUP($HZ88,'Jan-2026 rates'!$L:$R,4,0),IF($LB88=65%,VLOOKUP($HZ88,'Jan-2026 rates'!$L:$R,4,0),IF($LB88=40%,VLOOKUP($HZ88,'Jan-2026 rates'!$L:$R,5,0),IF($LB88=30%,VLOOKUP($HZ88,'Jan-2026 rates'!$L:$R,6,0),IF($LB88=100%,VLOOKUP($HZ88,'Jan-2026 rates'!$L:$R,7,0),IF($LB88=60%,VLOOKUP($HZ88,'Jan-2026 rates'!$L:$S,8,0),IF($LB88=80%,VLOOKUP($HZ88,'Jan-2026 rates'!L:T,9,0),0))))))))</f>
        <v>0</v>
      </c>
      <c r="IC88" s="412"/>
      <c r="ID88" s="409"/>
      <c r="IE88" s="411">
        <f>IF(ID88=0,0,IF($LB88=70%,VLOOKUP($HZ88,'Jan-2026 rates'!$L:$R,4,0),IF($LB88=65%,VLOOKUP($HZ88,'Jan-2026 rates'!$L:$R,4,0),IF($LB88=40%,VLOOKUP($HZ88,'Jan-2026 rates'!$L:$R,5,0),IF($LB88=30%,VLOOKUP($HZ88,'Jan-2026 rates'!$L:$R,6,0),IF($LB88=100%,VLOOKUP($HZ88,'Jan-2026 rates'!$L:$R,7,0),IF($LB88=60%,VLOOKUP($HZ88,'Jan-2026 rates'!$L:$S,8,0),IF($LB88=80%,VLOOKUP($HZ88,'Jan-2026 rates'!L:T,9,0),0))))))))</f>
        <v>0</v>
      </c>
      <c r="IF88" s="412" t="s">
        <v>484</v>
      </c>
      <c r="IG88" s="413"/>
      <c r="IH88" s="412"/>
      <c r="II88" s="412"/>
      <c r="IJ88" s="412"/>
      <c r="IK88" s="412"/>
      <c r="IL88" s="412"/>
      <c r="IM88" s="412"/>
      <c r="IN88" s="409">
        <v>50</v>
      </c>
      <c r="IO88" s="398">
        <f>IF(IN88=0,0,IF(LEN(IF88)=11,_xlfn.XLOOKUP(IF88,'Dispensed Ink Rates'!C:C,'Dispensed Ink Rates'!CS:CS),VLOOKUP(IF88,'Jan-2026 rates'!$E:$F,2,0)))</f>
        <v>0</v>
      </c>
      <c r="IP88" s="409"/>
      <c r="IQ88" s="398">
        <f>IF(IP88=0,0,IF(LEN(IG88)=11,_xlfn.XLOOKUP(IG88,'Dispensed Ink Rates'!C:C,'Dispensed Ink Rates'!CS:CS),VLOOKUP(IG88,'Jan-2026 rates'!$E:$F,2,0)))</f>
        <v>0</v>
      </c>
      <c r="IR88" s="409"/>
      <c r="IS88" s="398">
        <f>IF(IR88=0,0,IF(LEN(IH88)=11,_xlfn.XLOOKUP(IH88,'Dispensed Ink Rates'!C:C,'Dispensed Ink Rates'!CS:CS),VLOOKUP(IH88,'Jan-2026 rates'!$E:$F,2,0)))</f>
        <v>0</v>
      </c>
      <c r="IT88" s="409"/>
      <c r="IU88" s="398">
        <f>IF(IT88=0,0,IF(LEN(II88)=11,_xlfn.XLOOKUP(II88,'Dispensed Ink Rates'!C:C,'Dispensed Ink Rates'!CS:CS),VLOOKUP(II88,'Jan-2026 rates'!$E:$F,2,0)))</f>
        <v>0</v>
      </c>
      <c r="IV88" s="409"/>
      <c r="IW88" s="398">
        <f>IF(IV88=0,0,IF(LEN(IJ88)=11,_xlfn.XLOOKUP(IJ88,'Dispensed Ink Rates'!C:C,'Dispensed Ink Rates'!CS:CS),VLOOKUP(IJ88,'Jan-2026 rates'!$E:$F,2,0)))</f>
        <v>0</v>
      </c>
      <c r="IX88" s="409"/>
      <c r="IY88" s="398">
        <f>IF(IX88=0,0,IF(LEN(IK88)=11,_xlfn.XLOOKUP(IK88,'Dispensed Ink Rates'!C:C,'Dispensed Ink Rates'!CS:CS),VLOOKUP(IK88,'Jan-2026 rates'!$E:$F,2,0)))</f>
        <v>0</v>
      </c>
      <c r="IZ88" s="409"/>
      <c r="JA88" s="398">
        <f>IF(IZ88=0,0,IF(LEN(IL88)=11,_xlfn.XLOOKUP(IL88,'Dispensed Ink Rates'!C:C,'Dispensed Ink Rates'!CS:CS),VLOOKUP(IL88,'Jan-2026 rates'!$E:$F,2,0)))</f>
        <v>0</v>
      </c>
      <c r="JB88" s="409"/>
      <c r="JC88" s="398">
        <f>IF(JB88=0,0,IF(LEN(IM88)=11,_xlfn.XLOOKUP(IM88,'Dispensed Ink Rates'!C:C,'Dispensed Ink Rates'!CS:CS),VLOOKUP(IM88,'Jan-2026 rates'!$E:$F,2,0)))</f>
        <v>0</v>
      </c>
      <c r="JD88" s="409" t="s">
        <v>1443</v>
      </c>
      <c r="JE88" s="409">
        <v>26</v>
      </c>
      <c r="JF88" s="411">
        <f t="shared" si="100"/>
        <v>0</v>
      </c>
      <c r="JG88" s="411">
        <f t="shared" si="101"/>
        <v>90.203703703703695</v>
      </c>
      <c r="JH88" s="410">
        <f t="shared" si="102"/>
        <v>0</v>
      </c>
      <c r="JI88" s="405"/>
      <c r="JJ88" s="409"/>
      <c r="JK88" s="420" t="str">
        <f t="shared" si="60"/>
        <v xml:space="preserve"> - </v>
      </c>
      <c r="JL88" s="409"/>
      <c r="JM88" s="411">
        <f>IF(JL88=0,0,IF($LB88=70%,VLOOKUP($JK88,'Jan-2026 rates'!$L:$R,4,0),IF($LB88=65%,VLOOKUP($JK88,'Jan-2026 rates'!$L:$R,4,0),IF($LB88=40%,VLOOKUP($JK88,'Jan-2026 rates'!$L:$R,5,0),IF($LB88=30%,VLOOKUP($JK88,'Jan-2026 rates'!$L:$R,6,0),IF($LB88=100%,VLOOKUP($JK88,'Jan-2026 rates'!$L:$R,7,0),IF($LB88=60%,VLOOKUP($JK88,'Jan-2026 rates'!$L:$S,8,0),IF($LB88=80%,VLOOKUP($JK88,'Jan-2026 rates'!L:T,9,0),0))))))))</f>
        <v>0</v>
      </c>
      <c r="JN88" s="412"/>
      <c r="JO88" s="409"/>
      <c r="JP88" s="411">
        <f>IF(JO88=0,0,IF($LB88=70%,VLOOKUP($JK88,'Jan-2026 rates'!$L:$R,4,0),IF($LB88=65%,VLOOKUP($JK88,'Jan-2026 rates'!$L:$R,4,0),IF($LB88=40%,VLOOKUP($JK88,'Jan-2026 rates'!$L:$R,5,0),IF($LB88=30%,VLOOKUP($JK88,'Jan-2026 rates'!$L:$R,6,0),IF($LB88=100%,VLOOKUP($JK88,'Jan-2026 rates'!$L:$R,7,0),IF($LB88=60%,VLOOKUP($JK88,'Jan-2026 rates'!$L:$S,8,0),IF($LB88=80%,VLOOKUP($JK88,'Jan-2026 rates'!L:T,9,0),0))))))))</f>
        <v>0</v>
      </c>
      <c r="JQ88" s="413"/>
      <c r="JR88" s="412"/>
      <c r="JS88" s="413"/>
      <c r="JT88" s="413"/>
      <c r="JU88" s="412"/>
      <c r="JV88" s="412"/>
      <c r="JW88" s="412"/>
      <c r="JX88" s="412"/>
      <c r="JY88" s="409"/>
      <c r="JZ88" s="398">
        <f>IF(JY88=0,0,IF(LEN(JQ88)=11,_xlfn.XLOOKUP(JQ88,'Dispensed Ink Rates'!C:C,'Dispensed Ink Rates'!CS:CS),VLOOKUP(JQ88,'Jan-2026 rates'!$E:$F,2,0)))</f>
        <v>0</v>
      </c>
      <c r="KA88" s="409"/>
      <c r="KB88" s="398">
        <f>IF(KA88=0,0,IF(LEN(JR88)=11,_xlfn.XLOOKUP(JR88,'Dispensed Ink Rates'!C:C,'Dispensed Ink Rates'!CS:CS),VLOOKUP(JR88,'Jan-2026 rates'!$E:$F,2,0)))</f>
        <v>0</v>
      </c>
      <c r="KC88" s="409"/>
      <c r="KD88" s="398">
        <f>IF(KC88=0,0,IF(LEN(JS88)=11,_xlfn.XLOOKUP(JS88,'Dispensed Ink Rates'!C:C,'Dispensed Ink Rates'!CS:CS),VLOOKUP(JS88,'Jan-2026 rates'!$E:$F,2,0)))</f>
        <v>0</v>
      </c>
      <c r="KE88" s="409"/>
      <c r="KF88" s="398">
        <f>IF(KE88=0,0,IF(LEN(JT88)=11,_xlfn.XLOOKUP(JT88,'Dispensed Ink Rates'!C:C,'Dispensed Ink Rates'!CS:CS),VLOOKUP(JT88,'Jan-2026 rates'!$E:$F,2,0)))</f>
        <v>0</v>
      </c>
      <c r="KG88" s="409"/>
      <c r="KH88" s="398">
        <f>IF(KG88=0,0,IF(LEN(JU88)=11,_xlfn.XLOOKUP(JU88,'Dispensed Ink Rates'!C:C,'Dispensed Ink Rates'!CS:CS),VLOOKUP(JU88,'Jan-2026 rates'!$E:$F,2,0)))</f>
        <v>0</v>
      </c>
      <c r="KI88" s="409"/>
      <c r="KJ88" s="398">
        <f>IF(KI88=0,0,IF(LEN(JV88)=11,_xlfn.XLOOKUP(JV88,'Dispensed Ink Rates'!C:C,'Dispensed Ink Rates'!CS:CS),VLOOKUP(JV88,'Jan-2026 rates'!$E:$F,2,0)))</f>
        <v>0</v>
      </c>
      <c r="KK88" s="409"/>
      <c r="KL88" s="398">
        <f>IF(KK88=0,0,IF(LEN(JW88)=11,_xlfn.XLOOKUP(JW88,'Dispensed Ink Rates'!C:C,'Dispensed Ink Rates'!CS:CS),VLOOKUP(JW88,'Jan-2026 rates'!$E:$F,2,0)))</f>
        <v>0</v>
      </c>
      <c r="KM88" s="428"/>
      <c r="KN88" s="398">
        <f>IF(KM88=0,0,IF(LEN(JX88)=11,_xlfn.XLOOKUP(JX88,'Dispensed Ink Rates'!C:C,'Dispensed Ink Rates'!CS:CS),VLOOKUP(JX88,'Jan-2026 rates'!$E:$F,2,0)))</f>
        <v>0</v>
      </c>
      <c r="KO88" s="409"/>
      <c r="KP88" s="409"/>
      <c r="KQ88" s="411">
        <f t="shared" si="103"/>
        <v>0</v>
      </c>
      <c r="KR88" s="411">
        <f t="shared" si="104"/>
        <v>0</v>
      </c>
      <c r="KS88" s="410">
        <f t="shared" si="105"/>
        <v>0</v>
      </c>
      <c r="KT88" s="409">
        <v>3</v>
      </c>
      <c r="KU88" s="409">
        <v>2</v>
      </c>
      <c r="KV88" s="409">
        <v>10</v>
      </c>
      <c r="KW88" s="409">
        <v>10</v>
      </c>
      <c r="KX88" s="409">
        <v>2</v>
      </c>
      <c r="KY88" s="409">
        <v>2</v>
      </c>
      <c r="KZ88" s="409">
        <v>25</v>
      </c>
      <c r="LA88" s="409">
        <v>0</v>
      </c>
      <c r="LB88" s="415">
        <v>0.8</v>
      </c>
      <c r="LC88" s="415">
        <v>0.2</v>
      </c>
      <c r="LD88" s="415"/>
      <c r="LE88" s="415"/>
      <c r="LF88" s="415"/>
      <c r="LG88" s="409">
        <v>0</v>
      </c>
      <c r="LH88" s="409">
        <f>25+20+32+8+4</f>
        <v>89</v>
      </c>
      <c r="LI88" s="409">
        <v>0</v>
      </c>
      <c r="LJ88" s="409">
        <v>0</v>
      </c>
      <c r="LK88" s="416">
        <f t="shared" si="61"/>
        <v>89</v>
      </c>
      <c r="LL88" s="416">
        <f t="shared" si="62"/>
        <v>89</v>
      </c>
      <c r="LM88" s="417">
        <f t="shared" si="63"/>
        <v>71.2</v>
      </c>
      <c r="LN88" s="417">
        <f>VLOOKUP($LM$8,'Jan-2026 rates'!$H:$I,2,0)</f>
        <v>0</v>
      </c>
      <c r="LO88" s="417">
        <f t="shared" si="64"/>
        <v>17.8</v>
      </c>
      <c r="LP88" s="417">
        <f>VLOOKUP($LO$8,'Jan-2026 rates'!$H:$I,2,0)</f>
        <v>0</v>
      </c>
      <c r="LQ88" s="417">
        <f t="shared" si="65"/>
        <v>0</v>
      </c>
      <c r="LR88" s="417">
        <f>VLOOKUP($LQ$8,'Jan-2026 rates'!$H:$I,2,0)</f>
        <v>0</v>
      </c>
      <c r="LS88" s="417">
        <f t="shared" si="66"/>
        <v>0</v>
      </c>
      <c r="LT88" s="417">
        <f>VLOOKUP($LS$8,'Jan-2026 rates'!$H:$I,2,0)</f>
        <v>0</v>
      </c>
      <c r="LU88" s="417">
        <f t="shared" si="67"/>
        <v>0</v>
      </c>
      <c r="LV88" s="417">
        <f>VLOOKUP($LU$8,'Jan-2026 rates'!$H:$I,2,0)</f>
        <v>0</v>
      </c>
      <c r="LW88" s="417">
        <f t="shared" si="68"/>
        <v>0</v>
      </c>
      <c r="LX88" s="417">
        <f t="shared" si="69"/>
        <v>0</v>
      </c>
      <c r="LY88" s="418">
        <f t="shared" si="70"/>
        <v>0</v>
      </c>
      <c r="LZ88" s="417"/>
      <c r="MA88" s="435">
        <f t="shared" si="71"/>
        <v>120</v>
      </c>
      <c r="MB88" s="282">
        <f t="shared" si="72"/>
        <v>160</v>
      </c>
      <c r="MC88" s="283">
        <v>43</v>
      </c>
      <c r="MD88" s="284" t="str">
        <f t="shared" si="73"/>
        <v>FLINTSLFLINTSLFLINTSLFLINTSLFLINTSLFLINTSLFLINTSL</v>
      </c>
      <c r="ME88" s="293" t="str">
        <f t="shared" si="74"/>
        <v>+</v>
      </c>
      <c r="MF88" s="293" t="str">
        <f t="shared" si="75"/>
        <v>+</v>
      </c>
      <c r="MG88" s="293" t="str">
        <f t="shared" si="76"/>
        <v>+</v>
      </c>
      <c r="MH88" s="293" t="str">
        <f t="shared" si="77"/>
        <v>+</v>
      </c>
      <c r="MI88" s="293" t="str">
        <f t="shared" si="78"/>
        <v>+</v>
      </c>
      <c r="MJ88" s="293" t="str">
        <f t="shared" si="79"/>
        <v>+</v>
      </c>
      <c r="MK88" s="293" t="str">
        <f t="shared" si="80"/>
        <v>+</v>
      </c>
      <c r="ML88" s="293" t="str">
        <f t="shared" si="81"/>
        <v>NIL</v>
      </c>
      <c r="MM88" s="3" t="b">
        <f t="array" ref="MM88">OR(ME88:ML88="-")</f>
        <v>0</v>
      </c>
      <c r="MN88" s="285"/>
      <c r="MO88" s="401"/>
      <c r="MP88" s="286"/>
      <c r="MQ88" s="286"/>
      <c r="MR88" s="402"/>
      <c r="MS88" s="400"/>
      <c r="NH88" s="422"/>
      <c r="NJ88" s="421"/>
    </row>
    <row r="89" spans="1:374" s="1" customFormat="1" ht="16.5">
      <c r="A89" s="403">
        <v>46028</v>
      </c>
      <c r="B89" s="404" t="s">
        <v>1015</v>
      </c>
      <c r="C89" s="405" t="s">
        <v>5138</v>
      </c>
      <c r="D89" s="406">
        <v>44</v>
      </c>
      <c r="E89" s="404">
        <v>756</v>
      </c>
      <c r="F89" s="407">
        <v>52300</v>
      </c>
      <c r="G89" s="407" t="s">
        <v>1019</v>
      </c>
      <c r="H89" s="408" t="s">
        <v>1017</v>
      </c>
      <c r="I89" s="409">
        <v>1.38</v>
      </c>
      <c r="J89" s="405" t="s">
        <v>543</v>
      </c>
      <c r="K89" s="404" t="s">
        <v>3099</v>
      </c>
      <c r="L89" s="419" t="str">
        <f t="shared" si="54"/>
        <v>FLINTSL - BLACK</v>
      </c>
      <c r="M89" s="404">
        <v>26</v>
      </c>
      <c r="N89" s="410">
        <f>IF(M89=0,0,IF($LB89=70%,VLOOKUP($L89,'Jan-2026 rates'!$L:$R,4,0),IF($LB89=65%,VLOOKUP($L89,'Jan-2026 rates'!$L:$R,4,0),IF($LB89=40%,VLOOKUP($L89,'Jan-2026 rates'!$L:$R,5,0),IF($LB89=30%,VLOOKUP($L89,'Jan-2026 rates'!$L:$R,6,0),IF($LB89=100%,VLOOKUP($L89,'Jan-2026 rates'!$L:$R,7,0),IF($LB89=60%,VLOOKUP($L89,'Jan-2026 rates'!$L:$S,8,0),IF($LB89=80%,VLOOKUP($L89,'Jan-2026 rates'!L:T,9,0),0))))))))</f>
        <v>0</v>
      </c>
      <c r="O89" s="406"/>
      <c r="P89" s="404"/>
      <c r="Q89" s="410">
        <f>IF(P89=0,0,IF($LB89=70%,VLOOKUP($L89,'Jan-2026 rates'!$L:$R,4,0),IF($LB89=65%,VLOOKUP($L89,'Jan-2026 rates'!$L:$R,4,0),IF($LB89=40%,VLOOKUP($L89,'Jan-2026 rates'!$L:$R,5,0),IF($LB89=30%,VLOOKUP($L89,'Jan-2026 rates'!$L:$R,6,0),IF($LB89=100%,VLOOKUP($L89,'Jan-2026 rates'!$L:$R,7,0),IF($LB89=60%,VLOOKUP($L89,'Jan-2026 rates'!$L:$S,8,0),IF($LB89=80%,VLOOKUP($L89,'Jan-2026 rates'!L:T,9,0),0))))))))</f>
        <v>0</v>
      </c>
      <c r="R89" s="406">
        <v>26506000005</v>
      </c>
      <c r="S89" s="406"/>
      <c r="T89" s="406"/>
      <c r="U89" s="406"/>
      <c r="V89" s="406"/>
      <c r="W89" s="406"/>
      <c r="X89" s="406"/>
      <c r="Y89" s="406"/>
      <c r="Z89" s="404">
        <v>4</v>
      </c>
      <c r="AA89" s="398" t="e">
        <f>IF(Z89=0,0,IF(LEN(R89)=11,_xlfn.XLOOKUP(R89,'Dispensed Ink Rates'!C:C,'Dispensed Ink Rates'!CS:CS),VLOOKUP(R89,'Jan-2026 rates'!$E:$F,2,0)))</f>
        <v>#N/A</v>
      </c>
      <c r="AB89" s="404"/>
      <c r="AC89" s="398">
        <f>IF(AB89=0,0,IF(LEN(S89)=11,_xlfn.XLOOKUP(S89,'Dispensed Ink Rates'!C:C,'Dispensed Ink Rates'!CS:CS),VLOOKUP(S89,'Jan-2026 rates'!$E:$F,2,0)))</f>
        <v>0</v>
      </c>
      <c r="AD89" s="404"/>
      <c r="AE89" s="398">
        <f>IF(AD89=0,0,IF(LEN(T89)=11,_xlfn.XLOOKUP(T89,'Dispensed Ink Rates'!C:C,'Dispensed Ink Rates'!CS:CS),VLOOKUP(T89,'Jan-2026 rates'!$E:$F,2,0)))</f>
        <v>0</v>
      </c>
      <c r="AF89" s="404"/>
      <c r="AG89" s="398">
        <f>IF(AF89=0,0,IF(LEN(U89)=11,_xlfn.XLOOKUP(U89,'Dispensed Ink Rates'!C:C,'Dispensed Ink Rates'!CS:CS),VLOOKUP(U89,'Jan-2026 rates'!$E:$F,2,0)))</f>
        <v>0</v>
      </c>
      <c r="AH89" s="404"/>
      <c r="AI89" s="398">
        <f>IF(AH89=0,0,IF(LEN(V89)=11,_xlfn.XLOOKUP(V89,'Dispensed Ink Rates'!C:C,'Dispensed Ink Rates'!CS:CS),VLOOKUP(V89,'Jan-2026 rates'!$E:$F,2,0)))</f>
        <v>0</v>
      </c>
      <c r="AJ89" s="404"/>
      <c r="AK89" s="398">
        <f>IF(AJ89=0,0,IF(LEN(W89)=11,_xlfn.XLOOKUP(W89,'Dispensed Ink Rates'!C:C,'Dispensed Ink Rates'!CS:CS),VLOOKUP(W89,'Jan-2026 rates'!$E:$F,2,0)))</f>
        <v>0</v>
      </c>
      <c r="AL89" s="404"/>
      <c r="AM89" s="398">
        <f>IF(AL89=0,0,IF(LEN(X89)=11,_xlfn.XLOOKUP(X89,'Dispensed Ink Rates'!C:C,'Dispensed Ink Rates'!CS:CS),VLOOKUP(X89,'Jan-2026 rates'!$E:$F,2,0)))</f>
        <v>0</v>
      </c>
      <c r="AN89" s="404"/>
      <c r="AO89" s="398">
        <f>IF(AN89=0,0,IF(LEN(Y89)=11,_xlfn.XLOOKUP(Y89,'Dispensed Ink Rates'!C:C,'Dispensed Ink Rates'!CS:CS),VLOOKUP(Y89,'Jan-2026 rates'!$E:$F,2,0)))</f>
        <v>0</v>
      </c>
      <c r="AP89" s="409" t="s">
        <v>1443</v>
      </c>
      <c r="AQ89" s="409">
        <v>22</v>
      </c>
      <c r="AR89" s="410">
        <f t="shared" si="82"/>
        <v>0</v>
      </c>
      <c r="AS89" s="411">
        <f t="shared" si="83"/>
        <v>12.090090090090087</v>
      </c>
      <c r="AT89" s="410">
        <f t="shared" si="84"/>
        <v>0</v>
      </c>
      <c r="AU89" s="405" t="s">
        <v>855</v>
      </c>
      <c r="AV89" s="409" t="s">
        <v>3100</v>
      </c>
      <c r="AW89" s="420" t="str">
        <f t="shared" si="53"/>
        <v>FLINTSL - CYAN</v>
      </c>
      <c r="AX89" s="409">
        <v>30</v>
      </c>
      <c r="AY89" s="411">
        <f>IF(AX89=0,0,IF($LB89=70%,VLOOKUP($AW89,'Jan-2026 rates'!$L:$R,4,0),IF($LB89=65%,VLOOKUP($AW89,'Jan-2026 rates'!$L:$R,4,0),IF($LB89=40%,VLOOKUP($AW89,'Jan-2026 rates'!$L:$R,5,0),IF($LB89=30%,VLOOKUP($AW89,'Jan-2026 rates'!$L:$R,6,0),IF($LB89=100%,VLOOKUP($AW89,'Jan-2026 rates'!$L:$R,7,0),IF($LB89=60%,VLOOKUP($AW89,'Jan-2026 rates'!$L:$S,8,0),IF($LB89=80%,VLOOKUP($AW89,'Jan-2026 rates'!L:T,9,0),0))))))))</f>
        <v>0</v>
      </c>
      <c r="AZ89" s="412"/>
      <c r="BA89" s="409"/>
      <c r="BB89" s="411">
        <f>IF(BA89=0,0,IF($LB89=70%,VLOOKUP($AW89,'Jan-2026 rates'!$L:$R,4,0),IF($LB89=65%,VLOOKUP($AW89,'Jan-2026 rates'!$L:$R,4,0),IF($LB89=40%,VLOOKUP($AW89,'Jan-2026 rates'!$L:$R,5,0),IF($LB89=30%,VLOOKUP($AW89,'Jan-2026 rates'!$L:$R,6,0),IF($LB89=100%,VLOOKUP($AW89,'Jan-2026 rates'!$L:$R,7,0),IF($LB89=60%,VLOOKUP($AW89,'Jan-2026 rates'!$L:$S,8,0),IF($LB89=80%,VLOOKUP($AW89,'Jan-2026 rates'!L:T,9,0),0))))))))</f>
        <v>0</v>
      </c>
      <c r="BC89" s="413">
        <v>26505000032</v>
      </c>
      <c r="BD89" s="412" t="s">
        <v>1266</v>
      </c>
      <c r="BE89" s="412"/>
      <c r="BF89" s="413"/>
      <c r="BG89" s="412"/>
      <c r="BH89" s="412"/>
      <c r="BI89" s="412"/>
      <c r="BJ89" s="412"/>
      <c r="BK89" s="409">
        <v>25</v>
      </c>
      <c r="BL89" s="398" t="e">
        <f>IF(BK89=0,0,IF(LEN(BC89)=11,_xlfn.XLOOKUP(BC89,'Dispensed Ink Rates'!C:C,'Dispensed Ink Rates'!CS:CS),VLOOKUP(BC89,'Jan-2026 rates'!$E:$F,2,0)))</f>
        <v>#N/A</v>
      </c>
      <c r="BM89" s="409">
        <v>15</v>
      </c>
      <c r="BN89" s="398">
        <f>IF(BM89=0,0,IF(LEN(BD89)=11,_xlfn.XLOOKUP(BD89,'Dispensed Ink Rates'!C:C,'Dispensed Ink Rates'!CS:CS),VLOOKUP(BD89,'Jan-2026 rates'!$E:$F,2,0)))</f>
        <v>0</v>
      </c>
      <c r="BO89" s="409"/>
      <c r="BP89" s="398">
        <f>IF(BO89=0,0,IF(LEN(BE89)=11,_xlfn.XLOOKUP(BE89,'Dispensed Ink Rates'!C:C,'Dispensed Ink Rates'!CS:CS),VLOOKUP(BE89,'Jan-2026 rates'!$E:$F,2,0)))</f>
        <v>0</v>
      </c>
      <c r="BQ89" s="409"/>
      <c r="BR89" s="398">
        <f>IF(BQ89=0,0,IF(LEN(BF89)=11,_xlfn.XLOOKUP(BF89,'Dispensed Ink Rates'!C:C,'Dispensed Ink Rates'!CS:CS),VLOOKUP(BF89,'Jan-2026 rates'!$E:$F,2,0)))</f>
        <v>0</v>
      </c>
      <c r="BS89" s="409"/>
      <c r="BT89" s="398">
        <f>IF(BS89=0,0,IF(LEN(BG89)=11,_xlfn.XLOOKUP(BG89,'Dispensed Ink Rates'!C:C,'Dispensed Ink Rates'!CS:CS),VLOOKUP(BG89,'Jan-2026 rates'!$E:$F,2,0)))</f>
        <v>0</v>
      </c>
      <c r="BU89" s="409"/>
      <c r="BV89" s="398">
        <f>IF(BU89=0,0,IF(LEN(BH89)=11,_xlfn.XLOOKUP(BH89,'Dispensed Ink Rates'!C:C,'Dispensed Ink Rates'!CS:CS),VLOOKUP(BH89,'Jan-2026 rates'!$E:$F,2,0)))</f>
        <v>0</v>
      </c>
      <c r="BW89" s="409"/>
      <c r="BX89" s="398">
        <f>IF(BW89=0,0,IF(LEN(BI89)=11,_xlfn.XLOOKUP(BI89,'Dispensed Ink Rates'!C:C,'Dispensed Ink Rates'!CS:CS),VLOOKUP(BI89,'Jan-2026 rates'!$E:$F,2,0)))</f>
        <v>0</v>
      </c>
      <c r="BY89" s="409"/>
      <c r="BZ89" s="398">
        <f>IF(BY89=0,0,IF(LEN(BJ89)=11,_xlfn.XLOOKUP(BJ89,'Dispensed Ink Rates'!C:C,'Dispensed Ink Rates'!CS:CS),VLOOKUP(BJ89,'Jan-2026 rates'!$E:$F,2,0)))</f>
        <v>0</v>
      </c>
      <c r="CA89" s="409" t="s">
        <v>1443</v>
      </c>
      <c r="CB89" s="409">
        <v>26</v>
      </c>
      <c r="CC89" s="411">
        <f t="shared" si="85"/>
        <v>0</v>
      </c>
      <c r="CD89" s="411">
        <f t="shared" si="86"/>
        <v>95.126126126126124</v>
      </c>
      <c r="CE89" s="410">
        <f t="shared" si="87"/>
        <v>0</v>
      </c>
      <c r="CF89" s="404" t="s">
        <v>544</v>
      </c>
      <c r="CG89" s="409" t="s">
        <v>3101</v>
      </c>
      <c r="CH89" s="420" t="str">
        <f t="shared" si="55"/>
        <v>FLINTSL - MAGENTA</v>
      </c>
      <c r="CI89" s="409">
        <v>27</v>
      </c>
      <c r="CJ89" s="411">
        <f>IF(CI89=0,0,IF($LB89=70%,VLOOKUP($CH89,'Jan-2026 rates'!$L:$R,4,0),IF($LB89=65%,VLOOKUP($CH89,'Jan-2026 rates'!$L:$R,4,0),IF($LB89=40%,VLOOKUP($CH89,'Jan-2026 rates'!$L:$R,5,0),IF($LB89=30%,VLOOKUP($CH89,'Jan-2026 rates'!$L:$R,6,0),IF($LB89=100%,VLOOKUP($CH89,'Jan-2026 rates'!$L:$R,7,0),IF($LB89=60%,VLOOKUP($CH89,'Jan-2026 rates'!$L:$S,8,0),IF($LB89=80%,VLOOKUP($CH89,'Jan-2026 rates'!L:T,9,0),0))))))))</f>
        <v>0</v>
      </c>
      <c r="CK89" s="412" t="s">
        <v>3083</v>
      </c>
      <c r="CL89" s="409">
        <v>18</v>
      </c>
      <c r="CM89" s="411">
        <f>IF(CL89=0,0,IF($LB89=70%,VLOOKUP($CH89,'Jan-2026 rates'!$L:$R,4,0),IF($LB89=65%,VLOOKUP($CH89,'Jan-2026 rates'!$L:$R,4,0),IF($LB89=40%,VLOOKUP($CH89,'Jan-2026 rates'!$L:$R,5,0),IF($LB89=30%,VLOOKUP($CH89,'Jan-2026 rates'!$L:$R,6,0),IF($LB89=100%,VLOOKUP($CH89,'Jan-2026 rates'!$L:$R,7,0),IF($LB89=60%,VLOOKUP($CH89,'Jan-2026 rates'!$L:$S,8,0),IF($LB89=80%,VLOOKUP($CH89,'Jan-2026 rates'!L:T,9,0),0))))))))</f>
        <v>0</v>
      </c>
      <c r="CN89" s="426">
        <v>26507000017</v>
      </c>
      <c r="CO89" s="427" t="s">
        <v>1266</v>
      </c>
      <c r="CP89" s="426"/>
      <c r="CQ89" s="426"/>
      <c r="CR89" s="428"/>
      <c r="CS89" s="428"/>
      <c r="CT89" s="428"/>
      <c r="CU89" s="428"/>
      <c r="CV89" s="409">
        <v>20</v>
      </c>
      <c r="CW89" s="398" t="e">
        <f>IF(CV89=0,0,IF(LEN(CN89)=11,_xlfn.XLOOKUP(CN89,'Dispensed Ink Rates'!C:C,'Dispensed Ink Rates'!CS:CS),VLOOKUP(CN89,'Jan-2026 rates'!$E:$F,2,0)))</f>
        <v>#N/A</v>
      </c>
      <c r="CX89" s="409">
        <v>5</v>
      </c>
      <c r="CY89" s="398">
        <f>IF(CX89=0,0,IF(LEN(CO89)=11,_xlfn.XLOOKUP(CO89,'Dispensed Ink Rates'!C:C,'Dispensed Ink Rates'!CS:CS),VLOOKUP(CO89,'Jan-2026 rates'!$E:$F,2,0)))</f>
        <v>0</v>
      </c>
      <c r="CZ89" s="409"/>
      <c r="DA89" s="398">
        <f>IF(CZ89=0,0,IF(LEN(CP89)=11,_xlfn.XLOOKUP(CP89,'Dispensed Ink Rates'!C:C,'Dispensed Ink Rates'!CS:CS),VLOOKUP(CP89,'Jan-2026 rates'!$E:$F,2,0)))</f>
        <v>0</v>
      </c>
      <c r="DB89" s="409"/>
      <c r="DC89" s="398">
        <f>IF(DB89=0,0,IF(LEN(CQ89)=11,_xlfn.XLOOKUP(CQ89,'Dispensed Ink Rates'!C:C,'Dispensed Ink Rates'!CS:CS),VLOOKUP(CQ89,'Jan-2026 rates'!$E:$F,2,0)))</f>
        <v>0</v>
      </c>
      <c r="DD89" s="409"/>
      <c r="DE89" s="398">
        <f>IF(DD89=0,0,IF(LEN(CR89)=11,_xlfn.XLOOKUP(CR89,'Dispensed Ink Rates'!C:C,'Dispensed Ink Rates'!CS:CS),VLOOKUP(CR89,'Jan-2026 rates'!$E:$F,2,0)))</f>
        <v>0</v>
      </c>
      <c r="DF89" s="409"/>
      <c r="DG89" s="398">
        <f>IF(DF89=0,0,IF(LEN(CS89)=11,_xlfn.XLOOKUP(CS89,'Dispensed Ink Rates'!C:C,'Dispensed Ink Rates'!CS:CS),VLOOKUP(CS89,'Jan-2026 rates'!$E:$F,2,0)))</f>
        <v>0</v>
      </c>
      <c r="DH89" s="409"/>
      <c r="DI89" s="398">
        <f>IF(DH89=0,0,IF(LEN(CT89)=11,_xlfn.XLOOKUP(CT89,'Dispensed Ink Rates'!C:C,'Dispensed Ink Rates'!CS:CS),VLOOKUP(CT89,'Jan-2026 rates'!$E:$F,2,0)))</f>
        <v>0</v>
      </c>
      <c r="DJ89" s="409"/>
      <c r="DK89" s="398">
        <f>IF(DJ89=0,0,IF(LEN(CU89)=11,_xlfn.XLOOKUP(CU89,'Dispensed Ink Rates'!C:C,'Dispensed Ink Rates'!CS:CS),VLOOKUP(CU89,'Jan-2026 rates'!$E:$F,2,0)))</f>
        <v>0</v>
      </c>
      <c r="DL89" s="409" t="s">
        <v>1443</v>
      </c>
      <c r="DM89" s="409">
        <v>24</v>
      </c>
      <c r="DN89" s="411">
        <f t="shared" si="88"/>
        <v>0</v>
      </c>
      <c r="DO89" s="411">
        <f t="shared" si="89"/>
        <v>86.900900900900893</v>
      </c>
      <c r="DP89" s="410">
        <f t="shared" si="90"/>
        <v>0</v>
      </c>
      <c r="DQ89" s="405" t="s">
        <v>545</v>
      </c>
      <c r="DR89" s="409" t="s">
        <v>3102</v>
      </c>
      <c r="DS89" s="420" t="str">
        <f t="shared" si="56"/>
        <v>FLINTSL - YELLOW</v>
      </c>
      <c r="DT89" s="409">
        <v>28</v>
      </c>
      <c r="DU89" s="411">
        <f>IF(DT89=0,0,IF($LB89=70%,VLOOKUP($DS89,'Jan-2026 rates'!$L:$R,4,0),IF($LB89=65%,VLOOKUP($DS89,'Jan-2026 rates'!$L:$R,4,0),IF($LB89=40%,VLOOKUP($DS89,'Jan-2026 rates'!$L:$R,5,0),IF($LB89=30%,VLOOKUP($DS89,'Jan-2026 rates'!$L:$R,6,0),IF($LB89=100%,VLOOKUP($DS89,'Jan-2026 rates'!$L:$R,7,0),IF($LB89=60%,VLOOKUP($DS89,'Jan-2026 rates'!$L:$S,8,0),IF($LB89=80%,VLOOKUP($DS89,'Jan-2026 rates'!L:T,9,0),0))))))))</f>
        <v>0</v>
      </c>
      <c r="DV89" s="412"/>
      <c r="DW89" s="409"/>
      <c r="DX89" s="411">
        <f>IF(DW89=0,0,IF($LB89=70%,VLOOKUP($DS89,'Jan-2026 rates'!$L:$R,4,0),IF($LB89=65%,VLOOKUP($DS89,'Jan-2026 rates'!$L:$R,4,0),IF($LB89=40%,VLOOKUP($DS89,'Jan-2026 rates'!$L:$R,5,0),IF($LB89=30%,VLOOKUP($DS89,'Jan-2026 rates'!$L:$R,6,0),IF($LB89=100%,VLOOKUP($DS89,'Jan-2026 rates'!$L:$R,7,0),IF($LB89=60%,VLOOKUP($DS89,'Jan-2026 rates'!$L:$S,8,0),IF($LB89=80%,VLOOKUP($DS89,'Jan-2026 rates'!L:T,9,0),0))))))))</f>
        <v>0</v>
      </c>
      <c r="DY89" s="413"/>
      <c r="DZ89" s="413"/>
      <c r="EA89" s="412"/>
      <c r="EB89" s="412"/>
      <c r="EC89" s="412"/>
      <c r="ED89" s="412"/>
      <c r="EE89" s="412"/>
      <c r="EF89" s="412"/>
      <c r="EG89" s="409"/>
      <c r="EH89" s="398">
        <f>IF(EG89=0,0,IF(LEN(DY89)=11,_xlfn.XLOOKUP(DY89,'Dispensed Ink Rates'!C:C,'Dispensed Ink Rates'!CS:CS),VLOOKUP(DY89,'Jan-2026 rates'!$E:$F,2,0)))</f>
        <v>0</v>
      </c>
      <c r="EI89" s="409"/>
      <c r="EJ89" s="398">
        <f>IF(EI89=0,0,IF(LEN(DZ89)=11,_xlfn.XLOOKUP(DZ89,'Dispensed Ink Rates'!C:C,'Dispensed Ink Rates'!CS:CS),VLOOKUP(DZ89,'Jan-2026 rates'!$E:$F,2,0)))</f>
        <v>0</v>
      </c>
      <c r="EK89" s="409"/>
      <c r="EL89" s="398">
        <f>IF(EK89=0,0,IF(LEN(EA89)=11,_xlfn.XLOOKUP(EA89,'Dispensed Ink Rates'!C:C,'Dispensed Ink Rates'!CS:CS),VLOOKUP(EA89,'Jan-2026 rates'!$E:$F,2,0)))</f>
        <v>0</v>
      </c>
      <c r="EM89" s="409"/>
      <c r="EN89" s="398">
        <f>IF(EM89=0,0,IF(LEN(EB89)=11,_xlfn.XLOOKUP(EB89,'Dispensed Ink Rates'!C:C,'Dispensed Ink Rates'!CS:CS),VLOOKUP(EB89,'Jan-2026 rates'!$E:$F,2,0)))</f>
        <v>0</v>
      </c>
      <c r="EO89" s="409"/>
      <c r="EP89" s="398">
        <f>IF(EO89=0,0,IF(LEN(EC89)=11,_xlfn.XLOOKUP(EC89,'Dispensed Ink Rates'!C:C,'Dispensed Ink Rates'!CS:CS),VLOOKUP(EC89,'Jan-2026 rates'!$E:$F,2,0)))</f>
        <v>0</v>
      </c>
      <c r="EQ89" s="409"/>
      <c r="ER89" s="398">
        <f>IF(EQ89=0,0,IF(LEN(ED89)=11,_xlfn.XLOOKUP(ED89,'Dispensed Ink Rates'!C:C,'Dispensed Ink Rates'!CS:CS),VLOOKUP(ED89,'Jan-2026 rates'!$E:$F,2,0)))</f>
        <v>0</v>
      </c>
      <c r="ES89" s="409"/>
      <c r="ET89" s="398">
        <f>IF(ES89=0,0,IF(LEN(EE89)=11,_xlfn.XLOOKUP(EE89,'Dispensed Ink Rates'!C:C,'Dispensed Ink Rates'!CS:CS),VLOOKUP(EE89,'Jan-2026 rates'!$E:$F,2,0)))</f>
        <v>0</v>
      </c>
      <c r="EU89" s="409"/>
      <c r="EV89" s="398">
        <f>IF(EU89=0,0,IF(LEN(EF89)=11,_xlfn.XLOOKUP(EF89,'Dispensed Ink Rates'!C:C,'Dispensed Ink Rates'!CS:CS),VLOOKUP(EF89,'Jan-2026 rates'!$E:$F,2,0)))</f>
        <v>0</v>
      </c>
      <c r="EW89" s="409" t="s">
        <v>1443</v>
      </c>
      <c r="EX89" s="409">
        <v>25</v>
      </c>
      <c r="EY89" s="411">
        <f t="shared" si="91"/>
        <v>0</v>
      </c>
      <c r="EZ89" s="411">
        <f t="shared" si="92"/>
        <v>11.18018018018018</v>
      </c>
      <c r="FA89" s="410">
        <f t="shared" si="93"/>
        <v>0</v>
      </c>
      <c r="FB89" s="405" t="s">
        <v>856</v>
      </c>
      <c r="FC89" s="409" t="s">
        <v>3103</v>
      </c>
      <c r="FD89" s="420" t="str">
        <f t="shared" si="57"/>
        <v>FLINTSL - WHITE</v>
      </c>
      <c r="FE89" s="409">
        <v>25</v>
      </c>
      <c r="FF89" s="411">
        <f>IF(FE89=0,0,IF($LB89=70%,VLOOKUP($FD89,'Jan-2026 rates'!$L:$R,4,0),IF($LB89=65%,VLOOKUP($FD89,'Jan-2026 rates'!$L:$R,4,0),IF($LB89=40%,VLOOKUP($FD89,'Jan-2026 rates'!$L:$R,5,0),IF($LB89=30%,VLOOKUP($FD89,'Jan-2026 rates'!$L:$R,6,0),IF($LB89=100%,VLOOKUP($FD89,'Jan-2026 rates'!$L:$R,7,0),IF($LB89=60%,VLOOKUP($FD89,'Jan-2026 rates'!$L:$S,8,0),IF($LB89=80%,VLOOKUP($FD89,'Jan-2026 rates'!L:T,9,0),0))))))))</f>
        <v>0</v>
      </c>
      <c r="FG89" s="412"/>
      <c r="FH89" s="409"/>
      <c r="FI89" s="411">
        <f>IF(FH89=0,0,IF($LB89=70%,VLOOKUP($FD89,'Jan-2026 rates'!$L:$R,4,0),IF($LB89=65%,VLOOKUP($FD89,'Jan-2026 rates'!$L:$R,4,0),IF($LB89=40%,VLOOKUP($FD89,'Jan-2026 rates'!$L:$R,5,0),IF($LB89=30%,VLOOKUP($FD89,'Jan-2026 rates'!$L:$R,6,0),IF($LB89=100%,VLOOKUP($FD89,'Jan-2026 rates'!$L:$R,7,0),IF($LB89=60%,VLOOKUP($FD89,'Jan-2026 rates'!$L:$S,8,0),IF($LB89=80%,VLOOKUP($FD89,'Jan-2026 rates'!L:T,9,0),0))))))))</f>
        <v>0</v>
      </c>
      <c r="FJ89" s="413" t="s">
        <v>484</v>
      </c>
      <c r="FK89" s="413"/>
      <c r="FL89" s="413"/>
      <c r="FM89" s="412"/>
      <c r="FN89" s="412"/>
      <c r="FO89" s="412"/>
      <c r="FP89" s="412"/>
      <c r="FQ89" s="412"/>
      <c r="FR89" s="409">
        <f>100+30</f>
        <v>130</v>
      </c>
      <c r="FS89" s="398">
        <f>IF(FR89=0,0,IF(LEN(FJ89)=11,_xlfn.XLOOKUP(FJ89,'Dispensed Ink Rates'!C:C,'Dispensed Ink Rates'!CS:CS),VLOOKUP(FJ89,'Jan-2026 rates'!$E:$F,2,0)))</f>
        <v>0</v>
      </c>
      <c r="FT89" s="409"/>
      <c r="FU89" s="398">
        <f>IF(FT89=0,0,IF(LEN(FK89)=11,_xlfn.XLOOKUP(FK89,'Dispensed Ink Rates'!C:C,'Dispensed Ink Rates'!CS:CS),VLOOKUP(FK89,'Jan-2026 rates'!$E:$F,2,0)))</f>
        <v>0</v>
      </c>
      <c r="FV89" s="409"/>
      <c r="FW89" s="398">
        <f>IF(FV89=0,0,IF(LEN(FL89)=11,_xlfn.XLOOKUP(FL89,'Dispensed Ink Rates'!C:C,'Dispensed Ink Rates'!CS:CS),VLOOKUP(FL89,'Jan-2026 rates'!$E:$F,2,0)))</f>
        <v>0</v>
      </c>
      <c r="FX89" s="409"/>
      <c r="FY89" s="398">
        <f>IF(FX89=0,0,IF(LEN(FM89)=11,_xlfn.XLOOKUP(FM89,'Dispensed Ink Rates'!C:C,'Dispensed Ink Rates'!CS:CS),VLOOKUP(FM89,'Jan-2026 rates'!$E:$F,2,0)))</f>
        <v>0</v>
      </c>
      <c r="FZ89" s="409"/>
      <c r="GA89" s="398">
        <f>IF(FZ89=0,0,IF(LEN(FN89)=11,_xlfn.XLOOKUP(FN89,'Dispensed Ink Rates'!C:C,'Dispensed Ink Rates'!CS:CS),VLOOKUP(FN89,'Jan-2026 rates'!$E:$F,2,0)))</f>
        <v>0</v>
      </c>
      <c r="GB89" s="409"/>
      <c r="GC89" s="398">
        <f>IF(GB89=0,0,IF(LEN(FO89)=11,_xlfn.XLOOKUP(FO89,'Dispensed Ink Rates'!C:C,'Dispensed Ink Rates'!CS:CS),VLOOKUP(FO89,'Jan-2026 rates'!$E:$F,2,0)))</f>
        <v>0</v>
      </c>
      <c r="GD89" s="409"/>
      <c r="GE89" s="398">
        <f>IF(GD89=0,0,IF(LEN(FP89)=11,_xlfn.XLOOKUP(FP89,'Dispensed Ink Rates'!C:C,'Dispensed Ink Rates'!CS:CS),VLOOKUP(FP89,'Jan-2026 rates'!$E:$F,2,0)))</f>
        <v>0</v>
      </c>
      <c r="GF89" s="409"/>
      <c r="GG89" s="398">
        <f>IF(GF89=0,0,IF(LEN(FQ89)=11,_xlfn.XLOOKUP(FQ89,'Dispensed Ink Rates'!C:C,'Dispensed Ink Rates'!CS:CS),VLOOKUP(FQ89,'Jan-2026 rates'!$E:$F,2,0)))</f>
        <v>0</v>
      </c>
      <c r="GH89" s="409" t="s">
        <v>1443</v>
      </c>
      <c r="GI89" s="409">
        <v>26</v>
      </c>
      <c r="GJ89" s="411">
        <f t="shared" si="94"/>
        <v>0</v>
      </c>
      <c r="GK89" s="411">
        <f t="shared" si="95"/>
        <v>251.70270270270271</v>
      </c>
      <c r="GL89" s="410">
        <f t="shared" si="96"/>
        <v>0</v>
      </c>
      <c r="GM89" s="405"/>
      <c r="GN89" s="409"/>
      <c r="GO89" s="420" t="str">
        <f t="shared" si="58"/>
        <v xml:space="preserve"> - </v>
      </c>
      <c r="GP89" s="409"/>
      <c r="GQ89" s="411">
        <f>IF(GP89=0,0,IF($LB89=70%,VLOOKUP($GO89,'Jan-2026 rates'!$L:$R,4,0),IF($LB89=65%,VLOOKUP($GO89,'Jan-2026 rates'!$L:$R,4,0),IF($LB89=40%,VLOOKUP($GO89,'Jan-2026 rates'!$L:$R,5,0),IF($LB89=30%,VLOOKUP($GO89,'Jan-2026 rates'!$L:$R,6,0),IF($LB89=100%,VLOOKUP($GO89,'Jan-2026 rates'!$L:$R,7,0),IF($LB89=60%,VLOOKUP($GO89,'Jan-2026 rates'!$L:$S,8,0),IF($LB89=80%,VLOOKUP($GO89,'Jan-2026 rates'!L:T,9,0),0))))))))</f>
        <v>0</v>
      </c>
      <c r="GR89" s="412"/>
      <c r="GS89" s="409"/>
      <c r="GT89" s="411">
        <f>IF(GS89=0,0,IF($LB89=70%,VLOOKUP($GO89,'Jan-2026 rates'!$L:$R,4,0),IF($LB89=65%,VLOOKUP($GO89,'Jan-2026 rates'!$L:$R,4,0),IF($LB89=40%,VLOOKUP($GO89,'Jan-2026 rates'!$L:$R,5,0),IF($LB89=30%,VLOOKUP($GO89,'Jan-2026 rates'!$L:$R,6,0),IF($LB89=100%,VLOOKUP($GO89,'Jan-2026 rates'!$L:$R,7,0),IF($LB89=60%,VLOOKUP($GO89,'Jan-2026 rates'!$L:$S,8,0),IF($LB89=80%,VLOOKUP($GO89,'Jan-2026 rates'!L:T,9,0),0))))))))</f>
        <v>0</v>
      </c>
      <c r="GU89" s="413"/>
      <c r="GV89" s="413"/>
      <c r="GW89" s="412"/>
      <c r="GX89" s="412"/>
      <c r="GY89" s="412"/>
      <c r="GZ89" s="412"/>
      <c r="HA89" s="412"/>
      <c r="HB89" s="412"/>
      <c r="HC89" s="409"/>
      <c r="HD89" s="398">
        <f>IF(HC89=0,0,IF(LEN(GU89)=11,_xlfn.XLOOKUP(GU89,'Dispensed Ink Rates'!C:C,'Dispensed Ink Rates'!CS:CS),VLOOKUP(GU89,'Jan-2026 rates'!$E:$F,2,0)))</f>
        <v>0</v>
      </c>
      <c r="HE89" s="409"/>
      <c r="HF89" s="398">
        <f>IF(HE89=0,0,IF(LEN(GV89)=11,_xlfn.XLOOKUP(GV89,'Dispensed Ink Rates'!C:C,'Dispensed Ink Rates'!CS:CS),VLOOKUP(GV89,'Jan-2026 rates'!$E:$F,2,0)))</f>
        <v>0</v>
      </c>
      <c r="HG89" s="409"/>
      <c r="HH89" s="398">
        <f>IF(HG89=0,0,IF(LEN(GW89)=11,_xlfn.XLOOKUP(GW89,'Dispensed Ink Rates'!C:C,'Dispensed Ink Rates'!CS:CS),VLOOKUP(GW89,'Jan-2026 rates'!$E:$F,2,0)))</f>
        <v>0</v>
      </c>
      <c r="HI89" s="409"/>
      <c r="HJ89" s="398">
        <f>IF(HI89=0,0,IF(LEN(GX89)=11,_xlfn.XLOOKUP(GX89,'Dispensed Ink Rates'!C:C,'Dispensed Ink Rates'!CS:CS),VLOOKUP(GX89,'Jan-2026 rates'!$E:$F,2,0)))</f>
        <v>0</v>
      </c>
      <c r="HK89" s="409"/>
      <c r="HL89" s="398">
        <f>IF(HK89=0,0,IF(LEN(GY89)=11,_xlfn.XLOOKUP(GY89,'Dispensed Ink Rates'!C:C,'Dispensed Ink Rates'!CS:CS),VLOOKUP(GY89,'Jan-2026 rates'!$E:$F,2,0)))</f>
        <v>0</v>
      </c>
      <c r="HM89" s="409"/>
      <c r="HN89" s="398">
        <f>IF(HM89=0,0,IF(LEN(GZ89)=11,_xlfn.XLOOKUP(GZ89,'Dispensed Ink Rates'!C:C,'Dispensed Ink Rates'!CS:CS),VLOOKUP(GZ89,'Jan-2026 rates'!$E:$F,2,0)))</f>
        <v>0</v>
      </c>
      <c r="HO89" s="409"/>
      <c r="HP89" s="398">
        <f>IF(HO89=0,0,IF(LEN(HA89)=11,_xlfn.XLOOKUP(HA89,'Dispensed Ink Rates'!C:C,'Dispensed Ink Rates'!CS:CS),VLOOKUP(HA89,'Jan-2026 rates'!$E:$F,2,0)))</f>
        <v>0</v>
      </c>
      <c r="HQ89" s="409"/>
      <c r="HR89" s="398">
        <f>IF(HQ89=0,0,IF(LEN(HB89)=11,_xlfn.XLOOKUP(HB89,'Dispensed Ink Rates'!C:C,'Dispensed Ink Rates'!CS:CS),VLOOKUP(HB89,'Jan-2026 rates'!$E:$F,2,0)))</f>
        <v>0</v>
      </c>
      <c r="HS89" s="409"/>
      <c r="HT89" s="409"/>
      <c r="HU89" s="411">
        <f t="shared" si="97"/>
        <v>0</v>
      </c>
      <c r="HV89" s="411">
        <f t="shared" si="98"/>
        <v>0</v>
      </c>
      <c r="HW89" s="414">
        <f t="shared" si="99"/>
        <v>0</v>
      </c>
      <c r="HX89" s="405"/>
      <c r="HY89" s="409"/>
      <c r="HZ89" s="420" t="str">
        <f t="shared" si="59"/>
        <v xml:space="preserve"> - </v>
      </c>
      <c r="IA89" s="409"/>
      <c r="IB89" s="411">
        <f>IF(IA89=0,0,IF($LB89=70%,VLOOKUP($HZ89,'Jan-2026 rates'!$L:$R,4,0),IF($LB89=65%,VLOOKUP($HZ89,'Jan-2026 rates'!$L:$R,4,0),IF($LB89=40%,VLOOKUP($HZ89,'Jan-2026 rates'!$L:$R,5,0),IF($LB89=30%,VLOOKUP($HZ89,'Jan-2026 rates'!$L:$R,6,0),IF($LB89=100%,VLOOKUP($HZ89,'Jan-2026 rates'!$L:$R,7,0),IF($LB89=60%,VLOOKUP($HZ89,'Jan-2026 rates'!$L:$S,8,0),IF($LB89=80%,VLOOKUP($HZ89,'Jan-2026 rates'!L:T,9,0),0))))))))</f>
        <v>0</v>
      </c>
      <c r="IC89" s="412"/>
      <c r="ID89" s="409"/>
      <c r="IE89" s="411">
        <f>IF(ID89=0,0,IF($LB89=70%,VLOOKUP($HZ89,'Jan-2026 rates'!$L:$R,4,0),IF($LB89=65%,VLOOKUP($HZ89,'Jan-2026 rates'!$L:$R,4,0),IF($LB89=40%,VLOOKUP($HZ89,'Jan-2026 rates'!$L:$R,5,0),IF($LB89=30%,VLOOKUP($HZ89,'Jan-2026 rates'!$L:$R,6,0),IF($LB89=100%,VLOOKUP($HZ89,'Jan-2026 rates'!$L:$R,7,0),IF($LB89=60%,VLOOKUP($HZ89,'Jan-2026 rates'!$L:$S,8,0),IF($LB89=80%,VLOOKUP($HZ89,'Jan-2026 rates'!L:T,9,0),0))))))))</f>
        <v>0</v>
      </c>
      <c r="IF89" s="412"/>
      <c r="IG89" s="413"/>
      <c r="IH89" s="412"/>
      <c r="II89" s="412"/>
      <c r="IJ89" s="412"/>
      <c r="IK89" s="412"/>
      <c r="IL89" s="412"/>
      <c r="IM89" s="412"/>
      <c r="IN89" s="409"/>
      <c r="IO89" s="398">
        <f>IF(IN89=0,0,IF(LEN(IF89)=11,_xlfn.XLOOKUP(IF89,'Dispensed Ink Rates'!C:C,'Dispensed Ink Rates'!CS:CS),VLOOKUP(IF89,'Jan-2026 rates'!$E:$F,2,0)))</f>
        <v>0</v>
      </c>
      <c r="IP89" s="409"/>
      <c r="IQ89" s="398">
        <f>IF(IP89=0,0,IF(LEN(IG89)=11,_xlfn.XLOOKUP(IG89,'Dispensed Ink Rates'!C:C,'Dispensed Ink Rates'!CS:CS),VLOOKUP(IG89,'Jan-2026 rates'!$E:$F,2,0)))</f>
        <v>0</v>
      </c>
      <c r="IR89" s="409"/>
      <c r="IS89" s="398">
        <f>IF(IR89=0,0,IF(LEN(IH89)=11,_xlfn.XLOOKUP(IH89,'Dispensed Ink Rates'!C:C,'Dispensed Ink Rates'!CS:CS),VLOOKUP(IH89,'Jan-2026 rates'!$E:$F,2,0)))</f>
        <v>0</v>
      </c>
      <c r="IT89" s="409"/>
      <c r="IU89" s="398">
        <f>IF(IT89=0,0,IF(LEN(II89)=11,_xlfn.XLOOKUP(II89,'Dispensed Ink Rates'!C:C,'Dispensed Ink Rates'!CS:CS),VLOOKUP(II89,'Jan-2026 rates'!$E:$F,2,0)))</f>
        <v>0</v>
      </c>
      <c r="IV89" s="409"/>
      <c r="IW89" s="398">
        <f>IF(IV89=0,0,IF(LEN(IJ89)=11,_xlfn.XLOOKUP(IJ89,'Dispensed Ink Rates'!C:C,'Dispensed Ink Rates'!CS:CS),VLOOKUP(IJ89,'Jan-2026 rates'!$E:$F,2,0)))</f>
        <v>0</v>
      </c>
      <c r="IX89" s="409"/>
      <c r="IY89" s="398">
        <f>IF(IX89=0,0,IF(LEN(IK89)=11,_xlfn.XLOOKUP(IK89,'Dispensed Ink Rates'!C:C,'Dispensed Ink Rates'!CS:CS),VLOOKUP(IK89,'Jan-2026 rates'!$E:$F,2,0)))</f>
        <v>0</v>
      </c>
      <c r="IZ89" s="409"/>
      <c r="JA89" s="398">
        <f>IF(IZ89=0,0,IF(LEN(IL89)=11,_xlfn.XLOOKUP(IL89,'Dispensed Ink Rates'!C:C,'Dispensed Ink Rates'!CS:CS),VLOOKUP(IL89,'Jan-2026 rates'!$E:$F,2,0)))</f>
        <v>0</v>
      </c>
      <c r="JB89" s="409"/>
      <c r="JC89" s="398">
        <f>IF(JB89=0,0,IF(LEN(IM89)=11,_xlfn.XLOOKUP(IM89,'Dispensed Ink Rates'!C:C,'Dispensed Ink Rates'!CS:CS),VLOOKUP(IM89,'Jan-2026 rates'!$E:$F,2,0)))</f>
        <v>0</v>
      </c>
      <c r="JD89" s="409"/>
      <c r="JE89" s="409"/>
      <c r="JF89" s="411">
        <f t="shared" si="100"/>
        <v>0</v>
      </c>
      <c r="JG89" s="411">
        <f t="shared" si="101"/>
        <v>0</v>
      </c>
      <c r="JH89" s="410">
        <f t="shared" si="102"/>
        <v>0</v>
      </c>
      <c r="JI89" s="405"/>
      <c r="JJ89" s="409"/>
      <c r="JK89" s="420" t="str">
        <f t="shared" si="60"/>
        <v xml:space="preserve"> - </v>
      </c>
      <c r="JL89" s="409"/>
      <c r="JM89" s="411">
        <f>IF(JL89=0,0,IF($LB89=70%,VLOOKUP($JK89,'Jan-2026 rates'!$L:$R,4,0),IF($LB89=65%,VLOOKUP($JK89,'Jan-2026 rates'!$L:$R,4,0),IF($LB89=40%,VLOOKUP($JK89,'Jan-2026 rates'!$L:$R,5,0),IF($LB89=30%,VLOOKUP($JK89,'Jan-2026 rates'!$L:$R,6,0),IF($LB89=100%,VLOOKUP($JK89,'Jan-2026 rates'!$L:$R,7,0),IF($LB89=60%,VLOOKUP($JK89,'Jan-2026 rates'!$L:$S,8,0),IF($LB89=80%,VLOOKUP($JK89,'Jan-2026 rates'!L:T,9,0),0))))))))</f>
        <v>0</v>
      </c>
      <c r="JN89" s="412"/>
      <c r="JO89" s="409"/>
      <c r="JP89" s="411">
        <f>IF(JO89=0,0,IF($LB89=70%,VLOOKUP($JK89,'Jan-2026 rates'!$L:$R,4,0),IF($LB89=65%,VLOOKUP($JK89,'Jan-2026 rates'!$L:$R,4,0),IF($LB89=40%,VLOOKUP($JK89,'Jan-2026 rates'!$L:$R,5,0),IF($LB89=30%,VLOOKUP($JK89,'Jan-2026 rates'!$L:$R,6,0),IF($LB89=100%,VLOOKUP($JK89,'Jan-2026 rates'!$L:$R,7,0),IF($LB89=60%,VLOOKUP($JK89,'Jan-2026 rates'!$L:$S,8,0),IF($LB89=80%,VLOOKUP($JK89,'Jan-2026 rates'!L:T,9,0),0))))))))</f>
        <v>0</v>
      </c>
      <c r="JQ89" s="413"/>
      <c r="JR89" s="412"/>
      <c r="JS89" s="413"/>
      <c r="JT89" s="413"/>
      <c r="JU89" s="412"/>
      <c r="JV89" s="412"/>
      <c r="JW89" s="412"/>
      <c r="JX89" s="412"/>
      <c r="JY89" s="409"/>
      <c r="JZ89" s="398">
        <f>IF(JY89=0,0,IF(LEN(JQ89)=11,_xlfn.XLOOKUP(JQ89,'Dispensed Ink Rates'!C:C,'Dispensed Ink Rates'!CS:CS),VLOOKUP(JQ89,'Jan-2026 rates'!$E:$F,2,0)))</f>
        <v>0</v>
      </c>
      <c r="KA89" s="409"/>
      <c r="KB89" s="398">
        <f>IF(KA89=0,0,IF(LEN(JR89)=11,_xlfn.XLOOKUP(JR89,'Dispensed Ink Rates'!C:C,'Dispensed Ink Rates'!CS:CS),VLOOKUP(JR89,'Jan-2026 rates'!$E:$F,2,0)))</f>
        <v>0</v>
      </c>
      <c r="KC89" s="409"/>
      <c r="KD89" s="398">
        <f>IF(KC89=0,0,IF(LEN(JS89)=11,_xlfn.XLOOKUP(JS89,'Dispensed Ink Rates'!C:C,'Dispensed Ink Rates'!CS:CS),VLOOKUP(JS89,'Jan-2026 rates'!$E:$F,2,0)))</f>
        <v>0</v>
      </c>
      <c r="KE89" s="409"/>
      <c r="KF89" s="398">
        <f>IF(KE89=0,0,IF(LEN(JT89)=11,_xlfn.XLOOKUP(JT89,'Dispensed Ink Rates'!C:C,'Dispensed Ink Rates'!CS:CS),VLOOKUP(JT89,'Jan-2026 rates'!$E:$F,2,0)))</f>
        <v>0</v>
      </c>
      <c r="KG89" s="409"/>
      <c r="KH89" s="398">
        <f>IF(KG89=0,0,IF(LEN(JU89)=11,_xlfn.XLOOKUP(JU89,'Dispensed Ink Rates'!C:C,'Dispensed Ink Rates'!CS:CS),VLOOKUP(JU89,'Jan-2026 rates'!$E:$F,2,0)))</f>
        <v>0</v>
      </c>
      <c r="KI89" s="409"/>
      <c r="KJ89" s="398">
        <f>IF(KI89=0,0,IF(LEN(JV89)=11,_xlfn.XLOOKUP(JV89,'Dispensed Ink Rates'!C:C,'Dispensed Ink Rates'!CS:CS),VLOOKUP(JV89,'Jan-2026 rates'!$E:$F,2,0)))</f>
        <v>0</v>
      </c>
      <c r="KK89" s="409"/>
      <c r="KL89" s="398">
        <f>IF(KK89=0,0,IF(LEN(JW89)=11,_xlfn.XLOOKUP(JW89,'Dispensed Ink Rates'!C:C,'Dispensed Ink Rates'!CS:CS),VLOOKUP(JW89,'Jan-2026 rates'!$E:$F,2,0)))</f>
        <v>0</v>
      </c>
      <c r="KM89" s="428"/>
      <c r="KN89" s="398">
        <f>IF(KM89=0,0,IF(LEN(JX89)=11,_xlfn.XLOOKUP(JX89,'Dispensed Ink Rates'!C:C,'Dispensed Ink Rates'!CS:CS),VLOOKUP(JX89,'Jan-2026 rates'!$E:$F,2,0)))</f>
        <v>0</v>
      </c>
      <c r="KO89" s="409"/>
      <c r="KP89" s="409"/>
      <c r="KQ89" s="411">
        <f t="shared" si="103"/>
        <v>0</v>
      </c>
      <c r="KR89" s="411">
        <f t="shared" si="104"/>
        <v>0</v>
      </c>
      <c r="KS89" s="410">
        <f t="shared" si="105"/>
        <v>0</v>
      </c>
      <c r="KT89" s="409">
        <v>2</v>
      </c>
      <c r="KU89" s="409">
        <v>25</v>
      </c>
      <c r="KV89" s="409">
        <v>20</v>
      </c>
      <c r="KW89" s="409">
        <v>4</v>
      </c>
      <c r="KX89" s="409">
        <v>60</v>
      </c>
      <c r="KY89" s="409">
        <v>0</v>
      </c>
      <c r="KZ89" s="409">
        <v>0</v>
      </c>
      <c r="LA89" s="409">
        <v>0</v>
      </c>
      <c r="LB89" s="415">
        <v>0.8</v>
      </c>
      <c r="LC89" s="415">
        <v>0.2</v>
      </c>
      <c r="LD89" s="415"/>
      <c r="LE89" s="415"/>
      <c r="LF89" s="415"/>
      <c r="LG89" s="409">
        <v>0</v>
      </c>
      <c r="LH89" s="409">
        <f>60+60+80+20+7</f>
        <v>227</v>
      </c>
      <c r="LI89" s="409">
        <v>0</v>
      </c>
      <c r="LJ89" s="409">
        <v>0</v>
      </c>
      <c r="LK89" s="416">
        <f t="shared" si="61"/>
        <v>227</v>
      </c>
      <c r="LL89" s="416">
        <f t="shared" si="62"/>
        <v>227</v>
      </c>
      <c r="LM89" s="417">
        <f t="shared" si="63"/>
        <v>181.60000000000002</v>
      </c>
      <c r="LN89" s="417">
        <f>VLOOKUP($LM$8,'Jan-2026 rates'!$H:$I,2,0)</f>
        <v>0</v>
      </c>
      <c r="LO89" s="417">
        <f t="shared" si="64"/>
        <v>45.400000000000006</v>
      </c>
      <c r="LP89" s="417">
        <f>VLOOKUP($LO$8,'Jan-2026 rates'!$H:$I,2,0)</f>
        <v>0</v>
      </c>
      <c r="LQ89" s="417">
        <f t="shared" si="65"/>
        <v>0</v>
      </c>
      <c r="LR89" s="417">
        <f>VLOOKUP($LQ$8,'Jan-2026 rates'!$H:$I,2,0)</f>
        <v>0</v>
      </c>
      <c r="LS89" s="417">
        <f t="shared" si="66"/>
        <v>0</v>
      </c>
      <c r="LT89" s="417">
        <f>VLOOKUP($LS$8,'Jan-2026 rates'!$H:$I,2,0)</f>
        <v>0</v>
      </c>
      <c r="LU89" s="417">
        <f t="shared" si="67"/>
        <v>0</v>
      </c>
      <c r="LV89" s="417">
        <f>VLOOKUP($LU$8,'Jan-2026 rates'!$H:$I,2,0)</f>
        <v>0</v>
      </c>
      <c r="LW89" s="417">
        <f t="shared" si="68"/>
        <v>0</v>
      </c>
      <c r="LX89" s="417">
        <f t="shared" si="69"/>
        <v>0</v>
      </c>
      <c r="LY89" s="418">
        <f t="shared" si="70"/>
        <v>0</v>
      </c>
      <c r="LZ89" s="417"/>
      <c r="MA89" s="435">
        <f t="shared" si="71"/>
        <v>199</v>
      </c>
      <c r="MB89" s="282">
        <f t="shared" si="72"/>
        <v>457</v>
      </c>
      <c r="MC89" s="283">
        <v>44</v>
      </c>
      <c r="MD89" s="284" t="str">
        <f t="shared" si="73"/>
        <v>FLINTSLFLINTSLFLINTSLFLINTSLFLINTSL</v>
      </c>
      <c r="ME89" s="293" t="str">
        <f t="shared" si="74"/>
        <v>+</v>
      </c>
      <c r="MF89" s="293" t="str">
        <f t="shared" si="75"/>
        <v>+</v>
      </c>
      <c r="MG89" s="293" t="str">
        <f t="shared" si="76"/>
        <v>+</v>
      </c>
      <c r="MH89" s="293" t="str">
        <f t="shared" si="77"/>
        <v>+</v>
      </c>
      <c r="MI89" s="293" t="str">
        <f t="shared" si="78"/>
        <v>+</v>
      </c>
      <c r="MJ89" s="293" t="str">
        <f t="shared" si="79"/>
        <v>NIL</v>
      </c>
      <c r="MK89" s="293" t="str">
        <f t="shared" si="80"/>
        <v>NIL</v>
      </c>
      <c r="ML89" s="293" t="str">
        <f t="shared" si="81"/>
        <v>NIL</v>
      </c>
      <c r="MM89" s="3" t="b">
        <f t="array" ref="MM89">OR(ME89:ML89="-")</f>
        <v>0</v>
      </c>
      <c r="MN89" s="285"/>
      <c r="MO89" s="401"/>
      <c r="MP89" s="286"/>
      <c r="MQ89" s="286"/>
      <c r="MR89" s="402"/>
      <c r="MS89" s="400"/>
      <c r="NH89" s="422"/>
      <c r="NJ89" s="421"/>
    </row>
    <row r="90" spans="1:374" s="1" customFormat="1" ht="16.5">
      <c r="A90" s="403">
        <v>46029</v>
      </c>
      <c r="B90" s="404" t="s">
        <v>1015</v>
      </c>
      <c r="C90" s="405" t="s">
        <v>3104</v>
      </c>
      <c r="D90" s="406">
        <v>45</v>
      </c>
      <c r="E90" s="404">
        <v>2065</v>
      </c>
      <c r="F90" s="407">
        <v>105200</v>
      </c>
      <c r="G90" s="407" t="s">
        <v>1016</v>
      </c>
      <c r="H90" s="408" t="s">
        <v>1017</v>
      </c>
      <c r="I90" s="409">
        <f>2.1+1.2</f>
        <v>3.3</v>
      </c>
      <c r="J90" s="405" t="s">
        <v>543</v>
      </c>
      <c r="K90" s="404"/>
      <c r="L90" s="419" t="str">
        <f t="shared" si="54"/>
        <v>FLINTSL - BLACK</v>
      </c>
      <c r="M90" s="404"/>
      <c r="N90" s="410">
        <f>IF(M90=0,0,IF($LB90=70%,VLOOKUP($L90,'Jan-2026 rates'!$L:$R,4,0),IF($LB90=65%,VLOOKUP($L90,'Jan-2026 rates'!$L:$R,4,0),IF($LB90=40%,VLOOKUP($L90,'Jan-2026 rates'!$L:$R,5,0),IF($LB90=30%,VLOOKUP($L90,'Jan-2026 rates'!$L:$R,6,0),IF($LB90=100%,VLOOKUP($L90,'Jan-2026 rates'!$L:$R,7,0),IF($LB90=60%,VLOOKUP($L90,'Jan-2026 rates'!$L:$S,8,0),IF($LB90=80%,VLOOKUP($L90,'Jan-2026 rates'!L:T,9,0),0))))))))</f>
        <v>0</v>
      </c>
      <c r="O90" s="406"/>
      <c r="P90" s="404"/>
      <c r="Q90" s="410">
        <f>IF(P90=0,0,IF($LB90=70%,VLOOKUP($L90,'Jan-2026 rates'!$L:$R,4,0),IF($LB90=65%,VLOOKUP($L90,'Jan-2026 rates'!$L:$R,4,0),IF($LB90=40%,VLOOKUP($L90,'Jan-2026 rates'!$L:$R,5,0),IF($LB90=30%,VLOOKUP($L90,'Jan-2026 rates'!$L:$R,6,0),IF($LB90=100%,VLOOKUP($L90,'Jan-2026 rates'!$L:$R,7,0),IF($LB90=60%,VLOOKUP($L90,'Jan-2026 rates'!$L:$S,8,0),IF($LB90=80%,VLOOKUP($L90,'Jan-2026 rates'!L:T,9,0),0))))))))</f>
        <v>0</v>
      </c>
      <c r="R90" s="406">
        <v>26506000005</v>
      </c>
      <c r="S90" s="406"/>
      <c r="T90" s="406"/>
      <c r="U90" s="406"/>
      <c r="V90" s="406"/>
      <c r="W90" s="406"/>
      <c r="X90" s="406"/>
      <c r="Y90" s="406"/>
      <c r="Z90" s="404">
        <f>20+8</f>
        <v>28</v>
      </c>
      <c r="AA90" s="398" t="e">
        <f>IF(Z90=0,0,IF(LEN(R90)=11,_xlfn.XLOOKUP(R90,'Dispensed Ink Rates'!C:C,'Dispensed Ink Rates'!CS:CS),VLOOKUP(R90,'Jan-2026 rates'!$E:$F,2,0)))</f>
        <v>#N/A</v>
      </c>
      <c r="AB90" s="404"/>
      <c r="AC90" s="398">
        <f>IF(AB90=0,0,IF(LEN(S90)=11,_xlfn.XLOOKUP(S90,'Dispensed Ink Rates'!C:C,'Dispensed Ink Rates'!CS:CS),VLOOKUP(S90,'Jan-2026 rates'!$E:$F,2,0)))</f>
        <v>0</v>
      </c>
      <c r="AD90" s="404"/>
      <c r="AE90" s="398">
        <f>IF(AD90=0,0,IF(LEN(T90)=11,_xlfn.XLOOKUP(T90,'Dispensed Ink Rates'!C:C,'Dispensed Ink Rates'!CS:CS),VLOOKUP(T90,'Jan-2026 rates'!$E:$F,2,0)))</f>
        <v>0</v>
      </c>
      <c r="AF90" s="404"/>
      <c r="AG90" s="398">
        <f>IF(AF90=0,0,IF(LEN(U90)=11,_xlfn.XLOOKUP(U90,'Dispensed Ink Rates'!C:C,'Dispensed Ink Rates'!CS:CS),VLOOKUP(U90,'Jan-2026 rates'!$E:$F,2,0)))</f>
        <v>0</v>
      </c>
      <c r="AH90" s="404"/>
      <c r="AI90" s="398">
        <f>IF(AH90=0,0,IF(LEN(V90)=11,_xlfn.XLOOKUP(V90,'Dispensed Ink Rates'!C:C,'Dispensed Ink Rates'!CS:CS),VLOOKUP(V90,'Jan-2026 rates'!$E:$F,2,0)))</f>
        <v>0</v>
      </c>
      <c r="AJ90" s="404"/>
      <c r="AK90" s="398">
        <f>IF(AJ90=0,0,IF(LEN(W90)=11,_xlfn.XLOOKUP(W90,'Dispensed Ink Rates'!C:C,'Dispensed Ink Rates'!CS:CS),VLOOKUP(W90,'Jan-2026 rates'!$E:$F,2,0)))</f>
        <v>0</v>
      </c>
      <c r="AL90" s="404"/>
      <c r="AM90" s="398">
        <f>IF(AL90=0,0,IF(LEN(X90)=11,_xlfn.XLOOKUP(X90,'Dispensed Ink Rates'!C:C,'Dispensed Ink Rates'!CS:CS),VLOOKUP(X90,'Jan-2026 rates'!$E:$F,2,0)))</f>
        <v>0</v>
      </c>
      <c r="AN90" s="404"/>
      <c r="AO90" s="398">
        <f>IF(AN90=0,0,IF(LEN(Y90)=11,_xlfn.XLOOKUP(Y90,'Dispensed Ink Rates'!C:C,'Dispensed Ink Rates'!CS:CS),VLOOKUP(Y90,'Jan-2026 rates'!$E:$F,2,0)))</f>
        <v>0</v>
      </c>
      <c r="AP90" s="409" t="s">
        <v>1443</v>
      </c>
      <c r="AQ90" s="409">
        <v>27</v>
      </c>
      <c r="AR90" s="410">
        <f t="shared" si="82"/>
        <v>0</v>
      </c>
      <c r="AS90" s="411">
        <f t="shared" si="83"/>
        <v>59.443396226415103</v>
      </c>
      <c r="AT90" s="410">
        <f t="shared" si="84"/>
        <v>0</v>
      </c>
      <c r="AU90" s="405" t="s">
        <v>543</v>
      </c>
      <c r="AV90" s="409"/>
      <c r="AW90" s="420" t="str">
        <f t="shared" si="53"/>
        <v>FLINTSL - BLACK</v>
      </c>
      <c r="AX90" s="409"/>
      <c r="AY90" s="411">
        <f>IF(AX90=0,0,IF($LB90=70%,VLOOKUP($AW90,'Jan-2026 rates'!$L:$R,4,0),IF($LB90=65%,VLOOKUP($AW90,'Jan-2026 rates'!$L:$R,4,0),IF($LB90=40%,VLOOKUP($AW90,'Jan-2026 rates'!$L:$R,5,0),IF($LB90=30%,VLOOKUP($AW90,'Jan-2026 rates'!$L:$R,6,0),IF($LB90=100%,VLOOKUP($AW90,'Jan-2026 rates'!$L:$R,7,0),IF($LB90=60%,VLOOKUP($AW90,'Jan-2026 rates'!$L:$S,8,0),IF($LB90=80%,VLOOKUP($AW90,'Jan-2026 rates'!L:T,9,0),0))))))))</f>
        <v>0</v>
      </c>
      <c r="AZ90" s="412"/>
      <c r="BA90" s="409"/>
      <c r="BB90" s="411">
        <f>IF(BA90=0,0,IF($LB90=70%,VLOOKUP($AW90,'Jan-2026 rates'!$L:$R,4,0),IF($LB90=65%,VLOOKUP($AW90,'Jan-2026 rates'!$L:$R,4,0),IF($LB90=40%,VLOOKUP($AW90,'Jan-2026 rates'!$L:$R,5,0),IF($LB90=30%,VLOOKUP($AW90,'Jan-2026 rates'!$L:$R,6,0),IF($LB90=100%,VLOOKUP($AW90,'Jan-2026 rates'!$L:$R,7,0),IF($LB90=60%,VLOOKUP($AW90,'Jan-2026 rates'!$L:$S,8,0),IF($LB90=80%,VLOOKUP($AW90,'Jan-2026 rates'!L:T,9,0),0))))))))</f>
        <v>0</v>
      </c>
      <c r="BC90" s="413" t="s">
        <v>567</v>
      </c>
      <c r="BD90" s="412" t="s">
        <v>1264</v>
      </c>
      <c r="BE90" s="412" t="s">
        <v>1265</v>
      </c>
      <c r="BF90" s="413"/>
      <c r="BG90" s="412"/>
      <c r="BH90" s="412"/>
      <c r="BI90" s="412"/>
      <c r="BJ90" s="412"/>
      <c r="BK90" s="409">
        <v>10</v>
      </c>
      <c r="BL90" s="398">
        <f>IF(BK90=0,0,IF(LEN(BC90)=11,_xlfn.XLOOKUP(BC90,'Dispensed Ink Rates'!C:C,'Dispensed Ink Rates'!CS:CS),VLOOKUP(BC90,'Jan-2026 rates'!$E:$F,2,0)))</f>
        <v>0</v>
      </c>
      <c r="BM90" s="409">
        <v>2</v>
      </c>
      <c r="BN90" s="398">
        <f>IF(BM90=0,0,IF(LEN(BD90)=11,_xlfn.XLOOKUP(BD90,'Dispensed Ink Rates'!C:C,'Dispensed Ink Rates'!CS:CS),VLOOKUP(BD90,'Jan-2026 rates'!$E:$F,2,0)))</f>
        <v>0</v>
      </c>
      <c r="BO90" s="409">
        <v>3</v>
      </c>
      <c r="BP90" s="398">
        <f>IF(BO90=0,0,IF(LEN(BE90)=11,_xlfn.XLOOKUP(BE90,'Dispensed Ink Rates'!C:C,'Dispensed Ink Rates'!CS:CS),VLOOKUP(BE90,'Jan-2026 rates'!$E:$F,2,0)))</f>
        <v>0</v>
      </c>
      <c r="BQ90" s="409"/>
      <c r="BR90" s="398">
        <f>IF(BQ90=0,0,IF(LEN(BF90)=11,_xlfn.XLOOKUP(BF90,'Dispensed Ink Rates'!C:C,'Dispensed Ink Rates'!CS:CS),VLOOKUP(BF90,'Jan-2026 rates'!$E:$F,2,0)))</f>
        <v>0</v>
      </c>
      <c r="BS90" s="409"/>
      <c r="BT90" s="398">
        <f>IF(BS90=0,0,IF(LEN(BG90)=11,_xlfn.XLOOKUP(BG90,'Dispensed Ink Rates'!C:C,'Dispensed Ink Rates'!CS:CS),VLOOKUP(BG90,'Jan-2026 rates'!$E:$F,2,0)))</f>
        <v>0</v>
      </c>
      <c r="BU90" s="409"/>
      <c r="BV90" s="398">
        <f>IF(BU90=0,0,IF(LEN(BH90)=11,_xlfn.XLOOKUP(BH90,'Dispensed Ink Rates'!C:C,'Dispensed Ink Rates'!CS:CS),VLOOKUP(BH90,'Jan-2026 rates'!$E:$F,2,0)))</f>
        <v>0</v>
      </c>
      <c r="BW90" s="409"/>
      <c r="BX90" s="398">
        <f>IF(BW90=0,0,IF(LEN(BI90)=11,_xlfn.XLOOKUP(BI90,'Dispensed Ink Rates'!C:C,'Dispensed Ink Rates'!CS:CS),VLOOKUP(BI90,'Jan-2026 rates'!$E:$F,2,0)))</f>
        <v>0</v>
      </c>
      <c r="BY90" s="409"/>
      <c r="BZ90" s="398">
        <f>IF(BY90=0,0,IF(LEN(BJ90)=11,_xlfn.XLOOKUP(BJ90,'Dispensed Ink Rates'!C:C,'Dispensed Ink Rates'!CS:CS),VLOOKUP(BJ90,'Jan-2026 rates'!$E:$F,2,0)))</f>
        <v>0</v>
      </c>
      <c r="CA90" s="409" t="s">
        <v>1443</v>
      </c>
      <c r="CB90" s="409">
        <v>23</v>
      </c>
      <c r="CC90" s="411">
        <f t="shared" si="85"/>
        <v>0</v>
      </c>
      <c r="CD90" s="411">
        <f t="shared" si="86"/>
        <v>30.962264150943398</v>
      </c>
      <c r="CE90" s="410">
        <f t="shared" si="87"/>
        <v>0</v>
      </c>
      <c r="CF90" s="404" t="s">
        <v>857</v>
      </c>
      <c r="CG90" s="409"/>
      <c r="CH90" s="420" t="str">
        <f t="shared" si="55"/>
        <v>FLINTSL - RED</v>
      </c>
      <c r="CI90" s="409"/>
      <c r="CJ90" s="411">
        <f>IF(CI90=0,0,IF($LB90=70%,VLOOKUP($CH90,'Jan-2026 rates'!$L:$R,4,0),IF($LB90=65%,VLOOKUP($CH90,'Jan-2026 rates'!$L:$R,4,0),IF($LB90=40%,VLOOKUP($CH90,'Jan-2026 rates'!$L:$R,5,0),IF($LB90=30%,VLOOKUP($CH90,'Jan-2026 rates'!$L:$R,6,0),IF($LB90=100%,VLOOKUP($CH90,'Jan-2026 rates'!$L:$R,7,0),IF($LB90=60%,VLOOKUP($CH90,'Jan-2026 rates'!$L:$S,8,0),IF($LB90=80%,VLOOKUP($CH90,'Jan-2026 rates'!L:T,9,0),0))))))))</f>
        <v>0</v>
      </c>
      <c r="CK90" s="412"/>
      <c r="CL90" s="409"/>
      <c r="CM90" s="411">
        <f>IF(CL90=0,0,IF($LB90=70%,VLOOKUP($CH90,'Jan-2026 rates'!$L:$R,4,0),IF($LB90=65%,VLOOKUP($CH90,'Jan-2026 rates'!$L:$R,4,0),IF($LB90=40%,VLOOKUP($CH90,'Jan-2026 rates'!$L:$R,5,0),IF($LB90=30%,VLOOKUP($CH90,'Jan-2026 rates'!$L:$R,6,0),IF($LB90=100%,VLOOKUP($CH90,'Jan-2026 rates'!$L:$R,7,0),IF($LB90=60%,VLOOKUP($CH90,'Jan-2026 rates'!$L:$S,8,0),IF($LB90=80%,VLOOKUP($CH90,'Jan-2026 rates'!L:T,9,0),0))))))))</f>
        <v>0</v>
      </c>
      <c r="CN90" s="426">
        <v>26507000017</v>
      </c>
      <c r="CO90" s="427">
        <v>25863000007</v>
      </c>
      <c r="CP90" s="426"/>
      <c r="CQ90" s="426"/>
      <c r="CR90" s="428"/>
      <c r="CS90" s="428"/>
      <c r="CT90" s="428"/>
      <c r="CU90" s="428"/>
      <c r="CV90" s="409">
        <v>15</v>
      </c>
      <c r="CW90" s="398" t="e">
        <f>IF(CV90=0,0,IF(LEN(CN90)=11,_xlfn.XLOOKUP(CN90,'Dispensed Ink Rates'!C:C,'Dispensed Ink Rates'!CS:CS),VLOOKUP(CN90,'Jan-2026 rates'!$E:$F,2,0)))</f>
        <v>#N/A</v>
      </c>
      <c r="CX90" s="409">
        <v>5</v>
      </c>
      <c r="CY90" s="398" t="e">
        <f>IF(CX90=0,0,IF(LEN(CO90)=11,_xlfn.XLOOKUP(CO90,'Dispensed Ink Rates'!C:C,'Dispensed Ink Rates'!CS:CS),VLOOKUP(CO90,'Jan-2026 rates'!$E:$F,2,0)))</f>
        <v>#N/A</v>
      </c>
      <c r="CZ90" s="409"/>
      <c r="DA90" s="398">
        <f>IF(CZ90=0,0,IF(LEN(CP90)=11,_xlfn.XLOOKUP(CP90,'Dispensed Ink Rates'!C:C,'Dispensed Ink Rates'!CS:CS),VLOOKUP(CP90,'Jan-2026 rates'!$E:$F,2,0)))</f>
        <v>0</v>
      </c>
      <c r="DB90" s="409"/>
      <c r="DC90" s="398">
        <f>IF(DB90=0,0,IF(LEN(CQ90)=11,_xlfn.XLOOKUP(CQ90,'Dispensed Ink Rates'!C:C,'Dispensed Ink Rates'!CS:CS),VLOOKUP(CQ90,'Jan-2026 rates'!$E:$F,2,0)))</f>
        <v>0</v>
      </c>
      <c r="DD90" s="409"/>
      <c r="DE90" s="398">
        <f>IF(DD90=0,0,IF(LEN(CR90)=11,_xlfn.XLOOKUP(CR90,'Dispensed Ink Rates'!C:C,'Dispensed Ink Rates'!CS:CS),VLOOKUP(CR90,'Jan-2026 rates'!$E:$F,2,0)))</f>
        <v>0</v>
      </c>
      <c r="DF90" s="409"/>
      <c r="DG90" s="398">
        <f>IF(DF90=0,0,IF(LEN(CS90)=11,_xlfn.XLOOKUP(CS90,'Dispensed Ink Rates'!C:C,'Dispensed Ink Rates'!CS:CS),VLOOKUP(CS90,'Jan-2026 rates'!$E:$F,2,0)))</f>
        <v>0</v>
      </c>
      <c r="DH90" s="409"/>
      <c r="DI90" s="398">
        <f>IF(DH90=0,0,IF(LEN(CT90)=11,_xlfn.XLOOKUP(CT90,'Dispensed Ink Rates'!C:C,'Dispensed Ink Rates'!CS:CS),VLOOKUP(CT90,'Jan-2026 rates'!$E:$F,2,0)))</f>
        <v>0</v>
      </c>
      <c r="DJ90" s="409"/>
      <c r="DK90" s="398">
        <f>IF(DJ90=0,0,IF(LEN(CU90)=11,_xlfn.XLOOKUP(CU90,'Dispensed Ink Rates'!C:C,'Dispensed Ink Rates'!CS:CS),VLOOKUP(CU90,'Jan-2026 rates'!$E:$F,2,0)))</f>
        <v>0</v>
      </c>
      <c r="DL90" s="409" t="s">
        <v>1443</v>
      </c>
      <c r="DM90" s="409">
        <v>22</v>
      </c>
      <c r="DN90" s="411">
        <f t="shared" si="88"/>
        <v>0</v>
      </c>
      <c r="DO90" s="411">
        <f t="shared" si="89"/>
        <v>29.169811320754718</v>
      </c>
      <c r="DP90" s="410">
        <f t="shared" si="90"/>
        <v>0</v>
      </c>
      <c r="DQ90" s="405" t="s">
        <v>547</v>
      </c>
      <c r="DR90" s="409" t="s">
        <v>3034</v>
      </c>
      <c r="DS90" s="420" t="str">
        <f t="shared" si="56"/>
        <v>FLINTSL - GREEN</v>
      </c>
      <c r="DT90" s="409">
        <v>23</v>
      </c>
      <c r="DU90" s="411">
        <f>IF(DT90=0,0,IF($LB90=70%,VLOOKUP($DS90,'Jan-2026 rates'!$L:$R,4,0),IF($LB90=65%,VLOOKUP($DS90,'Jan-2026 rates'!$L:$R,4,0),IF($LB90=40%,VLOOKUP($DS90,'Jan-2026 rates'!$L:$R,5,0),IF($LB90=30%,VLOOKUP($DS90,'Jan-2026 rates'!$L:$R,6,0),IF($LB90=100%,VLOOKUP($DS90,'Jan-2026 rates'!$L:$R,7,0),IF($LB90=60%,VLOOKUP($DS90,'Jan-2026 rates'!$L:$S,8,0),IF($LB90=80%,VLOOKUP($DS90,'Jan-2026 rates'!L:T,9,0),0))))))))</f>
        <v>0</v>
      </c>
      <c r="DV90" s="412"/>
      <c r="DW90" s="409"/>
      <c r="DX90" s="411">
        <f>IF(DW90=0,0,IF($LB90=70%,VLOOKUP($DS90,'Jan-2026 rates'!$L:$R,4,0),IF($LB90=65%,VLOOKUP($DS90,'Jan-2026 rates'!$L:$R,4,0),IF($LB90=40%,VLOOKUP($DS90,'Jan-2026 rates'!$L:$R,5,0),IF($LB90=30%,VLOOKUP($DS90,'Jan-2026 rates'!$L:$R,6,0),IF($LB90=100%,VLOOKUP($DS90,'Jan-2026 rates'!$L:$R,7,0),IF($LB90=60%,VLOOKUP($DS90,'Jan-2026 rates'!$L:$S,8,0),IF($LB90=80%,VLOOKUP($DS90,'Jan-2026 rates'!L:T,9,0),0))))))))</f>
        <v>0</v>
      </c>
      <c r="DY90" s="413" t="s">
        <v>1266</v>
      </c>
      <c r="DZ90" s="413">
        <v>26505000033</v>
      </c>
      <c r="EA90" s="412"/>
      <c r="EB90" s="412"/>
      <c r="EC90" s="412"/>
      <c r="ED90" s="412"/>
      <c r="EE90" s="412"/>
      <c r="EF90" s="412"/>
      <c r="EG90" s="409">
        <v>3</v>
      </c>
      <c r="EH90" s="398">
        <f>IF(EG90=0,0,IF(LEN(DY90)=11,_xlfn.XLOOKUP(DY90,'Dispensed Ink Rates'!C:C,'Dispensed Ink Rates'!CS:CS),VLOOKUP(DY90,'Jan-2026 rates'!$E:$F,2,0)))</f>
        <v>0</v>
      </c>
      <c r="EI90" s="409">
        <v>3</v>
      </c>
      <c r="EJ90" s="398" t="e">
        <f>IF(EI90=0,0,IF(LEN(DZ90)=11,_xlfn.XLOOKUP(DZ90,'Dispensed Ink Rates'!C:C,'Dispensed Ink Rates'!CS:CS),VLOOKUP(DZ90,'Jan-2026 rates'!$E:$F,2,0)))</f>
        <v>#N/A</v>
      </c>
      <c r="EK90" s="409"/>
      <c r="EL90" s="398">
        <f>IF(EK90=0,0,IF(LEN(EA90)=11,_xlfn.XLOOKUP(EA90,'Dispensed Ink Rates'!C:C,'Dispensed Ink Rates'!CS:CS),VLOOKUP(EA90,'Jan-2026 rates'!$E:$F,2,0)))</f>
        <v>0</v>
      </c>
      <c r="EM90" s="409"/>
      <c r="EN90" s="398">
        <f>IF(EM90=0,0,IF(LEN(EB90)=11,_xlfn.XLOOKUP(EB90,'Dispensed Ink Rates'!C:C,'Dispensed Ink Rates'!CS:CS),VLOOKUP(EB90,'Jan-2026 rates'!$E:$F,2,0)))</f>
        <v>0</v>
      </c>
      <c r="EO90" s="409"/>
      <c r="EP90" s="398">
        <f>IF(EO90=0,0,IF(LEN(EC90)=11,_xlfn.XLOOKUP(EC90,'Dispensed Ink Rates'!C:C,'Dispensed Ink Rates'!CS:CS),VLOOKUP(EC90,'Jan-2026 rates'!$E:$F,2,0)))</f>
        <v>0</v>
      </c>
      <c r="EQ90" s="409"/>
      <c r="ER90" s="398">
        <f>IF(EQ90=0,0,IF(LEN(ED90)=11,_xlfn.XLOOKUP(ED90,'Dispensed Ink Rates'!C:C,'Dispensed Ink Rates'!CS:CS),VLOOKUP(ED90,'Jan-2026 rates'!$E:$F,2,0)))</f>
        <v>0</v>
      </c>
      <c r="ES90" s="409"/>
      <c r="ET90" s="398">
        <f>IF(ES90=0,0,IF(LEN(EE90)=11,_xlfn.XLOOKUP(EE90,'Dispensed Ink Rates'!C:C,'Dispensed Ink Rates'!CS:CS),VLOOKUP(EE90,'Jan-2026 rates'!$E:$F,2,0)))</f>
        <v>0</v>
      </c>
      <c r="EU90" s="409"/>
      <c r="EV90" s="398">
        <f>IF(EU90=0,0,IF(LEN(EF90)=11,_xlfn.XLOOKUP(EF90,'Dispensed Ink Rates'!C:C,'Dispensed Ink Rates'!CS:CS),VLOOKUP(EF90,'Jan-2026 rates'!$E:$F,2,0)))</f>
        <v>0</v>
      </c>
      <c r="EW90" s="409" t="s">
        <v>1443</v>
      </c>
      <c r="EX90" s="409">
        <v>20</v>
      </c>
      <c r="EY90" s="411">
        <f t="shared" si="91"/>
        <v>0</v>
      </c>
      <c r="EZ90" s="411">
        <f t="shared" si="92"/>
        <v>28.481132075471699</v>
      </c>
      <c r="FA90" s="410">
        <f t="shared" si="93"/>
        <v>0</v>
      </c>
      <c r="FB90" s="405" t="s">
        <v>829</v>
      </c>
      <c r="FC90" s="409"/>
      <c r="FD90" s="420" t="str">
        <f t="shared" si="57"/>
        <v>FLINTSL - MEDIUM</v>
      </c>
      <c r="FE90" s="409"/>
      <c r="FF90" s="411">
        <f>IF(FE90=0,0,IF($LB90=70%,VLOOKUP($FD90,'Jan-2026 rates'!$L:$R,4,0),IF($LB90=65%,VLOOKUP($FD90,'Jan-2026 rates'!$L:$R,4,0),IF($LB90=40%,VLOOKUP($FD90,'Jan-2026 rates'!$L:$R,5,0),IF($LB90=30%,VLOOKUP($FD90,'Jan-2026 rates'!$L:$R,6,0),IF($LB90=100%,VLOOKUP($FD90,'Jan-2026 rates'!$L:$R,7,0),IF($LB90=60%,VLOOKUP($FD90,'Jan-2026 rates'!$L:$S,8,0),IF($LB90=80%,VLOOKUP($FD90,'Jan-2026 rates'!L:T,9,0),0))))))))</f>
        <v>0</v>
      </c>
      <c r="FG90" s="412"/>
      <c r="FH90" s="409"/>
      <c r="FI90" s="411">
        <f>IF(FH90=0,0,IF($LB90=70%,VLOOKUP($FD90,'Jan-2026 rates'!$L:$R,4,0),IF($LB90=65%,VLOOKUP($FD90,'Jan-2026 rates'!$L:$R,4,0),IF($LB90=40%,VLOOKUP($FD90,'Jan-2026 rates'!$L:$R,5,0),IF($LB90=30%,VLOOKUP($FD90,'Jan-2026 rates'!$L:$R,6,0),IF($LB90=100%,VLOOKUP($FD90,'Jan-2026 rates'!$L:$R,7,0),IF($LB90=60%,VLOOKUP($FD90,'Jan-2026 rates'!$L:$S,8,0),IF($LB90=80%,VLOOKUP($FD90,'Jan-2026 rates'!L:T,9,0),0))))))))</f>
        <v>0</v>
      </c>
      <c r="FJ90" s="413">
        <v>26507000003</v>
      </c>
      <c r="FK90" s="413">
        <v>26507000004</v>
      </c>
      <c r="FL90" s="413">
        <v>26507000007</v>
      </c>
      <c r="FM90" s="412">
        <v>26507000008</v>
      </c>
      <c r="FN90" s="412">
        <v>26507000021</v>
      </c>
      <c r="FO90" s="412">
        <v>26507000009</v>
      </c>
      <c r="FP90" s="412">
        <v>26507000013</v>
      </c>
      <c r="FQ90" s="412" t="s">
        <v>484</v>
      </c>
      <c r="FR90" s="409">
        <v>41.5</v>
      </c>
      <c r="FS90" s="398" t="e">
        <f>IF(FR90=0,0,IF(LEN(FJ90)=11,_xlfn.XLOOKUP(FJ90,'Dispensed Ink Rates'!C:C,'Dispensed Ink Rates'!CS:CS),VLOOKUP(FJ90,'Jan-2026 rates'!$E:$F,2,0)))</f>
        <v>#N/A</v>
      </c>
      <c r="FT90" s="409">
        <v>40</v>
      </c>
      <c r="FU90" s="398" t="e">
        <f>IF(FT90=0,0,IF(LEN(FK90)=11,_xlfn.XLOOKUP(FK90,'Dispensed Ink Rates'!C:C,'Dispensed Ink Rates'!CS:CS),VLOOKUP(FK90,'Jan-2026 rates'!$E:$F,2,0)))</f>
        <v>#N/A</v>
      </c>
      <c r="FV90" s="409">
        <v>30</v>
      </c>
      <c r="FW90" s="398" t="e">
        <f>IF(FV90=0,0,IF(LEN(FL90)=11,_xlfn.XLOOKUP(FL90,'Dispensed Ink Rates'!C:C,'Dispensed Ink Rates'!CS:CS),VLOOKUP(FL90,'Jan-2026 rates'!$E:$F,2,0)))</f>
        <v>#N/A</v>
      </c>
      <c r="FX90" s="409">
        <v>30</v>
      </c>
      <c r="FY90" s="398" t="e">
        <f>IF(FX90=0,0,IF(LEN(FM90)=11,_xlfn.XLOOKUP(FM90,'Dispensed Ink Rates'!C:C,'Dispensed Ink Rates'!CS:CS),VLOOKUP(FM90,'Jan-2026 rates'!$E:$F,2,0)))</f>
        <v>#N/A</v>
      </c>
      <c r="FZ90" s="409">
        <v>40</v>
      </c>
      <c r="GA90" s="398" t="e">
        <f>IF(FZ90=0,0,IF(LEN(FN90)=11,_xlfn.XLOOKUP(FN90,'Dispensed Ink Rates'!C:C,'Dispensed Ink Rates'!CS:CS),VLOOKUP(FN90,'Jan-2026 rates'!$E:$F,2,0)))</f>
        <v>#N/A</v>
      </c>
      <c r="GB90" s="409">
        <v>30</v>
      </c>
      <c r="GC90" s="398" t="e">
        <f>IF(GB90=0,0,IF(LEN(FO90)=11,_xlfn.XLOOKUP(FO90,'Dispensed Ink Rates'!C:C,'Dispensed Ink Rates'!CS:CS),VLOOKUP(FO90,'Jan-2026 rates'!$E:$F,2,0)))</f>
        <v>#N/A</v>
      </c>
      <c r="GD90" s="409">
        <v>30</v>
      </c>
      <c r="GE90" s="398" t="e">
        <f>IF(GD90=0,0,IF(LEN(FP90)=11,_xlfn.XLOOKUP(FP90,'Dispensed Ink Rates'!C:C,'Dispensed Ink Rates'!CS:CS),VLOOKUP(FP90,'Jan-2026 rates'!$E:$F,2,0)))</f>
        <v>#N/A</v>
      </c>
      <c r="GF90" s="409">
        <f>40+30</f>
        <v>70</v>
      </c>
      <c r="GG90" s="398">
        <f>IF(GF90=0,0,IF(LEN(FQ90)=11,_xlfn.XLOOKUP(FQ90,'Dispensed Ink Rates'!C:C,'Dispensed Ink Rates'!CS:CS),VLOOKUP(FQ90,'Jan-2026 rates'!$E:$F,2,0)))</f>
        <v>0</v>
      </c>
      <c r="GH90" s="409" t="s">
        <v>1443</v>
      </c>
      <c r="GI90" s="409">
        <v>15</v>
      </c>
      <c r="GJ90" s="411">
        <f t="shared" si="94"/>
        <v>0</v>
      </c>
      <c r="GK90" s="411">
        <f t="shared" si="95"/>
        <v>296.5</v>
      </c>
      <c r="GL90" s="410">
        <f t="shared" si="96"/>
        <v>0</v>
      </c>
      <c r="GM90" s="405" t="s">
        <v>856</v>
      </c>
      <c r="GN90" s="409"/>
      <c r="GO90" s="420" t="str">
        <f t="shared" si="58"/>
        <v>FLINTSL - WHITE</v>
      </c>
      <c r="GP90" s="409"/>
      <c r="GQ90" s="411">
        <f>IF(GP90=0,0,IF($LB90=70%,VLOOKUP($GO90,'Jan-2026 rates'!$L:$R,4,0),IF($LB90=65%,VLOOKUP($GO90,'Jan-2026 rates'!$L:$R,4,0),IF($LB90=40%,VLOOKUP($GO90,'Jan-2026 rates'!$L:$R,5,0),IF($LB90=30%,VLOOKUP($GO90,'Jan-2026 rates'!$L:$R,6,0),IF($LB90=100%,VLOOKUP($GO90,'Jan-2026 rates'!$L:$R,7,0),IF($LB90=60%,VLOOKUP($GO90,'Jan-2026 rates'!$L:$S,8,0),IF($LB90=80%,VLOOKUP($GO90,'Jan-2026 rates'!L:T,9,0),0))))))))</f>
        <v>0</v>
      </c>
      <c r="GR90" s="412"/>
      <c r="GS90" s="409"/>
      <c r="GT90" s="411">
        <f>IF(GS90=0,0,IF($LB90=70%,VLOOKUP($GO90,'Jan-2026 rates'!$L:$R,4,0),IF($LB90=65%,VLOOKUP($GO90,'Jan-2026 rates'!$L:$R,4,0),IF($LB90=40%,VLOOKUP($GO90,'Jan-2026 rates'!$L:$R,5,0),IF($LB90=30%,VLOOKUP($GO90,'Jan-2026 rates'!$L:$R,6,0),IF($LB90=100%,VLOOKUP($GO90,'Jan-2026 rates'!$L:$R,7,0),IF($LB90=60%,VLOOKUP($GO90,'Jan-2026 rates'!$L:$S,8,0),IF($LB90=80%,VLOOKUP($GO90,'Jan-2026 rates'!L:T,9,0),0))))))))</f>
        <v>0</v>
      </c>
      <c r="GU90" s="413" t="s">
        <v>484</v>
      </c>
      <c r="GV90" s="413"/>
      <c r="GW90" s="412"/>
      <c r="GX90" s="412"/>
      <c r="GY90" s="412"/>
      <c r="GZ90" s="412"/>
      <c r="HA90" s="412"/>
      <c r="HB90" s="412"/>
      <c r="HC90" s="409">
        <f>200+160</f>
        <v>360</v>
      </c>
      <c r="HD90" s="398">
        <f>IF(HC90=0,0,IF(LEN(GU90)=11,_xlfn.XLOOKUP(GU90,'Dispensed Ink Rates'!C:C,'Dispensed Ink Rates'!CS:CS),VLOOKUP(GU90,'Jan-2026 rates'!$E:$F,2,0)))</f>
        <v>0</v>
      </c>
      <c r="HE90" s="409"/>
      <c r="HF90" s="398">
        <f>IF(HE90=0,0,IF(LEN(GV90)=11,_xlfn.XLOOKUP(GV90,'Dispensed Ink Rates'!C:C,'Dispensed Ink Rates'!CS:CS),VLOOKUP(GV90,'Jan-2026 rates'!$E:$F,2,0)))</f>
        <v>0</v>
      </c>
      <c r="HG90" s="409"/>
      <c r="HH90" s="398">
        <f>IF(HG90=0,0,IF(LEN(GW90)=11,_xlfn.XLOOKUP(GW90,'Dispensed Ink Rates'!C:C,'Dispensed Ink Rates'!CS:CS),VLOOKUP(GW90,'Jan-2026 rates'!$E:$F,2,0)))</f>
        <v>0</v>
      </c>
      <c r="HI90" s="409"/>
      <c r="HJ90" s="398">
        <f>IF(HI90=0,0,IF(LEN(GX90)=11,_xlfn.XLOOKUP(GX90,'Dispensed Ink Rates'!C:C,'Dispensed Ink Rates'!CS:CS),VLOOKUP(GX90,'Jan-2026 rates'!$E:$F,2,0)))</f>
        <v>0</v>
      </c>
      <c r="HK90" s="409"/>
      <c r="HL90" s="398">
        <f>IF(HK90=0,0,IF(LEN(GY90)=11,_xlfn.XLOOKUP(GY90,'Dispensed Ink Rates'!C:C,'Dispensed Ink Rates'!CS:CS),VLOOKUP(GY90,'Jan-2026 rates'!$E:$F,2,0)))</f>
        <v>0</v>
      </c>
      <c r="HM90" s="409"/>
      <c r="HN90" s="398">
        <f>IF(HM90=0,0,IF(LEN(GZ90)=11,_xlfn.XLOOKUP(GZ90,'Dispensed Ink Rates'!C:C,'Dispensed Ink Rates'!CS:CS),VLOOKUP(GZ90,'Jan-2026 rates'!$E:$F,2,0)))</f>
        <v>0</v>
      </c>
      <c r="HO90" s="409"/>
      <c r="HP90" s="398">
        <f>IF(HO90=0,0,IF(LEN(HA90)=11,_xlfn.XLOOKUP(HA90,'Dispensed Ink Rates'!C:C,'Dispensed Ink Rates'!CS:CS),VLOOKUP(HA90,'Jan-2026 rates'!$E:$F,2,0)))</f>
        <v>0</v>
      </c>
      <c r="HQ90" s="409"/>
      <c r="HR90" s="398">
        <f>IF(HQ90=0,0,IF(LEN(HB90)=11,_xlfn.XLOOKUP(HB90,'Dispensed Ink Rates'!C:C,'Dispensed Ink Rates'!CS:CS),VLOOKUP(HB90,'Jan-2026 rates'!$E:$F,2,0)))</f>
        <v>0</v>
      </c>
      <c r="HS90" s="409" t="s">
        <v>1443</v>
      </c>
      <c r="HT90" s="409">
        <v>25</v>
      </c>
      <c r="HU90" s="411">
        <f t="shared" si="97"/>
        <v>0</v>
      </c>
      <c r="HV90" s="411">
        <f t="shared" si="98"/>
        <v>1114.2452830188679</v>
      </c>
      <c r="HW90" s="414">
        <f t="shared" si="99"/>
        <v>0</v>
      </c>
      <c r="HX90" s="405" t="s">
        <v>605</v>
      </c>
      <c r="HY90" s="409"/>
      <c r="HZ90" s="420" t="str">
        <f t="shared" si="59"/>
        <v>ToyoLi - MATT</v>
      </c>
      <c r="IA90" s="409"/>
      <c r="IB90" s="411">
        <f>IF(IA90=0,0,IF($LB90=70%,VLOOKUP($HZ90,'Jan-2026 rates'!$L:$R,4,0),IF($LB90=65%,VLOOKUP($HZ90,'Jan-2026 rates'!$L:$R,4,0),IF($LB90=40%,VLOOKUP($HZ90,'Jan-2026 rates'!$L:$R,5,0),IF($LB90=30%,VLOOKUP($HZ90,'Jan-2026 rates'!$L:$R,6,0),IF($LB90=100%,VLOOKUP($HZ90,'Jan-2026 rates'!$L:$R,7,0),IF($LB90=60%,VLOOKUP($HZ90,'Jan-2026 rates'!$L:$S,8,0),IF($LB90=80%,VLOOKUP($HZ90,'Jan-2026 rates'!L:T,9,0),0))))))))</f>
        <v>0</v>
      </c>
      <c r="IC90" s="412"/>
      <c r="ID90" s="409"/>
      <c r="IE90" s="411">
        <f>IF(ID90=0,0,IF($LB90=70%,VLOOKUP($HZ90,'Jan-2026 rates'!$L:$R,4,0),IF($LB90=65%,VLOOKUP($HZ90,'Jan-2026 rates'!$L:$R,4,0),IF($LB90=40%,VLOOKUP($HZ90,'Jan-2026 rates'!$L:$R,5,0),IF($LB90=30%,VLOOKUP($HZ90,'Jan-2026 rates'!$L:$R,6,0),IF($LB90=100%,VLOOKUP($HZ90,'Jan-2026 rates'!$L:$R,7,0),IF($LB90=60%,VLOOKUP($HZ90,'Jan-2026 rates'!$L:$S,8,0),IF($LB90=80%,VLOOKUP($HZ90,'Jan-2026 rates'!L:T,9,0),0))))))))</f>
        <v>0</v>
      </c>
      <c r="IF90" s="412">
        <v>55</v>
      </c>
      <c r="IG90" s="413" t="s">
        <v>1902</v>
      </c>
      <c r="IH90" s="412"/>
      <c r="II90" s="412"/>
      <c r="IJ90" s="412"/>
      <c r="IK90" s="412"/>
      <c r="IL90" s="412"/>
      <c r="IM90" s="412"/>
      <c r="IN90" s="409">
        <f>80+80+200+60</f>
        <v>420</v>
      </c>
      <c r="IO90" s="398">
        <f>IF(IN90=0,0,IF(LEN(IF90)=11,_xlfn.XLOOKUP(IF90,'Dispensed Ink Rates'!C:C,'Dispensed Ink Rates'!CS:CS),VLOOKUP(IF90,'Jan-2026 rates'!$E:$F,2,0)))</f>
        <v>0</v>
      </c>
      <c r="IP90" s="409">
        <f>20+20+75</f>
        <v>115</v>
      </c>
      <c r="IQ90" s="398">
        <f>IF(IP90=0,0,IF(LEN(IG90)=11,_xlfn.XLOOKUP(IG90,'Dispensed Ink Rates'!C:C,'Dispensed Ink Rates'!CS:CS),VLOOKUP(IG90,'Jan-2026 rates'!$E:$F,2,0)))</f>
        <v>0</v>
      </c>
      <c r="IR90" s="409"/>
      <c r="IS90" s="398">
        <f>IF(IR90=0,0,IF(LEN(IH90)=11,_xlfn.XLOOKUP(IH90,'Dispensed Ink Rates'!C:C,'Dispensed Ink Rates'!CS:CS),VLOOKUP(IH90,'Jan-2026 rates'!$E:$F,2,0)))</f>
        <v>0</v>
      </c>
      <c r="IT90" s="409"/>
      <c r="IU90" s="398">
        <f>IF(IT90=0,0,IF(LEN(II90)=11,_xlfn.XLOOKUP(II90,'Dispensed Ink Rates'!C:C,'Dispensed Ink Rates'!CS:CS),VLOOKUP(II90,'Jan-2026 rates'!$E:$F,2,0)))</f>
        <v>0</v>
      </c>
      <c r="IV90" s="409"/>
      <c r="IW90" s="398">
        <f>IF(IV90=0,0,IF(LEN(IJ90)=11,_xlfn.XLOOKUP(IJ90,'Dispensed Ink Rates'!C:C,'Dispensed Ink Rates'!CS:CS),VLOOKUP(IJ90,'Jan-2026 rates'!$E:$F,2,0)))</f>
        <v>0</v>
      </c>
      <c r="IX90" s="409"/>
      <c r="IY90" s="398">
        <f>IF(IX90=0,0,IF(LEN(IK90)=11,_xlfn.XLOOKUP(IK90,'Dispensed Ink Rates'!C:C,'Dispensed Ink Rates'!CS:CS),VLOOKUP(IK90,'Jan-2026 rates'!$E:$F,2,0)))</f>
        <v>0</v>
      </c>
      <c r="IZ90" s="409"/>
      <c r="JA90" s="398">
        <f>IF(IZ90=0,0,IF(LEN(IL90)=11,_xlfn.XLOOKUP(IL90,'Dispensed Ink Rates'!C:C,'Dispensed Ink Rates'!CS:CS),VLOOKUP(IL90,'Jan-2026 rates'!$E:$F,2,0)))</f>
        <v>0</v>
      </c>
      <c r="JB90" s="409"/>
      <c r="JC90" s="398">
        <f>IF(JB90=0,0,IF(LEN(IM90)=11,_xlfn.XLOOKUP(IM90,'Dispensed Ink Rates'!C:C,'Dispensed Ink Rates'!CS:CS),VLOOKUP(IM90,'Jan-2026 rates'!$E:$F,2,0)))</f>
        <v>0</v>
      </c>
      <c r="JD90" s="409" t="s">
        <v>1881</v>
      </c>
      <c r="JE90" s="409">
        <v>20</v>
      </c>
      <c r="JF90" s="411">
        <f t="shared" si="100"/>
        <v>0</v>
      </c>
      <c r="JG90" s="411">
        <f t="shared" si="101"/>
        <v>826.69811320754718</v>
      </c>
      <c r="JH90" s="410">
        <f t="shared" si="102"/>
        <v>0</v>
      </c>
      <c r="JI90" s="405"/>
      <c r="JJ90" s="409"/>
      <c r="JK90" s="420" t="str">
        <f t="shared" si="60"/>
        <v xml:space="preserve"> - </v>
      </c>
      <c r="JL90" s="409"/>
      <c r="JM90" s="411">
        <f>IF(JL90=0,0,IF($LB90=70%,VLOOKUP($JK90,'Jan-2026 rates'!$L:$R,4,0),IF($LB90=65%,VLOOKUP($JK90,'Jan-2026 rates'!$L:$R,4,0),IF($LB90=40%,VLOOKUP($JK90,'Jan-2026 rates'!$L:$R,5,0),IF($LB90=30%,VLOOKUP($JK90,'Jan-2026 rates'!$L:$R,6,0),IF($LB90=100%,VLOOKUP($JK90,'Jan-2026 rates'!$L:$R,7,0),IF($LB90=60%,VLOOKUP($JK90,'Jan-2026 rates'!$L:$S,8,0),IF($LB90=80%,VLOOKUP($JK90,'Jan-2026 rates'!L:T,9,0),0))))))))</f>
        <v>0</v>
      </c>
      <c r="JN90" s="412"/>
      <c r="JO90" s="409"/>
      <c r="JP90" s="411">
        <f>IF(JO90=0,0,IF($LB90=70%,VLOOKUP($JK90,'Jan-2026 rates'!$L:$R,4,0),IF($LB90=65%,VLOOKUP($JK90,'Jan-2026 rates'!$L:$R,4,0),IF($LB90=40%,VLOOKUP($JK90,'Jan-2026 rates'!$L:$R,5,0),IF($LB90=30%,VLOOKUP($JK90,'Jan-2026 rates'!$L:$R,6,0),IF($LB90=100%,VLOOKUP($JK90,'Jan-2026 rates'!$L:$R,7,0),IF($LB90=60%,VLOOKUP($JK90,'Jan-2026 rates'!$L:$S,8,0),IF($LB90=80%,VLOOKUP($JK90,'Jan-2026 rates'!L:T,9,0),0))))))))</f>
        <v>0</v>
      </c>
      <c r="JQ90" s="413">
        <v>26507000019</v>
      </c>
      <c r="JR90" s="412">
        <v>26501000001</v>
      </c>
      <c r="JS90" s="413">
        <v>26507000015</v>
      </c>
      <c r="JT90" s="413">
        <v>26507000005</v>
      </c>
      <c r="JU90" s="412"/>
      <c r="JV90" s="412"/>
      <c r="JW90" s="412"/>
      <c r="JX90" s="412"/>
      <c r="JY90" s="409">
        <v>3</v>
      </c>
      <c r="JZ90" s="398" t="e">
        <f>IF(JY90=0,0,IF(LEN(JQ90)=11,_xlfn.XLOOKUP(JQ90,'Dispensed Ink Rates'!C:C,'Dispensed Ink Rates'!CS:CS),VLOOKUP(JQ90,'Jan-2026 rates'!$E:$F,2,0)))</f>
        <v>#N/A</v>
      </c>
      <c r="KA90" s="409">
        <v>2</v>
      </c>
      <c r="KB90" s="398" t="e">
        <f>IF(KA90=0,0,IF(LEN(JR90)=11,_xlfn.XLOOKUP(JR90,'Dispensed Ink Rates'!C:C,'Dispensed Ink Rates'!CS:CS),VLOOKUP(JR90,'Jan-2026 rates'!$E:$F,2,0)))</f>
        <v>#N/A</v>
      </c>
      <c r="KC90" s="409">
        <v>30</v>
      </c>
      <c r="KD90" s="398" t="e">
        <f>IF(KC90=0,0,IF(LEN(JS90)=11,_xlfn.XLOOKUP(JS90,'Dispensed Ink Rates'!C:C,'Dispensed Ink Rates'!CS:CS),VLOOKUP(JS90,'Jan-2026 rates'!$E:$F,2,0)))</f>
        <v>#N/A</v>
      </c>
      <c r="KE90" s="409">
        <v>30</v>
      </c>
      <c r="KF90" s="398" t="e">
        <f>IF(KE90=0,0,IF(LEN(JT90)=11,_xlfn.XLOOKUP(JT90,'Dispensed Ink Rates'!C:C,'Dispensed Ink Rates'!CS:CS),VLOOKUP(JT90,'Jan-2026 rates'!$E:$F,2,0)))</f>
        <v>#N/A</v>
      </c>
      <c r="KG90" s="409"/>
      <c r="KH90" s="398">
        <f>IF(KG90=0,0,IF(LEN(JU90)=11,_xlfn.XLOOKUP(JU90,'Dispensed Ink Rates'!C:C,'Dispensed Ink Rates'!CS:CS),VLOOKUP(JU90,'Jan-2026 rates'!$E:$F,2,0)))</f>
        <v>0</v>
      </c>
      <c r="KI90" s="409"/>
      <c r="KJ90" s="398">
        <f>IF(KI90=0,0,IF(LEN(JV90)=11,_xlfn.XLOOKUP(JV90,'Dispensed Ink Rates'!C:C,'Dispensed Ink Rates'!CS:CS),VLOOKUP(JV90,'Jan-2026 rates'!$E:$F,2,0)))</f>
        <v>0</v>
      </c>
      <c r="KK90" s="409"/>
      <c r="KL90" s="398">
        <f>IF(KK90=0,0,IF(LEN(JW90)=11,_xlfn.XLOOKUP(JW90,'Dispensed Ink Rates'!C:C,'Dispensed Ink Rates'!CS:CS),VLOOKUP(JW90,'Jan-2026 rates'!$E:$F,2,0)))</f>
        <v>0</v>
      </c>
      <c r="KM90" s="428"/>
      <c r="KN90" s="398">
        <f>IF(KM90=0,0,IF(LEN(JX90)=11,_xlfn.XLOOKUP(JX90,'Dispensed Ink Rates'!C:C,'Dispensed Ink Rates'!CS:CS),VLOOKUP(JX90,'Jan-2026 rates'!$E:$F,2,0)))</f>
        <v>0</v>
      </c>
      <c r="KO90" s="409"/>
      <c r="KP90" s="409"/>
      <c r="KQ90" s="411">
        <f t="shared" si="103"/>
        <v>0</v>
      </c>
      <c r="KR90" s="411">
        <f t="shared" si="104"/>
        <v>65</v>
      </c>
      <c r="KS90" s="410">
        <f t="shared" si="105"/>
        <v>0</v>
      </c>
      <c r="KT90" s="409">
        <f>10+5</f>
        <v>15</v>
      </c>
      <c r="KU90" s="409">
        <v>10</v>
      </c>
      <c r="KV90" s="409">
        <v>8</v>
      </c>
      <c r="KW90" s="409">
        <v>5</v>
      </c>
      <c r="KX90" s="409">
        <v>0</v>
      </c>
      <c r="KY90" s="409">
        <f>80+40+80</f>
        <v>200</v>
      </c>
      <c r="KZ90" s="409">
        <f>30+50</f>
        <v>80</v>
      </c>
      <c r="LA90" s="409">
        <v>0</v>
      </c>
      <c r="LB90" s="415">
        <v>0.8</v>
      </c>
      <c r="LC90" s="415">
        <v>0.2</v>
      </c>
      <c r="LD90" s="415"/>
      <c r="LE90" s="415"/>
      <c r="LF90" s="415"/>
      <c r="LG90" s="409">
        <v>0</v>
      </c>
      <c r="LH90" s="409">
        <f>200+230+640+160+5+4</f>
        <v>1239</v>
      </c>
      <c r="LI90" s="409">
        <v>0</v>
      </c>
      <c r="LJ90" s="409">
        <v>0</v>
      </c>
      <c r="LK90" s="416">
        <f t="shared" si="61"/>
        <v>1239</v>
      </c>
      <c r="LL90" s="416">
        <f t="shared" si="62"/>
        <v>1239</v>
      </c>
      <c r="LM90" s="417">
        <f t="shared" si="63"/>
        <v>991.2</v>
      </c>
      <c r="LN90" s="417">
        <f>VLOOKUP($LM$8,'Jan-2026 rates'!$H:$I,2,0)</f>
        <v>0</v>
      </c>
      <c r="LO90" s="417">
        <f t="shared" si="64"/>
        <v>247.8</v>
      </c>
      <c r="LP90" s="417">
        <f>VLOOKUP($LO$8,'Jan-2026 rates'!$H:$I,2,0)</f>
        <v>0</v>
      </c>
      <c r="LQ90" s="417">
        <f t="shared" si="65"/>
        <v>0</v>
      </c>
      <c r="LR90" s="417">
        <f>VLOOKUP($LQ$8,'Jan-2026 rates'!$H:$I,2,0)</f>
        <v>0</v>
      </c>
      <c r="LS90" s="417">
        <f t="shared" si="66"/>
        <v>0</v>
      </c>
      <c r="LT90" s="417">
        <f>VLOOKUP($LS$8,'Jan-2026 rates'!$H:$I,2,0)</f>
        <v>0</v>
      </c>
      <c r="LU90" s="417">
        <f t="shared" si="67"/>
        <v>0</v>
      </c>
      <c r="LV90" s="417">
        <f>VLOOKUP($LU$8,'Jan-2026 rates'!$H:$I,2,0)</f>
        <v>0</v>
      </c>
      <c r="LW90" s="417">
        <f t="shared" si="68"/>
        <v>0</v>
      </c>
      <c r="LX90" s="417">
        <f t="shared" si="69"/>
        <v>0</v>
      </c>
      <c r="LY90" s="418">
        <f t="shared" si="70"/>
        <v>0</v>
      </c>
      <c r="LZ90" s="417"/>
      <c r="MA90" s="435">
        <f t="shared" si="71"/>
        <v>1340.5</v>
      </c>
      <c r="MB90" s="282">
        <f t="shared" si="72"/>
        <v>2450.5</v>
      </c>
      <c r="MC90" s="283">
        <v>45</v>
      </c>
      <c r="MD90" s="284" t="str">
        <f t="shared" si="73"/>
        <v>FLINTSLFLINTSLFLINTSLFLINTSLFLINTSLFLINTSLToyoLi</v>
      </c>
      <c r="ME90" s="293" t="str">
        <f t="shared" si="74"/>
        <v>+</v>
      </c>
      <c r="MF90" s="293" t="str">
        <f t="shared" si="75"/>
        <v>+</v>
      </c>
      <c r="MG90" s="293" t="str">
        <f t="shared" si="76"/>
        <v>+</v>
      </c>
      <c r="MH90" s="293" t="str">
        <f t="shared" si="77"/>
        <v>+</v>
      </c>
      <c r="MI90" s="293" t="str">
        <f t="shared" si="78"/>
        <v>+</v>
      </c>
      <c r="MJ90" s="293" t="str">
        <f t="shared" si="79"/>
        <v>+</v>
      </c>
      <c r="MK90" s="293" t="str">
        <f t="shared" si="80"/>
        <v>+</v>
      </c>
      <c r="ML90" s="293" t="str">
        <f t="shared" si="81"/>
        <v>NIL</v>
      </c>
      <c r="MM90" s="3" t="b">
        <f t="array" ref="MM90">OR(ME90:ML90="-")</f>
        <v>0</v>
      </c>
      <c r="MN90" s="285"/>
      <c r="MO90" s="401"/>
      <c r="MP90" s="286"/>
      <c r="MQ90" s="286"/>
      <c r="MR90" s="402"/>
      <c r="MS90" s="400"/>
      <c r="NH90" s="422"/>
      <c r="NJ90" s="421"/>
    </row>
    <row r="91" spans="1:374" s="1" customFormat="1" ht="16.5">
      <c r="A91" s="403">
        <v>46029</v>
      </c>
      <c r="B91" s="404" t="s">
        <v>1015</v>
      </c>
      <c r="C91" s="405" t="s">
        <v>3105</v>
      </c>
      <c r="D91" s="406">
        <v>46</v>
      </c>
      <c r="E91" s="404">
        <v>2458</v>
      </c>
      <c r="F91" s="407">
        <v>129600</v>
      </c>
      <c r="G91" s="407" t="s">
        <v>1019</v>
      </c>
      <c r="H91" s="408" t="s">
        <v>1017</v>
      </c>
      <c r="I91" s="409">
        <v>1.86</v>
      </c>
      <c r="J91" s="405" t="s">
        <v>543</v>
      </c>
      <c r="K91" s="404" t="s">
        <v>3106</v>
      </c>
      <c r="L91" s="419" t="str">
        <f t="shared" si="54"/>
        <v>FLINTSL - BLACK</v>
      </c>
      <c r="M91" s="404">
        <v>22</v>
      </c>
      <c r="N91" s="410">
        <f>IF(M91=0,0,IF($LB91=70%,VLOOKUP($L91,'Jan-2026 rates'!$L:$R,4,0),IF($LB91=65%,VLOOKUP($L91,'Jan-2026 rates'!$L:$R,4,0),IF($LB91=40%,VLOOKUP($L91,'Jan-2026 rates'!$L:$R,5,0),IF($LB91=30%,VLOOKUP($L91,'Jan-2026 rates'!$L:$R,6,0),IF($LB91=100%,VLOOKUP($L91,'Jan-2026 rates'!$L:$R,7,0),IF($LB91=60%,VLOOKUP($L91,'Jan-2026 rates'!$L:$S,8,0),IF($LB91=80%,VLOOKUP($L91,'Jan-2026 rates'!L:T,9,0),0))))))))</f>
        <v>0</v>
      </c>
      <c r="O91" s="406"/>
      <c r="P91" s="404"/>
      <c r="Q91" s="410">
        <f>IF(P91=0,0,IF($LB91=70%,VLOOKUP($L91,'Jan-2026 rates'!$L:$R,4,0),IF($LB91=65%,VLOOKUP($L91,'Jan-2026 rates'!$L:$R,4,0),IF($LB91=40%,VLOOKUP($L91,'Jan-2026 rates'!$L:$R,5,0),IF($LB91=30%,VLOOKUP($L91,'Jan-2026 rates'!$L:$R,6,0),IF($LB91=100%,VLOOKUP($L91,'Jan-2026 rates'!$L:$R,7,0),IF($LB91=60%,VLOOKUP($L91,'Jan-2026 rates'!$L:$S,8,0),IF($LB91=80%,VLOOKUP($L91,'Jan-2026 rates'!L:T,9,0),0))))))))</f>
        <v>0</v>
      </c>
      <c r="R91" s="406">
        <v>26506000006</v>
      </c>
      <c r="S91" s="406"/>
      <c r="T91" s="406"/>
      <c r="U91" s="406"/>
      <c r="V91" s="406"/>
      <c r="W91" s="406"/>
      <c r="X91" s="406"/>
      <c r="Y91" s="406"/>
      <c r="Z91" s="404">
        <f>5+6</f>
        <v>11</v>
      </c>
      <c r="AA91" s="398" t="e">
        <f>IF(Z91=0,0,IF(LEN(R91)=11,_xlfn.XLOOKUP(R91,'Dispensed Ink Rates'!C:C,'Dispensed Ink Rates'!CS:CS),VLOOKUP(R91,'Jan-2026 rates'!$E:$F,2,0)))</f>
        <v>#N/A</v>
      </c>
      <c r="AB91" s="404"/>
      <c r="AC91" s="398">
        <f>IF(AB91=0,0,IF(LEN(S91)=11,_xlfn.XLOOKUP(S91,'Dispensed Ink Rates'!C:C,'Dispensed Ink Rates'!CS:CS),VLOOKUP(S91,'Jan-2026 rates'!$E:$F,2,0)))</f>
        <v>0</v>
      </c>
      <c r="AD91" s="404"/>
      <c r="AE91" s="398">
        <f>IF(AD91=0,0,IF(LEN(T91)=11,_xlfn.XLOOKUP(T91,'Dispensed Ink Rates'!C:C,'Dispensed Ink Rates'!CS:CS),VLOOKUP(T91,'Jan-2026 rates'!$E:$F,2,0)))</f>
        <v>0</v>
      </c>
      <c r="AF91" s="404"/>
      <c r="AG91" s="398">
        <f>IF(AF91=0,0,IF(LEN(U91)=11,_xlfn.XLOOKUP(U91,'Dispensed Ink Rates'!C:C,'Dispensed Ink Rates'!CS:CS),VLOOKUP(U91,'Jan-2026 rates'!$E:$F,2,0)))</f>
        <v>0</v>
      </c>
      <c r="AH91" s="404"/>
      <c r="AI91" s="398">
        <f>IF(AH91=0,0,IF(LEN(V91)=11,_xlfn.XLOOKUP(V91,'Dispensed Ink Rates'!C:C,'Dispensed Ink Rates'!CS:CS),VLOOKUP(V91,'Jan-2026 rates'!$E:$F,2,0)))</f>
        <v>0</v>
      </c>
      <c r="AJ91" s="404"/>
      <c r="AK91" s="398">
        <f>IF(AJ91=0,0,IF(LEN(W91)=11,_xlfn.XLOOKUP(W91,'Dispensed Ink Rates'!C:C,'Dispensed Ink Rates'!CS:CS),VLOOKUP(W91,'Jan-2026 rates'!$E:$F,2,0)))</f>
        <v>0</v>
      </c>
      <c r="AL91" s="404"/>
      <c r="AM91" s="398">
        <f>IF(AL91=0,0,IF(LEN(X91)=11,_xlfn.XLOOKUP(X91,'Dispensed Ink Rates'!C:C,'Dispensed Ink Rates'!CS:CS),VLOOKUP(X91,'Jan-2026 rates'!$E:$F,2,0)))</f>
        <v>0</v>
      </c>
      <c r="AN91" s="404"/>
      <c r="AO91" s="398">
        <f>IF(AN91=0,0,IF(LEN(Y91)=11,_xlfn.XLOOKUP(Y91,'Dispensed Ink Rates'!C:C,'Dispensed Ink Rates'!CS:CS),VLOOKUP(Y91,'Jan-2026 rates'!$E:$F,2,0)))</f>
        <v>0</v>
      </c>
      <c r="AP91" s="409" t="s">
        <v>1443</v>
      </c>
      <c r="AQ91" s="409">
        <v>27</v>
      </c>
      <c r="AR91" s="410">
        <f t="shared" si="82"/>
        <v>0</v>
      </c>
      <c r="AS91" s="411">
        <f t="shared" si="83"/>
        <v>29.369565217391305</v>
      </c>
      <c r="AT91" s="410">
        <f t="shared" si="84"/>
        <v>0</v>
      </c>
      <c r="AU91" s="405" t="s">
        <v>546</v>
      </c>
      <c r="AV91" s="409" t="s">
        <v>3066</v>
      </c>
      <c r="AW91" s="420" t="str">
        <f t="shared" si="53"/>
        <v>FLINTSL - REFLEX BLUE</v>
      </c>
      <c r="AX91" s="409">
        <v>24</v>
      </c>
      <c r="AY91" s="411">
        <f>IF(AX91=0,0,IF($LB91=70%,VLOOKUP($AW91,'Jan-2026 rates'!$L:$R,4,0),IF($LB91=65%,VLOOKUP($AW91,'Jan-2026 rates'!$L:$R,4,0),IF($LB91=40%,VLOOKUP($AW91,'Jan-2026 rates'!$L:$R,5,0),IF($LB91=30%,VLOOKUP($AW91,'Jan-2026 rates'!$L:$R,6,0),IF($LB91=100%,VLOOKUP($AW91,'Jan-2026 rates'!$L:$R,7,0),IF($LB91=60%,VLOOKUP($AW91,'Jan-2026 rates'!$L:$S,8,0),IF($LB91=80%,VLOOKUP($AW91,'Jan-2026 rates'!L:T,9,0),0))))))))</f>
        <v>0</v>
      </c>
      <c r="AZ91" s="412" t="s">
        <v>3107</v>
      </c>
      <c r="BA91" s="409">
        <f>31+25+27+24+13+29</f>
        <v>149</v>
      </c>
      <c r="BB91" s="411">
        <f>IF(BA91=0,0,IF($LB91=70%,VLOOKUP($AW91,'Jan-2026 rates'!$L:$R,4,0),IF($LB91=65%,VLOOKUP($AW91,'Jan-2026 rates'!$L:$R,4,0),IF($LB91=40%,VLOOKUP($AW91,'Jan-2026 rates'!$L:$R,5,0),IF($LB91=30%,VLOOKUP($AW91,'Jan-2026 rates'!$L:$R,6,0),IF($LB91=100%,VLOOKUP($AW91,'Jan-2026 rates'!$L:$R,7,0),IF($LB91=60%,VLOOKUP($AW91,'Jan-2026 rates'!$L:$S,8,0),IF($LB91=80%,VLOOKUP($AW91,'Jan-2026 rates'!L:T,9,0),0))))))))</f>
        <v>0</v>
      </c>
      <c r="BC91" s="413">
        <v>26508000003</v>
      </c>
      <c r="BD91" s="412">
        <v>26505000029</v>
      </c>
      <c r="BE91" s="412">
        <v>26506000006</v>
      </c>
      <c r="BF91" s="413">
        <v>26507000019</v>
      </c>
      <c r="BG91" s="412">
        <v>26505000032</v>
      </c>
      <c r="BH91" s="412">
        <v>9472</v>
      </c>
      <c r="BI91" s="412"/>
      <c r="BJ91" s="412"/>
      <c r="BK91" s="409">
        <f>15+15</f>
        <v>30</v>
      </c>
      <c r="BL91" s="398" t="e">
        <f>IF(BK91=0,0,IF(LEN(BC91)=11,_xlfn.XLOOKUP(BC91,'Dispensed Ink Rates'!C:C,'Dispensed Ink Rates'!CS:CS),VLOOKUP(BC91,'Jan-2026 rates'!$E:$F,2,0)))</f>
        <v>#N/A</v>
      </c>
      <c r="BM91" s="409">
        <f>10+10</f>
        <v>20</v>
      </c>
      <c r="BN91" s="398" t="e">
        <f>IF(BM91=0,0,IF(LEN(BD91)=11,_xlfn.XLOOKUP(BD91,'Dispensed Ink Rates'!C:C,'Dispensed Ink Rates'!CS:CS),VLOOKUP(BD91,'Jan-2026 rates'!$E:$F,2,0)))</f>
        <v>#N/A</v>
      </c>
      <c r="BO91" s="409">
        <f>5+5</f>
        <v>10</v>
      </c>
      <c r="BP91" s="398" t="e">
        <f>IF(BO91=0,0,IF(LEN(BE91)=11,_xlfn.XLOOKUP(BE91,'Dispensed Ink Rates'!C:C,'Dispensed Ink Rates'!CS:CS),VLOOKUP(BE91,'Jan-2026 rates'!$E:$F,2,0)))</f>
        <v>#N/A</v>
      </c>
      <c r="BQ91" s="409">
        <f>2+2</f>
        <v>4</v>
      </c>
      <c r="BR91" s="398" t="e">
        <f>IF(BQ91=0,0,IF(LEN(BF91)=11,_xlfn.XLOOKUP(BF91,'Dispensed Ink Rates'!C:C,'Dispensed Ink Rates'!CS:CS),VLOOKUP(BF91,'Jan-2026 rates'!$E:$F,2,0)))</f>
        <v>#N/A</v>
      </c>
      <c r="BS91" s="409">
        <f>10+10</f>
        <v>20</v>
      </c>
      <c r="BT91" s="398" t="e">
        <f>IF(BS91=0,0,IF(LEN(BG91)=11,_xlfn.XLOOKUP(BG91,'Dispensed Ink Rates'!C:C,'Dispensed Ink Rates'!CS:CS),VLOOKUP(BG91,'Jan-2026 rates'!$E:$F,2,0)))</f>
        <v>#N/A</v>
      </c>
      <c r="BU91" s="409">
        <v>40</v>
      </c>
      <c r="BV91" s="398">
        <f>IF(BU91=0,0,IF(LEN(BH91)=11,_xlfn.XLOOKUP(BH91,'Dispensed Ink Rates'!C:C,'Dispensed Ink Rates'!CS:CS),VLOOKUP(BH91,'Jan-2026 rates'!$E:$F,2,0)))</f>
        <v>0</v>
      </c>
      <c r="BW91" s="409"/>
      <c r="BX91" s="398">
        <f>IF(BW91=0,0,IF(LEN(BI91)=11,_xlfn.XLOOKUP(BI91,'Dispensed Ink Rates'!C:C,'Dispensed Ink Rates'!CS:CS),VLOOKUP(BI91,'Jan-2026 rates'!$E:$F,2,0)))</f>
        <v>0</v>
      </c>
      <c r="BY91" s="409"/>
      <c r="BZ91" s="398">
        <f>IF(BY91=0,0,IF(LEN(BJ91)=11,_xlfn.XLOOKUP(BJ91,'Dispensed Ink Rates'!C:C,'Dispensed Ink Rates'!CS:CS),VLOOKUP(BJ91,'Jan-2026 rates'!$E:$F,2,0)))</f>
        <v>0</v>
      </c>
      <c r="CA91" s="409" t="s">
        <v>1443</v>
      </c>
      <c r="CB91" s="409">
        <v>20</v>
      </c>
      <c r="CC91" s="411">
        <f t="shared" si="85"/>
        <v>0</v>
      </c>
      <c r="CD91" s="411">
        <f t="shared" si="86"/>
        <v>300.36956521739131</v>
      </c>
      <c r="CE91" s="410">
        <f t="shared" si="87"/>
        <v>0</v>
      </c>
      <c r="CF91" s="404" t="s">
        <v>857</v>
      </c>
      <c r="CG91" s="409" t="s">
        <v>3108</v>
      </c>
      <c r="CH91" s="420" t="str">
        <f t="shared" si="55"/>
        <v>FLINTSL - RED</v>
      </c>
      <c r="CI91" s="409">
        <v>20</v>
      </c>
      <c r="CJ91" s="411">
        <f>IF(CI91=0,0,IF($LB91=70%,VLOOKUP($CH91,'Jan-2026 rates'!$L:$R,4,0),IF($LB91=65%,VLOOKUP($CH91,'Jan-2026 rates'!$L:$R,4,0),IF($LB91=40%,VLOOKUP($CH91,'Jan-2026 rates'!$L:$R,5,0),IF($LB91=30%,VLOOKUP($CH91,'Jan-2026 rates'!$L:$R,6,0),IF($LB91=100%,VLOOKUP($CH91,'Jan-2026 rates'!$L:$R,7,0),IF($LB91=60%,VLOOKUP($CH91,'Jan-2026 rates'!$L:$S,8,0),IF($LB91=80%,VLOOKUP($CH91,'Jan-2026 rates'!L:T,9,0),0))))))))</f>
        <v>0</v>
      </c>
      <c r="CK91" s="412"/>
      <c r="CL91" s="409"/>
      <c r="CM91" s="411">
        <f>IF(CL91=0,0,IF($LB91=70%,VLOOKUP($CH91,'Jan-2026 rates'!$L:$R,4,0),IF($LB91=65%,VLOOKUP($CH91,'Jan-2026 rates'!$L:$R,4,0),IF($LB91=40%,VLOOKUP($CH91,'Jan-2026 rates'!$L:$R,5,0),IF($LB91=30%,VLOOKUP($CH91,'Jan-2026 rates'!$L:$R,6,0),IF($LB91=100%,VLOOKUP($CH91,'Jan-2026 rates'!$L:$R,7,0),IF($LB91=60%,VLOOKUP($CH91,'Jan-2026 rates'!$L:$S,8,0),IF($LB91=80%,VLOOKUP($CH91,'Jan-2026 rates'!L:T,9,0),0))))))))</f>
        <v>0</v>
      </c>
      <c r="CN91" s="426">
        <v>25863000007</v>
      </c>
      <c r="CO91" s="427">
        <v>26508000003</v>
      </c>
      <c r="CP91" s="426"/>
      <c r="CQ91" s="426"/>
      <c r="CR91" s="428"/>
      <c r="CS91" s="428"/>
      <c r="CT91" s="428"/>
      <c r="CU91" s="428"/>
      <c r="CV91" s="409">
        <f>5+5</f>
        <v>10</v>
      </c>
      <c r="CW91" s="398" t="e">
        <f>IF(CV91=0,0,IF(LEN(CN91)=11,_xlfn.XLOOKUP(CN91,'Dispensed Ink Rates'!C:C,'Dispensed Ink Rates'!CS:CS),VLOOKUP(CN91,'Jan-2026 rates'!$E:$F,2,0)))</f>
        <v>#N/A</v>
      </c>
      <c r="CX91" s="409">
        <f>4+3</f>
        <v>7</v>
      </c>
      <c r="CY91" s="398" t="e">
        <f>IF(CX91=0,0,IF(LEN(CO91)=11,_xlfn.XLOOKUP(CO91,'Dispensed Ink Rates'!C:C,'Dispensed Ink Rates'!CS:CS),VLOOKUP(CO91,'Jan-2026 rates'!$E:$F,2,0)))</f>
        <v>#N/A</v>
      </c>
      <c r="CZ91" s="409"/>
      <c r="DA91" s="398">
        <f>IF(CZ91=0,0,IF(LEN(CP91)=11,_xlfn.XLOOKUP(CP91,'Dispensed Ink Rates'!C:C,'Dispensed Ink Rates'!CS:CS),VLOOKUP(CP91,'Jan-2026 rates'!$E:$F,2,0)))</f>
        <v>0</v>
      </c>
      <c r="DB91" s="409"/>
      <c r="DC91" s="398">
        <f>IF(DB91=0,0,IF(LEN(CQ91)=11,_xlfn.XLOOKUP(CQ91,'Dispensed Ink Rates'!C:C,'Dispensed Ink Rates'!CS:CS),VLOOKUP(CQ91,'Jan-2026 rates'!$E:$F,2,0)))</f>
        <v>0</v>
      </c>
      <c r="DD91" s="409"/>
      <c r="DE91" s="398">
        <f>IF(DD91=0,0,IF(LEN(CR91)=11,_xlfn.XLOOKUP(CR91,'Dispensed Ink Rates'!C:C,'Dispensed Ink Rates'!CS:CS),VLOOKUP(CR91,'Jan-2026 rates'!$E:$F,2,0)))</f>
        <v>0</v>
      </c>
      <c r="DF91" s="409"/>
      <c r="DG91" s="398">
        <f>IF(DF91=0,0,IF(LEN(CS91)=11,_xlfn.XLOOKUP(CS91,'Dispensed Ink Rates'!C:C,'Dispensed Ink Rates'!CS:CS),VLOOKUP(CS91,'Jan-2026 rates'!$E:$F,2,0)))</f>
        <v>0</v>
      </c>
      <c r="DH91" s="409"/>
      <c r="DI91" s="398">
        <f>IF(DH91=0,0,IF(LEN(CT91)=11,_xlfn.XLOOKUP(CT91,'Dispensed Ink Rates'!C:C,'Dispensed Ink Rates'!CS:CS),VLOOKUP(CT91,'Jan-2026 rates'!$E:$F,2,0)))</f>
        <v>0</v>
      </c>
      <c r="DJ91" s="409"/>
      <c r="DK91" s="398">
        <f>IF(DJ91=0,0,IF(LEN(CU91)=11,_xlfn.XLOOKUP(CU91,'Dispensed Ink Rates'!C:C,'Dispensed Ink Rates'!CS:CS),VLOOKUP(CU91,'Jan-2026 rates'!$E:$F,2,0)))</f>
        <v>0</v>
      </c>
      <c r="DL91" s="409" t="s">
        <v>1443</v>
      </c>
      <c r="DM91" s="409">
        <v>24</v>
      </c>
      <c r="DN91" s="411">
        <f t="shared" si="88"/>
        <v>0</v>
      </c>
      <c r="DO91" s="411">
        <f t="shared" si="89"/>
        <v>31.695652173913047</v>
      </c>
      <c r="DP91" s="410">
        <f t="shared" si="90"/>
        <v>0</v>
      </c>
      <c r="DQ91" s="405" t="s">
        <v>855</v>
      </c>
      <c r="DR91" s="409" t="s">
        <v>3109</v>
      </c>
      <c r="DS91" s="420" t="str">
        <f t="shared" si="56"/>
        <v>FLINTSL - CYAN</v>
      </c>
      <c r="DT91" s="409">
        <v>26</v>
      </c>
      <c r="DU91" s="411">
        <f>IF(DT91=0,0,IF($LB91=70%,VLOOKUP($DS91,'Jan-2026 rates'!$L:$R,4,0),IF($LB91=65%,VLOOKUP($DS91,'Jan-2026 rates'!$L:$R,4,0),IF($LB91=40%,VLOOKUP($DS91,'Jan-2026 rates'!$L:$R,5,0),IF($LB91=30%,VLOOKUP($DS91,'Jan-2026 rates'!$L:$R,6,0),IF($LB91=100%,VLOOKUP($DS91,'Jan-2026 rates'!$L:$R,7,0),IF($LB91=60%,VLOOKUP($DS91,'Jan-2026 rates'!$L:$S,8,0),IF($LB91=80%,VLOOKUP($DS91,'Jan-2026 rates'!L:T,9,0),0))))))))</f>
        <v>0</v>
      </c>
      <c r="DV91" s="412"/>
      <c r="DW91" s="409"/>
      <c r="DX91" s="411">
        <f>IF(DW91=0,0,IF($LB91=70%,VLOOKUP($DS91,'Jan-2026 rates'!$L:$R,4,0),IF($LB91=65%,VLOOKUP($DS91,'Jan-2026 rates'!$L:$R,4,0),IF($LB91=40%,VLOOKUP($DS91,'Jan-2026 rates'!$L:$R,5,0),IF($LB91=30%,VLOOKUP($DS91,'Jan-2026 rates'!$L:$R,6,0),IF($LB91=100%,VLOOKUP($DS91,'Jan-2026 rates'!$L:$R,7,0),IF($LB91=60%,VLOOKUP($DS91,'Jan-2026 rates'!$L:$S,8,0),IF($LB91=80%,VLOOKUP($DS91,'Jan-2026 rates'!L:T,9,0),0))))))))</f>
        <v>0</v>
      </c>
      <c r="DY91" s="413">
        <v>26505000032</v>
      </c>
      <c r="DZ91" s="413" t="s">
        <v>1266</v>
      </c>
      <c r="EA91" s="412"/>
      <c r="EB91" s="412"/>
      <c r="EC91" s="412"/>
      <c r="ED91" s="412"/>
      <c r="EE91" s="412"/>
      <c r="EF91" s="412"/>
      <c r="EG91" s="409">
        <v>10</v>
      </c>
      <c r="EH91" s="398" t="e">
        <f>IF(EG91=0,0,IF(LEN(DY91)=11,_xlfn.XLOOKUP(DY91,'Dispensed Ink Rates'!C:C,'Dispensed Ink Rates'!CS:CS),VLOOKUP(DY91,'Jan-2026 rates'!$E:$F,2,0)))</f>
        <v>#N/A</v>
      </c>
      <c r="EI91" s="409">
        <v>7</v>
      </c>
      <c r="EJ91" s="398">
        <f>IF(EI91=0,0,IF(LEN(DZ91)=11,_xlfn.XLOOKUP(DZ91,'Dispensed Ink Rates'!C:C,'Dispensed Ink Rates'!CS:CS),VLOOKUP(DZ91,'Jan-2026 rates'!$E:$F,2,0)))</f>
        <v>0</v>
      </c>
      <c r="EK91" s="409"/>
      <c r="EL91" s="398">
        <f>IF(EK91=0,0,IF(LEN(EA91)=11,_xlfn.XLOOKUP(EA91,'Dispensed Ink Rates'!C:C,'Dispensed Ink Rates'!CS:CS),VLOOKUP(EA91,'Jan-2026 rates'!$E:$F,2,0)))</f>
        <v>0</v>
      </c>
      <c r="EM91" s="409"/>
      <c r="EN91" s="398">
        <f>IF(EM91=0,0,IF(LEN(EB91)=11,_xlfn.XLOOKUP(EB91,'Dispensed Ink Rates'!C:C,'Dispensed Ink Rates'!CS:CS),VLOOKUP(EB91,'Jan-2026 rates'!$E:$F,2,0)))</f>
        <v>0</v>
      </c>
      <c r="EO91" s="409"/>
      <c r="EP91" s="398">
        <f>IF(EO91=0,0,IF(LEN(EC91)=11,_xlfn.XLOOKUP(EC91,'Dispensed Ink Rates'!C:C,'Dispensed Ink Rates'!CS:CS),VLOOKUP(EC91,'Jan-2026 rates'!$E:$F,2,0)))</f>
        <v>0</v>
      </c>
      <c r="EQ91" s="409"/>
      <c r="ER91" s="398">
        <f>IF(EQ91=0,0,IF(LEN(ED91)=11,_xlfn.XLOOKUP(ED91,'Dispensed Ink Rates'!C:C,'Dispensed Ink Rates'!CS:CS),VLOOKUP(ED91,'Jan-2026 rates'!$E:$F,2,0)))</f>
        <v>0</v>
      </c>
      <c r="ES91" s="409"/>
      <c r="ET91" s="398">
        <f>IF(ES91=0,0,IF(LEN(EE91)=11,_xlfn.XLOOKUP(EE91,'Dispensed Ink Rates'!C:C,'Dispensed Ink Rates'!CS:CS),VLOOKUP(EE91,'Jan-2026 rates'!$E:$F,2,0)))</f>
        <v>0</v>
      </c>
      <c r="EU91" s="409"/>
      <c r="EV91" s="398">
        <f>IF(EU91=0,0,IF(LEN(EF91)=11,_xlfn.XLOOKUP(EF91,'Dispensed Ink Rates'!C:C,'Dispensed Ink Rates'!CS:CS),VLOOKUP(EF91,'Jan-2026 rates'!$E:$F,2,0)))</f>
        <v>0</v>
      </c>
      <c r="EW91" s="409" t="s">
        <v>1443</v>
      </c>
      <c r="EX91" s="409">
        <v>30</v>
      </c>
      <c r="EY91" s="411">
        <f t="shared" si="91"/>
        <v>0</v>
      </c>
      <c r="EZ91" s="411">
        <f t="shared" si="92"/>
        <v>48.054347826086968</v>
      </c>
      <c r="FA91" s="410">
        <f t="shared" si="93"/>
        <v>0</v>
      </c>
      <c r="FB91" s="405" t="s">
        <v>544</v>
      </c>
      <c r="FC91" s="409" t="s">
        <v>3110</v>
      </c>
      <c r="FD91" s="420" t="str">
        <f t="shared" si="57"/>
        <v>FLINTSL - MAGENTA</v>
      </c>
      <c r="FE91" s="409">
        <v>24</v>
      </c>
      <c r="FF91" s="411">
        <f>IF(FE91=0,0,IF($LB91=70%,VLOOKUP($FD91,'Jan-2026 rates'!$L:$R,4,0),IF($LB91=65%,VLOOKUP($FD91,'Jan-2026 rates'!$L:$R,4,0),IF($LB91=40%,VLOOKUP($FD91,'Jan-2026 rates'!$L:$R,5,0),IF($LB91=30%,VLOOKUP($FD91,'Jan-2026 rates'!$L:$R,6,0),IF($LB91=100%,VLOOKUP($FD91,'Jan-2026 rates'!$L:$R,7,0),IF($LB91=60%,VLOOKUP($FD91,'Jan-2026 rates'!$L:$S,8,0),IF($LB91=80%,VLOOKUP($FD91,'Jan-2026 rates'!L:T,9,0),0))))))))</f>
        <v>0</v>
      </c>
      <c r="FG91" s="412" t="s">
        <v>3083</v>
      </c>
      <c r="FH91" s="409">
        <v>10</v>
      </c>
      <c r="FI91" s="411">
        <f>IF(FH91=0,0,IF($LB91=70%,VLOOKUP($FD91,'Jan-2026 rates'!$L:$R,4,0),IF($LB91=65%,VLOOKUP($FD91,'Jan-2026 rates'!$L:$R,4,0),IF($LB91=40%,VLOOKUP($FD91,'Jan-2026 rates'!$L:$R,5,0),IF($LB91=30%,VLOOKUP($FD91,'Jan-2026 rates'!$L:$R,6,0),IF($LB91=100%,VLOOKUP($FD91,'Jan-2026 rates'!$L:$R,7,0),IF($LB91=60%,VLOOKUP($FD91,'Jan-2026 rates'!$L:$S,8,0),IF($LB91=80%,VLOOKUP($FD91,'Jan-2026 rates'!L:T,9,0),0))))))))</f>
        <v>0</v>
      </c>
      <c r="FJ91" s="413" t="s">
        <v>1266</v>
      </c>
      <c r="FK91" s="413"/>
      <c r="FL91" s="413"/>
      <c r="FM91" s="412"/>
      <c r="FN91" s="412"/>
      <c r="FO91" s="412"/>
      <c r="FP91" s="412"/>
      <c r="FQ91" s="412"/>
      <c r="FR91" s="409">
        <v>5</v>
      </c>
      <c r="FS91" s="398">
        <f>IF(FR91=0,0,IF(LEN(FJ91)=11,_xlfn.XLOOKUP(FJ91,'Dispensed Ink Rates'!C:C,'Dispensed Ink Rates'!CS:CS),VLOOKUP(FJ91,'Jan-2026 rates'!$E:$F,2,0)))</f>
        <v>0</v>
      </c>
      <c r="FT91" s="409"/>
      <c r="FU91" s="398">
        <f>IF(FT91=0,0,IF(LEN(FK91)=11,_xlfn.XLOOKUP(FK91,'Dispensed Ink Rates'!C:C,'Dispensed Ink Rates'!CS:CS),VLOOKUP(FK91,'Jan-2026 rates'!$E:$F,2,0)))</f>
        <v>0</v>
      </c>
      <c r="FV91" s="409"/>
      <c r="FW91" s="398">
        <f>IF(FV91=0,0,IF(LEN(FL91)=11,_xlfn.XLOOKUP(FL91,'Dispensed Ink Rates'!C:C,'Dispensed Ink Rates'!CS:CS),VLOOKUP(FL91,'Jan-2026 rates'!$E:$F,2,0)))</f>
        <v>0</v>
      </c>
      <c r="FX91" s="409"/>
      <c r="FY91" s="398">
        <f>IF(FX91=0,0,IF(LEN(FM91)=11,_xlfn.XLOOKUP(FM91,'Dispensed Ink Rates'!C:C,'Dispensed Ink Rates'!CS:CS),VLOOKUP(FM91,'Jan-2026 rates'!$E:$F,2,0)))</f>
        <v>0</v>
      </c>
      <c r="FZ91" s="409"/>
      <c r="GA91" s="398">
        <f>IF(FZ91=0,0,IF(LEN(FN91)=11,_xlfn.XLOOKUP(FN91,'Dispensed Ink Rates'!C:C,'Dispensed Ink Rates'!CS:CS),VLOOKUP(FN91,'Jan-2026 rates'!$E:$F,2,0)))</f>
        <v>0</v>
      </c>
      <c r="GB91" s="409"/>
      <c r="GC91" s="398">
        <f>IF(GB91=0,0,IF(LEN(FO91)=11,_xlfn.XLOOKUP(FO91,'Dispensed Ink Rates'!C:C,'Dispensed Ink Rates'!CS:CS),VLOOKUP(FO91,'Jan-2026 rates'!$E:$F,2,0)))</f>
        <v>0</v>
      </c>
      <c r="GD91" s="409"/>
      <c r="GE91" s="398">
        <f>IF(GD91=0,0,IF(LEN(FP91)=11,_xlfn.XLOOKUP(FP91,'Dispensed Ink Rates'!C:C,'Dispensed Ink Rates'!CS:CS),VLOOKUP(FP91,'Jan-2026 rates'!$E:$F,2,0)))</f>
        <v>0</v>
      </c>
      <c r="GF91" s="409"/>
      <c r="GG91" s="398">
        <f>IF(GF91=0,0,IF(LEN(FQ91)=11,_xlfn.XLOOKUP(FQ91,'Dispensed Ink Rates'!C:C,'Dispensed Ink Rates'!CS:CS),VLOOKUP(FQ91,'Jan-2026 rates'!$E:$F,2,0)))</f>
        <v>0</v>
      </c>
      <c r="GH91" s="409" t="s">
        <v>1443</v>
      </c>
      <c r="GI91" s="409">
        <v>30</v>
      </c>
      <c r="GJ91" s="411">
        <f t="shared" si="94"/>
        <v>0</v>
      </c>
      <c r="GK91" s="411">
        <f t="shared" si="95"/>
        <v>32.369565217391305</v>
      </c>
      <c r="GL91" s="410">
        <f t="shared" si="96"/>
        <v>0</v>
      </c>
      <c r="GM91" s="405" t="s">
        <v>545</v>
      </c>
      <c r="GN91" s="409" t="s">
        <v>3111</v>
      </c>
      <c r="GO91" s="420" t="str">
        <f t="shared" si="58"/>
        <v>FLINTSL - YELLOW</v>
      </c>
      <c r="GP91" s="409">
        <v>25</v>
      </c>
      <c r="GQ91" s="411">
        <f>IF(GP91=0,0,IF($LB91=70%,VLOOKUP($GO91,'Jan-2026 rates'!$L:$R,4,0),IF($LB91=65%,VLOOKUP($GO91,'Jan-2026 rates'!$L:$R,4,0),IF($LB91=40%,VLOOKUP($GO91,'Jan-2026 rates'!$L:$R,5,0),IF($LB91=30%,VLOOKUP($GO91,'Jan-2026 rates'!$L:$R,6,0),IF($LB91=100%,VLOOKUP($GO91,'Jan-2026 rates'!$L:$R,7,0),IF($LB91=60%,VLOOKUP($GO91,'Jan-2026 rates'!$L:$S,8,0),IF($LB91=80%,VLOOKUP($GO91,'Jan-2026 rates'!L:T,9,0),0))))))))</f>
        <v>0</v>
      </c>
      <c r="GR91" s="412"/>
      <c r="GS91" s="409"/>
      <c r="GT91" s="411">
        <f>IF(GS91=0,0,IF($LB91=70%,VLOOKUP($GO91,'Jan-2026 rates'!$L:$R,4,0),IF($LB91=65%,VLOOKUP($GO91,'Jan-2026 rates'!$L:$R,4,0),IF($LB91=40%,VLOOKUP($GO91,'Jan-2026 rates'!$L:$R,5,0),IF($LB91=30%,VLOOKUP($GO91,'Jan-2026 rates'!$L:$R,6,0),IF($LB91=100%,VLOOKUP($GO91,'Jan-2026 rates'!$L:$R,7,0),IF($LB91=60%,VLOOKUP($GO91,'Jan-2026 rates'!$L:$S,8,0),IF($LB91=80%,VLOOKUP($GO91,'Jan-2026 rates'!L:T,9,0),0))))))))</f>
        <v>0</v>
      </c>
      <c r="GU91" s="413" t="s">
        <v>1266</v>
      </c>
      <c r="GV91" s="413">
        <v>26507000019</v>
      </c>
      <c r="GW91" s="412"/>
      <c r="GX91" s="412"/>
      <c r="GY91" s="412"/>
      <c r="GZ91" s="412"/>
      <c r="HA91" s="412"/>
      <c r="HB91" s="412"/>
      <c r="HC91" s="409">
        <v>20</v>
      </c>
      <c r="HD91" s="398">
        <f>IF(HC91=0,0,IF(LEN(GU91)=11,_xlfn.XLOOKUP(GU91,'Dispensed Ink Rates'!C:C,'Dispensed Ink Rates'!CS:CS),VLOOKUP(GU91,'Jan-2026 rates'!$E:$F,2,0)))</f>
        <v>0</v>
      </c>
      <c r="HE91" s="409">
        <v>15</v>
      </c>
      <c r="HF91" s="398" t="e">
        <f>IF(HE91=0,0,IF(LEN(GV91)=11,_xlfn.XLOOKUP(GV91,'Dispensed Ink Rates'!C:C,'Dispensed Ink Rates'!CS:CS),VLOOKUP(GV91,'Jan-2026 rates'!$E:$F,2,0)))</f>
        <v>#N/A</v>
      </c>
      <c r="HG91" s="409"/>
      <c r="HH91" s="398">
        <f>IF(HG91=0,0,IF(LEN(GW91)=11,_xlfn.XLOOKUP(GW91,'Dispensed Ink Rates'!C:C,'Dispensed Ink Rates'!CS:CS),VLOOKUP(GW91,'Jan-2026 rates'!$E:$F,2,0)))</f>
        <v>0</v>
      </c>
      <c r="HI91" s="409"/>
      <c r="HJ91" s="398">
        <f>IF(HI91=0,0,IF(LEN(GX91)=11,_xlfn.XLOOKUP(GX91,'Dispensed Ink Rates'!C:C,'Dispensed Ink Rates'!CS:CS),VLOOKUP(GX91,'Jan-2026 rates'!$E:$F,2,0)))</f>
        <v>0</v>
      </c>
      <c r="HK91" s="409"/>
      <c r="HL91" s="398">
        <f>IF(HK91=0,0,IF(LEN(GY91)=11,_xlfn.XLOOKUP(GY91,'Dispensed Ink Rates'!C:C,'Dispensed Ink Rates'!CS:CS),VLOOKUP(GY91,'Jan-2026 rates'!$E:$F,2,0)))</f>
        <v>0</v>
      </c>
      <c r="HM91" s="409"/>
      <c r="HN91" s="398">
        <f>IF(HM91=0,0,IF(LEN(GZ91)=11,_xlfn.XLOOKUP(GZ91,'Dispensed Ink Rates'!C:C,'Dispensed Ink Rates'!CS:CS),VLOOKUP(GZ91,'Jan-2026 rates'!$E:$F,2,0)))</f>
        <v>0</v>
      </c>
      <c r="HO91" s="409"/>
      <c r="HP91" s="398">
        <f>IF(HO91=0,0,IF(LEN(HA91)=11,_xlfn.XLOOKUP(HA91,'Dispensed Ink Rates'!C:C,'Dispensed Ink Rates'!CS:CS),VLOOKUP(HA91,'Jan-2026 rates'!$E:$F,2,0)))</f>
        <v>0</v>
      </c>
      <c r="HQ91" s="409"/>
      <c r="HR91" s="398">
        <f>IF(HQ91=0,0,IF(LEN(HB91)=11,_xlfn.XLOOKUP(HB91,'Dispensed Ink Rates'!C:C,'Dispensed Ink Rates'!CS:CS),VLOOKUP(HB91,'Jan-2026 rates'!$E:$F,2,0)))</f>
        <v>0</v>
      </c>
      <c r="HS91" s="409" t="s">
        <v>1443</v>
      </c>
      <c r="HT91" s="409">
        <v>32</v>
      </c>
      <c r="HU91" s="411">
        <f t="shared" si="97"/>
        <v>0</v>
      </c>
      <c r="HV91" s="411">
        <f t="shared" si="98"/>
        <v>63.054347826086968</v>
      </c>
      <c r="HW91" s="414">
        <f t="shared" si="99"/>
        <v>0</v>
      </c>
      <c r="HX91" s="405" t="s">
        <v>856</v>
      </c>
      <c r="HY91" s="409" t="s">
        <v>3112</v>
      </c>
      <c r="HZ91" s="420" t="str">
        <f t="shared" si="59"/>
        <v>FLINTSL - WHITE</v>
      </c>
      <c r="IA91" s="409">
        <v>26</v>
      </c>
      <c r="IB91" s="411">
        <f>IF(IA91=0,0,IF($LB91=70%,VLOOKUP($HZ91,'Jan-2026 rates'!$L:$R,4,0),IF($LB91=65%,VLOOKUP($HZ91,'Jan-2026 rates'!$L:$R,4,0),IF($LB91=40%,VLOOKUP($HZ91,'Jan-2026 rates'!$L:$R,5,0),IF($LB91=30%,VLOOKUP($HZ91,'Jan-2026 rates'!$L:$R,6,0),IF($LB91=100%,VLOOKUP($HZ91,'Jan-2026 rates'!$L:$R,7,0),IF($LB91=60%,VLOOKUP($HZ91,'Jan-2026 rates'!$L:$S,8,0),IF($LB91=80%,VLOOKUP($HZ91,'Jan-2026 rates'!L:T,9,0),0))))))))</f>
        <v>0</v>
      </c>
      <c r="IC91" s="412"/>
      <c r="ID91" s="409"/>
      <c r="IE91" s="411">
        <f>IF(ID91=0,0,IF($LB91=70%,VLOOKUP($HZ91,'Jan-2026 rates'!$L:$R,4,0),IF($LB91=65%,VLOOKUP($HZ91,'Jan-2026 rates'!$L:$R,4,0),IF($LB91=40%,VLOOKUP($HZ91,'Jan-2026 rates'!$L:$R,5,0),IF($LB91=30%,VLOOKUP($HZ91,'Jan-2026 rates'!$L:$R,6,0),IF($LB91=100%,VLOOKUP($HZ91,'Jan-2026 rates'!$L:$R,7,0),IF($LB91=60%,VLOOKUP($HZ91,'Jan-2026 rates'!$L:$S,8,0),IF($LB91=80%,VLOOKUP($HZ91,'Jan-2026 rates'!L:T,9,0),0))))))))</f>
        <v>0</v>
      </c>
      <c r="IF91" s="412" t="s">
        <v>484</v>
      </c>
      <c r="IG91" s="413"/>
      <c r="IH91" s="412"/>
      <c r="II91" s="412"/>
      <c r="IJ91" s="412"/>
      <c r="IK91" s="412"/>
      <c r="IL91" s="412"/>
      <c r="IM91" s="412"/>
      <c r="IN91" s="409">
        <f>100+100+200+100</f>
        <v>500</v>
      </c>
      <c r="IO91" s="398">
        <f>IF(IN91=0,0,IF(LEN(IF91)=11,_xlfn.XLOOKUP(IF91,'Dispensed Ink Rates'!C:C,'Dispensed Ink Rates'!CS:CS),VLOOKUP(IF91,'Jan-2026 rates'!$E:$F,2,0)))</f>
        <v>0</v>
      </c>
      <c r="IP91" s="409"/>
      <c r="IQ91" s="398">
        <f>IF(IP91=0,0,IF(LEN(IG91)=11,_xlfn.XLOOKUP(IG91,'Dispensed Ink Rates'!C:C,'Dispensed Ink Rates'!CS:CS),VLOOKUP(IG91,'Jan-2026 rates'!$E:$F,2,0)))</f>
        <v>0</v>
      </c>
      <c r="IR91" s="409"/>
      <c r="IS91" s="398">
        <f>IF(IR91=0,0,IF(LEN(IH91)=11,_xlfn.XLOOKUP(IH91,'Dispensed Ink Rates'!C:C,'Dispensed Ink Rates'!CS:CS),VLOOKUP(IH91,'Jan-2026 rates'!$E:$F,2,0)))</f>
        <v>0</v>
      </c>
      <c r="IT91" s="409"/>
      <c r="IU91" s="398">
        <f>IF(IT91=0,0,IF(LEN(II91)=11,_xlfn.XLOOKUP(II91,'Dispensed Ink Rates'!C:C,'Dispensed Ink Rates'!CS:CS),VLOOKUP(II91,'Jan-2026 rates'!$E:$F,2,0)))</f>
        <v>0</v>
      </c>
      <c r="IV91" s="409"/>
      <c r="IW91" s="398">
        <f>IF(IV91=0,0,IF(LEN(IJ91)=11,_xlfn.XLOOKUP(IJ91,'Dispensed Ink Rates'!C:C,'Dispensed Ink Rates'!CS:CS),VLOOKUP(IJ91,'Jan-2026 rates'!$E:$F,2,0)))</f>
        <v>0</v>
      </c>
      <c r="IX91" s="409"/>
      <c r="IY91" s="398">
        <f>IF(IX91=0,0,IF(LEN(IK91)=11,_xlfn.XLOOKUP(IK91,'Dispensed Ink Rates'!C:C,'Dispensed Ink Rates'!CS:CS),VLOOKUP(IK91,'Jan-2026 rates'!$E:$F,2,0)))</f>
        <v>0</v>
      </c>
      <c r="IZ91" s="409"/>
      <c r="JA91" s="398">
        <f>IF(IZ91=0,0,IF(LEN(IL91)=11,_xlfn.XLOOKUP(IL91,'Dispensed Ink Rates'!C:C,'Dispensed Ink Rates'!CS:CS),VLOOKUP(IL91,'Jan-2026 rates'!$E:$F,2,0)))</f>
        <v>0</v>
      </c>
      <c r="JB91" s="409"/>
      <c r="JC91" s="398">
        <f>IF(JB91=0,0,IF(LEN(IM91)=11,_xlfn.XLOOKUP(IM91,'Dispensed Ink Rates'!C:C,'Dispensed Ink Rates'!CS:CS),VLOOKUP(IM91,'Jan-2026 rates'!$E:$F,2,0)))</f>
        <v>0</v>
      </c>
      <c r="JD91" s="409" t="s">
        <v>1443</v>
      </c>
      <c r="JE91" s="409">
        <v>24</v>
      </c>
      <c r="JF91" s="411">
        <f t="shared" si="100"/>
        <v>0</v>
      </c>
      <c r="JG91" s="411">
        <f t="shared" si="101"/>
        <v>1203.086956521739</v>
      </c>
      <c r="JH91" s="410">
        <f t="shared" si="102"/>
        <v>0</v>
      </c>
      <c r="JI91" s="405"/>
      <c r="JJ91" s="409"/>
      <c r="JK91" s="420" t="str">
        <f t="shared" si="60"/>
        <v xml:space="preserve"> - </v>
      </c>
      <c r="JL91" s="409"/>
      <c r="JM91" s="411">
        <f>IF(JL91=0,0,IF($LB91=70%,VLOOKUP($JK91,'Jan-2026 rates'!$L:$R,4,0),IF($LB91=65%,VLOOKUP($JK91,'Jan-2026 rates'!$L:$R,4,0),IF($LB91=40%,VLOOKUP($JK91,'Jan-2026 rates'!$L:$R,5,0),IF($LB91=30%,VLOOKUP($JK91,'Jan-2026 rates'!$L:$R,6,0),IF($LB91=100%,VLOOKUP($JK91,'Jan-2026 rates'!$L:$R,7,0),IF($LB91=60%,VLOOKUP($JK91,'Jan-2026 rates'!$L:$S,8,0),IF($LB91=80%,VLOOKUP($JK91,'Jan-2026 rates'!L:T,9,0),0))))))))</f>
        <v>0</v>
      </c>
      <c r="JN91" s="412"/>
      <c r="JO91" s="409"/>
      <c r="JP91" s="411">
        <f>IF(JO91=0,0,IF($LB91=70%,VLOOKUP($JK91,'Jan-2026 rates'!$L:$R,4,0),IF($LB91=65%,VLOOKUP($JK91,'Jan-2026 rates'!$L:$R,4,0),IF($LB91=40%,VLOOKUP($JK91,'Jan-2026 rates'!$L:$R,5,0),IF($LB91=30%,VLOOKUP($JK91,'Jan-2026 rates'!$L:$R,6,0),IF($LB91=100%,VLOOKUP($JK91,'Jan-2026 rates'!$L:$R,7,0),IF($LB91=60%,VLOOKUP($JK91,'Jan-2026 rates'!$L:$S,8,0),IF($LB91=80%,VLOOKUP($JK91,'Jan-2026 rates'!L:T,9,0),0))))))))</f>
        <v>0</v>
      </c>
      <c r="JQ91" s="413"/>
      <c r="JR91" s="412"/>
      <c r="JS91" s="413"/>
      <c r="JT91" s="413"/>
      <c r="JU91" s="412"/>
      <c r="JV91" s="412"/>
      <c r="JW91" s="412"/>
      <c r="JX91" s="412"/>
      <c r="JY91" s="409"/>
      <c r="JZ91" s="398">
        <f>IF(JY91=0,0,IF(LEN(JQ91)=11,_xlfn.XLOOKUP(JQ91,'Dispensed Ink Rates'!C:C,'Dispensed Ink Rates'!CS:CS),VLOOKUP(JQ91,'Jan-2026 rates'!$E:$F,2,0)))</f>
        <v>0</v>
      </c>
      <c r="KA91" s="409"/>
      <c r="KB91" s="398">
        <f>IF(KA91=0,0,IF(LEN(JR91)=11,_xlfn.XLOOKUP(JR91,'Dispensed Ink Rates'!C:C,'Dispensed Ink Rates'!CS:CS),VLOOKUP(JR91,'Jan-2026 rates'!$E:$F,2,0)))</f>
        <v>0</v>
      </c>
      <c r="KC91" s="409"/>
      <c r="KD91" s="398">
        <f>IF(KC91=0,0,IF(LEN(JS91)=11,_xlfn.XLOOKUP(JS91,'Dispensed Ink Rates'!C:C,'Dispensed Ink Rates'!CS:CS),VLOOKUP(JS91,'Jan-2026 rates'!$E:$F,2,0)))</f>
        <v>0</v>
      </c>
      <c r="KE91" s="409"/>
      <c r="KF91" s="398">
        <f>IF(KE91=0,0,IF(LEN(JT91)=11,_xlfn.XLOOKUP(JT91,'Dispensed Ink Rates'!C:C,'Dispensed Ink Rates'!CS:CS),VLOOKUP(JT91,'Jan-2026 rates'!$E:$F,2,0)))</f>
        <v>0</v>
      </c>
      <c r="KG91" s="409"/>
      <c r="KH91" s="398">
        <f>IF(KG91=0,0,IF(LEN(JU91)=11,_xlfn.XLOOKUP(JU91,'Dispensed Ink Rates'!C:C,'Dispensed Ink Rates'!CS:CS),VLOOKUP(JU91,'Jan-2026 rates'!$E:$F,2,0)))</f>
        <v>0</v>
      </c>
      <c r="KI91" s="409"/>
      <c r="KJ91" s="398">
        <f>IF(KI91=0,0,IF(LEN(JV91)=11,_xlfn.XLOOKUP(JV91,'Dispensed Ink Rates'!C:C,'Dispensed Ink Rates'!CS:CS),VLOOKUP(JV91,'Jan-2026 rates'!$E:$F,2,0)))</f>
        <v>0</v>
      </c>
      <c r="KK91" s="409"/>
      <c r="KL91" s="398">
        <f>IF(KK91=0,0,IF(LEN(JW91)=11,_xlfn.XLOOKUP(JW91,'Dispensed Ink Rates'!C:C,'Dispensed Ink Rates'!CS:CS),VLOOKUP(JW91,'Jan-2026 rates'!$E:$F,2,0)))</f>
        <v>0</v>
      </c>
      <c r="KM91" s="428"/>
      <c r="KN91" s="398">
        <f>IF(KM91=0,0,IF(LEN(JX91)=11,_xlfn.XLOOKUP(JX91,'Dispensed Ink Rates'!C:C,'Dispensed Ink Rates'!CS:CS),VLOOKUP(JX91,'Jan-2026 rates'!$E:$F,2,0)))</f>
        <v>0</v>
      </c>
      <c r="KO91" s="409"/>
      <c r="KP91" s="409"/>
      <c r="KQ91" s="411">
        <f t="shared" si="103"/>
        <v>0</v>
      </c>
      <c r="KR91" s="411">
        <f t="shared" si="104"/>
        <v>0</v>
      </c>
      <c r="KS91" s="410">
        <f t="shared" si="105"/>
        <v>0</v>
      </c>
      <c r="KT91" s="409">
        <f>5+5</f>
        <v>10</v>
      </c>
      <c r="KU91" s="409">
        <v>10</v>
      </c>
      <c r="KV91" s="409">
        <f>5+3</f>
        <v>8</v>
      </c>
      <c r="KW91" s="409">
        <v>15</v>
      </c>
      <c r="KX91" s="409">
        <v>10</v>
      </c>
      <c r="KY91" s="409">
        <v>15</v>
      </c>
      <c r="KZ91" s="409">
        <f>60+60+120+60</f>
        <v>300</v>
      </c>
      <c r="LA91" s="409">
        <v>0</v>
      </c>
      <c r="LB91" s="415">
        <v>0.8</v>
      </c>
      <c r="LC91" s="415">
        <v>0.2</v>
      </c>
      <c r="LD91" s="415"/>
      <c r="LE91" s="415"/>
      <c r="LF91" s="415"/>
      <c r="LG91" s="409">
        <v>0</v>
      </c>
      <c r="LH91" s="409">
        <f>300+260+224+56+5+5+5+5</f>
        <v>860</v>
      </c>
      <c r="LI91" s="409">
        <v>0</v>
      </c>
      <c r="LJ91" s="409">
        <v>0</v>
      </c>
      <c r="LK91" s="416">
        <f t="shared" si="61"/>
        <v>860</v>
      </c>
      <c r="LL91" s="416">
        <f t="shared" si="62"/>
        <v>860</v>
      </c>
      <c r="LM91" s="417">
        <f t="shared" si="63"/>
        <v>688</v>
      </c>
      <c r="LN91" s="417">
        <f>VLOOKUP($LM$8,'Jan-2026 rates'!$H:$I,2,0)</f>
        <v>0</v>
      </c>
      <c r="LO91" s="417">
        <f t="shared" si="64"/>
        <v>172</v>
      </c>
      <c r="LP91" s="417">
        <f>VLOOKUP($LO$8,'Jan-2026 rates'!$H:$I,2,0)</f>
        <v>0</v>
      </c>
      <c r="LQ91" s="417">
        <f t="shared" si="65"/>
        <v>0</v>
      </c>
      <c r="LR91" s="417">
        <f>VLOOKUP($LQ$8,'Jan-2026 rates'!$H:$I,2,0)</f>
        <v>0</v>
      </c>
      <c r="LS91" s="417">
        <f t="shared" si="66"/>
        <v>0</v>
      </c>
      <c r="LT91" s="417">
        <f>VLOOKUP($LS$8,'Jan-2026 rates'!$H:$I,2,0)</f>
        <v>0</v>
      </c>
      <c r="LU91" s="417">
        <f t="shared" si="67"/>
        <v>0</v>
      </c>
      <c r="LV91" s="417">
        <f>VLOOKUP($LU$8,'Jan-2026 rates'!$H:$I,2,0)</f>
        <v>0</v>
      </c>
      <c r="LW91" s="417">
        <f t="shared" si="68"/>
        <v>0</v>
      </c>
      <c r="LX91" s="417">
        <f t="shared" si="69"/>
        <v>0</v>
      </c>
      <c r="LY91" s="418">
        <f t="shared" si="70"/>
        <v>0</v>
      </c>
      <c r="LZ91" s="417"/>
      <c r="MA91" s="435">
        <f t="shared" si="71"/>
        <v>709</v>
      </c>
      <c r="MB91" s="282">
        <f t="shared" si="72"/>
        <v>1708</v>
      </c>
      <c r="MC91" s="283">
        <v>46</v>
      </c>
      <c r="MD91" s="284" t="str">
        <f t="shared" si="73"/>
        <v>FLINTSLFLINTSLFLINTSLFLINTSLFLINTSLFLINTSLFLINTSL</v>
      </c>
      <c r="ME91" s="293" t="str">
        <f t="shared" si="74"/>
        <v>+</v>
      </c>
      <c r="MF91" s="293" t="str">
        <f t="shared" si="75"/>
        <v>+</v>
      </c>
      <c r="MG91" s="293" t="str">
        <f t="shared" si="76"/>
        <v>+</v>
      </c>
      <c r="MH91" s="293" t="str">
        <f t="shared" si="77"/>
        <v>+</v>
      </c>
      <c r="MI91" s="293" t="str">
        <f t="shared" si="78"/>
        <v>+</v>
      </c>
      <c r="MJ91" s="293" t="str">
        <f t="shared" si="79"/>
        <v>+</v>
      </c>
      <c r="MK91" s="293" t="str">
        <f t="shared" si="80"/>
        <v>+</v>
      </c>
      <c r="ML91" s="293" t="str">
        <f t="shared" si="81"/>
        <v>NIL</v>
      </c>
      <c r="MM91" s="3" t="b">
        <f t="array" ref="MM91">OR(ME91:ML91="-")</f>
        <v>0</v>
      </c>
      <c r="MN91" s="285"/>
      <c r="MO91" s="401"/>
      <c r="MP91" s="286"/>
      <c r="MQ91" s="286"/>
      <c r="MR91" s="402"/>
      <c r="MS91" s="400"/>
      <c r="NH91" s="422"/>
      <c r="NJ91" s="421"/>
    </row>
    <row r="92" spans="1:374" s="1" customFormat="1" ht="16.5">
      <c r="A92" s="403">
        <v>46029</v>
      </c>
      <c r="B92" s="404" t="s">
        <v>1015</v>
      </c>
      <c r="C92" s="405" t="s">
        <v>3113</v>
      </c>
      <c r="D92" s="406">
        <v>47</v>
      </c>
      <c r="E92" s="404">
        <v>490</v>
      </c>
      <c r="F92" s="407">
        <v>26200</v>
      </c>
      <c r="G92" s="407" t="s">
        <v>1019</v>
      </c>
      <c r="H92" s="408" t="s">
        <v>1017</v>
      </c>
      <c r="I92" s="409">
        <v>1.3</v>
      </c>
      <c r="J92" s="405" t="s">
        <v>543</v>
      </c>
      <c r="K92" s="404" t="s">
        <v>3114</v>
      </c>
      <c r="L92" s="419" t="str">
        <f t="shared" si="54"/>
        <v>FLINTSL - BLACK</v>
      </c>
      <c r="M92" s="404">
        <v>27</v>
      </c>
      <c r="N92" s="410">
        <f>IF(M92=0,0,IF($LB92=70%,VLOOKUP($L92,'Jan-2026 rates'!$L:$R,4,0),IF($LB92=65%,VLOOKUP($L92,'Jan-2026 rates'!$L:$R,4,0),IF($LB92=40%,VLOOKUP($L92,'Jan-2026 rates'!$L:$R,5,0),IF($LB92=30%,VLOOKUP($L92,'Jan-2026 rates'!$L:$R,6,0),IF($LB92=100%,VLOOKUP($L92,'Jan-2026 rates'!$L:$R,7,0),IF($LB92=60%,VLOOKUP($L92,'Jan-2026 rates'!$L:$S,8,0),IF($LB92=80%,VLOOKUP($L92,'Jan-2026 rates'!L:T,9,0),0))))))))</f>
        <v>0</v>
      </c>
      <c r="O92" s="406"/>
      <c r="P92" s="404"/>
      <c r="Q92" s="410">
        <f>IF(P92=0,0,IF($LB92=70%,VLOOKUP($L92,'Jan-2026 rates'!$L:$R,4,0),IF($LB92=65%,VLOOKUP($L92,'Jan-2026 rates'!$L:$R,4,0),IF($LB92=40%,VLOOKUP($L92,'Jan-2026 rates'!$L:$R,5,0),IF($LB92=30%,VLOOKUP($L92,'Jan-2026 rates'!$L:$R,6,0),IF($LB92=100%,VLOOKUP($L92,'Jan-2026 rates'!$L:$R,7,0),IF($LB92=60%,VLOOKUP($L92,'Jan-2026 rates'!$L:$S,8,0),IF($LB92=80%,VLOOKUP($L92,'Jan-2026 rates'!L:T,9,0),0))))))))</f>
        <v>0</v>
      </c>
      <c r="R92" s="406" t="s">
        <v>1266</v>
      </c>
      <c r="S92" s="406"/>
      <c r="T92" s="406"/>
      <c r="U92" s="406"/>
      <c r="V92" s="406"/>
      <c r="W92" s="406"/>
      <c r="X92" s="406"/>
      <c r="Y92" s="406"/>
      <c r="Z92" s="404">
        <v>2</v>
      </c>
      <c r="AA92" s="398">
        <f>IF(Z92=0,0,IF(LEN(R92)=11,_xlfn.XLOOKUP(R92,'Dispensed Ink Rates'!C:C,'Dispensed Ink Rates'!CS:CS),VLOOKUP(R92,'Jan-2026 rates'!$E:$F,2,0)))</f>
        <v>0</v>
      </c>
      <c r="AB92" s="404"/>
      <c r="AC92" s="398">
        <f>IF(AB92=0,0,IF(LEN(S92)=11,_xlfn.XLOOKUP(S92,'Dispensed Ink Rates'!C:C,'Dispensed Ink Rates'!CS:CS),VLOOKUP(S92,'Jan-2026 rates'!$E:$F,2,0)))</f>
        <v>0</v>
      </c>
      <c r="AD92" s="404"/>
      <c r="AE92" s="398">
        <f>IF(AD92=0,0,IF(LEN(T92)=11,_xlfn.XLOOKUP(T92,'Dispensed Ink Rates'!C:C,'Dispensed Ink Rates'!CS:CS),VLOOKUP(T92,'Jan-2026 rates'!$E:$F,2,0)))</f>
        <v>0</v>
      </c>
      <c r="AF92" s="404"/>
      <c r="AG92" s="398">
        <f>IF(AF92=0,0,IF(LEN(U92)=11,_xlfn.XLOOKUP(U92,'Dispensed Ink Rates'!C:C,'Dispensed Ink Rates'!CS:CS),VLOOKUP(U92,'Jan-2026 rates'!$E:$F,2,0)))</f>
        <v>0</v>
      </c>
      <c r="AH92" s="404"/>
      <c r="AI92" s="398">
        <f>IF(AH92=0,0,IF(LEN(V92)=11,_xlfn.XLOOKUP(V92,'Dispensed Ink Rates'!C:C,'Dispensed Ink Rates'!CS:CS),VLOOKUP(V92,'Jan-2026 rates'!$E:$F,2,0)))</f>
        <v>0</v>
      </c>
      <c r="AJ92" s="404"/>
      <c r="AK92" s="398">
        <f>IF(AJ92=0,0,IF(LEN(W92)=11,_xlfn.XLOOKUP(W92,'Dispensed Ink Rates'!C:C,'Dispensed Ink Rates'!CS:CS),VLOOKUP(W92,'Jan-2026 rates'!$E:$F,2,0)))</f>
        <v>0</v>
      </c>
      <c r="AL92" s="404"/>
      <c r="AM92" s="398">
        <f>IF(AL92=0,0,IF(LEN(X92)=11,_xlfn.XLOOKUP(X92,'Dispensed Ink Rates'!C:C,'Dispensed Ink Rates'!CS:CS),VLOOKUP(X92,'Jan-2026 rates'!$E:$F,2,0)))</f>
        <v>0</v>
      </c>
      <c r="AN92" s="404"/>
      <c r="AO92" s="398">
        <f>IF(AN92=0,0,IF(LEN(Y92)=11,_xlfn.XLOOKUP(Y92,'Dispensed Ink Rates'!C:C,'Dispensed Ink Rates'!CS:CS),VLOOKUP(Y92,'Jan-2026 rates'!$E:$F,2,0)))</f>
        <v>0</v>
      </c>
      <c r="AP92" s="409" t="s">
        <v>1443</v>
      </c>
      <c r="AQ92" s="409">
        <v>27</v>
      </c>
      <c r="AR92" s="410">
        <f t="shared" si="82"/>
        <v>0</v>
      </c>
      <c r="AS92" s="411">
        <f t="shared" si="83"/>
        <v>12.117647058823529</v>
      </c>
      <c r="AT92" s="410">
        <f t="shared" si="84"/>
        <v>0</v>
      </c>
      <c r="AU92" s="405" t="s">
        <v>546</v>
      </c>
      <c r="AV92" s="409"/>
      <c r="AW92" s="420" t="str">
        <f t="shared" si="53"/>
        <v>FLINTSL - REFLEX BLUE</v>
      </c>
      <c r="AX92" s="409"/>
      <c r="AY92" s="411">
        <f>IF(AX92=0,0,IF($LB92=70%,VLOOKUP($AW92,'Jan-2026 rates'!$L:$R,4,0),IF($LB92=65%,VLOOKUP($AW92,'Jan-2026 rates'!$L:$R,4,0),IF($LB92=40%,VLOOKUP($AW92,'Jan-2026 rates'!$L:$R,5,0),IF($LB92=30%,VLOOKUP($AW92,'Jan-2026 rates'!$L:$R,6,0),IF($LB92=100%,VLOOKUP($AW92,'Jan-2026 rates'!$L:$R,7,0),IF($LB92=60%,VLOOKUP($AW92,'Jan-2026 rates'!$L:$S,8,0),IF($LB92=80%,VLOOKUP($AW92,'Jan-2026 rates'!L:T,9,0),0))))))))</f>
        <v>0</v>
      </c>
      <c r="AZ92" s="412"/>
      <c r="BA92" s="409"/>
      <c r="BB92" s="411">
        <f>IF(BA92=0,0,IF($LB92=70%,VLOOKUP($AW92,'Jan-2026 rates'!$L:$R,4,0),IF($LB92=65%,VLOOKUP($AW92,'Jan-2026 rates'!$L:$R,4,0),IF($LB92=40%,VLOOKUP($AW92,'Jan-2026 rates'!$L:$R,5,0),IF($LB92=30%,VLOOKUP($AW92,'Jan-2026 rates'!$L:$R,6,0),IF($LB92=100%,VLOOKUP($AW92,'Jan-2026 rates'!$L:$R,7,0),IF($LB92=60%,VLOOKUP($AW92,'Jan-2026 rates'!$L:$S,8,0),IF($LB92=80%,VLOOKUP($AW92,'Jan-2026 rates'!L:T,9,0),0))))))))</f>
        <v>0</v>
      </c>
      <c r="BC92" s="413">
        <v>9472</v>
      </c>
      <c r="BD92" s="412">
        <v>26507000017</v>
      </c>
      <c r="BE92" s="412"/>
      <c r="BF92" s="413"/>
      <c r="BG92" s="412"/>
      <c r="BH92" s="412"/>
      <c r="BI92" s="412"/>
      <c r="BJ92" s="412"/>
      <c r="BK92" s="409">
        <f>20+10</f>
        <v>30</v>
      </c>
      <c r="BL92" s="398">
        <f>IF(BK92=0,0,IF(LEN(BC92)=11,_xlfn.XLOOKUP(BC92,'Dispensed Ink Rates'!C:C,'Dispensed Ink Rates'!CS:CS),VLOOKUP(BC92,'Jan-2026 rates'!$E:$F,2,0)))</f>
        <v>0</v>
      </c>
      <c r="BM92" s="409">
        <f>4+2</f>
        <v>6</v>
      </c>
      <c r="BN92" s="398" t="e">
        <f>IF(BM92=0,0,IF(LEN(BD92)=11,_xlfn.XLOOKUP(BD92,'Dispensed Ink Rates'!C:C,'Dispensed Ink Rates'!CS:CS),VLOOKUP(BD92,'Jan-2026 rates'!$E:$F,2,0)))</f>
        <v>#N/A</v>
      </c>
      <c r="BO92" s="409"/>
      <c r="BP92" s="398">
        <f>IF(BO92=0,0,IF(LEN(BE92)=11,_xlfn.XLOOKUP(BE92,'Dispensed Ink Rates'!C:C,'Dispensed Ink Rates'!CS:CS),VLOOKUP(BE92,'Jan-2026 rates'!$E:$F,2,0)))</f>
        <v>0</v>
      </c>
      <c r="BQ92" s="409"/>
      <c r="BR92" s="398">
        <f>IF(BQ92=0,0,IF(LEN(BF92)=11,_xlfn.XLOOKUP(BF92,'Dispensed Ink Rates'!C:C,'Dispensed Ink Rates'!CS:CS),VLOOKUP(BF92,'Jan-2026 rates'!$E:$F,2,0)))</f>
        <v>0</v>
      </c>
      <c r="BS92" s="409"/>
      <c r="BT92" s="398">
        <f>IF(BS92=0,0,IF(LEN(BG92)=11,_xlfn.XLOOKUP(BG92,'Dispensed Ink Rates'!C:C,'Dispensed Ink Rates'!CS:CS),VLOOKUP(BG92,'Jan-2026 rates'!$E:$F,2,0)))</f>
        <v>0</v>
      </c>
      <c r="BU92" s="409"/>
      <c r="BV92" s="398">
        <f>IF(BU92=0,0,IF(LEN(BH92)=11,_xlfn.XLOOKUP(BH92,'Dispensed Ink Rates'!C:C,'Dispensed Ink Rates'!CS:CS),VLOOKUP(BH92,'Jan-2026 rates'!$E:$F,2,0)))</f>
        <v>0</v>
      </c>
      <c r="BW92" s="409"/>
      <c r="BX92" s="398">
        <f>IF(BW92=0,0,IF(LEN(BI92)=11,_xlfn.XLOOKUP(BI92,'Dispensed Ink Rates'!C:C,'Dispensed Ink Rates'!CS:CS),VLOOKUP(BI92,'Jan-2026 rates'!$E:$F,2,0)))</f>
        <v>0</v>
      </c>
      <c r="BY92" s="409"/>
      <c r="BZ92" s="398">
        <f>IF(BY92=0,0,IF(LEN(BJ92)=11,_xlfn.XLOOKUP(BJ92,'Dispensed Ink Rates'!C:C,'Dispensed Ink Rates'!CS:CS),VLOOKUP(BJ92,'Jan-2026 rates'!$E:$F,2,0)))</f>
        <v>0</v>
      </c>
      <c r="CA92" s="409" t="s">
        <v>1443</v>
      </c>
      <c r="CB92" s="409">
        <v>27</v>
      </c>
      <c r="CC92" s="411">
        <f t="shared" si="85"/>
        <v>0</v>
      </c>
      <c r="CD92" s="411">
        <f t="shared" si="86"/>
        <v>29.235294117647058</v>
      </c>
      <c r="CE92" s="410">
        <f t="shared" si="87"/>
        <v>0</v>
      </c>
      <c r="CF92" s="404" t="s">
        <v>857</v>
      </c>
      <c r="CG92" s="409" t="s">
        <v>3115</v>
      </c>
      <c r="CH92" s="420" t="str">
        <f t="shared" si="55"/>
        <v>FLINTSL - RED</v>
      </c>
      <c r="CI92" s="409">
        <v>28</v>
      </c>
      <c r="CJ92" s="411">
        <f>IF(CI92=0,0,IF($LB92=70%,VLOOKUP($CH92,'Jan-2026 rates'!$L:$R,4,0),IF($LB92=65%,VLOOKUP($CH92,'Jan-2026 rates'!$L:$R,4,0),IF($LB92=40%,VLOOKUP($CH92,'Jan-2026 rates'!$L:$R,5,0),IF($LB92=30%,VLOOKUP($CH92,'Jan-2026 rates'!$L:$R,6,0),IF($LB92=100%,VLOOKUP($CH92,'Jan-2026 rates'!$L:$R,7,0),IF($LB92=60%,VLOOKUP($CH92,'Jan-2026 rates'!$L:$S,8,0),IF($LB92=80%,VLOOKUP($CH92,'Jan-2026 rates'!L:T,9,0),0))))))))</f>
        <v>0</v>
      </c>
      <c r="CK92" s="412"/>
      <c r="CL92" s="409"/>
      <c r="CM92" s="411">
        <f>IF(CL92=0,0,IF($LB92=70%,VLOOKUP($CH92,'Jan-2026 rates'!$L:$R,4,0),IF($LB92=65%,VLOOKUP($CH92,'Jan-2026 rates'!$L:$R,4,0),IF($LB92=40%,VLOOKUP($CH92,'Jan-2026 rates'!$L:$R,5,0),IF($LB92=30%,VLOOKUP($CH92,'Jan-2026 rates'!$L:$R,6,0),IF($LB92=100%,VLOOKUP($CH92,'Jan-2026 rates'!$L:$R,7,0),IF($LB92=60%,VLOOKUP($CH92,'Jan-2026 rates'!$L:$S,8,0),IF($LB92=80%,VLOOKUP($CH92,'Jan-2026 rates'!L:T,9,0),0))))))))</f>
        <v>0</v>
      </c>
      <c r="CN92" s="426">
        <v>25863000007</v>
      </c>
      <c r="CO92" s="427">
        <v>26508000003</v>
      </c>
      <c r="CP92" s="426"/>
      <c r="CQ92" s="426"/>
      <c r="CR92" s="428"/>
      <c r="CS92" s="428"/>
      <c r="CT92" s="428"/>
      <c r="CU92" s="428"/>
      <c r="CV92" s="409">
        <v>6</v>
      </c>
      <c r="CW92" s="398" t="e">
        <f>IF(CV92=0,0,IF(LEN(CN92)=11,_xlfn.XLOOKUP(CN92,'Dispensed Ink Rates'!C:C,'Dispensed Ink Rates'!CS:CS),VLOOKUP(CN92,'Jan-2026 rates'!$E:$F,2,0)))</f>
        <v>#N/A</v>
      </c>
      <c r="CX92" s="409">
        <v>4</v>
      </c>
      <c r="CY92" s="398" t="e">
        <f>IF(CX92=0,0,IF(LEN(CO92)=11,_xlfn.XLOOKUP(CO92,'Dispensed Ink Rates'!C:C,'Dispensed Ink Rates'!CS:CS),VLOOKUP(CO92,'Jan-2026 rates'!$E:$F,2,0)))</f>
        <v>#N/A</v>
      </c>
      <c r="CZ92" s="409"/>
      <c r="DA92" s="398">
        <f>IF(CZ92=0,0,IF(LEN(CP92)=11,_xlfn.XLOOKUP(CP92,'Dispensed Ink Rates'!C:C,'Dispensed Ink Rates'!CS:CS),VLOOKUP(CP92,'Jan-2026 rates'!$E:$F,2,0)))</f>
        <v>0</v>
      </c>
      <c r="DB92" s="409"/>
      <c r="DC92" s="398">
        <f>IF(DB92=0,0,IF(LEN(CQ92)=11,_xlfn.XLOOKUP(CQ92,'Dispensed Ink Rates'!C:C,'Dispensed Ink Rates'!CS:CS),VLOOKUP(CQ92,'Jan-2026 rates'!$E:$F,2,0)))</f>
        <v>0</v>
      </c>
      <c r="DD92" s="409"/>
      <c r="DE92" s="398">
        <f>IF(DD92=0,0,IF(LEN(CR92)=11,_xlfn.XLOOKUP(CR92,'Dispensed Ink Rates'!C:C,'Dispensed Ink Rates'!CS:CS),VLOOKUP(CR92,'Jan-2026 rates'!$E:$F,2,0)))</f>
        <v>0</v>
      </c>
      <c r="DF92" s="409"/>
      <c r="DG92" s="398">
        <f>IF(DF92=0,0,IF(LEN(CS92)=11,_xlfn.XLOOKUP(CS92,'Dispensed Ink Rates'!C:C,'Dispensed Ink Rates'!CS:CS),VLOOKUP(CS92,'Jan-2026 rates'!$E:$F,2,0)))</f>
        <v>0</v>
      </c>
      <c r="DH92" s="409"/>
      <c r="DI92" s="398">
        <f>IF(DH92=0,0,IF(LEN(CT92)=11,_xlfn.XLOOKUP(CT92,'Dispensed Ink Rates'!C:C,'Dispensed Ink Rates'!CS:CS),VLOOKUP(CT92,'Jan-2026 rates'!$E:$F,2,0)))</f>
        <v>0</v>
      </c>
      <c r="DJ92" s="409"/>
      <c r="DK92" s="398">
        <f>IF(DJ92=0,0,IF(LEN(CU92)=11,_xlfn.XLOOKUP(CU92,'Dispensed Ink Rates'!C:C,'Dispensed Ink Rates'!CS:CS),VLOOKUP(CU92,'Jan-2026 rates'!$E:$F,2,0)))</f>
        <v>0</v>
      </c>
      <c r="DL92" s="409" t="s">
        <v>1443</v>
      </c>
      <c r="DM92" s="409">
        <v>29</v>
      </c>
      <c r="DN92" s="411">
        <f t="shared" si="88"/>
        <v>0</v>
      </c>
      <c r="DO92" s="411">
        <f t="shared" si="89"/>
        <v>19.117647058823529</v>
      </c>
      <c r="DP92" s="410">
        <f t="shared" si="90"/>
        <v>0</v>
      </c>
      <c r="DQ92" s="405" t="s">
        <v>855</v>
      </c>
      <c r="DR92" s="409" t="s">
        <v>3116</v>
      </c>
      <c r="DS92" s="420" t="str">
        <f t="shared" si="56"/>
        <v>FLINTSL - CYAN</v>
      </c>
      <c r="DT92" s="409">
        <v>30</v>
      </c>
      <c r="DU92" s="411">
        <f>IF(DT92=0,0,IF($LB92=70%,VLOOKUP($DS92,'Jan-2026 rates'!$L:$R,4,0),IF($LB92=65%,VLOOKUP($DS92,'Jan-2026 rates'!$L:$R,4,0),IF($LB92=40%,VLOOKUP($DS92,'Jan-2026 rates'!$L:$R,5,0),IF($LB92=30%,VLOOKUP($DS92,'Jan-2026 rates'!$L:$R,6,0),IF($LB92=100%,VLOOKUP($DS92,'Jan-2026 rates'!$L:$R,7,0),IF($LB92=60%,VLOOKUP($DS92,'Jan-2026 rates'!$L:$S,8,0),IF($LB92=80%,VLOOKUP($DS92,'Jan-2026 rates'!L:T,9,0),0))))))))</f>
        <v>0</v>
      </c>
      <c r="DV92" s="412"/>
      <c r="DW92" s="409"/>
      <c r="DX92" s="411">
        <f>IF(DW92=0,0,IF($LB92=70%,VLOOKUP($DS92,'Jan-2026 rates'!$L:$R,4,0),IF($LB92=65%,VLOOKUP($DS92,'Jan-2026 rates'!$L:$R,4,0),IF($LB92=40%,VLOOKUP($DS92,'Jan-2026 rates'!$L:$R,5,0),IF($LB92=30%,VLOOKUP($DS92,'Jan-2026 rates'!$L:$R,6,0),IF($LB92=100%,VLOOKUP($DS92,'Jan-2026 rates'!$L:$R,7,0),IF($LB92=60%,VLOOKUP($DS92,'Jan-2026 rates'!$L:$S,8,0),IF($LB92=80%,VLOOKUP($DS92,'Jan-2026 rates'!L:T,9,0),0))))))))</f>
        <v>0</v>
      </c>
      <c r="DY92" s="413">
        <v>26505000032</v>
      </c>
      <c r="DZ92" s="413" t="s">
        <v>1266</v>
      </c>
      <c r="EA92" s="412"/>
      <c r="EB92" s="412"/>
      <c r="EC92" s="412"/>
      <c r="ED92" s="412"/>
      <c r="EE92" s="412"/>
      <c r="EF92" s="412"/>
      <c r="EG92" s="409">
        <v>25</v>
      </c>
      <c r="EH92" s="398" t="e">
        <f>IF(EG92=0,0,IF(LEN(DY92)=11,_xlfn.XLOOKUP(DY92,'Dispensed Ink Rates'!C:C,'Dispensed Ink Rates'!CS:CS),VLOOKUP(DY92,'Jan-2026 rates'!$E:$F,2,0)))</f>
        <v>#N/A</v>
      </c>
      <c r="EI92" s="409">
        <v>7</v>
      </c>
      <c r="EJ92" s="398">
        <f>IF(EI92=0,0,IF(LEN(DZ92)=11,_xlfn.XLOOKUP(DZ92,'Dispensed Ink Rates'!C:C,'Dispensed Ink Rates'!CS:CS),VLOOKUP(DZ92,'Jan-2026 rates'!$E:$F,2,0)))</f>
        <v>0</v>
      </c>
      <c r="EK92" s="409"/>
      <c r="EL92" s="398">
        <f>IF(EK92=0,0,IF(LEN(EA92)=11,_xlfn.XLOOKUP(EA92,'Dispensed Ink Rates'!C:C,'Dispensed Ink Rates'!CS:CS),VLOOKUP(EA92,'Jan-2026 rates'!$E:$F,2,0)))</f>
        <v>0</v>
      </c>
      <c r="EM92" s="409"/>
      <c r="EN92" s="398">
        <f>IF(EM92=0,0,IF(LEN(EB92)=11,_xlfn.XLOOKUP(EB92,'Dispensed Ink Rates'!C:C,'Dispensed Ink Rates'!CS:CS),VLOOKUP(EB92,'Jan-2026 rates'!$E:$F,2,0)))</f>
        <v>0</v>
      </c>
      <c r="EO92" s="409"/>
      <c r="EP92" s="398">
        <f>IF(EO92=0,0,IF(LEN(EC92)=11,_xlfn.XLOOKUP(EC92,'Dispensed Ink Rates'!C:C,'Dispensed Ink Rates'!CS:CS),VLOOKUP(EC92,'Jan-2026 rates'!$E:$F,2,0)))</f>
        <v>0</v>
      </c>
      <c r="EQ92" s="409"/>
      <c r="ER92" s="398">
        <f>IF(EQ92=0,0,IF(LEN(ED92)=11,_xlfn.XLOOKUP(ED92,'Dispensed Ink Rates'!C:C,'Dispensed Ink Rates'!CS:CS),VLOOKUP(ED92,'Jan-2026 rates'!$E:$F,2,0)))</f>
        <v>0</v>
      </c>
      <c r="ES92" s="409"/>
      <c r="ET92" s="398">
        <f>IF(ES92=0,0,IF(LEN(EE92)=11,_xlfn.XLOOKUP(EE92,'Dispensed Ink Rates'!C:C,'Dispensed Ink Rates'!CS:CS),VLOOKUP(EE92,'Jan-2026 rates'!$E:$F,2,0)))</f>
        <v>0</v>
      </c>
      <c r="EU92" s="409"/>
      <c r="EV92" s="398">
        <f>IF(EU92=0,0,IF(LEN(EF92)=11,_xlfn.XLOOKUP(EF92,'Dispensed Ink Rates'!C:C,'Dispensed Ink Rates'!CS:CS),VLOOKUP(EF92,'Jan-2026 rates'!$E:$F,2,0)))</f>
        <v>0</v>
      </c>
      <c r="EW92" s="409" t="s">
        <v>1443</v>
      </c>
      <c r="EX92" s="409">
        <v>27</v>
      </c>
      <c r="EY92" s="411">
        <f t="shared" si="91"/>
        <v>0</v>
      </c>
      <c r="EZ92" s="411">
        <f t="shared" si="92"/>
        <v>65.352941176470594</v>
      </c>
      <c r="FA92" s="410">
        <f t="shared" si="93"/>
        <v>0</v>
      </c>
      <c r="FB92" s="405" t="s">
        <v>544</v>
      </c>
      <c r="FC92" s="409" t="s">
        <v>3117</v>
      </c>
      <c r="FD92" s="420" t="str">
        <f t="shared" si="57"/>
        <v>FLINTSL - MAGENTA</v>
      </c>
      <c r="FE92" s="409">
        <v>30</v>
      </c>
      <c r="FF92" s="411">
        <f>IF(FE92=0,0,IF($LB92=70%,VLOOKUP($FD92,'Jan-2026 rates'!$L:$R,4,0),IF($LB92=65%,VLOOKUP($FD92,'Jan-2026 rates'!$L:$R,4,0),IF($LB92=40%,VLOOKUP($FD92,'Jan-2026 rates'!$L:$R,5,0),IF($LB92=30%,VLOOKUP($FD92,'Jan-2026 rates'!$L:$R,6,0),IF($LB92=100%,VLOOKUP($FD92,'Jan-2026 rates'!$L:$R,7,0),IF($LB92=60%,VLOOKUP($FD92,'Jan-2026 rates'!$L:$S,8,0),IF($LB92=80%,VLOOKUP($FD92,'Jan-2026 rates'!L:T,9,0),0))))))))</f>
        <v>0</v>
      </c>
      <c r="FG92" s="412"/>
      <c r="FH92" s="409"/>
      <c r="FI92" s="411">
        <f>IF(FH92=0,0,IF($LB92=70%,VLOOKUP($FD92,'Jan-2026 rates'!$L:$R,4,0),IF($LB92=65%,VLOOKUP($FD92,'Jan-2026 rates'!$L:$R,4,0),IF($LB92=40%,VLOOKUP($FD92,'Jan-2026 rates'!$L:$R,5,0),IF($LB92=30%,VLOOKUP($FD92,'Jan-2026 rates'!$L:$R,6,0),IF($LB92=100%,VLOOKUP($FD92,'Jan-2026 rates'!$L:$R,7,0),IF($LB92=60%,VLOOKUP($FD92,'Jan-2026 rates'!$L:$S,8,0),IF($LB92=80%,VLOOKUP($FD92,'Jan-2026 rates'!L:T,9,0),0))))))))</f>
        <v>0</v>
      </c>
      <c r="FJ92" s="413" t="s">
        <v>1266</v>
      </c>
      <c r="FK92" s="413"/>
      <c r="FL92" s="413"/>
      <c r="FM92" s="412"/>
      <c r="FN92" s="412"/>
      <c r="FO92" s="412"/>
      <c r="FP92" s="412"/>
      <c r="FQ92" s="412"/>
      <c r="FR92" s="409">
        <v>6</v>
      </c>
      <c r="FS92" s="398">
        <f>IF(FR92=0,0,IF(LEN(FJ92)=11,_xlfn.XLOOKUP(FJ92,'Dispensed Ink Rates'!C:C,'Dispensed Ink Rates'!CS:CS),VLOOKUP(FJ92,'Jan-2026 rates'!$E:$F,2,0)))</f>
        <v>0</v>
      </c>
      <c r="FT92" s="409"/>
      <c r="FU92" s="398">
        <f>IF(FT92=0,0,IF(LEN(FK92)=11,_xlfn.XLOOKUP(FK92,'Dispensed Ink Rates'!C:C,'Dispensed Ink Rates'!CS:CS),VLOOKUP(FK92,'Jan-2026 rates'!$E:$F,2,0)))</f>
        <v>0</v>
      </c>
      <c r="FV92" s="409"/>
      <c r="FW92" s="398">
        <f>IF(FV92=0,0,IF(LEN(FL92)=11,_xlfn.XLOOKUP(FL92,'Dispensed Ink Rates'!C:C,'Dispensed Ink Rates'!CS:CS),VLOOKUP(FL92,'Jan-2026 rates'!$E:$F,2,0)))</f>
        <v>0</v>
      </c>
      <c r="FX92" s="409"/>
      <c r="FY92" s="398">
        <f>IF(FX92=0,0,IF(LEN(FM92)=11,_xlfn.XLOOKUP(FM92,'Dispensed Ink Rates'!C:C,'Dispensed Ink Rates'!CS:CS),VLOOKUP(FM92,'Jan-2026 rates'!$E:$F,2,0)))</f>
        <v>0</v>
      </c>
      <c r="FZ92" s="409"/>
      <c r="GA92" s="398">
        <f>IF(FZ92=0,0,IF(LEN(FN92)=11,_xlfn.XLOOKUP(FN92,'Dispensed Ink Rates'!C:C,'Dispensed Ink Rates'!CS:CS),VLOOKUP(FN92,'Jan-2026 rates'!$E:$F,2,0)))</f>
        <v>0</v>
      </c>
      <c r="GB92" s="409"/>
      <c r="GC92" s="398">
        <f>IF(GB92=0,0,IF(LEN(FO92)=11,_xlfn.XLOOKUP(FO92,'Dispensed Ink Rates'!C:C,'Dispensed Ink Rates'!CS:CS),VLOOKUP(FO92,'Jan-2026 rates'!$E:$F,2,0)))</f>
        <v>0</v>
      </c>
      <c r="GD92" s="409"/>
      <c r="GE92" s="398">
        <f>IF(GD92=0,0,IF(LEN(FP92)=11,_xlfn.XLOOKUP(FP92,'Dispensed Ink Rates'!C:C,'Dispensed Ink Rates'!CS:CS),VLOOKUP(FP92,'Jan-2026 rates'!$E:$F,2,0)))</f>
        <v>0</v>
      </c>
      <c r="GF92" s="409"/>
      <c r="GG92" s="398">
        <f>IF(GF92=0,0,IF(LEN(FQ92)=11,_xlfn.XLOOKUP(FQ92,'Dispensed Ink Rates'!C:C,'Dispensed Ink Rates'!CS:CS),VLOOKUP(FQ92,'Jan-2026 rates'!$E:$F,2,0)))</f>
        <v>0</v>
      </c>
      <c r="GH92" s="409" t="s">
        <v>1443</v>
      </c>
      <c r="GI92" s="409">
        <v>28</v>
      </c>
      <c r="GJ92" s="411">
        <f t="shared" si="94"/>
        <v>0</v>
      </c>
      <c r="GK92" s="411">
        <f t="shared" si="95"/>
        <v>18.117647058823529</v>
      </c>
      <c r="GL92" s="410">
        <f t="shared" si="96"/>
        <v>0</v>
      </c>
      <c r="GM92" s="405" t="s">
        <v>545</v>
      </c>
      <c r="GN92" s="409" t="s">
        <v>3118</v>
      </c>
      <c r="GO92" s="420" t="str">
        <f t="shared" si="58"/>
        <v>FLINTSL - YELLOW</v>
      </c>
      <c r="GP92" s="409">
        <v>32</v>
      </c>
      <c r="GQ92" s="411">
        <f>IF(GP92=0,0,IF($LB92=70%,VLOOKUP($GO92,'Jan-2026 rates'!$L:$R,4,0),IF($LB92=65%,VLOOKUP($GO92,'Jan-2026 rates'!$L:$R,4,0),IF($LB92=40%,VLOOKUP($GO92,'Jan-2026 rates'!$L:$R,5,0),IF($LB92=30%,VLOOKUP($GO92,'Jan-2026 rates'!$L:$R,6,0),IF($LB92=100%,VLOOKUP($GO92,'Jan-2026 rates'!$L:$R,7,0),IF($LB92=60%,VLOOKUP($GO92,'Jan-2026 rates'!$L:$S,8,0),IF($LB92=80%,VLOOKUP($GO92,'Jan-2026 rates'!L:T,9,0),0))))))))</f>
        <v>0</v>
      </c>
      <c r="GR92" s="412"/>
      <c r="GS92" s="409"/>
      <c r="GT92" s="411">
        <f>IF(GS92=0,0,IF($LB92=70%,VLOOKUP($GO92,'Jan-2026 rates'!$L:$R,4,0),IF($LB92=65%,VLOOKUP($GO92,'Jan-2026 rates'!$L:$R,4,0),IF($LB92=40%,VLOOKUP($GO92,'Jan-2026 rates'!$L:$R,5,0),IF($LB92=30%,VLOOKUP($GO92,'Jan-2026 rates'!$L:$R,6,0),IF($LB92=100%,VLOOKUP($GO92,'Jan-2026 rates'!$L:$R,7,0),IF($LB92=60%,VLOOKUP($GO92,'Jan-2026 rates'!$L:$S,8,0),IF($LB92=80%,VLOOKUP($GO92,'Jan-2026 rates'!L:T,9,0),0))))))))</f>
        <v>0</v>
      </c>
      <c r="GU92" s="413">
        <v>26507000019</v>
      </c>
      <c r="GV92" s="413"/>
      <c r="GW92" s="412"/>
      <c r="GX92" s="412"/>
      <c r="GY92" s="412"/>
      <c r="GZ92" s="412"/>
      <c r="HA92" s="412"/>
      <c r="HB92" s="412"/>
      <c r="HC92" s="409">
        <v>6</v>
      </c>
      <c r="HD92" s="398" t="e">
        <f>IF(HC92=0,0,IF(LEN(GU92)=11,_xlfn.XLOOKUP(GU92,'Dispensed Ink Rates'!C:C,'Dispensed Ink Rates'!CS:CS),VLOOKUP(GU92,'Jan-2026 rates'!$E:$F,2,0)))</f>
        <v>#N/A</v>
      </c>
      <c r="HE92" s="409"/>
      <c r="HF92" s="398">
        <f>IF(HE92=0,0,IF(LEN(GV92)=11,_xlfn.XLOOKUP(GV92,'Dispensed Ink Rates'!C:C,'Dispensed Ink Rates'!CS:CS),VLOOKUP(GV92,'Jan-2026 rates'!$E:$F,2,0)))</f>
        <v>0</v>
      </c>
      <c r="HG92" s="409"/>
      <c r="HH92" s="398">
        <f>IF(HG92=0,0,IF(LEN(GW92)=11,_xlfn.XLOOKUP(GW92,'Dispensed Ink Rates'!C:C,'Dispensed Ink Rates'!CS:CS),VLOOKUP(GW92,'Jan-2026 rates'!$E:$F,2,0)))</f>
        <v>0</v>
      </c>
      <c r="HI92" s="409"/>
      <c r="HJ92" s="398">
        <f>IF(HI92=0,0,IF(LEN(GX92)=11,_xlfn.XLOOKUP(GX92,'Dispensed Ink Rates'!C:C,'Dispensed Ink Rates'!CS:CS),VLOOKUP(GX92,'Jan-2026 rates'!$E:$F,2,0)))</f>
        <v>0</v>
      </c>
      <c r="HK92" s="409"/>
      <c r="HL92" s="398">
        <f>IF(HK92=0,0,IF(LEN(GY92)=11,_xlfn.XLOOKUP(GY92,'Dispensed Ink Rates'!C:C,'Dispensed Ink Rates'!CS:CS),VLOOKUP(GY92,'Jan-2026 rates'!$E:$F,2,0)))</f>
        <v>0</v>
      </c>
      <c r="HM92" s="409"/>
      <c r="HN92" s="398">
        <f>IF(HM92=0,0,IF(LEN(GZ92)=11,_xlfn.XLOOKUP(GZ92,'Dispensed Ink Rates'!C:C,'Dispensed Ink Rates'!CS:CS),VLOOKUP(GZ92,'Jan-2026 rates'!$E:$F,2,0)))</f>
        <v>0</v>
      </c>
      <c r="HO92" s="409"/>
      <c r="HP92" s="398">
        <f>IF(HO92=0,0,IF(LEN(HA92)=11,_xlfn.XLOOKUP(HA92,'Dispensed Ink Rates'!C:C,'Dispensed Ink Rates'!CS:CS),VLOOKUP(HA92,'Jan-2026 rates'!$E:$F,2,0)))</f>
        <v>0</v>
      </c>
      <c r="HQ92" s="409"/>
      <c r="HR92" s="398">
        <f>IF(HQ92=0,0,IF(LEN(HB92)=11,_xlfn.XLOOKUP(HB92,'Dispensed Ink Rates'!C:C,'Dispensed Ink Rates'!CS:CS),VLOOKUP(HB92,'Jan-2026 rates'!$E:$F,2,0)))</f>
        <v>0</v>
      </c>
      <c r="HS92" s="409" t="s">
        <v>1443</v>
      </c>
      <c r="HT92" s="409">
        <v>29</v>
      </c>
      <c r="HU92" s="411">
        <f t="shared" si="97"/>
        <v>0</v>
      </c>
      <c r="HV92" s="411">
        <f t="shared" si="98"/>
        <v>19.117647058823529</v>
      </c>
      <c r="HW92" s="414">
        <f t="shared" si="99"/>
        <v>0</v>
      </c>
      <c r="HX92" s="405" t="s">
        <v>856</v>
      </c>
      <c r="HY92" s="409" t="s">
        <v>3119</v>
      </c>
      <c r="HZ92" s="420" t="str">
        <f t="shared" si="59"/>
        <v>FLINTSL - WHITE</v>
      </c>
      <c r="IA92" s="409">
        <v>24</v>
      </c>
      <c r="IB92" s="411">
        <f>IF(IA92=0,0,IF($LB92=70%,VLOOKUP($HZ92,'Jan-2026 rates'!$L:$R,4,0),IF($LB92=65%,VLOOKUP($HZ92,'Jan-2026 rates'!$L:$R,4,0),IF($LB92=40%,VLOOKUP($HZ92,'Jan-2026 rates'!$L:$R,5,0),IF($LB92=30%,VLOOKUP($HZ92,'Jan-2026 rates'!$L:$R,6,0),IF($LB92=100%,VLOOKUP($HZ92,'Jan-2026 rates'!$L:$R,7,0),IF($LB92=60%,VLOOKUP($HZ92,'Jan-2026 rates'!$L:$S,8,0),IF($LB92=80%,VLOOKUP($HZ92,'Jan-2026 rates'!L:T,9,0),0))))))))</f>
        <v>0</v>
      </c>
      <c r="IC92" s="412"/>
      <c r="ID92" s="409"/>
      <c r="IE92" s="411">
        <f>IF(ID92=0,0,IF($LB92=70%,VLOOKUP($HZ92,'Jan-2026 rates'!$L:$R,4,0),IF($LB92=65%,VLOOKUP($HZ92,'Jan-2026 rates'!$L:$R,4,0),IF($LB92=40%,VLOOKUP($HZ92,'Jan-2026 rates'!$L:$R,5,0),IF($LB92=30%,VLOOKUP($HZ92,'Jan-2026 rates'!$L:$R,6,0),IF($LB92=100%,VLOOKUP($HZ92,'Jan-2026 rates'!$L:$R,7,0),IF($LB92=60%,VLOOKUP($HZ92,'Jan-2026 rates'!$L:$S,8,0),IF($LB92=80%,VLOOKUP($HZ92,'Jan-2026 rates'!L:T,9,0),0))))))))</f>
        <v>0</v>
      </c>
      <c r="IF92" s="412" t="s">
        <v>484</v>
      </c>
      <c r="IG92" s="413"/>
      <c r="IH92" s="412"/>
      <c r="II92" s="412"/>
      <c r="IJ92" s="412"/>
      <c r="IK92" s="412"/>
      <c r="IL92" s="412"/>
      <c r="IM92" s="412"/>
      <c r="IN92" s="409">
        <f>25+10+25</f>
        <v>60</v>
      </c>
      <c r="IO92" s="398">
        <f>IF(IN92=0,0,IF(LEN(IF92)=11,_xlfn.XLOOKUP(IF92,'Dispensed Ink Rates'!C:C,'Dispensed Ink Rates'!CS:CS),VLOOKUP(IF92,'Jan-2026 rates'!$E:$F,2,0)))</f>
        <v>0</v>
      </c>
      <c r="IP92" s="409"/>
      <c r="IQ92" s="398">
        <f>IF(IP92=0,0,IF(LEN(IG92)=11,_xlfn.XLOOKUP(IG92,'Dispensed Ink Rates'!C:C,'Dispensed Ink Rates'!CS:CS),VLOOKUP(IG92,'Jan-2026 rates'!$E:$F,2,0)))</f>
        <v>0</v>
      </c>
      <c r="IR92" s="409"/>
      <c r="IS92" s="398">
        <f>IF(IR92=0,0,IF(LEN(IH92)=11,_xlfn.XLOOKUP(IH92,'Dispensed Ink Rates'!C:C,'Dispensed Ink Rates'!CS:CS),VLOOKUP(IH92,'Jan-2026 rates'!$E:$F,2,0)))</f>
        <v>0</v>
      </c>
      <c r="IT92" s="409"/>
      <c r="IU92" s="398">
        <f>IF(IT92=0,0,IF(LEN(II92)=11,_xlfn.XLOOKUP(II92,'Dispensed Ink Rates'!C:C,'Dispensed Ink Rates'!CS:CS),VLOOKUP(II92,'Jan-2026 rates'!$E:$F,2,0)))</f>
        <v>0</v>
      </c>
      <c r="IV92" s="409"/>
      <c r="IW92" s="398">
        <f>IF(IV92=0,0,IF(LEN(IJ92)=11,_xlfn.XLOOKUP(IJ92,'Dispensed Ink Rates'!C:C,'Dispensed Ink Rates'!CS:CS),VLOOKUP(IJ92,'Jan-2026 rates'!$E:$F,2,0)))</f>
        <v>0</v>
      </c>
      <c r="IX92" s="409"/>
      <c r="IY92" s="398">
        <f>IF(IX92=0,0,IF(LEN(IK92)=11,_xlfn.XLOOKUP(IK92,'Dispensed Ink Rates'!C:C,'Dispensed Ink Rates'!CS:CS),VLOOKUP(IK92,'Jan-2026 rates'!$E:$F,2,0)))</f>
        <v>0</v>
      </c>
      <c r="IZ92" s="409"/>
      <c r="JA92" s="398">
        <f>IF(IZ92=0,0,IF(LEN(IL92)=11,_xlfn.XLOOKUP(IL92,'Dispensed Ink Rates'!C:C,'Dispensed Ink Rates'!CS:CS),VLOOKUP(IL92,'Jan-2026 rates'!$E:$F,2,0)))</f>
        <v>0</v>
      </c>
      <c r="JB92" s="409"/>
      <c r="JC92" s="398">
        <f>IF(JB92=0,0,IF(LEN(IM92)=11,_xlfn.XLOOKUP(IM92,'Dispensed Ink Rates'!C:C,'Dispensed Ink Rates'!CS:CS),VLOOKUP(IM92,'Jan-2026 rates'!$E:$F,2,0)))</f>
        <v>0</v>
      </c>
      <c r="JD92" s="409" t="s">
        <v>1443</v>
      </c>
      <c r="JE92" s="409">
        <v>24</v>
      </c>
      <c r="JF92" s="411">
        <f t="shared" si="100"/>
        <v>0</v>
      </c>
      <c r="JG92" s="411">
        <f t="shared" si="101"/>
        <v>140.94117647058823</v>
      </c>
      <c r="JH92" s="410">
        <f t="shared" si="102"/>
        <v>0</v>
      </c>
      <c r="JI92" s="405"/>
      <c r="JJ92" s="409"/>
      <c r="JK92" s="420" t="str">
        <f t="shared" si="60"/>
        <v xml:space="preserve"> - </v>
      </c>
      <c r="JL92" s="409"/>
      <c r="JM92" s="411">
        <f>IF(JL92=0,0,IF($LB92=70%,VLOOKUP($JK92,'Jan-2026 rates'!$L:$R,4,0),IF($LB92=65%,VLOOKUP($JK92,'Jan-2026 rates'!$L:$R,4,0),IF($LB92=40%,VLOOKUP($JK92,'Jan-2026 rates'!$L:$R,5,0),IF($LB92=30%,VLOOKUP($JK92,'Jan-2026 rates'!$L:$R,6,0),IF($LB92=100%,VLOOKUP($JK92,'Jan-2026 rates'!$L:$R,7,0),IF($LB92=60%,VLOOKUP($JK92,'Jan-2026 rates'!$L:$S,8,0),IF($LB92=80%,VLOOKUP($JK92,'Jan-2026 rates'!L:T,9,0),0))))))))</f>
        <v>0</v>
      </c>
      <c r="JN92" s="412"/>
      <c r="JO92" s="409"/>
      <c r="JP92" s="411">
        <f>IF(JO92=0,0,IF($LB92=70%,VLOOKUP($JK92,'Jan-2026 rates'!$L:$R,4,0),IF($LB92=65%,VLOOKUP($JK92,'Jan-2026 rates'!$L:$R,4,0),IF($LB92=40%,VLOOKUP($JK92,'Jan-2026 rates'!$L:$R,5,0),IF($LB92=30%,VLOOKUP($JK92,'Jan-2026 rates'!$L:$R,6,0),IF($LB92=100%,VLOOKUP($JK92,'Jan-2026 rates'!$L:$R,7,0),IF($LB92=60%,VLOOKUP($JK92,'Jan-2026 rates'!$L:$S,8,0),IF($LB92=80%,VLOOKUP($JK92,'Jan-2026 rates'!L:T,9,0),0))))))))</f>
        <v>0</v>
      </c>
      <c r="JQ92" s="413"/>
      <c r="JR92" s="412"/>
      <c r="JS92" s="413"/>
      <c r="JT92" s="413"/>
      <c r="JU92" s="412"/>
      <c r="JV92" s="412"/>
      <c r="JW92" s="412"/>
      <c r="JX92" s="412"/>
      <c r="JY92" s="409"/>
      <c r="JZ92" s="398">
        <f>IF(JY92=0,0,IF(LEN(JQ92)=11,_xlfn.XLOOKUP(JQ92,'Dispensed Ink Rates'!C:C,'Dispensed Ink Rates'!CS:CS),VLOOKUP(JQ92,'Jan-2026 rates'!$E:$F,2,0)))</f>
        <v>0</v>
      </c>
      <c r="KA92" s="409"/>
      <c r="KB92" s="398">
        <f>IF(KA92=0,0,IF(LEN(JR92)=11,_xlfn.XLOOKUP(JR92,'Dispensed Ink Rates'!C:C,'Dispensed Ink Rates'!CS:CS),VLOOKUP(JR92,'Jan-2026 rates'!$E:$F,2,0)))</f>
        <v>0</v>
      </c>
      <c r="KC92" s="409"/>
      <c r="KD92" s="398">
        <f>IF(KC92=0,0,IF(LEN(JS92)=11,_xlfn.XLOOKUP(JS92,'Dispensed Ink Rates'!C:C,'Dispensed Ink Rates'!CS:CS),VLOOKUP(JS92,'Jan-2026 rates'!$E:$F,2,0)))</f>
        <v>0</v>
      </c>
      <c r="KE92" s="409"/>
      <c r="KF92" s="398">
        <f>IF(KE92=0,0,IF(LEN(JT92)=11,_xlfn.XLOOKUP(JT92,'Dispensed Ink Rates'!C:C,'Dispensed Ink Rates'!CS:CS),VLOOKUP(JT92,'Jan-2026 rates'!$E:$F,2,0)))</f>
        <v>0</v>
      </c>
      <c r="KG92" s="409"/>
      <c r="KH92" s="398">
        <f>IF(KG92=0,0,IF(LEN(JU92)=11,_xlfn.XLOOKUP(JU92,'Dispensed Ink Rates'!C:C,'Dispensed Ink Rates'!CS:CS),VLOOKUP(JU92,'Jan-2026 rates'!$E:$F,2,0)))</f>
        <v>0</v>
      </c>
      <c r="KI92" s="409"/>
      <c r="KJ92" s="398">
        <f>IF(KI92=0,0,IF(LEN(JV92)=11,_xlfn.XLOOKUP(JV92,'Dispensed Ink Rates'!C:C,'Dispensed Ink Rates'!CS:CS),VLOOKUP(JV92,'Jan-2026 rates'!$E:$F,2,0)))</f>
        <v>0</v>
      </c>
      <c r="KK92" s="409"/>
      <c r="KL92" s="398">
        <f>IF(KK92=0,0,IF(LEN(JW92)=11,_xlfn.XLOOKUP(JW92,'Dispensed Ink Rates'!C:C,'Dispensed Ink Rates'!CS:CS),VLOOKUP(JW92,'Jan-2026 rates'!$E:$F,2,0)))</f>
        <v>0</v>
      </c>
      <c r="KM92" s="428"/>
      <c r="KN92" s="398">
        <f>IF(KM92=0,0,IF(LEN(JX92)=11,_xlfn.XLOOKUP(JX92,'Dispensed Ink Rates'!C:C,'Dispensed Ink Rates'!CS:CS),VLOOKUP(JX92,'Jan-2026 rates'!$E:$F,2,0)))</f>
        <v>0</v>
      </c>
      <c r="KO92" s="409"/>
      <c r="KP92" s="409"/>
      <c r="KQ92" s="411">
        <f t="shared" si="103"/>
        <v>0</v>
      </c>
      <c r="KR92" s="411">
        <f t="shared" si="104"/>
        <v>0</v>
      </c>
      <c r="KS92" s="410">
        <f t="shared" si="105"/>
        <v>0</v>
      </c>
      <c r="KT92" s="409">
        <v>5</v>
      </c>
      <c r="KU92" s="409">
        <v>10</v>
      </c>
      <c r="KV92" s="409">
        <v>5</v>
      </c>
      <c r="KW92" s="409">
        <f>5+10</f>
        <v>15</v>
      </c>
      <c r="KX92" s="409">
        <v>5</v>
      </c>
      <c r="KY92" s="409">
        <v>5</v>
      </c>
      <c r="KZ92" s="409">
        <f>15+10+15</f>
        <v>40</v>
      </c>
      <c r="LA92" s="409">
        <v>0</v>
      </c>
      <c r="LB92" s="415">
        <v>0.8</v>
      </c>
      <c r="LC92" s="415">
        <v>0.2</v>
      </c>
      <c r="LD92" s="415"/>
      <c r="LE92" s="415"/>
      <c r="LF92" s="415"/>
      <c r="LG92" s="409">
        <v>0</v>
      </c>
      <c r="LH92" s="409">
        <f>40+32+80+20</f>
        <v>172</v>
      </c>
      <c r="LI92" s="409">
        <v>0</v>
      </c>
      <c r="LJ92" s="409">
        <v>0</v>
      </c>
      <c r="LK92" s="416">
        <f t="shared" si="61"/>
        <v>172</v>
      </c>
      <c r="LL92" s="416">
        <f t="shared" si="62"/>
        <v>172</v>
      </c>
      <c r="LM92" s="417">
        <f t="shared" si="63"/>
        <v>137.6</v>
      </c>
      <c r="LN92" s="417">
        <f>VLOOKUP($LM$8,'Jan-2026 rates'!$H:$I,2,0)</f>
        <v>0</v>
      </c>
      <c r="LO92" s="417">
        <f t="shared" si="64"/>
        <v>34.4</v>
      </c>
      <c r="LP92" s="417">
        <f>VLOOKUP($LO$8,'Jan-2026 rates'!$H:$I,2,0)</f>
        <v>0</v>
      </c>
      <c r="LQ92" s="417">
        <f t="shared" si="65"/>
        <v>0</v>
      </c>
      <c r="LR92" s="417">
        <f>VLOOKUP($LQ$8,'Jan-2026 rates'!$H:$I,2,0)</f>
        <v>0</v>
      </c>
      <c r="LS92" s="417">
        <f t="shared" si="66"/>
        <v>0</v>
      </c>
      <c r="LT92" s="417">
        <f>VLOOKUP($LS$8,'Jan-2026 rates'!$H:$I,2,0)</f>
        <v>0</v>
      </c>
      <c r="LU92" s="417">
        <f t="shared" si="67"/>
        <v>0</v>
      </c>
      <c r="LV92" s="417">
        <f>VLOOKUP($LU$8,'Jan-2026 rates'!$H:$I,2,0)</f>
        <v>0</v>
      </c>
      <c r="LW92" s="417">
        <f t="shared" si="68"/>
        <v>0</v>
      </c>
      <c r="LX92" s="417">
        <f t="shared" si="69"/>
        <v>0</v>
      </c>
      <c r="LY92" s="418">
        <f t="shared" si="70"/>
        <v>0</v>
      </c>
      <c r="LZ92" s="417"/>
      <c r="MA92" s="435">
        <f t="shared" si="71"/>
        <v>152</v>
      </c>
      <c r="MB92" s="282">
        <f t="shared" si="72"/>
        <v>304</v>
      </c>
      <c r="MC92" s="283">
        <v>47</v>
      </c>
      <c r="MD92" s="284" t="str">
        <f t="shared" si="73"/>
        <v>FLINTSLFLINTSLFLINTSLFLINTSLFLINTSLFLINTSLFLINTSL</v>
      </c>
      <c r="ME92" s="293" t="str">
        <f t="shared" si="74"/>
        <v>+</v>
      </c>
      <c r="MF92" s="293" t="str">
        <f t="shared" si="75"/>
        <v>+</v>
      </c>
      <c r="MG92" s="293" t="str">
        <f t="shared" si="76"/>
        <v>+</v>
      </c>
      <c r="MH92" s="293" t="str">
        <f t="shared" si="77"/>
        <v>+</v>
      </c>
      <c r="MI92" s="293" t="str">
        <f t="shared" si="78"/>
        <v>+</v>
      </c>
      <c r="MJ92" s="293" t="str">
        <f t="shared" si="79"/>
        <v>+</v>
      </c>
      <c r="MK92" s="293" t="str">
        <f t="shared" si="80"/>
        <v>+</v>
      </c>
      <c r="ML92" s="293" t="str">
        <f t="shared" si="81"/>
        <v>NIL</v>
      </c>
      <c r="MM92" s="3" t="b">
        <f t="array" ref="MM92">OR(ME92:ML92="-")</f>
        <v>0</v>
      </c>
      <c r="MN92" s="285"/>
      <c r="MO92" s="401"/>
      <c r="MP92" s="286"/>
      <c r="MQ92" s="286"/>
      <c r="MR92" s="402"/>
      <c r="MS92" s="400"/>
      <c r="NH92" s="422"/>
      <c r="NJ92" s="421"/>
    </row>
    <row r="93" spans="1:374" s="1" customFormat="1" ht="16.5">
      <c r="A93" s="403">
        <v>46029</v>
      </c>
      <c r="B93" s="404" t="s">
        <v>1015</v>
      </c>
      <c r="C93" s="405" t="s">
        <v>3120</v>
      </c>
      <c r="D93" s="406">
        <v>48</v>
      </c>
      <c r="E93" s="404">
        <v>504</v>
      </c>
      <c r="F93" s="407">
        <v>25000</v>
      </c>
      <c r="G93" s="407" t="s">
        <v>1019</v>
      </c>
      <c r="H93" s="408" t="s">
        <v>1017</v>
      </c>
      <c r="I93" s="409">
        <v>0.13</v>
      </c>
      <c r="J93" s="405" t="s">
        <v>543</v>
      </c>
      <c r="K93" s="404" t="s">
        <v>3095</v>
      </c>
      <c r="L93" s="419" t="str">
        <f t="shared" si="54"/>
        <v>FLINTSL - BLACK</v>
      </c>
      <c r="M93" s="404">
        <v>12</v>
      </c>
      <c r="N93" s="410">
        <f>IF(M93=0,0,IF($LB93=70%,VLOOKUP($L93,'Jan-2026 rates'!$L:$R,4,0),IF($LB93=65%,VLOOKUP($L93,'Jan-2026 rates'!$L:$R,4,0),IF($LB93=40%,VLOOKUP($L93,'Jan-2026 rates'!$L:$R,5,0),IF($LB93=30%,VLOOKUP($L93,'Jan-2026 rates'!$L:$R,6,0),IF($LB93=100%,VLOOKUP($L93,'Jan-2026 rates'!$L:$R,7,0),IF($LB93=60%,VLOOKUP($L93,'Jan-2026 rates'!$L:$S,8,0),IF($LB93=80%,VLOOKUP($L93,'Jan-2026 rates'!L:T,9,0),0))))))))</f>
        <v>0</v>
      </c>
      <c r="O93" s="406" t="s">
        <v>3040</v>
      </c>
      <c r="P93" s="404">
        <v>5</v>
      </c>
      <c r="Q93" s="410">
        <f>IF(P93=0,0,IF($LB93=70%,VLOOKUP($L93,'Jan-2026 rates'!$L:$R,4,0),IF($LB93=65%,VLOOKUP($L93,'Jan-2026 rates'!$L:$R,4,0),IF($LB93=40%,VLOOKUP($L93,'Jan-2026 rates'!$L:$R,5,0),IF($LB93=30%,VLOOKUP($L93,'Jan-2026 rates'!$L:$R,6,0),IF($LB93=100%,VLOOKUP($L93,'Jan-2026 rates'!$L:$R,7,0),IF($LB93=60%,VLOOKUP($L93,'Jan-2026 rates'!$L:$S,8,0),IF($LB93=80%,VLOOKUP($L93,'Jan-2026 rates'!L:T,9,0),0))))))))</f>
        <v>0</v>
      </c>
      <c r="R93" s="406">
        <v>26508000003</v>
      </c>
      <c r="S93" s="406" t="s">
        <v>1266</v>
      </c>
      <c r="T93" s="406">
        <v>25863000007</v>
      </c>
      <c r="U93" s="406">
        <v>26507000019</v>
      </c>
      <c r="V93" s="406">
        <v>26506000006</v>
      </c>
      <c r="W93" s="406"/>
      <c r="X93" s="406"/>
      <c r="Y93" s="406"/>
      <c r="Z93" s="404">
        <v>6</v>
      </c>
      <c r="AA93" s="398" t="e">
        <f>IF(Z93=0,0,IF(LEN(R93)=11,_xlfn.XLOOKUP(R93,'Dispensed Ink Rates'!C:C,'Dispensed Ink Rates'!CS:CS),VLOOKUP(R93,'Jan-2026 rates'!$E:$F,2,0)))</f>
        <v>#N/A</v>
      </c>
      <c r="AB93" s="404">
        <v>2</v>
      </c>
      <c r="AC93" s="398">
        <f>IF(AB93=0,0,IF(LEN(S93)=11,_xlfn.XLOOKUP(S93,'Dispensed Ink Rates'!C:C,'Dispensed Ink Rates'!CS:CS),VLOOKUP(S93,'Jan-2026 rates'!$E:$F,2,0)))</f>
        <v>0</v>
      </c>
      <c r="AD93" s="404">
        <v>2</v>
      </c>
      <c r="AE93" s="398" t="e">
        <f>IF(AD93=0,0,IF(LEN(T93)=11,_xlfn.XLOOKUP(T93,'Dispensed Ink Rates'!C:C,'Dispensed Ink Rates'!CS:CS),VLOOKUP(T93,'Jan-2026 rates'!$E:$F,2,0)))</f>
        <v>#N/A</v>
      </c>
      <c r="AF93" s="404">
        <v>2</v>
      </c>
      <c r="AG93" s="398" t="e">
        <f>IF(AF93=0,0,IF(LEN(U93)=11,_xlfn.XLOOKUP(U93,'Dispensed Ink Rates'!C:C,'Dispensed Ink Rates'!CS:CS),VLOOKUP(U93,'Jan-2026 rates'!$E:$F,2,0)))</f>
        <v>#N/A</v>
      </c>
      <c r="AH93" s="404">
        <v>2</v>
      </c>
      <c r="AI93" s="398" t="e">
        <f>IF(AH93=0,0,IF(LEN(V93)=11,_xlfn.XLOOKUP(V93,'Dispensed Ink Rates'!C:C,'Dispensed Ink Rates'!CS:CS),VLOOKUP(V93,'Jan-2026 rates'!$E:$F,2,0)))</f>
        <v>#N/A</v>
      </c>
      <c r="AJ93" s="404"/>
      <c r="AK93" s="398">
        <f>IF(AJ93=0,0,IF(LEN(W93)=11,_xlfn.XLOOKUP(W93,'Dispensed Ink Rates'!C:C,'Dispensed Ink Rates'!CS:CS),VLOOKUP(W93,'Jan-2026 rates'!$E:$F,2,0)))</f>
        <v>0</v>
      </c>
      <c r="AL93" s="404"/>
      <c r="AM93" s="398">
        <f>IF(AL93=0,0,IF(LEN(X93)=11,_xlfn.XLOOKUP(X93,'Dispensed Ink Rates'!C:C,'Dispensed Ink Rates'!CS:CS),VLOOKUP(X93,'Jan-2026 rates'!$E:$F,2,0)))</f>
        <v>0</v>
      </c>
      <c r="AN93" s="404"/>
      <c r="AO93" s="398">
        <f>IF(AN93=0,0,IF(LEN(Y93)=11,_xlfn.XLOOKUP(Y93,'Dispensed Ink Rates'!C:C,'Dispensed Ink Rates'!CS:CS),VLOOKUP(Y93,'Jan-2026 rates'!$E:$F,2,0)))</f>
        <v>0</v>
      </c>
      <c r="AP93" s="409" t="s">
        <v>1443</v>
      </c>
      <c r="AQ93" s="409">
        <v>24</v>
      </c>
      <c r="AR93" s="410">
        <f t="shared" si="82"/>
        <v>0</v>
      </c>
      <c r="AS93" s="411">
        <f t="shared" si="83"/>
        <v>30</v>
      </c>
      <c r="AT93" s="410">
        <f t="shared" si="84"/>
        <v>0</v>
      </c>
      <c r="AU93" s="405" t="s">
        <v>856</v>
      </c>
      <c r="AV93" s="409" t="s">
        <v>3121</v>
      </c>
      <c r="AW93" s="420" t="str">
        <f t="shared" si="53"/>
        <v>FLINTSL - WHITE</v>
      </c>
      <c r="AX93" s="409">
        <v>24</v>
      </c>
      <c r="AY93" s="411">
        <f>IF(AX93=0,0,IF($LB93=70%,VLOOKUP($AW93,'Jan-2026 rates'!$L:$R,4,0),IF($LB93=65%,VLOOKUP($AW93,'Jan-2026 rates'!$L:$R,4,0),IF($LB93=40%,VLOOKUP($AW93,'Jan-2026 rates'!$L:$R,5,0),IF($LB93=30%,VLOOKUP($AW93,'Jan-2026 rates'!$L:$R,6,0),IF($LB93=100%,VLOOKUP($AW93,'Jan-2026 rates'!$L:$R,7,0),IF($LB93=60%,VLOOKUP($AW93,'Jan-2026 rates'!$L:$S,8,0),IF($LB93=80%,VLOOKUP($AW93,'Jan-2026 rates'!L:T,9,0),0))))))))</f>
        <v>0</v>
      </c>
      <c r="AZ93" s="412"/>
      <c r="BA93" s="409"/>
      <c r="BB93" s="411">
        <f>IF(BA93=0,0,IF($LB93=70%,VLOOKUP($AW93,'Jan-2026 rates'!$L:$R,4,0),IF($LB93=65%,VLOOKUP($AW93,'Jan-2026 rates'!$L:$R,4,0),IF($LB93=40%,VLOOKUP($AW93,'Jan-2026 rates'!$L:$R,5,0),IF($LB93=30%,VLOOKUP($AW93,'Jan-2026 rates'!$L:$R,6,0),IF($LB93=100%,VLOOKUP($AW93,'Jan-2026 rates'!$L:$R,7,0),IF($LB93=60%,VLOOKUP($AW93,'Jan-2026 rates'!$L:$S,8,0),IF($LB93=80%,VLOOKUP($AW93,'Jan-2026 rates'!L:T,9,0),0))))))))</f>
        <v>0</v>
      </c>
      <c r="BC93" s="413" t="s">
        <v>484</v>
      </c>
      <c r="BD93" s="412"/>
      <c r="BE93" s="412"/>
      <c r="BF93" s="413"/>
      <c r="BG93" s="412"/>
      <c r="BH93" s="412"/>
      <c r="BI93" s="412"/>
      <c r="BJ93" s="412"/>
      <c r="BK93" s="409">
        <v>10</v>
      </c>
      <c r="BL93" s="398">
        <f>IF(BK93=0,0,IF(LEN(BC93)=11,_xlfn.XLOOKUP(BC93,'Dispensed Ink Rates'!C:C,'Dispensed Ink Rates'!CS:CS),VLOOKUP(BC93,'Jan-2026 rates'!$E:$F,2,0)))</f>
        <v>0</v>
      </c>
      <c r="BM93" s="409"/>
      <c r="BN93" s="398">
        <f>IF(BM93=0,0,IF(LEN(BD93)=11,_xlfn.XLOOKUP(BD93,'Dispensed Ink Rates'!C:C,'Dispensed Ink Rates'!CS:CS),VLOOKUP(BD93,'Jan-2026 rates'!$E:$F,2,0)))</f>
        <v>0</v>
      </c>
      <c r="BO93" s="409"/>
      <c r="BP93" s="398">
        <f>IF(BO93=0,0,IF(LEN(BE93)=11,_xlfn.XLOOKUP(BE93,'Dispensed Ink Rates'!C:C,'Dispensed Ink Rates'!CS:CS),VLOOKUP(BE93,'Jan-2026 rates'!$E:$F,2,0)))</f>
        <v>0</v>
      </c>
      <c r="BQ93" s="409"/>
      <c r="BR93" s="398">
        <f>IF(BQ93=0,0,IF(LEN(BF93)=11,_xlfn.XLOOKUP(BF93,'Dispensed Ink Rates'!C:C,'Dispensed Ink Rates'!CS:CS),VLOOKUP(BF93,'Jan-2026 rates'!$E:$F,2,0)))</f>
        <v>0</v>
      </c>
      <c r="BS93" s="409"/>
      <c r="BT93" s="398">
        <f>IF(BS93=0,0,IF(LEN(BG93)=11,_xlfn.XLOOKUP(BG93,'Dispensed Ink Rates'!C:C,'Dispensed Ink Rates'!CS:CS),VLOOKUP(BG93,'Jan-2026 rates'!$E:$F,2,0)))</f>
        <v>0</v>
      </c>
      <c r="BU93" s="409"/>
      <c r="BV93" s="398">
        <f>IF(BU93=0,0,IF(LEN(BH93)=11,_xlfn.XLOOKUP(BH93,'Dispensed Ink Rates'!C:C,'Dispensed Ink Rates'!CS:CS),VLOOKUP(BH93,'Jan-2026 rates'!$E:$F,2,0)))</f>
        <v>0</v>
      </c>
      <c r="BW93" s="409"/>
      <c r="BX93" s="398">
        <f>IF(BW93=0,0,IF(LEN(BI93)=11,_xlfn.XLOOKUP(BI93,'Dispensed Ink Rates'!C:C,'Dispensed Ink Rates'!CS:CS),VLOOKUP(BI93,'Jan-2026 rates'!$E:$F,2,0)))</f>
        <v>0</v>
      </c>
      <c r="BY93" s="409"/>
      <c r="BZ93" s="398">
        <f>IF(BY93=0,0,IF(LEN(BJ93)=11,_xlfn.XLOOKUP(BJ93,'Dispensed Ink Rates'!C:C,'Dispensed Ink Rates'!CS:CS),VLOOKUP(BJ93,'Jan-2026 rates'!$E:$F,2,0)))</f>
        <v>0</v>
      </c>
      <c r="CA93" s="409" t="s">
        <v>1443</v>
      </c>
      <c r="CB93" s="409">
        <v>25</v>
      </c>
      <c r="CC93" s="411">
        <f t="shared" si="85"/>
        <v>0</v>
      </c>
      <c r="CD93" s="411">
        <f t="shared" si="86"/>
        <v>32</v>
      </c>
      <c r="CE93" s="410">
        <f t="shared" si="87"/>
        <v>0</v>
      </c>
      <c r="CF93" s="404"/>
      <c r="CG93" s="409"/>
      <c r="CH93" s="420" t="str">
        <f t="shared" si="55"/>
        <v xml:space="preserve"> - </v>
      </c>
      <c r="CI93" s="409"/>
      <c r="CJ93" s="411">
        <f>IF(CI93=0,0,IF($LB93=70%,VLOOKUP($CH93,'Jan-2026 rates'!$L:$R,4,0),IF($LB93=65%,VLOOKUP($CH93,'Jan-2026 rates'!$L:$R,4,0),IF($LB93=40%,VLOOKUP($CH93,'Jan-2026 rates'!$L:$R,5,0),IF($LB93=30%,VLOOKUP($CH93,'Jan-2026 rates'!$L:$R,6,0),IF($LB93=100%,VLOOKUP($CH93,'Jan-2026 rates'!$L:$R,7,0),IF($LB93=60%,VLOOKUP($CH93,'Jan-2026 rates'!$L:$S,8,0),IF($LB93=80%,VLOOKUP($CH93,'Jan-2026 rates'!L:T,9,0),0))))))))</f>
        <v>0</v>
      </c>
      <c r="CK93" s="412"/>
      <c r="CL93" s="409"/>
      <c r="CM93" s="411">
        <f>IF(CL93=0,0,IF($LB93=70%,VLOOKUP($CH93,'Jan-2026 rates'!$L:$R,4,0),IF($LB93=65%,VLOOKUP($CH93,'Jan-2026 rates'!$L:$R,4,0),IF($LB93=40%,VLOOKUP($CH93,'Jan-2026 rates'!$L:$R,5,0),IF($LB93=30%,VLOOKUP($CH93,'Jan-2026 rates'!$L:$R,6,0),IF($LB93=100%,VLOOKUP($CH93,'Jan-2026 rates'!$L:$R,7,0),IF($LB93=60%,VLOOKUP($CH93,'Jan-2026 rates'!$L:$S,8,0),IF($LB93=80%,VLOOKUP($CH93,'Jan-2026 rates'!L:T,9,0),0))))))))</f>
        <v>0</v>
      </c>
      <c r="CN93" s="426"/>
      <c r="CO93" s="427"/>
      <c r="CP93" s="426"/>
      <c r="CQ93" s="426"/>
      <c r="CR93" s="428"/>
      <c r="CS93" s="428"/>
      <c r="CT93" s="428"/>
      <c r="CU93" s="428"/>
      <c r="CV93" s="409"/>
      <c r="CW93" s="398">
        <f>IF(CV93=0,0,IF(LEN(CN93)=11,_xlfn.XLOOKUP(CN93,'Dispensed Ink Rates'!C:C,'Dispensed Ink Rates'!CS:CS),VLOOKUP(CN93,'Jan-2026 rates'!$E:$F,2,0)))</f>
        <v>0</v>
      </c>
      <c r="CX93" s="409"/>
      <c r="CY93" s="398">
        <f>IF(CX93=0,0,IF(LEN(CO93)=11,_xlfn.XLOOKUP(CO93,'Dispensed Ink Rates'!C:C,'Dispensed Ink Rates'!CS:CS),VLOOKUP(CO93,'Jan-2026 rates'!$E:$F,2,0)))</f>
        <v>0</v>
      </c>
      <c r="CZ93" s="409"/>
      <c r="DA93" s="398">
        <f>IF(CZ93=0,0,IF(LEN(CP93)=11,_xlfn.XLOOKUP(CP93,'Dispensed Ink Rates'!C:C,'Dispensed Ink Rates'!CS:CS),VLOOKUP(CP93,'Jan-2026 rates'!$E:$F,2,0)))</f>
        <v>0</v>
      </c>
      <c r="DB93" s="409"/>
      <c r="DC93" s="398">
        <f>IF(DB93=0,0,IF(LEN(CQ93)=11,_xlfn.XLOOKUP(CQ93,'Dispensed Ink Rates'!C:C,'Dispensed Ink Rates'!CS:CS),VLOOKUP(CQ93,'Jan-2026 rates'!$E:$F,2,0)))</f>
        <v>0</v>
      </c>
      <c r="DD93" s="409"/>
      <c r="DE93" s="398">
        <f>IF(DD93=0,0,IF(LEN(CR93)=11,_xlfn.XLOOKUP(CR93,'Dispensed Ink Rates'!C:C,'Dispensed Ink Rates'!CS:CS),VLOOKUP(CR93,'Jan-2026 rates'!$E:$F,2,0)))</f>
        <v>0</v>
      </c>
      <c r="DF93" s="409"/>
      <c r="DG93" s="398">
        <f>IF(DF93=0,0,IF(LEN(CS93)=11,_xlfn.XLOOKUP(CS93,'Dispensed Ink Rates'!C:C,'Dispensed Ink Rates'!CS:CS),VLOOKUP(CS93,'Jan-2026 rates'!$E:$F,2,0)))</f>
        <v>0</v>
      </c>
      <c r="DH93" s="409"/>
      <c r="DI93" s="398">
        <f>IF(DH93=0,0,IF(LEN(CT93)=11,_xlfn.XLOOKUP(CT93,'Dispensed Ink Rates'!C:C,'Dispensed Ink Rates'!CS:CS),VLOOKUP(CT93,'Jan-2026 rates'!$E:$F,2,0)))</f>
        <v>0</v>
      </c>
      <c r="DJ93" s="409"/>
      <c r="DK93" s="398">
        <f>IF(DJ93=0,0,IF(LEN(CU93)=11,_xlfn.XLOOKUP(CU93,'Dispensed Ink Rates'!C:C,'Dispensed Ink Rates'!CS:CS),VLOOKUP(CU93,'Jan-2026 rates'!$E:$F,2,0)))</f>
        <v>0</v>
      </c>
      <c r="DL93" s="409"/>
      <c r="DM93" s="409"/>
      <c r="DN93" s="411">
        <f t="shared" si="88"/>
        <v>0</v>
      </c>
      <c r="DO93" s="411">
        <f t="shared" si="89"/>
        <v>0</v>
      </c>
      <c r="DP93" s="410">
        <f t="shared" si="90"/>
        <v>0</v>
      </c>
      <c r="DQ93" s="405"/>
      <c r="DR93" s="409"/>
      <c r="DS93" s="420" t="str">
        <f t="shared" si="56"/>
        <v xml:space="preserve"> - </v>
      </c>
      <c r="DT93" s="409"/>
      <c r="DU93" s="411">
        <f>IF(DT93=0,0,IF($LB93=70%,VLOOKUP($DS93,'Jan-2026 rates'!$L:$R,4,0),IF($LB93=65%,VLOOKUP($DS93,'Jan-2026 rates'!$L:$R,4,0),IF($LB93=40%,VLOOKUP($DS93,'Jan-2026 rates'!$L:$R,5,0),IF($LB93=30%,VLOOKUP($DS93,'Jan-2026 rates'!$L:$R,6,0),IF($LB93=100%,VLOOKUP($DS93,'Jan-2026 rates'!$L:$R,7,0),IF($LB93=60%,VLOOKUP($DS93,'Jan-2026 rates'!$L:$S,8,0),IF($LB93=80%,VLOOKUP($DS93,'Jan-2026 rates'!L:T,9,0),0))))))))</f>
        <v>0</v>
      </c>
      <c r="DV93" s="412"/>
      <c r="DW93" s="409"/>
      <c r="DX93" s="411">
        <f>IF(DW93=0,0,IF($LB93=70%,VLOOKUP($DS93,'Jan-2026 rates'!$L:$R,4,0),IF($LB93=65%,VLOOKUP($DS93,'Jan-2026 rates'!$L:$R,4,0),IF($LB93=40%,VLOOKUP($DS93,'Jan-2026 rates'!$L:$R,5,0),IF($LB93=30%,VLOOKUP($DS93,'Jan-2026 rates'!$L:$R,6,0),IF($LB93=100%,VLOOKUP($DS93,'Jan-2026 rates'!$L:$R,7,0),IF($LB93=60%,VLOOKUP($DS93,'Jan-2026 rates'!$L:$S,8,0),IF($LB93=80%,VLOOKUP($DS93,'Jan-2026 rates'!L:T,9,0),0))))))))</f>
        <v>0</v>
      </c>
      <c r="DY93" s="413"/>
      <c r="DZ93" s="413"/>
      <c r="EA93" s="412"/>
      <c r="EB93" s="412"/>
      <c r="EC93" s="412"/>
      <c r="ED93" s="412"/>
      <c r="EE93" s="412"/>
      <c r="EF93" s="412"/>
      <c r="EG93" s="409"/>
      <c r="EH93" s="398">
        <f>IF(EG93=0,0,IF(LEN(DY93)=11,_xlfn.XLOOKUP(DY93,'Dispensed Ink Rates'!C:C,'Dispensed Ink Rates'!CS:CS),VLOOKUP(DY93,'Jan-2026 rates'!$E:$F,2,0)))</f>
        <v>0</v>
      </c>
      <c r="EI93" s="409"/>
      <c r="EJ93" s="398">
        <f>IF(EI93=0,0,IF(LEN(DZ93)=11,_xlfn.XLOOKUP(DZ93,'Dispensed Ink Rates'!C:C,'Dispensed Ink Rates'!CS:CS),VLOOKUP(DZ93,'Jan-2026 rates'!$E:$F,2,0)))</f>
        <v>0</v>
      </c>
      <c r="EK93" s="409"/>
      <c r="EL93" s="398">
        <f>IF(EK93=0,0,IF(LEN(EA93)=11,_xlfn.XLOOKUP(EA93,'Dispensed Ink Rates'!C:C,'Dispensed Ink Rates'!CS:CS),VLOOKUP(EA93,'Jan-2026 rates'!$E:$F,2,0)))</f>
        <v>0</v>
      </c>
      <c r="EM93" s="409"/>
      <c r="EN93" s="398">
        <f>IF(EM93=0,0,IF(LEN(EB93)=11,_xlfn.XLOOKUP(EB93,'Dispensed Ink Rates'!C:C,'Dispensed Ink Rates'!CS:CS),VLOOKUP(EB93,'Jan-2026 rates'!$E:$F,2,0)))</f>
        <v>0</v>
      </c>
      <c r="EO93" s="409"/>
      <c r="EP93" s="398">
        <f>IF(EO93=0,0,IF(LEN(EC93)=11,_xlfn.XLOOKUP(EC93,'Dispensed Ink Rates'!C:C,'Dispensed Ink Rates'!CS:CS),VLOOKUP(EC93,'Jan-2026 rates'!$E:$F,2,0)))</f>
        <v>0</v>
      </c>
      <c r="EQ93" s="409"/>
      <c r="ER93" s="398">
        <f>IF(EQ93=0,0,IF(LEN(ED93)=11,_xlfn.XLOOKUP(ED93,'Dispensed Ink Rates'!C:C,'Dispensed Ink Rates'!CS:CS),VLOOKUP(ED93,'Jan-2026 rates'!$E:$F,2,0)))</f>
        <v>0</v>
      </c>
      <c r="ES93" s="409"/>
      <c r="ET93" s="398">
        <f>IF(ES93=0,0,IF(LEN(EE93)=11,_xlfn.XLOOKUP(EE93,'Dispensed Ink Rates'!C:C,'Dispensed Ink Rates'!CS:CS),VLOOKUP(EE93,'Jan-2026 rates'!$E:$F,2,0)))</f>
        <v>0</v>
      </c>
      <c r="EU93" s="409"/>
      <c r="EV93" s="398">
        <f>IF(EU93=0,0,IF(LEN(EF93)=11,_xlfn.XLOOKUP(EF93,'Dispensed Ink Rates'!C:C,'Dispensed Ink Rates'!CS:CS),VLOOKUP(EF93,'Jan-2026 rates'!$E:$F,2,0)))</f>
        <v>0</v>
      </c>
      <c r="EW93" s="409"/>
      <c r="EX93" s="409"/>
      <c r="EY93" s="411">
        <f t="shared" si="91"/>
        <v>0</v>
      </c>
      <c r="EZ93" s="411">
        <f t="shared" si="92"/>
        <v>0</v>
      </c>
      <c r="FA93" s="410">
        <f t="shared" si="93"/>
        <v>0</v>
      </c>
      <c r="FB93" s="405"/>
      <c r="FC93" s="409"/>
      <c r="FD93" s="420" t="str">
        <f t="shared" si="57"/>
        <v xml:space="preserve"> - </v>
      </c>
      <c r="FE93" s="409"/>
      <c r="FF93" s="411">
        <f>IF(FE93=0,0,IF($LB93=70%,VLOOKUP($FD93,'Jan-2026 rates'!$L:$R,4,0),IF($LB93=65%,VLOOKUP($FD93,'Jan-2026 rates'!$L:$R,4,0),IF($LB93=40%,VLOOKUP($FD93,'Jan-2026 rates'!$L:$R,5,0),IF($LB93=30%,VLOOKUP($FD93,'Jan-2026 rates'!$L:$R,6,0),IF($LB93=100%,VLOOKUP($FD93,'Jan-2026 rates'!$L:$R,7,0),IF($LB93=60%,VLOOKUP($FD93,'Jan-2026 rates'!$L:$S,8,0),IF($LB93=80%,VLOOKUP($FD93,'Jan-2026 rates'!L:T,9,0),0))))))))</f>
        <v>0</v>
      </c>
      <c r="FG93" s="412"/>
      <c r="FH93" s="409"/>
      <c r="FI93" s="411">
        <f>IF(FH93=0,0,IF($LB93=70%,VLOOKUP($FD93,'Jan-2026 rates'!$L:$R,4,0),IF($LB93=65%,VLOOKUP($FD93,'Jan-2026 rates'!$L:$R,4,0),IF($LB93=40%,VLOOKUP($FD93,'Jan-2026 rates'!$L:$R,5,0),IF($LB93=30%,VLOOKUP($FD93,'Jan-2026 rates'!$L:$R,6,0),IF($LB93=100%,VLOOKUP($FD93,'Jan-2026 rates'!$L:$R,7,0),IF($LB93=60%,VLOOKUP($FD93,'Jan-2026 rates'!$L:$S,8,0),IF($LB93=80%,VLOOKUP($FD93,'Jan-2026 rates'!L:T,9,0),0))))))))</f>
        <v>0</v>
      </c>
      <c r="FJ93" s="413"/>
      <c r="FK93" s="413"/>
      <c r="FL93" s="413"/>
      <c r="FM93" s="412"/>
      <c r="FN93" s="412"/>
      <c r="FO93" s="412"/>
      <c r="FP93" s="412"/>
      <c r="FQ93" s="412"/>
      <c r="FR93" s="409"/>
      <c r="FS93" s="398">
        <f>IF(FR93=0,0,IF(LEN(FJ93)=11,_xlfn.XLOOKUP(FJ93,'Dispensed Ink Rates'!C:C,'Dispensed Ink Rates'!CS:CS),VLOOKUP(FJ93,'Jan-2026 rates'!$E:$F,2,0)))</f>
        <v>0</v>
      </c>
      <c r="FT93" s="409"/>
      <c r="FU93" s="398">
        <f>IF(FT93=0,0,IF(LEN(FK93)=11,_xlfn.XLOOKUP(FK93,'Dispensed Ink Rates'!C:C,'Dispensed Ink Rates'!CS:CS),VLOOKUP(FK93,'Jan-2026 rates'!$E:$F,2,0)))</f>
        <v>0</v>
      </c>
      <c r="FV93" s="409"/>
      <c r="FW93" s="398">
        <f>IF(FV93=0,0,IF(LEN(FL93)=11,_xlfn.XLOOKUP(FL93,'Dispensed Ink Rates'!C:C,'Dispensed Ink Rates'!CS:CS),VLOOKUP(FL93,'Jan-2026 rates'!$E:$F,2,0)))</f>
        <v>0</v>
      </c>
      <c r="FX93" s="409"/>
      <c r="FY93" s="398">
        <f>IF(FX93=0,0,IF(LEN(FM93)=11,_xlfn.XLOOKUP(FM93,'Dispensed Ink Rates'!C:C,'Dispensed Ink Rates'!CS:CS),VLOOKUP(FM93,'Jan-2026 rates'!$E:$F,2,0)))</f>
        <v>0</v>
      </c>
      <c r="FZ93" s="409"/>
      <c r="GA93" s="398">
        <f>IF(FZ93=0,0,IF(LEN(FN93)=11,_xlfn.XLOOKUP(FN93,'Dispensed Ink Rates'!C:C,'Dispensed Ink Rates'!CS:CS),VLOOKUP(FN93,'Jan-2026 rates'!$E:$F,2,0)))</f>
        <v>0</v>
      </c>
      <c r="GB93" s="409"/>
      <c r="GC93" s="398">
        <f>IF(GB93=0,0,IF(LEN(FO93)=11,_xlfn.XLOOKUP(FO93,'Dispensed Ink Rates'!C:C,'Dispensed Ink Rates'!CS:CS),VLOOKUP(FO93,'Jan-2026 rates'!$E:$F,2,0)))</f>
        <v>0</v>
      </c>
      <c r="GD93" s="409"/>
      <c r="GE93" s="398">
        <f>IF(GD93=0,0,IF(LEN(FP93)=11,_xlfn.XLOOKUP(FP93,'Dispensed Ink Rates'!C:C,'Dispensed Ink Rates'!CS:CS),VLOOKUP(FP93,'Jan-2026 rates'!$E:$F,2,0)))</f>
        <v>0</v>
      </c>
      <c r="GF93" s="409"/>
      <c r="GG93" s="398">
        <f>IF(GF93=0,0,IF(LEN(FQ93)=11,_xlfn.XLOOKUP(FQ93,'Dispensed Ink Rates'!C:C,'Dispensed Ink Rates'!CS:CS),VLOOKUP(FQ93,'Jan-2026 rates'!$E:$F,2,0)))</f>
        <v>0</v>
      </c>
      <c r="GH93" s="409"/>
      <c r="GI93" s="409"/>
      <c r="GJ93" s="411">
        <f t="shared" si="94"/>
        <v>0</v>
      </c>
      <c r="GK93" s="411">
        <f t="shared" si="95"/>
        <v>0</v>
      </c>
      <c r="GL93" s="410">
        <f t="shared" si="96"/>
        <v>0</v>
      </c>
      <c r="GM93" s="405"/>
      <c r="GN93" s="409"/>
      <c r="GO93" s="420" t="str">
        <f t="shared" si="58"/>
        <v xml:space="preserve"> - </v>
      </c>
      <c r="GP93" s="409"/>
      <c r="GQ93" s="411">
        <f>IF(GP93=0,0,IF($LB93=70%,VLOOKUP($GO93,'Jan-2026 rates'!$L:$R,4,0),IF($LB93=65%,VLOOKUP($GO93,'Jan-2026 rates'!$L:$R,4,0),IF($LB93=40%,VLOOKUP($GO93,'Jan-2026 rates'!$L:$R,5,0),IF($LB93=30%,VLOOKUP($GO93,'Jan-2026 rates'!$L:$R,6,0),IF($LB93=100%,VLOOKUP($GO93,'Jan-2026 rates'!$L:$R,7,0),IF($LB93=60%,VLOOKUP($GO93,'Jan-2026 rates'!$L:$S,8,0),IF($LB93=80%,VLOOKUP($GO93,'Jan-2026 rates'!L:T,9,0),0))))))))</f>
        <v>0</v>
      </c>
      <c r="GR93" s="412"/>
      <c r="GS93" s="409"/>
      <c r="GT93" s="411">
        <f>IF(GS93=0,0,IF($LB93=70%,VLOOKUP($GO93,'Jan-2026 rates'!$L:$R,4,0),IF($LB93=65%,VLOOKUP($GO93,'Jan-2026 rates'!$L:$R,4,0),IF($LB93=40%,VLOOKUP($GO93,'Jan-2026 rates'!$L:$R,5,0),IF($LB93=30%,VLOOKUP($GO93,'Jan-2026 rates'!$L:$R,6,0),IF($LB93=100%,VLOOKUP($GO93,'Jan-2026 rates'!$L:$R,7,0),IF($LB93=60%,VLOOKUP($GO93,'Jan-2026 rates'!$L:$S,8,0),IF($LB93=80%,VLOOKUP($GO93,'Jan-2026 rates'!L:T,9,0),0))))))))</f>
        <v>0</v>
      </c>
      <c r="GU93" s="413"/>
      <c r="GV93" s="413"/>
      <c r="GW93" s="412"/>
      <c r="GX93" s="412"/>
      <c r="GY93" s="412"/>
      <c r="GZ93" s="412"/>
      <c r="HA93" s="412"/>
      <c r="HB93" s="412"/>
      <c r="HC93" s="409"/>
      <c r="HD93" s="398">
        <f>IF(HC93=0,0,IF(LEN(GU93)=11,_xlfn.XLOOKUP(GU93,'Dispensed Ink Rates'!C:C,'Dispensed Ink Rates'!CS:CS),VLOOKUP(GU93,'Jan-2026 rates'!$E:$F,2,0)))</f>
        <v>0</v>
      </c>
      <c r="HE93" s="409"/>
      <c r="HF93" s="398">
        <f>IF(HE93=0,0,IF(LEN(GV93)=11,_xlfn.XLOOKUP(GV93,'Dispensed Ink Rates'!C:C,'Dispensed Ink Rates'!CS:CS),VLOOKUP(GV93,'Jan-2026 rates'!$E:$F,2,0)))</f>
        <v>0</v>
      </c>
      <c r="HG93" s="409"/>
      <c r="HH93" s="398">
        <f>IF(HG93=0,0,IF(LEN(GW93)=11,_xlfn.XLOOKUP(GW93,'Dispensed Ink Rates'!C:C,'Dispensed Ink Rates'!CS:CS),VLOOKUP(GW93,'Jan-2026 rates'!$E:$F,2,0)))</f>
        <v>0</v>
      </c>
      <c r="HI93" s="409"/>
      <c r="HJ93" s="398">
        <f>IF(HI93=0,0,IF(LEN(GX93)=11,_xlfn.XLOOKUP(GX93,'Dispensed Ink Rates'!C:C,'Dispensed Ink Rates'!CS:CS),VLOOKUP(GX93,'Jan-2026 rates'!$E:$F,2,0)))</f>
        <v>0</v>
      </c>
      <c r="HK93" s="409"/>
      <c r="HL93" s="398">
        <f>IF(HK93=0,0,IF(LEN(GY93)=11,_xlfn.XLOOKUP(GY93,'Dispensed Ink Rates'!C:C,'Dispensed Ink Rates'!CS:CS),VLOOKUP(GY93,'Jan-2026 rates'!$E:$F,2,0)))</f>
        <v>0</v>
      </c>
      <c r="HM93" s="409"/>
      <c r="HN93" s="398">
        <f>IF(HM93=0,0,IF(LEN(GZ93)=11,_xlfn.XLOOKUP(GZ93,'Dispensed Ink Rates'!C:C,'Dispensed Ink Rates'!CS:CS),VLOOKUP(GZ93,'Jan-2026 rates'!$E:$F,2,0)))</f>
        <v>0</v>
      </c>
      <c r="HO93" s="409"/>
      <c r="HP93" s="398">
        <f>IF(HO93=0,0,IF(LEN(HA93)=11,_xlfn.XLOOKUP(HA93,'Dispensed Ink Rates'!C:C,'Dispensed Ink Rates'!CS:CS),VLOOKUP(HA93,'Jan-2026 rates'!$E:$F,2,0)))</f>
        <v>0</v>
      </c>
      <c r="HQ93" s="409"/>
      <c r="HR93" s="398">
        <f>IF(HQ93=0,0,IF(LEN(HB93)=11,_xlfn.XLOOKUP(HB93,'Dispensed Ink Rates'!C:C,'Dispensed Ink Rates'!CS:CS),VLOOKUP(HB93,'Jan-2026 rates'!$E:$F,2,0)))</f>
        <v>0</v>
      </c>
      <c r="HS93" s="409"/>
      <c r="HT93" s="409"/>
      <c r="HU93" s="411">
        <f t="shared" si="97"/>
        <v>0</v>
      </c>
      <c r="HV93" s="411">
        <f t="shared" si="98"/>
        <v>0</v>
      </c>
      <c r="HW93" s="414">
        <f t="shared" si="99"/>
        <v>0</v>
      </c>
      <c r="HX93" s="405"/>
      <c r="HY93" s="409"/>
      <c r="HZ93" s="420" t="str">
        <f t="shared" si="59"/>
        <v xml:space="preserve"> - </v>
      </c>
      <c r="IA93" s="409"/>
      <c r="IB93" s="411">
        <f>IF(IA93=0,0,IF($LB93=70%,VLOOKUP($HZ93,'Jan-2026 rates'!$L:$R,4,0),IF($LB93=65%,VLOOKUP($HZ93,'Jan-2026 rates'!$L:$R,4,0),IF($LB93=40%,VLOOKUP($HZ93,'Jan-2026 rates'!$L:$R,5,0),IF($LB93=30%,VLOOKUP($HZ93,'Jan-2026 rates'!$L:$R,6,0),IF($LB93=100%,VLOOKUP($HZ93,'Jan-2026 rates'!$L:$R,7,0),IF($LB93=60%,VLOOKUP($HZ93,'Jan-2026 rates'!$L:$S,8,0),IF($LB93=80%,VLOOKUP($HZ93,'Jan-2026 rates'!L:T,9,0),0))))))))</f>
        <v>0</v>
      </c>
      <c r="IC93" s="412"/>
      <c r="ID93" s="409"/>
      <c r="IE93" s="411">
        <f>IF(ID93=0,0,IF($LB93=70%,VLOOKUP($HZ93,'Jan-2026 rates'!$L:$R,4,0),IF($LB93=65%,VLOOKUP($HZ93,'Jan-2026 rates'!$L:$R,4,0),IF($LB93=40%,VLOOKUP($HZ93,'Jan-2026 rates'!$L:$R,5,0),IF($LB93=30%,VLOOKUP($HZ93,'Jan-2026 rates'!$L:$R,6,0),IF($LB93=100%,VLOOKUP($HZ93,'Jan-2026 rates'!$L:$R,7,0),IF($LB93=60%,VLOOKUP($HZ93,'Jan-2026 rates'!$L:$S,8,0),IF($LB93=80%,VLOOKUP($HZ93,'Jan-2026 rates'!L:T,9,0),0))))))))</f>
        <v>0</v>
      </c>
      <c r="IF93" s="412"/>
      <c r="IG93" s="413"/>
      <c r="IH93" s="412"/>
      <c r="II93" s="412"/>
      <c r="IJ93" s="412"/>
      <c r="IK93" s="412"/>
      <c r="IL93" s="412"/>
      <c r="IM93" s="412"/>
      <c r="IN93" s="409"/>
      <c r="IO93" s="398">
        <f>IF(IN93=0,0,IF(LEN(IF93)=11,_xlfn.XLOOKUP(IF93,'Dispensed Ink Rates'!C:C,'Dispensed Ink Rates'!CS:CS),VLOOKUP(IF93,'Jan-2026 rates'!$E:$F,2,0)))</f>
        <v>0</v>
      </c>
      <c r="IP93" s="409"/>
      <c r="IQ93" s="398">
        <f>IF(IP93=0,0,IF(LEN(IG93)=11,_xlfn.XLOOKUP(IG93,'Dispensed Ink Rates'!C:C,'Dispensed Ink Rates'!CS:CS),VLOOKUP(IG93,'Jan-2026 rates'!$E:$F,2,0)))</f>
        <v>0</v>
      </c>
      <c r="IR93" s="409"/>
      <c r="IS93" s="398">
        <f>IF(IR93=0,0,IF(LEN(IH93)=11,_xlfn.XLOOKUP(IH93,'Dispensed Ink Rates'!C:C,'Dispensed Ink Rates'!CS:CS),VLOOKUP(IH93,'Jan-2026 rates'!$E:$F,2,0)))</f>
        <v>0</v>
      </c>
      <c r="IT93" s="409"/>
      <c r="IU93" s="398">
        <f>IF(IT93=0,0,IF(LEN(II93)=11,_xlfn.XLOOKUP(II93,'Dispensed Ink Rates'!C:C,'Dispensed Ink Rates'!CS:CS),VLOOKUP(II93,'Jan-2026 rates'!$E:$F,2,0)))</f>
        <v>0</v>
      </c>
      <c r="IV93" s="409"/>
      <c r="IW93" s="398">
        <f>IF(IV93=0,0,IF(LEN(IJ93)=11,_xlfn.XLOOKUP(IJ93,'Dispensed Ink Rates'!C:C,'Dispensed Ink Rates'!CS:CS),VLOOKUP(IJ93,'Jan-2026 rates'!$E:$F,2,0)))</f>
        <v>0</v>
      </c>
      <c r="IX93" s="409"/>
      <c r="IY93" s="398">
        <f>IF(IX93=0,0,IF(LEN(IK93)=11,_xlfn.XLOOKUP(IK93,'Dispensed Ink Rates'!C:C,'Dispensed Ink Rates'!CS:CS),VLOOKUP(IK93,'Jan-2026 rates'!$E:$F,2,0)))</f>
        <v>0</v>
      </c>
      <c r="IZ93" s="409"/>
      <c r="JA93" s="398">
        <f>IF(IZ93=0,0,IF(LEN(IL93)=11,_xlfn.XLOOKUP(IL93,'Dispensed Ink Rates'!C:C,'Dispensed Ink Rates'!CS:CS),VLOOKUP(IL93,'Jan-2026 rates'!$E:$F,2,0)))</f>
        <v>0</v>
      </c>
      <c r="JB93" s="409"/>
      <c r="JC93" s="398">
        <f>IF(JB93=0,0,IF(LEN(IM93)=11,_xlfn.XLOOKUP(IM93,'Dispensed Ink Rates'!C:C,'Dispensed Ink Rates'!CS:CS),VLOOKUP(IM93,'Jan-2026 rates'!$E:$F,2,0)))</f>
        <v>0</v>
      </c>
      <c r="JD93" s="409"/>
      <c r="JE93" s="409"/>
      <c r="JF93" s="411">
        <f t="shared" si="100"/>
        <v>0</v>
      </c>
      <c r="JG93" s="411">
        <f t="shared" si="101"/>
        <v>0</v>
      </c>
      <c r="JH93" s="410">
        <f t="shared" si="102"/>
        <v>0</v>
      </c>
      <c r="JI93" s="405"/>
      <c r="JJ93" s="409"/>
      <c r="JK93" s="420" t="str">
        <f t="shared" si="60"/>
        <v xml:space="preserve"> - </v>
      </c>
      <c r="JL93" s="409"/>
      <c r="JM93" s="411">
        <f>IF(JL93=0,0,IF($LB93=70%,VLOOKUP($JK93,'Jan-2026 rates'!$L:$R,4,0),IF($LB93=65%,VLOOKUP($JK93,'Jan-2026 rates'!$L:$R,4,0),IF($LB93=40%,VLOOKUP($JK93,'Jan-2026 rates'!$L:$R,5,0),IF($LB93=30%,VLOOKUP($JK93,'Jan-2026 rates'!$L:$R,6,0),IF($LB93=100%,VLOOKUP($JK93,'Jan-2026 rates'!$L:$R,7,0),IF($LB93=60%,VLOOKUP($JK93,'Jan-2026 rates'!$L:$S,8,0),IF($LB93=80%,VLOOKUP($JK93,'Jan-2026 rates'!L:T,9,0),0))))))))</f>
        <v>0</v>
      </c>
      <c r="JN93" s="412"/>
      <c r="JO93" s="409"/>
      <c r="JP93" s="411">
        <f>IF(JO93=0,0,IF($LB93=70%,VLOOKUP($JK93,'Jan-2026 rates'!$L:$R,4,0),IF($LB93=65%,VLOOKUP($JK93,'Jan-2026 rates'!$L:$R,4,0),IF($LB93=40%,VLOOKUP($JK93,'Jan-2026 rates'!$L:$R,5,0),IF($LB93=30%,VLOOKUP($JK93,'Jan-2026 rates'!$L:$R,6,0),IF($LB93=100%,VLOOKUP($JK93,'Jan-2026 rates'!$L:$R,7,0),IF($LB93=60%,VLOOKUP($JK93,'Jan-2026 rates'!$L:$S,8,0),IF($LB93=80%,VLOOKUP($JK93,'Jan-2026 rates'!L:T,9,0),0))))))))</f>
        <v>0</v>
      </c>
      <c r="JQ93" s="413"/>
      <c r="JR93" s="412"/>
      <c r="JS93" s="413"/>
      <c r="JT93" s="413"/>
      <c r="JU93" s="412"/>
      <c r="JV93" s="412"/>
      <c r="JW93" s="412"/>
      <c r="JX93" s="412"/>
      <c r="JY93" s="409"/>
      <c r="JZ93" s="398">
        <f>IF(JY93=0,0,IF(LEN(JQ93)=11,_xlfn.XLOOKUP(JQ93,'Dispensed Ink Rates'!C:C,'Dispensed Ink Rates'!CS:CS),VLOOKUP(JQ93,'Jan-2026 rates'!$E:$F,2,0)))</f>
        <v>0</v>
      </c>
      <c r="KA93" s="409"/>
      <c r="KB93" s="398">
        <f>IF(KA93=0,0,IF(LEN(JR93)=11,_xlfn.XLOOKUP(JR93,'Dispensed Ink Rates'!C:C,'Dispensed Ink Rates'!CS:CS),VLOOKUP(JR93,'Jan-2026 rates'!$E:$F,2,0)))</f>
        <v>0</v>
      </c>
      <c r="KC93" s="409"/>
      <c r="KD93" s="398">
        <f>IF(KC93=0,0,IF(LEN(JS93)=11,_xlfn.XLOOKUP(JS93,'Dispensed Ink Rates'!C:C,'Dispensed Ink Rates'!CS:CS),VLOOKUP(JS93,'Jan-2026 rates'!$E:$F,2,0)))</f>
        <v>0</v>
      </c>
      <c r="KE93" s="409"/>
      <c r="KF93" s="398">
        <f>IF(KE93=0,0,IF(LEN(JT93)=11,_xlfn.XLOOKUP(JT93,'Dispensed Ink Rates'!C:C,'Dispensed Ink Rates'!CS:CS),VLOOKUP(JT93,'Jan-2026 rates'!$E:$F,2,0)))</f>
        <v>0</v>
      </c>
      <c r="KG93" s="409"/>
      <c r="KH93" s="398">
        <f>IF(KG93=0,0,IF(LEN(JU93)=11,_xlfn.XLOOKUP(JU93,'Dispensed Ink Rates'!C:C,'Dispensed Ink Rates'!CS:CS),VLOOKUP(JU93,'Jan-2026 rates'!$E:$F,2,0)))</f>
        <v>0</v>
      </c>
      <c r="KI93" s="409"/>
      <c r="KJ93" s="398">
        <f>IF(KI93=0,0,IF(LEN(JV93)=11,_xlfn.XLOOKUP(JV93,'Dispensed Ink Rates'!C:C,'Dispensed Ink Rates'!CS:CS),VLOOKUP(JV93,'Jan-2026 rates'!$E:$F,2,0)))</f>
        <v>0</v>
      </c>
      <c r="KK93" s="409"/>
      <c r="KL93" s="398">
        <f>IF(KK93=0,0,IF(LEN(JW93)=11,_xlfn.XLOOKUP(JW93,'Dispensed Ink Rates'!C:C,'Dispensed Ink Rates'!CS:CS),VLOOKUP(JW93,'Jan-2026 rates'!$E:$F,2,0)))</f>
        <v>0</v>
      </c>
      <c r="KM93" s="428"/>
      <c r="KN93" s="398">
        <f>IF(KM93=0,0,IF(LEN(JX93)=11,_xlfn.XLOOKUP(JX93,'Dispensed Ink Rates'!C:C,'Dispensed Ink Rates'!CS:CS),VLOOKUP(JX93,'Jan-2026 rates'!$E:$F,2,0)))</f>
        <v>0</v>
      </c>
      <c r="KO93" s="409"/>
      <c r="KP93" s="409"/>
      <c r="KQ93" s="411">
        <f t="shared" si="103"/>
        <v>0</v>
      </c>
      <c r="KR93" s="411">
        <f t="shared" si="104"/>
        <v>0</v>
      </c>
      <c r="KS93" s="410">
        <f t="shared" si="105"/>
        <v>0</v>
      </c>
      <c r="KT93" s="409">
        <v>8</v>
      </c>
      <c r="KU93" s="409">
        <v>8</v>
      </c>
      <c r="KV93" s="409">
        <v>0</v>
      </c>
      <c r="KW93" s="409">
        <v>0</v>
      </c>
      <c r="KX93" s="409">
        <v>0</v>
      </c>
      <c r="KY93" s="409">
        <v>0</v>
      </c>
      <c r="KZ93" s="409">
        <v>0</v>
      </c>
      <c r="LA93" s="409">
        <v>0</v>
      </c>
      <c r="LB93" s="415">
        <v>0.8</v>
      </c>
      <c r="LC93" s="415">
        <v>0.2</v>
      </c>
      <c r="LD93" s="415"/>
      <c r="LE93" s="415"/>
      <c r="LF93" s="415"/>
      <c r="LG93" s="409">
        <v>0</v>
      </c>
      <c r="LH93" s="409">
        <f>16+10+16+4</f>
        <v>46</v>
      </c>
      <c r="LI93" s="409">
        <v>0</v>
      </c>
      <c r="LJ93" s="409">
        <v>0</v>
      </c>
      <c r="LK93" s="416">
        <f t="shared" si="61"/>
        <v>46</v>
      </c>
      <c r="LL93" s="416">
        <f t="shared" si="62"/>
        <v>46</v>
      </c>
      <c r="LM93" s="417">
        <f t="shared" si="63"/>
        <v>36.800000000000004</v>
      </c>
      <c r="LN93" s="417">
        <f>VLOOKUP($LM$8,'Jan-2026 rates'!$H:$I,2,0)</f>
        <v>0</v>
      </c>
      <c r="LO93" s="417">
        <f t="shared" si="64"/>
        <v>9.2000000000000011</v>
      </c>
      <c r="LP93" s="417">
        <f>VLOOKUP($LO$8,'Jan-2026 rates'!$H:$I,2,0)</f>
        <v>0</v>
      </c>
      <c r="LQ93" s="417">
        <f t="shared" si="65"/>
        <v>0</v>
      </c>
      <c r="LR93" s="417">
        <f>VLOOKUP($LQ$8,'Jan-2026 rates'!$H:$I,2,0)</f>
        <v>0</v>
      </c>
      <c r="LS93" s="417">
        <f t="shared" si="66"/>
        <v>0</v>
      </c>
      <c r="LT93" s="417">
        <f>VLOOKUP($LS$8,'Jan-2026 rates'!$H:$I,2,0)</f>
        <v>0</v>
      </c>
      <c r="LU93" s="417">
        <f t="shared" si="67"/>
        <v>0</v>
      </c>
      <c r="LV93" s="417">
        <f>VLOOKUP($LU$8,'Jan-2026 rates'!$H:$I,2,0)</f>
        <v>0</v>
      </c>
      <c r="LW93" s="417">
        <f t="shared" si="68"/>
        <v>0</v>
      </c>
      <c r="LX93" s="417">
        <f t="shared" si="69"/>
        <v>0</v>
      </c>
      <c r="LY93" s="418">
        <f t="shared" si="70"/>
        <v>0</v>
      </c>
      <c r="LZ93" s="417"/>
      <c r="MA93" s="435">
        <f t="shared" si="71"/>
        <v>24</v>
      </c>
      <c r="MB93" s="282">
        <f t="shared" si="72"/>
        <v>62</v>
      </c>
      <c r="MC93" s="283">
        <v>48</v>
      </c>
      <c r="MD93" s="284" t="str">
        <f t="shared" si="73"/>
        <v>FLINTSLFLINTSL</v>
      </c>
      <c r="ME93" s="293" t="str">
        <f t="shared" si="74"/>
        <v>+</v>
      </c>
      <c r="MF93" s="293" t="str">
        <f t="shared" si="75"/>
        <v>+</v>
      </c>
      <c r="MG93" s="293" t="str">
        <f t="shared" si="76"/>
        <v>NIL</v>
      </c>
      <c r="MH93" s="293" t="str">
        <f t="shared" si="77"/>
        <v>NIL</v>
      </c>
      <c r="MI93" s="293" t="str">
        <f t="shared" si="78"/>
        <v>NIL</v>
      </c>
      <c r="MJ93" s="293" t="str">
        <f t="shared" si="79"/>
        <v>NIL</v>
      </c>
      <c r="MK93" s="293" t="str">
        <f t="shared" si="80"/>
        <v>NIL</v>
      </c>
      <c r="ML93" s="293" t="str">
        <f t="shared" si="81"/>
        <v>NIL</v>
      </c>
      <c r="MM93" s="3" t="b">
        <f t="array" ref="MM93">OR(ME93:ML93="-")</f>
        <v>0</v>
      </c>
      <c r="MN93" s="285"/>
      <c r="MO93" s="401"/>
      <c r="MP93" s="286"/>
      <c r="MQ93" s="286"/>
      <c r="MR93" s="402"/>
      <c r="MS93" s="400"/>
      <c r="NH93" s="422"/>
      <c r="NJ93" s="421"/>
    </row>
    <row r="94" spans="1:374" s="1" customFormat="1" ht="16.5">
      <c r="A94" s="403">
        <v>46029</v>
      </c>
      <c r="B94" s="404" t="s">
        <v>1015</v>
      </c>
      <c r="C94" s="405" t="s">
        <v>3122</v>
      </c>
      <c r="D94" s="406">
        <v>49</v>
      </c>
      <c r="E94" s="404">
        <v>249</v>
      </c>
      <c r="F94" s="407">
        <v>11000</v>
      </c>
      <c r="G94" s="407" t="s">
        <v>1019</v>
      </c>
      <c r="H94" s="408" t="s">
        <v>1017</v>
      </c>
      <c r="I94" s="409">
        <v>1.7</v>
      </c>
      <c r="J94" s="405" t="s">
        <v>543</v>
      </c>
      <c r="K94" s="404" t="s">
        <v>3123</v>
      </c>
      <c r="L94" s="419" t="str">
        <f t="shared" si="54"/>
        <v>FLINTSL - BLACK</v>
      </c>
      <c r="M94" s="404">
        <v>27</v>
      </c>
      <c r="N94" s="410">
        <f>IF(M94=0,0,IF($LB94=70%,VLOOKUP($L94,'Jan-2026 rates'!$L:$R,4,0),IF($LB94=65%,VLOOKUP($L94,'Jan-2026 rates'!$L:$R,4,0),IF($LB94=40%,VLOOKUP($L94,'Jan-2026 rates'!$L:$R,5,0),IF($LB94=30%,VLOOKUP($L94,'Jan-2026 rates'!$L:$R,6,0),IF($LB94=100%,VLOOKUP($L94,'Jan-2026 rates'!$L:$R,7,0),IF($LB94=60%,VLOOKUP($L94,'Jan-2026 rates'!$L:$S,8,0),IF($LB94=80%,VLOOKUP($L94,'Jan-2026 rates'!L:T,9,0),0))))))))</f>
        <v>0</v>
      </c>
      <c r="O94" s="406"/>
      <c r="P94" s="404"/>
      <c r="Q94" s="410">
        <f>IF(P94=0,0,IF($LB94=70%,VLOOKUP($L94,'Jan-2026 rates'!$L:$R,4,0),IF($LB94=65%,VLOOKUP($L94,'Jan-2026 rates'!$L:$R,4,0),IF($LB94=40%,VLOOKUP($L94,'Jan-2026 rates'!$L:$R,5,0),IF($LB94=30%,VLOOKUP($L94,'Jan-2026 rates'!$L:$R,6,0),IF($LB94=100%,VLOOKUP($L94,'Jan-2026 rates'!$L:$R,7,0),IF($LB94=60%,VLOOKUP($L94,'Jan-2026 rates'!$L:$S,8,0),IF($LB94=80%,VLOOKUP($L94,'Jan-2026 rates'!L:T,9,0),0))))))))</f>
        <v>0</v>
      </c>
      <c r="R94" s="406">
        <v>26506000006</v>
      </c>
      <c r="S94" s="406"/>
      <c r="T94" s="406"/>
      <c r="U94" s="406"/>
      <c r="V94" s="406"/>
      <c r="W94" s="406"/>
      <c r="X94" s="406"/>
      <c r="Y94" s="406"/>
      <c r="Z94" s="404">
        <v>6</v>
      </c>
      <c r="AA94" s="398" t="e">
        <f>IF(Z94=0,0,IF(LEN(R94)=11,_xlfn.XLOOKUP(R94,'Dispensed Ink Rates'!C:C,'Dispensed Ink Rates'!CS:CS),VLOOKUP(R94,'Jan-2026 rates'!$E:$F,2,0)))</f>
        <v>#N/A</v>
      </c>
      <c r="AB94" s="404"/>
      <c r="AC94" s="398">
        <f>IF(AB94=0,0,IF(LEN(S94)=11,_xlfn.XLOOKUP(S94,'Dispensed Ink Rates'!C:C,'Dispensed Ink Rates'!CS:CS),VLOOKUP(S94,'Jan-2026 rates'!$E:$F,2,0)))</f>
        <v>0</v>
      </c>
      <c r="AD94" s="404"/>
      <c r="AE94" s="398">
        <f>IF(AD94=0,0,IF(LEN(T94)=11,_xlfn.XLOOKUP(T94,'Dispensed Ink Rates'!C:C,'Dispensed Ink Rates'!CS:CS),VLOOKUP(T94,'Jan-2026 rates'!$E:$F,2,0)))</f>
        <v>0</v>
      </c>
      <c r="AF94" s="404"/>
      <c r="AG94" s="398">
        <f>IF(AF94=0,0,IF(LEN(U94)=11,_xlfn.XLOOKUP(U94,'Dispensed Ink Rates'!C:C,'Dispensed Ink Rates'!CS:CS),VLOOKUP(U94,'Jan-2026 rates'!$E:$F,2,0)))</f>
        <v>0</v>
      </c>
      <c r="AH94" s="404"/>
      <c r="AI94" s="398">
        <f>IF(AH94=0,0,IF(LEN(V94)=11,_xlfn.XLOOKUP(V94,'Dispensed Ink Rates'!C:C,'Dispensed Ink Rates'!CS:CS),VLOOKUP(V94,'Jan-2026 rates'!$E:$F,2,0)))</f>
        <v>0</v>
      </c>
      <c r="AJ94" s="404"/>
      <c r="AK94" s="398">
        <f>IF(AJ94=0,0,IF(LEN(W94)=11,_xlfn.XLOOKUP(W94,'Dispensed Ink Rates'!C:C,'Dispensed Ink Rates'!CS:CS),VLOOKUP(W94,'Jan-2026 rates'!$E:$F,2,0)))</f>
        <v>0</v>
      </c>
      <c r="AL94" s="404"/>
      <c r="AM94" s="398">
        <f>IF(AL94=0,0,IF(LEN(X94)=11,_xlfn.XLOOKUP(X94,'Dispensed Ink Rates'!C:C,'Dispensed Ink Rates'!CS:CS),VLOOKUP(X94,'Jan-2026 rates'!$E:$F,2,0)))</f>
        <v>0</v>
      </c>
      <c r="AN94" s="404"/>
      <c r="AO94" s="398">
        <f>IF(AN94=0,0,IF(LEN(Y94)=11,_xlfn.XLOOKUP(Y94,'Dispensed Ink Rates'!C:C,'Dispensed Ink Rates'!CS:CS),VLOOKUP(Y94,'Jan-2026 rates'!$E:$F,2,0)))</f>
        <v>0</v>
      </c>
      <c r="AP94" s="409" t="s">
        <v>1443</v>
      </c>
      <c r="AQ94" s="409">
        <v>24</v>
      </c>
      <c r="AR94" s="410">
        <f t="shared" si="82"/>
        <v>0</v>
      </c>
      <c r="AS94" s="411">
        <f t="shared" si="83"/>
        <v>16.372881355932201</v>
      </c>
      <c r="AT94" s="410">
        <f t="shared" si="84"/>
        <v>0</v>
      </c>
      <c r="AU94" s="405" t="s">
        <v>546</v>
      </c>
      <c r="AV94" s="409" t="s">
        <v>3124</v>
      </c>
      <c r="AW94" s="420" t="str">
        <f t="shared" si="53"/>
        <v>FLINTSL - REFLEX BLUE</v>
      </c>
      <c r="AX94" s="409">
        <v>10</v>
      </c>
      <c r="AY94" s="411">
        <f>IF(AX94=0,0,IF($LB94=70%,VLOOKUP($AW94,'Jan-2026 rates'!$L:$R,4,0),IF($LB94=65%,VLOOKUP($AW94,'Jan-2026 rates'!$L:$R,4,0),IF($LB94=40%,VLOOKUP($AW94,'Jan-2026 rates'!$L:$R,5,0),IF($LB94=30%,VLOOKUP($AW94,'Jan-2026 rates'!$L:$R,6,0),IF($LB94=100%,VLOOKUP($AW94,'Jan-2026 rates'!$L:$R,7,0),IF($LB94=60%,VLOOKUP($AW94,'Jan-2026 rates'!$L:$S,8,0),IF($LB94=80%,VLOOKUP($AW94,'Jan-2026 rates'!L:T,9,0),0))))))))</f>
        <v>0</v>
      </c>
      <c r="AZ94" s="412"/>
      <c r="BA94" s="409"/>
      <c r="BB94" s="411">
        <f>IF(BA94=0,0,IF($LB94=70%,VLOOKUP($AW94,'Jan-2026 rates'!$L:$R,4,0),IF($LB94=65%,VLOOKUP($AW94,'Jan-2026 rates'!$L:$R,4,0),IF($LB94=40%,VLOOKUP($AW94,'Jan-2026 rates'!$L:$R,5,0),IF($LB94=30%,VLOOKUP($AW94,'Jan-2026 rates'!$L:$R,6,0),IF($LB94=100%,VLOOKUP($AW94,'Jan-2026 rates'!$L:$R,7,0),IF($LB94=60%,VLOOKUP($AW94,'Jan-2026 rates'!$L:$S,8,0),IF($LB94=80%,VLOOKUP($AW94,'Jan-2026 rates'!L:T,9,0),0))))))))</f>
        <v>0</v>
      </c>
      <c r="BC94" s="413">
        <v>26507000016</v>
      </c>
      <c r="BD94" s="412" t="s">
        <v>1266</v>
      </c>
      <c r="BE94" s="412">
        <v>26507000018</v>
      </c>
      <c r="BF94" s="413"/>
      <c r="BG94" s="412"/>
      <c r="BH94" s="412"/>
      <c r="BI94" s="412"/>
      <c r="BJ94" s="412"/>
      <c r="BK94" s="409">
        <v>6</v>
      </c>
      <c r="BL94" s="398" t="e">
        <f>IF(BK94=0,0,IF(LEN(BC94)=11,_xlfn.XLOOKUP(BC94,'Dispensed Ink Rates'!C:C,'Dispensed Ink Rates'!CS:CS),VLOOKUP(BC94,'Jan-2026 rates'!$E:$F,2,0)))</f>
        <v>#N/A</v>
      </c>
      <c r="BM94" s="409">
        <v>6</v>
      </c>
      <c r="BN94" s="398">
        <f>IF(BM94=0,0,IF(LEN(BD94)=11,_xlfn.XLOOKUP(BD94,'Dispensed Ink Rates'!C:C,'Dispensed Ink Rates'!CS:CS),VLOOKUP(BD94,'Jan-2026 rates'!$E:$F,2,0)))</f>
        <v>0</v>
      </c>
      <c r="BO94" s="409">
        <v>10</v>
      </c>
      <c r="BP94" s="398" t="e">
        <f>IF(BO94=0,0,IF(LEN(BE94)=11,_xlfn.XLOOKUP(BE94,'Dispensed Ink Rates'!C:C,'Dispensed Ink Rates'!CS:CS),VLOOKUP(BE94,'Jan-2026 rates'!$E:$F,2,0)))</f>
        <v>#N/A</v>
      </c>
      <c r="BQ94" s="409"/>
      <c r="BR94" s="398">
        <f>IF(BQ94=0,0,IF(LEN(BF94)=11,_xlfn.XLOOKUP(BF94,'Dispensed Ink Rates'!C:C,'Dispensed Ink Rates'!CS:CS),VLOOKUP(BF94,'Jan-2026 rates'!$E:$F,2,0)))</f>
        <v>0</v>
      </c>
      <c r="BS94" s="409"/>
      <c r="BT94" s="398">
        <f>IF(BS94=0,0,IF(LEN(BG94)=11,_xlfn.XLOOKUP(BG94,'Dispensed Ink Rates'!C:C,'Dispensed Ink Rates'!CS:CS),VLOOKUP(BG94,'Jan-2026 rates'!$E:$F,2,0)))</f>
        <v>0</v>
      </c>
      <c r="BU94" s="409"/>
      <c r="BV94" s="398">
        <f>IF(BU94=0,0,IF(LEN(BH94)=11,_xlfn.XLOOKUP(BH94,'Dispensed Ink Rates'!C:C,'Dispensed Ink Rates'!CS:CS),VLOOKUP(BH94,'Jan-2026 rates'!$E:$F,2,0)))</f>
        <v>0</v>
      </c>
      <c r="BW94" s="409"/>
      <c r="BX94" s="398">
        <f>IF(BW94=0,0,IF(LEN(BI94)=11,_xlfn.XLOOKUP(BI94,'Dispensed Ink Rates'!C:C,'Dispensed Ink Rates'!CS:CS),VLOOKUP(BI94,'Jan-2026 rates'!$E:$F,2,0)))</f>
        <v>0</v>
      </c>
      <c r="BY94" s="409"/>
      <c r="BZ94" s="398">
        <f>IF(BY94=0,0,IF(LEN(BJ94)=11,_xlfn.XLOOKUP(BJ94,'Dispensed Ink Rates'!C:C,'Dispensed Ink Rates'!CS:CS),VLOOKUP(BJ94,'Jan-2026 rates'!$E:$F,2,0)))</f>
        <v>0</v>
      </c>
      <c r="CA94" s="409" t="s">
        <v>1443</v>
      </c>
      <c r="CB94" s="409">
        <v>26</v>
      </c>
      <c r="CC94" s="411">
        <f t="shared" si="85"/>
        <v>0</v>
      </c>
      <c r="CD94" s="411">
        <f t="shared" si="86"/>
        <v>20.745762711864408</v>
      </c>
      <c r="CE94" s="410">
        <f t="shared" si="87"/>
        <v>0</v>
      </c>
      <c r="CF94" s="404" t="s">
        <v>857</v>
      </c>
      <c r="CG94" s="409" t="s">
        <v>3125</v>
      </c>
      <c r="CH94" s="420" t="str">
        <f t="shared" si="55"/>
        <v>FLINTSL - RED</v>
      </c>
      <c r="CI94" s="409">
        <v>27</v>
      </c>
      <c r="CJ94" s="411">
        <f>IF(CI94=0,0,IF($LB94=70%,VLOOKUP($CH94,'Jan-2026 rates'!$L:$R,4,0),IF($LB94=65%,VLOOKUP($CH94,'Jan-2026 rates'!$L:$R,4,0),IF($LB94=40%,VLOOKUP($CH94,'Jan-2026 rates'!$L:$R,5,0),IF($LB94=30%,VLOOKUP($CH94,'Jan-2026 rates'!$L:$R,6,0),IF($LB94=100%,VLOOKUP($CH94,'Jan-2026 rates'!$L:$R,7,0),IF($LB94=60%,VLOOKUP($CH94,'Jan-2026 rates'!$L:$S,8,0),IF($LB94=80%,VLOOKUP($CH94,'Jan-2026 rates'!L:T,9,0),0))))))))</f>
        <v>0</v>
      </c>
      <c r="CK94" s="412"/>
      <c r="CL94" s="409"/>
      <c r="CM94" s="411">
        <f>IF(CL94=0,0,IF($LB94=70%,VLOOKUP($CH94,'Jan-2026 rates'!$L:$R,4,0),IF($LB94=65%,VLOOKUP($CH94,'Jan-2026 rates'!$L:$R,4,0),IF($LB94=40%,VLOOKUP($CH94,'Jan-2026 rates'!$L:$R,5,0),IF($LB94=30%,VLOOKUP($CH94,'Jan-2026 rates'!$L:$R,6,0),IF($LB94=100%,VLOOKUP($CH94,'Jan-2026 rates'!$L:$R,7,0),IF($LB94=60%,VLOOKUP($CH94,'Jan-2026 rates'!$L:$S,8,0),IF($LB94=80%,VLOOKUP($CH94,'Jan-2026 rates'!L:T,9,0),0))))))))</f>
        <v>0</v>
      </c>
      <c r="CN94" s="426">
        <v>25863000007</v>
      </c>
      <c r="CO94" s="427">
        <v>26508000003</v>
      </c>
      <c r="CP94" s="426"/>
      <c r="CQ94" s="426"/>
      <c r="CR94" s="428"/>
      <c r="CS94" s="428"/>
      <c r="CT94" s="428"/>
      <c r="CU94" s="428"/>
      <c r="CV94" s="409">
        <v>8</v>
      </c>
      <c r="CW94" s="398" t="e">
        <f>IF(CV94=0,0,IF(LEN(CN94)=11,_xlfn.XLOOKUP(CN94,'Dispensed Ink Rates'!C:C,'Dispensed Ink Rates'!CS:CS),VLOOKUP(CN94,'Jan-2026 rates'!$E:$F,2,0)))</f>
        <v>#N/A</v>
      </c>
      <c r="CX94" s="409">
        <v>6</v>
      </c>
      <c r="CY94" s="398" t="e">
        <f>IF(CX94=0,0,IF(LEN(CO94)=11,_xlfn.XLOOKUP(CO94,'Dispensed Ink Rates'!C:C,'Dispensed Ink Rates'!CS:CS),VLOOKUP(CO94,'Jan-2026 rates'!$E:$F,2,0)))</f>
        <v>#N/A</v>
      </c>
      <c r="CZ94" s="409"/>
      <c r="DA94" s="398">
        <f>IF(CZ94=0,0,IF(LEN(CP94)=11,_xlfn.XLOOKUP(CP94,'Dispensed Ink Rates'!C:C,'Dispensed Ink Rates'!CS:CS),VLOOKUP(CP94,'Jan-2026 rates'!$E:$F,2,0)))</f>
        <v>0</v>
      </c>
      <c r="DB94" s="409"/>
      <c r="DC94" s="398">
        <f>IF(DB94=0,0,IF(LEN(CQ94)=11,_xlfn.XLOOKUP(CQ94,'Dispensed Ink Rates'!C:C,'Dispensed Ink Rates'!CS:CS),VLOOKUP(CQ94,'Jan-2026 rates'!$E:$F,2,0)))</f>
        <v>0</v>
      </c>
      <c r="DD94" s="409"/>
      <c r="DE94" s="398">
        <f>IF(DD94=0,0,IF(LEN(CR94)=11,_xlfn.XLOOKUP(CR94,'Dispensed Ink Rates'!C:C,'Dispensed Ink Rates'!CS:CS),VLOOKUP(CR94,'Jan-2026 rates'!$E:$F,2,0)))</f>
        <v>0</v>
      </c>
      <c r="DF94" s="409"/>
      <c r="DG94" s="398">
        <f>IF(DF94=0,0,IF(LEN(CS94)=11,_xlfn.XLOOKUP(CS94,'Dispensed Ink Rates'!C:C,'Dispensed Ink Rates'!CS:CS),VLOOKUP(CS94,'Jan-2026 rates'!$E:$F,2,0)))</f>
        <v>0</v>
      </c>
      <c r="DH94" s="409"/>
      <c r="DI94" s="398">
        <f>IF(DH94=0,0,IF(LEN(CT94)=11,_xlfn.XLOOKUP(CT94,'Dispensed Ink Rates'!C:C,'Dispensed Ink Rates'!CS:CS),VLOOKUP(CT94,'Jan-2026 rates'!$E:$F,2,0)))</f>
        <v>0</v>
      </c>
      <c r="DJ94" s="409"/>
      <c r="DK94" s="398">
        <f>IF(DJ94=0,0,IF(LEN(CU94)=11,_xlfn.XLOOKUP(CU94,'Dispensed Ink Rates'!C:C,'Dispensed Ink Rates'!CS:CS),VLOOKUP(CU94,'Jan-2026 rates'!$E:$F,2,0)))</f>
        <v>0</v>
      </c>
      <c r="DL94" s="409" t="s">
        <v>1443</v>
      </c>
      <c r="DM94" s="409">
        <v>26</v>
      </c>
      <c r="DN94" s="411">
        <f t="shared" si="88"/>
        <v>0</v>
      </c>
      <c r="DO94" s="411">
        <f t="shared" si="89"/>
        <v>23.847457627118644</v>
      </c>
      <c r="DP94" s="410">
        <f t="shared" si="90"/>
        <v>0</v>
      </c>
      <c r="DQ94" s="405" t="s">
        <v>855</v>
      </c>
      <c r="DR94" s="409" t="s">
        <v>3126</v>
      </c>
      <c r="DS94" s="420" t="str">
        <f t="shared" si="56"/>
        <v>FLINTSL - CYAN</v>
      </c>
      <c r="DT94" s="409">
        <v>27</v>
      </c>
      <c r="DU94" s="411">
        <f>IF(DT94=0,0,IF($LB94=70%,VLOOKUP($DS94,'Jan-2026 rates'!$L:$R,4,0),IF($LB94=65%,VLOOKUP($DS94,'Jan-2026 rates'!$L:$R,4,0),IF($LB94=40%,VLOOKUP($DS94,'Jan-2026 rates'!$L:$R,5,0),IF($LB94=30%,VLOOKUP($DS94,'Jan-2026 rates'!$L:$R,6,0),IF($LB94=100%,VLOOKUP($DS94,'Jan-2026 rates'!$L:$R,7,0),IF($LB94=60%,VLOOKUP($DS94,'Jan-2026 rates'!$L:$S,8,0),IF($LB94=80%,VLOOKUP($DS94,'Jan-2026 rates'!L:T,9,0),0))))))))</f>
        <v>0</v>
      </c>
      <c r="DV94" s="412"/>
      <c r="DW94" s="409"/>
      <c r="DX94" s="411">
        <f>IF(DW94=0,0,IF($LB94=70%,VLOOKUP($DS94,'Jan-2026 rates'!$L:$R,4,0),IF($LB94=65%,VLOOKUP($DS94,'Jan-2026 rates'!$L:$R,4,0),IF($LB94=40%,VLOOKUP($DS94,'Jan-2026 rates'!$L:$R,5,0),IF($LB94=30%,VLOOKUP($DS94,'Jan-2026 rates'!$L:$R,6,0),IF($LB94=100%,VLOOKUP($DS94,'Jan-2026 rates'!$L:$R,7,0),IF($LB94=60%,VLOOKUP($DS94,'Jan-2026 rates'!$L:$S,8,0),IF($LB94=80%,VLOOKUP($DS94,'Jan-2026 rates'!L:T,9,0),0))))))))</f>
        <v>0</v>
      </c>
      <c r="DY94" s="413" t="s">
        <v>1266</v>
      </c>
      <c r="DZ94" s="413"/>
      <c r="EA94" s="412"/>
      <c r="EB94" s="412"/>
      <c r="EC94" s="412"/>
      <c r="ED94" s="412"/>
      <c r="EE94" s="412"/>
      <c r="EF94" s="412"/>
      <c r="EG94" s="409">
        <v>6</v>
      </c>
      <c r="EH94" s="398">
        <f>IF(EG94=0,0,IF(LEN(DY94)=11,_xlfn.XLOOKUP(DY94,'Dispensed Ink Rates'!C:C,'Dispensed Ink Rates'!CS:CS),VLOOKUP(DY94,'Jan-2026 rates'!$E:$F,2,0)))</f>
        <v>0</v>
      </c>
      <c r="EI94" s="409"/>
      <c r="EJ94" s="398">
        <f>IF(EI94=0,0,IF(LEN(DZ94)=11,_xlfn.XLOOKUP(DZ94,'Dispensed Ink Rates'!C:C,'Dispensed Ink Rates'!CS:CS),VLOOKUP(DZ94,'Jan-2026 rates'!$E:$F,2,0)))</f>
        <v>0</v>
      </c>
      <c r="EK94" s="409"/>
      <c r="EL94" s="398">
        <f>IF(EK94=0,0,IF(LEN(EA94)=11,_xlfn.XLOOKUP(EA94,'Dispensed Ink Rates'!C:C,'Dispensed Ink Rates'!CS:CS),VLOOKUP(EA94,'Jan-2026 rates'!$E:$F,2,0)))</f>
        <v>0</v>
      </c>
      <c r="EM94" s="409"/>
      <c r="EN94" s="398">
        <f>IF(EM94=0,0,IF(LEN(EB94)=11,_xlfn.XLOOKUP(EB94,'Dispensed Ink Rates'!C:C,'Dispensed Ink Rates'!CS:CS),VLOOKUP(EB94,'Jan-2026 rates'!$E:$F,2,0)))</f>
        <v>0</v>
      </c>
      <c r="EO94" s="409"/>
      <c r="EP94" s="398">
        <f>IF(EO94=0,0,IF(LEN(EC94)=11,_xlfn.XLOOKUP(EC94,'Dispensed Ink Rates'!C:C,'Dispensed Ink Rates'!CS:CS),VLOOKUP(EC94,'Jan-2026 rates'!$E:$F,2,0)))</f>
        <v>0</v>
      </c>
      <c r="EQ94" s="409"/>
      <c r="ER94" s="398">
        <f>IF(EQ94=0,0,IF(LEN(ED94)=11,_xlfn.XLOOKUP(ED94,'Dispensed Ink Rates'!C:C,'Dispensed Ink Rates'!CS:CS),VLOOKUP(ED94,'Jan-2026 rates'!$E:$F,2,0)))</f>
        <v>0</v>
      </c>
      <c r="ES94" s="409"/>
      <c r="ET94" s="398">
        <f>IF(ES94=0,0,IF(LEN(EE94)=11,_xlfn.XLOOKUP(EE94,'Dispensed Ink Rates'!C:C,'Dispensed Ink Rates'!CS:CS),VLOOKUP(EE94,'Jan-2026 rates'!$E:$F,2,0)))</f>
        <v>0</v>
      </c>
      <c r="EU94" s="409"/>
      <c r="EV94" s="398">
        <f>IF(EU94=0,0,IF(LEN(EF94)=11,_xlfn.XLOOKUP(EF94,'Dispensed Ink Rates'!C:C,'Dispensed Ink Rates'!CS:CS),VLOOKUP(EF94,'Jan-2026 rates'!$E:$F,2,0)))</f>
        <v>0</v>
      </c>
      <c r="EW94" s="409" t="s">
        <v>1443</v>
      </c>
      <c r="EX94" s="409">
        <v>25</v>
      </c>
      <c r="EY94" s="411">
        <f t="shared" si="91"/>
        <v>0</v>
      </c>
      <c r="EZ94" s="411">
        <f t="shared" si="92"/>
        <v>15.372881355932201</v>
      </c>
      <c r="FA94" s="410">
        <f t="shared" si="93"/>
        <v>0</v>
      </c>
      <c r="FB94" s="405" t="s">
        <v>544</v>
      </c>
      <c r="FC94" s="409" t="s">
        <v>3127</v>
      </c>
      <c r="FD94" s="420" t="str">
        <f t="shared" si="57"/>
        <v>FLINTSL - MAGENTA</v>
      </c>
      <c r="FE94" s="409">
        <v>28</v>
      </c>
      <c r="FF94" s="411">
        <f>IF(FE94=0,0,IF($LB94=70%,VLOOKUP($FD94,'Jan-2026 rates'!$L:$R,4,0),IF($LB94=65%,VLOOKUP($FD94,'Jan-2026 rates'!$L:$R,4,0),IF($LB94=40%,VLOOKUP($FD94,'Jan-2026 rates'!$L:$R,5,0),IF($LB94=30%,VLOOKUP($FD94,'Jan-2026 rates'!$L:$R,6,0),IF($LB94=100%,VLOOKUP($FD94,'Jan-2026 rates'!$L:$R,7,0),IF($LB94=60%,VLOOKUP($FD94,'Jan-2026 rates'!$L:$S,8,0),IF($LB94=80%,VLOOKUP($FD94,'Jan-2026 rates'!L:T,9,0),0))))))))</f>
        <v>0</v>
      </c>
      <c r="FG94" s="412"/>
      <c r="FH94" s="409"/>
      <c r="FI94" s="411">
        <f>IF(FH94=0,0,IF($LB94=70%,VLOOKUP($FD94,'Jan-2026 rates'!$L:$R,4,0),IF($LB94=65%,VLOOKUP($FD94,'Jan-2026 rates'!$L:$R,4,0),IF($LB94=40%,VLOOKUP($FD94,'Jan-2026 rates'!$L:$R,5,0),IF($LB94=30%,VLOOKUP($FD94,'Jan-2026 rates'!$L:$R,6,0),IF($LB94=100%,VLOOKUP($FD94,'Jan-2026 rates'!$L:$R,7,0),IF($LB94=60%,VLOOKUP($FD94,'Jan-2026 rates'!$L:$S,8,0),IF($LB94=80%,VLOOKUP($FD94,'Jan-2026 rates'!L:T,9,0),0))))))))</f>
        <v>0</v>
      </c>
      <c r="FJ94" s="413" t="s">
        <v>1266</v>
      </c>
      <c r="FK94" s="413">
        <v>26508000003</v>
      </c>
      <c r="FL94" s="413"/>
      <c r="FM94" s="412"/>
      <c r="FN94" s="412"/>
      <c r="FO94" s="412"/>
      <c r="FP94" s="412"/>
      <c r="FQ94" s="412"/>
      <c r="FR94" s="409">
        <v>3</v>
      </c>
      <c r="FS94" s="398">
        <f>IF(FR94=0,0,IF(LEN(FJ94)=11,_xlfn.XLOOKUP(FJ94,'Dispensed Ink Rates'!C:C,'Dispensed Ink Rates'!CS:CS),VLOOKUP(FJ94,'Jan-2026 rates'!$E:$F,2,0)))</f>
        <v>0</v>
      </c>
      <c r="FT94" s="409">
        <v>2</v>
      </c>
      <c r="FU94" s="398" t="e">
        <f>IF(FT94=0,0,IF(LEN(FK94)=11,_xlfn.XLOOKUP(FK94,'Dispensed Ink Rates'!C:C,'Dispensed Ink Rates'!CS:CS),VLOOKUP(FK94,'Jan-2026 rates'!$E:$F,2,0)))</f>
        <v>#N/A</v>
      </c>
      <c r="FV94" s="409"/>
      <c r="FW94" s="398">
        <f>IF(FV94=0,0,IF(LEN(FL94)=11,_xlfn.XLOOKUP(FL94,'Dispensed Ink Rates'!C:C,'Dispensed Ink Rates'!CS:CS),VLOOKUP(FL94,'Jan-2026 rates'!$E:$F,2,0)))</f>
        <v>0</v>
      </c>
      <c r="FX94" s="409"/>
      <c r="FY94" s="398">
        <f>IF(FX94=0,0,IF(LEN(FM94)=11,_xlfn.XLOOKUP(FM94,'Dispensed Ink Rates'!C:C,'Dispensed Ink Rates'!CS:CS),VLOOKUP(FM94,'Jan-2026 rates'!$E:$F,2,0)))</f>
        <v>0</v>
      </c>
      <c r="FZ94" s="409"/>
      <c r="GA94" s="398">
        <f>IF(FZ94=0,0,IF(LEN(FN94)=11,_xlfn.XLOOKUP(FN94,'Dispensed Ink Rates'!C:C,'Dispensed Ink Rates'!CS:CS),VLOOKUP(FN94,'Jan-2026 rates'!$E:$F,2,0)))</f>
        <v>0</v>
      </c>
      <c r="GB94" s="409"/>
      <c r="GC94" s="398">
        <f>IF(GB94=0,0,IF(LEN(FO94)=11,_xlfn.XLOOKUP(FO94,'Dispensed Ink Rates'!C:C,'Dispensed Ink Rates'!CS:CS),VLOOKUP(FO94,'Jan-2026 rates'!$E:$F,2,0)))</f>
        <v>0</v>
      </c>
      <c r="GD94" s="409"/>
      <c r="GE94" s="398">
        <f>IF(GD94=0,0,IF(LEN(FP94)=11,_xlfn.XLOOKUP(FP94,'Dispensed Ink Rates'!C:C,'Dispensed Ink Rates'!CS:CS),VLOOKUP(FP94,'Jan-2026 rates'!$E:$F,2,0)))</f>
        <v>0</v>
      </c>
      <c r="GF94" s="409"/>
      <c r="GG94" s="398">
        <f>IF(GF94=0,0,IF(LEN(FQ94)=11,_xlfn.XLOOKUP(FQ94,'Dispensed Ink Rates'!C:C,'Dispensed Ink Rates'!CS:CS),VLOOKUP(FQ94,'Jan-2026 rates'!$E:$F,2,0)))</f>
        <v>0</v>
      </c>
      <c r="GH94" s="409" t="s">
        <v>1443</v>
      </c>
      <c r="GI94" s="409">
        <v>28</v>
      </c>
      <c r="GJ94" s="411">
        <f t="shared" si="94"/>
        <v>0</v>
      </c>
      <c r="GK94" s="411">
        <f t="shared" si="95"/>
        <v>12.372881355932201</v>
      </c>
      <c r="GL94" s="410">
        <f t="shared" si="96"/>
        <v>0</v>
      </c>
      <c r="GM94" s="405" t="s">
        <v>545</v>
      </c>
      <c r="GN94" s="409" t="s">
        <v>3128</v>
      </c>
      <c r="GO94" s="420" t="str">
        <f t="shared" si="58"/>
        <v>FLINTSL - YELLOW</v>
      </c>
      <c r="GP94" s="409">
        <v>29</v>
      </c>
      <c r="GQ94" s="411">
        <f>IF(GP94=0,0,IF($LB94=70%,VLOOKUP($GO94,'Jan-2026 rates'!$L:$R,4,0),IF($LB94=65%,VLOOKUP($GO94,'Jan-2026 rates'!$L:$R,4,0),IF($LB94=40%,VLOOKUP($GO94,'Jan-2026 rates'!$L:$R,5,0),IF($LB94=30%,VLOOKUP($GO94,'Jan-2026 rates'!$L:$R,6,0),IF($LB94=100%,VLOOKUP($GO94,'Jan-2026 rates'!$L:$R,7,0),IF($LB94=60%,VLOOKUP($GO94,'Jan-2026 rates'!$L:$S,8,0),IF($LB94=80%,VLOOKUP($GO94,'Jan-2026 rates'!L:T,9,0),0))))))))</f>
        <v>0</v>
      </c>
      <c r="GR94" s="412"/>
      <c r="GS94" s="409"/>
      <c r="GT94" s="411">
        <f>IF(GS94=0,0,IF($LB94=70%,VLOOKUP($GO94,'Jan-2026 rates'!$L:$R,4,0),IF($LB94=65%,VLOOKUP($GO94,'Jan-2026 rates'!$L:$R,4,0),IF($LB94=40%,VLOOKUP($GO94,'Jan-2026 rates'!$L:$R,5,0),IF($LB94=30%,VLOOKUP($GO94,'Jan-2026 rates'!$L:$R,6,0),IF($LB94=100%,VLOOKUP($GO94,'Jan-2026 rates'!$L:$R,7,0),IF($LB94=60%,VLOOKUP($GO94,'Jan-2026 rates'!$L:$S,8,0),IF($LB94=80%,VLOOKUP($GO94,'Jan-2026 rates'!L:T,9,0),0))))))))</f>
        <v>0</v>
      </c>
      <c r="GU94" s="413" t="s">
        <v>1266</v>
      </c>
      <c r="GV94" s="413"/>
      <c r="GW94" s="412"/>
      <c r="GX94" s="412"/>
      <c r="GY94" s="412"/>
      <c r="GZ94" s="412"/>
      <c r="HA94" s="412"/>
      <c r="HB94" s="412"/>
      <c r="HC94" s="409">
        <v>6</v>
      </c>
      <c r="HD94" s="398">
        <f>IF(HC94=0,0,IF(LEN(GU94)=11,_xlfn.XLOOKUP(GU94,'Dispensed Ink Rates'!C:C,'Dispensed Ink Rates'!CS:CS),VLOOKUP(GU94,'Jan-2026 rates'!$E:$F,2,0)))</f>
        <v>0</v>
      </c>
      <c r="HE94" s="409"/>
      <c r="HF94" s="398">
        <f>IF(HE94=0,0,IF(LEN(GV94)=11,_xlfn.XLOOKUP(GV94,'Dispensed Ink Rates'!C:C,'Dispensed Ink Rates'!CS:CS),VLOOKUP(GV94,'Jan-2026 rates'!$E:$F,2,0)))</f>
        <v>0</v>
      </c>
      <c r="HG94" s="409"/>
      <c r="HH94" s="398">
        <f>IF(HG94=0,0,IF(LEN(GW94)=11,_xlfn.XLOOKUP(GW94,'Dispensed Ink Rates'!C:C,'Dispensed Ink Rates'!CS:CS),VLOOKUP(GW94,'Jan-2026 rates'!$E:$F,2,0)))</f>
        <v>0</v>
      </c>
      <c r="HI94" s="409"/>
      <c r="HJ94" s="398">
        <f>IF(HI94=0,0,IF(LEN(GX94)=11,_xlfn.XLOOKUP(GX94,'Dispensed Ink Rates'!C:C,'Dispensed Ink Rates'!CS:CS),VLOOKUP(GX94,'Jan-2026 rates'!$E:$F,2,0)))</f>
        <v>0</v>
      </c>
      <c r="HK94" s="409"/>
      <c r="HL94" s="398">
        <f>IF(HK94=0,0,IF(LEN(GY94)=11,_xlfn.XLOOKUP(GY94,'Dispensed Ink Rates'!C:C,'Dispensed Ink Rates'!CS:CS),VLOOKUP(GY94,'Jan-2026 rates'!$E:$F,2,0)))</f>
        <v>0</v>
      </c>
      <c r="HM94" s="409"/>
      <c r="HN94" s="398">
        <f>IF(HM94=0,0,IF(LEN(GZ94)=11,_xlfn.XLOOKUP(GZ94,'Dispensed Ink Rates'!C:C,'Dispensed Ink Rates'!CS:CS),VLOOKUP(GZ94,'Jan-2026 rates'!$E:$F,2,0)))</f>
        <v>0</v>
      </c>
      <c r="HO94" s="409"/>
      <c r="HP94" s="398">
        <f>IF(HO94=0,0,IF(LEN(HA94)=11,_xlfn.XLOOKUP(HA94,'Dispensed Ink Rates'!C:C,'Dispensed Ink Rates'!CS:CS),VLOOKUP(HA94,'Jan-2026 rates'!$E:$F,2,0)))</f>
        <v>0</v>
      </c>
      <c r="HQ94" s="409"/>
      <c r="HR94" s="398">
        <f>IF(HQ94=0,0,IF(LEN(HB94)=11,_xlfn.XLOOKUP(HB94,'Dispensed Ink Rates'!C:C,'Dispensed Ink Rates'!CS:CS),VLOOKUP(HB94,'Jan-2026 rates'!$E:$F,2,0)))</f>
        <v>0</v>
      </c>
      <c r="HS94" s="409" t="s">
        <v>1443</v>
      </c>
      <c r="HT94" s="409">
        <v>24</v>
      </c>
      <c r="HU94" s="411">
        <f t="shared" si="97"/>
        <v>0</v>
      </c>
      <c r="HV94" s="411">
        <f t="shared" si="98"/>
        <v>18.372881355932201</v>
      </c>
      <c r="HW94" s="414">
        <f t="shared" si="99"/>
        <v>0</v>
      </c>
      <c r="HX94" s="405" t="s">
        <v>545</v>
      </c>
      <c r="HY94" s="409"/>
      <c r="HZ94" s="420" t="str">
        <f t="shared" si="59"/>
        <v>FLINTSL - YELLOW</v>
      </c>
      <c r="IA94" s="409"/>
      <c r="IB94" s="411">
        <f>IF(IA94=0,0,IF($LB94=70%,VLOOKUP($HZ94,'Jan-2026 rates'!$L:$R,4,0),IF($LB94=65%,VLOOKUP($HZ94,'Jan-2026 rates'!$L:$R,4,0),IF($LB94=40%,VLOOKUP($HZ94,'Jan-2026 rates'!$L:$R,5,0),IF($LB94=30%,VLOOKUP($HZ94,'Jan-2026 rates'!$L:$R,6,0),IF($LB94=100%,VLOOKUP($HZ94,'Jan-2026 rates'!$L:$R,7,0),IF($LB94=60%,VLOOKUP($HZ94,'Jan-2026 rates'!$L:$S,8,0),IF($LB94=80%,VLOOKUP($HZ94,'Jan-2026 rates'!L:T,9,0),0))))))))</f>
        <v>0</v>
      </c>
      <c r="IC94" s="412"/>
      <c r="ID94" s="409"/>
      <c r="IE94" s="411">
        <f>IF(ID94=0,0,IF($LB94=70%,VLOOKUP($HZ94,'Jan-2026 rates'!$L:$R,4,0),IF($LB94=65%,VLOOKUP($HZ94,'Jan-2026 rates'!$L:$R,4,0),IF($LB94=40%,VLOOKUP($HZ94,'Jan-2026 rates'!$L:$R,5,0),IF($LB94=30%,VLOOKUP($HZ94,'Jan-2026 rates'!$L:$R,6,0),IF($LB94=100%,VLOOKUP($HZ94,'Jan-2026 rates'!$L:$R,7,0),IF($LB94=60%,VLOOKUP($HZ94,'Jan-2026 rates'!$L:$S,8,0),IF($LB94=80%,VLOOKUP($HZ94,'Jan-2026 rates'!L:T,9,0),0))))))))</f>
        <v>0</v>
      </c>
      <c r="IF94" s="412">
        <v>26507000019</v>
      </c>
      <c r="IG94" s="413" t="s">
        <v>1266</v>
      </c>
      <c r="IH94" s="412"/>
      <c r="II94" s="412"/>
      <c r="IJ94" s="412"/>
      <c r="IK94" s="412"/>
      <c r="IL94" s="412"/>
      <c r="IM94" s="412"/>
      <c r="IN94" s="409">
        <v>30</v>
      </c>
      <c r="IO94" s="398" t="e">
        <f>IF(IN94=0,0,IF(LEN(IF94)=11,_xlfn.XLOOKUP(IF94,'Dispensed Ink Rates'!C:C,'Dispensed Ink Rates'!CS:CS),VLOOKUP(IF94,'Jan-2026 rates'!$E:$F,2,0)))</f>
        <v>#N/A</v>
      </c>
      <c r="IP94" s="409">
        <v>6</v>
      </c>
      <c r="IQ94" s="398">
        <f>IF(IP94=0,0,IF(LEN(IG94)=11,_xlfn.XLOOKUP(IG94,'Dispensed Ink Rates'!C:C,'Dispensed Ink Rates'!CS:CS),VLOOKUP(IG94,'Jan-2026 rates'!$E:$F,2,0)))</f>
        <v>0</v>
      </c>
      <c r="IR94" s="409"/>
      <c r="IS94" s="398">
        <f>IF(IR94=0,0,IF(LEN(IH94)=11,_xlfn.XLOOKUP(IH94,'Dispensed Ink Rates'!C:C,'Dispensed Ink Rates'!CS:CS),VLOOKUP(IH94,'Jan-2026 rates'!$E:$F,2,0)))</f>
        <v>0</v>
      </c>
      <c r="IT94" s="409"/>
      <c r="IU94" s="398">
        <f>IF(IT94=0,0,IF(LEN(II94)=11,_xlfn.XLOOKUP(II94,'Dispensed Ink Rates'!C:C,'Dispensed Ink Rates'!CS:CS),VLOOKUP(II94,'Jan-2026 rates'!$E:$F,2,0)))</f>
        <v>0</v>
      </c>
      <c r="IV94" s="409"/>
      <c r="IW94" s="398">
        <f>IF(IV94=0,0,IF(LEN(IJ94)=11,_xlfn.XLOOKUP(IJ94,'Dispensed Ink Rates'!C:C,'Dispensed Ink Rates'!CS:CS),VLOOKUP(IJ94,'Jan-2026 rates'!$E:$F,2,0)))</f>
        <v>0</v>
      </c>
      <c r="IX94" s="409"/>
      <c r="IY94" s="398">
        <f>IF(IX94=0,0,IF(LEN(IK94)=11,_xlfn.XLOOKUP(IK94,'Dispensed Ink Rates'!C:C,'Dispensed Ink Rates'!CS:CS),VLOOKUP(IK94,'Jan-2026 rates'!$E:$F,2,0)))</f>
        <v>0</v>
      </c>
      <c r="IZ94" s="409"/>
      <c r="JA94" s="398">
        <f>IF(IZ94=0,0,IF(LEN(IL94)=11,_xlfn.XLOOKUP(IL94,'Dispensed Ink Rates'!C:C,'Dispensed Ink Rates'!CS:CS),VLOOKUP(IL94,'Jan-2026 rates'!$E:$F,2,0)))</f>
        <v>0</v>
      </c>
      <c r="JB94" s="409"/>
      <c r="JC94" s="398">
        <f>IF(JB94=0,0,IF(LEN(IM94)=11,_xlfn.XLOOKUP(IM94,'Dispensed Ink Rates'!C:C,'Dispensed Ink Rates'!CS:CS),VLOOKUP(IM94,'Jan-2026 rates'!$E:$F,2,0)))</f>
        <v>0</v>
      </c>
      <c r="JD94" s="409" t="s">
        <v>1443</v>
      </c>
      <c r="JE94" s="409">
        <v>23</v>
      </c>
      <c r="JF94" s="411">
        <f t="shared" si="100"/>
        <v>0</v>
      </c>
      <c r="JG94" s="411">
        <f t="shared" si="101"/>
        <v>24.79661016949153</v>
      </c>
      <c r="JH94" s="410">
        <f t="shared" si="102"/>
        <v>0</v>
      </c>
      <c r="JI94" s="405" t="s">
        <v>856</v>
      </c>
      <c r="JJ94" s="409" t="s">
        <v>3129</v>
      </c>
      <c r="JK94" s="420" t="str">
        <f t="shared" si="60"/>
        <v>FLINTSL - WHITE</v>
      </c>
      <c r="JL94" s="409">
        <v>25</v>
      </c>
      <c r="JM94" s="411">
        <f>IF(JL94=0,0,IF($LB94=70%,VLOOKUP($JK94,'Jan-2026 rates'!$L:$R,4,0),IF($LB94=65%,VLOOKUP($JK94,'Jan-2026 rates'!$L:$R,4,0),IF($LB94=40%,VLOOKUP($JK94,'Jan-2026 rates'!$L:$R,5,0),IF($LB94=30%,VLOOKUP($JK94,'Jan-2026 rates'!$L:$R,6,0),IF($LB94=100%,VLOOKUP($JK94,'Jan-2026 rates'!$L:$R,7,0),IF($LB94=60%,VLOOKUP($JK94,'Jan-2026 rates'!$L:$S,8,0),IF($LB94=80%,VLOOKUP($JK94,'Jan-2026 rates'!L:T,9,0),0))))))))</f>
        <v>0</v>
      </c>
      <c r="JN94" s="412"/>
      <c r="JO94" s="409"/>
      <c r="JP94" s="411">
        <f>IF(JO94=0,0,IF($LB94=70%,VLOOKUP($JK94,'Jan-2026 rates'!$L:$R,4,0),IF($LB94=65%,VLOOKUP($JK94,'Jan-2026 rates'!$L:$R,4,0),IF($LB94=40%,VLOOKUP($JK94,'Jan-2026 rates'!$L:$R,5,0),IF($LB94=30%,VLOOKUP($JK94,'Jan-2026 rates'!$L:$R,6,0),IF($LB94=100%,VLOOKUP($JK94,'Jan-2026 rates'!$L:$R,7,0),IF($LB94=60%,VLOOKUP($JK94,'Jan-2026 rates'!$L:$S,8,0),IF($LB94=80%,VLOOKUP($JK94,'Jan-2026 rates'!L:T,9,0),0))))))))</f>
        <v>0</v>
      </c>
      <c r="JQ94" s="413" t="s">
        <v>484</v>
      </c>
      <c r="JR94" s="412"/>
      <c r="JS94" s="413"/>
      <c r="JT94" s="413"/>
      <c r="JU94" s="412"/>
      <c r="JV94" s="412"/>
      <c r="JW94" s="412"/>
      <c r="JX94" s="412"/>
      <c r="JY94" s="409">
        <v>25</v>
      </c>
      <c r="JZ94" s="398">
        <f>IF(JY94=0,0,IF(LEN(JQ94)=11,_xlfn.XLOOKUP(JQ94,'Dispensed Ink Rates'!C:C,'Dispensed Ink Rates'!CS:CS),VLOOKUP(JQ94,'Jan-2026 rates'!$E:$F,2,0)))</f>
        <v>0</v>
      </c>
      <c r="KA94" s="409"/>
      <c r="KB94" s="398">
        <f>IF(KA94=0,0,IF(LEN(JR94)=11,_xlfn.XLOOKUP(JR94,'Dispensed Ink Rates'!C:C,'Dispensed Ink Rates'!CS:CS),VLOOKUP(JR94,'Jan-2026 rates'!$E:$F,2,0)))</f>
        <v>0</v>
      </c>
      <c r="KC94" s="409"/>
      <c r="KD94" s="398">
        <f>IF(KC94=0,0,IF(LEN(JS94)=11,_xlfn.XLOOKUP(JS94,'Dispensed Ink Rates'!C:C,'Dispensed Ink Rates'!CS:CS),VLOOKUP(JS94,'Jan-2026 rates'!$E:$F,2,0)))</f>
        <v>0</v>
      </c>
      <c r="KE94" s="409"/>
      <c r="KF94" s="398">
        <f>IF(KE94=0,0,IF(LEN(JT94)=11,_xlfn.XLOOKUP(JT94,'Dispensed Ink Rates'!C:C,'Dispensed Ink Rates'!CS:CS),VLOOKUP(JT94,'Jan-2026 rates'!$E:$F,2,0)))</f>
        <v>0</v>
      </c>
      <c r="KG94" s="409"/>
      <c r="KH94" s="398">
        <f>IF(KG94=0,0,IF(LEN(JU94)=11,_xlfn.XLOOKUP(JU94,'Dispensed Ink Rates'!C:C,'Dispensed Ink Rates'!CS:CS),VLOOKUP(JU94,'Jan-2026 rates'!$E:$F,2,0)))</f>
        <v>0</v>
      </c>
      <c r="KI94" s="409"/>
      <c r="KJ94" s="398">
        <f>IF(KI94=0,0,IF(LEN(JV94)=11,_xlfn.XLOOKUP(JV94,'Dispensed Ink Rates'!C:C,'Dispensed Ink Rates'!CS:CS),VLOOKUP(JV94,'Jan-2026 rates'!$E:$F,2,0)))</f>
        <v>0</v>
      </c>
      <c r="KK94" s="409"/>
      <c r="KL94" s="398">
        <f>IF(KK94=0,0,IF(LEN(JW94)=11,_xlfn.XLOOKUP(JW94,'Dispensed Ink Rates'!C:C,'Dispensed Ink Rates'!CS:CS),VLOOKUP(JW94,'Jan-2026 rates'!$E:$F,2,0)))</f>
        <v>0</v>
      </c>
      <c r="KM94" s="428"/>
      <c r="KN94" s="398">
        <f>IF(KM94=0,0,IF(LEN(JX94)=11,_xlfn.XLOOKUP(JX94,'Dispensed Ink Rates'!C:C,'Dispensed Ink Rates'!CS:CS),VLOOKUP(JX94,'Jan-2026 rates'!$E:$F,2,0)))</f>
        <v>0</v>
      </c>
      <c r="KO94" s="409" t="s">
        <v>1443</v>
      </c>
      <c r="KP94" s="409">
        <v>30</v>
      </c>
      <c r="KQ94" s="411">
        <f t="shared" si="103"/>
        <v>0</v>
      </c>
      <c r="KR94" s="411">
        <f t="shared" si="104"/>
        <v>42.118644067796609</v>
      </c>
      <c r="KS94" s="410">
        <f t="shared" si="105"/>
        <v>0</v>
      </c>
      <c r="KT94" s="409">
        <v>5</v>
      </c>
      <c r="KU94" s="409">
        <f>5+5</f>
        <v>10</v>
      </c>
      <c r="KV94" s="409">
        <v>6</v>
      </c>
      <c r="KW94" s="409">
        <v>5</v>
      </c>
      <c r="KX94" s="409">
        <v>5</v>
      </c>
      <c r="KY94" s="409">
        <v>5</v>
      </c>
      <c r="KZ94" s="409">
        <v>8</v>
      </c>
      <c r="LA94" s="409">
        <v>15</v>
      </c>
      <c r="LB94" s="415">
        <v>0.8</v>
      </c>
      <c r="LC94" s="415">
        <v>0.2</v>
      </c>
      <c r="LD94" s="415"/>
      <c r="LE94" s="415"/>
      <c r="LF94" s="415"/>
      <c r="LG94" s="409">
        <v>0</v>
      </c>
      <c r="LH94" s="409">
        <f>15+15+40+10+5+2</f>
        <v>87</v>
      </c>
      <c r="LI94" s="409">
        <v>0</v>
      </c>
      <c r="LJ94" s="409">
        <v>0</v>
      </c>
      <c r="LK94" s="416">
        <f t="shared" si="61"/>
        <v>87</v>
      </c>
      <c r="LL94" s="416">
        <f t="shared" si="62"/>
        <v>87</v>
      </c>
      <c r="LM94" s="417">
        <f t="shared" si="63"/>
        <v>69.600000000000009</v>
      </c>
      <c r="LN94" s="417">
        <f>VLOOKUP($LM$8,'Jan-2026 rates'!$H:$I,2,0)</f>
        <v>0</v>
      </c>
      <c r="LO94" s="417">
        <f t="shared" si="64"/>
        <v>17.400000000000002</v>
      </c>
      <c r="LP94" s="417">
        <f>VLOOKUP($LO$8,'Jan-2026 rates'!$H:$I,2,0)</f>
        <v>0</v>
      </c>
      <c r="LQ94" s="417">
        <f t="shared" si="65"/>
        <v>0</v>
      </c>
      <c r="LR94" s="417">
        <f>VLOOKUP($LQ$8,'Jan-2026 rates'!$H:$I,2,0)</f>
        <v>0</v>
      </c>
      <c r="LS94" s="417">
        <f t="shared" si="66"/>
        <v>0</v>
      </c>
      <c r="LT94" s="417">
        <f>VLOOKUP($LS$8,'Jan-2026 rates'!$H:$I,2,0)</f>
        <v>0</v>
      </c>
      <c r="LU94" s="417">
        <f t="shared" si="67"/>
        <v>0</v>
      </c>
      <c r="LV94" s="417">
        <f>VLOOKUP($LU$8,'Jan-2026 rates'!$H:$I,2,0)</f>
        <v>0</v>
      </c>
      <c r="LW94" s="417">
        <f t="shared" si="68"/>
        <v>0</v>
      </c>
      <c r="LX94" s="417">
        <f t="shared" si="69"/>
        <v>0</v>
      </c>
      <c r="LY94" s="418">
        <f t="shared" si="70"/>
        <v>0</v>
      </c>
      <c r="LZ94" s="417"/>
      <c r="MA94" s="435">
        <f t="shared" si="71"/>
        <v>120</v>
      </c>
      <c r="MB94" s="282">
        <f t="shared" si="72"/>
        <v>174</v>
      </c>
      <c r="MC94" s="283">
        <v>49</v>
      </c>
      <c r="MD94" s="284" t="str">
        <f t="shared" si="73"/>
        <v>FLINTSLFLINTSLFLINTSLFLINTSLFLINTSLFLINTSLFLINTSLFLINTSL</v>
      </c>
      <c r="ME94" s="293" t="str">
        <f t="shared" si="74"/>
        <v>+</v>
      </c>
      <c r="MF94" s="293" t="str">
        <f t="shared" si="75"/>
        <v>+</v>
      </c>
      <c r="MG94" s="293" t="str">
        <f t="shared" si="76"/>
        <v>+</v>
      </c>
      <c r="MH94" s="293" t="str">
        <f t="shared" si="77"/>
        <v>+</v>
      </c>
      <c r="MI94" s="293" t="str">
        <f t="shared" si="78"/>
        <v>+</v>
      </c>
      <c r="MJ94" s="293" t="str">
        <f t="shared" si="79"/>
        <v>+</v>
      </c>
      <c r="MK94" s="293" t="str">
        <f t="shared" si="80"/>
        <v>+</v>
      </c>
      <c r="ML94" s="293" t="str">
        <f t="shared" si="81"/>
        <v>+</v>
      </c>
      <c r="MM94" s="3" t="b">
        <f t="array" ref="MM94">OR(ME94:ML94="-")</f>
        <v>0</v>
      </c>
      <c r="MN94" s="285"/>
      <c r="MO94" s="401"/>
      <c r="MP94" s="286"/>
      <c r="MQ94" s="286"/>
      <c r="MR94" s="402"/>
      <c r="MS94" s="400"/>
      <c r="NH94" s="422"/>
      <c r="NJ94" s="421"/>
    </row>
    <row r="95" spans="1:374" s="1" customFormat="1" ht="16.5">
      <c r="A95" s="403">
        <v>46029</v>
      </c>
      <c r="B95" s="404" t="s">
        <v>1018</v>
      </c>
      <c r="C95" s="405" t="s">
        <v>3130</v>
      </c>
      <c r="D95" s="406">
        <v>50</v>
      </c>
      <c r="E95" s="404">
        <v>930</v>
      </c>
      <c r="F95" s="407">
        <v>53800</v>
      </c>
      <c r="G95" s="407" t="s">
        <v>1016</v>
      </c>
      <c r="H95" s="408" t="s">
        <v>1017</v>
      </c>
      <c r="I95" s="409">
        <f>1.9+1.3</f>
        <v>3.2</v>
      </c>
      <c r="J95" s="405" t="s">
        <v>543</v>
      </c>
      <c r="K95" s="404" t="s">
        <v>3131</v>
      </c>
      <c r="L95" s="419" t="str">
        <f t="shared" si="54"/>
        <v>FLINTSL - BLACK</v>
      </c>
      <c r="M95" s="404">
        <v>27</v>
      </c>
      <c r="N95" s="410">
        <f>IF(M95=0,0,IF($LB95=70%,VLOOKUP($L95,'Jan-2026 rates'!$L:$R,4,0),IF($LB95=65%,VLOOKUP($L95,'Jan-2026 rates'!$L:$R,4,0),IF($LB95=40%,VLOOKUP($L95,'Jan-2026 rates'!$L:$R,5,0),IF($LB95=30%,VLOOKUP($L95,'Jan-2026 rates'!$L:$R,6,0),IF($LB95=100%,VLOOKUP($L95,'Jan-2026 rates'!$L:$R,7,0),IF($LB95=60%,VLOOKUP($L95,'Jan-2026 rates'!$L:$S,8,0),IF($LB95=80%,VLOOKUP($L95,'Jan-2026 rates'!L:T,9,0),0))))))))</f>
        <v>0</v>
      </c>
      <c r="O95" s="406"/>
      <c r="P95" s="404"/>
      <c r="Q95" s="410">
        <f>IF(P95=0,0,IF($LB95=70%,VLOOKUP($L95,'Jan-2026 rates'!$L:$R,4,0),IF($LB95=65%,VLOOKUP($L95,'Jan-2026 rates'!$L:$R,4,0),IF($LB95=40%,VLOOKUP($L95,'Jan-2026 rates'!$L:$R,5,0),IF($LB95=30%,VLOOKUP($L95,'Jan-2026 rates'!$L:$R,6,0),IF($LB95=100%,VLOOKUP($L95,'Jan-2026 rates'!$L:$R,7,0),IF($LB95=60%,VLOOKUP($L95,'Jan-2026 rates'!$L:$S,8,0),IF($LB95=80%,VLOOKUP($L95,'Jan-2026 rates'!L:T,9,0),0))))))))</f>
        <v>0</v>
      </c>
      <c r="R95" s="406" t="s">
        <v>1266</v>
      </c>
      <c r="S95" s="406"/>
      <c r="T95" s="406"/>
      <c r="U95" s="406"/>
      <c r="V95" s="406"/>
      <c r="W95" s="406"/>
      <c r="X95" s="406"/>
      <c r="Y95" s="406"/>
      <c r="Z95" s="404">
        <v>3</v>
      </c>
      <c r="AA95" s="398">
        <f>IF(Z95=0,0,IF(LEN(R95)=11,_xlfn.XLOOKUP(R95,'Dispensed Ink Rates'!C:C,'Dispensed Ink Rates'!CS:CS),VLOOKUP(R95,'Jan-2026 rates'!$E:$F,2,0)))</f>
        <v>0</v>
      </c>
      <c r="AB95" s="404"/>
      <c r="AC95" s="398">
        <f>IF(AB95=0,0,IF(LEN(S95)=11,_xlfn.XLOOKUP(S95,'Dispensed Ink Rates'!C:C,'Dispensed Ink Rates'!CS:CS),VLOOKUP(S95,'Jan-2026 rates'!$E:$F,2,0)))</f>
        <v>0</v>
      </c>
      <c r="AD95" s="404"/>
      <c r="AE95" s="398">
        <f>IF(AD95=0,0,IF(LEN(T95)=11,_xlfn.XLOOKUP(T95,'Dispensed Ink Rates'!C:C,'Dispensed Ink Rates'!CS:CS),VLOOKUP(T95,'Jan-2026 rates'!$E:$F,2,0)))</f>
        <v>0</v>
      </c>
      <c r="AF95" s="404"/>
      <c r="AG95" s="398">
        <f>IF(AF95=0,0,IF(LEN(U95)=11,_xlfn.XLOOKUP(U95,'Dispensed Ink Rates'!C:C,'Dispensed Ink Rates'!CS:CS),VLOOKUP(U95,'Jan-2026 rates'!$E:$F,2,0)))</f>
        <v>0</v>
      </c>
      <c r="AH95" s="404"/>
      <c r="AI95" s="398">
        <f>IF(AH95=0,0,IF(LEN(V95)=11,_xlfn.XLOOKUP(V95,'Dispensed Ink Rates'!C:C,'Dispensed Ink Rates'!CS:CS),VLOOKUP(V95,'Jan-2026 rates'!$E:$F,2,0)))</f>
        <v>0</v>
      </c>
      <c r="AJ95" s="404"/>
      <c r="AK95" s="398">
        <f>IF(AJ95=0,0,IF(LEN(W95)=11,_xlfn.XLOOKUP(W95,'Dispensed Ink Rates'!C:C,'Dispensed Ink Rates'!CS:CS),VLOOKUP(W95,'Jan-2026 rates'!$E:$F,2,0)))</f>
        <v>0</v>
      </c>
      <c r="AL95" s="404"/>
      <c r="AM95" s="398">
        <f>IF(AL95=0,0,IF(LEN(X95)=11,_xlfn.XLOOKUP(X95,'Dispensed Ink Rates'!C:C,'Dispensed Ink Rates'!CS:CS),VLOOKUP(X95,'Jan-2026 rates'!$E:$F,2,0)))</f>
        <v>0</v>
      </c>
      <c r="AN95" s="404"/>
      <c r="AO95" s="398">
        <f>IF(AN95=0,0,IF(LEN(Y95)=11,_xlfn.XLOOKUP(Y95,'Dispensed Ink Rates'!C:C,'Dispensed Ink Rates'!CS:CS),VLOOKUP(Y95,'Jan-2026 rates'!$E:$F,2,0)))</f>
        <v>0</v>
      </c>
      <c r="AP95" s="409" t="s">
        <v>1443</v>
      </c>
      <c r="AQ95" s="409">
        <v>26</v>
      </c>
      <c r="AR95" s="410">
        <f t="shared" si="82"/>
        <v>0</v>
      </c>
      <c r="AS95" s="411">
        <f t="shared" si="83"/>
        <v>14.852017937219728</v>
      </c>
      <c r="AT95" s="410">
        <f t="shared" si="84"/>
        <v>0</v>
      </c>
      <c r="AU95" s="405" t="s">
        <v>857</v>
      </c>
      <c r="AV95" s="409" t="s">
        <v>3132</v>
      </c>
      <c r="AW95" s="420" t="str">
        <f t="shared" si="53"/>
        <v>FLINTSL - RED</v>
      </c>
      <c r="AX95" s="409">
        <v>22</v>
      </c>
      <c r="AY95" s="411">
        <f>IF(AX95=0,0,IF($LB95=70%,VLOOKUP($AW95,'Jan-2026 rates'!$L:$R,4,0),IF($LB95=65%,VLOOKUP($AW95,'Jan-2026 rates'!$L:$R,4,0),IF($LB95=40%,VLOOKUP($AW95,'Jan-2026 rates'!$L:$R,5,0),IF($LB95=30%,VLOOKUP($AW95,'Jan-2026 rates'!$L:$R,6,0),IF($LB95=100%,VLOOKUP($AW95,'Jan-2026 rates'!$L:$R,7,0),IF($LB95=60%,VLOOKUP($AW95,'Jan-2026 rates'!$L:$S,8,0),IF($LB95=80%,VLOOKUP($AW95,'Jan-2026 rates'!L:T,9,0),0))))))))</f>
        <v>0</v>
      </c>
      <c r="AZ95" s="412"/>
      <c r="BA95" s="409"/>
      <c r="BB95" s="411">
        <f>IF(BA95=0,0,IF($LB95=70%,VLOOKUP($AW95,'Jan-2026 rates'!$L:$R,4,0),IF($LB95=65%,VLOOKUP($AW95,'Jan-2026 rates'!$L:$R,4,0),IF($LB95=40%,VLOOKUP($AW95,'Jan-2026 rates'!$L:$R,5,0),IF($LB95=30%,VLOOKUP($AW95,'Jan-2026 rates'!$L:$R,6,0),IF($LB95=100%,VLOOKUP($AW95,'Jan-2026 rates'!$L:$R,7,0),IF($LB95=60%,VLOOKUP($AW95,'Jan-2026 rates'!$L:$S,8,0),IF($LB95=80%,VLOOKUP($AW95,'Jan-2026 rates'!L:T,9,0),0))))))))</f>
        <v>0</v>
      </c>
      <c r="BC95" s="413">
        <v>26501000001</v>
      </c>
      <c r="BD95" s="412" t="s">
        <v>1646</v>
      </c>
      <c r="BE95" s="412"/>
      <c r="BF95" s="413"/>
      <c r="BG95" s="412"/>
      <c r="BH95" s="412"/>
      <c r="BI95" s="412"/>
      <c r="BJ95" s="412"/>
      <c r="BK95" s="409">
        <v>5</v>
      </c>
      <c r="BL95" s="398" t="e">
        <f>IF(BK95=0,0,IF(LEN(BC95)=11,_xlfn.XLOOKUP(BC95,'Dispensed Ink Rates'!C:C,'Dispensed Ink Rates'!CS:CS),VLOOKUP(BC95,'Jan-2026 rates'!$E:$F,2,0)))</f>
        <v>#N/A</v>
      </c>
      <c r="BM95" s="409">
        <v>3</v>
      </c>
      <c r="BN95" s="433">
        <f>IF(BM95=0,0,IF(LEN(BD95)=11,_xlfn.XLOOKUP(BD95,'Dispensed Ink Rates'!C:C,'Dispensed Ink Rates'!CS:CS),VLOOKUP(BD95,'Jan-2026 rates'!$E:$F,2,0)))</f>
        <v>0</v>
      </c>
      <c r="BO95" s="409"/>
      <c r="BP95" s="398">
        <f>IF(BO95=0,0,IF(LEN(BE95)=11,_xlfn.XLOOKUP(BE95,'Dispensed Ink Rates'!C:C,'Dispensed Ink Rates'!CS:CS),VLOOKUP(BE95,'Jan-2026 rates'!$E:$F,2,0)))</f>
        <v>0</v>
      </c>
      <c r="BQ95" s="409"/>
      <c r="BR95" s="398">
        <f>IF(BQ95=0,0,IF(LEN(BF95)=11,_xlfn.XLOOKUP(BF95,'Dispensed Ink Rates'!C:C,'Dispensed Ink Rates'!CS:CS),VLOOKUP(BF95,'Jan-2026 rates'!$E:$F,2,0)))</f>
        <v>0</v>
      </c>
      <c r="BS95" s="409"/>
      <c r="BT95" s="398">
        <f>IF(BS95=0,0,IF(LEN(BG95)=11,_xlfn.XLOOKUP(BG95,'Dispensed Ink Rates'!C:C,'Dispensed Ink Rates'!CS:CS),VLOOKUP(BG95,'Jan-2026 rates'!$E:$F,2,0)))</f>
        <v>0</v>
      </c>
      <c r="BU95" s="409"/>
      <c r="BV95" s="398">
        <f>IF(BU95=0,0,IF(LEN(BH95)=11,_xlfn.XLOOKUP(BH95,'Dispensed Ink Rates'!C:C,'Dispensed Ink Rates'!CS:CS),VLOOKUP(BH95,'Jan-2026 rates'!$E:$F,2,0)))</f>
        <v>0</v>
      </c>
      <c r="BW95" s="409"/>
      <c r="BX95" s="398">
        <f>IF(BW95=0,0,IF(LEN(BI95)=11,_xlfn.XLOOKUP(BI95,'Dispensed Ink Rates'!C:C,'Dispensed Ink Rates'!CS:CS),VLOOKUP(BI95,'Jan-2026 rates'!$E:$F,2,0)))</f>
        <v>0</v>
      </c>
      <c r="BY95" s="409"/>
      <c r="BZ95" s="398">
        <f>IF(BY95=0,0,IF(LEN(BJ95)=11,_xlfn.XLOOKUP(BJ95,'Dispensed Ink Rates'!C:C,'Dispensed Ink Rates'!CS:CS),VLOOKUP(BJ95,'Jan-2026 rates'!$E:$F,2,0)))</f>
        <v>0</v>
      </c>
      <c r="CA95" s="409" t="s">
        <v>1443</v>
      </c>
      <c r="CB95" s="409">
        <v>24</v>
      </c>
      <c r="CC95" s="411">
        <f t="shared" si="85"/>
        <v>0</v>
      </c>
      <c r="CD95" s="411">
        <f t="shared" si="86"/>
        <v>14.139013452914796</v>
      </c>
      <c r="CE95" s="410">
        <f t="shared" si="87"/>
        <v>0</v>
      </c>
      <c r="CF95" s="404" t="s">
        <v>547</v>
      </c>
      <c r="CG95" s="409"/>
      <c r="CH95" s="420" t="str">
        <f t="shared" si="55"/>
        <v>FLINTSL - GREEN</v>
      </c>
      <c r="CI95" s="409"/>
      <c r="CJ95" s="411">
        <f>IF(CI95=0,0,IF($LB95=70%,VLOOKUP($CH95,'Jan-2026 rates'!$L:$R,4,0),IF($LB95=65%,VLOOKUP($CH95,'Jan-2026 rates'!$L:$R,4,0),IF($LB95=40%,VLOOKUP($CH95,'Jan-2026 rates'!$L:$R,5,0),IF($LB95=30%,VLOOKUP($CH95,'Jan-2026 rates'!$L:$R,6,0),IF($LB95=100%,VLOOKUP($CH95,'Jan-2026 rates'!$L:$R,7,0),IF($LB95=60%,VLOOKUP($CH95,'Jan-2026 rates'!$L:$S,8,0),IF($LB95=80%,VLOOKUP($CH95,'Jan-2026 rates'!L:T,9,0),0))))))))</f>
        <v>0</v>
      </c>
      <c r="CK95" s="412"/>
      <c r="CL95" s="409"/>
      <c r="CM95" s="411">
        <f>IF(CL95=0,0,IF($LB95=70%,VLOOKUP($CH95,'Jan-2026 rates'!$L:$R,4,0),IF($LB95=65%,VLOOKUP($CH95,'Jan-2026 rates'!$L:$R,4,0),IF($LB95=40%,VLOOKUP($CH95,'Jan-2026 rates'!$L:$R,5,0),IF($LB95=30%,VLOOKUP($CH95,'Jan-2026 rates'!$L:$R,6,0),IF($LB95=100%,VLOOKUP($CH95,'Jan-2026 rates'!$L:$R,7,0),IF($LB95=60%,VLOOKUP($CH95,'Jan-2026 rates'!$L:$S,8,0),IF($LB95=80%,VLOOKUP($CH95,'Jan-2026 rates'!L:T,9,0),0))))))))</f>
        <v>0</v>
      </c>
      <c r="CN95" s="426">
        <v>26507000012</v>
      </c>
      <c r="CO95" s="427">
        <v>26507000006</v>
      </c>
      <c r="CP95" s="426">
        <v>26507000011</v>
      </c>
      <c r="CQ95" s="426">
        <v>26507000019</v>
      </c>
      <c r="CR95" s="428">
        <v>26501000004</v>
      </c>
      <c r="CS95" s="428"/>
      <c r="CT95" s="428"/>
      <c r="CU95" s="428"/>
      <c r="CV95" s="409">
        <v>35</v>
      </c>
      <c r="CW95" s="398" t="e">
        <f>IF(CV95=0,0,IF(LEN(CN95)=11,_xlfn.XLOOKUP(CN95,'Dispensed Ink Rates'!C:C,'Dispensed Ink Rates'!CS:CS),VLOOKUP(CN95,'Jan-2026 rates'!$E:$F,2,0)))</f>
        <v>#N/A</v>
      </c>
      <c r="CX95" s="409">
        <v>21.5</v>
      </c>
      <c r="CY95" s="398" t="e">
        <f>IF(CX95=0,0,IF(LEN(CO95)=11,_xlfn.XLOOKUP(CO95,'Dispensed Ink Rates'!C:C,'Dispensed Ink Rates'!CS:CS),VLOOKUP(CO95,'Jan-2026 rates'!$E:$F,2,0)))</f>
        <v>#N/A</v>
      </c>
      <c r="CZ95" s="409">
        <v>20</v>
      </c>
      <c r="DA95" s="398" t="e">
        <f>IF(CZ95=0,0,IF(LEN(CP95)=11,_xlfn.XLOOKUP(CP95,'Dispensed Ink Rates'!C:C,'Dispensed Ink Rates'!CS:CS),VLOOKUP(CP95,'Jan-2026 rates'!$E:$F,2,0)))</f>
        <v>#N/A</v>
      </c>
      <c r="DB95" s="409">
        <v>35</v>
      </c>
      <c r="DC95" s="398" t="e">
        <f>IF(DB95=0,0,IF(LEN(CQ95)=11,_xlfn.XLOOKUP(CQ95,'Dispensed Ink Rates'!C:C,'Dispensed Ink Rates'!CS:CS),VLOOKUP(CQ95,'Jan-2026 rates'!$E:$F,2,0)))</f>
        <v>#N/A</v>
      </c>
      <c r="DD95" s="409">
        <v>10</v>
      </c>
      <c r="DE95" s="398" t="e">
        <f>IF(DD95=0,0,IF(LEN(CR95)=11,_xlfn.XLOOKUP(CR95,'Dispensed Ink Rates'!C:C,'Dispensed Ink Rates'!CS:CS),VLOOKUP(CR95,'Jan-2026 rates'!$E:$F,2,0)))</f>
        <v>#N/A</v>
      </c>
      <c r="DF95" s="409"/>
      <c r="DG95" s="398">
        <f>IF(DF95=0,0,IF(LEN(CS95)=11,_xlfn.XLOOKUP(CS95,'Dispensed Ink Rates'!C:C,'Dispensed Ink Rates'!CS:CS),VLOOKUP(CS95,'Jan-2026 rates'!$E:$F,2,0)))</f>
        <v>0</v>
      </c>
      <c r="DH95" s="409"/>
      <c r="DI95" s="398">
        <f>IF(DH95=0,0,IF(LEN(CT95)=11,_xlfn.XLOOKUP(CT95,'Dispensed Ink Rates'!C:C,'Dispensed Ink Rates'!CS:CS),VLOOKUP(CT95,'Jan-2026 rates'!$E:$F,2,0)))</f>
        <v>0</v>
      </c>
      <c r="DJ95" s="409"/>
      <c r="DK95" s="398">
        <f>IF(DJ95=0,0,IF(LEN(CU95)=11,_xlfn.XLOOKUP(CU95,'Dispensed Ink Rates'!C:C,'Dispensed Ink Rates'!CS:CS),VLOOKUP(CU95,'Jan-2026 rates'!$E:$F,2,0)))</f>
        <v>0</v>
      </c>
      <c r="DL95" s="409" t="s">
        <v>1443</v>
      </c>
      <c r="DM95" s="409">
        <v>15</v>
      </c>
      <c r="DN95" s="411">
        <f t="shared" si="88"/>
        <v>0</v>
      </c>
      <c r="DO95" s="411">
        <f t="shared" si="89"/>
        <v>160.76008968609864</v>
      </c>
      <c r="DP95" s="410">
        <f t="shared" si="90"/>
        <v>0</v>
      </c>
      <c r="DQ95" s="405" t="s">
        <v>855</v>
      </c>
      <c r="DR95" s="409"/>
      <c r="DS95" s="420" t="str">
        <f t="shared" si="56"/>
        <v>FLINTSL - CYAN</v>
      </c>
      <c r="DT95" s="409"/>
      <c r="DU95" s="411">
        <f>IF(DT95=0,0,IF($LB95=70%,VLOOKUP($DS95,'Jan-2026 rates'!$L:$R,4,0),IF($LB95=65%,VLOOKUP($DS95,'Jan-2026 rates'!$L:$R,4,0),IF($LB95=40%,VLOOKUP($DS95,'Jan-2026 rates'!$L:$R,5,0),IF($LB95=30%,VLOOKUP($DS95,'Jan-2026 rates'!$L:$R,6,0),IF($LB95=100%,VLOOKUP($DS95,'Jan-2026 rates'!$L:$R,7,0),IF($LB95=60%,VLOOKUP($DS95,'Jan-2026 rates'!$L:$S,8,0),IF($LB95=80%,VLOOKUP($DS95,'Jan-2026 rates'!L:T,9,0),0))))))))</f>
        <v>0</v>
      </c>
      <c r="DV95" s="412"/>
      <c r="DW95" s="409"/>
      <c r="DX95" s="411">
        <f>IF(DW95=0,0,IF($LB95=70%,VLOOKUP($DS95,'Jan-2026 rates'!$L:$R,4,0),IF($LB95=65%,VLOOKUP($DS95,'Jan-2026 rates'!$L:$R,4,0),IF($LB95=40%,VLOOKUP($DS95,'Jan-2026 rates'!$L:$R,5,0),IF($LB95=30%,VLOOKUP($DS95,'Jan-2026 rates'!$L:$R,6,0),IF($LB95=100%,VLOOKUP($DS95,'Jan-2026 rates'!$L:$R,7,0),IF($LB95=60%,VLOOKUP($DS95,'Jan-2026 rates'!$L:$S,8,0),IF($LB95=80%,VLOOKUP($DS95,'Jan-2026 rates'!L:T,9,0),0))))))))</f>
        <v>0</v>
      </c>
      <c r="DY95" s="413">
        <v>26507000018</v>
      </c>
      <c r="DZ95" s="413" t="s">
        <v>1266</v>
      </c>
      <c r="EA95" s="412"/>
      <c r="EB95" s="412"/>
      <c r="EC95" s="412"/>
      <c r="ED95" s="412"/>
      <c r="EE95" s="412"/>
      <c r="EF95" s="412"/>
      <c r="EG95" s="409">
        <v>10</v>
      </c>
      <c r="EH95" s="398" t="e">
        <f>IF(EG95=0,0,IF(LEN(DY95)=11,_xlfn.XLOOKUP(DY95,'Dispensed Ink Rates'!C:C,'Dispensed Ink Rates'!CS:CS),VLOOKUP(DY95,'Jan-2026 rates'!$E:$F,2,0)))</f>
        <v>#N/A</v>
      </c>
      <c r="EI95" s="409">
        <v>10</v>
      </c>
      <c r="EJ95" s="398">
        <f>IF(EI95=0,0,IF(LEN(DZ95)=11,_xlfn.XLOOKUP(DZ95,'Dispensed Ink Rates'!C:C,'Dispensed Ink Rates'!CS:CS),VLOOKUP(DZ95,'Jan-2026 rates'!$E:$F,2,0)))</f>
        <v>0</v>
      </c>
      <c r="EK95" s="409"/>
      <c r="EL95" s="398">
        <f>IF(EK95=0,0,IF(LEN(EA95)=11,_xlfn.XLOOKUP(EA95,'Dispensed Ink Rates'!C:C,'Dispensed Ink Rates'!CS:CS),VLOOKUP(EA95,'Jan-2026 rates'!$E:$F,2,0)))</f>
        <v>0</v>
      </c>
      <c r="EM95" s="409"/>
      <c r="EN95" s="398">
        <f>IF(EM95=0,0,IF(LEN(EB95)=11,_xlfn.XLOOKUP(EB95,'Dispensed Ink Rates'!C:C,'Dispensed Ink Rates'!CS:CS),VLOOKUP(EB95,'Jan-2026 rates'!$E:$F,2,0)))</f>
        <v>0</v>
      </c>
      <c r="EO95" s="409"/>
      <c r="EP95" s="398">
        <f>IF(EO95=0,0,IF(LEN(EC95)=11,_xlfn.XLOOKUP(EC95,'Dispensed Ink Rates'!C:C,'Dispensed Ink Rates'!CS:CS),VLOOKUP(EC95,'Jan-2026 rates'!$E:$F,2,0)))</f>
        <v>0</v>
      </c>
      <c r="EQ95" s="409"/>
      <c r="ER95" s="398">
        <f>IF(EQ95=0,0,IF(LEN(ED95)=11,_xlfn.XLOOKUP(ED95,'Dispensed Ink Rates'!C:C,'Dispensed Ink Rates'!CS:CS),VLOOKUP(ED95,'Jan-2026 rates'!$E:$F,2,0)))</f>
        <v>0</v>
      </c>
      <c r="ES95" s="409"/>
      <c r="ET95" s="398">
        <f>IF(ES95=0,0,IF(LEN(EE95)=11,_xlfn.XLOOKUP(EE95,'Dispensed Ink Rates'!C:C,'Dispensed Ink Rates'!CS:CS),VLOOKUP(EE95,'Jan-2026 rates'!$E:$F,2,0)))</f>
        <v>0</v>
      </c>
      <c r="EU95" s="409"/>
      <c r="EV95" s="398">
        <f>IF(EU95=0,0,IF(LEN(EF95)=11,_xlfn.XLOOKUP(EF95,'Dispensed Ink Rates'!C:C,'Dispensed Ink Rates'!CS:CS),VLOOKUP(EF95,'Jan-2026 rates'!$E:$F,2,0)))</f>
        <v>0</v>
      </c>
      <c r="EW95" s="409" t="s">
        <v>1443</v>
      </c>
      <c r="EX95" s="409">
        <v>27</v>
      </c>
      <c r="EY95" s="411">
        <f t="shared" si="91"/>
        <v>0</v>
      </c>
      <c r="EZ95" s="411">
        <f t="shared" si="92"/>
        <v>33.695067264573993</v>
      </c>
      <c r="FA95" s="410">
        <f t="shared" si="93"/>
        <v>0</v>
      </c>
      <c r="FB95" s="405" t="s">
        <v>544</v>
      </c>
      <c r="FC95" s="409"/>
      <c r="FD95" s="420" t="str">
        <f t="shared" si="57"/>
        <v>FLINTSL - MAGENTA</v>
      </c>
      <c r="FE95" s="409"/>
      <c r="FF95" s="411">
        <f>IF(FE95=0,0,IF($LB95=70%,VLOOKUP($FD95,'Jan-2026 rates'!$L:$R,4,0),IF($LB95=65%,VLOOKUP($FD95,'Jan-2026 rates'!$L:$R,4,0),IF($LB95=40%,VLOOKUP($FD95,'Jan-2026 rates'!$L:$R,5,0),IF($LB95=30%,VLOOKUP($FD95,'Jan-2026 rates'!$L:$R,6,0),IF($LB95=100%,VLOOKUP($FD95,'Jan-2026 rates'!$L:$R,7,0),IF($LB95=60%,VLOOKUP($FD95,'Jan-2026 rates'!$L:$S,8,0),IF($LB95=80%,VLOOKUP($FD95,'Jan-2026 rates'!L:T,9,0),0))))))))</f>
        <v>0</v>
      </c>
      <c r="FG95" s="412"/>
      <c r="FH95" s="409"/>
      <c r="FI95" s="411">
        <f>IF(FH95=0,0,IF($LB95=70%,VLOOKUP($FD95,'Jan-2026 rates'!$L:$R,4,0),IF($LB95=65%,VLOOKUP($FD95,'Jan-2026 rates'!$L:$R,4,0),IF($LB95=40%,VLOOKUP($FD95,'Jan-2026 rates'!$L:$R,5,0),IF($LB95=30%,VLOOKUP($FD95,'Jan-2026 rates'!$L:$R,6,0),IF($LB95=100%,VLOOKUP($FD95,'Jan-2026 rates'!$L:$R,7,0),IF($LB95=60%,VLOOKUP($FD95,'Jan-2026 rates'!$L:$S,8,0),IF($LB95=80%,VLOOKUP($FD95,'Jan-2026 rates'!L:T,9,0),0))))))))</f>
        <v>0</v>
      </c>
      <c r="FJ95" s="413">
        <v>26508000003</v>
      </c>
      <c r="FK95" s="413" t="s">
        <v>1266</v>
      </c>
      <c r="FL95" s="413"/>
      <c r="FM95" s="412"/>
      <c r="FN95" s="412"/>
      <c r="FO95" s="412"/>
      <c r="FP95" s="412"/>
      <c r="FQ95" s="412"/>
      <c r="FR95" s="409">
        <v>12</v>
      </c>
      <c r="FS95" s="398" t="e">
        <f>IF(FR95=0,0,IF(LEN(FJ95)=11,_xlfn.XLOOKUP(FJ95,'Dispensed Ink Rates'!C:C,'Dispensed Ink Rates'!CS:CS),VLOOKUP(FJ95,'Jan-2026 rates'!$E:$F,2,0)))</f>
        <v>#N/A</v>
      </c>
      <c r="FT95" s="409">
        <v>8</v>
      </c>
      <c r="FU95" s="398">
        <f>IF(FT95=0,0,IF(LEN(FK95)=11,_xlfn.XLOOKUP(FK95,'Dispensed Ink Rates'!C:C,'Dispensed Ink Rates'!CS:CS),VLOOKUP(FK95,'Jan-2026 rates'!$E:$F,2,0)))</f>
        <v>0</v>
      </c>
      <c r="FV95" s="409"/>
      <c r="FW95" s="398">
        <f>IF(FV95=0,0,IF(LEN(FL95)=11,_xlfn.XLOOKUP(FL95,'Dispensed Ink Rates'!C:C,'Dispensed Ink Rates'!CS:CS),VLOOKUP(FL95,'Jan-2026 rates'!$E:$F,2,0)))</f>
        <v>0</v>
      </c>
      <c r="FX95" s="409"/>
      <c r="FY95" s="398">
        <f>IF(FX95=0,0,IF(LEN(FM95)=11,_xlfn.XLOOKUP(FM95,'Dispensed Ink Rates'!C:C,'Dispensed Ink Rates'!CS:CS),VLOOKUP(FM95,'Jan-2026 rates'!$E:$F,2,0)))</f>
        <v>0</v>
      </c>
      <c r="FZ95" s="409"/>
      <c r="GA95" s="398">
        <f>IF(FZ95=0,0,IF(LEN(FN95)=11,_xlfn.XLOOKUP(FN95,'Dispensed Ink Rates'!C:C,'Dispensed Ink Rates'!CS:CS),VLOOKUP(FN95,'Jan-2026 rates'!$E:$F,2,0)))</f>
        <v>0</v>
      </c>
      <c r="GB95" s="409"/>
      <c r="GC95" s="398">
        <f>IF(GB95=0,0,IF(LEN(FO95)=11,_xlfn.XLOOKUP(FO95,'Dispensed Ink Rates'!C:C,'Dispensed Ink Rates'!CS:CS),VLOOKUP(FO95,'Jan-2026 rates'!$E:$F,2,0)))</f>
        <v>0</v>
      </c>
      <c r="GD95" s="409"/>
      <c r="GE95" s="398">
        <f>IF(GD95=0,0,IF(LEN(FP95)=11,_xlfn.XLOOKUP(FP95,'Dispensed Ink Rates'!C:C,'Dispensed Ink Rates'!CS:CS),VLOOKUP(FP95,'Jan-2026 rates'!$E:$F,2,0)))</f>
        <v>0</v>
      </c>
      <c r="GF95" s="409"/>
      <c r="GG95" s="398">
        <f>IF(GF95=0,0,IF(LEN(FQ95)=11,_xlfn.XLOOKUP(FQ95,'Dispensed Ink Rates'!C:C,'Dispensed Ink Rates'!CS:CS),VLOOKUP(FQ95,'Jan-2026 rates'!$E:$F,2,0)))</f>
        <v>0</v>
      </c>
      <c r="GH95" s="409" t="s">
        <v>1443</v>
      </c>
      <c r="GI95" s="409">
        <v>25</v>
      </c>
      <c r="GJ95" s="411">
        <f t="shared" si="94"/>
        <v>0</v>
      </c>
      <c r="GK95" s="411">
        <f t="shared" si="95"/>
        <v>38.408071748878925</v>
      </c>
      <c r="GL95" s="410">
        <f t="shared" si="96"/>
        <v>0</v>
      </c>
      <c r="GM95" s="405" t="s">
        <v>545</v>
      </c>
      <c r="GN95" s="409"/>
      <c r="GO95" s="420" t="str">
        <f t="shared" si="58"/>
        <v>FLINTSL - YELLOW</v>
      </c>
      <c r="GP95" s="409"/>
      <c r="GQ95" s="411">
        <f>IF(GP95=0,0,IF($LB95=70%,VLOOKUP($GO95,'Jan-2026 rates'!$L:$R,4,0),IF($LB95=65%,VLOOKUP($GO95,'Jan-2026 rates'!$L:$R,4,0),IF($LB95=40%,VLOOKUP($GO95,'Jan-2026 rates'!$L:$R,5,0),IF($LB95=30%,VLOOKUP($GO95,'Jan-2026 rates'!$L:$R,6,0),IF($LB95=100%,VLOOKUP($GO95,'Jan-2026 rates'!$L:$R,7,0),IF($LB95=60%,VLOOKUP($GO95,'Jan-2026 rates'!$L:$S,8,0),IF($LB95=80%,VLOOKUP($GO95,'Jan-2026 rates'!L:T,9,0),0))))))))</f>
        <v>0</v>
      </c>
      <c r="GR95" s="412"/>
      <c r="GS95" s="409"/>
      <c r="GT95" s="411">
        <f>IF(GS95=0,0,IF($LB95=70%,VLOOKUP($GO95,'Jan-2026 rates'!$L:$R,4,0),IF($LB95=65%,VLOOKUP($GO95,'Jan-2026 rates'!$L:$R,4,0),IF($LB95=40%,VLOOKUP($GO95,'Jan-2026 rates'!$L:$R,5,0),IF($LB95=30%,VLOOKUP($GO95,'Jan-2026 rates'!$L:$R,6,0),IF($LB95=100%,VLOOKUP($GO95,'Jan-2026 rates'!$L:$R,7,0),IF($LB95=60%,VLOOKUP($GO95,'Jan-2026 rates'!$L:$S,8,0),IF($LB95=80%,VLOOKUP($GO95,'Jan-2026 rates'!L:T,9,0),0))))))))</f>
        <v>0</v>
      </c>
      <c r="GU95" s="413">
        <v>26507000019</v>
      </c>
      <c r="GV95" s="413" t="s">
        <v>1266</v>
      </c>
      <c r="GW95" s="412"/>
      <c r="GX95" s="412"/>
      <c r="GY95" s="412"/>
      <c r="GZ95" s="412"/>
      <c r="HA95" s="412"/>
      <c r="HB95" s="412"/>
      <c r="HC95" s="409">
        <v>10</v>
      </c>
      <c r="HD95" s="398" t="e">
        <f>IF(HC95=0,0,IF(LEN(GU95)=11,_xlfn.XLOOKUP(GU95,'Dispensed Ink Rates'!C:C,'Dispensed Ink Rates'!CS:CS),VLOOKUP(GU95,'Jan-2026 rates'!$E:$F,2,0)))</f>
        <v>#N/A</v>
      </c>
      <c r="HE95" s="409">
        <v>5</v>
      </c>
      <c r="HF95" s="398">
        <f>IF(HE95=0,0,IF(LEN(GV95)=11,_xlfn.XLOOKUP(GV95,'Dispensed Ink Rates'!C:C,'Dispensed Ink Rates'!CS:CS),VLOOKUP(GV95,'Jan-2026 rates'!$E:$F,2,0)))</f>
        <v>0</v>
      </c>
      <c r="HG95" s="409"/>
      <c r="HH95" s="398">
        <f>IF(HG95=0,0,IF(LEN(GW95)=11,_xlfn.XLOOKUP(GW95,'Dispensed Ink Rates'!C:C,'Dispensed Ink Rates'!CS:CS),VLOOKUP(GW95,'Jan-2026 rates'!$E:$F,2,0)))</f>
        <v>0</v>
      </c>
      <c r="HI95" s="409"/>
      <c r="HJ95" s="398">
        <f>IF(HI95=0,0,IF(LEN(GX95)=11,_xlfn.XLOOKUP(GX95,'Dispensed Ink Rates'!C:C,'Dispensed Ink Rates'!CS:CS),VLOOKUP(GX95,'Jan-2026 rates'!$E:$F,2,0)))</f>
        <v>0</v>
      </c>
      <c r="HK95" s="409"/>
      <c r="HL95" s="398">
        <f>IF(HK95=0,0,IF(LEN(GY95)=11,_xlfn.XLOOKUP(GY95,'Dispensed Ink Rates'!C:C,'Dispensed Ink Rates'!CS:CS),VLOOKUP(GY95,'Jan-2026 rates'!$E:$F,2,0)))</f>
        <v>0</v>
      </c>
      <c r="HM95" s="409"/>
      <c r="HN95" s="398">
        <f>IF(HM95=0,0,IF(LEN(GZ95)=11,_xlfn.XLOOKUP(GZ95,'Dispensed Ink Rates'!C:C,'Dispensed Ink Rates'!CS:CS),VLOOKUP(GZ95,'Jan-2026 rates'!$E:$F,2,0)))</f>
        <v>0</v>
      </c>
      <c r="HO95" s="409"/>
      <c r="HP95" s="398">
        <f>IF(HO95=0,0,IF(LEN(HA95)=11,_xlfn.XLOOKUP(HA95,'Dispensed Ink Rates'!C:C,'Dispensed Ink Rates'!CS:CS),VLOOKUP(HA95,'Jan-2026 rates'!$E:$F,2,0)))</f>
        <v>0</v>
      </c>
      <c r="HQ95" s="409"/>
      <c r="HR95" s="398">
        <f>IF(HQ95=0,0,IF(LEN(HB95)=11,_xlfn.XLOOKUP(HB95,'Dispensed Ink Rates'!C:C,'Dispensed Ink Rates'!CS:CS),VLOOKUP(HB95,'Jan-2026 rates'!$E:$F,2,0)))</f>
        <v>0</v>
      </c>
      <c r="HS95" s="409" t="s">
        <v>1443</v>
      </c>
      <c r="HT95" s="409">
        <v>20</v>
      </c>
      <c r="HU95" s="411">
        <f t="shared" si="97"/>
        <v>0</v>
      </c>
      <c r="HV95" s="411">
        <f t="shared" si="98"/>
        <v>35.695067264573993</v>
      </c>
      <c r="HW95" s="414">
        <f t="shared" si="99"/>
        <v>0</v>
      </c>
      <c r="HX95" s="405" t="s">
        <v>856</v>
      </c>
      <c r="HY95" s="409" t="s">
        <v>3133</v>
      </c>
      <c r="HZ95" s="420" t="str">
        <f t="shared" si="59"/>
        <v>FLINTSL - WHITE</v>
      </c>
      <c r="IA95" s="409">
        <v>25</v>
      </c>
      <c r="IB95" s="411">
        <f>IF(IA95=0,0,IF($LB95=70%,VLOOKUP($HZ95,'Jan-2026 rates'!$L:$R,4,0),IF($LB95=65%,VLOOKUP($HZ95,'Jan-2026 rates'!$L:$R,4,0),IF($LB95=40%,VLOOKUP($HZ95,'Jan-2026 rates'!$L:$R,5,0),IF($LB95=30%,VLOOKUP($HZ95,'Jan-2026 rates'!$L:$R,6,0),IF($LB95=100%,VLOOKUP($HZ95,'Jan-2026 rates'!$L:$R,7,0),IF($LB95=60%,VLOOKUP($HZ95,'Jan-2026 rates'!$L:$S,8,0),IF($LB95=80%,VLOOKUP($HZ95,'Jan-2026 rates'!L:T,9,0),0))))))))</f>
        <v>0</v>
      </c>
      <c r="IC95" s="412"/>
      <c r="ID95" s="409"/>
      <c r="IE95" s="411">
        <f>IF(ID95=0,0,IF($LB95=70%,VLOOKUP($HZ95,'Jan-2026 rates'!$L:$R,4,0),IF($LB95=65%,VLOOKUP($HZ95,'Jan-2026 rates'!$L:$R,4,0),IF($LB95=40%,VLOOKUP($HZ95,'Jan-2026 rates'!$L:$R,5,0),IF($LB95=30%,VLOOKUP($HZ95,'Jan-2026 rates'!$L:$R,6,0),IF($LB95=100%,VLOOKUP($HZ95,'Jan-2026 rates'!$L:$R,7,0),IF($LB95=60%,VLOOKUP($HZ95,'Jan-2026 rates'!$L:$S,8,0),IF($LB95=80%,VLOOKUP($HZ95,'Jan-2026 rates'!L:T,9,0),0))))))))</f>
        <v>0</v>
      </c>
      <c r="IF95" s="412" t="s">
        <v>484</v>
      </c>
      <c r="IG95" s="413"/>
      <c r="IH95" s="412"/>
      <c r="II95" s="412"/>
      <c r="IJ95" s="412"/>
      <c r="IK95" s="412"/>
      <c r="IL95" s="412"/>
      <c r="IM95" s="412"/>
      <c r="IN95" s="409">
        <f>100+100</f>
        <v>200</v>
      </c>
      <c r="IO95" s="398">
        <f>IF(IN95=0,0,IF(LEN(IF95)=11,_xlfn.XLOOKUP(IF95,'Dispensed Ink Rates'!C:C,'Dispensed Ink Rates'!CS:CS),VLOOKUP(IF95,'Jan-2026 rates'!$E:$F,2,0)))</f>
        <v>0</v>
      </c>
      <c r="IP95" s="409"/>
      <c r="IQ95" s="398">
        <f>IF(IP95=0,0,IF(LEN(IG95)=11,_xlfn.XLOOKUP(IG95,'Dispensed Ink Rates'!C:C,'Dispensed Ink Rates'!CS:CS),VLOOKUP(IG95,'Jan-2026 rates'!$E:$F,2,0)))</f>
        <v>0</v>
      </c>
      <c r="IR95" s="409"/>
      <c r="IS95" s="398">
        <f>IF(IR95=0,0,IF(LEN(IH95)=11,_xlfn.XLOOKUP(IH95,'Dispensed Ink Rates'!C:C,'Dispensed Ink Rates'!CS:CS),VLOOKUP(IH95,'Jan-2026 rates'!$E:$F,2,0)))</f>
        <v>0</v>
      </c>
      <c r="IT95" s="409"/>
      <c r="IU95" s="398">
        <f>IF(IT95=0,0,IF(LEN(II95)=11,_xlfn.XLOOKUP(II95,'Dispensed Ink Rates'!C:C,'Dispensed Ink Rates'!CS:CS),VLOOKUP(II95,'Jan-2026 rates'!$E:$F,2,0)))</f>
        <v>0</v>
      </c>
      <c r="IV95" s="409"/>
      <c r="IW95" s="398">
        <f>IF(IV95=0,0,IF(LEN(IJ95)=11,_xlfn.XLOOKUP(IJ95,'Dispensed Ink Rates'!C:C,'Dispensed Ink Rates'!CS:CS),VLOOKUP(IJ95,'Jan-2026 rates'!$E:$F,2,0)))</f>
        <v>0</v>
      </c>
      <c r="IX95" s="409"/>
      <c r="IY95" s="398">
        <f>IF(IX95=0,0,IF(LEN(IK95)=11,_xlfn.XLOOKUP(IK95,'Dispensed Ink Rates'!C:C,'Dispensed Ink Rates'!CS:CS),VLOOKUP(IK95,'Jan-2026 rates'!$E:$F,2,0)))</f>
        <v>0</v>
      </c>
      <c r="IZ95" s="409"/>
      <c r="JA95" s="398">
        <f>IF(IZ95=0,0,IF(LEN(IL95)=11,_xlfn.XLOOKUP(IL95,'Dispensed Ink Rates'!C:C,'Dispensed Ink Rates'!CS:CS),VLOOKUP(IL95,'Jan-2026 rates'!$E:$F,2,0)))</f>
        <v>0</v>
      </c>
      <c r="JB95" s="409"/>
      <c r="JC95" s="398">
        <f>IF(JB95=0,0,IF(LEN(IM95)=11,_xlfn.XLOOKUP(IM95,'Dispensed Ink Rates'!C:C,'Dispensed Ink Rates'!CS:CS),VLOOKUP(IM95,'Jan-2026 rates'!$E:$F,2,0)))</f>
        <v>0</v>
      </c>
      <c r="JD95" s="409" t="s">
        <v>1443</v>
      </c>
      <c r="JE95" s="409">
        <v>25</v>
      </c>
      <c r="JF95" s="411">
        <f t="shared" si="100"/>
        <v>0</v>
      </c>
      <c r="JG95" s="411">
        <f t="shared" si="101"/>
        <v>525.56053811659194</v>
      </c>
      <c r="JH95" s="410">
        <f t="shared" si="102"/>
        <v>0</v>
      </c>
      <c r="JI95" s="405" t="s">
        <v>605</v>
      </c>
      <c r="JJ95" s="409" t="s">
        <v>3134</v>
      </c>
      <c r="JK95" s="420" t="str">
        <f t="shared" si="60"/>
        <v>ToyoLi - MATT</v>
      </c>
      <c r="JL95" s="409">
        <v>20</v>
      </c>
      <c r="JM95" s="411">
        <f>IF(JL95=0,0,IF($LB95=70%,VLOOKUP($JK95,'Jan-2026 rates'!$L:$R,4,0),IF($LB95=65%,VLOOKUP($JK95,'Jan-2026 rates'!$L:$R,4,0),IF($LB95=40%,VLOOKUP($JK95,'Jan-2026 rates'!$L:$R,5,0),IF($LB95=30%,VLOOKUP($JK95,'Jan-2026 rates'!$L:$R,6,0),IF($LB95=100%,VLOOKUP($JK95,'Jan-2026 rates'!$L:$R,7,0),IF($LB95=60%,VLOOKUP($JK95,'Jan-2026 rates'!$L:$S,8,0),IF($LB95=80%,VLOOKUP($JK95,'Jan-2026 rates'!L:T,9,0),0))))))))</f>
        <v>0</v>
      </c>
      <c r="JN95" s="412"/>
      <c r="JO95" s="409"/>
      <c r="JP95" s="411">
        <f>IF(JO95=0,0,IF($LB95=70%,VLOOKUP($JK95,'Jan-2026 rates'!$L:$R,4,0),IF($LB95=65%,VLOOKUP($JK95,'Jan-2026 rates'!$L:$R,4,0),IF($LB95=40%,VLOOKUP($JK95,'Jan-2026 rates'!$L:$R,5,0),IF($LB95=30%,VLOOKUP($JK95,'Jan-2026 rates'!$L:$R,6,0),IF($LB95=100%,VLOOKUP($JK95,'Jan-2026 rates'!$L:$R,7,0),IF($LB95=60%,VLOOKUP($JK95,'Jan-2026 rates'!$L:$S,8,0),IF($LB95=80%,VLOOKUP($JK95,'Jan-2026 rates'!L:T,9,0),0))))))))</f>
        <v>0</v>
      </c>
      <c r="JQ95" s="413">
        <v>55</v>
      </c>
      <c r="JR95" s="412" t="s">
        <v>1902</v>
      </c>
      <c r="JS95" s="413"/>
      <c r="JT95" s="413"/>
      <c r="JU95" s="412"/>
      <c r="JV95" s="412"/>
      <c r="JW95" s="412"/>
      <c r="JX95" s="412"/>
      <c r="JY95" s="409">
        <f>120+100</f>
        <v>220</v>
      </c>
      <c r="JZ95" s="398">
        <f>IF(JY95=0,0,IF(LEN(JQ95)=11,_xlfn.XLOOKUP(JQ95,'Dispensed Ink Rates'!C:C,'Dispensed Ink Rates'!CS:CS),VLOOKUP(JQ95,'Jan-2026 rates'!$E:$F,2,0)))</f>
        <v>0</v>
      </c>
      <c r="KA95" s="409">
        <f>30+25</f>
        <v>55</v>
      </c>
      <c r="KB95" s="398">
        <f>IF(KA95=0,0,IF(LEN(JR95)=11,_xlfn.XLOOKUP(JR95,'Dispensed Ink Rates'!C:C,'Dispensed Ink Rates'!CS:CS),VLOOKUP(JR95,'Jan-2026 rates'!$E:$F,2,0)))</f>
        <v>0</v>
      </c>
      <c r="KC95" s="409"/>
      <c r="KD95" s="398">
        <f>IF(KC95=0,0,IF(LEN(JS95)=11,_xlfn.XLOOKUP(JS95,'Dispensed Ink Rates'!C:C,'Dispensed Ink Rates'!CS:CS),VLOOKUP(JS95,'Jan-2026 rates'!$E:$F,2,0)))</f>
        <v>0</v>
      </c>
      <c r="KE95" s="409"/>
      <c r="KF95" s="398">
        <f>IF(KE95=0,0,IF(LEN(JT95)=11,_xlfn.XLOOKUP(JT95,'Dispensed Ink Rates'!C:C,'Dispensed Ink Rates'!CS:CS),VLOOKUP(JT95,'Jan-2026 rates'!$E:$F,2,0)))</f>
        <v>0</v>
      </c>
      <c r="KG95" s="409"/>
      <c r="KH95" s="398">
        <f>IF(KG95=0,0,IF(LEN(JU95)=11,_xlfn.XLOOKUP(JU95,'Dispensed Ink Rates'!C:C,'Dispensed Ink Rates'!CS:CS),VLOOKUP(JU95,'Jan-2026 rates'!$E:$F,2,0)))</f>
        <v>0</v>
      </c>
      <c r="KI95" s="409"/>
      <c r="KJ95" s="398">
        <f>IF(KI95=0,0,IF(LEN(JV95)=11,_xlfn.XLOOKUP(JV95,'Dispensed Ink Rates'!C:C,'Dispensed Ink Rates'!CS:CS),VLOOKUP(JV95,'Jan-2026 rates'!$E:$F,2,0)))</f>
        <v>0</v>
      </c>
      <c r="KK95" s="409"/>
      <c r="KL95" s="398">
        <f>IF(KK95=0,0,IF(LEN(JW95)=11,_xlfn.XLOOKUP(JW95,'Dispensed Ink Rates'!C:C,'Dispensed Ink Rates'!CS:CS),VLOOKUP(JW95,'Jan-2026 rates'!$E:$F,2,0)))</f>
        <v>0</v>
      </c>
      <c r="KM95" s="428"/>
      <c r="KN95" s="398">
        <f>IF(KM95=0,0,IF(LEN(JX95)=11,_xlfn.XLOOKUP(JX95,'Dispensed Ink Rates'!C:C,'Dispensed Ink Rates'!CS:CS),VLOOKUP(JX95,'Jan-2026 rates'!$E:$F,2,0)))</f>
        <v>0</v>
      </c>
      <c r="KO95" s="409" t="s">
        <v>1881</v>
      </c>
      <c r="KP95" s="409">
        <v>20</v>
      </c>
      <c r="KQ95" s="411">
        <f t="shared" si="103"/>
        <v>0</v>
      </c>
      <c r="KR95" s="411">
        <f t="shared" si="104"/>
        <v>356.39013452914799</v>
      </c>
      <c r="KS95" s="410">
        <f t="shared" si="105"/>
        <v>0</v>
      </c>
      <c r="KT95" s="409">
        <v>4</v>
      </c>
      <c r="KU95" s="409">
        <v>3</v>
      </c>
      <c r="KV95" s="409">
        <v>20</v>
      </c>
      <c r="KW95" s="409">
        <v>15</v>
      </c>
      <c r="KX95" s="409">
        <v>16</v>
      </c>
      <c r="KY95" s="409">
        <v>15</v>
      </c>
      <c r="KZ95" s="409">
        <f>50+70</f>
        <v>120</v>
      </c>
      <c r="LA95" s="409">
        <v>30</v>
      </c>
      <c r="LB95" s="415">
        <v>0.8</v>
      </c>
      <c r="LC95" s="415">
        <v>0.2</v>
      </c>
      <c r="LD95" s="415"/>
      <c r="LE95" s="415"/>
      <c r="LF95" s="415"/>
      <c r="LG95" s="409">
        <v>0</v>
      </c>
      <c r="LH95" s="409">
        <f>150+140+240+60+5+5+5</f>
        <v>605</v>
      </c>
      <c r="LI95" s="409">
        <v>0</v>
      </c>
      <c r="LJ95" s="409">
        <v>0</v>
      </c>
      <c r="LK95" s="416">
        <f t="shared" si="61"/>
        <v>605</v>
      </c>
      <c r="LL95" s="416">
        <f t="shared" si="62"/>
        <v>605</v>
      </c>
      <c r="LM95" s="417">
        <f t="shared" si="63"/>
        <v>484</v>
      </c>
      <c r="LN95" s="417">
        <f>VLOOKUP($LM$8,'Jan-2026 rates'!$H:$I,2,0)</f>
        <v>0</v>
      </c>
      <c r="LO95" s="417">
        <f t="shared" si="64"/>
        <v>121</v>
      </c>
      <c r="LP95" s="417">
        <f>VLOOKUP($LO$8,'Jan-2026 rates'!$H:$I,2,0)</f>
        <v>0</v>
      </c>
      <c r="LQ95" s="417">
        <f t="shared" si="65"/>
        <v>0</v>
      </c>
      <c r="LR95" s="417">
        <f>VLOOKUP($LQ$8,'Jan-2026 rates'!$H:$I,2,0)</f>
        <v>0</v>
      </c>
      <c r="LS95" s="417">
        <f t="shared" si="66"/>
        <v>0</v>
      </c>
      <c r="LT95" s="417">
        <f>VLOOKUP($LS$8,'Jan-2026 rates'!$H:$I,2,0)</f>
        <v>0</v>
      </c>
      <c r="LU95" s="417">
        <f t="shared" si="67"/>
        <v>0</v>
      </c>
      <c r="LV95" s="417">
        <f>VLOOKUP($LU$8,'Jan-2026 rates'!$H:$I,2,0)</f>
        <v>0</v>
      </c>
      <c r="LW95" s="417">
        <f t="shared" si="68"/>
        <v>0</v>
      </c>
      <c r="LX95" s="417">
        <f t="shared" si="69"/>
        <v>0</v>
      </c>
      <c r="LY95" s="418">
        <f t="shared" si="70"/>
        <v>0</v>
      </c>
      <c r="LZ95" s="417"/>
      <c r="MA95" s="435">
        <f t="shared" si="71"/>
        <v>662.5</v>
      </c>
      <c r="MB95" s="282">
        <f t="shared" si="72"/>
        <v>1179.5</v>
      </c>
      <c r="MC95" s="283">
        <v>50</v>
      </c>
      <c r="MD95" s="284" t="str">
        <f t="shared" si="73"/>
        <v>FLINTSLFLINTSLFLINTSLFLINTSLFLINTSLFLINTSLFLINTSLToyoLi</v>
      </c>
      <c r="ME95" s="293" t="str">
        <f t="shared" si="74"/>
        <v>+</v>
      </c>
      <c r="MF95" s="293" t="str">
        <f t="shared" si="75"/>
        <v>+</v>
      </c>
      <c r="MG95" s="293" t="str">
        <f t="shared" si="76"/>
        <v>+</v>
      </c>
      <c r="MH95" s="293" t="str">
        <f t="shared" si="77"/>
        <v>+</v>
      </c>
      <c r="MI95" s="293" t="str">
        <f t="shared" si="78"/>
        <v>+</v>
      </c>
      <c r="MJ95" s="293" t="str">
        <f t="shared" si="79"/>
        <v>+</v>
      </c>
      <c r="MK95" s="293" t="str">
        <f t="shared" si="80"/>
        <v>+</v>
      </c>
      <c r="ML95" s="293" t="str">
        <f t="shared" si="81"/>
        <v>+</v>
      </c>
      <c r="MM95" s="3" t="b">
        <f t="array" ref="MM95">OR(ME95:ML95="-")</f>
        <v>0</v>
      </c>
      <c r="MN95" s="285"/>
      <c r="MO95" s="401"/>
      <c r="MP95" s="286"/>
      <c r="MQ95" s="286"/>
      <c r="MR95" s="402"/>
      <c r="MS95" s="400"/>
      <c r="NH95" s="422"/>
      <c r="NJ95" s="421"/>
    </row>
    <row r="96" spans="1:374" s="1" customFormat="1" ht="16.5">
      <c r="A96" s="403">
        <v>46029</v>
      </c>
      <c r="B96" s="404" t="s">
        <v>1018</v>
      </c>
      <c r="C96" s="405" t="s">
        <v>3135</v>
      </c>
      <c r="D96" s="406">
        <v>51</v>
      </c>
      <c r="E96" s="404">
        <v>304</v>
      </c>
      <c r="F96" s="407">
        <v>18000</v>
      </c>
      <c r="G96" s="407" t="s">
        <v>1016</v>
      </c>
      <c r="H96" s="408" t="s">
        <v>1017</v>
      </c>
      <c r="I96" s="409">
        <f>2+1.3</f>
        <v>3.3</v>
      </c>
      <c r="J96" s="405" t="s">
        <v>543</v>
      </c>
      <c r="K96" s="404" t="s">
        <v>3136</v>
      </c>
      <c r="L96" s="419" t="str">
        <f t="shared" si="54"/>
        <v>FLINTSL - BLACK</v>
      </c>
      <c r="M96" s="404">
        <v>26</v>
      </c>
      <c r="N96" s="410">
        <f>IF(M96=0,0,IF($LB96=70%,VLOOKUP($L96,'Jan-2026 rates'!$L:$R,4,0),IF($LB96=65%,VLOOKUP($L96,'Jan-2026 rates'!$L:$R,4,0),IF($LB96=40%,VLOOKUP($L96,'Jan-2026 rates'!$L:$R,5,0),IF($LB96=30%,VLOOKUP($L96,'Jan-2026 rates'!$L:$R,6,0),IF($LB96=100%,VLOOKUP($L96,'Jan-2026 rates'!$L:$R,7,0),IF($LB96=60%,VLOOKUP($L96,'Jan-2026 rates'!$L:$S,8,0),IF($LB96=80%,VLOOKUP($L96,'Jan-2026 rates'!L:T,9,0),0))))))))</f>
        <v>0</v>
      </c>
      <c r="O96" s="406"/>
      <c r="P96" s="404"/>
      <c r="Q96" s="410">
        <f>IF(P96=0,0,IF($LB96=70%,VLOOKUP($L96,'Jan-2026 rates'!$L:$R,4,0),IF($LB96=65%,VLOOKUP($L96,'Jan-2026 rates'!$L:$R,4,0),IF($LB96=40%,VLOOKUP($L96,'Jan-2026 rates'!$L:$R,5,0),IF($LB96=30%,VLOOKUP($L96,'Jan-2026 rates'!$L:$R,6,0),IF($LB96=100%,VLOOKUP($L96,'Jan-2026 rates'!$L:$R,7,0),IF($LB96=60%,VLOOKUP($L96,'Jan-2026 rates'!$L:$S,8,0),IF($LB96=80%,VLOOKUP($L96,'Jan-2026 rates'!L:T,9,0),0))))))))</f>
        <v>0</v>
      </c>
      <c r="R96" s="406">
        <v>26506000006</v>
      </c>
      <c r="S96" s="406"/>
      <c r="T96" s="406"/>
      <c r="U96" s="406"/>
      <c r="V96" s="406"/>
      <c r="W96" s="406"/>
      <c r="X96" s="406"/>
      <c r="Y96" s="406"/>
      <c r="Z96" s="404">
        <f>5+2</f>
        <v>7</v>
      </c>
      <c r="AA96" s="398" t="e">
        <f>IF(Z96=0,0,IF(LEN(R96)=11,_xlfn.XLOOKUP(R96,'Dispensed Ink Rates'!C:C,'Dispensed Ink Rates'!CS:CS),VLOOKUP(R96,'Jan-2026 rates'!$E:$F,2,0)))</f>
        <v>#N/A</v>
      </c>
      <c r="AB96" s="404"/>
      <c r="AC96" s="398">
        <f>IF(AB96=0,0,IF(LEN(S96)=11,_xlfn.XLOOKUP(S96,'Dispensed Ink Rates'!C:C,'Dispensed Ink Rates'!CS:CS),VLOOKUP(S96,'Jan-2026 rates'!$E:$F,2,0)))</f>
        <v>0</v>
      </c>
      <c r="AD96" s="404"/>
      <c r="AE96" s="398">
        <f>IF(AD96=0,0,IF(LEN(T96)=11,_xlfn.XLOOKUP(T96,'Dispensed Ink Rates'!C:C,'Dispensed Ink Rates'!CS:CS),VLOOKUP(T96,'Jan-2026 rates'!$E:$F,2,0)))</f>
        <v>0</v>
      </c>
      <c r="AF96" s="404"/>
      <c r="AG96" s="398">
        <f>IF(AF96=0,0,IF(LEN(U96)=11,_xlfn.XLOOKUP(U96,'Dispensed Ink Rates'!C:C,'Dispensed Ink Rates'!CS:CS),VLOOKUP(U96,'Jan-2026 rates'!$E:$F,2,0)))</f>
        <v>0</v>
      </c>
      <c r="AH96" s="404"/>
      <c r="AI96" s="398">
        <f>IF(AH96=0,0,IF(LEN(V96)=11,_xlfn.XLOOKUP(V96,'Dispensed Ink Rates'!C:C,'Dispensed Ink Rates'!CS:CS),VLOOKUP(V96,'Jan-2026 rates'!$E:$F,2,0)))</f>
        <v>0</v>
      </c>
      <c r="AJ96" s="404"/>
      <c r="AK96" s="398">
        <f>IF(AJ96=0,0,IF(LEN(W96)=11,_xlfn.XLOOKUP(W96,'Dispensed Ink Rates'!C:C,'Dispensed Ink Rates'!CS:CS),VLOOKUP(W96,'Jan-2026 rates'!$E:$F,2,0)))</f>
        <v>0</v>
      </c>
      <c r="AL96" s="404"/>
      <c r="AM96" s="398">
        <f>IF(AL96=0,0,IF(LEN(X96)=11,_xlfn.XLOOKUP(X96,'Dispensed Ink Rates'!C:C,'Dispensed Ink Rates'!CS:CS),VLOOKUP(X96,'Jan-2026 rates'!$E:$F,2,0)))</f>
        <v>0</v>
      </c>
      <c r="AN96" s="404"/>
      <c r="AO96" s="398">
        <f>IF(AN96=0,0,IF(LEN(Y96)=11,_xlfn.XLOOKUP(Y96,'Dispensed Ink Rates'!C:C,'Dispensed Ink Rates'!CS:CS),VLOOKUP(Y96,'Jan-2026 rates'!$E:$F,2,0)))</f>
        <v>0</v>
      </c>
      <c r="AP96" s="409" t="s">
        <v>1443</v>
      </c>
      <c r="AQ96" s="409">
        <v>30</v>
      </c>
      <c r="AR96" s="410">
        <f t="shared" si="82"/>
        <v>0</v>
      </c>
      <c r="AS96" s="411">
        <f t="shared" si="83"/>
        <v>12.428571428571431</v>
      </c>
      <c r="AT96" s="410">
        <f t="shared" si="84"/>
        <v>0</v>
      </c>
      <c r="AU96" s="405" t="s">
        <v>543</v>
      </c>
      <c r="AV96" s="409"/>
      <c r="AW96" s="420" t="str">
        <f t="shared" si="53"/>
        <v>FLINTSL - BLACK</v>
      </c>
      <c r="AX96" s="409"/>
      <c r="AY96" s="411">
        <f>IF(AX96=0,0,IF($LB96=70%,VLOOKUP($AW96,'Jan-2026 rates'!$L:$R,4,0),IF($LB96=65%,VLOOKUP($AW96,'Jan-2026 rates'!$L:$R,4,0),IF($LB96=40%,VLOOKUP($AW96,'Jan-2026 rates'!$L:$R,5,0),IF($LB96=30%,VLOOKUP($AW96,'Jan-2026 rates'!$L:$R,6,0),IF($LB96=100%,VLOOKUP($AW96,'Jan-2026 rates'!$L:$R,7,0),IF($LB96=60%,VLOOKUP($AW96,'Jan-2026 rates'!$L:$S,8,0),IF($LB96=80%,VLOOKUP($AW96,'Jan-2026 rates'!L:T,9,0),0))))))))</f>
        <v>0</v>
      </c>
      <c r="AZ96" s="412"/>
      <c r="BA96" s="409"/>
      <c r="BB96" s="411">
        <f>IF(BA96=0,0,IF($LB96=70%,VLOOKUP($AW96,'Jan-2026 rates'!$L:$R,4,0),IF($LB96=65%,VLOOKUP($AW96,'Jan-2026 rates'!$L:$R,4,0),IF($LB96=40%,VLOOKUP($AW96,'Jan-2026 rates'!$L:$R,5,0),IF($LB96=30%,VLOOKUP($AW96,'Jan-2026 rates'!$L:$R,6,0),IF($LB96=100%,VLOOKUP($AW96,'Jan-2026 rates'!$L:$R,7,0),IF($LB96=60%,VLOOKUP($AW96,'Jan-2026 rates'!$L:$S,8,0),IF($LB96=80%,VLOOKUP($AW96,'Jan-2026 rates'!L:T,9,0),0))))))))</f>
        <v>0</v>
      </c>
      <c r="BC96" s="413" t="s">
        <v>1266</v>
      </c>
      <c r="BD96" s="412">
        <v>26506000007</v>
      </c>
      <c r="BE96" s="412"/>
      <c r="BF96" s="413"/>
      <c r="BG96" s="412"/>
      <c r="BH96" s="412"/>
      <c r="BI96" s="412"/>
      <c r="BJ96" s="412"/>
      <c r="BK96" s="409">
        <v>25</v>
      </c>
      <c r="BL96" s="398">
        <f>IF(BK96=0,0,IF(LEN(BC96)=11,_xlfn.XLOOKUP(BC96,'Dispensed Ink Rates'!C:C,'Dispensed Ink Rates'!CS:CS),VLOOKUP(BC96,'Jan-2026 rates'!$E:$F,2,0)))</f>
        <v>0</v>
      </c>
      <c r="BM96" s="409">
        <v>5</v>
      </c>
      <c r="BN96" s="398" t="e">
        <f>IF(BM96=0,0,IF(LEN(BD96)=11,_xlfn.XLOOKUP(BD96,'Dispensed Ink Rates'!C:C,'Dispensed Ink Rates'!CS:CS),VLOOKUP(BD96,'Jan-2026 rates'!$E:$F,2,0)))</f>
        <v>#N/A</v>
      </c>
      <c r="BO96" s="409"/>
      <c r="BP96" s="398">
        <f>IF(BO96=0,0,IF(LEN(BE96)=11,_xlfn.XLOOKUP(BE96,'Dispensed Ink Rates'!C:C,'Dispensed Ink Rates'!CS:CS),VLOOKUP(BE96,'Jan-2026 rates'!$E:$F,2,0)))</f>
        <v>0</v>
      </c>
      <c r="BQ96" s="409"/>
      <c r="BR96" s="398">
        <f>IF(BQ96=0,0,IF(LEN(BF96)=11,_xlfn.XLOOKUP(BF96,'Dispensed Ink Rates'!C:C,'Dispensed Ink Rates'!CS:CS),VLOOKUP(BF96,'Jan-2026 rates'!$E:$F,2,0)))</f>
        <v>0</v>
      </c>
      <c r="BS96" s="409"/>
      <c r="BT96" s="398">
        <f>IF(BS96=0,0,IF(LEN(BG96)=11,_xlfn.XLOOKUP(BG96,'Dispensed Ink Rates'!C:C,'Dispensed Ink Rates'!CS:CS),VLOOKUP(BG96,'Jan-2026 rates'!$E:$F,2,0)))</f>
        <v>0</v>
      </c>
      <c r="BU96" s="409"/>
      <c r="BV96" s="398">
        <f>IF(BU96=0,0,IF(LEN(BH96)=11,_xlfn.XLOOKUP(BH96,'Dispensed Ink Rates'!C:C,'Dispensed Ink Rates'!CS:CS),VLOOKUP(BH96,'Jan-2026 rates'!$E:$F,2,0)))</f>
        <v>0</v>
      </c>
      <c r="BW96" s="409"/>
      <c r="BX96" s="398">
        <f>IF(BW96=0,0,IF(LEN(BI96)=11,_xlfn.XLOOKUP(BI96,'Dispensed Ink Rates'!C:C,'Dispensed Ink Rates'!CS:CS),VLOOKUP(BI96,'Jan-2026 rates'!$E:$F,2,0)))</f>
        <v>0</v>
      </c>
      <c r="BY96" s="409"/>
      <c r="BZ96" s="398">
        <f>IF(BY96=0,0,IF(LEN(BJ96)=11,_xlfn.XLOOKUP(BJ96,'Dispensed Ink Rates'!C:C,'Dispensed Ink Rates'!CS:CS),VLOOKUP(BJ96,'Jan-2026 rates'!$E:$F,2,0)))</f>
        <v>0</v>
      </c>
      <c r="CA96" s="409" t="s">
        <v>1443</v>
      </c>
      <c r="CB96" s="409">
        <v>26</v>
      </c>
      <c r="CC96" s="411">
        <f t="shared" si="85"/>
        <v>0</v>
      </c>
      <c r="CD96" s="411">
        <f t="shared" si="86"/>
        <v>27.571428571428569</v>
      </c>
      <c r="CE96" s="410">
        <f t="shared" si="87"/>
        <v>0</v>
      </c>
      <c r="CF96" s="404" t="s">
        <v>855</v>
      </c>
      <c r="CG96" s="409" t="s">
        <v>3137</v>
      </c>
      <c r="CH96" s="420" t="str">
        <f t="shared" si="55"/>
        <v>FLINTSL - CYAN</v>
      </c>
      <c r="CI96" s="409">
        <v>27</v>
      </c>
      <c r="CJ96" s="411">
        <f>IF(CI96=0,0,IF($LB96=70%,VLOOKUP($CH96,'Jan-2026 rates'!$L:$R,4,0),IF($LB96=65%,VLOOKUP($CH96,'Jan-2026 rates'!$L:$R,4,0),IF($LB96=40%,VLOOKUP($CH96,'Jan-2026 rates'!$L:$R,5,0),IF($LB96=30%,VLOOKUP($CH96,'Jan-2026 rates'!$L:$R,6,0),IF($LB96=100%,VLOOKUP($CH96,'Jan-2026 rates'!$L:$R,7,0),IF($LB96=60%,VLOOKUP($CH96,'Jan-2026 rates'!$L:$S,8,0),IF($LB96=80%,VLOOKUP($CH96,'Jan-2026 rates'!L:T,9,0),0))))))))</f>
        <v>0</v>
      </c>
      <c r="CK96" s="412"/>
      <c r="CL96" s="409"/>
      <c r="CM96" s="411">
        <f>IF(CL96=0,0,IF($LB96=70%,VLOOKUP($CH96,'Jan-2026 rates'!$L:$R,4,0),IF($LB96=65%,VLOOKUP($CH96,'Jan-2026 rates'!$L:$R,4,0),IF($LB96=40%,VLOOKUP($CH96,'Jan-2026 rates'!$L:$R,5,0),IF($LB96=30%,VLOOKUP($CH96,'Jan-2026 rates'!$L:$R,6,0),IF($LB96=100%,VLOOKUP($CH96,'Jan-2026 rates'!$L:$R,7,0),IF($LB96=60%,VLOOKUP($CH96,'Jan-2026 rates'!$L:$S,8,0),IF($LB96=80%,VLOOKUP($CH96,'Jan-2026 rates'!L:T,9,0),0))))))))</f>
        <v>0</v>
      </c>
      <c r="CN96" s="426">
        <v>26507000018</v>
      </c>
      <c r="CO96" s="427" t="s">
        <v>1266</v>
      </c>
      <c r="CP96" s="426">
        <v>26501000001</v>
      </c>
      <c r="CQ96" s="426"/>
      <c r="CR96" s="428"/>
      <c r="CS96" s="428"/>
      <c r="CT96" s="428"/>
      <c r="CU96" s="428"/>
      <c r="CV96" s="409">
        <f>2+4+6</f>
        <v>12</v>
      </c>
      <c r="CW96" s="398" t="e">
        <f>IF(CV96=0,0,IF(LEN(CN96)=11,_xlfn.XLOOKUP(CN96,'Dispensed Ink Rates'!C:C,'Dispensed Ink Rates'!CS:CS),VLOOKUP(CN96,'Jan-2026 rates'!$E:$F,2,0)))</f>
        <v>#N/A</v>
      </c>
      <c r="CX96" s="409">
        <f>5+5+15</f>
        <v>25</v>
      </c>
      <c r="CY96" s="398">
        <f>IF(CX96=0,0,IF(LEN(CO96)=11,_xlfn.XLOOKUP(CO96,'Dispensed Ink Rates'!C:C,'Dispensed Ink Rates'!CS:CS),VLOOKUP(CO96,'Jan-2026 rates'!$E:$F,2,0)))</f>
        <v>0</v>
      </c>
      <c r="CZ96" s="409">
        <v>0.5</v>
      </c>
      <c r="DA96" s="398" t="e">
        <f>IF(CZ96=0,0,IF(LEN(CP96)=11,_xlfn.XLOOKUP(CP96,'Dispensed Ink Rates'!C:C,'Dispensed Ink Rates'!CS:CS),VLOOKUP(CP96,'Jan-2026 rates'!$E:$F,2,0)))</f>
        <v>#N/A</v>
      </c>
      <c r="DB96" s="409"/>
      <c r="DC96" s="398">
        <f>IF(DB96=0,0,IF(LEN(CQ96)=11,_xlfn.XLOOKUP(CQ96,'Dispensed Ink Rates'!C:C,'Dispensed Ink Rates'!CS:CS),VLOOKUP(CQ96,'Jan-2026 rates'!$E:$F,2,0)))</f>
        <v>0</v>
      </c>
      <c r="DD96" s="409"/>
      <c r="DE96" s="398">
        <f>IF(DD96=0,0,IF(LEN(CR96)=11,_xlfn.XLOOKUP(CR96,'Dispensed Ink Rates'!C:C,'Dispensed Ink Rates'!CS:CS),VLOOKUP(CR96,'Jan-2026 rates'!$E:$F,2,0)))</f>
        <v>0</v>
      </c>
      <c r="DF96" s="409"/>
      <c r="DG96" s="398">
        <f>IF(DF96=0,0,IF(LEN(CS96)=11,_xlfn.XLOOKUP(CS96,'Dispensed Ink Rates'!C:C,'Dispensed Ink Rates'!CS:CS),VLOOKUP(CS96,'Jan-2026 rates'!$E:$F,2,0)))</f>
        <v>0</v>
      </c>
      <c r="DH96" s="409"/>
      <c r="DI96" s="398">
        <f>IF(DH96=0,0,IF(LEN(CT96)=11,_xlfn.XLOOKUP(CT96,'Dispensed Ink Rates'!C:C,'Dispensed Ink Rates'!CS:CS),VLOOKUP(CT96,'Jan-2026 rates'!$E:$F,2,0)))</f>
        <v>0</v>
      </c>
      <c r="DJ96" s="409"/>
      <c r="DK96" s="398">
        <f>IF(DJ96=0,0,IF(LEN(CU96)=11,_xlfn.XLOOKUP(CU96,'Dispensed Ink Rates'!C:C,'Dispensed Ink Rates'!CS:CS),VLOOKUP(CU96,'Jan-2026 rates'!$E:$F,2,0)))</f>
        <v>0</v>
      </c>
      <c r="DL96" s="409" t="s">
        <v>1443</v>
      </c>
      <c r="DM96" s="409">
        <v>28</v>
      </c>
      <c r="DN96" s="411">
        <f t="shared" si="88"/>
        <v>0</v>
      </c>
      <c r="DO96" s="411">
        <f t="shared" si="89"/>
        <v>67.142857142857139</v>
      </c>
      <c r="DP96" s="410">
        <f t="shared" si="90"/>
        <v>0</v>
      </c>
      <c r="DQ96" s="405" t="s">
        <v>544</v>
      </c>
      <c r="DR96" s="409" t="s">
        <v>3138</v>
      </c>
      <c r="DS96" s="420" t="str">
        <f t="shared" si="56"/>
        <v>FLINTSL - MAGENTA</v>
      </c>
      <c r="DT96" s="409">
        <v>25</v>
      </c>
      <c r="DU96" s="411">
        <f>IF(DT96=0,0,IF($LB96=70%,VLOOKUP($DS96,'Jan-2026 rates'!$L:$R,4,0),IF($LB96=65%,VLOOKUP($DS96,'Jan-2026 rates'!$L:$R,4,0),IF($LB96=40%,VLOOKUP($DS96,'Jan-2026 rates'!$L:$R,5,0),IF($LB96=30%,VLOOKUP($DS96,'Jan-2026 rates'!$L:$R,6,0),IF($LB96=100%,VLOOKUP($DS96,'Jan-2026 rates'!$L:$R,7,0),IF($LB96=60%,VLOOKUP($DS96,'Jan-2026 rates'!$L:$S,8,0),IF($LB96=80%,VLOOKUP($DS96,'Jan-2026 rates'!L:T,9,0),0))))))))</f>
        <v>0</v>
      </c>
      <c r="DV96" s="412"/>
      <c r="DW96" s="409"/>
      <c r="DX96" s="411">
        <f>IF(DW96=0,0,IF($LB96=70%,VLOOKUP($DS96,'Jan-2026 rates'!$L:$R,4,0),IF($LB96=65%,VLOOKUP($DS96,'Jan-2026 rates'!$L:$R,4,0),IF($LB96=40%,VLOOKUP($DS96,'Jan-2026 rates'!$L:$R,5,0),IF($LB96=30%,VLOOKUP($DS96,'Jan-2026 rates'!$L:$R,6,0),IF($LB96=100%,VLOOKUP($DS96,'Jan-2026 rates'!$L:$R,7,0),IF($LB96=60%,VLOOKUP($DS96,'Jan-2026 rates'!$L:$S,8,0),IF($LB96=80%,VLOOKUP($DS96,'Jan-2026 rates'!L:T,9,0),0))))))))</f>
        <v>0</v>
      </c>
      <c r="DY96" s="413">
        <v>26508000003</v>
      </c>
      <c r="DZ96" s="413"/>
      <c r="EA96" s="412"/>
      <c r="EB96" s="412"/>
      <c r="EC96" s="412"/>
      <c r="ED96" s="412"/>
      <c r="EE96" s="412"/>
      <c r="EF96" s="412"/>
      <c r="EG96" s="409">
        <f>5+5</f>
        <v>10</v>
      </c>
      <c r="EH96" s="398" t="e">
        <f>IF(EG96=0,0,IF(LEN(DY96)=11,_xlfn.XLOOKUP(DY96,'Dispensed Ink Rates'!C:C,'Dispensed Ink Rates'!CS:CS),VLOOKUP(DY96,'Jan-2026 rates'!$E:$F,2,0)))</f>
        <v>#N/A</v>
      </c>
      <c r="EI96" s="409"/>
      <c r="EJ96" s="398">
        <f>IF(EI96=0,0,IF(LEN(DZ96)=11,_xlfn.XLOOKUP(DZ96,'Dispensed Ink Rates'!C:C,'Dispensed Ink Rates'!CS:CS),VLOOKUP(DZ96,'Jan-2026 rates'!$E:$F,2,0)))</f>
        <v>0</v>
      </c>
      <c r="EK96" s="409"/>
      <c r="EL96" s="398">
        <f>IF(EK96=0,0,IF(LEN(EA96)=11,_xlfn.XLOOKUP(EA96,'Dispensed Ink Rates'!C:C,'Dispensed Ink Rates'!CS:CS),VLOOKUP(EA96,'Jan-2026 rates'!$E:$F,2,0)))</f>
        <v>0</v>
      </c>
      <c r="EM96" s="409"/>
      <c r="EN96" s="398">
        <f>IF(EM96=0,0,IF(LEN(EB96)=11,_xlfn.XLOOKUP(EB96,'Dispensed Ink Rates'!C:C,'Dispensed Ink Rates'!CS:CS),VLOOKUP(EB96,'Jan-2026 rates'!$E:$F,2,0)))</f>
        <v>0</v>
      </c>
      <c r="EO96" s="409"/>
      <c r="EP96" s="398">
        <f>IF(EO96=0,0,IF(LEN(EC96)=11,_xlfn.XLOOKUP(EC96,'Dispensed Ink Rates'!C:C,'Dispensed Ink Rates'!CS:CS),VLOOKUP(EC96,'Jan-2026 rates'!$E:$F,2,0)))</f>
        <v>0</v>
      </c>
      <c r="EQ96" s="409"/>
      <c r="ER96" s="398">
        <f>IF(EQ96=0,0,IF(LEN(ED96)=11,_xlfn.XLOOKUP(ED96,'Dispensed Ink Rates'!C:C,'Dispensed Ink Rates'!CS:CS),VLOOKUP(ED96,'Jan-2026 rates'!$E:$F,2,0)))</f>
        <v>0</v>
      </c>
      <c r="ES96" s="409"/>
      <c r="ET96" s="398">
        <f>IF(ES96=0,0,IF(LEN(EE96)=11,_xlfn.XLOOKUP(EE96,'Dispensed Ink Rates'!C:C,'Dispensed Ink Rates'!CS:CS),VLOOKUP(EE96,'Jan-2026 rates'!$E:$F,2,0)))</f>
        <v>0</v>
      </c>
      <c r="EU96" s="409"/>
      <c r="EV96" s="398">
        <f>IF(EU96=0,0,IF(LEN(EF96)=11,_xlfn.XLOOKUP(EF96,'Dispensed Ink Rates'!C:C,'Dispensed Ink Rates'!CS:CS),VLOOKUP(EF96,'Jan-2026 rates'!$E:$F,2,0)))</f>
        <v>0</v>
      </c>
      <c r="EW96" s="409" t="s">
        <v>1443</v>
      </c>
      <c r="EX96" s="409">
        <v>35</v>
      </c>
      <c r="EY96" s="411">
        <f t="shared" si="91"/>
        <v>0</v>
      </c>
      <c r="EZ96" s="411">
        <f t="shared" si="92"/>
        <v>16.5</v>
      </c>
      <c r="FA96" s="410">
        <f t="shared" si="93"/>
        <v>0</v>
      </c>
      <c r="FB96" s="405" t="s">
        <v>545</v>
      </c>
      <c r="FC96" s="409" t="s">
        <v>3139</v>
      </c>
      <c r="FD96" s="420" t="str">
        <f t="shared" si="57"/>
        <v>FLINTSL - YELLOW</v>
      </c>
      <c r="FE96" s="409">
        <v>20</v>
      </c>
      <c r="FF96" s="411">
        <f>IF(FE96=0,0,IF($LB96=70%,VLOOKUP($FD96,'Jan-2026 rates'!$L:$R,4,0),IF($LB96=65%,VLOOKUP($FD96,'Jan-2026 rates'!$L:$R,4,0),IF($LB96=40%,VLOOKUP($FD96,'Jan-2026 rates'!$L:$R,5,0),IF($LB96=30%,VLOOKUP($FD96,'Jan-2026 rates'!$L:$R,6,0),IF($LB96=100%,VLOOKUP($FD96,'Jan-2026 rates'!$L:$R,7,0),IF($LB96=60%,VLOOKUP($FD96,'Jan-2026 rates'!$L:$S,8,0),IF($LB96=80%,VLOOKUP($FD96,'Jan-2026 rates'!L:T,9,0),0))))))))</f>
        <v>0</v>
      </c>
      <c r="FG96" s="412"/>
      <c r="FH96" s="409"/>
      <c r="FI96" s="411">
        <f>IF(FH96=0,0,IF($LB96=70%,VLOOKUP($FD96,'Jan-2026 rates'!$L:$R,4,0),IF($LB96=65%,VLOOKUP($FD96,'Jan-2026 rates'!$L:$R,4,0),IF($LB96=40%,VLOOKUP($FD96,'Jan-2026 rates'!$L:$R,5,0),IF($LB96=30%,VLOOKUP($FD96,'Jan-2026 rates'!$L:$R,6,0),IF($LB96=100%,VLOOKUP($FD96,'Jan-2026 rates'!$L:$R,7,0),IF($LB96=60%,VLOOKUP($FD96,'Jan-2026 rates'!$L:$S,8,0),IF($LB96=80%,VLOOKUP($FD96,'Jan-2026 rates'!L:T,9,0),0))))))))</f>
        <v>0</v>
      </c>
      <c r="FJ96" s="413">
        <v>26507000019</v>
      </c>
      <c r="FK96" s="413" t="s">
        <v>1266</v>
      </c>
      <c r="FL96" s="413"/>
      <c r="FM96" s="412"/>
      <c r="FN96" s="412"/>
      <c r="FO96" s="412"/>
      <c r="FP96" s="412"/>
      <c r="FQ96" s="412"/>
      <c r="FR96" s="409">
        <v>10</v>
      </c>
      <c r="FS96" s="398" t="e">
        <f>IF(FR96=0,0,IF(LEN(FJ96)=11,_xlfn.XLOOKUP(FJ96,'Dispensed Ink Rates'!C:C,'Dispensed Ink Rates'!CS:CS),VLOOKUP(FJ96,'Jan-2026 rates'!$E:$F,2,0)))</f>
        <v>#N/A</v>
      </c>
      <c r="FT96" s="409">
        <v>5</v>
      </c>
      <c r="FU96" s="398">
        <f>IF(FT96=0,0,IF(LEN(FK96)=11,_xlfn.XLOOKUP(FK96,'Dispensed Ink Rates'!C:C,'Dispensed Ink Rates'!CS:CS),VLOOKUP(FK96,'Jan-2026 rates'!$E:$F,2,0)))</f>
        <v>0</v>
      </c>
      <c r="FV96" s="409"/>
      <c r="FW96" s="398">
        <f>IF(FV96=0,0,IF(LEN(FL96)=11,_xlfn.XLOOKUP(FL96,'Dispensed Ink Rates'!C:C,'Dispensed Ink Rates'!CS:CS),VLOOKUP(FL96,'Jan-2026 rates'!$E:$F,2,0)))</f>
        <v>0</v>
      </c>
      <c r="FX96" s="409"/>
      <c r="FY96" s="398">
        <f>IF(FX96=0,0,IF(LEN(FM96)=11,_xlfn.XLOOKUP(FM96,'Dispensed Ink Rates'!C:C,'Dispensed Ink Rates'!CS:CS),VLOOKUP(FM96,'Jan-2026 rates'!$E:$F,2,0)))</f>
        <v>0</v>
      </c>
      <c r="FZ96" s="409"/>
      <c r="GA96" s="398">
        <f>IF(FZ96=0,0,IF(LEN(FN96)=11,_xlfn.XLOOKUP(FN96,'Dispensed Ink Rates'!C:C,'Dispensed Ink Rates'!CS:CS),VLOOKUP(FN96,'Jan-2026 rates'!$E:$F,2,0)))</f>
        <v>0</v>
      </c>
      <c r="GB96" s="409"/>
      <c r="GC96" s="398">
        <f>IF(GB96=0,0,IF(LEN(FO96)=11,_xlfn.XLOOKUP(FO96,'Dispensed Ink Rates'!C:C,'Dispensed Ink Rates'!CS:CS),VLOOKUP(FO96,'Jan-2026 rates'!$E:$F,2,0)))</f>
        <v>0</v>
      </c>
      <c r="GD96" s="409"/>
      <c r="GE96" s="398">
        <f>IF(GD96=0,0,IF(LEN(FP96)=11,_xlfn.XLOOKUP(FP96,'Dispensed Ink Rates'!C:C,'Dispensed Ink Rates'!CS:CS),VLOOKUP(FP96,'Jan-2026 rates'!$E:$F,2,0)))</f>
        <v>0</v>
      </c>
      <c r="GF96" s="409"/>
      <c r="GG96" s="398">
        <f>IF(GF96=0,0,IF(LEN(FQ96)=11,_xlfn.XLOOKUP(FQ96,'Dispensed Ink Rates'!C:C,'Dispensed Ink Rates'!CS:CS),VLOOKUP(FQ96,'Jan-2026 rates'!$E:$F,2,0)))</f>
        <v>0</v>
      </c>
      <c r="GH96" s="409" t="s">
        <v>1443</v>
      </c>
      <c r="GI96" s="409">
        <v>28</v>
      </c>
      <c r="GJ96" s="411">
        <f t="shared" si="94"/>
        <v>0</v>
      </c>
      <c r="GK96" s="411">
        <f t="shared" si="95"/>
        <v>18.785714285714285</v>
      </c>
      <c r="GL96" s="410">
        <f t="shared" si="96"/>
        <v>0</v>
      </c>
      <c r="GM96" s="405" t="s">
        <v>856</v>
      </c>
      <c r="GN96" s="409" t="s">
        <v>3140</v>
      </c>
      <c r="GO96" s="420" t="str">
        <f t="shared" si="58"/>
        <v>FLINTSL - WHITE</v>
      </c>
      <c r="GP96" s="409">
        <v>25</v>
      </c>
      <c r="GQ96" s="411">
        <f>IF(GP96=0,0,IF($LB96=70%,VLOOKUP($GO96,'Jan-2026 rates'!$L:$R,4,0),IF($LB96=65%,VLOOKUP($GO96,'Jan-2026 rates'!$L:$R,4,0),IF($LB96=40%,VLOOKUP($GO96,'Jan-2026 rates'!$L:$R,5,0),IF($LB96=30%,VLOOKUP($GO96,'Jan-2026 rates'!$L:$R,6,0),IF($LB96=100%,VLOOKUP($GO96,'Jan-2026 rates'!$L:$R,7,0),IF($LB96=60%,VLOOKUP($GO96,'Jan-2026 rates'!$L:$S,8,0),IF($LB96=80%,VLOOKUP($GO96,'Jan-2026 rates'!L:T,9,0),0))))))))</f>
        <v>0</v>
      </c>
      <c r="GR96" s="412"/>
      <c r="GS96" s="409"/>
      <c r="GT96" s="411">
        <f>IF(GS96=0,0,IF($LB96=70%,VLOOKUP($GO96,'Jan-2026 rates'!$L:$R,4,0),IF($LB96=65%,VLOOKUP($GO96,'Jan-2026 rates'!$L:$R,4,0),IF($LB96=40%,VLOOKUP($GO96,'Jan-2026 rates'!$L:$R,5,0),IF($LB96=30%,VLOOKUP($GO96,'Jan-2026 rates'!$L:$R,6,0),IF($LB96=100%,VLOOKUP($GO96,'Jan-2026 rates'!$L:$R,7,0),IF($LB96=60%,VLOOKUP($GO96,'Jan-2026 rates'!$L:$S,8,0),IF($LB96=80%,VLOOKUP($GO96,'Jan-2026 rates'!L:T,9,0),0))))))))</f>
        <v>0</v>
      </c>
      <c r="GU96" s="413" t="s">
        <v>484</v>
      </c>
      <c r="GV96" s="413"/>
      <c r="GW96" s="412"/>
      <c r="GX96" s="412"/>
      <c r="GY96" s="412"/>
      <c r="GZ96" s="412"/>
      <c r="HA96" s="412"/>
      <c r="HB96" s="412"/>
      <c r="HC96" s="409">
        <v>60</v>
      </c>
      <c r="HD96" s="398">
        <f>IF(HC96=0,0,IF(LEN(GU96)=11,_xlfn.XLOOKUP(GU96,'Dispensed Ink Rates'!C:C,'Dispensed Ink Rates'!CS:CS),VLOOKUP(GU96,'Jan-2026 rates'!$E:$F,2,0)))</f>
        <v>0</v>
      </c>
      <c r="HE96" s="409"/>
      <c r="HF96" s="398">
        <f>IF(HE96=0,0,IF(LEN(GV96)=11,_xlfn.XLOOKUP(GV96,'Dispensed Ink Rates'!C:C,'Dispensed Ink Rates'!CS:CS),VLOOKUP(GV96,'Jan-2026 rates'!$E:$F,2,0)))</f>
        <v>0</v>
      </c>
      <c r="HG96" s="409"/>
      <c r="HH96" s="398">
        <f>IF(HG96=0,0,IF(LEN(GW96)=11,_xlfn.XLOOKUP(GW96,'Dispensed Ink Rates'!C:C,'Dispensed Ink Rates'!CS:CS),VLOOKUP(GW96,'Jan-2026 rates'!$E:$F,2,0)))</f>
        <v>0</v>
      </c>
      <c r="HI96" s="409"/>
      <c r="HJ96" s="398">
        <f>IF(HI96=0,0,IF(LEN(GX96)=11,_xlfn.XLOOKUP(GX96,'Dispensed Ink Rates'!C:C,'Dispensed Ink Rates'!CS:CS),VLOOKUP(GX96,'Jan-2026 rates'!$E:$F,2,0)))</f>
        <v>0</v>
      </c>
      <c r="HK96" s="409"/>
      <c r="HL96" s="398">
        <f>IF(HK96=0,0,IF(LEN(GY96)=11,_xlfn.XLOOKUP(GY96,'Dispensed Ink Rates'!C:C,'Dispensed Ink Rates'!CS:CS),VLOOKUP(GY96,'Jan-2026 rates'!$E:$F,2,0)))</f>
        <v>0</v>
      </c>
      <c r="HM96" s="409"/>
      <c r="HN96" s="398">
        <f>IF(HM96=0,0,IF(LEN(GZ96)=11,_xlfn.XLOOKUP(GZ96,'Dispensed Ink Rates'!C:C,'Dispensed Ink Rates'!CS:CS),VLOOKUP(GZ96,'Jan-2026 rates'!$E:$F,2,0)))</f>
        <v>0</v>
      </c>
      <c r="HO96" s="409"/>
      <c r="HP96" s="398">
        <f>IF(HO96=0,0,IF(LEN(HA96)=11,_xlfn.XLOOKUP(HA96,'Dispensed Ink Rates'!C:C,'Dispensed Ink Rates'!CS:CS),VLOOKUP(HA96,'Jan-2026 rates'!$E:$F,2,0)))</f>
        <v>0</v>
      </c>
      <c r="HQ96" s="409"/>
      <c r="HR96" s="398">
        <f>IF(HQ96=0,0,IF(LEN(HB96)=11,_xlfn.XLOOKUP(HB96,'Dispensed Ink Rates'!C:C,'Dispensed Ink Rates'!CS:CS),VLOOKUP(HB96,'Jan-2026 rates'!$E:$F,2,0)))</f>
        <v>0</v>
      </c>
      <c r="HS96" s="409" t="s">
        <v>1443</v>
      </c>
      <c r="HT96" s="409">
        <v>30</v>
      </c>
      <c r="HU96" s="411">
        <f t="shared" si="97"/>
        <v>0</v>
      </c>
      <c r="HV96" s="411">
        <f t="shared" si="98"/>
        <v>125.71428571428572</v>
      </c>
      <c r="HW96" s="414">
        <f t="shared" si="99"/>
        <v>0</v>
      </c>
      <c r="HX96" s="405" t="s">
        <v>605</v>
      </c>
      <c r="HY96" s="409" t="s">
        <v>3138</v>
      </c>
      <c r="HZ96" s="420" t="str">
        <f t="shared" si="59"/>
        <v>ToyoLi - MATT</v>
      </c>
      <c r="IA96" s="409">
        <v>20</v>
      </c>
      <c r="IB96" s="411">
        <f>IF(IA96=0,0,IF($LB96=70%,VLOOKUP($HZ96,'Jan-2026 rates'!$L:$R,4,0),IF($LB96=65%,VLOOKUP($HZ96,'Jan-2026 rates'!$L:$R,4,0),IF($LB96=40%,VLOOKUP($HZ96,'Jan-2026 rates'!$L:$R,5,0),IF($LB96=30%,VLOOKUP($HZ96,'Jan-2026 rates'!$L:$R,6,0),IF($LB96=100%,VLOOKUP($HZ96,'Jan-2026 rates'!$L:$R,7,0),IF($LB96=60%,VLOOKUP($HZ96,'Jan-2026 rates'!$L:$S,8,0),IF($LB96=80%,VLOOKUP($HZ96,'Jan-2026 rates'!L:T,9,0),0))))))))</f>
        <v>0</v>
      </c>
      <c r="IC96" s="412"/>
      <c r="ID96" s="409"/>
      <c r="IE96" s="411">
        <f>IF(ID96=0,0,IF($LB96=70%,VLOOKUP($HZ96,'Jan-2026 rates'!$L:$R,4,0),IF($LB96=65%,VLOOKUP($HZ96,'Jan-2026 rates'!$L:$R,4,0),IF($LB96=40%,VLOOKUP($HZ96,'Jan-2026 rates'!$L:$R,5,0),IF($LB96=30%,VLOOKUP($HZ96,'Jan-2026 rates'!$L:$R,6,0),IF($LB96=100%,VLOOKUP($HZ96,'Jan-2026 rates'!$L:$R,7,0),IF($LB96=60%,VLOOKUP($HZ96,'Jan-2026 rates'!$L:$S,8,0),IF($LB96=80%,VLOOKUP($HZ96,'Jan-2026 rates'!L:T,9,0),0))))))))</f>
        <v>0</v>
      </c>
      <c r="IF96" s="412">
        <v>55</v>
      </c>
      <c r="IG96" s="413" t="s">
        <v>1902</v>
      </c>
      <c r="IH96" s="412"/>
      <c r="II96" s="412"/>
      <c r="IJ96" s="412"/>
      <c r="IK96" s="412"/>
      <c r="IL96" s="412"/>
      <c r="IM96" s="412"/>
      <c r="IN96" s="409">
        <f>40+20</f>
        <v>60</v>
      </c>
      <c r="IO96" s="398">
        <f>IF(IN96=0,0,IF(LEN(IF96)=11,_xlfn.XLOOKUP(IF96,'Dispensed Ink Rates'!C:C,'Dispensed Ink Rates'!CS:CS),VLOOKUP(IF96,'Jan-2026 rates'!$E:$F,2,0)))</f>
        <v>0</v>
      </c>
      <c r="IP96" s="409">
        <v>10</v>
      </c>
      <c r="IQ96" s="398">
        <f>IF(IP96=0,0,IF(LEN(IG96)=11,_xlfn.XLOOKUP(IG96,'Dispensed Ink Rates'!C:C,'Dispensed Ink Rates'!CS:CS),VLOOKUP(IG96,'Jan-2026 rates'!$E:$F,2,0)))</f>
        <v>0</v>
      </c>
      <c r="IR96" s="409"/>
      <c r="IS96" s="398">
        <f>IF(IR96=0,0,IF(LEN(IH96)=11,_xlfn.XLOOKUP(IH96,'Dispensed Ink Rates'!C:C,'Dispensed Ink Rates'!CS:CS),VLOOKUP(IH96,'Jan-2026 rates'!$E:$F,2,0)))</f>
        <v>0</v>
      </c>
      <c r="IT96" s="409"/>
      <c r="IU96" s="398">
        <f>IF(IT96=0,0,IF(LEN(II96)=11,_xlfn.XLOOKUP(II96,'Dispensed Ink Rates'!C:C,'Dispensed Ink Rates'!CS:CS),VLOOKUP(II96,'Jan-2026 rates'!$E:$F,2,0)))</f>
        <v>0</v>
      </c>
      <c r="IV96" s="409"/>
      <c r="IW96" s="398">
        <f>IF(IV96=0,0,IF(LEN(IJ96)=11,_xlfn.XLOOKUP(IJ96,'Dispensed Ink Rates'!C:C,'Dispensed Ink Rates'!CS:CS),VLOOKUP(IJ96,'Jan-2026 rates'!$E:$F,2,0)))</f>
        <v>0</v>
      </c>
      <c r="IX96" s="409"/>
      <c r="IY96" s="398">
        <f>IF(IX96=0,0,IF(LEN(IK96)=11,_xlfn.XLOOKUP(IK96,'Dispensed Ink Rates'!C:C,'Dispensed Ink Rates'!CS:CS),VLOOKUP(IK96,'Jan-2026 rates'!$E:$F,2,0)))</f>
        <v>0</v>
      </c>
      <c r="IZ96" s="409"/>
      <c r="JA96" s="398">
        <f>IF(IZ96=0,0,IF(LEN(IL96)=11,_xlfn.XLOOKUP(IL96,'Dispensed Ink Rates'!C:C,'Dispensed Ink Rates'!CS:CS),VLOOKUP(IL96,'Jan-2026 rates'!$E:$F,2,0)))</f>
        <v>0</v>
      </c>
      <c r="JB96" s="409"/>
      <c r="JC96" s="398">
        <f>IF(JB96=0,0,IF(LEN(IM96)=11,_xlfn.XLOOKUP(IM96,'Dispensed Ink Rates'!C:C,'Dispensed Ink Rates'!CS:CS),VLOOKUP(IM96,'Jan-2026 rates'!$E:$F,2,0)))</f>
        <v>0</v>
      </c>
      <c r="JD96" s="409" t="s">
        <v>1881</v>
      </c>
      <c r="JE96" s="409">
        <v>20</v>
      </c>
      <c r="JF96" s="411">
        <f t="shared" si="100"/>
        <v>0</v>
      </c>
      <c r="JG96" s="411">
        <f t="shared" si="101"/>
        <v>105.35714285714286</v>
      </c>
      <c r="JH96" s="410">
        <f t="shared" si="102"/>
        <v>0</v>
      </c>
      <c r="JI96" s="405"/>
      <c r="JJ96" s="409"/>
      <c r="JK96" s="420" t="str">
        <f t="shared" si="60"/>
        <v xml:space="preserve"> - </v>
      </c>
      <c r="JL96" s="409"/>
      <c r="JM96" s="411">
        <f>IF(JL96=0,0,IF($LB96=70%,VLOOKUP($JK96,'Jan-2026 rates'!$L:$R,4,0),IF($LB96=65%,VLOOKUP($JK96,'Jan-2026 rates'!$L:$R,4,0),IF($LB96=40%,VLOOKUP($JK96,'Jan-2026 rates'!$L:$R,5,0),IF($LB96=30%,VLOOKUP($JK96,'Jan-2026 rates'!$L:$R,6,0),IF($LB96=100%,VLOOKUP($JK96,'Jan-2026 rates'!$L:$R,7,0),IF($LB96=60%,VLOOKUP($JK96,'Jan-2026 rates'!$L:$S,8,0),IF($LB96=80%,VLOOKUP($JK96,'Jan-2026 rates'!L:T,9,0),0))))))))</f>
        <v>0</v>
      </c>
      <c r="JN96" s="412"/>
      <c r="JO96" s="409"/>
      <c r="JP96" s="411">
        <f>IF(JO96=0,0,IF($LB96=70%,VLOOKUP($JK96,'Jan-2026 rates'!$L:$R,4,0),IF($LB96=65%,VLOOKUP($JK96,'Jan-2026 rates'!$L:$R,4,0),IF($LB96=40%,VLOOKUP($JK96,'Jan-2026 rates'!$L:$R,5,0),IF($LB96=30%,VLOOKUP($JK96,'Jan-2026 rates'!$L:$R,6,0),IF($LB96=100%,VLOOKUP($JK96,'Jan-2026 rates'!$L:$R,7,0),IF($LB96=60%,VLOOKUP($JK96,'Jan-2026 rates'!$L:$S,8,0),IF($LB96=80%,VLOOKUP($JK96,'Jan-2026 rates'!L:T,9,0),0))))))))</f>
        <v>0</v>
      </c>
      <c r="JQ96" s="413"/>
      <c r="JR96" s="412"/>
      <c r="JS96" s="413"/>
      <c r="JT96" s="413"/>
      <c r="JU96" s="412"/>
      <c r="JV96" s="412"/>
      <c r="JW96" s="412"/>
      <c r="JX96" s="412"/>
      <c r="JY96" s="409"/>
      <c r="JZ96" s="398">
        <f>IF(JY96=0,0,IF(LEN(JQ96)=11,_xlfn.XLOOKUP(JQ96,'Dispensed Ink Rates'!C:C,'Dispensed Ink Rates'!CS:CS),VLOOKUP(JQ96,'Jan-2026 rates'!$E:$F,2,0)))</f>
        <v>0</v>
      </c>
      <c r="KA96" s="409"/>
      <c r="KB96" s="398">
        <f>IF(KA96=0,0,IF(LEN(JR96)=11,_xlfn.XLOOKUP(JR96,'Dispensed Ink Rates'!C:C,'Dispensed Ink Rates'!CS:CS),VLOOKUP(JR96,'Jan-2026 rates'!$E:$F,2,0)))</f>
        <v>0</v>
      </c>
      <c r="KC96" s="409"/>
      <c r="KD96" s="398">
        <f>IF(KC96=0,0,IF(LEN(JS96)=11,_xlfn.XLOOKUP(JS96,'Dispensed Ink Rates'!C:C,'Dispensed Ink Rates'!CS:CS),VLOOKUP(JS96,'Jan-2026 rates'!$E:$F,2,0)))</f>
        <v>0</v>
      </c>
      <c r="KE96" s="409"/>
      <c r="KF96" s="398">
        <f>IF(KE96=0,0,IF(LEN(JT96)=11,_xlfn.XLOOKUP(JT96,'Dispensed Ink Rates'!C:C,'Dispensed Ink Rates'!CS:CS),VLOOKUP(JT96,'Jan-2026 rates'!$E:$F,2,0)))</f>
        <v>0</v>
      </c>
      <c r="KG96" s="409"/>
      <c r="KH96" s="398">
        <f>IF(KG96=0,0,IF(LEN(JU96)=11,_xlfn.XLOOKUP(JU96,'Dispensed Ink Rates'!C:C,'Dispensed Ink Rates'!CS:CS),VLOOKUP(JU96,'Jan-2026 rates'!$E:$F,2,0)))</f>
        <v>0</v>
      </c>
      <c r="KI96" s="409"/>
      <c r="KJ96" s="398">
        <f>IF(KI96=0,0,IF(LEN(JV96)=11,_xlfn.XLOOKUP(JV96,'Dispensed Ink Rates'!C:C,'Dispensed Ink Rates'!CS:CS),VLOOKUP(JV96,'Jan-2026 rates'!$E:$F,2,0)))</f>
        <v>0</v>
      </c>
      <c r="KK96" s="409"/>
      <c r="KL96" s="398">
        <f>IF(KK96=0,0,IF(LEN(JW96)=11,_xlfn.XLOOKUP(JW96,'Dispensed Ink Rates'!C:C,'Dispensed Ink Rates'!CS:CS),VLOOKUP(JW96,'Jan-2026 rates'!$E:$F,2,0)))</f>
        <v>0</v>
      </c>
      <c r="KM96" s="428"/>
      <c r="KN96" s="398">
        <f>IF(KM96=0,0,IF(LEN(JX96)=11,_xlfn.XLOOKUP(JX96,'Dispensed Ink Rates'!C:C,'Dispensed Ink Rates'!CS:CS),VLOOKUP(JX96,'Jan-2026 rates'!$E:$F,2,0)))</f>
        <v>0</v>
      </c>
      <c r="KO96" s="409"/>
      <c r="KP96" s="409"/>
      <c r="KQ96" s="411">
        <f t="shared" si="103"/>
        <v>0</v>
      </c>
      <c r="KR96" s="411">
        <f t="shared" si="104"/>
        <v>0</v>
      </c>
      <c r="KS96" s="410">
        <f t="shared" si="105"/>
        <v>0</v>
      </c>
      <c r="KT96" s="409">
        <v>4</v>
      </c>
      <c r="KU96" s="409">
        <v>10</v>
      </c>
      <c r="KV96" s="409">
        <f>3+10</f>
        <v>13</v>
      </c>
      <c r="KW96" s="409">
        <f>2+5</f>
        <v>7</v>
      </c>
      <c r="KX96" s="409">
        <v>5</v>
      </c>
      <c r="KY96" s="409">
        <v>30</v>
      </c>
      <c r="KZ96" s="409">
        <f>10+5</f>
        <v>15</v>
      </c>
      <c r="LA96" s="409">
        <v>0</v>
      </c>
      <c r="LB96" s="415">
        <v>0.8</v>
      </c>
      <c r="LC96" s="415">
        <v>0.2</v>
      </c>
      <c r="LD96" s="415"/>
      <c r="LE96" s="415"/>
      <c r="LF96" s="415"/>
      <c r="LG96" s="409">
        <v>0</v>
      </c>
      <c r="LH96" s="409">
        <f>45+40+80+20+5+5+3</f>
        <v>198</v>
      </c>
      <c r="LI96" s="409">
        <v>0</v>
      </c>
      <c r="LJ96" s="409">
        <v>0</v>
      </c>
      <c r="LK96" s="416">
        <f t="shared" si="61"/>
        <v>198</v>
      </c>
      <c r="LL96" s="416">
        <f t="shared" si="62"/>
        <v>198</v>
      </c>
      <c r="LM96" s="417">
        <f t="shared" si="63"/>
        <v>158.4</v>
      </c>
      <c r="LN96" s="417">
        <f>VLOOKUP($LM$8,'Jan-2026 rates'!$H:$I,2,0)</f>
        <v>0</v>
      </c>
      <c r="LO96" s="417">
        <f t="shared" si="64"/>
        <v>39.6</v>
      </c>
      <c r="LP96" s="417">
        <f>VLOOKUP($LO$8,'Jan-2026 rates'!$H:$I,2,0)</f>
        <v>0</v>
      </c>
      <c r="LQ96" s="417">
        <f t="shared" si="65"/>
        <v>0</v>
      </c>
      <c r="LR96" s="417">
        <f>VLOOKUP($LQ$8,'Jan-2026 rates'!$H:$I,2,0)</f>
        <v>0</v>
      </c>
      <c r="LS96" s="417">
        <f t="shared" si="66"/>
        <v>0</v>
      </c>
      <c r="LT96" s="417">
        <f>VLOOKUP($LS$8,'Jan-2026 rates'!$H:$I,2,0)</f>
        <v>0</v>
      </c>
      <c r="LU96" s="417">
        <f t="shared" si="67"/>
        <v>0</v>
      </c>
      <c r="LV96" s="417">
        <f>VLOOKUP($LU$8,'Jan-2026 rates'!$H:$I,2,0)</f>
        <v>0</v>
      </c>
      <c r="LW96" s="417">
        <f t="shared" si="68"/>
        <v>0</v>
      </c>
      <c r="LX96" s="417">
        <f t="shared" si="69"/>
        <v>0</v>
      </c>
      <c r="LY96" s="418">
        <f t="shared" si="70"/>
        <v>0</v>
      </c>
      <c r="LZ96" s="417"/>
      <c r="MA96" s="435">
        <f t="shared" si="71"/>
        <v>229.5</v>
      </c>
      <c r="MB96" s="282">
        <f t="shared" si="72"/>
        <v>373.5</v>
      </c>
      <c r="MC96" s="283">
        <v>51</v>
      </c>
      <c r="MD96" s="284" t="str">
        <f t="shared" si="73"/>
        <v>FLINTSLFLINTSLFLINTSLFLINTSLFLINTSLFLINTSLToyoLi</v>
      </c>
      <c r="ME96" s="293" t="str">
        <f t="shared" si="74"/>
        <v>+</v>
      </c>
      <c r="MF96" s="293" t="str">
        <f t="shared" si="75"/>
        <v>+</v>
      </c>
      <c r="MG96" s="293" t="str">
        <f t="shared" si="76"/>
        <v>+</v>
      </c>
      <c r="MH96" s="293" t="str">
        <f t="shared" si="77"/>
        <v>+</v>
      </c>
      <c r="MI96" s="293" t="str">
        <f t="shared" si="78"/>
        <v>+</v>
      </c>
      <c r="MJ96" s="293" t="str">
        <f t="shared" si="79"/>
        <v>+</v>
      </c>
      <c r="MK96" s="293" t="str">
        <f t="shared" si="80"/>
        <v>+</v>
      </c>
      <c r="ML96" s="293" t="str">
        <f t="shared" si="81"/>
        <v>NIL</v>
      </c>
      <c r="MM96" s="3" t="b">
        <f t="array" ref="MM96">OR(ME96:ML96="-")</f>
        <v>0</v>
      </c>
      <c r="MN96" s="285"/>
      <c r="MO96" s="401"/>
      <c r="MP96" s="286"/>
      <c r="MQ96" s="286"/>
      <c r="MR96" s="402"/>
      <c r="MS96" s="400"/>
      <c r="NH96" s="422"/>
      <c r="NJ96" s="421"/>
    </row>
    <row r="97" spans="1:374" s="1" customFormat="1" ht="16.5">
      <c r="A97" s="403">
        <v>46030</v>
      </c>
      <c r="B97" s="404" t="s">
        <v>1015</v>
      </c>
      <c r="C97" s="405" t="s">
        <v>3141</v>
      </c>
      <c r="D97" s="406">
        <v>52</v>
      </c>
      <c r="E97" s="404">
        <v>398</v>
      </c>
      <c r="F97" s="407">
        <v>17200</v>
      </c>
      <c r="G97" s="407" t="s">
        <v>1019</v>
      </c>
      <c r="H97" s="408" t="s">
        <v>1017</v>
      </c>
      <c r="I97" s="409">
        <v>1.72</v>
      </c>
      <c r="J97" s="405" t="s">
        <v>543</v>
      </c>
      <c r="K97" s="404" t="s">
        <v>3142</v>
      </c>
      <c r="L97" s="419" t="str">
        <f t="shared" si="54"/>
        <v>FLINTSL - BLACK</v>
      </c>
      <c r="M97" s="404">
        <v>24</v>
      </c>
      <c r="N97" s="410">
        <f>IF(M97=0,0,IF($LB97=70%,VLOOKUP($L97,'Jan-2026 rates'!$L:$R,4,0),IF($LB97=65%,VLOOKUP($L97,'Jan-2026 rates'!$L:$R,4,0),IF($LB97=40%,VLOOKUP($L97,'Jan-2026 rates'!$L:$R,5,0),IF($LB97=30%,VLOOKUP($L97,'Jan-2026 rates'!$L:$R,6,0),IF($LB97=100%,VLOOKUP($L97,'Jan-2026 rates'!$L:$R,7,0),IF($LB97=60%,VLOOKUP($L97,'Jan-2026 rates'!$L:$S,8,0),IF($LB97=80%,VLOOKUP($L97,'Jan-2026 rates'!L:T,9,0),0))))))))</f>
        <v>0</v>
      </c>
      <c r="O97" s="406"/>
      <c r="P97" s="404"/>
      <c r="Q97" s="410">
        <f>IF(P97=0,0,IF($LB97=70%,VLOOKUP($L97,'Jan-2026 rates'!$L:$R,4,0),IF($LB97=65%,VLOOKUP($L97,'Jan-2026 rates'!$L:$R,4,0),IF($LB97=40%,VLOOKUP($L97,'Jan-2026 rates'!$L:$R,5,0),IF($LB97=30%,VLOOKUP($L97,'Jan-2026 rates'!$L:$R,6,0),IF($LB97=100%,VLOOKUP($L97,'Jan-2026 rates'!$L:$R,7,0),IF($LB97=60%,VLOOKUP($L97,'Jan-2026 rates'!$L:$S,8,0),IF($LB97=80%,VLOOKUP($L97,'Jan-2026 rates'!L:T,9,0),0))))))))</f>
        <v>0</v>
      </c>
      <c r="R97" s="406">
        <v>26506000007</v>
      </c>
      <c r="S97" s="406"/>
      <c r="T97" s="406"/>
      <c r="U97" s="406"/>
      <c r="V97" s="406"/>
      <c r="W97" s="406"/>
      <c r="X97" s="406"/>
      <c r="Y97" s="406"/>
      <c r="Z97" s="404">
        <v>12</v>
      </c>
      <c r="AA97" s="398" t="e">
        <f>IF(Z97=0,0,IF(LEN(R97)=11,_xlfn.XLOOKUP(R97,'Dispensed Ink Rates'!C:C,'Dispensed Ink Rates'!CS:CS),VLOOKUP(R97,'Jan-2026 rates'!$E:$F,2,0)))</f>
        <v>#N/A</v>
      </c>
      <c r="AB97" s="404"/>
      <c r="AC97" s="398">
        <f>IF(AB97=0,0,IF(LEN(S97)=11,_xlfn.XLOOKUP(S97,'Dispensed Ink Rates'!C:C,'Dispensed Ink Rates'!CS:CS),VLOOKUP(S97,'Jan-2026 rates'!$E:$F,2,0)))</f>
        <v>0</v>
      </c>
      <c r="AD97" s="404"/>
      <c r="AE97" s="398">
        <f>IF(AD97=0,0,IF(LEN(T97)=11,_xlfn.XLOOKUP(T97,'Dispensed Ink Rates'!C:C,'Dispensed Ink Rates'!CS:CS),VLOOKUP(T97,'Jan-2026 rates'!$E:$F,2,0)))</f>
        <v>0</v>
      </c>
      <c r="AF97" s="404"/>
      <c r="AG97" s="398">
        <f>IF(AF97=0,0,IF(LEN(U97)=11,_xlfn.XLOOKUP(U97,'Dispensed Ink Rates'!C:C,'Dispensed Ink Rates'!CS:CS),VLOOKUP(U97,'Jan-2026 rates'!$E:$F,2,0)))</f>
        <v>0</v>
      </c>
      <c r="AH97" s="404"/>
      <c r="AI97" s="398">
        <f>IF(AH97=0,0,IF(LEN(V97)=11,_xlfn.XLOOKUP(V97,'Dispensed Ink Rates'!C:C,'Dispensed Ink Rates'!CS:CS),VLOOKUP(V97,'Jan-2026 rates'!$E:$F,2,0)))</f>
        <v>0</v>
      </c>
      <c r="AJ97" s="404"/>
      <c r="AK97" s="398">
        <f>IF(AJ97=0,0,IF(LEN(W97)=11,_xlfn.XLOOKUP(W97,'Dispensed Ink Rates'!C:C,'Dispensed Ink Rates'!CS:CS),VLOOKUP(W97,'Jan-2026 rates'!$E:$F,2,0)))</f>
        <v>0</v>
      </c>
      <c r="AL97" s="404"/>
      <c r="AM97" s="398">
        <f>IF(AL97=0,0,IF(LEN(X97)=11,_xlfn.XLOOKUP(X97,'Dispensed Ink Rates'!C:C,'Dispensed Ink Rates'!CS:CS),VLOOKUP(X97,'Jan-2026 rates'!$E:$F,2,0)))</f>
        <v>0</v>
      </c>
      <c r="AN97" s="404"/>
      <c r="AO97" s="398">
        <f>IF(AN97=0,0,IF(LEN(Y97)=11,_xlfn.XLOOKUP(Y97,'Dispensed Ink Rates'!C:C,'Dispensed Ink Rates'!CS:CS),VLOOKUP(Y97,'Jan-2026 rates'!$E:$F,2,0)))</f>
        <v>0</v>
      </c>
      <c r="AP97" s="409" t="s">
        <v>1443</v>
      </c>
      <c r="AQ97" s="409">
        <v>23</v>
      </c>
      <c r="AR97" s="410">
        <f t="shared" si="82"/>
        <v>0</v>
      </c>
      <c r="AS97" s="411">
        <f t="shared" si="83"/>
        <v>21.019230769230774</v>
      </c>
      <c r="AT97" s="410">
        <f t="shared" si="84"/>
        <v>0</v>
      </c>
      <c r="AU97" s="405" t="s">
        <v>857</v>
      </c>
      <c r="AV97" s="409"/>
      <c r="AW97" s="420" t="str">
        <f t="shared" si="53"/>
        <v>FLINTSL - RED</v>
      </c>
      <c r="AX97" s="409"/>
      <c r="AY97" s="411">
        <f>IF(AX97=0,0,IF($LB97=70%,VLOOKUP($AW97,'Jan-2026 rates'!$L:$R,4,0),IF($LB97=65%,VLOOKUP($AW97,'Jan-2026 rates'!$L:$R,4,0),IF($LB97=40%,VLOOKUP($AW97,'Jan-2026 rates'!$L:$R,5,0),IF($LB97=30%,VLOOKUP($AW97,'Jan-2026 rates'!$L:$R,6,0),IF($LB97=100%,VLOOKUP($AW97,'Jan-2026 rates'!$L:$R,7,0),IF($LB97=60%,VLOOKUP($AW97,'Jan-2026 rates'!$L:$S,8,0),IF($LB97=80%,VLOOKUP($AW97,'Jan-2026 rates'!L:T,9,0),0))))))))</f>
        <v>0</v>
      </c>
      <c r="AZ97" s="412"/>
      <c r="BA97" s="409"/>
      <c r="BB97" s="411">
        <f>IF(BA97=0,0,IF($LB97=70%,VLOOKUP($AW97,'Jan-2026 rates'!$L:$R,4,0),IF($LB97=65%,VLOOKUP($AW97,'Jan-2026 rates'!$L:$R,4,0),IF($LB97=40%,VLOOKUP($AW97,'Jan-2026 rates'!$L:$R,5,0),IF($LB97=30%,VLOOKUP($AW97,'Jan-2026 rates'!$L:$R,6,0),IF($LB97=100%,VLOOKUP($AW97,'Jan-2026 rates'!$L:$R,7,0),IF($LB97=60%,VLOOKUP($AW97,'Jan-2026 rates'!$L:$S,8,0),IF($LB97=80%,VLOOKUP($AW97,'Jan-2026 rates'!L:T,9,0),0))))))))</f>
        <v>0</v>
      </c>
      <c r="BC97" s="413">
        <v>25863000007</v>
      </c>
      <c r="BD97" s="412">
        <v>26508000003</v>
      </c>
      <c r="BE97" s="412">
        <v>26501000001</v>
      </c>
      <c r="BF97" s="413"/>
      <c r="BG97" s="412"/>
      <c r="BH97" s="412"/>
      <c r="BI97" s="412"/>
      <c r="BJ97" s="412"/>
      <c r="BK97" s="409">
        <v>7</v>
      </c>
      <c r="BL97" s="398" t="e">
        <f>IF(BK97=0,0,IF(LEN(BC97)=11,_xlfn.XLOOKUP(BC97,'Dispensed Ink Rates'!C:C,'Dispensed Ink Rates'!CS:CS),VLOOKUP(BC97,'Jan-2026 rates'!$E:$F,2,0)))</f>
        <v>#N/A</v>
      </c>
      <c r="BM97" s="409">
        <f>5+3</f>
        <v>8</v>
      </c>
      <c r="BN97" s="398" t="e">
        <f>IF(BM97=0,0,IF(LEN(BD97)=11,_xlfn.XLOOKUP(BD97,'Dispensed Ink Rates'!C:C,'Dispensed Ink Rates'!CS:CS),VLOOKUP(BD97,'Jan-2026 rates'!$E:$F,2,0)))</f>
        <v>#N/A</v>
      </c>
      <c r="BO97" s="409">
        <v>5</v>
      </c>
      <c r="BP97" s="398" t="e">
        <f>IF(BO97=0,0,IF(LEN(BE97)=11,_xlfn.XLOOKUP(BE97,'Dispensed Ink Rates'!C:C,'Dispensed Ink Rates'!CS:CS),VLOOKUP(BE97,'Jan-2026 rates'!$E:$F,2,0)))</f>
        <v>#N/A</v>
      </c>
      <c r="BQ97" s="409"/>
      <c r="BR97" s="398">
        <f>IF(BQ97=0,0,IF(LEN(BF97)=11,_xlfn.XLOOKUP(BF97,'Dispensed Ink Rates'!C:C,'Dispensed Ink Rates'!CS:CS),VLOOKUP(BF97,'Jan-2026 rates'!$E:$F,2,0)))</f>
        <v>0</v>
      </c>
      <c r="BS97" s="409"/>
      <c r="BT97" s="398">
        <f>IF(BS97=0,0,IF(LEN(BG97)=11,_xlfn.XLOOKUP(BG97,'Dispensed Ink Rates'!C:C,'Dispensed Ink Rates'!CS:CS),VLOOKUP(BG97,'Jan-2026 rates'!$E:$F,2,0)))</f>
        <v>0</v>
      </c>
      <c r="BU97" s="409"/>
      <c r="BV97" s="398">
        <f>IF(BU97=0,0,IF(LEN(BH97)=11,_xlfn.XLOOKUP(BH97,'Dispensed Ink Rates'!C:C,'Dispensed Ink Rates'!CS:CS),VLOOKUP(BH97,'Jan-2026 rates'!$E:$F,2,0)))</f>
        <v>0</v>
      </c>
      <c r="BW97" s="409"/>
      <c r="BX97" s="398">
        <f>IF(BW97=0,0,IF(LEN(BI97)=11,_xlfn.XLOOKUP(BI97,'Dispensed Ink Rates'!C:C,'Dispensed Ink Rates'!CS:CS),VLOOKUP(BI97,'Jan-2026 rates'!$E:$F,2,0)))</f>
        <v>0</v>
      </c>
      <c r="BY97" s="409"/>
      <c r="BZ97" s="398">
        <f>IF(BY97=0,0,IF(LEN(BJ97)=11,_xlfn.XLOOKUP(BJ97,'Dispensed Ink Rates'!C:C,'Dispensed Ink Rates'!CS:CS),VLOOKUP(BJ97,'Jan-2026 rates'!$E:$F,2,0)))</f>
        <v>0</v>
      </c>
      <c r="CA97" s="409" t="s">
        <v>1443</v>
      </c>
      <c r="CB97" s="409">
        <v>20</v>
      </c>
      <c r="CC97" s="411">
        <f t="shared" si="85"/>
        <v>0</v>
      </c>
      <c r="CD97" s="411">
        <f t="shared" si="86"/>
        <v>26.730769230769234</v>
      </c>
      <c r="CE97" s="410">
        <f t="shared" si="87"/>
        <v>0</v>
      </c>
      <c r="CF97" s="404" t="s">
        <v>855</v>
      </c>
      <c r="CG97" s="409" t="s">
        <v>3143</v>
      </c>
      <c r="CH97" s="420" t="str">
        <f t="shared" si="55"/>
        <v>FLINTSL - CYAN</v>
      </c>
      <c r="CI97" s="409">
        <v>25</v>
      </c>
      <c r="CJ97" s="411">
        <f>IF(CI97=0,0,IF($LB97=70%,VLOOKUP($CH97,'Jan-2026 rates'!$L:$R,4,0),IF($LB97=65%,VLOOKUP($CH97,'Jan-2026 rates'!$L:$R,4,0),IF($LB97=40%,VLOOKUP($CH97,'Jan-2026 rates'!$L:$R,5,0),IF($LB97=30%,VLOOKUP($CH97,'Jan-2026 rates'!$L:$R,6,0),IF($LB97=100%,VLOOKUP($CH97,'Jan-2026 rates'!$L:$R,7,0),IF($LB97=60%,VLOOKUP($CH97,'Jan-2026 rates'!$L:$S,8,0),IF($LB97=80%,VLOOKUP($CH97,'Jan-2026 rates'!L:T,9,0),0))))))))</f>
        <v>0</v>
      </c>
      <c r="CK97" s="412"/>
      <c r="CL97" s="409"/>
      <c r="CM97" s="411">
        <f>IF(CL97=0,0,IF($LB97=70%,VLOOKUP($CH97,'Jan-2026 rates'!$L:$R,4,0),IF($LB97=65%,VLOOKUP($CH97,'Jan-2026 rates'!$L:$R,4,0),IF($LB97=40%,VLOOKUP($CH97,'Jan-2026 rates'!$L:$R,5,0),IF($LB97=30%,VLOOKUP($CH97,'Jan-2026 rates'!$L:$R,6,0),IF($LB97=100%,VLOOKUP($CH97,'Jan-2026 rates'!$L:$R,7,0),IF($LB97=60%,VLOOKUP($CH97,'Jan-2026 rates'!$L:$S,8,0),IF($LB97=80%,VLOOKUP($CH97,'Jan-2026 rates'!L:T,9,0),0))))))))</f>
        <v>0</v>
      </c>
      <c r="CN97" s="426">
        <v>26507000018</v>
      </c>
      <c r="CO97" s="427"/>
      <c r="CP97" s="426"/>
      <c r="CQ97" s="426"/>
      <c r="CR97" s="428"/>
      <c r="CS97" s="428"/>
      <c r="CT97" s="428"/>
      <c r="CU97" s="428"/>
      <c r="CV97" s="409">
        <v>14</v>
      </c>
      <c r="CW97" s="398" t="e">
        <f>IF(CV97=0,0,IF(LEN(CN97)=11,_xlfn.XLOOKUP(CN97,'Dispensed Ink Rates'!C:C,'Dispensed Ink Rates'!CS:CS),VLOOKUP(CN97,'Jan-2026 rates'!$E:$F,2,0)))</f>
        <v>#N/A</v>
      </c>
      <c r="CX97" s="409"/>
      <c r="CY97" s="398">
        <f>IF(CX97=0,0,IF(LEN(CO97)=11,_xlfn.XLOOKUP(CO97,'Dispensed Ink Rates'!C:C,'Dispensed Ink Rates'!CS:CS),VLOOKUP(CO97,'Jan-2026 rates'!$E:$F,2,0)))</f>
        <v>0</v>
      </c>
      <c r="CZ97" s="409"/>
      <c r="DA97" s="398">
        <f>IF(CZ97=0,0,IF(LEN(CP97)=11,_xlfn.XLOOKUP(CP97,'Dispensed Ink Rates'!C:C,'Dispensed Ink Rates'!CS:CS),VLOOKUP(CP97,'Jan-2026 rates'!$E:$F,2,0)))</f>
        <v>0</v>
      </c>
      <c r="DB97" s="409"/>
      <c r="DC97" s="398">
        <f>IF(DB97=0,0,IF(LEN(CQ97)=11,_xlfn.XLOOKUP(CQ97,'Dispensed Ink Rates'!C:C,'Dispensed Ink Rates'!CS:CS),VLOOKUP(CQ97,'Jan-2026 rates'!$E:$F,2,0)))</f>
        <v>0</v>
      </c>
      <c r="DD97" s="409"/>
      <c r="DE97" s="398">
        <f>IF(DD97=0,0,IF(LEN(CR97)=11,_xlfn.XLOOKUP(CR97,'Dispensed Ink Rates'!C:C,'Dispensed Ink Rates'!CS:CS),VLOOKUP(CR97,'Jan-2026 rates'!$E:$F,2,0)))</f>
        <v>0</v>
      </c>
      <c r="DF97" s="409"/>
      <c r="DG97" s="398">
        <f>IF(DF97=0,0,IF(LEN(CS97)=11,_xlfn.XLOOKUP(CS97,'Dispensed Ink Rates'!C:C,'Dispensed Ink Rates'!CS:CS),VLOOKUP(CS97,'Jan-2026 rates'!$E:$F,2,0)))</f>
        <v>0</v>
      </c>
      <c r="DH97" s="409"/>
      <c r="DI97" s="398">
        <f>IF(DH97=0,0,IF(LEN(CT97)=11,_xlfn.XLOOKUP(CT97,'Dispensed Ink Rates'!C:C,'Dispensed Ink Rates'!CS:CS),VLOOKUP(CT97,'Jan-2026 rates'!$E:$F,2,0)))</f>
        <v>0</v>
      </c>
      <c r="DJ97" s="409"/>
      <c r="DK97" s="398">
        <f>IF(DJ97=0,0,IF(LEN(CU97)=11,_xlfn.XLOOKUP(CU97,'Dispensed Ink Rates'!C:C,'Dispensed Ink Rates'!CS:CS),VLOOKUP(CU97,'Jan-2026 rates'!$E:$F,2,0)))</f>
        <v>0</v>
      </c>
      <c r="DL97" s="409" t="s">
        <v>1443</v>
      </c>
      <c r="DM97" s="409">
        <v>26</v>
      </c>
      <c r="DN97" s="411">
        <f t="shared" si="88"/>
        <v>0</v>
      </c>
      <c r="DO97" s="411">
        <f t="shared" si="89"/>
        <v>26.365384615384613</v>
      </c>
      <c r="DP97" s="410">
        <f t="shared" si="90"/>
        <v>0</v>
      </c>
      <c r="DQ97" s="405" t="s">
        <v>544</v>
      </c>
      <c r="DR97" s="409" t="s">
        <v>3144</v>
      </c>
      <c r="DS97" s="420" t="str">
        <f t="shared" si="56"/>
        <v>FLINTSL - MAGENTA</v>
      </c>
      <c r="DT97" s="409">
        <v>28</v>
      </c>
      <c r="DU97" s="411">
        <f>IF(DT97=0,0,IF($LB97=70%,VLOOKUP($DS97,'Jan-2026 rates'!$L:$R,4,0),IF($LB97=65%,VLOOKUP($DS97,'Jan-2026 rates'!$L:$R,4,0),IF($LB97=40%,VLOOKUP($DS97,'Jan-2026 rates'!$L:$R,5,0),IF($LB97=30%,VLOOKUP($DS97,'Jan-2026 rates'!$L:$R,6,0),IF($LB97=100%,VLOOKUP($DS97,'Jan-2026 rates'!$L:$R,7,0),IF($LB97=60%,VLOOKUP($DS97,'Jan-2026 rates'!$L:$S,8,0),IF($LB97=80%,VLOOKUP($DS97,'Jan-2026 rates'!L:T,9,0),0))))))))</f>
        <v>0</v>
      </c>
      <c r="DV97" s="412"/>
      <c r="DW97" s="409"/>
      <c r="DX97" s="411">
        <f>IF(DW97=0,0,IF($LB97=70%,VLOOKUP($DS97,'Jan-2026 rates'!$L:$R,4,0),IF($LB97=65%,VLOOKUP($DS97,'Jan-2026 rates'!$L:$R,4,0),IF($LB97=40%,VLOOKUP($DS97,'Jan-2026 rates'!$L:$R,5,0),IF($LB97=30%,VLOOKUP($DS97,'Jan-2026 rates'!$L:$R,6,0),IF($LB97=100%,VLOOKUP($DS97,'Jan-2026 rates'!$L:$R,7,0),IF($LB97=60%,VLOOKUP($DS97,'Jan-2026 rates'!$L:$S,8,0),IF($LB97=80%,VLOOKUP($DS97,'Jan-2026 rates'!L:T,9,0),0))))))))</f>
        <v>0</v>
      </c>
      <c r="DY97" s="413" t="s">
        <v>1266</v>
      </c>
      <c r="DZ97" s="413"/>
      <c r="EA97" s="412"/>
      <c r="EB97" s="412"/>
      <c r="EC97" s="412"/>
      <c r="ED97" s="412"/>
      <c r="EE97" s="412"/>
      <c r="EF97" s="412"/>
      <c r="EG97" s="409">
        <v>4</v>
      </c>
      <c r="EH97" s="398">
        <f>IF(EG97=0,0,IF(LEN(DY97)=11,_xlfn.XLOOKUP(DY97,'Dispensed Ink Rates'!C:C,'Dispensed Ink Rates'!CS:CS),VLOOKUP(DY97,'Jan-2026 rates'!$E:$F,2,0)))</f>
        <v>0</v>
      </c>
      <c r="EI97" s="409"/>
      <c r="EJ97" s="398">
        <f>IF(EI97=0,0,IF(LEN(DZ97)=11,_xlfn.XLOOKUP(DZ97,'Dispensed Ink Rates'!C:C,'Dispensed Ink Rates'!CS:CS),VLOOKUP(DZ97,'Jan-2026 rates'!$E:$F,2,0)))</f>
        <v>0</v>
      </c>
      <c r="EK97" s="409"/>
      <c r="EL97" s="398">
        <f>IF(EK97=0,0,IF(LEN(EA97)=11,_xlfn.XLOOKUP(EA97,'Dispensed Ink Rates'!C:C,'Dispensed Ink Rates'!CS:CS),VLOOKUP(EA97,'Jan-2026 rates'!$E:$F,2,0)))</f>
        <v>0</v>
      </c>
      <c r="EM97" s="409"/>
      <c r="EN97" s="398">
        <f>IF(EM97=0,0,IF(LEN(EB97)=11,_xlfn.XLOOKUP(EB97,'Dispensed Ink Rates'!C:C,'Dispensed Ink Rates'!CS:CS),VLOOKUP(EB97,'Jan-2026 rates'!$E:$F,2,0)))</f>
        <v>0</v>
      </c>
      <c r="EO97" s="409"/>
      <c r="EP97" s="398">
        <f>IF(EO97=0,0,IF(LEN(EC97)=11,_xlfn.XLOOKUP(EC97,'Dispensed Ink Rates'!C:C,'Dispensed Ink Rates'!CS:CS),VLOOKUP(EC97,'Jan-2026 rates'!$E:$F,2,0)))</f>
        <v>0</v>
      </c>
      <c r="EQ97" s="409"/>
      <c r="ER97" s="398">
        <f>IF(EQ97=0,0,IF(LEN(ED97)=11,_xlfn.XLOOKUP(ED97,'Dispensed Ink Rates'!C:C,'Dispensed Ink Rates'!CS:CS),VLOOKUP(ED97,'Jan-2026 rates'!$E:$F,2,0)))</f>
        <v>0</v>
      </c>
      <c r="ES97" s="409"/>
      <c r="ET97" s="398">
        <f>IF(ES97=0,0,IF(LEN(EE97)=11,_xlfn.XLOOKUP(EE97,'Dispensed Ink Rates'!C:C,'Dispensed Ink Rates'!CS:CS),VLOOKUP(EE97,'Jan-2026 rates'!$E:$F,2,0)))</f>
        <v>0</v>
      </c>
      <c r="EU97" s="409"/>
      <c r="EV97" s="398">
        <f>IF(EU97=0,0,IF(LEN(EF97)=11,_xlfn.XLOOKUP(EF97,'Dispensed Ink Rates'!C:C,'Dispensed Ink Rates'!CS:CS),VLOOKUP(EF97,'Jan-2026 rates'!$E:$F,2,0)))</f>
        <v>0</v>
      </c>
      <c r="EW97" s="409" t="s">
        <v>1443</v>
      </c>
      <c r="EX97" s="409">
        <v>24</v>
      </c>
      <c r="EY97" s="411">
        <f t="shared" si="91"/>
        <v>0</v>
      </c>
      <c r="EZ97" s="411">
        <f t="shared" si="92"/>
        <v>13.346153846153847</v>
      </c>
      <c r="FA97" s="410">
        <f t="shared" si="93"/>
        <v>0</v>
      </c>
      <c r="FB97" s="405" t="s">
        <v>545</v>
      </c>
      <c r="FC97" s="409" t="s">
        <v>3145</v>
      </c>
      <c r="FD97" s="420" t="str">
        <f t="shared" si="57"/>
        <v>FLINTSL - YELLOW</v>
      </c>
      <c r="FE97" s="409">
        <v>24</v>
      </c>
      <c r="FF97" s="411">
        <f>IF(FE97=0,0,IF($LB97=70%,VLOOKUP($FD97,'Jan-2026 rates'!$L:$R,4,0),IF($LB97=65%,VLOOKUP($FD97,'Jan-2026 rates'!$L:$R,4,0),IF($LB97=40%,VLOOKUP($FD97,'Jan-2026 rates'!$L:$R,5,0),IF($LB97=30%,VLOOKUP($FD97,'Jan-2026 rates'!$L:$R,6,0),IF($LB97=100%,VLOOKUP($FD97,'Jan-2026 rates'!$L:$R,7,0),IF($LB97=60%,VLOOKUP($FD97,'Jan-2026 rates'!$L:$S,8,0),IF($LB97=80%,VLOOKUP($FD97,'Jan-2026 rates'!L:T,9,0),0))))))))</f>
        <v>0</v>
      </c>
      <c r="FG97" s="412"/>
      <c r="FH97" s="409"/>
      <c r="FI97" s="411">
        <f>IF(FH97=0,0,IF($LB97=70%,VLOOKUP($FD97,'Jan-2026 rates'!$L:$R,4,0),IF($LB97=65%,VLOOKUP($FD97,'Jan-2026 rates'!$L:$R,4,0),IF($LB97=40%,VLOOKUP($FD97,'Jan-2026 rates'!$L:$R,5,0),IF($LB97=30%,VLOOKUP($FD97,'Jan-2026 rates'!$L:$R,6,0),IF($LB97=100%,VLOOKUP($FD97,'Jan-2026 rates'!$L:$R,7,0),IF($LB97=60%,VLOOKUP($FD97,'Jan-2026 rates'!$L:$S,8,0),IF($LB97=80%,VLOOKUP($FD97,'Jan-2026 rates'!L:T,9,0),0))))))))</f>
        <v>0</v>
      </c>
      <c r="FJ97" s="413">
        <v>26507000019</v>
      </c>
      <c r="FK97" s="413"/>
      <c r="FL97" s="413"/>
      <c r="FM97" s="412"/>
      <c r="FN97" s="412"/>
      <c r="FO97" s="412"/>
      <c r="FP97" s="412"/>
      <c r="FQ97" s="412"/>
      <c r="FR97" s="409">
        <v>15</v>
      </c>
      <c r="FS97" s="398" t="e">
        <f>IF(FR97=0,0,IF(LEN(FJ97)=11,_xlfn.XLOOKUP(FJ97,'Dispensed Ink Rates'!C:C,'Dispensed Ink Rates'!CS:CS),VLOOKUP(FJ97,'Jan-2026 rates'!$E:$F,2,0)))</f>
        <v>#N/A</v>
      </c>
      <c r="FT97" s="409"/>
      <c r="FU97" s="398">
        <f>IF(FT97=0,0,IF(LEN(FK97)=11,_xlfn.XLOOKUP(FK97,'Dispensed Ink Rates'!C:C,'Dispensed Ink Rates'!CS:CS),VLOOKUP(FK97,'Jan-2026 rates'!$E:$F,2,0)))</f>
        <v>0</v>
      </c>
      <c r="FV97" s="409"/>
      <c r="FW97" s="398">
        <f>IF(FV97=0,0,IF(LEN(FL97)=11,_xlfn.XLOOKUP(FL97,'Dispensed Ink Rates'!C:C,'Dispensed Ink Rates'!CS:CS),VLOOKUP(FL97,'Jan-2026 rates'!$E:$F,2,0)))</f>
        <v>0</v>
      </c>
      <c r="FX97" s="409"/>
      <c r="FY97" s="398">
        <f>IF(FX97=0,0,IF(LEN(FM97)=11,_xlfn.XLOOKUP(FM97,'Dispensed Ink Rates'!C:C,'Dispensed Ink Rates'!CS:CS),VLOOKUP(FM97,'Jan-2026 rates'!$E:$F,2,0)))</f>
        <v>0</v>
      </c>
      <c r="FZ97" s="409"/>
      <c r="GA97" s="398">
        <f>IF(FZ97=0,0,IF(LEN(FN97)=11,_xlfn.XLOOKUP(FN97,'Dispensed Ink Rates'!C:C,'Dispensed Ink Rates'!CS:CS),VLOOKUP(FN97,'Jan-2026 rates'!$E:$F,2,0)))</f>
        <v>0</v>
      </c>
      <c r="GB97" s="409"/>
      <c r="GC97" s="398">
        <f>IF(GB97=0,0,IF(LEN(FO97)=11,_xlfn.XLOOKUP(FO97,'Dispensed Ink Rates'!C:C,'Dispensed Ink Rates'!CS:CS),VLOOKUP(FO97,'Jan-2026 rates'!$E:$F,2,0)))</f>
        <v>0</v>
      </c>
      <c r="GD97" s="409"/>
      <c r="GE97" s="398">
        <f>IF(GD97=0,0,IF(LEN(FP97)=11,_xlfn.XLOOKUP(FP97,'Dispensed Ink Rates'!C:C,'Dispensed Ink Rates'!CS:CS),VLOOKUP(FP97,'Jan-2026 rates'!$E:$F,2,0)))</f>
        <v>0</v>
      </c>
      <c r="GF97" s="409"/>
      <c r="GG97" s="398">
        <f>IF(GF97=0,0,IF(LEN(FQ97)=11,_xlfn.XLOOKUP(FQ97,'Dispensed Ink Rates'!C:C,'Dispensed Ink Rates'!CS:CS),VLOOKUP(FQ97,'Jan-2026 rates'!$E:$F,2,0)))</f>
        <v>0</v>
      </c>
      <c r="GH97" s="409" t="s">
        <v>1443</v>
      </c>
      <c r="GI97" s="409">
        <v>27</v>
      </c>
      <c r="GJ97" s="411">
        <f t="shared" si="94"/>
        <v>0</v>
      </c>
      <c r="GK97" s="411">
        <f t="shared" si="95"/>
        <v>25.365384615384613</v>
      </c>
      <c r="GL97" s="410">
        <f t="shared" si="96"/>
        <v>0</v>
      </c>
      <c r="GM97" s="405" t="s">
        <v>548</v>
      </c>
      <c r="GN97" s="409" t="s">
        <v>3146</v>
      </c>
      <c r="GO97" s="420" t="str">
        <f t="shared" si="58"/>
        <v>FLINTSL - GOLD</v>
      </c>
      <c r="GP97" s="409">
        <v>26</v>
      </c>
      <c r="GQ97" s="411">
        <f>IF(GP97=0,0,IF($LB97=70%,VLOOKUP($GO97,'Jan-2026 rates'!$L:$R,4,0),IF($LB97=65%,VLOOKUP($GO97,'Jan-2026 rates'!$L:$R,4,0),IF($LB97=40%,VLOOKUP($GO97,'Jan-2026 rates'!$L:$R,5,0),IF($LB97=30%,VLOOKUP($GO97,'Jan-2026 rates'!$L:$R,6,0),IF($LB97=100%,VLOOKUP($GO97,'Jan-2026 rates'!$L:$R,7,0),IF($LB97=60%,VLOOKUP($GO97,'Jan-2026 rates'!$L:$S,8,0),IF($LB97=80%,VLOOKUP($GO97,'Jan-2026 rates'!L:T,9,0),0))))))))</f>
        <v>0</v>
      </c>
      <c r="GR97" s="412"/>
      <c r="GS97" s="409"/>
      <c r="GT97" s="411">
        <f>IF(GS97=0,0,IF($LB97=70%,VLOOKUP($GO97,'Jan-2026 rates'!$L:$R,4,0),IF($LB97=65%,VLOOKUP($GO97,'Jan-2026 rates'!$L:$R,4,0),IF($LB97=40%,VLOOKUP($GO97,'Jan-2026 rates'!$L:$R,5,0),IF($LB97=30%,VLOOKUP($GO97,'Jan-2026 rates'!$L:$R,6,0),IF($LB97=100%,VLOOKUP($GO97,'Jan-2026 rates'!$L:$R,7,0),IF($LB97=60%,VLOOKUP($GO97,'Jan-2026 rates'!$L:$S,8,0),IF($LB97=80%,VLOOKUP($GO97,'Jan-2026 rates'!L:T,9,0),0))))))))</f>
        <v>0</v>
      </c>
      <c r="GU97" s="413">
        <v>26507000019</v>
      </c>
      <c r="GV97" s="413"/>
      <c r="GW97" s="412"/>
      <c r="GX97" s="412"/>
      <c r="GY97" s="412"/>
      <c r="GZ97" s="412"/>
      <c r="HA97" s="412"/>
      <c r="HB97" s="412"/>
      <c r="HC97" s="409">
        <v>12</v>
      </c>
      <c r="HD97" s="398" t="e">
        <f>IF(HC97=0,0,IF(LEN(GU97)=11,_xlfn.XLOOKUP(GU97,'Dispensed Ink Rates'!C:C,'Dispensed Ink Rates'!CS:CS),VLOOKUP(GU97,'Jan-2026 rates'!$E:$F,2,0)))</f>
        <v>#N/A</v>
      </c>
      <c r="HE97" s="409"/>
      <c r="HF97" s="398">
        <f>IF(HE97=0,0,IF(LEN(GV97)=11,_xlfn.XLOOKUP(GV97,'Dispensed Ink Rates'!C:C,'Dispensed Ink Rates'!CS:CS),VLOOKUP(GV97,'Jan-2026 rates'!$E:$F,2,0)))</f>
        <v>0</v>
      </c>
      <c r="HG97" s="409"/>
      <c r="HH97" s="398">
        <f>IF(HG97=0,0,IF(LEN(GW97)=11,_xlfn.XLOOKUP(GW97,'Dispensed Ink Rates'!C:C,'Dispensed Ink Rates'!CS:CS),VLOOKUP(GW97,'Jan-2026 rates'!$E:$F,2,0)))</f>
        <v>0</v>
      </c>
      <c r="HI97" s="409"/>
      <c r="HJ97" s="398">
        <f>IF(HI97=0,0,IF(LEN(GX97)=11,_xlfn.XLOOKUP(GX97,'Dispensed Ink Rates'!C:C,'Dispensed Ink Rates'!CS:CS),VLOOKUP(GX97,'Jan-2026 rates'!$E:$F,2,0)))</f>
        <v>0</v>
      </c>
      <c r="HK97" s="409"/>
      <c r="HL97" s="398">
        <f>IF(HK97=0,0,IF(LEN(GY97)=11,_xlfn.XLOOKUP(GY97,'Dispensed Ink Rates'!C:C,'Dispensed Ink Rates'!CS:CS),VLOOKUP(GY97,'Jan-2026 rates'!$E:$F,2,0)))</f>
        <v>0</v>
      </c>
      <c r="HM97" s="409"/>
      <c r="HN97" s="398">
        <f>IF(HM97=0,0,IF(LEN(GZ97)=11,_xlfn.XLOOKUP(GZ97,'Dispensed Ink Rates'!C:C,'Dispensed Ink Rates'!CS:CS),VLOOKUP(GZ97,'Jan-2026 rates'!$E:$F,2,0)))</f>
        <v>0</v>
      </c>
      <c r="HO97" s="409"/>
      <c r="HP97" s="398">
        <f>IF(HO97=0,0,IF(LEN(HA97)=11,_xlfn.XLOOKUP(HA97,'Dispensed Ink Rates'!C:C,'Dispensed Ink Rates'!CS:CS),VLOOKUP(HA97,'Jan-2026 rates'!$E:$F,2,0)))</f>
        <v>0</v>
      </c>
      <c r="HQ97" s="409"/>
      <c r="HR97" s="398">
        <f>IF(HQ97=0,0,IF(LEN(HB97)=11,_xlfn.XLOOKUP(HB97,'Dispensed Ink Rates'!C:C,'Dispensed Ink Rates'!CS:CS),VLOOKUP(HB97,'Jan-2026 rates'!$E:$F,2,0)))</f>
        <v>0</v>
      </c>
      <c r="HS97" s="409" t="s">
        <v>1443</v>
      </c>
      <c r="HT97" s="409">
        <v>25</v>
      </c>
      <c r="HU97" s="411">
        <f t="shared" si="97"/>
        <v>0</v>
      </c>
      <c r="HV97" s="411">
        <f t="shared" si="98"/>
        <v>18.346153846153847</v>
      </c>
      <c r="HW97" s="414">
        <f t="shared" si="99"/>
        <v>0</v>
      </c>
      <c r="HX97" s="405" t="s">
        <v>856</v>
      </c>
      <c r="HY97" s="409" t="s">
        <v>3147</v>
      </c>
      <c r="HZ97" s="420" t="str">
        <f t="shared" si="59"/>
        <v>FLINTSL - WHITE</v>
      </c>
      <c r="IA97" s="409">
        <v>30</v>
      </c>
      <c r="IB97" s="411">
        <f>IF(IA97=0,0,IF($LB97=70%,VLOOKUP($HZ97,'Jan-2026 rates'!$L:$R,4,0),IF($LB97=65%,VLOOKUP($HZ97,'Jan-2026 rates'!$L:$R,4,0),IF($LB97=40%,VLOOKUP($HZ97,'Jan-2026 rates'!$L:$R,5,0),IF($LB97=30%,VLOOKUP($HZ97,'Jan-2026 rates'!$L:$R,6,0),IF($LB97=100%,VLOOKUP($HZ97,'Jan-2026 rates'!$L:$R,7,0),IF($LB97=60%,VLOOKUP($HZ97,'Jan-2026 rates'!$L:$S,8,0),IF($LB97=80%,VLOOKUP($HZ97,'Jan-2026 rates'!L:T,9,0),0))))))))</f>
        <v>0</v>
      </c>
      <c r="IC97" s="412"/>
      <c r="ID97" s="409"/>
      <c r="IE97" s="411">
        <f>IF(ID97=0,0,IF($LB97=70%,VLOOKUP($HZ97,'Jan-2026 rates'!$L:$R,4,0),IF($LB97=65%,VLOOKUP($HZ97,'Jan-2026 rates'!$L:$R,4,0),IF($LB97=40%,VLOOKUP($HZ97,'Jan-2026 rates'!$L:$R,5,0),IF($LB97=30%,VLOOKUP($HZ97,'Jan-2026 rates'!$L:$R,6,0),IF($LB97=100%,VLOOKUP($HZ97,'Jan-2026 rates'!$L:$R,7,0),IF($LB97=60%,VLOOKUP($HZ97,'Jan-2026 rates'!$L:$S,8,0),IF($LB97=80%,VLOOKUP($HZ97,'Jan-2026 rates'!L:T,9,0),0))))))))</f>
        <v>0</v>
      </c>
      <c r="IF97" s="412" t="s">
        <v>484</v>
      </c>
      <c r="IG97" s="413"/>
      <c r="IH97" s="412"/>
      <c r="II97" s="412"/>
      <c r="IJ97" s="412"/>
      <c r="IK97" s="412"/>
      <c r="IL97" s="412"/>
      <c r="IM97" s="412"/>
      <c r="IN97" s="409">
        <f>40+30</f>
        <v>70</v>
      </c>
      <c r="IO97" s="398">
        <f>IF(IN97=0,0,IF(LEN(IF97)=11,_xlfn.XLOOKUP(IF97,'Dispensed Ink Rates'!C:C,'Dispensed Ink Rates'!CS:CS),VLOOKUP(IF97,'Jan-2026 rates'!$E:$F,2,0)))</f>
        <v>0</v>
      </c>
      <c r="IP97" s="409"/>
      <c r="IQ97" s="398">
        <f>IF(IP97=0,0,IF(LEN(IG97)=11,_xlfn.XLOOKUP(IG97,'Dispensed Ink Rates'!C:C,'Dispensed Ink Rates'!CS:CS),VLOOKUP(IG97,'Jan-2026 rates'!$E:$F,2,0)))</f>
        <v>0</v>
      </c>
      <c r="IR97" s="409"/>
      <c r="IS97" s="398">
        <f>IF(IR97=0,0,IF(LEN(IH97)=11,_xlfn.XLOOKUP(IH97,'Dispensed Ink Rates'!C:C,'Dispensed Ink Rates'!CS:CS),VLOOKUP(IH97,'Jan-2026 rates'!$E:$F,2,0)))</f>
        <v>0</v>
      </c>
      <c r="IT97" s="409"/>
      <c r="IU97" s="398">
        <f>IF(IT97=0,0,IF(LEN(II97)=11,_xlfn.XLOOKUP(II97,'Dispensed Ink Rates'!C:C,'Dispensed Ink Rates'!CS:CS),VLOOKUP(II97,'Jan-2026 rates'!$E:$F,2,0)))</f>
        <v>0</v>
      </c>
      <c r="IV97" s="409"/>
      <c r="IW97" s="398">
        <f>IF(IV97=0,0,IF(LEN(IJ97)=11,_xlfn.XLOOKUP(IJ97,'Dispensed Ink Rates'!C:C,'Dispensed Ink Rates'!CS:CS),VLOOKUP(IJ97,'Jan-2026 rates'!$E:$F,2,0)))</f>
        <v>0</v>
      </c>
      <c r="IX97" s="409"/>
      <c r="IY97" s="398">
        <f>IF(IX97=0,0,IF(LEN(IK97)=11,_xlfn.XLOOKUP(IK97,'Dispensed Ink Rates'!C:C,'Dispensed Ink Rates'!CS:CS),VLOOKUP(IK97,'Jan-2026 rates'!$E:$F,2,0)))</f>
        <v>0</v>
      </c>
      <c r="IZ97" s="409"/>
      <c r="JA97" s="398">
        <f>IF(IZ97=0,0,IF(LEN(IL97)=11,_xlfn.XLOOKUP(IL97,'Dispensed Ink Rates'!C:C,'Dispensed Ink Rates'!CS:CS),VLOOKUP(IL97,'Jan-2026 rates'!$E:$F,2,0)))</f>
        <v>0</v>
      </c>
      <c r="JB97" s="409"/>
      <c r="JC97" s="398">
        <f>IF(JB97=0,0,IF(LEN(IM97)=11,_xlfn.XLOOKUP(IM97,'Dispensed Ink Rates'!C:C,'Dispensed Ink Rates'!CS:CS),VLOOKUP(IM97,'Jan-2026 rates'!$E:$F,2,0)))</f>
        <v>0</v>
      </c>
      <c r="JD97" s="409" t="s">
        <v>1443</v>
      </c>
      <c r="JE97" s="409">
        <v>29</v>
      </c>
      <c r="JF97" s="411">
        <f t="shared" si="100"/>
        <v>0</v>
      </c>
      <c r="JG97" s="411">
        <f t="shared" si="101"/>
        <v>137.82692307692309</v>
      </c>
      <c r="JH97" s="410">
        <f t="shared" si="102"/>
        <v>0</v>
      </c>
      <c r="JI97" s="405"/>
      <c r="JJ97" s="409"/>
      <c r="JK97" s="420" t="str">
        <f t="shared" si="60"/>
        <v xml:space="preserve"> - </v>
      </c>
      <c r="JL97" s="409"/>
      <c r="JM97" s="411">
        <f>IF(JL97=0,0,IF($LB97=70%,VLOOKUP($JK97,'Jan-2026 rates'!$L:$R,4,0),IF($LB97=65%,VLOOKUP($JK97,'Jan-2026 rates'!$L:$R,4,0),IF($LB97=40%,VLOOKUP($JK97,'Jan-2026 rates'!$L:$R,5,0),IF($LB97=30%,VLOOKUP($JK97,'Jan-2026 rates'!$L:$R,6,0),IF($LB97=100%,VLOOKUP($JK97,'Jan-2026 rates'!$L:$R,7,0),IF($LB97=60%,VLOOKUP($JK97,'Jan-2026 rates'!$L:$S,8,0),IF($LB97=80%,VLOOKUP($JK97,'Jan-2026 rates'!L:T,9,0),0))))))))</f>
        <v>0</v>
      </c>
      <c r="JN97" s="412"/>
      <c r="JO97" s="409"/>
      <c r="JP97" s="411">
        <f>IF(JO97=0,0,IF($LB97=70%,VLOOKUP($JK97,'Jan-2026 rates'!$L:$R,4,0),IF($LB97=65%,VLOOKUP($JK97,'Jan-2026 rates'!$L:$R,4,0),IF($LB97=40%,VLOOKUP($JK97,'Jan-2026 rates'!$L:$R,5,0),IF($LB97=30%,VLOOKUP($JK97,'Jan-2026 rates'!$L:$R,6,0),IF($LB97=100%,VLOOKUP($JK97,'Jan-2026 rates'!$L:$R,7,0),IF($LB97=60%,VLOOKUP($JK97,'Jan-2026 rates'!$L:$S,8,0),IF($LB97=80%,VLOOKUP($JK97,'Jan-2026 rates'!L:T,9,0),0))))))))</f>
        <v>0</v>
      </c>
      <c r="JQ97" s="413"/>
      <c r="JR97" s="412"/>
      <c r="JS97" s="413"/>
      <c r="JT97" s="413"/>
      <c r="JU97" s="412"/>
      <c r="JV97" s="412"/>
      <c r="JW97" s="412"/>
      <c r="JX97" s="412"/>
      <c r="JY97" s="409"/>
      <c r="JZ97" s="398">
        <f>IF(JY97=0,0,IF(LEN(JQ97)=11,_xlfn.XLOOKUP(JQ97,'Dispensed Ink Rates'!C:C,'Dispensed Ink Rates'!CS:CS),VLOOKUP(JQ97,'Jan-2026 rates'!$E:$F,2,0)))</f>
        <v>0</v>
      </c>
      <c r="KA97" s="409"/>
      <c r="KB97" s="398">
        <f>IF(KA97=0,0,IF(LEN(JR97)=11,_xlfn.XLOOKUP(JR97,'Dispensed Ink Rates'!C:C,'Dispensed Ink Rates'!CS:CS),VLOOKUP(JR97,'Jan-2026 rates'!$E:$F,2,0)))</f>
        <v>0</v>
      </c>
      <c r="KC97" s="409"/>
      <c r="KD97" s="398">
        <f>IF(KC97=0,0,IF(LEN(JS97)=11,_xlfn.XLOOKUP(JS97,'Dispensed Ink Rates'!C:C,'Dispensed Ink Rates'!CS:CS),VLOOKUP(JS97,'Jan-2026 rates'!$E:$F,2,0)))</f>
        <v>0</v>
      </c>
      <c r="KE97" s="409"/>
      <c r="KF97" s="398">
        <f>IF(KE97=0,0,IF(LEN(JT97)=11,_xlfn.XLOOKUP(JT97,'Dispensed Ink Rates'!C:C,'Dispensed Ink Rates'!CS:CS),VLOOKUP(JT97,'Jan-2026 rates'!$E:$F,2,0)))</f>
        <v>0</v>
      </c>
      <c r="KG97" s="409"/>
      <c r="KH97" s="398">
        <f>IF(KG97=0,0,IF(LEN(JU97)=11,_xlfn.XLOOKUP(JU97,'Dispensed Ink Rates'!C:C,'Dispensed Ink Rates'!CS:CS),VLOOKUP(JU97,'Jan-2026 rates'!$E:$F,2,0)))</f>
        <v>0</v>
      </c>
      <c r="KI97" s="409"/>
      <c r="KJ97" s="398">
        <f>IF(KI97=0,0,IF(LEN(JV97)=11,_xlfn.XLOOKUP(JV97,'Dispensed Ink Rates'!C:C,'Dispensed Ink Rates'!CS:CS),VLOOKUP(JV97,'Jan-2026 rates'!$E:$F,2,0)))</f>
        <v>0</v>
      </c>
      <c r="KK97" s="409"/>
      <c r="KL97" s="398">
        <f>IF(KK97=0,0,IF(LEN(JW97)=11,_xlfn.XLOOKUP(JW97,'Dispensed Ink Rates'!C:C,'Dispensed Ink Rates'!CS:CS),VLOOKUP(JW97,'Jan-2026 rates'!$E:$F,2,0)))</f>
        <v>0</v>
      </c>
      <c r="KM97" s="428"/>
      <c r="KN97" s="398">
        <f>IF(KM97=0,0,IF(LEN(JX97)=11,_xlfn.XLOOKUP(JX97,'Dispensed Ink Rates'!C:C,'Dispensed Ink Rates'!CS:CS),VLOOKUP(JX97,'Jan-2026 rates'!$E:$F,2,0)))</f>
        <v>0</v>
      </c>
      <c r="KO97" s="409"/>
      <c r="KP97" s="409"/>
      <c r="KQ97" s="411">
        <f t="shared" si="103"/>
        <v>0</v>
      </c>
      <c r="KR97" s="411">
        <f t="shared" si="104"/>
        <v>0</v>
      </c>
      <c r="KS97" s="410">
        <f t="shared" si="105"/>
        <v>0</v>
      </c>
      <c r="KT97" s="409">
        <v>3</v>
      </c>
      <c r="KU97" s="409">
        <v>10</v>
      </c>
      <c r="KV97" s="409">
        <v>5</v>
      </c>
      <c r="KW97" s="409">
        <v>2</v>
      </c>
      <c r="KX97" s="409">
        <v>5</v>
      </c>
      <c r="KY97" s="409">
        <v>2</v>
      </c>
      <c r="KZ97" s="409">
        <v>25</v>
      </c>
      <c r="LA97" s="409">
        <v>0</v>
      </c>
      <c r="LB97" s="415">
        <v>0.8</v>
      </c>
      <c r="LC97" s="415">
        <v>0.2</v>
      </c>
      <c r="LD97" s="415"/>
      <c r="LE97" s="415"/>
      <c r="LF97" s="415"/>
      <c r="LG97" s="409">
        <v>0</v>
      </c>
      <c r="LH97" s="409">
        <f>27+25+60+15+5+5+2</f>
        <v>139</v>
      </c>
      <c r="LI97" s="409">
        <v>0</v>
      </c>
      <c r="LJ97" s="409">
        <v>0</v>
      </c>
      <c r="LK97" s="416">
        <f t="shared" si="61"/>
        <v>139</v>
      </c>
      <c r="LL97" s="416">
        <f t="shared" si="62"/>
        <v>139</v>
      </c>
      <c r="LM97" s="417">
        <f t="shared" si="63"/>
        <v>111.2</v>
      </c>
      <c r="LN97" s="417">
        <f>VLOOKUP($LM$8,'Jan-2026 rates'!$H:$I,2,0)</f>
        <v>0</v>
      </c>
      <c r="LO97" s="417">
        <f t="shared" si="64"/>
        <v>27.8</v>
      </c>
      <c r="LP97" s="417">
        <f>VLOOKUP($LO$8,'Jan-2026 rates'!$H:$I,2,0)</f>
        <v>0</v>
      </c>
      <c r="LQ97" s="417">
        <f t="shared" si="65"/>
        <v>0</v>
      </c>
      <c r="LR97" s="417">
        <f>VLOOKUP($LQ$8,'Jan-2026 rates'!$H:$I,2,0)</f>
        <v>0</v>
      </c>
      <c r="LS97" s="417">
        <f t="shared" si="66"/>
        <v>0</v>
      </c>
      <c r="LT97" s="417">
        <f>VLOOKUP($LS$8,'Jan-2026 rates'!$H:$I,2,0)</f>
        <v>0</v>
      </c>
      <c r="LU97" s="417">
        <f t="shared" si="67"/>
        <v>0</v>
      </c>
      <c r="LV97" s="417">
        <f>VLOOKUP($LU$8,'Jan-2026 rates'!$H:$I,2,0)</f>
        <v>0</v>
      </c>
      <c r="LW97" s="417">
        <f t="shared" si="68"/>
        <v>0</v>
      </c>
      <c r="LX97" s="417">
        <f t="shared" si="69"/>
        <v>0</v>
      </c>
      <c r="LY97" s="418">
        <f t="shared" si="70"/>
        <v>0</v>
      </c>
      <c r="LZ97" s="417"/>
      <c r="MA97" s="435">
        <f t="shared" si="71"/>
        <v>147</v>
      </c>
      <c r="MB97" s="282">
        <f t="shared" si="72"/>
        <v>269</v>
      </c>
      <c r="MC97" s="283">
        <v>52</v>
      </c>
      <c r="MD97" s="284" t="str">
        <f t="shared" si="73"/>
        <v>FLINTSLFLINTSLFLINTSLFLINTSLFLINTSLFLINTSLFLINTSL</v>
      </c>
      <c r="ME97" s="293" t="str">
        <f t="shared" si="74"/>
        <v>+</v>
      </c>
      <c r="MF97" s="293" t="str">
        <f t="shared" si="75"/>
        <v>+</v>
      </c>
      <c r="MG97" s="293" t="str">
        <f t="shared" si="76"/>
        <v>+</v>
      </c>
      <c r="MH97" s="293" t="str">
        <f t="shared" si="77"/>
        <v>+</v>
      </c>
      <c r="MI97" s="293" t="str">
        <f t="shared" si="78"/>
        <v>+</v>
      </c>
      <c r="MJ97" s="293" t="str">
        <f t="shared" si="79"/>
        <v>+</v>
      </c>
      <c r="MK97" s="293" t="str">
        <f t="shared" si="80"/>
        <v>+</v>
      </c>
      <c r="ML97" s="293" t="str">
        <f t="shared" si="81"/>
        <v>NIL</v>
      </c>
      <c r="MM97" s="3" t="b">
        <f t="array" ref="MM97">OR(ME97:ML97="-")</f>
        <v>0</v>
      </c>
      <c r="MN97" s="285"/>
      <c r="MO97" s="401"/>
      <c r="MP97" s="286"/>
      <c r="MQ97" s="286"/>
      <c r="MR97" s="402"/>
      <c r="MS97" s="400"/>
      <c r="NH97" s="422"/>
      <c r="NJ97" s="421"/>
    </row>
    <row r="98" spans="1:374" s="1" customFormat="1" ht="16.5">
      <c r="A98" s="403">
        <v>46030</v>
      </c>
      <c r="B98" s="404" t="s">
        <v>1015</v>
      </c>
      <c r="C98" s="405" t="s">
        <v>3148</v>
      </c>
      <c r="D98" s="406">
        <v>53</v>
      </c>
      <c r="E98" s="404">
        <v>931</v>
      </c>
      <c r="F98" s="407">
        <v>52300</v>
      </c>
      <c r="G98" s="407" t="s">
        <v>1019</v>
      </c>
      <c r="H98" s="408" t="s">
        <v>1017</v>
      </c>
      <c r="I98" s="409">
        <v>2.02</v>
      </c>
      <c r="J98" s="405" t="s">
        <v>543</v>
      </c>
      <c r="K98" s="404" t="s">
        <v>3149</v>
      </c>
      <c r="L98" s="419" t="str">
        <f t="shared" si="54"/>
        <v>FLINTSL - BLACK</v>
      </c>
      <c r="M98" s="404">
        <v>23</v>
      </c>
      <c r="N98" s="410">
        <f>IF(M98=0,0,IF($LB98=70%,VLOOKUP($L98,'Jan-2026 rates'!$L:$R,4,0),IF($LB98=65%,VLOOKUP($L98,'Jan-2026 rates'!$L:$R,4,0),IF($LB98=40%,VLOOKUP($L98,'Jan-2026 rates'!$L:$R,5,0),IF($LB98=30%,VLOOKUP($L98,'Jan-2026 rates'!$L:$R,6,0),IF($LB98=100%,VLOOKUP($L98,'Jan-2026 rates'!$L:$R,7,0),IF($LB98=60%,VLOOKUP($L98,'Jan-2026 rates'!$L:$S,8,0),IF($LB98=80%,VLOOKUP($L98,'Jan-2026 rates'!L:T,9,0),0))))))))</f>
        <v>0</v>
      </c>
      <c r="O98" s="406"/>
      <c r="P98" s="404"/>
      <c r="Q98" s="410">
        <f>IF(P98=0,0,IF($LB98=70%,VLOOKUP($L98,'Jan-2026 rates'!$L:$R,4,0),IF($LB98=65%,VLOOKUP($L98,'Jan-2026 rates'!$L:$R,4,0),IF($LB98=40%,VLOOKUP($L98,'Jan-2026 rates'!$L:$R,5,0),IF($LB98=30%,VLOOKUP($L98,'Jan-2026 rates'!$L:$R,6,0),IF($LB98=100%,VLOOKUP($L98,'Jan-2026 rates'!$L:$R,7,0),IF($LB98=60%,VLOOKUP($L98,'Jan-2026 rates'!$L:$S,8,0),IF($LB98=80%,VLOOKUP($L98,'Jan-2026 rates'!L:T,9,0),0))))))))</f>
        <v>0</v>
      </c>
      <c r="R98" s="406">
        <v>26506000007</v>
      </c>
      <c r="S98" s="406"/>
      <c r="T98" s="406"/>
      <c r="U98" s="406"/>
      <c r="V98" s="406"/>
      <c r="W98" s="406"/>
      <c r="X98" s="406"/>
      <c r="Y98" s="406"/>
      <c r="Z98" s="404">
        <v>10</v>
      </c>
      <c r="AA98" s="398" t="e">
        <f>IF(Z98=0,0,IF(LEN(R98)=11,_xlfn.XLOOKUP(R98,'Dispensed Ink Rates'!C:C,'Dispensed Ink Rates'!CS:CS),VLOOKUP(R98,'Jan-2026 rates'!$E:$F,2,0)))</f>
        <v>#N/A</v>
      </c>
      <c r="AB98" s="404"/>
      <c r="AC98" s="398">
        <f>IF(AB98=0,0,IF(LEN(S98)=11,_xlfn.XLOOKUP(S98,'Dispensed Ink Rates'!C:C,'Dispensed Ink Rates'!CS:CS),VLOOKUP(S98,'Jan-2026 rates'!$E:$F,2,0)))</f>
        <v>0</v>
      </c>
      <c r="AD98" s="404"/>
      <c r="AE98" s="398">
        <f>IF(AD98=0,0,IF(LEN(T98)=11,_xlfn.XLOOKUP(T98,'Dispensed Ink Rates'!C:C,'Dispensed Ink Rates'!CS:CS),VLOOKUP(T98,'Jan-2026 rates'!$E:$F,2,0)))</f>
        <v>0</v>
      </c>
      <c r="AF98" s="404"/>
      <c r="AG98" s="398">
        <f>IF(AF98=0,0,IF(LEN(U98)=11,_xlfn.XLOOKUP(U98,'Dispensed Ink Rates'!C:C,'Dispensed Ink Rates'!CS:CS),VLOOKUP(U98,'Jan-2026 rates'!$E:$F,2,0)))</f>
        <v>0</v>
      </c>
      <c r="AH98" s="404"/>
      <c r="AI98" s="398">
        <f>IF(AH98=0,0,IF(LEN(V98)=11,_xlfn.XLOOKUP(V98,'Dispensed Ink Rates'!C:C,'Dispensed Ink Rates'!CS:CS),VLOOKUP(V98,'Jan-2026 rates'!$E:$F,2,0)))</f>
        <v>0</v>
      </c>
      <c r="AJ98" s="404"/>
      <c r="AK98" s="398">
        <f>IF(AJ98=0,0,IF(LEN(W98)=11,_xlfn.XLOOKUP(W98,'Dispensed Ink Rates'!C:C,'Dispensed Ink Rates'!CS:CS),VLOOKUP(W98,'Jan-2026 rates'!$E:$F,2,0)))</f>
        <v>0</v>
      </c>
      <c r="AL98" s="404"/>
      <c r="AM98" s="398">
        <f>IF(AL98=0,0,IF(LEN(X98)=11,_xlfn.XLOOKUP(X98,'Dispensed Ink Rates'!C:C,'Dispensed Ink Rates'!CS:CS),VLOOKUP(X98,'Jan-2026 rates'!$E:$F,2,0)))</f>
        <v>0</v>
      </c>
      <c r="AN98" s="404"/>
      <c r="AO98" s="398">
        <f>IF(AN98=0,0,IF(LEN(Y98)=11,_xlfn.XLOOKUP(Y98,'Dispensed Ink Rates'!C:C,'Dispensed Ink Rates'!CS:CS),VLOOKUP(Y98,'Jan-2026 rates'!$E:$F,2,0)))</f>
        <v>0</v>
      </c>
      <c r="AP98" s="409" t="s">
        <v>1443</v>
      </c>
      <c r="AQ98" s="409">
        <v>27</v>
      </c>
      <c r="AR98" s="410">
        <f t="shared" si="82"/>
        <v>0</v>
      </c>
      <c r="AS98" s="411">
        <f t="shared" si="83"/>
        <v>24.418079096045197</v>
      </c>
      <c r="AT98" s="410">
        <f t="shared" si="84"/>
        <v>0</v>
      </c>
      <c r="AU98" s="405" t="s">
        <v>546</v>
      </c>
      <c r="AV98" s="409" t="s">
        <v>3142</v>
      </c>
      <c r="AW98" s="420" t="str">
        <f t="shared" si="53"/>
        <v>FLINTSL - REFLEX BLUE</v>
      </c>
      <c r="AX98" s="409">
        <v>26</v>
      </c>
      <c r="AY98" s="411">
        <f>IF(AX98=0,0,IF($LB98=70%,VLOOKUP($AW98,'Jan-2026 rates'!$L:$R,4,0),IF($LB98=65%,VLOOKUP($AW98,'Jan-2026 rates'!$L:$R,4,0),IF($LB98=40%,VLOOKUP($AW98,'Jan-2026 rates'!$L:$R,5,0),IF($LB98=30%,VLOOKUP($AW98,'Jan-2026 rates'!$L:$R,6,0),IF($LB98=100%,VLOOKUP($AW98,'Jan-2026 rates'!$L:$R,7,0),IF($LB98=60%,VLOOKUP($AW98,'Jan-2026 rates'!$L:$S,8,0),IF($LB98=80%,VLOOKUP($AW98,'Jan-2026 rates'!L:T,9,0),0))))))))</f>
        <v>0</v>
      </c>
      <c r="AZ98" s="412"/>
      <c r="BA98" s="409"/>
      <c r="BB98" s="411">
        <f>IF(BA98=0,0,IF($LB98=70%,VLOOKUP($AW98,'Jan-2026 rates'!$L:$R,4,0),IF($LB98=65%,VLOOKUP($AW98,'Jan-2026 rates'!$L:$R,4,0),IF($LB98=40%,VLOOKUP($AW98,'Jan-2026 rates'!$L:$R,5,0),IF($LB98=30%,VLOOKUP($AW98,'Jan-2026 rates'!$L:$R,6,0),IF($LB98=100%,VLOOKUP($AW98,'Jan-2026 rates'!$L:$R,7,0),IF($LB98=60%,VLOOKUP($AW98,'Jan-2026 rates'!$L:$S,8,0),IF($LB98=80%,VLOOKUP($AW98,'Jan-2026 rates'!L:T,9,0),0))))))))</f>
        <v>0</v>
      </c>
      <c r="BC98" s="413">
        <v>26508000011</v>
      </c>
      <c r="BD98" s="412"/>
      <c r="BE98" s="412"/>
      <c r="BF98" s="413"/>
      <c r="BG98" s="412"/>
      <c r="BH98" s="412"/>
      <c r="BI98" s="412"/>
      <c r="BJ98" s="412"/>
      <c r="BK98" s="409">
        <v>1</v>
      </c>
      <c r="BL98" s="398" t="e">
        <f>IF(BK98=0,0,IF(LEN(BC98)=11,_xlfn.XLOOKUP(BC98,'Dispensed Ink Rates'!C:C,'Dispensed Ink Rates'!CS:CS),VLOOKUP(BC98,'Jan-2026 rates'!$E:$F,2,0)))</f>
        <v>#N/A</v>
      </c>
      <c r="BM98" s="409"/>
      <c r="BN98" s="398">
        <f>IF(BM98=0,0,IF(LEN(BD98)=11,_xlfn.XLOOKUP(BD98,'Dispensed Ink Rates'!C:C,'Dispensed Ink Rates'!CS:CS),VLOOKUP(BD98,'Jan-2026 rates'!$E:$F,2,0)))</f>
        <v>0</v>
      </c>
      <c r="BO98" s="409"/>
      <c r="BP98" s="398">
        <f>IF(BO98=0,0,IF(LEN(BE98)=11,_xlfn.XLOOKUP(BE98,'Dispensed Ink Rates'!C:C,'Dispensed Ink Rates'!CS:CS),VLOOKUP(BE98,'Jan-2026 rates'!$E:$F,2,0)))</f>
        <v>0</v>
      </c>
      <c r="BQ98" s="409"/>
      <c r="BR98" s="398">
        <f>IF(BQ98=0,0,IF(LEN(BF98)=11,_xlfn.XLOOKUP(BF98,'Dispensed Ink Rates'!C:C,'Dispensed Ink Rates'!CS:CS),VLOOKUP(BF98,'Jan-2026 rates'!$E:$F,2,0)))</f>
        <v>0</v>
      </c>
      <c r="BS98" s="409"/>
      <c r="BT98" s="398">
        <f>IF(BS98=0,0,IF(LEN(BG98)=11,_xlfn.XLOOKUP(BG98,'Dispensed Ink Rates'!C:C,'Dispensed Ink Rates'!CS:CS),VLOOKUP(BG98,'Jan-2026 rates'!$E:$F,2,0)))</f>
        <v>0</v>
      </c>
      <c r="BU98" s="409"/>
      <c r="BV98" s="398">
        <f>IF(BU98=0,0,IF(LEN(BH98)=11,_xlfn.XLOOKUP(BH98,'Dispensed Ink Rates'!C:C,'Dispensed Ink Rates'!CS:CS),VLOOKUP(BH98,'Jan-2026 rates'!$E:$F,2,0)))</f>
        <v>0</v>
      </c>
      <c r="BW98" s="409"/>
      <c r="BX98" s="398">
        <f>IF(BW98=0,0,IF(LEN(BI98)=11,_xlfn.XLOOKUP(BI98,'Dispensed Ink Rates'!C:C,'Dispensed Ink Rates'!CS:CS),VLOOKUP(BI98,'Jan-2026 rates'!$E:$F,2,0)))</f>
        <v>0</v>
      </c>
      <c r="BY98" s="409"/>
      <c r="BZ98" s="398">
        <f>IF(BY98=0,0,IF(LEN(BJ98)=11,_xlfn.XLOOKUP(BJ98,'Dispensed Ink Rates'!C:C,'Dispensed Ink Rates'!CS:CS),VLOOKUP(BJ98,'Jan-2026 rates'!$E:$F,2,0)))</f>
        <v>0</v>
      </c>
      <c r="CA98" s="409" t="s">
        <v>1443</v>
      </c>
      <c r="CB98" s="409">
        <v>23</v>
      </c>
      <c r="CC98" s="411">
        <f t="shared" si="85"/>
        <v>0</v>
      </c>
      <c r="CD98" s="411">
        <f t="shared" si="86"/>
        <v>7.683615819209038</v>
      </c>
      <c r="CE98" s="410">
        <f t="shared" si="87"/>
        <v>0</v>
      </c>
      <c r="CF98" s="404" t="s">
        <v>547</v>
      </c>
      <c r="CG98" s="409" t="s">
        <v>3034</v>
      </c>
      <c r="CH98" s="420" t="str">
        <f t="shared" si="55"/>
        <v>FLINTSL - GREEN</v>
      </c>
      <c r="CI98" s="409">
        <v>7</v>
      </c>
      <c r="CJ98" s="411">
        <f>IF(CI98=0,0,IF($LB98=70%,VLOOKUP($CH98,'Jan-2026 rates'!$L:$R,4,0),IF($LB98=65%,VLOOKUP($CH98,'Jan-2026 rates'!$L:$R,4,0),IF($LB98=40%,VLOOKUP($CH98,'Jan-2026 rates'!$L:$R,5,0),IF($LB98=30%,VLOOKUP($CH98,'Jan-2026 rates'!$L:$R,6,0),IF($LB98=100%,VLOOKUP($CH98,'Jan-2026 rates'!$L:$R,7,0),IF($LB98=60%,VLOOKUP($CH98,'Jan-2026 rates'!$L:$S,8,0),IF($LB98=80%,VLOOKUP($CH98,'Jan-2026 rates'!L:T,9,0),0))))))))</f>
        <v>0</v>
      </c>
      <c r="CK98" s="412" t="s">
        <v>3150</v>
      </c>
      <c r="CL98" s="409">
        <v>15</v>
      </c>
      <c r="CM98" s="411">
        <f>IF(CL98=0,0,IF($LB98=70%,VLOOKUP($CH98,'Jan-2026 rates'!$L:$R,4,0),IF($LB98=65%,VLOOKUP($CH98,'Jan-2026 rates'!$L:$R,4,0),IF($LB98=40%,VLOOKUP($CH98,'Jan-2026 rates'!$L:$R,5,0),IF($LB98=30%,VLOOKUP($CH98,'Jan-2026 rates'!$L:$R,6,0),IF($LB98=100%,VLOOKUP($CH98,'Jan-2026 rates'!$L:$R,7,0),IF($LB98=60%,VLOOKUP($CH98,'Jan-2026 rates'!$L:$S,8,0),IF($LB98=80%,VLOOKUP($CH98,'Jan-2026 rates'!L:T,9,0),0))))))))</f>
        <v>0</v>
      </c>
      <c r="CN98" s="426">
        <v>26508000024</v>
      </c>
      <c r="CO98" s="427">
        <v>26501000001</v>
      </c>
      <c r="CP98" s="426"/>
      <c r="CQ98" s="426"/>
      <c r="CR98" s="428"/>
      <c r="CS98" s="428"/>
      <c r="CT98" s="428"/>
      <c r="CU98" s="428"/>
      <c r="CV98" s="409">
        <v>2</v>
      </c>
      <c r="CW98" s="398" t="e">
        <f>IF(CV98=0,0,IF(LEN(CN98)=11,_xlfn.XLOOKUP(CN98,'Dispensed Ink Rates'!C:C,'Dispensed Ink Rates'!CS:CS),VLOOKUP(CN98,'Jan-2026 rates'!$E:$F,2,0)))</f>
        <v>#N/A</v>
      </c>
      <c r="CX98" s="409">
        <v>2</v>
      </c>
      <c r="CY98" s="398" t="e">
        <f>IF(CX98=0,0,IF(LEN(CO98)=11,_xlfn.XLOOKUP(CO98,'Dispensed Ink Rates'!C:C,'Dispensed Ink Rates'!CS:CS),VLOOKUP(CO98,'Jan-2026 rates'!$E:$F,2,0)))</f>
        <v>#N/A</v>
      </c>
      <c r="CZ98" s="409"/>
      <c r="DA98" s="398">
        <f>IF(CZ98=0,0,IF(LEN(CP98)=11,_xlfn.XLOOKUP(CP98,'Dispensed Ink Rates'!C:C,'Dispensed Ink Rates'!CS:CS),VLOOKUP(CP98,'Jan-2026 rates'!$E:$F,2,0)))</f>
        <v>0</v>
      </c>
      <c r="DB98" s="409"/>
      <c r="DC98" s="398">
        <f>IF(DB98=0,0,IF(LEN(CQ98)=11,_xlfn.XLOOKUP(CQ98,'Dispensed Ink Rates'!C:C,'Dispensed Ink Rates'!CS:CS),VLOOKUP(CQ98,'Jan-2026 rates'!$E:$F,2,0)))</f>
        <v>0</v>
      </c>
      <c r="DD98" s="409"/>
      <c r="DE98" s="398">
        <f>IF(DD98=0,0,IF(LEN(CR98)=11,_xlfn.XLOOKUP(CR98,'Dispensed Ink Rates'!C:C,'Dispensed Ink Rates'!CS:CS),VLOOKUP(CR98,'Jan-2026 rates'!$E:$F,2,0)))</f>
        <v>0</v>
      </c>
      <c r="DF98" s="409"/>
      <c r="DG98" s="398">
        <f>IF(DF98=0,0,IF(LEN(CS98)=11,_xlfn.XLOOKUP(CS98,'Dispensed Ink Rates'!C:C,'Dispensed Ink Rates'!CS:CS),VLOOKUP(CS98,'Jan-2026 rates'!$E:$F,2,0)))</f>
        <v>0</v>
      </c>
      <c r="DH98" s="409"/>
      <c r="DI98" s="398">
        <f>IF(DH98=0,0,IF(LEN(CT98)=11,_xlfn.XLOOKUP(CT98,'Dispensed Ink Rates'!C:C,'Dispensed Ink Rates'!CS:CS),VLOOKUP(CT98,'Jan-2026 rates'!$E:$F,2,0)))</f>
        <v>0</v>
      </c>
      <c r="DJ98" s="409"/>
      <c r="DK98" s="398">
        <f>IF(DJ98=0,0,IF(LEN(CU98)=11,_xlfn.XLOOKUP(CU98,'Dispensed Ink Rates'!C:C,'Dispensed Ink Rates'!CS:CS),VLOOKUP(CU98,'Jan-2026 rates'!$E:$F,2,0)))</f>
        <v>0</v>
      </c>
      <c r="DL98" s="409" t="s">
        <v>1443</v>
      </c>
      <c r="DM98" s="409">
        <v>24</v>
      </c>
      <c r="DN98" s="411">
        <f t="shared" si="88"/>
        <v>0</v>
      </c>
      <c r="DO98" s="411">
        <f t="shared" si="89"/>
        <v>11.209039548022602</v>
      </c>
      <c r="DP98" s="410">
        <f t="shared" si="90"/>
        <v>0</v>
      </c>
      <c r="DQ98" s="405" t="s">
        <v>857</v>
      </c>
      <c r="DR98" s="409" t="s">
        <v>3151</v>
      </c>
      <c r="DS98" s="420" t="str">
        <f t="shared" si="56"/>
        <v>FLINTSL - RED</v>
      </c>
      <c r="DT98" s="409">
        <v>20</v>
      </c>
      <c r="DU98" s="411">
        <f>IF(DT98=0,0,IF($LB98=70%,VLOOKUP($DS98,'Jan-2026 rates'!$L:$R,4,0),IF($LB98=65%,VLOOKUP($DS98,'Jan-2026 rates'!$L:$R,4,0),IF($LB98=40%,VLOOKUP($DS98,'Jan-2026 rates'!$L:$R,5,0),IF($LB98=30%,VLOOKUP($DS98,'Jan-2026 rates'!$L:$R,6,0),IF($LB98=100%,VLOOKUP($DS98,'Jan-2026 rates'!$L:$R,7,0),IF($LB98=60%,VLOOKUP($DS98,'Jan-2026 rates'!$L:$S,8,0),IF($LB98=80%,VLOOKUP($DS98,'Jan-2026 rates'!L:T,9,0),0))))))))</f>
        <v>0</v>
      </c>
      <c r="DV98" s="412"/>
      <c r="DW98" s="409"/>
      <c r="DX98" s="411">
        <f>IF(DW98=0,0,IF($LB98=70%,VLOOKUP($DS98,'Jan-2026 rates'!$L:$R,4,0),IF($LB98=65%,VLOOKUP($DS98,'Jan-2026 rates'!$L:$R,4,0),IF($LB98=40%,VLOOKUP($DS98,'Jan-2026 rates'!$L:$R,5,0),IF($LB98=30%,VLOOKUP($DS98,'Jan-2026 rates'!$L:$R,6,0),IF($LB98=100%,VLOOKUP($DS98,'Jan-2026 rates'!$L:$R,7,0),IF($LB98=60%,VLOOKUP($DS98,'Jan-2026 rates'!$L:$S,8,0),IF($LB98=80%,VLOOKUP($DS98,'Jan-2026 rates'!L:T,9,0),0))))))))</f>
        <v>0</v>
      </c>
      <c r="DY98" s="413">
        <v>25863000007</v>
      </c>
      <c r="DZ98" s="413">
        <v>26508000011</v>
      </c>
      <c r="EA98" s="412">
        <v>26501000001</v>
      </c>
      <c r="EB98" s="412"/>
      <c r="EC98" s="412"/>
      <c r="ED98" s="412"/>
      <c r="EE98" s="412"/>
      <c r="EF98" s="412"/>
      <c r="EG98" s="409">
        <v>7</v>
      </c>
      <c r="EH98" s="398" t="e">
        <f>IF(EG98=0,0,IF(LEN(DY98)=11,_xlfn.XLOOKUP(DY98,'Dispensed Ink Rates'!C:C,'Dispensed Ink Rates'!CS:CS),VLOOKUP(DY98,'Jan-2026 rates'!$E:$F,2,0)))</f>
        <v>#N/A</v>
      </c>
      <c r="EI98" s="409">
        <v>2</v>
      </c>
      <c r="EJ98" s="398" t="e">
        <f>IF(EI98=0,0,IF(LEN(DZ98)=11,_xlfn.XLOOKUP(DZ98,'Dispensed Ink Rates'!C:C,'Dispensed Ink Rates'!CS:CS),VLOOKUP(DZ98,'Jan-2026 rates'!$E:$F,2,0)))</f>
        <v>#N/A</v>
      </c>
      <c r="EK98" s="409">
        <v>6</v>
      </c>
      <c r="EL98" s="398" t="e">
        <f>IF(EK98=0,0,IF(LEN(EA98)=11,_xlfn.XLOOKUP(EA98,'Dispensed Ink Rates'!C:C,'Dispensed Ink Rates'!CS:CS),VLOOKUP(EA98,'Jan-2026 rates'!$E:$F,2,0)))</f>
        <v>#N/A</v>
      </c>
      <c r="EM98" s="409"/>
      <c r="EN98" s="398">
        <f>IF(EM98=0,0,IF(LEN(EB98)=11,_xlfn.XLOOKUP(EB98,'Dispensed Ink Rates'!C:C,'Dispensed Ink Rates'!CS:CS),VLOOKUP(EB98,'Jan-2026 rates'!$E:$F,2,0)))</f>
        <v>0</v>
      </c>
      <c r="EO98" s="409"/>
      <c r="EP98" s="398">
        <f>IF(EO98=0,0,IF(LEN(EC98)=11,_xlfn.XLOOKUP(EC98,'Dispensed Ink Rates'!C:C,'Dispensed Ink Rates'!CS:CS),VLOOKUP(EC98,'Jan-2026 rates'!$E:$F,2,0)))</f>
        <v>0</v>
      </c>
      <c r="EQ98" s="409"/>
      <c r="ER98" s="398">
        <f>IF(EQ98=0,0,IF(LEN(ED98)=11,_xlfn.XLOOKUP(ED98,'Dispensed Ink Rates'!C:C,'Dispensed Ink Rates'!CS:CS),VLOOKUP(ED98,'Jan-2026 rates'!$E:$F,2,0)))</f>
        <v>0</v>
      </c>
      <c r="ES98" s="409"/>
      <c r="ET98" s="398">
        <f>IF(ES98=0,0,IF(LEN(EE98)=11,_xlfn.XLOOKUP(EE98,'Dispensed Ink Rates'!C:C,'Dispensed Ink Rates'!CS:CS),VLOOKUP(EE98,'Jan-2026 rates'!$E:$F,2,0)))</f>
        <v>0</v>
      </c>
      <c r="EU98" s="409"/>
      <c r="EV98" s="398">
        <f>IF(EU98=0,0,IF(LEN(EF98)=11,_xlfn.XLOOKUP(EF98,'Dispensed Ink Rates'!C:C,'Dispensed Ink Rates'!CS:CS),VLOOKUP(EF98,'Jan-2026 rates'!$E:$F,2,0)))</f>
        <v>0</v>
      </c>
      <c r="EW98" s="409" t="s">
        <v>1443</v>
      </c>
      <c r="EX98" s="409">
        <v>24</v>
      </c>
      <c r="EY98" s="411">
        <f t="shared" si="91"/>
        <v>0</v>
      </c>
      <c r="EZ98" s="411">
        <f t="shared" si="92"/>
        <v>29.418079096045197</v>
      </c>
      <c r="FA98" s="410">
        <f t="shared" si="93"/>
        <v>0</v>
      </c>
      <c r="FB98" s="405" t="s">
        <v>855</v>
      </c>
      <c r="FC98" s="409" t="s">
        <v>3152</v>
      </c>
      <c r="FD98" s="420" t="str">
        <f t="shared" si="57"/>
        <v>FLINTSL - CYAN</v>
      </c>
      <c r="FE98" s="409">
        <v>26</v>
      </c>
      <c r="FF98" s="411">
        <f>IF(FE98=0,0,IF($LB98=70%,VLOOKUP($FD98,'Jan-2026 rates'!$L:$R,4,0),IF($LB98=65%,VLOOKUP($FD98,'Jan-2026 rates'!$L:$R,4,0),IF($LB98=40%,VLOOKUP($FD98,'Jan-2026 rates'!$L:$R,5,0),IF($LB98=30%,VLOOKUP($FD98,'Jan-2026 rates'!$L:$R,6,0),IF($LB98=100%,VLOOKUP($FD98,'Jan-2026 rates'!$L:$R,7,0),IF($LB98=60%,VLOOKUP($FD98,'Jan-2026 rates'!$L:$S,8,0),IF($LB98=80%,VLOOKUP($FD98,'Jan-2026 rates'!L:T,9,0),0))))))))</f>
        <v>0</v>
      </c>
      <c r="FG98" s="412" t="s">
        <v>3153</v>
      </c>
      <c r="FH98" s="409">
        <v>13</v>
      </c>
      <c r="FI98" s="411">
        <f>IF(FH98=0,0,IF($LB98=70%,VLOOKUP($FD98,'Jan-2026 rates'!$L:$R,4,0),IF($LB98=65%,VLOOKUP($FD98,'Jan-2026 rates'!$L:$R,4,0),IF($LB98=40%,VLOOKUP($FD98,'Jan-2026 rates'!$L:$R,5,0),IF($LB98=30%,VLOOKUP($FD98,'Jan-2026 rates'!$L:$R,6,0),IF($LB98=100%,VLOOKUP($FD98,'Jan-2026 rates'!$L:$R,7,0),IF($LB98=60%,VLOOKUP($FD98,'Jan-2026 rates'!$L:$S,8,0),IF($LB98=80%,VLOOKUP($FD98,'Jan-2026 rates'!L:T,9,0),0))))))))</f>
        <v>0</v>
      </c>
      <c r="FJ98" s="413">
        <v>26507000018</v>
      </c>
      <c r="FK98" s="413"/>
      <c r="FL98" s="413"/>
      <c r="FM98" s="412"/>
      <c r="FN98" s="412"/>
      <c r="FO98" s="412"/>
      <c r="FP98" s="412"/>
      <c r="FQ98" s="412"/>
      <c r="FR98" s="409">
        <v>7</v>
      </c>
      <c r="FS98" s="398" t="e">
        <f>IF(FR98=0,0,IF(LEN(FJ98)=11,_xlfn.XLOOKUP(FJ98,'Dispensed Ink Rates'!C:C,'Dispensed Ink Rates'!CS:CS),VLOOKUP(FJ98,'Jan-2026 rates'!$E:$F,2,0)))</f>
        <v>#N/A</v>
      </c>
      <c r="FT98" s="409"/>
      <c r="FU98" s="398">
        <f>IF(FT98=0,0,IF(LEN(FK98)=11,_xlfn.XLOOKUP(FK98,'Dispensed Ink Rates'!C:C,'Dispensed Ink Rates'!CS:CS),VLOOKUP(FK98,'Jan-2026 rates'!$E:$F,2,0)))</f>
        <v>0</v>
      </c>
      <c r="FV98" s="409"/>
      <c r="FW98" s="398">
        <f>IF(FV98=0,0,IF(LEN(FL98)=11,_xlfn.XLOOKUP(FL98,'Dispensed Ink Rates'!C:C,'Dispensed Ink Rates'!CS:CS),VLOOKUP(FL98,'Jan-2026 rates'!$E:$F,2,0)))</f>
        <v>0</v>
      </c>
      <c r="FX98" s="409"/>
      <c r="FY98" s="398">
        <f>IF(FX98=0,0,IF(LEN(FM98)=11,_xlfn.XLOOKUP(FM98,'Dispensed Ink Rates'!C:C,'Dispensed Ink Rates'!CS:CS),VLOOKUP(FM98,'Jan-2026 rates'!$E:$F,2,0)))</f>
        <v>0</v>
      </c>
      <c r="FZ98" s="409"/>
      <c r="GA98" s="398">
        <f>IF(FZ98=0,0,IF(LEN(FN98)=11,_xlfn.XLOOKUP(FN98,'Dispensed Ink Rates'!C:C,'Dispensed Ink Rates'!CS:CS),VLOOKUP(FN98,'Jan-2026 rates'!$E:$F,2,0)))</f>
        <v>0</v>
      </c>
      <c r="GB98" s="409"/>
      <c r="GC98" s="398">
        <f>IF(GB98=0,0,IF(LEN(FO98)=11,_xlfn.XLOOKUP(FO98,'Dispensed Ink Rates'!C:C,'Dispensed Ink Rates'!CS:CS),VLOOKUP(FO98,'Jan-2026 rates'!$E:$F,2,0)))</f>
        <v>0</v>
      </c>
      <c r="GD98" s="409"/>
      <c r="GE98" s="398">
        <f>IF(GD98=0,0,IF(LEN(FP98)=11,_xlfn.XLOOKUP(FP98,'Dispensed Ink Rates'!C:C,'Dispensed Ink Rates'!CS:CS),VLOOKUP(FP98,'Jan-2026 rates'!$E:$F,2,0)))</f>
        <v>0</v>
      </c>
      <c r="GF98" s="409"/>
      <c r="GG98" s="398">
        <f>IF(GF98=0,0,IF(LEN(FQ98)=11,_xlfn.XLOOKUP(FQ98,'Dispensed Ink Rates'!C:C,'Dispensed Ink Rates'!CS:CS),VLOOKUP(FQ98,'Jan-2026 rates'!$E:$F,2,0)))</f>
        <v>0</v>
      </c>
      <c r="GH98" s="409" t="s">
        <v>1443</v>
      </c>
      <c r="GI98" s="409">
        <v>25</v>
      </c>
      <c r="GJ98" s="411">
        <f t="shared" si="94"/>
        <v>0</v>
      </c>
      <c r="GK98" s="411">
        <f t="shared" si="95"/>
        <v>30.209039548022602</v>
      </c>
      <c r="GL98" s="410">
        <f t="shared" si="96"/>
        <v>0</v>
      </c>
      <c r="GM98" s="405" t="s">
        <v>544</v>
      </c>
      <c r="GN98" s="409" t="s">
        <v>3154</v>
      </c>
      <c r="GO98" s="420" t="str">
        <f t="shared" si="58"/>
        <v>FLINTSL - MAGENTA</v>
      </c>
      <c r="GP98" s="409">
        <v>24</v>
      </c>
      <c r="GQ98" s="411">
        <f>IF(GP98=0,0,IF($LB98=70%,VLOOKUP($GO98,'Jan-2026 rates'!$L:$R,4,0),IF($LB98=65%,VLOOKUP($GO98,'Jan-2026 rates'!$L:$R,4,0),IF($LB98=40%,VLOOKUP($GO98,'Jan-2026 rates'!$L:$R,5,0),IF($LB98=30%,VLOOKUP($GO98,'Jan-2026 rates'!$L:$R,6,0),IF($LB98=100%,VLOOKUP($GO98,'Jan-2026 rates'!$L:$R,7,0),IF($LB98=60%,VLOOKUP($GO98,'Jan-2026 rates'!$L:$S,8,0),IF($LB98=80%,VLOOKUP($GO98,'Jan-2026 rates'!L:T,9,0),0))))))))</f>
        <v>0</v>
      </c>
      <c r="GR98" s="412" t="s">
        <v>3155</v>
      </c>
      <c r="GS98" s="409">
        <v>15</v>
      </c>
      <c r="GT98" s="411">
        <f>IF(GS98=0,0,IF($LB98=70%,VLOOKUP($GO98,'Jan-2026 rates'!$L:$R,4,0),IF($LB98=65%,VLOOKUP($GO98,'Jan-2026 rates'!$L:$R,4,0),IF($LB98=40%,VLOOKUP($GO98,'Jan-2026 rates'!$L:$R,5,0),IF($LB98=30%,VLOOKUP($GO98,'Jan-2026 rates'!$L:$R,6,0),IF($LB98=100%,VLOOKUP($GO98,'Jan-2026 rates'!$L:$R,7,0),IF($LB98=60%,VLOOKUP($GO98,'Jan-2026 rates'!$L:$S,8,0),IF($LB98=80%,VLOOKUP($GO98,'Jan-2026 rates'!L:T,9,0),0))))))))</f>
        <v>0</v>
      </c>
      <c r="GU98" s="413">
        <v>26508000011</v>
      </c>
      <c r="GV98" s="413"/>
      <c r="GW98" s="412"/>
      <c r="GX98" s="412"/>
      <c r="GY98" s="412"/>
      <c r="GZ98" s="412"/>
      <c r="HA98" s="412"/>
      <c r="HB98" s="412"/>
      <c r="HC98" s="409">
        <v>3</v>
      </c>
      <c r="HD98" s="398" t="e">
        <f>IF(HC98=0,0,IF(LEN(GU98)=11,_xlfn.XLOOKUP(GU98,'Dispensed Ink Rates'!C:C,'Dispensed Ink Rates'!CS:CS),VLOOKUP(GU98,'Jan-2026 rates'!$E:$F,2,0)))</f>
        <v>#N/A</v>
      </c>
      <c r="HE98" s="409"/>
      <c r="HF98" s="398">
        <f>IF(HE98=0,0,IF(LEN(GV98)=11,_xlfn.XLOOKUP(GV98,'Dispensed Ink Rates'!C:C,'Dispensed Ink Rates'!CS:CS),VLOOKUP(GV98,'Jan-2026 rates'!$E:$F,2,0)))</f>
        <v>0</v>
      </c>
      <c r="HG98" s="409"/>
      <c r="HH98" s="398">
        <f>IF(HG98=0,0,IF(LEN(GW98)=11,_xlfn.XLOOKUP(GW98,'Dispensed Ink Rates'!C:C,'Dispensed Ink Rates'!CS:CS),VLOOKUP(GW98,'Jan-2026 rates'!$E:$F,2,0)))</f>
        <v>0</v>
      </c>
      <c r="HI98" s="409"/>
      <c r="HJ98" s="398">
        <f>IF(HI98=0,0,IF(LEN(GX98)=11,_xlfn.XLOOKUP(GX98,'Dispensed Ink Rates'!C:C,'Dispensed Ink Rates'!CS:CS),VLOOKUP(GX98,'Jan-2026 rates'!$E:$F,2,0)))</f>
        <v>0</v>
      </c>
      <c r="HK98" s="409"/>
      <c r="HL98" s="398">
        <f>IF(HK98=0,0,IF(LEN(GY98)=11,_xlfn.XLOOKUP(GY98,'Dispensed Ink Rates'!C:C,'Dispensed Ink Rates'!CS:CS),VLOOKUP(GY98,'Jan-2026 rates'!$E:$F,2,0)))</f>
        <v>0</v>
      </c>
      <c r="HM98" s="409"/>
      <c r="HN98" s="398">
        <f>IF(HM98=0,0,IF(LEN(GZ98)=11,_xlfn.XLOOKUP(GZ98,'Dispensed Ink Rates'!C:C,'Dispensed Ink Rates'!CS:CS),VLOOKUP(GZ98,'Jan-2026 rates'!$E:$F,2,0)))</f>
        <v>0</v>
      </c>
      <c r="HO98" s="409"/>
      <c r="HP98" s="398">
        <f>IF(HO98=0,0,IF(LEN(HA98)=11,_xlfn.XLOOKUP(HA98,'Dispensed Ink Rates'!C:C,'Dispensed Ink Rates'!CS:CS),VLOOKUP(HA98,'Jan-2026 rates'!$E:$F,2,0)))</f>
        <v>0</v>
      </c>
      <c r="HQ98" s="409"/>
      <c r="HR98" s="398">
        <f>IF(HQ98=0,0,IF(LEN(HB98)=11,_xlfn.XLOOKUP(HB98,'Dispensed Ink Rates'!C:C,'Dispensed Ink Rates'!CS:CS),VLOOKUP(HB98,'Jan-2026 rates'!$E:$F,2,0)))</f>
        <v>0</v>
      </c>
      <c r="HS98" s="409" t="s">
        <v>1443</v>
      </c>
      <c r="HT98" s="409">
        <v>28</v>
      </c>
      <c r="HU98" s="411">
        <f t="shared" si="97"/>
        <v>0</v>
      </c>
      <c r="HV98" s="411">
        <f t="shared" si="98"/>
        <v>23.209039548022602</v>
      </c>
      <c r="HW98" s="414">
        <f t="shared" si="99"/>
        <v>0</v>
      </c>
      <c r="HX98" s="405" t="s">
        <v>545</v>
      </c>
      <c r="HY98" s="409" t="s">
        <v>3156</v>
      </c>
      <c r="HZ98" s="420" t="str">
        <f t="shared" si="59"/>
        <v>FLINTSL - YELLOW</v>
      </c>
      <c r="IA98" s="409">
        <v>27</v>
      </c>
      <c r="IB98" s="411">
        <f>IF(IA98=0,0,IF($LB98=70%,VLOOKUP($HZ98,'Jan-2026 rates'!$L:$R,4,0),IF($LB98=65%,VLOOKUP($HZ98,'Jan-2026 rates'!$L:$R,4,0),IF($LB98=40%,VLOOKUP($HZ98,'Jan-2026 rates'!$L:$R,5,0),IF($LB98=30%,VLOOKUP($HZ98,'Jan-2026 rates'!$L:$R,6,0),IF($LB98=100%,VLOOKUP($HZ98,'Jan-2026 rates'!$L:$R,7,0),IF($LB98=60%,VLOOKUP($HZ98,'Jan-2026 rates'!$L:$S,8,0),IF($LB98=80%,VLOOKUP($HZ98,'Jan-2026 rates'!L:T,9,0),0))))))))</f>
        <v>0</v>
      </c>
      <c r="IC98" s="412"/>
      <c r="ID98" s="409"/>
      <c r="IE98" s="411">
        <f>IF(ID98=0,0,IF($LB98=70%,VLOOKUP($HZ98,'Jan-2026 rates'!$L:$R,4,0),IF($LB98=65%,VLOOKUP($HZ98,'Jan-2026 rates'!$L:$R,4,0),IF($LB98=40%,VLOOKUP($HZ98,'Jan-2026 rates'!$L:$R,5,0),IF($LB98=30%,VLOOKUP($HZ98,'Jan-2026 rates'!$L:$R,6,0),IF($LB98=100%,VLOOKUP($HZ98,'Jan-2026 rates'!$L:$R,7,0),IF($LB98=60%,VLOOKUP($HZ98,'Jan-2026 rates'!$L:$S,8,0),IF($LB98=80%,VLOOKUP($HZ98,'Jan-2026 rates'!L:T,9,0),0))))))))</f>
        <v>0</v>
      </c>
      <c r="IF98" s="412">
        <v>26508000009</v>
      </c>
      <c r="IG98" s="413">
        <v>26508000012</v>
      </c>
      <c r="IH98" s="412" t="s">
        <v>1646</v>
      </c>
      <c r="II98" s="412" t="s">
        <v>1266</v>
      </c>
      <c r="IJ98" s="412">
        <v>26508000013</v>
      </c>
      <c r="IK98" s="412"/>
      <c r="IL98" s="412"/>
      <c r="IM98" s="412"/>
      <c r="IN98" s="409">
        <v>30</v>
      </c>
      <c r="IO98" s="398" t="e">
        <f>IF(IN98=0,0,IF(LEN(IF98)=11,_xlfn.XLOOKUP(IF98,'Dispensed Ink Rates'!C:C,'Dispensed Ink Rates'!CS:CS),VLOOKUP(IF98,'Jan-2026 rates'!$E:$F,2,0)))</f>
        <v>#N/A</v>
      </c>
      <c r="IP98" s="409">
        <v>40</v>
      </c>
      <c r="IQ98" s="398" t="e">
        <f>IF(IP98=0,0,IF(LEN(IG98)=11,_xlfn.XLOOKUP(IG98,'Dispensed Ink Rates'!C:C,'Dispensed Ink Rates'!CS:CS),VLOOKUP(IG98,'Jan-2026 rates'!$E:$F,2,0)))</f>
        <v>#N/A</v>
      </c>
      <c r="IR98" s="409">
        <v>20</v>
      </c>
      <c r="IS98" s="398">
        <f>IF(IR98=0,0,IF(LEN(IH98)=11,_xlfn.XLOOKUP(IH98,'Dispensed Ink Rates'!C:C,'Dispensed Ink Rates'!CS:CS),VLOOKUP(IH98,'Jan-2026 rates'!$E:$F,2,0)))</f>
        <v>0</v>
      </c>
      <c r="IT98" s="409">
        <v>15</v>
      </c>
      <c r="IU98" s="398">
        <f>IF(IT98=0,0,IF(LEN(II98)=11,_xlfn.XLOOKUP(II98,'Dispensed Ink Rates'!C:C,'Dispensed Ink Rates'!CS:CS),VLOOKUP(II98,'Jan-2026 rates'!$E:$F,2,0)))</f>
        <v>0</v>
      </c>
      <c r="IV98" s="409">
        <v>100</v>
      </c>
      <c r="IW98" s="398" t="e">
        <f>IF(IV98=0,0,IF(LEN(IJ98)=11,_xlfn.XLOOKUP(IJ98,'Dispensed Ink Rates'!C:C,'Dispensed Ink Rates'!CS:CS),VLOOKUP(IJ98,'Jan-2026 rates'!$E:$F,2,0)))</f>
        <v>#N/A</v>
      </c>
      <c r="IX98" s="409"/>
      <c r="IY98" s="398">
        <f>IF(IX98=0,0,IF(LEN(IK98)=11,_xlfn.XLOOKUP(IK98,'Dispensed Ink Rates'!C:C,'Dispensed Ink Rates'!CS:CS),VLOOKUP(IK98,'Jan-2026 rates'!$E:$F,2,0)))</f>
        <v>0</v>
      </c>
      <c r="IZ98" s="409"/>
      <c r="JA98" s="398">
        <f>IF(IZ98=0,0,IF(LEN(IL98)=11,_xlfn.XLOOKUP(IL98,'Dispensed Ink Rates'!C:C,'Dispensed Ink Rates'!CS:CS),VLOOKUP(IL98,'Jan-2026 rates'!$E:$F,2,0)))</f>
        <v>0</v>
      </c>
      <c r="JB98" s="409"/>
      <c r="JC98" s="398">
        <f>IF(JB98=0,0,IF(LEN(IM98)=11,_xlfn.XLOOKUP(IM98,'Dispensed Ink Rates'!C:C,'Dispensed Ink Rates'!CS:CS),VLOOKUP(IM98,'Jan-2026 rates'!$E:$F,2,0)))</f>
        <v>0</v>
      </c>
      <c r="JD98" s="409" t="s">
        <v>1443</v>
      </c>
      <c r="JE98" s="409">
        <v>25</v>
      </c>
      <c r="JF98" s="411">
        <f t="shared" si="100"/>
        <v>0</v>
      </c>
      <c r="JG98" s="411">
        <f t="shared" si="101"/>
        <v>243.83615819209041</v>
      </c>
      <c r="JH98" s="410">
        <f t="shared" si="102"/>
        <v>0</v>
      </c>
      <c r="JI98" s="405" t="s">
        <v>856</v>
      </c>
      <c r="JJ98" s="409" t="s">
        <v>3157</v>
      </c>
      <c r="JK98" s="420" t="str">
        <f t="shared" si="60"/>
        <v>FLINTSL - WHITE</v>
      </c>
      <c r="JL98" s="409">
        <v>29</v>
      </c>
      <c r="JM98" s="411">
        <f>IF(JL98=0,0,IF($LB98=70%,VLOOKUP($JK98,'Jan-2026 rates'!$L:$R,4,0),IF($LB98=65%,VLOOKUP($JK98,'Jan-2026 rates'!$L:$R,4,0),IF($LB98=40%,VLOOKUP($JK98,'Jan-2026 rates'!$L:$R,5,0),IF($LB98=30%,VLOOKUP($JK98,'Jan-2026 rates'!$L:$R,6,0),IF($LB98=100%,VLOOKUP($JK98,'Jan-2026 rates'!$L:$R,7,0),IF($LB98=60%,VLOOKUP($JK98,'Jan-2026 rates'!$L:$S,8,0),IF($LB98=80%,VLOOKUP($JK98,'Jan-2026 rates'!L:T,9,0),0))))))))</f>
        <v>0</v>
      </c>
      <c r="JN98" s="412"/>
      <c r="JO98" s="409"/>
      <c r="JP98" s="411">
        <f>IF(JO98=0,0,IF($LB98=70%,VLOOKUP($JK98,'Jan-2026 rates'!$L:$R,4,0),IF($LB98=65%,VLOOKUP($JK98,'Jan-2026 rates'!$L:$R,4,0),IF($LB98=40%,VLOOKUP($JK98,'Jan-2026 rates'!$L:$R,5,0),IF($LB98=30%,VLOOKUP($JK98,'Jan-2026 rates'!$L:$R,6,0),IF($LB98=100%,VLOOKUP($JK98,'Jan-2026 rates'!$L:$R,7,0),IF($LB98=60%,VLOOKUP($JK98,'Jan-2026 rates'!$L:$S,8,0),IF($LB98=80%,VLOOKUP($JK98,'Jan-2026 rates'!L:T,9,0),0))))))))</f>
        <v>0</v>
      </c>
      <c r="JQ98" s="413" t="s">
        <v>484</v>
      </c>
      <c r="JR98" s="412"/>
      <c r="JS98" s="413"/>
      <c r="JT98" s="413"/>
      <c r="JU98" s="412"/>
      <c r="JV98" s="412"/>
      <c r="JW98" s="412"/>
      <c r="JX98" s="412"/>
      <c r="JY98" s="409">
        <f>100+100</f>
        <v>200</v>
      </c>
      <c r="JZ98" s="398">
        <f>IF(JY98=0,0,IF(LEN(JQ98)=11,_xlfn.XLOOKUP(JQ98,'Dispensed Ink Rates'!C:C,'Dispensed Ink Rates'!CS:CS),VLOOKUP(JQ98,'Jan-2026 rates'!$E:$F,2,0)))</f>
        <v>0</v>
      </c>
      <c r="KA98" s="409"/>
      <c r="KB98" s="398">
        <f>IF(KA98=0,0,IF(LEN(JR98)=11,_xlfn.XLOOKUP(JR98,'Dispensed Ink Rates'!C:C,'Dispensed Ink Rates'!CS:CS),VLOOKUP(JR98,'Jan-2026 rates'!$E:$F,2,0)))</f>
        <v>0</v>
      </c>
      <c r="KC98" s="409"/>
      <c r="KD98" s="398">
        <f>IF(KC98=0,0,IF(LEN(JS98)=11,_xlfn.XLOOKUP(JS98,'Dispensed Ink Rates'!C:C,'Dispensed Ink Rates'!CS:CS),VLOOKUP(JS98,'Jan-2026 rates'!$E:$F,2,0)))</f>
        <v>0</v>
      </c>
      <c r="KE98" s="409"/>
      <c r="KF98" s="398">
        <f>IF(KE98=0,0,IF(LEN(JT98)=11,_xlfn.XLOOKUP(JT98,'Dispensed Ink Rates'!C:C,'Dispensed Ink Rates'!CS:CS),VLOOKUP(JT98,'Jan-2026 rates'!$E:$F,2,0)))</f>
        <v>0</v>
      </c>
      <c r="KG98" s="409"/>
      <c r="KH98" s="398">
        <f>IF(KG98=0,0,IF(LEN(JU98)=11,_xlfn.XLOOKUP(JU98,'Dispensed Ink Rates'!C:C,'Dispensed Ink Rates'!CS:CS),VLOOKUP(JU98,'Jan-2026 rates'!$E:$F,2,0)))</f>
        <v>0</v>
      </c>
      <c r="KI98" s="409"/>
      <c r="KJ98" s="398">
        <f>IF(KI98=0,0,IF(LEN(JV98)=11,_xlfn.XLOOKUP(JV98,'Dispensed Ink Rates'!C:C,'Dispensed Ink Rates'!CS:CS),VLOOKUP(JV98,'Jan-2026 rates'!$E:$F,2,0)))</f>
        <v>0</v>
      </c>
      <c r="KK98" s="409"/>
      <c r="KL98" s="398">
        <f>IF(KK98=0,0,IF(LEN(JW98)=11,_xlfn.XLOOKUP(JW98,'Dispensed Ink Rates'!C:C,'Dispensed Ink Rates'!CS:CS),VLOOKUP(JW98,'Jan-2026 rates'!$E:$F,2,0)))</f>
        <v>0</v>
      </c>
      <c r="KM98" s="428"/>
      <c r="KN98" s="398">
        <f>IF(KM98=0,0,IF(LEN(JX98)=11,_xlfn.XLOOKUP(JX98,'Dispensed Ink Rates'!C:C,'Dispensed Ink Rates'!CS:CS),VLOOKUP(JX98,'Jan-2026 rates'!$E:$F,2,0)))</f>
        <v>0</v>
      </c>
      <c r="KO98" s="409" t="s">
        <v>1443</v>
      </c>
      <c r="KP98" s="409">
        <v>30</v>
      </c>
      <c r="KQ98" s="411">
        <f t="shared" si="103"/>
        <v>0</v>
      </c>
      <c r="KR98" s="411">
        <f t="shared" si="104"/>
        <v>420.01694915254234</v>
      </c>
      <c r="KS98" s="410">
        <f t="shared" si="105"/>
        <v>0</v>
      </c>
      <c r="KT98" s="409">
        <v>10</v>
      </c>
      <c r="KU98" s="409">
        <v>2</v>
      </c>
      <c r="KV98" s="409">
        <v>5</v>
      </c>
      <c r="KW98" s="409">
        <v>10</v>
      </c>
      <c r="KX98" s="409">
        <v>5</v>
      </c>
      <c r="KY98" s="409">
        <v>5</v>
      </c>
      <c r="KZ98" s="409">
        <v>20</v>
      </c>
      <c r="LA98" s="409">
        <f>60+60</f>
        <v>120</v>
      </c>
      <c r="LB98" s="415">
        <v>0.8</v>
      </c>
      <c r="LC98" s="415">
        <v>0.2</v>
      </c>
      <c r="LD98" s="415"/>
      <c r="LE98" s="415"/>
      <c r="LF98" s="415"/>
      <c r="LG98" s="409">
        <v>0</v>
      </c>
      <c r="LH98" s="409">
        <f>140+40+104+26+5+5+6</f>
        <v>326</v>
      </c>
      <c r="LI98" s="409">
        <v>0</v>
      </c>
      <c r="LJ98" s="409">
        <v>0</v>
      </c>
      <c r="LK98" s="416">
        <f t="shared" si="61"/>
        <v>326</v>
      </c>
      <c r="LL98" s="416">
        <f t="shared" si="62"/>
        <v>326</v>
      </c>
      <c r="LM98" s="417">
        <f t="shared" si="63"/>
        <v>260.8</v>
      </c>
      <c r="LN98" s="417">
        <f>VLOOKUP($LM$8,'Jan-2026 rates'!$H:$I,2,0)</f>
        <v>0</v>
      </c>
      <c r="LO98" s="417">
        <f t="shared" si="64"/>
        <v>65.2</v>
      </c>
      <c r="LP98" s="417">
        <f>VLOOKUP($LO$8,'Jan-2026 rates'!$H:$I,2,0)</f>
        <v>0</v>
      </c>
      <c r="LQ98" s="417">
        <f t="shared" si="65"/>
        <v>0</v>
      </c>
      <c r="LR98" s="417">
        <f>VLOOKUP($LQ$8,'Jan-2026 rates'!$H:$I,2,0)</f>
        <v>0</v>
      </c>
      <c r="LS98" s="417">
        <f t="shared" si="66"/>
        <v>0</v>
      </c>
      <c r="LT98" s="417">
        <f>VLOOKUP($LS$8,'Jan-2026 rates'!$H:$I,2,0)</f>
        <v>0</v>
      </c>
      <c r="LU98" s="417">
        <f t="shared" si="67"/>
        <v>0</v>
      </c>
      <c r="LV98" s="417">
        <f>VLOOKUP($LU$8,'Jan-2026 rates'!$H:$I,2,0)</f>
        <v>0</v>
      </c>
      <c r="LW98" s="417">
        <f t="shared" si="68"/>
        <v>0</v>
      </c>
      <c r="LX98" s="417">
        <f t="shared" si="69"/>
        <v>0</v>
      </c>
      <c r="LY98" s="418">
        <f t="shared" si="70"/>
        <v>0</v>
      </c>
      <c r="LZ98" s="417"/>
      <c r="MA98" s="435">
        <f t="shared" si="71"/>
        <v>445</v>
      </c>
      <c r="MB98" s="282">
        <f t="shared" si="72"/>
        <v>790</v>
      </c>
      <c r="MC98" s="283">
        <v>53</v>
      </c>
      <c r="MD98" s="284" t="str">
        <f t="shared" si="73"/>
        <v>FLINTSLFLINTSLFLINTSLFLINTSLFLINTSLFLINTSLFLINTSLFLINTSL</v>
      </c>
      <c r="ME98" s="293" t="str">
        <f t="shared" si="74"/>
        <v>+</v>
      </c>
      <c r="MF98" s="293" t="str">
        <f t="shared" si="75"/>
        <v>+</v>
      </c>
      <c r="MG98" s="293" t="str">
        <f t="shared" si="76"/>
        <v>+</v>
      </c>
      <c r="MH98" s="293" t="str">
        <f t="shared" si="77"/>
        <v>+</v>
      </c>
      <c r="MI98" s="293" t="str">
        <f t="shared" si="78"/>
        <v>+</v>
      </c>
      <c r="MJ98" s="293" t="str">
        <f t="shared" si="79"/>
        <v>+</v>
      </c>
      <c r="MK98" s="293" t="str">
        <f t="shared" si="80"/>
        <v>+</v>
      </c>
      <c r="ML98" s="293" t="str">
        <f t="shared" si="81"/>
        <v>+</v>
      </c>
      <c r="MM98" s="3" t="b">
        <f t="array" ref="MM98">OR(ME98:ML98="-")</f>
        <v>0</v>
      </c>
      <c r="MN98" s="285"/>
      <c r="MO98" s="401"/>
      <c r="MP98" s="286"/>
      <c r="MQ98" s="286"/>
      <c r="MR98" s="402"/>
      <c r="MS98" s="400"/>
      <c r="NH98" s="422"/>
      <c r="NJ98" s="421"/>
    </row>
    <row r="99" spans="1:374" s="1" customFormat="1" ht="16.5">
      <c r="A99" s="403">
        <v>46030</v>
      </c>
      <c r="B99" s="404" t="s">
        <v>1015</v>
      </c>
      <c r="C99" s="405" t="s">
        <v>3158</v>
      </c>
      <c r="D99" s="406">
        <v>54</v>
      </c>
      <c r="E99" s="404">
        <v>729</v>
      </c>
      <c r="F99" s="407">
        <v>44600</v>
      </c>
      <c r="G99" s="407" t="s">
        <v>1019</v>
      </c>
      <c r="H99" s="408" t="s">
        <v>1017</v>
      </c>
      <c r="I99" s="409">
        <v>1.7</v>
      </c>
      <c r="J99" s="405" t="s">
        <v>543</v>
      </c>
      <c r="K99" s="404" t="s">
        <v>3159</v>
      </c>
      <c r="L99" s="419" t="str">
        <f t="shared" si="54"/>
        <v>FLINTSL - BLACK</v>
      </c>
      <c r="M99" s="404">
        <v>27</v>
      </c>
      <c r="N99" s="410">
        <f>IF(M99=0,0,IF($LB99=70%,VLOOKUP($L99,'Jan-2026 rates'!$L:$R,4,0),IF($LB99=65%,VLOOKUP($L99,'Jan-2026 rates'!$L:$R,4,0),IF($LB99=40%,VLOOKUP($L99,'Jan-2026 rates'!$L:$R,5,0),IF($LB99=30%,VLOOKUP($L99,'Jan-2026 rates'!$L:$R,6,0),IF($LB99=100%,VLOOKUP($L99,'Jan-2026 rates'!$L:$R,7,0),IF($LB99=60%,VLOOKUP($L99,'Jan-2026 rates'!$L:$S,8,0),IF($LB99=80%,VLOOKUP($L99,'Jan-2026 rates'!L:T,9,0),0))))))))</f>
        <v>0</v>
      </c>
      <c r="O99" s="406"/>
      <c r="P99" s="404"/>
      <c r="Q99" s="410">
        <f>IF(P99=0,0,IF($LB99=70%,VLOOKUP($L99,'Jan-2026 rates'!$L:$R,4,0),IF($LB99=65%,VLOOKUP($L99,'Jan-2026 rates'!$L:$R,4,0),IF($LB99=40%,VLOOKUP($L99,'Jan-2026 rates'!$L:$R,5,0),IF($LB99=30%,VLOOKUP($L99,'Jan-2026 rates'!$L:$R,6,0),IF($LB99=100%,VLOOKUP($L99,'Jan-2026 rates'!$L:$R,7,0),IF($LB99=60%,VLOOKUP($L99,'Jan-2026 rates'!$L:$S,8,0),IF($LB99=80%,VLOOKUP($L99,'Jan-2026 rates'!L:T,9,0),0))))))))</f>
        <v>0</v>
      </c>
      <c r="R99" s="406">
        <v>26507000010</v>
      </c>
      <c r="S99" s="406"/>
      <c r="T99" s="406"/>
      <c r="U99" s="406"/>
      <c r="V99" s="406"/>
      <c r="W99" s="406"/>
      <c r="X99" s="406"/>
      <c r="Y99" s="406"/>
      <c r="Z99" s="404">
        <v>12</v>
      </c>
      <c r="AA99" s="398" t="e">
        <f>IF(Z99=0,0,IF(LEN(R99)=11,_xlfn.XLOOKUP(R99,'Dispensed Ink Rates'!C:C,'Dispensed Ink Rates'!CS:CS),VLOOKUP(R99,'Jan-2026 rates'!$E:$F,2,0)))</f>
        <v>#N/A</v>
      </c>
      <c r="AB99" s="404"/>
      <c r="AC99" s="398">
        <f>IF(AB99=0,0,IF(LEN(S99)=11,_xlfn.XLOOKUP(S99,'Dispensed Ink Rates'!C:C,'Dispensed Ink Rates'!CS:CS),VLOOKUP(S99,'Jan-2026 rates'!$E:$F,2,0)))</f>
        <v>0</v>
      </c>
      <c r="AD99" s="404"/>
      <c r="AE99" s="398">
        <f>IF(AD99=0,0,IF(LEN(T99)=11,_xlfn.XLOOKUP(T99,'Dispensed Ink Rates'!C:C,'Dispensed Ink Rates'!CS:CS),VLOOKUP(T99,'Jan-2026 rates'!$E:$F,2,0)))</f>
        <v>0</v>
      </c>
      <c r="AF99" s="404"/>
      <c r="AG99" s="398">
        <f>IF(AF99=0,0,IF(LEN(U99)=11,_xlfn.XLOOKUP(U99,'Dispensed Ink Rates'!C:C,'Dispensed Ink Rates'!CS:CS),VLOOKUP(U99,'Jan-2026 rates'!$E:$F,2,0)))</f>
        <v>0</v>
      </c>
      <c r="AH99" s="404"/>
      <c r="AI99" s="398">
        <f>IF(AH99=0,0,IF(LEN(V99)=11,_xlfn.XLOOKUP(V99,'Dispensed Ink Rates'!C:C,'Dispensed Ink Rates'!CS:CS),VLOOKUP(V99,'Jan-2026 rates'!$E:$F,2,0)))</f>
        <v>0</v>
      </c>
      <c r="AJ99" s="404"/>
      <c r="AK99" s="398">
        <f>IF(AJ99=0,0,IF(LEN(W99)=11,_xlfn.XLOOKUP(W99,'Dispensed Ink Rates'!C:C,'Dispensed Ink Rates'!CS:CS),VLOOKUP(W99,'Jan-2026 rates'!$E:$F,2,0)))</f>
        <v>0</v>
      </c>
      <c r="AL99" s="404"/>
      <c r="AM99" s="398">
        <f>IF(AL99=0,0,IF(LEN(X99)=11,_xlfn.XLOOKUP(X99,'Dispensed Ink Rates'!C:C,'Dispensed Ink Rates'!CS:CS),VLOOKUP(X99,'Jan-2026 rates'!$E:$F,2,0)))</f>
        <v>0</v>
      </c>
      <c r="AN99" s="404"/>
      <c r="AO99" s="398">
        <f>IF(AN99=0,0,IF(LEN(Y99)=11,_xlfn.XLOOKUP(Y99,'Dispensed Ink Rates'!C:C,'Dispensed Ink Rates'!CS:CS),VLOOKUP(Y99,'Jan-2026 rates'!$E:$F,2,0)))</f>
        <v>0</v>
      </c>
      <c r="AP99" s="409" t="s">
        <v>1443</v>
      </c>
      <c r="AQ99" s="409">
        <v>28</v>
      </c>
      <c r="AR99" s="410">
        <f t="shared" si="82"/>
        <v>0</v>
      </c>
      <c r="AS99" s="411">
        <f t="shared" si="83"/>
        <v>14.591549295774648</v>
      </c>
      <c r="AT99" s="410">
        <f t="shared" si="84"/>
        <v>0</v>
      </c>
      <c r="AU99" s="405" t="s">
        <v>857</v>
      </c>
      <c r="AV99" s="409" t="s">
        <v>3132</v>
      </c>
      <c r="AW99" s="420" t="str">
        <f t="shared" si="53"/>
        <v>FLINTSL - RED</v>
      </c>
      <c r="AX99" s="409">
        <v>23</v>
      </c>
      <c r="AY99" s="411">
        <f>IF(AX99=0,0,IF($LB99=70%,VLOOKUP($AW99,'Jan-2026 rates'!$L:$R,4,0),IF($LB99=65%,VLOOKUP($AW99,'Jan-2026 rates'!$L:$R,4,0),IF($LB99=40%,VLOOKUP($AW99,'Jan-2026 rates'!$L:$R,5,0),IF($LB99=30%,VLOOKUP($AW99,'Jan-2026 rates'!$L:$R,6,0),IF($LB99=100%,VLOOKUP($AW99,'Jan-2026 rates'!$L:$R,7,0),IF($LB99=60%,VLOOKUP($AW99,'Jan-2026 rates'!$L:$S,8,0),IF($LB99=80%,VLOOKUP($AW99,'Jan-2026 rates'!L:T,9,0),0))))))))</f>
        <v>0</v>
      </c>
      <c r="AZ99" s="412" t="s">
        <v>3160</v>
      </c>
      <c r="BA99" s="409">
        <v>14</v>
      </c>
      <c r="BB99" s="411">
        <f>IF(BA99=0,0,IF($LB99=70%,VLOOKUP($AW99,'Jan-2026 rates'!$L:$R,4,0),IF($LB99=65%,VLOOKUP($AW99,'Jan-2026 rates'!$L:$R,4,0),IF($LB99=40%,VLOOKUP($AW99,'Jan-2026 rates'!$L:$R,5,0),IF($LB99=30%,VLOOKUP($AW99,'Jan-2026 rates'!$L:$R,6,0),IF($LB99=100%,VLOOKUP($AW99,'Jan-2026 rates'!$L:$R,7,0),IF($LB99=60%,VLOOKUP($AW99,'Jan-2026 rates'!$L:$S,8,0),IF($LB99=80%,VLOOKUP($AW99,'Jan-2026 rates'!L:T,9,0),0))))))))</f>
        <v>0</v>
      </c>
      <c r="BC99" s="413">
        <v>25863000007</v>
      </c>
      <c r="BD99" s="412" t="s">
        <v>1266</v>
      </c>
      <c r="BE99" s="412"/>
      <c r="BF99" s="413"/>
      <c r="BG99" s="412"/>
      <c r="BH99" s="412"/>
      <c r="BI99" s="412"/>
      <c r="BJ99" s="412"/>
      <c r="BK99" s="409">
        <v>5</v>
      </c>
      <c r="BL99" s="398" t="e">
        <f>IF(BK99=0,0,IF(LEN(BC99)=11,_xlfn.XLOOKUP(BC99,'Dispensed Ink Rates'!C:C,'Dispensed Ink Rates'!CS:CS),VLOOKUP(BC99,'Jan-2026 rates'!$E:$F,2,0)))</f>
        <v>#N/A</v>
      </c>
      <c r="BM99" s="409">
        <v>7</v>
      </c>
      <c r="BN99" s="398">
        <f>IF(BM99=0,0,IF(LEN(BD99)=11,_xlfn.XLOOKUP(BD99,'Dispensed Ink Rates'!C:C,'Dispensed Ink Rates'!CS:CS),VLOOKUP(BD99,'Jan-2026 rates'!$E:$F,2,0)))</f>
        <v>0</v>
      </c>
      <c r="BO99" s="409"/>
      <c r="BP99" s="398">
        <f>IF(BO99=0,0,IF(LEN(BE99)=11,_xlfn.XLOOKUP(BE99,'Dispensed Ink Rates'!C:C,'Dispensed Ink Rates'!CS:CS),VLOOKUP(BE99,'Jan-2026 rates'!$E:$F,2,0)))</f>
        <v>0</v>
      </c>
      <c r="BQ99" s="409"/>
      <c r="BR99" s="398">
        <f>IF(BQ99=0,0,IF(LEN(BF99)=11,_xlfn.XLOOKUP(BF99,'Dispensed Ink Rates'!C:C,'Dispensed Ink Rates'!CS:CS),VLOOKUP(BF99,'Jan-2026 rates'!$E:$F,2,0)))</f>
        <v>0</v>
      </c>
      <c r="BS99" s="409"/>
      <c r="BT99" s="398">
        <f>IF(BS99=0,0,IF(LEN(BG99)=11,_xlfn.XLOOKUP(BG99,'Dispensed Ink Rates'!C:C,'Dispensed Ink Rates'!CS:CS),VLOOKUP(BG99,'Jan-2026 rates'!$E:$F,2,0)))</f>
        <v>0</v>
      </c>
      <c r="BU99" s="409"/>
      <c r="BV99" s="398">
        <f>IF(BU99=0,0,IF(LEN(BH99)=11,_xlfn.XLOOKUP(BH99,'Dispensed Ink Rates'!C:C,'Dispensed Ink Rates'!CS:CS),VLOOKUP(BH99,'Jan-2026 rates'!$E:$F,2,0)))</f>
        <v>0</v>
      </c>
      <c r="BW99" s="409"/>
      <c r="BX99" s="398">
        <f>IF(BW99=0,0,IF(LEN(BI99)=11,_xlfn.XLOOKUP(BI99,'Dispensed Ink Rates'!C:C,'Dispensed Ink Rates'!CS:CS),VLOOKUP(BI99,'Jan-2026 rates'!$E:$F,2,0)))</f>
        <v>0</v>
      </c>
      <c r="BY99" s="409"/>
      <c r="BZ99" s="398">
        <f>IF(BY99=0,0,IF(LEN(BJ99)=11,_xlfn.XLOOKUP(BJ99,'Dispensed Ink Rates'!C:C,'Dispensed Ink Rates'!CS:CS),VLOOKUP(BJ99,'Jan-2026 rates'!$E:$F,2,0)))</f>
        <v>0</v>
      </c>
      <c r="CA99" s="409" t="s">
        <v>1443</v>
      </c>
      <c r="CB99" s="409">
        <v>40</v>
      </c>
      <c r="CC99" s="411">
        <f t="shared" si="85"/>
        <v>0</v>
      </c>
      <c r="CD99" s="411">
        <f t="shared" si="86"/>
        <v>35.936619718309856</v>
      </c>
      <c r="CE99" s="410">
        <f t="shared" si="87"/>
        <v>0</v>
      </c>
      <c r="CF99" s="404" t="s">
        <v>855</v>
      </c>
      <c r="CG99" s="409" t="s">
        <v>3161</v>
      </c>
      <c r="CH99" s="420" t="str">
        <f t="shared" si="55"/>
        <v>FLINTSL - CYAN</v>
      </c>
      <c r="CI99" s="409">
        <v>25</v>
      </c>
      <c r="CJ99" s="411">
        <f>IF(CI99=0,0,IF($LB99=70%,VLOOKUP($CH99,'Jan-2026 rates'!$L:$R,4,0),IF($LB99=65%,VLOOKUP($CH99,'Jan-2026 rates'!$L:$R,4,0),IF($LB99=40%,VLOOKUP($CH99,'Jan-2026 rates'!$L:$R,5,0),IF($LB99=30%,VLOOKUP($CH99,'Jan-2026 rates'!$L:$R,6,0),IF($LB99=100%,VLOOKUP($CH99,'Jan-2026 rates'!$L:$R,7,0),IF($LB99=60%,VLOOKUP($CH99,'Jan-2026 rates'!$L:$S,8,0),IF($LB99=80%,VLOOKUP($CH99,'Jan-2026 rates'!L:T,9,0),0))))))))</f>
        <v>0</v>
      </c>
      <c r="CK99" s="412"/>
      <c r="CL99" s="409"/>
      <c r="CM99" s="411">
        <f>IF(CL99=0,0,IF($LB99=70%,VLOOKUP($CH99,'Jan-2026 rates'!$L:$R,4,0),IF($LB99=65%,VLOOKUP($CH99,'Jan-2026 rates'!$L:$R,4,0),IF($LB99=40%,VLOOKUP($CH99,'Jan-2026 rates'!$L:$R,5,0),IF($LB99=30%,VLOOKUP($CH99,'Jan-2026 rates'!$L:$R,6,0),IF($LB99=100%,VLOOKUP($CH99,'Jan-2026 rates'!$L:$R,7,0),IF($LB99=60%,VLOOKUP($CH99,'Jan-2026 rates'!$L:$S,8,0),IF($LB99=80%,VLOOKUP($CH99,'Jan-2026 rates'!L:T,9,0),0))))))))</f>
        <v>0</v>
      </c>
      <c r="CN99" s="426" t="s">
        <v>1266</v>
      </c>
      <c r="CO99" s="427"/>
      <c r="CP99" s="426"/>
      <c r="CQ99" s="426"/>
      <c r="CR99" s="428"/>
      <c r="CS99" s="428"/>
      <c r="CT99" s="428"/>
      <c r="CU99" s="428"/>
      <c r="CV99" s="409">
        <v>5</v>
      </c>
      <c r="CW99" s="398">
        <f>IF(CV99=0,0,IF(LEN(CN99)=11,_xlfn.XLOOKUP(CN99,'Dispensed Ink Rates'!C:C,'Dispensed Ink Rates'!CS:CS),VLOOKUP(CN99,'Jan-2026 rates'!$E:$F,2,0)))</f>
        <v>0</v>
      </c>
      <c r="CX99" s="409"/>
      <c r="CY99" s="398">
        <f>IF(CX99=0,0,IF(LEN(CO99)=11,_xlfn.XLOOKUP(CO99,'Dispensed Ink Rates'!C:C,'Dispensed Ink Rates'!CS:CS),VLOOKUP(CO99,'Jan-2026 rates'!$E:$F,2,0)))</f>
        <v>0</v>
      </c>
      <c r="CZ99" s="409"/>
      <c r="DA99" s="398">
        <f>IF(CZ99=0,0,IF(LEN(CP99)=11,_xlfn.XLOOKUP(CP99,'Dispensed Ink Rates'!C:C,'Dispensed Ink Rates'!CS:CS),VLOOKUP(CP99,'Jan-2026 rates'!$E:$F,2,0)))</f>
        <v>0</v>
      </c>
      <c r="DB99" s="409"/>
      <c r="DC99" s="398">
        <f>IF(DB99=0,0,IF(LEN(CQ99)=11,_xlfn.XLOOKUP(CQ99,'Dispensed Ink Rates'!C:C,'Dispensed Ink Rates'!CS:CS),VLOOKUP(CQ99,'Jan-2026 rates'!$E:$F,2,0)))</f>
        <v>0</v>
      </c>
      <c r="DD99" s="409"/>
      <c r="DE99" s="398">
        <f>IF(DD99=0,0,IF(LEN(CR99)=11,_xlfn.XLOOKUP(CR99,'Dispensed Ink Rates'!C:C,'Dispensed Ink Rates'!CS:CS),VLOOKUP(CR99,'Jan-2026 rates'!$E:$F,2,0)))</f>
        <v>0</v>
      </c>
      <c r="DF99" s="409"/>
      <c r="DG99" s="398">
        <f>IF(DF99=0,0,IF(LEN(CS99)=11,_xlfn.XLOOKUP(CS99,'Dispensed Ink Rates'!C:C,'Dispensed Ink Rates'!CS:CS),VLOOKUP(CS99,'Jan-2026 rates'!$E:$F,2,0)))</f>
        <v>0</v>
      </c>
      <c r="DH99" s="409"/>
      <c r="DI99" s="398">
        <f>IF(DH99=0,0,IF(LEN(CT99)=11,_xlfn.XLOOKUP(CT99,'Dispensed Ink Rates'!C:C,'Dispensed Ink Rates'!CS:CS),VLOOKUP(CT99,'Jan-2026 rates'!$E:$F,2,0)))</f>
        <v>0</v>
      </c>
      <c r="DJ99" s="409"/>
      <c r="DK99" s="398">
        <f>IF(DJ99=0,0,IF(LEN(CU99)=11,_xlfn.XLOOKUP(CU99,'Dispensed Ink Rates'!C:C,'Dispensed Ink Rates'!CS:CS),VLOOKUP(CU99,'Jan-2026 rates'!$E:$F,2,0)))</f>
        <v>0</v>
      </c>
      <c r="DL99" s="409" t="s">
        <v>1443</v>
      </c>
      <c r="DM99" s="409">
        <v>30</v>
      </c>
      <c r="DN99" s="411">
        <f t="shared" si="88"/>
        <v>0</v>
      </c>
      <c r="DO99" s="411">
        <f t="shared" si="89"/>
        <v>12.570422535211264</v>
      </c>
      <c r="DP99" s="410">
        <f t="shared" si="90"/>
        <v>0</v>
      </c>
      <c r="DQ99" s="405" t="s">
        <v>544</v>
      </c>
      <c r="DR99" s="409" t="s">
        <v>3162</v>
      </c>
      <c r="DS99" s="420" t="str">
        <f t="shared" si="56"/>
        <v>FLINTSL - MAGENTA</v>
      </c>
      <c r="DT99" s="409">
        <v>28</v>
      </c>
      <c r="DU99" s="411">
        <f>IF(DT99=0,0,IF($LB99=70%,VLOOKUP($DS99,'Jan-2026 rates'!$L:$R,4,0),IF($LB99=65%,VLOOKUP($DS99,'Jan-2026 rates'!$L:$R,4,0),IF($LB99=40%,VLOOKUP($DS99,'Jan-2026 rates'!$L:$R,5,0),IF($LB99=30%,VLOOKUP($DS99,'Jan-2026 rates'!$L:$R,6,0),IF($LB99=100%,VLOOKUP($DS99,'Jan-2026 rates'!$L:$R,7,0),IF($LB99=60%,VLOOKUP($DS99,'Jan-2026 rates'!$L:$S,8,0),IF($LB99=80%,VLOOKUP($DS99,'Jan-2026 rates'!L:T,9,0),0))))))))</f>
        <v>0</v>
      </c>
      <c r="DV99" s="412"/>
      <c r="DW99" s="409"/>
      <c r="DX99" s="411">
        <f>IF(DW99=0,0,IF($LB99=70%,VLOOKUP($DS99,'Jan-2026 rates'!$L:$R,4,0),IF($LB99=65%,VLOOKUP($DS99,'Jan-2026 rates'!$L:$R,4,0),IF($LB99=40%,VLOOKUP($DS99,'Jan-2026 rates'!$L:$R,5,0),IF($LB99=30%,VLOOKUP($DS99,'Jan-2026 rates'!$L:$R,6,0),IF($LB99=100%,VLOOKUP($DS99,'Jan-2026 rates'!$L:$R,7,0),IF($LB99=60%,VLOOKUP($DS99,'Jan-2026 rates'!$L:$S,8,0),IF($LB99=80%,VLOOKUP($DS99,'Jan-2026 rates'!L:T,9,0),0))))))))</f>
        <v>0</v>
      </c>
      <c r="DY99" s="413" t="s">
        <v>1266</v>
      </c>
      <c r="DZ99" s="413"/>
      <c r="EA99" s="412"/>
      <c r="EB99" s="412"/>
      <c r="EC99" s="412"/>
      <c r="ED99" s="412"/>
      <c r="EE99" s="412"/>
      <c r="EF99" s="412"/>
      <c r="EG99" s="409">
        <v>5</v>
      </c>
      <c r="EH99" s="398">
        <f>IF(EG99=0,0,IF(LEN(DY99)=11,_xlfn.XLOOKUP(DY99,'Dispensed Ink Rates'!C:C,'Dispensed Ink Rates'!CS:CS),VLOOKUP(DY99,'Jan-2026 rates'!$E:$F,2,0)))</f>
        <v>0</v>
      </c>
      <c r="EI99" s="409"/>
      <c r="EJ99" s="398">
        <f>IF(EI99=0,0,IF(LEN(DZ99)=11,_xlfn.XLOOKUP(DZ99,'Dispensed Ink Rates'!C:C,'Dispensed Ink Rates'!CS:CS),VLOOKUP(DZ99,'Jan-2026 rates'!$E:$F,2,0)))</f>
        <v>0</v>
      </c>
      <c r="EK99" s="409"/>
      <c r="EL99" s="398">
        <f>IF(EK99=0,0,IF(LEN(EA99)=11,_xlfn.XLOOKUP(EA99,'Dispensed Ink Rates'!C:C,'Dispensed Ink Rates'!CS:CS),VLOOKUP(EA99,'Jan-2026 rates'!$E:$F,2,0)))</f>
        <v>0</v>
      </c>
      <c r="EM99" s="409"/>
      <c r="EN99" s="398">
        <f>IF(EM99=0,0,IF(LEN(EB99)=11,_xlfn.XLOOKUP(EB99,'Dispensed Ink Rates'!C:C,'Dispensed Ink Rates'!CS:CS),VLOOKUP(EB99,'Jan-2026 rates'!$E:$F,2,0)))</f>
        <v>0</v>
      </c>
      <c r="EO99" s="409"/>
      <c r="EP99" s="398">
        <f>IF(EO99=0,0,IF(LEN(EC99)=11,_xlfn.XLOOKUP(EC99,'Dispensed Ink Rates'!C:C,'Dispensed Ink Rates'!CS:CS),VLOOKUP(EC99,'Jan-2026 rates'!$E:$F,2,0)))</f>
        <v>0</v>
      </c>
      <c r="EQ99" s="409"/>
      <c r="ER99" s="398">
        <f>IF(EQ99=0,0,IF(LEN(ED99)=11,_xlfn.XLOOKUP(ED99,'Dispensed Ink Rates'!C:C,'Dispensed Ink Rates'!CS:CS),VLOOKUP(ED99,'Jan-2026 rates'!$E:$F,2,0)))</f>
        <v>0</v>
      </c>
      <c r="ES99" s="409"/>
      <c r="ET99" s="398">
        <f>IF(ES99=0,0,IF(LEN(EE99)=11,_xlfn.XLOOKUP(EE99,'Dispensed Ink Rates'!C:C,'Dispensed Ink Rates'!CS:CS),VLOOKUP(EE99,'Jan-2026 rates'!$E:$F,2,0)))</f>
        <v>0</v>
      </c>
      <c r="EU99" s="409"/>
      <c r="EV99" s="398">
        <f>IF(EU99=0,0,IF(LEN(EF99)=11,_xlfn.XLOOKUP(EF99,'Dispensed Ink Rates'!C:C,'Dispensed Ink Rates'!CS:CS),VLOOKUP(EF99,'Jan-2026 rates'!$E:$F,2,0)))</f>
        <v>0</v>
      </c>
      <c r="EW99" s="409" t="s">
        <v>1443</v>
      </c>
      <c r="EX99" s="409">
        <v>30</v>
      </c>
      <c r="EY99" s="411">
        <f t="shared" si="91"/>
        <v>0</v>
      </c>
      <c r="EZ99" s="411">
        <f t="shared" si="92"/>
        <v>11.978873239436624</v>
      </c>
      <c r="FA99" s="410">
        <f t="shared" si="93"/>
        <v>0</v>
      </c>
      <c r="FB99" s="405" t="s">
        <v>545</v>
      </c>
      <c r="FC99" s="409" t="s">
        <v>3163</v>
      </c>
      <c r="FD99" s="420" t="str">
        <f t="shared" si="57"/>
        <v>FLINTSL - YELLOW</v>
      </c>
      <c r="FE99" s="409">
        <v>25</v>
      </c>
      <c r="FF99" s="411">
        <f>IF(FE99=0,0,IF($LB99=70%,VLOOKUP($FD99,'Jan-2026 rates'!$L:$R,4,0),IF($LB99=65%,VLOOKUP($FD99,'Jan-2026 rates'!$L:$R,4,0),IF($LB99=40%,VLOOKUP($FD99,'Jan-2026 rates'!$L:$R,5,0),IF($LB99=30%,VLOOKUP($FD99,'Jan-2026 rates'!$L:$R,6,0),IF($LB99=100%,VLOOKUP($FD99,'Jan-2026 rates'!$L:$R,7,0),IF($LB99=60%,VLOOKUP($FD99,'Jan-2026 rates'!$L:$S,8,0),IF($LB99=80%,VLOOKUP($FD99,'Jan-2026 rates'!L:T,9,0),0))))))))</f>
        <v>0</v>
      </c>
      <c r="FG99" s="412"/>
      <c r="FH99" s="409"/>
      <c r="FI99" s="411">
        <f>IF(FH99=0,0,IF($LB99=70%,VLOOKUP($FD99,'Jan-2026 rates'!$L:$R,4,0),IF($LB99=65%,VLOOKUP($FD99,'Jan-2026 rates'!$L:$R,4,0),IF($LB99=40%,VLOOKUP($FD99,'Jan-2026 rates'!$L:$R,5,0),IF($LB99=30%,VLOOKUP($FD99,'Jan-2026 rates'!$L:$R,6,0),IF($LB99=100%,VLOOKUP($FD99,'Jan-2026 rates'!$L:$R,7,0),IF($LB99=60%,VLOOKUP($FD99,'Jan-2026 rates'!$L:$S,8,0),IF($LB99=80%,VLOOKUP($FD99,'Jan-2026 rates'!L:T,9,0),0))))))))</f>
        <v>0</v>
      </c>
      <c r="FJ99" s="413" t="s">
        <v>1266</v>
      </c>
      <c r="FK99" s="413"/>
      <c r="FL99" s="413"/>
      <c r="FM99" s="412"/>
      <c r="FN99" s="412"/>
      <c r="FO99" s="412"/>
      <c r="FP99" s="412"/>
      <c r="FQ99" s="412"/>
      <c r="FR99" s="409">
        <v>10</v>
      </c>
      <c r="FS99" s="398">
        <f>IF(FR99=0,0,IF(LEN(FJ99)=11,_xlfn.XLOOKUP(FJ99,'Dispensed Ink Rates'!C:C,'Dispensed Ink Rates'!CS:CS),VLOOKUP(FJ99,'Jan-2026 rates'!$E:$F,2,0)))</f>
        <v>0</v>
      </c>
      <c r="FT99" s="409"/>
      <c r="FU99" s="398">
        <f>IF(FT99=0,0,IF(LEN(FK99)=11,_xlfn.XLOOKUP(FK99,'Dispensed Ink Rates'!C:C,'Dispensed Ink Rates'!CS:CS),VLOOKUP(FK99,'Jan-2026 rates'!$E:$F,2,0)))</f>
        <v>0</v>
      </c>
      <c r="FV99" s="409"/>
      <c r="FW99" s="398">
        <f>IF(FV99=0,0,IF(LEN(FL99)=11,_xlfn.XLOOKUP(FL99,'Dispensed Ink Rates'!C:C,'Dispensed Ink Rates'!CS:CS),VLOOKUP(FL99,'Jan-2026 rates'!$E:$F,2,0)))</f>
        <v>0</v>
      </c>
      <c r="FX99" s="409"/>
      <c r="FY99" s="398">
        <f>IF(FX99=0,0,IF(LEN(FM99)=11,_xlfn.XLOOKUP(FM99,'Dispensed Ink Rates'!C:C,'Dispensed Ink Rates'!CS:CS),VLOOKUP(FM99,'Jan-2026 rates'!$E:$F,2,0)))</f>
        <v>0</v>
      </c>
      <c r="FZ99" s="409"/>
      <c r="GA99" s="398">
        <f>IF(FZ99=0,0,IF(LEN(FN99)=11,_xlfn.XLOOKUP(FN99,'Dispensed Ink Rates'!C:C,'Dispensed Ink Rates'!CS:CS),VLOOKUP(FN99,'Jan-2026 rates'!$E:$F,2,0)))</f>
        <v>0</v>
      </c>
      <c r="GB99" s="409"/>
      <c r="GC99" s="398">
        <f>IF(GB99=0,0,IF(LEN(FO99)=11,_xlfn.XLOOKUP(FO99,'Dispensed Ink Rates'!C:C,'Dispensed Ink Rates'!CS:CS),VLOOKUP(FO99,'Jan-2026 rates'!$E:$F,2,0)))</f>
        <v>0</v>
      </c>
      <c r="GD99" s="409"/>
      <c r="GE99" s="398">
        <f>IF(GD99=0,0,IF(LEN(FP99)=11,_xlfn.XLOOKUP(FP99,'Dispensed Ink Rates'!C:C,'Dispensed Ink Rates'!CS:CS),VLOOKUP(FP99,'Jan-2026 rates'!$E:$F,2,0)))</f>
        <v>0</v>
      </c>
      <c r="GF99" s="409"/>
      <c r="GG99" s="398">
        <f>IF(GF99=0,0,IF(LEN(FQ99)=11,_xlfn.XLOOKUP(FQ99,'Dispensed Ink Rates'!C:C,'Dispensed Ink Rates'!CS:CS),VLOOKUP(FQ99,'Jan-2026 rates'!$E:$F,2,0)))</f>
        <v>0</v>
      </c>
      <c r="GH99" s="409" t="s">
        <v>1443</v>
      </c>
      <c r="GI99" s="409">
        <v>29</v>
      </c>
      <c r="GJ99" s="411">
        <f t="shared" si="94"/>
        <v>0</v>
      </c>
      <c r="GK99" s="411">
        <f t="shared" si="95"/>
        <v>23.95774647887324</v>
      </c>
      <c r="GL99" s="410">
        <f t="shared" si="96"/>
        <v>0</v>
      </c>
      <c r="GM99" s="405" t="s">
        <v>548</v>
      </c>
      <c r="GN99" s="409" t="s">
        <v>3089</v>
      </c>
      <c r="GO99" s="420" t="str">
        <f t="shared" si="58"/>
        <v>FLINTSL - GOLD</v>
      </c>
      <c r="GP99" s="409">
        <v>30</v>
      </c>
      <c r="GQ99" s="411">
        <f>IF(GP99=0,0,IF($LB99=70%,VLOOKUP($GO99,'Jan-2026 rates'!$L:$R,4,0),IF($LB99=65%,VLOOKUP($GO99,'Jan-2026 rates'!$L:$R,4,0),IF($LB99=40%,VLOOKUP($GO99,'Jan-2026 rates'!$L:$R,5,0),IF($LB99=30%,VLOOKUP($GO99,'Jan-2026 rates'!$L:$R,6,0),IF($LB99=100%,VLOOKUP($GO99,'Jan-2026 rates'!$L:$R,7,0),IF($LB99=60%,VLOOKUP($GO99,'Jan-2026 rates'!$L:$S,8,0),IF($LB99=80%,VLOOKUP($GO99,'Jan-2026 rates'!L:T,9,0),0))))))))</f>
        <v>0</v>
      </c>
      <c r="GR99" s="412"/>
      <c r="GS99" s="409"/>
      <c r="GT99" s="411">
        <f>IF(GS99=0,0,IF($LB99=70%,VLOOKUP($GO99,'Jan-2026 rates'!$L:$R,4,0),IF($LB99=65%,VLOOKUP($GO99,'Jan-2026 rates'!$L:$R,4,0),IF($LB99=40%,VLOOKUP($GO99,'Jan-2026 rates'!$L:$R,5,0),IF($LB99=30%,VLOOKUP($GO99,'Jan-2026 rates'!$L:$R,6,0),IF($LB99=100%,VLOOKUP($GO99,'Jan-2026 rates'!$L:$R,7,0),IF($LB99=60%,VLOOKUP($GO99,'Jan-2026 rates'!$L:$S,8,0),IF($LB99=80%,VLOOKUP($GO99,'Jan-2026 rates'!L:T,9,0),0))))))))</f>
        <v>0</v>
      </c>
      <c r="GU99" s="413" t="s">
        <v>1341</v>
      </c>
      <c r="GV99" s="413"/>
      <c r="GW99" s="412"/>
      <c r="GX99" s="412"/>
      <c r="GY99" s="412"/>
      <c r="GZ99" s="412"/>
      <c r="HA99" s="412"/>
      <c r="HB99" s="412"/>
      <c r="HC99" s="409">
        <v>4</v>
      </c>
      <c r="HD99" s="398">
        <f>IF(HC99=0,0,IF(LEN(GU99)=11,_xlfn.XLOOKUP(GU99,'Dispensed Ink Rates'!C:C,'Dispensed Ink Rates'!CS:CS),VLOOKUP(GU99,'Jan-2026 rates'!$E:$F,2,0)))</f>
        <v>0</v>
      </c>
      <c r="HE99" s="409"/>
      <c r="HF99" s="398">
        <f>IF(HE99=0,0,IF(LEN(GV99)=11,_xlfn.XLOOKUP(GV99,'Dispensed Ink Rates'!C:C,'Dispensed Ink Rates'!CS:CS),VLOOKUP(GV99,'Jan-2026 rates'!$E:$F,2,0)))</f>
        <v>0</v>
      </c>
      <c r="HG99" s="409"/>
      <c r="HH99" s="398">
        <f>IF(HG99=0,0,IF(LEN(GW99)=11,_xlfn.XLOOKUP(GW99,'Dispensed Ink Rates'!C:C,'Dispensed Ink Rates'!CS:CS),VLOOKUP(GW99,'Jan-2026 rates'!$E:$F,2,0)))</f>
        <v>0</v>
      </c>
      <c r="HI99" s="409"/>
      <c r="HJ99" s="398">
        <f>IF(HI99=0,0,IF(LEN(GX99)=11,_xlfn.XLOOKUP(GX99,'Dispensed Ink Rates'!C:C,'Dispensed Ink Rates'!CS:CS),VLOOKUP(GX99,'Jan-2026 rates'!$E:$F,2,0)))</f>
        <v>0</v>
      </c>
      <c r="HK99" s="409"/>
      <c r="HL99" s="398">
        <f>IF(HK99=0,0,IF(LEN(GY99)=11,_xlfn.XLOOKUP(GY99,'Dispensed Ink Rates'!C:C,'Dispensed Ink Rates'!CS:CS),VLOOKUP(GY99,'Jan-2026 rates'!$E:$F,2,0)))</f>
        <v>0</v>
      </c>
      <c r="HM99" s="409"/>
      <c r="HN99" s="398">
        <f>IF(HM99=0,0,IF(LEN(GZ99)=11,_xlfn.XLOOKUP(GZ99,'Dispensed Ink Rates'!C:C,'Dispensed Ink Rates'!CS:CS),VLOOKUP(GZ99,'Jan-2026 rates'!$E:$F,2,0)))</f>
        <v>0</v>
      </c>
      <c r="HO99" s="409"/>
      <c r="HP99" s="398">
        <f>IF(HO99=0,0,IF(LEN(HA99)=11,_xlfn.XLOOKUP(HA99,'Dispensed Ink Rates'!C:C,'Dispensed Ink Rates'!CS:CS),VLOOKUP(HA99,'Jan-2026 rates'!$E:$F,2,0)))</f>
        <v>0</v>
      </c>
      <c r="HQ99" s="409"/>
      <c r="HR99" s="398">
        <f>IF(HQ99=0,0,IF(LEN(HB99)=11,_xlfn.XLOOKUP(HB99,'Dispensed Ink Rates'!C:C,'Dispensed Ink Rates'!CS:CS),VLOOKUP(HB99,'Jan-2026 rates'!$E:$F,2,0)))</f>
        <v>0</v>
      </c>
      <c r="HS99" s="409" t="s">
        <v>1443</v>
      </c>
      <c r="HT99" s="409">
        <v>31</v>
      </c>
      <c r="HU99" s="411">
        <f t="shared" si="97"/>
        <v>0</v>
      </c>
      <c r="HV99" s="411">
        <f t="shared" si="98"/>
        <v>8.3873239436619684</v>
      </c>
      <c r="HW99" s="414">
        <f t="shared" si="99"/>
        <v>0</v>
      </c>
      <c r="HX99" s="405" t="s">
        <v>545</v>
      </c>
      <c r="HY99" s="409"/>
      <c r="HZ99" s="420" t="str">
        <f t="shared" si="59"/>
        <v>FLINTSL - YELLOW</v>
      </c>
      <c r="IA99" s="409"/>
      <c r="IB99" s="411">
        <f>IF(IA99=0,0,IF($LB99=70%,VLOOKUP($HZ99,'Jan-2026 rates'!$L:$R,4,0),IF($LB99=65%,VLOOKUP($HZ99,'Jan-2026 rates'!$L:$R,4,0),IF($LB99=40%,VLOOKUP($HZ99,'Jan-2026 rates'!$L:$R,5,0),IF($LB99=30%,VLOOKUP($HZ99,'Jan-2026 rates'!$L:$R,6,0),IF($LB99=100%,VLOOKUP($HZ99,'Jan-2026 rates'!$L:$R,7,0),IF($LB99=60%,VLOOKUP($HZ99,'Jan-2026 rates'!$L:$S,8,0),IF($LB99=80%,VLOOKUP($HZ99,'Jan-2026 rates'!L:T,9,0),0))))))))</f>
        <v>0</v>
      </c>
      <c r="IC99" s="412"/>
      <c r="ID99" s="409"/>
      <c r="IE99" s="411">
        <f>IF(ID99=0,0,IF($LB99=70%,VLOOKUP($HZ99,'Jan-2026 rates'!$L:$R,4,0),IF($LB99=65%,VLOOKUP($HZ99,'Jan-2026 rates'!$L:$R,4,0),IF($LB99=40%,VLOOKUP($HZ99,'Jan-2026 rates'!$L:$R,5,0),IF($LB99=30%,VLOOKUP($HZ99,'Jan-2026 rates'!$L:$R,6,0),IF($LB99=100%,VLOOKUP($HZ99,'Jan-2026 rates'!$L:$R,7,0),IF($LB99=60%,VLOOKUP($HZ99,'Jan-2026 rates'!$L:$S,8,0),IF($LB99=80%,VLOOKUP($HZ99,'Jan-2026 rates'!L:T,9,0),0))))))))</f>
        <v>0</v>
      </c>
      <c r="IF99" s="412">
        <v>26508000015</v>
      </c>
      <c r="IG99" s="413">
        <v>26508000014</v>
      </c>
      <c r="IH99" s="412">
        <v>26508000024</v>
      </c>
      <c r="II99" s="412">
        <v>26508000016</v>
      </c>
      <c r="IJ99" s="412">
        <v>26508000017</v>
      </c>
      <c r="IK99" s="412"/>
      <c r="IL99" s="412"/>
      <c r="IM99" s="412"/>
      <c r="IN99" s="409">
        <v>20</v>
      </c>
      <c r="IO99" s="398" t="e">
        <f>IF(IN99=0,0,IF(LEN(IF99)=11,_xlfn.XLOOKUP(IF99,'Dispensed Ink Rates'!C:C,'Dispensed Ink Rates'!CS:CS),VLOOKUP(IF99,'Jan-2026 rates'!$E:$F,2,0)))</f>
        <v>#N/A</v>
      </c>
      <c r="IP99" s="409">
        <v>20</v>
      </c>
      <c r="IQ99" s="398" t="e">
        <f>IF(IP99=0,0,IF(LEN(IG99)=11,_xlfn.XLOOKUP(IG99,'Dispensed Ink Rates'!C:C,'Dispensed Ink Rates'!CS:CS),VLOOKUP(IG99,'Jan-2026 rates'!$E:$F,2,0)))</f>
        <v>#N/A</v>
      </c>
      <c r="IR99" s="409">
        <v>5</v>
      </c>
      <c r="IS99" s="398" t="e">
        <f>IF(IR99=0,0,IF(LEN(IH99)=11,_xlfn.XLOOKUP(IH99,'Dispensed Ink Rates'!C:C,'Dispensed Ink Rates'!CS:CS),VLOOKUP(IH99,'Jan-2026 rates'!$E:$F,2,0)))</f>
        <v>#N/A</v>
      </c>
      <c r="IT99" s="409">
        <v>40</v>
      </c>
      <c r="IU99" s="398" t="e">
        <f>IF(IT99=0,0,IF(LEN(II99)=11,_xlfn.XLOOKUP(II99,'Dispensed Ink Rates'!C:C,'Dispensed Ink Rates'!CS:CS),VLOOKUP(II99,'Jan-2026 rates'!$E:$F,2,0)))</f>
        <v>#N/A</v>
      </c>
      <c r="IV99" s="409">
        <v>40</v>
      </c>
      <c r="IW99" s="398" t="e">
        <f>IF(IV99=0,0,IF(LEN(IJ99)=11,_xlfn.XLOOKUP(IJ99,'Dispensed Ink Rates'!C:C,'Dispensed Ink Rates'!CS:CS),VLOOKUP(IJ99,'Jan-2026 rates'!$E:$F,2,0)))</f>
        <v>#N/A</v>
      </c>
      <c r="IX99" s="409"/>
      <c r="IY99" s="398">
        <f>IF(IX99=0,0,IF(LEN(IK99)=11,_xlfn.XLOOKUP(IK99,'Dispensed Ink Rates'!C:C,'Dispensed Ink Rates'!CS:CS),VLOOKUP(IK99,'Jan-2026 rates'!$E:$F,2,0)))</f>
        <v>0</v>
      </c>
      <c r="IZ99" s="409"/>
      <c r="JA99" s="398">
        <f>IF(IZ99=0,0,IF(LEN(IL99)=11,_xlfn.XLOOKUP(IL99,'Dispensed Ink Rates'!C:C,'Dispensed Ink Rates'!CS:CS),VLOOKUP(IL99,'Jan-2026 rates'!$E:$F,2,0)))</f>
        <v>0</v>
      </c>
      <c r="JB99" s="409"/>
      <c r="JC99" s="398">
        <f>IF(JB99=0,0,IF(LEN(IM99)=11,_xlfn.XLOOKUP(IM99,'Dispensed Ink Rates'!C:C,'Dispensed Ink Rates'!CS:CS),VLOOKUP(IM99,'Jan-2026 rates'!$E:$F,2,0)))</f>
        <v>0</v>
      </c>
      <c r="JD99" s="409" t="s">
        <v>1443</v>
      </c>
      <c r="JE99" s="409">
        <v>24</v>
      </c>
      <c r="JF99" s="411">
        <f t="shared" si="100"/>
        <v>0</v>
      </c>
      <c r="JG99" s="411">
        <f t="shared" si="101"/>
        <v>118.95774647887325</v>
      </c>
      <c r="JH99" s="410">
        <f t="shared" si="102"/>
        <v>0</v>
      </c>
      <c r="JI99" s="405" t="s">
        <v>856</v>
      </c>
      <c r="JJ99" s="409" t="s">
        <v>3164</v>
      </c>
      <c r="JK99" s="420" t="str">
        <f t="shared" si="60"/>
        <v>FLINTSL - WHITE</v>
      </c>
      <c r="JL99" s="409">
        <v>30</v>
      </c>
      <c r="JM99" s="411">
        <f>IF(JL99=0,0,IF($LB99=70%,VLOOKUP($JK99,'Jan-2026 rates'!$L:$R,4,0),IF($LB99=65%,VLOOKUP($JK99,'Jan-2026 rates'!$L:$R,4,0),IF($LB99=40%,VLOOKUP($JK99,'Jan-2026 rates'!$L:$R,5,0),IF($LB99=30%,VLOOKUP($JK99,'Jan-2026 rates'!$L:$R,6,0),IF($LB99=100%,VLOOKUP($JK99,'Jan-2026 rates'!$L:$R,7,0),IF($LB99=60%,VLOOKUP($JK99,'Jan-2026 rates'!$L:$S,8,0),IF($LB99=80%,VLOOKUP($JK99,'Jan-2026 rates'!L:T,9,0),0))))))))</f>
        <v>0</v>
      </c>
      <c r="JN99" s="412"/>
      <c r="JO99" s="409"/>
      <c r="JP99" s="411">
        <f>IF(JO99=0,0,IF($LB99=70%,VLOOKUP($JK99,'Jan-2026 rates'!$L:$R,4,0),IF($LB99=65%,VLOOKUP($JK99,'Jan-2026 rates'!$L:$R,4,0),IF($LB99=40%,VLOOKUP($JK99,'Jan-2026 rates'!$L:$R,5,0),IF($LB99=30%,VLOOKUP($JK99,'Jan-2026 rates'!$L:$R,6,0),IF($LB99=100%,VLOOKUP($JK99,'Jan-2026 rates'!$L:$R,7,0),IF($LB99=60%,VLOOKUP($JK99,'Jan-2026 rates'!$L:$S,8,0),IF($LB99=80%,VLOOKUP($JK99,'Jan-2026 rates'!L:T,9,0),0))))))))</f>
        <v>0</v>
      </c>
      <c r="JQ99" s="413" t="s">
        <v>484</v>
      </c>
      <c r="JR99" s="412"/>
      <c r="JS99" s="413"/>
      <c r="JT99" s="413"/>
      <c r="JU99" s="412"/>
      <c r="JV99" s="412"/>
      <c r="JW99" s="412"/>
      <c r="JX99" s="412"/>
      <c r="JY99" s="409">
        <f>100+60</f>
        <v>160</v>
      </c>
      <c r="JZ99" s="398">
        <f>IF(JY99=0,0,IF(LEN(JQ99)=11,_xlfn.XLOOKUP(JQ99,'Dispensed Ink Rates'!C:C,'Dispensed Ink Rates'!CS:CS),VLOOKUP(JQ99,'Jan-2026 rates'!$E:$F,2,0)))</f>
        <v>0</v>
      </c>
      <c r="KA99" s="409"/>
      <c r="KB99" s="398">
        <f>IF(KA99=0,0,IF(LEN(JR99)=11,_xlfn.XLOOKUP(JR99,'Dispensed Ink Rates'!C:C,'Dispensed Ink Rates'!CS:CS),VLOOKUP(JR99,'Jan-2026 rates'!$E:$F,2,0)))</f>
        <v>0</v>
      </c>
      <c r="KC99" s="409"/>
      <c r="KD99" s="398">
        <f>IF(KC99=0,0,IF(LEN(JS99)=11,_xlfn.XLOOKUP(JS99,'Dispensed Ink Rates'!C:C,'Dispensed Ink Rates'!CS:CS),VLOOKUP(JS99,'Jan-2026 rates'!$E:$F,2,0)))</f>
        <v>0</v>
      </c>
      <c r="KE99" s="409"/>
      <c r="KF99" s="398">
        <f>IF(KE99=0,0,IF(LEN(JT99)=11,_xlfn.XLOOKUP(JT99,'Dispensed Ink Rates'!C:C,'Dispensed Ink Rates'!CS:CS),VLOOKUP(JT99,'Jan-2026 rates'!$E:$F,2,0)))</f>
        <v>0</v>
      </c>
      <c r="KG99" s="409"/>
      <c r="KH99" s="398">
        <f>IF(KG99=0,0,IF(LEN(JU99)=11,_xlfn.XLOOKUP(JU99,'Dispensed Ink Rates'!C:C,'Dispensed Ink Rates'!CS:CS),VLOOKUP(JU99,'Jan-2026 rates'!$E:$F,2,0)))</f>
        <v>0</v>
      </c>
      <c r="KI99" s="409"/>
      <c r="KJ99" s="398">
        <f>IF(KI99=0,0,IF(LEN(JV99)=11,_xlfn.XLOOKUP(JV99,'Dispensed Ink Rates'!C:C,'Dispensed Ink Rates'!CS:CS),VLOOKUP(JV99,'Jan-2026 rates'!$E:$F,2,0)))</f>
        <v>0</v>
      </c>
      <c r="KK99" s="409"/>
      <c r="KL99" s="398">
        <f>IF(KK99=0,0,IF(LEN(JW99)=11,_xlfn.XLOOKUP(JW99,'Dispensed Ink Rates'!C:C,'Dispensed Ink Rates'!CS:CS),VLOOKUP(JW99,'Jan-2026 rates'!$E:$F,2,0)))</f>
        <v>0</v>
      </c>
      <c r="KM99" s="428"/>
      <c r="KN99" s="398">
        <f>IF(KM99=0,0,IF(LEN(JX99)=11,_xlfn.XLOOKUP(JX99,'Dispensed Ink Rates'!C:C,'Dispensed Ink Rates'!CS:CS),VLOOKUP(JX99,'Jan-2026 rates'!$E:$F,2,0)))</f>
        <v>0</v>
      </c>
      <c r="KO99" s="409" t="s">
        <v>1443</v>
      </c>
      <c r="KP99" s="409">
        <v>30</v>
      </c>
      <c r="KQ99" s="411">
        <f t="shared" si="103"/>
        <v>0</v>
      </c>
      <c r="KR99" s="411">
        <f t="shared" si="104"/>
        <v>321.61971830985919</v>
      </c>
      <c r="KS99" s="410">
        <f t="shared" si="105"/>
        <v>0</v>
      </c>
      <c r="KT99" s="409">
        <v>2</v>
      </c>
      <c r="KU99" s="409">
        <v>15</v>
      </c>
      <c r="KV99" s="409">
        <v>7</v>
      </c>
      <c r="KW99" s="409">
        <v>5</v>
      </c>
      <c r="KX99" s="409">
        <v>10</v>
      </c>
      <c r="KY99" s="409">
        <v>3</v>
      </c>
      <c r="KZ99" s="409">
        <v>10</v>
      </c>
      <c r="LA99" s="409">
        <f>60+30</f>
        <v>90</v>
      </c>
      <c r="LB99" s="415">
        <v>0.8</v>
      </c>
      <c r="LC99" s="415">
        <v>0.2</v>
      </c>
      <c r="LD99" s="415"/>
      <c r="LE99" s="415"/>
      <c r="LF99" s="415"/>
      <c r="LG99" s="409">
        <v>0</v>
      </c>
      <c r="LH99" s="409">
        <f>103+40+80+20+5+5+2</f>
        <v>255</v>
      </c>
      <c r="LI99" s="409">
        <v>0</v>
      </c>
      <c r="LJ99" s="409">
        <v>0</v>
      </c>
      <c r="LK99" s="416">
        <f t="shared" si="61"/>
        <v>255</v>
      </c>
      <c r="LL99" s="416">
        <f t="shared" si="62"/>
        <v>255</v>
      </c>
      <c r="LM99" s="417">
        <f t="shared" si="63"/>
        <v>204</v>
      </c>
      <c r="LN99" s="417">
        <f>VLOOKUP($LM$8,'Jan-2026 rates'!$H:$I,2,0)</f>
        <v>0</v>
      </c>
      <c r="LO99" s="417">
        <f t="shared" si="64"/>
        <v>51</v>
      </c>
      <c r="LP99" s="417">
        <f>VLOOKUP($LO$8,'Jan-2026 rates'!$H:$I,2,0)</f>
        <v>0</v>
      </c>
      <c r="LQ99" s="417">
        <f t="shared" si="65"/>
        <v>0</v>
      </c>
      <c r="LR99" s="417">
        <f>VLOOKUP($LQ$8,'Jan-2026 rates'!$H:$I,2,0)</f>
        <v>0</v>
      </c>
      <c r="LS99" s="417">
        <f t="shared" si="66"/>
        <v>0</v>
      </c>
      <c r="LT99" s="417">
        <f>VLOOKUP($LS$8,'Jan-2026 rates'!$H:$I,2,0)</f>
        <v>0</v>
      </c>
      <c r="LU99" s="417">
        <f t="shared" si="67"/>
        <v>0</v>
      </c>
      <c r="LV99" s="417">
        <f>VLOOKUP($LU$8,'Jan-2026 rates'!$H:$I,2,0)</f>
        <v>0</v>
      </c>
      <c r="LW99" s="417">
        <f t="shared" si="68"/>
        <v>0</v>
      </c>
      <c r="LX99" s="417">
        <f t="shared" si="69"/>
        <v>0</v>
      </c>
      <c r="LY99" s="418">
        <f t="shared" si="70"/>
        <v>0</v>
      </c>
      <c r="LZ99" s="417"/>
      <c r="MA99" s="435">
        <f t="shared" si="71"/>
        <v>333</v>
      </c>
      <c r="MB99" s="282">
        <f t="shared" si="72"/>
        <v>548</v>
      </c>
      <c r="MC99" s="283">
        <v>54</v>
      </c>
      <c r="MD99" s="284" t="str">
        <f t="shared" si="73"/>
        <v>FLINTSLFLINTSLFLINTSLFLINTSLFLINTSLFLINTSLFLINTSLFLINTSL</v>
      </c>
      <c r="ME99" s="293" t="str">
        <f t="shared" si="74"/>
        <v>+</v>
      </c>
      <c r="MF99" s="293" t="str">
        <f t="shared" si="75"/>
        <v>+</v>
      </c>
      <c r="MG99" s="293" t="str">
        <f t="shared" si="76"/>
        <v>+</v>
      </c>
      <c r="MH99" s="293" t="str">
        <f t="shared" si="77"/>
        <v>+</v>
      </c>
      <c r="MI99" s="293" t="str">
        <f t="shared" si="78"/>
        <v>+</v>
      </c>
      <c r="MJ99" s="293" t="str">
        <f t="shared" si="79"/>
        <v>+</v>
      </c>
      <c r="MK99" s="293" t="str">
        <f t="shared" si="80"/>
        <v>+</v>
      </c>
      <c r="ML99" s="293" t="str">
        <f t="shared" si="81"/>
        <v>+</v>
      </c>
      <c r="MM99" s="3" t="b">
        <f t="array" ref="MM99">OR(ME99:ML99="-")</f>
        <v>0</v>
      </c>
      <c r="MN99" s="285"/>
      <c r="MO99" s="401"/>
      <c r="MP99" s="286"/>
      <c r="MQ99" s="286"/>
      <c r="MR99" s="402"/>
      <c r="MS99" s="400"/>
      <c r="NH99" s="422"/>
      <c r="NJ99" s="421"/>
    </row>
    <row r="100" spans="1:374" s="1" customFormat="1" ht="16.5">
      <c r="A100" s="403">
        <v>46030</v>
      </c>
      <c r="B100" s="404" t="s">
        <v>1018</v>
      </c>
      <c r="C100" s="405" t="s">
        <v>3165</v>
      </c>
      <c r="D100" s="406">
        <v>55</v>
      </c>
      <c r="E100" s="404">
        <v>416</v>
      </c>
      <c r="F100" s="407">
        <v>24300</v>
      </c>
      <c r="G100" s="407" t="s">
        <v>1019</v>
      </c>
      <c r="H100" s="408" t="s">
        <v>1017</v>
      </c>
      <c r="I100" s="409">
        <v>0.5</v>
      </c>
      <c r="J100" s="405" t="s">
        <v>543</v>
      </c>
      <c r="K100" s="404" t="s">
        <v>3166</v>
      </c>
      <c r="L100" s="419" t="str">
        <f t="shared" si="54"/>
        <v>ToyoLi - BLACK</v>
      </c>
      <c r="M100" s="404">
        <f>20+20</f>
        <v>40</v>
      </c>
      <c r="N100" s="410">
        <f>IF(M100=0,0,IF($LB100=70%,VLOOKUP($L100,'Jan-2026 rates'!$L:$R,4,0),IF($LB100=65%,VLOOKUP($L100,'Jan-2026 rates'!$L:$R,4,0),IF($LB100=40%,VLOOKUP($L100,'Jan-2026 rates'!$L:$R,5,0),IF($LB100=30%,VLOOKUP($L100,'Jan-2026 rates'!$L:$R,6,0),IF($LB100=100%,VLOOKUP($L100,'Jan-2026 rates'!$L:$R,7,0),IF($LB100=60%,VLOOKUP($L100,'Jan-2026 rates'!$L:$S,8,0),IF($LB100=80%,VLOOKUP($L100,'Jan-2026 rates'!L:T,9,0),0))))))))</f>
        <v>0</v>
      </c>
      <c r="O100" s="406"/>
      <c r="P100" s="404"/>
      <c r="Q100" s="410">
        <f>IF(P100=0,0,IF($LB100=70%,VLOOKUP($L100,'Jan-2026 rates'!$L:$R,4,0),IF($LB100=65%,VLOOKUP($L100,'Jan-2026 rates'!$L:$R,4,0),IF($LB100=40%,VLOOKUP($L100,'Jan-2026 rates'!$L:$R,5,0),IF($LB100=30%,VLOOKUP($L100,'Jan-2026 rates'!$L:$R,6,0),IF($LB100=100%,VLOOKUP($L100,'Jan-2026 rates'!$L:$R,7,0),IF($LB100=60%,VLOOKUP($L100,'Jan-2026 rates'!$L:$S,8,0),IF($LB100=80%,VLOOKUP($L100,'Jan-2026 rates'!L:T,9,0),0))))))))</f>
        <v>0</v>
      </c>
      <c r="R100" s="406" t="s">
        <v>1252</v>
      </c>
      <c r="S100" s="406" t="s">
        <v>1122</v>
      </c>
      <c r="T100" s="406"/>
      <c r="U100" s="406"/>
      <c r="V100" s="406"/>
      <c r="W100" s="406"/>
      <c r="X100" s="406"/>
      <c r="Y100" s="406"/>
      <c r="Z100" s="404">
        <v>40</v>
      </c>
      <c r="AA100" s="398">
        <f>IF(Z100=0,0,IF(LEN(R100)=11,_xlfn.XLOOKUP(R100,'Dispensed Ink Rates'!C:C,'Dispensed Ink Rates'!CS:CS),VLOOKUP(R100,'Jan-2026 rates'!$E:$F,2,0)))</f>
        <v>0</v>
      </c>
      <c r="AB100" s="404">
        <v>1.8</v>
      </c>
      <c r="AC100" s="398">
        <f>IF(AB100=0,0,IF(LEN(S100)=11,_xlfn.XLOOKUP(S100,'Dispensed Ink Rates'!C:C,'Dispensed Ink Rates'!CS:CS),VLOOKUP(S100,'Jan-2026 rates'!$E:$F,2,0)))</f>
        <v>0</v>
      </c>
      <c r="AD100" s="404"/>
      <c r="AE100" s="398">
        <f>IF(AD100=0,0,IF(LEN(T100)=11,_xlfn.XLOOKUP(T100,'Dispensed Ink Rates'!C:C,'Dispensed Ink Rates'!CS:CS),VLOOKUP(T100,'Jan-2026 rates'!$E:$F,2,0)))</f>
        <v>0</v>
      </c>
      <c r="AF100" s="404"/>
      <c r="AG100" s="398">
        <f>IF(AF100=0,0,IF(LEN(U100)=11,_xlfn.XLOOKUP(U100,'Dispensed Ink Rates'!C:C,'Dispensed Ink Rates'!CS:CS),VLOOKUP(U100,'Jan-2026 rates'!$E:$F,2,0)))</f>
        <v>0</v>
      </c>
      <c r="AH100" s="404"/>
      <c r="AI100" s="398">
        <f>IF(AH100=0,0,IF(LEN(V100)=11,_xlfn.XLOOKUP(V100,'Dispensed Ink Rates'!C:C,'Dispensed Ink Rates'!CS:CS),VLOOKUP(V100,'Jan-2026 rates'!$E:$F,2,0)))</f>
        <v>0</v>
      </c>
      <c r="AJ100" s="404"/>
      <c r="AK100" s="398">
        <f>IF(AJ100=0,0,IF(LEN(W100)=11,_xlfn.XLOOKUP(W100,'Dispensed Ink Rates'!C:C,'Dispensed Ink Rates'!CS:CS),VLOOKUP(W100,'Jan-2026 rates'!$E:$F,2,0)))</f>
        <v>0</v>
      </c>
      <c r="AL100" s="404"/>
      <c r="AM100" s="398">
        <f>IF(AL100=0,0,IF(LEN(X100)=11,_xlfn.XLOOKUP(X100,'Dispensed Ink Rates'!C:C,'Dispensed Ink Rates'!CS:CS),VLOOKUP(X100,'Jan-2026 rates'!$E:$F,2,0)))</f>
        <v>0</v>
      </c>
      <c r="AN100" s="404"/>
      <c r="AO100" s="398">
        <f>IF(AN100=0,0,IF(LEN(Y100)=11,_xlfn.XLOOKUP(Y100,'Dispensed Ink Rates'!C:C,'Dispensed Ink Rates'!CS:CS),VLOOKUP(Y100,'Jan-2026 rates'!$E:$F,2,0)))</f>
        <v>0</v>
      </c>
      <c r="AP100" s="409" t="s">
        <v>1881</v>
      </c>
      <c r="AQ100" s="409">
        <f>18+7</f>
        <v>25</v>
      </c>
      <c r="AR100" s="410">
        <f t="shared" si="82"/>
        <v>0</v>
      </c>
      <c r="AS100" s="411">
        <f t="shared" si="83"/>
        <v>80.514285714285705</v>
      </c>
      <c r="AT100" s="410">
        <f t="shared" si="84"/>
        <v>0</v>
      </c>
      <c r="AU100" s="405" t="s">
        <v>545</v>
      </c>
      <c r="AV100" s="409"/>
      <c r="AW100" s="420" t="str">
        <f t="shared" si="53"/>
        <v>FLINTSL - YELLOW</v>
      </c>
      <c r="AX100" s="409"/>
      <c r="AY100" s="411">
        <f>IF(AX100=0,0,IF($LB100=70%,VLOOKUP($AW100,'Jan-2026 rates'!$L:$R,4,0),IF($LB100=65%,VLOOKUP($AW100,'Jan-2026 rates'!$L:$R,4,0),IF($LB100=40%,VLOOKUP($AW100,'Jan-2026 rates'!$L:$R,5,0),IF($LB100=30%,VLOOKUP($AW100,'Jan-2026 rates'!$L:$R,6,0),IF($LB100=100%,VLOOKUP($AW100,'Jan-2026 rates'!$L:$R,7,0),IF($LB100=60%,VLOOKUP($AW100,'Jan-2026 rates'!$L:$S,8,0),IF($LB100=80%,VLOOKUP($AW100,'Jan-2026 rates'!L:T,9,0),0))))))))</f>
        <v>0</v>
      </c>
      <c r="AZ100" s="412"/>
      <c r="BA100" s="409"/>
      <c r="BB100" s="411">
        <f>IF(BA100=0,0,IF($LB100=70%,VLOOKUP($AW100,'Jan-2026 rates'!$L:$R,4,0),IF($LB100=65%,VLOOKUP($AW100,'Jan-2026 rates'!$L:$R,4,0),IF($LB100=40%,VLOOKUP($AW100,'Jan-2026 rates'!$L:$R,5,0),IF($LB100=30%,VLOOKUP($AW100,'Jan-2026 rates'!$L:$R,6,0),IF($LB100=100%,VLOOKUP($AW100,'Jan-2026 rates'!$L:$R,7,0),IF($LB100=60%,VLOOKUP($AW100,'Jan-2026 rates'!$L:$S,8,0),IF($LB100=80%,VLOOKUP($AW100,'Jan-2026 rates'!L:T,9,0),0))))))))</f>
        <v>0</v>
      </c>
      <c r="BC100" s="413">
        <v>26508000024</v>
      </c>
      <c r="BD100" s="412">
        <v>25863000007</v>
      </c>
      <c r="BE100" s="412"/>
      <c r="BF100" s="413"/>
      <c r="BG100" s="412"/>
      <c r="BH100" s="412"/>
      <c r="BI100" s="412"/>
      <c r="BJ100" s="412"/>
      <c r="BK100" s="409">
        <v>25</v>
      </c>
      <c r="BL100" s="398" t="e">
        <f>IF(BK100=0,0,IF(LEN(BC100)=11,_xlfn.XLOOKUP(BC100,'Dispensed Ink Rates'!C:C,'Dispensed Ink Rates'!CS:CS),VLOOKUP(BC100,'Jan-2026 rates'!$E:$F,2,0)))</f>
        <v>#N/A</v>
      </c>
      <c r="BM100" s="409">
        <v>3</v>
      </c>
      <c r="BN100" s="398" t="e">
        <f>IF(BM100=0,0,IF(LEN(BD100)=11,_xlfn.XLOOKUP(BD100,'Dispensed Ink Rates'!C:C,'Dispensed Ink Rates'!CS:CS),VLOOKUP(BD100,'Jan-2026 rates'!$E:$F,2,0)))</f>
        <v>#N/A</v>
      </c>
      <c r="BO100" s="409"/>
      <c r="BP100" s="398">
        <f>IF(BO100=0,0,IF(LEN(BE100)=11,_xlfn.XLOOKUP(BE100,'Dispensed Ink Rates'!C:C,'Dispensed Ink Rates'!CS:CS),VLOOKUP(BE100,'Jan-2026 rates'!$E:$F,2,0)))</f>
        <v>0</v>
      </c>
      <c r="BQ100" s="409"/>
      <c r="BR100" s="398">
        <f>IF(BQ100=0,0,IF(LEN(BF100)=11,_xlfn.XLOOKUP(BF100,'Dispensed Ink Rates'!C:C,'Dispensed Ink Rates'!CS:CS),VLOOKUP(BF100,'Jan-2026 rates'!$E:$F,2,0)))</f>
        <v>0</v>
      </c>
      <c r="BS100" s="409"/>
      <c r="BT100" s="398">
        <f>IF(BS100=0,0,IF(LEN(BG100)=11,_xlfn.XLOOKUP(BG100,'Dispensed Ink Rates'!C:C,'Dispensed Ink Rates'!CS:CS),VLOOKUP(BG100,'Jan-2026 rates'!$E:$F,2,0)))</f>
        <v>0</v>
      </c>
      <c r="BU100" s="409"/>
      <c r="BV100" s="398">
        <f>IF(BU100=0,0,IF(LEN(BH100)=11,_xlfn.XLOOKUP(BH100,'Dispensed Ink Rates'!C:C,'Dispensed Ink Rates'!CS:CS),VLOOKUP(BH100,'Jan-2026 rates'!$E:$F,2,0)))</f>
        <v>0</v>
      </c>
      <c r="BW100" s="409"/>
      <c r="BX100" s="398">
        <f>IF(BW100=0,0,IF(LEN(BI100)=11,_xlfn.XLOOKUP(BI100,'Dispensed Ink Rates'!C:C,'Dispensed Ink Rates'!CS:CS),VLOOKUP(BI100,'Jan-2026 rates'!$E:$F,2,0)))</f>
        <v>0</v>
      </c>
      <c r="BY100" s="409"/>
      <c r="BZ100" s="398">
        <f>IF(BY100=0,0,IF(LEN(BJ100)=11,_xlfn.XLOOKUP(BJ100,'Dispensed Ink Rates'!C:C,'Dispensed Ink Rates'!CS:CS),VLOOKUP(BJ100,'Jan-2026 rates'!$E:$F,2,0)))</f>
        <v>0</v>
      </c>
      <c r="CA100" s="409" t="s">
        <v>1443</v>
      </c>
      <c r="CB100" s="409">
        <v>30</v>
      </c>
      <c r="CC100" s="411">
        <f t="shared" si="85"/>
        <v>0</v>
      </c>
      <c r="CD100" s="411">
        <f t="shared" si="86"/>
        <v>21.714285714285708</v>
      </c>
      <c r="CE100" s="410">
        <f t="shared" si="87"/>
        <v>0</v>
      </c>
      <c r="CF100" s="404" t="s">
        <v>548</v>
      </c>
      <c r="CG100" s="409" t="s">
        <v>3167</v>
      </c>
      <c r="CH100" s="420" t="str">
        <f t="shared" si="55"/>
        <v>FLINTSL - GOLD</v>
      </c>
      <c r="CI100" s="409">
        <v>31</v>
      </c>
      <c r="CJ100" s="411">
        <f>IF(CI100=0,0,IF($LB100=70%,VLOOKUP($CH100,'Jan-2026 rates'!$L:$R,4,0),IF($LB100=65%,VLOOKUP($CH100,'Jan-2026 rates'!$L:$R,4,0),IF($LB100=40%,VLOOKUP($CH100,'Jan-2026 rates'!$L:$R,5,0),IF($LB100=30%,VLOOKUP($CH100,'Jan-2026 rates'!$L:$R,6,0),IF($LB100=100%,VLOOKUP($CH100,'Jan-2026 rates'!$L:$R,7,0),IF($LB100=60%,VLOOKUP($CH100,'Jan-2026 rates'!$L:$S,8,0),IF($LB100=80%,VLOOKUP($CH100,'Jan-2026 rates'!L:T,9,0),0))))))))</f>
        <v>0</v>
      </c>
      <c r="CK100" s="412"/>
      <c r="CL100" s="409"/>
      <c r="CM100" s="411">
        <f>IF(CL100=0,0,IF($LB100=70%,VLOOKUP($CH100,'Jan-2026 rates'!$L:$R,4,0),IF($LB100=65%,VLOOKUP($CH100,'Jan-2026 rates'!$L:$R,4,0),IF($LB100=40%,VLOOKUP($CH100,'Jan-2026 rates'!$L:$R,5,0),IF($LB100=30%,VLOOKUP($CH100,'Jan-2026 rates'!$L:$R,6,0),IF($LB100=100%,VLOOKUP($CH100,'Jan-2026 rates'!$L:$R,7,0),IF($LB100=60%,VLOOKUP($CH100,'Jan-2026 rates'!$L:$S,8,0),IF($LB100=80%,VLOOKUP($CH100,'Jan-2026 rates'!L:T,9,0),0))))))))</f>
        <v>0</v>
      </c>
      <c r="CN100" s="426" t="s">
        <v>1340</v>
      </c>
      <c r="CO100" s="427">
        <v>26506000007</v>
      </c>
      <c r="CP100" s="426"/>
      <c r="CQ100" s="426"/>
      <c r="CR100" s="428"/>
      <c r="CS100" s="428"/>
      <c r="CT100" s="428"/>
      <c r="CU100" s="428"/>
      <c r="CV100" s="409">
        <v>3</v>
      </c>
      <c r="CW100" s="398">
        <f>IF(CV100=0,0,IF(LEN(CN100)=11,_xlfn.XLOOKUP(CN100,'Dispensed Ink Rates'!C:C,'Dispensed Ink Rates'!CS:CS),VLOOKUP(CN100,'Jan-2026 rates'!$E:$F,2,0)))</f>
        <v>0</v>
      </c>
      <c r="CX100" s="409">
        <v>0.3</v>
      </c>
      <c r="CY100" s="398" t="e">
        <f>IF(CX100=0,0,IF(LEN(CO100)=11,_xlfn.XLOOKUP(CO100,'Dispensed Ink Rates'!C:C,'Dispensed Ink Rates'!CS:CS),VLOOKUP(CO100,'Jan-2026 rates'!$E:$F,2,0)))</f>
        <v>#N/A</v>
      </c>
      <c r="CZ100" s="409"/>
      <c r="DA100" s="398">
        <f>IF(CZ100=0,0,IF(LEN(CP100)=11,_xlfn.XLOOKUP(CP100,'Dispensed Ink Rates'!C:C,'Dispensed Ink Rates'!CS:CS),VLOOKUP(CP100,'Jan-2026 rates'!$E:$F,2,0)))</f>
        <v>0</v>
      </c>
      <c r="DB100" s="409"/>
      <c r="DC100" s="398">
        <f>IF(DB100=0,0,IF(LEN(CQ100)=11,_xlfn.XLOOKUP(CQ100,'Dispensed Ink Rates'!C:C,'Dispensed Ink Rates'!CS:CS),VLOOKUP(CQ100,'Jan-2026 rates'!$E:$F,2,0)))</f>
        <v>0</v>
      </c>
      <c r="DD100" s="409"/>
      <c r="DE100" s="398">
        <f>IF(DD100=0,0,IF(LEN(CR100)=11,_xlfn.XLOOKUP(CR100,'Dispensed Ink Rates'!C:C,'Dispensed Ink Rates'!CS:CS),VLOOKUP(CR100,'Jan-2026 rates'!$E:$F,2,0)))</f>
        <v>0</v>
      </c>
      <c r="DF100" s="409"/>
      <c r="DG100" s="398">
        <f>IF(DF100=0,0,IF(LEN(CS100)=11,_xlfn.XLOOKUP(CS100,'Dispensed Ink Rates'!C:C,'Dispensed Ink Rates'!CS:CS),VLOOKUP(CS100,'Jan-2026 rates'!$E:$F,2,0)))</f>
        <v>0</v>
      </c>
      <c r="DH100" s="409"/>
      <c r="DI100" s="398">
        <f>IF(DH100=0,0,IF(LEN(CT100)=11,_xlfn.XLOOKUP(CT100,'Dispensed Ink Rates'!C:C,'Dispensed Ink Rates'!CS:CS),VLOOKUP(CT100,'Jan-2026 rates'!$E:$F,2,0)))</f>
        <v>0</v>
      </c>
      <c r="DJ100" s="409"/>
      <c r="DK100" s="398">
        <f>IF(DJ100=0,0,IF(LEN(CU100)=11,_xlfn.XLOOKUP(CU100,'Dispensed Ink Rates'!C:C,'Dispensed Ink Rates'!CS:CS),VLOOKUP(CU100,'Jan-2026 rates'!$E:$F,2,0)))</f>
        <v>0</v>
      </c>
      <c r="DL100" s="409" t="s">
        <v>1443</v>
      </c>
      <c r="DM100" s="409">
        <v>34</v>
      </c>
      <c r="DN100" s="411">
        <f t="shared" si="88"/>
        <v>0</v>
      </c>
      <c r="DO100" s="411">
        <f t="shared" si="89"/>
        <v>5.0428571428571374</v>
      </c>
      <c r="DP100" s="410">
        <f t="shared" si="90"/>
        <v>0</v>
      </c>
      <c r="DQ100" s="405" t="s">
        <v>857</v>
      </c>
      <c r="DR100" s="409" t="s">
        <v>3168</v>
      </c>
      <c r="DS100" s="420" t="str">
        <f t="shared" si="56"/>
        <v>FLINTSL - RED</v>
      </c>
      <c r="DT100" s="409">
        <v>20</v>
      </c>
      <c r="DU100" s="411">
        <f>IF(DT100=0,0,IF($LB100=70%,VLOOKUP($DS100,'Jan-2026 rates'!$L:$R,4,0),IF($LB100=65%,VLOOKUP($DS100,'Jan-2026 rates'!$L:$R,4,0),IF($LB100=40%,VLOOKUP($DS100,'Jan-2026 rates'!$L:$R,5,0),IF($LB100=30%,VLOOKUP($DS100,'Jan-2026 rates'!$L:$R,6,0),IF($LB100=100%,VLOOKUP($DS100,'Jan-2026 rates'!$L:$R,7,0),IF($LB100=60%,VLOOKUP($DS100,'Jan-2026 rates'!$L:$S,8,0),IF($LB100=80%,VLOOKUP($DS100,'Jan-2026 rates'!L:T,9,0),0))))))))</f>
        <v>0</v>
      </c>
      <c r="DV100" s="412"/>
      <c r="DW100" s="409"/>
      <c r="DX100" s="411">
        <f>IF(DW100=0,0,IF($LB100=70%,VLOOKUP($DS100,'Jan-2026 rates'!$L:$R,4,0),IF($LB100=65%,VLOOKUP($DS100,'Jan-2026 rates'!$L:$R,4,0),IF($LB100=40%,VLOOKUP($DS100,'Jan-2026 rates'!$L:$R,5,0),IF($LB100=30%,VLOOKUP($DS100,'Jan-2026 rates'!$L:$R,6,0),IF($LB100=100%,VLOOKUP($DS100,'Jan-2026 rates'!$L:$R,7,0),IF($LB100=60%,VLOOKUP($DS100,'Jan-2026 rates'!$L:$S,8,0),IF($LB100=80%,VLOOKUP($DS100,'Jan-2026 rates'!L:T,9,0),0))))))))</f>
        <v>0</v>
      </c>
      <c r="DY100" s="413">
        <v>26508000011</v>
      </c>
      <c r="DZ100" s="413">
        <v>25863000007</v>
      </c>
      <c r="EA100" s="412"/>
      <c r="EB100" s="412"/>
      <c r="EC100" s="412"/>
      <c r="ED100" s="412"/>
      <c r="EE100" s="412"/>
      <c r="EF100" s="412"/>
      <c r="EG100" s="409">
        <v>5</v>
      </c>
      <c r="EH100" s="398" t="e">
        <f>IF(EG100=0,0,IF(LEN(DY100)=11,_xlfn.XLOOKUP(DY100,'Dispensed Ink Rates'!C:C,'Dispensed Ink Rates'!CS:CS),VLOOKUP(DY100,'Jan-2026 rates'!$E:$F,2,0)))</f>
        <v>#N/A</v>
      </c>
      <c r="EI100" s="409">
        <v>3</v>
      </c>
      <c r="EJ100" s="398" t="e">
        <f>IF(EI100=0,0,IF(LEN(DZ100)=11,_xlfn.XLOOKUP(DZ100,'Dispensed Ink Rates'!C:C,'Dispensed Ink Rates'!CS:CS),VLOOKUP(DZ100,'Jan-2026 rates'!$E:$F,2,0)))</f>
        <v>#N/A</v>
      </c>
      <c r="EK100" s="409"/>
      <c r="EL100" s="398">
        <f>IF(EK100=0,0,IF(LEN(EA100)=11,_xlfn.XLOOKUP(EA100,'Dispensed Ink Rates'!C:C,'Dispensed Ink Rates'!CS:CS),VLOOKUP(EA100,'Jan-2026 rates'!$E:$F,2,0)))</f>
        <v>0</v>
      </c>
      <c r="EM100" s="409"/>
      <c r="EN100" s="398">
        <f>IF(EM100=0,0,IF(LEN(EB100)=11,_xlfn.XLOOKUP(EB100,'Dispensed Ink Rates'!C:C,'Dispensed Ink Rates'!CS:CS),VLOOKUP(EB100,'Jan-2026 rates'!$E:$F,2,0)))</f>
        <v>0</v>
      </c>
      <c r="EO100" s="409"/>
      <c r="EP100" s="398">
        <f>IF(EO100=0,0,IF(LEN(EC100)=11,_xlfn.XLOOKUP(EC100,'Dispensed Ink Rates'!C:C,'Dispensed Ink Rates'!CS:CS),VLOOKUP(EC100,'Jan-2026 rates'!$E:$F,2,0)))</f>
        <v>0</v>
      </c>
      <c r="EQ100" s="409"/>
      <c r="ER100" s="398">
        <f>IF(EQ100=0,0,IF(LEN(ED100)=11,_xlfn.XLOOKUP(ED100,'Dispensed Ink Rates'!C:C,'Dispensed Ink Rates'!CS:CS),VLOOKUP(ED100,'Jan-2026 rates'!$E:$F,2,0)))</f>
        <v>0</v>
      </c>
      <c r="ES100" s="409"/>
      <c r="ET100" s="398">
        <f>IF(ES100=0,0,IF(LEN(EE100)=11,_xlfn.XLOOKUP(EE100,'Dispensed Ink Rates'!C:C,'Dispensed Ink Rates'!CS:CS),VLOOKUP(EE100,'Jan-2026 rates'!$E:$F,2,0)))</f>
        <v>0</v>
      </c>
      <c r="EU100" s="409"/>
      <c r="EV100" s="398">
        <f>IF(EU100=0,0,IF(LEN(EF100)=11,_xlfn.XLOOKUP(EF100,'Dispensed Ink Rates'!C:C,'Dispensed Ink Rates'!CS:CS),VLOOKUP(EF100,'Jan-2026 rates'!$E:$F,2,0)))</f>
        <v>0</v>
      </c>
      <c r="EW100" s="409" t="s">
        <v>1443</v>
      </c>
      <c r="EX100" s="409">
        <v>32</v>
      </c>
      <c r="EY100" s="411">
        <f t="shared" si="91"/>
        <v>0</v>
      </c>
      <c r="EZ100" s="411">
        <f t="shared" si="92"/>
        <v>7.8571428571428541</v>
      </c>
      <c r="FA100" s="410">
        <f t="shared" si="93"/>
        <v>0</v>
      </c>
      <c r="FB100" s="405" t="s">
        <v>855</v>
      </c>
      <c r="FC100" s="409" t="s">
        <v>3169</v>
      </c>
      <c r="FD100" s="420" t="str">
        <f t="shared" si="57"/>
        <v>FLINTSL - CYAN</v>
      </c>
      <c r="FE100" s="409">
        <v>30</v>
      </c>
      <c r="FF100" s="411">
        <f>IF(FE100=0,0,IF($LB100=70%,VLOOKUP($FD100,'Jan-2026 rates'!$L:$R,4,0),IF($LB100=65%,VLOOKUP($FD100,'Jan-2026 rates'!$L:$R,4,0),IF($LB100=40%,VLOOKUP($FD100,'Jan-2026 rates'!$L:$R,5,0),IF($LB100=30%,VLOOKUP($FD100,'Jan-2026 rates'!$L:$R,6,0),IF($LB100=100%,VLOOKUP($FD100,'Jan-2026 rates'!$L:$R,7,0),IF($LB100=60%,VLOOKUP($FD100,'Jan-2026 rates'!$L:$S,8,0),IF($LB100=80%,VLOOKUP($FD100,'Jan-2026 rates'!L:T,9,0),0))))))))</f>
        <v>0</v>
      </c>
      <c r="FG100" s="412"/>
      <c r="FH100" s="409"/>
      <c r="FI100" s="411">
        <f>IF(FH100=0,0,IF($LB100=70%,VLOOKUP($FD100,'Jan-2026 rates'!$L:$R,4,0),IF($LB100=65%,VLOOKUP($FD100,'Jan-2026 rates'!$L:$R,4,0),IF($LB100=40%,VLOOKUP($FD100,'Jan-2026 rates'!$L:$R,5,0),IF($LB100=30%,VLOOKUP($FD100,'Jan-2026 rates'!$L:$R,6,0),IF($LB100=100%,VLOOKUP($FD100,'Jan-2026 rates'!$L:$R,7,0),IF($LB100=60%,VLOOKUP($FD100,'Jan-2026 rates'!$L:$S,8,0),IF($LB100=80%,VLOOKUP($FD100,'Jan-2026 rates'!L:T,9,0),0))))))))</f>
        <v>0</v>
      </c>
      <c r="FJ100" s="413">
        <v>26507000018</v>
      </c>
      <c r="FK100" s="413"/>
      <c r="FL100" s="413"/>
      <c r="FM100" s="412"/>
      <c r="FN100" s="412"/>
      <c r="FO100" s="412"/>
      <c r="FP100" s="412"/>
      <c r="FQ100" s="412"/>
      <c r="FR100" s="409">
        <v>4</v>
      </c>
      <c r="FS100" s="398" t="e">
        <f>IF(FR100=0,0,IF(LEN(FJ100)=11,_xlfn.XLOOKUP(FJ100,'Dispensed Ink Rates'!C:C,'Dispensed Ink Rates'!CS:CS),VLOOKUP(FJ100,'Jan-2026 rates'!$E:$F,2,0)))</f>
        <v>#N/A</v>
      </c>
      <c r="FT100" s="409"/>
      <c r="FU100" s="398">
        <f>IF(FT100=0,0,IF(LEN(FK100)=11,_xlfn.XLOOKUP(FK100,'Dispensed Ink Rates'!C:C,'Dispensed Ink Rates'!CS:CS),VLOOKUP(FK100,'Jan-2026 rates'!$E:$F,2,0)))</f>
        <v>0</v>
      </c>
      <c r="FV100" s="409"/>
      <c r="FW100" s="398">
        <f>IF(FV100=0,0,IF(LEN(FL100)=11,_xlfn.XLOOKUP(FL100,'Dispensed Ink Rates'!C:C,'Dispensed Ink Rates'!CS:CS),VLOOKUP(FL100,'Jan-2026 rates'!$E:$F,2,0)))</f>
        <v>0</v>
      </c>
      <c r="FX100" s="409"/>
      <c r="FY100" s="398">
        <f>IF(FX100=0,0,IF(LEN(FM100)=11,_xlfn.XLOOKUP(FM100,'Dispensed Ink Rates'!C:C,'Dispensed Ink Rates'!CS:CS),VLOOKUP(FM100,'Jan-2026 rates'!$E:$F,2,0)))</f>
        <v>0</v>
      </c>
      <c r="FZ100" s="409"/>
      <c r="GA100" s="398">
        <f>IF(FZ100=0,0,IF(LEN(FN100)=11,_xlfn.XLOOKUP(FN100,'Dispensed Ink Rates'!C:C,'Dispensed Ink Rates'!CS:CS),VLOOKUP(FN100,'Jan-2026 rates'!$E:$F,2,0)))</f>
        <v>0</v>
      </c>
      <c r="GB100" s="409"/>
      <c r="GC100" s="398">
        <f>IF(GB100=0,0,IF(LEN(FO100)=11,_xlfn.XLOOKUP(FO100,'Dispensed Ink Rates'!C:C,'Dispensed Ink Rates'!CS:CS),VLOOKUP(FO100,'Jan-2026 rates'!$E:$F,2,0)))</f>
        <v>0</v>
      </c>
      <c r="GD100" s="409"/>
      <c r="GE100" s="398">
        <f>IF(GD100=0,0,IF(LEN(FP100)=11,_xlfn.XLOOKUP(FP100,'Dispensed Ink Rates'!C:C,'Dispensed Ink Rates'!CS:CS),VLOOKUP(FP100,'Jan-2026 rates'!$E:$F,2,0)))</f>
        <v>0</v>
      </c>
      <c r="GF100" s="409"/>
      <c r="GG100" s="398">
        <f>IF(GF100=0,0,IF(LEN(FQ100)=11,_xlfn.XLOOKUP(FQ100,'Dispensed Ink Rates'!C:C,'Dispensed Ink Rates'!CS:CS),VLOOKUP(FQ100,'Jan-2026 rates'!$E:$F,2,0)))</f>
        <v>0</v>
      </c>
      <c r="GH100" s="409" t="s">
        <v>1443</v>
      </c>
      <c r="GI100" s="409">
        <v>31</v>
      </c>
      <c r="GJ100" s="411">
        <f t="shared" si="94"/>
        <v>0</v>
      </c>
      <c r="GK100" s="411">
        <f t="shared" si="95"/>
        <v>10.114285714285714</v>
      </c>
      <c r="GL100" s="410">
        <f t="shared" si="96"/>
        <v>0</v>
      </c>
      <c r="GM100" s="405" t="s">
        <v>544</v>
      </c>
      <c r="GN100" s="409" t="s">
        <v>3170</v>
      </c>
      <c r="GO100" s="420" t="str">
        <f t="shared" si="58"/>
        <v>FLINTSL - MAGENTA</v>
      </c>
      <c r="GP100" s="409">
        <v>30</v>
      </c>
      <c r="GQ100" s="411">
        <f>IF(GP100=0,0,IF($LB100=70%,VLOOKUP($GO100,'Jan-2026 rates'!$L:$R,4,0),IF($LB100=65%,VLOOKUP($GO100,'Jan-2026 rates'!$L:$R,4,0),IF($LB100=40%,VLOOKUP($GO100,'Jan-2026 rates'!$L:$R,5,0),IF($LB100=30%,VLOOKUP($GO100,'Jan-2026 rates'!$L:$R,6,0),IF($LB100=100%,VLOOKUP($GO100,'Jan-2026 rates'!$L:$R,7,0),IF($LB100=60%,VLOOKUP($GO100,'Jan-2026 rates'!$L:$S,8,0),IF($LB100=80%,VLOOKUP($GO100,'Jan-2026 rates'!L:T,9,0),0))))))))</f>
        <v>0</v>
      </c>
      <c r="GR100" s="412"/>
      <c r="GS100" s="409"/>
      <c r="GT100" s="411">
        <f>IF(GS100=0,0,IF($LB100=70%,VLOOKUP($GO100,'Jan-2026 rates'!$L:$R,4,0),IF($LB100=65%,VLOOKUP($GO100,'Jan-2026 rates'!$L:$R,4,0),IF($LB100=40%,VLOOKUP($GO100,'Jan-2026 rates'!$L:$R,5,0),IF($LB100=30%,VLOOKUP($GO100,'Jan-2026 rates'!$L:$R,6,0),IF($LB100=100%,VLOOKUP($GO100,'Jan-2026 rates'!$L:$R,7,0),IF($LB100=60%,VLOOKUP($GO100,'Jan-2026 rates'!$L:$S,8,0),IF($LB100=80%,VLOOKUP($GO100,'Jan-2026 rates'!L:T,9,0),0))))))))</f>
        <v>0</v>
      </c>
      <c r="GU100" s="413">
        <v>26508000011</v>
      </c>
      <c r="GV100" s="413"/>
      <c r="GW100" s="412"/>
      <c r="GX100" s="412"/>
      <c r="GY100" s="412"/>
      <c r="GZ100" s="412"/>
      <c r="HA100" s="412"/>
      <c r="HB100" s="412"/>
      <c r="HC100" s="409">
        <v>3</v>
      </c>
      <c r="HD100" s="398" t="e">
        <f>IF(HC100=0,0,IF(LEN(GU100)=11,_xlfn.XLOOKUP(GU100,'Dispensed Ink Rates'!C:C,'Dispensed Ink Rates'!CS:CS),VLOOKUP(GU100,'Jan-2026 rates'!$E:$F,2,0)))</f>
        <v>#N/A</v>
      </c>
      <c r="HE100" s="409"/>
      <c r="HF100" s="398">
        <f>IF(HE100=0,0,IF(LEN(GV100)=11,_xlfn.XLOOKUP(GV100,'Dispensed Ink Rates'!C:C,'Dispensed Ink Rates'!CS:CS),VLOOKUP(GV100,'Jan-2026 rates'!$E:$F,2,0)))</f>
        <v>0</v>
      </c>
      <c r="HG100" s="409"/>
      <c r="HH100" s="398">
        <f>IF(HG100=0,0,IF(LEN(GW100)=11,_xlfn.XLOOKUP(GW100,'Dispensed Ink Rates'!C:C,'Dispensed Ink Rates'!CS:CS),VLOOKUP(GW100,'Jan-2026 rates'!$E:$F,2,0)))</f>
        <v>0</v>
      </c>
      <c r="HI100" s="409"/>
      <c r="HJ100" s="398">
        <f>IF(HI100=0,0,IF(LEN(GX100)=11,_xlfn.XLOOKUP(GX100,'Dispensed Ink Rates'!C:C,'Dispensed Ink Rates'!CS:CS),VLOOKUP(GX100,'Jan-2026 rates'!$E:$F,2,0)))</f>
        <v>0</v>
      </c>
      <c r="HK100" s="409"/>
      <c r="HL100" s="398">
        <f>IF(HK100=0,0,IF(LEN(GY100)=11,_xlfn.XLOOKUP(GY100,'Dispensed Ink Rates'!C:C,'Dispensed Ink Rates'!CS:CS),VLOOKUP(GY100,'Jan-2026 rates'!$E:$F,2,0)))</f>
        <v>0</v>
      </c>
      <c r="HM100" s="409"/>
      <c r="HN100" s="398">
        <f>IF(HM100=0,0,IF(LEN(GZ100)=11,_xlfn.XLOOKUP(GZ100,'Dispensed Ink Rates'!C:C,'Dispensed Ink Rates'!CS:CS),VLOOKUP(GZ100,'Jan-2026 rates'!$E:$F,2,0)))</f>
        <v>0</v>
      </c>
      <c r="HO100" s="409"/>
      <c r="HP100" s="398">
        <f>IF(HO100=0,0,IF(LEN(HA100)=11,_xlfn.XLOOKUP(HA100,'Dispensed Ink Rates'!C:C,'Dispensed Ink Rates'!CS:CS),VLOOKUP(HA100,'Jan-2026 rates'!$E:$F,2,0)))</f>
        <v>0</v>
      </c>
      <c r="HQ100" s="409"/>
      <c r="HR100" s="398">
        <f>IF(HQ100=0,0,IF(LEN(HB100)=11,_xlfn.XLOOKUP(HB100,'Dispensed Ink Rates'!C:C,'Dispensed Ink Rates'!CS:CS),VLOOKUP(HB100,'Jan-2026 rates'!$E:$F,2,0)))</f>
        <v>0</v>
      </c>
      <c r="HS100" s="409" t="s">
        <v>1443</v>
      </c>
      <c r="HT100" s="409">
        <v>30</v>
      </c>
      <c r="HU100" s="411">
        <f t="shared" si="97"/>
        <v>0</v>
      </c>
      <c r="HV100" s="411">
        <f t="shared" si="98"/>
        <v>7.7428571428571402</v>
      </c>
      <c r="HW100" s="414">
        <f t="shared" si="99"/>
        <v>0</v>
      </c>
      <c r="HX100" s="405" t="s">
        <v>545</v>
      </c>
      <c r="HY100" s="409" t="s">
        <v>3171</v>
      </c>
      <c r="HZ100" s="420" t="str">
        <f t="shared" si="59"/>
        <v>FLINTSL - YELLOW</v>
      </c>
      <c r="IA100" s="409">
        <v>29</v>
      </c>
      <c r="IB100" s="411">
        <f>IF(IA100=0,0,IF($LB100=70%,VLOOKUP($HZ100,'Jan-2026 rates'!$L:$R,4,0),IF($LB100=65%,VLOOKUP($HZ100,'Jan-2026 rates'!$L:$R,4,0),IF($LB100=40%,VLOOKUP($HZ100,'Jan-2026 rates'!$L:$R,5,0),IF($LB100=30%,VLOOKUP($HZ100,'Jan-2026 rates'!$L:$R,6,0),IF($LB100=100%,VLOOKUP($HZ100,'Jan-2026 rates'!$L:$R,7,0),IF($LB100=60%,VLOOKUP($HZ100,'Jan-2026 rates'!$L:$S,8,0),IF($LB100=80%,VLOOKUP($HZ100,'Jan-2026 rates'!L:T,9,0),0))))))))</f>
        <v>0</v>
      </c>
      <c r="IC100" s="412"/>
      <c r="ID100" s="409"/>
      <c r="IE100" s="411">
        <f>IF(ID100=0,0,IF($LB100=70%,VLOOKUP($HZ100,'Jan-2026 rates'!$L:$R,4,0),IF($LB100=65%,VLOOKUP($HZ100,'Jan-2026 rates'!$L:$R,4,0),IF($LB100=40%,VLOOKUP($HZ100,'Jan-2026 rates'!$L:$R,5,0),IF($LB100=30%,VLOOKUP($HZ100,'Jan-2026 rates'!$L:$R,6,0),IF($LB100=100%,VLOOKUP($HZ100,'Jan-2026 rates'!$L:$R,7,0),IF($LB100=60%,VLOOKUP($HZ100,'Jan-2026 rates'!$L:$S,8,0),IF($LB100=80%,VLOOKUP($HZ100,'Jan-2026 rates'!L:T,9,0),0))))))))</f>
        <v>0</v>
      </c>
      <c r="IF100" s="412">
        <v>26508000024</v>
      </c>
      <c r="IG100" s="413"/>
      <c r="IH100" s="412"/>
      <c r="II100" s="412"/>
      <c r="IJ100" s="412"/>
      <c r="IK100" s="412"/>
      <c r="IL100" s="412"/>
      <c r="IM100" s="412"/>
      <c r="IN100" s="409">
        <v>5</v>
      </c>
      <c r="IO100" s="398" t="e">
        <f>IF(IN100=0,0,IF(LEN(IF100)=11,_xlfn.XLOOKUP(IF100,'Dispensed Ink Rates'!C:C,'Dispensed Ink Rates'!CS:CS),VLOOKUP(IF100,'Jan-2026 rates'!$E:$F,2,0)))</f>
        <v>#N/A</v>
      </c>
      <c r="IP100" s="409"/>
      <c r="IQ100" s="398">
        <f>IF(IP100=0,0,IF(LEN(IG100)=11,_xlfn.XLOOKUP(IG100,'Dispensed Ink Rates'!C:C,'Dispensed Ink Rates'!CS:CS),VLOOKUP(IG100,'Jan-2026 rates'!$E:$F,2,0)))</f>
        <v>0</v>
      </c>
      <c r="IR100" s="409"/>
      <c r="IS100" s="398">
        <f>IF(IR100=0,0,IF(LEN(IH100)=11,_xlfn.XLOOKUP(IH100,'Dispensed Ink Rates'!C:C,'Dispensed Ink Rates'!CS:CS),VLOOKUP(IH100,'Jan-2026 rates'!$E:$F,2,0)))</f>
        <v>0</v>
      </c>
      <c r="IT100" s="409"/>
      <c r="IU100" s="398">
        <f>IF(IT100=0,0,IF(LEN(II100)=11,_xlfn.XLOOKUP(II100,'Dispensed Ink Rates'!C:C,'Dispensed Ink Rates'!CS:CS),VLOOKUP(II100,'Jan-2026 rates'!$E:$F,2,0)))</f>
        <v>0</v>
      </c>
      <c r="IV100" s="409"/>
      <c r="IW100" s="398">
        <f>IF(IV100=0,0,IF(LEN(IJ100)=11,_xlfn.XLOOKUP(IJ100,'Dispensed Ink Rates'!C:C,'Dispensed Ink Rates'!CS:CS),VLOOKUP(IJ100,'Jan-2026 rates'!$E:$F,2,0)))</f>
        <v>0</v>
      </c>
      <c r="IX100" s="409"/>
      <c r="IY100" s="398">
        <f>IF(IX100=0,0,IF(LEN(IK100)=11,_xlfn.XLOOKUP(IK100,'Dispensed Ink Rates'!C:C,'Dispensed Ink Rates'!CS:CS),VLOOKUP(IK100,'Jan-2026 rates'!$E:$F,2,0)))</f>
        <v>0</v>
      </c>
      <c r="IZ100" s="409"/>
      <c r="JA100" s="398">
        <f>IF(IZ100=0,0,IF(LEN(IL100)=11,_xlfn.XLOOKUP(IL100,'Dispensed Ink Rates'!C:C,'Dispensed Ink Rates'!CS:CS),VLOOKUP(IL100,'Jan-2026 rates'!$E:$F,2,0)))</f>
        <v>0</v>
      </c>
      <c r="JB100" s="409"/>
      <c r="JC100" s="398">
        <f>IF(JB100=0,0,IF(LEN(IM100)=11,_xlfn.XLOOKUP(IM100,'Dispensed Ink Rates'!C:C,'Dispensed Ink Rates'!CS:CS),VLOOKUP(IM100,'Jan-2026 rates'!$E:$F,2,0)))</f>
        <v>0</v>
      </c>
      <c r="JD100" s="409" t="s">
        <v>1443</v>
      </c>
      <c r="JE100" s="409">
        <v>30</v>
      </c>
      <c r="JF100" s="411">
        <f t="shared" si="100"/>
        <v>0</v>
      </c>
      <c r="JG100" s="411">
        <f t="shared" si="101"/>
        <v>11.114285714285714</v>
      </c>
      <c r="JH100" s="410">
        <f t="shared" si="102"/>
        <v>0</v>
      </c>
      <c r="JI100" s="405"/>
      <c r="JJ100" s="409"/>
      <c r="JK100" s="420" t="str">
        <f t="shared" si="60"/>
        <v xml:space="preserve"> - </v>
      </c>
      <c r="JL100" s="409"/>
      <c r="JM100" s="411">
        <f>IF(JL100=0,0,IF($LB100=70%,VLOOKUP($JK100,'Jan-2026 rates'!$L:$R,4,0),IF($LB100=65%,VLOOKUP($JK100,'Jan-2026 rates'!$L:$R,4,0),IF($LB100=40%,VLOOKUP($JK100,'Jan-2026 rates'!$L:$R,5,0),IF($LB100=30%,VLOOKUP($JK100,'Jan-2026 rates'!$L:$R,6,0),IF($LB100=100%,VLOOKUP($JK100,'Jan-2026 rates'!$L:$R,7,0),IF($LB100=60%,VLOOKUP($JK100,'Jan-2026 rates'!$L:$S,8,0),IF($LB100=80%,VLOOKUP($JK100,'Jan-2026 rates'!L:T,9,0),0))))))))</f>
        <v>0</v>
      </c>
      <c r="JN100" s="412"/>
      <c r="JO100" s="409"/>
      <c r="JP100" s="411">
        <f>IF(JO100=0,0,IF($LB100=70%,VLOOKUP($JK100,'Jan-2026 rates'!$L:$R,4,0),IF($LB100=65%,VLOOKUP($JK100,'Jan-2026 rates'!$L:$R,4,0),IF($LB100=40%,VLOOKUP($JK100,'Jan-2026 rates'!$L:$R,5,0),IF($LB100=30%,VLOOKUP($JK100,'Jan-2026 rates'!$L:$R,6,0),IF($LB100=100%,VLOOKUP($JK100,'Jan-2026 rates'!$L:$R,7,0),IF($LB100=60%,VLOOKUP($JK100,'Jan-2026 rates'!$L:$S,8,0),IF($LB100=80%,VLOOKUP($JK100,'Jan-2026 rates'!L:T,9,0),0))))))))</f>
        <v>0</v>
      </c>
      <c r="JQ100" s="413"/>
      <c r="JR100" s="412"/>
      <c r="JS100" s="413"/>
      <c r="JT100" s="413"/>
      <c r="JU100" s="412"/>
      <c r="JV100" s="412"/>
      <c r="JW100" s="412"/>
      <c r="JX100" s="412"/>
      <c r="JY100" s="409"/>
      <c r="JZ100" s="398">
        <f>IF(JY100=0,0,IF(LEN(JQ100)=11,_xlfn.XLOOKUP(JQ100,'Dispensed Ink Rates'!C:C,'Dispensed Ink Rates'!CS:CS),VLOOKUP(JQ100,'Jan-2026 rates'!$E:$F,2,0)))</f>
        <v>0</v>
      </c>
      <c r="KA100" s="409"/>
      <c r="KB100" s="398">
        <f>IF(KA100=0,0,IF(LEN(JR100)=11,_xlfn.XLOOKUP(JR100,'Dispensed Ink Rates'!C:C,'Dispensed Ink Rates'!CS:CS),VLOOKUP(JR100,'Jan-2026 rates'!$E:$F,2,0)))</f>
        <v>0</v>
      </c>
      <c r="KC100" s="409"/>
      <c r="KD100" s="398">
        <f>IF(KC100=0,0,IF(LEN(JS100)=11,_xlfn.XLOOKUP(JS100,'Dispensed Ink Rates'!C:C,'Dispensed Ink Rates'!CS:CS),VLOOKUP(JS100,'Jan-2026 rates'!$E:$F,2,0)))</f>
        <v>0</v>
      </c>
      <c r="KE100" s="409"/>
      <c r="KF100" s="398">
        <f>IF(KE100=0,0,IF(LEN(JT100)=11,_xlfn.XLOOKUP(JT100,'Dispensed Ink Rates'!C:C,'Dispensed Ink Rates'!CS:CS),VLOOKUP(JT100,'Jan-2026 rates'!$E:$F,2,0)))</f>
        <v>0</v>
      </c>
      <c r="KG100" s="409"/>
      <c r="KH100" s="398">
        <f>IF(KG100=0,0,IF(LEN(JU100)=11,_xlfn.XLOOKUP(JU100,'Dispensed Ink Rates'!C:C,'Dispensed Ink Rates'!CS:CS),VLOOKUP(JU100,'Jan-2026 rates'!$E:$F,2,0)))</f>
        <v>0</v>
      </c>
      <c r="KI100" s="409"/>
      <c r="KJ100" s="398">
        <f>IF(KI100=0,0,IF(LEN(JV100)=11,_xlfn.XLOOKUP(JV100,'Dispensed Ink Rates'!C:C,'Dispensed Ink Rates'!CS:CS),VLOOKUP(JV100,'Jan-2026 rates'!$E:$F,2,0)))</f>
        <v>0</v>
      </c>
      <c r="KK100" s="409"/>
      <c r="KL100" s="398">
        <f>IF(KK100=0,0,IF(LEN(JW100)=11,_xlfn.XLOOKUP(JW100,'Dispensed Ink Rates'!C:C,'Dispensed Ink Rates'!CS:CS),VLOOKUP(JW100,'Jan-2026 rates'!$E:$F,2,0)))</f>
        <v>0</v>
      </c>
      <c r="KM100" s="428"/>
      <c r="KN100" s="398">
        <f>IF(KM100=0,0,IF(LEN(JX100)=11,_xlfn.XLOOKUP(JX100,'Dispensed Ink Rates'!C:C,'Dispensed Ink Rates'!CS:CS),VLOOKUP(JX100,'Jan-2026 rates'!$E:$F,2,0)))</f>
        <v>0</v>
      </c>
      <c r="KO100" s="409"/>
      <c r="KP100" s="409"/>
      <c r="KQ100" s="411">
        <f t="shared" si="103"/>
        <v>0</v>
      </c>
      <c r="KR100" s="411">
        <f t="shared" si="104"/>
        <v>0</v>
      </c>
      <c r="KS100" s="410">
        <f t="shared" si="105"/>
        <v>0</v>
      </c>
      <c r="KT100" s="409">
        <v>10</v>
      </c>
      <c r="KU100" s="409">
        <v>10</v>
      </c>
      <c r="KV100" s="409">
        <v>2</v>
      </c>
      <c r="KW100" s="409">
        <v>5</v>
      </c>
      <c r="KX100" s="409">
        <v>3</v>
      </c>
      <c r="KY100" s="409">
        <v>2</v>
      </c>
      <c r="KZ100" s="409">
        <v>3</v>
      </c>
      <c r="LA100" s="409">
        <v>0</v>
      </c>
      <c r="LB100" s="415">
        <v>0.8</v>
      </c>
      <c r="LC100" s="415">
        <v>0.2</v>
      </c>
      <c r="LD100" s="415"/>
      <c r="LE100" s="415"/>
      <c r="LF100" s="415"/>
      <c r="LG100" s="409">
        <v>0</v>
      </c>
      <c r="LH100" s="409">
        <f>12+15+40+10+6</f>
        <v>83</v>
      </c>
      <c r="LI100" s="409">
        <v>0</v>
      </c>
      <c r="LJ100" s="409">
        <v>0</v>
      </c>
      <c r="LK100" s="416">
        <f t="shared" si="61"/>
        <v>83</v>
      </c>
      <c r="LL100" s="416">
        <f t="shared" si="62"/>
        <v>83</v>
      </c>
      <c r="LM100" s="417">
        <f t="shared" si="63"/>
        <v>66.400000000000006</v>
      </c>
      <c r="LN100" s="417">
        <f>VLOOKUP($LM$8,'Jan-2026 rates'!$H:$I,2,0)</f>
        <v>0</v>
      </c>
      <c r="LO100" s="417">
        <f t="shared" si="64"/>
        <v>16.600000000000001</v>
      </c>
      <c r="LP100" s="417">
        <f>VLOOKUP($LO$8,'Jan-2026 rates'!$H:$I,2,0)</f>
        <v>0</v>
      </c>
      <c r="LQ100" s="417">
        <f t="shared" si="65"/>
        <v>0</v>
      </c>
      <c r="LR100" s="417">
        <f>VLOOKUP($LQ$8,'Jan-2026 rates'!$H:$I,2,0)</f>
        <v>0</v>
      </c>
      <c r="LS100" s="417">
        <f t="shared" si="66"/>
        <v>0</v>
      </c>
      <c r="LT100" s="417">
        <f>VLOOKUP($LS$8,'Jan-2026 rates'!$H:$I,2,0)</f>
        <v>0</v>
      </c>
      <c r="LU100" s="417">
        <f t="shared" si="67"/>
        <v>0</v>
      </c>
      <c r="LV100" s="417">
        <f>VLOOKUP($LU$8,'Jan-2026 rates'!$H:$I,2,0)</f>
        <v>0</v>
      </c>
      <c r="LW100" s="417">
        <f t="shared" si="68"/>
        <v>0</v>
      </c>
      <c r="LX100" s="417">
        <f t="shared" si="69"/>
        <v>0</v>
      </c>
      <c r="LY100" s="418">
        <f t="shared" si="70"/>
        <v>0</v>
      </c>
      <c r="LZ100" s="417"/>
      <c r="MA100" s="435">
        <f t="shared" si="71"/>
        <v>93.1</v>
      </c>
      <c r="MB100" s="282">
        <f t="shared" si="72"/>
        <v>144.09999999999997</v>
      </c>
      <c r="MC100" s="283">
        <v>55</v>
      </c>
      <c r="MD100" s="284" t="str">
        <f t="shared" si="73"/>
        <v>ToyoLiFLINTSLFLINTSLFLINTSLFLINTSLFLINTSLFLINTSL</v>
      </c>
      <c r="ME100" s="293" t="str">
        <f t="shared" si="74"/>
        <v>+</v>
      </c>
      <c r="MF100" s="293" t="str">
        <f t="shared" si="75"/>
        <v>+</v>
      </c>
      <c r="MG100" s="293" t="str">
        <f t="shared" si="76"/>
        <v>+</v>
      </c>
      <c r="MH100" s="293" t="str">
        <f t="shared" si="77"/>
        <v>+</v>
      </c>
      <c r="MI100" s="293" t="str">
        <f t="shared" si="78"/>
        <v>+</v>
      </c>
      <c r="MJ100" s="293" t="str">
        <f t="shared" si="79"/>
        <v>+</v>
      </c>
      <c r="MK100" s="293" t="str">
        <f t="shared" si="80"/>
        <v>+</v>
      </c>
      <c r="ML100" s="293" t="str">
        <f t="shared" si="81"/>
        <v>NIL</v>
      </c>
      <c r="MM100" s="3" t="b">
        <f t="array" ref="MM100">OR(ME100:ML100="-")</f>
        <v>0</v>
      </c>
      <c r="MN100" s="285"/>
      <c r="MO100" s="401"/>
      <c r="MP100" s="286"/>
      <c r="MQ100" s="286"/>
      <c r="MR100" s="402"/>
      <c r="MS100" s="400"/>
      <c r="NH100" s="422"/>
      <c r="NJ100" s="421"/>
    </row>
    <row r="101" spans="1:374" s="1" customFormat="1" ht="16.5">
      <c r="A101" s="403">
        <v>46030</v>
      </c>
      <c r="B101" s="404" t="s">
        <v>1018</v>
      </c>
      <c r="C101" s="405" t="s">
        <v>3172</v>
      </c>
      <c r="D101" s="406">
        <v>56</v>
      </c>
      <c r="E101" s="404">
        <v>866</v>
      </c>
      <c r="F101" s="407">
        <v>56300</v>
      </c>
      <c r="G101" s="407" t="s">
        <v>1019</v>
      </c>
      <c r="H101" s="408" t="s">
        <v>1017</v>
      </c>
      <c r="I101" s="409">
        <v>0.52</v>
      </c>
      <c r="J101" s="405" t="s">
        <v>543</v>
      </c>
      <c r="K101" s="404" t="s">
        <v>3173</v>
      </c>
      <c r="L101" s="419" t="str">
        <f t="shared" si="54"/>
        <v>FLINTSL - BLACK</v>
      </c>
      <c r="M101" s="404">
        <v>28</v>
      </c>
      <c r="N101" s="410">
        <f>IF(M101=0,0,IF($LB101=70%,VLOOKUP($L101,'Jan-2026 rates'!$L:$R,4,0),IF($LB101=65%,VLOOKUP($L101,'Jan-2026 rates'!$L:$R,4,0),IF($LB101=40%,VLOOKUP($L101,'Jan-2026 rates'!$L:$R,5,0),IF($LB101=30%,VLOOKUP($L101,'Jan-2026 rates'!$L:$R,6,0),IF($LB101=100%,VLOOKUP($L101,'Jan-2026 rates'!$L:$R,7,0),IF($LB101=60%,VLOOKUP($L101,'Jan-2026 rates'!$L:$S,8,0),IF($LB101=80%,VLOOKUP($L101,'Jan-2026 rates'!L:T,9,0),0))))))))</f>
        <v>0</v>
      </c>
      <c r="O101" s="406"/>
      <c r="P101" s="404"/>
      <c r="Q101" s="410">
        <f>IF(P101=0,0,IF($LB101=70%,VLOOKUP($L101,'Jan-2026 rates'!$L:$R,4,0),IF($LB101=65%,VLOOKUP($L101,'Jan-2026 rates'!$L:$R,4,0),IF($LB101=40%,VLOOKUP($L101,'Jan-2026 rates'!$L:$R,5,0),IF($LB101=30%,VLOOKUP($L101,'Jan-2026 rates'!$L:$R,6,0),IF($LB101=100%,VLOOKUP($L101,'Jan-2026 rates'!$L:$R,7,0),IF($LB101=60%,VLOOKUP($L101,'Jan-2026 rates'!$L:$S,8,0),IF($LB101=80%,VLOOKUP($L101,'Jan-2026 rates'!L:T,9,0),0))))))))</f>
        <v>0</v>
      </c>
      <c r="R101" s="406">
        <v>26506000007</v>
      </c>
      <c r="S101" s="406"/>
      <c r="T101" s="406"/>
      <c r="U101" s="406"/>
      <c r="V101" s="406"/>
      <c r="W101" s="406"/>
      <c r="X101" s="406"/>
      <c r="Y101" s="406"/>
      <c r="Z101" s="404">
        <f>6+2.5</f>
        <v>8.5</v>
      </c>
      <c r="AA101" s="398" t="e">
        <f>IF(Z101=0,0,IF(LEN(R101)=11,_xlfn.XLOOKUP(R101,'Dispensed Ink Rates'!C:C,'Dispensed Ink Rates'!CS:CS),VLOOKUP(R101,'Jan-2026 rates'!$E:$F,2,0)))</f>
        <v>#N/A</v>
      </c>
      <c r="AB101" s="404"/>
      <c r="AC101" s="398">
        <f>IF(AB101=0,0,IF(LEN(S101)=11,_xlfn.XLOOKUP(S101,'Dispensed Ink Rates'!C:C,'Dispensed Ink Rates'!CS:CS),VLOOKUP(S101,'Jan-2026 rates'!$E:$F,2,0)))</f>
        <v>0</v>
      </c>
      <c r="AD101" s="404"/>
      <c r="AE101" s="398">
        <f>IF(AD101=0,0,IF(LEN(T101)=11,_xlfn.XLOOKUP(T101,'Dispensed Ink Rates'!C:C,'Dispensed Ink Rates'!CS:CS),VLOOKUP(T101,'Jan-2026 rates'!$E:$F,2,0)))</f>
        <v>0</v>
      </c>
      <c r="AF101" s="404"/>
      <c r="AG101" s="398">
        <f>IF(AF101=0,0,IF(LEN(U101)=11,_xlfn.XLOOKUP(U101,'Dispensed Ink Rates'!C:C,'Dispensed Ink Rates'!CS:CS),VLOOKUP(U101,'Jan-2026 rates'!$E:$F,2,0)))</f>
        <v>0</v>
      </c>
      <c r="AH101" s="404"/>
      <c r="AI101" s="398">
        <f>IF(AH101=0,0,IF(LEN(V101)=11,_xlfn.XLOOKUP(V101,'Dispensed Ink Rates'!C:C,'Dispensed Ink Rates'!CS:CS),VLOOKUP(V101,'Jan-2026 rates'!$E:$F,2,0)))</f>
        <v>0</v>
      </c>
      <c r="AJ101" s="404"/>
      <c r="AK101" s="398">
        <f>IF(AJ101=0,0,IF(LEN(W101)=11,_xlfn.XLOOKUP(W101,'Dispensed Ink Rates'!C:C,'Dispensed Ink Rates'!CS:CS),VLOOKUP(W101,'Jan-2026 rates'!$E:$F,2,0)))</f>
        <v>0</v>
      </c>
      <c r="AL101" s="404"/>
      <c r="AM101" s="398">
        <f>IF(AL101=0,0,IF(LEN(X101)=11,_xlfn.XLOOKUP(X101,'Dispensed Ink Rates'!C:C,'Dispensed Ink Rates'!CS:CS),VLOOKUP(X101,'Jan-2026 rates'!$E:$F,2,0)))</f>
        <v>0</v>
      </c>
      <c r="AN101" s="404"/>
      <c r="AO101" s="398">
        <f>IF(AN101=0,0,IF(LEN(Y101)=11,_xlfn.XLOOKUP(Y101,'Dispensed Ink Rates'!C:C,'Dispensed Ink Rates'!CS:CS),VLOOKUP(Y101,'Jan-2026 rates'!$E:$F,2,0)))</f>
        <v>0</v>
      </c>
      <c r="AP101" s="409" t="s">
        <v>1443</v>
      </c>
      <c r="AQ101" s="409">
        <v>30</v>
      </c>
      <c r="AR101" s="410">
        <f t="shared" si="82"/>
        <v>0</v>
      </c>
      <c r="AS101" s="411">
        <f t="shared" si="83"/>
        <v>49.7</v>
      </c>
      <c r="AT101" s="410">
        <f t="shared" si="84"/>
        <v>0</v>
      </c>
      <c r="AU101" s="405" t="s">
        <v>546</v>
      </c>
      <c r="AV101" s="409" t="s">
        <v>2848</v>
      </c>
      <c r="AW101" s="420" t="str">
        <f t="shared" si="53"/>
        <v>FLINTSL - REFLEX BLUE</v>
      </c>
      <c r="AX101" s="409">
        <v>25</v>
      </c>
      <c r="AY101" s="411">
        <f>IF(AX101=0,0,IF($LB101=70%,VLOOKUP($AW101,'Jan-2026 rates'!$L:$R,4,0),IF($LB101=65%,VLOOKUP($AW101,'Jan-2026 rates'!$L:$R,4,0),IF($LB101=40%,VLOOKUP($AW101,'Jan-2026 rates'!$L:$R,5,0),IF($LB101=30%,VLOOKUP($AW101,'Jan-2026 rates'!$L:$R,6,0),IF($LB101=100%,VLOOKUP($AW101,'Jan-2026 rates'!$L:$R,7,0),IF($LB101=60%,VLOOKUP($AW101,'Jan-2026 rates'!$L:$S,8,0),IF($LB101=80%,VLOOKUP($AW101,'Jan-2026 rates'!L:T,9,0),0))))))))</f>
        <v>0</v>
      </c>
      <c r="AZ101" s="412"/>
      <c r="BA101" s="409"/>
      <c r="BB101" s="411">
        <f>IF(BA101=0,0,IF($LB101=70%,VLOOKUP($AW101,'Jan-2026 rates'!$L:$R,4,0),IF($LB101=65%,VLOOKUP($AW101,'Jan-2026 rates'!$L:$R,4,0),IF($LB101=40%,VLOOKUP($AW101,'Jan-2026 rates'!$L:$R,5,0),IF($LB101=30%,VLOOKUP($AW101,'Jan-2026 rates'!$L:$R,6,0),IF($LB101=100%,VLOOKUP($AW101,'Jan-2026 rates'!$L:$R,7,0),IF($LB101=60%,VLOOKUP($AW101,'Jan-2026 rates'!$L:$S,8,0),IF($LB101=80%,VLOOKUP($AW101,'Jan-2026 rates'!L:T,9,0),0))))))))</f>
        <v>0</v>
      </c>
      <c r="BC101" s="413">
        <v>26506000001</v>
      </c>
      <c r="BD101" s="412">
        <v>26507000010</v>
      </c>
      <c r="BE101" s="412">
        <v>26508000011</v>
      </c>
      <c r="BF101" s="413"/>
      <c r="BG101" s="412"/>
      <c r="BH101" s="412"/>
      <c r="BI101" s="412"/>
      <c r="BJ101" s="412"/>
      <c r="BK101" s="409">
        <v>2</v>
      </c>
      <c r="BL101" s="398" t="e">
        <f>IF(BK101=0,0,IF(LEN(BC101)=11,_xlfn.XLOOKUP(BC101,'Dispensed Ink Rates'!C:C,'Dispensed Ink Rates'!CS:CS),VLOOKUP(BC101,'Jan-2026 rates'!$E:$F,2,0)))</f>
        <v>#N/A</v>
      </c>
      <c r="BM101" s="409">
        <v>0.3</v>
      </c>
      <c r="BN101" s="398" t="e">
        <f>IF(BM101=0,0,IF(LEN(BD101)=11,_xlfn.XLOOKUP(BD101,'Dispensed Ink Rates'!C:C,'Dispensed Ink Rates'!CS:CS),VLOOKUP(BD101,'Jan-2026 rates'!$E:$F,2,0)))</f>
        <v>#N/A</v>
      </c>
      <c r="BO101" s="409">
        <v>6</v>
      </c>
      <c r="BP101" s="398" t="e">
        <f>IF(BO101=0,0,IF(LEN(BE101)=11,_xlfn.XLOOKUP(BE101,'Dispensed Ink Rates'!C:C,'Dispensed Ink Rates'!CS:CS),VLOOKUP(BE101,'Jan-2026 rates'!$E:$F,2,0)))</f>
        <v>#N/A</v>
      </c>
      <c r="BQ101" s="409"/>
      <c r="BR101" s="398">
        <f>IF(BQ101=0,0,IF(LEN(BF101)=11,_xlfn.XLOOKUP(BF101,'Dispensed Ink Rates'!C:C,'Dispensed Ink Rates'!CS:CS),VLOOKUP(BF101,'Jan-2026 rates'!$E:$F,2,0)))</f>
        <v>0</v>
      </c>
      <c r="BS101" s="409"/>
      <c r="BT101" s="398">
        <f>IF(BS101=0,0,IF(LEN(BG101)=11,_xlfn.XLOOKUP(BG101,'Dispensed Ink Rates'!C:C,'Dispensed Ink Rates'!CS:CS),VLOOKUP(BG101,'Jan-2026 rates'!$E:$F,2,0)))</f>
        <v>0</v>
      </c>
      <c r="BU101" s="409"/>
      <c r="BV101" s="398">
        <f>IF(BU101=0,0,IF(LEN(BH101)=11,_xlfn.XLOOKUP(BH101,'Dispensed Ink Rates'!C:C,'Dispensed Ink Rates'!CS:CS),VLOOKUP(BH101,'Jan-2026 rates'!$E:$F,2,0)))</f>
        <v>0</v>
      </c>
      <c r="BW101" s="409"/>
      <c r="BX101" s="398">
        <f>IF(BW101=0,0,IF(LEN(BI101)=11,_xlfn.XLOOKUP(BI101,'Dispensed Ink Rates'!C:C,'Dispensed Ink Rates'!CS:CS),VLOOKUP(BI101,'Jan-2026 rates'!$E:$F,2,0)))</f>
        <v>0</v>
      </c>
      <c r="BY101" s="409"/>
      <c r="BZ101" s="398">
        <f>IF(BY101=0,0,IF(LEN(BJ101)=11,_xlfn.XLOOKUP(BJ101,'Dispensed Ink Rates'!C:C,'Dispensed Ink Rates'!CS:CS),VLOOKUP(BJ101,'Jan-2026 rates'!$E:$F,2,0)))</f>
        <v>0</v>
      </c>
      <c r="CA101" s="409" t="s">
        <v>1443</v>
      </c>
      <c r="CB101" s="409">
        <v>28</v>
      </c>
      <c r="CC101" s="411">
        <f t="shared" si="85"/>
        <v>0</v>
      </c>
      <c r="CD101" s="411">
        <f t="shared" si="86"/>
        <v>48.5</v>
      </c>
      <c r="CE101" s="410">
        <f t="shared" si="87"/>
        <v>0</v>
      </c>
      <c r="CF101" s="404" t="s">
        <v>855</v>
      </c>
      <c r="CG101" s="409"/>
      <c r="CH101" s="420" t="str">
        <f t="shared" si="55"/>
        <v>FLINTSL - CYAN</v>
      </c>
      <c r="CI101" s="409"/>
      <c r="CJ101" s="411">
        <f>IF(CI101=0,0,IF($LB101=70%,VLOOKUP($CH101,'Jan-2026 rates'!$L:$R,4,0),IF($LB101=65%,VLOOKUP($CH101,'Jan-2026 rates'!$L:$R,4,0),IF($LB101=40%,VLOOKUP($CH101,'Jan-2026 rates'!$L:$R,5,0),IF($LB101=30%,VLOOKUP($CH101,'Jan-2026 rates'!$L:$R,6,0),IF($LB101=100%,VLOOKUP($CH101,'Jan-2026 rates'!$L:$R,7,0),IF($LB101=60%,VLOOKUP($CH101,'Jan-2026 rates'!$L:$S,8,0),IF($LB101=80%,VLOOKUP($CH101,'Jan-2026 rates'!L:T,9,0),0))))))))</f>
        <v>0</v>
      </c>
      <c r="CK101" s="412"/>
      <c r="CL101" s="409"/>
      <c r="CM101" s="411">
        <f>IF(CL101=0,0,IF($LB101=70%,VLOOKUP($CH101,'Jan-2026 rates'!$L:$R,4,0),IF($LB101=65%,VLOOKUP($CH101,'Jan-2026 rates'!$L:$R,4,0),IF($LB101=40%,VLOOKUP($CH101,'Jan-2026 rates'!$L:$R,5,0),IF($LB101=30%,VLOOKUP($CH101,'Jan-2026 rates'!$L:$R,6,0),IF($LB101=100%,VLOOKUP($CH101,'Jan-2026 rates'!$L:$R,7,0),IF($LB101=60%,VLOOKUP($CH101,'Jan-2026 rates'!$L:$S,8,0),IF($LB101=80%,VLOOKUP($CH101,'Jan-2026 rates'!L:T,9,0),0))))))))</f>
        <v>0</v>
      </c>
      <c r="CN101" s="426">
        <v>26508000018</v>
      </c>
      <c r="CO101" s="427">
        <v>26509000002</v>
      </c>
      <c r="CP101" s="426">
        <v>26508000025</v>
      </c>
      <c r="CQ101" s="426">
        <v>26509000003</v>
      </c>
      <c r="CR101" s="428"/>
      <c r="CS101" s="428"/>
      <c r="CT101" s="428"/>
      <c r="CU101" s="428"/>
      <c r="CV101" s="409">
        <v>20</v>
      </c>
      <c r="CW101" s="398" t="e">
        <f>IF(CV101=0,0,IF(LEN(CN101)=11,_xlfn.XLOOKUP(CN101,'Dispensed Ink Rates'!C:C,'Dispensed Ink Rates'!CS:CS),VLOOKUP(CN101,'Jan-2026 rates'!$E:$F,2,0)))</f>
        <v>#N/A</v>
      </c>
      <c r="CX101" s="409">
        <v>40</v>
      </c>
      <c r="CY101" s="398" t="e">
        <f>IF(CX101=0,0,IF(LEN(CO101)=11,_xlfn.XLOOKUP(CO101,'Dispensed Ink Rates'!C:C,'Dispensed Ink Rates'!CS:CS),VLOOKUP(CO101,'Jan-2026 rates'!$E:$F,2,0)))</f>
        <v>#N/A</v>
      </c>
      <c r="CZ101" s="409">
        <v>130</v>
      </c>
      <c r="DA101" s="398" t="e">
        <f>IF(CZ101=0,0,IF(LEN(CP101)=11,_xlfn.XLOOKUP(CP101,'Dispensed Ink Rates'!C:C,'Dispensed Ink Rates'!CS:CS),VLOOKUP(CP101,'Jan-2026 rates'!$E:$F,2,0)))</f>
        <v>#N/A</v>
      </c>
      <c r="DB101" s="409">
        <v>30</v>
      </c>
      <c r="DC101" s="398" t="e">
        <f>IF(DB101=0,0,IF(LEN(CQ101)=11,_xlfn.XLOOKUP(CQ101,'Dispensed Ink Rates'!C:C,'Dispensed Ink Rates'!CS:CS),VLOOKUP(CQ101,'Jan-2026 rates'!$E:$F,2,0)))</f>
        <v>#N/A</v>
      </c>
      <c r="DD101" s="409"/>
      <c r="DE101" s="398">
        <f>IF(DD101=0,0,IF(LEN(CR101)=11,_xlfn.XLOOKUP(CR101,'Dispensed Ink Rates'!C:C,'Dispensed Ink Rates'!CS:CS),VLOOKUP(CR101,'Jan-2026 rates'!$E:$F,2,0)))</f>
        <v>0</v>
      </c>
      <c r="DF101" s="409"/>
      <c r="DG101" s="398">
        <f>IF(DF101=0,0,IF(LEN(CS101)=11,_xlfn.XLOOKUP(CS101,'Dispensed Ink Rates'!C:C,'Dispensed Ink Rates'!CS:CS),VLOOKUP(CS101,'Jan-2026 rates'!$E:$F,2,0)))</f>
        <v>0</v>
      </c>
      <c r="DH101" s="409"/>
      <c r="DI101" s="398">
        <f>IF(DH101=0,0,IF(LEN(CT101)=11,_xlfn.XLOOKUP(CT101,'Dispensed Ink Rates'!C:C,'Dispensed Ink Rates'!CS:CS),VLOOKUP(CT101,'Jan-2026 rates'!$E:$F,2,0)))</f>
        <v>0</v>
      </c>
      <c r="DJ101" s="409"/>
      <c r="DK101" s="398">
        <f>IF(DJ101=0,0,IF(LEN(CU101)=11,_xlfn.XLOOKUP(CU101,'Dispensed Ink Rates'!C:C,'Dispensed Ink Rates'!CS:CS),VLOOKUP(CU101,'Jan-2026 rates'!$E:$F,2,0)))</f>
        <v>0</v>
      </c>
      <c r="DL101" s="409" t="s">
        <v>1443</v>
      </c>
      <c r="DM101" s="409">
        <v>20</v>
      </c>
      <c r="DN101" s="411">
        <f t="shared" si="88"/>
        <v>0</v>
      </c>
      <c r="DO101" s="411">
        <f t="shared" si="89"/>
        <v>254</v>
      </c>
      <c r="DP101" s="410">
        <f t="shared" si="90"/>
        <v>0</v>
      </c>
      <c r="DQ101" s="405" t="s">
        <v>855</v>
      </c>
      <c r="DR101" s="409" t="s">
        <v>3174</v>
      </c>
      <c r="DS101" s="420" t="str">
        <f t="shared" si="56"/>
        <v>FLINTSL - CYAN</v>
      </c>
      <c r="DT101" s="409">
        <v>31</v>
      </c>
      <c r="DU101" s="411">
        <f>IF(DT101=0,0,IF($LB101=70%,VLOOKUP($DS101,'Jan-2026 rates'!$L:$R,4,0),IF($LB101=65%,VLOOKUP($DS101,'Jan-2026 rates'!$L:$R,4,0),IF($LB101=40%,VLOOKUP($DS101,'Jan-2026 rates'!$L:$R,5,0),IF($LB101=30%,VLOOKUP($DS101,'Jan-2026 rates'!$L:$R,6,0),IF($LB101=100%,VLOOKUP($DS101,'Jan-2026 rates'!$L:$R,7,0),IF($LB101=60%,VLOOKUP($DS101,'Jan-2026 rates'!$L:$S,8,0),IF($LB101=80%,VLOOKUP($DS101,'Jan-2026 rates'!L:T,9,0),0))))))))</f>
        <v>0</v>
      </c>
      <c r="DV101" s="412"/>
      <c r="DW101" s="409"/>
      <c r="DX101" s="411">
        <f>IF(DW101=0,0,IF($LB101=70%,VLOOKUP($DS101,'Jan-2026 rates'!$L:$R,4,0),IF($LB101=65%,VLOOKUP($DS101,'Jan-2026 rates'!$L:$R,4,0),IF($LB101=40%,VLOOKUP($DS101,'Jan-2026 rates'!$L:$R,5,0),IF($LB101=30%,VLOOKUP($DS101,'Jan-2026 rates'!$L:$R,6,0),IF($LB101=100%,VLOOKUP($DS101,'Jan-2026 rates'!$L:$R,7,0),IF($LB101=60%,VLOOKUP($DS101,'Jan-2026 rates'!$L:$S,8,0),IF($LB101=80%,VLOOKUP($DS101,'Jan-2026 rates'!L:T,9,0),0))))))))</f>
        <v>0</v>
      </c>
      <c r="DY101" s="413">
        <v>26508000019</v>
      </c>
      <c r="DZ101" s="413">
        <v>26507000018</v>
      </c>
      <c r="EA101" s="412"/>
      <c r="EB101" s="412"/>
      <c r="EC101" s="412"/>
      <c r="ED101" s="412"/>
      <c r="EE101" s="412"/>
      <c r="EF101" s="412"/>
      <c r="EG101" s="409">
        <v>20</v>
      </c>
      <c r="EH101" s="398" t="e">
        <f>IF(EG101=0,0,IF(LEN(DY101)=11,_xlfn.XLOOKUP(DY101,'Dispensed Ink Rates'!C:C,'Dispensed Ink Rates'!CS:CS),VLOOKUP(DY101,'Jan-2026 rates'!$E:$F,2,0)))</f>
        <v>#N/A</v>
      </c>
      <c r="EI101" s="409">
        <v>1</v>
      </c>
      <c r="EJ101" s="398" t="e">
        <f>IF(EI101=0,0,IF(LEN(DZ101)=11,_xlfn.XLOOKUP(DZ101,'Dispensed Ink Rates'!C:C,'Dispensed Ink Rates'!CS:CS),VLOOKUP(DZ101,'Jan-2026 rates'!$E:$F,2,0)))</f>
        <v>#N/A</v>
      </c>
      <c r="EK101" s="409"/>
      <c r="EL101" s="398">
        <f>IF(EK101=0,0,IF(LEN(EA101)=11,_xlfn.XLOOKUP(EA101,'Dispensed Ink Rates'!C:C,'Dispensed Ink Rates'!CS:CS),VLOOKUP(EA101,'Jan-2026 rates'!$E:$F,2,0)))</f>
        <v>0</v>
      </c>
      <c r="EM101" s="409"/>
      <c r="EN101" s="398">
        <f>IF(EM101=0,0,IF(LEN(EB101)=11,_xlfn.XLOOKUP(EB101,'Dispensed Ink Rates'!C:C,'Dispensed Ink Rates'!CS:CS),VLOOKUP(EB101,'Jan-2026 rates'!$E:$F,2,0)))</f>
        <v>0</v>
      </c>
      <c r="EO101" s="409"/>
      <c r="EP101" s="398">
        <f>IF(EO101=0,0,IF(LEN(EC101)=11,_xlfn.XLOOKUP(EC101,'Dispensed Ink Rates'!C:C,'Dispensed Ink Rates'!CS:CS),VLOOKUP(EC101,'Jan-2026 rates'!$E:$F,2,0)))</f>
        <v>0</v>
      </c>
      <c r="EQ101" s="409"/>
      <c r="ER101" s="398">
        <f>IF(EQ101=0,0,IF(LEN(ED101)=11,_xlfn.XLOOKUP(ED101,'Dispensed Ink Rates'!C:C,'Dispensed Ink Rates'!CS:CS),VLOOKUP(ED101,'Jan-2026 rates'!$E:$F,2,0)))</f>
        <v>0</v>
      </c>
      <c r="ES101" s="409"/>
      <c r="ET101" s="398">
        <f>IF(ES101=0,0,IF(LEN(EE101)=11,_xlfn.XLOOKUP(EE101,'Dispensed Ink Rates'!C:C,'Dispensed Ink Rates'!CS:CS),VLOOKUP(EE101,'Jan-2026 rates'!$E:$F,2,0)))</f>
        <v>0</v>
      </c>
      <c r="EU101" s="409"/>
      <c r="EV101" s="398">
        <f>IF(EU101=0,0,IF(LEN(EF101)=11,_xlfn.XLOOKUP(EF101,'Dispensed Ink Rates'!C:C,'Dispensed Ink Rates'!CS:CS),VLOOKUP(EF101,'Jan-2026 rates'!$E:$F,2,0)))</f>
        <v>0</v>
      </c>
      <c r="EW101" s="409" t="s">
        <v>1443</v>
      </c>
      <c r="EX101" s="409">
        <v>30</v>
      </c>
      <c r="EY101" s="411">
        <f t="shared" si="91"/>
        <v>0</v>
      </c>
      <c r="EZ101" s="411">
        <f t="shared" si="92"/>
        <v>43.599999999999994</v>
      </c>
      <c r="FA101" s="410">
        <f t="shared" si="93"/>
        <v>0</v>
      </c>
      <c r="FB101" s="405" t="s">
        <v>544</v>
      </c>
      <c r="FC101" s="409" t="s">
        <v>3175</v>
      </c>
      <c r="FD101" s="420" t="str">
        <f t="shared" si="57"/>
        <v>FLINTSL - MAGENTA</v>
      </c>
      <c r="FE101" s="409">
        <v>30</v>
      </c>
      <c r="FF101" s="411">
        <f>IF(FE101=0,0,IF($LB101=70%,VLOOKUP($FD101,'Jan-2026 rates'!$L:$R,4,0),IF($LB101=65%,VLOOKUP($FD101,'Jan-2026 rates'!$L:$R,4,0),IF($LB101=40%,VLOOKUP($FD101,'Jan-2026 rates'!$L:$R,5,0),IF($LB101=30%,VLOOKUP($FD101,'Jan-2026 rates'!$L:$R,6,0),IF($LB101=100%,VLOOKUP($FD101,'Jan-2026 rates'!$L:$R,7,0),IF($LB101=60%,VLOOKUP($FD101,'Jan-2026 rates'!$L:$S,8,0),IF($LB101=80%,VLOOKUP($FD101,'Jan-2026 rates'!L:T,9,0),0))))))))</f>
        <v>0</v>
      </c>
      <c r="FG101" s="412"/>
      <c r="FH101" s="409"/>
      <c r="FI101" s="411">
        <f>IF(FH101=0,0,IF($LB101=70%,VLOOKUP($FD101,'Jan-2026 rates'!$L:$R,4,0),IF($LB101=65%,VLOOKUP($FD101,'Jan-2026 rates'!$L:$R,4,0),IF($LB101=40%,VLOOKUP($FD101,'Jan-2026 rates'!$L:$R,5,0),IF($LB101=30%,VLOOKUP($FD101,'Jan-2026 rates'!$L:$R,6,0),IF($LB101=100%,VLOOKUP($FD101,'Jan-2026 rates'!$L:$R,7,0),IF($LB101=60%,VLOOKUP($FD101,'Jan-2026 rates'!$L:$S,8,0),IF($LB101=80%,VLOOKUP($FD101,'Jan-2026 rates'!L:T,9,0),0))))))))</f>
        <v>0</v>
      </c>
      <c r="FJ101" s="413">
        <v>26508000011</v>
      </c>
      <c r="FK101" s="413"/>
      <c r="FL101" s="413"/>
      <c r="FM101" s="412"/>
      <c r="FN101" s="412"/>
      <c r="FO101" s="412"/>
      <c r="FP101" s="412"/>
      <c r="FQ101" s="412"/>
      <c r="FR101" s="409">
        <v>3</v>
      </c>
      <c r="FS101" s="398" t="e">
        <f>IF(FR101=0,0,IF(LEN(FJ101)=11,_xlfn.XLOOKUP(FJ101,'Dispensed Ink Rates'!C:C,'Dispensed Ink Rates'!CS:CS),VLOOKUP(FJ101,'Jan-2026 rates'!$E:$F,2,0)))</f>
        <v>#N/A</v>
      </c>
      <c r="FT101" s="409"/>
      <c r="FU101" s="398">
        <f>IF(FT101=0,0,IF(LEN(FK101)=11,_xlfn.XLOOKUP(FK101,'Dispensed Ink Rates'!C:C,'Dispensed Ink Rates'!CS:CS),VLOOKUP(FK101,'Jan-2026 rates'!$E:$F,2,0)))</f>
        <v>0</v>
      </c>
      <c r="FV101" s="409"/>
      <c r="FW101" s="398">
        <f>IF(FV101=0,0,IF(LEN(FL101)=11,_xlfn.XLOOKUP(FL101,'Dispensed Ink Rates'!C:C,'Dispensed Ink Rates'!CS:CS),VLOOKUP(FL101,'Jan-2026 rates'!$E:$F,2,0)))</f>
        <v>0</v>
      </c>
      <c r="FX101" s="409"/>
      <c r="FY101" s="398">
        <f>IF(FX101=0,0,IF(LEN(FM101)=11,_xlfn.XLOOKUP(FM101,'Dispensed Ink Rates'!C:C,'Dispensed Ink Rates'!CS:CS),VLOOKUP(FM101,'Jan-2026 rates'!$E:$F,2,0)))</f>
        <v>0</v>
      </c>
      <c r="FZ101" s="409"/>
      <c r="GA101" s="398">
        <f>IF(FZ101=0,0,IF(LEN(FN101)=11,_xlfn.XLOOKUP(FN101,'Dispensed Ink Rates'!C:C,'Dispensed Ink Rates'!CS:CS),VLOOKUP(FN101,'Jan-2026 rates'!$E:$F,2,0)))</f>
        <v>0</v>
      </c>
      <c r="GB101" s="409"/>
      <c r="GC101" s="398">
        <f>IF(GB101=0,0,IF(LEN(FO101)=11,_xlfn.XLOOKUP(FO101,'Dispensed Ink Rates'!C:C,'Dispensed Ink Rates'!CS:CS),VLOOKUP(FO101,'Jan-2026 rates'!$E:$F,2,0)))</f>
        <v>0</v>
      </c>
      <c r="GD101" s="409"/>
      <c r="GE101" s="398">
        <f>IF(GD101=0,0,IF(LEN(FP101)=11,_xlfn.XLOOKUP(FP101,'Dispensed Ink Rates'!C:C,'Dispensed Ink Rates'!CS:CS),VLOOKUP(FP101,'Jan-2026 rates'!$E:$F,2,0)))</f>
        <v>0</v>
      </c>
      <c r="GF101" s="409"/>
      <c r="GG101" s="398">
        <f>IF(GF101=0,0,IF(LEN(FQ101)=11,_xlfn.XLOOKUP(FQ101,'Dispensed Ink Rates'!C:C,'Dispensed Ink Rates'!CS:CS),VLOOKUP(FQ101,'Jan-2026 rates'!$E:$F,2,0)))</f>
        <v>0</v>
      </c>
      <c r="GH101" s="409" t="s">
        <v>1443</v>
      </c>
      <c r="GI101" s="409">
        <v>29</v>
      </c>
      <c r="GJ101" s="411">
        <f t="shared" si="94"/>
        <v>0</v>
      </c>
      <c r="GK101" s="411">
        <f t="shared" si="95"/>
        <v>25.6</v>
      </c>
      <c r="GL101" s="410">
        <f t="shared" si="96"/>
        <v>0</v>
      </c>
      <c r="GM101" s="405" t="s">
        <v>545</v>
      </c>
      <c r="GN101" s="409" t="s">
        <v>3176</v>
      </c>
      <c r="GO101" s="420" t="str">
        <f t="shared" si="58"/>
        <v>FLINTSL - YELLOW</v>
      </c>
      <c r="GP101" s="409">
        <v>30</v>
      </c>
      <c r="GQ101" s="411">
        <f>IF(GP101=0,0,IF($LB101=70%,VLOOKUP($GO101,'Jan-2026 rates'!$L:$R,4,0),IF($LB101=65%,VLOOKUP($GO101,'Jan-2026 rates'!$L:$R,4,0),IF($LB101=40%,VLOOKUP($GO101,'Jan-2026 rates'!$L:$R,5,0),IF($LB101=30%,VLOOKUP($GO101,'Jan-2026 rates'!$L:$R,6,0),IF($LB101=100%,VLOOKUP($GO101,'Jan-2026 rates'!$L:$R,7,0),IF($LB101=60%,VLOOKUP($GO101,'Jan-2026 rates'!$L:$S,8,0),IF($LB101=80%,VLOOKUP($GO101,'Jan-2026 rates'!L:T,9,0),0))))))))</f>
        <v>0</v>
      </c>
      <c r="GR101" s="412"/>
      <c r="GS101" s="409"/>
      <c r="GT101" s="411">
        <f>IF(GS101=0,0,IF($LB101=70%,VLOOKUP($GO101,'Jan-2026 rates'!$L:$R,4,0),IF($LB101=65%,VLOOKUP($GO101,'Jan-2026 rates'!$L:$R,4,0),IF($LB101=40%,VLOOKUP($GO101,'Jan-2026 rates'!$L:$R,5,0),IF($LB101=30%,VLOOKUP($GO101,'Jan-2026 rates'!$L:$R,6,0),IF($LB101=100%,VLOOKUP($GO101,'Jan-2026 rates'!$L:$R,7,0),IF($LB101=60%,VLOOKUP($GO101,'Jan-2026 rates'!$L:$S,8,0),IF($LB101=80%,VLOOKUP($GO101,'Jan-2026 rates'!L:T,9,0),0))))))))</f>
        <v>0</v>
      </c>
      <c r="GU101" s="413">
        <v>26508000024</v>
      </c>
      <c r="GV101" s="413"/>
      <c r="GW101" s="412"/>
      <c r="GX101" s="412"/>
      <c r="GY101" s="412"/>
      <c r="GZ101" s="412"/>
      <c r="HA101" s="412"/>
      <c r="HB101" s="412"/>
      <c r="HC101" s="409">
        <v>3</v>
      </c>
      <c r="HD101" s="398" t="e">
        <f>IF(HC101=0,0,IF(LEN(GU101)=11,_xlfn.XLOOKUP(GU101,'Dispensed Ink Rates'!C:C,'Dispensed Ink Rates'!CS:CS),VLOOKUP(GU101,'Jan-2026 rates'!$E:$F,2,0)))</f>
        <v>#N/A</v>
      </c>
      <c r="HE101" s="409"/>
      <c r="HF101" s="398">
        <f>IF(HE101=0,0,IF(LEN(GV101)=11,_xlfn.XLOOKUP(GV101,'Dispensed Ink Rates'!C:C,'Dispensed Ink Rates'!CS:CS),VLOOKUP(GV101,'Jan-2026 rates'!$E:$F,2,0)))</f>
        <v>0</v>
      </c>
      <c r="HG101" s="409"/>
      <c r="HH101" s="398">
        <f>IF(HG101=0,0,IF(LEN(GW101)=11,_xlfn.XLOOKUP(GW101,'Dispensed Ink Rates'!C:C,'Dispensed Ink Rates'!CS:CS),VLOOKUP(GW101,'Jan-2026 rates'!$E:$F,2,0)))</f>
        <v>0</v>
      </c>
      <c r="HI101" s="409"/>
      <c r="HJ101" s="398">
        <f>IF(HI101=0,0,IF(LEN(GX101)=11,_xlfn.XLOOKUP(GX101,'Dispensed Ink Rates'!C:C,'Dispensed Ink Rates'!CS:CS),VLOOKUP(GX101,'Jan-2026 rates'!$E:$F,2,0)))</f>
        <v>0</v>
      </c>
      <c r="HK101" s="409"/>
      <c r="HL101" s="398">
        <f>IF(HK101=0,0,IF(LEN(GY101)=11,_xlfn.XLOOKUP(GY101,'Dispensed Ink Rates'!C:C,'Dispensed Ink Rates'!CS:CS),VLOOKUP(GY101,'Jan-2026 rates'!$E:$F,2,0)))</f>
        <v>0</v>
      </c>
      <c r="HM101" s="409"/>
      <c r="HN101" s="398">
        <f>IF(HM101=0,0,IF(LEN(GZ101)=11,_xlfn.XLOOKUP(GZ101,'Dispensed Ink Rates'!C:C,'Dispensed Ink Rates'!CS:CS),VLOOKUP(GZ101,'Jan-2026 rates'!$E:$F,2,0)))</f>
        <v>0</v>
      </c>
      <c r="HO101" s="409"/>
      <c r="HP101" s="398">
        <f>IF(HO101=0,0,IF(LEN(HA101)=11,_xlfn.XLOOKUP(HA101,'Dispensed Ink Rates'!C:C,'Dispensed Ink Rates'!CS:CS),VLOOKUP(HA101,'Jan-2026 rates'!$E:$F,2,0)))</f>
        <v>0</v>
      </c>
      <c r="HQ101" s="409"/>
      <c r="HR101" s="398">
        <f>IF(HQ101=0,0,IF(LEN(HB101)=11,_xlfn.XLOOKUP(HB101,'Dispensed Ink Rates'!C:C,'Dispensed Ink Rates'!CS:CS),VLOOKUP(HB101,'Jan-2026 rates'!$E:$F,2,0)))</f>
        <v>0</v>
      </c>
      <c r="HS101" s="409" t="s">
        <v>1443</v>
      </c>
      <c r="HT101" s="409">
        <v>30</v>
      </c>
      <c r="HU101" s="411">
        <f t="shared" si="97"/>
        <v>0</v>
      </c>
      <c r="HV101" s="411">
        <f t="shared" si="98"/>
        <v>35.400000000000006</v>
      </c>
      <c r="HW101" s="414">
        <f t="shared" si="99"/>
        <v>0</v>
      </c>
      <c r="HX101" s="405"/>
      <c r="HY101" s="409"/>
      <c r="HZ101" s="420" t="str">
        <f t="shared" si="59"/>
        <v xml:space="preserve"> - </v>
      </c>
      <c r="IA101" s="409"/>
      <c r="IB101" s="411">
        <f>IF(IA101=0,0,IF($LB101=70%,VLOOKUP($HZ101,'Jan-2026 rates'!$L:$R,4,0),IF($LB101=65%,VLOOKUP($HZ101,'Jan-2026 rates'!$L:$R,4,0),IF($LB101=40%,VLOOKUP($HZ101,'Jan-2026 rates'!$L:$R,5,0),IF($LB101=30%,VLOOKUP($HZ101,'Jan-2026 rates'!$L:$R,6,0),IF($LB101=100%,VLOOKUP($HZ101,'Jan-2026 rates'!$L:$R,7,0),IF($LB101=60%,VLOOKUP($HZ101,'Jan-2026 rates'!$L:$S,8,0),IF($LB101=80%,VLOOKUP($HZ101,'Jan-2026 rates'!L:T,9,0),0))))))))</f>
        <v>0</v>
      </c>
      <c r="IC101" s="412"/>
      <c r="ID101" s="409"/>
      <c r="IE101" s="411">
        <f>IF(ID101=0,0,IF($LB101=70%,VLOOKUP($HZ101,'Jan-2026 rates'!$L:$R,4,0),IF($LB101=65%,VLOOKUP($HZ101,'Jan-2026 rates'!$L:$R,4,0),IF($LB101=40%,VLOOKUP($HZ101,'Jan-2026 rates'!$L:$R,5,0),IF($LB101=30%,VLOOKUP($HZ101,'Jan-2026 rates'!$L:$R,6,0),IF($LB101=100%,VLOOKUP($HZ101,'Jan-2026 rates'!$L:$R,7,0),IF($LB101=60%,VLOOKUP($HZ101,'Jan-2026 rates'!$L:$S,8,0),IF($LB101=80%,VLOOKUP($HZ101,'Jan-2026 rates'!L:T,9,0),0))))))))</f>
        <v>0</v>
      </c>
      <c r="IF101" s="412"/>
      <c r="IG101" s="413"/>
      <c r="IH101" s="412"/>
      <c r="II101" s="412"/>
      <c r="IJ101" s="412"/>
      <c r="IK101" s="412"/>
      <c r="IL101" s="412"/>
      <c r="IM101" s="412"/>
      <c r="IN101" s="409"/>
      <c r="IO101" s="398">
        <f>IF(IN101=0,0,IF(LEN(IF101)=11,_xlfn.XLOOKUP(IF101,'Dispensed Ink Rates'!C:C,'Dispensed Ink Rates'!CS:CS),VLOOKUP(IF101,'Jan-2026 rates'!$E:$F,2,0)))</f>
        <v>0</v>
      </c>
      <c r="IP101" s="409"/>
      <c r="IQ101" s="398">
        <f>IF(IP101=0,0,IF(LEN(IG101)=11,_xlfn.XLOOKUP(IG101,'Dispensed Ink Rates'!C:C,'Dispensed Ink Rates'!CS:CS),VLOOKUP(IG101,'Jan-2026 rates'!$E:$F,2,0)))</f>
        <v>0</v>
      </c>
      <c r="IR101" s="409"/>
      <c r="IS101" s="398">
        <f>IF(IR101=0,0,IF(LEN(IH101)=11,_xlfn.XLOOKUP(IH101,'Dispensed Ink Rates'!C:C,'Dispensed Ink Rates'!CS:CS),VLOOKUP(IH101,'Jan-2026 rates'!$E:$F,2,0)))</f>
        <v>0</v>
      </c>
      <c r="IT101" s="409"/>
      <c r="IU101" s="398">
        <f>IF(IT101=0,0,IF(LEN(II101)=11,_xlfn.XLOOKUP(II101,'Dispensed Ink Rates'!C:C,'Dispensed Ink Rates'!CS:CS),VLOOKUP(II101,'Jan-2026 rates'!$E:$F,2,0)))</f>
        <v>0</v>
      </c>
      <c r="IV101" s="409"/>
      <c r="IW101" s="398">
        <f>IF(IV101=0,0,IF(LEN(IJ101)=11,_xlfn.XLOOKUP(IJ101,'Dispensed Ink Rates'!C:C,'Dispensed Ink Rates'!CS:CS),VLOOKUP(IJ101,'Jan-2026 rates'!$E:$F,2,0)))</f>
        <v>0</v>
      </c>
      <c r="IX101" s="409"/>
      <c r="IY101" s="398">
        <f>IF(IX101=0,0,IF(LEN(IK101)=11,_xlfn.XLOOKUP(IK101,'Dispensed Ink Rates'!C:C,'Dispensed Ink Rates'!CS:CS),VLOOKUP(IK101,'Jan-2026 rates'!$E:$F,2,0)))</f>
        <v>0</v>
      </c>
      <c r="IZ101" s="409"/>
      <c r="JA101" s="398">
        <f>IF(IZ101=0,0,IF(LEN(IL101)=11,_xlfn.XLOOKUP(IL101,'Dispensed Ink Rates'!C:C,'Dispensed Ink Rates'!CS:CS),VLOOKUP(IL101,'Jan-2026 rates'!$E:$F,2,0)))</f>
        <v>0</v>
      </c>
      <c r="JB101" s="409"/>
      <c r="JC101" s="398">
        <f>IF(JB101=0,0,IF(LEN(IM101)=11,_xlfn.XLOOKUP(IM101,'Dispensed Ink Rates'!C:C,'Dispensed Ink Rates'!CS:CS),VLOOKUP(IM101,'Jan-2026 rates'!$E:$F,2,0)))</f>
        <v>0</v>
      </c>
      <c r="JD101" s="409"/>
      <c r="JE101" s="409"/>
      <c r="JF101" s="411">
        <f t="shared" si="100"/>
        <v>0</v>
      </c>
      <c r="JG101" s="411">
        <f t="shared" si="101"/>
        <v>0</v>
      </c>
      <c r="JH101" s="410">
        <f t="shared" si="102"/>
        <v>0</v>
      </c>
      <c r="JI101" s="405"/>
      <c r="JJ101" s="409"/>
      <c r="JK101" s="420" t="str">
        <f t="shared" si="60"/>
        <v xml:space="preserve"> - </v>
      </c>
      <c r="JL101" s="409"/>
      <c r="JM101" s="411">
        <f>IF(JL101=0,0,IF($LB101=70%,VLOOKUP($JK101,'Jan-2026 rates'!$L:$R,4,0),IF($LB101=65%,VLOOKUP($JK101,'Jan-2026 rates'!$L:$R,4,0),IF($LB101=40%,VLOOKUP($JK101,'Jan-2026 rates'!$L:$R,5,0),IF($LB101=30%,VLOOKUP($JK101,'Jan-2026 rates'!$L:$R,6,0),IF($LB101=100%,VLOOKUP($JK101,'Jan-2026 rates'!$L:$R,7,0),IF($LB101=60%,VLOOKUP($JK101,'Jan-2026 rates'!$L:$S,8,0),IF($LB101=80%,VLOOKUP($JK101,'Jan-2026 rates'!L:T,9,0),0))))))))</f>
        <v>0</v>
      </c>
      <c r="JN101" s="412"/>
      <c r="JO101" s="409"/>
      <c r="JP101" s="411">
        <f>IF(JO101=0,0,IF($LB101=70%,VLOOKUP($JK101,'Jan-2026 rates'!$L:$R,4,0),IF($LB101=65%,VLOOKUP($JK101,'Jan-2026 rates'!$L:$R,4,0),IF($LB101=40%,VLOOKUP($JK101,'Jan-2026 rates'!$L:$R,5,0),IF($LB101=30%,VLOOKUP($JK101,'Jan-2026 rates'!$L:$R,6,0),IF($LB101=100%,VLOOKUP($JK101,'Jan-2026 rates'!$L:$R,7,0),IF($LB101=60%,VLOOKUP($JK101,'Jan-2026 rates'!$L:$S,8,0),IF($LB101=80%,VLOOKUP($JK101,'Jan-2026 rates'!L:T,9,0),0))))))))</f>
        <v>0</v>
      </c>
      <c r="JQ101" s="413"/>
      <c r="JR101" s="412"/>
      <c r="JS101" s="413"/>
      <c r="JT101" s="413"/>
      <c r="JU101" s="412"/>
      <c r="JV101" s="412"/>
      <c r="JW101" s="412"/>
      <c r="JX101" s="412"/>
      <c r="JY101" s="409"/>
      <c r="JZ101" s="398">
        <f>IF(JY101=0,0,IF(LEN(JQ101)=11,_xlfn.XLOOKUP(JQ101,'Dispensed Ink Rates'!C:C,'Dispensed Ink Rates'!CS:CS),VLOOKUP(JQ101,'Jan-2026 rates'!$E:$F,2,0)))</f>
        <v>0</v>
      </c>
      <c r="KA101" s="409"/>
      <c r="KB101" s="398">
        <f>IF(KA101=0,0,IF(LEN(JR101)=11,_xlfn.XLOOKUP(JR101,'Dispensed Ink Rates'!C:C,'Dispensed Ink Rates'!CS:CS),VLOOKUP(JR101,'Jan-2026 rates'!$E:$F,2,0)))</f>
        <v>0</v>
      </c>
      <c r="KC101" s="409"/>
      <c r="KD101" s="398">
        <f>IF(KC101=0,0,IF(LEN(JS101)=11,_xlfn.XLOOKUP(JS101,'Dispensed Ink Rates'!C:C,'Dispensed Ink Rates'!CS:CS),VLOOKUP(JS101,'Jan-2026 rates'!$E:$F,2,0)))</f>
        <v>0</v>
      </c>
      <c r="KE101" s="409"/>
      <c r="KF101" s="398">
        <f>IF(KE101=0,0,IF(LEN(JT101)=11,_xlfn.XLOOKUP(JT101,'Dispensed Ink Rates'!C:C,'Dispensed Ink Rates'!CS:CS),VLOOKUP(JT101,'Jan-2026 rates'!$E:$F,2,0)))</f>
        <v>0</v>
      </c>
      <c r="KG101" s="409"/>
      <c r="KH101" s="398">
        <f>IF(KG101=0,0,IF(LEN(JU101)=11,_xlfn.XLOOKUP(JU101,'Dispensed Ink Rates'!C:C,'Dispensed Ink Rates'!CS:CS),VLOOKUP(JU101,'Jan-2026 rates'!$E:$F,2,0)))</f>
        <v>0</v>
      </c>
      <c r="KI101" s="409"/>
      <c r="KJ101" s="398">
        <f>IF(KI101=0,0,IF(LEN(JV101)=11,_xlfn.XLOOKUP(JV101,'Dispensed Ink Rates'!C:C,'Dispensed Ink Rates'!CS:CS),VLOOKUP(JV101,'Jan-2026 rates'!$E:$F,2,0)))</f>
        <v>0</v>
      </c>
      <c r="KK101" s="409"/>
      <c r="KL101" s="398">
        <f>IF(KK101=0,0,IF(LEN(JW101)=11,_xlfn.XLOOKUP(JW101,'Dispensed Ink Rates'!C:C,'Dispensed Ink Rates'!CS:CS),VLOOKUP(JW101,'Jan-2026 rates'!$E:$F,2,0)))</f>
        <v>0</v>
      </c>
      <c r="KM101" s="428"/>
      <c r="KN101" s="398">
        <f>IF(KM101=0,0,IF(LEN(JX101)=11,_xlfn.XLOOKUP(JX101,'Dispensed Ink Rates'!C:C,'Dispensed Ink Rates'!CS:CS),VLOOKUP(JX101,'Jan-2026 rates'!$E:$F,2,0)))</f>
        <v>0</v>
      </c>
      <c r="KO101" s="409"/>
      <c r="KP101" s="409"/>
      <c r="KQ101" s="411">
        <f t="shared" si="103"/>
        <v>0</v>
      </c>
      <c r="KR101" s="411">
        <f t="shared" si="104"/>
        <v>0</v>
      </c>
      <c r="KS101" s="410">
        <f t="shared" si="105"/>
        <v>0</v>
      </c>
      <c r="KT101" s="409">
        <v>4</v>
      </c>
      <c r="KU101" s="409">
        <v>4</v>
      </c>
      <c r="KV101" s="409">
        <v>5</v>
      </c>
      <c r="KW101" s="409">
        <v>2</v>
      </c>
      <c r="KX101" s="409">
        <v>2</v>
      </c>
      <c r="KY101" s="409">
        <v>3</v>
      </c>
      <c r="KZ101" s="409">
        <v>0</v>
      </c>
      <c r="LA101" s="409">
        <v>0</v>
      </c>
      <c r="LB101" s="415">
        <v>0.8</v>
      </c>
      <c r="LC101" s="415">
        <v>0.2</v>
      </c>
      <c r="LD101" s="415"/>
      <c r="LE101" s="415"/>
      <c r="LF101" s="415"/>
      <c r="LG101" s="409">
        <v>0</v>
      </c>
      <c r="LH101" s="409">
        <f>20+20+128+32+5+5+6</f>
        <v>216</v>
      </c>
      <c r="LI101" s="409">
        <v>0</v>
      </c>
      <c r="LJ101" s="409">
        <v>0</v>
      </c>
      <c r="LK101" s="416">
        <f t="shared" si="61"/>
        <v>216</v>
      </c>
      <c r="LL101" s="416">
        <f t="shared" si="62"/>
        <v>216</v>
      </c>
      <c r="LM101" s="417">
        <f t="shared" si="63"/>
        <v>172.8</v>
      </c>
      <c r="LN101" s="417">
        <f>VLOOKUP($LM$8,'Jan-2026 rates'!$H:$I,2,0)</f>
        <v>0</v>
      </c>
      <c r="LO101" s="417">
        <f t="shared" si="64"/>
        <v>43.2</v>
      </c>
      <c r="LP101" s="417">
        <f>VLOOKUP($LO$8,'Jan-2026 rates'!$H:$I,2,0)</f>
        <v>0</v>
      </c>
      <c r="LQ101" s="417">
        <f t="shared" si="65"/>
        <v>0</v>
      </c>
      <c r="LR101" s="417">
        <f>VLOOKUP($LQ$8,'Jan-2026 rates'!$H:$I,2,0)</f>
        <v>0</v>
      </c>
      <c r="LS101" s="417">
        <f t="shared" si="66"/>
        <v>0</v>
      </c>
      <c r="LT101" s="417">
        <f>VLOOKUP($LS$8,'Jan-2026 rates'!$H:$I,2,0)</f>
        <v>0</v>
      </c>
      <c r="LU101" s="417">
        <f t="shared" si="67"/>
        <v>0</v>
      </c>
      <c r="LV101" s="417">
        <f>VLOOKUP($LU$8,'Jan-2026 rates'!$H:$I,2,0)</f>
        <v>0</v>
      </c>
      <c r="LW101" s="417">
        <f t="shared" si="68"/>
        <v>0</v>
      </c>
      <c r="LX101" s="417">
        <f t="shared" si="69"/>
        <v>0</v>
      </c>
      <c r="LY101" s="418">
        <f t="shared" si="70"/>
        <v>0</v>
      </c>
      <c r="LZ101" s="417"/>
      <c r="MA101" s="435">
        <f t="shared" si="71"/>
        <v>263.8</v>
      </c>
      <c r="MB101" s="282">
        <f t="shared" si="72"/>
        <v>456.79999999999995</v>
      </c>
      <c r="MC101" s="283">
        <v>56</v>
      </c>
      <c r="MD101" s="284" t="str">
        <f t="shared" si="73"/>
        <v>FLINTSLFLINTSLFLINTSLFLINTSLFLINTSLFLINTSL</v>
      </c>
      <c r="ME101" s="293" t="str">
        <f t="shared" si="74"/>
        <v>+</v>
      </c>
      <c r="MF101" s="293" t="str">
        <f t="shared" si="75"/>
        <v>+</v>
      </c>
      <c r="MG101" s="293" t="str">
        <f t="shared" si="76"/>
        <v>+</v>
      </c>
      <c r="MH101" s="293" t="str">
        <f t="shared" si="77"/>
        <v>+</v>
      </c>
      <c r="MI101" s="293" t="str">
        <f t="shared" si="78"/>
        <v>+</v>
      </c>
      <c r="MJ101" s="293" t="str">
        <f t="shared" si="79"/>
        <v>+</v>
      </c>
      <c r="MK101" s="293" t="str">
        <f t="shared" si="80"/>
        <v>NIL</v>
      </c>
      <c r="ML101" s="293" t="str">
        <f t="shared" si="81"/>
        <v>NIL</v>
      </c>
      <c r="MM101" s="3" t="b">
        <f t="array" ref="MM101">OR(ME101:ML101="-")</f>
        <v>0</v>
      </c>
      <c r="MN101" s="285"/>
      <c r="MO101" s="401"/>
      <c r="MP101" s="286"/>
      <c r="MQ101" s="286"/>
      <c r="MR101" s="402"/>
      <c r="MS101" s="400"/>
      <c r="NH101" s="422"/>
      <c r="NJ101" s="421"/>
    </row>
    <row r="102" spans="1:374" s="1" customFormat="1" ht="16.5">
      <c r="A102" s="403">
        <v>46030</v>
      </c>
      <c r="B102" s="404" t="s">
        <v>1018</v>
      </c>
      <c r="C102" s="405" t="s">
        <v>3177</v>
      </c>
      <c r="D102" s="406">
        <v>57</v>
      </c>
      <c r="E102" s="404">
        <v>863</v>
      </c>
      <c r="F102" s="407">
        <v>56100</v>
      </c>
      <c r="G102" s="407" t="s">
        <v>1019</v>
      </c>
      <c r="H102" s="408" t="s">
        <v>1017</v>
      </c>
      <c r="I102" s="409">
        <v>0.52</v>
      </c>
      <c r="J102" s="405" t="s">
        <v>543</v>
      </c>
      <c r="K102" s="404" t="s">
        <v>3178</v>
      </c>
      <c r="L102" s="419" t="str">
        <f t="shared" si="54"/>
        <v>FLINTSL - BLACK</v>
      </c>
      <c r="M102" s="404">
        <v>30</v>
      </c>
      <c r="N102" s="410">
        <f>IF(M102=0,0,IF($LB102=70%,VLOOKUP($L102,'Jan-2026 rates'!$L:$R,4,0),IF($LB102=65%,VLOOKUP($L102,'Jan-2026 rates'!$L:$R,4,0),IF($LB102=40%,VLOOKUP($L102,'Jan-2026 rates'!$L:$R,5,0),IF($LB102=30%,VLOOKUP($L102,'Jan-2026 rates'!$L:$R,6,0),IF($LB102=100%,VLOOKUP($L102,'Jan-2026 rates'!$L:$R,7,0),IF($LB102=60%,VLOOKUP($L102,'Jan-2026 rates'!$L:$S,8,0),IF($LB102=80%,VLOOKUP($L102,'Jan-2026 rates'!L:T,9,0),0))))))))</f>
        <v>0</v>
      </c>
      <c r="O102" s="406"/>
      <c r="P102" s="404"/>
      <c r="Q102" s="410">
        <f>IF(P102=0,0,IF($LB102=70%,VLOOKUP($L102,'Jan-2026 rates'!$L:$R,4,0),IF($LB102=65%,VLOOKUP($L102,'Jan-2026 rates'!$L:$R,4,0),IF($LB102=40%,VLOOKUP($L102,'Jan-2026 rates'!$L:$R,5,0),IF($LB102=30%,VLOOKUP($L102,'Jan-2026 rates'!$L:$R,6,0),IF($LB102=100%,VLOOKUP($L102,'Jan-2026 rates'!$L:$R,7,0),IF($LB102=60%,VLOOKUP($L102,'Jan-2026 rates'!$L:$S,8,0),IF($LB102=80%,VLOOKUP($L102,'Jan-2026 rates'!L:T,9,0),0))))))))</f>
        <v>0</v>
      </c>
      <c r="R102" s="406">
        <v>26507000010</v>
      </c>
      <c r="S102" s="406"/>
      <c r="T102" s="406"/>
      <c r="U102" s="406"/>
      <c r="V102" s="406"/>
      <c r="W102" s="406"/>
      <c r="X102" s="406"/>
      <c r="Y102" s="406"/>
      <c r="Z102" s="404">
        <v>2</v>
      </c>
      <c r="AA102" s="398" t="e">
        <f>IF(Z102=0,0,IF(LEN(R102)=11,_xlfn.XLOOKUP(R102,'Dispensed Ink Rates'!C:C,'Dispensed Ink Rates'!CS:CS),VLOOKUP(R102,'Jan-2026 rates'!$E:$F,2,0)))</f>
        <v>#N/A</v>
      </c>
      <c r="AB102" s="404"/>
      <c r="AC102" s="398">
        <f>IF(AB102=0,0,IF(LEN(S102)=11,_xlfn.XLOOKUP(S102,'Dispensed Ink Rates'!C:C,'Dispensed Ink Rates'!CS:CS),VLOOKUP(S102,'Jan-2026 rates'!$E:$F,2,0)))</f>
        <v>0</v>
      </c>
      <c r="AD102" s="404"/>
      <c r="AE102" s="398">
        <f>IF(AD102=0,0,IF(LEN(T102)=11,_xlfn.XLOOKUP(T102,'Dispensed Ink Rates'!C:C,'Dispensed Ink Rates'!CS:CS),VLOOKUP(T102,'Jan-2026 rates'!$E:$F,2,0)))</f>
        <v>0</v>
      </c>
      <c r="AF102" s="404"/>
      <c r="AG102" s="398">
        <f>IF(AF102=0,0,IF(LEN(U102)=11,_xlfn.XLOOKUP(U102,'Dispensed Ink Rates'!C:C,'Dispensed Ink Rates'!CS:CS),VLOOKUP(U102,'Jan-2026 rates'!$E:$F,2,0)))</f>
        <v>0</v>
      </c>
      <c r="AH102" s="404"/>
      <c r="AI102" s="398">
        <f>IF(AH102=0,0,IF(LEN(V102)=11,_xlfn.XLOOKUP(V102,'Dispensed Ink Rates'!C:C,'Dispensed Ink Rates'!CS:CS),VLOOKUP(V102,'Jan-2026 rates'!$E:$F,2,0)))</f>
        <v>0</v>
      </c>
      <c r="AJ102" s="404"/>
      <c r="AK102" s="398">
        <f>IF(AJ102=0,0,IF(LEN(W102)=11,_xlfn.XLOOKUP(W102,'Dispensed Ink Rates'!C:C,'Dispensed Ink Rates'!CS:CS),VLOOKUP(W102,'Jan-2026 rates'!$E:$F,2,0)))</f>
        <v>0</v>
      </c>
      <c r="AL102" s="404"/>
      <c r="AM102" s="398">
        <f>IF(AL102=0,0,IF(LEN(X102)=11,_xlfn.XLOOKUP(X102,'Dispensed Ink Rates'!C:C,'Dispensed Ink Rates'!CS:CS),VLOOKUP(X102,'Jan-2026 rates'!$E:$F,2,0)))</f>
        <v>0</v>
      </c>
      <c r="AN102" s="404"/>
      <c r="AO102" s="398">
        <f>IF(AN102=0,0,IF(LEN(Y102)=11,_xlfn.XLOOKUP(Y102,'Dispensed Ink Rates'!C:C,'Dispensed Ink Rates'!CS:CS),VLOOKUP(Y102,'Jan-2026 rates'!$E:$F,2,0)))</f>
        <v>0</v>
      </c>
      <c r="AP102" s="409" t="s">
        <v>1443</v>
      </c>
      <c r="AQ102" s="409">
        <v>29</v>
      </c>
      <c r="AR102" s="410">
        <f t="shared" si="82"/>
        <v>0</v>
      </c>
      <c r="AS102" s="411">
        <f t="shared" si="83"/>
        <v>17.416666666666664</v>
      </c>
      <c r="AT102" s="410">
        <f t="shared" si="84"/>
        <v>0</v>
      </c>
      <c r="AU102" s="405" t="s">
        <v>546</v>
      </c>
      <c r="AV102" s="409" t="s">
        <v>3178</v>
      </c>
      <c r="AW102" s="420" t="str">
        <f t="shared" si="53"/>
        <v>FLINTSL - REFLEX BLUE</v>
      </c>
      <c r="AX102" s="409">
        <v>28</v>
      </c>
      <c r="AY102" s="411">
        <f>IF(AX102=0,0,IF($LB102=70%,VLOOKUP($AW102,'Jan-2026 rates'!$L:$R,4,0),IF($LB102=65%,VLOOKUP($AW102,'Jan-2026 rates'!$L:$R,4,0),IF($LB102=40%,VLOOKUP($AW102,'Jan-2026 rates'!$L:$R,5,0),IF($LB102=30%,VLOOKUP($AW102,'Jan-2026 rates'!$L:$R,6,0),IF($LB102=100%,VLOOKUP($AW102,'Jan-2026 rates'!$L:$R,7,0),IF($LB102=60%,VLOOKUP($AW102,'Jan-2026 rates'!$L:$S,8,0),IF($LB102=80%,VLOOKUP($AW102,'Jan-2026 rates'!L:T,9,0),0))))))))</f>
        <v>0</v>
      </c>
      <c r="AZ102" s="412"/>
      <c r="BA102" s="409"/>
      <c r="BB102" s="411">
        <f>IF(BA102=0,0,IF($LB102=70%,VLOOKUP($AW102,'Jan-2026 rates'!$L:$R,4,0),IF($LB102=65%,VLOOKUP($AW102,'Jan-2026 rates'!$L:$R,4,0),IF($LB102=40%,VLOOKUP($AW102,'Jan-2026 rates'!$L:$R,5,0),IF($LB102=30%,VLOOKUP($AW102,'Jan-2026 rates'!$L:$R,6,0),IF($LB102=100%,VLOOKUP($AW102,'Jan-2026 rates'!$L:$R,7,0),IF($LB102=60%,VLOOKUP($AW102,'Jan-2026 rates'!$L:$S,8,0),IF($LB102=80%,VLOOKUP($AW102,'Jan-2026 rates'!L:T,9,0),0))))))))</f>
        <v>0</v>
      </c>
      <c r="BC102" s="413">
        <v>26506000001</v>
      </c>
      <c r="BD102" s="412"/>
      <c r="BE102" s="412"/>
      <c r="BF102" s="413"/>
      <c r="BG102" s="412"/>
      <c r="BH102" s="412"/>
      <c r="BI102" s="412"/>
      <c r="BJ102" s="412"/>
      <c r="BK102" s="409">
        <v>2</v>
      </c>
      <c r="BL102" s="398" t="e">
        <f>IF(BK102=0,0,IF(LEN(BC102)=11,_xlfn.XLOOKUP(BC102,'Dispensed Ink Rates'!C:C,'Dispensed Ink Rates'!CS:CS),VLOOKUP(BC102,'Jan-2026 rates'!$E:$F,2,0)))</f>
        <v>#N/A</v>
      </c>
      <c r="BM102" s="409"/>
      <c r="BN102" s="398">
        <f>IF(BM102=0,0,IF(LEN(BD102)=11,_xlfn.XLOOKUP(BD102,'Dispensed Ink Rates'!C:C,'Dispensed Ink Rates'!CS:CS),VLOOKUP(BD102,'Jan-2026 rates'!$E:$F,2,0)))</f>
        <v>0</v>
      </c>
      <c r="BO102" s="409"/>
      <c r="BP102" s="398">
        <f>IF(BO102=0,0,IF(LEN(BE102)=11,_xlfn.XLOOKUP(BE102,'Dispensed Ink Rates'!C:C,'Dispensed Ink Rates'!CS:CS),VLOOKUP(BE102,'Jan-2026 rates'!$E:$F,2,0)))</f>
        <v>0</v>
      </c>
      <c r="BQ102" s="409"/>
      <c r="BR102" s="398">
        <f>IF(BQ102=0,0,IF(LEN(BF102)=11,_xlfn.XLOOKUP(BF102,'Dispensed Ink Rates'!C:C,'Dispensed Ink Rates'!CS:CS),VLOOKUP(BF102,'Jan-2026 rates'!$E:$F,2,0)))</f>
        <v>0</v>
      </c>
      <c r="BS102" s="409"/>
      <c r="BT102" s="398">
        <f>IF(BS102=0,0,IF(LEN(BG102)=11,_xlfn.XLOOKUP(BG102,'Dispensed Ink Rates'!C:C,'Dispensed Ink Rates'!CS:CS),VLOOKUP(BG102,'Jan-2026 rates'!$E:$F,2,0)))</f>
        <v>0</v>
      </c>
      <c r="BU102" s="409"/>
      <c r="BV102" s="398">
        <f>IF(BU102=0,0,IF(LEN(BH102)=11,_xlfn.XLOOKUP(BH102,'Dispensed Ink Rates'!C:C,'Dispensed Ink Rates'!CS:CS),VLOOKUP(BH102,'Jan-2026 rates'!$E:$F,2,0)))</f>
        <v>0</v>
      </c>
      <c r="BW102" s="409"/>
      <c r="BX102" s="398">
        <f>IF(BW102=0,0,IF(LEN(BI102)=11,_xlfn.XLOOKUP(BI102,'Dispensed Ink Rates'!C:C,'Dispensed Ink Rates'!CS:CS),VLOOKUP(BI102,'Jan-2026 rates'!$E:$F,2,0)))</f>
        <v>0</v>
      </c>
      <c r="BY102" s="409"/>
      <c r="BZ102" s="398">
        <f>IF(BY102=0,0,IF(LEN(BJ102)=11,_xlfn.XLOOKUP(BJ102,'Dispensed Ink Rates'!C:C,'Dispensed Ink Rates'!CS:CS),VLOOKUP(BJ102,'Jan-2026 rates'!$E:$F,2,0)))</f>
        <v>0</v>
      </c>
      <c r="CA102" s="409" t="s">
        <v>1443</v>
      </c>
      <c r="CB102" s="409">
        <v>25</v>
      </c>
      <c r="CC102" s="411">
        <f t="shared" si="85"/>
        <v>0</v>
      </c>
      <c r="CD102" s="411">
        <f t="shared" si="86"/>
        <v>19.416666666666664</v>
      </c>
      <c r="CE102" s="410">
        <f t="shared" si="87"/>
        <v>0</v>
      </c>
      <c r="CF102" s="404" t="s">
        <v>857</v>
      </c>
      <c r="CG102" s="409" t="s">
        <v>3179</v>
      </c>
      <c r="CH102" s="420" t="str">
        <f t="shared" si="55"/>
        <v>FLINTSL - RED</v>
      </c>
      <c r="CI102" s="409">
        <v>25</v>
      </c>
      <c r="CJ102" s="411">
        <f>IF(CI102=0,0,IF($LB102=70%,VLOOKUP($CH102,'Jan-2026 rates'!$L:$R,4,0),IF($LB102=65%,VLOOKUP($CH102,'Jan-2026 rates'!$L:$R,4,0),IF($LB102=40%,VLOOKUP($CH102,'Jan-2026 rates'!$L:$R,5,0),IF($LB102=30%,VLOOKUP($CH102,'Jan-2026 rates'!$L:$R,6,0),IF($LB102=100%,VLOOKUP($CH102,'Jan-2026 rates'!$L:$R,7,0),IF($LB102=60%,VLOOKUP($CH102,'Jan-2026 rates'!$L:$S,8,0),IF($LB102=80%,VLOOKUP($CH102,'Jan-2026 rates'!L:T,9,0),0))))))))</f>
        <v>0</v>
      </c>
      <c r="CK102" s="412"/>
      <c r="CL102" s="409"/>
      <c r="CM102" s="411">
        <f>IF(CL102=0,0,IF($LB102=70%,VLOOKUP($CH102,'Jan-2026 rates'!$L:$R,4,0),IF($LB102=65%,VLOOKUP($CH102,'Jan-2026 rates'!$L:$R,4,0),IF($LB102=40%,VLOOKUP($CH102,'Jan-2026 rates'!$L:$R,5,0),IF($LB102=30%,VLOOKUP($CH102,'Jan-2026 rates'!$L:$R,6,0),IF($LB102=100%,VLOOKUP($CH102,'Jan-2026 rates'!$L:$R,7,0),IF($LB102=60%,VLOOKUP($CH102,'Jan-2026 rates'!$L:$S,8,0),IF($LB102=80%,VLOOKUP($CH102,'Jan-2026 rates'!L:T,9,0),0))))))))</f>
        <v>0</v>
      </c>
      <c r="CN102" s="426">
        <v>26501000001</v>
      </c>
      <c r="CO102" s="427"/>
      <c r="CP102" s="426"/>
      <c r="CQ102" s="426"/>
      <c r="CR102" s="428"/>
      <c r="CS102" s="428"/>
      <c r="CT102" s="428"/>
      <c r="CU102" s="428"/>
      <c r="CV102" s="409">
        <v>3</v>
      </c>
      <c r="CW102" s="398" t="e">
        <f>IF(CV102=0,0,IF(LEN(CN102)=11,_xlfn.XLOOKUP(CN102,'Dispensed Ink Rates'!C:C,'Dispensed Ink Rates'!CS:CS),VLOOKUP(CN102,'Jan-2026 rates'!$E:$F,2,0)))</f>
        <v>#N/A</v>
      </c>
      <c r="CX102" s="409"/>
      <c r="CY102" s="398">
        <f>IF(CX102=0,0,IF(LEN(CO102)=11,_xlfn.XLOOKUP(CO102,'Dispensed Ink Rates'!C:C,'Dispensed Ink Rates'!CS:CS),VLOOKUP(CO102,'Jan-2026 rates'!$E:$F,2,0)))</f>
        <v>0</v>
      </c>
      <c r="CZ102" s="409"/>
      <c r="DA102" s="398">
        <f>IF(CZ102=0,0,IF(LEN(CP102)=11,_xlfn.XLOOKUP(CP102,'Dispensed Ink Rates'!C:C,'Dispensed Ink Rates'!CS:CS),VLOOKUP(CP102,'Jan-2026 rates'!$E:$F,2,0)))</f>
        <v>0</v>
      </c>
      <c r="DB102" s="409"/>
      <c r="DC102" s="398">
        <f>IF(DB102=0,0,IF(LEN(CQ102)=11,_xlfn.XLOOKUP(CQ102,'Dispensed Ink Rates'!C:C,'Dispensed Ink Rates'!CS:CS),VLOOKUP(CQ102,'Jan-2026 rates'!$E:$F,2,0)))</f>
        <v>0</v>
      </c>
      <c r="DD102" s="409"/>
      <c r="DE102" s="398">
        <f>IF(DD102=0,0,IF(LEN(CR102)=11,_xlfn.XLOOKUP(CR102,'Dispensed Ink Rates'!C:C,'Dispensed Ink Rates'!CS:CS),VLOOKUP(CR102,'Jan-2026 rates'!$E:$F,2,0)))</f>
        <v>0</v>
      </c>
      <c r="DF102" s="409"/>
      <c r="DG102" s="398">
        <f>IF(DF102=0,0,IF(LEN(CS102)=11,_xlfn.XLOOKUP(CS102,'Dispensed Ink Rates'!C:C,'Dispensed Ink Rates'!CS:CS),VLOOKUP(CS102,'Jan-2026 rates'!$E:$F,2,0)))</f>
        <v>0</v>
      </c>
      <c r="DH102" s="409"/>
      <c r="DI102" s="398">
        <f>IF(DH102=0,0,IF(LEN(CT102)=11,_xlfn.XLOOKUP(CT102,'Dispensed Ink Rates'!C:C,'Dispensed Ink Rates'!CS:CS),VLOOKUP(CT102,'Jan-2026 rates'!$E:$F,2,0)))</f>
        <v>0</v>
      </c>
      <c r="DJ102" s="409"/>
      <c r="DK102" s="398">
        <f>IF(DJ102=0,0,IF(LEN(CU102)=11,_xlfn.XLOOKUP(CU102,'Dispensed Ink Rates'!C:C,'Dispensed Ink Rates'!CS:CS),VLOOKUP(CU102,'Jan-2026 rates'!$E:$F,2,0)))</f>
        <v>0</v>
      </c>
      <c r="DL102" s="409" t="s">
        <v>1443</v>
      </c>
      <c r="DM102" s="409">
        <v>25</v>
      </c>
      <c r="DN102" s="411">
        <f t="shared" si="88"/>
        <v>0</v>
      </c>
      <c r="DO102" s="411">
        <f t="shared" si="89"/>
        <v>39.041666666666671</v>
      </c>
      <c r="DP102" s="410">
        <f t="shared" si="90"/>
        <v>0</v>
      </c>
      <c r="DQ102" s="405" t="s">
        <v>857</v>
      </c>
      <c r="DR102" s="409" t="s">
        <v>3180</v>
      </c>
      <c r="DS102" s="420" t="str">
        <f t="shared" si="56"/>
        <v>FLINTSL - RED</v>
      </c>
      <c r="DT102" s="409">
        <v>24</v>
      </c>
      <c r="DU102" s="411">
        <f>IF(DT102=0,0,IF($LB102=70%,VLOOKUP($DS102,'Jan-2026 rates'!$L:$R,4,0),IF($LB102=65%,VLOOKUP($DS102,'Jan-2026 rates'!$L:$R,4,0),IF($LB102=40%,VLOOKUP($DS102,'Jan-2026 rates'!$L:$R,5,0),IF($LB102=30%,VLOOKUP($DS102,'Jan-2026 rates'!$L:$R,6,0),IF($LB102=100%,VLOOKUP($DS102,'Jan-2026 rates'!$L:$R,7,0),IF($LB102=60%,VLOOKUP($DS102,'Jan-2026 rates'!$L:$S,8,0),IF($LB102=80%,VLOOKUP($DS102,'Jan-2026 rates'!L:T,9,0),0))))))))</f>
        <v>0</v>
      </c>
      <c r="DV102" s="412" t="s">
        <v>3090</v>
      </c>
      <c r="DW102" s="409">
        <v>30</v>
      </c>
      <c r="DX102" s="411">
        <f>IF(DW102=0,0,IF($LB102=70%,VLOOKUP($DS102,'Jan-2026 rates'!$L:$R,4,0),IF($LB102=65%,VLOOKUP($DS102,'Jan-2026 rates'!$L:$R,4,0),IF($LB102=40%,VLOOKUP($DS102,'Jan-2026 rates'!$L:$R,5,0),IF($LB102=30%,VLOOKUP($DS102,'Jan-2026 rates'!$L:$R,6,0),IF($LB102=100%,VLOOKUP($DS102,'Jan-2026 rates'!$L:$R,7,0),IF($LB102=60%,VLOOKUP($DS102,'Jan-2026 rates'!$L:$S,8,0),IF($LB102=80%,VLOOKUP($DS102,'Jan-2026 rates'!L:T,9,0),0))))))))</f>
        <v>0</v>
      </c>
      <c r="DY102" s="413">
        <v>26509000001</v>
      </c>
      <c r="DZ102" s="413">
        <v>26508000020</v>
      </c>
      <c r="EA102" s="412">
        <v>26509000005</v>
      </c>
      <c r="EB102" s="412">
        <v>26508000011</v>
      </c>
      <c r="EC102" s="412"/>
      <c r="ED102" s="412"/>
      <c r="EE102" s="412"/>
      <c r="EF102" s="412"/>
      <c r="EG102" s="409">
        <v>30</v>
      </c>
      <c r="EH102" s="398" t="e">
        <f>IF(EG102=0,0,IF(LEN(DY102)=11,_xlfn.XLOOKUP(DY102,'Dispensed Ink Rates'!C:C,'Dispensed Ink Rates'!CS:CS),VLOOKUP(DY102,'Jan-2026 rates'!$E:$F,2,0)))</f>
        <v>#N/A</v>
      </c>
      <c r="EI102" s="409">
        <v>30</v>
      </c>
      <c r="EJ102" s="398" t="e">
        <f>IF(EI102=0,0,IF(LEN(DZ102)=11,_xlfn.XLOOKUP(DZ102,'Dispensed Ink Rates'!C:C,'Dispensed Ink Rates'!CS:CS),VLOOKUP(DZ102,'Jan-2026 rates'!$E:$F,2,0)))</f>
        <v>#N/A</v>
      </c>
      <c r="EK102" s="409">
        <v>30</v>
      </c>
      <c r="EL102" s="398" t="e">
        <f>IF(EK102=0,0,IF(LEN(EA102)=11,_xlfn.XLOOKUP(EA102,'Dispensed Ink Rates'!C:C,'Dispensed Ink Rates'!CS:CS),VLOOKUP(EA102,'Jan-2026 rates'!$E:$F,2,0)))</f>
        <v>#N/A</v>
      </c>
      <c r="EM102" s="409">
        <v>5</v>
      </c>
      <c r="EN102" s="398" t="e">
        <f>IF(EM102=0,0,IF(LEN(EB102)=11,_xlfn.XLOOKUP(EB102,'Dispensed Ink Rates'!C:C,'Dispensed Ink Rates'!CS:CS),VLOOKUP(EB102,'Jan-2026 rates'!$E:$F,2,0)))</f>
        <v>#N/A</v>
      </c>
      <c r="EO102" s="409"/>
      <c r="EP102" s="398">
        <f>IF(EO102=0,0,IF(LEN(EC102)=11,_xlfn.XLOOKUP(EC102,'Dispensed Ink Rates'!C:C,'Dispensed Ink Rates'!CS:CS),VLOOKUP(EC102,'Jan-2026 rates'!$E:$F,2,0)))</f>
        <v>0</v>
      </c>
      <c r="EQ102" s="409"/>
      <c r="ER102" s="398">
        <f>IF(EQ102=0,0,IF(LEN(ED102)=11,_xlfn.XLOOKUP(ED102,'Dispensed Ink Rates'!C:C,'Dispensed Ink Rates'!CS:CS),VLOOKUP(ED102,'Jan-2026 rates'!$E:$F,2,0)))</f>
        <v>0</v>
      </c>
      <c r="ES102" s="409"/>
      <c r="ET102" s="398">
        <f>IF(ES102=0,0,IF(LEN(EE102)=11,_xlfn.XLOOKUP(EE102,'Dispensed Ink Rates'!C:C,'Dispensed Ink Rates'!CS:CS),VLOOKUP(EE102,'Jan-2026 rates'!$E:$F,2,0)))</f>
        <v>0</v>
      </c>
      <c r="EU102" s="409"/>
      <c r="EV102" s="398">
        <f>IF(EU102=0,0,IF(LEN(EF102)=11,_xlfn.XLOOKUP(EF102,'Dispensed Ink Rates'!C:C,'Dispensed Ink Rates'!CS:CS),VLOOKUP(EF102,'Jan-2026 rates'!$E:$F,2,0)))</f>
        <v>0</v>
      </c>
      <c r="EW102" s="409" t="s">
        <v>1443</v>
      </c>
      <c r="EX102" s="409">
        <v>20</v>
      </c>
      <c r="EY102" s="411">
        <f t="shared" si="91"/>
        <v>0</v>
      </c>
      <c r="EZ102" s="411">
        <f t="shared" si="92"/>
        <v>172.25</v>
      </c>
      <c r="FA102" s="410">
        <f t="shared" si="93"/>
        <v>0</v>
      </c>
      <c r="FB102" s="405" t="s">
        <v>855</v>
      </c>
      <c r="FC102" s="409" t="s">
        <v>3181</v>
      </c>
      <c r="FD102" s="420" t="str">
        <f t="shared" si="57"/>
        <v>FLINTSL - CYAN</v>
      </c>
      <c r="FE102" s="409">
        <v>30</v>
      </c>
      <c r="FF102" s="411">
        <f>IF(FE102=0,0,IF($LB102=70%,VLOOKUP($FD102,'Jan-2026 rates'!$L:$R,4,0),IF($LB102=65%,VLOOKUP($FD102,'Jan-2026 rates'!$L:$R,4,0),IF($LB102=40%,VLOOKUP($FD102,'Jan-2026 rates'!$L:$R,5,0),IF($LB102=30%,VLOOKUP($FD102,'Jan-2026 rates'!$L:$R,6,0),IF($LB102=100%,VLOOKUP($FD102,'Jan-2026 rates'!$L:$R,7,0),IF($LB102=60%,VLOOKUP($FD102,'Jan-2026 rates'!$L:$S,8,0),IF($LB102=80%,VLOOKUP($FD102,'Jan-2026 rates'!L:T,9,0),0))))))))</f>
        <v>0</v>
      </c>
      <c r="FG102" s="412"/>
      <c r="FH102" s="409"/>
      <c r="FI102" s="411">
        <f>IF(FH102=0,0,IF($LB102=70%,VLOOKUP($FD102,'Jan-2026 rates'!$L:$R,4,0),IF($LB102=65%,VLOOKUP($FD102,'Jan-2026 rates'!$L:$R,4,0),IF($LB102=40%,VLOOKUP($FD102,'Jan-2026 rates'!$L:$R,5,0),IF($LB102=30%,VLOOKUP($FD102,'Jan-2026 rates'!$L:$R,6,0),IF($LB102=100%,VLOOKUP($FD102,'Jan-2026 rates'!$L:$R,7,0),IF($LB102=60%,VLOOKUP($FD102,'Jan-2026 rates'!$L:$S,8,0),IF($LB102=80%,VLOOKUP($FD102,'Jan-2026 rates'!L:T,9,0),0))))))))</f>
        <v>0</v>
      </c>
      <c r="FJ102" s="413">
        <v>26507000018</v>
      </c>
      <c r="FK102" s="413"/>
      <c r="FL102" s="413"/>
      <c r="FM102" s="412"/>
      <c r="FN102" s="412"/>
      <c r="FO102" s="412"/>
      <c r="FP102" s="412"/>
      <c r="FQ102" s="412"/>
      <c r="FR102" s="409">
        <v>2</v>
      </c>
      <c r="FS102" s="398" t="e">
        <f>IF(FR102=0,0,IF(LEN(FJ102)=11,_xlfn.XLOOKUP(FJ102,'Dispensed Ink Rates'!C:C,'Dispensed Ink Rates'!CS:CS),VLOOKUP(FJ102,'Jan-2026 rates'!$E:$F,2,0)))</f>
        <v>#N/A</v>
      </c>
      <c r="FT102" s="409"/>
      <c r="FU102" s="398">
        <f>IF(FT102=0,0,IF(LEN(FK102)=11,_xlfn.XLOOKUP(FK102,'Dispensed Ink Rates'!C:C,'Dispensed Ink Rates'!CS:CS),VLOOKUP(FK102,'Jan-2026 rates'!$E:$F,2,0)))</f>
        <v>0</v>
      </c>
      <c r="FV102" s="409"/>
      <c r="FW102" s="398">
        <f>IF(FV102=0,0,IF(LEN(FL102)=11,_xlfn.XLOOKUP(FL102,'Dispensed Ink Rates'!C:C,'Dispensed Ink Rates'!CS:CS),VLOOKUP(FL102,'Jan-2026 rates'!$E:$F,2,0)))</f>
        <v>0</v>
      </c>
      <c r="FX102" s="409"/>
      <c r="FY102" s="398">
        <f>IF(FX102=0,0,IF(LEN(FM102)=11,_xlfn.XLOOKUP(FM102,'Dispensed Ink Rates'!C:C,'Dispensed Ink Rates'!CS:CS),VLOOKUP(FM102,'Jan-2026 rates'!$E:$F,2,0)))</f>
        <v>0</v>
      </c>
      <c r="FZ102" s="409"/>
      <c r="GA102" s="398">
        <f>IF(FZ102=0,0,IF(LEN(FN102)=11,_xlfn.XLOOKUP(FN102,'Dispensed Ink Rates'!C:C,'Dispensed Ink Rates'!CS:CS),VLOOKUP(FN102,'Jan-2026 rates'!$E:$F,2,0)))</f>
        <v>0</v>
      </c>
      <c r="GB102" s="409"/>
      <c r="GC102" s="398">
        <f>IF(GB102=0,0,IF(LEN(FO102)=11,_xlfn.XLOOKUP(FO102,'Dispensed Ink Rates'!C:C,'Dispensed Ink Rates'!CS:CS),VLOOKUP(FO102,'Jan-2026 rates'!$E:$F,2,0)))</f>
        <v>0</v>
      </c>
      <c r="GD102" s="409"/>
      <c r="GE102" s="398">
        <f>IF(GD102=0,0,IF(LEN(FP102)=11,_xlfn.XLOOKUP(FP102,'Dispensed Ink Rates'!C:C,'Dispensed Ink Rates'!CS:CS),VLOOKUP(FP102,'Jan-2026 rates'!$E:$F,2,0)))</f>
        <v>0</v>
      </c>
      <c r="GF102" s="409"/>
      <c r="GG102" s="398">
        <f>IF(GF102=0,0,IF(LEN(FQ102)=11,_xlfn.XLOOKUP(FQ102,'Dispensed Ink Rates'!C:C,'Dispensed Ink Rates'!CS:CS),VLOOKUP(FQ102,'Jan-2026 rates'!$E:$F,2,0)))</f>
        <v>0</v>
      </c>
      <c r="GH102" s="409" t="s">
        <v>1443</v>
      </c>
      <c r="GI102" s="409">
        <v>28</v>
      </c>
      <c r="GJ102" s="411">
        <f t="shared" si="94"/>
        <v>0</v>
      </c>
      <c r="GK102" s="411">
        <f t="shared" si="95"/>
        <v>25.625</v>
      </c>
      <c r="GL102" s="410">
        <f t="shared" si="96"/>
        <v>0</v>
      </c>
      <c r="GM102" s="405" t="s">
        <v>544</v>
      </c>
      <c r="GN102" s="409" t="s">
        <v>3182</v>
      </c>
      <c r="GO102" s="420" t="str">
        <f t="shared" si="58"/>
        <v>FLINTSL - MAGENTA</v>
      </c>
      <c r="GP102" s="409">
        <v>29</v>
      </c>
      <c r="GQ102" s="411">
        <f>IF(GP102=0,0,IF($LB102=70%,VLOOKUP($GO102,'Jan-2026 rates'!$L:$R,4,0),IF($LB102=65%,VLOOKUP($GO102,'Jan-2026 rates'!$L:$R,4,0),IF($LB102=40%,VLOOKUP($GO102,'Jan-2026 rates'!$L:$R,5,0),IF($LB102=30%,VLOOKUP($GO102,'Jan-2026 rates'!$L:$R,6,0),IF($LB102=100%,VLOOKUP($GO102,'Jan-2026 rates'!$L:$R,7,0),IF($LB102=60%,VLOOKUP($GO102,'Jan-2026 rates'!$L:$S,8,0),IF($LB102=80%,VLOOKUP($GO102,'Jan-2026 rates'!L:T,9,0),0))))))))</f>
        <v>0</v>
      </c>
      <c r="GR102" s="412"/>
      <c r="GS102" s="409"/>
      <c r="GT102" s="411">
        <f>IF(GS102=0,0,IF($LB102=70%,VLOOKUP($GO102,'Jan-2026 rates'!$L:$R,4,0),IF($LB102=65%,VLOOKUP($GO102,'Jan-2026 rates'!$L:$R,4,0),IF($LB102=40%,VLOOKUP($GO102,'Jan-2026 rates'!$L:$R,5,0),IF($LB102=30%,VLOOKUP($GO102,'Jan-2026 rates'!$L:$R,6,0),IF($LB102=100%,VLOOKUP($GO102,'Jan-2026 rates'!$L:$R,7,0),IF($LB102=60%,VLOOKUP($GO102,'Jan-2026 rates'!$L:$S,8,0),IF($LB102=80%,VLOOKUP($GO102,'Jan-2026 rates'!L:T,9,0),0))))))))</f>
        <v>0</v>
      </c>
      <c r="GU102" s="413">
        <v>26508000011</v>
      </c>
      <c r="GV102" s="413"/>
      <c r="GW102" s="412"/>
      <c r="GX102" s="412"/>
      <c r="GY102" s="412"/>
      <c r="GZ102" s="412"/>
      <c r="HA102" s="412"/>
      <c r="HB102" s="412"/>
      <c r="HC102" s="409">
        <v>4</v>
      </c>
      <c r="HD102" s="398" t="e">
        <f>IF(HC102=0,0,IF(LEN(GU102)=11,_xlfn.XLOOKUP(GU102,'Dispensed Ink Rates'!C:C,'Dispensed Ink Rates'!CS:CS),VLOOKUP(GU102,'Jan-2026 rates'!$E:$F,2,0)))</f>
        <v>#N/A</v>
      </c>
      <c r="HE102" s="409"/>
      <c r="HF102" s="398">
        <f>IF(HE102=0,0,IF(LEN(GV102)=11,_xlfn.XLOOKUP(GV102,'Dispensed Ink Rates'!C:C,'Dispensed Ink Rates'!CS:CS),VLOOKUP(GV102,'Jan-2026 rates'!$E:$F,2,0)))</f>
        <v>0</v>
      </c>
      <c r="HG102" s="409"/>
      <c r="HH102" s="398">
        <f>IF(HG102=0,0,IF(LEN(GW102)=11,_xlfn.XLOOKUP(GW102,'Dispensed Ink Rates'!C:C,'Dispensed Ink Rates'!CS:CS),VLOOKUP(GW102,'Jan-2026 rates'!$E:$F,2,0)))</f>
        <v>0</v>
      </c>
      <c r="HI102" s="409"/>
      <c r="HJ102" s="398">
        <f>IF(HI102=0,0,IF(LEN(GX102)=11,_xlfn.XLOOKUP(GX102,'Dispensed Ink Rates'!C:C,'Dispensed Ink Rates'!CS:CS),VLOOKUP(GX102,'Jan-2026 rates'!$E:$F,2,0)))</f>
        <v>0</v>
      </c>
      <c r="HK102" s="409"/>
      <c r="HL102" s="398">
        <f>IF(HK102=0,0,IF(LEN(GY102)=11,_xlfn.XLOOKUP(GY102,'Dispensed Ink Rates'!C:C,'Dispensed Ink Rates'!CS:CS),VLOOKUP(GY102,'Jan-2026 rates'!$E:$F,2,0)))</f>
        <v>0</v>
      </c>
      <c r="HM102" s="409"/>
      <c r="HN102" s="398">
        <f>IF(HM102=0,0,IF(LEN(GZ102)=11,_xlfn.XLOOKUP(GZ102,'Dispensed Ink Rates'!C:C,'Dispensed Ink Rates'!CS:CS),VLOOKUP(GZ102,'Jan-2026 rates'!$E:$F,2,0)))</f>
        <v>0</v>
      </c>
      <c r="HO102" s="409"/>
      <c r="HP102" s="398">
        <f>IF(HO102=0,0,IF(LEN(HA102)=11,_xlfn.XLOOKUP(HA102,'Dispensed Ink Rates'!C:C,'Dispensed Ink Rates'!CS:CS),VLOOKUP(HA102,'Jan-2026 rates'!$E:$F,2,0)))</f>
        <v>0</v>
      </c>
      <c r="HQ102" s="409"/>
      <c r="HR102" s="398">
        <f>IF(HQ102=0,0,IF(LEN(HB102)=11,_xlfn.XLOOKUP(HB102,'Dispensed Ink Rates'!C:C,'Dispensed Ink Rates'!CS:CS),VLOOKUP(HB102,'Jan-2026 rates'!$E:$F,2,0)))</f>
        <v>0</v>
      </c>
      <c r="HS102" s="409" t="s">
        <v>1443</v>
      </c>
      <c r="HT102" s="409">
        <v>28</v>
      </c>
      <c r="HU102" s="411">
        <f t="shared" si="97"/>
        <v>0</v>
      </c>
      <c r="HV102" s="411">
        <f t="shared" si="98"/>
        <v>26.625</v>
      </c>
      <c r="HW102" s="414">
        <f t="shared" si="99"/>
        <v>0</v>
      </c>
      <c r="HX102" s="405" t="s">
        <v>545</v>
      </c>
      <c r="HY102" s="409" t="s">
        <v>3183</v>
      </c>
      <c r="HZ102" s="420" t="str">
        <f t="shared" si="59"/>
        <v>FLINTSL - YELLOW</v>
      </c>
      <c r="IA102" s="409">
        <v>30</v>
      </c>
      <c r="IB102" s="411">
        <f>IF(IA102=0,0,IF($LB102=70%,VLOOKUP($HZ102,'Jan-2026 rates'!$L:$R,4,0),IF($LB102=65%,VLOOKUP($HZ102,'Jan-2026 rates'!$L:$R,4,0),IF($LB102=40%,VLOOKUP($HZ102,'Jan-2026 rates'!$L:$R,5,0),IF($LB102=30%,VLOOKUP($HZ102,'Jan-2026 rates'!$L:$R,6,0),IF($LB102=100%,VLOOKUP($HZ102,'Jan-2026 rates'!$L:$R,7,0),IF($LB102=60%,VLOOKUP($HZ102,'Jan-2026 rates'!$L:$S,8,0),IF($LB102=80%,VLOOKUP($HZ102,'Jan-2026 rates'!L:T,9,0),0))))))))</f>
        <v>0</v>
      </c>
      <c r="IC102" s="412"/>
      <c r="ID102" s="409"/>
      <c r="IE102" s="411">
        <f>IF(ID102=0,0,IF($LB102=70%,VLOOKUP($HZ102,'Jan-2026 rates'!$L:$R,4,0),IF($LB102=65%,VLOOKUP($HZ102,'Jan-2026 rates'!$L:$R,4,0),IF($LB102=40%,VLOOKUP($HZ102,'Jan-2026 rates'!$L:$R,5,0),IF($LB102=30%,VLOOKUP($HZ102,'Jan-2026 rates'!$L:$R,6,0),IF($LB102=100%,VLOOKUP($HZ102,'Jan-2026 rates'!$L:$R,7,0),IF($LB102=60%,VLOOKUP($HZ102,'Jan-2026 rates'!$L:$S,8,0),IF($LB102=80%,VLOOKUP($HZ102,'Jan-2026 rates'!L:T,9,0),0))))))))</f>
        <v>0</v>
      </c>
      <c r="IF102" s="412">
        <v>26508000024</v>
      </c>
      <c r="IG102" s="413"/>
      <c r="IH102" s="412"/>
      <c r="II102" s="412"/>
      <c r="IJ102" s="412"/>
      <c r="IK102" s="412"/>
      <c r="IL102" s="412"/>
      <c r="IM102" s="412"/>
      <c r="IN102" s="409">
        <v>2</v>
      </c>
      <c r="IO102" s="398" t="e">
        <f>IF(IN102=0,0,IF(LEN(IF102)=11,_xlfn.XLOOKUP(IF102,'Dispensed Ink Rates'!C:C,'Dispensed Ink Rates'!CS:CS),VLOOKUP(IF102,'Jan-2026 rates'!$E:$F,2,0)))</f>
        <v>#N/A</v>
      </c>
      <c r="IP102" s="409"/>
      <c r="IQ102" s="398">
        <f>IF(IP102=0,0,IF(LEN(IG102)=11,_xlfn.XLOOKUP(IG102,'Dispensed Ink Rates'!C:C,'Dispensed Ink Rates'!CS:CS),VLOOKUP(IG102,'Jan-2026 rates'!$E:$F,2,0)))</f>
        <v>0</v>
      </c>
      <c r="IR102" s="409"/>
      <c r="IS102" s="398">
        <f>IF(IR102=0,0,IF(LEN(IH102)=11,_xlfn.XLOOKUP(IH102,'Dispensed Ink Rates'!C:C,'Dispensed Ink Rates'!CS:CS),VLOOKUP(IH102,'Jan-2026 rates'!$E:$F,2,0)))</f>
        <v>0</v>
      </c>
      <c r="IT102" s="409"/>
      <c r="IU102" s="398">
        <f>IF(IT102=0,0,IF(LEN(II102)=11,_xlfn.XLOOKUP(II102,'Dispensed Ink Rates'!C:C,'Dispensed Ink Rates'!CS:CS),VLOOKUP(II102,'Jan-2026 rates'!$E:$F,2,0)))</f>
        <v>0</v>
      </c>
      <c r="IV102" s="409"/>
      <c r="IW102" s="398">
        <f>IF(IV102=0,0,IF(LEN(IJ102)=11,_xlfn.XLOOKUP(IJ102,'Dispensed Ink Rates'!C:C,'Dispensed Ink Rates'!CS:CS),VLOOKUP(IJ102,'Jan-2026 rates'!$E:$F,2,0)))</f>
        <v>0</v>
      </c>
      <c r="IX102" s="409"/>
      <c r="IY102" s="398">
        <f>IF(IX102=0,0,IF(LEN(IK102)=11,_xlfn.XLOOKUP(IK102,'Dispensed Ink Rates'!C:C,'Dispensed Ink Rates'!CS:CS),VLOOKUP(IK102,'Jan-2026 rates'!$E:$F,2,0)))</f>
        <v>0</v>
      </c>
      <c r="IZ102" s="409"/>
      <c r="JA102" s="398">
        <f>IF(IZ102=0,0,IF(LEN(IL102)=11,_xlfn.XLOOKUP(IL102,'Dispensed Ink Rates'!C:C,'Dispensed Ink Rates'!CS:CS),VLOOKUP(IL102,'Jan-2026 rates'!$E:$F,2,0)))</f>
        <v>0</v>
      </c>
      <c r="JB102" s="409"/>
      <c r="JC102" s="398">
        <f>IF(JB102=0,0,IF(LEN(IM102)=11,_xlfn.XLOOKUP(IM102,'Dispensed Ink Rates'!C:C,'Dispensed Ink Rates'!CS:CS),VLOOKUP(IM102,'Jan-2026 rates'!$E:$F,2,0)))</f>
        <v>0</v>
      </c>
      <c r="JD102" s="409" t="s">
        <v>1443</v>
      </c>
      <c r="JE102" s="409">
        <v>30</v>
      </c>
      <c r="JF102" s="411">
        <f t="shared" si="100"/>
        <v>0</v>
      </c>
      <c r="JG102" s="411">
        <f t="shared" si="101"/>
        <v>23.625</v>
      </c>
      <c r="JH102" s="410">
        <f t="shared" si="102"/>
        <v>0</v>
      </c>
      <c r="JI102" s="405"/>
      <c r="JJ102" s="409"/>
      <c r="JK102" s="420" t="str">
        <f t="shared" si="60"/>
        <v xml:space="preserve"> - </v>
      </c>
      <c r="JL102" s="409"/>
      <c r="JM102" s="411">
        <f>IF(JL102=0,0,IF($LB102=70%,VLOOKUP($JK102,'Jan-2026 rates'!$L:$R,4,0),IF($LB102=65%,VLOOKUP($JK102,'Jan-2026 rates'!$L:$R,4,0),IF($LB102=40%,VLOOKUP($JK102,'Jan-2026 rates'!$L:$R,5,0),IF($LB102=30%,VLOOKUP($JK102,'Jan-2026 rates'!$L:$R,6,0),IF($LB102=100%,VLOOKUP($JK102,'Jan-2026 rates'!$L:$R,7,0),IF($LB102=60%,VLOOKUP($JK102,'Jan-2026 rates'!$L:$S,8,0),IF($LB102=80%,VLOOKUP($JK102,'Jan-2026 rates'!L:T,9,0),0))))))))</f>
        <v>0</v>
      </c>
      <c r="JN102" s="412"/>
      <c r="JO102" s="409"/>
      <c r="JP102" s="411">
        <f>IF(JO102=0,0,IF($LB102=70%,VLOOKUP($JK102,'Jan-2026 rates'!$L:$R,4,0),IF($LB102=65%,VLOOKUP($JK102,'Jan-2026 rates'!$L:$R,4,0),IF($LB102=40%,VLOOKUP($JK102,'Jan-2026 rates'!$L:$R,5,0),IF($LB102=30%,VLOOKUP($JK102,'Jan-2026 rates'!$L:$R,6,0),IF($LB102=100%,VLOOKUP($JK102,'Jan-2026 rates'!$L:$R,7,0),IF($LB102=60%,VLOOKUP($JK102,'Jan-2026 rates'!$L:$S,8,0),IF($LB102=80%,VLOOKUP($JK102,'Jan-2026 rates'!L:T,9,0),0))))))))</f>
        <v>0</v>
      </c>
      <c r="JQ102" s="413"/>
      <c r="JR102" s="412"/>
      <c r="JS102" s="413"/>
      <c r="JT102" s="413"/>
      <c r="JU102" s="412"/>
      <c r="JV102" s="412"/>
      <c r="JW102" s="412"/>
      <c r="JX102" s="412"/>
      <c r="JY102" s="409"/>
      <c r="JZ102" s="398">
        <f>IF(JY102=0,0,IF(LEN(JQ102)=11,_xlfn.XLOOKUP(JQ102,'Dispensed Ink Rates'!C:C,'Dispensed Ink Rates'!CS:CS),VLOOKUP(JQ102,'Jan-2026 rates'!$E:$F,2,0)))</f>
        <v>0</v>
      </c>
      <c r="KA102" s="409"/>
      <c r="KB102" s="398">
        <f>IF(KA102=0,0,IF(LEN(JR102)=11,_xlfn.XLOOKUP(JR102,'Dispensed Ink Rates'!C:C,'Dispensed Ink Rates'!CS:CS),VLOOKUP(JR102,'Jan-2026 rates'!$E:$F,2,0)))</f>
        <v>0</v>
      </c>
      <c r="KC102" s="409"/>
      <c r="KD102" s="398">
        <f>IF(KC102=0,0,IF(LEN(JS102)=11,_xlfn.XLOOKUP(JS102,'Dispensed Ink Rates'!C:C,'Dispensed Ink Rates'!CS:CS),VLOOKUP(JS102,'Jan-2026 rates'!$E:$F,2,0)))</f>
        <v>0</v>
      </c>
      <c r="KE102" s="409"/>
      <c r="KF102" s="398">
        <f>IF(KE102=0,0,IF(LEN(JT102)=11,_xlfn.XLOOKUP(JT102,'Dispensed Ink Rates'!C:C,'Dispensed Ink Rates'!CS:CS),VLOOKUP(JT102,'Jan-2026 rates'!$E:$F,2,0)))</f>
        <v>0</v>
      </c>
      <c r="KG102" s="409"/>
      <c r="KH102" s="398">
        <f>IF(KG102=0,0,IF(LEN(JU102)=11,_xlfn.XLOOKUP(JU102,'Dispensed Ink Rates'!C:C,'Dispensed Ink Rates'!CS:CS),VLOOKUP(JU102,'Jan-2026 rates'!$E:$F,2,0)))</f>
        <v>0</v>
      </c>
      <c r="KI102" s="409"/>
      <c r="KJ102" s="398">
        <f>IF(KI102=0,0,IF(LEN(JV102)=11,_xlfn.XLOOKUP(JV102,'Dispensed Ink Rates'!C:C,'Dispensed Ink Rates'!CS:CS),VLOOKUP(JV102,'Jan-2026 rates'!$E:$F,2,0)))</f>
        <v>0</v>
      </c>
      <c r="KK102" s="409"/>
      <c r="KL102" s="398">
        <f>IF(KK102=0,0,IF(LEN(JW102)=11,_xlfn.XLOOKUP(JW102,'Dispensed Ink Rates'!C:C,'Dispensed Ink Rates'!CS:CS),VLOOKUP(JW102,'Jan-2026 rates'!$E:$F,2,0)))</f>
        <v>0</v>
      </c>
      <c r="KM102" s="428"/>
      <c r="KN102" s="398">
        <f>IF(KM102=0,0,IF(LEN(JX102)=11,_xlfn.XLOOKUP(JX102,'Dispensed Ink Rates'!C:C,'Dispensed Ink Rates'!CS:CS),VLOOKUP(JX102,'Jan-2026 rates'!$E:$F,2,0)))</f>
        <v>0</v>
      </c>
      <c r="KO102" s="409"/>
      <c r="KP102" s="409"/>
      <c r="KQ102" s="411">
        <f t="shared" si="103"/>
        <v>0</v>
      </c>
      <c r="KR102" s="411">
        <f t="shared" si="104"/>
        <v>0</v>
      </c>
      <c r="KS102" s="410">
        <f t="shared" si="105"/>
        <v>0</v>
      </c>
      <c r="KT102" s="409">
        <v>2</v>
      </c>
      <c r="KU102" s="409">
        <v>2</v>
      </c>
      <c r="KV102" s="409">
        <v>5</v>
      </c>
      <c r="KW102" s="409">
        <v>6</v>
      </c>
      <c r="KX102" s="409">
        <v>3</v>
      </c>
      <c r="KY102" s="409">
        <v>3</v>
      </c>
      <c r="KZ102" s="409">
        <v>3</v>
      </c>
      <c r="LA102" s="409">
        <v>0</v>
      </c>
      <c r="LB102" s="415">
        <v>0.8</v>
      </c>
      <c r="LC102" s="415">
        <v>0.2</v>
      </c>
      <c r="LD102" s="415"/>
      <c r="LE102" s="415"/>
      <c r="LF102" s="415"/>
      <c r="LG102" s="409">
        <v>0</v>
      </c>
      <c r="LH102" s="409">
        <f>24+40+80+20+5+4</f>
        <v>173</v>
      </c>
      <c r="LI102" s="409">
        <v>0</v>
      </c>
      <c r="LJ102" s="409">
        <v>0</v>
      </c>
      <c r="LK102" s="416">
        <f t="shared" si="61"/>
        <v>173</v>
      </c>
      <c r="LL102" s="416">
        <f t="shared" si="62"/>
        <v>173</v>
      </c>
      <c r="LM102" s="417">
        <f t="shared" si="63"/>
        <v>138.4</v>
      </c>
      <c r="LN102" s="417">
        <f>VLOOKUP($LM$8,'Jan-2026 rates'!$H:$I,2,0)</f>
        <v>0</v>
      </c>
      <c r="LO102" s="417">
        <f t="shared" si="64"/>
        <v>34.6</v>
      </c>
      <c r="LP102" s="417">
        <f>VLOOKUP($LO$8,'Jan-2026 rates'!$H:$I,2,0)</f>
        <v>0</v>
      </c>
      <c r="LQ102" s="417">
        <f t="shared" si="65"/>
        <v>0</v>
      </c>
      <c r="LR102" s="417">
        <f>VLOOKUP($LQ$8,'Jan-2026 rates'!$H:$I,2,0)</f>
        <v>0</v>
      </c>
      <c r="LS102" s="417">
        <f t="shared" si="66"/>
        <v>0</v>
      </c>
      <c r="LT102" s="417">
        <f>VLOOKUP($LS$8,'Jan-2026 rates'!$H:$I,2,0)</f>
        <v>0</v>
      </c>
      <c r="LU102" s="417">
        <f t="shared" si="67"/>
        <v>0</v>
      </c>
      <c r="LV102" s="417">
        <f>VLOOKUP($LU$8,'Jan-2026 rates'!$H:$I,2,0)</f>
        <v>0</v>
      </c>
      <c r="LW102" s="417">
        <f t="shared" si="68"/>
        <v>0</v>
      </c>
      <c r="LX102" s="417">
        <f t="shared" si="69"/>
        <v>0</v>
      </c>
      <c r="LY102" s="418">
        <f t="shared" si="70"/>
        <v>0</v>
      </c>
      <c r="LZ102" s="417"/>
      <c r="MA102" s="435">
        <f t="shared" si="71"/>
        <v>110</v>
      </c>
      <c r="MB102" s="282">
        <f t="shared" si="72"/>
        <v>324</v>
      </c>
      <c r="MC102" s="283">
        <v>57</v>
      </c>
      <c r="MD102" s="284" t="str">
        <f t="shared" si="73"/>
        <v>FLINTSLFLINTSLFLINTSLFLINTSLFLINTSLFLINTSLFLINTSL</v>
      </c>
      <c r="ME102" s="293" t="str">
        <f t="shared" si="74"/>
        <v>+</v>
      </c>
      <c r="MF102" s="293" t="str">
        <f t="shared" si="75"/>
        <v>+</v>
      </c>
      <c r="MG102" s="293" t="str">
        <f t="shared" si="76"/>
        <v>+</v>
      </c>
      <c r="MH102" s="293" t="str">
        <f t="shared" si="77"/>
        <v>+</v>
      </c>
      <c r="MI102" s="293" t="str">
        <f t="shared" si="78"/>
        <v>+</v>
      </c>
      <c r="MJ102" s="293" t="str">
        <f t="shared" si="79"/>
        <v>+</v>
      </c>
      <c r="MK102" s="293" t="str">
        <f t="shared" si="80"/>
        <v>+</v>
      </c>
      <c r="ML102" s="293" t="str">
        <f t="shared" si="81"/>
        <v>NIL</v>
      </c>
      <c r="MM102" s="3" t="b">
        <f t="array" ref="MM102">OR(ME102:ML102="-")</f>
        <v>0</v>
      </c>
      <c r="MN102" s="285"/>
      <c r="MO102" s="401"/>
      <c r="MP102" s="286"/>
      <c r="MQ102" s="286"/>
      <c r="MR102" s="402"/>
      <c r="MS102" s="400"/>
      <c r="NH102" s="422"/>
      <c r="NJ102" s="421"/>
    </row>
    <row r="103" spans="1:374" s="1" customFormat="1" ht="16.5">
      <c r="A103" s="403">
        <v>46030</v>
      </c>
      <c r="B103" s="404" t="s">
        <v>1018</v>
      </c>
      <c r="C103" s="405" t="s">
        <v>3184</v>
      </c>
      <c r="D103" s="406">
        <v>58</v>
      </c>
      <c r="E103" s="404">
        <v>972</v>
      </c>
      <c r="F103" s="407">
        <v>63200</v>
      </c>
      <c r="G103" s="407" t="s">
        <v>1019</v>
      </c>
      <c r="H103" s="408" t="s">
        <v>1017</v>
      </c>
      <c r="I103" s="409">
        <v>0.8</v>
      </c>
      <c r="J103" s="405" t="s">
        <v>543</v>
      </c>
      <c r="K103" s="404" t="s">
        <v>3185</v>
      </c>
      <c r="L103" s="419" t="str">
        <f t="shared" si="54"/>
        <v>FLINTSL - BLACK</v>
      </c>
      <c r="M103" s="404">
        <v>29</v>
      </c>
      <c r="N103" s="410">
        <f>IF(M103=0,0,IF($LB103=70%,VLOOKUP($L103,'Jan-2026 rates'!$L:$R,4,0),IF($LB103=65%,VLOOKUP($L103,'Jan-2026 rates'!$L:$R,4,0),IF($LB103=40%,VLOOKUP($L103,'Jan-2026 rates'!$L:$R,5,0),IF($LB103=30%,VLOOKUP($L103,'Jan-2026 rates'!$L:$R,6,0),IF($LB103=100%,VLOOKUP($L103,'Jan-2026 rates'!$L:$R,7,0),IF($LB103=60%,VLOOKUP($L103,'Jan-2026 rates'!$L:$S,8,0),IF($LB103=80%,VLOOKUP($L103,'Jan-2026 rates'!L:T,9,0),0))))))))</f>
        <v>0</v>
      </c>
      <c r="O103" s="406"/>
      <c r="P103" s="404"/>
      <c r="Q103" s="410">
        <f>IF(P103=0,0,IF($LB103=70%,VLOOKUP($L103,'Jan-2026 rates'!$L:$R,4,0),IF($LB103=65%,VLOOKUP($L103,'Jan-2026 rates'!$L:$R,4,0),IF($LB103=40%,VLOOKUP($L103,'Jan-2026 rates'!$L:$R,5,0),IF($LB103=30%,VLOOKUP($L103,'Jan-2026 rates'!$L:$R,6,0),IF($LB103=100%,VLOOKUP($L103,'Jan-2026 rates'!$L:$R,7,0),IF($LB103=60%,VLOOKUP($L103,'Jan-2026 rates'!$L:$S,8,0),IF($LB103=80%,VLOOKUP($L103,'Jan-2026 rates'!L:T,9,0),0))))))))</f>
        <v>0</v>
      </c>
      <c r="R103" s="406">
        <v>26507000010</v>
      </c>
      <c r="S103" s="406"/>
      <c r="T103" s="406"/>
      <c r="U103" s="406"/>
      <c r="V103" s="406"/>
      <c r="W103" s="406"/>
      <c r="X103" s="406"/>
      <c r="Y103" s="406"/>
      <c r="Z103" s="404">
        <v>2</v>
      </c>
      <c r="AA103" s="398" t="e">
        <f>IF(Z103=0,0,IF(LEN(R103)=11,_xlfn.XLOOKUP(R103,'Dispensed Ink Rates'!C:C,'Dispensed Ink Rates'!CS:CS),VLOOKUP(R103,'Jan-2026 rates'!$E:$F,2,0)))</f>
        <v>#N/A</v>
      </c>
      <c r="AB103" s="404"/>
      <c r="AC103" s="398">
        <f>IF(AB103=0,0,IF(LEN(S103)=11,_xlfn.XLOOKUP(S103,'Dispensed Ink Rates'!C:C,'Dispensed Ink Rates'!CS:CS),VLOOKUP(S103,'Jan-2026 rates'!$E:$F,2,0)))</f>
        <v>0</v>
      </c>
      <c r="AD103" s="404"/>
      <c r="AE103" s="398">
        <f>IF(AD103=0,0,IF(LEN(T103)=11,_xlfn.XLOOKUP(T103,'Dispensed Ink Rates'!C:C,'Dispensed Ink Rates'!CS:CS),VLOOKUP(T103,'Jan-2026 rates'!$E:$F,2,0)))</f>
        <v>0</v>
      </c>
      <c r="AF103" s="404"/>
      <c r="AG103" s="398">
        <f>IF(AF103=0,0,IF(LEN(U103)=11,_xlfn.XLOOKUP(U103,'Dispensed Ink Rates'!C:C,'Dispensed Ink Rates'!CS:CS),VLOOKUP(U103,'Jan-2026 rates'!$E:$F,2,0)))</f>
        <v>0</v>
      </c>
      <c r="AH103" s="404"/>
      <c r="AI103" s="398">
        <f>IF(AH103=0,0,IF(LEN(V103)=11,_xlfn.XLOOKUP(V103,'Dispensed Ink Rates'!C:C,'Dispensed Ink Rates'!CS:CS),VLOOKUP(V103,'Jan-2026 rates'!$E:$F,2,0)))</f>
        <v>0</v>
      </c>
      <c r="AJ103" s="404"/>
      <c r="AK103" s="398">
        <f>IF(AJ103=0,0,IF(LEN(W103)=11,_xlfn.XLOOKUP(W103,'Dispensed Ink Rates'!C:C,'Dispensed Ink Rates'!CS:CS),VLOOKUP(W103,'Jan-2026 rates'!$E:$F,2,0)))</f>
        <v>0</v>
      </c>
      <c r="AL103" s="404"/>
      <c r="AM103" s="398">
        <f>IF(AL103=0,0,IF(LEN(X103)=11,_xlfn.XLOOKUP(X103,'Dispensed Ink Rates'!C:C,'Dispensed Ink Rates'!CS:CS),VLOOKUP(X103,'Jan-2026 rates'!$E:$F,2,0)))</f>
        <v>0</v>
      </c>
      <c r="AN103" s="404"/>
      <c r="AO103" s="398">
        <f>IF(AN103=0,0,IF(LEN(Y103)=11,_xlfn.XLOOKUP(Y103,'Dispensed Ink Rates'!C:C,'Dispensed Ink Rates'!CS:CS),VLOOKUP(Y103,'Jan-2026 rates'!$E:$F,2,0)))</f>
        <v>0</v>
      </c>
      <c r="AP103" s="409" t="s">
        <v>1443</v>
      </c>
      <c r="AQ103" s="409">
        <v>22</v>
      </c>
      <c r="AR103" s="410">
        <f t="shared" si="82"/>
        <v>0</v>
      </c>
      <c r="AS103" s="411">
        <f t="shared" si="83"/>
        <v>17</v>
      </c>
      <c r="AT103" s="410">
        <f t="shared" si="84"/>
        <v>0</v>
      </c>
      <c r="AU103" s="405" t="s">
        <v>546</v>
      </c>
      <c r="AV103" s="409" t="s">
        <v>3185</v>
      </c>
      <c r="AW103" s="420" t="str">
        <f t="shared" si="53"/>
        <v>FLINTSL - REFLEX BLUE</v>
      </c>
      <c r="AX103" s="409">
        <v>25</v>
      </c>
      <c r="AY103" s="411">
        <f>IF(AX103=0,0,IF($LB103=70%,VLOOKUP($AW103,'Jan-2026 rates'!$L:$R,4,0),IF($LB103=65%,VLOOKUP($AW103,'Jan-2026 rates'!$L:$R,4,0),IF($LB103=40%,VLOOKUP($AW103,'Jan-2026 rates'!$L:$R,5,0),IF($LB103=30%,VLOOKUP($AW103,'Jan-2026 rates'!$L:$R,6,0),IF($LB103=100%,VLOOKUP($AW103,'Jan-2026 rates'!$L:$R,7,0),IF($LB103=60%,VLOOKUP($AW103,'Jan-2026 rates'!$L:$S,8,0),IF($LB103=80%,VLOOKUP($AW103,'Jan-2026 rates'!L:T,9,0),0))))))))</f>
        <v>0</v>
      </c>
      <c r="AZ103" s="412"/>
      <c r="BA103" s="409"/>
      <c r="BB103" s="411">
        <f>IF(BA103=0,0,IF($LB103=70%,VLOOKUP($AW103,'Jan-2026 rates'!$L:$R,4,0),IF($LB103=65%,VLOOKUP($AW103,'Jan-2026 rates'!$L:$R,4,0),IF($LB103=40%,VLOOKUP($AW103,'Jan-2026 rates'!$L:$R,5,0),IF($LB103=30%,VLOOKUP($AW103,'Jan-2026 rates'!$L:$R,6,0),IF($LB103=100%,VLOOKUP($AW103,'Jan-2026 rates'!$L:$R,7,0),IF($LB103=60%,VLOOKUP($AW103,'Jan-2026 rates'!$L:$S,8,0),IF($LB103=80%,VLOOKUP($AW103,'Jan-2026 rates'!L:T,9,0),0))))))))</f>
        <v>0</v>
      </c>
      <c r="BC103" s="413">
        <v>26506000001</v>
      </c>
      <c r="BD103" s="412"/>
      <c r="BE103" s="412"/>
      <c r="BF103" s="413"/>
      <c r="BG103" s="412"/>
      <c r="BH103" s="412"/>
      <c r="BI103" s="412"/>
      <c r="BJ103" s="412"/>
      <c r="BK103" s="409">
        <v>4</v>
      </c>
      <c r="BL103" s="398" t="e">
        <f>IF(BK103=0,0,IF(LEN(BC103)=11,_xlfn.XLOOKUP(BC103,'Dispensed Ink Rates'!C:C,'Dispensed Ink Rates'!CS:CS),VLOOKUP(BC103,'Jan-2026 rates'!$E:$F,2,0)))</f>
        <v>#N/A</v>
      </c>
      <c r="BM103" s="409"/>
      <c r="BN103" s="398">
        <f>IF(BM103=0,0,IF(LEN(BD103)=11,_xlfn.XLOOKUP(BD103,'Dispensed Ink Rates'!C:C,'Dispensed Ink Rates'!CS:CS),VLOOKUP(BD103,'Jan-2026 rates'!$E:$F,2,0)))</f>
        <v>0</v>
      </c>
      <c r="BO103" s="409"/>
      <c r="BP103" s="398">
        <f>IF(BO103=0,0,IF(LEN(BE103)=11,_xlfn.XLOOKUP(BE103,'Dispensed Ink Rates'!C:C,'Dispensed Ink Rates'!CS:CS),VLOOKUP(BE103,'Jan-2026 rates'!$E:$F,2,0)))</f>
        <v>0</v>
      </c>
      <c r="BQ103" s="409"/>
      <c r="BR103" s="398">
        <f>IF(BQ103=0,0,IF(LEN(BF103)=11,_xlfn.XLOOKUP(BF103,'Dispensed Ink Rates'!C:C,'Dispensed Ink Rates'!CS:CS),VLOOKUP(BF103,'Jan-2026 rates'!$E:$F,2,0)))</f>
        <v>0</v>
      </c>
      <c r="BS103" s="409"/>
      <c r="BT103" s="398">
        <f>IF(BS103=0,0,IF(LEN(BG103)=11,_xlfn.XLOOKUP(BG103,'Dispensed Ink Rates'!C:C,'Dispensed Ink Rates'!CS:CS),VLOOKUP(BG103,'Jan-2026 rates'!$E:$F,2,0)))</f>
        <v>0</v>
      </c>
      <c r="BU103" s="409"/>
      <c r="BV103" s="398">
        <f>IF(BU103=0,0,IF(LEN(BH103)=11,_xlfn.XLOOKUP(BH103,'Dispensed Ink Rates'!C:C,'Dispensed Ink Rates'!CS:CS),VLOOKUP(BH103,'Jan-2026 rates'!$E:$F,2,0)))</f>
        <v>0</v>
      </c>
      <c r="BW103" s="409"/>
      <c r="BX103" s="398">
        <f>IF(BW103=0,0,IF(LEN(BI103)=11,_xlfn.XLOOKUP(BI103,'Dispensed Ink Rates'!C:C,'Dispensed Ink Rates'!CS:CS),VLOOKUP(BI103,'Jan-2026 rates'!$E:$F,2,0)))</f>
        <v>0</v>
      </c>
      <c r="BY103" s="409"/>
      <c r="BZ103" s="398">
        <f>IF(BY103=0,0,IF(LEN(BJ103)=11,_xlfn.XLOOKUP(BJ103,'Dispensed Ink Rates'!C:C,'Dispensed Ink Rates'!CS:CS),VLOOKUP(BJ103,'Jan-2026 rates'!$E:$F,2,0)))</f>
        <v>0</v>
      </c>
      <c r="CA103" s="409" t="s">
        <v>1443</v>
      </c>
      <c r="CB103" s="409">
        <v>20</v>
      </c>
      <c r="CC103" s="411">
        <f t="shared" si="85"/>
        <v>0</v>
      </c>
      <c r="CD103" s="411">
        <f t="shared" si="86"/>
        <v>21</v>
      </c>
      <c r="CE103" s="410">
        <f t="shared" si="87"/>
        <v>0</v>
      </c>
      <c r="CF103" s="404" t="s">
        <v>547</v>
      </c>
      <c r="CG103" s="409" t="s">
        <v>3146</v>
      </c>
      <c r="CH103" s="420" t="str">
        <f t="shared" si="55"/>
        <v>FLINTSL - GREEN</v>
      </c>
      <c r="CI103" s="409">
        <v>28</v>
      </c>
      <c r="CJ103" s="411">
        <f>IF(CI103=0,0,IF($LB103=70%,VLOOKUP($CH103,'Jan-2026 rates'!$L:$R,4,0),IF($LB103=65%,VLOOKUP($CH103,'Jan-2026 rates'!$L:$R,4,0),IF($LB103=40%,VLOOKUP($CH103,'Jan-2026 rates'!$L:$R,5,0),IF($LB103=30%,VLOOKUP($CH103,'Jan-2026 rates'!$L:$R,6,0),IF($LB103=100%,VLOOKUP($CH103,'Jan-2026 rates'!$L:$R,7,0),IF($LB103=60%,VLOOKUP($CH103,'Jan-2026 rates'!$L:$S,8,0),IF($LB103=80%,VLOOKUP($CH103,'Jan-2026 rates'!L:T,9,0),0))))))))</f>
        <v>0</v>
      </c>
      <c r="CK103" s="412"/>
      <c r="CL103" s="409"/>
      <c r="CM103" s="411">
        <f>IF(CL103=0,0,IF($LB103=70%,VLOOKUP($CH103,'Jan-2026 rates'!$L:$R,4,0),IF($LB103=65%,VLOOKUP($CH103,'Jan-2026 rates'!$L:$R,4,0),IF($LB103=40%,VLOOKUP($CH103,'Jan-2026 rates'!$L:$R,5,0),IF($LB103=30%,VLOOKUP($CH103,'Jan-2026 rates'!$L:$R,6,0),IF($LB103=100%,VLOOKUP($CH103,'Jan-2026 rates'!$L:$R,7,0),IF($LB103=60%,VLOOKUP($CH103,'Jan-2026 rates'!$L:$S,8,0),IF($LB103=80%,VLOOKUP($CH103,'Jan-2026 rates'!L:T,9,0),0))))))))</f>
        <v>0</v>
      </c>
      <c r="CN103" s="426">
        <v>26508000024</v>
      </c>
      <c r="CO103" s="427">
        <v>26507000018</v>
      </c>
      <c r="CP103" s="426"/>
      <c r="CQ103" s="426"/>
      <c r="CR103" s="428"/>
      <c r="CS103" s="428"/>
      <c r="CT103" s="428"/>
      <c r="CU103" s="428"/>
      <c r="CV103" s="409">
        <v>2</v>
      </c>
      <c r="CW103" s="398" t="e">
        <f>IF(CV103=0,0,IF(LEN(CN103)=11,_xlfn.XLOOKUP(CN103,'Dispensed Ink Rates'!C:C,'Dispensed Ink Rates'!CS:CS),VLOOKUP(CN103,'Jan-2026 rates'!$E:$F,2,0)))</f>
        <v>#N/A</v>
      </c>
      <c r="CX103" s="409">
        <v>4</v>
      </c>
      <c r="CY103" s="398" t="e">
        <f>IF(CX103=0,0,IF(LEN(CO103)=11,_xlfn.XLOOKUP(CO103,'Dispensed Ink Rates'!C:C,'Dispensed Ink Rates'!CS:CS),VLOOKUP(CO103,'Jan-2026 rates'!$E:$F,2,0)))</f>
        <v>#N/A</v>
      </c>
      <c r="CZ103" s="409"/>
      <c r="DA103" s="398">
        <f>IF(CZ103=0,0,IF(LEN(CP103)=11,_xlfn.XLOOKUP(CP103,'Dispensed Ink Rates'!C:C,'Dispensed Ink Rates'!CS:CS),VLOOKUP(CP103,'Jan-2026 rates'!$E:$F,2,0)))</f>
        <v>0</v>
      </c>
      <c r="DB103" s="409"/>
      <c r="DC103" s="398">
        <f>IF(DB103=0,0,IF(LEN(CQ103)=11,_xlfn.XLOOKUP(CQ103,'Dispensed Ink Rates'!C:C,'Dispensed Ink Rates'!CS:CS),VLOOKUP(CQ103,'Jan-2026 rates'!$E:$F,2,0)))</f>
        <v>0</v>
      </c>
      <c r="DD103" s="409"/>
      <c r="DE103" s="398">
        <f>IF(DD103=0,0,IF(LEN(CR103)=11,_xlfn.XLOOKUP(CR103,'Dispensed Ink Rates'!C:C,'Dispensed Ink Rates'!CS:CS),VLOOKUP(CR103,'Jan-2026 rates'!$E:$F,2,0)))</f>
        <v>0</v>
      </c>
      <c r="DF103" s="409"/>
      <c r="DG103" s="398">
        <f>IF(DF103=0,0,IF(LEN(CS103)=11,_xlfn.XLOOKUP(CS103,'Dispensed Ink Rates'!C:C,'Dispensed Ink Rates'!CS:CS),VLOOKUP(CS103,'Jan-2026 rates'!$E:$F,2,0)))</f>
        <v>0</v>
      </c>
      <c r="DH103" s="409"/>
      <c r="DI103" s="398">
        <f>IF(DH103=0,0,IF(LEN(CT103)=11,_xlfn.XLOOKUP(CT103,'Dispensed Ink Rates'!C:C,'Dispensed Ink Rates'!CS:CS),VLOOKUP(CT103,'Jan-2026 rates'!$E:$F,2,0)))</f>
        <v>0</v>
      </c>
      <c r="DJ103" s="409"/>
      <c r="DK103" s="398">
        <f>IF(DJ103=0,0,IF(LEN(CU103)=11,_xlfn.XLOOKUP(CU103,'Dispensed Ink Rates'!C:C,'Dispensed Ink Rates'!CS:CS),VLOOKUP(CU103,'Jan-2026 rates'!$E:$F,2,0)))</f>
        <v>0</v>
      </c>
      <c r="DL103" s="409" t="s">
        <v>1443</v>
      </c>
      <c r="DM103" s="409">
        <v>15</v>
      </c>
      <c r="DN103" s="411">
        <f t="shared" si="88"/>
        <v>0</v>
      </c>
      <c r="DO103" s="411">
        <f t="shared" si="89"/>
        <v>47</v>
      </c>
      <c r="DP103" s="410">
        <f t="shared" si="90"/>
        <v>0</v>
      </c>
      <c r="DQ103" s="405" t="s">
        <v>855</v>
      </c>
      <c r="DR103" s="409" t="s">
        <v>3186</v>
      </c>
      <c r="DS103" s="420" t="str">
        <f t="shared" si="56"/>
        <v>FLINTSL - CYAN</v>
      </c>
      <c r="DT103" s="409">
        <v>28</v>
      </c>
      <c r="DU103" s="411">
        <f>IF(DT103=0,0,IF($LB103=70%,VLOOKUP($DS103,'Jan-2026 rates'!$L:$R,4,0),IF($LB103=65%,VLOOKUP($DS103,'Jan-2026 rates'!$L:$R,4,0),IF($LB103=40%,VLOOKUP($DS103,'Jan-2026 rates'!$L:$R,5,0),IF($LB103=30%,VLOOKUP($DS103,'Jan-2026 rates'!$L:$R,6,0),IF($LB103=100%,VLOOKUP($DS103,'Jan-2026 rates'!$L:$R,7,0),IF($LB103=60%,VLOOKUP($DS103,'Jan-2026 rates'!$L:$S,8,0),IF($LB103=80%,VLOOKUP($DS103,'Jan-2026 rates'!L:T,9,0),0))))))))</f>
        <v>0</v>
      </c>
      <c r="DV103" s="412"/>
      <c r="DW103" s="409"/>
      <c r="DX103" s="411">
        <f>IF(DW103=0,0,IF($LB103=70%,VLOOKUP($DS103,'Jan-2026 rates'!$L:$R,4,0),IF($LB103=65%,VLOOKUP($DS103,'Jan-2026 rates'!$L:$R,4,0),IF($LB103=40%,VLOOKUP($DS103,'Jan-2026 rates'!$L:$R,5,0),IF($LB103=30%,VLOOKUP($DS103,'Jan-2026 rates'!$L:$R,6,0),IF($LB103=100%,VLOOKUP($DS103,'Jan-2026 rates'!$L:$R,7,0),IF($LB103=60%,VLOOKUP($DS103,'Jan-2026 rates'!$L:$S,8,0),IF($LB103=80%,VLOOKUP($DS103,'Jan-2026 rates'!L:T,9,0),0))))))))</f>
        <v>0</v>
      </c>
      <c r="DY103" s="413">
        <v>26507000018</v>
      </c>
      <c r="DZ103" s="413" t="s">
        <v>1266</v>
      </c>
      <c r="EA103" s="412"/>
      <c r="EB103" s="412"/>
      <c r="EC103" s="412"/>
      <c r="ED103" s="412"/>
      <c r="EE103" s="412"/>
      <c r="EF103" s="412"/>
      <c r="EG103" s="409">
        <v>7</v>
      </c>
      <c r="EH103" s="398" t="e">
        <f>IF(EG103=0,0,IF(LEN(DY103)=11,_xlfn.XLOOKUP(DY103,'Dispensed Ink Rates'!C:C,'Dispensed Ink Rates'!CS:CS),VLOOKUP(DY103,'Jan-2026 rates'!$E:$F,2,0)))</f>
        <v>#N/A</v>
      </c>
      <c r="EI103" s="409">
        <v>5</v>
      </c>
      <c r="EJ103" s="398">
        <f>IF(EI103=0,0,IF(LEN(DZ103)=11,_xlfn.XLOOKUP(DZ103,'Dispensed Ink Rates'!C:C,'Dispensed Ink Rates'!CS:CS),VLOOKUP(DZ103,'Jan-2026 rates'!$E:$F,2,0)))</f>
        <v>0</v>
      </c>
      <c r="EK103" s="409"/>
      <c r="EL103" s="398">
        <f>IF(EK103=0,0,IF(LEN(EA103)=11,_xlfn.XLOOKUP(EA103,'Dispensed Ink Rates'!C:C,'Dispensed Ink Rates'!CS:CS),VLOOKUP(EA103,'Jan-2026 rates'!$E:$F,2,0)))</f>
        <v>0</v>
      </c>
      <c r="EM103" s="409"/>
      <c r="EN103" s="398">
        <f>IF(EM103=0,0,IF(LEN(EB103)=11,_xlfn.XLOOKUP(EB103,'Dispensed Ink Rates'!C:C,'Dispensed Ink Rates'!CS:CS),VLOOKUP(EB103,'Jan-2026 rates'!$E:$F,2,0)))</f>
        <v>0</v>
      </c>
      <c r="EO103" s="409"/>
      <c r="EP103" s="398">
        <f>IF(EO103=0,0,IF(LEN(EC103)=11,_xlfn.XLOOKUP(EC103,'Dispensed Ink Rates'!C:C,'Dispensed Ink Rates'!CS:CS),VLOOKUP(EC103,'Jan-2026 rates'!$E:$F,2,0)))</f>
        <v>0</v>
      </c>
      <c r="EQ103" s="409"/>
      <c r="ER103" s="398">
        <f>IF(EQ103=0,0,IF(LEN(ED103)=11,_xlfn.XLOOKUP(ED103,'Dispensed Ink Rates'!C:C,'Dispensed Ink Rates'!CS:CS),VLOOKUP(ED103,'Jan-2026 rates'!$E:$F,2,0)))</f>
        <v>0</v>
      </c>
      <c r="ES103" s="409"/>
      <c r="ET103" s="398">
        <f>IF(ES103=0,0,IF(LEN(EE103)=11,_xlfn.XLOOKUP(EE103,'Dispensed Ink Rates'!C:C,'Dispensed Ink Rates'!CS:CS),VLOOKUP(EE103,'Jan-2026 rates'!$E:$F,2,0)))</f>
        <v>0</v>
      </c>
      <c r="EU103" s="409"/>
      <c r="EV103" s="398">
        <f>IF(EU103=0,0,IF(LEN(EF103)=11,_xlfn.XLOOKUP(EF103,'Dispensed Ink Rates'!C:C,'Dispensed Ink Rates'!CS:CS),VLOOKUP(EF103,'Jan-2026 rates'!$E:$F,2,0)))</f>
        <v>0</v>
      </c>
      <c r="EW103" s="409" t="s">
        <v>1443</v>
      </c>
      <c r="EX103" s="409">
        <v>26</v>
      </c>
      <c r="EY103" s="411">
        <f t="shared" si="91"/>
        <v>0</v>
      </c>
      <c r="EZ103" s="411">
        <f t="shared" si="92"/>
        <v>34</v>
      </c>
      <c r="FA103" s="410">
        <f t="shared" si="93"/>
        <v>0</v>
      </c>
      <c r="FB103" s="405" t="s">
        <v>544</v>
      </c>
      <c r="FC103" s="409" t="s">
        <v>3187</v>
      </c>
      <c r="FD103" s="420" t="str">
        <f t="shared" si="57"/>
        <v>FLINTSL - MAGENTA</v>
      </c>
      <c r="FE103" s="409">
        <v>28</v>
      </c>
      <c r="FF103" s="411">
        <f>IF(FE103=0,0,IF($LB103=70%,VLOOKUP($FD103,'Jan-2026 rates'!$L:$R,4,0),IF($LB103=65%,VLOOKUP($FD103,'Jan-2026 rates'!$L:$R,4,0),IF($LB103=40%,VLOOKUP($FD103,'Jan-2026 rates'!$L:$R,5,0),IF($LB103=30%,VLOOKUP($FD103,'Jan-2026 rates'!$L:$R,6,0),IF($LB103=100%,VLOOKUP($FD103,'Jan-2026 rates'!$L:$R,7,0),IF($LB103=60%,VLOOKUP($FD103,'Jan-2026 rates'!$L:$S,8,0),IF($LB103=80%,VLOOKUP($FD103,'Jan-2026 rates'!L:T,9,0),0))))))))</f>
        <v>0</v>
      </c>
      <c r="FG103" s="412"/>
      <c r="FH103" s="409"/>
      <c r="FI103" s="411">
        <f>IF(FH103=0,0,IF($LB103=70%,VLOOKUP($FD103,'Jan-2026 rates'!$L:$R,4,0),IF($LB103=65%,VLOOKUP($FD103,'Jan-2026 rates'!$L:$R,4,0),IF($LB103=40%,VLOOKUP($FD103,'Jan-2026 rates'!$L:$R,5,0),IF($LB103=30%,VLOOKUP($FD103,'Jan-2026 rates'!$L:$R,6,0),IF($LB103=100%,VLOOKUP($FD103,'Jan-2026 rates'!$L:$R,7,0),IF($LB103=60%,VLOOKUP($FD103,'Jan-2026 rates'!$L:$S,8,0),IF($LB103=80%,VLOOKUP($FD103,'Jan-2026 rates'!L:T,9,0),0))))))))</f>
        <v>0</v>
      </c>
      <c r="FJ103" s="413">
        <v>26508000011</v>
      </c>
      <c r="FK103" s="413"/>
      <c r="FL103" s="413"/>
      <c r="FM103" s="412"/>
      <c r="FN103" s="412"/>
      <c r="FO103" s="412"/>
      <c r="FP103" s="412"/>
      <c r="FQ103" s="412"/>
      <c r="FR103" s="409">
        <v>2</v>
      </c>
      <c r="FS103" s="398" t="e">
        <f>IF(FR103=0,0,IF(LEN(FJ103)=11,_xlfn.XLOOKUP(FJ103,'Dispensed Ink Rates'!C:C,'Dispensed Ink Rates'!CS:CS),VLOOKUP(FJ103,'Jan-2026 rates'!$E:$F,2,0)))</f>
        <v>#N/A</v>
      </c>
      <c r="FT103" s="409"/>
      <c r="FU103" s="398">
        <f>IF(FT103=0,0,IF(LEN(FK103)=11,_xlfn.XLOOKUP(FK103,'Dispensed Ink Rates'!C:C,'Dispensed Ink Rates'!CS:CS),VLOOKUP(FK103,'Jan-2026 rates'!$E:$F,2,0)))</f>
        <v>0</v>
      </c>
      <c r="FV103" s="409"/>
      <c r="FW103" s="398">
        <f>IF(FV103=0,0,IF(LEN(FL103)=11,_xlfn.XLOOKUP(FL103,'Dispensed Ink Rates'!C:C,'Dispensed Ink Rates'!CS:CS),VLOOKUP(FL103,'Jan-2026 rates'!$E:$F,2,0)))</f>
        <v>0</v>
      </c>
      <c r="FX103" s="409"/>
      <c r="FY103" s="398">
        <f>IF(FX103=0,0,IF(LEN(FM103)=11,_xlfn.XLOOKUP(FM103,'Dispensed Ink Rates'!C:C,'Dispensed Ink Rates'!CS:CS),VLOOKUP(FM103,'Jan-2026 rates'!$E:$F,2,0)))</f>
        <v>0</v>
      </c>
      <c r="FZ103" s="409"/>
      <c r="GA103" s="398">
        <f>IF(FZ103=0,0,IF(LEN(FN103)=11,_xlfn.XLOOKUP(FN103,'Dispensed Ink Rates'!C:C,'Dispensed Ink Rates'!CS:CS),VLOOKUP(FN103,'Jan-2026 rates'!$E:$F,2,0)))</f>
        <v>0</v>
      </c>
      <c r="GB103" s="409"/>
      <c r="GC103" s="398">
        <f>IF(GB103=0,0,IF(LEN(FO103)=11,_xlfn.XLOOKUP(FO103,'Dispensed Ink Rates'!C:C,'Dispensed Ink Rates'!CS:CS),VLOOKUP(FO103,'Jan-2026 rates'!$E:$F,2,0)))</f>
        <v>0</v>
      </c>
      <c r="GD103" s="409"/>
      <c r="GE103" s="398">
        <f>IF(GD103=0,0,IF(LEN(FP103)=11,_xlfn.XLOOKUP(FP103,'Dispensed Ink Rates'!C:C,'Dispensed Ink Rates'!CS:CS),VLOOKUP(FP103,'Jan-2026 rates'!$E:$F,2,0)))</f>
        <v>0</v>
      </c>
      <c r="GF103" s="409"/>
      <c r="GG103" s="398">
        <f>IF(GF103=0,0,IF(LEN(FQ103)=11,_xlfn.XLOOKUP(FQ103,'Dispensed Ink Rates'!C:C,'Dispensed Ink Rates'!CS:CS),VLOOKUP(FQ103,'Jan-2026 rates'!$E:$F,2,0)))</f>
        <v>0</v>
      </c>
      <c r="GH103" s="409" t="s">
        <v>1443</v>
      </c>
      <c r="GI103" s="409">
        <v>22</v>
      </c>
      <c r="GJ103" s="411">
        <f t="shared" si="94"/>
        <v>0</v>
      </c>
      <c r="GK103" s="411">
        <f t="shared" si="95"/>
        <v>12</v>
      </c>
      <c r="GL103" s="410">
        <f t="shared" si="96"/>
        <v>0</v>
      </c>
      <c r="GM103" s="405" t="s">
        <v>545</v>
      </c>
      <c r="GN103" s="409" t="s">
        <v>3188</v>
      </c>
      <c r="GO103" s="420" t="str">
        <f t="shared" si="58"/>
        <v>FLINTSL - YELLOW</v>
      </c>
      <c r="GP103" s="409">
        <v>30</v>
      </c>
      <c r="GQ103" s="411">
        <f>IF(GP103=0,0,IF($LB103=70%,VLOOKUP($GO103,'Jan-2026 rates'!$L:$R,4,0),IF($LB103=65%,VLOOKUP($GO103,'Jan-2026 rates'!$L:$R,4,0),IF($LB103=40%,VLOOKUP($GO103,'Jan-2026 rates'!$L:$R,5,0),IF($LB103=30%,VLOOKUP($GO103,'Jan-2026 rates'!$L:$R,6,0),IF($LB103=100%,VLOOKUP($GO103,'Jan-2026 rates'!$L:$R,7,0),IF($LB103=60%,VLOOKUP($GO103,'Jan-2026 rates'!$L:$S,8,0),IF($LB103=80%,VLOOKUP($GO103,'Jan-2026 rates'!L:T,9,0),0))))))))</f>
        <v>0</v>
      </c>
      <c r="GR103" s="412"/>
      <c r="GS103" s="409"/>
      <c r="GT103" s="411">
        <f>IF(GS103=0,0,IF($LB103=70%,VLOOKUP($GO103,'Jan-2026 rates'!$L:$R,4,0),IF($LB103=65%,VLOOKUP($GO103,'Jan-2026 rates'!$L:$R,4,0),IF($LB103=40%,VLOOKUP($GO103,'Jan-2026 rates'!$L:$R,5,0),IF($LB103=30%,VLOOKUP($GO103,'Jan-2026 rates'!$L:$R,6,0),IF($LB103=100%,VLOOKUP($GO103,'Jan-2026 rates'!$L:$R,7,0),IF($LB103=60%,VLOOKUP($GO103,'Jan-2026 rates'!$L:$S,8,0),IF($LB103=80%,VLOOKUP($GO103,'Jan-2026 rates'!L:T,9,0),0))))))))</f>
        <v>0</v>
      </c>
      <c r="GU103" s="413" t="s">
        <v>1266</v>
      </c>
      <c r="GV103" s="413">
        <v>26508000024</v>
      </c>
      <c r="GW103" s="412"/>
      <c r="GX103" s="412"/>
      <c r="GY103" s="412"/>
      <c r="GZ103" s="412"/>
      <c r="HA103" s="412"/>
      <c r="HB103" s="412"/>
      <c r="HC103" s="409">
        <v>8</v>
      </c>
      <c r="HD103" s="398">
        <f>IF(HC103=0,0,IF(LEN(GU103)=11,_xlfn.XLOOKUP(GU103,'Dispensed Ink Rates'!C:C,'Dispensed Ink Rates'!CS:CS),VLOOKUP(GU103,'Jan-2026 rates'!$E:$F,2,0)))</f>
        <v>0</v>
      </c>
      <c r="HE103" s="409">
        <v>15</v>
      </c>
      <c r="HF103" s="398" t="e">
        <f>IF(HE103=0,0,IF(LEN(GV103)=11,_xlfn.XLOOKUP(GV103,'Dispensed Ink Rates'!C:C,'Dispensed Ink Rates'!CS:CS),VLOOKUP(GV103,'Jan-2026 rates'!$E:$F,2,0)))</f>
        <v>#N/A</v>
      </c>
      <c r="HG103" s="409"/>
      <c r="HH103" s="398">
        <f>IF(HG103=0,0,IF(LEN(GW103)=11,_xlfn.XLOOKUP(GW103,'Dispensed Ink Rates'!C:C,'Dispensed Ink Rates'!CS:CS),VLOOKUP(GW103,'Jan-2026 rates'!$E:$F,2,0)))</f>
        <v>0</v>
      </c>
      <c r="HI103" s="409"/>
      <c r="HJ103" s="398">
        <f>IF(HI103=0,0,IF(LEN(GX103)=11,_xlfn.XLOOKUP(GX103,'Dispensed Ink Rates'!C:C,'Dispensed Ink Rates'!CS:CS),VLOOKUP(GX103,'Jan-2026 rates'!$E:$F,2,0)))</f>
        <v>0</v>
      </c>
      <c r="HK103" s="409"/>
      <c r="HL103" s="398">
        <f>IF(HK103=0,0,IF(LEN(GY103)=11,_xlfn.XLOOKUP(GY103,'Dispensed Ink Rates'!C:C,'Dispensed Ink Rates'!CS:CS),VLOOKUP(GY103,'Jan-2026 rates'!$E:$F,2,0)))</f>
        <v>0</v>
      </c>
      <c r="HM103" s="409"/>
      <c r="HN103" s="398">
        <f>IF(HM103=0,0,IF(LEN(GZ103)=11,_xlfn.XLOOKUP(GZ103,'Dispensed Ink Rates'!C:C,'Dispensed Ink Rates'!CS:CS),VLOOKUP(GZ103,'Jan-2026 rates'!$E:$F,2,0)))</f>
        <v>0</v>
      </c>
      <c r="HO103" s="409"/>
      <c r="HP103" s="398">
        <f>IF(HO103=0,0,IF(LEN(HA103)=11,_xlfn.XLOOKUP(HA103,'Dispensed Ink Rates'!C:C,'Dispensed Ink Rates'!CS:CS),VLOOKUP(HA103,'Jan-2026 rates'!$E:$F,2,0)))</f>
        <v>0</v>
      </c>
      <c r="HQ103" s="409"/>
      <c r="HR103" s="398">
        <f>IF(HQ103=0,0,IF(LEN(HB103)=11,_xlfn.XLOOKUP(HB103,'Dispensed Ink Rates'!C:C,'Dispensed Ink Rates'!CS:CS),VLOOKUP(HB103,'Jan-2026 rates'!$E:$F,2,0)))</f>
        <v>0</v>
      </c>
      <c r="HS103" s="409" t="s">
        <v>1443</v>
      </c>
      <c r="HT103" s="409">
        <v>24</v>
      </c>
      <c r="HU103" s="411">
        <f t="shared" si="97"/>
        <v>0</v>
      </c>
      <c r="HV103" s="411">
        <f t="shared" si="98"/>
        <v>69</v>
      </c>
      <c r="HW103" s="414">
        <f t="shared" si="99"/>
        <v>0</v>
      </c>
      <c r="HX103" s="405" t="s">
        <v>829</v>
      </c>
      <c r="HY103" s="409"/>
      <c r="HZ103" s="420" t="str">
        <f t="shared" si="59"/>
        <v>FLINTSL - MEDIUM</v>
      </c>
      <c r="IA103" s="409"/>
      <c r="IB103" s="411">
        <f>IF(IA103=0,0,IF($LB103=70%,VLOOKUP($HZ103,'Jan-2026 rates'!$L:$R,4,0),IF($LB103=65%,VLOOKUP($HZ103,'Jan-2026 rates'!$L:$R,4,0),IF($LB103=40%,VLOOKUP($HZ103,'Jan-2026 rates'!$L:$R,5,0),IF($LB103=30%,VLOOKUP($HZ103,'Jan-2026 rates'!$L:$R,6,0),IF($LB103=100%,VLOOKUP($HZ103,'Jan-2026 rates'!$L:$R,7,0),IF($LB103=60%,VLOOKUP($HZ103,'Jan-2026 rates'!$L:$S,8,0),IF($LB103=80%,VLOOKUP($HZ103,'Jan-2026 rates'!L:T,9,0),0))))))))</f>
        <v>0</v>
      </c>
      <c r="IC103" s="412"/>
      <c r="ID103" s="409"/>
      <c r="IE103" s="411">
        <f>IF(ID103=0,0,IF($LB103=70%,VLOOKUP($HZ103,'Jan-2026 rates'!$L:$R,4,0),IF($LB103=65%,VLOOKUP($HZ103,'Jan-2026 rates'!$L:$R,4,0),IF($LB103=40%,VLOOKUP($HZ103,'Jan-2026 rates'!$L:$R,5,0),IF($LB103=30%,VLOOKUP($HZ103,'Jan-2026 rates'!$L:$R,6,0),IF($LB103=100%,VLOOKUP($HZ103,'Jan-2026 rates'!$L:$R,7,0),IF($LB103=60%,VLOOKUP($HZ103,'Jan-2026 rates'!$L:$S,8,0),IF($LB103=80%,VLOOKUP($HZ103,'Jan-2026 rates'!L:T,9,0),0))))))))</f>
        <v>0</v>
      </c>
      <c r="IF103" s="412">
        <v>26509000008</v>
      </c>
      <c r="IG103" s="413">
        <v>26509000007</v>
      </c>
      <c r="IH103" s="412">
        <v>26508000021</v>
      </c>
      <c r="II103" s="412" t="s">
        <v>1266</v>
      </c>
      <c r="IJ103" s="412" t="s">
        <v>484</v>
      </c>
      <c r="IK103" s="412"/>
      <c r="IL103" s="412"/>
      <c r="IM103" s="412"/>
      <c r="IN103" s="409">
        <v>40</v>
      </c>
      <c r="IO103" s="398" t="e">
        <f>IF(IN103=0,0,IF(LEN(IF103)=11,_xlfn.XLOOKUP(IF103,'Dispensed Ink Rates'!C:C,'Dispensed Ink Rates'!CS:CS),VLOOKUP(IF103,'Jan-2026 rates'!$E:$F,2,0)))</f>
        <v>#N/A</v>
      </c>
      <c r="IP103" s="409">
        <v>40</v>
      </c>
      <c r="IQ103" s="398" t="e">
        <f>IF(IP103=0,0,IF(LEN(IG103)=11,_xlfn.XLOOKUP(IG103,'Dispensed Ink Rates'!C:C,'Dispensed Ink Rates'!CS:CS),VLOOKUP(IG103,'Jan-2026 rates'!$E:$F,2,0)))</f>
        <v>#N/A</v>
      </c>
      <c r="IR103" s="409">
        <v>30</v>
      </c>
      <c r="IS103" s="398" t="e">
        <f>IF(IR103=0,0,IF(LEN(IH103)=11,_xlfn.XLOOKUP(IH103,'Dispensed Ink Rates'!C:C,'Dispensed Ink Rates'!CS:CS),VLOOKUP(IH103,'Jan-2026 rates'!$E:$F,2,0)))</f>
        <v>#N/A</v>
      </c>
      <c r="IT103" s="409">
        <v>30</v>
      </c>
      <c r="IU103" s="398">
        <f>IF(IT103=0,0,IF(LEN(II103)=11,_xlfn.XLOOKUP(II103,'Dispensed Ink Rates'!C:C,'Dispensed Ink Rates'!CS:CS),VLOOKUP(II103,'Jan-2026 rates'!$E:$F,2,0)))</f>
        <v>0</v>
      </c>
      <c r="IV103" s="409">
        <v>2</v>
      </c>
      <c r="IW103" s="398">
        <f>IF(IV103=0,0,IF(LEN(IJ103)=11,_xlfn.XLOOKUP(IJ103,'Dispensed Ink Rates'!C:C,'Dispensed Ink Rates'!CS:CS),VLOOKUP(IJ103,'Jan-2026 rates'!$E:$F,2,0)))</f>
        <v>0</v>
      </c>
      <c r="IX103" s="409"/>
      <c r="IY103" s="398">
        <f>IF(IX103=0,0,IF(LEN(IK103)=11,_xlfn.XLOOKUP(IK103,'Dispensed Ink Rates'!C:C,'Dispensed Ink Rates'!CS:CS),VLOOKUP(IK103,'Jan-2026 rates'!$E:$F,2,0)))</f>
        <v>0</v>
      </c>
      <c r="IZ103" s="409"/>
      <c r="JA103" s="398">
        <f>IF(IZ103=0,0,IF(LEN(IL103)=11,_xlfn.XLOOKUP(IL103,'Dispensed Ink Rates'!C:C,'Dispensed Ink Rates'!CS:CS),VLOOKUP(IL103,'Jan-2026 rates'!$E:$F,2,0)))</f>
        <v>0</v>
      </c>
      <c r="JB103" s="409"/>
      <c r="JC103" s="398">
        <f>IF(JB103=0,0,IF(LEN(IM103)=11,_xlfn.XLOOKUP(IM103,'Dispensed Ink Rates'!C:C,'Dispensed Ink Rates'!CS:CS),VLOOKUP(IM103,'Jan-2026 rates'!$E:$F,2,0)))</f>
        <v>0</v>
      </c>
      <c r="JD103" s="409" t="s">
        <v>1443</v>
      </c>
      <c r="JE103" s="409">
        <v>20</v>
      </c>
      <c r="JF103" s="411">
        <f t="shared" si="100"/>
        <v>0</v>
      </c>
      <c r="JG103" s="411">
        <f t="shared" si="101"/>
        <v>202</v>
      </c>
      <c r="JH103" s="410">
        <f t="shared" si="102"/>
        <v>0</v>
      </c>
      <c r="JI103" s="405"/>
      <c r="JJ103" s="409"/>
      <c r="JK103" s="420" t="str">
        <f t="shared" si="60"/>
        <v xml:space="preserve"> - </v>
      </c>
      <c r="JL103" s="409"/>
      <c r="JM103" s="411">
        <f>IF(JL103=0,0,IF($LB103=70%,VLOOKUP($JK103,'Jan-2026 rates'!$L:$R,4,0),IF($LB103=65%,VLOOKUP($JK103,'Jan-2026 rates'!$L:$R,4,0),IF($LB103=40%,VLOOKUP($JK103,'Jan-2026 rates'!$L:$R,5,0),IF($LB103=30%,VLOOKUP($JK103,'Jan-2026 rates'!$L:$R,6,0),IF($LB103=100%,VLOOKUP($JK103,'Jan-2026 rates'!$L:$R,7,0),IF($LB103=60%,VLOOKUP($JK103,'Jan-2026 rates'!$L:$S,8,0),IF($LB103=80%,VLOOKUP($JK103,'Jan-2026 rates'!L:T,9,0),0))))))))</f>
        <v>0</v>
      </c>
      <c r="JN103" s="412"/>
      <c r="JO103" s="409"/>
      <c r="JP103" s="411">
        <f>IF(JO103=0,0,IF($LB103=70%,VLOOKUP($JK103,'Jan-2026 rates'!$L:$R,4,0),IF($LB103=65%,VLOOKUP($JK103,'Jan-2026 rates'!$L:$R,4,0),IF($LB103=40%,VLOOKUP($JK103,'Jan-2026 rates'!$L:$R,5,0),IF($LB103=30%,VLOOKUP($JK103,'Jan-2026 rates'!$L:$R,6,0),IF($LB103=100%,VLOOKUP($JK103,'Jan-2026 rates'!$L:$R,7,0),IF($LB103=60%,VLOOKUP($JK103,'Jan-2026 rates'!$L:$S,8,0),IF($LB103=80%,VLOOKUP($JK103,'Jan-2026 rates'!L:T,9,0),0))))))))</f>
        <v>0</v>
      </c>
      <c r="JQ103" s="413"/>
      <c r="JR103" s="412"/>
      <c r="JS103" s="413"/>
      <c r="JT103" s="413"/>
      <c r="JU103" s="412"/>
      <c r="JV103" s="412"/>
      <c r="JW103" s="412"/>
      <c r="JX103" s="412"/>
      <c r="JY103" s="409"/>
      <c r="JZ103" s="398">
        <f>IF(JY103=0,0,IF(LEN(JQ103)=11,_xlfn.XLOOKUP(JQ103,'Dispensed Ink Rates'!C:C,'Dispensed Ink Rates'!CS:CS),VLOOKUP(JQ103,'Jan-2026 rates'!$E:$F,2,0)))</f>
        <v>0</v>
      </c>
      <c r="KA103" s="409"/>
      <c r="KB103" s="398">
        <f>IF(KA103=0,0,IF(LEN(JR103)=11,_xlfn.XLOOKUP(JR103,'Dispensed Ink Rates'!C:C,'Dispensed Ink Rates'!CS:CS),VLOOKUP(JR103,'Jan-2026 rates'!$E:$F,2,0)))</f>
        <v>0</v>
      </c>
      <c r="KC103" s="409"/>
      <c r="KD103" s="398">
        <f>IF(KC103=0,0,IF(LEN(JS103)=11,_xlfn.XLOOKUP(JS103,'Dispensed Ink Rates'!C:C,'Dispensed Ink Rates'!CS:CS),VLOOKUP(JS103,'Jan-2026 rates'!$E:$F,2,0)))</f>
        <v>0</v>
      </c>
      <c r="KE103" s="409"/>
      <c r="KF103" s="398">
        <f>IF(KE103=0,0,IF(LEN(JT103)=11,_xlfn.XLOOKUP(JT103,'Dispensed Ink Rates'!C:C,'Dispensed Ink Rates'!CS:CS),VLOOKUP(JT103,'Jan-2026 rates'!$E:$F,2,0)))</f>
        <v>0</v>
      </c>
      <c r="KG103" s="409"/>
      <c r="KH103" s="398">
        <f>IF(KG103=0,0,IF(LEN(JU103)=11,_xlfn.XLOOKUP(JU103,'Dispensed Ink Rates'!C:C,'Dispensed Ink Rates'!CS:CS),VLOOKUP(JU103,'Jan-2026 rates'!$E:$F,2,0)))</f>
        <v>0</v>
      </c>
      <c r="KI103" s="409"/>
      <c r="KJ103" s="398">
        <f>IF(KI103=0,0,IF(LEN(JV103)=11,_xlfn.XLOOKUP(JV103,'Dispensed Ink Rates'!C:C,'Dispensed Ink Rates'!CS:CS),VLOOKUP(JV103,'Jan-2026 rates'!$E:$F,2,0)))</f>
        <v>0</v>
      </c>
      <c r="KK103" s="409"/>
      <c r="KL103" s="398">
        <f>IF(KK103=0,0,IF(LEN(JW103)=11,_xlfn.XLOOKUP(JW103,'Dispensed Ink Rates'!C:C,'Dispensed Ink Rates'!CS:CS),VLOOKUP(JW103,'Jan-2026 rates'!$E:$F,2,0)))</f>
        <v>0</v>
      </c>
      <c r="KM103" s="428"/>
      <c r="KN103" s="398">
        <f>IF(KM103=0,0,IF(LEN(JX103)=11,_xlfn.XLOOKUP(JX103,'Dispensed Ink Rates'!C:C,'Dispensed Ink Rates'!CS:CS),VLOOKUP(JX103,'Jan-2026 rates'!$E:$F,2,0)))</f>
        <v>0</v>
      </c>
      <c r="KO103" s="409"/>
      <c r="KP103" s="409"/>
      <c r="KQ103" s="411">
        <f t="shared" si="103"/>
        <v>0</v>
      </c>
      <c r="KR103" s="411">
        <f t="shared" si="104"/>
        <v>0</v>
      </c>
      <c r="KS103" s="410">
        <f t="shared" si="105"/>
        <v>0</v>
      </c>
      <c r="KT103" s="409">
        <v>2</v>
      </c>
      <c r="KU103" s="409">
        <v>3</v>
      </c>
      <c r="KV103" s="409">
        <v>7</v>
      </c>
      <c r="KW103" s="409">
        <v>5</v>
      </c>
      <c r="KX103" s="409">
        <v>1</v>
      </c>
      <c r="KY103" s="409">
        <v>10</v>
      </c>
      <c r="KZ103" s="409">
        <v>20</v>
      </c>
      <c r="LA103" s="409">
        <v>0</v>
      </c>
      <c r="LB103" s="415">
        <v>0.8</v>
      </c>
      <c r="LC103" s="415">
        <v>0.2</v>
      </c>
      <c r="LD103" s="415"/>
      <c r="LE103" s="415"/>
      <c r="LF103" s="415"/>
      <c r="LG103" s="409">
        <v>0</v>
      </c>
      <c r="LH103" s="409">
        <f>48+40+72+18+5+5+4</f>
        <v>192</v>
      </c>
      <c r="LI103" s="409">
        <v>0</v>
      </c>
      <c r="LJ103" s="409">
        <v>0</v>
      </c>
      <c r="LK103" s="416">
        <f t="shared" si="61"/>
        <v>192</v>
      </c>
      <c r="LL103" s="416">
        <f t="shared" si="62"/>
        <v>192</v>
      </c>
      <c r="LM103" s="417">
        <f t="shared" si="63"/>
        <v>153.60000000000002</v>
      </c>
      <c r="LN103" s="417">
        <f>VLOOKUP($LM$8,'Jan-2026 rates'!$H:$I,2,0)</f>
        <v>0</v>
      </c>
      <c r="LO103" s="417">
        <f t="shared" si="64"/>
        <v>38.400000000000006</v>
      </c>
      <c r="LP103" s="417">
        <f>VLOOKUP($LO$8,'Jan-2026 rates'!$H:$I,2,0)</f>
        <v>0</v>
      </c>
      <c r="LQ103" s="417">
        <f t="shared" si="65"/>
        <v>0</v>
      </c>
      <c r="LR103" s="417">
        <f>VLOOKUP($LQ$8,'Jan-2026 rates'!$H:$I,2,0)</f>
        <v>0</v>
      </c>
      <c r="LS103" s="417">
        <f t="shared" si="66"/>
        <v>0</v>
      </c>
      <c r="LT103" s="417">
        <f>VLOOKUP($LS$8,'Jan-2026 rates'!$H:$I,2,0)</f>
        <v>0</v>
      </c>
      <c r="LU103" s="417">
        <f t="shared" si="67"/>
        <v>0</v>
      </c>
      <c r="LV103" s="417">
        <f>VLOOKUP($LU$8,'Jan-2026 rates'!$H:$I,2,0)</f>
        <v>0</v>
      </c>
      <c r="LW103" s="417">
        <f t="shared" si="68"/>
        <v>0</v>
      </c>
      <c r="LX103" s="417">
        <f t="shared" si="69"/>
        <v>0</v>
      </c>
      <c r="LY103" s="418">
        <f t="shared" si="70"/>
        <v>0</v>
      </c>
      <c r="LZ103" s="417"/>
      <c r="MA103" s="435">
        <f t="shared" si="71"/>
        <v>191</v>
      </c>
      <c r="MB103" s="282">
        <f t="shared" si="72"/>
        <v>402</v>
      </c>
      <c r="MC103" s="283">
        <v>58</v>
      </c>
      <c r="MD103" s="284" t="str">
        <f t="shared" si="73"/>
        <v>FLINTSLFLINTSLFLINTSLFLINTSLFLINTSLFLINTSLFLINTSL</v>
      </c>
      <c r="ME103" s="293" t="str">
        <f t="shared" si="74"/>
        <v>+</v>
      </c>
      <c r="MF103" s="293" t="str">
        <f t="shared" si="75"/>
        <v>+</v>
      </c>
      <c r="MG103" s="293" t="str">
        <f t="shared" si="76"/>
        <v>+</v>
      </c>
      <c r="MH103" s="293" t="str">
        <f t="shared" si="77"/>
        <v>+</v>
      </c>
      <c r="MI103" s="293" t="str">
        <f t="shared" si="78"/>
        <v>+</v>
      </c>
      <c r="MJ103" s="293" t="str">
        <f t="shared" si="79"/>
        <v>+</v>
      </c>
      <c r="MK103" s="293" t="str">
        <f t="shared" si="80"/>
        <v>+</v>
      </c>
      <c r="ML103" s="293" t="str">
        <f t="shared" si="81"/>
        <v>NIL</v>
      </c>
      <c r="MM103" s="3" t="b">
        <f t="array" ref="MM103">OR(ME103:ML103="-")</f>
        <v>0</v>
      </c>
      <c r="MN103" s="285"/>
      <c r="MO103" s="401"/>
      <c r="MP103" s="286"/>
      <c r="MQ103" s="286"/>
      <c r="MR103" s="402"/>
      <c r="MS103" s="400"/>
      <c r="NH103" s="422"/>
      <c r="NJ103" s="421"/>
    </row>
    <row r="104" spans="1:374" s="1" customFormat="1" ht="16.5">
      <c r="A104" s="403">
        <v>46030</v>
      </c>
      <c r="B104" s="404" t="s">
        <v>1015</v>
      </c>
      <c r="C104" s="405" t="s">
        <v>3189</v>
      </c>
      <c r="D104" s="406">
        <v>59</v>
      </c>
      <c r="E104" s="404">
        <v>221</v>
      </c>
      <c r="F104" s="407">
        <v>17100</v>
      </c>
      <c r="G104" s="407" t="s">
        <v>1019</v>
      </c>
      <c r="H104" s="408" t="s">
        <v>1017</v>
      </c>
      <c r="I104" s="409">
        <v>0.92</v>
      </c>
      <c r="J104" s="405" t="s">
        <v>543</v>
      </c>
      <c r="K104" s="404" t="s">
        <v>3190</v>
      </c>
      <c r="L104" s="419" t="str">
        <f t="shared" si="54"/>
        <v>FLINTSL - BLACK</v>
      </c>
      <c r="M104" s="404">
        <v>22</v>
      </c>
      <c r="N104" s="410">
        <f>IF(M104=0,0,IF($LB104=70%,VLOOKUP($L104,'Jan-2026 rates'!$L:$R,4,0),IF($LB104=65%,VLOOKUP($L104,'Jan-2026 rates'!$L:$R,4,0),IF($LB104=40%,VLOOKUP($L104,'Jan-2026 rates'!$L:$R,5,0),IF($LB104=30%,VLOOKUP($L104,'Jan-2026 rates'!$L:$R,6,0),IF($LB104=100%,VLOOKUP($L104,'Jan-2026 rates'!$L:$R,7,0),IF($LB104=60%,VLOOKUP($L104,'Jan-2026 rates'!$L:$S,8,0),IF($LB104=80%,VLOOKUP($L104,'Jan-2026 rates'!L:T,9,0),0))))))))</f>
        <v>0</v>
      </c>
      <c r="O104" s="406"/>
      <c r="P104" s="404"/>
      <c r="Q104" s="410">
        <f>IF(P104=0,0,IF($LB104=70%,VLOOKUP($L104,'Jan-2026 rates'!$L:$R,4,0),IF($LB104=65%,VLOOKUP($L104,'Jan-2026 rates'!$L:$R,4,0),IF($LB104=40%,VLOOKUP($L104,'Jan-2026 rates'!$L:$R,5,0),IF($LB104=30%,VLOOKUP($L104,'Jan-2026 rates'!$L:$R,6,0),IF($LB104=100%,VLOOKUP($L104,'Jan-2026 rates'!$L:$R,7,0),IF($LB104=60%,VLOOKUP($L104,'Jan-2026 rates'!$L:$S,8,0),IF($LB104=80%,VLOOKUP($L104,'Jan-2026 rates'!L:T,9,0),0))))))))</f>
        <v>0</v>
      </c>
      <c r="R104" s="406">
        <v>26507000010</v>
      </c>
      <c r="S104" s="406"/>
      <c r="T104" s="406"/>
      <c r="U104" s="406"/>
      <c r="V104" s="406"/>
      <c r="W104" s="406"/>
      <c r="X104" s="406"/>
      <c r="Y104" s="406"/>
      <c r="Z104" s="404">
        <v>5</v>
      </c>
      <c r="AA104" s="398" t="e">
        <f>IF(Z104=0,0,IF(LEN(R104)=11,_xlfn.XLOOKUP(R104,'Dispensed Ink Rates'!C:C,'Dispensed Ink Rates'!CS:CS),VLOOKUP(R104,'Jan-2026 rates'!$E:$F,2,0)))</f>
        <v>#N/A</v>
      </c>
      <c r="AB104" s="404"/>
      <c r="AC104" s="398">
        <f>IF(AB104=0,0,IF(LEN(S104)=11,_xlfn.XLOOKUP(S104,'Dispensed Ink Rates'!C:C,'Dispensed Ink Rates'!CS:CS),VLOOKUP(S104,'Jan-2026 rates'!$E:$F,2,0)))</f>
        <v>0</v>
      </c>
      <c r="AD104" s="404"/>
      <c r="AE104" s="398">
        <f>IF(AD104=0,0,IF(LEN(T104)=11,_xlfn.XLOOKUP(T104,'Dispensed Ink Rates'!C:C,'Dispensed Ink Rates'!CS:CS),VLOOKUP(T104,'Jan-2026 rates'!$E:$F,2,0)))</f>
        <v>0</v>
      </c>
      <c r="AF104" s="404"/>
      <c r="AG104" s="398">
        <f>IF(AF104=0,0,IF(LEN(U104)=11,_xlfn.XLOOKUP(U104,'Dispensed Ink Rates'!C:C,'Dispensed Ink Rates'!CS:CS),VLOOKUP(U104,'Jan-2026 rates'!$E:$F,2,0)))</f>
        <v>0</v>
      </c>
      <c r="AH104" s="404"/>
      <c r="AI104" s="398">
        <f>IF(AH104=0,0,IF(LEN(V104)=11,_xlfn.XLOOKUP(V104,'Dispensed Ink Rates'!C:C,'Dispensed Ink Rates'!CS:CS),VLOOKUP(V104,'Jan-2026 rates'!$E:$F,2,0)))</f>
        <v>0</v>
      </c>
      <c r="AJ104" s="404"/>
      <c r="AK104" s="398">
        <f>IF(AJ104=0,0,IF(LEN(W104)=11,_xlfn.XLOOKUP(W104,'Dispensed Ink Rates'!C:C,'Dispensed Ink Rates'!CS:CS),VLOOKUP(W104,'Jan-2026 rates'!$E:$F,2,0)))</f>
        <v>0</v>
      </c>
      <c r="AL104" s="404"/>
      <c r="AM104" s="398">
        <f>IF(AL104=0,0,IF(LEN(X104)=11,_xlfn.XLOOKUP(X104,'Dispensed Ink Rates'!C:C,'Dispensed Ink Rates'!CS:CS),VLOOKUP(X104,'Jan-2026 rates'!$E:$F,2,0)))</f>
        <v>0</v>
      </c>
      <c r="AN104" s="404"/>
      <c r="AO104" s="398">
        <f>IF(AN104=0,0,IF(LEN(Y104)=11,_xlfn.XLOOKUP(Y104,'Dispensed Ink Rates'!C:C,'Dispensed Ink Rates'!CS:CS),VLOOKUP(Y104,'Jan-2026 rates'!$E:$F,2,0)))</f>
        <v>0</v>
      </c>
      <c r="AP104" s="409" t="s">
        <v>1443</v>
      </c>
      <c r="AQ104" s="409">
        <v>21</v>
      </c>
      <c r="AR104" s="410">
        <f t="shared" si="82"/>
        <v>0</v>
      </c>
      <c r="AS104" s="411">
        <f t="shared" si="83"/>
        <v>16.405405405405403</v>
      </c>
      <c r="AT104" s="410">
        <f t="shared" si="84"/>
        <v>0</v>
      </c>
      <c r="AU104" s="405" t="s">
        <v>543</v>
      </c>
      <c r="AV104" s="409" t="s">
        <v>3191</v>
      </c>
      <c r="AW104" s="420" t="str">
        <f t="shared" si="53"/>
        <v>FLINTSL - BLACK</v>
      </c>
      <c r="AX104" s="409">
        <v>10</v>
      </c>
      <c r="AY104" s="411">
        <f>IF(AX104=0,0,IF($LB104=70%,VLOOKUP($AW104,'Jan-2026 rates'!$L:$R,4,0),IF($LB104=65%,VLOOKUP($AW104,'Jan-2026 rates'!$L:$R,4,0),IF($LB104=40%,VLOOKUP($AW104,'Jan-2026 rates'!$L:$R,5,0),IF($LB104=30%,VLOOKUP($AW104,'Jan-2026 rates'!$L:$R,6,0),IF($LB104=100%,VLOOKUP($AW104,'Jan-2026 rates'!$L:$R,7,0),IF($LB104=60%,VLOOKUP($AW104,'Jan-2026 rates'!$L:$S,8,0),IF($LB104=80%,VLOOKUP($AW104,'Jan-2026 rates'!L:T,9,0),0))))))))</f>
        <v>0</v>
      </c>
      <c r="AZ104" s="412" t="s">
        <v>3173</v>
      </c>
      <c r="BA104" s="409">
        <v>10</v>
      </c>
      <c r="BB104" s="411">
        <f>IF(BA104=0,0,IF($LB104=70%,VLOOKUP($AW104,'Jan-2026 rates'!$L:$R,4,0),IF($LB104=65%,VLOOKUP($AW104,'Jan-2026 rates'!$L:$R,4,0),IF($LB104=40%,VLOOKUP($AW104,'Jan-2026 rates'!$L:$R,5,0),IF($LB104=30%,VLOOKUP($AW104,'Jan-2026 rates'!$L:$R,6,0),IF($LB104=100%,VLOOKUP($AW104,'Jan-2026 rates'!$L:$R,7,0),IF($LB104=60%,VLOOKUP($AW104,'Jan-2026 rates'!$L:$S,8,0),IF($LB104=80%,VLOOKUP($AW104,'Jan-2026 rates'!L:T,9,0),0))))))))</f>
        <v>0</v>
      </c>
      <c r="BC104" s="413">
        <v>26507000010</v>
      </c>
      <c r="BD104" s="412"/>
      <c r="BE104" s="412"/>
      <c r="BF104" s="413"/>
      <c r="BG104" s="412"/>
      <c r="BH104" s="412"/>
      <c r="BI104" s="412"/>
      <c r="BJ104" s="412"/>
      <c r="BK104" s="409">
        <v>5</v>
      </c>
      <c r="BL104" s="398" t="e">
        <f>IF(BK104=0,0,IF(LEN(BC104)=11,_xlfn.XLOOKUP(BC104,'Dispensed Ink Rates'!C:C,'Dispensed Ink Rates'!CS:CS),VLOOKUP(BC104,'Jan-2026 rates'!$E:$F,2,0)))</f>
        <v>#N/A</v>
      </c>
      <c r="BM104" s="409"/>
      <c r="BN104" s="398">
        <f>IF(BM104=0,0,IF(LEN(BD104)=11,_xlfn.XLOOKUP(BD104,'Dispensed Ink Rates'!C:C,'Dispensed Ink Rates'!CS:CS),VLOOKUP(BD104,'Jan-2026 rates'!$E:$F,2,0)))</f>
        <v>0</v>
      </c>
      <c r="BO104" s="409"/>
      <c r="BP104" s="398">
        <f>IF(BO104=0,0,IF(LEN(BE104)=11,_xlfn.XLOOKUP(BE104,'Dispensed Ink Rates'!C:C,'Dispensed Ink Rates'!CS:CS),VLOOKUP(BE104,'Jan-2026 rates'!$E:$F,2,0)))</f>
        <v>0</v>
      </c>
      <c r="BQ104" s="409"/>
      <c r="BR104" s="398">
        <f>IF(BQ104=0,0,IF(LEN(BF104)=11,_xlfn.XLOOKUP(BF104,'Dispensed Ink Rates'!C:C,'Dispensed Ink Rates'!CS:CS),VLOOKUP(BF104,'Jan-2026 rates'!$E:$F,2,0)))</f>
        <v>0</v>
      </c>
      <c r="BS104" s="409"/>
      <c r="BT104" s="398">
        <f>IF(BS104=0,0,IF(LEN(BG104)=11,_xlfn.XLOOKUP(BG104,'Dispensed Ink Rates'!C:C,'Dispensed Ink Rates'!CS:CS),VLOOKUP(BG104,'Jan-2026 rates'!$E:$F,2,0)))</f>
        <v>0</v>
      </c>
      <c r="BU104" s="409"/>
      <c r="BV104" s="398">
        <f>IF(BU104=0,0,IF(LEN(BH104)=11,_xlfn.XLOOKUP(BH104,'Dispensed Ink Rates'!C:C,'Dispensed Ink Rates'!CS:CS),VLOOKUP(BH104,'Jan-2026 rates'!$E:$F,2,0)))</f>
        <v>0</v>
      </c>
      <c r="BW104" s="409"/>
      <c r="BX104" s="398">
        <f>IF(BW104=0,0,IF(LEN(BI104)=11,_xlfn.XLOOKUP(BI104,'Dispensed Ink Rates'!C:C,'Dispensed Ink Rates'!CS:CS),VLOOKUP(BI104,'Jan-2026 rates'!$E:$F,2,0)))</f>
        <v>0</v>
      </c>
      <c r="BY104" s="409"/>
      <c r="BZ104" s="398">
        <f>IF(BY104=0,0,IF(LEN(BJ104)=11,_xlfn.XLOOKUP(BJ104,'Dispensed Ink Rates'!C:C,'Dispensed Ink Rates'!CS:CS),VLOOKUP(BJ104,'Jan-2026 rates'!$E:$F,2,0)))</f>
        <v>0</v>
      </c>
      <c r="CA104" s="409" t="s">
        <v>1443</v>
      </c>
      <c r="CB104" s="409">
        <v>26</v>
      </c>
      <c r="CC104" s="411">
        <f t="shared" si="85"/>
        <v>0</v>
      </c>
      <c r="CD104" s="411">
        <f t="shared" si="86"/>
        <v>7.3243243243243228</v>
      </c>
      <c r="CE104" s="410">
        <f t="shared" si="87"/>
        <v>0</v>
      </c>
      <c r="CF104" s="404" t="s">
        <v>546</v>
      </c>
      <c r="CG104" s="409" t="s">
        <v>3192</v>
      </c>
      <c r="CH104" s="420" t="str">
        <f t="shared" si="55"/>
        <v>FLINTSL - REFLEX BLUE</v>
      </c>
      <c r="CI104" s="409">
        <v>20</v>
      </c>
      <c r="CJ104" s="411">
        <f>IF(CI104=0,0,IF($LB104=70%,VLOOKUP($CH104,'Jan-2026 rates'!$L:$R,4,0),IF($LB104=65%,VLOOKUP($CH104,'Jan-2026 rates'!$L:$R,4,0),IF($LB104=40%,VLOOKUP($CH104,'Jan-2026 rates'!$L:$R,5,0),IF($LB104=30%,VLOOKUP($CH104,'Jan-2026 rates'!$L:$R,6,0),IF($LB104=100%,VLOOKUP($CH104,'Jan-2026 rates'!$L:$R,7,0),IF($LB104=60%,VLOOKUP($CH104,'Jan-2026 rates'!$L:$S,8,0),IF($LB104=80%,VLOOKUP($CH104,'Jan-2026 rates'!L:T,9,0),0))))))))</f>
        <v>0</v>
      </c>
      <c r="CK104" s="412"/>
      <c r="CL104" s="409"/>
      <c r="CM104" s="411">
        <f>IF(CL104=0,0,IF($LB104=70%,VLOOKUP($CH104,'Jan-2026 rates'!$L:$R,4,0),IF($LB104=65%,VLOOKUP($CH104,'Jan-2026 rates'!$L:$R,4,0),IF($LB104=40%,VLOOKUP($CH104,'Jan-2026 rates'!$L:$R,5,0),IF($LB104=30%,VLOOKUP($CH104,'Jan-2026 rates'!$L:$R,6,0),IF($LB104=100%,VLOOKUP($CH104,'Jan-2026 rates'!$L:$R,7,0),IF($LB104=60%,VLOOKUP($CH104,'Jan-2026 rates'!$L:$S,8,0),IF($LB104=80%,VLOOKUP($CH104,'Jan-2026 rates'!L:T,9,0),0))))))))</f>
        <v>0</v>
      </c>
      <c r="CN104" s="426">
        <v>26508000011</v>
      </c>
      <c r="CO104" s="427"/>
      <c r="CP104" s="426"/>
      <c r="CQ104" s="426"/>
      <c r="CR104" s="428"/>
      <c r="CS104" s="428"/>
      <c r="CT104" s="428"/>
      <c r="CU104" s="428"/>
      <c r="CV104" s="409">
        <v>2</v>
      </c>
      <c r="CW104" s="398" t="e">
        <f>IF(CV104=0,0,IF(LEN(CN104)=11,_xlfn.XLOOKUP(CN104,'Dispensed Ink Rates'!C:C,'Dispensed Ink Rates'!CS:CS),VLOOKUP(CN104,'Jan-2026 rates'!$E:$F,2,0)))</f>
        <v>#N/A</v>
      </c>
      <c r="CX104" s="409"/>
      <c r="CY104" s="398">
        <f>IF(CX104=0,0,IF(LEN(CO104)=11,_xlfn.XLOOKUP(CO104,'Dispensed Ink Rates'!C:C,'Dispensed Ink Rates'!CS:CS),VLOOKUP(CO104,'Jan-2026 rates'!$E:$F,2,0)))</f>
        <v>0</v>
      </c>
      <c r="CZ104" s="409"/>
      <c r="DA104" s="398">
        <f>IF(CZ104=0,0,IF(LEN(CP104)=11,_xlfn.XLOOKUP(CP104,'Dispensed Ink Rates'!C:C,'Dispensed Ink Rates'!CS:CS),VLOOKUP(CP104,'Jan-2026 rates'!$E:$F,2,0)))</f>
        <v>0</v>
      </c>
      <c r="DB104" s="409"/>
      <c r="DC104" s="398">
        <f>IF(DB104=0,0,IF(LEN(CQ104)=11,_xlfn.XLOOKUP(CQ104,'Dispensed Ink Rates'!C:C,'Dispensed Ink Rates'!CS:CS),VLOOKUP(CQ104,'Jan-2026 rates'!$E:$F,2,0)))</f>
        <v>0</v>
      </c>
      <c r="DD104" s="409"/>
      <c r="DE104" s="398">
        <f>IF(DD104=0,0,IF(LEN(CR104)=11,_xlfn.XLOOKUP(CR104,'Dispensed Ink Rates'!C:C,'Dispensed Ink Rates'!CS:CS),VLOOKUP(CR104,'Jan-2026 rates'!$E:$F,2,0)))</f>
        <v>0</v>
      </c>
      <c r="DF104" s="409"/>
      <c r="DG104" s="398">
        <f>IF(DF104=0,0,IF(LEN(CS104)=11,_xlfn.XLOOKUP(CS104,'Dispensed Ink Rates'!C:C,'Dispensed Ink Rates'!CS:CS),VLOOKUP(CS104,'Jan-2026 rates'!$E:$F,2,0)))</f>
        <v>0</v>
      </c>
      <c r="DH104" s="409"/>
      <c r="DI104" s="398">
        <f>IF(DH104=0,0,IF(LEN(CT104)=11,_xlfn.XLOOKUP(CT104,'Dispensed Ink Rates'!C:C,'Dispensed Ink Rates'!CS:CS),VLOOKUP(CT104,'Jan-2026 rates'!$E:$F,2,0)))</f>
        <v>0</v>
      </c>
      <c r="DJ104" s="409"/>
      <c r="DK104" s="398">
        <f>IF(DJ104=0,0,IF(LEN(CU104)=11,_xlfn.XLOOKUP(CU104,'Dispensed Ink Rates'!C:C,'Dispensed Ink Rates'!CS:CS),VLOOKUP(CU104,'Jan-2026 rates'!$E:$F,2,0)))</f>
        <v>0</v>
      </c>
      <c r="DL104" s="409" t="s">
        <v>1443</v>
      </c>
      <c r="DM104" s="409">
        <v>20</v>
      </c>
      <c r="DN104" s="411">
        <f t="shared" si="88"/>
        <v>0</v>
      </c>
      <c r="DO104" s="411">
        <f t="shared" si="89"/>
        <v>10.324324324324323</v>
      </c>
      <c r="DP104" s="410">
        <f t="shared" si="90"/>
        <v>0</v>
      </c>
      <c r="DQ104" s="405" t="s">
        <v>546</v>
      </c>
      <c r="DR104" s="409" t="s">
        <v>3193</v>
      </c>
      <c r="DS104" s="420" t="str">
        <f t="shared" si="56"/>
        <v>FLINTSL - REFLEX BLUE</v>
      </c>
      <c r="DT104" s="409">
        <v>22</v>
      </c>
      <c r="DU104" s="411">
        <f>IF(DT104=0,0,IF($LB104=70%,VLOOKUP($DS104,'Jan-2026 rates'!$L:$R,4,0),IF($LB104=65%,VLOOKUP($DS104,'Jan-2026 rates'!$L:$R,4,0),IF($LB104=40%,VLOOKUP($DS104,'Jan-2026 rates'!$L:$R,5,0),IF($LB104=30%,VLOOKUP($DS104,'Jan-2026 rates'!$L:$R,6,0),IF($LB104=100%,VLOOKUP($DS104,'Jan-2026 rates'!$L:$R,7,0),IF($LB104=60%,VLOOKUP($DS104,'Jan-2026 rates'!$L:$S,8,0),IF($LB104=80%,VLOOKUP($DS104,'Jan-2026 rates'!L:T,9,0),0))))))))</f>
        <v>0</v>
      </c>
      <c r="DV104" s="412" t="s">
        <v>3178</v>
      </c>
      <c r="DW104" s="409">
        <v>20</v>
      </c>
      <c r="DX104" s="411">
        <f>IF(DW104=0,0,IF($LB104=70%,VLOOKUP($DS104,'Jan-2026 rates'!$L:$R,4,0),IF($LB104=65%,VLOOKUP($DS104,'Jan-2026 rates'!$L:$R,4,0),IF($LB104=40%,VLOOKUP($DS104,'Jan-2026 rates'!$L:$R,5,0),IF($LB104=30%,VLOOKUP($DS104,'Jan-2026 rates'!$L:$R,6,0),IF($LB104=100%,VLOOKUP($DS104,'Jan-2026 rates'!$L:$R,7,0),IF($LB104=60%,VLOOKUP($DS104,'Jan-2026 rates'!$L:$S,8,0),IF($LB104=80%,VLOOKUP($DS104,'Jan-2026 rates'!L:T,9,0),0))))))))</f>
        <v>0</v>
      </c>
      <c r="DY104" s="413">
        <v>26509000009</v>
      </c>
      <c r="DZ104" s="413">
        <v>26507000018</v>
      </c>
      <c r="EA104" s="412"/>
      <c r="EB104" s="412"/>
      <c r="EC104" s="412"/>
      <c r="ED104" s="412"/>
      <c r="EE104" s="412"/>
      <c r="EF104" s="412"/>
      <c r="EG104" s="409">
        <v>22.8</v>
      </c>
      <c r="EH104" s="398" t="e">
        <f>IF(EG104=0,0,IF(LEN(DY104)=11,_xlfn.XLOOKUP(DY104,'Dispensed Ink Rates'!C:C,'Dispensed Ink Rates'!CS:CS),VLOOKUP(DY104,'Jan-2026 rates'!$E:$F,2,0)))</f>
        <v>#N/A</v>
      </c>
      <c r="EI104" s="409">
        <v>10</v>
      </c>
      <c r="EJ104" s="398" t="e">
        <f>IF(EI104=0,0,IF(LEN(DZ104)=11,_xlfn.XLOOKUP(DZ104,'Dispensed Ink Rates'!C:C,'Dispensed Ink Rates'!CS:CS),VLOOKUP(DZ104,'Jan-2026 rates'!$E:$F,2,0)))</f>
        <v>#N/A</v>
      </c>
      <c r="EK104" s="409"/>
      <c r="EL104" s="398">
        <f>IF(EK104=0,0,IF(LEN(EA104)=11,_xlfn.XLOOKUP(EA104,'Dispensed Ink Rates'!C:C,'Dispensed Ink Rates'!CS:CS),VLOOKUP(EA104,'Jan-2026 rates'!$E:$F,2,0)))</f>
        <v>0</v>
      </c>
      <c r="EM104" s="409"/>
      <c r="EN104" s="398">
        <f>IF(EM104=0,0,IF(LEN(EB104)=11,_xlfn.XLOOKUP(EB104,'Dispensed Ink Rates'!C:C,'Dispensed Ink Rates'!CS:CS),VLOOKUP(EB104,'Jan-2026 rates'!$E:$F,2,0)))</f>
        <v>0</v>
      </c>
      <c r="EO104" s="409"/>
      <c r="EP104" s="398">
        <f>IF(EO104=0,0,IF(LEN(EC104)=11,_xlfn.XLOOKUP(EC104,'Dispensed Ink Rates'!C:C,'Dispensed Ink Rates'!CS:CS),VLOOKUP(EC104,'Jan-2026 rates'!$E:$F,2,0)))</f>
        <v>0</v>
      </c>
      <c r="EQ104" s="409"/>
      <c r="ER104" s="398">
        <f>IF(EQ104=0,0,IF(LEN(ED104)=11,_xlfn.XLOOKUP(ED104,'Dispensed Ink Rates'!C:C,'Dispensed Ink Rates'!CS:CS),VLOOKUP(ED104,'Jan-2026 rates'!$E:$F,2,0)))</f>
        <v>0</v>
      </c>
      <c r="ES104" s="409"/>
      <c r="ET104" s="398">
        <f>IF(ES104=0,0,IF(LEN(EE104)=11,_xlfn.XLOOKUP(EE104,'Dispensed Ink Rates'!C:C,'Dispensed Ink Rates'!CS:CS),VLOOKUP(EE104,'Jan-2026 rates'!$E:$F,2,0)))</f>
        <v>0</v>
      </c>
      <c r="EU104" s="409"/>
      <c r="EV104" s="398">
        <f>IF(EU104=0,0,IF(LEN(EF104)=11,_xlfn.XLOOKUP(EF104,'Dispensed Ink Rates'!C:C,'Dispensed Ink Rates'!CS:CS),VLOOKUP(EF104,'Jan-2026 rates'!$E:$F,2,0)))</f>
        <v>0</v>
      </c>
      <c r="EW104" s="409" t="s">
        <v>1443</v>
      </c>
      <c r="EX104" s="409">
        <v>32</v>
      </c>
      <c r="EY104" s="411">
        <f t="shared" si="91"/>
        <v>0</v>
      </c>
      <c r="EZ104" s="411">
        <f t="shared" si="92"/>
        <v>63.610810810810804</v>
      </c>
      <c r="FA104" s="410">
        <f t="shared" si="93"/>
        <v>0</v>
      </c>
      <c r="FB104" s="405" t="s">
        <v>855</v>
      </c>
      <c r="FC104" s="409" t="s">
        <v>3194</v>
      </c>
      <c r="FD104" s="420" t="str">
        <f t="shared" si="57"/>
        <v>FLINTSL - CYAN</v>
      </c>
      <c r="FE104" s="409">
        <v>26</v>
      </c>
      <c r="FF104" s="411">
        <f>IF(FE104=0,0,IF($LB104=70%,VLOOKUP($FD104,'Jan-2026 rates'!$L:$R,4,0),IF($LB104=65%,VLOOKUP($FD104,'Jan-2026 rates'!$L:$R,4,0),IF($LB104=40%,VLOOKUP($FD104,'Jan-2026 rates'!$L:$R,5,0),IF($LB104=30%,VLOOKUP($FD104,'Jan-2026 rates'!$L:$R,6,0),IF($LB104=100%,VLOOKUP($FD104,'Jan-2026 rates'!$L:$R,7,0),IF($LB104=60%,VLOOKUP($FD104,'Jan-2026 rates'!$L:$S,8,0),IF($LB104=80%,VLOOKUP($FD104,'Jan-2026 rates'!L:T,9,0),0))))))))</f>
        <v>0</v>
      </c>
      <c r="FG104" s="412"/>
      <c r="FH104" s="409"/>
      <c r="FI104" s="411">
        <f>IF(FH104=0,0,IF($LB104=70%,VLOOKUP($FD104,'Jan-2026 rates'!$L:$R,4,0),IF($LB104=65%,VLOOKUP($FD104,'Jan-2026 rates'!$L:$R,4,0),IF($LB104=40%,VLOOKUP($FD104,'Jan-2026 rates'!$L:$R,5,0),IF($LB104=30%,VLOOKUP($FD104,'Jan-2026 rates'!$L:$R,6,0),IF($LB104=100%,VLOOKUP($FD104,'Jan-2026 rates'!$L:$R,7,0),IF($LB104=60%,VLOOKUP($FD104,'Jan-2026 rates'!$L:$S,8,0),IF($LB104=80%,VLOOKUP($FD104,'Jan-2026 rates'!L:T,9,0),0))))))))</f>
        <v>0</v>
      </c>
      <c r="FJ104" s="413" t="s">
        <v>1266</v>
      </c>
      <c r="FK104" s="413"/>
      <c r="FL104" s="413"/>
      <c r="FM104" s="412"/>
      <c r="FN104" s="412"/>
      <c r="FO104" s="412"/>
      <c r="FP104" s="412"/>
      <c r="FQ104" s="412"/>
      <c r="FR104" s="409">
        <v>7</v>
      </c>
      <c r="FS104" s="398">
        <f>IF(FR104=0,0,IF(LEN(FJ104)=11,_xlfn.XLOOKUP(FJ104,'Dispensed Ink Rates'!C:C,'Dispensed Ink Rates'!CS:CS),VLOOKUP(FJ104,'Jan-2026 rates'!$E:$F,2,0)))</f>
        <v>0</v>
      </c>
      <c r="FT104" s="409"/>
      <c r="FU104" s="398">
        <f>IF(FT104=0,0,IF(LEN(FK104)=11,_xlfn.XLOOKUP(FK104,'Dispensed Ink Rates'!C:C,'Dispensed Ink Rates'!CS:CS),VLOOKUP(FK104,'Jan-2026 rates'!$E:$F,2,0)))</f>
        <v>0</v>
      </c>
      <c r="FV104" s="409"/>
      <c r="FW104" s="398">
        <f>IF(FV104=0,0,IF(LEN(FL104)=11,_xlfn.XLOOKUP(FL104,'Dispensed Ink Rates'!C:C,'Dispensed Ink Rates'!CS:CS),VLOOKUP(FL104,'Jan-2026 rates'!$E:$F,2,0)))</f>
        <v>0</v>
      </c>
      <c r="FX104" s="409"/>
      <c r="FY104" s="398">
        <f>IF(FX104=0,0,IF(LEN(FM104)=11,_xlfn.XLOOKUP(FM104,'Dispensed Ink Rates'!C:C,'Dispensed Ink Rates'!CS:CS),VLOOKUP(FM104,'Jan-2026 rates'!$E:$F,2,0)))</f>
        <v>0</v>
      </c>
      <c r="FZ104" s="409"/>
      <c r="GA104" s="398">
        <f>IF(FZ104=0,0,IF(LEN(FN104)=11,_xlfn.XLOOKUP(FN104,'Dispensed Ink Rates'!C:C,'Dispensed Ink Rates'!CS:CS),VLOOKUP(FN104,'Jan-2026 rates'!$E:$F,2,0)))</f>
        <v>0</v>
      </c>
      <c r="GB104" s="409"/>
      <c r="GC104" s="398">
        <f>IF(GB104=0,0,IF(LEN(FO104)=11,_xlfn.XLOOKUP(FO104,'Dispensed Ink Rates'!C:C,'Dispensed Ink Rates'!CS:CS),VLOOKUP(FO104,'Jan-2026 rates'!$E:$F,2,0)))</f>
        <v>0</v>
      </c>
      <c r="GD104" s="409"/>
      <c r="GE104" s="398">
        <f>IF(GD104=0,0,IF(LEN(FP104)=11,_xlfn.XLOOKUP(FP104,'Dispensed Ink Rates'!C:C,'Dispensed Ink Rates'!CS:CS),VLOOKUP(FP104,'Jan-2026 rates'!$E:$F,2,0)))</f>
        <v>0</v>
      </c>
      <c r="GF104" s="409"/>
      <c r="GG104" s="398">
        <f>IF(GF104=0,0,IF(LEN(FQ104)=11,_xlfn.XLOOKUP(FQ104,'Dispensed Ink Rates'!C:C,'Dispensed Ink Rates'!CS:CS),VLOOKUP(FQ104,'Jan-2026 rates'!$E:$F,2,0)))</f>
        <v>0</v>
      </c>
      <c r="GH104" s="409" t="s">
        <v>1443</v>
      </c>
      <c r="GI104" s="409">
        <v>30</v>
      </c>
      <c r="GJ104" s="411">
        <f t="shared" si="94"/>
        <v>0</v>
      </c>
      <c r="GK104" s="411">
        <f t="shared" si="95"/>
        <v>13.405405405405403</v>
      </c>
      <c r="GL104" s="410">
        <f t="shared" si="96"/>
        <v>0</v>
      </c>
      <c r="GM104" s="405" t="s">
        <v>544</v>
      </c>
      <c r="GN104" s="409" t="s">
        <v>3195</v>
      </c>
      <c r="GO104" s="420" t="str">
        <f t="shared" si="58"/>
        <v>FLINTSL - MAGENTA</v>
      </c>
      <c r="GP104" s="409">
        <v>22</v>
      </c>
      <c r="GQ104" s="411">
        <f>IF(GP104=0,0,IF($LB104=70%,VLOOKUP($GO104,'Jan-2026 rates'!$L:$R,4,0),IF($LB104=65%,VLOOKUP($GO104,'Jan-2026 rates'!$L:$R,4,0),IF($LB104=40%,VLOOKUP($GO104,'Jan-2026 rates'!$L:$R,5,0),IF($LB104=30%,VLOOKUP($GO104,'Jan-2026 rates'!$L:$R,6,0),IF($LB104=100%,VLOOKUP($GO104,'Jan-2026 rates'!$L:$R,7,0),IF($LB104=60%,VLOOKUP($GO104,'Jan-2026 rates'!$L:$S,8,0),IF($LB104=80%,VLOOKUP($GO104,'Jan-2026 rates'!L:T,9,0),0))))))))</f>
        <v>0</v>
      </c>
      <c r="GR104" s="412"/>
      <c r="GS104" s="409"/>
      <c r="GT104" s="411">
        <f>IF(GS104=0,0,IF($LB104=70%,VLOOKUP($GO104,'Jan-2026 rates'!$L:$R,4,0),IF($LB104=65%,VLOOKUP($GO104,'Jan-2026 rates'!$L:$R,4,0),IF($LB104=40%,VLOOKUP($GO104,'Jan-2026 rates'!$L:$R,5,0),IF($LB104=30%,VLOOKUP($GO104,'Jan-2026 rates'!$L:$R,6,0),IF($LB104=100%,VLOOKUP($GO104,'Jan-2026 rates'!$L:$R,7,0),IF($LB104=60%,VLOOKUP($GO104,'Jan-2026 rates'!$L:$S,8,0),IF($LB104=80%,VLOOKUP($GO104,'Jan-2026 rates'!L:T,9,0),0))))))))</f>
        <v>0</v>
      </c>
      <c r="GU104" s="413">
        <v>26508000011</v>
      </c>
      <c r="GV104" s="413"/>
      <c r="GW104" s="412"/>
      <c r="GX104" s="412"/>
      <c r="GY104" s="412"/>
      <c r="GZ104" s="412"/>
      <c r="HA104" s="412"/>
      <c r="HB104" s="412"/>
      <c r="HC104" s="409">
        <v>4</v>
      </c>
      <c r="HD104" s="398" t="e">
        <f>IF(HC104=0,0,IF(LEN(GU104)=11,_xlfn.XLOOKUP(GU104,'Dispensed Ink Rates'!C:C,'Dispensed Ink Rates'!CS:CS),VLOOKUP(GU104,'Jan-2026 rates'!$E:$F,2,0)))</f>
        <v>#N/A</v>
      </c>
      <c r="HE104" s="409"/>
      <c r="HF104" s="398">
        <f>IF(HE104=0,0,IF(LEN(GV104)=11,_xlfn.XLOOKUP(GV104,'Dispensed Ink Rates'!C:C,'Dispensed Ink Rates'!CS:CS),VLOOKUP(GV104,'Jan-2026 rates'!$E:$F,2,0)))</f>
        <v>0</v>
      </c>
      <c r="HG104" s="409"/>
      <c r="HH104" s="398">
        <f>IF(HG104=0,0,IF(LEN(GW104)=11,_xlfn.XLOOKUP(GW104,'Dispensed Ink Rates'!C:C,'Dispensed Ink Rates'!CS:CS),VLOOKUP(GW104,'Jan-2026 rates'!$E:$F,2,0)))</f>
        <v>0</v>
      </c>
      <c r="HI104" s="409"/>
      <c r="HJ104" s="398">
        <f>IF(HI104=0,0,IF(LEN(GX104)=11,_xlfn.XLOOKUP(GX104,'Dispensed Ink Rates'!C:C,'Dispensed Ink Rates'!CS:CS),VLOOKUP(GX104,'Jan-2026 rates'!$E:$F,2,0)))</f>
        <v>0</v>
      </c>
      <c r="HK104" s="409"/>
      <c r="HL104" s="398">
        <f>IF(HK104=0,0,IF(LEN(GY104)=11,_xlfn.XLOOKUP(GY104,'Dispensed Ink Rates'!C:C,'Dispensed Ink Rates'!CS:CS),VLOOKUP(GY104,'Jan-2026 rates'!$E:$F,2,0)))</f>
        <v>0</v>
      </c>
      <c r="HM104" s="409"/>
      <c r="HN104" s="398">
        <f>IF(HM104=0,0,IF(LEN(GZ104)=11,_xlfn.XLOOKUP(GZ104,'Dispensed Ink Rates'!C:C,'Dispensed Ink Rates'!CS:CS),VLOOKUP(GZ104,'Jan-2026 rates'!$E:$F,2,0)))</f>
        <v>0</v>
      </c>
      <c r="HO104" s="409"/>
      <c r="HP104" s="398">
        <f>IF(HO104=0,0,IF(LEN(HA104)=11,_xlfn.XLOOKUP(HA104,'Dispensed Ink Rates'!C:C,'Dispensed Ink Rates'!CS:CS),VLOOKUP(HA104,'Jan-2026 rates'!$E:$F,2,0)))</f>
        <v>0</v>
      </c>
      <c r="HQ104" s="409"/>
      <c r="HR104" s="398">
        <f>IF(HQ104=0,0,IF(LEN(HB104)=11,_xlfn.XLOOKUP(HB104,'Dispensed Ink Rates'!C:C,'Dispensed Ink Rates'!CS:CS),VLOOKUP(HB104,'Jan-2026 rates'!$E:$F,2,0)))</f>
        <v>0</v>
      </c>
      <c r="HS104" s="409" t="s">
        <v>1443</v>
      </c>
      <c r="HT104" s="409">
        <v>25</v>
      </c>
      <c r="HU104" s="411">
        <f t="shared" si="97"/>
        <v>0</v>
      </c>
      <c r="HV104" s="411">
        <f t="shared" si="98"/>
        <v>11.405405405405403</v>
      </c>
      <c r="HW104" s="414">
        <f t="shared" si="99"/>
        <v>0</v>
      </c>
      <c r="HX104" s="405" t="s">
        <v>545</v>
      </c>
      <c r="HY104" s="409" t="s">
        <v>3196</v>
      </c>
      <c r="HZ104" s="420" t="str">
        <f t="shared" si="59"/>
        <v>FLINTSL - YELLOW</v>
      </c>
      <c r="IA104" s="409">
        <v>24</v>
      </c>
      <c r="IB104" s="411">
        <f>IF(IA104=0,0,IF($LB104=70%,VLOOKUP($HZ104,'Jan-2026 rates'!$L:$R,4,0),IF($LB104=65%,VLOOKUP($HZ104,'Jan-2026 rates'!$L:$R,4,0),IF($LB104=40%,VLOOKUP($HZ104,'Jan-2026 rates'!$L:$R,5,0),IF($LB104=30%,VLOOKUP($HZ104,'Jan-2026 rates'!$L:$R,6,0),IF($LB104=100%,VLOOKUP($HZ104,'Jan-2026 rates'!$L:$R,7,0),IF($LB104=60%,VLOOKUP($HZ104,'Jan-2026 rates'!$L:$S,8,0),IF($LB104=80%,VLOOKUP($HZ104,'Jan-2026 rates'!L:T,9,0),0))))))))</f>
        <v>0</v>
      </c>
      <c r="IC104" s="412"/>
      <c r="ID104" s="409"/>
      <c r="IE104" s="411">
        <f>IF(ID104=0,0,IF($LB104=70%,VLOOKUP($HZ104,'Jan-2026 rates'!$L:$R,4,0),IF($LB104=65%,VLOOKUP($HZ104,'Jan-2026 rates'!$L:$R,4,0),IF($LB104=40%,VLOOKUP($HZ104,'Jan-2026 rates'!$L:$R,5,0),IF($LB104=30%,VLOOKUP($HZ104,'Jan-2026 rates'!$L:$R,6,0),IF($LB104=100%,VLOOKUP($HZ104,'Jan-2026 rates'!$L:$R,7,0),IF($LB104=60%,VLOOKUP($HZ104,'Jan-2026 rates'!$L:$S,8,0),IF($LB104=80%,VLOOKUP($HZ104,'Jan-2026 rates'!L:T,9,0),0))))))))</f>
        <v>0</v>
      </c>
      <c r="IF104" s="412">
        <v>26508000024</v>
      </c>
      <c r="IG104" s="413"/>
      <c r="IH104" s="412"/>
      <c r="II104" s="412"/>
      <c r="IJ104" s="412"/>
      <c r="IK104" s="412"/>
      <c r="IL104" s="412"/>
      <c r="IM104" s="412"/>
      <c r="IN104" s="409">
        <v>6</v>
      </c>
      <c r="IO104" s="398" t="e">
        <f>IF(IN104=0,0,IF(LEN(IF104)=11,_xlfn.XLOOKUP(IF104,'Dispensed Ink Rates'!C:C,'Dispensed Ink Rates'!CS:CS),VLOOKUP(IF104,'Jan-2026 rates'!$E:$F,2,0)))</f>
        <v>#N/A</v>
      </c>
      <c r="IP104" s="409"/>
      <c r="IQ104" s="398">
        <f>IF(IP104=0,0,IF(LEN(IG104)=11,_xlfn.XLOOKUP(IG104,'Dispensed Ink Rates'!C:C,'Dispensed Ink Rates'!CS:CS),VLOOKUP(IG104,'Jan-2026 rates'!$E:$F,2,0)))</f>
        <v>0</v>
      </c>
      <c r="IR104" s="409"/>
      <c r="IS104" s="398">
        <f>IF(IR104=0,0,IF(LEN(IH104)=11,_xlfn.XLOOKUP(IH104,'Dispensed Ink Rates'!C:C,'Dispensed Ink Rates'!CS:CS),VLOOKUP(IH104,'Jan-2026 rates'!$E:$F,2,0)))</f>
        <v>0</v>
      </c>
      <c r="IT104" s="409"/>
      <c r="IU104" s="398">
        <f>IF(IT104=0,0,IF(LEN(II104)=11,_xlfn.XLOOKUP(II104,'Dispensed Ink Rates'!C:C,'Dispensed Ink Rates'!CS:CS),VLOOKUP(II104,'Jan-2026 rates'!$E:$F,2,0)))</f>
        <v>0</v>
      </c>
      <c r="IV104" s="409"/>
      <c r="IW104" s="398">
        <f>IF(IV104=0,0,IF(LEN(IJ104)=11,_xlfn.XLOOKUP(IJ104,'Dispensed Ink Rates'!C:C,'Dispensed Ink Rates'!CS:CS),VLOOKUP(IJ104,'Jan-2026 rates'!$E:$F,2,0)))</f>
        <v>0</v>
      </c>
      <c r="IX104" s="409"/>
      <c r="IY104" s="398">
        <f>IF(IX104=0,0,IF(LEN(IK104)=11,_xlfn.XLOOKUP(IK104,'Dispensed Ink Rates'!C:C,'Dispensed Ink Rates'!CS:CS),VLOOKUP(IK104,'Jan-2026 rates'!$E:$F,2,0)))</f>
        <v>0</v>
      </c>
      <c r="IZ104" s="409"/>
      <c r="JA104" s="398">
        <f>IF(IZ104=0,0,IF(LEN(IL104)=11,_xlfn.XLOOKUP(IL104,'Dispensed Ink Rates'!C:C,'Dispensed Ink Rates'!CS:CS),VLOOKUP(IL104,'Jan-2026 rates'!$E:$F,2,0)))</f>
        <v>0</v>
      </c>
      <c r="JB104" s="409"/>
      <c r="JC104" s="398">
        <f>IF(JB104=0,0,IF(LEN(IM104)=11,_xlfn.XLOOKUP(IM104,'Dispensed Ink Rates'!C:C,'Dispensed Ink Rates'!CS:CS),VLOOKUP(IM104,'Jan-2026 rates'!$E:$F,2,0)))</f>
        <v>0</v>
      </c>
      <c r="JD104" s="409" t="s">
        <v>1443</v>
      </c>
      <c r="JE104" s="409">
        <v>28</v>
      </c>
      <c r="JF104" s="411">
        <f t="shared" si="100"/>
        <v>0</v>
      </c>
      <c r="JG104" s="411">
        <f t="shared" si="101"/>
        <v>10.324324324324323</v>
      </c>
      <c r="JH104" s="410">
        <f t="shared" si="102"/>
        <v>0</v>
      </c>
      <c r="JI104" s="405"/>
      <c r="JJ104" s="409"/>
      <c r="JK104" s="420" t="str">
        <f t="shared" si="60"/>
        <v xml:space="preserve"> - </v>
      </c>
      <c r="JL104" s="409"/>
      <c r="JM104" s="411">
        <f>IF(JL104=0,0,IF($LB104=70%,VLOOKUP($JK104,'Jan-2026 rates'!$L:$R,4,0),IF($LB104=65%,VLOOKUP($JK104,'Jan-2026 rates'!$L:$R,4,0),IF($LB104=40%,VLOOKUP($JK104,'Jan-2026 rates'!$L:$R,5,0),IF($LB104=30%,VLOOKUP($JK104,'Jan-2026 rates'!$L:$R,6,0),IF($LB104=100%,VLOOKUP($JK104,'Jan-2026 rates'!$L:$R,7,0),IF($LB104=60%,VLOOKUP($JK104,'Jan-2026 rates'!$L:$S,8,0),IF($LB104=80%,VLOOKUP($JK104,'Jan-2026 rates'!L:T,9,0),0))))))))</f>
        <v>0</v>
      </c>
      <c r="JN104" s="412"/>
      <c r="JO104" s="409"/>
      <c r="JP104" s="411">
        <f>IF(JO104=0,0,IF($LB104=70%,VLOOKUP($JK104,'Jan-2026 rates'!$L:$R,4,0),IF($LB104=65%,VLOOKUP($JK104,'Jan-2026 rates'!$L:$R,4,0),IF($LB104=40%,VLOOKUP($JK104,'Jan-2026 rates'!$L:$R,5,0),IF($LB104=30%,VLOOKUP($JK104,'Jan-2026 rates'!$L:$R,6,0),IF($LB104=100%,VLOOKUP($JK104,'Jan-2026 rates'!$L:$R,7,0),IF($LB104=60%,VLOOKUP($JK104,'Jan-2026 rates'!$L:$S,8,0),IF($LB104=80%,VLOOKUP($JK104,'Jan-2026 rates'!L:T,9,0),0))))))))</f>
        <v>0</v>
      </c>
      <c r="JQ104" s="413"/>
      <c r="JR104" s="412"/>
      <c r="JS104" s="413"/>
      <c r="JT104" s="413"/>
      <c r="JU104" s="412"/>
      <c r="JV104" s="412"/>
      <c r="JW104" s="412"/>
      <c r="JX104" s="412"/>
      <c r="JY104" s="409"/>
      <c r="JZ104" s="398">
        <f>IF(JY104=0,0,IF(LEN(JQ104)=11,_xlfn.XLOOKUP(JQ104,'Dispensed Ink Rates'!C:C,'Dispensed Ink Rates'!CS:CS),VLOOKUP(JQ104,'Jan-2026 rates'!$E:$F,2,0)))</f>
        <v>0</v>
      </c>
      <c r="KA104" s="409"/>
      <c r="KB104" s="398">
        <f>IF(KA104=0,0,IF(LEN(JR104)=11,_xlfn.XLOOKUP(JR104,'Dispensed Ink Rates'!C:C,'Dispensed Ink Rates'!CS:CS),VLOOKUP(JR104,'Jan-2026 rates'!$E:$F,2,0)))</f>
        <v>0</v>
      </c>
      <c r="KC104" s="409"/>
      <c r="KD104" s="398">
        <f>IF(KC104=0,0,IF(LEN(JS104)=11,_xlfn.XLOOKUP(JS104,'Dispensed Ink Rates'!C:C,'Dispensed Ink Rates'!CS:CS),VLOOKUP(JS104,'Jan-2026 rates'!$E:$F,2,0)))</f>
        <v>0</v>
      </c>
      <c r="KE104" s="409"/>
      <c r="KF104" s="398">
        <f>IF(KE104=0,0,IF(LEN(JT104)=11,_xlfn.XLOOKUP(JT104,'Dispensed Ink Rates'!C:C,'Dispensed Ink Rates'!CS:CS),VLOOKUP(JT104,'Jan-2026 rates'!$E:$F,2,0)))</f>
        <v>0</v>
      </c>
      <c r="KG104" s="409"/>
      <c r="KH104" s="398">
        <f>IF(KG104=0,0,IF(LEN(JU104)=11,_xlfn.XLOOKUP(JU104,'Dispensed Ink Rates'!C:C,'Dispensed Ink Rates'!CS:CS),VLOOKUP(JU104,'Jan-2026 rates'!$E:$F,2,0)))</f>
        <v>0</v>
      </c>
      <c r="KI104" s="409"/>
      <c r="KJ104" s="398">
        <f>IF(KI104=0,0,IF(LEN(JV104)=11,_xlfn.XLOOKUP(JV104,'Dispensed Ink Rates'!C:C,'Dispensed Ink Rates'!CS:CS),VLOOKUP(JV104,'Jan-2026 rates'!$E:$F,2,0)))</f>
        <v>0</v>
      </c>
      <c r="KK104" s="409"/>
      <c r="KL104" s="398">
        <f>IF(KK104=0,0,IF(LEN(JW104)=11,_xlfn.XLOOKUP(JW104,'Dispensed Ink Rates'!C:C,'Dispensed Ink Rates'!CS:CS),VLOOKUP(JW104,'Jan-2026 rates'!$E:$F,2,0)))</f>
        <v>0</v>
      </c>
      <c r="KM104" s="428"/>
      <c r="KN104" s="398">
        <f>IF(KM104=0,0,IF(LEN(JX104)=11,_xlfn.XLOOKUP(JX104,'Dispensed Ink Rates'!C:C,'Dispensed Ink Rates'!CS:CS),VLOOKUP(JX104,'Jan-2026 rates'!$E:$F,2,0)))</f>
        <v>0</v>
      </c>
      <c r="KO104" s="409"/>
      <c r="KP104" s="409"/>
      <c r="KQ104" s="411">
        <f t="shared" si="103"/>
        <v>0</v>
      </c>
      <c r="KR104" s="411">
        <f t="shared" si="104"/>
        <v>0</v>
      </c>
      <c r="KS104" s="410">
        <f t="shared" si="105"/>
        <v>0</v>
      </c>
      <c r="KT104" s="409">
        <v>5</v>
      </c>
      <c r="KU104" s="409">
        <v>4</v>
      </c>
      <c r="KV104" s="409">
        <v>4</v>
      </c>
      <c r="KW104" s="409">
        <v>10</v>
      </c>
      <c r="KX104" s="409">
        <v>5</v>
      </c>
      <c r="KY104" s="409">
        <v>5</v>
      </c>
      <c r="KZ104" s="409">
        <v>4</v>
      </c>
      <c r="LA104" s="409">
        <v>0</v>
      </c>
      <c r="LB104" s="415">
        <v>0.8</v>
      </c>
      <c r="LC104" s="415">
        <v>0.2</v>
      </c>
      <c r="LD104" s="415"/>
      <c r="LE104" s="415"/>
      <c r="LF104" s="415"/>
      <c r="LG104" s="409">
        <v>0</v>
      </c>
      <c r="LH104" s="409">
        <f>10+10+40+10+7</f>
        <v>77</v>
      </c>
      <c r="LI104" s="409">
        <v>0</v>
      </c>
      <c r="LJ104" s="409">
        <v>0</v>
      </c>
      <c r="LK104" s="416">
        <f t="shared" si="61"/>
        <v>77</v>
      </c>
      <c r="LL104" s="416">
        <f t="shared" si="62"/>
        <v>77</v>
      </c>
      <c r="LM104" s="417">
        <f t="shared" si="63"/>
        <v>61.6</v>
      </c>
      <c r="LN104" s="417">
        <f>VLOOKUP($LM$8,'Jan-2026 rates'!$H:$I,2,0)</f>
        <v>0</v>
      </c>
      <c r="LO104" s="417">
        <f t="shared" si="64"/>
        <v>15.4</v>
      </c>
      <c r="LP104" s="417">
        <f>VLOOKUP($LO$8,'Jan-2026 rates'!$H:$I,2,0)</f>
        <v>0</v>
      </c>
      <c r="LQ104" s="417">
        <f t="shared" si="65"/>
        <v>0</v>
      </c>
      <c r="LR104" s="417">
        <f>VLOOKUP($LQ$8,'Jan-2026 rates'!$H:$I,2,0)</f>
        <v>0</v>
      </c>
      <c r="LS104" s="417">
        <f t="shared" si="66"/>
        <v>0</v>
      </c>
      <c r="LT104" s="417">
        <f>VLOOKUP($LS$8,'Jan-2026 rates'!$H:$I,2,0)</f>
        <v>0</v>
      </c>
      <c r="LU104" s="417">
        <f t="shared" si="67"/>
        <v>0</v>
      </c>
      <c r="LV104" s="417">
        <f>VLOOKUP($LU$8,'Jan-2026 rates'!$H:$I,2,0)</f>
        <v>0</v>
      </c>
      <c r="LW104" s="417">
        <f t="shared" si="68"/>
        <v>0</v>
      </c>
      <c r="LX104" s="417">
        <f t="shared" si="69"/>
        <v>0</v>
      </c>
      <c r="LY104" s="418">
        <f t="shared" si="70"/>
        <v>0</v>
      </c>
      <c r="LZ104" s="417"/>
      <c r="MA104" s="435">
        <f t="shared" si="71"/>
        <v>61.8</v>
      </c>
      <c r="MB104" s="282">
        <f t="shared" si="72"/>
        <v>132.79999999999998</v>
      </c>
      <c r="MC104" s="283">
        <v>59</v>
      </c>
      <c r="MD104" s="284" t="str">
        <f t="shared" si="73"/>
        <v>FLINTSLFLINTSLFLINTSLFLINTSLFLINTSLFLINTSLFLINTSL</v>
      </c>
      <c r="ME104" s="293" t="str">
        <f t="shared" si="74"/>
        <v>+</v>
      </c>
      <c r="MF104" s="293" t="str">
        <f t="shared" si="75"/>
        <v>+</v>
      </c>
      <c r="MG104" s="293" t="str">
        <f t="shared" si="76"/>
        <v>+</v>
      </c>
      <c r="MH104" s="293" t="str">
        <f t="shared" si="77"/>
        <v>+</v>
      </c>
      <c r="MI104" s="293" t="str">
        <f t="shared" si="78"/>
        <v>+</v>
      </c>
      <c r="MJ104" s="293" t="str">
        <f t="shared" si="79"/>
        <v>+</v>
      </c>
      <c r="MK104" s="293" t="str">
        <f t="shared" si="80"/>
        <v>+</v>
      </c>
      <c r="ML104" s="293" t="str">
        <f t="shared" si="81"/>
        <v>NIL</v>
      </c>
      <c r="MM104" s="3" t="b">
        <f t="array" ref="MM104">OR(ME104:ML104="-")</f>
        <v>0</v>
      </c>
      <c r="MN104" s="285"/>
      <c r="MO104" s="401"/>
      <c r="MP104" s="286"/>
      <c r="MQ104" s="286"/>
      <c r="MR104" s="402"/>
      <c r="MS104" s="400"/>
      <c r="NH104" s="422"/>
      <c r="NJ104" s="421"/>
    </row>
    <row r="105" spans="1:374" s="1" customFormat="1" ht="16.5">
      <c r="A105" s="403">
        <v>46031</v>
      </c>
      <c r="B105" s="404" t="s">
        <v>1015</v>
      </c>
      <c r="C105" s="405" t="s">
        <v>3197</v>
      </c>
      <c r="D105" s="406">
        <v>60</v>
      </c>
      <c r="E105" s="404">
        <v>398</v>
      </c>
      <c r="F105" s="407">
        <v>17200</v>
      </c>
      <c r="G105" s="407" t="s">
        <v>1019</v>
      </c>
      <c r="H105" s="408" t="s">
        <v>1017</v>
      </c>
      <c r="I105" s="409">
        <v>1.22</v>
      </c>
      <c r="J105" s="405" t="s">
        <v>543</v>
      </c>
      <c r="K105" s="404" t="s">
        <v>3198</v>
      </c>
      <c r="L105" s="419" t="str">
        <f t="shared" si="54"/>
        <v>FLINTSL - BLACK</v>
      </c>
      <c r="M105" s="404">
        <v>26</v>
      </c>
      <c r="N105" s="410">
        <f>IF(M105=0,0,IF($LB105=70%,VLOOKUP($L105,'Jan-2026 rates'!$L:$R,4,0),IF($LB105=65%,VLOOKUP($L105,'Jan-2026 rates'!$L:$R,4,0),IF($LB105=40%,VLOOKUP($L105,'Jan-2026 rates'!$L:$R,5,0),IF($LB105=30%,VLOOKUP($L105,'Jan-2026 rates'!$L:$R,6,0),IF($LB105=100%,VLOOKUP($L105,'Jan-2026 rates'!$L:$R,7,0),IF($LB105=60%,VLOOKUP($L105,'Jan-2026 rates'!$L:$S,8,0),IF($LB105=80%,VLOOKUP($L105,'Jan-2026 rates'!L:T,9,0),0))))))))</f>
        <v>0</v>
      </c>
      <c r="O105" s="406"/>
      <c r="P105" s="404"/>
      <c r="Q105" s="410">
        <f>IF(P105=0,0,IF($LB105=70%,VLOOKUP($L105,'Jan-2026 rates'!$L:$R,4,0),IF($LB105=65%,VLOOKUP($L105,'Jan-2026 rates'!$L:$R,4,0),IF($LB105=40%,VLOOKUP($L105,'Jan-2026 rates'!$L:$R,5,0),IF($LB105=30%,VLOOKUP($L105,'Jan-2026 rates'!$L:$R,6,0),IF($LB105=100%,VLOOKUP($L105,'Jan-2026 rates'!$L:$R,7,0),IF($LB105=60%,VLOOKUP($L105,'Jan-2026 rates'!$L:$S,8,0),IF($LB105=80%,VLOOKUP($L105,'Jan-2026 rates'!L:T,9,0),0))))))))</f>
        <v>0</v>
      </c>
      <c r="R105" s="406">
        <v>26507000010</v>
      </c>
      <c r="S105" s="406">
        <v>26508000024</v>
      </c>
      <c r="T105" s="406"/>
      <c r="U105" s="406"/>
      <c r="V105" s="406"/>
      <c r="W105" s="406"/>
      <c r="X105" s="406"/>
      <c r="Y105" s="406"/>
      <c r="Z105" s="404">
        <v>5</v>
      </c>
      <c r="AA105" s="398" t="e">
        <f>IF(Z105=0,0,IF(LEN(R105)=11,_xlfn.XLOOKUP(R105,'Dispensed Ink Rates'!C:C,'Dispensed Ink Rates'!CS:CS),VLOOKUP(R105,'Jan-2026 rates'!$E:$F,2,0)))</f>
        <v>#N/A</v>
      </c>
      <c r="AB105" s="404">
        <v>4</v>
      </c>
      <c r="AC105" s="398" t="e">
        <f>IF(AB105=0,0,IF(LEN(S105)=11,_xlfn.XLOOKUP(S105,'Dispensed Ink Rates'!C:C,'Dispensed Ink Rates'!CS:CS),VLOOKUP(S105,'Jan-2026 rates'!$E:$F,2,0)))</f>
        <v>#N/A</v>
      </c>
      <c r="AD105" s="404"/>
      <c r="AE105" s="398">
        <f>IF(AD105=0,0,IF(LEN(T105)=11,_xlfn.XLOOKUP(T105,'Dispensed Ink Rates'!C:C,'Dispensed Ink Rates'!CS:CS),VLOOKUP(T105,'Jan-2026 rates'!$E:$F,2,0)))</f>
        <v>0</v>
      </c>
      <c r="AF105" s="404"/>
      <c r="AG105" s="398">
        <f>IF(AF105=0,0,IF(LEN(U105)=11,_xlfn.XLOOKUP(U105,'Dispensed Ink Rates'!C:C,'Dispensed Ink Rates'!CS:CS),VLOOKUP(U105,'Jan-2026 rates'!$E:$F,2,0)))</f>
        <v>0</v>
      </c>
      <c r="AH105" s="404"/>
      <c r="AI105" s="398">
        <f>IF(AH105=0,0,IF(LEN(V105)=11,_xlfn.XLOOKUP(V105,'Dispensed Ink Rates'!C:C,'Dispensed Ink Rates'!CS:CS),VLOOKUP(V105,'Jan-2026 rates'!$E:$F,2,0)))</f>
        <v>0</v>
      </c>
      <c r="AJ105" s="404"/>
      <c r="AK105" s="398">
        <f>IF(AJ105=0,0,IF(LEN(W105)=11,_xlfn.XLOOKUP(W105,'Dispensed Ink Rates'!C:C,'Dispensed Ink Rates'!CS:CS),VLOOKUP(W105,'Jan-2026 rates'!$E:$F,2,0)))</f>
        <v>0</v>
      </c>
      <c r="AL105" s="404"/>
      <c r="AM105" s="398">
        <f>IF(AL105=0,0,IF(LEN(X105)=11,_xlfn.XLOOKUP(X105,'Dispensed Ink Rates'!C:C,'Dispensed Ink Rates'!CS:CS),VLOOKUP(X105,'Jan-2026 rates'!$E:$F,2,0)))</f>
        <v>0</v>
      </c>
      <c r="AN105" s="404"/>
      <c r="AO105" s="398">
        <f>IF(AN105=0,0,IF(LEN(Y105)=11,_xlfn.XLOOKUP(Y105,'Dispensed Ink Rates'!C:C,'Dispensed Ink Rates'!CS:CS),VLOOKUP(Y105,'Jan-2026 rates'!$E:$F,2,0)))</f>
        <v>0</v>
      </c>
      <c r="AP105" s="409" t="s">
        <v>1443</v>
      </c>
      <c r="AQ105" s="409">
        <v>32</v>
      </c>
      <c r="AR105" s="410">
        <f t="shared" si="82"/>
        <v>0</v>
      </c>
      <c r="AS105" s="411">
        <f t="shared" si="83"/>
        <v>12.652777777777779</v>
      </c>
      <c r="AT105" s="410">
        <f t="shared" si="84"/>
        <v>0</v>
      </c>
      <c r="AU105" s="405" t="s">
        <v>548</v>
      </c>
      <c r="AV105" s="409" t="s">
        <v>3199</v>
      </c>
      <c r="AW105" s="420" t="str">
        <f t="shared" si="53"/>
        <v>FLINTSL - GOLD</v>
      </c>
      <c r="AX105" s="409">
        <v>34</v>
      </c>
      <c r="AY105" s="411">
        <f>IF(AX105=0,0,IF($LB105=70%,VLOOKUP($AW105,'Jan-2026 rates'!$L:$R,4,0),IF($LB105=65%,VLOOKUP($AW105,'Jan-2026 rates'!$L:$R,4,0),IF($LB105=40%,VLOOKUP($AW105,'Jan-2026 rates'!$L:$R,5,0),IF($LB105=30%,VLOOKUP($AW105,'Jan-2026 rates'!$L:$R,6,0),IF($LB105=100%,VLOOKUP($AW105,'Jan-2026 rates'!$L:$R,7,0),IF($LB105=60%,VLOOKUP($AW105,'Jan-2026 rates'!$L:$S,8,0),IF($LB105=80%,VLOOKUP($AW105,'Jan-2026 rates'!L:T,9,0),0))))))))</f>
        <v>0</v>
      </c>
      <c r="AZ105" s="412"/>
      <c r="BA105" s="409"/>
      <c r="BB105" s="411">
        <f>IF(BA105=0,0,IF($LB105=70%,VLOOKUP($AW105,'Jan-2026 rates'!$L:$R,4,0),IF($LB105=65%,VLOOKUP($AW105,'Jan-2026 rates'!$L:$R,4,0),IF($LB105=40%,VLOOKUP($AW105,'Jan-2026 rates'!$L:$R,5,0),IF($LB105=30%,VLOOKUP($AW105,'Jan-2026 rates'!$L:$R,6,0),IF($LB105=100%,VLOOKUP($AW105,'Jan-2026 rates'!$L:$R,7,0),IF($LB105=60%,VLOOKUP($AW105,'Jan-2026 rates'!$L:$S,8,0),IF($LB105=80%,VLOOKUP($AW105,'Jan-2026 rates'!L:T,9,0),0))))))))</f>
        <v>0</v>
      </c>
      <c r="BC105" s="413">
        <v>26508000024</v>
      </c>
      <c r="BD105" s="412" t="s">
        <v>1340</v>
      </c>
      <c r="BE105" s="412">
        <v>26508000011</v>
      </c>
      <c r="BF105" s="413"/>
      <c r="BG105" s="412"/>
      <c r="BH105" s="412"/>
      <c r="BI105" s="412"/>
      <c r="BJ105" s="412"/>
      <c r="BK105" s="409">
        <v>2</v>
      </c>
      <c r="BL105" s="398" t="e">
        <f>IF(BK105=0,0,IF(LEN(BC105)=11,_xlfn.XLOOKUP(BC105,'Dispensed Ink Rates'!C:C,'Dispensed Ink Rates'!CS:CS),VLOOKUP(BC105,'Jan-2026 rates'!$E:$F,2,0)))</f>
        <v>#N/A</v>
      </c>
      <c r="BM105" s="409">
        <v>10</v>
      </c>
      <c r="BN105" s="398">
        <f>IF(BM105=0,0,IF(LEN(BD105)=11,_xlfn.XLOOKUP(BD105,'Dispensed Ink Rates'!C:C,'Dispensed Ink Rates'!CS:CS),VLOOKUP(BD105,'Jan-2026 rates'!$E:$F,2,0)))</f>
        <v>0</v>
      </c>
      <c r="BO105" s="409">
        <v>0.1</v>
      </c>
      <c r="BP105" s="398" t="e">
        <f>IF(BO105=0,0,IF(LEN(BE105)=11,_xlfn.XLOOKUP(BE105,'Dispensed Ink Rates'!C:C,'Dispensed Ink Rates'!CS:CS),VLOOKUP(BE105,'Jan-2026 rates'!$E:$F,2,0)))</f>
        <v>#N/A</v>
      </c>
      <c r="BQ105" s="409"/>
      <c r="BR105" s="398">
        <f>IF(BQ105=0,0,IF(LEN(BF105)=11,_xlfn.XLOOKUP(BF105,'Dispensed Ink Rates'!C:C,'Dispensed Ink Rates'!CS:CS),VLOOKUP(BF105,'Jan-2026 rates'!$E:$F,2,0)))</f>
        <v>0</v>
      </c>
      <c r="BS105" s="409"/>
      <c r="BT105" s="398">
        <f>IF(BS105=0,0,IF(LEN(BG105)=11,_xlfn.XLOOKUP(BG105,'Dispensed Ink Rates'!C:C,'Dispensed Ink Rates'!CS:CS),VLOOKUP(BG105,'Jan-2026 rates'!$E:$F,2,0)))</f>
        <v>0</v>
      </c>
      <c r="BU105" s="409"/>
      <c r="BV105" s="398">
        <f>IF(BU105=0,0,IF(LEN(BH105)=11,_xlfn.XLOOKUP(BH105,'Dispensed Ink Rates'!C:C,'Dispensed Ink Rates'!CS:CS),VLOOKUP(BH105,'Jan-2026 rates'!$E:$F,2,0)))</f>
        <v>0</v>
      </c>
      <c r="BW105" s="409"/>
      <c r="BX105" s="398">
        <f>IF(BW105=0,0,IF(LEN(BI105)=11,_xlfn.XLOOKUP(BI105,'Dispensed Ink Rates'!C:C,'Dispensed Ink Rates'!CS:CS),VLOOKUP(BI105,'Jan-2026 rates'!$E:$F,2,0)))</f>
        <v>0</v>
      </c>
      <c r="BY105" s="409"/>
      <c r="BZ105" s="398">
        <f>IF(BY105=0,0,IF(LEN(BJ105)=11,_xlfn.XLOOKUP(BJ105,'Dispensed Ink Rates'!C:C,'Dispensed Ink Rates'!CS:CS),VLOOKUP(BJ105,'Jan-2026 rates'!$E:$F,2,0)))</f>
        <v>0</v>
      </c>
      <c r="CA105" s="409" t="s">
        <v>1443</v>
      </c>
      <c r="CB105" s="409">
        <v>20</v>
      </c>
      <c r="CC105" s="411">
        <f t="shared" si="85"/>
        <v>0</v>
      </c>
      <c r="CD105" s="411">
        <f t="shared" si="86"/>
        <v>45.405555555555566</v>
      </c>
      <c r="CE105" s="410">
        <f t="shared" si="87"/>
        <v>0</v>
      </c>
      <c r="CF105" s="404" t="s">
        <v>857</v>
      </c>
      <c r="CG105" s="409" t="s">
        <v>3168</v>
      </c>
      <c r="CH105" s="420" t="str">
        <f t="shared" si="55"/>
        <v>FLINTSL - RED</v>
      </c>
      <c r="CI105" s="409">
        <v>20</v>
      </c>
      <c r="CJ105" s="411">
        <f>IF(CI105=0,0,IF($LB105=70%,VLOOKUP($CH105,'Jan-2026 rates'!$L:$R,4,0),IF($LB105=65%,VLOOKUP($CH105,'Jan-2026 rates'!$L:$R,4,0),IF($LB105=40%,VLOOKUP($CH105,'Jan-2026 rates'!$L:$R,5,0),IF($LB105=30%,VLOOKUP($CH105,'Jan-2026 rates'!$L:$R,6,0),IF($LB105=100%,VLOOKUP($CH105,'Jan-2026 rates'!$L:$R,7,0),IF($LB105=60%,VLOOKUP($CH105,'Jan-2026 rates'!$L:$S,8,0),IF($LB105=80%,VLOOKUP($CH105,'Jan-2026 rates'!L:T,9,0),0))))))))</f>
        <v>0</v>
      </c>
      <c r="CK105" s="412"/>
      <c r="CL105" s="409"/>
      <c r="CM105" s="411">
        <f>IF(CL105=0,0,IF($LB105=70%,VLOOKUP($CH105,'Jan-2026 rates'!$L:$R,4,0),IF($LB105=65%,VLOOKUP($CH105,'Jan-2026 rates'!$L:$R,4,0),IF($LB105=40%,VLOOKUP($CH105,'Jan-2026 rates'!$L:$R,5,0),IF($LB105=30%,VLOOKUP($CH105,'Jan-2026 rates'!$L:$R,6,0),IF($LB105=100%,VLOOKUP($CH105,'Jan-2026 rates'!$L:$R,7,0),IF($LB105=60%,VLOOKUP($CH105,'Jan-2026 rates'!$L:$S,8,0),IF($LB105=80%,VLOOKUP($CH105,'Jan-2026 rates'!L:T,9,0),0))))))))</f>
        <v>0</v>
      </c>
      <c r="CN105" s="426">
        <v>26508000011</v>
      </c>
      <c r="CO105" s="427">
        <v>26505000002</v>
      </c>
      <c r="CP105" s="426">
        <v>25863000007</v>
      </c>
      <c r="CQ105" s="426"/>
      <c r="CR105" s="428"/>
      <c r="CS105" s="428"/>
      <c r="CT105" s="428"/>
      <c r="CU105" s="428"/>
      <c r="CV105" s="409">
        <v>3</v>
      </c>
      <c r="CW105" s="398" t="e">
        <f>IF(CV105=0,0,IF(LEN(CN105)=11,_xlfn.XLOOKUP(CN105,'Dispensed Ink Rates'!C:C,'Dispensed Ink Rates'!CS:CS),VLOOKUP(CN105,'Jan-2026 rates'!$E:$F,2,0)))</f>
        <v>#N/A</v>
      </c>
      <c r="CX105" s="409">
        <v>7</v>
      </c>
      <c r="CY105" s="398" t="e">
        <f>IF(CX105=0,0,IF(LEN(CO105)=11,_xlfn.XLOOKUP(CO105,'Dispensed Ink Rates'!C:C,'Dispensed Ink Rates'!CS:CS),VLOOKUP(CO105,'Jan-2026 rates'!$E:$F,2,0)))</f>
        <v>#N/A</v>
      </c>
      <c r="CZ105" s="409">
        <v>2</v>
      </c>
      <c r="DA105" s="398" t="e">
        <f>IF(CZ105=0,0,IF(LEN(CP105)=11,_xlfn.XLOOKUP(CP105,'Dispensed Ink Rates'!C:C,'Dispensed Ink Rates'!CS:CS),VLOOKUP(CP105,'Jan-2026 rates'!$E:$F,2,0)))</f>
        <v>#N/A</v>
      </c>
      <c r="DB105" s="409"/>
      <c r="DC105" s="398">
        <f>IF(DB105=0,0,IF(LEN(CQ105)=11,_xlfn.XLOOKUP(CQ105,'Dispensed Ink Rates'!C:C,'Dispensed Ink Rates'!CS:CS),VLOOKUP(CQ105,'Jan-2026 rates'!$E:$F,2,0)))</f>
        <v>0</v>
      </c>
      <c r="DD105" s="409"/>
      <c r="DE105" s="398">
        <f>IF(DD105=0,0,IF(LEN(CR105)=11,_xlfn.XLOOKUP(CR105,'Dispensed Ink Rates'!C:C,'Dispensed Ink Rates'!CS:CS),VLOOKUP(CR105,'Jan-2026 rates'!$E:$F,2,0)))</f>
        <v>0</v>
      </c>
      <c r="DF105" s="409"/>
      <c r="DG105" s="398">
        <f>IF(DF105=0,0,IF(LEN(CS105)=11,_xlfn.XLOOKUP(CS105,'Dispensed Ink Rates'!C:C,'Dispensed Ink Rates'!CS:CS),VLOOKUP(CS105,'Jan-2026 rates'!$E:$F,2,0)))</f>
        <v>0</v>
      </c>
      <c r="DH105" s="409"/>
      <c r="DI105" s="398">
        <f>IF(DH105=0,0,IF(LEN(CT105)=11,_xlfn.XLOOKUP(CT105,'Dispensed Ink Rates'!C:C,'Dispensed Ink Rates'!CS:CS),VLOOKUP(CT105,'Jan-2026 rates'!$E:$F,2,0)))</f>
        <v>0</v>
      </c>
      <c r="DJ105" s="409"/>
      <c r="DK105" s="398">
        <f>IF(DJ105=0,0,IF(LEN(CU105)=11,_xlfn.XLOOKUP(CU105,'Dispensed Ink Rates'!C:C,'Dispensed Ink Rates'!CS:CS),VLOOKUP(CU105,'Jan-2026 rates'!$E:$F,2,0)))</f>
        <v>0</v>
      </c>
      <c r="DL105" s="409" t="s">
        <v>1443</v>
      </c>
      <c r="DM105" s="409">
        <v>26</v>
      </c>
      <c r="DN105" s="411">
        <f t="shared" si="88"/>
        <v>0</v>
      </c>
      <c r="DO105" s="411">
        <f t="shared" si="89"/>
        <v>25.305555555555557</v>
      </c>
      <c r="DP105" s="410">
        <f t="shared" si="90"/>
        <v>0</v>
      </c>
      <c r="DQ105" s="405" t="s">
        <v>855</v>
      </c>
      <c r="DR105" s="409" t="s">
        <v>3200</v>
      </c>
      <c r="DS105" s="420" t="str">
        <f t="shared" si="56"/>
        <v>FLINTSL - CYAN</v>
      </c>
      <c r="DT105" s="409">
        <v>30</v>
      </c>
      <c r="DU105" s="411">
        <f>IF(DT105=0,0,IF($LB105=70%,VLOOKUP($DS105,'Jan-2026 rates'!$L:$R,4,0),IF($LB105=65%,VLOOKUP($DS105,'Jan-2026 rates'!$L:$R,4,0),IF($LB105=40%,VLOOKUP($DS105,'Jan-2026 rates'!$L:$R,5,0),IF($LB105=30%,VLOOKUP($DS105,'Jan-2026 rates'!$L:$R,6,0),IF($LB105=100%,VLOOKUP($DS105,'Jan-2026 rates'!$L:$R,7,0),IF($LB105=60%,VLOOKUP($DS105,'Jan-2026 rates'!$L:$S,8,0),IF($LB105=80%,VLOOKUP($DS105,'Jan-2026 rates'!L:T,9,0),0))))))))</f>
        <v>0</v>
      </c>
      <c r="DV105" s="412"/>
      <c r="DW105" s="409"/>
      <c r="DX105" s="411">
        <f>IF(DW105=0,0,IF($LB105=70%,VLOOKUP($DS105,'Jan-2026 rates'!$L:$R,4,0),IF($LB105=65%,VLOOKUP($DS105,'Jan-2026 rates'!$L:$R,4,0),IF($LB105=40%,VLOOKUP($DS105,'Jan-2026 rates'!$L:$R,5,0),IF($LB105=30%,VLOOKUP($DS105,'Jan-2026 rates'!$L:$R,6,0),IF($LB105=100%,VLOOKUP($DS105,'Jan-2026 rates'!$L:$R,7,0),IF($LB105=60%,VLOOKUP($DS105,'Jan-2026 rates'!$L:$S,8,0),IF($LB105=80%,VLOOKUP($DS105,'Jan-2026 rates'!L:T,9,0),0))))))))</f>
        <v>0</v>
      </c>
      <c r="DY105" s="413">
        <v>26507000018</v>
      </c>
      <c r="DZ105" s="413"/>
      <c r="EA105" s="412"/>
      <c r="EB105" s="412"/>
      <c r="EC105" s="412"/>
      <c r="ED105" s="412"/>
      <c r="EE105" s="412"/>
      <c r="EF105" s="412"/>
      <c r="EG105" s="409">
        <f>4+2</f>
        <v>6</v>
      </c>
      <c r="EH105" s="398" t="e">
        <f>IF(EG105=0,0,IF(LEN(DY105)=11,_xlfn.XLOOKUP(DY105,'Dispensed Ink Rates'!C:C,'Dispensed Ink Rates'!CS:CS),VLOOKUP(DY105,'Jan-2026 rates'!$E:$F,2,0)))</f>
        <v>#N/A</v>
      </c>
      <c r="EI105" s="409"/>
      <c r="EJ105" s="398">
        <f>IF(EI105=0,0,IF(LEN(DZ105)=11,_xlfn.XLOOKUP(DZ105,'Dispensed Ink Rates'!C:C,'Dispensed Ink Rates'!CS:CS),VLOOKUP(DZ105,'Jan-2026 rates'!$E:$F,2,0)))</f>
        <v>0</v>
      </c>
      <c r="EK105" s="409"/>
      <c r="EL105" s="398">
        <f>IF(EK105=0,0,IF(LEN(EA105)=11,_xlfn.XLOOKUP(EA105,'Dispensed Ink Rates'!C:C,'Dispensed Ink Rates'!CS:CS),VLOOKUP(EA105,'Jan-2026 rates'!$E:$F,2,0)))</f>
        <v>0</v>
      </c>
      <c r="EM105" s="409"/>
      <c r="EN105" s="398">
        <f>IF(EM105=0,0,IF(LEN(EB105)=11,_xlfn.XLOOKUP(EB105,'Dispensed Ink Rates'!C:C,'Dispensed Ink Rates'!CS:CS),VLOOKUP(EB105,'Jan-2026 rates'!$E:$F,2,0)))</f>
        <v>0</v>
      </c>
      <c r="EO105" s="409"/>
      <c r="EP105" s="398">
        <f>IF(EO105=0,0,IF(LEN(EC105)=11,_xlfn.XLOOKUP(EC105,'Dispensed Ink Rates'!C:C,'Dispensed Ink Rates'!CS:CS),VLOOKUP(EC105,'Jan-2026 rates'!$E:$F,2,0)))</f>
        <v>0</v>
      </c>
      <c r="EQ105" s="409"/>
      <c r="ER105" s="398">
        <f>IF(EQ105=0,0,IF(LEN(ED105)=11,_xlfn.XLOOKUP(ED105,'Dispensed Ink Rates'!C:C,'Dispensed Ink Rates'!CS:CS),VLOOKUP(ED105,'Jan-2026 rates'!$E:$F,2,0)))</f>
        <v>0</v>
      </c>
      <c r="ES105" s="409"/>
      <c r="ET105" s="398">
        <f>IF(ES105=0,0,IF(LEN(EE105)=11,_xlfn.XLOOKUP(EE105,'Dispensed Ink Rates'!C:C,'Dispensed Ink Rates'!CS:CS),VLOOKUP(EE105,'Jan-2026 rates'!$E:$F,2,0)))</f>
        <v>0</v>
      </c>
      <c r="EU105" s="409"/>
      <c r="EV105" s="398">
        <f>IF(EU105=0,0,IF(LEN(EF105)=11,_xlfn.XLOOKUP(EF105,'Dispensed Ink Rates'!C:C,'Dispensed Ink Rates'!CS:CS),VLOOKUP(EF105,'Jan-2026 rates'!$E:$F,2,0)))</f>
        <v>0</v>
      </c>
      <c r="EW105" s="409" t="s">
        <v>1443</v>
      </c>
      <c r="EX105" s="409">
        <v>32</v>
      </c>
      <c r="EY105" s="411">
        <f t="shared" si="91"/>
        <v>0</v>
      </c>
      <c r="EZ105" s="411">
        <f t="shared" si="92"/>
        <v>7.8611111111111143</v>
      </c>
      <c r="FA105" s="410">
        <f t="shared" si="93"/>
        <v>0</v>
      </c>
      <c r="FB105" s="405" t="s">
        <v>544</v>
      </c>
      <c r="FC105" s="409" t="s">
        <v>3201</v>
      </c>
      <c r="FD105" s="420" t="str">
        <f t="shared" si="57"/>
        <v>FLINTSL - MAGENTA</v>
      </c>
      <c r="FE105" s="409">
        <v>25</v>
      </c>
      <c r="FF105" s="411">
        <f>IF(FE105=0,0,IF($LB105=70%,VLOOKUP($FD105,'Jan-2026 rates'!$L:$R,4,0),IF($LB105=65%,VLOOKUP($FD105,'Jan-2026 rates'!$L:$R,4,0),IF($LB105=40%,VLOOKUP($FD105,'Jan-2026 rates'!$L:$R,5,0),IF($LB105=30%,VLOOKUP($FD105,'Jan-2026 rates'!$L:$R,6,0),IF($LB105=100%,VLOOKUP($FD105,'Jan-2026 rates'!$L:$R,7,0),IF($LB105=60%,VLOOKUP($FD105,'Jan-2026 rates'!$L:$S,8,0),IF($LB105=80%,VLOOKUP($FD105,'Jan-2026 rates'!L:T,9,0),0))))))))</f>
        <v>0</v>
      </c>
      <c r="FG105" s="412"/>
      <c r="FH105" s="409"/>
      <c r="FI105" s="411">
        <f>IF(FH105=0,0,IF($LB105=70%,VLOOKUP($FD105,'Jan-2026 rates'!$L:$R,4,0),IF($LB105=65%,VLOOKUP($FD105,'Jan-2026 rates'!$L:$R,4,0),IF($LB105=40%,VLOOKUP($FD105,'Jan-2026 rates'!$L:$R,5,0),IF($LB105=30%,VLOOKUP($FD105,'Jan-2026 rates'!$L:$R,6,0),IF($LB105=100%,VLOOKUP($FD105,'Jan-2026 rates'!$L:$R,7,0),IF($LB105=60%,VLOOKUP($FD105,'Jan-2026 rates'!$L:$S,8,0),IF($LB105=80%,VLOOKUP($FD105,'Jan-2026 rates'!L:T,9,0),0))))))))</f>
        <v>0</v>
      </c>
      <c r="FJ105" s="413" t="s">
        <v>1266</v>
      </c>
      <c r="FK105" s="413"/>
      <c r="FL105" s="413"/>
      <c r="FM105" s="412"/>
      <c r="FN105" s="412"/>
      <c r="FO105" s="412"/>
      <c r="FP105" s="412"/>
      <c r="FQ105" s="412"/>
      <c r="FR105" s="409">
        <v>5</v>
      </c>
      <c r="FS105" s="398">
        <f>IF(FR105=0,0,IF(LEN(FJ105)=11,_xlfn.XLOOKUP(FJ105,'Dispensed Ink Rates'!C:C,'Dispensed Ink Rates'!CS:CS),VLOOKUP(FJ105,'Jan-2026 rates'!$E:$F,2,0)))</f>
        <v>0</v>
      </c>
      <c r="FT105" s="409"/>
      <c r="FU105" s="398">
        <f>IF(FT105=0,0,IF(LEN(FK105)=11,_xlfn.XLOOKUP(FK105,'Dispensed Ink Rates'!C:C,'Dispensed Ink Rates'!CS:CS),VLOOKUP(FK105,'Jan-2026 rates'!$E:$F,2,0)))</f>
        <v>0</v>
      </c>
      <c r="FV105" s="409"/>
      <c r="FW105" s="398">
        <f>IF(FV105=0,0,IF(LEN(FL105)=11,_xlfn.XLOOKUP(FL105,'Dispensed Ink Rates'!C:C,'Dispensed Ink Rates'!CS:CS),VLOOKUP(FL105,'Jan-2026 rates'!$E:$F,2,0)))</f>
        <v>0</v>
      </c>
      <c r="FX105" s="409"/>
      <c r="FY105" s="398">
        <f>IF(FX105=0,0,IF(LEN(FM105)=11,_xlfn.XLOOKUP(FM105,'Dispensed Ink Rates'!C:C,'Dispensed Ink Rates'!CS:CS),VLOOKUP(FM105,'Jan-2026 rates'!$E:$F,2,0)))</f>
        <v>0</v>
      </c>
      <c r="FZ105" s="409"/>
      <c r="GA105" s="398">
        <f>IF(FZ105=0,0,IF(LEN(FN105)=11,_xlfn.XLOOKUP(FN105,'Dispensed Ink Rates'!C:C,'Dispensed Ink Rates'!CS:CS),VLOOKUP(FN105,'Jan-2026 rates'!$E:$F,2,0)))</f>
        <v>0</v>
      </c>
      <c r="GB105" s="409"/>
      <c r="GC105" s="398">
        <f>IF(GB105=0,0,IF(LEN(FO105)=11,_xlfn.XLOOKUP(FO105,'Dispensed Ink Rates'!C:C,'Dispensed Ink Rates'!CS:CS),VLOOKUP(FO105,'Jan-2026 rates'!$E:$F,2,0)))</f>
        <v>0</v>
      </c>
      <c r="GD105" s="409"/>
      <c r="GE105" s="398">
        <f>IF(GD105=0,0,IF(LEN(FP105)=11,_xlfn.XLOOKUP(FP105,'Dispensed Ink Rates'!C:C,'Dispensed Ink Rates'!CS:CS),VLOOKUP(FP105,'Jan-2026 rates'!$E:$F,2,0)))</f>
        <v>0</v>
      </c>
      <c r="GF105" s="409"/>
      <c r="GG105" s="398">
        <f>IF(GF105=0,0,IF(LEN(FQ105)=11,_xlfn.XLOOKUP(FQ105,'Dispensed Ink Rates'!C:C,'Dispensed Ink Rates'!CS:CS),VLOOKUP(FQ105,'Jan-2026 rates'!$E:$F,2,0)))</f>
        <v>0</v>
      </c>
      <c r="GH105" s="409" t="s">
        <v>1443</v>
      </c>
      <c r="GI105" s="409">
        <v>24</v>
      </c>
      <c r="GJ105" s="411">
        <f t="shared" si="94"/>
        <v>0</v>
      </c>
      <c r="GK105" s="411">
        <f t="shared" si="95"/>
        <v>11.791666666666664</v>
      </c>
      <c r="GL105" s="410">
        <f t="shared" si="96"/>
        <v>0</v>
      </c>
      <c r="GM105" s="405" t="s">
        <v>545</v>
      </c>
      <c r="GN105" s="409" t="s">
        <v>3202</v>
      </c>
      <c r="GO105" s="420" t="str">
        <f t="shared" si="58"/>
        <v>FLINTSL - YELLOW</v>
      </c>
      <c r="GP105" s="409">
        <v>28</v>
      </c>
      <c r="GQ105" s="411">
        <f>IF(GP105=0,0,IF($LB105=70%,VLOOKUP($GO105,'Jan-2026 rates'!$L:$R,4,0),IF($LB105=65%,VLOOKUP($GO105,'Jan-2026 rates'!$L:$R,4,0),IF($LB105=40%,VLOOKUP($GO105,'Jan-2026 rates'!$L:$R,5,0),IF($LB105=30%,VLOOKUP($GO105,'Jan-2026 rates'!$L:$R,6,0),IF($LB105=100%,VLOOKUP($GO105,'Jan-2026 rates'!$L:$R,7,0),IF($LB105=60%,VLOOKUP($GO105,'Jan-2026 rates'!$L:$S,8,0),IF($LB105=80%,VLOOKUP($GO105,'Jan-2026 rates'!L:T,9,0),0))))))))</f>
        <v>0</v>
      </c>
      <c r="GR105" s="412"/>
      <c r="GS105" s="409"/>
      <c r="GT105" s="411">
        <f>IF(GS105=0,0,IF($LB105=70%,VLOOKUP($GO105,'Jan-2026 rates'!$L:$R,4,0),IF($LB105=65%,VLOOKUP($GO105,'Jan-2026 rates'!$L:$R,4,0),IF($LB105=40%,VLOOKUP($GO105,'Jan-2026 rates'!$L:$R,5,0),IF($LB105=30%,VLOOKUP($GO105,'Jan-2026 rates'!$L:$R,6,0),IF($LB105=100%,VLOOKUP($GO105,'Jan-2026 rates'!$L:$R,7,0),IF($LB105=60%,VLOOKUP($GO105,'Jan-2026 rates'!$L:$S,8,0),IF($LB105=80%,VLOOKUP($GO105,'Jan-2026 rates'!L:T,9,0),0))))))))</f>
        <v>0</v>
      </c>
      <c r="GU105" s="413">
        <v>26508000024</v>
      </c>
      <c r="GV105" s="413"/>
      <c r="GW105" s="412"/>
      <c r="GX105" s="412"/>
      <c r="GY105" s="412"/>
      <c r="GZ105" s="412"/>
      <c r="HA105" s="412"/>
      <c r="HB105" s="412"/>
      <c r="HC105" s="409">
        <v>15</v>
      </c>
      <c r="HD105" s="398" t="e">
        <f>IF(HC105=0,0,IF(LEN(GU105)=11,_xlfn.XLOOKUP(GU105,'Dispensed Ink Rates'!C:C,'Dispensed Ink Rates'!CS:CS),VLOOKUP(GU105,'Jan-2026 rates'!$E:$F,2,0)))</f>
        <v>#N/A</v>
      </c>
      <c r="HE105" s="409"/>
      <c r="HF105" s="398">
        <f>IF(HE105=0,0,IF(LEN(GV105)=11,_xlfn.XLOOKUP(GV105,'Dispensed Ink Rates'!C:C,'Dispensed Ink Rates'!CS:CS),VLOOKUP(GV105,'Jan-2026 rates'!$E:$F,2,0)))</f>
        <v>0</v>
      </c>
      <c r="HG105" s="409"/>
      <c r="HH105" s="398">
        <f>IF(HG105=0,0,IF(LEN(GW105)=11,_xlfn.XLOOKUP(GW105,'Dispensed Ink Rates'!C:C,'Dispensed Ink Rates'!CS:CS),VLOOKUP(GW105,'Jan-2026 rates'!$E:$F,2,0)))</f>
        <v>0</v>
      </c>
      <c r="HI105" s="409"/>
      <c r="HJ105" s="398">
        <f>IF(HI105=0,0,IF(LEN(GX105)=11,_xlfn.XLOOKUP(GX105,'Dispensed Ink Rates'!C:C,'Dispensed Ink Rates'!CS:CS),VLOOKUP(GX105,'Jan-2026 rates'!$E:$F,2,0)))</f>
        <v>0</v>
      </c>
      <c r="HK105" s="409"/>
      <c r="HL105" s="398">
        <f>IF(HK105=0,0,IF(LEN(GY105)=11,_xlfn.XLOOKUP(GY105,'Dispensed Ink Rates'!C:C,'Dispensed Ink Rates'!CS:CS),VLOOKUP(GY105,'Jan-2026 rates'!$E:$F,2,0)))</f>
        <v>0</v>
      </c>
      <c r="HM105" s="409"/>
      <c r="HN105" s="398">
        <f>IF(HM105=0,0,IF(LEN(GZ105)=11,_xlfn.XLOOKUP(GZ105,'Dispensed Ink Rates'!C:C,'Dispensed Ink Rates'!CS:CS),VLOOKUP(GZ105,'Jan-2026 rates'!$E:$F,2,0)))</f>
        <v>0</v>
      </c>
      <c r="HO105" s="409"/>
      <c r="HP105" s="398">
        <f>IF(HO105=0,0,IF(LEN(HA105)=11,_xlfn.XLOOKUP(HA105,'Dispensed Ink Rates'!C:C,'Dispensed Ink Rates'!CS:CS),VLOOKUP(HA105,'Jan-2026 rates'!$E:$F,2,0)))</f>
        <v>0</v>
      </c>
      <c r="HQ105" s="409"/>
      <c r="HR105" s="398">
        <f>IF(HQ105=0,0,IF(LEN(HB105)=11,_xlfn.XLOOKUP(HB105,'Dispensed Ink Rates'!C:C,'Dispensed Ink Rates'!CS:CS),VLOOKUP(HB105,'Jan-2026 rates'!$E:$F,2,0)))</f>
        <v>0</v>
      </c>
      <c r="HS105" s="409" t="s">
        <v>1443</v>
      </c>
      <c r="HT105" s="409">
        <v>26</v>
      </c>
      <c r="HU105" s="411">
        <f t="shared" si="97"/>
        <v>0</v>
      </c>
      <c r="HV105" s="411">
        <f t="shared" si="98"/>
        <v>20.861111111111114</v>
      </c>
      <c r="HW105" s="414">
        <f t="shared" si="99"/>
        <v>0</v>
      </c>
      <c r="HX105" s="405" t="s">
        <v>856</v>
      </c>
      <c r="HY105" s="409"/>
      <c r="HZ105" s="420" t="str">
        <f t="shared" si="59"/>
        <v>FLINTSL - WHITE</v>
      </c>
      <c r="IA105" s="409"/>
      <c r="IB105" s="411">
        <f>IF(IA105=0,0,IF($LB105=70%,VLOOKUP($HZ105,'Jan-2026 rates'!$L:$R,4,0),IF($LB105=65%,VLOOKUP($HZ105,'Jan-2026 rates'!$L:$R,4,0),IF($LB105=40%,VLOOKUP($HZ105,'Jan-2026 rates'!$L:$R,5,0),IF($LB105=30%,VLOOKUP($HZ105,'Jan-2026 rates'!$L:$R,6,0),IF($LB105=100%,VLOOKUP($HZ105,'Jan-2026 rates'!$L:$R,7,0),IF($LB105=60%,VLOOKUP($HZ105,'Jan-2026 rates'!$L:$S,8,0),IF($LB105=80%,VLOOKUP($HZ105,'Jan-2026 rates'!L:T,9,0),0))))))))</f>
        <v>0</v>
      </c>
      <c r="IC105" s="412"/>
      <c r="ID105" s="409"/>
      <c r="IE105" s="411">
        <f>IF(ID105=0,0,IF($LB105=70%,VLOOKUP($HZ105,'Jan-2026 rates'!$L:$R,4,0),IF($LB105=65%,VLOOKUP($HZ105,'Jan-2026 rates'!$L:$R,4,0),IF($LB105=40%,VLOOKUP($HZ105,'Jan-2026 rates'!$L:$R,5,0),IF($LB105=30%,VLOOKUP($HZ105,'Jan-2026 rates'!$L:$R,6,0),IF($LB105=100%,VLOOKUP($HZ105,'Jan-2026 rates'!$L:$R,7,0),IF($LB105=60%,VLOOKUP($HZ105,'Jan-2026 rates'!$L:$S,8,0),IF($LB105=80%,VLOOKUP($HZ105,'Jan-2026 rates'!L:T,9,0),0))))))))</f>
        <v>0</v>
      </c>
      <c r="IF105" s="412" t="s">
        <v>484</v>
      </c>
      <c r="IG105" s="413"/>
      <c r="IH105" s="412"/>
      <c r="II105" s="412"/>
      <c r="IJ105" s="412"/>
      <c r="IK105" s="412"/>
      <c r="IL105" s="412"/>
      <c r="IM105" s="412"/>
      <c r="IN105" s="409">
        <f>50+10</f>
        <v>60</v>
      </c>
      <c r="IO105" s="398">
        <f>IF(IN105=0,0,IF(LEN(IF105)=11,_xlfn.XLOOKUP(IF105,'Dispensed Ink Rates'!C:C,'Dispensed Ink Rates'!CS:CS),VLOOKUP(IF105,'Jan-2026 rates'!$E:$F,2,0)))</f>
        <v>0</v>
      </c>
      <c r="IP105" s="409"/>
      <c r="IQ105" s="398">
        <f>IF(IP105=0,0,IF(LEN(IG105)=11,_xlfn.XLOOKUP(IG105,'Dispensed Ink Rates'!C:C,'Dispensed Ink Rates'!CS:CS),VLOOKUP(IG105,'Jan-2026 rates'!$E:$F,2,0)))</f>
        <v>0</v>
      </c>
      <c r="IR105" s="409"/>
      <c r="IS105" s="398">
        <f>IF(IR105=0,0,IF(LEN(IH105)=11,_xlfn.XLOOKUP(IH105,'Dispensed Ink Rates'!C:C,'Dispensed Ink Rates'!CS:CS),VLOOKUP(IH105,'Jan-2026 rates'!$E:$F,2,0)))</f>
        <v>0</v>
      </c>
      <c r="IT105" s="409"/>
      <c r="IU105" s="398">
        <f>IF(IT105=0,0,IF(LEN(II105)=11,_xlfn.XLOOKUP(II105,'Dispensed Ink Rates'!C:C,'Dispensed Ink Rates'!CS:CS),VLOOKUP(II105,'Jan-2026 rates'!$E:$F,2,0)))</f>
        <v>0</v>
      </c>
      <c r="IV105" s="409"/>
      <c r="IW105" s="398">
        <f>IF(IV105=0,0,IF(LEN(IJ105)=11,_xlfn.XLOOKUP(IJ105,'Dispensed Ink Rates'!C:C,'Dispensed Ink Rates'!CS:CS),VLOOKUP(IJ105,'Jan-2026 rates'!$E:$F,2,0)))</f>
        <v>0</v>
      </c>
      <c r="IX105" s="409"/>
      <c r="IY105" s="398">
        <f>IF(IX105=0,0,IF(LEN(IK105)=11,_xlfn.XLOOKUP(IK105,'Dispensed Ink Rates'!C:C,'Dispensed Ink Rates'!CS:CS),VLOOKUP(IK105,'Jan-2026 rates'!$E:$F,2,0)))</f>
        <v>0</v>
      </c>
      <c r="IZ105" s="409"/>
      <c r="JA105" s="398">
        <f>IF(IZ105=0,0,IF(LEN(IL105)=11,_xlfn.XLOOKUP(IL105,'Dispensed Ink Rates'!C:C,'Dispensed Ink Rates'!CS:CS),VLOOKUP(IL105,'Jan-2026 rates'!$E:$F,2,0)))</f>
        <v>0</v>
      </c>
      <c r="JB105" s="409"/>
      <c r="JC105" s="398">
        <f>IF(JB105=0,0,IF(LEN(IM105)=11,_xlfn.XLOOKUP(IM105,'Dispensed Ink Rates'!C:C,'Dispensed Ink Rates'!CS:CS),VLOOKUP(IM105,'Jan-2026 rates'!$E:$F,2,0)))</f>
        <v>0</v>
      </c>
      <c r="JD105" s="409" t="s">
        <v>1443</v>
      </c>
      <c r="JE105" s="409">
        <v>30</v>
      </c>
      <c r="JF105" s="411">
        <f t="shared" si="100"/>
        <v>0</v>
      </c>
      <c r="JG105" s="411">
        <f t="shared" si="101"/>
        <v>107.22222222222223</v>
      </c>
      <c r="JH105" s="410">
        <f t="shared" si="102"/>
        <v>0</v>
      </c>
      <c r="JI105" s="405"/>
      <c r="JJ105" s="409"/>
      <c r="JK105" s="420" t="str">
        <f t="shared" si="60"/>
        <v xml:space="preserve"> - </v>
      </c>
      <c r="JL105" s="409"/>
      <c r="JM105" s="411">
        <f>IF(JL105=0,0,IF($LB105=70%,VLOOKUP($JK105,'Jan-2026 rates'!$L:$R,4,0),IF($LB105=65%,VLOOKUP($JK105,'Jan-2026 rates'!$L:$R,4,0),IF($LB105=40%,VLOOKUP($JK105,'Jan-2026 rates'!$L:$R,5,0),IF($LB105=30%,VLOOKUP($JK105,'Jan-2026 rates'!$L:$R,6,0),IF($LB105=100%,VLOOKUP($JK105,'Jan-2026 rates'!$L:$R,7,0),IF($LB105=60%,VLOOKUP($JK105,'Jan-2026 rates'!$L:$S,8,0),IF($LB105=80%,VLOOKUP($JK105,'Jan-2026 rates'!L:T,9,0),0))))))))</f>
        <v>0</v>
      </c>
      <c r="JN105" s="412"/>
      <c r="JO105" s="409"/>
      <c r="JP105" s="411">
        <f>IF(JO105=0,0,IF($LB105=70%,VLOOKUP($JK105,'Jan-2026 rates'!$L:$R,4,0),IF($LB105=65%,VLOOKUP($JK105,'Jan-2026 rates'!$L:$R,4,0),IF($LB105=40%,VLOOKUP($JK105,'Jan-2026 rates'!$L:$R,5,0),IF($LB105=30%,VLOOKUP($JK105,'Jan-2026 rates'!$L:$R,6,0),IF($LB105=100%,VLOOKUP($JK105,'Jan-2026 rates'!$L:$R,7,0),IF($LB105=60%,VLOOKUP($JK105,'Jan-2026 rates'!$L:$S,8,0),IF($LB105=80%,VLOOKUP($JK105,'Jan-2026 rates'!L:T,9,0),0))))))))</f>
        <v>0</v>
      </c>
      <c r="JQ105" s="413"/>
      <c r="JR105" s="412"/>
      <c r="JS105" s="413"/>
      <c r="JT105" s="413"/>
      <c r="JU105" s="412"/>
      <c r="JV105" s="412"/>
      <c r="JW105" s="412"/>
      <c r="JX105" s="412"/>
      <c r="JY105" s="409"/>
      <c r="JZ105" s="398">
        <f>IF(JY105=0,0,IF(LEN(JQ105)=11,_xlfn.XLOOKUP(JQ105,'Dispensed Ink Rates'!C:C,'Dispensed Ink Rates'!CS:CS),VLOOKUP(JQ105,'Jan-2026 rates'!$E:$F,2,0)))</f>
        <v>0</v>
      </c>
      <c r="KA105" s="409"/>
      <c r="KB105" s="398">
        <f>IF(KA105=0,0,IF(LEN(JR105)=11,_xlfn.XLOOKUP(JR105,'Dispensed Ink Rates'!C:C,'Dispensed Ink Rates'!CS:CS),VLOOKUP(JR105,'Jan-2026 rates'!$E:$F,2,0)))</f>
        <v>0</v>
      </c>
      <c r="KC105" s="409"/>
      <c r="KD105" s="398">
        <f>IF(KC105=0,0,IF(LEN(JS105)=11,_xlfn.XLOOKUP(JS105,'Dispensed Ink Rates'!C:C,'Dispensed Ink Rates'!CS:CS),VLOOKUP(JS105,'Jan-2026 rates'!$E:$F,2,0)))</f>
        <v>0</v>
      </c>
      <c r="KE105" s="409"/>
      <c r="KF105" s="398">
        <f>IF(KE105=0,0,IF(LEN(JT105)=11,_xlfn.XLOOKUP(JT105,'Dispensed Ink Rates'!C:C,'Dispensed Ink Rates'!CS:CS),VLOOKUP(JT105,'Jan-2026 rates'!$E:$F,2,0)))</f>
        <v>0</v>
      </c>
      <c r="KG105" s="409"/>
      <c r="KH105" s="398">
        <f>IF(KG105=0,0,IF(LEN(JU105)=11,_xlfn.XLOOKUP(JU105,'Dispensed Ink Rates'!C:C,'Dispensed Ink Rates'!CS:CS),VLOOKUP(JU105,'Jan-2026 rates'!$E:$F,2,0)))</f>
        <v>0</v>
      </c>
      <c r="KI105" s="409"/>
      <c r="KJ105" s="398">
        <f>IF(KI105=0,0,IF(LEN(JV105)=11,_xlfn.XLOOKUP(JV105,'Dispensed Ink Rates'!C:C,'Dispensed Ink Rates'!CS:CS),VLOOKUP(JV105,'Jan-2026 rates'!$E:$F,2,0)))</f>
        <v>0</v>
      </c>
      <c r="KK105" s="409"/>
      <c r="KL105" s="398">
        <f>IF(KK105=0,0,IF(LEN(JW105)=11,_xlfn.XLOOKUP(JW105,'Dispensed Ink Rates'!C:C,'Dispensed Ink Rates'!CS:CS),VLOOKUP(JW105,'Jan-2026 rates'!$E:$F,2,0)))</f>
        <v>0</v>
      </c>
      <c r="KM105" s="428"/>
      <c r="KN105" s="398">
        <f>IF(KM105=0,0,IF(LEN(JX105)=11,_xlfn.XLOOKUP(JX105,'Dispensed Ink Rates'!C:C,'Dispensed Ink Rates'!CS:CS),VLOOKUP(JX105,'Jan-2026 rates'!$E:$F,2,0)))</f>
        <v>0</v>
      </c>
      <c r="KO105" s="409"/>
      <c r="KP105" s="409"/>
      <c r="KQ105" s="411">
        <f t="shared" si="103"/>
        <v>0</v>
      </c>
      <c r="KR105" s="411">
        <f t="shared" si="104"/>
        <v>0</v>
      </c>
      <c r="KS105" s="410">
        <f t="shared" si="105"/>
        <v>0</v>
      </c>
      <c r="KT105" s="409">
        <v>5</v>
      </c>
      <c r="KU105" s="409">
        <v>10</v>
      </c>
      <c r="KV105" s="409">
        <v>10</v>
      </c>
      <c r="KW105" s="409">
        <v>2</v>
      </c>
      <c r="KX105" s="409">
        <v>3</v>
      </c>
      <c r="KY105" s="409">
        <v>2</v>
      </c>
      <c r="KZ105" s="409">
        <f>25+15</f>
        <v>40</v>
      </c>
      <c r="LA105" s="409">
        <v>0</v>
      </c>
      <c r="LB105" s="415">
        <v>0.8</v>
      </c>
      <c r="LC105" s="415">
        <v>0.2</v>
      </c>
      <c r="LD105" s="415"/>
      <c r="LE105" s="415"/>
      <c r="LF105" s="415"/>
      <c r="LG105" s="409">
        <v>0</v>
      </c>
      <c r="LH105" s="409">
        <f>50+30+40+10+5+4</f>
        <v>139</v>
      </c>
      <c r="LI105" s="409">
        <v>0</v>
      </c>
      <c r="LJ105" s="409">
        <v>0</v>
      </c>
      <c r="LK105" s="416">
        <f t="shared" si="61"/>
        <v>139</v>
      </c>
      <c r="LL105" s="416">
        <f t="shared" si="62"/>
        <v>139</v>
      </c>
      <c r="LM105" s="417">
        <f t="shared" si="63"/>
        <v>111.2</v>
      </c>
      <c r="LN105" s="417">
        <f>VLOOKUP($LM$8,'Jan-2026 rates'!$H:$I,2,0)</f>
        <v>0</v>
      </c>
      <c r="LO105" s="417">
        <f t="shared" si="64"/>
        <v>27.8</v>
      </c>
      <c r="LP105" s="417">
        <f>VLOOKUP($LO$8,'Jan-2026 rates'!$H:$I,2,0)</f>
        <v>0</v>
      </c>
      <c r="LQ105" s="417">
        <f t="shared" si="65"/>
        <v>0</v>
      </c>
      <c r="LR105" s="417">
        <f>VLOOKUP($LQ$8,'Jan-2026 rates'!$H:$I,2,0)</f>
        <v>0</v>
      </c>
      <c r="LS105" s="417">
        <f t="shared" si="66"/>
        <v>0</v>
      </c>
      <c r="LT105" s="417">
        <f>VLOOKUP($LS$8,'Jan-2026 rates'!$H:$I,2,0)</f>
        <v>0</v>
      </c>
      <c r="LU105" s="417">
        <f t="shared" si="67"/>
        <v>0</v>
      </c>
      <c r="LV105" s="417">
        <f>VLOOKUP($LU$8,'Jan-2026 rates'!$H:$I,2,0)</f>
        <v>0</v>
      </c>
      <c r="LW105" s="417">
        <f t="shared" si="68"/>
        <v>0</v>
      </c>
      <c r="LX105" s="417">
        <f t="shared" si="69"/>
        <v>0</v>
      </c>
      <c r="LY105" s="418">
        <f t="shared" si="70"/>
        <v>0</v>
      </c>
      <c r="LZ105" s="417"/>
      <c r="MA105" s="435">
        <f t="shared" si="71"/>
        <v>119.1</v>
      </c>
      <c r="MB105" s="282">
        <f t="shared" si="72"/>
        <v>231.10000000000002</v>
      </c>
      <c r="MC105" s="283">
        <v>60</v>
      </c>
      <c r="MD105" s="284" t="str">
        <f t="shared" si="73"/>
        <v>FLINTSLFLINTSLFLINTSLFLINTSLFLINTSLFLINTSLFLINTSL</v>
      </c>
      <c r="ME105" s="293" t="str">
        <f t="shared" si="74"/>
        <v>+</v>
      </c>
      <c r="MF105" s="293" t="str">
        <f t="shared" si="75"/>
        <v>+</v>
      </c>
      <c r="MG105" s="293" t="str">
        <f t="shared" si="76"/>
        <v>+</v>
      </c>
      <c r="MH105" s="293" t="str">
        <f t="shared" si="77"/>
        <v>+</v>
      </c>
      <c r="MI105" s="293" t="str">
        <f t="shared" si="78"/>
        <v>+</v>
      </c>
      <c r="MJ105" s="293" t="str">
        <f t="shared" si="79"/>
        <v>+</v>
      </c>
      <c r="MK105" s="293" t="str">
        <f t="shared" si="80"/>
        <v>+</v>
      </c>
      <c r="ML105" s="293" t="str">
        <f t="shared" si="81"/>
        <v>NIL</v>
      </c>
      <c r="MM105" s="3" t="b">
        <f t="array" ref="MM105">OR(ME105:ML105="-")</f>
        <v>0</v>
      </c>
      <c r="MN105" s="285"/>
      <c r="MO105" s="401"/>
      <c r="MP105" s="286"/>
      <c r="MQ105" s="286"/>
      <c r="MR105" s="402"/>
      <c r="MS105" s="400"/>
      <c r="NH105" s="422"/>
      <c r="NJ105" s="421"/>
    </row>
    <row r="106" spans="1:374" s="1" customFormat="1" ht="16.5">
      <c r="A106" s="403">
        <v>46031</v>
      </c>
      <c r="B106" s="404" t="s">
        <v>1015</v>
      </c>
      <c r="C106" s="405" t="s">
        <v>3203</v>
      </c>
      <c r="D106" s="406">
        <v>61</v>
      </c>
      <c r="E106" s="404">
        <v>544</v>
      </c>
      <c r="F106" s="407">
        <v>25700</v>
      </c>
      <c r="G106" s="407" t="s">
        <v>1019</v>
      </c>
      <c r="H106" s="408" t="s">
        <v>1017</v>
      </c>
      <c r="I106" s="409">
        <v>2.23</v>
      </c>
      <c r="J106" s="405" t="s">
        <v>543</v>
      </c>
      <c r="K106" s="404" t="s">
        <v>3198</v>
      </c>
      <c r="L106" s="419" t="str">
        <f t="shared" si="54"/>
        <v>FLINTSL - BLACK</v>
      </c>
      <c r="M106" s="404">
        <v>21</v>
      </c>
      <c r="N106" s="410">
        <f>IF(M106=0,0,IF($LB106=70%,VLOOKUP($L106,'Jan-2026 rates'!$L:$R,4,0),IF($LB106=65%,VLOOKUP($L106,'Jan-2026 rates'!$L:$R,4,0),IF($LB106=40%,VLOOKUP($L106,'Jan-2026 rates'!$L:$R,5,0),IF($LB106=30%,VLOOKUP($L106,'Jan-2026 rates'!$L:$R,6,0),IF($LB106=100%,VLOOKUP($L106,'Jan-2026 rates'!$L:$R,7,0),IF($LB106=60%,VLOOKUP($L106,'Jan-2026 rates'!$L:$S,8,0),IF($LB106=80%,VLOOKUP($L106,'Jan-2026 rates'!L:T,9,0),0))))))))</f>
        <v>0</v>
      </c>
      <c r="O106" s="406"/>
      <c r="P106" s="404"/>
      <c r="Q106" s="410">
        <f>IF(P106=0,0,IF($LB106=70%,VLOOKUP($L106,'Jan-2026 rates'!$L:$R,4,0),IF($LB106=65%,VLOOKUP($L106,'Jan-2026 rates'!$L:$R,4,0),IF($LB106=40%,VLOOKUP($L106,'Jan-2026 rates'!$L:$R,5,0),IF($LB106=30%,VLOOKUP($L106,'Jan-2026 rates'!$L:$R,6,0),IF($LB106=100%,VLOOKUP($L106,'Jan-2026 rates'!$L:$R,7,0),IF($LB106=60%,VLOOKUP($L106,'Jan-2026 rates'!$L:$S,8,0),IF($LB106=80%,VLOOKUP($L106,'Jan-2026 rates'!L:T,9,0),0))))))))</f>
        <v>0</v>
      </c>
      <c r="R106" s="406" t="s">
        <v>1266</v>
      </c>
      <c r="S106" s="406"/>
      <c r="T106" s="406"/>
      <c r="U106" s="406"/>
      <c r="V106" s="406"/>
      <c r="W106" s="406"/>
      <c r="X106" s="406"/>
      <c r="Y106" s="406"/>
      <c r="Z106" s="404">
        <v>4</v>
      </c>
      <c r="AA106" s="398">
        <f>IF(Z106=0,0,IF(LEN(R106)=11,_xlfn.XLOOKUP(R106,'Dispensed Ink Rates'!C:C,'Dispensed Ink Rates'!CS:CS),VLOOKUP(R106,'Jan-2026 rates'!$E:$F,2,0)))</f>
        <v>0</v>
      </c>
      <c r="AB106" s="404"/>
      <c r="AC106" s="398">
        <f>IF(AB106=0,0,IF(LEN(S106)=11,_xlfn.XLOOKUP(S106,'Dispensed Ink Rates'!C:C,'Dispensed Ink Rates'!CS:CS),VLOOKUP(S106,'Jan-2026 rates'!$E:$F,2,0)))</f>
        <v>0</v>
      </c>
      <c r="AD106" s="404"/>
      <c r="AE106" s="398">
        <f>IF(AD106=0,0,IF(LEN(T106)=11,_xlfn.XLOOKUP(T106,'Dispensed Ink Rates'!C:C,'Dispensed Ink Rates'!CS:CS),VLOOKUP(T106,'Jan-2026 rates'!$E:$F,2,0)))</f>
        <v>0</v>
      </c>
      <c r="AF106" s="404"/>
      <c r="AG106" s="398">
        <f>IF(AF106=0,0,IF(LEN(U106)=11,_xlfn.XLOOKUP(U106,'Dispensed Ink Rates'!C:C,'Dispensed Ink Rates'!CS:CS),VLOOKUP(U106,'Jan-2026 rates'!$E:$F,2,0)))</f>
        <v>0</v>
      </c>
      <c r="AH106" s="404"/>
      <c r="AI106" s="398">
        <f>IF(AH106=0,0,IF(LEN(V106)=11,_xlfn.XLOOKUP(V106,'Dispensed Ink Rates'!C:C,'Dispensed Ink Rates'!CS:CS),VLOOKUP(V106,'Jan-2026 rates'!$E:$F,2,0)))</f>
        <v>0</v>
      </c>
      <c r="AJ106" s="404"/>
      <c r="AK106" s="398">
        <f>IF(AJ106=0,0,IF(LEN(W106)=11,_xlfn.XLOOKUP(W106,'Dispensed Ink Rates'!C:C,'Dispensed Ink Rates'!CS:CS),VLOOKUP(W106,'Jan-2026 rates'!$E:$F,2,0)))</f>
        <v>0</v>
      </c>
      <c r="AL106" s="404"/>
      <c r="AM106" s="398">
        <f>IF(AL106=0,0,IF(LEN(X106)=11,_xlfn.XLOOKUP(X106,'Dispensed Ink Rates'!C:C,'Dispensed Ink Rates'!CS:CS),VLOOKUP(X106,'Jan-2026 rates'!$E:$F,2,0)))</f>
        <v>0</v>
      </c>
      <c r="AN106" s="404"/>
      <c r="AO106" s="398">
        <f>IF(AN106=0,0,IF(LEN(Y106)=11,_xlfn.XLOOKUP(Y106,'Dispensed Ink Rates'!C:C,'Dispensed Ink Rates'!CS:CS),VLOOKUP(Y106,'Jan-2026 rates'!$E:$F,2,0)))</f>
        <v>0</v>
      </c>
      <c r="AP106" s="409" t="s">
        <v>1443</v>
      </c>
      <c r="AQ106" s="409">
        <v>24</v>
      </c>
      <c r="AR106" s="410">
        <f t="shared" si="82"/>
        <v>0</v>
      </c>
      <c r="AS106" s="411">
        <f t="shared" si="83"/>
        <v>11.582524271844662</v>
      </c>
      <c r="AT106" s="410">
        <f t="shared" si="84"/>
        <v>0</v>
      </c>
      <c r="AU106" s="405" t="s">
        <v>857</v>
      </c>
      <c r="AV106" s="409" t="s">
        <v>3204</v>
      </c>
      <c r="AW106" s="420" t="str">
        <f t="shared" si="53"/>
        <v>FLINTSL - RED</v>
      </c>
      <c r="AX106" s="409">
        <v>26</v>
      </c>
      <c r="AY106" s="411">
        <f>IF(AX106=0,0,IF($LB106=70%,VLOOKUP($AW106,'Jan-2026 rates'!$L:$R,4,0),IF($LB106=65%,VLOOKUP($AW106,'Jan-2026 rates'!$L:$R,4,0),IF($LB106=40%,VLOOKUP($AW106,'Jan-2026 rates'!$L:$R,5,0),IF($LB106=30%,VLOOKUP($AW106,'Jan-2026 rates'!$L:$R,6,0),IF($LB106=100%,VLOOKUP($AW106,'Jan-2026 rates'!$L:$R,7,0),IF($LB106=60%,VLOOKUP($AW106,'Jan-2026 rates'!$L:$S,8,0),IF($LB106=80%,VLOOKUP($AW106,'Jan-2026 rates'!L:T,9,0),0))))))))</f>
        <v>0</v>
      </c>
      <c r="AZ106" s="412"/>
      <c r="BA106" s="409"/>
      <c r="BB106" s="411">
        <f>IF(BA106=0,0,IF($LB106=70%,VLOOKUP($AW106,'Jan-2026 rates'!$L:$R,4,0),IF($LB106=65%,VLOOKUP($AW106,'Jan-2026 rates'!$L:$R,4,0),IF($LB106=40%,VLOOKUP($AW106,'Jan-2026 rates'!$L:$R,5,0),IF($LB106=30%,VLOOKUP($AW106,'Jan-2026 rates'!$L:$R,6,0),IF($LB106=100%,VLOOKUP($AW106,'Jan-2026 rates'!$L:$R,7,0),IF($LB106=60%,VLOOKUP($AW106,'Jan-2026 rates'!$L:$S,8,0),IF($LB106=80%,VLOOKUP($AW106,'Jan-2026 rates'!L:T,9,0),0))))))))</f>
        <v>0</v>
      </c>
      <c r="BC106" s="413">
        <v>25863000007</v>
      </c>
      <c r="BD106" s="412">
        <v>26509000014</v>
      </c>
      <c r="BE106" s="412"/>
      <c r="BF106" s="413"/>
      <c r="BG106" s="412"/>
      <c r="BH106" s="412"/>
      <c r="BI106" s="412"/>
      <c r="BJ106" s="412"/>
      <c r="BK106" s="409">
        <v>5</v>
      </c>
      <c r="BL106" s="398" t="e">
        <f>IF(BK106=0,0,IF(LEN(BC106)=11,_xlfn.XLOOKUP(BC106,'Dispensed Ink Rates'!C:C,'Dispensed Ink Rates'!CS:CS),VLOOKUP(BC106,'Jan-2026 rates'!$E:$F,2,0)))</f>
        <v>#N/A</v>
      </c>
      <c r="BM106" s="409">
        <v>40</v>
      </c>
      <c r="BN106" s="398" t="e">
        <f>IF(BM106=0,0,IF(LEN(BD106)=11,_xlfn.XLOOKUP(BD106,'Dispensed Ink Rates'!C:C,'Dispensed Ink Rates'!CS:CS),VLOOKUP(BD106,'Jan-2026 rates'!$E:$F,2,0)))</f>
        <v>#N/A</v>
      </c>
      <c r="BO106" s="409"/>
      <c r="BP106" s="398">
        <f>IF(BO106=0,0,IF(LEN(BE106)=11,_xlfn.XLOOKUP(BE106,'Dispensed Ink Rates'!C:C,'Dispensed Ink Rates'!CS:CS),VLOOKUP(BE106,'Jan-2026 rates'!$E:$F,2,0)))</f>
        <v>0</v>
      </c>
      <c r="BQ106" s="409"/>
      <c r="BR106" s="398">
        <f>IF(BQ106=0,0,IF(LEN(BF106)=11,_xlfn.XLOOKUP(BF106,'Dispensed Ink Rates'!C:C,'Dispensed Ink Rates'!CS:CS),VLOOKUP(BF106,'Jan-2026 rates'!$E:$F,2,0)))</f>
        <v>0</v>
      </c>
      <c r="BS106" s="409"/>
      <c r="BT106" s="398">
        <f>IF(BS106=0,0,IF(LEN(BG106)=11,_xlfn.XLOOKUP(BG106,'Dispensed Ink Rates'!C:C,'Dispensed Ink Rates'!CS:CS),VLOOKUP(BG106,'Jan-2026 rates'!$E:$F,2,0)))</f>
        <v>0</v>
      </c>
      <c r="BU106" s="409"/>
      <c r="BV106" s="398">
        <f>IF(BU106=0,0,IF(LEN(BH106)=11,_xlfn.XLOOKUP(BH106,'Dispensed Ink Rates'!C:C,'Dispensed Ink Rates'!CS:CS),VLOOKUP(BH106,'Jan-2026 rates'!$E:$F,2,0)))</f>
        <v>0</v>
      </c>
      <c r="BW106" s="409"/>
      <c r="BX106" s="398">
        <f>IF(BW106=0,0,IF(LEN(BI106)=11,_xlfn.XLOOKUP(BI106,'Dispensed Ink Rates'!C:C,'Dispensed Ink Rates'!CS:CS),VLOOKUP(BI106,'Jan-2026 rates'!$E:$F,2,0)))</f>
        <v>0</v>
      </c>
      <c r="BY106" s="409"/>
      <c r="BZ106" s="398">
        <f>IF(BY106=0,0,IF(LEN(BJ106)=11,_xlfn.XLOOKUP(BJ106,'Dispensed Ink Rates'!C:C,'Dispensed Ink Rates'!CS:CS),VLOOKUP(BJ106,'Jan-2026 rates'!$E:$F,2,0)))</f>
        <v>0</v>
      </c>
      <c r="CA106" s="409" t="s">
        <v>1443</v>
      </c>
      <c r="CB106" s="409">
        <v>27</v>
      </c>
      <c r="CC106" s="411">
        <f t="shared" si="85"/>
        <v>0</v>
      </c>
      <c r="CD106" s="411">
        <f t="shared" si="86"/>
        <v>50.349514563106794</v>
      </c>
      <c r="CE106" s="410">
        <f t="shared" si="87"/>
        <v>0</v>
      </c>
      <c r="CF106" s="404" t="s">
        <v>857</v>
      </c>
      <c r="CG106" s="409"/>
      <c r="CH106" s="420" t="str">
        <f t="shared" si="55"/>
        <v>FLINTSL - RED</v>
      </c>
      <c r="CI106" s="409"/>
      <c r="CJ106" s="411">
        <f>IF(CI106=0,0,IF($LB106=70%,VLOOKUP($CH106,'Jan-2026 rates'!$L:$R,4,0),IF($LB106=65%,VLOOKUP($CH106,'Jan-2026 rates'!$L:$R,4,0),IF($LB106=40%,VLOOKUP($CH106,'Jan-2026 rates'!$L:$R,5,0),IF($LB106=30%,VLOOKUP($CH106,'Jan-2026 rates'!$L:$R,6,0),IF($LB106=100%,VLOOKUP($CH106,'Jan-2026 rates'!$L:$R,7,0),IF($LB106=60%,VLOOKUP($CH106,'Jan-2026 rates'!$L:$S,8,0),IF($LB106=80%,VLOOKUP($CH106,'Jan-2026 rates'!L:T,9,0),0))))))))</f>
        <v>0</v>
      </c>
      <c r="CK106" s="412"/>
      <c r="CL106" s="409"/>
      <c r="CM106" s="411">
        <f>IF(CL106=0,0,IF($LB106=70%,VLOOKUP($CH106,'Jan-2026 rates'!$L:$R,4,0),IF($LB106=65%,VLOOKUP($CH106,'Jan-2026 rates'!$L:$R,4,0),IF($LB106=40%,VLOOKUP($CH106,'Jan-2026 rates'!$L:$R,5,0),IF($LB106=30%,VLOOKUP($CH106,'Jan-2026 rates'!$L:$R,6,0),IF($LB106=100%,VLOOKUP($CH106,'Jan-2026 rates'!$L:$R,7,0),IF($LB106=60%,VLOOKUP($CH106,'Jan-2026 rates'!$L:$S,8,0),IF($LB106=80%,VLOOKUP($CH106,'Jan-2026 rates'!L:T,9,0),0))))))))</f>
        <v>0</v>
      </c>
      <c r="CN106" s="426">
        <v>26509000018</v>
      </c>
      <c r="CO106" s="427">
        <v>26509000019</v>
      </c>
      <c r="CP106" s="426">
        <v>26509000010</v>
      </c>
      <c r="CQ106" s="426">
        <v>26508000011</v>
      </c>
      <c r="CR106" s="428"/>
      <c r="CS106" s="428"/>
      <c r="CT106" s="428"/>
      <c r="CU106" s="428"/>
      <c r="CV106" s="409">
        <v>40</v>
      </c>
      <c r="CW106" s="398" t="e">
        <f>IF(CV106=0,0,IF(LEN(CN106)=11,_xlfn.XLOOKUP(CN106,'Dispensed Ink Rates'!C:C,'Dispensed Ink Rates'!CS:CS),VLOOKUP(CN106,'Jan-2026 rates'!$E:$F,2,0)))</f>
        <v>#N/A</v>
      </c>
      <c r="CX106" s="409">
        <v>25</v>
      </c>
      <c r="CY106" s="398" t="e">
        <f>IF(CX106=0,0,IF(LEN(CO106)=11,_xlfn.XLOOKUP(CO106,'Dispensed Ink Rates'!C:C,'Dispensed Ink Rates'!CS:CS),VLOOKUP(CO106,'Jan-2026 rates'!$E:$F,2,0)))</f>
        <v>#N/A</v>
      </c>
      <c r="CZ106" s="409">
        <v>20</v>
      </c>
      <c r="DA106" s="398" t="e">
        <f>IF(CZ106=0,0,IF(LEN(CP106)=11,_xlfn.XLOOKUP(CP106,'Dispensed Ink Rates'!C:C,'Dispensed Ink Rates'!CS:CS),VLOOKUP(CP106,'Jan-2026 rates'!$E:$F,2,0)))</f>
        <v>#N/A</v>
      </c>
      <c r="DB106" s="409">
        <v>4</v>
      </c>
      <c r="DC106" s="398" t="e">
        <f>IF(DB106=0,0,IF(LEN(CQ106)=11,_xlfn.XLOOKUP(CQ106,'Dispensed Ink Rates'!C:C,'Dispensed Ink Rates'!CS:CS),VLOOKUP(CQ106,'Jan-2026 rates'!$E:$F,2,0)))</f>
        <v>#N/A</v>
      </c>
      <c r="DD106" s="409"/>
      <c r="DE106" s="398">
        <f>IF(DD106=0,0,IF(LEN(CR106)=11,_xlfn.XLOOKUP(CR106,'Dispensed Ink Rates'!C:C,'Dispensed Ink Rates'!CS:CS),VLOOKUP(CR106,'Jan-2026 rates'!$E:$F,2,0)))</f>
        <v>0</v>
      </c>
      <c r="DF106" s="409"/>
      <c r="DG106" s="398">
        <f>IF(DF106=0,0,IF(LEN(CS106)=11,_xlfn.XLOOKUP(CS106,'Dispensed Ink Rates'!C:C,'Dispensed Ink Rates'!CS:CS),VLOOKUP(CS106,'Jan-2026 rates'!$E:$F,2,0)))</f>
        <v>0</v>
      </c>
      <c r="DH106" s="409"/>
      <c r="DI106" s="398">
        <f>IF(DH106=0,0,IF(LEN(CT106)=11,_xlfn.XLOOKUP(CT106,'Dispensed Ink Rates'!C:C,'Dispensed Ink Rates'!CS:CS),VLOOKUP(CT106,'Jan-2026 rates'!$E:$F,2,0)))</f>
        <v>0</v>
      </c>
      <c r="DJ106" s="409"/>
      <c r="DK106" s="398">
        <f>IF(DJ106=0,0,IF(LEN(CU106)=11,_xlfn.XLOOKUP(CU106,'Dispensed Ink Rates'!C:C,'Dispensed Ink Rates'!CS:CS),VLOOKUP(CU106,'Jan-2026 rates'!$E:$F,2,0)))</f>
        <v>0</v>
      </c>
      <c r="DL106" s="409" t="s">
        <v>1443</v>
      </c>
      <c r="DM106" s="409">
        <v>30</v>
      </c>
      <c r="DN106" s="411">
        <f t="shared" si="88"/>
        <v>0</v>
      </c>
      <c r="DO106" s="411">
        <f t="shared" si="89"/>
        <v>80.165048543689323</v>
      </c>
      <c r="DP106" s="410">
        <f t="shared" si="90"/>
        <v>0</v>
      </c>
      <c r="DQ106" s="405" t="s">
        <v>545</v>
      </c>
      <c r="DR106" s="409"/>
      <c r="DS106" s="420" t="str">
        <f t="shared" si="56"/>
        <v>FLINTSL - YELLOW</v>
      </c>
      <c r="DT106" s="409"/>
      <c r="DU106" s="411">
        <f>IF(DT106=0,0,IF($LB106=70%,VLOOKUP($DS106,'Jan-2026 rates'!$L:$R,4,0),IF($LB106=65%,VLOOKUP($DS106,'Jan-2026 rates'!$L:$R,4,0),IF($LB106=40%,VLOOKUP($DS106,'Jan-2026 rates'!$L:$R,5,0),IF($LB106=30%,VLOOKUP($DS106,'Jan-2026 rates'!$L:$R,6,0),IF($LB106=100%,VLOOKUP($DS106,'Jan-2026 rates'!$L:$R,7,0),IF($LB106=60%,VLOOKUP($DS106,'Jan-2026 rates'!$L:$S,8,0),IF($LB106=80%,VLOOKUP($DS106,'Jan-2026 rates'!L:T,9,0),0))))))))</f>
        <v>0</v>
      </c>
      <c r="DV106" s="412"/>
      <c r="DW106" s="409"/>
      <c r="DX106" s="411">
        <f>IF(DW106=0,0,IF($LB106=70%,VLOOKUP($DS106,'Jan-2026 rates'!$L:$R,4,0),IF($LB106=65%,VLOOKUP($DS106,'Jan-2026 rates'!$L:$R,4,0),IF($LB106=40%,VLOOKUP($DS106,'Jan-2026 rates'!$L:$R,5,0),IF($LB106=30%,VLOOKUP($DS106,'Jan-2026 rates'!$L:$R,6,0),IF($LB106=100%,VLOOKUP($DS106,'Jan-2026 rates'!$L:$R,7,0),IF($LB106=60%,VLOOKUP($DS106,'Jan-2026 rates'!$L:$S,8,0),IF($LB106=80%,VLOOKUP($DS106,'Jan-2026 rates'!L:T,9,0),0))))))))</f>
        <v>0</v>
      </c>
      <c r="DY106" s="413">
        <v>26508000024</v>
      </c>
      <c r="DZ106" s="413" t="s">
        <v>1266</v>
      </c>
      <c r="EA106" s="412"/>
      <c r="EB106" s="412"/>
      <c r="EC106" s="412"/>
      <c r="ED106" s="412"/>
      <c r="EE106" s="412"/>
      <c r="EF106" s="412"/>
      <c r="EG106" s="409">
        <f>20+4</f>
        <v>24</v>
      </c>
      <c r="EH106" s="398" t="e">
        <f>IF(EG106=0,0,IF(LEN(DY106)=11,_xlfn.XLOOKUP(DY106,'Dispensed Ink Rates'!C:C,'Dispensed Ink Rates'!CS:CS),VLOOKUP(DY106,'Jan-2026 rates'!$E:$F,2,0)))</f>
        <v>#N/A</v>
      </c>
      <c r="EI106" s="409">
        <v>5</v>
      </c>
      <c r="EJ106" s="398">
        <f>IF(EI106=0,0,IF(LEN(DZ106)=11,_xlfn.XLOOKUP(DZ106,'Dispensed Ink Rates'!C:C,'Dispensed Ink Rates'!CS:CS),VLOOKUP(DZ106,'Jan-2026 rates'!$E:$F,2,0)))</f>
        <v>0</v>
      </c>
      <c r="EK106" s="409"/>
      <c r="EL106" s="398">
        <f>IF(EK106=0,0,IF(LEN(EA106)=11,_xlfn.XLOOKUP(EA106,'Dispensed Ink Rates'!C:C,'Dispensed Ink Rates'!CS:CS),VLOOKUP(EA106,'Jan-2026 rates'!$E:$F,2,0)))</f>
        <v>0</v>
      </c>
      <c r="EM106" s="409"/>
      <c r="EN106" s="398">
        <f>IF(EM106=0,0,IF(LEN(EB106)=11,_xlfn.XLOOKUP(EB106,'Dispensed Ink Rates'!C:C,'Dispensed Ink Rates'!CS:CS),VLOOKUP(EB106,'Jan-2026 rates'!$E:$F,2,0)))</f>
        <v>0</v>
      </c>
      <c r="EO106" s="409"/>
      <c r="EP106" s="398">
        <f>IF(EO106=0,0,IF(LEN(EC106)=11,_xlfn.XLOOKUP(EC106,'Dispensed Ink Rates'!C:C,'Dispensed Ink Rates'!CS:CS),VLOOKUP(EC106,'Jan-2026 rates'!$E:$F,2,0)))</f>
        <v>0</v>
      </c>
      <c r="EQ106" s="409"/>
      <c r="ER106" s="398">
        <f>IF(EQ106=0,0,IF(LEN(ED106)=11,_xlfn.XLOOKUP(ED106,'Dispensed Ink Rates'!C:C,'Dispensed Ink Rates'!CS:CS),VLOOKUP(ED106,'Jan-2026 rates'!$E:$F,2,0)))</f>
        <v>0</v>
      </c>
      <c r="ES106" s="409"/>
      <c r="ET106" s="398">
        <f>IF(ES106=0,0,IF(LEN(EE106)=11,_xlfn.XLOOKUP(EE106,'Dispensed Ink Rates'!C:C,'Dispensed Ink Rates'!CS:CS),VLOOKUP(EE106,'Jan-2026 rates'!$E:$F,2,0)))</f>
        <v>0</v>
      </c>
      <c r="EU106" s="409"/>
      <c r="EV106" s="398">
        <f>IF(EU106=0,0,IF(LEN(EF106)=11,_xlfn.XLOOKUP(EF106,'Dispensed Ink Rates'!C:C,'Dispensed Ink Rates'!CS:CS),VLOOKUP(EF106,'Jan-2026 rates'!$E:$F,2,0)))</f>
        <v>0</v>
      </c>
      <c r="EW106" s="409" t="s">
        <v>1443</v>
      </c>
      <c r="EX106" s="409">
        <v>24</v>
      </c>
      <c r="EY106" s="411">
        <f t="shared" si="91"/>
        <v>0</v>
      </c>
      <c r="EZ106" s="411">
        <f t="shared" si="92"/>
        <v>36.747572815533978</v>
      </c>
      <c r="FA106" s="410">
        <f t="shared" si="93"/>
        <v>0</v>
      </c>
      <c r="FB106" s="405" t="s">
        <v>544</v>
      </c>
      <c r="FC106" s="409" t="s">
        <v>3205</v>
      </c>
      <c r="FD106" s="420" t="str">
        <f t="shared" si="57"/>
        <v>FLINTSL - MAGENTA</v>
      </c>
      <c r="FE106" s="409">
        <v>24</v>
      </c>
      <c r="FF106" s="411">
        <f>IF(FE106=0,0,IF($LB106=70%,VLOOKUP($FD106,'Jan-2026 rates'!$L:$R,4,0),IF($LB106=65%,VLOOKUP($FD106,'Jan-2026 rates'!$L:$R,4,0),IF($LB106=40%,VLOOKUP($FD106,'Jan-2026 rates'!$L:$R,5,0),IF($LB106=30%,VLOOKUP($FD106,'Jan-2026 rates'!$L:$R,6,0),IF($LB106=100%,VLOOKUP($FD106,'Jan-2026 rates'!$L:$R,7,0),IF($LB106=60%,VLOOKUP($FD106,'Jan-2026 rates'!$L:$S,8,0),IF($LB106=80%,VLOOKUP($FD106,'Jan-2026 rates'!L:T,9,0),0))))))))</f>
        <v>0</v>
      </c>
      <c r="FG106" s="412"/>
      <c r="FH106" s="409"/>
      <c r="FI106" s="411">
        <f>IF(FH106=0,0,IF($LB106=70%,VLOOKUP($FD106,'Jan-2026 rates'!$L:$R,4,0),IF($LB106=65%,VLOOKUP($FD106,'Jan-2026 rates'!$L:$R,4,0),IF($LB106=40%,VLOOKUP($FD106,'Jan-2026 rates'!$L:$R,5,0),IF($LB106=30%,VLOOKUP($FD106,'Jan-2026 rates'!$L:$R,6,0),IF($LB106=100%,VLOOKUP($FD106,'Jan-2026 rates'!$L:$R,7,0),IF($LB106=60%,VLOOKUP($FD106,'Jan-2026 rates'!$L:$S,8,0),IF($LB106=80%,VLOOKUP($FD106,'Jan-2026 rates'!L:T,9,0),0))))))))</f>
        <v>0</v>
      </c>
      <c r="FJ106" s="413" t="s">
        <v>1266</v>
      </c>
      <c r="FK106" s="413">
        <v>26512000010</v>
      </c>
      <c r="FL106" s="413"/>
      <c r="FM106" s="412"/>
      <c r="FN106" s="412"/>
      <c r="FO106" s="412"/>
      <c r="FP106" s="412"/>
      <c r="FQ106" s="412"/>
      <c r="FR106" s="409">
        <v>4</v>
      </c>
      <c r="FS106" s="398">
        <f>IF(FR106=0,0,IF(LEN(FJ106)=11,_xlfn.XLOOKUP(FJ106,'Dispensed Ink Rates'!C:C,'Dispensed Ink Rates'!CS:CS),VLOOKUP(FJ106,'Jan-2026 rates'!$E:$F,2,0)))</f>
        <v>0</v>
      </c>
      <c r="FT106" s="409">
        <v>2</v>
      </c>
      <c r="FU106" s="398" t="e">
        <f>IF(FT106=0,0,IF(LEN(FK106)=11,_xlfn.XLOOKUP(FK106,'Dispensed Ink Rates'!C:C,'Dispensed Ink Rates'!CS:CS),VLOOKUP(FK106,'Jan-2026 rates'!$E:$F,2,0)))</f>
        <v>#N/A</v>
      </c>
      <c r="FV106" s="409"/>
      <c r="FW106" s="398">
        <f>IF(FV106=0,0,IF(LEN(FL106)=11,_xlfn.XLOOKUP(FL106,'Dispensed Ink Rates'!C:C,'Dispensed Ink Rates'!CS:CS),VLOOKUP(FL106,'Jan-2026 rates'!$E:$F,2,0)))</f>
        <v>0</v>
      </c>
      <c r="FX106" s="409"/>
      <c r="FY106" s="398">
        <f>IF(FX106=0,0,IF(LEN(FM106)=11,_xlfn.XLOOKUP(FM106,'Dispensed Ink Rates'!C:C,'Dispensed Ink Rates'!CS:CS),VLOOKUP(FM106,'Jan-2026 rates'!$E:$F,2,0)))</f>
        <v>0</v>
      </c>
      <c r="FZ106" s="409"/>
      <c r="GA106" s="398">
        <f>IF(FZ106=0,0,IF(LEN(FN106)=11,_xlfn.XLOOKUP(FN106,'Dispensed Ink Rates'!C:C,'Dispensed Ink Rates'!CS:CS),VLOOKUP(FN106,'Jan-2026 rates'!$E:$F,2,0)))</f>
        <v>0</v>
      </c>
      <c r="GB106" s="409"/>
      <c r="GC106" s="398">
        <f>IF(GB106=0,0,IF(LEN(FO106)=11,_xlfn.XLOOKUP(FO106,'Dispensed Ink Rates'!C:C,'Dispensed Ink Rates'!CS:CS),VLOOKUP(FO106,'Jan-2026 rates'!$E:$F,2,0)))</f>
        <v>0</v>
      </c>
      <c r="GD106" s="409"/>
      <c r="GE106" s="398">
        <f>IF(GD106=0,0,IF(LEN(FP106)=11,_xlfn.XLOOKUP(FP106,'Dispensed Ink Rates'!C:C,'Dispensed Ink Rates'!CS:CS),VLOOKUP(FP106,'Jan-2026 rates'!$E:$F,2,0)))</f>
        <v>0</v>
      </c>
      <c r="GF106" s="409"/>
      <c r="GG106" s="398">
        <f>IF(GF106=0,0,IF(LEN(FQ106)=11,_xlfn.XLOOKUP(FQ106,'Dispensed Ink Rates'!C:C,'Dispensed Ink Rates'!CS:CS),VLOOKUP(FQ106,'Jan-2026 rates'!$E:$F,2,0)))</f>
        <v>0</v>
      </c>
      <c r="GH106" s="409" t="s">
        <v>1443</v>
      </c>
      <c r="GI106" s="409">
        <v>30</v>
      </c>
      <c r="GJ106" s="411">
        <f t="shared" si="94"/>
        <v>0</v>
      </c>
      <c r="GK106" s="411">
        <f t="shared" si="95"/>
        <v>10.582524271844662</v>
      </c>
      <c r="GL106" s="410">
        <f t="shared" si="96"/>
        <v>0</v>
      </c>
      <c r="GM106" s="405" t="s">
        <v>545</v>
      </c>
      <c r="GN106" s="409" t="s">
        <v>3206</v>
      </c>
      <c r="GO106" s="420" t="str">
        <f t="shared" si="58"/>
        <v>FLINTSL - YELLOW</v>
      </c>
      <c r="GP106" s="409">
        <v>26</v>
      </c>
      <c r="GQ106" s="411">
        <f>IF(GP106=0,0,IF($LB106=70%,VLOOKUP($GO106,'Jan-2026 rates'!$L:$R,4,0),IF($LB106=65%,VLOOKUP($GO106,'Jan-2026 rates'!$L:$R,4,0),IF($LB106=40%,VLOOKUP($GO106,'Jan-2026 rates'!$L:$R,5,0),IF($LB106=30%,VLOOKUP($GO106,'Jan-2026 rates'!$L:$R,6,0),IF($LB106=100%,VLOOKUP($GO106,'Jan-2026 rates'!$L:$R,7,0),IF($LB106=60%,VLOOKUP($GO106,'Jan-2026 rates'!$L:$S,8,0),IF($LB106=80%,VLOOKUP($GO106,'Jan-2026 rates'!L:T,9,0),0))))))))</f>
        <v>0</v>
      </c>
      <c r="GR106" s="412"/>
      <c r="GS106" s="409"/>
      <c r="GT106" s="411">
        <f>IF(GS106=0,0,IF($LB106=70%,VLOOKUP($GO106,'Jan-2026 rates'!$L:$R,4,0),IF($LB106=65%,VLOOKUP($GO106,'Jan-2026 rates'!$L:$R,4,0),IF($LB106=40%,VLOOKUP($GO106,'Jan-2026 rates'!$L:$R,5,0),IF($LB106=30%,VLOOKUP($GO106,'Jan-2026 rates'!$L:$R,6,0),IF($LB106=100%,VLOOKUP($GO106,'Jan-2026 rates'!$L:$R,7,0),IF($LB106=60%,VLOOKUP($GO106,'Jan-2026 rates'!$L:$S,8,0),IF($LB106=80%,VLOOKUP($GO106,'Jan-2026 rates'!L:T,9,0),0))))))))</f>
        <v>0</v>
      </c>
      <c r="GU106" s="413">
        <v>26508000029</v>
      </c>
      <c r="GV106" s="413"/>
      <c r="GW106" s="412"/>
      <c r="GX106" s="412"/>
      <c r="GY106" s="412"/>
      <c r="GZ106" s="412"/>
      <c r="HA106" s="412"/>
      <c r="HB106" s="412"/>
      <c r="HC106" s="409">
        <v>10</v>
      </c>
      <c r="HD106" s="398" t="e">
        <f>IF(HC106=0,0,IF(LEN(GU106)=11,_xlfn.XLOOKUP(GU106,'Dispensed Ink Rates'!C:C,'Dispensed Ink Rates'!CS:CS),VLOOKUP(GU106,'Jan-2026 rates'!$E:$F,2,0)))</f>
        <v>#N/A</v>
      </c>
      <c r="HE106" s="409"/>
      <c r="HF106" s="398">
        <f>IF(HE106=0,0,IF(LEN(GV106)=11,_xlfn.XLOOKUP(GV106,'Dispensed Ink Rates'!C:C,'Dispensed Ink Rates'!CS:CS),VLOOKUP(GV106,'Jan-2026 rates'!$E:$F,2,0)))</f>
        <v>0</v>
      </c>
      <c r="HG106" s="409"/>
      <c r="HH106" s="398">
        <f>IF(HG106=0,0,IF(LEN(GW106)=11,_xlfn.XLOOKUP(GW106,'Dispensed Ink Rates'!C:C,'Dispensed Ink Rates'!CS:CS),VLOOKUP(GW106,'Jan-2026 rates'!$E:$F,2,0)))</f>
        <v>0</v>
      </c>
      <c r="HI106" s="409"/>
      <c r="HJ106" s="398">
        <f>IF(HI106=0,0,IF(LEN(GX106)=11,_xlfn.XLOOKUP(GX106,'Dispensed Ink Rates'!C:C,'Dispensed Ink Rates'!CS:CS),VLOOKUP(GX106,'Jan-2026 rates'!$E:$F,2,0)))</f>
        <v>0</v>
      </c>
      <c r="HK106" s="409"/>
      <c r="HL106" s="398">
        <f>IF(HK106=0,0,IF(LEN(GY106)=11,_xlfn.XLOOKUP(GY106,'Dispensed Ink Rates'!C:C,'Dispensed Ink Rates'!CS:CS),VLOOKUP(GY106,'Jan-2026 rates'!$E:$F,2,0)))</f>
        <v>0</v>
      </c>
      <c r="HM106" s="409"/>
      <c r="HN106" s="398">
        <f>IF(HM106=0,0,IF(LEN(GZ106)=11,_xlfn.XLOOKUP(GZ106,'Dispensed Ink Rates'!C:C,'Dispensed Ink Rates'!CS:CS),VLOOKUP(GZ106,'Jan-2026 rates'!$E:$F,2,0)))</f>
        <v>0</v>
      </c>
      <c r="HO106" s="409"/>
      <c r="HP106" s="398">
        <f>IF(HO106=0,0,IF(LEN(HA106)=11,_xlfn.XLOOKUP(HA106,'Dispensed Ink Rates'!C:C,'Dispensed Ink Rates'!CS:CS),VLOOKUP(HA106,'Jan-2026 rates'!$E:$F,2,0)))</f>
        <v>0</v>
      </c>
      <c r="HQ106" s="409"/>
      <c r="HR106" s="398">
        <f>IF(HQ106=0,0,IF(LEN(HB106)=11,_xlfn.XLOOKUP(HB106,'Dispensed Ink Rates'!C:C,'Dispensed Ink Rates'!CS:CS),VLOOKUP(HB106,'Jan-2026 rates'!$E:$F,2,0)))</f>
        <v>0</v>
      </c>
      <c r="HS106" s="409" t="s">
        <v>1443</v>
      </c>
      <c r="HT106" s="409">
        <v>28</v>
      </c>
      <c r="HU106" s="411">
        <f t="shared" si="97"/>
        <v>0</v>
      </c>
      <c r="HV106" s="411">
        <f t="shared" si="98"/>
        <v>18.582524271844662</v>
      </c>
      <c r="HW106" s="414">
        <f t="shared" si="99"/>
        <v>0</v>
      </c>
      <c r="HX106" s="405" t="s">
        <v>856</v>
      </c>
      <c r="HY106" s="409" t="s">
        <v>3207</v>
      </c>
      <c r="HZ106" s="420" t="str">
        <f t="shared" si="59"/>
        <v>FLINTSL - WHITE</v>
      </c>
      <c r="IA106" s="409">
        <v>30</v>
      </c>
      <c r="IB106" s="411">
        <f>IF(IA106=0,0,IF($LB106=70%,VLOOKUP($HZ106,'Jan-2026 rates'!$L:$R,4,0),IF($LB106=65%,VLOOKUP($HZ106,'Jan-2026 rates'!$L:$R,4,0),IF($LB106=40%,VLOOKUP($HZ106,'Jan-2026 rates'!$L:$R,5,0),IF($LB106=30%,VLOOKUP($HZ106,'Jan-2026 rates'!$L:$R,6,0),IF($LB106=100%,VLOOKUP($HZ106,'Jan-2026 rates'!$L:$R,7,0),IF($LB106=60%,VLOOKUP($HZ106,'Jan-2026 rates'!$L:$S,8,0),IF($LB106=80%,VLOOKUP($HZ106,'Jan-2026 rates'!L:T,9,0),0))))))))</f>
        <v>0</v>
      </c>
      <c r="IC106" s="412"/>
      <c r="ID106" s="409"/>
      <c r="IE106" s="411">
        <f>IF(ID106=0,0,IF($LB106=70%,VLOOKUP($HZ106,'Jan-2026 rates'!$L:$R,4,0),IF($LB106=65%,VLOOKUP($HZ106,'Jan-2026 rates'!$L:$R,4,0),IF($LB106=40%,VLOOKUP($HZ106,'Jan-2026 rates'!$L:$R,5,0),IF($LB106=30%,VLOOKUP($HZ106,'Jan-2026 rates'!$L:$R,6,0),IF($LB106=100%,VLOOKUP($HZ106,'Jan-2026 rates'!$L:$R,7,0),IF($LB106=60%,VLOOKUP($HZ106,'Jan-2026 rates'!$L:$S,8,0),IF($LB106=80%,VLOOKUP($HZ106,'Jan-2026 rates'!L:T,9,0),0))))))))</f>
        <v>0</v>
      </c>
      <c r="IF106" s="412" t="s">
        <v>484</v>
      </c>
      <c r="IG106" s="413"/>
      <c r="IH106" s="412"/>
      <c r="II106" s="412"/>
      <c r="IJ106" s="412"/>
      <c r="IK106" s="412"/>
      <c r="IL106" s="412"/>
      <c r="IM106" s="412"/>
      <c r="IN106" s="409">
        <v>100</v>
      </c>
      <c r="IO106" s="398">
        <f>IF(IN106=0,0,IF(LEN(IF106)=11,_xlfn.XLOOKUP(IF106,'Dispensed Ink Rates'!C:C,'Dispensed Ink Rates'!CS:CS),VLOOKUP(IF106,'Jan-2026 rates'!$E:$F,2,0)))</f>
        <v>0</v>
      </c>
      <c r="IP106" s="409"/>
      <c r="IQ106" s="398">
        <f>IF(IP106=0,0,IF(LEN(IG106)=11,_xlfn.XLOOKUP(IG106,'Dispensed Ink Rates'!C:C,'Dispensed Ink Rates'!CS:CS),VLOOKUP(IG106,'Jan-2026 rates'!$E:$F,2,0)))</f>
        <v>0</v>
      </c>
      <c r="IR106" s="409"/>
      <c r="IS106" s="398">
        <f>IF(IR106=0,0,IF(LEN(IH106)=11,_xlfn.XLOOKUP(IH106,'Dispensed Ink Rates'!C:C,'Dispensed Ink Rates'!CS:CS),VLOOKUP(IH106,'Jan-2026 rates'!$E:$F,2,0)))</f>
        <v>0</v>
      </c>
      <c r="IT106" s="409"/>
      <c r="IU106" s="398">
        <f>IF(IT106=0,0,IF(LEN(II106)=11,_xlfn.XLOOKUP(II106,'Dispensed Ink Rates'!C:C,'Dispensed Ink Rates'!CS:CS),VLOOKUP(II106,'Jan-2026 rates'!$E:$F,2,0)))</f>
        <v>0</v>
      </c>
      <c r="IV106" s="409"/>
      <c r="IW106" s="398">
        <f>IF(IV106=0,0,IF(LEN(IJ106)=11,_xlfn.XLOOKUP(IJ106,'Dispensed Ink Rates'!C:C,'Dispensed Ink Rates'!CS:CS),VLOOKUP(IJ106,'Jan-2026 rates'!$E:$F,2,0)))</f>
        <v>0</v>
      </c>
      <c r="IX106" s="409"/>
      <c r="IY106" s="398">
        <f>IF(IX106=0,0,IF(LEN(IK106)=11,_xlfn.XLOOKUP(IK106,'Dispensed Ink Rates'!C:C,'Dispensed Ink Rates'!CS:CS),VLOOKUP(IK106,'Jan-2026 rates'!$E:$F,2,0)))</f>
        <v>0</v>
      </c>
      <c r="IZ106" s="409"/>
      <c r="JA106" s="398">
        <f>IF(IZ106=0,0,IF(LEN(IL106)=11,_xlfn.XLOOKUP(IL106,'Dispensed Ink Rates'!C:C,'Dispensed Ink Rates'!CS:CS),VLOOKUP(IL106,'Jan-2026 rates'!$E:$F,2,0)))</f>
        <v>0</v>
      </c>
      <c r="JB106" s="409"/>
      <c r="JC106" s="398">
        <f>IF(JB106=0,0,IF(LEN(IM106)=11,_xlfn.XLOOKUP(IM106,'Dispensed Ink Rates'!C:C,'Dispensed Ink Rates'!CS:CS),VLOOKUP(IM106,'Jan-2026 rates'!$E:$F,2,0)))</f>
        <v>0</v>
      </c>
      <c r="JD106" s="409" t="s">
        <v>1443</v>
      </c>
      <c r="JE106" s="409">
        <v>30</v>
      </c>
      <c r="JF106" s="411">
        <f t="shared" si="100"/>
        <v>0</v>
      </c>
      <c r="JG106" s="411">
        <f t="shared" si="101"/>
        <v>226.99029126213588</v>
      </c>
      <c r="JH106" s="410">
        <f t="shared" si="102"/>
        <v>0</v>
      </c>
      <c r="JI106" s="405"/>
      <c r="JJ106" s="409"/>
      <c r="JK106" s="420" t="str">
        <f t="shared" si="60"/>
        <v xml:space="preserve"> - </v>
      </c>
      <c r="JL106" s="409"/>
      <c r="JM106" s="411">
        <f>IF(JL106=0,0,IF($LB106=70%,VLOOKUP($JK106,'Jan-2026 rates'!$L:$R,4,0),IF($LB106=65%,VLOOKUP($JK106,'Jan-2026 rates'!$L:$R,4,0),IF($LB106=40%,VLOOKUP($JK106,'Jan-2026 rates'!$L:$R,5,0),IF($LB106=30%,VLOOKUP($JK106,'Jan-2026 rates'!$L:$R,6,0),IF($LB106=100%,VLOOKUP($JK106,'Jan-2026 rates'!$L:$R,7,0),IF($LB106=60%,VLOOKUP($JK106,'Jan-2026 rates'!$L:$S,8,0),IF($LB106=80%,VLOOKUP($JK106,'Jan-2026 rates'!L:T,9,0),0))))))))</f>
        <v>0</v>
      </c>
      <c r="JN106" s="412"/>
      <c r="JO106" s="409"/>
      <c r="JP106" s="411">
        <f>IF(JO106=0,0,IF($LB106=70%,VLOOKUP($JK106,'Jan-2026 rates'!$L:$R,4,0),IF($LB106=65%,VLOOKUP($JK106,'Jan-2026 rates'!$L:$R,4,0),IF($LB106=40%,VLOOKUP($JK106,'Jan-2026 rates'!$L:$R,5,0),IF($LB106=30%,VLOOKUP($JK106,'Jan-2026 rates'!$L:$R,6,0),IF($LB106=100%,VLOOKUP($JK106,'Jan-2026 rates'!$L:$R,7,0),IF($LB106=60%,VLOOKUP($JK106,'Jan-2026 rates'!$L:$S,8,0),IF($LB106=80%,VLOOKUP($JK106,'Jan-2026 rates'!L:T,9,0),0))))))))</f>
        <v>0</v>
      </c>
      <c r="JQ106" s="413"/>
      <c r="JR106" s="412"/>
      <c r="JS106" s="413"/>
      <c r="JT106" s="413"/>
      <c r="JU106" s="412"/>
      <c r="JV106" s="412"/>
      <c r="JW106" s="412"/>
      <c r="JX106" s="412"/>
      <c r="JY106" s="409"/>
      <c r="JZ106" s="398">
        <f>IF(JY106=0,0,IF(LEN(JQ106)=11,_xlfn.XLOOKUP(JQ106,'Dispensed Ink Rates'!C:C,'Dispensed Ink Rates'!CS:CS),VLOOKUP(JQ106,'Jan-2026 rates'!$E:$F,2,0)))</f>
        <v>0</v>
      </c>
      <c r="KA106" s="409"/>
      <c r="KB106" s="398">
        <f>IF(KA106=0,0,IF(LEN(JR106)=11,_xlfn.XLOOKUP(JR106,'Dispensed Ink Rates'!C:C,'Dispensed Ink Rates'!CS:CS),VLOOKUP(JR106,'Jan-2026 rates'!$E:$F,2,0)))</f>
        <v>0</v>
      </c>
      <c r="KC106" s="409"/>
      <c r="KD106" s="398">
        <f>IF(KC106=0,0,IF(LEN(JS106)=11,_xlfn.XLOOKUP(JS106,'Dispensed Ink Rates'!C:C,'Dispensed Ink Rates'!CS:CS),VLOOKUP(JS106,'Jan-2026 rates'!$E:$F,2,0)))</f>
        <v>0</v>
      </c>
      <c r="KE106" s="409"/>
      <c r="KF106" s="398">
        <f>IF(KE106=0,0,IF(LEN(JT106)=11,_xlfn.XLOOKUP(JT106,'Dispensed Ink Rates'!C:C,'Dispensed Ink Rates'!CS:CS),VLOOKUP(JT106,'Jan-2026 rates'!$E:$F,2,0)))</f>
        <v>0</v>
      </c>
      <c r="KG106" s="409"/>
      <c r="KH106" s="398">
        <f>IF(KG106=0,0,IF(LEN(JU106)=11,_xlfn.XLOOKUP(JU106,'Dispensed Ink Rates'!C:C,'Dispensed Ink Rates'!CS:CS),VLOOKUP(JU106,'Jan-2026 rates'!$E:$F,2,0)))</f>
        <v>0</v>
      </c>
      <c r="KI106" s="409"/>
      <c r="KJ106" s="398">
        <f>IF(KI106=0,0,IF(LEN(JV106)=11,_xlfn.XLOOKUP(JV106,'Dispensed Ink Rates'!C:C,'Dispensed Ink Rates'!CS:CS),VLOOKUP(JV106,'Jan-2026 rates'!$E:$F,2,0)))</f>
        <v>0</v>
      </c>
      <c r="KK106" s="409"/>
      <c r="KL106" s="398">
        <f>IF(KK106=0,0,IF(LEN(JW106)=11,_xlfn.XLOOKUP(JW106,'Dispensed Ink Rates'!C:C,'Dispensed Ink Rates'!CS:CS),VLOOKUP(JW106,'Jan-2026 rates'!$E:$F,2,0)))</f>
        <v>0</v>
      </c>
      <c r="KM106" s="428"/>
      <c r="KN106" s="398">
        <f>IF(KM106=0,0,IF(LEN(JX106)=11,_xlfn.XLOOKUP(JX106,'Dispensed Ink Rates'!C:C,'Dispensed Ink Rates'!CS:CS),VLOOKUP(JX106,'Jan-2026 rates'!$E:$F,2,0)))</f>
        <v>0</v>
      </c>
      <c r="KO106" s="409"/>
      <c r="KP106" s="409"/>
      <c r="KQ106" s="411">
        <f t="shared" si="103"/>
        <v>0</v>
      </c>
      <c r="KR106" s="411">
        <f t="shared" si="104"/>
        <v>0</v>
      </c>
      <c r="KS106" s="410">
        <f t="shared" si="105"/>
        <v>0</v>
      </c>
      <c r="KT106" s="409">
        <v>5</v>
      </c>
      <c r="KU106" s="409">
        <v>3</v>
      </c>
      <c r="KV106" s="409">
        <v>10</v>
      </c>
      <c r="KW106" s="409">
        <v>15</v>
      </c>
      <c r="KX106" s="409">
        <v>5</v>
      </c>
      <c r="KY106" s="409">
        <v>5</v>
      </c>
      <c r="KZ106" s="409">
        <v>60</v>
      </c>
      <c r="LA106" s="409">
        <v>0</v>
      </c>
      <c r="LB106" s="415">
        <v>0.8</v>
      </c>
      <c r="LC106" s="415">
        <v>0.2</v>
      </c>
      <c r="LD106" s="415"/>
      <c r="LE106" s="415"/>
      <c r="LF106" s="415"/>
      <c r="LG106" s="409">
        <v>0</v>
      </c>
      <c r="LH106" s="409">
        <f>70+40+80+20+5+3</f>
        <v>218</v>
      </c>
      <c r="LI106" s="409">
        <v>0</v>
      </c>
      <c r="LJ106" s="409">
        <v>0</v>
      </c>
      <c r="LK106" s="416">
        <f t="shared" si="61"/>
        <v>218</v>
      </c>
      <c r="LL106" s="416">
        <f t="shared" si="62"/>
        <v>218</v>
      </c>
      <c r="LM106" s="417">
        <f t="shared" si="63"/>
        <v>174.4</v>
      </c>
      <c r="LN106" s="417">
        <f>VLOOKUP($LM$8,'Jan-2026 rates'!$H:$I,2,0)</f>
        <v>0</v>
      </c>
      <c r="LO106" s="417">
        <f t="shared" si="64"/>
        <v>43.6</v>
      </c>
      <c r="LP106" s="417">
        <f>VLOOKUP($LO$8,'Jan-2026 rates'!$H:$I,2,0)</f>
        <v>0</v>
      </c>
      <c r="LQ106" s="417">
        <f t="shared" si="65"/>
        <v>0</v>
      </c>
      <c r="LR106" s="417">
        <f>VLOOKUP($LQ$8,'Jan-2026 rates'!$H:$I,2,0)</f>
        <v>0</v>
      </c>
      <c r="LS106" s="417">
        <f t="shared" si="66"/>
        <v>0</v>
      </c>
      <c r="LT106" s="417">
        <f>VLOOKUP($LS$8,'Jan-2026 rates'!$H:$I,2,0)</f>
        <v>0</v>
      </c>
      <c r="LU106" s="417">
        <f t="shared" si="67"/>
        <v>0</v>
      </c>
      <c r="LV106" s="417">
        <f>VLOOKUP($LU$8,'Jan-2026 rates'!$H:$I,2,0)</f>
        <v>0</v>
      </c>
      <c r="LW106" s="417">
        <f t="shared" si="68"/>
        <v>0</v>
      </c>
      <c r="LX106" s="417">
        <f t="shared" si="69"/>
        <v>0</v>
      </c>
      <c r="LY106" s="418">
        <f t="shared" si="70"/>
        <v>0</v>
      </c>
      <c r="LZ106" s="417"/>
      <c r="MA106" s="435">
        <f t="shared" si="71"/>
        <v>283</v>
      </c>
      <c r="MB106" s="282">
        <f t="shared" si="72"/>
        <v>434.99999999999994</v>
      </c>
      <c r="MC106" s="283">
        <v>61</v>
      </c>
      <c r="MD106" s="284" t="str">
        <f t="shared" si="73"/>
        <v>FLINTSLFLINTSLFLINTSLFLINTSLFLINTSLFLINTSLFLINTSL</v>
      </c>
      <c r="ME106" s="293" t="str">
        <f t="shared" si="74"/>
        <v>+</v>
      </c>
      <c r="MF106" s="293" t="str">
        <f t="shared" si="75"/>
        <v>+</v>
      </c>
      <c r="MG106" s="293" t="str">
        <f t="shared" si="76"/>
        <v>+</v>
      </c>
      <c r="MH106" s="293" t="str">
        <f t="shared" si="77"/>
        <v>+</v>
      </c>
      <c r="MI106" s="293" t="str">
        <f t="shared" si="78"/>
        <v>+</v>
      </c>
      <c r="MJ106" s="293" t="str">
        <f t="shared" si="79"/>
        <v>+</v>
      </c>
      <c r="MK106" s="293" t="str">
        <f t="shared" si="80"/>
        <v>+</v>
      </c>
      <c r="ML106" s="293" t="str">
        <f t="shared" si="81"/>
        <v>NIL</v>
      </c>
      <c r="MM106" s="3" t="b">
        <f t="array" ref="MM106">OR(ME106:ML106="-")</f>
        <v>0</v>
      </c>
      <c r="MN106" s="285"/>
      <c r="MO106" s="401"/>
      <c r="MP106" s="286"/>
      <c r="MQ106" s="286"/>
      <c r="MR106" s="402"/>
      <c r="MS106" s="400"/>
      <c r="NH106" s="422"/>
      <c r="NJ106" s="421"/>
    </row>
    <row r="107" spans="1:374" s="1" customFormat="1" ht="16.5">
      <c r="A107" s="403">
        <v>46031</v>
      </c>
      <c r="B107" s="404" t="s">
        <v>1018</v>
      </c>
      <c r="C107" s="405" t="s">
        <v>3208</v>
      </c>
      <c r="D107" s="406">
        <v>62</v>
      </c>
      <c r="E107" s="404">
        <v>974</v>
      </c>
      <c r="F107" s="407">
        <v>48400</v>
      </c>
      <c r="G107" s="407" t="s">
        <v>1019</v>
      </c>
      <c r="H107" s="408" t="s">
        <v>1017</v>
      </c>
      <c r="I107" s="409">
        <v>1.85</v>
      </c>
      <c r="J107" s="405" t="s">
        <v>543</v>
      </c>
      <c r="K107" s="404" t="s">
        <v>3209</v>
      </c>
      <c r="L107" s="419" t="str">
        <f t="shared" si="54"/>
        <v>FLINTSL - BLACK</v>
      </c>
      <c r="M107" s="404">
        <v>24</v>
      </c>
      <c r="N107" s="410">
        <f>IF(M107=0,0,IF($LB107=70%,VLOOKUP($L107,'Jan-2026 rates'!$L:$R,4,0),IF($LB107=65%,VLOOKUP($L107,'Jan-2026 rates'!$L:$R,4,0),IF($LB107=40%,VLOOKUP($L107,'Jan-2026 rates'!$L:$R,5,0),IF($LB107=30%,VLOOKUP($L107,'Jan-2026 rates'!$L:$R,6,0),IF($LB107=100%,VLOOKUP($L107,'Jan-2026 rates'!$L:$R,7,0),IF($LB107=60%,VLOOKUP($L107,'Jan-2026 rates'!$L:$S,8,0),IF($LB107=80%,VLOOKUP($L107,'Jan-2026 rates'!L:T,9,0),0))))))))</f>
        <v>0</v>
      </c>
      <c r="O107" s="406"/>
      <c r="P107" s="404"/>
      <c r="Q107" s="410">
        <f>IF(P107=0,0,IF($LB107=70%,VLOOKUP($L107,'Jan-2026 rates'!$L:$R,4,0),IF($LB107=65%,VLOOKUP($L107,'Jan-2026 rates'!$L:$R,4,0),IF($LB107=40%,VLOOKUP($L107,'Jan-2026 rates'!$L:$R,5,0),IF($LB107=30%,VLOOKUP($L107,'Jan-2026 rates'!$L:$R,6,0),IF($LB107=100%,VLOOKUP($L107,'Jan-2026 rates'!$L:$R,7,0),IF($LB107=60%,VLOOKUP($L107,'Jan-2026 rates'!$L:$S,8,0),IF($LB107=80%,VLOOKUP($L107,'Jan-2026 rates'!L:T,9,0),0))))))))</f>
        <v>0</v>
      </c>
      <c r="R107" s="406">
        <v>26507000010</v>
      </c>
      <c r="S107" s="406"/>
      <c r="T107" s="406"/>
      <c r="U107" s="406"/>
      <c r="V107" s="406"/>
      <c r="W107" s="406"/>
      <c r="X107" s="406"/>
      <c r="Y107" s="406"/>
      <c r="Z107" s="404">
        <v>4</v>
      </c>
      <c r="AA107" s="398" t="e">
        <f>IF(Z107=0,0,IF(LEN(R107)=11,_xlfn.XLOOKUP(R107,'Dispensed Ink Rates'!C:C,'Dispensed Ink Rates'!CS:CS),VLOOKUP(R107,'Jan-2026 rates'!$E:$F,2,0)))</f>
        <v>#N/A</v>
      </c>
      <c r="AB107" s="404"/>
      <c r="AC107" s="398">
        <f>IF(AB107=0,0,IF(LEN(S107)=11,_xlfn.XLOOKUP(S107,'Dispensed Ink Rates'!C:C,'Dispensed Ink Rates'!CS:CS),VLOOKUP(S107,'Jan-2026 rates'!$E:$F,2,0)))</f>
        <v>0</v>
      </c>
      <c r="AD107" s="404"/>
      <c r="AE107" s="398">
        <f>IF(AD107=0,0,IF(LEN(T107)=11,_xlfn.XLOOKUP(T107,'Dispensed Ink Rates'!C:C,'Dispensed Ink Rates'!CS:CS),VLOOKUP(T107,'Jan-2026 rates'!$E:$F,2,0)))</f>
        <v>0</v>
      </c>
      <c r="AF107" s="404"/>
      <c r="AG107" s="398">
        <f>IF(AF107=0,0,IF(LEN(U107)=11,_xlfn.XLOOKUP(U107,'Dispensed Ink Rates'!C:C,'Dispensed Ink Rates'!CS:CS),VLOOKUP(U107,'Jan-2026 rates'!$E:$F,2,0)))</f>
        <v>0</v>
      </c>
      <c r="AH107" s="404"/>
      <c r="AI107" s="398">
        <f>IF(AH107=0,0,IF(LEN(V107)=11,_xlfn.XLOOKUP(V107,'Dispensed Ink Rates'!C:C,'Dispensed Ink Rates'!CS:CS),VLOOKUP(V107,'Jan-2026 rates'!$E:$F,2,0)))</f>
        <v>0</v>
      </c>
      <c r="AJ107" s="404"/>
      <c r="AK107" s="398">
        <f>IF(AJ107=0,0,IF(LEN(W107)=11,_xlfn.XLOOKUP(W107,'Dispensed Ink Rates'!C:C,'Dispensed Ink Rates'!CS:CS),VLOOKUP(W107,'Jan-2026 rates'!$E:$F,2,0)))</f>
        <v>0</v>
      </c>
      <c r="AL107" s="404"/>
      <c r="AM107" s="398">
        <f>IF(AL107=0,0,IF(LEN(X107)=11,_xlfn.XLOOKUP(X107,'Dispensed Ink Rates'!C:C,'Dispensed Ink Rates'!CS:CS),VLOOKUP(X107,'Jan-2026 rates'!$E:$F,2,0)))</f>
        <v>0</v>
      </c>
      <c r="AN107" s="404"/>
      <c r="AO107" s="398">
        <f>IF(AN107=0,0,IF(LEN(Y107)=11,_xlfn.XLOOKUP(Y107,'Dispensed Ink Rates'!C:C,'Dispensed Ink Rates'!CS:CS),VLOOKUP(Y107,'Jan-2026 rates'!$E:$F,2,0)))</f>
        <v>0</v>
      </c>
      <c r="AP107" s="409" t="s">
        <v>1443</v>
      </c>
      <c r="AQ107" s="409">
        <v>24</v>
      </c>
      <c r="AR107" s="410">
        <f t="shared" si="82"/>
        <v>0</v>
      </c>
      <c r="AS107" s="411">
        <f t="shared" si="83"/>
        <v>16.819548872180448</v>
      </c>
      <c r="AT107" s="410">
        <f t="shared" si="84"/>
        <v>0</v>
      </c>
      <c r="AU107" s="405" t="s">
        <v>857</v>
      </c>
      <c r="AV107" s="409" t="s">
        <v>3210</v>
      </c>
      <c r="AW107" s="420" t="str">
        <f t="shared" si="53"/>
        <v>FLINTSL - RED</v>
      </c>
      <c r="AX107" s="409">
        <v>27</v>
      </c>
      <c r="AY107" s="411">
        <f>IF(AX107=0,0,IF($LB107=70%,VLOOKUP($AW107,'Jan-2026 rates'!$L:$R,4,0),IF($LB107=65%,VLOOKUP($AW107,'Jan-2026 rates'!$L:$R,4,0),IF($LB107=40%,VLOOKUP($AW107,'Jan-2026 rates'!$L:$R,5,0),IF($LB107=30%,VLOOKUP($AW107,'Jan-2026 rates'!$L:$R,6,0),IF($LB107=100%,VLOOKUP($AW107,'Jan-2026 rates'!$L:$R,7,0),IF($LB107=60%,VLOOKUP($AW107,'Jan-2026 rates'!$L:$S,8,0),IF($LB107=80%,VLOOKUP($AW107,'Jan-2026 rates'!L:T,9,0),0))))))))</f>
        <v>0</v>
      </c>
      <c r="AZ107" s="412"/>
      <c r="BA107" s="409"/>
      <c r="BB107" s="411">
        <f>IF(BA107=0,0,IF($LB107=70%,VLOOKUP($AW107,'Jan-2026 rates'!$L:$R,4,0),IF($LB107=65%,VLOOKUP($AW107,'Jan-2026 rates'!$L:$R,4,0),IF($LB107=40%,VLOOKUP($AW107,'Jan-2026 rates'!$L:$R,5,0),IF($LB107=30%,VLOOKUP($AW107,'Jan-2026 rates'!$L:$R,6,0),IF($LB107=100%,VLOOKUP($AW107,'Jan-2026 rates'!$L:$R,7,0),IF($LB107=60%,VLOOKUP($AW107,'Jan-2026 rates'!$L:$S,8,0),IF($LB107=80%,VLOOKUP($AW107,'Jan-2026 rates'!L:T,9,0),0))))))))</f>
        <v>0</v>
      </c>
      <c r="BC107" s="413">
        <v>26505000002</v>
      </c>
      <c r="BD107" s="412" t="s">
        <v>1265</v>
      </c>
      <c r="BE107" s="412">
        <v>26509000011</v>
      </c>
      <c r="BF107" s="413"/>
      <c r="BG107" s="412"/>
      <c r="BH107" s="412"/>
      <c r="BI107" s="412"/>
      <c r="BJ107" s="412"/>
      <c r="BK107" s="409">
        <v>6</v>
      </c>
      <c r="BL107" s="398" t="e">
        <f>IF(BK107=0,0,IF(LEN(BC107)=11,_xlfn.XLOOKUP(BC107,'Dispensed Ink Rates'!C:C,'Dispensed Ink Rates'!CS:CS),VLOOKUP(BC107,'Jan-2026 rates'!$E:$F,2,0)))</f>
        <v>#N/A</v>
      </c>
      <c r="BM107" s="409">
        <v>2</v>
      </c>
      <c r="BN107" s="398">
        <f>IF(BM107=0,0,IF(LEN(BD107)=11,_xlfn.XLOOKUP(BD107,'Dispensed Ink Rates'!C:C,'Dispensed Ink Rates'!CS:CS),VLOOKUP(BD107,'Jan-2026 rates'!$E:$F,2,0)))</f>
        <v>0</v>
      </c>
      <c r="BO107" s="409">
        <v>23.8</v>
      </c>
      <c r="BP107" s="398" t="e">
        <f>IF(BO107=0,0,IF(LEN(BE107)=11,_xlfn.XLOOKUP(BE107,'Dispensed Ink Rates'!C:C,'Dispensed Ink Rates'!CS:CS),VLOOKUP(BE107,'Jan-2026 rates'!$E:$F,2,0)))</f>
        <v>#N/A</v>
      </c>
      <c r="BQ107" s="409"/>
      <c r="BR107" s="398">
        <f>IF(BQ107=0,0,IF(LEN(BF107)=11,_xlfn.XLOOKUP(BF107,'Dispensed Ink Rates'!C:C,'Dispensed Ink Rates'!CS:CS),VLOOKUP(BF107,'Jan-2026 rates'!$E:$F,2,0)))</f>
        <v>0</v>
      </c>
      <c r="BS107" s="409"/>
      <c r="BT107" s="398">
        <f>IF(BS107=0,0,IF(LEN(BG107)=11,_xlfn.XLOOKUP(BG107,'Dispensed Ink Rates'!C:C,'Dispensed Ink Rates'!CS:CS),VLOOKUP(BG107,'Jan-2026 rates'!$E:$F,2,0)))</f>
        <v>0</v>
      </c>
      <c r="BU107" s="409"/>
      <c r="BV107" s="398">
        <f>IF(BU107=0,0,IF(LEN(BH107)=11,_xlfn.XLOOKUP(BH107,'Dispensed Ink Rates'!C:C,'Dispensed Ink Rates'!CS:CS),VLOOKUP(BH107,'Jan-2026 rates'!$E:$F,2,0)))</f>
        <v>0</v>
      </c>
      <c r="BW107" s="409"/>
      <c r="BX107" s="398">
        <f>IF(BW107=0,0,IF(LEN(BI107)=11,_xlfn.XLOOKUP(BI107,'Dispensed Ink Rates'!C:C,'Dispensed Ink Rates'!CS:CS),VLOOKUP(BI107,'Jan-2026 rates'!$E:$F,2,0)))</f>
        <v>0</v>
      </c>
      <c r="BY107" s="409"/>
      <c r="BZ107" s="398">
        <f>IF(BY107=0,0,IF(LEN(BJ107)=11,_xlfn.XLOOKUP(BJ107,'Dispensed Ink Rates'!C:C,'Dispensed Ink Rates'!CS:CS),VLOOKUP(BJ107,'Jan-2026 rates'!$E:$F,2,0)))</f>
        <v>0</v>
      </c>
      <c r="CA107" s="409" t="s">
        <v>1443</v>
      </c>
      <c r="CB107" s="409">
        <v>27</v>
      </c>
      <c r="CC107" s="411">
        <f t="shared" si="85"/>
        <v>0</v>
      </c>
      <c r="CD107" s="411">
        <f t="shared" si="86"/>
        <v>44.619548872180445</v>
      </c>
      <c r="CE107" s="410">
        <f t="shared" si="87"/>
        <v>0</v>
      </c>
      <c r="CF107" s="404" t="s">
        <v>546</v>
      </c>
      <c r="CG107" s="409"/>
      <c r="CH107" s="420" t="str">
        <f t="shared" si="55"/>
        <v>FLINTSL - REFLEX BLUE</v>
      </c>
      <c r="CI107" s="409"/>
      <c r="CJ107" s="411">
        <f>IF(CI107=0,0,IF($LB107=70%,VLOOKUP($CH107,'Jan-2026 rates'!$L:$R,4,0),IF($LB107=65%,VLOOKUP($CH107,'Jan-2026 rates'!$L:$R,4,0),IF($LB107=40%,VLOOKUP($CH107,'Jan-2026 rates'!$L:$R,5,0),IF($LB107=30%,VLOOKUP($CH107,'Jan-2026 rates'!$L:$R,6,0),IF($LB107=100%,VLOOKUP($CH107,'Jan-2026 rates'!$L:$R,7,0),IF($LB107=60%,VLOOKUP($CH107,'Jan-2026 rates'!$L:$S,8,0),IF($LB107=80%,VLOOKUP($CH107,'Jan-2026 rates'!L:T,9,0),0))))))))</f>
        <v>0</v>
      </c>
      <c r="CK107" s="412"/>
      <c r="CL107" s="409"/>
      <c r="CM107" s="411">
        <f>IF(CL107=0,0,IF($LB107=70%,VLOOKUP($CH107,'Jan-2026 rates'!$L:$R,4,0),IF($LB107=65%,VLOOKUP($CH107,'Jan-2026 rates'!$L:$R,4,0),IF($LB107=40%,VLOOKUP($CH107,'Jan-2026 rates'!$L:$R,5,0),IF($LB107=30%,VLOOKUP($CH107,'Jan-2026 rates'!$L:$R,6,0),IF($LB107=100%,VLOOKUP($CH107,'Jan-2026 rates'!$L:$R,7,0),IF($LB107=60%,VLOOKUP($CH107,'Jan-2026 rates'!$L:$S,8,0),IF($LB107=80%,VLOOKUP($CH107,'Jan-2026 rates'!L:T,9,0),0))))))))</f>
        <v>0</v>
      </c>
      <c r="CN107" s="426">
        <v>26509000020</v>
      </c>
      <c r="CO107" s="427">
        <v>26509000021</v>
      </c>
      <c r="CP107" s="426">
        <v>26509000022</v>
      </c>
      <c r="CQ107" s="426">
        <v>26509000023</v>
      </c>
      <c r="CR107" s="428"/>
      <c r="CS107" s="428"/>
      <c r="CT107" s="428"/>
      <c r="CU107" s="428"/>
      <c r="CV107" s="409">
        <v>40</v>
      </c>
      <c r="CW107" s="398" t="e">
        <f>IF(CV107=0,0,IF(LEN(CN107)=11,_xlfn.XLOOKUP(CN107,'Dispensed Ink Rates'!C:C,'Dispensed Ink Rates'!CS:CS),VLOOKUP(CN107,'Jan-2026 rates'!$E:$F,2,0)))</f>
        <v>#N/A</v>
      </c>
      <c r="CX107" s="409">
        <v>30</v>
      </c>
      <c r="CY107" s="398" t="e">
        <f>IF(CX107=0,0,IF(LEN(CO107)=11,_xlfn.XLOOKUP(CO107,'Dispensed Ink Rates'!C:C,'Dispensed Ink Rates'!CS:CS),VLOOKUP(CO107,'Jan-2026 rates'!$E:$F,2,0)))</f>
        <v>#N/A</v>
      </c>
      <c r="CZ107" s="409">
        <v>30</v>
      </c>
      <c r="DA107" s="398" t="e">
        <f>IF(CZ107=0,0,IF(LEN(CP107)=11,_xlfn.XLOOKUP(CP107,'Dispensed Ink Rates'!C:C,'Dispensed Ink Rates'!CS:CS),VLOOKUP(CP107,'Jan-2026 rates'!$E:$F,2,0)))</f>
        <v>#N/A</v>
      </c>
      <c r="DB107" s="409">
        <v>10</v>
      </c>
      <c r="DC107" s="398" t="e">
        <f>IF(DB107=0,0,IF(LEN(CQ107)=11,_xlfn.XLOOKUP(CQ107,'Dispensed Ink Rates'!C:C,'Dispensed Ink Rates'!CS:CS),VLOOKUP(CQ107,'Jan-2026 rates'!$E:$F,2,0)))</f>
        <v>#N/A</v>
      </c>
      <c r="DD107" s="409"/>
      <c r="DE107" s="398">
        <f>IF(DD107=0,0,IF(LEN(CR107)=11,_xlfn.XLOOKUP(CR107,'Dispensed Ink Rates'!C:C,'Dispensed Ink Rates'!CS:CS),VLOOKUP(CR107,'Jan-2026 rates'!$E:$F,2,0)))</f>
        <v>0</v>
      </c>
      <c r="DF107" s="409"/>
      <c r="DG107" s="398">
        <f>IF(DF107=0,0,IF(LEN(CS107)=11,_xlfn.XLOOKUP(CS107,'Dispensed Ink Rates'!C:C,'Dispensed Ink Rates'!CS:CS),VLOOKUP(CS107,'Jan-2026 rates'!$E:$F,2,0)))</f>
        <v>0</v>
      </c>
      <c r="DH107" s="409"/>
      <c r="DI107" s="398">
        <f>IF(DH107=0,0,IF(LEN(CT107)=11,_xlfn.XLOOKUP(CT107,'Dispensed Ink Rates'!C:C,'Dispensed Ink Rates'!CS:CS),VLOOKUP(CT107,'Jan-2026 rates'!$E:$F,2,0)))</f>
        <v>0</v>
      </c>
      <c r="DJ107" s="409"/>
      <c r="DK107" s="398">
        <f>IF(DJ107=0,0,IF(LEN(CU107)=11,_xlfn.XLOOKUP(CU107,'Dispensed Ink Rates'!C:C,'Dispensed Ink Rates'!CS:CS),VLOOKUP(CU107,'Jan-2026 rates'!$E:$F,2,0)))</f>
        <v>0</v>
      </c>
      <c r="DL107" s="409" t="s">
        <v>1443</v>
      </c>
      <c r="DM107" s="409">
        <v>23</v>
      </c>
      <c r="DN107" s="411">
        <f t="shared" si="88"/>
        <v>0</v>
      </c>
      <c r="DO107" s="411">
        <f t="shared" si="89"/>
        <v>120.33082706766916</v>
      </c>
      <c r="DP107" s="410">
        <f t="shared" si="90"/>
        <v>0</v>
      </c>
      <c r="DQ107" s="405" t="s">
        <v>828</v>
      </c>
      <c r="DR107" s="409" t="s">
        <v>3211</v>
      </c>
      <c r="DS107" s="420" t="str">
        <f t="shared" si="56"/>
        <v>FLINTSL - ORANGE</v>
      </c>
      <c r="DT107" s="409">
        <v>24</v>
      </c>
      <c r="DU107" s="411">
        <f>IF(DT107=0,0,IF($LB107=70%,VLOOKUP($DS107,'Jan-2026 rates'!$L:$R,4,0),IF($LB107=65%,VLOOKUP($DS107,'Jan-2026 rates'!$L:$R,4,0),IF($LB107=40%,VLOOKUP($DS107,'Jan-2026 rates'!$L:$R,5,0),IF($LB107=30%,VLOOKUP($DS107,'Jan-2026 rates'!$L:$R,6,0),IF($LB107=100%,VLOOKUP($DS107,'Jan-2026 rates'!$L:$R,7,0),IF($LB107=60%,VLOOKUP($DS107,'Jan-2026 rates'!$L:$S,8,0),IF($LB107=80%,VLOOKUP($DS107,'Jan-2026 rates'!L:T,9,0),0))))))))</f>
        <v>0</v>
      </c>
      <c r="DV107" s="412"/>
      <c r="DW107" s="409"/>
      <c r="DX107" s="411">
        <f>IF(DW107=0,0,IF($LB107=70%,VLOOKUP($DS107,'Jan-2026 rates'!$L:$R,4,0),IF($LB107=65%,VLOOKUP($DS107,'Jan-2026 rates'!$L:$R,4,0),IF($LB107=40%,VLOOKUP($DS107,'Jan-2026 rates'!$L:$R,5,0),IF($LB107=30%,VLOOKUP($DS107,'Jan-2026 rates'!$L:$R,6,0),IF($LB107=100%,VLOOKUP($DS107,'Jan-2026 rates'!$L:$R,7,0),IF($LB107=60%,VLOOKUP($DS107,'Jan-2026 rates'!$L:$S,8,0),IF($LB107=80%,VLOOKUP($DS107,'Jan-2026 rates'!L:T,9,0),0))))))))</f>
        <v>0</v>
      </c>
      <c r="DY107" s="413">
        <v>25863000007</v>
      </c>
      <c r="DZ107" s="413">
        <v>26505000002</v>
      </c>
      <c r="EA107" s="412"/>
      <c r="EB107" s="412"/>
      <c r="EC107" s="412"/>
      <c r="ED107" s="412"/>
      <c r="EE107" s="412"/>
      <c r="EF107" s="412"/>
      <c r="EG107" s="409">
        <f>2+11</f>
        <v>13</v>
      </c>
      <c r="EH107" s="398" t="e">
        <f>IF(EG107=0,0,IF(LEN(DY107)=11,_xlfn.XLOOKUP(DY107,'Dispensed Ink Rates'!C:C,'Dispensed Ink Rates'!CS:CS),VLOOKUP(DY107,'Jan-2026 rates'!$E:$F,2,0)))</f>
        <v>#N/A</v>
      </c>
      <c r="EI107" s="409">
        <v>1</v>
      </c>
      <c r="EJ107" s="398" t="e">
        <f>IF(EI107=0,0,IF(LEN(DZ107)=11,_xlfn.XLOOKUP(DZ107,'Dispensed Ink Rates'!C:C,'Dispensed Ink Rates'!CS:CS),VLOOKUP(DZ107,'Jan-2026 rates'!$E:$F,2,0)))</f>
        <v>#N/A</v>
      </c>
      <c r="EK107" s="409"/>
      <c r="EL107" s="398">
        <f>IF(EK107=0,0,IF(LEN(EA107)=11,_xlfn.XLOOKUP(EA107,'Dispensed Ink Rates'!C:C,'Dispensed Ink Rates'!CS:CS),VLOOKUP(EA107,'Jan-2026 rates'!$E:$F,2,0)))</f>
        <v>0</v>
      </c>
      <c r="EM107" s="409"/>
      <c r="EN107" s="398">
        <f>IF(EM107=0,0,IF(LEN(EB107)=11,_xlfn.XLOOKUP(EB107,'Dispensed Ink Rates'!C:C,'Dispensed Ink Rates'!CS:CS),VLOOKUP(EB107,'Jan-2026 rates'!$E:$F,2,0)))</f>
        <v>0</v>
      </c>
      <c r="EO107" s="409"/>
      <c r="EP107" s="398">
        <f>IF(EO107=0,0,IF(LEN(EC107)=11,_xlfn.XLOOKUP(EC107,'Dispensed Ink Rates'!C:C,'Dispensed Ink Rates'!CS:CS),VLOOKUP(EC107,'Jan-2026 rates'!$E:$F,2,0)))</f>
        <v>0</v>
      </c>
      <c r="EQ107" s="409"/>
      <c r="ER107" s="398">
        <f>IF(EQ107=0,0,IF(LEN(ED107)=11,_xlfn.XLOOKUP(ED107,'Dispensed Ink Rates'!C:C,'Dispensed Ink Rates'!CS:CS),VLOOKUP(ED107,'Jan-2026 rates'!$E:$F,2,0)))</f>
        <v>0</v>
      </c>
      <c r="ES107" s="409"/>
      <c r="ET107" s="398">
        <f>IF(ES107=0,0,IF(LEN(EE107)=11,_xlfn.XLOOKUP(EE107,'Dispensed Ink Rates'!C:C,'Dispensed Ink Rates'!CS:CS),VLOOKUP(EE107,'Jan-2026 rates'!$E:$F,2,0)))</f>
        <v>0</v>
      </c>
      <c r="EU107" s="409"/>
      <c r="EV107" s="398">
        <f>IF(EU107=0,0,IF(LEN(EF107)=11,_xlfn.XLOOKUP(EF107,'Dispensed Ink Rates'!C:C,'Dispensed Ink Rates'!CS:CS),VLOOKUP(EF107,'Jan-2026 rates'!$E:$F,2,0)))</f>
        <v>0</v>
      </c>
      <c r="EW107" s="409" t="s">
        <v>1443</v>
      </c>
      <c r="EX107" s="409">
        <v>18</v>
      </c>
      <c r="EY107" s="411">
        <f t="shared" si="91"/>
        <v>0</v>
      </c>
      <c r="EZ107" s="411">
        <f t="shared" si="92"/>
        <v>32.819548872180448</v>
      </c>
      <c r="FA107" s="410">
        <f t="shared" si="93"/>
        <v>0</v>
      </c>
      <c r="FB107" s="405" t="s">
        <v>855</v>
      </c>
      <c r="FC107" s="409" t="s">
        <v>3212</v>
      </c>
      <c r="FD107" s="420" t="str">
        <f t="shared" si="57"/>
        <v>FLINTSL - CYAN</v>
      </c>
      <c r="FE107" s="409">
        <v>32</v>
      </c>
      <c r="FF107" s="411">
        <f>IF(FE107=0,0,IF($LB107=70%,VLOOKUP($FD107,'Jan-2026 rates'!$L:$R,4,0),IF($LB107=65%,VLOOKUP($FD107,'Jan-2026 rates'!$L:$R,4,0),IF($LB107=40%,VLOOKUP($FD107,'Jan-2026 rates'!$L:$R,5,0),IF($LB107=30%,VLOOKUP($FD107,'Jan-2026 rates'!$L:$R,6,0),IF($LB107=100%,VLOOKUP($FD107,'Jan-2026 rates'!$L:$R,7,0),IF($LB107=60%,VLOOKUP($FD107,'Jan-2026 rates'!$L:$S,8,0),IF($LB107=80%,VLOOKUP($FD107,'Jan-2026 rates'!L:T,9,0),0))))))))</f>
        <v>0</v>
      </c>
      <c r="FG107" s="412"/>
      <c r="FH107" s="409"/>
      <c r="FI107" s="411">
        <f>IF(FH107=0,0,IF($LB107=70%,VLOOKUP($FD107,'Jan-2026 rates'!$L:$R,4,0),IF($LB107=65%,VLOOKUP($FD107,'Jan-2026 rates'!$L:$R,4,0),IF($LB107=40%,VLOOKUP($FD107,'Jan-2026 rates'!$L:$R,5,0),IF($LB107=30%,VLOOKUP($FD107,'Jan-2026 rates'!$L:$R,6,0),IF($LB107=100%,VLOOKUP($FD107,'Jan-2026 rates'!$L:$R,7,0),IF($LB107=60%,VLOOKUP($FD107,'Jan-2026 rates'!$L:$S,8,0),IF($LB107=80%,VLOOKUP($FD107,'Jan-2026 rates'!L:T,9,0),0))))))))</f>
        <v>0</v>
      </c>
      <c r="FJ107" s="413" t="s">
        <v>1266</v>
      </c>
      <c r="FK107" s="413"/>
      <c r="FL107" s="413"/>
      <c r="FM107" s="412"/>
      <c r="FN107" s="412"/>
      <c r="FO107" s="412"/>
      <c r="FP107" s="412"/>
      <c r="FQ107" s="412"/>
      <c r="FR107" s="409">
        <v>4</v>
      </c>
      <c r="FS107" s="398">
        <f>IF(FR107=0,0,IF(LEN(FJ107)=11,_xlfn.XLOOKUP(FJ107,'Dispensed Ink Rates'!C:C,'Dispensed Ink Rates'!CS:CS),VLOOKUP(FJ107,'Jan-2026 rates'!$E:$F,2,0)))</f>
        <v>0</v>
      </c>
      <c r="FT107" s="409"/>
      <c r="FU107" s="398">
        <f>IF(FT107=0,0,IF(LEN(FK107)=11,_xlfn.XLOOKUP(FK107,'Dispensed Ink Rates'!C:C,'Dispensed Ink Rates'!CS:CS),VLOOKUP(FK107,'Jan-2026 rates'!$E:$F,2,0)))</f>
        <v>0</v>
      </c>
      <c r="FV107" s="409"/>
      <c r="FW107" s="398">
        <f>IF(FV107=0,0,IF(LEN(FL107)=11,_xlfn.XLOOKUP(FL107,'Dispensed Ink Rates'!C:C,'Dispensed Ink Rates'!CS:CS),VLOOKUP(FL107,'Jan-2026 rates'!$E:$F,2,0)))</f>
        <v>0</v>
      </c>
      <c r="FX107" s="409"/>
      <c r="FY107" s="398">
        <f>IF(FX107=0,0,IF(LEN(FM107)=11,_xlfn.XLOOKUP(FM107,'Dispensed Ink Rates'!C:C,'Dispensed Ink Rates'!CS:CS),VLOOKUP(FM107,'Jan-2026 rates'!$E:$F,2,0)))</f>
        <v>0</v>
      </c>
      <c r="FZ107" s="409"/>
      <c r="GA107" s="398">
        <f>IF(FZ107=0,0,IF(LEN(FN107)=11,_xlfn.XLOOKUP(FN107,'Dispensed Ink Rates'!C:C,'Dispensed Ink Rates'!CS:CS),VLOOKUP(FN107,'Jan-2026 rates'!$E:$F,2,0)))</f>
        <v>0</v>
      </c>
      <c r="GB107" s="409"/>
      <c r="GC107" s="398">
        <f>IF(GB107=0,0,IF(LEN(FO107)=11,_xlfn.XLOOKUP(FO107,'Dispensed Ink Rates'!C:C,'Dispensed Ink Rates'!CS:CS),VLOOKUP(FO107,'Jan-2026 rates'!$E:$F,2,0)))</f>
        <v>0</v>
      </c>
      <c r="GD107" s="409"/>
      <c r="GE107" s="398">
        <f>IF(GD107=0,0,IF(LEN(FP107)=11,_xlfn.XLOOKUP(FP107,'Dispensed Ink Rates'!C:C,'Dispensed Ink Rates'!CS:CS),VLOOKUP(FP107,'Jan-2026 rates'!$E:$F,2,0)))</f>
        <v>0</v>
      </c>
      <c r="GF107" s="409"/>
      <c r="GG107" s="398">
        <f>IF(GF107=0,0,IF(LEN(FQ107)=11,_xlfn.XLOOKUP(FQ107,'Dispensed Ink Rates'!C:C,'Dispensed Ink Rates'!CS:CS),VLOOKUP(FQ107,'Jan-2026 rates'!$E:$F,2,0)))</f>
        <v>0</v>
      </c>
      <c r="GH107" s="409" t="s">
        <v>1443</v>
      </c>
      <c r="GI107" s="409">
        <v>24</v>
      </c>
      <c r="GJ107" s="411">
        <f t="shared" si="94"/>
        <v>0</v>
      </c>
      <c r="GK107" s="411">
        <f t="shared" si="95"/>
        <v>24.819548872180448</v>
      </c>
      <c r="GL107" s="410">
        <f t="shared" si="96"/>
        <v>0</v>
      </c>
      <c r="GM107" s="405" t="s">
        <v>544</v>
      </c>
      <c r="GN107" s="409" t="s">
        <v>3213</v>
      </c>
      <c r="GO107" s="420" t="str">
        <f t="shared" si="58"/>
        <v>FLINTSL - MAGENTA</v>
      </c>
      <c r="GP107" s="409">
        <v>30</v>
      </c>
      <c r="GQ107" s="411">
        <f>IF(GP107=0,0,IF($LB107=70%,VLOOKUP($GO107,'Jan-2026 rates'!$L:$R,4,0),IF($LB107=65%,VLOOKUP($GO107,'Jan-2026 rates'!$L:$R,4,0),IF($LB107=40%,VLOOKUP($GO107,'Jan-2026 rates'!$L:$R,5,0),IF($LB107=30%,VLOOKUP($GO107,'Jan-2026 rates'!$L:$R,6,0),IF($LB107=100%,VLOOKUP($GO107,'Jan-2026 rates'!$L:$R,7,0),IF($LB107=60%,VLOOKUP($GO107,'Jan-2026 rates'!$L:$S,8,0),IF($LB107=80%,VLOOKUP($GO107,'Jan-2026 rates'!L:T,9,0),0))))))))</f>
        <v>0</v>
      </c>
      <c r="GR107" s="412"/>
      <c r="GS107" s="409"/>
      <c r="GT107" s="411">
        <f>IF(GS107=0,0,IF($LB107=70%,VLOOKUP($GO107,'Jan-2026 rates'!$L:$R,4,0),IF($LB107=65%,VLOOKUP($GO107,'Jan-2026 rates'!$L:$R,4,0),IF($LB107=40%,VLOOKUP($GO107,'Jan-2026 rates'!$L:$R,5,0),IF($LB107=30%,VLOOKUP($GO107,'Jan-2026 rates'!$L:$R,6,0),IF($LB107=100%,VLOOKUP($GO107,'Jan-2026 rates'!$L:$R,7,0),IF($LB107=60%,VLOOKUP($GO107,'Jan-2026 rates'!$L:$S,8,0),IF($LB107=80%,VLOOKUP($GO107,'Jan-2026 rates'!L:T,9,0),0))))))))</f>
        <v>0</v>
      </c>
      <c r="GU107" s="413">
        <v>26512000010</v>
      </c>
      <c r="GV107" s="413"/>
      <c r="GW107" s="412"/>
      <c r="GX107" s="412"/>
      <c r="GY107" s="412"/>
      <c r="GZ107" s="412"/>
      <c r="HA107" s="412"/>
      <c r="HB107" s="412"/>
      <c r="HC107" s="409">
        <v>2</v>
      </c>
      <c r="HD107" s="398" t="e">
        <f>IF(HC107=0,0,IF(LEN(GU107)=11,_xlfn.XLOOKUP(GU107,'Dispensed Ink Rates'!C:C,'Dispensed Ink Rates'!CS:CS),VLOOKUP(GU107,'Jan-2026 rates'!$E:$F,2,0)))</f>
        <v>#N/A</v>
      </c>
      <c r="HE107" s="409"/>
      <c r="HF107" s="398">
        <f>IF(HE107=0,0,IF(LEN(GV107)=11,_xlfn.XLOOKUP(GV107,'Dispensed Ink Rates'!C:C,'Dispensed Ink Rates'!CS:CS),VLOOKUP(GV107,'Jan-2026 rates'!$E:$F,2,0)))</f>
        <v>0</v>
      </c>
      <c r="HG107" s="409"/>
      <c r="HH107" s="398">
        <f>IF(HG107=0,0,IF(LEN(GW107)=11,_xlfn.XLOOKUP(GW107,'Dispensed Ink Rates'!C:C,'Dispensed Ink Rates'!CS:CS),VLOOKUP(GW107,'Jan-2026 rates'!$E:$F,2,0)))</f>
        <v>0</v>
      </c>
      <c r="HI107" s="409"/>
      <c r="HJ107" s="398">
        <f>IF(HI107=0,0,IF(LEN(GX107)=11,_xlfn.XLOOKUP(GX107,'Dispensed Ink Rates'!C:C,'Dispensed Ink Rates'!CS:CS),VLOOKUP(GX107,'Jan-2026 rates'!$E:$F,2,0)))</f>
        <v>0</v>
      </c>
      <c r="HK107" s="409"/>
      <c r="HL107" s="398">
        <f>IF(HK107=0,0,IF(LEN(GY107)=11,_xlfn.XLOOKUP(GY107,'Dispensed Ink Rates'!C:C,'Dispensed Ink Rates'!CS:CS),VLOOKUP(GY107,'Jan-2026 rates'!$E:$F,2,0)))</f>
        <v>0</v>
      </c>
      <c r="HM107" s="409"/>
      <c r="HN107" s="398">
        <f>IF(HM107=0,0,IF(LEN(GZ107)=11,_xlfn.XLOOKUP(GZ107,'Dispensed Ink Rates'!C:C,'Dispensed Ink Rates'!CS:CS),VLOOKUP(GZ107,'Jan-2026 rates'!$E:$F,2,0)))</f>
        <v>0</v>
      </c>
      <c r="HO107" s="409"/>
      <c r="HP107" s="398">
        <f>IF(HO107=0,0,IF(LEN(HA107)=11,_xlfn.XLOOKUP(HA107,'Dispensed Ink Rates'!C:C,'Dispensed Ink Rates'!CS:CS),VLOOKUP(HA107,'Jan-2026 rates'!$E:$F,2,0)))</f>
        <v>0</v>
      </c>
      <c r="HQ107" s="409"/>
      <c r="HR107" s="398">
        <f>IF(HQ107=0,0,IF(LEN(HB107)=11,_xlfn.XLOOKUP(HB107,'Dispensed Ink Rates'!C:C,'Dispensed Ink Rates'!CS:CS),VLOOKUP(HB107,'Jan-2026 rates'!$E:$F,2,0)))</f>
        <v>0</v>
      </c>
      <c r="HS107" s="409" t="s">
        <v>1443</v>
      </c>
      <c r="HT107" s="409">
        <v>25</v>
      </c>
      <c r="HU107" s="411">
        <f t="shared" si="97"/>
        <v>0</v>
      </c>
      <c r="HV107" s="411">
        <f t="shared" si="98"/>
        <v>19.819548872180448</v>
      </c>
      <c r="HW107" s="414">
        <f t="shared" si="99"/>
        <v>0</v>
      </c>
      <c r="HX107" s="405" t="s">
        <v>545</v>
      </c>
      <c r="HY107" s="409" t="s">
        <v>3214</v>
      </c>
      <c r="HZ107" s="420" t="str">
        <f t="shared" si="59"/>
        <v>FLINTSL - YELLOW</v>
      </c>
      <c r="IA107" s="409">
        <v>28</v>
      </c>
      <c r="IB107" s="411">
        <f>IF(IA107=0,0,IF($LB107=70%,VLOOKUP($HZ107,'Jan-2026 rates'!$L:$R,4,0),IF($LB107=65%,VLOOKUP($HZ107,'Jan-2026 rates'!$L:$R,4,0),IF($LB107=40%,VLOOKUP($HZ107,'Jan-2026 rates'!$L:$R,5,0),IF($LB107=30%,VLOOKUP($HZ107,'Jan-2026 rates'!$L:$R,6,0),IF($LB107=100%,VLOOKUP($HZ107,'Jan-2026 rates'!$L:$R,7,0),IF($LB107=60%,VLOOKUP($HZ107,'Jan-2026 rates'!$L:$S,8,0),IF($LB107=80%,VLOOKUP($HZ107,'Jan-2026 rates'!L:T,9,0),0))))))))</f>
        <v>0</v>
      </c>
      <c r="IC107" s="412"/>
      <c r="ID107" s="409"/>
      <c r="IE107" s="411">
        <f>IF(ID107=0,0,IF($LB107=70%,VLOOKUP($HZ107,'Jan-2026 rates'!$L:$R,4,0),IF($LB107=65%,VLOOKUP($HZ107,'Jan-2026 rates'!$L:$R,4,0),IF($LB107=40%,VLOOKUP($HZ107,'Jan-2026 rates'!$L:$R,5,0),IF($LB107=30%,VLOOKUP($HZ107,'Jan-2026 rates'!$L:$R,6,0),IF($LB107=100%,VLOOKUP($HZ107,'Jan-2026 rates'!$L:$R,7,0),IF($LB107=60%,VLOOKUP($HZ107,'Jan-2026 rates'!$L:$S,8,0),IF($LB107=80%,VLOOKUP($HZ107,'Jan-2026 rates'!L:T,9,0),0))))))))</f>
        <v>0</v>
      </c>
      <c r="IF107" s="412">
        <v>26508000029</v>
      </c>
      <c r="IG107" s="413"/>
      <c r="IH107" s="412"/>
      <c r="II107" s="412"/>
      <c r="IJ107" s="412"/>
      <c r="IK107" s="412"/>
      <c r="IL107" s="412"/>
      <c r="IM107" s="412"/>
      <c r="IN107" s="409">
        <v>4</v>
      </c>
      <c r="IO107" s="398" t="e">
        <f>IF(IN107=0,0,IF(LEN(IF107)=11,_xlfn.XLOOKUP(IF107,'Dispensed Ink Rates'!C:C,'Dispensed Ink Rates'!CS:CS),VLOOKUP(IF107,'Jan-2026 rates'!$E:$F,2,0)))</f>
        <v>#N/A</v>
      </c>
      <c r="IP107" s="409"/>
      <c r="IQ107" s="398">
        <f>IF(IP107=0,0,IF(LEN(IG107)=11,_xlfn.XLOOKUP(IG107,'Dispensed Ink Rates'!C:C,'Dispensed Ink Rates'!CS:CS),VLOOKUP(IG107,'Jan-2026 rates'!$E:$F,2,0)))</f>
        <v>0</v>
      </c>
      <c r="IR107" s="409"/>
      <c r="IS107" s="398">
        <f>IF(IR107=0,0,IF(LEN(IH107)=11,_xlfn.XLOOKUP(IH107,'Dispensed Ink Rates'!C:C,'Dispensed Ink Rates'!CS:CS),VLOOKUP(IH107,'Jan-2026 rates'!$E:$F,2,0)))</f>
        <v>0</v>
      </c>
      <c r="IT107" s="409"/>
      <c r="IU107" s="398">
        <f>IF(IT107=0,0,IF(LEN(II107)=11,_xlfn.XLOOKUP(II107,'Dispensed Ink Rates'!C:C,'Dispensed Ink Rates'!CS:CS),VLOOKUP(II107,'Jan-2026 rates'!$E:$F,2,0)))</f>
        <v>0</v>
      </c>
      <c r="IV107" s="409"/>
      <c r="IW107" s="398">
        <f>IF(IV107=0,0,IF(LEN(IJ107)=11,_xlfn.XLOOKUP(IJ107,'Dispensed Ink Rates'!C:C,'Dispensed Ink Rates'!CS:CS),VLOOKUP(IJ107,'Jan-2026 rates'!$E:$F,2,0)))</f>
        <v>0</v>
      </c>
      <c r="IX107" s="409"/>
      <c r="IY107" s="398">
        <f>IF(IX107=0,0,IF(LEN(IK107)=11,_xlfn.XLOOKUP(IK107,'Dispensed Ink Rates'!C:C,'Dispensed Ink Rates'!CS:CS),VLOOKUP(IK107,'Jan-2026 rates'!$E:$F,2,0)))</f>
        <v>0</v>
      </c>
      <c r="IZ107" s="409"/>
      <c r="JA107" s="398">
        <f>IF(IZ107=0,0,IF(LEN(IL107)=11,_xlfn.XLOOKUP(IL107,'Dispensed Ink Rates'!C:C,'Dispensed Ink Rates'!CS:CS),VLOOKUP(IL107,'Jan-2026 rates'!$E:$F,2,0)))</f>
        <v>0</v>
      </c>
      <c r="JB107" s="409"/>
      <c r="JC107" s="398">
        <f>IF(JB107=0,0,IF(LEN(IM107)=11,_xlfn.XLOOKUP(IM107,'Dispensed Ink Rates'!C:C,'Dispensed Ink Rates'!CS:CS),VLOOKUP(IM107,'Jan-2026 rates'!$E:$F,2,0)))</f>
        <v>0</v>
      </c>
      <c r="JD107" s="409" t="s">
        <v>1443</v>
      </c>
      <c r="JE107" s="409">
        <v>26</v>
      </c>
      <c r="JF107" s="411">
        <f t="shared" si="100"/>
        <v>0</v>
      </c>
      <c r="JG107" s="411">
        <f t="shared" si="101"/>
        <v>18.819548872180448</v>
      </c>
      <c r="JH107" s="410">
        <f t="shared" si="102"/>
        <v>0</v>
      </c>
      <c r="JI107" s="405" t="s">
        <v>856</v>
      </c>
      <c r="JJ107" s="409" t="s">
        <v>3215</v>
      </c>
      <c r="JK107" s="420" t="str">
        <f t="shared" si="60"/>
        <v>FLINTSL - WHITE</v>
      </c>
      <c r="JL107" s="409">
        <v>30</v>
      </c>
      <c r="JM107" s="411">
        <f>IF(JL107=0,0,IF($LB107=70%,VLOOKUP($JK107,'Jan-2026 rates'!$L:$R,4,0),IF($LB107=65%,VLOOKUP($JK107,'Jan-2026 rates'!$L:$R,4,0),IF($LB107=40%,VLOOKUP($JK107,'Jan-2026 rates'!$L:$R,5,0),IF($LB107=30%,VLOOKUP($JK107,'Jan-2026 rates'!$L:$R,6,0),IF($LB107=100%,VLOOKUP($JK107,'Jan-2026 rates'!$L:$R,7,0),IF($LB107=60%,VLOOKUP($JK107,'Jan-2026 rates'!$L:$S,8,0),IF($LB107=80%,VLOOKUP($JK107,'Jan-2026 rates'!L:T,9,0),0))))))))</f>
        <v>0</v>
      </c>
      <c r="JN107" s="412"/>
      <c r="JO107" s="409"/>
      <c r="JP107" s="411">
        <f>IF(JO107=0,0,IF($LB107=70%,VLOOKUP($JK107,'Jan-2026 rates'!$L:$R,4,0),IF($LB107=65%,VLOOKUP($JK107,'Jan-2026 rates'!$L:$R,4,0),IF($LB107=40%,VLOOKUP($JK107,'Jan-2026 rates'!$L:$R,5,0),IF($LB107=30%,VLOOKUP($JK107,'Jan-2026 rates'!$L:$R,6,0),IF($LB107=100%,VLOOKUP($JK107,'Jan-2026 rates'!$L:$R,7,0),IF($LB107=60%,VLOOKUP($JK107,'Jan-2026 rates'!$L:$S,8,0),IF($LB107=80%,VLOOKUP($JK107,'Jan-2026 rates'!L:T,9,0),0))))))))</f>
        <v>0</v>
      </c>
      <c r="JQ107" s="413" t="s">
        <v>484</v>
      </c>
      <c r="JR107" s="412"/>
      <c r="JS107" s="413"/>
      <c r="JT107" s="413"/>
      <c r="JU107" s="412"/>
      <c r="JV107" s="412"/>
      <c r="JW107" s="412"/>
      <c r="JX107" s="412"/>
      <c r="JY107" s="409">
        <f>25+50+25+50</f>
        <v>150</v>
      </c>
      <c r="JZ107" s="398">
        <f>IF(JY107=0,0,IF(LEN(JQ107)=11,_xlfn.XLOOKUP(JQ107,'Dispensed Ink Rates'!C:C,'Dispensed Ink Rates'!CS:CS),VLOOKUP(JQ107,'Jan-2026 rates'!$E:$F,2,0)))</f>
        <v>0</v>
      </c>
      <c r="KA107" s="409"/>
      <c r="KB107" s="398">
        <f>IF(KA107=0,0,IF(LEN(JR107)=11,_xlfn.XLOOKUP(JR107,'Dispensed Ink Rates'!C:C,'Dispensed Ink Rates'!CS:CS),VLOOKUP(JR107,'Jan-2026 rates'!$E:$F,2,0)))</f>
        <v>0</v>
      </c>
      <c r="KC107" s="409"/>
      <c r="KD107" s="398">
        <f>IF(KC107=0,0,IF(LEN(JS107)=11,_xlfn.XLOOKUP(JS107,'Dispensed Ink Rates'!C:C,'Dispensed Ink Rates'!CS:CS),VLOOKUP(JS107,'Jan-2026 rates'!$E:$F,2,0)))</f>
        <v>0</v>
      </c>
      <c r="KE107" s="409"/>
      <c r="KF107" s="398">
        <f>IF(KE107=0,0,IF(LEN(JT107)=11,_xlfn.XLOOKUP(JT107,'Dispensed Ink Rates'!C:C,'Dispensed Ink Rates'!CS:CS),VLOOKUP(JT107,'Jan-2026 rates'!$E:$F,2,0)))</f>
        <v>0</v>
      </c>
      <c r="KG107" s="409"/>
      <c r="KH107" s="398">
        <f>IF(KG107=0,0,IF(LEN(JU107)=11,_xlfn.XLOOKUP(JU107,'Dispensed Ink Rates'!C:C,'Dispensed Ink Rates'!CS:CS),VLOOKUP(JU107,'Jan-2026 rates'!$E:$F,2,0)))</f>
        <v>0</v>
      </c>
      <c r="KI107" s="409"/>
      <c r="KJ107" s="398">
        <f>IF(KI107=0,0,IF(LEN(JV107)=11,_xlfn.XLOOKUP(JV107,'Dispensed Ink Rates'!C:C,'Dispensed Ink Rates'!CS:CS),VLOOKUP(JV107,'Jan-2026 rates'!$E:$F,2,0)))</f>
        <v>0</v>
      </c>
      <c r="KK107" s="409"/>
      <c r="KL107" s="398">
        <f>IF(KK107=0,0,IF(LEN(JW107)=11,_xlfn.XLOOKUP(JW107,'Dispensed Ink Rates'!C:C,'Dispensed Ink Rates'!CS:CS),VLOOKUP(JW107,'Jan-2026 rates'!$E:$F,2,0)))</f>
        <v>0</v>
      </c>
      <c r="KM107" s="428"/>
      <c r="KN107" s="398">
        <f>IF(KM107=0,0,IF(LEN(JX107)=11,_xlfn.XLOOKUP(JX107,'Dispensed Ink Rates'!C:C,'Dispensed Ink Rates'!CS:CS),VLOOKUP(JX107,'Jan-2026 rates'!$E:$F,2,0)))</f>
        <v>0</v>
      </c>
      <c r="KO107" s="409" t="s">
        <v>1443</v>
      </c>
      <c r="KP107" s="409">
        <v>27</v>
      </c>
      <c r="KQ107" s="411">
        <f t="shared" si="103"/>
        <v>0</v>
      </c>
      <c r="KR107" s="411">
        <f t="shared" si="104"/>
        <v>383.75187969924809</v>
      </c>
      <c r="KS107" s="410">
        <f t="shared" si="105"/>
        <v>0</v>
      </c>
      <c r="KT107" s="409">
        <v>5</v>
      </c>
      <c r="KU107" s="409">
        <v>5</v>
      </c>
      <c r="KV107" s="409">
        <v>13</v>
      </c>
      <c r="KW107" s="409">
        <v>5</v>
      </c>
      <c r="KX107" s="409">
        <v>5</v>
      </c>
      <c r="KY107" s="409">
        <v>5</v>
      </c>
      <c r="KZ107" s="409">
        <v>5</v>
      </c>
      <c r="LA107" s="409">
        <f>30+15+15+30</f>
        <v>90</v>
      </c>
      <c r="LB107" s="415">
        <v>0.8</v>
      </c>
      <c r="LC107" s="415">
        <v>0.2</v>
      </c>
      <c r="LD107" s="415"/>
      <c r="LE107" s="415"/>
      <c r="LF107" s="415"/>
      <c r="LG107" s="409">
        <v>0</v>
      </c>
      <c r="LH107" s="409">
        <f>103+80+120+30+4+4</f>
        <v>341</v>
      </c>
      <c r="LI107" s="409">
        <v>0</v>
      </c>
      <c r="LJ107" s="409">
        <v>0</v>
      </c>
      <c r="LK107" s="416">
        <f t="shared" si="61"/>
        <v>341</v>
      </c>
      <c r="LL107" s="416">
        <f t="shared" si="62"/>
        <v>341</v>
      </c>
      <c r="LM107" s="417">
        <f t="shared" si="63"/>
        <v>272.8</v>
      </c>
      <c r="LN107" s="417">
        <f>VLOOKUP($LM$8,'Jan-2026 rates'!$H:$I,2,0)</f>
        <v>0</v>
      </c>
      <c r="LO107" s="417">
        <f t="shared" si="64"/>
        <v>68.2</v>
      </c>
      <c r="LP107" s="417">
        <f>VLOOKUP($LO$8,'Jan-2026 rates'!$H:$I,2,0)</f>
        <v>0</v>
      </c>
      <c r="LQ107" s="417">
        <f t="shared" si="65"/>
        <v>0</v>
      </c>
      <c r="LR107" s="417">
        <f>VLOOKUP($LQ$8,'Jan-2026 rates'!$H:$I,2,0)</f>
        <v>0</v>
      </c>
      <c r="LS107" s="417">
        <f t="shared" si="66"/>
        <v>0</v>
      </c>
      <c r="LT107" s="417">
        <f>VLOOKUP($LS$8,'Jan-2026 rates'!$H:$I,2,0)</f>
        <v>0</v>
      </c>
      <c r="LU107" s="417">
        <f t="shared" si="67"/>
        <v>0</v>
      </c>
      <c r="LV107" s="417">
        <f>VLOOKUP($LU$8,'Jan-2026 rates'!$H:$I,2,0)</f>
        <v>0</v>
      </c>
      <c r="LW107" s="417">
        <f t="shared" si="68"/>
        <v>0</v>
      </c>
      <c r="LX107" s="417">
        <f t="shared" si="69"/>
        <v>0</v>
      </c>
      <c r="LY107" s="418">
        <f t="shared" si="70"/>
        <v>0</v>
      </c>
      <c r="LZ107" s="417"/>
      <c r="MA107" s="435">
        <f t="shared" si="71"/>
        <v>319.8</v>
      </c>
      <c r="MB107" s="282">
        <f t="shared" si="72"/>
        <v>661.8</v>
      </c>
      <c r="MC107" s="283">
        <v>62</v>
      </c>
      <c r="MD107" s="284" t="str">
        <f t="shared" si="73"/>
        <v>FLINTSLFLINTSLFLINTSLFLINTSLFLINTSLFLINTSLFLINTSLFLINTSL</v>
      </c>
      <c r="ME107" s="293" t="str">
        <f t="shared" si="74"/>
        <v>+</v>
      </c>
      <c r="MF107" s="293" t="str">
        <f t="shared" si="75"/>
        <v>+</v>
      </c>
      <c r="MG107" s="293" t="str">
        <f t="shared" si="76"/>
        <v>+</v>
      </c>
      <c r="MH107" s="293" t="str">
        <f t="shared" si="77"/>
        <v>+</v>
      </c>
      <c r="MI107" s="293" t="str">
        <f t="shared" si="78"/>
        <v>+</v>
      </c>
      <c r="MJ107" s="293" t="str">
        <f t="shared" si="79"/>
        <v>+</v>
      </c>
      <c r="MK107" s="293" t="str">
        <f t="shared" si="80"/>
        <v>+</v>
      </c>
      <c r="ML107" s="293" t="str">
        <f t="shared" si="81"/>
        <v>+</v>
      </c>
      <c r="MM107" s="3" t="b">
        <f t="array" ref="MM107">OR(ME107:ML107="-")</f>
        <v>0</v>
      </c>
      <c r="MN107" s="285"/>
      <c r="MO107" s="401"/>
      <c r="MP107" s="286"/>
      <c r="MQ107" s="286"/>
      <c r="MR107" s="402"/>
      <c r="MS107" s="400"/>
      <c r="NH107" s="422"/>
      <c r="NJ107" s="421"/>
    </row>
    <row r="108" spans="1:374" s="1" customFormat="1" ht="16.5">
      <c r="A108" s="403">
        <v>46031</v>
      </c>
      <c r="B108" s="404" t="s">
        <v>1015</v>
      </c>
      <c r="C108" s="405" t="s">
        <v>3216</v>
      </c>
      <c r="D108" s="406">
        <v>63</v>
      </c>
      <c r="E108" s="404">
        <v>760</v>
      </c>
      <c r="F108" s="407">
        <v>36900</v>
      </c>
      <c r="G108" s="407" t="s">
        <v>1019</v>
      </c>
      <c r="H108" s="408" t="s">
        <v>1017</v>
      </c>
      <c r="I108" s="409">
        <v>1.5</v>
      </c>
      <c r="J108" s="405" t="s">
        <v>543</v>
      </c>
      <c r="K108" s="404" t="s">
        <v>3217</v>
      </c>
      <c r="L108" s="419" t="str">
        <f t="shared" si="54"/>
        <v>FLINTSL - BLACK</v>
      </c>
      <c r="M108" s="404">
        <v>24</v>
      </c>
      <c r="N108" s="410">
        <f>IF(M108=0,0,IF($LB108=70%,VLOOKUP($L108,'Jan-2026 rates'!$L:$R,4,0),IF($LB108=65%,VLOOKUP($L108,'Jan-2026 rates'!$L:$R,4,0),IF($LB108=40%,VLOOKUP($L108,'Jan-2026 rates'!$L:$R,5,0),IF($LB108=30%,VLOOKUP($L108,'Jan-2026 rates'!$L:$R,6,0),IF($LB108=100%,VLOOKUP($L108,'Jan-2026 rates'!$L:$R,7,0),IF($LB108=60%,VLOOKUP($L108,'Jan-2026 rates'!$L:$S,8,0),IF($LB108=80%,VLOOKUP($L108,'Jan-2026 rates'!L:T,9,0),0))))))))</f>
        <v>0</v>
      </c>
      <c r="O108" s="406"/>
      <c r="P108" s="404"/>
      <c r="Q108" s="410">
        <f>IF(P108=0,0,IF($LB108=70%,VLOOKUP($L108,'Jan-2026 rates'!$L:$R,4,0),IF($LB108=65%,VLOOKUP($L108,'Jan-2026 rates'!$L:$R,4,0),IF($LB108=40%,VLOOKUP($L108,'Jan-2026 rates'!$L:$R,5,0),IF($LB108=30%,VLOOKUP($L108,'Jan-2026 rates'!$L:$R,6,0),IF($LB108=100%,VLOOKUP($L108,'Jan-2026 rates'!$L:$R,7,0),IF($LB108=60%,VLOOKUP($L108,'Jan-2026 rates'!$L:$S,8,0),IF($LB108=80%,VLOOKUP($L108,'Jan-2026 rates'!L:T,9,0),0))))))))</f>
        <v>0</v>
      </c>
      <c r="R108" s="406">
        <v>26507000010</v>
      </c>
      <c r="S108" s="406"/>
      <c r="T108" s="406"/>
      <c r="U108" s="406"/>
      <c r="V108" s="406"/>
      <c r="W108" s="406"/>
      <c r="X108" s="406"/>
      <c r="Y108" s="406"/>
      <c r="Z108" s="404">
        <v>6</v>
      </c>
      <c r="AA108" s="398" t="e">
        <f>IF(Z108=0,0,IF(LEN(R108)=11,_xlfn.XLOOKUP(R108,'Dispensed Ink Rates'!C:C,'Dispensed Ink Rates'!CS:CS),VLOOKUP(R108,'Jan-2026 rates'!$E:$F,2,0)))</f>
        <v>#N/A</v>
      </c>
      <c r="AB108" s="404"/>
      <c r="AC108" s="398">
        <f>IF(AB108=0,0,IF(LEN(S108)=11,_xlfn.XLOOKUP(S108,'Dispensed Ink Rates'!C:C,'Dispensed Ink Rates'!CS:CS),VLOOKUP(S108,'Jan-2026 rates'!$E:$F,2,0)))</f>
        <v>0</v>
      </c>
      <c r="AD108" s="404"/>
      <c r="AE108" s="398">
        <f>IF(AD108=0,0,IF(LEN(T108)=11,_xlfn.XLOOKUP(T108,'Dispensed Ink Rates'!C:C,'Dispensed Ink Rates'!CS:CS),VLOOKUP(T108,'Jan-2026 rates'!$E:$F,2,0)))</f>
        <v>0</v>
      </c>
      <c r="AF108" s="404"/>
      <c r="AG108" s="398">
        <f>IF(AF108=0,0,IF(LEN(U108)=11,_xlfn.XLOOKUP(U108,'Dispensed Ink Rates'!C:C,'Dispensed Ink Rates'!CS:CS),VLOOKUP(U108,'Jan-2026 rates'!$E:$F,2,0)))</f>
        <v>0</v>
      </c>
      <c r="AH108" s="404"/>
      <c r="AI108" s="398">
        <f>IF(AH108=0,0,IF(LEN(V108)=11,_xlfn.XLOOKUP(V108,'Dispensed Ink Rates'!C:C,'Dispensed Ink Rates'!CS:CS),VLOOKUP(V108,'Jan-2026 rates'!$E:$F,2,0)))</f>
        <v>0</v>
      </c>
      <c r="AJ108" s="404"/>
      <c r="AK108" s="398">
        <f>IF(AJ108=0,0,IF(LEN(W108)=11,_xlfn.XLOOKUP(W108,'Dispensed Ink Rates'!C:C,'Dispensed Ink Rates'!CS:CS),VLOOKUP(W108,'Jan-2026 rates'!$E:$F,2,0)))</f>
        <v>0</v>
      </c>
      <c r="AL108" s="404"/>
      <c r="AM108" s="398">
        <f>IF(AL108=0,0,IF(LEN(X108)=11,_xlfn.XLOOKUP(X108,'Dispensed Ink Rates'!C:C,'Dispensed Ink Rates'!CS:CS),VLOOKUP(X108,'Jan-2026 rates'!$E:$F,2,0)))</f>
        <v>0</v>
      </c>
      <c r="AN108" s="404"/>
      <c r="AO108" s="398">
        <f>IF(AN108=0,0,IF(LEN(Y108)=11,_xlfn.XLOOKUP(Y108,'Dispensed Ink Rates'!C:C,'Dispensed Ink Rates'!CS:CS),VLOOKUP(Y108,'Jan-2026 rates'!$E:$F,2,0)))</f>
        <v>0</v>
      </c>
      <c r="AP108" s="409" t="s">
        <v>1443</v>
      </c>
      <c r="AQ108" s="409">
        <v>24</v>
      </c>
      <c r="AR108" s="410">
        <f t="shared" si="82"/>
        <v>0</v>
      </c>
      <c r="AS108" s="411">
        <f t="shared" si="83"/>
        <v>17.083333333333329</v>
      </c>
      <c r="AT108" s="410">
        <f t="shared" si="84"/>
        <v>0</v>
      </c>
      <c r="AU108" s="405" t="s">
        <v>857</v>
      </c>
      <c r="AV108" s="409" t="s">
        <v>3210</v>
      </c>
      <c r="AW108" s="420" t="str">
        <f t="shared" si="53"/>
        <v>FLINTSL - RED</v>
      </c>
      <c r="AX108" s="409">
        <v>30</v>
      </c>
      <c r="AY108" s="411">
        <f>IF(AX108=0,0,IF($LB108=70%,VLOOKUP($AW108,'Jan-2026 rates'!$L:$R,4,0),IF($LB108=65%,VLOOKUP($AW108,'Jan-2026 rates'!$L:$R,4,0),IF($LB108=40%,VLOOKUP($AW108,'Jan-2026 rates'!$L:$R,5,0),IF($LB108=30%,VLOOKUP($AW108,'Jan-2026 rates'!$L:$R,6,0),IF($LB108=100%,VLOOKUP($AW108,'Jan-2026 rates'!$L:$R,7,0),IF($LB108=60%,VLOOKUP($AW108,'Jan-2026 rates'!$L:$S,8,0),IF($LB108=80%,VLOOKUP($AW108,'Jan-2026 rates'!L:T,9,0),0))))))))</f>
        <v>0</v>
      </c>
      <c r="AZ108" s="412" t="s">
        <v>3218</v>
      </c>
      <c r="BA108" s="409">
        <v>14</v>
      </c>
      <c r="BB108" s="411">
        <f>IF(BA108=0,0,IF($LB108=70%,VLOOKUP($AW108,'Jan-2026 rates'!$L:$R,4,0),IF($LB108=65%,VLOOKUP($AW108,'Jan-2026 rates'!$L:$R,4,0),IF($LB108=40%,VLOOKUP($AW108,'Jan-2026 rates'!$L:$R,5,0),IF($LB108=30%,VLOOKUP($AW108,'Jan-2026 rates'!$L:$R,6,0),IF($LB108=100%,VLOOKUP($AW108,'Jan-2026 rates'!$L:$R,7,0),IF($LB108=60%,VLOOKUP($AW108,'Jan-2026 rates'!$L:$S,8,0),IF($LB108=80%,VLOOKUP($AW108,'Jan-2026 rates'!L:T,9,0),0))))))))</f>
        <v>0</v>
      </c>
      <c r="BC108" s="413">
        <v>26512000010</v>
      </c>
      <c r="BD108" s="412">
        <v>26505000028</v>
      </c>
      <c r="BE108" s="412"/>
      <c r="BF108" s="413"/>
      <c r="BG108" s="412"/>
      <c r="BH108" s="412"/>
      <c r="BI108" s="412"/>
      <c r="BJ108" s="412"/>
      <c r="BK108" s="409">
        <v>6</v>
      </c>
      <c r="BL108" s="398" t="e">
        <f>IF(BK108=0,0,IF(LEN(BC108)=11,_xlfn.XLOOKUP(BC108,'Dispensed Ink Rates'!C:C,'Dispensed Ink Rates'!CS:CS),VLOOKUP(BC108,'Jan-2026 rates'!$E:$F,2,0)))</f>
        <v>#N/A</v>
      </c>
      <c r="BM108" s="409">
        <v>10</v>
      </c>
      <c r="BN108" s="398" t="e">
        <f>IF(BM108=0,0,IF(LEN(BD108)=11,_xlfn.XLOOKUP(BD108,'Dispensed Ink Rates'!C:C,'Dispensed Ink Rates'!CS:CS),VLOOKUP(BD108,'Jan-2026 rates'!$E:$F,2,0)))</f>
        <v>#N/A</v>
      </c>
      <c r="BO108" s="409"/>
      <c r="BP108" s="398">
        <f>IF(BO108=0,0,IF(LEN(BE108)=11,_xlfn.XLOOKUP(BE108,'Dispensed Ink Rates'!C:C,'Dispensed Ink Rates'!CS:CS),VLOOKUP(BE108,'Jan-2026 rates'!$E:$F,2,0)))</f>
        <v>0</v>
      </c>
      <c r="BQ108" s="409"/>
      <c r="BR108" s="398">
        <f>IF(BQ108=0,0,IF(LEN(BF108)=11,_xlfn.XLOOKUP(BF108,'Dispensed Ink Rates'!C:C,'Dispensed Ink Rates'!CS:CS),VLOOKUP(BF108,'Jan-2026 rates'!$E:$F,2,0)))</f>
        <v>0</v>
      </c>
      <c r="BS108" s="409"/>
      <c r="BT108" s="398">
        <f>IF(BS108=0,0,IF(LEN(BG108)=11,_xlfn.XLOOKUP(BG108,'Dispensed Ink Rates'!C:C,'Dispensed Ink Rates'!CS:CS),VLOOKUP(BG108,'Jan-2026 rates'!$E:$F,2,0)))</f>
        <v>0</v>
      </c>
      <c r="BU108" s="409"/>
      <c r="BV108" s="398">
        <f>IF(BU108=0,0,IF(LEN(BH108)=11,_xlfn.XLOOKUP(BH108,'Dispensed Ink Rates'!C:C,'Dispensed Ink Rates'!CS:CS),VLOOKUP(BH108,'Jan-2026 rates'!$E:$F,2,0)))</f>
        <v>0</v>
      </c>
      <c r="BW108" s="409"/>
      <c r="BX108" s="398">
        <f>IF(BW108=0,0,IF(LEN(BI108)=11,_xlfn.XLOOKUP(BI108,'Dispensed Ink Rates'!C:C,'Dispensed Ink Rates'!CS:CS),VLOOKUP(BI108,'Jan-2026 rates'!$E:$F,2,0)))</f>
        <v>0</v>
      </c>
      <c r="BY108" s="409"/>
      <c r="BZ108" s="398">
        <f>IF(BY108=0,0,IF(LEN(BJ108)=11,_xlfn.XLOOKUP(BJ108,'Dispensed Ink Rates'!C:C,'Dispensed Ink Rates'!CS:CS),VLOOKUP(BJ108,'Jan-2026 rates'!$E:$F,2,0)))</f>
        <v>0</v>
      </c>
      <c r="CA108" s="409" t="s">
        <v>1443</v>
      </c>
      <c r="CB108" s="409">
        <v>20</v>
      </c>
      <c r="CC108" s="411">
        <f t="shared" si="85"/>
        <v>0</v>
      </c>
      <c r="CD108" s="411">
        <f t="shared" si="86"/>
        <v>62.166666666666657</v>
      </c>
      <c r="CE108" s="410">
        <f t="shared" si="87"/>
        <v>0</v>
      </c>
      <c r="CF108" s="404" t="s">
        <v>855</v>
      </c>
      <c r="CG108" s="409" t="s">
        <v>3219</v>
      </c>
      <c r="CH108" s="420" t="str">
        <f t="shared" si="55"/>
        <v>FLINTSL - CYAN</v>
      </c>
      <c r="CI108" s="409">
        <v>24</v>
      </c>
      <c r="CJ108" s="411">
        <f>IF(CI108=0,0,IF($LB108=70%,VLOOKUP($CH108,'Jan-2026 rates'!$L:$R,4,0),IF($LB108=65%,VLOOKUP($CH108,'Jan-2026 rates'!$L:$R,4,0),IF($LB108=40%,VLOOKUP($CH108,'Jan-2026 rates'!$L:$R,5,0),IF($LB108=30%,VLOOKUP($CH108,'Jan-2026 rates'!$L:$R,6,0),IF($LB108=100%,VLOOKUP($CH108,'Jan-2026 rates'!$L:$R,7,0),IF($LB108=60%,VLOOKUP($CH108,'Jan-2026 rates'!$L:$S,8,0),IF($LB108=80%,VLOOKUP($CH108,'Jan-2026 rates'!L:T,9,0),0))))))))</f>
        <v>0</v>
      </c>
      <c r="CK108" s="412"/>
      <c r="CL108" s="409"/>
      <c r="CM108" s="411">
        <f>IF(CL108=0,0,IF($LB108=70%,VLOOKUP($CH108,'Jan-2026 rates'!$L:$R,4,0),IF($LB108=65%,VLOOKUP($CH108,'Jan-2026 rates'!$L:$R,4,0),IF($LB108=40%,VLOOKUP($CH108,'Jan-2026 rates'!$L:$R,5,0),IF($LB108=30%,VLOOKUP($CH108,'Jan-2026 rates'!$L:$R,6,0),IF($LB108=100%,VLOOKUP($CH108,'Jan-2026 rates'!$L:$R,7,0),IF($LB108=60%,VLOOKUP($CH108,'Jan-2026 rates'!$L:$S,8,0),IF($LB108=80%,VLOOKUP($CH108,'Jan-2026 rates'!L:T,9,0),0))))))))</f>
        <v>0</v>
      </c>
      <c r="CN108" s="426" t="s">
        <v>1266</v>
      </c>
      <c r="CO108" s="427"/>
      <c r="CP108" s="426"/>
      <c r="CQ108" s="426"/>
      <c r="CR108" s="428"/>
      <c r="CS108" s="428"/>
      <c r="CT108" s="428"/>
      <c r="CU108" s="428"/>
      <c r="CV108" s="409">
        <v>6</v>
      </c>
      <c r="CW108" s="398">
        <f>IF(CV108=0,0,IF(LEN(CN108)=11,_xlfn.XLOOKUP(CN108,'Dispensed Ink Rates'!C:C,'Dispensed Ink Rates'!CS:CS),VLOOKUP(CN108,'Jan-2026 rates'!$E:$F,2,0)))</f>
        <v>0</v>
      </c>
      <c r="CX108" s="409"/>
      <c r="CY108" s="398">
        <f>IF(CX108=0,0,IF(LEN(CO108)=11,_xlfn.XLOOKUP(CO108,'Dispensed Ink Rates'!C:C,'Dispensed Ink Rates'!CS:CS),VLOOKUP(CO108,'Jan-2026 rates'!$E:$F,2,0)))</f>
        <v>0</v>
      </c>
      <c r="CZ108" s="409"/>
      <c r="DA108" s="398">
        <f>IF(CZ108=0,0,IF(LEN(CP108)=11,_xlfn.XLOOKUP(CP108,'Dispensed Ink Rates'!C:C,'Dispensed Ink Rates'!CS:CS),VLOOKUP(CP108,'Jan-2026 rates'!$E:$F,2,0)))</f>
        <v>0</v>
      </c>
      <c r="DB108" s="409"/>
      <c r="DC108" s="398">
        <f>IF(DB108=0,0,IF(LEN(CQ108)=11,_xlfn.XLOOKUP(CQ108,'Dispensed Ink Rates'!C:C,'Dispensed Ink Rates'!CS:CS),VLOOKUP(CQ108,'Jan-2026 rates'!$E:$F,2,0)))</f>
        <v>0</v>
      </c>
      <c r="DD108" s="409"/>
      <c r="DE108" s="398">
        <f>IF(DD108=0,0,IF(LEN(CR108)=11,_xlfn.XLOOKUP(CR108,'Dispensed Ink Rates'!C:C,'Dispensed Ink Rates'!CS:CS),VLOOKUP(CR108,'Jan-2026 rates'!$E:$F,2,0)))</f>
        <v>0</v>
      </c>
      <c r="DF108" s="409"/>
      <c r="DG108" s="398">
        <f>IF(DF108=0,0,IF(LEN(CS108)=11,_xlfn.XLOOKUP(CS108,'Dispensed Ink Rates'!C:C,'Dispensed Ink Rates'!CS:CS),VLOOKUP(CS108,'Jan-2026 rates'!$E:$F,2,0)))</f>
        <v>0</v>
      </c>
      <c r="DH108" s="409"/>
      <c r="DI108" s="398">
        <f>IF(DH108=0,0,IF(LEN(CT108)=11,_xlfn.XLOOKUP(CT108,'Dispensed Ink Rates'!C:C,'Dispensed Ink Rates'!CS:CS),VLOOKUP(CT108,'Jan-2026 rates'!$E:$F,2,0)))</f>
        <v>0</v>
      </c>
      <c r="DJ108" s="409"/>
      <c r="DK108" s="398">
        <f>IF(DJ108=0,0,IF(LEN(CU108)=11,_xlfn.XLOOKUP(CU108,'Dispensed Ink Rates'!C:C,'Dispensed Ink Rates'!CS:CS),VLOOKUP(CU108,'Jan-2026 rates'!$E:$F,2,0)))</f>
        <v>0</v>
      </c>
      <c r="DL108" s="409" t="s">
        <v>1443</v>
      </c>
      <c r="DM108" s="409">
        <v>25</v>
      </c>
      <c r="DN108" s="411">
        <f t="shared" si="88"/>
        <v>0</v>
      </c>
      <c r="DO108" s="411">
        <f t="shared" si="89"/>
        <v>16.083333333333329</v>
      </c>
      <c r="DP108" s="410">
        <f t="shared" si="90"/>
        <v>0</v>
      </c>
      <c r="DQ108" s="405" t="s">
        <v>544</v>
      </c>
      <c r="DR108" s="409" t="s">
        <v>3220</v>
      </c>
      <c r="DS108" s="420" t="str">
        <f t="shared" si="56"/>
        <v>FLINTSL - MAGENTA</v>
      </c>
      <c r="DT108" s="409">
        <v>25</v>
      </c>
      <c r="DU108" s="411">
        <f>IF(DT108=0,0,IF($LB108=70%,VLOOKUP($DS108,'Jan-2026 rates'!$L:$R,4,0),IF($LB108=65%,VLOOKUP($DS108,'Jan-2026 rates'!$L:$R,4,0),IF($LB108=40%,VLOOKUP($DS108,'Jan-2026 rates'!$L:$R,5,0),IF($LB108=30%,VLOOKUP($DS108,'Jan-2026 rates'!$L:$R,6,0),IF($LB108=100%,VLOOKUP($DS108,'Jan-2026 rates'!$L:$R,7,0),IF($LB108=60%,VLOOKUP($DS108,'Jan-2026 rates'!$L:$S,8,0),IF($LB108=80%,VLOOKUP($DS108,'Jan-2026 rates'!L:T,9,0),0))))))))</f>
        <v>0</v>
      </c>
      <c r="DV108" s="412"/>
      <c r="DW108" s="409"/>
      <c r="DX108" s="411">
        <f>IF(DW108=0,0,IF($LB108=70%,VLOOKUP($DS108,'Jan-2026 rates'!$L:$R,4,0),IF($LB108=65%,VLOOKUP($DS108,'Jan-2026 rates'!$L:$R,4,0),IF($LB108=40%,VLOOKUP($DS108,'Jan-2026 rates'!$L:$R,5,0),IF($LB108=30%,VLOOKUP($DS108,'Jan-2026 rates'!$L:$R,6,0),IF($LB108=100%,VLOOKUP($DS108,'Jan-2026 rates'!$L:$R,7,0),IF($LB108=60%,VLOOKUP($DS108,'Jan-2026 rates'!$L:$S,8,0),IF($LB108=80%,VLOOKUP($DS108,'Jan-2026 rates'!L:T,9,0),0))))))))</f>
        <v>0</v>
      </c>
      <c r="DY108" s="413">
        <v>26512000010</v>
      </c>
      <c r="DZ108" s="413"/>
      <c r="EA108" s="412"/>
      <c r="EB108" s="412"/>
      <c r="EC108" s="412"/>
      <c r="ED108" s="412"/>
      <c r="EE108" s="412"/>
      <c r="EF108" s="412"/>
      <c r="EG108" s="409">
        <v>6</v>
      </c>
      <c r="EH108" s="398" t="e">
        <f>IF(EG108=0,0,IF(LEN(DY108)=11,_xlfn.XLOOKUP(DY108,'Dispensed Ink Rates'!C:C,'Dispensed Ink Rates'!CS:CS),VLOOKUP(DY108,'Jan-2026 rates'!$E:$F,2,0)))</f>
        <v>#N/A</v>
      </c>
      <c r="EI108" s="409"/>
      <c r="EJ108" s="398">
        <f>IF(EI108=0,0,IF(LEN(DZ108)=11,_xlfn.XLOOKUP(DZ108,'Dispensed Ink Rates'!C:C,'Dispensed Ink Rates'!CS:CS),VLOOKUP(DZ108,'Jan-2026 rates'!$E:$F,2,0)))</f>
        <v>0</v>
      </c>
      <c r="EK108" s="409"/>
      <c r="EL108" s="398">
        <f>IF(EK108=0,0,IF(LEN(EA108)=11,_xlfn.XLOOKUP(EA108,'Dispensed Ink Rates'!C:C,'Dispensed Ink Rates'!CS:CS),VLOOKUP(EA108,'Jan-2026 rates'!$E:$F,2,0)))</f>
        <v>0</v>
      </c>
      <c r="EM108" s="409"/>
      <c r="EN108" s="398">
        <f>IF(EM108=0,0,IF(LEN(EB108)=11,_xlfn.XLOOKUP(EB108,'Dispensed Ink Rates'!C:C,'Dispensed Ink Rates'!CS:CS),VLOOKUP(EB108,'Jan-2026 rates'!$E:$F,2,0)))</f>
        <v>0</v>
      </c>
      <c r="EO108" s="409"/>
      <c r="EP108" s="398">
        <f>IF(EO108=0,0,IF(LEN(EC108)=11,_xlfn.XLOOKUP(EC108,'Dispensed Ink Rates'!C:C,'Dispensed Ink Rates'!CS:CS),VLOOKUP(EC108,'Jan-2026 rates'!$E:$F,2,0)))</f>
        <v>0</v>
      </c>
      <c r="EQ108" s="409"/>
      <c r="ER108" s="398">
        <f>IF(EQ108=0,0,IF(LEN(ED108)=11,_xlfn.XLOOKUP(ED108,'Dispensed Ink Rates'!C:C,'Dispensed Ink Rates'!CS:CS),VLOOKUP(ED108,'Jan-2026 rates'!$E:$F,2,0)))</f>
        <v>0</v>
      </c>
      <c r="ES108" s="409"/>
      <c r="ET108" s="398">
        <f>IF(ES108=0,0,IF(LEN(EE108)=11,_xlfn.XLOOKUP(EE108,'Dispensed Ink Rates'!C:C,'Dispensed Ink Rates'!CS:CS),VLOOKUP(EE108,'Jan-2026 rates'!$E:$F,2,0)))</f>
        <v>0</v>
      </c>
      <c r="EU108" s="409"/>
      <c r="EV108" s="398">
        <f>IF(EU108=0,0,IF(LEN(EF108)=11,_xlfn.XLOOKUP(EF108,'Dispensed Ink Rates'!C:C,'Dispensed Ink Rates'!CS:CS),VLOOKUP(EF108,'Jan-2026 rates'!$E:$F,2,0)))</f>
        <v>0</v>
      </c>
      <c r="EW108" s="409" t="s">
        <v>1443</v>
      </c>
      <c r="EX108" s="409">
        <v>27</v>
      </c>
      <c r="EY108" s="411">
        <f t="shared" si="91"/>
        <v>0</v>
      </c>
      <c r="EZ108" s="411">
        <f t="shared" si="92"/>
        <v>15.083333333333329</v>
      </c>
      <c r="FA108" s="410">
        <f t="shared" si="93"/>
        <v>0</v>
      </c>
      <c r="FB108" s="405" t="s">
        <v>545</v>
      </c>
      <c r="FC108" s="409" t="s">
        <v>3221</v>
      </c>
      <c r="FD108" s="420" t="str">
        <f t="shared" si="57"/>
        <v>FLINTSL - YELLOW</v>
      </c>
      <c r="FE108" s="409">
        <v>26</v>
      </c>
      <c r="FF108" s="411">
        <f>IF(FE108=0,0,IF($LB108=70%,VLOOKUP($FD108,'Jan-2026 rates'!$L:$R,4,0),IF($LB108=65%,VLOOKUP($FD108,'Jan-2026 rates'!$L:$R,4,0),IF($LB108=40%,VLOOKUP($FD108,'Jan-2026 rates'!$L:$R,5,0),IF($LB108=30%,VLOOKUP($FD108,'Jan-2026 rates'!$L:$R,6,0),IF($LB108=100%,VLOOKUP($FD108,'Jan-2026 rates'!$L:$R,7,0),IF($LB108=60%,VLOOKUP($FD108,'Jan-2026 rates'!$L:$S,8,0),IF($LB108=80%,VLOOKUP($FD108,'Jan-2026 rates'!L:T,9,0),0))))))))</f>
        <v>0</v>
      </c>
      <c r="FG108" s="412"/>
      <c r="FH108" s="409"/>
      <c r="FI108" s="411">
        <f>IF(FH108=0,0,IF($LB108=70%,VLOOKUP($FD108,'Jan-2026 rates'!$L:$R,4,0),IF($LB108=65%,VLOOKUP($FD108,'Jan-2026 rates'!$L:$R,4,0),IF($LB108=40%,VLOOKUP($FD108,'Jan-2026 rates'!$L:$R,5,0),IF($LB108=30%,VLOOKUP($FD108,'Jan-2026 rates'!$L:$R,6,0),IF($LB108=100%,VLOOKUP($FD108,'Jan-2026 rates'!$L:$R,7,0),IF($LB108=60%,VLOOKUP($FD108,'Jan-2026 rates'!$L:$S,8,0),IF($LB108=80%,VLOOKUP($FD108,'Jan-2026 rates'!L:T,9,0),0))))))))</f>
        <v>0</v>
      </c>
      <c r="FJ108" s="413">
        <v>26508000029</v>
      </c>
      <c r="FK108" s="413" t="s">
        <v>1266</v>
      </c>
      <c r="FL108" s="413"/>
      <c r="FM108" s="412"/>
      <c r="FN108" s="412"/>
      <c r="FO108" s="412"/>
      <c r="FP108" s="412"/>
      <c r="FQ108" s="412"/>
      <c r="FR108" s="409">
        <v>2</v>
      </c>
      <c r="FS108" s="398" t="e">
        <f>IF(FR108=0,0,IF(LEN(FJ108)=11,_xlfn.XLOOKUP(FJ108,'Dispensed Ink Rates'!C:C,'Dispensed Ink Rates'!CS:CS),VLOOKUP(FJ108,'Jan-2026 rates'!$E:$F,2,0)))</f>
        <v>#N/A</v>
      </c>
      <c r="FT108" s="409">
        <v>7</v>
      </c>
      <c r="FU108" s="398">
        <f>IF(FT108=0,0,IF(LEN(FK108)=11,_xlfn.XLOOKUP(FK108,'Dispensed Ink Rates'!C:C,'Dispensed Ink Rates'!CS:CS),VLOOKUP(FK108,'Jan-2026 rates'!$E:$F,2,0)))</f>
        <v>0</v>
      </c>
      <c r="FV108" s="409"/>
      <c r="FW108" s="398">
        <f>IF(FV108=0,0,IF(LEN(FL108)=11,_xlfn.XLOOKUP(FL108,'Dispensed Ink Rates'!C:C,'Dispensed Ink Rates'!CS:CS),VLOOKUP(FL108,'Jan-2026 rates'!$E:$F,2,0)))</f>
        <v>0</v>
      </c>
      <c r="FX108" s="409"/>
      <c r="FY108" s="398">
        <f>IF(FX108=0,0,IF(LEN(FM108)=11,_xlfn.XLOOKUP(FM108,'Dispensed Ink Rates'!C:C,'Dispensed Ink Rates'!CS:CS),VLOOKUP(FM108,'Jan-2026 rates'!$E:$F,2,0)))</f>
        <v>0</v>
      </c>
      <c r="FZ108" s="409"/>
      <c r="GA108" s="398">
        <f>IF(FZ108=0,0,IF(LEN(FN108)=11,_xlfn.XLOOKUP(FN108,'Dispensed Ink Rates'!C:C,'Dispensed Ink Rates'!CS:CS),VLOOKUP(FN108,'Jan-2026 rates'!$E:$F,2,0)))</f>
        <v>0</v>
      </c>
      <c r="GB108" s="409"/>
      <c r="GC108" s="398">
        <f>IF(GB108=0,0,IF(LEN(FO108)=11,_xlfn.XLOOKUP(FO108,'Dispensed Ink Rates'!C:C,'Dispensed Ink Rates'!CS:CS),VLOOKUP(FO108,'Jan-2026 rates'!$E:$F,2,0)))</f>
        <v>0</v>
      </c>
      <c r="GD108" s="409"/>
      <c r="GE108" s="398">
        <f>IF(GD108=0,0,IF(LEN(FP108)=11,_xlfn.XLOOKUP(FP108,'Dispensed Ink Rates'!C:C,'Dispensed Ink Rates'!CS:CS),VLOOKUP(FP108,'Jan-2026 rates'!$E:$F,2,0)))</f>
        <v>0</v>
      </c>
      <c r="GF108" s="409"/>
      <c r="GG108" s="398">
        <f>IF(GF108=0,0,IF(LEN(FQ108)=11,_xlfn.XLOOKUP(FQ108,'Dispensed Ink Rates'!C:C,'Dispensed Ink Rates'!CS:CS),VLOOKUP(FQ108,'Jan-2026 rates'!$E:$F,2,0)))</f>
        <v>0</v>
      </c>
      <c r="GH108" s="409" t="s">
        <v>1443</v>
      </c>
      <c r="GI108" s="409">
        <v>26</v>
      </c>
      <c r="GJ108" s="411">
        <f t="shared" si="94"/>
        <v>0</v>
      </c>
      <c r="GK108" s="411">
        <f t="shared" si="95"/>
        <v>20.083333333333329</v>
      </c>
      <c r="GL108" s="410">
        <f t="shared" si="96"/>
        <v>0</v>
      </c>
      <c r="GM108" s="405" t="s">
        <v>856</v>
      </c>
      <c r="GN108" s="409" t="s">
        <v>3222</v>
      </c>
      <c r="GO108" s="420" t="str">
        <f t="shared" si="58"/>
        <v>FLINTSL - WHITE</v>
      </c>
      <c r="GP108" s="409">
        <v>27</v>
      </c>
      <c r="GQ108" s="411">
        <f>IF(GP108=0,0,IF($LB108=70%,VLOOKUP($GO108,'Jan-2026 rates'!$L:$R,4,0),IF($LB108=65%,VLOOKUP($GO108,'Jan-2026 rates'!$L:$R,4,0),IF($LB108=40%,VLOOKUP($GO108,'Jan-2026 rates'!$L:$R,5,0),IF($LB108=30%,VLOOKUP($GO108,'Jan-2026 rates'!$L:$R,6,0),IF($LB108=100%,VLOOKUP($GO108,'Jan-2026 rates'!$L:$R,7,0),IF($LB108=60%,VLOOKUP($GO108,'Jan-2026 rates'!$L:$S,8,0),IF($LB108=80%,VLOOKUP($GO108,'Jan-2026 rates'!L:T,9,0),0))))))))</f>
        <v>0</v>
      </c>
      <c r="GR108" s="412"/>
      <c r="GS108" s="409"/>
      <c r="GT108" s="411">
        <f>IF(GS108=0,0,IF($LB108=70%,VLOOKUP($GO108,'Jan-2026 rates'!$L:$R,4,0),IF($LB108=65%,VLOOKUP($GO108,'Jan-2026 rates'!$L:$R,4,0),IF($LB108=40%,VLOOKUP($GO108,'Jan-2026 rates'!$L:$R,5,0),IF($LB108=30%,VLOOKUP($GO108,'Jan-2026 rates'!$L:$R,6,0),IF($LB108=100%,VLOOKUP($GO108,'Jan-2026 rates'!$L:$R,7,0),IF($LB108=60%,VLOOKUP($GO108,'Jan-2026 rates'!$L:$S,8,0),IF($LB108=80%,VLOOKUP($GO108,'Jan-2026 rates'!L:T,9,0),0))))))))</f>
        <v>0</v>
      </c>
      <c r="GU108" s="413" t="s">
        <v>484</v>
      </c>
      <c r="GV108" s="413"/>
      <c r="GW108" s="412"/>
      <c r="GX108" s="412"/>
      <c r="GY108" s="412"/>
      <c r="GZ108" s="412"/>
      <c r="HA108" s="412"/>
      <c r="HB108" s="412"/>
      <c r="HC108" s="409">
        <f>100+50</f>
        <v>150</v>
      </c>
      <c r="HD108" s="398">
        <f>IF(HC108=0,0,IF(LEN(GU108)=11,_xlfn.XLOOKUP(GU108,'Dispensed Ink Rates'!C:C,'Dispensed Ink Rates'!CS:CS),VLOOKUP(GU108,'Jan-2026 rates'!$E:$F,2,0)))</f>
        <v>0</v>
      </c>
      <c r="HE108" s="409"/>
      <c r="HF108" s="398">
        <f>IF(HE108=0,0,IF(LEN(GV108)=11,_xlfn.XLOOKUP(GV108,'Dispensed Ink Rates'!C:C,'Dispensed Ink Rates'!CS:CS),VLOOKUP(GV108,'Jan-2026 rates'!$E:$F,2,0)))</f>
        <v>0</v>
      </c>
      <c r="HG108" s="409"/>
      <c r="HH108" s="398">
        <f>IF(HG108=0,0,IF(LEN(GW108)=11,_xlfn.XLOOKUP(GW108,'Dispensed Ink Rates'!C:C,'Dispensed Ink Rates'!CS:CS),VLOOKUP(GW108,'Jan-2026 rates'!$E:$F,2,0)))</f>
        <v>0</v>
      </c>
      <c r="HI108" s="409"/>
      <c r="HJ108" s="398">
        <f>IF(HI108=0,0,IF(LEN(GX108)=11,_xlfn.XLOOKUP(GX108,'Dispensed Ink Rates'!C:C,'Dispensed Ink Rates'!CS:CS),VLOOKUP(GX108,'Jan-2026 rates'!$E:$F,2,0)))</f>
        <v>0</v>
      </c>
      <c r="HK108" s="409"/>
      <c r="HL108" s="398">
        <f>IF(HK108=0,0,IF(LEN(GY108)=11,_xlfn.XLOOKUP(GY108,'Dispensed Ink Rates'!C:C,'Dispensed Ink Rates'!CS:CS),VLOOKUP(GY108,'Jan-2026 rates'!$E:$F,2,0)))</f>
        <v>0</v>
      </c>
      <c r="HM108" s="409"/>
      <c r="HN108" s="398">
        <f>IF(HM108=0,0,IF(LEN(GZ108)=11,_xlfn.XLOOKUP(GZ108,'Dispensed Ink Rates'!C:C,'Dispensed Ink Rates'!CS:CS),VLOOKUP(GZ108,'Jan-2026 rates'!$E:$F,2,0)))</f>
        <v>0</v>
      </c>
      <c r="HO108" s="409"/>
      <c r="HP108" s="398">
        <f>IF(HO108=0,0,IF(LEN(HA108)=11,_xlfn.XLOOKUP(HA108,'Dispensed Ink Rates'!C:C,'Dispensed Ink Rates'!CS:CS),VLOOKUP(HA108,'Jan-2026 rates'!$E:$F,2,0)))</f>
        <v>0</v>
      </c>
      <c r="HQ108" s="409"/>
      <c r="HR108" s="398">
        <f>IF(HQ108=0,0,IF(LEN(HB108)=11,_xlfn.XLOOKUP(HB108,'Dispensed Ink Rates'!C:C,'Dispensed Ink Rates'!CS:CS),VLOOKUP(HB108,'Jan-2026 rates'!$E:$F,2,0)))</f>
        <v>0</v>
      </c>
      <c r="HS108" s="409" t="s">
        <v>1443</v>
      </c>
      <c r="HT108" s="409">
        <v>28</v>
      </c>
      <c r="HU108" s="411">
        <f t="shared" si="97"/>
        <v>0</v>
      </c>
      <c r="HV108" s="411">
        <f t="shared" si="98"/>
        <v>348.5</v>
      </c>
      <c r="HW108" s="414">
        <f t="shared" si="99"/>
        <v>0</v>
      </c>
      <c r="HX108" s="405"/>
      <c r="HY108" s="409"/>
      <c r="HZ108" s="420" t="str">
        <f t="shared" si="59"/>
        <v xml:space="preserve"> - </v>
      </c>
      <c r="IA108" s="409"/>
      <c r="IB108" s="411">
        <f>IF(IA108=0,0,IF($LB108=70%,VLOOKUP($HZ108,'Jan-2026 rates'!$L:$R,4,0),IF($LB108=65%,VLOOKUP($HZ108,'Jan-2026 rates'!$L:$R,4,0),IF($LB108=40%,VLOOKUP($HZ108,'Jan-2026 rates'!$L:$R,5,0),IF($LB108=30%,VLOOKUP($HZ108,'Jan-2026 rates'!$L:$R,6,0),IF($LB108=100%,VLOOKUP($HZ108,'Jan-2026 rates'!$L:$R,7,0),IF($LB108=60%,VLOOKUP($HZ108,'Jan-2026 rates'!$L:$S,8,0),IF($LB108=80%,VLOOKUP($HZ108,'Jan-2026 rates'!L:T,9,0),0))))))))</f>
        <v>0</v>
      </c>
      <c r="IC108" s="412"/>
      <c r="ID108" s="409"/>
      <c r="IE108" s="411">
        <f>IF(ID108=0,0,IF($LB108=70%,VLOOKUP($HZ108,'Jan-2026 rates'!$L:$R,4,0),IF($LB108=65%,VLOOKUP($HZ108,'Jan-2026 rates'!$L:$R,4,0),IF($LB108=40%,VLOOKUP($HZ108,'Jan-2026 rates'!$L:$R,5,0),IF($LB108=30%,VLOOKUP($HZ108,'Jan-2026 rates'!$L:$R,6,0),IF($LB108=100%,VLOOKUP($HZ108,'Jan-2026 rates'!$L:$R,7,0),IF($LB108=60%,VLOOKUP($HZ108,'Jan-2026 rates'!$L:$S,8,0),IF($LB108=80%,VLOOKUP($HZ108,'Jan-2026 rates'!L:T,9,0),0))))))))</f>
        <v>0</v>
      </c>
      <c r="IF108" s="412"/>
      <c r="IG108" s="413"/>
      <c r="IH108" s="412"/>
      <c r="II108" s="412"/>
      <c r="IJ108" s="412"/>
      <c r="IK108" s="412"/>
      <c r="IL108" s="412"/>
      <c r="IM108" s="412"/>
      <c r="IN108" s="409"/>
      <c r="IO108" s="398">
        <f>IF(IN108=0,0,IF(LEN(IF108)=11,_xlfn.XLOOKUP(IF108,'Dispensed Ink Rates'!C:C,'Dispensed Ink Rates'!CS:CS),VLOOKUP(IF108,'Jan-2026 rates'!$E:$F,2,0)))</f>
        <v>0</v>
      </c>
      <c r="IP108" s="409"/>
      <c r="IQ108" s="398">
        <f>IF(IP108=0,0,IF(LEN(IG108)=11,_xlfn.XLOOKUP(IG108,'Dispensed Ink Rates'!C:C,'Dispensed Ink Rates'!CS:CS),VLOOKUP(IG108,'Jan-2026 rates'!$E:$F,2,0)))</f>
        <v>0</v>
      </c>
      <c r="IR108" s="409"/>
      <c r="IS108" s="398">
        <f>IF(IR108=0,0,IF(LEN(IH108)=11,_xlfn.XLOOKUP(IH108,'Dispensed Ink Rates'!C:C,'Dispensed Ink Rates'!CS:CS),VLOOKUP(IH108,'Jan-2026 rates'!$E:$F,2,0)))</f>
        <v>0</v>
      </c>
      <c r="IT108" s="409"/>
      <c r="IU108" s="398">
        <f>IF(IT108=0,0,IF(LEN(II108)=11,_xlfn.XLOOKUP(II108,'Dispensed Ink Rates'!C:C,'Dispensed Ink Rates'!CS:CS),VLOOKUP(II108,'Jan-2026 rates'!$E:$F,2,0)))</f>
        <v>0</v>
      </c>
      <c r="IV108" s="409"/>
      <c r="IW108" s="398">
        <f>IF(IV108=0,0,IF(LEN(IJ108)=11,_xlfn.XLOOKUP(IJ108,'Dispensed Ink Rates'!C:C,'Dispensed Ink Rates'!CS:CS),VLOOKUP(IJ108,'Jan-2026 rates'!$E:$F,2,0)))</f>
        <v>0</v>
      </c>
      <c r="IX108" s="409"/>
      <c r="IY108" s="398">
        <f>IF(IX108=0,0,IF(LEN(IK108)=11,_xlfn.XLOOKUP(IK108,'Dispensed Ink Rates'!C:C,'Dispensed Ink Rates'!CS:CS),VLOOKUP(IK108,'Jan-2026 rates'!$E:$F,2,0)))</f>
        <v>0</v>
      </c>
      <c r="IZ108" s="409"/>
      <c r="JA108" s="398">
        <f>IF(IZ108=0,0,IF(LEN(IL108)=11,_xlfn.XLOOKUP(IL108,'Dispensed Ink Rates'!C:C,'Dispensed Ink Rates'!CS:CS),VLOOKUP(IL108,'Jan-2026 rates'!$E:$F,2,0)))</f>
        <v>0</v>
      </c>
      <c r="JB108" s="409"/>
      <c r="JC108" s="398">
        <f>IF(JB108=0,0,IF(LEN(IM108)=11,_xlfn.XLOOKUP(IM108,'Dispensed Ink Rates'!C:C,'Dispensed Ink Rates'!CS:CS),VLOOKUP(IM108,'Jan-2026 rates'!$E:$F,2,0)))</f>
        <v>0</v>
      </c>
      <c r="JD108" s="409"/>
      <c r="JE108" s="409"/>
      <c r="JF108" s="411">
        <f t="shared" si="100"/>
        <v>0</v>
      </c>
      <c r="JG108" s="411">
        <f t="shared" si="101"/>
        <v>0</v>
      </c>
      <c r="JH108" s="410">
        <f t="shared" si="102"/>
        <v>0</v>
      </c>
      <c r="JI108" s="405"/>
      <c r="JJ108" s="409"/>
      <c r="JK108" s="420" t="str">
        <f t="shared" si="60"/>
        <v xml:space="preserve"> - </v>
      </c>
      <c r="JL108" s="409"/>
      <c r="JM108" s="411">
        <f>IF(JL108=0,0,IF($LB108=70%,VLOOKUP($JK108,'Jan-2026 rates'!$L:$R,4,0),IF($LB108=65%,VLOOKUP($JK108,'Jan-2026 rates'!$L:$R,4,0),IF($LB108=40%,VLOOKUP($JK108,'Jan-2026 rates'!$L:$R,5,0),IF($LB108=30%,VLOOKUP($JK108,'Jan-2026 rates'!$L:$R,6,0),IF($LB108=100%,VLOOKUP($JK108,'Jan-2026 rates'!$L:$R,7,0),IF($LB108=60%,VLOOKUP($JK108,'Jan-2026 rates'!$L:$S,8,0),IF($LB108=80%,VLOOKUP($JK108,'Jan-2026 rates'!L:T,9,0),0))))))))</f>
        <v>0</v>
      </c>
      <c r="JN108" s="412"/>
      <c r="JO108" s="409"/>
      <c r="JP108" s="411">
        <f>IF(JO108=0,0,IF($LB108=70%,VLOOKUP($JK108,'Jan-2026 rates'!$L:$R,4,0),IF($LB108=65%,VLOOKUP($JK108,'Jan-2026 rates'!$L:$R,4,0),IF($LB108=40%,VLOOKUP($JK108,'Jan-2026 rates'!$L:$R,5,0),IF($LB108=30%,VLOOKUP($JK108,'Jan-2026 rates'!$L:$R,6,0),IF($LB108=100%,VLOOKUP($JK108,'Jan-2026 rates'!$L:$R,7,0),IF($LB108=60%,VLOOKUP($JK108,'Jan-2026 rates'!$L:$S,8,0),IF($LB108=80%,VLOOKUP($JK108,'Jan-2026 rates'!L:T,9,0),0))))))))</f>
        <v>0</v>
      </c>
      <c r="JQ108" s="413"/>
      <c r="JR108" s="412"/>
      <c r="JS108" s="413"/>
      <c r="JT108" s="413"/>
      <c r="JU108" s="412"/>
      <c r="JV108" s="412"/>
      <c r="JW108" s="412"/>
      <c r="JX108" s="412"/>
      <c r="JY108" s="409"/>
      <c r="JZ108" s="398">
        <f>IF(JY108=0,0,IF(LEN(JQ108)=11,_xlfn.XLOOKUP(JQ108,'Dispensed Ink Rates'!C:C,'Dispensed Ink Rates'!CS:CS),VLOOKUP(JQ108,'Jan-2026 rates'!$E:$F,2,0)))</f>
        <v>0</v>
      </c>
      <c r="KA108" s="409"/>
      <c r="KB108" s="398">
        <f>IF(KA108=0,0,IF(LEN(JR108)=11,_xlfn.XLOOKUP(JR108,'Dispensed Ink Rates'!C:C,'Dispensed Ink Rates'!CS:CS),VLOOKUP(JR108,'Jan-2026 rates'!$E:$F,2,0)))</f>
        <v>0</v>
      </c>
      <c r="KC108" s="409"/>
      <c r="KD108" s="398">
        <f>IF(KC108=0,0,IF(LEN(JS108)=11,_xlfn.XLOOKUP(JS108,'Dispensed Ink Rates'!C:C,'Dispensed Ink Rates'!CS:CS),VLOOKUP(JS108,'Jan-2026 rates'!$E:$F,2,0)))</f>
        <v>0</v>
      </c>
      <c r="KE108" s="409"/>
      <c r="KF108" s="398">
        <f>IF(KE108=0,0,IF(LEN(JT108)=11,_xlfn.XLOOKUP(JT108,'Dispensed Ink Rates'!C:C,'Dispensed Ink Rates'!CS:CS),VLOOKUP(JT108,'Jan-2026 rates'!$E:$F,2,0)))</f>
        <v>0</v>
      </c>
      <c r="KG108" s="409"/>
      <c r="KH108" s="398">
        <f>IF(KG108=0,0,IF(LEN(JU108)=11,_xlfn.XLOOKUP(JU108,'Dispensed Ink Rates'!C:C,'Dispensed Ink Rates'!CS:CS),VLOOKUP(JU108,'Jan-2026 rates'!$E:$F,2,0)))</f>
        <v>0</v>
      </c>
      <c r="KI108" s="409"/>
      <c r="KJ108" s="398">
        <f>IF(KI108=0,0,IF(LEN(JV108)=11,_xlfn.XLOOKUP(JV108,'Dispensed Ink Rates'!C:C,'Dispensed Ink Rates'!CS:CS),VLOOKUP(JV108,'Jan-2026 rates'!$E:$F,2,0)))</f>
        <v>0</v>
      </c>
      <c r="KK108" s="409"/>
      <c r="KL108" s="398">
        <f>IF(KK108=0,0,IF(LEN(JW108)=11,_xlfn.XLOOKUP(JW108,'Dispensed Ink Rates'!C:C,'Dispensed Ink Rates'!CS:CS),VLOOKUP(JW108,'Jan-2026 rates'!$E:$F,2,0)))</f>
        <v>0</v>
      </c>
      <c r="KM108" s="428"/>
      <c r="KN108" s="398">
        <f>IF(KM108=0,0,IF(LEN(JX108)=11,_xlfn.XLOOKUP(JX108,'Dispensed Ink Rates'!C:C,'Dispensed Ink Rates'!CS:CS),VLOOKUP(JX108,'Jan-2026 rates'!$E:$F,2,0)))</f>
        <v>0</v>
      </c>
      <c r="KO108" s="409"/>
      <c r="KP108" s="409"/>
      <c r="KQ108" s="411">
        <f t="shared" si="103"/>
        <v>0</v>
      </c>
      <c r="KR108" s="411">
        <f t="shared" si="104"/>
        <v>0</v>
      </c>
      <c r="KS108" s="410">
        <f t="shared" si="105"/>
        <v>0</v>
      </c>
      <c r="KT108" s="409">
        <v>5</v>
      </c>
      <c r="KU108" s="409">
        <v>10</v>
      </c>
      <c r="KV108" s="409">
        <v>5</v>
      </c>
      <c r="KW108" s="409">
        <v>5</v>
      </c>
      <c r="KX108" s="409">
        <v>5</v>
      </c>
      <c r="KY108" s="409">
        <f>30+60</f>
        <v>90</v>
      </c>
      <c r="KZ108" s="409">
        <v>0</v>
      </c>
      <c r="LA108" s="409">
        <v>0</v>
      </c>
      <c r="LB108" s="415">
        <v>0.8</v>
      </c>
      <c r="LC108" s="415">
        <v>0.2</v>
      </c>
      <c r="LD108" s="415"/>
      <c r="LE108" s="415"/>
      <c r="LF108" s="415"/>
      <c r="LG108" s="409">
        <v>0</v>
      </c>
      <c r="LH108" s="409">
        <f>90+60+80+20+5+5+6</f>
        <v>266</v>
      </c>
      <c r="LI108" s="409">
        <v>0</v>
      </c>
      <c r="LJ108" s="409">
        <v>0</v>
      </c>
      <c r="LK108" s="416">
        <f t="shared" si="61"/>
        <v>266</v>
      </c>
      <c r="LL108" s="416">
        <f t="shared" si="62"/>
        <v>266</v>
      </c>
      <c r="LM108" s="417">
        <f t="shared" si="63"/>
        <v>212.8</v>
      </c>
      <c r="LN108" s="417">
        <f>VLOOKUP($LM$8,'Jan-2026 rates'!$H:$I,2,0)</f>
        <v>0</v>
      </c>
      <c r="LO108" s="417">
        <f t="shared" si="64"/>
        <v>53.2</v>
      </c>
      <c r="LP108" s="417">
        <f>VLOOKUP($LO$8,'Jan-2026 rates'!$H:$I,2,0)</f>
        <v>0</v>
      </c>
      <c r="LQ108" s="417">
        <f t="shared" si="65"/>
        <v>0</v>
      </c>
      <c r="LR108" s="417">
        <f>VLOOKUP($LQ$8,'Jan-2026 rates'!$H:$I,2,0)</f>
        <v>0</v>
      </c>
      <c r="LS108" s="417">
        <f t="shared" si="66"/>
        <v>0</v>
      </c>
      <c r="LT108" s="417">
        <f>VLOOKUP($LS$8,'Jan-2026 rates'!$H:$I,2,0)</f>
        <v>0</v>
      </c>
      <c r="LU108" s="417">
        <f t="shared" si="67"/>
        <v>0</v>
      </c>
      <c r="LV108" s="417">
        <f>VLOOKUP($LU$8,'Jan-2026 rates'!$H:$I,2,0)</f>
        <v>0</v>
      </c>
      <c r="LW108" s="417">
        <f t="shared" si="68"/>
        <v>0</v>
      </c>
      <c r="LX108" s="417">
        <f t="shared" si="69"/>
        <v>0</v>
      </c>
      <c r="LY108" s="418">
        <f t="shared" si="70"/>
        <v>0</v>
      </c>
      <c r="LZ108" s="417"/>
      <c r="MA108" s="435">
        <f t="shared" si="71"/>
        <v>193</v>
      </c>
      <c r="MB108" s="282">
        <f t="shared" si="72"/>
        <v>479</v>
      </c>
      <c r="MC108" s="283">
        <v>63</v>
      </c>
      <c r="MD108" s="284" t="str">
        <f t="shared" si="73"/>
        <v>FLINTSLFLINTSLFLINTSLFLINTSLFLINTSLFLINTSL</v>
      </c>
      <c r="ME108" s="293" t="str">
        <f t="shared" si="74"/>
        <v>+</v>
      </c>
      <c r="MF108" s="293" t="str">
        <f t="shared" si="75"/>
        <v>+</v>
      </c>
      <c r="MG108" s="293" t="str">
        <f t="shared" si="76"/>
        <v>+</v>
      </c>
      <c r="MH108" s="293" t="str">
        <f t="shared" si="77"/>
        <v>+</v>
      </c>
      <c r="MI108" s="293" t="str">
        <f t="shared" si="78"/>
        <v>+</v>
      </c>
      <c r="MJ108" s="293" t="str">
        <f t="shared" si="79"/>
        <v>+</v>
      </c>
      <c r="MK108" s="293" t="str">
        <f t="shared" si="80"/>
        <v>NIL</v>
      </c>
      <c r="ML108" s="293" t="str">
        <f t="shared" si="81"/>
        <v>NIL</v>
      </c>
      <c r="MM108" s="3" t="b">
        <f t="array" ref="MM108">OR(ME108:ML108="-")</f>
        <v>0</v>
      </c>
      <c r="MN108" s="285"/>
      <c r="MO108" s="401"/>
      <c r="MP108" s="286"/>
      <c r="MQ108" s="286"/>
      <c r="MR108" s="402"/>
      <c r="MS108" s="400"/>
      <c r="NH108" s="422"/>
      <c r="NJ108" s="421"/>
    </row>
    <row r="109" spans="1:374" s="1" customFormat="1" ht="16.5">
      <c r="A109" s="403">
        <v>46031</v>
      </c>
      <c r="B109" s="404" t="s">
        <v>1015</v>
      </c>
      <c r="C109" s="405" t="s">
        <v>3223</v>
      </c>
      <c r="D109" s="406">
        <v>64</v>
      </c>
      <c r="E109" s="404">
        <v>482</v>
      </c>
      <c r="F109" s="407">
        <v>23300</v>
      </c>
      <c r="G109" s="407" t="s">
        <v>1019</v>
      </c>
      <c r="H109" s="408" t="s">
        <v>1017</v>
      </c>
      <c r="I109" s="409">
        <v>1.9</v>
      </c>
      <c r="J109" s="405" t="s">
        <v>543</v>
      </c>
      <c r="K109" s="404" t="s">
        <v>3224</v>
      </c>
      <c r="L109" s="419" t="str">
        <f t="shared" si="54"/>
        <v>FLINTSL - BLACK</v>
      </c>
      <c r="M109" s="404">
        <v>24</v>
      </c>
      <c r="N109" s="410">
        <f>IF(M109=0,0,IF($LB109=70%,VLOOKUP($L109,'Jan-2026 rates'!$L:$R,4,0),IF($LB109=65%,VLOOKUP($L109,'Jan-2026 rates'!$L:$R,4,0),IF($LB109=40%,VLOOKUP($L109,'Jan-2026 rates'!$L:$R,5,0),IF($LB109=30%,VLOOKUP($L109,'Jan-2026 rates'!$L:$R,6,0),IF($LB109=100%,VLOOKUP($L109,'Jan-2026 rates'!$L:$R,7,0),IF($LB109=60%,VLOOKUP($L109,'Jan-2026 rates'!$L:$S,8,0),IF($LB109=80%,VLOOKUP($L109,'Jan-2026 rates'!L:T,9,0),0))))))))</f>
        <v>0</v>
      </c>
      <c r="O109" s="406"/>
      <c r="P109" s="404"/>
      <c r="Q109" s="410">
        <f>IF(P109=0,0,IF($LB109=70%,VLOOKUP($L109,'Jan-2026 rates'!$L:$R,4,0),IF($LB109=65%,VLOOKUP($L109,'Jan-2026 rates'!$L:$R,4,0),IF($LB109=40%,VLOOKUP($L109,'Jan-2026 rates'!$L:$R,5,0),IF($LB109=30%,VLOOKUP($L109,'Jan-2026 rates'!$L:$R,6,0),IF($LB109=100%,VLOOKUP($L109,'Jan-2026 rates'!$L:$R,7,0),IF($LB109=60%,VLOOKUP($L109,'Jan-2026 rates'!$L:$S,8,0),IF($LB109=80%,VLOOKUP($L109,'Jan-2026 rates'!L:T,9,0),0))))))))</f>
        <v>0</v>
      </c>
      <c r="R109" s="406" t="s">
        <v>1266</v>
      </c>
      <c r="S109" s="406"/>
      <c r="T109" s="406"/>
      <c r="U109" s="406"/>
      <c r="V109" s="406"/>
      <c r="W109" s="406"/>
      <c r="X109" s="406"/>
      <c r="Y109" s="406"/>
      <c r="Z109" s="404">
        <v>2</v>
      </c>
      <c r="AA109" s="398">
        <f>IF(Z109=0,0,IF(LEN(R109)=11,_xlfn.XLOOKUP(R109,'Dispensed Ink Rates'!C:C,'Dispensed Ink Rates'!CS:CS),VLOOKUP(R109,'Jan-2026 rates'!$E:$F,2,0)))</f>
        <v>0</v>
      </c>
      <c r="AB109" s="404"/>
      <c r="AC109" s="398">
        <f>IF(AB109=0,0,IF(LEN(S109)=11,_xlfn.XLOOKUP(S109,'Dispensed Ink Rates'!C:C,'Dispensed Ink Rates'!CS:CS),VLOOKUP(S109,'Jan-2026 rates'!$E:$F,2,0)))</f>
        <v>0</v>
      </c>
      <c r="AD109" s="404"/>
      <c r="AE109" s="398">
        <f>IF(AD109=0,0,IF(LEN(T109)=11,_xlfn.XLOOKUP(T109,'Dispensed Ink Rates'!C:C,'Dispensed Ink Rates'!CS:CS),VLOOKUP(T109,'Jan-2026 rates'!$E:$F,2,0)))</f>
        <v>0</v>
      </c>
      <c r="AF109" s="404"/>
      <c r="AG109" s="398">
        <f>IF(AF109=0,0,IF(LEN(U109)=11,_xlfn.XLOOKUP(U109,'Dispensed Ink Rates'!C:C,'Dispensed Ink Rates'!CS:CS),VLOOKUP(U109,'Jan-2026 rates'!$E:$F,2,0)))</f>
        <v>0</v>
      </c>
      <c r="AH109" s="404"/>
      <c r="AI109" s="398">
        <f>IF(AH109=0,0,IF(LEN(V109)=11,_xlfn.XLOOKUP(V109,'Dispensed Ink Rates'!C:C,'Dispensed Ink Rates'!CS:CS),VLOOKUP(V109,'Jan-2026 rates'!$E:$F,2,0)))</f>
        <v>0</v>
      </c>
      <c r="AJ109" s="404"/>
      <c r="AK109" s="398">
        <f>IF(AJ109=0,0,IF(LEN(W109)=11,_xlfn.XLOOKUP(W109,'Dispensed Ink Rates'!C:C,'Dispensed Ink Rates'!CS:CS),VLOOKUP(W109,'Jan-2026 rates'!$E:$F,2,0)))</f>
        <v>0</v>
      </c>
      <c r="AL109" s="404"/>
      <c r="AM109" s="398">
        <f>IF(AL109=0,0,IF(LEN(X109)=11,_xlfn.XLOOKUP(X109,'Dispensed Ink Rates'!C:C,'Dispensed Ink Rates'!CS:CS),VLOOKUP(X109,'Jan-2026 rates'!$E:$F,2,0)))</f>
        <v>0</v>
      </c>
      <c r="AN109" s="404"/>
      <c r="AO109" s="398">
        <f>IF(AN109=0,0,IF(LEN(Y109)=11,_xlfn.XLOOKUP(Y109,'Dispensed Ink Rates'!C:C,'Dispensed Ink Rates'!CS:CS),VLOOKUP(Y109,'Jan-2026 rates'!$E:$F,2,0)))</f>
        <v>0</v>
      </c>
      <c r="AP109" s="409" t="s">
        <v>1443</v>
      </c>
      <c r="AQ109" s="409">
        <v>24</v>
      </c>
      <c r="AR109" s="410">
        <f t="shared" si="82"/>
        <v>0</v>
      </c>
      <c r="AS109" s="411">
        <f t="shared" si="83"/>
        <v>11.388888888888886</v>
      </c>
      <c r="AT109" s="410">
        <f t="shared" si="84"/>
        <v>0</v>
      </c>
      <c r="AU109" s="405" t="s">
        <v>547</v>
      </c>
      <c r="AV109" s="409" t="s">
        <v>3082</v>
      </c>
      <c r="AW109" s="420" t="str">
        <f t="shared" si="53"/>
        <v>FLINTSL - GREEN</v>
      </c>
      <c r="AX109" s="409">
        <v>7</v>
      </c>
      <c r="AY109" s="411">
        <f>IF(AX109=0,0,IF($LB109=70%,VLOOKUP($AW109,'Jan-2026 rates'!$L:$R,4,0),IF($LB109=65%,VLOOKUP($AW109,'Jan-2026 rates'!$L:$R,4,0),IF($LB109=40%,VLOOKUP($AW109,'Jan-2026 rates'!$L:$R,5,0),IF($LB109=30%,VLOOKUP($AW109,'Jan-2026 rates'!$L:$R,6,0),IF($LB109=100%,VLOOKUP($AW109,'Jan-2026 rates'!$L:$R,7,0),IF($LB109=60%,VLOOKUP($AW109,'Jan-2026 rates'!$L:$S,8,0),IF($LB109=80%,VLOOKUP($AW109,'Jan-2026 rates'!L:T,9,0),0))))))))</f>
        <v>0</v>
      </c>
      <c r="AZ109" s="412" t="s">
        <v>3225</v>
      </c>
      <c r="BA109" s="409">
        <v>18</v>
      </c>
      <c r="BB109" s="411">
        <f>IF(BA109=0,0,IF($LB109=70%,VLOOKUP($AW109,'Jan-2026 rates'!$L:$R,4,0),IF($LB109=65%,VLOOKUP($AW109,'Jan-2026 rates'!$L:$R,4,0),IF($LB109=40%,VLOOKUP($AW109,'Jan-2026 rates'!$L:$R,5,0),IF($LB109=30%,VLOOKUP($AW109,'Jan-2026 rates'!$L:$R,6,0),IF($LB109=100%,VLOOKUP($AW109,'Jan-2026 rates'!$L:$R,7,0),IF($LB109=60%,VLOOKUP($AW109,'Jan-2026 rates'!$L:$S,8,0),IF($LB109=80%,VLOOKUP($AW109,'Jan-2026 rates'!L:T,9,0),0))))))))</f>
        <v>0</v>
      </c>
      <c r="BC109" s="413">
        <v>26508000029</v>
      </c>
      <c r="BD109" s="412">
        <v>26505000002</v>
      </c>
      <c r="BE109" s="412" t="s">
        <v>1266</v>
      </c>
      <c r="BF109" s="413">
        <v>26507000018</v>
      </c>
      <c r="BG109" s="412"/>
      <c r="BH109" s="412"/>
      <c r="BI109" s="412"/>
      <c r="BJ109" s="412"/>
      <c r="BK109" s="409">
        <v>2</v>
      </c>
      <c r="BL109" s="398" t="e">
        <f>IF(BK109=0,0,IF(LEN(BC109)=11,_xlfn.XLOOKUP(BC109,'Dispensed Ink Rates'!C:C,'Dispensed Ink Rates'!CS:CS),VLOOKUP(BC109,'Jan-2026 rates'!$E:$F,2,0)))</f>
        <v>#N/A</v>
      </c>
      <c r="BM109" s="409">
        <v>6</v>
      </c>
      <c r="BN109" s="398" t="e">
        <f>IF(BM109=0,0,IF(LEN(BD109)=11,_xlfn.XLOOKUP(BD109,'Dispensed Ink Rates'!C:C,'Dispensed Ink Rates'!CS:CS),VLOOKUP(BD109,'Jan-2026 rates'!$E:$F,2,0)))</f>
        <v>#N/A</v>
      </c>
      <c r="BO109" s="409">
        <v>3</v>
      </c>
      <c r="BP109" s="398">
        <f>IF(BO109=0,0,IF(LEN(BE109)=11,_xlfn.XLOOKUP(BE109,'Dispensed Ink Rates'!C:C,'Dispensed Ink Rates'!CS:CS),VLOOKUP(BE109,'Jan-2026 rates'!$E:$F,2,0)))</f>
        <v>0</v>
      </c>
      <c r="BQ109" s="409">
        <v>3</v>
      </c>
      <c r="BR109" s="398" t="e">
        <f>IF(BQ109=0,0,IF(LEN(BF109)=11,_xlfn.XLOOKUP(BF109,'Dispensed Ink Rates'!C:C,'Dispensed Ink Rates'!CS:CS),VLOOKUP(BF109,'Jan-2026 rates'!$E:$F,2,0)))</f>
        <v>#N/A</v>
      </c>
      <c r="BS109" s="409"/>
      <c r="BT109" s="398">
        <f>IF(BS109=0,0,IF(LEN(BG109)=11,_xlfn.XLOOKUP(BG109,'Dispensed Ink Rates'!C:C,'Dispensed Ink Rates'!CS:CS),VLOOKUP(BG109,'Jan-2026 rates'!$E:$F,2,0)))</f>
        <v>0</v>
      </c>
      <c r="BU109" s="409"/>
      <c r="BV109" s="398">
        <f>IF(BU109=0,0,IF(LEN(BH109)=11,_xlfn.XLOOKUP(BH109,'Dispensed Ink Rates'!C:C,'Dispensed Ink Rates'!CS:CS),VLOOKUP(BH109,'Jan-2026 rates'!$E:$F,2,0)))</f>
        <v>0</v>
      </c>
      <c r="BW109" s="409"/>
      <c r="BX109" s="398">
        <f>IF(BW109=0,0,IF(LEN(BI109)=11,_xlfn.XLOOKUP(BI109,'Dispensed Ink Rates'!C:C,'Dispensed Ink Rates'!CS:CS),VLOOKUP(BI109,'Jan-2026 rates'!$E:$F,2,0)))</f>
        <v>0</v>
      </c>
      <c r="BY109" s="409"/>
      <c r="BZ109" s="398">
        <f>IF(BY109=0,0,IF(LEN(BJ109)=11,_xlfn.XLOOKUP(BJ109,'Dispensed Ink Rates'!C:C,'Dispensed Ink Rates'!CS:CS),VLOOKUP(BJ109,'Jan-2026 rates'!$E:$F,2,0)))</f>
        <v>0</v>
      </c>
      <c r="CA109" s="409" t="s">
        <v>1443</v>
      </c>
      <c r="CB109" s="409">
        <v>28</v>
      </c>
      <c r="CC109" s="411">
        <f t="shared" si="85"/>
        <v>0</v>
      </c>
      <c r="CD109" s="411">
        <f t="shared" si="86"/>
        <v>20.388888888888886</v>
      </c>
      <c r="CE109" s="410">
        <f t="shared" si="87"/>
        <v>0</v>
      </c>
      <c r="CF109" s="404" t="s">
        <v>547</v>
      </c>
      <c r="CG109" s="409" t="s">
        <v>3150</v>
      </c>
      <c r="CH109" s="420" t="str">
        <f t="shared" si="55"/>
        <v>FLINTSL - GREEN</v>
      </c>
      <c r="CI109" s="409">
        <v>7</v>
      </c>
      <c r="CJ109" s="411">
        <f>IF(CI109=0,0,IF($LB109=70%,VLOOKUP($CH109,'Jan-2026 rates'!$L:$R,4,0),IF($LB109=65%,VLOOKUP($CH109,'Jan-2026 rates'!$L:$R,4,0),IF($LB109=40%,VLOOKUP($CH109,'Jan-2026 rates'!$L:$R,5,0),IF($LB109=30%,VLOOKUP($CH109,'Jan-2026 rates'!$L:$R,6,0),IF($LB109=100%,VLOOKUP($CH109,'Jan-2026 rates'!$L:$R,7,0),IF($LB109=60%,VLOOKUP($CH109,'Jan-2026 rates'!$L:$S,8,0),IF($LB109=80%,VLOOKUP($CH109,'Jan-2026 rates'!L:T,9,0),0))))))))</f>
        <v>0</v>
      </c>
      <c r="CK109" s="412" t="s">
        <v>3225</v>
      </c>
      <c r="CL109" s="409">
        <v>2</v>
      </c>
      <c r="CM109" s="411">
        <f>IF(CL109=0,0,IF($LB109=70%,VLOOKUP($CH109,'Jan-2026 rates'!$L:$R,4,0),IF($LB109=65%,VLOOKUP($CH109,'Jan-2026 rates'!$L:$R,4,0),IF($LB109=40%,VLOOKUP($CH109,'Jan-2026 rates'!$L:$R,5,0),IF($LB109=30%,VLOOKUP($CH109,'Jan-2026 rates'!$L:$R,6,0),IF($LB109=100%,VLOOKUP($CH109,'Jan-2026 rates'!$L:$R,7,0),IF($LB109=60%,VLOOKUP($CH109,'Jan-2026 rates'!$L:$S,8,0),IF($LB109=80%,VLOOKUP($CH109,'Jan-2026 rates'!L:T,9,0),0))))))))</f>
        <v>0</v>
      </c>
      <c r="CN109" s="426">
        <v>26507000018</v>
      </c>
      <c r="CO109" s="427">
        <v>26505000027</v>
      </c>
      <c r="CP109" s="426">
        <v>26509000012</v>
      </c>
      <c r="CQ109" s="426"/>
      <c r="CR109" s="428"/>
      <c r="CS109" s="428"/>
      <c r="CT109" s="428"/>
      <c r="CU109" s="428"/>
      <c r="CV109" s="409">
        <v>0.5</v>
      </c>
      <c r="CW109" s="398" t="e">
        <f>IF(CV109=0,0,IF(LEN(CN109)=11,_xlfn.XLOOKUP(CN109,'Dispensed Ink Rates'!C:C,'Dispensed Ink Rates'!CS:CS),VLOOKUP(CN109,'Jan-2026 rates'!$E:$F,2,0)))</f>
        <v>#N/A</v>
      </c>
      <c r="CX109" s="409">
        <v>1.4</v>
      </c>
      <c r="CY109" s="398" t="e">
        <f>IF(CX109=0,0,IF(LEN(CO109)=11,_xlfn.XLOOKUP(CO109,'Dispensed Ink Rates'!C:C,'Dispensed Ink Rates'!CS:CS),VLOOKUP(CO109,'Jan-2026 rates'!$E:$F,2,0)))</f>
        <v>#N/A</v>
      </c>
      <c r="CZ109" s="409">
        <v>20</v>
      </c>
      <c r="DA109" s="398" t="e">
        <f>IF(CZ109=0,0,IF(LEN(CP109)=11,_xlfn.XLOOKUP(CP109,'Dispensed Ink Rates'!C:C,'Dispensed Ink Rates'!CS:CS),VLOOKUP(CP109,'Jan-2026 rates'!$E:$F,2,0)))</f>
        <v>#N/A</v>
      </c>
      <c r="DB109" s="409"/>
      <c r="DC109" s="398">
        <f>IF(DB109=0,0,IF(LEN(CQ109)=11,_xlfn.XLOOKUP(CQ109,'Dispensed Ink Rates'!C:C,'Dispensed Ink Rates'!CS:CS),VLOOKUP(CQ109,'Jan-2026 rates'!$E:$F,2,0)))</f>
        <v>0</v>
      </c>
      <c r="DD109" s="409"/>
      <c r="DE109" s="398">
        <f>IF(DD109=0,0,IF(LEN(CR109)=11,_xlfn.XLOOKUP(CR109,'Dispensed Ink Rates'!C:C,'Dispensed Ink Rates'!CS:CS),VLOOKUP(CR109,'Jan-2026 rates'!$E:$F,2,0)))</f>
        <v>0</v>
      </c>
      <c r="DF109" s="409"/>
      <c r="DG109" s="398">
        <f>IF(DF109=0,0,IF(LEN(CS109)=11,_xlfn.XLOOKUP(CS109,'Dispensed Ink Rates'!C:C,'Dispensed Ink Rates'!CS:CS),VLOOKUP(CS109,'Jan-2026 rates'!$E:$F,2,0)))</f>
        <v>0</v>
      </c>
      <c r="DH109" s="409"/>
      <c r="DI109" s="398">
        <f>IF(DH109=0,0,IF(LEN(CT109)=11,_xlfn.XLOOKUP(CT109,'Dispensed Ink Rates'!C:C,'Dispensed Ink Rates'!CS:CS),VLOOKUP(CT109,'Jan-2026 rates'!$E:$F,2,0)))</f>
        <v>0</v>
      </c>
      <c r="DJ109" s="409"/>
      <c r="DK109" s="398">
        <f>IF(DJ109=0,0,IF(LEN(CU109)=11,_xlfn.XLOOKUP(CU109,'Dispensed Ink Rates'!C:C,'Dispensed Ink Rates'!CS:CS),VLOOKUP(CU109,'Jan-2026 rates'!$E:$F,2,0)))</f>
        <v>0</v>
      </c>
      <c r="DL109" s="409" t="s">
        <v>1443</v>
      </c>
      <c r="DM109" s="409">
        <v>13</v>
      </c>
      <c r="DN109" s="411">
        <f t="shared" si="88"/>
        <v>0</v>
      </c>
      <c r="DO109" s="411">
        <f t="shared" si="89"/>
        <v>24.159259259259258</v>
      </c>
      <c r="DP109" s="410">
        <f t="shared" si="90"/>
        <v>0</v>
      </c>
      <c r="DQ109" s="405" t="s">
        <v>545</v>
      </c>
      <c r="DR109" s="409"/>
      <c r="DS109" s="420" t="str">
        <f t="shared" si="56"/>
        <v>FLINTSL - YELLOW</v>
      </c>
      <c r="DT109" s="409"/>
      <c r="DU109" s="411">
        <f>IF(DT109=0,0,IF($LB109=70%,VLOOKUP($DS109,'Jan-2026 rates'!$L:$R,4,0),IF($LB109=65%,VLOOKUP($DS109,'Jan-2026 rates'!$L:$R,4,0),IF($LB109=40%,VLOOKUP($DS109,'Jan-2026 rates'!$L:$R,5,0),IF($LB109=30%,VLOOKUP($DS109,'Jan-2026 rates'!$L:$R,6,0),IF($LB109=100%,VLOOKUP($DS109,'Jan-2026 rates'!$L:$R,7,0),IF($LB109=60%,VLOOKUP($DS109,'Jan-2026 rates'!$L:$S,8,0),IF($LB109=80%,VLOOKUP($DS109,'Jan-2026 rates'!L:T,9,0),0))))))))</f>
        <v>0</v>
      </c>
      <c r="DV109" s="412"/>
      <c r="DW109" s="409"/>
      <c r="DX109" s="411">
        <f>IF(DW109=0,0,IF($LB109=70%,VLOOKUP($DS109,'Jan-2026 rates'!$L:$R,4,0),IF($LB109=65%,VLOOKUP($DS109,'Jan-2026 rates'!$L:$R,4,0),IF($LB109=40%,VLOOKUP($DS109,'Jan-2026 rates'!$L:$R,5,0),IF($LB109=30%,VLOOKUP($DS109,'Jan-2026 rates'!$L:$R,6,0),IF($LB109=100%,VLOOKUP($DS109,'Jan-2026 rates'!$L:$R,7,0),IF($LB109=60%,VLOOKUP($DS109,'Jan-2026 rates'!$L:$S,8,0),IF($LB109=80%,VLOOKUP($DS109,'Jan-2026 rates'!L:T,9,0),0))))))))</f>
        <v>0</v>
      </c>
      <c r="DY109" s="413">
        <v>26509000016</v>
      </c>
      <c r="DZ109" s="413">
        <v>26510000001</v>
      </c>
      <c r="EA109" s="412" t="s">
        <v>484</v>
      </c>
      <c r="EB109" s="412"/>
      <c r="EC109" s="412"/>
      <c r="ED109" s="412"/>
      <c r="EE109" s="412"/>
      <c r="EF109" s="412"/>
      <c r="EG109" s="409">
        <v>20</v>
      </c>
      <c r="EH109" s="398" t="e">
        <f>IF(EG109=0,0,IF(LEN(DY109)=11,_xlfn.XLOOKUP(DY109,'Dispensed Ink Rates'!C:C,'Dispensed Ink Rates'!CS:CS),VLOOKUP(DY109,'Jan-2026 rates'!$E:$F,2,0)))</f>
        <v>#N/A</v>
      </c>
      <c r="EI109" s="409">
        <v>30</v>
      </c>
      <c r="EJ109" s="398" t="e">
        <f>IF(EI109=0,0,IF(LEN(DZ109)=11,_xlfn.XLOOKUP(DZ109,'Dispensed Ink Rates'!C:C,'Dispensed Ink Rates'!CS:CS),VLOOKUP(DZ109,'Jan-2026 rates'!$E:$F,2,0)))</f>
        <v>#N/A</v>
      </c>
      <c r="EK109" s="409">
        <v>2</v>
      </c>
      <c r="EL109" s="398">
        <f>IF(EK109=0,0,IF(LEN(EA109)=11,_xlfn.XLOOKUP(EA109,'Dispensed Ink Rates'!C:C,'Dispensed Ink Rates'!CS:CS),VLOOKUP(EA109,'Jan-2026 rates'!$E:$F,2,0)))</f>
        <v>0</v>
      </c>
      <c r="EM109" s="409"/>
      <c r="EN109" s="398">
        <f>IF(EM109=0,0,IF(LEN(EB109)=11,_xlfn.XLOOKUP(EB109,'Dispensed Ink Rates'!C:C,'Dispensed Ink Rates'!CS:CS),VLOOKUP(EB109,'Jan-2026 rates'!$E:$F,2,0)))</f>
        <v>0</v>
      </c>
      <c r="EO109" s="409"/>
      <c r="EP109" s="398">
        <f>IF(EO109=0,0,IF(LEN(EC109)=11,_xlfn.XLOOKUP(EC109,'Dispensed Ink Rates'!C:C,'Dispensed Ink Rates'!CS:CS),VLOOKUP(EC109,'Jan-2026 rates'!$E:$F,2,0)))</f>
        <v>0</v>
      </c>
      <c r="EQ109" s="409"/>
      <c r="ER109" s="398">
        <f>IF(EQ109=0,0,IF(LEN(ED109)=11,_xlfn.XLOOKUP(ED109,'Dispensed Ink Rates'!C:C,'Dispensed Ink Rates'!CS:CS),VLOOKUP(ED109,'Jan-2026 rates'!$E:$F,2,0)))</f>
        <v>0</v>
      </c>
      <c r="ES109" s="409"/>
      <c r="ET109" s="398">
        <f>IF(ES109=0,0,IF(LEN(EE109)=11,_xlfn.XLOOKUP(EE109,'Dispensed Ink Rates'!C:C,'Dispensed Ink Rates'!CS:CS),VLOOKUP(EE109,'Jan-2026 rates'!$E:$F,2,0)))</f>
        <v>0</v>
      </c>
      <c r="EU109" s="409"/>
      <c r="EV109" s="398">
        <f>IF(EU109=0,0,IF(LEN(EF109)=11,_xlfn.XLOOKUP(EF109,'Dispensed Ink Rates'!C:C,'Dispensed Ink Rates'!CS:CS),VLOOKUP(EF109,'Jan-2026 rates'!$E:$F,2,0)))</f>
        <v>0</v>
      </c>
      <c r="EW109" s="409" t="s">
        <v>1443</v>
      </c>
      <c r="EX109" s="409">
        <v>20</v>
      </c>
      <c r="EY109" s="411">
        <f t="shared" si="91"/>
        <v>0</v>
      </c>
      <c r="EZ109" s="411">
        <f t="shared" si="92"/>
        <v>47.648148148148152</v>
      </c>
      <c r="FA109" s="410">
        <f t="shared" si="93"/>
        <v>0</v>
      </c>
      <c r="FB109" s="405" t="s">
        <v>855</v>
      </c>
      <c r="FC109" s="409" t="s">
        <v>3226</v>
      </c>
      <c r="FD109" s="420" t="str">
        <f t="shared" si="57"/>
        <v>FLINTSL - CYAN</v>
      </c>
      <c r="FE109" s="409">
        <v>25</v>
      </c>
      <c r="FF109" s="411">
        <f>IF(FE109=0,0,IF($LB109=70%,VLOOKUP($FD109,'Jan-2026 rates'!$L:$R,4,0),IF($LB109=65%,VLOOKUP($FD109,'Jan-2026 rates'!$L:$R,4,0),IF($LB109=40%,VLOOKUP($FD109,'Jan-2026 rates'!$L:$R,5,0),IF($LB109=30%,VLOOKUP($FD109,'Jan-2026 rates'!$L:$R,6,0),IF($LB109=100%,VLOOKUP($FD109,'Jan-2026 rates'!$L:$R,7,0),IF($LB109=60%,VLOOKUP($FD109,'Jan-2026 rates'!$L:$S,8,0),IF($LB109=80%,VLOOKUP($FD109,'Jan-2026 rates'!L:T,9,0),0))))))))</f>
        <v>0</v>
      </c>
      <c r="FG109" s="412"/>
      <c r="FH109" s="409"/>
      <c r="FI109" s="411">
        <f>IF(FH109=0,0,IF($LB109=70%,VLOOKUP($FD109,'Jan-2026 rates'!$L:$R,4,0),IF($LB109=65%,VLOOKUP($FD109,'Jan-2026 rates'!$L:$R,4,0),IF($LB109=40%,VLOOKUP($FD109,'Jan-2026 rates'!$L:$R,5,0),IF($LB109=30%,VLOOKUP($FD109,'Jan-2026 rates'!$L:$R,6,0),IF($LB109=100%,VLOOKUP($FD109,'Jan-2026 rates'!$L:$R,7,0),IF($LB109=60%,VLOOKUP($FD109,'Jan-2026 rates'!$L:$S,8,0),IF($LB109=80%,VLOOKUP($FD109,'Jan-2026 rates'!L:T,9,0),0))))))))</f>
        <v>0</v>
      </c>
      <c r="FJ109" s="413">
        <v>26507000018</v>
      </c>
      <c r="FK109" s="413" t="s">
        <v>1266</v>
      </c>
      <c r="FL109" s="413"/>
      <c r="FM109" s="412"/>
      <c r="FN109" s="412"/>
      <c r="FO109" s="412"/>
      <c r="FP109" s="412"/>
      <c r="FQ109" s="412"/>
      <c r="FR109" s="409">
        <v>2</v>
      </c>
      <c r="FS109" s="398" t="e">
        <f>IF(FR109=0,0,IF(LEN(FJ109)=11,_xlfn.XLOOKUP(FJ109,'Dispensed Ink Rates'!C:C,'Dispensed Ink Rates'!CS:CS),VLOOKUP(FJ109,'Jan-2026 rates'!$E:$F,2,0)))</f>
        <v>#N/A</v>
      </c>
      <c r="FT109" s="409">
        <v>1</v>
      </c>
      <c r="FU109" s="398">
        <f>IF(FT109=0,0,IF(LEN(FK109)=11,_xlfn.XLOOKUP(FK109,'Dispensed Ink Rates'!C:C,'Dispensed Ink Rates'!CS:CS),VLOOKUP(FK109,'Jan-2026 rates'!$E:$F,2,0)))</f>
        <v>0</v>
      </c>
      <c r="FV109" s="409"/>
      <c r="FW109" s="398">
        <f>IF(FV109=0,0,IF(LEN(FL109)=11,_xlfn.XLOOKUP(FL109,'Dispensed Ink Rates'!C:C,'Dispensed Ink Rates'!CS:CS),VLOOKUP(FL109,'Jan-2026 rates'!$E:$F,2,0)))</f>
        <v>0</v>
      </c>
      <c r="FX109" s="409"/>
      <c r="FY109" s="398">
        <f>IF(FX109=0,0,IF(LEN(FM109)=11,_xlfn.XLOOKUP(FM109,'Dispensed Ink Rates'!C:C,'Dispensed Ink Rates'!CS:CS),VLOOKUP(FM109,'Jan-2026 rates'!$E:$F,2,0)))</f>
        <v>0</v>
      </c>
      <c r="FZ109" s="409"/>
      <c r="GA109" s="398">
        <f>IF(FZ109=0,0,IF(LEN(FN109)=11,_xlfn.XLOOKUP(FN109,'Dispensed Ink Rates'!C:C,'Dispensed Ink Rates'!CS:CS),VLOOKUP(FN109,'Jan-2026 rates'!$E:$F,2,0)))</f>
        <v>0</v>
      </c>
      <c r="GB109" s="409"/>
      <c r="GC109" s="398">
        <f>IF(GB109=0,0,IF(LEN(FO109)=11,_xlfn.XLOOKUP(FO109,'Dispensed Ink Rates'!C:C,'Dispensed Ink Rates'!CS:CS),VLOOKUP(FO109,'Jan-2026 rates'!$E:$F,2,0)))</f>
        <v>0</v>
      </c>
      <c r="GD109" s="409"/>
      <c r="GE109" s="398">
        <f>IF(GD109=0,0,IF(LEN(FP109)=11,_xlfn.XLOOKUP(FP109,'Dispensed Ink Rates'!C:C,'Dispensed Ink Rates'!CS:CS),VLOOKUP(FP109,'Jan-2026 rates'!$E:$F,2,0)))</f>
        <v>0</v>
      </c>
      <c r="GF109" s="409"/>
      <c r="GG109" s="398">
        <f>IF(GF109=0,0,IF(LEN(FQ109)=11,_xlfn.XLOOKUP(FQ109,'Dispensed Ink Rates'!C:C,'Dispensed Ink Rates'!CS:CS),VLOOKUP(FQ109,'Jan-2026 rates'!$E:$F,2,0)))</f>
        <v>0</v>
      </c>
      <c r="GH109" s="409" t="s">
        <v>1443</v>
      </c>
      <c r="GI109" s="409">
        <v>27</v>
      </c>
      <c r="GJ109" s="411">
        <f t="shared" si="94"/>
        <v>0</v>
      </c>
      <c r="GK109" s="411">
        <f t="shared" si="95"/>
        <v>13.518518518518519</v>
      </c>
      <c r="GL109" s="410">
        <f t="shared" si="96"/>
        <v>0</v>
      </c>
      <c r="GM109" s="405" t="s">
        <v>544</v>
      </c>
      <c r="GN109" s="409" t="s">
        <v>3227</v>
      </c>
      <c r="GO109" s="420" t="str">
        <f t="shared" si="58"/>
        <v>FLINTSL - MAGENTA</v>
      </c>
      <c r="GP109" s="409">
        <v>27</v>
      </c>
      <c r="GQ109" s="411">
        <f>IF(GP109=0,0,IF($LB109=70%,VLOOKUP($GO109,'Jan-2026 rates'!$L:$R,4,0),IF($LB109=65%,VLOOKUP($GO109,'Jan-2026 rates'!$L:$R,4,0),IF($LB109=40%,VLOOKUP($GO109,'Jan-2026 rates'!$L:$R,5,0),IF($LB109=30%,VLOOKUP($GO109,'Jan-2026 rates'!$L:$R,6,0),IF($LB109=100%,VLOOKUP($GO109,'Jan-2026 rates'!$L:$R,7,0),IF($LB109=60%,VLOOKUP($GO109,'Jan-2026 rates'!$L:$S,8,0),IF($LB109=80%,VLOOKUP($GO109,'Jan-2026 rates'!L:T,9,0),0))))))))</f>
        <v>0</v>
      </c>
      <c r="GR109" s="412"/>
      <c r="GS109" s="409"/>
      <c r="GT109" s="411">
        <f>IF(GS109=0,0,IF($LB109=70%,VLOOKUP($GO109,'Jan-2026 rates'!$L:$R,4,0),IF($LB109=65%,VLOOKUP($GO109,'Jan-2026 rates'!$L:$R,4,0),IF($LB109=40%,VLOOKUP($GO109,'Jan-2026 rates'!$L:$R,5,0),IF($LB109=30%,VLOOKUP($GO109,'Jan-2026 rates'!$L:$R,6,0),IF($LB109=100%,VLOOKUP($GO109,'Jan-2026 rates'!$L:$R,7,0),IF($LB109=60%,VLOOKUP($GO109,'Jan-2026 rates'!$L:$S,8,0),IF($LB109=80%,VLOOKUP($GO109,'Jan-2026 rates'!L:T,9,0),0))))))))</f>
        <v>0</v>
      </c>
      <c r="GU109" s="413">
        <v>26512000010</v>
      </c>
      <c r="GV109" s="413"/>
      <c r="GW109" s="412"/>
      <c r="GX109" s="412"/>
      <c r="GY109" s="412"/>
      <c r="GZ109" s="412"/>
      <c r="HA109" s="412"/>
      <c r="HB109" s="412"/>
      <c r="HC109" s="409">
        <v>3</v>
      </c>
      <c r="HD109" s="398" t="e">
        <f>IF(HC109=0,0,IF(LEN(GU109)=11,_xlfn.XLOOKUP(GU109,'Dispensed Ink Rates'!C:C,'Dispensed Ink Rates'!CS:CS),VLOOKUP(GU109,'Jan-2026 rates'!$E:$F,2,0)))</f>
        <v>#N/A</v>
      </c>
      <c r="HE109" s="409"/>
      <c r="HF109" s="398">
        <f>IF(HE109=0,0,IF(LEN(GV109)=11,_xlfn.XLOOKUP(GV109,'Dispensed Ink Rates'!C:C,'Dispensed Ink Rates'!CS:CS),VLOOKUP(GV109,'Jan-2026 rates'!$E:$F,2,0)))</f>
        <v>0</v>
      </c>
      <c r="HG109" s="409"/>
      <c r="HH109" s="398">
        <f>IF(HG109=0,0,IF(LEN(GW109)=11,_xlfn.XLOOKUP(GW109,'Dispensed Ink Rates'!C:C,'Dispensed Ink Rates'!CS:CS),VLOOKUP(GW109,'Jan-2026 rates'!$E:$F,2,0)))</f>
        <v>0</v>
      </c>
      <c r="HI109" s="409"/>
      <c r="HJ109" s="398">
        <f>IF(HI109=0,0,IF(LEN(GX109)=11,_xlfn.XLOOKUP(GX109,'Dispensed Ink Rates'!C:C,'Dispensed Ink Rates'!CS:CS),VLOOKUP(GX109,'Jan-2026 rates'!$E:$F,2,0)))</f>
        <v>0</v>
      </c>
      <c r="HK109" s="409"/>
      <c r="HL109" s="398">
        <f>IF(HK109=0,0,IF(LEN(GY109)=11,_xlfn.XLOOKUP(GY109,'Dispensed Ink Rates'!C:C,'Dispensed Ink Rates'!CS:CS),VLOOKUP(GY109,'Jan-2026 rates'!$E:$F,2,0)))</f>
        <v>0</v>
      </c>
      <c r="HM109" s="409"/>
      <c r="HN109" s="398">
        <f>IF(HM109=0,0,IF(LEN(GZ109)=11,_xlfn.XLOOKUP(GZ109,'Dispensed Ink Rates'!C:C,'Dispensed Ink Rates'!CS:CS),VLOOKUP(GZ109,'Jan-2026 rates'!$E:$F,2,0)))</f>
        <v>0</v>
      </c>
      <c r="HO109" s="409"/>
      <c r="HP109" s="398">
        <f>IF(HO109=0,0,IF(LEN(HA109)=11,_xlfn.XLOOKUP(HA109,'Dispensed Ink Rates'!C:C,'Dispensed Ink Rates'!CS:CS),VLOOKUP(HA109,'Jan-2026 rates'!$E:$F,2,0)))</f>
        <v>0</v>
      </c>
      <c r="HQ109" s="409"/>
      <c r="HR109" s="398">
        <f>IF(HQ109=0,0,IF(LEN(HB109)=11,_xlfn.XLOOKUP(HB109,'Dispensed Ink Rates'!C:C,'Dispensed Ink Rates'!CS:CS),VLOOKUP(HB109,'Jan-2026 rates'!$E:$F,2,0)))</f>
        <v>0</v>
      </c>
      <c r="HS109" s="409" t="s">
        <v>1443</v>
      </c>
      <c r="HT109" s="409">
        <v>24</v>
      </c>
      <c r="HU109" s="411">
        <f t="shared" si="97"/>
        <v>0</v>
      </c>
      <c r="HV109" s="411">
        <f t="shared" si="98"/>
        <v>15.388888888888886</v>
      </c>
      <c r="HW109" s="414">
        <f t="shared" si="99"/>
        <v>0</v>
      </c>
      <c r="HX109" s="405" t="s">
        <v>545</v>
      </c>
      <c r="HY109" s="409" t="s">
        <v>3228</v>
      </c>
      <c r="HZ109" s="420" t="str">
        <f t="shared" si="59"/>
        <v>FLINTSL - YELLOW</v>
      </c>
      <c r="IA109" s="409">
        <v>26</v>
      </c>
      <c r="IB109" s="411">
        <f>IF(IA109=0,0,IF($LB109=70%,VLOOKUP($HZ109,'Jan-2026 rates'!$L:$R,4,0),IF($LB109=65%,VLOOKUP($HZ109,'Jan-2026 rates'!$L:$R,4,0),IF($LB109=40%,VLOOKUP($HZ109,'Jan-2026 rates'!$L:$R,5,0),IF($LB109=30%,VLOOKUP($HZ109,'Jan-2026 rates'!$L:$R,6,0),IF($LB109=100%,VLOOKUP($HZ109,'Jan-2026 rates'!$L:$R,7,0),IF($LB109=60%,VLOOKUP($HZ109,'Jan-2026 rates'!$L:$S,8,0),IF($LB109=80%,VLOOKUP($HZ109,'Jan-2026 rates'!L:T,9,0),0))))))))</f>
        <v>0</v>
      </c>
      <c r="IC109" s="412"/>
      <c r="ID109" s="409"/>
      <c r="IE109" s="411">
        <f>IF(ID109=0,0,IF($LB109=70%,VLOOKUP($HZ109,'Jan-2026 rates'!$L:$R,4,0),IF($LB109=65%,VLOOKUP($HZ109,'Jan-2026 rates'!$L:$R,4,0),IF($LB109=40%,VLOOKUP($HZ109,'Jan-2026 rates'!$L:$R,5,0),IF($LB109=30%,VLOOKUP($HZ109,'Jan-2026 rates'!$L:$R,6,0),IF($LB109=100%,VLOOKUP($HZ109,'Jan-2026 rates'!$L:$R,7,0),IF($LB109=60%,VLOOKUP($HZ109,'Jan-2026 rates'!$L:$S,8,0),IF($LB109=80%,VLOOKUP($HZ109,'Jan-2026 rates'!L:T,9,0),0))))))))</f>
        <v>0</v>
      </c>
      <c r="IF109" s="412">
        <v>26508000029</v>
      </c>
      <c r="IG109" s="413"/>
      <c r="IH109" s="412"/>
      <c r="II109" s="412"/>
      <c r="IJ109" s="412"/>
      <c r="IK109" s="412"/>
      <c r="IL109" s="412"/>
      <c r="IM109" s="412"/>
      <c r="IN109" s="409">
        <v>3</v>
      </c>
      <c r="IO109" s="398" t="e">
        <f>IF(IN109=0,0,IF(LEN(IF109)=11,_xlfn.XLOOKUP(IF109,'Dispensed Ink Rates'!C:C,'Dispensed Ink Rates'!CS:CS),VLOOKUP(IF109,'Jan-2026 rates'!$E:$F,2,0)))</f>
        <v>#N/A</v>
      </c>
      <c r="IP109" s="409"/>
      <c r="IQ109" s="398">
        <f>IF(IP109=0,0,IF(LEN(IG109)=11,_xlfn.XLOOKUP(IG109,'Dispensed Ink Rates'!C:C,'Dispensed Ink Rates'!CS:CS),VLOOKUP(IG109,'Jan-2026 rates'!$E:$F,2,0)))</f>
        <v>0</v>
      </c>
      <c r="IR109" s="409"/>
      <c r="IS109" s="398">
        <f>IF(IR109=0,0,IF(LEN(IH109)=11,_xlfn.XLOOKUP(IH109,'Dispensed Ink Rates'!C:C,'Dispensed Ink Rates'!CS:CS),VLOOKUP(IH109,'Jan-2026 rates'!$E:$F,2,0)))</f>
        <v>0</v>
      </c>
      <c r="IT109" s="409"/>
      <c r="IU109" s="398">
        <f>IF(IT109=0,0,IF(LEN(II109)=11,_xlfn.XLOOKUP(II109,'Dispensed Ink Rates'!C:C,'Dispensed Ink Rates'!CS:CS),VLOOKUP(II109,'Jan-2026 rates'!$E:$F,2,0)))</f>
        <v>0</v>
      </c>
      <c r="IV109" s="409"/>
      <c r="IW109" s="398">
        <f>IF(IV109=0,0,IF(LEN(IJ109)=11,_xlfn.XLOOKUP(IJ109,'Dispensed Ink Rates'!C:C,'Dispensed Ink Rates'!CS:CS),VLOOKUP(IJ109,'Jan-2026 rates'!$E:$F,2,0)))</f>
        <v>0</v>
      </c>
      <c r="IX109" s="409"/>
      <c r="IY109" s="398">
        <f>IF(IX109=0,0,IF(LEN(IK109)=11,_xlfn.XLOOKUP(IK109,'Dispensed Ink Rates'!C:C,'Dispensed Ink Rates'!CS:CS),VLOOKUP(IK109,'Jan-2026 rates'!$E:$F,2,0)))</f>
        <v>0</v>
      </c>
      <c r="IZ109" s="409"/>
      <c r="JA109" s="398">
        <f>IF(IZ109=0,0,IF(LEN(IL109)=11,_xlfn.XLOOKUP(IL109,'Dispensed Ink Rates'!C:C,'Dispensed Ink Rates'!CS:CS),VLOOKUP(IL109,'Jan-2026 rates'!$E:$F,2,0)))</f>
        <v>0</v>
      </c>
      <c r="JB109" s="409"/>
      <c r="JC109" s="398">
        <f>IF(JB109=0,0,IF(LEN(IM109)=11,_xlfn.XLOOKUP(IM109,'Dispensed Ink Rates'!C:C,'Dispensed Ink Rates'!CS:CS),VLOOKUP(IM109,'Jan-2026 rates'!$E:$F,2,0)))</f>
        <v>0</v>
      </c>
      <c r="JD109" s="409" t="s">
        <v>1443</v>
      </c>
      <c r="JE109" s="409">
        <v>26</v>
      </c>
      <c r="JF109" s="411">
        <f t="shared" si="100"/>
        <v>0</v>
      </c>
      <c r="JG109" s="411">
        <f t="shared" si="101"/>
        <v>15.518518518518519</v>
      </c>
      <c r="JH109" s="410">
        <f t="shared" si="102"/>
        <v>0</v>
      </c>
      <c r="JI109" s="405" t="s">
        <v>856</v>
      </c>
      <c r="JJ109" s="409" t="s">
        <v>3229</v>
      </c>
      <c r="JK109" s="420" t="str">
        <f t="shared" si="60"/>
        <v>FLINTSL - WHITE</v>
      </c>
      <c r="JL109" s="409">
        <v>28</v>
      </c>
      <c r="JM109" s="411">
        <f>IF(JL109=0,0,IF($LB109=70%,VLOOKUP($JK109,'Jan-2026 rates'!$L:$R,4,0),IF($LB109=65%,VLOOKUP($JK109,'Jan-2026 rates'!$L:$R,4,0),IF($LB109=40%,VLOOKUP($JK109,'Jan-2026 rates'!$L:$R,5,0),IF($LB109=30%,VLOOKUP($JK109,'Jan-2026 rates'!$L:$R,6,0),IF($LB109=100%,VLOOKUP($JK109,'Jan-2026 rates'!$L:$R,7,0),IF($LB109=60%,VLOOKUP($JK109,'Jan-2026 rates'!$L:$S,8,0),IF($LB109=80%,VLOOKUP($JK109,'Jan-2026 rates'!L:T,9,0),0))))))))</f>
        <v>0</v>
      </c>
      <c r="JN109" s="412"/>
      <c r="JO109" s="409"/>
      <c r="JP109" s="411">
        <f>IF(JO109=0,0,IF($LB109=70%,VLOOKUP($JK109,'Jan-2026 rates'!$L:$R,4,0),IF($LB109=65%,VLOOKUP($JK109,'Jan-2026 rates'!$L:$R,4,0),IF($LB109=40%,VLOOKUP($JK109,'Jan-2026 rates'!$L:$R,5,0),IF($LB109=30%,VLOOKUP($JK109,'Jan-2026 rates'!$L:$R,6,0),IF($LB109=100%,VLOOKUP($JK109,'Jan-2026 rates'!$L:$R,7,0),IF($LB109=60%,VLOOKUP($JK109,'Jan-2026 rates'!$L:$S,8,0),IF($LB109=80%,VLOOKUP($JK109,'Jan-2026 rates'!L:T,9,0),0))))))))</f>
        <v>0</v>
      </c>
      <c r="JQ109" s="413" t="s">
        <v>484</v>
      </c>
      <c r="JR109" s="412"/>
      <c r="JS109" s="413"/>
      <c r="JT109" s="413"/>
      <c r="JU109" s="412"/>
      <c r="JV109" s="412"/>
      <c r="JW109" s="412"/>
      <c r="JX109" s="412"/>
      <c r="JY109" s="409">
        <v>100</v>
      </c>
      <c r="JZ109" s="398">
        <f>IF(JY109=0,0,IF(LEN(JQ109)=11,_xlfn.XLOOKUP(JQ109,'Dispensed Ink Rates'!C:C,'Dispensed Ink Rates'!CS:CS),VLOOKUP(JQ109,'Jan-2026 rates'!$E:$F,2,0)))</f>
        <v>0</v>
      </c>
      <c r="KA109" s="409"/>
      <c r="KB109" s="398">
        <f>IF(KA109=0,0,IF(LEN(JR109)=11,_xlfn.XLOOKUP(JR109,'Dispensed Ink Rates'!C:C,'Dispensed Ink Rates'!CS:CS),VLOOKUP(JR109,'Jan-2026 rates'!$E:$F,2,0)))</f>
        <v>0</v>
      </c>
      <c r="KC109" s="409"/>
      <c r="KD109" s="398">
        <f>IF(KC109=0,0,IF(LEN(JS109)=11,_xlfn.XLOOKUP(JS109,'Dispensed Ink Rates'!C:C,'Dispensed Ink Rates'!CS:CS),VLOOKUP(JS109,'Jan-2026 rates'!$E:$F,2,0)))</f>
        <v>0</v>
      </c>
      <c r="KE109" s="409"/>
      <c r="KF109" s="398">
        <f>IF(KE109=0,0,IF(LEN(JT109)=11,_xlfn.XLOOKUP(JT109,'Dispensed Ink Rates'!C:C,'Dispensed Ink Rates'!CS:CS),VLOOKUP(JT109,'Jan-2026 rates'!$E:$F,2,0)))</f>
        <v>0</v>
      </c>
      <c r="KG109" s="409"/>
      <c r="KH109" s="398">
        <f>IF(KG109=0,0,IF(LEN(JU109)=11,_xlfn.XLOOKUP(JU109,'Dispensed Ink Rates'!C:C,'Dispensed Ink Rates'!CS:CS),VLOOKUP(JU109,'Jan-2026 rates'!$E:$F,2,0)))</f>
        <v>0</v>
      </c>
      <c r="KI109" s="409"/>
      <c r="KJ109" s="398">
        <f>IF(KI109=0,0,IF(LEN(JV109)=11,_xlfn.XLOOKUP(JV109,'Dispensed Ink Rates'!C:C,'Dispensed Ink Rates'!CS:CS),VLOOKUP(JV109,'Jan-2026 rates'!$E:$F,2,0)))</f>
        <v>0</v>
      </c>
      <c r="KK109" s="409"/>
      <c r="KL109" s="398">
        <f>IF(KK109=0,0,IF(LEN(JW109)=11,_xlfn.XLOOKUP(JW109,'Dispensed Ink Rates'!C:C,'Dispensed Ink Rates'!CS:CS),VLOOKUP(JW109,'Jan-2026 rates'!$E:$F,2,0)))</f>
        <v>0</v>
      </c>
      <c r="KM109" s="428"/>
      <c r="KN109" s="398">
        <f>IF(KM109=0,0,IF(LEN(JX109)=11,_xlfn.XLOOKUP(JX109,'Dispensed Ink Rates'!C:C,'Dispensed Ink Rates'!CS:CS),VLOOKUP(JX109,'Jan-2026 rates'!$E:$F,2,0)))</f>
        <v>0</v>
      </c>
      <c r="KO109" s="409" t="s">
        <v>1443</v>
      </c>
      <c r="KP109" s="409">
        <v>28</v>
      </c>
      <c r="KQ109" s="411">
        <f t="shared" si="103"/>
        <v>0</v>
      </c>
      <c r="KR109" s="411">
        <f t="shared" si="104"/>
        <v>193.88888888888891</v>
      </c>
      <c r="KS109" s="410">
        <f t="shared" si="105"/>
        <v>0</v>
      </c>
      <c r="KT109" s="409">
        <v>3</v>
      </c>
      <c r="KU109" s="409">
        <v>3</v>
      </c>
      <c r="KV109" s="409">
        <v>2</v>
      </c>
      <c r="KW109" s="409">
        <v>5</v>
      </c>
      <c r="KX109" s="409">
        <v>4</v>
      </c>
      <c r="KY109" s="409">
        <v>3</v>
      </c>
      <c r="KZ109" s="409">
        <v>4</v>
      </c>
      <c r="LA109" s="409">
        <v>30</v>
      </c>
      <c r="LB109" s="415">
        <v>0.8</v>
      </c>
      <c r="LC109" s="415">
        <v>0.2</v>
      </c>
      <c r="LD109" s="415"/>
      <c r="LE109" s="415"/>
      <c r="LF109" s="415"/>
      <c r="LG109" s="409">
        <v>0</v>
      </c>
      <c r="LH109" s="409">
        <f>35+30+80+20+4</f>
        <v>169</v>
      </c>
      <c r="LI109" s="409">
        <v>0</v>
      </c>
      <c r="LJ109" s="409">
        <v>0</v>
      </c>
      <c r="LK109" s="416">
        <f t="shared" si="61"/>
        <v>169</v>
      </c>
      <c r="LL109" s="416">
        <f t="shared" si="62"/>
        <v>169</v>
      </c>
      <c r="LM109" s="417">
        <f t="shared" si="63"/>
        <v>135.20000000000002</v>
      </c>
      <c r="LN109" s="417">
        <f>VLOOKUP($LM$8,'Jan-2026 rates'!$H:$I,2,0)</f>
        <v>0</v>
      </c>
      <c r="LO109" s="417">
        <f t="shared" si="64"/>
        <v>33.800000000000004</v>
      </c>
      <c r="LP109" s="417">
        <f>VLOOKUP($LO$8,'Jan-2026 rates'!$H:$I,2,0)</f>
        <v>0</v>
      </c>
      <c r="LQ109" s="417">
        <f t="shared" si="65"/>
        <v>0</v>
      </c>
      <c r="LR109" s="417">
        <f>VLOOKUP($LQ$8,'Jan-2026 rates'!$H:$I,2,0)</f>
        <v>0</v>
      </c>
      <c r="LS109" s="417">
        <f t="shared" si="66"/>
        <v>0</v>
      </c>
      <c r="LT109" s="417">
        <f>VLOOKUP($LS$8,'Jan-2026 rates'!$H:$I,2,0)</f>
        <v>0</v>
      </c>
      <c r="LU109" s="417">
        <f t="shared" si="67"/>
        <v>0</v>
      </c>
      <c r="LV109" s="417">
        <f>VLOOKUP($LU$8,'Jan-2026 rates'!$H:$I,2,0)</f>
        <v>0</v>
      </c>
      <c r="LW109" s="417">
        <f t="shared" si="68"/>
        <v>0</v>
      </c>
      <c r="LX109" s="417">
        <f t="shared" si="69"/>
        <v>0</v>
      </c>
      <c r="LY109" s="418">
        <f t="shared" si="70"/>
        <v>0</v>
      </c>
      <c r="LZ109" s="417"/>
      <c r="MA109" s="435">
        <f t="shared" si="71"/>
        <v>198.9</v>
      </c>
      <c r="MB109" s="282">
        <f t="shared" si="72"/>
        <v>341.90000000000003</v>
      </c>
      <c r="MC109" s="283">
        <v>64</v>
      </c>
      <c r="MD109" s="284" t="str">
        <f t="shared" si="73"/>
        <v>FLINTSLFLINTSLFLINTSLFLINTSLFLINTSLFLINTSLFLINTSLFLINTSL</v>
      </c>
      <c r="ME109" s="293" t="str">
        <f t="shared" si="74"/>
        <v>+</v>
      </c>
      <c r="MF109" s="293" t="str">
        <f t="shared" si="75"/>
        <v>+</v>
      </c>
      <c r="MG109" s="293" t="str">
        <f t="shared" si="76"/>
        <v>+</v>
      </c>
      <c r="MH109" s="293" t="str">
        <f t="shared" si="77"/>
        <v>+</v>
      </c>
      <c r="MI109" s="293" t="str">
        <f t="shared" si="78"/>
        <v>+</v>
      </c>
      <c r="MJ109" s="293" t="str">
        <f t="shared" si="79"/>
        <v>+</v>
      </c>
      <c r="MK109" s="293" t="str">
        <f t="shared" si="80"/>
        <v>+</v>
      </c>
      <c r="ML109" s="293" t="str">
        <f t="shared" si="81"/>
        <v>+</v>
      </c>
      <c r="MM109" s="3" t="b">
        <f t="array" ref="MM109">OR(ME109:ML109="-")</f>
        <v>0</v>
      </c>
      <c r="MN109" s="285"/>
      <c r="MO109" s="401"/>
      <c r="MP109" s="286"/>
      <c r="MQ109" s="286"/>
      <c r="MR109" s="402"/>
      <c r="MS109" s="400"/>
      <c r="NH109" s="422"/>
      <c r="NJ109" s="421"/>
    </row>
    <row r="110" spans="1:374" s="1" customFormat="1" ht="16.5">
      <c r="A110" s="403">
        <v>46031</v>
      </c>
      <c r="B110" s="404" t="s">
        <v>1015</v>
      </c>
      <c r="C110" s="405" t="s">
        <v>3230</v>
      </c>
      <c r="D110" s="406">
        <v>65</v>
      </c>
      <c r="E110" s="404">
        <v>480</v>
      </c>
      <c r="F110" s="407">
        <v>23300</v>
      </c>
      <c r="G110" s="407" t="s">
        <v>1019</v>
      </c>
      <c r="H110" s="408" t="s">
        <v>1017</v>
      </c>
      <c r="I110" s="409">
        <v>1.38</v>
      </c>
      <c r="J110" s="405" t="s">
        <v>543</v>
      </c>
      <c r="K110" s="404" t="s">
        <v>3231</v>
      </c>
      <c r="L110" s="419" t="str">
        <f t="shared" si="54"/>
        <v>FLINTSL - BLACK</v>
      </c>
      <c r="M110" s="404">
        <v>24</v>
      </c>
      <c r="N110" s="410">
        <f>IF(M110=0,0,IF($LB110=70%,VLOOKUP($L110,'Jan-2026 rates'!$L:$R,4,0),IF($LB110=65%,VLOOKUP($L110,'Jan-2026 rates'!$L:$R,4,0),IF($LB110=40%,VLOOKUP($L110,'Jan-2026 rates'!$L:$R,5,0),IF($LB110=30%,VLOOKUP($L110,'Jan-2026 rates'!$L:$R,6,0),IF($LB110=100%,VLOOKUP($L110,'Jan-2026 rates'!$L:$R,7,0),IF($LB110=60%,VLOOKUP($L110,'Jan-2026 rates'!$L:$S,8,0),IF($LB110=80%,VLOOKUP($L110,'Jan-2026 rates'!L:T,9,0),0))))))))</f>
        <v>0</v>
      </c>
      <c r="O110" s="406"/>
      <c r="P110" s="404"/>
      <c r="Q110" s="410">
        <f>IF(P110=0,0,IF($LB110=70%,VLOOKUP($L110,'Jan-2026 rates'!$L:$R,4,0),IF($LB110=65%,VLOOKUP($L110,'Jan-2026 rates'!$L:$R,4,0),IF($LB110=40%,VLOOKUP($L110,'Jan-2026 rates'!$L:$R,5,0),IF($LB110=30%,VLOOKUP($L110,'Jan-2026 rates'!$L:$R,6,0),IF($LB110=100%,VLOOKUP($L110,'Jan-2026 rates'!$L:$R,7,0),IF($LB110=60%,VLOOKUP($L110,'Jan-2026 rates'!$L:$S,8,0),IF($LB110=80%,VLOOKUP($L110,'Jan-2026 rates'!L:T,9,0),0))))))))</f>
        <v>0</v>
      </c>
      <c r="R110" s="406" t="s">
        <v>1266</v>
      </c>
      <c r="S110" s="406"/>
      <c r="T110" s="406"/>
      <c r="U110" s="406"/>
      <c r="V110" s="406"/>
      <c r="W110" s="406"/>
      <c r="X110" s="406"/>
      <c r="Y110" s="406"/>
      <c r="Z110" s="404">
        <v>5</v>
      </c>
      <c r="AA110" s="398">
        <f>IF(Z110=0,0,IF(LEN(R110)=11,_xlfn.XLOOKUP(R110,'Dispensed Ink Rates'!C:C,'Dispensed Ink Rates'!CS:CS),VLOOKUP(R110,'Jan-2026 rates'!$E:$F,2,0)))</f>
        <v>0</v>
      </c>
      <c r="AB110" s="404"/>
      <c r="AC110" s="398">
        <f>IF(AB110=0,0,IF(LEN(S110)=11,_xlfn.XLOOKUP(S110,'Dispensed Ink Rates'!C:C,'Dispensed Ink Rates'!CS:CS),VLOOKUP(S110,'Jan-2026 rates'!$E:$F,2,0)))</f>
        <v>0</v>
      </c>
      <c r="AD110" s="404"/>
      <c r="AE110" s="398">
        <f>IF(AD110=0,0,IF(LEN(T110)=11,_xlfn.XLOOKUP(T110,'Dispensed Ink Rates'!C:C,'Dispensed Ink Rates'!CS:CS),VLOOKUP(T110,'Jan-2026 rates'!$E:$F,2,0)))</f>
        <v>0</v>
      </c>
      <c r="AF110" s="404"/>
      <c r="AG110" s="398">
        <f>IF(AF110=0,0,IF(LEN(U110)=11,_xlfn.XLOOKUP(U110,'Dispensed Ink Rates'!C:C,'Dispensed Ink Rates'!CS:CS),VLOOKUP(U110,'Jan-2026 rates'!$E:$F,2,0)))</f>
        <v>0</v>
      </c>
      <c r="AH110" s="404"/>
      <c r="AI110" s="398">
        <f>IF(AH110=0,0,IF(LEN(V110)=11,_xlfn.XLOOKUP(V110,'Dispensed Ink Rates'!C:C,'Dispensed Ink Rates'!CS:CS),VLOOKUP(V110,'Jan-2026 rates'!$E:$F,2,0)))</f>
        <v>0</v>
      </c>
      <c r="AJ110" s="404"/>
      <c r="AK110" s="398">
        <f>IF(AJ110=0,0,IF(LEN(W110)=11,_xlfn.XLOOKUP(W110,'Dispensed Ink Rates'!C:C,'Dispensed Ink Rates'!CS:CS),VLOOKUP(W110,'Jan-2026 rates'!$E:$F,2,0)))</f>
        <v>0</v>
      </c>
      <c r="AL110" s="404"/>
      <c r="AM110" s="398">
        <f>IF(AL110=0,0,IF(LEN(X110)=11,_xlfn.XLOOKUP(X110,'Dispensed Ink Rates'!C:C,'Dispensed Ink Rates'!CS:CS),VLOOKUP(X110,'Jan-2026 rates'!$E:$F,2,0)))</f>
        <v>0</v>
      </c>
      <c r="AN110" s="404"/>
      <c r="AO110" s="398">
        <f>IF(AN110=0,0,IF(LEN(Y110)=11,_xlfn.XLOOKUP(Y110,'Dispensed Ink Rates'!C:C,'Dispensed Ink Rates'!CS:CS),VLOOKUP(Y110,'Jan-2026 rates'!$E:$F,2,0)))</f>
        <v>0</v>
      </c>
      <c r="AP110" s="409" t="s">
        <v>1443</v>
      </c>
      <c r="AQ110" s="409">
        <v>25</v>
      </c>
      <c r="AR110" s="410">
        <f t="shared" si="82"/>
        <v>0</v>
      </c>
      <c r="AS110" s="411">
        <f t="shared" si="83"/>
        <v>10</v>
      </c>
      <c r="AT110" s="410">
        <f t="shared" si="84"/>
        <v>0</v>
      </c>
      <c r="AU110" s="405" t="s">
        <v>546</v>
      </c>
      <c r="AV110" s="409" t="s">
        <v>3232</v>
      </c>
      <c r="AW110" s="420" t="str">
        <f t="shared" si="53"/>
        <v>FLINTSL - REFLEX BLUE</v>
      </c>
      <c r="AX110" s="409">
        <v>20</v>
      </c>
      <c r="AY110" s="411">
        <f>IF(AX110=0,0,IF($LB110=70%,VLOOKUP($AW110,'Jan-2026 rates'!$L:$R,4,0),IF($LB110=65%,VLOOKUP($AW110,'Jan-2026 rates'!$L:$R,4,0),IF($LB110=40%,VLOOKUP($AW110,'Jan-2026 rates'!$L:$R,5,0),IF($LB110=30%,VLOOKUP($AW110,'Jan-2026 rates'!$L:$R,6,0),IF($LB110=100%,VLOOKUP($AW110,'Jan-2026 rates'!$L:$R,7,0),IF($LB110=60%,VLOOKUP($AW110,'Jan-2026 rates'!$L:$S,8,0),IF($LB110=80%,VLOOKUP($AW110,'Jan-2026 rates'!L:T,9,0),0))))))))</f>
        <v>0</v>
      </c>
      <c r="AZ110" s="412"/>
      <c r="BA110" s="409"/>
      <c r="BB110" s="411">
        <f>IF(BA110=0,0,IF($LB110=70%,VLOOKUP($AW110,'Jan-2026 rates'!$L:$R,4,0),IF($LB110=65%,VLOOKUP($AW110,'Jan-2026 rates'!$L:$R,4,0),IF($LB110=40%,VLOOKUP($AW110,'Jan-2026 rates'!$L:$R,5,0),IF($LB110=30%,VLOOKUP($AW110,'Jan-2026 rates'!$L:$R,6,0),IF($LB110=100%,VLOOKUP($AW110,'Jan-2026 rates'!$L:$R,7,0),IF($LB110=60%,VLOOKUP($AW110,'Jan-2026 rates'!$L:$S,8,0),IF($LB110=80%,VLOOKUP($AW110,'Jan-2026 rates'!L:T,9,0),0))))))))</f>
        <v>0</v>
      </c>
      <c r="BC110" s="413">
        <v>26507000016</v>
      </c>
      <c r="BD110" s="412">
        <v>26506000001</v>
      </c>
      <c r="BE110" s="412"/>
      <c r="BF110" s="413"/>
      <c r="BG110" s="412"/>
      <c r="BH110" s="412"/>
      <c r="BI110" s="412"/>
      <c r="BJ110" s="412"/>
      <c r="BK110" s="409">
        <v>3</v>
      </c>
      <c r="BL110" s="398" t="e">
        <f>IF(BK110=0,0,IF(LEN(BC110)=11,_xlfn.XLOOKUP(BC110,'Dispensed Ink Rates'!C:C,'Dispensed Ink Rates'!CS:CS),VLOOKUP(BC110,'Jan-2026 rates'!$E:$F,2,0)))</f>
        <v>#N/A</v>
      </c>
      <c r="BM110" s="409">
        <v>2</v>
      </c>
      <c r="BN110" s="398" t="e">
        <f>IF(BM110=0,0,IF(LEN(BD110)=11,_xlfn.XLOOKUP(BD110,'Dispensed Ink Rates'!C:C,'Dispensed Ink Rates'!CS:CS),VLOOKUP(BD110,'Jan-2026 rates'!$E:$F,2,0)))</f>
        <v>#N/A</v>
      </c>
      <c r="BO110" s="409"/>
      <c r="BP110" s="398">
        <f>IF(BO110=0,0,IF(LEN(BE110)=11,_xlfn.XLOOKUP(BE110,'Dispensed Ink Rates'!C:C,'Dispensed Ink Rates'!CS:CS),VLOOKUP(BE110,'Jan-2026 rates'!$E:$F,2,0)))</f>
        <v>0</v>
      </c>
      <c r="BQ110" s="409"/>
      <c r="BR110" s="398">
        <f>IF(BQ110=0,0,IF(LEN(BF110)=11,_xlfn.XLOOKUP(BF110,'Dispensed Ink Rates'!C:C,'Dispensed Ink Rates'!CS:CS),VLOOKUP(BF110,'Jan-2026 rates'!$E:$F,2,0)))</f>
        <v>0</v>
      </c>
      <c r="BS110" s="409"/>
      <c r="BT110" s="398">
        <f>IF(BS110=0,0,IF(LEN(BG110)=11,_xlfn.XLOOKUP(BG110,'Dispensed Ink Rates'!C:C,'Dispensed Ink Rates'!CS:CS),VLOOKUP(BG110,'Jan-2026 rates'!$E:$F,2,0)))</f>
        <v>0</v>
      </c>
      <c r="BU110" s="409"/>
      <c r="BV110" s="398">
        <f>IF(BU110=0,0,IF(LEN(BH110)=11,_xlfn.XLOOKUP(BH110,'Dispensed Ink Rates'!C:C,'Dispensed Ink Rates'!CS:CS),VLOOKUP(BH110,'Jan-2026 rates'!$E:$F,2,0)))</f>
        <v>0</v>
      </c>
      <c r="BW110" s="409"/>
      <c r="BX110" s="398">
        <f>IF(BW110=0,0,IF(LEN(BI110)=11,_xlfn.XLOOKUP(BI110,'Dispensed Ink Rates'!C:C,'Dispensed Ink Rates'!CS:CS),VLOOKUP(BI110,'Jan-2026 rates'!$E:$F,2,0)))</f>
        <v>0</v>
      </c>
      <c r="BY110" s="409"/>
      <c r="BZ110" s="398">
        <f>IF(BY110=0,0,IF(LEN(BJ110)=11,_xlfn.XLOOKUP(BJ110,'Dispensed Ink Rates'!C:C,'Dispensed Ink Rates'!CS:CS),VLOOKUP(BJ110,'Jan-2026 rates'!$E:$F,2,0)))</f>
        <v>0</v>
      </c>
      <c r="CA110" s="409" t="s">
        <v>1443</v>
      </c>
      <c r="CB110" s="409">
        <v>17</v>
      </c>
      <c r="CC110" s="411">
        <f t="shared" si="85"/>
        <v>0</v>
      </c>
      <c r="CD110" s="411">
        <f t="shared" si="86"/>
        <v>14</v>
      </c>
      <c r="CE110" s="410">
        <f t="shared" si="87"/>
        <v>0</v>
      </c>
      <c r="CF110" s="404" t="s">
        <v>857</v>
      </c>
      <c r="CG110" s="409" t="s">
        <v>3210</v>
      </c>
      <c r="CH110" s="420" t="str">
        <f t="shared" si="55"/>
        <v>FLINTSL - RED</v>
      </c>
      <c r="CI110" s="409">
        <v>13</v>
      </c>
      <c r="CJ110" s="411">
        <f>IF(CI110=0,0,IF($LB110=70%,VLOOKUP($CH110,'Jan-2026 rates'!$L:$R,4,0),IF($LB110=65%,VLOOKUP($CH110,'Jan-2026 rates'!$L:$R,4,0),IF($LB110=40%,VLOOKUP($CH110,'Jan-2026 rates'!$L:$R,5,0),IF($LB110=30%,VLOOKUP($CH110,'Jan-2026 rates'!$L:$R,6,0),IF($LB110=100%,VLOOKUP($CH110,'Jan-2026 rates'!$L:$R,7,0),IF($LB110=60%,VLOOKUP($CH110,'Jan-2026 rates'!$L:$S,8,0),IF($LB110=80%,VLOOKUP($CH110,'Jan-2026 rates'!L:T,9,0),0))))))))</f>
        <v>0</v>
      </c>
      <c r="CK110" s="412" t="s">
        <v>3233</v>
      </c>
      <c r="CL110" s="409">
        <f>10+12</f>
        <v>22</v>
      </c>
      <c r="CM110" s="411">
        <f>IF(CL110=0,0,IF($LB110=70%,VLOOKUP($CH110,'Jan-2026 rates'!$L:$R,4,0),IF($LB110=65%,VLOOKUP($CH110,'Jan-2026 rates'!$L:$R,4,0),IF($LB110=40%,VLOOKUP($CH110,'Jan-2026 rates'!$L:$R,5,0),IF($LB110=30%,VLOOKUP($CH110,'Jan-2026 rates'!$L:$R,6,0),IF($LB110=100%,VLOOKUP($CH110,'Jan-2026 rates'!$L:$R,7,0),IF($LB110=60%,VLOOKUP($CH110,'Jan-2026 rates'!$L:$S,8,0),IF($LB110=80%,VLOOKUP($CH110,'Jan-2026 rates'!L:T,9,0),0))))))))</f>
        <v>0</v>
      </c>
      <c r="CN110" s="426">
        <v>26512000010</v>
      </c>
      <c r="CO110" s="427">
        <v>26505000028</v>
      </c>
      <c r="CP110" s="426"/>
      <c r="CQ110" s="426"/>
      <c r="CR110" s="428"/>
      <c r="CS110" s="428"/>
      <c r="CT110" s="428"/>
      <c r="CU110" s="428"/>
      <c r="CV110" s="409">
        <v>2</v>
      </c>
      <c r="CW110" s="398" t="e">
        <f>IF(CV110=0,0,IF(LEN(CN110)=11,_xlfn.XLOOKUP(CN110,'Dispensed Ink Rates'!C:C,'Dispensed Ink Rates'!CS:CS),VLOOKUP(CN110,'Jan-2026 rates'!$E:$F,2,0)))</f>
        <v>#N/A</v>
      </c>
      <c r="CX110" s="409">
        <v>2</v>
      </c>
      <c r="CY110" s="398" t="e">
        <f>IF(CX110=0,0,IF(LEN(CO110)=11,_xlfn.XLOOKUP(CO110,'Dispensed Ink Rates'!C:C,'Dispensed Ink Rates'!CS:CS),VLOOKUP(CO110,'Jan-2026 rates'!$E:$F,2,0)))</f>
        <v>#N/A</v>
      </c>
      <c r="CZ110" s="409"/>
      <c r="DA110" s="398">
        <f>IF(CZ110=0,0,IF(LEN(CP110)=11,_xlfn.XLOOKUP(CP110,'Dispensed Ink Rates'!C:C,'Dispensed Ink Rates'!CS:CS),VLOOKUP(CP110,'Jan-2026 rates'!$E:$F,2,0)))</f>
        <v>0</v>
      </c>
      <c r="DB110" s="409"/>
      <c r="DC110" s="398">
        <f>IF(DB110=0,0,IF(LEN(CQ110)=11,_xlfn.XLOOKUP(CQ110,'Dispensed Ink Rates'!C:C,'Dispensed Ink Rates'!CS:CS),VLOOKUP(CQ110,'Jan-2026 rates'!$E:$F,2,0)))</f>
        <v>0</v>
      </c>
      <c r="DD110" s="409"/>
      <c r="DE110" s="398">
        <f>IF(DD110=0,0,IF(LEN(CR110)=11,_xlfn.XLOOKUP(CR110,'Dispensed Ink Rates'!C:C,'Dispensed Ink Rates'!CS:CS),VLOOKUP(CR110,'Jan-2026 rates'!$E:$F,2,0)))</f>
        <v>0</v>
      </c>
      <c r="DF110" s="409"/>
      <c r="DG110" s="398">
        <f>IF(DF110=0,0,IF(LEN(CS110)=11,_xlfn.XLOOKUP(CS110,'Dispensed Ink Rates'!C:C,'Dispensed Ink Rates'!CS:CS),VLOOKUP(CS110,'Jan-2026 rates'!$E:$F,2,0)))</f>
        <v>0</v>
      </c>
      <c r="DH110" s="409"/>
      <c r="DI110" s="398">
        <f>IF(DH110=0,0,IF(LEN(CT110)=11,_xlfn.XLOOKUP(CT110,'Dispensed Ink Rates'!C:C,'Dispensed Ink Rates'!CS:CS),VLOOKUP(CT110,'Jan-2026 rates'!$E:$F,2,0)))</f>
        <v>0</v>
      </c>
      <c r="DJ110" s="409"/>
      <c r="DK110" s="398">
        <f>IF(DJ110=0,0,IF(LEN(CU110)=11,_xlfn.XLOOKUP(CU110,'Dispensed Ink Rates'!C:C,'Dispensed Ink Rates'!CS:CS),VLOOKUP(CU110,'Jan-2026 rates'!$E:$F,2,0)))</f>
        <v>0</v>
      </c>
      <c r="DL110" s="409" t="s">
        <v>1443</v>
      </c>
      <c r="DM110" s="409">
        <v>27</v>
      </c>
      <c r="DN110" s="411">
        <f t="shared" si="88"/>
        <v>0</v>
      </c>
      <c r="DO110" s="411">
        <f t="shared" si="89"/>
        <v>22</v>
      </c>
      <c r="DP110" s="410">
        <f t="shared" si="90"/>
        <v>0</v>
      </c>
      <c r="DQ110" s="405" t="s">
        <v>855</v>
      </c>
      <c r="DR110" s="409" t="s">
        <v>3234</v>
      </c>
      <c r="DS110" s="420" t="str">
        <f t="shared" si="56"/>
        <v>FLINTSL - CYAN</v>
      </c>
      <c r="DT110" s="409">
        <f>27+10</f>
        <v>37</v>
      </c>
      <c r="DU110" s="411">
        <f>IF(DT110=0,0,IF($LB110=70%,VLOOKUP($DS110,'Jan-2026 rates'!$L:$R,4,0),IF($LB110=65%,VLOOKUP($DS110,'Jan-2026 rates'!$L:$R,4,0),IF($LB110=40%,VLOOKUP($DS110,'Jan-2026 rates'!$L:$R,5,0),IF($LB110=30%,VLOOKUP($DS110,'Jan-2026 rates'!$L:$R,6,0),IF($LB110=100%,VLOOKUP($DS110,'Jan-2026 rates'!$L:$R,7,0),IF($LB110=60%,VLOOKUP($DS110,'Jan-2026 rates'!$L:$S,8,0),IF($LB110=80%,VLOOKUP($DS110,'Jan-2026 rates'!L:T,9,0),0))))))))</f>
        <v>0</v>
      </c>
      <c r="DV110" s="412"/>
      <c r="DW110" s="409"/>
      <c r="DX110" s="411">
        <f>IF(DW110=0,0,IF($LB110=70%,VLOOKUP($DS110,'Jan-2026 rates'!$L:$R,4,0),IF($LB110=65%,VLOOKUP($DS110,'Jan-2026 rates'!$L:$R,4,0),IF($LB110=40%,VLOOKUP($DS110,'Jan-2026 rates'!$L:$R,5,0),IF($LB110=30%,VLOOKUP($DS110,'Jan-2026 rates'!$L:$R,6,0),IF($LB110=100%,VLOOKUP($DS110,'Jan-2026 rates'!$L:$R,7,0),IF($LB110=60%,VLOOKUP($DS110,'Jan-2026 rates'!$L:$S,8,0),IF($LB110=80%,VLOOKUP($DS110,'Jan-2026 rates'!L:T,9,0),0))))))))</f>
        <v>0</v>
      </c>
      <c r="DY110" s="413">
        <v>26507000016</v>
      </c>
      <c r="DZ110" s="413" t="s">
        <v>1266</v>
      </c>
      <c r="EA110" s="412"/>
      <c r="EB110" s="412"/>
      <c r="EC110" s="412"/>
      <c r="ED110" s="412"/>
      <c r="EE110" s="412"/>
      <c r="EF110" s="412"/>
      <c r="EG110" s="409">
        <v>5</v>
      </c>
      <c r="EH110" s="398" t="e">
        <f>IF(EG110=0,0,IF(LEN(DY110)=11,_xlfn.XLOOKUP(DY110,'Dispensed Ink Rates'!C:C,'Dispensed Ink Rates'!CS:CS),VLOOKUP(DY110,'Jan-2026 rates'!$E:$F,2,0)))</f>
        <v>#N/A</v>
      </c>
      <c r="EI110" s="409">
        <v>4</v>
      </c>
      <c r="EJ110" s="398">
        <f>IF(EI110=0,0,IF(LEN(DZ110)=11,_xlfn.XLOOKUP(DZ110,'Dispensed Ink Rates'!C:C,'Dispensed Ink Rates'!CS:CS),VLOOKUP(DZ110,'Jan-2026 rates'!$E:$F,2,0)))</f>
        <v>0</v>
      </c>
      <c r="EK110" s="409"/>
      <c r="EL110" s="398">
        <f>IF(EK110=0,0,IF(LEN(EA110)=11,_xlfn.XLOOKUP(EA110,'Dispensed Ink Rates'!C:C,'Dispensed Ink Rates'!CS:CS),VLOOKUP(EA110,'Jan-2026 rates'!$E:$F,2,0)))</f>
        <v>0</v>
      </c>
      <c r="EM110" s="409"/>
      <c r="EN110" s="398">
        <f>IF(EM110=0,0,IF(LEN(EB110)=11,_xlfn.XLOOKUP(EB110,'Dispensed Ink Rates'!C:C,'Dispensed Ink Rates'!CS:CS),VLOOKUP(EB110,'Jan-2026 rates'!$E:$F,2,0)))</f>
        <v>0</v>
      </c>
      <c r="EO110" s="409"/>
      <c r="EP110" s="398">
        <f>IF(EO110=0,0,IF(LEN(EC110)=11,_xlfn.XLOOKUP(EC110,'Dispensed Ink Rates'!C:C,'Dispensed Ink Rates'!CS:CS),VLOOKUP(EC110,'Jan-2026 rates'!$E:$F,2,0)))</f>
        <v>0</v>
      </c>
      <c r="EQ110" s="409"/>
      <c r="ER110" s="398">
        <f>IF(EQ110=0,0,IF(LEN(ED110)=11,_xlfn.XLOOKUP(ED110,'Dispensed Ink Rates'!C:C,'Dispensed Ink Rates'!CS:CS),VLOOKUP(ED110,'Jan-2026 rates'!$E:$F,2,0)))</f>
        <v>0</v>
      </c>
      <c r="ES110" s="409"/>
      <c r="ET110" s="398">
        <f>IF(ES110=0,0,IF(LEN(EE110)=11,_xlfn.XLOOKUP(EE110,'Dispensed Ink Rates'!C:C,'Dispensed Ink Rates'!CS:CS),VLOOKUP(EE110,'Jan-2026 rates'!$E:$F,2,0)))</f>
        <v>0</v>
      </c>
      <c r="EU110" s="409"/>
      <c r="EV110" s="398">
        <f>IF(EU110=0,0,IF(LEN(EF110)=11,_xlfn.XLOOKUP(EF110,'Dispensed Ink Rates'!C:C,'Dispensed Ink Rates'!CS:CS),VLOOKUP(EF110,'Jan-2026 rates'!$E:$F,2,0)))</f>
        <v>0</v>
      </c>
      <c r="EW110" s="409" t="s">
        <v>1443</v>
      </c>
      <c r="EX110" s="409">
        <v>22</v>
      </c>
      <c r="EY110" s="411">
        <f t="shared" si="91"/>
        <v>0</v>
      </c>
      <c r="EZ110" s="411">
        <f t="shared" si="92"/>
        <v>34</v>
      </c>
      <c r="FA110" s="410">
        <f t="shared" si="93"/>
        <v>0</v>
      </c>
      <c r="FB110" s="405" t="s">
        <v>544</v>
      </c>
      <c r="FC110" s="409" t="s">
        <v>3235</v>
      </c>
      <c r="FD110" s="420" t="str">
        <f t="shared" si="57"/>
        <v>FLINTSL - MAGENTA</v>
      </c>
      <c r="FE110" s="409">
        <v>10</v>
      </c>
      <c r="FF110" s="411">
        <f>IF(FE110=0,0,IF($LB110=70%,VLOOKUP($FD110,'Jan-2026 rates'!$L:$R,4,0),IF($LB110=65%,VLOOKUP($FD110,'Jan-2026 rates'!$L:$R,4,0),IF($LB110=40%,VLOOKUP($FD110,'Jan-2026 rates'!$L:$R,5,0),IF($LB110=30%,VLOOKUP($FD110,'Jan-2026 rates'!$L:$R,6,0),IF($LB110=100%,VLOOKUP($FD110,'Jan-2026 rates'!$L:$R,7,0),IF($LB110=60%,VLOOKUP($FD110,'Jan-2026 rates'!$L:$S,8,0),IF($LB110=80%,VLOOKUP($FD110,'Jan-2026 rates'!L:T,9,0),0))))))))</f>
        <v>0</v>
      </c>
      <c r="FG110" s="412"/>
      <c r="FH110" s="409"/>
      <c r="FI110" s="411">
        <f>IF(FH110=0,0,IF($LB110=70%,VLOOKUP($FD110,'Jan-2026 rates'!$L:$R,4,0),IF($LB110=65%,VLOOKUP($FD110,'Jan-2026 rates'!$L:$R,4,0),IF($LB110=40%,VLOOKUP($FD110,'Jan-2026 rates'!$L:$R,5,0),IF($LB110=30%,VLOOKUP($FD110,'Jan-2026 rates'!$L:$R,6,0),IF($LB110=100%,VLOOKUP($FD110,'Jan-2026 rates'!$L:$R,7,0),IF($LB110=60%,VLOOKUP($FD110,'Jan-2026 rates'!$L:$S,8,0),IF($LB110=80%,VLOOKUP($FD110,'Jan-2026 rates'!L:T,9,0),0))))))))</f>
        <v>0</v>
      </c>
      <c r="FJ110" s="413" t="s">
        <v>1266</v>
      </c>
      <c r="FK110" s="413"/>
      <c r="FL110" s="413"/>
      <c r="FM110" s="412"/>
      <c r="FN110" s="412"/>
      <c r="FO110" s="412"/>
      <c r="FP110" s="412"/>
      <c r="FQ110" s="412"/>
      <c r="FR110" s="409">
        <v>15</v>
      </c>
      <c r="FS110" s="398">
        <f>IF(FR110=0,0,IF(LEN(FJ110)=11,_xlfn.XLOOKUP(FJ110,'Dispensed Ink Rates'!C:C,'Dispensed Ink Rates'!CS:CS),VLOOKUP(FJ110,'Jan-2026 rates'!$E:$F,2,0)))</f>
        <v>0</v>
      </c>
      <c r="FT110" s="409"/>
      <c r="FU110" s="398">
        <f>IF(FT110=0,0,IF(LEN(FK110)=11,_xlfn.XLOOKUP(FK110,'Dispensed Ink Rates'!C:C,'Dispensed Ink Rates'!CS:CS),VLOOKUP(FK110,'Jan-2026 rates'!$E:$F,2,0)))</f>
        <v>0</v>
      </c>
      <c r="FV110" s="409"/>
      <c r="FW110" s="398">
        <f>IF(FV110=0,0,IF(LEN(FL110)=11,_xlfn.XLOOKUP(FL110,'Dispensed Ink Rates'!C:C,'Dispensed Ink Rates'!CS:CS),VLOOKUP(FL110,'Jan-2026 rates'!$E:$F,2,0)))</f>
        <v>0</v>
      </c>
      <c r="FX110" s="409"/>
      <c r="FY110" s="398">
        <f>IF(FX110=0,0,IF(LEN(FM110)=11,_xlfn.XLOOKUP(FM110,'Dispensed Ink Rates'!C:C,'Dispensed Ink Rates'!CS:CS),VLOOKUP(FM110,'Jan-2026 rates'!$E:$F,2,0)))</f>
        <v>0</v>
      </c>
      <c r="FZ110" s="409"/>
      <c r="GA110" s="398">
        <f>IF(FZ110=0,0,IF(LEN(FN110)=11,_xlfn.XLOOKUP(FN110,'Dispensed Ink Rates'!C:C,'Dispensed Ink Rates'!CS:CS),VLOOKUP(FN110,'Jan-2026 rates'!$E:$F,2,0)))</f>
        <v>0</v>
      </c>
      <c r="GB110" s="409"/>
      <c r="GC110" s="398">
        <f>IF(GB110=0,0,IF(LEN(FO110)=11,_xlfn.XLOOKUP(FO110,'Dispensed Ink Rates'!C:C,'Dispensed Ink Rates'!CS:CS),VLOOKUP(FO110,'Jan-2026 rates'!$E:$F,2,0)))</f>
        <v>0</v>
      </c>
      <c r="GD110" s="409"/>
      <c r="GE110" s="398">
        <f>IF(GD110=0,0,IF(LEN(FP110)=11,_xlfn.XLOOKUP(FP110,'Dispensed Ink Rates'!C:C,'Dispensed Ink Rates'!CS:CS),VLOOKUP(FP110,'Jan-2026 rates'!$E:$F,2,0)))</f>
        <v>0</v>
      </c>
      <c r="GF110" s="409"/>
      <c r="GG110" s="398">
        <f>IF(GF110=0,0,IF(LEN(FQ110)=11,_xlfn.XLOOKUP(FQ110,'Dispensed Ink Rates'!C:C,'Dispensed Ink Rates'!CS:CS),VLOOKUP(FQ110,'Jan-2026 rates'!$E:$F,2,0)))</f>
        <v>0</v>
      </c>
      <c r="GH110" s="409" t="s">
        <v>1443</v>
      </c>
      <c r="GI110" s="409">
        <v>29</v>
      </c>
      <c r="GJ110" s="411">
        <f t="shared" si="94"/>
        <v>0</v>
      </c>
      <c r="GK110" s="411">
        <f t="shared" si="95"/>
        <v>16</v>
      </c>
      <c r="GL110" s="410">
        <f t="shared" si="96"/>
        <v>0</v>
      </c>
      <c r="GM110" s="405" t="s">
        <v>545</v>
      </c>
      <c r="GN110" s="409" t="s">
        <v>3236</v>
      </c>
      <c r="GO110" s="420" t="str">
        <f t="shared" si="58"/>
        <v>FLINTSL - YELLOW</v>
      </c>
      <c r="GP110" s="409">
        <v>26</v>
      </c>
      <c r="GQ110" s="411">
        <f>IF(GP110=0,0,IF($LB110=70%,VLOOKUP($GO110,'Jan-2026 rates'!$L:$R,4,0),IF($LB110=65%,VLOOKUP($GO110,'Jan-2026 rates'!$L:$R,4,0),IF($LB110=40%,VLOOKUP($GO110,'Jan-2026 rates'!$L:$R,5,0),IF($LB110=30%,VLOOKUP($GO110,'Jan-2026 rates'!$L:$R,6,0),IF($LB110=100%,VLOOKUP($GO110,'Jan-2026 rates'!$L:$R,7,0),IF($LB110=60%,VLOOKUP($GO110,'Jan-2026 rates'!$L:$S,8,0),IF($LB110=80%,VLOOKUP($GO110,'Jan-2026 rates'!L:T,9,0),0))))))))</f>
        <v>0</v>
      </c>
      <c r="GR110" s="412"/>
      <c r="GS110" s="409"/>
      <c r="GT110" s="411">
        <f>IF(GS110=0,0,IF($LB110=70%,VLOOKUP($GO110,'Jan-2026 rates'!$L:$R,4,0),IF($LB110=65%,VLOOKUP($GO110,'Jan-2026 rates'!$L:$R,4,0),IF($LB110=40%,VLOOKUP($GO110,'Jan-2026 rates'!$L:$R,5,0),IF($LB110=30%,VLOOKUP($GO110,'Jan-2026 rates'!$L:$R,6,0),IF($LB110=100%,VLOOKUP($GO110,'Jan-2026 rates'!$L:$R,7,0),IF($LB110=60%,VLOOKUP($GO110,'Jan-2026 rates'!$L:$S,8,0),IF($LB110=80%,VLOOKUP($GO110,'Jan-2026 rates'!L:T,9,0),0))))))))</f>
        <v>0</v>
      </c>
      <c r="GU110" s="413">
        <v>26508000029</v>
      </c>
      <c r="GV110" s="413"/>
      <c r="GW110" s="412"/>
      <c r="GX110" s="412"/>
      <c r="GY110" s="412"/>
      <c r="GZ110" s="412"/>
      <c r="HA110" s="412"/>
      <c r="HB110" s="412"/>
      <c r="HC110" s="409">
        <v>7</v>
      </c>
      <c r="HD110" s="398" t="e">
        <f>IF(HC110=0,0,IF(LEN(GU110)=11,_xlfn.XLOOKUP(GU110,'Dispensed Ink Rates'!C:C,'Dispensed Ink Rates'!CS:CS),VLOOKUP(GU110,'Jan-2026 rates'!$E:$F,2,0)))</f>
        <v>#N/A</v>
      </c>
      <c r="HE110" s="409"/>
      <c r="HF110" s="398">
        <f>IF(HE110=0,0,IF(LEN(GV110)=11,_xlfn.XLOOKUP(GV110,'Dispensed Ink Rates'!C:C,'Dispensed Ink Rates'!CS:CS),VLOOKUP(GV110,'Jan-2026 rates'!$E:$F,2,0)))</f>
        <v>0</v>
      </c>
      <c r="HG110" s="409"/>
      <c r="HH110" s="398">
        <f>IF(HG110=0,0,IF(LEN(GW110)=11,_xlfn.XLOOKUP(GW110,'Dispensed Ink Rates'!C:C,'Dispensed Ink Rates'!CS:CS),VLOOKUP(GW110,'Jan-2026 rates'!$E:$F,2,0)))</f>
        <v>0</v>
      </c>
      <c r="HI110" s="409"/>
      <c r="HJ110" s="398">
        <f>IF(HI110=0,0,IF(LEN(GX110)=11,_xlfn.XLOOKUP(GX110,'Dispensed Ink Rates'!C:C,'Dispensed Ink Rates'!CS:CS),VLOOKUP(GX110,'Jan-2026 rates'!$E:$F,2,0)))</f>
        <v>0</v>
      </c>
      <c r="HK110" s="409"/>
      <c r="HL110" s="398">
        <f>IF(HK110=0,0,IF(LEN(GY110)=11,_xlfn.XLOOKUP(GY110,'Dispensed Ink Rates'!C:C,'Dispensed Ink Rates'!CS:CS),VLOOKUP(GY110,'Jan-2026 rates'!$E:$F,2,0)))</f>
        <v>0</v>
      </c>
      <c r="HM110" s="409"/>
      <c r="HN110" s="398">
        <f>IF(HM110=0,0,IF(LEN(GZ110)=11,_xlfn.XLOOKUP(GZ110,'Dispensed Ink Rates'!C:C,'Dispensed Ink Rates'!CS:CS),VLOOKUP(GZ110,'Jan-2026 rates'!$E:$F,2,0)))</f>
        <v>0</v>
      </c>
      <c r="HO110" s="409"/>
      <c r="HP110" s="398">
        <f>IF(HO110=0,0,IF(LEN(HA110)=11,_xlfn.XLOOKUP(HA110,'Dispensed Ink Rates'!C:C,'Dispensed Ink Rates'!CS:CS),VLOOKUP(HA110,'Jan-2026 rates'!$E:$F,2,0)))</f>
        <v>0</v>
      </c>
      <c r="HQ110" s="409"/>
      <c r="HR110" s="398">
        <f>IF(HQ110=0,0,IF(LEN(HB110)=11,_xlfn.XLOOKUP(HB110,'Dispensed Ink Rates'!C:C,'Dispensed Ink Rates'!CS:CS),VLOOKUP(HB110,'Jan-2026 rates'!$E:$F,2,0)))</f>
        <v>0</v>
      </c>
      <c r="HS110" s="409" t="s">
        <v>1443</v>
      </c>
      <c r="HT110" s="409">
        <v>25</v>
      </c>
      <c r="HU110" s="411">
        <f t="shared" si="97"/>
        <v>0</v>
      </c>
      <c r="HV110" s="411">
        <f t="shared" si="98"/>
        <v>16</v>
      </c>
      <c r="HW110" s="414">
        <f t="shared" si="99"/>
        <v>0</v>
      </c>
      <c r="HX110" s="405" t="s">
        <v>856</v>
      </c>
      <c r="HY110" s="409" t="s">
        <v>3237</v>
      </c>
      <c r="HZ110" s="420" t="str">
        <f t="shared" si="59"/>
        <v>FLINTSL - WHITE</v>
      </c>
      <c r="IA110" s="409">
        <v>28</v>
      </c>
      <c r="IB110" s="411">
        <f>IF(IA110=0,0,IF($LB110=70%,VLOOKUP($HZ110,'Jan-2026 rates'!$L:$R,4,0),IF($LB110=65%,VLOOKUP($HZ110,'Jan-2026 rates'!$L:$R,4,0),IF($LB110=40%,VLOOKUP($HZ110,'Jan-2026 rates'!$L:$R,5,0),IF($LB110=30%,VLOOKUP($HZ110,'Jan-2026 rates'!$L:$R,6,0),IF($LB110=100%,VLOOKUP($HZ110,'Jan-2026 rates'!$L:$R,7,0),IF($LB110=60%,VLOOKUP($HZ110,'Jan-2026 rates'!$L:$S,8,0),IF($LB110=80%,VLOOKUP($HZ110,'Jan-2026 rates'!L:T,9,0),0))))))))</f>
        <v>0</v>
      </c>
      <c r="IC110" s="412"/>
      <c r="ID110" s="409"/>
      <c r="IE110" s="411">
        <f>IF(ID110=0,0,IF($LB110=70%,VLOOKUP($HZ110,'Jan-2026 rates'!$L:$R,4,0),IF($LB110=65%,VLOOKUP($HZ110,'Jan-2026 rates'!$L:$R,4,0),IF($LB110=40%,VLOOKUP($HZ110,'Jan-2026 rates'!$L:$R,5,0),IF($LB110=30%,VLOOKUP($HZ110,'Jan-2026 rates'!$L:$R,6,0),IF($LB110=100%,VLOOKUP($HZ110,'Jan-2026 rates'!$L:$R,7,0),IF($LB110=60%,VLOOKUP($HZ110,'Jan-2026 rates'!$L:$S,8,0),IF($LB110=80%,VLOOKUP($HZ110,'Jan-2026 rates'!L:T,9,0),0))))))))</f>
        <v>0</v>
      </c>
      <c r="IF110" s="412" t="s">
        <v>484</v>
      </c>
      <c r="IG110" s="413"/>
      <c r="IH110" s="412"/>
      <c r="II110" s="412"/>
      <c r="IJ110" s="412"/>
      <c r="IK110" s="412"/>
      <c r="IL110" s="412"/>
      <c r="IM110" s="412"/>
      <c r="IN110" s="409">
        <v>60</v>
      </c>
      <c r="IO110" s="398">
        <f>IF(IN110=0,0,IF(LEN(IF110)=11,_xlfn.XLOOKUP(IF110,'Dispensed Ink Rates'!C:C,'Dispensed Ink Rates'!CS:CS),VLOOKUP(IF110,'Jan-2026 rates'!$E:$F,2,0)))</f>
        <v>0</v>
      </c>
      <c r="IP110" s="409"/>
      <c r="IQ110" s="398">
        <f>IF(IP110=0,0,IF(LEN(IG110)=11,_xlfn.XLOOKUP(IG110,'Dispensed Ink Rates'!C:C,'Dispensed Ink Rates'!CS:CS),VLOOKUP(IG110,'Jan-2026 rates'!$E:$F,2,0)))</f>
        <v>0</v>
      </c>
      <c r="IR110" s="409"/>
      <c r="IS110" s="398">
        <f>IF(IR110=0,0,IF(LEN(IH110)=11,_xlfn.XLOOKUP(IH110,'Dispensed Ink Rates'!C:C,'Dispensed Ink Rates'!CS:CS),VLOOKUP(IH110,'Jan-2026 rates'!$E:$F,2,0)))</f>
        <v>0</v>
      </c>
      <c r="IT110" s="409"/>
      <c r="IU110" s="398">
        <f>IF(IT110=0,0,IF(LEN(II110)=11,_xlfn.XLOOKUP(II110,'Dispensed Ink Rates'!C:C,'Dispensed Ink Rates'!CS:CS),VLOOKUP(II110,'Jan-2026 rates'!$E:$F,2,0)))</f>
        <v>0</v>
      </c>
      <c r="IV110" s="409"/>
      <c r="IW110" s="398">
        <f>IF(IV110=0,0,IF(LEN(IJ110)=11,_xlfn.XLOOKUP(IJ110,'Dispensed Ink Rates'!C:C,'Dispensed Ink Rates'!CS:CS),VLOOKUP(IJ110,'Jan-2026 rates'!$E:$F,2,0)))</f>
        <v>0</v>
      </c>
      <c r="IX110" s="409"/>
      <c r="IY110" s="398">
        <f>IF(IX110=0,0,IF(LEN(IK110)=11,_xlfn.XLOOKUP(IK110,'Dispensed Ink Rates'!C:C,'Dispensed Ink Rates'!CS:CS),VLOOKUP(IK110,'Jan-2026 rates'!$E:$F,2,0)))</f>
        <v>0</v>
      </c>
      <c r="IZ110" s="409"/>
      <c r="JA110" s="398">
        <f>IF(IZ110=0,0,IF(LEN(IL110)=11,_xlfn.XLOOKUP(IL110,'Dispensed Ink Rates'!C:C,'Dispensed Ink Rates'!CS:CS),VLOOKUP(IL110,'Jan-2026 rates'!$E:$F,2,0)))</f>
        <v>0</v>
      </c>
      <c r="JB110" s="409"/>
      <c r="JC110" s="398">
        <f>IF(JB110=0,0,IF(LEN(IM110)=11,_xlfn.XLOOKUP(IM110,'Dispensed Ink Rates'!C:C,'Dispensed Ink Rates'!CS:CS),VLOOKUP(IM110,'Jan-2026 rates'!$E:$F,2,0)))</f>
        <v>0</v>
      </c>
      <c r="JD110" s="409" t="s">
        <v>1443</v>
      </c>
      <c r="JE110" s="409">
        <v>28</v>
      </c>
      <c r="JF110" s="411">
        <f t="shared" si="100"/>
        <v>0</v>
      </c>
      <c r="JG110" s="411">
        <f t="shared" si="101"/>
        <v>120</v>
      </c>
      <c r="JH110" s="410">
        <f t="shared" si="102"/>
        <v>0</v>
      </c>
      <c r="JI110" s="405"/>
      <c r="JJ110" s="409"/>
      <c r="JK110" s="420" t="str">
        <f t="shared" si="60"/>
        <v xml:space="preserve"> - </v>
      </c>
      <c r="JL110" s="409"/>
      <c r="JM110" s="411">
        <f>IF(JL110=0,0,IF($LB110=70%,VLOOKUP($JK110,'Jan-2026 rates'!$L:$R,4,0),IF($LB110=65%,VLOOKUP($JK110,'Jan-2026 rates'!$L:$R,4,0),IF($LB110=40%,VLOOKUP($JK110,'Jan-2026 rates'!$L:$R,5,0),IF($LB110=30%,VLOOKUP($JK110,'Jan-2026 rates'!$L:$R,6,0),IF($LB110=100%,VLOOKUP($JK110,'Jan-2026 rates'!$L:$R,7,0),IF($LB110=60%,VLOOKUP($JK110,'Jan-2026 rates'!$L:$S,8,0),IF($LB110=80%,VLOOKUP($JK110,'Jan-2026 rates'!L:T,9,0),0))))))))</f>
        <v>0</v>
      </c>
      <c r="JN110" s="412"/>
      <c r="JO110" s="409"/>
      <c r="JP110" s="411">
        <f>IF(JO110=0,0,IF($LB110=70%,VLOOKUP($JK110,'Jan-2026 rates'!$L:$R,4,0),IF($LB110=65%,VLOOKUP($JK110,'Jan-2026 rates'!$L:$R,4,0),IF($LB110=40%,VLOOKUP($JK110,'Jan-2026 rates'!$L:$R,5,0),IF($LB110=30%,VLOOKUP($JK110,'Jan-2026 rates'!$L:$R,6,0),IF($LB110=100%,VLOOKUP($JK110,'Jan-2026 rates'!$L:$R,7,0),IF($LB110=60%,VLOOKUP($JK110,'Jan-2026 rates'!$L:$S,8,0),IF($LB110=80%,VLOOKUP($JK110,'Jan-2026 rates'!L:T,9,0),0))))))))</f>
        <v>0</v>
      </c>
      <c r="JQ110" s="413"/>
      <c r="JR110" s="412"/>
      <c r="JS110" s="413"/>
      <c r="JT110" s="413"/>
      <c r="JU110" s="412"/>
      <c r="JV110" s="412"/>
      <c r="JW110" s="412"/>
      <c r="JX110" s="412"/>
      <c r="JY110" s="409"/>
      <c r="JZ110" s="398">
        <f>IF(JY110=0,0,IF(LEN(JQ110)=11,_xlfn.XLOOKUP(JQ110,'Dispensed Ink Rates'!C:C,'Dispensed Ink Rates'!CS:CS),VLOOKUP(JQ110,'Jan-2026 rates'!$E:$F,2,0)))</f>
        <v>0</v>
      </c>
      <c r="KA110" s="409"/>
      <c r="KB110" s="398">
        <f>IF(KA110=0,0,IF(LEN(JR110)=11,_xlfn.XLOOKUP(JR110,'Dispensed Ink Rates'!C:C,'Dispensed Ink Rates'!CS:CS),VLOOKUP(JR110,'Jan-2026 rates'!$E:$F,2,0)))</f>
        <v>0</v>
      </c>
      <c r="KC110" s="409"/>
      <c r="KD110" s="398">
        <f>IF(KC110=0,0,IF(LEN(JS110)=11,_xlfn.XLOOKUP(JS110,'Dispensed Ink Rates'!C:C,'Dispensed Ink Rates'!CS:CS),VLOOKUP(JS110,'Jan-2026 rates'!$E:$F,2,0)))</f>
        <v>0</v>
      </c>
      <c r="KE110" s="409"/>
      <c r="KF110" s="398">
        <f>IF(KE110=0,0,IF(LEN(JT110)=11,_xlfn.XLOOKUP(JT110,'Dispensed Ink Rates'!C:C,'Dispensed Ink Rates'!CS:CS),VLOOKUP(JT110,'Jan-2026 rates'!$E:$F,2,0)))</f>
        <v>0</v>
      </c>
      <c r="KG110" s="409"/>
      <c r="KH110" s="398">
        <f>IF(KG110=0,0,IF(LEN(JU110)=11,_xlfn.XLOOKUP(JU110,'Dispensed Ink Rates'!C:C,'Dispensed Ink Rates'!CS:CS),VLOOKUP(JU110,'Jan-2026 rates'!$E:$F,2,0)))</f>
        <v>0</v>
      </c>
      <c r="KI110" s="409"/>
      <c r="KJ110" s="398">
        <f>IF(KI110=0,0,IF(LEN(JV110)=11,_xlfn.XLOOKUP(JV110,'Dispensed Ink Rates'!C:C,'Dispensed Ink Rates'!CS:CS),VLOOKUP(JV110,'Jan-2026 rates'!$E:$F,2,0)))</f>
        <v>0</v>
      </c>
      <c r="KK110" s="409"/>
      <c r="KL110" s="398">
        <f>IF(KK110=0,0,IF(LEN(JW110)=11,_xlfn.XLOOKUP(JW110,'Dispensed Ink Rates'!C:C,'Dispensed Ink Rates'!CS:CS),VLOOKUP(JW110,'Jan-2026 rates'!$E:$F,2,0)))</f>
        <v>0</v>
      </c>
      <c r="KM110" s="428"/>
      <c r="KN110" s="398">
        <f>IF(KM110=0,0,IF(LEN(JX110)=11,_xlfn.XLOOKUP(JX110,'Dispensed Ink Rates'!C:C,'Dispensed Ink Rates'!CS:CS),VLOOKUP(JX110,'Jan-2026 rates'!$E:$F,2,0)))</f>
        <v>0</v>
      </c>
      <c r="KO110" s="409"/>
      <c r="KP110" s="409"/>
      <c r="KQ110" s="411">
        <f t="shared" si="103"/>
        <v>0</v>
      </c>
      <c r="KR110" s="411">
        <f t="shared" si="104"/>
        <v>0</v>
      </c>
      <c r="KS110" s="410">
        <f t="shared" si="105"/>
        <v>0</v>
      </c>
      <c r="KT110" s="409">
        <v>3</v>
      </c>
      <c r="KU110" s="409">
        <v>3</v>
      </c>
      <c r="KV110" s="409">
        <v>5</v>
      </c>
      <c r="KW110" s="409">
        <v>5</v>
      </c>
      <c r="KX110" s="409">
        <v>10</v>
      </c>
      <c r="KY110" s="409">
        <v>4</v>
      </c>
      <c r="KZ110" s="409">
        <v>30</v>
      </c>
      <c r="LA110" s="409">
        <v>0</v>
      </c>
      <c r="LB110" s="415">
        <v>0.8</v>
      </c>
      <c r="LC110" s="415">
        <v>0.2</v>
      </c>
      <c r="LD110" s="415"/>
      <c r="LE110" s="415"/>
      <c r="LF110" s="415"/>
      <c r="LG110" s="409">
        <v>0</v>
      </c>
      <c r="LH110" s="409">
        <f>30+30+48+12</f>
        <v>120</v>
      </c>
      <c r="LI110" s="409">
        <v>0</v>
      </c>
      <c r="LJ110" s="409">
        <v>0</v>
      </c>
      <c r="LK110" s="416">
        <f t="shared" si="61"/>
        <v>120</v>
      </c>
      <c r="LL110" s="416">
        <f t="shared" si="62"/>
        <v>120</v>
      </c>
      <c r="LM110" s="417">
        <f t="shared" si="63"/>
        <v>96</v>
      </c>
      <c r="LN110" s="417">
        <f>VLOOKUP($LM$8,'Jan-2026 rates'!$H:$I,2,0)</f>
        <v>0</v>
      </c>
      <c r="LO110" s="417">
        <f t="shared" si="64"/>
        <v>24</v>
      </c>
      <c r="LP110" s="417">
        <f>VLOOKUP($LO$8,'Jan-2026 rates'!$H:$I,2,0)</f>
        <v>0</v>
      </c>
      <c r="LQ110" s="417">
        <f t="shared" si="65"/>
        <v>0</v>
      </c>
      <c r="LR110" s="417">
        <f>VLOOKUP($LQ$8,'Jan-2026 rates'!$H:$I,2,0)</f>
        <v>0</v>
      </c>
      <c r="LS110" s="417">
        <f t="shared" si="66"/>
        <v>0</v>
      </c>
      <c r="LT110" s="417">
        <f>VLOOKUP($LS$8,'Jan-2026 rates'!$H:$I,2,0)</f>
        <v>0</v>
      </c>
      <c r="LU110" s="417">
        <f t="shared" si="67"/>
        <v>0</v>
      </c>
      <c r="LV110" s="417">
        <f>VLOOKUP($LU$8,'Jan-2026 rates'!$H:$I,2,0)</f>
        <v>0</v>
      </c>
      <c r="LW110" s="417">
        <f t="shared" si="68"/>
        <v>0</v>
      </c>
      <c r="LX110" s="417">
        <f t="shared" si="69"/>
        <v>0</v>
      </c>
      <c r="LY110" s="418">
        <f t="shared" si="70"/>
        <v>0</v>
      </c>
      <c r="LZ110" s="417"/>
      <c r="MA110" s="435">
        <f t="shared" si="71"/>
        <v>105</v>
      </c>
      <c r="MB110" s="282">
        <f t="shared" si="72"/>
        <v>232</v>
      </c>
      <c r="MC110" s="283">
        <v>65</v>
      </c>
      <c r="MD110" s="284" t="str">
        <f t="shared" si="73"/>
        <v>FLINTSLFLINTSLFLINTSLFLINTSLFLINTSLFLINTSLFLINTSL</v>
      </c>
      <c r="ME110" s="293" t="str">
        <f t="shared" si="74"/>
        <v>+</v>
      </c>
      <c r="MF110" s="293" t="str">
        <f t="shared" si="75"/>
        <v>+</v>
      </c>
      <c r="MG110" s="293" t="str">
        <f t="shared" si="76"/>
        <v>+</v>
      </c>
      <c r="MH110" s="293" t="str">
        <f t="shared" si="77"/>
        <v>+</v>
      </c>
      <c r="MI110" s="293" t="str">
        <f t="shared" si="78"/>
        <v>+</v>
      </c>
      <c r="MJ110" s="293" t="str">
        <f t="shared" si="79"/>
        <v>+</v>
      </c>
      <c r="MK110" s="293" t="str">
        <f t="shared" si="80"/>
        <v>+</v>
      </c>
      <c r="ML110" s="293" t="str">
        <f t="shared" si="81"/>
        <v>NIL</v>
      </c>
      <c r="MM110" s="3" t="b">
        <f t="array" ref="MM110">OR(ME110:ML110="-")</f>
        <v>0</v>
      </c>
      <c r="MN110" s="285"/>
      <c r="MO110" s="401"/>
      <c r="MP110" s="286"/>
      <c r="MQ110" s="286"/>
      <c r="MR110" s="402"/>
      <c r="MS110" s="400"/>
      <c r="NH110" s="422"/>
      <c r="NJ110" s="421"/>
    </row>
    <row r="111" spans="1:374" s="1" customFormat="1" ht="16.5">
      <c r="A111" s="403">
        <v>46031</v>
      </c>
      <c r="B111" s="404" t="s">
        <v>1018</v>
      </c>
      <c r="C111" s="405" t="s">
        <v>3238</v>
      </c>
      <c r="D111" s="406">
        <v>66</v>
      </c>
      <c r="E111" s="404">
        <v>495</v>
      </c>
      <c r="F111" s="407">
        <v>24300</v>
      </c>
      <c r="G111" s="407" t="s">
        <v>1019</v>
      </c>
      <c r="H111" s="408" t="s">
        <v>1017</v>
      </c>
      <c r="I111" s="409">
        <v>0.1</v>
      </c>
      <c r="J111" s="405" t="s">
        <v>543</v>
      </c>
      <c r="K111" s="404"/>
      <c r="L111" s="419" t="str">
        <f t="shared" si="54"/>
        <v>FLINTSL - BLACK</v>
      </c>
      <c r="M111" s="404"/>
      <c r="N111" s="410">
        <f>IF(M111=0,0,IF($LB111=70%,VLOOKUP($L111,'Jan-2026 rates'!$L:$R,4,0),IF($LB111=65%,VLOOKUP($L111,'Jan-2026 rates'!$L:$R,4,0),IF($LB111=40%,VLOOKUP($L111,'Jan-2026 rates'!$L:$R,5,0),IF($LB111=30%,VLOOKUP($L111,'Jan-2026 rates'!$L:$R,6,0),IF($LB111=100%,VLOOKUP($L111,'Jan-2026 rates'!$L:$R,7,0),IF($LB111=60%,VLOOKUP($L111,'Jan-2026 rates'!$L:$S,8,0),IF($LB111=80%,VLOOKUP($L111,'Jan-2026 rates'!L:T,9,0),0))))))))</f>
        <v>0</v>
      </c>
      <c r="O111" s="406"/>
      <c r="P111" s="404"/>
      <c r="Q111" s="410">
        <f>IF(P111=0,0,IF($LB111=70%,VLOOKUP($L111,'Jan-2026 rates'!$L:$R,4,0),IF($LB111=65%,VLOOKUP($L111,'Jan-2026 rates'!$L:$R,4,0),IF($LB111=40%,VLOOKUP($L111,'Jan-2026 rates'!$L:$R,5,0),IF($LB111=30%,VLOOKUP($L111,'Jan-2026 rates'!$L:$R,6,0),IF($LB111=100%,VLOOKUP($L111,'Jan-2026 rates'!$L:$R,7,0),IF($LB111=60%,VLOOKUP($L111,'Jan-2026 rates'!$L:$S,8,0),IF($LB111=80%,VLOOKUP($L111,'Jan-2026 rates'!L:T,9,0),0))))))))</f>
        <v>0</v>
      </c>
      <c r="R111" s="406">
        <v>26507000010</v>
      </c>
      <c r="S111" s="406">
        <v>26507000016</v>
      </c>
      <c r="T111" s="406"/>
      <c r="U111" s="406"/>
      <c r="V111" s="406"/>
      <c r="W111" s="406"/>
      <c r="X111" s="406"/>
      <c r="Y111" s="406"/>
      <c r="Z111" s="404">
        <f>10+12+4</f>
        <v>26</v>
      </c>
      <c r="AA111" s="398" t="e">
        <f>IF(Z111=0,0,IF(LEN(R111)=11,_xlfn.XLOOKUP(R111,'Dispensed Ink Rates'!C:C,'Dispensed Ink Rates'!CS:CS),VLOOKUP(R111,'Jan-2026 rates'!$E:$F,2,0)))</f>
        <v>#N/A</v>
      </c>
      <c r="AB111" s="404">
        <v>1</v>
      </c>
      <c r="AC111" s="398" t="e">
        <f>IF(AB111=0,0,IF(LEN(S111)=11,_xlfn.XLOOKUP(S111,'Dispensed Ink Rates'!C:C,'Dispensed Ink Rates'!CS:CS),VLOOKUP(S111,'Jan-2026 rates'!$E:$F,2,0)))</f>
        <v>#N/A</v>
      </c>
      <c r="AD111" s="404"/>
      <c r="AE111" s="398">
        <f>IF(AD111=0,0,IF(LEN(T111)=11,_xlfn.XLOOKUP(T111,'Dispensed Ink Rates'!C:C,'Dispensed Ink Rates'!CS:CS),VLOOKUP(T111,'Jan-2026 rates'!$E:$F,2,0)))</f>
        <v>0</v>
      </c>
      <c r="AF111" s="404"/>
      <c r="AG111" s="398">
        <f>IF(AF111=0,0,IF(LEN(U111)=11,_xlfn.XLOOKUP(U111,'Dispensed Ink Rates'!C:C,'Dispensed Ink Rates'!CS:CS),VLOOKUP(U111,'Jan-2026 rates'!$E:$F,2,0)))</f>
        <v>0</v>
      </c>
      <c r="AH111" s="404"/>
      <c r="AI111" s="398">
        <f>IF(AH111=0,0,IF(LEN(V111)=11,_xlfn.XLOOKUP(V111,'Dispensed Ink Rates'!C:C,'Dispensed Ink Rates'!CS:CS),VLOOKUP(V111,'Jan-2026 rates'!$E:$F,2,0)))</f>
        <v>0</v>
      </c>
      <c r="AJ111" s="404"/>
      <c r="AK111" s="398">
        <f>IF(AJ111=0,0,IF(LEN(W111)=11,_xlfn.XLOOKUP(W111,'Dispensed Ink Rates'!C:C,'Dispensed Ink Rates'!CS:CS),VLOOKUP(W111,'Jan-2026 rates'!$E:$F,2,0)))</f>
        <v>0</v>
      </c>
      <c r="AL111" s="404"/>
      <c r="AM111" s="398">
        <f>IF(AL111=0,0,IF(LEN(X111)=11,_xlfn.XLOOKUP(X111,'Dispensed Ink Rates'!C:C,'Dispensed Ink Rates'!CS:CS),VLOOKUP(X111,'Jan-2026 rates'!$E:$F,2,0)))</f>
        <v>0</v>
      </c>
      <c r="AN111" s="404"/>
      <c r="AO111" s="398">
        <f>IF(AN111=0,0,IF(LEN(Y111)=11,_xlfn.XLOOKUP(Y111,'Dispensed Ink Rates'!C:C,'Dispensed Ink Rates'!CS:CS),VLOOKUP(Y111,'Jan-2026 rates'!$E:$F,2,0)))</f>
        <v>0</v>
      </c>
      <c r="AP111" s="409" t="s">
        <v>1443</v>
      </c>
      <c r="AQ111" s="409">
        <v>19</v>
      </c>
      <c r="AR111" s="410">
        <f t="shared" si="82"/>
        <v>0</v>
      </c>
      <c r="AS111" s="411">
        <f t="shared" si="83"/>
        <v>43</v>
      </c>
      <c r="AT111" s="410">
        <f t="shared" si="84"/>
        <v>0</v>
      </c>
      <c r="AU111" s="405"/>
      <c r="AV111" s="409"/>
      <c r="AW111" s="420" t="str">
        <f t="shared" si="53"/>
        <v xml:space="preserve"> - </v>
      </c>
      <c r="AX111" s="409"/>
      <c r="AY111" s="411">
        <f>IF(AX111=0,0,IF($LB111=70%,VLOOKUP($AW111,'Jan-2026 rates'!$L:$R,4,0),IF($LB111=65%,VLOOKUP($AW111,'Jan-2026 rates'!$L:$R,4,0),IF($LB111=40%,VLOOKUP($AW111,'Jan-2026 rates'!$L:$R,5,0),IF($LB111=30%,VLOOKUP($AW111,'Jan-2026 rates'!$L:$R,6,0),IF($LB111=100%,VLOOKUP($AW111,'Jan-2026 rates'!$L:$R,7,0),IF($LB111=60%,VLOOKUP($AW111,'Jan-2026 rates'!$L:$S,8,0),IF($LB111=80%,VLOOKUP($AW111,'Jan-2026 rates'!L:T,9,0),0))))))))</f>
        <v>0</v>
      </c>
      <c r="AZ111" s="412"/>
      <c r="BA111" s="409"/>
      <c r="BB111" s="411">
        <f>IF(BA111=0,0,IF($LB111=70%,VLOOKUP($AW111,'Jan-2026 rates'!$L:$R,4,0),IF($LB111=65%,VLOOKUP($AW111,'Jan-2026 rates'!$L:$R,4,0),IF($LB111=40%,VLOOKUP($AW111,'Jan-2026 rates'!$L:$R,5,0),IF($LB111=30%,VLOOKUP($AW111,'Jan-2026 rates'!$L:$R,6,0),IF($LB111=100%,VLOOKUP($AW111,'Jan-2026 rates'!$L:$R,7,0),IF($LB111=60%,VLOOKUP($AW111,'Jan-2026 rates'!$L:$S,8,0),IF($LB111=80%,VLOOKUP($AW111,'Jan-2026 rates'!L:T,9,0),0))))))))</f>
        <v>0</v>
      </c>
      <c r="BC111" s="413"/>
      <c r="BD111" s="412"/>
      <c r="BE111" s="412"/>
      <c r="BF111" s="413"/>
      <c r="BG111" s="412"/>
      <c r="BH111" s="412"/>
      <c r="BI111" s="412"/>
      <c r="BJ111" s="412"/>
      <c r="BK111" s="409"/>
      <c r="BL111" s="398">
        <f>IF(BK111=0,0,IF(LEN(BC111)=11,_xlfn.XLOOKUP(BC111,'Dispensed Ink Rates'!C:C,'Dispensed Ink Rates'!CS:CS),VLOOKUP(BC111,'Jan-2026 rates'!$E:$F,2,0)))</f>
        <v>0</v>
      </c>
      <c r="BM111" s="409"/>
      <c r="BN111" s="398">
        <f>IF(BM111=0,0,IF(LEN(BD111)=11,_xlfn.XLOOKUP(BD111,'Dispensed Ink Rates'!C:C,'Dispensed Ink Rates'!CS:CS),VLOOKUP(BD111,'Jan-2026 rates'!$E:$F,2,0)))</f>
        <v>0</v>
      </c>
      <c r="BO111" s="409"/>
      <c r="BP111" s="398">
        <f>IF(BO111=0,0,IF(LEN(BE111)=11,_xlfn.XLOOKUP(BE111,'Dispensed Ink Rates'!C:C,'Dispensed Ink Rates'!CS:CS),VLOOKUP(BE111,'Jan-2026 rates'!$E:$F,2,0)))</f>
        <v>0</v>
      </c>
      <c r="BQ111" s="409"/>
      <c r="BR111" s="398">
        <f>IF(BQ111=0,0,IF(LEN(BF111)=11,_xlfn.XLOOKUP(BF111,'Dispensed Ink Rates'!C:C,'Dispensed Ink Rates'!CS:CS),VLOOKUP(BF111,'Jan-2026 rates'!$E:$F,2,0)))</f>
        <v>0</v>
      </c>
      <c r="BS111" s="409"/>
      <c r="BT111" s="398">
        <f>IF(BS111=0,0,IF(LEN(BG111)=11,_xlfn.XLOOKUP(BG111,'Dispensed Ink Rates'!C:C,'Dispensed Ink Rates'!CS:CS),VLOOKUP(BG111,'Jan-2026 rates'!$E:$F,2,0)))</f>
        <v>0</v>
      </c>
      <c r="BU111" s="409"/>
      <c r="BV111" s="398">
        <f>IF(BU111=0,0,IF(LEN(BH111)=11,_xlfn.XLOOKUP(BH111,'Dispensed Ink Rates'!C:C,'Dispensed Ink Rates'!CS:CS),VLOOKUP(BH111,'Jan-2026 rates'!$E:$F,2,0)))</f>
        <v>0</v>
      </c>
      <c r="BW111" s="409"/>
      <c r="BX111" s="398">
        <f>IF(BW111=0,0,IF(LEN(BI111)=11,_xlfn.XLOOKUP(BI111,'Dispensed Ink Rates'!C:C,'Dispensed Ink Rates'!CS:CS),VLOOKUP(BI111,'Jan-2026 rates'!$E:$F,2,0)))</f>
        <v>0</v>
      </c>
      <c r="BY111" s="409"/>
      <c r="BZ111" s="398">
        <f>IF(BY111=0,0,IF(LEN(BJ111)=11,_xlfn.XLOOKUP(BJ111,'Dispensed Ink Rates'!C:C,'Dispensed Ink Rates'!CS:CS),VLOOKUP(BJ111,'Jan-2026 rates'!$E:$F,2,0)))</f>
        <v>0</v>
      </c>
      <c r="CA111" s="409"/>
      <c r="CB111" s="409"/>
      <c r="CC111" s="411">
        <f t="shared" si="85"/>
        <v>0</v>
      </c>
      <c r="CD111" s="411">
        <f t="shared" si="86"/>
        <v>0</v>
      </c>
      <c r="CE111" s="410">
        <f t="shared" si="87"/>
        <v>0</v>
      </c>
      <c r="CF111" s="404"/>
      <c r="CG111" s="409"/>
      <c r="CH111" s="420" t="str">
        <f t="shared" si="55"/>
        <v xml:space="preserve"> - </v>
      </c>
      <c r="CI111" s="409"/>
      <c r="CJ111" s="411">
        <f>IF(CI111=0,0,IF($LB111=70%,VLOOKUP($CH111,'Jan-2026 rates'!$L:$R,4,0),IF($LB111=65%,VLOOKUP($CH111,'Jan-2026 rates'!$L:$R,4,0),IF($LB111=40%,VLOOKUP($CH111,'Jan-2026 rates'!$L:$R,5,0),IF($LB111=30%,VLOOKUP($CH111,'Jan-2026 rates'!$L:$R,6,0),IF($LB111=100%,VLOOKUP($CH111,'Jan-2026 rates'!$L:$R,7,0),IF($LB111=60%,VLOOKUP($CH111,'Jan-2026 rates'!$L:$S,8,0),IF($LB111=80%,VLOOKUP($CH111,'Jan-2026 rates'!L:T,9,0),0))))))))</f>
        <v>0</v>
      </c>
      <c r="CK111" s="412"/>
      <c r="CL111" s="409"/>
      <c r="CM111" s="411">
        <f>IF(CL111=0,0,IF($LB111=70%,VLOOKUP($CH111,'Jan-2026 rates'!$L:$R,4,0),IF($LB111=65%,VLOOKUP($CH111,'Jan-2026 rates'!$L:$R,4,0),IF($LB111=40%,VLOOKUP($CH111,'Jan-2026 rates'!$L:$R,5,0),IF($LB111=30%,VLOOKUP($CH111,'Jan-2026 rates'!$L:$R,6,0),IF($LB111=100%,VLOOKUP($CH111,'Jan-2026 rates'!$L:$R,7,0),IF($LB111=60%,VLOOKUP($CH111,'Jan-2026 rates'!$L:$S,8,0),IF($LB111=80%,VLOOKUP($CH111,'Jan-2026 rates'!L:T,9,0),0))))))))</f>
        <v>0</v>
      </c>
      <c r="CN111" s="426"/>
      <c r="CO111" s="427"/>
      <c r="CP111" s="426"/>
      <c r="CQ111" s="426"/>
      <c r="CR111" s="428"/>
      <c r="CS111" s="428"/>
      <c r="CT111" s="428"/>
      <c r="CU111" s="428"/>
      <c r="CV111" s="409"/>
      <c r="CW111" s="398">
        <f>IF(CV111=0,0,IF(LEN(CN111)=11,_xlfn.XLOOKUP(CN111,'Dispensed Ink Rates'!C:C,'Dispensed Ink Rates'!CS:CS),VLOOKUP(CN111,'Jan-2026 rates'!$E:$F,2,0)))</f>
        <v>0</v>
      </c>
      <c r="CX111" s="409"/>
      <c r="CY111" s="398">
        <f>IF(CX111=0,0,IF(LEN(CO111)=11,_xlfn.XLOOKUP(CO111,'Dispensed Ink Rates'!C:C,'Dispensed Ink Rates'!CS:CS),VLOOKUP(CO111,'Jan-2026 rates'!$E:$F,2,0)))</f>
        <v>0</v>
      </c>
      <c r="CZ111" s="409"/>
      <c r="DA111" s="398">
        <f>IF(CZ111=0,0,IF(LEN(CP111)=11,_xlfn.XLOOKUP(CP111,'Dispensed Ink Rates'!C:C,'Dispensed Ink Rates'!CS:CS),VLOOKUP(CP111,'Jan-2026 rates'!$E:$F,2,0)))</f>
        <v>0</v>
      </c>
      <c r="DB111" s="409"/>
      <c r="DC111" s="398">
        <f>IF(DB111=0,0,IF(LEN(CQ111)=11,_xlfn.XLOOKUP(CQ111,'Dispensed Ink Rates'!C:C,'Dispensed Ink Rates'!CS:CS),VLOOKUP(CQ111,'Jan-2026 rates'!$E:$F,2,0)))</f>
        <v>0</v>
      </c>
      <c r="DD111" s="409"/>
      <c r="DE111" s="398">
        <f>IF(DD111=0,0,IF(LEN(CR111)=11,_xlfn.XLOOKUP(CR111,'Dispensed Ink Rates'!C:C,'Dispensed Ink Rates'!CS:CS),VLOOKUP(CR111,'Jan-2026 rates'!$E:$F,2,0)))</f>
        <v>0</v>
      </c>
      <c r="DF111" s="409"/>
      <c r="DG111" s="398">
        <f>IF(DF111=0,0,IF(LEN(CS111)=11,_xlfn.XLOOKUP(CS111,'Dispensed Ink Rates'!C:C,'Dispensed Ink Rates'!CS:CS),VLOOKUP(CS111,'Jan-2026 rates'!$E:$F,2,0)))</f>
        <v>0</v>
      </c>
      <c r="DH111" s="409"/>
      <c r="DI111" s="398">
        <f>IF(DH111=0,0,IF(LEN(CT111)=11,_xlfn.XLOOKUP(CT111,'Dispensed Ink Rates'!C:C,'Dispensed Ink Rates'!CS:CS),VLOOKUP(CT111,'Jan-2026 rates'!$E:$F,2,0)))</f>
        <v>0</v>
      </c>
      <c r="DJ111" s="409"/>
      <c r="DK111" s="398">
        <f>IF(DJ111=0,0,IF(LEN(CU111)=11,_xlfn.XLOOKUP(CU111,'Dispensed Ink Rates'!C:C,'Dispensed Ink Rates'!CS:CS),VLOOKUP(CU111,'Jan-2026 rates'!$E:$F,2,0)))</f>
        <v>0</v>
      </c>
      <c r="DL111" s="409"/>
      <c r="DM111" s="409"/>
      <c r="DN111" s="411">
        <f t="shared" si="88"/>
        <v>0</v>
      </c>
      <c r="DO111" s="411">
        <f t="shared" si="89"/>
        <v>0</v>
      </c>
      <c r="DP111" s="410">
        <f t="shared" si="90"/>
        <v>0</v>
      </c>
      <c r="DQ111" s="405"/>
      <c r="DR111" s="409"/>
      <c r="DS111" s="420" t="str">
        <f t="shared" si="56"/>
        <v xml:space="preserve"> - </v>
      </c>
      <c r="DT111" s="409"/>
      <c r="DU111" s="411">
        <f>IF(DT111=0,0,IF($LB111=70%,VLOOKUP($DS111,'Jan-2026 rates'!$L:$R,4,0),IF($LB111=65%,VLOOKUP($DS111,'Jan-2026 rates'!$L:$R,4,0),IF($LB111=40%,VLOOKUP($DS111,'Jan-2026 rates'!$L:$R,5,0),IF($LB111=30%,VLOOKUP($DS111,'Jan-2026 rates'!$L:$R,6,0),IF($LB111=100%,VLOOKUP($DS111,'Jan-2026 rates'!$L:$R,7,0),IF($LB111=60%,VLOOKUP($DS111,'Jan-2026 rates'!$L:$S,8,0),IF($LB111=80%,VLOOKUP($DS111,'Jan-2026 rates'!L:T,9,0),0))))))))</f>
        <v>0</v>
      </c>
      <c r="DV111" s="412"/>
      <c r="DW111" s="409"/>
      <c r="DX111" s="411">
        <f>IF(DW111=0,0,IF($LB111=70%,VLOOKUP($DS111,'Jan-2026 rates'!$L:$R,4,0),IF($LB111=65%,VLOOKUP($DS111,'Jan-2026 rates'!$L:$R,4,0),IF($LB111=40%,VLOOKUP($DS111,'Jan-2026 rates'!$L:$R,5,0),IF($LB111=30%,VLOOKUP($DS111,'Jan-2026 rates'!$L:$R,6,0),IF($LB111=100%,VLOOKUP($DS111,'Jan-2026 rates'!$L:$R,7,0),IF($LB111=60%,VLOOKUP($DS111,'Jan-2026 rates'!$L:$S,8,0),IF($LB111=80%,VLOOKUP($DS111,'Jan-2026 rates'!L:T,9,0),0))))))))</f>
        <v>0</v>
      </c>
      <c r="DY111" s="413"/>
      <c r="DZ111" s="413"/>
      <c r="EA111" s="412"/>
      <c r="EB111" s="412"/>
      <c r="EC111" s="412"/>
      <c r="ED111" s="412"/>
      <c r="EE111" s="412"/>
      <c r="EF111" s="412"/>
      <c r="EG111" s="409"/>
      <c r="EH111" s="398">
        <f>IF(EG111=0,0,IF(LEN(DY111)=11,_xlfn.XLOOKUP(DY111,'Dispensed Ink Rates'!C:C,'Dispensed Ink Rates'!CS:CS),VLOOKUP(DY111,'Jan-2026 rates'!$E:$F,2,0)))</f>
        <v>0</v>
      </c>
      <c r="EI111" s="409"/>
      <c r="EJ111" s="398">
        <f>IF(EI111=0,0,IF(LEN(DZ111)=11,_xlfn.XLOOKUP(DZ111,'Dispensed Ink Rates'!C:C,'Dispensed Ink Rates'!CS:CS),VLOOKUP(DZ111,'Jan-2026 rates'!$E:$F,2,0)))</f>
        <v>0</v>
      </c>
      <c r="EK111" s="409"/>
      <c r="EL111" s="398">
        <f>IF(EK111=0,0,IF(LEN(EA111)=11,_xlfn.XLOOKUP(EA111,'Dispensed Ink Rates'!C:C,'Dispensed Ink Rates'!CS:CS),VLOOKUP(EA111,'Jan-2026 rates'!$E:$F,2,0)))</f>
        <v>0</v>
      </c>
      <c r="EM111" s="409"/>
      <c r="EN111" s="398">
        <f>IF(EM111=0,0,IF(LEN(EB111)=11,_xlfn.XLOOKUP(EB111,'Dispensed Ink Rates'!C:C,'Dispensed Ink Rates'!CS:CS),VLOOKUP(EB111,'Jan-2026 rates'!$E:$F,2,0)))</f>
        <v>0</v>
      </c>
      <c r="EO111" s="409"/>
      <c r="EP111" s="398">
        <f>IF(EO111=0,0,IF(LEN(EC111)=11,_xlfn.XLOOKUP(EC111,'Dispensed Ink Rates'!C:C,'Dispensed Ink Rates'!CS:CS),VLOOKUP(EC111,'Jan-2026 rates'!$E:$F,2,0)))</f>
        <v>0</v>
      </c>
      <c r="EQ111" s="409"/>
      <c r="ER111" s="398">
        <f>IF(EQ111=0,0,IF(LEN(ED111)=11,_xlfn.XLOOKUP(ED111,'Dispensed Ink Rates'!C:C,'Dispensed Ink Rates'!CS:CS),VLOOKUP(ED111,'Jan-2026 rates'!$E:$F,2,0)))</f>
        <v>0</v>
      </c>
      <c r="ES111" s="409"/>
      <c r="ET111" s="398">
        <f>IF(ES111=0,0,IF(LEN(EE111)=11,_xlfn.XLOOKUP(EE111,'Dispensed Ink Rates'!C:C,'Dispensed Ink Rates'!CS:CS),VLOOKUP(EE111,'Jan-2026 rates'!$E:$F,2,0)))</f>
        <v>0</v>
      </c>
      <c r="EU111" s="409"/>
      <c r="EV111" s="398">
        <f>IF(EU111=0,0,IF(LEN(EF111)=11,_xlfn.XLOOKUP(EF111,'Dispensed Ink Rates'!C:C,'Dispensed Ink Rates'!CS:CS),VLOOKUP(EF111,'Jan-2026 rates'!$E:$F,2,0)))</f>
        <v>0</v>
      </c>
      <c r="EW111" s="409"/>
      <c r="EX111" s="409"/>
      <c r="EY111" s="411">
        <f t="shared" si="91"/>
        <v>0</v>
      </c>
      <c r="EZ111" s="411">
        <f t="shared" si="92"/>
        <v>0</v>
      </c>
      <c r="FA111" s="410">
        <f t="shared" si="93"/>
        <v>0</v>
      </c>
      <c r="FB111" s="405"/>
      <c r="FC111" s="409"/>
      <c r="FD111" s="420" t="str">
        <f t="shared" si="57"/>
        <v xml:space="preserve"> - </v>
      </c>
      <c r="FE111" s="409"/>
      <c r="FF111" s="411">
        <f>IF(FE111=0,0,IF($LB111=70%,VLOOKUP($FD111,'Jan-2026 rates'!$L:$R,4,0),IF($LB111=65%,VLOOKUP($FD111,'Jan-2026 rates'!$L:$R,4,0),IF($LB111=40%,VLOOKUP($FD111,'Jan-2026 rates'!$L:$R,5,0),IF($LB111=30%,VLOOKUP($FD111,'Jan-2026 rates'!$L:$R,6,0),IF($LB111=100%,VLOOKUP($FD111,'Jan-2026 rates'!$L:$R,7,0),IF($LB111=60%,VLOOKUP($FD111,'Jan-2026 rates'!$L:$S,8,0),IF($LB111=80%,VLOOKUP($FD111,'Jan-2026 rates'!L:T,9,0),0))))))))</f>
        <v>0</v>
      </c>
      <c r="FG111" s="412"/>
      <c r="FH111" s="409"/>
      <c r="FI111" s="411">
        <f>IF(FH111=0,0,IF($LB111=70%,VLOOKUP($FD111,'Jan-2026 rates'!$L:$R,4,0),IF($LB111=65%,VLOOKUP($FD111,'Jan-2026 rates'!$L:$R,4,0),IF($LB111=40%,VLOOKUP($FD111,'Jan-2026 rates'!$L:$R,5,0),IF($LB111=30%,VLOOKUP($FD111,'Jan-2026 rates'!$L:$R,6,0),IF($LB111=100%,VLOOKUP($FD111,'Jan-2026 rates'!$L:$R,7,0),IF($LB111=60%,VLOOKUP($FD111,'Jan-2026 rates'!$L:$S,8,0),IF($LB111=80%,VLOOKUP($FD111,'Jan-2026 rates'!L:T,9,0),0))))))))</f>
        <v>0</v>
      </c>
      <c r="FJ111" s="413"/>
      <c r="FK111" s="413"/>
      <c r="FL111" s="413"/>
      <c r="FM111" s="412"/>
      <c r="FN111" s="412"/>
      <c r="FO111" s="412"/>
      <c r="FP111" s="412"/>
      <c r="FQ111" s="412"/>
      <c r="FR111" s="409"/>
      <c r="FS111" s="398">
        <f>IF(FR111=0,0,IF(LEN(FJ111)=11,_xlfn.XLOOKUP(FJ111,'Dispensed Ink Rates'!C:C,'Dispensed Ink Rates'!CS:CS),VLOOKUP(FJ111,'Jan-2026 rates'!$E:$F,2,0)))</f>
        <v>0</v>
      </c>
      <c r="FT111" s="409"/>
      <c r="FU111" s="398">
        <f>IF(FT111=0,0,IF(LEN(FK111)=11,_xlfn.XLOOKUP(FK111,'Dispensed Ink Rates'!C:C,'Dispensed Ink Rates'!CS:CS),VLOOKUP(FK111,'Jan-2026 rates'!$E:$F,2,0)))</f>
        <v>0</v>
      </c>
      <c r="FV111" s="409"/>
      <c r="FW111" s="398">
        <f>IF(FV111=0,0,IF(LEN(FL111)=11,_xlfn.XLOOKUP(FL111,'Dispensed Ink Rates'!C:C,'Dispensed Ink Rates'!CS:CS),VLOOKUP(FL111,'Jan-2026 rates'!$E:$F,2,0)))</f>
        <v>0</v>
      </c>
      <c r="FX111" s="409"/>
      <c r="FY111" s="398">
        <f>IF(FX111=0,0,IF(LEN(FM111)=11,_xlfn.XLOOKUP(FM111,'Dispensed Ink Rates'!C:C,'Dispensed Ink Rates'!CS:CS),VLOOKUP(FM111,'Jan-2026 rates'!$E:$F,2,0)))</f>
        <v>0</v>
      </c>
      <c r="FZ111" s="409"/>
      <c r="GA111" s="398">
        <f>IF(FZ111=0,0,IF(LEN(FN111)=11,_xlfn.XLOOKUP(FN111,'Dispensed Ink Rates'!C:C,'Dispensed Ink Rates'!CS:CS),VLOOKUP(FN111,'Jan-2026 rates'!$E:$F,2,0)))</f>
        <v>0</v>
      </c>
      <c r="GB111" s="409"/>
      <c r="GC111" s="398">
        <f>IF(GB111=0,0,IF(LEN(FO111)=11,_xlfn.XLOOKUP(FO111,'Dispensed Ink Rates'!C:C,'Dispensed Ink Rates'!CS:CS),VLOOKUP(FO111,'Jan-2026 rates'!$E:$F,2,0)))</f>
        <v>0</v>
      </c>
      <c r="GD111" s="409"/>
      <c r="GE111" s="398">
        <f>IF(GD111=0,0,IF(LEN(FP111)=11,_xlfn.XLOOKUP(FP111,'Dispensed Ink Rates'!C:C,'Dispensed Ink Rates'!CS:CS),VLOOKUP(FP111,'Jan-2026 rates'!$E:$F,2,0)))</f>
        <v>0</v>
      </c>
      <c r="GF111" s="409"/>
      <c r="GG111" s="398">
        <f>IF(GF111=0,0,IF(LEN(FQ111)=11,_xlfn.XLOOKUP(FQ111,'Dispensed Ink Rates'!C:C,'Dispensed Ink Rates'!CS:CS),VLOOKUP(FQ111,'Jan-2026 rates'!$E:$F,2,0)))</f>
        <v>0</v>
      </c>
      <c r="GH111" s="409"/>
      <c r="GI111" s="409"/>
      <c r="GJ111" s="411">
        <f t="shared" si="94"/>
        <v>0</v>
      </c>
      <c r="GK111" s="411">
        <f t="shared" si="95"/>
        <v>0</v>
      </c>
      <c r="GL111" s="410">
        <f t="shared" si="96"/>
        <v>0</v>
      </c>
      <c r="GM111" s="405"/>
      <c r="GN111" s="409"/>
      <c r="GO111" s="420" t="str">
        <f t="shared" si="58"/>
        <v xml:space="preserve"> - </v>
      </c>
      <c r="GP111" s="409"/>
      <c r="GQ111" s="411">
        <f>IF(GP111=0,0,IF($LB111=70%,VLOOKUP($GO111,'Jan-2026 rates'!$L:$R,4,0),IF($LB111=65%,VLOOKUP($GO111,'Jan-2026 rates'!$L:$R,4,0),IF($LB111=40%,VLOOKUP($GO111,'Jan-2026 rates'!$L:$R,5,0),IF($LB111=30%,VLOOKUP($GO111,'Jan-2026 rates'!$L:$R,6,0),IF($LB111=100%,VLOOKUP($GO111,'Jan-2026 rates'!$L:$R,7,0),IF($LB111=60%,VLOOKUP($GO111,'Jan-2026 rates'!$L:$S,8,0),IF($LB111=80%,VLOOKUP($GO111,'Jan-2026 rates'!L:T,9,0),0))))))))</f>
        <v>0</v>
      </c>
      <c r="GR111" s="412"/>
      <c r="GS111" s="409"/>
      <c r="GT111" s="411">
        <f>IF(GS111=0,0,IF($LB111=70%,VLOOKUP($GO111,'Jan-2026 rates'!$L:$R,4,0),IF($LB111=65%,VLOOKUP($GO111,'Jan-2026 rates'!$L:$R,4,0),IF($LB111=40%,VLOOKUP($GO111,'Jan-2026 rates'!$L:$R,5,0),IF($LB111=30%,VLOOKUP($GO111,'Jan-2026 rates'!$L:$R,6,0),IF($LB111=100%,VLOOKUP($GO111,'Jan-2026 rates'!$L:$R,7,0),IF($LB111=60%,VLOOKUP($GO111,'Jan-2026 rates'!$L:$S,8,0),IF($LB111=80%,VLOOKUP($GO111,'Jan-2026 rates'!L:T,9,0),0))))))))</f>
        <v>0</v>
      </c>
      <c r="GU111" s="413"/>
      <c r="GV111" s="413"/>
      <c r="GW111" s="412"/>
      <c r="GX111" s="412"/>
      <c r="GY111" s="412"/>
      <c r="GZ111" s="412"/>
      <c r="HA111" s="412"/>
      <c r="HB111" s="412"/>
      <c r="HC111" s="409"/>
      <c r="HD111" s="398">
        <f>IF(HC111=0,0,IF(LEN(GU111)=11,_xlfn.XLOOKUP(GU111,'Dispensed Ink Rates'!C:C,'Dispensed Ink Rates'!CS:CS),VLOOKUP(GU111,'Jan-2026 rates'!$E:$F,2,0)))</f>
        <v>0</v>
      </c>
      <c r="HE111" s="409"/>
      <c r="HF111" s="398">
        <f>IF(HE111=0,0,IF(LEN(GV111)=11,_xlfn.XLOOKUP(GV111,'Dispensed Ink Rates'!C:C,'Dispensed Ink Rates'!CS:CS),VLOOKUP(GV111,'Jan-2026 rates'!$E:$F,2,0)))</f>
        <v>0</v>
      </c>
      <c r="HG111" s="409"/>
      <c r="HH111" s="398">
        <f>IF(HG111=0,0,IF(LEN(GW111)=11,_xlfn.XLOOKUP(GW111,'Dispensed Ink Rates'!C:C,'Dispensed Ink Rates'!CS:CS),VLOOKUP(GW111,'Jan-2026 rates'!$E:$F,2,0)))</f>
        <v>0</v>
      </c>
      <c r="HI111" s="409"/>
      <c r="HJ111" s="398">
        <f>IF(HI111=0,0,IF(LEN(GX111)=11,_xlfn.XLOOKUP(GX111,'Dispensed Ink Rates'!C:C,'Dispensed Ink Rates'!CS:CS),VLOOKUP(GX111,'Jan-2026 rates'!$E:$F,2,0)))</f>
        <v>0</v>
      </c>
      <c r="HK111" s="409"/>
      <c r="HL111" s="398">
        <f>IF(HK111=0,0,IF(LEN(GY111)=11,_xlfn.XLOOKUP(GY111,'Dispensed Ink Rates'!C:C,'Dispensed Ink Rates'!CS:CS),VLOOKUP(GY111,'Jan-2026 rates'!$E:$F,2,0)))</f>
        <v>0</v>
      </c>
      <c r="HM111" s="409"/>
      <c r="HN111" s="398">
        <f>IF(HM111=0,0,IF(LEN(GZ111)=11,_xlfn.XLOOKUP(GZ111,'Dispensed Ink Rates'!C:C,'Dispensed Ink Rates'!CS:CS),VLOOKUP(GZ111,'Jan-2026 rates'!$E:$F,2,0)))</f>
        <v>0</v>
      </c>
      <c r="HO111" s="409"/>
      <c r="HP111" s="398">
        <f>IF(HO111=0,0,IF(LEN(HA111)=11,_xlfn.XLOOKUP(HA111,'Dispensed Ink Rates'!C:C,'Dispensed Ink Rates'!CS:CS),VLOOKUP(HA111,'Jan-2026 rates'!$E:$F,2,0)))</f>
        <v>0</v>
      </c>
      <c r="HQ111" s="409"/>
      <c r="HR111" s="398">
        <f>IF(HQ111=0,0,IF(LEN(HB111)=11,_xlfn.XLOOKUP(HB111,'Dispensed Ink Rates'!C:C,'Dispensed Ink Rates'!CS:CS),VLOOKUP(HB111,'Jan-2026 rates'!$E:$F,2,0)))</f>
        <v>0</v>
      </c>
      <c r="HS111" s="409"/>
      <c r="HT111" s="409"/>
      <c r="HU111" s="411">
        <f t="shared" si="97"/>
        <v>0</v>
      </c>
      <c r="HV111" s="411">
        <f t="shared" si="98"/>
        <v>0</v>
      </c>
      <c r="HW111" s="414">
        <f t="shared" si="99"/>
        <v>0</v>
      </c>
      <c r="HX111" s="405"/>
      <c r="HY111" s="409"/>
      <c r="HZ111" s="420" t="str">
        <f t="shared" si="59"/>
        <v xml:space="preserve"> - </v>
      </c>
      <c r="IA111" s="409"/>
      <c r="IB111" s="411">
        <f>IF(IA111=0,0,IF($LB111=70%,VLOOKUP($HZ111,'Jan-2026 rates'!$L:$R,4,0),IF($LB111=65%,VLOOKUP($HZ111,'Jan-2026 rates'!$L:$R,4,0),IF($LB111=40%,VLOOKUP($HZ111,'Jan-2026 rates'!$L:$R,5,0),IF($LB111=30%,VLOOKUP($HZ111,'Jan-2026 rates'!$L:$R,6,0),IF($LB111=100%,VLOOKUP($HZ111,'Jan-2026 rates'!$L:$R,7,0),IF($LB111=60%,VLOOKUP($HZ111,'Jan-2026 rates'!$L:$S,8,0),IF($LB111=80%,VLOOKUP($HZ111,'Jan-2026 rates'!L:T,9,0),0))))))))</f>
        <v>0</v>
      </c>
      <c r="IC111" s="412"/>
      <c r="ID111" s="409"/>
      <c r="IE111" s="411">
        <f>IF(ID111=0,0,IF($LB111=70%,VLOOKUP($HZ111,'Jan-2026 rates'!$L:$R,4,0),IF($LB111=65%,VLOOKUP($HZ111,'Jan-2026 rates'!$L:$R,4,0),IF($LB111=40%,VLOOKUP($HZ111,'Jan-2026 rates'!$L:$R,5,0),IF($LB111=30%,VLOOKUP($HZ111,'Jan-2026 rates'!$L:$R,6,0),IF($LB111=100%,VLOOKUP($HZ111,'Jan-2026 rates'!$L:$R,7,0),IF($LB111=60%,VLOOKUP($HZ111,'Jan-2026 rates'!$L:$S,8,0),IF($LB111=80%,VLOOKUP($HZ111,'Jan-2026 rates'!L:T,9,0),0))))))))</f>
        <v>0</v>
      </c>
      <c r="IF111" s="412"/>
      <c r="IG111" s="413"/>
      <c r="IH111" s="412"/>
      <c r="II111" s="412"/>
      <c r="IJ111" s="412"/>
      <c r="IK111" s="412"/>
      <c r="IL111" s="412"/>
      <c r="IM111" s="412"/>
      <c r="IN111" s="409"/>
      <c r="IO111" s="398">
        <f>IF(IN111=0,0,IF(LEN(IF111)=11,_xlfn.XLOOKUP(IF111,'Dispensed Ink Rates'!C:C,'Dispensed Ink Rates'!CS:CS),VLOOKUP(IF111,'Jan-2026 rates'!$E:$F,2,0)))</f>
        <v>0</v>
      </c>
      <c r="IP111" s="409"/>
      <c r="IQ111" s="398">
        <f>IF(IP111=0,0,IF(LEN(IG111)=11,_xlfn.XLOOKUP(IG111,'Dispensed Ink Rates'!C:C,'Dispensed Ink Rates'!CS:CS),VLOOKUP(IG111,'Jan-2026 rates'!$E:$F,2,0)))</f>
        <v>0</v>
      </c>
      <c r="IR111" s="409"/>
      <c r="IS111" s="398">
        <f>IF(IR111=0,0,IF(LEN(IH111)=11,_xlfn.XLOOKUP(IH111,'Dispensed Ink Rates'!C:C,'Dispensed Ink Rates'!CS:CS),VLOOKUP(IH111,'Jan-2026 rates'!$E:$F,2,0)))</f>
        <v>0</v>
      </c>
      <c r="IT111" s="409"/>
      <c r="IU111" s="398">
        <f>IF(IT111=0,0,IF(LEN(II111)=11,_xlfn.XLOOKUP(II111,'Dispensed Ink Rates'!C:C,'Dispensed Ink Rates'!CS:CS),VLOOKUP(II111,'Jan-2026 rates'!$E:$F,2,0)))</f>
        <v>0</v>
      </c>
      <c r="IV111" s="409"/>
      <c r="IW111" s="398">
        <f>IF(IV111=0,0,IF(LEN(IJ111)=11,_xlfn.XLOOKUP(IJ111,'Dispensed Ink Rates'!C:C,'Dispensed Ink Rates'!CS:CS),VLOOKUP(IJ111,'Jan-2026 rates'!$E:$F,2,0)))</f>
        <v>0</v>
      </c>
      <c r="IX111" s="409"/>
      <c r="IY111" s="398">
        <f>IF(IX111=0,0,IF(LEN(IK111)=11,_xlfn.XLOOKUP(IK111,'Dispensed Ink Rates'!C:C,'Dispensed Ink Rates'!CS:CS),VLOOKUP(IK111,'Jan-2026 rates'!$E:$F,2,0)))</f>
        <v>0</v>
      </c>
      <c r="IZ111" s="409"/>
      <c r="JA111" s="398">
        <f>IF(IZ111=0,0,IF(LEN(IL111)=11,_xlfn.XLOOKUP(IL111,'Dispensed Ink Rates'!C:C,'Dispensed Ink Rates'!CS:CS),VLOOKUP(IL111,'Jan-2026 rates'!$E:$F,2,0)))</f>
        <v>0</v>
      </c>
      <c r="JB111" s="409"/>
      <c r="JC111" s="398">
        <f>IF(JB111=0,0,IF(LEN(IM111)=11,_xlfn.XLOOKUP(IM111,'Dispensed Ink Rates'!C:C,'Dispensed Ink Rates'!CS:CS),VLOOKUP(IM111,'Jan-2026 rates'!$E:$F,2,0)))</f>
        <v>0</v>
      </c>
      <c r="JD111" s="409"/>
      <c r="JE111" s="409"/>
      <c r="JF111" s="411">
        <f t="shared" si="100"/>
        <v>0</v>
      </c>
      <c r="JG111" s="411">
        <f t="shared" si="101"/>
        <v>0</v>
      </c>
      <c r="JH111" s="410">
        <f t="shared" si="102"/>
        <v>0</v>
      </c>
      <c r="JI111" s="405"/>
      <c r="JJ111" s="409"/>
      <c r="JK111" s="420" t="str">
        <f t="shared" si="60"/>
        <v xml:space="preserve"> - </v>
      </c>
      <c r="JL111" s="409"/>
      <c r="JM111" s="411">
        <f>IF(JL111=0,0,IF($LB111=70%,VLOOKUP($JK111,'Jan-2026 rates'!$L:$R,4,0),IF($LB111=65%,VLOOKUP($JK111,'Jan-2026 rates'!$L:$R,4,0),IF($LB111=40%,VLOOKUP($JK111,'Jan-2026 rates'!$L:$R,5,0),IF($LB111=30%,VLOOKUP($JK111,'Jan-2026 rates'!$L:$R,6,0),IF($LB111=100%,VLOOKUP($JK111,'Jan-2026 rates'!$L:$R,7,0),IF($LB111=60%,VLOOKUP($JK111,'Jan-2026 rates'!$L:$S,8,0),IF($LB111=80%,VLOOKUP($JK111,'Jan-2026 rates'!L:T,9,0),0))))))))</f>
        <v>0</v>
      </c>
      <c r="JN111" s="412"/>
      <c r="JO111" s="409"/>
      <c r="JP111" s="411">
        <f>IF(JO111=0,0,IF($LB111=70%,VLOOKUP($JK111,'Jan-2026 rates'!$L:$R,4,0),IF($LB111=65%,VLOOKUP($JK111,'Jan-2026 rates'!$L:$R,4,0),IF($LB111=40%,VLOOKUP($JK111,'Jan-2026 rates'!$L:$R,5,0),IF($LB111=30%,VLOOKUP($JK111,'Jan-2026 rates'!$L:$R,6,0),IF($LB111=100%,VLOOKUP($JK111,'Jan-2026 rates'!$L:$R,7,0),IF($LB111=60%,VLOOKUP($JK111,'Jan-2026 rates'!$L:$S,8,0),IF($LB111=80%,VLOOKUP($JK111,'Jan-2026 rates'!L:T,9,0),0))))))))</f>
        <v>0</v>
      </c>
      <c r="JQ111" s="413"/>
      <c r="JR111" s="412"/>
      <c r="JS111" s="413"/>
      <c r="JT111" s="413"/>
      <c r="JU111" s="412"/>
      <c r="JV111" s="412"/>
      <c r="JW111" s="412"/>
      <c r="JX111" s="412"/>
      <c r="JY111" s="409"/>
      <c r="JZ111" s="398">
        <f>IF(JY111=0,0,IF(LEN(JQ111)=11,_xlfn.XLOOKUP(JQ111,'Dispensed Ink Rates'!C:C,'Dispensed Ink Rates'!CS:CS),VLOOKUP(JQ111,'Jan-2026 rates'!$E:$F,2,0)))</f>
        <v>0</v>
      </c>
      <c r="KA111" s="409"/>
      <c r="KB111" s="398">
        <f>IF(KA111=0,0,IF(LEN(JR111)=11,_xlfn.XLOOKUP(JR111,'Dispensed Ink Rates'!C:C,'Dispensed Ink Rates'!CS:CS),VLOOKUP(JR111,'Jan-2026 rates'!$E:$F,2,0)))</f>
        <v>0</v>
      </c>
      <c r="KC111" s="409"/>
      <c r="KD111" s="398">
        <f>IF(KC111=0,0,IF(LEN(JS111)=11,_xlfn.XLOOKUP(JS111,'Dispensed Ink Rates'!C:C,'Dispensed Ink Rates'!CS:CS),VLOOKUP(JS111,'Jan-2026 rates'!$E:$F,2,0)))</f>
        <v>0</v>
      </c>
      <c r="KE111" s="409"/>
      <c r="KF111" s="398">
        <f>IF(KE111=0,0,IF(LEN(JT111)=11,_xlfn.XLOOKUP(JT111,'Dispensed Ink Rates'!C:C,'Dispensed Ink Rates'!CS:CS),VLOOKUP(JT111,'Jan-2026 rates'!$E:$F,2,0)))</f>
        <v>0</v>
      </c>
      <c r="KG111" s="409"/>
      <c r="KH111" s="398">
        <f>IF(KG111=0,0,IF(LEN(JU111)=11,_xlfn.XLOOKUP(JU111,'Dispensed Ink Rates'!C:C,'Dispensed Ink Rates'!CS:CS),VLOOKUP(JU111,'Jan-2026 rates'!$E:$F,2,0)))</f>
        <v>0</v>
      </c>
      <c r="KI111" s="409"/>
      <c r="KJ111" s="398">
        <f>IF(KI111=0,0,IF(LEN(JV111)=11,_xlfn.XLOOKUP(JV111,'Dispensed Ink Rates'!C:C,'Dispensed Ink Rates'!CS:CS),VLOOKUP(JV111,'Jan-2026 rates'!$E:$F,2,0)))</f>
        <v>0</v>
      </c>
      <c r="KK111" s="409"/>
      <c r="KL111" s="398">
        <f>IF(KK111=0,0,IF(LEN(JW111)=11,_xlfn.XLOOKUP(JW111,'Dispensed Ink Rates'!C:C,'Dispensed Ink Rates'!CS:CS),VLOOKUP(JW111,'Jan-2026 rates'!$E:$F,2,0)))</f>
        <v>0</v>
      </c>
      <c r="KM111" s="428"/>
      <c r="KN111" s="398">
        <f>IF(KM111=0,0,IF(LEN(JX111)=11,_xlfn.XLOOKUP(JX111,'Dispensed Ink Rates'!C:C,'Dispensed Ink Rates'!CS:CS),VLOOKUP(JX111,'Jan-2026 rates'!$E:$F,2,0)))</f>
        <v>0</v>
      </c>
      <c r="KO111" s="409"/>
      <c r="KP111" s="409"/>
      <c r="KQ111" s="411">
        <f t="shared" si="103"/>
        <v>0</v>
      </c>
      <c r="KR111" s="411">
        <f t="shared" si="104"/>
        <v>0</v>
      </c>
      <c r="KS111" s="410">
        <f t="shared" si="105"/>
        <v>0</v>
      </c>
      <c r="KT111" s="409">
        <v>5</v>
      </c>
      <c r="KU111" s="409">
        <v>0</v>
      </c>
      <c r="KV111" s="409">
        <v>0</v>
      </c>
      <c r="KW111" s="409">
        <v>0</v>
      </c>
      <c r="KX111" s="409">
        <v>0</v>
      </c>
      <c r="KY111" s="409">
        <v>0</v>
      </c>
      <c r="KZ111" s="409">
        <v>0</v>
      </c>
      <c r="LA111" s="409">
        <v>0</v>
      </c>
      <c r="LB111" s="415">
        <v>0.8</v>
      </c>
      <c r="LC111" s="415">
        <v>0.2</v>
      </c>
      <c r="LD111" s="415"/>
      <c r="LE111" s="415"/>
      <c r="LF111" s="415"/>
      <c r="LG111" s="409">
        <v>0</v>
      </c>
      <c r="LH111" s="409">
        <f>5+10+16+4</f>
        <v>35</v>
      </c>
      <c r="LI111" s="409">
        <v>0</v>
      </c>
      <c r="LJ111" s="409">
        <v>0</v>
      </c>
      <c r="LK111" s="416">
        <f t="shared" si="61"/>
        <v>35</v>
      </c>
      <c r="LL111" s="416">
        <f t="shared" si="62"/>
        <v>35</v>
      </c>
      <c r="LM111" s="417">
        <f t="shared" si="63"/>
        <v>28</v>
      </c>
      <c r="LN111" s="417">
        <f>VLOOKUP($LM$8,'Jan-2026 rates'!$H:$I,2,0)</f>
        <v>0</v>
      </c>
      <c r="LO111" s="417">
        <f t="shared" si="64"/>
        <v>7</v>
      </c>
      <c r="LP111" s="417">
        <f>VLOOKUP($LO$8,'Jan-2026 rates'!$H:$I,2,0)</f>
        <v>0</v>
      </c>
      <c r="LQ111" s="417">
        <f t="shared" si="65"/>
        <v>0</v>
      </c>
      <c r="LR111" s="417">
        <f>VLOOKUP($LQ$8,'Jan-2026 rates'!$H:$I,2,0)</f>
        <v>0</v>
      </c>
      <c r="LS111" s="417">
        <f t="shared" si="66"/>
        <v>0</v>
      </c>
      <c r="LT111" s="417">
        <f>VLOOKUP($LS$8,'Jan-2026 rates'!$H:$I,2,0)</f>
        <v>0</v>
      </c>
      <c r="LU111" s="417">
        <f t="shared" si="67"/>
        <v>0</v>
      </c>
      <c r="LV111" s="417">
        <f>VLOOKUP($LU$8,'Jan-2026 rates'!$H:$I,2,0)</f>
        <v>0</v>
      </c>
      <c r="LW111" s="417">
        <f t="shared" si="68"/>
        <v>0</v>
      </c>
      <c r="LX111" s="417">
        <f t="shared" si="69"/>
        <v>0</v>
      </c>
      <c r="LY111" s="418">
        <f t="shared" si="70"/>
        <v>0</v>
      </c>
      <c r="LZ111" s="417"/>
      <c r="MA111" s="435">
        <f t="shared" si="71"/>
        <v>27</v>
      </c>
      <c r="MB111" s="282">
        <f t="shared" si="72"/>
        <v>43</v>
      </c>
      <c r="MC111" s="283">
        <v>66</v>
      </c>
      <c r="MD111" s="284" t="str">
        <f t="shared" si="73"/>
        <v>FLINTSL</v>
      </c>
      <c r="ME111" s="293" t="str">
        <f t="shared" si="74"/>
        <v>+</v>
      </c>
      <c r="MF111" s="293" t="str">
        <f t="shared" si="75"/>
        <v>NIL</v>
      </c>
      <c r="MG111" s="293" t="str">
        <f t="shared" si="76"/>
        <v>NIL</v>
      </c>
      <c r="MH111" s="293" t="str">
        <f t="shared" si="77"/>
        <v>NIL</v>
      </c>
      <c r="MI111" s="293" t="str">
        <f t="shared" si="78"/>
        <v>NIL</v>
      </c>
      <c r="MJ111" s="293" t="str">
        <f t="shared" si="79"/>
        <v>NIL</v>
      </c>
      <c r="MK111" s="293" t="str">
        <f t="shared" si="80"/>
        <v>NIL</v>
      </c>
      <c r="ML111" s="293" t="str">
        <f t="shared" si="81"/>
        <v>NIL</v>
      </c>
      <c r="MM111" s="3" t="b">
        <f t="array" ref="MM111">OR(ME111:ML111="-")</f>
        <v>0</v>
      </c>
      <c r="MN111" s="285"/>
      <c r="MO111" s="401"/>
      <c r="MP111" s="286"/>
      <c r="MQ111" s="286"/>
      <c r="MR111" s="402"/>
      <c r="MS111" s="400"/>
      <c r="NH111" s="422"/>
      <c r="NJ111" s="421"/>
    </row>
    <row r="112" spans="1:374" s="1" customFormat="1" ht="16.5">
      <c r="A112" s="403">
        <v>46031</v>
      </c>
      <c r="B112" s="404" t="s">
        <v>1015</v>
      </c>
      <c r="C112" s="405" t="s">
        <v>3239</v>
      </c>
      <c r="D112" s="406">
        <v>67</v>
      </c>
      <c r="E112" s="404">
        <v>478</v>
      </c>
      <c r="F112" s="407">
        <v>24900</v>
      </c>
      <c r="G112" s="407" t="s">
        <v>1019</v>
      </c>
      <c r="H112" s="408" t="s">
        <v>1017</v>
      </c>
      <c r="I112" s="409">
        <v>1.91</v>
      </c>
      <c r="J112" s="405" t="s">
        <v>543</v>
      </c>
      <c r="K112" s="404" t="s">
        <v>3240</v>
      </c>
      <c r="L112" s="419" t="str">
        <f t="shared" si="54"/>
        <v>FLINTSL - BLACK</v>
      </c>
      <c r="M112" s="404">
        <v>25</v>
      </c>
      <c r="N112" s="410">
        <f>IF(M112=0,0,IF($LB112=70%,VLOOKUP($L112,'Jan-2026 rates'!$L:$R,4,0),IF($LB112=65%,VLOOKUP($L112,'Jan-2026 rates'!$L:$R,4,0),IF($LB112=40%,VLOOKUP($L112,'Jan-2026 rates'!$L:$R,5,0),IF($LB112=30%,VLOOKUP($L112,'Jan-2026 rates'!$L:$R,6,0),IF($LB112=100%,VLOOKUP($L112,'Jan-2026 rates'!$L:$R,7,0),IF($LB112=60%,VLOOKUP($L112,'Jan-2026 rates'!$L:$S,8,0),IF($LB112=80%,VLOOKUP($L112,'Jan-2026 rates'!L:T,9,0),0))))))))</f>
        <v>0</v>
      </c>
      <c r="O112" s="406"/>
      <c r="P112" s="404"/>
      <c r="Q112" s="410">
        <f>IF(P112=0,0,IF($LB112=70%,VLOOKUP($L112,'Jan-2026 rates'!$L:$R,4,0),IF($LB112=65%,VLOOKUP($L112,'Jan-2026 rates'!$L:$R,4,0),IF($LB112=40%,VLOOKUP($L112,'Jan-2026 rates'!$L:$R,5,0),IF($LB112=30%,VLOOKUP($L112,'Jan-2026 rates'!$L:$R,6,0),IF($LB112=100%,VLOOKUP($L112,'Jan-2026 rates'!$L:$R,7,0),IF($LB112=60%,VLOOKUP($L112,'Jan-2026 rates'!$L:$S,8,0),IF($LB112=80%,VLOOKUP($L112,'Jan-2026 rates'!L:T,9,0),0))))))))</f>
        <v>0</v>
      </c>
      <c r="R112" s="406">
        <v>26507000010</v>
      </c>
      <c r="S112" s="406"/>
      <c r="T112" s="406"/>
      <c r="U112" s="406"/>
      <c r="V112" s="406"/>
      <c r="W112" s="406"/>
      <c r="X112" s="406"/>
      <c r="Y112" s="406"/>
      <c r="Z112" s="404">
        <v>2</v>
      </c>
      <c r="AA112" s="398" t="e">
        <f>IF(Z112=0,0,IF(LEN(R112)=11,_xlfn.XLOOKUP(R112,'Dispensed Ink Rates'!C:C,'Dispensed Ink Rates'!CS:CS),VLOOKUP(R112,'Jan-2026 rates'!$E:$F,2,0)))</f>
        <v>#N/A</v>
      </c>
      <c r="AB112" s="404"/>
      <c r="AC112" s="398">
        <f>IF(AB112=0,0,IF(LEN(S112)=11,_xlfn.XLOOKUP(S112,'Dispensed Ink Rates'!C:C,'Dispensed Ink Rates'!CS:CS),VLOOKUP(S112,'Jan-2026 rates'!$E:$F,2,0)))</f>
        <v>0</v>
      </c>
      <c r="AD112" s="404"/>
      <c r="AE112" s="398">
        <f>IF(AD112=0,0,IF(LEN(T112)=11,_xlfn.XLOOKUP(T112,'Dispensed Ink Rates'!C:C,'Dispensed Ink Rates'!CS:CS),VLOOKUP(T112,'Jan-2026 rates'!$E:$F,2,0)))</f>
        <v>0</v>
      </c>
      <c r="AF112" s="404"/>
      <c r="AG112" s="398">
        <f>IF(AF112=0,0,IF(LEN(U112)=11,_xlfn.XLOOKUP(U112,'Dispensed Ink Rates'!C:C,'Dispensed Ink Rates'!CS:CS),VLOOKUP(U112,'Jan-2026 rates'!$E:$F,2,0)))</f>
        <v>0</v>
      </c>
      <c r="AH112" s="404"/>
      <c r="AI112" s="398">
        <f>IF(AH112=0,0,IF(LEN(V112)=11,_xlfn.XLOOKUP(V112,'Dispensed Ink Rates'!C:C,'Dispensed Ink Rates'!CS:CS),VLOOKUP(V112,'Jan-2026 rates'!$E:$F,2,0)))</f>
        <v>0</v>
      </c>
      <c r="AJ112" s="404"/>
      <c r="AK112" s="398">
        <f>IF(AJ112=0,0,IF(LEN(W112)=11,_xlfn.XLOOKUP(W112,'Dispensed Ink Rates'!C:C,'Dispensed Ink Rates'!CS:CS),VLOOKUP(W112,'Jan-2026 rates'!$E:$F,2,0)))</f>
        <v>0</v>
      </c>
      <c r="AL112" s="404"/>
      <c r="AM112" s="398">
        <f>IF(AL112=0,0,IF(LEN(X112)=11,_xlfn.XLOOKUP(X112,'Dispensed Ink Rates'!C:C,'Dispensed Ink Rates'!CS:CS),VLOOKUP(X112,'Jan-2026 rates'!$E:$F,2,0)))</f>
        <v>0</v>
      </c>
      <c r="AN112" s="404"/>
      <c r="AO112" s="398">
        <f>IF(AN112=0,0,IF(LEN(Y112)=11,_xlfn.XLOOKUP(Y112,'Dispensed Ink Rates'!C:C,'Dispensed Ink Rates'!CS:CS),VLOOKUP(Y112,'Jan-2026 rates'!$E:$F,2,0)))</f>
        <v>0</v>
      </c>
      <c r="AP112" s="409" t="s">
        <v>1443</v>
      </c>
      <c r="AQ112" s="409">
        <v>23</v>
      </c>
      <c r="AR112" s="410">
        <f t="shared" si="82"/>
        <v>0</v>
      </c>
      <c r="AS112" s="411">
        <f t="shared" si="83"/>
        <v>10.863013698630134</v>
      </c>
      <c r="AT112" s="410">
        <f t="shared" si="84"/>
        <v>0</v>
      </c>
      <c r="AU112" s="405" t="s">
        <v>546</v>
      </c>
      <c r="AV112" s="409"/>
      <c r="AW112" s="420" t="str">
        <f t="shared" si="53"/>
        <v>FLINTSL - REFLEX BLUE</v>
      </c>
      <c r="AX112" s="409"/>
      <c r="AY112" s="411">
        <f>IF(AX112=0,0,IF($LB112=70%,VLOOKUP($AW112,'Jan-2026 rates'!$L:$R,4,0),IF($LB112=65%,VLOOKUP($AW112,'Jan-2026 rates'!$L:$R,4,0),IF($LB112=40%,VLOOKUP($AW112,'Jan-2026 rates'!$L:$R,5,0),IF($LB112=30%,VLOOKUP($AW112,'Jan-2026 rates'!$L:$R,6,0),IF($LB112=100%,VLOOKUP($AW112,'Jan-2026 rates'!$L:$R,7,0),IF($LB112=60%,VLOOKUP($AW112,'Jan-2026 rates'!$L:$S,8,0),IF($LB112=80%,VLOOKUP($AW112,'Jan-2026 rates'!L:T,9,0),0))))))))</f>
        <v>0</v>
      </c>
      <c r="AZ112" s="412"/>
      <c r="BA112" s="409"/>
      <c r="BB112" s="411">
        <f>IF(BA112=0,0,IF($LB112=70%,VLOOKUP($AW112,'Jan-2026 rates'!$L:$R,4,0),IF($LB112=65%,VLOOKUP($AW112,'Jan-2026 rates'!$L:$R,4,0),IF($LB112=40%,VLOOKUP($AW112,'Jan-2026 rates'!$L:$R,5,0),IF($LB112=30%,VLOOKUP($AW112,'Jan-2026 rates'!$L:$R,6,0),IF($LB112=100%,VLOOKUP($AW112,'Jan-2026 rates'!$L:$R,7,0),IF($LB112=60%,VLOOKUP($AW112,'Jan-2026 rates'!$L:$S,8,0),IF($LB112=80%,VLOOKUP($AW112,'Jan-2026 rates'!L:T,9,0),0))))))))</f>
        <v>0</v>
      </c>
      <c r="BC112" s="413">
        <v>26510000011</v>
      </c>
      <c r="BD112" s="412">
        <v>26509000013</v>
      </c>
      <c r="BE112" s="412">
        <v>26512000010</v>
      </c>
      <c r="BF112" s="413"/>
      <c r="BG112" s="412"/>
      <c r="BH112" s="412"/>
      <c r="BI112" s="412"/>
      <c r="BJ112" s="412"/>
      <c r="BK112" s="409">
        <v>5</v>
      </c>
      <c r="BL112" s="398" t="e">
        <f>IF(BK112=0,0,IF(LEN(BC112)=11,_xlfn.XLOOKUP(BC112,'Dispensed Ink Rates'!C:C,'Dispensed Ink Rates'!CS:CS),VLOOKUP(BC112,'Jan-2026 rates'!$E:$F,2,0)))</f>
        <v>#N/A</v>
      </c>
      <c r="BM112" s="409">
        <v>20</v>
      </c>
      <c r="BN112" s="398" t="e">
        <f>IF(BM112=0,0,IF(LEN(BD112)=11,_xlfn.XLOOKUP(BD112,'Dispensed Ink Rates'!C:C,'Dispensed Ink Rates'!CS:CS),VLOOKUP(BD112,'Jan-2026 rates'!$E:$F,2,0)))</f>
        <v>#N/A</v>
      </c>
      <c r="BO112" s="409">
        <v>1</v>
      </c>
      <c r="BP112" s="398" t="e">
        <f>IF(BO112=0,0,IF(LEN(BE112)=11,_xlfn.XLOOKUP(BE112,'Dispensed Ink Rates'!C:C,'Dispensed Ink Rates'!CS:CS),VLOOKUP(BE112,'Jan-2026 rates'!$E:$F,2,0)))</f>
        <v>#N/A</v>
      </c>
      <c r="BQ112" s="409"/>
      <c r="BR112" s="398">
        <f>IF(BQ112=0,0,IF(LEN(BF112)=11,_xlfn.XLOOKUP(BF112,'Dispensed Ink Rates'!C:C,'Dispensed Ink Rates'!CS:CS),VLOOKUP(BF112,'Jan-2026 rates'!$E:$F,2,0)))</f>
        <v>0</v>
      </c>
      <c r="BS112" s="409"/>
      <c r="BT112" s="398">
        <f>IF(BS112=0,0,IF(LEN(BG112)=11,_xlfn.XLOOKUP(BG112,'Dispensed Ink Rates'!C:C,'Dispensed Ink Rates'!CS:CS),VLOOKUP(BG112,'Jan-2026 rates'!$E:$F,2,0)))</f>
        <v>0</v>
      </c>
      <c r="BU112" s="409"/>
      <c r="BV112" s="398">
        <f>IF(BU112=0,0,IF(LEN(BH112)=11,_xlfn.XLOOKUP(BH112,'Dispensed Ink Rates'!C:C,'Dispensed Ink Rates'!CS:CS),VLOOKUP(BH112,'Jan-2026 rates'!$E:$F,2,0)))</f>
        <v>0</v>
      </c>
      <c r="BW112" s="409"/>
      <c r="BX112" s="398">
        <f>IF(BW112=0,0,IF(LEN(BI112)=11,_xlfn.XLOOKUP(BI112,'Dispensed Ink Rates'!C:C,'Dispensed Ink Rates'!CS:CS),VLOOKUP(BI112,'Jan-2026 rates'!$E:$F,2,0)))</f>
        <v>0</v>
      </c>
      <c r="BY112" s="409"/>
      <c r="BZ112" s="398">
        <f>IF(BY112=0,0,IF(LEN(BJ112)=11,_xlfn.XLOOKUP(BJ112,'Dispensed Ink Rates'!C:C,'Dispensed Ink Rates'!CS:CS),VLOOKUP(BJ112,'Jan-2026 rates'!$E:$F,2,0)))</f>
        <v>0</v>
      </c>
      <c r="CA112" s="409" t="s">
        <v>1443</v>
      </c>
      <c r="CB112" s="409">
        <v>18</v>
      </c>
      <c r="CC112" s="411">
        <f t="shared" si="85"/>
        <v>0</v>
      </c>
      <c r="CD112" s="411">
        <f t="shared" si="86"/>
        <v>17.150684931506845</v>
      </c>
      <c r="CE112" s="410">
        <f t="shared" si="87"/>
        <v>0</v>
      </c>
      <c r="CF112" s="404" t="s">
        <v>547</v>
      </c>
      <c r="CG112" s="409" t="s">
        <v>3094</v>
      </c>
      <c r="CH112" s="420" t="str">
        <f t="shared" si="55"/>
        <v>FLINTSL - GREEN</v>
      </c>
      <c r="CI112" s="409">
        <v>26</v>
      </c>
      <c r="CJ112" s="411">
        <f>IF(CI112=0,0,IF($LB112=70%,VLOOKUP($CH112,'Jan-2026 rates'!$L:$R,4,0),IF($LB112=65%,VLOOKUP($CH112,'Jan-2026 rates'!$L:$R,4,0),IF($LB112=40%,VLOOKUP($CH112,'Jan-2026 rates'!$L:$R,5,0),IF($LB112=30%,VLOOKUP($CH112,'Jan-2026 rates'!$L:$R,6,0),IF($LB112=100%,VLOOKUP($CH112,'Jan-2026 rates'!$L:$R,7,0),IF($LB112=60%,VLOOKUP($CH112,'Jan-2026 rates'!$L:$S,8,0),IF($LB112=80%,VLOOKUP($CH112,'Jan-2026 rates'!L:T,9,0),0))))))))</f>
        <v>0</v>
      </c>
      <c r="CK112" s="412"/>
      <c r="CL112" s="409"/>
      <c r="CM112" s="411">
        <f>IF(CL112=0,0,IF($LB112=70%,VLOOKUP($CH112,'Jan-2026 rates'!$L:$R,4,0),IF($LB112=65%,VLOOKUP($CH112,'Jan-2026 rates'!$L:$R,4,0),IF($LB112=40%,VLOOKUP($CH112,'Jan-2026 rates'!$L:$R,5,0),IF($LB112=30%,VLOOKUP($CH112,'Jan-2026 rates'!$L:$R,6,0),IF($LB112=100%,VLOOKUP($CH112,'Jan-2026 rates'!$L:$R,7,0),IF($LB112=60%,VLOOKUP($CH112,'Jan-2026 rates'!$L:$S,8,0),IF($LB112=80%,VLOOKUP($CH112,'Jan-2026 rates'!L:T,9,0),0))))))))</f>
        <v>0</v>
      </c>
      <c r="CN112" s="426">
        <v>26508000029</v>
      </c>
      <c r="CO112" s="427">
        <v>26507000016</v>
      </c>
      <c r="CP112" s="426"/>
      <c r="CQ112" s="426"/>
      <c r="CR112" s="428"/>
      <c r="CS112" s="428"/>
      <c r="CT112" s="428"/>
      <c r="CU112" s="428"/>
      <c r="CV112" s="409">
        <v>5</v>
      </c>
      <c r="CW112" s="398" t="e">
        <f>IF(CV112=0,0,IF(LEN(CN112)=11,_xlfn.XLOOKUP(CN112,'Dispensed Ink Rates'!C:C,'Dispensed Ink Rates'!CS:CS),VLOOKUP(CN112,'Jan-2026 rates'!$E:$F,2,0)))</f>
        <v>#N/A</v>
      </c>
      <c r="CX112" s="409">
        <v>2</v>
      </c>
      <c r="CY112" s="398" t="e">
        <f>IF(CX112=0,0,IF(LEN(CO112)=11,_xlfn.XLOOKUP(CO112,'Dispensed Ink Rates'!C:C,'Dispensed Ink Rates'!CS:CS),VLOOKUP(CO112,'Jan-2026 rates'!$E:$F,2,0)))</f>
        <v>#N/A</v>
      </c>
      <c r="CZ112" s="409"/>
      <c r="DA112" s="398">
        <f>IF(CZ112=0,0,IF(LEN(CP112)=11,_xlfn.XLOOKUP(CP112,'Dispensed Ink Rates'!C:C,'Dispensed Ink Rates'!CS:CS),VLOOKUP(CP112,'Jan-2026 rates'!$E:$F,2,0)))</f>
        <v>0</v>
      </c>
      <c r="DB112" s="409"/>
      <c r="DC112" s="398">
        <f>IF(DB112=0,0,IF(LEN(CQ112)=11,_xlfn.XLOOKUP(CQ112,'Dispensed Ink Rates'!C:C,'Dispensed Ink Rates'!CS:CS),VLOOKUP(CQ112,'Jan-2026 rates'!$E:$F,2,0)))</f>
        <v>0</v>
      </c>
      <c r="DD112" s="409"/>
      <c r="DE112" s="398">
        <f>IF(DD112=0,0,IF(LEN(CR112)=11,_xlfn.XLOOKUP(CR112,'Dispensed Ink Rates'!C:C,'Dispensed Ink Rates'!CS:CS),VLOOKUP(CR112,'Jan-2026 rates'!$E:$F,2,0)))</f>
        <v>0</v>
      </c>
      <c r="DF112" s="409"/>
      <c r="DG112" s="398">
        <f>IF(DF112=0,0,IF(LEN(CS112)=11,_xlfn.XLOOKUP(CS112,'Dispensed Ink Rates'!C:C,'Dispensed Ink Rates'!CS:CS),VLOOKUP(CS112,'Jan-2026 rates'!$E:$F,2,0)))</f>
        <v>0</v>
      </c>
      <c r="DH112" s="409"/>
      <c r="DI112" s="398">
        <f>IF(DH112=0,0,IF(LEN(CT112)=11,_xlfn.XLOOKUP(CT112,'Dispensed Ink Rates'!C:C,'Dispensed Ink Rates'!CS:CS),VLOOKUP(CT112,'Jan-2026 rates'!$E:$F,2,0)))</f>
        <v>0</v>
      </c>
      <c r="DJ112" s="409"/>
      <c r="DK112" s="398">
        <f>IF(DJ112=0,0,IF(LEN(CU112)=11,_xlfn.XLOOKUP(CU112,'Dispensed Ink Rates'!C:C,'Dispensed Ink Rates'!CS:CS),VLOOKUP(CU112,'Jan-2026 rates'!$E:$F,2,0)))</f>
        <v>0</v>
      </c>
      <c r="DL112" s="409" t="s">
        <v>1443</v>
      </c>
      <c r="DM112" s="409">
        <v>24</v>
      </c>
      <c r="DN112" s="411">
        <f t="shared" si="88"/>
        <v>0</v>
      </c>
      <c r="DO112" s="411">
        <f t="shared" si="89"/>
        <v>20.438356164383563</v>
      </c>
      <c r="DP112" s="410">
        <f t="shared" si="90"/>
        <v>0</v>
      </c>
      <c r="DQ112" s="405" t="s">
        <v>855</v>
      </c>
      <c r="DR112" s="409" t="s">
        <v>3241</v>
      </c>
      <c r="DS112" s="420" t="str">
        <f t="shared" si="56"/>
        <v>FLINTSL - CYAN</v>
      </c>
      <c r="DT112" s="409">
        <v>22</v>
      </c>
      <c r="DU112" s="411">
        <f>IF(DT112=0,0,IF($LB112=70%,VLOOKUP($DS112,'Jan-2026 rates'!$L:$R,4,0),IF($LB112=65%,VLOOKUP($DS112,'Jan-2026 rates'!$L:$R,4,0),IF($LB112=40%,VLOOKUP($DS112,'Jan-2026 rates'!$L:$R,5,0),IF($LB112=30%,VLOOKUP($DS112,'Jan-2026 rates'!$L:$R,6,0),IF($LB112=100%,VLOOKUP($DS112,'Jan-2026 rates'!$L:$R,7,0),IF($LB112=60%,VLOOKUP($DS112,'Jan-2026 rates'!$L:$S,8,0),IF($LB112=80%,VLOOKUP($DS112,'Jan-2026 rates'!L:T,9,0),0))))))))</f>
        <v>0</v>
      </c>
      <c r="DV112" s="412"/>
      <c r="DW112" s="409"/>
      <c r="DX112" s="411">
        <f>IF(DW112=0,0,IF($LB112=70%,VLOOKUP($DS112,'Jan-2026 rates'!$L:$R,4,0),IF($LB112=65%,VLOOKUP($DS112,'Jan-2026 rates'!$L:$R,4,0),IF($LB112=40%,VLOOKUP($DS112,'Jan-2026 rates'!$L:$R,5,0),IF($LB112=30%,VLOOKUP($DS112,'Jan-2026 rates'!$L:$R,6,0),IF($LB112=100%,VLOOKUP($DS112,'Jan-2026 rates'!$L:$R,7,0),IF($LB112=60%,VLOOKUP($DS112,'Jan-2026 rates'!$L:$S,8,0),IF($LB112=80%,VLOOKUP($DS112,'Jan-2026 rates'!L:T,9,0),0))))))))</f>
        <v>0</v>
      </c>
      <c r="DY112" s="413">
        <v>26507000018</v>
      </c>
      <c r="DZ112" s="413"/>
      <c r="EA112" s="412"/>
      <c r="EB112" s="412"/>
      <c r="EC112" s="412"/>
      <c r="ED112" s="412"/>
      <c r="EE112" s="412"/>
      <c r="EF112" s="412"/>
      <c r="EG112" s="409">
        <v>4</v>
      </c>
      <c r="EH112" s="398" t="e">
        <f>IF(EG112=0,0,IF(LEN(DY112)=11,_xlfn.XLOOKUP(DY112,'Dispensed Ink Rates'!C:C,'Dispensed Ink Rates'!CS:CS),VLOOKUP(DY112,'Jan-2026 rates'!$E:$F,2,0)))</f>
        <v>#N/A</v>
      </c>
      <c r="EI112" s="409"/>
      <c r="EJ112" s="398">
        <f>IF(EI112=0,0,IF(LEN(DZ112)=11,_xlfn.XLOOKUP(DZ112,'Dispensed Ink Rates'!C:C,'Dispensed Ink Rates'!CS:CS),VLOOKUP(DZ112,'Jan-2026 rates'!$E:$F,2,0)))</f>
        <v>0</v>
      </c>
      <c r="EK112" s="409"/>
      <c r="EL112" s="398">
        <f>IF(EK112=0,0,IF(LEN(EA112)=11,_xlfn.XLOOKUP(EA112,'Dispensed Ink Rates'!C:C,'Dispensed Ink Rates'!CS:CS),VLOOKUP(EA112,'Jan-2026 rates'!$E:$F,2,0)))</f>
        <v>0</v>
      </c>
      <c r="EM112" s="409"/>
      <c r="EN112" s="398">
        <f>IF(EM112=0,0,IF(LEN(EB112)=11,_xlfn.XLOOKUP(EB112,'Dispensed Ink Rates'!C:C,'Dispensed Ink Rates'!CS:CS),VLOOKUP(EB112,'Jan-2026 rates'!$E:$F,2,0)))</f>
        <v>0</v>
      </c>
      <c r="EO112" s="409"/>
      <c r="EP112" s="398">
        <f>IF(EO112=0,0,IF(LEN(EC112)=11,_xlfn.XLOOKUP(EC112,'Dispensed Ink Rates'!C:C,'Dispensed Ink Rates'!CS:CS),VLOOKUP(EC112,'Jan-2026 rates'!$E:$F,2,0)))</f>
        <v>0</v>
      </c>
      <c r="EQ112" s="409"/>
      <c r="ER112" s="398">
        <f>IF(EQ112=0,0,IF(LEN(ED112)=11,_xlfn.XLOOKUP(ED112,'Dispensed Ink Rates'!C:C,'Dispensed Ink Rates'!CS:CS),VLOOKUP(ED112,'Jan-2026 rates'!$E:$F,2,0)))</f>
        <v>0</v>
      </c>
      <c r="ES112" s="409"/>
      <c r="ET112" s="398">
        <f>IF(ES112=0,0,IF(LEN(EE112)=11,_xlfn.XLOOKUP(EE112,'Dispensed Ink Rates'!C:C,'Dispensed Ink Rates'!CS:CS),VLOOKUP(EE112,'Jan-2026 rates'!$E:$F,2,0)))</f>
        <v>0</v>
      </c>
      <c r="EU112" s="409"/>
      <c r="EV112" s="398">
        <f>IF(EU112=0,0,IF(LEN(EF112)=11,_xlfn.XLOOKUP(EF112,'Dispensed Ink Rates'!C:C,'Dispensed Ink Rates'!CS:CS),VLOOKUP(EF112,'Jan-2026 rates'!$E:$F,2,0)))</f>
        <v>0</v>
      </c>
      <c r="EW112" s="409" t="s">
        <v>1443</v>
      </c>
      <c r="EX112" s="409">
        <v>24</v>
      </c>
      <c r="EY112" s="411">
        <f t="shared" si="91"/>
        <v>0</v>
      </c>
      <c r="EZ112" s="411">
        <f t="shared" si="92"/>
        <v>13.438356164383563</v>
      </c>
      <c r="FA112" s="410">
        <f t="shared" si="93"/>
        <v>0</v>
      </c>
      <c r="FB112" s="405" t="s">
        <v>544</v>
      </c>
      <c r="FC112" s="409" t="s">
        <v>3242</v>
      </c>
      <c r="FD112" s="420" t="str">
        <f t="shared" si="57"/>
        <v>FLINTSL - MAGENTA</v>
      </c>
      <c r="FE112" s="409">
        <v>29</v>
      </c>
      <c r="FF112" s="411">
        <f>IF(FE112=0,0,IF($LB112=70%,VLOOKUP($FD112,'Jan-2026 rates'!$L:$R,4,0),IF($LB112=65%,VLOOKUP($FD112,'Jan-2026 rates'!$L:$R,4,0),IF($LB112=40%,VLOOKUP($FD112,'Jan-2026 rates'!$L:$R,5,0),IF($LB112=30%,VLOOKUP($FD112,'Jan-2026 rates'!$L:$R,6,0),IF($LB112=100%,VLOOKUP($FD112,'Jan-2026 rates'!$L:$R,7,0),IF($LB112=60%,VLOOKUP($FD112,'Jan-2026 rates'!$L:$S,8,0),IF($LB112=80%,VLOOKUP($FD112,'Jan-2026 rates'!L:T,9,0),0))))))))</f>
        <v>0</v>
      </c>
      <c r="FG112" s="412"/>
      <c r="FH112" s="409"/>
      <c r="FI112" s="411">
        <f>IF(FH112=0,0,IF($LB112=70%,VLOOKUP($FD112,'Jan-2026 rates'!$L:$R,4,0),IF($LB112=65%,VLOOKUP($FD112,'Jan-2026 rates'!$L:$R,4,0),IF($LB112=40%,VLOOKUP($FD112,'Jan-2026 rates'!$L:$R,5,0),IF($LB112=30%,VLOOKUP($FD112,'Jan-2026 rates'!$L:$R,6,0),IF($LB112=100%,VLOOKUP($FD112,'Jan-2026 rates'!$L:$R,7,0),IF($LB112=60%,VLOOKUP($FD112,'Jan-2026 rates'!$L:$S,8,0),IF($LB112=80%,VLOOKUP($FD112,'Jan-2026 rates'!L:T,9,0),0))))))))</f>
        <v>0</v>
      </c>
      <c r="FJ112" s="413" t="s">
        <v>1266</v>
      </c>
      <c r="FK112" s="413"/>
      <c r="FL112" s="413"/>
      <c r="FM112" s="412"/>
      <c r="FN112" s="412"/>
      <c r="FO112" s="412"/>
      <c r="FP112" s="412"/>
      <c r="FQ112" s="412"/>
      <c r="FR112" s="409">
        <v>10</v>
      </c>
      <c r="FS112" s="398">
        <f>IF(FR112=0,0,IF(LEN(FJ112)=11,_xlfn.XLOOKUP(FJ112,'Dispensed Ink Rates'!C:C,'Dispensed Ink Rates'!CS:CS),VLOOKUP(FJ112,'Jan-2026 rates'!$E:$F,2,0)))</f>
        <v>0</v>
      </c>
      <c r="FT112" s="409"/>
      <c r="FU112" s="398">
        <f>IF(FT112=0,0,IF(LEN(FK112)=11,_xlfn.XLOOKUP(FK112,'Dispensed Ink Rates'!C:C,'Dispensed Ink Rates'!CS:CS),VLOOKUP(FK112,'Jan-2026 rates'!$E:$F,2,0)))</f>
        <v>0</v>
      </c>
      <c r="FV112" s="409"/>
      <c r="FW112" s="398">
        <f>IF(FV112=0,0,IF(LEN(FL112)=11,_xlfn.XLOOKUP(FL112,'Dispensed Ink Rates'!C:C,'Dispensed Ink Rates'!CS:CS),VLOOKUP(FL112,'Jan-2026 rates'!$E:$F,2,0)))</f>
        <v>0</v>
      </c>
      <c r="FX112" s="409"/>
      <c r="FY112" s="398">
        <f>IF(FX112=0,0,IF(LEN(FM112)=11,_xlfn.XLOOKUP(FM112,'Dispensed Ink Rates'!C:C,'Dispensed Ink Rates'!CS:CS),VLOOKUP(FM112,'Jan-2026 rates'!$E:$F,2,0)))</f>
        <v>0</v>
      </c>
      <c r="FZ112" s="409"/>
      <c r="GA112" s="398">
        <f>IF(FZ112=0,0,IF(LEN(FN112)=11,_xlfn.XLOOKUP(FN112,'Dispensed Ink Rates'!C:C,'Dispensed Ink Rates'!CS:CS),VLOOKUP(FN112,'Jan-2026 rates'!$E:$F,2,0)))</f>
        <v>0</v>
      </c>
      <c r="GB112" s="409"/>
      <c r="GC112" s="398">
        <f>IF(GB112=0,0,IF(LEN(FO112)=11,_xlfn.XLOOKUP(FO112,'Dispensed Ink Rates'!C:C,'Dispensed Ink Rates'!CS:CS),VLOOKUP(FO112,'Jan-2026 rates'!$E:$F,2,0)))</f>
        <v>0</v>
      </c>
      <c r="GD112" s="409"/>
      <c r="GE112" s="398">
        <f>IF(GD112=0,0,IF(LEN(FP112)=11,_xlfn.XLOOKUP(FP112,'Dispensed Ink Rates'!C:C,'Dispensed Ink Rates'!CS:CS),VLOOKUP(FP112,'Jan-2026 rates'!$E:$F,2,0)))</f>
        <v>0</v>
      </c>
      <c r="GF112" s="409"/>
      <c r="GG112" s="398">
        <f>IF(GF112=0,0,IF(LEN(FQ112)=11,_xlfn.XLOOKUP(FQ112,'Dispensed Ink Rates'!C:C,'Dispensed Ink Rates'!CS:CS),VLOOKUP(FQ112,'Jan-2026 rates'!$E:$F,2,0)))</f>
        <v>0</v>
      </c>
      <c r="GH112" s="409" t="s">
        <v>1443</v>
      </c>
      <c r="GI112" s="409">
        <v>30</v>
      </c>
      <c r="GJ112" s="411">
        <f t="shared" si="94"/>
        <v>0</v>
      </c>
      <c r="GK112" s="411">
        <f t="shared" si="95"/>
        <v>20.438356164383563</v>
      </c>
      <c r="GL112" s="410">
        <f t="shared" si="96"/>
        <v>0</v>
      </c>
      <c r="GM112" s="405" t="s">
        <v>545</v>
      </c>
      <c r="GN112" s="409" t="s">
        <v>3243</v>
      </c>
      <c r="GO112" s="420" t="str">
        <f t="shared" si="58"/>
        <v>FLINTSL - YELLOW</v>
      </c>
      <c r="GP112" s="409">
        <v>25</v>
      </c>
      <c r="GQ112" s="411">
        <f>IF(GP112=0,0,IF($LB112=70%,VLOOKUP($GO112,'Jan-2026 rates'!$L:$R,4,0),IF($LB112=65%,VLOOKUP($GO112,'Jan-2026 rates'!$L:$R,4,0),IF($LB112=40%,VLOOKUP($GO112,'Jan-2026 rates'!$L:$R,5,0),IF($LB112=30%,VLOOKUP($GO112,'Jan-2026 rates'!$L:$R,6,0),IF($LB112=100%,VLOOKUP($GO112,'Jan-2026 rates'!$L:$R,7,0),IF($LB112=60%,VLOOKUP($GO112,'Jan-2026 rates'!$L:$S,8,0),IF($LB112=80%,VLOOKUP($GO112,'Jan-2026 rates'!L:T,9,0),0))))))))</f>
        <v>0</v>
      </c>
      <c r="GR112" s="412"/>
      <c r="GS112" s="409"/>
      <c r="GT112" s="411">
        <f>IF(GS112=0,0,IF($LB112=70%,VLOOKUP($GO112,'Jan-2026 rates'!$L:$R,4,0),IF($LB112=65%,VLOOKUP($GO112,'Jan-2026 rates'!$L:$R,4,0),IF($LB112=40%,VLOOKUP($GO112,'Jan-2026 rates'!$L:$R,5,0),IF($LB112=30%,VLOOKUP($GO112,'Jan-2026 rates'!$L:$R,6,0),IF($LB112=100%,VLOOKUP($GO112,'Jan-2026 rates'!$L:$R,7,0),IF($LB112=60%,VLOOKUP($GO112,'Jan-2026 rates'!$L:$S,8,0),IF($LB112=80%,VLOOKUP($GO112,'Jan-2026 rates'!L:T,9,0),0))))))))</f>
        <v>0</v>
      </c>
      <c r="GU112" s="413">
        <v>26508000029</v>
      </c>
      <c r="GV112" s="413" t="s">
        <v>1266</v>
      </c>
      <c r="GW112" s="412"/>
      <c r="GX112" s="412"/>
      <c r="GY112" s="412"/>
      <c r="GZ112" s="412"/>
      <c r="HA112" s="412"/>
      <c r="HB112" s="412"/>
      <c r="HC112" s="409">
        <v>7</v>
      </c>
      <c r="HD112" s="398" t="e">
        <f>IF(HC112=0,0,IF(LEN(GU112)=11,_xlfn.XLOOKUP(GU112,'Dispensed Ink Rates'!C:C,'Dispensed Ink Rates'!CS:CS),VLOOKUP(GU112,'Jan-2026 rates'!$E:$F,2,0)))</f>
        <v>#N/A</v>
      </c>
      <c r="HE112" s="409">
        <v>3</v>
      </c>
      <c r="HF112" s="398">
        <f>IF(HE112=0,0,IF(LEN(GV112)=11,_xlfn.XLOOKUP(GV112,'Dispensed Ink Rates'!C:C,'Dispensed Ink Rates'!CS:CS),VLOOKUP(GV112,'Jan-2026 rates'!$E:$F,2,0)))</f>
        <v>0</v>
      </c>
      <c r="HG112" s="409"/>
      <c r="HH112" s="398">
        <f>IF(HG112=0,0,IF(LEN(GW112)=11,_xlfn.XLOOKUP(GW112,'Dispensed Ink Rates'!C:C,'Dispensed Ink Rates'!CS:CS),VLOOKUP(GW112,'Jan-2026 rates'!$E:$F,2,0)))</f>
        <v>0</v>
      </c>
      <c r="HI112" s="409"/>
      <c r="HJ112" s="398">
        <f>IF(HI112=0,0,IF(LEN(GX112)=11,_xlfn.XLOOKUP(GX112,'Dispensed Ink Rates'!C:C,'Dispensed Ink Rates'!CS:CS),VLOOKUP(GX112,'Jan-2026 rates'!$E:$F,2,0)))</f>
        <v>0</v>
      </c>
      <c r="HK112" s="409"/>
      <c r="HL112" s="398">
        <f>IF(HK112=0,0,IF(LEN(GY112)=11,_xlfn.XLOOKUP(GY112,'Dispensed Ink Rates'!C:C,'Dispensed Ink Rates'!CS:CS),VLOOKUP(GY112,'Jan-2026 rates'!$E:$F,2,0)))</f>
        <v>0</v>
      </c>
      <c r="HM112" s="409"/>
      <c r="HN112" s="398">
        <f>IF(HM112=0,0,IF(LEN(GZ112)=11,_xlfn.XLOOKUP(GZ112,'Dispensed Ink Rates'!C:C,'Dispensed Ink Rates'!CS:CS),VLOOKUP(GZ112,'Jan-2026 rates'!$E:$F,2,0)))</f>
        <v>0</v>
      </c>
      <c r="HO112" s="409"/>
      <c r="HP112" s="398">
        <f>IF(HO112=0,0,IF(LEN(HA112)=11,_xlfn.XLOOKUP(HA112,'Dispensed Ink Rates'!C:C,'Dispensed Ink Rates'!CS:CS),VLOOKUP(HA112,'Jan-2026 rates'!$E:$F,2,0)))</f>
        <v>0</v>
      </c>
      <c r="HQ112" s="409"/>
      <c r="HR112" s="398">
        <f>IF(HQ112=0,0,IF(LEN(HB112)=11,_xlfn.XLOOKUP(HB112,'Dispensed Ink Rates'!C:C,'Dispensed Ink Rates'!CS:CS),VLOOKUP(HB112,'Jan-2026 rates'!$E:$F,2,0)))</f>
        <v>0</v>
      </c>
      <c r="HS112" s="409" t="s">
        <v>1443</v>
      </c>
      <c r="HT112" s="409">
        <v>26</v>
      </c>
      <c r="HU112" s="411">
        <f t="shared" si="97"/>
        <v>0</v>
      </c>
      <c r="HV112" s="411">
        <f t="shared" si="98"/>
        <v>22.726027397260275</v>
      </c>
      <c r="HW112" s="414">
        <f t="shared" si="99"/>
        <v>0</v>
      </c>
      <c r="HX112" s="405" t="s">
        <v>545</v>
      </c>
      <c r="HY112" s="409"/>
      <c r="HZ112" s="420" t="str">
        <f t="shared" si="59"/>
        <v>FLINTSL - YELLOW</v>
      </c>
      <c r="IA112" s="409"/>
      <c r="IB112" s="411">
        <f>IF(IA112=0,0,IF($LB112=70%,VLOOKUP($HZ112,'Jan-2026 rates'!$L:$R,4,0),IF($LB112=65%,VLOOKUP($HZ112,'Jan-2026 rates'!$L:$R,4,0),IF($LB112=40%,VLOOKUP($HZ112,'Jan-2026 rates'!$L:$R,5,0),IF($LB112=30%,VLOOKUP($HZ112,'Jan-2026 rates'!$L:$R,6,0),IF($LB112=100%,VLOOKUP($HZ112,'Jan-2026 rates'!$L:$R,7,0),IF($LB112=60%,VLOOKUP($HZ112,'Jan-2026 rates'!$L:$S,8,0),IF($LB112=80%,VLOOKUP($HZ112,'Jan-2026 rates'!L:T,9,0),0))))))))</f>
        <v>0</v>
      </c>
      <c r="IC112" s="412"/>
      <c r="ID112" s="409"/>
      <c r="IE112" s="411">
        <f>IF(ID112=0,0,IF($LB112=70%,VLOOKUP($HZ112,'Jan-2026 rates'!$L:$R,4,0),IF($LB112=65%,VLOOKUP($HZ112,'Jan-2026 rates'!$L:$R,4,0),IF($LB112=40%,VLOOKUP($HZ112,'Jan-2026 rates'!$L:$R,5,0),IF($LB112=30%,VLOOKUP($HZ112,'Jan-2026 rates'!$L:$R,6,0),IF($LB112=100%,VLOOKUP($HZ112,'Jan-2026 rates'!$L:$R,7,0),IF($LB112=60%,VLOOKUP($HZ112,'Jan-2026 rates'!$L:$S,8,0),IF($LB112=80%,VLOOKUP($HZ112,'Jan-2026 rates'!L:T,9,0),0))))))))</f>
        <v>0</v>
      </c>
      <c r="IF112" s="412">
        <v>26510000010</v>
      </c>
      <c r="IG112" s="413">
        <v>26509000015</v>
      </c>
      <c r="IH112" s="412">
        <v>26510000016</v>
      </c>
      <c r="II112" s="412"/>
      <c r="IJ112" s="412"/>
      <c r="IK112" s="412"/>
      <c r="IL112" s="412"/>
      <c r="IM112" s="412"/>
      <c r="IN112" s="409">
        <v>40</v>
      </c>
      <c r="IO112" s="398" t="e">
        <f>IF(IN112=0,0,IF(LEN(IF112)=11,_xlfn.XLOOKUP(IF112,'Dispensed Ink Rates'!C:C,'Dispensed Ink Rates'!CS:CS),VLOOKUP(IF112,'Jan-2026 rates'!$E:$F,2,0)))</f>
        <v>#N/A</v>
      </c>
      <c r="IP112" s="409">
        <v>40</v>
      </c>
      <c r="IQ112" s="398" t="e">
        <f>IF(IP112=0,0,IF(LEN(IG112)=11,_xlfn.XLOOKUP(IG112,'Dispensed Ink Rates'!C:C,'Dispensed Ink Rates'!CS:CS),VLOOKUP(IG112,'Jan-2026 rates'!$E:$F,2,0)))</f>
        <v>#N/A</v>
      </c>
      <c r="IR112" s="409">
        <v>10</v>
      </c>
      <c r="IS112" s="398" t="e">
        <f>IF(IR112=0,0,IF(LEN(IH112)=11,_xlfn.XLOOKUP(IH112,'Dispensed Ink Rates'!C:C,'Dispensed Ink Rates'!CS:CS),VLOOKUP(IH112,'Jan-2026 rates'!$E:$F,2,0)))</f>
        <v>#N/A</v>
      </c>
      <c r="IT112" s="409"/>
      <c r="IU112" s="398">
        <f>IF(IT112=0,0,IF(LEN(II112)=11,_xlfn.XLOOKUP(II112,'Dispensed Ink Rates'!C:C,'Dispensed Ink Rates'!CS:CS),VLOOKUP(II112,'Jan-2026 rates'!$E:$F,2,0)))</f>
        <v>0</v>
      </c>
      <c r="IV112" s="409"/>
      <c r="IW112" s="398">
        <f>IF(IV112=0,0,IF(LEN(IJ112)=11,_xlfn.XLOOKUP(IJ112,'Dispensed Ink Rates'!C:C,'Dispensed Ink Rates'!CS:CS),VLOOKUP(IJ112,'Jan-2026 rates'!$E:$F,2,0)))</f>
        <v>0</v>
      </c>
      <c r="IX112" s="409"/>
      <c r="IY112" s="398">
        <f>IF(IX112=0,0,IF(LEN(IK112)=11,_xlfn.XLOOKUP(IK112,'Dispensed Ink Rates'!C:C,'Dispensed Ink Rates'!CS:CS),VLOOKUP(IK112,'Jan-2026 rates'!$E:$F,2,0)))</f>
        <v>0</v>
      </c>
      <c r="IZ112" s="409"/>
      <c r="JA112" s="398">
        <f>IF(IZ112=0,0,IF(LEN(IL112)=11,_xlfn.XLOOKUP(IL112,'Dispensed Ink Rates'!C:C,'Dispensed Ink Rates'!CS:CS),VLOOKUP(IL112,'Jan-2026 rates'!$E:$F,2,0)))</f>
        <v>0</v>
      </c>
      <c r="JB112" s="409"/>
      <c r="JC112" s="398">
        <f>IF(JB112=0,0,IF(LEN(IM112)=11,_xlfn.XLOOKUP(IM112,'Dispensed Ink Rates'!C:C,'Dispensed Ink Rates'!CS:CS),VLOOKUP(IM112,'Jan-2026 rates'!$E:$F,2,0)))</f>
        <v>0</v>
      </c>
      <c r="JD112" s="409" t="s">
        <v>1443</v>
      </c>
      <c r="JE112" s="409">
        <v>35</v>
      </c>
      <c r="JF112" s="411">
        <f t="shared" si="100"/>
        <v>0</v>
      </c>
      <c r="JG112" s="411">
        <f t="shared" si="101"/>
        <v>77.876712328767127</v>
      </c>
      <c r="JH112" s="410">
        <f t="shared" si="102"/>
        <v>0</v>
      </c>
      <c r="JI112" s="405" t="s">
        <v>856</v>
      </c>
      <c r="JJ112" s="409" t="s">
        <v>3244</v>
      </c>
      <c r="JK112" s="420" t="str">
        <f t="shared" si="60"/>
        <v>FLINTSL - WHITE</v>
      </c>
      <c r="JL112" s="409">
        <v>28</v>
      </c>
      <c r="JM112" s="411">
        <f>IF(JL112=0,0,IF($LB112=70%,VLOOKUP($JK112,'Jan-2026 rates'!$L:$R,4,0),IF($LB112=65%,VLOOKUP($JK112,'Jan-2026 rates'!$L:$R,4,0),IF($LB112=40%,VLOOKUP($JK112,'Jan-2026 rates'!$L:$R,5,0),IF($LB112=30%,VLOOKUP($JK112,'Jan-2026 rates'!$L:$R,6,0),IF($LB112=100%,VLOOKUP($JK112,'Jan-2026 rates'!$L:$R,7,0),IF($LB112=60%,VLOOKUP($JK112,'Jan-2026 rates'!$L:$S,8,0),IF($LB112=80%,VLOOKUP($JK112,'Jan-2026 rates'!L:T,9,0),0))))))))</f>
        <v>0</v>
      </c>
      <c r="JN112" s="412"/>
      <c r="JO112" s="409"/>
      <c r="JP112" s="411">
        <f>IF(JO112=0,0,IF($LB112=70%,VLOOKUP($JK112,'Jan-2026 rates'!$L:$R,4,0),IF($LB112=65%,VLOOKUP($JK112,'Jan-2026 rates'!$L:$R,4,0),IF($LB112=40%,VLOOKUP($JK112,'Jan-2026 rates'!$L:$R,5,0),IF($LB112=30%,VLOOKUP($JK112,'Jan-2026 rates'!$L:$R,6,0),IF($LB112=100%,VLOOKUP($JK112,'Jan-2026 rates'!$L:$R,7,0),IF($LB112=60%,VLOOKUP($JK112,'Jan-2026 rates'!$L:$S,8,0),IF($LB112=80%,VLOOKUP($JK112,'Jan-2026 rates'!L:T,9,0),0))))))))</f>
        <v>0</v>
      </c>
      <c r="JQ112" s="413" t="s">
        <v>484</v>
      </c>
      <c r="JR112" s="412"/>
      <c r="JS112" s="413"/>
      <c r="JT112" s="413"/>
      <c r="JU112" s="412"/>
      <c r="JV112" s="412"/>
      <c r="JW112" s="412"/>
      <c r="JX112" s="412"/>
      <c r="JY112" s="409">
        <v>70</v>
      </c>
      <c r="JZ112" s="398">
        <f>IF(JY112=0,0,IF(LEN(JQ112)=11,_xlfn.XLOOKUP(JQ112,'Dispensed Ink Rates'!C:C,'Dispensed Ink Rates'!CS:CS),VLOOKUP(JQ112,'Jan-2026 rates'!$E:$F,2,0)))</f>
        <v>0</v>
      </c>
      <c r="KA112" s="409"/>
      <c r="KB112" s="398">
        <f>IF(KA112=0,0,IF(LEN(JR112)=11,_xlfn.XLOOKUP(JR112,'Dispensed Ink Rates'!C:C,'Dispensed Ink Rates'!CS:CS),VLOOKUP(JR112,'Jan-2026 rates'!$E:$F,2,0)))</f>
        <v>0</v>
      </c>
      <c r="KC112" s="409"/>
      <c r="KD112" s="398">
        <f>IF(KC112=0,0,IF(LEN(JS112)=11,_xlfn.XLOOKUP(JS112,'Dispensed Ink Rates'!C:C,'Dispensed Ink Rates'!CS:CS),VLOOKUP(JS112,'Jan-2026 rates'!$E:$F,2,0)))</f>
        <v>0</v>
      </c>
      <c r="KE112" s="409"/>
      <c r="KF112" s="398">
        <f>IF(KE112=0,0,IF(LEN(JT112)=11,_xlfn.XLOOKUP(JT112,'Dispensed Ink Rates'!C:C,'Dispensed Ink Rates'!CS:CS),VLOOKUP(JT112,'Jan-2026 rates'!$E:$F,2,0)))</f>
        <v>0</v>
      </c>
      <c r="KG112" s="409"/>
      <c r="KH112" s="398">
        <f>IF(KG112=0,0,IF(LEN(JU112)=11,_xlfn.XLOOKUP(JU112,'Dispensed Ink Rates'!C:C,'Dispensed Ink Rates'!CS:CS),VLOOKUP(JU112,'Jan-2026 rates'!$E:$F,2,0)))</f>
        <v>0</v>
      </c>
      <c r="KI112" s="409"/>
      <c r="KJ112" s="398">
        <f>IF(KI112=0,0,IF(LEN(JV112)=11,_xlfn.XLOOKUP(JV112,'Dispensed Ink Rates'!C:C,'Dispensed Ink Rates'!CS:CS),VLOOKUP(JV112,'Jan-2026 rates'!$E:$F,2,0)))</f>
        <v>0</v>
      </c>
      <c r="KK112" s="409"/>
      <c r="KL112" s="398">
        <f>IF(KK112=0,0,IF(LEN(JW112)=11,_xlfn.XLOOKUP(JW112,'Dispensed Ink Rates'!C:C,'Dispensed Ink Rates'!CS:CS),VLOOKUP(JW112,'Jan-2026 rates'!$E:$F,2,0)))</f>
        <v>0</v>
      </c>
      <c r="KM112" s="428"/>
      <c r="KN112" s="398">
        <f>IF(KM112=0,0,IF(LEN(JX112)=11,_xlfn.XLOOKUP(JX112,'Dispensed Ink Rates'!C:C,'Dispensed Ink Rates'!CS:CS),VLOOKUP(JX112,'Jan-2026 rates'!$E:$F,2,0)))</f>
        <v>0</v>
      </c>
      <c r="KO112" s="409" t="s">
        <v>1443</v>
      </c>
      <c r="KP112" s="409">
        <v>29</v>
      </c>
      <c r="KQ112" s="411">
        <f t="shared" si="103"/>
        <v>0</v>
      </c>
      <c r="KR112" s="411">
        <f t="shared" si="104"/>
        <v>149.06849315068493</v>
      </c>
      <c r="KS112" s="410">
        <f t="shared" si="105"/>
        <v>0</v>
      </c>
      <c r="KT112" s="409">
        <v>3</v>
      </c>
      <c r="KU112" s="409">
        <v>4</v>
      </c>
      <c r="KV112" s="409">
        <v>5</v>
      </c>
      <c r="KW112" s="409">
        <v>5</v>
      </c>
      <c r="KX112" s="409">
        <v>5</v>
      </c>
      <c r="KY112" s="409">
        <v>6</v>
      </c>
      <c r="KZ112" s="409">
        <v>10</v>
      </c>
      <c r="LA112" s="409">
        <v>35</v>
      </c>
      <c r="LB112" s="415">
        <v>0.8</v>
      </c>
      <c r="LC112" s="415">
        <v>0.2</v>
      </c>
      <c r="LD112" s="415"/>
      <c r="LE112" s="415"/>
      <c r="LF112" s="415"/>
      <c r="LG112" s="409">
        <v>0</v>
      </c>
      <c r="LH112" s="409">
        <f>49+38+64+16</f>
        <v>167</v>
      </c>
      <c r="LI112" s="409">
        <v>0</v>
      </c>
      <c r="LJ112" s="409">
        <v>0</v>
      </c>
      <c r="LK112" s="416">
        <f t="shared" si="61"/>
        <v>167</v>
      </c>
      <c r="LL112" s="416">
        <f t="shared" si="62"/>
        <v>167</v>
      </c>
      <c r="LM112" s="417">
        <f t="shared" si="63"/>
        <v>133.6</v>
      </c>
      <c r="LN112" s="417">
        <f>VLOOKUP($LM$8,'Jan-2026 rates'!$H:$I,2,0)</f>
        <v>0</v>
      </c>
      <c r="LO112" s="417">
        <f t="shared" si="64"/>
        <v>33.4</v>
      </c>
      <c r="LP112" s="417">
        <f>VLOOKUP($LO$8,'Jan-2026 rates'!$H:$I,2,0)</f>
        <v>0</v>
      </c>
      <c r="LQ112" s="417">
        <f t="shared" si="65"/>
        <v>0</v>
      </c>
      <c r="LR112" s="417">
        <f>VLOOKUP($LQ$8,'Jan-2026 rates'!$H:$I,2,0)</f>
        <v>0</v>
      </c>
      <c r="LS112" s="417">
        <f t="shared" si="66"/>
        <v>0</v>
      </c>
      <c r="LT112" s="417">
        <f>VLOOKUP($LS$8,'Jan-2026 rates'!$H:$I,2,0)</f>
        <v>0</v>
      </c>
      <c r="LU112" s="417">
        <f t="shared" si="67"/>
        <v>0</v>
      </c>
      <c r="LV112" s="417">
        <f>VLOOKUP($LU$8,'Jan-2026 rates'!$H:$I,2,0)</f>
        <v>0</v>
      </c>
      <c r="LW112" s="417">
        <f t="shared" si="68"/>
        <v>0</v>
      </c>
      <c r="LX112" s="417">
        <f t="shared" si="69"/>
        <v>0</v>
      </c>
      <c r="LY112" s="418">
        <f t="shared" si="70"/>
        <v>0</v>
      </c>
      <c r="LZ112" s="417"/>
      <c r="MA112" s="435">
        <f t="shared" si="71"/>
        <v>219</v>
      </c>
      <c r="MB112" s="282">
        <f t="shared" si="72"/>
        <v>332</v>
      </c>
      <c r="MC112" s="283">
        <v>67</v>
      </c>
      <c r="MD112" s="284" t="str">
        <f t="shared" si="73"/>
        <v>FLINTSLFLINTSLFLINTSLFLINTSLFLINTSLFLINTSLFLINTSLFLINTSL</v>
      </c>
      <c r="ME112" s="293" t="str">
        <f t="shared" si="74"/>
        <v>+</v>
      </c>
      <c r="MF112" s="293" t="str">
        <f t="shared" si="75"/>
        <v>+</v>
      </c>
      <c r="MG112" s="293" t="str">
        <f t="shared" si="76"/>
        <v>+</v>
      </c>
      <c r="MH112" s="293" t="str">
        <f t="shared" si="77"/>
        <v>+</v>
      </c>
      <c r="MI112" s="293" t="str">
        <f t="shared" si="78"/>
        <v>+</v>
      </c>
      <c r="MJ112" s="293" t="str">
        <f t="shared" si="79"/>
        <v>+</v>
      </c>
      <c r="MK112" s="293" t="str">
        <f t="shared" si="80"/>
        <v>+</v>
      </c>
      <c r="ML112" s="293" t="str">
        <f t="shared" si="81"/>
        <v>+</v>
      </c>
      <c r="MM112" s="3" t="b">
        <f t="array" ref="MM112">OR(ME112:ML112="-")</f>
        <v>0</v>
      </c>
      <c r="MN112" s="285"/>
      <c r="MO112" s="401"/>
      <c r="MP112" s="286"/>
      <c r="MQ112" s="286"/>
      <c r="MR112" s="402"/>
      <c r="MS112" s="400"/>
      <c r="NH112" s="422"/>
      <c r="NJ112" s="421"/>
    </row>
    <row r="113" spans="1:374" s="1" customFormat="1" ht="16.5">
      <c r="A113" s="403">
        <v>46032</v>
      </c>
      <c r="B113" s="404" t="s">
        <v>1015</v>
      </c>
      <c r="C113" s="405" t="s">
        <v>3245</v>
      </c>
      <c r="D113" s="406">
        <v>68</v>
      </c>
      <c r="E113" s="404">
        <v>2066</v>
      </c>
      <c r="F113" s="407">
        <v>38300</v>
      </c>
      <c r="G113" s="407" t="s">
        <v>1019</v>
      </c>
      <c r="H113" s="408" t="s">
        <v>1017</v>
      </c>
      <c r="I113" s="409">
        <v>0.72</v>
      </c>
      <c r="J113" s="405" t="s">
        <v>856</v>
      </c>
      <c r="K113" s="404" t="s">
        <v>3246</v>
      </c>
      <c r="L113" s="419" t="str">
        <f t="shared" si="54"/>
        <v>FLINTSL - WHITE</v>
      </c>
      <c r="M113" s="404">
        <v>29</v>
      </c>
      <c r="N113" s="410">
        <f>IF(M113=0,0,IF($LB113=70%,VLOOKUP($L113,'Jan-2026 rates'!$L:$R,4,0),IF($LB113=65%,VLOOKUP($L113,'Jan-2026 rates'!$L:$R,4,0),IF($LB113=40%,VLOOKUP($L113,'Jan-2026 rates'!$L:$R,5,0),IF($LB113=30%,VLOOKUP($L113,'Jan-2026 rates'!$L:$R,6,0),IF($LB113=100%,VLOOKUP($L113,'Jan-2026 rates'!$L:$R,7,0),IF($LB113=60%,VLOOKUP($L113,'Jan-2026 rates'!$L:$S,8,0),IF($LB113=80%,VLOOKUP($L113,'Jan-2026 rates'!L:T,9,0),0))))))))</f>
        <v>0</v>
      </c>
      <c r="O113" s="406"/>
      <c r="P113" s="404"/>
      <c r="Q113" s="410">
        <f>IF(P113=0,0,IF($LB113=70%,VLOOKUP($L113,'Jan-2026 rates'!$L:$R,4,0),IF($LB113=65%,VLOOKUP($L113,'Jan-2026 rates'!$L:$R,4,0),IF($LB113=40%,VLOOKUP($L113,'Jan-2026 rates'!$L:$R,5,0),IF($LB113=30%,VLOOKUP($L113,'Jan-2026 rates'!$L:$R,6,0),IF($LB113=100%,VLOOKUP($L113,'Jan-2026 rates'!$L:$R,7,0),IF($LB113=60%,VLOOKUP($L113,'Jan-2026 rates'!$L:$S,8,0),IF($LB113=80%,VLOOKUP($L113,'Jan-2026 rates'!L:T,9,0),0))))))))</f>
        <v>0</v>
      </c>
      <c r="R113" s="406" t="s">
        <v>484</v>
      </c>
      <c r="S113" s="406"/>
      <c r="T113" s="406"/>
      <c r="U113" s="406"/>
      <c r="V113" s="406"/>
      <c r="W113" s="406"/>
      <c r="X113" s="406"/>
      <c r="Y113" s="406"/>
      <c r="Z113" s="404">
        <v>100</v>
      </c>
      <c r="AA113" s="398">
        <f>IF(Z113=0,0,IF(LEN(R113)=11,_xlfn.XLOOKUP(R113,'Dispensed Ink Rates'!C:C,'Dispensed Ink Rates'!CS:CS),VLOOKUP(R113,'Jan-2026 rates'!$E:$F,2,0)))</f>
        <v>0</v>
      </c>
      <c r="AB113" s="404"/>
      <c r="AC113" s="398">
        <f>IF(AB113=0,0,IF(LEN(S113)=11,_xlfn.XLOOKUP(S113,'Dispensed Ink Rates'!C:C,'Dispensed Ink Rates'!CS:CS),VLOOKUP(S113,'Jan-2026 rates'!$E:$F,2,0)))</f>
        <v>0</v>
      </c>
      <c r="AD113" s="404"/>
      <c r="AE113" s="398">
        <f>IF(AD113=0,0,IF(LEN(T113)=11,_xlfn.XLOOKUP(T113,'Dispensed Ink Rates'!C:C,'Dispensed Ink Rates'!CS:CS),VLOOKUP(T113,'Jan-2026 rates'!$E:$F,2,0)))</f>
        <v>0</v>
      </c>
      <c r="AF113" s="404"/>
      <c r="AG113" s="398">
        <f>IF(AF113=0,0,IF(LEN(U113)=11,_xlfn.XLOOKUP(U113,'Dispensed Ink Rates'!C:C,'Dispensed Ink Rates'!CS:CS),VLOOKUP(U113,'Jan-2026 rates'!$E:$F,2,0)))</f>
        <v>0</v>
      </c>
      <c r="AH113" s="404"/>
      <c r="AI113" s="398">
        <f>IF(AH113=0,0,IF(LEN(V113)=11,_xlfn.XLOOKUP(V113,'Dispensed Ink Rates'!C:C,'Dispensed Ink Rates'!CS:CS),VLOOKUP(V113,'Jan-2026 rates'!$E:$F,2,0)))</f>
        <v>0</v>
      </c>
      <c r="AJ113" s="404"/>
      <c r="AK113" s="398">
        <f>IF(AJ113=0,0,IF(LEN(W113)=11,_xlfn.XLOOKUP(W113,'Dispensed Ink Rates'!C:C,'Dispensed Ink Rates'!CS:CS),VLOOKUP(W113,'Jan-2026 rates'!$E:$F,2,0)))</f>
        <v>0</v>
      </c>
      <c r="AL113" s="404"/>
      <c r="AM113" s="398">
        <f>IF(AL113=0,0,IF(LEN(X113)=11,_xlfn.XLOOKUP(X113,'Dispensed Ink Rates'!C:C,'Dispensed Ink Rates'!CS:CS),VLOOKUP(X113,'Jan-2026 rates'!$E:$F,2,0)))</f>
        <v>0</v>
      </c>
      <c r="AN113" s="404"/>
      <c r="AO113" s="398">
        <f>IF(AN113=0,0,IF(LEN(Y113)=11,_xlfn.XLOOKUP(Y113,'Dispensed Ink Rates'!C:C,'Dispensed Ink Rates'!CS:CS),VLOOKUP(Y113,'Jan-2026 rates'!$E:$F,2,0)))</f>
        <v>0</v>
      </c>
      <c r="AP113" s="409" t="s">
        <v>1443</v>
      </c>
      <c r="AQ113" s="409">
        <v>30</v>
      </c>
      <c r="AR113" s="410">
        <f t="shared" si="82"/>
        <v>0</v>
      </c>
      <c r="AS113" s="411">
        <f t="shared" si="83"/>
        <v>250.46341463414637</v>
      </c>
      <c r="AT113" s="410">
        <f t="shared" si="84"/>
        <v>0</v>
      </c>
      <c r="AU113" s="405" t="s">
        <v>547</v>
      </c>
      <c r="AV113" s="409" t="s">
        <v>3247</v>
      </c>
      <c r="AW113" s="420" t="str">
        <f t="shared" si="53"/>
        <v>FLINTSL - GREEN</v>
      </c>
      <c r="AX113" s="409">
        <v>10</v>
      </c>
      <c r="AY113" s="411">
        <f>IF(AX113=0,0,IF($LB113=70%,VLOOKUP($AW113,'Jan-2026 rates'!$L:$R,4,0),IF($LB113=65%,VLOOKUP($AW113,'Jan-2026 rates'!$L:$R,4,0),IF($LB113=40%,VLOOKUP($AW113,'Jan-2026 rates'!$L:$R,5,0),IF($LB113=30%,VLOOKUP($AW113,'Jan-2026 rates'!$L:$R,6,0),IF($LB113=100%,VLOOKUP($AW113,'Jan-2026 rates'!$L:$R,7,0),IF($LB113=60%,VLOOKUP($AW113,'Jan-2026 rates'!$L:$S,8,0),IF($LB113=80%,VLOOKUP($AW113,'Jan-2026 rates'!L:T,9,0),0))))))))</f>
        <v>0</v>
      </c>
      <c r="AZ113" s="412"/>
      <c r="BA113" s="409"/>
      <c r="BB113" s="411">
        <f>IF(BA113=0,0,IF($LB113=70%,VLOOKUP($AW113,'Jan-2026 rates'!$L:$R,4,0),IF($LB113=65%,VLOOKUP($AW113,'Jan-2026 rates'!$L:$R,4,0),IF($LB113=40%,VLOOKUP($AW113,'Jan-2026 rates'!$L:$R,5,0),IF($LB113=30%,VLOOKUP($AW113,'Jan-2026 rates'!$L:$R,6,0),IF($LB113=100%,VLOOKUP($AW113,'Jan-2026 rates'!$L:$R,7,0),IF($LB113=60%,VLOOKUP($AW113,'Jan-2026 rates'!$L:$S,8,0),IF($LB113=80%,VLOOKUP($AW113,'Jan-2026 rates'!L:T,9,0),0))))))))</f>
        <v>0</v>
      </c>
      <c r="BC113" s="413">
        <v>26510000016</v>
      </c>
      <c r="BD113" s="412">
        <v>26507000016</v>
      </c>
      <c r="BE113" s="412">
        <v>26507000010</v>
      </c>
      <c r="BF113" s="413"/>
      <c r="BG113" s="412"/>
      <c r="BH113" s="412"/>
      <c r="BI113" s="412"/>
      <c r="BJ113" s="412"/>
      <c r="BK113" s="409">
        <v>10</v>
      </c>
      <c r="BL113" s="398" t="e">
        <f>IF(BK113=0,0,IF(LEN(BC113)=11,_xlfn.XLOOKUP(BC113,'Dispensed Ink Rates'!C:C,'Dispensed Ink Rates'!CS:CS),VLOOKUP(BC113,'Jan-2026 rates'!$E:$F,2,0)))</f>
        <v>#N/A</v>
      </c>
      <c r="BM113" s="409">
        <v>4</v>
      </c>
      <c r="BN113" s="398" t="e">
        <f>IF(BM113=0,0,IF(LEN(BD113)=11,_xlfn.XLOOKUP(BD113,'Dispensed Ink Rates'!C:C,'Dispensed Ink Rates'!CS:CS),VLOOKUP(BD113,'Jan-2026 rates'!$E:$F,2,0)))</f>
        <v>#N/A</v>
      </c>
      <c r="BO113" s="409">
        <v>2</v>
      </c>
      <c r="BP113" s="398" t="e">
        <f>IF(BO113=0,0,IF(LEN(BE113)=11,_xlfn.XLOOKUP(BE113,'Dispensed Ink Rates'!C:C,'Dispensed Ink Rates'!CS:CS),VLOOKUP(BE113,'Jan-2026 rates'!$E:$F,2,0)))</f>
        <v>#N/A</v>
      </c>
      <c r="BQ113" s="409"/>
      <c r="BR113" s="398">
        <f>IF(BQ113=0,0,IF(LEN(BF113)=11,_xlfn.XLOOKUP(BF113,'Dispensed Ink Rates'!C:C,'Dispensed Ink Rates'!CS:CS),VLOOKUP(BF113,'Jan-2026 rates'!$E:$F,2,0)))</f>
        <v>0</v>
      </c>
      <c r="BS113" s="409"/>
      <c r="BT113" s="398">
        <f>IF(BS113=0,0,IF(LEN(BG113)=11,_xlfn.XLOOKUP(BG113,'Dispensed Ink Rates'!C:C,'Dispensed Ink Rates'!CS:CS),VLOOKUP(BG113,'Jan-2026 rates'!$E:$F,2,0)))</f>
        <v>0</v>
      </c>
      <c r="BU113" s="409"/>
      <c r="BV113" s="398">
        <f>IF(BU113=0,0,IF(LEN(BH113)=11,_xlfn.XLOOKUP(BH113,'Dispensed Ink Rates'!C:C,'Dispensed Ink Rates'!CS:CS),VLOOKUP(BH113,'Jan-2026 rates'!$E:$F,2,0)))</f>
        <v>0</v>
      </c>
      <c r="BW113" s="409"/>
      <c r="BX113" s="398">
        <f>IF(BW113=0,0,IF(LEN(BI113)=11,_xlfn.XLOOKUP(BI113,'Dispensed Ink Rates'!C:C,'Dispensed Ink Rates'!CS:CS),VLOOKUP(BI113,'Jan-2026 rates'!$E:$F,2,0)))</f>
        <v>0</v>
      </c>
      <c r="BY113" s="409"/>
      <c r="BZ113" s="398">
        <f>IF(BY113=0,0,IF(LEN(BJ113)=11,_xlfn.XLOOKUP(BJ113,'Dispensed Ink Rates'!C:C,'Dispensed Ink Rates'!CS:CS),VLOOKUP(BJ113,'Jan-2026 rates'!$E:$F,2,0)))</f>
        <v>0</v>
      </c>
      <c r="CA113" s="409" t="s">
        <v>1443</v>
      </c>
      <c r="CB113" s="409">
        <v>20</v>
      </c>
      <c r="CC113" s="411">
        <f t="shared" si="85"/>
        <v>0</v>
      </c>
      <c r="CD113" s="411">
        <f t="shared" si="86"/>
        <v>31.243902439024389</v>
      </c>
      <c r="CE113" s="410">
        <f t="shared" si="87"/>
        <v>0</v>
      </c>
      <c r="CF113" s="404" t="s">
        <v>857</v>
      </c>
      <c r="CG113" s="409" t="s">
        <v>3248</v>
      </c>
      <c r="CH113" s="420" t="str">
        <f t="shared" si="55"/>
        <v>FLINTSL - RED</v>
      </c>
      <c r="CI113" s="409">
        <v>27</v>
      </c>
      <c r="CJ113" s="411">
        <f>IF(CI113=0,0,IF($LB113=70%,VLOOKUP($CH113,'Jan-2026 rates'!$L:$R,4,0),IF($LB113=65%,VLOOKUP($CH113,'Jan-2026 rates'!$L:$R,4,0),IF($LB113=40%,VLOOKUP($CH113,'Jan-2026 rates'!$L:$R,5,0),IF($LB113=30%,VLOOKUP($CH113,'Jan-2026 rates'!$L:$R,6,0),IF($LB113=100%,VLOOKUP($CH113,'Jan-2026 rates'!$L:$R,7,0),IF($LB113=60%,VLOOKUP($CH113,'Jan-2026 rates'!$L:$S,8,0),IF($LB113=80%,VLOOKUP($CH113,'Jan-2026 rates'!L:T,9,0),0))))))))</f>
        <v>0</v>
      </c>
      <c r="CK113" s="412"/>
      <c r="CL113" s="409"/>
      <c r="CM113" s="411">
        <f>IF(CL113=0,0,IF($LB113=70%,VLOOKUP($CH113,'Jan-2026 rates'!$L:$R,4,0),IF($LB113=65%,VLOOKUP($CH113,'Jan-2026 rates'!$L:$R,4,0),IF($LB113=40%,VLOOKUP($CH113,'Jan-2026 rates'!$L:$R,5,0),IF($LB113=30%,VLOOKUP($CH113,'Jan-2026 rates'!$L:$R,6,0),IF($LB113=100%,VLOOKUP($CH113,'Jan-2026 rates'!$L:$R,7,0),IF($LB113=60%,VLOOKUP($CH113,'Jan-2026 rates'!$L:$S,8,0),IF($LB113=80%,VLOOKUP($CH113,'Jan-2026 rates'!L:T,9,0),0))))))))</f>
        <v>0</v>
      </c>
      <c r="CN113" s="426">
        <v>26505000028</v>
      </c>
      <c r="CO113" s="427"/>
      <c r="CP113" s="426"/>
      <c r="CQ113" s="426"/>
      <c r="CR113" s="428"/>
      <c r="CS113" s="428"/>
      <c r="CT113" s="428"/>
      <c r="CU113" s="428"/>
      <c r="CV113" s="409">
        <v>2</v>
      </c>
      <c r="CW113" s="398" t="e">
        <f>IF(CV113=0,0,IF(LEN(CN113)=11,_xlfn.XLOOKUP(CN113,'Dispensed Ink Rates'!C:C,'Dispensed Ink Rates'!CS:CS),VLOOKUP(CN113,'Jan-2026 rates'!$E:$F,2,0)))</f>
        <v>#N/A</v>
      </c>
      <c r="CX113" s="409"/>
      <c r="CY113" s="398">
        <f>IF(CX113=0,0,IF(LEN(CO113)=11,_xlfn.XLOOKUP(CO113,'Dispensed Ink Rates'!C:C,'Dispensed Ink Rates'!CS:CS),VLOOKUP(CO113,'Jan-2026 rates'!$E:$F,2,0)))</f>
        <v>0</v>
      </c>
      <c r="CZ113" s="409"/>
      <c r="DA113" s="398">
        <f>IF(CZ113=0,0,IF(LEN(CP113)=11,_xlfn.XLOOKUP(CP113,'Dispensed Ink Rates'!C:C,'Dispensed Ink Rates'!CS:CS),VLOOKUP(CP113,'Jan-2026 rates'!$E:$F,2,0)))</f>
        <v>0</v>
      </c>
      <c r="DB113" s="409"/>
      <c r="DC113" s="398">
        <f>IF(DB113=0,0,IF(LEN(CQ113)=11,_xlfn.XLOOKUP(CQ113,'Dispensed Ink Rates'!C:C,'Dispensed Ink Rates'!CS:CS),VLOOKUP(CQ113,'Jan-2026 rates'!$E:$F,2,0)))</f>
        <v>0</v>
      </c>
      <c r="DD113" s="409"/>
      <c r="DE113" s="398">
        <f>IF(DD113=0,0,IF(LEN(CR113)=11,_xlfn.XLOOKUP(CR113,'Dispensed Ink Rates'!C:C,'Dispensed Ink Rates'!CS:CS),VLOOKUP(CR113,'Jan-2026 rates'!$E:$F,2,0)))</f>
        <v>0</v>
      </c>
      <c r="DF113" s="409"/>
      <c r="DG113" s="398">
        <f>IF(DF113=0,0,IF(LEN(CS113)=11,_xlfn.XLOOKUP(CS113,'Dispensed Ink Rates'!C:C,'Dispensed Ink Rates'!CS:CS),VLOOKUP(CS113,'Jan-2026 rates'!$E:$F,2,0)))</f>
        <v>0</v>
      </c>
      <c r="DH113" s="409"/>
      <c r="DI113" s="398">
        <f>IF(DH113=0,0,IF(LEN(CT113)=11,_xlfn.XLOOKUP(CT113,'Dispensed Ink Rates'!C:C,'Dispensed Ink Rates'!CS:CS),VLOOKUP(CT113,'Jan-2026 rates'!$E:$F,2,0)))</f>
        <v>0</v>
      </c>
      <c r="DJ113" s="409"/>
      <c r="DK113" s="398">
        <f>IF(DJ113=0,0,IF(LEN(CU113)=11,_xlfn.XLOOKUP(CU113,'Dispensed Ink Rates'!C:C,'Dispensed Ink Rates'!CS:CS),VLOOKUP(CU113,'Jan-2026 rates'!$E:$F,2,0)))</f>
        <v>0</v>
      </c>
      <c r="DL113" s="409" t="s">
        <v>1443</v>
      </c>
      <c r="DM113" s="409">
        <v>25</v>
      </c>
      <c r="DN113" s="411">
        <f t="shared" si="88"/>
        <v>0</v>
      </c>
      <c r="DO113" s="411">
        <f t="shared" si="89"/>
        <v>9.0487804878048763</v>
      </c>
      <c r="DP113" s="410">
        <f t="shared" si="90"/>
        <v>0</v>
      </c>
      <c r="DQ113" s="405" t="s">
        <v>547</v>
      </c>
      <c r="DR113" s="409" t="s">
        <v>3249</v>
      </c>
      <c r="DS113" s="420" t="str">
        <f t="shared" si="56"/>
        <v>FLINTSL - GREEN</v>
      </c>
      <c r="DT113" s="409">
        <v>5</v>
      </c>
      <c r="DU113" s="411">
        <f>IF(DT113=0,0,IF($LB113=70%,VLOOKUP($DS113,'Jan-2026 rates'!$L:$R,4,0),IF($LB113=65%,VLOOKUP($DS113,'Jan-2026 rates'!$L:$R,4,0),IF($LB113=40%,VLOOKUP($DS113,'Jan-2026 rates'!$L:$R,5,0),IF($LB113=30%,VLOOKUP($DS113,'Jan-2026 rates'!$L:$R,6,0),IF($LB113=100%,VLOOKUP($DS113,'Jan-2026 rates'!$L:$R,7,0),IF($LB113=60%,VLOOKUP($DS113,'Jan-2026 rates'!$L:$S,8,0),IF($LB113=80%,VLOOKUP($DS113,'Jan-2026 rates'!L:T,9,0),0))))))))</f>
        <v>0</v>
      </c>
      <c r="DV113" s="412"/>
      <c r="DW113" s="409"/>
      <c r="DX113" s="411">
        <f>IF(DW113=0,0,IF($LB113=70%,VLOOKUP($DS113,'Jan-2026 rates'!$L:$R,4,0),IF($LB113=65%,VLOOKUP($DS113,'Jan-2026 rates'!$L:$R,4,0),IF($LB113=40%,VLOOKUP($DS113,'Jan-2026 rates'!$L:$R,5,0),IF($LB113=30%,VLOOKUP($DS113,'Jan-2026 rates'!$L:$R,6,0),IF($LB113=100%,VLOOKUP($DS113,'Jan-2026 rates'!$L:$R,7,0),IF($LB113=60%,VLOOKUP($DS113,'Jan-2026 rates'!$L:$S,8,0),IF($LB113=80%,VLOOKUP($DS113,'Jan-2026 rates'!L:T,9,0),0))))))))</f>
        <v>0</v>
      </c>
      <c r="DY113" s="413">
        <v>26510000016</v>
      </c>
      <c r="DZ113" s="413">
        <v>26507000018</v>
      </c>
      <c r="EA113" s="412">
        <v>26507000010</v>
      </c>
      <c r="EB113" s="412"/>
      <c r="EC113" s="412"/>
      <c r="ED113" s="412"/>
      <c r="EE113" s="412"/>
      <c r="EF113" s="412"/>
      <c r="EG113" s="409">
        <v>10</v>
      </c>
      <c r="EH113" s="398" t="e">
        <f>IF(EG113=0,0,IF(LEN(DY113)=11,_xlfn.XLOOKUP(DY113,'Dispensed Ink Rates'!C:C,'Dispensed Ink Rates'!CS:CS),VLOOKUP(DY113,'Jan-2026 rates'!$E:$F,2,0)))</f>
        <v>#N/A</v>
      </c>
      <c r="EI113" s="409">
        <v>8</v>
      </c>
      <c r="EJ113" s="398" t="e">
        <f>IF(EI113=0,0,IF(LEN(DZ113)=11,_xlfn.XLOOKUP(DZ113,'Dispensed Ink Rates'!C:C,'Dispensed Ink Rates'!CS:CS),VLOOKUP(DZ113,'Jan-2026 rates'!$E:$F,2,0)))</f>
        <v>#N/A</v>
      </c>
      <c r="EK113" s="409">
        <v>0.4</v>
      </c>
      <c r="EL113" s="398" t="e">
        <f>IF(EK113=0,0,IF(LEN(EA113)=11,_xlfn.XLOOKUP(EA113,'Dispensed Ink Rates'!C:C,'Dispensed Ink Rates'!CS:CS),VLOOKUP(EA113,'Jan-2026 rates'!$E:$F,2,0)))</f>
        <v>#N/A</v>
      </c>
      <c r="EM113" s="409"/>
      <c r="EN113" s="398">
        <f>IF(EM113=0,0,IF(LEN(EB113)=11,_xlfn.XLOOKUP(EB113,'Dispensed Ink Rates'!C:C,'Dispensed Ink Rates'!CS:CS),VLOOKUP(EB113,'Jan-2026 rates'!$E:$F,2,0)))</f>
        <v>0</v>
      </c>
      <c r="EO113" s="409"/>
      <c r="EP113" s="398">
        <f>IF(EO113=0,0,IF(LEN(EC113)=11,_xlfn.XLOOKUP(EC113,'Dispensed Ink Rates'!C:C,'Dispensed Ink Rates'!CS:CS),VLOOKUP(EC113,'Jan-2026 rates'!$E:$F,2,0)))</f>
        <v>0</v>
      </c>
      <c r="EQ113" s="409"/>
      <c r="ER113" s="398">
        <f>IF(EQ113=0,0,IF(LEN(ED113)=11,_xlfn.XLOOKUP(ED113,'Dispensed Ink Rates'!C:C,'Dispensed Ink Rates'!CS:CS),VLOOKUP(ED113,'Jan-2026 rates'!$E:$F,2,0)))</f>
        <v>0</v>
      </c>
      <c r="ES113" s="409"/>
      <c r="ET113" s="398">
        <f>IF(ES113=0,0,IF(LEN(EE113)=11,_xlfn.XLOOKUP(EE113,'Dispensed Ink Rates'!C:C,'Dispensed Ink Rates'!CS:CS),VLOOKUP(EE113,'Jan-2026 rates'!$E:$F,2,0)))</f>
        <v>0</v>
      </c>
      <c r="EU113" s="409"/>
      <c r="EV113" s="398">
        <f>IF(EU113=0,0,IF(LEN(EF113)=11,_xlfn.XLOOKUP(EF113,'Dispensed Ink Rates'!C:C,'Dispensed Ink Rates'!CS:CS),VLOOKUP(EF113,'Jan-2026 rates'!$E:$F,2,0)))</f>
        <v>0</v>
      </c>
      <c r="EW113" s="409" t="s">
        <v>1443</v>
      </c>
      <c r="EX113" s="409">
        <v>24</v>
      </c>
      <c r="EY113" s="411">
        <f t="shared" si="91"/>
        <v>0</v>
      </c>
      <c r="EZ113" s="411">
        <f t="shared" si="92"/>
        <v>12.021951219512189</v>
      </c>
      <c r="FA113" s="410">
        <f t="shared" si="93"/>
        <v>0</v>
      </c>
      <c r="FB113" s="405" t="s">
        <v>543</v>
      </c>
      <c r="FC113" s="409" t="s">
        <v>3250</v>
      </c>
      <c r="FD113" s="420" t="str">
        <f t="shared" si="57"/>
        <v>FLINTSL - BLACK</v>
      </c>
      <c r="FE113" s="409">
        <v>23</v>
      </c>
      <c r="FF113" s="411">
        <f>IF(FE113=0,0,IF($LB113=70%,VLOOKUP($FD113,'Jan-2026 rates'!$L:$R,4,0),IF($LB113=65%,VLOOKUP($FD113,'Jan-2026 rates'!$L:$R,4,0),IF($LB113=40%,VLOOKUP($FD113,'Jan-2026 rates'!$L:$R,5,0),IF($LB113=30%,VLOOKUP($FD113,'Jan-2026 rates'!$L:$R,6,0),IF($LB113=100%,VLOOKUP($FD113,'Jan-2026 rates'!$L:$R,7,0),IF($LB113=60%,VLOOKUP($FD113,'Jan-2026 rates'!$L:$S,8,0),IF($LB113=80%,VLOOKUP($FD113,'Jan-2026 rates'!L:T,9,0),0))))))))</f>
        <v>0</v>
      </c>
      <c r="FG113" s="412"/>
      <c r="FH113" s="409"/>
      <c r="FI113" s="411">
        <f>IF(FH113=0,0,IF($LB113=70%,VLOOKUP($FD113,'Jan-2026 rates'!$L:$R,4,0),IF($LB113=65%,VLOOKUP($FD113,'Jan-2026 rates'!$L:$R,4,0),IF($LB113=40%,VLOOKUP($FD113,'Jan-2026 rates'!$L:$R,5,0),IF($LB113=30%,VLOOKUP($FD113,'Jan-2026 rates'!$L:$R,6,0),IF($LB113=100%,VLOOKUP($FD113,'Jan-2026 rates'!$L:$R,7,0),IF($LB113=60%,VLOOKUP($FD113,'Jan-2026 rates'!$L:$S,8,0),IF($LB113=80%,VLOOKUP($FD113,'Jan-2026 rates'!L:T,9,0),0))))))))</f>
        <v>0</v>
      </c>
      <c r="FJ113" s="413">
        <v>26507000010</v>
      </c>
      <c r="FK113" s="413"/>
      <c r="FL113" s="413"/>
      <c r="FM113" s="412"/>
      <c r="FN113" s="412"/>
      <c r="FO113" s="412"/>
      <c r="FP113" s="412"/>
      <c r="FQ113" s="412"/>
      <c r="FR113" s="409">
        <v>10</v>
      </c>
      <c r="FS113" s="398" t="e">
        <f>IF(FR113=0,0,IF(LEN(FJ113)=11,_xlfn.XLOOKUP(FJ113,'Dispensed Ink Rates'!C:C,'Dispensed Ink Rates'!CS:CS),VLOOKUP(FJ113,'Jan-2026 rates'!$E:$F,2,0)))</f>
        <v>#N/A</v>
      </c>
      <c r="FT113" s="409"/>
      <c r="FU113" s="398">
        <f>IF(FT113=0,0,IF(LEN(FK113)=11,_xlfn.XLOOKUP(FK113,'Dispensed Ink Rates'!C:C,'Dispensed Ink Rates'!CS:CS),VLOOKUP(FK113,'Jan-2026 rates'!$E:$F,2,0)))</f>
        <v>0</v>
      </c>
      <c r="FV113" s="409"/>
      <c r="FW113" s="398">
        <f>IF(FV113=0,0,IF(LEN(FL113)=11,_xlfn.XLOOKUP(FL113,'Dispensed Ink Rates'!C:C,'Dispensed Ink Rates'!CS:CS),VLOOKUP(FL113,'Jan-2026 rates'!$E:$F,2,0)))</f>
        <v>0</v>
      </c>
      <c r="FX113" s="409"/>
      <c r="FY113" s="398">
        <f>IF(FX113=0,0,IF(LEN(FM113)=11,_xlfn.XLOOKUP(FM113,'Dispensed Ink Rates'!C:C,'Dispensed Ink Rates'!CS:CS),VLOOKUP(FM113,'Jan-2026 rates'!$E:$F,2,0)))</f>
        <v>0</v>
      </c>
      <c r="FZ113" s="409"/>
      <c r="GA113" s="398">
        <f>IF(FZ113=0,0,IF(LEN(FN113)=11,_xlfn.XLOOKUP(FN113,'Dispensed Ink Rates'!C:C,'Dispensed Ink Rates'!CS:CS),VLOOKUP(FN113,'Jan-2026 rates'!$E:$F,2,0)))</f>
        <v>0</v>
      </c>
      <c r="GB113" s="409"/>
      <c r="GC113" s="398">
        <f>IF(GB113=0,0,IF(LEN(FO113)=11,_xlfn.XLOOKUP(FO113,'Dispensed Ink Rates'!C:C,'Dispensed Ink Rates'!CS:CS),VLOOKUP(FO113,'Jan-2026 rates'!$E:$F,2,0)))</f>
        <v>0</v>
      </c>
      <c r="GD113" s="409"/>
      <c r="GE113" s="398">
        <f>IF(GD113=0,0,IF(LEN(FP113)=11,_xlfn.XLOOKUP(FP113,'Dispensed Ink Rates'!C:C,'Dispensed Ink Rates'!CS:CS),VLOOKUP(FP113,'Jan-2026 rates'!$E:$F,2,0)))</f>
        <v>0</v>
      </c>
      <c r="GF113" s="409"/>
      <c r="GG113" s="398">
        <f>IF(GF113=0,0,IF(LEN(FQ113)=11,_xlfn.XLOOKUP(FQ113,'Dispensed Ink Rates'!C:C,'Dispensed Ink Rates'!CS:CS),VLOOKUP(FQ113,'Jan-2026 rates'!$E:$F,2,0)))</f>
        <v>0</v>
      </c>
      <c r="GH113" s="409" t="s">
        <v>1443</v>
      </c>
      <c r="GI113" s="409">
        <v>26</v>
      </c>
      <c r="GJ113" s="411">
        <f t="shared" si="94"/>
        <v>0</v>
      </c>
      <c r="GK113" s="411">
        <f t="shared" si="95"/>
        <v>19.621951219512198</v>
      </c>
      <c r="GL113" s="410">
        <f t="shared" si="96"/>
        <v>0</v>
      </c>
      <c r="GM113" s="405"/>
      <c r="GN113" s="409"/>
      <c r="GO113" s="420" t="str">
        <f t="shared" si="58"/>
        <v xml:space="preserve"> - </v>
      </c>
      <c r="GP113" s="409"/>
      <c r="GQ113" s="411">
        <f>IF(GP113=0,0,IF($LB113=70%,VLOOKUP($GO113,'Jan-2026 rates'!$L:$R,4,0),IF($LB113=65%,VLOOKUP($GO113,'Jan-2026 rates'!$L:$R,4,0),IF($LB113=40%,VLOOKUP($GO113,'Jan-2026 rates'!$L:$R,5,0),IF($LB113=30%,VLOOKUP($GO113,'Jan-2026 rates'!$L:$R,6,0),IF($LB113=100%,VLOOKUP($GO113,'Jan-2026 rates'!$L:$R,7,0),IF($LB113=60%,VLOOKUP($GO113,'Jan-2026 rates'!$L:$S,8,0),IF($LB113=80%,VLOOKUP($GO113,'Jan-2026 rates'!L:T,9,0),0))))))))</f>
        <v>0</v>
      </c>
      <c r="GR113" s="412"/>
      <c r="GS113" s="409"/>
      <c r="GT113" s="411">
        <f>IF(GS113=0,0,IF($LB113=70%,VLOOKUP($GO113,'Jan-2026 rates'!$L:$R,4,0),IF($LB113=65%,VLOOKUP($GO113,'Jan-2026 rates'!$L:$R,4,0),IF($LB113=40%,VLOOKUP($GO113,'Jan-2026 rates'!$L:$R,5,0),IF($LB113=30%,VLOOKUP($GO113,'Jan-2026 rates'!$L:$R,6,0),IF($LB113=100%,VLOOKUP($GO113,'Jan-2026 rates'!$L:$R,7,0),IF($LB113=60%,VLOOKUP($GO113,'Jan-2026 rates'!$L:$S,8,0),IF($LB113=80%,VLOOKUP($GO113,'Jan-2026 rates'!L:T,9,0),0))))))))</f>
        <v>0</v>
      </c>
      <c r="GU113" s="413"/>
      <c r="GV113" s="413"/>
      <c r="GW113" s="412"/>
      <c r="GX113" s="412"/>
      <c r="GY113" s="412"/>
      <c r="GZ113" s="412"/>
      <c r="HA113" s="412"/>
      <c r="HB113" s="412"/>
      <c r="HC113" s="409"/>
      <c r="HD113" s="398">
        <f>IF(HC113=0,0,IF(LEN(GU113)=11,_xlfn.XLOOKUP(GU113,'Dispensed Ink Rates'!C:C,'Dispensed Ink Rates'!CS:CS),VLOOKUP(GU113,'Jan-2026 rates'!$E:$F,2,0)))</f>
        <v>0</v>
      </c>
      <c r="HE113" s="409"/>
      <c r="HF113" s="398">
        <f>IF(HE113=0,0,IF(LEN(GV113)=11,_xlfn.XLOOKUP(GV113,'Dispensed Ink Rates'!C:C,'Dispensed Ink Rates'!CS:CS),VLOOKUP(GV113,'Jan-2026 rates'!$E:$F,2,0)))</f>
        <v>0</v>
      </c>
      <c r="HG113" s="409"/>
      <c r="HH113" s="398">
        <f>IF(HG113=0,0,IF(LEN(GW113)=11,_xlfn.XLOOKUP(GW113,'Dispensed Ink Rates'!C:C,'Dispensed Ink Rates'!CS:CS),VLOOKUP(GW113,'Jan-2026 rates'!$E:$F,2,0)))</f>
        <v>0</v>
      </c>
      <c r="HI113" s="409"/>
      <c r="HJ113" s="398">
        <f>IF(HI113=0,0,IF(LEN(GX113)=11,_xlfn.XLOOKUP(GX113,'Dispensed Ink Rates'!C:C,'Dispensed Ink Rates'!CS:CS),VLOOKUP(GX113,'Jan-2026 rates'!$E:$F,2,0)))</f>
        <v>0</v>
      </c>
      <c r="HK113" s="409"/>
      <c r="HL113" s="398">
        <f>IF(HK113=0,0,IF(LEN(GY113)=11,_xlfn.XLOOKUP(GY113,'Dispensed Ink Rates'!C:C,'Dispensed Ink Rates'!CS:CS),VLOOKUP(GY113,'Jan-2026 rates'!$E:$F,2,0)))</f>
        <v>0</v>
      </c>
      <c r="HM113" s="409"/>
      <c r="HN113" s="398">
        <f>IF(HM113=0,0,IF(LEN(GZ113)=11,_xlfn.XLOOKUP(GZ113,'Dispensed Ink Rates'!C:C,'Dispensed Ink Rates'!CS:CS),VLOOKUP(GZ113,'Jan-2026 rates'!$E:$F,2,0)))</f>
        <v>0</v>
      </c>
      <c r="HO113" s="409"/>
      <c r="HP113" s="398">
        <f>IF(HO113=0,0,IF(LEN(HA113)=11,_xlfn.XLOOKUP(HA113,'Dispensed Ink Rates'!C:C,'Dispensed Ink Rates'!CS:CS),VLOOKUP(HA113,'Jan-2026 rates'!$E:$F,2,0)))</f>
        <v>0</v>
      </c>
      <c r="HQ113" s="409"/>
      <c r="HR113" s="398">
        <f>IF(HQ113=0,0,IF(LEN(HB113)=11,_xlfn.XLOOKUP(HB113,'Dispensed Ink Rates'!C:C,'Dispensed Ink Rates'!CS:CS),VLOOKUP(HB113,'Jan-2026 rates'!$E:$F,2,0)))</f>
        <v>0</v>
      </c>
      <c r="HS113" s="409"/>
      <c r="HT113" s="409"/>
      <c r="HU113" s="411">
        <f t="shared" si="97"/>
        <v>0</v>
      </c>
      <c r="HV113" s="411">
        <f t="shared" si="98"/>
        <v>0</v>
      </c>
      <c r="HW113" s="414">
        <f t="shared" si="99"/>
        <v>0</v>
      </c>
      <c r="HX113" s="405"/>
      <c r="HY113" s="409"/>
      <c r="HZ113" s="420" t="str">
        <f t="shared" si="59"/>
        <v xml:space="preserve"> - </v>
      </c>
      <c r="IA113" s="409"/>
      <c r="IB113" s="411">
        <f>IF(IA113=0,0,IF($LB113=70%,VLOOKUP($HZ113,'Jan-2026 rates'!$L:$R,4,0),IF($LB113=65%,VLOOKUP($HZ113,'Jan-2026 rates'!$L:$R,4,0),IF($LB113=40%,VLOOKUP($HZ113,'Jan-2026 rates'!$L:$R,5,0),IF($LB113=30%,VLOOKUP($HZ113,'Jan-2026 rates'!$L:$R,6,0),IF($LB113=100%,VLOOKUP($HZ113,'Jan-2026 rates'!$L:$R,7,0),IF($LB113=60%,VLOOKUP($HZ113,'Jan-2026 rates'!$L:$S,8,0),IF($LB113=80%,VLOOKUP($HZ113,'Jan-2026 rates'!L:T,9,0),0))))))))</f>
        <v>0</v>
      </c>
      <c r="IC113" s="412"/>
      <c r="ID113" s="409"/>
      <c r="IE113" s="411">
        <f>IF(ID113=0,0,IF($LB113=70%,VLOOKUP($HZ113,'Jan-2026 rates'!$L:$R,4,0),IF($LB113=65%,VLOOKUP($HZ113,'Jan-2026 rates'!$L:$R,4,0),IF($LB113=40%,VLOOKUP($HZ113,'Jan-2026 rates'!$L:$R,5,0),IF($LB113=30%,VLOOKUP($HZ113,'Jan-2026 rates'!$L:$R,6,0),IF($LB113=100%,VLOOKUP($HZ113,'Jan-2026 rates'!$L:$R,7,0),IF($LB113=60%,VLOOKUP($HZ113,'Jan-2026 rates'!$L:$S,8,0),IF($LB113=80%,VLOOKUP($HZ113,'Jan-2026 rates'!L:T,9,0),0))))))))</f>
        <v>0</v>
      </c>
      <c r="IF113" s="412"/>
      <c r="IG113" s="413"/>
      <c r="IH113" s="412"/>
      <c r="II113" s="412"/>
      <c r="IJ113" s="412"/>
      <c r="IK113" s="412"/>
      <c r="IL113" s="412"/>
      <c r="IM113" s="412"/>
      <c r="IN113" s="409"/>
      <c r="IO113" s="398">
        <f>IF(IN113=0,0,IF(LEN(IF113)=11,_xlfn.XLOOKUP(IF113,'Dispensed Ink Rates'!C:C,'Dispensed Ink Rates'!CS:CS),VLOOKUP(IF113,'Jan-2026 rates'!$E:$F,2,0)))</f>
        <v>0</v>
      </c>
      <c r="IP113" s="409"/>
      <c r="IQ113" s="398">
        <f>IF(IP113=0,0,IF(LEN(IG113)=11,_xlfn.XLOOKUP(IG113,'Dispensed Ink Rates'!C:C,'Dispensed Ink Rates'!CS:CS),VLOOKUP(IG113,'Jan-2026 rates'!$E:$F,2,0)))</f>
        <v>0</v>
      </c>
      <c r="IR113" s="409"/>
      <c r="IS113" s="398">
        <f>IF(IR113=0,0,IF(LEN(IH113)=11,_xlfn.XLOOKUP(IH113,'Dispensed Ink Rates'!C:C,'Dispensed Ink Rates'!CS:CS),VLOOKUP(IH113,'Jan-2026 rates'!$E:$F,2,0)))</f>
        <v>0</v>
      </c>
      <c r="IT113" s="409"/>
      <c r="IU113" s="398">
        <f>IF(IT113=0,0,IF(LEN(II113)=11,_xlfn.XLOOKUP(II113,'Dispensed Ink Rates'!C:C,'Dispensed Ink Rates'!CS:CS),VLOOKUP(II113,'Jan-2026 rates'!$E:$F,2,0)))</f>
        <v>0</v>
      </c>
      <c r="IV113" s="409"/>
      <c r="IW113" s="398">
        <f>IF(IV113=0,0,IF(LEN(IJ113)=11,_xlfn.XLOOKUP(IJ113,'Dispensed Ink Rates'!C:C,'Dispensed Ink Rates'!CS:CS),VLOOKUP(IJ113,'Jan-2026 rates'!$E:$F,2,0)))</f>
        <v>0</v>
      </c>
      <c r="IX113" s="409"/>
      <c r="IY113" s="398">
        <f>IF(IX113=0,0,IF(LEN(IK113)=11,_xlfn.XLOOKUP(IK113,'Dispensed Ink Rates'!C:C,'Dispensed Ink Rates'!CS:CS),VLOOKUP(IK113,'Jan-2026 rates'!$E:$F,2,0)))</f>
        <v>0</v>
      </c>
      <c r="IZ113" s="409"/>
      <c r="JA113" s="398">
        <f>IF(IZ113=0,0,IF(LEN(IL113)=11,_xlfn.XLOOKUP(IL113,'Dispensed Ink Rates'!C:C,'Dispensed Ink Rates'!CS:CS),VLOOKUP(IL113,'Jan-2026 rates'!$E:$F,2,0)))</f>
        <v>0</v>
      </c>
      <c r="JB113" s="409"/>
      <c r="JC113" s="398">
        <f>IF(JB113=0,0,IF(LEN(IM113)=11,_xlfn.XLOOKUP(IM113,'Dispensed Ink Rates'!C:C,'Dispensed Ink Rates'!CS:CS),VLOOKUP(IM113,'Jan-2026 rates'!$E:$F,2,0)))</f>
        <v>0</v>
      </c>
      <c r="JD113" s="409"/>
      <c r="JE113" s="409"/>
      <c r="JF113" s="411">
        <f t="shared" si="100"/>
        <v>0</v>
      </c>
      <c r="JG113" s="411">
        <f t="shared" si="101"/>
        <v>0</v>
      </c>
      <c r="JH113" s="410">
        <f t="shared" si="102"/>
        <v>0</v>
      </c>
      <c r="JI113" s="405"/>
      <c r="JJ113" s="409"/>
      <c r="JK113" s="420" t="str">
        <f t="shared" si="60"/>
        <v xml:space="preserve"> - </v>
      </c>
      <c r="JL113" s="409"/>
      <c r="JM113" s="411">
        <f>IF(JL113=0,0,IF($LB113=70%,VLOOKUP($JK113,'Jan-2026 rates'!$L:$R,4,0),IF($LB113=65%,VLOOKUP($JK113,'Jan-2026 rates'!$L:$R,4,0),IF($LB113=40%,VLOOKUP($JK113,'Jan-2026 rates'!$L:$R,5,0),IF($LB113=30%,VLOOKUP($JK113,'Jan-2026 rates'!$L:$R,6,0),IF($LB113=100%,VLOOKUP($JK113,'Jan-2026 rates'!$L:$R,7,0),IF($LB113=60%,VLOOKUP($JK113,'Jan-2026 rates'!$L:$S,8,0),IF($LB113=80%,VLOOKUP($JK113,'Jan-2026 rates'!L:T,9,0),0))))))))</f>
        <v>0</v>
      </c>
      <c r="JN113" s="412"/>
      <c r="JO113" s="409"/>
      <c r="JP113" s="411">
        <f>IF(JO113=0,0,IF($LB113=70%,VLOOKUP($JK113,'Jan-2026 rates'!$L:$R,4,0),IF($LB113=65%,VLOOKUP($JK113,'Jan-2026 rates'!$L:$R,4,0),IF($LB113=40%,VLOOKUP($JK113,'Jan-2026 rates'!$L:$R,5,0),IF($LB113=30%,VLOOKUP($JK113,'Jan-2026 rates'!$L:$R,6,0),IF($LB113=100%,VLOOKUP($JK113,'Jan-2026 rates'!$L:$R,7,0),IF($LB113=60%,VLOOKUP($JK113,'Jan-2026 rates'!$L:$S,8,0),IF($LB113=80%,VLOOKUP($JK113,'Jan-2026 rates'!L:T,9,0),0))))))))</f>
        <v>0</v>
      </c>
      <c r="JQ113" s="413"/>
      <c r="JR113" s="412"/>
      <c r="JS113" s="413"/>
      <c r="JT113" s="413"/>
      <c r="JU113" s="412"/>
      <c r="JV113" s="412"/>
      <c r="JW113" s="412"/>
      <c r="JX113" s="412"/>
      <c r="JY113" s="409"/>
      <c r="JZ113" s="398">
        <f>IF(JY113=0,0,IF(LEN(JQ113)=11,_xlfn.XLOOKUP(JQ113,'Dispensed Ink Rates'!C:C,'Dispensed Ink Rates'!CS:CS),VLOOKUP(JQ113,'Jan-2026 rates'!$E:$F,2,0)))</f>
        <v>0</v>
      </c>
      <c r="KA113" s="409"/>
      <c r="KB113" s="398">
        <f>IF(KA113=0,0,IF(LEN(JR113)=11,_xlfn.XLOOKUP(JR113,'Dispensed Ink Rates'!C:C,'Dispensed Ink Rates'!CS:CS),VLOOKUP(JR113,'Jan-2026 rates'!$E:$F,2,0)))</f>
        <v>0</v>
      </c>
      <c r="KC113" s="409"/>
      <c r="KD113" s="398">
        <f>IF(KC113=0,0,IF(LEN(JS113)=11,_xlfn.XLOOKUP(JS113,'Dispensed Ink Rates'!C:C,'Dispensed Ink Rates'!CS:CS),VLOOKUP(JS113,'Jan-2026 rates'!$E:$F,2,0)))</f>
        <v>0</v>
      </c>
      <c r="KE113" s="409"/>
      <c r="KF113" s="398">
        <f>IF(KE113=0,0,IF(LEN(JT113)=11,_xlfn.XLOOKUP(JT113,'Dispensed Ink Rates'!C:C,'Dispensed Ink Rates'!CS:CS),VLOOKUP(JT113,'Jan-2026 rates'!$E:$F,2,0)))</f>
        <v>0</v>
      </c>
      <c r="KG113" s="409"/>
      <c r="KH113" s="398">
        <f>IF(KG113=0,0,IF(LEN(JU113)=11,_xlfn.XLOOKUP(JU113,'Dispensed Ink Rates'!C:C,'Dispensed Ink Rates'!CS:CS),VLOOKUP(JU113,'Jan-2026 rates'!$E:$F,2,0)))</f>
        <v>0</v>
      </c>
      <c r="KI113" s="409"/>
      <c r="KJ113" s="398">
        <f>IF(KI113=0,0,IF(LEN(JV113)=11,_xlfn.XLOOKUP(JV113,'Dispensed Ink Rates'!C:C,'Dispensed Ink Rates'!CS:CS),VLOOKUP(JV113,'Jan-2026 rates'!$E:$F,2,0)))</f>
        <v>0</v>
      </c>
      <c r="KK113" s="409"/>
      <c r="KL113" s="398">
        <f>IF(KK113=0,0,IF(LEN(JW113)=11,_xlfn.XLOOKUP(JW113,'Dispensed Ink Rates'!C:C,'Dispensed Ink Rates'!CS:CS),VLOOKUP(JW113,'Jan-2026 rates'!$E:$F,2,0)))</f>
        <v>0</v>
      </c>
      <c r="KM113" s="428"/>
      <c r="KN113" s="398">
        <f>IF(KM113=0,0,IF(LEN(JX113)=11,_xlfn.XLOOKUP(JX113,'Dispensed Ink Rates'!C:C,'Dispensed Ink Rates'!CS:CS),VLOOKUP(JX113,'Jan-2026 rates'!$E:$F,2,0)))</f>
        <v>0</v>
      </c>
      <c r="KO113" s="409"/>
      <c r="KP113" s="409"/>
      <c r="KQ113" s="411">
        <f t="shared" si="103"/>
        <v>0</v>
      </c>
      <c r="KR113" s="411">
        <f t="shared" si="104"/>
        <v>0</v>
      </c>
      <c r="KS113" s="410">
        <f t="shared" si="105"/>
        <v>0</v>
      </c>
      <c r="KT113" s="409">
        <v>60</v>
      </c>
      <c r="KU113" s="409">
        <v>10</v>
      </c>
      <c r="KV113" s="409">
        <v>2</v>
      </c>
      <c r="KW113" s="409">
        <v>5</v>
      </c>
      <c r="KX113" s="409">
        <v>5</v>
      </c>
      <c r="KY113" s="409">
        <v>0</v>
      </c>
      <c r="KZ113" s="409">
        <v>0</v>
      </c>
      <c r="LA113" s="409">
        <v>0</v>
      </c>
      <c r="LB113" s="415">
        <v>0.8</v>
      </c>
      <c r="LC113" s="415">
        <v>0.2</v>
      </c>
      <c r="LD113" s="415"/>
      <c r="LE113" s="415"/>
      <c r="LF113" s="415"/>
      <c r="LG113" s="409">
        <v>0</v>
      </c>
      <c r="LH113" s="409">
        <f>60+40+80+20+7</f>
        <v>207</v>
      </c>
      <c r="LI113" s="409">
        <v>0</v>
      </c>
      <c r="LJ113" s="409">
        <v>0</v>
      </c>
      <c r="LK113" s="416">
        <f t="shared" si="61"/>
        <v>207</v>
      </c>
      <c r="LL113" s="416">
        <f t="shared" si="62"/>
        <v>207</v>
      </c>
      <c r="LM113" s="417">
        <f t="shared" si="63"/>
        <v>165.60000000000002</v>
      </c>
      <c r="LN113" s="417">
        <f>VLOOKUP($LM$8,'Jan-2026 rates'!$H:$I,2,0)</f>
        <v>0</v>
      </c>
      <c r="LO113" s="417">
        <f t="shared" si="64"/>
        <v>41.400000000000006</v>
      </c>
      <c r="LP113" s="417">
        <f>VLOOKUP($LO$8,'Jan-2026 rates'!$H:$I,2,0)</f>
        <v>0</v>
      </c>
      <c r="LQ113" s="417">
        <f t="shared" si="65"/>
        <v>0</v>
      </c>
      <c r="LR113" s="417">
        <f>VLOOKUP($LQ$8,'Jan-2026 rates'!$H:$I,2,0)</f>
        <v>0</v>
      </c>
      <c r="LS113" s="417">
        <f t="shared" si="66"/>
        <v>0</v>
      </c>
      <c r="LT113" s="417">
        <f>VLOOKUP($LS$8,'Jan-2026 rates'!$H:$I,2,0)</f>
        <v>0</v>
      </c>
      <c r="LU113" s="417">
        <f t="shared" si="67"/>
        <v>0</v>
      </c>
      <c r="LV113" s="417">
        <f>VLOOKUP($LU$8,'Jan-2026 rates'!$H:$I,2,0)</f>
        <v>0</v>
      </c>
      <c r="LW113" s="417">
        <f t="shared" si="68"/>
        <v>0</v>
      </c>
      <c r="LX113" s="417">
        <f t="shared" si="69"/>
        <v>0</v>
      </c>
      <c r="LY113" s="418">
        <f t="shared" si="70"/>
        <v>0</v>
      </c>
      <c r="LZ113" s="417"/>
      <c r="MA113" s="435">
        <f t="shared" si="71"/>
        <v>146.4</v>
      </c>
      <c r="MB113" s="282">
        <f t="shared" si="72"/>
        <v>322.40000000000003</v>
      </c>
      <c r="MC113" s="283">
        <v>68</v>
      </c>
      <c r="MD113" s="284" t="str">
        <f t="shared" si="73"/>
        <v>FLINTSLFLINTSLFLINTSLFLINTSLFLINTSL</v>
      </c>
      <c r="ME113" s="293" t="str">
        <f t="shared" si="74"/>
        <v>+</v>
      </c>
      <c r="MF113" s="293" t="str">
        <f t="shared" si="75"/>
        <v>+</v>
      </c>
      <c r="MG113" s="293" t="str">
        <f t="shared" si="76"/>
        <v>+</v>
      </c>
      <c r="MH113" s="293" t="str">
        <f t="shared" si="77"/>
        <v>+</v>
      </c>
      <c r="MI113" s="293" t="str">
        <f t="shared" si="78"/>
        <v>+</v>
      </c>
      <c r="MJ113" s="293" t="str">
        <f t="shared" si="79"/>
        <v>NIL</v>
      </c>
      <c r="MK113" s="293" t="str">
        <f t="shared" si="80"/>
        <v>NIL</v>
      </c>
      <c r="ML113" s="293" t="str">
        <f t="shared" si="81"/>
        <v>NIL</v>
      </c>
      <c r="MM113" s="3" t="b">
        <f t="array" ref="MM113">OR(ME113:ML113="-")</f>
        <v>0</v>
      </c>
      <c r="MN113" s="285"/>
      <c r="MO113" s="401"/>
      <c r="MP113" s="286"/>
      <c r="MQ113" s="286"/>
      <c r="MR113" s="402"/>
      <c r="MS113" s="400"/>
      <c r="NH113" s="422"/>
      <c r="NJ113" s="421"/>
    </row>
    <row r="114" spans="1:374" s="1" customFormat="1" ht="16.5">
      <c r="A114" s="403">
        <v>46032</v>
      </c>
      <c r="B114" s="404" t="s">
        <v>1015</v>
      </c>
      <c r="C114" s="405" t="s">
        <v>3251</v>
      </c>
      <c r="D114" s="406">
        <v>69</v>
      </c>
      <c r="E114" s="404">
        <v>2084</v>
      </c>
      <c r="F114" s="407">
        <v>38600</v>
      </c>
      <c r="G114" s="407" t="s">
        <v>1019</v>
      </c>
      <c r="H114" s="408" t="s">
        <v>1017</v>
      </c>
      <c r="I114" s="409">
        <v>0.91</v>
      </c>
      <c r="J114" s="405" t="s">
        <v>856</v>
      </c>
      <c r="K114" s="404" t="s">
        <v>3252</v>
      </c>
      <c r="L114" s="419" t="str">
        <f t="shared" si="54"/>
        <v>FLINTSL - WHITE</v>
      </c>
      <c r="M114" s="404">
        <v>30</v>
      </c>
      <c r="N114" s="410">
        <f>IF(M114=0,0,IF($LB114=70%,VLOOKUP($L114,'Jan-2026 rates'!$L:$R,4,0),IF($LB114=65%,VLOOKUP($L114,'Jan-2026 rates'!$L:$R,4,0),IF($LB114=40%,VLOOKUP($L114,'Jan-2026 rates'!$L:$R,5,0),IF($LB114=30%,VLOOKUP($L114,'Jan-2026 rates'!$L:$R,6,0),IF($LB114=100%,VLOOKUP($L114,'Jan-2026 rates'!$L:$R,7,0),IF($LB114=60%,VLOOKUP($L114,'Jan-2026 rates'!$L:$S,8,0),IF($LB114=80%,VLOOKUP($L114,'Jan-2026 rates'!L:T,9,0),0))))))))</f>
        <v>0</v>
      </c>
      <c r="O114" s="406"/>
      <c r="P114" s="404"/>
      <c r="Q114" s="410">
        <f>IF(P114=0,0,IF($LB114=70%,VLOOKUP($L114,'Jan-2026 rates'!$L:$R,4,0),IF($LB114=65%,VLOOKUP($L114,'Jan-2026 rates'!$L:$R,4,0),IF($LB114=40%,VLOOKUP($L114,'Jan-2026 rates'!$L:$R,5,0),IF($LB114=30%,VLOOKUP($L114,'Jan-2026 rates'!$L:$R,6,0),IF($LB114=100%,VLOOKUP($L114,'Jan-2026 rates'!$L:$R,7,0),IF($LB114=60%,VLOOKUP($L114,'Jan-2026 rates'!$L:$S,8,0),IF($LB114=80%,VLOOKUP($L114,'Jan-2026 rates'!L:T,9,0),0))))))))</f>
        <v>0</v>
      </c>
      <c r="R114" s="406" t="s">
        <v>484</v>
      </c>
      <c r="S114" s="406"/>
      <c r="T114" s="406"/>
      <c r="U114" s="406"/>
      <c r="V114" s="406"/>
      <c r="W114" s="406"/>
      <c r="X114" s="406"/>
      <c r="Y114" s="406"/>
      <c r="Z114" s="404">
        <f>60+60</f>
        <v>120</v>
      </c>
      <c r="AA114" s="398">
        <f>IF(Z114=0,0,IF(LEN(R114)=11,_xlfn.XLOOKUP(R114,'Dispensed Ink Rates'!C:C,'Dispensed Ink Rates'!CS:CS),VLOOKUP(R114,'Jan-2026 rates'!$E:$F,2,0)))</f>
        <v>0</v>
      </c>
      <c r="AB114" s="404"/>
      <c r="AC114" s="398">
        <f>IF(AB114=0,0,IF(LEN(S114)=11,_xlfn.XLOOKUP(S114,'Dispensed Ink Rates'!C:C,'Dispensed Ink Rates'!CS:CS),VLOOKUP(S114,'Jan-2026 rates'!$E:$F,2,0)))</f>
        <v>0</v>
      </c>
      <c r="AD114" s="404"/>
      <c r="AE114" s="398">
        <f>IF(AD114=0,0,IF(LEN(T114)=11,_xlfn.XLOOKUP(T114,'Dispensed Ink Rates'!C:C,'Dispensed Ink Rates'!CS:CS),VLOOKUP(T114,'Jan-2026 rates'!$E:$F,2,0)))</f>
        <v>0</v>
      </c>
      <c r="AF114" s="404"/>
      <c r="AG114" s="398">
        <f>IF(AF114=0,0,IF(LEN(U114)=11,_xlfn.XLOOKUP(U114,'Dispensed Ink Rates'!C:C,'Dispensed Ink Rates'!CS:CS),VLOOKUP(U114,'Jan-2026 rates'!$E:$F,2,0)))</f>
        <v>0</v>
      </c>
      <c r="AH114" s="404"/>
      <c r="AI114" s="398">
        <f>IF(AH114=0,0,IF(LEN(V114)=11,_xlfn.XLOOKUP(V114,'Dispensed Ink Rates'!C:C,'Dispensed Ink Rates'!CS:CS),VLOOKUP(V114,'Jan-2026 rates'!$E:$F,2,0)))</f>
        <v>0</v>
      </c>
      <c r="AJ114" s="404"/>
      <c r="AK114" s="398">
        <f>IF(AJ114=0,0,IF(LEN(W114)=11,_xlfn.XLOOKUP(W114,'Dispensed Ink Rates'!C:C,'Dispensed Ink Rates'!CS:CS),VLOOKUP(W114,'Jan-2026 rates'!$E:$F,2,0)))</f>
        <v>0</v>
      </c>
      <c r="AL114" s="404"/>
      <c r="AM114" s="398">
        <f>IF(AL114=0,0,IF(LEN(X114)=11,_xlfn.XLOOKUP(X114,'Dispensed Ink Rates'!C:C,'Dispensed Ink Rates'!CS:CS),VLOOKUP(X114,'Jan-2026 rates'!$E:$F,2,0)))</f>
        <v>0</v>
      </c>
      <c r="AN114" s="404"/>
      <c r="AO114" s="398">
        <f>IF(AN114=0,0,IF(LEN(Y114)=11,_xlfn.XLOOKUP(Y114,'Dispensed Ink Rates'!C:C,'Dispensed Ink Rates'!CS:CS),VLOOKUP(Y114,'Jan-2026 rates'!$E:$F,2,0)))</f>
        <v>0</v>
      </c>
      <c r="AP114" s="409" t="s">
        <v>1443</v>
      </c>
      <c r="AQ114" s="409">
        <v>27</v>
      </c>
      <c r="AR114" s="410">
        <f t="shared" si="82"/>
        <v>0</v>
      </c>
      <c r="AS114" s="411">
        <f t="shared" si="83"/>
        <v>279</v>
      </c>
      <c r="AT114" s="410">
        <f t="shared" si="84"/>
        <v>0</v>
      </c>
      <c r="AU114" s="405" t="s">
        <v>546</v>
      </c>
      <c r="AV114" s="409"/>
      <c r="AW114" s="420" t="str">
        <f t="shared" si="53"/>
        <v>FLINTSL - REFLEX BLUE</v>
      </c>
      <c r="AX114" s="409"/>
      <c r="AY114" s="411">
        <f>IF(AX114=0,0,IF($LB114=70%,VLOOKUP($AW114,'Jan-2026 rates'!$L:$R,4,0),IF($LB114=65%,VLOOKUP($AW114,'Jan-2026 rates'!$L:$R,4,0),IF($LB114=40%,VLOOKUP($AW114,'Jan-2026 rates'!$L:$R,5,0),IF($LB114=30%,VLOOKUP($AW114,'Jan-2026 rates'!$L:$R,6,0),IF($LB114=100%,VLOOKUP($AW114,'Jan-2026 rates'!$L:$R,7,0),IF($LB114=60%,VLOOKUP($AW114,'Jan-2026 rates'!$L:$S,8,0),IF($LB114=80%,VLOOKUP($AW114,'Jan-2026 rates'!L:T,9,0),0))))))))</f>
        <v>0</v>
      </c>
      <c r="AZ114" s="412"/>
      <c r="BA114" s="409"/>
      <c r="BB114" s="411">
        <f>IF(BA114=0,0,IF($LB114=70%,VLOOKUP($AW114,'Jan-2026 rates'!$L:$R,4,0),IF($LB114=65%,VLOOKUP($AW114,'Jan-2026 rates'!$L:$R,4,0),IF($LB114=40%,VLOOKUP($AW114,'Jan-2026 rates'!$L:$R,5,0),IF($LB114=30%,VLOOKUP($AW114,'Jan-2026 rates'!$L:$R,6,0),IF($LB114=100%,VLOOKUP($AW114,'Jan-2026 rates'!$L:$R,7,0),IF($LB114=60%,VLOOKUP($AW114,'Jan-2026 rates'!$L:$S,8,0),IF($LB114=80%,VLOOKUP($AW114,'Jan-2026 rates'!L:T,9,0),0))))))))</f>
        <v>0</v>
      </c>
      <c r="BC114" s="413">
        <v>26507000018</v>
      </c>
      <c r="BD114" s="412" t="s">
        <v>1266</v>
      </c>
      <c r="BE114" s="412">
        <v>26507000016</v>
      </c>
      <c r="BF114" s="413">
        <v>26510000016</v>
      </c>
      <c r="BG114" s="412"/>
      <c r="BH114" s="412"/>
      <c r="BI114" s="412"/>
      <c r="BJ114" s="412"/>
      <c r="BK114" s="409">
        <v>2</v>
      </c>
      <c r="BL114" s="398" t="e">
        <f>IF(BK114=0,0,IF(LEN(BC114)=11,_xlfn.XLOOKUP(BC114,'Dispensed Ink Rates'!C:C,'Dispensed Ink Rates'!CS:CS),VLOOKUP(BC114,'Jan-2026 rates'!$E:$F,2,0)))</f>
        <v>#N/A</v>
      </c>
      <c r="BM114" s="409">
        <v>20</v>
      </c>
      <c r="BN114" s="398">
        <f>IF(BM114=0,0,IF(LEN(BD114)=11,_xlfn.XLOOKUP(BD114,'Dispensed Ink Rates'!C:C,'Dispensed Ink Rates'!CS:CS),VLOOKUP(BD114,'Jan-2026 rates'!$E:$F,2,0)))</f>
        <v>0</v>
      </c>
      <c r="BO114" s="409">
        <v>0.3</v>
      </c>
      <c r="BP114" s="398" t="e">
        <f>IF(BO114=0,0,IF(LEN(BE114)=11,_xlfn.XLOOKUP(BE114,'Dispensed Ink Rates'!C:C,'Dispensed Ink Rates'!CS:CS),VLOOKUP(BE114,'Jan-2026 rates'!$E:$F,2,0)))</f>
        <v>#N/A</v>
      </c>
      <c r="BQ114" s="409">
        <v>0.2</v>
      </c>
      <c r="BR114" s="398" t="e">
        <f>IF(BQ114=0,0,IF(LEN(BF114)=11,_xlfn.XLOOKUP(BF114,'Dispensed Ink Rates'!C:C,'Dispensed Ink Rates'!CS:CS),VLOOKUP(BF114,'Jan-2026 rates'!$E:$F,2,0)))</f>
        <v>#N/A</v>
      </c>
      <c r="BS114" s="409"/>
      <c r="BT114" s="398">
        <f>IF(BS114=0,0,IF(LEN(BG114)=11,_xlfn.XLOOKUP(BG114,'Dispensed Ink Rates'!C:C,'Dispensed Ink Rates'!CS:CS),VLOOKUP(BG114,'Jan-2026 rates'!$E:$F,2,0)))</f>
        <v>0</v>
      </c>
      <c r="BU114" s="409"/>
      <c r="BV114" s="398">
        <f>IF(BU114=0,0,IF(LEN(BH114)=11,_xlfn.XLOOKUP(BH114,'Dispensed Ink Rates'!C:C,'Dispensed Ink Rates'!CS:CS),VLOOKUP(BH114,'Jan-2026 rates'!$E:$F,2,0)))</f>
        <v>0</v>
      </c>
      <c r="BW114" s="409"/>
      <c r="BX114" s="398">
        <f>IF(BW114=0,0,IF(LEN(BI114)=11,_xlfn.XLOOKUP(BI114,'Dispensed Ink Rates'!C:C,'Dispensed Ink Rates'!CS:CS),VLOOKUP(BI114,'Jan-2026 rates'!$E:$F,2,0)))</f>
        <v>0</v>
      </c>
      <c r="BY114" s="409"/>
      <c r="BZ114" s="398">
        <f>IF(BY114=0,0,IF(LEN(BJ114)=11,_xlfn.XLOOKUP(BJ114,'Dispensed Ink Rates'!C:C,'Dispensed Ink Rates'!CS:CS),VLOOKUP(BJ114,'Jan-2026 rates'!$E:$F,2,0)))</f>
        <v>0</v>
      </c>
      <c r="CA114" s="409" t="s">
        <v>1443</v>
      </c>
      <c r="CB114" s="409">
        <v>23</v>
      </c>
      <c r="CC114" s="411">
        <f t="shared" si="85"/>
        <v>0</v>
      </c>
      <c r="CD114" s="411">
        <f t="shared" si="86"/>
        <v>38.5</v>
      </c>
      <c r="CE114" s="410">
        <f t="shared" si="87"/>
        <v>0</v>
      </c>
      <c r="CF114" s="404" t="s">
        <v>857</v>
      </c>
      <c r="CG114" s="409" t="s">
        <v>3253</v>
      </c>
      <c r="CH114" s="420" t="str">
        <f t="shared" si="55"/>
        <v>FLINTSL - RED</v>
      </c>
      <c r="CI114" s="409">
        <v>25</v>
      </c>
      <c r="CJ114" s="411">
        <f>IF(CI114=0,0,IF($LB114=70%,VLOOKUP($CH114,'Jan-2026 rates'!$L:$R,4,0),IF($LB114=65%,VLOOKUP($CH114,'Jan-2026 rates'!$L:$R,4,0),IF($LB114=40%,VLOOKUP($CH114,'Jan-2026 rates'!$L:$R,5,0),IF($LB114=30%,VLOOKUP($CH114,'Jan-2026 rates'!$L:$R,6,0),IF($LB114=100%,VLOOKUP($CH114,'Jan-2026 rates'!$L:$R,7,0),IF($LB114=60%,VLOOKUP($CH114,'Jan-2026 rates'!$L:$S,8,0),IF($LB114=80%,VLOOKUP($CH114,'Jan-2026 rates'!L:T,9,0),0))))))))</f>
        <v>0</v>
      </c>
      <c r="CK114" s="412"/>
      <c r="CL114" s="409"/>
      <c r="CM114" s="411">
        <f>IF(CL114=0,0,IF($LB114=70%,VLOOKUP($CH114,'Jan-2026 rates'!$L:$R,4,0),IF($LB114=65%,VLOOKUP($CH114,'Jan-2026 rates'!$L:$R,4,0),IF($LB114=40%,VLOOKUP($CH114,'Jan-2026 rates'!$L:$R,5,0),IF($LB114=30%,VLOOKUP($CH114,'Jan-2026 rates'!$L:$R,6,0),IF($LB114=100%,VLOOKUP($CH114,'Jan-2026 rates'!$L:$R,7,0),IF($LB114=60%,VLOOKUP($CH114,'Jan-2026 rates'!$L:$S,8,0),IF($LB114=80%,VLOOKUP($CH114,'Jan-2026 rates'!L:T,9,0),0))))))))</f>
        <v>0</v>
      </c>
      <c r="CN114" s="426">
        <v>26505000028</v>
      </c>
      <c r="CO114" s="427"/>
      <c r="CP114" s="426"/>
      <c r="CQ114" s="426"/>
      <c r="CR114" s="428"/>
      <c r="CS114" s="428"/>
      <c r="CT114" s="428"/>
      <c r="CU114" s="428"/>
      <c r="CV114" s="409">
        <v>1</v>
      </c>
      <c r="CW114" s="398" t="e">
        <f>IF(CV114=0,0,IF(LEN(CN114)=11,_xlfn.XLOOKUP(CN114,'Dispensed Ink Rates'!C:C,'Dispensed Ink Rates'!CS:CS),VLOOKUP(CN114,'Jan-2026 rates'!$E:$F,2,0)))</f>
        <v>#N/A</v>
      </c>
      <c r="CX114" s="409"/>
      <c r="CY114" s="398">
        <f>IF(CX114=0,0,IF(LEN(CO114)=11,_xlfn.XLOOKUP(CO114,'Dispensed Ink Rates'!C:C,'Dispensed Ink Rates'!CS:CS),VLOOKUP(CO114,'Jan-2026 rates'!$E:$F,2,0)))</f>
        <v>0</v>
      </c>
      <c r="CZ114" s="409"/>
      <c r="DA114" s="398">
        <f>IF(CZ114=0,0,IF(LEN(CP114)=11,_xlfn.XLOOKUP(CP114,'Dispensed Ink Rates'!C:C,'Dispensed Ink Rates'!CS:CS),VLOOKUP(CP114,'Jan-2026 rates'!$E:$F,2,0)))</f>
        <v>0</v>
      </c>
      <c r="DB114" s="409"/>
      <c r="DC114" s="398">
        <f>IF(DB114=0,0,IF(LEN(CQ114)=11,_xlfn.XLOOKUP(CQ114,'Dispensed Ink Rates'!C:C,'Dispensed Ink Rates'!CS:CS),VLOOKUP(CQ114,'Jan-2026 rates'!$E:$F,2,0)))</f>
        <v>0</v>
      </c>
      <c r="DD114" s="409"/>
      <c r="DE114" s="398">
        <f>IF(DD114=0,0,IF(LEN(CR114)=11,_xlfn.XLOOKUP(CR114,'Dispensed Ink Rates'!C:C,'Dispensed Ink Rates'!CS:CS),VLOOKUP(CR114,'Jan-2026 rates'!$E:$F,2,0)))</f>
        <v>0</v>
      </c>
      <c r="DF114" s="409"/>
      <c r="DG114" s="398">
        <f>IF(DF114=0,0,IF(LEN(CS114)=11,_xlfn.XLOOKUP(CS114,'Dispensed Ink Rates'!C:C,'Dispensed Ink Rates'!CS:CS),VLOOKUP(CS114,'Jan-2026 rates'!$E:$F,2,0)))</f>
        <v>0</v>
      </c>
      <c r="DH114" s="409"/>
      <c r="DI114" s="398">
        <f>IF(DH114=0,0,IF(LEN(CT114)=11,_xlfn.XLOOKUP(CT114,'Dispensed Ink Rates'!C:C,'Dispensed Ink Rates'!CS:CS),VLOOKUP(CT114,'Jan-2026 rates'!$E:$F,2,0)))</f>
        <v>0</v>
      </c>
      <c r="DJ114" s="409"/>
      <c r="DK114" s="398">
        <f>IF(DJ114=0,0,IF(LEN(CU114)=11,_xlfn.XLOOKUP(CU114,'Dispensed Ink Rates'!C:C,'Dispensed Ink Rates'!CS:CS),VLOOKUP(CU114,'Jan-2026 rates'!$E:$F,2,0)))</f>
        <v>0</v>
      </c>
      <c r="DL114" s="409" t="s">
        <v>1443</v>
      </c>
      <c r="DM114" s="409">
        <v>26</v>
      </c>
      <c r="DN114" s="411">
        <f t="shared" si="88"/>
        <v>0</v>
      </c>
      <c r="DO114" s="411">
        <f t="shared" si="89"/>
        <v>7.7999999999999972</v>
      </c>
      <c r="DP114" s="410">
        <f t="shared" si="90"/>
        <v>0</v>
      </c>
      <c r="DQ114" s="405" t="s">
        <v>547</v>
      </c>
      <c r="DR114" s="409" t="s">
        <v>3254</v>
      </c>
      <c r="DS114" s="420" t="str">
        <f t="shared" si="56"/>
        <v>FLINTSL - GREEN</v>
      </c>
      <c r="DT114" s="409">
        <v>24</v>
      </c>
      <c r="DU114" s="411">
        <f>IF(DT114=0,0,IF($LB114=70%,VLOOKUP($DS114,'Jan-2026 rates'!$L:$R,4,0),IF($LB114=65%,VLOOKUP($DS114,'Jan-2026 rates'!$L:$R,4,0),IF($LB114=40%,VLOOKUP($DS114,'Jan-2026 rates'!$L:$R,5,0),IF($LB114=30%,VLOOKUP($DS114,'Jan-2026 rates'!$L:$R,6,0),IF($LB114=100%,VLOOKUP($DS114,'Jan-2026 rates'!$L:$R,7,0),IF($LB114=60%,VLOOKUP($DS114,'Jan-2026 rates'!$L:$S,8,0),IF($LB114=80%,VLOOKUP($DS114,'Jan-2026 rates'!L:T,9,0),0))))))))</f>
        <v>0</v>
      </c>
      <c r="DV114" s="412"/>
      <c r="DW114" s="409"/>
      <c r="DX114" s="411">
        <f>IF(DW114=0,0,IF($LB114=70%,VLOOKUP($DS114,'Jan-2026 rates'!$L:$R,4,0),IF($LB114=65%,VLOOKUP($DS114,'Jan-2026 rates'!$L:$R,4,0),IF($LB114=40%,VLOOKUP($DS114,'Jan-2026 rates'!$L:$R,5,0),IF($LB114=30%,VLOOKUP($DS114,'Jan-2026 rates'!$L:$R,6,0),IF($LB114=100%,VLOOKUP($DS114,'Jan-2026 rates'!$L:$R,7,0),IF($LB114=60%,VLOOKUP($DS114,'Jan-2026 rates'!$L:$S,8,0),IF($LB114=80%,VLOOKUP($DS114,'Jan-2026 rates'!L:T,9,0),0))))))))</f>
        <v>0</v>
      </c>
      <c r="DY114" s="413">
        <v>26507000018</v>
      </c>
      <c r="DZ114" s="413">
        <v>26510000016</v>
      </c>
      <c r="EA114" s="412"/>
      <c r="EB114" s="412"/>
      <c r="EC114" s="412"/>
      <c r="ED114" s="412"/>
      <c r="EE114" s="412"/>
      <c r="EF114" s="412"/>
      <c r="EG114" s="409">
        <v>2</v>
      </c>
      <c r="EH114" s="398" t="e">
        <f>IF(EG114=0,0,IF(LEN(DY114)=11,_xlfn.XLOOKUP(DY114,'Dispensed Ink Rates'!C:C,'Dispensed Ink Rates'!CS:CS),VLOOKUP(DY114,'Jan-2026 rates'!$E:$F,2,0)))</f>
        <v>#N/A</v>
      </c>
      <c r="EI114" s="409">
        <v>1</v>
      </c>
      <c r="EJ114" s="398" t="e">
        <f>IF(EI114=0,0,IF(LEN(DZ114)=11,_xlfn.XLOOKUP(DZ114,'Dispensed Ink Rates'!C:C,'Dispensed Ink Rates'!CS:CS),VLOOKUP(DZ114,'Jan-2026 rates'!$E:$F,2,0)))</f>
        <v>#N/A</v>
      </c>
      <c r="EK114" s="409"/>
      <c r="EL114" s="398">
        <f>IF(EK114=0,0,IF(LEN(EA114)=11,_xlfn.XLOOKUP(EA114,'Dispensed Ink Rates'!C:C,'Dispensed Ink Rates'!CS:CS),VLOOKUP(EA114,'Jan-2026 rates'!$E:$F,2,0)))</f>
        <v>0</v>
      </c>
      <c r="EM114" s="409"/>
      <c r="EN114" s="398">
        <f>IF(EM114=0,0,IF(LEN(EB114)=11,_xlfn.XLOOKUP(EB114,'Dispensed Ink Rates'!C:C,'Dispensed Ink Rates'!CS:CS),VLOOKUP(EB114,'Jan-2026 rates'!$E:$F,2,0)))</f>
        <v>0</v>
      </c>
      <c r="EO114" s="409"/>
      <c r="EP114" s="398">
        <f>IF(EO114=0,0,IF(LEN(EC114)=11,_xlfn.XLOOKUP(EC114,'Dispensed Ink Rates'!C:C,'Dispensed Ink Rates'!CS:CS),VLOOKUP(EC114,'Jan-2026 rates'!$E:$F,2,0)))</f>
        <v>0</v>
      </c>
      <c r="EQ114" s="409"/>
      <c r="ER114" s="398">
        <f>IF(EQ114=0,0,IF(LEN(ED114)=11,_xlfn.XLOOKUP(ED114,'Dispensed Ink Rates'!C:C,'Dispensed Ink Rates'!CS:CS),VLOOKUP(ED114,'Jan-2026 rates'!$E:$F,2,0)))</f>
        <v>0</v>
      </c>
      <c r="ES114" s="409"/>
      <c r="ET114" s="398">
        <f>IF(ES114=0,0,IF(LEN(EE114)=11,_xlfn.XLOOKUP(EE114,'Dispensed Ink Rates'!C:C,'Dispensed Ink Rates'!CS:CS),VLOOKUP(EE114,'Jan-2026 rates'!$E:$F,2,0)))</f>
        <v>0</v>
      </c>
      <c r="EU114" s="409"/>
      <c r="EV114" s="398">
        <f>IF(EU114=0,0,IF(LEN(EF114)=11,_xlfn.XLOOKUP(EF114,'Dispensed Ink Rates'!C:C,'Dispensed Ink Rates'!CS:CS),VLOOKUP(EF114,'Jan-2026 rates'!$E:$F,2,0)))</f>
        <v>0</v>
      </c>
      <c r="EW114" s="409" t="s">
        <v>1443</v>
      </c>
      <c r="EX114" s="409">
        <v>25</v>
      </c>
      <c r="EY114" s="411">
        <f t="shared" si="91"/>
        <v>0</v>
      </c>
      <c r="EZ114" s="411">
        <f t="shared" si="92"/>
        <v>4.6000000000000014</v>
      </c>
      <c r="FA114" s="410">
        <f t="shared" si="93"/>
        <v>0</v>
      </c>
      <c r="FB114" s="405" t="s">
        <v>543</v>
      </c>
      <c r="FC114" s="409" t="s">
        <v>3255</v>
      </c>
      <c r="FD114" s="420" t="str">
        <f t="shared" si="57"/>
        <v>FLINTSL - BLACK</v>
      </c>
      <c r="FE114" s="409">
        <v>26</v>
      </c>
      <c r="FF114" s="411">
        <f>IF(FE114=0,0,IF($LB114=70%,VLOOKUP($FD114,'Jan-2026 rates'!$L:$R,4,0),IF($LB114=65%,VLOOKUP($FD114,'Jan-2026 rates'!$L:$R,4,0),IF($LB114=40%,VLOOKUP($FD114,'Jan-2026 rates'!$L:$R,5,0),IF($LB114=30%,VLOOKUP($FD114,'Jan-2026 rates'!$L:$R,6,0),IF($LB114=100%,VLOOKUP($FD114,'Jan-2026 rates'!$L:$R,7,0),IF($LB114=60%,VLOOKUP($FD114,'Jan-2026 rates'!$L:$S,8,0),IF($LB114=80%,VLOOKUP($FD114,'Jan-2026 rates'!L:T,9,0),0))))))))</f>
        <v>0</v>
      </c>
      <c r="FG114" s="412"/>
      <c r="FH114" s="409"/>
      <c r="FI114" s="411">
        <f>IF(FH114=0,0,IF($LB114=70%,VLOOKUP($FD114,'Jan-2026 rates'!$L:$R,4,0),IF($LB114=65%,VLOOKUP($FD114,'Jan-2026 rates'!$L:$R,4,0),IF($LB114=40%,VLOOKUP($FD114,'Jan-2026 rates'!$L:$R,5,0),IF($LB114=30%,VLOOKUP($FD114,'Jan-2026 rates'!$L:$R,6,0),IF($LB114=100%,VLOOKUP($FD114,'Jan-2026 rates'!$L:$R,7,0),IF($LB114=60%,VLOOKUP($FD114,'Jan-2026 rates'!$L:$S,8,0),IF($LB114=80%,VLOOKUP($FD114,'Jan-2026 rates'!L:T,9,0),0))))))))</f>
        <v>0</v>
      </c>
      <c r="FJ114" s="413">
        <v>26507000010</v>
      </c>
      <c r="FK114" s="413"/>
      <c r="FL114" s="413"/>
      <c r="FM114" s="412"/>
      <c r="FN114" s="412"/>
      <c r="FO114" s="412"/>
      <c r="FP114" s="412"/>
      <c r="FQ114" s="412"/>
      <c r="FR114" s="409">
        <v>2</v>
      </c>
      <c r="FS114" s="398" t="e">
        <f>IF(FR114=0,0,IF(LEN(FJ114)=11,_xlfn.XLOOKUP(FJ114,'Dispensed Ink Rates'!C:C,'Dispensed Ink Rates'!CS:CS),VLOOKUP(FJ114,'Jan-2026 rates'!$E:$F,2,0)))</f>
        <v>#N/A</v>
      </c>
      <c r="FT114" s="409"/>
      <c r="FU114" s="398">
        <f>IF(FT114=0,0,IF(LEN(FK114)=11,_xlfn.XLOOKUP(FK114,'Dispensed Ink Rates'!C:C,'Dispensed Ink Rates'!CS:CS),VLOOKUP(FK114,'Jan-2026 rates'!$E:$F,2,0)))</f>
        <v>0</v>
      </c>
      <c r="FV114" s="409"/>
      <c r="FW114" s="398">
        <f>IF(FV114=0,0,IF(LEN(FL114)=11,_xlfn.XLOOKUP(FL114,'Dispensed Ink Rates'!C:C,'Dispensed Ink Rates'!CS:CS),VLOOKUP(FL114,'Jan-2026 rates'!$E:$F,2,0)))</f>
        <v>0</v>
      </c>
      <c r="FX114" s="409"/>
      <c r="FY114" s="398">
        <f>IF(FX114=0,0,IF(LEN(FM114)=11,_xlfn.XLOOKUP(FM114,'Dispensed Ink Rates'!C:C,'Dispensed Ink Rates'!CS:CS),VLOOKUP(FM114,'Jan-2026 rates'!$E:$F,2,0)))</f>
        <v>0</v>
      </c>
      <c r="FZ114" s="409"/>
      <c r="GA114" s="398">
        <f>IF(FZ114=0,0,IF(LEN(FN114)=11,_xlfn.XLOOKUP(FN114,'Dispensed Ink Rates'!C:C,'Dispensed Ink Rates'!CS:CS),VLOOKUP(FN114,'Jan-2026 rates'!$E:$F,2,0)))</f>
        <v>0</v>
      </c>
      <c r="GB114" s="409"/>
      <c r="GC114" s="398">
        <f>IF(GB114=0,0,IF(LEN(FO114)=11,_xlfn.XLOOKUP(FO114,'Dispensed Ink Rates'!C:C,'Dispensed Ink Rates'!CS:CS),VLOOKUP(FO114,'Jan-2026 rates'!$E:$F,2,0)))</f>
        <v>0</v>
      </c>
      <c r="GD114" s="409"/>
      <c r="GE114" s="398">
        <f>IF(GD114=0,0,IF(LEN(FP114)=11,_xlfn.XLOOKUP(FP114,'Dispensed Ink Rates'!C:C,'Dispensed Ink Rates'!CS:CS),VLOOKUP(FP114,'Jan-2026 rates'!$E:$F,2,0)))</f>
        <v>0</v>
      </c>
      <c r="GF114" s="409"/>
      <c r="GG114" s="398">
        <f>IF(GF114=0,0,IF(LEN(FQ114)=11,_xlfn.XLOOKUP(FQ114,'Dispensed Ink Rates'!C:C,'Dispensed Ink Rates'!CS:CS),VLOOKUP(FQ114,'Jan-2026 rates'!$E:$F,2,0)))</f>
        <v>0</v>
      </c>
      <c r="GH114" s="409" t="s">
        <v>1443</v>
      </c>
      <c r="GI114" s="409">
        <v>24</v>
      </c>
      <c r="GJ114" s="411">
        <f t="shared" si="94"/>
        <v>0</v>
      </c>
      <c r="GK114" s="411">
        <f t="shared" si="95"/>
        <v>6.6000000000000014</v>
      </c>
      <c r="GL114" s="410">
        <f t="shared" si="96"/>
        <v>0</v>
      </c>
      <c r="GM114" s="405"/>
      <c r="GN114" s="409"/>
      <c r="GO114" s="420" t="str">
        <f t="shared" si="58"/>
        <v xml:space="preserve"> - </v>
      </c>
      <c r="GP114" s="409"/>
      <c r="GQ114" s="411">
        <f>IF(GP114=0,0,IF($LB114=70%,VLOOKUP($GO114,'Jan-2026 rates'!$L:$R,4,0),IF($LB114=65%,VLOOKUP($GO114,'Jan-2026 rates'!$L:$R,4,0),IF($LB114=40%,VLOOKUP($GO114,'Jan-2026 rates'!$L:$R,5,0),IF($LB114=30%,VLOOKUP($GO114,'Jan-2026 rates'!$L:$R,6,0),IF($LB114=100%,VLOOKUP($GO114,'Jan-2026 rates'!$L:$R,7,0),IF($LB114=60%,VLOOKUP($GO114,'Jan-2026 rates'!$L:$S,8,0),IF($LB114=80%,VLOOKUP($GO114,'Jan-2026 rates'!L:T,9,0),0))))))))</f>
        <v>0</v>
      </c>
      <c r="GR114" s="412"/>
      <c r="GS114" s="409"/>
      <c r="GT114" s="411">
        <f>IF(GS114=0,0,IF($LB114=70%,VLOOKUP($GO114,'Jan-2026 rates'!$L:$R,4,0),IF($LB114=65%,VLOOKUP($GO114,'Jan-2026 rates'!$L:$R,4,0),IF($LB114=40%,VLOOKUP($GO114,'Jan-2026 rates'!$L:$R,5,0),IF($LB114=30%,VLOOKUP($GO114,'Jan-2026 rates'!$L:$R,6,0),IF($LB114=100%,VLOOKUP($GO114,'Jan-2026 rates'!$L:$R,7,0),IF($LB114=60%,VLOOKUP($GO114,'Jan-2026 rates'!$L:$S,8,0),IF($LB114=80%,VLOOKUP($GO114,'Jan-2026 rates'!L:T,9,0),0))))))))</f>
        <v>0</v>
      </c>
      <c r="GU114" s="413"/>
      <c r="GV114" s="413"/>
      <c r="GW114" s="412"/>
      <c r="GX114" s="412"/>
      <c r="GY114" s="412"/>
      <c r="GZ114" s="412"/>
      <c r="HA114" s="412"/>
      <c r="HB114" s="412"/>
      <c r="HC114" s="409"/>
      <c r="HD114" s="398">
        <f>IF(HC114=0,0,IF(LEN(GU114)=11,_xlfn.XLOOKUP(GU114,'Dispensed Ink Rates'!C:C,'Dispensed Ink Rates'!CS:CS),VLOOKUP(GU114,'Jan-2026 rates'!$E:$F,2,0)))</f>
        <v>0</v>
      </c>
      <c r="HE114" s="409"/>
      <c r="HF114" s="398">
        <f>IF(HE114=0,0,IF(LEN(GV114)=11,_xlfn.XLOOKUP(GV114,'Dispensed Ink Rates'!C:C,'Dispensed Ink Rates'!CS:CS),VLOOKUP(GV114,'Jan-2026 rates'!$E:$F,2,0)))</f>
        <v>0</v>
      </c>
      <c r="HG114" s="409"/>
      <c r="HH114" s="398">
        <f>IF(HG114=0,0,IF(LEN(GW114)=11,_xlfn.XLOOKUP(GW114,'Dispensed Ink Rates'!C:C,'Dispensed Ink Rates'!CS:CS),VLOOKUP(GW114,'Jan-2026 rates'!$E:$F,2,0)))</f>
        <v>0</v>
      </c>
      <c r="HI114" s="409"/>
      <c r="HJ114" s="398">
        <f>IF(HI114=0,0,IF(LEN(GX114)=11,_xlfn.XLOOKUP(GX114,'Dispensed Ink Rates'!C:C,'Dispensed Ink Rates'!CS:CS),VLOOKUP(GX114,'Jan-2026 rates'!$E:$F,2,0)))</f>
        <v>0</v>
      </c>
      <c r="HK114" s="409"/>
      <c r="HL114" s="398">
        <f>IF(HK114=0,0,IF(LEN(GY114)=11,_xlfn.XLOOKUP(GY114,'Dispensed Ink Rates'!C:C,'Dispensed Ink Rates'!CS:CS),VLOOKUP(GY114,'Jan-2026 rates'!$E:$F,2,0)))</f>
        <v>0</v>
      </c>
      <c r="HM114" s="409"/>
      <c r="HN114" s="398">
        <f>IF(HM114=0,0,IF(LEN(GZ114)=11,_xlfn.XLOOKUP(GZ114,'Dispensed Ink Rates'!C:C,'Dispensed Ink Rates'!CS:CS),VLOOKUP(GZ114,'Jan-2026 rates'!$E:$F,2,0)))</f>
        <v>0</v>
      </c>
      <c r="HO114" s="409"/>
      <c r="HP114" s="398">
        <f>IF(HO114=0,0,IF(LEN(HA114)=11,_xlfn.XLOOKUP(HA114,'Dispensed Ink Rates'!C:C,'Dispensed Ink Rates'!CS:CS),VLOOKUP(HA114,'Jan-2026 rates'!$E:$F,2,0)))</f>
        <v>0</v>
      </c>
      <c r="HQ114" s="409"/>
      <c r="HR114" s="398">
        <f>IF(HQ114=0,0,IF(LEN(HB114)=11,_xlfn.XLOOKUP(HB114,'Dispensed Ink Rates'!C:C,'Dispensed Ink Rates'!CS:CS),VLOOKUP(HB114,'Jan-2026 rates'!$E:$F,2,0)))</f>
        <v>0</v>
      </c>
      <c r="HS114" s="409"/>
      <c r="HT114" s="409"/>
      <c r="HU114" s="411">
        <f t="shared" si="97"/>
        <v>0</v>
      </c>
      <c r="HV114" s="411">
        <f t="shared" si="98"/>
        <v>0</v>
      </c>
      <c r="HW114" s="414">
        <f t="shared" si="99"/>
        <v>0</v>
      </c>
      <c r="HX114" s="405"/>
      <c r="HY114" s="409"/>
      <c r="HZ114" s="420" t="str">
        <f t="shared" si="59"/>
        <v xml:space="preserve"> - </v>
      </c>
      <c r="IA114" s="409"/>
      <c r="IB114" s="411">
        <f>IF(IA114=0,0,IF($LB114=70%,VLOOKUP($HZ114,'Jan-2026 rates'!$L:$R,4,0),IF($LB114=65%,VLOOKUP($HZ114,'Jan-2026 rates'!$L:$R,4,0),IF($LB114=40%,VLOOKUP($HZ114,'Jan-2026 rates'!$L:$R,5,0),IF($LB114=30%,VLOOKUP($HZ114,'Jan-2026 rates'!$L:$R,6,0),IF($LB114=100%,VLOOKUP($HZ114,'Jan-2026 rates'!$L:$R,7,0),IF($LB114=60%,VLOOKUP($HZ114,'Jan-2026 rates'!$L:$S,8,0),IF($LB114=80%,VLOOKUP($HZ114,'Jan-2026 rates'!L:T,9,0),0))))))))</f>
        <v>0</v>
      </c>
      <c r="IC114" s="412"/>
      <c r="ID114" s="409"/>
      <c r="IE114" s="411">
        <f>IF(ID114=0,0,IF($LB114=70%,VLOOKUP($HZ114,'Jan-2026 rates'!$L:$R,4,0),IF($LB114=65%,VLOOKUP($HZ114,'Jan-2026 rates'!$L:$R,4,0),IF($LB114=40%,VLOOKUP($HZ114,'Jan-2026 rates'!$L:$R,5,0),IF($LB114=30%,VLOOKUP($HZ114,'Jan-2026 rates'!$L:$R,6,0),IF($LB114=100%,VLOOKUP($HZ114,'Jan-2026 rates'!$L:$R,7,0),IF($LB114=60%,VLOOKUP($HZ114,'Jan-2026 rates'!$L:$S,8,0),IF($LB114=80%,VLOOKUP($HZ114,'Jan-2026 rates'!L:T,9,0),0))))))))</f>
        <v>0</v>
      </c>
      <c r="IF114" s="412"/>
      <c r="IG114" s="413"/>
      <c r="IH114" s="412"/>
      <c r="II114" s="412"/>
      <c r="IJ114" s="412"/>
      <c r="IK114" s="412"/>
      <c r="IL114" s="412"/>
      <c r="IM114" s="412"/>
      <c r="IN114" s="409"/>
      <c r="IO114" s="398">
        <f>IF(IN114=0,0,IF(LEN(IF114)=11,_xlfn.XLOOKUP(IF114,'Dispensed Ink Rates'!C:C,'Dispensed Ink Rates'!CS:CS),VLOOKUP(IF114,'Jan-2026 rates'!$E:$F,2,0)))</f>
        <v>0</v>
      </c>
      <c r="IP114" s="409"/>
      <c r="IQ114" s="398">
        <f>IF(IP114=0,0,IF(LEN(IG114)=11,_xlfn.XLOOKUP(IG114,'Dispensed Ink Rates'!C:C,'Dispensed Ink Rates'!CS:CS),VLOOKUP(IG114,'Jan-2026 rates'!$E:$F,2,0)))</f>
        <v>0</v>
      </c>
      <c r="IR114" s="409"/>
      <c r="IS114" s="398">
        <f>IF(IR114=0,0,IF(LEN(IH114)=11,_xlfn.XLOOKUP(IH114,'Dispensed Ink Rates'!C:C,'Dispensed Ink Rates'!CS:CS),VLOOKUP(IH114,'Jan-2026 rates'!$E:$F,2,0)))</f>
        <v>0</v>
      </c>
      <c r="IT114" s="409"/>
      <c r="IU114" s="398">
        <f>IF(IT114=0,0,IF(LEN(II114)=11,_xlfn.XLOOKUP(II114,'Dispensed Ink Rates'!C:C,'Dispensed Ink Rates'!CS:CS),VLOOKUP(II114,'Jan-2026 rates'!$E:$F,2,0)))</f>
        <v>0</v>
      </c>
      <c r="IV114" s="409"/>
      <c r="IW114" s="398">
        <f>IF(IV114=0,0,IF(LEN(IJ114)=11,_xlfn.XLOOKUP(IJ114,'Dispensed Ink Rates'!C:C,'Dispensed Ink Rates'!CS:CS),VLOOKUP(IJ114,'Jan-2026 rates'!$E:$F,2,0)))</f>
        <v>0</v>
      </c>
      <c r="IX114" s="409"/>
      <c r="IY114" s="398">
        <f>IF(IX114=0,0,IF(LEN(IK114)=11,_xlfn.XLOOKUP(IK114,'Dispensed Ink Rates'!C:C,'Dispensed Ink Rates'!CS:CS),VLOOKUP(IK114,'Jan-2026 rates'!$E:$F,2,0)))</f>
        <v>0</v>
      </c>
      <c r="IZ114" s="409"/>
      <c r="JA114" s="398">
        <f>IF(IZ114=0,0,IF(LEN(IL114)=11,_xlfn.XLOOKUP(IL114,'Dispensed Ink Rates'!C:C,'Dispensed Ink Rates'!CS:CS),VLOOKUP(IL114,'Jan-2026 rates'!$E:$F,2,0)))</f>
        <v>0</v>
      </c>
      <c r="JB114" s="409"/>
      <c r="JC114" s="398">
        <f>IF(JB114=0,0,IF(LEN(IM114)=11,_xlfn.XLOOKUP(IM114,'Dispensed Ink Rates'!C:C,'Dispensed Ink Rates'!CS:CS),VLOOKUP(IM114,'Jan-2026 rates'!$E:$F,2,0)))</f>
        <v>0</v>
      </c>
      <c r="JD114" s="409"/>
      <c r="JE114" s="409"/>
      <c r="JF114" s="411">
        <f t="shared" si="100"/>
        <v>0</v>
      </c>
      <c r="JG114" s="411">
        <f t="shared" si="101"/>
        <v>0</v>
      </c>
      <c r="JH114" s="410">
        <f t="shared" si="102"/>
        <v>0</v>
      </c>
      <c r="JI114" s="405"/>
      <c r="JJ114" s="409"/>
      <c r="JK114" s="420" t="str">
        <f t="shared" si="60"/>
        <v xml:space="preserve"> - </v>
      </c>
      <c r="JL114" s="409"/>
      <c r="JM114" s="411">
        <f>IF(JL114=0,0,IF($LB114=70%,VLOOKUP($JK114,'Jan-2026 rates'!$L:$R,4,0),IF($LB114=65%,VLOOKUP($JK114,'Jan-2026 rates'!$L:$R,4,0),IF($LB114=40%,VLOOKUP($JK114,'Jan-2026 rates'!$L:$R,5,0),IF($LB114=30%,VLOOKUP($JK114,'Jan-2026 rates'!$L:$R,6,0),IF($LB114=100%,VLOOKUP($JK114,'Jan-2026 rates'!$L:$R,7,0),IF($LB114=60%,VLOOKUP($JK114,'Jan-2026 rates'!$L:$S,8,0),IF($LB114=80%,VLOOKUP($JK114,'Jan-2026 rates'!L:T,9,0),0))))))))</f>
        <v>0</v>
      </c>
      <c r="JN114" s="412"/>
      <c r="JO114" s="409"/>
      <c r="JP114" s="411">
        <f>IF(JO114=0,0,IF($LB114=70%,VLOOKUP($JK114,'Jan-2026 rates'!$L:$R,4,0),IF($LB114=65%,VLOOKUP($JK114,'Jan-2026 rates'!$L:$R,4,0),IF($LB114=40%,VLOOKUP($JK114,'Jan-2026 rates'!$L:$R,5,0),IF($LB114=30%,VLOOKUP($JK114,'Jan-2026 rates'!$L:$R,6,0),IF($LB114=100%,VLOOKUP($JK114,'Jan-2026 rates'!$L:$R,7,0),IF($LB114=60%,VLOOKUP($JK114,'Jan-2026 rates'!$L:$S,8,0),IF($LB114=80%,VLOOKUP($JK114,'Jan-2026 rates'!L:T,9,0),0))))))))</f>
        <v>0</v>
      </c>
      <c r="JQ114" s="413"/>
      <c r="JR114" s="412"/>
      <c r="JS114" s="413"/>
      <c r="JT114" s="413"/>
      <c r="JU114" s="412"/>
      <c r="JV114" s="412"/>
      <c r="JW114" s="412"/>
      <c r="JX114" s="412"/>
      <c r="JY114" s="409"/>
      <c r="JZ114" s="398">
        <f>IF(JY114=0,0,IF(LEN(JQ114)=11,_xlfn.XLOOKUP(JQ114,'Dispensed Ink Rates'!C:C,'Dispensed Ink Rates'!CS:CS),VLOOKUP(JQ114,'Jan-2026 rates'!$E:$F,2,0)))</f>
        <v>0</v>
      </c>
      <c r="KA114" s="409"/>
      <c r="KB114" s="398">
        <f>IF(KA114=0,0,IF(LEN(JR114)=11,_xlfn.XLOOKUP(JR114,'Dispensed Ink Rates'!C:C,'Dispensed Ink Rates'!CS:CS),VLOOKUP(JR114,'Jan-2026 rates'!$E:$F,2,0)))</f>
        <v>0</v>
      </c>
      <c r="KC114" s="409"/>
      <c r="KD114" s="398">
        <f>IF(KC114=0,0,IF(LEN(JS114)=11,_xlfn.XLOOKUP(JS114,'Dispensed Ink Rates'!C:C,'Dispensed Ink Rates'!CS:CS),VLOOKUP(JS114,'Jan-2026 rates'!$E:$F,2,0)))</f>
        <v>0</v>
      </c>
      <c r="KE114" s="409"/>
      <c r="KF114" s="398">
        <f>IF(KE114=0,0,IF(LEN(JT114)=11,_xlfn.XLOOKUP(JT114,'Dispensed Ink Rates'!C:C,'Dispensed Ink Rates'!CS:CS),VLOOKUP(JT114,'Jan-2026 rates'!$E:$F,2,0)))</f>
        <v>0</v>
      </c>
      <c r="KG114" s="409"/>
      <c r="KH114" s="398">
        <f>IF(KG114=0,0,IF(LEN(JU114)=11,_xlfn.XLOOKUP(JU114,'Dispensed Ink Rates'!C:C,'Dispensed Ink Rates'!CS:CS),VLOOKUP(JU114,'Jan-2026 rates'!$E:$F,2,0)))</f>
        <v>0</v>
      </c>
      <c r="KI114" s="409"/>
      <c r="KJ114" s="398">
        <f>IF(KI114=0,0,IF(LEN(JV114)=11,_xlfn.XLOOKUP(JV114,'Dispensed Ink Rates'!C:C,'Dispensed Ink Rates'!CS:CS),VLOOKUP(JV114,'Jan-2026 rates'!$E:$F,2,0)))</f>
        <v>0</v>
      </c>
      <c r="KK114" s="409"/>
      <c r="KL114" s="398">
        <f>IF(KK114=0,0,IF(LEN(JW114)=11,_xlfn.XLOOKUP(JW114,'Dispensed Ink Rates'!C:C,'Dispensed Ink Rates'!CS:CS),VLOOKUP(JW114,'Jan-2026 rates'!$E:$F,2,0)))</f>
        <v>0</v>
      </c>
      <c r="KM114" s="428"/>
      <c r="KN114" s="398">
        <f>IF(KM114=0,0,IF(LEN(JX114)=11,_xlfn.XLOOKUP(JX114,'Dispensed Ink Rates'!C:C,'Dispensed Ink Rates'!CS:CS),VLOOKUP(JX114,'Jan-2026 rates'!$E:$F,2,0)))</f>
        <v>0</v>
      </c>
      <c r="KO114" s="409"/>
      <c r="KP114" s="409"/>
      <c r="KQ114" s="411">
        <f t="shared" si="103"/>
        <v>0</v>
      </c>
      <c r="KR114" s="411">
        <f t="shared" si="104"/>
        <v>0</v>
      </c>
      <c r="KS114" s="410">
        <f t="shared" si="105"/>
        <v>0</v>
      </c>
      <c r="KT114" s="409">
        <f>30+30</f>
        <v>60</v>
      </c>
      <c r="KU114" s="409">
        <v>15</v>
      </c>
      <c r="KV114" s="409">
        <v>3</v>
      </c>
      <c r="KW114" s="409">
        <v>1</v>
      </c>
      <c r="KX114" s="409">
        <v>1</v>
      </c>
      <c r="KY114" s="409">
        <v>0</v>
      </c>
      <c r="KZ114" s="409">
        <v>0</v>
      </c>
      <c r="LA114" s="409">
        <v>0</v>
      </c>
      <c r="LB114" s="415">
        <v>0.8</v>
      </c>
      <c r="LC114" s="415">
        <v>0.2</v>
      </c>
      <c r="LD114" s="415"/>
      <c r="LE114" s="415"/>
      <c r="LF114" s="415"/>
      <c r="LG114" s="409">
        <v>0</v>
      </c>
      <c r="LH114" s="409">
        <f>60+40+80+20+8</f>
        <v>208</v>
      </c>
      <c r="LI114" s="409">
        <v>0</v>
      </c>
      <c r="LJ114" s="409">
        <v>0</v>
      </c>
      <c r="LK114" s="416">
        <f t="shared" si="61"/>
        <v>208</v>
      </c>
      <c r="LL114" s="416">
        <f t="shared" si="62"/>
        <v>208</v>
      </c>
      <c r="LM114" s="417">
        <f t="shared" si="63"/>
        <v>166.4</v>
      </c>
      <c r="LN114" s="417">
        <f>VLOOKUP($LM$8,'Jan-2026 rates'!$H:$I,2,0)</f>
        <v>0</v>
      </c>
      <c r="LO114" s="417">
        <f t="shared" si="64"/>
        <v>41.6</v>
      </c>
      <c r="LP114" s="417">
        <f>VLOOKUP($LO$8,'Jan-2026 rates'!$H:$I,2,0)</f>
        <v>0</v>
      </c>
      <c r="LQ114" s="417">
        <f t="shared" si="65"/>
        <v>0</v>
      </c>
      <c r="LR114" s="417">
        <f>VLOOKUP($LQ$8,'Jan-2026 rates'!$H:$I,2,0)</f>
        <v>0</v>
      </c>
      <c r="LS114" s="417">
        <f t="shared" si="66"/>
        <v>0</v>
      </c>
      <c r="LT114" s="417">
        <f>VLOOKUP($LS$8,'Jan-2026 rates'!$H:$I,2,0)</f>
        <v>0</v>
      </c>
      <c r="LU114" s="417">
        <f t="shared" si="67"/>
        <v>0</v>
      </c>
      <c r="LV114" s="417">
        <f>VLOOKUP($LU$8,'Jan-2026 rates'!$H:$I,2,0)</f>
        <v>0</v>
      </c>
      <c r="LW114" s="417">
        <f t="shared" si="68"/>
        <v>0</v>
      </c>
      <c r="LX114" s="417">
        <f t="shared" si="69"/>
        <v>0</v>
      </c>
      <c r="LY114" s="418">
        <f t="shared" si="70"/>
        <v>0</v>
      </c>
      <c r="LZ114" s="417"/>
      <c r="MA114" s="435">
        <f t="shared" si="71"/>
        <v>148.5</v>
      </c>
      <c r="MB114" s="282">
        <f t="shared" si="72"/>
        <v>336.50000000000006</v>
      </c>
      <c r="MC114" s="283">
        <v>69</v>
      </c>
      <c r="MD114" s="284" t="str">
        <f t="shared" si="73"/>
        <v>FLINTSLFLINTSLFLINTSLFLINTSLFLINTSL</v>
      </c>
      <c r="ME114" s="293" t="str">
        <f t="shared" si="74"/>
        <v>+</v>
      </c>
      <c r="MF114" s="293" t="str">
        <f t="shared" si="75"/>
        <v>+</v>
      </c>
      <c r="MG114" s="293" t="str">
        <f t="shared" si="76"/>
        <v>+</v>
      </c>
      <c r="MH114" s="293" t="str">
        <f t="shared" si="77"/>
        <v>+</v>
      </c>
      <c r="MI114" s="293" t="str">
        <f t="shared" si="78"/>
        <v>+</v>
      </c>
      <c r="MJ114" s="293" t="str">
        <f t="shared" si="79"/>
        <v>NIL</v>
      </c>
      <c r="MK114" s="293" t="str">
        <f t="shared" si="80"/>
        <v>NIL</v>
      </c>
      <c r="ML114" s="293" t="str">
        <f t="shared" si="81"/>
        <v>NIL</v>
      </c>
      <c r="MM114" s="3" t="b">
        <f t="array" ref="MM114">OR(ME114:ML114="-")</f>
        <v>0</v>
      </c>
      <c r="MN114" s="285"/>
      <c r="MO114" s="401"/>
      <c r="MP114" s="286"/>
      <c r="MQ114" s="286"/>
      <c r="MR114" s="402"/>
      <c r="MS114" s="400"/>
      <c r="NH114" s="422"/>
      <c r="NJ114" s="421"/>
    </row>
    <row r="115" spans="1:374" s="1" customFormat="1" ht="16.5">
      <c r="A115" s="403">
        <v>46032</v>
      </c>
      <c r="B115" s="404" t="s">
        <v>1018</v>
      </c>
      <c r="C115" s="405" t="s">
        <v>3256</v>
      </c>
      <c r="D115" s="406">
        <v>70</v>
      </c>
      <c r="E115" s="404">
        <v>474</v>
      </c>
      <c r="F115" s="407">
        <v>22500</v>
      </c>
      <c r="G115" s="407" t="s">
        <v>1019</v>
      </c>
      <c r="H115" s="408" t="s">
        <v>1017</v>
      </c>
      <c r="I115" s="409">
        <v>1.4</v>
      </c>
      <c r="J115" s="405" t="s">
        <v>543</v>
      </c>
      <c r="K115" s="404" t="s">
        <v>3257</v>
      </c>
      <c r="L115" s="419" t="str">
        <f t="shared" si="54"/>
        <v>FLINTSL - BLACK</v>
      </c>
      <c r="M115" s="404">
        <v>24</v>
      </c>
      <c r="N115" s="410">
        <f>IF(M115=0,0,IF($LB115=70%,VLOOKUP($L115,'Jan-2026 rates'!$L:$R,4,0),IF($LB115=65%,VLOOKUP($L115,'Jan-2026 rates'!$L:$R,4,0),IF($LB115=40%,VLOOKUP($L115,'Jan-2026 rates'!$L:$R,5,0),IF($LB115=30%,VLOOKUP($L115,'Jan-2026 rates'!$L:$R,6,0),IF($LB115=100%,VLOOKUP($L115,'Jan-2026 rates'!$L:$R,7,0),IF($LB115=60%,VLOOKUP($L115,'Jan-2026 rates'!$L:$S,8,0),IF($LB115=80%,VLOOKUP($L115,'Jan-2026 rates'!L:T,9,0),0))))))))</f>
        <v>0</v>
      </c>
      <c r="O115" s="406"/>
      <c r="P115" s="404"/>
      <c r="Q115" s="410">
        <f>IF(P115=0,0,IF($LB115=70%,VLOOKUP($L115,'Jan-2026 rates'!$L:$R,4,0),IF($LB115=65%,VLOOKUP($L115,'Jan-2026 rates'!$L:$R,4,0),IF($LB115=40%,VLOOKUP($L115,'Jan-2026 rates'!$L:$R,5,0),IF($LB115=30%,VLOOKUP($L115,'Jan-2026 rates'!$L:$R,6,0),IF($LB115=100%,VLOOKUP($L115,'Jan-2026 rates'!$L:$R,7,0),IF($LB115=60%,VLOOKUP($L115,'Jan-2026 rates'!$L:$S,8,0),IF($LB115=80%,VLOOKUP($L115,'Jan-2026 rates'!L:T,9,0),0))))))))</f>
        <v>0</v>
      </c>
      <c r="R115" s="406">
        <v>26507000010</v>
      </c>
      <c r="S115" s="406" t="s">
        <v>1266</v>
      </c>
      <c r="T115" s="406"/>
      <c r="U115" s="406"/>
      <c r="V115" s="406"/>
      <c r="W115" s="406"/>
      <c r="X115" s="406"/>
      <c r="Y115" s="406"/>
      <c r="Z115" s="404">
        <v>4</v>
      </c>
      <c r="AA115" s="398" t="e">
        <f>IF(Z115=0,0,IF(LEN(R115)=11,_xlfn.XLOOKUP(R115,'Dispensed Ink Rates'!C:C,'Dispensed Ink Rates'!CS:CS),VLOOKUP(R115,'Jan-2026 rates'!$E:$F,2,0)))</f>
        <v>#N/A</v>
      </c>
      <c r="AB115" s="404">
        <v>5</v>
      </c>
      <c r="AC115" s="398">
        <f>IF(AB115=0,0,IF(LEN(S115)=11,_xlfn.XLOOKUP(S115,'Dispensed Ink Rates'!C:C,'Dispensed Ink Rates'!CS:CS),VLOOKUP(S115,'Jan-2026 rates'!$E:$F,2,0)))</f>
        <v>0</v>
      </c>
      <c r="AD115" s="404"/>
      <c r="AE115" s="398">
        <f>IF(AD115=0,0,IF(LEN(T115)=11,_xlfn.XLOOKUP(T115,'Dispensed Ink Rates'!C:C,'Dispensed Ink Rates'!CS:CS),VLOOKUP(T115,'Jan-2026 rates'!$E:$F,2,0)))</f>
        <v>0</v>
      </c>
      <c r="AF115" s="404"/>
      <c r="AG115" s="398">
        <f>IF(AF115=0,0,IF(LEN(U115)=11,_xlfn.XLOOKUP(U115,'Dispensed Ink Rates'!C:C,'Dispensed Ink Rates'!CS:CS),VLOOKUP(U115,'Jan-2026 rates'!$E:$F,2,0)))</f>
        <v>0</v>
      </c>
      <c r="AH115" s="404"/>
      <c r="AI115" s="398">
        <f>IF(AH115=0,0,IF(LEN(V115)=11,_xlfn.XLOOKUP(V115,'Dispensed Ink Rates'!C:C,'Dispensed Ink Rates'!CS:CS),VLOOKUP(V115,'Jan-2026 rates'!$E:$F,2,0)))</f>
        <v>0</v>
      </c>
      <c r="AJ115" s="404"/>
      <c r="AK115" s="398">
        <f>IF(AJ115=0,0,IF(LEN(W115)=11,_xlfn.XLOOKUP(W115,'Dispensed Ink Rates'!C:C,'Dispensed Ink Rates'!CS:CS),VLOOKUP(W115,'Jan-2026 rates'!$E:$F,2,0)))</f>
        <v>0</v>
      </c>
      <c r="AL115" s="404"/>
      <c r="AM115" s="398">
        <f>IF(AL115=0,0,IF(LEN(X115)=11,_xlfn.XLOOKUP(X115,'Dispensed Ink Rates'!C:C,'Dispensed Ink Rates'!CS:CS),VLOOKUP(X115,'Jan-2026 rates'!$E:$F,2,0)))</f>
        <v>0</v>
      </c>
      <c r="AN115" s="404"/>
      <c r="AO115" s="398">
        <f>IF(AN115=0,0,IF(LEN(Y115)=11,_xlfn.XLOOKUP(Y115,'Dispensed Ink Rates'!C:C,'Dispensed Ink Rates'!CS:CS),VLOOKUP(Y115,'Jan-2026 rates'!$E:$F,2,0)))</f>
        <v>0</v>
      </c>
      <c r="AP115" s="409" t="s">
        <v>1443</v>
      </c>
      <c r="AQ115" s="409">
        <v>30</v>
      </c>
      <c r="AR115" s="410">
        <f t="shared" si="82"/>
        <v>0</v>
      </c>
      <c r="AS115" s="411">
        <f t="shared" si="83"/>
        <v>15.909090909090907</v>
      </c>
      <c r="AT115" s="410">
        <f t="shared" si="84"/>
        <v>0</v>
      </c>
      <c r="AU115" s="405" t="s">
        <v>548</v>
      </c>
      <c r="AV115" s="409" t="s">
        <v>3258</v>
      </c>
      <c r="AW115" s="420" t="str">
        <f t="shared" si="53"/>
        <v>INK PRODUCT - GOLD</v>
      </c>
      <c r="AX115" s="409">
        <v>20</v>
      </c>
      <c r="AY115" s="411">
        <f>IF(AX115=0,0,IF($LB115=70%,VLOOKUP($AW115,'Jan-2026 rates'!$L:$R,4,0),IF($LB115=65%,VLOOKUP($AW115,'Jan-2026 rates'!$L:$R,4,0),IF($LB115=40%,VLOOKUP($AW115,'Jan-2026 rates'!$L:$R,5,0),IF($LB115=30%,VLOOKUP($AW115,'Jan-2026 rates'!$L:$R,6,0),IF($LB115=100%,VLOOKUP($AW115,'Jan-2026 rates'!$L:$R,7,0),IF($LB115=60%,VLOOKUP($AW115,'Jan-2026 rates'!$L:$S,8,0),IF($LB115=80%,VLOOKUP($AW115,'Jan-2026 rates'!L:T,9,0),0))))))))</f>
        <v>0</v>
      </c>
      <c r="AZ115" s="412"/>
      <c r="BA115" s="409"/>
      <c r="BB115" s="411">
        <f>IF(BA115=0,0,IF($LB115=70%,VLOOKUP($AW115,'Jan-2026 rates'!$L:$R,4,0),IF($LB115=65%,VLOOKUP($AW115,'Jan-2026 rates'!$L:$R,4,0),IF($LB115=40%,VLOOKUP($AW115,'Jan-2026 rates'!$L:$R,5,0),IF($LB115=30%,VLOOKUP($AW115,'Jan-2026 rates'!$L:$R,6,0),IF($LB115=100%,VLOOKUP($AW115,'Jan-2026 rates'!$L:$R,7,0),IF($LB115=60%,VLOOKUP($AW115,'Jan-2026 rates'!$L:$S,8,0),IF($LB115=80%,VLOOKUP($AW115,'Jan-2026 rates'!L:T,9,0),0))))))))</f>
        <v>0</v>
      </c>
      <c r="BC115" s="413" t="s">
        <v>1340</v>
      </c>
      <c r="BD115" s="412"/>
      <c r="BE115" s="412"/>
      <c r="BF115" s="413"/>
      <c r="BG115" s="412"/>
      <c r="BH115" s="412"/>
      <c r="BI115" s="412"/>
      <c r="BJ115" s="412"/>
      <c r="BK115" s="409">
        <v>3</v>
      </c>
      <c r="BL115" s="398">
        <f>IF(BK115=0,0,IF(LEN(BC115)=11,_xlfn.XLOOKUP(BC115,'Dispensed Ink Rates'!C:C,'Dispensed Ink Rates'!CS:CS),VLOOKUP(BC115,'Jan-2026 rates'!$E:$F,2,0)))</f>
        <v>0</v>
      </c>
      <c r="BM115" s="409"/>
      <c r="BN115" s="398">
        <f>IF(BM115=0,0,IF(LEN(BD115)=11,_xlfn.XLOOKUP(BD115,'Dispensed Ink Rates'!C:C,'Dispensed Ink Rates'!CS:CS),VLOOKUP(BD115,'Jan-2026 rates'!$E:$F,2,0)))</f>
        <v>0</v>
      </c>
      <c r="BO115" s="409"/>
      <c r="BP115" s="398">
        <f>IF(BO115=0,0,IF(LEN(BE115)=11,_xlfn.XLOOKUP(BE115,'Dispensed Ink Rates'!C:C,'Dispensed Ink Rates'!CS:CS),VLOOKUP(BE115,'Jan-2026 rates'!$E:$F,2,0)))</f>
        <v>0</v>
      </c>
      <c r="BQ115" s="409"/>
      <c r="BR115" s="398">
        <f>IF(BQ115=0,0,IF(LEN(BF115)=11,_xlfn.XLOOKUP(BF115,'Dispensed Ink Rates'!C:C,'Dispensed Ink Rates'!CS:CS),VLOOKUP(BF115,'Jan-2026 rates'!$E:$F,2,0)))</f>
        <v>0</v>
      </c>
      <c r="BS115" s="409"/>
      <c r="BT115" s="398">
        <f>IF(BS115=0,0,IF(LEN(BG115)=11,_xlfn.XLOOKUP(BG115,'Dispensed Ink Rates'!C:C,'Dispensed Ink Rates'!CS:CS),VLOOKUP(BG115,'Jan-2026 rates'!$E:$F,2,0)))</f>
        <v>0</v>
      </c>
      <c r="BU115" s="409"/>
      <c r="BV115" s="398">
        <f>IF(BU115=0,0,IF(LEN(BH115)=11,_xlfn.XLOOKUP(BH115,'Dispensed Ink Rates'!C:C,'Dispensed Ink Rates'!CS:CS),VLOOKUP(BH115,'Jan-2026 rates'!$E:$F,2,0)))</f>
        <v>0</v>
      </c>
      <c r="BW115" s="409"/>
      <c r="BX115" s="398">
        <f>IF(BW115=0,0,IF(LEN(BI115)=11,_xlfn.XLOOKUP(BI115,'Dispensed Ink Rates'!C:C,'Dispensed Ink Rates'!CS:CS),VLOOKUP(BI115,'Jan-2026 rates'!$E:$F,2,0)))</f>
        <v>0</v>
      </c>
      <c r="BY115" s="409"/>
      <c r="BZ115" s="398">
        <f>IF(BY115=0,0,IF(LEN(BJ115)=11,_xlfn.XLOOKUP(BJ115,'Dispensed Ink Rates'!C:C,'Dispensed Ink Rates'!CS:CS),VLOOKUP(BJ115,'Jan-2026 rates'!$E:$F,2,0)))</f>
        <v>0</v>
      </c>
      <c r="CA115" s="409" t="s">
        <v>719</v>
      </c>
      <c r="CB115" s="409">
        <v>20</v>
      </c>
      <c r="CC115" s="411">
        <f t="shared" si="85"/>
        <v>0</v>
      </c>
      <c r="CD115" s="411">
        <f t="shared" si="86"/>
        <v>9.4545454545454533</v>
      </c>
      <c r="CE115" s="410">
        <f t="shared" si="87"/>
        <v>0</v>
      </c>
      <c r="CF115" s="404" t="s">
        <v>543</v>
      </c>
      <c r="CG115" s="409"/>
      <c r="CH115" s="420" t="str">
        <f t="shared" si="55"/>
        <v>FLINTSL - BLACK</v>
      </c>
      <c r="CI115" s="409"/>
      <c r="CJ115" s="411">
        <f>IF(CI115=0,0,IF($LB115=70%,VLOOKUP($CH115,'Jan-2026 rates'!$L:$R,4,0),IF($LB115=65%,VLOOKUP($CH115,'Jan-2026 rates'!$L:$R,4,0),IF($LB115=40%,VLOOKUP($CH115,'Jan-2026 rates'!$L:$R,5,0),IF($LB115=30%,VLOOKUP($CH115,'Jan-2026 rates'!$L:$R,6,0),IF($LB115=100%,VLOOKUP($CH115,'Jan-2026 rates'!$L:$R,7,0),IF($LB115=60%,VLOOKUP($CH115,'Jan-2026 rates'!$L:$S,8,0),IF($LB115=80%,VLOOKUP($CH115,'Jan-2026 rates'!L:T,9,0),0))))))))</f>
        <v>0</v>
      </c>
      <c r="CK115" s="412"/>
      <c r="CL115" s="409"/>
      <c r="CM115" s="411">
        <f>IF(CL115=0,0,IF($LB115=70%,VLOOKUP($CH115,'Jan-2026 rates'!$L:$R,4,0),IF($LB115=65%,VLOOKUP($CH115,'Jan-2026 rates'!$L:$R,4,0),IF($LB115=40%,VLOOKUP($CH115,'Jan-2026 rates'!$L:$R,5,0),IF($LB115=30%,VLOOKUP($CH115,'Jan-2026 rates'!$L:$R,6,0),IF($LB115=100%,VLOOKUP($CH115,'Jan-2026 rates'!$L:$R,7,0),IF($LB115=60%,VLOOKUP($CH115,'Jan-2026 rates'!$L:$S,8,0),IF($LB115=80%,VLOOKUP($CH115,'Jan-2026 rates'!L:T,9,0),0))))))))</f>
        <v>0</v>
      </c>
      <c r="CN115" s="426">
        <v>26510000015</v>
      </c>
      <c r="CO115" s="427">
        <v>26510000014</v>
      </c>
      <c r="CP115" s="426">
        <v>26510000017</v>
      </c>
      <c r="CQ115" s="426"/>
      <c r="CR115" s="428"/>
      <c r="CS115" s="428"/>
      <c r="CT115" s="428"/>
      <c r="CU115" s="428"/>
      <c r="CV115" s="409">
        <v>40</v>
      </c>
      <c r="CW115" s="398" t="e">
        <f>IF(CV115=0,0,IF(LEN(CN115)=11,_xlfn.XLOOKUP(CN115,'Dispensed Ink Rates'!C:C,'Dispensed Ink Rates'!CS:CS),VLOOKUP(CN115,'Jan-2026 rates'!$E:$F,2,0)))</f>
        <v>#N/A</v>
      </c>
      <c r="CX115" s="409">
        <v>30</v>
      </c>
      <c r="CY115" s="398" t="e">
        <f>IF(CX115=0,0,IF(LEN(CO115)=11,_xlfn.XLOOKUP(CO115,'Dispensed Ink Rates'!C:C,'Dispensed Ink Rates'!CS:CS),VLOOKUP(CO115,'Jan-2026 rates'!$E:$F,2,0)))</f>
        <v>#N/A</v>
      </c>
      <c r="CZ115" s="409">
        <v>30</v>
      </c>
      <c r="DA115" s="398" t="e">
        <f>IF(CZ115=0,0,IF(LEN(CP115)=11,_xlfn.XLOOKUP(CP115,'Dispensed Ink Rates'!C:C,'Dispensed Ink Rates'!CS:CS),VLOOKUP(CP115,'Jan-2026 rates'!$E:$F,2,0)))</f>
        <v>#N/A</v>
      </c>
      <c r="DB115" s="409"/>
      <c r="DC115" s="398">
        <f>IF(DB115=0,0,IF(LEN(CQ115)=11,_xlfn.XLOOKUP(CQ115,'Dispensed Ink Rates'!C:C,'Dispensed Ink Rates'!CS:CS),VLOOKUP(CQ115,'Jan-2026 rates'!$E:$F,2,0)))</f>
        <v>0</v>
      </c>
      <c r="DD115" s="409"/>
      <c r="DE115" s="398">
        <f>IF(DD115=0,0,IF(LEN(CR115)=11,_xlfn.XLOOKUP(CR115,'Dispensed Ink Rates'!C:C,'Dispensed Ink Rates'!CS:CS),VLOOKUP(CR115,'Jan-2026 rates'!$E:$F,2,0)))</f>
        <v>0</v>
      </c>
      <c r="DF115" s="409"/>
      <c r="DG115" s="398">
        <f>IF(DF115=0,0,IF(LEN(CS115)=11,_xlfn.XLOOKUP(CS115,'Dispensed Ink Rates'!C:C,'Dispensed Ink Rates'!CS:CS),VLOOKUP(CS115,'Jan-2026 rates'!$E:$F,2,0)))</f>
        <v>0</v>
      </c>
      <c r="DH115" s="409"/>
      <c r="DI115" s="398">
        <f>IF(DH115=0,0,IF(LEN(CT115)=11,_xlfn.XLOOKUP(CT115,'Dispensed Ink Rates'!C:C,'Dispensed Ink Rates'!CS:CS),VLOOKUP(CT115,'Jan-2026 rates'!$E:$F,2,0)))</f>
        <v>0</v>
      </c>
      <c r="DJ115" s="409"/>
      <c r="DK115" s="398">
        <f>IF(DJ115=0,0,IF(LEN(CU115)=11,_xlfn.XLOOKUP(CU115,'Dispensed Ink Rates'!C:C,'Dispensed Ink Rates'!CS:CS),VLOOKUP(CU115,'Jan-2026 rates'!$E:$F,2,0)))</f>
        <v>0</v>
      </c>
      <c r="DL115" s="409" t="s">
        <v>1443</v>
      </c>
      <c r="DM115" s="409">
        <v>41</v>
      </c>
      <c r="DN115" s="411">
        <f t="shared" si="88"/>
        <v>0</v>
      </c>
      <c r="DO115" s="411">
        <f t="shared" si="89"/>
        <v>59</v>
      </c>
      <c r="DP115" s="410">
        <f t="shared" si="90"/>
        <v>0</v>
      </c>
      <c r="DQ115" s="405" t="s">
        <v>546</v>
      </c>
      <c r="DR115" s="409" t="s">
        <v>3240</v>
      </c>
      <c r="DS115" s="420" t="str">
        <f t="shared" si="56"/>
        <v>FLINTSL - REFLEX BLUE</v>
      </c>
      <c r="DT115" s="409">
        <v>15</v>
      </c>
      <c r="DU115" s="411">
        <f>IF(DT115=0,0,IF($LB115=70%,VLOOKUP($DS115,'Jan-2026 rates'!$L:$R,4,0),IF($LB115=65%,VLOOKUP($DS115,'Jan-2026 rates'!$L:$R,4,0),IF($LB115=40%,VLOOKUP($DS115,'Jan-2026 rates'!$L:$R,5,0),IF($LB115=30%,VLOOKUP($DS115,'Jan-2026 rates'!$L:$R,6,0),IF($LB115=100%,VLOOKUP($DS115,'Jan-2026 rates'!$L:$R,7,0),IF($LB115=60%,VLOOKUP($DS115,'Jan-2026 rates'!$L:$S,8,0),IF($LB115=80%,VLOOKUP($DS115,'Jan-2026 rates'!L:T,9,0),0))))))))</f>
        <v>0</v>
      </c>
      <c r="DV115" s="412" t="s">
        <v>3259</v>
      </c>
      <c r="DW115" s="409">
        <v>10</v>
      </c>
      <c r="DX115" s="411">
        <f>IF(DW115=0,0,IF($LB115=70%,VLOOKUP($DS115,'Jan-2026 rates'!$L:$R,4,0),IF($LB115=65%,VLOOKUP($DS115,'Jan-2026 rates'!$L:$R,4,0),IF($LB115=40%,VLOOKUP($DS115,'Jan-2026 rates'!$L:$R,5,0),IF($LB115=30%,VLOOKUP($DS115,'Jan-2026 rates'!$L:$R,6,0),IF($LB115=100%,VLOOKUP($DS115,'Jan-2026 rates'!$L:$R,7,0),IF($LB115=60%,VLOOKUP($DS115,'Jan-2026 rates'!$L:$S,8,0),IF($LB115=80%,VLOOKUP($DS115,'Jan-2026 rates'!L:T,9,0),0))))))))</f>
        <v>0</v>
      </c>
      <c r="DY115" s="413">
        <v>26512000010</v>
      </c>
      <c r="DZ115" s="413">
        <v>26507000010</v>
      </c>
      <c r="EA115" s="412"/>
      <c r="EB115" s="412"/>
      <c r="EC115" s="412"/>
      <c r="ED115" s="412"/>
      <c r="EE115" s="412"/>
      <c r="EF115" s="412"/>
      <c r="EG115" s="409">
        <v>3</v>
      </c>
      <c r="EH115" s="398" t="e">
        <f>IF(EG115=0,0,IF(LEN(DY115)=11,_xlfn.XLOOKUP(DY115,'Dispensed Ink Rates'!C:C,'Dispensed Ink Rates'!CS:CS),VLOOKUP(DY115,'Jan-2026 rates'!$E:$F,2,0)))</f>
        <v>#N/A</v>
      </c>
      <c r="EI115" s="409">
        <v>1</v>
      </c>
      <c r="EJ115" s="398" t="e">
        <f>IF(EI115=0,0,IF(LEN(DZ115)=11,_xlfn.XLOOKUP(DZ115,'Dispensed Ink Rates'!C:C,'Dispensed Ink Rates'!CS:CS),VLOOKUP(DZ115,'Jan-2026 rates'!$E:$F,2,0)))</f>
        <v>#N/A</v>
      </c>
      <c r="EK115" s="409"/>
      <c r="EL115" s="398">
        <f>IF(EK115=0,0,IF(LEN(EA115)=11,_xlfn.XLOOKUP(EA115,'Dispensed Ink Rates'!C:C,'Dispensed Ink Rates'!CS:CS),VLOOKUP(EA115,'Jan-2026 rates'!$E:$F,2,0)))</f>
        <v>0</v>
      </c>
      <c r="EM115" s="409"/>
      <c r="EN115" s="398">
        <f>IF(EM115=0,0,IF(LEN(EB115)=11,_xlfn.XLOOKUP(EB115,'Dispensed Ink Rates'!C:C,'Dispensed Ink Rates'!CS:CS),VLOOKUP(EB115,'Jan-2026 rates'!$E:$F,2,0)))</f>
        <v>0</v>
      </c>
      <c r="EO115" s="409"/>
      <c r="EP115" s="398">
        <f>IF(EO115=0,0,IF(LEN(EC115)=11,_xlfn.XLOOKUP(EC115,'Dispensed Ink Rates'!C:C,'Dispensed Ink Rates'!CS:CS),VLOOKUP(EC115,'Jan-2026 rates'!$E:$F,2,0)))</f>
        <v>0</v>
      </c>
      <c r="EQ115" s="409"/>
      <c r="ER115" s="398">
        <f>IF(EQ115=0,0,IF(LEN(ED115)=11,_xlfn.XLOOKUP(ED115,'Dispensed Ink Rates'!C:C,'Dispensed Ink Rates'!CS:CS),VLOOKUP(ED115,'Jan-2026 rates'!$E:$F,2,0)))</f>
        <v>0</v>
      </c>
      <c r="ES115" s="409"/>
      <c r="ET115" s="398">
        <f>IF(ES115=0,0,IF(LEN(EE115)=11,_xlfn.XLOOKUP(EE115,'Dispensed Ink Rates'!C:C,'Dispensed Ink Rates'!CS:CS),VLOOKUP(EE115,'Jan-2026 rates'!$E:$F,2,0)))</f>
        <v>0</v>
      </c>
      <c r="EU115" s="409"/>
      <c r="EV115" s="398">
        <f>IF(EU115=0,0,IF(LEN(EF115)=11,_xlfn.XLOOKUP(EF115,'Dispensed Ink Rates'!C:C,'Dispensed Ink Rates'!CS:CS),VLOOKUP(EF115,'Jan-2026 rates'!$E:$F,2,0)))</f>
        <v>0</v>
      </c>
      <c r="EW115" s="409" t="s">
        <v>1443</v>
      </c>
      <c r="EX115" s="409">
        <v>27</v>
      </c>
      <c r="EY115" s="411">
        <f t="shared" si="91"/>
        <v>0</v>
      </c>
      <c r="EZ115" s="411">
        <f t="shared" si="92"/>
        <v>11.68181818181818</v>
      </c>
      <c r="FA115" s="410">
        <f t="shared" si="93"/>
        <v>0</v>
      </c>
      <c r="FB115" s="405" t="s">
        <v>855</v>
      </c>
      <c r="FC115" s="409" t="s">
        <v>3260</v>
      </c>
      <c r="FD115" s="420" t="str">
        <f t="shared" si="57"/>
        <v>FLINTSL - CYAN</v>
      </c>
      <c r="FE115" s="409">
        <v>24</v>
      </c>
      <c r="FF115" s="411">
        <f>IF(FE115=0,0,IF($LB115=70%,VLOOKUP($FD115,'Jan-2026 rates'!$L:$R,4,0),IF($LB115=65%,VLOOKUP($FD115,'Jan-2026 rates'!$L:$R,4,0),IF($LB115=40%,VLOOKUP($FD115,'Jan-2026 rates'!$L:$R,5,0),IF($LB115=30%,VLOOKUP($FD115,'Jan-2026 rates'!$L:$R,6,0),IF($LB115=100%,VLOOKUP($FD115,'Jan-2026 rates'!$L:$R,7,0),IF($LB115=60%,VLOOKUP($FD115,'Jan-2026 rates'!$L:$S,8,0),IF($LB115=80%,VLOOKUP($FD115,'Jan-2026 rates'!L:T,9,0),0))))))))</f>
        <v>0</v>
      </c>
      <c r="FG115" s="412"/>
      <c r="FH115" s="409"/>
      <c r="FI115" s="411">
        <f>IF(FH115=0,0,IF($LB115=70%,VLOOKUP($FD115,'Jan-2026 rates'!$L:$R,4,0),IF($LB115=65%,VLOOKUP($FD115,'Jan-2026 rates'!$L:$R,4,0),IF($LB115=40%,VLOOKUP($FD115,'Jan-2026 rates'!$L:$R,5,0),IF($LB115=30%,VLOOKUP($FD115,'Jan-2026 rates'!$L:$R,6,0),IF($LB115=100%,VLOOKUP($FD115,'Jan-2026 rates'!$L:$R,7,0),IF($LB115=60%,VLOOKUP($FD115,'Jan-2026 rates'!$L:$S,8,0),IF($LB115=80%,VLOOKUP($FD115,'Jan-2026 rates'!L:T,9,0),0))))))))</f>
        <v>0</v>
      </c>
      <c r="FJ115" s="413">
        <v>26507000018</v>
      </c>
      <c r="FK115" s="413"/>
      <c r="FL115" s="413"/>
      <c r="FM115" s="412"/>
      <c r="FN115" s="412"/>
      <c r="FO115" s="412"/>
      <c r="FP115" s="412"/>
      <c r="FQ115" s="412"/>
      <c r="FR115" s="409">
        <v>5</v>
      </c>
      <c r="FS115" s="398" t="e">
        <f>IF(FR115=0,0,IF(LEN(FJ115)=11,_xlfn.XLOOKUP(FJ115,'Dispensed Ink Rates'!C:C,'Dispensed Ink Rates'!CS:CS),VLOOKUP(FJ115,'Jan-2026 rates'!$E:$F,2,0)))</f>
        <v>#N/A</v>
      </c>
      <c r="FT115" s="409"/>
      <c r="FU115" s="398">
        <f>IF(FT115=0,0,IF(LEN(FK115)=11,_xlfn.XLOOKUP(FK115,'Dispensed Ink Rates'!C:C,'Dispensed Ink Rates'!CS:CS),VLOOKUP(FK115,'Jan-2026 rates'!$E:$F,2,0)))</f>
        <v>0</v>
      </c>
      <c r="FV115" s="409"/>
      <c r="FW115" s="398">
        <f>IF(FV115=0,0,IF(LEN(FL115)=11,_xlfn.XLOOKUP(FL115,'Dispensed Ink Rates'!C:C,'Dispensed Ink Rates'!CS:CS),VLOOKUP(FL115,'Jan-2026 rates'!$E:$F,2,0)))</f>
        <v>0</v>
      </c>
      <c r="FX115" s="409"/>
      <c r="FY115" s="398">
        <f>IF(FX115=0,0,IF(LEN(FM115)=11,_xlfn.XLOOKUP(FM115,'Dispensed Ink Rates'!C:C,'Dispensed Ink Rates'!CS:CS),VLOOKUP(FM115,'Jan-2026 rates'!$E:$F,2,0)))</f>
        <v>0</v>
      </c>
      <c r="FZ115" s="409"/>
      <c r="GA115" s="398">
        <f>IF(FZ115=0,0,IF(LEN(FN115)=11,_xlfn.XLOOKUP(FN115,'Dispensed Ink Rates'!C:C,'Dispensed Ink Rates'!CS:CS),VLOOKUP(FN115,'Jan-2026 rates'!$E:$F,2,0)))</f>
        <v>0</v>
      </c>
      <c r="GB115" s="409"/>
      <c r="GC115" s="398">
        <f>IF(GB115=0,0,IF(LEN(FO115)=11,_xlfn.XLOOKUP(FO115,'Dispensed Ink Rates'!C:C,'Dispensed Ink Rates'!CS:CS),VLOOKUP(FO115,'Jan-2026 rates'!$E:$F,2,0)))</f>
        <v>0</v>
      </c>
      <c r="GD115" s="409"/>
      <c r="GE115" s="398">
        <f>IF(GD115=0,0,IF(LEN(FP115)=11,_xlfn.XLOOKUP(FP115,'Dispensed Ink Rates'!C:C,'Dispensed Ink Rates'!CS:CS),VLOOKUP(FP115,'Jan-2026 rates'!$E:$F,2,0)))</f>
        <v>0</v>
      </c>
      <c r="GF115" s="409"/>
      <c r="GG115" s="398">
        <f>IF(GF115=0,0,IF(LEN(FQ115)=11,_xlfn.XLOOKUP(FQ115,'Dispensed Ink Rates'!C:C,'Dispensed Ink Rates'!CS:CS),VLOOKUP(FQ115,'Jan-2026 rates'!$E:$F,2,0)))</f>
        <v>0</v>
      </c>
      <c r="GH115" s="409" t="s">
        <v>1443</v>
      </c>
      <c r="GI115" s="409">
        <v>27</v>
      </c>
      <c r="GJ115" s="411">
        <f t="shared" si="94"/>
        <v>0</v>
      </c>
      <c r="GK115" s="411">
        <f t="shared" si="95"/>
        <v>11.68181818181818</v>
      </c>
      <c r="GL115" s="410">
        <f t="shared" si="96"/>
        <v>0</v>
      </c>
      <c r="GM115" s="405" t="s">
        <v>544</v>
      </c>
      <c r="GN115" s="409" t="s">
        <v>3261</v>
      </c>
      <c r="GO115" s="420" t="str">
        <f t="shared" si="58"/>
        <v>FLINTSL - MAGENTA</v>
      </c>
      <c r="GP115" s="409">
        <v>30</v>
      </c>
      <c r="GQ115" s="411">
        <f>IF(GP115=0,0,IF($LB115=70%,VLOOKUP($GO115,'Jan-2026 rates'!$L:$R,4,0),IF($LB115=65%,VLOOKUP($GO115,'Jan-2026 rates'!$L:$R,4,0),IF($LB115=40%,VLOOKUP($GO115,'Jan-2026 rates'!$L:$R,5,0),IF($LB115=30%,VLOOKUP($GO115,'Jan-2026 rates'!$L:$R,6,0),IF($LB115=100%,VLOOKUP($GO115,'Jan-2026 rates'!$L:$R,7,0),IF($LB115=60%,VLOOKUP($GO115,'Jan-2026 rates'!$L:$S,8,0),IF($LB115=80%,VLOOKUP($GO115,'Jan-2026 rates'!L:T,9,0),0))))))))</f>
        <v>0</v>
      </c>
      <c r="GR115" s="412"/>
      <c r="GS115" s="409"/>
      <c r="GT115" s="411">
        <f>IF(GS115=0,0,IF($LB115=70%,VLOOKUP($GO115,'Jan-2026 rates'!$L:$R,4,0),IF($LB115=65%,VLOOKUP($GO115,'Jan-2026 rates'!$L:$R,4,0),IF($LB115=40%,VLOOKUP($GO115,'Jan-2026 rates'!$L:$R,5,0),IF($LB115=30%,VLOOKUP($GO115,'Jan-2026 rates'!$L:$R,6,0),IF($LB115=100%,VLOOKUP($GO115,'Jan-2026 rates'!$L:$R,7,0),IF($LB115=60%,VLOOKUP($GO115,'Jan-2026 rates'!$L:$S,8,0),IF($LB115=80%,VLOOKUP($GO115,'Jan-2026 rates'!L:T,9,0),0))))))))</f>
        <v>0</v>
      </c>
      <c r="GU115" s="413">
        <v>26512000010</v>
      </c>
      <c r="GV115" s="413"/>
      <c r="GW115" s="412"/>
      <c r="GX115" s="412"/>
      <c r="GY115" s="412"/>
      <c r="GZ115" s="412"/>
      <c r="HA115" s="412"/>
      <c r="HB115" s="412"/>
      <c r="HC115" s="409">
        <v>5</v>
      </c>
      <c r="HD115" s="398" t="e">
        <f>IF(HC115=0,0,IF(LEN(GU115)=11,_xlfn.XLOOKUP(GU115,'Dispensed Ink Rates'!C:C,'Dispensed Ink Rates'!CS:CS),VLOOKUP(GU115,'Jan-2026 rates'!$E:$F,2,0)))</f>
        <v>#N/A</v>
      </c>
      <c r="HE115" s="409"/>
      <c r="HF115" s="398">
        <f>IF(HE115=0,0,IF(LEN(GV115)=11,_xlfn.XLOOKUP(GV115,'Dispensed Ink Rates'!C:C,'Dispensed Ink Rates'!CS:CS),VLOOKUP(GV115,'Jan-2026 rates'!$E:$F,2,0)))</f>
        <v>0</v>
      </c>
      <c r="HG115" s="409"/>
      <c r="HH115" s="398">
        <f>IF(HG115=0,0,IF(LEN(GW115)=11,_xlfn.XLOOKUP(GW115,'Dispensed Ink Rates'!C:C,'Dispensed Ink Rates'!CS:CS),VLOOKUP(GW115,'Jan-2026 rates'!$E:$F,2,0)))</f>
        <v>0</v>
      </c>
      <c r="HI115" s="409"/>
      <c r="HJ115" s="398">
        <f>IF(HI115=0,0,IF(LEN(GX115)=11,_xlfn.XLOOKUP(GX115,'Dispensed Ink Rates'!C:C,'Dispensed Ink Rates'!CS:CS),VLOOKUP(GX115,'Jan-2026 rates'!$E:$F,2,0)))</f>
        <v>0</v>
      </c>
      <c r="HK115" s="409"/>
      <c r="HL115" s="398">
        <f>IF(HK115=0,0,IF(LEN(GY115)=11,_xlfn.XLOOKUP(GY115,'Dispensed Ink Rates'!C:C,'Dispensed Ink Rates'!CS:CS),VLOOKUP(GY115,'Jan-2026 rates'!$E:$F,2,0)))</f>
        <v>0</v>
      </c>
      <c r="HM115" s="409"/>
      <c r="HN115" s="398">
        <f>IF(HM115=0,0,IF(LEN(GZ115)=11,_xlfn.XLOOKUP(GZ115,'Dispensed Ink Rates'!C:C,'Dispensed Ink Rates'!CS:CS),VLOOKUP(GZ115,'Jan-2026 rates'!$E:$F,2,0)))</f>
        <v>0</v>
      </c>
      <c r="HO115" s="409"/>
      <c r="HP115" s="398">
        <f>IF(HO115=0,0,IF(LEN(HA115)=11,_xlfn.XLOOKUP(HA115,'Dispensed Ink Rates'!C:C,'Dispensed Ink Rates'!CS:CS),VLOOKUP(HA115,'Jan-2026 rates'!$E:$F,2,0)))</f>
        <v>0</v>
      </c>
      <c r="HQ115" s="409"/>
      <c r="HR115" s="398">
        <f>IF(HQ115=0,0,IF(LEN(HB115)=11,_xlfn.XLOOKUP(HB115,'Dispensed Ink Rates'!C:C,'Dispensed Ink Rates'!CS:CS),VLOOKUP(HB115,'Jan-2026 rates'!$E:$F,2,0)))</f>
        <v>0</v>
      </c>
      <c r="HS115" s="409" t="s">
        <v>1443</v>
      </c>
      <c r="HT115" s="409">
        <v>30</v>
      </c>
      <c r="HU115" s="411">
        <f t="shared" si="97"/>
        <v>0</v>
      </c>
      <c r="HV115" s="411">
        <f t="shared" si="98"/>
        <v>11.454545454545453</v>
      </c>
      <c r="HW115" s="414">
        <f t="shared" si="99"/>
        <v>0</v>
      </c>
      <c r="HX115" s="405" t="s">
        <v>545</v>
      </c>
      <c r="HY115" s="409" t="s">
        <v>3262</v>
      </c>
      <c r="HZ115" s="420" t="str">
        <f t="shared" si="59"/>
        <v>FLINTSL - YELLOW</v>
      </c>
      <c r="IA115" s="409">
        <v>26</v>
      </c>
      <c r="IB115" s="411">
        <f>IF(IA115=0,0,IF($LB115=70%,VLOOKUP($HZ115,'Jan-2026 rates'!$L:$R,4,0),IF($LB115=65%,VLOOKUP($HZ115,'Jan-2026 rates'!$L:$R,4,0),IF($LB115=40%,VLOOKUP($HZ115,'Jan-2026 rates'!$L:$R,5,0),IF($LB115=30%,VLOOKUP($HZ115,'Jan-2026 rates'!$L:$R,6,0),IF($LB115=100%,VLOOKUP($HZ115,'Jan-2026 rates'!$L:$R,7,0),IF($LB115=60%,VLOOKUP($HZ115,'Jan-2026 rates'!$L:$S,8,0),IF($LB115=80%,VLOOKUP($HZ115,'Jan-2026 rates'!L:T,9,0),0))))))))</f>
        <v>0</v>
      </c>
      <c r="IC115" s="412"/>
      <c r="ID115" s="409"/>
      <c r="IE115" s="411">
        <f>IF(ID115=0,0,IF($LB115=70%,VLOOKUP($HZ115,'Jan-2026 rates'!$L:$R,4,0),IF($LB115=65%,VLOOKUP($HZ115,'Jan-2026 rates'!$L:$R,4,0),IF($LB115=40%,VLOOKUP($HZ115,'Jan-2026 rates'!$L:$R,5,0),IF($LB115=30%,VLOOKUP($HZ115,'Jan-2026 rates'!$L:$R,6,0),IF($LB115=100%,VLOOKUP($HZ115,'Jan-2026 rates'!$L:$R,7,0),IF($LB115=60%,VLOOKUP($HZ115,'Jan-2026 rates'!$L:$S,8,0),IF($LB115=80%,VLOOKUP($HZ115,'Jan-2026 rates'!L:T,9,0),0))))))))</f>
        <v>0</v>
      </c>
      <c r="IF115" s="412">
        <v>26511000001</v>
      </c>
      <c r="IG115" s="413"/>
      <c r="IH115" s="412"/>
      <c r="II115" s="412"/>
      <c r="IJ115" s="412"/>
      <c r="IK115" s="412"/>
      <c r="IL115" s="412"/>
      <c r="IM115" s="412"/>
      <c r="IN115" s="409">
        <f>5+5</f>
        <v>10</v>
      </c>
      <c r="IO115" s="398" t="e">
        <f>IF(IN115=0,0,IF(LEN(IF115)=11,_xlfn.XLOOKUP(IF115,'Dispensed Ink Rates'!C:C,'Dispensed Ink Rates'!CS:CS),VLOOKUP(IF115,'Jan-2026 rates'!$E:$F,2,0)))</f>
        <v>#N/A</v>
      </c>
      <c r="IP115" s="409"/>
      <c r="IQ115" s="398">
        <f>IF(IP115=0,0,IF(LEN(IG115)=11,_xlfn.XLOOKUP(IG115,'Dispensed Ink Rates'!C:C,'Dispensed Ink Rates'!CS:CS),VLOOKUP(IG115,'Jan-2026 rates'!$E:$F,2,0)))</f>
        <v>0</v>
      </c>
      <c r="IR115" s="409"/>
      <c r="IS115" s="398">
        <f>IF(IR115=0,0,IF(LEN(IH115)=11,_xlfn.XLOOKUP(IH115,'Dispensed Ink Rates'!C:C,'Dispensed Ink Rates'!CS:CS),VLOOKUP(IH115,'Jan-2026 rates'!$E:$F,2,0)))</f>
        <v>0</v>
      </c>
      <c r="IT115" s="409"/>
      <c r="IU115" s="398">
        <f>IF(IT115=0,0,IF(LEN(II115)=11,_xlfn.XLOOKUP(II115,'Dispensed Ink Rates'!C:C,'Dispensed Ink Rates'!CS:CS),VLOOKUP(II115,'Jan-2026 rates'!$E:$F,2,0)))</f>
        <v>0</v>
      </c>
      <c r="IV115" s="409"/>
      <c r="IW115" s="398">
        <f>IF(IV115=0,0,IF(LEN(IJ115)=11,_xlfn.XLOOKUP(IJ115,'Dispensed Ink Rates'!C:C,'Dispensed Ink Rates'!CS:CS),VLOOKUP(IJ115,'Jan-2026 rates'!$E:$F,2,0)))</f>
        <v>0</v>
      </c>
      <c r="IX115" s="409"/>
      <c r="IY115" s="398">
        <f>IF(IX115=0,0,IF(LEN(IK115)=11,_xlfn.XLOOKUP(IK115,'Dispensed Ink Rates'!C:C,'Dispensed Ink Rates'!CS:CS),VLOOKUP(IK115,'Jan-2026 rates'!$E:$F,2,0)))</f>
        <v>0</v>
      </c>
      <c r="IZ115" s="409"/>
      <c r="JA115" s="398">
        <f>IF(IZ115=0,0,IF(LEN(IL115)=11,_xlfn.XLOOKUP(IL115,'Dispensed Ink Rates'!C:C,'Dispensed Ink Rates'!CS:CS),VLOOKUP(IL115,'Jan-2026 rates'!$E:$F,2,0)))</f>
        <v>0</v>
      </c>
      <c r="JB115" s="409"/>
      <c r="JC115" s="398">
        <f>IF(JB115=0,0,IF(LEN(IM115)=11,_xlfn.XLOOKUP(IM115,'Dispensed Ink Rates'!C:C,'Dispensed Ink Rates'!CS:CS),VLOOKUP(IM115,'Jan-2026 rates'!$E:$F,2,0)))</f>
        <v>0</v>
      </c>
      <c r="JD115" s="409" t="s">
        <v>1443</v>
      </c>
      <c r="JE115" s="409">
        <v>25</v>
      </c>
      <c r="JF115" s="411">
        <f t="shared" si="100"/>
        <v>0</v>
      </c>
      <c r="JG115" s="411">
        <f t="shared" si="101"/>
        <v>27.13636363636364</v>
      </c>
      <c r="JH115" s="410">
        <f t="shared" si="102"/>
        <v>0</v>
      </c>
      <c r="JI115" s="405" t="s">
        <v>856</v>
      </c>
      <c r="JJ115" s="409" t="s">
        <v>3263</v>
      </c>
      <c r="JK115" s="420" t="str">
        <f t="shared" si="60"/>
        <v>FLINTSL - WHITE</v>
      </c>
      <c r="JL115" s="409">
        <v>27</v>
      </c>
      <c r="JM115" s="411">
        <f>IF(JL115=0,0,IF($LB115=70%,VLOOKUP($JK115,'Jan-2026 rates'!$L:$R,4,0),IF($LB115=65%,VLOOKUP($JK115,'Jan-2026 rates'!$L:$R,4,0),IF($LB115=40%,VLOOKUP($JK115,'Jan-2026 rates'!$L:$R,5,0),IF($LB115=30%,VLOOKUP($JK115,'Jan-2026 rates'!$L:$R,6,0),IF($LB115=100%,VLOOKUP($JK115,'Jan-2026 rates'!$L:$R,7,0),IF($LB115=60%,VLOOKUP($JK115,'Jan-2026 rates'!$L:$S,8,0),IF($LB115=80%,VLOOKUP($JK115,'Jan-2026 rates'!L:T,9,0),0))))))))</f>
        <v>0</v>
      </c>
      <c r="JN115" s="412"/>
      <c r="JO115" s="409"/>
      <c r="JP115" s="411">
        <f>IF(JO115=0,0,IF($LB115=70%,VLOOKUP($JK115,'Jan-2026 rates'!$L:$R,4,0),IF($LB115=65%,VLOOKUP($JK115,'Jan-2026 rates'!$L:$R,4,0),IF($LB115=40%,VLOOKUP($JK115,'Jan-2026 rates'!$L:$R,5,0),IF($LB115=30%,VLOOKUP($JK115,'Jan-2026 rates'!$L:$R,6,0),IF($LB115=100%,VLOOKUP($JK115,'Jan-2026 rates'!$L:$R,7,0),IF($LB115=60%,VLOOKUP($JK115,'Jan-2026 rates'!$L:$S,8,0),IF($LB115=80%,VLOOKUP($JK115,'Jan-2026 rates'!L:T,9,0),0))))))))</f>
        <v>0</v>
      </c>
      <c r="JQ115" s="413" t="s">
        <v>484</v>
      </c>
      <c r="JR115" s="412"/>
      <c r="JS115" s="413"/>
      <c r="JT115" s="413"/>
      <c r="JU115" s="412"/>
      <c r="JV115" s="412"/>
      <c r="JW115" s="412"/>
      <c r="JX115" s="412"/>
      <c r="JY115" s="409">
        <v>50</v>
      </c>
      <c r="JZ115" s="398">
        <f>IF(JY115=0,0,IF(LEN(JQ115)=11,_xlfn.XLOOKUP(JQ115,'Dispensed Ink Rates'!C:C,'Dispensed Ink Rates'!CS:CS),VLOOKUP(JQ115,'Jan-2026 rates'!$E:$F,2,0)))</f>
        <v>0</v>
      </c>
      <c r="KA115" s="409"/>
      <c r="KB115" s="398">
        <f>IF(KA115=0,0,IF(LEN(JR115)=11,_xlfn.XLOOKUP(JR115,'Dispensed Ink Rates'!C:C,'Dispensed Ink Rates'!CS:CS),VLOOKUP(JR115,'Jan-2026 rates'!$E:$F,2,0)))</f>
        <v>0</v>
      </c>
      <c r="KC115" s="409"/>
      <c r="KD115" s="398">
        <f>IF(KC115=0,0,IF(LEN(JS115)=11,_xlfn.XLOOKUP(JS115,'Dispensed Ink Rates'!C:C,'Dispensed Ink Rates'!CS:CS),VLOOKUP(JS115,'Jan-2026 rates'!$E:$F,2,0)))</f>
        <v>0</v>
      </c>
      <c r="KE115" s="409"/>
      <c r="KF115" s="398">
        <f>IF(KE115=0,0,IF(LEN(JT115)=11,_xlfn.XLOOKUP(JT115,'Dispensed Ink Rates'!C:C,'Dispensed Ink Rates'!CS:CS),VLOOKUP(JT115,'Jan-2026 rates'!$E:$F,2,0)))</f>
        <v>0</v>
      </c>
      <c r="KG115" s="409"/>
      <c r="KH115" s="398">
        <f>IF(KG115=0,0,IF(LEN(JU115)=11,_xlfn.XLOOKUP(JU115,'Dispensed Ink Rates'!C:C,'Dispensed Ink Rates'!CS:CS),VLOOKUP(JU115,'Jan-2026 rates'!$E:$F,2,0)))</f>
        <v>0</v>
      </c>
      <c r="KI115" s="409"/>
      <c r="KJ115" s="398">
        <f>IF(KI115=0,0,IF(LEN(JV115)=11,_xlfn.XLOOKUP(JV115,'Dispensed Ink Rates'!C:C,'Dispensed Ink Rates'!CS:CS),VLOOKUP(JV115,'Jan-2026 rates'!$E:$F,2,0)))</f>
        <v>0</v>
      </c>
      <c r="KK115" s="409"/>
      <c r="KL115" s="398">
        <f>IF(KK115=0,0,IF(LEN(JW115)=11,_xlfn.XLOOKUP(JW115,'Dispensed Ink Rates'!C:C,'Dispensed Ink Rates'!CS:CS),VLOOKUP(JW115,'Jan-2026 rates'!$E:$F,2,0)))</f>
        <v>0</v>
      </c>
      <c r="KM115" s="428"/>
      <c r="KN115" s="398">
        <f>IF(KM115=0,0,IF(LEN(JX115)=11,_xlfn.XLOOKUP(JX115,'Dispensed Ink Rates'!C:C,'Dispensed Ink Rates'!CS:CS),VLOOKUP(JX115,'Jan-2026 rates'!$E:$F,2,0)))</f>
        <v>0</v>
      </c>
      <c r="KO115" s="409" t="s">
        <v>1443</v>
      </c>
      <c r="KP115" s="409">
        <v>30</v>
      </c>
      <c r="KQ115" s="411">
        <f t="shared" si="103"/>
        <v>0</v>
      </c>
      <c r="KR115" s="411">
        <f t="shared" si="104"/>
        <v>127.68181818181819</v>
      </c>
      <c r="KS115" s="410">
        <f t="shared" si="105"/>
        <v>0</v>
      </c>
      <c r="KT115" s="409">
        <v>4</v>
      </c>
      <c r="KU115" s="409">
        <v>2</v>
      </c>
      <c r="KV115" s="409">
        <v>0</v>
      </c>
      <c r="KW115" s="409">
        <v>3</v>
      </c>
      <c r="KX115" s="409">
        <v>3</v>
      </c>
      <c r="KY115" s="409">
        <v>2</v>
      </c>
      <c r="KZ115" s="409">
        <v>5</v>
      </c>
      <c r="LA115" s="409">
        <v>25</v>
      </c>
      <c r="LB115" s="415">
        <v>0.8</v>
      </c>
      <c r="LC115" s="415">
        <v>0.2</v>
      </c>
      <c r="LD115" s="415"/>
      <c r="LE115" s="415"/>
      <c r="LF115" s="415"/>
      <c r="LG115" s="409">
        <v>0</v>
      </c>
      <c r="LH115" s="409">
        <f>25+20+64+16+5+5+7</f>
        <v>142</v>
      </c>
      <c r="LI115" s="409">
        <v>0</v>
      </c>
      <c r="LJ115" s="409">
        <v>0</v>
      </c>
      <c r="LK115" s="416">
        <f t="shared" si="61"/>
        <v>142</v>
      </c>
      <c r="LL115" s="416">
        <f t="shared" si="62"/>
        <v>142</v>
      </c>
      <c r="LM115" s="417">
        <f t="shared" si="63"/>
        <v>113.60000000000001</v>
      </c>
      <c r="LN115" s="417">
        <f>VLOOKUP($LM$8,'Jan-2026 rates'!$H:$I,2,0)</f>
        <v>0</v>
      </c>
      <c r="LO115" s="417">
        <f t="shared" si="64"/>
        <v>28.400000000000002</v>
      </c>
      <c r="LP115" s="417">
        <f>VLOOKUP($LO$8,'Jan-2026 rates'!$H:$I,2,0)</f>
        <v>0</v>
      </c>
      <c r="LQ115" s="417">
        <f t="shared" si="65"/>
        <v>0</v>
      </c>
      <c r="LR115" s="417">
        <f>VLOOKUP($LQ$8,'Jan-2026 rates'!$H:$I,2,0)</f>
        <v>0</v>
      </c>
      <c r="LS115" s="417">
        <f t="shared" si="66"/>
        <v>0</v>
      </c>
      <c r="LT115" s="417">
        <f>VLOOKUP($LS$8,'Jan-2026 rates'!$H:$I,2,0)</f>
        <v>0</v>
      </c>
      <c r="LU115" s="417">
        <f t="shared" si="67"/>
        <v>0</v>
      </c>
      <c r="LV115" s="417">
        <f>VLOOKUP($LU$8,'Jan-2026 rates'!$H:$I,2,0)</f>
        <v>0</v>
      </c>
      <c r="LW115" s="417">
        <f t="shared" si="68"/>
        <v>0</v>
      </c>
      <c r="LX115" s="417">
        <f t="shared" si="69"/>
        <v>0</v>
      </c>
      <c r="LY115" s="418">
        <f t="shared" si="70"/>
        <v>0</v>
      </c>
      <c r="LZ115" s="417"/>
      <c r="MA115" s="435">
        <f t="shared" si="71"/>
        <v>186</v>
      </c>
      <c r="MB115" s="282">
        <f t="shared" si="72"/>
        <v>274</v>
      </c>
      <c r="MC115" s="283">
        <v>70</v>
      </c>
      <c r="MD115" s="284" t="str">
        <f t="shared" si="73"/>
        <v>FLINTSLINK PRODUCTFLINTSLFLINTSLFLINTSLFLINTSLFLINTSLFLINTSL</v>
      </c>
      <c r="ME115" s="293" t="str">
        <f t="shared" si="74"/>
        <v>+</v>
      </c>
      <c r="MF115" s="293" t="str">
        <f t="shared" si="75"/>
        <v>+</v>
      </c>
      <c r="MG115" s="293" t="str">
        <f t="shared" si="76"/>
        <v>+</v>
      </c>
      <c r="MH115" s="293" t="str">
        <f t="shared" si="77"/>
        <v>+</v>
      </c>
      <c r="MI115" s="293" t="str">
        <f t="shared" si="78"/>
        <v>+</v>
      </c>
      <c r="MJ115" s="293" t="str">
        <f t="shared" si="79"/>
        <v>+</v>
      </c>
      <c r="MK115" s="293" t="str">
        <f t="shared" si="80"/>
        <v>+</v>
      </c>
      <c r="ML115" s="293" t="str">
        <f t="shared" si="81"/>
        <v>+</v>
      </c>
      <c r="MM115" s="3" t="b">
        <f t="array" ref="MM115">OR(ME115:ML115="-")</f>
        <v>0</v>
      </c>
      <c r="MN115" s="285"/>
      <c r="MO115" s="401"/>
      <c r="MP115" s="286"/>
      <c r="MQ115" s="286"/>
      <c r="MR115" s="402"/>
      <c r="MS115" s="400"/>
      <c r="NH115" s="422"/>
      <c r="NJ115" s="421"/>
    </row>
    <row r="116" spans="1:374" s="1" customFormat="1" ht="16.5">
      <c r="A116" s="403">
        <v>46032</v>
      </c>
      <c r="B116" s="404" t="s">
        <v>1018</v>
      </c>
      <c r="C116" s="405" t="s">
        <v>3264</v>
      </c>
      <c r="D116" s="406">
        <v>71</v>
      </c>
      <c r="E116" s="404">
        <v>476</v>
      </c>
      <c r="F116" s="407">
        <v>23400</v>
      </c>
      <c r="G116" s="407" t="s">
        <v>1019</v>
      </c>
      <c r="H116" s="408" t="s">
        <v>1017</v>
      </c>
      <c r="I116" s="409">
        <v>1.75</v>
      </c>
      <c r="J116" s="405" t="s">
        <v>543</v>
      </c>
      <c r="K116" s="404" t="s">
        <v>3265</v>
      </c>
      <c r="L116" s="419" t="str">
        <f t="shared" si="54"/>
        <v>FLINTSL - BLACK</v>
      </c>
      <c r="M116" s="404">
        <v>30</v>
      </c>
      <c r="N116" s="410">
        <f>IF(M116=0,0,IF($LB116=70%,VLOOKUP($L116,'Jan-2026 rates'!$L:$R,4,0),IF($LB116=65%,VLOOKUP($L116,'Jan-2026 rates'!$L:$R,4,0),IF($LB116=40%,VLOOKUP($L116,'Jan-2026 rates'!$L:$R,5,0),IF($LB116=30%,VLOOKUP($L116,'Jan-2026 rates'!$L:$R,6,0),IF($LB116=100%,VLOOKUP($L116,'Jan-2026 rates'!$L:$R,7,0),IF($LB116=60%,VLOOKUP($L116,'Jan-2026 rates'!$L:$S,8,0),IF($LB116=80%,VLOOKUP($L116,'Jan-2026 rates'!L:T,9,0),0))))))))</f>
        <v>0</v>
      </c>
      <c r="O116" s="406"/>
      <c r="P116" s="404"/>
      <c r="Q116" s="410">
        <f>IF(P116=0,0,IF($LB116=70%,VLOOKUP($L116,'Jan-2026 rates'!$L:$R,4,0),IF($LB116=65%,VLOOKUP($L116,'Jan-2026 rates'!$L:$R,4,0),IF($LB116=40%,VLOOKUP($L116,'Jan-2026 rates'!$L:$R,5,0),IF($LB116=30%,VLOOKUP($L116,'Jan-2026 rates'!$L:$R,6,0),IF($LB116=100%,VLOOKUP($L116,'Jan-2026 rates'!$L:$R,7,0),IF($LB116=60%,VLOOKUP($L116,'Jan-2026 rates'!$L:$S,8,0),IF($LB116=80%,VLOOKUP($L116,'Jan-2026 rates'!L:T,9,0),0))))))))</f>
        <v>0</v>
      </c>
      <c r="R116" s="406">
        <v>26507000010</v>
      </c>
      <c r="S116" s="406"/>
      <c r="T116" s="406"/>
      <c r="U116" s="406"/>
      <c r="V116" s="406"/>
      <c r="W116" s="406"/>
      <c r="X116" s="406"/>
      <c r="Y116" s="406"/>
      <c r="Z116" s="404">
        <v>2</v>
      </c>
      <c r="AA116" s="398" t="e">
        <f>IF(Z116=0,0,IF(LEN(R116)=11,_xlfn.XLOOKUP(R116,'Dispensed Ink Rates'!C:C,'Dispensed Ink Rates'!CS:CS),VLOOKUP(R116,'Jan-2026 rates'!$E:$F,2,0)))</f>
        <v>#N/A</v>
      </c>
      <c r="AB116" s="404"/>
      <c r="AC116" s="398">
        <f>IF(AB116=0,0,IF(LEN(S116)=11,_xlfn.XLOOKUP(S116,'Dispensed Ink Rates'!C:C,'Dispensed Ink Rates'!CS:CS),VLOOKUP(S116,'Jan-2026 rates'!$E:$F,2,0)))</f>
        <v>0</v>
      </c>
      <c r="AD116" s="404"/>
      <c r="AE116" s="398">
        <f>IF(AD116=0,0,IF(LEN(T116)=11,_xlfn.XLOOKUP(T116,'Dispensed Ink Rates'!C:C,'Dispensed Ink Rates'!CS:CS),VLOOKUP(T116,'Jan-2026 rates'!$E:$F,2,0)))</f>
        <v>0</v>
      </c>
      <c r="AF116" s="404"/>
      <c r="AG116" s="398">
        <f>IF(AF116=0,0,IF(LEN(U116)=11,_xlfn.XLOOKUP(U116,'Dispensed Ink Rates'!C:C,'Dispensed Ink Rates'!CS:CS),VLOOKUP(U116,'Jan-2026 rates'!$E:$F,2,0)))</f>
        <v>0</v>
      </c>
      <c r="AH116" s="404"/>
      <c r="AI116" s="398">
        <f>IF(AH116=0,0,IF(LEN(V116)=11,_xlfn.XLOOKUP(V116,'Dispensed Ink Rates'!C:C,'Dispensed Ink Rates'!CS:CS),VLOOKUP(V116,'Jan-2026 rates'!$E:$F,2,0)))</f>
        <v>0</v>
      </c>
      <c r="AJ116" s="404"/>
      <c r="AK116" s="398">
        <f>IF(AJ116=0,0,IF(LEN(W116)=11,_xlfn.XLOOKUP(W116,'Dispensed Ink Rates'!C:C,'Dispensed Ink Rates'!CS:CS),VLOOKUP(W116,'Jan-2026 rates'!$E:$F,2,0)))</f>
        <v>0</v>
      </c>
      <c r="AL116" s="404"/>
      <c r="AM116" s="398">
        <f>IF(AL116=0,0,IF(LEN(X116)=11,_xlfn.XLOOKUP(X116,'Dispensed Ink Rates'!C:C,'Dispensed Ink Rates'!CS:CS),VLOOKUP(X116,'Jan-2026 rates'!$E:$F,2,0)))</f>
        <v>0</v>
      </c>
      <c r="AN116" s="404"/>
      <c r="AO116" s="398">
        <f>IF(AN116=0,0,IF(LEN(Y116)=11,_xlfn.XLOOKUP(Y116,'Dispensed Ink Rates'!C:C,'Dispensed Ink Rates'!CS:CS),VLOOKUP(Y116,'Jan-2026 rates'!$E:$F,2,0)))</f>
        <v>0</v>
      </c>
      <c r="AP116" s="409" t="s">
        <v>1443</v>
      </c>
      <c r="AQ116" s="409">
        <v>26</v>
      </c>
      <c r="AR116" s="410">
        <f t="shared" si="82"/>
        <v>0</v>
      </c>
      <c r="AS116" s="411">
        <f t="shared" si="83"/>
        <v>14.246913580246911</v>
      </c>
      <c r="AT116" s="410">
        <f t="shared" si="84"/>
        <v>0</v>
      </c>
      <c r="AU116" s="405" t="s">
        <v>546</v>
      </c>
      <c r="AV116" s="409" t="s">
        <v>3217</v>
      </c>
      <c r="AW116" s="420" t="str">
        <f t="shared" si="53"/>
        <v>FLINTSL - REFLEX BLUE</v>
      </c>
      <c r="AX116" s="409">
        <v>23</v>
      </c>
      <c r="AY116" s="411">
        <f>IF(AX116=0,0,IF($LB116=70%,VLOOKUP($AW116,'Jan-2026 rates'!$L:$R,4,0),IF($LB116=65%,VLOOKUP($AW116,'Jan-2026 rates'!$L:$R,4,0),IF($LB116=40%,VLOOKUP($AW116,'Jan-2026 rates'!$L:$R,5,0),IF($LB116=30%,VLOOKUP($AW116,'Jan-2026 rates'!$L:$R,6,0),IF($LB116=100%,VLOOKUP($AW116,'Jan-2026 rates'!$L:$R,7,0),IF($LB116=60%,VLOOKUP($AW116,'Jan-2026 rates'!$L:$S,8,0),IF($LB116=80%,VLOOKUP($AW116,'Jan-2026 rates'!L:T,9,0),0))))))))</f>
        <v>0</v>
      </c>
      <c r="AZ116" s="412"/>
      <c r="BA116" s="409"/>
      <c r="BB116" s="411">
        <f>IF(BA116=0,0,IF($LB116=70%,VLOOKUP($AW116,'Jan-2026 rates'!$L:$R,4,0),IF($LB116=65%,VLOOKUP($AW116,'Jan-2026 rates'!$L:$R,4,0),IF($LB116=40%,VLOOKUP($AW116,'Jan-2026 rates'!$L:$R,5,0),IF($LB116=30%,VLOOKUP($AW116,'Jan-2026 rates'!$L:$R,6,0),IF($LB116=100%,VLOOKUP($AW116,'Jan-2026 rates'!$L:$R,7,0),IF($LB116=60%,VLOOKUP($AW116,'Jan-2026 rates'!$L:$S,8,0),IF($LB116=80%,VLOOKUP($AW116,'Jan-2026 rates'!L:T,9,0),0))))))))</f>
        <v>0</v>
      </c>
      <c r="BC116" s="413">
        <v>26507000010</v>
      </c>
      <c r="BD116" s="412" t="s">
        <v>1266</v>
      </c>
      <c r="BE116" s="412">
        <v>26507000016</v>
      </c>
      <c r="BF116" s="413"/>
      <c r="BG116" s="412"/>
      <c r="BH116" s="412"/>
      <c r="BI116" s="412"/>
      <c r="BJ116" s="412"/>
      <c r="BK116" s="409">
        <v>0.5</v>
      </c>
      <c r="BL116" s="398" t="e">
        <f>IF(BK116=0,0,IF(LEN(BC116)=11,_xlfn.XLOOKUP(BC116,'Dispensed Ink Rates'!C:C,'Dispensed Ink Rates'!CS:CS),VLOOKUP(BC116,'Jan-2026 rates'!$E:$F,2,0)))</f>
        <v>#N/A</v>
      </c>
      <c r="BM116" s="409">
        <v>8</v>
      </c>
      <c r="BN116" s="398">
        <f>IF(BM116=0,0,IF(LEN(BD116)=11,_xlfn.XLOOKUP(BD116,'Dispensed Ink Rates'!C:C,'Dispensed Ink Rates'!CS:CS),VLOOKUP(BD116,'Jan-2026 rates'!$E:$F,2,0)))</f>
        <v>0</v>
      </c>
      <c r="BO116" s="409">
        <f>3+1</f>
        <v>4</v>
      </c>
      <c r="BP116" s="398" t="e">
        <f>IF(BO116=0,0,IF(LEN(BE116)=11,_xlfn.XLOOKUP(BE116,'Dispensed Ink Rates'!C:C,'Dispensed Ink Rates'!CS:CS),VLOOKUP(BE116,'Jan-2026 rates'!$E:$F,2,0)))</f>
        <v>#N/A</v>
      </c>
      <c r="BQ116" s="409"/>
      <c r="BR116" s="398">
        <f>IF(BQ116=0,0,IF(LEN(BF116)=11,_xlfn.XLOOKUP(BF116,'Dispensed Ink Rates'!C:C,'Dispensed Ink Rates'!CS:CS),VLOOKUP(BF116,'Jan-2026 rates'!$E:$F,2,0)))</f>
        <v>0</v>
      </c>
      <c r="BS116" s="409"/>
      <c r="BT116" s="398">
        <f>IF(BS116=0,0,IF(LEN(BG116)=11,_xlfn.XLOOKUP(BG116,'Dispensed Ink Rates'!C:C,'Dispensed Ink Rates'!CS:CS),VLOOKUP(BG116,'Jan-2026 rates'!$E:$F,2,0)))</f>
        <v>0</v>
      </c>
      <c r="BU116" s="409"/>
      <c r="BV116" s="398">
        <f>IF(BU116=0,0,IF(LEN(BH116)=11,_xlfn.XLOOKUP(BH116,'Dispensed Ink Rates'!C:C,'Dispensed Ink Rates'!CS:CS),VLOOKUP(BH116,'Jan-2026 rates'!$E:$F,2,0)))</f>
        <v>0</v>
      </c>
      <c r="BW116" s="409"/>
      <c r="BX116" s="398">
        <f>IF(BW116=0,0,IF(LEN(BI116)=11,_xlfn.XLOOKUP(BI116,'Dispensed Ink Rates'!C:C,'Dispensed Ink Rates'!CS:CS),VLOOKUP(BI116,'Jan-2026 rates'!$E:$F,2,0)))</f>
        <v>0</v>
      </c>
      <c r="BY116" s="409"/>
      <c r="BZ116" s="398">
        <f>IF(BY116=0,0,IF(LEN(BJ116)=11,_xlfn.XLOOKUP(BJ116,'Dispensed Ink Rates'!C:C,'Dispensed Ink Rates'!CS:CS),VLOOKUP(BJ116,'Jan-2026 rates'!$E:$F,2,0)))</f>
        <v>0</v>
      </c>
      <c r="CA116" s="409" t="s">
        <v>1443</v>
      </c>
      <c r="CB116" s="409">
        <v>21</v>
      </c>
      <c r="CC116" s="411">
        <f t="shared" si="85"/>
        <v>0</v>
      </c>
      <c r="CD116" s="411">
        <f t="shared" si="86"/>
        <v>20.685185185185183</v>
      </c>
      <c r="CE116" s="410">
        <f t="shared" si="87"/>
        <v>0</v>
      </c>
      <c r="CF116" s="404" t="s">
        <v>857</v>
      </c>
      <c r="CG116" s="409" t="s">
        <v>3266</v>
      </c>
      <c r="CH116" s="420" t="str">
        <f t="shared" si="55"/>
        <v>FLINTSL - RED</v>
      </c>
      <c r="CI116" s="409">
        <v>10</v>
      </c>
      <c r="CJ116" s="411">
        <f>IF(CI116=0,0,IF($LB116=70%,VLOOKUP($CH116,'Jan-2026 rates'!$L:$R,4,0),IF($LB116=65%,VLOOKUP($CH116,'Jan-2026 rates'!$L:$R,4,0),IF($LB116=40%,VLOOKUP($CH116,'Jan-2026 rates'!$L:$R,5,0),IF($LB116=30%,VLOOKUP($CH116,'Jan-2026 rates'!$L:$R,6,0),IF($LB116=100%,VLOOKUP($CH116,'Jan-2026 rates'!$L:$R,7,0),IF($LB116=60%,VLOOKUP($CH116,'Jan-2026 rates'!$L:$S,8,0),IF($LB116=80%,VLOOKUP($CH116,'Jan-2026 rates'!L:T,9,0),0))))))))</f>
        <v>0</v>
      </c>
      <c r="CK116" s="412" t="s">
        <v>3267</v>
      </c>
      <c r="CL116" s="409">
        <v>30</v>
      </c>
      <c r="CM116" s="411">
        <f>IF(CL116=0,0,IF($LB116=70%,VLOOKUP($CH116,'Jan-2026 rates'!$L:$R,4,0),IF($LB116=65%,VLOOKUP($CH116,'Jan-2026 rates'!$L:$R,4,0),IF($LB116=40%,VLOOKUP($CH116,'Jan-2026 rates'!$L:$R,5,0),IF($LB116=30%,VLOOKUP($CH116,'Jan-2026 rates'!$L:$R,6,0),IF($LB116=100%,VLOOKUP($CH116,'Jan-2026 rates'!$L:$R,7,0),IF($LB116=60%,VLOOKUP($CH116,'Jan-2026 rates'!$L:$S,8,0),IF($LB116=80%,VLOOKUP($CH116,'Jan-2026 rates'!L:T,9,0),0))))))))</f>
        <v>0</v>
      </c>
      <c r="CN116" s="426">
        <v>26512000010</v>
      </c>
      <c r="CO116" s="427" t="s">
        <v>567</v>
      </c>
      <c r="CP116" s="426"/>
      <c r="CQ116" s="426"/>
      <c r="CR116" s="428"/>
      <c r="CS116" s="428"/>
      <c r="CT116" s="428"/>
      <c r="CU116" s="428"/>
      <c r="CV116" s="409">
        <v>8</v>
      </c>
      <c r="CW116" s="398" t="e">
        <f>IF(CV116=0,0,IF(LEN(CN116)=11,_xlfn.XLOOKUP(CN116,'Dispensed Ink Rates'!C:C,'Dispensed Ink Rates'!CS:CS),VLOOKUP(CN116,'Jan-2026 rates'!$E:$F,2,0)))</f>
        <v>#N/A</v>
      </c>
      <c r="CX116" s="409">
        <v>2</v>
      </c>
      <c r="CY116" s="398">
        <f>IF(CX116=0,0,IF(LEN(CO116)=11,_xlfn.XLOOKUP(CO116,'Dispensed Ink Rates'!C:C,'Dispensed Ink Rates'!CS:CS),VLOOKUP(CO116,'Jan-2026 rates'!$E:$F,2,0)))</f>
        <v>0</v>
      </c>
      <c r="CZ116" s="409"/>
      <c r="DA116" s="398">
        <f>IF(CZ116=0,0,IF(LEN(CP116)=11,_xlfn.XLOOKUP(CP116,'Dispensed Ink Rates'!C:C,'Dispensed Ink Rates'!CS:CS),VLOOKUP(CP116,'Jan-2026 rates'!$E:$F,2,0)))</f>
        <v>0</v>
      </c>
      <c r="DB116" s="409"/>
      <c r="DC116" s="398">
        <f>IF(DB116=0,0,IF(LEN(CQ116)=11,_xlfn.XLOOKUP(CQ116,'Dispensed Ink Rates'!C:C,'Dispensed Ink Rates'!CS:CS),VLOOKUP(CQ116,'Jan-2026 rates'!$E:$F,2,0)))</f>
        <v>0</v>
      </c>
      <c r="DD116" s="409"/>
      <c r="DE116" s="398">
        <f>IF(DD116=0,0,IF(LEN(CR116)=11,_xlfn.XLOOKUP(CR116,'Dispensed Ink Rates'!C:C,'Dispensed Ink Rates'!CS:CS),VLOOKUP(CR116,'Jan-2026 rates'!$E:$F,2,0)))</f>
        <v>0</v>
      </c>
      <c r="DF116" s="409"/>
      <c r="DG116" s="398">
        <f>IF(DF116=0,0,IF(LEN(CS116)=11,_xlfn.XLOOKUP(CS116,'Dispensed Ink Rates'!C:C,'Dispensed Ink Rates'!CS:CS),VLOOKUP(CS116,'Jan-2026 rates'!$E:$F,2,0)))</f>
        <v>0</v>
      </c>
      <c r="DH116" s="409"/>
      <c r="DI116" s="398">
        <f>IF(DH116=0,0,IF(LEN(CT116)=11,_xlfn.XLOOKUP(CT116,'Dispensed Ink Rates'!C:C,'Dispensed Ink Rates'!CS:CS),VLOOKUP(CT116,'Jan-2026 rates'!$E:$F,2,0)))</f>
        <v>0</v>
      </c>
      <c r="DJ116" s="409"/>
      <c r="DK116" s="398">
        <f>IF(DJ116=0,0,IF(LEN(CU116)=11,_xlfn.XLOOKUP(CU116,'Dispensed Ink Rates'!C:C,'Dispensed Ink Rates'!CS:CS),VLOOKUP(CU116,'Jan-2026 rates'!$E:$F,2,0)))</f>
        <v>0</v>
      </c>
      <c r="DL116" s="409" t="s">
        <v>1443</v>
      </c>
      <c r="DM116" s="409">
        <v>24</v>
      </c>
      <c r="DN116" s="411">
        <f t="shared" si="88"/>
        <v>0</v>
      </c>
      <c r="DO116" s="411">
        <f t="shared" si="89"/>
        <v>36.308641975308639</v>
      </c>
      <c r="DP116" s="410">
        <f t="shared" si="90"/>
        <v>0</v>
      </c>
      <c r="DQ116" s="405" t="s">
        <v>855</v>
      </c>
      <c r="DR116" s="409" t="s">
        <v>3268</v>
      </c>
      <c r="DS116" s="420" t="str">
        <f t="shared" si="56"/>
        <v>FLINTSL - CYAN</v>
      </c>
      <c r="DT116" s="409">
        <v>27</v>
      </c>
      <c r="DU116" s="411">
        <f>IF(DT116=0,0,IF($LB116=70%,VLOOKUP($DS116,'Jan-2026 rates'!$L:$R,4,0),IF($LB116=65%,VLOOKUP($DS116,'Jan-2026 rates'!$L:$R,4,0),IF($LB116=40%,VLOOKUP($DS116,'Jan-2026 rates'!$L:$R,5,0),IF($LB116=30%,VLOOKUP($DS116,'Jan-2026 rates'!$L:$R,6,0),IF($LB116=100%,VLOOKUP($DS116,'Jan-2026 rates'!$L:$R,7,0),IF($LB116=60%,VLOOKUP($DS116,'Jan-2026 rates'!$L:$S,8,0),IF($LB116=80%,VLOOKUP($DS116,'Jan-2026 rates'!L:T,9,0),0))))))))</f>
        <v>0</v>
      </c>
      <c r="DV116" s="412"/>
      <c r="DW116" s="409"/>
      <c r="DX116" s="411">
        <f>IF(DW116=0,0,IF($LB116=70%,VLOOKUP($DS116,'Jan-2026 rates'!$L:$R,4,0),IF($LB116=65%,VLOOKUP($DS116,'Jan-2026 rates'!$L:$R,4,0),IF($LB116=40%,VLOOKUP($DS116,'Jan-2026 rates'!$L:$R,5,0),IF($LB116=30%,VLOOKUP($DS116,'Jan-2026 rates'!$L:$R,6,0),IF($LB116=100%,VLOOKUP($DS116,'Jan-2026 rates'!$L:$R,7,0),IF($LB116=60%,VLOOKUP($DS116,'Jan-2026 rates'!$L:$S,8,0),IF($LB116=80%,VLOOKUP($DS116,'Jan-2026 rates'!L:T,9,0),0))))))))</f>
        <v>0</v>
      </c>
      <c r="DY116" s="413">
        <v>26507000018</v>
      </c>
      <c r="DZ116" s="413" t="s">
        <v>1266</v>
      </c>
      <c r="EA116" s="412"/>
      <c r="EB116" s="412"/>
      <c r="EC116" s="412"/>
      <c r="ED116" s="412"/>
      <c r="EE116" s="412"/>
      <c r="EF116" s="412"/>
      <c r="EG116" s="409">
        <v>2</v>
      </c>
      <c r="EH116" s="398" t="e">
        <f>IF(EG116=0,0,IF(LEN(DY116)=11,_xlfn.XLOOKUP(DY116,'Dispensed Ink Rates'!C:C,'Dispensed Ink Rates'!CS:CS),VLOOKUP(DY116,'Jan-2026 rates'!$E:$F,2,0)))</f>
        <v>#N/A</v>
      </c>
      <c r="EI116" s="409">
        <v>3</v>
      </c>
      <c r="EJ116" s="398">
        <f>IF(EI116=0,0,IF(LEN(DZ116)=11,_xlfn.XLOOKUP(DZ116,'Dispensed Ink Rates'!C:C,'Dispensed Ink Rates'!CS:CS),VLOOKUP(DZ116,'Jan-2026 rates'!$E:$F,2,0)))</f>
        <v>0</v>
      </c>
      <c r="EK116" s="409"/>
      <c r="EL116" s="398">
        <f>IF(EK116=0,0,IF(LEN(EA116)=11,_xlfn.XLOOKUP(EA116,'Dispensed Ink Rates'!C:C,'Dispensed Ink Rates'!CS:CS),VLOOKUP(EA116,'Jan-2026 rates'!$E:$F,2,0)))</f>
        <v>0</v>
      </c>
      <c r="EM116" s="409"/>
      <c r="EN116" s="398">
        <f>IF(EM116=0,0,IF(LEN(EB116)=11,_xlfn.XLOOKUP(EB116,'Dispensed Ink Rates'!C:C,'Dispensed Ink Rates'!CS:CS),VLOOKUP(EB116,'Jan-2026 rates'!$E:$F,2,0)))</f>
        <v>0</v>
      </c>
      <c r="EO116" s="409"/>
      <c r="EP116" s="398">
        <f>IF(EO116=0,0,IF(LEN(EC116)=11,_xlfn.XLOOKUP(EC116,'Dispensed Ink Rates'!C:C,'Dispensed Ink Rates'!CS:CS),VLOOKUP(EC116,'Jan-2026 rates'!$E:$F,2,0)))</f>
        <v>0</v>
      </c>
      <c r="EQ116" s="409"/>
      <c r="ER116" s="398">
        <f>IF(EQ116=0,0,IF(LEN(ED116)=11,_xlfn.XLOOKUP(ED116,'Dispensed Ink Rates'!C:C,'Dispensed Ink Rates'!CS:CS),VLOOKUP(ED116,'Jan-2026 rates'!$E:$F,2,0)))</f>
        <v>0</v>
      </c>
      <c r="ES116" s="409"/>
      <c r="ET116" s="398">
        <f>IF(ES116=0,0,IF(LEN(EE116)=11,_xlfn.XLOOKUP(EE116,'Dispensed Ink Rates'!C:C,'Dispensed Ink Rates'!CS:CS),VLOOKUP(EE116,'Jan-2026 rates'!$E:$F,2,0)))</f>
        <v>0</v>
      </c>
      <c r="EU116" s="409"/>
      <c r="EV116" s="398">
        <f>IF(EU116=0,0,IF(LEN(EF116)=11,_xlfn.XLOOKUP(EF116,'Dispensed Ink Rates'!C:C,'Dispensed Ink Rates'!CS:CS),VLOOKUP(EF116,'Jan-2026 rates'!$E:$F,2,0)))</f>
        <v>0</v>
      </c>
      <c r="EW116" s="409" t="s">
        <v>1443</v>
      </c>
      <c r="EX116" s="409">
        <v>25</v>
      </c>
      <c r="EY116" s="411">
        <f t="shared" si="91"/>
        <v>0</v>
      </c>
      <c r="EZ116" s="411">
        <f t="shared" si="92"/>
        <v>15.246913580246911</v>
      </c>
      <c r="FA116" s="410">
        <f t="shared" si="93"/>
        <v>0</v>
      </c>
      <c r="FB116" s="405" t="s">
        <v>544</v>
      </c>
      <c r="FC116" s="409" t="s">
        <v>3269</v>
      </c>
      <c r="FD116" s="420" t="str">
        <f t="shared" si="57"/>
        <v>FLINTSL - MAGENTA</v>
      </c>
      <c r="FE116" s="409">
        <v>30</v>
      </c>
      <c r="FF116" s="411">
        <f>IF(FE116=0,0,IF($LB116=70%,VLOOKUP($FD116,'Jan-2026 rates'!$L:$R,4,0),IF($LB116=65%,VLOOKUP($FD116,'Jan-2026 rates'!$L:$R,4,0),IF($LB116=40%,VLOOKUP($FD116,'Jan-2026 rates'!$L:$R,5,0),IF($LB116=30%,VLOOKUP($FD116,'Jan-2026 rates'!$L:$R,6,0),IF($LB116=100%,VLOOKUP($FD116,'Jan-2026 rates'!$L:$R,7,0),IF($LB116=60%,VLOOKUP($FD116,'Jan-2026 rates'!$L:$S,8,0),IF($LB116=80%,VLOOKUP($FD116,'Jan-2026 rates'!L:T,9,0),0))))))))</f>
        <v>0</v>
      </c>
      <c r="FG116" s="412"/>
      <c r="FH116" s="409"/>
      <c r="FI116" s="411">
        <f>IF(FH116=0,0,IF($LB116=70%,VLOOKUP($FD116,'Jan-2026 rates'!$L:$R,4,0),IF($LB116=65%,VLOOKUP($FD116,'Jan-2026 rates'!$L:$R,4,0),IF($LB116=40%,VLOOKUP($FD116,'Jan-2026 rates'!$L:$R,5,0),IF($LB116=30%,VLOOKUP($FD116,'Jan-2026 rates'!$L:$R,6,0),IF($LB116=100%,VLOOKUP($FD116,'Jan-2026 rates'!$L:$R,7,0),IF($LB116=60%,VLOOKUP($FD116,'Jan-2026 rates'!$L:$S,8,0),IF($LB116=80%,VLOOKUP($FD116,'Jan-2026 rates'!L:T,9,0),0))))))))</f>
        <v>0</v>
      </c>
      <c r="FJ116" s="413">
        <v>26512000010</v>
      </c>
      <c r="FK116" s="413" t="s">
        <v>1266</v>
      </c>
      <c r="FL116" s="413"/>
      <c r="FM116" s="412"/>
      <c r="FN116" s="412"/>
      <c r="FO116" s="412"/>
      <c r="FP116" s="412"/>
      <c r="FQ116" s="412"/>
      <c r="FR116" s="409">
        <v>3</v>
      </c>
      <c r="FS116" s="398" t="e">
        <f>IF(FR116=0,0,IF(LEN(FJ116)=11,_xlfn.XLOOKUP(FJ116,'Dispensed Ink Rates'!C:C,'Dispensed Ink Rates'!CS:CS),VLOOKUP(FJ116,'Jan-2026 rates'!$E:$F,2,0)))</f>
        <v>#N/A</v>
      </c>
      <c r="FT116" s="409">
        <v>2</v>
      </c>
      <c r="FU116" s="398">
        <f>IF(FT116=0,0,IF(LEN(FK116)=11,_xlfn.XLOOKUP(FK116,'Dispensed Ink Rates'!C:C,'Dispensed Ink Rates'!CS:CS),VLOOKUP(FK116,'Jan-2026 rates'!$E:$F,2,0)))</f>
        <v>0</v>
      </c>
      <c r="FV116" s="409"/>
      <c r="FW116" s="398">
        <f>IF(FV116=0,0,IF(LEN(FL116)=11,_xlfn.XLOOKUP(FL116,'Dispensed Ink Rates'!C:C,'Dispensed Ink Rates'!CS:CS),VLOOKUP(FL116,'Jan-2026 rates'!$E:$F,2,0)))</f>
        <v>0</v>
      </c>
      <c r="FX116" s="409"/>
      <c r="FY116" s="398">
        <f>IF(FX116=0,0,IF(LEN(FM116)=11,_xlfn.XLOOKUP(FM116,'Dispensed Ink Rates'!C:C,'Dispensed Ink Rates'!CS:CS),VLOOKUP(FM116,'Jan-2026 rates'!$E:$F,2,0)))</f>
        <v>0</v>
      </c>
      <c r="FZ116" s="409"/>
      <c r="GA116" s="398">
        <f>IF(FZ116=0,0,IF(LEN(FN116)=11,_xlfn.XLOOKUP(FN116,'Dispensed Ink Rates'!C:C,'Dispensed Ink Rates'!CS:CS),VLOOKUP(FN116,'Jan-2026 rates'!$E:$F,2,0)))</f>
        <v>0</v>
      </c>
      <c r="GB116" s="409"/>
      <c r="GC116" s="398">
        <f>IF(GB116=0,0,IF(LEN(FO116)=11,_xlfn.XLOOKUP(FO116,'Dispensed Ink Rates'!C:C,'Dispensed Ink Rates'!CS:CS),VLOOKUP(FO116,'Jan-2026 rates'!$E:$F,2,0)))</f>
        <v>0</v>
      </c>
      <c r="GD116" s="409"/>
      <c r="GE116" s="398">
        <f>IF(GD116=0,0,IF(LEN(FP116)=11,_xlfn.XLOOKUP(FP116,'Dispensed Ink Rates'!C:C,'Dispensed Ink Rates'!CS:CS),VLOOKUP(FP116,'Jan-2026 rates'!$E:$F,2,0)))</f>
        <v>0</v>
      </c>
      <c r="GF116" s="409"/>
      <c r="GG116" s="398">
        <f>IF(GF116=0,0,IF(LEN(FQ116)=11,_xlfn.XLOOKUP(FQ116,'Dispensed Ink Rates'!C:C,'Dispensed Ink Rates'!CS:CS),VLOOKUP(FQ116,'Jan-2026 rates'!$E:$F,2,0)))</f>
        <v>0</v>
      </c>
      <c r="GH116" s="409" t="s">
        <v>1443</v>
      </c>
      <c r="GI116" s="409">
        <v>24</v>
      </c>
      <c r="GJ116" s="411">
        <f t="shared" si="94"/>
        <v>0</v>
      </c>
      <c r="GK116" s="411">
        <f t="shared" si="95"/>
        <v>17.185185185185183</v>
      </c>
      <c r="GL116" s="410">
        <f t="shared" si="96"/>
        <v>0</v>
      </c>
      <c r="GM116" s="405" t="s">
        <v>545</v>
      </c>
      <c r="GN116" s="409" t="s">
        <v>3270</v>
      </c>
      <c r="GO116" s="420" t="str">
        <f t="shared" si="58"/>
        <v>FLINTSL - YELLOW</v>
      </c>
      <c r="GP116" s="409">
        <v>25</v>
      </c>
      <c r="GQ116" s="411">
        <f>IF(GP116=0,0,IF($LB116=70%,VLOOKUP($GO116,'Jan-2026 rates'!$L:$R,4,0),IF($LB116=65%,VLOOKUP($GO116,'Jan-2026 rates'!$L:$R,4,0),IF($LB116=40%,VLOOKUP($GO116,'Jan-2026 rates'!$L:$R,5,0),IF($LB116=30%,VLOOKUP($GO116,'Jan-2026 rates'!$L:$R,6,0),IF($LB116=100%,VLOOKUP($GO116,'Jan-2026 rates'!$L:$R,7,0),IF($LB116=60%,VLOOKUP($GO116,'Jan-2026 rates'!$L:$S,8,0),IF($LB116=80%,VLOOKUP($GO116,'Jan-2026 rates'!L:T,9,0),0))))))))</f>
        <v>0</v>
      </c>
      <c r="GR116" s="412"/>
      <c r="GS116" s="409"/>
      <c r="GT116" s="411">
        <f>IF(GS116=0,0,IF($LB116=70%,VLOOKUP($GO116,'Jan-2026 rates'!$L:$R,4,0),IF($LB116=65%,VLOOKUP($GO116,'Jan-2026 rates'!$L:$R,4,0),IF($LB116=40%,VLOOKUP($GO116,'Jan-2026 rates'!$L:$R,5,0),IF($LB116=30%,VLOOKUP($GO116,'Jan-2026 rates'!$L:$R,6,0),IF($LB116=100%,VLOOKUP($GO116,'Jan-2026 rates'!$L:$R,7,0),IF($LB116=60%,VLOOKUP($GO116,'Jan-2026 rates'!$L:$S,8,0),IF($LB116=80%,VLOOKUP($GO116,'Jan-2026 rates'!L:T,9,0),0))))))))</f>
        <v>0</v>
      </c>
      <c r="GU116" s="413">
        <v>26510000013</v>
      </c>
      <c r="GV116" s="413">
        <v>26510000012</v>
      </c>
      <c r="GW116" s="412"/>
      <c r="GX116" s="412"/>
      <c r="GY116" s="412"/>
      <c r="GZ116" s="412"/>
      <c r="HA116" s="412"/>
      <c r="HB116" s="412"/>
      <c r="HC116" s="409">
        <v>40</v>
      </c>
      <c r="HD116" s="398" t="e">
        <f>IF(HC116=0,0,IF(LEN(GU116)=11,_xlfn.XLOOKUP(GU116,'Dispensed Ink Rates'!C:C,'Dispensed Ink Rates'!CS:CS),VLOOKUP(GU116,'Jan-2026 rates'!$E:$F,2,0)))</f>
        <v>#N/A</v>
      </c>
      <c r="HE116" s="409">
        <v>40</v>
      </c>
      <c r="HF116" s="398" t="e">
        <f>IF(HE116=0,0,IF(LEN(GV116)=11,_xlfn.XLOOKUP(GV116,'Dispensed Ink Rates'!C:C,'Dispensed Ink Rates'!CS:CS),VLOOKUP(GV116,'Jan-2026 rates'!$E:$F,2,0)))</f>
        <v>#N/A</v>
      </c>
      <c r="HG116" s="409"/>
      <c r="HH116" s="398">
        <f>IF(HG116=0,0,IF(LEN(GW116)=11,_xlfn.XLOOKUP(GW116,'Dispensed Ink Rates'!C:C,'Dispensed Ink Rates'!CS:CS),VLOOKUP(GW116,'Jan-2026 rates'!$E:$F,2,0)))</f>
        <v>0</v>
      </c>
      <c r="HI116" s="409"/>
      <c r="HJ116" s="398">
        <f>IF(HI116=0,0,IF(LEN(GX116)=11,_xlfn.XLOOKUP(GX116,'Dispensed Ink Rates'!C:C,'Dispensed Ink Rates'!CS:CS),VLOOKUP(GX116,'Jan-2026 rates'!$E:$F,2,0)))</f>
        <v>0</v>
      </c>
      <c r="HK116" s="409"/>
      <c r="HL116" s="398">
        <f>IF(HK116=0,0,IF(LEN(GY116)=11,_xlfn.XLOOKUP(GY116,'Dispensed Ink Rates'!C:C,'Dispensed Ink Rates'!CS:CS),VLOOKUP(GY116,'Jan-2026 rates'!$E:$F,2,0)))</f>
        <v>0</v>
      </c>
      <c r="HM116" s="409"/>
      <c r="HN116" s="398">
        <f>IF(HM116=0,0,IF(LEN(GZ116)=11,_xlfn.XLOOKUP(GZ116,'Dispensed Ink Rates'!C:C,'Dispensed Ink Rates'!CS:CS),VLOOKUP(GZ116,'Jan-2026 rates'!$E:$F,2,0)))</f>
        <v>0</v>
      </c>
      <c r="HO116" s="409"/>
      <c r="HP116" s="398">
        <f>IF(HO116=0,0,IF(LEN(HA116)=11,_xlfn.XLOOKUP(HA116,'Dispensed Ink Rates'!C:C,'Dispensed Ink Rates'!CS:CS),VLOOKUP(HA116,'Jan-2026 rates'!$E:$F,2,0)))</f>
        <v>0</v>
      </c>
      <c r="HQ116" s="409"/>
      <c r="HR116" s="398">
        <f>IF(HQ116=0,0,IF(LEN(HB116)=11,_xlfn.XLOOKUP(HB116,'Dispensed Ink Rates'!C:C,'Dispensed Ink Rates'!CS:CS),VLOOKUP(HB116,'Jan-2026 rates'!$E:$F,2,0)))</f>
        <v>0</v>
      </c>
      <c r="HS116" s="409" t="s">
        <v>1443</v>
      </c>
      <c r="HT116" s="409">
        <v>27</v>
      </c>
      <c r="HU116" s="411">
        <f t="shared" si="97"/>
        <v>0</v>
      </c>
      <c r="HV116" s="411">
        <f t="shared" si="98"/>
        <v>78</v>
      </c>
      <c r="HW116" s="414">
        <f t="shared" si="99"/>
        <v>0</v>
      </c>
      <c r="HX116" s="405" t="s">
        <v>548</v>
      </c>
      <c r="HY116" s="409" t="s">
        <v>3271</v>
      </c>
      <c r="HZ116" s="420" t="str">
        <f t="shared" si="59"/>
        <v>FLINTSL - GOLD</v>
      </c>
      <c r="IA116" s="409">
        <v>20</v>
      </c>
      <c r="IB116" s="411">
        <f>IF(IA116=0,0,IF($LB116=70%,VLOOKUP($HZ116,'Jan-2026 rates'!$L:$R,4,0),IF($LB116=65%,VLOOKUP($HZ116,'Jan-2026 rates'!$L:$R,4,0),IF($LB116=40%,VLOOKUP($HZ116,'Jan-2026 rates'!$L:$R,5,0),IF($LB116=30%,VLOOKUP($HZ116,'Jan-2026 rates'!$L:$R,6,0),IF($LB116=100%,VLOOKUP($HZ116,'Jan-2026 rates'!$L:$R,7,0),IF($LB116=60%,VLOOKUP($HZ116,'Jan-2026 rates'!$L:$S,8,0),IF($LB116=80%,VLOOKUP($HZ116,'Jan-2026 rates'!L:T,9,0),0))))))))</f>
        <v>0</v>
      </c>
      <c r="IC116" s="412" t="s">
        <v>3146</v>
      </c>
      <c r="ID116" s="409">
        <v>16</v>
      </c>
      <c r="IE116" s="411">
        <f>IF(ID116=0,0,IF($LB116=70%,VLOOKUP($HZ116,'Jan-2026 rates'!$L:$R,4,0),IF($LB116=65%,VLOOKUP($HZ116,'Jan-2026 rates'!$L:$R,4,0),IF($LB116=40%,VLOOKUP($HZ116,'Jan-2026 rates'!$L:$R,5,0),IF($LB116=30%,VLOOKUP($HZ116,'Jan-2026 rates'!$L:$R,6,0),IF($LB116=100%,VLOOKUP($HZ116,'Jan-2026 rates'!$L:$R,7,0),IF($LB116=60%,VLOOKUP($HZ116,'Jan-2026 rates'!$L:$S,8,0),IF($LB116=80%,VLOOKUP($HZ116,'Jan-2026 rates'!L:T,9,0),0))))))))</f>
        <v>0</v>
      </c>
      <c r="IF116" s="412">
        <v>26507000010</v>
      </c>
      <c r="IG116" s="413"/>
      <c r="IH116" s="412"/>
      <c r="II116" s="412"/>
      <c r="IJ116" s="412"/>
      <c r="IK116" s="412"/>
      <c r="IL116" s="412"/>
      <c r="IM116" s="412"/>
      <c r="IN116" s="409">
        <v>1</v>
      </c>
      <c r="IO116" s="398" t="e">
        <f>IF(IN116=0,0,IF(LEN(IF116)=11,_xlfn.XLOOKUP(IF116,'Dispensed Ink Rates'!C:C,'Dispensed Ink Rates'!CS:CS),VLOOKUP(IF116,'Jan-2026 rates'!$E:$F,2,0)))</f>
        <v>#N/A</v>
      </c>
      <c r="IP116" s="409"/>
      <c r="IQ116" s="398">
        <f>IF(IP116=0,0,IF(LEN(IG116)=11,_xlfn.XLOOKUP(IG116,'Dispensed Ink Rates'!C:C,'Dispensed Ink Rates'!CS:CS),VLOOKUP(IG116,'Jan-2026 rates'!$E:$F,2,0)))</f>
        <v>0</v>
      </c>
      <c r="IR116" s="409"/>
      <c r="IS116" s="398">
        <f>IF(IR116=0,0,IF(LEN(IH116)=11,_xlfn.XLOOKUP(IH116,'Dispensed Ink Rates'!C:C,'Dispensed Ink Rates'!CS:CS),VLOOKUP(IH116,'Jan-2026 rates'!$E:$F,2,0)))</f>
        <v>0</v>
      </c>
      <c r="IT116" s="409"/>
      <c r="IU116" s="398">
        <f>IF(IT116=0,0,IF(LEN(II116)=11,_xlfn.XLOOKUP(II116,'Dispensed Ink Rates'!C:C,'Dispensed Ink Rates'!CS:CS),VLOOKUP(II116,'Jan-2026 rates'!$E:$F,2,0)))</f>
        <v>0</v>
      </c>
      <c r="IV116" s="409"/>
      <c r="IW116" s="398">
        <f>IF(IV116=0,0,IF(LEN(IJ116)=11,_xlfn.XLOOKUP(IJ116,'Dispensed Ink Rates'!C:C,'Dispensed Ink Rates'!CS:CS),VLOOKUP(IJ116,'Jan-2026 rates'!$E:$F,2,0)))</f>
        <v>0</v>
      </c>
      <c r="IX116" s="409"/>
      <c r="IY116" s="398">
        <f>IF(IX116=0,0,IF(LEN(IK116)=11,_xlfn.XLOOKUP(IK116,'Dispensed Ink Rates'!C:C,'Dispensed Ink Rates'!CS:CS),VLOOKUP(IK116,'Jan-2026 rates'!$E:$F,2,0)))</f>
        <v>0</v>
      </c>
      <c r="IZ116" s="409"/>
      <c r="JA116" s="398">
        <f>IF(IZ116=0,0,IF(LEN(IL116)=11,_xlfn.XLOOKUP(IL116,'Dispensed Ink Rates'!C:C,'Dispensed Ink Rates'!CS:CS),VLOOKUP(IL116,'Jan-2026 rates'!$E:$F,2,0)))</f>
        <v>0</v>
      </c>
      <c r="JB116" s="409"/>
      <c r="JC116" s="398">
        <f>IF(JB116=0,0,IF(LEN(IM116)=11,_xlfn.XLOOKUP(IM116,'Dispensed Ink Rates'!C:C,'Dispensed Ink Rates'!CS:CS),VLOOKUP(IM116,'Jan-2026 rates'!$E:$F,2,0)))</f>
        <v>0</v>
      </c>
      <c r="JD116" s="409" t="s">
        <v>1443</v>
      </c>
      <c r="JE116" s="409">
        <v>28</v>
      </c>
      <c r="JF116" s="411">
        <f t="shared" si="100"/>
        <v>0</v>
      </c>
      <c r="JG116" s="411">
        <f t="shared" si="101"/>
        <v>13.123456790123456</v>
      </c>
      <c r="JH116" s="410">
        <f t="shared" si="102"/>
        <v>0</v>
      </c>
      <c r="JI116" s="405" t="s">
        <v>856</v>
      </c>
      <c r="JJ116" s="409" t="s">
        <v>3272</v>
      </c>
      <c r="JK116" s="420" t="str">
        <f t="shared" si="60"/>
        <v>FLINTSL - WHITE</v>
      </c>
      <c r="JL116" s="409">
        <v>30</v>
      </c>
      <c r="JM116" s="411">
        <f>IF(JL116=0,0,IF($LB116=70%,VLOOKUP($JK116,'Jan-2026 rates'!$L:$R,4,0),IF($LB116=65%,VLOOKUP($JK116,'Jan-2026 rates'!$L:$R,4,0),IF($LB116=40%,VLOOKUP($JK116,'Jan-2026 rates'!$L:$R,5,0),IF($LB116=30%,VLOOKUP($JK116,'Jan-2026 rates'!$L:$R,6,0),IF($LB116=100%,VLOOKUP($JK116,'Jan-2026 rates'!$L:$R,7,0),IF($LB116=60%,VLOOKUP($JK116,'Jan-2026 rates'!$L:$S,8,0),IF($LB116=80%,VLOOKUP($JK116,'Jan-2026 rates'!L:T,9,0),0))))))))</f>
        <v>0</v>
      </c>
      <c r="JN116" s="412"/>
      <c r="JO116" s="409"/>
      <c r="JP116" s="411">
        <f>IF(JO116=0,0,IF($LB116=70%,VLOOKUP($JK116,'Jan-2026 rates'!$L:$R,4,0),IF($LB116=65%,VLOOKUP($JK116,'Jan-2026 rates'!$L:$R,4,0),IF($LB116=40%,VLOOKUP($JK116,'Jan-2026 rates'!$L:$R,5,0),IF($LB116=30%,VLOOKUP($JK116,'Jan-2026 rates'!$L:$R,6,0),IF($LB116=100%,VLOOKUP($JK116,'Jan-2026 rates'!$L:$R,7,0),IF($LB116=60%,VLOOKUP($JK116,'Jan-2026 rates'!$L:$S,8,0),IF($LB116=80%,VLOOKUP($JK116,'Jan-2026 rates'!L:T,9,0),0))))))))</f>
        <v>0</v>
      </c>
      <c r="JQ116" s="413" t="s">
        <v>484</v>
      </c>
      <c r="JR116" s="412"/>
      <c r="JS116" s="413"/>
      <c r="JT116" s="413"/>
      <c r="JU116" s="412"/>
      <c r="JV116" s="412"/>
      <c r="JW116" s="412"/>
      <c r="JX116" s="412"/>
      <c r="JY116" s="409">
        <v>100</v>
      </c>
      <c r="JZ116" s="398">
        <f>IF(JY116=0,0,IF(LEN(JQ116)=11,_xlfn.XLOOKUP(JQ116,'Dispensed Ink Rates'!C:C,'Dispensed Ink Rates'!CS:CS),VLOOKUP(JQ116,'Jan-2026 rates'!$E:$F,2,0)))</f>
        <v>0</v>
      </c>
      <c r="KA116" s="409"/>
      <c r="KB116" s="398">
        <f>IF(KA116=0,0,IF(LEN(JR116)=11,_xlfn.XLOOKUP(JR116,'Dispensed Ink Rates'!C:C,'Dispensed Ink Rates'!CS:CS),VLOOKUP(JR116,'Jan-2026 rates'!$E:$F,2,0)))</f>
        <v>0</v>
      </c>
      <c r="KC116" s="409"/>
      <c r="KD116" s="398">
        <f>IF(KC116=0,0,IF(LEN(JS116)=11,_xlfn.XLOOKUP(JS116,'Dispensed Ink Rates'!C:C,'Dispensed Ink Rates'!CS:CS),VLOOKUP(JS116,'Jan-2026 rates'!$E:$F,2,0)))</f>
        <v>0</v>
      </c>
      <c r="KE116" s="409"/>
      <c r="KF116" s="398">
        <f>IF(KE116=0,0,IF(LEN(JT116)=11,_xlfn.XLOOKUP(JT116,'Dispensed Ink Rates'!C:C,'Dispensed Ink Rates'!CS:CS),VLOOKUP(JT116,'Jan-2026 rates'!$E:$F,2,0)))</f>
        <v>0</v>
      </c>
      <c r="KG116" s="409"/>
      <c r="KH116" s="398">
        <f>IF(KG116=0,0,IF(LEN(JU116)=11,_xlfn.XLOOKUP(JU116,'Dispensed Ink Rates'!C:C,'Dispensed Ink Rates'!CS:CS),VLOOKUP(JU116,'Jan-2026 rates'!$E:$F,2,0)))</f>
        <v>0</v>
      </c>
      <c r="KI116" s="409"/>
      <c r="KJ116" s="398">
        <f>IF(KI116=0,0,IF(LEN(JV116)=11,_xlfn.XLOOKUP(JV116,'Dispensed Ink Rates'!C:C,'Dispensed Ink Rates'!CS:CS),VLOOKUP(JV116,'Jan-2026 rates'!$E:$F,2,0)))</f>
        <v>0</v>
      </c>
      <c r="KK116" s="409"/>
      <c r="KL116" s="398">
        <f>IF(KK116=0,0,IF(LEN(JW116)=11,_xlfn.XLOOKUP(JW116,'Dispensed Ink Rates'!C:C,'Dispensed Ink Rates'!CS:CS),VLOOKUP(JW116,'Jan-2026 rates'!$E:$F,2,0)))</f>
        <v>0</v>
      </c>
      <c r="KM116" s="428"/>
      <c r="KN116" s="398">
        <f>IF(KM116=0,0,IF(LEN(JX116)=11,_xlfn.XLOOKUP(JX116,'Dispensed Ink Rates'!C:C,'Dispensed Ink Rates'!CS:CS),VLOOKUP(JX116,'Jan-2026 rates'!$E:$F,2,0)))</f>
        <v>0</v>
      </c>
      <c r="KO116" s="409" t="s">
        <v>1443</v>
      </c>
      <c r="KP116" s="409">
        <v>28</v>
      </c>
      <c r="KQ116" s="411">
        <f t="shared" si="103"/>
        <v>0</v>
      </c>
      <c r="KR116" s="411">
        <f t="shared" si="104"/>
        <v>225.7037037037037</v>
      </c>
      <c r="KS116" s="410">
        <f t="shared" si="105"/>
        <v>0</v>
      </c>
      <c r="KT116" s="409">
        <v>4</v>
      </c>
      <c r="KU116" s="409">
        <v>3</v>
      </c>
      <c r="KV116" s="409">
        <v>5</v>
      </c>
      <c r="KW116" s="409">
        <v>4</v>
      </c>
      <c r="KX116" s="409">
        <v>3</v>
      </c>
      <c r="KY116" s="409">
        <v>0</v>
      </c>
      <c r="KZ116" s="409">
        <v>2</v>
      </c>
      <c r="LA116" s="409">
        <f>40+20</f>
        <v>60</v>
      </c>
      <c r="LB116" s="415">
        <v>0.8</v>
      </c>
      <c r="LC116" s="415">
        <v>0.2</v>
      </c>
      <c r="LD116" s="415"/>
      <c r="LE116" s="415"/>
      <c r="LF116" s="415"/>
      <c r="LG116" s="409">
        <v>0</v>
      </c>
      <c r="LH116" s="409">
        <f>60+20+64+16+7</f>
        <v>167</v>
      </c>
      <c r="LI116" s="409">
        <v>0</v>
      </c>
      <c r="LJ116" s="409">
        <v>0</v>
      </c>
      <c r="LK116" s="416">
        <f t="shared" si="61"/>
        <v>167</v>
      </c>
      <c r="LL116" s="416">
        <f t="shared" si="62"/>
        <v>167</v>
      </c>
      <c r="LM116" s="417">
        <f t="shared" si="63"/>
        <v>133.6</v>
      </c>
      <c r="LN116" s="417">
        <f>VLOOKUP($LM$8,'Jan-2026 rates'!$H:$I,2,0)</f>
        <v>0</v>
      </c>
      <c r="LO116" s="417">
        <f t="shared" si="64"/>
        <v>33.4</v>
      </c>
      <c r="LP116" s="417">
        <f>VLOOKUP($LO$8,'Jan-2026 rates'!$H:$I,2,0)</f>
        <v>0</v>
      </c>
      <c r="LQ116" s="417">
        <f t="shared" si="65"/>
        <v>0</v>
      </c>
      <c r="LR116" s="417">
        <f>VLOOKUP($LQ$8,'Jan-2026 rates'!$H:$I,2,0)</f>
        <v>0</v>
      </c>
      <c r="LS116" s="417">
        <f t="shared" si="66"/>
        <v>0</v>
      </c>
      <c r="LT116" s="417">
        <f>VLOOKUP($LS$8,'Jan-2026 rates'!$H:$I,2,0)</f>
        <v>0</v>
      </c>
      <c r="LU116" s="417">
        <f t="shared" si="67"/>
        <v>0</v>
      </c>
      <c r="LV116" s="417">
        <f>VLOOKUP($LU$8,'Jan-2026 rates'!$H:$I,2,0)</f>
        <v>0</v>
      </c>
      <c r="LW116" s="417">
        <f t="shared" si="68"/>
        <v>0</v>
      </c>
      <c r="LX116" s="417">
        <f t="shared" si="69"/>
        <v>0</v>
      </c>
      <c r="LY116" s="418">
        <f t="shared" si="70"/>
        <v>0</v>
      </c>
      <c r="LZ116" s="417"/>
      <c r="MA116" s="435">
        <f t="shared" si="71"/>
        <v>215.5</v>
      </c>
      <c r="MB116" s="282">
        <f t="shared" si="72"/>
        <v>420.5</v>
      </c>
      <c r="MC116" s="283">
        <v>71</v>
      </c>
      <c r="MD116" s="284" t="str">
        <f t="shared" si="73"/>
        <v>FLINTSLFLINTSLFLINTSLFLINTSLFLINTSLFLINTSLFLINTSLFLINTSL</v>
      </c>
      <c r="ME116" s="293" t="str">
        <f t="shared" si="74"/>
        <v>+</v>
      </c>
      <c r="MF116" s="293" t="str">
        <f t="shared" si="75"/>
        <v>+</v>
      </c>
      <c r="MG116" s="293" t="str">
        <f t="shared" si="76"/>
        <v>+</v>
      </c>
      <c r="MH116" s="293" t="str">
        <f t="shared" si="77"/>
        <v>+</v>
      </c>
      <c r="MI116" s="293" t="str">
        <f t="shared" si="78"/>
        <v>+</v>
      </c>
      <c r="MJ116" s="293" t="str">
        <f t="shared" si="79"/>
        <v>+</v>
      </c>
      <c r="MK116" s="293" t="str">
        <f t="shared" si="80"/>
        <v>+</v>
      </c>
      <c r="ML116" s="293" t="str">
        <f t="shared" si="81"/>
        <v>+</v>
      </c>
      <c r="MM116" s="3" t="b">
        <f t="array" ref="MM116">OR(ME116:ML116="-")</f>
        <v>0</v>
      </c>
      <c r="MN116" s="285"/>
      <c r="MO116" s="401"/>
      <c r="MP116" s="286"/>
      <c r="MQ116" s="286"/>
      <c r="MR116" s="402"/>
      <c r="MS116" s="400"/>
      <c r="NH116" s="422"/>
      <c r="NJ116" s="421"/>
    </row>
    <row r="117" spans="1:374" s="1" customFormat="1" ht="16.5">
      <c r="A117" s="403">
        <v>46032</v>
      </c>
      <c r="B117" s="404" t="s">
        <v>1018</v>
      </c>
      <c r="C117" s="405" t="s">
        <v>3273</v>
      </c>
      <c r="D117" s="406">
        <v>72</v>
      </c>
      <c r="E117" s="404">
        <v>278</v>
      </c>
      <c r="F117" s="407">
        <v>13300</v>
      </c>
      <c r="G117" s="407" t="s">
        <v>1019</v>
      </c>
      <c r="H117" s="408" t="s">
        <v>1017</v>
      </c>
      <c r="I117" s="409">
        <v>1.3</v>
      </c>
      <c r="J117" s="405" t="s">
        <v>543</v>
      </c>
      <c r="K117" s="404" t="s">
        <v>3274</v>
      </c>
      <c r="L117" s="419" t="str">
        <f t="shared" si="54"/>
        <v>FLINTSL - BLACK</v>
      </c>
      <c r="M117" s="404">
        <v>26</v>
      </c>
      <c r="N117" s="410">
        <f>IF(M117=0,0,IF($LB117=70%,VLOOKUP($L117,'Jan-2026 rates'!$L:$R,4,0),IF($LB117=65%,VLOOKUP($L117,'Jan-2026 rates'!$L:$R,4,0),IF($LB117=40%,VLOOKUP($L117,'Jan-2026 rates'!$L:$R,5,0),IF($LB117=30%,VLOOKUP($L117,'Jan-2026 rates'!$L:$R,6,0),IF($LB117=100%,VLOOKUP($L117,'Jan-2026 rates'!$L:$R,7,0),IF($LB117=60%,VLOOKUP($L117,'Jan-2026 rates'!$L:$S,8,0),IF($LB117=80%,VLOOKUP($L117,'Jan-2026 rates'!L:T,9,0),0))))))))</f>
        <v>0</v>
      </c>
      <c r="O117" s="406"/>
      <c r="P117" s="404"/>
      <c r="Q117" s="410">
        <f>IF(P117=0,0,IF($LB117=70%,VLOOKUP($L117,'Jan-2026 rates'!$L:$R,4,0),IF($LB117=65%,VLOOKUP($L117,'Jan-2026 rates'!$L:$R,4,0),IF($LB117=40%,VLOOKUP($L117,'Jan-2026 rates'!$L:$R,5,0),IF($LB117=30%,VLOOKUP($L117,'Jan-2026 rates'!$L:$R,6,0),IF($LB117=100%,VLOOKUP($L117,'Jan-2026 rates'!$L:$R,7,0),IF($LB117=60%,VLOOKUP($L117,'Jan-2026 rates'!$L:$S,8,0),IF($LB117=80%,VLOOKUP($L117,'Jan-2026 rates'!L:T,9,0),0))))))))</f>
        <v>0</v>
      </c>
      <c r="R117" s="406" t="s">
        <v>1266</v>
      </c>
      <c r="S117" s="406"/>
      <c r="T117" s="406"/>
      <c r="U117" s="406"/>
      <c r="V117" s="406"/>
      <c r="W117" s="406"/>
      <c r="X117" s="406"/>
      <c r="Y117" s="406"/>
      <c r="Z117" s="404">
        <v>2</v>
      </c>
      <c r="AA117" s="398">
        <f>IF(Z117=0,0,IF(LEN(R117)=11,_xlfn.XLOOKUP(R117,'Dispensed Ink Rates'!C:C,'Dispensed Ink Rates'!CS:CS),VLOOKUP(R117,'Jan-2026 rates'!$E:$F,2,0)))</f>
        <v>0</v>
      </c>
      <c r="AB117" s="404"/>
      <c r="AC117" s="398">
        <f>IF(AB117=0,0,IF(LEN(S117)=11,_xlfn.XLOOKUP(S117,'Dispensed Ink Rates'!C:C,'Dispensed Ink Rates'!CS:CS),VLOOKUP(S117,'Jan-2026 rates'!$E:$F,2,0)))</f>
        <v>0</v>
      </c>
      <c r="AD117" s="404"/>
      <c r="AE117" s="398">
        <f>IF(AD117=0,0,IF(LEN(T117)=11,_xlfn.XLOOKUP(T117,'Dispensed Ink Rates'!C:C,'Dispensed Ink Rates'!CS:CS),VLOOKUP(T117,'Jan-2026 rates'!$E:$F,2,0)))</f>
        <v>0</v>
      </c>
      <c r="AF117" s="404"/>
      <c r="AG117" s="398">
        <f>IF(AF117=0,0,IF(LEN(U117)=11,_xlfn.XLOOKUP(U117,'Dispensed Ink Rates'!C:C,'Dispensed Ink Rates'!CS:CS),VLOOKUP(U117,'Jan-2026 rates'!$E:$F,2,0)))</f>
        <v>0</v>
      </c>
      <c r="AH117" s="404"/>
      <c r="AI117" s="398">
        <f>IF(AH117=0,0,IF(LEN(V117)=11,_xlfn.XLOOKUP(V117,'Dispensed Ink Rates'!C:C,'Dispensed Ink Rates'!CS:CS),VLOOKUP(V117,'Jan-2026 rates'!$E:$F,2,0)))</f>
        <v>0</v>
      </c>
      <c r="AJ117" s="404"/>
      <c r="AK117" s="398">
        <f>IF(AJ117=0,0,IF(LEN(W117)=11,_xlfn.XLOOKUP(W117,'Dispensed Ink Rates'!C:C,'Dispensed Ink Rates'!CS:CS),VLOOKUP(W117,'Jan-2026 rates'!$E:$F,2,0)))</f>
        <v>0</v>
      </c>
      <c r="AL117" s="404"/>
      <c r="AM117" s="398">
        <f>IF(AL117=0,0,IF(LEN(X117)=11,_xlfn.XLOOKUP(X117,'Dispensed Ink Rates'!C:C,'Dispensed Ink Rates'!CS:CS),VLOOKUP(X117,'Jan-2026 rates'!$E:$F,2,0)))</f>
        <v>0</v>
      </c>
      <c r="AN117" s="404"/>
      <c r="AO117" s="398">
        <f>IF(AN117=0,0,IF(LEN(Y117)=11,_xlfn.XLOOKUP(Y117,'Dispensed Ink Rates'!C:C,'Dispensed Ink Rates'!CS:CS),VLOOKUP(Y117,'Jan-2026 rates'!$E:$F,2,0)))</f>
        <v>0</v>
      </c>
      <c r="AP117" s="409" t="s">
        <v>1443</v>
      </c>
      <c r="AQ117" s="409">
        <v>25</v>
      </c>
      <c r="AR117" s="410">
        <f t="shared" si="82"/>
        <v>0</v>
      </c>
      <c r="AS117" s="411">
        <f t="shared" si="83"/>
        <v>7.4769230769230788</v>
      </c>
      <c r="AT117" s="410">
        <f t="shared" si="84"/>
        <v>0</v>
      </c>
      <c r="AU117" s="405" t="s">
        <v>546</v>
      </c>
      <c r="AV117" s="409"/>
      <c r="AW117" s="420" t="str">
        <f t="shared" si="53"/>
        <v>FLINTSL - REFLEX BLUE</v>
      </c>
      <c r="AX117" s="409"/>
      <c r="AY117" s="411">
        <f>IF(AX117=0,0,IF($LB117=70%,VLOOKUP($AW117,'Jan-2026 rates'!$L:$R,4,0),IF($LB117=65%,VLOOKUP($AW117,'Jan-2026 rates'!$L:$R,4,0),IF($LB117=40%,VLOOKUP($AW117,'Jan-2026 rates'!$L:$R,5,0),IF($LB117=30%,VLOOKUP($AW117,'Jan-2026 rates'!$L:$R,6,0),IF($LB117=100%,VLOOKUP($AW117,'Jan-2026 rates'!$L:$R,7,0),IF($LB117=60%,VLOOKUP($AW117,'Jan-2026 rates'!$L:$S,8,0),IF($LB117=80%,VLOOKUP($AW117,'Jan-2026 rates'!L:T,9,0),0))))))))</f>
        <v>0</v>
      </c>
      <c r="AZ117" s="412"/>
      <c r="BA117" s="409"/>
      <c r="BB117" s="411">
        <f>IF(BA117=0,0,IF($LB117=70%,VLOOKUP($AW117,'Jan-2026 rates'!$L:$R,4,0),IF($LB117=65%,VLOOKUP($AW117,'Jan-2026 rates'!$L:$R,4,0),IF($LB117=40%,VLOOKUP($AW117,'Jan-2026 rates'!$L:$R,5,0),IF($LB117=30%,VLOOKUP($AW117,'Jan-2026 rates'!$L:$R,6,0),IF($LB117=100%,VLOOKUP($AW117,'Jan-2026 rates'!$L:$R,7,0),IF($LB117=60%,VLOOKUP($AW117,'Jan-2026 rates'!$L:$S,8,0),IF($LB117=80%,VLOOKUP($AW117,'Jan-2026 rates'!L:T,9,0),0))))))))</f>
        <v>0</v>
      </c>
      <c r="BC117" s="413">
        <v>26506000001</v>
      </c>
      <c r="BD117" s="412">
        <v>26507000020</v>
      </c>
      <c r="BE117" s="412">
        <v>26512000010</v>
      </c>
      <c r="BF117" s="413"/>
      <c r="BG117" s="412"/>
      <c r="BH117" s="412"/>
      <c r="BI117" s="412"/>
      <c r="BJ117" s="412"/>
      <c r="BK117" s="409">
        <v>8</v>
      </c>
      <c r="BL117" s="398" t="e">
        <f>IF(BK117=0,0,IF(LEN(BC117)=11,_xlfn.XLOOKUP(BC117,'Dispensed Ink Rates'!C:C,'Dispensed Ink Rates'!CS:CS),VLOOKUP(BC117,'Jan-2026 rates'!$E:$F,2,0)))</f>
        <v>#N/A</v>
      </c>
      <c r="BM117" s="409">
        <v>10</v>
      </c>
      <c r="BN117" s="398" t="e">
        <f>IF(BM117=0,0,IF(LEN(BD117)=11,_xlfn.XLOOKUP(BD117,'Dispensed Ink Rates'!C:C,'Dispensed Ink Rates'!CS:CS),VLOOKUP(BD117,'Jan-2026 rates'!$E:$F,2,0)))</f>
        <v>#N/A</v>
      </c>
      <c r="BO117" s="409">
        <v>4</v>
      </c>
      <c r="BP117" s="398" t="e">
        <f>IF(BO117=0,0,IF(LEN(BE117)=11,_xlfn.XLOOKUP(BE117,'Dispensed Ink Rates'!C:C,'Dispensed Ink Rates'!CS:CS),VLOOKUP(BE117,'Jan-2026 rates'!$E:$F,2,0)))</f>
        <v>#N/A</v>
      </c>
      <c r="BQ117" s="409"/>
      <c r="BR117" s="398">
        <f>IF(BQ117=0,0,IF(LEN(BF117)=11,_xlfn.XLOOKUP(BF117,'Dispensed Ink Rates'!C:C,'Dispensed Ink Rates'!CS:CS),VLOOKUP(BF117,'Jan-2026 rates'!$E:$F,2,0)))</f>
        <v>0</v>
      </c>
      <c r="BS117" s="409"/>
      <c r="BT117" s="398">
        <f>IF(BS117=0,0,IF(LEN(BG117)=11,_xlfn.XLOOKUP(BG117,'Dispensed Ink Rates'!C:C,'Dispensed Ink Rates'!CS:CS),VLOOKUP(BG117,'Jan-2026 rates'!$E:$F,2,0)))</f>
        <v>0</v>
      </c>
      <c r="BU117" s="409"/>
      <c r="BV117" s="398">
        <f>IF(BU117=0,0,IF(LEN(BH117)=11,_xlfn.XLOOKUP(BH117,'Dispensed Ink Rates'!C:C,'Dispensed Ink Rates'!CS:CS),VLOOKUP(BH117,'Jan-2026 rates'!$E:$F,2,0)))</f>
        <v>0</v>
      </c>
      <c r="BW117" s="409"/>
      <c r="BX117" s="398">
        <f>IF(BW117=0,0,IF(LEN(BI117)=11,_xlfn.XLOOKUP(BI117,'Dispensed Ink Rates'!C:C,'Dispensed Ink Rates'!CS:CS),VLOOKUP(BI117,'Jan-2026 rates'!$E:$F,2,0)))</f>
        <v>0</v>
      </c>
      <c r="BY117" s="409"/>
      <c r="BZ117" s="398">
        <f>IF(BY117=0,0,IF(LEN(BJ117)=11,_xlfn.XLOOKUP(BJ117,'Dispensed Ink Rates'!C:C,'Dispensed Ink Rates'!CS:CS),VLOOKUP(BJ117,'Jan-2026 rates'!$E:$F,2,0)))</f>
        <v>0</v>
      </c>
      <c r="CA117" s="409" t="s">
        <v>1443</v>
      </c>
      <c r="CB117" s="409">
        <v>28</v>
      </c>
      <c r="CC117" s="411">
        <f t="shared" si="85"/>
        <v>0</v>
      </c>
      <c r="CD117" s="411">
        <f t="shared" si="86"/>
        <v>5.9384615384615387</v>
      </c>
      <c r="CE117" s="410">
        <f t="shared" si="87"/>
        <v>0</v>
      </c>
      <c r="CF117" s="404" t="s">
        <v>857</v>
      </c>
      <c r="CG117" s="409" t="s">
        <v>3275</v>
      </c>
      <c r="CH117" s="420" t="str">
        <f t="shared" si="55"/>
        <v>FLINTSL - RED</v>
      </c>
      <c r="CI117" s="409">
        <v>24</v>
      </c>
      <c r="CJ117" s="411">
        <f>IF(CI117=0,0,IF($LB117=70%,VLOOKUP($CH117,'Jan-2026 rates'!$L:$R,4,0),IF($LB117=65%,VLOOKUP($CH117,'Jan-2026 rates'!$L:$R,4,0),IF($LB117=40%,VLOOKUP($CH117,'Jan-2026 rates'!$L:$R,5,0),IF($LB117=30%,VLOOKUP($CH117,'Jan-2026 rates'!$L:$R,6,0),IF($LB117=100%,VLOOKUP($CH117,'Jan-2026 rates'!$L:$R,7,0),IF($LB117=60%,VLOOKUP($CH117,'Jan-2026 rates'!$L:$S,8,0),IF($LB117=80%,VLOOKUP($CH117,'Jan-2026 rates'!L:T,9,0),0))))))))</f>
        <v>0</v>
      </c>
      <c r="CK117" s="412"/>
      <c r="CL117" s="409"/>
      <c r="CM117" s="411">
        <f>IF(CL117=0,0,IF($LB117=70%,VLOOKUP($CH117,'Jan-2026 rates'!$L:$R,4,0),IF($LB117=65%,VLOOKUP($CH117,'Jan-2026 rates'!$L:$R,4,0),IF($LB117=40%,VLOOKUP($CH117,'Jan-2026 rates'!$L:$R,5,0),IF($LB117=30%,VLOOKUP($CH117,'Jan-2026 rates'!$L:$R,6,0),IF($LB117=100%,VLOOKUP($CH117,'Jan-2026 rates'!$L:$R,7,0),IF($LB117=60%,VLOOKUP($CH117,'Jan-2026 rates'!$L:$S,8,0),IF($LB117=80%,VLOOKUP($CH117,'Jan-2026 rates'!L:T,9,0),0))))))))</f>
        <v>0</v>
      </c>
      <c r="CN117" s="426">
        <v>26512000010</v>
      </c>
      <c r="CO117" s="427">
        <v>26505000028</v>
      </c>
      <c r="CP117" s="426"/>
      <c r="CQ117" s="426"/>
      <c r="CR117" s="428"/>
      <c r="CS117" s="428"/>
      <c r="CT117" s="428"/>
      <c r="CU117" s="428"/>
      <c r="CV117" s="409">
        <v>2</v>
      </c>
      <c r="CW117" s="398" t="e">
        <f>IF(CV117=0,0,IF(LEN(CN117)=11,_xlfn.XLOOKUP(CN117,'Dispensed Ink Rates'!C:C,'Dispensed Ink Rates'!CS:CS),VLOOKUP(CN117,'Jan-2026 rates'!$E:$F,2,0)))</f>
        <v>#N/A</v>
      </c>
      <c r="CX117" s="409">
        <f>3+2</f>
        <v>5</v>
      </c>
      <c r="CY117" s="398" t="e">
        <f>IF(CX117=0,0,IF(LEN(CO117)=11,_xlfn.XLOOKUP(CO117,'Dispensed Ink Rates'!C:C,'Dispensed Ink Rates'!CS:CS),VLOOKUP(CO117,'Jan-2026 rates'!$E:$F,2,0)))</f>
        <v>#N/A</v>
      </c>
      <c r="CZ117" s="409"/>
      <c r="DA117" s="398">
        <f>IF(CZ117=0,0,IF(LEN(CP117)=11,_xlfn.XLOOKUP(CP117,'Dispensed Ink Rates'!C:C,'Dispensed Ink Rates'!CS:CS),VLOOKUP(CP117,'Jan-2026 rates'!$E:$F,2,0)))</f>
        <v>0</v>
      </c>
      <c r="DB117" s="409"/>
      <c r="DC117" s="398">
        <f>IF(DB117=0,0,IF(LEN(CQ117)=11,_xlfn.XLOOKUP(CQ117,'Dispensed Ink Rates'!C:C,'Dispensed Ink Rates'!CS:CS),VLOOKUP(CQ117,'Jan-2026 rates'!$E:$F,2,0)))</f>
        <v>0</v>
      </c>
      <c r="DD117" s="409"/>
      <c r="DE117" s="398">
        <f>IF(DD117=0,0,IF(LEN(CR117)=11,_xlfn.XLOOKUP(CR117,'Dispensed Ink Rates'!C:C,'Dispensed Ink Rates'!CS:CS),VLOOKUP(CR117,'Jan-2026 rates'!$E:$F,2,0)))</f>
        <v>0</v>
      </c>
      <c r="DF117" s="409"/>
      <c r="DG117" s="398">
        <f>IF(DF117=0,0,IF(LEN(CS117)=11,_xlfn.XLOOKUP(CS117,'Dispensed Ink Rates'!C:C,'Dispensed Ink Rates'!CS:CS),VLOOKUP(CS117,'Jan-2026 rates'!$E:$F,2,0)))</f>
        <v>0</v>
      </c>
      <c r="DH117" s="409"/>
      <c r="DI117" s="398">
        <f>IF(DH117=0,0,IF(LEN(CT117)=11,_xlfn.XLOOKUP(CT117,'Dispensed Ink Rates'!C:C,'Dispensed Ink Rates'!CS:CS),VLOOKUP(CT117,'Jan-2026 rates'!$E:$F,2,0)))</f>
        <v>0</v>
      </c>
      <c r="DJ117" s="409"/>
      <c r="DK117" s="398">
        <f>IF(DJ117=0,0,IF(LEN(CU117)=11,_xlfn.XLOOKUP(CU117,'Dispensed Ink Rates'!C:C,'Dispensed Ink Rates'!CS:CS),VLOOKUP(CU117,'Jan-2026 rates'!$E:$F,2,0)))</f>
        <v>0</v>
      </c>
      <c r="DL117" s="409" t="s">
        <v>1443</v>
      </c>
      <c r="DM117" s="409">
        <v>28</v>
      </c>
      <c r="DN117" s="411">
        <f t="shared" si="88"/>
        <v>0</v>
      </c>
      <c r="DO117" s="411">
        <f t="shared" si="89"/>
        <v>8.9692307692307693</v>
      </c>
      <c r="DP117" s="410">
        <f t="shared" si="90"/>
        <v>0</v>
      </c>
      <c r="DQ117" s="405" t="s">
        <v>855</v>
      </c>
      <c r="DR117" s="409" t="s">
        <v>3276</v>
      </c>
      <c r="DS117" s="420" t="str">
        <f t="shared" si="56"/>
        <v>FLINTSL - CYAN</v>
      </c>
      <c r="DT117" s="409">
        <v>25</v>
      </c>
      <c r="DU117" s="411">
        <f>IF(DT117=0,0,IF($LB117=70%,VLOOKUP($DS117,'Jan-2026 rates'!$L:$R,4,0),IF($LB117=65%,VLOOKUP($DS117,'Jan-2026 rates'!$L:$R,4,0),IF($LB117=40%,VLOOKUP($DS117,'Jan-2026 rates'!$L:$R,5,0),IF($LB117=30%,VLOOKUP($DS117,'Jan-2026 rates'!$L:$R,6,0),IF($LB117=100%,VLOOKUP($DS117,'Jan-2026 rates'!$L:$R,7,0),IF($LB117=60%,VLOOKUP($DS117,'Jan-2026 rates'!$L:$S,8,0),IF($LB117=80%,VLOOKUP($DS117,'Jan-2026 rates'!L:T,9,0),0))))))))</f>
        <v>0</v>
      </c>
      <c r="DV117" s="412"/>
      <c r="DW117" s="409"/>
      <c r="DX117" s="411">
        <f>IF(DW117=0,0,IF($LB117=70%,VLOOKUP($DS117,'Jan-2026 rates'!$L:$R,4,0),IF($LB117=65%,VLOOKUP($DS117,'Jan-2026 rates'!$L:$R,4,0),IF($LB117=40%,VLOOKUP($DS117,'Jan-2026 rates'!$L:$R,5,0),IF($LB117=30%,VLOOKUP($DS117,'Jan-2026 rates'!$L:$R,6,0),IF($LB117=100%,VLOOKUP($DS117,'Jan-2026 rates'!$L:$R,7,0),IF($LB117=60%,VLOOKUP($DS117,'Jan-2026 rates'!$L:$S,8,0),IF($LB117=80%,VLOOKUP($DS117,'Jan-2026 rates'!L:T,9,0),0))))))))</f>
        <v>0</v>
      </c>
      <c r="DY117" s="413">
        <v>26507000018</v>
      </c>
      <c r="DZ117" s="413"/>
      <c r="EA117" s="412"/>
      <c r="EB117" s="412"/>
      <c r="EC117" s="412"/>
      <c r="ED117" s="412"/>
      <c r="EE117" s="412"/>
      <c r="EF117" s="412"/>
      <c r="EG117" s="409">
        <v>1</v>
      </c>
      <c r="EH117" s="398" t="e">
        <f>IF(EG117=0,0,IF(LEN(DY117)=11,_xlfn.XLOOKUP(DY117,'Dispensed Ink Rates'!C:C,'Dispensed Ink Rates'!CS:CS),VLOOKUP(DY117,'Jan-2026 rates'!$E:$F,2,0)))</f>
        <v>#N/A</v>
      </c>
      <c r="EI117" s="409"/>
      <c r="EJ117" s="398">
        <f>IF(EI117=0,0,IF(LEN(DZ117)=11,_xlfn.XLOOKUP(DZ117,'Dispensed Ink Rates'!C:C,'Dispensed Ink Rates'!CS:CS),VLOOKUP(DZ117,'Jan-2026 rates'!$E:$F,2,0)))</f>
        <v>0</v>
      </c>
      <c r="EK117" s="409"/>
      <c r="EL117" s="398">
        <f>IF(EK117=0,0,IF(LEN(EA117)=11,_xlfn.XLOOKUP(EA117,'Dispensed Ink Rates'!C:C,'Dispensed Ink Rates'!CS:CS),VLOOKUP(EA117,'Jan-2026 rates'!$E:$F,2,0)))</f>
        <v>0</v>
      </c>
      <c r="EM117" s="409"/>
      <c r="EN117" s="398">
        <f>IF(EM117=0,0,IF(LEN(EB117)=11,_xlfn.XLOOKUP(EB117,'Dispensed Ink Rates'!C:C,'Dispensed Ink Rates'!CS:CS),VLOOKUP(EB117,'Jan-2026 rates'!$E:$F,2,0)))</f>
        <v>0</v>
      </c>
      <c r="EO117" s="409"/>
      <c r="EP117" s="398">
        <f>IF(EO117=0,0,IF(LEN(EC117)=11,_xlfn.XLOOKUP(EC117,'Dispensed Ink Rates'!C:C,'Dispensed Ink Rates'!CS:CS),VLOOKUP(EC117,'Jan-2026 rates'!$E:$F,2,0)))</f>
        <v>0</v>
      </c>
      <c r="EQ117" s="409"/>
      <c r="ER117" s="398">
        <f>IF(EQ117=0,0,IF(LEN(ED117)=11,_xlfn.XLOOKUP(ED117,'Dispensed Ink Rates'!C:C,'Dispensed Ink Rates'!CS:CS),VLOOKUP(ED117,'Jan-2026 rates'!$E:$F,2,0)))</f>
        <v>0</v>
      </c>
      <c r="ES117" s="409"/>
      <c r="ET117" s="398">
        <f>IF(ES117=0,0,IF(LEN(EE117)=11,_xlfn.XLOOKUP(EE117,'Dispensed Ink Rates'!C:C,'Dispensed Ink Rates'!CS:CS),VLOOKUP(EE117,'Jan-2026 rates'!$E:$F,2,0)))</f>
        <v>0</v>
      </c>
      <c r="EU117" s="409"/>
      <c r="EV117" s="398">
        <f>IF(EU117=0,0,IF(LEN(EF117)=11,_xlfn.XLOOKUP(EF117,'Dispensed Ink Rates'!C:C,'Dispensed Ink Rates'!CS:CS),VLOOKUP(EF117,'Jan-2026 rates'!$E:$F,2,0)))</f>
        <v>0</v>
      </c>
      <c r="EW117" s="409" t="s">
        <v>1443</v>
      </c>
      <c r="EX117" s="409">
        <v>24</v>
      </c>
      <c r="EY117" s="411">
        <f t="shared" si="91"/>
        <v>0</v>
      </c>
      <c r="EZ117" s="411">
        <f t="shared" si="92"/>
        <v>4.9846153846153847</v>
      </c>
      <c r="FA117" s="410">
        <f t="shared" si="93"/>
        <v>0</v>
      </c>
      <c r="FB117" s="405" t="s">
        <v>544</v>
      </c>
      <c r="FC117" s="409" t="s">
        <v>3277</v>
      </c>
      <c r="FD117" s="420" t="str">
        <f t="shared" si="57"/>
        <v>FLINTSL - MAGENTA</v>
      </c>
      <c r="FE117" s="409">
        <v>24</v>
      </c>
      <c r="FF117" s="411">
        <f>IF(FE117=0,0,IF($LB117=70%,VLOOKUP($FD117,'Jan-2026 rates'!$L:$R,4,0),IF($LB117=65%,VLOOKUP($FD117,'Jan-2026 rates'!$L:$R,4,0),IF($LB117=40%,VLOOKUP($FD117,'Jan-2026 rates'!$L:$R,5,0),IF($LB117=30%,VLOOKUP($FD117,'Jan-2026 rates'!$L:$R,6,0),IF($LB117=100%,VLOOKUP($FD117,'Jan-2026 rates'!$L:$R,7,0),IF($LB117=60%,VLOOKUP($FD117,'Jan-2026 rates'!$L:$S,8,0),IF($LB117=80%,VLOOKUP($FD117,'Jan-2026 rates'!L:T,9,0),0))))))))</f>
        <v>0</v>
      </c>
      <c r="FG117" s="412"/>
      <c r="FH117" s="409"/>
      <c r="FI117" s="411">
        <f>IF(FH117=0,0,IF($LB117=70%,VLOOKUP($FD117,'Jan-2026 rates'!$L:$R,4,0),IF($LB117=65%,VLOOKUP($FD117,'Jan-2026 rates'!$L:$R,4,0),IF($LB117=40%,VLOOKUP($FD117,'Jan-2026 rates'!$L:$R,5,0),IF($LB117=30%,VLOOKUP($FD117,'Jan-2026 rates'!$L:$R,6,0),IF($LB117=100%,VLOOKUP($FD117,'Jan-2026 rates'!$L:$R,7,0),IF($LB117=60%,VLOOKUP($FD117,'Jan-2026 rates'!$L:$S,8,0),IF($LB117=80%,VLOOKUP($FD117,'Jan-2026 rates'!L:T,9,0),0))))))))</f>
        <v>0</v>
      </c>
      <c r="FJ117" s="413">
        <v>26512000010</v>
      </c>
      <c r="FK117" s="413"/>
      <c r="FL117" s="413"/>
      <c r="FM117" s="412"/>
      <c r="FN117" s="412"/>
      <c r="FO117" s="412"/>
      <c r="FP117" s="412"/>
      <c r="FQ117" s="412"/>
      <c r="FR117" s="409">
        <v>3</v>
      </c>
      <c r="FS117" s="398" t="e">
        <f>IF(FR117=0,0,IF(LEN(FJ117)=11,_xlfn.XLOOKUP(FJ117,'Dispensed Ink Rates'!C:C,'Dispensed Ink Rates'!CS:CS),VLOOKUP(FJ117,'Jan-2026 rates'!$E:$F,2,0)))</f>
        <v>#N/A</v>
      </c>
      <c r="FT117" s="409"/>
      <c r="FU117" s="398">
        <f>IF(FT117=0,0,IF(LEN(FK117)=11,_xlfn.XLOOKUP(FK117,'Dispensed Ink Rates'!C:C,'Dispensed Ink Rates'!CS:CS),VLOOKUP(FK117,'Jan-2026 rates'!$E:$F,2,0)))</f>
        <v>0</v>
      </c>
      <c r="FV117" s="409"/>
      <c r="FW117" s="398">
        <f>IF(FV117=0,0,IF(LEN(FL117)=11,_xlfn.XLOOKUP(FL117,'Dispensed Ink Rates'!C:C,'Dispensed Ink Rates'!CS:CS),VLOOKUP(FL117,'Jan-2026 rates'!$E:$F,2,0)))</f>
        <v>0</v>
      </c>
      <c r="FX117" s="409"/>
      <c r="FY117" s="398">
        <f>IF(FX117=0,0,IF(LEN(FM117)=11,_xlfn.XLOOKUP(FM117,'Dispensed Ink Rates'!C:C,'Dispensed Ink Rates'!CS:CS),VLOOKUP(FM117,'Jan-2026 rates'!$E:$F,2,0)))</f>
        <v>0</v>
      </c>
      <c r="FZ117" s="409"/>
      <c r="GA117" s="398">
        <f>IF(FZ117=0,0,IF(LEN(FN117)=11,_xlfn.XLOOKUP(FN117,'Dispensed Ink Rates'!C:C,'Dispensed Ink Rates'!CS:CS),VLOOKUP(FN117,'Jan-2026 rates'!$E:$F,2,0)))</f>
        <v>0</v>
      </c>
      <c r="GB117" s="409"/>
      <c r="GC117" s="398">
        <f>IF(GB117=0,0,IF(LEN(FO117)=11,_xlfn.XLOOKUP(FO117,'Dispensed Ink Rates'!C:C,'Dispensed Ink Rates'!CS:CS),VLOOKUP(FO117,'Jan-2026 rates'!$E:$F,2,0)))</f>
        <v>0</v>
      </c>
      <c r="GD117" s="409"/>
      <c r="GE117" s="398">
        <f>IF(GD117=0,0,IF(LEN(FP117)=11,_xlfn.XLOOKUP(FP117,'Dispensed Ink Rates'!C:C,'Dispensed Ink Rates'!CS:CS),VLOOKUP(FP117,'Jan-2026 rates'!$E:$F,2,0)))</f>
        <v>0</v>
      </c>
      <c r="GF117" s="409"/>
      <c r="GG117" s="398">
        <f>IF(GF117=0,0,IF(LEN(FQ117)=11,_xlfn.XLOOKUP(FQ117,'Dispensed Ink Rates'!C:C,'Dispensed Ink Rates'!CS:CS),VLOOKUP(FQ117,'Jan-2026 rates'!$E:$F,2,0)))</f>
        <v>0</v>
      </c>
      <c r="GH117" s="409" t="s">
        <v>1443</v>
      </c>
      <c r="GI117" s="409">
        <v>26</v>
      </c>
      <c r="GJ117" s="411">
        <f t="shared" si="94"/>
        <v>0</v>
      </c>
      <c r="GK117" s="411">
        <f t="shared" si="95"/>
        <v>5.4769230769230788</v>
      </c>
      <c r="GL117" s="410">
        <f t="shared" si="96"/>
        <v>0</v>
      </c>
      <c r="GM117" s="405" t="s">
        <v>545</v>
      </c>
      <c r="GN117" s="409" t="s">
        <v>3278</v>
      </c>
      <c r="GO117" s="420" t="str">
        <f t="shared" si="58"/>
        <v>FLINTSL - YELLOW</v>
      </c>
      <c r="GP117" s="409">
        <v>27</v>
      </c>
      <c r="GQ117" s="411">
        <f>IF(GP117=0,0,IF($LB117=70%,VLOOKUP($GO117,'Jan-2026 rates'!$L:$R,4,0),IF($LB117=65%,VLOOKUP($GO117,'Jan-2026 rates'!$L:$R,4,0),IF($LB117=40%,VLOOKUP($GO117,'Jan-2026 rates'!$L:$R,5,0),IF($LB117=30%,VLOOKUP($GO117,'Jan-2026 rates'!$L:$R,6,0),IF($LB117=100%,VLOOKUP($GO117,'Jan-2026 rates'!$L:$R,7,0),IF($LB117=60%,VLOOKUP($GO117,'Jan-2026 rates'!$L:$S,8,0),IF($LB117=80%,VLOOKUP($GO117,'Jan-2026 rates'!L:T,9,0),0))))))))</f>
        <v>0</v>
      </c>
      <c r="GR117" s="412"/>
      <c r="GS117" s="409"/>
      <c r="GT117" s="411">
        <f>IF(GS117=0,0,IF($LB117=70%,VLOOKUP($GO117,'Jan-2026 rates'!$L:$R,4,0),IF($LB117=65%,VLOOKUP($GO117,'Jan-2026 rates'!$L:$R,4,0),IF($LB117=40%,VLOOKUP($GO117,'Jan-2026 rates'!$L:$R,5,0),IF($LB117=30%,VLOOKUP($GO117,'Jan-2026 rates'!$L:$R,6,0),IF($LB117=100%,VLOOKUP($GO117,'Jan-2026 rates'!$L:$R,7,0),IF($LB117=60%,VLOOKUP($GO117,'Jan-2026 rates'!$L:$S,8,0),IF($LB117=80%,VLOOKUP($GO117,'Jan-2026 rates'!L:T,9,0),0))))))))</f>
        <v>0</v>
      </c>
      <c r="GU117" s="413">
        <v>26510000016</v>
      </c>
      <c r="GV117" s="413" t="s">
        <v>1266</v>
      </c>
      <c r="GW117" s="412"/>
      <c r="GX117" s="412"/>
      <c r="GY117" s="412"/>
      <c r="GZ117" s="412"/>
      <c r="HA117" s="412"/>
      <c r="HB117" s="412"/>
      <c r="HC117" s="409">
        <f>1+1</f>
        <v>2</v>
      </c>
      <c r="HD117" s="398" t="e">
        <f>IF(HC117=0,0,IF(LEN(GU117)=11,_xlfn.XLOOKUP(GU117,'Dispensed Ink Rates'!C:C,'Dispensed Ink Rates'!CS:CS),VLOOKUP(GU117,'Jan-2026 rates'!$E:$F,2,0)))</f>
        <v>#N/A</v>
      </c>
      <c r="HE117" s="409">
        <v>2</v>
      </c>
      <c r="HF117" s="398">
        <f>IF(HE117=0,0,IF(LEN(GV117)=11,_xlfn.XLOOKUP(GV117,'Dispensed Ink Rates'!C:C,'Dispensed Ink Rates'!CS:CS),VLOOKUP(GV117,'Jan-2026 rates'!$E:$F,2,0)))</f>
        <v>0</v>
      </c>
      <c r="HG117" s="409"/>
      <c r="HH117" s="398">
        <f>IF(HG117=0,0,IF(LEN(GW117)=11,_xlfn.XLOOKUP(GW117,'Dispensed Ink Rates'!C:C,'Dispensed Ink Rates'!CS:CS),VLOOKUP(GW117,'Jan-2026 rates'!$E:$F,2,0)))</f>
        <v>0</v>
      </c>
      <c r="HI117" s="409"/>
      <c r="HJ117" s="398">
        <f>IF(HI117=0,0,IF(LEN(GX117)=11,_xlfn.XLOOKUP(GX117,'Dispensed Ink Rates'!C:C,'Dispensed Ink Rates'!CS:CS),VLOOKUP(GX117,'Jan-2026 rates'!$E:$F,2,0)))</f>
        <v>0</v>
      </c>
      <c r="HK117" s="409"/>
      <c r="HL117" s="398">
        <f>IF(HK117=0,0,IF(LEN(GY117)=11,_xlfn.XLOOKUP(GY117,'Dispensed Ink Rates'!C:C,'Dispensed Ink Rates'!CS:CS),VLOOKUP(GY117,'Jan-2026 rates'!$E:$F,2,0)))</f>
        <v>0</v>
      </c>
      <c r="HM117" s="409"/>
      <c r="HN117" s="398">
        <f>IF(HM117=0,0,IF(LEN(GZ117)=11,_xlfn.XLOOKUP(GZ117,'Dispensed Ink Rates'!C:C,'Dispensed Ink Rates'!CS:CS),VLOOKUP(GZ117,'Jan-2026 rates'!$E:$F,2,0)))</f>
        <v>0</v>
      </c>
      <c r="HO117" s="409"/>
      <c r="HP117" s="398">
        <f>IF(HO117=0,0,IF(LEN(HA117)=11,_xlfn.XLOOKUP(HA117,'Dispensed Ink Rates'!C:C,'Dispensed Ink Rates'!CS:CS),VLOOKUP(HA117,'Jan-2026 rates'!$E:$F,2,0)))</f>
        <v>0</v>
      </c>
      <c r="HQ117" s="409"/>
      <c r="HR117" s="398">
        <f>IF(HQ117=0,0,IF(LEN(HB117)=11,_xlfn.XLOOKUP(HB117,'Dispensed Ink Rates'!C:C,'Dispensed Ink Rates'!CS:CS),VLOOKUP(HB117,'Jan-2026 rates'!$E:$F,2,0)))</f>
        <v>0</v>
      </c>
      <c r="HS117" s="409" t="s">
        <v>1443</v>
      </c>
      <c r="HT117" s="409">
        <v>29</v>
      </c>
      <c r="HU117" s="411">
        <f t="shared" si="97"/>
        <v>0</v>
      </c>
      <c r="HV117" s="411">
        <f t="shared" si="98"/>
        <v>9.4615384615384599</v>
      </c>
      <c r="HW117" s="414">
        <f t="shared" si="99"/>
        <v>0</v>
      </c>
      <c r="HX117" s="405" t="s">
        <v>856</v>
      </c>
      <c r="HY117" s="409" t="s">
        <v>3279</v>
      </c>
      <c r="HZ117" s="420" t="str">
        <f t="shared" si="59"/>
        <v>FLINTSL - WHITE</v>
      </c>
      <c r="IA117" s="409">
        <v>28</v>
      </c>
      <c r="IB117" s="411">
        <f>IF(IA117=0,0,IF($LB117=70%,VLOOKUP($HZ117,'Jan-2026 rates'!$L:$R,4,0),IF($LB117=65%,VLOOKUP($HZ117,'Jan-2026 rates'!$L:$R,4,0),IF($LB117=40%,VLOOKUP($HZ117,'Jan-2026 rates'!$L:$R,5,0),IF($LB117=30%,VLOOKUP($HZ117,'Jan-2026 rates'!$L:$R,6,0),IF($LB117=100%,VLOOKUP($HZ117,'Jan-2026 rates'!$L:$R,7,0),IF($LB117=60%,VLOOKUP($HZ117,'Jan-2026 rates'!$L:$S,8,0),IF($LB117=80%,VLOOKUP($HZ117,'Jan-2026 rates'!L:T,9,0),0))))))))</f>
        <v>0</v>
      </c>
      <c r="IC117" s="412"/>
      <c r="ID117" s="409"/>
      <c r="IE117" s="411">
        <f>IF(ID117=0,0,IF($LB117=70%,VLOOKUP($HZ117,'Jan-2026 rates'!$L:$R,4,0),IF($LB117=65%,VLOOKUP($HZ117,'Jan-2026 rates'!$L:$R,4,0),IF($LB117=40%,VLOOKUP($HZ117,'Jan-2026 rates'!$L:$R,5,0),IF($LB117=30%,VLOOKUP($HZ117,'Jan-2026 rates'!$L:$R,6,0),IF($LB117=100%,VLOOKUP($HZ117,'Jan-2026 rates'!$L:$R,7,0),IF($LB117=60%,VLOOKUP($HZ117,'Jan-2026 rates'!$L:$S,8,0),IF($LB117=80%,VLOOKUP($HZ117,'Jan-2026 rates'!L:T,9,0),0))))))))</f>
        <v>0</v>
      </c>
      <c r="IF117" s="412" t="s">
        <v>484</v>
      </c>
      <c r="IG117" s="413"/>
      <c r="IH117" s="412"/>
      <c r="II117" s="412"/>
      <c r="IJ117" s="412"/>
      <c r="IK117" s="412"/>
      <c r="IL117" s="412"/>
      <c r="IM117" s="412"/>
      <c r="IN117" s="409">
        <v>80</v>
      </c>
      <c r="IO117" s="398">
        <f>IF(IN117=0,0,IF(LEN(IF117)=11,_xlfn.XLOOKUP(IF117,'Dispensed Ink Rates'!C:C,'Dispensed Ink Rates'!CS:CS),VLOOKUP(IF117,'Jan-2026 rates'!$E:$F,2,0)))</f>
        <v>0</v>
      </c>
      <c r="IP117" s="409"/>
      <c r="IQ117" s="398">
        <f>IF(IP117=0,0,IF(LEN(IG117)=11,_xlfn.XLOOKUP(IG117,'Dispensed Ink Rates'!C:C,'Dispensed Ink Rates'!CS:CS),VLOOKUP(IG117,'Jan-2026 rates'!$E:$F,2,0)))</f>
        <v>0</v>
      </c>
      <c r="IR117" s="409"/>
      <c r="IS117" s="398">
        <f>IF(IR117=0,0,IF(LEN(IH117)=11,_xlfn.XLOOKUP(IH117,'Dispensed Ink Rates'!C:C,'Dispensed Ink Rates'!CS:CS),VLOOKUP(IH117,'Jan-2026 rates'!$E:$F,2,0)))</f>
        <v>0</v>
      </c>
      <c r="IT117" s="409"/>
      <c r="IU117" s="398">
        <f>IF(IT117=0,0,IF(LEN(II117)=11,_xlfn.XLOOKUP(II117,'Dispensed Ink Rates'!C:C,'Dispensed Ink Rates'!CS:CS),VLOOKUP(II117,'Jan-2026 rates'!$E:$F,2,0)))</f>
        <v>0</v>
      </c>
      <c r="IV117" s="409"/>
      <c r="IW117" s="398">
        <f>IF(IV117=0,0,IF(LEN(IJ117)=11,_xlfn.XLOOKUP(IJ117,'Dispensed Ink Rates'!C:C,'Dispensed Ink Rates'!CS:CS),VLOOKUP(IJ117,'Jan-2026 rates'!$E:$F,2,0)))</f>
        <v>0</v>
      </c>
      <c r="IX117" s="409"/>
      <c r="IY117" s="398">
        <f>IF(IX117=0,0,IF(LEN(IK117)=11,_xlfn.XLOOKUP(IK117,'Dispensed Ink Rates'!C:C,'Dispensed Ink Rates'!CS:CS),VLOOKUP(IK117,'Jan-2026 rates'!$E:$F,2,0)))</f>
        <v>0</v>
      </c>
      <c r="IZ117" s="409"/>
      <c r="JA117" s="398">
        <f>IF(IZ117=0,0,IF(LEN(IL117)=11,_xlfn.XLOOKUP(IL117,'Dispensed Ink Rates'!C:C,'Dispensed Ink Rates'!CS:CS),VLOOKUP(IL117,'Jan-2026 rates'!$E:$F,2,0)))</f>
        <v>0</v>
      </c>
      <c r="JB117" s="409"/>
      <c r="JC117" s="398">
        <f>IF(JB117=0,0,IF(LEN(IM117)=11,_xlfn.XLOOKUP(IM117,'Dispensed Ink Rates'!C:C,'Dispensed Ink Rates'!CS:CS),VLOOKUP(IM117,'Jan-2026 rates'!$E:$F,2,0)))</f>
        <v>0</v>
      </c>
      <c r="JD117" s="409" t="s">
        <v>1443</v>
      </c>
      <c r="JE117" s="409">
        <v>26</v>
      </c>
      <c r="JF117" s="411">
        <f t="shared" si="100"/>
        <v>0</v>
      </c>
      <c r="JG117" s="411">
        <f t="shared" si="101"/>
        <v>141.69230769230768</v>
      </c>
      <c r="JH117" s="410">
        <f t="shared" si="102"/>
        <v>0</v>
      </c>
      <c r="JI117" s="405"/>
      <c r="JJ117" s="409"/>
      <c r="JK117" s="420" t="str">
        <f t="shared" si="60"/>
        <v xml:space="preserve"> - </v>
      </c>
      <c r="JL117" s="409"/>
      <c r="JM117" s="411">
        <f>IF(JL117=0,0,IF($LB117=70%,VLOOKUP($JK117,'Jan-2026 rates'!$L:$R,4,0),IF($LB117=65%,VLOOKUP($JK117,'Jan-2026 rates'!$L:$R,4,0),IF($LB117=40%,VLOOKUP($JK117,'Jan-2026 rates'!$L:$R,5,0),IF($LB117=30%,VLOOKUP($JK117,'Jan-2026 rates'!$L:$R,6,0),IF($LB117=100%,VLOOKUP($JK117,'Jan-2026 rates'!$L:$R,7,0),IF($LB117=60%,VLOOKUP($JK117,'Jan-2026 rates'!$L:$S,8,0),IF($LB117=80%,VLOOKUP($JK117,'Jan-2026 rates'!L:T,9,0),0))))))))</f>
        <v>0</v>
      </c>
      <c r="JN117" s="412"/>
      <c r="JO117" s="409"/>
      <c r="JP117" s="411">
        <f>IF(JO117=0,0,IF($LB117=70%,VLOOKUP($JK117,'Jan-2026 rates'!$L:$R,4,0),IF($LB117=65%,VLOOKUP($JK117,'Jan-2026 rates'!$L:$R,4,0),IF($LB117=40%,VLOOKUP($JK117,'Jan-2026 rates'!$L:$R,5,0),IF($LB117=30%,VLOOKUP($JK117,'Jan-2026 rates'!$L:$R,6,0),IF($LB117=100%,VLOOKUP($JK117,'Jan-2026 rates'!$L:$R,7,0),IF($LB117=60%,VLOOKUP($JK117,'Jan-2026 rates'!$L:$S,8,0),IF($LB117=80%,VLOOKUP($JK117,'Jan-2026 rates'!L:T,9,0),0))))))))</f>
        <v>0</v>
      </c>
      <c r="JQ117" s="413"/>
      <c r="JR117" s="412"/>
      <c r="JS117" s="413"/>
      <c r="JT117" s="413"/>
      <c r="JU117" s="412"/>
      <c r="JV117" s="412"/>
      <c r="JW117" s="412"/>
      <c r="JX117" s="412"/>
      <c r="JY117" s="409"/>
      <c r="JZ117" s="398">
        <f>IF(JY117=0,0,IF(LEN(JQ117)=11,_xlfn.XLOOKUP(JQ117,'Dispensed Ink Rates'!C:C,'Dispensed Ink Rates'!CS:CS),VLOOKUP(JQ117,'Jan-2026 rates'!$E:$F,2,0)))</f>
        <v>0</v>
      </c>
      <c r="KA117" s="409"/>
      <c r="KB117" s="398">
        <f>IF(KA117=0,0,IF(LEN(JR117)=11,_xlfn.XLOOKUP(JR117,'Dispensed Ink Rates'!C:C,'Dispensed Ink Rates'!CS:CS),VLOOKUP(JR117,'Jan-2026 rates'!$E:$F,2,0)))</f>
        <v>0</v>
      </c>
      <c r="KC117" s="409"/>
      <c r="KD117" s="398">
        <f>IF(KC117=0,0,IF(LEN(JS117)=11,_xlfn.XLOOKUP(JS117,'Dispensed Ink Rates'!C:C,'Dispensed Ink Rates'!CS:CS),VLOOKUP(JS117,'Jan-2026 rates'!$E:$F,2,0)))</f>
        <v>0</v>
      </c>
      <c r="KE117" s="409"/>
      <c r="KF117" s="398">
        <f>IF(KE117=0,0,IF(LEN(JT117)=11,_xlfn.XLOOKUP(JT117,'Dispensed Ink Rates'!C:C,'Dispensed Ink Rates'!CS:CS),VLOOKUP(JT117,'Jan-2026 rates'!$E:$F,2,0)))</f>
        <v>0</v>
      </c>
      <c r="KG117" s="409"/>
      <c r="KH117" s="398">
        <f>IF(KG117=0,0,IF(LEN(JU117)=11,_xlfn.XLOOKUP(JU117,'Dispensed Ink Rates'!C:C,'Dispensed Ink Rates'!CS:CS),VLOOKUP(JU117,'Jan-2026 rates'!$E:$F,2,0)))</f>
        <v>0</v>
      </c>
      <c r="KI117" s="409"/>
      <c r="KJ117" s="398">
        <f>IF(KI117=0,0,IF(LEN(JV117)=11,_xlfn.XLOOKUP(JV117,'Dispensed Ink Rates'!C:C,'Dispensed Ink Rates'!CS:CS),VLOOKUP(JV117,'Jan-2026 rates'!$E:$F,2,0)))</f>
        <v>0</v>
      </c>
      <c r="KK117" s="409"/>
      <c r="KL117" s="398">
        <f>IF(KK117=0,0,IF(LEN(JW117)=11,_xlfn.XLOOKUP(JW117,'Dispensed Ink Rates'!C:C,'Dispensed Ink Rates'!CS:CS),VLOOKUP(JW117,'Jan-2026 rates'!$E:$F,2,0)))</f>
        <v>0</v>
      </c>
      <c r="KM117" s="428"/>
      <c r="KN117" s="398">
        <f>IF(KM117=0,0,IF(LEN(JX117)=11,_xlfn.XLOOKUP(JX117,'Dispensed Ink Rates'!C:C,'Dispensed Ink Rates'!CS:CS),VLOOKUP(JX117,'Jan-2026 rates'!$E:$F,2,0)))</f>
        <v>0</v>
      </c>
      <c r="KO117" s="409"/>
      <c r="KP117" s="409"/>
      <c r="KQ117" s="411">
        <f t="shared" si="103"/>
        <v>0</v>
      </c>
      <c r="KR117" s="411">
        <f t="shared" si="104"/>
        <v>0</v>
      </c>
      <c r="KS117" s="410">
        <f t="shared" si="105"/>
        <v>0</v>
      </c>
      <c r="KT117" s="409">
        <v>3</v>
      </c>
      <c r="KU117" s="409">
        <v>8</v>
      </c>
      <c r="KV117" s="409">
        <v>4</v>
      </c>
      <c r="KW117" s="409">
        <v>2</v>
      </c>
      <c r="KX117" s="409">
        <v>3</v>
      </c>
      <c r="KY117" s="409">
        <v>5</v>
      </c>
      <c r="KZ117" s="409">
        <f>30+10</f>
        <v>40</v>
      </c>
      <c r="LA117" s="409">
        <v>0</v>
      </c>
      <c r="LB117" s="415">
        <v>0.8</v>
      </c>
      <c r="LC117" s="415">
        <v>0.2</v>
      </c>
      <c r="LD117" s="415"/>
      <c r="LE117" s="415"/>
      <c r="LF117" s="415"/>
      <c r="LG117" s="409">
        <v>0</v>
      </c>
      <c r="LH117" s="409">
        <f>40+27+24+6</f>
        <v>97</v>
      </c>
      <c r="LI117" s="409">
        <v>0</v>
      </c>
      <c r="LJ117" s="409">
        <v>0</v>
      </c>
      <c r="LK117" s="416">
        <f t="shared" si="61"/>
        <v>97</v>
      </c>
      <c r="LL117" s="416">
        <f t="shared" si="62"/>
        <v>97</v>
      </c>
      <c r="LM117" s="417">
        <f t="shared" si="63"/>
        <v>77.600000000000009</v>
      </c>
      <c r="LN117" s="417">
        <f>VLOOKUP($LM$8,'Jan-2026 rates'!$H:$I,2,0)</f>
        <v>0</v>
      </c>
      <c r="LO117" s="417">
        <f t="shared" si="64"/>
        <v>19.400000000000002</v>
      </c>
      <c r="LP117" s="417">
        <f>VLOOKUP($LO$8,'Jan-2026 rates'!$H:$I,2,0)</f>
        <v>0</v>
      </c>
      <c r="LQ117" s="417">
        <f t="shared" si="65"/>
        <v>0</v>
      </c>
      <c r="LR117" s="417">
        <f>VLOOKUP($LQ$8,'Jan-2026 rates'!$H:$I,2,0)</f>
        <v>0</v>
      </c>
      <c r="LS117" s="417">
        <f t="shared" si="66"/>
        <v>0</v>
      </c>
      <c r="LT117" s="417">
        <f>VLOOKUP($LS$8,'Jan-2026 rates'!$H:$I,2,0)</f>
        <v>0</v>
      </c>
      <c r="LU117" s="417">
        <f t="shared" si="67"/>
        <v>0</v>
      </c>
      <c r="LV117" s="417">
        <f>VLOOKUP($LU$8,'Jan-2026 rates'!$H:$I,2,0)</f>
        <v>0</v>
      </c>
      <c r="LW117" s="417">
        <f t="shared" si="68"/>
        <v>0</v>
      </c>
      <c r="LX117" s="417">
        <f t="shared" si="69"/>
        <v>0</v>
      </c>
      <c r="LY117" s="418">
        <f t="shared" si="70"/>
        <v>0</v>
      </c>
      <c r="LZ117" s="417"/>
      <c r="MA117" s="435">
        <f t="shared" si="71"/>
        <v>119</v>
      </c>
      <c r="MB117" s="282">
        <f t="shared" si="72"/>
        <v>184</v>
      </c>
      <c r="MC117" s="283">
        <v>72</v>
      </c>
      <c r="MD117" s="284" t="str">
        <f t="shared" si="73"/>
        <v>FLINTSLFLINTSLFLINTSLFLINTSLFLINTSLFLINTSLFLINTSL</v>
      </c>
      <c r="ME117" s="293" t="str">
        <f t="shared" si="74"/>
        <v>+</v>
      </c>
      <c r="MF117" s="293" t="str">
        <f t="shared" si="75"/>
        <v>+</v>
      </c>
      <c r="MG117" s="293" t="str">
        <f t="shared" si="76"/>
        <v>+</v>
      </c>
      <c r="MH117" s="293" t="str">
        <f t="shared" si="77"/>
        <v>+</v>
      </c>
      <c r="MI117" s="293" t="str">
        <f t="shared" si="78"/>
        <v>+</v>
      </c>
      <c r="MJ117" s="293" t="str">
        <f t="shared" si="79"/>
        <v>+</v>
      </c>
      <c r="MK117" s="293" t="str">
        <f t="shared" si="80"/>
        <v>+</v>
      </c>
      <c r="ML117" s="293" t="str">
        <f t="shared" si="81"/>
        <v>NIL</v>
      </c>
      <c r="MM117" s="3" t="b">
        <f t="array" ref="MM117">OR(ME117:ML117="-")</f>
        <v>0</v>
      </c>
      <c r="MN117" s="285"/>
      <c r="MO117" s="401"/>
      <c r="MP117" s="286"/>
      <c r="MQ117" s="286"/>
      <c r="MR117" s="402"/>
      <c r="MS117" s="400"/>
      <c r="NH117" s="422"/>
      <c r="NJ117" s="421"/>
    </row>
    <row r="118" spans="1:374" s="1" customFormat="1" ht="16.5">
      <c r="A118" s="403">
        <v>46032</v>
      </c>
      <c r="B118" s="404" t="s">
        <v>1018</v>
      </c>
      <c r="C118" s="405" t="s">
        <v>3280</v>
      </c>
      <c r="D118" s="406">
        <v>73</v>
      </c>
      <c r="E118" s="404">
        <v>304</v>
      </c>
      <c r="F118" s="407">
        <v>14900</v>
      </c>
      <c r="G118" s="407" t="s">
        <v>1019</v>
      </c>
      <c r="H118" s="408" t="s">
        <v>1017</v>
      </c>
      <c r="I118" s="409">
        <v>0.3</v>
      </c>
      <c r="J118" s="405" t="s">
        <v>547</v>
      </c>
      <c r="K118" s="404" t="s">
        <v>3281</v>
      </c>
      <c r="L118" s="419" t="str">
        <f t="shared" si="54"/>
        <v>FLINTSL - GREEN</v>
      </c>
      <c r="M118" s="404">
        <v>29</v>
      </c>
      <c r="N118" s="410">
        <f>IF(M118=0,0,IF($LB118=70%,VLOOKUP($L118,'Jan-2026 rates'!$L:$R,4,0),IF($LB118=65%,VLOOKUP($L118,'Jan-2026 rates'!$L:$R,4,0),IF($LB118=40%,VLOOKUP($L118,'Jan-2026 rates'!$L:$R,5,0),IF($LB118=30%,VLOOKUP($L118,'Jan-2026 rates'!$L:$R,6,0),IF($LB118=100%,VLOOKUP($L118,'Jan-2026 rates'!$L:$R,7,0),IF($LB118=60%,VLOOKUP($L118,'Jan-2026 rates'!$L:$S,8,0),IF($LB118=80%,VLOOKUP($L118,'Jan-2026 rates'!L:T,9,0),0))))))))</f>
        <v>0</v>
      </c>
      <c r="O118" s="406"/>
      <c r="P118" s="404"/>
      <c r="Q118" s="410">
        <f>IF(P118=0,0,IF($LB118=70%,VLOOKUP($L118,'Jan-2026 rates'!$L:$R,4,0),IF($LB118=65%,VLOOKUP($L118,'Jan-2026 rates'!$L:$R,4,0),IF($LB118=40%,VLOOKUP($L118,'Jan-2026 rates'!$L:$R,5,0),IF($LB118=30%,VLOOKUP($L118,'Jan-2026 rates'!$L:$R,6,0),IF($LB118=100%,VLOOKUP($L118,'Jan-2026 rates'!$L:$R,7,0),IF($LB118=60%,VLOOKUP($L118,'Jan-2026 rates'!$L:$S,8,0),IF($LB118=80%,VLOOKUP($L118,'Jan-2026 rates'!L:T,9,0),0))))))))</f>
        <v>0</v>
      </c>
      <c r="R118" s="406">
        <v>26507000010</v>
      </c>
      <c r="S118" s="406"/>
      <c r="T118" s="406"/>
      <c r="U118" s="406"/>
      <c r="V118" s="406"/>
      <c r="W118" s="406"/>
      <c r="X118" s="406"/>
      <c r="Y118" s="406"/>
      <c r="Z118" s="404">
        <v>2</v>
      </c>
      <c r="AA118" s="398" t="e">
        <f>IF(Z118=0,0,IF(LEN(R118)=11,_xlfn.XLOOKUP(R118,'Dispensed Ink Rates'!C:C,'Dispensed Ink Rates'!CS:CS),VLOOKUP(R118,'Jan-2026 rates'!$E:$F,2,0)))</f>
        <v>#N/A</v>
      </c>
      <c r="AB118" s="404"/>
      <c r="AC118" s="398">
        <f>IF(AB118=0,0,IF(LEN(S118)=11,_xlfn.XLOOKUP(S118,'Dispensed Ink Rates'!C:C,'Dispensed Ink Rates'!CS:CS),VLOOKUP(S118,'Jan-2026 rates'!$E:$F,2,0)))</f>
        <v>0</v>
      </c>
      <c r="AD118" s="404"/>
      <c r="AE118" s="398">
        <f>IF(AD118=0,0,IF(LEN(T118)=11,_xlfn.XLOOKUP(T118,'Dispensed Ink Rates'!C:C,'Dispensed Ink Rates'!CS:CS),VLOOKUP(T118,'Jan-2026 rates'!$E:$F,2,0)))</f>
        <v>0</v>
      </c>
      <c r="AF118" s="404"/>
      <c r="AG118" s="398">
        <f>IF(AF118=0,0,IF(LEN(U118)=11,_xlfn.XLOOKUP(U118,'Dispensed Ink Rates'!C:C,'Dispensed Ink Rates'!CS:CS),VLOOKUP(U118,'Jan-2026 rates'!$E:$F,2,0)))</f>
        <v>0</v>
      </c>
      <c r="AH118" s="404"/>
      <c r="AI118" s="398">
        <f>IF(AH118=0,0,IF(LEN(V118)=11,_xlfn.XLOOKUP(V118,'Dispensed Ink Rates'!C:C,'Dispensed Ink Rates'!CS:CS),VLOOKUP(V118,'Jan-2026 rates'!$E:$F,2,0)))</f>
        <v>0</v>
      </c>
      <c r="AJ118" s="404"/>
      <c r="AK118" s="398">
        <f>IF(AJ118=0,0,IF(LEN(W118)=11,_xlfn.XLOOKUP(W118,'Dispensed Ink Rates'!C:C,'Dispensed Ink Rates'!CS:CS),VLOOKUP(W118,'Jan-2026 rates'!$E:$F,2,0)))</f>
        <v>0</v>
      </c>
      <c r="AL118" s="404"/>
      <c r="AM118" s="398">
        <f>IF(AL118=0,0,IF(LEN(X118)=11,_xlfn.XLOOKUP(X118,'Dispensed Ink Rates'!C:C,'Dispensed Ink Rates'!CS:CS),VLOOKUP(X118,'Jan-2026 rates'!$E:$F,2,0)))</f>
        <v>0</v>
      </c>
      <c r="AN118" s="404"/>
      <c r="AO118" s="398">
        <f>IF(AN118=0,0,IF(LEN(Y118)=11,_xlfn.XLOOKUP(Y118,'Dispensed Ink Rates'!C:C,'Dispensed Ink Rates'!CS:CS),VLOOKUP(Y118,'Jan-2026 rates'!$E:$F,2,0)))</f>
        <v>0</v>
      </c>
      <c r="AP118" s="409" t="s">
        <v>1443</v>
      </c>
      <c r="AQ118" s="409">
        <v>27</v>
      </c>
      <c r="AR118" s="410">
        <f t="shared" si="82"/>
        <v>0</v>
      </c>
      <c r="AS118" s="411">
        <f t="shared" si="83"/>
        <v>8.6923076923076934</v>
      </c>
      <c r="AT118" s="410">
        <f t="shared" si="84"/>
        <v>0</v>
      </c>
      <c r="AU118" s="405" t="s">
        <v>547</v>
      </c>
      <c r="AV118" s="409" t="s">
        <v>3254</v>
      </c>
      <c r="AW118" s="420" t="str">
        <f t="shared" si="53"/>
        <v>FLINTSL - GREEN</v>
      </c>
      <c r="AX118" s="409">
        <v>20</v>
      </c>
      <c r="AY118" s="411">
        <f>IF(AX118=0,0,IF($LB118=70%,VLOOKUP($AW118,'Jan-2026 rates'!$L:$R,4,0),IF($LB118=65%,VLOOKUP($AW118,'Jan-2026 rates'!$L:$R,4,0),IF($LB118=40%,VLOOKUP($AW118,'Jan-2026 rates'!$L:$R,5,0),IF($LB118=30%,VLOOKUP($AW118,'Jan-2026 rates'!$L:$R,6,0),IF($LB118=100%,VLOOKUP($AW118,'Jan-2026 rates'!$L:$R,7,0),IF($LB118=60%,VLOOKUP($AW118,'Jan-2026 rates'!$L:$S,8,0),IF($LB118=80%,VLOOKUP($AW118,'Jan-2026 rates'!L:T,9,0),0))))))))</f>
        <v>0</v>
      </c>
      <c r="AZ118" s="412"/>
      <c r="BA118" s="409"/>
      <c r="BB118" s="411">
        <f>IF(BA118=0,0,IF($LB118=70%,VLOOKUP($AW118,'Jan-2026 rates'!$L:$R,4,0),IF($LB118=65%,VLOOKUP($AW118,'Jan-2026 rates'!$L:$R,4,0),IF($LB118=40%,VLOOKUP($AW118,'Jan-2026 rates'!$L:$R,5,0),IF($LB118=30%,VLOOKUP($AW118,'Jan-2026 rates'!$L:$R,6,0),IF($LB118=100%,VLOOKUP($AW118,'Jan-2026 rates'!$L:$R,7,0),IF($LB118=60%,VLOOKUP($AW118,'Jan-2026 rates'!$L:$S,8,0),IF($LB118=80%,VLOOKUP($AW118,'Jan-2026 rates'!L:T,9,0),0))))))))</f>
        <v>0</v>
      </c>
      <c r="BC118" s="413">
        <v>26507000018</v>
      </c>
      <c r="BD118" s="412">
        <v>26510000016</v>
      </c>
      <c r="BE118" s="412"/>
      <c r="BF118" s="413"/>
      <c r="BG118" s="412"/>
      <c r="BH118" s="412"/>
      <c r="BI118" s="412"/>
      <c r="BJ118" s="412"/>
      <c r="BK118" s="409">
        <v>4</v>
      </c>
      <c r="BL118" s="398" t="e">
        <f>IF(BK118=0,0,IF(LEN(BC118)=11,_xlfn.XLOOKUP(BC118,'Dispensed Ink Rates'!C:C,'Dispensed Ink Rates'!CS:CS),VLOOKUP(BC118,'Jan-2026 rates'!$E:$F,2,0)))</f>
        <v>#N/A</v>
      </c>
      <c r="BM118" s="409">
        <v>7</v>
      </c>
      <c r="BN118" s="398" t="e">
        <f>IF(BM118=0,0,IF(LEN(BD118)=11,_xlfn.XLOOKUP(BD118,'Dispensed Ink Rates'!C:C,'Dispensed Ink Rates'!CS:CS),VLOOKUP(BD118,'Jan-2026 rates'!$E:$F,2,0)))</f>
        <v>#N/A</v>
      </c>
      <c r="BO118" s="409"/>
      <c r="BP118" s="398">
        <f>IF(BO118=0,0,IF(LEN(BE118)=11,_xlfn.XLOOKUP(BE118,'Dispensed Ink Rates'!C:C,'Dispensed Ink Rates'!CS:CS),VLOOKUP(BE118,'Jan-2026 rates'!$E:$F,2,0)))</f>
        <v>0</v>
      </c>
      <c r="BQ118" s="409"/>
      <c r="BR118" s="398">
        <f>IF(BQ118=0,0,IF(LEN(BF118)=11,_xlfn.XLOOKUP(BF118,'Dispensed Ink Rates'!C:C,'Dispensed Ink Rates'!CS:CS),VLOOKUP(BF118,'Jan-2026 rates'!$E:$F,2,0)))</f>
        <v>0</v>
      </c>
      <c r="BS118" s="409"/>
      <c r="BT118" s="398">
        <f>IF(BS118=0,0,IF(LEN(BG118)=11,_xlfn.XLOOKUP(BG118,'Dispensed Ink Rates'!C:C,'Dispensed Ink Rates'!CS:CS),VLOOKUP(BG118,'Jan-2026 rates'!$E:$F,2,0)))</f>
        <v>0</v>
      </c>
      <c r="BU118" s="409"/>
      <c r="BV118" s="398">
        <f>IF(BU118=0,0,IF(LEN(BH118)=11,_xlfn.XLOOKUP(BH118,'Dispensed Ink Rates'!C:C,'Dispensed Ink Rates'!CS:CS),VLOOKUP(BH118,'Jan-2026 rates'!$E:$F,2,0)))</f>
        <v>0</v>
      </c>
      <c r="BW118" s="409"/>
      <c r="BX118" s="398">
        <f>IF(BW118=0,0,IF(LEN(BI118)=11,_xlfn.XLOOKUP(BI118,'Dispensed Ink Rates'!C:C,'Dispensed Ink Rates'!CS:CS),VLOOKUP(BI118,'Jan-2026 rates'!$E:$F,2,0)))</f>
        <v>0</v>
      </c>
      <c r="BY118" s="409"/>
      <c r="BZ118" s="398">
        <f>IF(BY118=0,0,IF(LEN(BJ118)=11,_xlfn.XLOOKUP(BJ118,'Dispensed Ink Rates'!C:C,'Dispensed Ink Rates'!CS:CS),VLOOKUP(BJ118,'Jan-2026 rates'!$E:$F,2,0)))</f>
        <v>0</v>
      </c>
      <c r="CA118" s="409" t="s">
        <v>1443</v>
      </c>
      <c r="CB118" s="409">
        <v>25</v>
      </c>
      <c r="CC118" s="411">
        <f t="shared" si="85"/>
        <v>0</v>
      </c>
      <c r="CD118" s="411">
        <f t="shared" si="86"/>
        <v>13.03846153846154</v>
      </c>
      <c r="CE118" s="410">
        <f t="shared" si="87"/>
        <v>0</v>
      </c>
      <c r="CF118" s="404" t="s">
        <v>857</v>
      </c>
      <c r="CG118" s="409" t="s">
        <v>3282</v>
      </c>
      <c r="CH118" s="420" t="str">
        <f t="shared" si="55"/>
        <v>FLINTSL - RED</v>
      </c>
      <c r="CI118" s="409">
        <v>15</v>
      </c>
      <c r="CJ118" s="411">
        <f>IF(CI118=0,0,IF($LB118=70%,VLOOKUP($CH118,'Jan-2026 rates'!$L:$R,4,0),IF($LB118=65%,VLOOKUP($CH118,'Jan-2026 rates'!$L:$R,4,0),IF($LB118=40%,VLOOKUP($CH118,'Jan-2026 rates'!$L:$R,5,0),IF($LB118=30%,VLOOKUP($CH118,'Jan-2026 rates'!$L:$R,6,0),IF($LB118=100%,VLOOKUP($CH118,'Jan-2026 rates'!$L:$R,7,0),IF($LB118=60%,VLOOKUP($CH118,'Jan-2026 rates'!$L:$S,8,0),IF($LB118=80%,VLOOKUP($CH118,'Jan-2026 rates'!L:T,9,0),0))))))))</f>
        <v>0</v>
      </c>
      <c r="CK118" s="412"/>
      <c r="CL118" s="409"/>
      <c r="CM118" s="411">
        <f>IF(CL118=0,0,IF($LB118=70%,VLOOKUP($CH118,'Jan-2026 rates'!$L:$R,4,0),IF($LB118=65%,VLOOKUP($CH118,'Jan-2026 rates'!$L:$R,4,0),IF($LB118=40%,VLOOKUP($CH118,'Jan-2026 rates'!$L:$R,5,0),IF($LB118=30%,VLOOKUP($CH118,'Jan-2026 rates'!$L:$R,6,0),IF($LB118=100%,VLOOKUP($CH118,'Jan-2026 rates'!$L:$R,7,0),IF($LB118=60%,VLOOKUP($CH118,'Jan-2026 rates'!$L:$S,8,0),IF($LB118=80%,VLOOKUP($CH118,'Jan-2026 rates'!L:T,9,0),0))))))))</f>
        <v>0</v>
      </c>
      <c r="CN118" s="426">
        <v>26505000028</v>
      </c>
      <c r="CO118" s="427">
        <v>26512000010</v>
      </c>
      <c r="CP118" s="426"/>
      <c r="CQ118" s="426"/>
      <c r="CR118" s="428"/>
      <c r="CS118" s="428"/>
      <c r="CT118" s="428"/>
      <c r="CU118" s="428"/>
      <c r="CV118" s="409">
        <f>8+2</f>
        <v>10</v>
      </c>
      <c r="CW118" s="398" t="e">
        <f>IF(CV118=0,0,IF(LEN(CN118)=11,_xlfn.XLOOKUP(CN118,'Dispensed Ink Rates'!C:C,'Dispensed Ink Rates'!CS:CS),VLOOKUP(CN118,'Jan-2026 rates'!$E:$F,2,0)))</f>
        <v>#N/A</v>
      </c>
      <c r="CX118" s="409">
        <v>1</v>
      </c>
      <c r="CY118" s="398" t="e">
        <f>IF(CX118=0,0,IF(LEN(CO118)=11,_xlfn.XLOOKUP(CO118,'Dispensed Ink Rates'!C:C,'Dispensed Ink Rates'!CS:CS),VLOOKUP(CO118,'Jan-2026 rates'!$E:$F,2,0)))</f>
        <v>#N/A</v>
      </c>
      <c r="CZ118" s="409"/>
      <c r="DA118" s="398">
        <f>IF(CZ118=0,0,IF(LEN(CP118)=11,_xlfn.XLOOKUP(CP118,'Dispensed Ink Rates'!C:C,'Dispensed Ink Rates'!CS:CS),VLOOKUP(CP118,'Jan-2026 rates'!$E:$F,2,0)))</f>
        <v>0</v>
      </c>
      <c r="DB118" s="409"/>
      <c r="DC118" s="398">
        <f>IF(DB118=0,0,IF(LEN(CQ118)=11,_xlfn.XLOOKUP(CQ118,'Dispensed Ink Rates'!C:C,'Dispensed Ink Rates'!CS:CS),VLOOKUP(CQ118,'Jan-2026 rates'!$E:$F,2,0)))</f>
        <v>0</v>
      </c>
      <c r="DD118" s="409"/>
      <c r="DE118" s="398">
        <f>IF(DD118=0,0,IF(LEN(CR118)=11,_xlfn.XLOOKUP(CR118,'Dispensed Ink Rates'!C:C,'Dispensed Ink Rates'!CS:CS),VLOOKUP(CR118,'Jan-2026 rates'!$E:$F,2,0)))</f>
        <v>0</v>
      </c>
      <c r="DF118" s="409"/>
      <c r="DG118" s="398">
        <f>IF(DF118=0,0,IF(LEN(CS118)=11,_xlfn.XLOOKUP(CS118,'Dispensed Ink Rates'!C:C,'Dispensed Ink Rates'!CS:CS),VLOOKUP(CS118,'Jan-2026 rates'!$E:$F,2,0)))</f>
        <v>0</v>
      </c>
      <c r="DH118" s="409"/>
      <c r="DI118" s="398">
        <f>IF(DH118=0,0,IF(LEN(CT118)=11,_xlfn.XLOOKUP(CT118,'Dispensed Ink Rates'!C:C,'Dispensed Ink Rates'!CS:CS),VLOOKUP(CT118,'Jan-2026 rates'!$E:$F,2,0)))</f>
        <v>0</v>
      </c>
      <c r="DJ118" s="409"/>
      <c r="DK118" s="398">
        <f>IF(DJ118=0,0,IF(LEN(CU118)=11,_xlfn.XLOOKUP(CU118,'Dispensed Ink Rates'!C:C,'Dispensed Ink Rates'!CS:CS),VLOOKUP(CU118,'Jan-2026 rates'!$E:$F,2,0)))</f>
        <v>0</v>
      </c>
      <c r="DL118" s="409" t="s">
        <v>1443</v>
      </c>
      <c r="DM118" s="409">
        <v>25</v>
      </c>
      <c r="DN118" s="411">
        <f t="shared" si="88"/>
        <v>0</v>
      </c>
      <c r="DO118" s="411">
        <f t="shared" si="89"/>
        <v>10.384615384615387</v>
      </c>
      <c r="DP118" s="410">
        <f t="shared" si="90"/>
        <v>0</v>
      </c>
      <c r="DQ118" s="405" t="s">
        <v>545</v>
      </c>
      <c r="DR118" s="409" t="s">
        <v>3262</v>
      </c>
      <c r="DS118" s="420" t="str">
        <f t="shared" si="56"/>
        <v>FLINTSL - YELLOW</v>
      </c>
      <c r="DT118" s="409">
        <v>20</v>
      </c>
      <c r="DU118" s="411">
        <f>IF(DT118=0,0,IF($LB118=70%,VLOOKUP($DS118,'Jan-2026 rates'!$L:$R,4,0),IF($LB118=65%,VLOOKUP($DS118,'Jan-2026 rates'!$L:$R,4,0),IF($LB118=40%,VLOOKUP($DS118,'Jan-2026 rates'!$L:$R,5,0),IF($LB118=30%,VLOOKUP($DS118,'Jan-2026 rates'!$L:$R,6,0),IF($LB118=100%,VLOOKUP($DS118,'Jan-2026 rates'!$L:$R,7,0),IF($LB118=60%,VLOOKUP($DS118,'Jan-2026 rates'!$L:$S,8,0),IF($LB118=80%,VLOOKUP($DS118,'Jan-2026 rates'!L:T,9,0),0))))))))</f>
        <v>0</v>
      </c>
      <c r="DV118" s="412"/>
      <c r="DW118" s="409"/>
      <c r="DX118" s="411">
        <f>IF(DW118=0,0,IF($LB118=70%,VLOOKUP($DS118,'Jan-2026 rates'!$L:$R,4,0),IF($LB118=65%,VLOOKUP($DS118,'Jan-2026 rates'!$L:$R,4,0),IF($LB118=40%,VLOOKUP($DS118,'Jan-2026 rates'!$L:$R,5,0),IF($LB118=30%,VLOOKUP($DS118,'Jan-2026 rates'!$L:$R,6,0),IF($LB118=100%,VLOOKUP($DS118,'Jan-2026 rates'!$L:$R,7,0),IF($LB118=60%,VLOOKUP($DS118,'Jan-2026 rates'!$L:$S,8,0),IF($LB118=80%,VLOOKUP($DS118,'Jan-2026 rates'!L:T,9,0),0))))))))</f>
        <v>0</v>
      </c>
      <c r="DY118" s="413">
        <v>26506000002</v>
      </c>
      <c r="DZ118" s="413">
        <v>26505000028</v>
      </c>
      <c r="EA118" s="412">
        <v>26507000010</v>
      </c>
      <c r="EB118" s="412"/>
      <c r="EC118" s="412"/>
      <c r="ED118" s="412"/>
      <c r="EE118" s="412"/>
      <c r="EF118" s="412"/>
      <c r="EG118" s="409">
        <v>3</v>
      </c>
      <c r="EH118" s="398" t="e">
        <f>IF(EG118=0,0,IF(LEN(DY118)=11,_xlfn.XLOOKUP(DY118,'Dispensed Ink Rates'!C:C,'Dispensed Ink Rates'!CS:CS),VLOOKUP(DY118,'Jan-2026 rates'!$E:$F,2,0)))</f>
        <v>#N/A</v>
      </c>
      <c r="EI118" s="409">
        <v>0.5</v>
      </c>
      <c r="EJ118" s="398" t="e">
        <f>IF(EI118=0,0,IF(LEN(DZ118)=11,_xlfn.XLOOKUP(DZ118,'Dispensed Ink Rates'!C:C,'Dispensed Ink Rates'!CS:CS),VLOOKUP(DZ118,'Jan-2026 rates'!$E:$F,2,0)))</f>
        <v>#N/A</v>
      </c>
      <c r="EK118" s="409">
        <v>0.1</v>
      </c>
      <c r="EL118" s="398" t="e">
        <f>IF(EK118=0,0,IF(LEN(EA118)=11,_xlfn.XLOOKUP(EA118,'Dispensed Ink Rates'!C:C,'Dispensed Ink Rates'!CS:CS),VLOOKUP(EA118,'Jan-2026 rates'!$E:$F,2,0)))</f>
        <v>#N/A</v>
      </c>
      <c r="EM118" s="409"/>
      <c r="EN118" s="398">
        <f>IF(EM118=0,0,IF(LEN(EB118)=11,_xlfn.XLOOKUP(EB118,'Dispensed Ink Rates'!C:C,'Dispensed Ink Rates'!CS:CS),VLOOKUP(EB118,'Jan-2026 rates'!$E:$F,2,0)))</f>
        <v>0</v>
      </c>
      <c r="EO118" s="409"/>
      <c r="EP118" s="398">
        <f>IF(EO118=0,0,IF(LEN(EC118)=11,_xlfn.XLOOKUP(EC118,'Dispensed Ink Rates'!C:C,'Dispensed Ink Rates'!CS:CS),VLOOKUP(EC118,'Jan-2026 rates'!$E:$F,2,0)))</f>
        <v>0</v>
      </c>
      <c r="EQ118" s="409"/>
      <c r="ER118" s="398">
        <f>IF(EQ118=0,0,IF(LEN(ED118)=11,_xlfn.XLOOKUP(ED118,'Dispensed Ink Rates'!C:C,'Dispensed Ink Rates'!CS:CS),VLOOKUP(ED118,'Jan-2026 rates'!$E:$F,2,0)))</f>
        <v>0</v>
      </c>
      <c r="ES118" s="409"/>
      <c r="ET118" s="398">
        <f>IF(ES118=0,0,IF(LEN(EE118)=11,_xlfn.XLOOKUP(EE118,'Dispensed Ink Rates'!C:C,'Dispensed Ink Rates'!CS:CS),VLOOKUP(EE118,'Jan-2026 rates'!$E:$F,2,0)))</f>
        <v>0</v>
      </c>
      <c r="EU118" s="409"/>
      <c r="EV118" s="398">
        <f>IF(EU118=0,0,IF(LEN(EF118)=11,_xlfn.XLOOKUP(EF118,'Dispensed Ink Rates'!C:C,'Dispensed Ink Rates'!CS:CS),VLOOKUP(EF118,'Jan-2026 rates'!$E:$F,2,0)))</f>
        <v>0</v>
      </c>
      <c r="EW118" s="409" t="s">
        <v>1443</v>
      </c>
      <c r="EX118" s="409">
        <v>20</v>
      </c>
      <c r="EY118" s="411">
        <f t="shared" si="91"/>
        <v>0</v>
      </c>
      <c r="EZ118" s="411">
        <f t="shared" si="92"/>
        <v>8.2923076923076948</v>
      </c>
      <c r="FA118" s="410">
        <f t="shared" si="93"/>
        <v>0</v>
      </c>
      <c r="FB118" s="405" t="s">
        <v>856</v>
      </c>
      <c r="FC118" s="409" t="s">
        <v>3283</v>
      </c>
      <c r="FD118" s="420" t="str">
        <f t="shared" si="57"/>
        <v>FLINTSL - WHITE</v>
      </c>
      <c r="FE118" s="409">
        <v>26</v>
      </c>
      <c r="FF118" s="411">
        <f>IF(FE118=0,0,IF($LB118=70%,VLOOKUP($FD118,'Jan-2026 rates'!$L:$R,4,0),IF($LB118=65%,VLOOKUP($FD118,'Jan-2026 rates'!$L:$R,4,0),IF($LB118=40%,VLOOKUP($FD118,'Jan-2026 rates'!$L:$R,5,0),IF($LB118=30%,VLOOKUP($FD118,'Jan-2026 rates'!$L:$R,6,0),IF($LB118=100%,VLOOKUP($FD118,'Jan-2026 rates'!$L:$R,7,0),IF($LB118=60%,VLOOKUP($FD118,'Jan-2026 rates'!$L:$S,8,0),IF($LB118=80%,VLOOKUP($FD118,'Jan-2026 rates'!L:T,9,0),0))))))))</f>
        <v>0</v>
      </c>
      <c r="FG118" s="412"/>
      <c r="FH118" s="409"/>
      <c r="FI118" s="411">
        <f>IF(FH118=0,0,IF($LB118=70%,VLOOKUP($FD118,'Jan-2026 rates'!$L:$R,4,0),IF($LB118=65%,VLOOKUP($FD118,'Jan-2026 rates'!$L:$R,4,0),IF($LB118=40%,VLOOKUP($FD118,'Jan-2026 rates'!$L:$R,5,0),IF($LB118=30%,VLOOKUP($FD118,'Jan-2026 rates'!$L:$R,6,0),IF($LB118=100%,VLOOKUP($FD118,'Jan-2026 rates'!$L:$R,7,0),IF($LB118=60%,VLOOKUP($FD118,'Jan-2026 rates'!$L:$S,8,0),IF($LB118=80%,VLOOKUP($FD118,'Jan-2026 rates'!L:T,9,0),0))))))))</f>
        <v>0</v>
      </c>
      <c r="FJ118" s="413" t="s">
        <v>484</v>
      </c>
      <c r="FK118" s="413"/>
      <c r="FL118" s="413"/>
      <c r="FM118" s="412"/>
      <c r="FN118" s="412"/>
      <c r="FO118" s="412"/>
      <c r="FP118" s="412"/>
      <c r="FQ118" s="412"/>
      <c r="FR118" s="409">
        <v>30</v>
      </c>
      <c r="FS118" s="398">
        <f>IF(FR118=0,0,IF(LEN(FJ118)=11,_xlfn.XLOOKUP(FJ118,'Dispensed Ink Rates'!C:C,'Dispensed Ink Rates'!CS:CS),VLOOKUP(FJ118,'Jan-2026 rates'!$E:$F,2,0)))</f>
        <v>0</v>
      </c>
      <c r="FT118" s="409"/>
      <c r="FU118" s="398">
        <f>IF(FT118=0,0,IF(LEN(FK118)=11,_xlfn.XLOOKUP(FK118,'Dispensed Ink Rates'!C:C,'Dispensed Ink Rates'!CS:CS),VLOOKUP(FK118,'Jan-2026 rates'!$E:$F,2,0)))</f>
        <v>0</v>
      </c>
      <c r="FV118" s="409"/>
      <c r="FW118" s="398">
        <f>IF(FV118=0,0,IF(LEN(FL118)=11,_xlfn.XLOOKUP(FL118,'Dispensed Ink Rates'!C:C,'Dispensed Ink Rates'!CS:CS),VLOOKUP(FL118,'Jan-2026 rates'!$E:$F,2,0)))</f>
        <v>0</v>
      </c>
      <c r="FX118" s="409"/>
      <c r="FY118" s="398">
        <f>IF(FX118=0,0,IF(LEN(FM118)=11,_xlfn.XLOOKUP(FM118,'Dispensed Ink Rates'!C:C,'Dispensed Ink Rates'!CS:CS),VLOOKUP(FM118,'Jan-2026 rates'!$E:$F,2,0)))</f>
        <v>0</v>
      </c>
      <c r="FZ118" s="409"/>
      <c r="GA118" s="398">
        <f>IF(FZ118=0,0,IF(LEN(FN118)=11,_xlfn.XLOOKUP(FN118,'Dispensed Ink Rates'!C:C,'Dispensed Ink Rates'!CS:CS),VLOOKUP(FN118,'Jan-2026 rates'!$E:$F,2,0)))</f>
        <v>0</v>
      </c>
      <c r="GB118" s="409"/>
      <c r="GC118" s="398">
        <f>IF(GB118=0,0,IF(LEN(FO118)=11,_xlfn.XLOOKUP(FO118,'Dispensed Ink Rates'!C:C,'Dispensed Ink Rates'!CS:CS),VLOOKUP(FO118,'Jan-2026 rates'!$E:$F,2,0)))</f>
        <v>0</v>
      </c>
      <c r="GD118" s="409"/>
      <c r="GE118" s="398">
        <f>IF(GD118=0,0,IF(LEN(FP118)=11,_xlfn.XLOOKUP(FP118,'Dispensed Ink Rates'!C:C,'Dispensed Ink Rates'!CS:CS),VLOOKUP(FP118,'Jan-2026 rates'!$E:$F,2,0)))</f>
        <v>0</v>
      </c>
      <c r="GF118" s="409"/>
      <c r="GG118" s="398">
        <f>IF(GF118=0,0,IF(LEN(FQ118)=11,_xlfn.XLOOKUP(FQ118,'Dispensed Ink Rates'!C:C,'Dispensed Ink Rates'!CS:CS),VLOOKUP(FQ118,'Jan-2026 rates'!$E:$F,2,0)))</f>
        <v>0</v>
      </c>
      <c r="GH118" s="409" t="s">
        <v>1443</v>
      </c>
      <c r="GI118" s="409">
        <v>27</v>
      </c>
      <c r="GJ118" s="411">
        <f t="shared" si="94"/>
        <v>0</v>
      </c>
      <c r="GK118" s="411">
        <f t="shared" si="95"/>
        <v>64.192307692307679</v>
      </c>
      <c r="GL118" s="410">
        <f t="shared" si="96"/>
        <v>0</v>
      </c>
      <c r="GM118" s="405"/>
      <c r="GN118" s="409"/>
      <c r="GO118" s="420" t="str">
        <f t="shared" si="58"/>
        <v xml:space="preserve"> - </v>
      </c>
      <c r="GP118" s="409"/>
      <c r="GQ118" s="411">
        <f>IF(GP118=0,0,IF($LB118=70%,VLOOKUP($GO118,'Jan-2026 rates'!$L:$R,4,0),IF($LB118=65%,VLOOKUP($GO118,'Jan-2026 rates'!$L:$R,4,0),IF($LB118=40%,VLOOKUP($GO118,'Jan-2026 rates'!$L:$R,5,0),IF($LB118=30%,VLOOKUP($GO118,'Jan-2026 rates'!$L:$R,6,0),IF($LB118=100%,VLOOKUP($GO118,'Jan-2026 rates'!$L:$R,7,0),IF($LB118=60%,VLOOKUP($GO118,'Jan-2026 rates'!$L:$S,8,0),IF($LB118=80%,VLOOKUP($GO118,'Jan-2026 rates'!L:T,9,0),0))))))))</f>
        <v>0</v>
      </c>
      <c r="GR118" s="412"/>
      <c r="GS118" s="409"/>
      <c r="GT118" s="411">
        <f>IF(GS118=0,0,IF($LB118=70%,VLOOKUP($GO118,'Jan-2026 rates'!$L:$R,4,0),IF($LB118=65%,VLOOKUP($GO118,'Jan-2026 rates'!$L:$R,4,0),IF($LB118=40%,VLOOKUP($GO118,'Jan-2026 rates'!$L:$R,5,0),IF($LB118=30%,VLOOKUP($GO118,'Jan-2026 rates'!$L:$R,6,0),IF($LB118=100%,VLOOKUP($GO118,'Jan-2026 rates'!$L:$R,7,0),IF($LB118=60%,VLOOKUP($GO118,'Jan-2026 rates'!$L:$S,8,0),IF($LB118=80%,VLOOKUP($GO118,'Jan-2026 rates'!L:T,9,0),0))))))))</f>
        <v>0</v>
      </c>
      <c r="GU118" s="413"/>
      <c r="GV118" s="413"/>
      <c r="GW118" s="412"/>
      <c r="GX118" s="412"/>
      <c r="GY118" s="412"/>
      <c r="GZ118" s="412"/>
      <c r="HA118" s="412"/>
      <c r="HB118" s="412"/>
      <c r="HC118" s="409"/>
      <c r="HD118" s="398">
        <f>IF(HC118=0,0,IF(LEN(GU118)=11,_xlfn.XLOOKUP(GU118,'Dispensed Ink Rates'!C:C,'Dispensed Ink Rates'!CS:CS),VLOOKUP(GU118,'Jan-2026 rates'!$E:$F,2,0)))</f>
        <v>0</v>
      </c>
      <c r="HE118" s="409"/>
      <c r="HF118" s="398">
        <f>IF(HE118=0,0,IF(LEN(GV118)=11,_xlfn.XLOOKUP(GV118,'Dispensed Ink Rates'!C:C,'Dispensed Ink Rates'!CS:CS),VLOOKUP(GV118,'Jan-2026 rates'!$E:$F,2,0)))</f>
        <v>0</v>
      </c>
      <c r="HG118" s="409"/>
      <c r="HH118" s="398">
        <f>IF(HG118=0,0,IF(LEN(GW118)=11,_xlfn.XLOOKUP(GW118,'Dispensed Ink Rates'!C:C,'Dispensed Ink Rates'!CS:CS),VLOOKUP(GW118,'Jan-2026 rates'!$E:$F,2,0)))</f>
        <v>0</v>
      </c>
      <c r="HI118" s="409"/>
      <c r="HJ118" s="398">
        <f>IF(HI118=0,0,IF(LEN(GX118)=11,_xlfn.XLOOKUP(GX118,'Dispensed Ink Rates'!C:C,'Dispensed Ink Rates'!CS:CS),VLOOKUP(GX118,'Jan-2026 rates'!$E:$F,2,0)))</f>
        <v>0</v>
      </c>
      <c r="HK118" s="409"/>
      <c r="HL118" s="398">
        <f>IF(HK118=0,0,IF(LEN(GY118)=11,_xlfn.XLOOKUP(GY118,'Dispensed Ink Rates'!C:C,'Dispensed Ink Rates'!CS:CS),VLOOKUP(GY118,'Jan-2026 rates'!$E:$F,2,0)))</f>
        <v>0</v>
      </c>
      <c r="HM118" s="409"/>
      <c r="HN118" s="398">
        <f>IF(HM118=0,0,IF(LEN(GZ118)=11,_xlfn.XLOOKUP(GZ118,'Dispensed Ink Rates'!C:C,'Dispensed Ink Rates'!CS:CS),VLOOKUP(GZ118,'Jan-2026 rates'!$E:$F,2,0)))</f>
        <v>0</v>
      </c>
      <c r="HO118" s="409"/>
      <c r="HP118" s="398">
        <f>IF(HO118=0,0,IF(LEN(HA118)=11,_xlfn.XLOOKUP(HA118,'Dispensed Ink Rates'!C:C,'Dispensed Ink Rates'!CS:CS),VLOOKUP(HA118,'Jan-2026 rates'!$E:$F,2,0)))</f>
        <v>0</v>
      </c>
      <c r="HQ118" s="409"/>
      <c r="HR118" s="398">
        <f>IF(HQ118=0,0,IF(LEN(HB118)=11,_xlfn.XLOOKUP(HB118,'Dispensed Ink Rates'!C:C,'Dispensed Ink Rates'!CS:CS),VLOOKUP(HB118,'Jan-2026 rates'!$E:$F,2,0)))</f>
        <v>0</v>
      </c>
      <c r="HS118" s="409"/>
      <c r="HT118" s="409"/>
      <c r="HU118" s="411">
        <f t="shared" si="97"/>
        <v>0</v>
      </c>
      <c r="HV118" s="411">
        <f t="shared" si="98"/>
        <v>0</v>
      </c>
      <c r="HW118" s="414">
        <f t="shared" si="99"/>
        <v>0</v>
      </c>
      <c r="HX118" s="405"/>
      <c r="HY118" s="409"/>
      <c r="HZ118" s="420" t="str">
        <f t="shared" si="59"/>
        <v xml:space="preserve"> - </v>
      </c>
      <c r="IA118" s="409"/>
      <c r="IB118" s="411">
        <f>IF(IA118=0,0,IF($LB118=70%,VLOOKUP($HZ118,'Jan-2026 rates'!$L:$R,4,0),IF($LB118=65%,VLOOKUP($HZ118,'Jan-2026 rates'!$L:$R,4,0),IF($LB118=40%,VLOOKUP($HZ118,'Jan-2026 rates'!$L:$R,5,0),IF($LB118=30%,VLOOKUP($HZ118,'Jan-2026 rates'!$L:$R,6,0),IF($LB118=100%,VLOOKUP($HZ118,'Jan-2026 rates'!$L:$R,7,0),IF($LB118=60%,VLOOKUP($HZ118,'Jan-2026 rates'!$L:$S,8,0),IF($LB118=80%,VLOOKUP($HZ118,'Jan-2026 rates'!L:T,9,0),0))))))))</f>
        <v>0</v>
      </c>
      <c r="IC118" s="412"/>
      <c r="ID118" s="409"/>
      <c r="IE118" s="411">
        <f>IF(ID118=0,0,IF($LB118=70%,VLOOKUP($HZ118,'Jan-2026 rates'!$L:$R,4,0),IF($LB118=65%,VLOOKUP($HZ118,'Jan-2026 rates'!$L:$R,4,0),IF($LB118=40%,VLOOKUP($HZ118,'Jan-2026 rates'!$L:$R,5,0),IF($LB118=30%,VLOOKUP($HZ118,'Jan-2026 rates'!$L:$R,6,0),IF($LB118=100%,VLOOKUP($HZ118,'Jan-2026 rates'!$L:$R,7,0),IF($LB118=60%,VLOOKUP($HZ118,'Jan-2026 rates'!$L:$S,8,0),IF($LB118=80%,VLOOKUP($HZ118,'Jan-2026 rates'!L:T,9,0),0))))))))</f>
        <v>0</v>
      </c>
      <c r="IF118" s="412"/>
      <c r="IG118" s="413"/>
      <c r="IH118" s="412"/>
      <c r="II118" s="412"/>
      <c r="IJ118" s="412"/>
      <c r="IK118" s="412"/>
      <c r="IL118" s="412"/>
      <c r="IM118" s="412"/>
      <c r="IN118" s="409"/>
      <c r="IO118" s="398">
        <f>IF(IN118=0,0,IF(LEN(IF118)=11,_xlfn.XLOOKUP(IF118,'Dispensed Ink Rates'!C:C,'Dispensed Ink Rates'!CS:CS),VLOOKUP(IF118,'Jan-2026 rates'!$E:$F,2,0)))</f>
        <v>0</v>
      </c>
      <c r="IP118" s="409"/>
      <c r="IQ118" s="398">
        <f>IF(IP118=0,0,IF(LEN(IG118)=11,_xlfn.XLOOKUP(IG118,'Dispensed Ink Rates'!C:C,'Dispensed Ink Rates'!CS:CS),VLOOKUP(IG118,'Jan-2026 rates'!$E:$F,2,0)))</f>
        <v>0</v>
      </c>
      <c r="IR118" s="409"/>
      <c r="IS118" s="398">
        <f>IF(IR118=0,0,IF(LEN(IH118)=11,_xlfn.XLOOKUP(IH118,'Dispensed Ink Rates'!C:C,'Dispensed Ink Rates'!CS:CS),VLOOKUP(IH118,'Jan-2026 rates'!$E:$F,2,0)))</f>
        <v>0</v>
      </c>
      <c r="IT118" s="409"/>
      <c r="IU118" s="398">
        <f>IF(IT118=0,0,IF(LEN(II118)=11,_xlfn.XLOOKUP(II118,'Dispensed Ink Rates'!C:C,'Dispensed Ink Rates'!CS:CS),VLOOKUP(II118,'Jan-2026 rates'!$E:$F,2,0)))</f>
        <v>0</v>
      </c>
      <c r="IV118" s="409"/>
      <c r="IW118" s="398">
        <f>IF(IV118=0,0,IF(LEN(IJ118)=11,_xlfn.XLOOKUP(IJ118,'Dispensed Ink Rates'!C:C,'Dispensed Ink Rates'!CS:CS),VLOOKUP(IJ118,'Jan-2026 rates'!$E:$F,2,0)))</f>
        <v>0</v>
      </c>
      <c r="IX118" s="409"/>
      <c r="IY118" s="398">
        <f>IF(IX118=0,0,IF(LEN(IK118)=11,_xlfn.XLOOKUP(IK118,'Dispensed Ink Rates'!C:C,'Dispensed Ink Rates'!CS:CS),VLOOKUP(IK118,'Jan-2026 rates'!$E:$F,2,0)))</f>
        <v>0</v>
      </c>
      <c r="IZ118" s="409"/>
      <c r="JA118" s="398">
        <f>IF(IZ118=0,0,IF(LEN(IL118)=11,_xlfn.XLOOKUP(IL118,'Dispensed Ink Rates'!C:C,'Dispensed Ink Rates'!CS:CS),VLOOKUP(IL118,'Jan-2026 rates'!$E:$F,2,0)))</f>
        <v>0</v>
      </c>
      <c r="JB118" s="409"/>
      <c r="JC118" s="398">
        <f>IF(JB118=0,0,IF(LEN(IM118)=11,_xlfn.XLOOKUP(IM118,'Dispensed Ink Rates'!C:C,'Dispensed Ink Rates'!CS:CS),VLOOKUP(IM118,'Jan-2026 rates'!$E:$F,2,0)))</f>
        <v>0</v>
      </c>
      <c r="JD118" s="409"/>
      <c r="JE118" s="409"/>
      <c r="JF118" s="411">
        <f t="shared" si="100"/>
        <v>0</v>
      </c>
      <c r="JG118" s="411">
        <f t="shared" si="101"/>
        <v>0</v>
      </c>
      <c r="JH118" s="410">
        <f t="shared" si="102"/>
        <v>0</v>
      </c>
      <c r="JI118" s="405"/>
      <c r="JJ118" s="409"/>
      <c r="JK118" s="420" t="str">
        <f t="shared" si="60"/>
        <v xml:space="preserve"> - </v>
      </c>
      <c r="JL118" s="409"/>
      <c r="JM118" s="411">
        <f>IF(JL118=0,0,IF($LB118=70%,VLOOKUP($JK118,'Jan-2026 rates'!$L:$R,4,0),IF($LB118=65%,VLOOKUP($JK118,'Jan-2026 rates'!$L:$R,4,0),IF($LB118=40%,VLOOKUP($JK118,'Jan-2026 rates'!$L:$R,5,0),IF($LB118=30%,VLOOKUP($JK118,'Jan-2026 rates'!$L:$R,6,0),IF($LB118=100%,VLOOKUP($JK118,'Jan-2026 rates'!$L:$R,7,0),IF($LB118=60%,VLOOKUP($JK118,'Jan-2026 rates'!$L:$S,8,0),IF($LB118=80%,VLOOKUP($JK118,'Jan-2026 rates'!L:T,9,0),0))))))))</f>
        <v>0</v>
      </c>
      <c r="JN118" s="412"/>
      <c r="JO118" s="409"/>
      <c r="JP118" s="411">
        <f>IF(JO118=0,0,IF($LB118=70%,VLOOKUP($JK118,'Jan-2026 rates'!$L:$R,4,0),IF($LB118=65%,VLOOKUP($JK118,'Jan-2026 rates'!$L:$R,4,0),IF($LB118=40%,VLOOKUP($JK118,'Jan-2026 rates'!$L:$R,5,0),IF($LB118=30%,VLOOKUP($JK118,'Jan-2026 rates'!$L:$R,6,0),IF($LB118=100%,VLOOKUP($JK118,'Jan-2026 rates'!$L:$R,7,0),IF($LB118=60%,VLOOKUP($JK118,'Jan-2026 rates'!$L:$S,8,0),IF($LB118=80%,VLOOKUP($JK118,'Jan-2026 rates'!L:T,9,0),0))))))))</f>
        <v>0</v>
      </c>
      <c r="JQ118" s="413"/>
      <c r="JR118" s="412"/>
      <c r="JS118" s="413"/>
      <c r="JT118" s="413"/>
      <c r="JU118" s="412"/>
      <c r="JV118" s="412"/>
      <c r="JW118" s="412"/>
      <c r="JX118" s="412"/>
      <c r="JY118" s="409"/>
      <c r="JZ118" s="398">
        <f>IF(JY118=0,0,IF(LEN(JQ118)=11,_xlfn.XLOOKUP(JQ118,'Dispensed Ink Rates'!C:C,'Dispensed Ink Rates'!CS:CS),VLOOKUP(JQ118,'Jan-2026 rates'!$E:$F,2,0)))</f>
        <v>0</v>
      </c>
      <c r="KA118" s="409"/>
      <c r="KB118" s="398">
        <f>IF(KA118=0,0,IF(LEN(JR118)=11,_xlfn.XLOOKUP(JR118,'Dispensed Ink Rates'!C:C,'Dispensed Ink Rates'!CS:CS),VLOOKUP(JR118,'Jan-2026 rates'!$E:$F,2,0)))</f>
        <v>0</v>
      </c>
      <c r="KC118" s="409"/>
      <c r="KD118" s="398">
        <f>IF(KC118=0,0,IF(LEN(JS118)=11,_xlfn.XLOOKUP(JS118,'Dispensed Ink Rates'!C:C,'Dispensed Ink Rates'!CS:CS),VLOOKUP(JS118,'Jan-2026 rates'!$E:$F,2,0)))</f>
        <v>0</v>
      </c>
      <c r="KE118" s="409"/>
      <c r="KF118" s="398">
        <f>IF(KE118=0,0,IF(LEN(JT118)=11,_xlfn.XLOOKUP(JT118,'Dispensed Ink Rates'!C:C,'Dispensed Ink Rates'!CS:CS),VLOOKUP(JT118,'Jan-2026 rates'!$E:$F,2,0)))</f>
        <v>0</v>
      </c>
      <c r="KG118" s="409"/>
      <c r="KH118" s="398">
        <f>IF(KG118=0,0,IF(LEN(JU118)=11,_xlfn.XLOOKUP(JU118,'Dispensed Ink Rates'!C:C,'Dispensed Ink Rates'!CS:CS),VLOOKUP(JU118,'Jan-2026 rates'!$E:$F,2,0)))</f>
        <v>0</v>
      </c>
      <c r="KI118" s="409"/>
      <c r="KJ118" s="398">
        <f>IF(KI118=0,0,IF(LEN(JV118)=11,_xlfn.XLOOKUP(JV118,'Dispensed Ink Rates'!C:C,'Dispensed Ink Rates'!CS:CS),VLOOKUP(JV118,'Jan-2026 rates'!$E:$F,2,0)))</f>
        <v>0</v>
      </c>
      <c r="KK118" s="409"/>
      <c r="KL118" s="398">
        <f>IF(KK118=0,0,IF(LEN(JW118)=11,_xlfn.XLOOKUP(JW118,'Dispensed Ink Rates'!C:C,'Dispensed Ink Rates'!CS:CS),VLOOKUP(JW118,'Jan-2026 rates'!$E:$F,2,0)))</f>
        <v>0</v>
      </c>
      <c r="KM118" s="428"/>
      <c r="KN118" s="398">
        <f>IF(KM118=0,0,IF(LEN(JX118)=11,_xlfn.XLOOKUP(JX118,'Dispensed Ink Rates'!C:C,'Dispensed Ink Rates'!CS:CS),VLOOKUP(JX118,'Jan-2026 rates'!$E:$F,2,0)))</f>
        <v>0</v>
      </c>
      <c r="KO118" s="409"/>
      <c r="KP118" s="409"/>
      <c r="KQ118" s="411">
        <f t="shared" si="103"/>
        <v>0</v>
      </c>
      <c r="KR118" s="411">
        <f t="shared" si="104"/>
        <v>0</v>
      </c>
      <c r="KS118" s="410">
        <f t="shared" si="105"/>
        <v>0</v>
      </c>
      <c r="KT118" s="409">
        <v>2</v>
      </c>
      <c r="KU118" s="409">
        <v>3</v>
      </c>
      <c r="KV118" s="409">
        <v>4</v>
      </c>
      <c r="KW118" s="409">
        <v>2</v>
      </c>
      <c r="KX118" s="409">
        <v>15</v>
      </c>
      <c r="KY118" s="409">
        <v>0</v>
      </c>
      <c r="KZ118" s="409">
        <v>0</v>
      </c>
      <c r="LA118" s="409">
        <v>0</v>
      </c>
      <c r="LB118" s="415">
        <v>0.8</v>
      </c>
      <c r="LC118" s="415">
        <v>0.2</v>
      </c>
      <c r="LD118" s="415"/>
      <c r="LE118" s="415"/>
      <c r="LF118" s="415"/>
      <c r="LG118" s="409">
        <v>0</v>
      </c>
      <c r="LH118" s="409">
        <f>15+10+24+6+6</f>
        <v>61</v>
      </c>
      <c r="LI118" s="409">
        <v>0</v>
      </c>
      <c r="LJ118" s="409">
        <v>0</v>
      </c>
      <c r="LK118" s="416">
        <f t="shared" si="61"/>
        <v>61</v>
      </c>
      <c r="LL118" s="416">
        <f t="shared" si="62"/>
        <v>61</v>
      </c>
      <c r="LM118" s="417">
        <f t="shared" si="63"/>
        <v>48.800000000000004</v>
      </c>
      <c r="LN118" s="417">
        <f>VLOOKUP($LM$8,'Jan-2026 rates'!$H:$I,2,0)</f>
        <v>0</v>
      </c>
      <c r="LO118" s="417">
        <f t="shared" si="64"/>
        <v>12.200000000000001</v>
      </c>
      <c r="LP118" s="417">
        <f>VLOOKUP($LO$8,'Jan-2026 rates'!$H:$I,2,0)</f>
        <v>0</v>
      </c>
      <c r="LQ118" s="417">
        <f t="shared" si="65"/>
        <v>0</v>
      </c>
      <c r="LR118" s="417">
        <f>VLOOKUP($LQ$8,'Jan-2026 rates'!$H:$I,2,0)</f>
        <v>0</v>
      </c>
      <c r="LS118" s="417">
        <f t="shared" si="66"/>
        <v>0</v>
      </c>
      <c r="LT118" s="417">
        <f>VLOOKUP($LS$8,'Jan-2026 rates'!$H:$I,2,0)</f>
        <v>0</v>
      </c>
      <c r="LU118" s="417">
        <f t="shared" si="67"/>
        <v>0</v>
      </c>
      <c r="LV118" s="417">
        <f>VLOOKUP($LU$8,'Jan-2026 rates'!$H:$I,2,0)</f>
        <v>0</v>
      </c>
      <c r="LW118" s="417">
        <f t="shared" si="68"/>
        <v>0</v>
      </c>
      <c r="LX118" s="417">
        <f t="shared" si="69"/>
        <v>0</v>
      </c>
      <c r="LY118" s="418">
        <f t="shared" si="70"/>
        <v>0</v>
      </c>
      <c r="LZ118" s="417"/>
      <c r="MA118" s="435">
        <f t="shared" si="71"/>
        <v>57.6</v>
      </c>
      <c r="MB118" s="282">
        <f t="shared" si="72"/>
        <v>104.6</v>
      </c>
      <c r="MC118" s="283">
        <v>73</v>
      </c>
      <c r="MD118" s="284" t="str">
        <f t="shared" si="73"/>
        <v>FLINTSLFLINTSLFLINTSLFLINTSLFLINTSL</v>
      </c>
      <c r="ME118" s="293" t="str">
        <f t="shared" si="74"/>
        <v>+</v>
      </c>
      <c r="MF118" s="293" t="str">
        <f t="shared" si="75"/>
        <v>+</v>
      </c>
      <c r="MG118" s="293" t="str">
        <f t="shared" si="76"/>
        <v>+</v>
      </c>
      <c r="MH118" s="293" t="str">
        <f t="shared" si="77"/>
        <v>+</v>
      </c>
      <c r="MI118" s="293" t="str">
        <f t="shared" si="78"/>
        <v>+</v>
      </c>
      <c r="MJ118" s="293" t="str">
        <f t="shared" si="79"/>
        <v>NIL</v>
      </c>
      <c r="MK118" s="293" t="str">
        <f t="shared" si="80"/>
        <v>NIL</v>
      </c>
      <c r="ML118" s="293" t="str">
        <f t="shared" si="81"/>
        <v>NIL</v>
      </c>
      <c r="MM118" s="3" t="b">
        <f t="array" ref="MM118">OR(ME118:ML118="-")</f>
        <v>0</v>
      </c>
      <c r="MN118" s="285"/>
      <c r="MO118" s="401"/>
      <c r="MP118" s="286"/>
      <c r="MQ118" s="286"/>
      <c r="MR118" s="402"/>
      <c r="MS118" s="400"/>
      <c r="NH118" s="422"/>
      <c r="NJ118" s="421"/>
    </row>
    <row r="119" spans="1:374" s="1" customFormat="1" ht="16.5">
      <c r="A119" s="403">
        <v>46033</v>
      </c>
      <c r="B119" s="404" t="s">
        <v>1015</v>
      </c>
      <c r="C119" s="405" t="s">
        <v>3284</v>
      </c>
      <c r="D119" s="406">
        <v>74</v>
      </c>
      <c r="E119" s="404">
        <v>537</v>
      </c>
      <c r="F119" s="407">
        <v>19400</v>
      </c>
      <c r="G119" s="407" t="s">
        <v>1019</v>
      </c>
      <c r="H119" s="408" t="s">
        <v>1017</v>
      </c>
      <c r="I119" s="409">
        <v>2.48</v>
      </c>
      <c r="J119" s="405" t="s">
        <v>543</v>
      </c>
      <c r="K119" s="404" t="s">
        <v>3285</v>
      </c>
      <c r="L119" s="419" t="str">
        <f t="shared" si="54"/>
        <v>FLINTSL - BLACK</v>
      </c>
      <c r="M119" s="404">
        <v>25</v>
      </c>
      <c r="N119" s="410">
        <f>IF(M119=0,0,IF($LB119=70%,VLOOKUP($L119,'Jan-2026 rates'!$L:$R,4,0),IF($LB119=65%,VLOOKUP($L119,'Jan-2026 rates'!$L:$R,4,0),IF($LB119=40%,VLOOKUP($L119,'Jan-2026 rates'!$L:$R,5,0),IF($LB119=30%,VLOOKUP($L119,'Jan-2026 rates'!$L:$R,6,0),IF($LB119=100%,VLOOKUP($L119,'Jan-2026 rates'!$L:$R,7,0),IF($LB119=60%,VLOOKUP($L119,'Jan-2026 rates'!$L:$S,8,0),IF($LB119=80%,VLOOKUP($L119,'Jan-2026 rates'!L:T,9,0),0))))))))</f>
        <v>0</v>
      </c>
      <c r="O119" s="406"/>
      <c r="P119" s="404"/>
      <c r="Q119" s="410">
        <f>IF(P119=0,0,IF($LB119=70%,VLOOKUP($L119,'Jan-2026 rates'!$L:$R,4,0),IF($LB119=65%,VLOOKUP($L119,'Jan-2026 rates'!$L:$R,4,0),IF($LB119=40%,VLOOKUP($L119,'Jan-2026 rates'!$L:$R,5,0),IF($LB119=30%,VLOOKUP($L119,'Jan-2026 rates'!$L:$R,6,0),IF($LB119=100%,VLOOKUP($L119,'Jan-2026 rates'!$L:$R,7,0),IF($LB119=60%,VLOOKUP($L119,'Jan-2026 rates'!$L:$S,8,0),IF($LB119=80%,VLOOKUP($L119,'Jan-2026 rates'!L:T,9,0),0))))))))</f>
        <v>0</v>
      </c>
      <c r="R119" s="406">
        <v>26507000010</v>
      </c>
      <c r="S119" s="406"/>
      <c r="T119" s="406"/>
      <c r="U119" s="406"/>
      <c r="V119" s="406"/>
      <c r="W119" s="406"/>
      <c r="X119" s="406"/>
      <c r="Y119" s="406"/>
      <c r="Z119" s="404">
        <f>6+2</f>
        <v>8</v>
      </c>
      <c r="AA119" s="398" t="e">
        <f>IF(Z119=0,0,IF(LEN(R119)=11,_xlfn.XLOOKUP(R119,'Dispensed Ink Rates'!C:C,'Dispensed Ink Rates'!CS:CS),VLOOKUP(R119,'Jan-2026 rates'!$E:$F,2,0)))</f>
        <v>#N/A</v>
      </c>
      <c r="AB119" s="404"/>
      <c r="AC119" s="398">
        <f>IF(AB119=0,0,IF(LEN(S119)=11,_xlfn.XLOOKUP(S119,'Dispensed Ink Rates'!C:C,'Dispensed Ink Rates'!CS:CS),VLOOKUP(S119,'Jan-2026 rates'!$E:$F,2,0)))</f>
        <v>0</v>
      </c>
      <c r="AD119" s="404"/>
      <c r="AE119" s="398">
        <f>IF(AD119=0,0,IF(LEN(T119)=11,_xlfn.XLOOKUP(T119,'Dispensed Ink Rates'!C:C,'Dispensed Ink Rates'!CS:CS),VLOOKUP(T119,'Jan-2026 rates'!$E:$F,2,0)))</f>
        <v>0</v>
      </c>
      <c r="AF119" s="404"/>
      <c r="AG119" s="398">
        <f>IF(AF119=0,0,IF(LEN(U119)=11,_xlfn.XLOOKUP(U119,'Dispensed Ink Rates'!C:C,'Dispensed Ink Rates'!CS:CS),VLOOKUP(U119,'Jan-2026 rates'!$E:$F,2,0)))</f>
        <v>0</v>
      </c>
      <c r="AH119" s="404"/>
      <c r="AI119" s="398">
        <f>IF(AH119=0,0,IF(LEN(V119)=11,_xlfn.XLOOKUP(V119,'Dispensed Ink Rates'!C:C,'Dispensed Ink Rates'!CS:CS),VLOOKUP(V119,'Jan-2026 rates'!$E:$F,2,0)))</f>
        <v>0</v>
      </c>
      <c r="AJ119" s="404"/>
      <c r="AK119" s="398">
        <f>IF(AJ119=0,0,IF(LEN(W119)=11,_xlfn.XLOOKUP(W119,'Dispensed Ink Rates'!C:C,'Dispensed Ink Rates'!CS:CS),VLOOKUP(W119,'Jan-2026 rates'!$E:$F,2,0)))</f>
        <v>0</v>
      </c>
      <c r="AL119" s="404"/>
      <c r="AM119" s="398">
        <f>IF(AL119=0,0,IF(LEN(X119)=11,_xlfn.XLOOKUP(X119,'Dispensed Ink Rates'!C:C,'Dispensed Ink Rates'!CS:CS),VLOOKUP(X119,'Jan-2026 rates'!$E:$F,2,0)))</f>
        <v>0</v>
      </c>
      <c r="AN119" s="404"/>
      <c r="AO119" s="398">
        <f>IF(AN119=0,0,IF(LEN(Y119)=11,_xlfn.XLOOKUP(Y119,'Dispensed Ink Rates'!C:C,'Dispensed Ink Rates'!CS:CS),VLOOKUP(Y119,'Jan-2026 rates'!$E:$F,2,0)))</f>
        <v>0</v>
      </c>
      <c r="AP119" s="409" t="s">
        <v>1443</v>
      </c>
      <c r="AQ119" s="409">
        <v>30</v>
      </c>
      <c r="AR119" s="410">
        <f t="shared" si="82"/>
        <v>0</v>
      </c>
      <c r="AS119" s="411">
        <f t="shared" si="83"/>
        <v>9.4090909090909065</v>
      </c>
      <c r="AT119" s="410">
        <f t="shared" si="84"/>
        <v>0</v>
      </c>
      <c r="AU119" s="405" t="s">
        <v>547</v>
      </c>
      <c r="AV119" s="409" t="s">
        <v>3286</v>
      </c>
      <c r="AW119" s="420" t="str">
        <f t="shared" si="53"/>
        <v>FLINTSL - GREEN</v>
      </c>
      <c r="AX119" s="409">
        <v>25</v>
      </c>
      <c r="AY119" s="411">
        <f>IF(AX119=0,0,IF($LB119=70%,VLOOKUP($AW119,'Jan-2026 rates'!$L:$R,4,0),IF($LB119=65%,VLOOKUP($AW119,'Jan-2026 rates'!$L:$R,4,0),IF($LB119=40%,VLOOKUP($AW119,'Jan-2026 rates'!$L:$R,5,0),IF($LB119=30%,VLOOKUP($AW119,'Jan-2026 rates'!$L:$R,6,0),IF($LB119=100%,VLOOKUP($AW119,'Jan-2026 rates'!$L:$R,7,0),IF($LB119=60%,VLOOKUP($AW119,'Jan-2026 rates'!$L:$S,8,0),IF($LB119=80%,VLOOKUP($AW119,'Jan-2026 rates'!L:T,9,0),0))))))))</f>
        <v>0</v>
      </c>
      <c r="AZ119" s="412"/>
      <c r="BA119" s="409"/>
      <c r="BB119" s="411">
        <f>IF(BA119=0,0,IF($LB119=70%,VLOOKUP($AW119,'Jan-2026 rates'!$L:$R,4,0),IF($LB119=65%,VLOOKUP($AW119,'Jan-2026 rates'!$L:$R,4,0),IF($LB119=40%,VLOOKUP($AW119,'Jan-2026 rates'!$L:$R,5,0),IF($LB119=30%,VLOOKUP($AW119,'Jan-2026 rates'!$L:$R,6,0),IF($LB119=100%,VLOOKUP($AW119,'Jan-2026 rates'!$L:$R,7,0),IF($LB119=60%,VLOOKUP($AW119,'Jan-2026 rates'!$L:$S,8,0),IF($LB119=80%,VLOOKUP($AW119,'Jan-2026 rates'!L:T,9,0),0))))))))</f>
        <v>0</v>
      </c>
      <c r="BC119" s="413">
        <v>26508000030</v>
      </c>
      <c r="BD119" s="412">
        <v>26513000011</v>
      </c>
      <c r="BE119" s="412"/>
      <c r="BF119" s="413"/>
      <c r="BG119" s="412"/>
      <c r="BH119" s="412"/>
      <c r="BI119" s="412"/>
      <c r="BJ119" s="412"/>
      <c r="BK119" s="409">
        <v>6</v>
      </c>
      <c r="BL119" s="398" t="e">
        <f>IF(BK119=0,0,IF(LEN(BC119)=11,_xlfn.XLOOKUP(BC119,'Dispensed Ink Rates'!C:C,'Dispensed Ink Rates'!CS:CS),VLOOKUP(BC119,'Jan-2026 rates'!$E:$F,2,0)))</f>
        <v>#N/A</v>
      </c>
      <c r="BM119" s="409">
        <v>1</v>
      </c>
      <c r="BN119" s="398" t="e">
        <f>IF(BM119=0,0,IF(LEN(BD119)=11,_xlfn.XLOOKUP(BD119,'Dispensed Ink Rates'!C:C,'Dispensed Ink Rates'!CS:CS),VLOOKUP(BD119,'Jan-2026 rates'!$E:$F,2,0)))</f>
        <v>#N/A</v>
      </c>
      <c r="BO119" s="409"/>
      <c r="BP119" s="398">
        <f>IF(BO119=0,0,IF(LEN(BE119)=11,_xlfn.XLOOKUP(BE119,'Dispensed Ink Rates'!C:C,'Dispensed Ink Rates'!CS:CS),VLOOKUP(BE119,'Jan-2026 rates'!$E:$F,2,0)))</f>
        <v>0</v>
      </c>
      <c r="BQ119" s="409"/>
      <c r="BR119" s="398">
        <f>IF(BQ119=0,0,IF(LEN(BF119)=11,_xlfn.XLOOKUP(BF119,'Dispensed Ink Rates'!C:C,'Dispensed Ink Rates'!CS:CS),VLOOKUP(BF119,'Jan-2026 rates'!$E:$F,2,0)))</f>
        <v>0</v>
      </c>
      <c r="BS119" s="409"/>
      <c r="BT119" s="398">
        <f>IF(BS119=0,0,IF(LEN(BG119)=11,_xlfn.XLOOKUP(BG119,'Dispensed Ink Rates'!C:C,'Dispensed Ink Rates'!CS:CS),VLOOKUP(BG119,'Jan-2026 rates'!$E:$F,2,0)))</f>
        <v>0</v>
      </c>
      <c r="BU119" s="409"/>
      <c r="BV119" s="398">
        <f>IF(BU119=0,0,IF(LEN(BH119)=11,_xlfn.XLOOKUP(BH119,'Dispensed Ink Rates'!C:C,'Dispensed Ink Rates'!CS:CS),VLOOKUP(BH119,'Jan-2026 rates'!$E:$F,2,0)))</f>
        <v>0</v>
      </c>
      <c r="BW119" s="409"/>
      <c r="BX119" s="398">
        <f>IF(BW119=0,0,IF(LEN(BI119)=11,_xlfn.XLOOKUP(BI119,'Dispensed Ink Rates'!C:C,'Dispensed Ink Rates'!CS:CS),VLOOKUP(BI119,'Jan-2026 rates'!$E:$F,2,0)))</f>
        <v>0</v>
      </c>
      <c r="BY119" s="409"/>
      <c r="BZ119" s="398">
        <f>IF(BY119=0,0,IF(LEN(BJ119)=11,_xlfn.XLOOKUP(BJ119,'Dispensed Ink Rates'!C:C,'Dispensed Ink Rates'!CS:CS),VLOOKUP(BJ119,'Jan-2026 rates'!$E:$F,2,0)))</f>
        <v>0</v>
      </c>
      <c r="CA119" s="409" t="s">
        <v>1443</v>
      </c>
      <c r="CB119" s="409">
        <v>29</v>
      </c>
      <c r="CC119" s="411">
        <f t="shared" si="85"/>
        <v>0</v>
      </c>
      <c r="CD119" s="411">
        <f t="shared" si="86"/>
        <v>13.68181818181818</v>
      </c>
      <c r="CE119" s="410">
        <f t="shared" si="87"/>
        <v>0</v>
      </c>
      <c r="CF119" s="404" t="s">
        <v>855</v>
      </c>
      <c r="CG119" s="409" t="s">
        <v>3287</v>
      </c>
      <c r="CH119" s="420" t="str">
        <f t="shared" si="55"/>
        <v>FLINTSL - CYAN</v>
      </c>
      <c r="CI119" s="409">
        <v>24</v>
      </c>
      <c r="CJ119" s="411">
        <f>IF(CI119=0,0,IF($LB119=70%,VLOOKUP($CH119,'Jan-2026 rates'!$L:$R,4,0),IF($LB119=65%,VLOOKUP($CH119,'Jan-2026 rates'!$L:$R,4,0),IF($LB119=40%,VLOOKUP($CH119,'Jan-2026 rates'!$L:$R,5,0),IF($LB119=30%,VLOOKUP($CH119,'Jan-2026 rates'!$L:$R,6,0),IF($LB119=100%,VLOOKUP($CH119,'Jan-2026 rates'!$L:$R,7,0),IF($LB119=60%,VLOOKUP($CH119,'Jan-2026 rates'!$L:$S,8,0),IF($LB119=80%,VLOOKUP($CH119,'Jan-2026 rates'!L:T,9,0),0))))))))</f>
        <v>0</v>
      </c>
      <c r="CK119" s="412"/>
      <c r="CL119" s="409"/>
      <c r="CM119" s="411">
        <f>IF(CL119=0,0,IF($LB119=70%,VLOOKUP($CH119,'Jan-2026 rates'!$L:$R,4,0),IF($LB119=65%,VLOOKUP($CH119,'Jan-2026 rates'!$L:$R,4,0),IF($LB119=40%,VLOOKUP($CH119,'Jan-2026 rates'!$L:$R,5,0),IF($LB119=30%,VLOOKUP($CH119,'Jan-2026 rates'!$L:$R,6,0),IF($LB119=100%,VLOOKUP($CH119,'Jan-2026 rates'!$L:$R,7,0),IF($LB119=60%,VLOOKUP($CH119,'Jan-2026 rates'!$L:$S,8,0),IF($LB119=80%,VLOOKUP($CH119,'Jan-2026 rates'!L:T,9,0),0))))))))</f>
        <v>0</v>
      </c>
      <c r="CN119" s="426" t="s">
        <v>1266</v>
      </c>
      <c r="CO119" s="427"/>
      <c r="CP119" s="426"/>
      <c r="CQ119" s="426"/>
      <c r="CR119" s="428"/>
      <c r="CS119" s="428"/>
      <c r="CT119" s="428"/>
      <c r="CU119" s="428"/>
      <c r="CV119" s="409">
        <v>5</v>
      </c>
      <c r="CW119" s="398">
        <f>IF(CV119=0,0,IF(LEN(CN119)=11,_xlfn.XLOOKUP(CN119,'Dispensed Ink Rates'!C:C,'Dispensed Ink Rates'!CS:CS),VLOOKUP(CN119,'Jan-2026 rates'!$E:$F,2,0)))</f>
        <v>0</v>
      </c>
      <c r="CX119" s="409"/>
      <c r="CY119" s="398">
        <f>IF(CX119=0,0,IF(LEN(CO119)=11,_xlfn.XLOOKUP(CO119,'Dispensed Ink Rates'!C:C,'Dispensed Ink Rates'!CS:CS),VLOOKUP(CO119,'Jan-2026 rates'!$E:$F,2,0)))</f>
        <v>0</v>
      </c>
      <c r="CZ119" s="409"/>
      <c r="DA119" s="398">
        <f>IF(CZ119=0,0,IF(LEN(CP119)=11,_xlfn.XLOOKUP(CP119,'Dispensed Ink Rates'!C:C,'Dispensed Ink Rates'!CS:CS),VLOOKUP(CP119,'Jan-2026 rates'!$E:$F,2,0)))</f>
        <v>0</v>
      </c>
      <c r="DB119" s="409"/>
      <c r="DC119" s="398">
        <f>IF(DB119=0,0,IF(LEN(CQ119)=11,_xlfn.XLOOKUP(CQ119,'Dispensed Ink Rates'!C:C,'Dispensed Ink Rates'!CS:CS),VLOOKUP(CQ119,'Jan-2026 rates'!$E:$F,2,0)))</f>
        <v>0</v>
      </c>
      <c r="DD119" s="409"/>
      <c r="DE119" s="398">
        <f>IF(DD119=0,0,IF(LEN(CR119)=11,_xlfn.XLOOKUP(CR119,'Dispensed Ink Rates'!C:C,'Dispensed Ink Rates'!CS:CS),VLOOKUP(CR119,'Jan-2026 rates'!$E:$F,2,0)))</f>
        <v>0</v>
      </c>
      <c r="DF119" s="409"/>
      <c r="DG119" s="398">
        <f>IF(DF119=0,0,IF(LEN(CS119)=11,_xlfn.XLOOKUP(CS119,'Dispensed Ink Rates'!C:C,'Dispensed Ink Rates'!CS:CS),VLOOKUP(CS119,'Jan-2026 rates'!$E:$F,2,0)))</f>
        <v>0</v>
      </c>
      <c r="DH119" s="409"/>
      <c r="DI119" s="398">
        <f>IF(DH119=0,0,IF(LEN(CT119)=11,_xlfn.XLOOKUP(CT119,'Dispensed Ink Rates'!C:C,'Dispensed Ink Rates'!CS:CS),VLOOKUP(CT119,'Jan-2026 rates'!$E:$F,2,0)))</f>
        <v>0</v>
      </c>
      <c r="DJ119" s="409"/>
      <c r="DK119" s="398">
        <f>IF(DJ119=0,0,IF(LEN(CU119)=11,_xlfn.XLOOKUP(CU119,'Dispensed Ink Rates'!C:C,'Dispensed Ink Rates'!CS:CS),VLOOKUP(CU119,'Jan-2026 rates'!$E:$F,2,0)))</f>
        <v>0</v>
      </c>
      <c r="DL119" s="409" t="s">
        <v>1443</v>
      </c>
      <c r="DM119" s="409">
        <v>29</v>
      </c>
      <c r="DN119" s="411">
        <f t="shared" si="88"/>
        <v>0</v>
      </c>
      <c r="DO119" s="411">
        <f t="shared" si="89"/>
        <v>6.4090909090909065</v>
      </c>
      <c r="DP119" s="410">
        <f t="shared" si="90"/>
        <v>0</v>
      </c>
      <c r="DQ119" s="405" t="s">
        <v>544</v>
      </c>
      <c r="DR119" s="409" t="s">
        <v>3288</v>
      </c>
      <c r="DS119" s="420" t="str">
        <f t="shared" si="56"/>
        <v>FLINTSL - MAGENTA</v>
      </c>
      <c r="DT119" s="409">
        <v>26</v>
      </c>
      <c r="DU119" s="411">
        <f>IF(DT119=0,0,IF($LB119=70%,VLOOKUP($DS119,'Jan-2026 rates'!$L:$R,4,0),IF($LB119=65%,VLOOKUP($DS119,'Jan-2026 rates'!$L:$R,4,0),IF($LB119=40%,VLOOKUP($DS119,'Jan-2026 rates'!$L:$R,5,0),IF($LB119=30%,VLOOKUP($DS119,'Jan-2026 rates'!$L:$R,6,0),IF($LB119=100%,VLOOKUP($DS119,'Jan-2026 rates'!$L:$R,7,0),IF($LB119=60%,VLOOKUP($DS119,'Jan-2026 rates'!$L:$S,8,0),IF($LB119=80%,VLOOKUP($DS119,'Jan-2026 rates'!L:T,9,0),0))))))))</f>
        <v>0</v>
      </c>
      <c r="DV119" s="412"/>
      <c r="DW119" s="409"/>
      <c r="DX119" s="411">
        <f>IF(DW119=0,0,IF($LB119=70%,VLOOKUP($DS119,'Jan-2026 rates'!$L:$R,4,0),IF($LB119=65%,VLOOKUP($DS119,'Jan-2026 rates'!$L:$R,4,0),IF($LB119=40%,VLOOKUP($DS119,'Jan-2026 rates'!$L:$R,5,0),IF($LB119=30%,VLOOKUP($DS119,'Jan-2026 rates'!$L:$R,6,0),IF($LB119=100%,VLOOKUP($DS119,'Jan-2026 rates'!$L:$R,7,0),IF($LB119=60%,VLOOKUP($DS119,'Jan-2026 rates'!$L:$S,8,0),IF($LB119=80%,VLOOKUP($DS119,'Jan-2026 rates'!L:T,9,0),0))))))))</f>
        <v>0</v>
      </c>
      <c r="DY119" s="413">
        <v>26512000010</v>
      </c>
      <c r="DZ119" s="413"/>
      <c r="EA119" s="412"/>
      <c r="EB119" s="412"/>
      <c r="EC119" s="412"/>
      <c r="ED119" s="412"/>
      <c r="EE119" s="412"/>
      <c r="EF119" s="412"/>
      <c r="EG119" s="409">
        <v>5</v>
      </c>
      <c r="EH119" s="433" t="e">
        <f>IF(EG119=0,0,IF(LEN(DY119)=11,_xlfn.XLOOKUP(DY119,'Dispensed Ink Rates'!C:C,'Dispensed Ink Rates'!CS:CS),VLOOKUP(DY119,'Jan-2026 rates'!$E:$F,2,0)))</f>
        <v>#N/A</v>
      </c>
      <c r="EI119" s="409"/>
      <c r="EJ119" s="398">
        <f>IF(EI119=0,0,IF(LEN(DZ119)=11,_xlfn.XLOOKUP(DZ119,'Dispensed Ink Rates'!C:C,'Dispensed Ink Rates'!CS:CS),VLOOKUP(DZ119,'Jan-2026 rates'!$E:$F,2,0)))</f>
        <v>0</v>
      </c>
      <c r="EK119" s="409"/>
      <c r="EL119" s="398">
        <f>IF(EK119=0,0,IF(LEN(EA119)=11,_xlfn.XLOOKUP(EA119,'Dispensed Ink Rates'!C:C,'Dispensed Ink Rates'!CS:CS),VLOOKUP(EA119,'Jan-2026 rates'!$E:$F,2,0)))</f>
        <v>0</v>
      </c>
      <c r="EM119" s="409"/>
      <c r="EN119" s="398">
        <f>IF(EM119=0,0,IF(LEN(EB119)=11,_xlfn.XLOOKUP(EB119,'Dispensed Ink Rates'!C:C,'Dispensed Ink Rates'!CS:CS),VLOOKUP(EB119,'Jan-2026 rates'!$E:$F,2,0)))</f>
        <v>0</v>
      </c>
      <c r="EO119" s="409"/>
      <c r="EP119" s="398">
        <f>IF(EO119=0,0,IF(LEN(EC119)=11,_xlfn.XLOOKUP(EC119,'Dispensed Ink Rates'!C:C,'Dispensed Ink Rates'!CS:CS),VLOOKUP(EC119,'Jan-2026 rates'!$E:$F,2,0)))</f>
        <v>0</v>
      </c>
      <c r="EQ119" s="409"/>
      <c r="ER119" s="398">
        <f>IF(EQ119=0,0,IF(LEN(ED119)=11,_xlfn.XLOOKUP(ED119,'Dispensed Ink Rates'!C:C,'Dispensed Ink Rates'!CS:CS),VLOOKUP(ED119,'Jan-2026 rates'!$E:$F,2,0)))</f>
        <v>0</v>
      </c>
      <c r="ES119" s="409"/>
      <c r="ET119" s="398">
        <f>IF(ES119=0,0,IF(LEN(EE119)=11,_xlfn.XLOOKUP(EE119,'Dispensed Ink Rates'!C:C,'Dispensed Ink Rates'!CS:CS),VLOOKUP(EE119,'Jan-2026 rates'!$E:$F,2,0)))</f>
        <v>0</v>
      </c>
      <c r="EU119" s="409"/>
      <c r="EV119" s="398">
        <f>IF(EU119=0,0,IF(LEN(EF119)=11,_xlfn.XLOOKUP(EF119,'Dispensed Ink Rates'!C:C,'Dispensed Ink Rates'!CS:CS),VLOOKUP(EF119,'Jan-2026 rates'!$E:$F,2,0)))</f>
        <v>0</v>
      </c>
      <c r="EW119" s="409" t="s">
        <v>1443</v>
      </c>
      <c r="EX119" s="409">
        <v>31</v>
      </c>
      <c r="EY119" s="411">
        <f t="shared" si="91"/>
        <v>0</v>
      </c>
      <c r="EZ119" s="411">
        <f t="shared" si="92"/>
        <v>6.4090909090909065</v>
      </c>
      <c r="FA119" s="410">
        <f t="shared" si="93"/>
        <v>0</v>
      </c>
      <c r="FB119" s="405" t="s">
        <v>545</v>
      </c>
      <c r="FC119" s="409" t="s">
        <v>3289</v>
      </c>
      <c r="FD119" s="420" t="str">
        <f t="shared" si="57"/>
        <v>FLINTSL - YELLOW</v>
      </c>
      <c r="FE119" s="409">
        <v>29</v>
      </c>
      <c r="FF119" s="411">
        <f>IF(FE119=0,0,IF($LB119=70%,VLOOKUP($FD119,'Jan-2026 rates'!$L:$R,4,0),IF($LB119=65%,VLOOKUP($FD119,'Jan-2026 rates'!$L:$R,4,0),IF($LB119=40%,VLOOKUP($FD119,'Jan-2026 rates'!$L:$R,5,0),IF($LB119=30%,VLOOKUP($FD119,'Jan-2026 rates'!$L:$R,6,0),IF($LB119=100%,VLOOKUP($FD119,'Jan-2026 rates'!$L:$R,7,0),IF($LB119=60%,VLOOKUP($FD119,'Jan-2026 rates'!$L:$S,8,0),IF($LB119=80%,VLOOKUP($FD119,'Jan-2026 rates'!L:T,9,0),0))))))))</f>
        <v>0</v>
      </c>
      <c r="FG119" s="412"/>
      <c r="FH119" s="409"/>
      <c r="FI119" s="411">
        <f>IF(FH119=0,0,IF($LB119=70%,VLOOKUP($FD119,'Jan-2026 rates'!$L:$R,4,0),IF($LB119=65%,VLOOKUP($FD119,'Jan-2026 rates'!$L:$R,4,0),IF($LB119=40%,VLOOKUP($FD119,'Jan-2026 rates'!$L:$R,5,0),IF($LB119=30%,VLOOKUP($FD119,'Jan-2026 rates'!$L:$R,6,0),IF($LB119=100%,VLOOKUP($FD119,'Jan-2026 rates'!$L:$R,7,0),IF($LB119=60%,VLOOKUP($FD119,'Jan-2026 rates'!$L:$S,8,0),IF($LB119=80%,VLOOKUP($FD119,'Jan-2026 rates'!L:T,9,0),0))))))))</f>
        <v>0</v>
      </c>
      <c r="FJ119" s="413">
        <v>26505000028</v>
      </c>
      <c r="FK119" s="413"/>
      <c r="FL119" s="413"/>
      <c r="FM119" s="412"/>
      <c r="FN119" s="412"/>
      <c r="FO119" s="412"/>
      <c r="FP119" s="412"/>
      <c r="FQ119" s="412"/>
      <c r="FR119" s="409">
        <v>0.2</v>
      </c>
      <c r="FS119" s="398" t="e">
        <f>IF(FR119=0,0,IF(LEN(FJ119)=11,_xlfn.XLOOKUP(FJ119,'Dispensed Ink Rates'!C:C,'Dispensed Ink Rates'!CS:CS),VLOOKUP(FJ119,'Jan-2026 rates'!$E:$F,2,0)))</f>
        <v>#N/A</v>
      </c>
      <c r="FT119" s="409"/>
      <c r="FU119" s="398">
        <f>IF(FT119=0,0,IF(LEN(FK119)=11,_xlfn.XLOOKUP(FK119,'Dispensed Ink Rates'!C:C,'Dispensed Ink Rates'!CS:CS),VLOOKUP(FK119,'Jan-2026 rates'!$E:$F,2,0)))</f>
        <v>0</v>
      </c>
      <c r="FV119" s="409"/>
      <c r="FW119" s="398">
        <f>IF(FV119=0,0,IF(LEN(FL119)=11,_xlfn.XLOOKUP(FL119,'Dispensed Ink Rates'!C:C,'Dispensed Ink Rates'!CS:CS),VLOOKUP(FL119,'Jan-2026 rates'!$E:$F,2,0)))</f>
        <v>0</v>
      </c>
      <c r="FX119" s="409"/>
      <c r="FY119" s="398">
        <f>IF(FX119=0,0,IF(LEN(FM119)=11,_xlfn.XLOOKUP(FM119,'Dispensed Ink Rates'!C:C,'Dispensed Ink Rates'!CS:CS),VLOOKUP(FM119,'Jan-2026 rates'!$E:$F,2,0)))</f>
        <v>0</v>
      </c>
      <c r="FZ119" s="409"/>
      <c r="GA119" s="398">
        <f>IF(FZ119=0,0,IF(LEN(FN119)=11,_xlfn.XLOOKUP(FN119,'Dispensed Ink Rates'!C:C,'Dispensed Ink Rates'!CS:CS),VLOOKUP(FN119,'Jan-2026 rates'!$E:$F,2,0)))</f>
        <v>0</v>
      </c>
      <c r="GB119" s="409"/>
      <c r="GC119" s="398">
        <f>IF(GB119=0,0,IF(LEN(FO119)=11,_xlfn.XLOOKUP(FO119,'Dispensed Ink Rates'!C:C,'Dispensed Ink Rates'!CS:CS),VLOOKUP(FO119,'Jan-2026 rates'!$E:$F,2,0)))</f>
        <v>0</v>
      </c>
      <c r="GD119" s="409"/>
      <c r="GE119" s="398">
        <f>IF(GD119=0,0,IF(LEN(FP119)=11,_xlfn.XLOOKUP(FP119,'Dispensed Ink Rates'!C:C,'Dispensed Ink Rates'!CS:CS),VLOOKUP(FP119,'Jan-2026 rates'!$E:$F,2,0)))</f>
        <v>0</v>
      </c>
      <c r="GF119" s="409"/>
      <c r="GG119" s="398">
        <f>IF(GF119=0,0,IF(LEN(FQ119)=11,_xlfn.XLOOKUP(FQ119,'Dispensed Ink Rates'!C:C,'Dispensed Ink Rates'!CS:CS),VLOOKUP(FQ119,'Jan-2026 rates'!$E:$F,2,0)))</f>
        <v>0</v>
      </c>
      <c r="GH119" s="409" t="s">
        <v>1443</v>
      </c>
      <c r="GI119" s="409">
        <v>28</v>
      </c>
      <c r="GJ119" s="411">
        <f t="shared" si="94"/>
        <v>0</v>
      </c>
      <c r="GK119" s="411">
        <f t="shared" si="95"/>
        <v>7.6090909090909093</v>
      </c>
      <c r="GL119" s="410">
        <f t="shared" si="96"/>
        <v>0</v>
      </c>
      <c r="GM119" s="405" t="s">
        <v>545</v>
      </c>
      <c r="GN119" s="409"/>
      <c r="GO119" s="420" t="str">
        <f t="shared" si="58"/>
        <v>FLINTSL - YELLOW</v>
      </c>
      <c r="GP119" s="409"/>
      <c r="GQ119" s="411">
        <f>IF(GP119=0,0,IF($LB119=70%,VLOOKUP($GO119,'Jan-2026 rates'!$L:$R,4,0),IF($LB119=65%,VLOOKUP($GO119,'Jan-2026 rates'!$L:$R,4,0),IF($LB119=40%,VLOOKUP($GO119,'Jan-2026 rates'!$L:$R,5,0),IF($LB119=30%,VLOOKUP($GO119,'Jan-2026 rates'!$L:$R,6,0),IF($LB119=100%,VLOOKUP($GO119,'Jan-2026 rates'!$L:$R,7,0),IF($LB119=60%,VLOOKUP($GO119,'Jan-2026 rates'!$L:$S,8,0),IF($LB119=80%,VLOOKUP($GO119,'Jan-2026 rates'!L:T,9,0),0))))))))</f>
        <v>0</v>
      </c>
      <c r="GR119" s="412"/>
      <c r="GS119" s="409"/>
      <c r="GT119" s="411">
        <f>IF(GS119=0,0,IF($LB119=70%,VLOOKUP($GO119,'Jan-2026 rates'!$L:$R,4,0),IF($LB119=65%,VLOOKUP($GO119,'Jan-2026 rates'!$L:$R,4,0),IF($LB119=40%,VLOOKUP($GO119,'Jan-2026 rates'!$L:$R,5,0),IF($LB119=30%,VLOOKUP($GO119,'Jan-2026 rates'!$L:$R,6,0),IF($LB119=100%,VLOOKUP($GO119,'Jan-2026 rates'!$L:$R,7,0),IF($LB119=60%,VLOOKUP($GO119,'Jan-2026 rates'!$L:$S,8,0),IF($LB119=80%,VLOOKUP($GO119,'Jan-2026 rates'!L:T,9,0),0))))))))</f>
        <v>0</v>
      </c>
      <c r="GU119" s="413">
        <v>26511000002</v>
      </c>
      <c r="GV119" s="413" t="s">
        <v>1267</v>
      </c>
      <c r="GW119" s="412"/>
      <c r="GX119" s="412"/>
      <c r="GY119" s="412"/>
      <c r="GZ119" s="412"/>
      <c r="HA119" s="412"/>
      <c r="HB119" s="412"/>
      <c r="HC119" s="409">
        <v>15</v>
      </c>
      <c r="HD119" s="398" t="e">
        <f>IF(HC119=0,0,IF(LEN(GU119)=11,_xlfn.XLOOKUP(GU119,'Dispensed Ink Rates'!C:C,'Dispensed Ink Rates'!CS:CS),VLOOKUP(GU119,'Jan-2026 rates'!$E:$F,2,0)))</f>
        <v>#N/A</v>
      </c>
      <c r="HE119" s="409">
        <v>3</v>
      </c>
      <c r="HF119" s="433">
        <f>IF(HE119=0,0,IF(LEN(GV119)=11,_xlfn.XLOOKUP(GV119,'Dispensed Ink Rates'!C:C,'Dispensed Ink Rates'!CS:CS),VLOOKUP(GV119,'Jan-2026 rates'!$E:$F,2,0)))</f>
        <v>0</v>
      </c>
      <c r="HG119" s="409"/>
      <c r="HH119" s="398">
        <f>IF(HG119=0,0,IF(LEN(GW119)=11,_xlfn.XLOOKUP(GW119,'Dispensed Ink Rates'!C:C,'Dispensed Ink Rates'!CS:CS),VLOOKUP(GW119,'Jan-2026 rates'!$E:$F,2,0)))</f>
        <v>0</v>
      </c>
      <c r="HI119" s="409"/>
      <c r="HJ119" s="398">
        <f>IF(HI119=0,0,IF(LEN(GX119)=11,_xlfn.XLOOKUP(GX119,'Dispensed Ink Rates'!C:C,'Dispensed Ink Rates'!CS:CS),VLOOKUP(GX119,'Jan-2026 rates'!$E:$F,2,0)))</f>
        <v>0</v>
      </c>
      <c r="HK119" s="409"/>
      <c r="HL119" s="398">
        <f>IF(HK119=0,0,IF(LEN(GY119)=11,_xlfn.XLOOKUP(GY119,'Dispensed Ink Rates'!C:C,'Dispensed Ink Rates'!CS:CS),VLOOKUP(GY119,'Jan-2026 rates'!$E:$F,2,0)))</f>
        <v>0</v>
      </c>
      <c r="HM119" s="409"/>
      <c r="HN119" s="398">
        <f>IF(HM119=0,0,IF(LEN(GZ119)=11,_xlfn.XLOOKUP(GZ119,'Dispensed Ink Rates'!C:C,'Dispensed Ink Rates'!CS:CS),VLOOKUP(GZ119,'Jan-2026 rates'!$E:$F,2,0)))</f>
        <v>0</v>
      </c>
      <c r="HO119" s="409"/>
      <c r="HP119" s="398">
        <f>IF(HO119=0,0,IF(LEN(HA119)=11,_xlfn.XLOOKUP(HA119,'Dispensed Ink Rates'!C:C,'Dispensed Ink Rates'!CS:CS),VLOOKUP(HA119,'Jan-2026 rates'!$E:$F,2,0)))</f>
        <v>0</v>
      </c>
      <c r="HQ119" s="409"/>
      <c r="HR119" s="398">
        <f>IF(HQ119=0,0,IF(LEN(HB119)=11,_xlfn.XLOOKUP(HB119,'Dispensed Ink Rates'!C:C,'Dispensed Ink Rates'!CS:CS),VLOOKUP(HB119,'Jan-2026 rates'!$E:$F,2,0)))</f>
        <v>0</v>
      </c>
      <c r="HS119" s="409" t="s">
        <v>1443</v>
      </c>
      <c r="HT119" s="409">
        <v>24</v>
      </c>
      <c r="HU119" s="411">
        <f t="shared" si="97"/>
        <v>0</v>
      </c>
      <c r="HV119" s="411">
        <f t="shared" si="98"/>
        <v>6.8181818181818166</v>
      </c>
      <c r="HW119" s="414">
        <f t="shared" si="99"/>
        <v>0</v>
      </c>
      <c r="HX119" s="405" t="s">
        <v>829</v>
      </c>
      <c r="HY119" s="409"/>
      <c r="HZ119" s="420" t="str">
        <f t="shared" si="59"/>
        <v>FLINTSL - MEDIUM</v>
      </c>
      <c r="IA119" s="409"/>
      <c r="IB119" s="411">
        <f>IF(IA119=0,0,IF($LB119=70%,VLOOKUP($HZ119,'Jan-2026 rates'!$L:$R,4,0),IF($LB119=65%,VLOOKUP($HZ119,'Jan-2026 rates'!$L:$R,4,0),IF($LB119=40%,VLOOKUP($HZ119,'Jan-2026 rates'!$L:$R,5,0),IF($LB119=30%,VLOOKUP($HZ119,'Jan-2026 rates'!$L:$R,6,0),IF($LB119=100%,VLOOKUP($HZ119,'Jan-2026 rates'!$L:$R,7,0),IF($LB119=60%,VLOOKUP($HZ119,'Jan-2026 rates'!$L:$S,8,0),IF($LB119=80%,VLOOKUP($HZ119,'Jan-2026 rates'!L:T,9,0),0))))))))</f>
        <v>0</v>
      </c>
      <c r="IC119" s="412"/>
      <c r="ID119" s="409"/>
      <c r="IE119" s="411">
        <f>IF(ID119=0,0,IF($LB119=70%,VLOOKUP($HZ119,'Jan-2026 rates'!$L:$R,4,0),IF($LB119=65%,VLOOKUP($HZ119,'Jan-2026 rates'!$L:$R,4,0),IF($LB119=40%,VLOOKUP($HZ119,'Jan-2026 rates'!$L:$R,5,0),IF($LB119=30%,VLOOKUP($HZ119,'Jan-2026 rates'!$L:$R,6,0),IF($LB119=100%,VLOOKUP($HZ119,'Jan-2026 rates'!$L:$R,7,0),IF($LB119=60%,VLOOKUP($HZ119,'Jan-2026 rates'!$L:$S,8,0),IF($LB119=80%,VLOOKUP($HZ119,'Jan-2026 rates'!L:T,9,0),0))))))))</f>
        <v>0</v>
      </c>
      <c r="IF119" s="412" t="s">
        <v>1266</v>
      </c>
      <c r="IG119" s="413" t="s">
        <v>484</v>
      </c>
      <c r="IH119" s="412">
        <v>26511000002</v>
      </c>
      <c r="II119" s="412"/>
      <c r="IJ119" s="412"/>
      <c r="IK119" s="412"/>
      <c r="IL119" s="412"/>
      <c r="IM119" s="412"/>
      <c r="IN119" s="409">
        <v>20</v>
      </c>
      <c r="IO119" s="398">
        <f>IF(IN119=0,0,IF(LEN(IF119)=11,_xlfn.XLOOKUP(IF119,'Dispensed Ink Rates'!C:C,'Dispensed Ink Rates'!CS:CS),VLOOKUP(IF119,'Jan-2026 rates'!$E:$F,2,0)))</f>
        <v>0</v>
      </c>
      <c r="IP119" s="409">
        <v>20</v>
      </c>
      <c r="IQ119" s="398">
        <f>IF(IP119=0,0,IF(LEN(IG119)=11,_xlfn.XLOOKUP(IG119,'Dispensed Ink Rates'!C:C,'Dispensed Ink Rates'!CS:CS),VLOOKUP(IG119,'Jan-2026 rates'!$E:$F,2,0)))</f>
        <v>0</v>
      </c>
      <c r="IR119" s="409">
        <v>2</v>
      </c>
      <c r="IS119" s="398" t="e">
        <f>IF(IR119=0,0,IF(LEN(IH119)=11,_xlfn.XLOOKUP(IH119,'Dispensed Ink Rates'!C:C,'Dispensed Ink Rates'!CS:CS),VLOOKUP(IH119,'Jan-2026 rates'!$E:$F,2,0)))</f>
        <v>#N/A</v>
      </c>
      <c r="IT119" s="409"/>
      <c r="IU119" s="398">
        <f>IF(IT119=0,0,IF(LEN(II119)=11,_xlfn.XLOOKUP(II119,'Dispensed Ink Rates'!C:C,'Dispensed Ink Rates'!CS:CS),VLOOKUP(II119,'Jan-2026 rates'!$E:$F,2,0)))</f>
        <v>0</v>
      </c>
      <c r="IV119" s="409"/>
      <c r="IW119" s="398">
        <f>IF(IV119=0,0,IF(LEN(IJ119)=11,_xlfn.XLOOKUP(IJ119,'Dispensed Ink Rates'!C:C,'Dispensed Ink Rates'!CS:CS),VLOOKUP(IJ119,'Jan-2026 rates'!$E:$F,2,0)))</f>
        <v>0</v>
      </c>
      <c r="IX119" s="409"/>
      <c r="IY119" s="398">
        <f>IF(IX119=0,0,IF(LEN(IK119)=11,_xlfn.XLOOKUP(IK119,'Dispensed Ink Rates'!C:C,'Dispensed Ink Rates'!CS:CS),VLOOKUP(IK119,'Jan-2026 rates'!$E:$F,2,0)))</f>
        <v>0</v>
      </c>
      <c r="IZ119" s="409"/>
      <c r="JA119" s="398">
        <f>IF(IZ119=0,0,IF(LEN(IL119)=11,_xlfn.XLOOKUP(IL119,'Dispensed Ink Rates'!C:C,'Dispensed Ink Rates'!CS:CS),VLOOKUP(IL119,'Jan-2026 rates'!$E:$F,2,0)))</f>
        <v>0</v>
      </c>
      <c r="JB119" s="409"/>
      <c r="JC119" s="398">
        <f>IF(JB119=0,0,IF(LEN(IM119)=11,_xlfn.XLOOKUP(IM119,'Dispensed Ink Rates'!C:C,'Dispensed Ink Rates'!CS:CS),VLOOKUP(IM119,'Jan-2026 rates'!$E:$F,2,0)))</f>
        <v>0</v>
      </c>
      <c r="JD119" s="409" t="s">
        <v>1443</v>
      </c>
      <c r="JE119" s="409">
        <v>22</v>
      </c>
      <c r="JF119" s="411">
        <f t="shared" si="100"/>
        <v>0</v>
      </c>
      <c r="JG119" s="411">
        <f t="shared" si="101"/>
        <v>52.045454545454533</v>
      </c>
      <c r="JH119" s="410">
        <f t="shared" si="102"/>
        <v>0</v>
      </c>
      <c r="JI119" s="405" t="s">
        <v>856</v>
      </c>
      <c r="JJ119" s="409" t="s">
        <v>3283</v>
      </c>
      <c r="JK119" s="420" t="str">
        <f t="shared" si="60"/>
        <v>FLINTSL - WHITE</v>
      </c>
      <c r="JL119" s="409">
        <v>26</v>
      </c>
      <c r="JM119" s="411">
        <f>IF(JL119=0,0,IF($LB119=70%,VLOOKUP($JK119,'Jan-2026 rates'!$L:$R,4,0),IF($LB119=65%,VLOOKUP($JK119,'Jan-2026 rates'!$L:$R,4,0),IF($LB119=40%,VLOOKUP($JK119,'Jan-2026 rates'!$L:$R,5,0),IF($LB119=30%,VLOOKUP($JK119,'Jan-2026 rates'!$L:$R,6,0),IF($LB119=100%,VLOOKUP($JK119,'Jan-2026 rates'!$L:$R,7,0),IF($LB119=60%,VLOOKUP($JK119,'Jan-2026 rates'!$L:$S,8,0),IF($LB119=80%,VLOOKUP($JK119,'Jan-2026 rates'!L:T,9,0),0))))))))</f>
        <v>0</v>
      </c>
      <c r="JN119" s="412"/>
      <c r="JO119" s="409"/>
      <c r="JP119" s="411">
        <f>IF(JO119=0,0,IF($LB119=70%,VLOOKUP($JK119,'Jan-2026 rates'!$L:$R,4,0),IF($LB119=65%,VLOOKUP($JK119,'Jan-2026 rates'!$L:$R,4,0),IF($LB119=40%,VLOOKUP($JK119,'Jan-2026 rates'!$L:$R,5,0),IF($LB119=30%,VLOOKUP($JK119,'Jan-2026 rates'!$L:$R,6,0),IF($LB119=100%,VLOOKUP($JK119,'Jan-2026 rates'!$L:$R,7,0),IF($LB119=60%,VLOOKUP($JK119,'Jan-2026 rates'!$L:$S,8,0),IF($LB119=80%,VLOOKUP($JK119,'Jan-2026 rates'!L:T,9,0),0))))))))</f>
        <v>0</v>
      </c>
      <c r="JQ119" s="413" t="s">
        <v>484</v>
      </c>
      <c r="JR119" s="412"/>
      <c r="JS119" s="413"/>
      <c r="JT119" s="413"/>
      <c r="JU119" s="412"/>
      <c r="JV119" s="412"/>
      <c r="JW119" s="412"/>
      <c r="JX119" s="412"/>
      <c r="JY119" s="409">
        <f>50+30</f>
        <v>80</v>
      </c>
      <c r="JZ119" s="398">
        <f>IF(JY119=0,0,IF(LEN(JQ119)=11,_xlfn.XLOOKUP(JQ119,'Dispensed Ink Rates'!C:C,'Dispensed Ink Rates'!CS:CS),VLOOKUP(JQ119,'Jan-2026 rates'!$E:$F,2,0)))</f>
        <v>0</v>
      </c>
      <c r="KA119" s="409"/>
      <c r="KB119" s="398">
        <f>IF(KA119=0,0,IF(LEN(JR119)=11,_xlfn.XLOOKUP(JR119,'Dispensed Ink Rates'!C:C,'Dispensed Ink Rates'!CS:CS),VLOOKUP(JR119,'Jan-2026 rates'!$E:$F,2,0)))</f>
        <v>0</v>
      </c>
      <c r="KC119" s="409"/>
      <c r="KD119" s="398">
        <f>IF(KC119=0,0,IF(LEN(JS119)=11,_xlfn.XLOOKUP(JS119,'Dispensed Ink Rates'!C:C,'Dispensed Ink Rates'!CS:CS),VLOOKUP(JS119,'Jan-2026 rates'!$E:$F,2,0)))</f>
        <v>0</v>
      </c>
      <c r="KE119" s="409"/>
      <c r="KF119" s="398">
        <f>IF(KE119=0,0,IF(LEN(JT119)=11,_xlfn.XLOOKUP(JT119,'Dispensed Ink Rates'!C:C,'Dispensed Ink Rates'!CS:CS),VLOOKUP(JT119,'Jan-2026 rates'!$E:$F,2,0)))</f>
        <v>0</v>
      </c>
      <c r="KG119" s="409"/>
      <c r="KH119" s="398">
        <f>IF(KG119=0,0,IF(LEN(JU119)=11,_xlfn.XLOOKUP(JU119,'Dispensed Ink Rates'!C:C,'Dispensed Ink Rates'!CS:CS),VLOOKUP(JU119,'Jan-2026 rates'!$E:$F,2,0)))</f>
        <v>0</v>
      </c>
      <c r="KI119" s="409"/>
      <c r="KJ119" s="398">
        <f>IF(KI119=0,0,IF(LEN(JV119)=11,_xlfn.XLOOKUP(JV119,'Dispensed Ink Rates'!C:C,'Dispensed Ink Rates'!CS:CS),VLOOKUP(JV119,'Jan-2026 rates'!$E:$F,2,0)))</f>
        <v>0</v>
      </c>
      <c r="KK119" s="409"/>
      <c r="KL119" s="398">
        <f>IF(KK119=0,0,IF(LEN(JW119)=11,_xlfn.XLOOKUP(JW119,'Dispensed Ink Rates'!C:C,'Dispensed Ink Rates'!CS:CS),VLOOKUP(JW119,'Jan-2026 rates'!$E:$F,2,0)))</f>
        <v>0</v>
      </c>
      <c r="KM119" s="428"/>
      <c r="KN119" s="398">
        <f>IF(KM119=0,0,IF(LEN(JX119)=11,_xlfn.XLOOKUP(JX119,'Dispensed Ink Rates'!C:C,'Dispensed Ink Rates'!CS:CS),VLOOKUP(JX119,'Jan-2026 rates'!$E:$F,2,0)))</f>
        <v>0</v>
      </c>
      <c r="KO119" s="409" t="s">
        <v>1443</v>
      </c>
      <c r="KP119" s="409">
        <v>30</v>
      </c>
      <c r="KQ119" s="411">
        <f t="shared" si="103"/>
        <v>0</v>
      </c>
      <c r="KR119" s="411">
        <f t="shared" si="104"/>
        <v>182.81818181818181</v>
      </c>
      <c r="KS119" s="410">
        <f t="shared" si="105"/>
        <v>0</v>
      </c>
      <c r="KT119" s="409">
        <v>3</v>
      </c>
      <c r="KU119" s="409">
        <v>5</v>
      </c>
      <c r="KV119" s="409">
        <v>3</v>
      </c>
      <c r="KW119" s="409">
        <v>3</v>
      </c>
      <c r="KX119" s="409">
        <v>3</v>
      </c>
      <c r="KY119" s="409">
        <v>6</v>
      </c>
      <c r="KZ119" s="409">
        <v>15</v>
      </c>
      <c r="LA119" s="409">
        <f>30+20</f>
        <v>50</v>
      </c>
      <c r="LB119" s="415">
        <v>0.8</v>
      </c>
      <c r="LC119" s="415">
        <v>0.2</v>
      </c>
      <c r="LD119" s="415"/>
      <c r="LE119" s="415"/>
      <c r="LF119" s="415"/>
      <c r="LG119" s="409">
        <v>0</v>
      </c>
      <c r="LH119" s="409">
        <f>50+30+80+20+5+3</f>
        <v>188</v>
      </c>
      <c r="LI119" s="409">
        <v>0</v>
      </c>
      <c r="LJ119" s="409">
        <v>0</v>
      </c>
      <c r="LK119" s="416">
        <f t="shared" si="61"/>
        <v>188</v>
      </c>
      <c r="LL119" s="416">
        <f t="shared" si="62"/>
        <v>188</v>
      </c>
      <c r="LM119" s="417">
        <f t="shared" si="63"/>
        <v>150.4</v>
      </c>
      <c r="LN119" s="417">
        <f>VLOOKUP($LM$8,'Jan-2026 rates'!$H:$I,2,0)</f>
        <v>0</v>
      </c>
      <c r="LO119" s="417">
        <f t="shared" si="64"/>
        <v>37.6</v>
      </c>
      <c r="LP119" s="417">
        <f>VLOOKUP($LO$8,'Jan-2026 rates'!$H:$I,2,0)</f>
        <v>0</v>
      </c>
      <c r="LQ119" s="417">
        <f t="shared" si="65"/>
        <v>0</v>
      </c>
      <c r="LR119" s="417">
        <f>VLOOKUP($LQ$8,'Jan-2026 rates'!$H:$I,2,0)</f>
        <v>0</v>
      </c>
      <c r="LS119" s="417">
        <f t="shared" si="66"/>
        <v>0</v>
      </c>
      <c r="LT119" s="417">
        <f>VLOOKUP($LS$8,'Jan-2026 rates'!$H:$I,2,0)</f>
        <v>0</v>
      </c>
      <c r="LU119" s="417">
        <f t="shared" si="67"/>
        <v>0</v>
      </c>
      <c r="LV119" s="417">
        <f>VLOOKUP($LU$8,'Jan-2026 rates'!$H:$I,2,0)</f>
        <v>0</v>
      </c>
      <c r="LW119" s="417">
        <f t="shared" si="68"/>
        <v>0</v>
      </c>
      <c r="LX119" s="417">
        <f t="shared" si="69"/>
        <v>0</v>
      </c>
      <c r="LY119" s="418">
        <f t="shared" si="70"/>
        <v>0</v>
      </c>
      <c r="LZ119" s="417"/>
      <c r="MA119" s="435">
        <f t="shared" si="71"/>
        <v>165.2</v>
      </c>
      <c r="MB119" s="282">
        <f t="shared" si="72"/>
        <v>285.2</v>
      </c>
      <c r="MC119" s="283">
        <v>74</v>
      </c>
      <c r="MD119" s="284" t="str">
        <f t="shared" si="73"/>
        <v>FLINTSLFLINTSLFLINTSLFLINTSLFLINTSLFLINTSLFLINTSLFLINTSL</v>
      </c>
      <c r="ME119" s="293" t="str">
        <f t="shared" si="74"/>
        <v>+</v>
      </c>
      <c r="MF119" s="293" t="str">
        <f t="shared" si="75"/>
        <v>+</v>
      </c>
      <c r="MG119" s="293" t="str">
        <f t="shared" si="76"/>
        <v>+</v>
      </c>
      <c r="MH119" s="293" t="str">
        <f t="shared" si="77"/>
        <v>+</v>
      </c>
      <c r="MI119" s="293" t="str">
        <f t="shared" si="78"/>
        <v>+</v>
      </c>
      <c r="MJ119" s="293" t="str">
        <f t="shared" si="79"/>
        <v>+</v>
      </c>
      <c r="MK119" s="293" t="str">
        <f t="shared" si="80"/>
        <v>+</v>
      </c>
      <c r="ML119" s="293" t="str">
        <f t="shared" si="81"/>
        <v>+</v>
      </c>
      <c r="MM119" s="3" t="b">
        <f t="array" ref="MM119">OR(ME119:ML119="-")</f>
        <v>0</v>
      </c>
      <c r="MN119" s="285"/>
      <c r="MO119" s="401"/>
      <c r="MP119" s="286"/>
      <c r="MQ119" s="286"/>
      <c r="MR119" s="402"/>
      <c r="MS119" s="400"/>
      <c r="NH119" s="422"/>
      <c r="NJ119" s="421"/>
    </row>
    <row r="120" spans="1:374" s="1" customFormat="1" ht="16.5">
      <c r="A120" s="403">
        <v>46033</v>
      </c>
      <c r="B120" s="404" t="s">
        <v>1015</v>
      </c>
      <c r="C120" s="405" t="s">
        <v>3290</v>
      </c>
      <c r="D120" s="406">
        <v>75</v>
      </c>
      <c r="E120" s="404">
        <v>506</v>
      </c>
      <c r="F120" s="407">
        <v>19100</v>
      </c>
      <c r="G120" s="407" t="s">
        <v>1019</v>
      </c>
      <c r="H120" s="408" t="s">
        <v>1017</v>
      </c>
      <c r="I120" s="409">
        <v>2.1</v>
      </c>
      <c r="J120" s="405" t="s">
        <v>543</v>
      </c>
      <c r="K120" s="404" t="s">
        <v>3291</v>
      </c>
      <c r="L120" s="419" t="str">
        <f t="shared" si="54"/>
        <v>FLINTSL - BLACK</v>
      </c>
      <c r="M120" s="404">
        <v>30</v>
      </c>
      <c r="N120" s="410">
        <f>IF(M120=0,0,IF($LB120=70%,VLOOKUP($L120,'Jan-2026 rates'!$L:$R,4,0),IF($LB120=65%,VLOOKUP($L120,'Jan-2026 rates'!$L:$R,4,0),IF($LB120=40%,VLOOKUP($L120,'Jan-2026 rates'!$L:$R,5,0),IF($LB120=30%,VLOOKUP($L120,'Jan-2026 rates'!$L:$R,6,0),IF($LB120=100%,VLOOKUP($L120,'Jan-2026 rates'!$L:$R,7,0),IF($LB120=60%,VLOOKUP($L120,'Jan-2026 rates'!$L:$S,8,0),IF($LB120=80%,VLOOKUP($L120,'Jan-2026 rates'!L:T,9,0),0))))))))</f>
        <v>0</v>
      </c>
      <c r="O120" s="406"/>
      <c r="P120" s="404"/>
      <c r="Q120" s="410">
        <f>IF(P120=0,0,IF($LB120=70%,VLOOKUP($L120,'Jan-2026 rates'!$L:$R,4,0),IF($LB120=65%,VLOOKUP($L120,'Jan-2026 rates'!$L:$R,4,0),IF($LB120=40%,VLOOKUP($L120,'Jan-2026 rates'!$L:$R,5,0),IF($LB120=30%,VLOOKUP($L120,'Jan-2026 rates'!$L:$R,6,0),IF($LB120=100%,VLOOKUP($L120,'Jan-2026 rates'!$L:$R,7,0),IF($LB120=60%,VLOOKUP($L120,'Jan-2026 rates'!$L:$S,8,0),IF($LB120=80%,VLOOKUP($L120,'Jan-2026 rates'!L:T,9,0),0))))))))</f>
        <v>0</v>
      </c>
      <c r="R120" s="406">
        <v>26513000022</v>
      </c>
      <c r="S120" s="406"/>
      <c r="T120" s="406"/>
      <c r="U120" s="406"/>
      <c r="V120" s="406"/>
      <c r="W120" s="406"/>
      <c r="X120" s="406"/>
      <c r="Y120" s="406"/>
      <c r="Z120" s="404">
        <v>1</v>
      </c>
      <c r="AA120" s="398" t="e">
        <f>IF(Z120=0,0,IF(LEN(R120)=11,_xlfn.XLOOKUP(R120,'Dispensed Ink Rates'!C:C,'Dispensed Ink Rates'!CS:CS),VLOOKUP(R120,'Jan-2026 rates'!$E:$F,2,0)))</f>
        <v>#N/A</v>
      </c>
      <c r="AB120" s="404"/>
      <c r="AC120" s="398">
        <f>IF(AB120=0,0,IF(LEN(S120)=11,_xlfn.XLOOKUP(S120,'Dispensed Ink Rates'!C:C,'Dispensed Ink Rates'!CS:CS),VLOOKUP(S120,'Jan-2026 rates'!$E:$F,2,0)))</f>
        <v>0</v>
      </c>
      <c r="AD120" s="404"/>
      <c r="AE120" s="398">
        <f>IF(AD120=0,0,IF(LEN(T120)=11,_xlfn.XLOOKUP(T120,'Dispensed Ink Rates'!C:C,'Dispensed Ink Rates'!CS:CS),VLOOKUP(T120,'Jan-2026 rates'!$E:$F,2,0)))</f>
        <v>0</v>
      </c>
      <c r="AF120" s="404"/>
      <c r="AG120" s="398">
        <f>IF(AF120=0,0,IF(LEN(U120)=11,_xlfn.XLOOKUP(U120,'Dispensed Ink Rates'!C:C,'Dispensed Ink Rates'!CS:CS),VLOOKUP(U120,'Jan-2026 rates'!$E:$F,2,0)))</f>
        <v>0</v>
      </c>
      <c r="AH120" s="404"/>
      <c r="AI120" s="398">
        <f>IF(AH120=0,0,IF(LEN(V120)=11,_xlfn.XLOOKUP(V120,'Dispensed Ink Rates'!C:C,'Dispensed Ink Rates'!CS:CS),VLOOKUP(V120,'Jan-2026 rates'!$E:$F,2,0)))</f>
        <v>0</v>
      </c>
      <c r="AJ120" s="404"/>
      <c r="AK120" s="398">
        <f>IF(AJ120=0,0,IF(LEN(W120)=11,_xlfn.XLOOKUP(W120,'Dispensed Ink Rates'!C:C,'Dispensed Ink Rates'!CS:CS),VLOOKUP(W120,'Jan-2026 rates'!$E:$F,2,0)))</f>
        <v>0</v>
      </c>
      <c r="AL120" s="404"/>
      <c r="AM120" s="398">
        <f>IF(AL120=0,0,IF(LEN(X120)=11,_xlfn.XLOOKUP(X120,'Dispensed Ink Rates'!C:C,'Dispensed Ink Rates'!CS:CS),VLOOKUP(X120,'Jan-2026 rates'!$E:$F,2,0)))</f>
        <v>0</v>
      </c>
      <c r="AN120" s="404"/>
      <c r="AO120" s="398">
        <f>IF(AN120=0,0,IF(LEN(Y120)=11,_xlfn.XLOOKUP(Y120,'Dispensed Ink Rates'!C:C,'Dispensed Ink Rates'!CS:CS),VLOOKUP(Y120,'Jan-2026 rates'!$E:$F,2,0)))</f>
        <v>0</v>
      </c>
      <c r="AP120" s="409" t="s">
        <v>1443</v>
      </c>
      <c r="AQ120" s="409">
        <v>29</v>
      </c>
      <c r="AR120" s="410">
        <f t="shared" si="82"/>
        <v>0</v>
      </c>
      <c r="AS120" s="411">
        <f t="shared" si="83"/>
        <v>7.0799999999999983</v>
      </c>
      <c r="AT120" s="410">
        <f t="shared" si="84"/>
        <v>0</v>
      </c>
      <c r="AU120" s="405" t="s">
        <v>543</v>
      </c>
      <c r="AV120" s="409" t="s">
        <v>3292</v>
      </c>
      <c r="AW120" s="420" t="str">
        <f t="shared" si="53"/>
        <v>FLINTSL - BLACK</v>
      </c>
      <c r="AX120" s="409">
        <v>20</v>
      </c>
      <c r="AY120" s="411">
        <f>IF(AX120=0,0,IF($LB120=70%,VLOOKUP($AW120,'Jan-2026 rates'!$L:$R,4,0),IF($LB120=65%,VLOOKUP($AW120,'Jan-2026 rates'!$L:$R,4,0),IF($LB120=40%,VLOOKUP($AW120,'Jan-2026 rates'!$L:$R,5,0),IF($LB120=30%,VLOOKUP($AW120,'Jan-2026 rates'!$L:$R,6,0),IF($LB120=100%,VLOOKUP($AW120,'Jan-2026 rates'!$L:$R,7,0),IF($LB120=60%,VLOOKUP($AW120,'Jan-2026 rates'!$L:$S,8,0),IF($LB120=80%,VLOOKUP($AW120,'Jan-2026 rates'!L:T,9,0),0))))))))</f>
        <v>0</v>
      </c>
      <c r="AZ120" s="412" t="s">
        <v>2901</v>
      </c>
      <c r="BA120" s="409">
        <v>10</v>
      </c>
      <c r="BB120" s="411">
        <f>IF(BA120=0,0,IF($LB120=70%,VLOOKUP($AW120,'Jan-2026 rates'!$L:$R,4,0),IF($LB120=65%,VLOOKUP($AW120,'Jan-2026 rates'!$L:$R,4,0),IF($LB120=40%,VLOOKUP($AW120,'Jan-2026 rates'!$L:$R,5,0),IF($LB120=30%,VLOOKUP($AW120,'Jan-2026 rates'!$L:$R,6,0),IF($LB120=100%,VLOOKUP($AW120,'Jan-2026 rates'!$L:$R,7,0),IF($LB120=60%,VLOOKUP($AW120,'Jan-2026 rates'!$L:$S,8,0),IF($LB120=80%,VLOOKUP($AW120,'Jan-2026 rates'!L:T,9,0),0))))))))</f>
        <v>0</v>
      </c>
      <c r="BC120" s="413">
        <v>26511000002</v>
      </c>
      <c r="BD120" s="412"/>
      <c r="BE120" s="412"/>
      <c r="BF120" s="413"/>
      <c r="BG120" s="412"/>
      <c r="BH120" s="412"/>
      <c r="BI120" s="412"/>
      <c r="BJ120" s="412"/>
      <c r="BK120" s="409">
        <v>3</v>
      </c>
      <c r="BL120" s="398" t="e">
        <f>IF(BK120=0,0,IF(LEN(BC120)=11,_xlfn.XLOOKUP(BC120,'Dispensed Ink Rates'!C:C,'Dispensed Ink Rates'!CS:CS),VLOOKUP(BC120,'Jan-2026 rates'!$E:$F,2,0)))</f>
        <v>#N/A</v>
      </c>
      <c r="BM120" s="409"/>
      <c r="BN120" s="398">
        <f>IF(BM120=0,0,IF(LEN(BD120)=11,_xlfn.XLOOKUP(BD120,'Dispensed Ink Rates'!C:C,'Dispensed Ink Rates'!CS:CS),VLOOKUP(BD120,'Jan-2026 rates'!$E:$F,2,0)))</f>
        <v>0</v>
      </c>
      <c r="BO120" s="409"/>
      <c r="BP120" s="398">
        <f>IF(BO120=0,0,IF(LEN(BE120)=11,_xlfn.XLOOKUP(BE120,'Dispensed Ink Rates'!C:C,'Dispensed Ink Rates'!CS:CS),VLOOKUP(BE120,'Jan-2026 rates'!$E:$F,2,0)))</f>
        <v>0</v>
      </c>
      <c r="BQ120" s="409"/>
      <c r="BR120" s="398">
        <f>IF(BQ120=0,0,IF(LEN(BF120)=11,_xlfn.XLOOKUP(BF120,'Dispensed Ink Rates'!C:C,'Dispensed Ink Rates'!CS:CS),VLOOKUP(BF120,'Jan-2026 rates'!$E:$F,2,0)))</f>
        <v>0</v>
      </c>
      <c r="BS120" s="409"/>
      <c r="BT120" s="398">
        <f>IF(BS120=0,0,IF(LEN(BG120)=11,_xlfn.XLOOKUP(BG120,'Dispensed Ink Rates'!C:C,'Dispensed Ink Rates'!CS:CS),VLOOKUP(BG120,'Jan-2026 rates'!$E:$F,2,0)))</f>
        <v>0</v>
      </c>
      <c r="BU120" s="409"/>
      <c r="BV120" s="398">
        <f>IF(BU120=0,0,IF(LEN(BH120)=11,_xlfn.XLOOKUP(BH120,'Dispensed Ink Rates'!C:C,'Dispensed Ink Rates'!CS:CS),VLOOKUP(BH120,'Jan-2026 rates'!$E:$F,2,0)))</f>
        <v>0</v>
      </c>
      <c r="BW120" s="409"/>
      <c r="BX120" s="398">
        <f>IF(BW120=0,0,IF(LEN(BI120)=11,_xlfn.XLOOKUP(BI120,'Dispensed Ink Rates'!C:C,'Dispensed Ink Rates'!CS:CS),VLOOKUP(BI120,'Jan-2026 rates'!$E:$F,2,0)))</f>
        <v>0</v>
      </c>
      <c r="BY120" s="409"/>
      <c r="BZ120" s="398">
        <f>IF(BY120=0,0,IF(LEN(BJ120)=11,_xlfn.XLOOKUP(BJ120,'Dispensed Ink Rates'!C:C,'Dispensed Ink Rates'!CS:CS),VLOOKUP(BJ120,'Jan-2026 rates'!$E:$F,2,0)))</f>
        <v>0</v>
      </c>
      <c r="CA120" s="409" t="s">
        <v>1443</v>
      </c>
      <c r="CB120" s="409">
        <v>30</v>
      </c>
      <c r="CC120" s="411">
        <f t="shared" si="85"/>
        <v>0</v>
      </c>
      <c r="CD120" s="411">
        <f t="shared" si="86"/>
        <v>8.0799999999999983</v>
      </c>
      <c r="CE120" s="410">
        <f t="shared" si="87"/>
        <v>0</v>
      </c>
      <c r="CF120" s="404" t="s">
        <v>547</v>
      </c>
      <c r="CG120" s="409" t="s">
        <v>3286</v>
      </c>
      <c r="CH120" s="420" t="str">
        <f t="shared" si="55"/>
        <v>FLINTSL - GREEN</v>
      </c>
      <c r="CI120" s="409">
        <v>27</v>
      </c>
      <c r="CJ120" s="411">
        <f>IF(CI120=0,0,IF($LB120=70%,VLOOKUP($CH120,'Jan-2026 rates'!$L:$R,4,0),IF($LB120=65%,VLOOKUP($CH120,'Jan-2026 rates'!$L:$R,4,0),IF($LB120=40%,VLOOKUP($CH120,'Jan-2026 rates'!$L:$R,5,0),IF($LB120=30%,VLOOKUP($CH120,'Jan-2026 rates'!$L:$R,6,0),IF($LB120=100%,VLOOKUP($CH120,'Jan-2026 rates'!$L:$R,7,0),IF($LB120=60%,VLOOKUP($CH120,'Jan-2026 rates'!$L:$S,8,0),IF($LB120=80%,VLOOKUP($CH120,'Jan-2026 rates'!L:T,9,0),0))))))))</f>
        <v>0</v>
      </c>
      <c r="CK120" s="412" t="s">
        <v>3247</v>
      </c>
      <c r="CL120" s="409">
        <v>18</v>
      </c>
      <c r="CM120" s="411">
        <f>IF(CL120=0,0,IF($LB120=70%,VLOOKUP($CH120,'Jan-2026 rates'!$L:$R,4,0),IF($LB120=65%,VLOOKUP($CH120,'Jan-2026 rates'!$L:$R,4,0),IF($LB120=40%,VLOOKUP($CH120,'Jan-2026 rates'!$L:$R,5,0),IF($LB120=30%,VLOOKUP($CH120,'Jan-2026 rates'!$L:$R,6,0),IF($LB120=100%,VLOOKUP($CH120,'Jan-2026 rates'!$L:$R,7,0),IF($LB120=60%,VLOOKUP($CH120,'Jan-2026 rates'!$L:$S,8,0),IF($LB120=80%,VLOOKUP($CH120,'Jan-2026 rates'!L:T,9,0),0))))))))</f>
        <v>0</v>
      </c>
      <c r="CN120" s="426">
        <v>26513000022</v>
      </c>
      <c r="CO120" s="427">
        <v>26513000011</v>
      </c>
      <c r="CP120" s="426"/>
      <c r="CQ120" s="426"/>
      <c r="CR120" s="428"/>
      <c r="CS120" s="428"/>
      <c r="CT120" s="428"/>
      <c r="CU120" s="428"/>
      <c r="CV120" s="409">
        <v>2</v>
      </c>
      <c r="CW120" s="398" t="e">
        <f>IF(CV120=0,0,IF(LEN(CN120)=11,_xlfn.XLOOKUP(CN120,'Dispensed Ink Rates'!C:C,'Dispensed Ink Rates'!CS:CS),VLOOKUP(CN120,'Jan-2026 rates'!$E:$F,2,0)))</f>
        <v>#N/A</v>
      </c>
      <c r="CX120" s="409">
        <v>2</v>
      </c>
      <c r="CY120" s="398" t="e">
        <f>IF(CX120=0,0,IF(LEN(CO120)=11,_xlfn.XLOOKUP(CO120,'Dispensed Ink Rates'!C:C,'Dispensed Ink Rates'!CS:CS),VLOOKUP(CO120,'Jan-2026 rates'!$E:$F,2,0)))</f>
        <v>#N/A</v>
      </c>
      <c r="CZ120" s="409"/>
      <c r="DA120" s="398">
        <f>IF(CZ120=0,0,IF(LEN(CP120)=11,_xlfn.XLOOKUP(CP120,'Dispensed Ink Rates'!C:C,'Dispensed Ink Rates'!CS:CS),VLOOKUP(CP120,'Jan-2026 rates'!$E:$F,2,0)))</f>
        <v>0</v>
      </c>
      <c r="DB120" s="409"/>
      <c r="DC120" s="398">
        <f>IF(DB120=0,0,IF(LEN(CQ120)=11,_xlfn.XLOOKUP(CQ120,'Dispensed Ink Rates'!C:C,'Dispensed Ink Rates'!CS:CS),VLOOKUP(CQ120,'Jan-2026 rates'!$E:$F,2,0)))</f>
        <v>0</v>
      </c>
      <c r="DD120" s="409"/>
      <c r="DE120" s="398">
        <f>IF(DD120=0,0,IF(LEN(CR120)=11,_xlfn.XLOOKUP(CR120,'Dispensed Ink Rates'!C:C,'Dispensed Ink Rates'!CS:CS),VLOOKUP(CR120,'Jan-2026 rates'!$E:$F,2,0)))</f>
        <v>0</v>
      </c>
      <c r="DF120" s="409"/>
      <c r="DG120" s="398">
        <f>IF(DF120=0,0,IF(LEN(CS120)=11,_xlfn.XLOOKUP(CS120,'Dispensed Ink Rates'!C:C,'Dispensed Ink Rates'!CS:CS),VLOOKUP(CS120,'Jan-2026 rates'!$E:$F,2,0)))</f>
        <v>0</v>
      </c>
      <c r="DH120" s="409"/>
      <c r="DI120" s="398">
        <f>IF(DH120=0,0,IF(LEN(CT120)=11,_xlfn.XLOOKUP(CT120,'Dispensed Ink Rates'!C:C,'Dispensed Ink Rates'!CS:CS),VLOOKUP(CT120,'Jan-2026 rates'!$E:$F,2,0)))</f>
        <v>0</v>
      </c>
      <c r="DJ120" s="409"/>
      <c r="DK120" s="398">
        <f>IF(DJ120=0,0,IF(LEN(CU120)=11,_xlfn.XLOOKUP(CU120,'Dispensed Ink Rates'!C:C,'Dispensed Ink Rates'!CS:CS),VLOOKUP(CU120,'Jan-2026 rates'!$E:$F,2,0)))</f>
        <v>0</v>
      </c>
      <c r="DL120" s="409" t="s">
        <v>1443</v>
      </c>
      <c r="DM120" s="409">
        <v>20</v>
      </c>
      <c r="DN120" s="411">
        <f t="shared" si="88"/>
        <v>0</v>
      </c>
      <c r="DO120" s="411">
        <f t="shared" si="89"/>
        <v>39.159999999999997</v>
      </c>
      <c r="DP120" s="410">
        <f t="shared" si="90"/>
        <v>0</v>
      </c>
      <c r="DQ120" s="405" t="s">
        <v>829</v>
      </c>
      <c r="DR120" s="409" t="s">
        <v>3293</v>
      </c>
      <c r="DS120" s="420" t="str">
        <f t="shared" si="56"/>
        <v>FLINTSL - MEDIUM</v>
      </c>
      <c r="DT120" s="409">
        <v>22</v>
      </c>
      <c r="DU120" s="411">
        <f>IF(DT120=0,0,IF($LB120=70%,VLOOKUP($DS120,'Jan-2026 rates'!$L:$R,4,0),IF($LB120=65%,VLOOKUP($DS120,'Jan-2026 rates'!$L:$R,4,0),IF($LB120=40%,VLOOKUP($DS120,'Jan-2026 rates'!$L:$R,5,0),IF($LB120=30%,VLOOKUP($DS120,'Jan-2026 rates'!$L:$R,6,0),IF($LB120=100%,VLOOKUP($DS120,'Jan-2026 rates'!$L:$R,7,0),IF($LB120=60%,VLOOKUP($DS120,'Jan-2026 rates'!$L:$S,8,0),IF($LB120=80%,VLOOKUP($DS120,'Jan-2026 rates'!L:T,9,0),0))))))))</f>
        <v>0</v>
      </c>
      <c r="DV120" s="412" t="s">
        <v>3294</v>
      </c>
      <c r="DW120" s="409">
        <f>15+20+16</f>
        <v>51</v>
      </c>
      <c r="DX120" s="411">
        <f>IF(DW120=0,0,IF($LB120=70%,VLOOKUP($DS120,'Jan-2026 rates'!$L:$R,4,0),IF($LB120=65%,VLOOKUP($DS120,'Jan-2026 rates'!$L:$R,4,0),IF($LB120=40%,VLOOKUP($DS120,'Jan-2026 rates'!$L:$R,5,0),IF($LB120=30%,VLOOKUP($DS120,'Jan-2026 rates'!$L:$R,6,0),IF($LB120=100%,VLOOKUP($DS120,'Jan-2026 rates'!$L:$R,7,0),IF($LB120=60%,VLOOKUP($DS120,'Jan-2026 rates'!$L:$S,8,0),IF($LB120=80%,VLOOKUP($DS120,'Jan-2026 rates'!L:T,9,0),0))))))))</f>
        <v>0</v>
      </c>
      <c r="DY120" s="413">
        <v>26511000002</v>
      </c>
      <c r="DZ120" s="413">
        <v>26505000028</v>
      </c>
      <c r="EA120" s="412"/>
      <c r="EB120" s="412"/>
      <c r="EC120" s="412"/>
      <c r="ED120" s="412"/>
      <c r="EE120" s="412"/>
      <c r="EF120" s="412"/>
      <c r="EG120" s="409">
        <v>3</v>
      </c>
      <c r="EH120" s="398" t="e">
        <f>IF(EG120=0,0,IF(LEN(DY120)=11,_xlfn.XLOOKUP(DY120,'Dispensed Ink Rates'!C:C,'Dispensed Ink Rates'!CS:CS),VLOOKUP(DY120,'Jan-2026 rates'!$E:$F,2,0)))</f>
        <v>#N/A</v>
      </c>
      <c r="EI120" s="409">
        <v>0.3</v>
      </c>
      <c r="EJ120" s="398" t="e">
        <f>IF(EI120=0,0,IF(LEN(DZ120)=11,_xlfn.XLOOKUP(DZ120,'Dispensed Ink Rates'!C:C,'Dispensed Ink Rates'!CS:CS),VLOOKUP(DZ120,'Jan-2026 rates'!$E:$F,2,0)))</f>
        <v>#N/A</v>
      </c>
      <c r="EK120" s="409"/>
      <c r="EL120" s="398">
        <f>IF(EK120=0,0,IF(LEN(EA120)=11,_xlfn.XLOOKUP(EA120,'Dispensed Ink Rates'!C:C,'Dispensed Ink Rates'!CS:CS),VLOOKUP(EA120,'Jan-2026 rates'!$E:$F,2,0)))</f>
        <v>0</v>
      </c>
      <c r="EM120" s="409"/>
      <c r="EN120" s="398">
        <f>IF(EM120=0,0,IF(LEN(EB120)=11,_xlfn.XLOOKUP(EB120,'Dispensed Ink Rates'!C:C,'Dispensed Ink Rates'!CS:CS),VLOOKUP(EB120,'Jan-2026 rates'!$E:$F,2,0)))</f>
        <v>0</v>
      </c>
      <c r="EO120" s="409"/>
      <c r="EP120" s="398">
        <f>IF(EO120=0,0,IF(LEN(EC120)=11,_xlfn.XLOOKUP(EC120,'Dispensed Ink Rates'!C:C,'Dispensed Ink Rates'!CS:CS),VLOOKUP(EC120,'Jan-2026 rates'!$E:$F,2,0)))</f>
        <v>0</v>
      </c>
      <c r="EQ120" s="409"/>
      <c r="ER120" s="398">
        <f>IF(EQ120=0,0,IF(LEN(ED120)=11,_xlfn.XLOOKUP(ED120,'Dispensed Ink Rates'!C:C,'Dispensed Ink Rates'!CS:CS),VLOOKUP(ED120,'Jan-2026 rates'!$E:$F,2,0)))</f>
        <v>0</v>
      </c>
      <c r="ES120" s="409"/>
      <c r="ET120" s="398">
        <f>IF(ES120=0,0,IF(LEN(EE120)=11,_xlfn.XLOOKUP(EE120,'Dispensed Ink Rates'!C:C,'Dispensed Ink Rates'!CS:CS),VLOOKUP(EE120,'Jan-2026 rates'!$E:$F,2,0)))</f>
        <v>0</v>
      </c>
      <c r="EU120" s="409"/>
      <c r="EV120" s="398">
        <f>IF(EU120=0,0,IF(LEN(EF120)=11,_xlfn.XLOOKUP(EF120,'Dispensed Ink Rates'!C:C,'Dispensed Ink Rates'!CS:CS),VLOOKUP(EF120,'Jan-2026 rates'!$E:$F,2,0)))</f>
        <v>0</v>
      </c>
      <c r="EW120" s="409" t="s">
        <v>1443</v>
      </c>
      <c r="EX120" s="409">
        <v>18</v>
      </c>
      <c r="EY120" s="411">
        <f t="shared" si="91"/>
        <v>0</v>
      </c>
      <c r="EZ120" s="411">
        <f t="shared" si="92"/>
        <v>71</v>
      </c>
      <c r="FA120" s="410">
        <f t="shared" si="93"/>
        <v>0</v>
      </c>
      <c r="FB120" s="405" t="s">
        <v>855</v>
      </c>
      <c r="FC120" s="409" t="s">
        <v>3295</v>
      </c>
      <c r="FD120" s="420" t="str">
        <f t="shared" si="57"/>
        <v>FLINTSL - CYAN</v>
      </c>
      <c r="FE120" s="409">
        <v>29</v>
      </c>
      <c r="FF120" s="411">
        <f>IF(FE120=0,0,IF($LB120=70%,VLOOKUP($FD120,'Jan-2026 rates'!$L:$R,4,0),IF($LB120=65%,VLOOKUP($FD120,'Jan-2026 rates'!$L:$R,4,0),IF($LB120=40%,VLOOKUP($FD120,'Jan-2026 rates'!$L:$R,5,0),IF($LB120=30%,VLOOKUP($FD120,'Jan-2026 rates'!$L:$R,6,0),IF($LB120=100%,VLOOKUP($FD120,'Jan-2026 rates'!$L:$R,7,0),IF($LB120=60%,VLOOKUP($FD120,'Jan-2026 rates'!$L:$S,8,0),IF($LB120=80%,VLOOKUP($FD120,'Jan-2026 rates'!L:T,9,0),0))))))))</f>
        <v>0</v>
      </c>
      <c r="FG120" s="412"/>
      <c r="FH120" s="409"/>
      <c r="FI120" s="411">
        <f>IF(FH120=0,0,IF($LB120=70%,VLOOKUP($FD120,'Jan-2026 rates'!$L:$R,4,0),IF($LB120=65%,VLOOKUP($FD120,'Jan-2026 rates'!$L:$R,4,0),IF($LB120=40%,VLOOKUP($FD120,'Jan-2026 rates'!$L:$R,5,0),IF($LB120=30%,VLOOKUP($FD120,'Jan-2026 rates'!$L:$R,6,0),IF($LB120=100%,VLOOKUP($FD120,'Jan-2026 rates'!$L:$R,7,0),IF($LB120=60%,VLOOKUP($FD120,'Jan-2026 rates'!$L:$S,8,0),IF($LB120=80%,VLOOKUP($FD120,'Jan-2026 rates'!L:T,9,0),0))))))))</f>
        <v>0</v>
      </c>
      <c r="FJ120" s="413">
        <v>26506000002</v>
      </c>
      <c r="FK120" s="413"/>
      <c r="FL120" s="413"/>
      <c r="FM120" s="412"/>
      <c r="FN120" s="412"/>
      <c r="FO120" s="412"/>
      <c r="FP120" s="412"/>
      <c r="FQ120" s="412"/>
      <c r="FR120" s="409">
        <v>2</v>
      </c>
      <c r="FS120" s="398" t="e">
        <f>IF(FR120=0,0,IF(LEN(FJ120)=11,_xlfn.XLOOKUP(FJ120,'Dispensed Ink Rates'!C:C,'Dispensed Ink Rates'!CS:CS),VLOOKUP(FJ120,'Jan-2026 rates'!$E:$F,2,0)))</f>
        <v>#N/A</v>
      </c>
      <c r="FT120" s="409"/>
      <c r="FU120" s="398">
        <f>IF(FT120=0,0,IF(LEN(FK120)=11,_xlfn.XLOOKUP(FK120,'Dispensed Ink Rates'!C:C,'Dispensed Ink Rates'!CS:CS),VLOOKUP(FK120,'Jan-2026 rates'!$E:$F,2,0)))</f>
        <v>0</v>
      </c>
      <c r="FV120" s="409"/>
      <c r="FW120" s="398">
        <f>IF(FV120=0,0,IF(LEN(FL120)=11,_xlfn.XLOOKUP(FL120,'Dispensed Ink Rates'!C:C,'Dispensed Ink Rates'!CS:CS),VLOOKUP(FL120,'Jan-2026 rates'!$E:$F,2,0)))</f>
        <v>0</v>
      </c>
      <c r="FX120" s="409"/>
      <c r="FY120" s="398">
        <f>IF(FX120=0,0,IF(LEN(FM120)=11,_xlfn.XLOOKUP(FM120,'Dispensed Ink Rates'!C:C,'Dispensed Ink Rates'!CS:CS),VLOOKUP(FM120,'Jan-2026 rates'!$E:$F,2,0)))</f>
        <v>0</v>
      </c>
      <c r="FZ120" s="409"/>
      <c r="GA120" s="398">
        <f>IF(FZ120=0,0,IF(LEN(FN120)=11,_xlfn.XLOOKUP(FN120,'Dispensed Ink Rates'!C:C,'Dispensed Ink Rates'!CS:CS),VLOOKUP(FN120,'Jan-2026 rates'!$E:$F,2,0)))</f>
        <v>0</v>
      </c>
      <c r="GB120" s="409"/>
      <c r="GC120" s="398">
        <f>IF(GB120=0,0,IF(LEN(FO120)=11,_xlfn.XLOOKUP(FO120,'Dispensed Ink Rates'!C:C,'Dispensed Ink Rates'!CS:CS),VLOOKUP(FO120,'Jan-2026 rates'!$E:$F,2,0)))</f>
        <v>0</v>
      </c>
      <c r="GD120" s="409"/>
      <c r="GE120" s="398">
        <f>IF(GD120=0,0,IF(LEN(FP120)=11,_xlfn.XLOOKUP(FP120,'Dispensed Ink Rates'!C:C,'Dispensed Ink Rates'!CS:CS),VLOOKUP(FP120,'Jan-2026 rates'!$E:$F,2,0)))</f>
        <v>0</v>
      </c>
      <c r="GF120" s="409"/>
      <c r="GG120" s="398">
        <f>IF(GF120=0,0,IF(LEN(FQ120)=11,_xlfn.XLOOKUP(FQ120,'Dispensed Ink Rates'!C:C,'Dispensed Ink Rates'!CS:CS),VLOOKUP(FQ120,'Jan-2026 rates'!$E:$F,2,0)))</f>
        <v>0</v>
      </c>
      <c r="GH120" s="409" t="s">
        <v>1443</v>
      </c>
      <c r="GI120" s="409">
        <v>28</v>
      </c>
      <c r="GJ120" s="411">
        <f t="shared" si="94"/>
        <v>0</v>
      </c>
      <c r="GK120" s="411">
        <f t="shared" si="95"/>
        <v>10.619999999999997</v>
      </c>
      <c r="GL120" s="410">
        <f t="shared" si="96"/>
        <v>0</v>
      </c>
      <c r="GM120" s="405" t="s">
        <v>544</v>
      </c>
      <c r="GN120" s="409" t="s">
        <v>3293</v>
      </c>
      <c r="GO120" s="420" t="str">
        <f t="shared" si="58"/>
        <v>FLINTSL - MAGENTA</v>
      </c>
      <c r="GP120" s="409">
        <v>31</v>
      </c>
      <c r="GQ120" s="411">
        <f>IF(GP120=0,0,IF($LB120=70%,VLOOKUP($GO120,'Jan-2026 rates'!$L:$R,4,0),IF($LB120=65%,VLOOKUP($GO120,'Jan-2026 rates'!$L:$R,4,0),IF($LB120=40%,VLOOKUP($GO120,'Jan-2026 rates'!$L:$R,5,0),IF($LB120=30%,VLOOKUP($GO120,'Jan-2026 rates'!$L:$R,6,0),IF($LB120=100%,VLOOKUP($GO120,'Jan-2026 rates'!$L:$R,7,0),IF($LB120=60%,VLOOKUP($GO120,'Jan-2026 rates'!$L:$S,8,0),IF($LB120=80%,VLOOKUP($GO120,'Jan-2026 rates'!L:T,9,0),0))))))))</f>
        <v>0</v>
      </c>
      <c r="GR120" s="412"/>
      <c r="GS120" s="409"/>
      <c r="GT120" s="411">
        <f>IF(GS120=0,0,IF($LB120=70%,VLOOKUP($GO120,'Jan-2026 rates'!$L:$R,4,0),IF($LB120=65%,VLOOKUP($GO120,'Jan-2026 rates'!$L:$R,4,0),IF($LB120=40%,VLOOKUP($GO120,'Jan-2026 rates'!$L:$R,5,0),IF($LB120=30%,VLOOKUP($GO120,'Jan-2026 rates'!$L:$R,6,0),IF($LB120=100%,VLOOKUP($GO120,'Jan-2026 rates'!$L:$R,7,0),IF($LB120=60%,VLOOKUP($GO120,'Jan-2026 rates'!$L:$S,8,0),IF($LB120=80%,VLOOKUP($GO120,'Jan-2026 rates'!L:T,9,0),0))))))))</f>
        <v>0</v>
      </c>
      <c r="GU120" s="413">
        <v>26512000010</v>
      </c>
      <c r="GV120" s="413"/>
      <c r="GW120" s="412"/>
      <c r="GX120" s="412"/>
      <c r="GY120" s="412"/>
      <c r="GZ120" s="412"/>
      <c r="HA120" s="412"/>
      <c r="HB120" s="412"/>
      <c r="HC120" s="409">
        <v>1</v>
      </c>
      <c r="HD120" s="398" t="e">
        <f>IF(HC120=0,0,IF(LEN(GU120)=11,_xlfn.XLOOKUP(GU120,'Dispensed Ink Rates'!C:C,'Dispensed Ink Rates'!CS:CS),VLOOKUP(GU120,'Jan-2026 rates'!$E:$F,2,0)))</f>
        <v>#N/A</v>
      </c>
      <c r="HE120" s="409"/>
      <c r="HF120" s="398">
        <f>IF(HE120=0,0,IF(LEN(GV120)=11,_xlfn.XLOOKUP(GV120,'Dispensed Ink Rates'!C:C,'Dispensed Ink Rates'!CS:CS),VLOOKUP(GV120,'Jan-2026 rates'!$E:$F,2,0)))</f>
        <v>0</v>
      </c>
      <c r="HG120" s="409"/>
      <c r="HH120" s="398">
        <f>IF(HG120=0,0,IF(LEN(GW120)=11,_xlfn.XLOOKUP(GW120,'Dispensed Ink Rates'!C:C,'Dispensed Ink Rates'!CS:CS),VLOOKUP(GW120,'Jan-2026 rates'!$E:$F,2,0)))</f>
        <v>0</v>
      </c>
      <c r="HI120" s="409"/>
      <c r="HJ120" s="398">
        <f>IF(HI120=0,0,IF(LEN(GX120)=11,_xlfn.XLOOKUP(GX120,'Dispensed Ink Rates'!C:C,'Dispensed Ink Rates'!CS:CS),VLOOKUP(GX120,'Jan-2026 rates'!$E:$F,2,0)))</f>
        <v>0</v>
      </c>
      <c r="HK120" s="409"/>
      <c r="HL120" s="398">
        <f>IF(HK120=0,0,IF(LEN(GY120)=11,_xlfn.XLOOKUP(GY120,'Dispensed Ink Rates'!C:C,'Dispensed Ink Rates'!CS:CS),VLOOKUP(GY120,'Jan-2026 rates'!$E:$F,2,0)))</f>
        <v>0</v>
      </c>
      <c r="HM120" s="409"/>
      <c r="HN120" s="398">
        <f>IF(HM120=0,0,IF(LEN(GZ120)=11,_xlfn.XLOOKUP(GZ120,'Dispensed Ink Rates'!C:C,'Dispensed Ink Rates'!CS:CS),VLOOKUP(GZ120,'Jan-2026 rates'!$E:$F,2,0)))</f>
        <v>0</v>
      </c>
      <c r="HO120" s="409"/>
      <c r="HP120" s="398">
        <f>IF(HO120=0,0,IF(LEN(HA120)=11,_xlfn.XLOOKUP(HA120,'Dispensed Ink Rates'!C:C,'Dispensed Ink Rates'!CS:CS),VLOOKUP(HA120,'Jan-2026 rates'!$E:$F,2,0)))</f>
        <v>0</v>
      </c>
      <c r="HQ120" s="409"/>
      <c r="HR120" s="398">
        <f>IF(HQ120=0,0,IF(LEN(HB120)=11,_xlfn.XLOOKUP(HB120,'Dispensed Ink Rates'!C:C,'Dispensed Ink Rates'!CS:CS),VLOOKUP(HB120,'Jan-2026 rates'!$E:$F,2,0)))</f>
        <v>0</v>
      </c>
      <c r="HS120" s="409" t="s">
        <v>1443</v>
      </c>
      <c r="HT120" s="409">
        <v>29</v>
      </c>
      <c r="HU120" s="411">
        <f t="shared" si="97"/>
        <v>0</v>
      </c>
      <c r="HV120" s="411">
        <f t="shared" si="98"/>
        <v>8.0799999999999983</v>
      </c>
      <c r="HW120" s="414">
        <f t="shared" si="99"/>
        <v>0</v>
      </c>
      <c r="HX120" s="405" t="s">
        <v>545</v>
      </c>
      <c r="HY120" s="409" t="s">
        <v>3296</v>
      </c>
      <c r="HZ120" s="420" t="str">
        <f t="shared" si="59"/>
        <v>FLINTSL - YELLOW</v>
      </c>
      <c r="IA120" s="409">
        <v>28</v>
      </c>
      <c r="IB120" s="411">
        <f>IF(IA120=0,0,IF($LB120=70%,VLOOKUP($HZ120,'Jan-2026 rates'!$L:$R,4,0),IF($LB120=65%,VLOOKUP($HZ120,'Jan-2026 rates'!$L:$R,4,0),IF($LB120=40%,VLOOKUP($HZ120,'Jan-2026 rates'!$L:$R,5,0),IF($LB120=30%,VLOOKUP($HZ120,'Jan-2026 rates'!$L:$R,6,0),IF($LB120=100%,VLOOKUP($HZ120,'Jan-2026 rates'!$L:$R,7,0),IF($LB120=60%,VLOOKUP($HZ120,'Jan-2026 rates'!$L:$S,8,0),IF($LB120=80%,VLOOKUP($HZ120,'Jan-2026 rates'!L:T,9,0),0))))))))</f>
        <v>0</v>
      </c>
      <c r="IC120" s="412"/>
      <c r="ID120" s="409"/>
      <c r="IE120" s="411">
        <f>IF(ID120=0,0,IF($LB120=70%,VLOOKUP($HZ120,'Jan-2026 rates'!$L:$R,4,0),IF($LB120=65%,VLOOKUP($HZ120,'Jan-2026 rates'!$L:$R,4,0),IF($LB120=40%,VLOOKUP($HZ120,'Jan-2026 rates'!$L:$R,5,0),IF($LB120=30%,VLOOKUP($HZ120,'Jan-2026 rates'!$L:$R,6,0),IF($LB120=100%,VLOOKUP($HZ120,'Jan-2026 rates'!$L:$R,7,0),IF($LB120=60%,VLOOKUP($HZ120,'Jan-2026 rates'!$L:$S,8,0),IF($LB120=80%,VLOOKUP($HZ120,'Jan-2026 rates'!L:T,9,0),0))))))))</f>
        <v>0</v>
      </c>
      <c r="IF120" s="412">
        <v>26506000002</v>
      </c>
      <c r="IG120" s="413"/>
      <c r="IH120" s="412"/>
      <c r="II120" s="412"/>
      <c r="IJ120" s="412"/>
      <c r="IK120" s="412"/>
      <c r="IL120" s="412"/>
      <c r="IM120" s="412"/>
      <c r="IN120" s="409">
        <v>3</v>
      </c>
      <c r="IO120" s="398" t="e">
        <f>IF(IN120=0,0,IF(LEN(IF120)=11,_xlfn.XLOOKUP(IF120,'Dispensed Ink Rates'!C:C,'Dispensed Ink Rates'!CS:CS),VLOOKUP(IF120,'Jan-2026 rates'!$E:$F,2,0)))</f>
        <v>#N/A</v>
      </c>
      <c r="IP120" s="409"/>
      <c r="IQ120" s="398">
        <f>IF(IP120=0,0,IF(LEN(IG120)=11,_xlfn.XLOOKUP(IG120,'Dispensed Ink Rates'!C:C,'Dispensed Ink Rates'!CS:CS),VLOOKUP(IG120,'Jan-2026 rates'!$E:$F,2,0)))</f>
        <v>0</v>
      </c>
      <c r="IR120" s="409"/>
      <c r="IS120" s="398">
        <f>IF(IR120=0,0,IF(LEN(IH120)=11,_xlfn.XLOOKUP(IH120,'Dispensed Ink Rates'!C:C,'Dispensed Ink Rates'!CS:CS),VLOOKUP(IH120,'Jan-2026 rates'!$E:$F,2,0)))</f>
        <v>0</v>
      </c>
      <c r="IT120" s="409"/>
      <c r="IU120" s="398">
        <f>IF(IT120=0,0,IF(LEN(II120)=11,_xlfn.XLOOKUP(II120,'Dispensed Ink Rates'!C:C,'Dispensed Ink Rates'!CS:CS),VLOOKUP(II120,'Jan-2026 rates'!$E:$F,2,0)))</f>
        <v>0</v>
      </c>
      <c r="IV120" s="409"/>
      <c r="IW120" s="398">
        <f>IF(IV120=0,0,IF(LEN(IJ120)=11,_xlfn.XLOOKUP(IJ120,'Dispensed Ink Rates'!C:C,'Dispensed Ink Rates'!CS:CS),VLOOKUP(IJ120,'Jan-2026 rates'!$E:$F,2,0)))</f>
        <v>0</v>
      </c>
      <c r="IX120" s="409"/>
      <c r="IY120" s="398">
        <f>IF(IX120=0,0,IF(LEN(IK120)=11,_xlfn.XLOOKUP(IK120,'Dispensed Ink Rates'!C:C,'Dispensed Ink Rates'!CS:CS),VLOOKUP(IK120,'Jan-2026 rates'!$E:$F,2,0)))</f>
        <v>0</v>
      </c>
      <c r="IZ120" s="409"/>
      <c r="JA120" s="398">
        <f>IF(IZ120=0,0,IF(LEN(IL120)=11,_xlfn.XLOOKUP(IL120,'Dispensed Ink Rates'!C:C,'Dispensed Ink Rates'!CS:CS),VLOOKUP(IL120,'Jan-2026 rates'!$E:$F,2,0)))</f>
        <v>0</v>
      </c>
      <c r="JB120" s="409"/>
      <c r="JC120" s="398">
        <f>IF(JB120=0,0,IF(LEN(IM120)=11,_xlfn.XLOOKUP(IM120,'Dispensed Ink Rates'!C:C,'Dispensed Ink Rates'!CS:CS),VLOOKUP(IM120,'Jan-2026 rates'!$E:$F,2,0)))</f>
        <v>0</v>
      </c>
      <c r="JD120" s="409" t="s">
        <v>1443</v>
      </c>
      <c r="JE120" s="409">
        <v>28</v>
      </c>
      <c r="JF120" s="411">
        <f t="shared" si="100"/>
        <v>0</v>
      </c>
      <c r="JG120" s="411">
        <f t="shared" si="101"/>
        <v>8.0799999999999983</v>
      </c>
      <c r="JH120" s="410">
        <f t="shared" si="102"/>
        <v>0</v>
      </c>
      <c r="JI120" s="405" t="s">
        <v>856</v>
      </c>
      <c r="JJ120" s="409" t="s">
        <v>3297</v>
      </c>
      <c r="JK120" s="420" t="str">
        <f t="shared" si="60"/>
        <v>FLINTSL - WHITE</v>
      </c>
      <c r="JL120" s="409">
        <v>30</v>
      </c>
      <c r="JM120" s="411">
        <f>IF(JL120=0,0,IF($LB120=70%,VLOOKUP($JK120,'Jan-2026 rates'!$L:$R,4,0),IF($LB120=65%,VLOOKUP($JK120,'Jan-2026 rates'!$L:$R,4,0),IF($LB120=40%,VLOOKUP($JK120,'Jan-2026 rates'!$L:$R,5,0),IF($LB120=30%,VLOOKUP($JK120,'Jan-2026 rates'!$L:$R,6,0),IF($LB120=100%,VLOOKUP($JK120,'Jan-2026 rates'!$L:$R,7,0),IF($LB120=60%,VLOOKUP($JK120,'Jan-2026 rates'!$L:$S,8,0),IF($LB120=80%,VLOOKUP($JK120,'Jan-2026 rates'!L:T,9,0),0))))))))</f>
        <v>0</v>
      </c>
      <c r="JN120" s="412"/>
      <c r="JO120" s="409"/>
      <c r="JP120" s="411">
        <f>IF(JO120=0,0,IF($LB120=70%,VLOOKUP($JK120,'Jan-2026 rates'!$L:$R,4,0),IF($LB120=65%,VLOOKUP($JK120,'Jan-2026 rates'!$L:$R,4,0),IF($LB120=40%,VLOOKUP($JK120,'Jan-2026 rates'!$L:$R,5,0),IF($LB120=30%,VLOOKUP($JK120,'Jan-2026 rates'!$L:$R,6,0),IF($LB120=100%,VLOOKUP($JK120,'Jan-2026 rates'!$L:$R,7,0),IF($LB120=60%,VLOOKUP($JK120,'Jan-2026 rates'!$L:$S,8,0),IF($LB120=80%,VLOOKUP($JK120,'Jan-2026 rates'!L:T,9,0),0))))))))</f>
        <v>0</v>
      </c>
      <c r="JQ120" s="413" t="s">
        <v>484</v>
      </c>
      <c r="JR120" s="412"/>
      <c r="JS120" s="413"/>
      <c r="JT120" s="413"/>
      <c r="JU120" s="412"/>
      <c r="JV120" s="412"/>
      <c r="JW120" s="412"/>
      <c r="JX120" s="412"/>
      <c r="JY120" s="409">
        <f>30+20</f>
        <v>50</v>
      </c>
      <c r="JZ120" s="398">
        <f>IF(JY120=0,0,IF(LEN(JQ120)=11,_xlfn.XLOOKUP(JQ120,'Dispensed Ink Rates'!C:C,'Dispensed Ink Rates'!CS:CS),VLOOKUP(JQ120,'Jan-2026 rates'!$E:$F,2,0)))</f>
        <v>0</v>
      </c>
      <c r="KA120" s="409"/>
      <c r="KB120" s="398">
        <f>IF(KA120=0,0,IF(LEN(JR120)=11,_xlfn.XLOOKUP(JR120,'Dispensed Ink Rates'!C:C,'Dispensed Ink Rates'!CS:CS),VLOOKUP(JR120,'Jan-2026 rates'!$E:$F,2,0)))</f>
        <v>0</v>
      </c>
      <c r="KC120" s="409"/>
      <c r="KD120" s="398">
        <f>IF(KC120=0,0,IF(LEN(JS120)=11,_xlfn.XLOOKUP(JS120,'Dispensed Ink Rates'!C:C,'Dispensed Ink Rates'!CS:CS),VLOOKUP(JS120,'Jan-2026 rates'!$E:$F,2,0)))</f>
        <v>0</v>
      </c>
      <c r="KE120" s="409"/>
      <c r="KF120" s="398">
        <f>IF(KE120=0,0,IF(LEN(JT120)=11,_xlfn.XLOOKUP(JT120,'Dispensed Ink Rates'!C:C,'Dispensed Ink Rates'!CS:CS),VLOOKUP(JT120,'Jan-2026 rates'!$E:$F,2,0)))</f>
        <v>0</v>
      </c>
      <c r="KG120" s="409"/>
      <c r="KH120" s="398">
        <f>IF(KG120=0,0,IF(LEN(JU120)=11,_xlfn.XLOOKUP(JU120,'Dispensed Ink Rates'!C:C,'Dispensed Ink Rates'!CS:CS),VLOOKUP(JU120,'Jan-2026 rates'!$E:$F,2,0)))</f>
        <v>0</v>
      </c>
      <c r="KI120" s="409"/>
      <c r="KJ120" s="398">
        <f>IF(KI120=0,0,IF(LEN(JV120)=11,_xlfn.XLOOKUP(JV120,'Dispensed Ink Rates'!C:C,'Dispensed Ink Rates'!CS:CS),VLOOKUP(JV120,'Jan-2026 rates'!$E:$F,2,0)))</f>
        <v>0</v>
      </c>
      <c r="KK120" s="409"/>
      <c r="KL120" s="398">
        <f>IF(KK120=0,0,IF(LEN(JW120)=11,_xlfn.XLOOKUP(JW120,'Dispensed Ink Rates'!C:C,'Dispensed Ink Rates'!CS:CS),VLOOKUP(JW120,'Jan-2026 rates'!$E:$F,2,0)))</f>
        <v>0</v>
      </c>
      <c r="KM120" s="428"/>
      <c r="KN120" s="398">
        <f>IF(KM120=0,0,IF(LEN(JX120)=11,_xlfn.XLOOKUP(JX120,'Dispensed Ink Rates'!C:C,'Dispensed Ink Rates'!CS:CS),VLOOKUP(JX120,'Jan-2026 rates'!$E:$F,2,0)))</f>
        <v>0</v>
      </c>
      <c r="KO120" s="409" t="s">
        <v>1443</v>
      </c>
      <c r="KP120" s="409">
        <v>30</v>
      </c>
      <c r="KQ120" s="411">
        <f t="shared" si="103"/>
        <v>0</v>
      </c>
      <c r="KR120" s="411">
        <f t="shared" si="104"/>
        <v>126.19999999999999</v>
      </c>
      <c r="KS120" s="410">
        <f t="shared" si="105"/>
        <v>0</v>
      </c>
      <c r="KT120" s="409">
        <v>2</v>
      </c>
      <c r="KU120" s="409">
        <v>2</v>
      </c>
      <c r="KV120" s="409">
        <v>4</v>
      </c>
      <c r="KW120" s="409">
        <v>5</v>
      </c>
      <c r="KX120" s="409">
        <v>3</v>
      </c>
      <c r="KY120" s="409">
        <v>2</v>
      </c>
      <c r="KZ120" s="409">
        <v>2</v>
      </c>
      <c r="LA120" s="409">
        <f>20+10</f>
        <v>30</v>
      </c>
      <c r="LB120" s="415">
        <v>0.8</v>
      </c>
      <c r="LC120" s="415">
        <v>0.2</v>
      </c>
      <c r="LD120" s="415"/>
      <c r="LE120" s="415"/>
      <c r="LF120" s="415"/>
      <c r="LG120" s="409">
        <v>0</v>
      </c>
      <c r="LH120" s="409">
        <f>30+30+48+12+7</f>
        <v>127</v>
      </c>
      <c r="LI120" s="409">
        <v>0</v>
      </c>
      <c r="LJ120" s="409">
        <v>0</v>
      </c>
      <c r="LK120" s="416">
        <f t="shared" si="61"/>
        <v>127</v>
      </c>
      <c r="LL120" s="416">
        <f t="shared" si="62"/>
        <v>127</v>
      </c>
      <c r="LM120" s="417">
        <f t="shared" si="63"/>
        <v>101.60000000000001</v>
      </c>
      <c r="LN120" s="417">
        <f>VLOOKUP($LM$8,'Jan-2026 rates'!$H:$I,2,0)</f>
        <v>0</v>
      </c>
      <c r="LO120" s="417">
        <f t="shared" si="64"/>
        <v>25.400000000000002</v>
      </c>
      <c r="LP120" s="417">
        <f>VLOOKUP($LO$8,'Jan-2026 rates'!$H:$I,2,0)</f>
        <v>0</v>
      </c>
      <c r="LQ120" s="417">
        <f t="shared" si="65"/>
        <v>0</v>
      </c>
      <c r="LR120" s="417">
        <f>VLOOKUP($LQ$8,'Jan-2026 rates'!$H:$I,2,0)</f>
        <v>0</v>
      </c>
      <c r="LS120" s="417">
        <f t="shared" si="66"/>
        <v>0</v>
      </c>
      <c r="LT120" s="417">
        <f>VLOOKUP($LS$8,'Jan-2026 rates'!$H:$I,2,0)</f>
        <v>0</v>
      </c>
      <c r="LU120" s="417">
        <f t="shared" si="67"/>
        <v>0</v>
      </c>
      <c r="LV120" s="417">
        <f>VLOOKUP($LU$8,'Jan-2026 rates'!$H:$I,2,0)</f>
        <v>0</v>
      </c>
      <c r="LW120" s="417">
        <f t="shared" si="68"/>
        <v>0</v>
      </c>
      <c r="LX120" s="417">
        <f t="shared" si="69"/>
        <v>0</v>
      </c>
      <c r="LY120" s="418">
        <f t="shared" si="70"/>
        <v>0</v>
      </c>
      <c r="LZ120" s="417"/>
      <c r="MA120" s="435">
        <f t="shared" si="71"/>
        <v>67.3</v>
      </c>
      <c r="MB120" s="282">
        <f t="shared" si="72"/>
        <v>278.29999999999995</v>
      </c>
      <c r="MC120" s="283">
        <v>75</v>
      </c>
      <c r="MD120" s="284" t="str">
        <f t="shared" si="73"/>
        <v>FLINTSLFLINTSLFLINTSLFLINTSLFLINTSLFLINTSLFLINTSLFLINTSL</v>
      </c>
      <c r="ME120" s="293" t="str">
        <f t="shared" si="74"/>
        <v>+</v>
      </c>
      <c r="MF120" s="293" t="str">
        <f t="shared" si="75"/>
        <v>+</v>
      </c>
      <c r="MG120" s="293" t="str">
        <f t="shared" si="76"/>
        <v>+</v>
      </c>
      <c r="MH120" s="293" t="str">
        <f t="shared" si="77"/>
        <v>+</v>
      </c>
      <c r="MI120" s="293" t="str">
        <f t="shared" si="78"/>
        <v>+</v>
      </c>
      <c r="MJ120" s="293" t="str">
        <f t="shared" si="79"/>
        <v>+</v>
      </c>
      <c r="MK120" s="293" t="str">
        <f t="shared" si="80"/>
        <v>+</v>
      </c>
      <c r="ML120" s="293" t="str">
        <f t="shared" si="81"/>
        <v>+</v>
      </c>
      <c r="MM120" s="3" t="b">
        <f t="array" ref="MM120">OR(ME120:ML120="-")</f>
        <v>0</v>
      </c>
      <c r="MN120" s="285"/>
      <c r="MO120" s="401"/>
      <c r="MP120" s="286"/>
      <c r="MQ120" s="286"/>
      <c r="MR120" s="402"/>
      <c r="MS120" s="400"/>
      <c r="NH120" s="422"/>
      <c r="NJ120" s="421"/>
    </row>
    <row r="121" spans="1:374" s="1" customFormat="1" ht="16.5">
      <c r="A121" s="403">
        <v>46033</v>
      </c>
      <c r="B121" s="404" t="s">
        <v>1015</v>
      </c>
      <c r="C121" s="405" t="s">
        <v>3298</v>
      </c>
      <c r="D121" s="406">
        <v>76</v>
      </c>
      <c r="E121" s="404">
        <v>507</v>
      </c>
      <c r="F121" s="407">
        <v>20100</v>
      </c>
      <c r="G121" s="407" t="s">
        <v>1019</v>
      </c>
      <c r="H121" s="408" t="s">
        <v>1017</v>
      </c>
      <c r="I121" s="409">
        <v>1.71</v>
      </c>
      <c r="J121" s="405" t="s">
        <v>543</v>
      </c>
      <c r="K121" s="404" t="s">
        <v>3299</v>
      </c>
      <c r="L121" s="419" t="str">
        <f t="shared" si="54"/>
        <v>FLINTSL - BLACK</v>
      </c>
      <c r="M121" s="404">
        <v>29</v>
      </c>
      <c r="N121" s="410">
        <f>IF(M121=0,0,IF($LB121=70%,VLOOKUP($L121,'Jan-2026 rates'!$L:$R,4,0),IF($LB121=65%,VLOOKUP($L121,'Jan-2026 rates'!$L:$R,4,0),IF($LB121=40%,VLOOKUP($L121,'Jan-2026 rates'!$L:$R,5,0),IF($LB121=30%,VLOOKUP($L121,'Jan-2026 rates'!$L:$R,6,0),IF($LB121=100%,VLOOKUP($L121,'Jan-2026 rates'!$L:$R,7,0),IF($LB121=60%,VLOOKUP($L121,'Jan-2026 rates'!$L:$S,8,0),IF($LB121=80%,VLOOKUP($L121,'Jan-2026 rates'!L:T,9,0),0))))))))</f>
        <v>0</v>
      </c>
      <c r="O121" s="406"/>
      <c r="P121" s="404"/>
      <c r="Q121" s="410">
        <f>IF(P121=0,0,IF($LB121=70%,VLOOKUP($L121,'Jan-2026 rates'!$L:$R,4,0),IF($LB121=65%,VLOOKUP($L121,'Jan-2026 rates'!$L:$R,4,0),IF($LB121=40%,VLOOKUP($L121,'Jan-2026 rates'!$L:$R,5,0),IF($LB121=30%,VLOOKUP($L121,'Jan-2026 rates'!$L:$R,6,0),IF($LB121=100%,VLOOKUP($L121,'Jan-2026 rates'!$L:$R,7,0),IF($LB121=60%,VLOOKUP($L121,'Jan-2026 rates'!$L:$S,8,0),IF($LB121=80%,VLOOKUP($L121,'Jan-2026 rates'!L:T,9,0),0))))))))</f>
        <v>0</v>
      </c>
      <c r="R121" s="406">
        <v>26513000022</v>
      </c>
      <c r="S121" s="406"/>
      <c r="T121" s="406"/>
      <c r="U121" s="406"/>
      <c r="V121" s="406"/>
      <c r="W121" s="406"/>
      <c r="X121" s="406"/>
      <c r="Y121" s="406"/>
      <c r="Z121" s="404">
        <v>2</v>
      </c>
      <c r="AA121" s="398" t="e">
        <f>IF(Z121=0,0,IF(LEN(R121)=11,_xlfn.XLOOKUP(R121,'Dispensed Ink Rates'!C:C,'Dispensed Ink Rates'!CS:CS),VLOOKUP(R121,'Jan-2026 rates'!$E:$F,2,0)))</f>
        <v>#N/A</v>
      </c>
      <c r="AB121" s="404"/>
      <c r="AC121" s="398">
        <f>IF(AB121=0,0,IF(LEN(S121)=11,_xlfn.XLOOKUP(S121,'Dispensed Ink Rates'!C:C,'Dispensed Ink Rates'!CS:CS),VLOOKUP(S121,'Jan-2026 rates'!$E:$F,2,0)))</f>
        <v>0</v>
      </c>
      <c r="AD121" s="404"/>
      <c r="AE121" s="398">
        <f>IF(AD121=0,0,IF(LEN(T121)=11,_xlfn.XLOOKUP(T121,'Dispensed Ink Rates'!C:C,'Dispensed Ink Rates'!CS:CS),VLOOKUP(T121,'Jan-2026 rates'!$E:$F,2,0)))</f>
        <v>0</v>
      </c>
      <c r="AF121" s="404"/>
      <c r="AG121" s="398">
        <f>IF(AF121=0,0,IF(LEN(U121)=11,_xlfn.XLOOKUP(U121,'Dispensed Ink Rates'!C:C,'Dispensed Ink Rates'!CS:CS),VLOOKUP(U121,'Jan-2026 rates'!$E:$F,2,0)))</f>
        <v>0</v>
      </c>
      <c r="AH121" s="404"/>
      <c r="AI121" s="398">
        <f>IF(AH121=0,0,IF(LEN(V121)=11,_xlfn.XLOOKUP(V121,'Dispensed Ink Rates'!C:C,'Dispensed Ink Rates'!CS:CS),VLOOKUP(V121,'Jan-2026 rates'!$E:$F,2,0)))</f>
        <v>0</v>
      </c>
      <c r="AJ121" s="404"/>
      <c r="AK121" s="398">
        <f>IF(AJ121=0,0,IF(LEN(W121)=11,_xlfn.XLOOKUP(W121,'Dispensed Ink Rates'!C:C,'Dispensed Ink Rates'!CS:CS),VLOOKUP(W121,'Jan-2026 rates'!$E:$F,2,0)))</f>
        <v>0</v>
      </c>
      <c r="AL121" s="404"/>
      <c r="AM121" s="398">
        <f>IF(AL121=0,0,IF(LEN(X121)=11,_xlfn.XLOOKUP(X121,'Dispensed Ink Rates'!C:C,'Dispensed Ink Rates'!CS:CS),VLOOKUP(X121,'Jan-2026 rates'!$E:$F,2,0)))</f>
        <v>0</v>
      </c>
      <c r="AN121" s="404"/>
      <c r="AO121" s="398">
        <f>IF(AN121=0,0,IF(LEN(Y121)=11,_xlfn.XLOOKUP(Y121,'Dispensed Ink Rates'!C:C,'Dispensed Ink Rates'!CS:CS),VLOOKUP(Y121,'Jan-2026 rates'!$E:$F,2,0)))</f>
        <v>0</v>
      </c>
      <c r="AP121" s="409" t="s">
        <v>1443</v>
      </c>
      <c r="AQ121" s="409">
        <v>28</v>
      </c>
      <c r="AR121" s="410">
        <f t="shared" si="82"/>
        <v>0</v>
      </c>
      <c r="AS121" s="411">
        <f t="shared" si="83"/>
        <v>7.8846153846153868</v>
      </c>
      <c r="AT121" s="410">
        <f t="shared" si="84"/>
        <v>0</v>
      </c>
      <c r="AU121" s="405" t="s">
        <v>547</v>
      </c>
      <c r="AV121" s="409" t="s">
        <v>3300</v>
      </c>
      <c r="AW121" s="420" t="str">
        <f t="shared" si="53"/>
        <v>FLINTSL - GREEN</v>
      </c>
      <c r="AX121" s="409">
        <v>20</v>
      </c>
      <c r="AY121" s="411">
        <f>IF(AX121=0,0,IF($LB121=70%,VLOOKUP($AW121,'Jan-2026 rates'!$L:$R,4,0),IF($LB121=65%,VLOOKUP($AW121,'Jan-2026 rates'!$L:$R,4,0),IF($LB121=40%,VLOOKUP($AW121,'Jan-2026 rates'!$L:$R,5,0),IF($LB121=30%,VLOOKUP($AW121,'Jan-2026 rates'!$L:$R,6,0),IF($LB121=100%,VLOOKUP($AW121,'Jan-2026 rates'!$L:$R,7,0),IF($LB121=60%,VLOOKUP($AW121,'Jan-2026 rates'!$L:$S,8,0),IF($LB121=80%,VLOOKUP($AW121,'Jan-2026 rates'!L:T,9,0),0))))))))</f>
        <v>0</v>
      </c>
      <c r="AZ121" s="412"/>
      <c r="BA121" s="409"/>
      <c r="BB121" s="411">
        <f>IF(BA121=0,0,IF($LB121=70%,VLOOKUP($AW121,'Jan-2026 rates'!$L:$R,4,0),IF($LB121=65%,VLOOKUP($AW121,'Jan-2026 rates'!$L:$R,4,0),IF($LB121=40%,VLOOKUP($AW121,'Jan-2026 rates'!$L:$R,5,0),IF($LB121=30%,VLOOKUP($AW121,'Jan-2026 rates'!$L:$R,6,0),IF($LB121=100%,VLOOKUP($AW121,'Jan-2026 rates'!$L:$R,7,0),IF($LB121=60%,VLOOKUP($AW121,'Jan-2026 rates'!$L:$S,8,0),IF($LB121=80%,VLOOKUP($AW121,'Jan-2026 rates'!L:T,9,0),0))))))))</f>
        <v>0</v>
      </c>
      <c r="BC121" s="413">
        <v>26508000030</v>
      </c>
      <c r="BD121" s="412">
        <v>26511000002</v>
      </c>
      <c r="BE121" s="412">
        <v>26513000022</v>
      </c>
      <c r="BF121" s="413"/>
      <c r="BG121" s="412"/>
      <c r="BH121" s="412"/>
      <c r="BI121" s="412"/>
      <c r="BJ121" s="412"/>
      <c r="BK121" s="409">
        <v>8</v>
      </c>
      <c r="BL121" s="398" t="e">
        <f>IF(BK121=0,0,IF(LEN(BC121)=11,_xlfn.XLOOKUP(BC121,'Dispensed Ink Rates'!C:C,'Dispensed Ink Rates'!CS:CS),VLOOKUP(BC121,'Jan-2026 rates'!$E:$F,2,0)))</f>
        <v>#N/A</v>
      </c>
      <c r="BM121" s="409">
        <v>5</v>
      </c>
      <c r="BN121" s="398" t="e">
        <f>IF(BM121=0,0,IF(LEN(BD121)=11,_xlfn.XLOOKUP(BD121,'Dispensed Ink Rates'!C:C,'Dispensed Ink Rates'!CS:CS),VLOOKUP(BD121,'Jan-2026 rates'!$E:$F,2,0)))</f>
        <v>#N/A</v>
      </c>
      <c r="BO121" s="409">
        <v>1</v>
      </c>
      <c r="BP121" s="398" t="e">
        <f>IF(BO121=0,0,IF(LEN(BE121)=11,_xlfn.XLOOKUP(BE121,'Dispensed Ink Rates'!C:C,'Dispensed Ink Rates'!CS:CS),VLOOKUP(BE121,'Jan-2026 rates'!$E:$F,2,0)))</f>
        <v>#N/A</v>
      </c>
      <c r="BQ121" s="409"/>
      <c r="BR121" s="398">
        <f>IF(BQ121=0,0,IF(LEN(BF121)=11,_xlfn.XLOOKUP(BF121,'Dispensed Ink Rates'!C:C,'Dispensed Ink Rates'!CS:CS),VLOOKUP(BF121,'Jan-2026 rates'!$E:$F,2,0)))</f>
        <v>0</v>
      </c>
      <c r="BS121" s="409"/>
      <c r="BT121" s="398">
        <f>IF(BS121=0,0,IF(LEN(BG121)=11,_xlfn.XLOOKUP(BG121,'Dispensed Ink Rates'!C:C,'Dispensed Ink Rates'!CS:CS),VLOOKUP(BG121,'Jan-2026 rates'!$E:$F,2,0)))</f>
        <v>0</v>
      </c>
      <c r="BU121" s="409"/>
      <c r="BV121" s="398">
        <f>IF(BU121=0,0,IF(LEN(BH121)=11,_xlfn.XLOOKUP(BH121,'Dispensed Ink Rates'!C:C,'Dispensed Ink Rates'!CS:CS),VLOOKUP(BH121,'Jan-2026 rates'!$E:$F,2,0)))</f>
        <v>0</v>
      </c>
      <c r="BW121" s="409"/>
      <c r="BX121" s="398">
        <f>IF(BW121=0,0,IF(LEN(BI121)=11,_xlfn.XLOOKUP(BI121,'Dispensed Ink Rates'!C:C,'Dispensed Ink Rates'!CS:CS),VLOOKUP(BI121,'Jan-2026 rates'!$E:$F,2,0)))</f>
        <v>0</v>
      </c>
      <c r="BY121" s="409"/>
      <c r="BZ121" s="398">
        <f>IF(BY121=0,0,IF(LEN(BJ121)=11,_xlfn.XLOOKUP(BJ121,'Dispensed Ink Rates'!C:C,'Dispensed Ink Rates'!CS:CS),VLOOKUP(BJ121,'Jan-2026 rates'!$E:$F,2,0)))</f>
        <v>0</v>
      </c>
      <c r="CA121" s="409" t="s">
        <v>1443</v>
      </c>
      <c r="CB121" s="409">
        <v>20</v>
      </c>
      <c r="CC121" s="411">
        <f t="shared" si="85"/>
        <v>0</v>
      </c>
      <c r="CD121" s="411">
        <f t="shared" si="86"/>
        <v>28.653846153846153</v>
      </c>
      <c r="CE121" s="410">
        <f t="shared" si="87"/>
        <v>0</v>
      </c>
      <c r="CF121" s="404" t="s">
        <v>547</v>
      </c>
      <c r="CG121" s="409"/>
      <c r="CH121" s="420" t="str">
        <f t="shared" si="55"/>
        <v>FLINTSL - GREEN</v>
      </c>
      <c r="CI121" s="409"/>
      <c r="CJ121" s="411">
        <f>IF(CI121=0,0,IF($LB121=70%,VLOOKUP($CH121,'Jan-2026 rates'!$L:$R,4,0),IF($LB121=65%,VLOOKUP($CH121,'Jan-2026 rates'!$L:$R,4,0),IF($LB121=40%,VLOOKUP($CH121,'Jan-2026 rates'!$L:$R,5,0),IF($LB121=30%,VLOOKUP($CH121,'Jan-2026 rates'!$L:$R,6,0),IF($LB121=100%,VLOOKUP($CH121,'Jan-2026 rates'!$L:$R,7,0),IF($LB121=60%,VLOOKUP($CH121,'Jan-2026 rates'!$L:$S,8,0),IF($LB121=80%,VLOOKUP($CH121,'Jan-2026 rates'!L:T,9,0),0))))))))</f>
        <v>0</v>
      </c>
      <c r="CK121" s="412"/>
      <c r="CL121" s="409"/>
      <c r="CM121" s="411">
        <f>IF(CL121=0,0,IF($LB121=70%,VLOOKUP($CH121,'Jan-2026 rates'!$L:$R,4,0),IF($LB121=65%,VLOOKUP($CH121,'Jan-2026 rates'!$L:$R,4,0),IF($LB121=40%,VLOOKUP($CH121,'Jan-2026 rates'!$L:$R,5,0),IF($LB121=30%,VLOOKUP($CH121,'Jan-2026 rates'!$L:$R,6,0),IF($LB121=100%,VLOOKUP($CH121,'Jan-2026 rates'!$L:$R,7,0),IF($LB121=60%,VLOOKUP($CH121,'Jan-2026 rates'!$L:$S,8,0),IF($LB121=80%,VLOOKUP($CH121,'Jan-2026 rates'!L:T,9,0),0))))))))</f>
        <v>0</v>
      </c>
      <c r="CN121" s="426">
        <v>26511000002</v>
      </c>
      <c r="CO121" s="427">
        <v>26505000028</v>
      </c>
      <c r="CP121" s="426">
        <v>26507000018</v>
      </c>
      <c r="CQ121" s="426"/>
      <c r="CR121" s="428"/>
      <c r="CS121" s="428"/>
      <c r="CT121" s="428"/>
      <c r="CU121" s="428"/>
      <c r="CV121" s="409">
        <v>18</v>
      </c>
      <c r="CW121" s="398" t="e">
        <f>IF(CV121=0,0,IF(LEN(CN121)=11,_xlfn.XLOOKUP(CN121,'Dispensed Ink Rates'!C:C,'Dispensed Ink Rates'!CS:CS),VLOOKUP(CN121,'Jan-2026 rates'!$E:$F,2,0)))</f>
        <v>#N/A</v>
      </c>
      <c r="CX121" s="409">
        <v>2</v>
      </c>
      <c r="CY121" s="398" t="e">
        <f>IF(CX121=0,0,IF(LEN(CO121)=11,_xlfn.XLOOKUP(CO121,'Dispensed Ink Rates'!C:C,'Dispensed Ink Rates'!CS:CS),VLOOKUP(CO121,'Jan-2026 rates'!$E:$F,2,0)))</f>
        <v>#N/A</v>
      </c>
      <c r="CZ121" s="409">
        <v>1</v>
      </c>
      <c r="DA121" s="398" t="e">
        <f>IF(CZ121=0,0,IF(LEN(CP121)=11,_xlfn.XLOOKUP(CP121,'Dispensed Ink Rates'!C:C,'Dispensed Ink Rates'!CS:CS),VLOOKUP(CP121,'Jan-2026 rates'!$E:$F,2,0)))</f>
        <v>#N/A</v>
      </c>
      <c r="DB121" s="409"/>
      <c r="DC121" s="398">
        <f>IF(DB121=0,0,IF(LEN(CQ121)=11,_xlfn.XLOOKUP(CQ121,'Dispensed Ink Rates'!C:C,'Dispensed Ink Rates'!CS:CS),VLOOKUP(CQ121,'Jan-2026 rates'!$E:$F,2,0)))</f>
        <v>0</v>
      </c>
      <c r="DD121" s="409"/>
      <c r="DE121" s="398">
        <f>IF(DD121=0,0,IF(LEN(CR121)=11,_xlfn.XLOOKUP(CR121,'Dispensed Ink Rates'!C:C,'Dispensed Ink Rates'!CS:CS),VLOOKUP(CR121,'Jan-2026 rates'!$E:$F,2,0)))</f>
        <v>0</v>
      </c>
      <c r="DF121" s="409"/>
      <c r="DG121" s="398">
        <f>IF(DF121=0,0,IF(LEN(CS121)=11,_xlfn.XLOOKUP(CS121,'Dispensed Ink Rates'!C:C,'Dispensed Ink Rates'!CS:CS),VLOOKUP(CS121,'Jan-2026 rates'!$E:$F,2,0)))</f>
        <v>0</v>
      </c>
      <c r="DH121" s="409"/>
      <c r="DI121" s="398">
        <f>IF(DH121=0,0,IF(LEN(CT121)=11,_xlfn.XLOOKUP(CT121,'Dispensed Ink Rates'!C:C,'Dispensed Ink Rates'!CS:CS),VLOOKUP(CT121,'Jan-2026 rates'!$E:$F,2,0)))</f>
        <v>0</v>
      </c>
      <c r="DJ121" s="409"/>
      <c r="DK121" s="398">
        <f>IF(DJ121=0,0,IF(LEN(CU121)=11,_xlfn.XLOOKUP(CU121,'Dispensed Ink Rates'!C:C,'Dispensed Ink Rates'!CS:CS),VLOOKUP(CU121,'Jan-2026 rates'!$E:$F,2,0)))</f>
        <v>0</v>
      </c>
      <c r="DL121" s="409" t="s">
        <v>1443</v>
      </c>
      <c r="DM121" s="409">
        <v>22</v>
      </c>
      <c r="DN121" s="411">
        <f t="shared" si="88"/>
        <v>0</v>
      </c>
      <c r="DO121" s="411">
        <f t="shared" si="89"/>
        <v>13.653846153846153</v>
      </c>
      <c r="DP121" s="410">
        <f t="shared" si="90"/>
        <v>0</v>
      </c>
      <c r="DQ121" s="405" t="s">
        <v>547</v>
      </c>
      <c r="DR121" s="409" t="s">
        <v>3301</v>
      </c>
      <c r="DS121" s="420" t="str">
        <f t="shared" si="56"/>
        <v>FLINTSL - GREEN</v>
      </c>
      <c r="DT121" s="409">
        <v>29</v>
      </c>
      <c r="DU121" s="411">
        <f>IF(DT121=0,0,IF($LB121=70%,VLOOKUP($DS121,'Jan-2026 rates'!$L:$R,4,0),IF($LB121=65%,VLOOKUP($DS121,'Jan-2026 rates'!$L:$R,4,0),IF($LB121=40%,VLOOKUP($DS121,'Jan-2026 rates'!$L:$R,5,0),IF($LB121=30%,VLOOKUP($DS121,'Jan-2026 rates'!$L:$R,6,0),IF($LB121=100%,VLOOKUP($DS121,'Jan-2026 rates'!$L:$R,7,0),IF($LB121=60%,VLOOKUP($DS121,'Jan-2026 rates'!$L:$S,8,0),IF($LB121=80%,VLOOKUP($DS121,'Jan-2026 rates'!L:T,9,0),0))))))))</f>
        <v>0</v>
      </c>
      <c r="DV121" s="412"/>
      <c r="DW121" s="409"/>
      <c r="DX121" s="411">
        <f>IF(DW121=0,0,IF($LB121=70%,VLOOKUP($DS121,'Jan-2026 rates'!$L:$R,4,0),IF($LB121=65%,VLOOKUP($DS121,'Jan-2026 rates'!$L:$R,4,0),IF($LB121=40%,VLOOKUP($DS121,'Jan-2026 rates'!$L:$R,5,0),IF($LB121=30%,VLOOKUP($DS121,'Jan-2026 rates'!$L:$R,6,0),IF($LB121=100%,VLOOKUP($DS121,'Jan-2026 rates'!$L:$R,7,0),IF($LB121=60%,VLOOKUP($DS121,'Jan-2026 rates'!$L:$S,8,0),IF($LB121=80%,VLOOKUP($DS121,'Jan-2026 rates'!L:T,9,0),0))))))))</f>
        <v>0</v>
      </c>
      <c r="DY121" s="413"/>
      <c r="DZ121" s="413"/>
      <c r="EA121" s="412"/>
      <c r="EB121" s="412"/>
      <c r="EC121" s="412"/>
      <c r="ED121" s="412"/>
      <c r="EE121" s="412"/>
      <c r="EF121" s="412"/>
      <c r="EG121" s="409"/>
      <c r="EH121" s="398">
        <f>IF(EG121=0,0,IF(LEN(DY121)=11,_xlfn.XLOOKUP(DY121,'Dispensed Ink Rates'!C:C,'Dispensed Ink Rates'!CS:CS),VLOOKUP(DY121,'Jan-2026 rates'!$E:$F,2,0)))</f>
        <v>0</v>
      </c>
      <c r="EI121" s="409"/>
      <c r="EJ121" s="398">
        <f>IF(EI121=0,0,IF(LEN(DZ121)=11,_xlfn.XLOOKUP(DZ121,'Dispensed Ink Rates'!C:C,'Dispensed Ink Rates'!CS:CS),VLOOKUP(DZ121,'Jan-2026 rates'!$E:$F,2,0)))</f>
        <v>0</v>
      </c>
      <c r="EK121" s="409"/>
      <c r="EL121" s="398">
        <f>IF(EK121=0,0,IF(LEN(EA121)=11,_xlfn.XLOOKUP(EA121,'Dispensed Ink Rates'!C:C,'Dispensed Ink Rates'!CS:CS),VLOOKUP(EA121,'Jan-2026 rates'!$E:$F,2,0)))</f>
        <v>0</v>
      </c>
      <c r="EM121" s="409"/>
      <c r="EN121" s="398">
        <f>IF(EM121=0,0,IF(LEN(EB121)=11,_xlfn.XLOOKUP(EB121,'Dispensed Ink Rates'!C:C,'Dispensed Ink Rates'!CS:CS),VLOOKUP(EB121,'Jan-2026 rates'!$E:$F,2,0)))</f>
        <v>0</v>
      </c>
      <c r="EO121" s="409"/>
      <c r="EP121" s="398">
        <f>IF(EO121=0,0,IF(LEN(EC121)=11,_xlfn.XLOOKUP(EC121,'Dispensed Ink Rates'!C:C,'Dispensed Ink Rates'!CS:CS),VLOOKUP(EC121,'Jan-2026 rates'!$E:$F,2,0)))</f>
        <v>0</v>
      </c>
      <c r="EQ121" s="409"/>
      <c r="ER121" s="398">
        <f>IF(EQ121=0,0,IF(LEN(ED121)=11,_xlfn.XLOOKUP(ED121,'Dispensed Ink Rates'!C:C,'Dispensed Ink Rates'!CS:CS),VLOOKUP(ED121,'Jan-2026 rates'!$E:$F,2,0)))</f>
        <v>0</v>
      </c>
      <c r="ES121" s="409"/>
      <c r="ET121" s="398">
        <f>IF(ES121=0,0,IF(LEN(EE121)=11,_xlfn.XLOOKUP(EE121,'Dispensed Ink Rates'!C:C,'Dispensed Ink Rates'!CS:CS),VLOOKUP(EE121,'Jan-2026 rates'!$E:$F,2,0)))</f>
        <v>0</v>
      </c>
      <c r="EU121" s="409"/>
      <c r="EV121" s="398">
        <f>IF(EU121=0,0,IF(LEN(EF121)=11,_xlfn.XLOOKUP(EF121,'Dispensed Ink Rates'!C:C,'Dispensed Ink Rates'!CS:CS),VLOOKUP(EF121,'Jan-2026 rates'!$E:$F,2,0)))</f>
        <v>0</v>
      </c>
      <c r="EW121" s="409" t="s">
        <v>1443</v>
      </c>
      <c r="EX121" s="409">
        <v>15</v>
      </c>
      <c r="EY121" s="411">
        <f t="shared" si="91"/>
        <v>0</v>
      </c>
      <c r="EZ121" s="411">
        <f t="shared" si="92"/>
        <v>14</v>
      </c>
      <c r="FA121" s="410">
        <f t="shared" si="93"/>
        <v>0</v>
      </c>
      <c r="FB121" s="405" t="s">
        <v>855</v>
      </c>
      <c r="FC121" s="409" t="s">
        <v>3302</v>
      </c>
      <c r="FD121" s="420" t="str">
        <f t="shared" si="57"/>
        <v>FLINTSL - CYAN</v>
      </c>
      <c r="FE121" s="409">
        <v>28</v>
      </c>
      <c r="FF121" s="411">
        <f>IF(FE121=0,0,IF($LB121=70%,VLOOKUP($FD121,'Jan-2026 rates'!$L:$R,4,0),IF($LB121=65%,VLOOKUP($FD121,'Jan-2026 rates'!$L:$R,4,0),IF($LB121=40%,VLOOKUP($FD121,'Jan-2026 rates'!$L:$R,5,0),IF($LB121=30%,VLOOKUP($FD121,'Jan-2026 rates'!$L:$R,6,0),IF($LB121=100%,VLOOKUP($FD121,'Jan-2026 rates'!$L:$R,7,0),IF($LB121=60%,VLOOKUP($FD121,'Jan-2026 rates'!$L:$S,8,0),IF($LB121=80%,VLOOKUP($FD121,'Jan-2026 rates'!L:T,9,0),0))))))))</f>
        <v>0</v>
      </c>
      <c r="FG121" s="412"/>
      <c r="FH121" s="409"/>
      <c r="FI121" s="411">
        <f>IF(FH121=0,0,IF($LB121=70%,VLOOKUP($FD121,'Jan-2026 rates'!$L:$R,4,0),IF($LB121=65%,VLOOKUP($FD121,'Jan-2026 rates'!$L:$R,4,0),IF($LB121=40%,VLOOKUP($FD121,'Jan-2026 rates'!$L:$R,5,0),IF($LB121=30%,VLOOKUP($FD121,'Jan-2026 rates'!$L:$R,6,0),IF($LB121=100%,VLOOKUP($FD121,'Jan-2026 rates'!$L:$R,7,0),IF($LB121=60%,VLOOKUP($FD121,'Jan-2026 rates'!$L:$S,8,0),IF($LB121=80%,VLOOKUP($FD121,'Jan-2026 rates'!L:T,9,0),0))))))))</f>
        <v>0</v>
      </c>
      <c r="FJ121" s="413">
        <v>26507000018</v>
      </c>
      <c r="FK121" s="413"/>
      <c r="FL121" s="413"/>
      <c r="FM121" s="412"/>
      <c r="FN121" s="412"/>
      <c r="FO121" s="412"/>
      <c r="FP121" s="412"/>
      <c r="FQ121" s="412"/>
      <c r="FR121" s="409">
        <v>2</v>
      </c>
      <c r="FS121" s="398" t="e">
        <f>IF(FR121=0,0,IF(LEN(FJ121)=11,_xlfn.XLOOKUP(FJ121,'Dispensed Ink Rates'!C:C,'Dispensed Ink Rates'!CS:CS),VLOOKUP(FJ121,'Jan-2026 rates'!$E:$F,2,0)))</f>
        <v>#N/A</v>
      </c>
      <c r="FT121" s="409"/>
      <c r="FU121" s="398">
        <f>IF(FT121=0,0,IF(LEN(FK121)=11,_xlfn.XLOOKUP(FK121,'Dispensed Ink Rates'!C:C,'Dispensed Ink Rates'!CS:CS),VLOOKUP(FK121,'Jan-2026 rates'!$E:$F,2,0)))</f>
        <v>0</v>
      </c>
      <c r="FV121" s="409"/>
      <c r="FW121" s="398">
        <f>IF(FV121=0,0,IF(LEN(FL121)=11,_xlfn.XLOOKUP(FL121,'Dispensed Ink Rates'!C:C,'Dispensed Ink Rates'!CS:CS),VLOOKUP(FL121,'Jan-2026 rates'!$E:$F,2,0)))</f>
        <v>0</v>
      </c>
      <c r="FX121" s="409"/>
      <c r="FY121" s="398">
        <f>IF(FX121=0,0,IF(LEN(FM121)=11,_xlfn.XLOOKUP(FM121,'Dispensed Ink Rates'!C:C,'Dispensed Ink Rates'!CS:CS),VLOOKUP(FM121,'Jan-2026 rates'!$E:$F,2,0)))</f>
        <v>0</v>
      </c>
      <c r="FZ121" s="409"/>
      <c r="GA121" s="398">
        <f>IF(FZ121=0,0,IF(LEN(FN121)=11,_xlfn.XLOOKUP(FN121,'Dispensed Ink Rates'!C:C,'Dispensed Ink Rates'!CS:CS),VLOOKUP(FN121,'Jan-2026 rates'!$E:$F,2,0)))</f>
        <v>0</v>
      </c>
      <c r="GB121" s="409"/>
      <c r="GC121" s="398">
        <f>IF(GB121=0,0,IF(LEN(FO121)=11,_xlfn.XLOOKUP(FO121,'Dispensed Ink Rates'!C:C,'Dispensed Ink Rates'!CS:CS),VLOOKUP(FO121,'Jan-2026 rates'!$E:$F,2,0)))</f>
        <v>0</v>
      </c>
      <c r="GD121" s="409"/>
      <c r="GE121" s="398">
        <f>IF(GD121=0,0,IF(LEN(FP121)=11,_xlfn.XLOOKUP(FP121,'Dispensed Ink Rates'!C:C,'Dispensed Ink Rates'!CS:CS),VLOOKUP(FP121,'Jan-2026 rates'!$E:$F,2,0)))</f>
        <v>0</v>
      </c>
      <c r="GF121" s="409"/>
      <c r="GG121" s="398">
        <f>IF(GF121=0,0,IF(LEN(FQ121)=11,_xlfn.XLOOKUP(FQ121,'Dispensed Ink Rates'!C:C,'Dispensed Ink Rates'!CS:CS),VLOOKUP(FQ121,'Jan-2026 rates'!$E:$F,2,0)))</f>
        <v>0</v>
      </c>
      <c r="GH121" s="409" t="s">
        <v>1443</v>
      </c>
      <c r="GI121" s="409">
        <v>27</v>
      </c>
      <c r="GJ121" s="411">
        <f t="shared" si="94"/>
        <v>0</v>
      </c>
      <c r="GK121" s="411">
        <f t="shared" si="95"/>
        <v>10.32692307692308</v>
      </c>
      <c r="GL121" s="410">
        <f t="shared" si="96"/>
        <v>0</v>
      </c>
      <c r="GM121" s="405" t="s">
        <v>544</v>
      </c>
      <c r="GN121" s="409" t="s">
        <v>3303</v>
      </c>
      <c r="GO121" s="420" t="str">
        <f t="shared" si="58"/>
        <v>FLINTSL - MAGENTA</v>
      </c>
      <c r="GP121" s="409">
        <v>29</v>
      </c>
      <c r="GQ121" s="411">
        <f>IF(GP121=0,0,IF($LB121=70%,VLOOKUP($GO121,'Jan-2026 rates'!$L:$R,4,0),IF($LB121=65%,VLOOKUP($GO121,'Jan-2026 rates'!$L:$R,4,0),IF($LB121=40%,VLOOKUP($GO121,'Jan-2026 rates'!$L:$R,5,0),IF($LB121=30%,VLOOKUP($GO121,'Jan-2026 rates'!$L:$R,6,0),IF($LB121=100%,VLOOKUP($GO121,'Jan-2026 rates'!$L:$R,7,0),IF($LB121=60%,VLOOKUP($GO121,'Jan-2026 rates'!$L:$S,8,0),IF($LB121=80%,VLOOKUP($GO121,'Jan-2026 rates'!L:T,9,0),0))))))))</f>
        <v>0</v>
      </c>
      <c r="GR121" s="412"/>
      <c r="GS121" s="409"/>
      <c r="GT121" s="411">
        <f>IF(GS121=0,0,IF($LB121=70%,VLOOKUP($GO121,'Jan-2026 rates'!$L:$R,4,0),IF($LB121=65%,VLOOKUP($GO121,'Jan-2026 rates'!$L:$R,4,0),IF($LB121=40%,VLOOKUP($GO121,'Jan-2026 rates'!$L:$R,5,0),IF($LB121=30%,VLOOKUP($GO121,'Jan-2026 rates'!$L:$R,6,0),IF($LB121=100%,VLOOKUP($GO121,'Jan-2026 rates'!$L:$R,7,0),IF($LB121=60%,VLOOKUP($GO121,'Jan-2026 rates'!$L:$S,8,0),IF($LB121=80%,VLOOKUP($GO121,'Jan-2026 rates'!L:T,9,0),0))))))))</f>
        <v>0</v>
      </c>
      <c r="GU121" s="413">
        <v>26506000002</v>
      </c>
      <c r="GV121" s="413"/>
      <c r="GW121" s="412"/>
      <c r="GX121" s="412"/>
      <c r="GY121" s="412"/>
      <c r="GZ121" s="412"/>
      <c r="HA121" s="412"/>
      <c r="HB121" s="412"/>
      <c r="HC121" s="409">
        <v>3</v>
      </c>
      <c r="HD121" s="398" t="e">
        <f>IF(HC121=0,0,IF(LEN(GU121)=11,_xlfn.XLOOKUP(GU121,'Dispensed Ink Rates'!C:C,'Dispensed Ink Rates'!CS:CS),VLOOKUP(GU121,'Jan-2026 rates'!$E:$F,2,0)))</f>
        <v>#N/A</v>
      </c>
      <c r="HE121" s="409"/>
      <c r="HF121" s="398">
        <f>IF(HE121=0,0,IF(LEN(GV121)=11,_xlfn.XLOOKUP(GV121,'Dispensed Ink Rates'!C:C,'Dispensed Ink Rates'!CS:CS),VLOOKUP(GV121,'Jan-2026 rates'!$E:$F,2,0)))</f>
        <v>0</v>
      </c>
      <c r="HG121" s="409"/>
      <c r="HH121" s="398">
        <f>IF(HG121=0,0,IF(LEN(GW121)=11,_xlfn.XLOOKUP(GW121,'Dispensed Ink Rates'!C:C,'Dispensed Ink Rates'!CS:CS),VLOOKUP(GW121,'Jan-2026 rates'!$E:$F,2,0)))</f>
        <v>0</v>
      </c>
      <c r="HI121" s="409"/>
      <c r="HJ121" s="398">
        <f>IF(HI121=0,0,IF(LEN(GX121)=11,_xlfn.XLOOKUP(GX121,'Dispensed Ink Rates'!C:C,'Dispensed Ink Rates'!CS:CS),VLOOKUP(GX121,'Jan-2026 rates'!$E:$F,2,0)))</f>
        <v>0</v>
      </c>
      <c r="HK121" s="409"/>
      <c r="HL121" s="398">
        <f>IF(HK121=0,0,IF(LEN(GY121)=11,_xlfn.XLOOKUP(GY121,'Dispensed Ink Rates'!C:C,'Dispensed Ink Rates'!CS:CS),VLOOKUP(GY121,'Jan-2026 rates'!$E:$F,2,0)))</f>
        <v>0</v>
      </c>
      <c r="HM121" s="409"/>
      <c r="HN121" s="398">
        <f>IF(HM121=0,0,IF(LEN(GZ121)=11,_xlfn.XLOOKUP(GZ121,'Dispensed Ink Rates'!C:C,'Dispensed Ink Rates'!CS:CS),VLOOKUP(GZ121,'Jan-2026 rates'!$E:$F,2,0)))</f>
        <v>0</v>
      </c>
      <c r="HO121" s="409"/>
      <c r="HP121" s="398">
        <f>IF(HO121=0,0,IF(LEN(HA121)=11,_xlfn.XLOOKUP(HA121,'Dispensed Ink Rates'!C:C,'Dispensed Ink Rates'!CS:CS),VLOOKUP(HA121,'Jan-2026 rates'!$E:$F,2,0)))</f>
        <v>0</v>
      </c>
      <c r="HQ121" s="409"/>
      <c r="HR121" s="398">
        <f>IF(HQ121=0,0,IF(LEN(HB121)=11,_xlfn.XLOOKUP(HB121,'Dispensed Ink Rates'!C:C,'Dispensed Ink Rates'!CS:CS),VLOOKUP(HB121,'Jan-2026 rates'!$E:$F,2,0)))</f>
        <v>0</v>
      </c>
      <c r="HS121" s="409" t="s">
        <v>1443</v>
      </c>
      <c r="HT121" s="409">
        <v>29</v>
      </c>
      <c r="HU121" s="411">
        <f t="shared" si="97"/>
        <v>0</v>
      </c>
      <c r="HV121" s="411">
        <f t="shared" si="98"/>
        <v>7.8846153846153868</v>
      </c>
      <c r="HW121" s="414">
        <f t="shared" si="99"/>
        <v>0</v>
      </c>
      <c r="HX121" s="405" t="s">
        <v>545</v>
      </c>
      <c r="HY121" s="409" t="s">
        <v>3304</v>
      </c>
      <c r="HZ121" s="420" t="str">
        <f t="shared" si="59"/>
        <v>FLINTSL - YELLOW</v>
      </c>
      <c r="IA121" s="409">
        <v>28</v>
      </c>
      <c r="IB121" s="411">
        <f>IF(IA121=0,0,IF($LB121=70%,VLOOKUP($HZ121,'Jan-2026 rates'!$L:$R,4,0),IF($LB121=65%,VLOOKUP($HZ121,'Jan-2026 rates'!$L:$R,4,0),IF($LB121=40%,VLOOKUP($HZ121,'Jan-2026 rates'!$L:$R,5,0),IF($LB121=30%,VLOOKUP($HZ121,'Jan-2026 rates'!$L:$R,6,0),IF($LB121=100%,VLOOKUP($HZ121,'Jan-2026 rates'!$L:$R,7,0),IF($LB121=60%,VLOOKUP($HZ121,'Jan-2026 rates'!$L:$S,8,0),IF($LB121=80%,VLOOKUP($HZ121,'Jan-2026 rates'!L:T,9,0),0))))))))</f>
        <v>0</v>
      </c>
      <c r="IC121" s="412"/>
      <c r="ID121" s="409"/>
      <c r="IE121" s="411">
        <f>IF(ID121=0,0,IF($LB121=70%,VLOOKUP($HZ121,'Jan-2026 rates'!$L:$R,4,0),IF($LB121=65%,VLOOKUP($HZ121,'Jan-2026 rates'!$L:$R,4,0),IF($LB121=40%,VLOOKUP($HZ121,'Jan-2026 rates'!$L:$R,5,0),IF($LB121=30%,VLOOKUP($HZ121,'Jan-2026 rates'!$L:$R,6,0),IF($LB121=100%,VLOOKUP($HZ121,'Jan-2026 rates'!$L:$R,7,0),IF($LB121=60%,VLOOKUP($HZ121,'Jan-2026 rates'!$L:$S,8,0),IF($LB121=80%,VLOOKUP($HZ121,'Jan-2026 rates'!L:T,9,0),0))))))))</f>
        <v>0</v>
      </c>
      <c r="IF121" s="412">
        <v>26511000002</v>
      </c>
      <c r="IG121" s="413"/>
      <c r="IH121" s="412"/>
      <c r="II121" s="412"/>
      <c r="IJ121" s="412"/>
      <c r="IK121" s="412"/>
      <c r="IL121" s="412"/>
      <c r="IM121" s="412"/>
      <c r="IN121" s="409">
        <v>2</v>
      </c>
      <c r="IO121" s="398" t="e">
        <f>IF(IN121=0,0,IF(LEN(IF121)=11,_xlfn.XLOOKUP(IF121,'Dispensed Ink Rates'!C:C,'Dispensed Ink Rates'!CS:CS),VLOOKUP(IF121,'Jan-2026 rates'!$E:$F,2,0)))</f>
        <v>#N/A</v>
      </c>
      <c r="IP121" s="409"/>
      <c r="IQ121" s="398">
        <f>IF(IP121=0,0,IF(LEN(IG121)=11,_xlfn.XLOOKUP(IG121,'Dispensed Ink Rates'!C:C,'Dispensed Ink Rates'!CS:CS),VLOOKUP(IG121,'Jan-2026 rates'!$E:$F,2,0)))</f>
        <v>0</v>
      </c>
      <c r="IR121" s="409"/>
      <c r="IS121" s="398">
        <f>IF(IR121=0,0,IF(LEN(IH121)=11,_xlfn.XLOOKUP(IH121,'Dispensed Ink Rates'!C:C,'Dispensed Ink Rates'!CS:CS),VLOOKUP(IH121,'Jan-2026 rates'!$E:$F,2,0)))</f>
        <v>0</v>
      </c>
      <c r="IT121" s="409"/>
      <c r="IU121" s="398">
        <f>IF(IT121=0,0,IF(LEN(II121)=11,_xlfn.XLOOKUP(II121,'Dispensed Ink Rates'!C:C,'Dispensed Ink Rates'!CS:CS),VLOOKUP(II121,'Jan-2026 rates'!$E:$F,2,0)))</f>
        <v>0</v>
      </c>
      <c r="IV121" s="409"/>
      <c r="IW121" s="398">
        <f>IF(IV121=0,0,IF(LEN(IJ121)=11,_xlfn.XLOOKUP(IJ121,'Dispensed Ink Rates'!C:C,'Dispensed Ink Rates'!CS:CS),VLOOKUP(IJ121,'Jan-2026 rates'!$E:$F,2,0)))</f>
        <v>0</v>
      </c>
      <c r="IX121" s="409"/>
      <c r="IY121" s="398">
        <f>IF(IX121=0,0,IF(LEN(IK121)=11,_xlfn.XLOOKUP(IK121,'Dispensed Ink Rates'!C:C,'Dispensed Ink Rates'!CS:CS),VLOOKUP(IK121,'Jan-2026 rates'!$E:$F,2,0)))</f>
        <v>0</v>
      </c>
      <c r="IZ121" s="409"/>
      <c r="JA121" s="398">
        <f>IF(IZ121=0,0,IF(LEN(IL121)=11,_xlfn.XLOOKUP(IL121,'Dispensed Ink Rates'!C:C,'Dispensed Ink Rates'!CS:CS),VLOOKUP(IL121,'Jan-2026 rates'!$E:$F,2,0)))</f>
        <v>0</v>
      </c>
      <c r="JB121" s="409"/>
      <c r="JC121" s="398">
        <f>IF(JB121=0,0,IF(LEN(IM121)=11,_xlfn.XLOOKUP(IM121,'Dispensed Ink Rates'!C:C,'Dispensed Ink Rates'!CS:CS),VLOOKUP(IM121,'Jan-2026 rates'!$E:$F,2,0)))</f>
        <v>0</v>
      </c>
      <c r="JD121" s="409" t="s">
        <v>1443</v>
      </c>
      <c r="JE121" s="409">
        <v>25</v>
      </c>
      <c r="JF121" s="411">
        <f t="shared" si="100"/>
        <v>0</v>
      </c>
      <c r="JG121" s="411">
        <f t="shared" si="101"/>
        <v>12.32692307692308</v>
      </c>
      <c r="JH121" s="410">
        <f t="shared" si="102"/>
        <v>0</v>
      </c>
      <c r="JI121" s="405" t="s">
        <v>856</v>
      </c>
      <c r="JJ121" s="409" t="s">
        <v>3305</v>
      </c>
      <c r="JK121" s="420" t="str">
        <f t="shared" si="60"/>
        <v>FLINTSL - WHITE</v>
      </c>
      <c r="JL121" s="409">
        <v>30</v>
      </c>
      <c r="JM121" s="411">
        <f>IF(JL121=0,0,IF($LB121=70%,VLOOKUP($JK121,'Jan-2026 rates'!$L:$R,4,0),IF($LB121=65%,VLOOKUP($JK121,'Jan-2026 rates'!$L:$R,4,0),IF($LB121=40%,VLOOKUP($JK121,'Jan-2026 rates'!$L:$R,5,0),IF($LB121=30%,VLOOKUP($JK121,'Jan-2026 rates'!$L:$R,6,0),IF($LB121=100%,VLOOKUP($JK121,'Jan-2026 rates'!$L:$R,7,0),IF($LB121=60%,VLOOKUP($JK121,'Jan-2026 rates'!$L:$S,8,0),IF($LB121=80%,VLOOKUP($JK121,'Jan-2026 rates'!L:T,9,0),0))))))))</f>
        <v>0</v>
      </c>
      <c r="JN121" s="412"/>
      <c r="JO121" s="409"/>
      <c r="JP121" s="411">
        <f>IF(JO121=0,0,IF($LB121=70%,VLOOKUP($JK121,'Jan-2026 rates'!$L:$R,4,0),IF($LB121=65%,VLOOKUP($JK121,'Jan-2026 rates'!$L:$R,4,0),IF($LB121=40%,VLOOKUP($JK121,'Jan-2026 rates'!$L:$R,5,0),IF($LB121=30%,VLOOKUP($JK121,'Jan-2026 rates'!$L:$R,6,0),IF($LB121=100%,VLOOKUP($JK121,'Jan-2026 rates'!$L:$R,7,0),IF($LB121=60%,VLOOKUP($JK121,'Jan-2026 rates'!$L:$S,8,0),IF($LB121=80%,VLOOKUP($JK121,'Jan-2026 rates'!L:T,9,0),0))))))))</f>
        <v>0</v>
      </c>
      <c r="JQ121" s="413" t="s">
        <v>484</v>
      </c>
      <c r="JR121" s="412"/>
      <c r="JS121" s="413"/>
      <c r="JT121" s="413"/>
      <c r="JU121" s="412"/>
      <c r="JV121" s="412"/>
      <c r="JW121" s="412"/>
      <c r="JX121" s="412"/>
      <c r="JY121" s="409">
        <v>50</v>
      </c>
      <c r="JZ121" s="398">
        <f>IF(JY121=0,0,IF(LEN(JQ121)=11,_xlfn.XLOOKUP(JQ121,'Dispensed Ink Rates'!C:C,'Dispensed Ink Rates'!CS:CS),VLOOKUP(JQ121,'Jan-2026 rates'!$E:$F,2,0)))</f>
        <v>0</v>
      </c>
      <c r="KA121" s="409"/>
      <c r="KB121" s="398">
        <f>IF(KA121=0,0,IF(LEN(JR121)=11,_xlfn.XLOOKUP(JR121,'Dispensed Ink Rates'!C:C,'Dispensed Ink Rates'!CS:CS),VLOOKUP(JR121,'Jan-2026 rates'!$E:$F,2,0)))</f>
        <v>0</v>
      </c>
      <c r="KC121" s="409"/>
      <c r="KD121" s="398">
        <f>IF(KC121=0,0,IF(LEN(JS121)=11,_xlfn.XLOOKUP(JS121,'Dispensed Ink Rates'!C:C,'Dispensed Ink Rates'!CS:CS),VLOOKUP(JS121,'Jan-2026 rates'!$E:$F,2,0)))</f>
        <v>0</v>
      </c>
      <c r="KE121" s="409"/>
      <c r="KF121" s="398">
        <f>IF(KE121=0,0,IF(LEN(JT121)=11,_xlfn.XLOOKUP(JT121,'Dispensed Ink Rates'!C:C,'Dispensed Ink Rates'!CS:CS),VLOOKUP(JT121,'Jan-2026 rates'!$E:$F,2,0)))</f>
        <v>0</v>
      </c>
      <c r="KG121" s="409"/>
      <c r="KH121" s="398">
        <f>IF(KG121=0,0,IF(LEN(JU121)=11,_xlfn.XLOOKUP(JU121,'Dispensed Ink Rates'!C:C,'Dispensed Ink Rates'!CS:CS),VLOOKUP(JU121,'Jan-2026 rates'!$E:$F,2,0)))</f>
        <v>0</v>
      </c>
      <c r="KI121" s="409"/>
      <c r="KJ121" s="398">
        <f>IF(KI121=0,0,IF(LEN(JV121)=11,_xlfn.XLOOKUP(JV121,'Dispensed Ink Rates'!C:C,'Dispensed Ink Rates'!CS:CS),VLOOKUP(JV121,'Jan-2026 rates'!$E:$F,2,0)))</f>
        <v>0</v>
      </c>
      <c r="KK121" s="409"/>
      <c r="KL121" s="398">
        <f>IF(KK121=0,0,IF(LEN(JW121)=11,_xlfn.XLOOKUP(JW121,'Dispensed Ink Rates'!C:C,'Dispensed Ink Rates'!CS:CS),VLOOKUP(JW121,'Jan-2026 rates'!$E:$F,2,0)))</f>
        <v>0</v>
      </c>
      <c r="KM121" s="428"/>
      <c r="KN121" s="398">
        <f>IF(KM121=0,0,IF(LEN(JX121)=11,_xlfn.XLOOKUP(JX121,'Dispensed Ink Rates'!C:C,'Dispensed Ink Rates'!CS:CS),VLOOKUP(JX121,'Jan-2026 rates'!$E:$F,2,0)))</f>
        <v>0</v>
      </c>
      <c r="KO121" s="409" t="s">
        <v>1443</v>
      </c>
      <c r="KP121" s="409">
        <v>30</v>
      </c>
      <c r="KQ121" s="411">
        <f t="shared" si="103"/>
        <v>0</v>
      </c>
      <c r="KR121" s="411">
        <f t="shared" si="104"/>
        <v>123.26923076923077</v>
      </c>
      <c r="KS121" s="410">
        <f t="shared" si="105"/>
        <v>0</v>
      </c>
      <c r="KT121" s="409">
        <v>2</v>
      </c>
      <c r="KU121" s="409">
        <v>6</v>
      </c>
      <c r="KV121" s="409">
        <v>6</v>
      </c>
      <c r="KW121" s="409">
        <v>0</v>
      </c>
      <c r="KX121" s="409">
        <v>3</v>
      </c>
      <c r="KY121" s="409">
        <v>2</v>
      </c>
      <c r="KZ121" s="409">
        <v>3</v>
      </c>
      <c r="LA121" s="409">
        <v>30</v>
      </c>
      <c r="LB121" s="415">
        <v>0.8</v>
      </c>
      <c r="LC121" s="415">
        <v>0.2</v>
      </c>
      <c r="LD121" s="415"/>
      <c r="LE121" s="415"/>
      <c r="LF121" s="415"/>
      <c r="LG121" s="409">
        <v>0</v>
      </c>
      <c r="LH121" s="409">
        <f>30+30+48+12+7</f>
        <v>127</v>
      </c>
      <c r="LI121" s="409">
        <v>0</v>
      </c>
      <c r="LJ121" s="409">
        <v>0</v>
      </c>
      <c r="LK121" s="416">
        <f t="shared" si="61"/>
        <v>127</v>
      </c>
      <c r="LL121" s="416">
        <f t="shared" si="62"/>
        <v>127</v>
      </c>
      <c r="LM121" s="417">
        <f t="shared" si="63"/>
        <v>101.60000000000001</v>
      </c>
      <c r="LN121" s="417">
        <f>VLOOKUP($LM$8,'Jan-2026 rates'!$H:$I,2,0)</f>
        <v>0</v>
      </c>
      <c r="LO121" s="417">
        <f t="shared" si="64"/>
        <v>25.400000000000002</v>
      </c>
      <c r="LP121" s="417">
        <f>VLOOKUP($LO$8,'Jan-2026 rates'!$H:$I,2,0)</f>
        <v>0</v>
      </c>
      <c r="LQ121" s="417">
        <f t="shared" si="65"/>
        <v>0</v>
      </c>
      <c r="LR121" s="417">
        <f>VLOOKUP($LQ$8,'Jan-2026 rates'!$H:$I,2,0)</f>
        <v>0</v>
      </c>
      <c r="LS121" s="417">
        <f t="shared" si="66"/>
        <v>0</v>
      </c>
      <c r="LT121" s="417">
        <f>VLOOKUP($LS$8,'Jan-2026 rates'!$H:$I,2,0)</f>
        <v>0</v>
      </c>
      <c r="LU121" s="417">
        <f t="shared" si="67"/>
        <v>0</v>
      </c>
      <c r="LV121" s="417">
        <f>VLOOKUP($LU$8,'Jan-2026 rates'!$H:$I,2,0)</f>
        <v>0</v>
      </c>
      <c r="LW121" s="417">
        <f t="shared" si="68"/>
        <v>0</v>
      </c>
      <c r="LX121" s="417">
        <f t="shared" si="69"/>
        <v>0</v>
      </c>
      <c r="LY121" s="418">
        <f t="shared" si="70"/>
        <v>0</v>
      </c>
      <c r="LZ121" s="417"/>
      <c r="MA121" s="435">
        <f t="shared" si="71"/>
        <v>94</v>
      </c>
      <c r="MB121" s="282">
        <f t="shared" si="72"/>
        <v>218</v>
      </c>
      <c r="MC121" s="283">
        <v>76</v>
      </c>
      <c r="MD121" s="284" t="str">
        <f t="shared" si="73"/>
        <v>FLINTSLFLINTSLFLINTSLFLINTSLFLINTSLFLINTSLFLINTSLFLINTSL</v>
      </c>
      <c r="ME121" s="293" t="str">
        <f t="shared" si="74"/>
        <v>+</v>
      </c>
      <c r="MF121" s="293" t="str">
        <f t="shared" si="75"/>
        <v>+</v>
      </c>
      <c r="MG121" s="293" t="str">
        <f t="shared" si="76"/>
        <v>+</v>
      </c>
      <c r="MH121" s="293" t="str">
        <f t="shared" si="77"/>
        <v>+</v>
      </c>
      <c r="MI121" s="293" t="str">
        <f t="shared" si="78"/>
        <v>+</v>
      </c>
      <c r="MJ121" s="293" t="str">
        <f t="shared" si="79"/>
        <v>+</v>
      </c>
      <c r="MK121" s="293" t="str">
        <f t="shared" si="80"/>
        <v>+</v>
      </c>
      <c r="ML121" s="293" t="str">
        <f t="shared" si="81"/>
        <v>+</v>
      </c>
      <c r="MM121" s="3" t="b">
        <f t="array" ref="MM121">OR(ME121:ML121="-")</f>
        <v>0</v>
      </c>
      <c r="MN121" s="285"/>
      <c r="MO121" s="401"/>
      <c r="MP121" s="286"/>
      <c r="MQ121" s="286"/>
      <c r="MR121" s="402"/>
      <c r="MS121" s="400"/>
      <c r="NH121" s="422"/>
      <c r="NJ121" s="421"/>
    </row>
    <row r="122" spans="1:374" s="1" customFormat="1" ht="16.5">
      <c r="A122" s="403">
        <v>46033</v>
      </c>
      <c r="B122" s="404" t="s">
        <v>1015</v>
      </c>
      <c r="C122" s="405" t="s">
        <v>3306</v>
      </c>
      <c r="D122" s="406">
        <v>77</v>
      </c>
      <c r="E122" s="404">
        <v>487</v>
      </c>
      <c r="F122" s="407">
        <v>31100</v>
      </c>
      <c r="G122" s="407" t="s">
        <v>1019</v>
      </c>
      <c r="H122" s="408" t="s">
        <v>1017</v>
      </c>
      <c r="I122" s="409">
        <v>1.65</v>
      </c>
      <c r="J122" s="405" t="s">
        <v>543</v>
      </c>
      <c r="K122" s="404" t="s">
        <v>3307</v>
      </c>
      <c r="L122" s="419" t="str">
        <f t="shared" si="54"/>
        <v>FLINTSL - BLACK</v>
      </c>
      <c r="M122" s="404">
        <v>28</v>
      </c>
      <c r="N122" s="410">
        <f>IF(M122=0,0,IF($LB122=70%,VLOOKUP($L122,'Jan-2026 rates'!$L:$R,4,0),IF($LB122=65%,VLOOKUP($L122,'Jan-2026 rates'!$L:$R,4,0),IF($LB122=40%,VLOOKUP($L122,'Jan-2026 rates'!$L:$R,5,0),IF($LB122=30%,VLOOKUP($L122,'Jan-2026 rates'!$L:$R,6,0),IF($LB122=100%,VLOOKUP($L122,'Jan-2026 rates'!$L:$R,7,0),IF($LB122=60%,VLOOKUP($L122,'Jan-2026 rates'!$L:$S,8,0),IF($LB122=80%,VLOOKUP($L122,'Jan-2026 rates'!L:T,9,0),0))))))))</f>
        <v>0</v>
      </c>
      <c r="O122" s="406"/>
      <c r="P122" s="404"/>
      <c r="Q122" s="410">
        <f>IF(P122=0,0,IF($LB122=70%,VLOOKUP($L122,'Jan-2026 rates'!$L:$R,4,0),IF($LB122=65%,VLOOKUP($L122,'Jan-2026 rates'!$L:$R,4,0),IF($LB122=40%,VLOOKUP($L122,'Jan-2026 rates'!$L:$R,5,0),IF($LB122=30%,VLOOKUP($L122,'Jan-2026 rates'!$L:$R,6,0),IF($LB122=100%,VLOOKUP($L122,'Jan-2026 rates'!$L:$R,7,0),IF($LB122=60%,VLOOKUP($L122,'Jan-2026 rates'!$L:$S,8,0),IF($LB122=80%,VLOOKUP($L122,'Jan-2026 rates'!L:T,9,0),0))))))))</f>
        <v>0</v>
      </c>
      <c r="R122" s="406">
        <v>26513000022</v>
      </c>
      <c r="S122" s="406"/>
      <c r="T122" s="406"/>
      <c r="U122" s="406"/>
      <c r="V122" s="406"/>
      <c r="W122" s="406"/>
      <c r="X122" s="406"/>
      <c r="Y122" s="406"/>
      <c r="Z122" s="404">
        <v>2</v>
      </c>
      <c r="AA122" s="398" t="e">
        <f>IF(Z122=0,0,IF(LEN(R122)=11,_xlfn.XLOOKUP(R122,'Dispensed Ink Rates'!C:C,'Dispensed Ink Rates'!CS:CS),VLOOKUP(R122,'Jan-2026 rates'!$E:$F,2,0)))</f>
        <v>#N/A</v>
      </c>
      <c r="AB122" s="404"/>
      <c r="AC122" s="398">
        <f>IF(AB122=0,0,IF(LEN(S122)=11,_xlfn.XLOOKUP(S122,'Dispensed Ink Rates'!C:C,'Dispensed Ink Rates'!CS:CS),VLOOKUP(S122,'Jan-2026 rates'!$E:$F,2,0)))</f>
        <v>0</v>
      </c>
      <c r="AD122" s="404"/>
      <c r="AE122" s="398">
        <f>IF(AD122=0,0,IF(LEN(T122)=11,_xlfn.XLOOKUP(T122,'Dispensed Ink Rates'!C:C,'Dispensed Ink Rates'!CS:CS),VLOOKUP(T122,'Jan-2026 rates'!$E:$F,2,0)))</f>
        <v>0</v>
      </c>
      <c r="AF122" s="404"/>
      <c r="AG122" s="398">
        <f>IF(AF122=0,0,IF(LEN(U122)=11,_xlfn.XLOOKUP(U122,'Dispensed Ink Rates'!C:C,'Dispensed Ink Rates'!CS:CS),VLOOKUP(U122,'Jan-2026 rates'!$E:$F,2,0)))</f>
        <v>0</v>
      </c>
      <c r="AH122" s="404"/>
      <c r="AI122" s="398">
        <f>IF(AH122=0,0,IF(LEN(V122)=11,_xlfn.XLOOKUP(V122,'Dispensed Ink Rates'!C:C,'Dispensed Ink Rates'!CS:CS),VLOOKUP(V122,'Jan-2026 rates'!$E:$F,2,0)))</f>
        <v>0</v>
      </c>
      <c r="AJ122" s="404"/>
      <c r="AK122" s="398">
        <f>IF(AJ122=0,0,IF(LEN(W122)=11,_xlfn.XLOOKUP(W122,'Dispensed Ink Rates'!C:C,'Dispensed Ink Rates'!CS:CS),VLOOKUP(W122,'Jan-2026 rates'!$E:$F,2,0)))</f>
        <v>0</v>
      </c>
      <c r="AL122" s="404"/>
      <c r="AM122" s="398">
        <f>IF(AL122=0,0,IF(LEN(X122)=11,_xlfn.XLOOKUP(X122,'Dispensed Ink Rates'!C:C,'Dispensed Ink Rates'!CS:CS),VLOOKUP(X122,'Jan-2026 rates'!$E:$F,2,0)))</f>
        <v>0</v>
      </c>
      <c r="AN122" s="404"/>
      <c r="AO122" s="398">
        <f>IF(AN122=0,0,IF(LEN(Y122)=11,_xlfn.XLOOKUP(Y122,'Dispensed Ink Rates'!C:C,'Dispensed Ink Rates'!CS:CS),VLOOKUP(Y122,'Jan-2026 rates'!$E:$F,2,0)))</f>
        <v>0</v>
      </c>
      <c r="AP122" s="409" t="s">
        <v>1443</v>
      </c>
      <c r="AQ122" s="409">
        <v>27</v>
      </c>
      <c r="AR122" s="410">
        <f t="shared" si="82"/>
        <v>0</v>
      </c>
      <c r="AS122" s="411">
        <f t="shared" si="83"/>
        <v>6.5180722891566276</v>
      </c>
      <c r="AT122" s="410">
        <f t="shared" si="84"/>
        <v>0</v>
      </c>
      <c r="AU122" s="405" t="s">
        <v>546</v>
      </c>
      <c r="AV122" s="409" t="s">
        <v>3308</v>
      </c>
      <c r="AW122" s="420" t="str">
        <f t="shared" si="53"/>
        <v>FLINTSL - REFLEX BLUE</v>
      </c>
      <c r="AX122" s="409">
        <v>28</v>
      </c>
      <c r="AY122" s="411">
        <f>IF(AX122=0,0,IF($LB122=70%,VLOOKUP($AW122,'Jan-2026 rates'!$L:$R,4,0),IF($LB122=65%,VLOOKUP($AW122,'Jan-2026 rates'!$L:$R,4,0),IF($LB122=40%,VLOOKUP($AW122,'Jan-2026 rates'!$L:$R,5,0),IF($LB122=30%,VLOOKUP($AW122,'Jan-2026 rates'!$L:$R,6,0),IF($LB122=100%,VLOOKUP($AW122,'Jan-2026 rates'!$L:$R,7,0),IF($LB122=60%,VLOOKUP($AW122,'Jan-2026 rates'!$L:$S,8,0),IF($LB122=80%,VLOOKUP($AW122,'Jan-2026 rates'!L:T,9,0),0))))))))</f>
        <v>0</v>
      </c>
      <c r="AZ122" s="412" t="s">
        <v>3274</v>
      </c>
      <c r="BA122" s="409">
        <v>6</v>
      </c>
      <c r="BB122" s="411">
        <f>IF(BA122=0,0,IF($LB122=70%,VLOOKUP($AW122,'Jan-2026 rates'!$L:$R,4,0),IF($LB122=65%,VLOOKUP($AW122,'Jan-2026 rates'!$L:$R,4,0),IF($LB122=40%,VLOOKUP($AW122,'Jan-2026 rates'!$L:$R,5,0),IF($LB122=30%,VLOOKUP($AW122,'Jan-2026 rates'!$L:$R,6,0),IF($LB122=100%,VLOOKUP($AW122,'Jan-2026 rates'!$L:$R,7,0),IF($LB122=60%,VLOOKUP($AW122,'Jan-2026 rates'!$L:$S,8,0),IF($LB122=80%,VLOOKUP($AW122,'Jan-2026 rates'!L:T,9,0),0))))))))</f>
        <v>0</v>
      </c>
      <c r="BC122" s="413">
        <v>26512000010</v>
      </c>
      <c r="BD122" s="412"/>
      <c r="BE122" s="412"/>
      <c r="BF122" s="413"/>
      <c r="BG122" s="412"/>
      <c r="BH122" s="412"/>
      <c r="BI122" s="412"/>
      <c r="BJ122" s="412"/>
      <c r="BK122" s="409">
        <v>3</v>
      </c>
      <c r="BL122" s="398" t="e">
        <f>IF(BK122=0,0,IF(LEN(BC122)=11,_xlfn.XLOOKUP(BC122,'Dispensed Ink Rates'!C:C,'Dispensed Ink Rates'!CS:CS),VLOOKUP(BC122,'Jan-2026 rates'!$E:$F,2,0)))</f>
        <v>#N/A</v>
      </c>
      <c r="BM122" s="409"/>
      <c r="BN122" s="398">
        <f>IF(BM122=0,0,IF(LEN(BD122)=11,_xlfn.XLOOKUP(BD122,'Dispensed Ink Rates'!C:C,'Dispensed Ink Rates'!CS:CS),VLOOKUP(BD122,'Jan-2026 rates'!$E:$F,2,0)))</f>
        <v>0</v>
      </c>
      <c r="BO122" s="409"/>
      <c r="BP122" s="398">
        <f>IF(BO122=0,0,IF(LEN(BE122)=11,_xlfn.XLOOKUP(BE122,'Dispensed Ink Rates'!C:C,'Dispensed Ink Rates'!CS:CS),VLOOKUP(BE122,'Jan-2026 rates'!$E:$F,2,0)))</f>
        <v>0</v>
      </c>
      <c r="BQ122" s="409"/>
      <c r="BR122" s="398">
        <f>IF(BQ122=0,0,IF(LEN(BF122)=11,_xlfn.XLOOKUP(BF122,'Dispensed Ink Rates'!C:C,'Dispensed Ink Rates'!CS:CS),VLOOKUP(BF122,'Jan-2026 rates'!$E:$F,2,0)))</f>
        <v>0</v>
      </c>
      <c r="BS122" s="409"/>
      <c r="BT122" s="398">
        <f>IF(BS122=0,0,IF(LEN(BG122)=11,_xlfn.XLOOKUP(BG122,'Dispensed Ink Rates'!C:C,'Dispensed Ink Rates'!CS:CS),VLOOKUP(BG122,'Jan-2026 rates'!$E:$F,2,0)))</f>
        <v>0</v>
      </c>
      <c r="BU122" s="409"/>
      <c r="BV122" s="398">
        <f>IF(BU122=0,0,IF(LEN(BH122)=11,_xlfn.XLOOKUP(BH122,'Dispensed Ink Rates'!C:C,'Dispensed Ink Rates'!CS:CS),VLOOKUP(BH122,'Jan-2026 rates'!$E:$F,2,0)))</f>
        <v>0</v>
      </c>
      <c r="BW122" s="409"/>
      <c r="BX122" s="398">
        <f>IF(BW122=0,0,IF(LEN(BI122)=11,_xlfn.XLOOKUP(BI122,'Dispensed Ink Rates'!C:C,'Dispensed Ink Rates'!CS:CS),VLOOKUP(BI122,'Jan-2026 rates'!$E:$F,2,0)))</f>
        <v>0</v>
      </c>
      <c r="BY122" s="409"/>
      <c r="BZ122" s="398">
        <f>IF(BY122=0,0,IF(LEN(BJ122)=11,_xlfn.XLOOKUP(BJ122,'Dispensed Ink Rates'!C:C,'Dispensed Ink Rates'!CS:CS),VLOOKUP(BJ122,'Jan-2026 rates'!$E:$F,2,0)))</f>
        <v>0</v>
      </c>
      <c r="CA122" s="409" t="s">
        <v>1443</v>
      </c>
      <c r="CB122" s="409">
        <v>32</v>
      </c>
      <c r="CC122" s="411">
        <f t="shared" si="85"/>
        <v>0</v>
      </c>
      <c r="CD122" s="411">
        <f t="shared" si="86"/>
        <v>8.5180722891566276</v>
      </c>
      <c r="CE122" s="410">
        <f t="shared" si="87"/>
        <v>0</v>
      </c>
      <c r="CF122" s="404" t="s">
        <v>857</v>
      </c>
      <c r="CG122" s="409" t="s">
        <v>3309</v>
      </c>
      <c r="CH122" s="420" t="str">
        <f t="shared" si="55"/>
        <v>FLINTSL - RED</v>
      </c>
      <c r="CI122" s="409">
        <v>20</v>
      </c>
      <c r="CJ122" s="411">
        <f>IF(CI122=0,0,IF($LB122=70%,VLOOKUP($CH122,'Jan-2026 rates'!$L:$R,4,0),IF($LB122=65%,VLOOKUP($CH122,'Jan-2026 rates'!$L:$R,4,0),IF($LB122=40%,VLOOKUP($CH122,'Jan-2026 rates'!$L:$R,5,0),IF($LB122=30%,VLOOKUP($CH122,'Jan-2026 rates'!$L:$R,6,0),IF($LB122=100%,VLOOKUP($CH122,'Jan-2026 rates'!$L:$R,7,0),IF($LB122=60%,VLOOKUP($CH122,'Jan-2026 rates'!$L:$S,8,0),IF($LB122=80%,VLOOKUP($CH122,'Jan-2026 rates'!L:T,9,0),0))))))))</f>
        <v>0</v>
      </c>
      <c r="CK122" s="412" t="s">
        <v>3310</v>
      </c>
      <c r="CL122" s="409">
        <v>25</v>
      </c>
      <c r="CM122" s="411">
        <f>IF(CL122=0,0,IF($LB122=70%,VLOOKUP($CH122,'Jan-2026 rates'!$L:$R,4,0),IF($LB122=65%,VLOOKUP($CH122,'Jan-2026 rates'!$L:$R,4,0),IF($LB122=40%,VLOOKUP($CH122,'Jan-2026 rates'!$L:$R,5,0),IF($LB122=30%,VLOOKUP($CH122,'Jan-2026 rates'!$L:$R,6,0),IF($LB122=100%,VLOOKUP($CH122,'Jan-2026 rates'!$L:$R,7,0),IF($LB122=60%,VLOOKUP($CH122,'Jan-2026 rates'!$L:$S,8,0),IF($LB122=80%,VLOOKUP($CH122,'Jan-2026 rates'!L:T,9,0),0))))))))</f>
        <v>0</v>
      </c>
      <c r="CN122" s="426">
        <v>26512000010</v>
      </c>
      <c r="CO122" s="427"/>
      <c r="CP122" s="426"/>
      <c r="CQ122" s="426"/>
      <c r="CR122" s="428"/>
      <c r="CS122" s="428"/>
      <c r="CT122" s="428"/>
      <c r="CU122" s="428"/>
      <c r="CV122" s="409">
        <v>4</v>
      </c>
      <c r="CW122" s="398" t="e">
        <f>IF(CV122=0,0,IF(LEN(CN122)=11,_xlfn.XLOOKUP(CN122,'Dispensed Ink Rates'!C:C,'Dispensed Ink Rates'!CS:CS),VLOOKUP(CN122,'Jan-2026 rates'!$E:$F,2,0)))</f>
        <v>#N/A</v>
      </c>
      <c r="CX122" s="409"/>
      <c r="CY122" s="398">
        <f>IF(CX122=0,0,IF(LEN(CO122)=11,_xlfn.XLOOKUP(CO122,'Dispensed Ink Rates'!C:C,'Dispensed Ink Rates'!CS:CS),VLOOKUP(CO122,'Jan-2026 rates'!$E:$F,2,0)))</f>
        <v>0</v>
      </c>
      <c r="CZ122" s="409"/>
      <c r="DA122" s="398">
        <f>IF(CZ122=0,0,IF(LEN(CP122)=11,_xlfn.XLOOKUP(CP122,'Dispensed Ink Rates'!C:C,'Dispensed Ink Rates'!CS:CS),VLOOKUP(CP122,'Jan-2026 rates'!$E:$F,2,0)))</f>
        <v>0</v>
      </c>
      <c r="DB122" s="409"/>
      <c r="DC122" s="398">
        <f>IF(DB122=0,0,IF(LEN(CQ122)=11,_xlfn.XLOOKUP(CQ122,'Dispensed Ink Rates'!C:C,'Dispensed Ink Rates'!CS:CS),VLOOKUP(CQ122,'Jan-2026 rates'!$E:$F,2,0)))</f>
        <v>0</v>
      </c>
      <c r="DD122" s="409"/>
      <c r="DE122" s="398">
        <f>IF(DD122=0,0,IF(LEN(CR122)=11,_xlfn.XLOOKUP(CR122,'Dispensed Ink Rates'!C:C,'Dispensed Ink Rates'!CS:CS),VLOOKUP(CR122,'Jan-2026 rates'!$E:$F,2,0)))</f>
        <v>0</v>
      </c>
      <c r="DF122" s="409"/>
      <c r="DG122" s="398">
        <f>IF(DF122=0,0,IF(LEN(CS122)=11,_xlfn.XLOOKUP(CS122,'Dispensed Ink Rates'!C:C,'Dispensed Ink Rates'!CS:CS),VLOOKUP(CS122,'Jan-2026 rates'!$E:$F,2,0)))</f>
        <v>0</v>
      </c>
      <c r="DH122" s="409"/>
      <c r="DI122" s="398">
        <f>IF(DH122=0,0,IF(LEN(CT122)=11,_xlfn.XLOOKUP(CT122,'Dispensed Ink Rates'!C:C,'Dispensed Ink Rates'!CS:CS),VLOOKUP(CT122,'Jan-2026 rates'!$E:$F,2,0)))</f>
        <v>0</v>
      </c>
      <c r="DJ122" s="409"/>
      <c r="DK122" s="398">
        <f>IF(DJ122=0,0,IF(LEN(CU122)=11,_xlfn.XLOOKUP(CU122,'Dispensed Ink Rates'!C:C,'Dispensed Ink Rates'!CS:CS),VLOOKUP(CU122,'Jan-2026 rates'!$E:$F,2,0)))</f>
        <v>0</v>
      </c>
      <c r="DL122" s="409" t="s">
        <v>1443</v>
      </c>
      <c r="DM122" s="409">
        <v>30</v>
      </c>
      <c r="DN122" s="411">
        <f t="shared" si="88"/>
        <v>0</v>
      </c>
      <c r="DO122" s="411">
        <f t="shared" si="89"/>
        <v>22.518072289156628</v>
      </c>
      <c r="DP122" s="410">
        <f t="shared" si="90"/>
        <v>0</v>
      </c>
      <c r="DQ122" s="405" t="s">
        <v>855</v>
      </c>
      <c r="DR122" s="409" t="s">
        <v>3311</v>
      </c>
      <c r="DS122" s="420" t="str">
        <f t="shared" si="56"/>
        <v>FLINTSL - CYAN</v>
      </c>
      <c r="DT122" s="409">
        <v>27</v>
      </c>
      <c r="DU122" s="411">
        <f>IF(DT122=0,0,IF($LB122=70%,VLOOKUP($DS122,'Jan-2026 rates'!$L:$R,4,0),IF($LB122=65%,VLOOKUP($DS122,'Jan-2026 rates'!$L:$R,4,0),IF($LB122=40%,VLOOKUP($DS122,'Jan-2026 rates'!$L:$R,5,0),IF($LB122=30%,VLOOKUP($DS122,'Jan-2026 rates'!$L:$R,6,0),IF($LB122=100%,VLOOKUP($DS122,'Jan-2026 rates'!$L:$R,7,0),IF($LB122=60%,VLOOKUP($DS122,'Jan-2026 rates'!$L:$S,8,0),IF($LB122=80%,VLOOKUP($DS122,'Jan-2026 rates'!L:T,9,0),0))))))))</f>
        <v>0</v>
      </c>
      <c r="DV122" s="412"/>
      <c r="DW122" s="409"/>
      <c r="DX122" s="411">
        <f>IF(DW122=0,0,IF($LB122=70%,VLOOKUP($DS122,'Jan-2026 rates'!$L:$R,4,0),IF($LB122=65%,VLOOKUP($DS122,'Jan-2026 rates'!$L:$R,4,0),IF($LB122=40%,VLOOKUP($DS122,'Jan-2026 rates'!$L:$R,5,0),IF($LB122=30%,VLOOKUP($DS122,'Jan-2026 rates'!$L:$R,6,0),IF($LB122=100%,VLOOKUP($DS122,'Jan-2026 rates'!$L:$R,7,0),IF($LB122=60%,VLOOKUP($DS122,'Jan-2026 rates'!$L:$S,8,0),IF($LB122=80%,VLOOKUP($DS122,'Jan-2026 rates'!L:T,9,0),0))))))))</f>
        <v>0</v>
      </c>
      <c r="DY122" s="413">
        <v>26508000030</v>
      </c>
      <c r="DZ122" s="413">
        <v>26506000002</v>
      </c>
      <c r="EA122" s="412"/>
      <c r="EB122" s="412"/>
      <c r="EC122" s="412"/>
      <c r="ED122" s="412"/>
      <c r="EE122" s="412"/>
      <c r="EF122" s="412"/>
      <c r="EG122" s="409">
        <f>15+1</f>
        <v>16</v>
      </c>
      <c r="EH122" s="398" t="e">
        <f>IF(EG122=0,0,IF(LEN(DY122)=11,_xlfn.XLOOKUP(DY122,'Dispensed Ink Rates'!C:C,'Dispensed Ink Rates'!CS:CS),VLOOKUP(DY122,'Jan-2026 rates'!$E:$F,2,0)))</f>
        <v>#N/A</v>
      </c>
      <c r="EI122" s="409">
        <v>10</v>
      </c>
      <c r="EJ122" s="398" t="e">
        <f>IF(EI122=0,0,IF(LEN(DZ122)=11,_xlfn.XLOOKUP(DZ122,'Dispensed Ink Rates'!C:C,'Dispensed Ink Rates'!CS:CS),VLOOKUP(DZ122,'Jan-2026 rates'!$E:$F,2,0)))</f>
        <v>#N/A</v>
      </c>
      <c r="EK122" s="409"/>
      <c r="EL122" s="398">
        <f>IF(EK122=0,0,IF(LEN(EA122)=11,_xlfn.XLOOKUP(EA122,'Dispensed Ink Rates'!C:C,'Dispensed Ink Rates'!CS:CS),VLOOKUP(EA122,'Jan-2026 rates'!$E:$F,2,0)))</f>
        <v>0</v>
      </c>
      <c r="EM122" s="409"/>
      <c r="EN122" s="398">
        <f>IF(EM122=0,0,IF(LEN(EB122)=11,_xlfn.XLOOKUP(EB122,'Dispensed Ink Rates'!C:C,'Dispensed Ink Rates'!CS:CS),VLOOKUP(EB122,'Jan-2026 rates'!$E:$F,2,0)))</f>
        <v>0</v>
      </c>
      <c r="EO122" s="409"/>
      <c r="EP122" s="398">
        <f>IF(EO122=0,0,IF(LEN(EC122)=11,_xlfn.XLOOKUP(EC122,'Dispensed Ink Rates'!C:C,'Dispensed Ink Rates'!CS:CS),VLOOKUP(EC122,'Jan-2026 rates'!$E:$F,2,0)))</f>
        <v>0</v>
      </c>
      <c r="EQ122" s="409"/>
      <c r="ER122" s="398">
        <f>IF(EQ122=0,0,IF(LEN(ED122)=11,_xlfn.XLOOKUP(ED122,'Dispensed Ink Rates'!C:C,'Dispensed Ink Rates'!CS:CS),VLOOKUP(ED122,'Jan-2026 rates'!$E:$F,2,0)))</f>
        <v>0</v>
      </c>
      <c r="ES122" s="409"/>
      <c r="ET122" s="398">
        <f>IF(ES122=0,0,IF(LEN(EE122)=11,_xlfn.XLOOKUP(EE122,'Dispensed Ink Rates'!C:C,'Dispensed Ink Rates'!CS:CS),VLOOKUP(EE122,'Jan-2026 rates'!$E:$F,2,0)))</f>
        <v>0</v>
      </c>
      <c r="EU122" s="409"/>
      <c r="EV122" s="398">
        <f>IF(EU122=0,0,IF(LEN(EF122)=11,_xlfn.XLOOKUP(EF122,'Dispensed Ink Rates'!C:C,'Dispensed Ink Rates'!CS:CS),VLOOKUP(EF122,'Jan-2026 rates'!$E:$F,2,0)))</f>
        <v>0</v>
      </c>
      <c r="EW122" s="409" t="s">
        <v>1443</v>
      </c>
      <c r="EX122" s="409">
        <v>28</v>
      </c>
      <c r="EY122" s="411">
        <f t="shared" si="91"/>
        <v>0</v>
      </c>
      <c r="EZ122" s="411">
        <f t="shared" si="92"/>
        <v>42.590361445783131</v>
      </c>
      <c r="FA122" s="410">
        <f t="shared" si="93"/>
        <v>0</v>
      </c>
      <c r="FB122" s="405" t="s">
        <v>544</v>
      </c>
      <c r="FC122" s="409" t="s">
        <v>3312</v>
      </c>
      <c r="FD122" s="420" t="str">
        <f t="shared" si="57"/>
        <v>FLINTSL - MAGENTA</v>
      </c>
      <c r="FE122" s="409">
        <v>29</v>
      </c>
      <c r="FF122" s="411">
        <f>IF(FE122=0,0,IF($LB122=70%,VLOOKUP($FD122,'Jan-2026 rates'!$L:$R,4,0),IF($LB122=65%,VLOOKUP($FD122,'Jan-2026 rates'!$L:$R,4,0),IF($LB122=40%,VLOOKUP($FD122,'Jan-2026 rates'!$L:$R,5,0),IF($LB122=30%,VLOOKUP($FD122,'Jan-2026 rates'!$L:$R,6,0),IF($LB122=100%,VLOOKUP($FD122,'Jan-2026 rates'!$L:$R,7,0),IF($LB122=60%,VLOOKUP($FD122,'Jan-2026 rates'!$L:$S,8,0),IF($LB122=80%,VLOOKUP($FD122,'Jan-2026 rates'!L:T,9,0),0))))))))</f>
        <v>0</v>
      </c>
      <c r="FG122" s="412"/>
      <c r="FH122" s="409"/>
      <c r="FI122" s="411">
        <f>IF(FH122=0,0,IF($LB122=70%,VLOOKUP($FD122,'Jan-2026 rates'!$L:$R,4,0),IF($LB122=65%,VLOOKUP($FD122,'Jan-2026 rates'!$L:$R,4,0),IF($LB122=40%,VLOOKUP($FD122,'Jan-2026 rates'!$L:$R,5,0),IF($LB122=30%,VLOOKUP($FD122,'Jan-2026 rates'!$L:$R,6,0),IF($LB122=100%,VLOOKUP($FD122,'Jan-2026 rates'!$L:$R,7,0),IF($LB122=60%,VLOOKUP($FD122,'Jan-2026 rates'!$L:$S,8,0),IF($LB122=80%,VLOOKUP($FD122,'Jan-2026 rates'!L:T,9,0),0))))))))</f>
        <v>0</v>
      </c>
      <c r="FJ122" s="413">
        <v>26512000010</v>
      </c>
      <c r="FK122" s="413"/>
      <c r="FL122" s="413"/>
      <c r="FM122" s="412"/>
      <c r="FN122" s="412"/>
      <c r="FO122" s="412"/>
      <c r="FP122" s="412"/>
      <c r="FQ122" s="412"/>
      <c r="FR122" s="409">
        <v>2</v>
      </c>
      <c r="FS122" s="398" t="e">
        <f>IF(FR122=0,0,IF(LEN(FJ122)=11,_xlfn.XLOOKUP(FJ122,'Dispensed Ink Rates'!C:C,'Dispensed Ink Rates'!CS:CS),VLOOKUP(FJ122,'Jan-2026 rates'!$E:$F,2,0)))</f>
        <v>#N/A</v>
      </c>
      <c r="FT122" s="409"/>
      <c r="FU122" s="398">
        <f>IF(FT122=0,0,IF(LEN(FK122)=11,_xlfn.XLOOKUP(FK122,'Dispensed Ink Rates'!C:C,'Dispensed Ink Rates'!CS:CS),VLOOKUP(FK122,'Jan-2026 rates'!$E:$F,2,0)))</f>
        <v>0</v>
      </c>
      <c r="FV122" s="409"/>
      <c r="FW122" s="398">
        <f>IF(FV122=0,0,IF(LEN(FL122)=11,_xlfn.XLOOKUP(FL122,'Dispensed Ink Rates'!C:C,'Dispensed Ink Rates'!CS:CS),VLOOKUP(FL122,'Jan-2026 rates'!$E:$F,2,0)))</f>
        <v>0</v>
      </c>
      <c r="FX122" s="409"/>
      <c r="FY122" s="398">
        <f>IF(FX122=0,0,IF(LEN(FM122)=11,_xlfn.XLOOKUP(FM122,'Dispensed Ink Rates'!C:C,'Dispensed Ink Rates'!CS:CS),VLOOKUP(FM122,'Jan-2026 rates'!$E:$F,2,0)))</f>
        <v>0</v>
      </c>
      <c r="FZ122" s="409"/>
      <c r="GA122" s="398">
        <f>IF(FZ122=0,0,IF(LEN(FN122)=11,_xlfn.XLOOKUP(FN122,'Dispensed Ink Rates'!C:C,'Dispensed Ink Rates'!CS:CS),VLOOKUP(FN122,'Jan-2026 rates'!$E:$F,2,0)))</f>
        <v>0</v>
      </c>
      <c r="GB122" s="409"/>
      <c r="GC122" s="398">
        <f>IF(GB122=0,0,IF(LEN(FO122)=11,_xlfn.XLOOKUP(FO122,'Dispensed Ink Rates'!C:C,'Dispensed Ink Rates'!CS:CS),VLOOKUP(FO122,'Jan-2026 rates'!$E:$F,2,0)))</f>
        <v>0</v>
      </c>
      <c r="GD122" s="409"/>
      <c r="GE122" s="398">
        <f>IF(GD122=0,0,IF(LEN(FP122)=11,_xlfn.XLOOKUP(FP122,'Dispensed Ink Rates'!C:C,'Dispensed Ink Rates'!CS:CS),VLOOKUP(FP122,'Jan-2026 rates'!$E:$F,2,0)))</f>
        <v>0</v>
      </c>
      <c r="GF122" s="409"/>
      <c r="GG122" s="398">
        <f>IF(GF122=0,0,IF(LEN(FQ122)=11,_xlfn.XLOOKUP(FQ122,'Dispensed Ink Rates'!C:C,'Dispensed Ink Rates'!CS:CS),VLOOKUP(FQ122,'Jan-2026 rates'!$E:$F,2,0)))</f>
        <v>0</v>
      </c>
      <c r="GH122" s="409" t="s">
        <v>1443</v>
      </c>
      <c r="GI122" s="409">
        <v>28</v>
      </c>
      <c r="GJ122" s="411">
        <f t="shared" si="94"/>
        <v>0</v>
      </c>
      <c r="GK122" s="411">
        <f t="shared" si="95"/>
        <v>6.5180722891566276</v>
      </c>
      <c r="GL122" s="410">
        <f t="shared" si="96"/>
        <v>0</v>
      </c>
      <c r="GM122" s="405" t="s">
        <v>545</v>
      </c>
      <c r="GN122" s="409" t="s">
        <v>3313</v>
      </c>
      <c r="GO122" s="420" t="str">
        <f t="shared" si="58"/>
        <v>FLINTSL - YELLOW</v>
      </c>
      <c r="GP122" s="409">
        <v>25</v>
      </c>
      <c r="GQ122" s="411">
        <f>IF(GP122=0,0,IF($LB122=70%,VLOOKUP($GO122,'Jan-2026 rates'!$L:$R,4,0),IF($LB122=65%,VLOOKUP($GO122,'Jan-2026 rates'!$L:$R,4,0),IF($LB122=40%,VLOOKUP($GO122,'Jan-2026 rates'!$L:$R,5,0),IF($LB122=30%,VLOOKUP($GO122,'Jan-2026 rates'!$L:$R,6,0),IF($LB122=100%,VLOOKUP($GO122,'Jan-2026 rates'!$L:$R,7,0),IF($LB122=60%,VLOOKUP($GO122,'Jan-2026 rates'!$L:$S,8,0),IF($LB122=80%,VLOOKUP($GO122,'Jan-2026 rates'!L:T,9,0),0))))))))</f>
        <v>0</v>
      </c>
      <c r="GR122" s="412"/>
      <c r="GS122" s="409"/>
      <c r="GT122" s="411">
        <f>IF(GS122=0,0,IF($LB122=70%,VLOOKUP($GO122,'Jan-2026 rates'!$L:$R,4,0),IF($LB122=65%,VLOOKUP($GO122,'Jan-2026 rates'!$L:$R,4,0),IF($LB122=40%,VLOOKUP($GO122,'Jan-2026 rates'!$L:$R,5,0),IF($LB122=30%,VLOOKUP($GO122,'Jan-2026 rates'!$L:$R,6,0),IF($LB122=100%,VLOOKUP($GO122,'Jan-2026 rates'!$L:$R,7,0),IF($LB122=60%,VLOOKUP($GO122,'Jan-2026 rates'!$L:$S,8,0),IF($LB122=80%,VLOOKUP($GO122,'Jan-2026 rates'!L:T,9,0),0))))))))</f>
        <v>0</v>
      </c>
      <c r="GU122" s="413">
        <v>26511000002</v>
      </c>
      <c r="GV122" s="413"/>
      <c r="GW122" s="412"/>
      <c r="GX122" s="412"/>
      <c r="GY122" s="412"/>
      <c r="GZ122" s="412"/>
      <c r="HA122" s="412"/>
      <c r="HB122" s="412"/>
      <c r="HC122" s="409">
        <v>6</v>
      </c>
      <c r="HD122" s="398" t="e">
        <f>IF(HC122=0,0,IF(LEN(GU122)=11,_xlfn.XLOOKUP(GU122,'Dispensed Ink Rates'!C:C,'Dispensed Ink Rates'!CS:CS),VLOOKUP(GU122,'Jan-2026 rates'!$E:$F,2,0)))</f>
        <v>#N/A</v>
      </c>
      <c r="HE122" s="409"/>
      <c r="HF122" s="398">
        <f>IF(HE122=0,0,IF(LEN(GV122)=11,_xlfn.XLOOKUP(GV122,'Dispensed Ink Rates'!C:C,'Dispensed Ink Rates'!CS:CS),VLOOKUP(GV122,'Jan-2026 rates'!$E:$F,2,0)))</f>
        <v>0</v>
      </c>
      <c r="HG122" s="409"/>
      <c r="HH122" s="398">
        <f>IF(HG122=0,0,IF(LEN(GW122)=11,_xlfn.XLOOKUP(GW122,'Dispensed Ink Rates'!C:C,'Dispensed Ink Rates'!CS:CS),VLOOKUP(GW122,'Jan-2026 rates'!$E:$F,2,0)))</f>
        <v>0</v>
      </c>
      <c r="HI122" s="409"/>
      <c r="HJ122" s="398">
        <f>IF(HI122=0,0,IF(LEN(GX122)=11,_xlfn.XLOOKUP(GX122,'Dispensed Ink Rates'!C:C,'Dispensed Ink Rates'!CS:CS),VLOOKUP(GX122,'Jan-2026 rates'!$E:$F,2,0)))</f>
        <v>0</v>
      </c>
      <c r="HK122" s="409"/>
      <c r="HL122" s="398">
        <f>IF(HK122=0,0,IF(LEN(GY122)=11,_xlfn.XLOOKUP(GY122,'Dispensed Ink Rates'!C:C,'Dispensed Ink Rates'!CS:CS),VLOOKUP(GY122,'Jan-2026 rates'!$E:$F,2,0)))</f>
        <v>0</v>
      </c>
      <c r="HM122" s="409"/>
      <c r="HN122" s="398">
        <f>IF(HM122=0,0,IF(LEN(GZ122)=11,_xlfn.XLOOKUP(GZ122,'Dispensed Ink Rates'!C:C,'Dispensed Ink Rates'!CS:CS),VLOOKUP(GZ122,'Jan-2026 rates'!$E:$F,2,0)))</f>
        <v>0</v>
      </c>
      <c r="HO122" s="409"/>
      <c r="HP122" s="398">
        <f>IF(HO122=0,0,IF(LEN(HA122)=11,_xlfn.XLOOKUP(HA122,'Dispensed Ink Rates'!C:C,'Dispensed Ink Rates'!CS:CS),VLOOKUP(HA122,'Jan-2026 rates'!$E:$F,2,0)))</f>
        <v>0</v>
      </c>
      <c r="HQ122" s="409"/>
      <c r="HR122" s="398">
        <f>IF(HQ122=0,0,IF(LEN(HB122)=11,_xlfn.XLOOKUP(HB122,'Dispensed Ink Rates'!C:C,'Dispensed Ink Rates'!CS:CS),VLOOKUP(HB122,'Jan-2026 rates'!$E:$F,2,0)))</f>
        <v>0</v>
      </c>
      <c r="HS122" s="409" t="s">
        <v>1443</v>
      </c>
      <c r="HT122" s="409">
        <v>26</v>
      </c>
      <c r="HU122" s="411">
        <f t="shared" si="97"/>
        <v>0</v>
      </c>
      <c r="HV122" s="411">
        <f t="shared" si="98"/>
        <v>13.795180722891565</v>
      </c>
      <c r="HW122" s="414">
        <f t="shared" si="99"/>
        <v>0</v>
      </c>
      <c r="HX122" s="405" t="s">
        <v>548</v>
      </c>
      <c r="HY122" s="409" t="s">
        <v>3314</v>
      </c>
      <c r="HZ122" s="420" t="str">
        <f t="shared" si="59"/>
        <v>FLINTSL - GOLD</v>
      </c>
      <c r="IA122" s="409">
        <v>28</v>
      </c>
      <c r="IB122" s="411">
        <f>IF(IA122=0,0,IF($LB122=70%,VLOOKUP($HZ122,'Jan-2026 rates'!$L:$R,4,0),IF($LB122=65%,VLOOKUP($HZ122,'Jan-2026 rates'!$L:$R,4,0),IF($LB122=40%,VLOOKUP($HZ122,'Jan-2026 rates'!$L:$R,5,0),IF($LB122=30%,VLOOKUP($HZ122,'Jan-2026 rates'!$L:$R,6,0),IF($LB122=100%,VLOOKUP($HZ122,'Jan-2026 rates'!$L:$R,7,0),IF($LB122=60%,VLOOKUP($HZ122,'Jan-2026 rates'!$L:$S,8,0),IF($LB122=80%,VLOOKUP($HZ122,'Jan-2026 rates'!L:T,9,0),0))))))))</f>
        <v>0</v>
      </c>
      <c r="IC122" s="412"/>
      <c r="ID122" s="409"/>
      <c r="IE122" s="411">
        <f>IF(ID122=0,0,IF($LB122=70%,VLOOKUP($HZ122,'Jan-2026 rates'!$L:$R,4,0),IF($LB122=65%,VLOOKUP($HZ122,'Jan-2026 rates'!$L:$R,4,0),IF($LB122=40%,VLOOKUP($HZ122,'Jan-2026 rates'!$L:$R,5,0),IF($LB122=30%,VLOOKUP($HZ122,'Jan-2026 rates'!$L:$R,6,0),IF($LB122=100%,VLOOKUP($HZ122,'Jan-2026 rates'!$L:$R,7,0),IF($LB122=60%,VLOOKUP($HZ122,'Jan-2026 rates'!$L:$S,8,0),IF($LB122=80%,VLOOKUP($HZ122,'Jan-2026 rates'!L:T,9,0),0))))))))</f>
        <v>0</v>
      </c>
      <c r="IF122" s="412">
        <v>26511000002</v>
      </c>
      <c r="IG122" s="413">
        <v>26505000028</v>
      </c>
      <c r="IH122" s="412"/>
      <c r="II122" s="412"/>
      <c r="IJ122" s="412"/>
      <c r="IK122" s="412"/>
      <c r="IL122" s="412"/>
      <c r="IM122" s="412"/>
      <c r="IN122" s="409">
        <v>3</v>
      </c>
      <c r="IO122" s="398" t="e">
        <f>IF(IN122=0,0,IF(LEN(IF122)=11,_xlfn.XLOOKUP(IF122,'Dispensed Ink Rates'!C:C,'Dispensed Ink Rates'!CS:CS),VLOOKUP(IF122,'Jan-2026 rates'!$E:$F,2,0)))</f>
        <v>#N/A</v>
      </c>
      <c r="IP122" s="409">
        <v>0.5</v>
      </c>
      <c r="IQ122" s="398" t="e">
        <f>IF(IP122=0,0,IF(LEN(IG122)=11,_xlfn.XLOOKUP(IG122,'Dispensed Ink Rates'!C:C,'Dispensed Ink Rates'!CS:CS),VLOOKUP(IG122,'Jan-2026 rates'!$E:$F,2,0)))</f>
        <v>#N/A</v>
      </c>
      <c r="IR122" s="409"/>
      <c r="IS122" s="398">
        <f>IF(IR122=0,0,IF(LEN(IH122)=11,_xlfn.XLOOKUP(IH122,'Dispensed Ink Rates'!C:C,'Dispensed Ink Rates'!CS:CS),VLOOKUP(IH122,'Jan-2026 rates'!$E:$F,2,0)))</f>
        <v>0</v>
      </c>
      <c r="IT122" s="409"/>
      <c r="IU122" s="398">
        <f>IF(IT122=0,0,IF(LEN(II122)=11,_xlfn.XLOOKUP(II122,'Dispensed Ink Rates'!C:C,'Dispensed Ink Rates'!CS:CS),VLOOKUP(II122,'Jan-2026 rates'!$E:$F,2,0)))</f>
        <v>0</v>
      </c>
      <c r="IV122" s="409"/>
      <c r="IW122" s="398">
        <f>IF(IV122=0,0,IF(LEN(IJ122)=11,_xlfn.XLOOKUP(IJ122,'Dispensed Ink Rates'!C:C,'Dispensed Ink Rates'!CS:CS),VLOOKUP(IJ122,'Jan-2026 rates'!$E:$F,2,0)))</f>
        <v>0</v>
      </c>
      <c r="IX122" s="409"/>
      <c r="IY122" s="398">
        <f>IF(IX122=0,0,IF(LEN(IK122)=11,_xlfn.XLOOKUP(IK122,'Dispensed Ink Rates'!C:C,'Dispensed Ink Rates'!CS:CS),VLOOKUP(IK122,'Jan-2026 rates'!$E:$F,2,0)))</f>
        <v>0</v>
      </c>
      <c r="IZ122" s="409"/>
      <c r="JA122" s="398">
        <f>IF(IZ122=0,0,IF(LEN(IL122)=11,_xlfn.XLOOKUP(IL122,'Dispensed Ink Rates'!C:C,'Dispensed Ink Rates'!CS:CS),VLOOKUP(IL122,'Jan-2026 rates'!$E:$F,2,0)))</f>
        <v>0</v>
      </c>
      <c r="JB122" s="409"/>
      <c r="JC122" s="398">
        <f>IF(JB122=0,0,IF(LEN(IM122)=11,_xlfn.XLOOKUP(IM122,'Dispensed Ink Rates'!C:C,'Dispensed Ink Rates'!CS:CS),VLOOKUP(IM122,'Jan-2026 rates'!$E:$F,2,0)))</f>
        <v>0</v>
      </c>
      <c r="JD122" s="409" t="s">
        <v>1443</v>
      </c>
      <c r="JE122" s="409">
        <v>26</v>
      </c>
      <c r="JF122" s="411">
        <f t="shared" si="100"/>
        <v>0</v>
      </c>
      <c r="JG122" s="411">
        <f t="shared" si="101"/>
        <v>5.5</v>
      </c>
      <c r="JH122" s="410">
        <f t="shared" si="102"/>
        <v>0</v>
      </c>
      <c r="JI122" s="405" t="s">
        <v>856</v>
      </c>
      <c r="JJ122" s="409" t="s">
        <v>3315</v>
      </c>
      <c r="JK122" s="420" t="str">
        <f t="shared" si="60"/>
        <v>FLINTSL - WHITE</v>
      </c>
      <c r="JL122" s="409">
        <v>30</v>
      </c>
      <c r="JM122" s="411">
        <f>IF(JL122=0,0,IF($LB122=70%,VLOOKUP($JK122,'Jan-2026 rates'!$L:$R,4,0),IF($LB122=65%,VLOOKUP($JK122,'Jan-2026 rates'!$L:$R,4,0),IF($LB122=40%,VLOOKUP($JK122,'Jan-2026 rates'!$L:$R,5,0),IF($LB122=30%,VLOOKUP($JK122,'Jan-2026 rates'!$L:$R,6,0),IF($LB122=100%,VLOOKUP($JK122,'Jan-2026 rates'!$L:$R,7,0),IF($LB122=60%,VLOOKUP($JK122,'Jan-2026 rates'!$L:$S,8,0),IF($LB122=80%,VLOOKUP($JK122,'Jan-2026 rates'!L:T,9,0),0))))))))</f>
        <v>0</v>
      </c>
      <c r="JN122" s="412"/>
      <c r="JO122" s="409"/>
      <c r="JP122" s="411">
        <f>IF(JO122=0,0,IF($LB122=70%,VLOOKUP($JK122,'Jan-2026 rates'!$L:$R,4,0),IF($LB122=65%,VLOOKUP($JK122,'Jan-2026 rates'!$L:$R,4,0),IF($LB122=40%,VLOOKUP($JK122,'Jan-2026 rates'!$L:$R,5,0),IF($LB122=30%,VLOOKUP($JK122,'Jan-2026 rates'!$L:$R,6,0),IF($LB122=100%,VLOOKUP($JK122,'Jan-2026 rates'!$L:$R,7,0),IF($LB122=60%,VLOOKUP($JK122,'Jan-2026 rates'!$L:$S,8,0),IF($LB122=80%,VLOOKUP($JK122,'Jan-2026 rates'!L:T,9,0),0))))))))</f>
        <v>0</v>
      </c>
      <c r="JQ122" s="413" t="s">
        <v>484</v>
      </c>
      <c r="JR122" s="412"/>
      <c r="JS122" s="413"/>
      <c r="JT122" s="413"/>
      <c r="JU122" s="412"/>
      <c r="JV122" s="412"/>
      <c r="JW122" s="412"/>
      <c r="JX122" s="412"/>
      <c r="JY122" s="409">
        <v>100</v>
      </c>
      <c r="JZ122" s="398">
        <f>IF(JY122=0,0,IF(LEN(JQ122)=11,_xlfn.XLOOKUP(JQ122,'Dispensed Ink Rates'!C:C,'Dispensed Ink Rates'!CS:CS),VLOOKUP(JQ122,'Jan-2026 rates'!$E:$F,2,0)))</f>
        <v>0</v>
      </c>
      <c r="KA122" s="409"/>
      <c r="KB122" s="398">
        <f>IF(KA122=0,0,IF(LEN(JR122)=11,_xlfn.XLOOKUP(JR122,'Dispensed Ink Rates'!C:C,'Dispensed Ink Rates'!CS:CS),VLOOKUP(JR122,'Jan-2026 rates'!$E:$F,2,0)))</f>
        <v>0</v>
      </c>
      <c r="KC122" s="409"/>
      <c r="KD122" s="398">
        <f>IF(KC122=0,0,IF(LEN(JS122)=11,_xlfn.XLOOKUP(JS122,'Dispensed Ink Rates'!C:C,'Dispensed Ink Rates'!CS:CS),VLOOKUP(JS122,'Jan-2026 rates'!$E:$F,2,0)))</f>
        <v>0</v>
      </c>
      <c r="KE122" s="409"/>
      <c r="KF122" s="398">
        <f>IF(KE122=0,0,IF(LEN(JT122)=11,_xlfn.XLOOKUP(JT122,'Dispensed Ink Rates'!C:C,'Dispensed Ink Rates'!CS:CS),VLOOKUP(JT122,'Jan-2026 rates'!$E:$F,2,0)))</f>
        <v>0</v>
      </c>
      <c r="KG122" s="409"/>
      <c r="KH122" s="398">
        <f>IF(KG122=0,0,IF(LEN(JU122)=11,_xlfn.XLOOKUP(JU122,'Dispensed Ink Rates'!C:C,'Dispensed Ink Rates'!CS:CS),VLOOKUP(JU122,'Jan-2026 rates'!$E:$F,2,0)))</f>
        <v>0</v>
      </c>
      <c r="KI122" s="409"/>
      <c r="KJ122" s="398">
        <f>IF(KI122=0,0,IF(LEN(JV122)=11,_xlfn.XLOOKUP(JV122,'Dispensed Ink Rates'!C:C,'Dispensed Ink Rates'!CS:CS),VLOOKUP(JV122,'Jan-2026 rates'!$E:$F,2,0)))</f>
        <v>0</v>
      </c>
      <c r="KK122" s="409"/>
      <c r="KL122" s="398">
        <f>IF(KK122=0,0,IF(LEN(JW122)=11,_xlfn.XLOOKUP(JW122,'Dispensed Ink Rates'!C:C,'Dispensed Ink Rates'!CS:CS),VLOOKUP(JW122,'Jan-2026 rates'!$E:$F,2,0)))</f>
        <v>0</v>
      </c>
      <c r="KM122" s="428"/>
      <c r="KN122" s="398">
        <f>IF(KM122=0,0,IF(LEN(JX122)=11,_xlfn.XLOOKUP(JX122,'Dispensed Ink Rates'!C:C,'Dispensed Ink Rates'!CS:CS),VLOOKUP(JX122,'Jan-2026 rates'!$E:$F,2,0)))</f>
        <v>0</v>
      </c>
      <c r="KO122" s="409" t="s">
        <v>1443</v>
      </c>
      <c r="KP122" s="409">
        <v>30</v>
      </c>
      <c r="KQ122" s="411">
        <f t="shared" si="103"/>
        <v>0</v>
      </c>
      <c r="KR122" s="411">
        <f t="shared" si="104"/>
        <v>205.54216867469881</v>
      </c>
      <c r="KS122" s="410">
        <f t="shared" si="105"/>
        <v>0</v>
      </c>
      <c r="KT122" s="409">
        <v>2</v>
      </c>
      <c r="KU122" s="409">
        <v>2</v>
      </c>
      <c r="KV122" s="409">
        <v>2</v>
      </c>
      <c r="KW122" s="409">
        <v>10</v>
      </c>
      <c r="KX122" s="409">
        <v>2</v>
      </c>
      <c r="KY122" s="409">
        <v>5</v>
      </c>
      <c r="KZ122" s="409">
        <v>0</v>
      </c>
      <c r="LA122" s="409">
        <v>60</v>
      </c>
      <c r="LB122" s="415">
        <v>0.8</v>
      </c>
      <c r="LC122" s="415">
        <v>0.2</v>
      </c>
      <c r="LD122" s="415"/>
      <c r="LE122" s="415"/>
      <c r="LF122" s="415"/>
      <c r="LG122" s="409">
        <v>0</v>
      </c>
      <c r="LH122" s="409">
        <f>60+26+48+12</f>
        <v>146</v>
      </c>
      <c r="LI122" s="409">
        <v>0</v>
      </c>
      <c r="LJ122" s="409">
        <v>0</v>
      </c>
      <c r="LK122" s="416">
        <f t="shared" si="61"/>
        <v>146</v>
      </c>
      <c r="LL122" s="416">
        <f t="shared" si="62"/>
        <v>146</v>
      </c>
      <c r="LM122" s="417">
        <f t="shared" si="63"/>
        <v>116.80000000000001</v>
      </c>
      <c r="LN122" s="417">
        <f>VLOOKUP($LM$8,'Jan-2026 rates'!$H:$I,2,0)</f>
        <v>0</v>
      </c>
      <c r="LO122" s="417">
        <f t="shared" si="64"/>
        <v>29.200000000000003</v>
      </c>
      <c r="LP122" s="417">
        <f>VLOOKUP($LO$8,'Jan-2026 rates'!$H:$I,2,0)</f>
        <v>0</v>
      </c>
      <c r="LQ122" s="417">
        <f t="shared" si="65"/>
        <v>0</v>
      </c>
      <c r="LR122" s="417">
        <f>VLOOKUP($LQ$8,'Jan-2026 rates'!$H:$I,2,0)</f>
        <v>0</v>
      </c>
      <c r="LS122" s="417">
        <f t="shared" si="66"/>
        <v>0</v>
      </c>
      <c r="LT122" s="417">
        <f>VLOOKUP($LS$8,'Jan-2026 rates'!$H:$I,2,0)</f>
        <v>0</v>
      </c>
      <c r="LU122" s="417">
        <f t="shared" si="67"/>
        <v>0</v>
      </c>
      <c r="LV122" s="417">
        <f>VLOOKUP($LU$8,'Jan-2026 rates'!$H:$I,2,0)</f>
        <v>0</v>
      </c>
      <c r="LW122" s="417">
        <f t="shared" si="68"/>
        <v>0</v>
      </c>
      <c r="LX122" s="417">
        <f t="shared" si="69"/>
        <v>0</v>
      </c>
      <c r="LY122" s="418">
        <f t="shared" si="70"/>
        <v>0</v>
      </c>
      <c r="LZ122" s="417"/>
      <c r="MA122" s="435">
        <f t="shared" si="71"/>
        <v>146.5</v>
      </c>
      <c r="MB122" s="282">
        <f t="shared" si="72"/>
        <v>311.5</v>
      </c>
      <c r="MC122" s="283">
        <v>77</v>
      </c>
      <c r="MD122" s="284" t="str">
        <f t="shared" si="73"/>
        <v>FLINTSLFLINTSLFLINTSLFLINTSLFLINTSLFLINTSLFLINTSLFLINTSL</v>
      </c>
      <c r="ME122" s="293" t="str">
        <f t="shared" si="74"/>
        <v>+</v>
      </c>
      <c r="MF122" s="293" t="str">
        <f t="shared" si="75"/>
        <v>+</v>
      </c>
      <c r="MG122" s="293" t="str">
        <f t="shared" si="76"/>
        <v>+</v>
      </c>
      <c r="MH122" s="293" t="str">
        <f t="shared" si="77"/>
        <v>+</v>
      </c>
      <c r="MI122" s="293" t="str">
        <f t="shared" si="78"/>
        <v>+</v>
      </c>
      <c r="MJ122" s="293" t="str">
        <f t="shared" si="79"/>
        <v>+</v>
      </c>
      <c r="MK122" s="293" t="str">
        <f t="shared" si="80"/>
        <v>+</v>
      </c>
      <c r="ML122" s="293" t="str">
        <f t="shared" si="81"/>
        <v>+</v>
      </c>
      <c r="MM122" s="3" t="b">
        <f t="array" ref="MM122">OR(ME122:ML122="-")</f>
        <v>0</v>
      </c>
      <c r="MN122" s="285"/>
      <c r="MO122" s="401"/>
      <c r="MP122" s="286"/>
      <c r="MQ122" s="286"/>
      <c r="MR122" s="402"/>
      <c r="MS122" s="400"/>
      <c r="NH122" s="422"/>
      <c r="NJ122" s="421"/>
    </row>
    <row r="123" spans="1:374" s="1" customFormat="1" ht="16.5">
      <c r="A123" s="403">
        <v>46034</v>
      </c>
      <c r="B123" s="404" t="s">
        <v>1015</v>
      </c>
      <c r="C123" s="405" t="s">
        <v>3316</v>
      </c>
      <c r="D123" s="406">
        <v>78</v>
      </c>
      <c r="E123" s="404">
        <v>919</v>
      </c>
      <c r="F123" s="407">
        <v>58700</v>
      </c>
      <c r="G123" s="407" t="s">
        <v>1019</v>
      </c>
      <c r="H123" s="408" t="s">
        <v>1017</v>
      </c>
      <c r="I123" s="409">
        <v>1.7</v>
      </c>
      <c r="J123" s="405" t="s">
        <v>543</v>
      </c>
      <c r="K123" s="404" t="s">
        <v>3317</v>
      </c>
      <c r="L123" s="419" t="str">
        <f t="shared" si="54"/>
        <v>FLINTSL - BLACK</v>
      </c>
      <c r="M123" s="404">
        <v>27</v>
      </c>
      <c r="N123" s="410">
        <f>IF(M123=0,0,IF($LB123=70%,VLOOKUP($L123,'Jan-2026 rates'!$L:$R,4,0),IF($LB123=65%,VLOOKUP($L123,'Jan-2026 rates'!$L:$R,4,0),IF($LB123=40%,VLOOKUP($L123,'Jan-2026 rates'!$L:$R,5,0),IF($LB123=30%,VLOOKUP($L123,'Jan-2026 rates'!$L:$R,6,0),IF($LB123=100%,VLOOKUP($L123,'Jan-2026 rates'!$L:$R,7,0),IF($LB123=60%,VLOOKUP($L123,'Jan-2026 rates'!$L:$S,8,0),IF($LB123=80%,VLOOKUP($L123,'Jan-2026 rates'!L:T,9,0),0))))))))</f>
        <v>0</v>
      </c>
      <c r="O123" s="406"/>
      <c r="P123" s="404"/>
      <c r="Q123" s="410">
        <f>IF(P123=0,0,IF($LB123=70%,VLOOKUP($L123,'Jan-2026 rates'!$L:$R,4,0),IF($LB123=65%,VLOOKUP($L123,'Jan-2026 rates'!$L:$R,4,0),IF($LB123=40%,VLOOKUP($L123,'Jan-2026 rates'!$L:$R,5,0),IF($LB123=30%,VLOOKUP($L123,'Jan-2026 rates'!$L:$R,6,0),IF($LB123=100%,VLOOKUP($L123,'Jan-2026 rates'!$L:$R,7,0),IF($LB123=60%,VLOOKUP($L123,'Jan-2026 rates'!$L:$S,8,0),IF($LB123=80%,VLOOKUP($L123,'Jan-2026 rates'!L:T,9,0),0))))))))</f>
        <v>0</v>
      </c>
      <c r="R123" s="406">
        <v>26513000022</v>
      </c>
      <c r="S123" s="406"/>
      <c r="T123" s="406"/>
      <c r="U123" s="406"/>
      <c r="V123" s="406"/>
      <c r="W123" s="406"/>
      <c r="X123" s="406"/>
      <c r="Y123" s="406"/>
      <c r="Z123" s="404">
        <v>6</v>
      </c>
      <c r="AA123" s="398" t="e">
        <f>IF(Z123=0,0,IF(LEN(R123)=11,_xlfn.XLOOKUP(R123,'Dispensed Ink Rates'!C:C,'Dispensed Ink Rates'!CS:CS),VLOOKUP(R123,'Jan-2026 rates'!$E:$F,2,0)))</f>
        <v>#N/A</v>
      </c>
      <c r="AB123" s="404"/>
      <c r="AC123" s="398">
        <f>IF(AB123=0,0,IF(LEN(S123)=11,_xlfn.XLOOKUP(S123,'Dispensed Ink Rates'!C:C,'Dispensed Ink Rates'!CS:CS),VLOOKUP(S123,'Jan-2026 rates'!$E:$F,2,0)))</f>
        <v>0</v>
      </c>
      <c r="AD123" s="404"/>
      <c r="AE123" s="398">
        <f>IF(AD123=0,0,IF(LEN(T123)=11,_xlfn.XLOOKUP(T123,'Dispensed Ink Rates'!C:C,'Dispensed Ink Rates'!CS:CS),VLOOKUP(T123,'Jan-2026 rates'!$E:$F,2,0)))</f>
        <v>0</v>
      </c>
      <c r="AF123" s="404"/>
      <c r="AG123" s="398">
        <f>IF(AF123=0,0,IF(LEN(U123)=11,_xlfn.XLOOKUP(U123,'Dispensed Ink Rates'!C:C,'Dispensed Ink Rates'!CS:CS),VLOOKUP(U123,'Jan-2026 rates'!$E:$F,2,0)))</f>
        <v>0</v>
      </c>
      <c r="AH123" s="404"/>
      <c r="AI123" s="398">
        <f>IF(AH123=0,0,IF(LEN(V123)=11,_xlfn.XLOOKUP(V123,'Dispensed Ink Rates'!C:C,'Dispensed Ink Rates'!CS:CS),VLOOKUP(V123,'Jan-2026 rates'!$E:$F,2,0)))</f>
        <v>0</v>
      </c>
      <c r="AJ123" s="404"/>
      <c r="AK123" s="398">
        <f>IF(AJ123=0,0,IF(LEN(W123)=11,_xlfn.XLOOKUP(W123,'Dispensed Ink Rates'!C:C,'Dispensed Ink Rates'!CS:CS),VLOOKUP(W123,'Jan-2026 rates'!$E:$F,2,0)))</f>
        <v>0</v>
      </c>
      <c r="AL123" s="404"/>
      <c r="AM123" s="398">
        <f>IF(AL123=0,0,IF(LEN(X123)=11,_xlfn.XLOOKUP(X123,'Dispensed Ink Rates'!C:C,'Dispensed Ink Rates'!CS:CS),VLOOKUP(X123,'Jan-2026 rates'!$E:$F,2,0)))</f>
        <v>0</v>
      </c>
      <c r="AN123" s="404"/>
      <c r="AO123" s="398">
        <f>IF(AN123=0,0,IF(LEN(Y123)=11,_xlfn.XLOOKUP(Y123,'Dispensed Ink Rates'!C:C,'Dispensed Ink Rates'!CS:CS),VLOOKUP(Y123,'Jan-2026 rates'!$E:$F,2,0)))</f>
        <v>0</v>
      </c>
      <c r="AP123" s="409" t="s">
        <v>1443</v>
      </c>
      <c r="AQ123" s="409">
        <v>29</v>
      </c>
      <c r="AR123" s="410">
        <f t="shared" si="82"/>
        <v>0</v>
      </c>
      <c r="AS123" s="411">
        <f t="shared" si="83"/>
        <v>12.571428571428569</v>
      </c>
      <c r="AT123" s="410">
        <f t="shared" si="84"/>
        <v>0</v>
      </c>
      <c r="AU123" s="405" t="s">
        <v>546</v>
      </c>
      <c r="AV123" s="409" t="s">
        <v>3198</v>
      </c>
      <c r="AW123" s="420" t="str">
        <f t="shared" si="53"/>
        <v>FLINTSL - REFLEX BLUE</v>
      </c>
      <c r="AX123" s="409">
        <v>32</v>
      </c>
      <c r="AY123" s="411">
        <f>IF(AX123=0,0,IF($LB123=70%,VLOOKUP($AW123,'Jan-2026 rates'!$L:$R,4,0),IF($LB123=65%,VLOOKUP($AW123,'Jan-2026 rates'!$L:$R,4,0),IF($LB123=40%,VLOOKUP($AW123,'Jan-2026 rates'!$L:$R,5,0),IF($LB123=30%,VLOOKUP($AW123,'Jan-2026 rates'!$L:$R,6,0),IF($LB123=100%,VLOOKUP($AW123,'Jan-2026 rates'!$L:$R,7,0),IF($LB123=60%,VLOOKUP($AW123,'Jan-2026 rates'!$L:$S,8,0),IF($LB123=80%,VLOOKUP($AW123,'Jan-2026 rates'!L:T,9,0),0))))))))</f>
        <v>0</v>
      </c>
      <c r="AZ123" s="412"/>
      <c r="BA123" s="409"/>
      <c r="BB123" s="411">
        <f>IF(BA123=0,0,IF($LB123=70%,VLOOKUP($AW123,'Jan-2026 rates'!$L:$R,4,0),IF($LB123=65%,VLOOKUP($AW123,'Jan-2026 rates'!$L:$R,4,0),IF($LB123=40%,VLOOKUP($AW123,'Jan-2026 rates'!$L:$R,5,0),IF($LB123=30%,VLOOKUP($AW123,'Jan-2026 rates'!$L:$R,6,0),IF($LB123=100%,VLOOKUP($AW123,'Jan-2026 rates'!$L:$R,7,0),IF($LB123=60%,VLOOKUP($AW123,'Jan-2026 rates'!$L:$S,8,0),IF($LB123=80%,VLOOKUP($AW123,'Jan-2026 rates'!L:T,9,0),0))))))))</f>
        <v>0</v>
      </c>
      <c r="BC123" s="413">
        <v>26510000009</v>
      </c>
      <c r="BD123" s="412">
        <v>26511000002</v>
      </c>
      <c r="BE123" s="412">
        <v>26512000010</v>
      </c>
      <c r="BF123" s="413"/>
      <c r="BG123" s="412"/>
      <c r="BH123" s="412"/>
      <c r="BI123" s="412"/>
      <c r="BJ123" s="412"/>
      <c r="BK123" s="409">
        <v>6</v>
      </c>
      <c r="BL123" s="398" t="e">
        <f>IF(BK123=0,0,IF(LEN(BC123)=11,_xlfn.XLOOKUP(BC123,'Dispensed Ink Rates'!C:C,'Dispensed Ink Rates'!CS:CS),VLOOKUP(BC123,'Jan-2026 rates'!$E:$F,2,0)))</f>
        <v>#N/A</v>
      </c>
      <c r="BM123" s="409">
        <v>3</v>
      </c>
      <c r="BN123" s="398" t="e">
        <f>IF(BM123=0,0,IF(LEN(BD123)=11,_xlfn.XLOOKUP(BD123,'Dispensed Ink Rates'!C:C,'Dispensed Ink Rates'!CS:CS),VLOOKUP(BD123,'Jan-2026 rates'!$E:$F,2,0)))</f>
        <v>#N/A</v>
      </c>
      <c r="BO123" s="409">
        <v>3</v>
      </c>
      <c r="BP123" s="398" t="e">
        <f>IF(BO123=0,0,IF(LEN(BE123)=11,_xlfn.XLOOKUP(BE123,'Dispensed Ink Rates'!C:C,'Dispensed Ink Rates'!CS:CS),VLOOKUP(BE123,'Jan-2026 rates'!$E:$F,2,0)))</f>
        <v>#N/A</v>
      </c>
      <c r="BQ123" s="409"/>
      <c r="BR123" s="398">
        <f>IF(BQ123=0,0,IF(LEN(BF123)=11,_xlfn.XLOOKUP(BF123,'Dispensed Ink Rates'!C:C,'Dispensed Ink Rates'!CS:CS),VLOOKUP(BF123,'Jan-2026 rates'!$E:$F,2,0)))</f>
        <v>0</v>
      </c>
      <c r="BS123" s="409"/>
      <c r="BT123" s="398">
        <f>IF(BS123=0,0,IF(LEN(BG123)=11,_xlfn.XLOOKUP(BG123,'Dispensed Ink Rates'!C:C,'Dispensed Ink Rates'!CS:CS),VLOOKUP(BG123,'Jan-2026 rates'!$E:$F,2,0)))</f>
        <v>0</v>
      </c>
      <c r="BU123" s="409"/>
      <c r="BV123" s="398">
        <f>IF(BU123=0,0,IF(LEN(BH123)=11,_xlfn.XLOOKUP(BH123,'Dispensed Ink Rates'!C:C,'Dispensed Ink Rates'!CS:CS),VLOOKUP(BH123,'Jan-2026 rates'!$E:$F,2,0)))</f>
        <v>0</v>
      </c>
      <c r="BW123" s="409"/>
      <c r="BX123" s="398">
        <f>IF(BW123=0,0,IF(LEN(BI123)=11,_xlfn.XLOOKUP(BI123,'Dispensed Ink Rates'!C:C,'Dispensed Ink Rates'!CS:CS),VLOOKUP(BI123,'Jan-2026 rates'!$E:$F,2,0)))</f>
        <v>0</v>
      </c>
      <c r="BY123" s="409"/>
      <c r="BZ123" s="398">
        <f>IF(BY123=0,0,IF(LEN(BJ123)=11,_xlfn.XLOOKUP(BJ123,'Dispensed Ink Rates'!C:C,'Dispensed Ink Rates'!CS:CS),VLOOKUP(BJ123,'Jan-2026 rates'!$E:$F,2,0)))</f>
        <v>0</v>
      </c>
      <c r="CA123" s="409" t="s">
        <v>1443</v>
      </c>
      <c r="CB123" s="409">
        <v>31</v>
      </c>
      <c r="CC123" s="411">
        <f t="shared" si="85"/>
        <v>0</v>
      </c>
      <c r="CD123" s="411">
        <f t="shared" si="86"/>
        <v>30.142857142857139</v>
      </c>
      <c r="CE123" s="410">
        <f t="shared" si="87"/>
        <v>0</v>
      </c>
      <c r="CF123" s="404" t="s">
        <v>855</v>
      </c>
      <c r="CG123" s="409" t="s">
        <v>3318</v>
      </c>
      <c r="CH123" s="420" t="str">
        <f t="shared" si="55"/>
        <v>FLINTSL - CYAN</v>
      </c>
      <c r="CI123" s="409">
        <v>28</v>
      </c>
      <c r="CJ123" s="411">
        <f>IF(CI123=0,0,IF($LB123=70%,VLOOKUP($CH123,'Jan-2026 rates'!$L:$R,4,0),IF($LB123=65%,VLOOKUP($CH123,'Jan-2026 rates'!$L:$R,4,0),IF($LB123=40%,VLOOKUP($CH123,'Jan-2026 rates'!$L:$R,5,0),IF($LB123=30%,VLOOKUP($CH123,'Jan-2026 rates'!$L:$R,6,0),IF($LB123=100%,VLOOKUP($CH123,'Jan-2026 rates'!$L:$R,7,0),IF($LB123=60%,VLOOKUP($CH123,'Jan-2026 rates'!$L:$S,8,0),IF($LB123=80%,VLOOKUP($CH123,'Jan-2026 rates'!L:T,9,0),0))))))))</f>
        <v>0</v>
      </c>
      <c r="CK123" s="412"/>
      <c r="CL123" s="409"/>
      <c r="CM123" s="411">
        <f>IF(CL123=0,0,IF($LB123=70%,VLOOKUP($CH123,'Jan-2026 rates'!$L:$R,4,0),IF($LB123=65%,VLOOKUP($CH123,'Jan-2026 rates'!$L:$R,4,0),IF($LB123=40%,VLOOKUP($CH123,'Jan-2026 rates'!$L:$R,5,0),IF($LB123=30%,VLOOKUP($CH123,'Jan-2026 rates'!$L:$R,6,0),IF($LB123=100%,VLOOKUP($CH123,'Jan-2026 rates'!$L:$R,7,0),IF($LB123=60%,VLOOKUP($CH123,'Jan-2026 rates'!$L:$S,8,0),IF($LB123=80%,VLOOKUP($CH123,'Jan-2026 rates'!L:T,9,0),0))))))))</f>
        <v>0</v>
      </c>
      <c r="CN123" s="426">
        <v>26510000009</v>
      </c>
      <c r="CO123" s="427">
        <v>26506000002</v>
      </c>
      <c r="CP123" s="426"/>
      <c r="CQ123" s="426"/>
      <c r="CR123" s="428"/>
      <c r="CS123" s="428"/>
      <c r="CT123" s="428"/>
      <c r="CU123" s="428"/>
      <c r="CV123" s="409">
        <v>20</v>
      </c>
      <c r="CW123" s="398" t="e">
        <f>IF(CV123=0,0,IF(LEN(CN123)=11,_xlfn.XLOOKUP(CN123,'Dispensed Ink Rates'!C:C,'Dispensed Ink Rates'!CS:CS),VLOOKUP(CN123,'Jan-2026 rates'!$E:$F,2,0)))</f>
        <v>#N/A</v>
      </c>
      <c r="CX123" s="409">
        <v>18</v>
      </c>
      <c r="CY123" s="398" t="e">
        <f>IF(CX123=0,0,IF(LEN(CO123)=11,_xlfn.XLOOKUP(CO123,'Dispensed Ink Rates'!C:C,'Dispensed Ink Rates'!CS:CS),VLOOKUP(CO123,'Jan-2026 rates'!$E:$F,2,0)))</f>
        <v>#N/A</v>
      </c>
      <c r="CZ123" s="409"/>
      <c r="DA123" s="398">
        <f>IF(CZ123=0,0,IF(LEN(CP123)=11,_xlfn.XLOOKUP(CP123,'Dispensed Ink Rates'!C:C,'Dispensed Ink Rates'!CS:CS),VLOOKUP(CP123,'Jan-2026 rates'!$E:$F,2,0)))</f>
        <v>0</v>
      </c>
      <c r="DB123" s="409"/>
      <c r="DC123" s="398">
        <f>IF(DB123=0,0,IF(LEN(CQ123)=11,_xlfn.XLOOKUP(CQ123,'Dispensed Ink Rates'!C:C,'Dispensed Ink Rates'!CS:CS),VLOOKUP(CQ123,'Jan-2026 rates'!$E:$F,2,0)))</f>
        <v>0</v>
      </c>
      <c r="DD123" s="409"/>
      <c r="DE123" s="398">
        <f>IF(DD123=0,0,IF(LEN(CR123)=11,_xlfn.XLOOKUP(CR123,'Dispensed Ink Rates'!C:C,'Dispensed Ink Rates'!CS:CS),VLOOKUP(CR123,'Jan-2026 rates'!$E:$F,2,0)))</f>
        <v>0</v>
      </c>
      <c r="DF123" s="409"/>
      <c r="DG123" s="398">
        <f>IF(DF123=0,0,IF(LEN(CS123)=11,_xlfn.XLOOKUP(CS123,'Dispensed Ink Rates'!C:C,'Dispensed Ink Rates'!CS:CS),VLOOKUP(CS123,'Jan-2026 rates'!$E:$F,2,0)))</f>
        <v>0</v>
      </c>
      <c r="DH123" s="409"/>
      <c r="DI123" s="398">
        <f>IF(DH123=0,0,IF(LEN(CT123)=11,_xlfn.XLOOKUP(CT123,'Dispensed Ink Rates'!C:C,'Dispensed Ink Rates'!CS:CS),VLOOKUP(CT123,'Jan-2026 rates'!$E:$F,2,0)))</f>
        <v>0</v>
      </c>
      <c r="DJ123" s="409"/>
      <c r="DK123" s="398">
        <f>IF(DJ123=0,0,IF(LEN(CU123)=11,_xlfn.XLOOKUP(CU123,'Dispensed Ink Rates'!C:C,'Dispensed Ink Rates'!CS:CS),VLOOKUP(CU123,'Jan-2026 rates'!$E:$F,2,0)))</f>
        <v>0</v>
      </c>
      <c r="DL123" s="409" t="s">
        <v>1443</v>
      </c>
      <c r="DM123" s="409">
        <v>28</v>
      </c>
      <c r="DN123" s="411">
        <f t="shared" si="88"/>
        <v>0</v>
      </c>
      <c r="DO123" s="411">
        <f t="shared" si="89"/>
        <v>65.428571428571431</v>
      </c>
      <c r="DP123" s="410">
        <f t="shared" si="90"/>
        <v>0</v>
      </c>
      <c r="DQ123" s="405" t="s">
        <v>544</v>
      </c>
      <c r="DR123" s="409" t="s">
        <v>3319</v>
      </c>
      <c r="DS123" s="420" t="str">
        <f t="shared" si="56"/>
        <v>FLINTSL - MAGENTA</v>
      </c>
      <c r="DT123" s="409">
        <v>28</v>
      </c>
      <c r="DU123" s="411">
        <f>IF(DT123=0,0,IF($LB123=70%,VLOOKUP($DS123,'Jan-2026 rates'!$L:$R,4,0),IF($LB123=65%,VLOOKUP($DS123,'Jan-2026 rates'!$L:$R,4,0),IF($LB123=40%,VLOOKUP($DS123,'Jan-2026 rates'!$L:$R,5,0),IF($LB123=30%,VLOOKUP($DS123,'Jan-2026 rates'!$L:$R,6,0),IF($LB123=100%,VLOOKUP($DS123,'Jan-2026 rates'!$L:$R,7,0),IF($LB123=60%,VLOOKUP($DS123,'Jan-2026 rates'!$L:$S,8,0),IF($LB123=80%,VLOOKUP($DS123,'Jan-2026 rates'!L:T,9,0),0))))))))</f>
        <v>0</v>
      </c>
      <c r="DV123" s="412"/>
      <c r="DW123" s="409"/>
      <c r="DX123" s="411">
        <f>IF(DW123=0,0,IF($LB123=70%,VLOOKUP($DS123,'Jan-2026 rates'!$L:$R,4,0),IF($LB123=65%,VLOOKUP($DS123,'Jan-2026 rates'!$L:$R,4,0),IF($LB123=40%,VLOOKUP($DS123,'Jan-2026 rates'!$L:$R,5,0),IF($LB123=30%,VLOOKUP($DS123,'Jan-2026 rates'!$L:$R,6,0),IF($LB123=100%,VLOOKUP($DS123,'Jan-2026 rates'!$L:$R,7,0),IF($LB123=60%,VLOOKUP($DS123,'Jan-2026 rates'!$L:$S,8,0),IF($LB123=80%,VLOOKUP($DS123,'Jan-2026 rates'!L:T,9,0),0))))))))</f>
        <v>0</v>
      </c>
      <c r="DY123" s="413">
        <v>26512000010</v>
      </c>
      <c r="DZ123" s="413"/>
      <c r="EA123" s="412"/>
      <c r="EB123" s="412"/>
      <c r="EC123" s="412"/>
      <c r="ED123" s="412"/>
      <c r="EE123" s="412"/>
      <c r="EF123" s="412"/>
      <c r="EG123" s="409">
        <v>6</v>
      </c>
      <c r="EH123" s="398" t="e">
        <f>IF(EG123=0,0,IF(LEN(DY123)=11,_xlfn.XLOOKUP(DY123,'Dispensed Ink Rates'!C:C,'Dispensed Ink Rates'!CS:CS),VLOOKUP(DY123,'Jan-2026 rates'!$E:$F,2,0)))</f>
        <v>#N/A</v>
      </c>
      <c r="EI123" s="409"/>
      <c r="EJ123" s="398">
        <f>IF(EI123=0,0,IF(LEN(DZ123)=11,_xlfn.XLOOKUP(DZ123,'Dispensed Ink Rates'!C:C,'Dispensed Ink Rates'!CS:CS),VLOOKUP(DZ123,'Jan-2026 rates'!$E:$F,2,0)))</f>
        <v>0</v>
      </c>
      <c r="EK123" s="409"/>
      <c r="EL123" s="398">
        <f>IF(EK123=0,0,IF(LEN(EA123)=11,_xlfn.XLOOKUP(EA123,'Dispensed Ink Rates'!C:C,'Dispensed Ink Rates'!CS:CS),VLOOKUP(EA123,'Jan-2026 rates'!$E:$F,2,0)))</f>
        <v>0</v>
      </c>
      <c r="EM123" s="409"/>
      <c r="EN123" s="398">
        <f>IF(EM123=0,0,IF(LEN(EB123)=11,_xlfn.XLOOKUP(EB123,'Dispensed Ink Rates'!C:C,'Dispensed Ink Rates'!CS:CS),VLOOKUP(EB123,'Jan-2026 rates'!$E:$F,2,0)))</f>
        <v>0</v>
      </c>
      <c r="EO123" s="409"/>
      <c r="EP123" s="398">
        <f>IF(EO123=0,0,IF(LEN(EC123)=11,_xlfn.XLOOKUP(EC123,'Dispensed Ink Rates'!C:C,'Dispensed Ink Rates'!CS:CS),VLOOKUP(EC123,'Jan-2026 rates'!$E:$F,2,0)))</f>
        <v>0</v>
      </c>
      <c r="EQ123" s="409"/>
      <c r="ER123" s="398">
        <f>IF(EQ123=0,0,IF(LEN(ED123)=11,_xlfn.XLOOKUP(ED123,'Dispensed Ink Rates'!C:C,'Dispensed Ink Rates'!CS:CS),VLOOKUP(ED123,'Jan-2026 rates'!$E:$F,2,0)))</f>
        <v>0</v>
      </c>
      <c r="ES123" s="409"/>
      <c r="ET123" s="398">
        <f>IF(ES123=0,0,IF(LEN(EE123)=11,_xlfn.XLOOKUP(EE123,'Dispensed Ink Rates'!C:C,'Dispensed Ink Rates'!CS:CS),VLOOKUP(EE123,'Jan-2026 rates'!$E:$F,2,0)))</f>
        <v>0</v>
      </c>
      <c r="EU123" s="409"/>
      <c r="EV123" s="398">
        <f>IF(EU123=0,0,IF(LEN(EF123)=11,_xlfn.XLOOKUP(EF123,'Dispensed Ink Rates'!C:C,'Dispensed Ink Rates'!CS:CS),VLOOKUP(EF123,'Jan-2026 rates'!$E:$F,2,0)))</f>
        <v>0</v>
      </c>
      <c r="EW123" s="409" t="s">
        <v>1443</v>
      </c>
      <c r="EX123" s="409">
        <v>28</v>
      </c>
      <c r="EY123" s="411">
        <f t="shared" si="91"/>
        <v>0</v>
      </c>
      <c r="EZ123" s="411">
        <f t="shared" si="92"/>
        <v>12.857142857142854</v>
      </c>
      <c r="FA123" s="410">
        <f t="shared" si="93"/>
        <v>0</v>
      </c>
      <c r="FB123" s="405" t="s">
        <v>545</v>
      </c>
      <c r="FC123" s="409" t="s">
        <v>3320</v>
      </c>
      <c r="FD123" s="420" t="str">
        <f t="shared" si="57"/>
        <v>FLINTSL - YELLOW</v>
      </c>
      <c r="FE123" s="409">
        <v>26</v>
      </c>
      <c r="FF123" s="411">
        <f>IF(FE123=0,0,IF($LB123=70%,VLOOKUP($FD123,'Jan-2026 rates'!$L:$R,4,0),IF($LB123=65%,VLOOKUP($FD123,'Jan-2026 rates'!$L:$R,4,0),IF($LB123=40%,VLOOKUP($FD123,'Jan-2026 rates'!$L:$R,5,0),IF($LB123=30%,VLOOKUP($FD123,'Jan-2026 rates'!$L:$R,6,0),IF($LB123=100%,VLOOKUP($FD123,'Jan-2026 rates'!$L:$R,7,0),IF($LB123=60%,VLOOKUP($FD123,'Jan-2026 rates'!$L:$S,8,0),IF($LB123=80%,VLOOKUP($FD123,'Jan-2026 rates'!L:T,9,0),0))))))))</f>
        <v>0</v>
      </c>
      <c r="FG123" s="412"/>
      <c r="FH123" s="409"/>
      <c r="FI123" s="411">
        <f>IF(FH123=0,0,IF($LB123=70%,VLOOKUP($FD123,'Jan-2026 rates'!$L:$R,4,0),IF($LB123=65%,VLOOKUP($FD123,'Jan-2026 rates'!$L:$R,4,0),IF($LB123=40%,VLOOKUP($FD123,'Jan-2026 rates'!$L:$R,5,0),IF($LB123=30%,VLOOKUP($FD123,'Jan-2026 rates'!$L:$R,6,0),IF($LB123=100%,VLOOKUP($FD123,'Jan-2026 rates'!$L:$R,7,0),IF($LB123=60%,VLOOKUP($FD123,'Jan-2026 rates'!$L:$S,8,0),IF($LB123=80%,VLOOKUP($FD123,'Jan-2026 rates'!L:T,9,0),0))))))))</f>
        <v>0</v>
      </c>
      <c r="FJ123" s="413">
        <v>26506000002</v>
      </c>
      <c r="FK123" s="413"/>
      <c r="FL123" s="413"/>
      <c r="FM123" s="412"/>
      <c r="FN123" s="412"/>
      <c r="FO123" s="412"/>
      <c r="FP123" s="412"/>
      <c r="FQ123" s="412"/>
      <c r="FR123" s="409">
        <v>6</v>
      </c>
      <c r="FS123" s="398" t="e">
        <f>IF(FR123=0,0,IF(LEN(FJ123)=11,_xlfn.XLOOKUP(FJ123,'Dispensed Ink Rates'!C:C,'Dispensed Ink Rates'!CS:CS),VLOOKUP(FJ123,'Jan-2026 rates'!$E:$F,2,0)))</f>
        <v>#N/A</v>
      </c>
      <c r="FT123" s="409"/>
      <c r="FU123" s="398">
        <f>IF(FT123=0,0,IF(LEN(FK123)=11,_xlfn.XLOOKUP(FK123,'Dispensed Ink Rates'!C:C,'Dispensed Ink Rates'!CS:CS),VLOOKUP(FK123,'Jan-2026 rates'!$E:$F,2,0)))</f>
        <v>0</v>
      </c>
      <c r="FV123" s="409"/>
      <c r="FW123" s="398">
        <f>IF(FV123=0,0,IF(LEN(FL123)=11,_xlfn.XLOOKUP(FL123,'Dispensed Ink Rates'!C:C,'Dispensed Ink Rates'!CS:CS),VLOOKUP(FL123,'Jan-2026 rates'!$E:$F,2,0)))</f>
        <v>0</v>
      </c>
      <c r="FX123" s="409"/>
      <c r="FY123" s="398">
        <f>IF(FX123=0,0,IF(LEN(FM123)=11,_xlfn.XLOOKUP(FM123,'Dispensed Ink Rates'!C:C,'Dispensed Ink Rates'!CS:CS),VLOOKUP(FM123,'Jan-2026 rates'!$E:$F,2,0)))</f>
        <v>0</v>
      </c>
      <c r="FZ123" s="409"/>
      <c r="GA123" s="398">
        <f>IF(FZ123=0,0,IF(LEN(FN123)=11,_xlfn.XLOOKUP(FN123,'Dispensed Ink Rates'!C:C,'Dispensed Ink Rates'!CS:CS),VLOOKUP(FN123,'Jan-2026 rates'!$E:$F,2,0)))</f>
        <v>0</v>
      </c>
      <c r="GB123" s="409"/>
      <c r="GC123" s="398">
        <f>IF(GB123=0,0,IF(LEN(FO123)=11,_xlfn.XLOOKUP(FO123,'Dispensed Ink Rates'!C:C,'Dispensed Ink Rates'!CS:CS),VLOOKUP(FO123,'Jan-2026 rates'!$E:$F,2,0)))</f>
        <v>0</v>
      </c>
      <c r="GD123" s="409"/>
      <c r="GE123" s="398">
        <f>IF(GD123=0,0,IF(LEN(FP123)=11,_xlfn.XLOOKUP(FP123,'Dispensed Ink Rates'!C:C,'Dispensed Ink Rates'!CS:CS),VLOOKUP(FP123,'Jan-2026 rates'!$E:$F,2,0)))</f>
        <v>0</v>
      </c>
      <c r="GF123" s="409"/>
      <c r="GG123" s="398">
        <f>IF(GF123=0,0,IF(LEN(FQ123)=11,_xlfn.XLOOKUP(FQ123,'Dispensed Ink Rates'!C:C,'Dispensed Ink Rates'!CS:CS),VLOOKUP(FQ123,'Jan-2026 rates'!$E:$F,2,0)))</f>
        <v>0</v>
      </c>
      <c r="GH123" s="409" t="s">
        <v>1443</v>
      </c>
      <c r="GI123" s="409">
        <v>26</v>
      </c>
      <c r="GJ123" s="411">
        <f t="shared" si="94"/>
        <v>0</v>
      </c>
      <c r="GK123" s="411">
        <f t="shared" si="95"/>
        <v>16.285714285714285</v>
      </c>
      <c r="GL123" s="410">
        <f t="shared" si="96"/>
        <v>0</v>
      </c>
      <c r="GM123" s="405" t="s">
        <v>856</v>
      </c>
      <c r="GN123" s="409" t="s">
        <v>3321</v>
      </c>
      <c r="GO123" s="420" t="str">
        <f t="shared" si="58"/>
        <v>FLINTSL - WHITE</v>
      </c>
      <c r="GP123" s="409">
        <v>30</v>
      </c>
      <c r="GQ123" s="411">
        <f>IF(GP123=0,0,IF($LB123=70%,VLOOKUP($GO123,'Jan-2026 rates'!$L:$R,4,0),IF($LB123=65%,VLOOKUP($GO123,'Jan-2026 rates'!$L:$R,4,0),IF($LB123=40%,VLOOKUP($GO123,'Jan-2026 rates'!$L:$R,5,0),IF($LB123=30%,VLOOKUP($GO123,'Jan-2026 rates'!$L:$R,6,0),IF($LB123=100%,VLOOKUP($GO123,'Jan-2026 rates'!$L:$R,7,0),IF($LB123=60%,VLOOKUP($GO123,'Jan-2026 rates'!$L:$S,8,0),IF($LB123=80%,VLOOKUP($GO123,'Jan-2026 rates'!L:T,9,0),0))))))))</f>
        <v>0</v>
      </c>
      <c r="GR123" s="412"/>
      <c r="GS123" s="409"/>
      <c r="GT123" s="411">
        <f>IF(GS123=0,0,IF($LB123=70%,VLOOKUP($GO123,'Jan-2026 rates'!$L:$R,4,0),IF($LB123=65%,VLOOKUP($GO123,'Jan-2026 rates'!$L:$R,4,0),IF($LB123=40%,VLOOKUP($GO123,'Jan-2026 rates'!$L:$R,5,0),IF($LB123=30%,VLOOKUP($GO123,'Jan-2026 rates'!$L:$R,6,0),IF($LB123=100%,VLOOKUP($GO123,'Jan-2026 rates'!$L:$R,7,0),IF($LB123=60%,VLOOKUP($GO123,'Jan-2026 rates'!$L:$S,8,0),IF($LB123=80%,VLOOKUP($GO123,'Jan-2026 rates'!L:T,9,0),0))))))))</f>
        <v>0</v>
      </c>
      <c r="GU123" s="413" t="s">
        <v>484</v>
      </c>
      <c r="GV123" s="413"/>
      <c r="GW123" s="412"/>
      <c r="GX123" s="412"/>
      <c r="GY123" s="412"/>
      <c r="GZ123" s="412"/>
      <c r="HA123" s="412"/>
      <c r="HB123" s="412"/>
      <c r="HC123" s="409">
        <f>100+100</f>
        <v>200</v>
      </c>
      <c r="HD123" s="398">
        <f>IF(HC123=0,0,IF(LEN(GU123)=11,_xlfn.XLOOKUP(GU123,'Dispensed Ink Rates'!C:C,'Dispensed Ink Rates'!CS:CS),VLOOKUP(GU123,'Jan-2026 rates'!$E:$F,2,0)))</f>
        <v>0</v>
      </c>
      <c r="HE123" s="409"/>
      <c r="HF123" s="398">
        <f>IF(HE123=0,0,IF(LEN(GV123)=11,_xlfn.XLOOKUP(GV123,'Dispensed Ink Rates'!C:C,'Dispensed Ink Rates'!CS:CS),VLOOKUP(GV123,'Jan-2026 rates'!$E:$F,2,0)))</f>
        <v>0</v>
      </c>
      <c r="HG123" s="409"/>
      <c r="HH123" s="398">
        <f>IF(HG123=0,0,IF(LEN(GW123)=11,_xlfn.XLOOKUP(GW123,'Dispensed Ink Rates'!C:C,'Dispensed Ink Rates'!CS:CS),VLOOKUP(GW123,'Jan-2026 rates'!$E:$F,2,0)))</f>
        <v>0</v>
      </c>
      <c r="HI123" s="409"/>
      <c r="HJ123" s="398">
        <f>IF(HI123=0,0,IF(LEN(GX123)=11,_xlfn.XLOOKUP(GX123,'Dispensed Ink Rates'!C:C,'Dispensed Ink Rates'!CS:CS),VLOOKUP(GX123,'Jan-2026 rates'!$E:$F,2,0)))</f>
        <v>0</v>
      </c>
      <c r="HK123" s="409"/>
      <c r="HL123" s="398">
        <f>IF(HK123=0,0,IF(LEN(GY123)=11,_xlfn.XLOOKUP(GY123,'Dispensed Ink Rates'!C:C,'Dispensed Ink Rates'!CS:CS),VLOOKUP(GY123,'Jan-2026 rates'!$E:$F,2,0)))</f>
        <v>0</v>
      </c>
      <c r="HM123" s="409"/>
      <c r="HN123" s="398">
        <f>IF(HM123=0,0,IF(LEN(GZ123)=11,_xlfn.XLOOKUP(GZ123,'Dispensed Ink Rates'!C:C,'Dispensed Ink Rates'!CS:CS),VLOOKUP(GZ123,'Jan-2026 rates'!$E:$F,2,0)))</f>
        <v>0</v>
      </c>
      <c r="HO123" s="409"/>
      <c r="HP123" s="398">
        <f>IF(HO123=0,0,IF(LEN(HA123)=11,_xlfn.XLOOKUP(HA123,'Dispensed Ink Rates'!C:C,'Dispensed Ink Rates'!CS:CS),VLOOKUP(HA123,'Jan-2026 rates'!$E:$F,2,0)))</f>
        <v>0</v>
      </c>
      <c r="HQ123" s="409"/>
      <c r="HR123" s="398">
        <f>IF(HQ123=0,0,IF(LEN(HB123)=11,_xlfn.XLOOKUP(HB123,'Dispensed Ink Rates'!C:C,'Dispensed Ink Rates'!CS:CS),VLOOKUP(HB123,'Jan-2026 rates'!$E:$F,2,0)))</f>
        <v>0</v>
      </c>
      <c r="HS123" s="409" t="s">
        <v>1443</v>
      </c>
      <c r="HT123" s="409">
        <v>30</v>
      </c>
      <c r="HU123" s="411">
        <f t="shared" si="97"/>
        <v>0</v>
      </c>
      <c r="HV123" s="411">
        <f t="shared" si="98"/>
        <v>405.71428571428567</v>
      </c>
      <c r="HW123" s="414">
        <f t="shared" si="99"/>
        <v>0</v>
      </c>
      <c r="HX123" s="405"/>
      <c r="HY123" s="409"/>
      <c r="HZ123" s="420" t="str">
        <f t="shared" si="59"/>
        <v xml:space="preserve"> - </v>
      </c>
      <c r="IA123" s="409"/>
      <c r="IB123" s="411">
        <f>IF(IA123=0,0,IF($LB123=70%,VLOOKUP($HZ123,'Jan-2026 rates'!$L:$R,4,0),IF($LB123=65%,VLOOKUP($HZ123,'Jan-2026 rates'!$L:$R,4,0),IF($LB123=40%,VLOOKUP($HZ123,'Jan-2026 rates'!$L:$R,5,0),IF($LB123=30%,VLOOKUP($HZ123,'Jan-2026 rates'!$L:$R,6,0),IF($LB123=100%,VLOOKUP($HZ123,'Jan-2026 rates'!$L:$R,7,0),IF($LB123=60%,VLOOKUP($HZ123,'Jan-2026 rates'!$L:$S,8,0),IF($LB123=80%,VLOOKUP($HZ123,'Jan-2026 rates'!L:T,9,0),0))))))))</f>
        <v>0</v>
      </c>
      <c r="IC123" s="412"/>
      <c r="ID123" s="409"/>
      <c r="IE123" s="411">
        <f>IF(ID123=0,0,IF($LB123=70%,VLOOKUP($HZ123,'Jan-2026 rates'!$L:$R,4,0),IF($LB123=65%,VLOOKUP($HZ123,'Jan-2026 rates'!$L:$R,4,0),IF($LB123=40%,VLOOKUP($HZ123,'Jan-2026 rates'!$L:$R,5,0),IF($LB123=30%,VLOOKUP($HZ123,'Jan-2026 rates'!$L:$R,6,0),IF($LB123=100%,VLOOKUP($HZ123,'Jan-2026 rates'!$L:$R,7,0),IF($LB123=60%,VLOOKUP($HZ123,'Jan-2026 rates'!$L:$S,8,0),IF($LB123=80%,VLOOKUP($HZ123,'Jan-2026 rates'!L:T,9,0),0))))))))</f>
        <v>0</v>
      </c>
      <c r="IF123" s="412"/>
      <c r="IG123" s="413"/>
      <c r="IH123" s="412"/>
      <c r="II123" s="412"/>
      <c r="IJ123" s="412"/>
      <c r="IK123" s="412"/>
      <c r="IL123" s="412"/>
      <c r="IM123" s="412"/>
      <c r="IN123" s="409"/>
      <c r="IO123" s="398">
        <f>IF(IN123=0,0,IF(LEN(IF123)=11,_xlfn.XLOOKUP(IF123,'Dispensed Ink Rates'!C:C,'Dispensed Ink Rates'!CS:CS),VLOOKUP(IF123,'Jan-2026 rates'!$E:$F,2,0)))</f>
        <v>0</v>
      </c>
      <c r="IP123" s="409"/>
      <c r="IQ123" s="398">
        <f>IF(IP123=0,0,IF(LEN(IG123)=11,_xlfn.XLOOKUP(IG123,'Dispensed Ink Rates'!C:C,'Dispensed Ink Rates'!CS:CS),VLOOKUP(IG123,'Jan-2026 rates'!$E:$F,2,0)))</f>
        <v>0</v>
      </c>
      <c r="IR123" s="409"/>
      <c r="IS123" s="398">
        <f>IF(IR123=0,0,IF(LEN(IH123)=11,_xlfn.XLOOKUP(IH123,'Dispensed Ink Rates'!C:C,'Dispensed Ink Rates'!CS:CS),VLOOKUP(IH123,'Jan-2026 rates'!$E:$F,2,0)))</f>
        <v>0</v>
      </c>
      <c r="IT123" s="409"/>
      <c r="IU123" s="398">
        <f>IF(IT123=0,0,IF(LEN(II123)=11,_xlfn.XLOOKUP(II123,'Dispensed Ink Rates'!C:C,'Dispensed Ink Rates'!CS:CS),VLOOKUP(II123,'Jan-2026 rates'!$E:$F,2,0)))</f>
        <v>0</v>
      </c>
      <c r="IV123" s="409"/>
      <c r="IW123" s="398">
        <f>IF(IV123=0,0,IF(LEN(IJ123)=11,_xlfn.XLOOKUP(IJ123,'Dispensed Ink Rates'!C:C,'Dispensed Ink Rates'!CS:CS),VLOOKUP(IJ123,'Jan-2026 rates'!$E:$F,2,0)))</f>
        <v>0</v>
      </c>
      <c r="IX123" s="409"/>
      <c r="IY123" s="398">
        <f>IF(IX123=0,0,IF(LEN(IK123)=11,_xlfn.XLOOKUP(IK123,'Dispensed Ink Rates'!C:C,'Dispensed Ink Rates'!CS:CS),VLOOKUP(IK123,'Jan-2026 rates'!$E:$F,2,0)))</f>
        <v>0</v>
      </c>
      <c r="IZ123" s="409"/>
      <c r="JA123" s="398">
        <f>IF(IZ123=0,0,IF(LEN(IL123)=11,_xlfn.XLOOKUP(IL123,'Dispensed Ink Rates'!C:C,'Dispensed Ink Rates'!CS:CS),VLOOKUP(IL123,'Jan-2026 rates'!$E:$F,2,0)))</f>
        <v>0</v>
      </c>
      <c r="JB123" s="409"/>
      <c r="JC123" s="398">
        <f>IF(JB123=0,0,IF(LEN(IM123)=11,_xlfn.XLOOKUP(IM123,'Dispensed Ink Rates'!C:C,'Dispensed Ink Rates'!CS:CS),VLOOKUP(IM123,'Jan-2026 rates'!$E:$F,2,0)))</f>
        <v>0</v>
      </c>
      <c r="JD123" s="409"/>
      <c r="JE123" s="409"/>
      <c r="JF123" s="411">
        <f t="shared" si="100"/>
        <v>0</v>
      </c>
      <c r="JG123" s="411">
        <f t="shared" si="101"/>
        <v>0</v>
      </c>
      <c r="JH123" s="410">
        <f t="shared" si="102"/>
        <v>0</v>
      </c>
      <c r="JI123" s="405"/>
      <c r="JJ123" s="409"/>
      <c r="JK123" s="420" t="str">
        <f t="shared" si="60"/>
        <v xml:space="preserve"> - </v>
      </c>
      <c r="JL123" s="409"/>
      <c r="JM123" s="411">
        <f>IF(JL123=0,0,IF($LB123=70%,VLOOKUP($JK123,'Jan-2026 rates'!$L:$R,4,0),IF($LB123=65%,VLOOKUP($JK123,'Jan-2026 rates'!$L:$R,4,0),IF($LB123=40%,VLOOKUP($JK123,'Jan-2026 rates'!$L:$R,5,0),IF($LB123=30%,VLOOKUP($JK123,'Jan-2026 rates'!$L:$R,6,0),IF($LB123=100%,VLOOKUP($JK123,'Jan-2026 rates'!$L:$R,7,0),IF($LB123=60%,VLOOKUP($JK123,'Jan-2026 rates'!$L:$S,8,0),IF($LB123=80%,VLOOKUP($JK123,'Jan-2026 rates'!L:T,9,0),0))))))))</f>
        <v>0</v>
      </c>
      <c r="JN123" s="412"/>
      <c r="JO123" s="409"/>
      <c r="JP123" s="411">
        <f>IF(JO123=0,0,IF($LB123=70%,VLOOKUP($JK123,'Jan-2026 rates'!$L:$R,4,0),IF($LB123=65%,VLOOKUP($JK123,'Jan-2026 rates'!$L:$R,4,0),IF($LB123=40%,VLOOKUP($JK123,'Jan-2026 rates'!$L:$R,5,0),IF($LB123=30%,VLOOKUP($JK123,'Jan-2026 rates'!$L:$R,6,0),IF($LB123=100%,VLOOKUP($JK123,'Jan-2026 rates'!$L:$R,7,0),IF($LB123=60%,VLOOKUP($JK123,'Jan-2026 rates'!$L:$S,8,0),IF($LB123=80%,VLOOKUP($JK123,'Jan-2026 rates'!L:T,9,0),0))))))))</f>
        <v>0</v>
      </c>
      <c r="JQ123" s="413"/>
      <c r="JR123" s="412"/>
      <c r="JS123" s="413"/>
      <c r="JT123" s="413"/>
      <c r="JU123" s="412"/>
      <c r="JV123" s="412"/>
      <c r="JW123" s="412"/>
      <c r="JX123" s="412"/>
      <c r="JY123" s="409"/>
      <c r="JZ123" s="398">
        <f>IF(JY123=0,0,IF(LEN(JQ123)=11,_xlfn.XLOOKUP(JQ123,'Dispensed Ink Rates'!C:C,'Dispensed Ink Rates'!CS:CS),VLOOKUP(JQ123,'Jan-2026 rates'!$E:$F,2,0)))</f>
        <v>0</v>
      </c>
      <c r="KA123" s="409"/>
      <c r="KB123" s="398">
        <f>IF(KA123=0,0,IF(LEN(JR123)=11,_xlfn.XLOOKUP(JR123,'Dispensed Ink Rates'!C:C,'Dispensed Ink Rates'!CS:CS),VLOOKUP(JR123,'Jan-2026 rates'!$E:$F,2,0)))</f>
        <v>0</v>
      </c>
      <c r="KC123" s="409"/>
      <c r="KD123" s="398">
        <f>IF(KC123=0,0,IF(LEN(JS123)=11,_xlfn.XLOOKUP(JS123,'Dispensed Ink Rates'!C:C,'Dispensed Ink Rates'!CS:CS),VLOOKUP(JS123,'Jan-2026 rates'!$E:$F,2,0)))</f>
        <v>0</v>
      </c>
      <c r="KE123" s="409"/>
      <c r="KF123" s="398">
        <f>IF(KE123=0,0,IF(LEN(JT123)=11,_xlfn.XLOOKUP(JT123,'Dispensed Ink Rates'!C:C,'Dispensed Ink Rates'!CS:CS),VLOOKUP(JT123,'Jan-2026 rates'!$E:$F,2,0)))</f>
        <v>0</v>
      </c>
      <c r="KG123" s="409"/>
      <c r="KH123" s="398">
        <f>IF(KG123=0,0,IF(LEN(JU123)=11,_xlfn.XLOOKUP(JU123,'Dispensed Ink Rates'!C:C,'Dispensed Ink Rates'!CS:CS),VLOOKUP(JU123,'Jan-2026 rates'!$E:$F,2,0)))</f>
        <v>0</v>
      </c>
      <c r="KI123" s="409"/>
      <c r="KJ123" s="398">
        <f>IF(KI123=0,0,IF(LEN(JV123)=11,_xlfn.XLOOKUP(JV123,'Dispensed Ink Rates'!C:C,'Dispensed Ink Rates'!CS:CS),VLOOKUP(JV123,'Jan-2026 rates'!$E:$F,2,0)))</f>
        <v>0</v>
      </c>
      <c r="KK123" s="409"/>
      <c r="KL123" s="398">
        <f>IF(KK123=0,0,IF(LEN(JW123)=11,_xlfn.XLOOKUP(JW123,'Dispensed Ink Rates'!C:C,'Dispensed Ink Rates'!CS:CS),VLOOKUP(JW123,'Jan-2026 rates'!$E:$F,2,0)))</f>
        <v>0</v>
      </c>
      <c r="KM123" s="428"/>
      <c r="KN123" s="398">
        <f>IF(KM123=0,0,IF(LEN(JX123)=11,_xlfn.XLOOKUP(JX123,'Dispensed Ink Rates'!C:C,'Dispensed Ink Rates'!CS:CS),VLOOKUP(JX123,'Jan-2026 rates'!$E:$F,2,0)))</f>
        <v>0</v>
      </c>
      <c r="KO123" s="409"/>
      <c r="KP123" s="409"/>
      <c r="KQ123" s="411">
        <f t="shared" si="103"/>
        <v>0</v>
      </c>
      <c r="KR123" s="411">
        <f t="shared" si="104"/>
        <v>0</v>
      </c>
      <c r="KS123" s="410">
        <f t="shared" si="105"/>
        <v>0</v>
      </c>
      <c r="KT123" s="409">
        <v>5</v>
      </c>
      <c r="KU123" s="409">
        <v>10</v>
      </c>
      <c r="KV123" s="409">
        <v>16</v>
      </c>
      <c r="KW123" s="409">
        <v>4</v>
      </c>
      <c r="KX123" s="409">
        <v>6</v>
      </c>
      <c r="KY123" s="409">
        <f>60+60</f>
        <v>120</v>
      </c>
      <c r="KZ123" s="409">
        <v>0</v>
      </c>
      <c r="LA123" s="409">
        <v>0</v>
      </c>
      <c r="LB123" s="415">
        <v>0.8</v>
      </c>
      <c r="LC123" s="415">
        <v>0.2</v>
      </c>
      <c r="LD123" s="415"/>
      <c r="LE123" s="415"/>
      <c r="LF123" s="415"/>
      <c r="LG123" s="409">
        <v>0</v>
      </c>
      <c r="LH123" s="409">
        <f>120+50+80+20+6</f>
        <v>276</v>
      </c>
      <c r="LI123" s="409">
        <v>0</v>
      </c>
      <c r="LJ123" s="409">
        <v>0</v>
      </c>
      <c r="LK123" s="416">
        <f t="shared" si="61"/>
        <v>276</v>
      </c>
      <c r="LL123" s="416">
        <f t="shared" si="62"/>
        <v>276</v>
      </c>
      <c r="LM123" s="417">
        <f t="shared" si="63"/>
        <v>220.8</v>
      </c>
      <c r="LN123" s="417">
        <f>VLOOKUP($LM$8,'Jan-2026 rates'!$H:$I,2,0)</f>
        <v>0</v>
      </c>
      <c r="LO123" s="417">
        <f t="shared" si="64"/>
        <v>55.2</v>
      </c>
      <c r="LP123" s="417">
        <f>VLOOKUP($LO$8,'Jan-2026 rates'!$H:$I,2,0)</f>
        <v>0</v>
      </c>
      <c r="LQ123" s="417">
        <f t="shared" si="65"/>
        <v>0</v>
      </c>
      <c r="LR123" s="417">
        <f>VLOOKUP($LQ$8,'Jan-2026 rates'!$H:$I,2,0)</f>
        <v>0</v>
      </c>
      <c r="LS123" s="417">
        <f t="shared" si="66"/>
        <v>0</v>
      </c>
      <c r="LT123" s="417">
        <f>VLOOKUP($LS$8,'Jan-2026 rates'!$H:$I,2,0)</f>
        <v>0</v>
      </c>
      <c r="LU123" s="417">
        <f t="shared" si="67"/>
        <v>0</v>
      </c>
      <c r="LV123" s="417">
        <f>VLOOKUP($LU$8,'Jan-2026 rates'!$H:$I,2,0)</f>
        <v>0</v>
      </c>
      <c r="LW123" s="417">
        <f t="shared" si="68"/>
        <v>0</v>
      </c>
      <c r="LX123" s="417">
        <f t="shared" si="69"/>
        <v>0</v>
      </c>
      <c r="LY123" s="418">
        <f t="shared" si="70"/>
        <v>0</v>
      </c>
      <c r="LZ123" s="417"/>
      <c r="MA123" s="435">
        <f t="shared" si="71"/>
        <v>268</v>
      </c>
      <c r="MB123" s="282">
        <f t="shared" si="72"/>
        <v>543</v>
      </c>
      <c r="MC123" s="283">
        <v>78</v>
      </c>
      <c r="MD123" s="284" t="str">
        <f t="shared" si="73"/>
        <v>FLINTSLFLINTSLFLINTSLFLINTSLFLINTSLFLINTSL</v>
      </c>
      <c r="ME123" s="293" t="str">
        <f t="shared" si="74"/>
        <v>+</v>
      </c>
      <c r="MF123" s="293" t="str">
        <f t="shared" si="75"/>
        <v>+</v>
      </c>
      <c r="MG123" s="293" t="str">
        <f t="shared" si="76"/>
        <v>+</v>
      </c>
      <c r="MH123" s="293" t="str">
        <f t="shared" si="77"/>
        <v>+</v>
      </c>
      <c r="MI123" s="293" t="str">
        <f t="shared" si="78"/>
        <v>+</v>
      </c>
      <c r="MJ123" s="293" t="str">
        <f t="shared" si="79"/>
        <v>+</v>
      </c>
      <c r="MK123" s="293" t="str">
        <f t="shared" si="80"/>
        <v>NIL</v>
      </c>
      <c r="ML123" s="293" t="str">
        <f t="shared" si="81"/>
        <v>NIL</v>
      </c>
      <c r="MM123" s="3" t="b">
        <f t="array" ref="MM123">OR(ME123:ML123="-")</f>
        <v>0</v>
      </c>
      <c r="MN123" s="285"/>
      <c r="MO123" s="401"/>
      <c r="MP123" s="286"/>
      <c r="MQ123" s="286"/>
      <c r="MR123" s="402"/>
      <c r="MS123" s="400"/>
      <c r="NH123" s="422"/>
      <c r="NJ123" s="421"/>
    </row>
    <row r="124" spans="1:374" s="1" customFormat="1" ht="16.5">
      <c r="A124" s="403">
        <v>46034</v>
      </c>
      <c r="B124" s="404" t="s">
        <v>1015</v>
      </c>
      <c r="C124" s="405" t="s">
        <v>3322</v>
      </c>
      <c r="D124" s="406">
        <v>79</v>
      </c>
      <c r="E124" s="404">
        <v>849</v>
      </c>
      <c r="F124" s="407">
        <v>43400</v>
      </c>
      <c r="G124" s="407" t="s">
        <v>1019</v>
      </c>
      <c r="H124" s="408" t="s">
        <v>1017</v>
      </c>
      <c r="I124" s="409">
        <v>2</v>
      </c>
      <c r="J124" s="405" t="s">
        <v>543</v>
      </c>
      <c r="K124" s="404" t="s">
        <v>3323</v>
      </c>
      <c r="L124" s="419" t="str">
        <f t="shared" si="54"/>
        <v>FLINTSL - BLACK</v>
      </c>
      <c r="M124" s="404">
        <v>29</v>
      </c>
      <c r="N124" s="410">
        <f>IF(M124=0,0,IF($LB124=70%,VLOOKUP($L124,'Jan-2026 rates'!$L:$R,4,0),IF($LB124=65%,VLOOKUP($L124,'Jan-2026 rates'!$L:$R,4,0),IF($LB124=40%,VLOOKUP($L124,'Jan-2026 rates'!$L:$R,5,0),IF($LB124=30%,VLOOKUP($L124,'Jan-2026 rates'!$L:$R,6,0),IF($LB124=100%,VLOOKUP($L124,'Jan-2026 rates'!$L:$R,7,0),IF($LB124=60%,VLOOKUP($L124,'Jan-2026 rates'!$L:$S,8,0),IF($LB124=80%,VLOOKUP($L124,'Jan-2026 rates'!L:T,9,0),0))))))))</f>
        <v>0</v>
      </c>
      <c r="O124" s="406"/>
      <c r="P124" s="404"/>
      <c r="Q124" s="410">
        <f>IF(P124=0,0,IF($LB124=70%,VLOOKUP($L124,'Jan-2026 rates'!$L:$R,4,0),IF($LB124=65%,VLOOKUP($L124,'Jan-2026 rates'!$L:$R,4,0),IF($LB124=40%,VLOOKUP($L124,'Jan-2026 rates'!$L:$R,5,0),IF($LB124=30%,VLOOKUP($L124,'Jan-2026 rates'!$L:$R,6,0),IF($LB124=100%,VLOOKUP($L124,'Jan-2026 rates'!$L:$R,7,0),IF($LB124=60%,VLOOKUP($L124,'Jan-2026 rates'!$L:$S,8,0),IF($LB124=80%,VLOOKUP($L124,'Jan-2026 rates'!L:T,9,0),0))))))))</f>
        <v>0</v>
      </c>
      <c r="R124" s="406">
        <v>26513000022</v>
      </c>
      <c r="S124" s="406" t="s">
        <v>1267</v>
      </c>
      <c r="T124" s="406"/>
      <c r="U124" s="406"/>
      <c r="V124" s="406"/>
      <c r="W124" s="406"/>
      <c r="X124" s="406"/>
      <c r="Y124" s="406"/>
      <c r="Z124" s="404">
        <v>2</v>
      </c>
      <c r="AA124" s="398" t="e">
        <f>IF(Z124=0,0,IF(LEN(R124)=11,_xlfn.XLOOKUP(R124,'Dispensed Ink Rates'!C:C,'Dispensed Ink Rates'!CS:CS),VLOOKUP(R124,'Jan-2026 rates'!$E:$F,2,0)))</f>
        <v>#N/A</v>
      </c>
      <c r="AB124" s="404">
        <v>10</v>
      </c>
      <c r="AC124" s="398">
        <f>IF(AB124=0,0,IF(LEN(S124)=11,_xlfn.XLOOKUP(S124,'Dispensed Ink Rates'!C:C,'Dispensed Ink Rates'!CS:CS),VLOOKUP(S124,'Jan-2026 rates'!$E:$F,2,0)))</f>
        <v>0</v>
      </c>
      <c r="AD124" s="404"/>
      <c r="AE124" s="398">
        <f>IF(AD124=0,0,IF(LEN(T124)=11,_xlfn.XLOOKUP(T124,'Dispensed Ink Rates'!C:C,'Dispensed Ink Rates'!CS:CS),VLOOKUP(T124,'Jan-2026 rates'!$E:$F,2,0)))</f>
        <v>0</v>
      </c>
      <c r="AF124" s="404"/>
      <c r="AG124" s="398">
        <f>IF(AF124=0,0,IF(LEN(U124)=11,_xlfn.XLOOKUP(U124,'Dispensed Ink Rates'!C:C,'Dispensed Ink Rates'!CS:CS),VLOOKUP(U124,'Jan-2026 rates'!$E:$F,2,0)))</f>
        <v>0</v>
      </c>
      <c r="AH124" s="404"/>
      <c r="AI124" s="398">
        <f>IF(AH124=0,0,IF(LEN(V124)=11,_xlfn.XLOOKUP(V124,'Dispensed Ink Rates'!C:C,'Dispensed Ink Rates'!CS:CS),VLOOKUP(V124,'Jan-2026 rates'!$E:$F,2,0)))</f>
        <v>0</v>
      </c>
      <c r="AJ124" s="404"/>
      <c r="AK124" s="398">
        <f>IF(AJ124=0,0,IF(LEN(W124)=11,_xlfn.XLOOKUP(W124,'Dispensed Ink Rates'!C:C,'Dispensed Ink Rates'!CS:CS),VLOOKUP(W124,'Jan-2026 rates'!$E:$F,2,0)))</f>
        <v>0</v>
      </c>
      <c r="AL124" s="404"/>
      <c r="AM124" s="398">
        <f>IF(AL124=0,0,IF(LEN(X124)=11,_xlfn.XLOOKUP(X124,'Dispensed Ink Rates'!C:C,'Dispensed Ink Rates'!CS:CS),VLOOKUP(X124,'Jan-2026 rates'!$E:$F,2,0)))</f>
        <v>0</v>
      </c>
      <c r="AN124" s="404"/>
      <c r="AO124" s="398">
        <f>IF(AN124=0,0,IF(LEN(Y124)=11,_xlfn.XLOOKUP(Y124,'Dispensed Ink Rates'!C:C,'Dispensed Ink Rates'!CS:CS),VLOOKUP(Y124,'Jan-2026 rates'!$E:$F,2,0)))</f>
        <v>0</v>
      </c>
      <c r="AP124" s="409" t="s">
        <v>1443</v>
      </c>
      <c r="AQ124" s="409">
        <v>28</v>
      </c>
      <c r="AR124" s="410">
        <f t="shared" si="82"/>
        <v>0</v>
      </c>
      <c r="AS124" s="411">
        <f t="shared" si="83"/>
        <v>19.699248120300751</v>
      </c>
      <c r="AT124" s="410">
        <f t="shared" si="84"/>
        <v>0</v>
      </c>
      <c r="AU124" s="405" t="s">
        <v>857</v>
      </c>
      <c r="AV124" s="409"/>
      <c r="AW124" s="420" t="str">
        <f t="shared" si="53"/>
        <v>FLINTSL - RED</v>
      </c>
      <c r="AX124" s="409"/>
      <c r="AY124" s="411">
        <f>IF(AX124=0,0,IF($LB124=70%,VLOOKUP($AW124,'Jan-2026 rates'!$L:$R,4,0),IF($LB124=65%,VLOOKUP($AW124,'Jan-2026 rates'!$L:$R,4,0),IF($LB124=40%,VLOOKUP($AW124,'Jan-2026 rates'!$L:$R,5,0),IF($LB124=30%,VLOOKUP($AW124,'Jan-2026 rates'!$L:$R,6,0),IF($LB124=100%,VLOOKUP($AW124,'Jan-2026 rates'!$L:$R,7,0),IF($LB124=60%,VLOOKUP($AW124,'Jan-2026 rates'!$L:$S,8,0),IF($LB124=80%,VLOOKUP($AW124,'Jan-2026 rates'!L:T,9,0),0))))))))</f>
        <v>0</v>
      </c>
      <c r="AZ124" s="412"/>
      <c r="BA124" s="409"/>
      <c r="BB124" s="411">
        <f>IF(BA124=0,0,IF($LB124=70%,VLOOKUP($AW124,'Jan-2026 rates'!$L:$R,4,0),IF($LB124=65%,VLOOKUP($AW124,'Jan-2026 rates'!$L:$R,4,0),IF($LB124=40%,VLOOKUP($AW124,'Jan-2026 rates'!$L:$R,5,0),IF($LB124=30%,VLOOKUP($AW124,'Jan-2026 rates'!$L:$R,6,0),IF($LB124=100%,VLOOKUP($AW124,'Jan-2026 rates'!$L:$R,7,0),IF($LB124=60%,VLOOKUP($AW124,'Jan-2026 rates'!$L:$S,8,0),IF($LB124=80%,VLOOKUP($AW124,'Jan-2026 rates'!L:T,9,0),0))))))))</f>
        <v>0</v>
      </c>
      <c r="BC124" s="413">
        <v>26508000001</v>
      </c>
      <c r="BD124" s="412">
        <v>26512000010</v>
      </c>
      <c r="BE124" s="412">
        <v>26512000004</v>
      </c>
      <c r="BF124" s="413">
        <v>26512000003</v>
      </c>
      <c r="BG124" s="412"/>
      <c r="BH124" s="412"/>
      <c r="BI124" s="412"/>
      <c r="BJ124" s="412"/>
      <c r="BK124" s="409">
        <v>10</v>
      </c>
      <c r="BL124" s="398" t="e">
        <f>IF(BK124=0,0,IF(LEN(BC124)=11,_xlfn.XLOOKUP(BC124,'Dispensed Ink Rates'!C:C,'Dispensed Ink Rates'!CS:CS),VLOOKUP(BC124,'Jan-2026 rates'!$E:$F,2,0)))</f>
        <v>#N/A</v>
      </c>
      <c r="BM124" s="409">
        <v>20</v>
      </c>
      <c r="BN124" s="398" t="e">
        <f>IF(BM124=0,0,IF(LEN(BD124)=11,_xlfn.XLOOKUP(BD124,'Dispensed Ink Rates'!C:C,'Dispensed Ink Rates'!CS:CS),VLOOKUP(BD124,'Jan-2026 rates'!$E:$F,2,0)))</f>
        <v>#N/A</v>
      </c>
      <c r="BO124" s="409">
        <v>40</v>
      </c>
      <c r="BP124" s="398" t="e">
        <f>IF(BO124=0,0,IF(LEN(BE124)=11,_xlfn.XLOOKUP(BE124,'Dispensed Ink Rates'!C:C,'Dispensed Ink Rates'!CS:CS),VLOOKUP(BE124,'Jan-2026 rates'!$E:$F,2,0)))</f>
        <v>#N/A</v>
      </c>
      <c r="BQ124" s="409">
        <v>20</v>
      </c>
      <c r="BR124" s="398" t="e">
        <f>IF(BQ124=0,0,IF(LEN(BF124)=11,_xlfn.XLOOKUP(BF124,'Dispensed Ink Rates'!C:C,'Dispensed Ink Rates'!CS:CS),VLOOKUP(BF124,'Jan-2026 rates'!$E:$F,2,0)))</f>
        <v>#N/A</v>
      </c>
      <c r="BS124" s="409"/>
      <c r="BT124" s="398">
        <f>IF(BS124=0,0,IF(LEN(BG124)=11,_xlfn.XLOOKUP(BG124,'Dispensed Ink Rates'!C:C,'Dispensed Ink Rates'!CS:CS),VLOOKUP(BG124,'Jan-2026 rates'!$E:$F,2,0)))</f>
        <v>0</v>
      </c>
      <c r="BU124" s="409"/>
      <c r="BV124" s="398">
        <f>IF(BU124=0,0,IF(LEN(BH124)=11,_xlfn.XLOOKUP(BH124,'Dispensed Ink Rates'!C:C,'Dispensed Ink Rates'!CS:CS),VLOOKUP(BH124,'Jan-2026 rates'!$E:$F,2,0)))</f>
        <v>0</v>
      </c>
      <c r="BW124" s="409"/>
      <c r="BX124" s="398">
        <f>IF(BW124=0,0,IF(LEN(BI124)=11,_xlfn.XLOOKUP(BI124,'Dispensed Ink Rates'!C:C,'Dispensed Ink Rates'!CS:CS),VLOOKUP(BI124,'Jan-2026 rates'!$E:$F,2,0)))</f>
        <v>0</v>
      </c>
      <c r="BY124" s="409"/>
      <c r="BZ124" s="398">
        <f>IF(BY124=0,0,IF(LEN(BJ124)=11,_xlfn.XLOOKUP(BJ124,'Dispensed Ink Rates'!C:C,'Dispensed Ink Rates'!CS:CS),VLOOKUP(BJ124,'Jan-2026 rates'!$E:$F,2,0)))</f>
        <v>0</v>
      </c>
      <c r="CA124" s="409" t="s">
        <v>1443</v>
      </c>
      <c r="CB124" s="409">
        <v>35</v>
      </c>
      <c r="CC124" s="411">
        <f t="shared" si="85"/>
        <v>0</v>
      </c>
      <c r="CD124" s="411">
        <f t="shared" si="86"/>
        <v>110.82706766917292</v>
      </c>
      <c r="CE124" s="410">
        <f t="shared" si="87"/>
        <v>0</v>
      </c>
      <c r="CF124" s="404" t="s">
        <v>857</v>
      </c>
      <c r="CG124" s="409"/>
      <c r="CH124" s="420" t="str">
        <f t="shared" si="55"/>
        <v>FLINTSL - RED</v>
      </c>
      <c r="CI124" s="409"/>
      <c r="CJ124" s="411">
        <f>IF(CI124=0,0,IF($LB124=70%,VLOOKUP($CH124,'Jan-2026 rates'!$L:$R,4,0),IF($LB124=65%,VLOOKUP($CH124,'Jan-2026 rates'!$L:$R,4,0),IF($LB124=40%,VLOOKUP($CH124,'Jan-2026 rates'!$L:$R,5,0),IF($LB124=30%,VLOOKUP($CH124,'Jan-2026 rates'!$L:$R,6,0),IF($LB124=100%,VLOOKUP($CH124,'Jan-2026 rates'!$L:$R,7,0),IF($LB124=60%,VLOOKUP($CH124,'Jan-2026 rates'!$L:$S,8,0),IF($LB124=80%,VLOOKUP($CH124,'Jan-2026 rates'!L:T,9,0),0))))))))</f>
        <v>0</v>
      </c>
      <c r="CK124" s="412"/>
      <c r="CL124" s="409"/>
      <c r="CM124" s="411">
        <f>IF(CL124=0,0,IF($LB124=70%,VLOOKUP($CH124,'Jan-2026 rates'!$L:$R,4,0),IF($LB124=65%,VLOOKUP($CH124,'Jan-2026 rates'!$L:$R,4,0),IF($LB124=40%,VLOOKUP($CH124,'Jan-2026 rates'!$L:$R,5,0),IF($LB124=30%,VLOOKUP($CH124,'Jan-2026 rates'!$L:$R,6,0),IF($LB124=100%,VLOOKUP($CH124,'Jan-2026 rates'!$L:$R,7,0),IF($LB124=60%,VLOOKUP($CH124,'Jan-2026 rates'!$L:$S,8,0),IF($LB124=80%,VLOOKUP($CH124,'Jan-2026 rates'!L:T,9,0),0))))))))</f>
        <v>0</v>
      </c>
      <c r="CN124" s="426">
        <v>26512000006</v>
      </c>
      <c r="CO124" s="427">
        <v>26512000008</v>
      </c>
      <c r="CP124" s="426">
        <v>26512000010</v>
      </c>
      <c r="CQ124" s="426"/>
      <c r="CR124" s="428"/>
      <c r="CS124" s="428"/>
      <c r="CT124" s="428"/>
      <c r="CU124" s="428"/>
      <c r="CV124" s="409">
        <v>40</v>
      </c>
      <c r="CW124" s="398" t="e">
        <f>IF(CV124=0,0,IF(LEN(CN124)=11,_xlfn.XLOOKUP(CN124,'Dispensed Ink Rates'!C:C,'Dispensed Ink Rates'!CS:CS),VLOOKUP(CN124,'Jan-2026 rates'!$E:$F,2,0)))</f>
        <v>#N/A</v>
      </c>
      <c r="CX124" s="409">
        <v>8</v>
      </c>
      <c r="CY124" s="398" t="e">
        <f>IF(CX124=0,0,IF(LEN(CO124)=11,_xlfn.XLOOKUP(CO124,'Dispensed Ink Rates'!C:C,'Dispensed Ink Rates'!CS:CS),VLOOKUP(CO124,'Jan-2026 rates'!$E:$F,2,0)))</f>
        <v>#N/A</v>
      </c>
      <c r="CZ124" s="409">
        <v>16</v>
      </c>
      <c r="DA124" s="398" t="e">
        <f>IF(CZ124=0,0,IF(LEN(CP124)=11,_xlfn.XLOOKUP(CP124,'Dispensed Ink Rates'!C:C,'Dispensed Ink Rates'!CS:CS),VLOOKUP(CP124,'Jan-2026 rates'!$E:$F,2,0)))</f>
        <v>#N/A</v>
      </c>
      <c r="DB124" s="409"/>
      <c r="DC124" s="398">
        <f>IF(DB124=0,0,IF(LEN(CQ124)=11,_xlfn.XLOOKUP(CQ124,'Dispensed Ink Rates'!C:C,'Dispensed Ink Rates'!CS:CS),VLOOKUP(CQ124,'Jan-2026 rates'!$E:$F,2,0)))</f>
        <v>0</v>
      </c>
      <c r="DD124" s="409"/>
      <c r="DE124" s="398">
        <f>IF(DD124=0,0,IF(LEN(CR124)=11,_xlfn.XLOOKUP(CR124,'Dispensed Ink Rates'!C:C,'Dispensed Ink Rates'!CS:CS),VLOOKUP(CR124,'Jan-2026 rates'!$E:$F,2,0)))</f>
        <v>0</v>
      </c>
      <c r="DF124" s="409"/>
      <c r="DG124" s="398">
        <f>IF(DF124=0,0,IF(LEN(CS124)=11,_xlfn.XLOOKUP(CS124,'Dispensed Ink Rates'!C:C,'Dispensed Ink Rates'!CS:CS),VLOOKUP(CS124,'Jan-2026 rates'!$E:$F,2,0)))</f>
        <v>0</v>
      </c>
      <c r="DH124" s="409"/>
      <c r="DI124" s="398">
        <f>IF(DH124=0,0,IF(LEN(CT124)=11,_xlfn.XLOOKUP(CT124,'Dispensed Ink Rates'!C:C,'Dispensed Ink Rates'!CS:CS),VLOOKUP(CT124,'Jan-2026 rates'!$E:$F,2,0)))</f>
        <v>0</v>
      </c>
      <c r="DJ124" s="409"/>
      <c r="DK124" s="398">
        <f>IF(DJ124=0,0,IF(LEN(CU124)=11,_xlfn.XLOOKUP(CU124,'Dispensed Ink Rates'!C:C,'Dispensed Ink Rates'!CS:CS),VLOOKUP(CU124,'Jan-2026 rates'!$E:$F,2,0)))</f>
        <v>0</v>
      </c>
      <c r="DL124" s="409" t="s">
        <v>1443</v>
      </c>
      <c r="DM124" s="409">
        <v>36</v>
      </c>
      <c r="DN124" s="411">
        <f t="shared" si="88"/>
        <v>0</v>
      </c>
      <c r="DO124" s="411">
        <f t="shared" si="89"/>
        <v>45.864661654135332</v>
      </c>
      <c r="DP124" s="410">
        <f t="shared" si="90"/>
        <v>0</v>
      </c>
      <c r="DQ124" s="405" t="s">
        <v>857</v>
      </c>
      <c r="DR124" s="409"/>
      <c r="DS124" s="420" t="str">
        <f t="shared" si="56"/>
        <v>FLINTSL - RED</v>
      </c>
      <c r="DT124" s="409"/>
      <c r="DU124" s="411">
        <f>IF(DT124=0,0,IF($LB124=70%,VLOOKUP($DS124,'Jan-2026 rates'!$L:$R,4,0),IF($LB124=65%,VLOOKUP($DS124,'Jan-2026 rates'!$L:$R,4,0),IF($LB124=40%,VLOOKUP($DS124,'Jan-2026 rates'!$L:$R,5,0),IF($LB124=30%,VLOOKUP($DS124,'Jan-2026 rates'!$L:$R,6,0),IF($LB124=100%,VLOOKUP($DS124,'Jan-2026 rates'!$L:$R,7,0),IF($LB124=60%,VLOOKUP($DS124,'Jan-2026 rates'!$L:$S,8,0),IF($LB124=80%,VLOOKUP($DS124,'Jan-2026 rates'!L:T,9,0),0))))))))</f>
        <v>0</v>
      </c>
      <c r="DV124" s="412"/>
      <c r="DW124" s="409"/>
      <c r="DX124" s="411">
        <f>IF(DW124=0,0,IF($LB124=70%,VLOOKUP($DS124,'Jan-2026 rates'!$L:$R,4,0),IF($LB124=65%,VLOOKUP($DS124,'Jan-2026 rates'!$L:$R,4,0),IF($LB124=40%,VLOOKUP($DS124,'Jan-2026 rates'!$L:$R,5,0),IF($LB124=30%,VLOOKUP($DS124,'Jan-2026 rates'!$L:$R,6,0),IF($LB124=100%,VLOOKUP($DS124,'Jan-2026 rates'!$L:$R,7,0),IF($LB124=60%,VLOOKUP($DS124,'Jan-2026 rates'!$L:$S,8,0),IF($LB124=80%,VLOOKUP($DS124,'Jan-2026 rates'!L:T,9,0),0))))))))</f>
        <v>0</v>
      </c>
      <c r="DY124" s="413">
        <v>26512000005</v>
      </c>
      <c r="DZ124" s="413">
        <v>26512000010</v>
      </c>
      <c r="EA124" s="412">
        <v>26505000028</v>
      </c>
      <c r="EB124" s="412"/>
      <c r="EC124" s="412"/>
      <c r="ED124" s="412"/>
      <c r="EE124" s="412"/>
      <c r="EF124" s="412"/>
      <c r="EG124" s="409">
        <v>40</v>
      </c>
      <c r="EH124" s="398" t="e">
        <f>IF(EG124=0,0,IF(LEN(DY124)=11,_xlfn.XLOOKUP(DY124,'Dispensed Ink Rates'!C:C,'Dispensed Ink Rates'!CS:CS),VLOOKUP(DY124,'Jan-2026 rates'!$E:$F,2,0)))</f>
        <v>#N/A</v>
      </c>
      <c r="EI124" s="409">
        <v>5</v>
      </c>
      <c r="EJ124" s="398" t="e">
        <f>IF(EI124=0,0,IF(LEN(DZ124)=11,_xlfn.XLOOKUP(DZ124,'Dispensed Ink Rates'!C:C,'Dispensed Ink Rates'!CS:CS),VLOOKUP(DZ124,'Jan-2026 rates'!$E:$F,2,0)))</f>
        <v>#N/A</v>
      </c>
      <c r="EK124" s="409">
        <f>3+3</f>
        <v>6</v>
      </c>
      <c r="EL124" s="398" t="e">
        <f>IF(EK124=0,0,IF(LEN(EA124)=11,_xlfn.XLOOKUP(EA124,'Dispensed Ink Rates'!C:C,'Dispensed Ink Rates'!CS:CS),VLOOKUP(EA124,'Jan-2026 rates'!$E:$F,2,0)))</f>
        <v>#N/A</v>
      </c>
      <c r="EM124" s="409"/>
      <c r="EN124" s="398">
        <f>IF(EM124=0,0,IF(LEN(EB124)=11,_xlfn.XLOOKUP(EB124,'Dispensed Ink Rates'!C:C,'Dispensed Ink Rates'!CS:CS),VLOOKUP(EB124,'Jan-2026 rates'!$E:$F,2,0)))</f>
        <v>0</v>
      </c>
      <c r="EO124" s="409"/>
      <c r="EP124" s="398">
        <f>IF(EO124=0,0,IF(LEN(EC124)=11,_xlfn.XLOOKUP(EC124,'Dispensed Ink Rates'!C:C,'Dispensed Ink Rates'!CS:CS),VLOOKUP(EC124,'Jan-2026 rates'!$E:$F,2,0)))</f>
        <v>0</v>
      </c>
      <c r="EQ124" s="409"/>
      <c r="ER124" s="398">
        <f>IF(EQ124=0,0,IF(LEN(ED124)=11,_xlfn.XLOOKUP(ED124,'Dispensed Ink Rates'!C:C,'Dispensed Ink Rates'!CS:CS),VLOOKUP(ED124,'Jan-2026 rates'!$E:$F,2,0)))</f>
        <v>0</v>
      </c>
      <c r="ES124" s="409"/>
      <c r="ET124" s="398">
        <f>IF(ES124=0,0,IF(LEN(EE124)=11,_xlfn.XLOOKUP(EE124,'Dispensed Ink Rates'!C:C,'Dispensed Ink Rates'!CS:CS),VLOOKUP(EE124,'Jan-2026 rates'!$E:$F,2,0)))</f>
        <v>0</v>
      </c>
      <c r="EU124" s="409"/>
      <c r="EV124" s="398">
        <f>IF(EU124=0,0,IF(LEN(EF124)=11,_xlfn.XLOOKUP(EF124,'Dispensed Ink Rates'!C:C,'Dispensed Ink Rates'!CS:CS),VLOOKUP(EF124,'Jan-2026 rates'!$E:$F,2,0)))</f>
        <v>0</v>
      </c>
      <c r="EW124" s="409" t="s">
        <v>1443</v>
      </c>
      <c r="EX124" s="409">
        <v>30</v>
      </c>
      <c r="EY124" s="411">
        <f t="shared" si="91"/>
        <v>0</v>
      </c>
      <c r="EZ124" s="411">
        <f t="shared" si="92"/>
        <v>32.165413533834588</v>
      </c>
      <c r="FA124" s="410">
        <f t="shared" si="93"/>
        <v>0</v>
      </c>
      <c r="FB124" s="405" t="s">
        <v>855</v>
      </c>
      <c r="FC124" s="409" t="s">
        <v>3324</v>
      </c>
      <c r="FD124" s="420" t="str">
        <f t="shared" si="57"/>
        <v>FLINTSL - CYAN</v>
      </c>
      <c r="FE124" s="409">
        <v>28</v>
      </c>
      <c r="FF124" s="411">
        <f>IF(FE124=0,0,IF($LB124=70%,VLOOKUP($FD124,'Jan-2026 rates'!$L:$R,4,0),IF($LB124=65%,VLOOKUP($FD124,'Jan-2026 rates'!$L:$R,4,0),IF($LB124=40%,VLOOKUP($FD124,'Jan-2026 rates'!$L:$R,5,0),IF($LB124=30%,VLOOKUP($FD124,'Jan-2026 rates'!$L:$R,6,0),IF($LB124=100%,VLOOKUP($FD124,'Jan-2026 rates'!$L:$R,7,0),IF($LB124=60%,VLOOKUP($FD124,'Jan-2026 rates'!$L:$S,8,0),IF($LB124=80%,VLOOKUP($FD124,'Jan-2026 rates'!L:T,9,0),0))))))))</f>
        <v>0</v>
      </c>
      <c r="FG124" s="412"/>
      <c r="FH124" s="409"/>
      <c r="FI124" s="411">
        <f>IF(FH124=0,0,IF($LB124=70%,VLOOKUP($FD124,'Jan-2026 rates'!$L:$R,4,0),IF($LB124=65%,VLOOKUP($FD124,'Jan-2026 rates'!$L:$R,4,0),IF($LB124=40%,VLOOKUP($FD124,'Jan-2026 rates'!$L:$R,5,0),IF($LB124=30%,VLOOKUP($FD124,'Jan-2026 rates'!$L:$R,6,0),IF($LB124=100%,VLOOKUP($FD124,'Jan-2026 rates'!$L:$R,7,0),IF($LB124=60%,VLOOKUP($FD124,'Jan-2026 rates'!$L:$S,8,0),IF($LB124=80%,VLOOKUP($FD124,'Jan-2026 rates'!L:T,9,0),0))))))))</f>
        <v>0</v>
      </c>
      <c r="FJ124" s="413">
        <v>26506000002</v>
      </c>
      <c r="FK124" s="413"/>
      <c r="FL124" s="413"/>
      <c r="FM124" s="412"/>
      <c r="FN124" s="412"/>
      <c r="FO124" s="412"/>
      <c r="FP124" s="412"/>
      <c r="FQ124" s="412"/>
      <c r="FR124" s="409">
        <v>7</v>
      </c>
      <c r="FS124" s="398" t="e">
        <f>IF(FR124=0,0,IF(LEN(FJ124)=11,_xlfn.XLOOKUP(FJ124,'Dispensed Ink Rates'!C:C,'Dispensed Ink Rates'!CS:CS),VLOOKUP(FJ124,'Jan-2026 rates'!$E:$F,2,0)))</f>
        <v>#N/A</v>
      </c>
      <c r="FT124" s="409"/>
      <c r="FU124" s="398">
        <f>IF(FT124=0,0,IF(LEN(FK124)=11,_xlfn.XLOOKUP(FK124,'Dispensed Ink Rates'!C:C,'Dispensed Ink Rates'!CS:CS),VLOOKUP(FK124,'Jan-2026 rates'!$E:$F,2,0)))</f>
        <v>0</v>
      </c>
      <c r="FV124" s="409"/>
      <c r="FW124" s="398">
        <f>IF(FV124=0,0,IF(LEN(FL124)=11,_xlfn.XLOOKUP(FL124,'Dispensed Ink Rates'!C:C,'Dispensed Ink Rates'!CS:CS),VLOOKUP(FL124,'Jan-2026 rates'!$E:$F,2,0)))</f>
        <v>0</v>
      </c>
      <c r="FX124" s="409"/>
      <c r="FY124" s="398">
        <f>IF(FX124=0,0,IF(LEN(FM124)=11,_xlfn.XLOOKUP(FM124,'Dispensed Ink Rates'!C:C,'Dispensed Ink Rates'!CS:CS),VLOOKUP(FM124,'Jan-2026 rates'!$E:$F,2,0)))</f>
        <v>0</v>
      </c>
      <c r="FZ124" s="409"/>
      <c r="GA124" s="398">
        <f>IF(FZ124=0,0,IF(LEN(FN124)=11,_xlfn.XLOOKUP(FN124,'Dispensed Ink Rates'!C:C,'Dispensed Ink Rates'!CS:CS),VLOOKUP(FN124,'Jan-2026 rates'!$E:$F,2,0)))</f>
        <v>0</v>
      </c>
      <c r="GB124" s="409"/>
      <c r="GC124" s="398">
        <f>IF(GB124=0,0,IF(LEN(FO124)=11,_xlfn.XLOOKUP(FO124,'Dispensed Ink Rates'!C:C,'Dispensed Ink Rates'!CS:CS),VLOOKUP(FO124,'Jan-2026 rates'!$E:$F,2,0)))</f>
        <v>0</v>
      </c>
      <c r="GD124" s="409"/>
      <c r="GE124" s="398">
        <f>IF(GD124=0,0,IF(LEN(FP124)=11,_xlfn.XLOOKUP(FP124,'Dispensed Ink Rates'!C:C,'Dispensed Ink Rates'!CS:CS),VLOOKUP(FP124,'Jan-2026 rates'!$E:$F,2,0)))</f>
        <v>0</v>
      </c>
      <c r="GF124" s="409"/>
      <c r="GG124" s="398">
        <f>IF(GF124=0,0,IF(LEN(FQ124)=11,_xlfn.XLOOKUP(FQ124,'Dispensed Ink Rates'!C:C,'Dispensed Ink Rates'!CS:CS),VLOOKUP(FQ124,'Jan-2026 rates'!$E:$F,2,0)))</f>
        <v>0</v>
      </c>
      <c r="GH124" s="409" t="s">
        <v>1443</v>
      </c>
      <c r="GI124" s="409">
        <v>28</v>
      </c>
      <c r="GJ124" s="411">
        <f t="shared" si="94"/>
        <v>0</v>
      </c>
      <c r="GK124" s="411">
        <f t="shared" si="95"/>
        <v>20.398496240601503</v>
      </c>
      <c r="GL124" s="410">
        <f t="shared" si="96"/>
        <v>0</v>
      </c>
      <c r="GM124" s="405" t="s">
        <v>544</v>
      </c>
      <c r="GN124" s="409" t="s">
        <v>3325</v>
      </c>
      <c r="GO124" s="420" t="str">
        <f t="shared" si="58"/>
        <v>FLINTSL - MAGENTA</v>
      </c>
      <c r="GP124" s="409">
        <v>28</v>
      </c>
      <c r="GQ124" s="411">
        <f>IF(GP124=0,0,IF($LB124=70%,VLOOKUP($GO124,'Jan-2026 rates'!$L:$R,4,0),IF($LB124=65%,VLOOKUP($GO124,'Jan-2026 rates'!$L:$R,4,0),IF($LB124=40%,VLOOKUP($GO124,'Jan-2026 rates'!$L:$R,5,0),IF($LB124=30%,VLOOKUP($GO124,'Jan-2026 rates'!$L:$R,6,0),IF($LB124=100%,VLOOKUP($GO124,'Jan-2026 rates'!$L:$R,7,0),IF($LB124=60%,VLOOKUP($GO124,'Jan-2026 rates'!$L:$S,8,0),IF($LB124=80%,VLOOKUP($GO124,'Jan-2026 rates'!L:T,9,0),0))))))))</f>
        <v>0</v>
      </c>
      <c r="GR124" s="412"/>
      <c r="GS124" s="409"/>
      <c r="GT124" s="411">
        <f>IF(GS124=0,0,IF($LB124=70%,VLOOKUP($GO124,'Jan-2026 rates'!$L:$R,4,0),IF($LB124=65%,VLOOKUP($GO124,'Jan-2026 rates'!$L:$R,4,0),IF($LB124=40%,VLOOKUP($GO124,'Jan-2026 rates'!$L:$R,5,0),IF($LB124=30%,VLOOKUP($GO124,'Jan-2026 rates'!$L:$R,6,0),IF($LB124=100%,VLOOKUP($GO124,'Jan-2026 rates'!$L:$R,7,0),IF($LB124=60%,VLOOKUP($GO124,'Jan-2026 rates'!$L:$S,8,0),IF($LB124=80%,VLOOKUP($GO124,'Jan-2026 rates'!L:T,9,0),0))))))))</f>
        <v>0</v>
      </c>
      <c r="GU124" s="413">
        <v>26512000010</v>
      </c>
      <c r="GV124" s="413"/>
      <c r="GW124" s="412"/>
      <c r="GX124" s="412"/>
      <c r="GY124" s="412"/>
      <c r="GZ124" s="412"/>
      <c r="HA124" s="412"/>
      <c r="HB124" s="412"/>
      <c r="HC124" s="409">
        <v>5</v>
      </c>
      <c r="HD124" s="398" t="e">
        <f>IF(HC124=0,0,IF(LEN(GU124)=11,_xlfn.XLOOKUP(GU124,'Dispensed Ink Rates'!C:C,'Dispensed Ink Rates'!CS:CS),VLOOKUP(GU124,'Jan-2026 rates'!$E:$F,2,0)))</f>
        <v>#N/A</v>
      </c>
      <c r="HE124" s="409"/>
      <c r="HF124" s="398">
        <f>IF(HE124=0,0,IF(LEN(GV124)=11,_xlfn.XLOOKUP(GV124,'Dispensed Ink Rates'!C:C,'Dispensed Ink Rates'!CS:CS),VLOOKUP(GV124,'Jan-2026 rates'!$E:$F,2,0)))</f>
        <v>0</v>
      </c>
      <c r="HG124" s="409"/>
      <c r="HH124" s="398">
        <f>IF(HG124=0,0,IF(LEN(GW124)=11,_xlfn.XLOOKUP(GW124,'Dispensed Ink Rates'!C:C,'Dispensed Ink Rates'!CS:CS),VLOOKUP(GW124,'Jan-2026 rates'!$E:$F,2,0)))</f>
        <v>0</v>
      </c>
      <c r="HI124" s="409"/>
      <c r="HJ124" s="398">
        <f>IF(HI124=0,0,IF(LEN(GX124)=11,_xlfn.XLOOKUP(GX124,'Dispensed Ink Rates'!C:C,'Dispensed Ink Rates'!CS:CS),VLOOKUP(GX124,'Jan-2026 rates'!$E:$F,2,0)))</f>
        <v>0</v>
      </c>
      <c r="HK124" s="409"/>
      <c r="HL124" s="398">
        <f>IF(HK124=0,0,IF(LEN(GY124)=11,_xlfn.XLOOKUP(GY124,'Dispensed Ink Rates'!C:C,'Dispensed Ink Rates'!CS:CS),VLOOKUP(GY124,'Jan-2026 rates'!$E:$F,2,0)))</f>
        <v>0</v>
      </c>
      <c r="HM124" s="409"/>
      <c r="HN124" s="398">
        <f>IF(HM124=0,0,IF(LEN(GZ124)=11,_xlfn.XLOOKUP(GZ124,'Dispensed Ink Rates'!C:C,'Dispensed Ink Rates'!CS:CS),VLOOKUP(GZ124,'Jan-2026 rates'!$E:$F,2,0)))</f>
        <v>0</v>
      </c>
      <c r="HO124" s="409"/>
      <c r="HP124" s="398">
        <f>IF(HO124=0,0,IF(LEN(HA124)=11,_xlfn.XLOOKUP(HA124,'Dispensed Ink Rates'!C:C,'Dispensed Ink Rates'!CS:CS),VLOOKUP(HA124,'Jan-2026 rates'!$E:$F,2,0)))</f>
        <v>0</v>
      </c>
      <c r="HQ124" s="409"/>
      <c r="HR124" s="398">
        <f>IF(HQ124=0,0,IF(LEN(HB124)=11,_xlfn.XLOOKUP(HB124,'Dispensed Ink Rates'!C:C,'Dispensed Ink Rates'!CS:CS),VLOOKUP(HB124,'Jan-2026 rates'!$E:$F,2,0)))</f>
        <v>0</v>
      </c>
      <c r="HS124" s="409" t="s">
        <v>1443</v>
      </c>
      <c r="HT124" s="409">
        <v>28</v>
      </c>
      <c r="HU124" s="411">
        <f t="shared" si="97"/>
        <v>0</v>
      </c>
      <c r="HV124" s="411">
        <f t="shared" si="98"/>
        <v>18.398496240601503</v>
      </c>
      <c r="HW124" s="414">
        <f t="shared" si="99"/>
        <v>0</v>
      </c>
      <c r="HX124" s="405" t="s">
        <v>545</v>
      </c>
      <c r="HY124" s="409" t="s">
        <v>3326</v>
      </c>
      <c r="HZ124" s="420" t="str">
        <f t="shared" si="59"/>
        <v>FLINTSL - YELLOW</v>
      </c>
      <c r="IA124" s="409">
        <v>26</v>
      </c>
      <c r="IB124" s="411">
        <f>IF(IA124=0,0,IF($LB124=70%,VLOOKUP($HZ124,'Jan-2026 rates'!$L:$R,4,0),IF($LB124=65%,VLOOKUP($HZ124,'Jan-2026 rates'!$L:$R,4,0),IF($LB124=40%,VLOOKUP($HZ124,'Jan-2026 rates'!$L:$R,5,0),IF($LB124=30%,VLOOKUP($HZ124,'Jan-2026 rates'!$L:$R,6,0),IF($LB124=100%,VLOOKUP($HZ124,'Jan-2026 rates'!$L:$R,7,0),IF($LB124=60%,VLOOKUP($HZ124,'Jan-2026 rates'!$L:$S,8,0),IF($LB124=80%,VLOOKUP($HZ124,'Jan-2026 rates'!L:T,9,0),0))))))))</f>
        <v>0</v>
      </c>
      <c r="IC124" s="412"/>
      <c r="ID124" s="409"/>
      <c r="IE124" s="411">
        <f>IF(ID124=0,0,IF($LB124=70%,VLOOKUP($HZ124,'Jan-2026 rates'!$L:$R,4,0),IF($LB124=65%,VLOOKUP($HZ124,'Jan-2026 rates'!$L:$R,4,0),IF($LB124=40%,VLOOKUP($HZ124,'Jan-2026 rates'!$L:$R,5,0),IF($LB124=30%,VLOOKUP($HZ124,'Jan-2026 rates'!$L:$R,6,0),IF($LB124=100%,VLOOKUP($HZ124,'Jan-2026 rates'!$L:$R,7,0),IF($LB124=60%,VLOOKUP($HZ124,'Jan-2026 rates'!$L:$S,8,0),IF($LB124=80%,VLOOKUP($HZ124,'Jan-2026 rates'!L:T,9,0),0))))))))</f>
        <v>0</v>
      </c>
      <c r="IF124" s="412">
        <v>26506000002</v>
      </c>
      <c r="IG124" s="413">
        <v>26511000002</v>
      </c>
      <c r="IH124" s="412"/>
      <c r="II124" s="412"/>
      <c r="IJ124" s="412"/>
      <c r="IK124" s="412"/>
      <c r="IL124" s="412"/>
      <c r="IM124" s="412"/>
      <c r="IN124" s="409">
        <v>20</v>
      </c>
      <c r="IO124" s="398" t="e">
        <f>IF(IN124=0,0,IF(LEN(IF124)=11,_xlfn.XLOOKUP(IF124,'Dispensed Ink Rates'!C:C,'Dispensed Ink Rates'!CS:CS),VLOOKUP(IF124,'Jan-2026 rates'!$E:$F,2,0)))</f>
        <v>#N/A</v>
      </c>
      <c r="IP124" s="409">
        <v>10</v>
      </c>
      <c r="IQ124" s="398" t="e">
        <f>IF(IP124=0,0,IF(LEN(IG124)=11,_xlfn.XLOOKUP(IG124,'Dispensed Ink Rates'!C:C,'Dispensed Ink Rates'!CS:CS),VLOOKUP(IG124,'Jan-2026 rates'!$E:$F,2,0)))</f>
        <v>#N/A</v>
      </c>
      <c r="IR124" s="409"/>
      <c r="IS124" s="398">
        <f>IF(IR124=0,0,IF(LEN(IH124)=11,_xlfn.XLOOKUP(IH124,'Dispensed Ink Rates'!C:C,'Dispensed Ink Rates'!CS:CS),VLOOKUP(IH124,'Jan-2026 rates'!$E:$F,2,0)))</f>
        <v>0</v>
      </c>
      <c r="IT124" s="409"/>
      <c r="IU124" s="398">
        <f>IF(IT124=0,0,IF(LEN(II124)=11,_xlfn.XLOOKUP(II124,'Dispensed Ink Rates'!C:C,'Dispensed Ink Rates'!CS:CS),VLOOKUP(II124,'Jan-2026 rates'!$E:$F,2,0)))</f>
        <v>0</v>
      </c>
      <c r="IV124" s="409"/>
      <c r="IW124" s="398">
        <f>IF(IV124=0,0,IF(LEN(IJ124)=11,_xlfn.XLOOKUP(IJ124,'Dispensed Ink Rates'!C:C,'Dispensed Ink Rates'!CS:CS),VLOOKUP(IJ124,'Jan-2026 rates'!$E:$F,2,0)))</f>
        <v>0</v>
      </c>
      <c r="IX124" s="409"/>
      <c r="IY124" s="398">
        <f>IF(IX124=0,0,IF(LEN(IK124)=11,_xlfn.XLOOKUP(IK124,'Dispensed Ink Rates'!C:C,'Dispensed Ink Rates'!CS:CS),VLOOKUP(IK124,'Jan-2026 rates'!$E:$F,2,0)))</f>
        <v>0</v>
      </c>
      <c r="IZ124" s="409"/>
      <c r="JA124" s="398">
        <f>IF(IZ124=0,0,IF(LEN(IL124)=11,_xlfn.XLOOKUP(IL124,'Dispensed Ink Rates'!C:C,'Dispensed Ink Rates'!CS:CS),VLOOKUP(IL124,'Jan-2026 rates'!$E:$F,2,0)))</f>
        <v>0</v>
      </c>
      <c r="JB124" s="409"/>
      <c r="JC124" s="398">
        <f>IF(JB124=0,0,IF(LEN(IM124)=11,_xlfn.XLOOKUP(IM124,'Dispensed Ink Rates'!C:C,'Dispensed Ink Rates'!CS:CS),VLOOKUP(IM124,'Jan-2026 rates'!$E:$F,2,0)))</f>
        <v>0</v>
      </c>
      <c r="JD124" s="409" t="s">
        <v>1443</v>
      </c>
      <c r="JE124" s="409">
        <v>30</v>
      </c>
      <c r="JF124" s="411">
        <f t="shared" si="100"/>
        <v>0</v>
      </c>
      <c r="JG124" s="411">
        <f t="shared" si="101"/>
        <v>70.661654135338352</v>
      </c>
      <c r="JH124" s="410">
        <f t="shared" si="102"/>
        <v>0</v>
      </c>
      <c r="JI124" s="405" t="s">
        <v>856</v>
      </c>
      <c r="JJ124" s="409" t="s">
        <v>3327</v>
      </c>
      <c r="JK124" s="420" t="str">
        <f t="shared" si="60"/>
        <v>FLINTSL - WHITE</v>
      </c>
      <c r="JL124" s="409">
        <v>30</v>
      </c>
      <c r="JM124" s="411">
        <f>IF(JL124=0,0,IF($LB124=70%,VLOOKUP($JK124,'Jan-2026 rates'!$L:$R,4,0),IF($LB124=65%,VLOOKUP($JK124,'Jan-2026 rates'!$L:$R,4,0),IF($LB124=40%,VLOOKUP($JK124,'Jan-2026 rates'!$L:$R,5,0),IF($LB124=30%,VLOOKUP($JK124,'Jan-2026 rates'!$L:$R,6,0),IF($LB124=100%,VLOOKUP($JK124,'Jan-2026 rates'!$L:$R,7,0),IF($LB124=60%,VLOOKUP($JK124,'Jan-2026 rates'!$L:$S,8,0),IF($LB124=80%,VLOOKUP($JK124,'Jan-2026 rates'!L:T,9,0),0))))))))</f>
        <v>0</v>
      </c>
      <c r="JN124" s="412"/>
      <c r="JO124" s="409"/>
      <c r="JP124" s="411">
        <f>IF(JO124=0,0,IF($LB124=70%,VLOOKUP($JK124,'Jan-2026 rates'!$L:$R,4,0),IF($LB124=65%,VLOOKUP($JK124,'Jan-2026 rates'!$L:$R,4,0),IF($LB124=40%,VLOOKUP($JK124,'Jan-2026 rates'!$L:$R,5,0),IF($LB124=30%,VLOOKUP($JK124,'Jan-2026 rates'!$L:$R,6,0),IF($LB124=100%,VLOOKUP($JK124,'Jan-2026 rates'!$L:$R,7,0),IF($LB124=60%,VLOOKUP($JK124,'Jan-2026 rates'!$L:$S,8,0),IF($LB124=80%,VLOOKUP($JK124,'Jan-2026 rates'!L:T,9,0),0))))))))</f>
        <v>0</v>
      </c>
      <c r="JQ124" s="413" t="s">
        <v>484</v>
      </c>
      <c r="JR124" s="412" t="s">
        <v>1924</v>
      </c>
      <c r="JS124" s="413"/>
      <c r="JT124" s="413"/>
      <c r="JU124" s="412"/>
      <c r="JV124" s="412"/>
      <c r="JW124" s="412"/>
      <c r="JX124" s="412"/>
      <c r="JY124" s="409">
        <v>100</v>
      </c>
      <c r="JZ124" s="398">
        <f>IF(JY124=0,0,IF(LEN(JQ124)=11,_xlfn.XLOOKUP(JQ124,'Dispensed Ink Rates'!C:C,'Dispensed Ink Rates'!CS:CS),VLOOKUP(JQ124,'Jan-2026 rates'!$E:$F,2,0)))</f>
        <v>0</v>
      </c>
      <c r="KA124" s="409">
        <v>3</v>
      </c>
      <c r="KB124" s="398">
        <f>IF(KA124=0,0,IF(LEN(JR124)=11,_xlfn.XLOOKUP(JR124,'Dispensed Ink Rates'!C:C,'Dispensed Ink Rates'!CS:CS),VLOOKUP(JR124,'Jan-2026 rates'!$E:$F,2,0)))</f>
        <v>0</v>
      </c>
      <c r="KC124" s="409"/>
      <c r="KD124" s="398">
        <f>IF(KC124=0,0,IF(LEN(JS124)=11,_xlfn.XLOOKUP(JS124,'Dispensed Ink Rates'!C:C,'Dispensed Ink Rates'!CS:CS),VLOOKUP(JS124,'Jan-2026 rates'!$E:$F,2,0)))</f>
        <v>0</v>
      </c>
      <c r="KE124" s="409"/>
      <c r="KF124" s="398">
        <f>IF(KE124=0,0,IF(LEN(JT124)=11,_xlfn.XLOOKUP(JT124,'Dispensed Ink Rates'!C:C,'Dispensed Ink Rates'!CS:CS),VLOOKUP(JT124,'Jan-2026 rates'!$E:$F,2,0)))</f>
        <v>0</v>
      </c>
      <c r="KG124" s="409"/>
      <c r="KH124" s="398">
        <f>IF(KG124=0,0,IF(LEN(JU124)=11,_xlfn.XLOOKUP(JU124,'Dispensed Ink Rates'!C:C,'Dispensed Ink Rates'!CS:CS),VLOOKUP(JU124,'Jan-2026 rates'!$E:$F,2,0)))</f>
        <v>0</v>
      </c>
      <c r="KI124" s="409"/>
      <c r="KJ124" s="398">
        <f>IF(KI124=0,0,IF(LEN(JV124)=11,_xlfn.XLOOKUP(JV124,'Dispensed Ink Rates'!C:C,'Dispensed Ink Rates'!CS:CS),VLOOKUP(JV124,'Jan-2026 rates'!$E:$F,2,0)))</f>
        <v>0</v>
      </c>
      <c r="KK124" s="409"/>
      <c r="KL124" s="398">
        <f>IF(KK124=0,0,IF(LEN(JW124)=11,_xlfn.XLOOKUP(JW124,'Dispensed Ink Rates'!C:C,'Dispensed Ink Rates'!CS:CS),VLOOKUP(JW124,'Jan-2026 rates'!$E:$F,2,0)))</f>
        <v>0</v>
      </c>
      <c r="KM124" s="428"/>
      <c r="KN124" s="398">
        <f>IF(KM124=0,0,IF(LEN(JX124)=11,_xlfn.XLOOKUP(JX124,'Dispensed Ink Rates'!C:C,'Dispensed Ink Rates'!CS:CS),VLOOKUP(JX124,'Jan-2026 rates'!$E:$F,2,0)))</f>
        <v>0</v>
      </c>
      <c r="KO124" s="409" t="s">
        <v>1443</v>
      </c>
      <c r="KP124" s="409">
        <v>30</v>
      </c>
      <c r="KQ124" s="411">
        <f t="shared" si="103"/>
        <v>0</v>
      </c>
      <c r="KR124" s="411">
        <f t="shared" si="104"/>
        <v>236.98496240601503</v>
      </c>
      <c r="KS124" s="410">
        <f t="shared" si="105"/>
        <v>0</v>
      </c>
      <c r="KT124" s="409">
        <v>3</v>
      </c>
      <c r="KU124" s="409">
        <v>25</v>
      </c>
      <c r="KV124" s="409">
        <v>8</v>
      </c>
      <c r="KW124" s="409">
        <v>5</v>
      </c>
      <c r="KX124" s="409">
        <v>6</v>
      </c>
      <c r="KY124" s="409">
        <v>6</v>
      </c>
      <c r="KZ124" s="409">
        <v>20</v>
      </c>
      <c r="LA124" s="409">
        <v>60</v>
      </c>
      <c r="LB124" s="415">
        <v>0.8</v>
      </c>
      <c r="LC124" s="415">
        <v>0.2</v>
      </c>
      <c r="LD124" s="415"/>
      <c r="LE124" s="415"/>
      <c r="LF124" s="415"/>
      <c r="LG124" s="409">
        <v>0</v>
      </c>
      <c r="LH124" s="409">
        <f>98+90+80+20+5+4</f>
        <v>297</v>
      </c>
      <c r="LI124" s="409">
        <v>0</v>
      </c>
      <c r="LJ124" s="409">
        <v>0</v>
      </c>
      <c r="LK124" s="416">
        <f t="shared" si="61"/>
        <v>297</v>
      </c>
      <c r="LL124" s="416">
        <f t="shared" si="62"/>
        <v>297</v>
      </c>
      <c r="LM124" s="417">
        <f t="shared" si="63"/>
        <v>237.60000000000002</v>
      </c>
      <c r="LN124" s="417">
        <f>VLOOKUP($LM$8,'Jan-2026 rates'!$H:$I,2,0)</f>
        <v>0</v>
      </c>
      <c r="LO124" s="417">
        <f t="shared" si="64"/>
        <v>59.400000000000006</v>
      </c>
      <c r="LP124" s="417">
        <f>VLOOKUP($LO$8,'Jan-2026 rates'!$H:$I,2,0)</f>
        <v>0</v>
      </c>
      <c r="LQ124" s="417">
        <f t="shared" si="65"/>
        <v>0</v>
      </c>
      <c r="LR124" s="417">
        <f>VLOOKUP($LQ$8,'Jan-2026 rates'!$H:$I,2,0)</f>
        <v>0</v>
      </c>
      <c r="LS124" s="417">
        <f t="shared" si="66"/>
        <v>0</v>
      </c>
      <c r="LT124" s="417">
        <f>VLOOKUP($LS$8,'Jan-2026 rates'!$H:$I,2,0)</f>
        <v>0</v>
      </c>
      <c r="LU124" s="417">
        <f t="shared" si="67"/>
        <v>0</v>
      </c>
      <c r="LV124" s="417">
        <f>VLOOKUP($LU$8,'Jan-2026 rates'!$H:$I,2,0)</f>
        <v>0</v>
      </c>
      <c r="LW124" s="417">
        <f t="shared" si="68"/>
        <v>0</v>
      </c>
      <c r="LX124" s="417">
        <f t="shared" si="69"/>
        <v>0</v>
      </c>
      <c r="LY124" s="418">
        <f t="shared" si="70"/>
        <v>0</v>
      </c>
      <c r="LZ124" s="417"/>
      <c r="MA124" s="435">
        <f t="shared" si="71"/>
        <v>362</v>
      </c>
      <c r="MB124" s="282">
        <f t="shared" si="72"/>
        <v>555</v>
      </c>
      <c r="MC124" s="283">
        <v>79</v>
      </c>
      <c r="MD124" s="284" t="str">
        <f t="shared" si="73"/>
        <v>FLINTSLFLINTSLFLINTSLFLINTSLFLINTSLFLINTSLFLINTSLFLINTSL</v>
      </c>
      <c r="ME124" s="293" t="str">
        <f t="shared" si="74"/>
        <v>+</v>
      </c>
      <c r="MF124" s="293" t="str">
        <f t="shared" si="75"/>
        <v>+</v>
      </c>
      <c r="MG124" s="293" t="str">
        <f t="shared" si="76"/>
        <v>+</v>
      </c>
      <c r="MH124" s="293" t="str">
        <f t="shared" si="77"/>
        <v>+</v>
      </c>
      <c r="MI124" s="293" t="str">
        <f t="shared" si="78"/>
        <v>+</v>
      </c>
      <c r="MJ124" s="293" t="str">
        <f t="shared" si="79"/>
        <v>+</v>
      </c>
      <c r="MK124" s="293" t="str">
        <f t="shared" si="80"/>
        <v>+</v>
      </c>
      <c r="ML124" s="293" t="str">
        <f t="shared" si="81"/>
        <v>+</v>
      </c>
      <c r="MM124" s="3" t="b">
        <f t="array" ref="MM124">OR(ME124:ML124="-")</f>
        <v>0</v>
      </c>
      <c r="MN124" s="285"/>
      <c r="MO124" s="401"/>
      <c r="MP124" s="286"/>
      <c r="MQ124" s="286"/>
      <c r="MR124" s="402"/>
      <c r="MS124" s="400"/>
      <c r="NH124" s="422"/>
      <c r="NJ124" s="421"/>
    </row>
    <row r="125" spans="1:374" s="1" customFormat="1" ht="16.5">
      <c r="A125" s="403">
        <v>46034</v>
      </c>
      <c r="B125" s="404" t="s">
        <v>1015</v>
      </c>
      <c r="C125" s="405" t="s">
        <v>3328</v>
      </c>
      <c r="D125" s="406">
        <v>80</v>
      </c>
      <c r="E125" s="404">
        <v>846</v>
      </c>
      <c r="F125" s="407">
        <v>43200</v>
      </c>
      <c r="G125" s="407" t="s">
        <v>1019</v>
      </c>
      <c r="H125" s="408" t="s">
        <v>1017</v>
      </c>
      <c r="I125" s="409">
        <v>2</v>
      </c>
      <c r="J125" s="405" t="s">
        <v>543</v>
      </c>
      <c r="K125" s="404" t="s">
        <v>3329</v>
      </c>
      <c r="L125" s="419" t="str">
        <f t="shared" si="54"/>
        <v>FLINTSL - BLACK</v>
      </c>
      <c r="M125" s="404">
        <v>28</v>
      </c>
      <c r="N125" s="410">
        <f>IF(M125=0,0,IF($LB125=70%,VLOOKUP($L125,'Jan-2026 rates'!$L:$R,4,0),IF($LB125=65%,VLOOKUP($L125,'Jan-2026 rates'!$L:$R,4,0),IF($LB125=40%,VLOOKUP($L125,'Jan-2026 rates'!$L:$R,5,0),IF($LB125=30%,VLOOKUP($L125,'Jan-2026 rates'!$L:$R,6,0),IF($LB125=100%,VLOOKUP($L125,'Jan-2026 rates'!$L:$R,7,0),IF($LB125=60%,VLOOKUP($L125,'Jan-2026 rates'!$L:$S,8,0),IF($LB125=80%,VLOOKUP($L125,'Jan-2026 rates'!L:T,9,0),0))))))))</f>
        <v>0</v>
      </c>
      <c r="O125" s="406"/>
      <c r="P125" s="404"/>
      <c r="Q125" s="410">
        <f>IF(P125=0,0,IF($LB125=70%,VLOOKUP($L125,'Jan-2026 rates'!$L:$R,4,0),IF($LB125=65%,VLOOKUP($L125,'Jan-2026 rates'!$L:$R,4,0),IF($LB125=40%,VLOOKUP($L125,'Jan-2026 rates'!$L:$R,5,0),IF($LB125=30%,VLOOKUP($L125,'Jan-2026 rates'!$L:$R,6,0),IF($LB125=100%,VLOOKUP($L125,'Jan-2026 rates'!$L:$R,7,0),IF($LB125=60%,VLOOKUP($L125,'Jan-2026 rates'!$L:$S,8,0),IF($LB125=80%,VLOOKUP($L125,'Jan-2026 rates'!L:T,9,0),0))))))))</f>
        <v>0</v>
      </c>
      <c r="R125" s="406">
        <v>26513000022</v>
      </c>
      <c r="S125" s="406"/>
      <c r="T125" s="406"/>
      <c r="U125" s="406"/>
      <c r="V125" s="406"/>
      <c r="W125" s="406"/>
      <c r="X125" s="406"/>
      <c r="Y125" s="406"/>
      <c r="Z125" s="404">
        <v>2</v>
      </c>
      <c r="AA125" s="398" t="e">
        <f>IF(Z125=0,0,IF(LEN(R125)=11,_xlfn.XLOOKUP(R125,'Dispensed Ink Rates'!C:C,'Dispensed Ink Rates'!CS:CS),VLOOKUP(R125,'Jan-2026 rates'!$E:$F,2,0)))</f>
        <v>#N/A</v>
      </c>
      <c r="AB125" s="404"/>
      <c r="AC125" s="398">
        <f>IF(AB125=0,0,IF(LEN(S125)=11,_xlfn.XLOOKUP(S125,'Dispensed Ink Rates'!C:C,'Dispensed Ink Rates'!CS:CS),VLOOKUP(S125,'Jan-2026 rates'!$E:$F,2,0)))</f>
        <v>0</v>
      </c>
      <c r="AD125" s="404"/>
      <c r="AE125" s="398">
        <f>IF(AD125=0,0,IF(LEN(T125)=11,_xlfn.XLOOKUP(T125,'Dispensed Ink Rates'!C:C,'Dispensed Ink Rates'!CS:CS),VLOOKUP(T125,'Jan-2026 rates'!$E:$F,2,0)))</f>
        <v>0</v>
      </c>
      <c r="AF125" s="404"/>
      <c r="AG125" s="398">
        <f>IF(AF125=0,0,IF(LEN(U125)=11,_xlfn.XLOOKUP(U125,'Dispensed Ink Rates'!C:C,'Dispensed Ink Rates'!CS:CS),VLOOKUP(U125,'Jan-2026 rates'!$E:$F,2,0)))</f>
        <v>0</v>
      </c>
      <c r="AH125" s="404"/>
      <c r="AI125" s="398">
        <f>IF(AH125=0,0,IF(LEN(V125)=11,_xlfn.XLOOKUP(V125,'Dispensed Ink Rates'!C:C,'Dispensed Ink Rates'!CS:CS),VLOOKUP(V125,'Jan-2026 rates'!$E:$F,2,0)))</f>
        <v>0</v>
      </c>
      <c r="AJ125" s="404"/>
      <c r="AK125" s="398">
        <f>IF(AJ125=0,0,IF(LEN(W125)=11,_xlfn.XLOOKUP(W125,'Dispensed Ink Rates'!C:C,'Dispensed Ink Rates'!CS:CS),VLOOKUP(W125,'Jan-2026 rates'!$E:$F,2,0)))</f>
        <v>0</v>
      </c>
      <c r="AL125" s="404"/>
      <c r="AM125" s="398">
        <f>IF(AL125=0,0,IF(LEN(X125)=11,_xlfn.XLOOKUP(X125,'Dispensed Ink Rates'!C:C,'Dispensed Ink Rates'!CS:CS),VLOOKUP(X125,'Jan-2026 rates'!$E:$F,2,0)))</f>
        <v>0</v>
      </c>
      <c r="AN125" s="404"/>
      <c r="AO125" s="398">
        <f>IF(AN125=0,0,IF(LEN(Y125)=11,_xlfn.XLOOKUP(Y125,'Dispensed Ink Rates'!C:C,'Dispensed Ink Rates'!CS:CS),VLOOKUP(Y125,'Jan-2026 rates'!$E:$F,2,0)))</f>
        <v>0</v>
      </c>
      <c r="AP125" s="409" t="s">
        <v>1443</v>
      </c>
      <c r="AQ125" s="409">
        <v>27</v>
      </c>
      <c r="AR125" s="410">
        <f t="shared" si="82"/>
        <v>0</v>
      </c>
      <c r="AS125" s="411">
        <f t="shared" si="83"/>
        <v>9.5054945054945037</v>
      </c>
      <c r="AT125" s="410">
        <f t="shared" si="84"/>
        <v>0</v>
      </c>
      <c r="AU125" s="405" t="s">
        <v>546</v>
      </c>
      <c r="AV125" s="409" t="s">
        <v>3285</v>
      </c>
      <c r="AW125" s="420" t="str">
        <f t="shared" si="53"/>
        <v>FLINTSL - REFLEX BLUE</v>
      </c>
      <c r="AX125" s="409">
        <v>25</v>
      </c>
      <c r="AY125" s="411">
        <f>IF(AX125=0,0,IF($LB125=70%,VLOOKUP($AW125,'Jan-2026 rates'!$L:$R,4,0),IF($LB125=65%,VLOOKUP($AW125,'Jan-2026 rates'!$L:$R,4,0),IF($LB125=40%,VLOOKUP($AW125,'Jan-2026 rates'!$L:$R,5,0),IF($LB125=30%,VLOOKUP($AW125,'Jan-2026 rates'!$L:$R,6,0),IF($LB125=100%,VLOOKUP($AW125,'Jan-2026 rates'!$L:$R,7,0),IF($LB125=60%,VLOOKUP($AW125,'Jan-2026 rates'!$L:$S,8,0),IF($LB125=80%,VLOOKUP($AW125,'Jan-2026 rates'!L:T,9,0),0))))))))</f>
        <v>0</v>
      </c>
      <c r="AZ125" s="412"/>
      <c r="BA125" s="409"/>
      <c r="BB125" s="411">
        <f>IF(BA125=0,0,IF($LB125=70%,VLOOKUP($AW125,'Jan-2026 rates'!$L:$R,4,0),IF($LB125=65%,VLOOKUP($AW125,'Jan-2026 rates'!$L:$R,4,0),IF($LB125=40%,VLOOKUP($AW125,'Jan-2026 rates'!$L:$R,5,0),IF($LB125=30%,VLOOKUP($AW125,'Jan-2026 rates'!$L:$R,6,0),IF($LB125=100%,VLOOKUP($AW125,'Jan-2026 rates'!$L:$R,7,0),IF($LB125=60%,VLOOKUP($AW125,'Jan-2026 rates'!$L:$S,8,0),IF($LB125=80%,VLOOKUP($AW125,'Jan-2026 rates'!L:T,9,0),0))))))))</f>
        <v>0</v>
      </c>
      <c r="BC125" s="413">
        <v>26506000002</v>
      </c>
      <c r="BD125" s="412">
        <v>26512000011</v>
      </c>
      <c r="BE125" s="412"/>
      <c r="BF125" s="413"/>
      <c r="BG125" s="412"/>
      <c r="BH125" s="412"/>
      <c r="BI125" s="412"/>
      <c r="BJ125" s="412"/>
      <c r="BK125" s="409">
        <v>3</v>
      </c>
      <c r="BL125" s="398" t="e">
        <f>IF(BK125=0,0,IF(LEN(BC125)=11,_xlfn.XLOOKUP(BC125,'Dispensed Ink Rates'!C:C,'Dispensed Ink Rates'!CS:CS),VLOOKUP(BC125,'Jan-2026 rates'!$E:$F,2,0)))</f>
        <v>#N/A</v>
      </c>
      <c r="BM125" s="409">
        <v>40</v>
      </c>
      <c r="BN125" s="398" t="e">
        <f>IF(BM125=0,0,IF(LEN(BD125)=11,_xlfn.XLOOKUP(BD125,'Dispensed Ink Rates'!C:C,'Dispensed Ink Rates'!CS:CS),VLOOKUP(BD125,'Jan-2026 rates'!$E:$F,2,0)))</f>
        <v>#N/A</v>
      </c>
      <c r="BO125" s="409"/>
      <c r="BP125" s="398">
        <f>IF(BO125=0,0,IF(LEN(BE125)=11,_xlfn.XLOOKUP(BE125,'Dispensed Ink Rates'!C:C,'Dispensed Ink Rates'!CS:CS),VLOOKUP(BE125,'Jan-2026 rates'!$E:$F,2,0)))</f>
        <v>0</v>
      </c>
      <c r="BQ125" s="409"/>
      <c r="BR125" s="398">
        <f>IF(BQ125=0,0,IF(LEN(BF125)=11,_xlfn.XLOOKUP(BF125,'Dispensed Ink Rates'!C:C,'Dispensed Ink Rates'!CS:CS),VLOOKUP(BF125,'Jan-2026 rates'!$E:$F,2,0)))</f>
        <v>0</v>
      </c>
      <c r="BS125" s="409"/>
      <c r="BT125" s="398">
        <f>IF(BS125=0,0,IF(LEN(BG125)=11,_xlfn.XLOOKUP(BG125,'Dispensed Ink Rates'!C:C,'Dispensed Ink Rates'!CS:CS),VLOOKUP(BG125,'Jan-2026 rates'!$E:$F,2,0)))</f>
        <v>0</v>
      </c>
      <c r="BU125" s="409"/>
      <c r="BV125" s="398">
        <f>IF(BU125=0,0,IF(LEN(BH125)=11,_xlfn.XLOOKUP(BH125,'Dispensed Ink Rates'!C:C,'Dispensed Ink Rates'!CS:CS),VLOOKUP(BH125,'Jan-2026 rates'!$E:$F,2,0)))</f>
        <v>0</v>
      </c>
      <c r="BW125" s="409"/>
      <c r="BX125" s="398">
        <f>IF(BW125=0,0,IF(LEN(BI125)=11,_xlfn.XLOOKUP(BI125,'Dispensed Ink Rates'!C:C,'Dispensed Ink Rates'!CS:CS),VLOOKUP(BI125,'Jan-2026 rates'!$E:$F,2,0)))</f>
        <v>0</v>
      </c>
      <c r="BY125" s="409"/>
      <c r="BZ125" s="398">
        <f>IF(BY125=0,0,IF(LEN(BJ125)=11,_xlfn.XLOOKUP(BJ125,'Dispensed Ink Rates'!C:C,'Dispensed Ink Rates'!CS:CS),VLOOKUP(BJ125,'Jan-2026 rates'!$E:$F,2,0)))</f>
        <v>0</v>
      </c>
      <c r="CA125" s="409" t="s">
        <v>1443</v>
      </c>
      <c r="CB125" s="409">
        <v>22</v>
      </c>
      <c r="CC125" s="411">
        <f t="shared" si="85"/>
        <v>0</v>
      </c>
      <c r="CD125" s="411">
        <f t="shared" si="86"/>
        <v>55.758241758241752</v>
      </c>
      <c r="CE125" s="410">
        <f t="shared" si="87"/>
        <v>0</v>
      </c>
      <c r="CF125" s="404" t="s">
        <v>546</v>
      </c>
      <c r="CG125" s="409"/>
      <c r="CH125" s="420" t="str">
        <f t="shared" si="55"/>
        <v>FLINTSL - REFLEX BLUE</v>
      </c>
      <c r="CI125" s="409"/>
      <c r="CJ125" s="411">
        <f>IF(CI125=0,0,IF($LB125=70%,VLOOKUP($CH125,'Jan-2026 rates'!$L:$R,4,0),IF($LB125=65%,VLOOKUP($CH125,'Jan-2026 rates'!$L:$R,4,0),IF($LB125=40%,VLOOKUP($CH125,'Jan-2026 rates'!$L:$R,5,0),IF($LB125=30%,VLOOKUP($CH125,'Jan-2026 rates'!$L:$R,6,0),IF($LB125=100%,VLOOKUP($CH125,'Jan-2026 rates'!$L:$R,7,0),IF($LB125=60%,VLOOKUP($CH125,'Jan-2026 rates'!$L:$S,8,0),IF($LB125=80%,VLOOKUP($CH125,'Jan-2026 rates'!L:T,9,0),0))))))))</f>
        <v>0</v>
      </c>
      <c r="CK125" s="412"/>
      <c r="CL125" s="409"/>
      <c r="CM125" s="411">
        <f>IF(CL125=0,0,IF($LB125=70%,VLOOKUP($CH125,'Jan-2026 rates'!$L:$R,4,0),IF($LB125=65%,VLOOKUP($CH125,'Jan-2026 rates'!$L:$R,4,0),IF($LB125=40%,VLOOKUP($CH125,'Jan-2026 rates'!$L:$R,5,0),IF($LB125=30%,VLOOKUP($CH125,'Jan-2026 rates'!$L:$R,6,0),IF($LB125=100%,VLOOKUP($CH125,'Jan-2026 rates'!$L:$R,7,0),IF($LB125=60%,VLOOKUP($CH125,'Jan-2026 rates'!$L:$S,8,0),IF($LB125=80%,VLOOKUP($CH125,'Jan-2026 rates'!L:T,9,0),0))))))))</f>
        <v>0</v>
      </c>
      <c r="CN125" s="426">
        <v>26512000012</v>
      </c>
      <c r="CO125" s="426">
        <v>26512000009</v>
      </c>
      <c r="CP125" s="426">
        <v>26512000007</v>
      </c>
      <c r="CQ125" s="428">
        <v>26512000013</v>
      </c>
      <c r="CR125" s="428"/>
      <c r="CS125" s="428"/>
      <c r="CT125" s="428"/>
      <c r="CU125" s="428"/>
      <c r="CV125" s="409">
        <v>40</v>
      </c>
      <c r="CW125" s="398" t="e">
        <f>IF(CV125=0,0,IF(LEN(CN125)=11,_xlfn.XLOOKUP(CN125,'Dispensed Ink Rates'!C:C,'Dispensed Ink Rates'!CS:CS),VLOOKUP(CN125,'Jan-2026 rates'!$E:$F,2,0)))</f>
        <v>#N/A</v>
      </c>
      <c r="CX125" s="409">
        <v>18.399999999999999</v>
      </c>
      <c r="CY125" s="398" t="e">
        <f>IF(CX125=0,0,IF(LEN(CO125)=11,_xlfn.XLOOKUP(CO125,'Dispensed Ink Rates'!C:C,'Dispensed Ink Rates'!CS:CS),VLOOKUP(CO125,'Jan-2026 rates'!$E:$F,2,0)))</f>
        <v>#N/A</v>
      </c>
      <c r="CZ125" s="409">
        <v>18.399999999999999</v>
      </c>
      <c r="DA125" s="398" t="e">
        <f>IF(CZ125=0,0,IF(LEN(CP125)=11,_xlfn.XLOOKUP(CP125,'Dispensed Ink Rates'!C:C,'Dispensed Ink Rates'!CS:CS),VLOOKUP(CP125,'Jan-2026 rates'!$E:$F,2,0)))</f>
        <v>#N/A</v>
      </c>
      <c r="DB125" s="409">
        <v>40</v>
      </c>
      <c r="DC125" s="398" t="e">
        <f>IF(DB125=0,0,IF(LEN(CQ125)=11,_xlfn.XLOOKUP(CQ125,'Dispensed Ink Rates'!C:C,'Dispensed Ink Rates'!CS:CS),VLOOKUP(CQ125,'Jan-2026 rates'!$E:$F,2,0)))</f>
        <v>#N/A</v>
      </c>
      <c r="DD125" s="409"/>
      <c r="DE125" s="398">
        <f>IF(DD125=0,0,IF(LEN(CR125)=11,_xlfn.XLOOKUP(CR125,'Dispensed Ink Rates'!C:C,'Dispensed Ink Rates'!CS:CS),VLOOKUP(CR125,'Jan-2026 rates'!$E:$F,2,0)))</f>
        <v>0</v>
      </c>
      <c r="DF125" s="409"/>
      <c r="DG125" s="398">
        <f>IF(DF125=0,0,IF(LEN(CS125)=11,_xlfn.XLOOKUP(CS125,'Dispensed Ink Rates'!C:C,'Dispensed Ink Rates'!CS:CS),VLOOKUP(CS125,'Jan-2026 rates'!$E:$F,2,0)))</f>
        <v>0</v>
      </c>
      <c r="DH125" s="409"/>
      <c r="DI125" s="398">
        <f>IF(DH125=0,0,IF(LEN(CT125)=11,_xlfn.XLOOKUP(CT125,'Dispensed Ink Rates'!C:C,'Dispensed Ink Rates'!CS:CS),VLOOKUP(CT125,'Jan-2026 rates'!$E:$F,2,0)))</f>
        <v>0</v>
      </c>
      <c r="DJ125" s="409"/>
      <c r="DK125" s="398">
        <f>IF(DJ125=0,0,IF(LEN(CU125)=11,_xlfn.XLOOKUP(CU125,'Dispensed Ink Rates'!C:C,'Dispensed Ink Rates'!CS:CS),VLOOKUP(CU125,'Jan-2026 rates'!$E:$F,2,0)))</f>
        <v>0</v>
      </c>
      <c r="DL125" s="409" t="s">
        <v>1443</v>
      </c>
      <c r="DM125" s="409">
        <v>20</v>
      </c>
      <c r="DN125" s="411">
        <f t="shared" si="88"/>
        <v>0</v>
      </c>
      <c r="DO125" s="411">
        <f t="shared" si="89"/>
        <v>113.06373626373625</v>
      </c>
      <c r="DP125" s="410">
        <f t="shared" si="90"/>
        <v>0</v>
      </c>
      <c r="DQ125" s="405" t="s">
        <v>857</v>
      </c>
      <c r="DR125" s="409" t="s">
        <v>3330</v>
      </c>
      <c r="DS125" s="420" t="str">
        <f t="shared" si="56"/>
        <v>FLINTSL - RED</v>
      </c>
      <c r="DT125" s="409">
        <v>30</v>
      </c>
      <c r="DU125" s="411">
        <f>IF(DT125=0,0,IF($LB125=70%,VLOOKUP($DS125,'Jan-2026 rates'!$L:$R,4,0),IF($LB125=65%,VLOOKUP($DS125,'Jan-2026 rates'!$L:$R,4,0),IF($LB125=40%,VLOOKUP($DS125,'Jan-2026 rates'!$L:$R,5,0),IF($LB125=30%,VLOOKUP($DS125,'Jan-2026 rates'!$L:$R,6,0),IF($LB125=100%,VLOOKUP($DS125,'Jan-2026 rates'!$L:$R,7,0),IF($LB125=60%,VLOOKUP($DS125,'Jan-2026 rates'!$L:$S,8,0),IF($LB125=80%,VLOOKUP($DS125,'Jan-2026 rates'!L:T,9,0),0))))))))</f>
        <v>0</v>
      </c>
      <c r="DV125" s="412"/>
      <c r="DW125" s="409"/>
      <c r="DX125" s="411">
        <f>IF(DW125=0,0,IF($LB125=70%,VLOOKUP($DS125,'Jan-2026 rates'!$L:$R,4,0),IF($LB125=65%,VLOOKUP($DS125,'Jan-2026 rates'!$L:$R,4,0),IF($LB125=40%,VLOOKUP($DS125,'Jan-2026 rates'!$L:$R,5,0),IF($LB125=30%,VLOOKUP($DS125,'Jan-2026 rates'!$L:$R,6,0),IF($LB125=100%,VLOOKUP($DS125,'Jan-2026 rates'!$L:$R,7,0),IF($LB125=60%,VLOOKUP($DS125,'Jan-2026 rates'!$L:$S,8,0),IF($LB125=80%,VLOOKUP($DS125,'Jan-2026 rates'!L:T,9,0),0))))))))</f>
        <v>0</v>
      </c>
      <c r="DY125" s="413">
        <v>26512000015</v>
      </c>
      <c r="DZ125" s="413"/>
      <c r="EA125" s="412"/>
      <c r="EB125" s="412"/>
      <c r="EC125" s="412"/>
      <c r="ED125" s="412"/>
      <c r="EE125" s="412"/>
      <c r="EF125" s="412"/>
      <c r="EG125" s="409">
        <v>20</v>
      </c>
      <c r="EH125" s="398" t="e">
        <f>IF(EG125=0,0,IF(LEN(DY125)=11,_xlfn.XLOOKUP(DY125,'Dispensed Ink Rates'!C:C,'Dispensed Ink Rates'!CS:CS),VLOOKUP(DY125,'Jan-2026 rates'!$E:$F,2,0)))</f>
        <v>#N/A</v>
      </c>
      <c r="EI125" s="409"/>
      <c r="EJ125" s="398">
        <f>IF(EI125=0,0,IF(LEN(DZ125)=11,_xlfn.XLOOKUP(DZ125,'Dispensed Ink Rates'!C:C,'Dispensed Ink Rates'!CS:CS),VLOOKUP(DZ125,'Jan-2026 rates'!$E:$F,2,0)))</f>
        <v>0</v>
      </c>
      <c r="EK125" s="409"/>
      <c r="EL125" s="398">
        <f>IF(EK125=0,0,IF(LEN(EA125)=11,_xlfn.XLOOKUP(EA125,'Dispensed Ink Rates'!C:C,'Dispensed Ink Rates'!CS:CS),VLOOKUP(EA125,'Jan-2026 rates'!$E:$F,2,0)))</f>
        <v>0</v>
      </c>
      <c r="EM125" s="409"/>
      <c r="EN125" s="398">
        <f>IF(EM125=0,0,IF(LEN(EB125)=11,_xlfn.XLOOKUP(EB125,'Dispensed Ink Rates'!C:C,'Dispensed Ink Rates'!CS:CS),VLOOKUP(EB125,'Jan-2026 rates'!$E:$F,2,0)))</f>
        <v>0</v>
      </c>
      <c r="EO125" s="409"/>
      <c r="EP125" s="398">
        <f>IF(EO125=0,0,IF(LEN(EC125)=11,_xlfn.XLOOKUP(EC125,'Dispensed Ink Rates'!C:C,'Dispensed Ink Rates'!CS:CS),VLOOKUP(EC125,'Jan-2026 rates'!$E:$F,2,0)))</f>
        <v>0</v>
      </c>
      <c r="EQ125" s="409"/>
      <c r="ER125" s="398">
        <f>IF(EQ125=0,0,IF(LEN(ED125)=11,_xlfn.XLOOKUP(ED125,'Dispensed Ink Rates'!C:C,'Dispensed Ink Rates'!CS:CS),VLOOKUP(ED125,'Jan-2026 rates'!$E:$F,2,0)))</f>
        <v>0</v>
      </c>
      <c r="ES125" s="409"/>
      <c r="ET125" s="398">
        <f>IF(ES125=0,0,IF(LEN(EE125)=11,_xlfn.XLOOKUP(EE125,'Dispensed Ink Rates'!C:C,'Dispensed Ink Rates'!CS:CS),VLOOKUP(EE125,'Jan-2026 rates'!$E:$F,2,0)))</f>
        <v>0</v>
      </c>
      <c r="EU125" s="409"/>
      <c r="EV125" s="398">
        <f>IF(EU125=0,0,IF(LEN(EF125)=11,_xlfn.XLOOKUP(EF125,'Dispensed Ink Rates'!C:C,'Dispensed Ink Rates'!CS:CS),VLOOKUP(EF125,'Jan-2026 rates'!$E:$F,2,0)))</f>
        <v>0</v>
      </c>
      <c r="EW125" s="409" t="s">
        <v>1443</v>
      </c>
      <c r="EX125" s="409">
        <v>27</v>
      </c>
      <c r="EY125" s="411">
        <f t="shared" si="91"/>
        <v>0</v>
      </c>
      <c r="EZ125" s="411">
        <f t="shared" si="92"/>
        <v>32.758241758241759</v>
      </c>
      <c r="FA125" s="410">
        <f t="shared" si="93"/>
        <v>0</v>
      </c>
      <c r="FB125" s="405" t="s">
        <v>855</v>
      </c>
      <c r="FC125" s="409" t="s">
        <v>3331</v>
      </c>
      <c r="FD125" s="420" t="str">
        <f t="shared" si="57"/>
        <v>FLINTSL - CYAN</v>
      </c>
      <c r="FE125" s="409">
        <v>28</v>
      </c>
      <c r="FF125" s="411">
        <f>IF(FE125=0,0,IF($LB125=70%,VLOOKUP($FD125,'Jan-2026 rates'!$L:$R,4,0),IF($LB125=65%,VLOOKUP($FD125,'Jan-2026 rates'!$L:$R,4,0),IF($LB125=40%,VLOOKUP($FD125,'Jan-2026 rates'!$L:$R,5,0),IF($LB125=30%,VLOOKUP($FD125,'Jan-2026 rates'!$L:$R,6,0),IF($LB125=100%,VLOOKUP($FD125,'Jan-2026 rates'!$L:$R,7,0),IF($LB125=60%,VLOOKUP($FD125,'Jan-2026 rates'!$L:$S,8,0),IF($LB125=80%,VLOOKUP($FD125,'Jan-2026 rates'!L:T,9,0),0))))))))</f>
        <v>0</v>
      </c>
      <c r="FG125" s="412"/>
      <c r="FH125" s="409"/>
      <c r="FI125" s="411">
        <f>IF(FH125=0,0,IF($LB125=70%,VLOOKUP($FD125,'Jan-2026 rates'!$L:$R,4,0),IF($LB125=65%,VLOOKUP($FD125,'Jan-2026 rates'!$L:$R,4,0),IF($LB125=40%,VLOOKUP($FD125,'Jan-2026 rates'!$L:$R,5,0),IF($LB125=30%,VLOOKUP($FD125,'Jan-2026 rates'!$L:$R,6,0),IF($LB125=100%,VLOOKUP($FD125,'Jan-2026 rates'!$L:$R,7,0),IF($LB125=60%,VLOOKUP($FD125,'Jan-2026 rates'!$L:$S,8,0),IF($LB125=80%,VLOOKUP($FD125,'Jan-2026 rates'!L:T,9,0),0))))))))</f>
        <v>0</v>
      </c>
      <c r="FJ125" s="413">
        <v>26510000009</v>
      </c>
      <c r="FK125" s="413">
        <v>26506000002</v>
      </c>
      <c r="FL125" s="413"/>
      <c r="FM125" s="412"/>
      <c r="FN125" s="412"/>
      <c r="FO125" s="412"/>
      <c r="FP125" s="412"/>
      <c r="FQ125" s="412"/>
      <c r="FR125" s="409">
        <v>12</v>
      </c>
      <c r="FS125" s="398" t="e">
        <f>IF(FR125=0,0,IF(LEN(FJ125)=11,_xlfn.XLOOKUP(FJ125,'Dispensed Ink Rates'!C:C,'Dispensed Ink Rates'!CS:CS),VLOOKUP(FJ125,'Jan-2026 rates'!$E:$F,2,0)))</f>
        <v>#N/A</v>
      </c>
      <c r="FT125" s="409">
        <v>2</v>
      </c>
      <c r="FU125" s="398" t="e">
        <f>IF(FT125=0,0,IF(LEN(FK125)=11,_xlfn.XLOOKUP(FK125,'Dispensed Ink Rates'!C:C,'Dispensed Ink Rates'!CS:CS),VLOOKUP(FK125,'Jan-2026 rates'!$E:$F,2,0)))</f>
        <v>#N/A</v>
      </c>
      <c r="FV125" s="409"/>
      <c r="FW125" s="398">
        <f>IF(FV125=0,0,IF(LEN(FL125)=11,_xlfn.XLOOKUP(FL125,'Dispensed Ink Rates'!C:C,'Dispensed Ink Rates'!CS:CS),VLOOKUP(FL125,'Jan-2026 rates'!$E:$F,2,0)))</f>
        <v>0</v>
      </c>
      <c r="FX125" s="409"/>
      <c r="FY125" s="398">
        <f>IF(FX125=0,0,IF(LEN(FM125)=11,_xlfn.XLOOKUP(FM125,'Dispensed Ink Rates'!C:C,'Dispensed Ink Rates'!CS:CS),VLOOKUP(FM125,'Jan-2026 rates'!$E:$F,2,0)))</f>
        <v>0</v>
      </c>
      <c r="FZ125" s="409"/>
      <c r="GA125" s="398">
        <f>IF(FZ125=0,0,IF(LEN(FN125)=11,_xlfn.XLOOKUP(FN125,'Dispensed Ink Rates'!C:C,'Dispensed Ink Rates'!CS:CS),VLOOKUP(FN125,'Jan-2026 rates'!$E:$F,2,0)))</f>
        <v>0</v>
      </c>
      <c r="GB125" s="409"/>
      <c r="GC125" s="398">
        <f>IF(GB125=0,0,IF(LEN(FO125)=11,_xlfn.XLOOKUP(FO125,'Dispensed Ink Rates'!C:C,'Dispensed Ink Rates'!CS:CS),VLOOKUP(FO125,'Jan-2026 rates'!$E:$F,2,0)))</f>
        <v>0</v>
      </c>
      <c r="GD125" s="409"/>
      <c r="GE125" s="398">
        <f>IF(GD125=0,0,IF(LEN(FP125)=11,_xlfn.XLOOKUP(FP125,'Dispensed Ink Rates'!C:C,'Dispensed Ink Rates'!CS:CS),VLOOKUP(FP125,'Jan-2026 rates'!$E:$F,2,0)))</f>
        <v>0</v>
      </c>
      <c r="GF125" s="409"/>
      <c r="GG125" s="398">
        <f>IF(GF125=0,0,IF(LEN(FQ125)=11,_xlfn.XLOOKUP(FQ125,'Dispensed Ink Rates'!C:C,'Dispensed Ink Rates'!CS:CS),VLOOKUP(FQ125,'Jan-2026 rates'!$E:$F,2,0)))</f>
        <v>0</v>
      </c>
      <c r="GH125" s="409" t="s">
        <v>1443</v>
      </c>
      <c r="GI125" s="409">
        <v>32</v>
      </c>
      <c r="GJ125" s="411">
        <f t="shared" si="94"/>
        <v>0</v>
      </c>
      <c r="GK125" s="411">
        <f t="shared" si="95"/>
        <v>42.527472527472526</v>
      </c>
      <c r="GL125" s="410">
        <f t="shared" si="96"/>
        <v>0</v>
      </c>
      <c r="GM125" s="405" t="s">
        <v>544</v>
      </c>
      <c r="GN125" s="409" t="s">
        <v>3332</v>
      </c>
      <c r="GO125" s="420" t="str">
        <f t="shared" si="58"/>
        <v>FLINTSL - MAGENTA</v>
      </c>
      <c r="GP125" s="409">
        <v>28</v>
      </c>
      <c r="GQ125" s="411">
        <f>IF(GP125=0,0,IF($LB125=70%,VLOOKUP($GO125,'Jan-2026 rates'!$L:$R,4,0),IF($LB125=65%,VLOOKUP($GO125,'Jan-2026 rates'!$L:$R,4,0),IF($LB125=40%,VLOOKUP($GO125,'Jan-2026 rates'!$L:$R,5,0),IF($LB125=30%,VLOOKUP($GO125,'Jan-2026 rates'!$L:$R,6,0),IF($LB125=100%,VLOOKUP($GO125,'Jan-2026 rates'!$L:$R,7,0),IF($LB125=60%,VLOOKUP($GO125,'Jan-2026 rates'!$L:$S,8,0),IF($LB125=80%,VLOOKUP($GO125,'Jan-2026 rates'!L:T,9,0),0))))))))</f>
        <v>0</v>
      </c>
      <c r="GR125" s="412"/>
      <c r="GS125" s="409"/>
      <c r="GT125" s="411">
        <f>IF(GS125=0,0,IF($LB125=70%,VLOOKUP($GO125,'Jan-2026 rates'!$L:$R,4,0),IF($LB125=65%,VLOOKUP($GO125,'Jan-2026 rates'!$L:$R,4,0),IF($LB125=40%,VLOOKUP($GO125,'Jan-2026 rates'!$L:$R,5,0),IF($LB125=30%,VLOOKUP($GO125,'Jan-2026 rates'!$L:$R,6,0),IF($LB125=100%,VLOOKUP($GO125,'Jan-2026 rates'!$L:$R,7,0),IF($LB125=60%,VLOOKUP($GO125,'Jan-2026 rates'!$L:$S,8,0),IF($LB125=80%,VLOOKUP($GO125,'Jan-2026 rates'!L:T,9,0),0))))))))</f>
        <v>0</v>
      </c>
      <c r="GU125" s="413">
        <v>26506000002</v>
      </c>
      <c r="GV125" s="413"/>
      <c r="GW125" s="412"/>
      <c r="GX125" s="412"/>
      <c r="GY125" s="412"/>
      <c r="GZ125" s="412"/>
      <c r="HA125" s="412"/>
      <c r="HB125" s="412"/>
      <c r="HC125" s="409">
        <v>3</v>
      </c>
      <c r="HD125" s="398" t="e">
        <f>IF(HC125=0,0,IF(LEN(GU125)=11,_xlfn.XLOOKUP(GU125,'Dispensed Ink Rates'!C:C,'Dispensed Ink Rates'!CS:CS),VLOOKUP(GU125,'Jan-2026 rates'!$E:$F,2,0)))</f>
        <v>#N/A</v>
      </c>
      <c r="HE125" s="409"/>
      <c r="HF125" s="398">
        <f>IF(HE125=0,0,IF(LEN(GV125)=11,_xlfn.XLOOKUP(GV125,'Dispensed Ink Rates'!C:C,'Dispensed Ink Rates'!CS:CS),VLOOKUP(GV125,'Jan-2026 rates'!$E:$F,2,0)))</f>
        <v>0</v>
      </c>
      <c r="HG125" s="409"/>
      <c r="HH125" s="398">
        <f>IF(HG125=0,0,IF(LEN(GW125)=11,_xlfn.XLOOKUP(GW125,'Dispensed Ink Rates'!C:C,'Dispensed Ink Rates'!CS:CS),VLOOKUP(GW125,'Jan-2026 rates'!$E:$F,2,0)))</f>
        <v>0</v>
      </c>
      <c r="HI125" s="409"/>
      <c r="HJ125" s="398">
        <f>IF(HI125=0,0,IF(LEN(GX125)=11,_xlfn.XLOOKUP(GX125,'Dispensed Ink Rates'!C:C,'Dispensed Ink Rates'!CS:CS),VLOOKUP(GX125,'Jan-2026 rates'!$E:$F,2,0)))</f>
        <v>0</v>
      </c>
      <c r="HK125" s="409"/>
      <c r="HL125" s="398">
        <f>IF(HK125=0,0,IF(LEN(GY125)=11,_xlfn.XLOOKUP(GY125,'Dispensed Ink Rates'!C:C,'Dispensed Ink Rates'!CS:CS),VLOOKUP(GY125,'Jan-2026 rates'!$E:$F,2,0)))</f>
        <v>0</v>
      </c>
      <c r="HM125" s="409"/>
      <c r="HN125" s="398">
        <f>IF(HM125=0,0,IF(LEN(GZ125)=11,_xlfn.XLOOKUP(GZ125,'Dispensed Ink Rates'!C:C,'Dispensed Ink Rates'!CS:CS),VLOOKUP(GZ125,'Jan-2026 rates'!$E:$F,2,0)))</f>
        <v>0</v>
      </c>
      <c r="HO125" s="409"/>
      <c r="HP125" s="398">
        <f>IF(HO125=0,0,IF(LEN(HA125)=11,_xlfn.XLOOKUP(HA125,'Dispensed Ink Rates'!C:C,'Dispensed Ink Rates'!CS:CS),VLOOKUP(HA125,'Jan-2026 rates'!$E:$F,2,0)))</f>
        <v>0</v>
      </c>
      <c r="HQ125" s="409"/>
      <c r="HR125" s="398">
        <f>IF(HQ125=0,0,IF(LEN(HB125)=11,_xlfn.XLOOKUP(HB125,'Dispensed Ink Rates'!C:C,'Dispensed Ink Rates'!CS:CS),VLOOKUP(HB125,'Jan-2026 rates'!$E:$F,2,0)))</f>
        <v>0</v>
      </c>
      <c r="HS125" s="409" t="s">
        <v>1443</v>
      </c>
      <c r="HT125" s="409">
        <v>28</v>
      </c>
      <c r="HU125" s="411">
        <f t="shared" si="97"/>
        <v>0</v>
      </c>
      <c r="HV125" s="411">
        <f t="shared" si="98"/>
        <v>12.758241758241759</v>
      </c>
      <c r="HW125" s="414">
        <f t="shared" si="99"/>
        <v>0</v>
      </c>
      <c r="HX125" s="405" t="s">
        <v>545</v>
      </c>
      <c r="HY125" s="409" t="s">
        <v>3333</v>
      </c>
      <c r="HZ125" s="420" t="str">
        <f t="shared" si="59"/>
        <v>FLINTSL - YELLOW</v>
      </c>
      <c r="IA125" s="409">
        <v>30</v>
      </c>
      <c r="IB125" s="411">
        <f>IF(IA125=0,0,IF($LB125=70%,VLOOKUP($HZ125,'Jan-2026 rates'!$L:$R,4,0),IF($LB125=65%,VLOOKUP($HZ125,'Jan-2026 rates'!$L:$R,4,0),IF($LB125=40%,VLOOKUP($HZ125,'Jan-2026 rates'!$L:$R,5,0),IF($LB125=30%,VLOOKUP($HZ125,'Jan-2026 rates'!$L:$R,6,0),IF($LB125=100%,VLOOKUP($HZ125,'Jan-2026 rates'!$L:$R,7,0),IF($LB125=60%,VLOOKUP($HZ125,'Jan-2026 rates'!$L:$S,8,0),IF($LB125=80%,VLOOKUP($HZ125,'Jan-2026 rates'!L:T,9,0),0))))))))</f>
        <v>0</v>
      </c>
      <c r="IC125" s="412"/>
      <c r="ID125" s="409"/>
      <c r="IE125" s="411">
        <f>IF(ID125=0,0,IF($LB125=70%,VLOOKUP($HZ125,'Jan-2026 rates'!$L:$R,4,0),IF($LB125=65%,VLOOKUP($HZ125,'Jan-2026 rates'!$L:$R,4,0),IF($LB125=40%,VLOOKUP($HZ125,'Jan-2026 rates'!$L:$R,5,0),IF($LB125=30%,VLOOKUP($HZ125,'Jan-2026 rates'!$L:$R,6,0),IF($LB125=100%,VLOOKUP($HZ125,'Jan-2026 rates'!$L:$R,7,0),IF($LB125=60%,VLOOKUP($HZ125,'Jan-2026 rates'!$L:$S,8,0),IF($LB125=80%,VLOOKUP($HZ125,'Jan-2026 rates'!L:T,9,0),0))))))))</f>
        <v>0</v>
      </c>
      <c r="IF125" s="412">
        <v>26506000002</v>
      </c>
      <c r="IG125" s="413"/>
      <c r="IH125" s="412"/>
      <c r="II125" s="412"/>
      <c r="IJ125" s="412"/>
      <c r="IK125" s="412"/>
      <c r="IL125" s="412"/>
      <c r="IM125" s="412"/>
      <c r="IN125" s="409">
        <v>5</v>
      </c>
      <c r="IO125" s="398" t="e">
        <f>IF(IN125=0,0,IF(LEN(IF125)=11,_xlfn.XLOOKUP(IF125,'Dispensed Ink Rates'!C:C,'Dispensed Ink Rates'!CS:CS),VLOOKUP(IF125,'Jan-2026 rates'!$E:$F,2,0)))</f>
        <v>#N/A</v>
      </c>
      <c r="IP125" s="409"/>
      <c r="IQ125" s="398">
        <f>IF(IP125=0,0,IF(LEN(IG125)=11,_xlfn.XLOOKUP(IG125,'Dispensed Ink Rates'!C:C,'Dispensed Ink Rates'!CS:CS),VLOOKUP(IG125,'Jan-2026 rates'!$E:$F,2,0)))</f>
        <v>0</v>
      </c>
      <c r="IR125" s="409"/>
      <c r="IS125" s="398">
        <f>IF(IR125=0,0,IF(LEN(IH125)=11,_xlfn.XLOOKUP(IH125,'Dispensed Ink Rates'!C:C,'Dispensed Ink Rates'!CS:CS),VLOOKUP(IH125,'Jan-2026 rates'!$E:$F,2,0)))</f>
        <v>0</v>
      </c>
      <c r="IT125" s="409"/>
      <c r="IU125" s="398">
        <f>IF(IT125=0,0,IF(LEN(II125)=11,_xlfn.XLOOKUP(II125,'Dispensed Ink Rates'!C:C,'Dispensed Ink Rates'!CS:CS),VLOOKUP(II125,'Jan-2026 rates'!$E:$F,2,0)))</f>
        <v>0</v>
      </c>
      <c r="IV125" s="409"/>
      <c r="IW125" s="398">
        <f>IF(IV125=0,0,IF(LEN(IJ125)=11,_xlfn.XLOOKUP(IJ125,'Dispensed Ink Rates'!C:C,'Dispensed Ink Rates'!CS:CS),VLOOKUP(IJ125,'Jan-2026 rates'!$E:$F,2,0)))</f>
        <v>0</v>
      </c>
      <c r="IX125" s="409"/>
      <c r="IY125" s="398">
        <f>IF(IX125=0,0,IF(LEN(IK125)=11,_xlfn.XLOOKUP(IK125,'Dispensed Ink Rates'!C:C,'Dispensed Ink Rates'!CS:CS),VLOOKUP(IK125,'Jan-2026 rates'!$E:$F,2,0)))</f>
        <v>0</v>
      </c>
      <c r="IZ125" s="409"/>
      <c r="JA125" s="398">
        <f>IF(IZ125=0,0,IF(LEN(IL125)=11,_xlfn.XLOOKUP(IL125,'Dispensed Ink Rates'!C:C,'Dispensed Ink Rates'!CS:CS),VLOOKUP(IL125,'Jan-2026 rates'!$E:$F,2,0)))</f>
        <v>0</v>
      </c>
      <c r="JB125" s="409"/>
      <c r="JC125" s="398">
        <f>IF(JB125=0,0,IF(LEN(IM125)=11,_xlfn.XLOOKUP(IM125,'Dispensed Ink Rates'!C:C,'Dispensed Ink Rates'!CS:CS),VLOOKUP(IM125,'Jan-2026 rates'!$E:$F,2,0)))</f>
        <v>0</v>
      </c>
      <c r="JD125" s="409" t="s">
        <v>1443</v>
      </c>
      <c r="JE125" s="409">
        <v>30</v>
      </c>
      <c r="JF125" s="411">
        <f t="shared" si="100"/>
        <v>0</v>
      </c>
      <c r="JG125" s="411">
        <f t="shared" si="101"/>
        <v>21.263736263736263</v>
      </c>
      <c r="JH125" s="410">
        <f t="shared" si="102"/>
        <v>0</v>
      </c>
      <c r="JI125" s="405" t="s">
        <v>856</v>
      </c>
      <c r="JJ125" s="409" t="s">
        <v>3334</v>
      </c>
      <c r="JK125" s="420" t="str">
        <f t="shared" si="60"/>
        <v>FLINTSL - WHITE</v>
      </c>
      <c r="JL125" s="409">
        <v>30</v>
      </c>
      <c r="JM125" s="411">
        <f>IF(JL125=0,0,IF($LB125=70%,VLOOKUP($JK125,'Jan-2026 rates'!$L:$R,4,0),IF($LB125=65%,VLOOKUP($JK125,'Jan-2026 rates'!$L:$R,4,0),IF($LB125=40%,VLOOKUP($JK125,'Jan-2026 rates'!$L:$R,5,0),IF($LB125=30%,VLOOKUP($JK125,'Jan-2026 rates'!$L:$R,6,0),IF($LB125=100%,VLOOKUP($JK125,'Jan-2026 rates'!$L:$R,7,0),IF($LB125=60%,VLOOKUP($JK125,'Jan-2026 rates'!$L:$S,8,0),IF($LB125=80%,VLOOKUP($JK125,'Jan-2026 rates'!L:T,9,0),0))))))))</f>
        <v>0</v>
      </c>
      <c r="JN125" s="412"/>
      <c r="JO125" s="409"/>
      <c r="JP125" s="411">
        <f>IF(JO125=0,0,IF($LB125=70%,VLOOKUP($JK125,'Jan-2026 rates'!$L:$R,4,0),IF($LB125=65%,VLOOKUP($JK125,'Jan-2026 rates'!$L:$R,4,0),IF($LB125=40%,VLOOKUP($JK125,'Jan-2026 rates'!$L:$R,5,0),IF($LB125=30%,VLOOKUP($JK125,'Jan-2026 rates'!$L:$R,6,0),IF($LB125=100%,VLOOKUP($JK125,'Jan-2026 rates'!$L:$R,7,0),IF($LB125=60%,VLOOKUP($JK125,'Jan-2026 rates'!$L:$S,8,0),IF($LB125=80%,VLOOKUP($JK125,'Jan-2026 rates'!L:T,9,0),0))))))))</f>
        <v>0</v>
      </c>
      <c r="JQ125" s="413" t="s">
        <v>484</v>
      </c>
      <c r="JR125" s="412" t="s">
        <v>1924</v>
      </c>
      <c r="JS125" s="413"/>
      <c r="JT125" s="413"/>
      <c r="JU125" s="412"/>
      <c r="JV125" s="412"/>
      <c r="JW125" s="412"/>
      <c r="JX125" s="412"/>
      <c r="JY125" s="409">
        <v>100</v>
      </c>
      <c r="JZ125" s="398">
        <f>IF(JY125=0,0,IF(LEN(JQ125)=11,_xlfn.XLOOKUP(JQ125,'Dispensed Ink Rates'!C:C,'Dispensed Ink Rates'!CS:CS),VLOOKUP(JQ125,'Jan-2026 rates'!$E:$F,2,0)))</f>
        <v>0</v>
      </c>
      <c r="KA125" s="409">
        <v>3</v>
      </c>
      <c r="KB125" s="398">
        <f>IF(KA125=0,0,IF(LEN(JR125)=11,_xlfn.XLOOKUP(JR125,'Dispensed Ink Rates'!C:C,'Dispensed Ink Rates'!CS:CS),VLOOKUP(JR125,'Jan-2026 rates'!$E:$F,2,0)))</f>
        <v>0</v>
      </c>
      <c r="KC125" s="409"/>
      <c r="KD125" s="398">
        <f>IF(KC125=0,0,IF(LEN(JS125)=11,_xlfn.XLOOKUP(JS125,'Dispensed Ink Rates'!C:C,'Dispensed Ink Rates'!CS:CS),VLOOKUP(JS125,'Jan-2026 rates'!$E:$F,2,0)))</f>
        <v>0</v>
      </c>
      <c r="KE125" s="409"/>
      <c r="KF125" s="398">
        <f>IF(KE125=0,0,IF(LEN(JT125)=11,_xlfn.XLOOKUP(JT125,'Dispensed Ink Rates'!C:C,'Dispensed Ink Rates'!CS:CS),VLOOKUP(JT125,'Jan-2026 rates'!$E:$F,2,0)))</f>
        <v>0</v>
      </c>
      <c r="KG125" s="409"/>
      <c r="KH125" s="398">
        <f>IF(KG125=0,0,IF(LEN(JU125)=11,_xlfn.XLOOKUP(JU125,'Dispensed Ink Rates'!C:C,'Dispensed Ink Rates'!CS:CS),VLOOKUP(JU125,'Jan-2026 rates'!$E:$F,2,0)))</f>
        <v>0</v>
      </c>
      <c r="KI125" s="409"/>
      <c r="KJ125" s="398">
        <f>IF(KI125=0,0,IF(LEN(JV125)=11,_xlfn.XLOOKUP(JV125,'Dispensed Ink Rates'!C:C,'Dispensed Ink Rates'!CS:CS),VLOOKUP(JV125,'Jan-2026 rates'!$E:$F,2,0)))</f>
        <v>0</v>
      </c>
      <c r="KK125" s="409"/>
      <c r="KL125" s="398">
        <f>IF(KK125=0,0,IF(LEN(JW125)=11,_xlfn.XLOOKUP(JW125,'Dispensed Ink Rates'!C:C,'Dispensed Ink Rates'!CS:CS),VLOOKUP(JW125,'Jan-2026 rates'!$E:$F,2,0)))</f>
        <v>0</v>
      </c>
      <c r="KM125" s="428"/>
      <c r="KN125" s="398">
        <f>IF(KM125=0,0,IF(LEN(JX125)=11,_xlfn.XLOOKUP(JX125,'Dispensed Ink Rates'!C:C,'Dispensed Ink Rates'!CS:CS),VLOOKUP(JX125,'Jan-2026 rates'!$E:$F,2,0)))</f>
        <v>0</v>
      </c>
      <c r="KO125" s="409" t="s">
        <v>1443</v>
      </c>
      <c r="KP125" s="409">
        <v>30</v>
      </c>
      <c r="KQ125" s="411">
        <f t="shared" si="103"/>
        <v>0</v>
      </c>
      <c r="KR125" s="411">
        <f t="shared" si="104"/>
        <v>298.16483516483515</v>
      </c>
      <c r="KS125" s="410">
        <f t="shared" si="105"/>
        <v>0</v>
      </c>
      <c r="KT125" s="409">
        <v>2</v>
      </c>
      <c r="KU125" s="409">
        <v>3</v>
      </c>
      <c r="KV125" s="409">
        <v>5</v>
      </c>
      <c r="KW125" s="409">
        <v>3</v>
      </c>
      <c r="KX125" s="409">
        <v>10</v>
      </c>
      <c r="KY125" s="409">
        <v>3</v>
      </c>
      <c r="KZ125" s="409">
        <v>5</v>
      </c>
      <c r="LA125" s="409">
        <v>60</v>
      </c>
      <c r="LB125" s="415">
        <v>0.8</v>
      </c>
      <c r="LC125" s="415">
        <v>0.2</v>
      </c>
      <c r="LD125" s="415"/>
      <c r="LE125" s="415"/>
      <c r="LF125" s="415"/>
      <c r="LG125" s="409">
        <v>0</v>
      </c>
      <c r="LH125" s="409">
        <f>65+60+128+32+5+6</f>
        <v>296</v>
      </c>
      <c r="LI125" s="409">
        <v>0</v>
      </c>
      <c r="LJ125" s="409">
        <v>0</v>
      </c>
      <c r="LK125" s="416">
        <f t="shared" si="61"/>
        <v>296</v>
      </c>
      <c r="LL125" s="416">
        <f t="shared" si="62"/>
        <v>296</v>
      </c>
      <c r="LM125" s="417">
        <f t="shared" si="63"/>
        <v>236.8</v>
      </c>
      <c r="LN125" s="417">
        <f>VLOOKUP($LM$8,'Jan-2026 rates'!$H:$I,2,0)</f>
        <v>0</v>
      </c>
      <c r="LO125" s="417">
        <f t="shared" si="64"/>
        <v>59.2</v>
      </c>
      <c r="LP125" s="417">
        <f>VLOOKUP($LO$8,'Jan-2026 rates'!$H:$I,2,0)</f>
        <v>0</v>
      </c>
      <c r="LQ125" s="417">
        <f t="shared" si="65"/>
        <v>0</v>
      </c>
      <c r="LR125" s="417">
        <f>VLOOKUP($LQ$8,'Jan-2026 rates'!$H:$I,2,0)</f>
        <v>0</v>
      </c>
      <c r="LS125" s="417">
        <f t="shared" si="66"/>
        <v>0</v>
      </c>
      <c r="LT125" s="417">
        <f>VLOOKUP($LS$8,'Jan-2026 rates'!$H:$I,2,0)</f>
        <v>0</v>
      </c>
      <c r="LU125" s="417">
        <f t="shared" si="67"/>
        <v>0</v>
      </c>
      <c r="LV125" s="417">
        <f>VLOOKUP($LU$8,'Jan-2026 rates'!$H:$I,2,0)</f>
        <v>0</v>
      </c>
      <c r="LW125" s="417">
        <f t="shared" si="68"/>
        <v>0</v>
      </c>
      <c r="LX125" s="417">
        <f t="shared" si="69"/>
        <v>0</v>
      </c>
      <c r="LY125" s="418">
        <f t="shared" si="70"/>
        <v>0</v>
      </c>
      <c r="LZ125" s="417"/>
      <c r="MA125" s="435">
        <f t="shared" si="71"/>
        <v>306.8</v>
      </c>
      <c r="MB125" s="282">
        <f t="shared" si="72"/>
        <v>585.79999999999995</v>
      </c>
      <c r="MC125" s="283">
        <v>80</v>
      </c>
      <c r="MD125" s="284" t="str">
        <f t="shared" si="73"/>
        <v>FLINTSLFLINTSLFLINTSLFLINTSLFLINTSLFLINTSLFLINTSLFLINTSL</v>
      </c>
      <c r="ME125" s="293" t="str">
        <f t="shared" si="74"/>
        <v>+</v>
      </c>
      <c r="MF125" s="293" t="str">
        <f t="shared" si="75"/>
        <v>+</v>
      </c>
      <c r="MG125" s="293" t="str">
        <f t="shared" si="76"/>
        <v>+</v>
      </c>
      <c r="MH125" s="293" t="str">
        <f t="shared" si="77"/>
        <v>+</v>
      </c>
      <c r="MI125" s="293" t="str">
        <f t="shared" si="78"/>
        <v>+</v>
      </c>
      <c r="MJ125" s="293" t="str">
        <f t="shared" si="79"/>
        <v>+</v>
      </c>
      <c r="MK125" s="293" t="str">
        <f t="shared" si="80"/>
        <v>+</v>
      </c>
      <c r="ML125" s="293" t="str">
        <f t="shared" si="81"/>
        <v>+</v>
      </c>
      <c r="MM125" s="3" t="b">
        <f t="array" ref="MM125">OR(ME125:ML125="-")</f>
        <v>0</v>
      </c>
      <c r="MN125" s="285"/>
      <c r="MO125" s="401"/>
      <c r="MP125" s="286"/>
      <c r="MQ125" s="286"/>
      <c r="MR125" s="402"/>
      <c r="MS125" s="400"/>
      <c r="NH125" s="422"/>
      <c r="NJ125" s="421"/>
    </row>
    <row r="126" spans="1:374" s="1" customFormat="1" ht="16.5">
      <c r="A126" s="403">
        <v>46034</v>
      </c>
      <c r="B126" s="404" t="s">
        <v>1015</v>
      </c>
      <c r="C126" s="405" t="s">
        <v>3335</v>
      </c>
      <c r="D126" s="406">
        <v>81</v>
      </c>
      <c r="E126" s="404">
        <v>482</v>
      </c>
      <c r="F126" s="407">
        <v>23100</v>
      </c>
      <c r="G126" s="407" t="s">
        <v>1019</v>
      </c>
      <c r="H126" s="408" t="s">
        <v>1017</v>
      </c>
      <c r="I126" s="409">
        <v>1.8</v>
      </c>
      <c r="J126" s="405" t="s">
        <v>543</v>
      </c>
      <c r="K126" s="404" t="s">
        <v>3336</v>
      </c>
      <c r="L126" s="419" t="str">
        <f t="shared" si="54"/>
        <v>FLINTSL - BLACK</v>
      </c>
      <c r="M126" s="404">
        <v>27</v>
      </c>
      <c r="N126" s="410">
        <f>IF(M126=0,0,IF($LB126=70%,VLOOKUP($L126,'Jan-2026 rates'!$L:$R,4,0),IF($LB126=65%,VLOOKUP($L126,'Jan-2026 rates'!$L:$R,4,0),IF($LB126=40%,VLOOKUP($L126,'Jan-2026 rates'!$L:$R,5,0),IF($LB126=30%,VLOOKUP($L126,'Jan-2026 rates'!$L:$R,6,0),IF($LB126=100%,VLOOKUP($L126,'Jan-2026 rates'!$L:$R,7,0),IF($LB126=60%,VLOOKUP($L126,'Jan-2026 rates'!$L:$S,8,0),IF($LB126=80%,VLOOKUP($L126,'Jan-2026 rates'!L:T,9,0),0))))))))</f>
        <v>0</v>
      </c>
      <c r="O126" s="406"/>
      <c r="P126" s="404"/>
      <c r="Q126" s="410">
        <f>IF(P126=0,0,IF($LB126=70%,VLOOKUP($L126,'Jan-2026 rates'!$L:$R,4,0),IF($LB126=65%,VLOOKUP($L126,'Jan-2026 rates'!$L:$R,4,0),IF($LB126=40%,VLOOKUP($L126,'Jan-2026 rates'!$L:$R,5,0),IF($LB126=30%,VLOOKUP($L126,'Jan-2026 rates'!$L:$R,6,0),IF($LB126=100%,VLOOKUP($L126,'Jan-2026 rates'!$L:$R,7,0),IF($LB126=60%,VLOOKUP($L126,'Jan-2026 rates'!$L:$S,8,0),IF($LB126=80%,VLOOKUP($L126,'Jan-2026 rates'!L:T,9,0),0))))))))</f>
        <v>0</v>
      </c>
      <c r="R126" s="406">
        <v>26513000022</v>
      </c>
      <c r="S126" s="406"/>
      <c r="T126" s="406"/>
      <c r="U126" s="406"/>
      <c r="V126" s="406"/>
      <c r="W126" s="406"/>
      <c r="X126" s="406"/>
      <c r="Y126" s="406"/>
      <c r="Z126" s="404">
        <v>5</v>
      </c>
      <c r="AA126" s="398" t="e">
        <f>IF(Z126=0,0,IF(LEN(R126)=11,_xlfn.XLOOKUP(R126,'Dispensed Ink Rates'!C:C,'Dispensed Ink Rates'!CS:CS),VLOOKUP(R126,'Jan-2026 rates'!$E:$F,2,0)))</f>
        <v>#N/A</v>
      </c>
      <c r="AB126" s="404"/>
      <c r="AC126" s="398">
        <f>IF(AB126=0,0,IF(LEN(S126)=11,_xlfn.XLOOKUP(S126,'Dispensed Ink Rates'!C:C,'Dispensed Ink Rates'!CS:CS),VLOOKUP(S126,'Jan-2026 rates'!$E:$F,2,0)))</f>
        <v>0</v>
      </c>
      <c r="AD126" s="404"/>
      <c r="AE126" s="398">
        <f>IF(AD126=0,0,IF(LEN(T126)=11,_xlfn.XLOOKUP(T126,'Dispensed Ink Rates'!C:C,'Dispensed Ink Rates'!CS:CS),VLOOKUP(T126,'Jan-2026 rates'!$E:$F,2,0)))</f>
        <v>0</v>
      </c>
      <c r="AF126" s="404"/>
      <c r="AG126" s="398">
        <f>IF(AF126=0,0,IF(LEN(U126)=11,_xlfn.XLOOKUP(U126,'Dispensed Ink Rates'!C:C,'Dispensed Ink Rates'!CS:CS),VLOOKUP(U126,'Jan-2026 rates'!$E:$F,2,0)))</f>
        <v>0</v>
      </c>
      <c r="AH126" s="404"/>
      <c r="AI126" s="398">
        <f>IF(AH126=0,0,IF(LEN(V126)=11,_xlfn.XLOOKUP(V126,'Dispensed Ink Rates'!C:C,'Dispensed Ink Rates'!CS:CS),VLOOKUP(V126,'Jan-2026 rates'!$E:$F,2,0)))</f>
        <v>0</v>
      </c>
      <c r="AJ126" s="404"/>
      <c r="AK126" s="398">
        <f>IF(AJ126=0,0,IF(LEN(W126)=11,_xlfn.XLOOKUP(W126,'Dispensed Ink Rates'!C:C,'Dispensed Ink Rates'!CS:CS),VLOOKUP(W126,'Jan-2026 rates'!$E:$F,2,0)))</f>
        <v>0</v>
      </c>
      <c r="AL126" s="404"/>
      <c r="AM126" s="398">
        <f>IF(AL126=0,0,IF(LEN(X126)=11,_xlfn.XLOOKUP(X126,'Dispensed Ink Rates'!C:C,'Dispensed Ink Rates'!CS:CS),VLOOKUP(X126,'Jan-2026 rates'!$E:$F,2,0)))</f>
        <v>0</v>
      </c>
      <c r="AN126" s="404"/>
      <c r="AO126" s="398">
        <f>IF(AN126=0,0,IF(LEN(Y126)=11,_xlfn.XLOOKUP(Y126,'Dispensed Ink Rates'!C:C,'Dispensed Ink Rates'!CS:CS),VLOOKUP(Y126,'Jan-2026 rates'!$E:$F,2,0)))</f>
        <v>0</v>
      </c>
      <c r="AP126" s="409" t="s">
        <v>1443</v>
      </c>
      <c r="AQ126" s="409">
        <v>24</v>
      </c>
      <c r="AR126" s="410">
        <f t="shared" si="82"/>
        <v>0</v>
      </c>
      <c r="AS126" s="411">
        <f t="shared" si="83"/>
        <v>15.24285714285714</v>
      </c>
      <c r="AT126" s="410">
        <f t="shared" si="84"/>
        <v>0</v>
      </c>
      <c r="AU126" s="405" t="s">
        <v>543</v>
      </c>
      <c r="AV126" s="409" t="s">
        <v>3265</v>
      </c>
      <c r="AW126" s="420" t="str">
        <f t="shared" si="53"/>
        <v>FLINTSL - BLACK</v>
      </c>
      <c r="AX126" s="409">
        <v>10</v>
      </c>
      <c r="AY126" s="411">
        <f>IF(AX126=0,0,IF($LB126=70%,VLOOKUP($AW126,'Jan-2026 rates'!$L:$R,4,0),IF($LB126=65%,VLOOKUP($AW126,'Jan-2026 rates'!$L:$R,4,0),IF($LB126=40%,VLOOKUP($AW126,'Jan-2026 rates'!$L:$R,5,0),IF($LB126=30%,VLOOKUP($AW126,'Jan-2026 rates'!$L:$R,6,0),IF($LB126=100%,VLOOKUP($AW126,'Jan-2026 rates'!$L:$R,7,0),IF($LB126=60%,VLOOKUP($AW126,'Jan-2026 rates'!$L:$S,8,0),IF($LB126=80%,VLOOKUP($AW126,'Jan-2026 rates'!L:T,9,0),0))))))))</f>
        <v>0</v>
      </c>
      <c r="AZ126" s="412"/>
      <c r="BA126" s="409"/>
      <c r="BB126" s="411">
        <f>IF(BA126=0,0,IF($LB126=70%,VLOOKUP($AW126,'Jan-2026 rates'!$L:$R,4,0),IF($LB126=65%,VLOOKUP($AW126,'Jan-2026 rates'!$L:$R,4,0),IF($LB126=40%,VLOOKUP($AW126,'Jan-2026 rates'!$L:$R,5,0),IF($LB126=30%,VLOOKUP($AW126,'Jan-2026 rates'!$L:$R,6,0),IF($LB126=100%,VLOOKUP($AW126,'Jan-2026 rates'!$L:$R,7,0),IF($LB126=60%,VLOOKUP($AW126,'Jan-2026 rates'!$L:$S,8,0),IF($LB126=80%,VLOOKUP($AW126,'Jan-2026 rates'!L:T,9,0),0))))))))</f>
        <v>0</v>
      </c>
      <c r="BC126" s="413">
        <v>26511000002</v>
      </c>
      <c r="BD126" s="412">
        <v>26513000022</v>
      </c>
      <c r="BE126" s="412">
        <v>26512000014</v>
      </c>
      <c r="BF126" s="413"/>
      <c r="BG126" s="412"/>
      <c r="BH126" s="412"/>
      <c r="BI126" s="412"/>
      <c r="BJ126" s="412"/>
      <c r="BK126" s="409">
        <v>1</v>
      </c>
      <c r="BL126" s="398" t="e">
        <f>IF(BK126=0,0,IF(LEN(BC126)=11,_xlfn.XLOOKUP(BC126,'Dispensed Ink Rates'!C:C,'Dispensed Ink Rates'!CS:CS),VLOOKUP(BC126,'Jan-2026 rates'!$E:$F,2,0)))</f>
        <v>#N/A</v>
      </c>
      <c r="BM126" s="409">
        <v>2</v>
      </c>
      <c r="BN126" s="398" t="e">
        <f>IF(BM126=0,0,IF(LEN(BD126)=11,_xlfn.XLOOKUP(BD126,'Dispensed Ink Rates'!C:C,'Dispensed Ink Rates'!CS:CS),VLOOKUP(BD126,'Jan-2026 rates'!$E:$F,2,0)))</f>
        <v>#N/A</v>
      </c>
      <c r="BO126" s="409">
        <f>10+2</f>
        <v>12</v>
      </c>
      <c r="BP126" s="398" t="e">
        <f>IF(BO126=0,0,IF(LEN(BE126)=11,_xlfn.XLOOKUP(BE126,'Dispensed Ink Rates'!C:C,'Dispensed Ink Rates'!CS:CS),VLOOKUP(BE126,'Jan-2026 rates'!$E:$F,2,0)))</f>
        <v>#N/A</v>
      </c>
      <c r="BQ126" s="409"/>
      <c r="BR126" s="398">
        <f>IF(BQ126=0,0,IF(LEN(BF126)=11,_xlfn.XLOOKUP(BF126,'Dispensed Ink Rates'!C:C,'Dispensed Ink Rates'!CS:CS),VLOOKUP(BF126,'Jan-2026 rates'!$E:$F,2,0)))</f>
        <v>0</v>
      </c>
      <c r="BS126" s="409"/>
      <c r="BT126" s="398">
        <f>IF(BS126=0,0,IF(LEN(BG126)=11,_xlfn.XLOOKUP(BG126,'Dispensed Ink Rates'!C:C,'Dispensed Ink Rates'!CS:CS),VLOOKUP(BG126,'Jan-2026 rates'!$E:$F,2,0)))</f>
        <v>0</v>
      </c>
      <c r="BU126" s="409"/>
      <c r="BV126" s="398">
        <f>IF(BU126=0,0,IF(LEN(BH126)=11,_xlfn.XLOOKUP(BH126,'Dispensed Ink Rates'!C:C,'Dispensed Ink Rates'!CS:CS),VLOOKUP(BH126,'Jan-2026 rates'!$E:$F,2,0)))</f>
        <v>0</v>
      </c>
      <c r="BW126" s="409"/>
      <c r="BX126" s="398">
        <f>IF(BW126=0,0,IF(LEN(BI126)=11,_xlfn.XLOOKUP(BI126,'Dispensed Ink Rates'!C:C,'Dispensed Ink Rates'!CS:CS),VLOOKUP(BI126,'Jan-2026 rates'!$E:$F,2,0)))</f>
        <v>0</v>
      </c>
      <c r="BY126" s="409"/>
      <c r="BZ126" s="398">
        <f>IF(BY126=0,0,IF(LEN(BJ126)=11,_xlfn.XLOOKUP(BJ126,'Dispensed Ink Rates'!C:C,'Dispensed Ink Rates'!CS:CS),VLOOKUP(BJ126,'Jan-2026 rates'!$E:$F,2,0)))</f>
        <v>0</v>
      </c>
      <c r="CA126" s="409" t="s">
        <v>1443</v>
      </c>
      <c r="CB126" s="409">
        <v>29</v>
      </c>
      <c r="CC126" s="411">
        <f t="shared" si="85"/>
        <v>0</v>
      </c>
      <c r="CD126" s="411">
        <f t="shared" si="86"/>
        <v>8.0714285714285694</v>
      </c>
      <c r="CE126" s="410">
        <f t="shared" si="87"/>
        <v>0</v>
      </c>
      <c r="CF126" s="404" t="s">
        <v>857</v>
      </c>
      <c r="CG126" s="409"/>
      <c r="CH126" s="420" t="str">
        <f t="shared" si="55"/>
        <v>FLINTSL - RED</v>
      </c>
      <c r="CI126" s="409"/>
      <c r="CJ126" s="411">
        <f>IF(CI126=0,0,IF($LB126=70%,VLOOKUP($CH126,'Jan-2026 rates'!$L:$R,4,0),IF($LB126=65%,VLOOKUP($CH126,'Jan-2026 rates'!$L:$R,4,0),IF($LB126=40%,VLOOKUP($CH126,'Jan-2026 rates'!$L:$R,5,0),IF($LB126=30%,VLOOKUP($CH126,'Jan-2026 rates'!$L:$R,6,0),IF($LB126=100%,VLOOKUP($CH126,'Jan-2026 rates'!$L:$R,7,0),IF($LB126=60%,VLOOKUP($CH126,'Jan-2026 rates'!$L:$S,8,0),IF($LB126=80%,VLOOKUP($CH126,'Jan-2026 rates'!L:T,9,0),0))))))))</f>
        <v>0</v>
      </c>
      <c r="CK126" s="412"/>
      <c r="CL126" s="409"/>
      <c r="CM126" s="411">
        <f>IF(CL126=0,0,IF($LB126=70%,VLOOKUP($CH126,'Jan-2026 rates'!$L:$R,4,0),IF($LB126=65%,VLOOKUP($CH126,'Jan-2026 rates'!$L:$R,4,0),IF($LB126=40%,VLOOKUP($CH126,'Jan-2026 rates'!$L:$R,5,0),IF($LB126=30%,VLOOKUP($CH126,'Jan-2026 rates'!$L:$R,6,0),IF($LB126=100%,VLOOKUP($CH126,'Jan-2026 rates'!$L:$R,7,0),IF($LB126=60%,VLOOKUP($CH126,'Jan-2026 rates'!$L:$S,8,0),IF($LB126=80%,VLOOKUP($CH126,'Jan-2026 rates'!L:T,9,0),0))))))))</f>
        <v>0</v>
      </c>
      <c r="CN126" s="426">
        <v>26508000001</v>
      </c>
      <c r="CO126" s="427">
        <v>26512000010</v>
      </c>
      <c r="CP126" s="426"/>
      <c r="CQ126" s="426"/>
      <c r="CR126" s="428"/>
      <c r="CS126" s="428"/>
      <c r="CT126" s="428"/>
      <c r="CU126" s="428"/>
      <c r="CV126" s="409">
        <v>10</v>
      </c>
      <c r="CW126" s="398" t="e">
        <f>IF(CV126=0,0,IF(LEN(CN126)=11,_xlfn.XLOOKUP(CN126,'Dispensed Ink Rates'!C:C,'Dispensed Ink Rates'!CS:CS),VLOOKUP(CN126,'Jan-2026 rates'!$E:$F,2,0)))</f>
        <v>#N/A</v>
      </c>
      <c r="CX126" s="409">
        <v>6</v>
      </c>
      <c r="CY126" s="398" t="e">
        <f>IF(CX126=0,0,IF(LEN(CO126)=11,_xlfn.XLOOKUP(CO126,'Dispensed Ink Rates'!C:C,'Dispensed Ink Rates'!CS:CS),VLOOKUP(CO126,'Jan-2026 rates'!$E:$F,2,0)))</f>
        <v>#N/A</v>
      </c>
      <c r="CZ126" s="409"/>
      <c r="DA126" s="398">
        <f>IF(CZ126=0,0,IF(LEN(CP126)=11,_xlfn.XLOOKUP(CP126,'Dispensed Ink Rates'!C:C,'Dispensed Ink Rates'!CS:CS),VLOOKUP(CP126,'Jan-2026 rates'!$E:$F,2,0)))</f>
        <v>0</v>
      </c>
      <c r="DB126" s="409"/>
      <c r="DC126" s="398">
        <f>IF(DB126=0,0,IF(LEN(CQ126)=11,_xlfn.XLOOKUP(CQ126,'Dispensed Ink Rates'!C:C,'Dispensed Ink Rates'!CS:CS),VLOOKUP(CQ126,'Jan-2026 rates'!$E:$F,2,0)))</f>
        <v>0</v>
      </c>
      <c r="DD126" s="409"/>
      <c r="DE126" s="398">
        <f>IF(DD126=0,0,IF(LEN(CR126)=11,_xlfn.XLOOKUP(CR126,'Dispensed Ink Rates'!C:C,'Dispensed Ink Rates'!CS:CS),VLOOKUP(CR126,'Jan-2026 rates'!$E:$F,2,0)))</f>
        <v>0</v>
      </c>
      <c r="DF126" s="409"/>
      <c r="DG126" s="398">
        <f>IF(DF126=0,0,IF(LEN(CS126)=11,_xlfn.XLOOKUP(CS126,'Dispensed Ink Rates'!C:C,'Dispensed Ink Rates'!CS:CS),VLOOKUP(CS126,'Jan-2026 rates'!$E:$F,2,0)))</f>
        <v>0</v>
      </c>
      <c r="DH126" s="409"/>
      <c r="DI126" s="398">
        <f>IF(DH126=0,0,IF(LEN(CT126)=11,_xlfn.XLOOKUP(CT126,'Dispensed Ink Rates'!C:C,'Dispensed Ink Rates'!CS:CS),VLOOKUP(CT126,'Jan-2026 rates'!$E:$F,2,0)))</f>
        <v>0</v>
      </c>
      <c r="DJ126" s="409"/>
      <c r="DK126" s="398">
        <f>IF(DJ126=0,0,IF(LEN(CU126)=11,_xlfn.XLOOKUP(CU126,'Dispensed Ink Rates'!C:C,'Dispensed Ink Rates'!CS:CS),VLOOKUP(CU126,'Jan-2026 rates'!$E:$F,2,0)))</f>
        <v>0</v>
      </c>
      <c r="DL126" s="409" t="s">
        <v>1443</v>
      </c>
      <c r="DM126" s="409">
        <v>20</v>
      </c>
      <c r="DN126" s="411">
        <f t="shared" si="88"/>
        <v>0</v>
      </c>
      <c r="DO126" s="411">
        <f t="shared" si="89"/>
        <v>20.142857142857139</v>
      </c>
      <c r="DP126" s="410">
        <f t="shared" si="90"/>
        <v>0</v>
      </c>
      <c r="DQ126" s="405" t="s">
        <v>829</v>
      </c>
      <c r="DR126" s="409" t="s">
        <v>3337</v>
      </c>
      <c r="DS126" s="420" t="str">
        <f t="shared" si="56"/>
        <v>FLINTSL - MEDIUM</v>
      </c>
      <c r="DT126" s="409">
        <v>10</v>
      </c>
      <c r="DU126" s="411">
        <f>IF(DT126=0,0,IF($LB126=70%,VLOOKUP($DS126,'Jan-2026 rates'!$L:$R,4,0),IF($LB126=65%,VLOOKUP($DS126,'Jan-2026 rates'!$L:$R,4,0),IF($LB126=40%,VLOOKUP($DS126,'Jan-2026 rates'!$L:$R,5,0),IF($LB126=30%,VLOOKUP($DS126,'Jan-2026 rates'!$L:$R,6,0),IF($LB126=100%,VLOOKUP($DS126,'Jan-2026 rates'!$L:$R,7,0),IF($LB126=60%,VLOOKUP($DS126,'Jan-2026 rates'!$L:$S,8,0),IF($LB126=80%,VLOOKUP($DS126,'Jan-2026 rates'!L:T,9,0),0))))))))</f>
        <v>0</v>
      </c>
      <c r="DV126" s="412" t="s">
        <v>3303</v>
      </c>
      <c r="DW126" s="409">
        <v>18</v>
      </c>
      <c r="DX126" s="411">
        <f>IF(DW126=0,0,IF($LB126=70%,VLOOKUP($DS126,'Jan-2026 rates'!$L:$R,4,0),IF($LB126=65%,VLOOKUP($DS126,'Jan-2026 rates'!$L:$R,4,0),IF($LB126=40%,VLOOKUP($DS126,'Jan-2026 rates'!$L:$R,5,0),IF($LB126=30%,VLOOKUP($DS126,'Jan-2026 rates'!$L:$R,6,0),IF($LB126=100%,VLOOKUP($DS126,'Jan-2026 rates'!$L:$R,7,0),IF($LB126=60%,VLOOKUP($DS126,'Jan-2026 rates'!$L:$S,8,0),IF($LB126=80%,VLOOKUP($DS126,'Jan-2026 rates'!L:T,9,0),0))))))))</f>
        <v>0</v>
      </c>
      <c r="DY126" s="413" t="s">
        <v>484</v>
      </c>
      <c r="DZ126" s="413">
        <v>26511000002</v>
      </c>
      <c r="EA126" s="412">
        <v>26508000001</v>
      </c>
      <c r="EB126" s="412"/>
      <c r="EC126" s="412"/>
      <c r="ED126" s="412"/>
      <c r="EE126" s="412"/>
      <c r="EF126" s="412"/>
      <c r="EG126" s="409">
        <f>4+4</f>
        <v>8</v>
      </c>
      <c r="EH126" s="398">
        <f>IF(EG126=0,0,IF(LEN(DY126)=11,_xlfn.XLOOKUP(DY126,'Dispensed Ink Rates'!C:C,'Dispensed Ink Rates'!CS:CS),VLOOKUP(DY126,'Jan-2026 rates'!$E:$F,2,0)))</f>
        <v>0</v>
      </c>
      <c r="EI126" s="409">
        <v>2</v>
      </c>
      <c r="EJ126" s="398" t="e">
        <f>IF(EI126=0,0,IF(LEN(DZ126)=11,_xlfn.XLOOKUP(DZ126,'Dispensed Ink Rates'!C:C,'Dispensed Ink Rates'!CS:CS),VLOOKUP(DZ126,'Jan-2026 rates'!$E:$F,2,0)))</f>
        <v>#N/A</v>
      </c>
      <c r="EK126" s="409">
        <v>0.4</v>
      </c>
      <c r="EL126" s="398" t="e">
        <f>IF(EK126=0,0,IF(LEN(EA126)=11,_xlfn.XLOOKUP(EA126,'Dispensed Ink Rates'!C:C,'Dispensed Ink Rates'!CS:CS),VLOOKUP(EA126,'Jan-2026 rates'!$E:$F,2,0)))</f>
        <v>#N/A</v>
      </c>
      <c r="EM126" s="409"/>
      <c r="EN126" s="398">
        <f>IF(EM126=0,0,IF(LEN(EB126)=11,_xlfn.XLOOKUP(EB126,'Dispensed Ink Rates'!C:C,'Dispensed Ink Rates'!CS:CS),VLOOKUP(EB126,'Jan-2026 rates'!$E:$F,2,0)))</f>
        <v>0</v>
      </c>
      <c r="EO126" s="409"/>
      <c r="EP126" s="398">
        <f>IF(EO126=0,0,IF(LEN(EC126)=11,_xlfn.XLOOKUP(EC126,'Dispensed Ink Rates'!C:C,'Dispensed Ink Rates'!CS:CS),VLOOKUP(EC126,'Jan-2026 rates'!$E:$F,2,0)))</f>
        <v>0</v>
      </c>
      <c r="EQ126" s="409"/>
      <c r="ER126" s="398">
        <f>IF(EQ126=0,0,IF(LEN(ED126)=11,_xlfn.XLOOKUP(ED126,'Dispensed Ink Rates'!C:C,'Dispensed Ink Rates'!CS:CS),VLOOKUP(ED126,'Jan-2026 rates'!$E:$F,2,0)))</f>
        <v>0</v>
      </c>
      <c r="ES126" s="409"/>
      <c r="ET126" s="398">
        <f>IF(ES126=0,0,IF(LEN(EE126)=11,_xlfn.XLOOKUP(EE126,'Dispensed Ink Rates'!C:C,'Dispensed Ink Rates'!CS:CS),VLOOKUP(EE126,'Jan-2026 rates'!$E:$F,2,0)))</f>
        <v>0</v>
      </c>
      <c r="EU126" s="409"/>
      <c r="EV126" s="398">
        <f>IF(EU126=0,0,IF(LEN(EF126)=11,_xlfn.XLOOKUP(EF126,'Dispensed Ink Rates'!C:C,'Dispensed Ink Rates'!CS:CS),VLOOKUP(EF126,'Jan-2026 rates'!$E:$F,2,0)))</f>
        <v>0</v>
      </c>
      <c r="EW126" s="409" t="s">
        <v>1443</v>
      </c>
      <c r="EX126" s="409">
        <v>27</v>
      </c>
      <c r="EY126" s="411">
        <f t="shared" si="91"/>
        <v>0</v>
      </c>
      <c r="EZ126" s="411">
        <f t="shared" si="92"/>
        <v>23.471428571428568</v>
      </c>
      <c r="FA126" s="410">
        <f t="shared" si="93"/>
        <v>0</v>
      </c>
      <c r="FB126" s="405" t="s">
        <v>855</v>
      </c>
      <c r="FC126" s="409" t="s">
        <v>3338</v>
      </c>
      <c r="FD126" s="420" t="str">
        <f t="shared" si="57"/>
        <v>FLINTSL - CYAN</v>
      </c>
      <c r="FE126" s="409">
        <v>32</v>
      </c>
      <c r="FF126" s="411">
        <f>IF(FE126=0,0,IF($LB126=70%,VLOOKUP($FD126,'Jan-2026 rates'!$L:$R,4,0),IF($LB126=65%,VLOOKUP($FD126,'Jan-2026 rates'!$L:$R,4,0),IF($LB126=40%,VLOOKUP($FD126,'Jan-2026 rates'!$L:$R,5,0),IF($LB126=30%,VLOOKUP($FD126,'Jan-2026 rates'!$L:$R,6,0),IF($LB126=100%,VLOOKUP($FD126,'Jan-2026 rates'!$L:$R,7,0),IF($LB126=60%,VLOOKUP($FD126,'Jan-2026 rates'!$L:$S,8,0),IF($LB126=80%,VLOOKUP($FD126,'Jan-2026 rates'!L:T,9,0),0))))))))</f>
        <v>0</v>
      </c>
      <c r="FG126" s="412"/>
      <c r="FH126" s="409"/>
      <c r="FI126" s="411">
        <f>IF(FH126=0,0,IF($LB126=70%,VLOOKUP($FD126,'Jan-2026 rates'!$L:$R,4,0),IF($LB126=65%,VLOOKUP($FD126,'Jan-2026 rates'!$L:$R,4,0),IF($LB126=40%,VLOOKUP($FD126,'Jan-2026 rates'!$L:$R,5,0),IF($LB126=30%,VLOOKUP($FD126,'Jan-2026 rates'!$L:$R,6,0),IF($LB126=100%,VLOOKUP($FD126,'Jan-2026 rates'!$L:$R,7,0),IF($LB126=60%,VLOOKUP($FD126,'Jan-2026 rates'!$L:$S,8,0),IF($LB126=80%,VLOOKUP($FD126,'Jan-2026 rates'!L:T,9,0),0))))))))</f>
        <v>0</v>
      </c>
      <c r="FJ126" s="413">
        <v>26510000009</v>
      </c>
      <c r="FK126" s="413"/>
      <c r="FL126" s="413"/>
      <c r="FM126" s="412"/>
      <c r="FN126" s="412"/>
      <c r="FO126" s="412"/>
      <c r="FP126" s="412"/>
      <c r="FQ126" s="412"/>
      <c r="FR126" s="409">
        <v>5</v>
      </c>
      <c r="FS126" s="398" t="e">
        <f>IF(FR126=0,0,IF(LEN(FJ126)=11,_xlfn.XLOOKUP(FJ126,'Dispensed Ink Rates'!C:C,'Dispensed Ink Rates'!CS:CS),VLOOKUP(FJ126,'Jan-2026 rates'!$E:$F,2,0)))</f>
        <v>#N/A</v>
      </c>
      <c r="FT126" s="409"/>
      <c r="FU126" s="398">
        <f>IF(FT126=0,0,IF(LEN(FK126)=11,_xlfn.XLOOKUP(FK126,'Dispensed Ink Rates'!C:C,'Dispensed Ink Rates'!CS:CS),VLOOKUP(FK126,'Jan-2026 rates'!$E:$F,2,0)))</f>
        <v>0</v>
      </c>
      <c r="FV126" s="409"/>
      <c r="FW126" s="398">
        <f>IF(FV126=0,0,IF(LEN(FL126)=11,_xlfn.XLOOKUP(FL126,'Dispensed Ink Rates'!C:C,'Dispensed Ink Rates'!CS:CS),VLOOKUP(FL126,'Jan-2026 rates'!$E:$F,2,0)))</f>
        <v>0</v>
      </c>
      <c r="FX126" s="409"/>
      <c r="FY126" s="398">
        <f>IF(FX126=0,0,IF(LEN(FM126)=11,_xlfn.XLOOKUP(FM126,'Dispensed Ink Rates'!C:C,'Dispensed Ink Rates'!CS:CS),VLOOKUP(FM126,'Jan-2026 rates'!$E:$F,2,0)))</f>
        <v>0</v>
      </c>
      <c r="FZ126" s="409"/>
      <c r="GA126" s="398">
        <f>IF(FZ126=0,0,IF(LEN(FN126)=11,_xlfn.XLOOKUP(FN126,'Dispensed Ink Rates'!C:C,'Dispensed Ink Rates'!CS:CS),VLOOKUP(FN126,'Jan-2026 rates'!$E:$F,2,0)))</f>
        <v>0</v>
      </c>
      <c r="GB126" s="409"/>
      <c r="GC126" s="398">
        <f>IF(GB126=0,0,IF(LEN(FO126)=11,_xlfn.XLOOKUP(FO126,'Dispensed Ink Rates'!C:C,'Dispensed Ink Rates'!CS:CS),VLOOKUP(FO126,'Jan-2026 rates'!$E:$F,2,0)))</f>
        <v>0</v>
      </c>
      <c r="GD126" s="409"/>
      <c r="GE126" s="398">
        <f>IF(GD126=0,0,IF(LEN(FP126)=11,_xlfn.XLOOKUP(FP126,'Dispensed Ink Rates'!C:C,'Dispensed Ink Rates'!CS:CS),VLOOKUP(FP126,'Jan-2026 rates'!$E:$F,2,0)))</f>
        <v>0</v>
      </c>
      <c r="GF126" s="409"/>
      <c r="GG126" s="398">
        <f>IF(GF126=0,0,IF(LEN(FQ126)=11,_xlfn.XLOOKUP(FQ126,'Dispensed Ink Rates'!C:C,'Dispensed Ink Rates'!CS:CS),VLOOKUP(FQ126,'Jan-2026 rates'!$E:$F,2,0)))</f>
        <v>0</v>
      </c>
      <c r="GH126" s="409" t="s">
        <v>1443</v>
      </c>
      <c r="GI126" s="409">
        <v>26</v>
      </c>
      <c r="GJ126" s="411">
        <f t="shared" si="94"/>
        <v>0</v>
      </c>
      <c r="GK126" s="411">
        <f t="shared" si="95"/>
        <v>15.828571428571429</v>
      </c>
      <c r="GL126" s="410">
        <f t="shared" si="96"/>
        <v>0</v>
      </c>
      <c r="GM126" s="405" t="s">
        <v>544</v>
      </c>
      <c r="GN126" s="409" t="s">
        <v>3339</v>
      </c>
      <c r="GO126" s="420" t="str">
        <f t="shared" si="58"/>
        <v>FLINTSL - MAGENTA</v>
      </c>
      <c r="GP126" s="409">
        <v>28</v>
      </c>
      <c r="GQ126" s="411">
        <f>IF(GP126=0,0,IF($LB126=70%,VLOOKUP($GO126,'Jan-2026 rates'!$L:$R,4,0),IF($LB126=65%,VLOOKUP($GO126,'Jan-2026 rates'!$L:$R,4,0),IF($LB126=40%,VLOOKUP($GO126,'Jan-2026 rates'!$L:$R,5,0),IF($LB126=30%,VLOOKUP($GO126,'Jan-2026 rates'!$L:$R,6,0),IF($LB126=100%,VLOOKUP($GO126,'Jan-2026 rates'!$L:$R,7,0),IF($LB126=60%,VLOOKUP($GO126,'Jan-2026 rates'!$L:$S,8,0),IF($LB126=80%,VLOOKUP($GO126,'Jan-2026 rates'!L:T,9,0),0))))))))</f>
        <v>0</v>
      </c>
      <c r="GR126" s="412"/>
      <c r="GS126" s="409"/>
      <c r="GT126" s="411">
        <f>IF(GS126=0,0,IF($LB126=70%,VLOOKUP($GO126,'Jan-2026 rates'!$L:$R,4,0),IF($LB126=65%,VLOOKUP($GO126,'Jan-2026 rates'!$L:$R,4,0),IF($LB126=40%,VLOOKUP($GO126,'Jan-2026 rates'!$L:$R,5,0),IF($LB126=30%,VLOOKUP($GO126,'Jan-2026 rates'!$L:$R,6,0),IF($LB126=100%,VLOOKUP($GO126,'Jan-2026 rates'!$L:$R,7,0),IF($LB126=60%,VLOOKUP($GO126,'Jan-2026 rates'!$L:$S,8,0),IF($LB126=80%,VLOOKUP($GO126,'Jan-2026 rates'!L:T,9,0),0))))))))</f>
        <v>0</v>
      </c>
      <c r="GU126" s="413">
        <v>26506000002</v>
      </c>
      <c r="GV126" s="413"/>
      <c r="GW126" s="412"/>
      <c r="GX126" s="412"/>
      <c r="GY126" s="412"/>
      <c r="GZ126" s="412"/>
      <c r="HA126" s="412"/>
      <c r="HB126" s="412"/>
      <c r="HC126" s="409">
        <v>10</v>
      </c>
      <c r="HD126" s="398" t="e">
        <f>IF(HC126=0,0,IF(LEN(GU126)=11,_xlfn.XLOOKUP(GU126,'Dispensed Ink Rates'!C:C,'Dispensed Ink Rates'!CS:CS),VLOOKUP(GU126,'Jan-2026 rates'!$E:$F,2,0)))</f>
        <v>#N/A</v>
      </c>
      <c r="HE126" s="409"/>
      <c r="HF126" s="398">
        <f>IF(HE126=0,0,IF(LEN(GV126)=11,_xlfn.XLOOKUP(GV126,'Dispensed Ink Rates'!C:C,'Dispensed Ink Rates'!CS:CS),VLOOKUP(GV126,'Jan-2026 rates'!$E:$F,2,0)))</f>
        <v>0</v>
      </c>
      <c r="HG126" s="409"/>
      <c r="HH126" s="398">
        <f>IF(HG126=0,0,IF(LEN(GW126)=11,_xlfn.XLOOKUP(GW126,'Dispensed Ink Rates'!C:C,'Dispensed Ink Rates'!CS:CS),VLOOKUP(GW126,'Jan-2026 rates'!$E:$F,2,0)))</f>
        <v>0</v>
      </c>
      <c r="HI126" s="409"/>
      <c r="HJ126" s="398">
        <f>IF(HI126=0,0,IF(LEN(GX126)=11,_xlfn.XLOOKUP(GX126,'Dispensed Ink Rates'!C:C,'Dispensed Ink Rates'!CS:CS),VLOOKUP(GX126,'Jan-2026 rates'!$E:$F,2,0)))</f>
        <v>0</v>
      </c>
      <c r="HK126" s="409"/>
      <c r="HL126" s="398">
        <f>IF(HK126=0,0,IF(LEN(GY126)=11,_xlfn.XLOOKUP(GY126,'Dispensed Ink Rates'!C:C,'Dispensed Ink Rates'!CS:CS),VLOOKUP(GY126,'Jan-2026 rates'!$E:$F,2,0)))</f>
        <v>0</v>
      </c>
      <c r="HM126" s="409"/>
      <c r="HN126" s="398">
        <f>IF(HM126=0,0,IF(LEN(GZ126)=11,_xlfn.XLOOKUP(GZ126,'Dispensed Ink Rates'!C:C,'Dispensed Ink Rates'!CS:CS),VLOOKUP(GZ126,'Jan-2026 rates'!$E:$F,2,0)))</f>
        <v>0</v>
      </c>
      <c r="HO126" s="409"/>
      <c r="HP126" s="398">
        <f>IF(HO126=0,0,IF(LEN(HA126)=11,_xlfn.XLOOKUP(HA126,'Dispensed Ink Rates'!C:C,'Dispensed Ink Rates'!CS:CS),VLOOKUP(HA126,'Jan-2026 rates'!$E:$F,2,0)))</f>
        <v>0</v>
      </c>
      <c r="HQ126" s="409"/>
      <c r="HR126" s="398">
        <f>IF(HQ126=0,0,IF(LEN(HB126)=11,_xlfn.XLOOKUP(HB126,'Dispensed Ink Rates'!C:C,'Dispensed Ink Rates'!CS:CS),VLOOKUP(HB126,'Jan-2026 rates'!$E:$F,2,0)))</f>
        <v>0</v>
      </c>
      <c r="HS126" s="409" t="s">
        <v>1443</v>
      </c>
      <c r="HT126" s="409">
        <v>24</v>
      </c>
      <c r="HU126" s="411">
        <f t="shared" si="97"/>
        <v>0</v>
      </c>
      <c r="HV126" s="411">
        <f t="shared" si="98"/>
        <v>26.071428571428569</v>
      </c>
      <c r="HW126" s="414">
        <f t="shared" si="99"/>
        <v>0</v>
      </c>
      <c r="HX126" s="405" t="s">
        <v>545</v>
      </c>
      <c r="HY126" s="409" t="s">
        <v>3340</v>
      </c>
      <c r="HZ126" s="420" t="str">
        <f t="shared" si="59"/>
        <v>FLINTSL - YELLOW</v>
      </c>
      <c r="IA126" s="409">
        <v>30</v>
      </c>
      <c r="IB126" s="411">
        <f>IF(IA126=0,0,IF($LB126=70%,VLOOKUP($HZ126,'Jan-2026 rates'!$L:$R,4,0),IF($LB126=65%,VLOOKUP($HZ126,'Jan-2026 rates'!$L:$R,4,0),IF($LB126=40%,VLOOKUP($HZ126,'Jan-2026 rates'!$L:$R,5,0),IF($LB126=30%,VLOOKUP($HZ126,'Jan-2026 rates'!$L:$R,6,0),IF($LB126=100%,VLOOKUP($HZ126,'Jan-2026 rates'!$L:$R,7,0),IF($LB126=60%,VLOOKUP($HZ126,'Jan-2026 rates'!$L:$S,8,0),IF($LB126=80%,VLOOKUP($HZ126,'Jan-2026 rates'!L:T,9,0),0))))))))</f>
        <v>0</v>
      </c>
      <c r="IC126" s="412"/>
      <c r="ID126" s="409"/>
      <c r="IE126" s="411">
        <f>IF(ID126=0,0,IF($LB126=70%,VLOOKUP($HZ126,'Jan-2026 rates'!$L:$R,4,0),IF($LB126=65%,VLOOKUP($HZ126,'Jan-2026 rates'!$L:$R,4,0),IF($LB126=40%,VLOOKUP($HZ126,'Jan-2026 rates'!$L:$R,5,0),IF($LB126=30%,VLOOKUP($HZ126,'Jan-2026 rates'!$L:$R,6,0),IF($LB126=100%,VLOOKUP($HZ126,'Jan-2026 rates'!$L:$R,7,0),IF($LB126=60%,VLOOKUP($HZ126,'Jan-2026 rates'!$L:$S,8,0),IF($LB126=80%,VLOOKUP($HZ126,'Jan-2026 rates'!L:T,9,0),0))))))))</f>
        <v>0</v>
      </c>
      <c r="IF126" s="412">
        <v>26511000002</v>
      </c>
      <c r="IG126" s="413"/>
      <c r="IH126" s="412"/>
      <c r="II126" s="412"/>
      <c r="IJ126" s="412"/>
      <c r="IK126" s="412"/>
      <c r="IL126" s="412"/>
      <c r="IM126" s="412"/>
      <c r="IN126" s="409">
        <v>40</v>
      </c>
      <c r="IO126" s="398" t="e">
        <f>IF(IN126=0,0,IF(LEN(IF126)=11,_xlfn.XLOOKUP(IF126,'Dispensed Ink Rates'!C:C,'Dispensed Ink Rates'!CS:CS),VLOOKUP(IF126,'Jan-2026 rates'!$E:$F,2,0)))</f>
        <v>#N/A</v>
      </c>
      <c r="IP126" s="409"/>
      <c r="IQ126" s="398">
        <f>IF(IP126=0,0,IF(LEN(IG126)=11,_xlfn.XLOOKUP(IG126,'Dispensed Ink Rates'!C:C,'Dispensed Ink Rates'!CS:CS),VLOOKUP(IG126,'Jan-2026 rates'!$E:$F,2,0)))</f>
        <v>0</v>
      </c>
      <c r="IR126" s="409"/>
      <c r="IS126" s="398">
        <f>IF(IR126=0,0,IF(LEN(IH126)=11,_xlfn.XLOOKUP(IH126,'Dispensed Ink Rates'!C:C,'Dispensed Ink Rates'!CS:CS),VLOOKUP(IH126,'Jan-2026 rates'!$E:$F,2,0)))</f>
        <v>0</v>
      </c>
      <c r="IT126" s="409"/>
      <c r="IU126" s="398">
        <f>IF(IT126=0,0,IF(LEN(II126)=11,_xlfn.XLOOKUP(II126,'Dispensed Ink Rates'!C:C,'Dispensed Ink Rates'!CS:CS),VLOOKUP(II126,'Jan-2026 rates'!$E:$F,2,0)))</f>
        <v>0</v>
      </c>
      <c r="IV126" s="409"/>
      <c r="IW126" s="398">
        <f>IF(IV126=0,0,IF(LEN(IJ126)=11,_xlfn.XLOOKUP(IJ126,'Dispensed Ink Rates'!C:C,'Dispensed Ink Rates'!CS:CS),VLOOKUP(IJ126,'Jan-2026 rates'!$E:$F,2,0)))</f>
        <v>0</v>
      </c>
      <c r="IX126" s="409"/>
      <c r="IY126" s="398">
        <f>IF(IX126=0,0,IF(LEN(IK126)=11,_xlfn.XLOOKUP(IK126,'Dispensed Ink Rates'!C:C,'Dispensed Ink Rates'!CS:CS),VLOOKUP(IK126,'Jan-2026 rates'!$E:$F,2,0)))</f>
        <v>0</v>
      </c>
      <c r="IZ126" s="409"/>
      <c r="JA126" s="398">
        <f>IF(IZ126=0,0,IF(LEN(IL126)=11,_xlfn.XLOOKUP(IL126,'Dispensed Ink Rates'!C:C,'Dispensed Ink Rates'!CS:CS),VLOOKUP(IL126,'Jan-2026 rates'!$E:$F,2,0)))</f>
        <v>0</v>
      </c>
      <c r="JB126" s="409"/>
      <c r="JC126" s="398">
        <f>IF(JB126=0,0,IF(LEN(IM126)=11,_xlfn.XLOOKUP(IM126,'Dispensed Ink Rates'!C:C,'Dispensed Ink Rates'!CS:CS),VLOOKUP(IM126,'Jan-2026 rates'!$E:$F,2,0)))</f>
        <v>0</v>
      </c>
      <c r="JD126" s="409" t="s">
        <v>1443</v>
      </c>
      <c r="JE126" s="409">
        <v>28</v>
      </c>
      <c r="JF126" s="411">
        <f t="shared" si="100"/>
        <v>0</v>
      </c>
      <c r="JG126" s="411">
        <f t="shared" si="101"/>
        <v>66.142857142857139</v>
      </c>
      <c r="JH126" s="410">
        <f t="shared" si="102"/>
        <v>0</v>
      </c>
      <c r="JI126" s="405" t="s">
        <v>856</v>
      </c>
      <c r="JJ126" s="409" t="s">
        <v>3341</v>
      </c>
      <c r="JK126" s="420" t="str">
        <f t="shared" si="60"/>
        <v>FLINTSL - WHITE</v>
      </c>
      <c r="JL126" s="409">
        <v>30</v>
      </c>
      <c r="JM126" s="411">
        <f>IF(JL126=0,0,IF($LB126=70%,VLOOKUP($JK126,'Jan-2026 rates'!$L:$R,4,0),IF($LB126=65%,VLOOKUP($JK126,'Jan-2026 rates'!$L:$R,4,0),IF($LB126=40%,VLOOKUP($JK126,'Jan-2026 rates'!$L:$R,5,0),IF($LB126=30%,VLOOKUP($JK126,'Jan-2026 rates'!$L:$R,6,0),IF($LB126=100%,VLOOKUP($JK126,'Jan-2026 rates'!$L:$R,7,0),IF($LB126=60%,VLOOKUP($JK126,'Jan-2026 rates'!$L:$S,8,0),IF($LB126=80%,VLOOKUP($JK126,'Jan-2026 rates'!L:T,9,0),0))))))))</f>
        <v>0</v>
      </c>
      <c r="JN126" s="412"/>
      <c r="JO126" s="409"/>
      <c r="JP126" s="411">
        <f>IF(JO126=0,0,IF($LB126=70%,VLOOKUP($JK126,'Jan-2026 rates'!$L:$R,4,0),IF($LB126=65%,VLOOKUP($JK126,'Jan-2026 rates'!$L:$R,4,0),IF($LB126=40%,VLOOKUP($JK126,'Jan-2026 rates'!$L:$R,5,0),IF($LB126=30%,VLOOKUP($JK126,'Jan-2026 rates'!$L:$R,6,0),IF($LB126=100%,VLOOKUP($JK126,'Jan-2026 rates'!$L:$R,7,0),IF($LB126=60%,VLOOKUP($JK126,'Jan-2026 rates'!$L:$S,8,0),IF($LB126=80%,VLOOKUP($JK126,'Jan-2026 rates'!L:T,9,0),0))))))))</f>
        <v>0</v>
      </c>
      <c r="JQ126" s="413" t="s">
        <v>484</v>
      </c>
      <c r="JR126" s="412"/>
      <c r="JS126" s="413"/>
      <c r="JT126" s="413"/>
      <c r="JU126" s="412"/>
      <c r="JV126" s="412"/>
      <c r="JW126" s="412"/>
      <c r="JX126" s="412"/>
      <c r="JY126" s="409">
        <v>60</v>
      </c>
      <c r="JZ126" s="398">
        <f>IF(JY126=0,0,IF(LEN(JQ126)=11,_xlfn.XLOOKUP(JQ126,'Dispensed Ink Rates'!C:C,'Dispensed Ink Rates'!CS:CS),VLOOKUP(JQ126,'Jan-2026 rates'!$E:$F,2,0)))</f>
        <v>0</v>
      </c>
      <c r="KA126" s="409"/>
      <c r="KB126" s="398">
        <f>IF(KA126=0,0,IF(LEN(JR126)=11,_xlfn.XLOOKUP(JR126,'Dispensed Ink Rates'!C:C,'Dispensed Ink Rates'!CS:CS),VLOOKUP(JR126,'Jan-2026 rates'!$E:$F,2,0)))</f>
        <v>0</v>
      </c>
      <c r="KC126" s="409"/>
      <c r="KD126" s="398">
        <f>IF(KC126=0,0,IF(LEN(JS126)=11,_xlfn.XLOOKUP(JS126,'Dispensed Ink Rates'!C:C,'Dispensed Ink Rates'!CS:CS),VLOOKUP(JS126,'Jan-2026 rates'!$E:$F,2,0)))</f>
        <v>0</v>
      </c>
      <c r="KE126" s="409"/>
      <c r="KF126" s="398">
        <f>IF(KE126=0,0,IF(LEN(JT126)=11,_xlfn.XLOOKUP(JT126,'Dispensed Ink Rates'!C:C,'Dispensed Ink Rates'!CS:CS),VLOOKUP(JT126,'Jan-2026 rates'!$E:$F,2,0)))</f>
        <v>0</v>
      </c>
      <c r="KG126" s="409"/>
      <c r="KH126" s="398">
        <f>IF(KG126=0,0,IF(LEN(JU126)=11,_xlfn.XLOOKUP(JU126,'Dispensed Ink Rates'!C:C,'Dispensed Ink Rates'!CS:CS),VLOOKUP(JU126,'Jan-2026 rates'!$E:$F,2,0)))</f>
        <v>0</v>
      </c>
      <c r="KI126" s="409"/>
      <c r="KJ126" s="398">
        <f>IF(KI126=0,0,IF(LEN(JV126)=11,_xlfn.XLOOKUP(JV126,'Dispensed Ink Rates'!C:C,'Dispensed Ink Rates'!CS:CS),VLOOKUP(JV126,'Jan-2026 rates'!$E:$F,2,0)))</f>
        <v>0</v>
      </c>
      <c r="KK126" s="409"/>
      <c r="KL126" s="398">
        <f>IF(KK126=0,0,IF(LEN(JW126)=11,_xlfn.XLOOKUP(JW126,'Dispensed Ink Rates'!C:C,'Dispensed Ink Rates'!CS:CS),VLOOKUP(JW126,'Jan-2026 rates'!$E:$F,2,0)))</f>
        <v>0</v>
      </c>
      <c r="KM126" s="428"/>
      <c r="KN126" s="398">
        <f>IF(KM126=0,0,IF(LEN(JX126)=11,_xlfn.XLOOKUP(JX126,'Dispensed Ink Rates'!C:C,'Dispensed Ink Rates'!CS:CS),VLOOKUP(JX126,'Jan-2026 rates'!$E:$F,2,0)))</f>
        <v>0</v>
      </c>
      <c r="KO126" s="409" t="s">
        <v>1443</v>
      </c>
      <c r="KP126" s="409">
        <v>27</v>
      </c>
      <c r="KQ126" s="411">
        <f t="shared" si="103"/>
        <v>0</v>
      </c>
      <c r="KR126" s="411">
        <f t="shared" si="104"/>
        <v>135.42857142857144</v>
      </c>
      <c r="KS126" s="410">
        <f t="shared" si="105"/>
        <v>0</v>
      </c>
      <c r="KT126" s="409">
        <v>3</v>
      </c>
      <c r="KU126" s="409">
        <v>5</v>
      </c>
      <c r="KV126" s="409">
        <v>10</v>
      </c>
      <c r="KW126" s="409">
        <v>5</v>
      </c>
      <c r="KX126" s="409">
        <v>2</v>
      </c>
      <c r="KY126" s="409">
        <v>5</v>
      </c>
      <c r="KZ126" s="409">
        <v>10</v>
      </c>
      <c r="LA126" s="409">
        <v>30</v>
      </c>
      <c r="LB126" s="415">
        <v>0.8</v>
      </c>
      <c r="LC126" s="415">
        <v>0.2</v>
      </c>
      <c r="LD126" s="415"/>
      <c r="LE126" s="415"/>
      <c r="LF126" s="415"/>
      <c r="LG126" s="409">
        <v>0</v>
      </c>
      <c r="LH126" s="409">
        <f>30+30+80+20+5+4</f>
        <v>169</v>
      </c>
      <c r="LI126" s="409">
        <v>0</v>
      </c>
      <c r="LJ126" s="409">
        <v>0</v>
      </c>
      <c r="LK126" s="416">
        <f t="shared" si="61"/>
        <v>169</v>
      </c>
      <c r="LL126" s="416">
        <f t="shared" si="62"/>
        <v>169</v>
      </c>
      <c r="LM126" s="417">
        <f t="shared" si="63"/>
        <v>135.20000000000002</v>
      </c>
      <c r="LN126" s="417">
        <f>VLOOKUP($LM$8,'Jan-2026 rates'!$H:$I,2,0)</f>
        <v>0</v>
      </c>
      <c r="LO126" s="417">
        <f t="shared" si="64"/>
        <v>33.800000000000004</v>
      </c>
      <c r="LP126" s="417">
        <f>VLOOKUP($LO$8,'Jan-2026 rates'!$H:$I,2,0)</f>
        <v>0</v>
      </c>
      <c r="LQ126" s="417">
        <f t="shared" si="65"/>
        <v>0</v>
      </c>
      <c r="LR126" s="417">
        <f>VLOOKUP($LQ$8,'Jan-2026 rates'!$H:$I,2,0)</f>
        <v>0</v>
      </c>
      <c r="LS126" s="417">
        <f t="shared" si="66"/>
        <v>0</v>
      </c>
      <c r="LT126" s="417">
        <f>VLOOKUP($LS$8,'Jan-2026 rates'!$H:$I,2,0)</f>
        <v>0</v>
      </c>
      <c r="LU126" s="417">
        <f t="shared" si="67"/>
        <v>0</v>
      </c>
      <c r="LV126" s="417">
        <f>VLOOKUP($LU$8,'Jan-2026 rates'!$H:$I,2,0)</f>
        <v>0</v>
      </c>
      <c r="LW126" s="417">
        <f t="shared" si="68"/>
        <v>0</v>
      </c>
      <c r="LX126" s="417">
        <f t="shared" si="69"/>
        <v>0</v>
      </c>
      <c r="LY126" s="418">
        <f t="shared" si="70"/>
        <v>0</v>
      </c>
      <c r="LZ126" s="417"/>
      <c r="MA126" s="435">
        <f t="shared" si="71"/>
        <v>161.4</v>
      </c>
      <c r="MB126" s="282">
        <f t="shared" si="72"/>
        <v>310.39999999999998</v>
      </c>
      <c r="MC126" s="283">
        <v>81</v>
      </c>
      <c r="MD126" s="284" t="str">
        <f t="shared" si="73"/>
        <v>FLINTSLFLINTSLFLINTSLFLINTSLFLINTSLFLINTSLFLINTSLFLINTSL</v>
      </c>
      <c r="ME126" s="293" t="str">
        <f t="shared" si="74"/>
        <v>+</v>
      </c>
      <c r="MF126" s="293" t="str">
        <f t="shared" si="75"/>
        <v>+</v>
      </c>
      <c r="MG126" s="293" t="str">
        <f t="shared" si="76"/>
        <v>+</v>
      </c>
      <c r="MH126" s="293" t="str">
        <f t="shared" si="77"/>
        <v>+</v>
      </c>
      <c r="MI126" s="293" t="str">
        <f t="shared" si="78"/>
        <v>+</v>
      </c>
      <c r="MJ126" s="293" t="str">
        <f t="shared" si="79"/>
        <v>+</v>
      </c>
      <c r="MK126" s="293" t="str">
        <f t="shared" si="80"/>
        <v>+</v>
      </c>
      <c r="ML126" s="293" t="str">
        <f t="shared" si="81"/>
        <v>+</v>
      </c>
      <c r="MM126" s="3" t="b">
        <f t="array" ref="MM126">OR(ME126:ML126="-")</f>
        <v>0</v>
      </c>
      <c r="MN126" s="285"/>
      <c r="MO126" s="401"/>
      <c r="MP126" s="286"/>
      <c r="MQ126" s="286"/>
      <c r="MR126" s="402"/>
      <c r="MS126" s="400"/>
      <c r="NH126" s="422"/>
      <c r="NJ126" s="421"/>
    </row>
    <row r="127" spans="1:374" s="1" customFormat="1" ht="16.5">
      <c r="A127" s="403">
        <v>46034</v>
      </c>
      <c r="B127" s="404" t="s">
        <v>1018</v>
      </c>
      <c r="C127" s="405" t="s">
        <v>3342</v>
      </c>
      <c r="D127" s="406">
        <v>82</v>
      </c>
      <c r="E127" s="404">
        <v>217</v>
      </c>
      <c r="F127" s="407">
        <v>11300</v>
      </c>
      <c r="G127" s="407" t="s">
        <v>1019</v>
      </c>
      <c r="H127" s="408" t="s">
        <v>1017</v>
      </c>
      <c r="I127" s="409">
        <v>1.4</v>
      </c>
      <c r="J127" s="405" t="s">
        <v>543</v>
      </c>
      <c r="K127" s="404" t="s">
        <v>3343</v>
      </c>
      <c r="L127" s="419" t="str">
        <f t="shared" si="54"/>
        <v>FLINTSL - BLACK</v>
      </c>
      <c r="M127" s="404">
        <v>24</v>
      </c>
      <c r="N127" s="410">
        <f>IF(M127=0,0,IF($LB127=70%,VLOOKUP($L127,'Jan-2026 rates'!$L:$R,4,0),IF($LB127=65%,VLOOKUP($L127,'Jan-2026 rates'!$L:$R,4,0),IF($LB127=40%,VLOOKUP($L127,'Jan-2026 rates'!$L:$R,5,0),IF($LB127=30%,VLOOKUP($L127,'Jan-2026 rates'!$L:$R,6,0),IF($LB127=100%,VLOOKUP($L127,'Jan-2026 rates'!$L:$R,7,0),IF($LB127=60%,VLOOKUP($L127,'Jan-2026 rates'!$L:$S,8,0),IF($LB127=80%,VLOOKUP($L127,'Jan-2026 rates'!L:T,9,0),0))))))))</f>
        <v>0</v>
      </c>
      <c r="O127" s="406"/>
      <c r="P127" s="404"/>
      <c r="Q127" s="410">
        <f>IF(P127=0,0,IF($LB127=70%,VLOOKUP($L127,'Jan-2026 rates'!$L:$R,4,0),IF($LB127=65%,VLOOKUP($L127,'Jan-2026 rates'!$L:$R,4,0),IF($LB127=40%,VLOOKUP($L127,'Jan-2026 rates'!$L:$R,5,0),IF($LB127=30%,VLOOKUP($L127,'Jan-2026 rates'!$L:$R,6,0),IF($LB127=100%,VLOOKUP($L127,'Jan-2026 rates'!$L:$R,7,0),IF($LB127=60%,VLOOKUP($L127,'Jan-2026 rates'!$L:$S,8,0),IF($LB127=80%,VLOOKUP($L127,'Jan-2026 rates'!L:T,9,0),0))))))))</f>
        <v>0</v>
      </c>
      <c r="R127" s="406">
        <v>26506000002</v>
      </c>
      <c r="S127" s="406"/>
      <c r="T127" s="406"/>
      <c r="U127" s="406"/>
      <c r="V127" s="406"/>
      <c r="W127" s="406"/>
      <c r="X127" s="406"/>
      <c r="Y127" s="406"/>
      <c r="Z127" s="404">
        <v>3</v>
      </c>
      <c r="AA127" s="398" t="e">
        <f>IF(Z127=0,0,IF(LEN(R127)=11,_xlfn.XLOOKUP(R127,'Dispensed Ink Rates'!C:C,'Dispensed Ink Rates'!CS:CS),VLOOKUP(R127,'Jan-2026 rates'!$E:$F,2,0)))</f>
        <v>#N/A</v>
      </c>
      <c r="AB127" s="404"/>
      <c r="AC127" s="398">
        <f>IF(AB127=0,0,IF(LEN(S127)=11,_xlfn.XLOOKUP(S127,'Dispensed Ink Rates'!C:C,'Dispensed Ink Rates'!CS:CS),VLOOKUP(S127,'Jan-2026 rates'!$E:$F,2,0)))</f>
        <v>0</v>
      </c>
      <c r="AD127" s="404"/>
      <c r="AE127" s="398">
        <f>IF(AD127=0,0,IF(LEN(T127)=11,_xlfn.XLOOKUP(T127,'Dispensed Ink Rates'!C:C,'Dispensed Ink Rates'!CS:CS),VLOOKUP(T127,'Jan-2026 rates'!$E:$F,2,0)))</f>
        <v>0</v>
      </c>
      <c r="AF127" s="404"/>
      <c r="AG127" s="398">
        <f>IF(AF127=0,0,IF(LEN(U127)=11,_xlfn.XLOOKUP(U127,'Dispensed Ink Rates'!C:C,'Dispensed Ink Rates'!CS:CS),VLOOKUP(U127,'Jan-2026 rates'!$E:$F,2,0)))</f>
        <v>0</v>
      </c>
      <c r="AH127" s="404"/>
      <c r="AI127" s="398">
        <f>IF(AH127=0,0,IF(LEN(V127)=11,_xlfn.XLOOKUP(V127,'Dispensed Ink Rates'!C:C,'Dispensed Ink Rates'!CS:CS),VLOOKUP(V127,'Jan-2026 rates'!$E:$F,2,0)))</f>
        <v>0</v>
      </c>
      <c r="AJ127" s="404"/>
      <c r="AK127" s="398">
        <f>IF(AJ127=0,0,IF(LEN(W127)=11,_xlfn.XLOOKUP(W127,'Dispensed Ink Rates'!C:C,'Dispensed Ink Rates'!CS:CS),VLOOKUP(W127,'Jan-2026 rates'!$E:$F,2,0)))</f>
        <v>0</v>
      </c>
      <c r="AL127" s="404"/>
      <c r="AM127" s="398">
        <f>IF(AL127=0,0,IF(LEN(X127)=11,_xlfn.XLOOKUP(X127,'Dispensed Ink Rates'!C:C,'Dispensed Ink Rates'!CS:CS),VLOOKUP(X127,'Jan-2026 rates'!$E:$F,2,0)))</f>
        <v>0</v>
      </c>
      <c r="AN127" s="404"/>
      <c r="AO127" s="398">
        <f>IF(AN127=0,0,IF(LEN(Y127)=11,_xlfn.XLOOKUP(Y127,'Dispensed Ink Rates'!C:C,'Dispensed Ink Rates'!CS:CS),VLOOKUP(Y127,'Jan-2026 rates'!$E:$F,2,0)))</f>
        <v>0</v>
      </c>
      <c r="AP127" s="409" t="s">
        <v>1443</v>
      </c>
      <c r="AQ127" s="409">
        <v>22</v>
      </c>
      <c r="AR127" s="410">
        <f t="shared" si="82"/>
        <v>0</v>
      </c>
      <c r="AS127" s="411">
        <f t="shared" si="83"/>
        <v>8.304347826086957</v>
      </c>
      <c r="AT127" s="410">
        <f t="shared" si="84"/>
        <v>0</v>
      </c>
      <c r="AU127" s="405" t="s">
        <v>547</v>
      </c>
      <c r="AV127" s="409" t="s">
        <v>3247</v>
      </c>
      <c r="AW127" s="420" t="str">
        <f t="shared" si="53"/>
        <v>FLINTSL - GREEN</v>
      </c>
      <c r="AX127" s="409">
        <v>6</v>
      </c>
      <c r="AY127" s="411">
        <f>IF(AX127=0,0,IF($LB127=70%,VLOOKUP($AW127,'Jan-2026 rates'!$L:$R,4,0),IF($LB127=65%,VLOOKUP($AW127,'Jan-2026 rates'!$L:$R,4,0),IF($LB127=40%,VLOOKUP($AW127,'Jan-2026 rates'!$L:$R,5,0),IF($LB127=30%,VLOOKUP($AW127,'Jan-2026 rates'!$L:$R,6,0),IF($LB127=100%,VLOOKUP($AW127,'Jan-2026 rates'!$L:$R,7,0),IF($LB127=60%,VLOOKUP($AW127,'Jan-2026 rates'!$L:$S,8,0),IF($LB127=80%,VLOOKUP($AW127,'Jan-2026 rates'!L:T,9,0),0))))))))</f>
        <v>0</v>
      </c>
      <c r="AZ127" s="412"/>
      <c r="BA127" s="409"/>
      <c r="BB127" s="411">
        <f>IF(BA127=0,0,IF($LB127=70%,VLOOKUP($AW127,'Jan-2026 rates'!$L:$R,4,0),IF($LB127=65%,VLOOKUP($AW127,'Jan-2026 rates'!$L:$R,4,0),IF($LB127=40%,VLOOKUP($AW127,'Jan-2026 rates'!$L:$R,5,0),IF($LB127=30%,VLOOKUP($AW127,'Jan-2026 rates'!$L:$R,6,0),IF($LB127=100%,VLOOKUP($AW127,'Jan-2026 rates'!$L:$R,7,0),IF($LB127=60%,VLOOKUP($AW127,'Jan-2026 rates'!$L:$S,8,0),IF($LB127=80%,VLOOKUP($AW127,'Jan-2026 rates'!L:T,9,0),0))))))))</f>
        <v>0</v>
      </c>
      <c r="BC127" s="413">
        <v>26513000018</v>
      </c>
      <c r="BD127" s="412">
        <v>26506000002</v>
      </c>
      <c r="BE127" s="412"/>
      <c r="BF127" s="413"/>
      <c r="BG127" s="412"/>
      <c r="BH127" s="412"/>
      <c r="BI127" s="412"/>
      <c r="BJ127" s="412"/>
      <c r="BK127" s="409">
        <v>10</v>
      </c>
      <c r="BL127" s="398" t="e">
        <f>IF(BK127=0,0,IF(LEN(BC127)=11,_xlfn.XLOOKUP(BC127,'Dispensed Ink Rates'!C:C,'Dispensed Ink Rates'!CS:CS),VLOOKUP(BC127,'Jan-2026 rates'!$E:$F,2,0)))</f>
        <v>#N/A</v>
      </c>
      <c r="BM127" s="409">
        <v>4</v>
      </c>
      <c r="BN127" s="398" t="e">
        <f>IF(BM127=0,0,IF(LEN(BD127)=11,_xlfn.XLOOKUP(BD127,'Dispensed Ink Rates'!C:C,'Dispensed Ink Rates'!CS:CS),VLOOKUP(BD127,'Jan-2026 rates'!$E:$F,2,0)))</f>
        <v>#N/A</v>
      </c>
      <c r="BO127" s="409"/>
      <c r="BP127" s="398">
        <f>IF(BO127=0,0,IF(LEN(BE127)=11,_xlfn.XLOOKUP(BE127,'Dispensed Ink Rates'!C:C,'Dispensed Ink Rates'!CS:CS),VLOOKUP(BE127,'Jan-2026 rates'!$E:$F,2,0)))</f>
        <v>0</v>
      </c>
      <c r="BQ127" s="409"/>
      <c r="BR127" s="398">
        <f>IF(BQ127=0,0,IF(LEN(BF127)=11,_xlfn.XLOOKUP(BF127,'Dispensed Ink Rates'!C:C,'Dispensed Ink Rates'!CS:CS),VLOOKUP(BF127,'Jan-2026 rates'!$E:$F,2,0)))</f>
        <v>0</v>
      </c>
      <c r="BS127" s="409"/>
      <c r="BT127" s="398">
        <f>IF(BS127=0,0,IF(LEN(BG127)=11,_xlfn.XLOOKUP(BG127,'Dispensed Ink Rates'!C:C,'Dispensed Ink Rates'!CS:CS),VLOOKUP(BG127,'Jan-2026 rates'!$E:$F,2,0)))</f>
        <v>0</v>
      </c>
      <c r="BU127" s="409"/>
      <c r="BV127" s="398">
        <f>IF(BU127=0,0,IF(LEN(BH127)=11,_xlfn.XLOOKUP(BH127,'Dispensed Ink Rates'!C:C,'Dispensed Ink Rates'!CS:CS),VLOOKUP(BH127,'Jan-2026 rates'!$E:$F,2,0)))</f>
        <v>0</v>
      </c>
      <c r="BW127" s="409"/>
      <c r="BX127" s="398">
        <f>IF(BW127=0,0,IF(LEN(BI127)=11,_xlfn.XLOOKUP(BI127,'Dispensed Ink Rates'!C:C,'Dispensed Ink Rates'!CS:CS),VLOOKUP(BI127,'Jan-2026 rates'!$E:$F,2,0)))</f>
        <v>0</v>
      </c>
      <c r="BY127" s="409"/>
      <c r="BZ127" s="398">
        <f>IF(BY127=0,0,IF(LEN(BJ127)=11,_xlfn.XLOOKUP(BJ127,'Dispensed Ink Rates'!C:C,'Dispensed Ink Rates'!CS:CS),VLOOKUP(BJ127,'Jan-2026 rates'!$E:$F,2,0)))</f>
        <v>0</v>
      </c>
      <c r="CA127" s="409" t="s">
        <v>1443</v>
      </c>
      <c r="CB127" s="409">
        <v>21</v>
      </c>
      <c r="CC127" s="411">
        <f t="shared" si="85"/>
        <v>0</v>
      </c>
      <c r="CD127" s="411">
        <f t="shared" si="86"/>
        <v>15.521739130434781</v>
      </c>
      <c r="CE127" s="410">
        <f t="shared" si="87"/>
        <v>0</v>
      </c>
      <c r="CF127" s="404" t="s">
        <v>544</v>
      </c>
      <c r="CG127" s="409" t="s">
        <v>3344</v>
      </c>
      <c r="CH127" s="420" t="str">
        <f t="shared" si="55"/>
        <v>FLINTSL - MAGENTA</v>
      </c>
      <c r="CI127" s="409">
        <v>24</v>
      </c>
      <c r="CJ127" s="411">
        <f>IF(CI127=0,0,IF($LB127=70%,VLOOKUP($CH127,'Jan-2026 rates'!$L:$R,4,0),IF($LB127=65%,VLOOKUP($CH127,'Jan-2026 rates'!$L:$R,4,0),IF($LB127=40%,VLOOKUP($CH127,'Jan-2026 rates'!$L:$R,5,0),IF($LB127=30%,VLOOKUP($CH127,'Jan-2026 rates'!$L:$R,6,0),IF($LB127=100%,VLOOKUP($CH127,'Jan-2026 rates'!$L:$R,7,0),IF($LB127=60%,VLOOKUP($CH127,'Jan-2026 rates'!$L:$S,8,0),IF($LB127=80%,VLOOKUP($CH127,'Jan-2026 rates'!L:T,9,0),0))))))))</f>
        <v>0</v>
      </c>
      <c r="CK127" s="412"/>
      <c r="CL127" s="409"/>
      <c r="CM127" s="411">
        <f>IF(CL127=0,0,IF($LB127=70%,VLOOKUP($CH127,'Jan-2026 rates'!$L:$R,4,0),IF($LB127=65%,VLOOKUP($CH127,'Jan-2026 rates'!$L:$R,4,0),IF($LB127=40%,VLOOKUP($CH127,'Jan-2026 rates'!$L:$R,5,0),IF($LB127=30%,VLOOKUP($CH127,'Jan-2026 rates'!$L:$R,6,0),IF($LB127=100%,VLOOKUP($CH127,'Jan-2026 rates'!$L:$R,7,0),IF($LB127=60%,VLOOKUP($CH127,'Jan-2026 rates'!$L:$S,8,0),IF($LB127=80%,VLOOKUP($CH127,'Jan-2026 rates'!L:T,9,0),0))))))))</f>
        <v>0</v>
      </c>
      <c r="CN127" s="426">
        <v>26512000010</v>
      </c>
      <c r="CO127" s="427"/>
      <c r="CP127" s="426"/>
      <c r="CQ127" s="426"/>
      <c r="CR127" s="428"/>
      <c r="CS127" s="428"/>
      <c r="CT127" s="428"/>
      <c r="CU127" s="428"/>
      <c r="CV127" s="409">
        <v>3</v>
      </c>
      <c r="CW127" s="398" t="e">
        <f>IF(CV127=0,0,IF(LEN(CN127)=11,_xlfn.XLOOKUP(CN127,'Dispensed Ink Rates'!C:C,'Dispensed Ink Rates'!CS:CS),VLOOKUP(CN127,'Jan-2026 rates'!$E:$F,2,0)))</f>
        <v>#N/A</v>
      </c>
      <c r="CX127" s="409"/>
      <c r="CY127" s="398">
        <f>IF(CX127=0,0,IF(LEN(CO127)=11,_xlfn.XLOOKUP(CO127,'Dispensed Ink Rates'!C:C,'Dispensed Ink Rates'!CS:CS),VLOOKUP(CO127,'Jan-2026 rates'!$E:$F,2,0)))</f>
        <v>0</v>
      </c>
      <c r="CZ127" s="409"/>
      <c r="DA127" s="398">
        <f>IF(CZ127=0,0,IF(LEN(CP127)=11,_xlfn.XLOOKUP(CP127,'Dispensed Ink Rates'!C:C,'Dispensed Ink Rates'!CS:CS),VLOOKUP(CP127,'Jan-2026 rates'!$E:$F,2,0)))</f>
        <v>0</v>
      </c>
      <c r="DB127" s="409"/>
      <c r="DC127" s="398">
        <f>IF(DB127=0,0,IF(LEN(CQ127)=11,_xlfn.XLOOKUP(CQ127,'Dispensed Ink Rates'!C:C,'Dispensed Ink Rates'!CS:CS),VLOOKUP(CQ127,'Jan-2026 rates'!$E:$F,2,0)))</f>
        <v>0</v>
      </c>
      <c r="DD127" s="409"/>
      <c r="DE127" s="398">
        <f>IF(DD127=0,0,IF(LEN(CR127)=11,_xlfn.XLOOKUP(CR127,'Dispensed Ink Rates'!C:C,'Dispensed Ink Rates'!CS:CS),VLOOKUP(CR127,'Jan-2026 rates'!$E:$F,2,0)))</f>
        <v>0</v>
      </c>
      <c r="DF127" s="409"/>
      <c r="DG127" s="398">
        <f>IF(DF127=0,0,IF(LEN(CS127)=11,_xlfn.XLOOKUP(CS127,'Dispensed Ink Rates'!C:C,'Dispensed Ink Rates'!CS:CS),VLOOKUP(CS127,'Jan-2026 rates'!$E:$F,2,0)))</f>
        <v>0</v>
      </c>
      <c r="DH127" s="409"/>
      <c r="DI127" s="398">
        <f>IF(DH127=0,0,IF(LEN(CT127)=11,_xlfn.XLOOKUP(CT127,'Dispensed Ink Rates'!C:C,'Dispensed Ink Rates'!CS:CS),VLOOKUP(CT127,'Jan-2026 rates'!$E:$F,2,0)))</f>
        <v>0</v>
      </c>
      <c r="DJ127" s="409"/>
      <c r="DK127" s="398">
        <f>IF(DJ127=0,0,IF(LEN(CU127)=11,_xlfn.XLOOKUP(CU127,'Dispensed Ink Rates'!C:C,'Dispensed Ink Rates'!CS:CS),VLOOKUP(CU127,'Jan-2026 rates'!$E:$F,2,0)))</f>
        <v>0</v>
      </c>
      <c r="DL127" s="409" t="s">
        <v>1443</v>
      </c>
      <c r="DM127" s="409">
        <v>23</v>
      </c>
      <c r="DN127" s="411">
        <f t="shared" si="88"/>
        <v>0</v>
      </c>
      <c r="DO127" s="411">
        <f t="shared" si="89"/>
        <v>7.304347826086957</v>
      </c>
      <c r="DP127" s="410">
        <f t="shared" si="90"/>
        <v>0</v>
      </c>
      <c r="DQ127" s="405" t="s">
        <v>545</v>
      </c>
      <c r="DR127" s="409" t="s">
        <v>3345</v>
      </c>
      <c r="DS127" s="420" t="str">
        <f t="shared" si="56"/>
        <v>FLINTSL - YELLOW</v>
      </c>
      <c r="DT127" s="409">
        <v>28</v>
      </c>
      <c r="DU127" s="411">
        <f>IF(DT127=0,0,IF($LB127=70%,VLOOKUP($DS127,'Jan-2026 rates'!$L:$R,4,0),IF($LB127=65%,VLOOKUP($DS127,'Jan-2026 rates'!$L:$R,4,0),IF($LB127=40%,VLOOKUP($DS127,'Jan-2026 rates'!$L:$R,5,0),IF($LB127=30%,VLOOKUP($DS127,'Jan-2026 rates'!$L:$R,6,0),IF($LB127=100%,VLOOKUP($DS127,'Jan-2026 rates'!$L:$R,7,0),IF($LB127=60%,VLOOKUP($DS127,'Jan-2026 rates'!$L:$S,8,0),IF($LB127=80%,VLOOKUP($DS127,'Jan-2026 rates'!L:T,9,0),0))))))))</f>
        <v>0</v>
      </c>
      <c r="DV127" s="412"/>
      <c r="DW127" s="409"/>
      <c r="DX127" s="411">
        <f>IF(DW127=0,0,IF($LB127=70%,VLOOKUP($DS127,'Jan-2026 rates'!$L:$R,4,0),IF($LB127=65%,VLOOKUP($DS127,'Jan-2026 rates'!$L:$R,4,0),IF($LB127=40%,VLOOKUP($DS127,'Jan-2026 rates'!$L:$R,5,0),IF($LB127=30%,VLOOKUP($DS127,'Jan-2026 rates'!$L:$R,6,0),IF($LB127=100%,VLOOKUP($DS127,'Jan-2026 rates'!$L:$R,7,0),IF($LB127=60%,VLOOKUP($DS127,'Jan-2026 rates'!$L:$S,8,0),IF($LB127=80%,VLOOKUP($DS127,'Jan-2026 rates'!L:T,9,0),0))))))))</f>
        <v>0</v>
      </c>
      <c r="DY127" s="413">
        <v>26511000002</v>
      </c>
      <c r="DZ127" s="413"/>
      <c r="EA127" s="412"/>
      <c r="EB127" s="412"/>
      <c r="EC127" s="412"/>
      <c r="ED127" s="412"/>
      <c r="EE127" s="412"/>
      <c r="EF127" s="412"/>
      <c r="EG127" s="409">
        <v>2</v>
      </c>
      <c r="EH127" s="398" t="e">
        <f>IF(EG127=0,0,IF(LEN(DY127)=11,_xlfn.XLOOKUP(DY127,'Dispensed Ink Rates'!C:C,'Dispensed Ink Rates'!CS:CS),VLOOKUP(DY127,'Jan-2026 rates'!$E:$F,2,0)))</f>
        <v>#N/A</v>
      </c>
      <c r="EI127" s="409"/>
      <c r="EJ127" s="398">
        <f>IF(EI127=0,0,IF(LEN(DZ127)=11,_xlfn.XLOOKUP(DZ127,'Dispensed Ink Rates'!C:C,'Dispensed Ink Rates'!CS:CS),VLOOKUP(DZ127,'Jan-2026 rates'!$E:$F,2,0)))</f>
        <v>0</v>
      </c>
      <c r="EK127" s="409"/>
      <c r="EL127" s="398">
        <f>IF(EK127=0,0,IF(LEN(EA127)=11,_xlfn.XLOOKUP(EA127,'Dispensed Ink Rates'!C:C,'Dispensed Ink Rates'!CS:CS),VLOOKUP(EA127,'Jan-2026 rates'!$E:$F,2,0)))</f>
        <v>0</v>
      </c>
      <c r="EM127" s="409"/>
      <c r="EN127" s="398">
        <f>IF(EM127=0,0,IF(LEN(EB127)=11,_xlfn.XLOOKUP(EB127,'Dispensed Ink Rates'!C:C,'Dispensed Ink Rates'!CS:CS),VLOOKUP(EB127,'Jan-2026 rates'!$E:$F,2,0)))</f>
        <v>0</v>
      </c>
      <c r="EO127" s="409"/>
      <c r="EP127" s="398">
        <f>IF(EO127=0,0,IF(LEN(EC127)=11,_xlfn.XLOOKUP(EC127,'Dispensed Ink Rates'!C:C,'Dispensed Ink Rates'!CS:CS),VLOOKUP(EC127,'Jan-2026 rates'!$E:$F,2,0)))</f>
        <v>0</v>
      </c>
      <c r="EQ127" s="409"/>
      <c r="ER127" s="398">
        <f>IF(EQ127=0,0,IF(LEN(ED127)=11,_xlfn.XLOOKUP(ED127,'Dispensed Ink Rates'!C:C,'Dispensed Ink Rates'!CS:CS),VLOOKUP(ED127,'Jan-2026 rates'!$E:$F,2,0)))</f>
        <v>0</v>
      </c>
      <c r="ES127" s="409"/>
      <c r="ET127" s="398">
        <f>IF(ES127=0,0,IF(LEN(EE127)=11,_xlfn.XLOOKUP(EE127,'Dispensed Ink Rates'!C:C,'Dispensed Ink Rates'!CS:CS),VLOOKUP(EE127,'Jan-2026 rates'!$E:$F,2,0)))</f>
        <v>0</v>
      </c>
      <c r="EU127" s="409"/>
      <c r="EV127" s="398">
        <f>IF(EU127=0,0,IF(LEN(EF127)=11,_xlfn.XLOOKUP(EF127,'Dispensed Ink Rates'!C:C,'Dispensed Ink Rates'!CS:CS),VLOOKUP(EF127,'Jan-2026 rates'!$E:$F,2,0)))</f>
        <v>0</v>
      </c>
      <c r="EW127" s="409" t="s">
        <v>1443</v>
      </c>
      <c r="EX127" s="409">
        <v>26</v>
      </c>
      <c r="EY127" s="411">
        <f t="shared" si="91"/>
        <v>0</v>
      </c>
      <c r="EZ127" s="411">
        <f t="shared" si="92"/>
        <v>7.3043478260869534</v>
      </c>
      <c r="FA127" s="410">
        <f t="shared" si="93"/>
        <v>0</v>
      </c>
      <c r="FB127" s="405" t="s">
        <v>546</v>
      </c>
      <c r="FC127" s="409"/>
      <c r="FD127" s="420" t="str">
        <f t="shared" si="57"/>
        <v>FLINTSL - REFLEX BLUE</v>
      </c>
      <c r="FE127" s="409"/>
      <c r="FF127" s="411">
        <f>IF(FE127=0,0,IF($LB127=70%,VLOOKUP($FD127,'Jan-2026 rates'!$L:$R,4,0),IF($LB127=65%,VLOOKUP($FD127,'Jan-2026 rates'!$L:$R,4,0),IF($LB127=40%,VLOOKUP($FD127,'Jan-2026 rates'!$L:$R,5,0),IF($LB127=30%,VLOOKUP($FD127,'Jan-2026 rates'!$L:$R,6,0),IF($LB127=100%,VLOOKUP($FD127,'Jan-2026 rates'!$L:$R,7,0),IF($LB127=60%,VLOOKUP($FD127,'Jan-2026 rates'!$L:$S,8,0),IF($LB127=80%,VLOOKUP($FD127,'Jan-2026 rates'!L:T,9,0),0))))))))</f>
        <v>0</v>
      </c>
      <c r="FG127" s="412"/>
      <c r="FH127" s="409"/>
      <c r="FI127" s="411">
        <f>IF(FH127=0,0,IF($LB127=70%,VLOOKUP($FD127,'Jan-2026 rates'!$L:$R,4,0),IF($LB127=65%,VLOOKUP($FD127,'Jan-2026 rates'!$L:$R,4,0),IF($LB127=40%,VLOOKUP($FD127,'Jan-2026 rates'!$L:$R,5,0),IF($LB127=30%,VLOOKUP($FD127,'Jan-2026 rates'!$L:$R,6,0),IF($LB127=100%,VLOOKUP($FD127,'Jan-2026 rates'!$L:$R,7,0),IF($LB127=60%,VLOOKUP($FD127,'Jan-2026 rates'!$L:$S,8,0),IF($LB127=80%,VLOOKUP($FD127,'Jan-2026 rates'!L:T,9,0),0))))))))</f>
        <v>0</v>
      </c>
      <c r="FJ127" s="413">
        <v>26512000018</v>
      </c>
      <c r="FK127" s="413">
        <v>26506000001</v>
      </c>
      <c r="FL127" s="413">
        <v>26506000002</v>
      </c>
      <c r="FM127" s="412"/>
      <c r="FN127" s="412"/>
      <c r="FO127" s="412"/>
      <c r="FP127" s="412"/>
      <c r="FQ127" s="412"/>
      <c r="FR127" s="409">
        <v>20</v>
      </c>
      <c r="FS127" s="398" t="e">
        <f>IF(FR127=0,0,IF(LEN(FJ127)=11,_xlfn.XLOOKUP(FJ127,'Dispensed Ink Rates'!C:C,'Dispensed Ink Rates'!CS:CS),VLOOKUP(FJ127,'Jan-2026 rates'!$E:$F,2,0)))</f>
        <v>#N/A</v>
      </c>
      <c r="FT127" s="409">
        <v>2</v>
      </c>
      <c r="FU127" s="433" t="e">
        <f>IF(FT127=0,0,IF(LEN(FK127)=11,_xlfn.XLOOKUP(FK127,'Dispensed Ink Rates'!C:C,'Dispensed Ink Rates'!CS:CS),VLOOKUP(FK127,'Jan-2026 rates'!$E:$F,2,0)))</f>
        <v>#N/A</v>
      </c>
      <c r="FV127" s="409">
        <v>4</v>
      </c>
      <c r="FW127" s="398" t="e">
        <f>IF(FV127=0,0,IF(LEN(FL127)=11,_xlfn.XLOOKUP(FL127,'Dispensed Ink Rates'!C:C,'Dispensed Ink Rates'!CS:CS),VLOOKUP(FL127,'Jan-2026 rates'!$E:$F,2,0)))</f>
        <v>#N/A</v>
      </c>
      <c r="FX127" s="409"/>
      <c r="FY127" s="398">
        <f>IF(FX127=0,0,IF(LEN(FM127)=11,_xlfn.XLOOKUP(FM127,'Dispensed Ink Rates'!C:C,'Dispensed Ink Rates'!CS:CS),VLOOKUP(FM127,'Jan-2026 rates'!$E:$F,2,0)))</f>
        <v>0</v>
      </c>
      <c r="FZ127" s="409"/>
      <c r="GA127" s="398">
        <f>IF(FZ127=0,0,IF(LEN(FN127)=11,_xlfn.XLOOKUP(FN127,'Dispensed Ink Rates'!C:C,'Dispensed Ink Rates'!CS:CS),VLOOKUP(FN127,'Jan-2026 rates'!$E:$F,2,0)))</f>
        <v>0</v>
      </c>
      <c r="GB127" s="409"/>
      <c r="GC127" s="398">
        <f>IF(GB127=0,0,IF(LEN(FO127)=11,_xlfn.XLOOKUP(FO127,'Dispensed Ink Rates'!C:C,'Dispensed Ink Rates'!CS:CS),VLOOKUP(FO127,'Jan-2026 rates'!$E:$F,2,0)))</f>
        <v>0</v>
      </c>
      <c r="GD127" s="409"/>
      <c r="GE127" s="398">
        <f>IF(GD127=0,0,IF(LEN(FP127)=11,_xlfn.XLOOKUP(FP127,'Dispensed Ink Rates'!C:C,'Dispensed Ink Rates'!CS:CS),VLOOKUP(FP127,'Jan-2026 rates'!$E:$F,2,0)))</f>
        <v>0</v>
      </c>
      <c r="GF127" s="409"/>
      <c r="GG127" s="398">
        <f>IF(GF127=0,0,IF(LEN(FQ127)=11,_xlfn.XLOOKUP(FQ127,'Dispensed Ink Rates'!C:C,'Dispensed Ink Rates'!CS:CS),VLOOKUP(FQ127,'Jan-2026 rates'!$E:$F,2,0)))</f>
        <v>0</v>
      </c>
      <c r="GH127" s="409" t="s">
        <v>1443</v>
      </c>
      <c r="GI127" s="409">
        <v>22</v>
      </c>
      <c r="GJ127" s="411">
        <f t="shared" si="94"/>
        <v>0</v>
      </c>
      <c r="GK127" s="411">
        <f t="shared" si="95"/>
        <v>12.260869565217391</v>
      </c>
      <c r="GL127" s="410">
        <f t="shared" si="96"/>
        <v>0</v>
      </c>
      <c r="GM127" s="405" t="s">
        <v>546</v>
      </c>
      <c r="GN127" s="409"/>
      <c r="GO127" s="420" t="str">
        <f t="shared" si="58"/>
        <v>FLINTSL - REFLEX BLUE</v>
      </c>
      <c r="GP127" s="409"/>
      <c r="GQ127" s="411">
        <f>IF(GP127=0,0,IF($LB127=70%,VLOOKUP($GO127,'Jan-2026 rates'!$L:$R,4,0),IF($LB127=65%,VLOOKUP($GO127,'Jan-2026 rates'!$L:$R,4,0),IF($LB127=40%,VLOOKUP($GO127,'Jan-2026 rates'!$L:$R,5,0),IF($LB127=30%,VLOOKUP($GO127,'Jan-2026 rates'!$L:$R,6,0),IF($LB127=100%,VLOOKUP($GO127,'Jan-2026 rates'!$L:$R,7,0),IF($LB127=60%,VLOOKUP($GO127,'Jan-2026 rates'!$L:$S,8,0),IF($LB127=80%,VLOOKUP($GO127,'Jan-2026 rates'!L:T,9,0),0))))))))</f>
        <v>0</v>
      </c>
      <c r="GR127" s="412"/>
      <c r="GS127" s="409"/>
      <c r="GT127" s="411">
        <f>IF(GS127=0,0,IF($LB127=70%,VLOOKUP($GO127,'Jan-2026 rates'!$L:$R,4,0),IF($LB127=65%,VLOOKUP($GO127,'Jan-2026 rates'!$L:$R,4,0),IF($LB127=40%,VLOOKUP($GO127,'Jan-2026 rates'!$L:$R,5,0),IF($LB127=30%,VLOOKUP($GO127,'Jan-2026 rates'!$L:$R,6,0),IF($LB127=100%,VLOOKUP($GO127,'Jan-2026 rates'!$L:$R,7,0),IF($LB127=60%,VLOOKUP($GO127,'Jan-2026 rates'!$L:$S,8,0),IF($LB127=80%,VLOOKUP($GO127,'Jan-2026 rates'!L:T,9,0),0))))))))</f>
        <v>0</v>
      </c>
      <c r="GU127" s="413">
        <v>26512000020</v>
      </c>
      <c r="GV127" s="413">
        <v>26512000016</v>
      </c>
      <c r="GW127" s="412">
        <v>26512000019</v>
      </c>
      <c r="GX127" s="412"/>
      <c r="GY127" s="412"/>
      <c r="GZ127" s="412"/>
      <c r="HA127" s="412"/>
      <c r="HB127" s="412"/>
      <c r="HC127" s="409">
        <v>10</v>
      </c>
      <c r="HD127" s="398" t="e">
        <f>IF(HC127=0,0,IF(LEN(GU127)=11,_xlfn.XLOOKUP(GU127,'Dispensed Ink Rates'!C:C,'Dispensed Ink Rates'!CS:CS),VLOOKUP(GU127,'Jan-2026 rates'!$E:$F,2,0)))</f>
        <v>#N/A</v>
      </c>
      <c r="HE127" s="409">
        <v>23</v>
      </c>
      <c r="HF127" s="398" t="e">
        <f>IF(HE127=0,0,IF(LEN(GV127)=11,_xlfn.XLOOKUP(GV127,'Dispensed Ink Rates'!C:C,'Dispensed Ink Rates'!CS:CS),VLOOKUP(GV127,'Jan-2026 rates'!$E:$F,2,0)))</f>
        <v>#N/A</v>
      </c>
      <c r="HG127" s="409">
        <v>20</v>
      </c>
      <c r="HH127" s="398" t="e">
        <f>IF(HG127=0,0,IF(LEN(GW127)=11,_xlfn.XLOOKUP(GW127,'Dispensed Ink Rates'!C:C,'Dispensed Ink Rates'!CS:CS),VLOOKUP(GW127,'Jan-2026 rates'!$E:$F,2,0)))</f>
        <v>#N/A</v>
      </c>
      <c r="HI127" s="409"/>
      <c r="HJ127" s="398">
        <f>IF(HI127=0,0,IF(LEN(GX127)=11,_xlfn.XLOOKUP(GX127,'Dispensed Ink Rates'!C:C,'Dispensed Ink Rates'!CS:CS),VLOOKUP(GX127,'Jan-2026 rates'!$E:$F,2,0)))</f>
        <v>0</v>
      </c>
      <c r="HK127" s="409"/>
      <c r="HL127" s="398">
        <f>IF(HK127=0,0,IF(LEN(GY127)=11,_xlfn.XLOOKUP(GY127,'Dispensed Ink Rates'!C:C,'Dispensed Ink Rates'!CS:CS),VLOOKUP(GY127,'Jan-2026 rates'!$E:$F,2,0)))</f>
        <v>0</v>
      </c>
      <c r="HM127" s="409"/>
      <c r="HN127" s="398">
        <f>IF(HM127=0,0,IF(LEN(GZ127)=11,_xlfn.XLOOKUP(GZ127,'Dispensed Ink Rates'!C:C,'Dispensed Ink Rates'!CS:CS),VLOOKUP(GZ127,'Jan-2026 rates'!$E:$F,2,0)))</f>
        <v>0</v>
      </c>
      <c r="HO127" s="409"/>
      <c r="HP127" s="398">
        <f>IF(HO127=0,0,IF(LEN(HA127)=11,_xlfn.XLOOKUP(HA127,'Dispensed Ink Rates'!C:C,'Dispensed Ink Rates'!CS:CS),VLOOKUP(HA127,'Jan-2026 rates'!$E:$F,2,0)))</f>
        <v>0</v>
      </c>
      <c r="HQ127" s="409"/>
      <c r="HR127" s="398">
        <f>IF(HQ127=0,0,IF(LEN(HB127)=11,_xlfn.XLOOKUP(HB127,'Dispensed Ink Rates'!C:C,'Dispensed Ink Rates'!CS:CS),VLOOKUP(HB127,'Jan-2026 rates'!$E:$F,2,0)))</f>
        <v>0</v>
      </c>
      <c r="HS127" s="409" t="s">
        <v>1443</v>
      </c>
      <c r="HT127" s="409">
        <v>27</v>
      </c>
      <c r="HU127" s="411">
        <f t="shared" si="97"/>
        <v>0</v>
      </c>
      <c r="HV127" s="411">
        <f t="shared" si="98"/>
        <v>34.260869565217391</v>
      </c>
      <c r="HW127" s="414">
        <f t="shared" si="99"/>
        <v>0</v>
      </c>
      <c r="HX127" s="405" t="s">
        <v>856</v>
      </c>
      <c r="HY127" s="409" t="s">
        <v>3346</v>
      </c>
      <c r="HZ127" s="420" t="str">
        <f t="shared" si="59"/>
        <v>FLINTSL - WHITE</v>
      </c>
      <c r="IA127" s="409">
        <v>27</v>
      </c>
      <c r="IB127" s="411">
        <f>IF(IA127=0,0,IF($LB127=70%,VLOOKUP($HZ127,'Jan-2026 rates'!$L:$R,4,0),IF($LB127=65%,VLOOKUP($HZ127,'Jan-2026 rates'!$L:$R,4,0),IF($LB127=40%,VLOOKUP($HZ127,'Jan-2026 rates'!$L:$R,5,0),IF($LB127=30%,VLOOKUP($HZ127,'Jan-2026 rates'!$L:$R,6,0),IF($LB127=100%,VLOOKUP($HZ127,'Jan-2026 rates'!$L:$R,7,0),IF($LB127=60%,VLOOKUP($HZ127,'Jan-2026 rates'!$L:$S,8,0),IF($LB127=80%,VLOOKUP($HZ127,'Jan-2026 rates'!L:T,9,0),0))))))))</f>
        <v>0</v>
      </c>
      <c r="IC127" s="412"/>
      <c r="ID127" s="409"/>
      <c r="IE127" s="411">
        <f>IF(ID127=0,0,IF($LB127=70%,VLOOKUP($HZ127,'Jan-2026 rates'!$L:$R,4,0),IF($LB127=65%,VLOOKUP($HZ127,'Jan-2026 rates'!$L:$R,4,0),IF($LB127=40%,VLOOKUP($HZ127,'Jan-2026 rates'!$L:$R,5,0),IF($LB127=30%,VLOOKUP($HZ127,'Jan-2026 rates'!$L:$R,6,0),IF($LB127=100%,VLOOKUP($HZ127,'Jan-2026 rates'!$L:$R,7,0),IF($LB127=60%,VLOOKUP($HZ127,'Jan-2026 rates'!$L:$S,8,0),IF($LB127=80%,VLOOKUP($HZ127,'Jan-2026 rates'!L:T,9,0),0))))))))</f>
        <v>0</v>
      </c>
      <c r="IF127" s="412" t="s">
        <v>484</v>
      </c>
      <c r="IG127" s="413"/>
      <c r="IH127" s="412"/>
      <c r="II127" s="412"/>
      <c r="IJ127" s="412"/>
      <c r="IK127" s="412"/>
      <c r="IL127" s="412"/>
      <c r="IM127" s="412"/>
      <c r="IN127" s="409">
        <v>40</v>
      </c>
      <c r="IO127" s="398">
        <f>IF(IN127=0,0,IF(LEN(IF127)=11,_xlfn.XLOOKUP(IF127,'Dispensed Ink Rates'!C:C,'Dispensed Ink Rates'!CS:CS),VLOOKUP(IF127,'Jan-2026 rates'!$E:$F,2,0)))</f>
        <v>0</v>
      </c>
      <c r="IP127" s="409"/>
      <c r="IQ127" s="398">
        <f>IF(IP127=0,0,IF(LEN(IG127)=11,_xlfn.XLOOKUP(IG127,'Dispensed Ink Rates'!C:C,'Dispensed Ink Rates'!CS:CS),VLOOKUP(IG127,'Jan-2026 rates'!$E:$F,2,0)))</f>
        <v>0</v>
      </c>
      <c r="IR127" s="409"/>
      <c r="IS127" s="398">
        <f>IF(IR127=0,0,IF(LEN(IH127)=11,_xlfn.XLOOKUP(IH127,'Dispensed Ink Rates'!C:C,'Dispensed Ink Rates'!CS:CS),VLOOKUP(IH127,'Jan-2026 rates'!$E:$F,2,0)))</f>
        <v>0</v>
      </c>
      <c r="IT127" s="409"/>
      <c r="IU127" s="398">
        <f>IF(IT127=0,0,IF(LEN(II127)=11,_xlfn.XLOOKUP(II127,'Dispensed Ink Rates'!C:C,'Dispensed Ink Rates'!CS:CS),VLOOKUP(II127,'Jan-2026 rates'!$E:$F,2,0)))</f>
        <v>0</v>
      </c>
      <c r="IV127" s="409"/>
      <c r="IW127" s="398">
        <f>IF(IV127=0,0,IF(LEN(IJ127)=11,_xlfn.XLOOKUP(IJ127,'Dispensed Ink Rates'!C:C,'Dispensed Ink Rates'!CS:CS),VLOOKUP(IJ127,'Jan-2026 rates'!$E:$F,2,0)))</f>
        <v>0</v>
      </c>
      <c r="IX127" s="409"/>
      <c r="IY127" s="398">
        <f>IF(IX127=0,0,IF(LEN(IK127)=11,_xlfn.XLOOKUP(IK127,'Dispensed Ink Rates'!C:C,'Dispensed Ink Rates'!CS:CS),VLOOKUP(IK127,'Jan-2026 rates'!$E:$F,2,0)))</f>
        <v>0</v>
      </c>
      <c r="IZ127" s="409"/>
      <c r="JA127" s="398">
        <f>IF(IZ127=0,0,IF(LEN(IL127)=11,_xlfn.XLOOKUP(IL127,'Dispensed Ink Rates'!C:C,'Dispensed Ink Rates'!CS:CS),VLOOKUP(IL127,'Jan-2026 rates'!$E:$F,2,0)))</f>
        <v>0</v>
      </c>
      <c r="JB127" s="409"/>
      <c r="JC127" s="398">
        <f>IF(JB127=0,0,IF(LEN(IM127)=11,_xlfn.XLOOKUP(IM127,'Dispensed Ink Rates'!C:C,'Dispensed Ink Rates'!CS:CS),VLOOKUP(IM127,'Jan-2026 rates'!$E:$F,2,0)))</f>
        <v>0</v>
      </c>
      <c r="JD127" s="409" t="s">
        <v>1443</v>
      </c>
      <c r="JE127" s="409">
        <v>32</v>
      </c>
      <c r="JF127" s="411">
        <f t="shared" si="100"/>
        <v>0</v>
      </c>
      <c r="JG127" s="411">
        <f t="shared" si="101"/>
        <v>68.043478260869563</v>
      </c>
      <c r="JH127" s="410">
        <f t="shared" si="102"/>
        <v>0</v>
      </c>
      <c r="JI127" s="405"/>
      <c r="JJ127" s="409"/>
      <c r="JK127" s="420" t="str">
        <f t="shared" si="60"/>
        <v xml:space="preserve"> - </v>
      </c>
      <c r="JL127" s="409"/>
      <c r="JM127" s="411">
        <f>IF(JL127=0,0,IF($LB127=70%,VLOOKUP($JK127,'Jan-2026 rates'!$L:$R,4,0),IF($LB127=65%,VLOOKUP($JK127,'Jan-2026 rates'!$L:$R,4,0),IF($LB127=40%,VLOOKUP($JK127,'Jan-2026 rates'!$L:$R,5,0),IF($LB127=30%,VLOOKUP($JK127,'Jan-2026 rates'!$L:$R,6,0),IF($LB127=100%,VLOOKUP($JK127,'Jan-2026 rates'!$L:$R,7,0),IF($LB127=60%,VLOOKUP($JK127,'Jan-2026 rates'!$L:$S,8,0),IF($LB127=80%,VLOOKUP($JK127,'Jan-2026 rates'!L:T,9,0),0))))))))</f>
        <v>0</v>
      </c>
      <c r="JN127" s="412"/>
      <c r="JO127" s="409"/>
      <c r="JP127" s="411">
        <f>IF(JO127=0,0,IF($LB127=70%,VLOOKUP($JK127,'Jan-2026 rates'!$L:$R,4,0),IF($LB127=65%,VLOOKUP($JK127,'Jan-2026 rates'!$L:$R,4,0),IF($LB127=40%,VLOOKUP($JK127,'Jan-2026 rates'!$L:$R,5,0),IF($LB127=30%,VLOOKUP($JK127,'Jan-2026 rates'!$L:$R,6,0),IF($LB127=100%,VLOOKUP($JK127,'Jan-2026 rates'!$L:$R,7,0),IF($LB127=60%,VLOOKUP($JK127,'Jan-2026 rates'!$L:$S,8,0),IF($LB127=80%,VLOOKUP($JK127,'Jan-2026 rates'!L:T,9,0),0))))))))</f>
        <v>0</v>
      </c>
      <c r="JQ127" s="413"/>
      <c r="JR127" s="412"/>
      <c r="JS127" s="413"/>
      <c r="JT127" s="413"/>
      <c r="JU127" s="412"/>
      <c r="JV127" s="412"/>
      <c r="JW127" s="412"/>
      <c r="JX127" s="412"/>
      <c r="JY127" s="409"/>
      <c r="JZ127" s="398">
        <f>IF(JY127=0,0,IF(LEN(JQ127)=11,_xlfn.XLOOKUP(JQ127,'Dispensed Ink Rates'!C:C,'Dispensed Ink Rates'!CS:CS),VLOOKUP(JQ127,'Jan-2026 rates'!$E:$F,2,0)))</f>
        <v>0</v>
      </c>
      <c r="KA127" s="409"/>
      <c r="KB127" s="398">
        <f>IF(KA127=0,0,IF(LEN(JR127)=11,_xlfn.XLOOKUP(JR127,'Dispensed Ink Rates'!C:C,'Dispensed Ink Rates'!CS:CS),VLOOKUP(JR127,'Jan-2026 rates'!$E:$F,2,0)))</f>
        <v>0</v>
      </c>
      <c r="KC127" s="409"/>
      <c r="KD127" s="398">
        <f>IF(KC127=0,0,IF(LEN(JS127)=11,_xlfn.XLOOKUP(JS127,'Dispensed Ink Rates'!C:C,'Dispensed Ink Rates'!CS:CS),VLOOKUP(JS127,'Jan-2026 rates'!$E:$F,2,0)))</f>
        <v>0</v>
      </c>
      <c r="KE127" s="409"/>
      <c r="KF127" s="398">
        <f>IF(KE127=0,0,IF(LEN(JT127)=11,_xlfn.XLOOKUP(JT127,'Dispensed Ink Rates'!C:C,'Dispensed Ink Rates'!CS:CS),VLOOKUP(JT127,'Jan-2026 rates'!$E:$F,2,0)))</f>
        <v>0</v>
      </c>
      <c r="KG127" s="409"/>
      <c r="KH127" s="398">
        <f>IF(KG127=0,0,IF(LEN(JU127)=11,_xlfn.XLOOKUP(JU127,'Dispensed Ink Rates'!C:C,'Dispensed Ink Rates'!CS:CS),VLOOKUP(JU127,'Jan-2026 rates'!$E:$F,2,0)))</f>
        <v>0</v>
      </c>
      <c r="KI127" s="409"/>
      <c r="KJ127" s="398">
        <f>IF(KI127=0,0,IF(LEN(JV127)=11,_xlfn.XLOOKUP(JV127,'Dispensed Ink Rates'!C:C,'Dispensed Ink Rates'!CS:CS),VLOOKUP(JV127,'Jan-2026 rates'!$E:$F,2,0)))</f>
        <v>0</v>
      </c>
      <c r="KK127" s="409"/>
      <c r="KL127" s="398">
        <f>IF(KK127=0,0,IF(LEN(JW127)=11,_xlfn.XLOOKUP(JW127,'Dispensed Ink Rates'!C:C,'Dispensed Ink Rates'!CS:CS),VLOOKUP(JW127,'Jan-2026 rates'!$E:$F,2,0)))</f>
        <v>0</v>
      </c>
      <c r="KM127" s="428"/>
      <c r="KN127" s="398">
        <f>IF(KM127=0,0,IF(LEN(JX127)=11,_xlfn.XLOOKUP(JX127,'Dispensed Ink Rates'!C:C,'Dispensed Ink Rates'!CS:CS),VLOOKUP(JX127,'Jan-2026 rates'!$E:$F,2,0)))</f>
        <v>0</v>
      </c>
      <c r="KO127" s="409"/>
      <c r="KP127" s="409"/>
      <c r="KQ127" s="411">
        <f t="shared" si="103"/>
        <v>0</v>
      </c>
      <c r="KR127" s="411">
        <f t="shared" si="104"/>
        <v>0</v>
      </c>
      <c r="KS127" s="410">
        <f t="shared" si="105"/>
        <v>0</v>
      </c>
      <c r="KT127" s="409">
        <v>2</v>
      </c>
      <c r="KU127" s="409">
        <v>10</v>
      </c>
      <c r="KV127" s="409">
        <v>2</v>
      </c>
      <c r="KW127" s="409">
        <v>2</v>
      </c>
      <c r="KX127" s="409">
        <v>5</v>
      </c>
      <c r="KY127" s="409">
        <v>5</v>
      </c>
      <c r="KZ127" s="409">
        <v>20</v>
      </c>
      <c r="LA127" s="409">
        <v>0</v>
      </c>
      <c r="LB127" s="415">
        <v>0.8</v>
      </c>
      <c r="LC127" s="415">
        <v>0.2</v>
      </c>
      <c r="LD127" s="415"/>
      <c r="LE127" s="415"/>
      <c r="LF127" s="415"/>
      <c r="LG127" s="409">
        <v>0</v>
      </c>
      <c r="LH127" s="409">
        <f>30+16+24+6</f>
        <v>76</v>
      </c>
      <c r="LI127" s="409">
        <v>0</v>
      </c>
      <c r="LJ127" s="409">
        <v>0</v>
      </c>
      <c r="LK127" s="416">
        <f t="shared" si="61"/>
        <v>76</v>
      </c>
      <c r="LL127" s="416">
        <f t="shared" si="62"/>
        <v>76</v>
      </c>
      <c r="LM127" s="417">
        <f t="shared" si="63"/>
        <v>60.800000000000004</v>
      </c>
      <c r="LN127" s="417">
        <f>VLOOKUP($LM$8,'Jan-2026 rates'!$H:$I,2,0)</f>
        <v>0</v>
      </c>
      <c r="LO127" s="417">
        <f t="shared" si="64"/>
        <v>15.200000000000001</v>
      </c>
      <c r="LP127" s="417">
        <f>VLOOKUP($LO$8,'Jan-2026 rates'!$H:$I,2,0)</f>
        <v>0</v>
      </c>
      <c r="LQ127" s="417">
        <f t="shared" si="65"/>
        <v>0</v>
      </c>
      <c r="LR127" s="417">
        <f>VLOOKUP($LQ$8,'Jan-2026 rates'!$H:$I,2,0)</f>
        <v>0</v>
      </c>
      <c r="LS127" s="417">
        <f t="shared" si="66"/>
        <v>0</v>
      </c>
      <c r="LT127" s="417">
        <f>VLOOKUP($LS$8,'Jan-2026 rates'!$H:$I,2,0)</f>
        <v>0</v>
      </c>
      <c r="LU127" s="417">
        <f t="shared" si="67"/>
        <v>0</v>
      </c>
      <c r="LV127" s="417">
        <f>VLOOKUP($LU$8,'Jan-2026 rates'!$H:$I,2,0)</f>
        <v>0</v>
      </c>
      <c r="LW127" s="417">
        <f t="shared" si="68"/>
        <v>0</v>
      </c>
      <c r="LX127" s="417">
        <f t="shared" si="69"/>
        <v>0</v>
      </c>
      <c r="LY127" s="418">
        <f t="shared" si="70"/>
        <v>0</v>
      </c>
      <c r="LZ127" s="417"/>
      <c r="MA127" s="435">
        <f t="shared" si="71"/>
        <v>141</v>
      </c>
      <c r="MB127" s="282">
        <f t="shared" si="72"/>
        <v>153</v>
      </c>
      <c r="MC127" s="283">
        <v>82</v>
      </c>
      <c r="MD127" s="284" t="str">
        <f t="shared" si="73"/>
        <v>FLINTSLFLINTSLFLINTSLFLINTSLFLINTSLFLINTSLFLINTSL</v>
      </c>
      <c r="ME127" s="293" t="str">
        <f t="shared" si="74"/>
        <v>+</v>
      </c>
      <c r="MF127" s="293" t="str">
        <f t="shared" si="75"/>
        <v>+</v>
      </c>
      <c r="MG127" s="293" t="str">
        <f t="shared" si="76"/>
        <v>+</v>
      </c>
      <c r="MH127" s="293" t="str">
        <f t="shared" si="77"/>
        <v>+</v>
      </c>
      <c r="MI127" s="293" t="str">
        <f t="shared" si="78"/>
        <v>+</v>
      </c>
      <c r="MJ127" s="293" t="str">
        <f t="shared" si="79"/>
        <v>+</v>
      </c>
      <c r="MK127" s="293" t="str">
        <f t="shared" si="80"/>
        <v>+</v>
      </c>
      <c r="ML127" s="293" t="str">
        <f t="shared" si="81"/>
        <v>NIL</v>
      </c>
      <c r="MM127" s="3" t="b">
        <f t="array" ref="MM127">OR(ME127:ML127="-")</f>
        <v>0</v>
      </c>
      <c r="MN127" s="285"/>
      <c r="MO127" s="401"/>
      <c r="MP127" s="286"/>
      <c r="MQ127" s="286"/>
      <c r="MR127" s="402"/>
      <c r="MS127" s="400"/>
      <c r="NH127" s="422"/>
      <c r="NJ127" s="421"/>
    </row>
    <row r="128" spans="1:374" s="1" customFormat="1" ht="16.5">
      <c r="A128" s="403">
        <v>46034</v>
      </c>
      <c r="B128" s="404" t="s">
        <v>1018</v>
      </c>
      <c r="C128" s="405" t="s">
        <v>3347</v>
      </c>
      <c r="D128" s="406">
        <v>83</v>
      </c>
      <c r="E128" s="404">
        <v>2486</v>
      </c>
      <c r="F128" s="407">
        <v>100300</v>
      </c>
      <c r="G128" s="407" t="s">
        <v>1019</v>
      </c>
      <c r="H128" s="408" t="s">
        <v>1017</v>
      </c>
      <c r="I128" s="409">
        <v>2.11</v>
      </c>
      <c r="J128" s="405" t="s">
        <v>543</v>
      </c>
      <c r="K128" s="404" t="s">
        <v>3348</v>
      </c>
      <c r="L128" s="419" t="str">
        <f t="shared" si="54"/>
        <v>FLINTSL - BLACK</v>
      </c>
      <c r="M128" s="404">
        <v>22</v>
      </c>
      <c r="N128" s="410">
        <f>IF(M128=0,0,IF($LB128=70%,VLOOKUP($L128,'Jan-2026 rates'!$L:$R,4,0),IF($LB128=65%,VLOOKUP($L128,'Jan-2026 rates'!$L:$R,4,0),IF($LB128=40%,VLOOKUP($L128,'Jan-2026 rates'!$L:$R,5,0),IF($LB128=30%,VLOOKUP($L128,'Jan-2026 rates'!$L:$R,6,0),IF($LB128=100%,VLOOKUP($L128,'Jan-2026 rates'!$L:$R,7,0),IF($LB128=60%,VLOOKUP($L128,'Jan-2026 rates'!$L:$S,8,0),IF($LB128=80%,VLOOKUP($L128,'Jan-2026 rates'!L:T,9,0),0))))))))</f>
        <v>0</v>
      </c>
      <c r="O128" s="406"/>
      <c r="P128" s="404"/>
      <c r="Q128" s="410">
        <f>IF(P128=0,0,IF($LB128=70%,VLOOKUP($L128,'Jan-2026 rates'!$L:$R,4,0),IF($LB128=65%,VLOOKUP($L128,'Jan-2026 rates'!$L:$R,4,0),IF($LB128=40%,VLOOKUP($L128,'Jan-2026 rates'!$L:$R,5,0),IF($LB128=30%,VLOOKUP($L128,'Jan-2026 rates'!$L:$R,6,0),IF($LB128=100%,VLOOKUP($L128,'Jan-2026 rates'!$L:$R,7,0),IF($LB128=60%,VLOOKUP($L128,'Jan-2026 rates'!$L:$S,8,0),IF($LB128=80%,VLOOKUP($L128,'Jan-2026 rates'!L:T,9,0),0))))))))</f>
        <v>0</v>
      </c>
      <c r="R128" s="406">
        <v>26513000022</v>
      </c>
      <c r="S128" s="406"/>
      <c r="T128" s="406"/>
      <c r="U128" s="406"/>
      <c r="V128" s="406"/>
      <c r="W128" s="406"/>
      <c r="X128" s="406"/>
      <c r="Y128" s="406"/>
      <c r="Z128" s="404">
        <f>3+6+1</f>
        <v>10</v>
      </c>
      <c r="AA128" s="398" t="e">
        <f>IF(Z128=0,0,IF(LEN(R128)=11,_xlfn.XLOOKUP(R128,'Dispensed Ink Rates'!C:C,'Dispensed Ink Rates'!CS:CS),VLOOKUP(R128,'Jan-2026 rates'!$E:$F,2,0)))</f>
        <v>#N/A</v>
      </c>
      <c r="AB128" s="404"/>
      <c r="AC128" s="398">
        <f>IF(AB128=0,0,IF(LEN(S128)=11,_xlfn.XLOOKUP(S128,'Dispensed Ink Rates'!C:C,'Dispensed Ink Rates'!CS:CS),VLOOKUP(S128,'Jan-2026 rates'!$E:$F,2,0)))</f>
        <v>0</v>
      </c>
      <c r="AD128" s="404"/>
      <c r="AE128" s="398">
        <f>IF(AD128=0,0,IF(LEN(T128)=11,_xlfn.XLOOKUP(T128,'Dispensed Ink Rates'!C:C,'Dispensed Ink Rates'!CS:CS),VLOOKUP(T128,'Jan-2026 rates'!$E:$F,2,0)))</f>
        <v>0</v>
      </c>
      <c r="AF128" s="404"/>
      <c r="AG128" s="398">
        <f>IF(AF128=0,0,IF(LEN(U128)=11,_xlfn.XLOOKUP(U128,'Dispensed Ink Rates'!C:C,'Dispensed Ink Rates'!CS:CS),VLOOKUP(U128,'Jan-2026 rates'!$E:$F,2,0)))</f>
        <v>0</v>
      </c>
      <c r="AH128" s="404"/>
      <c r="AI128" s="398">
        <f>IF(AH128=0,0,IF(LEN(V128)=11,_xlfn.XLOOKUP(V128,'Dispensed Ink Rates'!C:C,'Dispensed Ink Rates'!CS:CS),VLOOKUP(V128,'Jan-2026 rates'!$E:$F,2,0)))</f>
        <v>0</v>
      </c>
      <c r="AJ128" s="404"/>
      <c r="AK128" s="398">
        <f>IF(AJ128=0,0,IF(LEN(W128)=11,_xlfn.XLOOKUP(W128,'Dispensed Ink Rates'!C:C,'Dispensed Ink Rates'!CS:CS),VLOOKUP(W128,'Jan-2026 rates'!$E:$F,2,0)))</f>
        <v>0</v>
      </c>
      <c r="AL128" s="404"/>
      <c r="AM128" s="398">
        <f>IF(AL128=0,0,IF(LEN(X128)=11,_xlfn.XLOOKUP(X128,'Dispensed Ink Rates'!C:C,'Dispensed Ink Rates'!CS:CS),VLOOKUP(X128,'Jan-2026 rates'!$E:$F,2,0)))</f>
        <v>0</v>
      </c>
      <c r="AN128" s="404"/>
      <c r="AO128" s="398">
        <f>IF(AN128=0,0,IF(LEN(Y128)=11,_xlfn.XLOOKUP(Y128,'Dispensed Ink Rates'!C:C,'Dispensed Ink Rates'!CS:CS),VLOOKUP(Y128,'Jan-2026 rates'!$E:$F,2,0)))</f>
        <v>0</v>
      </c>
      <c r="AP128" s="409" t="s">
        <v>1443</v>
      </c>
      <c r="AQ128" s="409">
        <f>20+11</f>
        <v>31</v>
      </c>
      <c r="AR128" s="410">
        <f t="shared" si="82"/>
        <v>0</v>
      </c>
      <c r="AS128" s="411">
        <f t="shared" si="83"/>
        <v>11.817391304347822</v>
      </c>
      <c r="AT128" s="410">
        <f t="shared" si="84"/>
        <v>0</v>
      </c>
      <c r="AU128" s="405" t="s">
        <v>543</v>
      </c>
      <c r="AV128" s="409"/>
      <c r="AW128" s="420" t="str">
        <f t="shared" si="53"/>
        <v>FLINTSL - BLACK</v>
      </c>
      <c r="AX128" s="409"/>
      <c r="AY128" s="411">
        <f>IF(AX128=0,0,IF($LB128=70%,VLOOKUP($AW128,'Jan-2026 rates'!$L:$R,4,0),IF($LB128=65%,VLOOKUP($AW128,'Jan-2026 rates'!$L:$R,4,0),IF($LB128=40%,VLOOKUP($AW128,'Jan-2026 rates'!$L:$R,5,0),IF($LB128=30%,VLOOKUP($AW128,'Jan-2026 rates'!$L:$R,6,0),IF($LB128=100%,VLOOKUP($AW128,'Jan-2026 rates'!$L:$R,7,0),IF($LB128=60%,VLOOKUP($AW128,'Jan-2026 rates'!$L:$S,8,0),IF($LB128=80%,VLOOKUP($AW128,'Jan-2026 rates'!L:T,9,0),0))))))))</f>
        <v>0</v>
      </c>
      <c r="AZ128" s="412"/>
      <c r="BA128" s="409"/>
      <c r="BB128" s="411">
        <f>IF(BA128=0,0,IF($LB128=70%,VLOOKUP($AW128,'Jan-2026 rates'!$L:$R,4,0),IF($LB128=65%,VLOOKUP($AW128,'Jan-2026 rates'!$L:$R,4,0),IF($LB128=40%,VLOOKUP($AW128,'Jan-2026 rates'!$L:$R,5,0),IF($LB128=30%,VLOOKUP($AW128,'Jan-2026 rates'!$L:$R,6,0),IF($LB128=100%,VLOOKUP($AW128,'Jan-2026 rates'!$L:$R,7,0),IF($LB128=60%,VLOOKUP($AW128,'Jan-2026 rates'!$L:$S,8,0),IF($LB128=80%,VLOOKUP($AW128,'Jan-2026 rates'!L:T,9,0),0))))))))</f>
        <v>0</v>
      </c>
      <c r="BC128" s="413">
        <v>26514000007</v>
      </c>
      <c r="BD128" s="412">
        <v>26506000002</v>
      </c>
      <c r="BE128" s="412"/>
      <c r="BF128" s="413"/>
      <c r="BG128" s="412"/>
      <c r="BH128" s="412"/>
      <c r="BI128" s="412"/>
      <c r="BJ128" s="412"/>
      <c r="BK128" s="409">
        <v>15</v>
      </c>
      <c r="BL128" s="398" t="e">
        <f>IF(BK128=0,0,IF(LEN(BC128)=11,_xlfn.XLOOKUP(BC128,'Dispensed Ink Rates'!C:C,'Dispensed Ink Rates'!CS:CS),VLOOKUP(BC128,'Jan-2026 rates'!$E:$F,2,0)))</f>
        <v>#N/A</v>
      </c>
      <c r="BM128" s="409">
        <v>3</v>
      </c>
      <c r="BN128" s="398" t="e">
        <f>IF(BM128=0,0,IF(LEN(BD128)=11,_xlfn.XLOOKUP(BD128,'Dispensed Ink Rates'!C:C,'Dispensed Ink Rates'!CS:CS),VLOOKUP(BD128,'Jan-2026 rates'!$E:$F,2,0)))</f>
        <v>#N/A</v>
      </c>
      <c r="BO128" s="409"/>
      <c r="BP128" s="398">
        <f>IF(BO128=0,0,IF(LEN(BE128)=11,_xlfn.XLOOKUP(BE128,'Dispensed Ink Rates'!C:C,'Dispensed Ink Rates'!CS:CS),VLOOKUP(BE128,'Jan-2026 rates'!$E:$F,2,0)))</f>
        <v>0</v>
      </c>
      <c r="BQ128" s="409"/>
      <c r="BR128" s="398">
        <f>IF(BQ128=0,0,IF(LEN(BF128)=11,_xlfn.XLOOKUP(BF128,'Dispensed Ink Rates'!C:C,'Dispensed Ink Rates'!CS:CS),VLOOKUP(BF128,'Jan-2026 rates'!$E:$F,2,0)))</f>
        <v>0</v>
      </c>
      <c r="BS128" s="409"/>
      <c r="BT128" s="398">
        <f>IF(BS128=0,0,IF(LEN(BG128)=11,_xlfn.XLOOKUP(BG128,'Dispensed Ink Rates'!C:C,'Dispensed Ink Rates'!CS:CS),VLOOKUP(BG128,'Jan-2026 rates'!$E:$F,2,0)))</f>
        <v>0</v>
      </c>
      <c r="BU128" s="409"/>
      <c r="BV128" s="398">
        <f>IF(BU128=0,0,IF(LEN(BH128)=11,_xlfn.XLOOKUP(BH128,'Dispensed Ink Rates'!C:C,'Dispensed Ink Rates'!CS:CS),VLOOKUP(BH128,'Jan-2026 rates'!$E:$F,2,0)))</f>
        <v>0</v>
      </c>
      <c r="BW128" s="409"/>
      <c r="BX128" s="398">
        <f>IF(BW128=0,0,IF(LEN(BI128)=11,_xlfn.XLOOKUP(BI128,'Dispensed Ink Rates'!C:C,'Dispensed Ink Rates'!CS:CS),VLOOKUP(BI128,'Jan-2026 rates'!$E:$F,2,0)))</f>
        <v>0</v>
      </c>
      <c r="BY128" s="409"/>
      <c r="BZ128" s="398">
        <f>IF(BY128=0,0,IF(LEN(BJ128)=11,_xlfn.XLOOKUP(BJ128,'Dispensed Ink Rates'!C:C,'Dispensed Ink Rates'!CS:CS),VLOOKUP(BJ128,'Jan-2026 rates'!$E:$F,2,0)))</f>
        <v>0</v>
      </c>
      <c r="CA128" s="409" t="s">
        <v>1443</v>
      </c>
      <c r="CB128" s="409">
        <v>18</v>
      </c>
      <c r="CC128" s="411">
        <f t="shared" si="85"/>
        <v>0</v>
      </c>
      <c r="CD128" s="411">
        <f t="shared" si="86"/>
        <v>27.043478260869563</v>
      </c>
      <c r="CE128" s="410">
        <f t="shared" si="87"/>
        <v>0</v>
      </c>
      <c r="CF128" s="404" t="s">
        <v>547</v>
      </c>
      <c r="CG128" s="409" t="s">
        <v>3146</v>
      </c>
      <c r="CH128" s="420" t="str">
        <f t="shared" si="55"/>
        <v>FLINTSL - GREEN</v>
      </c>
      <c r="CI128" s="409">
        <v>20</v>
      </c>
      <c r="CJ128" s="411">
        <f>IF(CI128=0,0,IF($LB128=70%,VLOOKUP($CH128,'Jan-2026 rates'!$L:$R,4,0),IF($LB128=65%,VLOOKUP($CH128,'Jan-2026 rates'!$L:$R,4,0),IF($LB128=40%,VLOOKUP($CH128,'Jan-2026 rates'!$L:$R,5,0),IF($LB128=30%,VLOOKUP($CH128,'Jan-2026 rates'!$L:$R,6,0),IF($LB128=100%,VLOOKUP($CH128,'Jan-2026 rates'!$L:$R,7,0),IF($LB128=60%,VLOOKUP($CH128,'Jan-2026 rates'!$L:$S,8,0),IF($LB128=80%,VLOOKUP($CH128,'Jan-2026 rates'!L:T,9,0),0))))))))</f>
        <v>0</v>
      </c>
      <c r="CK128" s="412" t="s">
        <v>3349</v>
      </c>
      <c r="CL128" s="409">
        <v>20</v>
      </c>
      <c r="CM128" s="411">
        <f>IF(CL128=0,0,IF($LB128=70%,VLOOKUP($CH128,'Jan-2026 rates'!$L:$R,4,0),IF($LB128=65%,VLOOKUP($CH128,'Jan-2026 rates'!$L:$R,4,0),IF($LB128=40%,VLOOKUP($CH128,'Jan-2026 rates'!$L:$R,5,0),IF($LB128=30%,VLOOKUP($CH128,'Jan-2026 rates'!$L:$R,6,0),IF($LB128=100%,VLOOKUP($CH128,'Jan-2026 rates'!$L:$R,7,0),IF($LB128=60%,VLOOKUP($CH128,'Jan-2026 rates'!$L:$S,8,0),IF($LB128=80%,VLOOKUP($CH128,'Jan-2026 rates'!L:T,9,0),0))))))))</f>
        <v>0</v>
      </c>
      <c r="CN128" s="426">
        <v>26514000007</v>
      </c>
      <c r="CO128" s="427">
        <v>26508000001</v>
      </c>
      <c r="CP128" s="426">
        <v>26510000009</v>
      </c>
      <c r="CQ128" s="426"/>
      <c r="CR128" s="428"/>
      <c r="CS128" s="428"/>
      <c r="CT128" s="428"/>
      <c r="CU128" s="428"/>
      <c r="CV128" s="409">
        <v>2</v>
      </c>
      <c r="CW128" s="398" t="e">
        <f>IF(CV128=0,0,IF(LEN(CN128)=11,_xlfn.XLOOKUP(CN128,'Dispensed Ink Rates'!C:C,'Dispensed Ink Rates'!CS:CS),VLOOKUP(CN128,'Jan-2026 rates'!$E:$F,2,0)))</f>
        <v>#N/A</v>
      </c>
      <c r="CX128" s="409">
        <v>1</v>
      </c>
      <c r="CY128" s="398" t="e">
        <f>IF(CX128=0,0,IF(LEN(CO128)=11,_xlfn.XLOOKUP(CO128,'Dispensed Ink Rates'!C:C,'Dispensed Ink Rates'!CS:CS),VLOOKUP(CO128,'Jan-2026 rates'!$E:$F,2,0)))</f>
        <v>#N/A</v>
      </c>
      <c r="CZ128" s="409">
        <v>4</v>
      </c>
      <c r="DA128" s="398" t="e">
        <f>IF(CZ128=0,0,IF(LEN(CP128)=11,_xlfn.XLOOKUP(CP128,'Dispensed Ink Rates'!C:C,'Dispensed Ink Rates'!CS:CS),VLOOKUP(CP128,'Jan-2026 rates'!$E:$F,2,0)))</f>
        <v>#N/A</v>
      </c>
      <c r="DB128" s="409"/>
      <c r="DC128" s="398">
        <f>IF(DB128=0,0,IF(LEN(CQ128)=11,_xlfn.XLOOKUP(CQ128,'Dispensed Ink Rates'!C:C,'Dispensed Ink Rates'!CS:CS),VLOOKUP(CQ128,'Jan-2026 rates'!$E:$F,2,0)))</f>
        <v>0</v>
      </c>
      <c r="DD128" s="409"/>
      <c r="DE128" s="398">
        <f>IF(DD128=0,0,IF(LEN(CR128)=11,_xlfn.XLOOKUP(CR128,'Dispensed Ink Rates'!C:C,'Dispensed Ink Rates'!CS:CS),VLOOKUP(CR128,'Jan-2026 rates'!$E:$F,2,0)))</f>
        <v>0</v>
      </c>
      <c r="DF128" s="409"/>
      <c r="DG128" s="398">
        <f>IF(DF128=0,0,IF(LEN(CS128)=11,_xlfn.XLOOKUP(CS128,'Dispensed Ink Rates'!C:C,'Dispensed Ink Rates'!CS:CS),VLOOKUP(CS128,'Jan-2026 rates'!$E:$F,2,0)))</f>
        <v>0</v>
      </c>
      <c r="DH128" s="409"/>
      <c r="DI128" s="398">
        <f>IF(DH128=0,0,IF(LEN(CT128)=11,_xlfn.XLOOKUP(CT128,'Dispensed Ink Rates'!C:C,'Dispensed Ink Rates'!CS:CS),VLOOKUP(CT128,'Jan-2026 rates'!$E:$F,2,0)))</f>
        <v>0</v>
      </c>
      <c r="DJ128" s="409"/>
      <c r="DK128" s="398">
        <f>IF(DJ128=0,0,IF(LEN(CU128)=11,_xlfn.XLOOKUP(CU128,'Dispensed Ink Rates'!C:C,'Dispensed Ink Rates'!CS:CS),VLOOKUP(CU128,'Jan-2026 rates'!$E:$F,2,0)))</f>
        <v>0</v>
      </c>
      <c r="DL128" s="409" t="s">
        <v>1443</v>
      </c>
      <c r="DM128" s="409">
        <v>26</v>
      </c>
      <c r="DN128" s="411">
        <f t="shared" si="88"/>
        <v>0</v>
      </c>
      <c r="DO128" s="411">
        <f t="shared" si="89"/>
        <v>34.521739130434781</v>
      </c>
      <c r="DP128" s="410">
        <f t="shared" si="90"/>
        <v>0</v>
      </c>
      <c r="DQ128" s="405" t="s">
        <v>855</v>
      </c>
      <c r="DR128" s="409" t="s">
        <v>3350</v>
      </c>
      <c r="DS128" s="420" t="str">
        <f t="shared" si="56"/>
        <v>FLINTSL - CYAN</v>
      </c>
      <c r="DT128" s="409">
        <v>26</v>
      </c>
      <c r="DU128" s="411">
        <f>IF(DT128=0,0,IF($LB128=70%,VLOOKUP($DS128,'Jan-2026 rates'!$L:$R,4,0),IF($LB128=65%,VLOOKUP($DS128,'Jan-2026 rates'!$L:$R,4,0),IF($LB128=40%,VLOOKUP($DS128,'Jan-2026 rates'!$L:$R,5,0),IF($LB128=30%,VLOOKUP($DS128,'Jan-2026 rates'!$L:$R,6,0),IF($LB128=100%,VLOOKUP($DS128,'Jan-2026 rates'!$L:$R,7,0),IF($LB128=60%,VLOOKUP($DS128,'Jan-2026 rates'!$L:$S,8,0),IF($LB128=80%,VLOOKUP($DS128,'Jan-2026 rates'!L:T,9,0),0))))))))</f>
        <v>0</v>
      </c>
      <c r="DV128" s="412"/>
      <c r="DW128" s="409"/>
      <c r="DX128" s="411">
        <f>IF(DW128=0,0,IF($LB128=70%,VLOOKUP($DS128,'Jan-2026 rates'!$L:$R,4,0),IF($LB128=65%,VLOOKUP($DS128,'Jan-2026 rates'!$L:$R,4,0),IF($LB128=40%,VLOOKUP($DS128,'Jan-2026 rates'!$L:$R,5,0),IF($LB128=30%,VLOOKUP($DS128,'Jan-2026 rates'!$L:$R,6,0),IF($LB128=100%,VLOOKUP($DS128,'Jan-2026 rates'!$L:$R,7,0),IF($LB128=60%,VLOOKUP($DS128,'Jan-2026 rates'!$L:$S,8,0),IF($LB128=80%,VLOOKUP($DS128,'Jan-2026 rates'!L:T,9,0),0))))))))</f>
        <v>0</v>
      </c>
      <c r="DY128" s="413" t="s">
        <v>1266</v>
      </c>
      <c r="DZ128" s="413"/>
      <c r="EA128" s="412"/>
      <c r="EB128" s="412"/>
      <c r="EC128" s="412"/>
      <c r="ED128" s="412"/>
      <c r="EE128" s="412"/>
      <c r="EF128" s="412"/>
      <c r="EG128" s="409">
        <v>10</v>
      </c>
      <c r="EH128" s="398">
        <f>IF(EG128=0,0,IF(LEN(DY128)=11,_xlfn.XLOOKUP(DY128,'Dispensed Ink Rates'!C:C,'Dispensed Ink Rates'!CS:CS),VLOOKUP(DY128,'Jan-2026 rates'!$E:$F,2,0)))</f>
        <v>0</v>
      </c>
      <c r="EI128" s="409"/>
      <c r="EJ128" s="398">
        <f>IF(EI128=0,0,IF(LEN(DZ128)=11,_xlfn.XLOOKUP(DZ128,'Dispensed Ink Rates'!C:C,'Dispensed Ink Rates'!CS:CS),VLOOKUP(DZ128,'Jan-2026 rates'!$E:$F,2,0)))</f>
        <v>0</v>
      </c>
      <c r="EK128" s="409"/>
      <c r="EL128" s="398">
        <f>IF(EK128=0,0,IF(LEN(EA128)=11,_xlfn.XLOOKUP(EA128,'Dispensed Ink Rates'!C:C,'Dispensed Ink Rates'!CS:CS),VLOOKUP(EA128,'Jan-2026 rates'!$E:$F,2,0)))</f>
        <v>0</v>
      </c>
      <c r="EM128" s="409"/>
      <c r="EN128" s="398">
        <f>IF(EM128=0,0,IF(LEN(EB128)=11,_xlfn.XLOOKUP(EB128,'Dispensed Ink Rates'!C:C,'Dispensed Ink Rates'!CS:CS),VLOOKUP(EB128,'Jan-2026 rates'!$E:$F,2,0)))</f>
        <v>0</v>
      </c>
      <c r="EO128" s="409"/>
      <c r="EP128" s="398">
        <f>IF(EO128=0,0,IF(LEN(EC128)=11,_xlfn.XLOOKUP(EC128,'Dispensed Ink Rates'!C:C,'Dispensed Ink Rates'!CS:CS),VLOOKUP(EC128,'Jan-2026 rates'!$E:$F,2,0)))</f>
        <v>0</v>
      </c>
      <c r="EQ128" s="409"/>
      <c r="ER128" s="398">
        <f>IF(EQ128=0,0,IF(LEN(ED128)=11,_xlfn.XLOOKUP(ED128,'Dispensed Ink Rates'!C:C,'Dispensed Ink Rates'!CS:CS),VLOOKUP(ED128,'Jan-2026 rates'!$E:$F,2,0)))</f>
        <v>0</v>
      </c>
      <c r="ES128" s="409"/>
      <c r="ET128" s="398">
        <f>IF(ES128=0,0,IF(LEN(EE128)=11,_xlfn.XLOOKUP(EE128,'Dispensed Ink Rates'!C:C,'Dispensed Ink Rates'!CS:CS),VLOOKUP(EE128,'Jan-2026 rates'!$E:$F,2,0)))</f>
        <v>0</v>
      </c>
      <c r="EU128" s="409"/>
      <c r="EV128" s="398">
        <f>IF(EU128=0,0,IF(LEN(EF128)=11,_xlfn.XLOOKUP(EF128,'Dispensed Ink Rates'!C:C,'Dispensed Ink Rates'!CS:CS),VLOOKUP(EF128,'Jan-2026 rates'!$E:$F,2,0)))</f>
        <v>0</v>
      </c>
      <c r="EW128" s="409" t="s">
        <v>1443</v>
      </c>
      <c r="EX128" s="409">
        <v>30</v>
      </c>
      <c r="EY128" s="411">
        <f t="shared" si="91"/>
        <v>0</v>
      </c>
      <c r="EZ128" s="411">
        <f t="shared" si="92"/>
        <v>19.521739130434781</v>
      </c>
      <c r="FA128" s="410">
        <f t="shared" si="93"/>
        <v>0</v>
      </c>
      <c r="FB128" s="405" t="s">
        <v>544</v>
      </c>
      <c r="FC128" s="409" t="s">
        <v>3351</v>
      </c>
      <c r="FD128" s="420" t="str">
        <f t="shared" si="57"/>
        <v>FLINTSL - MAGENTA</v>
      </c>
      <c r="FE128" s="409">
        <v>23</v>
      </c>
      <c r="FF128" s="411">
        <f>IF(FE128=0,0,IF($LB128=70%,VLOOKUP($FD128,'Jan-2026 rates'!$L:$R,4,0),IF($LB128=65%,VLOOKUP($FD128,'Jan-2026 rates'!$L:$R,4,0),IF($LB128=40%,VLOOKUP($FD128,'Jan-2026 rates'!$L:$R,5,0),IF($LB128=30%,VLOOKUP($FD128,'Jan-2026 rates'!$L:$R,6,0),IF($LB128=100%,VLOOKUP($FD128,'Jan-2026 rates'!$L:$R,7,0),IF($LB128=60%,VLOOKUP($FD128,'Jan-2026 rates'!$L:$S,8,0),IF($LB128=80%,VLOOKUP($FD128,'Jan-2026 rates'!L:T,9,0),0))))))))</f>
        <v>0</v>
      </c>
      <c r="FG128" s="412"/>
      <c r="FH128" s="409"/>
      <c r="FI128" s="411">
        <f>IF(FH128=0,0,IF($LB128=70%,VLOOKUP($FD128,'Jan-2026 rates'!$L:$R,4,0),IF($LB128=65%,VLOOKUP($FD128,'Jan-2026 rates'!$L:$R,4,0),IF($LB128=40%,VLOOKUP($FD128,'Jan-2026 rates'!$L:$R,5,0),IF($LB128=30%,VLOOKUP($FD128,'Jan-2026 rates'!$L:$R,6,0),IF($LB128=100%,VLOOKUP($FD128,'Jan-2026 rates'!$L:$R,7,0),IF($LB128=60%,VLOOKUP($FD128,'Jan-2026 rates'!$L:$S,8,0),IF($LB128=80%,VLOOKUP($FD128,'Jan-2026 rates'!L:T,9,0),0))))))))</f>
        <v>0</v>
      </c>
      <c r="FJ128" s="413">
        <v>26513000019</v>
      </c>
      <c r="FK128" s="413" t="s">
        <v>1266</v>
      </c>
      <c r="FL128" s="413"/>
      <c r="FM128" s="412"/>
      <c r="FN128" s="412"/>
      <c r="FO128" s="412"/>
      <c r="FP128" s="412"/>
      <c r="FQ128" s="412"/>
      <c r="FR128" s="409">
        <v>5</v>
      </c>
      <c r="FS128" s="398" t="e">
        <f>IF(FR128=0,0,IF(LEN(FJ128)=11,_xlfn.XLOOKUP(FJ128,'Dispensed Ink Rates'!C:C,'Dispensed Ink Rates'!CS:CS),VLOOKUP(FJ128,'Jan-2026 rates'!$E:$F,2,0)))</f>
        <v>#N/A</v>
      </c>
      <c r="FT128" s="409">
        <v>4</v>
      </c>
      <c r="FU128" s="398">
        <f>IF(FT128=0,0,IF(LEN(FK128)=11,_xlfn.XLOOKUP(FK128,'Dispensed Ink Rates'!C:C,'Dispensed Ink Rates'!CS:CS),VLOOKUP(FK128,'Jan-2026 rates'!$E:$F,2,0)))</f>
        <v>0</v>
      </c>
      <c r="FV128" s="409"/>
      <c r="FW128" s="398">
        <f>IF(FV128=0,0,IF(LEN(FL128)=11,_xlfn.XLOOKUP(FL128,'Dispensed Ink Rates'!C:C,'Dispensed Ink Rates'!CS:CS),VLOOKUP(FL128,'Jan-2026 rates'!$E:$F,2,0)))</f>
        <v>0</v>
      </c>
      <c r="FX128" s="409"/>
      <c r="FY128" s="398">
        <f>IF(FX128=0,0,IF(LEN(FM128)=11,_xlfn.XLOOKUP(FM128,'Dispensed Ink Rates'!C:C,'Dispensed Ink Rates'!CS:CS),VLOOKUP(FM128,'Jan-2026 rates'!$E:$F,2,0)))</f>
        <v>0</v>
      </c>
      <c r="FZ128" s="409"/>
      <c r="GA128" s="398">
        <f>IF(FZ128=0,0,IF(LEN(FN128)=11,_xlfn.XLOOKUP(FN128,'Dispensed Ink Rates'!C:C,'Dispensed Ink Rates'!CS:CS),VLOOKUP(FN128,'Jan-2026 rates'!$E:$F,2,0)))</f>
        <v>0</v>
      </c>
      <c r="GB128" s="409"/>
      <c r="GC128" s="398">
        <f>IF(GB128=0,0,IF(LEN(FO128)=11,_xlfn.XLOOKUP(FO128,'Dispensed Ink Rates'!C:C,'Dispensed Ink Rates'!CS:CS),VLOOKUP(FO128,'Jan-2026 rates'!$E:$F,2,0)))</f>
        <v>0</v>
      </c>
      <c r="GD128" s="409"/>
      <c r="GE128" s="398">
        <f>IF(GD128=0,0,IF(LEN(FP128)=11,_xlfn.XLOOKUP(FP128,'Dispensed Ink Rates'!C:C,'Dispensed Ink Rates'!CS:CS),VLOOKUP(FP128,'Jan-2026 rates'!$E:$F,2,0)))</f>
        <v>0</v>
      </c>
      <c r="GF128" s="409"/>
      <c r="GG128" s="398">
        <f>IF(GF128=0,0,IF(LEN(FQ128)=11,_xlfn.XLOOKUP(FQ128,'Dispensed Ink Rates'!C:C,'Dispensed Ink Rates'!CS:CS),VLOOKUP(FQ128,'Jan-2026 rates'!$E:$F,2,0)))</f>
        <v>0</v>
      </c>
      <c r="GH128" s="409" t="s">
        <v>1443</v>
      </c>
      <c r="GI128" s="409">
        <v>24</v>
      </c>
      <c r="GJ128" s="411">
        <f t="shared" si="94"/>
        <v>0</v>
      </c>
      <c r="GK128" s="411">
        <f t="shared" si="95"/>
        <v>24.22608695652174</v>
      </c>
      <c r="GL128" s="410">
        <f t="shared" si="96"/>
        <v>0</v>
      </c>
      <c r="GM128" s="405" t="s">
        <v>545</v>
      </c>
      <c r="GN128" s="409" t="s">
        <v>3352</v>
      </c>
      <c r="GO128" s="420" t="str">
        <f t="shared" si="58"/>
        <v>FLINTSL - YELLOW</v>
      </c>
      <c r="GP128" s="409">
        <v>26</v>
      </c>
      <c r="GQ128" s="411">
        <f>IF(GP128=0,0,IF($LB128=70%,VLOOKUP($GO128,'Jan-2026 rates'!$L:$R,4,0),IF($LB128=65%,VLOOKUP($GO128,'Jan-2026 rates'!$L:$R,4,0),IF($LB128=40%,VLOOKUP($GO128,'Jan-2026 rates'!$L:$R,5,0),IF($LB128=30%,VLOOKUP($GO128,'Jan-2026 rates'!$L:$R,6,0),IF($LB128=100%,VLOOKUP($GO128,'Jan-2026 rates'!$L:$R,7,0),IF($LB128=60%,VLOOKUP($GO128,'Jan-2026 rates'!$L:$S,8,0),IF($LB128=80%,VLOOKUP($GO128,'Jan-2026 rates'!L:T,9,0),0))))))))</f>
        <v>0</v>
      </c>
      <c r="GR128" s="412"/>
      <c r="GS128" s="409"/>
      <c r="GT128" s="411">
        <f>IF(GS128=0,0,IF($LB128=70%,VLOOKUP($GO128,'Jan-2026 rates'!$L:$R,4,0),IF($LB128=65%,VLOOKUP($GO128,'Jan-2026 rates'!$L:$R,4,0),IF($LB128=40%,VLOOKUP($GO128,'Jan-2026 rates'!$L:$R,5,0),IF($LB128=30%,VLOOKUP($GO128,'Jan-2026 rates'!$L:$R,6,0),IF($LB128=100%,VLOOKUP($GO128,'Jan-2026 rates'!$L:$R,7,0),IF($LB128=60%,VLOOKUP($GO128,'Jan-2026 rates'!$L:$S,8,0),IF($LB128=80%,VLOOKUP($GO128,'Jan-2026 rates'!L:T,9,0),0))))))))</f>
        <v>0</v>
      </c>
      <c r="GU128" s="413">
        <v>26513000018</v>
      </c>
      <c r="GV128" s="413">
        <v>26506000002</v>
      </c>
      <c r="GW128" s="412"/>
      <c r="GX128" s="412"/>
      <c r="GY128" s="412"/>
      <c r="GZ128" s="412"/>
      <c r="HA128" s="412"/>
      <c r="HB128" s="412"/>
      <c r="HC128" s="409">
        <v>15</v>
      </c>
      <c r="HD128" s="398" t="e">
        <f>IF(HC128=0,0,IF(LEN(GU128)=11,_xlfn.XLOOKUP(GU128,'Dispensed Ink Rates'!C:C,'Dispensed Ink Rates'!CS:CS),VLOOKUP(GU128,'Jan-2026 rates'!$E:$F,2,0)))</f>
        <v>#N/A</v>
      </c>
      <c r="HE128" s="409">
        <f>5+4</f>
        <v>9</v>
      </c>
      <c r="HF128" s="398" t="e">
        <f>IF(HE128=0,0,IF(LEN(GV128)=11,_xlfn.XLOOKUP(GV128,'Dispensed Ink Rates'!C:C,'Dispensed Ink Rates'!CS:CS),VLOOKUP(GV128,'Jan-2026 rates'!$E:$F,2,0)))</f>
        <v>#N/A</v>
      </c>
      <c r="HG128" s="409"/>
      <c r="HH128" s="398">
        <f>IF(HG128=0,0,IF(LEN(GW128)=11,_xlfn.XLOOKUP(GW128,'Dispensed Ink Rates'!C:C,'Dispensed Ink Rates'!CS:CS),VLOOKUP(GW128,'Jan-2026 rates'!$E:$F,2,0)))</f>
        <v>0</v>
      </c>
      <c r="HI128" s="409"/>
      <c r="HJ128" s="398">
        <f>IF(HI128=0,0,IF(LEN(GX128)=11,_xlfn.XLOOKUP(GX128,'Dispensed Ink Rates'!C:C,'Dispensed Ink Rates'!CS:CS),VLOOKUP(GX128,'Jan-2026 rates'!$E:$F,2,0)))</f>
        <v>0</v>
      </c>
      <c r="HK128" s="409"/>
      <c r="HL128" s="398">
        <f>IF(HK128=0,0,IF(LEN(GY128)=11,_xlfn.XLOOKUP(GY128,'Dispensed Ink Rates'!C:C,'Dispensed Ink Rates'!CS:CS),VLOOKUP(GY128,'Jan-2026 rates'!$E:$F,2,0)))</f>
        <v>0</v>
      </c>
      <c r="HM128" s="409"/>
      <c r="HN128" s="398">
        <f>IF(HM128=0,0,IF(LEN(GZ128)=11,_xlfn.XLOOKUP(GZ128,'Dispensed Ink Rates'!C:C,'Dispensed Ink Rates'!CS:CS),VLOOKUP(GZ128,'Jan-2026 rates'!$E:$F,2,0)))</f>
        <v>0</v>
      </c>
      <c r="HO128" s="409"/>
      <c r="HP128" s="398">
        <f>IF(HO128=0,0,IF(LEN(HA128)=11,_xlfn.XLOOKUP(HA128,'Dispensed Ink Rates'!C:C,'Dispensed Ink Rates'!CS:CS),VLOOKUP(HA128,'Jan-2026 rates'!$E:$F,2,0)))</f>
        <v>0</v>
      </c>
      <c r="HQ128" s="409"/>
      <c r="HR128" s="398">
        <f>IF(HQ128=0,0,IF(LEN(HB128)=11,_xlfn.XLOOKUP(HB128,'Dispensed Ink Rates'!C:C,'Dispensed Ink Rates'!CS:CS),VLOOKUP(HB128,'Jan-2026 rates'!$E:$F,2,0)))</f>
        <v>0</v>
      </c>
      <c r="HS128" s="409" t="s">
        <v>1443</v>
      </c>
      <c r="HT128" s="409">
        <v>27</v>
      </c>
      <c r="HU128" s="411">
        <f t="shared" si="97"/>
        <v>0</v>
      </c>
      <c r="HV128" s="411">
        <f t="shared" si="98"/>
        <v>77.086956521739125</v>
      </c>
      <c r="HW128" s="414">
        <f t="shared" si="99"/>
        <v>0</v>
      </c>
      <c r="HX128" s="405" t="s">
        <v>856</v>
      </c>
      <c r="HY128" s="409" t="s">
        <v>3353</v>
      </c>
      <c r="HZ128" s="420" t="str">
        <f t="shared" si="59"/>
        <v>FLINTSL - WHITE</v>
      </c>
      <c r="IA128" s="409">
        <v>32</v>
      </c>
      <c r="IB128" s="411">
        <f>IF(IA128=0,0,IF($LB128=70%,VLOOKUP($HZ128,'Jan-2026 rates'!$L:$R,4,0),IF($LB128=65%,VLOOKUP($HZ128,'Jan-2026 rates'!$L:$R,4,0),IF($LB128=40%,VLOOKUP($HZ128,'Jan-2026 rates'!$L:$R,5,0),IF($LB128=30%,VLOOKUP($HZ128,'Jan-2026 rates'!$L:$R,6,0),IF($LB128=100%,VLOOKUP($HZ128,'Jan-2026 rates'!$L:$R,7,0),IF($LB128=60%,VLOOKUP($HZ128,'Jan-2026 rates'!$L:$S,8,0),IF($LB128=80%,VLOOKUP($HZ128,'Jan-2026 rates'!L:T,9,0),0))))))))</f>
        <v>0</v>
      </c>
      <c r="IC128" s="412"/>
      <c r="ID128" s="409"/>
      <c r="IE128" s="411">
        <f>IF(ID128=0,0,IF($LB128=70%,VLOOKUP($HZ128,'Jan-2026 rates'!$L:$R,4,0),IF($LB128=65%,VLOOKUP($HZ128,'Jan-2026 rates'!$L:$R,4,0),IF($LB128=40%,VLOOKUP($HZ128,'Jan-2026 rates'!$L:$R,5,0),IF($LB128=30%,VLOOKUP($HZ128,'Jan-2026 rates'!$L:$R,6,0),IF($LB128=100%,VLOOKUP($HZ128,'Jan-2026 rates'!$L:$R,7,0),IF($LB128=60%,VLOOKUP($HZ128,'Jan-2026 rates'!$L:$S,8,0),IF($LB128=80%,VLOOKUP($HZ128,'Jan-2026 rates'!L:T,9,0),0))))))))</f>
        <v>0</v>
      </c>
      <c r="IF128" s="412" t="s">
        <v>484</v>
      </c>
      <c r="IG128" s="413"/>
      <c r="IH128" s="412"/>
      <c r="II128" s="412"/>
      <c r="IJ128" s="412"/>
      <c r="IK128" s="412"/>
      <c r="IL128" s="412"/>
      <c r="IM128" s="412"/>
      <c r="IN128" s="409">
        <f>100+100+100</f>
        <v>300</v>
      </c>
      <c r="IO128" s="398">
        <f>IF(IN128=0,0,IF(LEN(IF128)=11,_xlfn.XLOOKUP(IF128,'Dispensed Ink Rates'!C:C,'Dispensed Ink Rates'!CS:CS),VLOOKUP(IF128,'Jan-2026 rates'!$E:$F,2,0)))</f>
        <v>0</v>
      </c>
      <c r="IP128" s="409"/>
      <c r="IQ128" s="398">
        <f>IF(IP128=0,0,IF(LEN(IG128)=11,_xlfn.XLOOKUP(IG128,'Dispensed Ink Rates'!C:C,'Dispensed Ink Rates'!CS:CS),VLOOKUP(IG128,'Jan-2026 rates'!$E:$F,2,0)))</f>
        <v>0</v>
      </c>
      <c r="IR128" s="409"/>
      <c r="IS128" s="398">
        <f>IF(IR128=0,0,IF(LEN(IH128)=11,_xlfn.XLOOKUP(IH128,'Dispensed Ink Rates'!C:C,'Dispensed Ink Rates'!CS:CS),VLOOKUP(IH128,'Jan-2026 rates'!$E:$F,2,0)))</f>
        <v>0</v>
      </c>
      <c r="IT128" s="409"/>
      <c r="IU128" s="398">
        <f>IF(IT128=0,0,IF(LEN(II128)=11,_xlfn.XLOOKUP(II128,'Dispensed Ink Rates'!C:C,'Dispensed Ink Rates'!CS:CS),VLOOKUP(II128,'Jan-2026 rates'!$E:$F,2,0)))</f>
        <v>0</v>
      </c>
      <c r="IV128" s="409"/>
      <c r="IW128" s="398">
        <f>IF(IV128=0,0,IF(LEN(IJ128)=11,_xlfn.XLOOKUP(IJ128,'Dispensed Ink Rates'!C:C,'Dispensed Ink Rates'!CS:CS),VLOOKUP(IJ128,'Jan-2026 rates'!$E:$F,2,0)))</f>
        <v>0</v>
      </c>
      <c r="IX128" s="409"/>
      <c r="IY128" s="398">
        <f>IF(IX128=0,0,IF(LEN(IK128)=11,_xlfn.XLOOKUP(IK128,'Dispensed Ink Rates'!C:C,'Dispensed Ink Rates'!CS:CS),VLOOKUP(IK128,'Jan-2026 rates'!$E:$F,2,0)))</f>
        <v>0</v>
      </c>
      <c r="IZ128" s="409"/>
      <c r="JA128" s="398">
        <f>IF(IZ128=0,0,IF(LEN(IL128)=11,_xlfn.XLOOKUP(IL128,'Dispensed Ink Rates'!C:C,'Dispensed Ink Rates'!CS:CS),VLOOKUP(IL128,'Jan-2026 rates'!$E:$F,2,0)))</f>
        <v>0</v>
      </c>
      <c r="JB128" s="409"/>
      <c r="JC128" s="398">
        <f>IF(JB128=0,0,IF(LEN(IM128)=11,_xlfn.XLOOKUP(IM128,'Dispensed Ink Rates'!C:C,'Dispensed Ink Rates'!CS:CS),VLOOKUP(IM128,'Jan-2026 rates'!$E:$F,2,0)))</f>
        <v>0</v>
      </c>
      <c r="JD128" s="409" t="s">
        <v>1443</v>
      </c>
      <c r="JE128" s="409">
        <v>26</v>
      </c>
      <c r="JF128" s="411">
        <f t="shared" si="100"/>
        <v>0</v>
      </c>
      <c r="JG128" s="411">
        <f t="shared" si="101"/>
        <v>792.78260869565224</v>
      </c>
      <c r="JH128" s="410">
        <f t="shared" si="102"/>
        <v>0</v>
      </c>
      <c r="JI128" s="405" t="s">
        <v>547</v>
      </c>
      <c r="JJ128" s="409"/>
      <c r="JK128" s="420" t="str">
        <f t="shared" si="60"/>
        <v>FLINTSL - GREEN</v>
      </c>
      <c r="JL128" s="409"/>
      <c r="JM128" s="411">
        <f>IF(JL128=0,0,IF($LB128=70%,VLOOKUP($JK128,'Jan-2026 rates'!$L:$R,4,0),IF($LB128=65%,VLOOKUP($JK128,'Jan-2026 rates'!$L:$R,4,0),IF($LB128=40%,VLOOKUP($JK128,'Jan-2026 rates'!$L:$R,5,0),IF($LB128=30%,VLOOKUP($JK128,'Jan-2026 rates'!$L:$R,6,0),IF($LB128=100%,VLOOKUP($JK128,'Jan-2026 rates'!$L:$R,7,0),IF($LB128=60%,VLOOKUP($JK128,'Jan-2026 rates'!$L:$S,8,0),IF($LB128=80%,VLOOKUP($JK128,'Jan-2026 rates'!L:T,9,0),0))))))))</f>
        <v>0</v>
      </c>
      <c r="JN128" s="412"/>
      <c r="JO128" s="409"/>
      <c r="JP128" s="411">
        <f>IF(JO128=0,0,IF($LB128=70%,VLOOKUP($JK128,'Jan-2026 rates'!$L:$R,4,0),IF($LB128=65%,VLOOKUP($JK128,'Jan-2026 rates'!$L:$R,4,0),IF($LB128=40%,VLOOKUP($JK128,'Jan-2026 rates'!$L:$R,5,0),IF($LB128=30%,VLOOKUP($JK128,'Jan-2026 rates'!$L:$R,6,0),IF($LB128=100%,VLOOKUP($JK128,'Jan-2026 rates'!$L:$R,7,0),IF($LB128=60%,VLOOKUP($JK128,'Jan-2026 rates'!$L:$S,8,0),IF($LB128=80%,VLOOKUP($JK128,'Jan-2026 rates'!L:T,9,0),0))))))))</f>
        <v>0</v>
      </c>
      <c r="JQ128" s="413">
        <v>26513000005</v>
      </c>
      <c r="JR128" s="412">
        <v>26513000004</v>
      </c>
      <c r="JS128" s="413">
        <v>26513000003</v>
      </c>
      <c r="JT128" s="413">
        <v>26513000002</v>
      </c>
      <c r="JU128" s="412">
        <v>26512000021</v>
      </c>
      <c r="JV128" s="412"/>
      <c r="JW128" s="412"/>
      <c r="JX128" s="412"/>
      <c r="JY128" s="409">
        <v>40</v>
      </c>
      <c r="JZ128" s="398" t="e">
        <f>IF(JY128=0,0,IF(LEN(JQ128)=11,_xlfn.XLOOKUP(JQ128,'Dispensed Ink Rates'!C:C,'Dispensed Ink Rates'!CS:CS),VLOOKUP(JQ128,'Jan-2026 rates'!$E:$F,2,0)))</f>
        <v>#N/A</v>
      </c>
      <c r="KA128" s="409">
        <v>40</v>
      </c>
      <c r="KB128" s="398" t="e">
        <f>IF(KA128=0,0,IF(LEN(JR128)=11,_xlfn.XLOOKUP(JR128,'Dispensed Ink Rates'!C:C,'Dispensed Ink Rates'!CS:CS),VLOOKUP(JR128,'Jan-2026 rates'!$E:$F,2,0)))</f>
        <v>#N/A</v>
      </c>
      <c r="KC128" s="409">
        <v>40</v>
      </c>
      <c r="KD128" s="398" t="e">
        <f>IF(KC128=0,0,IF(LEN(JS128)=11,_xlfn.XLOOKUP(JS128,'Dispensed Ink Rates'!C:C,'Dispensed Ink Rates'!CS:CS),VLOOKUP(JS128,'Jan-2026 rates'!$E:$F,2,0)))</f>
        <v>#N/A</v>
      </c>
      <c r="KE128" s="409">
        <v>40</v>
      </c>
      <c r="KF128" s="398" t="e">
        <f>IF(KE128=0,0,IF(LEN(JT128)=11,_xlfn.XLOOKUP(JT128,'Dispensed Ink Rates'!C:C,'Dispensed Ink Rates'!CS:CS),VLOOKUP(JT128,'Jan-2026 rates'!$E:$F,2,0)))</f>
        <v>#N/A</v>
      </c>
      <c r="KG128" s="409">
        <v>40</v>
      </c>
      <c r="KH128" s="398" t="e">
        <f>IF(KG128=0,0,IF(LEN(JU128)=11,_xlfn.XLOOKUP(JU128,'Dispensed Ink Rates'!C:C,'Dispensed Ink Rates'!CS:CS),VLOOKUP(JU128,'Jan-2026 rates'!$E:$F,2,0)))</f>
        <v>#N/A</v>
      </c>
      <c r="KI128" s="409"/>
      <c r="KJ128" s="398">
        <f>IF(KI128=0,0,IF(LEN(JV128)=11,_xlfn.XLOOKUP(JV128,'Dispensed Ink Rates'!C:C,'Dispensed Ink Rates'!CS:CS),VLOOKUP(JV128,'Jan-2026 rates'!$E:$F,2,0)))</f>
        <v>0</v>
      </c>
      <c r="KK128" s="409"/>
      <c r="KL128" s="398">
        <f>IF(KK128=0,0,IF(LEN(JW128)=11,_xlfn.XLOOKUP(JW128,'Dispensed Ink Rates'!C:C,'Dispensed Ink Rates'!CS:CS),VLOOKUP(JW128,'Jan-2026 rates'!$E:$F,2,0)))</f>
        <v>0</v>
      </c>
      <c r="KM128" s="428"/>
      <c r="KN128" s="398">
        <f>IF(KM128=0,0,IF(LEN(JX128)=11,_xlfn.XLOOKUP(JX128,'Dispensed Ink Rates'!C:C,'Dispensed Ink Rates'!CS:CS),VLOOKUP(JX128,'Jan-2026 rates'!$E:$F,2,0)))</f>
        <v>0</v>
      </c>
      <c r="KO128" s="409" t="s">
        <v>1443</v>
      </c>
      <c r="KP128" s="409">
        <v>29</v>
      </c>
      <c r="KQ128" s="411">
        <f t="shared" si="103"/>
        <v>0</v>
      </c>
      <c r="KR128" s="411">
        <f t="shared" si="104"/>
        <v>171</v>
      </c>
      <c r="KS128" s="410">
        <f t="shared" si="105"/>
        <v>0</v>
      </c>
      <c r="KT128" s="409">
        <v>4</v>
      </c>
      <c r="KU128" s="409">
        <v>10</v>
      </c>
      <c r="KV128" s="409">
        <v>5</v>
      </c>
      <c r="KW128" s="409">
        <v>5</v>
      </c>
      <c r="KX128" s="409">
        <v>6</v>
      </c>
      <c r="KY128" s="409">
        <v>20</v>
      </c>
      <c r="KZ128" s="409">
        <f>60+60+60</f>
        <v>180</v>
      </c>
      <c r="LA128" s="409">
        <v>0</v>
      </c>
      <c r="LB128" s="415">
        <v>0.8</v>
      </c>
      <c r="LC128" s="415">
        <v>0.2</v>
      </c>
      <c r="LD128" s="415"/>
      <c r="LE128" s="415"/>
      <c r="LF128" s="415"/>
      <c r="LG128" s="409">
        <v>0</v>
      </c>
      <c r="LH128" s="409">
        <f>180+140+100+152+38+5+5+2</f>
        <v>622</v>
      </c>
      <c r="LI128" s="409">
        <v>0</v>
      </c>
      <c r="LJ128" s="409">
        <v>0</v>
      </c>
      <c r="LK128" s="416">
        <f t="shared" si="61"/>
        <v>622</v>
      </c>
      <c r="LL128" s="416">
        <f t="shared" si="62"/>
        <v>622</v>
      </c>
      <c r="LM128" s="417">
        <f t="shared" si="63"/>
        <v>497.6</v>
      </c>
      <c r="LN128" s="417">
        <f>VLOOKUP($LM$8,'Jan-2026 rates'!$H:$I,2,0)</f>
        <v>0</v>
      </c>
      <c r="LO128" s="417">
        <f t="shared" si="64"/>
        <v>124.4</v>
      </c>
      <c r="LP128" s="417">
        <f>VLOOKUP($LO$8,'Jan-2026 rates'!$H:$I,2,0)</f>
        <v>0</v>
      </c>
      <c r="LQ128" s="417">
        <f t="shared" si="65"/>
        <v>0</v>
      </c>
      <c r="LR128" s="417">
        <f>VLOOKUP($LQ$8,'Jan-2026 rates'!$H:$I,2,0)</f>
        <v>0</v>
      </c>
      <c r="LS128" s="417">
        <f t="shared" si="66"/>
        <v>0</v>
      </c>
      <c r="LT128" s="417">
        <f>VLOOKUP($LS$8,'Jan-2026 rates'!$H:$I,2,0)</f>
        <v>0</v>
      </c>
      <c r="LU128" s="417">
        <f t="shared" si="67"/>
        <v>0</v>
      </c>
      <c r="LV128" s="417">
        <f>VLOOKUP($LU$8,'Jan-2026 rates'!$H:$I,2,0)</f>
        <v>0</v>
      </c>
      <c r="LW128" s="417">
        <f t="shared" si="68"/>
        <v>0</v>
      </c>
      <c r="LX128" s="417">
        <f t="shared" si="69"/>
        <v>0</v>
      </c>
      <c r="LY128" s="418">
        <f t="shared" si="70"/>
        <v>0</v>
      </c>
      <c r="LZ128" s="417"/>
      <c r="MA128" s="435">
        <f t="shared" si="71"/>
        <v>578</v>
      </c>
      <c r="MB128" s="282">
        <f t="shared" si="72"/>
        <v>1158</v>
      </c>
      <c r="MC128" s="283">
        <v>83</v>
      </c>
      <c r="MD128" s="284" t="str">
        <f t="shared" si="73"/>
        <v>FLINTSLFLINTSLFLINTSLFLINTSLFLINTSLFLINTSLFLINTSLFLINTSL</v>
      </c>
      <c r="ME128" s="293" t="str">
        <f t="shared" si="74"/>
        <v>+</v>
      </c>
      <c r="MF128" s="293" t="str">
        <f t="shared" si="75"/>
        <v>+</v>
      </c>
      <c r="MG128" s="293" t="str">
        <f t="shared" si="76"/>
        <v>+</v>
      </c>
      <c r="MH128" s="293" t="str">
        <f t="shared" si="77"/>
        <v>+</v>
      </c>
      <c r="MI128" s="293" t="str">
        <f t="shared" si="78"/>
        <v>+</v>
      </c>
      <c r="MJ128" s="293" t="str">
        <f t="shared" si="79"/>
        <v>+</v>
      </c>
      <c r="MK128" s="293" t="str">
        <f t="shared" si="80"/>
        <v>+</v>
      </c>
      <c r="ML128" s="293" t="str">
        <f t="shared" si="81"/>
        <v>+</v>
      </c>
      <c r="MM128" s="3" t="b">
        <f t="array" ref="MM128">OR(ME128:ML128="-")</f>
        <v>0</v>
      </c>
      <c r="MN128" s="285"/>
      <c r="MO128" s="401"/>
      <c r="MP128" s="286"/>
      <c r="MQ128" s="286"/>
      <c r="MR128" s="402"/>
      <c r="MS128" s="400"/>
      <c r="NH128" s="422"/>
      <c r="NJ128" s="421"/>
    </row>
    <row r="129" spans="1:374" s="1" customFormat="1" ht="16.5">
      <c r="A129" s="403">
        <v>46034</v>
      </c>
      <c r="B129" s="404" t="s">
        <v>1018</v>
      </c>
      <c r="C129" s="405" t="s">
        <v>5139</v>
      </c>
      <c r="D129" s="406">
        <v>84</v>
      </c>
      <c r="E129" s="404">
        <v>728</v>
      </c>
      <c r="F129" s="407">
        <v>44600</v>
      </c>
      <c r="G129" s="407" t="s">
        <v>1019</v>
      </c>
      <c r="H129" s="408" t="s">
        <v>1017</v>
      </c>
      <c r="I129" s="409">
        <v>0.53</v>
      </c>
      <c r="J129" s="405" t="s">
        <v>543</v>
      </c>
      <c r="K129" s="404" t="s">
        <v>3343</v>
      </c>
      <c r="L129" s="419" t="str">
        <f t="shared" si="54"/>
        <v>FLINTSL - BLACK</v>
      </c>
      <c r="M129" s="404">
        <v>15</v>
      </c>
      <c r="N129" s="410">
        <f>IF(M129=0,0,IF($LB129=70%,VLOOKUP($L129,'Jan-2026 rates'!$L:$R,4,0),IF($LB129=65%,VLOOKUP($L129,'Jan-2026 rates'!$L:$R,4,0),IF($LB129=40%,VLOOKUP($L129,'Jan-2026 rates'!$L:$R,5,0),IF($LB129=30%,VLOOKUP($L129,'Jan-2026 rates'!$L:$R,6,0),IF($LB129=100%,VLOOKUP($L129,'Jan-2026 rates'!$L:$R,7,0),IF($LB129=60%,VLOOKUP($L129,'Jan-2026 rates'!$L:$S,8,0),IF($LB129=80%,VLOOKUP($L129,'Jan-2026 rates'!L:T,9,0),0))))))))</f>
        <v>0</v>
      </c>
      <c r="O129" s="406" t="s">
        <v>3329</v>
      </c>
      <c r="P129" s="404">
        <v>7</v>
      </c>
      <c r="Q129" s="410">
        <f>IF(P129=0,0,IF($LB129=70%,VLOOKUP($L129,'Jan-2026 rates'!$L:$R,4,0),IF($LB129=65%,VLOOKUP($L129,'Jan-2026 rates'!$L:$R,4,0),IF($LB129=40%,VLOOKUP($L129,'Jan-2026 rates'!$L:$R,5,0),IF($LB129=30%,VLOOKUP($L129,'Jan-2026 rates'!$L:$R,6,0),IF($LB129=100%,VLOOKUP($L129,'Jan-2026 rates'!$L:$R,7,0),IF($LB129=60%,VLOOKUP($L129,'Jan-2026 rates'!$L:$S,8,0),IF($LB129=80%,VLOOKUP($L129,'Jan-2026 rates'!L:T,9,0),0))))))))</f>
        <v>0</v>
      </c>
      <c r="R129" s="406">
        <v>26513000019</v>
      </c>
      <c r="S129" s="406">
        <v>26514000010</v>
      </c>
      <c r="T129" s="406">
        <v>26514000007</v>
      </c>
      <c r="U129" s="406"/>
      <c r="V129" s="406"/>
      <c r="W129" s="406"/>
      <c r="X129" s="406"/>
      <c r="Y129" s="406"/>
      <c r="Z129" s="404">
        <v>7</v>
      </c>
      <c r="AA129" s="398" t="e">
        <f>IF(Z129=0,0,IF(LEN(R129)=11,_xlfn.XLOOKUP(R129,'Dispensed Ink Rates'!C:C,'Dispensed Ink Rates'!CS:CS),VLOOKUP(R129,'Jan-2026 rates'!$E:$F,2,0)))</f>
        <v>#N/A</v>
      </c>
      <c r="AB129" s="404">
        <v>7</v>
      </c>
      <c r="AC129" s="398" t="e">
        <f>IF(AB129=0,0,IF(LEN(S129)=11,_xlfn.XLOOKUP(S129,'Dispensed Ink Rates'!C:C,'Dispensed Ink Rates'!CS:CS),VLOOKUP(S129,'Jan-2026 rates'!$E:$F,2,0)))</f>
        <v>#N/A</v>
      </c>
      <c r="AD129" s="404">
        <v>4</v>
      </c>
      <c r="AE129" s="398" t="e">
        <f>IF(AD129=0,0,IF(LEN(T129)=11,_xlfn.XLOOKUP(T129,'Dispensed Ink Rates'!C:C,'Dispensed Ink Rates'!CS:CS),VLOOKUP(T129,'Jan-2026 rates'!$E:$F,2,0)))</f>
        <v>#N/A</v>
      </c>
      <c r="AF129" s="404"/>
      <c r="AG129" s="398">
        <f>IF(AF129=0,0,IF(LEN(U129)=11,_xlfn.XLOOKUP(U129,'Dispensed Ink Rates'!C:C,'Dispensed Ink Rates'!CS:CS),VLOOKUP(U129,'Jan-2026 rates'!$E:$F,2,0)))</f>
        <v>0</v>
      </c>
      <c r="AH129" s="404"/>
      <c r="AI129" s="398">
        <f>IF(AH129=0,0,IF(LEN(V129)=11,_xlfn.XLOOKUP(V129,'Dispensed Ink Rates'!C:C,'Dispensed Ink Rates'!CS:CS),VLOOKUP(V129,'Jan-2026 rates'!$E:$F,2,0)))</f>
        <v>0</v>
      </c>
      <c r="AJ129" s="404"/>
      <c r="AK129" s="398">
        <f>IF(AJ129=0,0,IF(LEN(W129)=11,_xlfn.XLOOKUP(W129,'Dispensed Ink Rates'!C:C,'Dispensed Ink Rates'!CS:CS),VLOOKUP(W129,'Jan-2026 rates'!$E:$F,2,0)))</f>
        <v>0</v>
      </c>
      <c r="AL129" s="404"/>
      <c r="AM129" s="398">
        <f>IF(AL129=0,0,IF(LEN(X129)=11,_xlfn.XLOOKUP(X129,'Dispensed Ink Rates'!C:C,'Dispensed Ink Rates'!CS:CS),VLOOKUP(X129,'Jan-2026 rates'!$E:$F,2,0)))</f>
        <v>0</v>
      </c>
      <c r="AN129" s="404"/>
      <c r="AO129" s="398">
        <f>IF(AN129=0,0,IF(LEN(Y129)=11,_xlfn.XLOOKUP(Y129,'Dispensed Ink Rates'!C:C,'Dispensed Ink Rates'!CS:CS),VLOOKUP(Y129,'Jan-2026 rates'!$E:$F,2,0)))</f>
        <v>0</v>
      </c>
      <c r="AP129" s="409" t="s">
        <v>1443</v>
      </c>
      <c r="AQ129" s="409">
        <v>26</v>
      </c>
      <c r="AR129" s="410">
        <f t="shared" si="82"/>
        <v>0</v>
      </c>
      <c r="AS129" s="411">
        <f t="shared" si="83"/>
        <v>26.372881355932201</v>
      </c>
      <c r="AT129" s="410">
        <f t="shared" si="84"/>
        <v>0</v>
      </c>
      <c r="AU129" s="405" t="s">
        <v>857</v>
      </c>
      <c r="AV129" s="409" t="s">
        <v>3354</v>
      </c>
      <c r="AW129" s="420" t="str">
        <f t="shared" si="53"/>
        <v>FLINTSL - RED</v>
      </c>
      <c r="AX129" s="409">
        <v>10</v>
      </c>
      <c r="AY129" s="411">
        <f>IF(AX129=0,0,IF($LB129=70%,VLOOKUP($AW129,'Jan-2026 rates'!$L:$R,4,0),IF($LB129=65%,VLOOKUP($AW129,'Jan-2026 rates'!$L:$R,4,0),IF($LB129=40%,VLOOKUP($AW129,'Jan-2026 rates'!$L:$R,5,0),IF($LB129=30%,VLOOKUP($AW129,'Jan-2026 rates'!$L:$R,6,0),IF($LB129=100%,VLOOKUP($AW129,'Jan-2026 rates'!$L:$R,7,0),IF($LB129=60%,VLOOKUP($AW129,'Jan-2026 rates'!$L:$S,8,0),IF($LB129=80%,VLOOKUP($AW129,'Jan-2026 rates'!L:T,9,0),0))))))))</f>
        <v>0</v>
      </c>
      <c r="AZ129" s="412"/>
      <c r="BA129" s="409"/>
      <c r="BB129" s="411">
        <f>IF(BA129=0,0,IF($LB129=70%,VLOOKUP($AW129,'Jan-2026 rates'!$L:$R,4,0),IF($LB129=65%,VLOOKUP($AW129,'Jan-2026 rates'!$L:$R,4,0),IF($LB129=40%,VLOOKUP($AW129,'Jan-2026 rates'!$L:$R,5,0),IF($LB129=30%,VLOOKUP($AW129,'Jan-2026 rates'!$L:$R,6,0),IF($LB129=100%,VLOOKUP($AW129,'Jan-2026 rates'!$L:$R,7,0),IF($LB129=60%,VLOOKUP($AW129,'Jan-2026 rates'!$L:$S,8,0),IF($LB129=80%,VLOOKUP($AW129,'Jan-2026 rates'!L:T,9,0),0))))))))</f>
        <v>0</v>
      </c>
      <c r="BC129" s="413">
        <v>26508000001</v>
      </c>
      <c r="BD129" s="412">
        <v>26513000019</v>
      </c>
      <c r="BE129" s="412" t="s">
        <v>1266</v>
      </c>
      <c r="BF129" s="413">
        <v>26508000010</v>
      </c>
      <c r="BG129" s="412"/>
      <c r="BH129" s="412"/>
      <c r="BI129" s="412"/>
      <c r="BJ129" s="412"/>
      <c r="BK129" s="409">
        <v>5</v>
      </c>
      <c r="BL129" s="398" t="e">
        <f>IF(BK129=0,0,IF(LEN(BC129)=11,_xlfn.XLOOKUP(BC129,'Dispensed Ink Rates'!C:C,'Dispensed Ink Rates'!CS:CS),VLOOKUP(BC129,'Jan-2026 rates'!$E:$F,2,0)))</f>
        <v>#N/A</v>
      </c>
      <c r="BM129" s="409">
        <v>4</v>
      </c>
      <c r="BN129" s="398" t="e">
        <f>IF(BM129=0,0,IF(LEN(BD129)=11,_xlfn.XLOOKUP(BD129,'Dispensed Ink Rates'!C:C,'Dispensed Ink Rates'!CS:CS),VLOOKUP(BD129,'Jan-2026 rates'!$E:$F,2,0)))</f>
        <v>#N/A</v>
      </c>
      <c r="BO129" s="409">
        <v>8</v>
      </c>
      <c r="BP129" s="398">
        <f>IF(BO129=0,0,IF(LEN(BE129)=11,_xlfn.XLOOKUP(BE129,'Dispensed Ink Rates'!C:C,'Dispensed Ink Rates'!CS:CS),VLOOKUP(BE129,'Jan-2026 rates'!$E:$F,2,0)))</f>
        <v>0</v>
      </c>
      <c r="BQ129" s="409">
        <v>5</v>
      </c>
      <c r="BR129" s="398" t="e">
        <f>IF(BQ129=0,0,IF(LEN(BF129)=11,_xlfn.XLOOKUP(BF129,'Dispensed Ink Rates'!C:C,'Dispensed Ink Rates'!CS:CS),VLOOKUP(BF129,'Jan-2026 rates'!$E:$F,2,0)))</f>
        <v>#N/A</v>
      </c>
      <c r="BS129" s="409"/>
      <c r="BT129" s="398">
        <f>IF(BS129=0,0,IF(LEN(BG129)=11,_xlfn.XLOOKUP(BG129,'Dispensed Ink Rates'!C:C,'Dispensed Ink Rates'!CS:CS),VLOOKUP(BG129,'Jan-2026 rates'!$E:$F,2,0)))</f>
        <v>0</v>
      </c>
      <c r="BU129" s="409"/>
      <c r="BV129" s="398">
        <f>IF(BU129=0,0,IF(LEN(BH129)=11,_xlfn.XLOOKUP(BH129,'Dispensed Ink Rates'!C:C,'Dispensed Ink Rates'!CS:CS),VLOOKUP(BH129,'Jan-2026 rates'!$E:$F,2,0)))</f>
        <v>0</v>
      </c>
      <c r="BW129" s="409"/>
      <c r="BX129" s="398">
        <f>IF(BW129=0,0,IF(LEN(BI129)=11,_xlfn.XLOOKUP(BI129,'Dispensed Ink Rates'!C:C,'Dispensed Ink Rates'!CS:CS),VLOOKUP(BI129,'Jan-2026 rates'!$E:$F,2,0)))</f>
        <v>0</v>
      </c>
      <c r="BY129" s="409"/>
      <c r="BZ129" s="398">
        <f>IF(BY129=0,0,IF(LEN(BJ129)=11,_xlfn.XLOOKUP(BJ129,'Dispensed Ink Rates'!C:C,'Dispensed Ink Rates'!CS:CS),VLOOKUP(BJ129,'Jan-2026 rates'!$E:$F,2,0)))</f>
        <v>0</v>
      </c>
      <c r="CA129" s="409" t="s">
        <v>1443</v>
      </c>
      <c r="CB129" s="409">
        <v>33</v>
      </c>
      <c r="CC129" s="411">
        <f t="shared" si="85"/>
        <v>0</v>
      </c>
      <c r="CD129" s="411">
        <f t="shared" si="86"/>
        <v>21.271186440677965</v>
      </c>
      <c r="CE129" s="410">
        <f t="shared" si="87"/>
        <v>0</v>
      </c>
      <c r="CF129" s="404" t="s">
        <v>856</v>
      </c>
      <c r="CG129" s="409" t="s">
        <v>3355</v>
      </c>
      <c r="CH129" s="420" t="str">
        <f t="shared" si="55"/>
        <v>FLINTSL - WHITE</v>
      </c>
      <c r="CI129" s="409">
        <v>26</v>
      </c>
      <c r="CJ129" s="411">
        <f>IF(CI129=0,0,IF($LB129=70%,VLOOKUP($CH129,'Jan-2026 rates'!$L:$R,4,0),IF($LB129=65%,VLOOKUP($CH129,'Jan-2026 rates'!$L:$R,4,0),IF($LB129=40%,VLOOKUP($CH129,'Jan-2026 rates'!$L:$R,5,0),IF($LB129=30%,VLOOKUP($CH129,'Jan-2026 rates'!$L:$R,6,0),IF($LB129=100%,VLOOKUP($CH129,'Jan-2026 rates'!$L:$R,7,0),IF($LB129=60%,VLOOKUP($CH129,'Jan-2026 rates'!$L:$S,8,0),IF($LB129=80%,VLOOKUP($CH129,'Jan-2026 rates'!L:T,9,0),0))))))))</f>
        <v>0</v>
      </c>
      <c r="CK129" s="412"/>
      <c r="CL129" s="409"/>
      <c r="CM129" s="411">
        <f>IF(CL129=0,0,IF($LB129=70%,VLOOKUP($CH129,'Jan-2026 rates'!$L:$R,4,0),IF($LB129=65%,VLOOKUP($CH129,'Jan-2026 rates'!$L:$R,4,0),IF($LB129=40%,VLOOKUP($CH129,'Jan-2026 rates'!$L:$R,5,0),IF($LB129=30%,VLOOKUP($CH129,'Jan-2026 rates'!$L:$R,6,0),IF($LB129=100%,VLOOKUP($CH129,'Jan-2026 rates'!$L:$R,7,0),IF($LB129=60%,VLOOKUP($CH129,'Jan-2026 rates'!$L:$S,8,0),IF($LB129=80%,VLOOKUP($CH129,'Jan-2026 rates'!L:T,9,0),0))))))))</f>
        <v>0</v>
      </c>
      <c r="CN129" s="426" t="s">
        <v>484</v>
      </c>
      <c r="CO129" s="427"/>
      <c r="CP129" s="426"/>
      <c r="CQ129" s="426"/>
      <c r="CR129" s="428"/>
      <c r="CS129" s="428"/>
      <c r="CT129" s="428"/>
      <c r="CU129" s="428"/>
      <c r="CV129" s="409">
        <f>50+30</f>
        <v>80</v>
      </c>
      <c r="CW129" s="398">
        <f>IF(CV129=0,0,IF(LEN(CN129)=11,_xlfn.XLOOKUP(CN129,'Dispensed Ink Rates'!C:C,'Dispensed Ink Rates'!CS:CS),VLOOKUP(CN129,'Jan-2026 rates'!$E:$F,2,0)))</f>
        <v>0</v>
      </c>
      <c r="CX129" s="409"/>
      <c r="CY129" s="398">
        <f>IF(CX129=0,0,IF(LEN(CO129)=11,_xlfn.XLOOKUP(CO129,'Dispensed Ink Rates'!C:C,'Dispensed Ink Rates'!CS:CS),VLOOKUP(CO129,'Jan-2026 rates'!$E:$F,2,0)))</f>
        <v>0</v>
      </c>
      <c r="CZ129" s="409"/>
      <c r="DA129" s="398">
        <f>IF(CZ129=0,0,IF(LEN(CP129)=11,_xlfn.XLOOKUP(CP129,'Dispensed Ink Rates'!C:C,'Dispensed Ink Rates'!CS:CS),VLOOKUP(CP129,'Jan-2026 rates'!$E:$F,2,0)))</f>
        <v>0</v>
      </c>
      <c r="DB129" s="409"/>
      <c r="DC129" s="398">
        <f>IF(DB129=0,0,IF(LEN(CQ129)=11,_xlfn.XLOOKUP(CQ129,'Dispensed Ink Rates'!C:C,'Dispensed Ink Rates'!CS:CS),VLOOKUP(CQ129,'Jan-2026 rates'!$E:$F,2,0)))</f>
        <v>0</v>
      </c>
      <c r="DD129" s="409"/>
      <c r="DE129" s="398">
        <f>IF(DD129=0,0,IF(LEN(CR129)=11,_xlfn.XLOOKUP(CR129,'Dispensed Ink Rates'!C:C,'Dispensed Ink Rates'!CS:CS),VLOOKUP(CR129,'Jan-2026 rates'!$E:$F,2,0)))</f>
        <v>0</v>
      </c>
      <c r="DF129" s="409"/>
      <c r="DG129" s="398">
        <f>IF(DF129=0,0,IF(LEN(CS129)=11,_xlfn.XLOOKUP(CS129,'Dispensed Ink Rates'!C:C,'Dispensed Ink Rates'!CS:CS),VLOOKUP(CS129,'Jan-2026 rates'!$E:$F,2,0)))</f>
        <v>0</v>
      </c>
      <c r="DH129" s="409"/>
      <c r="DI129" s="398">
        <f>IF(DH129=0,0,IF(LEN(CT129)=11,_xlfn.XLOOKUP(CT129,'Dispensed Ink Rates'!C:C,'Dispensed Ink Rates'!CS:CS),VLOOKUP(CT129,'Jan-2026 rates'!$E:$F,2,0)))</f>
        <v>0</v>
      </c>
      <c r="DJ129" s="409"/>
      <c r="DK129" s="398">
        <f>IF(DJ129=0,0,IF(LEN(CU129)=11,_xlfn.XLOOKUP(CU129,'Dispensed Ink Rates'!C:C,'Dispensed Ink Rates'!CS:CS),VLOOKUP(CU129,'Jan-2026 rates'!$E:$F,2,0)))</f>
        <v>0</v>
      </c>
      <c r="DL129" s="409" t="s">
        <v>1443</v>
      </c>
      <c r="DM129" s="409">
        <v>30</v>
      </c>
      <c r="DN129" s="411">
        <f t="shared" si="88"/>
        <v>0</v>
      </c>
      <c r="DO129" s="411">
        <f t="shared" si="89"/>
        <v>187.35593220338984</v>
      </c>
      <c r="DP129" s="410">
        <f t="shared" si="90"/>
        <v>0</v>
      </c>
      <c r="DQ129" s="405"/>
      <c r="DR129" s="409"/>
      <c r="DS129" s="420" t="str">
        <f t="shared" si="56"/>
        <v xml:space="preserve"> - </v>
      </c>
      <c r="DT129" s="409"/>
      <c r="DU129" s="411">
        <f>IF(DT129=0,0,IF($LB129=70%,VLOOKUP($DS129,'Jan-2026 rates'!$L:$R,4,0),IF($LB129=65%,VLOOKUP($DS129,'Jan-2026 rates'!$L:$R,4,0),IF($LB129=40%,VLOOKUP($DS129,'Jan-2026 rates'!$L:$R,5,0),IF($LB129=30%,VLOOKUP($DS129,'Jan-2026 rates'!$L:$R,6,0),IF($LB129=100%,VLOOKUP($DS129,'Jan-2026 rates'!$L:$R,7,0),IF($LB129=60%,VLOOKUP($DS129,'Jan-2026 rates'!$L:$S,8,0),IF($LB129=80%,VLOOKUP($DS129,'Jan-2026 rates'!L:T,9,0),0))))))))</f>
        <v>0</v>
      </c>
      <c r="DV129" s="412"/>
      <c r="DW129" s="409"/>
      <c r="DX129" s="411">
        <f>IF(DW129=0,0,IF($LB129=70%,VLOOKUP($DS129,'Jan-2026 rates'!$L:$R,4,0),IF($LB129=65%,VLOOKUP($DS129,'Jan-2026 rates'!$L:$R,4,0),IF($LB129=40%,VLOOKUP($DS129,'Jan-2026 rates'!$L:$R,5,0),IF($LB129=30%,VLOOKUP($DS129,'Jan-2026 rates'!$L:$R,6,0),IF($LB129=100%,VLOOKUP($DS129,'Jan-2026 rates'!$L:$R,7,0),IF($LB129=60%,VLOOKUP($DS129,'Jan-2026 rates'!$L:$S,8,0),IF($LB129=80%,VLOOKUP($DS129,'Jan-2026 rates'!L:T,9,0),0))))))))</f>
        <v>0</v>
      </c>
      <c r="DY129" s="413"/>
      <c r="DZ129" s="413"/>
      <c r="EA129" s="412"/>
      <c r="EB129" s="412"/>
      <c r="EC129" s="412"/>
      <c r="ED129" s="412"/>
      <c r="EE129" s="412"/>
      <c r="EF129" s="412"/>
      <c r="EG129" s="409"/>
      <c r="EH129" s="398">
        <f>IF(EG129=0,0,IF(LEN(DY129)=11,_xlfn.XLOOKUP(DY129,'Dispensed Ink Rates'!C:C,'Dispensed Ink Rates'!CS:CS),VLOOKUP(DY129,'Jan-2026 rates'!$E:$F,2,0)))</f>
        <v>0</v>
      </c>
      <c r="EI129" s="409"/>
      <c r="EJ129" s="398">
        <f>IF(EI129=0,0,IF(LEN(DZ129)=11,_xlfn.XLOOKUP(DZ129,'Dispensed Ink Rates'!C:C,'Dispensed Ink Rates'!CS:CS),VLOOKUP(DZ129,'Jan-2026 rates'!$E:$F,2,0)))</f>
        <v>0</v>
      </c>
      <c r="EK129" s="409"/>
      <c r="EL129" s="398">
        <f>IF(EK129=0,0,IF(LEN(EA129)=11,_xlfn.XLOOKUP(EA129,'Dispensed Ink Rates'!C:C,'Dispensed Ink Rates'!CS:CS),VLOOKUP(EA129,'Jan-2026 rates'!$E:$F,2,0)))</f>
        <v>0</v>
      </c>
      <c r="EM129" s="409"/>
      <c r="EN129" s="398">
        <f>IF(EM129=0,0,IF(LEN(EB129)=11,_xlfn.XLOOKUP(EB129,'Dispensed Ink Rates'!C:C,'Dispensed Ink Rates'!CS:CS),VLOOKUP(EB129,'Jan-2026 rates'!$E:$F,2,0)))</f>
        <v>0</v>
      </c>
      <c r="EO129" s="409"/>
      <c r="EP129" s="398">
        <f>IF(EO129=0,0,IF(LEN(EC129)=11,_xlfn.XLOOKUP(EC129,'Dispensed Ink Rates'!C:C,'Dispensed Ink Rates'!CS:CS),VLOOKUP(EC129,'Jan-2026 rates'!$E:$F,2,0)))</f>
        <v>0</v>
      </c>
      <c r="EQ129" s="409"/>
      <c r="ER129" s="398">
        <f>IF(EQ129=0,0,IF(LEN(ED129)=11,_xlfn.XLOOKUP(ED129,'Dispensed Ink Rates'!C:C,'Dispensed Ink Rates'!CS:CS),VLOOKUP(ED129,'Jan-2026 rates'!$E:$F,2,0)))</f>
        <v>0</v>
      </c>
      <c r="ES129" s="409"/>
      <c r="ET129" s="398">
        <f>IF(ES129=0,0,IF(LEN(EE129)=11,_xlfn.XLOOKUP(EE129,'Dispensed Ink Rates'!C:C,'Dispensed Ink Rates'!CS:CS),VLOOKUP(EE129,'Jan-2026 rates'!$E:$F,2,0)))</f>
        <v>0</v>
      </c>
      <c r="EU129" s="409"/>
      <c r="EV129" s="398">
        <f>IF(EU129=0,0,IF(LEN(EF129)=11,_xlfn.XLOOKUP(EF129,'Dispensed Ink Rates'!C:C,'Dispensed Ink Rates'!CS:CS),VLOOKUP(EF129,'Jan-2026 rates'!$E:$F,2,0)))</f>
        <v>0</v>
      </c>
      <c r="EW129" s="409"/>
      <c r="EX129" s="409"/>
      <c r="EY129" s="411">
        <f t="shared" si="91"/>
        <v>0</v>
      </c>
      <c r="EZ129" s="411">
        <f t="shared" si="92"/>
        <v>0</v>
      </c>
      <c r="FA129" s="410">
        <f t="shared" si="93"/>
        <v>0</v>
      </c>
      <c r="FB129" s="405"/>
      <c r="FC129" s="409"/>
      <c r="FD129" s="420" t="str">
        <f t="shared" si="57"/>
        <v xml:space="preserve"> - </v>
      </c>
      <c r="FE129" s="409"/>
      <c r="FF129" s="411">
        <f>IF(FE129=0,0,IF($LB129=70%,VLOOKUP($FD129,'Jan-2026 rates'!$L:$R,4,0),IF($LB129=65%,VLOOKUP($FD129,'Jan-2026 rates'!$L:$R,4,0),IF($LB129=40%,VLOOKUP($FD129,'Jan-2026 rates'!$L:$R,5,0),IF($LB129=30%,VLOOKUP($FD129,'Jan-2026 rates'!$L:$R,6,0),IF($LB129=100%,VLOOKUP($FD129,'Jan-2026 rates'!$L:$R,7,0),IF($LB129=60%,VLOOKUP($FD129,'Jan-2026 rates'!$L:$S,8,0),IF($LB129=80%,VLOOKUP($FD129,'Jan-2026 rates'!L:T,9,0),0))))))))</f>
        <v>0</v>
      </c>
      <c r="FG129" s="412"/>
      <c r="FH129" s="409"/>
      <c r="FI129" s="411">
        <f>IF(FH129=0,0,IF($LB129=70%,VLOOKUP($FD129,'Jan-2026 rates'!$L:$R,4,0),IF($LB129=65%,VLOOKUP($FD129,'Jan-2026 rates'!$L:$R,4,0),IF($LB129=40%,VLOOKUP($FD129,'Jan-2026 rates'!$L:$R,5,0),IF($LB129=30%,VLOOKUP($FD129,'Jan-2026 rates'!$L:$R,6,0),IF($LB129=100%,VLOOKUP($FD129,'Jan-2026 rates'!$L:$R,7,0),IF($LB129=60%,VLOOKUP($FD129,'Jan-2026 rates'!$L:$S,8,0),IF($LB129=80%,VLOOKUP($FD129,'Jan-2026 rates'!L:T,9,0),0))))))))</f>
        <v>0</v>
      </c>
      <c r="FJ129" s="413"/>
      <c r="FK129" s="413"/>
      <c r="FL129" s="413"/>
      <c r="FM129" s="412"/>
      <c r="FN129" s="412"/>
      <c r="FO129" s="412"/>
      <c r="FP129" s="412"/>
      <c r="FQ129" s="412"/>
      <c r="FR129" s="409"/>
      <c r="FS129" s="398">
        <f>IF(FR129=0,0,IF(LEN(FJ129)=11,_xlfn.XLOOKUP(FJ129,'Dispensed Ink Rates'!C:C,'Dispensed Ink Rates'!CS:CS),VLOOKUP(FJ129,'Jan-2026 rates'!$E:$F,2,0)))</f>
        <v>0</v>
      </c>
      <c r="FT129" s="409"/>
      <c r="FU129" s="398">
        <f>IF(FT129=0,0,IF(LEN(FK129)=11,_xlfn.XLOOKUP(FK129,'Dispensed Ink Rates'!C:C,'Dispensed Ink Rates'!CS:CS),VLOOKUP(FK129,'Jan-2026 rates'!$E:$F,2,0)))</f>
        <v>0</v>
      </c>
      <c r="FV129" s="409"/>
      <c r="FW129" s="398">
        <f>IF(FV129=0,0,IF(LEN(FL129)=11,_xlfn.XLOOKUP(FL129,'Dispensed Ink Rates'!C:C,'Dispensed Ink Rates'!CS:CS),VLOOKUP(FL129,'Jan-2026 rates'!$E:$F,2,0)))</f>
        <v>0</v>
      </c>
      <c r="FX129" s="409"/>
      <c r="FY129" s="398">
        <f>IF(FX129=0,0,IF(LEN(FM129)=11,_xlfn.XLOOKUP(FM129,'Dispensed Ink Rates'!C:C,'Dispensed Ink Rates'!CS:CS),VLOOKUP(FM129,'Jan-2026 rates'!$E:$F,2,0)))</f>
        <v>0</v>
      </c>
      <c r="FZ129" s="409"/>
      <c r="GA129" s="398">
        <f>IF(FZ129=0,0,IF(LEN(FN129)=11,_xlfn.XLOOKUP(FN129,'Dispensed Ink Rates'!C:C,'Dispensed Ink Rates'!CS:CS),VLOOKUP(FN129,'Jan-2026 rates'!$E:$F,2,0)))</f>
        <v>0</v>
      </c>
      <c r="GB129" s="409"/>
      <c r="GC129" s="398">
        <f>IF(GB129=0,0,IF(LEN(FO129)=11,_xlfn.XLOOKUP(FO129,'Dispensed Ink Rates'!C:C,'Dispensed Ink Rates'!CS:CS),VLOOKUP(FO129,'Jan-2026 rates'!$E:$F,2,0)))</f>
        <v>0</v>
      </c>
      <c r="GD129" s="409"/>
      <c r="GE129" s="398">
        <f>IF(GD129=0,0,IF(LEN(FP129)=11,_xlfn.XLOOKUP(FP129,'Dispensed Ink Rates'!C:C,'Dispensed Ink Rates'!CS:CS),VLOOKUP(FP129,'Jan-2026 rates'!$E:$F,2,0)))</f>
        <v>0</v>
      </c>
      <c r="GF129" s="409"/>
      <c r="GG129" s="398">
        <f>IF(GF129=0,0,IF(LEN(FQ129)=11,_xlfn.XLOOKUP(FQ129,'Dispensed Ink Rates'!C:C,'Dispensed Ink Rates'!CS:CS),VLOOKUP(FQ129,'Jan-2026 rates'!$E:$F,2,0)))</f>
        <v>0</v>
      </c>
      <c r="GH129" s="409"/>
      <c r="GI129" s="409"/>
      <c r="GJ129" s="411">
        <f t="shared" si="94"/>
        <v>0</v>
      </c>
      <c r="GK129" s="411">
        <f t="shared" si="95"/>
        <v>0</v>
      </c>
      <c r="GL129" s="410">
        <f t="shared" si="96"/>
        <v>0</v>
      </c>
      <c r="GM129" s="405"/>
      <c r="GN129" s="409"/>
      <c r="GO129" s="420" t="str">
        <f t="shared" si="58"/>
        <v xml:space="preserve"> - </v>
      </c>
      <c r="GP129" s="409"/>
      <c r="GQ129" s="411">
        <f>IF(GP129=0,0,IF($LB129=70%,VLOOKUP($GO129,'Jan-2026 rates'!$L:$R,4,0),IF($LB129=65%,VLOOKUP($GO129,'Jan-2026 rates'!$L:$R,4,0),IF($LB129=40%,VLOOKUP($GO129,'Jan-2026 rates'!$L:$R,5,0),IF($LB129=30%,VLOOKUP($GO129,'Jan-2026 rates'!$L:$R,6,0),IF($LB129=100%,VLOOKUP($GO129,'Jan-2026 rates'!$L:$R,7,0),IF($LB129=60%,VLOOKUP($GO129,'Jan-2026 rates'!$L:$S,8,0),IF($LB129=80%,VLOOKUP($GO129,'Jan-2026 rates'!L:T,9,0),0))))))))</f>
        <v>0</v>
      </c>
      <c r="GR129" s="412"/>
      <c r="GS129" s="409"/>
      <c r="GT129" s="411">
        <f>IF(GS129=0,0,IF($LB129=70%,VLOOKUP($GO129,'Jan-2026 rates'!$L:$R,4,0),IF($LB129=65%,VLOOKUP($GO129,'Jan-2026 rates'!$L:$R,4,0),IF($LB129=40%,VLOOKUP($GO129,'Jan-2026 rates'!$L:$R,5,0),IF($LB129=30%,VLOOKUP($GO129,'Jan-2026 rates'!$L:$R,6,0),IF($LB129=100%,VLOOKUP($GO129,'Jan-2026 rates'!$L:$R,7,0),IF($LB129=60%,VLOOKUP($GO129,'Jan-2026 rates'!$L:$S,8,0),IF($LB129=80%,VLOOKUP($GO129,'Jan-2026 rates'!L:T,9,0),0))))))))</f>
        <v>0</v>
      </c>
      <c r="GU129" s="413"/>
      <c r="GV129" s="413"/>
      <c r="GW129" s="412"/>
      <c r="GX129" s="412"/>
      <c r="GY129" s="412"/>
      <c r="GZ129" s="412"/>
      <c r="HA129" s="412"/>
      <c r="HB129" s="412"/>
      <c r="HC129" s="409"/>
      <c r="HD129" s="398">
        <f>IF(HC129=0,0,IF(LEN(GU129)=11,_xlfn.XLOOKUP(GU129,'Dispensed Ink Rates'!C:C,'Dispensed Ink Rates'!CS:CS),VLOOKUP(GU129,'Jan-2026 rates'!$E:$F,2,0)))</f>
        <v>0</v>
      </c>
      <c r="HE129" s="409"/>
      <c r="HF129" s="398">
        <f>IF(HE129=0,0,IF(LEN(GV129)=11,_xlfn.XLOOKUP(GV129,'Dispensed Ink Rates'!C:C,'Dispensed Ink Rates'!CS:CS),VLOOKUP(GV129,'Jan-2026 rates'!$E:$F,2,0)))</f>
        <v>0</v>
      </c>
      <c r="HG129" s="409"/>
      <c r="HH129" s="398">
        <f>IF(HG129=0,0,IF(LEN(GW129)=11,_xlfn.XLOOKUP(GW129,'Dispensed Ink Rates'!C:C,'Dispensed Ink Rates'!CS:CS),VLOOKUP(GW129,'Jan-2026 rates'!$E:$F,2,0)))</f>
        <v>0</v>
      </c>
      <c r="HI129" s="409"/>
      <c r="HJ129" s="398">
        <f>IF(HI129=0,0,IF(LEN(GX129)=11,_xlfn.XLOOKUP(GX129,'Dispensed Ink Rates'!C:C,'Dispensed Ink Rates'!CS:CS),VLOOKUP(GX129,'Jan-2026 rates'!$E:$F,2,0)))</f>
        <v>0</v>
      </c>
      <c r="HK129" s="409"/>
      <c r="HL129" s="398">
        <f>IF(HK129=0,0,IF(LEN(GY129)=11,_xlfn.XLOOKUP(GY129,'Dispensed Ink Rates'!C:C,'Dispensed Ink Rates'!CS:CS),VLOOKUP(GY129,'Jan-2026 rates'!$E:$F,2,0)))</f>
        <v>0</v>
      </c>
      <c r="HM129" s="409"/>
      <c r="HN129" s="398">
        <f>IF(HM129=0,0,IF(LEN(GZ129)=11,_xlfn.XLOOKUP(GZ129,'Dispensed Ink Rates'!C:C,'Dispensed Ink Rates'!CS:CS),VLOOKUP(GZ129,'Jan-2026 rates'!$E:$F,2,0)))</f>
        <v>0</v>
      </c>
      <c r="HO129" s="409"/>
      <c r="HP129" s="398">
        <f>IF(HO129=0,0,IF(LEN(HA129)=11,_xlfn.XLOOKUP(HA129,'Dispensed Ink Rates'!C:C,'Dispensed Ink Rates'!CS:CS),VLOOKUP(HA129,'Jan-2026 rates'!$E:$F,2,0)))</f>
        <v>0</v>
      </c>
      <c r="HQ129" s="409"/>
      <c r="HR129" s="398">
        <f>IF(HQ129=0,0,IF(LEN(HB129)=11,_xlfn.XLOOKUP(HB129,'Dispensed Ink Rates'!C:C,'Dispensed Ink Rates'!CS:CS),VLOOKUP(HB129,'Jan-2026 rates'!$E:$F,2,0)))</f>
        <v>0</v>
      </c>
      <c r="HS129" s="409"/>
      <c r="HT129" s="409"/>
      <c r="HU129" s="411">
        <f t="shared" si="97"/>
        <v>0</v>
      </c>
      <c r="HV129" s="411">
        <f t="shared" si="98"/>
        <v>0</v>
      </c>
      <c r="HW129" s="414">
        <f t="shared" si="99"/>
        <v>0</v>
      </c>
      <c r="HX129" s="405"/>
      <c r="HY129" s="409"/>
      <c r="HZ129" s="420" t="str">
        <f t="shared" si="59"/>
        <v xml:space="preserve"> - </v>
      </c>
      <c r="IA129" s="409"/>
      <c r="IB129" s="411">
        <f>IF(IA129=0,0,IF($LB129=70%,VLOOKUP($HZ129,'Jan-2026 rates'!$L:$R,4,0),IF($LB129=65%,VLOOKUP($HZ129,'Jan-2026 rates'!$L:$R,4,0),IF($LB129=40%,VLOOKUP($HZ129,'Jan-2026 rates'!$L:$R,5,0),IF($LB129=30%,VLOOKUP($HZ129,'Jan-2026 rates'!$L:$R,6,0),IF($LB129=100%,VLOOKUP($HZ129,'Jan-2026 rates'!$L:$R,7,0),IF($LB129=60%,VLOOKUP($HZ129,'Jan-2026 rates'!$L:$S,8,0),IF($LB129=80%,VLOOKUP($HZ129,'Jan-2026 rates'!L:T,9,0),0))))))))</f>
        <v>0</v>
      </c>
      <c r="IC129" s="412"/>
      <c r="ID129" s="409"/>
      <c r="IE129" s="411">
        <f>IF(ID129=0,0,IF($LB129=70%,VLOOKUP($HZ129,'Jan-2026 rates'!$L:$R,4,0),IF($LB129=65%,VLOOKUP($HZ129,'Jan-2026 rates'!$L:$R,4,0),IF($LB129=40%,VLOOKUP($HZ129,'Jan-2026 rates'!$L:$R,5,0),IF($LB129=30%,VLOOKUP($HZ129,'Jan-2026 rates'!$L:$R,6,0),IF($LB129=100%,VLOOKUP($HZ129,'Jan-2026 rates'!$L:$R,7,0),IF($LB129=60%,VLOOKUP($HZ129,'Jan-2026 rates'!$L:$S,8,0),IF($LB129=80%,VLOOKUP($HZ129,'Jan-2026 rates'!L:T,9,0),0))))))))</f>
        <v>0</v>
      </c>
      <c r="IF129" s="412"/>
      <c r="IG129" s="413"/>
      <c r="IH129" s="412"/>
      <c r="II129" s="412"/>
      <c r="IJ129" s="412"/>
      <c r="IK129" s="412"/>
      <c r="IL129" s="412"/>
      <c r="IM129" s="412"/>
      <c r="IN129" s="409"/>
      <c r="IO129" s="398">
        <f>IF(IN129=0,0,IF(LEN(IF129)=11,_xlfn.XLOOKUP(IF129,'Dispensed Ink Rates'!C:C,'Dispensed Ink Rates'!CS:CS),VLOOKUP(IF129,'Jan-2026 rates'!$E:$F,2,0)))</f>
        <v>0</v>
      </c>
      <c r="IP129" s="409"/>
      <c r="IQ129" s="398">
        <f>IF(IP129=0,0,IF(LEN(IG129)=11,_xlfn.XLOOKUP(IG129,'Dispensed Ink Rates'!C:C,'Dispensed Ink Rates'!CS:CS),VLOOKUP(IG129,'Jan-2026 rates'!$E:$F,2,0)))</f>
        <v>0</v>
      </c>
      <c r="IR129" s="409"/>
      <c r="IS129" s="398">
        <f>IF(IR129=0,0,IF(LEN(IH129)=11,_xlfn.XLOOKUP(IH129,'Dispensed Ink Rates'!C:C,'Dispensed Ink Rates'!CS:CS),VLOOKUP(IH129,'Jan-2026 rates'!$E:$F,2,0)))</f>
        <v>0</v>
      </c>
      <c r="IT129" s="409"/>
      <c r="IU129" s="398">
        <f>IF(IT129=0,0,IF(LEN(II129)=11,_xlfn.XLOOKUP(II129,'Dispensed Ink Rates'!C:C,'Dispensed Ink Rates'!CS:CS),VLOOKUP(II129,'Jan-2026 rates'!$E:$F,2,0)))</f>
        <v>0</v>
      </c>
      <c r="IV129" s="409"/>
      <c r="IW129" s="398">
        <f>IF(IV129=0,0,IF(LEN(IJ129)=11,_xlfn.XLOOKUP(IJ129,'Dispensed Ink Rates'!C:C,'Dispensed Ink Rates'!CS:CS),VLOOKUP(IJ129,'Jan-2026 rates'!$E:$F,2,0)))</f>
        <v>0</v>
      </c>
      <c r="IX129" s="409"/>
      <c r="IY129" s="398">
        <f>IF(IX129=0,0,IF(LEN(IK129)=11,_xlfn.XLOOKUP(IK129,'Dispensed Ink Rates'!C:C,'Dispensed Ink Rates'!CS:CS),VLOOKUP(IK129,'Jan-2026 rates'!$E:$F,2,0)))</f>
        <v>0</v>
      </c>
      <c r="IZ129" s="409"/>
      <c r="JA129" s="398">
        <f>IF(IZ129=0,0,IF(LEN(IL129)=11,_xlfn.XLOOKUP(IL129,'Dispensed Ink Rates'!C:C,'Dispensed Ink Rates'!CS:CS),VLOOKUP(IL129,'Jan-2026 rates'!$E:$F,2,0)))</f>
        <v>0</v>
      </c>
      <c r="JB129" s="409"/>
      <c r="JC129" s="398">
        <f>IF(JB129=0,0,IF(LEN(IM129)=11,_xlfn.XLOOKUP(IM129,'Dispensed Ink Rates'!C:C,'Dispensed Ink Rates'!CS:CS),VLOOKUP(IM129,'Jan-2026 rates'!$E:$F,2,0)))</f>
        <v>0</v>
      </c>
      <c r="JD129" s="409"/>
      <c r="JE129" s="409"/>
      <c r="JF129" s="411">
        <f t="shared" si="100"/>
        <v>0</v>
      </c>
      <c r="JG129" s="411">
        <f t="shared" si="101"/>
        <v>0</v>
      </c>
      <c r="JH129" s="410">
        <f t="shared" si="102"/>
        <v>0</v>
      </c>
      <c r="JI129" s="405"/>
      <c r="JJ129" s="409"/>
      <c r="JK129" s="420" t="str">
        <f t="shared" si="60"/>
        <v xml:space="preserve"> - </v>
      </c>
      <c r="JL129" s="409"/>
      <c r="JM129" s="411">
        <f>IF(JL129=0,0,IF($LB129=70%,VLOOKUP($JK129,'Jan-2026 rates'!$L:$R,4,0),IF($LB129=65%,VLOOKUP($JK129,'Jan-2026 rates'!$L:$R,4,0),IF($LB129=40%,VLOOKUP($JK129,'Jan-2026 rates'!$L:$R,5,0),IF($LB129=30%,VLOOKUP($JK129,'Jan-2026 rates'!$L:$R,6,0),IF($LB129=100%,VLOOKUP($JK129,'Jan-2026 rates'!$L:$R,7,0),IF($LB129=60%,VLOOKUP($JK129,'Jan-2026 rates'!$L:$S,8,0),IF($LB129=80%,VLOOKUP($JK129,'Jan-2026 rates'!L:T,9,0),0))))))))</f>
        <v>0</v>
      </c>
      <c r="JN129" s="412"/>
      <c r="JO129" s="409"/>
      <c r="JP129" s="411">
        <f>IF(JO129=0,0,IF($LB129=70%,VLOOKUP($JK129,'Jan-2026 rates'!$L:$R,4,0),IF($LB129=65%,VLOOKUP($JK129,'Jan-2026 rates'!$L:$R,4,0),IF($LB129=40%,VLOOKUP($JK129,'Jan-2026 rates'!$L:$R,5,0),IF($LB129=30%,VLOOKUP($JK129,'Jan-2026 rates'!$L:$R,6,0),IF($LB129=100%,VLOOKUP($JK129,'Jan-2026 rates'!$L:$R,7,0),IF($LB129=60%,VLOOKUP($JK129,'Jan-2026 rates'!$L:$S,8,0),IF($LB129=80%,VLOOKUP($JK129,'Jan-2026 rates'!L:T,9,0),0))))))))</f>
        <v>0</v>
      </c>
      <c r="JQ129" s="413"/>
      <c r="JR129" s="412"/>
      <c r="JS129" s="413"/>
      <c r="JT129" s="413"/>
      <c r="JU129" s="412"/>
      <c r="JV129" s="412"/>
      <c r="JW129" s="412"/>
      <c r="JX129" s="412"/>
      <c r="JY129" s="409"/>
      <c r="JZ129" s="398">
        <f>IF(JY129=0,0,IF(LEN(JQ129)=11,_xlfn.XLOOKUP(JQ129,'Dispensed Ink Rates'!C:C,'Dispensed Ink Rates'!CS:CS),VLOOKUP(JQ129,'Jan-2026 rates'!$E:$F,2,0)))</f>
        <v>0</v>
      </c>
      <c r="KA129" s="409"/>
      <c r="KB129" s="398">
        <f>IF(KA129=0,0,IF(LEN(JR129)=11,_xlfn.XLOOKUP(JR129,'Dispensed Ink Rates'!C:C,'Dispensed Ink Rates'!CS:CS),VLOOKUP(JR129,'Jan-2026 rates'!$E:$F,2,0)))</f>
        <v>0</v>
      </c>
      <c r="KC129" s="409"/>
      <c r="KD129" s="398">
        <f>IF(KC129=0,0,IF(LEN(JS129)=11,_xlfn.XLOOKUP(JS129,'Dispensed Ink Rates'!C:C,'Dispensed Ink Rates'!CS:CS),VLOOKUP(JS129,'Jan-2026 rates'!$E:$F,2,0)))</f>
        <v>0</v>
      </c>
      <c r="KE129" s="409"/>
      <c r="KF129" s="398">
        <f>IF(KE129=0,0,IF(LEN(JT129)=11,_xlfn.XLOOKUP(JT129,'Dispensed Ink Rates'!C:C,'Dispensed Ink Rates'!CS:CS),VLOOKUP(JT129,'Jan-2026 rates'!$E:$F,2,0)))</f>
        <v>0</v>
      </c>
      <c r="KG129" s="409"/>
      <c r="KH129" s="398">
        <f>IF(KG129=0,0,IF(LEN(JU129)=11,_xlfn.XLOOKUP(JU129,'Dispensed Ink Rates'!C:C,'Dispensed Ink Rates'!CS:CS),VLOOKUP(JU129,'Jan-2026 rates'!$E:$F,2,0)))</f>
        <v>0</v>
      </c>
      <c r="KI129" s="409"/>
      <c r="KJ129" s="398">
        <f>IF(KI129=0,0,IF(LEN(JV129)=11,_xlfn.XLOOKUP(JV129,'Dispensed Ink Rates'!C:C,'Dispensed Ink Rates'!CS:CS),VLOOKUP(JV129,'Jan-2026 rates'!$E:$F,2,0)))</f>
        <v>0</v>
      </c>
      <c r="KK129" s="409"/>
      <c r="KL129" s="398">
        <f>IF(KK129=0,0,IF(LEN(JW129)=11,_xlfn.XLOOKUP(JW129,'Dispensed Ink Rates'!C:C,'Dispensed Ink Rates'!CS:CS),VLOOKUP(JW129,'Jan-2026 rates'!$E:$F,2,0)))</f>
        <v>0</v>
      </c>
      <c r="KM129" s="428"/>
      <c r="KN129" s="398">
        <f>IF(KM129=0,0,IF(LEN(JX129)=11,_xlfn.XLOOKUP(JX129,'Dispensed Ink Rates'!C:C,'Dispensed Ink Rates'!CS:CS),VLOOKUP(JX129,'Jan-2026 rates'!$E:$F,2,0)))</f>
        <v>0</v>
      </c>
      <c r="KO129" s="409"/>
      <c r="KP129" s="409"/>
      <c r="KQ129" s="411">
        <f t="shared" si="103"/>
        <v>0</v>
      </c>
      <c r="KR129" s="411">
        <f t="shared" si="104"/>
        <v>0</v>
      </c>
      <c r="KS129" s="410">
        <f t="shared" si="105"/>
        <v>0</v>
      </c>
      <c r="KT129" s="409">
        <v>5</v>
      </c>
      <c r="KU129" s="409">
        <f>5+4</f>
        <v>9</v>
      </c>
      <c r="KV129" s="409">
        <f>25+20</f>
        <v>45</v>
      </c>
      <c r="KW129" s="409">
        <v>0</v>
      </c>
      <c r="KX129" s="409">
        <v>0</v>
      </c>
      <c r="KY129" s="409">
        <v>0</v>
      </c>
      <c r="KZ129" s="409">
        <v>0</v>
      </c>
      <c r="LA129" s="409">
        <v>0</v>
      </c>
      <c r="LB129" s="415">
        <v>0.8</v>
      </c>
      <c r="LC129" s="415">
        <v>0.2</v>
      </c>
      <c r="LD129" s="415"/>
      <c r="LE129" s="415"/>
      <c r="LF129" s="415"/>
      <c r="LG129" s="409">
        <v>0</v>
      </c>
      <c r="LH129" s="409">
        <f>45+21+64+16</f>
        <v>146</v>
      </c>
      <c r="LI129" s="409">
        <v>0</v>
      </c>
      <c r="LJ129" s="409">
        <v>0</v>
      </c>
      <c r="LK129" s="416">
        <f t="shared" si="61"/>
        <v>146</v>
      </c>
      <c r="LL129" s="416">
        <f t="shared" si="62"/>
        <v>146</v>
      </c>
      <c r="LM129" s="417">
        <f t="shared" si="63"/>
        <v>116.80000000000001</v>
      </c>
      <c r="LN129" s="417">
        <f>VLOOKUP($LM$8,'Jan-2026 rates'!$H:$I,2,0)</f>
        <v>0</v>
      </c>
      <c r="LO129" s="417">
        <f t="shared" si="64"/>
        <v>29.200000000000003</v>
      </c>
      <c r="LP129" s="417">
        <f>VLOOKUP($LO$8,'Jan-2026 rates'!$H:$I,2,0)</f>
        <v>0</v>
      </c>
      <c r="LQ129" s="417">
        <f t="shared" si="65"/>
        <v>0</v>
      </c>
      <c r="LR129" s="417">
        <f>VLOOKUP($LQ$8,'Jan-2026 rates'!$H:$I,2,0)</f>
        <v>0</v>
      </c>
      <c r="LS129" s="417">
        <f t="shared" si="66"/>
        <v>0</v>
      </c>
      <c r="LT129" s="417">
        <f>VLOOKUP($LS$8,'Jan-2026 rates'!$H:$I,2,0)</f>
        <v>0</v>
      </c>
      <c r="LU129" s="417">
        <f t="shared" si="67"/>
        <v>0</v>
      </c>
      <c r="LV129" s="417">
        <f>VLOOKUP($LU$8,'Jan-2026 rates'!$H:$I,2,0)</f>
        <v>0</v>
      </c>
      <c r="LW129" s="417">
        <f t="shared" si="68"/>
        <v>0</v>
      </c>
      <c r="LX129" s="417">
        <f t="shared" si="69"/>
        <v>0</v>
      </c>
      <c r="LY129" s="418">
        <f t="shared" si="70"/>
        <v>0</v>
      </c>
      <c r="LZ129" s="417"/>
      <c r="MA129" s="435">
        <f t="shared" si="71"/>
        <v>120</v>
      </c>
      <c r="MB129" s="282">
        <f t="shared" si="72"/>
        <v>235</v>
      </c>
      <c r="MC129" s="283">
        <v>84</v>
      </c>
      <c r="MD129" s="284" t="str">
        <f t="shared" si="73"/>
        <v>FLINTSLFLINTSLFLINTSL</v>
      </c>
      <c r="ME129" s="293" t="str">
        <f t="shared" si="74"/>
        <v>+</v>
      </c>
      <c r="MF129" s="293" t="str">
        <f t="shared" si="75"/>
        <v>+</v>
      </c>
      <c r="MG129" s="293" t="str">
        <f t="shared" si="76"/>
        <v>+</v>
      </c>
      <c r="MH129" s="293" t="str">
        <f t="shared" si="77"/>
        <v>NIL</v>
      </c>
      <c r="MI129" s="293" t="str">
        <f t="shared" si="78"/>
        <v>NIL</v>
      </c>
      <c r="MJ129" s="293" t="str">
        <f t="shared" si="79"/>
        <v>NIL</v>
      </c>
      <c r="MK129" s="293" t="str">
        <f t="shared" si="80"/>
        <v>NIL</v>
      </c>
      <c r="ML129" s="293" t="str">
        <f t="shared" si="81"/>
        <v>NIL</v>
      </c>
      <c r="MM129" s="3" t="b">
        <f t="array" ref="MM129">OR(ME129:ML129="-")</f>
        <v>0</v>
      </c>
      <c r="MN129" s="285"/>
      <c r="MO129" s="401"/>
      <c r="MP129" s="286"/>
      <c r="MQ129" s="286"/>
      <c r="MR129" s="402"/>
      <c r="MS129" s="400"/>
      <c r="NH129" s="422"/>
      <c r="NJ129" s="421"/>
    </row>
    <row r="130" spans="1:374" s="1" customFormat="1" ht="16.5">
      <c r="A130" s="403">
        <v>46034</v>
      </c>
      <c r="B130" s="404" t="s">
        <v>1015</v>
      </c>
      <c r="C130" s="405" t="s">
        <v>3356</v>
      </c>
      <c r="D130" s="406">
        <v>85</v>
      </c>
      <c r="E130" s="404">
        <v>0</v>
      </c>
      <c r="F130" s="407">
        <v>0</v>
      </c>
      <c r="G130" s="407" t="s">
        <v>1019</v>
      </c>
      <c r="H130" s="408" t="s">
        <v>1017</v>
      </c>
      <c r="I130" s="409">
        <v>0</v>
      </c>
      <c r="J130" s="405" t="s">
        <v>543</v>
      </c>
      <c r="K130" s="404" t="s">
        <v>3357</v>
      </c>
      <c r="L130" s="419" t="str">
        <f t="shared" si="54"/>
        <v>FLINTSL - BLACK</v>
      </c>
      <c r="M130" s="404">
        <v>20</v>
      </c>
      <c r="N130" s="410">
        <f>IF(M130=0,0,IF($LB130=70%,VLOOKUP($L130,'Jan-2026 rates'!$L:$R,4,0),IF($LB130=65%,VLOOKUP($L130,'Jan-2026 rates'!$L:$R,4,0),IF($LB130=40%,VLOOKUP($L130,'Jan-2026 rates'!$L:$R,5,0),IF($LB130=30%,VLOOKUP($L130,'Jan-2026 rates'!$L:$R,6,0),IF($LB130=100%,VLOOKUP($L130,'Jan-2026 rates'!$L:$R,7,0),IF($LB130=60%,VLOOKUP($L130,'Jan-2026 rates'!$L:$S,8,0),IF($LB130=80%,VLOOKUP($L130,'Jan-2026 rates'!L:T,9,0),0))))))))</f>
        <v>0</v>
      </c>
      <c r="O130" s="406"/>
      <c r="P130" s="404"/>
      <c r="Q130" s="410">
        <f>IF(P130=0,0,IF($LB130=70%,VLOOKUP($L130,'Jan-2026 rates'!$L:$R,4,0),IF($LB130=65%,VLOOKUP($L130,'Jan-2026 rates'!$L:$R,4,0),IF($LB130=40%,VLOOKUP($L130,'Jan-2026 rates'!$L:$R,5,0),IF($LB130=30%,VLOOKUP($L130,'Jan-2026 rates'!$L:$R,6,0),IF($LB130=100%,VLOOKUP($L130,'Jan-2026 rates'!$L:$R,7,0),IF($LB130=60%,VLOOKUP($L130,'Jan-2026 rates'!$L:$S,8,0),IF($LB130=80%,VLOOKUP($L130,'Jan-2026 rates'!L:T,9,0),0))))))))</f>
        <v>0</v>
      </c>
      <c r="R130" s="406">
        <v>26514000007</v>
      </c>
      <c r="S130" s="406"/>
      <c r="T130" s="406"/>
      <c r="U130" s="406"/>
      <c r="V130" s="406"/>
      <c r="W130" s="406"/>
      <c r="X130" s="406"/>
      <c r="Y130" s="406"/>
      <c r="Z130" s="404">
        <v>10</v>
      </c>
      <c r="AA130" s="398" t="e">
        <f>IF(Z130=0,0,IF(LEN(R130)=11,_xlfn.XLOOKUP(R130,'Dispensed Ink Rates'!C:C,'Dispensed Ink Rates'!CS:CS),VLOOKUP(R130,'Jan-2026 rates'!$E:$F,2,0)))</f>
        <v>#N/A</v>
      </c>
      <c r="AB130" s="404"/>
      <c r="AC130" s="398">
        <f>IF(AB130=0,0,IF(LEN(S130)=11,_xlfn.XLOOKUP(S130,'Dispensed Ink Rates'!C:C,'Dispensed Ink Rates'!CS:CS),VLOOKUP(S130,'Jan-2026 rates'!$E:$F,2,0)))</f>
        <v>0</v>
      </c>
      <c r="AD130" s="404"/>
      <c r="AE130" s="398">
        <f>IF(AD130=0,0,IF(LEN(T130)=11,_xlfn.XLOOKUP(T130,'Dispensed Ink Rates'!C:C,'Dispensed Ink Rates'!CS:CS),VLOOKUP(T130,'Jan-2026 rates'!$E:$F,2,0)))</f>
        <v>0</v>
      </c>
      <c r="AF130" s="404"/>
      <c r="AG130" s="398">
        <f>IF(AF130=0,0,IF(LEN(U130)=11,_xlfn.XLOOKUP(U130,'Dispensed Ink Rates'!C:C,'Dispensed Ink Rates'!CS:CS),VLOOKUP(U130,'Jan-2026 rates'!$E:$F,2,0)))</f>
        <v>0</v>
      </c>
      <c r="AH130" s="404"/>
      <c r="AI130" s="398">
        <f>IF(AH130=0,0,IF(LEN(V130)=11,_xlfn.XLOOKUP(V130,'Dispensed Ink Rates'!C:C,'Dispensed Ink Rates'!CS:CS),VLOOKUP(V130,'Jan-2026 rates'!$E:$F,2,0)))</f>
        <v>0</v>
      </c>
      <c r="AJ130" s="404"/>
      <c r="AK130" s="398">
        <f>IF(AJ130=0,0,IF(LEN(W130)=11,_xlfn.XLOOKUP(W130,'Dispensed Ink Rates'!C:C,'Dispensed Ink Rates'!CS:CS),VLOOKUP(W130,'Jan-2026 rates'!$E:$F,2,0)))</f>
        <v>0</v>
      </c>
      <c r="AL130" s="404"/>
      <c r="AM130" s="398">
        <f>IF(AL130=0,0,IF(LEN(X130)=11,_xlfn.XLOOKUP(X130,'Dispensed Ink Rates'!C:C,'Dispensed Ink Rates'!CS:CS),VLOOKUP(X130,'Jan-2026 rates'!$E:$F,2,0)))</f>
        <v>0</v>
      </c>
      <c r="AN130" s="404"/>
      <c r="AO130" s="398">
        <f>IF(AN130=0,0,IF(LEN(Y130)=11,_xlfn.XLOOKUP(Y130,'Dispensed Ink Rates'!C:C,'Dispensed Ink Rates'!CS:CS),VLOOKUP(Y130,'Jan-2026 rates'!$E:$F,2,0)))</f>
        <v>0</v>
      </c>
      <c r="AP130" s="409" t="s">
        <v>1443</v>
      </c>
      <c r="AQ130" s="409">
        <v>32</v>
      </c>
      <c r="AR130" s="410">
        <f t="shared" si="82"/>
        <v>0</v>
      </c>
      <c r="AS130" s="411">
        <f t="shared" si="83"/>
        <v>3.3571428571428612</v>
      </c>
      <c r="AT130" s="410">
        <f t="shared" si="84"/>
        <v>0</v>
      </c>
      <c r="AU130" s="405" t="s">
        <v>546</v>
      </c>
      <c r="AV130" s="409" t="s">
        <v>3336</v>
      </c>
      <c r="AW130" s="420" t="str">
        <f t="shared" si="53"/>
        <v>FLINTSL - REFLEX BLUE</v>
      </c>
      <c r="AX130" s="409">
        <v>24</v>
      </c>
      <c r="AY130" s="411">
        <f>IF(AX130=0,0,IF($LB130=70%,VLOOKUP($AW130,'Jan-2026 rates'!$L:$R,4,0),IF($LB130=65%,VLOOKUP($AW130,'Jan-2026 rates'!$L:$R,4,0),IF($LB130=40%,VLOOKUP($AW130,'Jan-2026 rates'!$L:$R,5,0),IF($LB130=30%,VLOOKUP($AW130,'Jan-2026 rates'!$L:$R,6,0),IF($LB130=100%,VLOOKUP($AW130,'Jan-2026 rates'!$L:$R,7,0),IF($LB130=60%,VLOOKUP($AW130,'Jan-2026 rates'!$L:$S,8,0),IF($LB130=80%,VLOOKUP($AW130,'Jan-2026 rates'!L:T,9,0),0))))))))</f>
        <v>0</v>
      </c>
      <c r="AZ130" s="412"/>
      <c r="BA130" s="409"/>
      <c r="BB130" s="411">
        <f>IF(BA130=0,0,IF($LB130=70%,VLOOKUP($AW130,'Jan-2026 rates'!$L:$R,4,0),IF($LB130=65%,VLOOKUP($AW130,'Jan-2026 rates'!$L:$R,4,0),IF($LB130=40%,VLOOKUP($AW130,'Jan-2026 rates'!$L:$R,5,0),IF($LB130=30%,VLOOKUP($AW130,'Jan-2026 rates'!$L:$R,6,0),IF($LB130=100%,VLOOKUP($AW130,'Jan-2026 rates'!$L:$R,7,0),IF($LB130=60%,VLOOKUP($AW130,'Jan-2026 rates'!$L:$S,8,0),IF($LB130=80%,VLOOKUP($AW130,'Jan-2026 rates'!L:T,9,0),0))))))))</f>
        <v>0</v>
      </c>
      <c r="BC130" s="413">
        <v>26506000001</v>
      </c>
      <c r="BD130" s="412"/>
      <c r="BE130" s="412"/>
      <c r="BF130" s="413"/>
      <c r="BG130" s="412"/>
      <c r="BH130" s="412"/>
      <c r="BI130" s="412"/>
      <c r="BJ130" s="412"/>
      <c r="BK130" s="409">
        <f>6+4</f>
        <v>10</v>
      </c>
      <c r="BL130" s="398" t="e">
        <f>IF(BK130=0,0,IF(LEN(BC130)=11,_xlfn.XLOOKUP(BC130,'Dispensed Ink Rates'!C:C,'Dispensed Ink Rates'!CS:CS),VLOOKUP(BC130,'Jan-2026 rates'!$E:$F,2,0)))</f>
        <v>#N/A</v>
      </c>
      <c r="BM130" s="409"/>
      <c r="BN130" s="398">
        <f>IF(BM130=0,0,IF(LEN(BD130)=11,_xlfn.XLOOKUP(BD130,'Dispensed Ink Rates'!C:C,'Dispensed Ink Rates'!CS:CS),VLOOKUP(BD130,'Jan-2026 rates'!$E:$F,2,0)))</f>
        <v>0</v>
      </c>
      <c r="BO130" s="409"/>
      <c r="BP130" s="398">
        <f>IF(BO130=0,0,IF(LEN(BE130)=11,_xlfn.XLOOKUP(BE130,'Dispensed Ink Rates'!C:C,'Dispensed Ink Rates'!CS:CS),VLOOKUP(BE130,'Jan-2026 rates'!$E:$F,2,0)))</f>
        <v>0</v>
      </c>
      <c r="BQ130" s="409"/>
      <c r="BR130" s="398">
        <f>IF(BQ130=0,0,IF(LEN(BF130)=11,_xlfn.XLOOKUP(BF130,'Dispensed Ink Rates'!C:C,'Dispensed Ink Rates'!CS:CS),VLOOKUP(BF130,'Jan-2026 rates'!$E:$F,2,0)))</f>
        <v>0</v>
      </c>
      <c r="BS130" s="409"/>
      <c r="BT130" s="398">
        <f>IF(BS130=0,0,IF(LEN(BG130)=11,_xlfn.XLOOKUP(BG130,'Dispensed Ink Rates'!C:C,'Dispensed Ink Rates'!CS:CS),VLOOKUP(BG130,'Jan-2026 rates'!$E:$F,2,0)))</f>
        <v>0</v>
      </c>
      <c r="BU130" s="409"/>
      <c r="BV130" s="398">
        <f>IF(BU130=0,0,IF(LEN(BH130)=11,_xlfn.XLOOKUP(BH130,'Dispensed Ink Rates'!C:C,'Dispensed Ink Rates'!CS:CS),VLOOKUP(BH130,'Jan-2026 rates'!$E:$F,2,0)))</f>
        <v>0</v>
      </c>
      <c r="BW130" s="409"/>
      <c r="BX130" s="398">
        <f>IF(BW130=0,0,IF(LEN(BI130)=11,_xlfn.XLOOKUP(BI130,'Dispensed Ink Rates'!C:C,'Dispensed Ink Rates'!CS:CS),VLOOKUP(BI130,'Jan-2026 rates'!$E:$F,2,0)))</f>
        <v>0</v>
      </c>
      <c r="BY130" s="409"/>
      <c r="BZ130" s="398">
        <f>IF(BY130=0,0,IF(LEN(BJ130)=11,_xlfn.XLOOKUP(BJ130,'Dispensed Ink Rates'!C:C,'Dispensed Ink Rates'!CS:CS),VLOOKUP(BJ130,'Jan-2026 rates'!$E:$F,2,0)))</f>
        <v>0</v>
      </c>
      <c r="CA130" s="409" t="s">
        <v>1443</v>
      </c>
      <c r="CB130" s="409">
        <v>31</v>
      </c>
      <c r="CC130" s="411">
        <f t="shared" si="85"/>
        <v>0</v>
      </c>
      <c r="CD130" s="411">
        <f t="shared" si="86"/>
        <v>8.3571428571428612</v>
      </c>
      <c r="CE130" s="410">
        <f t="shared" si="87"/>
        <v>0</v>
      </c>
      <c r="CF130" s="404" t="s">
        <v>545</v>
      </c>
      <c r="CG130" s="409" t="s">
        <v>3296</v>
      </c>
      <c r="CH130" s="420" t="str">
        <f t="shared" si="55"/>
        <v>FLINTSL - YELLOW</v>
      </c>
      <c r="CI130" s="409">
        <v>24</v>
      </c>
      <c r="CJ130" s="411">
        <f>IF(CI130=0,0,IF($LB130=70%,VLOOKUP($CH130,'Jan-2026 rates'!$L:$R,4,0),IF($LB130=65%,VLOOKUP($CH130,'Jan-2026 rates'!$L:$R,4,0),IF($LB130=40%,VLOOKUP($CH130,'Jan-2026 rates'!$L:$R,5,0),IF($LB130=30%,VLOOKUP($CH130,'Jan-2026 rates'!$L:$R,6,0),IF($LB130=100%,VLOOKUP($CH130,'Jan-2026 rates'!$L:$R,7,0),IF($LB130=60%,VLOOKUP($CH130,'Jan-2026 rates'!$L:$S,8,0),IF($LB130=80%,VLOOKUP($CH130,'Jan-2026 rates'!L:T,9,0),0))))))))</f>
        <v>0</v>
      </c>
      <c r="CK130" s="412"/>
      <c r="CL130" s="409"/>
      <c r="CM130" s="411">
        <f>IF(CL130=0,0,IF($LB130=70%,VLOOKUP($CH130,'Jan-2026 rates'!$L:$R,4,0),IF($LB130=65%,VLOOKUP($CH130,'Jan-2026 rates'!$L:$R,4,0),IF($LB130=40%,VLOOKUP($CH130,'Jan-2026 rates'!$L:$R,5,0),IF($LB130=30%,VLOOKUP($CH130,'Jan-2026 rates'!$L:$R,6,0),IF($LB130=100%,VLOOKUP($CH130,'Jan-2026 rates'!$L:$R,7,0),IF($LB130=60%,VLOOKUP($CH130,'Jan-2026 rates'!$L:$S,8,0),IF($LB130=80%,VLOOKUP($CH130,'Jan-2026 rates'!L:T,9,0),0))))))))</f>
        <v>0</v>
      </c>
      <c r="CN130" s="426">
        <v>26508000010</v>
      </c>
      <c r="CO130" s="427">
        <v>26514000010</v>
      </c>
      <c r="CP130" s="426"/>
      <c r="CQ130" s="426"/>
      <c r="CR130" s="428"/>
      <c r="CS130" s="428"/>
      <c r="CT130" s="428"/>
      <c r="CU130" s="428"/>
      <c r="CV130" s="409">
        <v>0.5</v>
      </c>
      <c r="CW130" s="398" t="e">
        <f>IF(CV130=0,0,IF(LEN(CN130)=11,_xlfn.XLOOKUP(CN130,'Dispensed Ink Rates'!C:C,'Dispensed Ink Rates'!CS:CS),VLOOKUP(CN130,'Jan-2026 rates'!$E:$F,2,0)))</f>
        <v>#N/A</v>
      </c>
      <c r="CX130" s="409">
        <v>3</v>
      </c>
      <c r="CY130" s="398" t="e">
        <f>IF(CX130=0,0,IF(LEN(CO130)=11,_xlfn.XLOOKUP(CO130,'Dispensed Ink Rates'!C:C,'Dispensed Ink Rates'!CS:CS),VLOOKUP(CO130,'Jan-2026 rates'!$E:$F,2,0)))</f>
        <v>#N/A</v>
      </c>
      <c r="CZ130" s="409"/>
      <c r="DA130" s="398">
        <f>IF(CZ130=0,0,IF(LEN(CP130)=11,_xlfn.XLOOKUP(CP130,'Dispensed Ink Rates'!C:C,'Dispensed Ink Rates'!CS:CS),VLOOKUP(CP130,'Jan-2026 rates'!$E:$F,2,0)))</f>
        <v>0</v>
      </c>
      <c r="DB130" s="409"/>
      <c r="DC130" s="398">
        <f>IF(DB130=0,0,IF(LEN(CQ130)=11,_xlfn.XLOOKUP(CQ130,'Dispensed Ink Rates'!C:C,'Dispensed Ink Rates'!CS:CS),VLOOKUP(CQ130,'Jan-2026 rates'!$E:$F,2,0)))</f>
        <v>0</v>
      </c>
      <c r="DD130" s="409"/>
      <c r="DE130" s="398">
        <f>IF(DD130=0,0,IF(LEN(CR130)=11,_xlfn.XLOOKUP(CR130,'Dispensed Ink Rates'!C:C,'Dispensed Ink Rates'!CS:CS),VLOOKUP(CR130,'Jan-2026 rates'!$E:$F,2,0)))</f>
        <v>0</v>
      </c>
      <c r="DF130" s="409"/>
      <c r="DG130" s="398">
        <f>IF(DF130=0,0,IF(LEN(CS130)=11,_xlfn.XLOOKUP(CS130,'Dispensed Ink Rates'!C:C,'Dispensed Ink Rates'!CS:CS),VLOOKUP(CS130,'Jan-2026 rates'!$E:$F,2,0)))</f>
        <v>0</v>
      </c>
      <c r="DH130" s="409"/>
      <c r="DI130" s="398">
        <f>IF(DH130=0,0,IF(LEN(CT130)=11,_xlfn.XLOOKUP(CT130,'Dispensed Ink Rates'!C:C,'Dispensed Ink Rates'!CS:CS),VLOOKUP(CT130,'Jan-2026 rates'!$E:$F,2,0)))</f>
        <v>0</v>
      </c>
      <c r="DJ130" s="409"/>
      <c r="DK130" s="398">
        <f>IF(DJ130=0,0,IF(LEN(CU130)=11,_xlfn.XLOOKUP(CU130,'Dispensed Ink Rates'!C:C,'Dispensed Ink Rates'!CS:CS),VLOOKUP(CU130,'Jan-2026 rates'!$E:$F,2,0)))</f>
        <v>0</v>
      </c>
      <c r="DL130" s="409" t="s">
        <v>1443</v>
      </c>
      <c r="DM130" s="409">
        <v>27</v>
      </c>
      <c r="DN130" s="411">
        <f t="shared" si="88"/>
        <v>0</v>
      </c>
      <c r="DO130" s="411">
        <f t="shared" si="89"/>
        <v>4.7857142857142847</v>
      </c>
      <c r="DP130" s="410">
        <f t="shared" si="90"/>
        <v>0</v>
      </c>
      <c r="DQ130" s="405" t="s">
        <v>828</v>
      </c>
      <c r="DR130" s="409"/>
      <c r="DS130" s="420" t="str">
        <f t="shared" si="56"/>
        <v>FLINTSL - ORANGE</v>
      </c>
      <c r="DT130" s="409"/>
      <c r="DU130" s="411">
        <f>IF(DT130=0,0,IF($LB130=70%,VLOOKUP($DS130,'Jan-2026 rates'!$L:$R,4,0),IF($LB130=65%,VLOOKUP($DS130,'Jan-2026 rates'!$L:$R,4,0),IF($LB130=40%,VLOOKUP($DS130,'Jan-2026 rates'!$L:$R,5,0),IF($LB130=30%,VLOOKUP($DS130,'Jan-2026 rates'!$L:$R,6,0),IF($LB130=100%,VLOOKUP($DS130,'Jan-2026 rates'!$L:$R,7,0),IF($LB130=60%,VLOOKUP($DS130,'Jan-2026 rates'!$L:$S,8,0),IF($LB130=80%,VLOOKUP($DS130,'Jan-2026 rates'!L:T,9,0),0))))))))</f>
        <v>0</v>
      </c>
      <c r="DV130" s="412"/>
      <c r="DW130" s="409"/>
      <c r="DX130" s="411">
        <f>IF(DW130=0,0,IF($LB130=70%,VLOOKUP($DS130,'Jan-2026 rates'!$L:$R,4,0),IF($LB130=65%,VLOOKUP($DS130,'Jan-2026 rates'!$L:$R,4,0),IF($LB130=40%,VLOOKUP($DS130,'Jan-2026 rates'!$L:$R,5,0),IF($LB130=30%,VLOOKUP($DS130,'Jan-2026 rates'!$L:$R,6,0),IF($LB130=100%,VLOOKUP($DS130,'Jan-2026 rates'!$L:$R,7,0),IF($LB130=60%,VLOOKUP($DS130,'Jan-2026 rates'!$L:$S,8,0),IF($LB130=80%,VLOOKUP($DS130,'Jan-2026 rates'!L:T,9,0),0))))))))</f>
        <v>0</v>
      </c>
      <c r="DY130" s="413">
        <v>26513000009</v>
      </c>
      <c r="DZ130" s="413">
        <v>26513000010</v>
      </c>
      <c r="EA130" s="412" t="s">
        <v>1266</v>
      </c>
      <c r="EB130" s="412"/>
      <c r="EC130" s="412"/>
      <c r="ED130" s="412"/>
      <c r="EE130" s="412"/>
      <c r="EF130" s="412"/>
      <c r="EG130" s="409">
        <v>40</v>
      </c>
      <c r="EH130" s="398" t="e">
        <f>IF(EG130=0,0,IF(LEN(DY130)=11,_xlfn.XLOOKUP(DY130,'Dispensed Ink Rates'!C:C,'Dispensed Ink Rates'!CS:CS),VLOOKUP(DY130,'Jan-2026 rates'!$E:$F,2,0)))</f>
        <v>#N/A</v>
      </c>
      <c r="EI130" s="409">
        <v>25</v>
      </c>
      <c r="EJ130" s="398" t="e">
        <f>IF(EI130=0,0,IF(LEN(DZ130)=11,_xlfn.XLOOKUP(DZ130,'Dispensed Ink Rates'!C:C,'Dispensed Ink Rates'!CS:CS),VLOOKUP(DZ130,'Jan-2026 rates'!$E:$F,2,0)))</f>
        <v>#N/A</v>
      </c>
      <c r="EK130" s="409">
        <v>4</v>
      </c>
      <c r="EL130" s="398">
        <f>IF(EK130=0,0,IF(LEN(EA130)=11,_xlfn.XLOOKUP(EA130,'Dispensed Ink Rates'!C:C,'Dispensed Ink Rates'!CS:CS),VLOOKUP(EA130,'Jan-2026 rates'!$E:$F,2,0)))</f>
        <v>0</v>
      </c>
      <c r="EM130" s="409"/>
      <c r="EN130" s="398">
        <f>IF(EM130=0,0,IF(LEN(EB130)=11,_xlfn.XLOOKUP(EB130,'Dispensed Ink Rates'!C:C,'Dispensed Ink Rates'!CS:CS),VLOOKUP(EB130,'Jan-2026 rates'!$E:$F,2,0)))</f>
        <v>0</v>
      </c>
      <c r="EO130" s="409"/>
      <c r="EP130" s="398">
        <f>IF(EO130=0,0,IF(LEN(EC130)=11,_xlfn.XLOOKUP(EC130,'Dispensed Ink Rates'!C:C,'Dispensed Ink Rates'!CS:CS),VLOOKUP(EC130,'Jan-2026 rates'!$E:$F,2,0)))</f>
        <v>0</v>
      </c>
      <c r="EQ130" s="409"/>
      <c r="ER130" s="398">
        <f>IF(EQ130=0,0,IF(LEN(ED130)=11,_xlfn.XLOOKUP(ED130,'Dispensed Ink Rates'!C:C,'Dispensed Ink Rates'!CS:CS),VLOOKUP(ED130,'Jan-2026 rates'!$E:$F,2,0)))</f>
        <v>0</v>
      </c>
      <c r="ES130" s="409"/>
      <c r="ET130" s="398">
        <f>IF(ES130=0,0,IF(LEN(EE130)=11,_xlfn.XLOOKUP(EE130,'Dispensed Ink Rates'!C:C,'Dispensed Ink Rates'!CS:CS),VLOOKUP(EE130,'Jan-2026 rates'!$E:$F,2,0)))</f>
        <v>0</v>
      </c>
      <c r="EU130" s="409"/>
      <c r="EV130" s="398">
        <f>IF(EU130=0,0,IF(LEN(EF130)=11,_xlfn.XLOOKUP(EF130,'Dispensed Ink Rates'!C:C,'Dispensed Ink Rates'!CS:CS),VLOOKUP(EF130,'Jan-2026 rates'!$E:$F,2,0)))</f>
        <v>0</v>
      </c>
      <c r="EW130" s="409" t="s">
        <v>1443</v>
      </c>
      <c r="EX130" s="409">
        <v>70</v>
      </c>
      <c r="EY130" s="411">
        <f t="shared" si="91"/>
        <v>0</v>
      </c>
      <c r="EZ130" s="411">
        <f t="shared" si="92"/>
        <v>3.2857142857142918</v>
      </c>
      <c r="FA130" s="410">
        <f t="shared" si="93"/>
        <v>0</v>
      </c>
      <c r="FB130" s="405" t="s">
        <v>855</v>
      </c>
      <c r="FC130" s="409" t="s">
        <v>3358</v>
      </c>
      <c r="FD130" s="420" t="str">
        <f t="shared" si="57"/>
        <v>FLINTSL - CYAN</v>
      </c>
      <c r="FE130" s="409">
        <v>30</v>
      </c>
      <c r="FF130" s="411">
        <f>IF(FE130=0,0,IF($LB130=70%,VLOOKUP($FD130,'Jan-2026 rates'!$L:$R,4,0),IF($LB130=65%,VLOOKUP($FD130,'Jan-2026 rates'!$L:$R,4,0),IF($LB130=40%,VLOOKUP($FD130,'Jan-2026 rates'!$L:$R,5,0),IF($LB130=30%,VLOOKUP($FD130,'Jan-2026 rates'!$L:$R,6,0),IF($LB130=100%,VLOOKUP($FD130,'Jan-2026 rates'!$L:$R,7,0),IF($LB130=60%,VLOOKUP($FD130,'Jan-2026 rates'!$L:$S,8,0),IF($LB130=80%,VLOOKUP($FD130,'Jan-2026 rates'!L:T,9,0),0))))))))</f>
        <v>0</v>
      </c>
      <c r="FG130" s="412"/>
      <c r="FH130" s="409"/>
      <c r="FI130" s="411">
        <f>IF(FH130=0,0,IF($LB130=70%,VLOOKUP($FD130,'Jan-2026 rates'!$L:$R,4,0),IF($LB130=65%,VLOOKUP($FD130,'Jan-2026 rates'!$L:$R,4,0),IF($LB130=40%,VLOOKUP($FD130,'Jan-2026 rates'!$L:$R,5,0),IF($LB130=30%,VLOOKUP($FD130,'Jan-2026 rates'!$L:$R,6,0),IF($LB130=100%,VLOOKUP($FD130,'Jan-2026 rates'!$L:$R,7,0),IF($LB130=60%,VLOOKUP($FD130,'Jan-2026 rates'!$L:$S,8,0),IF($LB130=80%,VLOOKUP($FD130,'Jan-2026 rates'!L:T,9,0),0))))))))</f>
        <v>0</v>
      </c>
      <c r="FJ130" s="413">
        <v>26510000009</v>
      </c>
      <c r="FK130" s="413"/>
      <c r="FL130" s="413"/>
      <c r="FM130" s="412"/>
      <c r="FN130" s="412"/>
      <c r="FO130" s="412"/>
      <c r="FP130" s="412"/>
      <c r="FQ130" s="412"/>
      <c r="FR130" s="409">
        <v>3</v>
      </c>
      <c r="FS130" s="398" t="e">
        <f>IF(FR130=0,0,IF(LEN(FJ130)=11,_xlfn.XLOOKUP(FJ130,'Dispensed Ink Rates'!C:C,'Dispensed Ink Rates'!CS:CS),VLOOKUP(FJ130,'Jan-2026 rates'!$E:$F,2,0)))</f>
        <v>#N/A</v>
      </c>
      <c r="FT130" s="409"/>
      <c r="FU130" s="398">
        <f>IF(FT130=0,0,IF(LEN(FK130)=11,_xlfn.XLOOKUP(FK130,'Dispensed Ink Rates'!C:C,'Dispensed Ink Rates'!CS:CS),VLOOKUP(FK130,'Jan-2026 rates'!$E:$F,2,0)))</f>
        <v>0</v>
      </c>
      <c r="FV130" s="409"/>
      <c r="FW130" s="398">
        <f>IF(FV130=0,0,IF(LEN(FL130)=11,_xlfn.XLOOKUP(FL130,'Dispensed Ink Rates'!C:C,'Dispensed Ink Rates'!CS:CS),VLOOKUP(FL130,'Jan-2026 rates'!$E:$F,2,0)))</f>
        <v>0</v>
      </c>
      <c r="FX130" s="409"/>
      <c r="FY130" s="398">
        <f>IF(FX130=0,0,IF(LEN(FM130)=11,_xlfn.XLOOKUP(FM130,'Dispensed Ink Rates'!C:C,'Dispensed Ink Rates'!CS:CS),VLOOKUP(FM130,'Jan-2026 rates'!$E:$F,2,0)))</f>
        <v>0</v>
      </c>
      <c r="FZ130" s="409"/>
      <c r="GA130" s="398">
        <f>IF(FZ130=0,0,IF(LEN(FN130)=11,_xlfn.XLOOKUP(FN130,'Dispensed Ink Rates'!C:C,'Dispensed Ink Rates'!CS:CS),VLOOKUP(FN130,'Jan-2026 rates'!$E:$F,2,0)))</f>
        <v>0</v>
      </c>
      <c r="GB130" s="409"/>
      <c r="GC130" s="398">
        <f>IF(GB130=0,0,IF(LEN(FO130)=11,_xlfn.XLOOKUP(FO130,'Dispensed Ink Rates'!C:C,'Dispensed Ink Rates'!CS:CS),VLOOKUP(FO130,'Jan-2026 rates'!$E:$F,2,0)))</f>
        <v>0</v>
      </c>
      <c r="GD130" s="409"/>
      <c r="GE130" s="398">
        <f>IF(GD130=0,0,IF(LEN(FP130)=11,_xlfn.XLOOKUP(FP130,'Dispensed Ink Rates'!C:C,'Dispensed Ink Rates'!CS:CS),VLOOKUP(FP130,'Jan-2026 rates'!$E:$F,2,0)))</f>
        <v>0</v>
      </c>
      <c r="GF130" s="409"/>
      <c r="GG130" s="398">
        <f>IF(GF130=0,0,IF(LEN(FQ130)=11,_xlfn.XLOOKUP(FQ130,'Dispensed Ink Rates'!C:C,'Dispensed Ink Rates'!CS:CS),VLOOKUP(FQ130,'Jan-2026 rates'!$E:$F,2,0)))</f>
        <v>0</v>
      </c>
      <c r="GH130" s="409" t="s">
        <v>1443</v>
      </c>
      <c r="GI130" s="409">
        <v>32</v>
      </c>
      <c r="GJ130" s="411">
        <f t="shared" si="94"/>
        <v>0</v>
      </c>
      <c r="GK130" s="411">
        <f t="shared" si="95"/>
        <v>2.0714285714285694</v>
      </c>
      <c r="GL130" s="410">
        <f t="shared" si="96"/>
        <v>0</v>
      </c>
      <c r="GM130" s="405" t="s">
        <v>544</v>
      </c>
      <c r="GN130" s="409" t="s">
        <v>3359</v>
      </c>
      <c r="GO130" s="420" t="str">
        <f t="shared" si="58"/>
        <v>FLINTSL - MAGENTA</v>
      </c>
      <c r="GP130" s="409">
        <v>24</v>
      </c>
      <c r="GQ130" s="411">
        <f>IF(GP130=0,0,IF($LB130=70%,VLOOKUP($GO130,'Jan-2026 rates'!$L:$R,4,0),IF($LB130=65%,VLOOKUP($GO130,'Jan-2026 rates'!$L:$R,4,0),IF($LB130=40%,VLOOKUP($GO130,'Jan-2026 rates'!$L:$R,5,0),IF($LB130=30%,VLOOKUP($GO130,'Jan-2026 rates'!$L:$R,6,0),IF($LB130=100%,VLOOKUP($GO130,'Jan-2026 rates'!$L:$R,7,0),IF($LB130=60%,VLOOKUP($GO130,'Jan-2026 rates'!$L:$S,8,0),IF($LB130=80%,VLOOKUP($GO130,'Jan-2026 rates'!L:T,9,0),0))))))))</f>
        <v>0</v>
      </c>
      <c r="GR130" s="412"/>
      <c r="GS130" s="409"/>
      <c r="GT130" s="411">
        <f>IF(GS130=0,0,IF($LB130=70%,VLOOKUP($GO130,'Jan-2026 rates'!$L:$R,4,0),IF($LB130=65%,VLOOKUP($GO130,'Jan-2026 rates'!$L:$R,4,0),IF($LB130=40%,VLOOKUP($GO130,'Jan-2026 rates'!$L:$R,5,0),IF($LB130=30%,VLOOKUP($GO130,'Jan-2026 rates'!$L:$R,6,0),IF($LB130=100%,VLOOKUP($GO130,'Jan-2026 rates'!$L:$R,7,0),IF($LB130=60%,VLOOKUP($GO130,'Jan-2026 rates'!$L:$S,8,0),IF($LB130=80%,VLOOKUP($GO130,'Jan-2026 rates'!L:T,9,0),0))))))))</f>
        <v>0</v>
      </c>
      <c r="GU130" s="413">
        <v>26513000019</v>
      </c>
      <c r="GV130" s="413"/>
      <c r="GW130" s="412"/>
      <c r="GX130" s="412"/>
      <c r="GY130" s="412"/>
      <c r="GZ130" s="412"/>
      <c r="HA130" s="412"/>
      <c r="HB130" s="412"/>
      <c r="HC130" s="409">
        <v>3</v>
      </c>
      <c r="HD130" s="398" t="e">
        <f>IF(HC130=0,0,IF(LEN(GU130)=11,_xlfn.XLOOKUP(GU130,'Dispensed Ink Rates'!C:C,'Dispensed Ink Rates'!CS:CS),VLOOKUP(GU130,'Jan-2026 rates'!$E:$F,2,0)))</f>
        <v>#N/A</v>
      </c>
      <c r="HE130" s="409"/>
      <c r="HF130" s="398">
        <f>IF(HE130=0,0,IF(LEN(GV130)=11,_xlfn.XLOOKUP(GV130,'Dispensed Ink Rates'!C:C,'Dispensed Ink Rates'!CS:CS),VLOOKUP(GV130,'Jan-2026 rates'!$E:$F,2,0)))</f>
        <v>0</v>
      </c>
      <c r="HG130" s="409"/>
      <c r="HH130" s="398">
        <f>IF(HG130=0,0,IF(LEN(GW130)=11,_xlfn.XLOOKUP(GW130,'Dispensed Ink Rates'!C:C,'Dispensed Ink Rates'!CS:CS),VLOOKUP(GW130,'Jan-2026 rates'!$E:$F,2,0)))</f>
        <v>0</v>
      </c>
      <c r="HI130" s="409"/>
      <c r="HJ130" s="398">
        <f>IF(HI130=0,0,IF(LEN(GX130)=11,_xlfn.XLOOKUP(GX130,'Dispensed Ink Rates'!C:C,'Dispensed Ink Rates'!CS:CS),VLOOKUP(GX130,'Jan-2026 rates'!$E:$F,2,0)))</f>
        <v>0</v>
      </c>
      <c r="HK130" s="409"/>
      <c r="HL130" s="398">
        <f>IF(HK130=0,0,IF(LEN(GY130)=11,_xlfn.XLOOKUP(GY130,'Dispensed Ink Rates'!C:C,'Dispensed Ink Rates'!CS:CS),VLOOKUP(GY130,'Jan-2026 rates'!$E:$F,2,0)))</f>
        <v>0</v>
      </c>
      <c r="HM130" s="409"/>
      <c r="HN130" s="398">
        <f>IF(HM130=0,0,IF(LEN(GZ130)=11,_xlfn.XLOOKUP(GZ130,'Dispensed Ink Rates'!C:C,'Dispensed Ink Rates'!CS:CS),VLOOKUP(GZ130,'Jan-2026 rates'!$E:$F,2,0)))</f>
        <v>0</v>
      </c>
      <c r="HO130" s="409"/>
      <c r="HP130" s="398">
        <f>IF(HO130=0,0,IF(LEN(HA130)=11,_xlfn.XLOOKUP(HA130,'Dispensed Ink Rates'!C:C,'Dispensed Ink Rates'!CS:CS),VLOOKUP(HA130,'Jan-2026 rates'!$E:$F,2,0)))</f>
        <v>0</v>
      </c>
      <c r="HQ130" s="409"/>
      <c r="HR130" s="398">
        <f>IF(HQ130=0,0,IF(LEN(HB130)=11,_xlfn.XLOOKUP(HB130,'Dispensed Ink Rates'!C:C,'Dispensed Ink Rates'!CS:CS),VLOOKUP(HB130,'Jan-2026 rates'!$E:$F,2,0)))</f>
        <v>0</v>
      </c>
      <c r="HS130" s="409" t="s">
        <v>1443</v>
      </c>
      <c r="HT130" s="409">
        <v>27</v>
      </c>
      <c r="HU130" s="411">
        <f t="shared" si="97"/>
        <v>0</v>
      </c>
      <c r="HV130" s="411">
        <f t="shared" si="98"/>
        <v>2.1428571428571423</v>
      </c>
      <c r="HW130" s="414">
        <f t="shared" si="99"/>
        <v>0</v>
      </c>
      <c r="HX130" s="405" t="s">
        <v>545</v>
      </c>
      <c r="HY130" s="409" t="s">
        <v>3360</v>
      </c>
      <c r="HZ130" s="420" t="str">
        <f t="shared" si="59"/>
        <v>FLINTSL - YELLOW</v>
      </c>
      <c r="IA130" s="409">
        <v>27</v>
      </c>
      <c r="IB130" s="411">
        <f>IF(IA130=0,0,IF($LB130=70%,VLOOKUP($HZ130,'Jan-2026 rates'!$L:$R,4,0),IF($LB130=65%,VLOOKUP($HZ130,'Jan-2026 rates'!$L:$R,4,0),IF($LB130=40%,VLOOKUP($HZ130,'Jan-2026 rates'!$L:$R,5,0),IF($LB130=30%,VLOOKUP($HZ130,'Jan-2026 rates'!$L:$R,6,0),IF($LB130=100%,VLOOKUP($HZ130,'Jan-2026 rates'!$L:$R,7,0),IF($LB130=60%,VLOOKUP($HZ130,'Jan-2026 rates'!$L:$S,8,0),IF($LB130=80%,VLOOKUP($HZ130,'Jan-2026 rates'!L:T,9,0),0))))))))</f>
        <v>0</v>
      </c>
      <c r="IC130" s="412"/>
      <c r="ID130" s="409"/>
      <c r="IE130" s="411">
        <f>IF(ID130=0,0,IF($LB130=70%,VLOOKUP($HZ130,'Jan-2026 rates'!$L:$R,4,0),IF($LB130=65%,VLOOKUP($HZ130,'Jan-2026 rates'!$L:$R,4,0),IF($LB130=40%,VLOOKUP($HZ130,'Jan-2026 rates'!$L:$R,5,0),IF($LB130=30%,VLOOKUP($HZ130,'Jan-2026 rates'!$L:$R,6,0),IF($LB130=100%,VLOOKUP($HZ130,'Jan-2026 rates'!$L:$R,7,0),IF($LB130=60%,VLOOKUP($HZ130,'Jan-2026 rates'!$L:$S,8,0),IF($LB130=80%,VLOOKUP($HZ130,'Jan-2026 rates'!L:T,9,0),0))))))))</f>
        <v>0</v>
      </c>
      <c r="IF130" s="412">
        <v>26513000019</v>
      </c>
      <c r="IG130" s="413"/>
      <c r="IH130" s="412"/>
      <c r="II130" s="412"/>
      <c r="IJ130" s="412"/>
      <c r="IK130" s="412"/>
      <c r="IL130" s="412"/>
      <c r="IM130" s="412"/>
      <c r="IN130" s="409">
        <v>3</v>
      </c>
      <c r="IO130" s="398" t="e">
        <f>IF(IN130=0,0,IF(LEN(IF130)=11,_xlfn.XLOOKUP(IF130,'Dispensed Ink Rates'!C:C,'Dispensed Ink Rates'!CS:CS),VLOOKUP(IF130,'Jan-2026 rates'!$E:$F,2,0)))</f>
        <v>#N/A</v>
      </c>
      <c r="IP130" s="409"/>
      <c r="IQ130" s="398">
        <f>IF(IP130=0,0,IF(LEN(IG130)=11,_xlfn.XLOOKUP(IG130,'Dispensed Ink Rates'!C:C,'Dispensed Ink Rates'!CS:CS),VLOOKUP(IG130,'Jan-2026 rates'!$E:$F,2,0)))</f>
        <v>0</v>
      </c>
      <c r="IR130" s="409"/>
      <c r="IS130" s="398">
        <f>IF(IR130=0,0,IF(LEN(IH130)=11,_xlfn.XLOOKUP(IH130,'Dispensed Ink Rates'!C:C,'Dispensed Ink Rates'!CS:CS),VLOOKUP(IH130,'Jan-2026 rates'!$E:$F,2,0)))</f>
        <v>0</v>
      </c>
      <c r="IT130" s="409"/>
      <c r="IU130" s="398">
        <f>IF(IT130=0,0,IF(LEN(II130)=11,_xlfn.XLOOKUP(II130,'Dispensed Ink Rates'!C:C,'Dispensed Ink Rates'!CS:CS),VLOOKUP(II130,'Jan-2026 rates'!$E:$F,2,0)))</f>
        <v>0</v>
      </c>
      <c r="IV130" s="409"/>
      <c r="IW130" s="398">
        <f>IF(IV130=0,0,IF(LEN(IJ130)=11,_xlfn.XLOOKUP(IJ130,'Dispensed Ink Rates'!C:C,'Dispensed Ink Rates'!CS:CS),VLOOKUP(IJ130,'Jan-2026 rates'!$E:$F,2,0)))</f>
        <v>0</v>
      </c>
      <c r="IX130" s="409"/>
      <c r="IY130" s="398">
        <f>IF(IX130=0,0,IF(LEN(IK130)=11,_xlfn.XLOOKUP(IK130,'Dispensed Ink Rates'!C:C,'Dispensed Ink Rates'!CS:CS),VLOOKUP(IK130,'Jan-2026 rates'!$E:$F,2,0)))</f>
        <v>0</v>
      </c>
      <c r="IZ130" s="409"/>
      <c r="JA130" s="398">
        <f>IF(IZ130=0,0,IF(LEN(IL130)=11,_xlfn.XLOOKUP(IL130,'Dispensed Ink Rates'!C:C,'Dispensed Ink Rates'!CS:CS),VLOOKUP(IL130,'Jan-2026 rates'!$E:$F,2,0)))</f>
        <v>0</v>
      </c>
      <c r="JB130" s="409"/>
      <c r="JC130" s="398">
        <f>IF(JB130=0,0,IF(LEN(IM130)=11,_xlfn.XLOOKUP(IM130,'Dispensed Ink Rates'!C:C,'Dispensed Ink Rates'!CS:CS),VLOOKUP(IM130,'Jan-2026 rates'!$E:$F,2,0)))</f>
        <v>0</v>
      </c>
      <c r="JD130" s="409" t="s">
        <v>1443</v>
      </c>
      <c r="JE130" s="409">
        <v>33</v>
      </c>
      <c r="JF130" s="411">
        <f t="shared" si="100"/>
        <v>0</v>
      </c>
      <c r="JG130" s="411">
        <f t="shared" si="101"/>
        <v>2.3571428571428612</v>
      </c>
      <c r="JH130" s="410">
        <f t="shared" si="102"/>
        <v>0</v>
      </c>
      <c r="JI130" s="405" t="s">
        <v>856</v>
      </c>
      <c r="JJ130" s="409" t="s">
        <v>3361</v>
      </c>
      <c r="JK130" s="420" t="str">
        <f t="shared" si="60"/>
        <v>FLINTSL - WHITE</v>
      </c>
      <c r="JL130" s="409">
        <v>30</v>
      </c>
      <c r="JM130" s="411">
        <f>IF(JL130=0,0,IF($LB130=70%,VLOOKUP($JK130,'Jan-2026 rates'!$L:$R,4,0),IF($LB130=65%,VLOOKUP($JK130,'Jan-2026 rates'!$L:$R,4,0),IF($LB130=40%,VLOOKUP($JK130,'Jan-2026 rates'!$L:$R,5,0),IF($LB130=30%,VLOOKUP($JK130,'Jan-2026 rates'!$L:$R,6,0),IF($LB130=100%,VLOOKUP($JK130,'Jan-2026 rates'!$L:$R,7,0),IF($LB130=60%,VLOOKUP($JK130,'Jan-2026 rates'!$L:$S,8,0),IF($LB130=80%,VLOOKUP($JK130,'Jan-2026 rates'!L:T,9,0),0))))))))</f>
        <v>0</v>
      </c>
      <c r="JN130" s="412"/>
      <c r="JO130" s="409"/>
      <c r="JP130" s="411">
        <f>IF(JO130=0,0,IF($LB130=70%,VLOOKUP($JK130,'Jan-2026 rates'!$L:$R,4,0),IF($LB130=65%,VLOOKUP($JK130,'Jan-2026 rates'!$L:$R,4,0),IF($LB130=40%,VLOOKUP($JK130,'Jan-2026 rates'!$L:$R,5,0),IF($LB130=30%,VLOOKUP($JK130,'Jan-2026 rates'!$L:$R,6,0),IF($LB130=100%,VLOOKUP($JK130,'Jan-2026 rates'!$L:$R,7,0),IF($LB130=60%,VLOOKUP($JK130,'Jan-2026 rates'!$L:$S,8,0),IF($LB130=80%,VLOOKUP($JK130,'Jan-2026 rates'!L:T,9,0),0))))))))</f>
        <v>0</v>
      </c>
      <c r="JQ130" s="413"/>
      <c r="JR130" s="412"/>
      <c r="JS130" s="413"/>
      <c r="JT130" s="413"/>
      <c r="JU130" s="412"/>
      <c r="JV130" s="412"/>
      <c r="JW130" s="412"/>
      <c r="JX130" s="412"/>
      <c r="JY130" s="409"/>
      <c r="JZ130" s="398">
        <f>IF(JY130=0,0,IF(LEN(JQ130)=11,_xlfn.XLOOKUP(JQ130,'Dispensed Ink Rates'!C:C,'Dispensed Ink Rates'!CS:CS),VLOOKUP(JQ130,'Jan-2026 rates'!$E:$F,2,0)))</f>
        <v>0</v>
      </c>
      <c r="KA130" s="409"/>
      <c r="KB130" s="398">
        <f>IF(KA130=0,0,IF(LEN(JR130)=11,_xlfn.XLOOKUP(JR130,'Dispensed Ink Rates'!C:C,'Dispensed Ink Rates'!CS:CS),VLOOKUP(JR130,'Jan-2026 rates'!$E:$F,2,0)))</f>
        <v>0</v>
      </c>
      <c r="KC130" s="409"/>
      <c r="KD130" s="398">
        <f>IF(KC130=0,0,IF(LEN(JS130)=11,_xlfn.XLOOKUP(JS130,'Dispensed Ink Rates'!C:C,'Dispensed Ink Rates'!CS:CS),VLOOKUP(JS130,'Jan-2026 rates'!$E:$F,2,0)))</f>
        <v>0</v>
      </c>
      <c r="KE130" s="409"/>
      <c r="KF130" s="398">
        <f>IF(KE130=0,0,IF(LEN(JT130)=11,_xlfn.XLOOKUP(JT130,'Dispensed Ink Rates'!C:C,'Dispensed Ink Rates'!CS:CS),VLOOKUP(JT130,'Jan-2026 rates'!$E:$F,2,0)))</f>
        <v>0</v>
      </c>
      <c r="KG130" s="409"/>
      <c r="KH130" s="398">
        <f>IF(KG130=0,0,IF(LEN(JU130)=11,_xlfn.XLOOKUP(JU130,'Dispensed Ink Rates'!C:C,'Dispensed Ink Rates'!CS:CS),VLOOKUP(JU130,'Jan-2026 rates'!$E:$F,2,0)))</f>
        <v>0</v>
      </c>
      <c r="KI130" s="409"/>
      <c r="KJ130" s="398">
        <f>IF(KI130=0,0,IF(LEN(JV130)=11,_xlfn.XLOOKUP(JV130,'Dispensed Ink Rates'!C:C,'Dispensed Ink Rates'!CS:CS),VLOOKUP(JV130,'Jan-2026 rates'!$E:$F,2,0)))</f>
        <v>0</v>
      </c>
      <c r="KK130" s="409"/>
      <c r="KL130" s="398">
        <f>IF(KK130=0,0,IF(LEN(JW130)=11,_xlfn.XLOOKUP(JW130,'Dispensed Ink Rates'!C:C,'Dispensed Ink Rates'!CS:CS),VLOOKUP(JW130,'Jan-2026 rates'!$E:$F,2,0)))</f>
        <v>0</v>
      </c>
      <c r="KM130" s="428"/>
      <c r="KN130" s="398">
        <f>IF(KM130=0,0,IF(LEN(JX130)=11,_xlfn.XLOOKUP(JX130,'Dispensed Ink Rates'!C:C,'Dispensed Ink Rates'!CS:CS),VLOOKUP(JX130,'Jan-2026 rates'!$E:$F,2,0)))</f>
        <v>0</v>
      </c>
      <c r="KO130" s="409" t="s">
        <v>1443</v>
      </c>
      <c r="KP130" s="409">
        <v>25</v>
      </c>
      <c r="KQ130" s="411">
        <f t="shared" si="103"/>
        <v>0</v>
      </c>
      <c r="KR130" s="411">
        <f t="shared" si="104"/>
        <v>7.1428571428571459</v>
      </c>
      <c r="KS130" s="410">
        <f t="shared" si="105"/>
        <v>0</v>
      </c>
      <c r="KT130" s="409">
        <v>5</v>
      </c>
      <c r="KU130" s="409">
        <v>5</v>
      </c>
      <c r="KV130" s="409">
        <v>4</v>
      </c>
      <c r="KW130" s="409">
        <v>4</v>
      </c>
      <c r="KX130" s="409">
        <v>1</v>
      </c>
      <c r="KY130" s="409">
        <v>2</v>
      </c>
      <c r="KZ130" s="409">
        <v>5</v>
      </c>
      <c r="LA130" s="409">
        <v>2</v>
      </c>
      <c r="LB130" s="415">
        <v>0.8</v>
      </c>
      <c r="LC130" s="415">
        <v>0.2</v>
      </c>
      <c r="LD130" s="415"/>
      <c r="LE130" s="415"/>
      <c r="LF130" s="415"/>
      <c r="LG130" s="409">
        <v>0</v>
      </c>
      <c r="LH130" s="409">
        <f>10+10+8+2</f>
        <v>30</v>
      </c>
      <c r="LI130" s="409">
        <v>0</v>
      </c>
      <c r="LJ130" s="409">
        <v>0</v>
      </c>
      <c r="LK130" s="416">
        <f t="shared" si="61"/>
        <v>30</v>
      </c>
      <c r="LL130" s="416">
        <f t="shared" si="62"/>
        <v>30</v>
      </c>
      <c r="LM130" s="417">
        <f t="shared" si="63"/>
        <v>24</v>
      </c>
      <c r="LN130" s="417">
        <f>VLOOKUP($LM$8,'Jan-2026 rates'!$H:$I,2,0)</f>
        <v>0</v>
      </c>
      <c r="LO130" s="417">
        <f t="shared" si="64"/>
        <v>6</v>
      </c>
      <c r="LP130" s="417">
        <f>VLOOKUP($LO$8,'Jan-2026 rates'!$H:$I,2,0)</f>
        <v>0</v>
      </c>
      <c r="LQ130" s="417">
        <f t="shared" si="65"/>
        <v>0</v>
      </c>
      <c r="LR130" s="417">
        <f>VLOOKUP($LQ$8,'Jan-2026 rates'!$H:$I,2,0)</f>
        <v>0</v>
      </c>
      <c r="LS130" s="417">
        <f t="shared" si="66"/>
        <v>0</v>
      </c>
      <c r="LT130" s="417">
        <f>VLOOKUP($LS$8,'Jan-2026 rates'!$H:$I,2,0)</f>
        <v>0</v>
      </c>
      <c r="LU130" s="417">
        <f t="shared" si="67"/>
        <v>0</v>
      </c>
      <c r="LV130" s="417">
        <f>VLOOKUP($LU$8,'Jan-2026 rates'!$H:$I,2,0)</f>
        <v>0</v>
      </c>
      <c r="LW130" s="417">
        <f t="shared" si="68"/>
        <v>0</v>
      </c>
      <c r="LX130" s="417">
        <f t="shared" si="69"/>
        <v>0</v>
      </c>
      <c r="LY130" s="418">
        <f t="shared" si="70"/>
        <v>0</v>
      </c>
      <c r="LZ130" s="417"/>
      <c r="MA130" s="435">
        <f t="shared" si="71"/>
        <v>101.5</v>
      </c>
      <c r="MB130" s="282">
        <f t="shared" si="72"/>
        <v>33.500000000000014</v>
      </c>
      <c r="MC130" s="283">
        <v>85</v>
      </c>
      <c r="MD130" s="284" t="str">
        <f t="shared" si="73"/>
        <v>FLINTSLFLINTSLFLINTSLFLINTSLFLINTSLFLINTSLFLINTSLFLINTSL</v>
      </c>
      <c r="ME130" s="293" t="str">
        <f t="shared" si="74"/>
        <v>+</v>
      </c>
      <c r="MF130" s="293" t="str">
        <f t="shared" si="75"/>
        <v>+</v>
      </c>
      <c r="MG130" s="293" t="str">
        <f t="shared" si="76"/>
        <v>+</v>
      </c>
      <c r="MH130" s="293" t="str">
        <f t="shared" si="77"/>
        <v>+</v>
      </c>
      <c r="MI130" s="293" t="str">
        <f t="shared" si="78"/>
        <v>+</v>
      </c>
      <c r="MJ130" s="293" t="str">
        <f t="shared" si="79"/>
        <v>+</v>
      </c>
      <c r="MK130" s="293" t="str">
        <f t="shared" si="80"/>
        <v>+</v>
      </c>
      <c r="ML130" s="293" t="str">
        <f t="shared" si="81"/>
        <v>+</v>
      </c>
      <c r="MM130" s="3" t="b">
        <f t="array" ref="MM130">OR(ME130:ML130="-")</f>
        <v>0</v>
      </c>
      <c r="MN130" s="285"/>
      <c r="MO130" s="401"/>
      <c r="MP130" s="286"/>
      <c r="MQ130" s="286"/>
      <c r="MR130" s="402"/>
      <c r="MS130" s="400"/>
      <c r="NH130" s="422"/>
      <c r="NJ130" s="421"/>
    </row>
    <row r="131" spans="1:374" s="1" customFormat="1" ht="16.5">
      <c r="A131" s="403">
        <v>46034</v>
      </c>
      <c r="B131" s="404" t="s">
        <v>1015</v>
      </c>
      <c r="C131" s="405" t="s">
        <v>3362</v>
      </c>
      <c r="D131" s="406">
        <v>86</v>
      </c>
      <c r="E131" s="404">
        <v>863</v>
      </c>
      <c r="F131" s="407">
        <v>15900</v>
      </c>
      <c r="G131" s="407" t="s">
        <v>1019</v>
      </c>
      <c r="H131" s="408" t="s">
        <v>1017</v>
      </c>
      <c r="I131" s="409">
        <v>1.1000000000000001</v>
      </c>
      <c r="J131" s="405" t="s">
        <v>543</v>
      </c>
      <c r="K131" s="404" t="s">
        <v>3363</v>
      </c>
      <c r="L131" s="419" t="str">
        <f t="shared" si="54"/>
        <v>FLINTSL - BLACK</v>
      </c>
      <c r="M131" s="404">
        <v>32</v>
      </c>
      <c r="N131" s="410">
        <f>IF(M131=0,0,IF($LB131=70%,VLOOKUP($L131,'Jan-2026 rates'!$L:$R,4,0),IF($LB131=65%,VLOOKUP($L131,'Jan-2026 rates'!$L:$R,4,0),IF($LB131=40%,VLOOKUP($L131,'Jan-2026 rates'!$L:$R,5,0),IF($LB131=30%,VLOOKUP($L131,'Jan-2026 rates'!$L:$R,6,0),IF($LB131=100%,VLOOKUP($L131,'Jan-2026 rates'!$L:$R,7,0),IF($LB131=60%,VLOOKUP($L131,'Jan-2026 rates'!$L:$S,8,0),IF($LB131=80%,VLOOKUP($L131,'Jan-2026 rates'!L:T,9,0),0))))))))</f>
        <v>0</v>
      </c>
      <c r="O131" s="406"/>
      <c r="P131" s="404"/>
      <c r="Q131" s="410">
        <f>IF(P131=0,0,IF($LB131=70%,VLOOKUP($L131,'Jan-2026 rates'!$L:$R,4,0),IF($LB131=65%,VLOOKUP($L131,'Jan-2026 rates'!$L:$R,4,0),IF($LB131=40%,VLOOKUP($L131,'Jan-2026 rates'!$L:$R,5,0),IF($LB131=30%,VLOOKUP($L131,'Jan-2026 rates'!$L:$R,6,0),IF($LB131=100%,VLOOKUP($L131,'Jan-2026 rates'!$L:$R,7,0),IF($LB131=60%,VLOOKUP($L131,'Jan-2026 rates'!$L:$S,8,0),IF($LB131=80%,VLOOKUP($L131,'Jan-2026 rates'!L:T,9,0),0))))))))</f>
        <v>0</v>
      </c>
      <c r="R131" s="406"/>
      <c r="S131" s="406"/>
      <c r="T131" s="406"/>
      <c r="U131" s="406"/>
      <c r="V131" s="406"/>
      <c r="W131" s="406"/>
      <c r="X131" s="406"/>
      <c r="Y131" s="406"/>
      <c r="Z131" s="404"/>
      <c r="AA131" s="398">
        <f>IF(Z131=0,0,IF(LEN(R131)=11,_xlfn.XLOOKUP(R131,'Dispensed Ink Rates'!C:C,'Dispensed Ink Rates'!CS:CS),VLOOKUP(R131,'Jan-2026 rates'!$E:$F,2,0)))</f>
        <v>0</v>
      </c>
      <c r="AB131" s="404"/>
      <c r="AC131" s="398">
        <f>IF(AB131=0,0,IF(LEN(S131)=11,_xlfn.XLOOKUP(S131,'Dispensed Ink Rates'!C:C,'Dispensed Ink Rates'!CS:CS),VLOOKUP(S131,'Jan-2026 rates'!$E:$F,2,0)))</f>
        <v>0</v>
      </c>
      <c r="AD131" s="404"/>
      <c r="AE131" s="398">
        <f>IF(AD131=0,0,IF(LEN(T131)=11,_xlfn.XLOOKUP(T131,'Dispensed Ink Rates'!C:C,'Dispensed Ink Rates'!CS:CS),VLOOKUP(T131,'Jan-2026 rates'!$E:$F,2,0)))</f>
        <v>0</v>
      </c>
      <c r="AF131" s="404"/>
      <c r="AG131" s="398">
        <f>IF(AF131=0,0,IF(LEN(U131)=11,_xlfn.XLOOKUP(U131,'Dispensed Ink Rates'!C:C,'Dispensed Ink Rates'!CS:CS),VLOOKUP(U131,'Jan-2026 rates'!$E:$F,2,0)))</f>
        <v>0</v>
      </c>
      <c r="AH131" s="404"/>
      <c r="AI131" s="398">
        <f>IF(AH131=0,0,IF(LEN(V131)=11,_xlfn.XLOOKUP(V131,'Dispensed Ink Rates'!C:C,'Dispensed Ink Rates'!CS:CS),VLOOKUP(V131,'Jan-2026 rates'!$E:$F,2,0)))</f>
        <v>0</v>
      </c>
      <c r="AJ131" s="404"/>
      <c r="AK131" s="398">
        <f>IF(AJ131=0,0,IF(LEN(W131)=11,_xlfn.XLOOKUP(W131,'Dispensed Ink Rates'!C:C,'Dispensed Ink Rates'!CS:CS),VLOOKUP(W131,'Jan-2026 rates'!$E:$F,2,0)))</f>
        <v>0</v>
      </c>
      <c r="AL131" s="404"/>
      <c r="AM131" s="398">
        <f>IF(AL131=0,0,IF(LEN(X131)=11,_xlfn.XLOOKUP(X131,'Dispensed Ink Rates'!C:C,'Dispensed Ink Rates'!CS:CS),VLOOKUP(X131,'Jan-2026 rates'!$E:$F,2,0)))</f>
        <v>0</v>
      </c>
      <c r="AN131" s="404"/>
      <c r="AO131" s="398">
        <f>IF(AN131=0,0,IF(LEN(Y131)=11,_xlfn.XLOOKUP(Y131,'Dispensed Ink Rates'!C:C,'Dispensed Ink Rates'!CS:CS),VLOOKUP(Y131,'Jan-2026 rates'!$E:$F,2,0)))</f>
        <v>0</v>
      </c>
      <c r="AP131" s="409" t="s">
        <v>1443</v>
      </c>
      <c r="AQ131" s="409">
        <v>30</v>
      </c>
      <c r="AR131" s="410">
        <f t="shared" si="82"/>
        <v>0</v>
      </c>
      <c r="AS131" s="411">
        <f t="shared" si="83"/>
        <v>7.7333333333333343</v>
      </c>
      <c r="AT131" s="410">
        <f t="shared" si="84"/>
        <v>0</v>
      </c>
      <c r="AU131" s="405" t="s">
        <v>546</v>
      </c>
      <c r="AV131" s="409" t="s">
        <v>3363</v>
      </c>
      <c r="AW131" s="420" t="str">
        <f t="shared" si="53"/>
        <v>FLINTSL - REFLEX BLUE</v>
      </c>
      <c r="AX131" s="409">
        <v>31</v>
      </c>
      <c r="AY131" s="411">
        <f>IF(AX131=0,0,IF($LB131=70%,VLOOKUP($AW131,'Jan-2026 rates'!$L:$R,4,0),IF($LB131=65%,VLOOKUP($AW131,'Jan-2026 rates'!$L:$R,4,0),IF($LB131=40%,VLOOKUP($AW131,'Jan-2026 rates'!$L:$R,5,0),IF($LB131=30%,VLOOKUP($AW131,'Jan-2026 rates'!$L:$R,6,0),IF($LB131=100%,VLOOKUP($AW131,'Jan-2026 rates'!$L:$R,7,0),IF($LB131=60%,VLOOKUP($AW131,'Jan-2026 rates'!$L:$S,8,0),IF($LB131=80%,VLOOKUP($AW131,'Jan-2026 rates'!L:T,9,0),0))))))))</f>
        <v>0</v>
      </c>
      <c r="AZ131" s="412"/>
      <c r="BA131" s="409"/>
      <c r="BB131" s="411">
        <f>IF(BA131=0,0,IF($LB131=70%,VLOOKUP($AW131,'Jan-2026 rates'!$L:$R,4,0),IF($LB131=65%,VLOOKUP($AW131,'Jan-2026 rates'!$L:$R,4,0),IF($LB131=40%,VLOOKUP($AW131,'Jan-2026 rates'!$L:$R,5,0),IF($LB131=30%,VLOOKUP($AW131,'Jan-2026 rates'!$L:$R,6,0),IF($LB131=100%,VLOOKUP($AW131,'Jan-2026 rates'!$L:$R,7,0),IF($LB131=60%,VLOOKUP($AW131,'Jan-2026 rates'!$L:$S,8,0),IF($LB131=80%,VLOOKUP($AW131,'Jan-2026 rates'!L:T,9,0),0))))))))</f>
        <v>0</v>
      </c>
      <c r="BC131" s="413">
        <v>26513000011</v>
      </c>
      <c r="BD131" s="412"/>
      <c r="BE131" s="412"/>
      <c r="BF131" s="413"/>
      <c r="BG131" s="412"/>
      <c r="BH131" s="412"/>
      <c r="BI131" s="412"/>
      <c r="BJ131" s="412"/>
      <c r="BK131" s="409">
        <v>4</v>
      </c>
      <c r="BL131" s="398" t="e">
        <f>IF(BK131=0,0,IF(LEN(BC131)=11,_xlfn.XLOOKUP(BC131,'Dispensed Ink Rates'!C:C,'Dispensed Ink Rates'!CS:CS),VLOOKUP(BC131,'Jan-2026 rates'!$E:$F,2,0)))</f>
        <v>#N/A</v>
      </c>
      <c r="BM131" s="409"/>
      <c r="BN131" s="398">
        <f>IF(BM131=0,0,IF(LEN(BD131)=11,_xlfn.XLOOKUP(BD131,'Dispensed Ink Rates'!C:C,'Dispensed Ink Rates'!CS:CS),VLOOKUP(BD131,'Jan-2026 rates'!$E:$F,2,0)))</f>
        <v>0</v>
      </c>
      <c r="BO131" s="409"/>
      <c r="BP131" s="398">
        <f>IF(BO131=0,0,IF(LEN(BE131)=11,_xlfn.XLOOKUP(BE131,'Dispensed Ink Rates'!C:C,'Dispensed Ink Rates'!CS:CS),VLOOKUP(BE131,'Jan-2026 rates'!$E:$F,2,0)))</f>
        <v>0</v>
      </c>
      <c r="BQ131" s="409"/>
      <c r="BR131" s="398">
        <f>IF(BQ131=0,0,IF(LEN(BF131)=11,_xlfn.XLOOKUP(BF131,'Dispensed Ink Rates'!C:C,'Dispensed Ink Rates'!CS:CS),VLOOKUP(BF131,'Jan-2026 rates'!$E:$F,2,0)))</f>
        <v>0</v>
      </c>
      <c r="BS131" s="409"/>
      <c r="BT131" s="398">
        <f>IF(BS131=0,0,IF(LEN(BG131)=11,_xlfn.XLOOKUP(BG131,'Dispensed Ink Rates'!C:C,'Dispensed Ink Rates'!CS:CS),VLOOKUP(BG131,'Jan-2026 rates'!$E:$F,2,0)))</f>
        <v>0</v>
      </c>
      <c r="BU131" s="409"/>
      <c r="BV131" s="398">
        <f>IF(BU131=0,0,IF(LEN(BH131)=11,_xlfn.XLOOKUP(BH131,'Dispensed Ink Rates'!C:C,'Dispensed Ink Rates'!CS:CS),VLOOKUP(BH131,'Jan-2026 rates'!$E:$F,2,0)))</f>
        <v>0</v>
      </c>
      <c r="BW131" s="409"/>
      <c r="BX131" s="398">
        <f>IF(BW131=0,0,IF(LEN(BI131)=11,_xlfn.XLOOKUP(BI131,'Dispensed Ink Rates'!C:C,'Dispensed Ink Rates'!CS:CS),VLOOKUP(BI131,'Jan-2026 rates'!$E:$F,2,0)))</f>
        <v>0</v>
      </c>
      <c r="BY131" s="409"/>
      <c r="BZ131" s="398">
        <f>IF(BY131=0,0,IF(LEN(BJ131)=11,_xlfn.XLOOKUP(BJ131,'Dispensed Ink Rates'!C:C,'Dispensed Ink Rates'!CS:CS),VLOOKUP(BJ131,'Jan-2026 rates'!$E:$F,2,0)))</f>
        <v>0</v>
      </c>
      <c r="CA131" s="409" t="s">
        <v>1443</v>
      </c>
      <c r="CB131" s="409">
        <v>25</v>
      </c>
      <c r="CC131" s="411">
        <f t="shared" si="85"/>
        <v>0</v>
      </c>
      <c r="CD131" s="411">
        <f t="shared" si="86"/>
        <v>15.733333333333334</v>
      </c>
      <c r="CE131" s="410">
        <f t="shared" si="87"/>
        <v>0</v>
      </c>
      <c r="CF131" s="404" t="s">
        <v>545</v>
      </c>
      <c r="CG131" s="409" t="s">
        <v>3364</v>
      </c>
      <c r="CH131" s="420" t="str">
        <f t="shared" si="55"/>
        <v>FLINTSL - YELLOW</v>
      </c>
      <c r="CI131" s="409">
        <v>27</v>
      </c>
      <c r="CJ131" s="411">
        <f>IF(CI131=0,0,IF($LB131=70%,VLOOKUP($CH131,'Jan-2026 rates'!$L:$R,4,0),IF($LB131=65%,VLOOKUP($CH131,'Jan-2026 rates'!$L:$R,4,0),IF($LB131=40%,VLOOKUP($CH131,'Jan-2026 rates'!$L:$R,5,0),IF($LB131=30%,VLOOKUP($CH131,'Jan-2026 rates'!$L:$R,6,0),IF($LB131=100%,VLOOKUP($CH131,'Jan-2026 rates'!$L:$R,7,0),IF($LB131=60%,VLOOKUP($CH131,'Jan-2026 rates'!$L:$S,8,0),IF($LB131=80%,VLOOKUP($CH131,'Jan-2026 rates'!L:T,9,0),0))))))))</f>
        <v>0</v>
      </c>
      <c r="CK131" s="412"/>
      <c r="CL131" s="409"/>
      <c r="CM131" s="411">
        <f>IF(CL131=0,0,IF($LB131=70%,VLOOKUP($CH131,'Jan-2026 rates'!$L:$R,4,0),IF($LB131=65%,VLOOKUP($CH131,'Jan-2026 rates'!$L:$R,4,0),IF($LB131=40%,VLOOKUP($CH131,'Jan-2026 rates'!$L:$R,5,0),IF($LB131=30%,VLOOKUP($CH131,'Jan-2026 rates'!$L:$R,6,0),IF($LB131=100%,VLOOKUP($CH131,'Jan-2026 rates'!$L:$R,7,0),IF($LB131=60%,VLOOKUP($CH131,'Jan-2026 rates'!$L:$S,8,0),IF($LB131=80%,VLOOKUP($CH131,'Jan-2026 rates'!L:T,9,0),0))))))))</f>
        <v>0</v>
      </c>
      <c r="CN131" s="426">
        <v>26514000010</v>
      </c>
      <c r="CO131" s="427"/>
      <c r="CP131" s="426"/>
      <c r="CQ131" s="426"/>
      <c r="CR131" s="428"/>
      <c r="CS131" s="428"/>
      <c r="CT131" s="428"/>
      <c r="CU131" s="428"/>
      <c r="CV131" s="409">
        <v>2</v>
      </c>
      <c r="CW131" s="398" t="e">
        <f>IF(CV131=0,0,IF(LEN(CN131)=11,_xlfn.XLOOKUP(CN131,'Dispensed Ink Rates'!C:C,'Dispensed Ink Rates'!CS:CS),VLOOKUP(CN131,'Jan-2026 rates'!$E:$F,2,0)))</f>
        <v>#N/A</v>
      </c>
      <c r="CX131" s="409"/>
      <c r="CY131" s="398">
        <f>IF(CX131=0,0,IF(LEN(CO131)=11,_xlfn.XLOOKUP(CO131,'Dispensed Ink Rates'!C:C,'Dispensed Ink Rates'!CS:CS),VLOOKUP(CO131,'Jan-2026 rates'!$E:$F,2,0)))</f>
        <v>0</v>
      </c>
      <c r="CZ131" s="409"/>
      <c r="DA131" s="398">
        <f>IF(CZ131=0,0,IF(LEN(CP131)=11,_xlfn.XLOOKUP(CP131,'Dispensed Ink Rates'!C:C,'Dispensed Ink Rates'!CS:CS),VLOOKUP(CP131,'Jan-2026 rates'!$E:$F,2,0)))</f>
        <v>0</v>
      </c>
      <c r="DB131" s="409"/>
      <c r="DC131" s="398">
        <f>IF(DB131=0,0,IF(LEN(CQ131)=11,_xlfn.XLOOKUP(CQ131,'Dispensed Ink Rates'!C:C,'Dispensed Ink Rates'!CS:CS),VLOOKUP(CQ131,'Jan-2026 rates'!$E:$F,2,0)))</f>
        <v>0</v>
      </c>
      <c r="DD131" s="409"/>
      <c r="DE131" s="398">
        <f>IF(DD131=0,0,IF(LEN(CR131)=11,_xlfn.XLOOKUP(CR131,'Dispensed Ink Rates'!C:C,'Dispensed Ink Rates'!CS:CS),VLOOKUP(CR131,'Jan-2026 rates'!$E:$F,2,0)))</f>
        <v>0</v>
      </c>
      <c r="DF131" s="409"/>
      <c r="DG131" s="398">
        <f>IF(DF131=0,0,IF(LEN(CS131)=11,_xlfn.XLOOKUP(CS131,'Dispensed Ink Rates'!C:C,'Dispensed Ink Rates'!CS:CS),VLOOKUP(CS131,'Jan-2026 rates'!$E:$F,2,0)))</f>
        <v>0</v>
      </c>
      <c r="DH131" s="409"/>
      <c r="DI131" s="398">
        <f>IF(DH131=0,0,IF(LEN(CT131)=11,_xlfn.XLOOKUP(CT131,'Dispensed Ink Rates'!C:C,'Dispensed Ink Rates'!CS:CS),VLOOKUP(CT131,'Jan-2026 rates'!$E:$F,2,0)))</f>
        <v>0</v>
      </c>
      <c r="DJ131" s="409"/>
      <c r="DK131" s="398">
        <f>IF(DJ131=0,0,IF(LEN(CU131)=11,_xlfn.XLOOKUP(CU131,'Dispensed Ink Rates'!C:C,'Dispensed Ink Rates'!CS:CS),VLOOKUP(CU131,'Jan-2026 rates'!$E:$F,2,0)))</f>
        <v>0</v>
      </c>
      <c r="DL131" s="409" t="s">
        <v>1443</v>
      </c>
      <c r="DM131" s="409">
        <v>22</v>
      </c>
      <c r="DN131" s="411">
        <f t="shared" si="88"/>
        <v>0</v>
      </c>
      <c r="DO131" s="411">
        <f t="shared" si="89"/>
        <v>12.733333333333334</v>
      </c>
      <c r="DP131" s="410">
        <f t="shared" si="90"/>
        <v>0</v>
      </c>
      <c r="DQ131" s="405" t="s">
        <v>546</v>
      </c>
      <c r="DR131" s="409" t="s">
        <v>3198</v>
      </c>
      <c r="DS131" s="420" t="str">
        <f t="shared" si="56"/>
        <v>FLINTSL - REFLEX BLUE</v>
      </c>
      <c r="DT131" s="409">
        <v>20</v>
      </c>
      <c r="DU131" s="411">
        <f>IF(DT131=0,0,IF($LB131=70%,VLOOKUP($DS131,'Jan-2026 rates'!$L:$R,4,0),IF($LB131=65%,VLOOKUP($DS131,'Jan-2026 rates'!$L:$R,4,0),IF($LB131=40%,VLOOKUP($DS131,'Jan-2026 rates'!$L:$R,5,0),IF($LB131=30%,VLOOKUP($DS131,'Jan-2026 rates'!$L:$R,6,0),IF($LB131=100%,VLOOKUP($DS131,'Jan-2026 rates'!$L:$R,7,0),IF($LB131=60%,VLOOKUP($DS131,'Jan-2026 rates'!$L:$S,8,0),IF($LB131=80%,VLOOKUP($DS131,'Jan-2026 rates'!L:T,9,0),0))))))))</f>
        <v>0</v>
      </c>
      <c r="DV131" s="412" t="s">
        <v>3336</v>
      </c>
      <c r="DW131" s="409">
        <v>24</v>
      </c>
      <c r="DX131" s="411">
        <f>IF(DW131=0,0,IF($LB131=70%,VLOOKUP($DS131,'Jan-2026 rates'!$L:$R,4,0),IF($LB131=65%,VLOOKUP($DS131,'Jan-2026 rates'!$L:$R,4,0),IF($LB131=40%,VLOOKUP($DS131,'Jan-2026 rates'!$L:$R,5,0),IF($LB131=30%,VLOOKUP($DS131,'Jan-2026 rates'!$L:$R,6,0),IF($LB131=100%,VLOOKUP($DS131,'Jan-2026 rates'!$L:$R,7,0),IF($LB131=60%,VLOOKUP($DS131,'Jan-2026 rates'!$L:$S,8,0),IF($LB131=80%,VLOOKUP($DS131,'Jan-2026 rates'!L:T,9,0),0))))))))</f>
        <v>0</v>
      </c>
      <c r="DY131" s="413">
        <v>26513000011</v>
      </c>
      <c r="DZ131" s="413"/>
      <c r="EA131" s="412"/>
      <c r="EB131" s="412"/>
      <c r="EC131" s="412"/>
      <c r="ED131" s="412"/>
      <c r="EE131" s="412"/>
      <c r="EF131" s="412"/>
      <c r="EG131" s="409">
        <v>8</v>
      </c>
      <c r="EH131" s="398" t="e">
        <f>IF(EG131=0,0,IF(LEN(DY131)=11,_xlfn.XLOOKUP(DY131,'Dispensed Ink Rates'!C:C,'Dispensed Ink Rates'!CS:CS),VLOOKUP(DY131,'Jan-2026 rates'!$E:$F,2,0)))</f>
        <v>#N/A</v>
      </c>
      <c r="EI131" s="409"/>
      <c r="EJ131" s="398">
        <f>IF(EI131=0,0,IF(LEN(DZ131)=11,_xlfn.XLOOKUP(DZ131,'Dispensed Ink Rates'!C:C,'Dispensed Ink Rates'!CS:CS),VLOOKUP(DZ131,'Jan-2026 rates'!$E:$F,2,0)))</f>
        <v>0</v>
      </c>
      <c r="EK131" s="409"/>
      <c r="EL131" s="398">
        <f>IF(EK131=0,0,IF(LEN(EA131)=11,_xlfn.XLOOKUP(EA131,'Dispensed Ink Rates'!C:C,'Dispensed Ink Rates'!CS:CS),VLOOKUP(EA131,'Jan-2026 rates'!$E:$F,2,0)))</f>
        <v>0</v>
      </c>
      <c r="EM131" s="409"/>
      <c r="EN131" s="398">
        <f>IF(EM131=0,0,IF(LEN(EB131)=11,_xlfn.XLOOKUP(EB131,'Dispensed Ink Rates'!C:C,'Dispensed Ink Rates'!CS:CS),VLOOKUP(EB131,'Jan-2026 rates'!$E:$F,2,0)))</f>
        <v>0</v>
      </c>
      <c r="EO131" s="409"/>
      <c r="EP131" s="398">
        <f>IF(EO131=0,0,IF(LEN(EC131)=11,_xlfn.XLOOKUP(EC131,'Dispensed Ink Rates'!C:C,'Dispensed Ink Rates'!CS:CS),VLOOKUP(EC131,'Jan-2026 rates'!$E:$F,2,0)))</f>
        <v>0</v>
      </c>
      <c r="EQ131" s="409"/>
      <c r="ER131" s="398">
        <f>IF(EQ131=0,0,IF(LEN(ED131)=11,_xlfn.XLOOKUP(ED131,'Dispensed Ink Rates'!C:C,'Dispensed Ink Rates'!CS:CS),VLOOKUP(ED131,'Jan-2026 rates'!$E:$F,2,0)))</f>
        <v>0</v>
      </c>
      <c r="ES131" s="409"/>
      <c r="ET131" s="398">
        <f>IF(ES131=0,0,IF(LEN(EE131)=11,_xlfn.XLOOKUP(EE131,'Dispensed Ink Rates'!C:C,'Dispensed Ink Rates'!CS:CS),VLOOKUP(EE131,'Jan-2026 rates'!$E:$F,2,0)))</f>
        <v>0</v>
      </c>
      <c r="EU131" s="409"/>
      <c r="EV131" s="398">
        <f>IF(EU131=0,0,IF(LEN(EF131)=11,_xlfn.XLOOKUP(EF131,'Dispensed Ink Rates'!C:C,'Dispensed Ink Rates'!CS:CS),VLOOKUP(EF131,'Jan-2026 rates'!$E:$F,2,0)))</f>
        <v>0</v>
      </c>
      <c r="EW131" s="409" t="s">
        <v>1443</v>
      </c>
      <c r="EX131" s="409">
        <v>25</v>
      </c>
      <c r="EY131" s="411">
        <f t="shared" si="91"/>
        <v>0</v>
      </c>
      <c r="EZ131" s="411">
        <f t="shared" si="92"/>
        <v>32.733333333333334</v>
      </c>
      <c r="FA131" s="410">
        <f t="shared" si="93"/>
        <v>0</v>
      </c>
      <c r="FB131" s="405" t="s">
        <v>855</v>
      </c>
      <c r="FC131" s="409" t="s">
        <v>3365</v>
      </c>
      <c r="FD131" s="420" t="str">
        <f t="shared" si="57"/>
        <v>FLINTSL - CYAN</v>
      </c>
      <c r="FE131" s="409">
        <v>32</v>
      </c>
      <c r="FF131" s="411">
        <f>IF(FE131=0,0,IF($LB131=70%,VLOOKUP($FD131,'Jan-2026 rates'!$L:$R,4,0),IF($LB131=65%,VLOOKUP($FD131,'Jan-2026 rates'!$L:$R,4,0),IF($LB131=40%,VLOOKUP($FD131,'Jan-2026 rates'!$L:$R,5,0),IF($LB131=30%,VLOOKUP($FD131,'Jan-2026 rates'!$L:$R,6,0),IF($LB131=100%,VLOOKUP($FD131,'Jan-2026 rates'!$L:$R,7,0),IF($LB131=60%,VLOOKUP($FD131,'Jan-2026 rates'!$L:$S,8,0),IF($LB131=80%,VLOOKUP($FD131,'Jan-2026 rates'!L:T,9,0),0))))))))</f>
        <v>0</v>
      </c>
      <c r="FG131" s="412"/>
      <c r="FH131" s="409"/>
      <c r="FI131" s="411">
        <f>IF(FH131=0,0,IF($LB131=70%,VLOOKUP($FD131,'Jan-2026 rates'!$L:$R,4,0),IF($LB131=65%,VLOOKUP($FD131,'Jan-2026 rates'!$L:$R,4,0),IF($LB131=40%,VLOOKUP($FD131,'Jan-2026 rates'!$L:$R,5,0),IF($LB131=30%,VLOOKUP($FD131,'Jan-2026 rates'!$L:$R,6,0),IF($LB131=100%,VLOOKUP($FD131,'Jan-2026 rates'!$L:$R,7,0),IF($LB131=60%,VLOOKUP($FD131,'Jan-2026 rates'!$L:$S,8,0),IF($LB131=80%,VLOOKUP($FD131,'Jan-2026 rates'!L:T,9,0),0))))))))</f>
        <v>0</v>
      </c>
      <c r="FJ131" s="413">
        <v>26510000009</v>
      </c>
      <c r="FK131" s="413"/>
      <c r="FL131" s="413"/>
      <c r="FM131" s="412"/>
      <c r="FN131" s="412"/>
      <c r="FO131" s="412"/>
      <c r="FP131" s="412"/>
      <c r="FQ131" s="412"/>
      <c r="FR131" s="409">
        <v>1</v>
      </c>
      <c r="FS131" s="398" t="e">
        <f>IF(FR131=0,0,IF(LEN(FJ131)=11,_xlfn.XLOOKUP(FJ131,'Dispensed Ink Rates'!C:C,'Dispensed Ink Rates'!CS:CS),VLOOKUP(FJ131,'Jan-2026 rates'!$E:$F,2,0)))</f>
        <v>#N/A</v>
      </c>
      <c r="FT131" s="409"/>
      <c r="FU131" s="398">
        <f>IF(FT131=0,0,IF(LEN(FK131)=11,_xlfn.XLOOKUP(FK131,'Dispensed Ink Rates'!C:C,'Dispensed Ink Rates'!CS:CS),VLOOKUP(FK131,'Jan-2026 rates'!$E:$F,2,0)))</f>
        <v>0</v>
      </c>
      <c r="FV131" s="409"/>
      <c r="FW131" s="398">
        <f>IF(FV131=0,0,IF(LEN(FL131)=11,_xlfn.XLOOKUP(FL131,'Dispensed Ink Rates'!C:C,'Dispensed Ink Rates'!CS:CS),VLOOKUP(FL131,'Jan-2026 rates'!$E:$F,2,0)))</f>
        <v>0</v>
      </c>
      <c r="FX131" s="409"/>
      <c r="FY131" s="398">
        <f>IF(FX131=0,0,IF(LEN(FM131)=11,_xlfn.XLOOKUP(FM131,'Dispensed Ink Rates'!C:C,'Dispensed Ink Rates'!CS:CS),VLOOKUP(FM131,'Jan-2026 rates'!$E:$F,2,0)))</f>
        <v>0</v>
      </c>
      <c r="FZ131" s="409"/>
      <c r="GA131" s="398">
        <f>IF(FZ131=0,0,IF(LEN(FN131)=11,_xlfn.XLOOKUP(FN131,'Dispensed Ink Rates'!C:C,'Dispensed Ink Rates'!CS:CS),VLOOKUP(FN131,'Jan-2026 rates'!$E:$F,2,0)))</f>
        <v>0</v>
      </c>
      <c r="GB131" s="409"/>
      <c r="GC131" s="398">
        <f>IF(GB131=0,0,IF(LEN(FO131)=11,_xlfn.XLOOKUP(FO131,'Dispensed Ink Rates'!C:C,'Dispensed Ink Rates'!CS:CS),VLOOKUP(FO131,'Jan-2026 rates'!$E:$F,2,0)))</f>
        <v>0</v>
      </c>
      <c r="GD131" s="409"/>
      <c r="GE131" s="398">
        <f>IF(GD131=0,0,IF(LEN(FP131)=11,_xlfn.XLOOKUP(FP131,'Dispensed Ink Rates'!C:C,'Dispensed Ink Rates'!CS:CS),VLOOKUP(FP131,'Jan-2026 rates'!$E:$F,2,0)))</f>
        <v>0</v>
      </c>
      <c r="GF131" s="409"/>
      <c r="GG131" s="398">
        <f>IF(GF131=0,0,IF(LEN(FQ131)=11,_xlfn.XLOOKUP(FQ131,'Dispensed Ink Rates'!C:C,'Dispensed Ink Rates'!CS:CS),VLOOKUP(FQ131,'Jan-2026 rates'!$E:$F,2,0)))</f>
        <v>0</v>
      </c>
      <c r="GH131" s="409" t="s">
        <v>1443</v>
      </c>
      <c r="GI131" s="409">
        <v>28</v>
      </c>
      <c r="GJ131" s="411">
        <f t="shared" si="94"/>
        <v>0</v>
      </c>
      <c r="GK131" s="411">
        <f t="shared" si="95"/>
        <v>10.733333333333334</v>
      </c>
      <c r="GL131" s="410">
        <f t="shared" si="96"/>
        <v>0</v>
      </c>
      <c r="GM131" s="405" t="s">
        <v>544</v>
      </c>
      <c r="GN131" s="409" t="s">
        <v>3366</v>
      </c>
      <c r="GO131" s="420" t="str">
        <f t="shared" si="58"/>
        <v>FLINTSL - MAGENTA</v>
      </c>
      <c r="GP131" s="409">
        <v>27</v>
      </c>
      <c r="GQ131" s="411">
        <f>IF(GP131=0,0,IF($LB131=70%,VLOOKUP($GO131,'Jan-2026 rates'!$L:$R,4,0),IF($LB131=65%,VLOOKUP($GO131,'Jan-2026 rates'!$L:$R,4,0),IF($LB131=40%,VLOOKUP($GO131,'Jan-2026 rates'!$L:$R,5,0),IF($LB131=30%,VLOOKUP($GO131,'Jan-2026 rates'!$L:$R,6,0),IF($LB131=100%,VLOOKUP($GO131,'Jan-2026 rates'!$L:$R,7,0),IF($LB131=60%,VLOOKUP($GO131,'Jan-2026 rates'!$L:$S,8,0),IF($LB131=80%,VLOOKUP($GO131,'Jan-2026 rates'!L:T,9,0),0))))))))</f>
        <v>0</v>
      </c>
      <c r="GR131" s="412"/>
      <c r="GS131" s="409"/>
      <c r="GT131" s="411">
        <f>IF(GS131=0,0,IF($LB131=70%,VLOOKUP($GO131,'Jan-2026 rates'!$L:$R,4,0),IF($LB131=65%,VLOOKUP($GO131,'Jan-2026 rates'!$L:$R,4,0),IF($LB131=40%,VLOOKUP($GO131,'Jan-2026 rates'!$L:$R,5,0),IF($LB131=30%,VLOOKUP($GO131,'Jan-2026 rates'!$L:$R,6,0),IF($LB131=100%,VLOOKUP($GO131,'Jan-2026 rates'!$L:$R,7,0),IF($LB131=60%,VLOOKUP($GO131,'Jan-2026 rates'!$L:$S,8,0),IF($LB131=80%,VLOOKUP($GO131,'Jan-2026 rates'!L:T,9,0),0))))))))</f>
        <v>0</v>
      </c>
      <c r="GU131" s="413">
        <v>26513000019</v>
      </c>
      <c r="GV131" s="413"/>
      <c r="GW131" s="412"/>
      <c r="GX131" s="412"/>
      <c r="GY131" s="412"/>
      <c r="GZ131" s="412"/>
      <c r="HA131" s="412"/>
      <c r="HB131" s="412"/>
      <c r="HC131" s="409">
        <v>5</v>
      </c>
      <c r="HD131" s="398" t="e">
        <f>IF(HC131=0,0,IF(LEN(GU131)=11,_xlfn.XLOOKUP(GU131,'Dispensed Ink Rates'!C:C,'Dispensed Ink Rates'!CS:CS),VLOOKUP(GU131,'Jan-2026 rates'!$E:$F,2,0)))</f>
        <v>#N/A</v>
      </c>
      <c r="HE131" s="409"/>
      <c r="HF131" s="398">
        <f>IF(HE131=0,0,IF(LEN(GV131)=11,_xlfn.XLOOKUP(GV131,'Dispensed Ink Rates'!C:C,'Dispensed Ink Rates'!CS:CS),VLOOKUP(GV131,'Jan-2026 rates'!$E:$F,2,0)))</f>
        <v>0</v>
      </c>
      <c r="HG131" s="409"/>
      <c r="HH131" s="398">
        <f>IF(HG131=0,0,IF(LEN(GW131)=11,_xlfn.XLOOKUP(GW131,'Dispensed Ink Rates'!C:C,'Dispensed Ink Rates'!CS:CS),VLOOKUP(GW131,'Jan-2026 rates'!$E:$F,2,0)))</f>
        <v>0</v>
      </c>
      <c r="HI131" s="409"/>
      <c r="HJ131" s="398">
        <f>IF(HI131=0,0,IF(LEN(GX131)=11,_xlfn.XLOOKUP(GX131,'Dispensed Ink Rates'!C:C,'Dispensed Ink Rates'!CS:CS),VLOOKUP(GX131,'Jan-2026 rates'!$E:$F,2,0)))</f>
        <v>0</v>
      </c>
      <c r="HK131" s="409"/>
      <c r="HL131" s="398">
        <f>IF(HK131=0,0,IF(LEN(GY131)=11,_xlfn.XLOOKUP(GY131,'Dispensed Ink Rates'!C:C,'Dispensed Ink Rates'!CS:CS),VLOOKUP(GY131,'Jan-2026 rates'!$E:$F,2,0)))</f>
        <v>0</v>
      </c>
      <c r="HM131" s="409"/>
      <c r="HN131" s="398">
        <f>IF(HM131=0,0,IF(LEN(GZ131)=11,_xlfn.XLOOKUP(GZ131,'Dispensed Ink Rates'!C:C,'Dispensed Ink Rates'!CS:CS),VLOOKUP(GZ131,'Jan-2026 rates'!$E:$F,2,0)))</f>
        <v>0</v>
      </c>
      <c r="HO131" s="409"/>
      <c r="HP131" s="398">
        <f>IF(HO131=0,0,IF(LEN(HA131)=11,_xlfn.XLOOKUP(HA131,'Dispensed Ink Rates'!C:C,'Dispensed Ink Rates'!CS:CS),VLOOKUP(HA131,'Jan-2026 rates'!$E:$F,2,0)))</f>
        <v>0</v>
      </c>
      <c r="HQ131" s="409"/>
      <c r="HR131" s="398">
        <f>IF(HQ131=0,0,IF(LEN(HB131)=11,_xlfn.XLOOKUP(HB131,'Dispensed Ink Rates'!C:C,'Dispensed Ink Rates'!CS:CS),VLOOKUP(HB131,'Jan-2026 rates'!$E:$F,2,0)))</f>
        <v>0</v>
      </c>
      <c r="HS131" s="409" t="s">
        <v>1443</v>
      </c>
      <c r="HT131" s="409">
        <v>27</v>
      </c>
      <c r="HU131" s="411">
        <f t="shared" si="97"/>
        <v>0</v>
      </c>
      <c r="HV131" s="411">
        <f t="shared" si="98"/>
        <v>10.733333333333334</v>
      </c>
      <c r="HW131" s="414">
        <f t="shared" si="99"/>
        <v>0</v>
      </c>
      <c r="HX131" s="405" t="s">
        <v>545</v>
      </c>
      <c r="HY131" s="409" t="s">
        <v>3364</v>
      </c>
      <c r="HZ131" s="420" t="str">
        <f t="shared" si="59"/>
        <v>FLINTSL - YELLOW</v>
      </c>
      <c r="IA131" s="409">
        <v>33</v>
      </c>
      <c r="IB131" s="411">
        <f>IF(IA131=0,0,IF($LB131=70%,VLOOKUP($HZ131,'Jan-2026 rates'!$L:$R,4,0),IF($LB131=65%,VLOOKUP($HZ131,'Jan-2026 rates'!$L:$R,4,0),IF($LB131=40%,VLOOKUP($HZ131,'Jan-2026 rates'!$L:$R,5,0),IF($LB131=30%,VLOOKUP($HZ131,'Jan-2026 rates'!$L:$R,6,0),IF($LB131=100%,VLOOKUP($HZ131,'Jan-2026 rates'!$L:$R,7,0),IF($LB131=60%,VLOOKUP($HZ131,'Jan-2026 rates'!$L:$S,8,0),IF($LB131=80%,VLOOKUP($HZ131,'Jan-2026 rates'!L:T,9,0),0))))))))</f>
        <v>0</v>
      </c>
      <c r="IC131" s="412"/>
      <c r="ID131" s="409"/>
      <c r="IE131" s="411">
        <f>IF(ID131=0,0,IF($LB131=70%,VLOOKUP($HZ131,'Jan-2026 rates'!$L:$R,4,0),IF($LB131=65%,VLOOKUP($HZ131,'Jan-2026 rates'!$L:$R,4,0),IF($LB131=40%,VLOOKUP($HZ131,'Jan-2026 rates'!$L:$R,5,0),IF($LB131=30%,VLOOKUP($HZ131,'Jan-2026 rates'!$L:$R,6,0),IF($LB131=100%,VLOOKUP($HZ131,'Jan-2026 rates'!$L:$R,7,0),IF($LB131=60%,VLOOKUP($HZ131,'Jan-2026 rates'!$L:$S,8,0),IF($LB131=80%,VLOOKUP($HZ131,'Jan-2026 rates'!L:T,9,0),0))))))))</f>
        <v>0</v>
      </c>
      <c r="IF131" s="412">
        <v>26513000018</v>
      </c>
      <c r="IG131" s="413"/>
      <c r="IH131" s="412"/>
      <c r="II131" s="412"/>
      <c r="IJ131" s="412"/>
      <c r="IK131" s="412"/>
      <c r="IL131" s="412"/>
      <c r="IM131" s="412"/>
      <c r="IN131" s="409">
        <v>5</v>
      </c>
      <c r="IO131" s="398" t="e">
        <f>IF(IN131=0,0,IF(LEN(IF131)=11,_xlfn.XLOOKUP(IF131,'Dispensed Ink Rates'!C:C,'Dispensed Ink Rates'!CS:CS),VLOOKUP(IF131,'Jan-2026 rates'!$E:$F,2,0)))</f>
        <v>#N/A</v>
      </c>
      <c r="IP131" s="409"/>
      <c r="IQ131" s="398">
        <f>IF(IP131=0,0,IF(LEN(IG131)=11,_xlfn.XLOOKUP(IG131,'Dispensed Ink Rates'!C:C,'Dispensed Ink Rates'!CS:CS),VLOOKUP(IG131,'Jan-2026 rates'!$E:$F,2,0)))</f>
        <v>0</v>
      </c>
      <c r="IR131" s="409"/>
      <c r="IS131" s="398">
        <f>IF(IR131=0,0,IF(LEN(IH131)=11,_xlfn.XLOOKUP(IH131,'Dispensed Ink Rates'!C:C,'Dispensed Ink Rates'!CS:CS),VLOOKUP(IH131,'Jan-2026 rates'!$E:$F,2,0)))</f>
        <v>0</v>
      </c>
      <c r="IT131" s="409"/>
      <c r="IU131" s="398">
        <f>IF(IT131=0,0,IF(LEN(II131)=11,_xlfn.XLOOKUP(II131,'Dispensed Ink Rates'!C:C,'Dispensed Ink Rates'!CS:CS),VLOOKUP(II131,'Jan-2026 rates'!$E:$F,2,0)))</f>
        <v>0</v>
      </c>
      <c r="IV131" s="409"/>
      <c r="IW131" s="398">
        <f>IF(IV131=0,0,IF(LEN(IJ131)=11,_xlfn.XLOOKUP(IJ131,'Dispensed Ink Rates'!C:C,'Dispensed Ink Rates'!CS:CS),VLOOKUP(IJ131,'Jan-2026 rates'!$E:$F,2,0)))</f>
        <v>0</v>
      </c>
      <c r="IX131" s="409"/>
      <c r="IY131" s="398">
        <f>IF(IX131=0,0,IF(LEN(IK131)=11,_xlfn.XLOOKUP(IK131,'Dispensed Ink Rates'!C:C,'Dispensed Ink Rates'!CS:CS),VLOOKUP(IK131,'Jan-2026 rates'!$E:$F,2,0)))</f>
        <v>0</v>
      </c>
      <c r="IZ131" s="409"/>
      <c r="JA131" s="398">
        <f>IF(IZ131=0,0,IF(LEN(IL131)=11,_xlfn.XLOOKUP(IL131,'Dispensed Ink Rates'!C:C,'Dispensed Ink Rates'!CS:CS),VLOOKUP(IL131,'Jan-2026 rates'!$E:$F,2,0)))</f>
        <v>0</v>
      </c>
      <c r="JB131" s="409"/>
      <c r="JC131" s="398">
        <f>IF(JB131=0,0,IF(LEN(IM131)=11,_xlfn.XLOOKUP(IM131,'Dispensed Ink Rates'!C:C,'Dispensed Ink Rates'!CS:CS),VLOOKUP(IM131,'Jan-2026 rates'!$E:$F,2,0)))</f>
        <v>0</v>
      </c>
      <c r="JD131" s="409" t="s">
        <v>1443</v>
      </c>
      <c r="JE131" s="409">
        <v>32</v>
      </c>
      <c r="JF131" s="411">
        <f t="shared" si="100"/>
        <v>0</v>
      </c>
      <c r="JG131" s="411">
        <f t="shared" si="101"/>
        <v>14.600000000000001</v>
      </c>
      <c r="JH131" s="410">
        <f t="shared" si="102"/>
        <v>0</v>
      </c>
      <c r="JI131" s="405" t="s">
        <v>856</v>
      </c>
      <c r="JJ131" s="409" t="s">
        <v>3367</v>
      </c>
      <c r="JK131" s="420" t="str">
        <f t="shared" si="60"/>
        <v>FLINTSL - WHITE</v>
      </c>
      <c r="JL131" s="409">
        <v>25</v>
      </c>
      <c r="JM131" s="411">
        <f>IF(JL131=0,0,IF($LB131=70%,VLOOKUP($JK131,'Jan-2026 rates'!$L:$R,4,0),IF($LB131=65%,VLOOKUP($JK131,'Jan-2026 rates'!$L:$R,4,0),IF($LB131=40%,VLOOKUP($JK131,'Jan-2026 rates'!$L:$R,5,0),IF($LB131=30%,VLOOKUP($JK131,'Jan-2026 rates'!$L:$R,6,0),IF($LB131=100%,VLOOKUP($JK131,'Jan-2026 rates'!$L:$R,7,0),IF($LB131=60%,VLOOKUP($JK131,'Jan-2026 rates'!$L:$S,8,0),IF($LB131=80%,VLOOKUP($JK131,'Jan-2026 rates'!L:T,9,0),0))))))))</f>
        <v>0</v>
      </c>
      <c r="JN131" s="412"/>
      <c r="JO131" s="409"/>
      <c r="JP131" s="411">
        <f>IF(JO131=0,0,IF($LB131=70%,VLOOKUP($JK131,'Jan-2026 rates'!$L:$R,4,0),IF($LB131=65%,VLOOKUP($JK131,'Jan-2026 rates'!$L:$R,4,0),IF($LB131=40%,VLOOKUP($JK131,'Jan-2026 rates'!$L:$R,5,0),IF($LB131=30%,VLOOKUP($JK131,'Jan-2026 rates'!$L:$R,6,0),IF($LB131=100%,VLOOKUP($JK131,'Jan-2026 rates'!$L:$R,7,0),IF($LB131=60%,VLOOKUP($JK131,'Jan-2026 rates'!$L:$S,8,0),IF($LB131=80%,VLOOKUP($JK131,'Jan-2026 rates'!L:T,9,0),0))))))))</f>
        <v>0</v>
      </c>
      <c r="JQ131" s="413" t="s">
        <v>484</v>
      </c>
      <c r="JR131" s="412"/>
      <c r="JS131" s="413"/>
      <c r="JT131" s="413"/>
      <c r="JU131" s="412"/>
      <c r="JV131" s="412"/>
      <c r="JW131" s="412"/>
      <c r="JX131" s="412"/>
      <c r="JY131" s="409">
        <v>50</v>
      </c>
      <c r="JZ131" s="398">
        <f>IF(JY131=0,0,IF(LEN(JQ131)=11,_xlfn.XLOOKUP(JQ131,'Dispensed Ink Rates'!C:C,'Dispensed Ink Rates'!CS:CS),VLOOKUP(JQ131,'Jan-2026 rates'!$E:$F,2,0)))</f>
        <v>0</v>
      </c>
      <c r="KA131" s="409"/>
      <c r="KB131" s="398">
        <f>IF(KA131=0,0,IF(LEN(JR131)=11,_xlfn.XLOOKUP(JR131,'Dispensed Ink Rates'!C:C,'Dispensed Ink Rates'!CS:CS),VLOOKUP(JR131,'Jan-2026 rates'!$E:$F,2,0)))</f>
        <v>0</v>
      </c>
      <c r="KC131" s="409"/>
      <c r="KD131" s="398">
        <f>IF(KC131=0,0,IF(LEN(JS131)=11,_xlfn.XLOOKUP(JS131,'Dispensed Ink Rates'!C:C,'Dispensed Ink Rates'!CS:CS),VLOOKUP(JS131,'Jan-2026 rates'!$E:$F,2,0)))</f>
        <v>0</v>
      </c>
      <c r="KE131" s="409"/>
      <c r="KF131" s="398">
        <f>IF(KE131=0,0,IF(LEN(JT131)=11,_xlfn.XLOOKUP(JT131,'Dispensed Ink Rates'!C:C,'Dispensed Ink Rates'!CS:CS),VLOOKUP(JT131,'Jan-2026 rates'!$E:$F,2,0)))</f>
        <v>0</v>
      </c>
      <c r="KG131" s="409"/>
      <c r="KH131" s="398">
        <f>IF(KG131=0,0,IF(LEN(JU131)=11,_xlfn.XLOOKUP(JU131,'Dispensed Ink Rates'!C:C,'Dispensed Ink Rates'!CS:CS),VLOOKUP(JU131,'Jan-2026 rates'!$E:$F,2,0)))</f>
        <v>0</v>
      </c>
      <c r="KI131" s="409"/>
      <c r="KJ131" s="398">
        <f>IF(KI131=0,0,IF(LEN(JV131)=11,_xlfn.XLOOKUP(JV131,'Dispensed Ink Rates'!C:C,'Dispensed Ink Rates'!CS:CS),VLOOKUP(JV131,'Jan-2026 rates'!$E:$F,2,0)))</f>
        <v>0</v>
      </c>
      <c r="KK131" s="409"/>
      <c r="KL131" s="398">
        <f>IF(KK131=0,0,IF(LEN(JW131)=11,_xlfn.XLOOKUP(JW131,'Dispensed Ink Rates'!C:C,'Dispensed Ink Rates'!CS:CS),VLOOKUP(JW131,'Jan-2026 rates'!$E:$F,2,0)))</f>
        <v>0</v>
      </c>
      <c r="KM131" s="428"/>
      <c r="KN131" s="398">
        <f>IF(KM131=0,0,IF(LEN(JX131)=11,_xlfn.XLOOKUP(JX131,'Dispensed Ink Rates'!C:C,'Dispensed Ink Rates'!CS:CS),VLOOKUP(JX131,'Jan-2026 rates'!$E:$F,2,0)))</f>
        <v>0</v>
      </c>
      <c r="KO131" s="409" t="s">
        <v>1443</v>
      </c>
      <c r="KP131" s="409">
        <v>30</v>
      </c>
      <c r="KQ131" s="411">
        <f t="shared" si="103"/>
        <v>0</v>
      </c>
      <c r="KR131" s="411">
        <f t="shared" si="104"/>
        <v>131</v>
      </c>
      <c r="KS131" s="410">
        <f t="shared" si="105"/>
        <v>0</v>
      </c>
      <c r="KT131" s="409">
        <v>2</v>
      </c>
      <c r="KU131" s="409">
        <v>2</v>
      </c>
      <c r="KV131" s="409">
        <v>2</v>
      </c>
      <c r="KW131" s="409">
        <v>2</v>
      </c>
      <c r="KX131" s="409">
        <v>2</v>
      </c>
      <c r="KY131" s="409">
        <v>2</v>
      </c>
      <c r="KZ131" s="409">
        <v>3</v>
      </c>
      <c r="LA131" s="409">
        <v>30</v>
      </c>
      <c r="LB131" s="415">
        <v>0.8</v>
      </c>
      <c r="LC131" s="415">
        <v>0.2</v>
      </c>
      <c r="LD131" s="415"/>
      <c r="LE131" s="415"/>
      <c r="LF131" s="415"/>
      <c r="LG131" s="409">
        <v>0</v>
      </c>
      <c r="LH131" s="409">
        <f>30+29+56+14</f>
        <v>129</v>
      </c>
      <c r="LI131" s="409">
        <v>0</v>
      </c>
      <c r="LJ131" s="409">
        <v>0</v>
      </c>
      <c r="LK131" s="416">
        <f t="shared" si="61"/>
        <v>129</v>
      </c>
      <c r="LL131" s="416">
        <f t="shared" si="62"/>
        <v>129</v>
      </c>
      <c r="LM131" s="417">
        <f t="shared" si="63"/>
        <v>103.2</v>
      </c>
      <c r="LN131" s="417">
        <f>VLOOKUP($LM$8,'Jan-2026 rates'!$H:$I,2,0)</f>
        <v>0</v>
      </c>
      <c r="LO131" s="417">
        <f t="shared" si="64"/>
        <v>25.8</v>
      </c>
      <c r="LP131" s="417">
        <f>VLOOKUP($LO$8,'Jan-2026 rates'!$H:$I,2,0)</f>
        <v>0</v>
      </c>
      <c r="LQ131" s="417">
        <f t="shared" si="65"/>
        <v>0</v>
      </c>
      <c r="LR131" s="417">
        <f>VLOOKUP($LQ$8,'Jan-2026 rates'!$H:$I,2,0)</f>
        <v>0</v>
      </c>
      <c r="LS131" s="417">
        <f t="shared" si="66"/>
        <v>0</v>
      </c>
      <c r="LT131" s="417">
        <f>VLOOKUP($LS$8,'Jan-2026 rates'!$H:$I,2,0)</f>
        <v>0</v>
      </c>
      <c r="LU131" s="417">
        <f t="shared" si="67"/>
        <v>0</v>
      </c>
      <c r="LV131" s="417">
        <f>VLOOKUP($LU$8,'Jan-2026 rates'!$H:$I,2,0)</f>
        <v>0</v>
      </c>
      <c r="LW131" s="417">
        <f t="shared" si="68"/>
        <v>0</v>
      </c>
      <c r="LX131" s="417">
        <f t="shared" si="69"/>
        <v>0</v>
      </c>
      <c r="LY131" s="418">
        <f t="shared" si="70"/>
        <v>0</v>
      </c>
      <c r="LZ131" s="417"/>
      <c r="MA131" s="435">
        <f t="shared" si="71"/>
        <v>75</v>
      </c>
      <c r="MB131" s="282">
        <f t="shared" si="72"/>
        <v>236</v>
      </c>
      <c r="MC131" s="283">
        <v>86</v>
      </c>
      <c r="MD131" s="284" t="str">
        <f t="shared" si="73"/>
        <v>FLINTSLFLINTSLFLINTSLFLINTSLFLINTSLFLINTSLFLINTSLFLINTSL</v>
      </c>
      <c r="ME131" s="293" t="str">
        <f t="shared" si="74"/>
        <v>+</v>
      </c>
      <c r="MF131" s="293" t="str">
        <f t="shared" si="75"/>
        <v>+</v>
      </c>
      <c r="MG131" s="293" t="str">
        <f t="shared" si="76"/>
        <v>+</v>
      </c>
      <c r="MH131" s="293" t="str">
        <f t="shared" si="77"/>
        <v>+</v>
      </c>
      <c r="MI131" s="293" t="str">
        <f t="shared" si="78"/>
        <v>+</v>
      </c>
      <c r="MJ131" s="293" t="str">
        <f t="shared" si="79"/>
        <v>+</v>
      </c>
      <c r="MK131" s="293" t="str">
        <f t="shared" si="80"/>
        <v>+</v>
      </c>
      <c r="ML131" s="293" t="str">
        <f t="shared" si="81"/>
        <v>+</v>
      </c>
      <c r="MM131" s="3" t="b">
        <f t="array" ref="MM131">OR(ME131:ML131="-")</f>
        <v>0</v>
      </c>
      <c r="MN131" s="285"/>
      <c r="MO131" s="401"/>
      <c r="MP131" s="286"/>
      <c r="MQ131" s="286"/>
      <c r="MR131" s="402"/>
      <c r="MS131" s="400"/>
      <c r="NH131" s="422"/>
      <c r="NJ131" s="421"/>
    </row>
    <row r="132" spans="1:374" s="1" customFormat="1" ht="16.5">
      <c r="A132" s="403">
        <v>46035</v>
      </c>
      <c r="B132" s="404" t="s">
        <v>1015</v>
      </c>
      <c r="C132" s="405" t="s">
        <v>3368</v>
      </c>
      <c r="D132" s="406">
        <v>87</v>
      </c>
      <c r="E132" s="404">
        <v>3260</v>
      </c>
      <c r="F132" s="407">
        <v>46900</v>
      </c>
      <c r="G132" s="407" t="s">
        <v>1019</v>
      </c>
      <c r="H132" s="408" t="s">
        <v>1017</v>
      </c>
      <c r="I132" s="409">
        <v>0.1</v>
      </c>
      <c r="J132" s="405" t="s">
        <v>543</v>
      </c>
      <c r="K132" s="404"/>
      <c r="L132" s="419" t="str">
        <f t="shared" si="54"/>
        <v>FLINTSL - BLACK</v>
      </c>
      <c r="M132" s="404"/>
      <c r="N132" s="410">
        <f>IF(M132=0,0,IF($LB132=70%,VLOOKUP($L132,'Jan-2026 rates'!$L:$R,4,0),IF($LB132=65%,VLOOKUP($L132,'Jan-2026 rates'!$L:$R,4,0),IF($LB132=40%,VLOOKUP($L132,'Jan-2026 rates'!$L:$R,5,0),IF($LB132=30%,VLOOKUP($L132,'Jan-2026 rates'!$L:$R,6,0),IF($LB132=100%,VLOOKUP($L132,'Jan-2026 rates'!$L:$R,7,0),IF($LB132=60%,VLOOKUP($L132,'Jan-2026 rates'!$L:$S,8,0),IF($LB132=80%,VLOOKUP($L132,'Jan-2026 rates'!L:T,9,0),0))))))))</f>
        <v>0</v>
      </c>
      <c r="O132" s="406"/>
      <c r="P132" s="404"/>
      <c r="Q132" s="410">
        <f>IF(P132=0,0,IF($LB132=70%,VLOOKUP($L132,'Jan-2026 rates'!$L:$R,4,0),IF($LB132=65%,VLOOKUP($L132,'Jan-2026 rates'!$L:$R,4,0),IF($LB132=40%,VLOOKUP($L132,'Jan-2026 rates'!$L:$R,5,0),IF($LB132=30%,VLOOKUP($L132,'Jan-2026 rates'!$L:$R,6,0),IF($LB132=100%,VLOOKUP($L132,'Jan-2026 rates'!$L:$R,7,0),IF($LB132=60%,VLOOKUP($L132,'Jan-2026 rates'!$L:$S,8,0),IF($LB132=80%,VLOOKUP($L132,'Jan-2026 rates'!L:T,9,0),0))))))))</f>
        <v>0</v>
      </c>
      <c r="R132" s="406">
        <v>26509000017</v>
      </c>
      <c r="S132" s="406"/>
      <c r="T132" s="406"/>
      <c r="U132" s="406"/>
      <c r="V132" s="406"/>
      <c r="W132" s="406"/>
      <c r="X132" s="406"/>
      <c r="Y132" s="406"/>
      <c r="Z132" s="404">
        <f>25+4+1</f>
        <v>30</v>
      </c>
      <c r="AA132" s="398" t="e">
        <f>IF(Z132=0,0,IF(LEN(R132)=11,_xlfn.XLOOKUP(R132,'Dispensed Ink Rates'!C:C,'Dispensed Ink Rates'!CS:CS),VLOOKUP(R132,'Jan-2026 rates'!$E:$F,2,0)))</f>
        <v>#N/A</v>
      </c>
      <c r="AB132" s="404"/>
      <c r="AC132" s="398">
        <f>IF(AB132=0,0,IF(LEN(S132)=11,_xlfn.XLOOKUP(S132,'Dispensed Ink Rates'!C:C,'Dispensed Ink Rates'!CS:CS),VLOOKUP(S132,'Jan-2026 rates'!$E:$F,2,0)))</f>
        <v>0</v>
      </c>
      <c r="AD132" s="404"/>
      <c r="AE132" s="398">
        <f>IF(AD132=0,0,IF(LEN(T132)=11,_xlfn.XLOOKUP(T132,'Dispensed Ink Rates'!C:C,'Dispensed Ink Rates'!CS:CS),VLOOKUP(T132,'Jan-2026 rates'!$E:$F,2,0)))</f>
        <v>0</v>
      </c>
      <c r="AF132" s="404"/>
      <c r="AG132" s="398">
        <f>IF(AF132=0,0,IF(LEN(U132)=11,_xlfn.XLOOKUP(U132,'Dispensed Ink Rates'!C:C,'Dispensed Ink Rates'!CS:CS),VLOOKUP(U132,'Jan-2026 rates'!$E:$F,2,0)))</f>
        <v>0</v>
      </c>
      <c r="AH132" s="404"/>
      <c r="AI132" s="398">
        <f>IF(AH132=0,0,IF(LEN(V132)=11,_xlfn.XLOOKUP(V132,'Dispensed Ink Rates'!C:C,'Dispensed Ink Rates'!CS:CS),VLOOKUP(V132,'Jan-2026 rates'!$E:$F,2,0)))</f>
        <v>0</v>
      </c>
      <c r="AJ132" s="404"/>
      <c r="AK132" s="398">
        <f>IF(AJ132=0,0,IF(LEN(W132)=11,_xlfn.XLOOKUP(W132,'Dispensed Ink Rates'!C:C,'Dispensed Ink Rates'!CS:CS),VLOOKUP(W132,'Jan-2026 rates'!$E:$F,2,0)))</f>
        <v>0</v>
      </c>
      <c r="AL132" s="404"/>
      <c r="AM132" s="398">
        <f>IF(AL132=0,0,IF(LEN(X132)=11,_xlfn.XLOOKUP(X132,'Dispensed Ink Rates'!C:C,'Dispensed Ink Rates'!CS:CS),VLOOKUP(X132,'Jan-2026 rates'!$E:$F,2,0)))</f>
        <v>0</v>
      </c>
      <c r="AN132" s="404"/>
      <c r="AO132" s="398">
        <f>IF(AN132=0,0,IF(LEN(Y132)=11,_xlfn.XLOOKUP(Y132,'Dispensed Ink Rates'!C:C,'Dispensed Ink Rates'!CS:CS),VLOOKUP(Y132,'Jan-2026 rates'!$E:$F,2,0)))</f>
        <v>0</v>
      </c>
      <c r="AP132" s="409" t="s">
        <v>1443</v>
      </c>
      <c r="AQ132" s="409">
        <v>28</v>
      </c>
      <c r="AR132" s="410">
        <f t="shared" si="82"/>
        <v>0</v>
      </c>
      <c r="AS132" s="411">
        <f t="shared" si="83"/>
        <v>22</v>
      </c>
      <c r="AT132" s="410">
        <f t="shared" si="84"/>
        <v>0</v>
      </c>
      <c r="AU132" s="405"/>
      <c r="AV132" s="409"/>
      <c r="AW132" s="420" t="str">
        <f t="shared" si="53"/>
        <v xml:space="preserve"> - </v>
      </c>
      <c r="AX132" s="409"/>
      <c r="AY132" s="411">
        <f>IF(AX132=0,0,IF($LB132=70%,VLOOKUP($AW132,'Jan-2026 rates'!$L:$R,4,0),IF($LB132=65%,VLOOKUP($AW132,'Jan-2026 rates'!$L:$R,4,0),IF($LB132=40%,VLOOKUP($AW132,'Jan-2026 rates'!$L:$R,5,0),IF($LB132=30%,VLOOKUP($AW132,'Jan-2026 rates'!$L:$R,6,0),IF($LB132=100%,VLOOKUP($AW132,'Jan-2026 rates'!$L:$R,7,0),IF($LB132=60%,VLOOKUP($AW132,'Jan-2026 rates'!$L:$S,8,0),IF($LB132=80%,VLOOKUP($AW132,'Jan-2026 rates'!L:T,9,0),0))))))))</f>
        <v>0</v>
      </c>
      <c r="AZ132" s="412"/>
      <c r="BA132" s="409"/>
      <c r="BB132" s="411">
        <f>IF(BA132=0,0,IF($LB132=70%,VLOOKUP($AW132,'Jan-2026 rates'!$L:$R,4,0),IF($LB132=65%,VLOOKUP($AW132,'Jan-2026 rates'!$L:$R,4,0),IF($LB132=40%,VLOOKUP($AW132,'Jan-2026 rates'!$L:$R,5,0),IF($LB132=30%,VLOOKUP($AW132,'Jan-2026 rates'!$L:$R,6,0),IF($LB132=100%,VLOOKUP($AW132,'Jan-2026 rates'!$L:$R,7,0),IF($LB132=60%,VLOOKUP($AW132,'Jan-2026 rates'!$L:$S,8,0),IF($LB132=80%,VLOOKUP($AW132,'Jan-2026 rates'!L:T,9,0),0))))))))</f>
        <v>0</v>
      </c>
      <c r="BC132" s="413"/>
      <c r="BD132" s="412"/>
      <c r="BE132" s="412"/>
      <c r="BF132" s="413"/>
      <c r="BG132" s="412"/>
      <c r="BH132" s="412"/>
      <c r="BI132" s="412"/>
      <c r="BJ132" s="412"/>
      <c r="BK132" s="409"/>
      <c r="BL132" s="398">
        <f>IF(BK132=0,0,IF(LEN(BC132)=11,_xlfn.XLOOKUP(BC132,'Dispensed Ink Rates'!C:C,'Dispensed Ink Rates'!CS:CS),VLOOKUP(BC132,'Jan-2026 rates'!$E:$F,2,0)))</f>
        <v>0</v>
      </c>
      <c r="BM132" s="409"/>
      <c r="BN132" s="398">
        <f>IF(BM132=0,0,IF(LEN(BD132)=11,_xlfn.XLOOKUP(BD132,'Dispensed Ink Rates'!C:C,'Dispensed Ink Rates'!CS:CS),VLOOKUP(BD132,'Jan-2026 rates'!$E:$F,2,0)))</f>
        <v>0</v>
      </c>
      <c r="BO132" s="409"/>
      <c r="BP132" s="398">
        <f>IF(BO132=0,0,IF(LEN(BE132)=11,_xlfn.XLOOKUP(BE132,'Dispensed Ink Rates'!C:C,'Dispensed Ink Rates'!CS:CS),VLOOKUP(BE132,'Jan-2026 rates'!$E:$F,2,0)))</f>
        <v>0</v>
      </c>
      <c r="BQ132" s="409"/>
      <c r="BR132" s="398">
        <f>IF(BQ132=0,0,IF(LEN(BF132)=11,_xlfn.XLOOKUP(BF132,'Dispensed Ink Rates'!C:C,'Dispensed Ink Rates'!CS:CS),VLOOKUP(BF132,'Jan-2026 rates'!$E:$F,2,0)))</f>
        <v>0</v>
      </c>
      <c r="BS132" s="409"/>
      <c r="BT132" s="398">
        <f>IF(BS132=0,0,IF(LEN(BG132)=11,_xlfn.XLOOKUP(BG132,'Dispensed Ink Rates'!C:C,'Dispensed Ink Rates'!CS:CS),VLOOKUP(BG132,'Jan-2026 rates'!$E:$F,2,0)))</f>
        <v>0</v>
      </c>
      <c r="BU132" s="409"/>
      <c r="BV132" s="398">
        <f>IF(BU132=0,0,IF(LEN(BH132)=11,_xlfn.XLOOKUP(BH132,'Dispensed Ink Rates'!C:C,'Dispensed Ink Rates'!CS:CS),VLOOKUP(BH132,'Jan-2026 rates'!$E:$F,2,0)))</f>
        <v>0</v>
      </c>
      <c r="BW132" s="409"/>
      <c r="BX132" s="398">
        <f>IF(BW132=0,0,IF(LEN(BI132)=11,_xlfn.XLOOKUP(BI132,'Dispensed Ink Rates'!C:C,'Dispensed Ink Rates'!CS:CS),VLOOKUP(BI132,'Jan-2026 rates'!$E:$F,2,0)))</f>
        <v>0</v>
      </c>
      <c r="BY132" s="409"/>
      <c r="BZ132" s="398">
        <f>IF(BY132=0,0,IF(LEN(BJ132)=11,_xlfn.XLOOKUP(BJ132,'Dispensed Ink Rates'!C:C,'Dispensed Ink Rates'!CS:CS),VLOOKUP(BJ132,'Jan-2026 rates'!$E:$F,2,0)))</f>
        <v>0</v>
      </c>
      <c r="CA132" s="409"/>
      <c r="CB132" s="409"/>
      <c r="CC132" s="411">
        <f t="shared" si="85"/>
        <v>0</v>
      </c>
      <c r="CD132" s="411">
        <f t="shared" si="86"/>
        <v>0</v>
      </c>
      <c r="CE132" s="410">
        <f t="shared" si="87"/>
        <v>0</v>
      </c>
      <c r="CF132" s="404"/>
      <c r="CG132" s="409"/>
      <c r="CH132" s="420" t="str">
        <f t="shared" si="55"/>
        <v xml:space="preserve"> - </v>
      </c>
      <c r="CI132" s="409"/>
      <c r="CJ132" s="411">
        <f>IF(CI132=0,0,IF($LB132=70%,VLOOKUP($CH132,'Jan-2026 rates'!$L:$R,4,0),IF($LB132=65%,VLOOKUP($CH132,'Jan-2026 rates'!$L:$R,4,0),IF($LB132=40%,VLOOKUP($CH132,'Jan-2026 rates'!$L:$R,5,0),IF($LB132=30%,VLOOKUP($CH132,'Jan-2026 rates'!$L:$R,6,0),IF($LB132=100%,VLOOKUP($CH132,'Jan-2026 rates'!$L:$R,7,0),IF($LB132=60%,VLOOKUP($CH132,'Jan-2026 rates'!$L:$S,8,0),IF($LB132=80%,VLOOKUP($CH132,'Jan-2026 rates'!L:T,9,0),0))))))))</f>
        <v>0</v>
      </c>
      <c r="CK132" s="412"/>
      <c r="CL132" s="409"/>
      <c r="CM132" s="411">
        <f>IF(CL132=0,0,IF($LB132=70%,VLOOKUP($CH132,'Jan-2026 rates'!$L:$R,4,0),IF($LB132=65%,VLOOKUP($CH132,'Jan-2026 rates'!$L:$R,4,0),IF($LB132=40%,VLOOKUP($CH132,'Jan-2026 rates'!$L:$R,5,0),IF($LB132=30%,VLOOKUP($CH132,'Jan-2026 rates'!$L:$R,6,0),IF($LB132=100%,VLOOKUP($CH132,'Jan-2026 rates'!$L:$R,7,0),IF($LB132=60%,VLOOKUP($CH132,'Jan-2026 rates'!$L:$S,8,0),IF($LB132=80%,VLOOKUP($CH132,'Jan-2026 rates'!L:T,9,0),0))))))))</f>
        <v>0</v>
      </c>
      <c r="CN132" s="426"/>
      <c r="CO132" s="427"/>
      <c r="CP132" s="426"/>
      <c r="CQ132" s="426"/>
      <c r="CR132" s="428"/>
      <c r="CS132" s="428"/>
      <c r="CT132" s="428"/>
      <c r="CU132" s="428"/>
      <c r="CV132" s="409"/>
      <c r="CW132" s="398">
        <f>IF(CV132=0,0,IF(LEN(CN132)=11,_xlfn.XLOOKUP(CN132,'Dispensed Ink Rates'!C:C,'Dispensed Ink Rates'!CS:CS),VLOOKUP(CN132,'Jan-2026 rates'!$E:$F,2,0)))</f>
        <v>0</v>
      </c>
      <c r="CX132" s="409"/>
      <c r="CY132" s="398">
        <f>IF(CX132=0,0,IF(LEN(CO132)=11,_xlfn.XLOOKUP(CO132,'Dispensed Ink Rates'!C:C,'Dispensed Ink Rates'!CS:CS),VLOOKUP(CO132,'Jan-2026 rates'!$E:$F,2,0)))</f>
        <v>0</v>
      </c>
      <c r="CZ132" s="409"/>
      <c r="DA132" s="398">
        <f>IF(CZ132=0,0,IF(LEN(CP132)=11,_xlfn.XLOOKUP(CP132,'Dispensed Ink Rates'!C:C,'Dispensed Ink Rates'!CS:CS),VLOOKUP(CP132,'Jan-2026 rates'!$E:$F,2,0)))</f>
        <v>0</v>
      </c>
      <c r="DB132" s="409"/>
      <c r="DC132" s="398">
        <f>IF(DB132=0,0,IF(LEN(CQ132)=11,_xlfn.XLOOKUP(CQ132,'Dispensed Ink Rates'!C:C,'Dispensed Ink Rates'!CS:CS),VLOOKUP(CQ132,'Jan-2026 rates'!$E:$F,2,0)))</f>
        <v>0</v>
      </c>
      <c r="DD132" s="409"/>
      <c r="DE132" s="398">
        <f>IF(DD132=0,0,IF(LEN(CR132)=11,_xlfn.XLOOKUP(CR132,'Dispensed Ink Rates'!C:C,'Dispensed Ink Rates'!CS:CS),VLOOKUP(CR132,'Jan-2026 rates'!$E:$F,2,0)))</f>
        <v>0</v>
      </c>
      <c r="DF132" s="409"/>
      <c r="DG132" s="398">
        <f>IF(DF132=0,0,IF(LEN(CS132)=11,_xlfn.XLOOKUP(CS132,'Dispensed Ink Rates'!C:C,'Dispensed Ink Rates'!CS:CS),VLOOKUP(CS132,'Jan-2026 rates'!$E:$F,2,0)))</f>
        <v>0</v>
      </c>
      <c r="DH132" s="409"/>
      <c r="DI132" s="398">
        <f>IF(DH132=0,0,IF(LEN(CT132)=11,_xlfn.XLOOKUP(CT132,'Dispensed Ink Rates'!C:C,'Dispensed Ink Rates'!CS:CS),VLOOKUP(CT132,'Jan-2026 rates'!$E:$F,2,0)))</f>
        <v>0</v>
      </c>
      <c r="DJ132" s="409"/>
      <c r="DK132" s="398">
        <f>IF(DJ132=0,0,IF(LEN(CU132)=11,_xlfn.XLOOKUP(CU132,'Dispensed Ink Rates'!C:C,'Dispensed Ink Rates'!CS:CS),VLOOKUP(CU132,'Jan-2026 rates'!$E:$F,2,0)))</f>
        <v>0</v>
      </c>
      <c r="DL132" s="409"/>
      <c r="DM132" s="409"/>
      <c r="DN132" s="411">
        <f t="shared" si="88"/>
        <v>0</v>
      </c>
      <c r="DO132" s="411">
        <f t="shared" si="89"/>
        <v>0</v>
      </c>
      <c r="DP132" s="410">
        <f t="shared" si="90"/>
        <v>0</v>
      </c>
      <c r="DQ132" s="405"/>
      <c r="DR132" s="409"/>
      <c r="DS132" s="420" t="str">
        <f t="shared" si="56"/>
        <v xml:space="preserve"> - </v>
      </c>
      <c r="DT132" s="409"/>
      <c r="DU132" s="411">
        <f>IF(DT132=0,0,IF($LB132=70%,VLOOKUP($DS132,'Jan-2026 rates'!$L:$R,4,0),IF($LB132=65%,VLOOKUP($DS132,'Jan-2026 rates'!$L:$R,4,0),IF($LB132=40%,VLOOKUP($DS132,'Jan-2026 rates'!$L:$R,5,0),IF($LB132=30%,VLOOKUP($DS132,'Jan-2026 rates'!$L:$R,6,0),IF($LB132=100%,VLOOKUP($DS132,'Jan-2026 rates'!$L:$R,7,0),IF($LB132=60%,VLOOKUP($DS132,'Jan-2026 rates'!$L:$S,8,0),IF($LB132=80%,VLOOKUP($DS132,'Jan-2026 rates'!L:T,9,0),0))))))))</f>
        <v>0</v>
      </c>
      <c r="DV132" s="412"/>
      <c r="DW132" s="409"/>
      <c r="DX132" s="411">
        <f>IF(DW132=0,0,IF($LB132=70%,VLOOKUP($DS132,'Jan-2026 rates'!$L:$R,4,0),IF($LB132=65%,VLOOKUP($DS132,'Jan-2026 rates'!$L:$R,4,0),IF($LB132=40%,VLOOKUP($DS132,'Jan-2026 rates'!$L:$R,5,0),IF($LB132=30%,VLOOKUP($DS132,'Jan-2026 rates'!$L:$R,6,0),IF($LB132=100%,VLOOKUP($DS132,'Jan-2026 rates'!$L:$R,7,0),IF($LB132=60%,VLOOKUP($DS132,'Jan-2026 rates'!$L:$S,8,0),IF($LB132=80%,VLOOKUP($DS132,'Jan-2026 rates'!L:T,9,0),0))))))))</f>
        <v>0</v>
      </c>
      <c r="DY132" s="413"/>
      <c r="DZ132" s="413"/>
      <c r="EA132" s="412"/>
      <c r="EB132" s="412"/>
      <c r="EC132" s="412"/>
      <c r="ED132" s="412"/>
      <c r="EE132" s="412"/>
      <c r="EF132" s="412"/>
      <c r="EG132" s="409"/>
      <c r="EH132" s="398">
        <f>IF(EG132=0,0,IF(LEN(DY132)=11,_xlfn.XLOOKUP(DY132,'Dispensed Ink Rates'!C:C,'Dispensed Ink Rates'!CS:CS),VLOOKUP(DY132,'Jan-2026 rates'!$E:$F,2,0)))</f>
        <v>0</v>
      </c>
      <c r="EI132" s="409"/>
      <c r="EJ132" s="398">
        <f>IF(EI132=0,0,IF(LEN(DZ132)=11,_xlfn.XLOOKUP(DZ132,'Dispensed Ink Rates'!C:C,'Dispensed Ink Rates'!CS:CS),VLOOKUP(DZ132,'Jan-2026 rates'!$E:$F,2,0)))</f>
        <v>0</v>
      </c>
      <c r="EK132" s="409"/>
      <c r="EL132" s="398">
        <f>IF(EK132=0,0,IF(LEN(EA132)=11,_xlfn.XLOOKUP(EA132,'Dispensed Ink Rates'!C:C,'Dispensed Ink Rates'!CS:CS),VLOOKUP(EA132,'Jan-2026 rates'!$E:$F,2,0)))</f>
        <v>0</v>
      </c>
      <c r="EM132" s="409"/>
      <c r="EN132" s="398">
        <f>IF(EM132=0,0,IF(LEN(EB132)=11,_xlfn.XLOOKUP(EB132,'Dispensed Ink Rates'!C:C,'Dispensed Ink Rates'!CS:CS),VLOOKUP(EB132,'Jan-2026 rates'!$E:$F,2,0)))</f>
        <v>0</v>
      </c>
      <c r="EO132" s="409"/>
      <c r="EP132" s="398">
        <f>IF(EO132=0,0,IF(LEN(EC132)=11,_xlfn.XLOOKUP(EC132,'Dispensed Ink Rates'!C:C,'Dispensed Ink Rates'!CS:CS),VLOOKUP(EC132,'Jan-2026 rates'!$E:$F,2,0)))</f>
        <v>0</v>
      </c>
      <c r="EQ132" s="409"/>
      <c r="ER132" s="398">
        <f>IF(EQ132=0,0,IF(LEN(ED132)=11,_xlfn.XLOOKUP(ED132,'Dispensed Ink Rates'!C:C,'Dispensed Ink Rates'!CS:CS),VLOOKUP(ED132,'Jan-2026 rates'!$E:$F,2,0)))</f>
        <v>0</v>
      </c>
      <c r="ES132" s="409"/>
      <c r="ET132" s="398">
        <f>IF(ES132=0,0,IF(LEN(EE132)=11,_xlfn.XLOOKUP(EE132,'Dispensed Ink Rates'!C:C,'Dispensed Ink Rates'!CS:CS),VLOOKUP(EE132,'Jan-2026 rates'!$E:$F,2,0)))</f>
        <v>0</v>
      </c>
      <c r="EU132" s="409"/>
      <c r="EV132" s="398">
        <f>IF(EU132=0,0,IF(LEN(EF132)=11,_xlfn.XLOOKUP(EF132,'Dispensed Ink Rates'!C:C,'Dispensed Ink Rates'!CS:CS),VLOOKUP(EF132,'Jan-2026 rates'!$E:$F,2,0)))</f>
        <v>0</v>
      </c>
      <c r="EW132" s="409"/>
      <c r="EX132" s="409"/>
      <c r="EY132" s="411">
        <f t="shared" si="91"/>
        <v>0</v>
      </c>
      <c r="EZ132" s="411">
        <f t="shared" si="92"/>
        <v>0</v>
      </c>
      <c r="FA132" s="410">
        <f t="shared" si="93"/>
        <v>0</v>
      </c>
      <c r="FB132" s="405"/>
      <c r="FC132" s="409"/>
      <c r="FD132" s="420" t="str">
        <f t="shared" si="57"/>
        <v xml:space="preserve"> - </v>
      </c>
      <c r="FE132" s="409"/>
      <c r="FF132" s="411">
        <f>IF(FE132=0,0,IF($LB132=70%,VLOOKUP($FD132,'Jan-2026 rates'!$L:$R,4,0),IF($LB132=65%,VLOOKUP($FD132,'Jan-2026 rates'!$L:$R,4,0),IF($LB132=40%,VLOOKUP($FD132,'Jan-2026 rates'!$L:$R,5,0),IF($LB132=30%,VLOOKUP($FD132,'Jan-2026 rates'!$L:$R,6,0),IF($LB132=100%,VLOOKUP($FD132,'Jan-2026 rates'!$L:$R,7,0),IF($LB132=60%,VLOOKUP($FD132,'Jan-2026 rates'!$L:$S,8,0),IF($LB132=80%,VLOOKUP($FD132,'Jan-2026 rates'!L:T,9,0),0))))))))</f>
        <v>0</v>
      </c>
      <c r="FG132" s="412"/>
      <c r="FH132" s="409"/>
      <c r="FI132" s="411">
        <f>IF(FH132=0,0,IF($LB132=70%,VLOOKUP($FD132,'Jan-2026 rates'!$L:$R,4,0),IF($LB132=65%,VLOOKUP($FD132,'Jan-2026 rates'!$L:$R,4,0),IF($LB132=40%,VLOOKUP($FD132,'Jan-2026 rates'!$L:$R,5,0),IF($LB132=30%,VLOOKUP($FD132,'Jan-2026 rates'!$L:$R,6,0),IF($LB132=100%,VLOOKUP($FD132,'Jan-2026 rates'!$L:$R,7,0),IF($LB132=60%,VLOOKUP($FD132,'Jan-2026 rates'!$L:$S,8,0),IF($LB132=80%,VLOOKUP($FD132,'Jan-2026 rates'!L:T,9,0),0))))))))</f>
        <v>0</v>
      </c>
      <c r="FJ132" s="413"/>
      <c r="FK132" s="413"/>
      <c r="FL132" s="413"/>
      <c r="FM132" s="412"/>
      <c r="FN132" s="412"/>
      <c r="FO132" s="412"/>
      <c r="FP132" s="412"/>
      <c r="FQ132" s="412"/>
      <c r="FR132" s="409"/>
      <c r="FS132" s="398">
        <f>IF(FR132=0,0,IF(LEN(FJ132)=11,_xlfn.XLOOKUP(FJ132,'Dispensed Ink Rates'!C:C,'Dispensed Ink Rates'!CS:CS),VLOOKUP(FJ132,'Jan-2026 rates'!$E:$F,2,0)))</f>
        <v>0</v>
      </c>
      <c r="FT132" s="409"/>
      <c r="FU132" s="398">
        <f>IF(FT132=0,0,IF(LEN(FK132)=11,_xlfn.XLOOKUP(FK132,'Dispensed Ink Rates'!C:C,'Dispensed Ink Rates'!CS:CS),VLOOKUP(FK132,'Jan-2026 rates'!$E:$F,2,0)))</f>
        <v>0</v>
      </c>
      <c r="FV132" s="409"/>
      <c r="FW132" s="398">
        <f>IF(FV132=0,0,IF(LEN(FL132)=11,_xlfn.XLOOKUP(FL132,'Dispensed Ink Rates'!C:C,'Dispensed Ink Rates'!CS:CS),VLOOKUP(FL132,'Jan-2026 rates'!$E:$F,2,0)))</f>
        <v>0</v>
      </c>
      <c r="FX132" s="409"/>
      <c r="FY132" s="398">
        <f>IF(FX132=0,0,IF(LEN(FM132)=11,_xlfn.XLOOKUP(FM132,'Dispensed Ink Rates'!C:C,'Dispensed Ink Rates'!CS:CS),VLOOKUP(FM132,'Jan-2026 rates'!$E:$F,2,0)))</f>
        <v>0</v>
      </c>
      <c r="FZ132" s="409"/>
      <c r="GA132" s="398">
        <f>IF(FZ132=0,0,IF(LEN(FN132)=11,_xlfn.XLOOKUP(FN132,'Dispensed Ink Rates'!C:C,'Dispensed Ink Rates'!CS:CS),VLOOKUP(FN132,'Jan-2026 rates'!$E:$F,2,0)))</f>
        <v>0</v>
      </c>
      <c r="GB132" s="409"/>
      <c r="GC132" s="398">
        <f>IF(GB132=0,0,IF(LEN(FO132)=11,_xlfn.XLOOKUP(FO132,'Dispensed Ink Rates'!C:C,'Dispensed Ink Rates'!CS:CS),VLOOKUP(FO132,'Jan-2026 rates'!$E:$F,2,0)))</f>
        <v>0</v>
      </c>
      <c r="GD132" s="409"/>
      <c r="GE132" s="398">
        <f>IF(GD132=0,0,IF(LEN(FP132)=11,_xlfn.XLOOKUP(FP132,'Dispensed Ink Rates'!C:C,'Dispensed Ink Rates'!CS:CS),VLOOKUP(FP132,'Jan-2026 rates'!$E:$F,2,0)))</f>
        <v>0</v>
      </c>
      <c r="GF132" s="409"/>
      <c r="GG132" s="398">
        <f>IF(GF132=0,0,IF(LEN(FQ132)=11,_xlfn.XLOOKUP(FQ132,'Dispensed Ink Rates'!C:C,'Dispensed Ink Rates'!CS:CS),VLOOKUP(FQ132,'Jan-2026 rates'!$E:$F,2,0)))</f>
        <v>0</v>
      </c>
      <c r="GH132" s="409"/>
      <c r="GI132" s="409"/>
      <c r="GJ132" s="411">
        <f t="shared" si="94"/>
        <v>0</v>
      </c>
      <c r="GK132" s="411">
        <f t="shared" si="95"/>
        <v>0</v>
      </c>
      <c r="GL132" s="410">
        <f t="shared" si="96"/>
        <v>0</v>
      </c>
      <c r="GM132" s="405"/>
      <c r="GN132" s="409"/>
      <c r="GO132" s="420" t="str">
        <f t="shared" si="58"/>
        <v xml:space="preserve"> - </v>
      </c>
      <c r="GP132" s="409"/>
      <c r="GQ132" s="411">
        <f>IF(GP132=0,0,IF($LB132=70%,VLOOKUP($GO132,'Jan-2026 rates'!$L:$R,4,0),IF($LB132=65%,VLOOKUP($GO132,'Jan-2026 rates'!$L:$R,4,0),IF($LB132=40%,VLOOKUP($GO132,'Jan-2026 rates'!$L:$R,5,0),IF($LB132=30%,VLOOKUP($GO132,'Jan-2026 rates'!$L:$R,6,0),IF($LB132=100%,VLOOKUP($GO132,'Jan-2026 rates'!$L:$R,7,0),IF($LB132=60%,VLOOKUP($GO132,'Jan-2026 rates'!$L:$S,8,0),IF($LB132=80%,VLOOKUP($GO132,'Jan-2026 rates'!L:T,9,0),0))))))))</f>
        <v>0</v>
      </c>
      <c r="GR132" s="412"/>
      <c r="GS132" s="409"/>
      <c r="GT132" s="411">
        <f>IF(GS132=0,0,IF($LB132=70%,VLOOKUP($GO132,'Jan-2026 rates'!$L:$R,4,0),IF($LB132=65%,VLOOKUP($GO132,'Jan-2026 rates'!$L:$R,4,0),IF($LB132=40%,VLOOKUP($GO132,'Jan-2026 rates'!$L:$R,5,0),IF($LB132=30%,VLOOKUP($GO132,'Jan-2026 rates'!$L:$R,6,0),IF($LB132=100%,VLOOKUP($GO132,'Jan-2026 rates'!$L:$R,7,0),IF($LB132=60%,VLOOKUP($GO132,'Jan-2026 rates'!$L:$S,8,0),IF($LB132=80%,VLOOKUP($GO132,'Jan-2026 rates'!L:T,9,0),0))))))))</f>
        <v>0</v>
      </c>
      <c r="GU132" s="413"/>
      <c r="GV132" s="413"/>
      <c r="GW132" s="412"/>
      <c r="GX132" s="412"/>
      <c r="GY132" s="412"/>
      <c r="GZ132" s="412"/>
      <c r="HA132" s="412"/>
      <c r="HB132" s="412"/>
      <c r="HC132" s="409"/>
      <c r="HD132" s="398">
        <f>IF(HC132=0,0,IF(LEN(GU132)=11,_xlfn.XLOOKUP(GU132,'Dispensed Ink Rates'!C:C,'Dispensed Ink Rates'!CS:CS),VLOOKUP(GU132,'Jan-2026 rates'!$E:$F,2,0)))</f>
        <v>0</v>
      </c>
      <c r="HE132" s="409"/>
      <c r="HF132" s="398">
        <f>IF(HE132=0,0,IF(LEN(GV132)=11,_xlfn.XLOOKUP(GV132,'Dispensed Ink Rates'!C:C,'Dispensed Ink Rates'!CS:CS),VLOOKUP(GV132,'Jan-2026 rates'!$E:$F,2,0)))</f>
        <v>0</v>
      </c>
      <c r="HG132" s="409"/>
      <c r="HH132" s="398">
        <f>IF(HG132=0,0,IF(LEN(GW132)=11,_xlfn.XLOOKUP(GW132,'Dispensed Ink Rates'!C:C,'Dispensed Ink Rates'!CS:CS),VLOOKUP(GW132,'Jan-2026 rates'!$E:$F,2,0)))</f>
        <v>0</v>
      </c>
      <c r="HI132" s="409"/>
      <c r="HJ132" s="398">
        <f>IF(HI132=0,0,IF(LEN(GX132)=11,_xlfn.XLOOKUP(GX132,'Dispensed Ink Rates'!C:C,'Dispensed Ink Rates'!CS:CS),VLOOKUP(GX132,'Jan-2026 rates'!$E:$F,2,0)))</f>
        <v>0</v>
      </c>
      <c r="HK132" s="409"/>
      <c r="HL132" s="398">
        <f>IF(HK132=0,0,IF(LEN(GY132)=11,_xlfn.XLOOKUP(GY132,'Dispensed Ink Rates'!C:C,'Dispensed Ink Rates'!CS:CS),VLOOKUP(GY132,'Jan-2026 rates'!$E:$F,2,0)))</f>
        <v>0</v>
      </c>
      <c r="HM132" s="409"/>
      <c r="HN132" s="398">
        <f>IF(HM132=0,0,IF(LEN(GZ132)=11,_xlfn.XLOOKUP(GZ132,'Dispensed Ink Rates'!C:C,'Dispensed Ink Rates'!CS:CS),VLOOKUP(GZ132,'Jan-2026 rates'!$E:$F,2,0)))</f>
        <v>0</v>
      </c>
      <c r="HO132" s="409"/>
      <c r="HP132" s="398">
        <f>IF(HO132=0,0,IF(LEN(HA132)=11,_xlfn.XLOOKUP(HA132,'Dispensed Ink Rates'!C:C,'Dispensed Ink Rates'!CS:CS),VLOOKUP(HA132,'Jan-2026 rates'!$E:$F,2,0)))</f>
        <v>0</v>
      </c>
      <c r="HQ132" s="409"/>
      <c r="HR132" s="398">
        <f>IF(HQ132=0,0,IF(LEN(HB132)=11,_xlfn.XLOOKUP(HB132,'Dispensed Ink Rates'!C:C,'Dispensed Ink Rates'!CS:CS),VLOOKUP(HB132,'Jan-2026 rates'!$E:$F,2,0)))</f>
        <v>0</v>
      </c>
      <c r="HS132" s="409"/>
      <c r="HT132" s="409"/>
      <c r="HU132" s="411">
        <f t="shared" si="97"/>
        <v>0</v>
      </c>
      <c r="HV132" s="411">
        <f t="shared" si="98"/>
        <v>0</v>
      </c>
      <c r="HW132" s="414">
        <f t="shared" si="99"/>
        <v>0</v>
      </c>
      <c r="HX132" s="405"/>
      <c r="HY132" s="409"/>
      <c r="HZ132" s="420" t="str">
        <f t="shared" si="59"/>
        <v xml:space="preserve"> - </v>
      </c>
      <c r="IA132" s="409"/>
      <c r="IB132" s="411">
        <f>IF(IA132=0,0,IF($LB132=70%,VLOOKUP($HZ132,'Jan-2026 rates'!$L:$R,4,0),IF($LB132=65%,VLOOKUP($HZ132,'Jan-2026 rates'!$L:$R,4,0),IF($LB132=40%,VLOOKUP($HZ132,'Jan-2026 rates'!$L:$R,5,0),IF($LB132=30%,VLOOKUP($HZ132,'Jan-2026 rates'!$L:$R,6,0),IF($LB132=100%,VLOOKUP($HZ132,'Jan-2026 rates'!$L:$R,7,0),IF($LB132=60%,VLOOKUP($HZ132,'Jan-2026 rates'!$L:$S,8,0),IF($LB132=80%,VLOOKUP($HZ132,'Jan-2026 rates'!L:T,9,0),0))))))))</f>
        <v>0</v>
      </c>
      <c r="IC132" s="412"/>
      <c r="ID132" s="409"/>
      <c r="IE132" s="411">
        <f>IF(ID132=0,0,IF($LB132=70%,VLOOKUP($HZ132,'Jan-2026 rates'!$L:$R,4,0),IF($LB132=65%,VLOOKUP($HZ132,'Jan-2026 rates'!$L:$R,4,0),IF($LB132=40%,VLOOKUP($HZ132,'Jan-2026 rates'!$L:$R,5,0),IF($LB132=30%,VLOOKUP($HZ132,'Jan-2026 rates'!$L:$R,6,0),IF($LB132=100%,VLOOKUP($HZ132,'Jan-2026 rates'!$L:$R,7,0),IF($LB132=60%,VLOOKUP($HZ132,'Jan-2026 rates'!$L:$S,8,0),IF($LB132=80%,VLOOKUP($HZ132,'Jan-2026 rates'!L:T,9,0),0))))))))</f>
        <v>0</v>
      </c>
      <c r="IF132" s="412"/>
      <c r="IG132" s="413"/>
      <c r="IH132" s="412"/>
      <c r="II132" s="412"/>
      <c r="IJ132" s="412"/>
      <c r="IK132" s="412"/>
      <c r="IL132" s="412"/>
      <c r="IM132" s="412"/>
      <c r="IN132" s="409"/>
      <c r="IO132" s="398">
        <f>IF(IN132=0,0,IF(LEN(IF132)=11,_xlfn.XLOOKUP(IF132,'Dispensed Ink Rates'!C:C,'Dispensed Ink Rates'!CS:CS),VLOOKUP(IF132,'Jan-2026 rates'!$E:$F,2,0)))</f>
        <v>0</v>
      </c>
      <c r="IP132" s="409"/>
      <c r="IQ132" s="398">
        <f>IF(IP132=0,0,IF(LEN(IG132)=11,_xlfn.XLOOKUP(IG132,'Dispensed Ink Rates'!C:C,'Dispensed Ink Rates'!CS:CS),VLOOKUP(IG132,'Jan-2026 rates'!$E:$F,2,0)))</f>
        <v>0</v>
      </c>
      <c r="IR132" s="409"/>
      <c r="IS132" s="398">
        <f>IF(IR132=0,0,IF(LEN(IH132)=11,_xlfn.XLOOKUP(IH132,'Dispensed Ink Rates'!C:C,'Dispensed Ink Rates'!CS:CS),VLOOKUP(IH132,'Jan-2026 rates'!$E:$F,2,0)))</f>
        <v>0</v>
      </c>
      <c r="IT132" s="409"/>
      <c r="IU132" s="398">
        <f>IF(IT132=0,0,IF(LEN(II132)=11,_xlfn.XLOOKUP(II132,'Dispensed Ink Rates'!C:C,'Dispensed Ink Rates'!CS:CS),VLOOKUP(II132,'Jan-2026 rates'!$E:$F,2,0)))</f>
        <v>0</v>
      </c>
      <c r="IV132" s="409"/>
      <c r="IW132" s="398">
        <f>IF(IV132=0,0,IF(LEN(IJ132)=11,_xlfn.XLOOKUP(IJ132,'Dispensed Ink Rates'!C:C,'Dispensed Ink Rates'!CS:CS),VLOOKUP(IJ132,'Jan-2026 rates'!$E:$F,2,0)))</f>
        <v>0</v>
      </c>
      <c r="IX132" s="409"/>
      <c r="IY132" s="398">
        <f>IF(IX132=0,0,IF(LEN(IK132)=11,_xlfn.XLOOKUP(IK132,'Dispensed Ink Rates'!C:C,'Dispensed Ink Rates'!CS:CS),VLOOKUP(IK132,'Jan-2026 rates'!$E:$F,2,0)))</f>
        <v>0</v>
      </c>
      <c r="IZ132" s="409"/>
      <c r="JA132" s="398">
        <f>IF(IZ132=0,0,IF(LEN(IL132)=11,_xlfn.XLOOKUP(IL132,'Dispensed Ink Rates'!C:C,'Dispensed Ink Rates'!CS:CS),VLOOKUP(IL132,'Jan-2026 rates'!$E:$F,2,0)))</f>
        <v>0</v>
      </c>
      <c r="JB132" s="409"/>
      <c r="JC132" s="398">
        <f>IF(JB132=0,0,IF(LEN(IM132)=11,_xlfn.XLOOKUP(IM132,'Dispensed Ink Rates'!C:C,'Dispensed Ink Rates'!CS:CS),VLOOKUP(IM132,'Jan-2026 rates'!$E:$F,2,0)))</f>
        <v>0</v>
      </c>
      <c r="JD132" s="409"/>
      <c r="JE132" s="409"/>
      <c r="JF132" s="411">
        <f t="shared" si="100"/>
        <v>0</v>
      </c>
      <c r="JG132" s="411">
        <f t="shared" si="101"/>
        <v>0</v>
      </c>
      <c r="JH132" s="410">
        <f t="shared" si="102"/>
        <v>0</v>
      </c>
      <c r="JI132" s="405"/>
      <c r="JJ132" s="409"/>
      <c r="JK132" s="420" t="str">
        <f t="shared" si="60"/>
        <v xml:space="preserve"> - </v>
      </c>
      <c r="JL132" s="409"/>
      <c r="JM132" s="411">
        <f>IF(JL132=0,0,IF($LB132=70%,VLOOKUP($JK132,'Jan-2026 rates'!$L:$R,4,0),IF($LB132=65%,VLOOKUP($JK132,'Jan-2026 rates'!$L:$R,4,0),IF($LB132=40%,VLOOKUP($JK132,'Jan-2026 rates'!$L:$R,5,0),IF($LB132=30%,VLOOKUP($JK132,'Jan-2026 rates'!$L:$R,6,0),IF($LB132=100%,VLOOKUP($JK132,'Jan-2026 rates'!$L:$R,7,0),IF($LB132=60%,VLOOKUP($JK132,'Jan-2026 rates'!$L:$S,8,0),IF($LB132=80%,VLOOKUP($JK132,'Jan-2026 rates'!L:T,9,0),0))))))))</f>
        <v>0</v>
      </c>
      <c r="JN132" s="412"/>
      <c r="JO132" s="409"/>
      <c r="JP132" s="411">
        <f>IF(JO132=0,0,IF($LB132=70%,VLOOKUP($JK132,'Jan-2026 rates'!$L:$R,4,0),IF($LB132=65%,VLOOKUP($JK132,'Jan-2026 rates'!$L:$R,4,0),IF($LB132=40%,VLOOKUP($JK132,'Jan-2026 rates'!$L:$R,5,0),IF($LB132=30%,VLOOKUP($JK132,'Jan-2026 rates'!$L:$R,6,0),IF($LB132=100%,VLOOKUP($JK132,'Jan-2026 rates'!$L:$R,7,0),IF($LB132=60%,VLOOKUP($JK132,'Jan-2026 rates'!$L:$S,8,0),IF($LB132=80%,VLOOKUP($JK132,'Jan-2026 rates'!L:T,9,0),0))))))))</f>
        <v>0</v>
      </c>
      <c r="JQ132" s="413"/>
      <c r="JR132" s="412"/>
      <c r="JS132" s="413"/>
      <c r="JT132" s="413"/>
      <c r="JU132" s="412"/>
      <c r="JV132" s="412"/>
      <c r="JW132" s="412"/>
      <c r="JX132" s="412"/>
      <c r="JY132" s="409"/>
      <c r="JZ132" s="398">
        <f>IF(JY132=0,0,IF(LEN(JQ132)=11,_xlfn.XLOOKUP(JQ132,'Dispensed Ink Rates'!C:C,'Dispensed Ink Rates'!CS:CS),VLOOKUP(JQ132,'Jan-2026 rates'!$E:$F,2,0)))</f>
        <v>0</v>
      </c>
      <c r="KA132" s="409"/>
      <c r="KB132" s="398">
        <f>IF(KA132=0,0,IF(LEN(JR132)=11,_xlfn.XLOOKUP(JR132,'Dispensed Ink Rates'!C:C,'Dispensed Ink Rates'!CS:CS),VLOOKUP(JR132,'Jan-2026 rates'!$E:$F,2,0)))</f>
        <v>0</v>
      </c>
      <c r="KC132" s="409"/>
      <c r="KD132" s="398">
        <f>IF(KC132=0,0,IF(LEN(JS132)=11,_xlfn.XLOOKUP(JS132,'Dispensed Ink Rates'!C:C,'Dispensed Ink Rates'!CS:CS),VLOOKUP(JS132,'Jan-2026 rates'!$E:$F,2,0)))</f>
        <v>0</v>
      </c>
      <c r="KE132" s="409"/>
      <c r="KF132" s="398">
        <f>IF(KE132=0,0,IF(LEN(JT132)=11,_xlfn.XLOOKUP(JT132,'Dispensed Ink Rates'!C:C,'Dispensed Ink Rates'!CS:CS),VLOOKUP(JT132,'Jan-2026 rates'!$E:$F,2,0)))</f>
        <v>0</v>
      </c>
      <c r="KG132" s="409"/>
      <c r="KH132" s="398">
        <f>IF(KG132=0,0,IF(LEN(JU132)=11,_xlfn.XLOOKUP(JU132,'Dispensed Ink Rates'!C:C,'Dispensed Ink Rates'!CS:CS),VLOOKUP(JU132,'Jan-2026 rates'!$E:$F,2,0)))</f>
        <v>0</v>
      </c>
      <c r="KI132" s="409"/>
      <c r="KJ132" s="398">
        <f>IF(KI132=0,0,IF(LEN(JV132)=11,_xlfn.XLOOKUP(JV132,'Dispensed Ink Rates'!C:C,'Dispensed Ink Rates'!CS:CS),VLOOKUP(JV132,'Jan-2026 rates'!$E:$F,2,0)))</f>
        <v>0</v>
      </c>
      <c r="KK132" s="409"/>
      <c r="KL132" s="398">
        <f>IF(KK132=0,0,IF(LEN(JW132)=11,_xlfn.XLOOKUP(JW132,'Dispensed Ink Rates'!C:C,'Dispensed Ink Rates'!CS:CS),VLOOKUP(JW132,'Jan-2026 rates'!$E:$F,2,0)))</f>
        <v>0</v>
      </c>
      <c r="KM132" s="428"/>
      <c r="KN132" s="398">
        <f>IF(KM132=0,0,IF(LEN(JX132)=11,_xlfn.XLOOKUP(JX132,'Dispensed Ink Rates'!C:C,'Dispensed Ink Rates'!CS:CS),VLOOKUP(JX132,'Jan-2026 rates'!$E:$F,2,0)))</f>
        <v>0</v>
      </c>
      <c r="KO132" s="409"/>
      <c r="KP132" s="409"/>
      <c r="KQ132" s="411">
        <f t="shared" si="103"/>
        <v>0</v>
      </c>
      <c r="KR132" s="411">
        <f t="shared" si="104"/>
        <v>0</v>
      </c>
      <c r="KS132" s="410">
        <f t="shared" si="105"/>
        <v>0</v>
      </c>
      <c r="KT132" s="409">
        <v>7</v>
      </c>
      <c r="KU132" s="409">
        <v>0</v>
      </c>
      <c r="KV132" s="409">
        <v>0</v>
      </c>
      <c r="KW132" s="409">
        <v>0</v>
      </c>
      <c r="KX132" s="409">
        <v>0</v>
      </c>
      <c r="KY132" s="409">
        <v>0</v>
      </c>
      <c r="KZ132" s="409">
        <v>0</v>
      </c>
      <c r="LA132" s="409">
        <v>0</v>
      </c>
      <c r="LB132" s="415">
        <v>0.8</v>
      </c>
      <c r="LC132" s="415">
        <v>0.2</v>
      </c>
      <c r="LD132" s="415"/>
      <c r="LE132" s="415"/>
      <c r="LF132" s="415"/>
      <c r="LG132" s="409">
        <v>0</v>
      </c>
      <c r="LH132" s="409">
        <f>5+5+8+2</f>
        <v>20</v>
      </c>
      <c r="LI132" s="409">
        <v>0</v>
      </c>
      <c r="LJ132" s="409">
        <v>0</v>
      </c>
      <c r="LK132" s="416">
        <f t="shared" si="61"/>
        <v>20</v>
      </c>
      <c r="LL132" s="416">
        <f t="shared" si="62"/>
        <v>20</v>
      </c>
      <c r="LM132" s="417">
        <f t="shared" si="63"/>
        <v>16</v>
      </c>
      <c r="LN132" s="417">
        <f>VLOOKUP($LM$8,'Jan-2026 rates'!$H:$I,2,0)</f>
        <v>0</v>
      </c>
      <c r="LO132" s="417">
        <f t="shared" si="64"/>
        <v>4</v>
      </c>
      <c r="LP132" s="417">
        <f>VLOOKUP($LO$8,'Jan-2026 rates'!$H:$I,2,0)</f>
        <v>0</v>
      </c>
      <c r="LQ132" s="417">
        <f t="shared" si="65"/>
        <v>0</v>
      </c>
      <c r="LR132" s="417">
        <f>VLOOKUP($LQ$8,'Jan-2026 rates'!$H:$I,2,0)</f>
        <v>0</v>
      </c>
      <c r="LS132" s="417">
        <f t="shared" si="66"/>
        <v>0</v>
      </c>
      <c r="LT132" s="417">
        <f>VLOOKUP($LS$8,'Jan-2026 rates'!$H:$I,2,0)</f>
        <v>0</v>
      </c>
      <c r="LU132" s="417">
        <f t="shared" si="67"/>
        <v>0</v>
      </c>
      <c r="LV132" s="417">
        <f>VLOOKUP($LU$8,'Jan-2026 rates'!$H:$I,2,0)</f>
        <v>0</v>
      </c>
      <c r="LW132" s="417">
        <f t="shared" si="68"/>
        <v>0</v>
      </c>
      <c r="LX132" s="417">
        <f t="shared" si="69"/>
        <v>0</v>
      </c>
      <c r="LY132" s="418">
        <f t="shared" si="70"/>
        <v>0</v>
      </c>
      <c r="LZ132" s="417"/>
      <c r="MA132" s="435">
        <f t="shared" si="71"/>
        <v>30</v>
      </c>
      <c r="MB132" s="282">
        <f t="shared" si="72"/>
        <v>22</v>
      </c>
      <c r="MC132" s="283">
        <v>87</v>
      </c>
      <c r="MD132" s="284" t="str">
        <f t="shared" si="73"/>
        <v>FLINTSL</v>
      </c>
      <c r="ME132" s="293" t="str">
        <f t="shared" si="74"/>
        <v>+</v>
      </c>
      <c r="MF132" s="293" t="str">
        <f t="shared" si="75"/>
        <v>NIL</v>
      </c>
      <c r="MG132" s="293" t="str">
        <f t="shared" si="76"/>
        <v>NIL</v>
      </c>
      <c r="MH132" s="293" t="str">
        <f t="shared" si="77"/>
        <v>NIL</v>
      </c>
      <c r="MI132" s="293" t="str">
        <f t="shared" si="78"/>
        <v>NIL</v>
      </c>
      <c r="MJ132" s="293" t="str">
        <f t="shared" si="79"/>
        <v>NIL</v>
      </c>
      <c r="MK132" s="293" t="str">
        <f t="shared" si="80"/>
        <v>NIL</v>
      </c>
      <c r="ML132" s="293" t="str">
        <f t="shared" si="81"/>
        <v>NIL</v>
      </c>
      <c r="MM132" s="3" t="b">
        <f t="array" ref="MM132">OR(ME132:ML132="-")</f>
        <v>0</v>
      </c>
      <c r="MN132" s="285"/>
      <c r="MO132" s="401"/>
      <c r="MP132" s="286"/>
      <c r="MQ132" s="286"/>
      <c r="MR132" s="402"/>
      <c r="MS132" s="400"/>
      <c r="NH132" s="422"/>
      <c r="NJ132" s="421"/>
    </row>
    <row r="133" spans="1:374" s="1" customFormat="1" ht="16.5">
      <c r="A133" s="403">
        <v>46035</v>
      </c>
      <c r="B133" s="404" t="s">
        <v>1015</v>
      </c>
      <c r="C133" s="405" t="s">
        <v>3369</v>
      </c>
      <c r="D133" s="406">
        <v>88</v>
      </c>
      <c r="E133" s="404">
        <v>469</v>
      </c>
      <c r="F133" s="407">
        <v>20100</v>
      </c>
      <c r="G133" s="407" t="s">
        <v>1019</v>
      </c>
      <c r="H133" s="408" t="s">
        <v>1017</v>
      </c>
      <c r="I133" s="409">
        <v>1.74</v>
      </c>
      <c r="J133" s="405" t="s">
        <v>857</v>
      </c>
      <c r="K133" s="404" t="s">
        <v>3370</v>
      </c>
      <c r="L133" s="419" t="str">
        <f t="shared" si="54"/>
        <v>FLINTSL - RED</v>
      </c>
      <c r="M133" s="404">
        <v>22</v>
      </c>
      <c r="N133" s="410">
        <f>IF(M133=0,0,IF($LB133=70%,VLOOKUP($L133,'Jan-2026 rates'!$L:$R,4,0),IF($LB133=65%,VLOOKUP($L133,'Jan-2026 rates'!$L:$R,4,0),IF($LB133=40%,VLOOKUP($L133,'Jan-2026 rates'!$L:$R,5,0),IF($LB133=30%,VLOOKUP($L133,'Jan-2026 rates'!$L:$R,6,0),IF($LB133=100%,VLOOKUP($L133,'Jan-2026 rates'!$L:$R,7,0),IF($LB133=60%,VLOOKUP($L133,'Jan-2026 rates'!$L:$S,8,0),IF($LB133=80%,VLOOKUP($L133,'Jan-2026 rates'!L:T,9,0),0))))))))</f>
        <v>0</v>
      </c>
      <c r="O133" s="406" t="s">
        <v>3371</v>
      </c>
      <c r="P133" s="404">
        <v>5</v>
      </c>
      <c r="Q133" s="410">
        <f>IF(P133=0,0,IF($LB133=70%,VLOOKUP($L133,'Jan-2026 rates'!$L:$R,4,0),IF($LB133=65%,VLOOKUP($L133,'Jan-2026 rates'!$L:$R,4,0),IF($LB133=40%,VLOOKUP($L133,'Jan-2026 rates'!$L:$R,5,0),IF($LB133=30%,VLOOKUP($L133,'Jan-2026 rates'!$L:$R,6,0),IF($LB133=100%,VLOOKUP($L133,'Jan-2026 rates'!$L:$R,7,0),IF($LB133=60%,VLOOKUP($L133,'Jan-2026 rates'!$L:$S,8,0),IF($LB133=80%,VLOOKUP($L133,'Jan-2026 rates'!L:T,9,0),0))))))))</f>
        <v>0</v>
      </c>
      <c r="R133" s="406">
        <v>26513000019</v>
      </c>
      <c r="S133" s="406">
        <v>26508000001</v>
      </c>
      <c r="T133" s="406"/>
      <c r="U133" s="406"/>
      <c r="V133" s="406"/>
      <c r="W133" s="406"/>
      <c r="X133" s="406"/>
      <c r="Y133" s="406"/>
      <c r="Z133" s="404">
        <f>3+1</f>
        <v>4</v>
      </c>
      <c r="AA133" s="398" t="e">
        <f>IF(Z133=0,0,IF(LEN(R133)=11,_xlfn.XLOOKUP(R133,'Dispensed Ink Rates'!C:C,'Dispensed Ink Rates'!CS:CS),VLOOKUP(R133,'Jan-2026 rates'!$E:$F,2,0)))</f>
        <v>#N/A</v>
      </c>
      <c r="AB133" s="404">
        <v>4</v>
      </c>
      <c r="AC133" s="398" t="e">
        <f>IF(AB133=0,0,IF(LEN(S133)=11,_xlfn.XLOOKUP(S133,'Dispensed Ink Rates'!C:C,'Dispensed Ink Rates'!CS:CS),VLOOKUP(S133,'Jan-2026 rates'!$E:$F,2,0)))</f>
        <v>#N/A</v>
      </c>
      <c r="AD133" s="404"/>
      <c r="AE133" s="398">
        <f>IF(AD133=0,0,IF(LEN(T133)=11,_xlfn.XLOOKUP(T133,'Dispensed Ink Rates'!C:C,'Dispensed Ink Rates'!CS:CS),VLOOKUP(T133,'Jan-2026 rates'!$E:$F,2,0)))</f>
        <v>0</v>
      </c>
      <c r="AF133" s="404"/>
      <c r="AG133" s="398">
        <f>IF(AF133=0,0,IF(LEN(U133)=11,_xlfn.XLOOKUP(U133,'Dispensed Ink Rates'!C:C,'Dispensed Ink Rates'!CS:CS),VLOOKUP(U133,'Jan-2026 rates'!$E:$F,2,0)))</f>
        <v>0</v>
      </c>
      <c r="AH133" s="404"/>
      <c r="AI133" s="398">
        <f>IF(AH133=0,0,IF(LEN(V133)=11,_xlfn.XLOOKUP(V133,'Dispensed Ink Rates'!C:C,'Dispensed Ink Rates'!CS:CS),VLOOKUP(V133,'Jan-2026 rates'!$E:$F,2,0)))</f>
        <v>0</v>
      </c>
      <c r="AJ133" s="404"/>
      <c r="AK133" s="398">
        <f>IF(AJ133=0,0,IF(LEN(W133)=11,_xlfn.XLOOKUP(W133,'Dispensed Ink Rates'!C:C,'Dispensed Ink Rates'!CS:CS),VLOOKUP(W133,'Jan-2026 rates'!$E:$F,2,0)))</f>
        <v>0</v>
      </c>
      <c r="AL133" s="404"/>
      <c r="AM133" s="398">
        <f>IF(AL133=0,0,IF(LEN(X133)=11,_xlfn.XLOOKUP(X133,'Dispensed Ink Rates'!C:C,'Dispensed Ink Rates'!CS:CS),VLOOKUP(X133,'Jan-2026 rates'!$E:$F,2,0)))</f>
        <v>0</v>
      </c>
      <c r="AN133" s="404"/>
      <c r="AO133" s="398">
        <f>IF(AN133=0,0,IF(LEN(Y133)=11,_xlfn.XLOOKUP(Y133,'Dispensed Ink Rates'!C:C,'Dispensed Ink Rates'!CS:CS),VLOOKUP(Y133,'Jan-2026 rates'!$E:$F,2,0)))</f>
        <v>0</v>
      </c>
      <c r="AP133" s="409" t="s">
        <v>1443</v>
      </c>
      <c r="AQ133" s="409">
        <v>25</v>
      </c>
      <c r="AR133" s="410">
        <f t="shared" si="82"/>
        <v>0</v>
      </c>
      <c r="AS133" s="411">
        <f t="shared" si="83"/>
        <v>16.220588235294116</v>
      </c>
      <c r="AT133" s="410">
        <f t="shared" si="84"/>
        <v>0</v>
      </c>
      <c r="AU133" s="405" t="s">
        <v>857</v>
      </c>
      <c r="AV133" s="409" t="s">
        <v>3372</v>
      </c>
      <c r="AW133" s="420" t="str">
        <f t="shared" si="53"/>
        <v>FLINTSL - RED</v>
      </c>
      <c r="AX133" s="409">
        <v>33</v>
      </c>
      <c r="AY133" s="411">
        <f>IF(AX133=0,0,IF($LB133=70%,VLOOKUP($AW133,'Jan-2026 rates'!$L:$R,4,0),IF($LB133=65%,VLOOKUP($AW133,'Jan-2026 rates'!$L:$R,4,0),IF($LB133=40%,VLOOKUP($AW133,'Jan-2026 rates'!$L:$R,5,0),IF($LB133=30%,VLOOKUP($AW133,'Jan-2026 rates'!$L:$R,6,0),IF($LB133=100%,VLOOKUP($AW133,'Jan-2026 rates'!$L:$R,7,0),IF($LB133=60%,VLOOKUP($AW133,'Jan-2026 rates'!$L:$S,8,0),IF($LB133=80%,VLOOKUP($AW133,'Jan-2026 rates'!L:T,9,0),0))))))))</f>
        <v>0</v>
      </c>
      <c r="AZ133" s="412"/>
      <c r="BA133" s="409"/>
      <c r="BB133" s="411">
        <f>IF(BA133=0,0,IF($LB133=70%,VLOOKUP($AW133,'Jan-2026 rates'!$L:$R,4,0),IF($LB133=65%,VLOOKUP($AW133,'Jan-2026 rates'!$L:$R,4,0),IF($LB133=40%,VLOOKUP($AW133,'Jan-2026 rates'!$L:$R,5,0),IF($LB133=30%,VLOOKUP($AW133,'Jan-2026 rates'!$L:$R,6,0),IF($LB133=100%,VLOOKUP($AW133,'Jan-2026 rates'!$L:$R,7,0),IF($LB133=60%,VLOOKUP($AW133,'Jan-2026 rates'!$L:$S,8,0),IF($LB133=80%,VLOOKUP($AW133,'Jan-2026 rates'!L:T,9,0),0))))))))</f>
        <v>0</v>
      </c>
      <c r="BC133" s="413">
        <v>26513000019</v>
      </c>
      <c r="BD133" s="412">
        <v>26508000001</v>
      </c>
      <c r="BE133" s="412"/>
      <c r="BF133" s="413"/>
      <c r="BG133" s="412"/>
      <c r="BH133" s="412"/>
      <c r="BI133" s="412"/>
      <c r="BJ133" s="412"/>
      <c r="BK133" s="409">
        <v>7</v>
      </c>
      <c r="BL133" s="398" t="e">
        <f>IF(BK133=0,0,IF(LEN(BC133)=11,_xlfn.XLOOKUP(BC133,'Dispensed Ink Rates'!C:C,'Dispensed Ink Rates'!CS:CS),VLOOKUP(BC133,'Jan-2026 rates'!$E:$F,2,0)))</f>
        <v>#N/A</v>
      </c>
      <c r="BM133" s="409">
        <f>4+6</f>
        <v>10</v>
      </c>
      <c r="BN133" s="398" t="e">
        <f>IF(BM133=0,0,IF(LEN(BD133)=11,_xlfn.XLOOKUP(BD133,'Dispensed Ink Rates'!C:C,'Dispensed Ink Rates'!CS:CS),VLOOKUP(BD133,'Jan-2026 rates'!$E:$F,2,0)))</f>
        <v>#N/A</v>
      </c>
      <c r="BO133" s="409"/>
      <c r="BP133" s="398">
        <f>IF(BO133=0,0,IF(LEN(BE133)=11,_xlfn.XLOOKUP(BE133,'Dispensed Ink Rates'!C:C,'Dispensed Ink Rates'!CS:CS),VLOOKUP(BE133,'Jan-2026 rates'!$E:$F,2,0)))</f>
        <v>0</v>
      </c>
      <c r="BQ133" s="409"/>
      <c r="BR133" s="398">
        <f>IF(BQ133=0,0,IF(LEN(BF133)=11,_xlfn.XLOOKUP(BF133,'Dispensed Ink Rates'!C:C,'Dispensed Ink Rates'!CS:CS),VLOOKUP(BF133,'Jan-2026 rates'!$E:$F,2,0)))</f>
        <v>0</v>
      </c>
      <c r="BS133" s="409"/>
      <c r="BT133" s="398">
        <f>IF(BS133=0,0,IF(LEN(BG133)=11,_xlfn.XLOOKUP(BG133,'Dispensed Ink Rates'!C:C,'Dispensed Ink Rates'!CS:CS),VLOOKUP(BG133,'Jan-2026 rates'!$E:$F,2,0)))</f>
        <v>0</v>
      </c>
      <c r="BU133" s="409"/>
      <c r="BV133" s="398">
        <f>IF(BU133=0,0,IF(LEN(BH133)=11,_xlfn.XLOOKUP(BH133,'Dispensed Ink Rates'!C:C,'Dispensed Ink Rates'!CS:CS),VLOOKUP(BH133,'Jan-2026 rates'!$E:$F,2,0)))</f>
        <v>0</v>
      </c>
      <c r="BW133" s="409"/>
      <c r="BX133" s="398">
        <f>IF(BW133=0,0,IF(LEN(BI133)=11,_xlfn.XLOOKUP(BI133,'Dispensed Ink Rates'!C:C,'Dispensed Ink Rates'!CS:CS),VLOOKUP(BI133,'Jan-2026 rates'!$E:$F,2,0)))</f>
        <v>0</v>
      </c>
      <c r="BY133" s="409"/>
      <c r="BZ133" s="398">
        <f>IF(BY133=0,0,IF(LEN(BJ133)=11,_xlfn.XLOOKUP(BJ133,'Dispensed Ink Rates'!C:C,'Dispensed Ink Rates'!CS:CS),VLOOKUP(BJ133,'Jan-2026 rates'!$E:$F,2,0)))</f>
        <v>0</v>
      </c>
      <c r="CA133" s="409" t="s">
        <v>1443</v>
      </c>
      <c r="CB133" s="409">
        <v>30</v>
      </c>
      <c r="CC133" s="411">
        <f t="shared" si="85"/>
        <v>0</v>
      </c>
      <c r="CD133" s="411">
        <f t="shared" si="86"/>
        <v>30.367647058823529</v>
      </c>
      <c r="CE133" s="410">
        <f t="shared" si="87"/>
        <v>0</v>
      </c>
      <c r="CF133" s="404" t="s">
        <v>856</v>
      </c>
      <c r="CG133" s="409" t="s">
        <v>3373</v>
      </c>
      <c r="CH133" s="420" t="str">
        <f t="shared" si="55"/>
        <v>FLINTSL - WHITE</v>
      </c>
      <c r="CI133" s="409">
        <v>30</v>
      </c>
      <c r="CJ133" s="411">
        <f>IF(CI133=0,0,IF($LB133=70%,VLOOKUP($CH133,'Jan-2026 rates'!$L:$R,4,0),IF($LB133=65%,VLOOKUP($CH133,'Jan-2026 rates'!$L:$R,4,0),IF($LB133=40%,VLOOKUP($CH133,'Jan-2026 rates'!$L:$R,5,0),IF($LB133=30%,VLOOKUP($CH133,'Jan-2026 rates'!$L:$R,6,0),IF($LB133=100%,VLOOKUP($CH133,'Jan-2026 rates'!$L:$R,7,0),IF($LB133=60%,VLOOKUP($CH133,'Jan-2026 rates'!$L:$S,8,0),IF($LB133=80%,VLOOKUP($CH133,'Jan-2026 rates'!L:T,9,0),0))))))))</f>
        <v>0</v>
      </c>
      <c r="CK133" s="412"/>
      <c r="CL133" s="409"/>
      <c r="CM133" s="411">
        <f>IF(CL133=0,0,IF($LB133=70%,VLOOKUP($CH133,'Jan-2026 rates'!$L:$R,4,0),IF($LB133=65%,VLOOKUP($CH133,'Jan-2026 rates'!$L:$R,4,0),IF($LB133=40%,VLOOKUP($CH133,'Jan-2026 rates'!$L:$R,5,0),IF($LB133=30%,VLOOKUP($CH133,'Jan-2026 rates'!$L:$R,6,0),IF($LB133=100%,VLOOKUP($CH133,'Jan-2026 rates'!$L:$R,7,0),IF($LB133=60%,VLOOKUP($CH133,'Jan-2026 rates'!$L:$S,8,0),IF($LB133=80%,VLOOKUP($CH133,'Jan-2026 rates'!L:T,9,0),0))))))))</f>
        <v>0</v>
      </c>
      <c r="CN133" s="426" t="s">
        <v>484</v>
      </c>
      <c r="CO133" s="427"/>
      <c r="CP133" s="426"/>
      <c r="CQ133" s="426"/>
      <c r="CR133" s="428"/>
      <c r="CS133" s="428"/>
      <c r="CT133" s="428"/>
      <c r="CU133" s="428"/>
      <c r="CV133" s="409">
        <v>100</v>
      </c>
      <c r="CW133" s="398">
        <f>IF(CV133=0,0,IF(LEN(CN133)=11,_xlfn.XLOOKUP(CN133,'Dispensed Ink Rates'!C:C,'Dispensed Ink Rates'!CS:CS),VLOOKUP(CN133,'Jan-2026 rates'!$E:$F,2,0)))</f>
        <v>0</v>
      </c>
      <c r="CX133" s="409"/>
      <c r="CY133" s="398">
        <f>IF(CX133=0,0,IF(LEN(CO133)=11,_xlfn.XLOOKUP(CO133,'Dispensed Ink Rates'!C:C,'Dispensed Ink Rates'!CS:CS),VLOOKUP(CO133,'Jan-2026 rates'!$E:$F,2,0)))</f>
        <v>0</v>
      </c>
      <c r="CZ133" s="409"/>
      <c r="DA133" s="398">
        <f>IF(CZ133=0,0,IF(LEN(CP133)=11,_xlfn.XLOOKUP(CP133,'Dispensed Ink Rates'!C:C,'Dispensed Ink Rates'!CS:CS),VLOOKUP(CP133,'Jan-2026 rates'!$E:$F,2,0)))</f>
        <v>0</v>
      </c>
      <c r="DB133" s="409"/>
      <c r="DC133" s="398">
        <f>IF(DB133=0,0,IF(LEN(CQ133)=11,_xlfn.XLOOKUP(CQ133,'Dispensed Ink Rates'!C:C,'Dispensed Ink Rates'!CS:CS),VLOOKUP(CQ133,'Jan-2026 rates'!$E:$F,2,0)))</f>
        <v>0</v>
      </c>
      <c r="DD133" s="409"/>
      <c r="DE133" s="398">
        <f>IF(DD133=0,0,IF(LEN(CR133)=11,_xlfn.XLOOKUP(CR133,'Dispensed Ink Rates'!C:C,'Dispensed Ink Rates'!CS:CS),VLOOKUP(CR133,'Jan-2026 rates'!$E:$F,2,0)))</f>
        <v>0</v>
      </c>
      <c r="DF133" s="409"/>
      <c r="DG133" s="398">
        <f>IF(DF133=0,0,IF(LEN(CS133)=11,_xlfn.XLOOKUP(CS133,'Dispensed Ink Rates'!C:C,'Dispensed Ink Rates'!CS:CS),VLOOKUP(CS133,'Jan-2026 rates'!$E:$F,2,0)))</f>
        <v>0</v>
      </c>
      <c r="DH133" s="409"/>
      <c r="DI133" s="398">
        <f>IF(DH133=0,0,IF(LEN(CT133)=11,_xlfn.XLOOKUP(CT133,'Dispensed Ink Rates'!C:C,'Dispensed Ink Rates'!CS:CS),VLOOKUP(CT133,'Jan-2026 rates'!$E:$F,2,0)))</f>
        <v>0</v>
      </c>
      <c r="DJ133" s="409"/>
      <c r="DK133" s="398">
        <f>IF(DJ133=0,0,IF(LEN(CU133)=11,_xlfn.XLOOKUP(CU133,'Dispensed Ink Rates'!C:C,'Dispensed Ink Rates'!CS:CS),VLOOKUP(CU133,'Jan-2026 rates'!$E:$F,2,0)))</f>
        <v>0</v>
      </c>
      <c r="DL133" s="409" t="s">
        <v>1443</v>
      </c>
      <c r="DM133" s="409">
        <v>27</v>
      </c>
      <c r="DN133" s="411">
        <f t="shared" si="88"/>
        <v>0</v>
      </c>
      <c r="DO133" s="411">
        <f t="shared" si="89"/>
        <v>227.41176470588235</v>
      </c>
      <c r="DP133" s="410">
        <f t="shared" si="90"/>
        <v>0</v>
      </c>
      <c r="DQ133" s="405"/>
      <c r="DR133" s="409"/>
      <c r="DS133" s="420" t="str">
        <f t="shared" si="56"/>
        <v xml:space="preserve"> - </v>
      </c>
      <c r="DT133" s="409"/>
      <c r="DU133" s="411">
        <f>IF(DT133=0,0,IF($LB133=70%,VLOOKUP($DS133,'Jan-2026 rates'!$L:$R,4,0),IF($LB133=65%,VLOOKUP($DS133,'Jan-2026 rates'!$L:$R,4,0),IF($LB133=40%,VLOOKUP($DS133,'Jan-2026 rates'!$L:$R,5,0),IF($LB133=30%,VLOOKUP($DS133,'Jan-2026 rates'!$L:$R,6,0),IF($LB133=100%,VLOOKUP($DS133,'Jan-2026 rates'!$L:$R,7,0),IF($LB133=60%,VLOOKUP($DS133,'Jan-2026 rates'!$L:$S,8,0),IF($LB133=80%,VLOOKUP($DS133,'Jan-2026 rates'!L:T,9,0),0))))))))</f>
        <v>0</v>
      </c>
      <c r="DV133" s="412"/>
      <c r="DW133" s="409"/>
      <c r="DX133" s="411">
        <f>IF(DW133=0,0,IF($LB133=70%,VLOOKUP($DS133,'Jan-2026 rates'!$L:$R,4,0),IF($LB133=65%,VLOOKUP($DS133,'Jan-2026 rates'!$L:$R,4,0),IF($LB133=40%,VLOOKUP($DS133,'Jan-2026 rates'!$L:$R,5,0),IF($LB133=30%,VLOOKUP($DS133,'Jan-2026 rates'!$L:$R,6,0),IF($LB133=100%,VLOOKUP($DS133,'Jan-2026 rates'!$L:$R,7,0),IF($LB133=60%,VLOOKUP($DS133,'Jan-2026 rates'!$L:$S,8,0),IF($LB133=80%,VLOOKUP($DS133,'Jan-2026 rates'!L:T,9,0),0))))))))</f>
        <v>0</v>
      </c>
      <c r="DY133" s="413"/>
      <c r="DZ133" s="413"/>
      <c r="EA133" s="412"/>
      <c r="EB133" s="412"/>
      <c r="EC133" s="412"/>
      <c r="ED133" s="412"/>
      <c r="EE133" s="412"/>
      <c r="EF133" s="412"/>
      <c r="EG133" s="409"/>
      <c r="EH133" s="398">
        <f>IF(EG133=0,0,IF(LEN(DY133)=11,_xlfn.XLOOKUP(DY133,'Dispensed Ink Rates'!C:C,'Dispensed Ink Rates'!CS:CS),VLOOKUP(DY133,'Jan-2026 rates'!$E:$F,2,0)))</f>
        <v>0</v>
      </c>
      <c r="EI133" s="409"/>
      <c r="EJ133" s="398">
        <f>IF(EI133=0,0,IF(LEN(DZ133)=11,_xlfn.XLOOKUP(DZ133,'Dispensed Ink Rates'!C:C,'Dispensed Ink Rates'!CS:CS),VLOOKUP(DZ133,'Jan-2026 rates'!$E:$F,2,0)))</f>
        <v>0</v>
      </c>
      <c r="EK133" s="409"/>
      <c r="EL133" s="398">
        <f>IF(EK133=0,0,IF(LEN(EA133)=11,_xlfn.XLOOKUP(EA133,'Dispensed Ink Rates'!C:C,'Dispensed Ink Rates'!CS:CS),VLOOKUP(EA133,'Jan-2026 rates'!$E:$F,2,0)))</f>
        <v>0</v>
      </c>
      <c r="EM133" s="409"/>
      <c r="EN133" s="398">
        <f>IF(EM133=0,0,IF(LEN(EB133)=11,_xlfn.XLOOKUP(EB133,'Dispensed Ink Rates'!C:C,'Dispensed Ink Rates'!CS:CS),VLOOKUP(EB133,'Jan-2026 rates'!$E:$F,2,0)))</f>
        <v>0</v>
      </c>
      <c r="EO133" s="409"/>
      <c r="EP133" s="398">
        <f>IF(EO133=0,0,IF(LEN(EC133)=11,_xlfn.XLOOKUP(EC133,'Dispensed Ink Rates'!C:C,'Dispensed Ink Rates'!CS:CS),VLOOKUP(EC133,'Jan-2026 rates'!$E:$F,2,0)))</f>
        <v>0</v>
      </c>
      <c r="EQ133" s="409"/>
      <c r="ER133" s="398">
        <f>IF(EQ133=0,0,IF(LEN(ED133)=11,_xlfn.XLOOKUP(ED133,'Dispensed Ink Rates'!C:C,'Dispensed Ink Rates'!CS:CS),VLOOKUP(ED133,'Jan-2026 rates'!$E:$F,2,0)))</f>
        <v>0</v>
      </c>
      <c r="ES133" s="409"/>
      <c r="ET133" s="398">
        <f>IF(ES133=0,0,IF(LEN(EE133)=11,_xlfn.XLOOKUP(EE133,'Dispensed Ink Rates'!C:C,'Dispensed Ink Rates'!CS:CS),VLOOKUP(EE133,'Jan-2026 rates'!$E:$F,2,0)))</f>
        <v>0</v>
      </c>
      <c r="EU133" s="409"/>
      <c r="EV133" s="398">
        <f>IF(EU133=0,0,IF(LEN(EF133)=11,_xlfn.XLOOKUP(EF133,'Dispensed Ink Rates'!C:C,'Dispensed Ink Rates'!CS:CS),VLOOKUP(EF133,'Jan-2026 rates'!$E:$F,2,0)))</f>
        <v>0</v>
      </c>
      <c r="EW133" s="409"/>
      <c r="EX133" s="409"/>
      <c r="EY133" s="411">
        <f t="shared" si="91"/>
        <v>0</v>
      </c>
      <c r="EZ133" s="411">
        <f t="shared" si="92"/>
        <v>0</v>
      </c>
      <c r="FA133" s="410">
        <f t="shared" si="93"/>
        <v>0</v>
      </c>
      <c r="FB133" s="405"/>
      <c r="FC133" s="409"/>
      <c r="FD133" s="420" t="str">
        <f t="shared" si="57"/>
        <v xml:space="preserve"> - </v>
      </c>
      <c r="FE133" s="409"/>
      <c r="FF133" s="411">
        <f>IF(FE133=0,0,IF($LB133=70%,VLOOKUP($FD133,'Jan-2026 rates'!$L:$R,4,0),IF($LB133=65%,VLOOKUP($FD133,'Jan-2026 rates'!$L:$R,4,0),IF($LB133=40%,VLOOKUP($FD133,'Jan-2026 rates'!$L:$R,5,0),IF($LB133=30%,VLOOKUP($FD133,'Jan-2026 rates'!$L:$R,6,0),IF($LB133=100%,VLOOKUP($FD133,'Jan-2026 rates'!$L:$R,7,0),IF($LB133=60%,VLOOKUP($FD133,'Jan-2026 rates'!$L:$S,8,0),IF($LB133=80%,VLOOKUP($FD133,'Jan-2026 rates'!L:T,9,0),0))))))))</f>
        <v>0</v>
      </c>
      <c r="FG133" s="412"/>
      <c r="FH133" s="409"/>
      <c r="FI133" s="411">
        <f>IF(FH133=0,0,IF($LB133=70%,VLOOKUP($FD133,'Jan-2026 rates'!$L:$R,4,0),IF($LB133=65%,VLOOKUP($FD133,'Jan-2026 rates'!$L:$R,4,0),IF($LB133=40%,VLOOKUP($FD133,'Jan-2026 rates'!$L:$R,5,0),IF($LB133=30%,VLOOKUP($FD133,'Jan-2026 rates'!$L:$R,6,0),IF($LB133=100%,VLOOKUP($FD133,'Jan-2026 rates'!$L:$R,7,0),IF($LB133=60%,VLOOKUP($FD133,'Jan-2026 rates'!$L:$S,8,0),IF($LB133=80%,VLOOKUP($FD133,'Jan-2026 rates'!L:T,9,0),0))))))))</f>
        <v>0</v>
      </c>
      <c r="FJ133" s="413"/>
      <c r="FK133" s="413"/>
      <c r="FL133" s="413"/>
      <c r="FM133" s="412"/>
      <c r="FN133" s="412"/>
      <c r="FO133" s="412"/>
      <c r="FP133" s="412"/>
      <c r="FQ133" s="412"/>
      <c r="FR133" s="409"/>
      <c r="FS133" s="398">
        <f>IF(FR133=0,0,IF(LEN(FJ133)=11,_xlfn.XLOOKUP(FJ133,'Dispensed Ink Rates'!C:C,'Dispensed Ink Rates'!CS:CS),VLOOKUP(FJ133,'Jan-2026 rates'!$E:$F,2,0)))</f>
        <v>0</v>
      </c>
      <c r="FT133" s="409"/>
      <c r="FU133" s="398">
        <f>IF(FT133=0,0,IF(LEN(FK133)=11,_xlfn.XLOOKUP(FK133,'Dispensed Ink Rates'!C:C,'Dispensed Ink Rates'!CS:CS),VLOOKUP(FK133,'Jan-2026 rates'!$E:$F,2,0)))</f>
        <v>0</v>
      </c>
      <c r="FV133" s="409"/>
      <c r="FW133" s="398">
        <f>IF(FV133=0,0,IF(LEN(FL133)=11,_xlfn.XLOOKUP(FL133,'Dispensed Ink Rates'!C:C,'Dispensed Ink Rates'!CS:CS),VLOOKUP(FL133,'Jan-2026 rates'!$E:$F,2,0)))</f>
        <v>0</v>
      </c>
      <c r="FX133" s="409"/>
      <c r="FY133" s="398">
        <f>IF(FX133=0,0,IF(LEN(FM133)=11,_xlfn.XLOOKUP(FM133,'Dispensed Ink Rates'!C:C,'Dispensed Ink Rates'!CS:CS),VLOOKUP(FM133,'Jan-2026 rates'!$E:$F,2,0)))</f>
        <v>0</v>
      </c>
      <c r="FZ133" s="409"/>
      <c r="GA133" s="398">
        <f>IF(FZ133=0,0,IF(LEN(FN133)=11,_xlfn.XLOOKUP(FN133,'Dispensed Ink Rates'!C:C,'Dispensed Ink Rates'!CS:CS),VLOOKUP(FN133,'Jan-2026 rates'!$E:$F,2,0)))</f>
        <v>0</v>
      </c>
      <c r="GB133" s="409"/>
      <c r="GC133" s="398">
        <f>IF(GB133=0,0,IF(LEN(FO133)=11,_xlfn.XLOOKUP(FO133,'Dispensed Ink Rates'!C:C,'Dispensed Ink Rates'!CS:CS),VLOOKUP(FO133,'Jan-2026 rates'!$E:$F,2,0)))</f>
        <v>0</v>
      </c>
      <c r="GD133" s="409"/>
      <c r="GE133" s="398">
        <f>IF(GD133=0,0,IF(LEN(FP133)=11,_xlfn.XLOOKUP(FP133,'Dispensed Ink Rates'!C:C,'Dispensed Ink Rates'!CS:CS),VLOOKUP(FP133,'Jan-2026 rates'!$E:$F,2,0)))</f>
        <v>0</v>
      </c>
      <c r="GF133" s="409"/>
      <c r="GG133" s="398">
        <f>IF(GF133=0,0,IF(LEN(FQ133)=11,_xlfn.XLOOKUP(FQ133,'Dispensed Ink Rates'!C:C,'Dispensed Ink Rates'!CS:CS),VLOOKUP(FQ133,'Jan-2026 rates'!$E:$F,2,0)))</f>
        <v>0</v>
      </c>
      <c r="GH133" s="409"/>
      <c r="GI133" s="409"/>
      <c r="GJ133" s="411">
        <f t="shared" si="94"/>
        <v>0</v>
      </c>
      <c r="GK133" s="411">
        <f t="shared" si="95"/>
        <v>0</v>
      </c>
      <c r="GL133" s="410">
        <f t="shared" si="96"/>
        <v>0</v>
      </c>
      <c r="GM133" s="405"/>
      <c r="GN133" s="409"/>
      <c r="GO133" s="420" t="str">
        <f t="shared" si="58"/>
        <v xml:space="preserve"> - </v>
      </c>
      <c r="GP133" s="409"/>
      <c r="GQ133" s="411">
        <f>IF(GP133=0,0,IF($LB133=70%,VLOOKUP($GO133,'Jan-2026 rates'!$L:$R,4,0),IF($LB133=65%,VLOOKUP($GO133,'Jan-2026 rates'!$L:$R,4,0),IF($LB133=40%,VLOOKUP($GO133,'Jan-2026 rates'!$L:$R,5,0),IF($LB133=30%,VLOOKUP($GO133,'Jan-2026 rates'!$L:$R,6,0),IF($LB133=100%,VLOOKUP($GO133,'Jan-2026 rates'!$L:$R,7,0),IF($LB133=60%,VLOOKUP($GO133,'Jan-2026 rates'!$L:$S,8,0),IF($LB133=80%,VLOOKUP($GO133,'Jan-2026 rates'!L:T,9,0),0))))))))</f>
        <v>0</v>
      </c>
      <c r="GR133" s="412"/>
      <c r="GS133" s="409"/>
      <c r="GT133" s="411">
        <f>IF(GS133=0,0,IF($LB133=70%,VLOOKUP($GO133,'Jan-2026 rates'!$L:$R,4,0),IF($LB133=65%,VLOOKUP($GO133,'Jan-2026 rates'!$L:$R,4,0),IF($LB133=40%,VLOOKUP($GO133,'Jan-2026 rates'!$L:$R,5,0),IF($LB133=30%,VLOOKUP($GO133,'Jan-2026 rates'!$L:$R,6,0),IF($LB133=100%,VLOOKUP($GO133,'Jan-2026 rates'!$L:$R,7,0),IF($LB133=60%,VLOOKUP($GO133,'Jan-2026 rates'!$L:$S,8,0),IF($LB133=80%,VLOOKUP($GO133,'Jan-2026 rates'!L:T,9,0),0))))))))</f>
        <v>0</v>
      </c>
      <c r="GU133" s="413"/>
      <c r="GV133" s="413"/>
      <c r="GW133" s="412"/>
      <c r="GX133" s="412"/>
      <c r="GY133" s="412"/>
      <c r="GZ133" s="412"/>
      <c r="HA133" s="412"/>
      <c r="HB133" s="412"/>
      <c r="HC133" s="409"/>
      <c r="HD133" s="398">
        <f>IF(HC133=0,0,IF(LEN(GU133)=11,_xlfn.XLOOKUP(GU133,'Dispensed Ink Rates'!C:C,'Dispensed Ink Rates'!CS:CS),VLOOKUP(GU133,'Jan-2026 rates'!$E:$F,2,0)))</f>
        <v>0</v>
      </c>
      <c r="HE133" s="409"/>
      <c r="HF133" s="398">
        <f>IF(HE133=0,0,IF(LEN(GV133)=11,_xlfn.XLOOKUP(GV133,'Dispensed Ink Rates'!C:C,'Dispensed Ink Rates'!CS:CS),VLOOKUP(GV133,'Jan-2026 rates'!$E:$F,2,0)))</f>
        <v>0</v>
      </c>
      <c r="HG133" s="409"/>
      <c r="HH133" s="398">
        <f>IF(HG133=0,0,IF(LEN(GW133)=11,_xlfn.XLOOKUP(GW133,'Dispensed Ink Rates'!C:C,'Dispensed Ink Rates'!CS:CS),VLOOKUP(GW133,'Jan-2026 rates'!$E:$F,2,0)))</f>
        <v>0</v>
      </c>
      <c r="HI133" s="409"/>
      <c r="HJ133" s="398">
        <f>IF(HI133=0,0,IF(LEN(GX133)=11,_xlfn.XLOOKUP(GX133,'Dispensed Ink Rates'!C:C,'Dispensed Ink Rates'!CS:CS),VLOOKUP(GX133,'Jan-2026 rates'!$E:$F,2,0)))</f>
        <v>0</v>
      </c>
      <c r="HK133" s="409"/>
      <c r="HL133" s="398">
        <f>IF(HK133=0,0,IF(LEN(GY133)=11,_xlfn.XLOOKUP(GY133,'Dispensed Ink Rates'!C:C,'Dispensed Ink Rates'!CS:CS),VLOOKUP(GY133,'Jan-2026 rates'!$E:$F,2,0)))</f>
        <v>0</v>
      </c>
      <c r="HM133" s="409"/>
      <c r="HN133" s="398">
        <f>IF(HM133=0,0,IF(LEN(GZ133)=11,_xlfn.XLOOKUP(GZ133,'Dispensed Ink Rates'!C:C,'Dispensed Ink Rates'!CS:CS),VLOOKUP(GZ133,'Jan-2026 rates'!$E:$F,2,0)))</f>
        <v>0</v>
      </c>
      <c r="HO133" s="409"/>
      <c r="HP133" s="398">
        <f>IF(HO133=0,0,IF(LEN(HA133)=11,_xlfn.XLOOKUP(HA133,'Dispensed Ink Rates'!C:C,'Dispensed Ink Rates'!CS:CS),VLOOKUP(HA133,'Jan-2026 rates'!$E:$F,2,0)))</f>
        <v>0</v>
      </c>
      <c r="HQ133" s="409"/>
      <c r="HR133" s="398">
        <f>IF(HQ133=0,0,IF(LEN(HB133)=11,_xlfn.XLOOKUP(HB133,'Dispensed Ink Rates'!C:C,'Dispensed Ink Rates'!CS:CS),VLOOKUP(HB133,'Jan-2026 rates'!$E:$F,2,0)))</f>
        <v>0</v>
      </c>
      <c r="HS133" s="409"/>
      <c r="HT133" s="409"/>
      <c r="HU133" s="411">
        <f t="shared" si="97"/>
        <v>0</v>
      </c>
      <c r="HV133" s="411">
        <f t="shared" si="98"/>
        <v>0</v>
      </c>
      <c r="HW133" s="414">
        <f t="shared" si="99"/>
        <v>0</v>
      </c>
      <c r="HX133" s="405"/>
      <c r="HY133" s="409"/>
      <c r="HZ133" s="420" t="str">
        <f t="shared" si="59"/>
        <v xml:space="preserve"> - </v>
      </c>
      <c r="IA133" s="409"/>
      <c r="IB133" s="411">
        <f>IF(IA133=0,0,IF($LB133=70%,VLOOKUP($HZ133,'Jan-2026 rates'!$L:$R,4,0),IF($LB133=65%,VLOOKUP($HZ133,'Jan-2026 rates'!$L:$R,4,0),IF($LB133=40%,VLOOKUP($HZ133,'Jan-2026 rates'!$L:$R,5,0),IF($LB133=30%,VLOOKUP($HZ133,'Jan-2026 rates'!$L:$R,6,0),IF($LB133=100%,VLOOKUP($HZ133,'Jan-2026 rates'!$L:$R,7,0),IF($LB133=60%,VLOOKUP($HZ133,'Jan-2026 rates'!$L:$S,8,0),IF($LB133=80%,VLOOKUP($HZ133,'Jan-2026 rates'!L:T,9,0),0))))))))</f>
        <v>0</v>
      </c>
      <c r="IC133" s="412"/>
      <c r="ID133" s="409"/>
      <c r="IE133" s="411">
        <f>IF(ID133=0,0,IF($LB133=70%,VLOOKUP($HZ133,'Jan-2026 rates'!$L:$R,4,0),IF($LB133=65%,VLOOKUP($HZ133,'Jan-2026 rates'!$L:$R,4,0),IF($LB133=40%,VLOOKUP($HZ133,'Jan-2026 rates'!$L:$R,5,0),IF($LB133=30%,VLOOKUP($HZ133,'Jan-2026 rates'!$L:$R,6,0),IF($LB133=100%,VLOOKUP($HZ133,'Jan-2026 rates'!$L:$R,7,0),IF($LB133=60%,VLOOKUP($HZ133,'Jan-2026 rates'!$L:$S,8,0),IF($LB133=80%,VLOOKUP($HZ133,'Jan-2026 rates'!L:T,9,0),0))))))))</f>
        <v>0</v>
      </c>
      <c r="IF133" s="412"/>
      <c r="IG133" s="413"/>
      <c r="IH133" s="412"/>
      <c r="II133" s="412"/>
      <c r="IJ133" s="412"/>
      <c r="IK133" s="412"/>
      <c r="IL133" s="412"/>
      <c r="IM133" s="412"/>
      <c r="IN133" s="409"/>
      <c r="IO133" s="398">
        <f>IF(IN133=0,0,IF(LEN(IF133)=11,_xlfn.XLOOKUP(IF133,'Dispensed Ink Rates'!C:C,'Dispensed Ink Rates'!CS:CS),VLOOKUP(IF133,'Jan-2026 rates'!$E:$F,2,0)))</f>
        <v>0</v>
      </c>
      <c r="IP133" s="409"/>
      <c r="IQ133" s="398">
        <f>IF(IP133=0,0,IF(LEN(IG133)=11,_xlfn.XLOOKUP(IG133,'Dispensed Ink Rates'!C:C,'Dispensed Ink Rates'!CS:CS),VLOOKUP(IG133,'Jan-2026 rates'!$E:$F,2,0)))</f>
        <v>0</v>
      </c>
      <c r="IR133" s="409"/>
      <c r="IS133" s="398">
        <f>IF(IR133=0,0,IF(LEN(IH133)=11,_xlfn.XLOOKUP(IH133,'Dispensed Ink Rates'!C:C,'Dispensed Ink Rates'!CS:CS),VLOOKUP(IH133,'Jan-2026 rates'!$E:$F,2,0)))</f>
        <v>0</v>
      </c>
      <c r="IT133" s="409"/>
      <c r="IU133" s="398">
        <f>IF(IT133=0,0,IF(LEN(II133)=11,_xlfn.XLOOKUP(II133,'Dispensed Ink Rates'!C:C,'Dispensed Ink Rates'!CS:CS),VLOOKUP(II133,'Jan-2026 rates'!$E:$F,2,0)))</f>
        <v>0</v>
      </c>
      <c r="IV133" s="409"/>
      <c r="IW133" s="398">
        <f>IF(IV133=0,0,IF(LEN(IJ133)=11,_xlfn.XLOOKUP(IJ133,'Dispensed Ink Rates'!C:C,'Dispensed Ink Rates'!CS:CS),VLOOKUP(IJ133,'Jan-2026 rates'!$E:$F,2,0)))</f>
        <v>0</v>
      </c>
      <c r="IX133" s="409"/>
      <c r="IY133" s="398">
        <f>IF(IX133=0,0,IF(LEN(IK133)=11,_xlfn.XLOOKUP(IK133,'Dispensed Ink Rates'!C:C,'Dispensed Ink Rates'!CS:CS),VLOOKUP(IK133,'Jan-2026 rates'!$E:$F,2,0)))</f>
        <v>0</v>
      </c>
      <c r="IZ133" s="409"/>
      <c r="JA133" s="398">
        <f>IF(IZ133=0,0,IF(LEN(IL133)=11,_xlfn.XLOOKUP(IL133,'Dispensed Ink Rates'!C:C,'Dispensed Ink Rates'!CS:CS),VLOOKUP(IL133,'Jan-2026 rates'!$E:$F,2,0)))</f>
        <v>0</v>
      </c>
      <c r="JB133" s="409"/>
      <c r="JC133" s="398">
        <f>IF(JB133=0,0,IF(LEN(IM133)=11,_xlfn.XLOOKUP(IM133,'Dispensed Ink Rates'!C:C,'Dispensed Ink Rates'!CS:CS),VLOOKUP(IM133,'Jan-2026 rates'!$E:$F,2,0)))</f>
        <v>0</v>
      </c>
      <c r="JD133" s="409"/>
      <c r="JE133" s="409"/>
      <c r="JF133" s="411">
        <f t="shared" si="100"/>
        <v>0</v>
      </c>
      <c r="JG133" s="411">
        <f t="shared" si="101"/>
        <v>0</v>
      </c>
      <c r="JH133" s="410">
        <f t="shared" si="102"/>
        <v>0</v>
      </c>
      <c r="JI133" s="405"/>
      <c r="JJ133" s="409"/>
      <c r="JK133" s="420" t="str">
        <f t="shared" si="60"/>
        <v xml:space="preserve"> - </v>
      </c>
      <c r="JL133" s="409"/>
      <c r="JM133" s="411">
        <f>IF(JL133=0,0,IF($LB133=70%,VLOOKUP($JK133,'Jan-2026 rates'!$L:$R,4,0),IF($LB133=65%,VLOOKUP($JK133,'Jan-2026 rates'!$L:$R,4,0),IF($LB133=40%,VLOOKUP($JK133,'Jan-2026 rates'!$L:$R,5,0),IF($LB133=30%,VLOOKUP($JK133,'Jan-2026 rates'!$L:$R,6,0),IF($LB133=100%,VLOOKUP($JK133,'Jan-2026 rates'!$L:$R,7,0),IF($LB133=60%,VLOOKUP($JK133,'Jan-2026 rates'!$L:$S,8,0),IF($LB133=80%,VLOOKUP($JK133,'Jan-2026 rates'!L:T,9,0),0))))))))</f>
        <v>0</v>
      </c>
      <c r="JN133" s="412"/>
      <c r="JO133" s="409"/>
      <c r="JP133" s="411">
        <f>IF(JO133=0,0,IF($LB133=70%,VLOOKUP($JK133,'Jan-2026 rates'!$L:$R,4,0),IF($LB133=65%,VLOOKUP($JK133,'Jan-2026 rates'!$L:$R,4,0),IF($LB133=40%,VLOOKUP($JK133,'Jan-2026 rates'!$L:$R,5,0),IF($LB133=30%,VLOOKUP($JK133,'Jan-2026 rates'!$L:$R,6,0),IF($LB133=100%,VLOOKUP($JK133,'Jan-2026 rates'!$L:$R,7,0),IF($LB133=60%,VLOOKUP($JK133,'Jan-2026 rates'!$L:$S,8,0),IF($LB133=80%,VLOOKUP($JK133,'Jan-2026 rates'!L:T,9,0),0))))))))</f>
        <v>0</v>
      </c>
      <c r="JQ133" s="413"/>
      <c r="JR133" s="412"/>
      <c r="JS133" s="413"/>
      <c r="JT133" s="413"/>
      <c r="JU133" s="412"/>
      <c r="JV133" s="412"/>
      <c r="JW133" s="412"/>
      <c r="JX133" s="412"/>
      <c r="JY133" s="409"/>
      <c r="JZ133" s="398">
        <f>IF(JY133=0,0,IF(LEN(JQ133)=11,_xlfn.XLOOKUP(JQ133,'Dispensed Ink Rates'!C:C,'Dispensed Ink Rates'!CS:CS),VLOOKUP(JQ133,'Jan-2026 rates'!$E:$F,2,0)))</f>
        <v>0</v>
      </c>
      <c r="KA133" s="409"/>
      <c r="KB133" s="398">
        <f>IF(KA133=0,0,IF(LEN(JR133)=11,_xlfn.XLOOKUP(JR133,'Dispensed Ink Rates'!C:C,'Dispensed Ink Rates'!CS:CS),VLOOKUP(JR133,'Jan-2026 rates'!$E:$F,2,0)))</f>
        <v>0</v>
      </c>
      <c r="KC133" s="409"/>
      <c r="KD133" s="398">
        <f>IF(KC133=0,0,IF(LEN(JS133)=11,_xlfn.XLOOKUP(JS133,'Dispensed Ink Rates'!C:C,'Dispensed Ink Rates'!CS:CS),VLOOKUP(JS133,'Jan-2026 rates'!$E:$F,2,0)))</f>
        <v>0</v>
      </c>
      <c r="KE133" s="409"/>
      <c r="KF133" s="398">
        <f>IF(KE133=0,0,IF(LEN(JT133)=11,_xlfn.XLOOKUP(JT133,'Dispensed Ink Rates'!C:C,'Dispensed Ink Rates'!CS:CS),VLOOKUP(JT133,'Jan-2026 rates'!$E:$F,2,0)))</f>
        <v>0</v>
      </c>
      <c r="KG133" s="409"/>
      <c r="KH133" s="398">
        <f>IF(KG133=0,0,IF(LEN(JU133)=11,_xlfn.XLOOKUP(JU133,'Dispensed Ink Rates'!C:C,'Dispensed Ink Rates'!CS:CS),VLOOKUP(JU133,'Jan-2026 rates'!$E:$F,2,0)))</f>
        <v>0</v>
      </c>
      <c r="KI133" s="409"/>
      <c r="KJ133" s="398">
        <f>IF(KI133=0,0,IF(LEN(JV133)=11,_xlfn.XLOOKUP(JV133,'Dispensed Ink Rates'!C:C,'Dispensed Ink Rates'!CS:CS),VLOOKUP(JV133,'Jan-2026 rates'!$E:$F,2,0)))</f>
        <v>0</v>
      </c>
      <c r="KK133" s="409"/>
      <c r="KL133" s="398">
        <f>IF(KK133=0,0,IF(LEN(JW133)=11,_xlfn.XLOOKUP(JW133,'Dispensed Ink Rates'!C:C,'Dispensed Ink Rates'!CS:CS),VLOOKUP(JW133,'Jan-2026 rates'!$E:$F,2,0)))</f>
        <v>0</v>
      </c>
      <c r="KM133" s="428"/>
      <c r="KN133" s="398">
        <f>IF(KM133=0,0,IF(LEN(JX133)=11,_xlfn.XLOOKUP(JX133,'Dispensed Ink Rates'!C:C,'Dispensed Ink Rates'!CS:CS),VLOOKUP(JX133,'Jan-2026 rates'!$E:$F,2,0)))</f>
        <v>0</v>
      </c>
      <c r="KO133" s="409"/>
      <c r="KP133" s="409"/>
      <c r="KQ133" s="411">
        <f t="shared" si="103"/>
        <v>0</v>
      </c>
      <c r="KR133" s="411">
        <f t="shared" si="104"/>
        <v>0</v>
      </c>
      <c r="KS133" s="410">
        <f t="shared" si="105"/>
        <v>0</v>
      </c>
      <c r="KT133" s="409">
        <v>3</v>
      </c>
      <c r="KU133" s="409">
        <v>5</v>
      </c>
      <c r="KV133" s="409">
        <v>60</v>
      </c>
      <c r="KW133" s="409">
        <v>0</v>
      </c>
      <c r="KX133" s="409">
        <v>0</v>
      </c>
      <c r="KY133" s="409">
        <v>0</v>
      </c>
      <c r="KZ133" s="409">
        <v>0</v>
      </c>
      <c r="LA133" s="409">
        <v>0</v>
      </c>
      <c r="LB133" s="415">
        <v>0.8</v>
      </c>
      <c r="LC133" s="415">
        <v>0.2</v>
      </c>
      <c r="LD133" s="415"/>
      <c r="LE133" s="415"/>
      <c r="LF133" s="415"/>
      <c r="LG133" s="409">
        <v>0</v>
      </c>
      <c r="LH133" s="409">
        <f>60+20+49+12</f>
        <v>141</v>
      </c>
      <c r="LI133" s="409">
        <v>0</v>
      </c>
      <c r="LJ133" s="409">
        <v>0</v>
      </c>
      <c r="LK133" s="416">
        <f t="shared" si="61"/>
        <v>141</v>
      </c>
      <c r="LL133" s="416">
        <f t="shared" si="62"/>
        <v>141</v>
      </c>
      <c r="LM133" s="417">
        <f t="shared" si="63"/>
        <v>112.80000000000001</v>
      </c>
      <c r="LN133" s="417">
        <f>VLOOKUP($LM$8,'Jan-2026 rates'!$H:$I,2,0)</f>
        <v>0</v>
      </c>
      <c r="LO133" s="417">
        <f t="shared" si="64"/>
        <v>28.200000000000003</v>
      </c>
      <c r="LP133" s="417">
        <f>VLOOKUP($LO$8,'Jan-2026 rates'!$H:$I,2,0)</f>
        <v>0</v>
      </c>
      <c r="LQ133" s="417">
        <f t="shared" si="65"/>
        <v>0</v>
      </c>
      <c r="LR133" s="417">
        <f>VLOOKUP($LQ$8,'Jan-2026 rates'!$H:$I,2,0)</f>
        <v>0</v>
      </c>
      <c r="LS133" s="417">
        <f t="shared" si="66"/>
        <v>0</v>
      </c>
      <c r="LT133" s="417">
        <f>VLOOKUP($LS$8,'Jan-2026 rates'!$H:$I,2,0)</f>
        <v>0</v>
      </c>
      <c r="LU133" s="417">
        <f t="shared" si="67"/>
        <v>0</v>
      </c>
      <c r="LV133" s="417">
        <f>VLOOKUP($LU$8,'Jan-2026 rates'!$H:$I,2,0)</f>
        <v>0</v>
      </c>
      <c r="LW133" s="417">
        <f t="shared" si="68"/>
        <v>0</v>
      </c>
      <c r="LX133" s="417">
        <f t="shared" si="69"/>
        <v>0</v>
      </c>
      <c r="LY133" s="418">
        <f t="shared" si="70"/>
        <v>0</v>
      </c>
      <c r="LZ133" s="417"/>
      <c r="MA133" s="435">
        <f t="shared" si="71"/>
        <v>125</v>
      </c>
      <c r="MB133" s="282">
        <f t="shared" si="72"/>
        <v>274</v>
      </c>
      <c r="MC133" s="283">
        <v>88</v>
      </c>
      <c r="MD133" s="284" t="str">
        <f t="shared" si="73"/>
        <v>FLINTSLFLINTSLFLINTSL</v>
      </c>
      <c r="ME133" s="293" t="str">
        <f t="shared" si="74"/>
        <v>+</v>
      </c>
      <c r="MF133" s="293" t="str">
        <f t="shared" si="75"/>
        <v>+</v>
      </c>
      <c r="MG133" s="293" t="str">
        <f t="shared" si="76"/>
        <v>+</v>
      </c>
      <c r="MH133" s="293" t="str">
        <f t="shared" si="77"/>
        <v>NIL</v>
      </c>
      <c r="MI133" s="293" t="str">
        <f t="shared" si="78"/>
        <v>NIL</v>
      </c>
      <c r="MJ133" s="293" t="str">
        <f t="shared" si="79"/>
        <v>NIL</v>
      </c>
      <c r="MK133" s="293" t="str">
        <f t="shared" si="80"/>
        <v>NIL</v>
      </c>
      <c r="ML133" s="293" t="str">
        <f t="shared" si="81"/>
        <v>NIL</v>
      </c>
      <c r="MM133" s="3" t="b">
        <f t="array" ref="MM133">OR(ME133:ML133="-")</f>
        <v>0</v>
      </c>
      <c r="MN133" s="285"/>
      <c r="MO133" s="401"/>
      <c r="MP133" s="286"/>
      <c r="MQ133" s="286"/>
      <c r="MR133" s="402"/>
      <c r="MS133" s="400"/>
      <c r="NH133" s="422"/>
      <c r="NJ133" s="421"/>
    </row>
    <row r="134" spans="1:374" s="1" customFormat="1" ht="16.5">
      <c r="A134" s="403">
        <v>46035</v>
      </c>
      <c r="B134" s="404" t="s">
        <v>1018</v>
      </c>
      <c r="C134" s="405" t="s">
        <v>3374</v>
      </c>
      <c r="D134" s="406">
        <v>89</v>
      </c>
      <c r="E134" s="404">
        <v>250</v>
      </c>
      <c r="F134" s="407">
        <v>10800</v>
      </c>
      <c r="G134" s="407" t="s">
        <v>1019</v>
      </c>
      <c r="H134" s="408" t="s">
        <v>1017</v>
      </c>
      <c r="I134" s="409">
        <v>1.96</v>
      </c>
      <c r="J134" s="405" t="s">
        <v>543</v>
      </c>
      <c r="K134" s="404" t="s">
        <v>3375</v>
      </c>
      <c r="L134" s="419" t="str">
        <f t="shared" si="54"/>
        <v>FLINTSL - BLACK</v>
      </c>
      <c r="M134" s="404">
        <v>30</v>
      </c>
      <c r="N134" s="410">
        <f>IF(M134=0,0,IF($LB134=70%,VLOOKUP($L134,'Jan-2026 rates'!$L:$R,4,0),IF($LB134=65%,VLOOKUP($L134,'Jan-2026 rates'!$L:$R,4,0),IF($LB134=40%,VLOOKUP($L134,'Jan-2026 rates'!$L:$R,5,0),IF($LB134=30%,VLOOKUP($L134,'Jan-2026 rates'!$L:$R,6,0),IF($LB134=100%,VLOOKUP($L134,'Jan-2026 rates'!$L:$R,7,0),IF($LB134=60%,VLOOKUP($L134,'Jan-2026 rates'!$L:$S,8,0),IF($LB134=80%,VLOOKUP($L134,'Jan-2026 rates'!L:T,9,0),0))))))))</f>
        <v>0</v>
      </c>
      <c r="O134" s="406"/>
      <c r="P134" s="404"/>
      <c r="Q134" s="410">
        <f>IF(P134=0,0,IF($LB134=70%,VLOOKUP($L134,'Jan-2026 rates'!$L:$R,4,0),IF($LB134=65%,VLOOKUP($L134,'Jan-2026 rates'!$L:$R,4,0),IF($LB134=40%,VLOOKUP($L134,'Jan-2026 rates'!$L:$R,5,0),IF($LB134=30%,VLOOKUP($L134,'Jan-2026 rates'!$L:$R,6,0),IF($LB134=100%,VLOOKUP($L134,'Jan-2026 rates'!$L:$R,7,0),IF($LB134=60%,VLOOKUP($L134,'Jan-2026 rates'!$L:$S,8,0),IF($LB134=80%,VLOOKUP($L134,'Jan-2026 rates'!L:T,9,0),0))))))))</f>
        <v>0</v>
      </c>
      <c r="R134" s="406">
        <v>26508000010</v>
      </c>
      <c r="S134" s="406"/>
      <c r="T134" s="406"/>
      <c r="U134" s="406"/>
      <c r="V134" s="406"/>
      <c r="W134" s="406"/>
      <c r="X134" s="406"/>
      <c r="Y134" s="406"/>
      <c r="Z134" s="404">
        <v>3</v>
      </c>
      <c r="AA134" s="398" t="e">
        <f>IF(Z134=0,0,IF(LEN(R134)=11,_xlfn.XLOOKUP(R134,'Dispensed Ink Rates'!C:C,'Dispensed Ink Rates'!CS:CS),VLOOKUP(R134,'Jan-2026 rates'!$E:$F,2,0)))</f>
        <v>#N/A</v>
      </c>
      <c r="AB134" s="404"/>
      <c r="AC134" s="398">
        <f>IF(AB134=0,0,IF(LEN(S134)=11,_xlfn.XLOOKUP(S134,'Dispensed Ink Rates'!C:C,'Dispensed Ink Rates'!CS:CS),VLOOKUP(S134,'Jan-2026 rates'!$E:$F,2,0)))</f>
        <v>0</v>
      </c>
      <c r="AD134" s="404"/>
      <c r="AE134" s="398">
        <f>IF(AD134=0,0,IF(LEN(T134)=11,_xlfn.XLOOKUP(T134,'Dispensed Ink Rates'!C:C,'Dispensed Ink Rates'!CS:CS),VLOOKUP(T134,'Jan-2026 rates'!$E:$F,2,0)))</f>
        <v>0</v>
      </c>
      <c r="AF134" s="404"/>
      <c r="AG134" s="398">
        <f>IF(AF134=0,0,IF(LEN(U134)=11,_xlfn.XLOOKUP(U134,'Dispensed Ink Rates'!C:C,'Dispensed Ink Rates'!CS:CS),VLOOKUP(U134,'Jan-2026 rates'!$E:$F,2,0)))</f>
        <v>0</v>
      </c>
      <c r="AH134" s="404"/>
      <c r="AI134" s="398">
        <f>IF(AH134=0,0,IF(LEN(V134)=11,_xlfn.XLOOKUP(V134,'Dispensed Ink Rates'!C:C,'Dispensed Ink Rates'!CS:CS),VLOOKUP(V134,'Jan-2026 rates'!$E:$F,2,0)))</f>
        <v>0</v>
      </c>
      <c r="AJ134" s="404"/>
      <c r="AK134" s="398">
        <f>IF(AJ134=0,0,IF(LEN(W134)=11,_xlfn.XLOOKUP(W134,'Dispensed Ink Rates'!C:C,'Dispensed Ink Rates'!CS:CS),VLOOKUP(W134,'Jan-2026 rates'!$E:$F,2,0)))</f>
        <v>0</v>
      </c>
      <c r="AL134" s="404"/>
      <c r="AM134" s="398">
        <f>IF(AL134=0,0,IF(LEN(X134)=11,_xlfn.XLOOKUP(X134,'Dispensed Ink Rates'!C:C,'Dispensed Ink Rates'!CS:CS),VLOOKUP(X134,'Jan-2026 rates'!$E:$F,2,0)))</f>
        <v>0</v>
      </c>
      <c r="AN134" s="404"/>
      <c r="AO134" s="398">
        <f>IF(AN134=0,0,IF(LEN(Y134)=11,_xlfn.XLOOKUP(Y134,'Dispensed Ink Rates'!C:C,'Dispensed Ink Rates'!CS:CS),VLOOKUP(Y134,'Jan-2026 rates'!$E:$F,2,0)))</f>
        <v>0</v>
      </c>
      <c r="AP134" s="409" t="s">
        <v>1443</v>
      </c>
      <c r="AQ134" s="409">
        <v>23</v>
      </c>
      <c r="AR134" s="410">
        <f t="shared" si="82"/>
        <v>0</v>
      </c>
      <c r="AS134" s="411">
        <f t="shared" si="83"/>
        <v>13</v>
      </c>
      <c r="AT134" s="410">
        <f t="shared" si="84"/>
        <v>0</v>
      </c>
      <c r="AU134" s="405" t="s">
        <v>547</v>
      </c>
      <c r="AV134" s="409" t="s">
        <v>3376</v>
      </c>
      <c r="AW134" s="420" t="str">
        <f t="shared" si="53"/>
        <v>FLINTSL - GREEN</v>
      </c>
      <c r="AX134" s="409">
        <v>15</v>
      </c>
      <c r="AY134" s="411">
        <f>IF(AX134=0,0,IF($LB134=70%,VLOOKUP($AW134,'Jan-2026 rates'!$L:$R,4,0),IF($LB134=65%,VLOOKUP($AW134,'Jan-2026 rates'!$L:$R,4,0),IF($LB134=40%,VLOOKUP($AW134,'Jan-2026 rates'!$L:$R,5,0),IF($LB134=30%,VLOOKUP($AW134,'Jan-2026 rates'!$L:$R,6,0),IF($LB134=100%,VLOOKUP($AW134,'Jan-2026 rates'!$L:$R,7,0),IF($LB134=60%,VLOOKUP($AW134,'Jan-2026 rates'!$L:$S,8,0),IF($LB134=80%,VLOOKUP($AW134,'Jan-2026 rates'!L:T,9,0),0))))))))</f>
        <v>0</v>
      </c>
      <c r="AZ134" s="412"/>
      <c r="BA134" s="409"/>
      <c r="BB134" s="411">
        <f>IF(BA134=0,0,IF($LB134=70%,VLOOKUP($AW134,'Jan-2026 rates'!$L:$R,4,0),IF($LB134=65%,VLOOKUP($AW134,'Jan-2026 rates'!$L:$R,4,0),IF($LB134=40%,VLOOKUP($AW134,'Jan-2026 rates'!$L:$R,5,0),IF($LB134=30%,VLOOKUP($AW134,'Jan-2026 rates'!$L:$R,6,0),IF($LB134=100%,VLOOKUP($AW134,'Jan-2026 rates'!$L:$R,7,0),IF($LB134=60%,VLOOKUP($AW134,'Jan-2026 rates'!$L:$S,8,0),IF($LB134=80%,VLOOKUP($AW134,'Jan-2026 rates'!L:T,9,0),0))))))))</f>
        <v>0</v>
      </c>
      <c r="BC134" s="413">
        <v>26510000009</v>
      </c>
      <c r="BD134" s="412">
        <v>26514000010</v>
      </c>
      <c r="BE134" s="412">
        <v>26513000011</v>
      </c>
      <c r="BF134" s="413"/>
      <c r="BG134" s="412"/>
      <c r="BH134" s="412"/>
      <c r="BI134" s="412"/>
      <c r="BJ134" s="412"/>
      <c r="BK134" s="409">
        <v>5</v>
      </c>
      <c r="BL134" s="398" t="e">
        <f>IF(BK134=0,0,IF(LEN(BC134)=11,_xlfn.XLOOKUP(BC134,'Dispensed Ink Rates'!C:C,'Dispensed Ink Rates'!CS:CS),VLOOKUP(BC134,'Jan-2026 rates'!$E:$F,2,0)))</f>
        <v>#N/A</v>
      </c>
      <c r="BM134" s="409">
        <v>4</v>
      </c>
      <c r="BN134" s="398" t="e">
        <f>IF(BM134=0,0,IF(LEN(BD134)=11,_xlfn.XLOOKUP(BD134,'Dispensed Ink Rates'!C:C,'Dispensed Ink Rates'!CS:CS),VLOOKUP(BD134,'Jan-2026 rates'!$E:$F,2,0)))</f>
        <v>#N/A</v>
      </c>
      <c r="BO134" s="409">
        <v>0.2</v>
      </c>
      <c r="BP134" s="398" t="e">
        <f>IF(BO134=0,0,IF(LEN(BE134)=11,_xlfn.XLOOKUP(BE134,'Dispensed Ink Rates'!C:C,'Dispensed Ink Rates'!CS:CS),VLOOKUP(BE134,'Jan-2026 rates'!$E:$F,2,0)))</f>
        <v>#N/A</v>
      </c>
      <c r="BQ134" s="409"/>
      <c r="BR134" s="398">
        <f>IF(BQ134=0,0,IF(LEN(BF134)=11,_xlfn.XLOOKUP(BF134,'Dispensed Ink Rates'!C:C,'Dispensed Ink Rates'!CS:CS),VLOOKUP(BF134,'Jan-2026 rates'!$E:$F,2,0)))</f>
        <v>0</v>
      </c>
      <c r="BS134" s="409"/>
      <c r="BT134" s="398">
        <f>IF(BS134=0,0,IF(LEN(BG134)=11,_xlfn.XLOOKUP(BG134,'Dispensed Ink Rates'!C:C,'Dispensed Ink Rates'!CS:CS),VLOOKUP(BG134,'Jan-2026 rates'!$E:$F,2,0)))</f>
        <v>0</v>
      </c>
      <c r="BU134" s="409"/>
      <c r="BV134" s="398">
        <f>IF(BU134=0,0,IF(LEN(BH134)=11,_xlfn.XLOOKUP(BH134,'Dispensed Ink Rates'!C:C,'Dispensed Ink Rates'!CS:CS),VLOOKUP(BH134,'Jan-2026 rates'!$E:$F,2,0)))</f>
        <v>0</v>
      </c>
      <c r="BW134" s="409"/>
      <c r="BX134" s="398">
        <f>IF(BW134=0,0,IF(LEN(BI134)=11,_xlfn.XLOOKUP(BI134,'Dispensed Ink Rates'!C:C,'Dispensed Ink Rates'!CS:CS),VLOOKUP(BI134,'Jan-2026 rates'!$E:$F,2,0)))</f>
        <v>0</v>
      </c>
      <c r="BY134" s="409"/>
      <c r="BZ134" s="398">
        <f>IF(BY134=0,0,IF(LEN(BJ134)=11,_xlfn.XLOOKUP(BJ134,'Dispensed Ink Rates'!C:C,'Dispensed Ink Rates'!CS:CS),VLOOKUP(BJ134,'Jan-2026 rates'!$E:$F,2,0)))</f>
        <v>0</v>
      </c>
      <c r="CA134" s="409" t="s">
        <v>1443</v>
      </c>
      <c r="CB134" s="409">
        <v>24</v>
      </c>
      <c r="CC134" s="411">
        <f t="shared" si="85"/>
        <v>0</v>
      </c>
      <c r="CD134" s="411">
        <f t="shared" si="86"/>
        <v>7.1999999999999993</v>
      </c>
      <c r="CE134" s="410">
        <f t="shared" si="87"/>
        <v>0</v>
      </c>
      <c r="CF134" s="404" t="s">
        <v>547</v>
      </c>
      <c r="CG134" s="409" t="s">
        <v>3377</v>
      </c>
      <c r="CH134" s="420" t="str">
        <f t="shared" si="55"/>
        <v>FLINTSL - GREEN</v>
      </c>
      <c r="CI134" s="409">
        <v>13</v>
      </c>
      <c r="CJ134" s="411">
        <f>IF(CI134=0,0,IF($LB134=70%,VLOOKUP($CH134,'Jan-2026 rates'!$L:$R,4,0),IF($LB134=65%,VLOOKUP($CH134,'Jan-2026 rates'!$L:$R,4,0),IF($LB134=40%,VLOOKUP($CH134,'Jan-2026 rates'!$L:$R,5,0),IF($LB134=30%,VLOOKUP($CH134,'Jan-2026 rates'!$L:$R,6,0),IF($LB134=100%,VLOOKUP($CH134,'Jan-2026 rates'!$L:$R,7,0),IF($LB134=60%,VLOOKUP($CH134,'Jan-2026 rates'!$L:$S,8,0),IF($LB134=80%,VLOOKUP($CH134,'Jan-2026 rates'!L:T,9,0),0))))))))</f>
        <v>0</v>
      </c>
      <c r="CK134" s="412"/>
      <c r="CL134" s="409"/>
      <c r="CM134" s="411">
        <f>IF(CL134=0,0,IF($LB134=70%,VLOOKUP($CH134,'Jan-2026 rates'!$L:$R,4,0),IF($LB134=65%,VLOOKUP($CH134,'Jan-2026 rates'!$L:$R,4,0),IF($LB134=40%,VLOOKUP($CH134,'Jan-2026 rates'!$L:$R,5,0),IF($LB134=30%,VLOOKUP($CH134,'Jan-2026 rates'!$L:$R,6,0),IF($LB134=100%,VLOOKUP($CH134,'Jan-2026 rates'!$L:$R,7,0),IF($LB134=60%,VLOOKUP($CH134,'Jan-2026 rates'!$L:$S,8,0),IF($LB134=80%,VLOOKUP($CH134,'Jan-2026 rates'!L:T,9,0),0))))))))</f>
        <v>0</v>
      </c>
      <c r="CN134" s="426">
        <v>26513000024</v>
      </c>
      <c r="CO134" s="427">
        <v>26510000009</v>
      </c>
      <c r="CP134" s="426">
        <v>26513000020</v>
      </c>
      <c r="CQ134" s="426">
        <v>26513000011</v>
      </c>
      <c r="CR134" s="428"/>
      <c r="CS134" s="428"/>
      <c r="CT134" s="428"/>
      <c r="CU134" s="428"/>
      <c r="CV134" s="409">
        <v>40</v>
      </c>
      <c r="CW134" s="398" t="e">
        <f>IF(CV134=0,0,IF(LEN(CN134)=11,_xlfn.XLOOKUP(CN134,'Dispensed Ink Rates'!C:C,'Dispensed Ink Rates'!CS:CS),VLOOKUP(CN134,'Jan-2026 rates'!$E:$F,2,0)))</f>
        <v>#N/A</v>
      </c>
      <c r="CX134" s="409">
        <v>5</v>
      </c>
      <c r="CY134" s="398" t="e">
        <f>IF(CX134=0,0,IF(LEN(CO134)=11,_xlfn.XLOOKUP(CO134,'Dispensed Ink Rates'!C:C,'Dispensed Ink Rates'!CS:CS),VLOOKUP(CO134,'Jan-2026 rates'!$E:$F,2,0)))</f>
        <v>#N/A</v>
      </c>
      <c r="CZ134" s="409">
        <v>1</v>
      </c>
      <c r="DA134" s="398" t="e">
        <f>IF(CZ134=0,0,IF(LEN(CP134)=11,_xlfn.XLOOKUP(CP134,'Dispensed Ink Rates'!C:C,'Dispensed Ink Rates'!CS:CS),VLOOKUP(CP134,'Jan-2026 rates'!$E:$F,2,0)))</f>
        <v>#N/A</v>
      </c>
      <c r="DB134" s="409">
        <v>0.4</v>
      </c>
      <c r="DC134" s="398" t="e">
        <f>IF(DB134=0,0,IF(LEN(CQ134)=11,_xlfn.XLOOKUP(CQ134,'Dispensed Ink Rates'!C:C,'Dispensed Ink Rates'!CS:CS),VLOOKUP(CQ134,'Jan-2026 rates'!$E:$F,2,0)))</f>
        <v>#N/A</v>
      </c>
      <c r="DD134" s="409"/>
      <c r="DE134" s="398">
        <f>IF(DD134=0,0,IF(LEN(CR134)=11,_xlfn.XLOOKUP(CR134,'Dispensed Ink Rates'!C:C,'Dispensed Ink Rates'!CS:CS),VLOOKUP(CR134,'Jan-2026 rates'!$E:$F,2,0)))</f>
        <v>0</v>
      </c>
      <c r="DF134" s="409"/>
      <c r="DG134" s="398">
        <f>IF(DF134=0,0,IF(LEN(CS134)=11,_xlfn.XLOOKUP(CS134,'Dispensed Ink Rates'!C:C,'Dispensed Ink Rates'!CS:CS),VLOOKUP(CS134,'Jan-2026 rates'!$E:$F,2,0)))</f>
        <v>0</v>
      </c>
      <c r="DH134" s="409"/>
      <c r="DI134" s="398">
        <f>IF(DH134=0,0,IF(LEN(CT134)=11,_xlfn.XLOOKUP(CT134,'Dispensed Ink Rates'!C:C,'Dispensed Ink Rates'!CS:CS),VLOOKUP(CT134,'Jan-2026 rates'!$E:$F,2,0)))</f>
        <v>0</v>
      </c>
      <c r="DJ134" s="409"/>
      <c r="DK134" s="398">
        <f>IF(DJ134=0,0,IF(LEN(CU134)=11,_xlfn.XLOOKUP(CU134,'Dispensed Ink Rates'!C:C,'Dispensed Ink Rates'!CS:CS),VLOOKUP(CU134,'Jan-2026 rates'!$E:$F,2,0)))</f>
        <v>0</v>
      </c>
      <c r="DL134" s="409" t="s">
        <v>1443</v>
      </c>
      <c r="DM134" s="409">
        <v>38</v>
      </c>
      <c r="DN134" s="411">
        <f t="shared" si="88"/>
        <v>0</v>
      </c>
      <c r="DO134" s="411">
        <f t="shared" si="89"/>
        <v>31.400000000000006</v>
      </c>
      <c r="DP134" s="410">
        <f t="shared" si="90"/>
        <v>0</v>
      </c>
      <c r="DQ134" s="405" t="s">
        <v>547</v>
      </c>
      <c r="DR134" s="409" t="s">
        <v>3377</v>
      </c>
      <c r="DS134" s="420" t="str">
        <f t="shared" si="56"/>
        <v>FLINTSL - GREEN</v>
      </c>
      <c r="DT134" s="409">
        <v>10</v>
      </c>
      <c r="DU134" s="411">
        <f>IF(DT134=0,0,IF($LB134=70%,VLOOKUP($DS134,'Jan-2026 rates'!$L:$R,4,0),IF($LB134=65%,VLOOKUP($DS134,'Jan-2026 rates'!$L:$R,4,0),IF($LB134=40%,VLOOKUP($DS134,'Jan-2026 rates'!$L:$R,5,0),IF($LB134=30%,VLOOKUP($DS134,'Jan-2026 rates'!$L:$R,6,0),IF($LB134=100%,VLOOKUP($DS134,'Jan-2026 rates'!$L:$R,7,0),IF($LB134=60%,VLOOKUP($DS134,'Jan-2026 rates'!$L:$S,8,0),IF($LB134=80%,VLOOKUP($DS134,'Jan-2026 rates'!L:T,9,0),0))))))))</f>
        <v>0</v>
      </c>
      <c r="DV134" s="412"/>
      <c r="DW134" s="409"/>
      <c r="DX134" s="411">
        <f>IF(DW134=0,0,IF($LB134=70%,VLOOKUP($DS134,'Jan-2026 rates'!$L:$R,4,0),IF($LB134=65%,VLOOKUP($DS134,'Jan-2026 rates'!$L:$R,4,0),IF($LB134=40%,VLOOKUP($DS134,'Jan-2026 rates'!$L:$R,5,0),IF($LB134=30%,VLOOKUP($DS134,'Jan-2026 rates'!$L:$R,6,0),IF($LB134=100%,VLOOKUP($DS134,'Jan-2026 rates'!$L:$R,7,0),IF($LB134=60%,VLOOKUP($DS134,'Jan-2026 rates'!$L:$S,8,0),IF($LB134=80%,VLOOKUP($DS134,'Jan-2026 rates'!L:T,9,0),0))))))))</f>
        <v>0</v>
      </c>
      <c r="DY134" s="413">
        <v>26511000002</v>
      </c>
      <c r="DZ134" s="413">
        <v>26513000020</v>
      </c>
      <c r="EA134" s="412" t="s">
        <v>1266</v>
      </c>
      <c r="EB134" s="412"/>
      <c r="EC134" s="412"/>
      <c r="ED134" s="412"/>
      <c r="EE134" s="412"/>
      <c r="EF134" s="412"/>
      <c r="EG134" s="409">
        <v>5</v>
      </c>
      <c r="EH134" s="398" t="e">
        <f>IF(EG134=0,0,IF(LEN(DY134)=11,_xlfn.XLOOKUP(DY134,'Dispensed Ink Rates'!C:C,'Dispensed Ink Rates'!CS:CS),VLOOKUP(DY134,'Jan-2026 rates'!$E:$F,2,0)))</f>
        <v>#N/A</v>
      </c>
      <c r="EI134" s="409">
        <v>0.2</v>
      </c>
      <c r="EJ134" s="398" t="e">
        <f>IF(EI134=0,0,IF(LEN(DZ134)=11,_xlfn.XLOOKUP(DZ134,'Dispensed Ink Rates'!C:C,'Dispensed Ink Rates'!CS:CS),VLOOKUP(DZ134,'Jan-2026 rates'!$E:$F,2,0)))</f>
        <v>#N/A</v>
      </c>
      <c r="EK134" s="409">
        <v>4</v>
      </c>
      <c r="EL134" s="398">
        <f>IF(EK134=0,0,IF(LEN(EA134)=11,_xlfn.XLOOKUP(EA134,'Dispensed Ink Rates'!C:C,'Dispensed Ink Rates'!CS:CS),VLOOKUP(EA134,'Jan-2026 rates'!$E:$F,2,0)))</f>
        <v>0</v>
      </c>
      <c r="EM134" s="409"/>
      <c r="EN134" s="398">
        <f>IF(EM134=0,0,IF(LEN(EB134)=11,_xlfn.XLOOKUP(EB134,'Dispensed Ink Rates'!C:C,'Dispensed Ink Rates'!CS:CS),VLOOKUP(EB134,'Jan-2026 rates'!$E:$F,2,0)))</f>
        <v>0</v>
      </c>
      <c r="EO134" s="409"/>
      <c r="EP134" s="398">
        <f>IF(EO134=0,0,IF(LEN(EC134)=11,_xlfn.XLOOKUP(EC134,'Dispensed Ink Rates'!C:C,'Dispensed Ink Rates'!CS:CS),VLOOKUP(EC134,'Jan-2026 rates'!$E:$F,2,0)))</f>
        <v>0</v>
      </c>
      <c r="EQ134" s="409"/>
      <c r="ER134" s="398">
        <f>IF(EQ134=0,0,IF(LEN(ED134)=11,_xlfn.XLOOKUP(ED134,'Dispensed Ink Rates'!C:C,'Dispensed Ink Rates'!CS:CS),VLOOKUP(ED134,'Jan-2026 rates'!$E:$F,2,0)))</f>
        <v>0</v>
      </c>
      <c r="ES134" s="409"/>
      <c r="ET134" s="398">
        <f>IF(ES134=0,0,IF(LEN(EE134)=11,_xlfn.XLOOKUP(EE134,'Dispensed Ink Rates'!C:C,'Dispensed Ink Rates'!CS:CS),VLOOKUP(EE134,'Jan-2026 rates'!$E:$F,2,0)))</f>
        <v>0</v>
      </c>
      <c r="EU134" s="409"/>
      <c r="EV134" s="398">
        <f>IF(EU134=0,0,IF(LEN(EF134)=11,_xlfn.XLOOKUP(EF134,'Dispensed Ink Rates'!C:C,'Dispensed Ink Rates'!CS:CS),VLOOKUP(EF134,'Jan-2026 rates'!$E:$F,2,0)))</f>
        <v>0</v>
      </c>
      <c r="EW134" s="409" t="s">
        <v>1443</v>
      </c>
      <c r="EX134" s="409">
        <v>15</v>
      </c>
      <c r="EY134" s="411">
        <f t="shared" si="91"/>
        <v>0</v>
      </c>
      <c r="EZ134" s="411">
        <f t="shared" si="92"/>
        <v>11.2</v>
      </c>
      <c r="FA134" s="410">
        <f t="shared" si="93"/>
        <v>0</v>
      </c>
      <c r="FB134" s="405" t="s">
        <v>547</v>
      </c>
      <c r="FC134" s="409"/>
      <c r="FD134" s="420" t="str">
        <f t="shared" si="57"/>
        <v>FLINTSL - GREEN</v>
      </c>
      <c r="FE134" s="409"/>
      <c r="FF134" s="411">
        <f>IF(FE134=0,0,IF($LB134=70%,VLOOKUP($FD134,'Jan-2026 rates'!$L:$R,4,0),IF($LB134=65%,VLOOKUP($FD134,'Jan-2026 rates'!$L:$R,4,0),IF($LB134=40%,VLOOKUP($FD134,'Jan-2026 rates'!$L:$R,5,0),IF($LB134=30%,VLOOKUP($FD134,'Jan-2026 rates'!$L:$R,6,0),IF($LB134=100%,VLOOKUP($FD134,'Jan-2026 rates'!$L:$R,7,0),IF($LB134=60%,VLOOKUP($FD134,'Jan-2026 rates'!$L:$S,8,0),IF($LB134=80%,VLOOKUP($FD134,'Jan-2026 rates'!L:T,9,0),0))))))))</f>
        <v>0</v>
      </c>
      <c r="FG134" s="412"/>
      <c r="FH134" s="409"/>
      <c r="FI134" s="411">
        <f>IF(FH134=0,0,IF($LB134=70%,VLOOKUP($FD134,'Jan-2026 rates'!$L:$R,4,0),IF($LB134=65%,VLOOKUP($FD134,'Jan-2026 rates'!$L:$R,4,0),IF($LB134=40%,VLOOKUP($FD134,'Jan-2026 rates'!$L:$R,5,0),IF($LB134=30%,VLOOKUP($FD134,'Jan-2026 rates'!$L:$R,6,0),IF($LB134=100%,VLOOKUP($FD134,'Jan-2026 rates'!$L:$R,7,0),IF($LB134=60%,VLOOKUP($FD134,'Jan-2026 rates'!$L:$S,8,0),IF($LB134=80%,VLOOKUP($FD134,'Jan-2026 rates'!L:T,9,0),0))))))))</f>
        <v>0</v>
      </c>
      <c r="FJ134" s="413">
        <v>26510000009</v>
      </c>
      <c r="FK134" s="413">
        <v>26514000010</v>
      </c>
      <c r="FL134" s="413">
        <v>26507000020</v>
      </c>
      <c r="FM134" s="412" t="s">
        <v>1266</v>
      </c>
      <c r="FN134" s="412"/>
      <c r="FO134" s="412"/>
      <c r="FP134" s="412"/>
      <c r="FQ134" s="412"/>
      <c r="FR134" s="409">
        <v>12</v>
      </c>
      <c r="FS134" s="398" t="e">
        <f>IF(FR134=0,0,IF(LEN(FJ134)=11,_xlfn.XLOOKUP(FJ134,'Dispensed Ink Rates'!C:C,'Dispensed Ink Rates'!CS:CS),VLOOKUP(FJ134,'Jan-2026 rates'!$E:$F,2,0)))</f>
        <v>#N/A</v>
      </c>
      <c r="FT134" s="409">
        <v>10</v>
      </c>
      <c r="FU134" s="398" t="e">
        <f>IF(FT134=0,0,IF(LEN(FK134)=11,_xlfn.XLOOKUP(FK134,'Dispensed Ink Rates'!C:C,'Dispensed Ink Rates'!CS:CS),VLOOKUP(FK134,'Jan-2026 rates'!$E:$F,2,0)))</f>
        <v>#N/A</v>
      </c>
      <c r="FV134" s="409">
        <v>4</v>
      </c>
      <c r="FW134" s="398" t="e">
        <f>IF(FV134=0,0,IF(LEN(FL134)=11,_xlfn.XLOOKUP(FL134,'Dispensed Ink Rates'!C:C,'Dispensed Ink Rates'!CS:CS),VLOOKUP(FL134,'Jan-2026 rates'!$E:$F,2,0)))</f>
        <v>#N/A</v>
      </c>
      <c r="FX134" s="409">
        <v>5</v>
      </c>
      <c r="FY134" s="398">
        <f>IF(FX134=0,0,IF(LEN(FM134)=11,_xlfn.XLOOKUP(FM134,'Dispensed Ink Rates'!C:C,'Dispensed Ink Rates'!CS:CS),VLOOKUP(FM134,'Jan-2026 rates'!$E:$F,2,0)))</f>
        <v>0</v>
      </c>
      <c r="FZ134" s="409"/>
      <c r="GA134" s="398">
        <f>IF(FZ134=0,0,IF(LEN(FN134)=11,_xlfn.XLOOKUP(FN134,'Dispensed Ink Rates'!C:C,'Dispensed Ink Rates'!CS:CS),VLOOKUP(FN134,'Jan-2026 rates'!$E:$F,2,0)))</f>
        <v>0</v>
      </c>
      <c r="GB134" s="409"/>
      <c r="GC134" s="398">
        <f>IF(GB134=0,0,IF(LEN(FO134)=11,_xlfn.XLOOKUP(FO134,'Dispensed Ink Rates'!C:C,'Dispensed Ink Rates'!CS:CS),VLOOKUP(FO134,'Jan-2026 rates'!$E:$F,2,0)))</f>
        <v>0</v>
      </c>
      <c r="GD134" s="409"/>
      <c r="GE134" s="398">
        <f>IF(GD134=0,0,IF(LEN(FP134)=11,_xlfn.XLOOKUP(FP134,'Dispensed Ink Rates'!C:C,'Dispensed Ink Rates'!CS:CS),VLOOKUP(FP134,'Jan-2026 rates'!$E:$F,2,0)))</f>
        <v>0</v>
      </c>
      <c r="GF134" s="409"/>
      <c r="GG134" s="398">
        <f>IF(GF134=0,0,IF(LEN(FQ134)=11,_xlfn.XLOOKUP(FQ134,'Dispensed Ink Rates'!C:C,'Dispensed Ink Rates'!CS:CS),VLOOKUP(FQ134,'Jan-2026 rates'!$E:$F,2,0)))</f>
        <v>0</v>
      </c>
      <c r="GH134" s="409" t="s">
        <v>1443</v>
      </c>
      <c r="GI134" s="409">
        <v>20</v>
      </c>
      <c r="GJ134" s="411">
        <f t="shared" si="94"/>
        <v>0</v>
      </c>
      <c r="GK134" s="411">
        <f t="shared" si="95"/>
        <v>19</v>
      </c>
      <c r="GL134" s="410">
        <f t="shared" si="96"/>
        <v>0</v>
      </c>
      <c r="GM134" s="405" t="s">
        <v>857</v>
      </c>
      <c r="GN134" s="409"/>
      <c r="GO134" s="420" t="str">
        <f t="shared" si="58"/>
        <v>FLINTSL - RED</v>
      </c>
      <c r="GP134" s="409"/>
      <c r="GQ134" s="411">
        <f>IF(GP134=0,0,IF($LB134=70%,VLOOKUP($GO134,'Jan-2026 rates'!$L:$R,4,0),IF($LB134=65%,VLOOKUP($GO134,'Jan-2026 rates'!$L:$R,4,0),IF($LB134=40%,VLOOKUP($GO134,'Jan-2026 rates'!$L:$R,5,0),IF($LB134=30%,VLOOKUP($GO134,'Jan-2026 rates'!$L:$R,6,0),IF($LB134=100%,VLOOKUP($GO134,'Jan-2026 rates'!$L:$R,7,0),IF($LB134=60%,VLOOKUP($GO134,'Jan-2026 rates'!$L:$S,8,0),IF($LB134=80%,VLOOKUP($GO134,'Jan-2026 rates'!L:T,9,0),0))))))))</f>
        <v>0</v>
      </c>
      <c r="GR134" s="412"/>
      <c r="GS134" s="409"/>
      <c r="GT134" s="411">
        <f>IF(GS134=0,0,IF($LB134=70%,VLOOKUP($GO134,'Jan-2026 rates'!$L:$R,4,0),IF($LB134=65%,VLOOKUP($GO134,'Jan-2026 rates'!$L:$R,4,0),IF($LB134=40%,VLOOKUP($GO134,'Jan-2026 rates'!$L:$R,5,0),IF($LB134=30%,VLOOKUP($GO134,'Jan-2026 rates'!$L:$R,6,0),IF($LB134=100%,VLOOKUP($GO134,'Jan-2026 rates'!$L:$R,7,0),IF($LB134=60%,VLOOKUP($GO134,'Jan-2026 rates'!$L:$S,8,0),IF($LB134=80%,VLOOKUP($GO134,'Jan-2026 rates'!L:T,9,0),0))))))))</f>
        <v>0</v>
      </c>
      <c r="GU134" s="413">
        <v>26513000023</v>
      </c>
      <c r="GV134" s="413">
        <v>26513000020</v>
      </c>
      <c r="GW134" s="412" t="s">
        <v>1266</v>
      </c>
      <c r="GX134" s="412"/>
      <c r="GY134" s="412"/>
      <c r="GZ134" s="412"/>
      <c r="HA134" s="412"/>
      <c r="HB134" s="412"/>
      <c r="HC134" s="409">
        <v>10</v>
      </c>
      <c r="HD134" s="398" t="e">
        <f>IF(HC134=0,0,IF(LEN(GU134)=11,_xlfn.XLOOKUP(GU134,'Dispensed Ink Rates'!C:C,'Dispensed Ink Rates'!CS:CS),VLOOKUP(GU134,'Jan-2026 rates'!$E:$F,2,0)))</f>
        <v>#N/A</v>
      </c>
      <c r="HE134" s="409">
        <v>5</v>
      </c>
      <c r="HF134" s="398" t="e">
        <f>IF(HE134=0,0,IF(LEN(GV134)=11,_xlfn.XLOOKUP(GV134,'Dispensed Ink Rates'!C:C,'Dispensed Ink Rates'!CS:CS),VLOOKUP(GV134,'Jan-2026 rates'!$E:$F,2,0)))</f>
        <v>#N/A</v>
      </c>
      <c r="HG134" s="409">
        <v>5</v>
      </c>
      <c r="HH134" s="398">
        <f>IF(HG134=0,0,IF(LEN(GW134)=11,_xlfn.XLOOKUP(GW134,'Dispensed Ink Rates'!C:C,'Dispensed Ink Rates'!CS:CS),VLOOKUP(GW134,'Jan-2026 rates'!$E:$F,2,0)))</f>
        <v>0</v>
      </c>
      <c r="HI134" s="409"/>
      <c r="HJ134" s="398">
        <f>IF(HI134=0,0,IF(LEN(GX134)=11,_xlfn.XLOOKUP(GX134,'Dispensed Ink Rates'!C:C,'Dispensed Ink Rates'!CS:CS),VLOOKUP(GX134,'Jan-2026 rates'!$E:$F,2,0)))</f>
        <v>0</v>
      </c>
      <c r="HK134" s="409"/>
      <c r="HL134" s="398">
        <f>IF(HK134=0,0,IF(LEN(GY134)=11,_xlfn.XLOOKUP(GY134,'Dispensed Ink Rates'!C:C,'Dispensed Ink Rates'!CS:CS),VLOOKUP(GY134,'Jan-2026 rates'!$E:$F,2,0)))</f>
        <v>0</v>
      </c>
      <c r="HM134" s="409"/>
      <c r="HN134" s="398">
        <f>IF(HM134=0,0,IF(LEN(GZ134)=11,_xlfn.XLOOKUP(GZ134,'Dispensed Ink Rates'!C:C,'Dispensed Ink Rates'!CS:CS),VLOOKUP(GZ134,'Jan-2026 rates'!$E:$F,2,0)))</f>
        <v>0</v>
      </c>
      <c r="HO134" s="409"/>
      <c r="HP134" s="398">
        <f>IF(HO134=0,0,IF(LEN(HA134)=11,_xlfn.XLOOKUP(HA134,'Dispensed Ink Rates'!C:C,'Dispensed Ink Rates'!CS:CS),VLOOKUP(HA134,'Jan-2026 rates'!$E:$F,2,0)))</f>
        <v>0</v>
      </c>
      <c r="HQ134" s="409"/>
      <c r="HR134" s="398">
        <f>IF(HQ134=0,0,IF(LEN(HB134)=11,_xlfn.XLOOKUP(HB134,'Dispensed Ink Rates'!C:C,'Dispensed Ink Rates'!CS:CS),VLOOKUP(HB134,'Jan-2026 rates'!$E:$F,2,0)))</f>
        <v>0</v>
      </c>
      <c r="HS134" s="409" t="s">
        <v>1443</v>
      </c>
      <c r="HT134" s="409">
        <v>27</v>
      </c>
      <c r="HU134" s="411">
        <f t="shared" si="97"/>
        <v>0</v>
      </c>
      <c r="HV134" s="411">
        <f t="shared" si="98"/>
        <v>3</v>
      </c>
      <c r="HW134" s="414">
        <f t="shared" si="99"/>
        <v>0</v>
      </c>
      <c r="HX134" s="405" t="s">
        <v>545</v>
      </c>
      <c r="HY134" s="409" t="s">
        <v>3378</v>
      </c>
      <c r="HZ134" s="420" t="str">
        <f t="shared" si="59"/>
        <v>FLINTSL - YELLOW</v>
      </c>
      <c r="IA134" s="409">
        <v>32</v>
      </c>
      <c r="IB134" s="411">
        <f>IF(IA134=0,0,IF($LB134=70%,VLOOKUP($HZ134,'Jan-2026 rates'!$L:$R,4,0),IF($LB134=65%,VLOOKUP($HZ134,'Jan-2026 rates'!$L:$R,4,0),IF($LB134=40%,VLOOKUP($HZ134,'Jan-2026 rates'!$L:$R,5,0),IF($LB134=30%,VLOOKUP($HZ134,'Jan-2026 rates'!$L:$R,6,0),IF($LB134=100%,VLOOKUP($HZ134,'Jan-2026 rates'!$L:$R,7,0),IF($LB134=60%,VLOOKUP($HZ134,'Jan-2026 rates'!$L:$S,8,0),IF($LB134=80%,VLOOKUP($HZ134,'Jan-2026 rates'!L:T,9,0),0))))))))</f>
        <v>0</v>
      </c>
      <c r="IC134" s="412"/>
      <c r="ID134" s="409"/>
      <c r="IE134" s="411">
        <f>IF(ID134=0,0,IF($LB134=70%,VLOOKUP($HZ134,'Jan-2026 rates'!$L:$R,4,0),IF($LB134=65%,VLOOKUP($HZ134,'Jan-2026 rates'!$L:$R,4,0),IF($LB134=40%,VLOOKUP($HZ134,'Jan-2026 rates'!$L:$R,5,0),IF($LB134=30%,VLOOKUP($HZ134,'Jan-2026 rates'!$L:$R,6,0),IF($LB134=100%,VLOOKUP($HZ134,'Jan-2026 rates'!$L:$R,7,0),IF($LB134=60%,VLOOKUP($HZ134,'Jan-2026 rates'!$L:$S,8,0),IF($LB134=80%,VLOOKUP($HZ134,'Jan-2026 rates'!L:T,9,0),0))))))))</f>
        <v>0</v>
      </c>
      <c r="IF134" s="412">
        <v>26514000010</v>
      </c>
      <c r="IG134" s="413" t="s">
        <v>1266</v>
      </c>
      <c r="IH134" s="412"/>
      <c r="II134" s="412"/>
      <c r="IJ134" s="412"/>
      <c r="IK134" s="412"/>
      <c r="IL134" s="412"/>
      <c r="IM134" s="412"/>
      <c r="IN134" s="409">
        <f>2+1</f>
        <v>3</v>
      </c>
      <c r="IO134" s="398" t="e">
        <f>IF(IN134=0,0,IF(LEN(IF134)=11,_xlfn.XLOOKUP(IF134,'Dispensed Ink Rates'!C:C,'Dispensed Ink Rates'!CS:CS),VLOOKUP(IF134,'Jan-2026 rates'!$E:$F,2,0)))</f>
        <v>#N/A</v>
      </c>
      <c r="IP134" s="409">
        <v>1</v>
      </c>
      <c r="IQ134" s="398">
        <f>IF(IP134=0,0,IF(LEN(IG134)=11,_xlfn.XLOOKUP(IG134,'Dispensed Ink Rates'!C:C,'Dispensed Ink Rates'!CS:CS),VLOOKUP(IG134,'Jan-2026 rates'!$E:$F,2,0)))</f>
        <v>0</v>
      </c>
      <c r="IR134" s="409"/>
      <c r="IS134" s="398">
        <f>IF(IR134=0,0,IF(LEN(IH134)=11,_xlfn.XLOOKUP(IH134,'Dispensed Ink Rates'!C:C,'Dispensed Ink Rates'!CS:CS),VLOOKUP(IH134,'Jan-2026 rates'!$E:$F,2,0)))</f>
        <v>0</v>
      </c>
      <c r="IT134" s="409"/>
      <c r="IU134" s="398">
        <f>IF(IT134=0,0,IF(LEN(II134)=11,_xlfn.XLOOKUP(II134,'Dispensed Ink Rates'!C:C,'Dispensed Ink Rates'!CS:CS),VLOOKUP(II134,'Jan-2026 rates'!$E:$F,2,0)))</f>
        <v>0</v>
      </c>
      <c r="IV134" s="409"/>
      <c r="IW134" s="398">
        <f>IF(IV134=0,0,IF(LEN(IJ134)=11,_xlfn.XLOOKUP(IJ134,'Dispensed Ink Rates'!C:C,'Dispensed Ink Rates'!CS:CS),VLOOKUP(IJ134,'Jan-2026 rates'!$E:$F,2,0)))</f>
        <v>0</v>
      </c>
      <c r="IX134" s="409"/>
      <c r="IY134" s="398">
        <f>IF(IX134=0,0,IF(LEN(IK134)=11,_xlfn.XLOOKUP(IK134,'Dispensed Ink Rates'!C:C,'Dispensed Ink Rates'!CS:CS),VLOOKUP(IK134,'Jan-2026 rates'!$E:$F,2,0)))</f>
        <v>0</v>
      </c>
      <c r="IZ134" s="409"/>
      <c r="JA134" s="398">
        <f>IF(IZ134=0,0,IF(LEN(IL134)=11,_xlfn.XLOOKUP(IL134,'Dispensed Ink Rates'!C:C,'Dispensed Ink Rates'!CS:CS),VLOOKUP(IL134,'Jan-2026 rates'!$E:$F,2,0)))</f>
        <v>0</v>
      </c>
      <c r="JB134" s="409"/>
      <c r="JC134" s="398">
        <f>IF(JB134=0,0,IF(LEN(IM134)=11,_xlfn.XLOOKUP(IM134,'Dispensed Ink Rates'!C:C,'Dispensed Ink Rates'!CS:CS),VLOOKUP(IM134,'Jan-2026 rates'!$E:$F,2,0)))</f>
        <v>0</v>
      </c>
      <c r="JD134" s="409" t="s">
        <v>1443</v>
      </c>
      <c r="JE134" s="409">
        <v>25</v>
      </c>
      <c r="JF134" s="411">
        <f t="shared" si="100"/>
        <v>0</v>
      </c>
      <c r="JG134" s="411">
        <f t="shared" si="101"/>
        <v>14</v>
      </c>
      <c r="JH134" s="410">
        <f t="shared" si="102"/>
        <v>0</v>
      </c>
      <c r="JI134" s="405" t="s">
        <v>856</v>
      </c>
      <c r="JJ134" s="409" t="s">
        <v>3379</v>
      </c>
      <c r="JK134" s="420" t="str">
        <f t="shared" si="60"/>
        <v>FLINTSL - WHITE</v>
      </c>
      <c r="JL134" s="409">
        <v>27</v>
      </c>
      <c r="JM134" s="411">
        <f>IF(JL134=0,0,IF($LB134=70%,VLOOKUP($JK134,'Jan-2026 rates'!$L:$R,4,0),IF($LB134=65%,VLOOKUP($JK134,'Jan-2026 rates'!$L:$R,4,0),IF($LB134=40%,VLOOKUP($JK134,'Jan-2026 rates'!$L:$R,5,0),IF($LB134=30%,VLOOKUP($JK134,'Jan-2026 rates'!$L:$R,6,0),IF($LB134=100%,VLOOKUP($JK134,'Jan-2026 rates'!$L:$R,7,0),IF($LB134=60%,VLOOKUP($JK134,'Jan-2026 rates'!$L:$S,8,0),IF($LB134=80%,VLOOKUP($JK134,'Jan-2026 rates'!L:T,9,0),0))))))))</f>
        <v>0</v>
      </c>
      <c r="JN134" s="412"/>
      <c r="JO134" s="409"/>
      <c r="JP134" s="411">
        <f>IF(JO134=0,0,IF($LB134=70%,VLOOKUP($JK134,'Jan-2026 rates'!$L:$R,4,0),IF($LB134=65%,VLOOKUP($JK134,'Jan-2026 rates'!$L:$R,4,0),IF($LB134=40%,VLOOKUP($JK134,'Jan-2026 rates'!$L:$R,5,0),IF($LB134=30%,VLOOKUP($JK134,'Jan-2026 rates'!$L:$R,6,0),IF($LB134=100%,VLOOKUP($JK134,'Jan-2026 rates'!$L:$R,7,0),IF($LB134=60%,VLOOKUP($JK134,'Jan-2026 rates'!$L:$S,8,0),IF($LB134=80%,VLOOKUP($JK134,'Jan-2026 rates'!L:T,9,0),0))))))))</f>
        <v>0</v>
      </c>
      <c r="JQ134" s="413" t="s">
        <v>484</v>
      </c>
      <c r="JR134" s="412"/>
      <c r="JS134" s="413"/>
      <c r="JT134" s="413"/>
      <c r="JU134" s="412"/>
      <c r="JV134" s="412"/>
      <c r="JW134" s="412"/>
      <c r="JX134" s="412"/>
      <c r="JY134" s="409">
        <v>60</v>
      </c>
      <c r="JZ134" s="398">
        <f>IF(JY134=0,0,IF(LEN(JQ134)=11,_xlfn.XLOOKUP(JQ134,'Dispensed Ink Rates'!C:C,'Dispensed Ink Rates'!CS:CS),VLOOKUP(JQ134,'Jan-2026 rates'!$E:$F,2,0)))</f>
        <v>0</v>
      </c>
      <c r="KA134" s="409"/>
      <c r="KB134" s="398">
        <f>IF(KA134=0,0,IF(LEN(JR134)=11,_xlfn.XLOOKUP(JR134,'Dispensed Ink Rates'!C:C,'Dispensed Ink Rates'!CS:CS),VLOOKUP(JR134,'Jan-2026 rates'!$E:$F,2,0)))</f>
        <v>0</v>
      </c>
      <c r="KC134" s="409"/>
      <c r="KD134" s="398">
        <f>IF(KC134=0,0,IF(LEN(JS134)=11,_xlfn.XLOOKUP(JS134,'Dispensed Ink Rates'!C:C,'Dispensed Ink Rates'!CS:CS),VLOOKUP(JS134,'Jan-2026 rates'!$E:$F,2,0)))</f>
        <v>0</v>
      </c>
      <c r="KE134" s="409"/>
      <c r="KF134" s="398">
        <f>IF(KE134=0,0,IF(LEN(JT134)=11,_xlfn.XLOOKUP(JT134,'Dispensed Ink Rates'!C:C,'Dispensed Ink Rates'!CS:CS),VLOOKUP(JT134,'Jan-2026 rates'!$E:$F,2,0)))</f>
        <v>0</v>
      </c>
      <c r="KG134" s="409"/>
      <c r="KH134" s="398">
        <f>IF(KG134=0,0,IF(LEN(JU134)=11,_xlfn.XLOOKUP(JU134,'Dispensed Ink Rates'!C:C,'Dispensed Ink Rates'!CS:CS),VLOOKUP(JU134,'Jan-2026 rates'!$E:$F,2,0)))</f>
        <v>0</v>
      </c>
      <c r="KI134" s="409"/>
      <c r="KJ134" s="398">
        <f>IF(KI134=0,0,IF(LEN(JV134)=11,_xlfn.XLOOKUP(JV134,'Dispensed Ink Rates'!C:C,'Dispensed Ink Rates'!CS:CS),VLOOKUP(JV134,'Jan-2026 rates'!$E:$F,2,0)))</f>
        <v>0</v>
      </c>
      <c r="KK134" s="409"/>
      <c r="KL134" s="398">
        <f>IF(KK134=0,0,IF(LEN(JW134)=11,_xlfn.XLOOKUP(JW134,'Dispensed Ink Rates'!C:C,'Dispensed Ink Rates'!CS:CS),VLOOKUP(JW134,'Jan-2026 rates'!$E:$F,2,0)))</f>
        <v>0</v>
      </c>
      <c r="KM134" s="428"/>
      <c r="KN134" s="398">
        <f>IF(KM134=0,0,IF(LEN(JX134)=11,_xlfn.XLOOKUP(JX134,'Dispensed Ink Rates'!C:C,'Dispensed Ink Rates'!CS:CS),VLOOKUP(JX134,'Jan-2026 rates'!$E:$F,2,0)))</f>
        <v>0</v>
      </c>
      <c r="KO134" s="409" t="s">
        <v>1443</v>
      </c>
      <c r="KP134" s="409">
        <v>26</v>
      </c>
      <c r="KQ134" s="411">
        <f t="shared" si="103"/>
        <v>0</v>
      </c>
      <c r="KR134" s="411">
        <f t="shared" si="104"/>
        <v>91</v>
      </c>
      <c r="KS134" s="410">
        <f t="shared" si="105"/>
        <v>0</v>
      </c>
      <c r="KT134" s="409">
        <v>3</v>
      </c>
      <c r="KU134" s="409">
        <v>7</v>
      </c>
      <c r="KV134" s="409">
        <v>10</v>
      </c>
      <c r="KW134" s="409">
        <v>7</v>
      </c>
      <c r="KX134" s="409">
        <v>8</v>
      </c>
      <c r="KY134" s="409">
        <v>10</v>
      </c>
      <c r="KZ134" s="409">
        <v>3</v>
      </c>
      <c r="LA134" s="409">
        <v>30</v>
      </c>
      <c r="LB134" s="415">
        <v>0.8</v>
      </c>
      <c r="LC134" s="415">
        <v>0.2</v>
      </c>
      <c r="LD134" s="415"/>
      <c r="LE134" s="415"/>
      <c r="LF134" s="415"/>
      <c r="LG134" s="409">
        <v>0</v>
      </c>
      <c r="LH134" s="409">
        <v>0</v>
      </c>
      <c r="LI134" s="409">
        <v>0</v>
      </c>
      <c r="LJ134" s="409">
        <v>0</v>
      </c>
      <c r="LK134" s="416">
        <f t="shared" si="61"/>
        <v>0</v>
      </c>
      <c r="LL134" s="416">
        <f t="shared" si="62"/>
        <v>78</v>
      </c>
      <c r="LM134" s="417">
        <f t="shared" si="63"/>
        <v>62.400000000000006</v>
      </c>
      <c r="LN134" s="417">
        <f>VLOOKUP($LM$8,'Jan-2026 rates'!$H:$I,2,0)</f>
        <v>0</v>
      </c>
      <c r="LO134" s="417">
        <f t="shared" si="64"/>
        <v>15.600000000000001</v>
      </c>
      <c r="LP134" s="417">
        <f>VLOOKUP($LO$8,'Jan-2026 rates'!$H:$I,2,0)</f>
        <v>0</v>
      </c>
      <c r="LQ134" s="417">
        <f t="shared" si="65"/>
        <v>0</v>
      </c>
      <c r="LR134" s="417">
        <f>VLOOKUP($LQ$8,'Jan-2026 rates'!$H:$I,2,0)</f>
        <v>0</v>
      </c>
      <c r="LS134" s="417">
        <f t="shared" si="66"/>
        <v>0</v>
      </c>
      <c r="LT134" s="417">
        <f>VLOOKUP($LS$8,'Jan-2026 rates'!$H:$I,2,0)</f>
        <v>0</v>
      </c>
      <c r="LU134" s="417">
        <f t="shared" si="67"/>
        <v>0</v>
      </c>
      <c r="LV134" s="417">
        <f>VLOOKUP($LU$8,'Jan-2026 rates'!$H:$I,2,0)</f>
        <v>0</v>
      </c>
      <c r="LW134" s="417">
        <f t="shared" si="68"/>
        <v>0</v>
      </c>
      <c r="LX134" s="417">
        <f t="shared" si="69"/>
        <v>0</v>
      </c>
      <c r="LY134" s="418">
        <f t="shared" si="70"/>
        <v>0</v>
      </c>
      <c r="LZ134" s="417"/>
      <c r="MA134" s="435">
        <f t="shared" si="71"/>
        <v>182.8</v>
      </c>
      <c r="MB134" s="282">
        <f t="shared" si="72"/>
        <v>189.8</v>
      </c>
      <c r="MC134" s="283">
        <v>89</v>
      </c>
      <c r="MD134" s="284" t="str">
        <f t="shared" si="73"/>
        <v>FLINTSLFLINTSLFLINTSLFLINTSLFLINTSLFLINTSLFLINTSLFLINTSL</v>
      </c>
      <c r="ME134" s="293" t="str">
        <f t="shared" si="74"/>
        <v>+</v>
      </c>
      <c r="MF134" s="293" t="str">
        <f t="shared" si="75"/>
        <v>+</v>
      </c>
      <c r="MG134" s="293" t="str">
        <f t="shared" si="76"/>
        <v>+</v>
      </c>
      <c r="MH134" s="293" t="str">
        <f t="shared" si="77"/>
        <v>+</v>
      </c>
      <c r="MI134" s="293" t="str">
        <f t="shared" si="78"/>
        <v>+</v>
      </c>
      <c r="MJ134" s="293" t="str">
        <f t="shared" si="79"/>
        <v>+</v>
      </c>
      <c r="MK134" s="293" t="str">
        <f t="shared" si="80"/>
        <v>+</v>
      </c>
      <c r="ML134" s="293" t="str">
        <f t="shared" si="81"/>
        <v>+</v>
      </c>
      <c r="MM134" s="3" t="b">
        <f t="array" ref="MM134">OR(ME134:ML134="-")</f>
        <v>0</v>
      </c>
      <c r="MN134" s="285"/>
      <c r="MO134" s="401"/>
      <c r="MP134" s="286"/>
      <c r="MQ134" s="286"/>
      <c r="MR134" s="402"/>
      <c r="MS134" s="400"/>
      <c r="NH134" s="422"/>
      <c r="NJ134" s="421"/>
    </row>
    <row r="135" spans="1:374" s="1" customFormat="1" ht="16.5">
      <c r="A135" s="403">
        <v>46035</v>
      </c>
      <c r="B135" s="404" t="s">
        <v>1018</v>
      </c>
      <c r="C135" s="405" t="s">
        <v>3380</v>
      </c>
      <c r="D135" s="406">
        <v>90</v>
      </c>
      <c r="E135" s="404">
        <v>252</v>
      </c>
      <c r="F135" s="407">
        <v>10900</v>
      </c>
      <c r="G135" s="407" t="s">
        <v>1019</v>
      </c>
      <c r="H135" s="408" t="s">
        <v>1017</v>
      </c>
      <c r="I135" s="409">
        <v>0.2</v>
      </c>
      <c r="J135" s="405" t="s">
        <v>547</v>
      </c>
      <c r="K135" s="404" t="s">
        <v>3376</v>
      </c>
      <c r="L135" s="419" t="str">
        <f t="shared" si="54"/>
        <v>FLINTSL - GREEN</v>
      </c>
      <c r="M135" s="404">
        <v>28</v>
      </c>
      <c r="N135" s="410">
        <f>IF(M135=0,0,IF($LB135=70%,VLOOKUP($L135,'Jan-2026 rates'!$L:$R,4,0),IF($LB135=65%,VLOOKUP($L135,'Jan-2026 rates'!$L:$R,4,0),IF($LB135=40%,VLOOKUP($L135,'Jan-2026 rates'!$L:$R,5,0),IF($LB135=30%,VLOOKUP($L135,'Jan-2026 rates'!$L:$R,6,0),IF($LB135=100%,VLOOKUP($L135,'Jan-2026 rates'!$L:$R,7,0),IF($LB135=60%,VLOOKUP($L135,'Jan-2026 rates'!$L:$S,8,0),IF($LB135=80%,VLOOKUP($L135,'Jan-2026 rates'!L:T,9,0),0))))))))</f>
        <v>0</v>
      </c>
      <c r="O135" s="406"/>
      <c r="P135" s="404"/>
      <c r="Q135" s="410">
        <f>IF(P135=0,0,IF($LB135=70%,VLOOKUP($L135,'Jan-2026 rates'!$L:$R,4,0),IF($LB135=65%,VLOOKUP($L135,'Jan-2026 rates'!$L:$R,4,0),IF($LB135=40%,VLOOKUP($L135,'Jan-2026 rates'!$L:$R,5,0),IF($LB135=30%,VLOOKUP($L135,'Jan-2026 rates'!$L:$R,6,0),IF($LB135=100%,VLOOKUP($L135,'Jan-2026 rates'!$L:$R,7,0),IF($LB135=60%,VLOOKUP($L135,'Jan-2026 rates'!$L:$S,8,0),IF($LB135=80%,VLOOKUP($L135,'Jan-2026 rates'!L:T,9,0),0))))))))</f>
        <v>0</v>
      </c>
      <c r="R135" s="406">
        <v>26510000009</v>
      </c>
      <c r="S135" s="406">
        <v>26514000011</v>
      </c>
      <c r="T135" s="406">
        <v>26507000020</v>
      </c>
      <c r="U135" s="406"/>
      <c r="V135" s="406"/>
      <c r="W135" s="406"/>
      <c r="X135" s="406"/>
      <c r="Y135" s="406"/>
      <c r="Z135" s="404">
        <f>1+2+5</f>
        <v>8</v>
      </c>
      <c r="AA135" s="398" t="e">
        <f>IF(Z135=0,0,IF(LEN(R135)=11,_xlfn.XLOOKUP(R135,'Dispensed Ink Rates'!C:C,'Dispensed Ink Rates'!CS:CS),VLOOKUP(R135,'Jan-2026 rates'!$E:$F,2,0)))</f>
        <v>#N/A</v>
      </c>
      <c r="AB135" s="404">
        <f>9+4</f>
        <v>13</v>
      </c>
      <c r="AC135" s="398" t="e">
        <f>IF(AB135=0,0,IF(LEN(S135)=11,_xlfn.XLOOKUP(S135,'Dispensed Ink Rates'!C:C,'Dispensed Ink Rates'!CS:CS),VLOOKUP(S135,'Jan-2026 rates'!$E:$F,2,0)))</f>
        <v>#N/A</v>
      </c>
      <c r="AD135" s="404">
        <f>2+1+3</f>
        <v>6</v>
      </c>
      <c r="AE135" s="398" t="e">
        <f>IF(AD135=0,0,IF(LEN(T135)=11,_xlfn.XLOOKUP(T135,'Dispensed Ink Rates'!C:C,'Dispensed Ink Rates'!CS:CS),VLOOKUP(T135,'Jan-2026 rates'!$E:$F,2,0)))</f>
        <v>#N/A</v>
      </c>
      <c r="AF135" s="404"/>
      <c r="AG135" s="398">
        <f>IF(AF135=0,0,IF(LEN(U135)=11,_xlfn.XLOOKUP(U135,'Dispensed Ink Rates'!C:C,'Dispensed Ink Rates'!CS:CS),VLOOKUP(U135,'Jan-2026 rates'!$E:$F,2,0)))</f>
        <v>0</v>
      </c>
      <c r="AH135" s="404"/>
      <c r="AI135" s="398">
        <f>IF(AH135=0,0,IF(LEN(V135)=11,_xlfn.XLOOKUP(V135,'Dispensed Ink Rates'!C:C,'Dispensed Ink Rates'!CS:CS),VLOOKUP(V135,'Jan-2026 rates'!$E:$F,2,0)))</f>
        <v>0</v>
      </c>
      <c r="AJ135" s="404"/>
      <c r="AK135" s="398">
        <f>IF(AJ135=0,0,IF(LEN(W135)=11,_xlfn.XLOOKUP(W135,'Dispensed Ink Rates'!C:C,'Dispensed Ink Rates'!CS:CS),VLOOKUP(W135,'Jan-2026 rates'!$E:$F,2,0)))</f>
        <v>0</v>
      </c>
      <c r="AL135" s="404"/>
      <c r="AM135" s="398">
        <f>IF(AL135=0,0,IF(LEN(X135)=11,_xlfn.XLOOKUP(X135,'Dispensed Ink Rates'!C:C,'Dispensed Ink Rates'!CS:CS),VLOOKUP(X135,'Jan-2026 rates'!$E:$F,2,0)))</f>
        <v>0</v>
      </c>
      <c r="AN135" s="404"/>
      <c r="AO135" s="398">
        <f>IF(AN135=0,0,IF(LEN(Y135)=11,_xlfn.XLOOKUP(Y135,'Dispensed Ink Rates'!C:C,'Dispensed Ink Rates'!CS:CS),VLOOKUP(Y135,'Jan-2026 rates'!$E:$F,2,0)))</f>
        <v>0</v>
      </c>
      <c r="AP135" s="409" t="s">
        <v>1443</v>
      </c>
      <c r="AQ135" s="409">
        <v>24</v>
      </c>
      <c r="AR135" s="410">
        <f t="shared" si="82"/>
        <v>0</v>
      </c>
      <c r="AS135" s="411">
        <f t="shared" si="83"/>
        <v>51</v>
      </c>
      <c r="AT135" s="410">
        <f t="shared" si="84"/>
        <v>0</v>
      </c>
      <c r="AU135" s="405"/>
      <c r="AV135" s="409"/>
      <c r="AW135" s="420" t="str">
        <f t="shared" si="53"/>
        <v xml:space="preserve"> - </v>
      </c>
      <c r="AX135" s="409"/>
      <c r="AY135" s="411">
        <f>IF(AX135=0,0,IF($LB135=70%,VLOOKUP($AW135,'Jan-2026 rates'!$L:$R,4,0),IF($LB135=65%,VLOOKUP($AW135,'Jan-2026 rates'!$L:$R,4,0),IF($LB135=40%,VLOOKUP($AW135,'Jan-2026 rates'!$L:$R,5,0),IF($LB135=30%,VLOOKUP($AW135,'Jan-2026 rates'!$L:$R,6,0),IF($LB135=100%,VLOOKUP($AW135,'Jan-2026 rates'!$L:$R,7,0),IF($LB135=60%,VLOOKUP($AW135,'Jan-2026 rates'!$L:$S,8,0),IF($LB135=80%,VLOOKUP($AW135,'Jan-2026 rates'!L:T,9,0),0))))))))</f>
        <v>0</v>
      </c>
      <c r="AZ135" s="412"/>
      <c r="BA135" s="409"/>
      <c r="BB135" s="411">
        <f>IF(BA135=0,0,IF($LB135=70%,VLOOKUP($AW135,'Jan-2026 rates'!$L:$R,4,0),IF($LB135=65%,VLOOKUP($AW135,'Jan-2026 rates'!$L:$R,4,0),IF($LB135=40%,VLOOKUP($AW135,'Jan-2026 rates'!$L:$R,5,0),IF($LB135=30%,VLOOKUP($AW135,'Jan-2026 rates'!$L:$R,6,0),IF($LB135=100%,VLOOKUP($AW135,'Jan-2026 rates'!$L:$R,7,0),IF($LB135=60%,VLOOKUP($AW135,'Jan-2026 rates'!$L:$S,8,0),IF($LB135=80%,VLOOKUP($AW135,'Jan-2026 rates'!L:T,9,0),0))))))))</f>
        <v>0</v>
      </c>
      <c r="BC135" s="413"/>
      <c r="BD135" s="412"/>
      <c r="BE135" s="412"/>
      <c r="BF135" s="413"/>
      <c r="BG135" s="412"/>
      <c r="BH135" s="412"/>
      <c r="BI135" s="412"/>
      <c r="BJ135" s="412"/>
      <c r="BK135" s="409"/>
      <c r="BL135" s="398">
        <f>IF(BK135=0,0,IF(LEN(BC135)=11,_xlfn.XLOOKUP(BC135,'Dispensed Ink Rates'!C:C,'Dispensed Ink Rates'!CS:CS),VLOOKUP(BC135,'Jan-2026 rates'!$E:$F,2,0)))</f>
        <v>0</v>
      </c>
      <c r="BM135" s="409"/>
      <c r="BN135" s="398">
        <f>IF(BM135=0,0,IF(LEN(BD135)=11,_xlfn.XLOOKUP(BD135,'Dispensed Ink Rates'!C:C,'Dispensed Ink Rates'!CS:CS),VLOOKUP(BD135,'Jan-2026 rates'!$E:$F,2,0)))</f>
        <v>0</v>
      </c>
      <c r="BO135" s="409"/>
      <c r="BP135" s="398">
        <f>IF(BO135=0,0,IF(LEN(BE135)=11,_xlfn.XLOOKUP(BE135,'Dispensed Ink Rates'!C:C,'Dispensed Ink Rates'!CS:CS),VLOOKUP(BE135,'Jan-2026 rates'!$E:$F,2,0)))</f>
        <v>0</v>
      </c>
      <c r="BQ135" s="409"/>
      <c r="BR135" s="398">
        <f>IF(BQ135=0,0,IF(LEN(BF135)=11,_xlfn.XLOOKUP(BF135,'Dispensed Ink Rates'!C:C,'Dispensed Ink Rates'!CS:CS),VLOOKUP(BF135,'Jan-2026 rates'!$E:$F,2,0)))</f>
        <v>0</v>
      </c>
      <c r="BS135" s="409"/>
      <c r="BT135" s="398">
        <f>IF(BS135=0,0,IF(LEN(BG135)=11,_xlfn.XLOOKUP(BG135,'Dispensed Ink Rates'!C:C,'Dispensed Ink Rates'!CS:CS),VLOOKUP(BG135,'Jan-2026 rates'!$E:$F,2,0)))</f>
        <v>0</v>
      </c>
      <c r="BU135" s="409"/>
      <c r="BV135" s="398">
        <f>IF(BU135=0,0,IF(LEN(BH135)=11,_xlfn.XLOOKUP(BH135,'Dispensed Ink Rates'!C:C,'Dispensed Ink Rates'!CS:CS),VLOOKUP(BH135,'Jan-2026 rates'!$E:$F,2,0)))</f>
        <v>0</v>
      </c>
      <c r="BW135" s="409"/>
      <c r="BX135" s="398">
        <f>IF(BW135=0,0,IF(LEN(BI135)=11,_xlfn.XLOOKUP(BI135,'Dispensed Ink Rates'!C:C,'Dispensed Ink Rates'!CS:CS),VLOOKUP(BI135,'Jan-2026 rates'!$E:$F,2,0)))</f>
        <v>0</v>
      </c>
      <c r="BY135" s="409"/>
      <c r="BZ135" s="398">
        <f>IF(BY135=0,0,IF(LEN(BJ135)=11,_xlfn.XLOOKUP(BJ135,'Dispensed Ink Rates'!C:C,'Dispensed Ink Rates'!CS:CS),VLOOKUP(BJ135,'Jan-2026 rates'!$E:$F,2,0)))</f>
        <v>0</v>
      </c>
      <c r="CA135" s="409"/>
      <c r="CB135" s="409"/>
      <c r="CC135" s="411">
        <f t="shared" si="85"/>
        <v>0</v>
      </c>
      <c r="CD135" s="411">
        <f t="shared" si="86"/>
        <v>0</v>
      </c>
      <c r="CE135" s="410">
        <f t="shared" si="87"/>
        <v>0</v>
      </c>
      <c r="CF135" s="404"/>
      <c r="CG135" s="409"/>
      <c r="CH135" s="420" t="str">
        <f t="shared" si="55"/>
        <v xml:space="preserve"> - </v>
      </c>
      <c r="CI135" s="409"/>
      <c r="CJ135" s="411">
        <f>IF(CI135=0,0,IF($LB135=70%,VLOOKUP($CH135,'Jan-2026 rates'!$L:$R,4,0),IF($LB135=65%,VLOOKUP($CH135,'Jan-2026 rates'!$L:$R,4,0),IF($LB135=40%,VLOOKUP($CH135,'Jan-2026 rates'!$L:$R,5,0),IF($LB135=30%,VLOOKUP($CH135,'Jan-2026 rates'!$L:$R,6,0),IF($LB135=100%,VLOOKUP($CH135,'Jan-2026 rates'!$L:$R,7,0),IF($LB135=60%,VLOOKUP($CH135,'Jan-2026 rates'!$L:$S,8,0),IF($LB135=80%,VLOOKUP($CH135,'Jan-2026 rates'!L:T,9,0),0))))))))</f>
        <v>0</v>
      </c>
      <c r="CK135" s="412"/>
      <c r="CL135" s="409"/>
      <c r="CM135" s="411">
        <f>IF(CL135=0,0,IF($LB135=70%,VLOOKUP($CH135,'Jan-2026 rates'!$L:$R,4,0),IF($LB135=65%,VLOOKUP($CH135,'Jan-2026 rates'!$L:$R,4,0),IF($LB135=40%,VLOOKUP($CH135,'Jan-2026 rates'!$L:$R,5,0),IF($LB135=30%,VLOOKUP($CH135,'Jan-2026 rates'!$L:$R,6,0),IF($LB135=100%,VLOOKUP($CH135,'Jan-2026 rates'!$L:$R,7,0),IF($LB135=60%,VLOOKUP($CH135,'Jan-2026 rates'!$L:$S,8,0),IF($LB135=80%,VLOOKUP($CH135,'Jan-2026 rates'!L:T,9,0),0))))))))</f>
        <v>0</v>
      </c>
      <c r="CN135" s="426"/>
      <c r="CO135" s="427"/>
      <c r="CP135" s="426"/>
      <c r="CQ135" s="426"/>
      <c r="CR135" s="428"/>
      <c r="CS135" s="428"/>
      <c r="CT135" s="428"/>
      <c r="CU135" s="428"/>
      <c r="CV135" s="409"/>
      <c r="CW135" s="398">
        <f>IF(CV135=0,0,IF(LEN(CN135)=11,_xlfn.XLOOKUP(CN135,'Dispensed Ink Rates'!C:C,'Dispensed Ink Rates'!CS:CS),VLOOKUP(CN135,'Jan-2026 rates'!$E:$F,2,0)))</f>
        <v>0</v>
      </c>
      <c r="CX135" s="409"/>
      <c r="CY135" s="398">
        <f>IF(CX135=0,0,IF(LEN(CO135)=11,_xlfn.XLOOKUP(CO135,'Dispensed Ink Rates'!C:C,'Dispensed Ink Rates'!CS:CS),VLOOKUP(CO135,'Jan-2026 rates'!$E:$F,2,0)))</f>
        <v>0</v>
      </c>
      <c r="CZ135" s="409"/>
      <c r="DA135" s="398">
        <f>IF(CZ135=0,0,IF(LEN(CP135)=11,_xlfn.XLOOKUP(CP135,'Dispensed Ink Rates'!C:C,'Dispensed Ink Rates'!CS:CS),VLOOKUP(CP135,'Jan-2026 rates'!$E:$F,2,0)))</f>
        <v>0</v>
      </c>
      <c r="DB135" s="409"/>
      <c r="DC135" s="398">
        <f>IF(DB135=0,0,IF(LEN(CQ135)=11,_xlfn.XLOOKUP(CQ135,'Dispensed Ink Rates'!C:C,'Dispensed Ink Rates'!CS:CS),VLOOKUP(CQ135,'Jan-2026 rates'!$E:$F,2,0)))</f>
        <v>0</v>
      </c>
      <c r="DD135" s="409"/>
      <c r="DE135" s="398">
        <f>IF(DD135=0,0,IF(LEN(CR135)=11,_xlfn.XLOOKUP(CR135,'Dispensed Ink Rates'!C:C,'Dispensed Ink Rates'!CS:CS),VLOOKUP(CR135,'Jan-2026 rates'!$E:$F,2,0)))</f>
        <v>0</v>
      </c>
      <c r="DF135" s="409"/>
      <c r="DG135" s="398">
        <f>IF(DF135=0,0,IF(LEN(CS135)=11,_xlfn.XLOOKUP(CS135,'Dispensed Ink Rates'!C:C,'Dispensed Ink Rates'!CS:CS),VLOOKUP(CS135,'Jan-2026 rates'!$E:$F,2,0)))</f>
        <v>0</v>
      </c>
      <c r="DH135" s="409"/>
      <c r="DI135" s="398">
        <f>IF(DH135=0,0,IF(LEN(CT135)=11,_xlfn.XLOOKUP(CT135,'Dispensed Ink Rates'!C:C,'Dispensed Ink Rates'!CS:CS),VLOOKUP(CT135,'Jan-2026 rates'!$E:$F,2,0)))</f>
        <v>0</v>
      </c>
      <c r="DJ135" s="409"/>
      <c r="DK135" s="398">
        <f>IF(DJ135=0,0,IF(LEN(CU135)=11,_xlfn.XLOOKUP(CU135,'Dispensed Ink Rates'!C:C,'Dispensed Ink Rates'!CS:CS),VLOOKUP(CU135,'Jan-2026 rates'!$E:$F,2,0)))</f>
        <v>0</v>
      </c>
      <c r="DL135" s="409"/>
      <c r="DM135" s="409"/>
      <c r="DN135" s="411">
        <f t="shared" si="88"/>
        <v>0</v>
      </c>
      <c r="DO135" s="411">
        <f t="shared" si="89"/>
        <v>0</v>
      </c>
      <c r="DP135" s="410">
        <f t="shared" si="90"/>
        <v>0</v>
      </c>
      <c r="DQ135" s="405"/>
      <c r="DR135" s="409"/>
      <c r="DS135" s="420" t="str">
        <f t="shared" si="56"/>
        <v xml:space="preserve"> - </v>
      </c>
      <c r="DT135" s="409"/>
      <c r="DU135" s="411">
        <f>IF(DT135=0,0,IF($LB135=70%,VLOOKUP($DS135,'Jan-2026 rates'!$L:$R,4,0),IF($LB135=65%,VLOOKUP($DS135,'Jan-2026 rates'!$L:$R,4,0),IF($LB135=40%,VLOOKUP($DS135,'Jan-2026 rates'!$L:$R,5,0),IF($LB135=30%,VLOOKUP($DS135,'Jan-2026 rates'!$L:$R,6,0),IF($LB135=100%,VLOOKUP($DS135,'Jan-2026 rates'!$L:$R,7,0),IF($LB135=60%,VLOOKUP($DS135,'Jan-2026 rates'!$L:$S,8,0),IF($LB135=80%,VLOOKUP($DS135,'Jan-2026 rates'!L:T,9,0),0))))))))</f>
        <v>0</v>
      </c>
      <c r="DV135" s="412"/>
      <c r="DW135" s="409"/>
      <c r="DX135" s="411">
        <f>IF(DW135=0,0,IF($LB135=70%,VLOOKUP($DS135,'Jan-2026 rates'!$L:$R,4,0),IF($LB135=65%,VLOOKUP($DS135,'Jan-2026 rates'!$L:$R,4,0),IF($LB135=40%,VLOOKUP($DS135,'Jan-2026 rates'!$L:$R,5,0),IF($LB135=30%,VLOOKUP($DS135,'Jan-2026 rates'!$L:$R,6,0),IF($LB135=100%,VLOOKUP($DS135,'Jan-2026 rates'!$L:$R,7,0),IF($LB135=60%,VLOOKUP($DS135,'Jan-2026 rates'!$L:$S,8,0),IF($LB135=80%,VLOOKUP($DS135,'Jan-2026 rates'!L:T,9,0),0))))))))</f>
        <v>0</v>
      </c>
      <c r="DY135" s="413"/>
      <c r="DZ135" s="413"/>
      <c r="EA135" s="412"/>
      <c r="EB135" s="412"/>
      <c r="EC135" s="412"/>
      <c r="ED135" s="412"/>
      <c r="EE135" s="412"/>
      <c r="EF135" s="412"/>
      <c r="EG135" s="409"/>
      <c r="EH135" s="398">
        <f>IF(EG135=0,0,IF(LEN(DY135)=11,_xlfn.XLOOKUP(DY135,'Dispensed Ink Rates'!C:C,'Dispensed Ink Rates'!CS:CS),VLOOKUP(DY135,'Jan-2026 rates'!$E:$F,2,0)))</f>
        <v>0</v>
      </c>
      <c r="EI135" s="409"/>
      <c r="EJ135" s="398">
        <f>IF(EI135=0,0,IF(LEN(DZ135)=11,_xlfn.XLOOKUP(DZ135,'Dispensed Ink Rates'!C:C,'Dispensed Ink Rates'!CS:CS),VLOOKUP(DZ135,'Jan-2026 rates'!$E:$F,2,0)))</f>
        <v>0</v>
      </c>
      <c r="EK135" s="409"/>
      <c r="EL135" s="398">
        <f>IF(EK135=0,0,IF(LEN(EA135)=11,_xlfn.XLOOKUP(EA135,'Dispensed Ink Rates'!C:C,'Dispensed Ink Rates'!CS:CS),VLOOKUP(EA135,'Jan-2026 rates'!$E:$F,2,0)))</f>
        <v>0</v>
      </c>
      <c r="EM135" s="409"/>
      <c r="EN135" s="398">
        <f>IF(EM135=0,0,IF(LEN(EB135)=11,_xlfn.XLOOKUP(EB135,'Dispensed Ink Rates'!C:C,'Dispensed Ink Rates'!CS:CS),VLOOKUP(EB135,'Jan-2026 rates'!$E:$F,2,0)))</f>
        <v>0</v>
      </c>
      <c r="EO135" s="409"/>
      <c r="EP135" s="398">
        <f>IF(EO135=0,0,IF(LEN(EC135)=11,_xlfn.XLOOKUP(EC135,'Dispensed Ink Rates'!C:C,'Dispensed Ink Rates'!CS:CS),VLOOKUP(EC135,'Jan-2026 rates'!$E:$F,2,0)))</f>
        <v>0</v>
      </c>
      <c r="EQ135" s="409"/>
      <c r="ER135" s="398">
        <f>IF(EQ135=0,0,IF(LEN(ED135)=11,_xlfn.XLOOKUP(ED135,'Dispensed Ink Rates'!C:C,'Dispensed Ink Rates'!CS:CS),VLOOKUP(ED135,'Jan-2026 rates'!$E:$F,2,0)))</f>
        <v>0</v>
      </c>
      <c r="ES135" s="409"/>
      <c r="ET135" s="398">
        <f>IF(ES135=0,0,IF(LEN(EE135)=11,_xlfn.XLOOKUP(EE135,'Dispensed Ink Rates'!C:C,'Dispensed Ink Rates'!CS:CS),VLOOKUP(EE135,'Jan-2026 rates'!$E:$F,2,0)))</f>
        <v>0</v>
      </c>
      <c r="EU135" s="409"/>
      <c r="EV135" s="398">
        <f>IF(EU135=0,0,IF(LEN(EF135)=11,_xlfn.XLOOKUP(EF135,'Dispensed Ink Rates'!C:C,'Dispensed Ink Rates'!CS:CS),VLOOKUP(EF135,'Jan-2026 rates'!$E:$F,2,0)))</f>
        <v>0</v>
      </c>
      <c r="EW135" s="409"/>
      <c r="EX135" s="409"/>
      <c r="EY135" s="411">
        <f t="shared" si="91"/>
        <v>0</v>
      </c>
      <c r="EZ135" s="411">
        <f t="shared" si="92"/>
        <v>0</v>
      </c>
      <c r="FA135" s="410">
        <f t="shared" si="93"/>
        <v>0</v>
      </c>
      <c r="FB135" s="405"/>
      <c r="FC135" s="409"/>
      <c r="FD135" s="420" t="str">
        <f t="shared" si="57"/>
        <v xml:space="preserve"> - </v>
      </c>
      <c r="FE135" s="409"/>
      <c r="FF135" s="411">
        <f>IF(FE135=0,0,IF($LB135=70%,VLOOKUP($FD135,'Jan-2026 rates'!$L:$R,4,0),IF($LB135=65%,VLOOKUP($FD135,'Jan-2026 rates'!$L:$R,4,0),IF($LB135=40%,VLOOKUP($FD135,'Jan-2026 rates'!$L:$R,5,0),IF($LB135=30%,VLOOKUP($FD135,'Jan-2026 rates'!$L:$R,6,0),IF($LB135=100%,VLOOKUP($FD135,'Jan-2026 rates'!$L:$R,7,0),IF($LB135=60%,VLOOKUP($FD135,'Jan-2026 rates'!$L:$S,8,0),IF($LB135=80%,VLOOKUP($FD135,'Jan-2026 rates'!L:T,9,0),0))))))))</f>
        <v>0</v>
      </c>
      <c r="FG135" s="412"/>
      <c r="FH135" s="409"/>
      <c r="FI135" s="411">
        <f>IF(FH135=0,0,IF($LB135=70%,VLOOKUP($FD135,'Jan-2026 rates'!$L:$R,4,0),IF($LB135=65%,VLOOKUP($FD135,'Jan-2026 rates'!$L:$R,4,0),IF($LB135=40%,VLOOKUP($FD135,'Jan-2026 rates'!$L:$R,5,0),IF($LB135=30%,VLOOKUP($FD135,'Jan-2026 rates'!$L:$R,6,0),IF($LB135=100%,VLOOKUP($FD135,'Jan-2026 rates'!$L:$R,7,0),IF($LB135=60%,VLOOKUP($FD135,'Jan-2026 rates'!$L:$S,8,0),IF($LB135=80%,VLOOKUP($FD135,'Jan-2026 rates'!L:T,9,0),0))))))))</f>
        <v>0</v>
      </c>
      <c r="FJ135" s="413"/>
      <c r="FK135" s="413"/>
      <c r="FL135" s="413"/>
      <c r="FM135" s="412"/>
      <c r="FN135" s="412"/>
      <c r="FO135" s="412"/>
      <c r="FP135" s="412"/>
      <c r="FQ135" s="412"/>
      <c r="FR135" s="409"/>
      <c r="FS135" s="398">
        <f>IF(FR135=0,0,IF(LEN(FJ135)=11,_xlfn.XLOOKUP(FJ135,'Dispensed Ink Rates'!C:C,'Dispensed Ink Rates'!CS:CS),VLOOKUP(FJ135,'Jan-2026 rates'!$E:$F,2,0)))</f>
        <v>0</v>
      </c>
      <c r="FT135" s="409"/>
      <c r="FU135" s="398">
        <f>IF(FT135=0,0,IF(LEN(FK135)=11,_xlfn.XLOOKUP(FK135,'Dispensed Ink Rates'!C:C,'Dispensed Ink Rates'!CS:CS),VLOOKUP(FK135,'Jan-2026 rates'!$E:$F,2,0)))</f>
        <v>0</v>
      </c>
      <c r="FV135" s="409"/>
      <c r="FW135" s="398">
        <f>IF(FV135=0,0,IF(LEN(FL135)=11,_xlfn.XLOOKUP(FL135,'Dispensed Ink Rates'!C:C,'Dispensed Ink Rates'!CS:CS),VLOOKUP(FL135,'Jan-2026 rates'!$E:$F,2,0)))</f>
        <v>0</v>
      </c>
      <c r="FX135" s="409"/>
      <c r="FY135" s="398">
        <f>IF(FX135=0,0,IF(LEN(FM135)=11,_xlfn.XLOOKUP(FM135,'Dispensed Ink Rates'!C:C,'Dispensed Ink Rates'!CS:CS),VLOOKUP(FM135,'Jan-2026 rates'!$E:$F,2,0)))</f>
        <v>0</v>
      </c>
      <c r="FZ135" s="409"/>
      <c r="GA135" s="398">
        <f>IF(FZ135=0,0,IF(LEN(FN135)=11,_xlfn.XLOOKUP(FN135,'Dispensed Ink Rates'!C:C,'Dispensed Ink Rates'!CS:CS),VLOOKUP(FN135,'Jan-2026 rates'!$E:$F,2,0)))</f>
        <v>0</v>
      </c>
      <c r="GB135" s="409"/>
      <c r="GC135" s="398">
        <f>IF(GB135=0,0,IF(LEN(FO135)=11,_xlfn.XLOOKUP(FO135,'Dispensed Ink Rates'!C:C,'Dispensed Ink Rates'!CS:CS),VLOOKUP(FO135,'Jan-2026 rates'!$E:$F,2,0)))</f>
        <v>0</v>
      </c>
      <c r="GD135" s="409"/>
      <c r="GE135" s="398">
        <f>IF(GD135=0,0,IF(LEN(FP135)=11,_xlfn.XLOOKUP(FP135,'Dispensed Ink Rates'!C:C,'Dispensed Ink Rates'!CS:CS),VLOOKUP(FP135,'Jan-2026 rates'!$E:$F,2,0)))</f>
        <v>0</v>
      </c>
      <c r="GF135" s="409"/>
      <c r="GG135" s="398">
        <f>IF(GF135=0,0,IF(LEN(FQ135)=11,_xlfn.XLOOKUP(FQ135,'Dispensed Ink Rates'!C:C,'Dispensed Ink Rates'!CS:CS),VLOOKUP(FQ135,'Jan-2026 rates'!$E:$F,2,0)))</f>
        <v>0</v>
      </c>
      <c r="GH135" s="409"/>
      <c r="GI135" s="409"/>
      <c r="GJ135" s="411">
        <f t="shared" si="94"/>
        <v>0</v>
      </c>
      <c r="GK135" s="411">
        <f t="shared" si="95"/>
        <v>0</v>
      </c>
      <c r="GL135" s="410">
        <f t="shared" si="96"/>
        <v>0</v>
      </c>
      <c r="GM135" s="405"/>
      <c r="GN135" s="409"/>
      <c r="GO135" s="420" t="str">
        <f t="shared" si="58"/>
        <v xml:space="preserve"> - </v>
      </c>
      <c r="GP135" s="409"/>
      <c r="GQ135" s="411">
        <f>IF(GP135=0,0,IF($LB135=70%,VLOOKUP($GO135,'Jan-2026 rates'!$L:$R,4,0),IF($LB135=65%,VLOOKUP($GO135,'Jan-2026 rates'!$L:$R,4,0),IF($LB135=40%,VLOOKUP($GO135,'Jan-2026 rates'!$L:$R,5,0),IF($LB135=30%,VLOOKUP($GO135,'Jan-2026 rates'!$L:$R,6,0),IF($LB135=100%,VLOOKUP($GO135,'Jan-2026 rates'!$L:$R,7,0),IF($LB135=60%,VLOOKUP($GO135,'Jan-2026 rates'!$L:$S,8,0),IF($LB135=80%,VLOOKUP($GO135,'Jan-2026 rates'!L:T,9,0),0))))))))</f>
        <v>0</v>
      </c>
      <c r="GR135" s="412"/>
      <c r="GS135" s="409"/>
      <c r="GT135" s="411">
        <f>IF(GS135=0,0,IF($LB135=70%,VLOOKUP($GO135,'Jan-2026 rates'!$L:$R,4,0),IF($LB135=65%,VLOOKUP($GO135,'Jan-2026 rates'!$L:$R,4,0),IF($LB135=40%,VLOOKUP($GO135,'Jan-2026 rates'!$L:$R,5,0),IF($LB135=30%,VLOOKUP($GO135,'Jan-2026 rates'!$L:$R,6,0),IF($LB135=100%,VLOOKUP($GO135,'Jan-2026 rates'!$L:$R,7,0),IF($LB135=60%,VLOOKUP($GO135,'Jan-2026 rates'!$L:$S,8,0),IF($LB135=80%,VLOOKUP($GO135,'Jan-2026 rates'!L:T,9,0),0))))))))</f>
        <v>0</v>
      </c>
      <c r="GU135" s="413"/>
      <c r="GV135" s="413"/>
      <c r="GW135" s="412"/>
      <c r="GX135" s="412"/>
      <c r="GY135" s="412"/>
      <c r="GZ135" s="412"/>
      <c r="HA135" s="412"/>
      <c r="HB135" s="412"/>
      <c r="HC135" s="409"/>
      <c r="HD135" s="398">
        <f>IF(HC135=0,0,IF(LEN(GU135)=11,_xlfn.XLOOKUP(GU135,'Dispensed Ink Rates'!C:C,'Dispensed Ink Rates'!CS:CS),VLOOKUP(GU135,'Jan-2026 rates'!$E:$F,2,0)))</f>
        <v>0</v>
      </c>
      <c r="HE135" s="409"/>
      <c r="HF135" s="398">
        <f>IF(HE135=0,0,IF(LEN(GV135)=11,_xlfn.XLOOKUP(GV135,'Dispensed Ink Rates'!C:C,'Dispensed Ink Rates'!CS:CS),VLOOKUP(GV135,'Jan-2026 rates'!$E:$F,2,0)))</f>
        <v>0</v>
      </c>
      <c r="HG135" s="409"/>
      <c r="HH135" s="398">
        <f>IF(HG135=0,0,IF(LEN(GW135)=11,_xlfn.XLOOKUP(GW135,'Dispensed Ink Rates'!C:C,'Dispensed Ink Rates'!CS:CS),VLOOKUP(GW135,'Jan-2026 rates'!$E:$F,2,0)))</f>
        <v>0</v>
      </c>
      <c r="HI135" s="409"/>
      <c r="HJ135" s="398">
        <f>IF(HI135=0,0,IF(LEN(GX135)=11,_xlfn.XLOOKUP(GX135,'Dispensed Ink Rates'!C:C,'Dispensed Ink Rates'!CS:CS),VLOOKUP(GX135,'Jan-2026 rates'!$E:$F,2,0)))</f>
        <v>0</v>
      </c>
      <c r="HK135" s="409"/>
      <c r="HL135" s="398">
        <f>IF(HK135=0,0,IF(LEN(GY135)=11,_xlfn.XLOOKUP(GY135,'Dispensed Ink Rates'!C:C,'Dispensed Ink Rates'!CS:CS),VLOOKUP(GY135,'Jan-2026 rates'!$E:$F,2,0)))</f>
        <v>0</v>
      </c>
      <c r="HM135" s="409"/>
      <c r="HN135" s="398">
        <f>IF(HM135=0,0,IF(LEN(GZ135)=11,_xlfn.XLOOKUP(GZ135,'Dispensed Ink Rates'!C:C,'Dispensed Ink Rates'!CS:CS),VLOOKUP(GZ135,'Jan-2026 rates'!$E:$F,2,0)))</f>
        <v>0</v>
      </c>
      <c r="HO135" s="409"/>
      <c r="HP135" s="398">
        <f>IF(HO135=0,0,IF(LEN(HA135)=11,_xlfn.XLOOKUP(HA135,'Dispensed Ink Rates'!C:C,'Dispensed Ink Rates'!CS:CS),VLOOKUP(HA135,'Jan-2026 rates'!$E:$F,2,0)))</f>
        <v>0</v>
      </c>
      <c r="HQ135" s="409"/>
      <c r="HR135" s="398">
        <f>IF(HQ135=0,0,IF(LEN(HB135)=11,_xlfn.XLOOKUP(HB135,'Dispensed Ink Rates'!C:C,'Dispensed Ink Rates'!CS:CS),VLOOKUP(HB135,'Jan-2026 rates'!$E:$F,2,0)))</f>
        <v>0</v>
      </c>
      <c r="HS135" s="409"/>
      <c r="HT135" s="409"/>
      <c r="HU135" s="411">
        <f t="shared" si="97"/>
        <v>0</v>
      </c>
      <c r="HV135" s="411">
        <f t="shared" si="98"/>
        <v>0</v>
      </c>
      <c r="HW135" s="414">
        <f t="shared" si="99"/>
        <v>0</v>
      </c>
      <c r="HX135" s="405"/>
      <c r="HY135" s="409"/>
      <c r="HZ135" s="420" t="str">
        <f t="shared" si="59"/>
        <v xml:space="preserve"> - </v>
      </c>
      <c r="IA135" s="409"/>
      <c r="IB135" s="411">
        <f>IF(IA135=0,0,IF($LB135=70%,VLOOKUP($HZ135,'Jan-2026 rates'!$L:$R,4,0),IF($LB135=65%,VLOOKUP($HZ135,'Jan-2026 rates'!$L:$R,4,0),IF($LB135=40%,VLOOKUP($HZ135,'Jan-2026 rates'!$L:$R,5,0),IF($LB135=30%,VLOOKUP($HZ135,'Jan-2026 rates'!$L:$R,6,0),IF($LB135=100%,VLOOKUP($HZ135,'Jan-2026 rates'!$L:$R,7,0),IF($LB135=60%,VLOOKUP($HZ135,'Jan-2026 rates'!$L:$S,8,0),IF($LB135=80%,VLOOKUP($HZ135,'Jan-2026 rates'!L:T,9,0),0))))))))</f>
        <v>0</v>
      </c>
      <c r="IC135" s="412"/>
      <c r="ID135" s="409"/>
      <c r="IE135" s="411">
        <f>IF(ID135=0,0,IF($LB135=70%,VLOOKUP($HZ135,'Jan-2026 rates'!$L:$R,4,0),IF($LB135=65%,VLOOKUP($HZ135,'Jan-2026 rates'!$L:$R,4,0),IF($LB135=40%,VLOOKUP($HZ135,'Jan-2026 rates'!$L:$R,5,0),IF($LB135=30%,VLOOKUP($HZ135,'Jan-2026 rates'!$L:$R,6,0),IF($LB135=100%,VLOOKUP($HZ135,'Jan-2026 rates'!$L:$R,7,0),IF($LB135=60%,VLOOKUP($HZ135,'Jan-2026 rates'!$L:$S,8,0),IF($LB135=80%,VLOOKUP($HZ135,'Jan-2026 rates'!L:T,9,0),0))))))))</f>
        <v>0</v>
      </c>
      <c r="IF135" s="412"/>
      <c r="IG135" s="413"/>
      <c r="IH135" s="412"/>
      <c r="II135" s="412"/>
      <c r="IJ135" s="412"/>
      <c r="IK135" s="412"/>
      <c r="IL135" s="412"/>
      <c r="IM135" s="412"/>
      <c r="IN135" s="409"/>
      <c r="IO135" s="398">
        <f>IF(IN135=0,0,IF(LEN(IF135)=11,_xlfn.XLOOKUP(IF135,'Dispensed Ink Rates'!C:C,'Dispensed Ink Rates'!CS:CS),VLOOKUP(IF135,'Jan-2026 rates'!$E:$F,2,0)))</f>
        <v>0</v>
      </c>
      <c r="IP135" s="409"/>
      <c r="IQ135" s="398">
        <f>IF(IP135=0,0,IF(LEN(IG135)=11,_xlfn.XLOOKUP(IG135,'Dispensed Ink Rates'!C:C,'Dispensed Ink Rates'!CS:CS),VLOOKUP(IG135,'Jan-2026 rates'!$E:$F,2,0)))</f>
        <v>0</v>
      </c>
      <c r="IR135" s="409"/>
      <c r="IS135" s="398">
        <f>IF(IR135=0,0,IF(LEN(IH135)=11,_xlfn.XLOOKUP(IH135,'Dispensed Ink Rates'!C:C,'Dispensed Ink Rates'!CS:CS),VLOOKUP(IH135,'Jan-2026 rates'!$E:$F,2,0)))</f>
        <v>0</v>
      </c>
      <c r="IT135" s="409"/>
      <c r="IU135" s="398">
        <f>IF(IT135=0,0,IF(LEN(II135)=11,_xlfn.XLOOKUP(II135,'Dispensed Ink Rates'!C:C,'Dispensed Ink Rates'!CS:CS),VLOOKUP(II135,'Jan-2026 rates'!$E:$F,2,0)))</f>
        <v>0</v>
      </c>
      <c r="IV135" s="409"/>
      <c r="IW135" s="398">
        <f>IF(IV135=0,0,IF(LEN(IJ135)=11,_xlfn.XLOOKUP(IJ135,'Dispensed Ink Rates'!C:C,'Dispensed Ink Rates'!CS:CS),VLOOKUP(IJ135,'Jan-2026 rates'!$E:$F,2,0)))</f>
        <v>0</v>
      </c>
      <c r="IX135" s="409"/>
      <c r="IY135" s="398">
        <f>IF(IX135=0,0,IF(LEN(IK135)=11,_xlfn.XLOOKUP(IK135,'Dispensed Ink Rates'!C:C,'Dispensed Ink Rates'!CS:CS),VLOOKUP(IK135,'Jan-2026 rates'!$E:$F,2,0)))</f>
        <v>0</v>
      </c>
      <c r="IZ135" s="409"/>
      <c r="JA135" s="398">
        <f>IF(IZ135=0,0,IF(LEN(IL135)=11,_xlfn.XLOOKUP(IL135,'Dispensed Ink Rates'!C:C,'Dispensed Ink Rates'!CS:CS),VLOOKUP(IL135,'Jan-2026 rates'!$E:$F,2,0)))</f>
        <v>0</v>
      </c>
      <c r="JB135" s="409"/>
      <c r="JC135" s="398">
        <f>IF(JB135=0,0,IF(LEN(IM135)=11,_xlfn.XLOOKUP(IM135,'Dispensed Ink Rates'!C:C,'Dispensed Ink Rates'!CS:CS),VLOOKUP(IM135,'Jan-2026 rates'!$E:$F,2,0)))</f>
        <v>0</v>
      </c>
      <c r="JD135" s="409"/>
      <c r="JE135" s="409"/>
      <c r="JF135" s="411">
        <f t="shared" si="100"/>
        <v>0</v>
      </c>
      <c r="JG135" s="411">
        <f t="shared" si="101"/>
        <v>0</v>
      </c>
      <c r="JH135" s="410">
        <f t="shared" si="102"/>
        <v>0</v>
      </c>
      <c r="JI135" s="405"/>
      <c r="JJ135" s="409"/>
      <c r="JK135" s="420" t="str">
        <f t="shared" si="60"/>
        <v xml:space="preserve"> - </v>
      </c>
      <c r="JL135" s="409"/>
      <c r="JM135" s="411">
        <f>IF(JL135=0,0,IF($LB135=70%,VLOOKUP($JK135,'Jan-2026 rates'!$L:$R,4,0),IF($LB135=65%,VLOOKUP($JK135,'Jan-2026 rates'!$L:$R,4,0),IF($LB135=40%,VLOOKUP($JK135,'Jan-2026 rates'!$L:$R,5,0),IF($LB135=30%,VLOOKUP($JK135,'Jan-2026 rates'!$L:$R,6,0),IF($LB135=100%,VLOOKUP($JK135,'Jan-2026 rates'!$L:$R,7,0),IF($LB135=60%,VLOOKUP($JK135,'Jan-2026 rates'!$L:$S,8,0),IF($LB135=80%,VLOOKUP($JK135,'Jan-2026 rates'!L:T,9,0),0))))))))</f>
        <v>0</v>
      </c>
      <c r="JN135" s="412"/>
      <c r="JO135" s="409"/>
      <c r="JP135" s="411">
        <f>IF(JO135=0,0,IF($LB135=70%,VLOOKUP($JK135,'Jan-2026 rates'!$L:$R,4,0),IF($LB135=65%,VLOOKUP($JK135,'Jan-2026 rates'!$L:$R,4,0),IF($LB135=40%,VLOOKUP($JK135,'Jan-2026 rates'!$L:$R,5,0),IF($LB135=30%,VLOOKUP($JK135,'Jan-2026 rates'!$L:$R,6,0),IF($LB135=100%,VLOOKUP($JK135,'Jan-2026 rates'!$L:$R,7,0),IF($LB135=60%,VLOOKUP($JK135,'Jan-2026 rates'!$L:$S,8,0),IF($LB135=80%,VLOOKUP($JK135,'Jan-2026 rates'!L:T,9,0),0))))))))</f>
        <v>0</v>
      </c>
      <c r="JQ135" s="413"/>
      <c r="JR135" s="412"/>
      <c r="JS135" s="413"/>
      <c r="JT135" s="413"/>
      <c r="JU135" s="412"/>
      <c r="JV135" s="412"/>
      <c r="JW135" s="412"/>
      <c r="JX135" s="412"/>
      <c r="JY135" s="409"/>
      <c r="JZ135" s="398">
        <f>IF(JY135=0,0,IF(LEN(JQ135)=11,_xlfn.XLOOKUP(JQ135,'Dispensed Ink Rates'!C:C,'Dispensed Ink Rates'!CS:CS),VLOOKUP(JQ135,'Jan-2026 rates'!$E:$F,2,0)))</f>
        <v>0</v>
      </c>
      <c r="KA135" s="409"/>
      <c r="KB135" s="398">
        <f>IF(KA135=0,0,IF(LEN(JR135)=11,_xlfn.XLOOKUP(JR135,'Dispensed Ink Rates'!C:C,'Dispensed Ink Rates'!CS:CS),VLOOKUP(JR135,'Jan-2026 rates'!$E:$F,2,0)))</f>
        <v>0</v>
      </c>
      <c r="KC135" s="409"/>
      <c r="KD135" s="398">
        <f>IF(KC135=0,0,IF(LEN(JS135)=11,_xlfn.XLOOKUP(JS135,'Dispensed Ink Rates'!C:C,'Dispensed Ink Rates'!CS:CS),VLOOKUP(JS135,'Jan-2026 rates'!$E:$F,2,0)))</f>
        <v>0</v>
      </c>
      <c r="KE135" s="409"/>
      <c r="KF135" s="398">
        <f>IF(KE135=0,0,IF(LEN(JT135)=11,_xlfn.XLOOKUP(JT135,'Dispensed Ink Rates'!C:C,'Dispensed Ink Rates'!CS:CS),VLOOKUP(JT135,'Jan-2026 rates'!$E:$F,2,0)))</f>
        <v>0</v>
      </c>
      <c r="KG135" s="409"/>
      <c r="KH135" s="398">
        <f>IF(KG135=0,0,IF(LEN(JU135)=11,_xlfn.XLOOKUP(JU135,'Dispensed Ink Rates'!C:C,'Dispensed Ink Rates'!CS:CS),VLOOKUP(JU135,'Jan-2026 rates'!$E:$F,2,0)))</f>
        <v>0</v>
      </c>
      <c r="KI135" s="409"/>
      <c r="KJ135" s="398">
        <f>IF(KI135=0,0,IF(LEN(JV135)=11,_xlfn.XLOOKUP(JV135,'Dispensed Ink Rates'!C:C,'Dispensed Ink Rates'!CS:CS),VLOOKUP(JV135,'Jan-2026 rates'!$E:$F,2,0)))</f>
        <v>0</v>
      </c>
      <c r="KK135" s="409"/>
      <c r="KL135" s="398">
        <f>IF(KK135=0,0,IF(LEN(JW135)=11,_xlfn.XLOOKUP(JW135,'Dispensed Ink Rates'!C:C,'Dispensed Ink Rates'!CS:CS),VLOOKUP(JW135,'Jan-2026 rates'!$E:$F,2,0)))</f>
        <v>0</v>
      </c>
      <c r="KM135" s="428"/>
      <c r="KN135" s="398">
        <f>IF(KM135=0,0,IF(LEN(JX135)=11,_xlfn.XLOOKUP(JX135,'Dispensed Ink Rates'!C:C,'Dispensed Ink Rates'!CS:CS),VLOOKUP(JX135,'Jan-2026 rates'!$E:$F,2,0)))</f>
        <v>0</v>
      </c>
      <c r="KO135" s="409"/>
      <c r="KP135" s="409"/>
      <c r="KQ135" s="411">
        <f t="shared" si="103"/>
        <v>0</v>
      </c>
      <c r="KR135" s="411">
        <f t="shared" si="104"/>
        <v>0</v>
      </c>
      <c r="KS135" s="410">
        <f t="shared" si="105"/>
        <v>0</v>
      </c>
      <c r="KT135" s="409">
        <v>5</v>
      </c>
      <c r="KU135" s="409">
        <v>0</v>
      </c>
      <c r="KV135" s="409">
        <v>0</v>
      </c>
      <c r="KW135" s="409">
        <v>0</v>
      </c>
      <c r="KX135" s="409">
        <v>0</v>
      </c>
      <c r="KY135" s="409">
        <v>0</v>
      </c>
      <c r="KZ135" s="409">
        <v>0</v>
      </c>
      <c r="LA135" s="409">
        <v>0</v>
      </c>
      <c r="LB135" s="415">
        <v>0.8</v>
      </c>
      <c r="LC135" s="415">
        <v>0.2</v>
      </c>
      <c r="LD135" s="415"/>
      <c r="LE135" s="415"/>
      <c r="LF135" s="415"/>
      <c r="LG135" s="409">
        <v>0</v>
      </c>
      <c r="LH135" s="409">
        <f>5+5+8+2</f>
        <v>20</v>
      </c>
      <c r="LI135" s="409">
        <v>0</v>
      </c>
      <c r="LJ135" s="409">
        <v>0</v>
      </c>
      <c r="LK135" s="416">
        <f t="shared" si="61"/>
        <v>20</v>
      </c>
      <c r="LL135" s="416">
        <f t="shared" si="62"/>
        <v>20</v>
      </c>
      <c r="LM135" s="417">
        <f t="shared" si="63"/>
        <v>16</v>
      </c>
      <c r="LN135" s="417">
        <f>VLOOKUP($LM$8,'Jan-2026 rates'!$H:$I,2,0)</f>
        <v>0</v>
      </c>
      <c r="LO135" s="417">
        <f t="shared" si="64"/>
        <v>4</v>
      </c>
      <c r="LP135" s="417">
        <f>VLOOKUP($LO$8,'Jan-2026 rates'!$H:$I,2,0)</f>
        <v>0</v>
      </c>
      <c r="LQ135" s="417">
        <f t="shared" si="65"/>
        <v>0</v>
      </c>
      <c r="LR135" s="417">
        <f>VLOOKUP($LQ$8,'Jan-2026 rates'!$H:$I,2,0)</f>
        <v>0</v>
      </c>
      <c r="LS135" s="417">
        <f t="shared" si="66"/>
        <v>0</v>
      </c>
      <c r="LT135" s="417">
        <f>VLOOKUP($LS$8,'Jan-2026 rates'!$H:$I,2,0)</f>
        <v>0</v>
      </c>
      <c r="LU135" s="417">
        <f t="shared" si="67"/>
        <v>0</v>
      </c>
      <c r="LV135" s="417">
        <f>VLOOKUP($LU$8,'Jan-2026 rates'!$H:$I,2,0)</f>
        <v>0</v>
      </c>
      <c r="LW135" s="417">
        <f t="shared" si="68"/>
        <v>0</v>
      </c>
      <c r="LX135" s="417">
        <f t="shared" si="69"/>
        <v>0</v>
      </c>
      <c r="LY135" s="418">
        <f t="shared" si="70"/>
        <v>0</v>
      </c>
      <c r="LZ135" s="417"/>
      <c r="MA135" s="435">
        <f t="shared" si="71"/>
        <v>27</v>
      </c>
      <c r="MB135" s="282">
        <f t="shared" si="72"/>
        <v>51</v>
      </c>
      <c r="MC135" s="283">
        <v>90</v>
      </c>
      <c r="MD135" s="284" t="str">
        <f t="shared" si="73"/>
        <v>FLINTSL</v>
      </c>
      <c r="ME135" s="293" t="str">
        <f t="shared" si="74"/>
        <v>+</v>
      </c>
      <c r="MF135" s="293" t="str">
        <f t="shared" si="75"/>
        <v>NIL</v>
      </c>
      <c r="MG135" s="293" t="str">
        <f t="shared" si="76"/>
        <v>NIL</v>
      </c>
      <c r="MH135" s="293" t="str">
        <f t="shared" si="77"/>
        <v>NIL</v>
      </c>
      <c r="MI135" s="293" t="str">
        <f t="shared" si="78"/>
        <v>NIL</v>
      </c>
      <c r="MJ135" s="293" t="str">
        <f t="shared" si="79"/>
        <v>NIL</v>
      </c>
      <c r="MK135" s="293" t="str">
        <f t="shared" si="80"/>
        <v>NIL</v>
      </c>
      <c r="ML135" s="293" t="str">
        <f t="shared" si="81"/>
        <v>NIL</v>
      </c>
      <c r="MM135" s="3" t="b">
        <f t="array" ref="MM135">OR(ME135:ML135="-")</f>
        <v>0</v>
      </c>
      <c r="MN135" s="285"/>
      <c r="MO135" s="401"/>
      <c r="MP135" s="286"/>
      <c r="MQ135" s="286"/>
      <c r="MR135" s="402"/>
      <c r="MS135" s="400"/>
      <c r="NH135" s="422"/>
      <c r="NJ135" s="421"/>
    </row>
    <row r="136" spans="1:374" s="1" customFormat="1" ht="16.5">
      <c r="A136" s="403">
        <v>46035</v>
      </c>
      <c r="B136" s="404" t="s">
        <v>1018</v>
      </c>
      <c r="C136" s="405" t="s">
        <v>3381</v>
      </c>
      <c r="D136" s="406">
        <v>91</v>
      </c>
      <c r="E136" s="404">
        <v>446</v>
      </c>
      <c r="F136" s="407">
        <v>19500</v>
      </c>
      <c r="G136" s="407" t="s">
        <v>1019</v>
      </c>
      <c r="H136" s="408" t="s">
        <v>1017</v>
      </c>
      <c r="I136" s="409">
        <v>1.98</v>
      </c>
      <c r="J136" s="405" t="s">
        <v>543</v>
      </c>
      <c r="K136" s="404" t="s">
        <v>3382</v>
      </c>
      <c r="L136" s="419" t="str">
        <f t="shared" si="54"/>
        <v>FLINTSL - BLACK</v>
      </c>
      <c r="M136" s="404">
        <v>23</v>
      </c>
      <c r="N136" s="410">
        <f>IF(M136=0,0,IF($LB136=70%,VLOOKUP($L136,'Jan-2026 rates'!$L:$R,4,0),IF($LB136=65%,VLOOKUP($L136,'Jan-2026 rates'!$L:$R,4,0),IF($LB136=40%,VLOOKUP($L136,'Jan-2026 rates'!$L:$R,5,0),IF($LB136=30%,VLOOKUP($L136,'Jan-2026 rates'!$L:$R,6,0),IF($LB136=100%,VLOOKUP($L136,'Jan-2026 rates'!$L:$R,7,0),IF($LB136=60%,VLOOKUP($L136,'Jan-2026 rates'!$L:$S,8,0),IF($LB136=80%,VLOOKUP($L136,'Jan-2026 rates'!L:T,9,0),0))))))))</f>
        <v>0</v>
      </c>
      <c r="O136" s="406"/>
      <c r="P136" s="404"/>
      <c r="Q136" s="410">
        <f>IF(P136=0,0,IF($LB136=70%,VLOOKUP($L136,'Jan-2026 rates'!$L:$R,4,0),IF($LB136=65%,VLOOKUP($L136,'Jan-2026 rates'!$L:$R,4,0),IF($LB136=40%,VLOOKUP($L136,'Jan-2026 rates'!$L:$R,5,0),IF($LB136=30%,VLOOKUP($L136,'Jan-2026 rates'!$L:$R,6,0),IF($LB136=100%,VLOOKUP($L136,'Jan-2026 rates'!$L:$R,7,0),IF($LB136=60%,VLOOKUP($L136,'Jan-2026 rates'!$L:$S,8,0),IF($LB136=80%,VLOOKUP($L136,'Jan-2026 rates'!L:T,9,0),0))))))))</f>
        <v>0</v>
      </c>
      <c r="R136" s="406">
        <v>26514000007</v>
      </c>
      <c r="S136" s="406"/>
      <c r="T136" s="406"/>
      <c r="U136" s="406"/>
      <c r="V136" s="406"/>
      <c r="W136" s="406"/>
      <c r="X136" s="406"/>
      <c r="Y136" s="406"/>
      <c r="Z136" s="404">
        <f>3+1</f>
        <v>4</v>
      </c>
      <c r="AA136" s="398" t="e">
        <f>IF(Z136=0,0,IF(LEN(R136)=11,_xlfn.XLOOKUP(R136,'Dispensed Ink Rates'!C:C,'Dispensed Ink Rates'!CS:CS),VLOOKUP(R136,'Jan-2026 rates'!$E:$F,2,0)))</f>
        <v>#N/A</v>
      </c>
      <c r="AB136" s="404"/>
      <c r="AC136" s="398">
        <f>IF(AB136=0,0,IF(LEN(S136)=11,_xlfn.XLOOKUP(S136,'Dispensed Ink Rates'!C:C,'Dispensed Ink Rates'!CS:CS),VLOOKUP(S136,'Jan-2026 rates'!$E:$F,2,0)))</f>
        <v>0</v>
      </c>
      <c r="AD136" s="404"/>
      <c r="AE136" s="398">
        <f>IF(AD136=0,0,IF(LEN(T136)=11,_xlfn.XLOOKUP(T136,'Dispensed Ink Rates'!C:C,'Dispensed Ink Rates'!CS:CS),VLOOKUP(T136,'Jan-2026 rates'!$E:$F,2,0)))</f>
        <v>0</v>
      </c>
      <c r="AF136" s="404"/>
      <c r="AG136" s="398">
        <f>IF(AF136=0,0,IF(LEN(U136)=11,_xlfn.XLOOKUP(U136,'Dispensed Ink Rates'!C:C,'Dispensed Ink Rates'!CS:CS),VLOOKUP(U136,'Jan-2026 rates'!$E:$F,2,0)))</f>
        <v>0</v>
      </c>
      <c r="AH136" s="404"/>
      <c r="AI136" s="398">
        <f>IF(AH136=0,0,IF(LEN(V136)=11,_xlfn.XLOOKUP(V136,'Dispensed Ink Rates'!C:C,'Dispensed Ink Rates'!CS:CS),VLOOKUP(V136,'Jan-2026 rates'!$E:$F,2,0)))</f>
        <v>0</v>
      </c>
      <c r="AJ136" s="404"/>
      <c r="AK136" s="398">
        <f>IF(AJ136=0,0,IF(LEN(W136)=11,_xlfn.XLOOKUP(W136,'Dispensed Ink Rates'!C:C,'Dispensed Ink Rates'!CS:CS),VLOOKUP(W136,'Jan-2026 rates'!$E:$F,2,0)))</f>
        <v>0</v>
      </c>
      <c r="AL136" s="404"/>
      <c r="AM136" s="398">
        <f>IF(AL136=0,0,IF(LEN(X136)=11,_xlfn.XLOOKUP(X136,'Dispensed Ink Rates'!C:C,'Dispensed Ink Rates'!CS:CS),VLOOKUP(X136,'Jan-2026 rates'!$E:$F,2,0)))</f>
        <v>0</v>
      </c>
      <c r="AN136" s="404"/>
      <c r="AO136" s="398">
        <f>IF(AN136=0,0,IF(LEN(Y136)=11,_xlfn.XLOOKUP(Y136,'Dispensed Ink Rates'!C:C,'Dispensed Ink Rates'!CS:CS),VLOOKUP(Y136,'Jan-2026 rates'!$E:$F,2,0)))</f>
        <v>0</v>
      </c>
      <c r="AP136" s="409" t="s">
        <v>1443</v>
      </c>
      <c r="AQ136" s="409">
        <v>24</v>
      </c>
      <c r="AR136" s="410">
        <f t="shared" si="82"/>
        <v>0</v>
      </c>
      <c r="AS136" s="411">
        <f t="shared" si="83"/>
        <v>14.64179104477612</v>
      </c>
      <c r="AT136" s="410">
        <f t="shared" si="84"/>
        <v>0</v>
      </c>
      <c r="AU136" s="405" t="s">
        <v>547</v>
      </c>
      <c r="AV136" s="409" t="s">
        <v>3377</v>
      </c>
      <c r="AW136" s="420" t="str">
        <f t="shared" si="53"/>
        <v>FLINTSL - GREEN</v>
      </c>
      <c r="AX136" s="409">
        <v>10</v>
      </c>
      <c r="AY136" s="411">
        <f>IF(AX136=0,0,IF($LB136=70%,VLOOKUP($AW136,'Jan-2026 rates'!$L:$R,4,0),IF($LB136=65%,VLOOKUP($AW136,'Jan-2026 rates'!$L:$R,4,0),IF($LB136=40%,VLOOKUP($AW136,'Jan-2026 rates'!$L:$R,5,0),IF($LB136=30%,VLOOKUP($AW136,'Jan-2026 rates'!$L:$R,6,0),IF($LB136=100%,VLOOKUP($AW136,'Jan-2026 rates'!$L:$R,7,0),IF($LB136=60%,VLOOKUP($AW136,'Jan-2026 rates'!$L:$S,8,0),IF($LB136=80%,VLOOKUP($AW136,'Jan-2026 rates'!L:T,9,0),0))))))))</f>
        <v>0</v>
      </c>
      <c r="AZ136" s="412" t="s">
        <v>3383</v>
      </c>
      <c r="BA136" s="409">
        <v>12</v>
      </c>
      <c r="BB136" s="411">
        <f>IF(BA136=0,0,IF($LB136=70%,VLOOKUP($AW136,'Jan-2026 rates'!$L:$R,4,0),IF($LB136=65%,VLOOKUP($AW136,'Jan-2026 rates'!$L:$R,4,0),IF($LB136=40%,VLOOKUP($AW136,'Jan-2026 rates'!$L:$R,5,0),IF($LB136=30%,VLOOKUP($AW136,'Jan-2026 rates'!$L:$R,6,0),IF($LB136=100%,VLOOKUP($AW136,'Jan-2026 rates'!$L:$R,7,0),IF($LB136=60%,VLOOKUP($AW136,'Jan-2026 rates'!$L:$S,8,0),IF($LB136=80%,VLOOKUP($AW136,'Jan-2026 rates'!L:T,9,0),0))))))))</f>
        <v>0</v>
      </c>
      <c r="BC136" s="413">
        <v>26510000009</v>
      </c>
      <c r="BD136" s="412"/>
      <c r="BE136" s="412"/>
      <c r="BF136" s="413"/>
      <c r="BG136" s="412"/>
      <c r="BH136" s="412"/>
      <c r="BI136" s="412"/>
      <c r="BJ136" s="412"/>
      <c r="BK136" s="409">
        <v>4</v>
      </c>
      <c r="BL136" s="398" t="e">
        <f>IF(BK136=0,0,IF(LEN(BC136)=11,_xlfn.XLOOKUP(BC136,'Dispensed Ink Rates'!C:C,'Dispensed Ink Rates'!CS:CS),VLOOKUP(BC136,'Jan-2026 rates'!$E:$F,2,0)))</f>
        <v>#N/A</v>
      </c>
      <c r="BM136" s="409"/>
      <c r="BN136" s="398">
        <f>IF(BM136=0,0,IF(LEN(BD136)=11,_xlfn.XLOOKUP(BD136,'Dispensed Ink Rates'!C:C,'Dispensed Ink Rates'!CS:CS),VLOOKUP(BD136,'Jan-2026 rates'!$E:$F,2,0)))</f>
        <v>0</v>
      </c>
      <c r="BO136" s="409"/>
      <c r="BP136" s="398">
        <f>IF(BO136=0,0,IF(LEN(BE136)=11,_xlfn.XLOOKUP(BE136,'Dispensed Ink Rates'!C:C,'Dispensed Ink Rates'!CS:CS),VLOOKUP(BE136,'Jan-2026 rates'!$E:$F,2,0)))</f>
        <v>0</v>
      </c>
      <c r="BQ136" s="409"/>
      <c r="BR136" s="398">
        <f>IF(BQ136=0,0,IF(LEN(BF136)=11,_xlfn.XLOOKUP(BF136,'Dispensed Ink Rates'!C:C,'Dispensed Ink Rates'!CS:CS),VLOOKUP(BF136,'Jan-2026 rates'!$E:$F,2,0)))</f>
        <v>0</v>
      </c>
      <c r="BS136" s="409"/>
      <c r="BT136" s="398">
        <f>IF(BS136=0,0,IF(LEN(BG136)=11,_xlfn.XLOOKUP(BG136,'Dispensed Ink Rates'!C:C,'Dispensed Ink Rates'!CS:CS),VLOOKUP(BG136,'Jan-2026 rates'!$E:$F,2,0)))</f>
        <v>0</v>
      </c>
      <c r="BU136" s="409"/>
      <c r="BV136" s="398">
        <f>IF(BU136=0,0,IF(LEN(BH136)=11,_xlfn.XLOOKUP(BH136,'Dispensed Ink Rates'!C:C,'Dispensed Ink Rates'!CS:CS),VLOOKUP(BH136,'Jan-2026 rates'!$E:$F,2,0)))</f>
        <v>0</v>
      </c>
      <c r="BW136" s="409"/>
      <c r="BX136" s="398">
        <f>IF(BW136=0,0,IF(LEN(BI136)=11,_xlfn.XLOOKUP(BI136,'Dispensed Ink Rates'!C:C,'Dispensed Ink Rates'!CS:CS),VLOOKUP(BI136,'Jan-2026 rates'!$E:$F,2,0)))</f>
        <v>0</v>
      </c>
      <c r="BY136" s="409"/>
      <c r="BZ136" s="398">
        <f>IF(BY136=0,0,IF(LEN(BJ136)=11,_xlfn.XLOOKUP(BJ136,'Dispensed Ink Rates'!C:C,'Dispensed Ink Rates'!CS:CS),VLOOKUP(BJ136,'Jan-2026 rates'!$E:$F,2,0)))</f>
        <v>0</v>
      </c>
      <c r="CA136" s="409" t="s">
        <v>1443</v>
      </c>
      <c r="CB136" s="409">
        <v>23</v>
      </c>
      <c r="CC136" s="411">
        <f t="shared" si="85"/>
        <v>0</v>
      </c>
      <c r="CD136" s="411">
        <f t="shared" si="86"/>
        <v>14.64179104477612</v>
      </c>
      <c r="CE136" s="410">
        <f t="shared" si="87"/>
        <v>0</v>
      </c>
      <c r="CF136" s="404" t="s">
        <v>547</v>
      </c>
      <c r="CG136" s="409" t="s">
        <v>3384</v>
      </c>
      <c r="CH136" s="420" t="str">
        <f t="shared" si="55"/>
        <v>FLINTSL - GREEN</v>
      </c>
      <c r="CI136" s="409">
        <v>23</v>
      </c>
      <c r="CJ136" s="411">
        <f>IF(CI136=0,0,IF($LB136=70%,VLOOKUP($CH136,'Jan-2026 rates'!$L:$R,4,0),IF($LB136=65%,VLOOKUP($CH136,'Jan-2026 rates'!$L:$R,4,0),IF($LB136=40%,VLOOKUP($CH136,'Jan-2026 rates'!$L:$R,5,0),IF($LB136=30%,VLOOKUP($CH136,'Jan-2026 rates'!$L:$R,6,0),IF($LB136=100%,VLOOKUP($CH136,'Jan-2026 rates'!$L:$R,7,0),IF($LB136=60%,VLOOKUP($CH136,'Jan-2026 rates'!$L:$S,8,0),IF($LB136=80%,VLOOKUP($CH136,'Jan-2026 rates'!L:T,9,0),0))))))))</f>
        <v>0</v>
      </c>
      <c r="CK136" s="412"/>
      <c r="CL136" s="409"/>
      <c r="CM136" s="411">
        <f>IF(CL136=0,0,IF($LB136=70%,VLOOKUP($CH136,'Jan-2026 rates'!$L:$R,4,0),IF($LB136=65%,VLOOKUP($CH136,'Jan-2026 rates'!$L:$R,4,0),IF($LB136=40%,VLOOKUP($CH136,'Jan-2026 rates'!$L:$R,5,0),IF($LB136=30%,VLOOKUP($CH136,'Jan-2026 rates'!$L:$R,6,0),IF($LB136=100%,VLOOKUP($CH136,'Jan-2026 rates'!$L:$R,7,0),IF($LB136=60%,VLOOKUP($CH136,'Jan-2026 rates'!$L:$S,8,0),IF($LB136=80%,VLOOKUP($CH136,'Jan-2026 rates'!L:T,9,0),0))))))))</f>
        <v>0</v>
      </c>
      <c r="CN136" s="426">
        <v>26514000011</v>
      </c>
      <c r="CO136" s="427">
        <v>26510000009</v>
      </c>
      <c r="CP136" s="426"/>
      <c r="CQ136" s="426"/>
      <c r="CR136" s="428"/>
      <c r="CS136" s="428"/>
      <c r="CT136" s="428"/>
      <c r="CU136" s="428"/>
      <c r="CV136" s="409">
        <v>2</v>
      </c>
      <c r="CW136" s="398" t="e">
        <f>IF(CV136=0,0,IF(LEN(CN136)=11,_xlfn.XLOOKUP(CN136,'Dispensed Ink Rates'!C:C,'Dispensed Ink Rates'!CS:CS),VLOOKUP(CN136,'Jan-2026 rates'!$E:$F,2,0)))</f>
        <v>#N/A</v>
      </c>
      <c r="CX136" s="409">
        <v>0.2</v>
      </c>
      <c r="CY136" s="398" t="e">
        <f>IF(CX136=0,0,IF(LEN(CO136)=11,_xlfn.XLOOKUP(CO136,'Dispensed Ink Rates'!C:C,'Dispensed Ink Rates'!CS:CS),VLOOKUP(CO136,'Jan-2026 rates'!$E:$F,2,0)))</f>
        <v>#N/A</v>
      </c>
      <c r="CZ136" s="409"/>
      <c r="DA136" s="398">
        <f>IF(CZ136=0,0,IF(LEN(CP136)=11,_xlfn.XLOOKUP(CP136,'Dispensed Ink Rates'!C:C,'Dispensed Ink Rates'!CS:CS),VLOOKUP(CP136,'Jan-2026 rates'!$E:$F,2,0)))</f>
        <v>0</v>
      </c>
      <c r="DB136" s="409"/>
      <c r="DC136" s="398">
        <f>IF(DB136=0,0,IF(LEN(CQ136)=11,_xlfn.XLOOKUP(CQ136,'Dispensed Ink Rates'!C:C,'Dispensed Ink Rates'!CS:CS),VLOOKUP(CQ136,'Jan-2026 rates'!$E:$F,2,0)))</f>
        <v>0</v>
      </c>
      <c r="DD136" s="409"/>
      <c r="DE136" s="398">
        <f>IF(DD136=0,0,IF(LEN(CR136)=11,_xlfn.XLOOKUP(CR136,'Dispensed Ink Rates'!C:C,'Dispensed Ink Rates'!CS:CS),VLOOKUP(CR136,'Jan-2026 rates'!$E:$F,2,0)))</f>
        <v>0</v>
      </c>
      <c r="DF136" s="409"/>
      <c r="DG136" s="398">
        <f>IF(DF136=0,0,IF(LEN(CS136)=11,_xlfn.XLOOKUP(CS136,'Dispensed Ink Rates'!C:C,'Dispensed Ink Rates'!CS:CS),VLOOKUP(CS136,'Jan-2026 rates'!$E:$F,2,0)))</f>
        <v>0</v>
      </c>
      <c r="DH136" s="409"/>
      <c r="DI136" s="398">
        <f>IF(DH136=0,0,IF(LEN(CT136)=11,_xlfn.XLOOKUP(CT136,'Dispensed Ink Rates'!C:C,'Dispensed Ink Rates'!CS:CS),VLOOKUP(CT136,'Jan-2026 rates'!$E:$F,2,0)))</f>
        <v>0</v>
      </c>
      <c r="DJ136" s="409"/>
      <c r="DK136" s="398">
        <f>IF(DJ136=0,0,IF(LEN(CU136)=11,_xlfn.XLOOKUP(CU136,'Dispensed Ink Rates'!C:C,'Dispensed Ink Rates'!CS:CS),VLOOKUP(CU136,'Jan-2026 rates'!$E:$F,2,0)))</f>
        <v>0</v>
      </c>
      <c r="DL136" s="409" t="s">
        <v>1443</v>
      </c>
      <c r="DM136" s="409">
        <v>23</v>
      </c>
      <c r="DN136" s="411">
        <f t="shared" si="88"/>
        <v>0</v>
      </c>
      <c r="DO136" s="411">
        <f t="shared" si="89"/>
        <v>9.1850746268656707</v>
      </c>
      <c r="DP136" s="410">
        <f t="shared" si="90"/>
        <v>0</v>
      </c>
      <c r="DQ136" s="405" t="s">
        <v>545</v>
      </c>
      <c r="DR136" s="409"/>
      <c r="DS136" s="420" t="str">
        <f t="shared" si="56"/>
        <v>FLINTSL - YELLOW</v>
      </c>
      <c r="DT136" s="409"/>
      <c r="DU136" s="411">
        <f>IF(DT136=0,0,IF($LB136=70%,VLOOKUP($DS136,'Jan-2026 rates'!$L:$R,4,0),IF($LB136=65%,VLOOKUP($DS136,'Jan-2026 rates'!$L:$R,4,0),IF($LB136=40%,VLOOKUP($DS136,'Jan-2026 rates'!$L:$R,5,0),IF($LB136=30%,VLOOKUP($DS136,'Jan-2026 rates'!$L:$R,6,0),IF($LB136=100%,VLOOKUP($DS136,'Jan-2026 rates'!$L:$R,7,0),IF($LB136=60%,VLOOKUP($DS136,'Jan-2026 rates'!$L:$S,8,0),IF($LB136=80%,VLOOKUP($DS136,'Jan-2026 rates'!L:T,9,0),0))))))))</f>
        <v>0</v>
      </c>
      <c r="DV136" s="412"/>
      <c r="DW136" s="409"/>
      <c r="DX136" s="411">
        <f>IF(DW136=0,0,IF($LB136=70%,VLOOKUP($DS136,'Jan-2026 rates'!$L:$R,4,0),IF($LB136=65%,VLOOKUP($DS136,'Jan-2026 rates'!$L:$R,4,0),IF($LB136=40%,VLOOKUP($DS136,'Jan-2026 rates'!$L:$R,5,0),IF($LB136=30%,VLOOKUP($DS136,'Jan-2026 rates'!$L:$R,6,0),IF($LB136=100%,VLOOKUP($DS136,'Jan-2026 rates'!$L:$R,7,0),IF($LB136=60%,VLOOKUP($DS136,'Jan-2026 rates'!$L:$S,8,0),IF($LB136=80%,VLOOKUP($DS136,'Jan-2026 rates'!L:T,9,0),0))))))))</f>
        <v>0</v>
      </c>
      <c r="DY136" s="413">
        <v>26514000001</v>
      </c>
      <c r="DZ136" s="413">
        <v>26514000003</v>
      </c>
      <c r="EA136" s="412">
        <v>26514000002</v>
      </c>
      <c r="EB136" s="412"/>
      <c r="EC136" s="412"/>
      <c r="ED136" s="412"/>
      <c r="EE136" s="412"/>
      <c r="EF136" s="412"/>
      <c r="EG136" s="409">
        <v>40</v>
      </c>
      <c r="EH136" s="398" t="e">
        <f>IF(EG136=0,0,IF(LEN(DY136)=11,_xlfn.XLOOKUP(DY136,'Dispensed Ink Rates'!C:C,'Dispensed Ink Rates'!CS:CS),VLOOKUP(DY136,'Jan-2026 rates'!$E:$F,2,0)))</f>
        <v>#N/A</v>
      </c>
      <c r="EI136" s="409">
        <v>40</v>
      </c>
      <c r="EJ136" s="398" t="e">
        <f>IF(EI136=0,0,IF(LEN(DZ136)=11,_xlfn.XLOOKUP(DZ136,'Dispensed Ink Rates'!C:C,'Dispensed Ink Rates'!CS:CS),VLOOKUP(DZ136,'Jan-2026 rates'!$E:$F,2,0)))</f>
        <v>#N/A</v>
      </c>
      <c r="EK136" s="409">
        <v>40</v>
      </c>
      <c r="EL136" s="398" t="e">
        <f>IF(EK136=0,0,IF(LEN(EA136)=11,_xlfn.XLOOKUP(EA136,'Dispensed Ink Rates'!C:C,'Dispensed Ink Rates'!CS:CS),VLOOKUP(EA136,'Jan-2026 rates'!$E:$F,2,0)))</f>
        <v>#N/A</v>
      </c>
      <c r="EM136" s="409"/>
      <c r="EN136" s="398">
        <f>IF(EM136=0,0,IF(LEN(EB136)=11,_xlfn.XLOOKUP(EB136,'Dispensed Ink Rates'!C:C,'Dispensed Ink Rates'!CS:CS),VLOOKUP(EB136,'Jan-2026 rates'!$E:$F,2,0)))</f>
        <v>0</v>
      </c>
      <c r="EO136" s="409"/>
      <c r="EP136" s="398">
        <f>IF(EO136=0,0,IF(LEN(EC136)=11,_xlfn.XLOOKUP(EC136,'Dispensed Ink Rates'!C:C,'Dispensed Ink Rates'!CS:CS),VLOOKUP(EC136,'Jan-2026 rates'!$E:$F,2,0)))</f>
        <v>0</v>
      </c>
      <c r="EQ136" s="409"/>
      <c r="ER136" s="398">
        <f>IF(EQ136=0,0,IF(LEN(ED136)=11,_xlfn.XLOOKUP(ED136,'Dispensed Ink Rates'!C:C,'Dispensed Ink Rates'!CS:CS),VLOOKUP(ED136,'Jan-2026 rates'!$E:$F,2,0)))</f>
        <v>0</v>
      </c>
      <c r="ES136" s="409"/>
      <c r="ET136" s="398">
        <f>IF(ES136=0,0,IF(LEN(EE136)=11,_xlfn.XLOOKUP(EE136,'Dispensed Ink Rates'!C:C,'Dispensed Ink Rates'!CS:CS),VLOOKUP(EE136,'Jan-2026 rates'!$E:$F,2,0)))</f>
        <v>0</v>
      </c>
      <c r="EU136" s="409"/>
      <c r="EV136" s="398">
        <f>IF(EU136=0,0,IF(LEN(EF136)=11,_xlfn.XLOOKUP(EF136,'Dispensed Ink Rates'!C:C,'Dispensed Ink Rates'!CS:CS),VLOOKUP(EF136,'Jan-2026 rates'!$E:$F,2,0)))</f>
        <v>0</v>
      </c>
      <c r="EW136" s="409" t="s">
        <v>1443</v>
      </c>
      <c r="EX136" s="409">
        <v>22</v>
      </c>
      <c r="EY136" s="411">
        <f t="shared" si="91"/>
        <v>0</v>
      </c>
      <c r="EZ136" s="411">
        <f t="shared" si="92"/>
        <v>98</v>
      </c>
      <c r="FA136" s="410">
        <f t="shared" si="93"/>
        <v>0</v>
      </c>
      <c r="FB136" s="405" t="s">
        <v>855</v>
      </c>
      <c r="FC136" s="409" t="s">
        <v>3385</v>
      </c>
      <c r="FD136" s="420" t="str">
        <f t="shared" si="57"/>
        <v>FLINTSL - CYAN</v>
      </c>
      <c r="FE136" s="409">
        <v>28</v>
      </c>
      <c r="FF136" s="411">
        <f>IF(FE136=0,0,IF($LB136=70%,VLOOKUP($FD136,'Jan-2026 rates'!$L:$R,4,0),IF($LB136=65%,VLOOKUP($FD136,'Jan-2026 rates'!$L:$R,4,0),IF($LB136=40%,VLOOKUP($FD136,'Jan-2026 rates'!$L:$R,5,0),IF($LB136=30%,VLOOKUP($FD136,'Jan-2026 rates'!$L:$R,6,0),IF($LB136=100%,VLOOKUP($FD136,'Jan-2026 rates'!$L:$R,7,0),IF($LB136=60%,VLOOKUP($FD136,'Jan-2026 rates'!$L:$S,8,0),IF($LB136=80%,VLOOKUP($FD136,'Jan-2026 rates'!L:T,9,0),0))))))))</f>
        <v>0</v>
      </c>
      <c r="FG136" s="412"/>
      <c r="FH136" s="409"/>
      <c r="FI136" s="411">
        <f>IF(FH136=0,0,IF($LB136=70%,VLOOKUP($FD136,'Jan-2026 rates'!$L:$R,4,0),IF($LB136=65%,VLOOKUP($FD136,'Jan-2026 rates'!$L:$R,4,0),IF($LB136=40%,VLOOKUP($FD136,'Jan-2026 rates'!$L:$R,5,0),IF($LB136=30%,VLOOKUP($FD136,'Jan-2026 rates'!$L:$R,6,0),IF($LB136=100%,VLOOKUP($FD136,'Jan-2026 rates'!$L:$R,7,0),IF($LB136=60%,VLOOKUP($FD136,'Jan-2026 rates'!$L:$S,8,0),IF($LB136=80%,VLOOKUP($FD136,'Jan-2026 rates'!L:T,9,0),0))))))))</f>
        <v>0</v>
      </c>
      <c r="FJ136" s="413">
        <v>26510000009</v>
      </c>
      <c r="FK136" s="413"/>
      <c r="FL136" s="413"/>
      <c r="FM136" s="412"/>
      <c r="FN136" s="412"/>
      <c r="FO136" s="412"/>
      <c r="FP136" s="412"/>
      <c r="FQ136" s="412"/>
      <c r="FR136" s="409">
        <v>4</v>
      </c>
      <c r="FS136" s="398" t="e">
        <f>IF(FR136=0,0,IF(LEN(FJ136)=11,_xlfn.XLOOKUP(FJ136,'Dispensed Ink Rates'!C:C,'Dispensed Ink Rates'!CS:CS),VLOOKUP(FJ136,'Jan-2026 rates'!$E:$F,2,0)))</f>
        <v>#N/A</v>
      </c>
      <c r="FT136" s="409"/>
      <c r="FU136" s="398">
        <f>IF(FT136=0,0,IF(LEN(FK136)=11,_xlfn.XLOOKUP(FK136,'Dispensed Ink Rates'!C:C,'Dispensed Ink Rates'!CS:CS),VLOOKUP(FK136,'Jan-2026 rates'!$E:$F,2,0)))</f>
        <v>0</v>
      </c>
      <c r="FV136" s="409"/>
      <c r="FW136" s="398">
        <f>IF(FV136=0,0,IF(LEN(FL136)=11,_xlfn.XLOOKUP(FL136,'Dispensed Ink Rates'!C:C,'Dispensed Ink Rates'!CS:CS),VLOOKUP(FL136,'Jan-2026 rates'!$E:$F,2,0)))</f>
        <v>0</v>
      </c>
      <c r="FX136" s="409"/>
      <c r="FY136" s="398">
        <f>IF(FX136=0,0,IF(LEN(FM136)=11,_xlfn.XLOOKUP(FM136,'Dispensed Ink Rates'!C:C,'Dispensed Ink Rates'!CS:CS),VLOOKUP(FM136,'Jan-2026 rates'!$E:$F,2,0)))</f>
        <v>0</v>
      </c>
      <c r="FZ136" s="409"/>
      <c r="GA136" s="398">
        <f>IF(FZ136=0,0,IF(LEN(FN136)=11,_xlfn.XLOOKUP(FN136,'Dispensed Ink Rates'!C:C,'Dispensed Ink Rates'!CS:CS),VLOOKUP(FN136,'Jan-2026 rates'!$E:$F,2,0)))</f>
        <v>0</v>
      </c>
      <c r="GB136" s="409"/>
      <c r="GC136" s="398">
        <f>IF(GB136=0,0,IF(LEN(FO136)=11,_xlfn.XLOOKUP(FO136,'Dispensed Ink Rates'!C:C,'Dispensed Ink Rates'!CS:CS),VLOOKUP(FO136,'Jan-2026 rates'!$E:$F,2,0)))</f>
        <v>0</v>
      </c>
      <c r="GD136" s="409"/>
      <c r="GE136" s="398">
        <f>IF(GD136=0,0,IF(LEN(FP136)=11,_xlfn.XLOOKUP(FP136,'Dispensed Ink Rates'!C:C,'Dispensed Ink Rates'!CS:CS),VLOOKUP(FP136,'Jan-2026 rates'!$E:$F,2,0)))</f>
        <v>0</v>
      </c>
      <c r="GF136" s="409"/>
      <c r="GG136" s="398">
        <f>IF(GF136=0,0,IF(LEN(FQ136)=11,_xlfn.XLOOKUP(FQ136,'Dispensed Ink Rates'!C:C,'Dispensed Ink Rates'!CS:CS),VLOOKUP(FQ136,'Jan-2026 rates'!$E:$F,2,0)))</f>
        <v>0</v>
      </c>
      <c r="GH136" s="409" t="s">
        <v>1443</v>
      </c>
      <c r="GI136" s="409">
        <v>26</v>
      </c>
      <c r="GJ136" s="411">
        <f t="shared" si="94"/>
        <v>0</v>
      </c>
      <c r="GK136" s="411">
        <f t="shared" si="95"/>
        <v>10.656716417910445</v>
      </c>
      <c r="GL136" s="410">
        <f t="shared" si="96"/>
        <v>0</v>
      </c>
      <c r="GM136" s="405" t="s">
        <v>544</v>
      </c>
      <c r="GN136" s="409" t="s">
        <v>3386</v>
      </c>
      <c r="GO136" s="420" t="str">
        <f t="shared" si="58"/>
        <v>FLINTSL - MAGENTA</v>
      </c>
      <c r="GP136" s="409">
        <v>27</v>
      </c>
      <c r="GQ136" s="411">
        <f>IF(GP136=0,0,IF($LB136=70%,VLOOKUP($GO136,'Jan-2026 rates'!$L:$R,4,0),IF($LB136=65%,VLOOKUP($GO136,'Jan-2026 rates'!$L:$R,4,0),IF($LB136=40%,VLOOKUP($GO136,'Jan-2026 rates'!$L:$R,5,0),IF($LB136=30%,VLOOKUP($GO136,'Jan-2026 rates'!$L:$R,6,0),IF($LB136=100%,VLOOKUP($GO136,'Jan-2026 rates'!$L:$R,7,0),IF($LB136=60%,VLOOKUP($GO136,'Jan-2026 rates'!$L:$S,8,0),IF($LB136=80%,VLOOKUP($GO136,'Jan-2026 rates'!L:T,9,0),0))))))))</f>
        <v>0</v>
      </c>
      <c r="GR136" s="412"/>
      <c r="GS136" s="409"/>
      <c r="GT136" s="411">
        <f>IF(GS136=0,0,IF($LB136=70%,VLOOKUP($GO136,'Jan-2026 rates'!$L:$R,4,0),IF($LB136=65%,VLOOKUP($GO136,'Jan-2026 rates'!$L:$R,4,0),IF($LB136=40%,VLOOKUP($GO136,'Jan-2026 rates'!$L:$R,5,0),IF($LB136=30%,VLOOKUP($GO136,'Jan-2026 rates'!$L:$R,6,0),IF($LB136=100%,VLOOKUP($GO136,'Jan-2026 rates'!$L:$R,7,0),IF($LB136=60%,VLOOKUP($GO136,'Jan-2026 rates'!$L:$S,8,0),IF($LB136=80%,VLOOKUP($GO136,'Jan-2026 rates'!L:T,9,0),0))))))))</f>
        <v>0</v>
      </c>
      <c r="GU136" s="413" t="s">
        <v>1266</v>
      </c>
      <c r="GV136" s="413"/>
      <c r="GW136" s="412"/>
      <c r="GX136" s="412"/>
      <c r="GY136" s="412"/>
      <c r="GZ136" s="412"/>
      <c r="HA136" s="412"/>
      <c r="HB136" s="412"/>
      <c r="HC136" s="409">
        <v>5</v>
      </c>
      <c r="HD136" s="398">
        <f>IF(HC136=0,0,IF(LEN(GU136)=11,_xlfn.XLOOKUP(GU136,'Dispensed Ink Rates'!C:C,'Dispensed Ink Rates'!CS:CS),VLOOKUP(GU136,'Jan-2026 rates'!$E:$F,2,0)))</f>
        <v>0</v>
      </c>
      <c r="HE136" s="409"/>
      <c r="HF136" s="398">
        <f>IF(HE136=0,0,IF(LEN(GV136)=11,_xlfn.XLOOKUP(GV136,'Dispensed Ink Rates'!C:C,'Dispensed Ink Rates'!CS:CS),VLOOKUP(GV136,'Jan-2026 rates'!$E:$F,2,0)))</f>
        <v>0</v>
      </c>
      <c r="HG136" s="409"/>
      <c r="HH136" s="398">
        <f>IF(HG136=0,0,IF(LEN(GW136)=11,_xlfn.XLOOKUP(GW136,'Dispensed Ink Rates'!C:C,'Dispensed Ink Rates'!CS:CS),VLOOKUP(GW136,'Jan-2026 rates'!$E:$F,2,0)))</f>
        <v>0</v>
      </c>
      <c r="HI136" s="409"/>
      <c r="HJ136" s="398">
        <f>IF(HI136=0,0,IF(LEN(GX136)=11,_xlfn.XLOOKUP(GX136,'Dispensed Ink Rates'!C:C,'Dispensed Ink Rates'!CS:CS),VLOOKUP(GX136,'Jan-2026 rates'!$E:$F,2,0)))</f>
        <v>0</v>
      </c>
      <c r="HK136" s="409"/>
      <c r="HL136" s="398">
        <f>IF(HK136=0,0,IF(LEN(GY136)=11,_xlfn.XLOOKUP(GY136,'Dispensed Ink Rates'!C:C,'Dispensed Ink Rates'!CS:CS),VLOOKUP(GY136,'Jan-2026 rates'!$E:$F,2,0)))</f>
        <v>0</v>
      </c>
      <c r="HM136" s="409"/>
      <c r="HN136" s="398">
        <f>IF(HM136=0,0,IF(LEN(GZ136)=11,_xlfn.XLOOKUP(GZ136,'Dispensed Ink Rates'!C:C,'Dispensed Ink Rates'!CS:CS),VLOOKUP(GZ136,'Jan-2026 rates'!$E:$F,2,0)))</f>
        <v>0</v>
      </c>
      <c r="HO136" s="409"/>
      <c r="HP136" s="398">
        <f>IF(HO136=0,0,IF(LEN(HA136)=11,_xlfn.XLOOKUP(HA136,'Dispensed Ink Rates'!C:C,'Dispensed Ink Rates'!CS:CS),VLOOKUP(HA136,'Jan-2026 rates'!$E:$F,2,0)))</f>
        <v>0</v>
      </c>
      <c r="HQ136" s="409"/>
      <c r="HR136" s="398">
        <f>IF(HQ136=0,0,IF(LEN(HB136)=11,_xlfn.XLOOKUP(HB136,'Dispensed Ink Rates'!C:C,'Dispensed Ink Rates'!CS:CS),VLOOKUP(HB136,'Jan-2026 rates'!$E:$F,2,0)))</f>
        <v>0</v>
      </c>
      <c r="HS136" s="409" t="s">
        <v>1443</v>
      </c>
      <c r="HT136" s="409">
        <v>24</v>
      </c>
      <c r="HU136" s="411">
        <f t="shared" si="97"/>
        <v>0</v>
      </c>
      <c r="HV136" s="411">
        <f t="shared" si="98"/>
        <v>19.64179104477612</v>
      </c>
      <c r="HW136" s="414">
        <f t="shared" si="99"/>
        <v>0</v>
      </c>
      <c r="HX136" s="405" t="s">
        <v>545</v>
      </c>
      <c r="HY136" s="409" t="s">
        <v>3387</v>
      </c>
      <c r="HZ136" s="420" t="str">
        <f t="shared" si="59"/>
        <v>FLINTSL - YELLOW</v>
      </c>
      <c r="IA136" s="409">
        <v>25</v>
      </c>
      <c r="IB136" s="411">
        <f>IF(IA136=0,0,IF($LB136=70%,VLOOKUP($HZ136,'Jan-2026 rates'!$L:$R,4,0),IF($LB136=65%,VLOOKUP($HZ136,'Jan-2026 rates'!$L:$R,4,0),IF($LB136=40%,VLOOKUP($HZ136,'Jan-2026 rates'!$L:$R,5,0),IF($LB136=30%,VLOOKUP($HZ136,'Jan-2026 rates'!$L:$R,6,0),IF($LB136=100%,VLOOKUP($HZ136,'Jan-2026 rates'!$L:$R,7,0),IF($LB136=60%,VLOOKUP($HZ136,'Jan-2026 rates'!$L:$S,8,0),IF($LB136=80%,VLOOKUP($HZ136,'Jan-2026 rates'!L:T,9,0),0))))))))</f>
        <v>0</v>
      </c>
      <c r="IC136" s="412"/>
      <c r="ID136" s="409"/>
      <c r="IE136" s="411">
        <f>IF(ID136=0,0,IF($LB136=70%,VLOOKUP($HZ136,'Jan-2026 rates'!$L:$R,4,0),IF($LB136=65%,VLOOKUP($HZ136,'Jan-2026 rates'!$L:$R,4,0),IF($LB136=40%,VLOOKUP($HZ136,'Jan-2026 rates'!$L:$R,5,0),IF($LB136=30%,VLOOKUP($HZ136,'Jan-2026 rates'!$L:$R,6,0),IF($LB136=100%,VLOOKUP($HZ136,'Jan-2026 rates'!$L:$R,7,0),IF($LB136=60%,VLOOKUP($HZ136,'Jan-2026 rates'!$L:$S,8,0),IF($LB136=80%,VLOOKUP($HZ136,'Jan-2026 rates'!L:T,9,0),0))))))))</f>
        <v>0</v>
      </c>
      <c r="IF136" s="412">
        <v>26514000011</v>
      </c>
      <c r="IG136" s="413" t="s">
        <v>1266</v>
      </c>
      <c r="IH136" s="412"/>
      <c r="II136" s="412"/>
      <c r="IJ136" s="412"/>
      <c r="IK136" s="412"/>
      <c r="IL136" s="412"/>
      <c r="IM136" s="412"/>
      <c r="IN136" s="409">
        <v>8</v>
      </c>
      <c r="IO136" s="398" t="e">
        <f>IF(IN136=0,0,IF(LEN(IF136)=11,_xlfn.XLOOKUP(IF136,'Dispensed Ink Rates'!C:C,'Dispensed Ink Rates'!CS:CS),VLOOKUP(IF136,'Jan-2026 rates'!$E:$F,2,0)))</f>
        <v>#N/A</v>
      </c>
      <c r="IP136" s="409">
        <v>5</v>
      </c>
      <c r="IQ136" s="398">
        <f>IF(IP136=0,0,IF(LEN(IG136)=11,_xlfn.XLOOKUP(IG136,'Dispensed Ink Rates'!C:C,'Dispensed Ink Rates'!CS:CS),VLOOKUP(IG136,'Jan-2026 rates'!$E:$F,2,0)))</f>
        <v>0</v>
      </c>
      <c r="IR136" s="409"/>
      <c r="IS136" s="398">
        <f>IF(IR136=0,0,IF(LEN(IH136)=11,_xlfn.XLOOKUP(IH136,'Dispensed Ink Rates'!C:C,'Dispensed Ink Rates'!CS:CS),VLOOKUP(IH136,'Jan-2026 rates'!$E:$F,2,0)))</f>
        <v>0</v>
      </c>
      <c r="IT136" s="409"/>
      <c r="IU136" s="398">
        <f>IF(IT136=0,0,IF(LEN(II136)=11,_xlfn.XLOOKUP(II136,'Dispensed Ink Rates'!C:C,'Dispensed Ink Rates'!CS:CS),VLOOKUP(II136,'Jan-2026 rates'!$E:$F,2,0)))</f>
        <v>0</v>
      </c>
      <c r="IV136" s="409"/>
      <c r="IW136" s="398">
        <f>IF(IV136=0,0,IF(LEN(IJ136)=11,_xlfn.XLOOKUP(IJ136,'Dispensed Ink Rates'!C:C,'Dispensed Ink Rates'!CS:CS),VLOOKUP(IJ136,'Jan-2026 rates'!$E:$F,2,0)))</f>
        <v>0</v>
      </c>
      <c r="IX136" s="409"/>
      <c r="IY136" s="398">
        <f>IF(IX136=0,0,IF(LEN(IK136)=11,_xlfn.XLOOKUP(IK136,'Dispensed Ink Rates'!C:C,'Dispensed Ink Rates'!CS:CS),VLOOKUP(IK136,'Jan-2026 rates'!$E:$F,2,0)))</f>
        <v>0</v>
      </c>
      <c r="IZ136" s="409"/>
      <c r="JA136" s="398">
        <f>IF(IZ136=0,0,IF(LEN(IL136)=11,_xlfn.XLOOKUP(IL136,'Dispensed Ink Rates'!C:C,'Dispensed Ink Rates'!CS:CS),VLOOKUP(IL136,'Jan-2026 rates'!$E:$F,2,0)))</f>
        <v>0</v>
      </c>
      <c r="JB136" s="409"/>
      <c r="JC136" s="398">
        <f>IF(JB136=0,0,IF(LEN(IM136)=11,_xlfn.XLOOKUP(IM136,'Dispensed Ink Rates'!C:C,'Dispensed Ink Rates'!CS:CS),VLOOKUP(IM136,'Jan-2026 rates'!$E:$F,2,0)))</f>
        <v>0</v>
      </c>
      <c r="JD136" s="409" t="s">
        <v>1443</v>
      </c>
      <c r="JE136" s="409">
        <v>20</v>
      </c>
      <c r="JF136" s="411">
        <f t="shared" si="100"/>
        <v>0</v>
      </c>
      <c r="JG136" s="411">
        <f t="shared" si="101"/>
        <v>34.298507462686565</v>
      </c>
      <c r="JH136" s="410">
        <f t="shared" si="102"/>
        <v>0</v>
      </c>
      <c r="JI136" s="405" t="s">
        <v>856</v>
      </c>
      <c r="JJ136" s="409" t="s">
        <v>3388</v>
      </c>
      <c r="JK136" s="420" t="str">
        <f t="shared" si="60"/>
        <v>FLINTSL - WHITE</v>
      </c>
      <c r="JL136" s="409">
        <v>26</v>
      </c>
      <c r="JM136" s="411">
        <f>IF(JL136=0,0,IF($LB136=70%,VLOOKUP($JK136,'Jan-2026 rates'!$L:$R,4,0),IF($LB136=65%,VLOOKUP($JK136,'Jan-2026 rates'!$L:$R,4,0),IF($LB136=40%,VLOOKUP($JK136,'Jan-2026 rates'!$L:$R,5,0),IF($LB136=30%,VLOOKUP($JK136,'Jan-2026 rates'!$L:$R,6,0),IF($LB136=100%,VLOOKUP($JK136,'Jan-2026 rates'!$L:$R,7,0),IF($LB136=60%,VLOOKUP($JK136,'Jan-2026 rates'!$L:$S,8,0),IF($LB136=80%,VLOOKUP($JK136,'Jan-2026 rates'!L:T,9,0),0))))))))</f>
        <v>0</v>
      </c>
      <c r="JN136" s="412"/>
      <c r="JO136" s="409"/>
      <c r="JP136" s="411">
        <f>IF(JO136=0,0,IF($LB136=70%,VLOOKUP($JK136,'Jan-2026 rates'!$L:$R,4,0),IF($LB136=65%,VLOOKUP($JK136,'Jan-2026 rates'!$L:$R,4,0),IF($LB136=40%,VLOOKUP($JK136,'Jan-2026 rates'!$L:$R,5,0),IF($LB136=30%,VLOOKUP($JK136,'Jan-2026 rates'!$L:$R,6,0),IF($LB136=100%,VLOOKUP($JK136,'Jan-2026 rates'!$L:$R,7,0),IF($LB136=60%,VLOOKUP($JK136,'Jan-2026 rates'!$L:$S,8,0),IF($LB136=80%,VLOOKUP($JK136,'Jan-2026 rates'!L:T,9,0),0))))))))</f>
        <v>0</v>
      </c>
      <c r="JQ136" s="413" t="s">
        <v>484</v>
      </c>
      <c r="JR136" s="412"/>
      <c r="JS136" s="413"/>
      <c r="JT136" s="413"/>
      <c r="JU136" s="412"/>
      <c r="JV136" s="412"/>
      <c r="JW136" s="412"/>
      <c r="JX136" s="412"/>
      <c r="JY136" s="409">
        <v>60</v>
      </c>
      <c r="JZ136" s="398">
        <f>IF(JY136=0,0,IF(LEN(JQ136)=11,_xlfn.XLOOKUP(JQ136,'Dispensed Ink Rates'!C:C,'Dispensed Ink Rates'!CS:CS),VLOOKUP(JQ136,'Jan-2026 rates'!$E:$F,2,0)))</f>
        <v>0</v>
      </c>
      <c r="KA136" s="409"/>
      <c r="KB136" s="398">
        <f>IF(KA136=0,0,IF(LEN(JR136)=11,_xlfn.XLOOKUP(JR136,'Dispensed Ink Rates'!C:C,'Dispensed Ink Rates'!CS:CS),VLOOKUP(JR136,'Jan-2026 rates'!$E:$F,2,0)))</f>
        <v>0</v>
      </c>
      <c r="KC136" s="409"/>
      <c r="KD136" s="398">
        <f>IF(KC136=0,0,IF(LEN(JS136)=11,_xlfn.XLOOKUP(JS136,'Dispensed Ink Rates'!C:C,'Dispensed Ink Rates'!CS:CS),VLOOKUP(JS136,'Jan-2026 rates'!$E:$F,2,0)))</f>
        <v>0</v>
      </c>
      <c r="KE136" s="409"/>
      <c r="KF136" s="398">
        <f>IF(KE136=0,0,IF(LEN(JT136)=11,_xlfn.XLOOKUP(JT136,'Dispensed Ink Rates'!C:C,'Dispensed Ink Rates'!CS:CS),VLOOKUP(JT136,'Jan-2026 rates'!$E:$F,2,0)))</f>
        <v>0</v>
      </c>
      <c r="KG136" s="409"/>
      <c r="KH136" s="398">
        <f>IF(KG136=0,0,IF(LEN(JU136)=11,_xlfn.XLOOKUP(JU136,'Dispensed Ink Rates'!C:C,'Dispensed Ink Rates'!CS:CS),VLOOKUP(JU136,'Jan-2026 rates'!$E:$F,2,0)))</f>
        <v>0</v>
      </c>
      <c r="KI136" s="409"/>
      <c r="KJ136" s="398">
        <f>IF(KI136=0,0,IF(LEN(JV136)=11,_xlfn.XLOOKUP(JV136,'Dispensed Ink Rates'!C:C,'Dispensed Ink Rates'!CS:CS),VLOOKUP(JV136,'Jan-2026 rates'!$E:$F,2,0)))</f>
        <v>0</v>
      </c>
      <c r="KK136" s="409"/>
      <c r="KL136" s="398">
        <f>IF(KK136=0,0,IF(LEN(JW136)=11,_xlfn.XLOOKUP(JW136,'Dispensed Ink Rates'!C:C,'Dispensed Ink Rates'!CS:CS),VLOOKUP(JW136,'Jan-2026 rates'!$E:$F,2,0)))</f>
        <v>0</v>
      </c>
      <c r="KM136" s="428"/>
      <c r="KN136" s="398">
        <f>IF(KM136=0,0,IF(LEN(JX136)=11,_xlfn.XLOOKUP(JX136,'Dispensed Ink Rates'!C:C,'Dispensed Ink Rates'!CS:CS),VLOOKUP(JX136,'Jan-2026 rates'!$E:$F,2,0)))</f>
        <v>0</v>
      </c>
      <c r="KO136" s="409" t="s">
        <v>1443</v>
      </c>
      <c r="KP136" s="409">
        <v>27</v>
      </c>
      <c r="KQ136" s="411">
        <f t="shared" si="103"/>
        <v>0</v>
      </c>
      <c r="KR136" s="411">
        <f t="shared" si="104"/>
        <v>152.13432835820896</v>
      </c>
      <c r="KS136" s="410">
        <f t="shared" si="105"/>
        <v>0</v>
      </c>
      <c r="KT136" s="409">
        <v>5</v>
      </c>
      <c r="KU136" s="409">
        <v>5</v>
      </c>
      <c r="KV136" s="409">
        <v>3</v>
      </c>
      <c r="KW136" s="409">
        <v>0</v>
      </c>
      <c r="KX136" s="409">
        <v>2</v>
      </c>
      <c r="KY136" s="409">
        <v>5</v>
      </c>
      <c r="KZ136" s="409">
        <v>7</v>
      </c>
      <c r="LA136" s="409">
        <v>40</v>
      </c>
      <c r="LB136" s="415">
        <v>0.8</v>
      </c>
      <c r="LC136" s="415">
        <v>0.2</v>
      </c>
      <c r="LD136" s="415"/>
      <c r="LE136" s="415"/>
      <c r="LF136" s="415"/>
      <c r="LG136" s="409">
        <v>0</v>
      </c>
      <c r="LH136" s="409">
        <f>40+30+64+16+6</f>
        <v>156</v>
      </c>
      <c r="LI136" s="409">
        <v>0</v>
      </c>
      <c r="LJ136" s="409">
        <v>0</v>
      </c>
      <c r="LK136" s="416">
        <f t="shared" si="61"/>
        <v>156</v>
      </c>
      <c r="LL136" s="416">
        <f t="shared" si="62"/>
        <v>156</v>
      </c>
      <c r="LM136" s="417">
        <f t="shared" si="63"/>
        <v>124.80000000000001</v>
      </c>
      <c r="LN136" s="417">
        <f>VLOOKUP($LM$8,'Jan-2026 rates'!$H:$I,2,0)</f>
        <v>0</v>
      </c>
      <c r="LO136" s="417">
        <f t="shared" si="64"/>
        <v>31.200000000000003</v>
      </c>
      <c r="LP136" s="417">
        <f>VLOOKUP($LO$8,'Jan-2026 rates'!$H:$I,2,0)</f>
        <v>0</v>
      </c>
      <c r="LQ136" s="417">
        <f t="shared" si="65"/>
        <v>0</v>
      </c>
      <c r="LR136" s="417">
        <f>VLOOKUP($LQ$8,'Jan-2026 rates'!$H:$I,2,0)</f>
        <v>0</v>
      </c>
      <c r="LS136" s="417">
        <f t="shared" si="66"/>
        <v>0</v>
      </c>
      <c r="LT136" s="417">
        <f>VLOOKUP($LS$8,'Jan-2026 rates'!$H:$I,2,0)</f>
        <v>0</v>
      </c>
      <c r="LU136" s="417">
        <f t="shared" si="67"/>
        <v>0</v>
      </c>
      <c r="LV136" s="417">
        <f>VLOOKUP($LU$8,'Jan-2026 rates'!$H:$I,2,0)</f>
        <v>0</v>
      </c>
      <c r="LW136" s="417">
        <f t="shared" si="68"/>
        <v>0</v>
      </c>
      <c r="LX136" s="417">
        <f t="shared" si="69"/>
        <v>0</v>
      </c>
      <c r="LY136" s="418">
        <f t="shared" si="70"/>
        <v>0</v>
      </c>
      <c r="LZ136" s="417"/>
      <c r="MA136" s="435">
        <f t="shared" si="71"/>
        <v>212.2</v>
      </c>
      <c r="MB136" s="282">
        <f t="shared" si="72"/>
        <v>353.2</v>
      </c>
      <c r="MC136" s="283">
        <v>91</v>
      </c>
      <c r="MD136" s="284" t="str">
        <f t="shared" si="73"/>
        <v>FLINTSLFLINTSLFLINTSLFLINTSLFLINTSLFLINTSLFLINTSLFLINTSL</v>
      </c>
      <c r="ME136" s="293" t="str">
        <f t="shared" si="74"/>
        <v>+</v>
      </c>
      <c r="MF136" s="293" t="str">
        <f t="shared" si="75"/>
        <v>+</v>
      </c>
      <c r="MG136" s="293" t="str">
        <f t="shared" si="76"/>
        <v>+</v>
      </c>
      <c r="MH136" s="293" t="str">
        <f t="shared" si="77"/>
        <v>+</v>
      </c>
      <c r="MI136" s="293" t="str">
        <f t="shared" si="78"/>
        <v>+</v>
      </c>
      <c r="MJ136" s="293" t="str">
        <f t="shared" si="79"/>
        <v>+</v>
      </c>
      <c r="MK136" s="293" t="str">
        <f t="shared" si="80"/>
        <v>+</v>
      </c>
      <c r="ML136" s="293" t="str">
        <f t="shared" si="81"/>
        <v>+</v>
      </c>
      <c r="MM136" s="3" t="b">
        <f t="array" ref="MM136">OR(ME136:ML136="-")</f>
        <v>0</v>
      </c>
      <c r="MN136" s="285"/>
      <c r="MO136" s="401"/>
      <c r="MP136" s="286"/>
      <c r="MQ136" s="286"/>
      <c r="MR136" s="402"/>
      <c r="MS136" s="400"/>
      <c r="NH136" s="422"/>
      <c r="NJ136" s="421"/>
    </row>
    <row r="137" spans="1:374" s="1" customFormat="1" ht="16.5">
      <c r="A137" s="403">
        <v>46035</v>
      </c>
      <c r="B137" s="404" t="s">
        <v>1018</v>
      </c>
      <c r="C137" s="405" t="s">
        <v>3389</v>
      </c>
      <c r="D137" s="406">
        <v>92</v>
      </c>
      <c r="E137" s="404">
        <v>517</v>
      </c>
      <c r="F137" s="407">
        <v>25100</v>
      </c>
      <c r="G137" s="407" t="s">
        <v>1019</v>
      </c>
      <c r="H137" s="408" t="s">
        <v>1017</v>
      </c>
      <c r="I137" s="409">
        <v>0.26</v>
      </c>
      <c r="J137" s="405" t="s">
        <v>543</v>
      </c>
      <c r="K137" s="404" t="s">
        <v>3390</v>
      </c>
      <c r="L137" s="419" t="str">
        <f t="shared" si="54"/>
        <v>FLINTSL - BLACK</v>
      </c>
      <c r="M137" s="404">
        <v>28</v>
      </c>
      <c r="N137" s="410">
        <f>IF(M137=0,0,IF($LB137=70%,VLOOKUP($L137,'Jan-2026 rates'!$L:$R,4,0),IF($LB137=65%,VLOOKUP($L137,'Jan-2026 rates'!$L:$R,4,0),IF($LB137=40%,VLOOKUP($L137,'Jan-2026 rates'!$L:$R,5,0),IF($LB137=30%,VLOOKUP($L137,'Jan-2026 rates'!$L:$R,6,0),IF($LB137=100%,VLOOKUP($L137,'Jan-2026 rates'!$L:$R,7,0),IF($LB137=60%,VLOOKUP($L137,'Jan-2026 rates'!$L:$S,8,0),IF($LB137=80%,VLOOKUP($L137,'Jan-2026 rates'!L:T,9,0),0))))))))</f>
        <v>0</v>
      </c>
      <c r="O137" s="406"/>
      <c r="P137" s="404"/>
      <c r="Q137" s="410">
        <f>IF(P137=0,0,IF($LB137=70%,VLOOKUP($L137,'Jan-2026 rates'!$L:$R,4,0),IF($LB137=65%,VLOOKUP($L137,'Jan-2026 rates'!$L:$R,4,0),IF($LB137=40%,VLOOKUP($L137,'Jan-2026 rates'!$L:$R,5,0),IF($LB137=30%,VLOOKUP($L137,'Jan-2026 rates'!$L:$R,6,0),IF($LB137=100%,VLOOKUP($L137,'Jan-2026 rates'!$L:$R,7,0),IF($LB137=60%,VLOOKUP($L137,'Jan-2026 rates'!$L:$S,8,0),IF($LB137=80%,VLOOKUP($L137,'Jan-2026 rates'!L:T,9,0),0))))))))</f>
        <v>0</v>
      </c>
      <c r="R137" s="406">
        <v>26507000025</v>
      </c>
      <c r="S137" s="406"/>
      <c r="T137" s="406"/>
      <c r="U137" s="406"/>
      <c r="V137" s="406"/>
      <c r="W137" s="406"/>
      <c r="X137" s="406"/>
      <c r="Y137" s="406"/>
      <c r="Z137" s="404">
        <v>10</v>
      </c>
      <c r="AA137" s="398" t="e">
        <f>IF(Z137=0,0,IF(LEN(R137)=11,_xlfn.XLOOKUP(R137,'Dispensed Ink Rates'!C:C,'Dispensed Ink Rates'!CS:CS),VLOOKUP(R137,'Jan-2026 rates'!$E:$F,2,0)))</f>
        <v>#N/A</v>
      </c>
      <c r="AB137" s="404"/>
      <c r="AC137" s="398">
        <f>IF(AB137=0,0,IF(LEN(S137)=11,_xlfn.XLOOKUP(S137,'Dispensed Ink Rates'!C:C,'Dispensed Ink Rates'!CS:CS),VLOOKUP(S137,'Jan-2026 rates'!$E:$F,2,0)))</f>
        <v>0</v>
      </c>
      <c r="AD137" s="404"/>
      <c r="AE137" s="398">
        <f>IF(AD137=0,0,IF(LEN(T137)=11,_xlfn.XLOOKUP(T137,'Dispensed Ink Rates'!C:C,'Dispensed Ink Rates'!CS:CS),VLOOKUP(T137,'Jan-2026 rates'!$E:$F,2,0)))</f>
        <v>0</v>
      </c>
      <c r="AF137" s="404"/>
      <c r="AG137" s="398">
        <f>IF(AF137=0,0,IF(LEN(U137)=11,_xlfn.XLOOKUP(U137,'Dispensed Ink Rates'!C:C,'Dispensed Ink Rates'!CS:CS),VLOOKUP(U137,'Jan-2026 rates'!$E:$F,2,0)))</f>
        <v>0</v>
      </c>
      <c r="AH137" s="404"/>
      <c r="AI137" s="398">
        <f>IF(AH137=0,0,IF(LEN(V137)=11,_xlfn.XLOOKUP(V137,'Dispensed Ink Rates'!C:C,'Dispensed Ink Rates'!CS:CS),VLOOKUP(V137,'Jan-2026 rates'!$E:$F,2,0)))</f>
        <v>0</v>
      </c>
      <c r="AJ137" s="404"/>
      <c r="AK137" s="398">
        <f>IF(AJ137=0,0,IF(LEN(W137)=11,_xlfn.XLOOKUP(W137,'Dispensed Ink Rates'!C:C,'Dispensed Ink Rates'!CS:CS),VLOOKUP(W137,'Jan-2026 rates'!$E:$F,2,0)))</f>
        <v>0</v>
      </c>
      <c r="AL137" s="404"/>
      <c r="AM137" s="398">
        <f>IF(AL137=0,0,IF(LEN(X137)=11,_xlfn.XLOOKUP(X137,'Dispensed Ink Rates'!C:C,'Dispensed Ink Rates'!CS:CS),VLOOKUP(X137,'Jan-2026 rates'!$E:$F,2,0)))</f>
        <v>0</v>
      </c>
      <c r="AN137" s="404"/>
      <c r="AO137" s="398">
        <f>IF(AN137=0,0,IF(LEN(Y137)=11,_xlfn.XLOOKUP(Y137,'Dispensed Ink Rates'!C:C,'Dispensed Ink Rates'!CS:CS),VLOOKUP(Y137,'Jan-2026 rates'!$E:$F,2,0)))</f>
        <v>0</v>
      </c>
      <c r="AP137" s="409" t="s">
        <v>1443</v>
      </c>
      <c r="AQ137" s="409">
        <v>20</v>
      </c>
      <c r="AR137" s="410">
        <f t="shared" si="82"/>
        <v>0</v>
      </c>
      <c r="AS137" s="411">
        <f t="shared" si="83"/>
        <v>38</v>
      </c>
      <c r="AT137" s="410">
        <f t="shared" si="84"/>
        <v>0</v>
      </c>
      <c r="AU137" s="405"/>
      <c r="AV137" s="409"/>
      <c r="AW137" s="420" t="str">
        <f t="shared" si="53"/>
        <v xml:space="preserve"> - </v>
      </c>
      <c r="AX137" s="409"/>
      <c r="AY137" s="411">
        <f>IF(AX137=0,0,IF($LB137=70%,VLOOKUP($AW137,'Jan-2026 rates'!$L:$R,4,0),IF($LB137=65%,VLOOKUP($AW137,'Jan-2026 rates'!$L:$R,4,0),IF($LB137=40%,VLOOKUP($AW137,'Jan-2026 rates'!$L:$R,5,0),IF($LB137=30%,VLOOKUP($AW137,'Jan-2026 rates'!$L:$R,6,0),IF($LB137=100%,VLOOKUP($AW137,'Jan-2026 rates'!$L:$R,7,0),IF($LB137=60%,VLOOKUP($AW137,'Jan-2026 rates'!$L:$S,8,0),IF($LB137=80%,VLOOKUP($AW137,'Jan-2026 rates'!L:T,9,0),0))))))))</f>
        <v>0</v>
      </c>
      <c r="AZ137" s="412"/>
      <c r="BA137" s="409"/>
      <c r="BB137" s="411">
        <f>IF(BA137=0,0,IF($LB137=70%,VLOOKUP($AW137,'Jan-2026 rates'!$L:$R,4,0),IF($LB137=65%,VLOOKUP($AW137,'Jan-2026 rates'!$L:$R,4,0),IF($LB137=40%,VLOOKUP($AW137,'Jan-2026 rates'!$L:$R,5,0),IF($LB137=30%,VLOOKUP($AW137,'Jan-2026 rates'!$L:$R,6,0),IF($LB137=100%,VLOOKUP($AW137,'Jan-2026 rates'!$L:$R,7,0),IF($LB137=60%,VLOOKUP($AW137,'Jan-2026 rates'!$L:$S,8,0),IF($LB137=80%,VLOOKUP($AW137,'Jan-2026 rates'!L:T,9,0),0))))))))</f>
        <v>0</v>
      </c>
      <c r="BC137" s="413"/>
      <c r="BD137" s="412"/>
      <c r="BE137" s="412"/>
      <c r="BF137" s="413"/>
      <c r="BG137" s="412"/>
      <c r="BH137" s="412"/>
      <c r="BI137" s="412"/>
      <c r="BJ137" s="412"/>
      <c r="BK137" s="409"/>
      <c r="BL137" s="398">
        <f>IF(BK137=0,0,IF(LEN(BC137)=11,_xlfn.XLOOKUP(BC137,'Dispensed Ink Rates'!C:C,'Dispensed Ink Rates'!CS:CS),VLOOKUP(BC137,'Jan-2026 rates'!$E:$F,2,0)))</f>
        <v>0</v>
      </c>
      <c r="BM137" s="409"/>
      <c r="BN137" s="398">
        <f>IF(BM137=0,0,IF(LEN(BD137)=11,_xlfn.XLOOKUP(BD137,'Dispensed Ink Rates'!C:C,'Dispensed Ink Rates'!CS:CS),VLOOKUP(BD137,'Jan-2026 rates'!$E:$F,2,0)))</f>
        <v>0</v>
      </c>
      <c r="BO137" s="409"/>
      <c r="BP137" s="398">
        <f>IF(BO137=0,0,IF(LEN(BE137)=11,_xlfn.XLOOKUP(BE137,'Dispensed Ink Rates'!C:C,'Dispensed Ink Rates'!CS:CS),VLOOKUP(BE137,'Jan-2026 rates'!$E:$F,2,0)))</f>
        <v>0</v>
      </c>
      <c r="BQ137" s="409"/>
      <c r="BR137" s="398">
        <f>IF(BQ137=0,0,IF(LEN(BF137)=11,_xlfn.XLOOKUP(BF137,'Dispensed Ink Rates'!C:C,'Dispensed Ink Rates'!CS:CS),VLOOKUP(BF137,'Jan-2026 rates'!$E:$F,2,0)))</f>
        <v>0</v>
      </c>
      <c r="BS137" s="409"/>
      <c r="BT137" s="398">
        <f>IF(BS137=0,0,IF(LEN(BG137)=11,_xlfn.XLOOKUP(BG137,'Dispensed Ink Rates'!C:C,'Dispensed Ink Rates'!CS:CS),VLOOKUP(BG137,'Jan-2026 rates'!$E:$F,2,0)))</f>
        <v>0</v>
      </c>
      <c r="BU137" s="409"/>
      <c r="BV137" s="398">
        <f>IF(BU137=0,0,IF(LEN(BH137)=11,_xlfn.XLOOKUP(BH137,'Dispensed Ink Rates'!C:C,'Dispensed Ink Rates'!CS:CS),VLOOKUP(BH137,'Jan-2026 rates'!$E:$F,2,0)))</f>
        <v>0</v>
      </c>
      <c r="BW137" s="409"/>
      <c r="BX137" s="398">
        <f>IF(BW137=0,0,IF(LEN(BI137)=11,_xlfn.XLOOKUP(BI137,'Dispensed Ink Rates'!C:C,'Dispensed Ink Rates'!CS:CS),VLOOKUP(BI137,'Jan-2026 rates'!$E:$F,2,0)))</f>
        <v>0</v>
      </c>
      <c r="BY137" s="409"/>
      <c r="BZ137" s="398">
        <f>IF(BY137=0,0,IF(LEN(BJ137)=11,_xlfn.XLOOKUP(BJ137,'Dispensed Ink Rates'!C:C,'Dispensed Ink Rates'!CS:CS),VLOOKUP(BJ137,'Jan-2026 rates'!$E:$F,2,0)))</f>
        <v>0</v>
      </c>
      <c r="CA137" s="409"/>
      <c r="CB137" s="409"/>
      <c r="CC137" s="411">
        <f t="shared" si="85"/>
        <v>0</v>
      </c>
      <c r="CD137" s="411">
        <f t="shared" si="86"/>
        <v>0</v>
      </c>
      <c r="CE137" s="410">
        <f t="shared" si="87"/>
        <v>0</v>
      </c>
      <c r="CF137" s="404"/>
      <c r="CG137" s="409"/>
      <c r="CH137" s="420" t="str">
        <f t="shared" si="55"/>
        <v xml:space="preserve"> - </v>
      </c>
      <c r="CI137" s="409"/>
      <c r="CJ137" s="411">
        <f>IF(CI137=0,0,IF($LB137=70%,VLOOKUP($CH137,'Jan-2026 rates'!$L:$R,4,0),IF($LB137=65%,VLOOKUP($CH137,'Jan-2026 rates'!$L:$R,4,0),IF($LB137=40%,VLOOKUP($CH137,'Jan-2026 rates'!$L:$R,5,0),IF($LB137=30%,VLOOKUP($CH137,'Jan-2026 rates'!$L:$R,6,0),IF($LB137=100%,VLOOKUP($CH137,'Jan-2026 rates'!$L:$R,7,0),IF($LB137=60%,VLOOKUP($CH137,'Jan-2026 rates'!$L:$S,8,0),IF($LB137=80%,VLOOKUP($CH137,'Jan-2026 rates'!L:T,9,0),0))))))))</f>
        <v>0</v>
      </c>
      <c r="CK137" s="412"/>
      <c r="CL137" s="409"/>
      <c r="CM137" s="411">
        <f>IF(CL137=0,0,IF($LB137=70%,VLOOKUP($CH137,'Jan-2026 rates'!$L:$R,4,0),IF($LB137=65%,VLOOKUP($CH137,'Jan-2026 rates'!$L:$R,4,0),IF($LB137=40%,VLOOKUP($CH137,'Jan-2026 rates'!$L:$R,5,0),IF($LB137=30%,VLOOKUP($CH137,'Jan-2026 rates'!$L:$R,6,0),IF($LB137=100%,VLOOKUP($CH137,'Jan-2026 rates'!$L:$R,7,0),IF($LB137=60%,VLOOKUP($CH137,'Jan-2026 rates'!$L:$S,8,0),IF($LB137=80%,VLOOKUP($CH137,'Jan-2026 rates'!L:T,9,0),0))))))))</f>
        <v>0</v>
      </c>
      <c r="CN137" s="426"/>
      <c r="CO137" s="427"/>
      <c r="CP137" s="426"/>
      <c r="CQ137" s="426"/>
      <c r="CR137" s="428"/>
      <c r="CS137" s="428"/>
      <c r="CT137" s="428"/>
      <c r="CU137" s="428"/>
      <c r="CV137" s="409"/>
      <c r="CW137" s="398">
        <f>IF(CV137=0,0,IF(LEN(CN137)=11,_xlfn.XLOOKUP(CN137,'Dispensed Ink Rates'!C:C,'Dispensed Ink Rates'!CS:CS),VLOOKUP(CN137,'Jan-2026 rates'!$E:$F,2,0)))</f>
        <v>0</v>
      </c>
      <c r="CX137" s="409"/>
      <c r="CY137" s="398">
        <f>IF(CX137=0,0,IF(LEN(CO137)=11,_xlfn.XLOOKUP(CO137,'Dispensed Ink Rates'!C:C,'Dispensed Ink Rates'!CS:CS),VLOOKUP(CO137,'Jan-2026 rates'!$E:$F,2,0)))</f>
        <v>0</v>
      </c>
      <c r="CZ137" s="409"/>
      <c r="DA137" s="398">
        <f>IF(CZ137=0,0,IF(LEN(CP137)=11,_xlfn.XLOOKUP(CP137,'Dispensed Ink Rates'!C:C,'Dispensed Ink Rates'!CS:CS),VLOOKUP(CP137,'Jan-2026 rates'!$E:$F,2,0)))</f>
        <v>0</v>
      </c>
      <c r="DB137" s="409"/>
      <c r="DC137" s="398">
        <f>IF(DB137=0,0,IF(LEN(CQ137)=11,_xlfn.XLOOKUP(CQ137,'Dispensed Ink Rates'!C:C,'Dispensed Ink Rates'!CS:CS),VLOOKUP(CQ137,'Jan-2026 rates'!$E:$F,2,0)))</f>
        <v>0</v>
      </c>
      <c r="DD137" s="409"/>
      <c r="DE137" s="398">
        <f>IF(DD137=0,0,IF(LEN(CR137)=11,_xlfn.XLOOKUP(CR137,'Dispensed Ink Rates'!C:C,'Dispensed Ink Rates'!CS:CS),VLOOKUP(CR137,'Jan-2026 rates'!$E:$F,2,0)))</f>
        <v>0</v>
      </c>
      <c r="DF137" s="409"/>
      <c r="DG137" s="398">
        <f>IF(DF137=0,0,IF(LEN(CS137)=11,_xlfn.XLOOKUP(CS137,'Dispensed Ink Rates'!C:C,'Dispensed Ink Rates'!CS:CS),VLOOKUP(CS137,'Jan-2026 rates'!$E:$F,2,0)))</f>
        <v>0</v>
      </c>
      <c r="DH137" s="409"/>
      <c r="DI137" s="398">
        <f>IF(DH137=0,0,IF(LEN(CT137)=11,_xlfn.XLOOKUP(CT137,'Dispensed Ink Rates'!C:C,'Dispensed Ink Rates'!CS:CS),VLOOKUP(CT137,'Jan-2026 rates'!$E:$F,2,0)))</f>
        <v>0</v>
      </c>
      <c r="DJ137" s="409"/>
      <c r="DK137" s="398">
        <f>IF(DJ137=0,0,IF(LEN(CU137)=11,_xlfn.XLOOKUP(CU137,'Dispensed Ink Rates'!C:C,'Dispensed Ink Rates'!CS:CS),VLOOKUP(CU137,'Jan-2026 rates'!$E:$F,2,0)))</f>
        <v>0</v>
      </c>
      <c r="DL137" s="409"/>
      <c r="DM137" s="409"/>
      <c r="DN137" s="411">
        <f t="shared" si="88"/>
        <v>0</v>
      </c>
      <c r="DO137" s="411">
        <f t="shared" si="89"/>
        <v>0</v>
      </c>
      <c r="DP137" s="410">
        <f t="shared" si="90"/>
        <v>0</v>
      </c>
      <c r="DQ137" s="405"/>
      <c r="DR137" s="409"/>
      <c r="DS137" s="420" t="str">
        <f t="shared" si="56"/>
        <v xml:space="preserve"> - </v>
      </c>
      <c r="DT137" s="409"/>
      <c r="DU137" s="411">
        <f>IF(DT137=0,0,IF($LB137=70%,VLOOKUP($DS137,'Jan-2026 rates'!$L:$R,4,0),IF($LB137=65%,VLOOKUP($DS137,'Jan-2026 rates'!$L:$R,4,0),IF($LB137=40%,VLOOKUP($DS137,'Jan-2026 rates'!$L:$R,5,0),IF($LB137=30%,VLOOKUP($DS137,'Jan-2026 rates'!$L:$R,6,0),IF($LB137=100%,VLOOKUP($DS137,'Jan-2026 rates'!$L:$R,7,0),IF($LB137=60%,VLOOKUP($DS137,'Jan-2026 rates'!$L:$S,8,0),IF($LB137=80%,VLOOKUP($DS137,'Jan-2026 rates'!L:T,9,0),0))))))))</f>
        <v>0</v>
      </c>
      <c r="DV137" s="412"/>
      <c r="DW137" s="409"/>
      <c r="DX137" s="411">
        <f>IF(DW137=0,0,IF($LB137=70%,VLOOKUP($DS137,'Jan-2026 rates'!$L:$R,4,0),IF($LB137=65%,VLOOKUP($DS137,'Jan-2026 rates'!$L:$R,4,0),IF($LB137=40%,VLOOKUP($DS137,'Jan-2026 rates'!$L:$R,5,0),IF($LB137=30%,VLOOKUP($DS137,'Jan-2026 rates'!$L:$R,6,0),IF($LB137=100%,VLOOKUP($DS137,'Jan-2026 rates'!$L:$R,7,0),IF($LB137=60%,VLOOKUP($DS137,'Jan-2026 rates'!$L:$S,8,0),IF($LB137=80%,VLOOKUP($DS137,'Jan-2026 rates'!L:T,9,0),0))))))))</f>
        <v>0</v>
      </c>
      <c r="DY137" s="413"/>
      <c r="DZ137" s="413"/>
      <c r="EA137" s="412"/>
      <c r="EB137" s="412"/>
      <c r="EC137" s="412"/>
      <c r="ED137" s="412"/>
      <c r="EE137" s="412"/>
      <c r="EF137" s="412"/>
      <c r="EG137" s="409"/>
      <c r="EH137" s="398">
        <f>IF(EG137=0,0,IF(LEN(DY137)=11,_xlfn.XLOOKUP(DY137,'Dispensed Ink Rates'!C:C,'Dispensed Ink Rates'!CS:CS),VLOOKUP(DY137,'Jan-2026 rates'!$E:$F,2,0)))</f>
        <v>0</v>
      </c>
      <c r="EI137" s="409"/>
      <c r="EJ137" s="398">
        <f>IF(EI137=0,0,IF(LEN(DZ137)=11,_xlfn.XLOOKUP(DZ137,'Dispensed Ink Rates'!C:C,'Dispensed Ink Rates'!CS:CS),VLOOKUP(DZ137,'Jan-2026 rates'!$E:$F,2,0)))</f>
        <v>0</v>
      </c>
      <c r="EK137" s="409"/>
      <c r="EL137" s="398">
        <f>IF(EK137=0,0,IF(LEN(EA137)=11,_xlfn.XLOOKUP(EA137,'Dispensed Ink Rates'!C:C,'Dispensed Ink Rates'!CS:CS),VLOOKUP(EA137,'Jan-2026 rates'!$E:$F,2,0)))</f>
        <v>0</v>
      </c>
      <c r="EM137" s="409"/>
      <c r="EN137" s="398">
        <f>IF(EM137=0,0,IF(LEN(EB137)=11,_xlfn.XLOOKUP(EB137,'Dispensed Ink Rates'!C:C,'Dispensed Ink Rates'!CS:CS),VLOOKUP(EB137,'Jan-2026 rates'!$E:$F,2,0)))</f>
        <v>0</v>
      </c>
      <c r="EO137" s="409"/>
      <c r="EP137" s="398">
        <f>IF(EO137=0,0,IF(LEN(EC137)=11,_xlfn.XLOOKUP(EC137,'Dispensed Ink Rates'!C:C,'Dispensed Ink Rates'!CS:CS),VLOOKUP(EC137,'Jan-2026 rates'!$E:$F,2,0)))</f>
        <v>0</v>
      </c>
      <c r="EQ137" s="409"/>
      <c r="ER137" s="398">
        <f>IF(EQ137=0,0,IF(LEN(ED137)=11,_xlfn.XLOOKUP(ED137,'Dispensed Ink Rates'!C:C,'Dispensed Ink Rates'!CS:CS),VLOOKUP(ED137,'Jan-2026 rates'!$E:$F,2,0)))</f>
        <v>0</v>
      </c>
      <c r="ES137" s="409"/>
      <c r="ET137" s="398">
        <f>IF(ES137=0,0,IF(LEN(EE137)=11,_xlfn.XLOOKUP(EE137,'Dispensed Ink Rates'!C:C,'Dispensed Ink Rates'!CS:CS),VLOOKUP(EE137,'Jan-2026 rates'!$E:$F,2,0)))</f>
        <v>0</v>
      </c>
      <c r="EU137" s="409"/>
      <c r="EV137" s="398">
        <f>IF(EU137=0,0,IF(LEN(EF137)=11,_xlfn.XLOOKUP(EF137,'Dispensed Ink Rates'!C:C,'Dispensed Ink Rates'!CS:CS),VLOOKUP(EF137,'Jan-2026 rates'!$E:$F,2,0)))</f>
        <v>0</v>
      </c>
      <c r="EW137" s="409"/>
      <c r="EX137" s="409"/>
      <c r="EY137" s="411">
        <f t="shared" si="91"/>
        <v>0</v>
      </c>
      <c r="EZ137" s="411">
        <f t="shared" si="92"/>
        <v>0</v>
      </c>
      <c r="FA137" s="410">
        <f t="shared" si="93"/>
        <v>0</v>
      </c>
      <c r="FB137" s="405"/>
      <c r="FC137" s="409"/>
      <c r="FD137" s="420" t="str">
        <f t="shared" si="57"/>
        <v xml:space="preserve"> - </v>
      </c>
      <c r="FE137" s="409"/>
      <c r="FF137" s="411">
        <f>IF(FE137=0,0,IF($LB137=70%,VLOOKUP($FD137,'Jan-2026 rates'!$L:$R,4,0),IF($LB137=65%,VLOOKUP($FD137,'Jan-2026 rates'!$L:$R,4,0),IF($LB137=40%,VLOOKUP($FD137,'Jan-2026 rates'!$L:$R,5,0),IF($LB137=30%,VLOOKUP($FD137,'Jan-2026 rates'!$L:$R,6,0),IF($LB137=100%,VLOOKUP($FD137,'Jan-2026 rates'!$L:$R,7,0),IF($LB137=60%,VLOOKUP($FD137,'Jan-2026 rates'!$L:$S,8,0),IF($LB137=80%,VLOOKUP($FD137,'Jan-2026 rates'!L:T,9,0),0))))))))</f>
        <v>0</v>
      </c>
      <c r="FG137" s="412"/>
      <c r="FH137" s="409"/>
      <c r="FI137" s="411">
        <f>IF(FH137=0,0,IF($LB137=70%,VLOOKUP($FD137,'Jan-2026 rates'!$L:$R,4,0),IF($LB137=65%,VLOOKUP($FD137,'Jan-2026 rates'!$L:$R,4,0),IF($LB137=40%,VLOOKUP($FD137,'Jan-2026 rates'!$L:$R,5,0),IF($LB137=30%,VLOOKUP($FD137,'Jan-2026 rates'!$L:$R,6,0),IF($LB137=100%,VLOOKUP($FD137,'Jan-2026 rates'!$L:$R,7,0),IF($LB137=60%,VLOOKUP($FD137,'Jan-2026 rates'!$L:$S,8,0),IF($LB137=80%,VLOOKUP($FD137,'Jan-2026 rates'!L:T,9,0),0))))))))</f>
        <v>0</v>
      </c>
      <c r="FJ137" s="413"/>
      <c r="FK137" s="413"/>
      <c r="FL137" s="413"/>
      <c r="FM137" s="412"/>
      <c r="FN137" s="412"/>
      <c r="FO137" s="412"/>
      <c r="FP137" s="412"/>
      <c r="FQ137" s="412"/>
      <c r="FR137" s="409"/>
      <c r="FS137" s="398">
        <f>IF(FR137=0,0,IF(LEN(FJ137)=11,_xlfn.XLOOKUP(FJ137,'Dispensed Ink Rates'!C:C,'Dispensed Ink Rates'!CS:CS),VLOOKUP(FJ137,'Jan-2026 rates'!$E:$F,2,0)))</f>
        <v>0</v>
      </c>
      <c r="FT137" s="409"/>
      <c r="FU137" s="398">
        <f>IF(FT137=0,0,IF(LEN(FK137)=11,_xlfn.XLOOKUP(FK137,'Dispensed Ink Rates'!C:C,'Dispensed Ink Rates'!CS:CS),VLOOKUP(FK137,'Jan-2026 rates'!$E:$F,2,0)))</f>
        <v>0</v>
      </c>
      <c r="FV137" s="409"/>
      <c r="FW137" s="398">
        <f>IF(FV137=0,0,IF(LEN(FL137)=11,_xlfn.XLOOKUP(FL137,'Dispensed Ink Rates'!C:C,'Dispensed Ink Rates'!CS:CS),VLOOKUP(FL137,'Jan-2026 rates'!$E:$F,2,0)))</f>
        <v>0</v>
      </c>
      <c r="FX137" s="409"/>
      <c r="FY137" s="398">
        <f>IF(FX137=0,0,IF(LEN(FM137)=11,_xlfn.XLOOKUP(FM137,'Dispensed Ink Rates'!C:C,'Dispensed Ink Rates'!CS:CS),VLOOKUP(FM137,'Jan-2026 rates'!$E:$F,2,0)))</f>
        <v>0</v>
      </c>
      <c r="FZ137" s="409"/>
      <c r="GA137" s="398">
        <f>IF(FZ137=0,0,IF(LEN(FN137)=11,_xlfn.XLOOKUP(FN137,'Dispensed Ink Rates'!C:C,'Dispensed Ink Rates'!CS:CS),VLOOKUP(FN137,'Jan-2026 rates'!$E:$F,2,0)))</f>
        <v>0</v>
      </c>
      <c r="GB137" s="409"/>
      <c r="GC137" s="398">
        <f>IF(GB137=0,0,IF(LEN(FO137)=11,_xlfn.XLOOKUP(FO137,'Dispensed Ink Rates'!C:C,'Dispensed Ink Rates'!CS:CS),VLOOKUP(FO137,'Jan-2026 rates'!$E:$F,2,0)))</f>
        <v>0</v>
      </c>
      <c r="GD137" s="409"/>
      <c r="GE137" s="398">
        <f>IF(GD137=0,0,IF(LEN(FP137)=11,_xlfn.XLOOKUP(FP137,'Dispensed Ink Rates'!C:C,'Dispensed Ink Rates'!CS:CS),VLOOKUP(FP137,'Jan-2026 rates'!$E:$F,2,0)))</f>
        <v>0</v>
      </c>
      <c r="GF137" s="409"/>
      <c r="GG137" s="398">
        <f>IF(GF137=0,0,IF(LEN(FQ137)=11,_xlfn.XLOOKUP(FQ137,'Dispensed Ink Rates'!C:C,'Dispensed Ink Rates'!CS:CS),VLOOKUP(FQ137,'Jan-2026 rates'!$E:$F,2,0)))</f>
        <v>0</v>
      </c>
      <c r="GH137" s="409"/>
      <c r="GI137" s="409"/>
      <c r="GJ137" s="411">
        <f t="shared" si="94"/>
        <v>0</v>
      </c>
      <c r="GK137" s="411">
        <f t="shared" si="95"/>
        <v>0</v>
      </c>
      <c r="GL137" s="410">
        <f t="shared" si="96"/>
        <v>0</v>
      </c>
      <c r="GM137" s="405"/>
      <c r="GN137" s="409"/>
      <c r="GO137" s="420" t="str">
        <f t="shared" si="58"/>
        <v xml:space="preserve"> - </v>
      </c>
      <c r="GP137" s="409"/>
      <c r="GQ137" s="411">
        <f>IF(GP137=0,0,IF($LB137=70%,VLOOKUP($GO137,'Jan-2026 rates'!$L:$R,4,0),IF($LB137=65%,VLOOKUP($GO137,'Jan-2026 rates'!$L:$R,4,0),IF($LB137=40%,VLOOKUP($GO137,'Jan-2026 rates'!$L:$R,5,0),IF($LB137=30%,VLOOKUP($GO137,'Jan-2026 rates'!$L:$R,6,0),IF($LB137=100%,VLOOKUP($GO137,'Jan-2026 rates'!$L:$R,7,0),IF($LB137=60%,VLOOKUP($GO137,'Jan-2026 rates'!$L:$S,8,0),IF($LB137=80%,VLOOKUP($GO137,'Jan-2026 rates'!L:T,9,0),0))))))))</f>
        <v>0</v>
      </c>
      <c r="GR137" s="412"/>
      <c r="GS137" s="409"/>
      <c r="GT137" s="411">
        <f>IF(GS137=0,0,IF($LB137=70%,VLOOKUP($GO137,'Jan-2026 rates'!$L:$R,4,0),IF($LB137=65%,VLOOKUP($GO137,'Jan-2026 rates'!$L:$R,4,0),IF($LB137=40%,VLOOKUP($GO137,'Jan-2026 rates'!$L:$R,5,0),IF($LB137=30%,VLOOKUP($GO137,'Jan-2026 rates'!$L:$R,6,0),IF($LB137=100%,VLOOKUP($GO137,'Jan-2026 rates'!$L:$R,7,0),IF($LB137=60%,VLOOKUP($GO137,'Jan-2026 rates'!$L:$S,8,0),IF($LB137=80%,VLOOKUP($GO137,'Jan-2026 rates'!L:T,9,0),0))))))))</f>
        <v>0</v>
      </c>
      <c r="GU137" s="413"/>
      <c r="GV137" s="413"/>
      <c r="GW137" s="412"/>
      <c r="GX137" s="412"/>
      <c r="GY137" s="412"/>
      <c r="GZ137" s="412"/>
      <c r="HA137" s="412"/>
      <c r="HB137" s="412"/>
      <c r="HC137" s="409"/>
      <c r="HD137" s="398">
        <f>IF(HC137=0,0,IF(LEN(GU137)=11,_xlfn.XLOOKUP(GU137,'Dispensed Ink Rates'!C:C,'Dispensed Ink Rates'!CS:CS),VLOOKUP(GU137,'Jan-2026 rates'!$E:$F,2,0)))</f>
        <v>0</v>
      </c>
      <c r="HE137" s="409"/>
      <c r="HF137" s="398">
        <f>IF(HE137=0,0,IF(LEN(GV137)=11,_xlfn.XLOOKUP(GV137,'Dispensed Ink Rates'!C:C,'Dispensed Ink Rates'!CS:CS),VLOOKUP(GV137,'Jan-2026 rates'!$E:$F,2,0)))</f>
        <v>0</v>
      </c>
      <c r="HG137" s="409"/>
      <c r="HH137" s="398">
        <f>IF(HG137=0,0,IF(LEN(GW137)=11,_xlfn.XLOOKUP(GW137,'Dispensed Ink Rates'!C:C,'Dispensed Ink Rates'!CS:CS),VLOOKUP(GW137,'Jan-2026 rates'!$E:$F,2,0)))</f>
        <v>0</v>
      </c>
      <c r="HI137" s="409"/>
      <c r="HJ137" s="398">
        <f>IF(HI137=0,0,IF(LEN(GX137)=11,_xlfn.XLOOKUP(GX137,'Dispensed Ink Rates'!C:C,'Dispensed Ink Rates'!CS:CS),VLOOKUP(GX137,'Jan-2026 rates'!$E:$F,2,0)))</f>
        <v>0</v>
      </c>
      <c r="HK137" s="409"/>
      <c r="HL137" s="398">
        <f>IF(HK137=0,0,IF(LEN(GY137)=11,_xlfn.XLOOKUP(GY137,'Dispensed Ink Rates'!C:C,'Dispensed Ink Rates'!CS:CS),VLOOKUP(GY137,'Jan-2026 rates'!$E:$F,2,0)))</f>
        <v>0</v>
      </c>
      <c r="HM137" s="409"/>
      <c r="HN137" s="398">
        <f>IF(HM137=0,0,IF(LEN(GZ137)=11,_xlfn.XLOOKUP(GZ137,'Dispensed Ink Rates'!C:C,'Dispensed Ink Rates'!CS:CS),VLOOKUP(GZ137,'Jan-2026 rates'!$E:$F,2,0)))</f>
        <v>0</v>
      </c>
      <c r="HO137" s="409"/>
      <c r="HP137" s="398">
        <f>IF(HO137=0,0,IF(LEN(HA137)=11,_xlfn.XLOOKUP(HA137,'Dispensed Ink Rates'!C:C,'Dispensed Ink Rates'!CS:CS),VLOOKUP(HA137,'Jan-2026 rates'!$E:$F,2,0)))</f>
        <v>0</v>
      </c>
      <c r="HQ137" s="409"/>
      <c r="HR137" s="398">
        <f>IF(HQ137=0,0,IF(LEN(HB137)=11,_xlfn.XLOOKUP(HB137,'Dispensed Ink Rates'!C:C,'Dispensed Ink Rates'!CS:CS),VLOOKUP(HB137,'Jan-2026 rates'!$E:$F,2,0)))</f>
        <v>0</v>
      </c>
      <c r="HS137" s="409"/>
      <c r="HT137" s="409"/>
      <c r="HU137" s="411">
        <f t="shared" si="97"/>
        <v>0</v>
      </c>
      <c r="HV137" s="411">
        <f t="shared" si="98"/>
        <v>0</v>
      </c>
      <c r="HW137" s="414">
        <f t="shared" si="99"/>
        <v>0</v>
      </c>
      <c r="HX137" s="405"/>
      <c r="HY137" s="409"/>
      <c r="HZ137" s="420" t="str">
        <f t="shared" si="59"/>
        <v xml:space="preserve"> - </v>
      </c>
      <c r="IA137" s="409"/>
      <c r="IB137" s="411">
        <f>IF(IA137=0,0,IF($LB137=70%,VLOOKUP($HZ137,'Jan-2026 rates'!$L:$R,4,0),IF($LB137=65%,VLOOKUP($HZ137,'Jan-2026 rates'!$L:$R,4,0),IF($LB137=40%,VLOOKUP($HZ137,'Jan-2026 rates'!$L:$R,5,0),IF($LB137=30%,VLOOKUP($HZ137,'Jan-2026 rates'!$L:$R,6,0),IF($LB137=100%,VLOOKUP($HZ137,'Jan-2026 rates'!$L:$R,7,0),IF($LB137=60%,VLOOKUP($HZ137,'Jan-2026 rates'!$L:$S,8,0),IF($LB137=80%,VLOOKUP($HZ137,'Jan-2026 rates'!L:T,9,0),0))))))))</f>
        <v>0</v>
      </c>
      <c r="IC137" s="412"/>
      <c r="ID137" s="409"/>
      <c r="IE137" s="411">
        <f>IF(ID137=0,0,IF($LB137=70%,VLOOKUP($HZ137,'Jan-2026 rates'!$L:$R,4,0),IF($LB137=65%,VLOOKUP($HZ137,'Jan-2026 rates'!$L:$R,4,0),IF($LB137=40%,VLOOKUP($HZ137,'Jan-2026 rates'!$L:$R,5,0),IF($LB137=30%,VLOOKUP($HZ137,'Jan-2026 rates'!$L:$R,6,0),IF($LB137=100%,VLOOKUP($HZ137,'Jan-2026 rates'!$L:$R,7,0),IF($LB137=60%,VLOOKUP($HZ137,'Jan-2026 rates'!$L:$S,8,0),IF($LB137=80%,VLOOKUP($HZ137,'Jan-2026 rates'!L:T,9,0),0))))))))</f>
        <v>0</v>
      </c>
      <c r="IF137" s="412"/>
      <c r="IG137" s="413"/>
      <c r="IH137" s="412"/>
      <c r="II137" s="412"/>
      <c r="IJ137" s="412"/>
      <c r="IK137" s="412"/>
      <c r="IL137" s="412"/>
      <c r="IM137" s="412"/>
      <c r="IN137" s="409"/>
      <c r="IO137" s="398">
        <f>IF(IN137=0,0,IF(LEN(IF137)=11,_xlfn.XLOOKUP(IF137,'Dispensed Ink Rates'!C:C,'Dispensed Ink Rates'!CS:CS),VLOOKUP(IF137,'Jan-2026 rates'!$E:$F,2,0)))</f>
        <v>0</v>
      </c>
      <c r="IP137" s="409"/>
      <c r="IQ137" s="398">
        <f>IF(IP137=0,0,IF(LEN(IG137)=11,_xlfn.XLOOKUP(IG137,'Dispensed Ink Rates'!C:C,'Dispensed Ink Rates'!CS:CS),VLOOKUP(IG137,'Jan-2026 rates'!$E:$F,2,0)))</f>
        <v>0</v>
      </c>
      <c r="IR137" s="409"/>
      <c r="IS137" s="398">
        <f>IF(IR137=0,0,IF(LEN(IH137)=11,_xlfn.XLOOKUP(IH137,'Dispensed Ink Rates'!C:C,'Dispensed Ink Rates'!CS:CS),VLOOKUP(IH137,'Jan-2026 rates'!$E:$F,2,0)))</f>
        <v>0</v>
      </c>
      <c r="IT137" s="409"/>
      <c r="IU137" s="398">
        <f>IF(IT137=0,0,IF(LEN(II137)=11,_xlfn.XLOOKUP(II137,'Dispensed Ink Rates'!C:C,'Dispensed Ink Rates'!CS:CS),VLOOKUP(II137,'Jan-2026 rates'!$E:$F,2,0)))</f>
        <v>0</v>
      </c>
      <c r="IV137" s="409"/>
      <c r="IW137" s="398">
        <f>IF(IV137=0,0,IF(LEN(IJ137)=11,_xlfn.XLOOKUP(IJ137,'Dispensed Ink Rates'!C:C,'Dispensed Ink Rates'!CS:CS),VLOOKUP(IJ137,'Jan-2026 rates'!$E:$F,2,0)))</f>
        <v>0</v>
      </c>
      <c r="IX137" s="409"/>
      <c r="IY137" s="398">
        <f>IF(IX137=0,0,IF(LEN(IK137)=11,_xlfn.XLOOKUP(IK137,'Dispensed Ink Rates'!C:C,'Dispensed Ink Rates'!CS:CS),VLOOKUP(IK137,'Jan-2026 rates'!$E:$F,2,0)))</f>
        <v>0</v>
      </c>
      <c r="IZ137" s="409"/>
      <c r="JA137" s="398">
        <f>IF(IZ137=0,0,IF(LEN(IL137)=11,_xlfn.XLOOKUP(IL137,'Dispensed Ink Rates'!C:C,'Dispensed Ink Rates'!CS:CS),VLOOKUP(IL137,'Jan-2026 rates'!$E:$F,2,0)))</f>
        <v>0</v>
      </c>
      <c r="JB137" s="409"/>
      <c r="JC137" s="398">
        <f>IF(JB137=0,0,IF(LEN(IM137)=11,_xlfn.XLOOKUP(IM137,'Dispensed Ink Rates'!C:C,'Dispensed Ink Rates'!CS:CS),VLOOKUP(IM137,'Jan-2026 rates'!$E:$F,2,0)))</f>
        <v>0</v>
      </c>
      <c r="JD137" s="409"/>
      <c r="JE137" s="409"/>
      <c r="JF137" s="411">
        <f t="shared" si="100"/>
        <v>0</v>
      </c>
      <c r="JG137" s="411">
        <f t="shared" si="101"/>
        <v>0</v>
      </c>
      <c r="JH137" s="410">
        <f t="shared" si="102"/>
        <v>0</v>
      </c>
      <c r="JI137" s="405"/>
      <c r="JJ137" s="409"/>
      <c r="JK137" s="420" t="str">
        <f t="shared" si="60"/>
        <v xml:space="preserve"> - </v>
      </c>
      <c r="JL137" s="409"/>
      <c r="JM137" s="411">
        <f>IF(JL137=0,0,IF($LB137=70%,VLOOKUP($JK137,'Jan-2026 rates'!$L:$R,4,0),IF($LB137=65%,VLOOKUP($JK137,'Jan-2026 rates'!$L:$R,4,0),IF($LB137=40%,VLOOKUP($JK137,'Jan-2026 rates'!$L:$R,5,0),IF($LB137=30%,VLOOKUP($JK137,'Jan-2026 rates'!$L:$R,6,0),IF($LB137=100%,VLOOKUP($JK137,'Jan-2026 rates'!$L:$R,7,0),IF($LB137=60%,VLOOKUP($JK137,'Jan-2026 rates'!$L:$S,8,0),IF($LB137=80%,VLOOKUP($JK137,'Jan-2026 rates'!L:T,9,0),0))))))))</f>
        <v>0</v>
      </c>
      <c r="JN137" s="412"/>
      <c r="JO137" s="409"/>
      <c r="JP137" s="411">
        <f>IF(JO137=0,0,IF($LB137=70%,VLOOKUP($JK137,'Jan-2026 rates'!$L:$R,4,0),IF($LB137=65%,VLOOKUP($JK137,'Jan-2026 rates'!$L:$R,4,0),IF($LB137=40%,VLOOKUP($JK137,'Jan-2026 rates'!$L:$R,5,0),IF($LB137=30%,VLOOKUP($JK137,'Jan-2026 rates'!$L:$R,6,0),IF($LB137=100%,VLOOKUP($JK137,'Jan-2026 rates'!$L:$R,7,0),IF($LB137=60%,VLOOKUP($JK137,'Jan-2026 rates'!$L:$S,8,0),IF($LB137=80%,VLOOKUP($JK137,'Jan-2026 rates'!L:T,9,0),0))))))))</f>
        <v>0</v>
      </c>
      <c r="JQ137" s="413"/>
      <c r="JR137" s="412"/>
      <c r="JS137" s="413"/>
      <c r="JT137" s="413"/>
      <c r="JU137" s="412"/>
      <c r="JV137" s="412"/>
      <c r="JW137" s="412"/>
      <c r="JX137" s="412"/>
      <c r="JY137" s="409"/>
      <c r="JZ137" s="398">
        <f>IF(JY137=0,0,IF(LEN(JQ137)=11,_xlfn.XLOOKUP(JQ137,'Dispensed Ink Rates'!C:C,'Dispensed Ink Rates'!CS:CS),VLOOKUP(JQ137,'Jan-2026 rates'!$E:$F,2,0)))</f>
        <v>0</v>
      </c>
      <c r="KA137" s="409"/>
      <c r="KB137" s="398">
        <f>IF(KA137=0,0,IF(LEN(JR137)=11,_xlfn.XLOOKUP(JR137,'Dispensed Ink Rates'!C:C,'Dispensed Ink Rates'!CS:CS),VLOOKUP(JR137,'Jan-2026 rates'!$E:$F,2,0)))</f>
        <v>0</v>
      </c>
      <c r="KC137" s="409"/>
      <c r="KD137" s="398">
        <f>IF(KC137=0,0,IF(LEN(JS137)=11,_xlfn.XLOOKUP(JS137,'Dispensed Ink Rates'!C:C,'Dispensed Ink Rates'!CS:CS),VLOOKUP(JS137,'Jan-2026 rates'!$E:$F,2,0)))</f>
        <v>0</v>
      </c>
      <c r="KE137" s="409"/>
      <c r="KF137" s="398">
        <f>IF(KE137=0,0,IF(LEN(JT137)=11,_xlfn.XLOOKUP(JT137,'Dispensed Ink Rates'!C:C,'Dispensed Ink Rates'!CS:CS),VLOOKUP(JT137,'Jan-2026 rates'!$E:$F,2,0)))</f>
        <v>0</v>
      </c>
      <c r="KG137" s="409"/>
      <c r="KH137" s="398">
        <f>IF(KG137=0,0,IF(LEN(JU137)=11,_xlfn.XLOOKUP(JU137,'Dispensed Ink Rates'!C:C,'Dispensed Ink Rates'!CS:CS),VLOOKUP(JU137,'Jan-2026 rates'!$E:$F,2,0)))</f>
        <v>0</v>
      </c>
      <c r="KI137" s="409"/>
      <c r="KJ137" s="398">
        <f>IF(KI137=0,0,IF(LEN(JV137)=11,_xlfn.XLOOKUP(JV137,'Dispensed Ink Rates'!C:C,'Dispensed Ink Rates'!CS:CS),VLOOKUP(JV137,'Jan-2026 rates'!$E:$F,2,0)))</f>
        <v>0</v>
      </c>
      <c r="KK137" s="409"/>
      <c r="KL137" s="398">
        <f>IF(KK137=0,0,IF(LEN(JW137)=11,_xlfn.XLOOKUP(JW137,'Dispensed Ink Rates'!C:C,'Dispensed Ink Rates'!CS:CS),VLOOKUP(JW137,'Jan-2026 rates'!$E:$F,2,0)))</f>
        <v>0</v>
      </c>
      <c r="KM137" s="428"/>
      <c r="KN137" s="398">
        <f>IF(KM137=0,0,IF(LEN(JX137)=11,_xlfn.XLOOKUP(JX137,'Dispensed Ink Rates'!C:C,'Dispensed Ink Rates'!CS:CS),VLOOKUP(JX137,'Jan-2026 rates'!$E:$F,2,0)))</f>
        <v>0</v>
      </c>
      <c r="KO137" s="409"/>
      <c r="KP137" s="409"/>
      <c r="KQ137" s="411">
        <f t="shared" si="103"/>
        <v>0</v>
      </c>
      <c r="KR137" s="411">
        <f t="shared" si="104"/>
        <v>0</v>
      </c>
      <c r="KS137" s="410">
        <f t="shared" si="105"/>
        <v>0</v>
      </c>
      <c r="KT137" s="409">
        <v>2</v>
      </c>
      <c r="KU137" s="409">
        <v>0</v>
      </c>
      <c r="KV137" s="409">
        <v>0</v>
      </c>
      <c r="KW137" s="409">
        <v>0</v>
      </c>
      <c r="KX137" s="409">
        <v>0</v>
      </c>
      <c r="KY137" s="409">
        <v>0</v>
      </c>
      <c r="KZ137" s="409">
        <v>0</v>
      </c>
      <c r="LA137" s="409">
        <v>0</v>
      </c>
      <c r="LB137" s="415">
        <v>0.8</v>
      </c>
      <c r="LC137" s="415">
        <v>0.2</v>
      </c>
      <c r="LD137" s="415"/>
      <c r="LE137" s="415"/>
      <c r="LF137" s="415"/>
      <c r="LG137" s="409">
        <v>0</v>
      </c>
      <c r="LH137" s="409">
        <f>5+5+8+2</f>
        <v>20</v>
      </c>
      <c r="LI137" s="409">
        <v>0</v>
      </c>
      <c r="LJ137" s="409">
        <v>0</v>
      </c>
      <c r="LK137" s="416">
        <f t="shared" si="61"/>
        <v>20</v>
      </c>
      <c r="LL137" s="416">
        <f t="shared" si="62"/>
        <v>20</v>
      </c>
      <c r="LM137" s="417">
        <f t="shared" si="63"/>
        <v>16</v>
      </c>
      <c r="LN137" s="417">
        <f>VLOOKUP($LM$8,'Jan-2026 rates'!$H:$I,2,0)</f>
        <v>0</v>
      </c>
      <c r="LO137" s="417">
        <f t="shared" si="64"/>
        <v>4</v>
      </c>
      <c r="LP137" s="417">
        <f>VLOOKUP($LO$8,'Jan-2026 rates'!$H:$I,2,0)</f>
        <v>0</v>
      </c>
      <c r="LQ137" s="417">
        <f t="shared" si="65"/>
        <v>0</v>
      </c>
      <c r="LR137" s="417">
        <f>VLOOKUP($LQ$8,'Jan-2026 rates'!$H:$I,2,0)</f>
        <v>0</v>
      </c>
      <c r="LS137" s="417">
        <f t="shared" si="66"/>
        <v>0</v>
      </c>
      <c r="LT137" s="417">
        <f>VLOOKUP($LS$8,'Jan-2026 rates'!$H:$I,2,0)</f>
        <v>0</v>
      </c>
      <c r="LU137" s="417">
        <f t="shared" si="67"/>
        <v>0</v>
      </c>
      <c r="LV137" s="417">
        <f>VLOOKUP($LU$8,'Jan-2026 rates'!$H:$I,2,0)</f>
        <v>0</v>
      </c>
      <c r="LW137" s="417">
        <f t="shared" si="68"/>
        <v>0</v>
      </c>
      <c r="LX137" s="417">
        <f t="shared" si="69"/>
        <v>0</v>
      </c>
      <c r="LY137" s="418">
        <f t="shared" si="70"/>
        <v>0</v>
      </c>
      <c r="LZ137" s="417"/>
      <c r="MA137" s="435">
        <f t="shared" si="71"/>
        <v>10</v>
      </c>
      <c r="MB137" s="282">
        <f t="shared" si="72"/>
        <v>38</v>
      </c>
      <c r="MC137" s="283">
        <v>92</v>
      </c>
      <c r="MD137" s="284" t="str">
        <f t="shared" si="73"/>
        <v>FLINTSL</v>
      </c>
      <c r="ME137" s="293" t="str">
        <f t="shared" si="74"/>
        <v>+</v>
      </c>
      <c r="MF137" s="293" t="str">
        <f t="shared" si="75"/>
        <v>NIL</v>
      </c>
      <c r="MG137" s="293" t="str">
        <f t="shared" si="76"/>
        <v>NIL</v>
      </c>
      <c r="MH137" s="293" t="str">
        <f t="shared" si="77"/>
        <v>NIL</v>
      </c>
      <c r="MI137" s="293" t="str">
        <f t="shared" si="78"/>
        <v>NIL</v>
      </c>
      <c r="MJ137" s="293" t="str">
        <f t="shared" si="79"/>
        <v>NIL</v>
      </c>
      <c r="MK137" s="293" t="str">
        <f t="shared" si="80"/>
        <v>NIL</v>
      </c>
      <c r="ML137" s="293" t="str">
        <f t="shared" si="81"/>
        <v>NIL</v>
      </c>
      <c r="MM137" s="3" t="b">
        <f t="array" ref="MM137">OR(ME137:ML137="-")</f>
        <v>0</v>
      </c>
      <c r="MN137" s="285"/>
      <c r="MO137" s="401"/>
      <c r="MP137" s="286"/>
      <c r="MQ137" s="286"/>
      <c r="MR137" s="402"/>
      <c r="MS137" s="400"/>
      <c r="NH137" s="422"/>
      <c r="NJ137" s="421"/>
    </row>
    <row r="138" spans="1:374" s="1" customFormat="1" ht="16.5">
      <c r="A138" s="403">
        <v>46035</v>
      </c>
      <c r="B138" s="404" t="s">
        <v>1018</v>
      </c>
      <c r="C138" s="405" t="s">
        <v>3391</v>
      </c>
      <c r="D138" s="406">
        <v>93</v>
      </c>
      <c r="E138" s="404">
        <v>956</v>
      </c>
      <c r="F138" s="407">
        <v>50400</v>
      </c>
      <c r="G138" s="407" t="s">
        <v>1019</v>
      </c>
      <c r="H138" s="408" t="s">
        <v>1017</v>
      </c>
      <c r="I138" s="409">
        <v>1.31</v>
      </c>
      <c r="J138" s="405" t="s">
        <v>543</v>
      </c>
      <c r="K138" s="404" t="s">
        <v>3392</v>
      </c>
      <c r="L138" s="419" t="str">
        <f t="shared" si="54"/>
        <v>FLINTSL - BLACK</v>
      </c>
      <c r="M138" s="404">
        <v>24</v>
      </c>
      <c r="N138" s="410">
        <f>IF(M138=0,0,IF($LB138=70%,VLOOKUP($L138,'Jan-2026 rates'!$L:$R,4,0),IF($LB138=65%,VLOOKUP($L138,'Jan-2026 rates'!$L:$R,4,0),IF($LB138=40%,VLOOKUP($L138,'Jan-2026 rates'!$L:$R,5,0),IF($LB138=30%,VLOOKUP($L138,'Jan-2026 rates'!$L:$R,6,0),IF($LB138=100%,VLOOKUP($L138,'Jan-2026 rates'!$L:$R,7,0),IF($LB138=60%,VLOOKUP($L138,'Jan-2026 rates'!$L:$S,8,0),IF($LB138=80%,VLOOKUP($L138,'Jan-2026 rates'!L:T,9,0),0))))))))</f>
        <v>0</v>
      </c>
      <c r="O138" s="406"/>
      <c r="P138" s="404"/>
      <c r="Q138" s="410">
        <f>IF(P138=0,0,IF($LB138=70%,VLOOKUP($L138,'Jan-2026 rates'!$L:$R,4,0),IF($LB138=65%,VLOOKUP($L138,'Jan-2026 rates'!$L:$R,4,0),IF($LB138=40%,VLOOKUP($L138,'Jan-2026 rates'!$L:$R,5,0),IF($LB138=30%,VLOOKUP($L138,'Jan-2026 rates'!$L:$R,6,0),IF($LB138=100%,VLOOKUP($L138,'Jan-2026 rates'!$L:$R,7,0),IF($LB138=60%,VLOOKUP($L138,'Jan-2026 rates'!$L:$S,8,0),IF($LB138=80%,VLOOKUP($L138,'Jan-2026 rates'!L:T,9,0),0))))))))</f>
        <v>0</v>
      </c>
      <c r="R138" s="406" t="s">
        <v>1266</v>
      </c>
      <c r="S138" s="406"/>
      <c r="T138" s="406"/>
      <c r="U138" s="406"/>
      <c r="V138" s="406"/>
      <c r="W138" s="406"/>
      <c r="X138" s="406"/>
      <c r="Y138" s="406"/>
      <c r="Z138" s="404">
        <v>3</v>
      </c>
      <c r="AA138" s="398">
        <f>IF(Z138=0,0,IF(LEN(R138)=11,_xlfn.XLOOKUP(R138,'Dispensed Ink Rates'!C:C,'Dispensed Ink Rates'!CS:CS),VLOOKUP(R138,'Jan-2026 rates'!$E:$F,2,0)))</f>
        <v>0</v>
      </c>
      <c r="AB138" s="404"/>
      <c r="AC138" s="398">
        <f>IF(AB138=0,0,IF(LEN(S138)=11,_xlfn.XLOOKUP(S138,'Dispensed Ink Rates'!C:C,'Dispensed Ink Rates'!CS:CS),VLOOKUP(S138,'Jan-2026 rates'!$E:$F,2,0)))</f>
        <v>0</v>
      </c>
      <c r="AD138" s="404"/>
      <c r="AE138" s="398">
        <f>IF(AD138=0,0,IF(LEN(T138)=11,_xlfn.XLOOKUP(T138,'Dispensed Ink Rates'!C:C,'Dispensed Ink Rates'!CS:CS),VLOOKUP(T138,'Jan-2026 rates'!$E:$F,2,0)))</f>
        <v>0</v>
      </c>
      <c r="AF138" s="404"/>
      <c r="AG138" s="398">
        <f>IF(AF138=0,0,IF(LEN(U138)=11,_xlfn.XLOOKUP(U138,'Dispensed Ink Rates'!C:C,'Dispensed Ink Rates'!CS:CS),VLOOKUP(U138,'Jan-2026 rates'!$E:$F,2,0)))</f>
        <v>0</v>
      </c>
      <c r="AH138" s="404"/>
      <c r="AI138" s="398">
        <f>IF(AH138=0,0,IF(LEN(V138)=11,_xlfn.XLOOKUP(V138,'Dispensed Ink Rates'!C:C,'Dispensed Ink Rates'!CS:CS),VLOOKUP(V138,'Jan-2026 rates'!$E:$F,2,0)))</f>
        <v>0</v>
      </c>
      <c r="AJ138" s="404"/>
      <c r="AK138" s="398">
        <f>IF(AJ138=0,0,IF(LEN(W138)=11,_xlfn.XLOOKUP(W138,'Dispensed Ink Rates'!C:C,'Dispensed Ink Rates'!CS:CS),VLOOKUP(W138,'Jan-2026 rates'!$E:$F,2,0)))</f>
        <v>0</v>
      </c>
      <c r="AL138" s="404"/>
      <c r="AM138" s="398">
        <f>IF(AL138=0,0,IF(LEN(X138)=11,_xlfn.XLOOKUP(X138,'Dispensed Ink Rates'!C:C,'Dispensed Ink Rates'!CS:CS),VLOOKUP(X138,'Jan-2026 rates'!$E:$F,2,0)))</f>
        <v>0</v>
      </c>
      <c r="AN138" s="404"/>
      <c r="AO138" s="398">
        <f>IF(AN138=0,0,IF(LEN(Y138)=11,_xlfn.XLOOKUP(Y138,'Dispensed Ink Rates'!C:C,'Dispensed Ink Rates'!CS:CS),VLOOKUP(Y138,'Jan-2026 rates'!$E:$F,2,0)))</f>
        <v>0</v>
      </c>
      <c r="AP138" s="409" t="s">
        <v>1443</v>
      </c>
      <c r="AQ138" s="409">
        <v>28</v>
      </c>
      <c r="AR138" s="410">
        <f t="shared" ref="AR138:AR201" si="106">IFERROR(IF(AS138&lt;=0,0,(M138*N138+P138*Q138+Z138*AA138+AB138*AC138+AD138*AE138+AF138*AG138+AH138*AI138+AJ138*AK138+AL138*AM138+AN138*AO138+(KT138/SUM(KT138:LA138)*LL138)*LX138)/(M138+P138+Z138+AB138+AD138+AF138+AH138+AJ138+AL138+AN138+(KT138/SUM(KT138:LA138)*LL138))),0)</f>
        <v>0</v>
      </c>
      <c r="AS138" s="411">
        <f t="shared" ref="AS138:AS201" si="107">IFERROR((M138+P138+Z138+AB138+AD138+AF138+AH138+AJ138+AL138+AN138+(KT138/SUM(KT138:LA138)*LL138)-AQ138),0)</f>
        <v>6.2887323943661997</v>
      </c>
      <c r="AT138" s="410">
        <f t="shared" ref="AT138:AT201" si="108">IFERROR(IF(AS138&lt;=0,0,(M138*N138+P138*Q138+Z138*AA138+AB138*AC138+AD138*AE138+AF138*AG138+AH138*AI138+AJ138*AK138+AL138*AM138+AN138*AO138-AQ138*AR138+(KT138/SUM(KT138:LA138)*LL138)*LX138)),0)</f>
        <v>0</v>
      </c>
      <c r="AU138" s="405" t="s">
        <v>546</v>
      </c>
      <c r="AV138" s="409" t="s">
        <v>3375</v>
      </c>
      <c r="AW138" s="420" t="str">
        <f t="shared" si="53"/>
        <v>FLINTSL - REFLEX BLUE</v>
      </c>
      <c r="AX138" s="409">
        <v>25</v>
      </c>
      <c r="AY138" s="411">
        <f>IF(AX138=0,0,IF($LB138=70%,VLOOKUP($AW138,'Jan-2026 rates'!$L:$R,4,0),IF($LB138=65%,VLOOKUP($AW138,'Jan-2026 rates'!$L:$R,4,0),IF($LB138=40%,VLOOKUP($AW138,'Jan-2026 rates'!$L:$R,5,0),IF($LB138=30%,VLOOKUP($AW138,'Jan-2026 rates'!$L:$R,6,0),IF($LB138=100%,VLOOKUP($AW138,'Jan-2026 rates'!$L:$R,7,0),IF($LB138=60%,VLOOKUP($AW138,'Jan-2026 rates'!$L:$S,8,0),IF($LB138=80%,VLOOKUP($AW138,'Jan-2026 rates'!L:T,9,0),0))))))))</f>
        <v>0</v>
      </c>
      <c r="AZ138" s="412"/>
      <c r="BA138" s="409"/>
      <c r="BB138" s="411">
        <f>IF(BA138=0,0,IF($LB138=70%,VLOOKUP($AW138,'Jan-2026 rates'!$L:$R,4,0),IF($LB138=65%,VLOOKUP($AW138,'Jan-2026 rates'!$L:$R,4,0),IF($LB138=40%,VLOOKUP($AW138,'Jan-2026 rates'!$L:$R,5,0),IF($LB138=30%,VLOOKUP($AW138,'Jan-2026 rates'!$L:$R,6,0),IF($LB138=100%,VLOOKUP($AW138,'Jan-2026 rates'!$L:$R,7,0),IF($LB138=60%,VLOOKUP($AW138,'Jan-2026 rates'!$L:$S,8,0),IF($LB138=80%,VLOOKUP($AW138,'Jan-2026 rates'!L:T,9,0),0))))))))</f>
        <v>0</v>
      </c>
      <c r="BC138" s="413">
        <v>26512000002</v>
      </c>
      <c r="BD138" s="412">
        <v>26513000011</v>
      </c>
      <c r="BE138" s="412"/>
      <c r="BF138" s="413"/>
      <c r="BG138" s="412"/>
      <c r="BH138" s="412"/>
      <c r="BI138" s="412"/>
      <c r="BJ138" s="412"/>
      <c r="BK138" s="409">
        <v>3</v>
      </c>
      <c r="BL138" s="398" t="e">
        <f>IF(BK138=0,0,IF(LEN(BC138)=11,_xlfn.XLOOKUP(BC138,'Dispensed Ink Rates'!C:C,'Dispensed Ink Rates'!CS:CS),VLOOKUP(BC138,'Jan-2026 rates'!$E:$F,2,0)))</f>
        <v>#N/A</v>
      </c>
      <c r="BM138" s="409">
        <v>4</v>
      </c>
      <c r="BN138" s="398" t="e">
        <f>IF(BM138=0,0,IF(LEN(BD138)=11,_xlfn.XLOOKUP(BD138,'Dispensed Ink Rates'!C:C,'Dispensed Ink Rates'!CS:CS),VLOOKUP(BD138,'Jan-2026 rates'!$E:$F,2,0)))</f>
        <v>#N/A</v>
      </c>
      <c r="BO138" s="409"/>
      <c r="BP138" s="398">
        <f>IF(BO138=0,0,IF(LEN(BE138)=11,_xlfn.XLOOKUP(BE138,'Dispensed Ink Rates'!C:C,'Dispensed Ink Rates'!CS:CS),VLOOKUP(BE138,'Jan-2026 rates'!$E:$F,2,0)))</f>
        <v>0</v>
      </c>
      <c r="BQ138" s="409"/>
      <c r="BR138" s="398">
        <f>IF(BQ138=0,0,IF(LEN(BF138)=11,_xlfn.XLOOKUP(BF138,'Dispensed Ink Rates'!C:C,'Dispensed Ink Rates'!CS:CS),VLOOKUP(BF138,'Jan-2026 rates'!$E:$F,2,0)))</f>
        <v>0</v>
      </c>
      <c r="BS138" s="409"/>
      <c r="BT138" s="398">
        <f>IF(BS138=0,0,IF(LEN(BG138)=11,_xlfn.XLOOKUP(BG138,'Dispensed Ink Rates'!C:C,'Dispensed Ink Rates'!CS:CS),VLOOKUP(BG138,'Jan-2026 rates'!$E:$F,2,0)))</f>
        <v>0</v>
      </c>
      <c r="BU138" s="409"/>
      <c r="BV138" s="398">
        <f>IF(BU138=0,0,IF(LEN(BH138)=11,_xlfn.XLOOKUP(BH138,'Dispensed Ink Rates'!C:C,'Dispensed Ink Rates'!CS:CS),VLOOKUP(BH138,'Jan-2026 rates'!$E:$F,2,0)))</f>
        <v>0</v>
      </c>
      <c r="BW138" s="409"/>
      <c r="BX138" s="398">
        <f>IF(BW138=0,0,IF(LEN(BI138)=11,_xlfn.XLOOKUP(BI138,'Dispensed Ink Rates'!C:C,'Dispensed Ink Rates'!CS:CS),VLOOKUP(BI138,'Jan-2026 rates'!$E:$F,2,0)))</f>
        <v>0</v>
      </c>
      <c r="BY138" s="409"/>
      <c r="BZ138" s="398">
        <f>IF(BY138=0,0,IF(LEN(BJ138)=11,_xlfn.XLOOKUP(BJ138,'Dispensed Ink Rates'!C:C,'Dispensed Ink Rates'!CS:CS),VLOOKUP(BJ138,'Jan-2026 rates'!$E:$F,2,0)))</f>
        <v>0</v>
      </c>
      <c r="CA138" s="409" t="s">
        <v>1443</v>
      </c>
      <c r="CB138" s="409">
        <v>32</v>
      </c>
      <c r="CC138" s="411">
        <f t="shared" ref="CC138:CC201" si="109">IFERROR(IF(CD138&lt;=0,0,(AX138*AY138+BA138*BB138+BK138*BL138+BM138*BN138+BO138*BP138+BQ138*BR138+BS138*BT138+BU138*BV138+BW138*BX138+BY138*BZ138+(KU138/SUM(KT138:LA138)*LL138)*LX138)/(AX138+BA138+BK138+BM138+BO138+BQ138+BS138+BU138+BW138+BY138+(KU138/SUM(KT138:LA138)*LL138))),0)</f>
        <v>0</v>
      </c>
      <c r="CD138" s="411">
        <f t="shared" ref="CD138:CD201" si="110">IFERROR((AX138+BA138+BK138+BM138+BO138+BQ138+BS138+BU138+BW138+BY138+(KU138/SUM(KT138:LA138)*LL138)-CB138),0)</f>
        <v>12.147887323943664</v>
      </c>
      <c r="CE138" s="410">
        <f t="shared" ref="CE138:CE201" si="111">IFERROR(IF(CD138&lt;=0,0,(AX138*AY138+BA138*BB138+BK138*BL138+BM138*BN138+BO138*BP138+BQ138*BR138+BS138*BT138+BU138*BV138+BW138*BX138+BY138*BZ138-CB138*CC138+(KU138/SUM(KT138:LA138)*LL138)*LX138)),0)</f>
        <v>0</v>
      </c>
      <c r="CF138" s="404" t="s">
        <v>857</v>
      </c>
      <c r="CG138" s="409" t="s">
        <v>3393</v>
      </c>
      <c r="CH138" s="420" t="str">
        <f t="shared" si="55"/>
        <v>FLINTSL - RED</v>
      </c>
      <c r="CI138" s="409">
        <v>25</v>
      </c>
      <c r="CJ138" s="411">
        <f>IF(CI138=0,0,IF($LB138=70%,VLOOKUP($CH138,'Jan-2026 rates'!$L:$R,4,0),IF($LB138=65%,VLOOKUP($CH138,'Jan-2026 rates'!$L:$R,4,0),IF($LB138=40%,VLOOKUP($CH138,'Jan-2026 rates'!$L:$R,5,0),IF($LB138=30%,VLOOKUP($CH138,'Jan-2026 rates'!$L:$R,6,0),IF($LB138=100%,VLOOKUP($CH138,'Jan-2026 rates'!$L:$R,7,0),IF($LB138=60%,VLOOKUP($CH138,'Jan-2026 rates'!$L:$S,8,0),IF($LB138=80%,VLOOKUP($CH138,'Jan-2026 rates'!L:T,9,0),0))))))))</f>
        <v>0</v>
      </c>
      <c r="CK138" s="412"/>
      <c r="CL138" s="409"/>
      <c r="CM138" s="411">
        <f>IF(CL138=0,0,IF($LB138=70%,VLOOKUP($CH138,'Jan-2026 rates'!$L:$R,4,0),IF($LB138=65%,VLOOKUP($CH138,'Jan-2026 rates'!$L:$R,4,0),IF($LB138=40%,VLOOKUP($CH138,'Jan-2026 rates'!$L:$R,5,0),IF($LB138=30%,VLOOKUP($CH138,'Jan-2026 rates'!$L:$R,6,0),IF($LB138=100%,VLOOKUP($CH138,'Jan-2026 rates'!$L:$R,7,0),IF($LB138=60%,VLOOKUP($CH138,'Jan-2026 rates'!$L:$S,8,0),IF($LB138=80%,VLOOKUP($CH138,'Jan-2026 rates'!L:T,9,0),0))))))))</f>
        <v>0</v>
      </c>
      <c r="CN138" s="426">
        <v>26513000020</v>
      </c>
      <c r="CO138" s="427">
        <v>26513000023</v>
      </c>
      <c r="CP138" s="426">
        <v>26507000025</v>
      </c>
      <c r="CQ138" s="426"/>
      <c r="CR138" s="428"/>
      <c r="CS138" s="428"/>
      <c r="CT138" s="428"/>
      <c r="CU138" s="428"/>
      <c r="CV138" s="409">
        <v>2</v>
      </c>
      <c r="CW138" s="398" t="e">
        <f>IF(CV138=0,0,IF(LEN(CN138)=11,_xlfn.XLOOKUP(CN138,'Dispensed Ink Rates'!C:C,'Dispensed Ink Rates'!CS:CS),VLOOKUP(CN138,'Jan-2026 rates'!$E:$F,2,0)))</f>
        <v>#N/A</v>
      </c>
      <c r="CX138" s="409">
        <v>2</v>
      </c>
      <c r="CY138" s="398" t="e">
        <f>IF(CX138=0,0,IF(LEN(CO138)=11,_xlfn.XLOOKUP(CO138,'Dispensed Ink Rates'!C:C,'Dispensed Ink Rates'!CS:CS),VLOOKUP(CO138,'Jan-2026 rates'!$E:$F,2,0)))</f>
        <v>#N/A</v>
      </c>
      <c r="CZ138" s="409">
        <v>0.1</v>
      </c>
      <c r="DA138" s="398" t="e">
        <f>IF(CZ138=0,0,IF(LEN(CP138)=11,_xlfn.XLOOKUP(CP138,'Dispensed Ink Rates'!C:C,'Dispensed Ink Rates'!CS:CS),VLOOKUP(CP138,'Jan-2026 rates'!$E:$F,2,0)))</f>
        <v>#N/A</v>
      </c>
      <c r="DB138" s="409"/>
      <c r="DC138" s="398">
        <f>IF(DB138=0,0,IF(LEN(CQ138)=11,_xlfn.XLOOKUP(CQ138,'Dispensed Ink Rates'!C:C,'Dispensed Ink Rates'!CS:CS),VLOOKUP(CQ138,'Jan-2026 rates'!$E:$F,2,0)))</f>
        <v>0</v>
      </c>
      <c r="DD138" s="409"/>
      <c r="DE138" s="398">
        <f>IF(DD138=0,0,IF(LEN(CR138)=11,_xlfn.XLOOKUP(CR138,'Dispensed Ink Rates'!C:C,'Dispensed Ink Rates'!CS:CS),VLOOKUP(CR138,'Jan-2026 rates'!$E:$F,2,0)))</f>
        <v>0</v>
      </c>
      <c r="DF138" s="409"/>
      <c r="DG138" s="398">
        <f>IF(DF138=0,0,IF(LEN(CS138)=11,_xlfn.XLOOKUP(CS138,'Dispensed Ink Rates'!C:C,'Dispensed Ink Rates'!CS:CS),VLOOKUP(CS138,'Jan-2026 rates'!$E:$F,2,0)))</f>
        <v>0</v>
      </c>
      <c r="DH138" s="409"/>
      <c r="DI138" s="398">
        <f>IF(DH138=0,0,IF(LEN(CT138)=11,_xlfn.XLOOKUP(CT138,'Dispensed Ink Rates'!C:C,'Dispensed Ink Rates'!CS:CS),VLOOKUP(CT138,'Jan-2026 rates'!$E:$F,2,0)))</f>
        <v>0</v>
      </c>
      <c r="DJ138" s="409"/>
      <c r="DK138" s="398">
        <f>IF(DJ138=0,0,IF(LEN(CU138)=11,_xlfn.XLOOKUP(CU138,'Dispensed Ink Rates'!C:C,'Dispensed Ink Rates'!CS:CS),VLOOKUP(CU138,'Jan-2026 rates'!$E:$F,2,0)))</f>
        <v>0</v>
      </c>
      <c r="DL138" s="409" t="s">
        <v>1443</v>
      </c>
      <c r="DM138" s="409">
        <v>24</v>
      </c>
      <c r="DN138" s="411">
        <f t="shared" ref="DN138:DN201" si="112">IFERROR(IF(DO138&lt;=0,0,(CI138*CJ138+CL138*CM138+CV138*CW138+CX138*CY138+CZ138*DA138+DB138*DC138+DD138*DE138+DF138*DG138+DH138*DI138+DJ138*DK138+(KV138/SUM(KT138:LA138)*LL138)*LX138)/(CI138+CL138+CV138+CX138+CZ138+DB138+DD138+DF138+DH138+DJ138+(KV138/SUM(KT138:LA138)*LL138))),0)</f>
        <v>0</v>
      </c>
      <c r="DO138" s="411">
        <f t="shared" ref="DO138:DO201" si="113">IFERROR((CI138+CL138+CV138+CX138+CZ138+DB138+DD138+DF138+DH138+DJ138+(KV138/SUM(KT138:LA138)*LL138)-DM138),0)</f>
        <v>14.81830985915493</v>
      </c>
      <c r="DP138" s="410">
        <f t="shared" ref="DP138:DP201" si="114">IFERROR(IF(DO138&lt;=0,0,(CI138*CJ138+CL138*CM138+CV138*CW138+CX138*CY138+CZ138*DA138+DB138*DC138+DD138*DE138+DF138*DG138+DH138*DI138+DJ138*DK138-DM138*DN138+(KV138/SUM(KT138:LA138)*LL138)*LX138)),0)</f>
        <v>0</v>
      </c>
      <c r="DQ138" s="405" t="s">
        <v>855</v>
      </c>
      <c r="DR138" s="409" t="s">
        <v>3394</v>
      </c>
      <c r="DS138" s="420" t="str">
        <f t="shared" si="56"/>
        <v>FLINTSL - CYAN</v>
      </c>
      <c r="DT138" s="409">
        <v>26</v>
      </c>
      <c r="DU138" s="411">
        <f>IF(DT138=0,0,IF($LB138=70%,VLOOKUP($DS138,'Jan-2026 rates'!$L:$R,4,0),IF($LB138=65%,VLOOKUP($DS138,'Jan-2026 rates'!$L:$R,4,0),IF($LB138=40%,VLOOKUP($DS138,'Jan-2026 rates'!$L:$R,5,0),IF($LB138=30%,VLOOKUP($DS138,'Jan-2026 rates'!$L:$R,6,0),IF($LB138=100%,VLOOKUP($DS138,'Jan-2026 rates'!$L:$R,7,0),IF($LB138=60%,VLOOKUP($DS138,'Jan-2026 rates'!$L:$S,8,0),IF($LB138=80%,VLOOKUP($DS138,'Jan-2026 rates'!L:T,9,0),0))))))))</f>
        <v>0</v>
      </c>
      <c r="DV138" s="412"/>
      <c r="DW138" s="409"/>
      <c r="DX138" s="411">
        <f>IF(DW138=0,0,IF($LB138=70%,VLOOKUP($DS138,'Jan-2026 rates'!$L:$R,4,0),IF($LB138=65%,VLOOKUP($DS138,'Jan-2026 rates'!$L:$R,4,0),IF($LB138=40%,VLOOKUP($DS138,'Jan-2026 rates'!$L:$R,5,0),IF($LB138=30%,VLOOKUP($DS138,'Jan-2026 rates'!$L:$R,6,0),IF($LB138=100%,VLOOKUP($DS138,'Jan-2026 rates'!$L:$R,7,0),IF($LB138=60%,VLOOKUP($DS138,'Jan-2026 rates'!$L:$S,8,0),IF($LB138=80%,VLOOKUP($DS138,'Jan-2026 rates'!L:T,9,0),0))))))))</f>
        <v>0</v>
      </c>
      <c r="DY138" s="413">
        <v>26514000004</v>
      </c>
      <c r="DZ138" s="413">
        <v>26510000009</v>
      </c>
      <c r="EA138" s="412">
        <v>26514000005</v>
      </c>
      <c r="EB138" s="412"/>
      <c r="EC138" s="412"/>
      <c r="ED138" s="412"/>
      <c r="EE138" s="412"/>
      <c r="EF138" s="412"/>
      <c r="EG138" s="409">
        <v>40</v>
      </c>
      <c r="EH138" s="398" t="e">
        <f>IF(EG138=0,0,IF(LEN(DY138)=11,_xlfn.XLOOKUP(DY138,'Dispensed Ink Rates'!C:C,'Dispensed Ink Rates'!CS:CS),VLOOKUP(DY138,'Jan-2026 rates'!$E:$F,2,0)))</f>
        <v>#N/A</v>
      </c>
      <c r="EI138" s="409">
        <v>9</v>
      </c>
      <c r="EJ138" s="398" t="e">
        <f>IF(EI138=0,0,IF(LEN(DZ138)=11,_xlfn.XLOOKUP(DZ138,'Dispensed Ink Rates'!C:C,'Dispensed Ink Rates'!CS:CS),VLOOKUP(DZ138,'Jan-2026 rates'!$E:$F,2,0)))</f>
        <v>#N/A</v>
      </c>
      <c r="EK138" s="409">
        <v>40</v>
      </c>
      <c r="EL138" s="398" t="e">
        <f>IF(EK138=0,0,IF(LEN(EA138)=11,_xlfn.XLOOKUP(EA138,'Dispensed Ink Rates'!C:C,'Dispensed Ink Rates'!CS:CS),VLOOKUP(EA138,'Jan-2026 rates'!$E:$F,2,0)))</f>
        <v>#N/A</v>
      </c>
      <c r="EM138" s="409"/>
      <c r="EN138" s="398">
        <f>IF(EM138=0,0,IF(LEN(EB138)=11,_xlfn.XLOOKUP(EB138,'Dispensed Ink Rates'!C:C,'Dispensed Ink Rates'!CS:CS),VLOOKUP(EB138,'Jan-2026 rates'!$E:$F,2,0)))</f>
        <v>0</v>
      </c>
      <c r="EO138" s="409"/>
      <c r="EP138" s="398">
        <f>IF(EO138=0,0,IF(LEN(EC138)=11,_xlfn.XLOOKUP(EC138,'Dispensed Ink Rates'!C:C,'Dispensed Ink Rates'!CS:CS),VLOOKUP(EC138,'Jan-2026 rates'!$E:$F,2,0)))</f>
        <v>0</v>
      </c>
      <c r="EQ138" s="409"/>
      <c r="ER138" s="398">
        <f>IF(EQ138=0,0,IF(LEN(ED138)=11,_xlfn.XLOOKUP(ED138,'Dispensed Ink Rates'!C:C,'Dispensed Ink Rates'!CS:CS),VLOOKUP(ED138,'Jan-2026 rates'!$E:$F,2,0)))</f>
        <v>0</v>
      </c>
      <c r="ES138" s="409"/>
      <c r="ET138" s="398">
        <f>IF(ES138=0,0,IF(LEN(EE138)=11,_xlfn.XLOOKUP(EE138,'Dispensed Ink Rates'!C:C,'Dispensed Ink Rates'!CS:CS),VLOOKUP(EE138,'Jan-2026 rates'!$E:$F,2,0)))</f>
        <v>0</v>
      </c>
      <c r="EU138" s="409"/>
      <c r="EV138" s="398">
        <f>IF(EU138=0,0,IF(LEN(EF138)=11,_xlfn.XLOOKUP(EF138,'Dispensed Ink Rates'!C:C,'Dispensed Ink Rates'!CS:CS),VLOOKUP(EF138,'Jan-2026 rates'!$E:$F,2,0)))</f>
        <v>0</v>
      </c>
      <c r="EW138" s="409" t="s">
        <v>1443</v>
      </c>
      <c r="EX138" s="409">
        <v>32</v>
      </c>
      <c r="EY138" s="411">
        <f t="shared" ref="EY138:EY201" si="115">IFERROR(IF(EZ138&lt;=0,0,(DT138*DU138+DW138*DX138+EG138*EH138+EI138*EJ138+EK138*EL138+EM138*EN138+EO138*EP138+EQ138*ER138+ES138*ET138+EU138*EV138+(KW138/SUM(KT138:LA138)*LL138)*LX138)/(DT138+DW138+EG138+EI138+EK138+EM138+EO138+EQ138+ES138+EU138+(KW138/SUM(KT138:LA138)*LL138))),0)</f>
        <v>0</v>
      </c>
      <c r="EZ138" s="411">
        <f t="shared" ref="EZ138:EZ201" si="116">IFERROR((DT138+DW138+EG138+EI138+EK138+EM138+EO138+EQ138+ES138+EU138+(KW138/SUM(KT138:LA138)*LL138)-EX138),0)</f>
        <v>95.147887323943664</v>
      </c>
      <c r="FA138" s="410">
        <f t="shared" ref="FA138:FA201" si="117">IFERROR(IF(EZ138&lt;=0,0,(DT138*DU138+DW138*DX138+EG138*EH138+EI138*EJ138+EK138*EL138+EM138*EN138+EO138*EP138+EQ138*ER138+ES138*ET138+EU138*EV138-EX138*EY138+(KW138/SUM(KT138:LA138)*LL138)*LX138)),0)</f>
        <v>0</v>
      </c>
      <c r="FB138" s="405" t="s">
        <v>544</v>
      </c>
      <c r="FC138" s="409" t="s">
        <v>3395</v>
      </c>
      <c r="FD138" s="420" t="str">
        <f t="shared" si="57"/>
        <v>FLINTSL - MAGENTA</v>
      </c>
      <c r="FE138" s="409">
        <v>24</v>
      </c>
      <c r="FF138" s="411">
        <f>IF(FE138=0,0,IF($LB138=70%,VLOOKUP($FD138,'Jan-2026 rates'!$L:$R,4,0),IF($LB138=65%,VLOOKUP($FD138,'Jan-2026 rates'!$L:$R,4,0),IF($LB138=40%,VLOOKUP($FD138,'Jan-2026 rates'!$L:$R,5,0),IF($LB138=30%,VLOOKUP($FD138,'Jan-2026 rates'!$L:$R,6,0),IF($LB138=100%,VLOOKUP($FD138,'Jan-2026 rates'!$L:$R,7,0),IF($LB138=60%,VLOOKUP($FD138,'Jan-2026 rates'!$L:$S,8,0),IF($LB138=80%,VLOOKUP($FD138,'Jan-2026 rates'!L:T,9,0),0))))))))</f>
        <v>0</v>
      </c>
      <c r="FG138" s="412"/>
      <c r="FH138" s="409"/>
      <c r="FI138" s="411">
        <f>IF(FH138=0,0,IF($LB138=70%,VLOOKUP($FD138,'Jan-2026 rates'!$L:$R,4,0),IF($LB138=65%,VLOOKUP($FD138,'Jan-2026 rates'!$L:$R,4,0),IF($LB138=40%,VLOOKUP($FD138,'Jan-2026 rates'!$L:$R,5,0),IF($LB138=30%,VLOOKUP($FD138,'Jan-2026 rates'!$L:$R,6,0),IF($LB138=100%,VLOOKUP($FD138,'Jan-2026 rates'!$L:$R,7,0),IF($LB138=60%,VLOOKUP($FD138,'Jan-2026 rates'!$L:$S,8,0),IF($LB138=80%,VLOOKUP($FD138,'Jan-2026 rates'!L:T,9,0),0))))))))</f>
        <v>0</v>
      </c>
      <c r="FJ138" s="413">
        <v>26513000023</v>
      </c>
      <c r="FK138" s="413"/>
      <c r="FL138" s="413"/>
      <c r="FM138" s="412"/>
      <c r="FN138" s="412"/>
      <c r="FO138" s="412"/>
      <c r="FP138" s="412"/>
      <c r="FQ138" s="412"/>
      <c r="FR138" s="409">
        <v>8</v>
      </c>
      <c r="FS138" s="398" t="e">
        <f>IF(FR138=0,0,IF(LEN(FJ138)=11,_xlfn.XLOOKUP(FJ138,'Dispensed Ink Rates'!C:C,'Dispensed Ink Rates'!CS:CS),VLOOKUP(FJ138,'Jan-2026 rates'!$E:$F,2,0)))</f>
        <v>#N/A</v>
      </c>
      <c r="FT138" s="409"/>
      <c r="FU138" s="398">
        <f>IF(FT138=0,0,IF(LEN(FK138)=11,_xlfn.XLOOKUP(FK138,'Dispensed Ink Rates'!C:C,'Dispensed Ink Rates'!CS:CS),VLOOKUP(FK138,'Jan-2026 rates'!$E:$F,2,0)))</f>
        <v>0</v>
      </c>
      <c r="FV138" s="409"/>
      <c r="FW138" s="398">
        <f>IF(FV138=0,0,IF(LEN(FL138)=11,_xlfn.XLOOKUP(FL138,'Dispensed Ink Rates'!C:C,'Dispensed Ink Rates'!CS:CS),VLOOKUP(FL138,'Jan-2026 rates'!$E:$F,2,0)))</f>
        <v>0</v>
      </c>
      <c r="FX138" s="409"/>
      <c r="FY138" s="398">
        <f>IF(FX138=0,0,IF(LEN(FM138)=11,_xlfn.XLOOKUP(FM138,'Dispensed Ink Rates'!C:C,'Dispensed Ink Rates'!CS:CS),VLOOKUP(FM138,'Jan-2026 rates'!$E:$F,2,0)))</f>
        <v>0</v>
      </c>
      <c r="FZ138" s="409"/>
      <c r="GA138" s="398">
        <f>IF(FZ138=0,0,IF(LEN(FN138)=11,_xlfn.XLOOKUP(FN138,'Dispensed Ink Rates'!C:C,'Dispensed Ink Rates'!CS:CS),VLOOKUP(FN138,'Jan-2026 rates'!$E:$F,2,0)))</f>
        <v>0</v>
      </c>
      <c r="GB138" s="409"/>
      <c r="GC138" s="398">
        <f>IF(GB138=0,0,IF(LEN(FO138)=11,_xlfn.XLOOKUP(FO138,'Dispensed Ink Rates'!C:C,'Dispensed Ink Rates'!CS:CS),VLOOKUP(FO138,'Jan-2026 rates'!$E:$F,2,0)))</f>
        <v>0</v>
      </c>
      <c r="GD138" s="409"/>
      <c r="GE138" s="398">
        <f>IF(GD138=0,0,IF(LEN(FP138)=11,_xlfn.XLOOKUP(FP138,'Dispensed Ink Rates'!C:C,'Dispensed Ink Rates'!CS:CS),VLOOKUP(FP138,'Jan-2026 rates'!$E:$F,2,0)))</f>
        <v>0</v>
      </c>
      <c r="GF138" s="409"/>
      <c r="GG138" s="398">
        <f>IF(GF138=0,0,IF(LEN(FQ138)=11,_xlfn.XLOOKUP(FQ138,'Dispensed Ink Rates'!C:C,'Dispensed Ink Rates'!CS:CS),VLOOKUP(FQ138,'Jan-2026 rates'!$E:$F,2,0)))</f>
        <v>0</v>
      </c>
      <c r="GH138" s="409" t="s">
        <v>1443</v>
      </c>
      <c r="GI138" s="409">
        <v>30</v>
      </c>
      <c r="GJ138" s="411">
        <f t="shared" ref="GJ138:GJ201" si="118">IFERROR(IF(GK138&lt;=0,0,(FE138*FF138+FH138*FI138+FR138*FS138+FT138*FU138+FV138*FW138+FX138*FY138+FZ138*GA138+GB138*GC138+GD138*GE138+GF138*GG138+(KX138/SUM(KT138:LA138)*LL138)*LX138)/(FE138+FH138+FR138+FT138+FV138+FX138+FZ138+GB138+GD138+GF138+(KX138/SUM(KT138:LA138)*LL138))),0)</f>
        <v>0</v>
      </c>
      <c r="GK138" s="411">
        <f t="shared" ref="GK138:GK201" si="119">IFERROR((FE138+FH138+FR138+FT138+FV138+FX138+FZ138+GB138+GD138+GF138+(KX138/SUM(KT138:LA138)*LL138)-GI138),0)</f>
        <v>6.8591549295774641</v>
      </c>
      <c r="GL138" s="410">
        <f t="shared" ref="GL138:GL201" si="120">IFERROR(IF(GK138&lt;=0,0,(FE138*FF138+FH138*FI138+FR138*FS138+FT138*FU138+FV138*FW138+FX138*FY138+FZ138*GA138+GB138*GC138+GD138*GE138+GF138*GG138-GI138*GJ138+(KX138/SUM(KT138:LA138)*LL138)*LX138)),0)</f>
        <v>0</v>
      </c>
      <c r="GM138" s="405" t="s">
        <v>545</v>
      </c>
      <c r="GN138" s="409" t="s">
        <v>3396</v>
      </c>
      <c r="GO138" s="420" t="str">
        <f t="shared" si="58"/>
        <v>FLINTSL - YELLOW</v>
      </c>
      <c r="GP138" s="409">
        <v>20</v>
      </c>
      <c r="GQ138" s="411">
        <f>IF(GP138=0,0,IF($LB138=70%,VLOOKUP($GO138,'Jan-2026 rates'!$L:$R,4,0),IF($LB138=65%,VLOOKUP($GO138,'Jan-2026 rates'!$L:$R,4,0),IF($LB138=40%,VLOOKUP($GO138,'Jan-2026 rates'!$L:$R,5,0),IF($LB138=30%,VLOOKUP($GO138,'Jan-2026 rates'!$L:$R,6,0),IF($LB138=100%,VLOOKUP($GO138,'Jan-2026 rates'!$L:$R,7,0),IF($LB138=60%,VLOOKUP($GO138,'Jan-2026 rates'!$L:$S,8,0),IF($LB138=80%,VLOOKUP($GO138,'Jan-2026 rates'!L:T,9,0),0))))))))</f>
        <v>0</v>
      </c>
      <c r="GR138" s="412"/>
      <c r="GS138" s="409"/>
      <c r="GT138" s="411">
        <f>IF(GS138=0,0,IF($LB138=70%,VLOOKUP($GO138,'Jan-2026 rates'!$L:$R,4,0),IF($LB138=65%,VLOOKUP($GO138,'Jan-2026 rates'!$L:$R,4,0),IF($LB138=40%,VLOOKUP($GO138,'Jan-2026 rates'!$L:$R,5,0),IF($LB138=30%,VLOOKUP($GO138,'Jan-2026 rates'!$L:$R,6,0),IF($LB138=100%,VLOOKUP($GO138,'Jan-2026 rates'!$L:$R,7,0),IF($LB138=60%,VLOOKUP($GO138,'Jan-2026 rates'!$L:$S,8,0),IF($LB138=80%,VLOOKUP($GO138,'Jan-2026 rates'!L:T,9,0),0))))))))</f>
        <v>0</v>
      </c>
      <c r="GU138" s="413">
        <v>26514000011</v>
      </c>
      <c r="GV138" s="413" t="s">
        <v>1266</v>
      </c>
      <c r="GW138" s="412"/>
      <c r="GX138" s="412"/>
      <c r="GY138" s="412"/>
      <c r="GZ138" s="412"/>
      <c r="HA138" s="412"/>
      <c r="HB138" s="412"/>
      <c r="HC138" s="409">
        <v>3</v>
      </c>
      <c r="HD138" s="398" t="e">
        <f>IF(HC138=0,0,IF(LEN(GU138)=11,_xlfn.XLOOKUP(GU138,'Dispensed Ink Rates'!C:C,'Dispensed Ink Rates'!CS:CS),VLOOKUP(GU138,'Jan-2026 rates'!$E:$F,2,0)))</f>
        <v>#N/A</v>
      </c>
      <c r="HE138" s="409">
        <v>1</v>
      </c>
      <c r="HF138" s="398">
        <f>IF(HE138=0,0,IF(LEN(GV138)=11,_xlfn.XLOOKUP(GV138,'Dispensed Ink Rates'!C:C,'Dispensed Ink Rates'!CS:CS),VLOOKUP(GV138,'Jan-2026 rates'!$E:$F,2,0)))</f>
        <v>0</v>
      </c>
      <c r="HG138" s="409"/>
      <c r="HH138" s="398">
        <f>IF(HG138=0,0,IF(LEN(GW138)=11,_xlfn.XLOOKUP(GW138,'Dispensed Ink Rates'!C:C,'Dispensed Ink Rates'!CS:CS),VLOOKUP(GW138,'Jan-2026 rates'!$E:$F,2,0)))</f>
        <v>0</v>
      </c>
      <c r="HI138" s="409"/>
      <c r="HJ138" s="398">
        <f>IF(HI138=0,0,IF(LEN(GX138)=11,_xlfn.XLOOKUP(GX138,'Dispensed Ink Rates'!C:C,'Dispensed Ink Rates'!CS:CS),VLOOKUP(GX138,'Jan-2026 rates'!$E:$F,2,0)))</f>
        <v>0</v>
      </c>
      <c r="HK138" s="409"/>
      <c r="HL138" s="398">
        <f>IF(HK138=0,0,IF(LEN(GY138)=11,_xlfn.XLOOKUP(GY138,'Dispensed Ink Rates'!C:C,'Dispensed Ink Rates'!CS:CS),VLOOKUP(GY138,'Jan-2026 rates'!$E:$F,2,0)))</f>
        <v>0</v>
      </c>
      <c r="HM138" s="409"/>
      <c r="HN138" s="398">
        <f>IF(HM138=0,0,IF(LEN(GZ138)=11,_xlfn.XLOOKUP(GZ138,'Dispensed Ink Rates'!C:C,'Dispensed Ink Rates'!CS:CS),VLOOKUP(GZ138,'Jan-2026 rates'!$E:$F,2,0)))</f>
        <v>0</v>
      </c>
      <c r="HO138" s="409"/>
      <c r="HP138" s="398">
        <f>IF(HO138=0,0,IF(LEN(HA138)=11,_xlfn.XLOOKUP(HA138,'Dispensed Ink Rates'!C:C,'Dispensed Ink Rates'!CS:CS),VLOOKUP(HA138,'Jan-2026 rates'!$E:$F,2,0)))</f>
        <v>0</v>
      </c>
      <c r="HQ138" s="409"/>
      <c r="HR138" s="398">
        <f>IF(HQ138=0,0,IF(LEN(HB138)=11,_xlfn.XLOOKUP(HB138,'Dispensed Ink Rates'!C:C,'Dispensed Ink Rates'!CS:CS),VLOOKUP(HB138,'Jan-2026 rates'!$E:$F,2,0)))</f>
        <v>0</v>
      </c>
      <c r="HS138" s="409" t="s">
        <v>1443</v>
      </c>
      <c r="HT138" s="409">
        <v>24</v>
      </c>
      <c r="HU138" s="411">
        <f t="shared" ref="HU138:HU201" si="121">IFERROR(IF(HV138&lt;=0,0,(GP138*GQ138+GS138*GT138+HC138*HD138+HE138*HF138+HG138*HH138+HI138*HJ138+HK138*HL138+HM138*HN138+HO138*HP138+HQ138*HR138+(KY138/SUM(KT138:LA138)*LL138)*LX138)/(GP138+GS138+HC138+HE138+HG138+HI138+HK138+HM138+HO138+HQ138+(KY138/SUM(KT138:LA138)*LL138))),0)</f>
        <v>0</v>
      </c>
      <c r="HV138" s="411">
        <f t="shared" ref="HV138:HV201" si="122">IFERROR((GP138+GS138+HC138+HE138+HG138+HI138+HK138+HM138+HO138+HQ138+(KY138/SUM(KT138:LA138)*LL138)-HT138),0)</f>
        <v>7.2887323943661961</v>
      </c>
      <c r="HW138" s="414">
        <f t="shared" ref="HW138:HW201" si="123">IFERROR(IF(HV138&lt;=0,0,(GP138*GQ138+GS138*GT138+HC138*HD138+HE138*HF138+HG138*HH138+HI138*HJ138+HK138*HL138+HM138*HN138+HO138*HP138+HQ138*HR138-HT138*HU138+(KY138/SUM(KT138:LA138)*LL138)*LX138)),0)</f>
        <v>0</v>
      </c>
      <c r="HX138" s="405" t="s">
        <v>856</v>
      </c>
      <c r="HY138" s="409" t="s">
        <v>3397</v>
      </c>
      <c r="HZ138" s="420" t="str">
        <f t="shared" si="59"/>
        <v>FLINTSL - WHITE</v>
      </c>
      <c r="IA138" s="409">
        <v>27</v>
      </c>
      <c r="IB138" s="411">
        <f>IF(IA138=0,0,IF($LB138=70%,VLOOKUP($HZ138,'Jan-2026 rates'!$L:$R,4,0),IF($LB138=65%,VLOOKUP($HZ138,'Jan-2026 rates'!$L:$R,4,0),IF($LB138=40%,VLOOKUP($HZ138,'Jan-2026 rates'!$L:$R,5,0),IF($LB138=30%,VLOOKUP($HZ138,'Jan-2026 rates'!$L:$R,6,0),IF($LB138=100%,VLOOKUP($HZ138,'Jan-2026 rates'!$L:$R,7,0),IF($LB138=60%,VLOOKUP($HZ138,'Jan-2026 rates'!$L:$S,8,0),IF($LB138=80%,VLOOKUP($HZ138,'Jan-2026 rates'!L:T,9,0),0))))))))</f>
        <v>0</v>
      </c>
      <c r="IC138" s="412"/>
      <c r="ID138" s="409"/>
      <c r="IE138" s="411">
        <f>IF(ID138=0,0,IF($LB138=70%,VLOOKUP($HZ138,'Jan-2026 rates'!$L:$R,4,0),IF($LB138=65%,VLOOKUP($HZ138,'Jan-2026 rates'!$L:$R,4,0),IF($LB138=40%,VLOOKUP($HZ138,'Jan-2026 rates'!$L:$R,5,0),IF($LB138=30%,VLOOKUP($HZ138,'Jan-2026 rates'!$L:$R,6,0),IF($LB138=100%,VLOOKUP($HZ138,'Jan-2026 rates'!$L:$R,7,0),IF($LB138=60%,VLOOKUP($HZ138,'Jan-2026 rates'!$L:$S,8,0),IF($LB138=80%,VLOOKUP($HZ138,'Jan-2026 rates'!L:T,9,0),0))))))))</f>
        <v>0</v>
      </c>
      <c r="IF138" s="412" t="s">
        <v>484</v>
      </c>
      <c r="IG138" s="413"/>
      <c r="IH138" s="412"/>
      <c r="II138" s="412"/>
      <c r="IJ138" s="412"/>
      <c r="IK138" s="412"/>
      <c r="IL138" s="412"/>
      <c r="IM138" s="412"/>
      <c r="IN138" s="409">
        <f>100+100</f>
        <v>200</v>
      </c>
      <c r="IO138" s="398">
        <f>IF(IN138=0,0,IF(LEN(IF138)=11,_xlfn.XLOOKUP(IF138,'Dispensed Ink Rates'!C:C,'Dispensed Ink Rates'!CS:CS),VLOOKUP(IF138,'Jan-2026 rates'!$E:$F,2,0)))</f>
        <v>0</v>
      </c>
      <c r="IP138" s="409"/>
      <c r="IQ138" s="398">
        <f>IF(IP138=0,0,IF(LEN(IG138)=11,_xlfn.XLOOKUP(IG138,'Dispensed Ink Rates'!C:C,'Dispensed Ink Rates'!CS:CS),VLOOKUP(IG138,'Jan-2026 rates'!$E:$F,2,0)))</f>
        <v>0</v>
      </c>
      <c r="IR138" s="409"/>
      <c r="IS138" s="398">
        <f>IF(IR138=0,0,IF(LEN(IH138)=11,_xlfn.XLOOKUP(IH138,'Dispensed Ink Rates'!C:C,'Dispensed Ink Rates'!CS:CS),VLOOKUP(IH138,'Jan-2026 rates'!$E:$F,2,0)))</f>
        <v>0</v>
      </c>
      <c r="IT138" s="409"/>
      <c r="IU138" s="398">
        <f>IF(IT138=0,0,IF(LEN(II138)=11,_xlfn.XLOOKUP(II138,'Dispensed Ink Rates'!C:C,'Dispensed Ink Rates'!CS:CS),VLOOKUP(II138,'Jan-2026 rates'!$E:$F,2,0)))</f>
        <v>0</v>
      </c>
      <c r="IV138" s="409"/>
      <c r="IW138" s="398">
        <f>IF(IV138=0,0,IF(LEN(IJ138)=11,_xlfn.XLOOKUP(IJ138,'Dispensed Ink Rates'!C:C,'Dispensed Ink Rates'!CS:CS),VLOOKUP(IJ138,'Jan-2026 rates'!$E:$F,2,0)))</f>
        <v>0</v>
      </c>
      <c r="IX138" s="409"/>
      <c r="IY138" s="398">
        <f>IF(IX138=0,0,IF(LEN(IK138)=11,_xlfn.XLOOKUP(IK138,'Dispensed Ink Rates'!C:C,'Dispensed Ink Rates'!CS:CS),VLOOKUP(IK138,'Jan-2026 rates'!$E:$F,2,0)))</f>
        <v>0</v>
      </c>
      <c r="IZ138" s="409"/>
      <c r="JA138" s="398">
        <f>IF(IZ138=0,0,IF(LEN(IL138)=11,_xlfn.XLOOKUP(IL138,'Dispensed Ink Rates'!C:C,'Dispensed Ink Rates'!CS:CS),VLOOKUP(IL138,'Jan-2026 rates'!$E:$F,2,0)))</f>
        <v>0</v>
      </c>
      <c r="JB138" s="409"/>
      <c r="JC138" s="398">
        <f>IF(JB138=0,0,IF(LEN(IM138)=11,_xlfn.XLOOKUP(IM138,'Dispensed Ink Rates'!C:C,'Dispensed Ink Rates'!CS:CS),VLOOKUP(IM138,'Jan-2026 rates'!$E:$F,2,0)))</f>
        <v>0</v>
      </c>
      <c r="JD138" s="409" t="s">
        <v>1443</v>
      </c>
      <c r="JE138" s="409">
        <v>30</v>
      </c>
      <c r="JF138" s="411">
        <f t="shared" ref="JF138:JF201" si="124">IFERROR(IF(JG138&lt;=0,0,(IA138*IB138+ID138*IE138+IN138*IO138+IP138*IQ138+IR138*IS138+IT138*IU138+IV138*IW138+IX138*IY138+IZ138*JA138+JB138*JC138+(KZ138/SUM(KT138:LA138)*LL138)*LX138)/(IA138+ID138+IN138+IP138+IR138+IT138+IV138+IX138+IZ138+JB138+(KZ138/SUM(KT138:LA138)*LL138))),0)</f>
        <v>0</v>
      </c>
      <c r="JG138" s="411">
        <f t="shared" ref="JG138:JG201" si="125">IFERROR((IA138+ID138+IN138+IP138+IR138+IT138+IV138+IX138+IZ138+JB138+(KZ138/SUM(KT138:LA138)*LL138)-JE138),0)</f>
        <v>488.54929577464782</v>
      </c>
      <c r="JH138" s="410">
        <f t="shared" ref="JH138:JH201" si="126">IFERROR(IF(JG138&lt;=0,0,(IA138*IB138+ID138*IE138+IN138*IO138+IP138*IQ138+IR138*IS138+IT138*IU138+IV138*IW138+IX138*IY138+IZ138*JA138+JB138*JC138-JE138*JF138+(KZ138/SUM(KT138:LA138)*LL138)*LX138)),0)</f>
        <v>0</v>
      </c>
      <c r="JI138" s="405"/>
      <c r="JJ138" s="409"/>
      <c r="JK138" s="420" t="str">
        <f t="shared" si="60"/>
        <v xml:space="preserve"> - </v>
      </c>
      <c r="JL138" s="409"/>
      <c r="JM138" s="411">
        <f>IF(JL138=0,0,IF($LB138=70%,VLOOKUP($JK138,'Jan-2026 rates'!$L:$R,4,0),IF($LB138=65%,VLOOKUP($JK138,'Jan-2026 rates'!$L:$R,4,0),IF($LB138=40%,VLOOKUP($JK138,'Jan-2026 rates'!$L:$R,5,0),IF($LB138=30%,VLOOKUP($JK138,'Jan-2026 rates'!$L:$R,6,0),IF($LB138=100%,VLOOKUP($JK138,'Jan-2026 rates'!$L:$R,7,0),IF($LB138=60%,VLOOKUP($JK138,'Jan-2026 rates'!$L:$S,8,0),IF($LB138=80%,VLOOKUP($JK138,'Jan-2026 rates'!L:T,9,0),0))))))))</f>
        <v>0</v>
      </c>
      <c r="JN138" s="412"/>
      <c r="JO138" s="409"/>
      <c r="JP138" s="411">
        <f>IF(JO138=0,0,IF($LB138=70%,VLOOKUP($JK138,'Jan-2026 rates'!$L:$R,4,0),IF($LB138=65%,VLOOKUP($JK138,'Jan-2026 rates'!$L:$R,4,0),IF($LB138=40%,VLOOKUP($JK138,'Jan-2026 rates'!$L:$R,5,0),IF($LB138=30%,VLOOKUP($JK138,'Jan-2026 rates'!$L:$R,6,0),IF($LB138=100%,VLOOKUP($JK138,'Jan-2026 rates'!$L:$R,7,0),IF($LB138=60%,VLOOKUP($JK138,'Jan-2026 rates'!$L:$S,8,0),IF($LB138=80%,VLOOKUP($JK138,'Jan-2026 rates'!L:T,9,0),0))))))))</f>
        <v>0</v>
      </c>
      <c r="JQ138" s="413"/>
      <c r="JR138" s="412"/>
      <c r="JS138" s="413"/>
      <c r="JT138" s="413"/>
      <c r="JU138" s="412"/>
      <c r="JV138" s="412"/>
      <c r="JW138" s="412"/>
      <c r="JX138" s="412"/>
      <c r="JY138" s="409"/>
      <c r="JZ138" s="398">
        <f>IF(JY138=0,0,IF(LEN(JQ138)=11,_xlfn.XLOOKUP(JQ138,'Dispensed Ink Rates'!C:C,'Dispensed Ink Rates'!CS:CS),VLOOKUP(JQ138,'Jan-2026 rates'!$E:$F,2,0)))</f>
        <v>0</v>
      </c>
      <c r="KA138" s="409"/>
      <c r="KB138" s="398">
        <f>IF(KA138=0,0,IF(LEN(JR138)=11,_xlfn.XLOOKUP(JR138,'Dispensed Ink Rates'!C:C,'Dispensed Ink Rates'!CS:CS),VLOOKUP(JR138,'Jan-2026 rates'!$E:$F,2,0)))</f>
        <v>0</v>
      </c>
      <c r="KC138" s="409"/>
      <c r="KD138" s="398">
        <f>IF(KC138=0,0,IF(LEN(JS138)=11,_xlfn.XLOOKUP(JS138,'Dispensed Ink Rates'!C:C,'Dispensed Ink Rates'!CS:CS),VLOOKUP(JS138,'Jan-2026 rates'!$E:$F,2,0)))</f>
        <v>0</v>
      </c>
      <c r="KE138" s="409"/>
      <c r="KF138" s="398">
        <f>IF(KE138=0,0,IF(LEN(JT138)=11,_xlfn.XLOOKUP(JT138,'Dispensed Ink Rates'!C:C,'Dispensed Ink Rates'!CS:CS),VLOOKUP(JT138,'Jan-2026 rates'!$E:$F,2,0)))</f>
        <v>0</v>
      </c>
      <c r="KG138" s="409"/>
      <c r="KH138" s="398">
        <f>IF(KG138=0,0,IF(LEN(JU138)=11,_xlfn.XLOOKUP(JU138,'Dispensed Ink Rates'!C:C,'Dispensed Ink Rates'!CS:CS),VLOOKUP(JU138,'Jan-2026 rates'!$E:$F,2,0)))</f>
        <v>0</v>
      </c>
      <c r="KI138" s="409"/>
      <c r="KJ138" s="398">
        <f>IF(KI138=0,0,IF(LEN(JV138)=11,_xlfn.XLOOKUP(JV138,'Dispensed Ink Rates'!C:C,'Dispensed Ink Rates'!CS:CS),VLOOKUP(JV138,'Jan-2026 rates'!$E:$F,2,0)))</f>
        <v>0</v>
      </c>
      <c r="KK138" s="409"/>
      <c r="KL138" s="398">
        <f>IF(KK138=0,0,IF(LEN(JW138)=11,_xlfn.XLOOKUP(JW138,'Dispensed Ink Rates'!C:C,'Dispensed Ink Rates'!CS:CS),VLOOKUP(JW138,'Jan-2026 rates'!$E:$F,2,0)))</f>
        <v>0</v>
      </c>
      <c r="KM138" s="428"/>
      <c r="KN138" s="398">
        <f>IF(KM138=0,0,IF(LEN(JX138)=11,_xlfn.XLOOKUP(JX138,'Dispensed Ink Rates'!C:C,'Dispensed Ink Rates'!CS:CS),VLOOKUP(JX138,'Jan-2026 rates'!$E:$F,2,0)))</f>
        <v>0</v>
      </c>
      <c r="KO138" s="409"/>
      <c r="KP138" s="409"/>
      <c r="KQ138" s="411">
        <f t="shared" ref="KQ138:KQ201" si="127">IFERROR(IF(KR138&lt;=0,0,(JL138*JM138+JO138*JP138+JY138*JZ138+KA138*KB138+KC138*KD138+KE138*KF138+KG138*KH138+KI138*KJ138+KK138*KL138+KM138*KN138+(LA138/SUM(KT138:LA138)*LL138)*LX138)/(JL138+JO138+JY138+KA138+KC138+KE138+KG138+KI138+KK138+KM138+(LA138/SUM(KT138:LA138)*LL138))),0)</f>
        <v>0</v>
      </c>
      <c r="KR138" s="411">
        <f t="shared" ref="KR138:KR201" si="128">IFERROR((JL138+JO138+JY138+KA138+KC138+KE138+KG138+KI138+KK138+KM138+(LA138/SUM(KT138:LA138)*LL138)-KP138),0)</f>
        <v>0</v>
      </c>
      <c r="KS138" s="410">
        <f t="shared" ref="KS138:KS201" si="129">IFERROR(IF(KR138&lt;=0,0,(JL138*JM138+JO138*JP138+JY138*JZ138+KA138*KB138+KC138*KD138+KE138*KF138+KG138*KH138+KI138*KJ138+KK138*KL138+KM138*KN138-KP138*KQ138+(LA138/SUM(KT138:LA138)*LL138)*LX138)),0)</f>
        <v>0</v>
      </c>
      <c r="KT138" s="409">
        <v>3</v>
      </c>
      <c r="KU138" s="409">
        <v>5</v>
      </c>
      <c r="KV138" s="409">
        <v>4</v>
      </c>
      <c r="KW138" s="409">
        <v>5</v>
      </c>
      <c r="KX138" s="409">
        <v>2</v>
      </c>
      <c r="KY138" s="409">
        <v>3</v>
      </c>
      <c r="KZ138" s="409">
        <f>60+60</f>
        <v>120</v>
      </c>
      <c r="LA138" s="409">
        <v>0</v>
      </c>
      <c r="LB138" s="415">
        <v>0.8</v>
      </c>
      <c r="LC138" s="415">
        <v>0.2</v>
      </c>
      <c r="LD138" s="415"/>
      <c r="LE138" s="415"/>
      <c r="LF138" s="415"/>
      <c r="LG138" s="409">
        <v>0</v>
      </c>
      <c r="LH138" s="409">
        <f>120+110+80+20+5+5+5</f>
        <v>345</v>
      </c>
      <c r="LI138" s="409">
        <v>0</v>
      </c>
      <c r="LJ138" s="409">
        <v>0</v>
      </c>
      <c r="LK138" s="416">
        <f t="shared" si="61"/>
        <v>345</v>
      </c>
      <c r="LL138" s="416">
        <f t="shared" si="62"/>
        <v>345</v>
      </c>
      <c r="LM138" s="417">
        <f t="shared" si="63"/>
        <v>276</v>
      </c>
      <c r="LN138" s="417">
        <f>VLOOKUP($LM$8,'Jan-2026 rates'!$H:$I,2,0)</f>
        <v>0</v>
      </c>
      <c r="LO138" s="417">
        <f t="shared" si="64"/>
        <v>69</v>
      </c>
      <c r="LP138" s="417">
        <f>VLOOKUP($LO$8,'Jan-2026 rates'!$H:$I,2,0)</f>
        <v>0</v>
      </c>
      <c r="LQ138" s="417">
        <f t="shared" si="65"/>
        <v>0</v>
      </c>
      <c r="LR138" s="417">
        <f>VLOOKUP($LQ$8,'Jan-2026 rates'!$H:$I,2,0)</f>
        <v>0</v>
      </c>
      <c r="LS138" s="417">
        <f t="shared" si="66"/>
        <v>0</v>
      </c>
      <c r="LT138" s="417">
        <f>VLOOKUP($LS$8,'Jan-2026 rates'!$H:$I,2,0)</f>
        <v>0</v>
      </c>
      <c r="LU138" s="417">
        <f t="shared" si="67"/>
        <v>0</v>
      </c>
      <c r="LV138" s="417">
        <f>VLOOKUP($LU$8,'Jan-2026 rates'!$H:$I,2,0)</f>
        <v>0</v>
      </c>
      <c r="LW138" s="417">
        <f t="shared" si="68"/>
        <v>0</v>
      </c>
      <c r="LX138" s="417">
        <f t="shared" si="69"/>
        <v>0</v>
      </c>
      <c r="LY138" s="418">
        <f t="shared" si="70"/>
        <v>0</v>
      </c>
      <c r="LZ138" s="417"/>
      <c r="MA138" s="435">
        <f t="shared" si="71"/>
        <v>315.10000000000002</v>
      </c>
      <c r="MB138" s="282">
        <f t="shared" si="72"/>
        <v>631.09999999999991</v>
      </c>
      <c r="MC138" s="283">
        <v>93</v>
      </c>
      <c r="MD138" s="284" t="str">
        <f t="shared" si="73"/>
        <v>FLINTSLFLINTSLFLINTSLFLINTSLFLINTSLFLINTSLFLINTSL</v>
      </c>
      <c r="ME138" s="293" t="str">
        <f t="shared" si="74"/>
        <v>+</v>
      </c>
      <c r="MF138" s="293" t="str">
        <f t="shared" si="75"/>
        <v>+</v>
      </c>
      <c r="MG138" s="293" t="str">
        <f t="shared" si="76"/>
        <v>+</v>
      </c>
      <c r="MH138" s="293" t="str">
        <f t="shared" si="77"/>
        <v>+</v>
      </c>
      <c r="MI138" s="293" t="str">
        <f t="shared" si="78"/>
        <v>+</v>
      </c>
      <c r="MJ138" s="293" t="str">
        <f t="shared" si="79"/>
        <v>+</v>
      </c>
      <c r="MK138" s="293" t="str">
        <f t="shared" si="80"/>
        <v>+</v>
      </c>
      <c r="ML138" s="293" t="str">
        <f t="shared" si="81"/>
        <v>NIL</v>
      </c>
      <c r="MM138" s="3" t="b">
        <f t="array" ref="MM138">OR(ME138:ML138="-")</f>
        <v>0</v>
      </c>
      <c r="MN138" s="285"/>
      <c r="MO138" s="401"/>
      <c r="MP138" s="286"/>
      <c r="MQ138" s="286"/>
      <c r="MR138" s="402"/>
      <c r="MS138" s="400"/>
      <c r="NH138" s="422"/>
      <c r="NJ138" s="421"/>
    </row>
    <row r="139" spans="1:374" s="1" customFormat="1" ht="16.5">
      <c r="A139" s="403">
        <v>46030</v>
      </c>
      <c r="B139" s="404" t="s">
        <v>1015</v>
      </c>
      <c r="C139" s="405" t="s">
        <v>3398</v>
      </c>
      <c r="D139" s="406" t="s">
        <v>1974</v>
      </c>
      <c r="E139" s="404">
        <v>86</v>
      </c>
      <c r="F139" s="407">
        <v>4800</v>
      </c>
      <c r="G139" s="407" t="s">
        <v>1016</v>
      </c>
      <c r="H139" s="408" t="s">
        <v>1017</v>
      </c>
      <c r="I139" s="409">
        <v>1.8</v>
      </c>
      <c r="J139" s="405" t="s">
        <v>543</v>
      </c>
      <c r="K139" s="404" t="s">
        <v>3399</v>
      </c>
      <c r="L139" s="419" t="str">
        <f t="shared" si="54"/>
        <v>ToyoLi - BLACK</v>
      </c>
      <c r="M139" s="404">
        <f>16+14</f>
        <v>30</v>
      </c>
      <c r="N139" s="410">
        <f>IF(M139=0,0,IF($LB139=70%,VLOOKUP($L139,'Jan-2026 rates'!$L:$R,4,0),IF($LB139=65%,VLOOKUP($L139,'Jan-2026 rates'!$L:$R,4,0),IF($LB139=40%,VLOOKUP($L139,'Jan-2026 rates'!$L:$R,5,0),IF($LB139=30%,VLOOKUP($L139,'Jan-2026 rates'!$L:$R,6,0),IF($LB139=100%,VLOOKUP($L139,'Jan-2026 rates'!$L:$R,7,0),IF($LB139=60%,VLOOKUP($L139,'Jan-2026 rates'!$L:$S,8,0),IF($LB139=80%,VLOOKUP($L139,'Jan-2026 rates'!L:T,9,0),0))))))))</f>
        <v>0</v>
      </c>
      <c r="O139" s="406"/>
      <c r="P139" s="404"/>
      <c r="Q139" s="410">
        <f>IF(P139=0,0,IF($LB139=70%,VLOOKUP($L139,'Jan-2026 rates'!$L:$R,4,0),IF($LB139=65%,VLOOKUP($L139,'Jan-2026 rates'!$L:$R,4,0),IF($LB139=40%,VLOOKUP($L139,'Jan-2026 rates'!$L:$R,5,0),IF($LB139=30%,VLOOKUP($L139,'Jan-2026 rates'!$L:$R,6,0),IF($LB139=100%,VLOOKUP($L139,'Jan-2026 rates'!$L:$R,7,0),IF($LB139=60%,VLOOKUP($L139,'Jan-2026 rates'!$L:$S,8,0),IF($LB139=80%,VLOOKUP($L139,'Jan-2026 rates'!L:T,9,0),0))))))))</f>
        <v>0</v>
      </c>
      <c r="R139" s="406" t="s">
        <v>1252</v>
      </c>
      <c r="S139" s="406"/>
      <c r="T139" s="406"/>
      <c r="U139" s="406"/>
      <c r="V139" s="406"/>
      <c r="W139" s="406"/>
      <c r="X139" s="406"/>
      <c r="Y139" s="406"/>
      <c r="Z139" s="404">
        <v>2</v>
      </c>
      <c r="AA139" s="398">
        <f>IF(Z139=0,0,IF(LEN(R139)=11,_xlfn.XLOOKUP(R139,'Dispensed Ink Rates'!C:C,'Dispensed Ink Rates'!CS:CS),VLOOKUP(R139,'Jan-2026 rates'!$E:$F,2,0)))</f>
        <v>0</v>
      </c>
      <c r="AB139" s="404"/>
      <c r="AC139" s="398">
        <f>IF(AB139=0,0,IF(LEN(S139)=11,_xlfn.XLOOKUP(S139,'Dispensed Ink Rates'!C:C,'Dispensed Ink Rates'!CS:CS),VLOOKUP(S139,'Jan-2026 rates'!$E:$F,2,0)))</f>
        <v>0</v>
      </c>
      <c r="AD139" s="404"/>
      <c r="AE139" s="398">
        <f>IF(AD139=0,0,IF(LEN(T139)=11,_xlfn.XLOOKUP(T139,'Dispensed Ink Rates'!C:C,'Dispensed Ink Rates'!CS:CS),VLOOKUP(T139,'Jan-2026 rates'!$E:$F,2,0)))</f>
        <v>0</v>
      </c>
      <c r="AF139" s="404"/>
      <c r="AG139" s="398">
        <f>IF(AF139=0,0,IF(LEN(U139)=11,_xlfn.XLOOKUP(U139,'Dispensed Ink Rates'!C:C,'Dispensed Ink Rates'!CS:CS),VLOOKUP(U139,'Jan-2026 rates'!$E:$F,2,0)))</f>
        <v>0</v>
      </c>
      <c r="AH139" s="404"/>
      <c r="AI139" s="398">
        <f>IF(AH139=0,0,IF(LEN(V139)=11,_xlfn.XLOOKUP(V139,'Dispensed Ink Rates'!C:C,'Dispensed Ink Rates'!CS:CS),VLOOKUP(V139,'Jan-2026 rates'!$E:$F,2,0)))</f>
        <v>0</v>
      </c>
      <c r="AJ139" s="404"/>
      <c r="AK139" s="398">
        <f>IF(AJ139=0,0,IF(LEN(W139)=11,_xlfn.XLOOKUP(W139,'Dispensed Ink Rates'!C:C,'Dispensed Ink Rates'!CS:CS),VLOOKUP(W139,'Jan-2026 rates'!$E:$F,2,0)))</f>
        <v>0</v>
      </c>
      <c r="AL139" s="404"/>
      <c r="AM139" s="398">
        <f>IF(AL139=0,0,IF(LEN(X139)=11,_xlfn.XLOOKUP(X139,'Dispensed Ink Rates'!C:C,'Dispensed Ink Rates'!CS:CS),VLOOKUP(X139,'Jan-2026 rates'!$E:$F,2,0)))</f>
        <v>0</v>
      </c>
      <c r="AN139" s="404"/>
      <c r="AO139" s="398">
        <f>IF(AN139=0,0,IF(LEN(Y139)=11,_xlfn.XLOOKUP(Y139,'Dispensed Ink Rates'!C:C,'Dispensed Ink Rates'!CS:CS),VLOOKUP(Y139,'Jan-2026 rates'!$E:$F,2,0)))</f>
        <v>0</v>
      </c>
      <c r="AP139" s="409" t="s">
        <v>1881</v>
      </c>
      <c r="AQ139" s="409">
        <v>32</v>
      </c>
      <c r="AR139" s="410">
        <f t="shared" si="106"/>
        <v>0</v>
      </c>
      <c r="AS139" s="411">
        <f t="shared" si="107"/>
        <v>3.9090909090909065</v>
      </c>
      <c r="AT139" s="410">
        <f t="shared" si="108"/>
        <v>0</v>
      </c>
      <c r="AU139" s="405" t="s">
        <v>547</v>
      </c>
      <c r="AV139" s="409" t="s">
        <v>3400</v>
      </c>
      <c r="AW139" s="420" t="str">
        <f t="shared" si="53"/>
        <v>ToyoLi - GREEN</v>
      </c>
      <c r="AX139" s="409">
        <v>10</v>
      </c>
      <c r="AY139" s="411">
        <f>IF(AX139=0,0,IF($LB139=70%,VLOOKUP($AW139,'Jan-2026 rates'!$L:$R,4,0),IF($LB139=65%,VLOOKUP($AW139,'Jan-2026 rates'!$L:$R,4,0),IF($LB139=40%,VLOOKUP($AW139,'Jan-2026 rates'!$L:$R,5,0),IF($LB139=30%,VLOOKUP($AW139,'Jan-2026 rates'!$L:$R,6,0),IF($LB139=100%,VLOOKUP($AW139,'Jan-2026 rates'!$L:$R,7,0),IF($LB139=60%,VLOOKUP($AW139,'Jan-2026 rates'!$L:$S,8,0),IF($LB139=80%,VLOOKUP($AW139,'Jan-2026 rates'!L:T,9,0),0))))))))</f>
        <v>0</v>
      </c>
      <c r="AZ139" s="412"/>
      <c r="BA139" s="409"/>
      <c r="BB139" s="411">
        <f>IF(BA139=0,0,IF($LB139=70%,VLOOKUP($AW139,'Jan-2026 rates'!$L:$R,4,0),IF($LB139=65%,VLOOKUP($AW139,'Jan-2026 rates'!$L:$R,4,0),IF($LB139=40%,VLOOKUP($AW139,'Jan-2026 rates'!$L:$R,5,0),IF($LB139=30%,VLOOKUP($AW139,'Jan-2026 rates'!$L:$R,6,0),IF($LB139=100%,VLOOKUP($AW139,'Jan-2026 rates'!$L:$R,7,0),IF($LB139=60%,VLOOKUP($AW139,'Jan-2026 rates'!$L:$S,8,0),IF($LB139=80%,VLOOKUP($AW139,'Jan-2026 rates'!L:T,9,0),0))))))))</f>
        <v>0</v>
      </c>
      <c r="BC139" s="413" t="s">
        <v>1251</v>
      </c>
      <c r="BD139" s="412" t="s">
        <v>1247</v>
      </c>
      <c r="BE139" s="412" t="s">
        <v>1250</v>
      </c>
      <c r="BF139" s="413"/>
      <c r="BG139" s="412"/>
      <c r="BH139" s="412"/>
      <c r="BI139" s="412"/>
      <c r="BJ139" s="412"/>
      <c r="BK139" s="409">
        <v>1</v>
      </c>
      <c r="BL139" s="398">
        <f>IF(BK139=0,0,IF(LEN(BC139)=11,_xlfn.XLOOKUP(BC139,'Dispensed Ink Rates'!C:C,'Dispensed Ink Rates'!CS:CS),VLOOKUP(BC139,'Jan-2026 rates'!$E:$F,2,0)))</f>
        <v>0</v>
      </c>
      <c r="BM139" s="409">
        <v>5</v>
      </c>
      <c r="BN139" s="398">
        <f>IF(BM139=0,0,IF(LEN(BD139)=11,_xlfn.XLOOKUP(BD139,'Dispensed Ink Rates'!C:C,'Dispensed Ink Rates'!CS:CS),VLOOKUP(BD139,'Jan-2026 rates'!$E:$F,2,0)))</f>
        <v>0</v>
      </c>
      <c r="BO139" s="409">
        <v>3</v>
      </c>
      <c r="BP139" s="398">
        <f>IF(BO139=0,0,IF(LEN(BE139)=11,_xlfn.XLOOKUP(BE139,'Dispensed Ink Rates'!C:C,'Dispensed Ink Rates'!CS:CS),VLOOKUP(BE139,'Jan-2026 rates'!$E:$F,2,0)))</f>
        <v>0</v>
      </c>
      <c r="BQ139" s="409"/>
      <c r="BR139" s="398">
        <f>IF(BQ139=0,0,IF(LEN(BF139)=11,_xlfn.XLOOKUP(BF139,'Dispensed Ink Rates'!C:C,'Dispensed Ink Rates'!CS:CS),VLOOKUP(BF139,'Jan-2026 rates'!$E:$F,2,0)))</f>
        <v>0</v>
      </c>
      <c r="BS139" s="409"/>
      <c r="BT139" s="398">
        <f>IF(BS139=0,0,IF(LEN(BG139)=11,_xlfn.XLOOKUP(BG139,'Dispensed Ink Rates'!C:C,'Dispensed Ink Rates'!CS:CS),VLOOKUP(BG139,'Jan-2026 rates'!$E:$F,2,0)))</f>
        <v>0</v>
      </c>
      <c r="BU139" s="409"/>
      <c r="BV139" s="398">
        <f>IF(BU139=0,0,IF(LEN(BH139)=11,_xlfn.XLOOKUP(BH139,'Dispensed Ink Rates'!C:C,'Dispensed Ink Rates'!CS:CS),VLOOKUP(BH139,'Jan-2026 rates'!$E:$F,2,0)))</f>
        <v>0</v>
      </c>
      <c r="BW139" s="409"/>
      <c r="BX139" s="398">
        <f>IF(BW139=0,0,IF(LEN(BI139)=11,_xlfn.XLOOKUP(BI139,'Dispensed Ink Rates'!C:C,'Dispensed Ink Rates'!CS:CS),VLOOKUP(BI139,'Jan-2026 rates'!$E:$F,2,0)))</f>
        <v>0</v>
      </c>
      <c r="BY139" s="409"/>
      <c r="BZ139" s="398">
        <f>IF(BY139=0,0,IF(LEN(BJ139)=11,_xlfn.XLOOKUP(BJ139,'Dispensed Ink Rates'!C:C,'Dispensed Ink Rates'!CS:CS),VLOOKUP(BJ139,'Jan-2026 rates'!$E:$F,2,0)))</f>
        <v>0</v>
      </c>
      <c r="CA139" s="409" t="s">
        <v>1881</v>
      </c>
      <c r="CB139" s="409">
        <v>21</v>
      </c>
      <c r="CC139" s="411">
        <f t="shared" si="109"/>
        <v>0</v>
      </c>
      <c r="CD139" s="411">
        <f t="shared" si="110"/>
        <v>5.8181818181818201</v>
      </c>
      <c r="CE139" s="410">
        <f t="shared" si="111"/>
        <v>0</v>
      </c>
      <c r="CF139" s="404" t="s">
        <v>543</v>
      </c>
      <c r="CG139" s="409" t="s">
        <v>2771</v>
      </c>
      <c r="CH139" s="420" t="str">
        <f t="shared" si="55"/>
        <v>ToyoLi - BLACK</v>
      </c>
      <c r="CI139" s="409">
        <v>15</v>
      </c>
      <c r="CJ139" s="411">
        <f>IF(CI139=0,0,IF($LB139=70%,VLOOKUP($CH139,'Jan-2026 rates'!$L:$R,4,0),IF($LB139=65%,VLOOKUP($CH139,'Jan-2026 rates'!$L:$R,4,0),IF($LB139=40%,VLOOKUP($CH139,'Jan-2026 rates'!$L:$R,5,0),IF($LB139=30%,VLOOKUP($CH139,'Jan-2026 rates'!$L:$R,6,0),IF($LB139=100%,VLOOKUP($CH139,'Jan-2026 rates'!$L:$R,7,0),IF($LB139=60%,VLOOKUP($CH139,'Jan-2026 rates'!$L:$S,8,0),IF($LB139=80%,VLOOKUP($CH139,'Jan-2026 rates'!L:T,9,0),0))))))))</f>
        <v>0</v>
      </c>
      <c r="CK139" s="412" t="s">
        <v>3401</v>
      </c>
      <c r="CL139" s="409">
        <v>17</v>
      </c>
      <c r="CM139" s="411">
        <f>IF(CL139=0,0,IF($LB139=70%,VLOOKUP($CH139,'Jan-2026 rates'!$L:$R,4,0),IF($LB139=65%,VLOOKUP($CH139,'Jan-2026 rates'!$L:$R,4,0),IF($LB139=40%,VLOOKUP($CH139,'Jan-2026 rates'!$L:$R,5,0),IF($LB139=30%,VLOOKUP($CH139,'Jan-2026 rates'!$L:$R,6,0),IF($LB139=100%,VLOOKUP($CH139,'Jan-2026 rates'!$L:$R,7,0),IF($LB139=60%,VLOOKUP($CH139,'Jan-2026 rates'!$L:$S,8,0),IF($LB139=80%,VLOOKUP($CH139,'Jan-2026 rates'!L:T,9,0),0))))))))</f>
        <v>0</v>
      </c>
      <c r="CN139" s="426" t="s">
        <v>1246</v>
      </c>
      <c r="CO139" s="427" t="s">
        <v>1252</v>
      </c>
      <c r="CP139" s="426"/>
      <c r="CQ139" s="426"/>
      <c r="CR139" s="428"/>
      <c r="CS139" s="428"/>
      <c r="CT139" s="428"/>
      <c r="CU139" s="428"/>
      <c r="CV139" s="409">
        <v>8</v>
      </c>
      <c r="CW139" s="398">
        <f>IF(CV139=0,0,IF(LEN(CN139)=11,_xlfn.XLOOKUP(CN139,'Dispensed Ink Rates'!C:C,'Dispensed Ink Rates'!CS:CS),VLOOKUP(CN139,'Jan-2026 rates'!$E:$F,2,0)))</f>
        <v>0</v>
      </c>
      <c r="CX139" s="409">
        <v>1</v>
      </c>
      <c r="CY139" s="398">
        <f>IF(CX139=0,0,IF(LEN(CO139)=11,_xlfn.XLOOKUP(CO139,'Dispensed Ink Rates'!C:C,'Dispensed Ink Rates'!CS:CS),VLOOKUP(CO139,'Jan-2026 rates'!$E:$F,2,0)))</f>
        <v>0</v>
      </c>
      <c r="CZ139" s="409"/>
      <c r="DA139" s="398">
        <f>IF(CZ139=0,0,IF(LEN(CP139)=11,_xlfn.XLOOKUP(CP139,'Dispensed Ink Rates'!C:C,'Dispensed Ink Rates'!CS:CS),VLOOKUP(CP139,'Jan-2026 rates'!$E:$F,2,0)))</f>
        <v>0</v>
      </c>
      <c r="DB139" s="409"/>
      <c r="DC139" s="398">
        <f>IF(DB139=0,0,IF(LEN(CQ139)=11,_xlfn.XLOOKUP(CQ139,'Dispensed Ink Rates'!C:C,'Dispensed Ink Rates'!CS:CS),VLOOKUP(CQ139,'Jan-2026 rates'!$E:$F,2,0)))</f>
        <v>0</v>
      </c>
      <c r="DD139" s="409"/>
      <c r="DE139" s="398">
        <f>IF(DD139=0,0,IF(LEN(CR139)=11,_xlfn.XLOOKUP(CR139,'Dispensed Ink Rates'!C:C,'Dispensed Ink Rates'!CS:CS),VLOOKUP(CR139,'Jan-2026 rates'!$E:$F,2,0)))</f>
        <v>0</v>
      </c>
      <c r="DF139" s="409"/>
      <c r="DG139" s="398">
        <f>IF(DF139=0,0,IF(LEN(CS139)=11,_xlfn.XLOOKUP(CS139,'Dispensed Ink Rates'!C:C,'Dispensed Ink Rates'!CS:CS),VLOOKUP(CS139,'Jan-2026 rates'!$E:$F,2,0)))</f>
        <v>0</v>
      </c>
      <c r="DH139" s="409"/>
      <c r="DI139" s="398">
        <f>IF(DH139=0,0,IF(LEN(CT139)=11,_xlfn.XLOOKUP(CT139,'Dispensed Ink Rates'!C:C,'Dispensed Ink Rates'!CS:CS),VLOOKUP(CT139,'Jan-2026 rates'!$E:$F,2,0)))</f>
        <v>0</v>
      </c>
      <c r="DJ139" s="409"/>
      <c r="DK139" s="398">
        <f>IF(DJ139=0,0,IF(LEN(CU139)=11,_xlfn.XLOOKUP(CU139,'Dispensed Ink Rates'!C:C,'Dispensed Ink Rates'!CS:CS),VLOOKUP(CU139,'Jan-2026 rates'!$E:$F,2,0)))</f>
        <v>0</v>
      </c>
      <c r="DL139" s="409" t="s">
        <v>1881</v>
      </c>
      <c r="DM139" s="409">
        <v>20</v>
      </c>
      <c r="DN139" s="411">
        <f t="shared" si="112"/>
        <v>0</v>
      </c>
      <c r="DO139" s="411">
        <f t="shared" si="113"/>
        <v>28.81818181818182</v>
      </c>
      <c r="DP139" s="410">
        <f t="shared" si="114"/>
        <v>0</v>
      </c>
      <c r="DQ139" s="405" t="s">
        <v>544</v>
      </c>
      <c r="DR139" s="409" t="s">
        <v>3402</v>
      </c>
      <c r="DS139" s="420" t="str">
        <f t="shared" si="56"/>
        <v>ToyoLi - MAGENTA</v>
      </c>
      <c r="DT139" s="409">
        <v>14</v>
      </c>
      <c r="DU139" s="411">
        <f>IF(DT139=0,0,IF($LB139=70%,VLOOKUP($DS139,'Jan-2026 rates'!$L:$R,4,0),IF($LB139=65%,VLOOKUP($DS139,'Jan-2026 rates'!$L:$R,4,0),IF($LB139=40%,VLOOKUP($DS139,'Jan-2026 rates'!$L:$R,5,0),IF($LB139=30%,VLOOKUP($DS139,'Jan-2026 rates'!$L:$R,6,0),IF($LB139=100%,VLOOKUP($DS139,'Jan-2026 rates'!$L:$R,7,0),IF($LB139=60%,VLOOKUP($DS139,'Jan-2026 rates'!$L:$S,8,0),IF($LB139=80%,VLOOKUP($DS139,'Jan-2026 rates'!L:T,9,0),0))))))))</f>
        <v>0</v>
      </c>
      <c r="DV139" s="412"/>
      <c r="DW139" s="409"/>
      <c r="DX139" s="411">
        <f>IF(DW139=0,0,IF($LB139=70%,VLOOKUP($DS139,'Jan-2026 rates'!$L:$R,4,0),IF($LB139=65%,VLOOKUP($DS139,'Jan-2026 rates'!$L:$R,4,0),IF($LB139=40%,VLOOKUP($DS139,'Jan-2026 rates'!$L:$R,5,0),IF($LB139=30%,VLOOKUP($DS139,'Jan-2026 rates'!$L:$R,6,0),IF($LB139=100%,VLOOKUP($DS139,'Jan-2026 rates'!$L:$R,7,0),IF($LB139=60%,VLOOKUP($DS139,'Jan-2026 rates'!$L:$S,8,0),IF($LB139=80%,VLOOKUP($DS139,'Jan-2026 rates'!L:T,9,0),0))))))))</f>
        <v>0</v>
      </c>
      <c r="DY139" s="413" t="s">
        <v>1246</v>
      </c>
      <c r="DZ139" s="413" t="s">
        <v>1921</v>
      </c>
      <c r="EA139" s="412"/>
      <c r="EB139" s="412"/>
      <c r="EC139" s="412"/>
      <c r="ED139" s="412"/>
      <c r="EE139" s="412"/>
      <c r="EF139" s="412"/>
      <c r="EG139" s="409">
        <v>5</v>
      </c>
      <c r="EH139" s="398">
        <f>IF(EG139=0,0,IF(LEN(DY139)=11,_xlfn.XLOOKUP(DY139,'Dispensed Ink Rates'!C:C,'Dispensed Ink Rates'!CS:CS),VLOOKUP(DY139,'Jan-2026 rates'!$E:$F,2,0)))</f>
        <v>0</v>
      </c>
      <c r="EI139" s="409">
        <v>3</v>
      </c>
      <c r="EJ139" s="398">
        <f>IF(EI139=0,0,IF(LEN(DZ139)=11,_xlfn.XLOOKUP(DZ139,'Dispensed Ink Rates'!C:C,'Dispensed Ink Rates'!CS:CS),VLOOKUP(DZ139,'Jan-2026 rates'!$E:$F,2,0)))</f>
        <v>0</v>
      </c>
      <c r="EK139" s="409"/>
      <c r="EL139" s="398">
        <f>IF(EK139=0,0,IF(LEN(EA139)=11,_xlfn.XLOOKUP(EA139,'Dispensed Ink Rates'!C:C,'Dispensed Ink Rates'!CS:CS),VLOOKUP(EA139,'Jan-2026 rates'!$E:$F,2,0)))</f>
        <v>0</v>
      </c>
      <c r="EM139" s="409"/>
      <c r="EN139" s="398">
        <f>IF(EM139=0,0,IF(LEN(EB139)=11,_xlfn.XLOOKUP(EB139,'Dispensed Ink Rates'!C:C,'Dispensed Ink Rates'!CS:CS),VLOOKUP(EB139,'Jan-2026 rates'!$E:$F,2,0)))</f>
        <v>0</v>
      </c>
      <c r="EO139" s="409"/>
      <c r="EP139" s="398">
        <f>IF(EO139=0,0,IF(LEN(EC139)=11,_xlfn.XLOOKUP(EC139,'Dispensed Ink Rates'!C:C,'Dispensed Ink Rates'!CS:CS),VLOOKUP(EC139,'Jan-2026 rates'!$E:$F,2,0)))</f>
        <v>0</v>
      </c>
      <c r="EQ139" s="409"/>
      <c r="ER139" s="398">
        <f>IF(EQ139=0,0,IF(LEN(ED139)=11,_xlfn.XLOOKUP(ED139,'Dispensed Ink Rates'!C:C,'Dispensed Ink Rates'!CS:CS),VLOOKUP(ED139,'Jan-2026 rates'!$E:$F,2,0)))</f>
        <v>0</v>
      </c>
      <c r="ES139" s="409"/>
      <c r="ET139" s="398">
        <f>IF(ES139=0,0,IF(LEN(EE139)=11,_xlfn.XLOOKUP(EE139,'Dispensed Ink Rates'!C:C,'Dispensed Ink Rates'!CS:CS),VLOOKUP(EE139,'Jan-2026 rates'!$E:$F,2,0)))</f>
        <v>0</v>
      </c>
      <c r="EU139" s="409"/>
      <c r="EV139" s="398">
        <f>IF(EU139=0,0,IF(LEN(EF139)=11,_xlfn.XLOOKUP(EF139,'Dispensed Ink Rates'!C:C,'Dispensed Ink Rates'!CS:CS),VLOOKUP(EF139,'Jan-2026 rates'!$E:$F,2,0)))</f>
        <v>0</v>
      </c>
      <c r="EW139" s="409" t="s">
        <v>1881</v>
      </c>
      <c r="EX139" s="409">
        <v>25</v>
      </c>
      <c r="EY139" s="411">
        <f t="shared" si="115"/>
        <v>0</v>
      </c>
      <c r="EZ139" s="411">
        <f t="shared" si="116"/>
        <v>6.7727272727272734</v>
      </c>
      <c r="FA139" s="410">
        <f t="shared" si="117"/>
        <v>0</v>
      </c>
      <c r="FB139" s="405" t="s">
        <v>545</v>
      </c>
      <c r="FC139" s="409" t="s">
        <v>3403</v>
      </c>
      <c r="FD139" s="420" t="str">
        <f t="shared" si="57"/>
        <v>ToyoLi - YELLOW</v>
      </c>
      <c r="FE139" s="409">
        <v>17</v>
      </c>
      <c r="FF139" s="411">
        <f>IF(FE139=0,0,IF($LB139=70%,VLOOKUP($FD139,'Jan-2026 rates'!$L:$R,4,0),IF($LB139=65%,VLOOKUP($FD139,'Jan-2026 rates'!$L:$R,4,0),IF($LB139=40%,VLOOKUP($FD139,'Jan-2026 rates'!$L:$R,5,0),IF($LB139=30%,VLOOKUP($FD139,'Jan-2026 rates'!$L:$R,6,0),IF($LB139=100%,VLOOKUP($FD139,'Jan-2026 rates'!$L:$R,7,0),IF($LB139=60%,VLOOKUP($FD139,'Jan-2026 rates'!$L:$S,8,0),IF($LB139=80%,VLOOKUP($FD139,'Jan-2026 rates'!L:T,9,0),0))))))))</f>
        <v>0</v>
      </c>
      <c r="FG139" s="412"/>
      <c r="FH139" s="409"/>
      <c r="FI139" s="411">
        <f>IF(FH139=0,0,IF($LB139=70%,VLOOKUP($FD139,'Jan-2026 rates'!$L:$R,4,0),IF($LB139=65%,VLOOKUP($FD139,'Jan-2026 rates'!$L:$R,4,0),IF($LB139=40%,VLOOKUP($FD139,'Jan-2026 rates'!$L:$R,5,0),IF($LB139=30%,VLOOKUP($FD139,'Jan-2026 rates'!$L:$R,6,0),IF($LB139=100%,VLOOKUP($FD139,'Jan-2026 rates'!$L:$R,7,0),IF($LB139=60%,VLOOKUP($FD139,'Jan-2026 rates'!$L:$S,8,0),IF($LB139=80%,VLOOKUP($FD139,'Jan-2026 rates'!L:T,9,0),0))))))))</f>
        <v>0</v>
      </c>
      <c r="FJ139" s="413" t="s">
        <v>1247</v>
      </c>
      <c r="FK139" s="413" t="s">
        <v>1921</v>
      </c>
      <c r="FL139" s="413"/>
      <c r="FM139" s="412"/>
      <c r="FN139" s="412"/>
      <c r="FO139" s="412"/>
      <c r="FP139" s="412"/>
      <c r="FQ139" s="412"/>
      <c r="FR139" s="409">
        <v>6</v>
      </c>
      <c r="FS139" s="398">
        <f>IF(FR139=0,0,IF(LEN(FJ139)=11,_xlfn.XLOOKUP(FJ139,'Dispensed Ink Rates'!C:C,'Dispensed Ink Rates'!CS:CS),VLOOKUP(FJ139,'Jan-2026 rates'!$E:$F,2,0)))</f>
        <v>0</v>
      </c>
      <c r="FT139" s="409">
        <v>2</v>
      </c>
      <c r="FU139" s="398">
        <f>IF(FT139=0,0,IF(LEN(FK139)=11,_xlfn.XLOOKUP(FK139,'Dispensed Ink Rates'!C:C,'Dispensed Ink Rates'!CS:CS),VLOOKUP(FK139,'Jan-2026 rates'!$E:$F,2,0)))</f>
        <v>0</v>
      </c>
      <c r="FV139" s="409"/>
      <c r="FW139" s="398">
        <f>IF(FV139=0,0,IF(LEN(FL139)=11,_xlfn.XLOOKUP(FL139,'Dispensed Ink Rates'!C:C,'Dispensed Ink Rates'!CS:CS),VLOOKUP(FL139,'Jan-2026 rates'!$E:$F,2,0)))</f>
        <v>0</v>
      </c>
      <c r="FX139" s="409"/>
      <c r="FY139" s="398">
        <f>IF(FX139=0,0,IF(LEN(FM139)=11,_xlfn.XLOOKUP(FM139,'Dispensed Ink Rates'!C:C,'Dispensed Ink Rates'!CS:CS),VLOOKUP(FM139,'Jan-2026 rates'!$E:$F,2,0)))</f>
        <v>0</v>
      </c>
      <c r="FZ139" s="409"/>
      <c r="GA139" s="398">
        <f>IF(FZ139=0,0,IF(LEN(FN139)=11,_xlfn.XLOOKUP(FN139,'Dispensed Ink Rates'!C:C,'Dispensed Ink Rates'!CS:CS),VLOOKUP(FN139,'Jan-2026 rates'!$E:$F,2,0)))</f>
        <v>0</v>
      </c>
      <c r="GB139" s="409"/>
      <c r="GC139" s="398">
        <f>IF(GB139=0,0,IF(LEN(FO139)=11,_xlfn.XLOOKUP(FO139,'Dispensed Ink Rates'!C:C,'Dispensed Ink Rates'!CS:CS),VLOOKUP(FO139,'Jan-2026 rates'!$E:$F,2,0)))</f>
        <v>0</v>
      </c>
      <c r="GD139" s="409"/>
      <c r="GE139" s="398">
        <f>IF(GD139=0,0,IF(LEN(FP139)=11,_xlfn.XLOOKUP(FP139,'Dispensed Ink Rates'!C:C,'Dispensed Ink Rates'!CS:CS),VLOOKUP(FP139,'Jan-2026 rates'!$E:$F,2,0)))</f>
        <v>0</v>
      </c>
      <c r="GF139" s="409"/>
      <c r="GG139" s="398">
        <f>IF(GF139=0,0,IF(LEN(FQ139)=11,_xlfn.XLOOKUP(FQ139,'Dispensed Ink Rates'!C:C,'Dispensed Ink Rates'!CS:CS),VLOOKUP(FQ139,'Jan-2026 rates'!$E:$F,2,0)))</f>
        <v>0</v>
      </c>
      <c r="GH139" s="409" t="s">
        <v>1881</v>
      </c>
      <c r="GI139" s="409">
        <v>28</v>
      </c>
      <c r="GJ139" s="411">
        <f t="shared" si="118"/>
        <v>0</v>
      </c>
      <c r="GK139" s="411">
        <f t="shared" si="119"/>
        <v>6.7727272727272734</v>
      </c>
      <c r="GL139" s="410">
        <f t="shared" si="120"/>
        <v>0</v>
      </c>
      <c r="GM139" s="405" t="s">
        <v>548</v>
      </c>
      <c r="GN139" s="409" t="s">
        <v>2581</v>
      </c>
      <c r="GO139" s="420" t="str">
        <f t="shared" si="58"/>
        <v>ToyoLi - GOLD</v>
      </c>
      <c r="GP139" s="409">
        <v>14</v>
      </c>
      <c r="GQ139" s="411">
        <f>IF(GP139=0,0,IF($LB139=70%,VLOOKUP($GO139,'Jan-2026 rates'!$L:$R,4,0),IF($LB139=65%,VLOOKUP($GO139,'Jan-2026 rates'!$L:$R,4,0),IF($LB139=40%,VLOOKUP($GO139,'Jan-2026 rates'!$L:$R,5,0),IF($LB139=30%,VLOOKUP($GO139,'Jan-2026 rates'!$L:$R,6,0),IF($LB139=100%,VLOOKUP($GO139,'Jan-2026 rates'!$L:$R,7,0),IF($LB139=60%,VLOOKUP($GO139,'Jan-2026 rates'!$L:$S,8,0),IF($LB139=80%,VLOOKUP($GO139,'Jan-2026 rates'!L:T,9,0),0))))))))</f>
        <v>0</v>
      </c>
      <c r="GR139" s="412"/>
      <c r="GS139" s="409"/>
      <c r="GT139" s="411">
        <f>IF(GS139=0,0,IF($LB139=70%,VLOOKUP($GO139,'Jan-2026 rates'!$L:$R,4,0),IF($LB139=65%,VLOOKUP($GO139,'Jan-2026 rates'!$L:$R,4,0),IF($LB139=40%,VLOOKUP($GO139,'Jan-2026 rates'!$L:$R,5,0),IF($LB139=30%,VLOOKUP($GO139,'Jan-2026 rates'!$L:$R,6,0),IF($LB139=100%,VLOOKUP($GO139,'Jan-2026 rates'!$L:$R,7,0),IF($LB139=60%,VLOOKUP($GO139,'Jan-2026 rates'!$L:$S,8,0),IF($LB139=80%,VLOOKUP($GO139,'Jan-2026 rates'!L:T,9,0),0))))))))</f>
        <v>0</v>
      </c>
      <c r="GU139" s="413" t="s">
        <v>1892</v>
      </c>
      <c r="GV139" s="413" t="s">
        <v>1891</v>
      </c>
      <c r="GW139" s="412">
        <v>262</v>
      </c>
      <c r="GX139" s="412"/>
      <c r="GY139" s="412"/>
      <c r="GZ139" s="412"/>
      <c r="HA139" s="412"/>
      <c r="HB139" s="412"/>
      <c r="HC139" s="409">
        <v>10</v>
      </c>
      <c r="HD139" s="398">
        <f>IF(HC139=0,0,IF(LEN(GU139)=11,_xlfn.XLOOKUP(GU139,'Dispensed Ink Rates'!C:C,'Dispensed Ink Rates'!CS:CS),VLOOKUP(GU139,'Jan-2026 rates'!$E:$F,2,0)))</f>
        <v>0</v>
      </c>
      <c r="HE139" s="409">
        <v>2</v>
      </c>
      <c r="HF139" s="398">
        <f>IF(HE139=0,0,IF(LEN(GV139)=11,_xlfn.XLOOKUP(GV139,'Dispensed Ink Rates'!C:C,'Dispensed Ink Rates'!CS:CS),VLOOKUP(GV139,'Jan-2026 rates'!$E:$F,2,0)))</f>
        <v>0</v>
      </c>
      <c r="HG139" s="409">
        <v>4</v>
      </c>
      <c r="HH139" s="398">
        <f>IF(HG139=0,0,IF(LEN(GW139)=11,_xlfn.XLOOKUP(GW139,'Dispensed Ink Rates'!C:C,'Dispensed Ink Rates'!CS:CS),VLOOKUP(GW139,'Jan-2026 rates'!$E:$F,2,0)))</f>
        <v>0</v>
      </c>
      <c r="HI139" s="409"/>
      <c r="HJ139" s="398">
        <f>IF(HI139=0,0,IF(LEN(GX139)=11,_xlfn.XLOOKUP(GX139,'Dispensed Ink Rates'!C:C,'Dispensed Ink Rates'!CS:CS),VLOOKUP(GX139,'Jan-2026 rates'!$E:$F,2,0)))</f>
        <v>0</v>
      </c>
      <c r="HK139" s="409"/>
      <c r="HL139" s="398">
        <f>IF(HK139=0,0,IF(LEN(GY139)=11,_xlfn.XLOOKUP(GY139,'Dispensed Ink Rates'!C:C,'Dispensed Ink Rates'!CS:CS),VLOOKUP(GY139,'Jan-2026 rates'!$E:$F,2,0)))</f>
        <v>0</v>
      </c>
      <c r="HM139" s="409"/>
      <c r="HN139" s="398">
        <f>IF(HM139=0,0,IF(LEN(GZ139)=11,_xlfn.XLOOKUP(GZ139,'Dispensed Ink Rates'!C:C,'Dispensed Ink Rates'!CS:CS),VLOOKUP(GZ139,'Jan-2026 rates'!$E:$F,2,0)))</f>
        <v>0</v>
      </c>
      <c r="HO139" s="409"/>
      <c r="HP139" s="398">
        <f>IF(HO139=0,0,IF(LEN(HA139)=11,_xlfn.XLOOKUP(HA139,'Dispensed Ink Rates'!C:C,'Dispensed Ink Rates'!CS:CS),VLOOKUP(HA139,'Jan-2026 rates'!$E:$F,2,0)))</f>
        <v>0</v>
      </c>
      <c r="HQ139" s="409"/>
      <c r="HR139" s="398">
        <f>IF(HQ139=0,0,IF(LEN(HB139)=11,_xlfn.XLOOKUP(HB139,'Dispensed Ink Rates'!C:C,'Dispensed Ink Rates'!CS:CS),VLOOKUP(HB139,'Jan-2026 rates'!$E:$F,2,0)))</f>
        <v>0</v>
      </c>
      <c r="HS139" s="409" t="s">
        <v>1881</v>
      </c>
      <c r="HT139" s="409">
        <v>30</v>
      </c>
      <c r="HU139" s="411">
        <f t="shared" si="121"/>
        <v>0</v>
      </c>
      <c r="HV139" s="411">
        <f t="shared" si="122"/>
        <v>7.8181818181818201</v>
      </c>
      <c r="HW139" s="414">
        <f t="shared" si="123"/>
        <v>0</v>
      </c>
      <c r="HX139" s="405" t="s">
        <v>856</v>
      </c>
      <c r="HY139" s="409"/>
      <c r="HZ139" s="420" t="str">
        <f t="shared" si="59"/>
        <v>ToyoLi - WHITE</v>
      </c>
      <c r="IA139" s="409"/>
      <c r="IB139" s="411">
        <f>IF(IA139=0,0,IF($LB139=70%,VLOOKUP($HZ139,'Jan-2026 rates'!$L:$R,4,0),IF($LB139=65%,VLOOKUP($HZ139,'Jan-2026 rates'!$L:$R,4,0),IF($LB139=40%,VLOOKUP($HZ139,'Jan-2026 rates'!$L:$R,5,0),IF($LB139=30%,VLOOKUP($HZ139,'Jan-2026 rates'!$L:$R,6,0),IF($LB139=100%,VLOOKUP($HZ139,'Jan-2026 rates'!$L:$R,7,0),IF($LB139=60%,VLOOKUP($HZ139,'Jan-2026 rates'!$L:$S,8,0),IF($LB139=80%,VLOOKUP($HZ139,'Jan-2026 rates'!L:T,9,0),0))))))))</f>
        <v>0</v>
      </c>
      <c r="IC139" s="412"/>
      <c r="ID139" s="409"/>
      <c r="IE139" s="411">
        <f>IF(ID139=0,0,IF($LB139=70%,VLOOKUP($HZ139,'Jan-2026 rates'!$L:$R,4,0),IF($LB139=65%,VLOOKUP($HZ139,'Jan-2026 rates'!$L:$R,4,0),IF($LB139=40%,VLOOKUP($HZ139,'Jan-2026 rates'!$L:$R,5,0),IF($LB139=30%,VLOOKUP($HZ139,'Jan-2026 rates'!$L:$R,6,0),IF($LB139=100%,VLOOKUP($HZ139,'Jan-2026 rates'!$L:$R,7,0),IF($LB139=60%,VLOOKUP($HZ139,'Jan-2026 rates'!$L:$S,8,0),IF($LB139=80%,VLOOKUP($HZ139,'Jan-2026 rates'!L:T,9,0),0))))))))</f>
        <v>0</v>
      </c>
      <c r="IF139" s="412" t="s">
        <v>1249</v>
      </c>
      <c r="IG139" s="413" t="s">
        <v>1122</v>
      </c>
      <c r="IH139" s="412"/>
      <c r="II139" s="412"/>
      <c r="IJ139" s="412"/>
      <c r="IK139" s="412"/>
      <c r="IL139" s="412"/>
      <c r="IM139" s="412"/>
      <c r="IN139" s="409">
        <v>40</v>
      </c>
      <c r="IO139" s="398">
        <f>IF(IN139=0,0,IF(LEN(IF139)=11,_xlfn.XLOOKUP(IF139,'Dispensed Ink Rates'!C:C,'Dispensed Ink Rates'!CS:CS),VLOOKUP(IF139,'Jan-2026 rates'!$E:$F,2,0)))</f>
        <v>0</v>
      </c>
      <c r="IP139" s="409">
        <v>4.51</v>
      </c>
      <c r="IQ139" s="398">
        <f>IF(IP139=0,0,IF(LEN(IG139)=11,_xlfn.XLOOKUP(IG139,'Dispensed Ink Rates'!C:C,'Dispensed Ink Rates'!CS:CS),VLOOKUP(IG139,'Jan-2026 rates'!$E:$F,2,0)))</f>
        <v>0</v>
      </c>
      <c r="IR139" s="409"/>
      <c r="IS139" s="398">
        <f>IF(IR139=0,0,IF(LEN(IH139)=11,_xlfn.XLOOKUP(IH139,'Dispensed Ink Rates'!C:C,'Dispensed Ink Rates'!CS:CS),VLOOKUP(IH139,'Jan-2026 rates'!$E:$F,2,0)))</f>
        <v>0</v>
      </c>
      <c r="IT139" s="409"/>
      <c r="IU139" s="398">
        <f>IF(IT139=0,0,IF(LEN(II139)=11,_xlfn.XLOOKUP(II139,'Dispensed Ink Rates'!C:C,'Dispensed Ink Rates'!CS:CS),VLOOKUP(II139,'Jan-2026 rates'!$E:$F,2,0)))</f>
        <v>0</v>
      </c>
      <c r="IV139" s="409"/>
      <c r="IW139" s="398">
        <f>IF(IV139=0,0,IF(LEN(IJ139)=11,_xlfn.XLOOKUP(IJ139,'Dispensed Ink Rates'!C:C,'Dispensed Ink Rates'!CS:CS),VLOOKUP(IJ139,'Jan-2026 rates'!$E:$F,2,0)))</f>
        <v>0</v>
      </c>
      <c r="IX139" s="409"/>
      <c r="IY139" s="398">
        <f>IF(IX139=0,0,IF(LEN(IK139)=11,_xlfn.XLOOKUP(IK139,'Dispensed Ink Rates'!C:C,'Dispensed Ink Rates'!CS:CS),VLOOKUP(IK139,'Jan-2026 rates'!$E:$F,2,0)))</f>
        <v>0</v>
      </c>
      <c r="IZ139" s="409"/>
      <c r="JA139" s="398">
        <f>IF(IZ139=0,0,IF(LEN(IL139)=11,_xlfn.XLOOKUP(IL139,'Dispensed Ink Rates'!C:C,'Dispensed Ink Rates'!CS:CS),VLOOKUP(IL139,'Jan-2026 rates'!$E:$F,2,0)))</f>
        <v>0</v>
      </c>
      <c r="JB139" s="409"/>
      <c r="JC139" s="398">
        <f>IF(JB139=0,0,IF(LEN(IM139)=11,_xlfn.XLOOKUP(IM139,'Dispensed Ink Rates'!C:C,'Dispensed Ink Rates'!CS:CS),VLOOKUP(IM139,'Jan-2026 rates'!$E:$F,2,0)))</f>
        <v>0</v>
      </c>
      <c r="JD139" s="409" t="s">
        <v>1881</v>
      </c>
      <c r="JE139" s="409">
        <v>25</v>
      </c>
      <c r="JF139" s="411">
        <f t="shared" si="124"/>
        <v>0</v>
      </c>
      <c r="JG139" s="411">
        <f t="shared" si="125"/>
        <v>58.600909090909084</v>
      </c>
      <c r="JH139" s="410">
        <f t="shared" si="126"/>
        <v>0</v>
      </c>
      <c r="JI139" s="405"/>
      <c r="JJ139" s="409"/>
      <c r="JK139" s="420" t="str">
        <f t="shared" si="60"/>
        <v xml:space="preserve"> - </v>
      </c>
      <c r="JL139" s="409"/>
      <c r="JM139" s="411">
        <f>IF(JL139=0,0,IF($LB139=70%,VLOOKUP($JK139,'Jan-2026 rates'!$L:$R,4,0),IF($LB139=65%,VLOOKUP($JK139,'Jan-2026 rates'!$L:$R,4,0),IF($LB139=40%,VLOOKUP($JK139,'Jan-2026 rates'!$L:$R,5,0),IF($LB139=30%,VLOOKUP($JK139,'Jan-2026 rates'!$L:$R,6,0),IF($LB139=100%,VLOOKUP($JK139,'Jan-2026 rates'!$L:$R,7,0),IF($LB139=60%,VLOOKUP($JK139,'Jan-2026 rates'!$L:$S,8,0),IF($LB139=80%,VLOOKUP($JK139,'Jan-2026 rates'!L:T,9,0),0))))))))</f>
        <v>0</v>
      </c>
      <c r="JN139" s="412"/>
      <c r="JO139" s="409"/>
      <c r="JP139" s="411">
        <f>IF(JO139=0,0,IF($LB139=70%,VLOOKUP($JK139,'Jan-2026 rates'!$L:$R,4,0),IF($LB139=65%,VLOOKUP($JK139,'Jan-2026 rates'!$L:$R,4,0),IF($LB139=40%,VLOOKUP($JK139,'Jan-2026 rates'!$L:$R,5,0),IF($LB139=30%,VLOOKUP($JK139,'Jan-2026 rates'!$L:$R,6,0),IF($LB139=100%,VLOOKUP($JK139,'Jan-2026 rates'!$L:$R,7,0),IF($LB139=60%,VLOOKUP($JK139,'Jan-2026 rates'!$L:$S,8,0),IF($LB139=80%,VLOOKUP($JK139,'Jan-2026 rates'!L:T,9,0),0))))))))</f>
        <v>0</v>
      </c>
      <c r="JQ139" s="413"/>
      <c r="JR139" s="412"/>
      <c r="JS139" s="413"/>
      <c r="JT139" s="413"/>
      <c r="JU139" s="412"/>
      <c r="JV139" s="412"/>
      <c r="JW139" s="412"/>
      <c r="JX139" s="412"/>
      <c r="JY139" s="409"/>
      <c r="JZ139" s="398">
        <f>IF(JY139=0,0,IF(LEN(JQ139)=11,_xlfn.XLOOKUP(JQ139,'Dispensed Ink Rates'!C:C,'Dispensed Ink Rates'!CS:CS),VLOOKUP(JQ139,'Jan-2026 rates'!$E:$F,2,0)))</f>
        <v>0</v>
      </c>
      <c r="KA139" s="409"/>
      <c r="KB139" s="398">
        <f>IF(KA139=0,0,IF(LEN(JR139)=11,_xlfn.XLOOKUP(JR139,'Dispensed Ink Rates'!C:C,'Dispensed Ink Rates'!CS:CS),VLOOKUP(JR139,'Jan-2026 rates'!$E:$F,2,0)))</f>
        <v>0</v>
      </c>
      <c r="KC139" s="409"/>
      <c r="KD139" s="398">
        <f>IF(KC139=0,0,IF(LEN(JS139)=11,_xlfn.XLOOKUP(JS139,'Dispensed Ink Rates'!C:C,'Dispensed Ink Rates'!CS:CS),VLOOKUP(JS139,'Jan-2026 rates'!$E:$F,2,0)))</f>
        <v>0</v>
      </c>
      <c r="KE139" s="409"/>
      <c r="KF139" s="398">
        <f>IF(KE139=0,0,IF(LEN(JT139)=11,_xlfn.XLOOKUP(JT139,'Dispensed Ink Rates'!C:C,'Dispensed Ink Rates'!CS:CS),VLOOKUP(JT139,'Jan-2026 rates'!$E:$F,2,0)))</f>
        <v>0</v>
      </c>
      <c r="KG139" s="409"/>
      <c r="KH139" s="398">
        <f>IF(KG139=0,0,IF(LEN(JU139)=11,_xlfn.XLOOKUP(JU139,'Dispensed Ink Rates'!C:C,'Dispensed Ink Rates'!CS:CS),VLOOKUP(JU139,'Jan-2026 rates'!$E:$F,2,0)))</f>
        <v>0</v>
      </c>
      <c r="KI139" s="409"/>
      <c r="KJ139" s="398">
        <f>IF(KI139=0,0,IF(LEN(JV139)=11,_xlfn.XLOOKUP(JV139,'Dispensed Ink Rates'!C:C,'Dispensed Ink Rates'!CS:CS),VLOOKUP(JV139,'Jan-2026 rates'!$E:$F,2,0)))</f>
        <v>0</v>
      </c>
      <c r="KK139" s="409"/>
      <c r="KL139" s="398">
        <f>IF(KK139=0,0,IF(LEN(JW139)=11,_xlfn.XLOOKUP(JW139,'Dispensed Ink Rates'!C:C,'Dispensed Ink Rates'!CS:CS),VLOOKUP(JW139,'Jan-2026 rates'!$E:$F,2,0)))</f>
        <v>0</v>
      </c>
      <c r="KM139" s="428"/>
      <c r="KN139" s="398">
        <f>IF(KM139=0,0,IF(LEN(JX139)=11,_xlfn.XLOOKUP(JX139,'Dispensed Ink Rates'!C:C,'Dispensed Ink Rates'!CS:CS),VLOOKUP(JX139,'Jan-2026 rates'!$E:$F,2,0)))</f>
        <v>0</v>
      </c>
      <c r="KO139" s="409"/>
      <c r="KP139" s="409"/>
      <c r="KQ139" s="411">
        <f t="shared" si="127"/>
        <v>0</v>
      </c>
      <c r="KR139" s="411">
        <f t="shared" si="128"/>
        <v>0</v>
      </c>
      <c r="KS139" s="410">
        <f t="shared" si="129"/>
        <v>0</v>
      </c>
      <c r="KT139" s="409">
        <v>2</v>
      </c>
      <c r="KU139" s="409">
        <v>4</v>
      </c>
      <c r="KV139" s="409">
        <v>4</v>
      </c>
      <c r="KW139" s="409">
        <v>5</v>
      </c>
      <c r="KX139" s="409">
        <v>5</v>
      </c>
      <c r="KY139" s="409">
        <v>4</v>
      </c>
      <c r="KZ139" s="409">
        <v>20</v>
      </c>
      <c r="LA139" s="409">
        <v>0</v>
      </c>
      <c r="LB139" s="415">
        <v>0.3</v>
      </c>
      <c r="LC139" s="415"/>
      <c r="LD139" s="415"/>
      <c r="LE139" s="415">
        <v>0.5</v>
      </c>
      <c r="LF139" s="415">
        <v>0.2</v>
      </c>
      <c r="LG139" s="409">
        <v>0</v>
      </c>
      <c r="LH139" s="409">
        <f>24+22+12+20+8</f>
        <v>86</v>
      </c>
      <c r="LI139" s="409">
        <v>0</v>
      </c>
      <c r="LJ139" s="409">
        <v>0</v>
      </c>
      <c r="LK139" s="416">
        <f t="shared" si="61"/>
        <v>86</v>
      </c>
      <c r="LL139" s="416">
        <f t="shared" si="62"/>
        <v>86</v>
      </c>
      <c r="LM139" s="417">
        <f t="shared" si="63"/>
        <v>25.8</v>
      </c>
      <c r="LN139" s="417">
        <f>VLOOKUP($LM$8,'Jan-2026 rates'!$H:$I,2,0)</f>
        <v>0</v>
      </c>
      <c r="LO139" s="417">
        <f t="shared" si="64"/>
        <v>0</v>
      </c>
      <c r="LP139" s="417">
        <f>VLOOKUP($LO$8,'Jan-2026 rates'!$H:$I,2,0)</f>
        <v>0</v>
      </c>
      <c r="LQ139" s="417">
        <f t="shared" si="65"/>
        <v>0</v>
      </c>
      <c r="LR139" s="417">
        <f>VLOOKUP($LQ$8,'Jan-2026 rates'!$H:$I,2,0)</f>
        <v>0</v>
      </c>
      <c r="LS139" s="417">
        <f t="shared" si="66"/>
        <v>43</v>
      </c>
      <c r="LT139" s="417">
        <f>VLOOKUP($LS$8,'Jan-2026 rates'!$H:$I,2,0)</f>
        <v>0</v>
      </c>
      <c r="LU139" s="417">
        <f t="shared" si="67"/>
        <v>17.2</v>
      </c>
      <c r="LV139" s="417">
        <f>VLOOKUP($LU$8,'Jan-2026 rates'!$H:$I,2,0)</f>
        <v>0</v>
      </c>
      <c r="LW139" s="417">
        <f t="shared" si="68"/>
        <v>0</v>
      </c>
      <c r="LX139" s="417">
        <f t="shared" si="69"/>
        <v>0</v>
      </c>
      <c r="LY139" s="418">
        <f t="shared" si="70"/>
        <v>0</v>
      </c>
      <c r="LZ139" s="417"/>
      <c r="MA139" s="435">
        <f t="shared" si="71"/>
        <v>96.51</v>
      </c>
      <c r="MB139" s="282">
        <f t="shared" si="72"/>
        <v>118.50999999999999</v>
      </c>
      <c r="MC139" s="283" t="s">
        <v>1974</v>
      </c>
      <c r="MD139" s="284" t="str">
        <f t="shared" si="73"/>
        <v>ToyoLiToyoLiToyoLiToyoLiToyoLiToyoLiToyoLi</v>
      </c>
      <c r="ME139" s="293" t="str">
        <f t="shared" si="74"/>
        <v>+</v>
      </c>
      <c r="MF139" s="293" t="str">
        <f t="shared" si="75"/>
        <v>+</v>
      </c>
      <c r="MG139" s="293" t="str">
        <f t="shared" si="76"/>
        <v>+</v>
      </c>
      <c r="MH139" s="293" t="str">
        <f t="shared" si="77"/>
        <v>+</v>
      </c>
      <c r="MI139" s="293" t="str">
        <f t="shared" si="78"/>
        <v>+</v>
      </c>
      <c r="MJ139" s="293" t="str">
        <f t="shared" si="79"/>
        <v>+</v>
      </c>
      <c r="MK139" s="293" t="str">
        <f t="shared" si="80"/>
        <v>+</v>
      </c>
      <c r="ML139" s="293" t="str">
        <f t="shared" si="81"/>
        <v>NIL</v>
      </c>
      <c r="MM139" s="3" t="b">
        <f t="array" ref="MM139">OR(ME139:ML139="-")</f>
        <v>0</v>
      </c>
      <c r="MN139" s="285"/>
      <c r="MO139" s="401"/>
      <c r="MP139" s="286"/>
      <c r="MQ139" s="286"/>
      <c r="MR139" s="402"/>
      <c r="MS139" s="400"/>
      <c r="NH139" s="422"/>
      <c r="NJ139" s="421"/>
    </row>
    <row r="140" spans="1:374" s="1" customFormat="1" ht="16.5">
      <c r="A140" s="403">
        <v>46030</v>
      </c>
      <c r="B140" s="404" t="s">
        <v>1015</v>
      </c>
      <c r="C140" s="405" t="s">
        <v>3404</v>
      </c>
      <c r="D140" s="406" t="s">
        <v>1975</v>
      </c>
      <c r="E140" s="404">
        <v>85</v>
      </c>
      <c r="F140" s="407">
        <v>4800</v>
      </c>
      <c r="G140" s="407" t="s">
        <v>1016</v>
      </c>
      <c r="H140" s="408" t="s">
        <v>1017</v>
      </c>
      <c r="I140" s="409">
        <v>1.1599999999999999</v>
      </c>
      <c r="J140" s="405" t="s">
        <v>543</v>
      </c>
      <c r="K140" s="404" t="s">
        <v>3405</v>
      </c>
      <c r="L140" s="419" t="str">
        <f t="shared" si="54"/>
        <v>ToyoLi - BLACK</v>
      </c>
      <c r="M140" s="404">
        <v>32</v>
      </c>
      <c r="N140" s="410">
        <f>IF(M140=0,0,IF($LB140=70%,VLOOKUP($L140,'Jan-2026 rates'!$L:$R,4,0),IF($LB140=65%,VLOOKUP($L140,'Jan-2026 rates'!$L:$R,4,0),IF($LB140=40%,VLOOKUP($L140,'Jan-2026 rates'!$L:$R,5,0),IF($LB140=30%,VLOOKUP($L140,'Jan-2026 rates'!$L:$R,6,0),IF($LB140=100%,VLOOKUP($L140,'Jan-2026 rates'!$L:$R,7,0),IF($LB140=60%,VLOOKUP($L140,'Jan-2026 rates'!$L:$S,8,0),IF($LB140=80%,VLOOKUP($L140,'Jan-2026 rates'!L:T,9,0),0))))))))</f>
        <v>0</v>
      </c>
      <c r="O140" s="406"/>
      <c r="P140" s="404"/>
      <c r="Q140" s="410">
        <f>IF(P140=0,0,IF($LB140=70%,VLOOKUP($L140,'Jan-2026 rates'!$L:$R,4,0),IF($LB140=65%,VLOOKUP($L140,'Jan-2026 rates'!$L:$R,4,0),IF($LB140=40%,VLOOKUP($L140,'Jan-2026 rates'!$L:$R,5,0),IF($LB140=30%,VLOOKUP($L140,'Jan-2026 rates'!$L:$R,6,0),IF($LB140=100%,VLOOKUP($L140,'Jan-2026 rates'!$L:$R,7,0),IF($LB140=60%,VLOOKUP($L140,'Jan-2026 rates'!$L:$S,8,0),IF($LB140=80%,VLOOKUP($L140,'Jan-2026 rates'!L:T,9,0),0))))))))</f>
        <v>0</v>
      </c>
      <c r="R140" s="406"/>
      <c r="S140" s="406"/>
      <c r="T140" s="406"/>
      <c r="U140" s="406"/>
      <c r="V140" s="406"/>
      <c r="W140" s="406"/>
      <c r="X140" s="406"/>
      <c r="Y140" s="406"/>
      <c r="Z140" s="404"/>
      <c r="AA140" s="398">
        <f>IF(Z140=0,0,IF(LEN(R140)=11,_xlfn.XLOOKUP(R140,'Dispensed Ink Rates'!C:C,'Dispensed Ink Rates'!CS:CS),VLOOKUP(R140,'Jan-2026 rates'!$E:$F,2,0)))</f>
        <v>0</v>
      </c>
      <c r="AB140" s="404"/>
      <c r="AC140" s="398">
        <f>IF(AB140=0,0,IF(LEN(S140)=11,_xlfn.XLOOKUP(S140,'Dispensed Ink Rates'!C:C,'Dispensed Ink Rates'!CS:CS),VLOOKUP(S140,'Jan-2026 rates'!$E:$F,2,0)))</f>
        <v>0</v>
      </c>
      <c r="AD140" s="404"/>
      <c r="AE140" s="398">
        <f>IF(AD140=0,0,IF(LEN(T140)=11,_xlfn.XLOOKUP(T140,'Dispensed Ink Rates'!C:C,'Dispensed Ink Rates'!CS:CS),VLOOKUP(T140,'Jan-2026 rates'!$E:$F,2,0)))</f>
        <v>0</v>
      </c>
      <c r="AF140" s="404"/>
      <c r="AG140" s="398">
        <f>IF(AF140=0,0,IF(LEN(U140)=11,_xlfn.XLOOKUP(U140,'Dispensed Ink Rates'!C:C,'Dispensed Ink Rates'!CS:CS),VLOOKUP(U140,'Jan-2026 rates'!$E:$F,2,0)))</f>
        <v>0</v>
      </c>
      <c r="AH140" s="404"/>
      <c r="AI140" s="398">
        <f>IF(AH140=0,0,IF(LEN(V140)=11,_xlfn.XLOOKUP(V140,'Dispensed Ink Rates'!C:C,'Dispensed Ink Rates'!CS:CS),VLOOKUP(V140,'Jan-2026 rates'!$E:$F,2,0)))</f>
        <v>0</v>
      </c>
      <c r="AJ140" s="404"/>
      <c r="AK140" s="398">
        <f>IF(AJ140=0,0,IF(LEN(W140)=11,_xlfn.XLOOKUP(W140,'Dispensed Ink Rates'!C:C,'Dispensed Ink Rates'!CS:CS),VLOOKUP(W140,'Jan-2026 rates'!$E:$F,2,0)))</f>
        <v>0</v>
      </c>
      <c r="AL140" s="404"/>
      <c r="AM140" s="398">
        <f>IF(AL140=0,0,IF(LEN(X140)=11,_xlfn.XLOOKUP(X140,'Dispensed Ink Rates'!C:C,'Dispensed Ink Rates'!CS:CS),VLOOKUP(X140,'Jan-2026 rates'!$E:$F,2,0)))</f>
        <v>0</v>
      </c>
      <c r="AN140" s="404"/>
      <c r="AO140" s="398">
        <f>IF(AN140=0,0,IF(LEN(Y140)=11,_xlfn.XLOOKUP(Y140,'Dispensed Ink Rates'!C:C,'Dispensed Ink Rates'!CS:CS),VLOOKUP(Y140,'Jan-2026 rates'!$E:$F,2,0)))</f>
        <v>0</v>
      </c>
      <c r="AP140" s="409" t="s">
        <v>1881</v>
      </c>
      <c r="AQ140" s="409">
        <v>30</v>
      </c>
      <c r="AR140" s="410">
        <f t="shared" si="106"/>
        <v>0</v>
      </c>
      <c r="AS140" s="411">
        <f t="shared" si="107"/>
        <v>2</v>
      </c>
      <c r="AT140" s="410">
        <f t="shared" si="108"/>
        <v>0</v>
      </c>
      <c r="AU140" s="405" t="s">
        <v>546</v>
      </c>
      <c r="AV140" s="409" t="s">
        <v>3406</v>
      </c>
      <c r="AW140" s="420" t="str">
        <f t="shared" si="53"/>
        <v>ToyoLi - REFLEX BLUE</v>
      </c>
      <c r="AX140" s="409">
        <v>20</v>
      </c>
      <c r="AY140" s="411">
        <f>IF(AX140=0,0,IF($LB140=70%,VLOOKUP($AW140,'Jan-2026 rates'!$L:$R,4,0),IF($LB140=65%,VLOOKUP($AW140,'Jan-2026 rates'!$L:$R,4,0),IF($LB140=40%,VLOOKUP($AW140,'Jan-2026 rates'!$L:$R,5,0),IF($LB140=30%,VLOOKUP($AW140,'Jan-2026 rates'!$L:$R,6,0),IF($LB140=100%,VLOOKUP($AW140,'Jan-2026 rates'!$L:$R,7,0),IF($LB140=60%,VLOOKUP($AW140,'Jan-2026 rates'!$L:$S,8,0),IF($LB140=80%,VLOOKUP($AW140,'Jan-2026 rates'!L:T,9,0),0))))))))</f>
        <v>0</v>
      </c>
      <c r="AZ140" s="412"/>
      <c r="BA140" s="409"/>
      <c r="BB140" s="411">
        <f>IF(BA140=0,0,IF($LB140=70%,VLOOKUP($AW140,'Jan-2026 rates'!$L:$R,4,0),IF($LB140=65%,VLOOKUP($AW140,'Jan-2026 rates'!$L:$R,4,0),IF($LB140=40%,VLOOKUP($AW140,'Jan-2026 rates'!$L:$R,5,0),IF($LB140=30%,VLOOKUP($AW140,'Jan-2026 rates'!$L:$R,6,0),IF($LB140=100%,VLOOKUP($AW140,'Jan-2026 rates'!$L:$R,7,0),IF($LB140=60%,VLOOKUP($AW140,'Jan-2026 rates'!$L:$S,8,0),IF($LB140=80%,VLOOKUP($AW140,'Jan-2026 rates'!L:T,9,0),0))))))))</f>
        <v>0</v>
      </c>
      <c r="BC140" s="413" t="s">
        <v>1246</v>
      </c>
      <c r="BD140" s="412" t="s">
        <v>1880</v>
      </c>
      <c r="BE140" s="412" t="s">
        <v>1252</v>
      </c>
      <c r="BF140" s="413"/>
      <c r="BG140" s="412"/>
      <c r="BH140" s="412"/>
      <c r="BI140" s="412"/>
      <c r="BJ140" s="412"/>
      <c r="BK140" s="409">
        <v>12</v>
      </c>
      <c r="BL140" s="398">
        <f>IF(BK140=0,0,IF(LEN(BC140)=11,_xlfn.XLOOKUP(BC140,'Dispensed Ink Rates'!C:C,'Dispensed Ink Rates'!CS:CS),VLOOKUP(BC140,'Jan-2026 rates'!$E:$F,2,0)))</f>
        <v>0</v>
      </c>
      <c r="BM140" s="409">
        <v>5</v>
      </c>
      <c r="BN140" s="398">
        <f>IF(BM140=0,0,IF(LEN(BD140)=11,_xlfn.XLOOKUP(BD140,'Dispensed Ink Rates'!C:C,'Dispensed Ink Rates'!CS:CS),VLOOKUP(BD140,'Jan-2026 rates'!$E:$F,2,0)))</f>
        <v>0</v>
      </c>
      <c r="BO140" s="409">
        <v>2</v>
      </c>
      <c r="BP140" s="398">
        <f>IF(BO140=0,0,IF(LEN(BE140)=11,_xlfn.XLOOKUP(BE140,'Dispensed Ink Rates'!C:C,'Dispensed Ink Rates'!CS:CS),VLOOKUP(BE140,'Jan-2026 rates'!$E:$F,2,0)))</f>
        <v>0</v>
      </c>
      <c r="BQ140" s="409"/>
      <c r="BR140" s="398">
        <f>IF(BQ140=0,0,IF(LEN(BF140)=11,_xlfn.XLOOKUP(BF140,'Dispensed Ink Rates'!C:C,'Dispensed Ink Rates'!CS:CS),VLOOKUP(BF140,'Jan-2026 rates'!$E:$F,2,0)))</f>
        <v>0</v>
      </c>
      <c r="BS140" s="409"/>
      <c r="BT140" s="398">
        <f>IF(BS140=0,0,IF(LEN(BG140)=11,_xlfn.XLOOKUP(BG140,'Dispensed Ink Rates'!C:C,'Dispensed Ink Rates'!CS:CS),VLOOKUP(BG140,'Jan-2026 rates'!$E:$F,2,0)))</f>
        <v>0</v>
      </c>
      <c r="BU140" s="409"/>
      <c r="BV140" s="398">
        <f>IF(BU140=0,0,IF(LEN(BH140)=11,_xlfn.XLOOKUP(BH140,'Dispensed Ink Rates'!C:C,'Dispensed Ink Rates'!CS:CS),VLOOKUP(BH140,'Jan-2026 rates'!$E:$F,2,0)))</f>
        <v>0</v>
      </c>
      <c r="BW140" s="409"/>
      <c r="BX140" s="398">
        <f>IF(BW140=0,0,IF(LEN(BI140)=11,_xlfn.XLOOKUP(BI140,'Dispensed Ink Rates'!C:C,'Dispensed Ink Rates'!CS:CS),VLOOKUP(BI140,'Jan-2026 rates'!$E:$F,2,0)))</f>
        <v>0</v>
      </c>
      <c r="BY140" s="409"/>
      <c r="BZ140" s="398">
        <f>IF(BY140=0,0,IF(LEN(BJ140)=11,_xlfn.XLOOKUP(BJ140,'Dispensed Ink Rates'!C:C,'Dispensed Ink Rates'!CS:CS),VLOOKUP(BJ140,'Jan-2026 rates'!$E:$F,2,0)))</f>
        <v>0</v>
      </c>
      <c r="CA140" s="409" t="s">
        <v>1881</v>
      </c>
      <c r="CB140" s="409">
        <f>16+10</f>
        <v>26</v>
      </c>
      <c r="CC140" s="411">
        <f t="shared" si="109"/>
        <v>0</v>
      </c>
      <c r="CD140" s="411">
        <f t="shared" si="110"/>
        <v>24.184210526315788</v>
      </c>
      <c r="CE140" s="410">
        <f t="shared" si="111"/>
        <v>0</v>
      </c>
      <c r="CF140" s="404" t="s">
        <v>855</v>
      </c>
      <c r="CG140" s="409" t="s">
        <v>3407</v>
      </c>
      <c r="CH140" s="420" t="str">
        <f t="shared" si="55"/>
        <v>ToyoLi - CYAN</v>
      </c>
      <c r="CI140" s="409">
        <v>17</v>
      </c>
      <c r="CJ140" s="411">
        <f>IF(CI140=0,0,IF($LB140=70%,VLOOKUP($CH140,'Jan-2026 rates'!$L:$R,4,0),IF($LB140=65%,VLOOKUP($CH140,'Jan-2026 rates'!$L:$R,4,0),IF($LB140=40%,VLOOKUP($CH140,'Jan-2026 rates'!$L:$R,5,0),IF($LB140=30%,VLOOKUP($CH140,'Jan-2026 rates'!$L:$R,6,0),IF($LB140=100%,VLOOKUP($CH140,'Jan-2026 rates'!$L:$R,7,0),IF($LB140=60%,VLOOKUP($CH140,'Jan-2026 rates'!$L:$S,8,0),IF($LB140=80%,VLOOKUP($CH140,'Jan-2026 rates'!L:T,9,0),0))))))))</f>
        <v>0</v>
      </c>
      <c r="CK140" s="412"/>
      <c r="CL140" s="409"/>
      <c r="CM140" s="411">
        <f>IF(CL140=0,0,IF($LB140=70%,VLOOKUP($CH140,'Jan-2026 rates'!$L:$R,4,0),IF($LB140=65%,VLOOKUP($CH140,'Jan-2026 rates'!$L:$R,4,0),IF($LB140=40%,VLOOKUP($CH140,'Jan-2026 rates'!$L:$R,5,0),IF($LB140=30%,VLOOKUP($CH140,'Jan-2026 rates'!$L:$R,6,0),IF($LB140=100%,VLOOKUP($CH140,'Jan-2026 rates'!$L:$R,7,0),IF($LB140=60%,VLOOKUP($CH140,'Jan-2026 rates'!$L:$S,8,0),IF($LB140=80%,VLOOKUP($CH140,'Jan-2026 rates'!L:T,9,0),0))))))))</f>
        <v>0</v>
      </c>
      <c r="CN140" s="426" t="s">
        <v>1250</v>
      </c>
      <c r="CO140" s="427" t="s">
        <v>1921</v>
      </c>
      <c r="CP140" s="426"/>
      <c r="CQ140" s="426"/>
      <c r="CR140" s="428"/>
      <c r="CS140" s="428"/>
      <c r="CT140" s="428"/>
      <c r="CU140" s="428"/>
      <c r="CV140" s="409">
        <v>4</v>
      </c>
      <c r="CW140" s="398">
        <f>IF(CV140=0,0,IF(LEN(CN140)=11,_xlfn.XLOOKUP(CN140,'Dispensed Ink Rates'!C:C,'Dispensed Ink Rates'!CS:CS),VLOOKUP(CN140,'Jan-2026 rates'!$E:$F,2,0)))</f>
        <v>0</v>
      </c>
      <c r="CX140" s="409">
        <v>5</v>
      </c>
      <c r="CY140" s="398">
        <f>IF(CX140=0,0,IF(LEN(CO140)=11,_xlfn.XLOOKUP(CO140,'Dispensed Ink Rates'!C:C,'Dispensed Ink Rates'!CS:CS),VLOOKUP(CO140,'Jan-2026 rates'!$E:$F,2,0)))</f>
        <v>0</v>
      </c>
      <c r="CZ140" s="409"/>
      <c r="DA140" s="398">
        <f>IF(CZ140=0,0,IF(LEN(CP140)=11,_xlfn.XLOOKUP(CP140,'Dispensed Ink Rates'!C:C,'Dispensed Ink Rates'!CS:CS),VLOOKUP(CP140,'Jan-2026 rates'!$E:$F,2,0)))</f>
        <v>0</v>
      </c>
      <c r="DB140" s="409"/>
      <c r="DC140" s="398">
        <f>IF(DB140=0,0,IF(LEN(CQ140)=11,_xlfn.XLOOKUP(CQ140,'Dispensed Ink Rates'!C:C,'Dispensed Ink Rates'!CS:CS),VLOOKUP(CQ140,'Jan-2026 rates'!$E:$F,2,0)))</f>
        <v>0</v>
      </c>
      <c r="DD140" s="409"/>
      <c r="DE140" s="398">
        <f>IF(DD140=0,0,IF(LEN(CR140)=11,_xlfn.XLOOKUP(CR140,'Dispensed Ink Rates'!C:C,'Dispensed Ink Rates'!CS:CS),VLOOKUP(CR140,'Jan-2026 rates'!$E:$F,2,0)))</f>
        <v>0</v>
      </c>
      <c r="DF140" s="409"/>
      <c r="DG140" s="398">
        <f>IF(DF140=0,0,IF(LEN(CS140)=11,_xlfn.XLOOKUP(CS140,'Dispensed Ink Rates'!C:C,'Dispensed Ink Rates'!CS:CS),VLOOKUP(CS140,'Jan-2026 rates'!$E:$F,2,0)))</f>
        <v>0</v>
      </c>
      <c r="DH140" s="409"/>
      <c r="DI140" s="398">
        <f>IF(DH140=0,0,IF(LEN(CT140)=11,_xlfn.XLOOKUP(CT140,'Dispensed Ink Rates'!C:C,'Dispensed Ink Rates'!CS:CS),VLOOKUP(CT140,'Jan-2026 rates'!$E:$F,2,0)))</f>
        <v>0</v>
      </c>
      <c r="DJ140" s="409"/>
      <c r="DK140" s="398">
        <f>IF(DJ140=0,0,IF(LEN(CU140)=11,_xlfn.XLOOKUP(CU140,'Dispensed Ink Rates'!C:C,'Dispensed Ink Rates'!CS:CS),VLOOKUP(CU140,'Jan-2026 rates'!$E:$F,2,0)))</f>
        <v>0</v>
      </c>
      <c r="DL140" s="409" t="s">
        <v>1881</v>
      </c>
      <c r="DM140" s="409">
        <v>30</v>
      </c>
      <c r="DN140" s="411">
        <f t="shared" si="112"/>
        <v>0</v>
      </c>
      <c r="DO140" s="411">
        <f t="shared" si="113"/>
        <v>9.4210526315789451</v>
      </c>
      <c r="DP140" s="410">
        <f t="shared" si="114"/>
        <v>0</v>
      </c>
      <c r="DQ140" s="405" t="s">
        <v>544</v>
      </c>
      <c r="DR140" s="409" t="s">
        <v>3408</v>
      </c>
      <c r="DS140" s="420" t="str">
        <f t="shared" si="56"/>
        <v>ToyoLi - MAGENTA</v>
      </c>
      <c r="DT140" s="409">
        <v>25</v>
      </c>
      <c r="DU140" s="411">
        <f>IF(DT140=0,0,IF($LB140=70%,VLOOKUP($DS140,'Jan-2026 rates'!$L:$R,4,0),IF($LB140=65%,VLOOKUP($DS140,'Jan-2026 rates'!$L:$R,4,0),IF($LB140=40%,VLOOKUP($DS140,'Jan-2026 rates'!$L:$R,5,0),IF($LB140=30%,VLOOKUP($DS140,'Jan-2026 rates'!$L:$R,6,0),IF($LB140=100%,VLOOKUP($DS140,'Jan-2026 rates'!$L:$R,7,0),IF($LB140=60%,VLOOKUP($DS140,'Jan-2026 rates'!$L:$S,8,0),IF($LB140=80%,VLOOKUP($DS140,'Jan-2026 rates'!L:T,9,0),0))))))))</f>
        <v>0</v>
      </c>
      <c r="DV140" s="412"/>
      <c r="DW140" s="409"/>
      <c r="DX140" s="411">
        <f>IF(DW140=0,0,IF($LB140=70%,VLOOKUP($DS140,'Jan-2026 rates'!$L:$R,4,0),IF($LB140=65%,VLOOKUP($DS140,'Jan-2026 rates'!$L:$R,4,0),IF($LB140=40%,VLOOKUP($DS140,'Jan-2026 rates'!$L:$R,5,0),IF($LB140=30%,VLOOKUP($DS140,'Jan-2026 rates'!$L:$R,6,0),IF($LB140=100%,VLOOKUP($DS140,'Jan-2026 rates'!$L:$R,7,0),IF($LB140=60%,VLOOKUP($DS140,'Jan-2026 rates'!$L:$S,8,0),IF($LB140=80%,VLOOKUP($DS140,'Jan-2026 rates'!L:T,9,0),0))))))))</f>
        <v>0</v>
      </c>
      <c r="DY140" s="413" t="s">
        <v>1246</v>
      </c>
      <c r="DZ140" s="413"/>
      <c r="EA140" s="412"/>
      <c r="EB140" s="412"/>
      <c r="EC140" s="412"/>
      <c r="ED140" s="412"/>
      <c r="EE140" s="412"/>
      <c r="EF140" s="412"/>
      <c r="EG140" s="409">
        <v>2</v>
      </c>
      <c r="EH140" s="398">
        <f>IF(EG140=0,0,IF(LEN(DY140)=11,_xlfn.XLOOKUP(DY140,'Dispensed Ink Rates'!C:C,'Dispensed Ink Rates'!CS:CS),VLOOKUP(DY140,'Jan-2026 rates'!$E:$F,2,0)))</f>
        <v>0</v>
      </c>
      <c r="EI140" s="409"/>
      <c r="EJ140" s="398">
        <f>IF(EI140=0,0,IF(LEN(DZ140)=11,_xlfn.XLOOKUP(DZ140,'Dispensed Ink Rates'!C:C,'Dispensed Ink Rates'!CS:CS),VLOOKUP(DZ140,'Jan-2026 rates'!$E:$F,2,0)))</f>
        <v>0</v>
      </c>
      <c r="EK140" s="409"/>
      <c r="EL140" s="398">
        <f>IF(EK140=0,0,IF(LEN(EA140)=11,_xlfn.XLOOKUP(EA140,'Dispensed Ink Rates'!C:C,'Dispensed Ink Rates'!CS:CS),VLOOKUP(EA140,'Jan-2026 rates'!$E:$F,2,0)))</f>
        <v>0</v>
      </c>
      <c r="EM140" s="409"/>
      <c r="EN140" s="398">
        <f>IF(EM140=0,0,IF(LEN(EB140)=11,_xlfn.XLOOKUP(EB140,'Dispensed Ink Rates'!C:C,'Dispensed Ink Rates'!CS:CS),VLOOKUP(EB140,'Jan-2026 rates'!$E:$F,2,0)))</f>
        <v>0</v>
      </c>
      <c r="EO140" s="409"/>
      <c r="EP140" s="398">
        <f>IF(EO140=0,0,IF(LEN(EC140)=11,_xlfn.XLOOKUP(EC140,'Dispensed Ink Rates'!C:C,'Dispensed Ink Rates'!CS:CS),VLOOKUP(EC140,'Jan-2026 rates'!$E:$F,2,0)))</f>
        <v>0</v>
      </c>
      <c r="EQ140" s="409"/>
      <c r="ER140" s="398">
        <f>IF(EQ140=0,0,IF(LEN(ED140)=11,_xlfn.XLOOKUP(ED140,'Dispensed Ink Rates'!C:C,'Dispensed Ink Rates'!CS:CS),VLOOKUP(ED140,'Jan-2026 rates'!$E:$F,2,0)))</f>
        <v>0</v>
      </c>
      <c r="ES140" s="409"/>
      <c r="ET140" s="398">
        <f>IF(ES140=0,0,IF(LEN(EE140)=11,_xlfn.XLOOKUP(EE140,'Dispensed Ink Rates'!C:C,'Dispensed Ink Rates'!CS:CS),VLOOKUP(EE140,'Jan-2026 rates'!$E:$F,2,0)))</f>
        <v>0</v>
      </c>
      <c r="EU140" s="409"/>
      <c r="EV140" s="398">
        <f>IF(EU140=0,0,IF(LEN(EF140)=11,_xlfn.XLOOKUP(EF140,'Dispensed Ink Rates'!C:C,'Dispensed Ink Rates'!CS:CS),VLOOKUP(EF140,'Jan-2026 rates'!$E:$F,2,0)))</f>
        <v>0</v>
      </c>
      <c r="EW140" s="409" t="s">
        <v>1881</v>
      </c>
      <c r="EX140" s="409">
        <v>27</v>
      </c>
      <c r="EY140" s="411">
        <f t="shared" si="115"/>
        <v>0</v>
      </c>
      <c r="EZ140" s="411">
        <f t="shared" si="116"/>
        <v>4.473684210526315</v>
      </c>
      <c r="FA140" s="410">
        <f t="shared" si="117"/>
        <v>0</v>
      </c>
      <c r="FB140" s="405" t="s">
        <v>545</v>
      </c>
      <c r="FC140" s="409" t="s">
        <v>3409</v>
      </c>
      <c r="FD140" s="420" t="str">
        <f t="shared" si="57"/>
        <v>ToyoLi - YELLOW</v>
      </c>
      <c r="FE140" s="409">
        <v>28</v>
      </c>
      <c r="FF140" s="411">
        <f>IF(FE140=0,0,IF($LB140=70%,VLOOKUP($FD140,'Jan-2026 rates'!$L:$R,4,0),IF($LB140=65%,VLOOKUP($FD140,'Jan-2026 rates'!$L:$R,4,0),IF($LB140=40%,VLOOKUP($FD140,'Jan-2026 rates'!$L:$R,5,0),IF($LB140=30%,VLOOKUP($FD140,'Jan-2026 rates'!$L:$R,6,0),IF($LB140=100%,VLOOKUP($FD140,'Jan-2026 rates'!$L:$R,7,0),IF($LB140=60%,VLOOKUP($FD140,'Jan-2026 rates'!$L:$S,8,0),IF($LB140=80%,VLOOKUP($FD140,'Jan-2026 rates'!L:T,9,0),0))))))))</f>
        <v>0</v>
      </c>
      <c r="FG140" s="412"/>
      <c r="FH140" s="409"/>
      <c r="FI140" s="411">
        <f>IF(FH140=0,0,IF($LB140=70%,VLOOKUP($FD140,'Jan-2026 rates'!$L:$R,4,0),IF($LB140=65%,VLOOKUP($FD140,'Jan-2026 rates'!$L:$R,4,0),IF($LB140=40%,VLOOKUP($FD140,'Jan-2026 rates'!$L:$R,5,0),IF($LB140=30%,VLOOKUP($FD140,'Jan-2026 rates'!$L:$R,6,0),IF($LB140=100%,VLOOKUP($FD140,'Jan-2026 rates'!$L:$R,7,0),IF($LB140=60%,VLOOKUP($FD140,'Jan-2026 rates'!$L:$S,8,0),IF($LB140=80%,VLOOKUP($FD140,'Jan-2026 rates'!L:T,9,0),0))))))))</f>
        <v>0</v>
      </c>
      <c r="FJ140" s="413" t="s">
        <v>1247</v>
      </c>
      <c r="FK140" s="413"/>
      <c r="FL140" s="413"/>
      <c r="FM140" s="412"/>
      <c r="FN140" s="412"/>
      <c r="FO140" s="412"/>
      <c r="FP140" s="412"/>
      <c r="FQ140" s="412"/>
      <c r="FR140" s="409">
        <v>4</v>
      </c>
      <c r="FS140" s="398">
        <f>IF(FR140=0,0,IF(LEN(FJ140)=11,_xlfn.XLOOKUP(FJ140,'Dispensed Ink Rates'!C:C,'Dispensed Ink Rates'!CS:CS),VLOOKUP(FJ140,'Jan-2026 rates'!$E:$F,2,0)))</f>
        <v>0</v>
      </c>
      <c r="FT140" s="409"/>
      <c r="FU140" s="398">
        <f>IF(FT140=0,0,IF(LEN(FK140)=11,_xlfn.XLOOKUP(FK140,'Dispensed Ink Rates'!C:C,'Dispensed Ink Rates'!CS:CS),VLOOKUP(FK140,'Jan-2026 rates'!$E:$F,2,0)))</f>
        <v>0</v>
      </c>
      <c r="FV140" s="409"/>
      <c r="FW140" s="398">
        <f>IF(FV140=0,0,IF(LEN(FL140)=11,_xlfn.XLOOKUP(FL140,'Dispensed Ink Rates'!C:C,'Dispensed Ink Rates'!CS:CS),VLOOKUP(FL140,'Jan-2026 rates'!$E:$F,2,0)))</f>
        <v>0</v>
      </c>
      <c r="FX140" s="409"/>
      <c r="FY140" s="398">
        <f>IF(FX140=0,0,IF(LEN(FM140)=11,_xlfn.XLOOKUP(FM140,'Dispensed Ink Rates'!C:C,'Dispensed Ink Rates'!CS:CS),VLOOKUP(FM140,'Jan-2026 rates'!$E:$F,2,0)))</f>
        <v>0</v>
      </c>
      <c r="FZ140" s="409"/>
      <c r="GA140" s="398">
        <f>IF(FZ140=0,0,IF(LEN(FN140)=11,_xlfn.XLOOKUP(FN140,'Dispensed Ink Rates'!C:C,'Dispensed Ink Rates'!CS:CS),VLOOKUP(FN140,'Jan-2026 rates'!$E:$F,2,0)))</f>
        <v>0</v>
      </c>
      <c r="GB140" s="409"/>
      <c r="GC140" s="398">
        <f>IF(GB140=0,0,IF(LEN(FO140)=11,_xlfn.XLOOKUP(FO140,'Dispensed Ink Rates'!C:C,'Dispensed Ink Rates'!CS:CS),VLOOKUP(FO140,'Jan-2026 rates'!$E:$F,2,0)))</f>
        <v>0</v>
      </c>
      <c r="GD140" s="409"/>
      <c r="GE140" s="398">
        <f>IF(GD140=0,0,IF(LEN(FP140)=11,_xlfn.XLOOKUP(FP140,'Dispensed Ink Rates'!C:C,'Dispensed Ink Rates'!CS:CS),VLOOKUP(FP140,'Jan-2026 rates'!$E:$F,2,0)))</f>
        <v>0</v>
      </c>
      <c r="GF140" s="409"/>
      <c r="GG140" s="398">
        <f>IF(GF140=0,0,IF(LEN(FQ140)=11,_xlfn.XLOOKUP(FQ140,'Dispensed Ink Rates'!C:C,'Dispensed Ink Rates'!CS:CS),VLOOKUP(FQ140,'Jan-2026 rates'!$E:$F,2,0)))</f>
        <v>0</v>
      </c>
      <c r="GH140" s="409" t="s">
        <v>1881</v>
      </c>
      <c r="GI140" s="409">
        <v>30</v>
      </c>
      <c r="GJ140" s="411">
        <f t="shared" si="118"/>
        <v>0</v>
      </c>
      <c r="GK140" s="411">
        <f t="shared" si="119"/>
        <v>6.473684210526315</v>
      </c>
      <c r="GL140" s="410">
        <f t="shared" si="120"/>
        <v>0</v>
      </c>
      <c r="GM140" s="405" t="s">
        <v>548</v>
      </c>
      <c r="GN140" s="409" t="s">
        <v>3410</v>
      </c>
      <c r="GO140" s="420" t="str">
        <f t="shared" si="58"/>
        <v>ToyoLi - GOLD</v>
      </c>
      <c r="GP140" s="409">
        <v>30</v>
      </c>
      <c r="GQ140" s="411">
        <f>IF(GP140=0,0,IF($LB140=70%,VLOOKUP($GO140,'Jan-2026 rates'!$L:$R,4,0),IF($LB140=65%,VLOOKUP($GO140,'Jan-2026 rates'!$L:$R,4,0),IF($LB140=40%,VLOOKUP($GO140,'Jan-2026 rates'!$L:$R,5,0),IF($LB140=30%,VLOOKUP($GO140,'Jan-2026 rates'!$L:$R,6,0),IF($LB140=100%,VLOOKUP($GO140,'Jan-2026 rates'!$L:$R,7,0),IF($LB140=60%,VLOOKUP($GO140,'Jan-2026 rates'!$L:$S,8,0),IF($LB140=80%,VLOOKUP($GO140,'Jan-2026 rates'!L:T,9,0),0))))))))</f>
        <v>0</v>
      </c>
      <c r="GR140" s="412"/>
      <c r="GS140" s="409"/>
      <c r="GT140" s="411">
        <f>IF(GS140=0,0,IF($LB140=70%,VLOOKUP($GO140,'Jan-2026 rates'!$L:$R,4,0),IF($LB140=65%,VLOOKUP($GO140,'Jan-2026 rates'!$L:$R,4,0),IF($LB140=40%,VLOOKUP($GO140,'Jan-2026 rates'!$L:$R,5,0),IF($LB140=30%,VLOOKUP($GO140,'Jan-2026 rates'!$L:$R,6,0),IF($LB140=100%,VLOOKUP($GO140,'Jan-2026 rates'!$L:$R,7,0),IF($LB140=60%,VLOOKUP($GO140,'Jan-2026 rates'!$L:$S,8,0),IF($LB140=80%,VLOOKUP($GO140,'Jan-2026 rates'!L:T,9,0),0))))))))</f>
        <v>0</v>
      </c>
      <c r="GU140" s="413">
        <v>262</v>
      </c>
      <c r="GV140" s="413"/>
      <c r="GW140" s="412"/>
      <c r="GX140" s="412"/>
      <c r="GY140" s="412"/>
      <c r="GZ140" s="412"/>
      <c r="HA140" s="412"/>
      <c r="HB140" s="412"/>
      <c r="HC140" s="409">
        <v>2</v>
      </c>
      <c r="HD140" s="398">
        <f>IF(HC140=0,0,IF(LEN(GU140)=11,_xlfn.XLOOKUP(GU140,'Dispensed Ink Rates'!C:C,'Dispensed Ink Rates'!CS:CS),VLOOKUP(GU140,'Jan-2026 rates'!$E:$F,2,0)))</f>
        <v>0</v>
      </c>
      <c r="HE140" s="409"/>
      <c r="HF140" s="398">
        <f>IF(HE140=0,0,IF(LEN(GV140)=11,_xlfn.XLOOKUP(GV140,'Dispensed Ink Rates'!C:C,'Dispensed Ink Rates'!CS:CS),VLOOKUP(GV140,'Jan-2026 rates'!$E:$F,2,0)))</f>
        <v>0</v>
      </c>
      <c r="HG140" s="409"/>
      <c r="HH140" s="398">
        <f>IF(HG140=0,0,IF(LEN(GW140)=11,_xlfn.XLOOKUP(GW140,'Dispensed Ink Rates'!C:C,'Dispensed Ink Rates'!CS:CS),VLOOKUP(GW140,'Jan-2026 rates'!$E:$F,2,0)))</f>
        <v>0</v>
      </c>
      <c r="HI140" s="409"/>
      <c r="HJ140" s="398">
        <f>IF(HI140=0,0,IF(LEN(GX140)=11,_xlfn.XLOOKUP(GX140,'Dispensed Ink Rates'!C:C,'Dispensed Ink Rates'!CS:CS),VLOOKUP(GX140,'Jan-2026 rates'!$E:$F,2,0)))</f>
        <v>0</v>
      </c>
      <c r="HK140" s="409"/>
      <c r="HL140" s="398">
        <f>IF(HK140=0,0,IF(LEN(GY140)=11,_xlfn.XLOOKUP(GY140,'Dispensed Ink Rates'!C:C,'Dispensed Ink Rates'!CS:CS),VLOOKUP(GY140,'Jan-2026 rates'!$E:$F,2,0)))</f>
        <v>0</v>
      </c>
      <c r="HM140" s="409"/>
      <c r="HN140" s="398">
        <f>IF(HM140=0,0,IF(LEN(GZ140)=11,_xlfn.XLOOKUP(GZ140,'Dispensed Ink Rates'!C:C,'Dispensed Ink Rates'!CS:CS),VLOOKUP(GZ140,'Jan-2026 rates'!$E:$F,2,0)))</f>
        <v>0</v>
      </c>
      <c r="HO140" s="409"/>
      <c r="HP140" s="398">
        <f>IF(HO140=0,0,IF(LEN(HA140)=11,_xlfn.XLOOKUP(HA140,'Dispensed Ink Rates'!C:C,'Dispensed Ink Rates'!CS:CS),VLOOKUP(HA140,'Jan-2026 rates'!$E:$F,2,0)))</f>
        <v>0</v>
      </c>
      <c r="HQ140" s="409"/>
      <c r="HR140" s="398">
        <f>IF(HQ140=0,0,IF(LEN(HB140)=11,_xlfn.XLOOKUP(HB140,'Dispensed Ink Rates'!C:C,'Dispensed Ink Rates'!CS:CS),VLOOKUP(HB140,'Jan-2026 rates'!$E:$F,2,0)))</f>
        <v>0</v>
      </c>
      <c r="HS140" s="409" t="s">
        <v>1881</v>
      </c>
      <c r="HT140" s="409">
        <v>28</v>
      </c>
      <c r="HU140" s="411">
        <f t="shared" si="121"/>
        <v>0</v>
      </c>
      <c r="HV140" s="411">
        <f t="shared" si="122"/>
        <v>15.184210526315788</v>
      </c>
      <c r="HW140" s="414">
        <f t="shared" si="123"/>
        <v>0</v>
      </c>
      <c r="HX140" s="405" t="s">
        <v>547</v>
      </c>
      <c r="HY140" s="409" t="s">
        <v>3410</v>
      </c>
      <c r="HZ140" s="420" t="str">
        <f t="shared" si="59"/>
        <v>ToyoLi - GREEN</v>
      </c>
      <c r="IA140" s="409">
        <v>21</v>
      </c>
      <c r="IB140" s="411">
        <f>IF(IA140=0,0,IF($LB140=70%,VLOOKUP($HZ140,'Jan-2026 rates'!$L:$R,4,0),IF($LB140=65%,VLOOKUP($HZ140,'Jan-2026 rates'!$L:$R,4,0),IF($LB140=40%,VLOOKUP($HZ140,'Jan-2026 rates'!$L:$R,5,0),IF($LB140=30%,VLOOKUP($HZ140,'Jan-2026 rates'!$L:$R,6,0),IF($LB140=100%,VLOOKUP($HZ140,'Jan-2026 rates'!$L:$R,7,0),IF($LB140=60%,VLOOKUP($HZ140,'Jan-2026 rates'!$L:$S,8,0),IF($LB140=80%,VLOOKUP($HZ140,'Jan-2026 rates'!L:T,9,0),0))))))))</f>
        <v>0</v>
      </c>
      <c r="IC140" s="412"/>
      <c r="ID140" s="409"/>
      <c r="IE140" s="411">
        <f>IF(ID140=0,0,IF($LB140=70%,VLOOKUP($HZ140,'Jan-2026 rates'!$L:$R,4,0),IF($LB140=65%,VLOOKUP($HZ140,'Jan-2026 rates'!$L:$R,4,0),IF($LB140=40%,VLOOKUP($HZ140,'Jan-2026 rates'!$L:$R,5,0),IF($LB140=30%,VLOOKUP($HZ140,'Jan-2026 rates'!$L:$R,6,0),IF($LB140=100%,VLOOKUP($HZ140,'Jan-2026 rates'!$L:$R,7,0),IF($LB140=60%,VLOOKUP($HZ140,'Jan-2026 rates'!$L:$S,8,0),IF($LB140=80%,VLOOKUP($HZ140,'Jan-2026 rates'!L:T,9,0),0))))))))</f>
        <v>0</v>
      </c>
      <c r="IF140" s="412" t="s">
        <v>1247</v>
      </c>
      <c r="IG140" s="413"/>
      <c r="IH140" s="412"/>
      <c r="II140" s="412"/>
      <c r="IJ140" s="412"/>
      <c r="IK140" s="412"/>
      <c r="IL140" s="412"/>
      <c r="IM140" s="412"/>
      <c r="IN140" s="409">
        <v>5</v>
      </c>
      <c r="IO140" s="398">
        <f>IF(IN140=0,0,IF(LEN(IF140)=11,_xlfn.XLOOKUP(IF140,'Dispensed Ink Rates'!C:C,'Dispensed Ink Rates'!CS:CS),VLOOKUP(IF140,'Jan-2026 rates'!$E:$F,2,0)))</f>
        <v>0</v>
      </c>
      <c r="IP140" s="409"/>
      <c r="IQ140" s="398">
        <f>IF(IP140=0,0,IF(LEN(IG140)=11,_xlfn.XLOOKUP(IG140,'Dispensed Ink Rates'!C:C,'Dispensed Ink Rates'!CS:CS),VLOOKUP(IG140,'Jan-2026 rates'!$E:$F,2,0)))</f>
        <v>0</v>
      </c>
      <c r="IR140" s="409"/>
      <c r="IS140" s="398">
        <f>IF(IR140=0,0,IF(LEN(IH140)=11,_xlfn.XLOOKUP(IH140,'Dispensed Ink Rates'!C:C,'Dispensed Ink Rates'!CS:CS),VLOOKUP(IH140,'Jan-2026 rates'!$E:$F,2,0)))</f>
        <v>0</v>
      </c>
      <c r="IT140" s="409"/>
      <c r="IU140" s="398">
        <f>IF(IT140=0,0,IF(LEN(II140)=11,_xlfn.XLOOKUP(II140,'Dispensed Ink Rates'!C:C,'Dispensed Ink Rates'!CS:CS),VLOOKUP(II140,'Jan-2026 rates'!$E:$F,2,0)))</f>
        <v>0</v>
      </c>
      <c r="IV140" s="409"/>
      <c r="IW140" s="398">
        <f>IF(IV140=0,0,IF(LEN(IJ140)=11,_xlfn.XLOOKUP(IJ140,'Dispensed Ink Rates'!C:C,'Dispensed Ink Rates'!CS:CS),VLOOKUP(IJ140,'Jan-2026 rates'!$E:$F,2,0)))</f>
        <v>0</v>
      </c>
      <c r="IX140" s="409"/>
      <c r="IY140" s="398">
        <f>IF(IX140=0,0,IF(LEN(IK140)=11,_xlfn.XLOOKUP(IK140,'Dispensed Ink Rates'!C:C,'Dispensed Ink Rates'!CS:CS),VLOOKUP(IK140,'Jan-2026 rates'!$E:$F,2,0)))</f>
        <v>0</v>
      </c>
      <c r="IZ140" s="409"/>
      <c r="JA140" s="398">
        <f>IF(IZ140=0,0,IF(LEN(IL140)=11,_xlfn.XLOOKUP(IL140,'Dispensed Ink Rates'!C:C,'Dispensed Ink Rates'!CS:CS),VLOOKUP(IL140,'Jan-2026 rates'!$E:$F,2,0)))</f>
        <v>0</v>
      </c>
      <c r="JB140" s="409"/>
      <c r="JC140" s="398">
        <f>IF(JB140=0,0,IF(LEN(IM140)=11,_xlfn.XLOOKUP(IM140,'Dispensed Ink Rates'!C:C,'Dispensed Ink Rates'!CS:CS),VLOOKUP(IM140,'Jan-2026 rates'!$E:$F,2,0)))</f>
        <v>0</v>
      </c>
      <c r="JD140" s="409" t="s">
        <v>1881</v>
      </c>
      <c r="JE140" s="409">
        <f>20+6</f>
        <v>26</v>
      </c>
      <c r="JF140" s="411">
        <f t="shared" si="124"/>
        <v>0</v>
      </c>
      <c r="JG140" s="411">
        <f t="shared" si="125"/>
        <v>6.7105263157894726</v>
      </c>
      <c r="JH140" s="410">
        <f t="shared" si="126"/>
        <v>0</v>
      </c>
      <c r="JI140" s="405" t="s">
        <v>856</v>
      </c>
      <c r="JJ140" s="409" t="s">
        <v>3411</v>
      </c>
      <c r="JK140" s="420" t="str">
        <f t="shared" si="60"/>
        <v>ToyoLi - WHITE</v>
      </c>
      <c r="JL140" s="409">
        <v>25</v>
      </c>
      <c r="JM140" s="411">
        <f>IF(JL140=0,0,IF($LB140=70%,VLOOKUP($JK140,'Jan-2026 rates'!$L:$R,4,0),IF($LB140=65%,VLOOKUP($JK140,'Jan-2026 rates'!$L:$R,4,0),IF($LB140=40%,VLOOKUP($JK140,'Jan-2026 rates'!$L:$R,5,0),IF($LB140=30%,VLOOKUP($JK140,'Jan-2026 rates'!$L:$R,6,0),IF($LB140=100%,VLOOKUP($JK140,'Jan-2026 rates'!$L:$R,7,0),IF($LB140=60%,VLOOKUP($JK140,'Jan-2026 rates'!$L:$S,8,0),IF($LB140=80%,VLOOKUP($JK140,'Jan-2026 rates'!L:T,9,0),0))))))))</f>
        <v>0</v>
      </c>
      <c r="JN140" s="412"/>
      <c r="JO140" s="409"/>
      <c r="JP140" s="411">
        <f>IF(JO140=0,0,IF($LB140=70%,VLOOKUP($JK140,'Jan-2026 rates'!$L:$R,4,0),IF($LB140=65%,VLOOKUP($JK140,'Jan-2026 rates'!$L:$R,4,0),IF($LB140=40%,VLOOKUP($JK140,'Jan-2026 rates'!$L:$R,5,0),IF($LB140=30%,VLOOKUP($JK140,'Jan-2026 rates'!$L:$R,6,0),IF($LB140=100%,VLOOKUP($JK140,'Jan-2026 rates'!$L:$R,7,0),IF($LB140=60%,VLOOKUP($JK140,'Jan-2026 rates'!$L:$S,8,0),IF($LB140=80%,VLOOKUP($JK140,'Jan-2026 rates'!L:T,9,0),0))))))))</f>
        <v>0</v>
      </c>
      <c r="JQ140" s="413" t="s">
        <v>1249</v>
      </c>
      <c r="JR140" s="412" t="s">
        <v>1122</v>
      </c>
      <c r="JS140" s="413"/>
      <c r="JT140" s="413"/>
      <c r="JU140" s="412"/>
      <c r="JV140" s="412"/>
      <c r="JW140" s="412"/>
      <c r="JX140" s="412"/>
      <c r="JY140" s="409">
        <v>30</v>
      </c>
      <c r="JZ140" s="398">
        <f>IF(JY140=0,0,IF(LEN(JQ140)=11,_xlfn.XLOOKUP(JQ140,'Dispensed Ink Rates'!C:C,'Dispensed Ink Rates'!CS:CS),VLOOKUP(JQ140,'Jan-2026 rates'!$E:$F,2,0)))</f>
        <v>0</v>
      </c>
      <c r="KA140" s="409">
        <v>5.0999999999999996</v>
      </c>
      <c r="KB140" s="398">
        <f>IF(KA140=0,0,IF(LEN(JR140)=11,_xlfn.XLOOKUP(JR140,'Dispensed Ink Rates'!C:C,'Dispensed Ink Rates'!CS:CS),VLOOKUP(JR140,'Jan-2026 rates'!$E:$F,2,0)))</f>
        <v>0</v>
      </c>
      <c r="KC140" s="409"/>
      <c r="KD140" s="398">
        <f>IF(KC140=0,0,IF(LEN(JS140)=11,_xlfn.XLOOKUP(JS140,'Dispensed Ink Rates'!C:C,'Dispensed Ink Rates'!CS:CS),VLOOKUP(JS140,'Jan-2026 rates'!$E:$F,2,0)))</f>
        <v>0</v>
      </c>
      <c r="KE140" s="409"/>
      <c r="KF140" s="398">
        <f>IF(KE140=0,0,IF(LEN(JT140)=11,_xlfn.XLOOKUP(JT140,'Dispensed Ink Rates'!C:C,'Dispensed Ink Rates'!CS:CS),VLOOKUP(JT140,'Jan-2026 rates'!$E:$F,2,0)))</f>
        <v>0</v>
      </c>
      <c r="KG140" s="409"/>
      <c r="KH140" s="398">
        <f>IF(KG140=0,0,IF(LEN(JU140)=11,_xlfn.XLOOKUP(JU140,'Dispensed Ink Rates'!C:C,'Dispensed Ink Rates'!CS:CS),VLOOKUP(JU140,'Jan-2026 rates'!$E:$F,2,0)))</f>
        <v>0</v>
      </c>
      <c r="KI140" s="409"/>
      <c r="KJ140" s="398">
        <f>IF(KI140=0,0,IF(LEN(JV140)=11,_xlfn.XLOOKUP(JV140,'Dispensed Ink Rates'!C:C,'Dispensed Ink Rates'!CS:CS),VLOOKUP(JV140,'Jan-2026 rates'!$E:$F,2,0)))</f>
        <v>0</v>
      </c>
      <c r="KK140" s="409"/>
      <c r="KL140" s="398">
        <f>IF(KK140=0,0,IF(LEN(JW140)=11,_xlfn.XLOOKUP(JW140,'Dispensed Ink Rates'!C:C,'Dispensed Ink Rates'!CS:CS),VLOOKUP(JW140,'Jan-2026 rates'!$E:$F,2,0)))</f>
        <v>0</v>
      </c>
      <c r="KM140" s="428"/>
      <c r="KN140" s="398">
        <f>IF(KM140=0,0,IF(LEN(JX140)=11,_xlfn.XLOOKUP(JX140,'Dispensed Ink Rates'!C:C,'Dispensed Ink Rates'!CS:CS),VLOOKUP(JX140,'Jan-2026 rates'!$E:$F,2,0)))</f>
        <v>0</v>
      </c>
      <c r="KO140" s="409" t="s">
        <v>1881</v>
      </c>
      <c r="KP140" s="409">
        <v>25</v>
      </c>
      <c r="KQ140" s="411">
        <f t="shared" si="127"/>
        <v>0</v>
      </c>
      <c r="KR140" s="411">
        <f t="shared" si="128"/>
        <v>68.652631578947364</v>
      </c>
      <c r="KS140" s="410">
        <f t="shared" si="129"/>
        <v>0</v>
      </c>
      <c r="KT140" s="409">
        <v>0</v>
      </c>
      <c r="KU140" s="409">
        <v>5</v>
      </c>
      <c r="KV140" s="409">
        <v>6</v>
      </c>
      <c r="KW140" s="409">
        <v>2</v>
      </c>
      <c r="KX140" s="409">
        <v>2</v>
      </c>
      <c r="KY140" s="409">
        <v>5</v>
      </c>
      <c r="KZ140" s="409">
        <v>3</v>
      </c>
      <c r="LA140" s="409">
        <v>15</v>
      </c>
      <c r="LB140" s="415">
        <v>0.3</v>
      </c>
      <c r="LC140" s="415"/>
      <c r="LD140" s="415"/>
      <c r="LE140" s="415">
        <v>0.5</v>
      </c>
      <c r="LF140" s="415">
        <v>0.2</v>
      </c>
      <c r="LG140" s="409">
        <v>0</v>
      </c>
      <c r="LH140" s="409">
        <f>20+15+12+20+5+5+8</f>
        <v>85</v>
      </c>
      <c r="LI140" s="409">
        <v>0</v>
      </c>
      <c r="LJ140" s="409">
        <v>0</v>
      </c>
      <c r="LK140" s="416">
        <f t="shared" si="61"/>
        <v>85</v>
      </c>
      <c r="LL140" s="416">
        <f t="shared" si="62"/>
        <v>85</v>
      </c>
      <c r="LM140" s="417">
        <f t="shared" si="63"/>
        <v>25.5</v>
      </c>
      <c r="LN140" s="417">
        <f>VLOOKUP($LM$8,'Jan-2026 rates'!$H:$I,2,0)</f>
        <v>0</v>
      </c>
      <c r="LO140" s="417">
        <f t="shared" si="64"/>
        <v>0</v>
      </c>
      <c r="LP140" s="417">
        <f>VLOOKUP($LO$8,'Jan-2026 rates'!$H:$I,2,0)</f>
        <v>0</v>
      </c>
      <c r="LQ140" s="417">
        <f t="shared" si="65"/>
        <v>0</v>
      </c>
      <c r="LR140" s="417">
        <f>VLOOKUP($LQ$8,'Jan-2026 rates'!$H:$I,2,0)</f>
        <v>0</v>
      </c>
      <c r="LS140" s="417">
        <f t="shared" si="66"/>
        <v>42.5</v>
      </c>
      <c r="LT140" s="417">
        <f>VLOOKUP($LS$8,'Jan-2026 rates'!$H:$I,2,0)</f>
        <v>0</v>
      </c>
      <c r="LU140" s="417">
        <f t="shared" si="67"/>
        <v>17</v>
      </c>
      <c r="LV140" s="417">
        <f>VLOOKUP($LU$8,'Jan-2026 rates'!$H:$I,2,0)</f>
        <v>0</v>
      </c>
      <c r="LW140" s="417">
        <f t="shared" si="68"/>
        <v>0</v>
      </c>
      <c r="LX140" s="417">
        <f t="shared" si="69"/>
        <v>0</v>
      </c>
      <c r="LY140" s="418">
        <f t="shared" si="70"/>
        <v>0</v>
      </c>
      <c r="LZ140" s="417"/>
      <c r="MA140" s="435">
        <f t="shared" si="71"/>
        <v>76.099999999999994</v>
      </c>
      <c r="MB140" s="282">
        <f t="shared" si="72"/>
        <v>137.1</v>
      </c>
      <c r="MC140" s="283" t="s">
        <v>1975</v>
      </c>
      <c r="MD140" s="284" t="str">
        <f t="shared" si="73"/>
        <v>ToyoLiToyoLiToyoLiToyoLiToyoLiToyoLiToyoLiToyoLi</v>
      </c>
      <c r="ME140" s="293" t="str">
        <f t="shared" si="74"/>
        <v>+</v>
      </c>
      <c r="MF140" s="293" t="str">
        <f t="shared" si="75"/>
        <v>+</v>
      </c>
      <c r="MG140" s="293" t="str">
        <f t="shared" si="76"/>
        <v>+</v>
      </c>
      <c r="MH140" s="293" t="str">
        <f t="shared" si="77"/>
        <v>+</v>
      </c>
      <c r="MI140" s="293" t="str">
        <f t="shared" si="78"/>
        <v>+</v>
      </c>
      <c r="MJ140" s="293" t="str">
        <f t="shared" si="79"/>
        <v>+</v>
      </c>
      <c r="MK140" s="293" t="str">
        <f t="shared" si="80"/>
        <v>+</v>
      </c>
      <c r="ML140" s="293" t="str">
        <f t="shared" si="81"/>
        <v>+</v>
      </c>
      <c r="MM140" s="3" t="b">
        <f t="array" ref="MM140">OR(ME140:ML140="-")</f>
        <v>0</v>
      </c>
      <c r="MN140" s="285"/>
      <c r="MO140" s="401"/>
      <c r="MP140" s="286"/>
      <c r="MQ140" s="286"/>
      <c r="MR140" s="402"/>
      <c r="MS140" s="400"/>
      <c r="NH140" s="422"/>
      <c r="NJ140" s="421"/>
    </row>
    <row r="141" spans="1:374" s="1" customFormat="1" ht="16.5">
      <c r="A141" s="403">
        <v>46030</v>
      </c>
      <c r="B141" s="404" t="s">
        <v>1015</v>
      </c>
      <c r="C141" s="405" t="s">
        <v>3412</v>
      </c>
      <c r="D141" s="406" t="s">
        <v>1976</v>
      </c>
      <c r="E141" s="404">
        <v>1198</v>
      </c>
      <c r="F141" s="407">
        <v>60800</v>
      </c>
      <c r="G141" s="407" t="s">
        <v>1016</v>
      </c>
      <c r="H141" s="408" t="s">
        <v>1017</v>
      </c>
      <c r="I141" s="409">
        <v>0.68</v>
      </c>
      <c r="J141" s="405" t="s">
        <v>543</v>
      </c>
      <c r="K141" s="404"/>
      <c r="L141" s="419" t="str">
        <f t="shared" si="54"/>
        <v>ToyoLi - BLACK</v>
      </c>
      <c r="M141" s="404"/>
      <c r="N141" s="410">
        <f>IF(M141=0,0,IF($LB141=70%,VLOOKUP($L141,'Jan-2026 rates'!$L:$R,4,0),IF($LB141=65%,VLOOKUP($L141,'Jan-2026 rates'!$L:$R,4,0),IF($LB141=40%,VLOOKUP($L141,'Jan-2026 rates'!$L:$R,5,0),IF($LB141=30%,VLOOKUP($L141,'Jan-2026 rates'!$L:$R,6,0),IF($LB141=100%,VLOOKUP($L141,'Jan-2026 rates'!$L:$R,7,0),IF($LB141=60%,VLOOKUP($L141,'Jan-2026 rates'!$L:$S,8,0),IF($LB141=80%,VLOOKUP($L141,'Jan-2026 rates'!L:T,9,0),0))))))))</f>
        <v>0</v>
      </c>
      <c r="O141" s="406"/>
      <c r="P141" s="404"/>
      <c r="Q141" s="410">
        <f>IF(P141=0,0,IF($LB141=70%,VLOOKUP($L141,'Jan-2026 rates'!$L:$R,4,0),IF($LB141=65%,VLOOKUP($L141,'Jan-2026 rates'!$L:$R,4,0),IF($LB141=40%,VLOOKUP($L141,'Jan-2026 rates'!$L:$R,5,0),IF($LB141=30%,VLOOKUP($L141,'Jan-2026 rates'!$L:$R,6,0),IF($LB141=100%,VLOOKUP($L141,'Jan-2026 rates'!$L:$R,7,0),IF($LB141=60%,VLOOKUP($L141,'Jan-2026 rates'!$L:$S,8,0),IF($LB141=80%,VLOOKUP($L141,'Jan-2026 rates'!L:T,9,0),0))))))))</f>
        <v>0</v>
      </c>
      <c r="R141" s="406" t="s">
        <v>1252</v>
      </c>
      <c r="S141" s="406"/>
      <c r="T141" s="406"/>
      <c r="U141" s="406"/>
      <c r="V141" s="406"/>
      <c r="W141" s="406"/>
      <c r="X141" s="406"/>
      <c r="Y141" s="406"/>
      <c r="Z141" s="404">
        <v>20</v>
      </c>
      <c r="AA141" s="398">
        <f>IF(Z141=0,0,IF(LEN(R141)=11,_xlfn.XLOOKUP(R141,'Dispensed Ink Rates'!C:C,'Dispensed Ink Rates'!CS:CS),VLOOKUP(R141,'Jan-2026 rates'!$E:$F,2,0)))</f>
        <v>0</v>
      </c>
      <c r="AB141" s="404"/>
      <c r="AC141" s="398">
        <f>IF(AB141=0,0,IF(LEN(S141)=11,_xlfn.XLOOKUP(S141,'Dispensed Ink Rates'!C:C,'Dispensed Ink Rates'!CS:CS),VLOOKUP(S141,'Jan-2026 rates'!$E:$F,2,0)))</f>
        <v>0</v>
      </c>
      <c r="AD141" s="404"/>
      <c r="AE141" s="398">
        <f>IF(AD141=0,0,IF(LEN(T141)=11,_xlfn.XLOOKUP(T141,'Dispensed Ink Rates'!C:C,'Dispensed Ink Rates'!CS:CS),VLOOKUP(T141,'Jan-2026 rates'!$E:$F,2,0)))</f>
        <v>0</v>
      </c>
      <c r="AF141" s="404"/>
      <c r="AG141" s="398">
        <f>IF(AF141=0,0,IF(LEN(U141)=11,_xlfn.XLOOKUP(U141,'Dispensed Ink Rates'!C:C,'Dispensed Ink Rates'!CS:CS),VLOOKUP(U141,'Jan-2026 rates'!$E:$F,2,0)))</f>
        <v>0</v>
      </c>
      <c r="AH141" s="404"/>
      <c r="AI141" s="398">
        <f>IF(AH141=0,0,IF(LEN(V141)=11,_xlfn.XLOOKUP(V141,'Dispensed Ink Rates'!C:C,'Dispensed Ink Rates'!CS:CS),VLOOKUP(V141,'Jan-2026 rates'!$E:$F,2,0)))</f>
        <v>0</v>
      </c>
      <c r="AJ141" s="404"/>
      <c r="AK141" s="398">
        <f>IF(AJ141=0,0,IF(LEN(W141)=11,_xlfn.XLOOKUP(W141,'Dispensed Ink Rates'!C:C,'Dispensed Ink Rates'!CS:CS),VLOOKUP(W141,'Jan-2026 rates'!$E:$F,2,0)))</f>
        <v>0</v>
      </c>
      <c r="AL141" s="404"/>
      <c r="AM141" s="398">
        <f>IF(AL141=0,0,IF(LEN(X141)=11,_xlfn.XLOOKUP(X141,'Dispensed Ink Rates'!C:C,'Dispensed Ink Rates'!CS:CS),VLOOKUP(X141,'Jan-2026 rates'!$E:$F,2,0)))</f>
        <v>0</v>
      </c>
      <c r="AN141" s="404"/>
      <c r="AO141" s="398">
        <f>IF(AN141=0,0,IF(LEN(Y141)=11,_xlfn.XLOOKUP(Y141,'Dispensed Ink Rates'!C:C,'Dispensed Ink Rates'!CS:CS),VLOOKUP(Y141,'Jan-2026 rates'!$E:$F,2,0)))</f>
        <v>0</v>
      </c>
      <c r="AP141" s="409" t="s">
        <v>1881</v>
      </c>
      <c r="AQ141" s="409">
        <v>26</v>
      </c>
      <c r="AR141" s="410">
        <f t="shared" si="106"/>
        <v>0</v>
      </c>
      <c r="AS141" s="411">
        <f t="shared" si="107"/>
        <v>18.161073825503351</v>
      </c>
      <c r="AT141" s="410">
        <f t="shared" si="108"/>
        <v>0</v>
      </c>
      <c r="AU141" s="405" t="s">
        <v>546</v>
      </c>
      <c r="AV141" s="409"/>
      <c r="AW141" s="420" t="str">
        <f t="shared" ref="AW141:AW204" si="130">CONCATENATE(CA141," - ",AU141)</f>
        <v>ToyoLi - REFLEX BLUE</v>
      </c>
      <c r="AX141" s="409"/>
      <c r="AY141" s="411">
        <f>IF(AX141=0,0,IF($LB141=70%,VLOOKUP($AW141,'Jan-2026 rates'!$L:$R,4,0),IF($LB141=65%,VLOOKUP($AW141,'Jan-2026 rates'!$L:$R,4,0),IF($LB141=40%,VLOOKUP($AW141,'Jan-2026 rates'!$L:$R,5,0),IF($LB141=30%,VLOOKUP($AW141,'Jan-2026 rates'!$L:$R,6,0),IF($LB141=100%,VLOOKUP($AW141,'Jan-2026 rates'!$L:$R,7,0),IF($LB141=60%,VLOOKUP($AW141,'Jan-2026 rates'!$L:$S,8,0),IF($LB141=80%,VLOOKUP($AW141,'Jan-2026 rates'!L:T,9,0),0))))))))</f>
        <v>0</v>
      </c>
      <c r="AZ141" s="412"/>
      <c r="BA141" s="409"/>
      <c r="BB141" s="411">
        <f>IF(BA141=0,0,IF($LB141=70%,VLOOKUP($AW141,'Jan-2026 rates'!$L:$R,4,0),IF($LB141=65%,VLOOKUP($AW141,'Jan-2026 rates'!$L:$R,4,0),IF($LB141=40%,VLOOKUP($AW141,'Jan-2026 rates'!$L:$R,5,0),IF($LB141=30%,VLOOKUP($AW141,'Jan-2026 rates'!$L:$R,6,0),IF($LB141=100%,VLOOKUP($AW141,'Jan-2026 rates'!$L:$R,7,0),IF($LB141=60%,VLOOKUP($AW141,'Jan-2026 rates'!$L:$S,8,0),IF($LB141=80%,VLOOKUP($AW141,'Jan-2026 rates'!L:T,9,0),0))))))))</f>
        <v>0</v>
      </c>
      <c r="BC141" s="413" t="s">
        <v>1880</v>
      </c>
      <c r="BD141" s="412" t="s">
        <v>1246</v>
      </c>
      <c r="BE141" s="412"/>
      <c r="BF141" s="413"/>
      <c r="BG141" s="412"/>
      <c r="BH141" s="412"/>
      <c r="BI141" s="412"/>
      <c r="BJ141" s="412"/>
      <c r="BK141" s="409">
        <f>40+10</f>
        <v>50</v>
      </c>
      <c r="BL141" s="398">
        <f>IF(BK141=0,0,IF(LEN(BC141)=11,_xlfn.XLOOKUP(BC141,'Dispensed Ink Rates'!C:C,'Dispensed Ink Rates'!CS:CS),VLOOKUP(BC141,'Jan-2026 rates'!$E:$F,2,0)))</f>
        <v>0</v>
      </c>
      <c r="BM141" s="409">
        <v>4</v>
      </c>
      <c r="BN141" s="398">
        <f>IF(BM141=0,0,IF(LEN(BD141)=11,_xlfn.XLOOKUP(BD141,'Dispensed Ink Rates'!C:C,'Dispensed Ink Rates'!CS:CS),VLOOKUP(BD141,'Jan-2026 rates'!$E:$F,2,0)))</f>
        <v>0</v>
      </c>
      <c r="BO141" s="409"/>
      <c r="BP141" s="398">
        <f>IF(BO141=0,0,IF(LEN(BE141)=11,_xlfn.XLOOKUP(BE141,'Dispensed Ink Rates'!C:C,'Dispensed Ink Rates'!CS:CS),VLOOKUP(BE141,'Jan-2026 rates'!$E:$F,2,0)))</f>
        <v>0</v>
      </c>
      <c r="BQ141" s="409"/>
      <c r="BR141" s="398">
        <f>IF(BQ141=0,0,IF(LEN(BF141)=11,_xlfn.XLOOKUP(BF141,'Dispensed Ink Rates'!C:C,'Dispensed Ink Rates'!CS:CS),VLOOKUP(BF141,'Jan-2026 rates'!$E:$F,2,0)))</f>
        <v>0</v>
      </c>
      <c r="BS141" s="409"/>
      <c r="BT141" s="398">
        <f>IF(BS141=0,0,IF(LEN(BG141)=11,_xlfn.XLOOKUP(BG141,'Dispensed Ink Rates'!C:C,'Dispensed Ink Rates'!CS:CS),VLOOKUP(BG141,'Jan-2026 rates'!$E:$F,2,0)))</f>
        <v>0</v>
      </c>
      <c r="BU141" s="409"/>
      <c r="BV141" s="398">
        <f>IF(BU141=0,0,IF(LEN(BH141)=11,_xlfn.XLOOKUP(BH141,'Dispensed Ink Rates'!C:C,'Dispensed Ink Rates'!CS:CS),VLOOKUP(BH141,'Jan-2026 rates'!$E:$F,2,0)))</f>
        <v>0</v>
      </c>
      <c r="BW141" s="409"/>
      <c r="BX141" s="398">
        <f>IF(BW141=0,0,IF(LEN(BI141)=11,_xlfn.XLOOKUP(BI141,'Dispensed Ink Rates'!C:C,'Dispensed Ink Rates'!CS:CS),VLOOKUP(BI141,'Jan-2026 rates'!$E:$F,2,0)))</f>
        <v>0</v>
      </c>
      <c r="BY141" s="409"/>
      <c r="BZ141" s="398">
        <f>IF(BY141=0,0,IF(LEN(BJ141)=11,_xlfn.XLOOKUP(BJ141,'Dispensed Ink Rates'!C:C,'Dispensed Ink Rates'!CS:CS),VLOOKUP(BJ141,'Jan-2026 rates'!$E:$F,2,0)))</f>
        <v>0</v>
      </c>
      <c r="CA141" s="409" t="s">
        <v>1881</v>
      </c>
      <c r="CB141" s="409">
        <f>17+10</f>
        <v>27</v>
      </c>
      <c r="CC141" s="411">
        <f t="shared" si="109"/>
        <v>0</v>
      </c>
      <c r="CD141" s="411">
        <f t="shared" si="110"/>
        <v>51.161073825503351</v>
      </c>
      <c r="CE141" s="410">
        <f t="shared" si="111"/>
        <v>0</v>
      </c>
      <c r="CF141" s="404" t="s">
        <v>546</v>
      </c>
      <c r="CG141" s="409"/>
      <c r="CH141" s="420" t="str">
        <f t="shared" si="55"/>
        <v>ToyoLi - REFLEX BLUE</v>
      </c>
      <c r="CI141" s="409"/>
      <c r="CJ141" s="411">
        <f>IF(CI141=0,0,IF($LB141=70%,VLOOKUP($CH141,'Jan-2026 rates'!$L:$R,4,0),IF($LB141=65%,VLOOKUP($CH141,'Jan-2026 rates'!$L:$R,4,0),IF($LB141=40%,VLOOKUP($CH141,'Jan-2026 rates'!$L:$R,5,0),IF($LB141=30%,VLOOKUP($CH141,'Jan-2026 rates'!$L:$R,6,0),IF($LB141=100%,VLOOKUP($CH141,'Jan-2026 rates'!$L:$R,7,0),IF($LB141=60%,VLOOKUP($CH141,'Jan-2026 rates'!$L:$S,8,0),IF($LB141=80%,VLOOKUP($CH141,'Jan-2026 rates'!L:T,9,0),0))))))))</f>
        <v>0</v>
      </c>
      <c r="CK141" s="412"/>
      <c r="CL141" s="409"/>
      <c r="CM141" s="411">
        <f>IF(CL141=0,0,IF($LB141=70%,VLOOKUP($CH141,'Jan-2026 rates'!$L:$R,4,0),IF($LB141=65%,VLOOKUP($CH141,'Jan-2026 rates'!$L:$R,4,0),IF($LB141=40%,VLOOKUP($CH141,'Jan-2026 rates'!$L:$R,5,0),IF($LB141=30%,VLOOKUP($CH141,'Jan-2026 rates'!$L:$R,6,0),IF($LB141=100%,VLOOKUP($CH141,'Jan-2026 rates'!$L:$R,7,0),IF($LB141=60%,VLOOKUP($CH141,'Jan-2026 rates'!$L:$S,8,0),IF($LB141=80%,VLOOKUP($CH141,'Jan-2026 rates'!L:T,9,0),0))))))))</f>
        <v>0</v>
      </c>
      <c r="CN141" s="426" t="s">
        <v>1921</v>
      </c>
      <c r="CO141" s="427" t="s">
        <v>1250</v>
      </c>
      <c r="CP141" s="426"/>
      <c r="CQ141" s="426"/>
      <c r="CR141" s="428"/>
      <c r="CS141" s="428"/>
      <c r="CT141" s="428"/>
      <c r="CU141" s="428"/>
      <c r="CV141" s="409">
        <v>40</v>
      </c>
      <c r="CW141" s="398">
        <f>IF(CV141=0,0,IF(LEN(CN141)=11,_xlfn.XLOOKUP(CN141,'Dispensed Ink Rates'!C:C,'Dispensed Ink Rates'!CS:CS),VLOOKUP(CN141,'Jan-2026 rates'!$E:$F,2,0)))</f>
        <v>0</v>
      </c>
      <c r="CX141" s="409">
        <v>5</v>
      </c>
      <c r="CY141" s="398">
        <f>IF(CX141=0,0,IF(LEN(CO141)=11,_xlfn.XLOOKUP(CO141,'Dispensed Ink Rates'!C:C,'Dispensed Ink Rates'!CS:CS),VLOOKUP(CO141,'Jan-2026 rates'!$E:$F,2,0)))</f>
        <v>0</v>
      </c>
      <c r="CZ141" s="409"/>
      <c r="DA141" s="398">
        <f>IF(CZ141=0,0,IF(LEN(CP141)=11,_xlfn.XLOOKUP(CP141,'Dispensed Ink Rates'!C:C,'Dispensed Ink Rates'!CS:CS),VLOOKUP(CP141,'Jan-2026 rates'!$E:$F,2,0)))</f>
        <v>0</v>
      </c>
      <c r="DB141" s="409"/>
      <c r="DC141" s="398">
        <f>IF(DB141=0,0,IF(LEN(CQ141)=11,_xlfn.XLOOKUP(CQ141,'Dispensed Ink Rates'!C:C,'Dispensed Ink Rates'!CS:CS),VLOOKUP(CQ141,'Jan-2026 rates'!$E:$F,2,0)))</f>
        <v>0</v>
      </c>
      <c r="DD141" s="409"/>
      <c r="DE141" s="398">
        <f>IF(DD141=0,0,IF(LEN(CR141)=11,_xlfn.XLOOKUP(CR141,'Dispensed Ink Rates'!C:C,'Dispensed Ink Rates'!CS:CS),VLOOKUP(CR141,'Jan-2026 rates'!$E:$F,2,0)))</f>
        <v>0</v>
      </c>
      <c r="DF141" s="409"/>
      <c r="DG141" s="398">
        <f>IF(DF141=0,0,IF(LEN(CS141)=11,_xlfn.XLOOKUP(CS141,'Dispensed Ink Rates'!C:C,'Dispensed Ink Rates'!CS:CS),VLOOKUP(CS141,'Jan-2026 rates'!$E:$F,2,0)))</f>
        <v>0</v>
      </c>
      <c r="DH141" s="409"/>
      <c r="DI141" s="398">
        <f>IF(DH141=0,0,IF(LEN(CT141)=11,_xlfn.XLOOKUP(CT141,'Dispensed Ink Rates'!C:C,'Dispensed Ink Rates'!CS:CS),VLOOKUP(CT141,'Jan-2026 rates'!$E:$F,2,0)))</f>
        <v>0</v>
      </c>
      <c r="DJ141" s="409"/>
      <c r="DK141" s="398">
        <f>IF(DJ141=0,0,IF(LEN(CU141)=11,_xlfn.XLOOKUP(CU141,'Dispensed Ink Rates'!C:C,'Dispensed Ink Rates'!CS:CS),VLOOKUP(CU141,'Jan-2026 rates'!$E:$F,2,0)))</f>
        <v>0</v>
      </c>
      <c r="DL141" s="409" t="s">
        <v>1881</v>
      </c>
      <c r="DM141" s="409">
        <f>16+17</f>
        <v>33</v>
      </c>
      <c r="DN141" s="411">
        <f t="shared" si="112"/>
        <v>0</v>
      </c>
      <c r="DO141" s="411">
        <f t="shared" si="113"/>
        <v>60.322147651006702</v>
      </c>
      <c r="DP141" s="410">
        <f t="shared" si="114"/>
        <v>0</v>
      </c>
      <c r="DQ141" s="405" t="s">
        <v>857</v>
      </c>
      <c r="DR141" s="409" t="s">
        <v>3413</v>
      </c>
      <c r="DS141" s="420" t="str">
        <f t="shared" si="56"/>
        <v>ToyoLi - RED</v>
      </c>
      <c r="DT141" s="409">
        <f>19+16</f>
        <v>35</v>
      </c>
      <c r="DU141" s="411">
        <f>IF(DT141=0,0,IF($LB141=70%,VLOOKUP($DS141,'Jan-2026 rates'!$L:$R,4,0),IF($LB141=65%,VLOOKUP($DS141,'Jan-2026 rates'!$L:$R,4,0),IF($LB141=40%,VLOOKUP($DS141,'Jan-2026 rates'!$L:$R,5,0),IF($LB141=30%,VLOOKUP($DS141,'Jan-2026 rates'!$L:$R,6,0),IF($LB141=100%,VLOOKUP($DS141,'Jan-2026 rates'!$L:$R,7,0),IF($LB141=60%,VLOOKUP($DS141,'Jan-2026 rates'!$L:$S,8,0),IF($LB141=80%,VLOOKUP($DS141,'Jan-2026 rates'!L:T,9,0),0))))))))</f>
        <v>0</v>
      </c>
      <c r="DV141" s="412"/>
      <c r="DW141" s="409"/>
      <c r="DX141" s="411">
        <f>IF(DW141=0,0,IF($LB141=70%,VLOOKUP($DS141,'Jan-2026 rates'!$L:$R,4,0),IF($LB141=65%,VLOOKUP($DS141,'Jan-2026 rates'!$L:$R,4,0),IF($LB141=40%,VLOOKUP($DS141,'Jan-2026 rates'!$L:$R,5,0),IF($LB141=30%,VLOOKUP($DS141,'Jan-2026 rates'!$L:$R,6,0),IF($LB141=100%,VLOOKUP($DS141,'Jan-2026 rates'!$L:$R,7,0),IF($LB141=60%,VLOOKUP($DS141,'Jan-2026 rates'!$L:$S,8,0),IF($LB141=80%,VLOOKUP($DS141,'Jan-2026 rates'!L:T,9,0),0))))))))</f>
        <v>0</v>
      </c>
      <c r="DY141" s="413" t="s">
        <v>1248</v>
      </c>
      <c r="DZ141" s="413"/>
      <c r="EA141" s="412"/>
      <c r="EB141" s="412"/>
      <c r="EC141" s="412"/>
      <c r="ED141" s="412"/>
      <c r="EE141" s="412"/>
      <c r="EF141" s="412"/>
      <c r="EG141" s="409">
        <v>5</v>
      </c>
      <c r="EH141" s="398">
        <f>IF(EG141=0,0,IF(LEN(DY141)=11,_xlfn.XLOOKUP(DY141,'Dispensed Ink Rates'!C:C,'Dispensed Ink Rates'!CS:CS),VLOOKUP(DY141,'Jan-2026 rates'!$E:$F,2,0)))</f>
        <v>0</v>
      </c>
      <c r="EI141" s="409"/>
      <c r="EJ141" s="398">
        <f>IF(EI141=0,0,IF(LEN(DZ141)=11,_xlfn.XLOOKUP(DZ141,'Dispensed Ink Rates'!C:C,'Dispensed Ink Rates'!CS:CS),VLOOKUP(DZ141,'Jan-2026 rates'!$E:$F,2,0)))</f>
        <v>0</v>
      </c>
      <c r="EK141" s="409"/>
      <c r="EL141" s="398">
        <f>IF(EK141=0,0,IF(LEN(EA141)=11,_xlfn.XLOOKUP(EA141,'Dispensed Ink Rates'!C:C,'Dispensed Ink Rates'!CS:CS),VLOOKUP(EA141,'Jan-2026 rates'!$E:$F,2,0)))</f>
        <v>0</v>
      </c>
      <c r="EM141" s="409"/>
      <c r="EN141" s="398">
        <f>IF(EM141=0,0,IF(LEN(EB141)=11,_xlfn.XLOOKUP(EB141,'Dispensed Ink Rates'!C:C,'Dispensed Ink Rates'!CS:CS),VLOOKUP(EB141,'Jan-2026 rates'!$E:$F,2,0)))</f>
        <v>0</v>
      </c>
      <c r="EO141" s="409"/>
      <c r="EP141" s="398">
        <f>IF(EO141=0,0,IF(LEN(EC141)=11,_xlfn.XLOOKUP(EC141,'Dispensed Ink Rates'!C:C,'Dispensed Ink Rates'!CS:CS),VLOOKUP(EC141,'Jan-2026 rates'!$E:$F,2,0)))</f>
        <v>0</v>
      </c>
      <c r="EQ141" s="409"/>
      <c r="ER141" s="398">
        <f>IF(EQ141=0,0,IF(LEN(ED141)=11,_xlfn.XLOOKUP(ED141,'Dispensed Ink Rates'!C:C,'Dispensed Ink Rates'!CS:CS),VLOOKUP(ED141,'Jan-2026 rates'!$E:$F,2,0)))</f>
        <v>0</v>
      </c>
      <c r="ES141" s="409"/>
      <c r="ET141" s="398">
        <f>IF(ES141=0,0,IF(LEN(EE141)=11,_xlfn.XLOOKUP(EE141,'Dispensed Ink Rates'!C:C,'Dispensed Ink Rates'!CS:CS),VLOOKUP(EE141,'Jan-2026 rates'!$E:$F,2,0)))</f>
        <v>0</v>
      </c>
      <c r="EU141" s="409"/>
      <c r="EV141" s="398">
        <f>IF(EU141=0,0,IF(LEN(EF141)=11,_xlfn.XLOOKUP(EF141,'Dispensed Ink Rates'!C:C,'Dispensed Ink Rates'!CS:CS),VLOOKUP(EF141,'Jan-2026 rates'!$E:$F,2,0)))</f>
        <v>0</v>
      </c>
      <c r="EW141" s="409" t="s">
        <v>1881</v>
      </c>
      <c r="EX141" s="409">
        <f>20+16</f>
        <v>36</v>
      </c>
      <c r="EY141" s="411">
        <f t="shared" si="115"/>
        <v>0</v>
      </c>
      <c r="EZ141" s="411">
        <f t="shared" si="116"/>
        <v>13.664429530201346</v>
      </c>
      <c r="FA141" s="410">
        <f t="shared" si="117"/>
        <v>0</v>
      </c>
      <c r="FB141" s="405" t="s">
        <v>855</v>
      </c>
      <c r="FC141" s="409"/>
      <c r="FD141" s="420" t="str">
        <f t="shared" si="57"/>
        <v>ToyoLi - CYAN</v>
      </c>
      <c r="FE141" s="409"/>
      <c r="FF141" s="411">
        <f>IF(FE141=0,0,IF($LB141=70%,VLOOKUP($FD141,'Jan-2026 rates'!$L:$R,4,0),IF($LB141=65%,VLOOKUP($FD141,'Jan-2026 rates'!$L:$R,4,0),IF($LB141=40%,VLOOKUP($FD141,'Jan-2026 rates'!$L:$R,5,0),IF($LB141=30%,VLOOKUP($FD141,'Jan-2026 rates'!$L:$R,6,0),IF($LB141=100%,VLOOKUP($FD141,'Jan-2026 rates'!$L:$R,7,0),IF($LB141=60%,VLOOKUP($FD141,'Jan-2026 rates'!$L:$S,8,0),IF($LB141=80%,VLOOKUP($FD141,'Jan-2026 rates'!L:T,9,0),0))))))))</f>
        <v>0</v>
      </c>
      <c r="FG141" s="412"/>
      <c r="FH141" s="409"/>
      <c r="FI141" s="411">
        <f>IF(FH141=0,0,IF($LB141=70%,VLOOKUP($FD141,'Jan-2026 rates'!$L:$R,4,0),IF($LB141=65%,VLOOKUP($FD141,'Jan-2026 rates'!$L:$R,4,0),IF($LB141=40%,VLOOKUP($FD141,'Jan-2026 rates'!$L:$R,5,0),IF($LB141=30%,VLOOKUP($FD141,'Jan-2026 rates'!$L:$R,6,0),IF($LB141=100%,VLOOKUP($FD141,'Jan-2026 rates'!$L:$R,7,0),IF($LB141=60%,VLOOKUP($FD141,'Jan-2026 rates'!$L:$S,8,0),IF($LB141=80%,VLOOKUP($FD141,'Jan-2026 rates'!L:T,9,0),0))))))))</f>
        <v>0</v>
      </c>
      <c r="FJ141" s="413" t="s">
        <v>1250</v>
      </c>
      <c r="FK141" s="413" t="s">
        <v>1921</v>
      </c>
      <c r="FL141" s="413"/>
      <c r="FM141" s="412"/>
      <c r="FN141" s="412"/>
      <c r="FO141" s="412"/>
      <c r="FP141" s="412"/>
      <c r="FQ141" s="412"/>
      <c r="FR141" s="409">
        <f>10+5</f>
        <v>15</v>
      </c>
      <c r="FS141" s="398">
        <f>IF(FR141=0,0,IF(LEN(FJ141)=11,_xlfn.XLOOKUP(FJ141,'Dispensed Ink Rates'!C:C,'Dispensed Ink Rates'!CS:CS),VLOOKUP(FJ141,'Jan-2026 rates'!$E:$F,2,0)))</f>
        <v>0</v>
      </c>
      <c r="FT141" s="409">
        <v>6</v>
      </c>
      <c r="FU141" s="398">
        <f>IF(FT141=0,0,IF(LEN(FK141)=11,_xlfn.XLOOKUP(FK141,'Dispensed Ink Rates'!C:C,'Dispensed Ink Rates'!CS:CS),VLOOKUP(FK141,'Jan-2026 rates'!$E:$F,2,0)))</f>
        <v>0</v>
      </c>
      <c r="FV141" s="409"/>
      <c r="FW141" s="398">
        <f>IF(FV141=0,0,IF(LEN(FL141)=11,_xlfn.XLOOKUP(FL141,'Dispensed Ink Rates'!C:C,'Dispensed Ink Rates'!CS:CS),VLOOKUP(FL141,'Jan-2026 rates'!$E:$F,2,0)))</f>
        <v>0</v>
      </c>
      <c r="FX141" s="409"/>
      <c r="FY141" s="398">
        <f>IF(FX141=0,0,IF(LEN(FM141)=11,_xlfn.XLOOKUP(FM141,'Dispensed Ink Rates'!C:C,'Dispensed Ink Rates'!CS:CS),VLOOKUP(FM141,'Jan-2026 rates'!$E:$F,2,0)))</f>
        <v>0</v>
      </c>
      <c r="FZ141" s="409"/>
      <c r="GA141" s="398">
        <f>IF(FZ141=0,0,IF(LEN(FN141)=11,_xlfn.XLOOKUP(FN141,'Dispensed Ink Rates'!C:C,'Dispensed Ink Rates'!CS:CS),VLOOKUP(FN141,'Jan-2026 rates'!$E:$F,2,0)))</f>
        <v>0</v>
      </c>
      <c r="GB141" s="409"/>
      <c r="GC141" s="398">
        <f>IF(GB141=0,0,IF(LEN(FO141)=11,_xlfn.XLOOKUP(FO141,'Dispensed Ink Rates'!C:C,'Dispensed Ink Rates'!CS:CS),VLOOKUP(FO141,'Jan-2026 rates'!$E:$F,2,0)))</f>
        <v>0</v>
      </c>
      <c r="GD141" s="409"/>
      <c r="GE141" s="398">
        <f>IF(GD141=0,0,IF(LEN(FP141)=11,_xlfn.XLOOKUP(FP141,'Dispensed Ink Rates'!C:C,'Dispensed Ink Rates'!CS:CS),VLOOKUP(FP141,'Jan-2026 rates'!$E:$F,2,0)))</f>
        <v>0</v>
      </c>
      <c r="GF141" s="409"/>
      <c r="GG141" s="398">
        <f>IF(GF141=0,0,IF(LEN(FQ141)=11,_xlfn.XLOOKUP(FQ141,'Dispensed Ink Rates'!C:C,'Dispensed Ink Rates'!CS:CS),VLOOKUP(FQ141,'Jan-2026 rates'!$E:$F,2,0)))</f>
        <v>0</v>
      </c>
      <c r="GH141" s="409" t="s">
        <v>1881</v>
      </c>
      <c r="GI141" s="409">
        <v>28</v>
      </c>
      <c r="GJ141" s="411">
        <f t="shared" si="118"/>
        <v>0</v>
      </c>
      <c r="GK141" s="411">
        <f t="shared" si="119"/>
        <v>17.161073825503351</v>
      </c>
      <c r="GL141" s="410">
        <f t="shared" si="120"/>
        <v>0</v>
      </c>
      <c r="GM141" s="405" t="s">
        <v>544</v>
      </c>
      <c r="GN141" s="409"/>
      <c r="GO141" s="420" t="str">
        <f t="shared" si="58"/>
        <v>ToyoLi - MAGENTA</v>
      </c>
      <c r="GP141" s="409"/>
      <c r="GQ141" s="411">
        <f>IF(GP141=0,0,IF($LB141=70%,VLOOKUP($GO141,'Jan-2026 rates'!$L:$R,4,0),IF($LB141=65%,VLOOKUP($GO141,'Jan-2026 rates'!$L:$R,4,0),IF($LB141=40%,VLOOKUP($GO141,'Jan-2026 rates'!$L:$R,5,0),IF($LB141=30%,VLOOKUP($GO141,'Jan-2026 rates'!$L:$R,6,0),IF($LB141=100%,VLOOKUP($GO141,'Jan-2026 rates'!$L:$R,7,0),IF($LB141=60%,VLOOKUP($GO141,'Jan-2026 rates'!$L:$S,8,0),IF($LB141=80%,VLOOKUP($GO141,'Jan-2026 rates'!L:T,9,0),0))))))))</f>
        <v>0</v>
      </c>
      <c r="GR141" s="412"/>
      <c r="GS141" s="409"/>
      <c r="GT141" s="411">
        <f>IF(GS141=0,0,IF($LB141=70%,VLOOKUP($GO141,'Jan-2026 rates'!$L:$R,4,0),IF($LB141=65%,VLOOKUP($GO141,'Jan-2026 rates'!$L:$R,4,0),IF($LB141=40%,VLOOKUP($GO141,'Jan-2026 rates'!$L:$R,5,0),IF($LB141=30%,VLOOKUP($GO141,'Jan-2026 rates'!$L:$R,6,0),IF($LB141=100%,VLOOKUP($GO141,'Jan-2026 rates'!$L:$R,7,0),IF($LB141=60%,VLOOKUP($GO141,'Jan-2026 rates'!$L:$S,8,0),IF($LB141=80%,VLOOKUP($GO141,'Jan-2026 rates'!L:T,9,0),0))))))))</f>
        <v>0</v>
      </c>
      <c r="GU141" s="413" t="s">
        <v>1246</v>
      </c>
      <c r="GV141" s="413" t="s">
        <v>1921</v>
      </c>
      <c r="GW141" s="412"/>
      <c r="GX141" s="412"/>
      <c r="GY141" s="412"/>
      <c r="GZ141" s="412"/>
      <c r="HA141" s="412"/>
      <c r="HB141" s="412"/>
      <c r="HC141" s="409">
        <v>15</v>
      </c>
      <c r="HD141" s="398">
        <f>IF(HC141=0,0,IF(LEN(GU141)=11,_xlfn.XLOOKUP(GU141,'Dispensed Ink Rates'!C:C,'Dispensed Ink Rates'!CS:CS),VLOOKUP(GU141,'Jan-2026 rates'!$E:$F,2,0)))</f>
        <v>0</v>
      </c>
      <c r="HE141" s="409">
        <v>5</v>
      </c>
      <c r="HF141" s="398">
        <f>IF(HE141=0,0,IF(LEN(GV141)=11,_xlfn.XLOOKUP(GV141,'Dispensed Ink Rates'!C:C,'Dispensed Ink Rates'!CS:CS),VLOOKUP(GV141,'Jan-2026 rates'!$E:$F,2,0)))</f>
        <v>0</v>
      </c>
      <c r="HG141" s="409"/>
      <c r="HH141" s="398">
        <f>IF(HG141=0,0,IF(LEN(GW141)=11,_xlfn.XLOOKUP(GW141,'Dispensed Ink Rates'!C:C,'Dispensed Ink Rates'!CS:CS),VLOOKUP(GW141,'Jan-2026 rates'!$E:$F,2,0)))</f>
        <v>0</v>
      </c>
      <c r="HI141" s="409"/>
      <c r="HJ141" s="398">
        <f>IF(HI141=0,0,IF(LEN(GX141)=11,_xlfn.XLOOKUP(GX141,'Dispensed Ink Rates'!C:C,'Dispensed Ink Rates'!CS:CS),VLOOKUP(GX141,'Jan-2026 rates'!$E:$F,2,0)))</f>
        <v>0</v>
      </c>
      <c r="HK141" s="409"/>
      <c r="HL141" s="398">
        <f>IF(HK141=0,0,IF(LEN(GY141)=11,_xlfn.XLOOKUP(GY141,'Dispensed Ink Rates'!C:C,'Dispensed Ink Rates'!CS:CS),VLOOKUP(GY141,'Jan-2026 rates'!$E:$F,2,0)))</f>
        <v>0</v>
      </c>
      <c r="HM141" s="409"/>
      <c r="HN141" s="398">
        <f>IF(HM141=0,0,IF(LEN(GZ141)=11,_xlfn.XLOOKUP(GZ141,'Dispensed Ink Rates'!C:C,'Dispensed Ink Rates'!CS:CS),VLOOKUP(GZ141,'Jan-2026 rates'!$E:$F,2,0)))</f>
        <v>0</v>
      </c>
      <c r="HO141" s="409"/>
      <c r="HP141" s="398">
        <f>IF(HO141=0,0,IF(LEN(HA141)=11,_xlfn.XLOOKUP(HA141,'Dispensed Ink Rates'!C:C,'Dispensed Ink Rates'!CS:CS),VLOOKUP(HA141,'Jan-2026 rates'!$E:$F,2,0)))</f>
        <v>0</v>
      </c>
      <c r="HQ141" s="409"/>
      <c r="HR141" s="398">
        <f>IF(HQ141=0,0,IF(LEN(HB141)=11,_xlfn.XLOOKUP(HB141,'Dispensed Ink Rates'!C:C,'Dispensed Ink Rates'!CS:CS),VLOOKUP(HB141,'Jan-2026 rates'!$E:$F,2,0)))</f>
        <v>0</v>
      </c>
      <c r="HS141" s="409" t="s">
        <v>1881</v>
      </c>
      <c r="HT141" s="409">
        <v>20</v>
      </c>
      <c r="HU141" s="411">
        <f t="shared" si="121"/>
        <v>0</v>
      </c>
      <c r="HV141" s="411">
        <f t="shared" si="122"/>
        <v>24.161073825503351</v>
      </c>
      <c r="HW141" s="414">
        <f t="shared" si="123"/>
        <v>0</v>
      </c>
      <c r="HX141" s="405" t="s">
        <v>545</v>
      </c>
      <c r="HY141" s="409"/>
      <c r="HZ141" s="420" t="str">
        <f t="shared" si="59"/>
        <v>ToyoLi - YELLOW</v>
      </c>
      <c r="IA141" s="409"/>
      <c r="IB141" s="411">
        <f>IF(IA141=0,0,IF($LB141=70%,VLOOKUP($HZ141,'Jan-2026 rates'!$L:$R,4,0),IF($LB141=65%,VLOOKUP($HZ141,'Jan-2026 rates'!$L:$R,4,0),IF($LB141=40%,VLOOKUP($HZ141,'Jan-2026 rates'!$L:$R,5,0),IF($LB141=30%,VLOOKUP($HZ141,'Jan-2026 rates'!$L:$R,6,0),IF($LB141=100%,VLOOKUP($HZ141,'Jan-2026 rates'!$L:$R,7,0),IF($LB141=60%,VLOOKUP($HZ141,'Jan-2026 rates'!$L:$S,8,0),IF($LB141=80%,VLOOKUP($HZ141,'Jan-2026 rates'!L:T,9,0),0))))))))</f>
        <v>0</v>
      </c>
      <c r="IC141" s="412"/>
      <c r="ID141" s="409"/>
      <c r="IE141" s="411">
        <f>IF(ID141=0,0,IF($LB141=70%,VLOOKUP($HZ141,'Jan-2026 rates'!$L:$R,4,0),IF($LB141=65%,VLOOKUP($HZ141,'Jan-2026 rates'!$L:$R,4,0),IF($LB141=40%,VLOOKUP($HZ141,'Jan-2026 rates'!$L:$R,5,0),IF($LB141=30%,VLOOKUP($HZ141,'Jan-2026 rates'!$L:$R,6,0),IF($LB141=100%,VLOOKUP($HZ141,'Jan-2026 rates'!$L:$R,7,0),IF($LB141=60%,VLOOKUP($HZ141,'Jan-2026 rates'!$L:$S,8,0),IF($LB141=80%,VLOOKUP($HZ141,'Jan-2026 rates'!L:T,9,0),0))))))))</f>
        <v>0</v>
      </c>
      <c r="IF141" s="412" t="s">
        <v>1247</v>
      </c>
      <c r="IG141" s="413" t="s">
        <v>1921</v>
      </c>
      <c r="IH141" s="412"/>
      <c r="II141" s="412"/>
      <c r="IJ141" s="412"/>
      <c r="IK141" s="412"/>
      <c r="IL141" s="412"/>
      <c r="IM141" s="412"/>
      <c r="IN141" s="409">
        <v>40</v>
      </c>
      <c r="IO141" s="398">
        <f>IF(IN141=0,0,IF(LEN(IF141)=11,_xlfn.XLOOKUP(IF141,'Dispensed Ink Rates'!C:C,'Dispensed Ink Rates'!CS:CS),VLOOKUP(IF141,'Jan-2026 rates'!$E:$F,2,0)))</f>
        <v>0</v>
      </c>
      <c r="IP141" s="409">
        <v>10</v>
      </c>
      <c r="IQ141" s="398">
        <f>IF(IP141=0,0,IF(LEN(IG141)=11,_xlfn.XLOOKUP(IG141,'Dispensed Ink Rates'!C:C,'Dispensed Ink Rates'!CS:CS),VLOOKUP(IG141,'Jan-2026 rates'!$E:$F,2,0)))</f>
        <v>0</v>
      </c>
      <c r="IR141" s="409"/>
      <c r="IS141" s="398">
        <f>IF(IR141=0,0,IF(LEN(IH141)=11,_xlfn.XLOOKUP(IH141,'Dispensed Ink Rates'!C:C,'Dispensed Ink Rates'!CS:CS),VLOOKUP(IH141,'Jan-2026 rates'!$E:$F,2,0)))</f>
        <v>0</v>
      </c>
      <c r="IT141" s="409"/>
      <c r="IU141" s="398">
        <f>IF(IT141=0,0,IF(LEN(II141)=11,_xlfn.XLOOKUP(II141,'Dispensed Ink Rates'!C:C,'Dispensed Ink Rates'!CS:CS),VLOOKUP(II141,'Jan-2026 rates'!$E:$F,2,0)))</f>
        <v>0</v>
      </c>
      <c r="IV141" s="409"/>
      <c r="IW141" s="398">
        <f>IF(IV141=0,0,IF(LEN(IJ141)=11,_xlfn.XLOOKUP(IJ141,'Dispensed Ink Rates'!C:C,'Dispensed Ink Rates'!CS:CS),VLOOKUP(IJ141,'Jan-2026 rates'!$E:$F,2,0)))</f>
        <v>0</v>
      </c>
      <c r="IX141" s="409"/>
      <c r="IY141" s="398">
        <f>IF(IX141=0,0,IF(LEN(IK141)=11,_xlfn.XLOOKUP(IK141,'Dispensed Ink Rates'!C:C,'Dispensed Ink Rates'!CS:CS),VLOOKUP(IK141,'Jan-2026 rates'!$E:$F,2,0)))</f>
        <v>0</v>
      </c>
      <c r="IZ141" s="409"/>
      <c r="JA141" s="398">
        <f>IF(IZ141=0,0,IF(LEN(IL141)=11,_xlfn.XLOOKUP(IL141,'Dispensed Ink Rates'!C:C,'Dispensed Ink Rates'!CS:CS),VLOOKUP(IL141,'Jan-2026 rates'!$E:$F,2,0)))</f>
        <v>0</v>
      </c>
      <c r="JB141" s="409"/>
      <c r="JC141" s="398">
        <f>IF(JB141=0,0,IF(LEN(IM141)=11,_xlfn.XLOOKUP(IM141,'Dispensed Ink Rates'!C:C,'Dispensed Ink Rates'!CS:CS),VLOOKUP(IM141,'Jan-2026 rates'!$E:$F,2,0)))</f>
        <v>0</v>
      </c>
      <c r="JD141" s="409" t="s">
        <v>1881</v>
      </c>
      <c r="JE141" s="409">
        <v>30</v>
      </c>
      <c r="JF141" s="411">
        <f t="shared" si="124"/>
        <v>0</v>
      </c>
      <c r="JG141" s="411">
        <f t="shared" si="125"/>
        <v>80.402684563758385</v>
      </c>
      <c r="JH141" s="410">
        <f t="shared" si="126"/>
        <v>0</v>
      </c>
      <c r="JI141" s="405" t="s">
        <v>856</v>
      </c>
      <c r="JJ141" s="409"/>
      <c r="JK141" s="420" t="str">
        <f t="shared" si="60"/>
        <v>ToyoLi - WHITE</v>
      </c>
      <c r="JL141" s="409"/>
      <c r="JM141" s="411">
        <f>IF(JL141=0,0,IF($LB141=70%,VLOOKUP($JK141,'Jan-2026 rates'!$L:$R,4,0),IF($LB141=65%,VLOOKUP($JK141,'Jan-2026 rates'!$L:$R,4,0),IF($LB141=40%,VLOOKUP($JK141,'Jan-2026 rates'!$L:$R,5,0),IF($LB141=30%,VLOOKUP($JK141,'Jan-2026 rates'!$L:$R,6,0),IF($LB141=100%,VLOOKUP($JK141,'Jan-2026 rates'!$L:$R,7,0),IF($LB141=60%,VLOOKUP($JK141,'Jan-2026 rates'!$L:$S,8,0),IF($LB141=80%,VLOOKUP($JK141,'Jan-2026 rates'!L:T,9,0),0))))))))</f>
        <v>0</v>
      </c>
      <c r="JN141" s="412"/>
      <c r="JO141" s="409"/>
      <c r="JP141" s="411">
        <f>IF(JO141=0,0,IF($LB141=70%,VLOOKUP($JK141,'Jan-2026 rates'!$L:$R,4,0),IF($LB141=65%,VLOOKUP($JK141,'Jan-2026 rates'!$L:$R,4,0),IF($LB141=40%,VLOOKUP($JK141,'Jan-2026 rates'!$L:$R,5,0),IF($LB141=30%,VLOOKUP($JK141,'Jan-2026 rates'!$L:$R,6,0),IF($LB141=100%,VLOOKUP($JK141,'Jan-2026 rates'!$L:$R,7,0),IF($LB141=60%,VLOOKUP($JK141,'Jan-2026 rates'!$L:$S,8,0),IF($LB141=80%,VLOOKUP($JK141,'Jan-2026 rates'!L:T,9,0),0))))))))</f>
        <v>0</v>
      </c>
      <c r="JQ141" s="413" t="s">
        <v>1249</v>
      </c>
      <c r="JR141" s="412" t="s">
        <v>1122</v>
      </c>
      <c r="JS141" s="413"/>
      <c r="JT141" s="413"/>
      <c r="JU141" s="412"/>
      <c r="JV141" s="412"/>
      <c r="JW141" s="412"/>
      <c r="JX141" s="412"/>
      <c r="JY141" s="409">
        <v>100</v>
      </c>
      <c r="JZ141" s="398">
        <f>IF(JY141=0,0,IF(LEN(JQ141)=11,_xlfn.XLOOKUP(JQ141,'Dispensed Ink Rates'!C:C,'Dispensed Ink Rates'!CS:CS),VLOOKUP(JQ141,'Jan-2026 rates'!$E:$F,2,0)))</f>
        <v>0</v>
      </c>
      <c r="KA141" s="409">
        <v>9.99</v>
      </c>
      <c r="KB141" s="398">
        <f>IF(KA141=0,0,IF(LEN(JR141)=11,_xlfn.XLOOKUP(JR141,'Dispensed Ink Rates'!C:C,'Dispensed Ink Rates'!CS:CS),VLOOKUP(JR141,'Jan-2026 rates'!$E:$F,2,0)))</f>
        <v>0</v>
      </c>
      <c r="KC141" s="409"/>
      <c r="KD141" s="398">
        <f>IF(KC141=0,0,IF(LEN(JS141)=11,_xlfn.XLOOKUP(JS141,'Dispensed Ink Rates'!C:C,'Dispensed Ink Rates'!CS:CS),VLOOKUP(JS141,'Jan-2026 rates'!$E:$F,2,0)))</f>
        <v>0</v>
      </c>
      <c r="KE141" s="409"/>
      <c r="KF141" s="398">
        <f>IF(KE141=0,0,IF(LEN(JT141)=11,_xlfn.XLOOKUP(JT141,'Dispensed Ink Rates'!C:C,'Dispensed Ink Rates'!CS:CS),VLOOKUP(JT141,'Jan-2026 rates'!$E:$F,2,0)))</f>
        <v>0</v>
      </c>
      <c r="KG141" s="409"/>
      <c r="KH141" s="398">
        <f>IF(KG141=0,0,IF(LEN(JU141)=11,_xlfn.XLOOKUP(JU141,'Dispensed Ink Rates'!C:C,'Dispensed Ink Rates'!CS:CS),VLOOKUP(JU141,'Jan-2026 rates'!$E:$F,2,0)))</f>
        <v>0</v>
      </c>
      <c r="KI141" s="409"/>
      <c r="KJ141" s="398">
        <f>IF(KI141=0,0,IF(LEN(JV141)=11,_xlfn.XLOOKUP(JV141,'Dispensed Ink Rates'!C:C,'Dispensed Ink Rates'!CS:CS),VLOOKUP(JV141,'Jan-2026 rates'!$E:$F,2,0)))</f>
        <v>0</v>
      </c>
      <c r="KK141" s="409"/>
      <c r="KL141" s="398">
        <f>IF(KK141=0,0,IF(LEN(JW141)=11,_xlfn.XLOOKUP(JW141,'Dispensed Ink Rates'!C:C,'Dispensed Ink Rates'!CS:CS),VLOOKUP(JW141,'Jan-2026 rates'!$E:$F,2,0)))</f>
        <v>0</v>
      </c>
      <c r="KM141" s="428"/>
      <c r="KN141" s="398">
        <f>IF(KM141=0,0,IF(LEN(JX141)=11,_xlfn.XLOOKUP(JX141,'Dispensed Ink Rates'!C:C,'Dispensed Ink Rates'!CS:CS),VLOOKUP(JX141,'Jan-2026 rates'!$E:$F,2,0)))</f>
        <v>0</v>
      </c>
      <c r="KO141" s="409" t="s">
        <v>1881</v>
      </c>
      <c r="KP141" s="409">
        <v>20</v>
      </c>
      <c r="KQ141" s="411">
        <f t="shared" si="127"/>
        <v>0</v>
      </c>
      <c r="KR141" s="411">
        <f t="shared" si="128"/>
        <v>234.95644295302014</v>
      </c>
      <c r="KS141" s="410">
        <f t="shared" si="129"/>
        <v>0</v>
      </c>
      <c r="KT141" s="409">
        <v>10</v>
      </c>
      <c r="KU141" s="409">
        <v>10</v>
      </c>
      <c r="KV141" s="409">
        <v>20</v>
      </c>
      <c r="KW141" s="409">
        <v>4</v>
      </c>
      <c r="KX141" s="409">
        <v>10</v>
      </c>
      <c r="KY141" s="409">
        <v>10</v>
      </c>
      <c r="KZ141" s="409">
        <v>25</v>
      </c>
      <c r="LA141" s="409">
        <v>60</v>
      </c>
      <c r="LB141" s="415">
        <v>0.3</v>
      </c>
      <c r="LC141" s="415"/>
      <c r="LD141" s="415"/>
      <c r="LE141" s="415">
        <v>0.5</v>
      </c>
      <c r="LF141" s="415">
        <v>0.2</v>
      </c>
      <c r="LG141" s="409">
        <v>0</v>
      </c>
      <c r="LH141" s="409">
        <f>60+50+72+120+5+5+48</f>
        <v>360</v>
      </c>
      <c r="LI141" s="409">
        <v>0</v>
      </c>
      <c r="LJ141" s="409">
        <v>0</v>
      </c>
      <c r="LK141" s="416">
        <f t="shared" si="61"/>
        <v>360</v>
      </c>
      <c r="LL141" s="416">
        <f t="shared" si="62"/>
        <v>360</v>
      </c>
      <c r="LM141" s="417">
        <f t="shared" si="63"/>
        <v>108</v>
      </c>
      <c r="LN141" s="417">
        <f>VLOOKUP($LM$8,'Jan-2026 rates'!$H:$I,2,0)</f>
        <v>0</v>
      </c>
      <c r="LO141" s="417">
        <f t="shared" si="64"/>
        <v>0</v>
      </c>
      <c r="LP141" s="417">
        <f>VLOOKUP($LO$8,'Jan-2026 rates'!$H:$I,2,0)</f>
        <v>0</v>
      </c>
      <c r="LQ141" s="417">
        <f t="shared" si="65"/>
        <v>0</v>
      </c>
      <c r="LR141" s="417">
        <f>VLOOKUP($LQ$8,'Jan-2026 rates'!$H:$I,2,0)</f>
        <v>0</v>
      </c>
      <c r="LS141" s="417">
        <f t="shared" si="66"/>
        <v>180</v>
      </c>
      <c r="LT141" s="417">
        <f>VLOOKUP($LS$8,'Jan-2026 rates'!$H:$I,2,0)</f>
        <v>0</v>
      </c>
      <c r="LU141" s="417">
        <f t="shared" si="67"/>
        <v>72</v>
      </c>
      <c r="LV141" s="417">
        <f>VLOOKUP($LU$8,'Jan-2026 rates'!$H:$I,2,0)</f>
        <v>0</v>
      </c>
      <c r="LW141" s="417">
        <f t="shared" si="68"/>
        <v>0</v>
      </c>
      <c r="LX141" s="417">
        <f t="shared" si="69"/>
        <v>0</v>
      </c>
      <c r="LY141" s="418">
        <f t="shared" si="70"/>
        <v>0</v>
      </c>
      <c r="LZ141" s="417"/>
      <c r="MA141" s="435">
        <f t="shared" si="71"/>
        <v>324.99</v>
      </c>
      <c r="MB141" s="282">
        <f t="shared" si="72"/>
        <v>499.99</v>
      </c>
      <c r="MC141" s="283" t="s">
        <v>1976</v>
      </c>
      <c r="MD141" s="284" t="str">
        <f t="shared" si="73"/>
        <v>ToyoLiToyoLiToyoLiToyoLiToyoLiToyoLiToyoLiToyoLi</v>
      </c>
      <c r="ME141" s="293" t="str">
        <f t="shared" si="74"/>
        <v>+</v>
      </c>
      <c r="MF141" s="293" t="str">
        <f t="shared" si="75"/>
        <v>+</v>
      </c>
      <c r="MG141" s="293" t="str">
        <f t="shared" si="76"/>
        <v>+</v>
      </c>
      <c r="MH141" s="293" t="str">
        <f t="shared" si="77"/>
        <v>+</v>
      </c>
      <c r="MI141" s="293" t="str">
        <f t="shared" si="78"/>
        <v>+</v>
      </c>
      <c r="MJ141" s="293" t="str">
        <f t="shared" si="79"/>
        <v>+</v>
      </c>
      <c r="MK141" s="293" t="str">
        <f t="shared" si="80"/>
        <v>+</v>
      </c>
      <c r="ML141" s="293" t="str">
        <f t="shared" si="81"/>
        <v>+</v>
      </c>
      <c r="MM141" s="3" t="b">
        <f t="array" ref="MM141">OR(ME141:ML141="-")</f>
        <v>0</v>
      </c>
      <c r="MN141" s="285"/>
      <c r="MO141" s="401"/>
      <c r="MP141" s="286"/>
      <c r="MQ141" s="286"/>
      <c r="MR141" s="402"/>
      <c r="MS141" s="400"/>
      <c r="NH141" s="422"/>
      <c r="NJ141" s="421"/>
    </row>
    <row r="142" spans="1:374" s="1" customFormat="1" ht="16.5">
      <c r="A142" s="403">
        <v>46030</v>
      </c>
      <c r="B142" s="404" t="s">
        <v>1015</v>
      </c>
      <c r="C142" s="405" t="s">
        <v>3414</v>
      </c>
      <c r="D142" s="406" t="s">
        <v>1977</v>
      </c>
      <c r="E142" s="404">
        <v>34</v>
      </c>
      <c r="F142" s="407">
        <v>1600</v>
      </c>
      <c r="G142" s="407" t="s">
        <v>1016</v>
      </c>
      <c r="H142" s="408" t="s">
        <v>1017</v>
      </c>
      <c r="I142" s="409">
        <v>0.64</v>
      </c>
      <c r="J142" s="405" t="s">
        <v>543</v>
      </c>
      <c r="K142" s="404" t="s">
        <v>3415</v>
      </c>
      <c r="L142" s="419" t="str">
        <f t="shared" si="54"/>
        <v>ToyoLi - BLACK</v>
      </c>
      <c r="M142" s="404">
        <v>26</v>
      </c>
      <c r="N142" s="410">
        <f>IF(M142=0,0,IF($LB142=70%,VLOOKUP($L142,'Jan-2026 rates'!$L:$R,4,0),IF($LB142=65%,VLOOKUP($L142,'Jan-2026 rates'!$L:$R,4,0),IF($LB142=40%,VLOOKUP($L142,'Jan-2026 rates'!$L:$R,5,0),IF($LB142=30%,VLOOKUP($L142,'Jan-2026 rates'!$L:$R,6,0),IF($LB142=100%,VLOOKUP($L142,'Jan-2026 rates'!$L:$R,7,0),IF($LB142=60%,VLOOKUP($L142,'Jan-2026 rates'!$L:$S,8,0),IF($LB142=80%,VLOOKUP($L142,'Jan-2026 rates'!L:T,9,0),0))))))))</f>
        <v>0</v>
      </c>
      <c r="O142" s="406"/>
      <c r="P142" s="404"/>
      <c r="Q142" s="410">
        <f>IF(P142=0,0,IF($LB142=70%,VLOOKUP($L142,'Jan-2026 rates'!$L:$R,4,0),IF($LB142=65%,VLOOKUP($L142,'Jan-2026 rates'!$L:$R,4,0),IF($LB142=40%,VLOOKUP($L142,'Jan-2026 rates'!$L:$R,5,0),IF($LB142=30%,VLOOKUP($L142,'Jan-2026 rates'!$L:$R,6,0),IF($LB142=100%,VLOOKUP($L142,'Jan-2026 rates'!$L:$R,7,0),IF($LB142=60%,VLOOKUP($L142,'Jan-2026 rates'!$L:$S,8,0),IF($LB142=80%,VLOOKUP($L142,'Jan-2026 rates'!L:T,9,0),0))))))))</f>
        <v>0</v>
      </c>
      <c r="R142" s="406" t="s">
        <v>1252</v>
      </c>
      <c r="S142" s="406"/>
      <c r="T142" s="406"/>
      <c r="U142" s="406"/>
      <c r="V142" s="406"/>
      <c r="W142" s="406"/>
      <c r="X142" s="406"/>
      <c r="Y142" s="406"/>
      <c r="Z142" s="404">
        <v>5</v>
      </c>
      <c r="AA142" s="398">
        <f>IF(Z142=0,0,IF(LEN(R142)=11,_xlfn.XLOOKUP(R142,'Dispensed Ink Rates'!C:C,'Dispensed Ink Rates'!CS:CS),VLOOKUP(R142,'Jan-2026 rates'!$E:$F,2,0)))</f>
        <v>0</v>
      </c>
      <c r="AB142" s="404"/>
      <c r="AC142" s="398">
        <f>IF(AB142=0,0,IF(LEN(S142)=11,_xlfn.XLOOKUP(S142,'Dispensed Ink Rates'!C:C,'Dispensed Ink Rates'!CS:CS),VLOOKUP(S142,'Jan-2026 rates'!$E:$F,2,0)))</f>
        <v>0</v>
      </c>
      <c r="AD142" s="404"/>
      <c r="AE142" s="398">
        <f>IF(AD142=0,0,IF(LEN(T142)=11,_xlfn.XLOOKUP(T142,'Dispensed Ink Rates'!C:C,'Dispensed Ink Rates'!CS:CS),VLOOKUP(T142,'Jan-2026 rates'!$E:$F,2,0)))</f>
        <v>0</v>
      </c>
      <c r="AF142" s="404"/>
      <c r="AG142" s="398">
        <f>IF(AF142=0,0,IF(LEN(U142)=11,_xlfn.XLOOKUP(U142,'Dispensed Ink Rates'!C:C,'Dispensed Ink Rates'!CS:CS),VLOOKUP(U142,'Jan-2026 rates'!$E:$F,2,0)))</f>
        <v>0</v>
      </c>
      <c r="AH142" s="404"/>
      <c r="AI142" s="398">
        <f>IF(AH142=0,0,IF(LEN(V142)=11,_xlfn.XLOOKUP(V142,'Dispensed Ink Rates'!C:C,'Dispensed Ink Rates'!CS:CS),VLOOKUP(V142,'Jan-2026 rates'!$E:$F,2,0)))</f>
        <v>0</v>
      </c>
      <c r="AJ142" s="404"/>
      <c r="AK142" s="398">
        <f>IF(AJ142=0,0,IF(LEN(W142)=11,_xlfn.XLOOKUP(W142,'Dispensed Ink Rates'!C:C,'Dispensed Ink Rates'!CS:CS),VLOOKUP(W142,'Jan-2026 rates'!$E:$F,2,0)))</f>
        <v>0</v>
      </c>
      <c r="AL142" s="404"/>
      <c r="AM142" s="398">
        <f>IF(AL142=0,0,IF(LEN(X142)=11,_xlfn.XLOOKUP(X142,'Dispensed Ink Rates'!C:C,'Dispensed Ink Rates'!CS:CS),VLOOKUP(X142,'Jan-2026 rates'!$E:$F,2,0)))</f>
        <v>0</v>
      </c>
      <c r="AN142" s="404"/>
      <c r="AO142" s="398">
        <f>IF(AN142=0,0,IF(LEN(Y142)=11,_xlfn.XLOOKUP(Y142,'Dispensed Ink Rates'!C:C,'Dispensed Ink Rates'!CS:CS),VLOOKUP(Y142,'Jan-2026 rates'!$E:$F,2,0)))</f>
        <v>0</v>
      </c>
      <c r="AP142" s="409" t="s">
        <v>1881</v>
      </c>
      <c r="AQ142" s="409">
        <v>28</v>
      </c>
      <c r="AR142" s="410">
        <f t="shared" si="106"/>
        <v>0</v>
      </c>
      <c r="AS142" s="411">
        <f t="shared" si="107"/>
        <v>3</v>
      </c>
      <c r="AT142" s="410">
        <f t="shared" si="108"/>
        <v>0</v>
      </c>
      <c r="AU142" s="405" t="s">
        <v>857</v>
      </c>
      <c r="AV142" s="409"/>
      <c r="AW142" s="420" t="str">
        <f t="shared" si="130"/>
        <v>ToyoLi - RED</v>
      </c>
      <c r="AX142" s="409"/>
      <c r="AY142" s="411">
        <f>IF(AX142=0,0,IF($LB142=70%,VLOOKUP($AW142,'Jan-2026 rates'!$L:$R,4,0),IF($LB142=65%,VLOOKUP($AW142,'Jan-2026 rates'!$L:$R,4,0),IF($LB142=40%,VLOOKUP($AW142,'Jan-2026 rates'!$L:$R,5,0),IF($LB142=30%,VLOOKUP($AW142,'Jan-2026 rates'!$L:$R,6,0),IF($LB142=100%,VLOOKUP($AW142,'Jan-2026 rates'!$L:$R,7,0),IF($LB142=60%,VLOOKUP($AW142,'Jan-2026 rates'!$L:$S,8,0),IF($LB142=80%,VLOOKUP($AW142,'Jan-2026 rates'!L:T,9,0),0))))))))</f>
        <v>0</v>
      </c>
      <c r="AZ142" s="412"/>
      <c r="BA142" s="409"/>
      <c r="BB142" s="411">
        <f>IF(BA142=0,0,IF($LB142=70%,VLOOKUP($AW142,'Jan-2026 rates'!$L:$R,4,0),IF($LB142=65%,VLOOKUP($AW142,'Jan-2026 rates'!$L:$R,4,0),IF($LB142=40%,VLOOKUP($AW142,'Jan-2026 rates'!$L:$R,5,0),IF($LB142=30%,VLOOKUP($AW142,'Jan-2026 rates'!$L:$R,6,0),IF($LB142=100%,VLOOKUP($AW142,'Jan-2026 rates'!$L:$R,7,0),IF($LB142=60%,VLOOKUP($AW142,'Jan-2026 rates'!$L:$S,8,0),IF($LB142=80%,VLOOKUP($AW142,'Jan-2026 rates'!L:T,9,0),0))))))))</f>
        <v>0</v>
      </c>
      <c r="BC142" s="413" t="s">
        <v>1505</v>
      </c>
      <c r="BD142" s="412"/>
      <c r="BE142" s="412"/>
      <c r="BF142" s="413"/>
      <c r="BG142" s="412"/>
      <c r="BH142" s="412"/>
      <c r="BI142" s="412"/>
      <c r="BJ142" s="412"/>
      <c r="BK142" s="409">
        <v>15</v>
      </c>
      <c r="BL142" s="398">
        <f>IF(BK142=0,0,IF(LEN(BC142)=11,_xlfn.XLOOKUP(BC142,'Dispensed Ink Rates'!C:C,'Dispensed Ink Rates'!CS:CS),VLOOKUP(BC142,'Jan-2026 rates'!$E:$F,2,0)))</f>
        <v>0</v>
      </c>
      <c r="BM142" s="409"/>
      <c r="BN142" s="398">
        <f>IF(BM142=0,0,IF(LEN(BD142)=11,_xlfn.XLOOKUP(BD142,'Dispensed Ink Rates'!C:C,'Dispensed Ink Rates'!CS:CS),VLOOKUP(BD142,'Jan-2026 rates'!$E:$F,2,0)))</f>
        <v>0</v>
      </c>
      <c r="BO142" s="409"/>
      <c r="BP142" s="398">
        <f>IF(BO142=0,0,IF(LEN(BE142)=11,_xlfn.XLOOKUP(BE142,'Dispensed Ink Rates'!C:C,'Dispensed Ink Rates'!CS:CS),VLOOKUP(BE142,'Jan-2026 rates'!$E:$F,2,0)))</f>
        <v>0</v>
      </c>
      <c r="BQ142" s="409"/>
      <c r="BR142" s="398">
        <f>IF(BQ142=0,0,IF(LEN(BF142)=11,_xlfn.XLOOKUP(BF142,'Dispensed Ink Rates'!C:C,'Dispensed Ink Rates'!CS:CS),VLOOKUP(BF142,'Jan-2026 rates'!$E:$F,2,0)))</f>
        <v>0</v>
      </c>
      <c r="BS142" s="409"/>
      <c r="BT142" s="398">
        <f>IF(BS142=0,0,IF(LEN(BG142)=11,_xlfn.XLOOKUP(BG142,'Dispensed Ink Rates'!C:C,'Dispensed Ink Rates'!CS:CS),VLOOKUP(BG142,'Jan-2026 rates'!$E:$F,2,0)))</f>
        <v>0</v>
      </c>
      <c r="BU142" s="409"/>
      <c r="BV142" s="398">
        <f>IF(BU142=0,0,IF(LEN(BH142)=11,_xlfn.XLOOKUP(BH142,'Dispensed Ink Rates'!C:C,'Dispensed Ink Rates'!CS:CS),VLOOKUP(BH142,'Jan-2026 rates'!$E:$F,2,0)))</f>
        <v>0</v>
      </c>
      <c r="BW142" s="409"/>
      <c r="BX142" s="398">
        <f>IF(BW142=0,0,IF(LEN(BI142)=11,_xlfn.XLOOKUP(BI142,'Dispensed Ink Rates'!C:C,'Dispensed Ink Rates'!CS:CS),VLOOKUP(BI142,'Jan-2026 rates'!$E:$F,2,0)))</f>
        <v>0</v>
      </c>
      <c r="BY142" s="409"/>
      <c r="BZ142" s="398">
        <f>IF(BY142=0,0,IF(LEN(BJ142)=11,_xlfn.XLOOKUP(BJ142,'Dispensed Ink Rates'!C:C,'Dispensed Ink Rates'!CS:CS),VLOOKUP(BJ142,'Jan-2026 rates'!$E:$F,2,0)))</f>
        <v>0</v>
      </c>
      <c r="CA142" s="409" t="s">
        <v>1881</v>
      </c>
      <c r="CB142" s="409">
        <v>20</v>
      </c>
      <c r="CC142" s="411">
        <f t="shared" si="109"/>
        <v>0</v>
      </c>
      <c r="CD142" s="411">
        <f t="shared" si="110"/>
        <v>15</v>
      </c>
      <c r="CE142" s="410">
        <f t="shared" si="111"/>
        <v>0</v>
      </c>
      <c r="CF142" s="404" t="s">
        <v>856</v>
      </c>
      <c r="CG142" s="409" t="s">
        <v>3416</v>
      </c>
      <c r="CH142" s="420" t="str">
        <f t="shared" si="55"/>
        <v>ToyoLi - WHITE</v>
      </c>
      <c r="CI142" s="409">
        <v>20</v>
      </c>
      <c r="CJ142" s="411">
        <f>IF(CI142=0,0,IF($LB142=70%,VLOOKUP($CH142,'Jan-2026 rates'!$L:$R,4,0),IF($LB142=65%,VLOOKUP($CH142,'Jan-2026 rates'!$L:$R,4,0),IF($LB142=40%,VLOOKUP($CH142,'Jan-2026 rates'!$L:$R,5,0),IF($LB142=30%,VLOOKUP($CH142,'Jan-2026 rates'!$L:$R,6,0),IF($LB142=100%,VLOOKUP($CH142,'Jan-2026 rates'!$L:$R,7,0),IF($LB142=60%,VLOOKUP($CH142,'Jan-2026 rates'!$L:$S,8,0),IF($LB142=80%,VLOOKUP($CH142,'Jan-2026 rates'!L:T,9,0),0))))))))</f>
        <v>0</v>
      </c>
      <c r="CK142" s="412"/>
      <c r="CL142" s="409"/>
      <c r="CM142" s="411">
        <f>IF(CL142=0,0,IF($LB142=70%,VLOOKUP($CH142,'Jan-2026 rates'!$L:$R,4,0),IF($LB142=65%,VLOOKUP($CH142,'Jan-2026 rates'!$L:$R,4,0),IF($LB142=40%,VLOOKUP($CH142,'Jan-2026 rates'!$L:$R,5,0),IF($LB142=30%,VLOOKUP($CH142,'Jan-2026 rates'!$L:$R,6,0),IF($LB142=100%,VLOOKUP($CH142,'Jan-2026 rates'!$L:$R,7,0),IF($LB142=60%,VLOOKUP($CH142,'Jan-2026 rates'!$L:$S,8,0),IF($LB142=80%,VLOOKUP($CH142,'Jan-2026 rates'!L:T,9,0),0))))))))</f>
        <v>0</v>
      </c>
      <c r="CN142" s="426" t="s">
        <v>1249</v>
      </c>
      <c r="CO142" s="427"/>
      <c r="CP142" s="426"/>
      <c r="CQ142" s="426"/>
      <c r="CR142" s="428"/>
      <c r="CS142" s="428"/>
      <c r="CT142" s="428"/>
      <c r="CU142" s="428"/>
      <c r="CV142" s="409">
        <v>20</v>
      </c>
      <c r="CW142" s="398">
        <f>IF(CV142=0,0,IF(LEN(CN142)=11,_xlfn.XLOOKUP(CN142,'Dispensed Ink Rates'!C:C,'Dispensed Ink Rates'!CS:CS),VLOOKUP(CN142,'Jan-2026 rates'!$E:$F,2,0)))</f>
        <v>0</v>
      </c>
      <c r="CX142" s="409"/>
      <c r="CY142" s="398">
        <f>IF(CX142=0,0,IF(LEN(CO142)=11,_xlfn.XLOOKUP(CO142,'Dispensed Ink Rates'!C:C,'Dispensed Ink Rates'!CS:CS),VLOOKUP(CO142,'Jan-2026 rates'!$E:$F,2,0)))</f>
        <v>0</v>
      </c>
      <c r="CZ142" s="409"/>
      <c r="DA142" s="398">
        <f>IF(CZ142=0,0,IF(LEN(CP142)=11,_xlfn.XLOOKUP(CP142,'Dispensed Ink Rates'!C:C,'Dispensed Ink Rates'!CS:CS),VLOOKUP(CP142,'Jan-2026 rates'!$E:$F,2,0)))</f>
        <v>0</v>
      </c>
      <c r="DB142" s="409"/>
      <c r="DC142" s="398">
        <f>IF(DB142=0,0,IF(LEN(CQ142)=11,_xlfn.XLOOKUP(CQ142,'Dispensed Ink Rates'!C:C,'Dispensed Ink Rates'!CS:CS),VLOOKUP(CQ142,'Jan-2026 rates'!$E:$F,2,0)))</f>
        <v>0</v>
      </c>
      <c r="DD142" s="409"/>
      <c r="DE142" s="398">
        <f>IF(DD142=0,0,IF(LEN(CR142)=11,_xlfn.XLOOKUP(CR142,'Dispensed Ink Rates'!C:C,'Dispensed Ink Rates'!CS:CS),VLOOKUP(CR142,'Jan-2026 rates'!$E:$F,2,0)))</f>
        <v>0</v>
      </c>
      <c r="DF142" s="409"/>
      <c r="DG142" s="398">
        <f>IF(DF142=0,0,IF(LEN(CS142)=11,_xlfn.XLOOKUP(CS142,'Dispensed Ink Rates'!C:C,'Dispensed Ink Rates'!CS:CS),VLOOKUP(CS142,'Jan-2026 rates'!$E:$F,2,0)))</f>
        <v>0</v>
      </c>
      <c r="DH142" s="409"/>
      <c r="DI142" s="398">
        <f>IF(DH142=0,0,IF(LEN(CT142)=11,_xlfn.XLOOKUP(CT142,'Dispensed Ink Rates'!C:C,'Dispensed Ink Rates'!CS:CS),VLOOKUP(CT142,'Jan-2026 rates'!$E:$F,2,0)))</f>
        <v>0</v>
      </c>
      <c r="DJ142" s="409"/>
      <c r="DK142" s="398">
        <f>IF(DJ142=0,0,IF(LEN(CU142)=11,_xlfn.XLOOKUP(CU142,'Dispensed Ink Rates'!C:C,'Dispensed Ink Rates'!CS:CS),VLOOKUP(CU142,'Jan-2026 rates'!$E:$F,2,0)))</f>
        <v>0</v>
      </c>
      <c r="DL142" s="409" t="s">
        <v>1881</v>
      </c>
      <c r="DM142" s="409">
        <v>25</v>
      </c>
      <c r="DN142" s="411">
        <f t="shared" si="112"/>
        <v>0</v>
      </c>
      <c r="DO142" s="411">
        <f t="shared" si="113"/>
        <v>35</v>
      </c>
      <c r="DP142" s="410">
        <f t="shared" si="114"/>
        <v>0</v>
      </c>
      <c r="DQ142" s="405"/>
      <c r="DR142" s="409"/>
      <c r="DS142" s="420" t="str">
        <f t="shared" si="56"/>
        <v xml:space="preserve"> - </v>
      </c>
      <c r="DT142" s="409"/>
      <c r="DU142" s="411">
        <f>IF(DT142=0,0,IF($LB142=70%,VLOOKUP($DS142,'Jan-2026 rates'!$L:$R,4,0),IF($LB142=65%,VLOOKUP($DS142,'Jan-2026 rates'!$L:$R,4,0),IF($LB142=40%,VLOOKUP($DS142,'Jan-2026 rates'!$L:$R,5,0),IF($LB142=30%,VLOOKUP($DS142,'Jan-2026 rates'!$L:$R,6,0),IF($LB142=100%,VLOOKUP($DS142,'Jan-2026 rates'!$L:$R,7,0),IF($LB142=60%,VLOOKUP($DS142,'Jan-2026 rates'!$L:$S,8,0),IF($LB142=80%,VLOOKUP($DS142,'Jan-2026 rates'!L:T,9,0),0))))))))</f>
        <v>0</v>
      </c>
      <c r="DV142" s="412"/>
      <c r="DW142" s="409"/>
      <c r="DX142" s="411">
        <f>IF(DW142=0,0,IF($LB142=70%,VLOOKUP($DS142,'Jan-2026 rates'!$L:$R,4,0),IF($LB142=65%,VLOOKUP($DS142,'Jan-2026 rates'!$L:$R,4,0),IF($LB142=40%,VLOOKUP($DS142,'Jan-2026 rates'!$L:$R,5,0),IF($LB142=30%,VLOOKUP($DS142,'Jan-2026 rates'!$L:$R,6,0),IF($LB142=100%,VLOOKUP($DS142,'Jan-2026 rates'!$L:$R,7,0),IF($LB142=60%,VLOOKUP($DS142,'Jan-2026 rates'!$L:$S,8,0),IF($LB142=80%,VLOOKUP($DS142,'Jan-2026 rates'!L:T,9,0),0))))))))</f>
        <v>0</v>
      </c>
      <c r="DY142" s="413"/>
      <c r="DZ142" s="413"/>
      <c r="EA142" s="412"/>
      <c r="EB142" s="412"/>
      <c r="EC142" s="412"/>
      <c r="ED142" s="412"/>
      <c r="EE142" s="412"/>
      <c r="EF142" s="412"/>
      <c r="EG142" s="409"/>
      <c r="EH142" s="398">
        <f>IF(EG142=0,0,IF(LEN(DY142)=11,_xlfn.XLOOKUP(DY142,'Dispensed Ink Rates'!C:C,'Dispensed Ink Rates'!CS:CS),VLOOKUP(DY142,'Jan-2026 rates'!$E:$F,2,0)))</f>
        <v>0</v>
      </c>
      <c r="EI142" s="409"/>
      <c r="EJ142" s="398">
        <f>IF(EI142=0,0,IF(LEN(DZ142)=11,_xlfn.XLOOKUP(DZ142,'Dispensed Ink Rates'!C:C,'Dispensed Ink Rates'!CS:CS),VLOOKUP(DZ142,'Jan-2026 rates'!$E:$F,2,0)))</f>
        <v>0</v>
      </c>
      <c r="EK142" s="409"/>
      <c r="EL142" s="398">
        <f>IF(EK142=0,0,IF(LEN(EA142)=11,_xlfn.XLOOKUP(EA142,'Dispensed Ink Rates'!C:C,'Dispensed Ink Rates'!CS:CS),VLOOKUP(EA142,'Jan-2026 rates'!$E:$F,2,0)))</f>
        <v>0</v>
      </c>
      <c r="EM142" s="409"/>
      <c r="EN142" s="398">
        <f>IF(EM142=0,0,IF(LEN(EB142)=11,_xlfn.XLOOKUP(EB142,'Dispensed Ink Rates'!C:C,'Dispensed Ink Rates'!CS:CS),VLOOKUP(EB142,'Jan-2026 rates'!$E:$F,2,0)))</f>
        <v>0</v>
      </c>
      <c r="EO142" s="409"/>
      <c r="EP142" s="398">
        <f>IF(EO142=0,0,IF(LEN(EC142)=11,_xlfn.XLOOKUP(EC142,'Dispensed Ink Rates'!C:C,'Dispensed Ink Rates'!CS:CS),VLOOKUP(EC142,'Jan-2026 rates'!$E:$F,2,0)))</f>
        <v>0</v>
      </c>
      <c r="EQ142" s="409"/>
      <c r="ER142" s="398">
        <f>IF(EQ142=0,0,IF(LEN(ED142)=11,_xlfn.XLOOKUP(ED142,'Dispensed Ink Rates'!C:C,'Dispensed Ink Rates'!CS:CS),VLOOKUP(ED142,'Jan-2026 rates'!$E:$F,2,0)))</f>
        <v>0</v>
      </c>
      <c r="ES142" s="409"/>
      <c r="ET142" s="398">
        <f>IF(ES142=0,0,IF(LEN(EE142)=11,_xlfn.XLOOKUP(EE142,'Dispensed Ink Rates'!C:C,'Dispensed Ink Rates'!CS:CS),VLOOKUP(EE142,'Jan-2026 rates'!$E:$F,2,0)))</f>
        <v>0</v>
      </c>
      <c r="EU142" s="409"/>
      <c r="EV142" s="398">
        <f>IF(EU142=0,0,IF(LEN(EF142)=11,_xlfn.XLOOKUP(EF142,'Dispensed Ink Rates'!C:C,'Dispensed Ink Rates'!CS:CS),VLOOKUP(EF142,'Jan-2026 rates'!$E:$F,2,0)))</f>
        <v>0</v>
      </c>
      <c r="EW142" s="409"/>
      <c r="EX142" s="409"/>
      <c r="EY142" s="411">
        <f t="shared" si="115"/>
        <v>0</v>
      </c>
      <c r="EZ142" s="411">
        <f t="shared" si="116"/>
        <v>0</v>
      </c>
      <c r="FA142" s="410">
        <f t="shared" si="117"/>
        <v>0</v>
      </c>
      <c r="FB142" s="405"/>
      <c r="FC142" s="409"/>
      <c r="FD142" s="420" t="str">
        <f t="shared" si="57"/>
        <v xml:space="preserve"> - </v>
      </c>
      <c r="FE142" s="409"/>
      <c r="FF142" s="411">
        <f>IF(FE142=0,0,IF($LB142=70%,VLOOKUP($FD142,'Jan-2026 rates'!$L:$R,4,0),IF($LB142=65%,VLOOKUP($FD142,'Jan-2026 rates'!$L:$R,4,0),IF($LB142=40%,VLOOKUP($FD142,'Jan-2026 rates'!$L:$R,5,0),IF($LB142=30%,VLOOKUP($FD142,'Jan-2026 rates'!$L:$R,6,0),IF($LB142=100%,VLOOKUP($FD142,'Jan-2026 rates'!$L:$R,7,0),IF($LB142=60%,VLOOKUP($FD142,'Jan-2026 rates'!$L:$S,8,0),IF($LB142=80%,VLOOKUP($FD142,'Jan-2026 rates'!L:T,9,0),0))))))))</f>
        <v>0</v>
      </c>
      <c r="FG142" s="412"/>
      <c r="FH142" s="409"/>
      <c r="FI142" s="411">
        <f>IF(FH142=0,0,IF($LB142=70%,VLOOKUP($FD142,'Jan-2026 rates'!$L:$R,4,0),IF($LB142=65%,VLOOKUP($FD142,'Jan-2026 rates'!$L:$R,4,0),IF($LB142=40%,VLOOKUP($FD142,'Jan-2026 rates'!$L:$R,5,0),IF($LB142=30%,VLOOKUP($FD142,'Jan-2026 rates'!$L:$R,6,0),IF($LB142=100%,VLOOKUP($FD142,'Jan-2026 rates'!$L:$R,7,0),IF($LB142=60%,VLOOKUP($FD142,'Jan-2026 rates'!$L:$S,8,0),IF($LB142=80%,VLOOKUP($FD142,'Jan-2026 rates'!L:T,9,0),0))))))))</f>
        <v>0</v>
      </c>
      <c r="FJ142" s="413"/>
      <c r="FK142" s="413"/>
      <c r="FL142" s="413"/>
      <c r="FM142" s="412"/>
      <c r="FN142" s="412"/>
      <c r="FO142" s="412"/>
      <c r="FP142" s="412"/>
      <c r="FQ142" s="412"/>
      <c r="FR142" s="409"/>
      <c r="FS142" s="398">
        <f>IF(FR142=0,0,IF(LEN(FJ142)=11,_xlfn.XLOOKUP(FJ142,'Dispensed Ink Rates'!C:C,'Dispensed Ink Rates'!CS:CS),VLOOKUP(FJ142,'Jan-2026 rates'!$E:$F,2,0)))</f>
        <v>0</v>
      </c>
      <c r="FT142" s="409"/>
      <c r="FU142" s="398">
        <f>IF(FT142=0,0,IF(LEN(FK142)=11,_xlfn.XLOOKUP(FK142,'Dispensed Ink Rates'!C:C,'Dispensed Ink Rates'!CS:CS),VLOOKUP(FK142,'Jan-2026 rates'!$E:$F,2,0)))</f>
        <v>0</v>
      </c>
      <c r="FV142" s="409"/>
      <c r="FW142" s="398">
        <f>IF(FV142=0,0,IF(LEN(FL142)=11,_xlfn.XLOOKUP(FL142,'Dispensed Ink Rates'!C:C,'Dispensed Ink Rates'!CS:CS),VLOOKUP(FL142,'Jan-2026 rates'!$E:$F,2,0)))</f>
        <v>0</v>
      </c>
      <c r="FX142" s="409"/>
      <c r="FY142" s="398">
        <f>IF(FX142=0,0,IF(LEN(FM142)=11,_xlfn.XLOOKUP(FM142,'Dispensed Ink Rates'!C:C,'Dispensed Ink Rates'!CS:CS),VLOOKUP(FM142,'Jan-2026 rates'!$E:$F,2,0)))</f>
        <v>0</v>
      </c>
      <c r="FZ142" s="409"/>
      <c r="GA142" s="398">
        <f>IF(FZ142=0,0,IF(LEN(FN142)=11,_xlfn.XLOOKUP(FN142,'Dispensed Ink Rates'!C:C,'Dispensed Ink Rates'!CS:CS),VLOOKUP(FN142,'Jan-2026 rates'!$E:$F,2,0)))</f>
        <v>0</v>
      </c>
      <c r="GB142" s="409"/>
      <c r="GC142" s="398">
        <f>IF(GB142=0,0,IF(LEN(FO142)=11,_xlfn.XLOOKUP(FO142,'Dispensed Ink Rates'!C:C,'Dispensed Ink Rates'!CS:CS),VLOOKUP(FO142,'Jan-2026 rates'!$E:$F,2,0)))</f>
        <v>0</v>
      </c>
      <c r="GD142" s="409"/>
      <c r="GE142" s="398">
        <f>IF(GD142=0,0,IF(LEN(FP142)=11,_xlfn.XLOOKUP(FP142,'Dispensed Ink Rates'!C:C,'Dispensed Ink Rates'!CS:CS),VLOOKUP(FP142,'Jan-2026 rates'!$E:$F,2,0)))</f>
        <v>0</v>
      </c>
      <c r="GF142" s="409"/>
      <c r="GG142" s="398">
        <f>IF(GF142=0,0,IF(LEN(FQ142)=11,_xlfn.XLOOKUP(FQ142,'Dispensed Ink Rates'!C:C,'Dispensed Ink Rates'!CS:CS),VLOOKUP(FQ142,'Jan-2026 rates'!$E:$F,2,0)))</f>
        <v>0</v>
      </c>
      <c r="GH142" s="409"/>
      <c r="GI142" s="409"/>
      <c r="GJ142" s="411">
        <f t="shared" si="118"/>
        <v>0</v>
      </c>
      <c r="GK142" s="411">
        <f t="shared" si="119"/>
        <v>0</v>
      </c>
      <c r="GL142" s="410">
        <f t="shared" si="120"/>
        <v>0</v>
      </c>
      <c r="GM142" s="405"/>
      <c r="GN142" s="409"/>
      <c r="GO142" s="420" t="str">
        <f t="shared" si="58"/>
        <v xml:space="preserve"> - </v>
      </c>
      <c r="GP142" s="409"/>
      <c r="GQ142" s="411">
        <f>IF(GP142=0,0,IF($LB142=70%,VLOOKUP($GO142,'Jan-2026 rates'!$L:$R,4,0),IF($LB142=65%,VLOOKUP($GO142,'Jan-2026 rates'!$L:$R,4,0),IF($LB142=40%,VLOOKUP($GO142,'Jan-2026 rates'!$L:$R,5,0),IF($LB142=30%,VLOOKUP($GO142,'Jan-2026 rates'!$L:$R,6,0),IF($LB142=100%,VLOOKUP($GO142,'Jan-2026 rates'!$L:$R,7,0),IF($LB142=60%,VLOOKUP($GO142,'Jan-2026 rates'!$L:$S,8,0),IF($LB142=80%,VLOOKUP($GO142,'Jan-2026 rates'!L:T,9,0),0))))))))</f>
        <v>0</v>
      </c>
      <c r="GR142" s="412"/>
      <c r="GS142" s="409"/>
      <c r="GT142" s="411">
        <f>IF(GS142=0,0,IF($LB142=70%,VLOOKUP($GO142,'Jan-2026 rates'!$L:$R,4,0),IF($LB142=65%,VLOOKUP($GO142,'Jan-2026 rates'!$L:$R,4,0),IF($LB142=40%,VLOOKUP($GO142,'Jan-2026 rates'!$L:$R,5,0),IF($LB142=30%,VLOOKUP($GO142,'Jan-2026 rates'!$L:$R,6,0),IF($LB142=100%,VLOOKUP($GO142,'Jan-2026 rates'!$L:$R,7,0),IF($LB142=60%,VLOOKUP($GO142,'Jan-2026 rates'!$L:$S,8,0),IF($LB142=80%,VLOOKUP($GO142,'Jan-2026 rates'!L:T,9,0),0))))))))</f>
        <v>0</v>
      </c>
      <c r="GU142" s="413"/>
      <c r="GV142" s="413"/>
      <c r="GW142" s="412"/>
      <c r="GX142" s="412"/>
      <c r="GY142" s="412"/>
      <c r="GZ142" s="412"/>
      <c r="HA142" s="412"/>
      <c r="HB142" s="412"/>
      <c r="HC142" s="409"/>
      <c r="HD142" s="398">
        <f>IF(HC142=0,0,IF(LEN(GU142)=11,_xlfn.XLOOKUP(GU142,'Dispensed Ink Rates'!C:C,'Dispensed Ink Rates'!CS:CS),VLOOKUP(GU142,'Jan-2026 rates'!$E:$F,2,0)))</f>
        <v>0</v>
      </c>
      <c r="HE142" s="409"/>
      <c r="HF142" s="398">
        <f>IF(HE142=0,0,IF(LEN(GV142)=11,_xlfn.XLOOKUP(GV142,'Dispensed Ink Rates'!C:C,'Dispensed Ink Rates'!CS:CS),VLOOKUP(GV142,'Jan-2026 rates'!$E:$F,2,0)))</f>
        <v>0</v>
      </c>
      <c r="HG142" s="409"/>
      <c r="HH142" s="398">
        <f>IF(HG142=0,0,IF(LEN(GW142)=11,_xlfn.XLOOKUP(GW142,'Dispensed Ink Rates'!C:C,'Dispensed Ink Rates'!CS:CS),VLOOKUP(GW142,'Jan-2026 rates'!$E:$F,2,0)))</f>
        <v>0</v>
      </c>
      <c r="HI142" s="409"/>
      <c r="HJ142" s="398">
        <f>IF(HI142=0,0,IF(LEN(GX142)=11,_xlfn.XLOOKUP(GX142,'Dispensed Ink Rates'!C:C,'Dispensed Ink Rates'!CS:CS),VLOOKUP(GX142,'Jan-2026 rates'!$E:$F,2,0)))</f>
        <v>0</v>
      </c>
      <c r="HK142" s="409"/>
      <c r="HL142" s="398">
        <f>IF(HK142=0,0,IF(LEN(GY142)=11,_xlfn.XLOOKUP(GY142,'Dispensed Ink Rates'!C:C,'Dispensed Ink Rates'!CS:CS),VLOOKUP(GY142,'Jan-2026 rates'!$E:$F,2,0)))</f>
        <v>0</v>
      </c>
      <c r="HM142" s="409"/>
      <c r="HN142" s="398">
        <f>IF(HM142=0,0,IF(LEN(GZ142)=11,_xlfn.XLOOKUP(GZ142,'Dispensed Ink Rates'!C:C,'Dispensed Ink Rates'!CS:CS),VLOOKUP(GZ142,'Jan-2026 rates'!$E:$F,2,0)))</f>
        <v>0</v>
      </c>
      <c r="HO142" s="409"/>
      <c r="HP142" s="398">
        <f>IF(HO142=0,0,IF(LEN(HA142)=11,_xlfn.XLOOKUP(HA142,'Dispensed Ink Rates'!C:C,'Dispensed Ink Rates'!CS:CS),VLOOKUP(HA142,'Jan-2026 rates'!$E:$F,2,0)))</f>
        <v>0</v>
      </c>
      <c r="HQ142" s="409"/>
      <c r="HR142" s="398">
        <f>IF(HQ142=0,0,IF(LEN(HB142)=11,_xlfn.XLOOKUP(HB142,'Dispensed Ink Rates'!C:C,'Dispensed Ink Rates'!CS:CS),VLOOKUP(HB142,'Jan-2026 rates'!$E:$F,2,0)))</f>
        <v>0</v>
      </c>
      <c r="HS142" s="409"/>
      <c r="HT142" s="409"/>
      <c r="HU142" s="411">
        <f t="shared" si="121"/>
        <v>0</v>
      </c>
      <c r="HV142" s="411">
        <f t="shared" si="122"/>
        <v>0</v>
      </c>
      <c r="HW142" s="414">
        <f t="shared" si="123"/>
        <v>0</v>
      </c>
      <c r="HX142" s="405"/>
      <c r="HY142" s="409"/>
      <c r="HZ142" s="420" t="str">
        <f t="shared" si="59"/>
        <v xml:space="preserve"> - </v>
      </c>
      <c r="IA142" s="409"/>
      <c r="IB142" s="411">
        <f>IF(IA142=0,0,IF($LB142=70%,VLOOKUP($HZ142,'Jan-2026 rates'!$L:$R,4,0),IF($LB142=65%,VLOOKUP($HZ142,'Jan-2026 rates'!$L:$R,4,0),IF($LB142=40%,VLOOKUP($HZ142,'Jan-2026 rates'!$L:$R,5,0),IF($LB142=30%,VLOOKUP($HZ142,'Jan-2026 rates'!$L:$R,6,0),IF($LB142=100%,VLOOKUP($HZ142,'Jan-2026 rates'!$L:$R,7,0),IF($LB142=60%,VLOOKUP($HZ142,'Jan-2026 rates'!$L:$S,8,0),IF($LB142=80%,VLOOKUP($HZ142,'Jan-2026 rates'!L:T,9,0),0))))))))</f>
        <v>0</v>
      </c>
      <c r="IC142" s="412"/>
      <c r="ID142" s="409"/>
      <c r="IE142" s="411">
        <f>IF(ID142=0,0,IF($LB142=70%,VLOOKUP($HZ142,'Jan-2026 rates'!$L:$R,4,0),IF($LB142=65%,VLOOKUP($HZ142,'Jan-2026 rates'!$L:$R,4,0),IF($LB142=40%,VLOOKUP($HZ142,'Jan-2026 rates'!$L:$R,5,0),IF($LB142=30%,VLOOKUP($HZ142,'Jan-2026 rates'!$L:$R,6,0),IF($LB142=100%,VLOOKUP($HZ142,'Jan-2026 rates'!$L:$R,7,0),IF($LB142=60%,VLOOKUP($HZ142,'Jan-2026 rates'!$L:$S,8,0),IF($LB142=80%,VLOOKUP($HZ142,'Jan-2026 rates'!L:T,9,0),0))))))))</f>
        <v>0</v>
      </c>
      <c r="IF142" s="412"/>
      <c r="IG142" s="413"/>
      <c r="IH142" s="412"/>
      <c r="II142" s="412"/>
      <c r="IJ142" s="412"/>
      <c r="IK142" s="412"/>
      <c r="IL142" s="412"/>
      <c r="IM142" s="412"/>
      <c r="IN142" s="409"/>
      <c r="IO142" s="398">
        <f>IF(IN142=0,0,IF(LEN(IF142)=11,_xlfn.XLOOKUP(IF142,'Dispensed Ink Rates'!C:C,'Dispensed Ink Rates'!CS:CS),VLOOKUP(IF142,'Jan-2026 rates'!$E:$F,2,0)))</f>
        <v>0</v>
      </c>
      <c r="IP142" s="409"/>
      <c r="IQ142" s="398">
        <f>IF(IP142=0,0,IF(LEN(IG142)=11,_xlfn.XLOOKUP(IG142,'Dispensed Ink Rates'!C:C,'Dispensed Ink Rates'!CS:CS),VLOOKUP(IG142,'Jan-2026 rates'!$E:$F,2,0)))</f>
        <v>0</v>
      </c>
      <c r="IR142" s="409"/>
      <c r="IS142" s="398">
        <f>IF(IR142=0,0,IF(LEN(IH142)=11,_xlfn.XLOOKUP(IH142,'Dispensed Ink Rates'!C:C,'Dispensed Ink Rates'!CS:CS),VLOOKUP(IH142,'Jan-2026 rates'!$E:$F,2,0)))</f>
        <v>0</v>
      </c>
      <c r="IT142" s="409"/>
      <c r="IU142" s="398">
        <f>IF(IT142=0,0,IF(LEN(II142)=11,_xlfn.XLOOKUP(II142,'Dispensed Ink Rates'!C:C,'Dispensed Ink Rates'!CS:CS),VLOOKUP(II142,'Jan-2026 rates'!$E:$F,2,0)))</f>
        <v>0</v>
      </c>
      <c r="IV142" s="409"/>
      <c r="IW142" s="398">
        <f>IF(IV142=0,0,IF(LEN(IJ142)=11,_xlfn.XLOOKUP(IJ142,'Dispensed Ink Rates'!C:C,'Dispensed Ink Rates'!CS:CS),VLOOKUP(IJ142,'Jan-2026 rates'!$E:$F,2,0)))</f>
        <v>0</v>
      </c>
      <c r="IX142" s="409"/>
      <c r="IY142" s="398">
        <f>IF(IX142=0,0,IF(LEN(IK142)=11,_xlfn.XLOOKUP(IK142,'Dispensed Ink Rates'!C:C,'Dispensed Ink Rates'!CS:CS),VLOOKUP(IK142,'Jan-2026 rates'!$E:$F,2,0)))</f>
        <v>0</v>
      </c>
      <c r="IZ142" s="409"/>
      <c r="JA142" s="398">
        <f>IF(IZ142=0,0,IF(LEN(IL142)=11,_xlfn.XLOOKUP(IL142,'Dispensed Ink Rates'!C:C,'Dispensed Ink Rates'!CS:CS),VLOOKUP(IL142,'Jan-2026 rates'!$E:$F,2,0)))</f>
        <v>0</v>
      </c>
      <c r="JB142" s="409"/>
      <c r="JC142" s="398">
        <f>IF(JB142=0,0,IF(LEN(IM142)=11,_xlfn.XLOOKUP(IM142,'Dispensed Ink Rates'!C:C,'Dispensed Ink Rates'!CS:CS),VLOOKUP(IM142,'Jan-2026 rates'!$E:$F,2,0)))</f>
        <v>0</v>
      </c>
      <c r="JD142" s="409"/>
      <c r="JE142" s="409"/>
      <c r="JF142" s="411">
        <f t="shared" si="124"/>
        <v>0</v>
      </c>
      <c r="JG142" s="411">
        <f t="shared" si="125"/>
        <v>0</v>
      </c>
      <c r="JH142" s="410">
        <f t="shared" si="126"/>
        <v>0</v>
      </c>
      <c r="JI142" s="405"/>
      <c r="JJ142" s="409"/>
      <c r="JK142" s="420" t="str">
        <f t="shared" si="60"/>
        <v xml:space="preserve"> - </v>
      </c>
      <c r="JL142" s="409"/>
      <c r="JM142" s="411">
        <f>IF(JL142=0,0,IF($LB142=70%,VLOOKUP($JK142,'Jan-2026 rates'!$L:$R,4,0),IF($LB142=65%,VLOOKUP($JK142,'Jan-2026 rates'!$L:$R,4,0),IF($LB142=40%,VLOOKUP($JK142,'Jan-2026 rates'!$L:$R,5,0),IF($LB142=30%,VLOOKUP($JK142,'Jan-2026 rates'!$L:$R,6,0),IF($LB142=100%,VLOOKUP($JK142,'Jan-2026 rates'!$L:$R,7,0),IF($LB142=60%,VLOOKUP($JK142,'Jan-2026 rates'!$L:$S,8,0),IF($LB142=80%,VLOOKUP($JK142,'Jan-2026 rates'!L:T,9,0),0))))))))</f>
        <v>0</v>
      </c>
      <c r="JN142" s="412"/>
      <c r="JO142" s="409"/>
      <c r="JP142" s="411">
        <f>IF(JO142=0,0,IF($LB142=70%,VLOOKUP($JK142,'Jan-2026 rates'!$L:$R,4,0),IF($LB142=65%,VLOOKUP($JK142,'Jan-2026 rates'!$L:$R,4,0),IF($LB142=40%,VLOOKUP($JK142,'Jan-2026 rates'!$L:$R,5,0),IF($LB142=30%,VLOOKUP($JK142,'Jan-2026 rates'!$L:$R,6,0),IF($LB142=100%,VLOOKUP($JK142,'Jan-2026 rates'!$L:$R,7,0),IF($LB142=60%,VLOOKUP($JK142,'Jan-2026 rates'!$L:$S,8,0),IF($LB142=80%,VLOOKUP($JK142,'Jan-2026 rates'!L:T,9,0),0))))))))</f>
        <v>0</v>
      </c>
      <c r="JQ142" s="413"/>
      <c r="JR142" s="412"/>
      <c r="JS142" s="413"/>
      <c r="JT142" s="413"/>
      <c r="JU142" s="412"/>
      <c r="JV142" s="412"/>
      <c r="JW142" s="412"/>
      <c r="JX142" s="412"/>
      <c r="JY142" s="409"/>
      <c r="JZ142" s="398">
        <f>IF(JY142=0,0,IF(LEN(JQ142)=11,_xlfn.XLOOKUP(JQ142,'Dispensed Ink Rates'!C:C,'Dispensed Ink Rates'!CS:CS),VLOOKUP(JQ142,'Jan-2026 rates'!$E:$F,2,0)))</f>
        <v>0</v>
      </c>
      <c r="KA142" s="409"/>
      <c r="KB142" s="398">
        <f>IF(KA142=0,0,IF(LEN(JR142)=11,_xlfn.XLOOKUP(JR142,'Dispensed Ink Rates'!C:C,'Dispensed Ink Rates'!CS:CS),VLOOKUP(JR142,'Jan-2026 rates'!$E:$F,2,0)))</f>
        <v>0</v>
      </c>
      <c r="KC142" s="409"/>
      <c r="KD142" s="398">
        <f>IF(KC142=0,0,IF(LEN(JS142)=11,_xlfn.XLOOKUP(JS142,'Dispensed Ink Rates'!C:C,'Dispensed Ink Rates'!CS:CS),VLOOKUP(JS142,'Jan-2026 rates'!$E:$F,2,0)))</f>
        <v>0</v>
      </c>
      <c r="KE142" s="409"/>
      <c r="KF142" s="398">
        <f>IF(KE142=0,0,IF(LEN(JT142)=11,_xlfn.XLOOKUP(JT142,'Dispensed Ink Rates'!C:C,'Dispensed Ink Rates'!CS:CS),VLOOKUP(JT142,'Jan-2026 rates'!$E:$F,2,0)))</f>
        <v>0</v>
      </c>
      <c r="KG142" s="409"/>
      <c r="KH142" s="398">
        <f>IF(KG142=0,0,IF(LEN(JU142)=11,_xlfn.XLOOKUP(JU142,'Dispensed Ink Rates'!C:C,'Dispensed Ink Rates'!CS:CS),VLOOKUP(JU142,'Jan-2026 rates'!$E:$F,2,0)))</f>
        <v>0</v>
      </c>
      <c r="KI142" s="409"/>
      <c r="KJ142" s="398">
        <f>IF(KI142=0,0,IF(LEN(JV142)=11,_xlfn.XLOOKUP(JV142,'Dispensed Ink Rates'!C:C,'Dispensed Ink Rates'!CS:CS),VLOOKUP(JV142,'Jan-2026 rates'!$E:$F,2,0)))</f>
        <v>0</v>
      </c>
      <c r="KK142" s="409"/>
      <c r="KL142" s="398">
        <f>IF(KK142=0,0,IF(LEN(JW142)=11,_xlfn.XLOOKUP(JW142,'Dispensed Ink Rates'!C:C,'Dispensed Ink Rates'!CS:CS),VLOOKUP(JW142,'Jan-2026 rates'!$E:$F,2,0)))</f>
        <v>0</v>
      </c>
      <c r="KM142" s="428"/>
      <c r="KN142" s="398">
        <f>IF(KM142=0,0,IF(LEN(JX142)=11,_xlfn.XLOOKUP(JX142,'Dispensed Ink Rates'!C:C,'Dispensed Ink Rates'!CS:CS),VLOOKUP(JX142,'Jan-2026 rates'!$E:$F,2,0)))</f>
        <v>0</v>
      </c>
      <c r="KO142" s="409"/>
      <c r="KP142" s="409"/>
      <c r="KQ142" s="411">
        <f t="shared" si="127"/>
        <v>0</v>
      </c>
      <c r="KR142" s="411">
        <f t="shared" si="128"/>
        <v>0</v>
      </c>
      <c r="KS142" s="410">
        <f t="shared" si="129"/>
        <v>0</v>
      </c>
      <c r="KT142" s="409">
        <v>0</v>
      </c>
      <c r="KU142" s="409">
        <v>10</v>
      </c>
      <c r="KV142" s="409">
        <v>10</v>
      </c>
      <c r="KW142" s="409">
        <v>0</v>
      </c>
      <c r="KX142" s="409">
        <v>0</v>
      </c>
      <c r="KY142" s="409">
        <v>0</v>
      </c>
      <c r="KZ142" s="409">
        <v>0</v>
      </c>
      <c r="LA142" s="409">
        <v>0</v>
      </c>
      <c r="LB142" s="415">
        <v>0.3</v>
      </c>
      <c r="LC142" s="415"/>
      <c r="LD142" s="415"/>
      <c r="LE142" s="415">
        <v>0.5</v>
      </c>
      <c r="LF142" s="415">
        <v>0.2</v>
      </c>
      <c r="LG142" s="409">
        <v>0</v>
      </c>
      <c r="LH142" s="409">
        <f>10+10+6+10+4</f>
        <v>40</v>
      </c>
      <c r="LI142" s="409">
        <v>0</v>
      </c>
      <c r="LJ142" s="409">
        <v>0</v>
      </c>
      <c r="LK142" s="416">
        <f t="shared" si="61"/>
        <v>40</v>
      </c>
      <c r="LL142" s="416">
        <f t="shared" si="62"/>
        <v>40</v>
      </c>
      <c r="LM142" s="417">
        <f t="shared" si="63"/>
        <v>12</v>
      </c>
      <c r="LN142" s="417">
        <f>VLOOKUP($LM$8,'Jan-2026 rates'!$H:$I,2,0)</f>
        <v>0</v>
      </c>
      <c r="LO142" s="417">
        <f t="shared" si="64"/>
        <v>0</v>
      </c>
      <c r="LP142" s="417">
        <f>VLOOKUP($LO$8,'Jan-2026 rates'!$H:$I,2,0)</f>
        <v>0</v>
      </c>
      <c r="LQ142" s="417">
        <f t="shared" si="65"/>
        <v>0</v>
      </c>
      <c r="LR142" s="417">
        <f>VLOOKUP($LQ$8,'Jan-2026 rates'!$H:$I,2,0)</f>
        <v>0</v>
      </c>
      <c r="LS142" s="417">
        <f t="shared" si="66"/>
        <v>20</v>
      </c>
      <c r="LT142" s="417">
        <f>VLOOKUP($LS$8,'Jan-2026 rates'!$H:$I,2,0)</f>
        <v>0</v>
      </c>
      <c r="LU142" s="417">
        <f t="shared" si="67"/>
        <v>8</v>
      </c>
      <c r="LV142" s="417">
        <f>VLOOKUP($LU$8,'Jan-2026 rates'!$H:$I,2,0)</f>
        <v>0</v>
      </c>
      <c r="LW142" s="417">
        <f t="shared" si="68"/>
        <v>0</v>
      </c>
      <c r="LX142" s="417">
        <f t="shared" si="69"/>
        <v>0</v>
      </c>
      <c r="LY142" s="418">
        <f t="shared" si="70"/>
        <v>0</v>
      </c>
      <c r="LZ142" s="417"/>
      <c r="MA142" s="435">
        <f t="shared" si="71"/>
        <v>40</v>
      </c>
      <c r="MB142" s="282">
        <f t="shared" si="72"/>
        <v>53</v>
      </c>
      <c r="MC142" s="283" t="s">
        <v>1977</v>
      </c>
      <c r="MD142" s="284" t="str">
        <f t="shared" si="73"/>
        <v>ToyoLiToyoLiToyoLi</v>
      </c>
      <c r="ME142" s="293" t="str">
        <f t="shared" si="74"/>
        <v>+</v>
      </c>
      <c r="MF142" s="293" t="str">
        <f t="shared" si="75"/>
        <v>+</v>
      </c>
      <c r="MG142" s="293" t="str">
        <f t="shared" si="76"/>
        <v>+</v>
      </c>
      <c r="MH142" s="293" t="str">
        <f t="shared" si="77"/>
        <v>NIL</v>
      </c>
      <c r="MI142" s="293" t="str">
        <f t="shared" si="78"/>
        <v>NIL</v>
      </c>
      <c r="MJ142" s="293" t="str">
        <f t="shared" si="79"/>
        <v>NIL</v>
      </c>
      <c r="MK142" s="293" t="str">
        <f t="shared" si="80"/>
        <v>NIL</v>
      </c>
      <c r="ML142" s="293" t="str">
        <f t="shared" si="81"/>
        <v>NIL</v>
      </c>
      <c r="MM142" s="3" t="b">
        <f t="array" ref="MM142">OR(ME142:ML142="-")</f>
        <v>0</v>
      </c>
      <c r="MN142" s="285"/>
      <c r="MO142" s="401"/>
      <c r="MP142" s="286"/>
      <c r="MQ142" s="286"/>
      <c r="MR142" s="402"/>
      <c r="MS142" s="400"/>
      <c r="NH142" s="422"/>
      <c r="NJ142" s="421"/>
    </row>
    <row r="143" spans="1:374" s="1" customFormat="1" ht="16.5">
      <c r="A143" s="403">
        <v>46030</v>
      </c>
      <c r="B143" s="404" t="s">
        <v>1015</v>
      </c>
      <c r="C143" s="405" t="s">
        <v>3417</v>
      </c>
      <c r="D143" s="406" t="s">
        <v>1978</v>
      </c>
      <c r="E143" s="404">
        <v>31</v>
      </c>
      <c r="F143" s="407">
        <v>2000</v>
      </c>
      <c r="G143" s="407" t="s">
        <v>1016</v>
      </c>
      <c r="H143" s="408" t="s">
        <v>1017</v>
      </c>
      <c r="I143" s="409">
        <v>0.53</v>
      </c>
      <c r="J143" s="405" t="s">
        <v>543</v>
      </c>
      <c r="K143" s="404" t="s">
        <v>3418</v>
      </c>
      <c r="L143" s="419" t="str">
        <f t="shared" si="54"/>
        <v>ToyoLi - BLACK</v>
      </c>
      <c r="M143" s="404">
        <v>28</v>
      </c>
      <c r="N143" s="410">
        <f>IF(M143=0,0,IF($LB143=70%,VLOOKUP($L143,'Jan-2026 rates'!$L:$R,4,0),IF($LB143=65%,VLOOKUP($L143,'Jan-2026 rates'!$L:$R,4,0),IF($LB143=40%,VLOOKUP($L143,'Jan-2026 rates'!$L:$R,5,0),IF($LB143=30%,VLOOKUP($L143,'Jan-2026 rates'!$L:$R,6,0),IF($LB143=100%,VLOOKUP($L143,'Jan-2026 rates'!$L:$R,7,0),IF($LB143=60%,VLOOKUP($L143,'Jan-2026 rates'!$L:$S,8,0),IF($LB143=80%,VLOOKUP($L143,'Jan-2026 rates'!L:T,9,0),0))))))))</f>
        <v>0</v>
      </c>
      <c r="O143" s="406"/>
      <c r="P143" s="404"/>
      <c r="Q143" s="410">
        <f>IF(P143=0,0,IF($LB143=70%,VLOOKUP($L143,'Jan-2026 rates'!$L:$R,4,0),IF($LB143=65%,VLOOKUP($L143,'Jan-2026 rates'!$L:$R,4,0),IF($LB143=40%,VLOOKUP($L143,'Jan-2026 rates'!$L:$R,5,0),IF($LB143=30%,VLOOKUP($L143,'Jan-2026 rates'!$L:$R,6,0),IF($LB143=100%,VLOOKUP($L143,'Jan-2026 rates'!$L:$R,7,0),IF($LB143=60%,VLOOKUP($L143,'Jan-2026 rates'!$L:$S,8,0),IF($LB143=80%,VLOOKUP($L143,'Jan-2026 rates'!L:T,9,0),0))))))))</f>
        <v>0</v>
      </c>
      <c r="R143" s="406"/>
      <c r="S143" s="406"/>
      <c r="T143" s="406"/>
      <c r="U143" s="406"/>
      <c r="V143" s="406"/>
      <c r="W143" s="406"/>
      <c r="X143" s="406"/>
      <c r="Y143" s="406"/>
      <c r="Z143" s="404"/>
      <c r="AA143" s="398">
        <f>IF(Z143=0,0,IF(LEN(R143)=11,_xlfn.XLOOKUP(R143,'Dispensed Ink Rates'!C:C,'Dispensed Ink Rates'!CS:CS),VLOOKUP(R143,'Jan-2026 rates'!$E:$F,2,0)))</f>
        <v>0</v>
      </c>
      <c r="AB143" s="404"/>
      <c r="AC143" s="398">
        <f>IF(AB143=0,0,IF(LEN(S143)=11,_xlfn.XLOOKUP(S143,'Dispensed Ink Rates'!C:C,'Dispensed Ink Rates'!CS:CS),VLOOKUP(S143,'Jan-2026 rates'!$E:$F,2,0)))</f>
        <v>0</v>
      </c>
      <c r="AD143" s="404"/>
      <c r="AE143" s="398">
        <f>IF(AD143=0,0,IF(LEN(T143)=11,_xlfn.XLOOKUP(T143,'Dispensed Ink Rates'!C:C,'Dispensed Ink Rates'!CS:CS),VLOOKUP(T143,'Jan-2026 rates'!$E:$F,2,0)))</f>
        <v>0</v>
      </c>
      <c r="AF143" s="404"/>
      <c r="AG143" s="398">
        <f>IF(AF143=0,0,IF(LEN(U143)=11,_xlfn.XLOOKUP(U143,'Dispensed Ink Rates'!C:C,'Dispensed Ink Rates'!CS:CS),VLOOKUP(U143,'Jan-2026 rates'!$E:$F,2,0)))</f>
        <v>0</v>
      </c>
      <c r="AH143" s="404"/>
      <c r="AI143" s="398">
        <f>IF(AH143=0,0,IF(LEN(V143)=11,_xlfn.XLOOKUP(V143,'Dispensed Ink Rates'!C:C,'Dispensed Ink Rates'!CS:CS),VLOOKUP(V143,'Jan-2026 rates'!$E:$F,2,0)))</f>
        <v>0</v>
      </c>
      <c r="AJ143" s="404"/>
      <c r="AK143" s="398">
        <f>IF(AJ143=0,0,IF(LEN(W143)=11,_xlfn.XLOOKUP(W143,'Dispensed Ink Rates'!C:C,'Dispensed Ink Rates'!CS:CS),VLOOKUP(W143,'Jan-2026 rates'!$E:$F,2,0)))</f>
        <v>0</v>
      </c>
      <c r="AL143" s="404"/>
      <c r="AM143" s="398">
        <f>IF(AL143=0,0,IF(LEN(X143)=11,_xlfn.XLOOKUP(X143,'Dispensed Ink Rates'!C:C,'Dispensed Ink Rates'!CS:CS),VLOOKUP(X143,'Jan-2026 rates'!$E:$F,2,0)))</f>
        <v>0</v>
      </c>
      <c r="AN143" s="404"/>
      <c r="AO143" s="398">
        <f>IF(AN143=0,0,IF(LEN(Y143)=11,_xlfn.XLOOKUP(Y143,'Dispensed Ink Rates'!C:C,'Dispensed Ink Rates'!CS:CS),VLOOKUP(Y143,'Jan-2026 rates'!$E:$F,2,0)))</f>
        <v>0</v>
      </c>
      <c r="AP143" s="409" t="s">
        <v>1881</v>
      </c>
      <c r="AQ143" s="409">
        <v>26</v>
      </c>
      <c r="AR143" s="410">
        <f t="shared" si="106"/>
        <v>0</v>
      </c>
      <c r="AS143" s="411">
        <f t="shared" si="107"/>
        <v>2</v>
      </c>
      <c r="AT143" s="410">
        <f t="shared" si="108"/>
        <v>0</v>
      </c>
      <c r="AU143" s="405" t="s">
        <v>545</v>
      </c>
      <c r="AV143" s="409" t="s">
        <v>3419</v>
      </c>
      <c r="AW143" s="420" t="str">
        <f t="shared" si="130"/>
        <v>ToyoLi - YELLOW</v>
      </c>
      <c r="AX143" s="409">
        <v>30</v>
      </c>
      <c r="AY143" s="411">
        <f>IF(AX143=0,0,IF($LB143=70%,VLOOKUP($AW143,'Jan-2026 rates'!$L:$R,4,0),IF($LB143=65%,VLOOKUP($AW143,'Jan-2026 rates'!$L:$R,4,0),IF($LB143=40%,VLOOKUP($AW143,'Jan-2026 rates'!$L:$R,5,0),IF($LB143=30%,VLOOKUP($AW143,'Jan-2026 rates'!$L:$R,6,0),IF($LB143=100%,VLOOKUP($AW143,'Jan-2026 rates'!$L:$R,7,0),IF($LB143=60%,VLOOKUP($AW143,'Jan-2026 rates'!$L:$S,8,0),IF($LB143=80%,VLOOKUP($AW143,'Jan-2026 rates'!L:T,9,0),0))))))))</f>
        <v>0</v>
      </c>
      <c r="AZ143" s="412"/>
      <c r="BA143" s="409"/>
      <c r="BB143" s="411">
        <f>IF(BA143=0,0,IF($LB143=70%,VLOOKUP($AW143,'Jan-2026 rates'!$L:$R,4,0),IF($LB143=65%,VLOOKUP($AW143,'Jan-2026 rates'!$L:$R,4,0),IF($LB143=40%,VLOOKUP($AW143,'Jan-2026 rates'!$L:$R,5,0),IF($LB143=30%,VLOOKUP($AW143,'Jan-2026 rates'!$L:$R,6,0),IF($LB143=100%,VLOOKUP($AW143,'Jan-2026 rates'!$L:$R,7,0),IF($LB143=60%,VLOOKUP($AW143,'Jan-2026 rates'!$L:$S,8,0),IF($LB143=80%,VLOOKUP($AW143,'Jan-2026 rates'!L:T,9,0),0))))))))</f>
        <v>0</v>
      </c>
      <c r="BC143" s="413" t="s">
        <v>1247</v>
      </c>
      <c r="BD143" s="412"/>
      <c r="BE143" s="412"/>
      <c r="BF143" s="413"/>
      <c r="BG143" s="412"/>
      <c r="BH143" s="412"/>
      <c r="BI143" s="412"/>
      <c r="BJ143" s="412"/>
      <c r="BK143" s="409">
        <v>5</v>
      </c>
      <c r="BL143" s="398">
        <f>IF(BK143=0,0,IF(LEN(BC143)=11,_xlfn.XLOOKUP(BC143,'Dispensed Ink Rates'!C:C,'Dispensed Ink Rates'!CS:CS),VLOOKUP(BC143,'Jan-2026 rates'!$E:$F,2,0)))</f>
        <v>0</v>
      </c>
      <c r="BM143" s="409"/>
      <c r="BN143" s="398">
        <f>IF(BM143=0,0,IF(LEN(BD143)=11,_xlfn.XLOOKUP(BD143,'Dispensed Ink Rates'!C:C,'Dispensed Ink Rates'!CS:CS),VLOOKUP(BD143,'Jan-2026 rates'!$E:$F,2,0)))</f>
        <v>0</v>
      </c>
      <c r="BO143" s="409"/>
      <c r="BP143" s="398">
        <f>IF(BO143=0,0,IF(LEN(BE143)=11,_xlfn.XLOOKUP(BE143,'Dispensed Ink Rates'!C:C,'Dispensed Ink Rates'!CS:CS),VLOOKUP(BE143,'Jan-2026 rates'!$E:$F,2,0)))</f>
        <v>0</v>
      </c>
      <c r="BQ143" s="409"/>
      <c r="BR143" s="398">
        <f>IF(BQ143=0,0,IF(LEN(BF143)=11,_xlfn.XLOOKUP(BF143,'Dispensed Ink Rates'!C:C,'Dispensed Ink Rates'!CS:CS),VLOOKUP(BF143,'Jan-2026 rates'!$E:$F,2,0)))</f>
        <v>0</v>
      </c>
      <c r="BS143" s="409"/>
      <c r="BT143" s="398">
        <f>IF(BS143=0,0,IF(LEN(BG143)=11,_xlfn.XLOOKUP(BG143,'Dispensed Ink Rates'!C:C,'Dispensed Ink Rates'!CS:CS),VLOOKUP(BG143,'Jan-2026 rates'!$E:$F,2,0)))</f>
        <v>0</v>
      </c>
      <c r="BU143" s="409"/>
      <c r="BV143" s="398">
        <f>IF(BU143=0,0,IF(LEN(BH143)=11,_xlfn.XLOOKUP(BH143,'Dispensed Ink Rates'!C:C,'Dispensed Ink Rates'!CS:CS),VLOOKUP(BH143,'Jan-2026 rates'!$E:$F,2,0)))</f>
        <v>0</v>
      </c>
      <c r="BW143" s="409"/>
      <c r="BX143" s="398">
        <f>IF(BW143=0,0,IF(LEN(BI143)=11,_xlfn.XLOOKUP(BI143,'Dispensed Ink Rates'!C:C,'Dispensed Ink Rates'!CS:CS),VLOOKUP(BI143,'Jan-2026 rates'!$E:$F,2,0)))</f>
        <v>0</v>
      </c>
      <c r="BY143" s="409"/>
      <c r="BZ143" s="398">
        <f>IF(BY143=0,0,IF(LEN(BJ143)=11,_xlfn.XLOOKUP(BJ143,'Dispensed Ink Rates'!C:C,'Dispensed Ink Rates'!CS:CS),VLOOKUP(BJ143,'Jan-2026 rates'!$E:$F,2,0)))</f>
        <v>0</v>
      </c>
      <c r="CA143" s="409" t="s">
        <v>1881</v>
      </c>
      <c r="CB143" s="409">
        <v>25</v>
      </c>
      <c r="CC143" s="411">
        <f t="shared" si="109"/>
        <v>0</v>
      </c>
      <c r="CD143" s="411">
        <f t="shared" si="110"/>
        <v>40</v>
      </c>
      <c r="CE143" s="410">
        <f t="shared" si="111"/>
        <v>0</v>
      </c>
      <c r="CF143" s="404"/>
      <c r="CG143" s="409"/>
      <c r="CH143" s="420" t="str">
        <f t="shared" si="55"/>
        <v xml:space="preserve"> - </v>
      </c>
      <c r="CI143" s="409"/>
      <c r="CJ143" s="411">
        <f>IF(CI143=0,0,IF($LB143=70%,VLOOKUP($CH143,'Jan-2026 rates'!$L:$R,4,0),IF($LB143=65%,VLOOKUP($CH143,'Jan-2026 rates'!$L:$R,4,0),IF($LB143=40%,VLOOKUP($CH143,'Jan-2026 rates'!$L:$R,5,0),IF($LB143=30%,VLOOKUP($CH143,'Jan-2026 rates'!$L:$R,6,0),IF($LB143=100%,VLOOKUP($CH143,'Jan-2026 rates'!$L:$R,7,0),IF($LB143=60%,VLOOKUP($CH143,'Jan-2026 rates'!$L:$S,8,0),IF($LB143=80%,VLOOKUP($CH143,'Jan-2026 rates'!L:T,9,0),0))))))))</f>
        <v>0</v>
      </c>
      <c r="CK143" s="412"/>
      <c r="CL143" s="409"/>
      <c r="CM143" s="411">
        <f>IF(CL143=0,0,IF($LB143=70%,VLOOKUP($CH143,'Jan-2026 rates'!$L:$R,4,0),IF($LB143=65%,VLOOKUP($CH143,'Jan-2026 rates'!$L:$R,4,0),IF($LB143=40%,VLOOKUP($CH143,'Jan-2026 rates'!$L:$R,5,0),IF($LB143=30%,VLOOKUP($CH143,'Jan-2026 rates'!$L:$R,6,0),IF($LB143=100%,VLOOKUP($CH143,'Jan-2026 rates'!$L:$R,7,0),IF($LB143=60%,VLOOKUP($CH143,'Jan-2026 rates'!$L:$S,8,0),IF($LB143=80%,VLOOKUP($CH143,'Jan-2026 rates'!L:T,9,0),0))))))))</f>
        <v>0</v>
      </c>
      <c r="CN143" s="426"/>
      <c r="CO143" s="427"/>
      <c r="CP143" s="426"/>
      <c r="CQ143" s="426"/>
      <c r="CR143" s="428"/>
      <c r="CS143" s="428"/>
      <c r="CT143" s="428"/>
      <c r="CU143" s="428"/>
      <c r="CV143" s="409"/>
      <c r="CW143" s="398">
        <f>IF(CV143=0,0,IF(LEN(CN143)=11,_xlfn.XLOOKUP(CN143,'Dispensed Ink Rates'!C:C,'Dispensed Ink Rates'!CS:CS),VLOOKUP(CN143,'Jan-2026 rates'!$E:$F,2,0)))</f>
        <v>0</v>
      </c>
      <c r="CX143" s="409"/>
      <c r="CY143" s="398">
        <f>IF(CX143=0,0,IF(LEN(CO143)=11,_xlfn.XLOOKUP(CO143,'Dispensed Ink Rates'!C:C,'Dispensed Ink Rates'!CS:CS),VLOOKUP(CO143,'Jan-2026 rates'!$E:$F,2,0)))</f>
        <v>0</v>
      </c>
      <c r="CZ143" s="409"/>
      <c r="DA143" s="398">
        <f>IF(CZ143=0,0,IF(LEN(CP143)=11,_xlfn.XLOOKUP(CP143,'Dispensed Ink Rates'!C:C,'Dispensed Ink Rates'!CS:CS),VLOOKUP(CP143,'Jan-2026 rates'!$E:$F,2,0)))</f>
        <v>0</v>
      </c>
      <c r="DB143" s="409"/>
      <c r="DC143" s="398">
        <f>IF(DB143=0,0,IF(LEN(CQ143)=11,_xlfn.XLOOKUP(CQ143,'Dispensed Ink Rates'!C:C,'Dispensed Ink Rates'!CS:CS),VLOOKUP(CQ143,'Jan-2026 rates'!$E:$F,2,0)))</f>
        <v>0</v>
      </c>
      <c r="DD143" s="409"/>
      <c r="DE143" s="398">
        <f>IF(DD143=0,0,IF(LEN(CR143)=11,_xlfn.XLOOKUP(CR143,'Dispensed Ink Rates'!C:C,'Dispensed Ink Rates'!CS:CS),VLOOKUP(CR143,'Jan-2026 rates'!$E:$F,2,0)))</f>
        <v>0</v>
      </c>
      <c r="DF143" s="409"/>
      <c r="DG143" s="398">
        <f>IF(DF143=0,0,IF(LEN(CS143)=11,_xlfn.XLOOKUP(CS143,'Dispensed Ink Rates'!C:C,'Dispensed Ink Rates'!CS:CS),VLOOKUP(CS143,'Jan-2026 rates'!$E:$F,2,0)))</f>
        <v>0</v>
      </c>
      <c r="DH143" s="409"/>
      <c r="DI143" s="398">
        <f>IF(DH143=0,0,IF(LEN(CT143)=11,_xlfn.XLOOKUP(CT143,'Dispensed Ink Rates'!C:C,'Dispensed Ink Rates'!CS:CS),VLOOKUP(CT143,'Jan-2026 rates'!$E:$F,2,0)))</f>
        <v>0</v>
      </c>
      <c r="DJ143" s="409"/>
      <c r="DK143" s="398">
        <f>IF(DJ143=0,0,IF(LEN(CU143)=11,_xlfn.XLOOKUP(CU143,'Dispensed Ink Rates'!C:C,'Dispensed Ink Rates'!CS:CS),VLOOKUP(CU143,'Jan-2026 rates'!$E:$F,2,0)))</f>
        <v>0</v>
      </c>
      <c r="DL143" s="409"/>
      <c r="DM143" s="409"/>
      <c r="DN143" s="411">
        <f t="shared" si="112"/>
        <v>0</v>
      </c>
      <c r="DO143" s="411">
        <f t="shared" si="113"/>
        <v>0</v>
      </c>
      <c r="DP143" s="410">
        <f t="shared" si="114"/>
        <v>0</v>
      </c>
      <c r="DQ143" s="405"/>
      <c r="DR143" s="409"/>
      <c r="DS143" s="420" t="str">
        <f t="shared" si="56"/>
        <v xml:space="preserve"> - </v>
      </c>
      <c r="DT143" s="409"/>
      <c r="DU143" s="411">
        <f>IF(DT143=0,0,IF($LB143=70%,VLOOKUP($DS143,'Jan-2026 rates'!$L:$R,4,0),IF($LB143=65%,VLOOKUP($DS143,'Jan-2026 rates'!$L:$R,4,0),IF($LB143=40%,VLOOKUP($DS143,'Jan-2026 rates'!$L:$R,5,0),IF($LB143=30%,VLOOKUP($DS143,'Jan-2026 rates'!$L:$R,6,0),IF($LB143=100%,VLOOKUP($DS143,'Jan-2026 rates'!$L:$R,7,0),IF($LB143=60%,VLOOKUP($DS143,'Jan-2026 rates'!$L:$S,8,0),IF($LB143=80%,VLOOKUP($DS143,'Jan-2026 rates'!L:T,9,0),0))))))))</f>
        <v>0</v>
      </c>
      <c r="DV143" s="412"/>
      <c r="DW143" s="409"/>
      <c r="DX143" s="411">
        <f>IF(DW143=0,0,IF($LB143=70%,VLOOKUP($DS143,'Jan-2026 rates'!$L:$R,4,0),IF($LB143=65%,VLOOKUP($DS143,'Jan-2026 rates'!$L:$R,4,0),IF($LB143=40%,VLOOKUP($DS143,'Jan-2026 rates'!$L:$R,5,0),IF($LB143=30%,VLOOKUP($DS143,'Jan-2026 rates'!$L:$R,6,0),IF($LB143=100%,VLOOKUP($DS143,'Jan-2026 rates'!$L:$R,7,0),IF($LB143=60%,VLOOKUP($DS143,'Jan-2026 rates'!$L:$S,8,0),IF($LB143=80%,VLOOKUP($DS143,'Jan-2026 rates'!L:T,9,0),0))))))))</f>
        <v>0</v>
      </c>
      <c r="DY143" s="413"/>
      <c r="DZ143" s="413"/>
      <c r="EA143" s="412"/>
      <c r="EB143" s="412"/>
      <c r="EC143" s="412"/>
      <c r="ED143" s="412"/>
      <c r="EE143" s="412"/>
      <c r="EF143" s="412"/>
      <c r="EG143" s="409"/>
      <c r="EH143" s="398">
        <f>IF(EG143=0,0,IF(LEN(DY143)=11,_xlfn.XLOOKUP(DY143,'Dispensed Ink Rates'!C:C,'Dispensed Ink Rates'!CS:CS),VLOOKUP(DY143,'Jan-2026 rates'!$E:$F,2,0)))</f>
        <v>0</v>
      </c>
      <c r="EI143" s="409"/>
      <c r="EJ143" s="398">
        <f>IF(EI143=0,0,IF(LEN(DZ143)=11,_xlfn.XLOOKUP(DZ143,'Dispensed Ink Rates'!C:C,'Dispensed Ink Rates'!CS:CS),VLOOKUP(DZ143,'Jan-2026 rates'!$E:$F,2,0)))</f>
        <v>0</v>
      </c>
      <c r="EK143" s="409"/>
      <c r="EL143" s="398">
        <f>IF(EK143=0,0,IF(LEN(EA143)=11,_xlfn.XLOOKUP(EA143,'Dispensed Ink Rates'!C:C,'Dispensed Ink Rates'!CS:CS),VLOOKUP(EA143,'Jan-2026 rates'!$E:$F,2,0)))</f>
        <v>0</v>
      </c>
      <c r="EM143" s="409"/>
      <c r="EN143" s="398">
        <f>IF(EM143=0,0,IF(LEN(EB143)=11,_xlfn.XLOOKUP(EB143,'Dispensed Ink Rates'!C:C,'Dispensed Ink Rates'!CS:CS),VLOOKUP(EB143,'Jan-2026 rates'!$E:$F,2,0)))</f>
        <v>0</v>
      </c>
      <c r="EO143" s="409"/>
      <c r="EP143" s="398">
        <f>IF(EO143=0,0,IF(LEN(EC143)=11,_xlfn.XLOOKUP(EC143,'Dispensed Ink Rates'!C:C,'Dispensed Ink Rates'!CS:CS),VLOOKUP(EC143,'Jan-2026 rates'!$E:$F,2,0)))</f>
        <v>0</v>
      </c>
      <c r="EQ143" s="409"/>
      <c r="ER143" s="398">
        <f>IF(EQ143=0,0,IF(LEN(ED143)=11,_xlfn.XLOOKUP(ED143,'Dispensed Ink Rates'!C:C,'Dispensed Ink Rates'!CS:CS),VLOOKUP(ED143,'Jan-2026 rates'!$E:$F,2,0)))</f>
        <v>0</v>
      </c>
      <c r="ES143" s="409"/>
      <c r="ET143" s="398">
        <f>IF(ES143=0,0,IF(LEN(EE143)=11,_xlfn.XLOOKUP(EE143,'Dispensed Ink Rates'!C:C,'Dispensed Ink Rates'!CS:CS),VLOOKUP(EE143,'Jan-2026 rates'!$E:$F,2,0)))</f>
        <v>0</v>
      </c>
      <c r="EU143" s="409"/>
      <c r="EV143" s="398">
        <f>IF(EU143=0,0,IF(LEN(EF143)=11,_xlfn.XLOOKUP(EF143,'Dispensed Ink Rates'!C:C,'Dispensed Ink Rates'!CS:CS),VLOOKUP(EF143,'Jan-2026 rates'!$E:$F,2,0)))</f>
        <v>0</v>
      </c>
      <c r="EW143" s="409"/>
      <c r="EX143" s="409"/>
      <c r="EY143" s="411">
        <f t="shared" si="115"/>
        <v>0</v>
      </c>
      <c r="EZ143" s="411">
        <f t="shared" si="116"/>
        <v>0</v>
      </c>
      <c r="FA143" s="410">
        <f t="shared" si="117"/>
        <v>0</v>
      </c>
      <c r="FB143" s="405"/>
      <c r="FC143" s="409"/>
      <c r="FD143" s="420" t="str">
        <f t="shared" si="57"/>
        <v xml:space="preserve"> - </v>
      </c>
      <c r="FE143" s="409"/>
      <c r="FF143" s="411">
        <f>IF(FE143=0,0,IF($LB143=70%,VLOOKUP($FD143,'Jan-2026 rates'!$L:$R,4,0),IF($LB143=65%,VLOOKUP($FD143,'Jan-2026 rates'!$L:$R,4,0),IF($LB143=40%,VLOOKUP($FD143,'Jan-2026 rates'!$L:$R,5,0),IF($LB143=30%,VLOOKUP($FD143,'Jan-2026 rates'!$L:$R,6,0),IF($LB143=100%,VLOOKUP($FD143,'Jan-2026 rates'!$L:$R,7,0),IF($LB143=60%,VLOOKUP($FD143,'Jan-2026 rates'!$L:$S,8,0),IF($LB143=80%,VLOOKUP($FD143,'Jan-2026 rates'!L:T,9,0),0))))))))</f>
        <v>0</v>
      </c>
      <c r="FG143" s="412"/>
      <c r="FH143" s="409"/>
      <c r="FI143" s="411">
        <f>IF(FH143=0,0,IF($LB143=70%,VLOOKUP($FD143,'Jan-2026 rates'!$L:$R,4,0),IF($LB143=65%,VLOOKUP($FD143,'Jan-2026 rates'!$L:$R,4,0),IF($LB143=40%,VLOOKUP($FD143,'Jan-2026 rates'!$L:$R,5,0),IF($LB143=30%,VLOOKUP($FD143,'Jan-2026 rates'!$L:$R,6,0),IF($LB143=100%,VLOOKUP($FD143,'Jan-2026 rates'!$L:$R,7,0),IF($LB143=60%,VLOOKUP($FD143,'Jan-2026 rates'!$L:$S,8,0),IF($LB143=80%,VLOOKUP($FD143,'Jan-2026 rates'!L:T,9,0),0))))))))</f>
        <v>0</v>
      </c>
      <c r="FJ143" s="413"/>
      <c r="FK143" s="413"/>
      <c r="FL143" s="413"/>
      <c r="FM143" s="412"/>
      <c r="FN143" s="412"/>
      <c r="FO143" s="412"/>
      <c r="FP143" s="412"/>
      <c r="FQ143" s="412"/>
      <c r="FR143" s="409"/>
      <c r="FS143" s="398">
        <f>IF(FR143=0,0,IF(LEN(FJ143)=11,_xlfn.XLOOKUP(FJ143,'Dispensed Ink Rates'!C:C,'Dispensed Ink Rates'!CS:CS),VLOOKUP(FJ143,'Jan-2026 rates'!$E:$F,2,0)))</f>
        <v>0</v>
      </c>
      <c r="FT143" s="409"/>
      <c r="FU143" s="398">
        <f>IF(FT143=0,0,IF(LEN(FK143)=11,_xlfn.XLOOKUP(FK143,'Dispensed Ink Rates'!C:C,'Dispensed Ink Rates'!CS:CS),VLOOKUP(FK143,'Jan-2026 rates'!$E:$F,2,0)))</f>
        <v>0</v>
      </c>
      <c r="FV143" s="409"/>
      <c r="FW143" s="398">
        <f>IF(FV143=0,0,IF(LEN(FL143)=11,_xlfn.XLOOKUP(FL143,'Dispensed Ink Rates'!C:C,'Dispensed Ink Rates'!CS:CS),VLOOKUP(FL143,'Jan-2026 rates'!$E:$F,2,0)))</f>
        <v>0</v>
      </c>
      <c r="FX143" s="409"/>
      <c r="FY143" s="398">
        <f>IF(FX143=0,0,IF(LEN(FM143)=11,_xlfn.XLOOKUP(FM143,'Dispensed Ink Rates'!C:C,'Dispensed Ink Rates'!CS:CS),VLOOKUP(FM143,'Jan-2026 rates'!$E:$F,2,0)))</f>
        <v>0</v>
      </c>
      <c r="FZ143" s="409"/>
      <c r="GA143" s="398">
        <f>IF(FZ143=0,0,IF(LEN(FN143)=11,_xlfn.XLOOKUP(FN143,'Dispensed Ink Rates'!C:C,'Dispensed Ink Rates'!CS:CS),VLOOKUP(FN143,'Jan-2026 rates'!$E:$F,2,0)))</f>
        <v>0</v>
      </c>
      <c r="GB143" s="409"/>
      <c r="GC143" s="398">
        <f>IF(GB143=0,0,IF(LEN(FO143)=11,_xlfn.XLOOKUP(FO143,'Dispensed Ink Rates'!C:C,'Dispensed Ink Rates'!CS:CS),VLOOKUP(FO143,'Jan-2026 rates'!$E:$F,2,0)))</f>
        <v>0</v>
      </c>
      <c r="GD143" s="409"/>
      <c r="GE143" s="398">
        <f>IF(GD143=0,0,IF(LEN(FP143)=11,_xlfn.XLOOKUP(FP143,'Dispensed Ink Rates'!C:C,'Dispensed Ink Rates'!CS:CS),VLOOKUP(FP143,'Jan-2026 rates'!$E:$F,2,0)))</f>
        <v>0</v>
      </c>
      <c r="GF143" s="409"/>
      <c r="GG143" s="398">
        <f>IF(GF143=0,0,IF(LEN(FQ143)=11,_xlfn.XLOOKUP(FQ143,'Dispensed Ink Rates'!C:C,'Dispensed Ink Rates'!CS:CS),VLOOKUP(FQ143,'Jan-2026 rates'!$E:$F,2,0)))</f>
        <v>0</v>
      </c>
      <c r="GH143" s="409"/>
      <c r="GI143" s="409"/>
      <c r="GJ143" s="411">
        <f t="shared" si="118"/>
        <v>0</v>
      </c>
      <c r="GK143" s="411">
        <f t="shared" si="119"/>
        <v>0</v>
      </c>
      <c r="GL143" s="410">
        <f t="shared" si="120"/>
        <v>0</v>
      </c>
      <c r="GM143" s="405"/>
      <c r="GN143" s="409"/>
      <c r="GO143" s="420" t="str">
        <f t="shared" si="58"/>
        <v xml:space="preserve"> - </v>
      </c>
      <c r="GP143" s="409"/>
      <c r="GQ143" s="411">
        <f>IF(GP143=0,0,IF($LB143=70%,VLOOKUP($GO143,'Jan-2026 rates'!$L:$R,4,0),IF($LB143=65%,VLOOKUP($GO143,'Jan-2026 rates'!$L:$R,4,0),IF($LB143=40%,VLOOKUP($GO143,'Jan-2026 rates'!$L:$R,5,0),IF($LB143=30%,VLOOKUP($GO143,'Jan-2026 rates'!$L:$R,6,0),IF($LB143=100%,VLOOKUP($GO143,'Jan-2026 rates'!$L:$R,7,0),IF($LB143=60%,VLOOKUP($GO143,'Jan-2026 rates'!$L:$S,8,0),IF($LB143=80%,VLOOKUP($GO143,'Jan-2026 rates'!L:T,9,0),0))))))))</f>
        <v>0</v>
      </c>
      <c r="GR143" s="412"/>
      <c r="GS143" s="409"/>
      <c r="GT143" s="411">
        <f>IF(GS143=0,0,IF($LB143=70%,VLOOKUP($GO143,'Jan-2026 rates'!$L:$R,4,0),IF($LB143=65%,VLOOKUP($GO143,'Jan-2026 rates'!$L:$R,4,0),IF($LB143=40%,VLOOKUP($GO143,'Jan-2026 rates'!$L:$R,5,0),IF($LB143=30%,VLOOKUP($GO143,'Jan-2026 rates'!$L:$R,6,0),IF($LB143=100%,VLOOKUP($GO143,'Jan-2026 rates'!$L:$R,7,0),IF($LB143=60%,VLOOKUP($GO143,'Jan-2026 rates'!$L:$S,8,0),IF($LB143=80%,VLOOKUP($GO143,'Jan-2026 rates'!L:T,9,0),0))))))))</f>
        <v>0</v>
      </c>
      <c r="GU143" s="413"/>
      <c r="GV143" s="413"/>
      <c r="GW143" s="412"/>
      <c r="GX143" s="412"/>
      <c r="GY143" s="412"/>
      <c r="GZ143" s="412"/>
      <c r="HA143" s="412"/>
      <c r="HB143" s="412"/>
      <c r="HC143" s="409"/>
      <c r="HD143" s="398">
        <f>IF(HC143=0,0,IF(LEN(GU143)=11,_xlfn.XLOOKUP(GU143,'Dispensed Ink Rates'!C:C,'Dispensed Ink Rates'!CS:CS),VLOOKUP(GU143,'Jan-2026 rates'!$E:$F,2,0)))</f>
        <v>0</v>
      </c>
      <c r="HE143" s="409"/>
      <c r="HF143" s="398">
        <f>IF(HE143=0,0,IF(LEN(GV143)=11,_xlfn.XLOOKUP(GV143,'Dispensed Ink Rates'!C:C,'Dispensed Ink Rates'!CS:CS),VLOOKUP(GV143,'Jan-2026 rates'!$E:$F,2,0)))</f>
        <v>0</v>
      </c>
      <c r="HG143" s="409"/>
      <c r="HH143" s="398">
        <f>IF(HG143=0,0,IF(LEN(GW143)=11,_xlfn.XLOOKUP(GW143,'Dispensed Ink Rates'!C:C,'Dispensed Ink Rates'!CS:CS),VLOOKUP(GW143,'Jan-2026 rates'!$E:$F,2,0)))</f>
        <v>0</v>
      </c>
      <c r="HI143" s="409"/>
      <c r="HJ143" s="398">
        <f>IF(HI143=0,0,IF(LEN(GX143)=11,_xlfn.XLOOKUP(GX143,'Dispensed Ink Rates'!C:C,'Dispensed Ink Rates'!CS:CS),VLOOKUP(GX143,'Jan-2026 rates'!$E:$F,2,0)))</f>
        <v>0</v>
      </c>
      <c r="HK143" s="409"/>
      <c r="HL143" s="398">
        <f>IF(HK143=0,0,IF(LEN(GY143)=11,_xlfn.XLOOKUP(GY143,'Dispensed Ink Rates'!C:C,'Dispensed Ink Rates'!CS:CS),VLOOKUP(GY143,'Jan-2026 rates'!$E:$F,2,0)))</f>
        <v>0</v>
      </c>
      <c r="HM143" s="409"/>
      <c r="HN143" s="398">
        <f>IF(HM143=0,0,IF(LEN(GZ143)=11,_xlfn.XLOOKUP(GZ143,'Dispensed Ink Rates'!C:C,'Dispensed Ink Rates'!CS:CS),VLOOKUP(GZ143,'Jan-2026 rates'!$E:$F,2,0)))</f>
        <v>0</v>
      </c>
      <c r="HO143" s="409"/>
      <c r="HP143" s="398">
        <f>IF(HO143=0,0,IF(LEN(HA143)=11,_xlfn.XLOOKUP(HA143,'Dispensed Ink Rates'!C:C,'Dispensed Ink Rates'!CS:CS),VLOOKUP(HA143,'Jan-2026 rates'!$E:$F,2,0)))</f>
        <v>0</v>
      </c>
      <c r="HQ143" s="409"/>
      <c r="HR143" s="398">
        <f>IF(HQ143=0,0,IF(LEN(HB143)=11,_xlfn.XLOOKUP(HB143,'Dispensed Ink Rates'!C:C,'Dispensed Ink Rates'!CS:CS),VLOOKUP(HB143,'Jan-2026 rates'!$E:$F,2,0)))</f>
        <v>0</v>
      </c>
      <c r="HS143" s="409"/>
      <c r="HT143" s="409"/>
      <c r="HU143" s="411">
        <f t="shared" si="121"/>
        <v>0</v>
      </c>
      <c r="HV143" s="411">
        <f t="shared" si="122"/>
        <v>0</v>
      </c>
      <c r="HW143" s="414">
        <f t="shared" si="123"/>
        <v>0</v>
      </c>
      <c r="HX143" s="405"/>
      <c r="HY143" s="409"/>
      <c r="HZ143" s="420" t="str">
        <f t="shared" si="59"/>
        <v xml:space="preserve"> - </v>
      </c>
      <c r="IA143" s="409"/>
      <c r="IB143" s="411">
        <f>IF(IA143=0,0,IF($LB143=70%,VLOOKUP($HZ143,'Jan-2026 rates'!$L:$R,4,0),IF($LB143=65%,VLOOKUP($HZ143,'Jan-2026 rates'!$L:$R,4,0),IF($LB143=40%,VLOOKUP($HZ143,'Jan-2026 rates'!$L:$R,5,0),IF($LB143=30%,VLOOKUP($HZ143,'Jan-2026 rates'!$L:$R,6,0),IF($LB143=100%,VLOOKUP($HZ143,'Jan-2026 rates'!$L:$R,7,0),IF($LB143=60%,VLOOKUP($HZ143,'Jan-2026 rates'!$L:$S,8,0),IF($LB143=80%,VLOOKUP($HZ143,'Jan-2026 rates'!L:T,9,0),0))))))))</f>
        <v>0</v>
      </c>
      <c r="IC143" s="412"/>
      <c r="ID143" s="409"/>
      <c r="IE143" s="411">
        <f>IF(ID143=0,0,IF($LB143=70%,VLOOKUP($HZ143,'Jan-2026 rates'!$L:$R,4,0),IF($LB143=65%,VLOOKUP($HZ143,'Jan-2026 rates'!$L:$R,4,0),IF($LB143=40%,VLOOKUP($HZ143,'Jan-2026 rates'!$L:$R,5,0),IF($LB143=30%,VLOOKUP($HZ143,'Jan-2026 rates'!$L:$R,6,0),IF($LB143=100%,VLOOKUP($HZ143,'Jan-2026 rates'!$L:$R,7,0),IF($LB143=60%,VLOOKUP($HZ143,'Jan-2026 rates'!$L:$S,8,0),IF($LB143=80%,VLOOKUP($HZ143,'Jan-2026 rates'!L:T,9,0),0))))))))</f>
        <v>0</v>
      </c>
      <c r="IF143" s="412"/>
      <c r="IG143" s="413"/>
      <c r="IH143" s="412"/>
      <c r="II143" s="412"/>
      <c r="IJ143" s="412"/>
      <c r="IK143" s="412"/>
      <c r="IL143" s="412"/>
      <c r="IM143" s="412"/>
      <c r="IN143" s="409"/>
      <c r="IO143" s="398">
        <f>IF(IN143=0,0,IF(LEN(IF143)=11,_xlfn.XLOOKUP(IF143,'Dispensed Ink Rates'!C:C,'Dispensed Ink Rates'!CS:CS),VLOOKUP(IF143,'Jan-2026 rates'!$E:$F,2,0)))</f>
        <v>0</v>
      </c>
      <c r="IP143" s="409"/>
      <c r="IQ143" s="398">
        <f>IF(IP143=0,0,IF(LEN(IG143)=11,_xlfn.XLOOKUP(IG143,'Dispensed Ink Rates'!C:C,'Dispensed Ink Rates'!CS:CS),VLOOKUP(IG143,'Jan-2026 rates'!$E:$F,2,0)))</f>
        <v>0</v>
      </c>
      <c r="IR143" s="409"/>
      <c r="IS143" s="398">
        <f>IF(IR143=0,0,IF(LEN(IH143)=11,_xlfn.XLOOKUP(IH143,'Dispensed Ink Rates'!C:C,'Dispensed Ink Rates'!CS:CS),VLOOKUP(IH143,'Jan-2026 rates'!$E:$F,2,0)))</f>
        <v>0</v>
      </c>
      <c r="IT143" s="409"/>
      <c r="IU143" s="398">
        <f>IF(IT143=0,0,IF(LEN(II143)=11,_xlfn.XLOOKUP(II143,'Dispensed Ink Rates'!C:C,'Dispensed Ink Rates'!CS:CS),VLOOKUP(II143,'Jan-2026 rates'!$E:$F,2,0)))</f>
        <v>0</v>
      </c>
      <c r="IV143" s="409"/>
      <c r="IW143" s="398">
        <f>IF(IV143=0,0,IF(LEN(IJ143)=11,_xlfn.XLOOKUP(IJ143,'Dispensed Ink Rates'!C:C,'Dispensed Ink Rates'!CS:CS),VLOOKUP(IJ143,'Jan-2026 rates'!$E:$F,2,0)))</f>
        <v>0</v>
      </c>
      <c r="IX143" s="409"/>
      <c r="IY143" s="398">
        <f>IF(IX143=0,0,IF(LEN(IK143)=11,_xlfn.XLOOKUP(IK143,'Dispensed Ink Rates'!C:C,'Dispensed Ink Rates'!CS:CS),VLOOKUP(IK143,'Jan-2026 rates'!$E:$F,2,0)))</f>
        <v>0</v>
      </c>
      <c r="IZ143" s="409"/>
      <c r="JA143" s="398">
        <f>IF(IZ143=0,0,IF(LEN(IL143)=11,_xlfn.XLOOKUP(IL143,'Dispensed Ink Rates'!C:C,'Dispensed Ink Rates'!CS:CS),VLOOKUP(IL143,'Jan-2026 rates'!$E:$F,2,0)))</f>
        <v>0</v>
      </c>
      <c r="JB143" s="409"/>
      <c r="JC143" s="398">
        <f>IF(JB143=0,0,IF(LEN(IM143)=11,_xlfn.XLOOKUP(IM143,'Dispensed Ink Rates'!C:C,'Dispensed Ink Rates'!CS:CS),VLOOKUP(IM143,'Jan-2026 rates'!$E:$F,2,0)))</f>
        <v>0</v>
      </c>
      <c r="JD143" s="409"/>
      <c r="JE143" s="409"/>
      <c r="JF143" s="411">
        <f t="shared" si="124"/>
        <v>0</v>
      </c>
      <c r="JG143" s="411">
        <f t="shared" si="125"/>
        <v>0</v>
      </c>
      <c r="JH143" s="410">
        <f t="shared" si="126"/>
        <v>0</v>
      </c>
      <c r="JI143" s="405"/>
      <c r="JJ143" s="409"/>
      <c r="JK143" s="420" t="str">
        <f t="shared" si="60"/>
        <v xml:space="preserve"> - </v>
      </c>
      <c r="JL143" s="409"/>
      <c r="JM143" s="411">
        <f>IF(JL143=0,0,IF($LB143=70%,VLOOKUP($JK143,'Jan-2026 rates'!$L:$R,4,0),IF($LB143=65%,VLOOKUP($JK143,'Jan-2026 rates'!$L:$R,4,0),IF($LB143=40%,VLOOKUP($JK143,'Jan-2026 rates'!$L:$R,5,0),IF($LB143=30%,VLOOKUP($JK143,'Jan-2026 rates'!$L:$R,6,0),IF($LB143=100%,VLOOKUP($JK143,'Jan-2026 rates'!$L:$R,7,0),IF($LB143=60%,VLOOKUP($JK143,'Jan-2026 rates'!$L:$S,8,0),IF($LB143=80%,VLOOKUP($JK143,'Jan-2026 rates'!L:T,9,0),0))))))))</f>
        <v>0</v>
      </c>
      <c r="JN143" s="412"/>
      <c r="JO143" s="409"/>
      <c r="JP143" s="411">
        <f>IF(JO143=0,0,IF($LB143=70%,VLOOKUP($JK143,'Jan-2026 rates'!$L:$R,4,0),IF($LB143=65%,VLOOKUP($JK143,'Jan-2026 rates'!$L:$R,4,0),IF($LB143=40%,VLOOKUP($JK143,'Jan-2026 rates'!$L:$R,5,0),IF($LB143=30%,VLOOKUP($JK143,'Jan-2026 rates'!$L:$R,6,0),IF($LB143=100%,VLOOKUP($JK143,'Jan-2026 rates'!$L:$R,7,0),IF($LB143=60%,VLOOKUP($JK143,'Jan-2026 rates'!$L:$S,8,0),IF($LB143=80%,VLOOKUP($JK143,'Jan-2026 rates'!L:T,9,0),0))))))))</f>
        <v>0</v>
      </c>
      <c r="JQ143" s="413"/>
      <c r="JR143" s="412"/>
      <c r="JS143" s="413"/>
      <c r="JT143" s="413"/>
      <c r="JU143" s="412"/>
      <c r="JV143" s="412"/>
      <c r="JW143" s="412"/>
      <c r="JX143" s="412"/>
      <c r="JY143" s="409"/>
      <c r="JZ143" s="398">
        <f>IF(JY143=0,0,IF(LEN(JQ143)=11,_xlfn.XLOOKUP(JQ143,'Dispensed Ink Rates'!C:C,'Dispensed Ink Rates'!CS:CS),VLOOKUP(JQ143,'Jan-2026 rates'!$E:$F,2,0)))</f>
        <v>0</v>
      </c>
      <c r="KA143" s="409"/>
      <c r="KB143" s="398">
        <f>IF(KA143=0,0,IF(LEN(JR143)=11,_xlfn.XLOOKUP(JR143,'Dispensed Ink Rates'!C:C,'Dispensed Ink Rates'!CS:CS),VLOOKUP(JR143,'Jan-2026 rates'!$E:$F,2,0)))</f>
        <v>0</v>
      </c>
      <c r="KC143" s="409"/>
      <c r="KD143" s="398">
        <f>IF(KC143=0,0,IF(LEN(JS143)=11,_xlfn.XLOOKUP(JS143,'Dispensed Ink Rates'!C:C,'Dispensed Ink Rates'!CS:CS),VLOOKUP(JS143,'Jan-2026 rates'!$E:$F,2,0)))</f>
        <v>0</v>
      </c>
      <c r="KE143" s="409"/>
      <c r="KF143" s="398">
        <f>IF(KE143=0,0,IF(LEN(JT143)=11,_xlfn.XLOOKUP(JT143,'Dispensed Ink Rates'!C:C,'Dispensed Ink Rates'!CS:CS),VLOOKUP(JT143,'Jan-2026 rates'!$E:$F,2,0)))</f>
        <v>0</v>
      </c>
      <c r="KG143" s="409"/>
      <c r="KH143" s="398">
        <f>IF(KG143=0,0,IF(LEN(JU143)=11,_xlfn.XLOOKUP(JU143,'Dispensed Ink Rates'!C:C,'Dispensed Ink Rates'!CS:CS),VLOOKUP(JU143,'Jan-2026 rates'!$E:$F,2,0)))</f>
        <v>0</v>
      </c>
      <c r="KI143" s="409"/>
      <c r="KJ143" s="398">
        <f>IF(KI143=0,0,IF(LEN(JV143)=11,_xlfn.XLOOKUP(JV143,'Dispensed Ink Rates'!C:C,'Dispensed Ink Rates'!CS:CS),VLOOKUP(JV143,'Jan-2026 rates'!$E:$F,2,0)))</f>
        <v>0</v>
      </c>
      <c r="KK143" s="409"/>
      <c r="KL143" s="398">
        <f>IF(KK143=0,0,IF(LEN(JW143)=11,_xlfn.XLOOKUP(JW143,'Dispensed Ink Rates'!C:C,'Dispensed Ink Rates'!CS:CS),VLOOKUP(JW143,'Jan-2026 rates'!$E:$F,2,0)))</f>
        <v>0</v>
      </c>
      <c r="KM143" s="428"/>
      <c r="KN143" s="398">
        <f>IF(KM143=0,0,IF(LEN(JX143)=11,_xlfn.XLOOKUP(JX143,'Dispensed Ink Rates'!C:C,'Dispensed Ink Rates'!CS:CS),VLOOKUP(JX143,'Jan-2026 rates'!$E:$F,2,0)))</f>
        <v>0</v>
      </c>
      <c r="KO143" s="409"/>
      <c r="KP143" s="409"/>
      <c r="KQ143" s="411">
        <f t="shared" si="127"/>
        <v>0</v>
      </c>
      <c r="KR143" s="411">
        <f t="shared" si="128"/>
        <v>0</v>
      </c>
      <c r="KS143" s="410">
        <f t="shared" si="129"/>
        <v>0</v>
      </c>
      <c r="KT143" s="409">
        <v>0</v>
      </c>
      <c r="KU143" s="409">
        <v>2</v>
      </c>
      <c r="KV143" s="409">
        <v>0</v>
      </c>
      <c r="KW143" s="409">
        <v>0</v>
      </c>
      <c r="KX143" s="409">
        <v>0</v>
      </c>
      <c r="KY143" s="409">
        <v>0</v>
      </c>
      <c r="KZ143" s="409">
        <v>0</v>
      </c>
      <c r="LA143" s="409">
        <v>0</v>
      </c>
      <c r="LB143" s="415">
        <v>0.3</v>
      </c>
      <c r="LC143" s="415"/>
      <c r="LD143" s="415"/>
      <c r="LE143" s="415">
        <v>0.5</v>
      </c>
      <c r="LF143" s="415">
        <v>0.2</v>
      </c>
      <c r="LG143" s="409">
        <v>0</v>
      </c>
      <c r="LH143" s="409">
        <f>5+5+6+10+4</f>
        <v>30</v>
      </c>
      <c r="LI143" s="409">
        <v>0</v>
      </c>
      <c r="LJ143" s="409">
        <v>0</v>
      </c>
      <c r="LK143" s="416">
        <f t="shared" si="61"/>
        <v>30</v>
      </c>
      <c r="LL143" s="416">
        <f t="shared" si="62"/>
        <v>30</v>
      </c>
      <c r="LM143" s="417">
        <f t="shared" si="63"/>
        <v>9</v>
      </c>
      <c r="LN143" s="417">
        <f>VLOOKUP($LM$8,'Jan-2026 rates'!$H:$I,2,0)</f>
        <v>0</v>
      </c>
      <c r="LO143" s="417">
        <f t="shared" si="64"/>
        <v>0</v>
      </c>
      <c r="LP143" s="417">
        <f>VLOOKUP($LO$8,'Jan-2026 rates'!$H:$I,2,0)</f>
        <v>0</v>
      </c>
      <c r="LQ143" s="417">
        <f t="shared" si="65"/>
        <v>0</v>
      </c>
      <c r="LR143" s="417">
        <f>VLOOKUP($LQ$8,'Jan-2026 rates'!$H:$I,2,0)</f>
        <v>0</v>
      </c>
      <c r="LS143" s="417">
        <f t="shared" si="66"/>
        <v>15</v>
      </c>
      <c r="LT143" s="417">
        <f>VLOOKUP($LS$8,'Jan-2026 rates'!$H:$I,2,0)</f>
        <v>0</v>
      </c>
      <c r="LU143" s="417">
        <f t="shared" si="67"/>
        <v>6</v>
      </c>
      <c r="LV143" s="417">
        <f>VLOOKUP($LU$8,'Jan-2026 rates'!$H:$I,2,0)</f>
        <v>0</v>
      </c>
      <c r="LW143" s="417">
        <f t="shared" si="68"/>
        <v>0</v>
      </c>
      <c r="LX143" s="417">
        <f t="shared" si="69"/>
        <v>0</v>
      </c>
      <c r="LY143" s="418">
        <f t="shared" si="70"/>
        <v>0</v>
      </c>
      <c r="LZ143" s="417"/>
      <c r="MA143" s="435">
        <f t="shared" si="71"/>
        <v>5</v>
      </c>
      <c r="MB143" s="282">
        <f t="shared" si="72"/>
        <v>42</v>
      </c>
      <c r="MC143" s="283" t="s">
        <v>1978</v>
      </c>
      <c r="MD143" s="284" t="str">
        <f t="shared" si="73"/>
        <v>ToyoLiToyoLi</v>
      </c>
      <c r="ME143" s="293" t="str">
        <f t="shared" si="74"/>
        <v>+</v>
      </c>
      <c r="MF143" s="293" t="str">
        <f t="shared" si="75"/>
        <v>+</v>
      </c>
      <c r="MG143" s="293" t="str">
        <f t="shared" si="76"/>
        <v>NIL</v>
      </c>
      <c r="MH143" s="293" t="str">
        <f t="shared" si="77"/>
        <v>NIL</v>
      </c>
      <c r="MI143" s="293" t="str">
        <f t="shared" si="78"/>
        <v>NIL</v>
      </c>
      <c r="MJ143" s="293" t="str">
        <f t="shared" si="79"/>
        <v>NIL</v>
      </c>
      <c r="MK143" s="293" t="str">
        <f t="shared" si="80"/>
        <v>NIL</v>
      </c>
      <c r="ML143" s="293" t="str">
        <f t="shared" si="81"/>
        <v>NIL</v>
      </c>
      <c r="MM143" s="3" t="b">
        <f t="array" ref="MM143">OR(ME143:ML143="-")</f>
        <v>0</v>
      </c>
      <c r="MN143" s="285"/>
      <c r="MO143" s="401"/>
      <c r="MP143" s="286"/>
      <c r="MQ143" s="286"/>
      <c r="MR143" s="402"/>
      <c r="MS143" s="400"/>
      <c r="NH143" s="422"/>
      <c r="NJ143" s="421"/>
    </row>
    <row r="144" spans="1:374" s="1" customFormat="1" ht="16.5">
      <c r="A144" s="403">
        <v>46030</v>
      </c>
      <c r="B144" s="404" t="s">
        <v>1018</v>
      </c>
      <c r="C144" s="405" t="s">
        <v>3420</v>
      </c>
      <c r="D144" s="406" t="s">
        <v>1979</v>
      </c>
      <c r="E144" s="404">
        <v>1876</v>
      </c>
      <c r="F144" s="407">
        <v>98100</v>
      </c>
      <c r="G144" s="407" t="s">
        <v>1016</v>
      </c>
      <c r="H144" s="408" t="s">
        <v>1017</v>
      </c>
      <c r="I144" s="409">
        <v>0.9</v>
      </c>
      <c r="J144" s="405" t="s">
        <v>543</v>
      </c>
      <c r="K144" s="404" t="s">
        <v>3421</v>
      </c>
      <c r="L144" s="419" t="str">
        <f t="shared" si="54"/>
        <v>ToyoLi - BLACK</v>
      </c>
      <c r="M144" s="404">
        <v>26</v>
      </c>
      <c r="N144" s="410">
        <f>IF(M144=0,0,IF($LB144=70%,VLOOKUP($L144,'Jan-2026 rates'!$L:$R,4,0),IF($LB144=65%,VLOOKUP($L144,'Jan-2026 rates'!$L:$R,4,0),IF($LB144=40%,VLOOKUP($L144,'Jan-2026 rates'!$L:$R,5,0),IF($LB144=30%,VLOOKUP($L144,'Jan-2026 rates'!$L:$R,6,0),IF($LB144=100%,VLOOKUP($L144,'Jan-2026 rates'!$L:$R,7,0),IF($LB144=60%,VLOOKUP($L144,'Jan-2026 rates'!$L:$S,8,0),IF($LB144=80%,VLOOKUP($L144,'Jan-2026 rates'!L:T,9,0),0))))))))</f>
        <v>0</v>
      </c>
      <c r="O144" s="406"/>
      <c r="P144" s="404"/>
      <c r="Q144" s="410">
        <f>IF(P144=0,0,IF($LB144=70%,VLOOKUP($L144,'Jan-2026 rates'!$L:$R,4,0),IF($LB144=65%,VLOOKUP($L144,'Jan-2026 rates'!$L:$R,4,0),IF($LB144=40%,VLOOKUP($L144,'Jan-2026 rates'!$L:$R,5,0),IF($LB144=30%,VLOOKUP($L144,'Jan-2026 rates'!$L:$R,6,0),IF($LB144=100%,VLOOKUP($L144,'Jan-2026 rates'!$L:$R,7,0),IF($LB144=60%,VLOOKUP($L144,'Jan-2026 rates'!$L:$S,8,0),IF($LB144=80%,VLOOKUP($L144,'Jan-2026 rates'!L:T,9,0),0))))))))</f>
        <v>0</v>
      </c>
      <c r="R144" s="406" t="s">
        <v>1252</v>
      </c>
      <c r="S144" s="406"/>
      <c r="T144" s="406"/>
      <c r="U144" s="406"/>
      <c r="V144" s="406"/>
      <c r="W144" s="406"/>
      <c r="X144" s="406"/>
      <c r="Y144" s="406"/>
      <c r="Z144" s="404">
        <v>1</v>
      </c>
      <c r="AA144" s="398">
        <f>IF(Z144=0,0,IF(LEN(R144)=11,_xlfn.XLOOKUP(R144,'Dispensed Ink Rates'!C:C,'Dispensed Ink Rates'!CS:CS),VLOOKUP(R144,'Jan-2026 rates'!$E:$F,2,0)))</f>
        <v>0</v>
      </c>
      <c r="AB144" s="404"/>
      <c r="AC144" s="398">
        <f>IF(AB144=0,0,IF(LEN(S144)=11,_xlfn.XLOOKUP(S144,'Dispensed Ink Rates'!C:C,'Dispensed Ink Rates'!CS:CS),VLOOKUP(S144,'Jan-2026 rates'!$E:$F,2,0)))</f>
        <v>0</v>
      </c>
      <c r="AD144" s="404"/>
      <c r="AE144" s="398">
        <f>IF(AD144=0,0,IF(LEN(T144)=11,_xlfn.XLOOKUP(T144,'Dispensed Ink Rates'!C:C,'Dispensed Ink Rates'!CS:CS),VLOOKUP(T144,'Jan-2026 rates'!$E:$F,2,0)))</f>
        <v>0</v>
      </c>
      <c r="AF144" s="404"/>
      <c r="AG144" s="398">
        <f>IF(AF144=0,0,IF(LEN(U144)=11,_xlfn.XLOOKUP(U144,'Dispensed Ink Rates'!C:C,'Dispensed Ink Rates'!CS:CS),VLOOKUP(U144,'Jan-2026 rates'!$E:$F,2,0)))</f>
        <v>0</v>
      </c>
      <c r="AH144" s="404"/>
      <c r="AI144" s="398">
        <f>IF(AH144=0,0,IF(LEN(V144)=11,_xlfn.XLOOKUP(V144,'Dispensed Ink Rates'!C:C,'Dispensed Ink Rates'!CS:CS),VLOOKUP(V144,'Jan-2026 rates'!$E:$F,2,0)))</f>
        <v>0</v>
      </c>
      <c r="AJ144" s="404"/>
      <c r="AK144" s="398">
        <f>IF(AJ144=0,0,IF(LEN(W144)=11,_xlfn.XLOOKUP(W144,'Dispensed Ink Rates'!C:C,'Dispensed Ink Rates'!CS:CS),VLOOKUP(W144,'Jan-2026 rates'!$E:$F,2,0)))</f>
        <v>0</v>
      </c>
      <c r="AL144" s="404"/>
      <c r="AM144" s="398">
        <f>IF(AL144=0,0,IF(LEN(X144)=11,_xlfn.XLOOKUP(X144,'Dispensed Ink Rates'!C:C,'Dispensed Ink Rates'!CS:CS),VLOOKUP(X144,'Jan-2026 rates'!$E:$F,2,0)))</f>
        <v>0</v>
      </c>
      <c r="AN144" s="404"/>
      <c r="AO144" s="398">
        <f>IF(AN144=0,0,IF(LEN(Y144)=11,_xlfn.XLOOKUP(Y144,'Dispensed Ink Rates'!C:C,'Dispensed Ink Rates'!CS:CS),VLOOKUP(Y144,'Jan-2026 rates'!$E:$F,2,0)))</f>
        <v>0</v>
      </c>
      <c r="AP144" s="409" t="s">
        <v>1881</v>
      </c>
      <c r="AQ144" s="409">
        <v>23</v>
      </c>
      <c r="AR144" s="410">
        <f t="shared" si="106"/>
        <v>0</v>
      </c>
      <c r="AS144" s="411">
        <f t="shared" si="107"/>
        <v>6.4692982456140342</v>
      </c>
      <c r="AT144" s="410">
        <f t="shared" si="108"/>
        <v>0</v>
      </c>
      <c r="AU144" s="405" t="s">
        <v>828</v>
      </c>
      <c r="AV144" s="409" t="s">
        <v>3422</v>
      </c>
      <c r="AW144" s="420" t="str">
        <f t="shared" si="130"/>
        <v>ToyoLi - ORANGE</v>
      </c>
      <c r="AX144" s="409">
        <v>7</v>
      </c>
      <c r="AY144" s="411">
        <f>IF(AX144=0,0,IF($LB144=70%,VLOOKUP($AW144,'Jan-2026 rates'!$L:$R,4,0),IF($LB144=65%,VLOOKUP($AW144,'Jan-2026 rates'!$L:$R,4,0),IF($LB144=40%,VLOOKUP($AW144,'Jan-2026 rates'!$L:$R,5,0),IF($LB144=30%,VLOOKUP($AW144,'Jan-2026 rates'!$L:$R,6,0),IF($LB144=100%,VLOOKUP($AW144,'Jan-2026 rates'!$L:$R,7,0),IF($LB144=60%,VLOOKUP($AW144,'Jan-2026 rates'!$L:$S,8,0),IF($LB144=80%,VLOOKUP($AW144,'Jan-2026 rates'!L:T,9,0),0))))))))</f>
        <v>0</v>
      </c>
      <c r="AZ144" s="412" t="s">
        <v>3423</v>
      </c>
      <c r="BA144" s="409">
        <f>6+10+15</f>
        <v>31</v>
      </c>
      <c r="BB144" s="411">
        <f>IF(BA144=0,0,IF($LB144=70%,VLOOKUP($AW144,'Jan-2026 rates'!$L:$R,4,0),IF($LB144=65%,VLOOKUP($AW144,'Jan-2026 rates'!$L:$R,4,0),IF($LB144=40%,VLOOKUP($AW144,'Jan-2026 rates'!$L:$R,5,0),IF($LB144=30%,VLOOKUP($AW144,'Jan-2026 rates'!$L:$R,6,0),IF($LB144=100%,VLOOKUP($AW144,'Jan-2026 rates'!$L:$R,7,0),IF($LB144=60%,VLOOKUP($AW144,'Jan-2026 rates'!$L:$S,8,0),IF($LB144=80%,VLOOKUP($AW144,'Jan-2026 rates'!L:T,9,0),0))))))))</f>
        <v>0</v>
      </c>
      <c r="BC144" s="413" t="s">
        <v>1247</v>
      </c>
      <c r="BD144" s="412" t="s">
        <v>1246</v>
      </c>
      <c r="BE144" s="412" t="s">
        <v>1252</v>
      </c>
      <c r="BF144" s="413"/>
      <c r="BG144" s="412"/>
      <c r="BH144" s="412"/>
      <c r="BI144" s="412"/>
      <c r="BJ144" s="412"/>
      <c r="BK144" s="409">
        <v>10</v>
      </c>
      <c r="BL144" s="398">
        <f>IF(BK144=0,0,IF(LEN(BC144)=11,_xlfn.XLOOKUP(BC144,'Dispensed Ink Rates'!C:C,'Dispensed Ink Rates'!CS:CS),VLOOKUP(BC144,'Jan-2026 rates'!$E:$F,2,0)))</f>
        <v>0</v>
      </c>
      <c r="BM144" s="409">
        <v>4</v>
      </c>
      <c r="BN144" s="398">
        <f>IF(BM144=0,0,IF(LEN(BD144)=11,_xlfn.XLOOKUP(BD144,'Dispensed Ink Rates'!C:C,'Dispensed Ink Rates'!CS:CS),VLOOKUP(BD144,'Jan-2026 rates'!$E:$F,2,0)))</f>
        <v>0</v>
      </c>
      <c r="BO144" s="409">
        <v>0.5</v>
      </c>
      <c r="BP144" s="398">
        <f>IF(BO144=0,0,IF(LEN(BE144)=11,_xlfn.XLOOKUP(BE144,'Dispensed Ink Rates'!C:C,'Dispensed Ink Rates'!CS:CS),VLOOKUP(BE144,'Jan-2026 rates'!$E:$F,2,0)))</f>
        <v>0</v>
      </c>
      <c r="BQ144" s="409"/>
      <c r="BR144" s="398">
        <f>IF(BQ144=0,0,IF(LEN(BF144)=11,_xlfn.XLOOKUP(BF144,'Dispensed Ink Rates'!C:C,'Dispensed Ink Rates'!CS:CS),VLOOKUP(BF144,'Jan-2026 rates'!$E:$F,2,0)))</f>
        <v>0</v>
      </c>
      <c r="BS144" s="409"/>
      <c r="BT144" s="398">
        <f>IF(BS144=0,0,IF(LEN(BG144)=11,_xlfn.XLOOKUP(BG144,'Dispensed Ink Rates'!C:C,'Dispensed Ink Rates'!CS:CS),VLOOKUP(BG144,'Jan-2026 rates'!$E:$F,2,0)))</f>
        <v>0</v>
      </c>
      <c r="BU144" s="409"/>
      <c r="BV144" s="398">
        <f>IF(BU144=0,0,IF(LEN(BH144)=11,_xlfn.XLOOKUP(BH144,'Dispensed Ink Rates'!C:C,'Dispensed Ink Rates'!CS:CS),VLOOKUP(BH144,'Jan-2026 rates'!$E:$F,2,0)))</f>
        <v>0</v>
      </c>
      <c r="BW144" s="409"/>
      <c r="BX144" s="398">
        <f>IF(BW144=0,0,IF(LEN(BI144)=11,_xlfn.XLOOKUP(BI144,'Dispensed Ink Rates'!C:C,'Dispensed Ink Rates'!CS:CS),VLOOKUP(BI144,'Jan-2026 rates'!$E:$F,2,0)))</f>
        <v>0</v>
      </c>
      <c r="BY144" s="409"/>
      <c r="BZ144" s="398">
        <f>IF(BY144=0,0,IF(LEN(BJ144)=11,_xlfn.XLOOKUP(BJ144,'Dispensed Ink Rates'!C:C,'Dispensed Ink Rates'!CS:CS),VLOOKUP(BJ144,'Jan-2026 rates'!$E:$F,2,0)))</f>
        <v>0</v>
      </c>
      <c r="CA144" s="409" t="s">
        <v>1881</v>
      </c>
      <c r="CB144" s="409">
        <f>20+20</f>
        <v>40</v>
      </c>
      <c r="CC144" s="411">
        <f t="shared" si="109"/>
        <v>0</v>
      </c>
      <c r="CD144" s="411">
        <f t="shared" si="110"/>
        <v>61.885964912280699</v>
      </c>
      <c r="CE144" s="410">
        <f t="shared" si="111"/>
        <v>0</v>
      </c>
      <c r="CF144" s="404" t="s">
        <v>855</v>
      </c>
      <c r="CG144" s="409" t="s">
        <v>3424</v>
      </c>
      <c r="CH144" s="420" t="str">
        <f t="shared" si="55"/>
        <v>ToyoLi - CYAN</v>
      </c>
      <c r="CI144" s="409">
        <v>18</v>
      </c>
      <c r="CJ144" s="411">
        <f>IF(CI144=0,0,IF($LB144=70%,VLOOKUP($CH144,'Jan-2026 rates'!$L:$R,4,0),IF($LB144=65%,VLOOKUP($CH144,'Jan-2026 rates'!$L:$R,4,0),IF($LB144=40%,VLOOKUP($CH144,'Jan-2026 rates'!$L:$R,5,0),IF($LB144=30%,VLOOKUP($CH144,'Jan-2026 rates'!$L:$R,6,0),IF($LB144=100%,VLOOKUP($CH144,'Jan-2026 rates'!$L:$R,7,0),IF($LB144=60%,VLOOKUP($CH144,'Jan-2026 rates'!$L:$S,8,0),IF($LB144=80%,VLOOKUP($CH144,'Jan-2026 rates'!L:T,9,0),0))))))))</f>
        <v>0</v>
      </c>
      <c r="CK144" s="412"/>
      <c r="CL144" s="409"/>
      <c r="CM144" s="411">
        <f>IF(CL144=0,0,IF($LB144=70%,VLOOKUP($CH144,'Jan-2026 rates'!$L:$R,4,0),IF($LB144=65%,VLOOKUP($CH144,'Jan-2026 rates'!$L:$R,4,0),IF($LB144=40%,VLOOKUP($CH144,'Jan-2026 rates'!$L:$R,5,0),IF($LB144=30%,VLOOKUP($CH144,'Jan-2026 rates'!$L:$R,6,0),IF($LB144=100%,VLOOKUP($CH144,'Jan-2026 rates'!$L:$R,7,0),IF($LB144=60%,VLOOKUP($CH144,'Jan-2026 rates'!$L:$S,8,0),IF($LB144=80%,VLOOKUP($CH144,'Jan-2026 rates'!L:T,9,0),0))))))))</f>
        <v>0</v>
      </c>
      <c r="CN144" s="426" t="s">
        <v>1250</v>
      </c>
      <c r="CO144" s="427"/>
      <c r="CP144" s="426"/>
      <c r="CQ144" s="426"/>
      <c r="CR144" s="428"/>
      <c r="CS144" s="428"/>
      <c r="CT144" s="428"/>
      <c r="CU144" s="428"/>
      <c r="CV144" s="409">
        <f>10+5</f>
        <v>15</v>
      </c>
      <c r="CW144" s="398">
        <f>IF(CV144=0,0,IF(LEN(CN144)=11,_xlfn.XLOOKUP(CN144,'Dispensed Ink Rates'!C:C,'Dispensed Ink Rates'!CS:CS),VLOOKUP(CN144,'Jan-2026 rates'!$E:$F,2,0)))</f>
        <v>0</v>
      </c>
      <c r="CX144" s="409"/>
      <c r="CY144" s="398">
        <f>IF(CX144=0,0,IF(LEN(CO144)=11,_xlfn.XLOOKUP(CO144,'Dispensed Ink Rates'!C:C,'Dispensed Ink Rates'!CS:CS),VLOOKUP(CO144,'Jan-2026 rates'!$E:$F,2,0)))</f>
        <v>0</v>
      </c>
      <c r="CZ144" s="409"/>
      <c r="DA144" s="398">
        <f>IF(CZ144=0,0,IF(LEN(CP144)=11,_xlfn.XLOOKUP(CP144,'Dispensed Ink Rates'!C:C,'Dispensed Ink Rates'!CS:CS),VLOOKUP(CP144,'Jan-2026 rates'!$E:$F,2,0)))</f>
        <v>0</v>
      </c>
      <c r="DB144" s="409"/>
      <c r="DC144" s="398">
        <f>IF(DB144=0,0,IF(LEN(CQ144)=11,_xlfn.XLOOKUP(CQ144,'Dispensed Ink Rates'!C:C,'Dispensed Ink Rates'!CS:CS),VLOOKUP(CQ144,'Jan-2026 rates'!$E:$F,2,0)))</f>
        <v>0</v>
      </c>
      <c r="DD144" s="409"/>
      <c r="DE144" s="398">
        <f>IF(DD144=0,0,IF(LEN(CR144)=11,_xlfn.XLOOKUP(CR144,'Dispensed Ink Rates'!C:C,'Dispensed Ink Rates'!CS:CS),VLOOKUP(CR144,'Jan-2026 rates'!$E:$F,2,0)))</f>
        <v>0</v>
      </c>
      <c r="DF144" s="409"/>
      <c r="DG144" s="398">
        <f>IF(DF144=0,0,IF(LEN(CS144)=11,_xlfn.XLOOKUP(CS144,'Dispensed Ink Rates'!C:C,'Dispensed Ink Rates'!CS:CS),VLOOKUP(CS144,'Jan-2026 rates'!$E:$F,2,0)))</f>
        <v>0</v>
      </c>
      <c r="DH144" s="409"/>
      <c r="DI144" s="398">
        <f>IF(DH144=0,0,IF(LEN(CT144)=11,_xlfn.XLOOKUP(CT144,'Dispensed Ink Rates'!C:C,'Dispensed Ink Rates'!CS:CS),VLOOKUP(CT144,'Jan-2026 rates'!$E:$F,2,0)))</f>
        <v>0</v>
      </c>
      <c r="DJ144" s="409"/>
      <c r="DK144" s="398">
        <f>IF(DJ144=0,0,IF(LEN(CU144)=11,_xlfn.XLOOKUP(CU144,'Dispensed Ink Rates'!C:C,'Dispensed Ink Rates'!CS:CS),VLOOKUP(CU144,'Jan-2026 rates'!$E:$F,2,0)))</f>
        <v>0</v>
      </c>
      <c r="DL144" s="409" t="s">
        <v>1881</v>
      </c>
      <c r="DM144" s="409">
        <v>25</v>
      </c>
      <c r="DN144" s="411">
        <f t="shared" si="112"/>
        <v>0</v>
      </c>
      <c r="DO144" s="411">
        <f t="shared" si="113"/>
        <v>40.100877192982452</v>
      </c>
      <c r="DP144" s="410">
        <f t="shared" si="114"/>
        <v>0</v>
      </c>
      <c r="DQ144" s="405" t="s">
        <v>544</v>
      </c>
      <c r="DR144" s="409" t="s">
        <v>3425</v>
      </c>
      <c r="DS144" s="420" t="str">
        <f t="shared" si="56"/>
        <v>ToyoLi - MAGENTA</v>
      </c>
      <c r="DT144" s="409">
        <v>20</v>
      </c>
      <c r="DU144" s="411">
        <f>IF(DT144=0,0,IF($LB144=70%,VLOOKUP($DS144,'Jan-2026 rates'!$L:$R,4,0),IF($LB144=65%,VLOOKUP($DS144,'Jan-2026 rates'!$L:$R,4,0),IF($LB144=40%,VLOOKUP($DS144,'Jan-2026 rates'!$L:$R,5,0),IF($LB144=30%,VLOOKUP($DS144,'Jan-2026 rates'!$L:$R,6,0),IF($LB144=100%,VLOOKUP($DS144,'Jan-2026 rates'!$L:$R,7,0),IF($LB144=60%,VLOOKUP($DS144,'Jan-2026 rates'!$L:$S,8,0),IF($LB144=80%,VLOOKUP($DS144,'Jan-2026 rates'!L:T,9,0),0))))))))</f>
        <v>0</v>
      </c>
      <c r="DV144" s="412" t="s">
        <v>2203</v>
      </c>
      <c r="DW144" s="409">
        <v>15</v>
      </c>
      <c r="DX144" s="411">
        <f>IF(DW144=0,0,IF($LB144=70%,VLOOKUP($DS144,'Jan-2026 rates'!$L:$R,4,0),IF($LB144=65%,VLOOKUP($DS144,'Jan-2026 rates'!$L:$R,4,0),IF($LB144=40%,VLOOKUP($DS144,'Jan-2026 rates'!$L:$R,5,0),IF($LB144=30%,VLOOKUP($DS144,'Jan-2026 rates'!$L:$R,6,0),IF($LB144=100%,VLOOKUP($DS144,'Jan-2026 rates'!$L:$R,7,0),IF($LB144=60%,VLOOKUP($DS144,'Jan-2026 rates'!$L:$S,8,0),IF($LB144=80%,VLOOKUP($DS144,'Jan-2026 rates'!L:T,9,0),0))))))))</f>
        <v>0</v>
      </c>
      <c r="DY144" s="413" t="s">
        <v>1246</v>
      </c>
      <c r="DZ144" s="413"/>
      <c r="EA144" s="412"/>
      <c r="EB144" s="412"/>
      <c r="EC144" s="412"/>
      <c r="ED144" s="412"/>
      <c r="EE144" s="412"/>
      <c r="EF144" s="412"/>
      <c r="EG144" s="409">
        <v>5</v>
      </c>
      <c r="EH144" s="398">
        <f>IF(EG144=0,0,IF(LEN(DY144)=11,_xlfn.XLOOKUP(DY144,'Dispensed Ink Rates'!C:C,'Dispensed Ink Rates'!CS:CS),VLOOKUP(DY144,'Jan-2026 rates'!$E:$F,2,0)))</f>
        <v>0</v>
      </c>
      <c r="EI144" s="409"/>
      <c r="EJ144" s="398">
        <f>IF(EI144=0,0,IF(LEN(DZ144)=11,_xlfn.XLOOKUP(DZ144,'Dispensed Ink Rates'!C:C,'Dispensed Ink Rates'!CS:CS),VLOOKUP(DZ144,'Jan-2026 rates'!$E:$F,2,0)))</f>
        <v>0</v>
      </c>
      <c r="EK144" s="409"/>
      <c r="EL144" s="398">
        <f>IF(EK144=0,0,IF(LEN(EA144)=11,_xlfn.XLOOKUP(EA144,'Dispensed Ink Rates'!C:C,'Dispensed Ink Rates'!CS:CS),VLOOKUP(EA144,'Jan-2026 rates'!$E:$F,2,0)))</f>
        <v>0</v>
      </c>
      <c r="EM144" s="409"/>
      <c r="EN144" s="398">
        <f>IF(EM144=0,0,IF(LEN(EB144)=11,_xlfn.XLOOKUP(EB144,'Dispensed Ink Rates'!C:C,'Dispensed Ink Rates'!CS:CS),VLOOKUP(EB144,'Jan-2026 rates'!$E:$F,2,0)))</f>
        <v>0</v>
      </c>
      <c r="EO144" s="409"/>
      <c r="EP144" s="398">
        <f>IF(EO144=0,0,IF(LEN(EC144)=11,_xlfn.XLOOKUP(EC144,'Dispensed Ink Rates'!C:C,'Dispensed Ink Rates'!CS:CS),VLOOKUP(EC144,'Jan-2026 rates'!$E:$F,2,0)))</f>
        <v>0</v>
      </c>
      <c r="EQ144" s="409"/>
      <c r="ER144" s="398">
        <f>IF(EQ144=0,0,IF(LEN(ED144)=11,_xlfn.XLOOKUP(ED144,'Dispensed Ink Rates'!C:C,'Dispensed Ink Rates'!CS:CS),VLOOKUP(ED144,'Jan-2026 rates'!$E:$F,2,0)))</f>
        <v>0</v>
      </c>
      <c r="ES144" s="409"/>
      <c r="ET144" s="398">
        <f>IF(ES144=0,0,IF(LEN(EE144)=11,_xlfn.XLOOKUP(EE144,'Dispensed Ink Rates'!C:C,'Dispensed Ink Rates'!CS:CS),VLOOKUP(EE144,'Jan-2026 rates'!$E:$F,2,0)))</f>
        <v>0</v>
      </c>
      <c r="EU144" s="409"/>
      <c r="EV144" s="398">
        <f>IF(EU144=0,0,IF(LEN(EF144)=11,_xlfn.XLOOKUP(EF144,'Dispensed Ink Rates'!C:C,'Dispensed Ink Rates'!CS:CS),VLOOKUP(EF144,'Jan-2026 rates'!$E:$F,2,0)))</f>
        <v>0</v>
      </c>
      <c r="EW144" s="409" t="s">
        <v>1881</v>
      </c>
      <c r="EX144" s="409">
        <v>30</v>
      </c>
      <c r="EY144" s="411">
        <f t="shared" si="115"/>
        <v>0</v>
      </c>
      <c r="EZ144" s="411">
        <f t="shared" si="116"/>
        <v>10</v>
      </c>
      <c r="FA144" s="410">
        <f t="shared" si="117"/>
        <v>0</v>
      </c>
      <c r="FB144" s="405" t="s">
        <v>545</v>
      </c>
      <c r="FC144" s="409" t="s">
        <v>3426</v>
      </c>
      <c r="FD144" s="420" t="str">
        <f t="shared" si="57"/>
        <v>ToyoLi - YELLOW</v>
      </c>
      <c r="FE144" s="409">
        <v>25</v>
      </c>
      <c r="FF144" s="411">
        <f>IF(FE144=0,0,IF($LB144=70%,VLOOKUP($FD144,'Jan-2026 rates'!$L:$R,4,0),IF($LB144=65%,VLOOKUP($FD144,'Jan-2026 rates'!$L:$R,4,0),IF($LB144=40%,VLOOKUP($FD144,'Jan-2026 rates'!$L:$R,5,0),IF($LB144=30%,VLOOKUP($FD144,'Jan-2026 rates'!$L:$R,6,0),IF($LB144=100%,VLOOKUP($FD144,'Jan-2026 rates'!$L:$R,7,0),IF($LB144=60%,VLOOKUP($FD144,'Jan-2026 rates'!$L:$S,8,0),IF($LB144=80%,VLOOKUP($FD144,'Jan-2026 rates'!L:T,9,0),0))))))))</f>
        <v>0</v>
      </c>
      <c r="FG144" s="412"/>
      <c r="FH144" s="409"/>
      <c r="FI144" s="411">
        <f>IF(FH144=0,0,IF($LB144=70%,VLOOKUP($FD144,'Jan-2026 rates'!$L:$R,4,0),IF($LB144=65%,VLOOKUP($FD144,'Jan-2026 rates'!$L:$R,4,0),IF($LB144=40%,VLOOKUP($FD144,'Jan-2026 rates'!$L:$R,5,0),IF($LB144=30%,VLOOKUP($FD144,'Jan-2026 rates'!$L:$R,6,0),IF($LB144=100%,VLOOKUP($FD144,'Jan-2026 rates'!$L:$R,7,0),IF($LB144=60%,VLOOKUP($FD144,'Jan-2026 rates'!$L:$S,8,0),IF($LB144=80%,VLOOKUP($FD144,'Jan-2026 rates'!L:T,9,0),0))))))))</f>
        <v>0</v>
      </c>
      <c r="FJ144" s="413" t="s">
        <v>1247</v>
      </c>
      <c r="FK144" s="413" t="s">
        <v>1921</v>
      </c>
      <c r="FL144" s="413"/>
      <c r="FM144" s="412"/>
      <c r="FN144" s="412"/>
      <c r="FO144" s="412"/>
      <c r="FP144" s="412"/>
      <c r="FQ144" s="412"/>
      <c r="FR144" s="409">
        <v>10</v>
      </c>
      <c r="FS144" s="398">
        <f>IF(FR144=0,0,IF(LEN(FJ144)=11,_xlfn.XLOOKUP(FJ144,'Dispensed Ink Rates'!C:C,'Dispensed Ink Rates'!CS:CS),VLOOKUP(FJ144,'Jan-2026 rates'!$E:$F,2,0)))</f>
        <v>0</v>
      </c>
      <c r="FT144" s="409">
        <v>5</v>
      </c>
      <c r="FU144" s="398">
        <f>IF(FT144=0,0,IF(LEN(FK144)=11,_xlfn.XLOOKUP(FK144,'Dispensed Ink Rates'!C:C,'Dispensed Ink Rates'!CS:CS),VLOOKUP(FK144,'Jan-2026 rates'!$E:$F,2,0)))</f>
        <v>0</v>
      </c>
      <c r="FV144" s="409"/>
      <c r="FW144" s="398">
        <f>IF(FV144=0,0,IF(LEN(FL144)=11,_xlfn.XLOOKUP(FL144,'Dispensed Ink Rates'!C:C,'Dispensed Ink Rates'!CS:CS),VLOOKUP(FL144,'Jan-2026 rates'!$E:$F,2,0)))</f>
        <v>0</v>
      </c>
      <c r="FX144" s="409"/>
      <c r="FY144" s="398">
        <f>IF(FX144=0,0,IF(LEN(FM144)=11,_xlfn.XLOOKUP(FM144,'Dispensed Ink Rates'!C:C,'Dispensed Ink Rates'!CS:CS),VLOOKUP(FM144,'Jan-2026 rates'!$E:$F,2,0)))</f>
        <v>0</v>
      </c>
      <c r="FZ144" s="409"/>
      <c r="GA144" s="398">
        <f>IF(FZ144=0,0,IF(LEN(FN144)=11,_xlfn.XLOOKUP(FN144,'Dispensed Ink Rates'!C:C,'Dispensed Ink Rates'!CS:CS),VLOOKUP(FN144,'Jan-2026 rates'!$E:$F,2,0)))</f>
        <v>0</v>
      </c>
      <c r="GB144" s="409"/>
      <c r="GC144" s="398">
        <f>IF(GB144=0,0,IF(LEN(FO144)=11,_xlfn.XLOOKUP(FO144,'Dispensed Ink Rates'!C:C,'Dispensed Ink Rates'!CS:CS),VLOOKUP(FO144,'Jan-2026 rates'!$E:$F,2,0)))</f>
        <v>0</v>
      </c>
      <c r="GD144" s="409"/>
      <c r="GE144" s="398">
        <f>IF(GD144=0,0,IF(LEN(FP144)=11,_xlfn.XLOOKUP(FP144,'Dispensed Ink Rates'!C:C,'Dispensed Ink Rates'!CS:CS),VLOOKUP(FP144,'Jan-2026 rates'!$E:$F,2,0)))</f>
        <v>0</v>
      </c>
      <c r="GF144" s="409"/>
      <c r="GG144" s="398">
        <f>IF(GF144=0,0,IF(LEN(FQ144)=11,_xlfn.XLOOKUP(FQ144,'Dispensed Ink Rates'!C:C,'Dispensed Ink Rates'!CS:CS),VLOOKUP(FQ144,'Jan-2026 rates'!$E:$F,2,0)))</f>
        <v>0</v>
      </c>
      <c r="GH144" s="409" t="s">
        <v>1881</v>
      </c>
      <c r="GI144" s="409">
        <v>28</v>
      </c>
      <c r="GJ144" s="411">
        <f t="shared" si="118"/>
        <v>0</v>
      </c>
      <c r="GK144" s="411">
        <f t="shared" si="119"/>
        <v>36.692982456140356</v>
      </c>
      <c r="GL144" s="410">
        <f t="shared" si="120"/>
        <v>0</v>
      </c>
      <c r="GM144" s="405" t="s">
        <v>546</v>
      </c>
      <c r="GN144" s="409" t="s">
        <v>3415</v>
      </c>
      <c r="GO144" s="420" t="str">
        <f t="shared" si="58"/>
        <v>ToyoLi - REFLEX BLUE</v>
      </c>
      <c r="GP144" s="409">
        <v>20</v>
      </c>
      <c r="GQ144" s="411">
        <f>IF(GP144=0,0,IF($LB144=70%,VLOOKUP($GO144,'Jan-2026 rates'!$L:$R,4,0),IF($LB144=65%,VLOOKUP($GO144,'Jan-2026 rates'!$L:$R,4,0),IF($LB144=40%,VLOOKUP($GO144,'Jan-2026 rates'!$L:$R,5,0),IF($LB144=30%,VLOOKUP($GO144,'Jan-2026 rates'!$L:$R,6,0),IF($LB144=100%,VLOOKUP($GO144,'Jan-2026 rates'!$L:$R,7,0),IF($LB144=60%,VLOOKUP($GO144,'Jan-2026 rates'!$L:$S,8,0),IF($LB144=80%,VLOOKUP($GO144,'Jan-2026 rates'!L:T,9,0),0))))))))</f>
        <v>0</v>
      </c>
      <c r="GR144" s="412"/>
      <c r="GS144" s="409"/>
      <c r="GT144" s="411">
        <f>IF(GS144=0,0,IF($LB144=70%,VLOOKUP($GO144,'Jan-2026 rates'!$L:$R,4,0),IF($LB144=65%,VLOOKUP($GO144,'Jan-2026 rates'!$L:$R,4,0),IF($LB144=40%,VLOOKUP($GO144,'Jan-2026 rates'!$L:$R,5,0),IF($LB144=30%,VLOOKUP($GO144,'Jan-2026 rates'!$L:$R,6,0),IF($LB144=100%,VLOOKUP($GO144,'Jan-2026 rates'!$L:$R,7,0),IF($LB144=60%,VLOOKUP($GO144,'Jan-2026 rates'!$L:$S,8,0),IF($LB144=80%,VLOOKUP($GO144,'Jan-2026 rates'!L:T,9,0),0))))))))</f>
        <v>0</v>
      </c>
      <c r="GU144" s="413" t="s">
        <v>1250</v>
      </c>
      <c r="GV144" s="413" t="s">
        <v>1880</v>
      </c>
      <c r="GW144" s="412" t="s">
        <v>1921</v>
      </c>
      <c r="GX144" s="412"/>
      <c r="GY144" s="412"/>
      <c r="GZ144" s="412"/>
      <c r="HA144" s="412"/>
      <c r="HB144" s="412"/>
      <c r="HC144" s="409">
        <f>5+2</f>
        <v>7</v>
      </c>
      <c r="HD144" s="398">
        <f>IF(HC144=0,0,IF(LEN(GU144)=11,_xlfn.XLOOKUP(GU144,'Dispensed Ink Rates'!C:C,'Dispensed Ink Rates'!CS:CS),VLOOKUP(GU144,'Jan-2026 rates'!$E:$F,2,0)))</f>
        <v>0</v>
      </c>
      <c r="HE144" s="409">
        <v>1</v>
      </c>
      <c r="HF144" s="398">
        <f>IF(HE144=0,0,IF(LEN(GV144)=11,_xlfn.XLOOKUP(GV144,'Dispensed Ink Rates'!C:C,'Dispensed Ink Rates'!CS:CS),VLOOKUP(GV144,'Jan-2026 rates'!$E:$F,2,0)))</f>
        <v>0</v>
      </c>
      <c r="HG144" s="409">
        <v>2</v>
      </c>
      <c r="HH144" s="398">
        <f>IF(HG144=0,0,IF(LEN(GW144)=11,_xlfn.XLOOKUP(GW144,'Dispensed Ink Rates'!C:C,'Dispensed Ink Rates'!CS:CS),VLOOKUP(GW144,'Jan-2026 rates'!$E:$F,2,0)))</f>
        <v>0</v>
      </c>
      <c r="HI144" s="409"/>
      <c r="HJ144" s="398">
        <f>IF(HI144=0,0,IF(LEN(GX144)=11,_xlfn.XLOOKUP(GX144,'Dispensed Ink Rates'!C:C,'Dispensed Ink Rates'!CS:CS),VLOOKUP(GX144,'Jan-2026 rates'!$E:$F,2,0)))</f>
        <v>0</v>
      </c>
      <c r="HK144" s="409"/>
      <c r="HL144" s="398">
        <f>IF(HK144=0,0,IF(LEN(GY144)=11,_xlfn.XLOOKUP(GY144,'Dispensed Ink Rates'!C:C,'Dispensed Ink Rates'!CS:CS),VLOOKUP(GY144,'Jan-2026 rates'!$E:$F,2,0)))</f>
        <v>0</v>
      </c>
      <c r="HM144" s="409"/>
      <c r="HN144" s="398">
        <f>IF(HM144=0,0,IF(LEN(GZ144)=11,_xlfn.XLOOKUP(GZ144,'Dispensed Ink Rates'!C:C,'Dispensed Ink Rates'!CS:CS),VLOOKUP(GZ144,'Jan-2026 rates'!$E:$F,2,0)))</f>
        <v>0</v>
      </c>
      <c r="HO144" s="409"/>
      <c r="HP144" s="398">
        <f>IF(HO144=0,0,IF(LEN(HA144)=11,_xlfn.XLOOKUP(HA144,'Dispensed Ink Rates'!C:C,'Dispensed Ink Rates'!CS:CS),VLOOKUP(HA144,'Jan-2026 rates'!$E:$F,2,0)))</f>
        <v>0</v>
      </c>
      <c r="HQ144" s="409"/>
      <c r="HR144" s="398">
        <f>IF(HQ144=0,0,IF(LEN(HB144)=11,_xlfn.XLOOKUP(HB144,'Dispensed Ink Rates'!C:C,'Dispensed Ink Rates'!CS:CS),VLOOKUP(HB144,'Jan-2026 rates'!$E:$F,2,0)))</f>
        <v>0</v>
      </c>
      <c r="HS144" s="409" t="s">
        <v>1881</v>
      </c>
      <c r="HT144" s="409">
        <f>17+14</f>
        <v>31</v>
      </c>
      <c r="HU144" s="411">
        <f t="shared" si="121"/>
        <v>0</v>
      </c>
      <c r="HV144" s="411">
        <f t="shared" si="122"/>
        <v>8.8771929824561369</v>
      </c>
      <c r="HW144" s="414">
        <f t="shared" si="123"/>
        <v>0</v>
      </c>
      <c r="HX144" s="405" t="s">
        <v>856</v>
      </c>
      <c r="HY144" s="409" t="s">
        <v>3427</v>
      </c>
      <c r="HZ144" s="420" t="str">
        <f t="shared" si="59"/>
        <v>ToyoLi - WHITE</v>
      </c>
      <c r="IA144" s="409">
        <v>25</v>
      </c>
      <c r="IB144" s="411">
        <f>IF(IA144=0,0,IF($LB144=70%,VLOOKUP($HZ144,'Jan-2026 rates'!$L:$R,4,0),IF($LB144=65%,VLOOKUP($HZ144,'Jan-2026 rates'!$L:$R,4,0),IF($LB144=40%,VLOOKUP($HZ144,'Jan-2026 rates'!$L:$R,5,0),IF($LB144=30%,VLOOKUP($HZ144,'Jan-2026 rates'!$L:$R,6,0),IF($LB144=100%,VLOOKUP($HZ144,'Jan-2026 rates'!$L:$R,7,0),IF($LB144=60%,VLOOKUP($HZ144,'Jan-2026 rates'!$L:$S,8,0),IF($LB144=80%,VLOOKUP($HZ144,'Jan-2026 rates'!L:T,9,0),0))))))))</f>
        <v>0</v>
      </c>
      <c r="IC144" s="412"/>
      <c r="ID144" s="409"/>
      <c r="IE144" s="411">
        <f>IF(ID144=0,0,IF($LB144=70%,VLOOKUP($HZ144,'Jan-2026 rates'!$L:$R,4,0),IF($LB144=65%,VLOOKUP($HZ144,'Jan-2026 rates'!$L:$R,4,0),IF($LB144=40%,VLOOKUP($HZ144,'Jan-2026 rates'!$L:$R,5,0),IF($LB144=30%,VLOOKUP($HZ144,'Jan-2026 rates'!$L:$R,6,0),IF($LB144=100%,VLOOKUP($HZ144,'Jan-2026 rates'!$L:$R,7,0),IF($LB144=60%,VLOOKUP($HZ144,'Jan-2026 rates'!$L:$S,8,0),IF($LB144=80%,VLOOKUP($HZ144,'Jan-2026 rates'!L:T,9,0),0))))))))</f>
        <v>0</v>
      </c>
      <c r="IF144" s="412" t="s">
        <v>1249</v>
      </c>
      <c r="IG144" s="413"/>
      <c r="IH144" s="412"/>
      <c r="II144" s="412"/>
      <c r="IJ144" s="412"/>
      <c r="IK144" s="412"/>
      <c r="IL144" s="412"/>
      <c r="IM144" s="412"/>
      <c r="IN144" s="409">
        <f>200+160</f>
        <v>360</v>
      </c>
      <c r="IO144" s="398">
        <f>IF(IN144=0,0,IF(LEN(IF144)=11,_xlfn.XLOOKUP(IF144,'Dispensed Ink Rates'!C:C,'Dispensed Ink Rates'!CS:CS),VLOOKUP(IF144,'Jan-2026 rates'!$E:$F,2,0)))</f>
        <v>0</v>
      </c>
      <c r="IP144" s="409"/>
      <c r="IQ144" s="398">
        <f>IF(IP144=0,0,IF(LEN(IG144)=11,_xlfn.XLOOKUP(IG144,'Dispensed Ink Rates'!C:C,'Dispensed Ink Rates'!CS:CS),VLOOKUP(IG144,'Jan-2026 rates'!$E:$F,2,0)))</f>
        <v>0</v>
      </c>
      <c r="IR144" s="409"/>
      <c r="IS144" s="398">
        <f>IF(IR144=0,0,IF(LEN(IH144)=11,_xlfn.XLOOKUP(IH144,'Dispensed Ink Rates'!C:C,'Dispensed Ink Rates'!CS:CS),VLOOKUP(IH144,'Jan-2026 rates'!$E:$F,2,0)))</f>
        <v>0</v>
      </c>
      <c r="IT144" s="409"/>
      <c r="IU144" s="398">
        <f>IF(IT144=0,0,IF(LEN(II144)=11,_xlfn.XLOOKUP(II144,'Dispensed Ink Rates'!C:C,'Dispensed Ink Rates'!CS:CS),VLOOKUP(II144,'Jan-2026 rates'!$E:$F,2,0)))</f>
        <v>0</v>
      </c>
      <c r="IV144" s="409"/>
      <c r="IW144" s="398">
        <f>IF(IV144=0,0,IF(LEN(IJ144)=11,_xlfn.XLOOKUP(IJ144,'Dispensed Ink Rates'!C:C,'Dispensed Ink Rates'!CS:CS),VLOOKUP(IJ144,'Jan-2026 rates'!$E:$F,2,0)))</f>
        <v>0</v>
      </c>
      <c r="IX144" s="409"/>
      <c r="IY144" s="398">
        <f>IF(IX144=0,0,IF(LEN(IK144)=11,_xlfn.XLOOKUP(IK144,'Dispensed Ink Rates'!C:C,'Dispensed Ink Rates'!CS:CS),VLOOKUP(IK144,'Jan-2026 rates'!$E:$F,2,0)))</f>
        <v>0</v>
      </c>
      <c r="IZ144" s="409"/>
      <c r="JA144" s="398">
        <f>IF(IZ144=0,0,IF(LEN(IL144)=11,_xlfn.XLOOKUP(IL144,'Dispensed Ink Rates'!C:C,'Dispensed Ink Rates'!CS:CS),VLOOKUP(IL144,'Jan-2026 rates'!$E:$F,2,0)))</f>
        <v>0</v>
      </c>
      <c r="JB144" s="409"/>
      <c r="JC144" s="398">
        <f>IF(JB144=0,0,IF(LEN(IM144)=11,_xlfn.XLOOKUP(IM144,'Dispensed Ink Rates'!C:C,'Dispensed Ink Rates'!CS:CS),VLOOKUP(IM144,'Jan-2026 rates'!$E:$F,2,0)))</f>
        <v>0</v>
      </c>
      <c r="JD144" s="409" t="s">
        <v>1881</v>
      </c>
      <c r="JE144" s="409">
        <v>30</v>
      </c>
      <c r="JF144" s="411">
        <f t="shared" si="124"/>
        <v>0</v>
      </c>
      <c r="JG144" s="411">
        <f t="shared" si="125"/>
        <v>799.47368421052624</v>
      </c>
      <c r="JH144" s="410">
        <f t="shared" si="126"/>
        <v>0</v>
      </c>
      <c r="JI144" s="405"/>
      <c r="JJ144" s="409"/>
      <c r="JK144" s="420" t="str">
        <f t="shared" si="60"/>
        <v xml:space="preserve"> - </v>
      </c>
      <c r="JL144" s="409"/>
      <c r="JM144" s="411">
        <f>IF(JL144=0,0,IF($LB144=70%,VLOOKUP($JK144,'Jan-2026 rates'!$L:$R,4,0),IF($LB144=65%,VLOOKUP($JK144,'Jan-2026 rates'!$L:$R,4,0),IF($LB144=40%,VLOOKUP($JK144,'Jan-2026 rates'!$L:$R,5,0),IF($LB144=30%,VLOOKUP($JK144,'Jan-2026 rates'!$L:$R,6,0),IF($LB144=100%,VLOOKUP($JK144,'Jan-2026 rates'!$L:$R,7,0),IF($LB144=60%,VLOOKUP($JK144,'Jan-2026 rates'!$L:$S,8,0),IF($LB144=80%,VLOOKUP($JK144,'Jan-2026 rates'!L:T,9,0),0))))))))</f>
        <v>0</v>
      </c>
      <c r="JN144" s="412"/>
      <c r="JO144" s="409"/>
      <c r="JP144" s="411">
        <f>IF(JO144=0,0,IF($LB144=70%,VLOOKUP($JK144,'Jan-2026 rates'!$L:$R,4,0),IF($LB144=65%,VLOOKUP($JK144,'Jan-2026 rates'!$L:$R,4,0),IF($LB144=40%,VLOOKUP($JK144,'Jan-2026 rates'!$L:$R,5,0),IF($LB144=30%,VLOOKUP($JK144,'Jan-2026 rates'!$L:$R,6,0),IF($LB144=100%,VLOOKUP($JK144,'Jan-2026 rates'!$L:$R,7,0),IF($LB144=60%,VLOOKUP($JK144,'Jan-2026 rates'!$L:$S,8,0),IF($LB144=80%,VLOOKUP($JK144,'Jan-2026 rates'!L:T,9,0),0))))))))</f>
        <v>0</v>
      </c>
      <c r="JQ144" s="413"/>
      <c r="JR144" s="412"/>
      <c r="JS144" s="413"/>
      <c r="JT144" s="413"/>
      <c r="JU144" s="412"/>
      <c r="JV144" s="412"/>
      <c r="JW144" s="412"/>
      <c r="JX144" s="412"/>
      <c r="JY144" s="409"/>
      <c r="JZ144" s="398">
        <f>IF(JY144=0,0,IF(LEN(JQ144)=11,_xlfn.XLOOKUP(JQ144,'Dispensed Ink Rates'!C:C,'Dispensed Ink Rates'!CS:CS),VLOOKUP(JQ144,'Jan-2026 rates'!$E:$F,2,0)))</f>
        <v>0</v>
      </c>
      <c r="KA144" s="409"/>
      <c r="KB144" s="398">
        <f>IF(KA144=0,0,IF(LEN(JR144)=11,_xlfn.XLOOKUP(JR144,'Dispensed Ink Rates'!C:C,'Dispensed Ink Rates'!CS:CS),VLOOKUP(JR144,'Jan-2026 rates'!$E:$F,2,0)))</f>
        <v>0</v>
      </c>
      <c r="KC144" s="409"/>
      <c r="KD144" s="398">
        <f>IF(KC144=0,0,IF(LEN(JS144)=11,_xlfn.XLOOKUP(JS144,'Dispensed Ink Rates'!C:C,'Dispensed Ink Rates'!CS:CS),VLOOKUP(JS144,'Jan-2026 rates'!$E:$F,2,0)))</f>
        <v>0</v>
      </c>
      <c r="KE144" s="409"/>
      <c r="KF144" s="398">
        <f>IF(KE144=0,0,IF(LEN(JT144)=11,_xlfn.XLOOKUP(JT144,'Dispensed Ink Rates'!C:C,'Dispensed Ink Rates'!CS:CS),VLOOKUP(JT144,'Jan-2026 rates'!$E:$F,2,0)))</f>
        <v>0</v>
      </c>
      <c r="KG144" s="409"/>
      <c r="KH144" s="398">
        <f>IF(KG144=0,0,IF(LEN(JU144)=11,_xlfn.XLOOKUP(JU144,'Dispensed Ink Rates'!C:C,'Dispensed Ink Rates'!CS:CS),VLOOKUP(JU144,'Jan-2026 rates'!$E:$F,2,0)))</f>
        <v>0</v>
      </c>
      <c r="KI144" s="409"/>
      <c r="KJ144" s="398">
        <f>IF(KI144=0,0,IF(LEN(JV144)=11,_xlfn.XLOOKUP(JV144,'Dispensed Ink Rates'!C:C,'Dispensed Ink Rates'!CS:CS),VLOOKUP(JV144,'Jan-2026 rates'!$E:$F,2,0)))</f>
        <v>0</v>
      </c>
      <c r="KK144" s="409"/>
      <c r="KL144" s="398">
        <f>IF(KK144=0,0,IF(LEN(JW144)=11,_xlfn.XLOOKUP(JW144,'Dispensed Ink Rates'!C:C,'Dispensed Ink Rates'!CS:CS),VLOOKUP(JW144,'Jan-2026 rates'!$E:$F,2,0)))</f>
        <v>0</v>
      </c>
      <c r="KM144" s="428"/>
      <c r="KN144" s="398">
        <f>IF(KM144=0,0,IF(LEN(JX144)=11,_xlfn.XLOOKUP(JX144,'Dispensed Ink Rates'!C:C,'Dispensed Ink Rates'!CS:CS),VLOOKUP(JX144,'Jan-2026 rates'!$E:$F,2,0)))</f>
        <v>0</v>
      </c>
      <c r="KO144" s="409"/>
      <c r="KP144" s="409"/>
      <c r="KQ144" s="411">
        <f t="shared" si="127"/>
        <v>0</v>
      </c>
      <c r="KR144" s="411">
        <f t="shared" si="128"/>
        <v>0</v>
      </c>
      <c r="KS144" s="410">
        <f t="shared" si="129"/>
        <v>0</v>
      </c>
      <c r="KT144" s="409">
        <v>1</v>
      </c>
      <c r="KU144" s="409">
        <v>20</v>
      </c>
      <c r="KV144" s="409">
        <f>8+5</f>
        <v>13</v>
      </c>
      <c r="KW144" s="409">
        <v>0</v>
      </c>
      <c r="KX144" s="409">
        <v>10</v>
      </c>
      <c r="KY144" s="409">
        <v>4</v>
      </c>
      <c r="KZ144" s="409">
        <f>100+80</f>
        <v>180</v>
      </c>
      <c r="LA144" s="409">
        <v>0</v>
      </c>
      <c r="LB144" s="415">
        <v>0.3</v>
      </c>
      <c r="LC144" s="415"/>
      <c r="LD144" s="415"/>
      <c r="LE144" s="415">
        <v>0.5</v>
      </c>
      <c r="LF144" s="415">
        <v>0.2</v>
      </c>
      <c r="LG144" s="409">
        <v>0</v>
      </c>
      <c r="LH144" s="409">
        <f>180+160+60+100+40+5+5+5+5+3</f>
        <v>563</v>
      </c>
      <c r="LI144" s="409">
        <v>0</v>
      </c>
      <c r="LJ144" s="409">
        <v>0</v>
      </c>
      <c r="LK144" s="416">
        <f t="shared" si="61"/>
        <v>563</v>
      </c>
      <c r="LL144" s="416">
        <f t="shared" si="62"/>
        <v>563</v>
      </c>
      <c r="LM144" s="417">
        <f t="shared" si="63"/>
        <v>168.9</v>
      </c>
      <c r="LN144" s="417">
        <f>VLOOKUP($LM$8,'Jan-2026 rates'!$H:$I,2,0)</f>
        <v>0</v>
      </c>
      <c r="LO144" s="417">
        <f t="shared" si="64"/>
        <v>0</v>
      </c>
      <c r="LP144" s="417">
        <f>VLOOKUP($LO$8,'Jan-2026 rates'!$H:$I,2,0)</f>
        <v>0</v>
      </c>
      <c r="LQ144" s="417">
        <f t="shared" si="65"/>
        <v>0</v>
      </c>
      <c r="LR144" s="417">
        <f>VLOOKUP($LQ$8,'Jan-2026 rates'!$H:$I,2,0)</f>
        <v>0</v>
      </c>
      <c r="LS144" s="417">
        <f t="shared" si="66"/>
        <v>281.5</v>
      </c>
      <c r="LT144" s="417">
        <f>VLOOKUP($LS$8,'Jan-2026 rates'!$H:$I,2,0)</f>
        <v>0</v>
      </c>
      <c r="LU144" s="417">
        <f t="shared" si="67"/>
        <v>112.60000000000001</v>
      </c>
      <c r="LV144" s="417">
        <f>VLOOKUP($LU$8,'Jan-2026 rates'!$H:$I,2,0)</f>
        <v>0</v>
      </c>
      <c r="LW144" s="417">
        <f t="shared" si="68"/>
        <v>0</v>
      </c>
      <c r="LX144" s="417">
        <f t="shared" si="69"/>
        <v>0</v>
      </c>
      <c r="LY144" s="418">
        <f t="shared" si="70"/>
        <v>0</v>
      </c>
      <c r="LZ144" s="417"/>
      <c r="MA144" s="435">
        <f t="shared" si="71"/>
        <v>420.5</v>
      </c>
      <c r="MB144" s="282">
        <f t="shared" si="72"/>
        <v>963.49999999999989</v>
      </c>
      <c r="MC144" s="283" t="s">
        <v>1979</v>
      </c>
      <c r="MD144" s="284" t="str">
        <f t="shared" si="73"/>
        <v>ToyoLiToyoLiToyoLiToyoLiToyoLiToyoLiToyoLi</v>
      </c>
      <c r="ME144" s="293" t="str">
        <f t="shared" si="74"/>
        <v>+</v>
      </c>
      <c r="MF144" s="293" t="str">
        <f t="shared" si="75"/>
        <v>+</v>
      </c>
      <c r="MG144" s="293" t="str">
        <f t="shared" si="76"/>
        <v>+</v>
      </c>
      <c r="MH144" s="293" t="str">
        <f t="shared" si="77"/>
        <v>+</v>
      </c>
      <c r="MI144" s="293" t="str">
        <f t="shared" si="78"/>
        <v>+</v>
      </c>
      <c r="MJ144" s="293" t="str">
        <f t="shared" si="79"/>
        <v>+</v>
      </c>
      <c r="MK144" s="293" t="str">
        <f t="shared" si="80"/>
        <v>+</v>
      </c>
      <c r="ML144" s="293" t="str">
        <f t="shared" si="81"/>
        <v>NIL</v>
      </c>
      <c r="MM144" s="3" t="b">
        <f t="array" ref="MM144">OR(ME144:ML144="-")</f>
        <v>0</v>
      </c>
      <c r="MN144" s="285"/>
      <c r="MO144" s="401"/>
      <c r="MP144" s="286"/>
      <c r="MQ144" s="286"/>
      <c r="MR144" s="402"/>
      <c r="MS144" s="400"/>
      <c r="NH144" s="422"/>
      <c r="NJ144" s="421"/>
    </row>
    <row r="145" spans="1:374" s="1" customFormat="1" ht="16.5">
      <c r="A145" s="403">
        <v>46030</v>
      </c>
      <c r="B145" s="404" t="s">
        <v>1018</v>
      </c>
      <c r="C145" s="405" t="s">
        <v>3428</v>
      </c>
      <c r="D145" s="406" t="s">
        <v>1980</v>
      </c>
      <c r="E145" s="404">
        <v>77</v>
      </c>
      <c r="F145" s="407">
        <v>4100</v>
      </c>
      <c r="G145" s="407" t="s">
        <v>1016</v>
      </c>
      <c r="H145" s="408" t="s">
        <v>1017</v>
      </c>
      <c r="I145" s="409">
        <v>1.1000000000000001</v>
      </c>
      <c r="J145" s="405" t="s">
        <v>543</v>
      </c>
      <c r="K145" s="404" t="s">
        <v>3429</v>
      </c>
      <c r="L145" s="419" t="str">
        <f t="shared" si="54"/>
        <v>ToyoLi - BLACK</v>
      </c>
      <c r="M145" s="404">
        <v>23</v>
      </c>
      <c r="N145" s="410">
        <f>IF(M145=0,0,IF($LB145=70%,VLOOKUP($L145,'Jan-2026 rates'!$L:$R,4,0),IF($LB145=65%,VLOOKUP($L145,'Jan-2026 rates'!$L:$R,4,0),IF($LB145=40%,VLOOKUP($L145,'Jan-2026 rates'!$L:$R,5,0),IF($LB145=30%,VLOOKUP($L145,'Jan-2026 rates'!$L:$R,6,0),IF($LB145=100%,VLOOKUP($L145,'Jan-2026 rates'!$L:$R,7,0),IF($LB145=60%,VLOOKUP($L145,'Jan-2026 rates'!$L:$S,8,0),IF($LB145=80%,VLOOKUP($L145,'Jan-2026 rates'!L:T,9,0),0))))))))</f>
        <v>0</v>
      </c>
      <c r="O145" s="406"/>
      <c r="P145" s="404"/>
      <c r="Q145" s="410">
        <f>IF(P145=0,0,IF($LB145=70%,VLOOKUP($L145,'Jan-2026 rates'!$L:$R,4,0),IF($LB145=65%,VLOOKUP($L145,'Jan-2026 rates'!$L:$R,4,0),IF($LB145=40%,VLOOKUP($L145,'Jan-2026 rates'!$L:$R,5,0),IF($LB145=30%,VLOOKUP($L145,'Jan-2026 rates'!$L:$R,6,0),IF($LB145=100%,VLOOKUP($L145,'Jan-2026 rates'!$L:$R,7,0),IF($LB145=60%,VLOOKUP($L145,'Jan-2026 rates'!$L:$S,8,0),IF($LB145=80%,VLOOKUP($L145,'Jan-2026 rates'!L:T,9,0),0))))))))</f>
        <v>0</v>
      </c>
      <c r="R145" s="406" t="s">
        <v>1252</v>
      </c>
      <c r="S145" s="406"/>
      <c r="T145" s="406"/>
      <c r="U145" s="406"/>
      <c r="V145" s="406"/>
      <c r="W145" s="406"/>
      <c r="X145" s="406"/>
      <c r="Y145" s="406"/>
      <c r="Z145" s="404">
        <v>4</v>
      </c>
      <c r="AA145" s="398">
        <f>IF(Z145=0,0,IF(LEN(R145)=11,_xlfn.XLOOKUP(R145,'Dispensed Ink Rates'!C:C,'Dispensed Ink Rates'!CS:CS),VLOOKUP(R145,'Jan-2026 rates'!$E:$F,2,0)))</f>
        <v>0</v>
      </c>
      <c r="AB145" s="404"/>
      <c r="AC145" s="398">
        <f>IF(AB145=0,0,IF(LEN(S145)=11,_xlfn.XLOOKUP(S145,'Dispensed Ink Rates'!C:C,'Dispensed Ink Rates'!CS:CS),VLOOKUP(S145,'Jan-2026 rates'!$E:$F,2,0)))</f>
        <v>0</v>
      </c>
      <c r="AD145" s="404"/>
      <c r="AE145" s="398">
        <f>IF(AD145=0,0,IF(LEN(T145)=11,_xlfn.XLOOKUP(T145,'Dispensed Ink Rates'!C:C,'Dispensed Ink Rates'!CS:CS),VLOOKUP(T145,'Jan-2026 rates'!$E:$F,2,0)))</f>
        <v>0</v>
      </c>
      <c r="AF145" s="404"/>
      <c r="AG145" s="398">
        <f>IF(AF145=0,0,IF(LEN(U145)=11,_xlfn.XLOOKUP(U145,'Dispensed Ink Rates'!C:C,'Dispensed Ink Rates'!CS:CS),VLOOKUP(U145,'Jan-2026 rates'!$E:$F,2,0)))</f>
        <v>0</v>
      </c>
      <c r="AH145" s="404"/>
      <c r="AI145" s="398">
        <f>IF(AH145=0,0,IF(LEN(V145)=11,_xlfn.XLOOKUP(V145,'Dispensed Ink Rates'!C:C,'Dispensed Ink Rates'!CS:CS),VLOOKUP(V145,'Jan-2026 rates'!$E:$F,2,0)))</f>
        <v>0</v>
      </c>
      <c r="AJ145" s="404"/>
      <c r="AK145" s="398">
        <f>IF(AJ145=0,0,IF(LEN(W145)=11,_xlfn.XLOOKUP(W145,'Dispensed Ink Rates'!C:C,'Dispensed Ink Rates'!CS:CS),VLOOKUP(W145,'Jan-2026 rates'!$E:$F,2,0)))</f>
        <v>0</v>
      </c>
      <c r="AL145" s="404"/>
      <c r="AM145" s="398">
        <f>IF(AL145=0,0,IF(LEN(X145)=11,_xlfn.XLOOKUP(X145,'Dispensed Ink Rates'!C:C,'Dispensed Ink Rates'!CS:CS),VLOOKUP(X145,'Jan-2026 rates'!$E:$F,2,0)))</f>
        <v>0</v>
      </c>
      <c r="AN145" s="404"/>
      <c r="AO145" s="398">
        <f>IF(AN145=0,0,IF(LEN(Y145)=11,_xlfn.XLOOKUP(Y145,'Dispensed Ink Rates'!C:C,'Dispensed Ink Rates'!CS:CS),VLOOKUP(Y145,'Jan-2026 rates'!$E:$F,2,0)))</f>
        <v>0</v>
      </c>
      <c r="AP145" s="409" t="s">
        <v>1881</v>
      </c>
      <c r="AQ145" s="409">
        <v>26</v>
      </c>
      <c r="AR145" s="410">
        <f t="shared" si="106"/>
        <v>0</v>
      </c>
      <c r="AS145" s="411">
        <f t="shared" si="107"/>
        <v>9.5555555555555571</v>
      </c>
      <c r="AT145" s="410">
        <f t="shared" si="108"/>
        <v>0</v>
      </c>
      <c r="AU145" s="405" t="s">
        <v>547</v>
      </c>
      <c r="AV145" s="409" t="s">
        <v>2416</v>
      </c>
      <c r="AW145" s="420" t="str">
        <f t="shared" si="130"/>
        <v>ToyoLi - GREEN</v>
      </c>
      <c r="AX145" s="409">
        <v>17</v>
      </c>
      <c r="AY145" s="411">
        <f>IF(AX145=0,0,IF($LB145=70%,VLOOKUP($AW145,'Jan-2026 rates'!$L:$R,4,0),IF($LB145=65%,VLOOKUP($AW145,'Jan-2026 rates'!$L:$R,4,0),IF($LB145=40%,VLOOKUP($AW145,'Jan-2026 rates'!$L:$R,5,0),IF($LB145=30%,VLOOKUP($AW145,'Jan-2026 rates'!$L:$R,6,0),IF($LB145=100%,VLOOKUP($AW145,'Jan-2026 rates'!$L:$R,7,0),IF($LB145=60%,VLOOKUP($AW145,'Jan-2026 rates'!$L:$S,8,0),IF($LB145=80%,VLOOKUP($AW145,'Jan-2026 rates'!L:T,9,0),0))))))))</f>
        <v>0</v>
      </c>
      <c r="AZ145" s="412"/>
      <c r="BA145" s="409"/>
      <c r="BB145" s="411">
        <f>IF(BA145=0,0,IF($LB145=70%,VLOOKUP($AW145,'Jan-2026 rates'!$L:$R,4,0),IF($LB145=65%,VLOOKUP($AW145,'Jan-2026 rates'!$L:$R,4,0),IF($LB145=40%,VLOOKUP($AW145,'Jan-2026 rates'!$L:$R,5,0),IF($LB145=30%,VLOOKUP($AW145,'Jan-2026 rates'!$L:$R,6,0),IF($LB145=100%,VLOOKUP($AW145,'Jan-2026 rates'!$L:$R,7,0),IF($LB145=60%,VLOOKUP($AW145,'Jan-2026 rates'!$L:$S,8,0),IF($LB145=80%,VLOOKUP($AW145,'Jan-2026 rates'!L:T,9,0),0))))))))</f>
        <v>0</v>
      </c>
      <c r="BC145" s="413" t="s">
        <v>1250</v>
      </c>
      <c r="BD145" s="412" t="s">
        <v>1247</v>
      </c>
      <c r="BE145" s="412" t="s">
        <v>1880</v>
      </c>
      <c r="BF145" s="413"/>
      <c r="BG145" s="412"/>
      <c r="BH145" s="412"/>
      <c r="BI145" s="412"/>
      <c r="BJ145" s="412"/>
      <c r="BK145" s="409">
        <v>10</v>
      </c>
      <c r="BL145" s="398">
        <f>IF(BK145=0,0,IF(LEN(BC145)=11,_xlfn.XLOOKUP(BC145,'Dispensed Ink Rates'!C:C,'Dispensed Ink Rates'!CS:CS),VLOOKUP(BC145,'Jan-2026 rates'!$E:$F,2,0)))</f>
        <v>0</v>
      </c>
      <c r="BM145" s="409">
        <v>5</v>
      </c>
      <c r="BN145" s="398">
        <f>IF(BM145=0,0,IF(LEN(BD145)=11,_xlfn.XLOOKUP(BD145,'Dispensed Ink Rates'!C:C,'Dispensed Ink Rates'!CS:CS),VLOOKUP(BD145,'Jan-2026 rates'!$E:$F,2,0)))</f>
        <v>0</v>
      </c>
      <c r="BO145" s="409">
        <v>1</v>
      </c>
      <c r="BP145" s="398">
        <f>IF(BO145=0,0,IF(LEN(BE145)=11,_xlfn.XLOOKUP(BE145,'Dispensed Ink Rates'!C:C,'Dispensed Ink Rates'!CS:CS),VLOOKUP(BE145,'Jan-2026 rates'!$E:$F,2,0)))</f>
        <v>0</v>
      </c>
      <c r="BQ145" s="409"/>
      <c r="BR145" s="398">
        <f>IF(BQ145=0,0,IF(LEN(BF145)=11,_xlfn.XLOOKUP(BF145,'Dispensed Ink Rates'!C:C,'Dispensed Ink Rates'!CS:CS),VLOOKUP(BF145,'Jan-2026 rates'!$E:$F,2,0)))</f>
        <v>0</v>
      </c>
      <c r="BS145" s="409"/>
      <c r="BT145" s="398">
        <f>IF(BS145=0,0,IF(LEN(BG145)=11,_xlfn.XLOOKUP(BG145,'Dispensed Ink Rates'!C:C,'Dispensed Ink Rates'!CS:CS),VLOOKUP(BG145,'Jan-2026 rates'!$E:$F,2,0)))</f>
        <v>0</v>
      </c>
      <c r="BU145" s="409"/>
      <c r="BV145" s="398">
        <f>IF(BU145=0,0,IF(LEN(BH145)=11,_xlfn.XLOOKUP(BH145,'Dispensed Ink Rates'!C:C,'Dispensed Ink Rates'!CS:CS),VLOOKUP(BH145,'Jan-2026 rates'!$E:$F,2,0)))</f>
        <v>0</v>
      </c>
      <c r="BW145" s="409"/>
      <c r="BX145" s="398">
        <f>IF(BW145=0,0,IF(LEN(BI145)=11,_xlfn.XLOOKUP(BI145,'Dispensed Ink Rates'!C:C,'Dispensed Ink Rates'!CS:CS),VLOOKUP(BI145,'Jan-2026 rates'!$E:$F,2,0)))</f>
        <v>0</v>
      </c>
      <c r="BY145" s="409"/>
      <c r="BZ145" s="398">
        <f>IF(BY145=0,0,IF(LEN(BJ145)=11,_xlfn.XLOOKUP(BJ145,'Dispensed Ink Rates'!C:C,'Dispensed Ink Rates'!CS:CS),VLOOKUP(BJ145,'Jan-2026 rates'!$E:$F,2,0)))</f>
        <v>0</v>
      </c>
      <c r="CA145" s="409" t="s">
        <v>1881</v>
      </c>
      <c r="CB145" s="409">
        <f>12+15</f>
        <v>27</v>
      </c>
      <c r="CC145" s="411">
        <f t="shared" si="109"/>
        <v>0</v>
      </c>
      <c r="CD145" s="411">
        <f t="shared" si="110"/>
        <v>27.388888888888886</v>
      </c>
      <c r="CE145" s="410">
        <f t="shared" si="111"/>
        <v>0</v>
      </c>
      <c r="CF145" s="404" t="s">
        <v>855</v>
      </c>
      <c r="CG145" s="409" t="s">
        <v>3430</v>
      </c>
      <c r="CH145" s="420" t="str">
        <f t="shared" si="55"/>
        <v>ToyoLi - CYAN</v>
      </c>
      <c r="CI145" s="409">
        <v>10</v>
      </c>
      <c r="CJ145" s="411">
        <f>IF(CI145=0,0,IF($LB145=70%,VLOOKUP($CH145,'Jan-2026 rates'!$L:$R,4,0),IF($LB145=65%,VLOOKUP($CH145,'Jan-2026 rates'!$L:$R,4,0),IF($LB145=40%,VLOOKUP($CH145,'Jan-2026 rates'!$L:$R,5,0),IF($LB145=30%,VLOOKUP($CH145,'Jan-2026 rates'!$L:$R,6,0),IF($LB145=100%,VLOOKUP($CH145,'Jan-2026 rates'!$L:$R,7,0),IF($LB145=60%,VLOOKUP($CH145,'Jan-2026 rates'!$L:$S,8,0),IF($LB145=80%,VLOOKUP($CH145,'Jan-2026 rates'!L:T,9,0),0))))))))</f>
        <v>0</v>
      </c>
      <c r="CK145" s="412"/>
      <c r="CL145" s="409"/>
      <c r="CM145" s="411">
        <f>IF(CL145=0,0,IF($LB145=70%,VLOOKUP($CH145,'Jan-2026 rates'!$L:$R,4,0),IF($LB145=65%,VLOOKUP($CH145,'Jan-2026 rates'!$L:$R,4,0),IF($LB145=40%,VLOOKUP($CH145,'Jan-2026 rates'!$L:$R,5,0),IF($LB145=30%,VLOOKUP($CH145,'Jan-2026 rates'!$L:$R,6,0),IF($LB145=100%,VLOOKUP($CH145,'Jan-2026 rates'!$L:$R,7,0),IF($LB145=60%,VLOOKUP($CH145,'Jan-2026 rates'!$L:$S,8,0),IF($LB145=80%,VLOOKUP($CH145,'Jan-2026 rates'!L:T,9,0),0))))))))</f>
        <v>0</v>
      </c>
      <c r="CN145" s="426" t="s">
        <v>1921</v>
      </c>
      <c r="CO145" s="427"/>
      <c r="CP145" s="426"/>
      <c r="CQ145" s="426"/>
      <c r="CR145" s="428"/>
      <c r="CS145" s="428"/>
      <c r="CT145" s="428"/>
      <c r="CU145" s="428"/>
      <c r="CV145" s="409">
        <v>10</v>
      </c>
      <c r="CW145" s="398">
        <f>IF(CV145=0,0,IF(LEN(CN145)=11,_xlfn.XLOOKUP(CN145,'Dispensed Ink Rates'!C:C,'Dispensed Ink Rates'!CS:CS),VLOOKUP(CN145,'Jan-2026 rates'!$E:$F,2,0)))</f>
        <v>0</v>
      </c>
      <c r="CX145" s="409"/>
      <c r="CY145" s="398">
        <f>IF(CX145=0,0,IF(LEN(CO145)=11,_xlfn.XLOOKUP(CO145,'Dispensed Ink Rates'!C:C,'Dispensed Ink Rates'!CS:CS),VLOOKUP(CO145,'Jan-2026 rates'!$E:$F,2,0)))</f>
        <v>0</v>
      </c>
      <c r="CZ145" s="409"/>
      <c r="DA145" s="398">
        <f>IF(CZ145=0,0,IF(LEN(CP145)=11,_xlfn.XLOOKUP(CP145,'Dispensed Ink Rates'!C:C,'Dispensed Ink Rates'!CS:CS),VLOOKUP(CP145,'Jan-2026 rates'!$E:$F,2,0)))</f>
        <v>0</v>
      </c>
      <c r="DB145" s="409"/>
      <c r="DC145" s="398">
        <f>IF(DB145=0,0,IF(LEN(CQ145)=11,_xlfn.XLOOKUP(CQ145,'Dispensed Ink Rates'!C:C,'Dispensed Ink Rates'!CS:CS),VLOOKUP(CQ145,'Jan-2026 rates'!$E:$F,2,0)))</f>
        <v>0</v>
      </c>
      <c r="DD145" s="409"/>
      <c r="DE145" s="398">
        <f>IF(DD145=0,0,IF(LEN(CR145)=11,_xlfn.XLOOKUP(CR145,'Dispensed Ink Rates'!C:C,'Dispensed Ink Rates'!CS:CS),VLOOKUP(CR145,'Jan-2026 rates'!$E:$F,2,0)))</f>
        <v>0</v>
      </c>
      <c r="DF145" s="409"/>
      <c r="DG145" s="398">
        <f>IF(DF145=0,0,IF(LEN(CS145)=11,_xlfn.XLOOKUP(CS145,'Dispensed Ink Rates'!C:C,'Dispensed Ink Rates'!CS:CS),VLOOKUP(CS145,'Jan-2026 rates'!$E:$F,2,0)))</f>
        <v>0</v>
      </c>
      <c r="DH145" s="409"/>
      <c r="DI145" s="398">
        <f>IF(DH145=0,0,IF(LEN(CT145)=11,_xlfn.XLOOKUP(CT145,'Dispensed Ink Rates'!C:C,'Dispensed Ink Rates'!CS:CS),VLOOKUP(CT145,'Jan-2026 rates'!$E:$F,2,0)))</f>
        <v>0</v>
      </c>
      <c r="DJ145" s="409"/>
      <c r="DK145" s="398">
        <f>IF(DJ145=0,0,IF(LEN(CU145)=11,_xlfn.XLOOKUP(CU145,'Dispensed Ink Rates'!C:C,'Dispensed Ink Rates'!CS:CS),VLOOKUP(CU145,'Jan-2026 rates'!$E:$F,2,0)))</f>
        <v>0</v>
      </c>
      <c r="DL145" s="409" t="s">
        <v>1881</v>
      </c>
      <c r="DM145" s="409">
        <v>24</v>
      </c>
      <c r="DN145" s="411">
        <f t="shared" si="112"/>
        <v>0</v>
      </c>
      <c r="DO145" s="411">
        <f t="shared" si="113"/>
        <v>21.666666666666664</v>
      </c>
      <c r="DP145" s="410">
        <f t="shared" si="114"/>
        <v>0</v>
      </c>
      <c r="DQ145" s="405" t="s">
        <v>544</v>
      </c>
      <c r="DR145" s="409" t="s">
        <v>3431</v>
      </c>
      <c r="DS145" s="420" t="str">
        <f t="shared" si="56"/>
        <v>ToyoLi - MAGENTA</v>
      </c>
      <c r="DT145" s="409">
        <v>30</v>
      </c>
      <c r="DU145" s="411">
        <f>IF(DT145=0,0,IF($LB145=70%,VLOOKUP($DS145,'Jan-2026 rates'!$L:$R,4,0),IF($LB145=65%,VLOOKUP($DS145,'Jan-2026 rates'!$L:$R,4,0),IF($LB145=40%,VLOOKUP($DS145,'Jan-2026 rates'!$L:$R,5,0),IF($LB145=30%,VLOOKUP($DS145,'Jan-2026 rates'!$L:$R,6,0),IF($LB145=100%,VLOOKUP($DS145,'Jan-2026 rates'!$L:$R,7,0),IF($LB145=60%,VLOOKUP($DS145,'Jan-2026 rates'!$L:$S,8,0),IF($LB145=80%,VLOOKUP($DS145,'Jan-2026 rates'!L:T,9,0),0))))))))</f>
        <v>0</v>
      </c>
      <c r="DV145" s="412"/>
      <c r="DW145" s="409"/>
      <c r="DX145" s="411">
        <f>IF(DW145=0,0,IF($LB145=70%,VLOOKUP($DS145,'Jan-2026 rates'!$L:$R,4,0),IF($LB145=65%,VLOOKUP($DS145,'Jan-2026 rates'!$L:$R,4,0),IF($LB145=40%,VLOOKUP($DS145,'Jan-2026 rates'!$L:$R,5,0),IF($LB145=30%,VLOOKUP($DS145,'Jan-2026 rates'!$L:$R,6,0),IF($LB145=100%,VLOOKUP($DS145,'Jan-2026 rates'!$L:$R,7,0),IF($LB145=60%,VLOOKUP($DS145,'Jan-2026 rates'!$L:$S,8,0),IF($LB145=80%,VLOOKUP($DS145,'Jan-2026 rates'!L:T,9,0),0))))))))</f>
        <v>0</v>
      </c>
      <c r="DY145" s="413" t="s">
        <v>1246</v>
      </c>
      <c r="DZ145" s="413"/>
      <c r="EA145" s="412"/>
      <c r="EB145" s="412"/>
      <c r="EC145" s="412"/>
      <c r="ED145" s="412"/>
      <c r="EE145" s="412"/>
      <c r="EF145" s="412"/>
      <c r="EG145" s="409">
        <v>1</v>
      </c>
      <c r="EH145" s="398">
        <f>IF(EG145=0,0,IF(LEN(DY145)=11,_xlfn.XLOOKUP(DY145,'Dispensed Ink Rates'!C:C,'Dispensed Ink Rates'!CS:CS),VLOOKUP(DY145,'Jan-2026 rates'!$E:$F,2,0)))</f>
        <v>0</v>
      </c>
      <c r="EI145" s="409"/>
      <c r="EJ145" s="398">
        <f>IF(EI145=0,0,IF(LEN(DZ145)=11,_xlfn.XLOOKUP(DZ145,'Dispensed Ink Rates'!C:C,'Dispensed Ink Rates'!CS:CS),VLOOKUP(DZ145,'Jan-2026 rates'!$E:$F,2,0)))</f>
        <v>0</v>
      </c>
      <c r="EK145" s="409"/>
      <c r="EL145" s="398">
        <f>IF(EK145=0,0,IF(LEN(EA145)=11,_xlfn.XLOOKUP(EA145,'Dispensed Ink Rates'!C:C,'Dispensed Ink Rates'!CS:CS),VLOOKUP(EA145,'Jan-2026 rates'!$E:$F,2,0)))</f>
        <v>0</v>
      </c>
      <c r="EM145" s="409"/>
      <c r="EN145" s="398">
        <f>IF(EM145=0,0,IF(LEN(EB145)=11,_xlfn.XLOOKUP(EB145,'Dispensed Ink Rates'!C:C,'Dispensed Ink Rates'!CS:CS),VLOOKUP(EB145,'Jan-2026 rates'!$E:$F,2,0)))</f>
        <v>0</v>
      </c>
      <c r="EO145" s="409"/>
      <c r="EP145" s="398">
        <f>IF(EO145=0,0,IF(LEN(EC145)=11,_xlfn.XLOOKUP(EC145,'Dispensed Ink Rates'!C:C,'Dispensed Ink Rates'!CS:CS),VLOOKUP(EC145,'Jan-2026 rates'!$E:$F,2,0)))</f>
        <v>0</v>
      </c>
      <c r="EQ145" s="409"/>
      <c r="ER145" s="398">
        <f>IF(EQ145=0,0,IF(LEN(ED145)=11,_xlfn.XLOOKUP(ED145,'Dispensed Ink Rates'!C:C,'Dispensed Ink Rates'!CS:CS),VLOOKUP(ED145,'Jan-2026 rates'!$E:$F,2,0)))</f>
        <v>0</v>
      </c>
      <c r="ES145" s="409"/>
      <c r="ET145" s="398">
        <f>IF(ES145=0,0,IF(LEN(EE145)=11,_xlfn.XLOOKUP(EE145,'Dispensed Ink Rates'!C:C,'Dispensed Ink Rates'!CS:CS),VLOOKUP(EE145,'Jan-2026 rates'!$E:$F,2,0)))</f>
        <v>0</v>
      </c>
      <c r="EU145" s="409"/>
      <c r="EV145" s="398">
        <f>IF(EU145=0,0,IF(LEN(EF145)=11,_xlfn.XLOOKUP(EF145,'Dispensed Ink Rates'!C:C,'Dispensed Ink Rates'!CS:CS),VLOOKUP(EF145,'Jan-2026 rates'!$E:$F,2,0)))</f>
        <v>0</v>
      </c>
      <c r="EW145" s="409" t="s">
        <v>1881</v>
      </c>
      <c r="EX145" s="409">
        <v>28</v>
      </c>
      <c r="EY145" s="411">
        <f t="shared" si="115"/>
        <v>0</v>
      </c>
      <c r="EZ145" s="411">
        <f t="shared" si="116"/>
        <v>3</v>
      </c>
      <c r="FA145" s="410">
        <f t="shared" si="117"/>
        <v>0</v>
      </c>
      <c r="FB145" s="405" t="s">
        <v>545</v>
      </c>
      <c r="FC145" s="409" t="s">
        <v>3432</v>
      </c>
      <c r="FD145" s="420" t="str">
        <f t="shared" si="57"/>
        <v>ToyoLi - YELLOW</v>
      </c>
      <c r="FE145" s="409">
        <v>28</v>
      </c>
      <c r="FF145" s="411">
        <f>IF(FE145=0,0,IF($LB145=70%,VLOOKUP($FD145,'Jan-2026 rates'!$L:$R,4,0),IF($LB145=65%,VLOOKUP($FD145,'Jan-2026 rates'!$L:$R,4,0),IF($LB145=40%,VLOOKUP($FD145,'Jan-2026 rates'!$L:$R,5,0),IF($LB145=30%,VLOOKUP($FD145,'Jan-2026 rates'!$L:$R,6,0),IF($LB145=100%,VLOOKUP($FD145,'Jan-2026 rates'!$L:$R,7,0),IF($LB145=60%,VLOOKUP($FD145,'Jan-2026 rates'!$L:$S,8,0),IF($LB145=80%,VLOOKUP($FD145,'Jan-2026 rates'!L:T,9,0),0))))))))</f>
        <v>0</v>
      </c>
      <c r="FG145" s="412"/>
      <c r="FH145" s="409"/>
      <c r="FI145" s="411">
        <f>IF(FH145=0,0,IF($LB145=70%,VLOOKUP($FD145,'Jan-2026 rates'!$L:$R,4,0),IF($LB145=65%,VLOOKUP($FD145,'Jan-2026 rates'!$L:$R,4,0),IF($LB145=40%,VLOOKUP($FD145,'Jan-2026 rates'!$L:$R,5,0),IF($LB145=30%,VLOOKUP($FD145,'Jan-2026 rates'!$L:$R,6,0),IF($LB145=100%,VLOOKUP($FD145,'Jan-2026 rates'!$L:$R,7,0),IF($LB145=60%,VLOOKUP($FD145,'Jan-2026 rates'!$L:$S,8,0),IF($LB145=80%,VLOOKUP($FD145,'Jan-2026 rates'!L:T,9,0),0))))))))</f>
        <v>0</v>
      </c>
      <c r="FJ145" s="413" t="s">
        <v>1247</v>
      </c>
      <c r="FK145" s="413"/>
      <c r="FL145" s="413"/>
      <c r="FM145" s="412"/>
      <c r="FN145" s="412"/>
      <c r="FO145" s="412"/>
      <c r="FP145" s="412"/>
      <c r="FQ145" s="412"/>
      <c r="FR145" s="409">
        <v>2</v>
      </c>
      <c r="FS145" s="398">
        <f>IF(FR145=0,0,IF(LEN(FJ145)=11,_xlfn.XLOOKUP(FJ145,'Dispensed Ink Rates'!C:C,'Dispensed Ink Rates'!CS:CS),VLOOKUP(FJ145,'Jan-2026 rates'!$E:$F,2,0)))</f>
        <v>0</v>
      </c>
      <c r="FT145" s="409"/>
      <c r="FU145" s="398">
        <f>IF(FT145=0,0,IF(LEN(FK145)=11,_xlfn.XLOOKUP(FK145,'Dispensed Ink Rates'!C:C,'Dispensed Ink Rates'!CS:CS),VLOOKUP(FK145,'Jan-2026 rates'!$E:$F,2,0)))</f>
        <v>0</v>
      </c>
      <c r="FV145" s="409"/>
      <c r="FW145" s="398">
        <f>IF(FV145=0,0,IF(LEN(FL145)=11,_xlfn.XLOOKUP(FL145,'Dispensed Ink Rates'!C:C,'Dispensed Ink Rates'!CS:CS),VLOOKUP(FL145,'Jan-2026 rates'!$E:$F,2,0)))</f>
        <v>0</v>
      </c>
      <c r="FX145" s="409"/>
      <c r="FY145" s="398">
        <f>IF(FX145=0,0,IF(LEN(FM145)=11,_xlfn.XLOOKUP(FM145,'Dispensed Ink Rates'!C:C,'Dispensed Ink Rates'!CS:CS),VLOOKUP(FM145,'Jan-2026 rates'!$E:$F,2,0)))</f>
        <v>0</v>
      </c>
      <c r="FZ145" s="409"/>
      <c r="GA145" s="398">
        <f>IF(FZ145=0,0,IF(LEN(FN145)=11,_xlfn.XLOOKUP(FN145,'Dispensed Ink Rates'!C:C,'Dispensed Ink Rates'!CS:CS),VLOOKUP(FN145,'Jan-2026 rates'!$E:$F,2,0)))</f>
        <v>0</v>
      </c>
      <c r="GB145" s="409"/>
      <c r="GC145" s="398">
        <f>IF(GB145=0,0,IF(LEN(FO145)=11,_xlfn.XLOOKUP(FO145,'Dispensed Ink Rates'!C:C,'Dispensed Ink Rates'!CS:CS),VLOOKUP(FO145,'Jan-2026 rates'!$E:$F,2,0)))</f>
        <v>0</v>
      </c>
      <c r="GD145" s="409"/>
      <c r="GE145" s="398">
        <f>IF(GD145=0,0,IF(LEN(FP145)=11,_xlfn.XLOOKUP(FP145,'Dispensed Ink Rates'!C:C,'Dispensed Ink Rates'!CS:CS),VLOOKUP(FP145,'Jan-2026 rates'!$E:$F,2,0)))</f>
        <v>0</v>
      </c>
      <c r="GF145" s="409"/>
      <c r="GG145" s="398">
        <f>IF(GF145=0,0,IF(LEN(FQ145)=11,_xlfn.XLOOKUP(FQ145,'Dispensed Ink Rates'!C:C,'Dispensed Ink Rates'!CS:CS),VLOOKUP(FQ145,'Jan-2026 rates'!$E:$F,2,0)))</f>
        <v>0</v>
      </c>
      <c r="GH145" s="409" t="s">
        <v>1881</v>
      </c>
      <c r="GI145" s="409">
        <v>27</v>
      </c>
      <c r="GJ145" s="411">
        <f t="shared" si="118"/>
        <v>0</v>
      </c>
      <c r="GK145" s="411">
        <f t="shared" si="119"/>
        <v>3</v>
      </c>
      <c r="GL145" s="410">
        <f t="shared" si="120"/>
        <v>0</v>
      </c>
      <c r="GM145" s="405" t="s">
        <v>856</v>
      </c>
      <c r="GN145" s="409" t="s">
        <v>3433</v>
      </c>
      <c r="GO145" s="420" t="str">
        <f t="shared" si="58"/>
        <v>ToyoLi - WHITE</v>
      </c>
      <c r="GP145" s="409">
        <v>30</v>
      </c>
      <c r="GQ145" s="411">
        <f>IF(GP145=0,0,IF($LB145=70%,VLOOKUP($GO145,'Jan-2026 rates'!$L:$R,4,0),IF($LB145=65%,VLOOKUP($GO145,'Jan-2026 rates'!$L:$R,4,0),IF($LB145=40%,VLOOKUP($GO145,'Jan-2026 rates'!$L:$R,5,0),IF($LB145=30%,VLOOKUP($GO145,'Jan-2026 rates'!$L:$R,6,0),IF($LB145=100%,VLOOKUP($GO145,'Jan-2026 rates'!$L:$R,7,0),IF($LB145=60%,VLOOKUP($GO145,'Jan-2026 rates'!$L:$S,8,0),IF($LB145=80%,VLOOKUP($GO145,'Jan-2026 rates'!L:T,9,0),0))))))))</f>
        <v>0</v>
      </c>
      <c r="GR145" s="412"/>
      <c r="GS145" s="409"/>
      <c r="GT145" s="411">
        <f>IF(GS145=0,0,IF($LB145=70%,VLOOKUP($GO145,'Jan-2026 rates'!$L:$R,4,0),IF($LB145=65%,VLOOKUP($GO145,'Jan-2026 rates'!$L:$R,4,0),IF($LB145=40%,VLOOKUP($GO145,'Jan-2026 rates'!$L:$R,5,0),IF($LB145=30%,VLOOKUP($GO145,'Jan-2026 rates'!$L:$R,6,0),IF($LB145=100%,VLOOKUP($GO145,'Jan-2026 rates'!$L:$R,7,0),IF($LB145=60%,VLOOKUP($GO145,'Jan-2026 rates'!$L:$S,8,0),IF($LB145=80%,VLOOKUP($GO145,'Jan-2026 rates'!L:T,9,0),0))))))))</f>
        <v>0</v>
      </c>
      <c r="GU145" s="413" t="s">
        <v>1249</v>
      </c>
      <c r="GV145" s="413"/>
      <c r="GW145" s="412"/>
      <c r="GX145" s="412"/>
      <c r="GY145" s="412"/>
      <c r="GZ145" s="412"/>
      <c r="HA145" s="412"/>
      <c r="HB145" s="412"/>
      <c r="HC145" s="409">
        <v>10</v>
      </c>
      <c r="HD145" s="398">
        <f>IF(HC145=0,0,IF(LEN(GU145)=11,_xlfn.XLOOKUP(GU145,'Dispensed Ink Rates'!C:C,'Dispensed Ink Rates'!CS:CS),VLOOKUP(GU145,'Jan-2026 rates'!$E:$F,2,0)))</f>
        <v>0</v>
      </c>
      <c r="HE145" s="409"/>
      <c r="HF145" s="398">
        <f>IF(HE145=0,0,IF(LEN(GV145)=11,_xlfn.XLOOKUP(GV145,'Dispensed Ink Rates'!C:C,'Dispensed Ink Rates'!CS:CS),VLOOKUP(GV145,'Jan-2026 rates'!$E:$F,2,0)))</f>
        <v>0</v>
      </c>
      <c r="HG145" s="409"/>
      <c r="HH145" s="398">
        <f>IF(HG145=0,0,IF(LEN(GW145)=11,_xlfn.XLOOKUP(GW145,'Dispensed Ink Rates'!C:C,'Dispensed Ink Rates'!CS:CS),VLOOKUP(GW145,'Jan-2026 rates'!$E:$F,2,0)))</f>
        <v>0</v>
      </c>
      <c r="HI145" s="409"/>
      <c r="HJ145" s="398">
        <f>IF(HI145=0,0,IF(LEN(GX145)=11,_xlfn.XLOOKUP(GX145,'Dispensed Ink Rates'!C:C,'Dispensed Ink Rates'!CS:CS),VLOOKUP(GX145,'Jan-2026 rates'!$E:$F,2,0)))</f>
        <v>0</v>
      </c>
      <c r="HK145" s="409"/>
      <c r="HL145" s="398">
        <f>IF(HK145=0,0,IF(LEN(GY145)=11,_xlfn.XLOOKUP(GY145,'Dispensed Ink Rates'!C:C,'Dispensed Ink Rates'!CS:CS),VLOOKUP(GY145,'Jan-2026 rates'!$E:$F,2,0)))</f>
        <v>0</v>
      </c>
      <c r="HM145" s="409"/>
      <c r="HN145" s="398">
        <f>IF(HM145=0,0,IF(LEN(GZ145)=11,_xlfn.XLOOKUP(GZ145,'Dispensed Ink Rates'!C:C,'Dispensed Ink Rates'!CS:CS),VLOOKUP(GZ145,'Jan-2026 rates'!$E:$F,2,0)))</f>
        <v>0</v>
      </c>
      <c r="HO145" s="409"/>
      <c r="HP145" s="398">
        <f>IF(HO145=0,0,IF(LEN(HA145)=11,_xlfn.XLOOKUP(HA145,'Dispensed Ink Rates'!C:C,'Dispensed Ink Rates'!CS:CS),VLOOKUP(HA145,'Jan-2026 rates'!$E:$F,2,0)))</f>
        <v>0</v>
      </c>
      <c r="HQ145" s="409"/>
      <c r="HR145" s="398">
        <f>IF(HQ145=0,0,IF(LEN(HB145)=11,_xlfn.XLOOKUP(HB145,'Dispensed Ink Rates'!C:C,'Dispensed Ink Rates'!CS:CS),VLOOKUP(HB145,'Jan-2026 rates'!$E:$F,2,0)))</f>
        <v>0</v>
      </c>
      <c r="HS145" s="409" t="s">
        <v>1881</v>
      </c>
      <c r="HT145" s="409">
        <v>25</v>
      </c>
      <c r="HU145" s="411">
        <f t="shared" si="121"/>
        <v>0</v>
      </c>
      <c r="HV145" s="411">
        <f t="shared" si="122"/>
        <v>36.388888888888886</v>
      </c>
      <c r="HW145" s="414">
        <f t="shared" si="123"/>
        <v>0</v>
      </c>
      <c r="HX145" s="405"/>
      <c r="HY145" s="409"/>
      <c r="HZ145" s="420" t="str">
        <f t="shared" si="59"/>
        <v xml:space="preserve"> - </v>
      </c>
      <c r="IA145" s="409"/>
      <c r="IB145" s="411">
        <f>IF(IA145=0,0,IF($LB145=70%,VLOOKUP($HZ145,'Jan-2026 rates'!$L:$R,4,0),IF($LB145=65%,VLOOKUP($HZ145,'Jan-2026 rates'!$L:$R,4,0),IF($LB145=40%,VLOOKUP($HZ145,'Jan-2026 rates'!$L:$R,5,0),IF($LB145=30%,VLOOKUP($HZ145,'Jan-2026 rates'!$L:$R,6,0),IF($LB145=100%,VLOOKUP($HZ145,'Jan-2026 rates'!$L:$R,7,0),IF($LB145=60%,VLOOKUP($HZ145,'Jan-2026 rates'!$L:$S,8,0),IF($LB145=80%,VLOOKUP($HZ145,'Jan-2026 rates'!L:T,9,0),0))))))))</f>
        <v>0</v>
      </c>
      <c r="IC145" s="412"/>
      <c r="ID145" s="409"/>
      <c r="IE145" s="411">
        <f>IF(ID145=0,0,IF($LB145=70%,VLOOKUP($HZ145,'Jan-2026 rates'!$L:$R,4,0),IF($LB145=65%,VLOOKUP($HZ145,'Jan-2026 rates'!$L:$R,4,0),IF($LB145=40%,VLOOKUP($HZ145,'Jan-2026 rates'!$L:$R,5,0),IF($LB145=30%,VLOOKUP($HZ145,'Jan-2026 rates'!$L:$R,6,0),IF($LB145=100%,VLOOKUP($HZ145,'Jan-2026 rates'!$L:$R,7,0),IF($LB145=60%,VLOOKUP($HZ145,'Jan-2026 rates'!$L:$S,8,0),IF($LB145=80%,VLOOKUP($HZ145,'Jan-2026 rates'!L:T,9,0),0))))))))</f>
        <v>0</v>
      </c>
      <c r="IF145" s="412"/>
      <c r="IG145" s="413"/>
      <c r="IH145" s="412"/>
      <c r="II145" s="412"/>
      <c r="IJ145" s="412"/>
      <c r="IK145" s="412"/>
      <c r="IL145" s="412"/>
      <c r="IM145" s="412"/>
      <c r="IN145" s="409"/>
      <c r="IO145" s="398">
        <f>IF(IN145=0,0,IF(LEN(IF145)=11,_xlfn.XLOOKUP(IF145,'Dispensed Ink Rates'!C:C,'Dispensed Ink Rates'!CS:CS),VLOOKUP(IF145,'Jan-2026 rates'!$E:$F,2,0)))</f>
        <v>0</v>
      </c>
      <c r="IP145" s="409"/>
      <c r="IQ145" s="398">
        <f>IF(IP145=0,0,IF(LEN(IG145)=11,_xlfn.XLOOKUP(IG145,'Dispensed Ink Rates'!C:C,'Dispensed Ink Rates'!CS:CS),VLOOKUP(IG145,'Jan-2026 rates'!$E:$F,2,0)))</f>
        <v>0</v>
      </c>
      <c r="IR145" s="409"/>
      <c r="IS145" s="398">
        <f>IF(IR145=0,0,IF(LEN(IH145)=11,_xlfn.XLOOKUP(IH145,'Dispensed Ink Rates'!C:C,'Dispensed Ink Rates'!CS:CS),VLOOKUP(IH145,'Jan-2026 rates'!$E:$F,2,0)))</f>
        <v>0</v>
      </c>
      <c r="IT145" s="409"/>
      <c r="IU145" s="398">
        <f>IF(IT145=0,0,IF(LEN(II145)=11,_xlfn.XLOOKUP(II145,'Dispensed Ink Rates'!C:C,'Dispensed Ink Rates'!CS:CS),VLOOKUP(II145,'Jan-2026 rates'!$E:$F,2,0)))</f>
        <v>0</v>
      </c>
      <c r="IV145" s="409"/>
      <c r="IW145" s="398">
        <f>IF(IV145=0,0,IF(LEN(IJ145)=11,_xlfn.XLOOKUP(IJ145,'Dispensed Ink Rates'!C:C,'Dispensed Ink Rates'!CS:CS),VLOOKUP(IJ145,'Jan-2026 rates'!$E:$F,2,0)))</f>
        <v>0</v>
      </c>
      <c r="IX145" s="409"/>
      <c r="IY145" s="398">
        <f>IF(IX145=0,0,IF(LEN(IK145)=11,_xlfn.XLOOKUP(IK145,'Dispensed Ink Rates'!C:C,'Dispensed Ink Rates'!CS:CS),VLOOKUP(IK145,'Jan-2026 rates'!$E:$F,2,0)))</f>
        <v>0</v>
      </c>
      <c r="IZ145" s="409"/>
      <c r="JA145" s="398">
        <f>IF(IZ145=0,0,IF(LEN(IL145)=11,_xlfn.XLOOKUP(IL145,'Dispensed Ink Rates'!C:C,'Dispensed Ink Rates'!CS:CS),VLOOKUP(IL145,'Jan-2026 rates'!$E:$F,2,0)))</f>
        <v>0</v>
      </c>
      <c r="JB145" s="409"/>
      <c r="JC145" s="398">
        <f>IF(JB145=0,0,IF(LEN(IM145)=11,_xlfn.XLOOKUP(IM145,'Dispensed Ink Rates'!C:C,'Dispensed Ink Rates'!CS:CS),VLOOKUP(IM145,'Jan-2026 rates'!$E:$F,2,0)))</f>
        <v>0</v>
      </c>
      <c r="JD145" s="409"/>
      <c r="JE145" s="409"/>
      <c r="JF145" s="411">
        <f t="shared" si="124"/>
        <v>0</v>
      </c>
      <c r="JG145" s="411">
        <f t="shared" si="125"/>
        <v>0</v>
      </c>
      <c r="JH145" s="410">
        <f t="shared" si="126"/>
        <v>0</v>
      </c>
      <c r="JI145" s="405"/>
      <c r="JJ145" s="409"/>
      <c r="JK145" s="420" t="str">
        <f t="shared" si="60"/>
        <v xml:space="preserve"> - </v>
      </c>
      <c r="JL145" s="409"/>
      <c r="JM145" s="411">
        <f>IF(JL145=0,0,IF($LB145=70%,VLOOKUP($JK145,'Jan-2026 rates'!$L:$R,4,0),IF($LB145=65%,VLOOKUP($JK145,'Jan-2026 rates'!$L:$R,4,0),IF($LB145=40%,VLOOKUP($JK145,'Jan-2026 rates'!$L:$R,5,0),IF($LB145=30%,VLOOKUP($JK145,'Jan-2026 rates'!$L:$R,6,0),IF($LB145=100%,VLOOKUP($JK145,'Jan-2026 rates'!$L:$R,7,0),IF($LB145=60%,VLOOKUP($JK145,'Jan-2026 rates'!$L:$S,8,0),IF($LB145=80%,VLOOKUP($JK145,'Jan-2026 rates'!L:T,9,0),0))))))))</f>
        <v>0</v>
      </c>
      <c r="JN145" s="412"/>
      <c r="JO145" s="409"/>
      <c r="JP145" s="411">
        <f>IF(JO145=0,0,IF($LB145=70%,VLOOKUP($JK145,'Jan-2026 rates'!$L:$R,4,0),IF($LB145=65%,VLOOKUP($JK145,'Jan-2026 rates'!$L:$R,4,0),IF($LB145=40%,VLOOKUP($JK145,'Jan-2026 rates'!$L:$R,5,0),IF($LB145=30%,VLOOKUP($JK145,'Jan-2026 rates'!$L:$R,6,0),IF($LB145=100%,VLOOKUP($JK145,'Jan-2026 rates'!$L:$R,7,0),IF($LB145=60%,VLOOKUP($JK145,'Jan-2026 rates'!$L:$S,8,0),IF($LB145=80%,VLOOKUP($JK145,'Jan-2026 rates'!L:T,9,0),0))))))))</f>
        <v>0</v>
      </c>
      <c r="JQ145" s="413"/>
      <c r="JR145" s="412"/>
      <c r="JS145" s="413"/>
      <c r="JT145" s="413"/>
      <c r="JU145" s="412"/>
      <c r="JV145" s="412"/>
      <c r="JW145" s="412"/>
      <c r="JX145" s="412"/>
      <c r="JY145" s="409"/>
      <c r="JZ145" s="398">
        <f>IF(JY145=0,0,IF(LEN(JQ145)=11,_xlfn.XLOOKUP(JQ145,'Dispensed Ink Rates'!C:C,'Dispensed Ink Rates'!CS:CS),VLOOKUP(JQ145,'Jan-2026 rates'!$E:$F,2,0)))</f>
        <v>0</v>
      </c>
      <c r="KA145" s="409"/>
      <c r="KB145" s="398">
        <f>IF(KA145=0,0,IF(LEN(JR145)=11,_xlfn.XLOOKUP(JR145,'Dispensed Ink Rates'!C:C,'Dispensed Ink Rates'!CS:CS),VLOOKUP(JR145,'Jan-2026 rates'!$E:$F,2,0)))</f>
        <v>0</v>
      </c>
      <c r="KC145" s="409"/>
      <c r="KD145" s="398">
        <f>IF(KC145=0,0,IF(LEN(JS145)=11,_xlfn.XLOOKUP(JS145,'Dispensed Ink Rates'!C:C,'Dispensed Ink Rates'!CS:CS),VLOOKUP(JS145,'Jan-2026 rates'!$E:$F,2,0)))</f>
        <v>0</v>
      </c>
      <c r="KE145" s="409"/>
      <c r="KF145" s="398">
        <f>IF(KE145=0,0,IF(LEN(JT145)=11,_xlfn.XLOOKUP(JT145,'Dispensed Ink Rates'!C:C,'Dispensed Ink Rates'!CS:CS),VLOOKUP(JT145,'Jan-2026 rates'!$E:$F,2,0)))</f>
        <v>0</v>
      </c>
      <c r="KG145" s="409"/>
      <c r="KH145" s="398">
        <f>IF(KG145=0,0,IF(LEN(JU145)=11,_xlfn.XLOOKUP(JU145,'Dispensed Ink Rates'!C:C,'Dispensed Ink Rates'!CS:CS),VLOOKUP(JU145,'Jan-2026 rates'!$E:$F,2,0)))</f>
        <v>0</v>
      </c>
      <c r="KI145" s="409"/>
      <c r="KJ145" s="398">
        <f>IF(KI145=0,0,IF(LEN(JV145)=11,_xlfn.XLOOKUP(JV145,'Dispensed Ink Rates'!C:C,'Dispensed Ink Rates'!CS:CS),VLOOKUP(JV145,'Jan-2026 rates'!$E:$F,2,0)))</f>
        <v>0</v>
      </c>
      <c r="KK145" s="409"/>
      <c r="KL145" s="398">
        <f>IF(KK145=0,0,IF(LEN(JW145)=11,_xlfn.XLOOKUP(JW145,'Dispensed Ink Rates'!C:C,'Dispensed Ink Rates'!CS:CS),VLOOKUP(JW145,'Jan-2026 rates'!$E:$F,2,0)))</f>
        <v>0</v>
      </c>
      <c r="KM145" s="428"/>
      <c r="KN145" s="398">
        <f>IF(KM145=0,0,IF(LEN(JX145)=11,_xlfn.XLOOKUP(JX145,'Dispensed Ink Rates'!C:C,'Dispensed Ink Rates'!CS:CS),VLOOKUP(JX145,'Jan-2026 rates'!$E:$F,2,0)))</f>
        <v>0</v>
      </c>
      <c r="KO145" s="409"/>
      <c r="KP145" s="409"/>
      <c r="KQ145" s="411">
        <f t="shared" si="127"/>
        <v>0</v>
      </c>
      <c r="KR145" s="411">
        <f t="shared" si="128"/>
        <v>0</v>
      </c>
      <c r="KS145" s="410">
        <f t="shared" si="129"/>
        <v>0</v>
      </c>
      <c r="KT145" s="409">
        <v>2</v>
      </c>
      <c r="KU145" s="409">
        <v>5</v>
      </c>
      <c r="KV145" s="409">
        <v>6</v>
      </c>
      <c r="KW145" s="409">
        <v>0</v>
      </c>
      <c r="KX145" s="409">
        <v>0</v>
      </c>
      <c r="KY145" s="409">
        <v>5</v>
      </c>
      <c r="KZ145" s="409">
        <v>0</v>
      </c>
      <c r="LA145" s="409">
        <v>0</v>
      </c>
      <c r="LB145" s="415">
        <v>0.3</v>
      </c>
      <c r="LC145" s="415"/>
      <c r="LD145" s="415"/>
      <c r="LE145" s="415">
        <v>0.5</v>
      </c>
      <c r="LF145" s="415">
        <v>0.2</v>
      </c>
      <c r="LG145" s="409">
        <v>0</v>
      </c>
      <c r="LH145" s="409">
        <f>15+10+12+20+6+6+8</f>
        <v>77</v>
      </c>
      <c r="LI145" s="409">
        <v>0</v>
      </c>
      <c r="LJ145" s="409">
        <v>0</v>
      </c>
      <c r="LK145" s="416">
        <f t="shared" si="61"/>
        <v>77</v>
      </c>
      <c r="LL145" s="416">
        <f t="shared" si="62"/>
        <v>77</v>
      </c>
      <c r="LM145" s="417">
        <f t="shared" si="63"/>
        <v>23.099999999999998</v>
      </c>
      <c r="LN145" s="417">
        <f>VLOOKUP($LM$8,'Jan-2026 rates'!$H:$I,2,0)</f>
        <v>0</v>
      </c>
      <c r="LO145" s="417">
        <f t="shared" si="64"/>
        <v>0</v>
      </c>
      <c r="LP145" s="417">
        <f>VLOOKUP($LO$8,'Jan-2026 rates'!$H:$I,2,0)</f>
        <v>0</v>
      </c>
      <c r="LQ145" s="417">
        <f t="shared" si="65"/>
        <v>0</v>
      </c>
      <c r="LR145" s="417">
        <f>VLOOKUP($LQ$8,'Jan-2026 rates'!$H:$I,2,0)</f>
        <v>0</v>
      </c>
      <c r="LS145" s="417">
        <f t="shared" si="66"/>
        <v>38.5</v>
      </c>
      <c r="LT145" s="417">
        <f>VLOOKUP($LS$8,'Jan-2026 rates'!$H:$I,2,0)</f>
        <v>0</v>
      </c>
      <c r="LU145" s="417">
        <f t="shared" si="67"/>
        <v>15.4</v>
      </c>
      <c r="LV145" s="417">
        <f>VLOOKUP($LU$8,'Jan-2026 rates'!$H:$I,2,0)</f>
        <v>0</v>
      </c>
      <c r="LW145" s="417">
        <f t="shared" si="68"/>
        <v>0</v>
      </c>
      <c r="LX145" s="417">
        <f t="shared" si="69"/>
        <v>0</v>
      </c>
      <c r="LY145" s="418">
        <f t="shared" si="70"/>
        <v>0</v>
      </c>
      <c r="LZ145" s="417"/>
      <c r="MA145" s="435">
        <f t="shared" si="71"/>
        <v>43</v>
      </c>
      <c r="MB145" s="282">
        <f t="shared" si="72"/>
        <v>101</v>
      </c>
      <c r="MC145" s="283" t="s">
        <v>1980</v>
      </c>
      <c r="MD145" s="284" t="str">
        <f t="shared" si="73"/>
        <v>ToyoLiToyoLiToyoLiToyoLiToyoLiToyoLi</v>
      </c>
      <c r="ME145" s="293" t="str">
        <f t="shared" si="74"/>
        <v>+</v>
      </c>
      <c r="MF145" s="293" t="str">
        <f t="shared" si="75"/>
        <v>+</v>
      </c>
      <c r="MG145" s="293" t="str">
        <f t="shared" si="76"/>
        <v>+</v>
      </c>
      <c r="MH145" s="293" t="str">
        <f t="shared" si="77"/>
        <v>+</v>
      </c>
      <c r="MI145" s="293" t="str">
        <f t="shared" si="78"/>
        <v>+</v>
      </c>
      <c r="MJ145" s="293" t="str">
        <f t="shared" si="79"/>
        <v>+</v>
      </c>
      <c r="MK145" s="293" t="str">
        <f t="shared" si="80"/>
        <v>NIL</v>
      </c>
      <c r="ML145" s="293" t="str">
        <f t="shared" si="81"/>
        <v>NIL</v>
      </c>
      <c r="MM145" s="3" t="b">
        <f t="array" ref="MM145">OR(ME145:ML145="-")</f>
        <v>0</v>
      </c>
      <c r="MN145" s="285"/>
      <c r="MO145" s="401"/>
      <c r="MP145" s="286"/>
      <c r="MQ145" s="286"/>
      <c r="MR145" s="402"/>
      <c r="MS145" s="400"/>
      <c r="NH145" s="422"/>
      <c r="NJ145" s="421"/>
    </row>
    <row r="146" spans="1:374" s="1" customFormat="1" ht="16.5">
      <c r="A146" s="403">
        <v>46030</v>
      </c>
      <c r="B146" s="404" t="s">
        <v>1018</v>
      </c>
      <c r="C146" s="405" t="s">
        <v>3434</v>
      </c>
      <c r="D146" s="406" t="s">
        <v>1981</v>
      </c>
      <c r="E146" s="404">
        <v>433</v>
      </c>
      <c r="F146" s="407">
        <v>25000</v>
      </c>
      <c r="G146" s="407" t="s">
        <v>1016</v>
      </c>
      <c r="H146" s="408" t="s">
        <v>1017</v>
      </c>
      <c r="I146" s="409">
        <v>0.9</v>
      </c>
      <c r="J146" s="405" t="s">
        <v>546</v>
      </c>
      <c r="K146" s="404" t="s">
        <v>3435</v>
      </c>
      <c r="L146" s="419" t="str">
        <f t="shared" si="54"/>
        <v>ToyoLi - REFLEX BLUE</v>
      </c>
      <c r="M146" s="404">
        <v>20</v>
      </c>
      <c r="N146" s="410">
        <f>IF(M146=0,0,IF($LB146=70%,VLOOKUP($L146,'Jan-2026 rates'!$L:$R,4,0),IF($LB146=65%,VLOOKUP($L146,'Jan-2026 rates'!$L:$R,4,0),IF($LB146=40%,VLOOKUP($L146,'Jan-2026 rates'!$L:$R,5,0),IF($LB146=30%,VLOOKUP($L146,'Jan-2026 rates'!$L:$R,6,0),IF($LB146=100%,VLOOKUP($L146,'Jan-2026 rates'!$L:$R,7,0),IF($LB146=60%,VLOOKUP($L146,'Jan-2026 rates'!$L:$S,8,0),IF($LB146=80%,VLOOKUP($L146,'Jan-2026 rates'!L:T,9,0),0))))))))</f>
        <v>0</v>
      </c>
      <c r="O146" s="406" t="s">
        <v>3436</v>
      </c>
      <c r="P146" s="404">
        <f>15+14</f>
        <v>29</v>
      </c>
      <c r="Q146" s="410">
        <f>IF(P146=0,0,IF($LB146=70%,VLOOKUP($L146,'Jan-2026 rates'!$L:$R,4,0),IF($LB146=65%,VLOOKUP($L146,'Jan-2026 rates'!$L:$R,4,0),IF($LB146=40%,VLOOKUP($L146,'Jan-2026 rates'!$L:$R,5,0),IF($LB146=30%,VLOOKUP($L146,'Jan-2026 rates'!$L:$R,6,0),IF($LB146=100%,VLOOKUP($L146,'Jan-2026 rates'!$L:$R,7,0),IF($LB146=60%,VLOOKUP($L146,'Jan-2026 rates'!$L:$S,8,0),IF($LB146=80%,VLOOKUP($L146,'Jan-2026 rates'!L:T,9,0),0))))))))</f>
        <v>0</v>
      </c>
      <c r="R146" s="406" t="s">
        <v>1880</v>
      </c>
      <c r="S146" s="406" t="s">
        <v>1252</v>
      </c>
      <c r="T146" s="406"/>
      <c r="U146" s="406"/>
      <c r="V146" s="406"/>
      <c r="W146" s="406"/>
      <c r="X146" s="406"/>
      <c r="Y146" s="406"/>
      <c r="Z146" s="404">
        <v>20</v>
      </c>
      <c r="AA146" s="398">
        <f>IF(Z146=0,0,IF(LEN(R146)=11,_xlfn.XLOOKUP(R146,'Dispensed Ink Rates'!C:C,'Dispensed Ink Rates'!CS:CS),VLOOKUP(R146,'Jan-2026 rates'!$E:$F,2,0)))</f>
        <v>0</v>
      </c>
      <c r="AB146" s="404">
        <v>4</v>
      </c>
      <c r="AC146" s="398">
        <f>IF(AB146=0,0,IF(LEN(S146)=11,_xlfn.XLOOKUP(S146,'Dispensed Ink Rates'!C:C,'Dispensed Ink Rates'!CS:CS),VLOOKUP(S146,'Jan-2026 rates'!$E:$F,2,0)))</f>
        <v>0</v>
      </c>
      <c r="AD146" s="404"/>
      <c r="AE146" s="398">
        <f>IF(AD146=0,0,IF(LEN(T146)=11,_xlfn.XLOOKUP(T146,'Dispensed Ink Rates'!C:C,'Dispensed Ink Rates'!CS:CS),VLOOKUP(T146,'Jan-2026 rates'!$E:$F,2,0)))</f>
        <v>0</v>
      </c>
      <c r="AF146" s="404"/>
      <c r="AG146" s="398">
        <f>IF(AF146=0,0,IF(LEN(U146)=11,_xlfn.XLOOKUP(U146,'Dispensed Ink Rates'!C:C,'Dispensed Ink Rates'!CS:CS),VLOOKUP(U146,'Jan-2026 rates'!$E:$F,2,0)))</f>
        <v>0</v>
      </c>
      <c r="AH146" s="404"/>
      <c r="AI146" s="398">
        <f>IF(AH146=0,0,IF(LEN(V146)=11,_xlfn.XLOOKUP(V146,'Dispensed Ink Rates'!C:C,'Dispensed Ink Rates'!CS:CS),VLOOKUP(V146,'Jan-2026 rates'!$E:$F,2,0)))</f>
        <v>0</v>
      </c>
      <c r="AJ146" s="404"/>
      <c r="AK146" s="398">
        <f>IF(AJ146=0,0,IF(LEN(W146)=11,_xlfn.XLOOKUP(W146,'Dispensed Ink Rates'!C:C,'Dispensed Ink Rates'!CS:CS),VLOOKUP(W146,'Jan-2026 rates'!$E:$F,2,0)))</f>
        <v>0</v>
      </c>
      <c r="AL146" s="404"/>
      <c r="AM146" s="398">
        <f>IF(AL146=0,0,IF(LEN(X146)=11,_xlfn.XLOOKUP(X146,'Dispensed Ink Rates'!C:C,'Dispensed Ink Rates'!CS:CS),VLOOKUP(X146,'Jan-2026 rates'!$E:$F,2,0)))</f>
        <v>0</v>
      </c>
      <c r="AN146" s="404"/>
      <c r="AO146" s="398">
        <f>IF(AN146=0,0,IF(LEN(Y146)=11,_xlfn.XLOOKUP(Y146,'Dispensed Ink Rates'!C:C,'Dispensed Ink Rates'!CS:CS),VLOOKUP(Y146,'Jan-2026 rates'!$E:$F,2,0)))</f>
        <v>0</v>
      </c>
      <c r="AP146" s="409" t="s">
        <v>1881</v>
      </c>
      <c r="AQ146" s="409">
        <f>20+20</f>
        <v>40</v>
      </c>
      <c r="AR146" s="410">
        <f t="shared" si="106"/>
        <v>0</v>
      </c>
      <c r="AS146" s="411">
        <f t="shared" si="107"/>
        <v>56.63636363636364</v>
      </c>
      <c r="AT146" s="410">
        <f t="shared" si="108"/>
        <v>0</v>
      </c>
      <c r="AU146" s="405" t="s">
        <v>546</v>
      </c>
      <c r="AV146" s="409" t="s">
        <v>2757</v>
      </c>
      <c r="AW146" s="420" t="str">
        <f t="shared" si="130"/>
        <v>ToyoLi - REFLEX BLUE</v>
      </c>
      <c r="AX146" s="409">
        <f>17+21</f>
        <v>38</v>
      </c>
      <c r="AY146" s="411">
        <f>IF(AX146=0,0,IF($LB146=70%,VLOOKUP($AW146,'Jan-2026 rates'!$L:$R,4,0),IF($LB146=65%,VLOOKUP($AW146,'Jan-2026 rates'!$L:$R,4,0),IF($LB146=40%,VLOOKUP($AW146,'Jan-2026 rates'!$L:$R,5,0),IF($LB146=30%,VLOOKUP($AW146,'Jan-2026 rates'!$L:$R,6,0),IF($LB146=100%,VLOOKUP($AW146,'Jan-2026 rates'!$L:$R,7,0),IF($LB146=60%,VLOOKUP($AW146,'Jan-2026 rates'!$L:$S,8,0),IF($LB146=80%,VLOOKUP($AW146,'Jan-2026 rates'!L:T,9,0),0))))))))</f>
        <v>0</v>
      </c>
      <c r="AZ146" s="412"/>
      <c r="BA146" s="409"/>
      <c r="BB146" s="411">
        <f>IF(BA146=0,0,IF($LB146=70%,VLOOKUP($AW146,'Jan-2026 rates'!$L:$R,4,0),IF($LB146=65%,VLOOKUP($AW146,'Jan-2026 rates'!$L:$R,4,0),IF($LB146=40%,VLOOKUP($AW146,'Jan-2026 rates'!$L:$R,5,0),IF($LB146=30%,VLOOKUP($AW146,'Jan-2026 rates'!$L:$R,6,0),IF($LB146=100%,VLOOKUP($AW146,'Jan-2026 rates'!$L:$R,7,0),IF($LB146=60%,VLOOKUP($AW146,'Jan-2026 rates'!$L:$S,8,0),IF($LB146=80%,VLOOKUP($AW146,'Jan-2026 rates'!L:T,9,0),0))))))))</f>
        <v>0</v>
      </c>
      <c r="BC146" s="413" t="s">
        <v>1921</v>
      </c>
      <c r="BD146" s="412" t="s">
        <v>1880</v>
      </c>
      <c r="BE146" s="412" t="s">
        <v>1250</v>
      </c>
      <c r="BF146" s="413"/>
      <c r="BG146" s="412"/>
      <c r="BH146" s="412"/>
      <c r="BI146" s="412"/>
      <c r="BJ146" s="412"/>
      <c r="BK146" s="409">
        <v>20</v>
      </c>
      <c r="BL146" s="398">
        <f>IF(BK146=0,0,IF(LEN(BC146)=11,_xlfn.XLOOKUP(BC146,'Dispensed Ink Rates'!C:C,'Dispensed Ink Rates'!CS:CS),VLOOKUP(BC146,'Jan-2026 rates'!$E:$F,2,0)))</f>
        <v>0</v>
      </c>
      <c r="BM146" s="409">
        <v>2</v>
      </c>
      <c r="BN146" s="398">
        <f>IF(BM146=0,0,IF(LEN(BD146)=11,_xlfn.XLOOKUP(BD146,'Dispensed Ink Rates'!C:C,'Dispensed Ink Rates'!CS:CS),VLOOKUP(BD146,'Jan-2026 rates'!$E:$F,2,0)))</f>
        <v>0</v>
      </c>
      <c r="BO146" s="409">
        <v>1</v>
      </c>
      <c r="BP146" s="398">
        <f>IF(BO146=0,0,IF(LEN(BE146)=11,_xlfn.XLOOKUP(BE146,'Dispensed Ink Rates'!C:C,'Dispensed Ink Rates'!CS:CS),VLOOKUP(BE146,'Jan-2026 rates'!$E:$F,2,0)))</f>
        <v>0</v>
      </c>
      <c r="BQ146" s="409"/>
      <c r="BR146" s="398">
        <f>IF(BQ146=0,0,IF(LEN(BF146)=11,_xlfn.XLOOKUP(BF146,'Dispensed Ink Rates'!C:C,'Dispensed Ink Rates'!CS:CS),VLOOKUP(BF146,'Jan-2026 rates'!$E:$F,2,0)))</f>
        <v>0</v>
      </c>
      <c r="BS146" s="409"/>
      <c r="BT146" s="398">
        <f>IF(BS146=0,0,IF(LEN(BG146)=11,_xlfn.XLOOKUP(BG146,'Dispensed Ink Rates'!C:C,'Dispensed Ink Rates'!CS:CS),VLOOKUP(BG146,'Jan-2026 rates'!$E:$F,2,0)))</f>
        <v>0</v>
      </c>
      <c r="BU146" s="409"/>
      <c r="BV146" s="398">
        <f>IF(BU146=0,0,IF(LEN(BH146)=11,_xlfn.XLOOKUP(BH146,'Dispensed Ink Rates'!C:C,'Dispensed Ink Rates'!CS:CS),VLOOKUP(BH146,'Jan-2026 rates'!$E:$F,2,0)))</f>
        <v>0</v>
      </c>
      <c r="BW146" s="409"/>
      <c r="BX146" s="398">
        <f>IF(BW146=0,0,IF(LEN(BI146)=11,_xlfn.XLOOKUP(BI146,'Dispensed Ink Rates'!C:C,'Dispensed Ink Rates'!CS:CS),VLOOKUP(BI146,'Jan-2026 rates'!$E:$F,2,0)))</f>
        <v>0</v>
      </c>
      <c r="BY146" s="409"/>
      <c r="BZ146" s="398">
        <f>IF(BY146=0,0,IF(LEN(BJ146)=11,_xlfn.XLOOKUP(BJ146,'Dispensed Ink Rates'!C:C,'Dispensed Ink Rates'!CS:CS),VLOOKUP(BJ146,'Jan-2026 rates'!$E:$F,2,0)))</f>
        <v>0</v>
      </c>
      <c r="CA146" s="409" t="s">
        <v>1881</v>
      </c>
      <c r="CB146" s="409">
        <f>20+18</f>
        <v>38</v>
      </c>
      <c r="CC146" s="411">
        <f t="shared" si="109"/>
        <v>0</v>
      </c>
      <c r="CD146" s="411">
        <f t="shared" si="110"/>
        <v>39.545454545454547</v>
      </c>
      <c r="CE146" s="410">
        <f t="shared" si="111"/>
        <v>0</v>
      </c>
      <c r="CF146" s="404" t="s">
        <v>544</v>
      </c>
      <c r="CG146" s="409" t="s">
        <v>3437</v>
      </c>
      <c r="CH146" s="420" t="str">
        <f t="shared" si="55"/>
        <v>ToyoLi - MAGENTA</v>
      </c>
      <c r="CI146" s="409">
        <v>28</v>
      </c>
      <c r="CJ146" s="411">
        <f>IF(CI146=0,0,IF($LB146=70%,VLOOKUP($CH146,'Jan-2026 rates'!$L:$R,4,0),IF($LB146=65%,VLOOKUP($CH146,'Jan-2026 rates'!$L:$R,4,0),IF($LB146=40%,VLOOKUP($CH146,'Jan-2026 rates'!$L:$R,5,0),IF($LB146=30%,VLOOKUP($CH146,'Jan-2026 rates'!$L:$R,6,0),IF($LB146=100%,VLOOKUP($CH146,'Jan-2026 rates'!$L:$R,7,0),IF($LB146=60%,VLOOKUP($CH146,'Jan-2026 rates'!$L:$S,8,0),IF($LB146=80%,VLOOKUP($CH146,'Jan-2026 rates'!L:T,9,0),0))))))))</f>
        <v>0</v>
      </c>
      <c r="CK146" s="412"/>
      <c r="CL146" s="409"/>
      <c r="CM146" s="411">
        <f>IF(CL146=0,0,IF($LB146=70%,VLOOKUP($CH146,'Jan-2026 rates'!$L:$R,4,0),IF($LB146=65%,VLOOKUP($CH146,'Jan-2026 rates'!$L:$R,4,0),IF($LB146=40%,VLOOKUP($CH146,'Jan-2026 rates'!$L:$R,5,0),IF($LB146=30%,VLOOKUP($CH146,'Jan-2026 rates'!$L:$R,6,0),IF($LB146=100%,VLOOKUP($CH146,'Jan-2026 rates'!$L:$R,7,0),IF($LB146=60%,VLOOKUP($CH146,'Jan-2026 rates'!$L:$S,8,0),IF($LB146=80%,VLOOKUP($CH146,'Jan-2026 rates'!L:T,9,0),0))))))))</f>
        <v>0</v>
      </c>
      <c r="CN146" s="426"/>
      <c r="CO146" s="427"/>
      <c r="CP146" s="426"/>
      <c r="CQ146" s="426"/>
      <c r="CR146" s="428"/>
      <c r="CS146" s="428"/>
      <c r="CT146" s="428"/>
      <c r="CU146" s="428"/>
      <c r="CV146" s="409"/>
      <c r="CW146" s="398">
        <f>IF(CV146=0,0,IF(LEN(CN146)=11,_xlfn.XLOOKUP(CN146,'Dispensed Ink Rates'!C:C,'Dispensed Ink Rates'!CS:CS),VLOOKUP(CN146,'Jan-2026 rates'!$E:$F,2,0)))</f>
        <v>0</v>
      </c>
      <c r="CX146" s="409"/>
      <c r="CY146" s="398">
        <f>IF(CX146=0,0,IF(LEN(CO146)=11,_xlfn.XLOOKUP(CO146,'Dispensed Ink Rates'!C:C,'Dispensed Ink Rates'!CS:CS),VLOOKUP(CO146,'Jan-2026 rates'!$E:$F,2,0)))</f>
        <v>0</v>
      </c>
      <c r="CZ146" s="409"/>
      <c r="DA146" s="398">
        <f>IF(CZ146=0,0,IF(LEN(CP146)=11,_xlfn.XLOOKUP(CP146,'Dispensed Ink Rates'!C:C,'Dispensed Ink Rates'!CS:CS),VLOOKUP(CP146,'Jan-2026 rates'!$E:$F,2,0)))</f>
        <v>0</v>
      </c>
      <c r="DB146" s="409"/>
      <c r="DC146" s="398">
        <f>IF(DB146=0,0,IF(LEN(CQ146)=11,_xlfn.XLOOKUP(CQ146,'Dispensed Ink Rates'!C:C,'Dispensed Ink Rates'!CS:CS),VLOOKUP(CQ146,'Jan-2026 rates'!$E:$F,2,0)))</f>
        <v>0</v>
      </c>
      <c r="DD146" s="409"/>
      <c r="DE146" s="398">
        <f>IF(DD146=0,0,IF(LEN(CR146)=11,_xlfn.XLOOKUP(CR146,'Dispensed Ink Rates'!C:C,'Dispensed Ink Rates'!CS:CS),VLOOKUP(CR146,'Jan-2026 rates'!$E:$F,2,0)))</f>
        <v>0</v>
      </c>
      <c r="DF146" s="409"/>
      <c r="DG146" s="398">
        <f>IF(DF146=0,0,IF(LEN(CS146)=11,_xlfn.XLOOKUP(CS146,'Dispensed Ink Rates'!C:C,'Dispensed Ink Rates'!CS:CS),VLOOKUP(CS146,'Jan-2026 rates'!$E:$F,2,0)))</f>
        <v>0</v>
      </c>
      <c r="DH146" s="409"/>
      <c r="DI146" s="398">
        <f>IF(DH146=0,0,IF(LEN(CT146)=11,_xlfn.XLOOKUP(CT146,'Dispensed Ink Rates'!C:C,'Dispensed Ink Rates'!CS:CS),VLOOKUP(CT146,'Jan-2026 rates'!$E:$F,2,0)))</f>
        <v>0</v>
      </c>
      <c r="DJ146" s="409"/>
      <c r="DK146" s="398">
        <f>IF(DJ146=0,0,IF(LEN(CU146)=11,_xlfn.XLOOKUP(CU146,'Dispensed Ink Rates'!C:C,'Dispensed Ink Rates'!CS:CS),VLOOKUP(CU146,'Jan-2026 rates'!$E:$F,2,0)))</f>
        <v>0</v>
      </c>
      <c r="DL146" s="409" t="s">
        <v>1881</v>
      </c>
      <c r="DM146" s="409">
        <v>26</v>
      </c>
      <c r="DN146" s="411">
        <f t="shared" si="112"/>
        <v>0</v>
      </c>
      <c r="DO146" s="411">
        <f t="shared" si="113"/>
        <v>6.7272727272727266</v>
      </c>
      <c r="DP146" s="410">
        <f t="shared" si="114"/>
        <v>0</v>
      </c>
      <c r="DQ146" s="405" t="s">
        <v>545</v>
      </c>
      <c r="DR146" s="409" t="s">
        <v>3438</v>
      </c>
      <c r="DS146" s="420" t="str">
        <f t="shared" si="56"/>
        <v>ToyoLi - YELLOW</v>
      </c>
      <c r="DT146" s="409">
        <v>27</v>
      </c>
      <c r="DU146" s="411">
        <f>IF(DT146=0,0,IF($LB146=70%,VLOOKUP($DS146,'Jan-2026 rates'!$L:$R,4,0),IF($LB146=65%,VLOOKUP($DS146,'Jan-2026 rates'!$L:$R,4,0),IF($LB146=40%,VLOOKUP($DS146,'Jan-2026 rates'!$L:$R,5,0),IF($LB146=30%,VLOOKUP($DS146,'Jan-2026 rates'!$L:$R,6,0),IF($LB146=100%,VLOOKUP($DS146,'Jan-2026 rates'!$L:$R,7,0),IF($LB146=60%,VLOOKUP($DS146,'Jan-2026 rates'!$L:$S,8,0),IF($LB146=80%,VLOOKUP($DS146,'Jan-2026 rates'!L:T,9,0),0))))))))</f>
        <v>0</v>
      </c>
      <c r="DV146" s="412"/>
      <c r="DW146" s="409"/>
      <c r="DX146" s="411">
        <f>IF(DW146=0,0,IF($LB146=70%,VLOOKUP($DS146,'Jan-2026 rates'!$L:$R,4,0),IF($LB146=65%,VLOOKUP($DS146,'Jan-2026 rates'!$L:$R,4,0),IF($LB146=40%,VLOOKUP($DS146,'Jan-2026 rates'!$L:$R,5,0),IF($LB146=30%,VLOOKUP($DS146,'Jan-2026 rates'!$L:$R,6,0),IF($LB146=100%,VLOOKUP($DS146,'Jan-2026 rates'!$L:$R,7,0),IF($LB146=60%,VLOOKUP($DS146,'Jan-2026 rates'!$L:$S,8,0),IF($LB146=80%,VLOOKUP($DS146,'Jan-2026 rates'!L:T,9,0),0))))))))</f>
        <v>0</v>
      </c>
      <c r="DY146" s="413" t="s">
        <v>1247</v>
      </c>
      <c r="DZ146" s="413" t="s">
        <v>1248</v>
      </c>
      <c r="EA146" s="412"/>
      <c r="EB146" s="412"/>
      <c r="EC146" s="412"/>
      <c r="ED146" s="412"/>
      <c r="EE146" s="412"/>
      <c r="EF146" s="412"/>
      <c r="EG146" s="409">
        <v>2</v>
      </c>
      <c r="EH146" s="398">
        <f>IF(EG146=0,0,IF(LEN(DY146)=11,_xlfn.XLOOKUP(DY146,'Dispensed Ink Rates'!C:C,'Dispensed Ink Rates'!CS:CS),VLOOKUP(DY146,'Jan-2026 rates'!$E:$F,2,0)))</f>
        <v>0</v>
      </c>
      <c r="EI146" s="409">
        <v>0.2</v>
      </c>
      <c r="EJ146" s="398">
        <f>IF(EI146=0,0,IF(LEN(DZ146)=11,_xlfn.XLOOKUP(DZ146,'Dispensed Ink Rates'!C:C,'Dispensed Ink Rates'!CS:CS),VLOOKUP(DZ146,'Jan-2026 rates'!$E:$F,2,0)))</f>
        <v>0</v>
      </c>
      <c r="EK146" s="409"/>
      <c r="EL146" s="398">
        <f>IF(EK146=0,0,IF(LEN(EA146)=11,_xlfn.XLOOKUP(EA146,'Dispensed Ink Rates'!C:C,'Dispensed Ink Rates'!CS:CS),VLOOKUP(EA146,'Jan-2026 rates'!$E:$F,2,0)))</f>
        <v>0</v>
      </c>
      <c r="EM146" s="409"/>
      <c r="EN146" s="398">
        <f>IF(EM146=0,0,IF(LEN(EB146)=11,_xlfn.XLOOKUP(EB146,'Dispensed Ink Rates'!C:C,'Dispensed Ink Rates'!CS:CS),VLOOKUP(EB146,'Jan-2026 rates'!$E:$F,2,0)))</f>
        <v>0</v>
      </c>
      <c r="EO146" s="409"/>
      <c r="EP146" s="398">
        <f>IF(EO146=0,0,IF(LEN(EC146)=11,_xlfn.XLOOKUP(EC146,'Dispensed Ink Rates'!C:C,'Dispensed Ink Rates'!CS:CS),VLOOKUP(EC146,'Jan-2026 rates'!$E:$F,2,0)))</f>
        <v>0</v>
      </c>
      <c r="EQ146" s="409"/>
      <c r="ER146" s="398">
        <f>IF(EQ146=0,0,IF(LEN(ED146)=11,_xlfn.XLOOKUP(ED146,'Dispensed Ink Rates'!C:C,'Dispensed Ink Rates'!CS:CS),VLOOKUP(ED146,'Jan-2026 rates'!$E:$F,2,0)))</f>
        <v>0</v>
      </c>
      <c r="ES146" s="409"/>
      <c r="ET146" s="398">
        <f>IF(ES146=0,0,IF(LEN(EE146)=11,_xlfn.XLOOKUP(EE146,'Dispensed Ink Rates'!C:C,'Dispensed Ink Rates'!CS:CS),VLOOKUP(EE146,'Jan-2026 rates'!$E:$F,2,0)))</f>
        <v>0</v>
      </c>
      <c r="EU146" s="409"/>
      <c r="EV146" s="398">
        <f>IF(EU146=0,0,IF(LEN(EF146)=11,_xlfn.XLOOKUP(EF146,'Dispensed Ink Rates'!C:C,'Dispensed Ink Rates'!CS:CS),VLOOKUP(EF146,'Jan-2026 rates'!$E:$F,2,0)))</f>
        <v>0</v>
      </c>
      <c r="EW146" s="409" t="s">
        <v>1881</v>
      </c>
      <c r="EX146" s="409">
        <v>25</v>
      </c>
      <c r="EY146" s="411">
        <f t="shared" si="115"/>
        <v>0</v>
      </c>
      <c r="EZ146" s="411">
        <f t="shared" si="116"/>
        <v>4.1999999999999993</v>
      </c>
      <c r="FA146" s="410">
        <f t="shared" si="117"/>
        <v>0</v>
      </c>
      <c r="FB146" s="405" t="s">
        <v>543</v>
      </c>
      <c r="FC146" s="409" t="s">
        <v>3439</v>
      </c>
      <c r="FD146" s="420" t="str">
        <f t="shared" si="57"/>
        <v>ToyoLi - BLACK</v>
      </c>
      <c r="FE146" s="409">
        <v>14</v>
      </c>
      <c r="FF146" s="411">
        <f>IF(FE146=0,0,IF($LB146=70%,VLOOKUP($FD146,'Jan-2026 rates'!$L:$R,4,0),IF($LB146=65%,VLOOKUP($FD146,'Jan-2026 rates'!$L:$R,4,0),IF($LB146=40%,VLOOKUP($FD146,'Jan-2026 rates'!$L:$R,5,0),IF($LB146=30%,VLOOKUP($FD146,'Jan-2026 rates'!$L:$R,6,0),IF($LB146=100%,VLOOKUP($FD146,'Jan-2026 rates'!$L:$R,7,0),IF($LB146=60%,VLOOKUP($FD146,'Jan-2026 rates'!$L:$S,8,0),IF($LB146=80%,VLOOKUP($FD146,'Jan-2026 rates'!L:T,9,0),0))))))))</f>
        <v>0</v>
      </c>
      <c r="FG146" s="412"/>
      <c r="FH146" s="409"/>
      <c r="FI146" s="411">
        <f>IF(FH146=0,0,IF($LB146=70%,VLOOKUP($FD146,'Jan-2026 rates'!$L:$R,4,0),IF($LB146=65%,VLOOKUP($FD146,'Jan-2026 rates'!$L:$R,4,0),IF($LB146=40%,VLOOKUP($FD146,'Jan-2026 rates'!$L:$R,5,0),IF($LB146=30%,VLOOKUP($FD146,'Jan-2026 rates'!$L:$R,6,0),IF($LB146=100%,VLOOKUP($FD146,'Jan-2026 rates'!$L:$R,7,0),IF($LB146=60%,VLOOKUP($FD146,'Jan-2026 rates'!$L:$S,8,0),IF($LB146=80%,VLOOKUP($FD146,'Jan-2026 rates'!L:T,9,0),0))))))))</f>
        <v>0</v>
      </c>
      <c r="FJ146" s="413" t="s">
        <v>1921</v>
      </c>
      <c r="FK146" s="413" t="s">
        <v>1252</v>
      </c>
      <c r="FL146" s="413"/>
      <c r="FM146" s="412"/>
      <c r="FN146" s="412"/>
      <c r="FO146" s="412"/>
      <c r="FP146" s="412"/>
      <c r="FQ146" s="412"/>
      <c r="FR146" s="409">
        <v>10</v>
      </c>
      <c r="FS146" s="398">
        <f>IF(FR146=0,0,IF(LEN(FJ146)=11,_xlfn.XLOOKUP(FJ146,'Dispensed Ink Rates'!C:C,'Dispensed Ink Rates'!CS:CS),VLOOKUP(FJ146,'Jan-2026 rates'!$E:$F,2,0)))</f>
        <v>0</v>
      </c>
      <c r="FT146" s="409">
        <v>0.3</v>
      </c>
      <c r="FU146" s="398">
        <f>IF(FT146=0,0,IF(LEN(FK146)=11,_xlfn.XLOOKUP(FK146,'Dispensed Ink Rates'!C:C,'Dispensed Ink Rates'!CS:CS),VLOOKUP(FK146,'Jan-2026 rates'!$E:$F,2,0)))</f>
        <v>0</v>
      </c>
      <c r="FV146" s="409"/>
      <c r="FW146" s="398">
        <f>IF(FV146=0,0,IF(LEN(FL146)=11,_xlfn.XLOOKUP(FL146,'Dispensed Ink Rates'!C:C,'Dispensed Ink Rates'!CS:CS),VLOOKUP(FL146,'Jan-2026 rates'!$E:$F,2,0)))</f>
        <v>0</v>
      </c>
      <c r="FX146" s="409"/>
      <c r="FY146" s="398">
        <f>IF(FX146=0,0,IF(LEN(FM146)=11,_xlfn.XLOOKUP(FM146,'Dispensed Ink Rates'!C:C,'Dispensed Ink Rates'!CS:CS),VLOOKUP(FM146,'Jan-2026 rates'!$E:$F,2,0)))</f>
        <v>0</v>
      </c>
      <c r="FZ146" s="409"/>
      <c r="GA146" s="398">
        <f>IF(FZ146=0,0,IF(LEN(FN146)=11,_xlfn.XLOOKUP(FN146,'Dispensed Ink Rates'!C:C,'Dispensed Ink Rates'!CS:CS),VLOOKUP(FN146,'Jan-2026 rates'!$E:$F,2,0)))</f>
        <v>0</v>
      </c>
      <c r="GB146" s="409"/>
      <c r="GC146" s="398">
        <f>IF(GB146=0,0,IF(LEN(FO146)=11,_xlfn.XLOOKUP(FO146,'Dispensed Ink Rates'!C:C,'Dispensed Ink Rates'!CS:CS),VLOOKUP(FO146,'Jan-2026 rates'!$E:$F,2,0)))</f>
        <v>0</v>
      </c>
      <c r="GD146" s="409"/>
      <c r="GE146" s="398">
        <f>IF(GD146=0,0,IF(LEN(FP146)=11,_xlfn.XLOOKUP(FP146,'Dispensed Ink Rates'!C:C,'Dispensed Ink Rates'!CS:CS),VLOOKUP(FP146,'Jan-2026 rates'!$E:$F,2,0)))</f>
        <v>0</v>
      </c>
      <c r="GF146" s="409"/>
      <c r="GG146" s="398">
        <f>IF(GF146=0,0,IF(LEN(FQ146)=11,_xlfn.XLOOKUP(FQ146,'Dispensed Ink Rates'!C:C,'Dispensed Ink Rates'!CS:CS),VLOOKUP(FQ146,'Jan-2026 rates'!$E:$F,2,0)))</f>
        <v>0</v>
      </c>
      <c r="GH146" s="409" t="s">
        <v>1881</v>
      </c>
      <c r="GI146" s="409">
        <f>13+14</f>
        <v>27</v>
      </c>
      <c r="GJ146" s="411">
        <f t="shared" si="118"/>
        <v>0</v>
      </c>
      <c r="GK146" s="411">
        <f t="shared" si="119"/>
        <v>11.481818181818184</v>
      </c>
      <c r="GL146" s="410">
        <f t="shared" si="120"/>
        <v>0</v>
      </c>
      <c r="GM146" s="405" t="s">
        <v>856</v>
      </c>
      <c r="GN146" s="409" t="s">
        <v>3440</v>
      </c>
      <c r="GO146" s="420" t="str">
        <f t="shared" si="58"/>
        <v>ToyoLi - WHITE</v>
      </c>
      <c r="GP146" s="409">
        <v>25</v>
      </c>
      <c r="GQ146" s="411">
        <f>IF(GP146=0,0,IF($LB146=70%,VLOOKUP($GO146,'Jan-2026 rates'!$L:$R,4,0),IF($LB146=65%,VLOOKUP($GO146,'Jan-2026 rates'!$L:$R,4,0),IF($LB146=40%,VLOOKUP($GO146,'Jan-2026 rates'!$L:$R,5,0),IF($LB146=30%,VLOOKUP($GO146,'Jan-2026 rates'!$L:$R,6,0),IF($LB146=100%,VLOOKUP($GO146,'Jan-2026 rates'!$L:$R,7,0),IF($LB146=60%,VLOOKUP($GO146,'Jan-2026 rates'!$L:$S,8,0),IF($LB146=80%,VLOOKUP($GO146,'Jan-2026 rates'!L:T,9,0),0))))))))</f>
        <v>0</v>
      </c>
      <c r="GR146" s="412"/>
      <c r="GS146" s="409"/>
      <c r="GT146" s="411">
        <f>IF(GS146=0,0,IF($LB146=70%,VLOOKUP($GO146,'Jan-2026 rates'!$L:$R,4,0),IF($LB146=65%,VLOOKUP($GO146,'Jan-2026 rates'!$L:$R,4,0),IF($LB146=40%,VLOOKUP($GO146,'Jan-2026 rates'!$L:$R,5,0),IF($LB146=30%,VLOOKUP($GO146,'Jan-2026 rates'!$L:$R,6,0),IF($LB146=100%,VLOOKUP($GO146,'Jan-2026 rates'!$L:$R,7,0),IF($LB146=60%,VLOOKUP($GO146,'Jan-2026 rates'!$L:$S,8,0),IF($LB146=80%,VLOOKUP($GO146,'Jan-2026 rates'!L:T,9,0),0))))))))</f>
        <v>0</v>
      </c>
      <c r="GU146" s="413" t="s">
        <v>1249</v>
      </c>
      <c r="GV146" s="413" t="s">
        <v>1122</v>
      </c>
      <c r="GW146" s="412"/>
      <c r="GX146" s="412"/>
      <c r="GY146" s="412"/>
      <c r="GZ146" s="412"/>
      <c r="HA146" s="412"/>
      <c r="HB146" s="412"/>
      <c r="HC146" s="409">
        <v>60</v>
      </c>
      <c r="HD146" s="398">
        <f>IF(HC146=0,0,IF(LEN(GU146)=11,_xlfn.XLOOKUP(GU146,'Dispensed Ink Rates'!C:C,'Dispensed Ink Rates'!CS:CS),VLOOKUP(GU146,'Jan-2026 rates'!$E:$F,2,0)))</f>
        <v>0</v>
      </c>
      <c r="HE146" s="409">
        <v>6.28</v>
      </c>
      <c r="HF146" s="398">
        <f>IF(HE146=0,0,IF(LEN(GV146)=11,_xlfn.XLOOKUP(GV146,'Dispensed Ink Rates'!C:C,'Dispensed Ink Rates'!CS:CS),VLOOKUP(GV146,'Jan-2026 rates'!$E:$F,2,0)))</f>
        <v>0</v>
      </c>
      <c r="HG146" s="409"/>
      <c r="HH146" s="398">
        <f>IF(HG146=0,0,IF(LEN(GW146)=11,_xlfn.XLOOKUP(GW146,'Dispensed Ink Rates'!C:C,'Dispensed Ink Rates'!CS:CS),VLOOKUP(GW146,'Jan-2026 rates'!$E:$F,2,0)))</f>
        <v>0</v>
      </c>
      <c r="HI146" s="409"/>
      <c r="HJ146" s="398">
        <f>IF(HI146=0,0,IF(LEN(GX146)=11,_xlfn.XLOOKUP(GX146,'Dispensed Ink Rates'!C:C,'Dispensed Ink Rates'!CS:CS),VLOOKUP(GX146,'Jan-2026 rates'!$E:$F,2,0)))</f>
        <v>0</v>
      </c>
      <c r="HK146" s="409"/>
      <c r="HL146" s="398">
        <f>IF(HK146=0,0,IF(LEN(GY146)=11,_xlfn.XLOOKUP(GY146,'Dispensed Ink Rates'!C:C,'Dispensed Ink Rates'!CS:CS),VLOOKUP(GY146,'Jan-2026 rates'!$E:$F,2,0)))</f>
        <v>0</v>
      </c>
      <c r="HM146" s="409"/>
      <c r="HN146" s="398">
        <f>IF(HM146=0,0,IF(LEN(GZ146)=11,_xlfn.XLOOKUP(GZ146,'Dispensed Ink Rates'!C:C,'Dispensed Ink Rates'!CS:CS),VLOOKUP(GZ146,'Jan-2026 rates'!$E:$F,2,0)))</f>
        <v>0</v>
      </c>
      <c r="HO146" s="409"/>
      <c r="HP146" s="398">
        <f>IF(HO146=0,0,IF(LEN(HA146)=11,_xlfn.XLOOKUP(HA146,'Dispensed Ink Rates'!C:C,'Dispensed Ink Rates'!CS:CS),VLOOKUP(HA146,'Jan-2026 rates'!$E:$F,2,0)))</f>
        <v>0</v>
      </c>
      <c r="HQ146" s="409"/>
      <c r="HR146" s="398">
        <f>IF(HQ146=0,0,IF(LEN(HB146)=11,_xlfn.XLOOKUP(HB146,'Dispensed Ink Rates'!C:C,'Dispensed Ink Rates'!CS:CS),VLOOKUP(HB146,'Jan-2026 rates'!$E:$F,2,0)))</f>
        <v>0</v>
      </c>
      <c r="HS146" s="409" t="s">
        <v>1881</v>
      </c>
      <c r="HT146" s="409">
        <v>25</v>
      </c>
      <c r="HU146" s="411">
        <f t="shared" si="121"/>
        <v>0</v>
      </c>
      <c r="HV146" s="411">
        <f t="shared" si="122"/>
        <v>137.18909090909091</v>
      </c>
      <c r="HW146" s="414">
        <f t="shared" si="123"/>
        <v>0</v>
      </c>
      <c r="HX146" s="405"/>
      <c r="HY146" s="409"/>
      <c r="HZ146" s="420" t="str">
        <f t="shared" si="59"/>
        <v xml:space="preserve"> - </v>
      </c>
      <c r="IA146" s="409"/>
      <c r="IB146" s="411">
        <f>IF(IA146=0,0,IF($LB146=70%,VLOOKUP($HZ146,'Jan-2026 rates'!$L:$R,4,0),IF($LB146=65%,VLOOKUP($HZ146,'Jan-2026 rates'!$L:$R,4,0),IF($LB146=40%,VLOOKUP($HZ146,'Jan-2026 rates'!$L:$R,5,0),IF($LB146=30%,VLOOKUP($HZ146,'Jan-2026 rates'!$L:$R,6,0),IF($LB146=100%,VLOOKUP($HZ146,'Jan-2026 rates'!$L:$R,7,0),IF($LB146=60%,VLOOKUP($HZ146,'Jan-2026 rates'!$L:$S,8,0),IF($LB146=80%,VLOOKUP($HZ146,'Jan-2026 rates'!L:T,9,0),0))))))))</f>
        <v>0</v>
      </c>
      <c r="IC146" s="412"/>
      <c r="ID146" s="409"/>
      <c r="IE146" s="411">
        <f>IF(ID146=0,0,IF($LB146=70%,VLOOKUP($HZ146,'Jan-2026 rates'!$L:$R,4,0),IF($LB146=65%,VLOOKUP($HZ146,'Jan-2026 rates'!$L:$R,4,0),IF($LB146=40%,VLOOKUP($HZ146,'Jan-2026 rates'!$L:$R,5,0),IF($LB146=30%,VLOOKUP($HZ146,'Jan-2026 rates'!$L:$R,6,0),IF($LB146=100%,VLOOKUP($HZ146,'Jan-2026 rates'!$L:$R,7,0),IF($LB146=60%,VLOOKUP($HZ146,'Jan-2026 rates'!$L:$S,8,0),IF($LB146=80%,VLOOKUP($HZ146,'Jan-2026 rates'!L:T,9,0),0))))))))</f>
        <v>0</v>
      </c>
      <c r="IF146" s="412"/>
      <c r="IG146" s="413"/>
      <c r="IH146" s="412"/>
      <c r="II146" s="412"/>
      <c r="IJ146" s="412"/>
      <c r="IK146" s="412"/>
      <c r="IL146" s="412"/>
      <c r="IM146" s="412"/>
      <c r="IN146" s="409"/>
      <c r="IO146" s="398">
        <f>IF(IN146=0,0,IF(LEN(IF146)=11,_xlfn.XLOOKUP(IF146,'Dispensed Ink Rates'!C:C,'Dispensed Ink Rates'!CS:CS),VLOOKUP(IF146,'Jan-2026 rates'!$E:$F,2,0)))</f>
        <v>0</v>
      </c>
      <c r="IP146" s="409"/>
      <c r="IQ146" s="398">
        <f>IF(IP146=0,0,IF(LEN(IG146)=11,_xlfn.XLOOKUP(IG146,'Dispensed Ink Rates'!C:C,'Dispensed Ink Rates'!CS:CS),VLOOKUP(IG146,'Jan-2026 rates'!$E:$F,2,0)))</f>
        <v>0</v>
      </c>
      <c r="IR146" s="409"/>
      <c r="IS146" s="398">
        <f>IF(IR146=0,0,IF(LEN(IH146)=11,_xlfn.XLOOKUP(IH146,'Dispensed Ink Rates'!C:C,'Dispensed Ink Rates'!CS:CS),VLOOKUP(IH146,'Jan-2026 rates'!$E:$F,2,0)))</f>
        <v>0</v>
      </c>
      <c r="IT146" s="409"/>
      <c r="IU146" s="398">
        <f>IF(IT146=0,0,IF(LEN(II146)=11,_xlfn.XLOOKUP(II146,'Dispensed Ink Rates'!C:C,'Dispensed Ink Rates'!CS:CS),VLOOKUP(II146,'Jan-2026 rates'!$E:$F,2,0)))</f>
        <v>0</v>
      </c>
      <c r="IV146" s="409"/>
      <c r="IW146" s="398">
        <f>IF(IV146=0,0,IF(LEN(IJ146)=11,_xlfn.XLOOKUP(IJ146,'Dispensed Ink Rates'!C:C,'Dispensed Ink Rates'!CS:CS),VLOOKUP(IJ146,'Jan-2026 rates'!$E:$F,2,0)))</f>
        <v>0</v>
      </c>
      <c r="IX146" s="409"/>
      <c r="IY146" s="398">
        <f>IF(IX146=0,0,IF(LEN(IK146)=11,_xlfn.XLOOKUP(IK146,'Dispensed Ink Rates'!C:C,'Dispensed Ink Rates'!CS:CS),VLOOKUP(IK146,'Jan-2026 rates'!$E:$F,2,0)))</f>
        <v>0</v>
      </c>
      <c r="IZ146" s="409"/>
      <c r="JA146" s="398">
        <f>IF(IZ146=0,0,IF(LEN(IL146)=11,_xlfn.XLOOKUP(IL146,'Dispensed Ink Rates'!C:C,'Dispensed Ink Rates'!CS:CS),VLOOKUP(IL146,'Jan-2026 rates'!$E:$F,2,0)))</f>
        <v>0</v>
      </c>
      <c r="JB146" s="409"/>
      <c r="JC146" s="398">
        <f>IF(JB146=0,0,IF(LEN(IM146)=11,_xlfn.XLOOKUP(IM146,'Dispensed Ink Rates'!C:C,'Dispensed Ink Rates'!CS:CS),VLOOKUP(IM146,'Jan-2026 rates'!$E:$F,2,0)))</f>
        <v>0</v>
      </c>
      <c r="JD146" s="409"/>
      <c r="JE146" s="409"/>
      <c r="JF146" s="411">
        <f t="shared" si="124"/>
        <v>0</v>
      </c>
      <c r="JG146" s="411">
        <f t="shared" si="125"/>
        <v>0</v>
      </c>
      <c r="JH146" s="410">
        <f t="shared" si="126"/>
        <v>0</v>
      </c>
      <c r="JI146" s="405"/>
      <c r="JJ146" s="409"/>
      <c r="JK146" s="420" t="str">
        <f t="shared" si="60"/>
        <v xml:space="preserve"> - </v>
      </c>
      <c r="JL146" s="409"/>
      <c r="JM146" s="411">
        <f>IF(JL146=0,0,IF($LB146=70%,VLOOKUP($JK146,'Jan-2026 rates'!$L:$R,4,0),IF($LB146=65%,VLOOKUP($JK146,'Jan-2026 rates'!$L:$R,4,0),IF($LB146=40%,VLOOKUP($JK146,'Jan-2026 rates'!$L:$R,5,0),IF($LB146=30%,VLOOKUP($JK146,'Jan-2026 rates'!$L:$R,6,0),IF($LB146=100%,VLOOKUP($JK146,'Jan-2026 rates'!$L:$R,7,0),IF($LB146=60%,VLOOKUP($JK146,'Jan-2026 rates'!$L:$S,8,0),IF($LB146=80%,VLOOKUP($JK146,'Jan-2026 rates'!L:T,9,0),0))))))))</f>
        <v>0</v>
      </c>
      <c r="JN146" s="412"/>
      <c r="JO146" s="409"/>
      <c r="JP146" s="411">
        <f>IF(JO146=0,0,IF($LB146=70%,VLOOKUP($JK146,'Jan-2026 rates'!$L:$R,4,0),IF($LB146=65%,VLOOKUP($JK146,'Jan-2026 rates'!$L:$R,4,0),IF($LB146=40%,VLOOKUP($JK146,'Jan-2026 rates'!$L:$R,5,0),IF($LB146=30%,VLOOKUP($JK146,'Jan-2026 rates'!$L:$R,6,0),IF($LB146=100%,VLOOKUP($JK146,'Jan-2026 rates'!$L:$R,7,0),IF($LB146=60%,VLOOKUP($JK146,'Jan-2026 rates'!$L:$S,8,0),IF($LB146=80%,VLOOKUP($JK146,'Jan-2026 rates'!L:T,9,0),0))))))))</f>
        <v>0</v>
      </c>
      <c r="JQ146" s="413"/>
      <c r="JR146" s="412"/>
      <c r="JS146" s="413"/>
      <c r="JT146" s="413"/>
      <c r="JU146" s="412"/>
      <c r="JV146" s="412"/>
      <c r="JW146" s="412"/>
      <c r="JX146" s="412"/>
      <c r="JY146" s="409"/>
      <c r="JZ146" s="398">
        <f>IF(JY146=0,0,IF(LEN(JQ146)=11,_xlfn.XLOOKUP(JQ146,'Dispensed Ink Rates'!C:C,'Dispensed Ink Rates'!CS:CS),VLOOKUP(JQ146,'Jan-2026 rates'!$E:$F,2,0)))</f>
        <v>0</v>
      </c>
      <c r="KA146" s="409"/>
      <c r="KB146" s="398">
        <f>IF(KA146=0,0,IF(LEN(JR146)=11,_xlfn.XLOOKUP(JR146,'Dispensed Ink Rates'!C:C,'Dispensed Ink Rates'!CS:CS),VLOOKUP(JR146,'Jan-2026 rates'!$E:$F,2,0)))</f>
        <v>0</v>
      </c>
      <c r="KC146" s="409"/>
      <c r="KD146" s="398">
        <f>IF(KC146=0,0,IF(LEN(JS146)=11,_xlfn.XLOOKUP(JS146,'Dispensed Ink Rates'!C:C,'Dispensed Ink Rates'!CS:CS),VLOOKUP(JS146,'Jan-2026 rates'!$E:$F,2,0)))</f>
        <v>0</v>
      </c>
      <c r="KE146" s="409"/>
      <c r="KF146" s="398">
        <f>IF(KE146=0,0,IF(LEN(JT146)=11,_xlfn.XLOOKUP(JT146,'Dispensed Ink Rates'!C:C,'Dispensed Ink Rates'!CS:CS),VLOOKUP(JT146,'Jan-2026 rates'!$E:$F,2,0)))</f>
        <v>0</v>
      </c>
      <c r="KG146" s="409"/>
      <c r="KH146" s="398">
        <f>IF(KG146=0,0,IF(LEN(JU146)=11,_xlfn.XLOOKUP(JU146,'Dispensed Ink Rates'!C:C,'Dispensed Ink Rates'!CS:CS),VLOOKUP(JU146,'Jan-2026 rates'!$E:$F,2,0)))</f>
        <v>0</v>
      </c>
      <c r="KI146" s="409"/>
      <c r="KJ146" s="398">
        <f>IF(KI146=0,0,IF(LEN(JV146)=11,_xlfn.XLOOKUP(JV146,'Dispensed Ink Rates'!C:C,'Dispensed Ink Rates'!CS:CS),VLOOKUP(JV146,'Jan-2026 rates'!$E:$F,2,0)))</f>
        <v>0</v>
      </c>
      <c r="KK146" s="409"/>
      <c r="KL146" s="398">
        <f>IF(KK146=0,0,IF(LEN(JW146)=11,_xlfn.XLOOKUP(JW146,'Dispensed Ink Rates'!C:C,'Dispensed Ink Rates'!CS:CS),VLOOKUP(JW146,'Jan-2026 rates'!$E:$F,2,0)))</f>
        <v>0</v>
      </c>
      <c r="KM146" s="428"/>
      <c r="KN146" s="398">
        <f>IF(KM146=0,0,IF(LEN(JX146)=11,_xlfn.XLOOKUP(JX146,'Dispensed Ink Rates'!C:C,'Dispensed Ink Rates'!CS:CS),VLOOKUP(JX146,'Jan-2026 rates'!$E:$F,2,0)))</f>
        <v>0</v>
      </c>
      <c r="KO146" s="409"/>
      <c r="KP146" s="409"/>
      <c r="KQ146" s="411">
        <f t="shared" si="127"/>
        <v>0</v>
      </c>
      <c r="KR146" s="411">
        <f t="shared" si="128"/>
        <v>0</v>
      </c>
      <c r="KS146" s="410">
        <f t="shared" si="129"/>
        <v>0</v>
      </c>
      <c r="KT146" s="409">
        <v>10</v>
      </c>
      <c r="KU146" s="409">
        <v>7</v>
      </c>
      <c r="KV146" s="409">
        <v>2</v>
      </c>
      <c r="KW146" s="409">
        <v>0</v>
      </c>
      <c r="KX146" s="409">
        <v>6</v>
      </c>
      <c r="KY146" s="409">
        <v>30</v>
      </c>
      <c r="KZ146" s="409">
        <v>0</v>
      </c>
      <c r="LA146" s="409">
        <v>0</v>
      </c>
      <c r="LB146" s="415">
        <v>0.3</v>
      </c>
      <c r="LC146" s="415"/>
      <c r="LD146" s="415"/>
      <c r="LE146" s="415">
        <v>0.5</v>
      </c>
      <c r="LF146" s="415">
        <v>0.2</v>
      </c>
      <c r="LG146" s="409">
        <v>0</v>
      </c>
      <c r="LH146" s="409">
        <f>30+25+21+35+5+14</f>
        <v>130</v>
      </c>
      <c r="LI146" s="409">
        <v>0</v>
      </c>
      <c r="LJ146" s="409">
        <v>0</v>
      </c>
      <c r="LK146" s="416">
        <f t="shared" si="61"/>
        <v>130</v>
      </c>
      <c r="LL146" s="416">
        <f t="shared" si="62"/>
        <v>130</v>
      </c>
      <c r="LM146" s="417">
        <f t="shared" si="63"/>
        <v>39</v>
      </c>
      <c r="LN146" s="417">
        <f>VLOOKUP($LM$8,'Jan-2026 rates'!$H:$I,2,0)</f>
        <v>0</v>
      </c>
      <c r="LO146" s="417">
        <f t="shared" si="64"/>
        <v>0</v>
      </c>
      <c r="LP146" s="417">
        <f>VLOOKUP($LO$8,'Jan-2026 rates'!$H:$I,2,0)</f>
        <v>0</v>
      </c>
      <c r="LQ146" s="417">
        <f t="shared" si="65"/>
        <v>0</v>
      </c>
      <c r="LR146" s="417">
        <f>VLOOKUP($LQ$8,'Jan-2026 rates'!$H:$I,2,0)</f>
        <v>0</v>
      </c>
      <c r="LS146" s="417">
        <f t="shared" si="66"/>
        <v>65</v>
      </c>
      <c r="LT146" s="417">
        <f>VLOOKUP($LS$8,'Jan-2026 rates'!$H:$I,2,0)</f>
        <v>0</v>
      </c>
      <c r="LU146" s="417">
        <f t="shared" si="67"/>
        <v>26</v>
      </c>
      <c r="LV146" s="417">
        <f>VLOOKUP($LU$8,'Jan-2026 rates'!$H:$I,2,0)</f>
        <v>0</v>
      </c>
      <c r="LW146" s="417">
        <f t="shared" si="68"/>
        <v>0</v>
      </c>
      <c r="LX146" s="417">
        <f t="shared" si="69"/>
        <v>0</v>
      </c>
      <c r="LY146" s="418">
        <f t="shared" si="70"/>
        <v>0</v>
      </c>
      <c r="LZ146" s="417"/>
      <c r="MA146" s="435">
        <f t="shared" si="71"/>
        <v>125.78</v>
      </c>
      <c r="MB146" s="282">
        <f t="shared" si="72"/>
        <v>255.78</v>
      </c>
      <c r="MC146" s="283" t="s">
        <v>1981</v>
      </c>
      <c r="MD146" s="284" t="str">
        <f t="shared" si="73"/>
        <v>ToyoLiToyoLiToyoLiToyoLiToyoLiToyoLi</v>
      </c>
      <c r="ME146" s="293" t="str">
        <f t="shared" si="74"/>
        <v>+</v>
      </c>
      <c r="MF146" s="293" t="str">
        <f t="shared" si="75"/>
        <v>+</v>
      </c>
      <c r="MG146" s="293" t="str">
        <f t="shared" si="76"/>
        <v>+</v>
      </c>
      <c r="MH146" s="293" t="str">
        <f t="shared" si="77"/>
        <v>+</v>
      </c>
      <c r="MI146" s="293" t="str">
        <f t="shared" si="78"/>
        <v>+</v>
      </c>
      <c r="MJ146" s="293" t="str">
        <f t="shared" si="79"/>
        <v>+</v>
      </c>
      <c r="MK146" s="293" t="str">
        <f t="shared" si="80"/>
        <v>NIL</v>
      </c>
      <c r="ML146" s="293" t="str">
        <f t="shared" si="81"/>
        <v>NIL</v>
      </c>
      <c r="MM146" s="3" t="b">
        <f t="array" ref="MM146">OR(ME146:ML146="-")</f>
        <v>0</v>
      </c>
      <c r="MN146" s="285"/>
      <c r="MO146" s="401"/>
      <c r="MP146" s="286"/>
      <c r="MQ146" s="286"/>
      <c r="MR146" s="402"/>
      <c r="MS146" s="400"/>
      <c r="NH146" s="422"/>
      <c r="NJ146" s="421"/>
    </row>
    <row r="147" spans="1:374" s="1" customFormat="1" ht="16.5">
      <c r="A147" s="403">
        <v>46030</v>
      </c>
      <c r="B147" s="404" t="s">
        <v>1018</v>
      </c>
      <c r="C147" s="405" t="s">
        <v>3441</v>
      </c>
      <c r="D147" s="406" t="s">
        <v>1982</v>
      </c>
      <c r="E147" s="404">
        <v>432</v>
      </c>
      <c r="F147" s="407">
        <v>24900</v>
      </c>
      <c r="G147" s="407" t="s">
        <v>1016</v>
      </c>
      <c r="H147" s="408" t="s">
        <v>1017</v>
      </c>
      <c r="I147" s="409">
        <v>1.23</v>
      </c>
      <c r="J147" s="405" t="s">
        <v>543</v>
      </c>
      <c r="K147" s="404" t="s">
        <v>3442</v>
      </c>
      <c r="L147" s="419" t="str">
        <f t="shared" si="54"/>
        <v>ToyoLi - BLACK</v>
      </c>
      <c r="M147" s="404">
        <v>26</v>
      </c>
      <c r="N147" s="410">
        <f>IF(M147=0,0,IF($LB147=70%,VLOOKUP($L147,'Jan-2026 rates'!$L:$R,4,0),IF($LB147=65%,VLOOKUP($L147,'Jan-2026 rates'!$L:$R,4,0),IF($LB147=40%,VLOOKUP($L147,'Jan-2026 rates'!$L:$R,5,0),IF($LB147=30%,VLOOKUP($L147,'Jan-2026 rates'!$L:$R,6,0),IF($LB147=100%,VLOOKUP($L147,'Jan-2026 rates'!$L:$R,7,0),IF($LB147=60%,VLOOKUP($L147,'Jan-2026 rates'!$L:$S,8,0),IF($LB147=80%,VLOOKUP($L147,'Jan-2026 rates'!L:T,9,0),0))))))))</f>
        <v>0</v>
      </c>
      <c r="O147" s="406"/>
      <c r="P147" s="404"/>
      <c r="Q147" s="410">
        <f>IF(P147=0,0,IF($LB147=70%,VLOOKUP($L147,'Jan-2026 rates'!$L:$R,4,0),IF($LB147=65%,VLOOKUP($L147,'Jan-2026 rates'!$L:$R,4,0),IF($LB147=40%,VLOOKUP($L147,'Jan-2026 rates'!$L:$R,5,0),IF($LB147=30%,VLOOKUP($L147,'Jan-2026 rates'!$L:$R,6,0),IF($LB147=100%,VLOOKUP($L147,'Jan-2026 rates'!$L:$R,7,0),IF($LB147=60%,VLOOKUP($L147,'Jan-2026 rates'!$L:$S,8,0),IF($LB147=80%,VLOOKUP($L147,'Jan-2026 rates'!L:T,9,0),0))))))))</f>
        <v>0</v>
      </c>
      <c r="R147" s="406" t="s">
        <v>1921</v>
      </c>
      <c r="S147" s="406"/>
      <c r="T147" s="406"/>
      <c r="U147" s="406"/>
      <c r="V147" s="406"/>
      <c r="W147" s="406"/>
      <c r="X147" s="406"/>
      <c r="Y147" s="406"/>
      <c r="Z147" s="404">
        <v>3</v>
      </c>
      <c r="AA147" s="398">
        <f>IF(Z147=0,0,IF(LEN(R147)=11,_xlfn.XLOOKUP(R147,'Dispensed Ink Rates'!C:C,'Dispensed Ink Rates'!CS:CS),VLOOKUP(R147,'Jan-2026 rates'!$E:$F,2,0)))</f>
        <v>0</v>
      </c>
      <c r="AB147" s="404"/>
      <c r="AC147" s="398">
        <f>IF(AB147=0,0,IF(LEN(S147)=11,_xlfn.XLOOKUP(S147,'Dispensed Ink Rates'!C:C,'Dispensed Ink Rates'!CS:CS),VLOOKUP(S147,'Jan-2026 rates'!$E:$F,2,0)))</f>
        <v>0</v>
      </c>
      <c r="AD147" s="404"/>
      <c r="AE147" s="398">
        <f>IF(AD147=0,0,IF(LEN(T147)=11,_xlfn.XLOOKUP(T147,'Dispensed Ink Rates'!C:C,'Dispensed Ink Rates'!CS:CS),VLOOKUP(T147,'Jan-2026 rates'!$E:$F,2,0)))</f>
        <v>0</v>
      </c>
      <c r="AF147" s="404"/>
      <c r="AG147" s="398">
        <f>IF(AF147=0,0,IF(LEN(U147)=11,_xlfn.XLOOKUP(U147,'Dispensed Ink Rates'!C:C,'Dispensed Ink Rates'!CS:CS),VLOOKUP(U147,'Jan-2026 rates'!$E:$F,2,0)))</f>
        <v>0</v>
      </c>
      <c r="AH147" s="404"/>
      <c r="AI147" s="398">
        <f>IF(AH147=0,0,IF(LEN(V147)=11,_xlfn.XLOOKUP(V147,'Dispensed Ink Rates'!C:C,'Dispensed Ink Rates'!CS:CS),VLOOKUP(V147,'Jan-2026 rates'!$E:$F,2,0)))</f>
        <v>0</v>
      </c>
      <c r="AJ147" s="404"/>
      <c r="AK147" s="398">
        <f>IF(AJ147=0,0,IF(LEN(W147)=11,_xlfn.XLOOKUP(W147,'Dispensed Ink Rates'!C:C,'Dispensed Ink Rates'!CS:CS),VLOOKUP(W147,'Jan-2026 rates'!$E:$F,2,0)))</f>
        <v>0</v>
      </c>
      <c r="AL147" s="404"/>
      <c r="AM147" s="398">
        <f>IF(AL147=0,0,IF(LEN(X147)=11,_xlfn.XLOOKUP(X147,'Dispensed Ink Rates'!C:C,'Dispensed Ink Rates'!CS:CS),VLOOKUP(X147,'Jan-2026 rates'!$E:$F,2,0)))</f>
        <v>0</v>
      </c>
      <c r="AN147" s="404"/>
      <c r="AO147" s="398">
        <f>IF(AN147=0,0,IF(LEN(Y147)=11,_xlfn.XLOOKUP(Y147,'Dispensed Ink Rates'!C:C,'Dispensed Ink Rates'!CS:CS),VLOOKUP(Y147,'Jan-2026 rates'!$E:$F,2,0)))</f>
        <v>0</v>
      </c>
      <c r="AP147" s="409" t="s">
        <v>1881</v>
      </c>
      <c r="AQ147" s="409">
        <v>28</v>
      </c>
      <c r="AR147" s="410">
        <f t="shared" si="106"/>
        <v>0</v>
      </c>
      <c r="AS147" s="411">
        <f t="shared" si="107"/>
        <v>4.6111111111111143</v>
      </c>
      <c r="AT147" s="410">
        <f t="shared" si="108"/>
        <v>0</v>
      </c>
      <c r="AU147" s="405" t="s">
        <v>546</v>
      </c>
      <c r="AV147" s="409" t="s">
        <v>3415</v>
      </c>
      <c r="AW147" s="420" t="str">
        <f t="shared" si="130"/>
        <v>ToyoLi - REFLEX BLUE</v>
      </c>
      <c r="AX147" s="409">
        <f>17+10</f>
        <v>27</v>
      </c>
      <c r="AY147" s="411">
        <f>IF(AX147=0,0,IF($LB147=70%,VLOOKUP($AW147,'Jan-2026 rates'!$L:$R,4,0),IF($LB147=65%,VLOOKUP($AW147,'Jan-2026 rates'!$L:$R,4,0),IF($LB147=40%,VLOOKUP($AW147,'Jan-2026 rates'!$L:$R,5,0),IF($LB147=30%,VLOOKUP($AW147,'Jan-2026 rates'!$L:$R,6,0),IF($LB147=100%,VLOOKUP($AW147,'Jan-2026 rates'!$L:$R,7,0),IF($LB147=60%,VLOOKUP($AW147,'Jan-2026 rates'!$L:$S,8,0),IF($LB147=80%,VLOOKUP($AW147,'Jan-2026 rates'!L:T,9,0),0))))))))</f>
        <v>0</v>
      </c>
      <c r="AZ147" s="412" t="s">
        <v>2757</v>
      </c>
      <c r="BA147" s="409">
        <v>12</v>
      </c>
      <c r="BB147" s="411">
        <f>IF(BA147=0,0,IF($LB147=70%,VLOOKUP($AW147,'Jan-2026 rates'!$L:$R,4,0),IF($LB147=65%,VLOOKUP($AW147,'Jan-2026 rates'!$L:$R,4,0),IF($LB147=40%,VLOOKUP($AW147,'Jan-2026 rates'!$L:$R,5,0),IF($LB147=30%,VLOOKUP($AW147,'Jan-2026 rates'!$L:$R,6,0),IF($LB147=100%,VLOOKUP($AW147,'Jan-2026 rates'!$L:$R,7,0),IF($LB147=60%,VLOOKUP($AW147,'Jan-2026 rates'!$L:$S,8,0),IF($LB147=80%,VLOOKUP($AW147,'Jan-2026 rates'!L:T,9,0),0))))))))</f>
        <v>0</v>
      </c>
      <c r="BC147" s="413" t="s">
        <v>1880</v>
      </c>
      <c r="BD147" s="412" t="s">
        <v>1585</v>
      </c>
      <c r="BE147" s="412"/>
      <c r="BF147" s="413"/>
      <c r="BG147" s="412"/>
      <c r="BH147" s="412"/>
      <c r="BI147" s="412"/>
      <c r="BJ147" s="412"/>
      <c r="BK147" s="409">
        <v>10</v>
      </c>
      <c r="BL147" s="398">
        <f>IF(BK147=0,0,IF(LEN(BC147)=11,_xlfn.XLOOKUP(BC147,'Dispensed Ink Rates'!C:C,'Dispensed Ink Rates'!CS:CS),VLOOKUP(BC147,'Jan-2026 rates'!$E:$F,2,0)))</f>
        <v>0</v>
      </c>
      <c r="BM147" s="409">
        <v>15</v>
      </c>
      <c r="BN147" s="398">
        <f>IF(BM147=0,0,IF(LEN(BD147)=11,_xlfn.XLOOKUP(BD147,'Dispensed Ink Rates'!C:C,'Dispensed Ink Rates'!CS:CS),VLOOKUP(BD147,'Jan-2026 rates'!$E:$F,2,0)))</f>
        <v>0</v>
      </c>
      <c r="BO147" s="409"/>
      <c r="BP147" s="398">
        <f>IF(BO147=0,0,IF(LEN(BE147)=11,_xlfn.XLOOKUP(BE147,'Dispensed Ink Rates'!C:C,'Dispensed Ink Rates'!CS:CS),VLOOKUP(BE147,'Jan-2026 rates'!$E:$F,2,0)))</f>
        <v>0</v>
      </c>
      <c r="BQ147" s="409"/>
      <c r="BR147" s="398">
        <f>IF(BQ147=0,0,IF(LEN(BF147)=11,_xlfn.XLOOKUP(BF147,'Dispensed Ink Rates'!C:C,'Dispensed Ink Rates'!CS:CS),VLOOKUP(BF147,'Jan-2026 rates'!$E:$F,2,0)))</f>
        <v>0</v>
      </c>
      <c r="BS147" s="409"/>
      <c r="BT147" s="398">
        <f>IF(BS147=0,0,IF(LEN(BG147)=11,_xlfn.XLOOKUP(BG147,'Dispensed Ink Rates'!C:C,'Dispensed Ink Rates'!CS:CS),VLOOKUP(BG147,'Jan-2026 rates'!$E:$F,2,0)))</f>
        <v>0</v>
      </c>
      <c r="BU147" s="409"/>
      <c r="BV147" s="398">
        <f>IF(BU147=0,0,IF(LEN(BH147)=11,_xlfn.XLOOKUP(BH147,'Dispensed Ink Rates'!C:C,'Dispensed Ink Rates'!CS:CS),VLOOKUP(BH147,'Jan-2026 rates'!$E:$F,2,0)))</f>
        <v>0</v>
      </c>
      <c r="BW147" s="409"/>
      <c r="BX147" s="398">
        <f>IF(BW147=0,0,IF(LEN(BI147)=11,_xlfn.XLOOKUP(BI147,'Dispensed Ink Rates'!C:C,'Dispensed Ink Rates'!CS:CS),VLOOKUP(BI147,'Jan-2026 rates'!$E:$F,2,0)))</f>
        <v>0</v>
      </c>
      <c r="BY147" s="409"/>
      <c r="BZ147" s="398">
        <f>IF(BY147=0,0,IF(LEN(BJ147)=11,_xlfn.XLOOKUP(BJ147,'Dispensed Ink Rates'!C:C,'Dispensed Ink Rates'!CS:CS),VLOOKUP(BJ147,'Jan-2026 rates'!$E:$F,2,0)))</f>
        <v>0</v>
      </c>
      <c r="CA147" s="409" t="s">
        <v>1881</v>
      </c>
      <c r="CB147" s="409">
        <f>19+17</f>
        <v>36</v>
      </c>
      <c r="CC147" s="411">
        <f t="shared" si="109"/>
        <v>0</v>
      </c>
      <c r="CD147" s="411">
        <f t="shared" si="110"/>
        <v>55.083333333333343</v>
      </c>
      <c r="CE147" s="410">
        <f t="shared" si="111"/>
        <v>0</v>
      </c>
      <c r="CF147" s="404" t="s">
        <v>855</v>
      </c>
      <c r="CG147" s="409" t="s">
        <v>3443</v>
      </c>
      <c r="CH147" s="420" t="str">
        <f t="shared" si="55"/>
        <v>ToyoLi - CYAN</v>
      </c>
      <c r="CI147" s="409">
        <v>24</v>
      </c>
      <c r="CJ147" s="411">
        <f>IF(CI147=0,0,IF($LB147=70%,VLOOKUP($CH147,'Jan-2026 rates'!$L:$R,4,0),IF($LB147=65%,VLOOKUP($CH147,'Jan-2026 rates'!$L:$R,4,0),IF($LB147=40%,VLOOKUP($CH147,'Jan-2026 rates'!$L:$R,5,0),IF($LB147=30%,VLOOKUP($CH147,'Jan-2026 rates'!$L:$R,6,0),IF($LB147=100%,VLOOKUP($CH147,'Jan-2026 rates'!$L:$R,7,0),IF($LB147=60%,VLOOKUP($CH147,'Jan-2026 rates'!$L:$S,8,0),IF($LB147=80%,VLOOKUP($CH147,'Jan-2026 rates'!L:T,9,0),0))))))))</f>
        <v>0</v>
      </c>
      <c r="CK147" s="412"/>
      <c r="CL147" s="409"/>
      <c r="CM147" s="411">
        <f>IF(CL147=0,0,IF($LB147=70%,VLOOKUP($CH147,'Jan-2026 rates'!$L:$R,4,0),IF($LB147=65%,VLOOKUP($CH147,'Jan-2026 rates'!$L:$R,4,0),IF($LB147=40%,VLOOKUP($CH147,'Jan-2026 rates'!$L:$R,5,0),IF($LB147=30%,VLOOKUP($CH147,'Jan-2026 rates'!$L:$R,6,0),IF($LB147=100%,VLOOKUP($CH147,'Jan-2026 rates'!$L:$R,7,0),IF($LB147=60%,VLOOKUP($CH147,'Jan-2026 rates'!$L:$S,8,0),IF($LB147=80%,VLOOKUP($CH147,'Jan-2026 rates'!L:T,9,0),0))))))))</f>
        <v>0</v>
      </c>
      <c r="CN147" s="426" t="s">
        <v>1250</v>
      </c>
      <c r="CO147" s="427" t="s">
        <v>1921</v>
      </c>
      <c r="CP147" s="426"/>
      <c r="CQ147" s="426"/>
      <c r="CR147" s="428"/>
      <c r="CS147" s="428"/>
      <c r="CT147" s="428"/>
      <c r="CU147" s="428"/>
      <c r="CV147" s="409">
        <v>10</v>
      </c>
      <c r="CW147" s="398">
        <f>IF(CV147=0,0,IF(LEN(CN147)=11,_xlfn.XLOOKUP(CN147,'Dispensed Ink Rates'!C:C,'Dispensed Ink Rates'!CS:CS),VLOOKUP(CN147,'Jan-2026 rates'!$E:$F,2,0)))</f>
        <v>0</v>
      </c>
      <c r="CX147" s="409">
        <f>15+6</f>
        <v>21</v>
      </c>
      <c r="CY147" s="398">
        <f>IF(CX147=0,0,IF(LEN(CO147)=11,_xlfn.XLOOKUP(CO147,'Dispensed Ink Rates'!C:C,'Dispensed Ink Rates'!CS:CS),VLOOKUP(CO147,'Jan-2026 rates'!$E:$F,2,0)))</f>
        <v>0</v>
      </c>
      <c r="CZ147" s="409"/>
      <c r="DA147" s="398">
        <f>IF(CZ147=0,0,IF(LEN(CP147)=11,_xlfn.XLOOKUP(CP147,'Dispensed Ink Rates'!C:C,'Dispensed Ink Rates'!CS:CS),VLOOKUP(CP147,'Jan-2026 rates'!$E:$F,2,0)))</f>
        <v>0</v>
      </c>
      <c r="DB147" s="409"/>
      <c r="DC147" s="398">
        <f>IF(DB147=0,0,IF(LEN(CQ147)=11,_xlfn.XLOOKUP(CQ147,'Dispensed Ink Rates'!C:C,'Dispensed Ink Rates'!CS:CS),VLOOKUP(CQ147,'Jan-2026 rates'!$E:$F,2,0)))</f>
        <v>0</v>
      </c>
      <c r="DD147" s="409"/>
      <c r="DE147" s="398">
        <f>IF(DD147=0,0,IF(LEN(CR147)=11,_xlfn.XLOOKUP(CR147,'Dispensed Ink Rates'!C:C,'Dispensed Ink Rates'!CS:CS),VLOOKUP(CR147,'Jan-2026 rates'!$E:$F,2,0)))</f>
        <v>0</v>
      </c>
      <c r="DF147" s="409"/>
      <c r="DG147" s="398">
        <f>IF(DF147=0,0,IF(LEN(CS147)=11,_xlfn.XLOOKUP(CS147,'Dispensed Ink Rates'!C:C,'Dispensed Ink Rates'!CS:CS),VLOOKUP(CS147,'Jan-2026 rates'!$E:$F,2,0)))</f>
        <v>0</v>
      </c>
      <c r="DH147" s="409"/>
      <c r="DI147" s="398">
        <f>IF(DH147=0,0,IF(LEN(CT147)=11,_xlfn.XLOOKUP(CT147,'Dispensed Ink Rates'!C:C,'Dispensed Ink Rates'!CS:CS),VLOOKUP(CT147,'Jan-2026 rates'!$E:$F,2,0)))</f>
        <v>0</v>
      </c>
      <c r="DJ147" s="409"/>
      <c r="DK147" s="398">
        <f>IF(DJ147=0,0,IF(LEN(CU147)=11,_xlfn.XLOOKUP(CU147,'Dispensed Ink Rates'!C:C,'Dispensed Ink Rates'!CS:CS),VLOOKUP(CU147,'Jan-2026 rates'!$E:$F,2,0)))</f>
        <v>0</v>
      </c>
      <c r="DL147" s="409" t="s">
        <v>1881</v>
      </c>
      <c r="DM147" s="409">
        <v>25</v>
      </c>
      <c r="DN147" s="411">
        <f t="shared" si="112"/>
        <v>0</v>
      </c>
      <c r="DO147" s="411">
        <f t="shared" si="113"/>
        <v>66.111111111111114</v>
      </c>
      <c r="DP147" s="410">
        <f t="shared" si="114"/>
        <v>0</v>
      </c>
      <c r="DQ147" s="405" t="s">
        <v>544</v>
      </c>
      <c r="DR147" s="409" t="s">
        <v>3444</v>
      </c>
      <c r="DS147" s="420" t="str">
        <f t="shared" si="56"/>
        <v>ToyoLi - MAGENTA</v>
      </c>
      <c r="DT147" s="409">
        <v>26</v>
      </c>
      <c r="DU147" s="411">
        <f>IF(DT147=0,0,IF($LB147=70%,VLOOKUP($DS147,'Jan-2026 rates'!$L:$R,4,0),IF($LB147=65%,VLOOKUP($DS147,'Jan-2026 rates'!$L:$R,4,0),IF($LB147=40%,VLOOKUP($DS147,'Jan-2026 rates'!$L:$R,5,0),IF($LB147=30%,VLOOKUP($DS147,'Jan-2026 rates'!$L:$R,6,0),IF($LB147=100%,VLOOKUP($DS147,'Jan-2026 rates'!$L:$R,7,0),IF($LB147=60%,VLOOKUP($DS147,'Jan-2026 rates'!$L:$S,8,0),IF($LB147=80%,VLOOKUP($DS147,'Jan-2026 rates'!L:T,9,0),0))))))))</f>
        <v>0</v>
      </c>
      <c r="DV147" s="412"/>
      <c r="DW147" s="409"/>
      <c r="DX147" s="411">
        <f>IF(DW147=0,0,IF($LB147=70%,VLOOKUP($DS147,'Jan-2026 rates'!$L:$R,4,0),IF($LB147=65%,VLOOKUP($DS147,'Jan-2026 rates'!$L:$R,4,0),IF($LB147=40%,VLOOKUP($DS147,'Jan-2026 rates'!$L:$R,5,0),IF($LB147=30%,VLOOKUP($DS147,'Jan-2026 rates'!$L:$R,6,0),IF($LB147=100%,VLOOKUP($DS147,'Jan-2026 rates'!$L:$R,7,0),IF($LB147=60%,VLOOKUP($DS147,'Jan-2026 rates'!$L:$S,8,0),IF($LB147=80%,VLOOKUP($DS147,'Jan-2026 rates'!L:T,9,0),0))))))))</f>
        <v>0</v>
      </c>
      <c r="DY147" s="413" t="s">
        <v>1246</v>
      </c>
      <c r="DZ147" s="413"/>
      <c r="EA147" s="412"/>
      <c r="EB147" s="412"/>
      <c r="EC147" s="412"/>
      <c r="ED147" s="412"/>
      <c r="EE147" s="412"/>
      <c r="EF147" s="412"/>
      <c r="EG147" s="409">
        <v>3</v>
      </c>
      <c r="EH147" s="398">
        <f>IF(EG147=0,0,IF(LEN(DY147)=11,_xlfn.XLOOKUP(DY147,'Dispensed Ink Rates'!C:C,'Dispensed Ink Rates'!CS:CS),VLOOKUP(DY147,'Jan-2026 rates'!$E:$F,2,0)))</f>
        <v>0</v>
      </c>
      <c r="EI147" s="409"/>
      <c r="EJ147" s="398">
        <f>IF(EI147=0,0,IF(LEN(DZ147)=11,_xlfn.XLOOKUP(DZ147,'Dispensed Ink Rates'!C:C,'Dispensed Ink Rates'!CS:CS),VLOOKUP(DZ147,'Jan-2026 rates'!$E:$F,2,0)))</f>
        <v>0</v>
      </c>
      <c r="EK147" s="409"/>
      <c r="EL147" s="398">
        <f>IF(EK147=0,0,IF(LEN(EA147)=11,_xlfn.XLOOKUP(EA147,'Dispensed Ink Rates'!C:C,'Dispensed Ink Rates'!CS:CS),VLOOKUP(EA147,'Jan-2026 rates'!$E:$F,2,0)))</f>
        <v>0</v>
      </c>
      <c r="EM147" s="409"/>
      <c r="EN147" s="398">
        <f>IF(EM147=0,0,IF(LEN(EB147)=11,_xlfn.XLOOKUP(EB147,'Dispensed Ink Rates'!C:C,'Dispensed Ink Rates'!CS:CS),VLOOKUP(EB147,'Jan-2026 rates'!$E:$F,2,0)))</f>
        <v>0</v>
      </c>
      <c r="EO147" s="409"/>
      <c r="EP147" s="398">
        <f>IF(EO147=0,0,IF(LEN(EC147)=11,_xlfn.XLOOKUP(EC147,'Dispensed Ink Rates'!C:C,'Dispensed Ink Rates'!CS:CS),VLOOKUP(EC147,'Jan-2026 rates'!$E:$F,2,0)))</f>
        <v>0</v>
      </c>
      <c r="EQ147" s="409"/>
      <c r="ER147" s="398">
        <f>IF(EQ147=0,0,IF(LEN(ED147)=11,_xlfn.XLOOKUP(ED147,'Dispensed Ink Rates'!C:C,'Dispensed Ink Rates'!CS:CS),VLOOKUP(ED147,'Jan-2026 rates'!$E:$F,2,0)))</f>
        <v>0</v>
      </c>
      <c r="ES147" s="409"/>
      <c r="ET147" s="398">
        <f>IF(ES147=0,0,IF(LEN(EE147)=11,_xlfn.XLOOKUP(EE147,'Dispensed Ink Rates'!C:C,'Dispensed Ink Rates'!CS:CS),VLOOKUP(EE147,'Jan-2026 rates'!$E:$F,2,0)))</f>
        <v>0</v>
      </c>
      <c r="EU147" s="409"/>
      <c r="EV147" s="398">
        <f>IF(EU147=0,0,IF(LEN(EF147)=11,_xlfn.XLOOKUP(EF147,'Dispensed Ink Rates'!C:C,'Dispensed Ink Rates'!CS:CS),VLOOKUP(EF147,'Jan-2026 rates'!$E:$F,2,0)))</f>
        <v>0</v>
      </c>
      <c r="EW147" s="409" t="s">
        <v>1881</v>
      </c>
      <c r="EX147" s="409">
        <v>28</v>
      </c>
      <c r="EY147" s="411">
        <f t="shared" si="115"/>
        <v>0</v>
      </c>
      <c r="EZ147" s="411">
        <f t="shared" si="116"/>
        <v>4.6111111111111143</v>
      </c>
      <c r="FA147" s="410">
        <f t="shared" si="117"/>
        <v>0</v>
      </c>
      <c r="FB147" s="405" t="s">
        <v>545</v>
      </c>
      <c r="FC147" s="409" t="s">
        <v>3445</v>
      </c>
      <c r="FD147" s="420" t="str">
        <f t="shared" si="57"/>
        <v>ToyoLi - YELLOW</v>
      </c>
      <c r="FE147" s="409">
        <v>25</v>
      </c>
      <c r="FF147" s="411">
        <f>IF(FE147=0,0,IF($LB147=70%,VLOOKUP($FD147,'Jan-2026 rates'!$L:$R,4,0),IF($LB147=65%,VLOOKUP($FD147,'Jan-2026 rates'!$L:$R,4,0),IF($LB147=40%,VLOOKUP($FD147,'Jan-2026 rates'!$L:$R,5,0),IF($LB147=30%,VLOOKUP($FD147,'Jan-2026 rates'!$L:$R,6,0),IF($LB147=100%,VLOOKUP($FD147,'Jan-2026 rates'!$L:$R,7,0),IF($LB147=60%,VLOOKUP($FD147,'Jan-2026 rates'!$L:$S,8,0),IF($LB147=80%,VLOOKUP($FD147,'Jan-2026 rates'!L:T,9,0),0))))))))</f>
        <v>0</v>
      </c>
      <c r="FG147" s="412"/>
      <c r="FH147" s="409"/>
      <c r="FI147" s="411">
        <f>IF(FH147=0,0,IF($LB147=70%,VLOOKUP($FD147,'Jan-2026 rates'!$L:$R,4,0),IF($LB147=65%,VLOOKUP($FD147,'Jan-2026 rates'!$L:$R,4,0),IF($LB147=40%,VLOOKUP($FD147,'Jan-2026 rates'!$L:$R,5,0),IF($LB147=30%,VLOOKUP($FD147,'Jan-2026 rates'!$L:$R,6,0),IF($LB147=100%,VLOOKUP($FD147,'Jan-2026 rates'!$L:$R,7,0),IF($LB147=60%,VLOOKUP($FD147,'Jan-2026 rates'!$L:$S,8,0),IF($LB147=80%,VLOOKUP($FD147,'Jan-2026 rates'!L:T,9,0),0))))))))</f>
        <v>0</v>
      </c>
      <c r="FJ147" s="413" t="s">
        <v>1247</v>
      </c>
      <c r="FK147" s="413"/>
      <c r="FL147" s="413"/>
      <c r="FM147" s="412"/>
      <c r="FN147" s="412"/>
      <c r="FO147" s="412"/>
      <c r="FP147" s="412"/>
      <c r="FQ147" s="412"/>
      <c r="FR147" s="409">
        <v>3</v>
      </c>
      <c r="FS147" s="398">
        <f>IF(FR147=0,0,IF(LEN(FJ147)=11,_xlfn.XLOOKUP(FJ147,'Dispensed Ink Rates'!C:C,'Dispensed Ink Rates'!CS:CS),VLOOKUP(FJ147,'Jan-2026 rates'!$E:$F,2,0)))</f>
        <v>0</v>
      </c>
      <c r="FT147" s="409"/>
      <c r="FU147" s="398">
        <f>IF(FT147=0,0,IF(LEN(FK147)=11,_xlfn.XLOOKUP(FK147,'Dispensed Ink Rates'!C:C,'Dispensed Ink Rates'!CS:CS),VLOOKUP(FK147,'Jan-2026 rates'!$E:$F,2,0)))</f>
        <v>0</v>
      </c>
      <c r="FV147" s="409"/>
      <c r="FW147" s="398">
        <f>IF(FV147=0,0,IF(LEN(FL147)=11,_xlfn.XLOOKUP(FL147,'Dispensed Ink Rates'!C:C,'Dispensed Ink Rates'!CS:CS),VLOOKUP(FL147,'Jan-2026 rates'!$E:$F,2,0)))</f>
        <v>0</v>
      </c>
      <c r="FX147" s="409"/>
      <c r="FY147" s="398">
        <f>IF(FX147=0,0,IF(LEN(FM147)=11,_xlfn.XLOOKUP(FM147,'Dispensed Ink Rates'!C:C,'Dispensed Ink Rates'!CS:CS),VLOOKUP(FM147,'Jan-2026 rates'!$E:$F,2,0)))</f>
        <v>0</v>
      </c>
      <c r="FZ147" s="409"/>
      <c r="GA147" s="398">
        <f>IF(FZ147=0,0,IF(LEN(FN147)=11,_xlfn.XLOOKUP(FN147,'Dispensed Ink Rates'!C:C,'Dispensed Ink Rates'!CS:CS),VLOOKUP(FN147,'Jan-2026 rates'!$E:$F,2,0)))</f>
        <v>0</v>
      </c>
      <c r="GB147" s="409"/>
      <c r="GC147" s="398">
        <f>IF(GB147=0,0,IF(LEN(FO147)=11,_xlfn.XLOOKUP(FO147,'Dispensed Ink Rates'!C:C,'Dispensed Ink Rates'!CS:CS),VLOOKUP(FO147,'Jan-2026 rates'!$E:$F,2,0)))</f>
        <v>0</v>
      </c>
      <c r="GD147" s="409"/>
      <c r="GE147" s="398">
        <f>IF(GD147=0,0,IF(LEN(FP147)=11,_xlfn.XLOOKUP(FP147,'Dispensed Ink Rates'!C:C,'Dispensed Ink Rates'!CS:CS),VLOOKUP(FP147,'Jan-2026 rates'!$E:$F,2,0)))</f>
        <v>0</v>
      </c>
      <c r="GF147" s="409"/>
      <c r="GG147" s="398">
        <f>IF(GF147=0,0,IF(LEN(FQ147)=11,_xlfn.XLOOKUP(FQ147,'Dispensed Ink Rates'!C:C,'Dispensed Ink Rates'!CS:CS),VLOOKUP(FQ147,'Jan-2026 rates'!$E:$F,2,0)))</f>
        <v>0</v>
      </c>
      <c r="GH147" s="409" t="s">
        <v>1881</v>
      </c>
      <c r="GI147" s="409">
        <v>24</v>
      </c>
      <c r="GJ147" s="411">
        <f t="shared" si="118"/>
        <v>0</v>
      </c>
      <c r="GK147" s="411">
        <f t="shared" si="119"/>
        <v>9.4166666666666643</v>
      </c>
      <c r="GL147" s="410">
        <f t="shared" si="120"/>
        <v>0</v>
      </c>
      <c r="GM147" s="405" t="s">
        <v>856</v>
      </c>
      <c r="GN147" s="409" t="s">
        <v>3446</v>
      </c>
      <c r="GO147" s="420" t="str">
        <f t="shared" si="58"/>
        <v>ToyoLi - WHITE</v>
      </c>
      <c r="GP147" s="409">
        <v>25</v>
      </c>
      <c r="GQ147" s="411">
        <f>IF(GP147=0,0,IF($LB147=70%,VLOOKUP($GO147,'Jan-2026 rates'!$L:$R,4,0),IF($LB147=65%,VLOOKUP($GO147,'Jan-2026 rates'!$L:$R,4,0),IF($LB147=40%,VLOOKUP($GO147,'Jan-2026 rates'!$L:$R,5,0),IF($LB147=30%,VLOOKUP($GO147,'Jan-2026 rates'!$L:$R,6,0),IF($LB147=100%,VLOOKUP($GO147,'Jan-2026 rates'!$L:$R,7,0),IF($LB147=60%,VLOOKUP($GO147,'Jan-2026 rates'!$L:$S,8,0),IF($LB147=80%,VLOOKUP($GO147,'Jan-2026 rates'!L:T,9,0),0))))))))</f>
        <v>0</v>
      </c>
      <c r="GR147" s="412"/>
      <c r="GS147" s="409"/>
      <c r="GT147" s="411">
        <f>IF(GS147=0,0,IF($LB147=70%,VLOOKUP($GO147,'Jan-2026 rates'!$L:$R,4,0),IF($LB147=65%,VLOOKUP($GO147,'Jan-2026 rates'!$L:$R,4,0),IF($LB147=40%,VLOOKUP($GO147,'Jan-2026 rates'!$L:$R,5,0),IF($LB147=30%,VLOOKUP($GO147,'Jan-2026 rates'!$L:$R,6,0),IF($LB147=100%,VLOOKUP($GO147,'Jan-2026 rates'!$L:$R,7,0),IF($LB147=60%,VLOOKUP($GO147,'Jan-2026 rates'!$L:$S,8,0),IF($LB147=80%,VLOOKUP($GO147,'Jan-2026 rates'!L:T,9,0),0))))))))</f>
        <v>0</v>
      </c>
      <c r="GU147" s="413" t="s">
        <v>1249</v>
      </c>
      <c r="GV147" s="413" t="s">
        <v>1122</v>
      </c>
      <c r="GW147" s="412"/>
      <c r="GX147" s="412"/>
      <c r="GY147" s="412"/>
      <c r="GZ147" s="412"/>
      <c r="HA147" s="412"/>
      <c r="HB147" s="412"/>
      <c r="HC147" s="409">
        <v>60</v>
      </c>
      <c r="HD147" s="398">
        <f>IF(HC147=0,0,IF(LEN(GU147)=11,_xlfn.XLOOKUP(GU147,'Dispensed Ink Rates'!C:C,'Dispensed Ink Rates'!CS:CS),VLOOKUP(GU147,'Jan-2026 rates'!$E:$F,2,0)))</f>
        <v>0</v>
      </c>
      <c r="HE147" s="409">
        <v>6.22</v>
      </c>
      <c r="HF147" s="398">
        <f>IF(HE147=0,0,IF(LEN(GV147)=11,_xlfn.XLOOKUP(GV147,'Dispensed Ink Rates'!C:C,'Dispensed Ink Rates'!CS:CS),VLOOKUP(GV147,'Jan-2026 rates'!$E:$F,2,0)))</f>
        <v>0</v>
      </c>
      <c r="HG147" s="409"/>
      <c r="HH147" s="398">
        <f>IF(HG147=0,0,IF(LEN(GW147)=11,_xlfn.XLOOKUP(GW147,'Dispensed Ink Rates'!C:C,'Dispensed Ink Rates'!CS:CS),VLOOKUP(GW147,'Jan-2026 rates'!$E:$F,2,0)))</f>
        <v>0</v>
      </c>
      <c r="HI147" s="409"/>
      <c r="HJ147" s="398">
        <f>IF(HI147=0,0,IF(LEN(GX147)=11,_xlfn.XLOOKUP(GX147,'Dispensed Ink Rates'!C:C,'Dispensed Ink Rates'!CS:CS),VLOOKUP(GX147,'Jan-2026 rates'!$E:$F,2,0)))</f>
        <v>0</v>
      </c>
      <c r="HK147" s="409"/>
      <c r="HL147" s="398">
        <f>IF(HK147=0,0,IF(LEN(GY147)=11,_xlfn.XLOOKUP(GY147,'Dispensed Ink Rates'!C:C,'Dispensed Ink Rates'!CS:CS),VLOOKUP(GY147,'Jan-2026 rates'!$E:$F,2,0)))</f>
        <v>0</v>
      </c>
      <c r="HM147" s="409"/>
      <c r="HN147" s="398">
        <f>IF(HM147=0,0,IF(LEN(GZ147)=11,_xlfn.XLOOKUP(GZ147,'Dispensed Ink Rates'!C:C,'Dispensed Ink Rates'!CS:CS),VLOOKUP(GZ147,'Jan-2026 rates'!$E:$F,2,0)))</f>
        <v>0</v>
      </c>
      <c r="HO147" s="409"/>
      <c r="HP147" s="398">
        <f>IF(HO147=0,0,IF(LEN(HA147)=11,_xlfn.XLOOKUP(HA147,'Dispensed Ink Rates'!C:C,'Dispensed Ink Rates'!CS:CS),VLOOKUP(HA147,'Jan-2026 rates'!$E:$F,2,0)))</f>
        <v>0</v>
      </c>
      <c r="HQ147" s="409"/>
      <c r="HR147" s="398">
        <f>IF(HQ147=0,0,IF(LEN(HB147)=11,_xlfn.XLOOKUP(HB147,'Dispensed Ink Rates'!C:C,'Dispensed Ink Rates'!CS:CS),VLOOKUP(HB147,'Jan-2026 rates'!$E:$F,2,0)))</f>
        <v>0</v>
      </c>
      <c r="HS147" s="409" t="s">
        <v>1881</v>
      </c>
      <c r="HT147" s="409">
        <v>25</v>
      </c>
      <c r="HU147" s="411">
        <f t="shared" si="121"/>
        <v>0</v>
      </c>
      <c r="HV147" s="411">
        <f t="shared" si="122"/>
        <v>120.38666666666666</v>
      </c>
      <c r="HW147" s="414">
        <f t="shared" si="123"/>
        <v>0</v>
      </c>
      <c r="HX147" s="405"/>
      <c r="HY147" s="409"/>
      <c r="HZ147" s="420" t="str">
        <f t="shared" si="59"/>
        <v xml:space="preserve"> - </v>
      </c>
      <c r="IA147" s="409"/>
      <c r="IB147" s="411">
        <f>IF(IA147=0,0,IF($LB147=70%,VLOOKUP($HZ147,'Jan-2026 rates'!$L:$R,4,0),IF($LB147=65%,VLOOKUP($HZ147,'Jan-2026 rates'!$L:$R,4,0),IF($LB147=40%,VLOOKUP($HZ147,'Jan-2026 rates'!$L:$R,5,0),IF($LB147=30%,VLOOKUP($HZ147,'Jan-2026 rates'!$L:$R,6,0),IF($LB147=100%,VLOOKUP($HZ147,'Jan-2026 rates'!$L:$R,7,0),IF($LB147=60%,VLOOKUP($HZ147,'Jan-2026 rates'!$L:$S,8,0),IF($LB147=80%,VLOOKUP($HZ147,'Jan-2026 rates'!L:T,9,0),0))))))))</f>
        <v>0</v>
      </c>
      <c r="IC147" s="412"/>
      <c r="ID147" s="409"/>
      <c r="IE147" s="411">
        <f>IF(ID147=0,0,IF($LB147=70%,VLOOKUP($HZ147,'Jan-2026 rates'!$L:$R,4,0),IF($LB147=65%,VLOOKUP($HZ147,'Jan-2026 rates'!$L:$R,4,0),IF($LB147=40%,VLOOKUP($HZ147,'Jan-2026 rates'!$L:$R,5,0),IF($LB147=30%,VLOOKUP($HZ147,'Jan-2026 rates'!$L:$R,6,0),IF($LB147=100%,VLOOKUP($HZ147,'Jan-2026 rates'!$L:$R,7,0),IF($LB147=60%,VLOOKUP($HZ147,'Jan-2026 rates'!$L:$S,8,0),IF($LB147=80%,VLOOKUP($HZ147,'Jan-2026 rates'!L:T,9,0),0))))))))</f>
        <v>0</v>
      </c>
      <c r="IF147" s="412"/>
      <c r="IG147" s="413"/>
      <c r="IH147" s="412"/>
      <c r="II147" s="412"/>
      <c r="IJ147" s="412"/>
      <c r="IK147" s="412"/>
      <c r="IL147" s="412"/>
      <c r="IM147" s="412"/>
      <c r="IN147" s="409"/>
      <c r="IO147" s="398">
        <f>IF(IN147=0,0,IF(LEN(IF147)=11,_xlfn.XLOOKUP(IF147,'Dispensed Ink Rates'!C:C,'Dispensed Ink Rates'!CS:CS),VLOOKUP(IF147,'Jan-2026 rates'!$E:$F,2,0)))</f>
        <v>0</v>
      </c>
      <c r="IP147" s="409"/>
      <c r="IQ147" s="398">
        <f>IF(IP147=0,0,IF(LEN(IG147)=11,_xlfn.XLOOKUP(IG147,'Dispensed Ink Rates'!C:C,'Dispensed Ink Rates'!CS:CS),VLOOKUP(IG147,'Jan-2026 rates'!$E:$F,2,0)))</f>
        <v>0</v>
      </c>
      <c r="IR147" s="409"/>
      <c r="IS147" s="398">
        <f>IF(IR147=0,0,IF(LEN(IH147)=11,_xlfn.XLOOKUP(IH147,'Dispensed Ink Rates'!C:C,'Dispensed Ink Rates'!CS:CS),VLOOKUP(IH147,'Jan-2026 rates'!$E:$F,2,0)))</f>
        <v>0</v>
      </c>
      <c r="IT147" s="409"/>
      <c r="IU147" s="398">
        <f>IF(IT147=0,0,IF(LEN(II147)=11,_xlfn.XLOOKUP(II147,'Dispensed Ink Rates'!C:C,'Dispensed Ink Rates'!CS:CS),VLOOKUP(II147,'Jan-2026 rates'!$E:$F,2,0)))</f>
        <v>0</v>
      </c>
      <c r="IV147" s="409"/>
      <c r="IW147" s="398">
        <f>IF(IV147=0,0,IF(LEN(IJ147)=11,_xlfn.XLOOKUP(IJ147,'Dispensed Ink Rates'!C:C,'Dispensed Ink Rates'!CS:CS),VLOOKUP(IJ147,'Jan-2026 rates'!$E:$F,2,0)))</f>
        <v>0</v>
      </c>
      <c r="IX147" s="409"/>
      <c r="IY147" s="398">
        <f>IF(IX147=0,0,IF(LEN(IK147)=11,_xlfn.XLOOKUP(IK147,'Dispensed Ink Rates'!C:C,'Dispensed Ink Rates'!CS:CS),VLOOKUP(IK147,'Jan-2026 rates'!$E:$F,2,0)))</f>
        <v>0</v>
      </c>
      <c r="IZ147" s="409"/>
      <c r="JA147" s="398">
        <f>IF(IZ147=0,0,IF(LEN(IL147)=11,_xlfn.XLOOKUP(IL147,'Dispensed Ink Rates'!C:C,'Dispensed Ink Rates'!CS:CS),VLOOKUP(IL147,'Jan-2026 rates'!$E:$F,2,0)))</f>
        <v>0</v>
      </c>
      <c r="JB147" s="409"/>
      <c r="JC147" s="398">
        <f>IF(JB147=0,0,IF(LEN(IM147)=11,_xlfn.XLOOKUP(IM147,'Dispensed Ink Rates'!C:C,'Dispensed Ink Rates'!CS:CS),VLOOKUP(IM147,'Jan-2026 rates'!$E:$F,2,0)))</f>
        <v>0</v>
      </c>
      <c r="JD147" s="409"/>
      <c r="JE147" s="409"/>
      <c r="JF147" s="411">
        <f t="shared" si="124"/>
        <v>0</v>
      </c>
      <c r="JG147" s="411">
        <f t="shared" si="125"/>
        <v>0</v>
      </c>
      <c r="JH147" s="410">
        <f t="shared" si="126"/>
        <v>0</v>
      </c>
      <c r="JI147" s="405"/>
      <c r="JJ147" s="409"/>
      <c r="JK147" s="420" t="str">
        <f t="shared" si="60"/>
        <v xml:space="preserve"> - </v>
      </c>
      <c r="JL147" s="409"/>
      <c r="JM147" s="411">
        <f>IF(JL147=0,0,IF($LB147=70%,VLOOKUP($JK147,'Jan-2026 rates'!$L:$R,4,0),IF($LB147=65%,VLOOKUP($JK147,'Jan-2026 rates'!$L:$R,4,0),IF($LB147=40%,VLOOKUP($JK147,'Jan-2026 rates'!$L:$R,5,0),IF($LB147=30%,VLOOKUP($JK147,'Jan-2026 rates'!$L:$R,6,0),IF($LB147=100%,VLOOKUP($JK147,'Jan-2026 rates'!$L:$R,7,0),IF($LB147=60%,VLOOKUP($JK147,'Jan-2026 rates'!$L:$S,8,0),IF($LB147=80%,VLOOKUP($JK147,'Jan-2026 rates'!L:T,9,0),0))))))))</f>
        <v>0</v>
      </c>
      <c r="JN147" s="412"/>
      <c r="JO147" s="409"/>
      <c r="JP147" s="411">
        <f>IF(JO147=0,0,IF($LB147=70%,VLOOKUP($JK147,'Jan-2026 rates'!$L:$R,4,0),IF($LB147=65%,VLOOKUP($JK147,'Jan-2026 rates'!$L:$R,4,0),IF($LB147=40%,VLOOKUP($JK147,'Jan-2026 rates'!$L:$R,5,0),IF($LB147=30%,VLOOKUP($JK147,'Jan-2026 rates'!$L:$R,6,0),IF($LB147=100%,VLOOKUP($JK147,'Jan-2026 rates'!$L:$R,7,0),IF($LB147=60%,VLOOKUP($JK147,'Jan-2026 rates'!$L:$S,8,0),IF($LB147=80%,VLOOKUP($JK147,'Jan-2026 rates'!L:T,9,0),0))))))))</f>
        <v>0</v>
      </c>
      <c r="JQ147" s="413"/>
      <c r="JR147" s="412"/>
      <c r="JS147" s="413"/>
      <c r="JT147" s="413"/>
      <c r="JU147" s="412"/>
      <c r="JV147" s="412"/>
      <c r="JW147" s="412"/>
      <c r="JX147" s="412"/>
      <c r="JY147" s="409"/>
      <c r="JZ147" s="398">
        <f>IF(JY147=0,0,IF(LEN(JQ147)=11,_xlfn.XLOOKUP(JQ147,'Dispensed Ink Rates'!C:C,'Dispensed Ink Rates'!CS:CS),VLOOKUP(JQ147,'Jan-2026 rates'!$E:$F,2,0)))</f>
        <v>0</v>
      </c>
      <c r="KA147" s="409"/>
      <c r="KB147" s="398">
        <f>IF(KA147=0,0,IF(LEN(JR147)=11,_xlfn.XLOOKUP(JR147,'Dispensed Ink Rates'!C:C,'Dispensed Ink Rates'!CS:CS),VLOOKUP(JR147,'Jan-2026 rates'!$E:$F,2,0)))</f>
        <v>0</v>
      </c>
      <c r="KC147" s="409"/>
      <c r="KD147" s="398">
        <f>IF(KC147=0,0,IF(LEN(JS147)=11,_xlfn.XLOOKUP(JS147,'Dispensed Ink Rates'!C:C,'Dispensed Ink Rates'!CS:CS),VLOOKUP(JS147,'Jan-2026 rates'!$E:$F,2,0)))</f>
        <v>0</v>
      </c>
      <c r="KE147" s="409"/>
      <c r="KF147" s="398">
        <f>IF(KE147=0,0,IF(LEN(JT147)=11,_xlfn.XLOOKUP(JT147,'Dispensed Ink Rates'!C:C,'Dispensed Ink Rates'!CS:CS),VLOOKUP(JT147,'Jan-2026 rates'!$E:$F,2,0)))</f>
        <v>0</v>
      </c>
      <c r="KG147" s="409"/>
      <c r="KH147" s="398">
        <f>IF(KG147=0,0,IF(LEN(JU147)=11,_xlfn.XLOOKUP(JU147,'Dispensed Ink Rates'!C:C,'Dispensed Ink Rates'!CS:CS),VLOOKUP(JU147,'Jan-2026 rates'!$E:$F,2,0)))</f>
        <v>0</v>
      </c>
      <c r="KI147" s="409"/>
      <c r="KJ147" s="398">
        <f>IF(KI147=0,0,IF(LEN(JV147)=11,_xlfn.XLOOKUP(JV147,'Dispensed Ink Rates'!C:C,'Dispensed Ink Rates'!CS:CS),VLOOKUP(JV147,'Jan-2026 rates'!$E:$F,2,0)))</f>
        <v>0</v>
      </c>
      <c r="KK147" s="409"/>
      <c r="KL147" s="398">
        <f>IF(KK147=0,0,IF(LEN(JW147)=11,_xlfn.XLOOKUP(JW147,'Dispensed Ink Rates'!C:C,'Dispensed Ink Rates'!CS:CS),VLOOKUP(JW147,'Jan-2026 rates'!$E:$F,2,0)))</f>
        <v>0</v>
      </c>
      <c r="KM147" s="428"/>
      <c r="KN147" s="398">
        <f>IF(KM147=0,0,IF(LEN(JX147)=11,_xlfn.XLOOKUP(JX147,'Dispensed Ink Rates'!C:C,'Dispensed Ink Rates'!CS:CS),VLOOKUP(JX147,'Jan-2026 rates'!$E:$F,2,0)))</f>
        <v>0</v>
      </c>
      <c r="KO147" s="409"/>
      <c r="KP147" s="409"/>
      <c r="KQ147" s="411">
        <f t="shared" si="127"/>
        <v>0</v>
      </c>
      <c r="KR147" s="411">
        <f t="shared" si="128"/>
        <v>0</v>
      </c>
      <c r="KS147" s="410">
        <f t="shared" si="129"/>
        <v>0</v>
      </c>
      <c r="KT147" s="409">
        <v>2</v>
      </c>
      <c r="KU147" s="409">
        <v>15</v>
      </c>
      <c r="KV147" s="409">
        <v>20</v>
      </c>
      <c r="KW147" s="409">
        <v>2</v>
      </c>
      <c r="KX147" s="409">
        <v>3</v>
      </c>
      <c r="KY147" s="409">
        <v>30</v>
      </c>
      <c r="KZ147" s="409">
        <v>0</v>
      </c>
      <c r="LA147" s="409">
        <v>0</v>
      </c>
      <c r="LB147" s="415">
        <v>0.3</v>
      </c>
      <c r="LC147" s="415"/>
      <c r="LD147" s="415"/>
      <c r="LE147" s="415">
        <v>0.5</v>
      </c>
      <c r="LF147" s="415">
        <v>0.2</v>
      </c>
      <c r="LG147" s="409">
        <v>0</v>
      </c>
      <c r="LH147" s="409">
        <f>30+25+5+21+35+14</f>
        <v>130</v>
      </c>
      <c r="LI147" s="409">
        <v>0</v>
      </c>
      <c r="LJ147" s="409">
        <v>0</v>
      </c>
      <c r="LK147" s="416">
        <f t="shared" si="61"/>
        <v>130</v>
      </c>
      <c r="LL147" s="416">
        <f t="shared" si="62"/>
        <v>130</v>
      </c>
      <c r="LM147" s="417">
        <f t="shared" si="63"/>
        <v>39</v>
      </c>
      <c r="LN147" s="417">
        <f>VLOOKUP($LM$8,'Jan-2026 rates'!$H:$I,2,0)</f>
        <v>0</v>
      </c>
      <c r="LO147" s="417">
        <f t="shared" si="64"/>
        <v>0</v>
      </c>
      <c r="LP147" s="417">
        <f>VLOOKUP($LO$8,'Jan-2026 rates'!$H:$I,2,0)</f>
        <v>0</v>
      </c>
      <c r="LQ147" s="417">
        <f t="shared" si="65"/>
        <v>0</v>
      </c>
      <c r="LR147" s="417">
        <f>VLOOKUP($LQ$8,'Jan-2026 rates'!$H:$I,2,0)</f>
        <v>0</v>
      </c>
      <c r="LS147" s="417">
        <f t="shared" si="66"/>
        <v>65</v>
      </c>
      <c r="LT147" s="417">
        <f>VLOOKUP($LS$8,'Jan-2026 rates'!$H:$I,2,0)</f>
        <v>0</v>
      </c>
      <c r="LU147" s="417">
        <f t="shared" si="67"/>
        <v>26</v>
      </c>
      <c r="LV147" s="417">
        <f>VLOOKUP($LU$8,'Jan-2026 rates'!$H:$I,2,0)</f>
        <v>0</v>
      </c>
      <c r="LW147" s="417">
        <f t="shared" si="68"/>
        <v>0</v>
      </c>
      <c r="LX147" s="417">
        <f t="shared" si="69"/>
        <v>0</v>
      </c>
      <c r="LY147" s="418">
        <f t="shared" si="70"/>
        <v>0</v>
      </c>
      <c r="LZ147" s="417"/>
      <c r="MA147" s="435">
        <f t="shared" si="71"/>
        <v>131.22</v>
      </c>
      <c r="MB147" s="282">
        <f t="shared" si="72"/>
        <v>260.22000000000003</v>
      </c>
      <c r="MC147" s="283" t="s">
        <v>1982</v>
      </c>
      <c r="MD147" s="284" t="str">
        <f t="shared" si="73"/>
        <v>ToyoLiToyoLiToyoLiToyoLiToyoLiToyoLi</v>
      </c>
      <c r="ME147" s="293" t="str">
        <f t="shared" si="74"/>
        <v>+</v>
      </c>
      <c r="MF147" s="293" t="str">
        <f t="shared" si="75"/>
        <v>+</v>
      </c>
      <c r="MG147" s="293" t="str">
        <f t="shared" si="76"/>
        <v>+</v>
      </c>
      <c r="MH147" s="293" t="str">
        <f t="shared" si="77"/>
        <v>+</v>
      </c>
      <c r="MI147" s="293" t="str">
        <f t="shared" si="78"/>
        <v>+</v>
      </c>
      <c r="MJ147" s="293" t="str">
        <f t="shared" si="79"/>
        <v>+</v>
      </c>
      <c r="MK147" s="293" t="str">
        <f t="shared" si="80"/>
        <v>NIL</v>
      </c>
      <c r="ML147" s="293" t="str">
        <f t="shared" si="81"/>
        <v>NIL</v>
      </c>
      <c r="MM147" s="3" t="b">
        <f t="array" ref="MM147">OR(ME147:ML147="-")</f>
        <v>0</v>
      </c>
      <c r="MN147" s="285"/>
      <c r="MO147" s="401"/>
      <c r="MP147" s="286"/>
      <c r="MQ147" s="286"/>
      <c r="MR147" s="402"/>
      <c r="MS147" s="400"/>
      <c r="NH147" s="422"/>
      <c r="NJ147" s="421"/>
    </row>
    <row r="148" spans="1:374" s="1" customFormat="1" ht="16.5">
      <c r="A148" s="403">
        <v>46031</v>
      </c>
      <c r="B148" s="404" t="s">
        <v>1015</v>
      </c>
      <c r="C148" s="405" t="s">
        <v>3447</v>
      </c>
      <c r="D148" s="406" t="s">
        <v>1983</v>
      </c>
      <c r="E148" s="404">
        <v>222</v>
      </c>
      <c r="F148" s="407">
        <v>12800</v>
      </c>
      <c r="G148" s="407" t="s">
        <v>1016</v>
      </c>
      <c r="H148" s="408" t="s">
        <v>1017</v>
      </c>
      <c r="I148" s="409">
        <v>1.32</v>
      </c>
      <c r="J148" s="405" t="s">
        <v>543</v>
      </c>
      <c r="K148" s="404" t="s">
        <v>2660</v>
      </c>
      <c r="L148" s="419" t="str">
        <f t="shared" si="54"/>
        <v>ToyoLi - BLACK</v>
      </c>
      <c r="M148" s="404">
        <f>17+15</f>
        <v>32</v>
      </c>
      <c r="N148" s="410">
        <f>IF(M148=0,0,IF($LB148=70%,VLOOKUP($L148,'Jan-2026 rates'!$L:$R,4,0),IF($LB148=65%,VLOOKUP($L148,'Jan-2026 rates'!$L:$R,4,0),IF($LB148=40%,VLOOKUP($L148,'Jan-2026 rates'!$L:$R,5,0),IF($LB148=30%,VLOOKUP($L148,'Jan-2026 rates'!$L:$R,6,0),IF($LB148=100%,VLOOKUP($L148,'Jan-2026 rates'!$L:$R,7,0),IF($LB148=60%,VLOOKUP($L148,'Jan-2026 rates'!$L:$S,8,0),IF($LB148=80%,VLOOKUP($L148,'Jan-2026 rates'!L:T,9,0),0))))))))</f>
        <v>0</v>
      </c>
      <c r="O148" s="406"/>
      <c r="P148" s="404"/>
      <c r="Q148" s="410">
        <f>IF(P148=0,0,IF($LB148=70%,VLOOKUP($L148,'Jan-2026 rates'!$L:$R,4,0),IF($LB148=65%,VLOOKUP($L148,'Jan-2026 rates'!$L:$R,4,0),IF($LB148=40%,VLOOKUP($L148,'Jan-2026 rates'!$L:$R,5,0),IF($LB148=30%,VLOOKUP($L148,'Jan-2026 rates'!$L:$R,6,0),IF($LB148=100%,VLOOKUP($L148,'Jan-2026 rates'!$L:$R,7,0),IF($LB148=60%,VLOOKUP($L148,'Jan-2026 rates'!$L:$S,8,0),IF($LB148=80%,VLOOKUP($L148,'Jan-2026 rates'!L:T,9,0),0))))))))</f>
        <v>0</v>
      </c>
      <c r="R148" s="406" t="s">
        <v>1246</v>
      </c>
      <c r="S148" s="406"/>
      <c r="T148" s="406"/>
      <c r="U148" s="406"/>
      <c r="V148" s="406"/>
      <c r="W148" s="406"/>
      <c r="X148" s="406"/>
      <c r="Y148" s="406"/>
      <c r="Z148" s="404">
        <v>1</v>
      </c>
      <c r="AA148" s="398">
        <f>IF(Z148=0,0,IF(LEN(R148)=11,_xlfn.XLOOKUP(R148,'Dispensed Ink Rates'!C:C,'Dispensed Ink Rates'!CS:CS),VLOOKUP(R148,'Jan-2026 rates'!$E:$F,2,0)))</f>
        <v>0</v>
      </c>
      <c r="AB148" s="404"/>
      <c r="AC148" s="398">
        <f>IF(AB148=0,0,IF(LEN(S148)=11,_xlfn.XLOOKUP(S148,'Dispensed Ink Rates'!C:C,'Dispensed Ink Rates'!CS:CS),VLOOKUP(S148,'Jan-2026 rates'!$E:$F,2,0)))</f>
        <v>0</v>
      </c>
      <c r="AD148" s="404"/>
      <c r="AE148" s="398">
        <f>IF(AD148=0,0,IF(LEN(T148)=11,_xlfn.XLOOKUP(T148,'Dispensed Ink Rates'!C:C,'Dispensed Ink Rates'!CS:CS),VLOOKUP(T148,'Jan-2026 rates'!$E:$F,2,0)))</f>
        <v>0</v>
      </c>
      <c r="AF148" s="404"/>
      <c r="AG148" s="398">
        <f>IF(AF148=0,0,IF(LEN(U148)=11,_xlfn.XLOOKUP(U148,'Dispensed Ink Rates'!C:C,'Dispensed Ink Rates'!CS:CS),VLOOKUP(U148,'Jan-2026 rates'!$E:$F,2,0)))</f>
        <v>0</v>
      </c>
      <c r="AH148" s="404"/>
      <c r="AI148" s="398">
        <f>IF(AH148=0,0,IF(LEN(V148)=11,_xlfn.XLOOKUP(V148,'Dispensed Ink Rates'!C:C,'Dispensed Ink Rates'!CS:CS),VLOOKUP(V148,'Jan-2026 rates'!$E:$F,2,0)))</f>
        <v>0</v>
      </c>
      <c r="AJ148" s="404"/>
      <c r="AK148" s="398">
        <f>IF(AJ148=0,0,IF(LEN(W148)=11,_xlfn.XLOOKUP(W148,'Dispensed Ink Rates'!C:C,'Dispensed Ink Rates'!CS:CS),VLOOKUP(W148,'Jan-2026 rates'!$E:$F,2,0)))</f>
        <v>0</v>
      </c>
      <c r="AL148" s="404"/>
      <c r="AM148" s="398">
        <f>IF(AL148=0,0,IF(LEN(X148)=11,_xlfn.XLOOKUP(X148,'Dispensed Ink Rates'!C:C,'Dispensed Ink Rates'!CS:CS),VLOOKUP(X148,'Jan-2026 rates'!$E:$F,2,0)))</f>
        <v>0</v>
      </c>
      <c r="AN148" s="404"/>
      <c r="AO148" s="398">
        <f>IF(AN148=0,0,IF(LEN(Y148)=11,_xlfn.XLOOKUP(Y148,'Dispensed Ink Rates'!C:C,'Dispensed Ink Rates'!CS:CS),VLOOKUP(Y148,'Jan-2026 rates'!$E:$F,2,0)))</f>
        <v>0</v>
      </c>
      <c r="AP148" s="409" t="s">
        <v>1881</v>
      </c>
      <c r="AQ148" s="409">
        <v>28</v>
      </c>
      <c r="AR148" s="410">
        <f t="shared" si="106"/>
        <v>0</v>
      </c>
      <c r="AS148" s="411">
        <f t="shared" si="107"/>
        <v>9.9444444444444429</v>
      </c>
      <c r="AT148" s="410">
        <f t="shared" si="108"/>
        <v>0</v>
      </c>
      <c r="AU148" s="405" t="s">
        <v>857</v>
      </c>
      <c r="AV148" s="409" t="s">
        <v>3448</v>
      </c>
      <c r="AW148" s="420" t="str">
        <f t="shared" si="130"/>
        <v>ToyoLi - RED</v>
      </c>
      <c r="AX148" s="409">
        <v>20</v>
      </c>
      <c r="AY148" s="411">
        <f>IF(AX148=0,0,IF($LB148=70%,VLOOKUP($AW148,'Jan-2026 rates'!$L:$R,4,0),IF($LB148=65%,VLOOKUP($AW148,'Jan-2026 rates'!$L:$R,4,0),IF($LB148=40%,VLOOKUP($AW148,'Jan-2026 rates'!$L:$R,5,0),IF($LB148=30%,VLOOKUP($AW148,'Jan-2026 rates'!$L:$R,6,0),IF($LB148=100%,VLOOKUP($AW148,'Jan-2026 rates'!$L:$R,7,0),IF($LB148=60%,VLOOKUP($AW148,'Jan-2026 rates'!$L:$S,8,0),IF($LB148=80%,VLOOKUP($AW148,'Jan-2026 rates'!L:T,9,0),0))))))))</f>
        <v>0</v>
      </c>
      <c r="AZ148" s="412" t="s">
        <v>3449</v>
      </c>
      <c r="BA148" s="409">
        <f>16+5</f>
        <v>21</v>
      </c>
      <c r="BB148" s="411">
        <f>IF(BA148=0,0,IF($LB148=70%,VLOOKUP($AW148,'Jan-2026 rates'!$L:$R,4,0),IF($LB148=65%,VLOOKUP($AW148,'Jan-2026 rates'!$L:$R,4,0),IF($LB148=40%,VLOOKUP($AW148,'Jan-2026 rates'!$L:$R,5,0),IF($LB148=30%,VLOOKUP($AW148,'Jan-2026 rates'!$L:$R,6,0),IF($LB148=100%,VLOOKUP($AW148,'Jan-2026 rates'!$L:$R,7,0),IF($LB148=60%,VLOOKUP($AW148,'Jan-2026 rates'!$L:$S,8,0),IF($LB148=80%,VLOOKUP($AW148,'Jan-2026 rates'!L:T,9,0),0))))))))</f>
        <v>0</v>
      </c>
      <c r="BC148" s="413" t="s">
        <v>1246</v>
      </c>
      <c r="BD148" s="412" t="s">
        <v>1248</v>
      </c>
      <c r="BE148" s="412"/>
      <c r="BF148" s="413"/>
      <c r="BG148" s="412"/>
      <c r="BH148" s="412"/>
      <c r="BI148" s="412"/>
      <c r="BJ148" s="412"/>
      <c r="BK148" s="409">
        <v>8</v>
      </c>
      <c r="BL148" s="398">
        <f>IF(BK148=0,0,IF(LEN(BC148)=11,_xlfn.XLOOKUP(BC148,'Dispensed Ink Rates'!C:C,'Dispensed Ink Rates'!CS:CS),VLOOKUP(BC148,'Jan-2026 rates'!$E:$F,2,0)))</f>
        <v>0</v>
      </c>
      <c r="BM148" s="409">
        <v>5</v>
      </c>
      <c r="BN148" s="398">
        <f>IF(BM148=0,0,IF(LEN(BD148)=11,_xlfn.XLOOKUP(BD148,'Dispensed Ink Rates'!C:C,'Dispensed Ink Rates'!CS:CS),VLOOKUP(BD148,'Jan-2026 rates'!$E:$F,2,0)))</f>
        <v>0</v>
      </c>
      <c r="BO148" s="409"/>
      <c r="BP148" s="398">
        <f>IF(BO148=0,0,IF(LEN(BE148)=11,_xlfn.XLOOKUP(BE148,'Dispensed Ink Rates'!C:C,'Dispensed Ink Rates'!CS:CS),VLOOKUP(BE148,'Jan-2026 rates'!$E:$F,2,0)))</f>
        <v>0</v>
      </c>
      <c r="BQ148" s="409"/>
      <c r="BR148" s="398">
        <f>IF(BQ148=0,0,IF(LEN(BF148)=11,_xlfn.XLOOKUP(BF148,'Dispensed Ink Rates'!C:C,'Dispensed Ink Rates'!CS:CS),VLOOKUP(BF148,'Jan-2026 rates'!$E:$F,2,0)))</f>
        <v>0</v>
      </c>
      <c r="BS148" s="409"/>
      <c r="BT148" s="398">
        <f>IF(BS148=0,0,IF(LEN(BG148)=11,_xlfn.XLOOKUP(BG148,'Dispensed Ink Rates'!C:C,'Dispensed Ink Rates'!CS:CS),VLOOKUP(BG148,'Jan-2026 rates'!$E:$F,2,0)))</f>
        <v>0</v>
      </c>
      <c r="BU148" s="409"/>
      <c r="BV148" s="398">
        <f>IF(BU148=0,0,IF(LEN(BH148)=11,_xlfn.XLOOKUP(BH148,'Dispensed Ink Rates'!C:C,'Dispensed Ink Rates'!CS:CS),VLOOKUP(BH148,'Jan-2026 rates'!$E:$F,2,0)))</f>
        <v>0</v>
      </c>
      <c r="BW148" s="409"/>
      <c r="BX148" s="398">
        <f>IF(BW148=0,0,IF(LEN(BI148)=11,_xlfn.XLOOKUP(BI148,'Dispensed Ink Rates'!C:C,'Dispensed Ink Rates'!CS:CS),VLOOKUP(BI148,'Jan-2026 rates'!$E:$F,2,0)))</f>
        <v>0</v>
      </c>
      <c r="BY148" s="409"/>
      <c r="BZ148" s="398">
        <f>IF(BY148=0,0,IF(LEN(BJ148)=11,_xlfn.XLOOKUP(BJ148,'Dispensed Ink Rates'!C:C,'Dispensed Ink Rates'!CS:CS),VLOOKUP(BJ148,'Jan-2026 rates'!$E:$F,2,0)))</f>
        <v>0</v>
      </c>
      <c r="CA148" s="409" t="s">
        <v>1881</v>
      </c>
      <c r="CB148" s="409">
        <f>20+17</f>
        <v>37</v>
      </c>
      <c r="CC148" s="411">
        <f t="shared" si="109"/>
        <v>0</v>
      </c>
      <c r="CD148" s="411">
        <f t="shared" si="110"/>
        <v>26.888888888888886</v>
      </c>
      <c r="CE148" s="410">
        <f t="shared" si="111"/>
        <v>0</v>
      </c>
      <c r="CF148" s="404" t="s">
        <v>855</v>
      </c>
      <c r="CG148" s="409" t="s">
        <v>3450</v>
      </c>
      <c r="CH148" s="420" t="str">
        <f t="shared" si="55"/>
        <v>ToyoLi - CYAN</v>
      </c>
      <c r="CI148" s="409">
        <v>25</v>
      </c>
      <c r="CJ148" s="411">
        <f>IF(CI148=0,0,IF($LB148=70%,VLOOKUP($CH148,'Jan-2026 rates'!$L:$R,4,0),IF($LB148=65%,VLOOKUP($CH148,'Jan-2026 rates'!$L:$R,4,0),IF($LB148=40%,VLOOKUP($CH148,'Jan-2026 rates'!$L:$R,5,0),IF($LB148=30%,VLOOKUP($CH148,'Jan-2026 rates'!$L:$R,6,0),IF($LB148=100%,VLOOKUP($CH148,'Jan-2026 rates'!$L:$R,7,0),IF($LB148=60%,VLOOKUP($CH148,'Jan-2026 rates'!$L:$S,8,0),IF($LB148=80%,VLOOKUP($CH148,'Jan-2026 rates'!L:T,9,0),0))))))))</f>
        <v>0</v>
      </c>
      <c r="CK148" s="412"/>
      <c r="CL148" s="409"/>
      <c r="CM148" s="411">
        <f>IF(CL148=0,0,IF($LB148=70%,VLOOKUP($CH148,'Jan-2026 rates'!$L:$R,4,0),IF($LB148=65%,VLOOKUP($CH148,'Jan-2026 rates'!$L:$R,4,0),IF($LB148=40%,VLOOKUP($CH148,'Jan-2026 rates'!$L:$R,5,0),IF($LB148=30%,VLOOKUP($CH148,'Jan-2026 rates'!$L:$R,6,0),IF($LB148=100%,VLOOKUP($CH148,'Jan-2026 rates'!$L:$R,7,0),IF($LB148=60%,VLOOKUP($CH148,'Jan-2026 rates'!$L:$S,8,0),IF($LB148=80%,VLOOKUP($CH148,'Jan-2026 rates'!L:T,9,0),0))))))))</f>
        <v>0</v>
      </c>
      <c r="CN148" s="426" t="s">
        <v>1250</v>
      </c>
      <c r="CO148" s="427"/>
      <c r="CP148" s="426"/>
      <c r="CQ148" s="426"/>
      <c r="CR148" s="428"/>
      <c r="CS148" s="428"/>
      <c r="CT148" s="428"/>
      <c r="CU148" s="428"/>
      <c r="CV148" s="409">
        <v>5</v>
      </c>
      <c r="CW148" s="398">
        <f>IF(CV148=0,0,IF(LEN(CN148)=11,_xlfn.XLOOKUP(CN148,'Dispensed Ink Rates'!C:C,'Dispensed Ink Rates'!CS:CS),VLOOKUP(CN148,'Jan-2026 rates'!$E:$F,2,0)))</f>
        <v>0</v>
      </c>
      <c r="CX148" s="409"/>
      <c r="CY148" s="398">
        <f>IF(CX148=0,0,IF(LEN(CO148)=11,_xlfn.XLOOKUP(CO148,'Dispensed Ink Rates'!C:C,'Dispensed Ink Rates'!CS:CS),VLOOKUP(CO148,'Jan-2026 rates'!$E:$F,2,0)))</f>
        <v>0</v>
      </c>
      <c r="CZ148" s="409"/>
      <c r="DA148" s="398">
        <f>IF(CZ148=0,0,IF(LEN(CP148)=11,_xlfn.XLOOKUP(CP148,'Dispensed Ink Rates'!C:C,'Dispensed Ink Rates'!CS:CS),VLOOKUP(CP148,'Jan-2026 rates'!$E:$F,2,0)))</f>
        <v>0</v>
      </c>
      <c r="DB148" s="409"/>
      <c r="DC148" s="398">
        <f>IF(DB148=0,0,IF(LEN(CQ148)=11,_xlfn.XLOOKUP(CQ148,'Dispensed Ink Rates'!C:C,'Dispensed Ink Rates'!CS:CS),VLOOKUP(CQ148,'Jan-2026 rates'!$E:$F,2,0)))</f>
        <v>0</v>
      </c>
      <c r="DD148" s="409"/>
      <c r="DE148" s="398">
        <f>IF(DD148=0,0,IF(LEN(CR148)=11,_xlfn.XLOOKUP(CR148,'Dispensed Ink Rates'!C:C,'Dispensed Ink Rates'!CS:CS),VLOOKUP(CR148,'Jan-2026 rates'!$E:$F,2,0)))</f>
        <v>0</v>
      </c>
      <c r="DF148" s="409"/>
      <c r="DG148" s="398">
        <f>IF(DF148=0,0,IF(LEN(CS148)=11,_xlfn.XLOOKUP(CS148,'Dispensed Ink Rates'!C:C,'Dispensed Ink Rates'!CS:CS),VLOOKUP(CS148,'Jan-2026 rates'!$E:$F,2,0)))</f>
        <v>0</v>
      </c>
      <c r="DH148" s="409"/>
      <c r="DI148" s="398">
        <f>IF(DH148=0,0,IF(LEN(CT148)=11,_xlfn.XLOOKUP(CT148,'Dispensed Ink Rates'!C:C,'Dispensed Ink Rates'!CS:CS),VLOOKUP(CT148,'Jan-2026 rates'!$E:$F,2,0)))</f>
        <v>0</v>
      </c>
      <c r="DJ148" s="409"/>
      <c r="DK148" s="398">
        <f>IF(DJ148=0,0,IF(LEN(CU148)=11,_xlfn.XLOOKUP(CU148,'Dispensed Ink Rates'!C:C,'Dispensed Ink Rates'!CS:CS),VLOOKUP(CU148,'Jan-2026 rates'!$E:$F,2,0)))</f>
        <v>0</v>
      </c>
      <c r="DL148" s="409" t="s">
        <v>1881</v>
      </c>
      <c r="DM148" s="409">
        <v>30</v>
      </c>
      <c r="DN148" s="411">
        <f t="shared" si="112"/>
        <v>0</v>
      </c>
      <c r="DO148" s="411">
        <f t="shared" si="113"/>
        <v>9.8888888888888857</v>
      </c>
      <c r="DP148" s="410">
        <f t="shared" si="114"/>
        <v>0</v>
      </c>
      <c r="DQ148" s="405" t="s">
        <v>544</v>
      </c>
      <c r="DR148" s="409" t="s">
        <v>3451</v>
      </c>
      <c r="DS148" s="420" t="str">
        <f t="shared" si="56"/>
        <v>ToyoLi - MAGENTA</v>
      </c>
      <c r="DT148" s="409">
        <v>28</v>
      </c>
      <c r="DU148" s="411">
        <f>IF(DT148=0,0,IF($LB148=70%,VLOOKUP($DS148,'Jan-2026 rates'!$L:$R,4,0),IF($LB148=65%,VLOOKUP($DS148,'Jan-2026 rates'!$L:$R,4,0),IF($LB148=40%,VLOOKUP($DS148,'Jan-2026 rates'!$L:$R,5,0),IF($LB148=30%,VLOOKUP($DS148,'Jan-2026 rates'!$L:$R,6,0),IF($LB148=100%,VLOOKUP($DS148,'Jan-2026 rates'!$L:$R,7,0),IF($LB148=60%,VLOOKUP($DS148,'Jan-2026 rates'!$L:$S,8,0),IF($LB148=80%,VLOOKUP($DS148,'Jan-2026 rates'!L:T,9,0),0))))))))</f>
        <v>0</v>
      </c>
      <c r="DV148" s="412"/>
      <c r="DW148" s="409"/>
      <c r="DX148" s="411">
        <f>IF(DW148=0,0,IF($LB148=70%,VLOOKUP($DS148,'Jan-2026 rates'!$L:$R,4,0),IF($LB148=65%,VLOOKUP($DS148,'Jan-2026 rates'!$L:$R,4,0),IF($LB148=40%,VLOOKUP($DS148,'Jan-2026 rates'!$L:$R,5,0),IF($LB148=30%,VLOOKUP($DS148,'Jan-2026 rates'!$L:$R,6,0),IF($LB148=100%,VLOOKUP($DS148,'Jan-2026 rates'!$L:$R,7,0),IF($LB148=60%,VLOOKUP($DS148,'Jan-2026 rates'!$L:$S,8,0),IF($LB148=80%,VLOOKUP($DS148,'Jan-2026 rates'!L:T,9,0),0))))))))</f>
        <v>0</v>
      </c>
      <c r="DY148" s="413" t="s">
        <v>1246</v>
      </c>
      <c r="DZ148" s="413"/>
      <c r="EA148" s="412"/>
      <c r="EB148" s="412"/>
      <c r="EC148" s="412"/>
      <c r="ED148" s="412"/>
      <c r="EE148" s="412"/>
      <c r="EF148" s="412"/>
      <c r="EG148" s="409">
        <v>2</v>
      </c>
      <c r="EH148" s="398">
        <f>IF(EG148=0,0,IF(LEN(DY148)=11,_xlfn.XLOOKUP(DY148,'Dispensed Ink Rates'!C:C,'Dispensed Ink Rates'!CS:CS),VLOOKUP(DY148,'Jan-2026 rates'!$E:$F,2,0)))</f>
        <v>0</v>
      </c>
      <c r="EI148" s="409"/>
      <c r="EJ148" s="398">
        <f>IF(EI148=0,0,IF(LEN(DZ148)=11,_xlfn.XLOOKUP(DZ148,'Dispensed Ink Rates'!C:C,'Dispensed Ink Rates'!CS:CS),VLOOKUP(DZ148,'Jan-2026 rates'!$E:$F,2,0)))</f>
        <v>0</v>
      </c>
      <c r="EK148" s="409"/>
      <c r="EL148" s="398">
        <f>IF(EK148=0,0,IF(LEN(EA148)=11,_xlfn.XLOOKUP(EA148,'Dispensed Ink Rates'!C:C,'Dispensed Ink Rates'!CS:CS),VLOOKUP(EA148,'Jan-2026 rates'!$E:$F,2,0)))</f>
        <v>0</v>
      </c>
      <c r="EM148" s="409"/>
      <c r="EN148" s="398">
        <f>IF(EM148=0,0,IF(LEN(EB148)=11,_xlfn.XLOOKUP(EB148,'Dispensed Ink Rates'!C:C,'Dispensed Ink Rates'!CS:CS),VLOOKUP(EB148,'Jan-2026 rates'!$E:$F,2,0)))</f>
        <v>0</v>
      </c>
      <c r="EO148" s="409"/>
      <c r="EP148" s="398">
        <f>IF(EO148=0,0,IF(LEN(EC148)=11,_xlfn.XLOOKUP(EC148,'Dispensed Ink Rates'!C:C,'Dispensed Ink Rates'!CS:CS),VLOOKUP(EC148,'Jan-2026 rates'!$E:$F,2,0)))</f>
        <v>0</v>
      </c>
      <c r="EQ148" s="409"/>
      <c r="ER148" s="398">
        <f>IF(EQ148=0,0,IF(LEN(ED148)=11,_xlfn.XLOOKUP(ED148,'Dispensed Ink Rates'!C:C,'Dispensed Ink Rates'!CS:CS),VLOOKUP(ED148,'Jan-2026 rates'!$E:$F,2,0)))</f>
        <v>0</v>
      </c>
      <c r="ES148" s="409"/>
      <c r="ET148" s="398">
        <f>IF(ES148=0,0,IF(LEN(EE148)=11,_xlfn.XLOOKUP(EE148,'Dispensed Ink Rates'!C:C,'Dispensed Ink Rates'!CS:CS),VLOOKUP(EE148,'Jan-2026 rates'!$E:$F,2,0)))</f>
        <v>0</v>
      </c>
      <c r="EU148" s="409"/>
      <c r="EV148" s="398">
        <f>IF(EU148=0,0,IF(LEN(EF148)=11,_xlfn.XLOOKUP(EF148,'Dispensed Ink Rates'!C:C,'Dispensed Ink Rates'!CS:CS),VLOOKUP(EF148,'Jan-2026 rates'!$E:$F,2,0)))</f>
        <v>0</v>
      </c>
      <c r="EW148" s="409" t="s">
        <v>1881</v>
      </c>
      <c r="EX148" s="409">
        <v>29</v>
      </c>
      <c r="EY148" s="411">
        <f t="shared" si="115"/>
        <v>0</v>
      </c>
      <c r="EZ148" s="411">
        <f t="shared" si="116"/>
        <v>5.9444444444444429</v>
      </c>
      <c r="FA148" s="410">
        <f t="shared" si="117"/>
        <v>0</v>
      </c>
      <c r="FB148" s="405" t="s">
        <v>545</v>
      </c>
      <c r="FC148" s="409" t="s">
        <v>3452</v>
      </c>
      <c r="FD148" s="420" t="str">
        <f t="shared" si="57"/>
        <v>ToyoLi - YELLOW</v>
      </c>
      <c r="FE148" s="409">
        <v>24</v>
      </c>
      <c r="FF148" s="411">
        <f>IF(FE148=0,0,IF($LB148=70%,VLOOKUP($FD148,'Jan-2026 rates'!$L:$R,4,0),IF($LB148=65%,VLOOKUP($FD148,'Jan-2026 rates'!$L:$R,4,0),IF($LB148=40%,VLOOKUP($FD148,'Jan-2026 rates'!$L:$R,5,0),IF($LB148=30%,VLOOKUP($FD148,'Jan-2026 rates'!$L:$R,6,0),IF($LB148=100%,VLOOKUP($FD148,'Jan-2026 rates'!$L:$R,7,0),IF($LB148=60%,VLOOKUP($FD148,'Jan-2026 rates'!$L:$S,8,0),IF($LB148=80%,VLOOKUP($FD148,'Jan-2026 rates'!L:T,9,0),0))))))))</f>
        <v>0</v>
      </c>
      <c r="FG148" s="412"/>
      <c r="FH148" s="409"/>
      <c r="FI148" s="411">
        <f>IF(FH148=0,0,IF($LB148=70%,VLOOKUP($FD148,'Jan-2026 rates'!$L:$R,4,0),IF($LB148=65%,VLOOKUP($FD148,'Jan-2026 rates'!$L:$R,4,0),IF($LB148=40%,VLOOKUP($FD148,'Jan-2026 rates'!$L:$R,5,0),IF($LB148=30%,VLOOKUP($FD148,'Jan-2026 rates'!$L:$R,6,0),IF($LB148=100%,VLOOKUP($FD148,'Jan-2026 rates'!$L:$R,7,0),IF($LB148=60%,VLOOKUP($FD148,'Jan-2026 rates'!$L:$S,8,0),IF($LB148=80%,VLOOKUP($FD148,'Jan-2026 rates'!L:T,9,0),0))))))))</f>
        <v>0</v>
      </c>
      <c r="FJ148" s="413" t="s">
        <v>1247</v>
      </c>
      <c r="FK148" s="413"/>
      <c r="FL148" s="413"/>
      <c r="FM148" s="412"/>
      <c r="FN148" s="412"/>
      <c r="FO148" s="412"/>
      <c r="FP148" s="412"/>
      <c r="FQ148" s="412"/>
      <c r="FR148" s="409">
        <v>4</v>
      </c>
      <c r="FS148" s="398">
        <f>IF(FR148=0,0,IF(LEN(FJ148)=11,_xlfn.XLOOKUP(FJ148,'Dispensed Ink Rates'!C:C,'Dispensed Ink Rates'!CS:CS),VLOOKUP(FJ148,'Jan-2026 rates'!$E:$F,2,0)))</f>
        <v>0</v>
      </c>
      <c r="FT148" s="409"/>
      <c r="FU148" s="398">
        <f>IF(FT148=0,0,IF(LEN(FK148)=11,_xlfn.XLOOKUP(FK148,'Dispensed Ink Rates'!C:C,'Dispensed Ink Rates'!CS:CS),VLOOKUP(FK148,'Jan-2026 rates'!$E:$F,2,0)))</f>
        <v>0</v>
      </c>
      <c r="FV148" s="409"/>
      <c r="FW148" s="398">
        <f>IF(FV148=0,0,IF(LEN(FL148)=11,_xlfn.XLOOKUP(FL148,'Dispensed Ink Rates'!C:C,'Dispensed Ink Rates'!CS:CS),VLOOKUP(FL148,'Jan-2026 rates'!$E:$F,2,0)))</f>
        <v>0</v>
      </c>
      <c r="FX148" s="409"/>
      <c r="FY148" s="398">
        <f>IF(FX148=0,0,IF(LEN(FM148)=11,_xlfn.XLOOKUP(FM148,'Dispensed Ink Rates'!C:C,'Dispensed Ink Rates'!CS:CS),VLOOKUP(FM148,'Jan-2026 rates'!$E:$F,2,0)))</f>
        <v>0</v>
      </c>
      <c r="FZ148" s="409"/>
      <c r="GA148" s="398">
        <f>IF(FZ148=0,0,IF(LEN(FN148)=11,_xlfn.XLOOKUP(FN148,'Dispensed Ink Rates'!C:C,'Dispensed Ink Rates'!CS:CS),VLOOKUP(FN148,'Jan-2026 rates'!$E:$F,2,0)))</f>
        <v>0</v>
      </c>
      <c r="GB148" s="409"/>
      <c r="GC148" s="398">
        <f>IF(GB148=0,0,IF(LEN(FO148)=11,_xlfn.XLOOKUP(FO148,'Dispensed Ink Rates'!C:C,'Dispensed Ink Rates'!CS:CS),VLOOKUP(FO148,'Jan-2026 rates'!$E:$F,2,0)))</f>
        <v>0</v>
      </c>
      <c r="GD148" s="409"/>
      <c r="GE148" s="398">
        <f>IF(GD148=0,0,IF(LEN(FP148)=11,_xlfn.XLOOKUP(FP148,'Dispensed Ink Rates'!C:C,'Dispensed Ink Rates'!CS:CS),VLOOKUP(FP148,'Jan-2026 rates'!$E:$F,2,0)))</f>
        <v>0</v>
      </c>
      <c r="GF148" s="409"/>
      <c r="GG148" s="398">
        <f>IF(GF148=0,0,IF(LEN(FQ148)=11,_xlfn.XLOOKUP(FQ148,'Dispensed Ink Rates'!C:C,'Dispensed Ink Rates'!CS:CS),VLOOKUP(FQ148,'Jan-2026 rates'!$E:$F,2,0)))</f>
        <v>0</v>
      </c>
      <c r="GH148" s="409" t="s">
        <v>1881</v>
      </c>
      <c r="GI148" s="409">
        <v>25</v>
      </c>
      <c r="GJ148" s="411">
        <f t="shared" si="118"/>
        <v>0</v>
      </c>
      <c r="GK148" s="411">
        <f t="shared" si="119"/>
        <v>7.9444444444444429</v>
      </c>
      <c r="GL148" s="410">
        <f t="shared" si="120"/>
        <v>0</v>
      </c>
      <c r="GM148" s="405" t="s">
        <v>548</v>
      </c>
      <c r="GN148" s="409" t="s">
        <v>3453</v>
      </c>
      <c r="GO148" s="420" t="str">
        <f t="shared" si="58"/>
        <v>ToyoLi - GOLD</v>
      </c>
      <c r="GP148" s="409">
        <v>26</v>
      </c>
      <c r="GQ148" s="411">
        <f>IF(GP148=0,0,IF($LB148=70%,VLOOKUP($GO148,'Jan-2026 rates'!$L:$R,4,0),IF($LB148=65%,VLOOKUP($GO148,'Jan-2026 rates'!$L:$R,4,0),IF($LB148=40%,VLOOKUP($GO148,'Jan-2026 rates'!$L:$R,5,0),IF($LB148=30%,VLOOKUP($GO148,'Jan-2026 rates'!$L:$R,6,0),IF($LB148=100%,VLOOKUP($GO148,'Jan-2026 rates'!$L:$R,7,0),IF($LB148=60%,VLOOKUP($GO148,'Jan-2026 rates'!$L:$S,8,0),IF($LB148=80%,VLOOKUP($GO148,'Jan-2026 rates'!L:T,9,0),0))))))))</f>
        <v>0</v>
      </c>
      <c r="GR148" s="412"/>
      <c r="GS148" s="409"/>
      <c r="GT148" s="411">
        <f>IF(GS148=0,0,IF($LB148=70%,VLOOKUP($GO148,'Jan-2026 rates'!$L:$R,4,0),IF($LB148=65%,VLOOKUP($GO148,'Jan-2026 rates'!$L:$R,4,0),IF($LB148=40%,VLOOKUP($GO148,'Jan-2026 rates'!$L:$R,5,0),IF($LB148=30%,VLOOKUP($GO148,'Jan-2026 rates'!$L:$R,6,0),IF($LB148=100%,VLOOKUP($GO148,'Jan-2026 rates'!$L:$R,7,0),IF($LB148=60%,VLOOKUP($GO148,'Jan-2026 rates'!$L:$S,8,0),IF($LB148=80%,VLOOKUP($GO148,'Jan-2026 rates'!L:T,9,0),0))))))))</f>
        <v>0</v>
      </c>
      <c r="GU148" s="413">
        <v>262</v>
      </c>
      <c r="GV148" s="413"/>
      <c r="GW148" s="412"/>
      <c r="GX148" s="412"/>
      <c r="GY148" s="412"/>
      <c r="GZ148" s="412"/>
      <c r="HA148" s="412"/>
      <c r="HB148" s="412"/>
      <c r="HC148" s="409">
        <v>1</v>
      </c>
      <c r="HD148" s="398">
        <f>IF(HC148=0,0,IF(LEN(GU148)=11,_xlfn.XLOOKUP(GU148,'Dispensed Ink Rates'!C:C,'Dispensed Ink Rates'!CS:CS),VLOOKUP(GU148,'Jan-2026 rates'!$E:$F,2,0)))</f>
        <v>0</v>
      </c>
      <c r="HE148" s="409"/>
      <c r="HF148" s="398">
        <f>IF(HE148=0,0,IF(LEN(GV148)=11,_xlfn.XLOOKUP(GV148,'Dispensed Ink Rates'!C:C,'Dispensed Ink Rates'!CS:CS),VLOOKUP(GV148,'Jan-2026 rates'!$E:$F,2,0)))</f>
        <v>0</v>
      </c>
      <c r="HG148" s="409"/>
      <c r="HH148" s="398">
        <f>IF(HG148=0,0,IF(LEN(GW148)=11,_xlfn.XLOOKUP(GW148,'Dispensed Ink Rates'!C:C,'Dispensed Ink Rates'!CS:CS),VLOOKUP(GW148,'Jan-2026 rates'!$E:$F,2,0)))</f>
        <v>0</v>
      </c>
      <c r="HI148" s="409"/>
      <c r="HJ148" s="398">
        <f>IF(HI148=0,0,IF(LEN(GX148)=11,_xlfn.XLOOKUP(GX148,'Dispensed Ink Rates'!C:C,'Dispensed Ink Rates'!CS:CS),VLOOKUP(GX148,'Jan-2026 rates'!$E:$F,2,0)))</f>
        <v>0</v>
      </c>
      <c r="HK148" s="409"/>
      <c r="HL148" s="398">
        <f>IF(HK148=0,0,IF(LEN(GY148)=11,_xlfn.XLOOKUP(GY148,'Dispensed Ink Rates'!C:C,'Dispensed Ink Rates'!CS:CS),VLOOKUP(GY148,'Jan-2026 rates'!$E:$F,2,0)))</f>
        <v>0</v>
      </c>
      <c r="HM148" s="409"/>
      <c r="HN148" s="398">
        <f>IF(HM148=0,0,IF(LEN(GZ148)=11,_xlfn.XLOOKUP(GZ148,'Dispensed Ink Rates'!C:C,'Dispensed Ink Rates'!CS:CS),VLOOKUP(GZ148,'Jan-2026 rates'!$E:$F,2,0)))</f>
        <v>0</v>
      </c>
      <c r="HO148" s="409"/>
      <c r="HP148" s="398">
        <f>IF(HO148=0,0,IF(LEN(HA148)=11,_xlfn.XLOOKUP(HA148,'Dispensed Ink Rates'!C:C,'Dispensed Ink Rates'!CS:CS),VLOOKUP(HA148,'Jan-2026 rates'!$E:$F,2,0)))</f>
        <v>0</v>
      </c>
      <c r="HQ148" s="409"/>
      <c r="HR148" s="398">
        <f>IF(HQ148=0,0,IF(LEN(HB148)=11,_xlfn.XLOOKUP(HB148,'Dispensed Ink Rates'!C:C,'Dispensed Ink Rates'!CS:CS),VLOOKUP(HB148,'Jan-2026 rates'!$E:$F,2,0)))</f>
        <v>0</v>
      </c>
      <c r="HS148" s="409" t="s">
        <v>1881</v>
      </c>
      <c r="HT148" s="409">
        <v>20</v>
      </c>
      <c r="HU148" s="411">
        <f t="shared" si="121"/>
        <v>0</v>
      </c>
      <c r="HV148" s="411">
        <f t="shared" si="122"/>
        <v>11.944444444444443</v>
      </c>
      <c r="HW148" s="414">
        <f t="shared" si="123"/>
        <v>0</v>
      </c>
      <c r="HX148" s="405" t="s">
        <v>856</v>
      </c>
      <c r="HY148" s="409" t="s">
        <v>3454</v>
      </c>
      <c r="HZ148" s="420" t="str">
        <f t="shared" si="59"/>
        <v>ToyoLi - WHITE</v>
      </c>
      <c r="IA148" s="409">
        <v>25</v>
      </c>
      <c r="IB148" s="411">
        <f>IF(IA148=0,0,IF($LB148=70%,VLOOKUP($HZ148,'Jan-2026 rates'!$L:$R,4,0),IF($LB148=65%,VLOOKUP($HZ148,'Jan-2026 rates'!$L:$R,4,0),IF($LB148=40%,VLOOKUP($HZ148,'Jan-2026 rates'!$L:$R,5,0),IF($LB148=30%,VLOOKUP($HZ148,'Jan-2026 rates'!$L:$R,6,0),IF($LB148=100%,VLOOKUP($HZ148,'Jan-2026 rates'!$L:$R,7,0),IF($LB148=60%,VLOOKUP($HZ148,'Jan-2026 rates'!$L:$S,8,0),IF($LB148=80%,VLOOKUP($HZ148,'Jan-2026 rates'!L:T,9,0),0))))))))</f>
        <v>0</v>
      </c>
      <c r="IC148" s="412"/>
      <c r="ID148" s="409"/>
      <c r="IE148" s="411">
        <f>IF(ID148=0,0,IF($LB148=70%,VLOOKUP($HZ148,'Jan-2026 rates'!$L:$R,4,0),IF($LB148=65%,VLOOKUP($HZ148,'Jan-2026 rates'!$L:$R,4,0),IF($LB148=40%,VLOOKUP($HZ148,'Jan-2026 rates'!$L:$R,5,0),IF($LB148=30%,VLOOKUP($HZ148,'Jan-2026 rates'!$L:$R,6,0),IF($LB148=100%,VLOOKUP($HZ148,'Jan-2026 rates'!$L:$R,7,0),IF($LB148=60%,VLOOKUP($HZ148,'Jan-2026 rates'!$L:$S,8,0),IF($LB148=80%,VLOOKUP($HZ148,'Jan-2026 rates'!L:T,9,0),0))))))))</f>
        <v>0</v>
      </c>
      <c r="IF148" s="412" t="s">
        <v>1249</v>
      </c>
      <c r="IG148" s="413" t="s">
        <v>1122</v>
      </c>
      <c r="IH148" s="412"/>
      <c r="II148" s="412"/>
      <c r="IJ148" s="412"/>
      <c r="IK148" s="412"/>
      <c r="IL148" s="412"/>
      <c r="IM148" s="412"/>
      <c r="IN148" s="409">
        <v>40</v>
      </c>
      <c r="IO148" s="398">
        <f>IF(IN148=0,0,IF(LEN(IF148)=11,_xlfn.XLOOKUP(IF148,'Dispensed Ink Rates'!C:C,'Dispensed Ink Rates'!CS:CS),VLOOKUP(IF148,'Jan-2026 rates'!$E:$F,2,0)))</f>
        <v>0</v>
      </c>
      <c r="IP148" s="409">
        <v>4.99</v>
      </c>
      <c r="IQ148" s="398">
        <f>IF(IP148=0,0,IF(LEN(IG148)=11,_xlfn.XLOOKUP(IG148,'Dispensed Ink Rates'!C:C,'Dispensed Ink Rates'!CS:CS),VLOOKUP(IG148,'Jan-2026 rates'!$E:$F,2,0)))</f>
        <v>0</v>
      </c>
      <c r="IR148" s="409"/>
      <c r="IS148" s="398">
        <f>IF(IR148=0,0,IF(LEN(IH148)=11,_xlfn.XLOOKUP(IH148,'Dispensed Ink Rates'!C:C,'Dispensed Ink Rates'!CS:CS),VLOOKUP(IH148,'Jan-2026 rates'!$E:$F,2,0)))</f>
        <v>0</v>
      </c>
      <c r="IT148" s="409"/>
      <c r="IU148" s="398">
        <f>IF(IT148=0,0,IF(LEN(II148)=11,_xlfn.XLOOKUP(II148,'Dispensed Ink Rates'!C:C,'Dispensed Ink Rates'!CS:CS),VLOOKUP(II148,'Jan-2026 rates'!$E:$F,2,0)))</f>
        <v>0</v>
      </c>
      <c r="IV148" s="409"/>
      <c r="IW148" s="398">
        <f>IF(IV148=0,0,IF(LEN(IJ148)=11,_xlfn.XLOOKUP(IJ148,'Dispensed Ink Rates'!C:C,'Dispensed Ink Rates'!CS:CS),VLOOKUP(IJ148,'Jan-2026 rates'!$E:$F,2,0)))</f>
        <v>0</v>
      </c>
      <c r="IX148" s="409"/>
      <c r="IY148" s="398">
        <f>IF(IX148=0,0,IF(LEN(IK148)=11,_xlfn.XLOOKUP(IK148,'Dispensed Ink Rates'!C:C,'Dispensed Ink Rates'!CS:CS),VLOOKUP(IK148,'Jan-2026 rates'!$E:$F,2,0)))</f>
        <v>0</v>
      </c>
      <c r="IZ148" s="409"/>
      <c r="JA148" s="398">
        <f>IF(IZ148=0,0,IF(LEN(IL148)=11,_xlfn.XLOOKUP(IL148,'Dispensed Ink Rates'!C:C,'Dispensed Ink Rates'!CS:CS),VLOOKUP(IL148,'Jan-2026 rates'!$E:$F,2,0)))</f>
        <v>0</v>
      </c>
      <c r="JB148" s="409"/>
      <c r="JC148" s="398">
        <f>IF(JB148=0,0,IF(LEN(IM148)=11,_xlfn.XLOOKUP(IM148,'Dispensed Ink Rates'!C:C,'Dispensed Ink Rates'!CS:CS),VLOOKUP(IM148,'Jan-2026 rates'!$E:$F,2,0)))</f>
        <v>0</v>
      </c>
      <c r="JD148" s="409" t="s">
        <v>1881</v>
      </c>
      <c r="JE148" s="409">
        <v>25</v>
      </c>
      <c r="JF148" s="411">
        <f t="shared" si="124"/>
        <v>0</v>
      </c>
      <c r="JG148" s="411">
        <f t="shared" si="125"/>
        <v>94.434444444444438</v>
      </c>
      <c r="JH148" s="410">
        <f t="shared" si="126"/>
        <v>0</v>
      </c>
      <c r="JI148" s="405"/>
      <c r="JJ148" s="409"/>
      <c r="JK148" s="420" t="str">
        <f t="shared" si="60"/>
        <v xml:space="preserve"> - </v>
      </c>
      <c r="JL148" s="409"/>
      <c r="JM148" s="411">
        <f>IF(JL148=0,0,IF($LB148=70%,VLOOKUP($JK148,'Jan-2026 rates'!$L:$R,4,0),IF($LB148=65%,VLOOKUP($JK148,'Jan-2026 rates'!$L:$R,4,0),IF($LB148=40%,VLOOKUP($JK148,'Jan-2026 rates'!$L:$R,5,0),IF($LB148=30%,VLOOKUP($JK148,'Jan-2026 rates'!$L:$R,6,0),IF($LB148=100%,VLOOKUP($JK148,'Jan-2026 rates'!$L:$R,7,0),IF($LB148=60%,VLOOKUP($JK148,'Jan-2026 rates'!$L:$S,8,0),IF($LB148=80%,VLOOKUP($JK148,'Jan-2026 rates'!L:T,9,0),0))))))))</f>
        <v>0</v>
      </c>
      <c r="JN148" s="412"/>
      <c r="JO148" s="409"/>
      <c r="JP148" s="411">
        <f>IF(JO148=0,0,IF($LB148=70%,VLOOKUP($JK148,'Jan-2026 rates'!$L:$R,4,0),IF($LB148=65%,VLOOKUP($JK148,'Jan-2026 rates'!$L:$R,4,0),IF($LB148=40%,VLOOKUP($JK148,'Jan-2026 rates'!$L:$R,5,0),IF($LB148=30%,VLOOKUP($JK148,'Jan-2026 rates'!$L:$R,6,0),IF($LB148=100%,VLOOKUP($JK148,'Jan-2026 rates'!$L:$R,7,0),IF($LB148=60%,VLOOKUP($JK148,'Jan-2026 rates'!$L:$S,8,0),IF($LB148=80%,VLOOKUP($JK148,'Jan-2026 rates'!L:T,9,0),0))))))))</f>
        <v>0</v>
      </c>
      <c r="JQ148" s="413"/>
      <c r="JR148" s="412"/>
      <c r="JS148" s="413"/>
      <c r="JT148" s="413"/>
      <c r="JU148" s="412"/>
      <c r="JV148" s="412"/>
      <c r="JW148" s="412"/>
      <c r="JX148" s="412"/>
      <c r="JY148" s="409"/>
      <c r="JZ148" s="398">
        <f>IF(JY148=0,0,IF(LEN(JQ148)=11,_xlfn.XLOOKUP(JQ148,'Dispensed Ink Rates'!C:C,'Dispensed Ink Rates'!CS:CS),VLOOKUP(JQ148,'Jan-2026 rates'!$E:$F,2,0)))</f>
        <v>0</v>
      </c>
      <c r="KA148" s="409"/>
      <c r="KB148" s="398">
        <f>IF(KA148=0,0,IF(LEN(JR148)=11,_xlfn.XLOOKUP(JR148,'Dispensed Ink Rates'!C:C,'Dispensed Ink Rates'!CS:CS),VLOOKUP(JR148,'Jan-2026 rates'!$E:$F,2,0)))</f>
        <v>0</v>
      </c>
      <c r="KC148" s="409"/>
      <c r="KD148" s="398">
        <f>IF(KC148=0,0,IF(LEN(JS148)=11,_xlfn.XLOOKUP(JS148,'Dispensed Ink Rates'!C:C,'Dispensed Ink Rates'!CS:CS),VLOOKUP(JS148,'Jan-2026 rates'!$E:$F,2,0)))</f>
        <v>0</v>
      </c>
      <c r="KE148" s="409"/>
      <c r="KF148" s="398">
        <f>IF(KE148=0,0,IF(LEN(JT148)=11,_xlfn.XLOOKUP(JT148,'Dispensed Ink Rates'!C:C,'Dispensed Ink Rates'!CS:CS),VLOOKUP(JT148,'Jan-2026 rates'!$E:$F,2,0)))</f>
        <v>0</v>
      </c>
      <c r="KG148" s="409"/>
      <c r="KH148" s="398">
        <f>IF(KG148=0,0,IF(LEN(JU148)=11,_xlfn.XLOOKUP(JU148,'Dispensed Ink Rates'!C:C,'Dispensed Ink Rates'!CS:CS),VLOOKUP(JU148,'Jan-2026 rates'!$E:$F,2,0)))</f>
        <v>0</v>
      </c>
      <c r="KI148" s="409"/>
      <c r="KJ148" s="398">
        <f>IF(KI148=0,0,IF(LEN(JV148)=11,_xlfn.XLOOKUP(JV148,'Dispensed Ink Rates'!C:C,'Dispensed Ink Rates'!CS:CS),VLOOKUP(JV148,'Jan-2026 rates'!$E:$F,2,0)))</f>
        <v>0</v>
      </c>
      <c r="KK148" s="409"/>
      <c r="KL148" s="398">
        <f>IF(KK148=0,0,IF(LEN(JW148)=11,_xlfn.XLOOKUP(JW148,'Dispensed Ink Rates'!C:C,'Dispensed Ink Rates'!CS:CS),VLOOKUP(JW148,'Jan-2026 rates'!$E:$F,2,0)))</f>
        <v>0</v>
      </c>
      <c r="KM148" s="428"/>
      <c r="KN148" s="398">
        <f>IF(KM148=0,0,IF(LEN(JX148)=11,_xlfn.XLOOKUP(JX148,'Dispensed Ink Rates'!C:C,'Dispensed Ink Rates'!CS:CS),VLOOKUP(JX148,'Jan-2026 rates'!$E:$F,2,0)))</f>
        <v>0</v>
      </c>
      <c r="KO148" s="409"/>
      <c r="KP148" s="409"/>
      <c r="KQ148" s="411">
        <f t="shared" si="127"/>
        <v>0</v>
      </c>
      <c r="KR148" s="411">
        <f t="shared" si="128"/>
        <v>0</v>
      </c>
      <c r="KS148" s="410">
        <f t="shared" si="129"/>
        <v>0</v>
      </c>
      <c r="KT148" s="409">
        <v>2</v>
      </c>
      <c r="KU148" s="409">
        <v>4</v>
      </c>
      <c r="KV148" s="409">
        <v>4</v>
      </c>
      <c r="KW148" s="409">
        <v>2</v>
      </c>
      <c r="KX148" s="409">
        <v>2</v>
      </c>
      <c r="KY148" s="409">
        <v>2</v>
      </c>
      <c r="KZ148" s="409">
        <v>20</v>
      </c>
      <c r="LA148" s="409">
        <v>0</v>
      </c>
      <c r="LB148" s="415">
        <v>0.3</v>
      </c>
      <c r="LC148" s="415"/>
      <c r="LD148" s="415"/>
      <c r="LE148" s="415">
        <v>0.5</v>
      </c>
      <c r="LF148" s="415">
        <v>0.2</v>
      </c>
      <c r="LG148" s="409">
        <v>0</v>
      </c>
      <c r="LH148" s="409">
        <f>20+19+15+25+10</f>
        <v>89</v>
      </c>
      <c r="LI148" s="409">
        <v>0</v>
      </c>
      <c r="LJ148" s="409">
        <v>0</v>
      </c>
      <c r="LK148" s="416">
        <f t="shared" si="61"/>
        <v>89</v>
      </c>
      <c r="LL148" s="416">
        <f t="shared" si="62"/>
        <v>89</v>
      </c>
      <c r="LM148" s="417">
        <f t="shared" si="63"/>
        <v>26.7</v>
      </c>
      <c r="LN148" s="417">
        <f>VLOOKUP($LM$8,'Jan-2026 rates'!$H:$I,2,0)</f>
        <v>0</v>
      </c>
      <c r="LO148" s="417">
        <f t="shared" si="64"/>
        <v>0</v>
      </c>
      <c r="LP148" s="417">
        <f>VLOOKUP($LO$8,'Jan-2026 rates'!$H:$I,2,0)</f>
        <v>0</v>
      </c>
      <c r="LQ148" s="417">
        <f t="shared" si="65"/>
        <v>0</v>
      </c>
      <c r="LR148" s="417">
        <f>VLOOKUP($LQ$8,'Jan-2026 rates'!$H:$I,2,0)</f>
        <v>0</v>
      </c>
      <c r="LS148" s="417">
        <f t="shared" si="66"/>
        <v>44.5</v>
      </c>
      <c r="LT148" s="417">
        <f>VLOOKUP($LS$8,'Jan-2026 rates'!$H:$I,2,0)</f>
        <v>0</v>
      </c>
      <c r="LU148" s="417">
        <f t="shared" si="67"/>
        <v>17.8</v>
      </c>
      <c r="LV148" s="417">
        <f>VLOOKUP($LU$8,'Jan-2026 rates'!$H:$I,2,0)</f>
        <v>0</v>
      </c>
      <c r="LW148" s="417">
        <f t="shared" si="68"/>
        <v>0</v>
      </c>
      <c r="LX148" s="417">
        <f t="shared" si="69"/>
        <v>0</v>
      </c>
      <c r="LY148" s="418">
        <f t="shared" si="70"/>
        <v>0</v>
      </c>
      <c r="LZ148" s="417"/>
      <c r="MA148" s="435">
        <f t="shared" si="71"/>
        <v>70.989999999999995</v>
      </c>
      <c r="MB148" s="282">
        <f t="shared" si="72"/>
        <v>166.98999999999998</v>
      </c>
      <c r="MC148" s="283" t="s">
        <v>1983</v>
      </c>
      <c r="MD148" s="284" t="str">
        <f t="shared" si="73"/>
        <v>ToyoLiToyoLiToyoLiToyoLiToyoLiToyoLiToyoLi</v>
      </c>
      <c r="ME148" s="293" t="str">
        <f t="shared" si="74"/>
        <v>+</v>
      </c>
      <c r="MF148" s="293" t="str">
        <f t="shared" si="75"/>
        <v>+</v>
      </c>
      <c r="MG148" s="293" t="str">
        <f t="shared" si="76"/>
        <v>+</v>
      </c>
      <c r="MH148" s="293" t="str">
        <f t="shared" si="77"/>
        <v>+</v>
      </c>
      <c r="MI148" s="293" t="str">
        <f t="shared" si="78"/>
        <v>+</v>
      </c>
      <c r="MJ148" s="293" t="str">
        <f t="shared" si="79"/>
        <v>+</v>
      </c>
      <c r="MK148" s="293" t="str">
        <f t="shared" si="80"/>
        <v>+</v>
      </c>
      <c r="ML148" s="293" t="str">
        <f t="shared" si="81"/>
        <v>NIL</v>
      </c>
      <c r="MM148" s="3" t="b">
        <f t="array" ref="MM148">OR(ME148:ML148="-")</f>
        <v>0</v>
      </c>
      <c r="MN148" s="285"/>
      <c r="MO148" s="401"/>
      <c r="MP148" s="286"/>
      <c r="MQ148" s="286"/>
      <c r="MR148" s="402"/>
      <c r="MS148" s="400"/>
      <c r="NH148" s="422"/>
      <c r="NJ148" s="421"/>
    </row>
    <row r="149" spans="1:374" s="1" customFormat="1" ht="16.5">
      <c r="A149" s="403">
        <v>46031</v>
      </c>
      <c r="B149" s="404" t="s">
        <v>1015</v>
      </c>
      <c r="C149" s="405" t="s">
        <v>3455</v>
      </c>
      <c r="D149" s="406" t="s">
        <v>1984</v>
      </c>
      <c r="E149" s="404">
        <v>583</v>
      </c>
      <c r="F149" s="407">
        <v>33600</v>
      </c>
      <c r="G149" s="407" t="s">
        <v>1016</v>
      </c>
      <c r="H149" s="408" t="s">
        <v>1017</v>
      </c>
      <c r="I149" s="409">
        <v>1.32</v>
      </c>
      <c r="J149" s="405" t="s">
        <v>546</v>
      </c>
      <c r="K149" s="404" t="s">
        <v>3456</v>
      </c>
      <c r="L149" s="419" t="str">
        <f t="shared" si="54"/>
        <v>ToyoLi - REFLEX BLUE</v>
      </c>
      <c r="M149" s="404">
        <f>20+20</f>
        <v>40</v>
      </c>
      <c r="N149" s="410">
        <f>IF(M149=0,0,IF($LB149=70%,VLOOKUP($L149,'Jan-2026 rates'!$L:$R,4,0),IF($LB149=65%,VLOOKUP($L149,'Jan-2026 rates'!$L:$R,4,0),IF($LB149=40%,VLOOKUP($L149,'Jan-2026 rates'!$L:$R,5,0),IF($LB149=30%,VLOOKUP($L149,'Jan-2026 rates'!$L:$R,6,0),IF($LB149=100%,VLOOKUP($L149,'Jan-2026 rates'!$L:$R,7,0),IF($LB149=60%,VLOOKUP($L149,'Jan-2026 rates'!$L:$S,8,0),IF($LB149=80%,VLOOKUP($L149,'Jan-2026 rates'!L:T,9,0),0))))))))</f>
        <v>0</v>
      </c>
      <c r="O149" s="406" t="s">
        <v>3457</v>
      </c>
      <c r="P149" s="404">
        <v>19</v>
      </c>
      <c r="Q149" s="410">
        <f>IF(P149=0,0,IF($LB149=70%,VLOOKUP($L149,'Jan-2026 rates'!$L:$R,4,0),IF($LB149=65%,VLOOKUP($L149,'Jan-2026 rates'!$L:$R,4,0),IF($LB149=40%,VLOOKUP($L149,'Jan-2026 rates'!$L:$R,5,0),IF($LB149=30%,VLOOKUP($L149,'Jan-2026 rates'!$L:$R,6,0),IF($LB149=100%,VLOOKUP($L149,'Jan-2026 rates'!$L:$R,7,0),IF($LB149=60%,VLOOKUP($L149,'Jan-2026 rates'!$L:$S,8,0),IF($LB149=80%,VLOOKUP($L149,'Jan-2026 rates'!L:T,9,0),0))))))))</f>
        <v>0</v>
      </c>
      <c r="R149" s="406" t="s">
        <v>1880</v>
      </c>
      <c r="S149" s="406"/>
      <c r="T149" s="406"/>
      <c r="U149" s="406"/>
      <c r="V149" s="406"/>
      <c r="W149" s="406"/>
      <c r="X149" s="406"/>
      <c r="Y149" s="406"/>
      <c r="Z149" s="404">
        <v>5</v>
      </c>
      <c r="AA149" s="398">
        <f>IF(Z149=0,0,IF(LEN(R149)=11,_xlfn.XLOOKUP(R149,'Dispensed Ink Rates'!C:C,'Dispensed Ink Rates'!CS:CS),VLOOKUP(R149,'Jan-2026 rates'!$E:$F,2,0)))</f>
        <v>0</v>
      </c>
      <c r="AB149" s="404"/>
      <c r="AC149" s="398">
        <f>IF(AB149=0,0,IF(LEN(S149)=11,_xlfn.XLOOKUP(S149,'Dispensed Ink Rates'!C:C,'Dispensed Ink Rates'!CS:CS),VLOOKUP(S149,'Jan-2026 rates'!$E:$F,2,0)))</f>
        <v>0</v>
      </c>
      <c r="AD149" s="404"/>
      <c r="AE149" s="398">
        <f>IF(AD149=0,0,IF(LEN(T149)=11,_xlfn.XLOOKUP(T149,'Dispensed Ink Rates'!C:C,'Dispensed Ink Rates'!CS:CS),VLOOKUP(T149,'Jan-2026 rates'!$E:$F,2,0)))</f>
        <v>0</v>
      </c>
      <c r="AF149" s="404"/>
      <c r="AG149" s="398">
        <f>IF(AF149=0,0,IF(LEN(U149)=11,_xlfn.XLOOKUP(U149,'Dispensed Ink Rates'!C:C,'Dispensed Ink Rates'!CS:CS),VLOOKUP(U149,'Jan-2026 rates'!$E:$F,2,0)))</f>
        <v>0</v>
      </c>
      <c r="AH149" s="404"/>
      <c r="AI149" s="398">
        <f>IF(AH149=0,0,IF(LEN(V149)=11,_xlfn.XLOOKUP(V149,'Dispensed Ink Rates'!C:C,'Dispensed Ink Rates'!CS:CS),VLOOKUP(V149,'Jan-2026 rates'!$E:$F,2,0)))</f>
        <v>0</v>
      </c>
      <c r="AJ149" s="404"/>
      <c r="AK149" s="398">
        <f>IF(AJ149=0,0,IF(LEN(W149)=11,_xlfn.XLOOKUP(W149,'Dispensed Ink Rates'!C:C,'Dispensed Ink Rates'!CS:CS),VLOOKUP(W149,'Jan-2026 rates'!$E:$F,2,0)))</f>
        <v>0</v>
      </c>
      <c r="AL149" s="404"/>
      <c r="AM149" s="398">
        <f>IF(AL149=0,0,IF(LEN(X149)=11,_xlfn.XLOOKUP(X149,'Dispensed Ink Rates'!C:C,'Dispensed Ink Rates'!CS:CS),VLOOKUP(X149,'Jan-2026 rates'!$E:$F,2,0)))</f>
        <v>0</v>
      </c>
      <c r="AN149" s="404"/>
      <c r="AO149" s="398">
        <f>IF(AN149=0,0,IF(LEN(Y149)=11,_xlfn.XLOOKUP(Y149,'Dispensed Ink Rates'!C:C,'Dispensed Ink Rates'!CS:CS),VLOOKUP(Y149,'Jan-2026 rates'!$E:$F,2,0)))</f>
        <v>0</v>
      </c>
      <c r="AP149" s="409" t="s">
        <v>1881</v>
      </c>
      <c r="AQ149" s="409">
        <f>17+18</f>
        <v>35</v>
      </c>
      <c r="AR149" s="410">
        <f t="shared" si="106"/>
        <v>0</v>
      </c>
      <c r="AS149" s="411">
        <f t="shared" si="107"/>
        <v>37.333333333333329</v>
      </c>
      <c r="AT149" s="410">
        <f t="shared" si="108"/>
        <v>0</v>
      </c>
      <c r="AU149" s="405" t="s">
        <v>546</v>
      </c>
      <c r="AV149" s="409" t="s">
        <v>3456</v>
      </c>
      <c r="AW149" s="420" t="str">
        <f t="shared" si="130"/>
        <v>ToyoLi - REFLEX BLUE</v>
      </c>
      <c r="AX149" s="409">
        <f>20+18</f>
        <v>38</v>
      </c>
      <c r="AY149" s="411">
        <f>IF(AX149=0,0,IF($LB149=70%,VLOOKUP($AW149,'Jan-2026 rates'!$L:$R,4,0),IF($LB149=65%,VLOOKUP($AW149,'Jan-2026 rates'!$L:$R,4,0),IF($LB149=40%,VLOOKUP($AW149,'Jan-2026 rates'!$L:$R,5,0),IF($LB149=30%,VLOOKUP($AW149,'Jan-2026 rates'!$L:$R,6,0),IF($LB149=100%,VLOOKUP($AW149,'Jan-2026 rates'!$L:$R,7,0),IF($LB149=60%,VLOOKUP($AW149,'Jan-2026 rates'!$L:$S,8,0),IF($LB149=80%,VLOOKUP($AW149,'Jan-2026 rates'!L:T,9,0),0))))))))</f>
        <v>0</v>
      </c>
      <c r="AZ149" s="412"/>
      <c r="BA149" s="409"/>
      <c r="BB149" s="411">
        <f>IF(BA149=0,0,IF($LB149=70%,VLOOKUP($AW149,'Jan-2026 rates'!$L:$R,4,0),IF($LB149=65%,VLOOKUP($AW149,'Jan-2026 rates'!$L:$R,4,0),IF($LB149=40%,VLOOKUP($AW149,'Jan-2026 rates'!$L:$R,5,0),IF($LB149=30%,VLOOKUP($AW149,'Jan-2026 rates'!$L:$R,6,0),IF($LB149=100%,VLOOKUP($AW149,'Jan-2026 rates'!$L:$R,7,0),IF($LB149=60%,VLOOKUP($AW149,'Jan-2026 rates'!$L:$S,8,0),IF($LB149=80%,VLOOKUP($AW149,'Jan-2026 rates'!L:T,9,0),0))))))))</f>
        <v>0</v>
      </c>
      <c r="BC149" s="413" t="s">
        <v>1921</v>
      </c>
      <c r="BD149" s="412"/>
      <c r="BE149" s="412"/>
      <c r="BF149" s="413"/>
      <c r="BG149" s="412"/>
      <c r="BH149" s="412"/>
      <c r="BI149" s="412"/>
      <c r="BJ149" s="412"/>
      <c r="BK149" s="409">
        <v>5</v>
      </c>
      <c r="BL149" s="398">
        <f>IF(BK149=0,0,IF(LEN(BC149)=11,_xlfn.XLOOKUP(BC149,'Dispensed Ink Rates'!C:C,'Dispensed Ink Rates'!CS:CS),VLOOKUP(BC149,'Jan-2026 rates'!$E:$F,2,0)))</f>
        <v>0</v>
      </c>
      <c r="BM149" s="409"/>
      <c r="BN149" s="398">
        <f>IF(BM149=0,0,IF(LEN(BD149)=11,_xlfn.XLOOKUP(BD149,'Dispensed Ink Rates'!C:C,'Dispensed Ink Rates'!CS:CS),VLOOKUP(BD149,'Jan-2026 rates'!$E:$F,2,0)))</f>
        <v>0</v>
      </c>
      <c r="BO149" s="409"/>
      <c r="BP149" s="398">
        <f>IF(BO149=0,0,IF(LEN(BE149)=11,_xlfn.XLOOKUP(BE149,'Dispensed Ink Rates'!C:C,'Dispensed Ink Rates'!CS:CS),VLOOKUP(BE149,'Jan-2026 rates'!$E:$F,2,0)))</f>
        <v>0</v>
      </c>
      <c r="BQ149" s="409"/>
      <c r="BR149" s="398">
        <f>IF(BQ149=0,0,IF(LEN(BF149)=11,_xlfn.XLOOKUP(BF149,'Dispensed Ink Rates'!C:C,'Dispensed Ink Rates'!CS:CS),VLOOKUP(BF149,'Jan-2026 rates'!$E:$F,2,0)))</f>
        <v>0</v>
      </c>
      <c r="BS149" s="409"/>
      <c r="BT149" s="398">
        <f>IF(BS149=0,0,IF(LEN(BG149)=11,_xlfn.XLOOKUP(BG149,'Dispensed Ink Rates'!C:C,'Dispensed Ink Rates'!CS:CS),VLOOKUP(BG149,'Jan-2026 rates'!$E:$F,2,0)))</f>
        <v>0</v>
      </c>
      <c r="BU149" s="409"/>
      <c r="BV149" s="398">
        <f>IF(BU149=0,0,IF(LEN(BH149)=11,_xlfn.XLOOKUP(BH149,'Dispensed Ink Rates'!C:C,'Dispensed Ink Rates'!CS:CS),VLOOKUP(BH149,'Jan-2026 rates'!$E:$F,2,0)))</f>
        <v>0</v>
      </c>
      <c r="BW149" s="409"/>
      <c r="BX149" s="398">
        <f>IF(BW149=0,0,IF(LEN(BI149)=11,_xlfn.XLOOKUP(BI149,'Dispensed Ink Rates'!C:C,'Dispensed Ink Rates'!CS:CS),VLOOKUP(BI149,'Jan-2026 rates'!$E:$F,2,0)))</f>
        <v>0</v>
      </c>
      <c r="BY149" s="409"/>
      <c r="BZ149" s="398">
        <f>IF(BY149=0,0,IF(LEN(BJ149)=11,_xlfn.XLOOKUP(BJ149,'Dispensed Ink Rates'!C:C,'Dispensed Ink Rates'!CS:CS),VLOOKUP(BJ149,'Jan-2026 rates'!$E:$F,2,0)))</f>
        <v>0</v>
      </c>
      <c r="CA149" s="409" t="s">
        <v>1881</v>
      </c>
      <c r="CB149" s="409">
        <f>18+19</f>
        <v>37</v>
      </c>
      <c r="CC149" s="411">
        <f t="shared" si="109"/>
        <v>0</v>
      </c>
      <c r="CD149" s="411">
        <f t="shared" si="110"/>
        <v>17.111111111111114</v>
      </c>
      <c r="CE149" s="410">
        <f t="shared" si="111"/>
        <v>0</v>
      </c>
      <c r="CF149" s="404" t="s">
        <v>544</v>
      </c>
      <c r="CG149" s="409" t="s">
        <v>3458</v>
      </c>
      <c r="CH149" s="420" t="str">
        <f t="shared" si="55"/>
        <v>ToyoLi - MAGENTA</v>
      </c>
      <c r="CI149" s="409">
        <v>29</v>
      </c>
      <c r="CJ149" s="411">
        <f>IF(CI149=0,0,IF($LB149=70%,VLOOKUP($CH149,'Jan-2026 rates'!$L:$R,4,0),IF($LB149=65%,VLOOKUP($CH149,'Jan-2026 rates'!$L:$R,4,0),IF($LB149=40%,VLOOKUP($CH149,'Jan-2026 rates'!$L:$R,5,0),IF($LB149=30%,VLOOKUP($CH149,'Jan-2026 rates'!$L:$R,6,0),IF($LB149=100%,VLOOKUP($CH149,'Jan-2026 rates'!$L:$R,7,0),IF($LB149=60%,VLOOKUP($CH149,'Jan-2026 rates'!$L:$S,8,0),IF($LB149=80%,VLOOKUP($CH149,'Jan-2026 rates'!L:T,9,0),0))))))))</f>
        <v>0</v>
      </c>
      <c r="CK149" s="412"/>
      <c r="CL149" s="409"/>
      <c r="CM149" s="411">
        <f>IF(CL149=0,0,IF($LB149=70%,VLOOKUP($CH149,'Jan-2026 rates'!$L:$R,4,0),IF($LB149=65%,VLOOKUP($CH149,'Jan-2026 rates'!$L:$R,4,0),IF($LB149=40%,VLOOKUP($CH149,'Jan-2026 rates'!$L:$R,5,0),IF($LB149=30%,VLOOKUP($CH149,'Jan-2026 rates'!$L:$R,6,0),IF($LB149=100%,VLOOKUP($CH149,'Jan-2026 rates'!$L:$R,7,0),IF($LB149=60%,VLOOKUP($CH149,'Jan-2026 rates'!$L:$S,8,0),IF($LB149=80%,VLOOKUP($CH149,'Jan-2026 rates'!L:T,9,0),0))))))))</f>
        <v>0</v>
      </c>
      <c r="CN149" s="426" t="s">
        <v>1246</v>
      </c>
      <c r="CO149" s="427"/>
      <c r="CP149" s="426"/>
      <c r="CQ149" s="426"/>
      <c r="CR149" s="428"/>
      <c r="CS149" s="428"/>
      <c r="CT149" s="428"/>
      <c r="CU149" s="428"/>
      <c r="CV149" s="409">
        <v>3</v>
      </c>
      <c r="CW149" s="398">
        <f>IF(CV149=0,0,IF(LEN(CN149)=11,_xlfn.XLOOKUP(CN149,'Dispensed Ink Rates'!C:C,'Dispensed Ink Rates'!CS:CS),VLOOKUP(CN149,'Jan-2026 rates'!$E:$F,2,0)))</f>
        <v>0</v>
      </c>
      <c r="CX149" s="409"/>
      <c r="CY149" s="398">
        <f>IF(CX149=0,0,IF(LEN(CO149)=11,_xlfn.XLOOKUP(CO149,'Dispensed Ink Rates'!C:C,'Dispensed Ink Rates'!CS:CS),VLOOKUP(CO149,'Jan-2026 rates'!$E:$F,2,0)))</f>
        <v>0</v>
      </c>
      <c r="CZ149" s="409"/>
      <c r="DA149" s="398">
        <f>IF(CZ149=0,0,IF(LEN(CP149)=11,_xlfn.XLOOKUP(CP149,'Dispensed Ink Rates'!C:C,'Dispensed Ink Rates'!CS:CS),VLOOKUP(CP149,'Jan-2026 rates'!$E:$F,2,0)))</f>
        <v>0</v>
      </c>
      <c r="DB149" s="409"/>
      <c r="DC149" s="398">
        <f>IF(DB149=0,0,IF(LEN(CQ149)=11,_xlfn.XLOOKUP(CQ149,'Dispensed Ink Rates'!C:C,'Dispensed Ink Rates'!CS:CS),VLOOKUP(CQ149,'Jan-2026 rates'!$E:$F,2,0)))</f>
        <v>0</v>
      </c>
      <c r="DD149" s="409"/>
      <c r="DE149" s="398">
        <f>IF(DD149=0,0,IF(LEN(CR149)=11,_xlfn.XLOOKUP(CR149,'Dispensed Ink Rates'!C:C,'Dispensed Ink Rates'!CS:CS),VLOOKUP(CR149,'Jan-2026 rates'!$E:$F,2,0)))</f>
        <v>0</v>
      </c>
      <c r="DF149" s="409"/>
      <c r="DG149" s="398">
        <f>IF(DF149=0,0,IF(LEN(CS149)=11,_xlfn.XLOOKUP(CS149,'Dispensed Ink Rates'!C:C,'Dispensed Ink Rates'!CS:CS),VLOOKUP(CS149,'Jan-2026 rates'!$E:$F,2,0)))</f>
        <v>0</v>
      </c>
      <c r="DH149" s="409"/>
      <c r="DI149" s="398">
        <f>IF(DH149=0,0,IF(LEN(CT149)=11,_xlfn.XLOOKUP(CT149,'Dispensed Ink Rates'!C:C,'Dispensed Ink Rates'!CS:CS),VLOOKUP(CT149,'Jan-2026 rates'!$E:$F,2,0)))</f>
        <v>0</v>
      </c>
      <c r="DJ149" s="409"/>
      <c r="DK149" s="398">
        <f>IF(DJ149=0,0,IF(LEN(CU149)=11,_xlfn.XLOOKUP(CU149,'Dispensed Ink Rates'!C:C,'Dispensed Ink Rates'!CS:CS),VLOOKUP(CU149,'Jan-2026 rates'!$E:$F,2,0)))</f>
        <v>0</v>
      </c>
      <c r="DL149" s="409" t="s">
        <v>1881</v>
      </c>
      <c r="DM149" s="409">
        <v>28</v>
      </c>
      <c r="DN149" s="411">
        <f t="shared" si="112"/>
        <v>0</v>
      </c>
      <c r="DO149" s="411">
        <f t="shared" si="113"/>
        <v>9.5555555555555571</v>
      </c>
      <c r="DP149" s="410">
        <f t="shared" si="114"/>
        <v>0</v>
      </c>
      <c r="DQ149" s="405" t="s">
        <v>545</v>
      </c>
      <c r="DR149" s="409" t="s">
        <v>3459</v>
      </c>
      <c r="DS149" s="420" t="str">
        <f t="shared" si="56"/>
        <v>ToyoLi - YELLOW</v>
      </c>
      <c r="DT149" s="409">
        <v>25</v>
      </c>
      <c r="DU149" s="411">
        <f>IF(DT149=0,0,IF($LB149=70%,VLOOKUP($DS149,'Jan-2026 rates'!$L:$R,4,0),IF($LB149=65%,VLOOKUP($DS149,'Jan-2026 rates'!$L:$R,4,0),IF($LB149=40%,VLOOKUP($DS149,'Jan-2026 rates'!$L:$R,5,0),IF($LB149=30%,VLOOKUP($DS149,'Jan-2026 rates'!$L:$R,6,0),IF($LB149=100%,VLOOKUP($DS149,'Jan-2026 rates'!$L:$R,7,0),IF($LB149=60%,VLOOKUP($DS149,'Jan-2026 rates'!$L:$S,8,0),IF($LB149=80%,VLOOKUP($DS149,'Jan-2026 rates'!L:T,9,0),0))))))))</f>
        <v>0</v>
      </c>
      <c r="DV149" s="412"/>
      <c r="DW149" s="409"/>
      <c r="DX149" s="411">
        <f>IF(DW149=0,0,IF($LB149=70%,VLOOKUP($DS149,'Jan-2026 rates'!$L:$R,4,0),IF($LB149=65%,VLOOKUP($DS149,'Jan-2026 rates'!$L:$R,4,0),IF($LB149=40%,VLOOKUP($DS149,'Jan-2026 rates'!$L:$R,5,0),IF($LB149=30%,VLOOKUP($DS149,'Jan-2026 rates'!$L:$R,6,0),IF($LB149=100%,VLOOKUP($DS149,'Jan-2026 rates'!$L:$R,7,0),IF($LB149=60%,VLOOKUP($DS149,'Jan-2026 rates'!$L:$S,8,0),IF($LB149=80%,VLOOKUP($DS149,'Jan-2026 rates'!L:T,9,0),0))))))))</f>
        <v>0</v>
      </c>
      <c r="DY149" s="413" t="s">
        <v>1247</v>
      </c>
      <c r="DZ149" s="413"/>
      <c r="EA149" s="412"/>
      <c r="EB149" s="412"/>
      <c r="EC149" s="412"/>
      <c r="ED149" s="412"/>
      <c r="EE149" s="412"/>
      <c r="EF149" s="412"/>
      <c r="EG149" s="409">
        <f>3+4</f>
        <v>7</v>
      </c>
      <c r="EH149" s="398">
        <f>IF(EG149=0,0,IF(LEN(DY149)=11,_xlfn.XLOOKUP(DY149,'Dispensed Ink Rates'!C:C,'Dispensed Ink Rates'!CS:CS),VLOOKUP(DY149,'Jan-2026 rates'!$E:$F,2,0)))</f>
        <v>0</v>
      </c>
      <c r="EI149" s="409"/>
      <c r="EJ149" s="398">
        <f>IF(EI149=0,0,IF(LEN(DZ149)=11,_xlfn.XLOOKUP(DZ149,'Dispensed Ink Rates'!C:C,'Dispensed Ink Rates'!CS:CS),VLOOKUP(DZ149,'Jan-2026 rates'!$E:$F,2,0)))</f>
        <v>0</v>
      </c>
      <c r="EK149" s="409"/>
      <c r="EL149" s="398">
        <f>IF(EK149=0,0,IF(LEN(EA149)=11,_xlfn.XLOOKUP(EA149,'Dispensed Ink Rates'!C:C,'Dispensed Ink Rates'!CS:CS),VLOOKUP(EA149,'Jan-2026 rates'!$E:$F,2,0)))</f>
        <v>0</v>
      </c>
      <c r="EM149" s="409"/>
      <c r="EN149" s="398">
        <f>IF(EM149=0,0,IF(LEN(EB149)=11,_xlfn.XLOOKUP(EB149,'Dispensed Ink Rates'!C:C,'Dispensed Ink Rates'!CS:CS),VLOOKUP(EB149,'Jan-2026 rates'!$E:$F,2,0)))</f>
        <v>0</v>
      </c>
      <c r="EO149" s="409"/>
      <c r="EP149" s="398">
        <f>IF(EO149=0,0,IF(LEN(EC149)=11,_xlfn.XLOOKUP(EC149,'Dispensed Ink Rates'!C:C,'Dispensed Ink Rates'!CS:CS),VLOOKUP(EC149,'Jan-2026 rates'!$E:$F,2,0)))</f>
        <v>0</v>
      </c>
      <c r="EQ149" s="409"/>
      <c r="ER149" s="398">
        <f>IF(EQ149=0,0,IF(LEN(ED149)=11,_xlfn.XLOOKUP(ED149,'Dispensed Ink Rates'!C:C,'Dispensed Ink Rates'!CS:CS),VLOOKUP(ED149,'Jan-2026 rates'!$E:$F,2,0)))</f>
        <v>0</v>
      </c>
      <c r="ES149" s="409"/>
      <c r="ET149" s="398">
        <f>IF(ES149=0,0,IF(LEN(EE149)=11,_xlfn.XLOOKUP(EE149,'Dispensed Ink Rates'!C:C,'Dispensed Ink Rates'!CS:CS),VLOOKUP(EE149,'Jan-2026 rates'!$E:$F,2,0)))</f>
        <v>0</v>
      </c>
      <c r="EU149" s="409"/>
      <c r="EV149" s="398">
        <f>IF(EU149=0,0,IF(LEN(EF149)=11,_xlfn.XLOOKUP(EF149,'Dispensed Ink Rates'!C:C,'Dispensed Ink Rates'!CS:CS),VLOOKUP(EF149,'Jan-2026 rates'!$E:$F,2,0)))</f>
        <v>0</v>
      </c>
      <c r="EW149" s="409" t="s">
        <v>1881</v>
      </c>
      <c r="EX149" s="409">
        <v>30</v>
      </c>
      <c r="EY149" s="411">
        <f t="shared" si="115"/>
        <v>0</v>
      </c>
      <c r="EZ149" s="411">
        <f t="shared" si="116"/>
        <v>7.5555555555555571</v>
      </c>
      <c r="FA149" s="410">
        <f t="shared" si="117"/>
        <v>0</v>
      </c>
      <c r="FB149" s="405" t="s">
        <v>543</v>
      </c>
      <c r="FC149" s="409" t="s">
        <v>3460</v>
      </c>
      <c r="FD149" s="420" t="str">
        <f t="shared" si="57"/>
        <v>ToyoLi - BLACK</v>
      </c>
      <c r="FE149" s="409">
        <f>17+14</f>
        <v>31</v>
      </c>
      <c r="FF149" s="411">
        <f>IF(FE149=0,0,IF($LB149=70%,VLOOKUP($FD149,'Jan-2026 rates'!$L:$R,4,0),IF($LB149=65%,VLOOKUP($FD149,'Jan-2026 rates'!$L:$R,4,0),IF($LB149=40%,VLOOKUP($FD149,'Jan-2026 rates'!$L:$R,5,0),IF($LB149=30%,VLOOKUP($FD149,'Jan-2026 rates'!$L:$R,6,0),IF($LB149=100%,VLOOKUP($FD149,'Jan-2026 rates'!$L:$R,7,0),IF($LB149=60%,VLOOKUP($FD149,'Jan-2026 rates'!$L:$S,8,0),IF($LB149=80%,VLOOKUP($FD149,'Jan-2026 rates'!L:T,9,0),0))))))))</f>
        <v>0</v>
      </c>
      <c r="FG149" s="412"/>
      <c r="FH149" s="409"/>
      <c r="FI149" s="411">
        <f>IF(FH149=0,0,IF($LB149=70%,VLOOKUP($FD149,'Jan-2026 rates'!$L:$R,4,0),IF($LB149=65%,VLOOKUP($FD149,'Jan-2026 rates'!$L:$R,4,0),IF($LB149=40%,VLOOKUP($FD149,'Jan-2026 rates'!$L:$R,5,0),IF($LB149=30%,VLOOKUP($FD149,'Jan-2026 rates'!$L:$R,6,0),IF($LB149=100%,VLOOKUP($FD149,'Jan-2026 rates'!$L:$R,7,0),IF($LB149=60%,VLOOKUP($FD149,'Jan-2026 rates'!$L:$S,8,0),IF($LB149=80%,VLOOKUP($FD149,'Jan-2026 rates'!L:T,9,0),0))))))))</f>
        <v>0</v>
      </c>
      <c r="FJ149" s="413" t="s">
        <v>1921</v>
      </c>
      <c r="FK149" s="413"/>
      <c r="FL149" s="413"/>
      <c r="FM149" s="412"/>
      <c r="FN149" s="412"/>
      <c r="FO149" s="412"/>
      <c r="FP149" s="412"/>
      <c r="FQ149" s="412"/>
      <c r="FR149" s="409">
        <v>6</v>
      </c>
      <c r="FS149" s="398">
        <f>IF(FR149=0,0,IF(LEN(FJ149)=11,_xlfn.XLOOKUP(FJ149,'Dispensed Ink Rates'!C:C,'Dispensed Ink Rates'!CS:CS),VLOOKUP(FJ149,'Jan-2026 rates'!$E:$F,2,0)))</f>
        <v>0</v>
      </c>
      <c r="FT149" s="409"/>
      <c r="FU149" s="398">
        <f>IF(FT149=0,0,IF(LEN(FK149)=11,_xlfn.XLOOKUP(FK149,'Dispensed Ink Rates'!C:C,'Dispensed Ink Rates'!CS:CS),VLOOKUP(FK149,'Jan-2026 rates'!$E:$F,2,0)))</f>
        <v>0</v>
      </c>
      <c r="FV149" s="409"/>
      <c r="FW149" s="398">
        <f>IF(FV149=0,0,IF(LEN(FL149)=11,_xlfn.XLOOKUP(FL149,'Dispensed Ink Rates'!C:C,'Dispensed Ink Rates'!CS:CS),VLOOKUP(FL149,'Jan-2026 rates'!$E:$F,2,0)))</f>
        <v>0</v>
      </c>
      <c r="FX149" s="409"/>
      <c r="FY149" s="398">
        <f>IF(FX149=0,0,IF(LEN(FM149)=11,_xlfn.XLOOKUP(FM149,'Dispensed Ink Rates'!C:C,'Dispensed Ink Rates'!CS:CS),VLOOKUP(FM149,'Jan-2026 rates'!$E:$F,2,0)))</f>
        <v>0</v>
      </c>
      <c r="FZ149" s="409"/>
      <c r="GA149" s="398">
        <f>IF(FZ149=0,0,IF(LEN(FN149)=11,_xlfn.XLOOKUP(FN149,'Dispensed Ink Rates'!C:C,'Dispensed Ink Rates'!CS:CS),VLOOKUP(FN149,'Jan-2026 rates'!$E:$F,2,0)))</f>
        <v>0</v>
      </c>
      <c r="GB149" s="409"/>
      <c r="GC149" s="398">
        <f>IF(GB149=0,0,IF(LEN(FO149)=11,_xlfn.XLOOKUP(FO149,'Dispensed Ink Rates'!C:C,'Dispensed Ink Rates'!CS:CS),VLOOKUP(FO149,'Jan-2026 rates'!$E:$F,2,0)))</f>
        <v>0</v>
      </c>
      <c r="GD149" s="409"/>
      <c r="GE149" s="398">
        <f>IF(GD149=0,0,IF(LEN(FP149)=11,_xlfn.XLOOKUP(FP149,'Dispensed Ink Rates'!C:C,'Dispensed Ink Rates'!CS:CS),VLOOKUP(FP149,'Jan-2026 rates'!$E:$F,2,0)))</f>
        <v>0</v>
      </c>
      <c r="GF149" s="409"/>
      <c r="GG149" s="398">
        <f>IF(GF149=0,0,IF(LEN(FQ149)=11,_xlfn.XLOOKUP(FQ149,'Dispensed Ink Rates'!C:C,'Dispensed Ink Rates'!CS:CS),VLOOKUP(FQ149,'Jan-2026 rates'!$E:$F,2,0)))</f>
        <v>0</v>
      </c>
      <c r="GH149" s="409" t="s">
        <v>1881</v>
      </c>
      <c r="GI149" s="409">
        <f>13+10</f>
        <v>23</v>
      </c>
      <c r="GJ149" s="411">
        <f t="shared" si="118"/>
        <v>0</v>
      </c>
      <c r="GK149" s="411">
        <f t="shared" si="119"/>
        <v>19.555555555555557</v>
      </c>
      <c r="GL149" s="410">
        <f t="shared" si="120"/>
        <v>0</v>
      </c>
      <c r="GM149" s="405" t="s">
        <v>856</v>
      </c>
      <c r="GN149" s="409" t="s">
        <v>3461</v>
      </c>
      <c r="GO149" s="420" t="str">
        <f t="shared" si="58"/>
        <v>ToyoLi - WHITE</v>
      </c>
      <c r="GP149" s="409">
        <v>25</v>
      </c>
      <c r="GQ149" s="411">
        <f>IF(GP149=0,0,IF($LB149=70%,VLOOKUP($GO149,'Jan-2026 rates'!$L:$R,4,0),IF($LB149=65%,VLOOKUP($GO149,'Jan-2026 rates'!$L:$R,4,0),IF($LB149=40%,VLOOKUP($GO149,'Jan-2026 rates'!$L:$R,5,0),IF($LB149=30%,VLOOKUP($GO149,'Jan-2026 rates'!$L:$R,6,0),IF($LB149=100%,VLOOKUP($GO149,'Jan-2026 rates'!$L:$R,7,0),IF($LB149=60%,VLOOKUP($GO149,'Jan-2026 rates'!$L:$S,8,0),IF($LB149=80%,VLOOKUP($GO149,'Jan-2026 rates'!L:T,9,0),0))))))))</f>
        <v>0</v>
      </c>
      <c r="GR149" s="412"/>
      <c r="GS149" s="409"/>
      <c r="GT149" s="411">
        <f>IF(GS149=0,0,IF($LB149=70%,VLOOKUP($GO149,'Jan-2026 rates'!$L:$R,4,0),IF($LB149=65%,VLOOKUP($GO149,'Jan-2026 rates'!$L:$R,4,0),IF($LB149=40%,VLOOKUP($GO149,'Jan-2026 rates'!$L:$R,5,0),IF($LB149=30%,VLOOKUP($GO149,'Jan-2026 rates'!$L:$R,6,0),IF($LB149=100%,VLOOKUP($GO149,'Jan-2026 rates'!$L:$R,7,0),IF($LB149=60%,VLOOKUP($GO149,'Jan-2026 rates'!$L:$S,8,0),IF($LB149=80%,VLOOKUP($GO149,'Jan-2026 rates'!L:T,9,0),0))))))))</f>
        <v>0</v>
      </c>
      <c r="GU149" s="413" t="s">
        <v>1249</v>
      </c>
      <c r="GV149" s="413" t="s">
        <v>1122</v>
      </c>
      <c r="GW149" s="412"/>
      <c r="GX149" s="412"/>
      <c r="GY149" s="412"/>
      <c r="GZ149" s="412"/>
      <c r="HA149" s="412"/>
      <c r="HB149" s="412"/>
      <c r="HC149" s="409">
        <f>60+40</f>
        <v>100</v>
      </c>
      <c r="HD149" s="398">
        <f>IF(HC149=0,0,IF(LEN(GU149)=11,_xlfn.XLOOKUP(GU149,'Dispensed Ink Rates'!C:C,'Dispensed Ink Rates'!CS:CS),VLOOKUP(GU149,'Jan-2026 rates'!$E:$F,2,0)))</f>
        <v>0</v>
      </c>
      <c r="HE149" s="409">
        <v>6.88</v>
      </c>
      <c r="HF149" s="398">
        <f>IF(HE149=0,0,IF(LEN(GV149)=11,_xlfn.XLOOKUP(GV149,'Dispensed Ink Rates'!C:C,'Dispensed Ink Rates'!CS:CS),VLOOKUP(GV149,'Jan-2026 rates'!$E:$F,2,0)))</f>
        <v>0</v>
      </c>
      <c r="HG149" s="409"/>
      <c r="HH149" s="398">
        <f>IF(HG149=0,0,IF(LEN(GW149)=11,_xlfn.XLOOKUP(GW149,'Dispensed Ink Rates'!C:C,'Dispensed Ink Rates'!CS:CS),VLOOKUP(GW149,'Jan-2026 rates'!$E:$F,2,0)))</f>
        <v>0</v>
      </c>
      <c r="HI149" s="409"/>
      <c r="HJ149" s="398">
        <f>IF(HI149=0,0,IF(LEN(GX149)=11,_xlfn.XLOOKUP(GX149,'Dispensed Ink Rates'!C:C,'Dispensed Ink Rates'!CS:CS),VLOOKUP(GX149,'Jan-2026 rates'!$E:$F,2,0)))</f>
        <v>0</v>
      </c>
      <c r="HK149" s="409"/>
      <c r="HL149" s="398">
        <f>IF(HK149=0,0,IF(LEN(GY149)=11,_xlfn.XLOOKUP(GY149,'Dispensed Ink Rates'!C:C,'Dispensed Ink Rates'!CS:CS),VLOOKUP(GY149,'Jan-2026 rates'!$E:$F,2,0)))</f>
        <v>0</v>
      </c>
      <c r="HM149" s="409"/>
      <c r="HN149" s="398">
        <f>IF(HM149=0,0,IF(LEN(GZ149)=11,_xlfn.XLOOKUP(GZ149,'Dispensed Ink Rates'!C:C,'Dispensed Ink Rates'!CS:CS),VLOOKUP(GZ149,'Jan-2026 rates'!$E:$F,2,0)))</f>
        <v>0</v>
      </c>
      <c r="HO149" s="409"/>
      <c r="HP149" s="398">
        <f>IF(HO149=0,0,IF(LEN(HA149)=11,_xlfn.XLOOKUP(HA149,'Dispensed Ink Rates'!C:C,'Dispensed Ink Rates'!CS:CS),VLOOKUP(HA149,'Jan-2026 rates'!$E:$F,2,0)))</f>
        <v>0</v>
      </c>
      <c r="HQ149" s="409"/>
      <c r="HR149" s="398">
        <f>IF(HQ149=0,0,IF(LEN(HB149)=11,_xlfn.XLOOKUP(HB149,'Dispensed Ink Rates'!C:C,'Dispensed Ink Rates'!CS:CS),VLOOKUP(HB149,'Jan-2026 rates'!$E:$F,2,0)))</f>
        <v>0</v>
      </c>
      <c r="HS149" s="409" t="s">
        <v>1881</v>
      </c>
      <c r="HT149" s="409">
        <v>30</v>
      </c>
      <c r="HU149" s="411">
        <f t="shared" si="121"/>
        <v>0</v>
      </c>
      <c r="HV149" s="411">
        <f t="shared" si="122"/>
        <v>240.76888888888891</v>
      </c>
      <c r="HW149" s="414">
        <f t="shared" si="123"/>
        <v>0</v>
      </c>
      <c r="HX149" s="405"/>
      <c r="HY149" s="409"/>
      <c r="HZ149" s="420" t="str">
        <f t="shared" si="59"/>
        <v xml:space="preserve"> - </v>
      </c>
      <c r="IA149" s="409"/>
      <c r="IB149" s="411">
        <f>IF(IA149=0,0,IF($LB149=70%,VLOOKUP($HZ149,'Jan-2026 rates'!$L:$R,4,0),IF($LB149=65%,VLOOKUP($HZ149,'Jan-2026 rates'!$L:$R,4,0),IF($LB149=40%,VLOOKUP($HZ149,'Jan-2026 rates'!$L:$R,5,0),IF($LB149=30%,VLOOKUP($HZ149,'Jan-2026 rates'!$L:$R,6,0),IF($LB149=100%,VLOOKUP($HZ149,'Jan-2026 rates'!$L:$R,7,0),IF($LB149=60%,VLOOKUP($HZ149,'Jan-2026 rates'!$L:$S,8,0),IF($LB149=80%,VLOOKUP($HZ149,'Jan-2026 rates'!L:T,9,0),0))))))))</f>
        <v>0</v>
      </c>
      <c r="IC149" s="412"/>
      <c r="ID149" s="409"/>
      <c r="IE149" s="411">
        <f>IF(ID149=0,0,IF($LB149=70%,VLOOKUP($HZ149,'Jan-2026 rates'!$L:$R,4,0),IF($LB149=65%,VLOOKUP($HZ149,'Jan-2026 rates'!$L:$R,4,0),IF($LB149=40%,VLOOKUP($HZ149,'Jan-2026 rates'!$L:$R,5,0),IF($LB149=30%,VLOOKUP($HZ149,'Jan-2026 rates'!$L:$R,6,0),IF($LB149=100%,VLOOKUP($HZ149,'Jan-2026 rates'!$L:$R,7,0),IF($LB149=60%,VLOOKUP($HZ149,'Jan-2026 rates'!$L:$S,8,0),IF($LB149=80%,VLOOKUP($HZ149,'Jan-2026 rates'!L:T,9,0),0))))))))</f>
        <v>0</v>
      </c>
      <c r="IF149" s="412"/>
      <c r="IG149" s="413"/>
      <c r="IH149" s="412"/>
      <c r="II149" s="412"/>
      <c r="IJ149" s="412"/>
      <c r="IK149" s="412"/>
      <c r="IL149" s="412"/>
      <c r="IM149" s="412"/>
      <c r="IN149" s="409"/>
      <c r="IO149" s="398">
        <f>IF(IN149=0,0,IF(LEN(IF149)=11,_xlfn.XLOOKUP(IF149,'Dispensed Ink Rates'!C:C,'Dispensed Ink Rates'!CS:CS),VLOOKUP(IF149,'Jan-2026 rates'!$E:$F,2,0)))</f>
        <v>0</v>
      </c>
      <c r="IP149" s="409"/>
      <c r="IQ149" s="398">
        <f>IF(IP149=0,0,IF(LEN(IG149)=11,_xlfn.XLOOKUP(IG149,'Dispensed Ink Rates'!C:C,'Dispensed Ink Rates'!CS:CS),VLOOKUP(IG149,'Jan-2026 rates'!$E:$F,2,0)))</f>
        <v>0</v>
      </c>
      <c r="IR149" s="409"/>
      <c r="IS149" s="398">
        <f>IF(IR149=0,0,IF(LEN(IH149)=11,_xlfn.XLOOKUP(IH149,'Dispensed Ink Rates'!C:C,'Dispensed Ink Rates'!CS:CS),VLOOKUP(IH149,'Jan-2026 rates'!$E:$F,2,0)))</f>
        <v>0</v>
      </c>
      <c r="IT149" s="409"/>
      <c r="IU149" s="398">
        <f>IF(IT149=0,0,IF(LEN(II149)=11,_xlfn.XLOOKUP(II149,'Dispensed Ink Rates'!C:C,'Dispensed Ink Rates'!CS:CS),VLOOKUP(II149,'Jan-2026 rates'!$E:$F,2,0)))</f>
        <v>0</v>
      </c>
      <c r="IV149" s="409"/>
      <c r="IW149" s="398">
        <f>IF(IV149=0,0,IF(LEN(IJ149)=11,_xlfn.XLOOKUP(IJ149,'Dispensed Ink Rates'!C:C,'Dispensed Ink Rates'!CS:CS),VLOOKUP(IJ149,'Jan-2026 rates'!$E:$F,2,0)))</f>
        <v>0</v>
      </c>
      <c r="IX149" s="409"/>
      <c r="IY149" s="398">
        <f>IF(IX149=0,0,IF(LEN(IK149)=11,_xlfn.XLOOKUP(IK149,'Dispensed Ink Rates'!C:C,'Dispensed Ink Rates'!CS:CS),VLOOKUP(IK149,'Jan-2026 rates'!$E:$F,2,0)))</f>
        <v>0</v>
      </c>
      <c r="IZ149" s="409"/>
      <c r="JA149" s="398">
        <f>IF(IZ149=0,0,IF(LEN(IL149)=11,_xlfn.XLOOKUP(IL149,'Dispensed Ink Rates'!C:C,'Dispensed Ink Rates'!CS:CS),VLOOKUP(IL149,'Jan-2026 rates'!$E:$F,2,0)))</f>
        <v>0</v>
      </c>
      <c r="JB149" s="409"/>
      <c r="JC149" s="398">
        <f>IF(JB149=0,0,IF(LEN(IM149)=11,_xlfn.XLOOKUP(IM149,'Dispensed Ink Rates'!C:C,'Dispensed Ink Rates'!CS:CS),VLOOKUP(IM149,'Jan-2026 rates'!$E:$F,2,0)))</f>
        <v>0</v>
      </c>
      <c r="JD149" s="409"/>
      <c r="JE149" s="409"/>
      <c r="JF149" s="411">
        <f t="shared" si="124"/>
        <v>0</v>
      </c>
      <c r="JG149" s="411">
        <f t="shared" si="125"/>
        <v>0</v>
      </c>
      <c r="JH149" s="410">
        <f t="shared" si="126"/>
        <v>0</v>
      </c>
      <c r="JI149" s="405"/>
      <c r="JJ149" s="409"/>
      <c r="JK149" s="420" t="str">
        <f t="shared" si="60"/>
        <v xml:space="preserve"> - </v>
      </c>
      <c r="JL149" s="409"/>
      <c r="JM149" s="411">
        <f>IF(JL149=0,0,IF($LB149=70%,VLOOKUP($JK149,'Jan-2026 rates'!$L:$R,4,0),IF($LB149=65%,VLOOKUP($JK149,'Jan-2026 rates'!$L:$R,4,0),IF($LB149=40%,VLOOKUP($JK149,'Jan-2026 rates'!$L:$R,5,0),IF($LB149=30%,VLOOKUP($JK149,'Jan-2026 rates'!$L:$R,6,0),IF($LB149=100%,VLOOKUP($JK149,'Jan-2026 rates'!$L:$R,7,0),IF($LB149=60%,VLOOKUP($JK149,'Jan-2026 rates'!$L:$S,8,0),IF($LB149=80%,VLOOKUP($JK149,'Jan-2026 rates'!L:T,9,0),0))))))))</f>
        <v>0</v>
      </c>
      <c r="JN149" s="412"/>
      <c r="JO149" s="409"/>
      <c r="JP149" s="411">
        <f>IF(JO149=0,0,IF($LB149=70%,VLOOKUP($JK149,'Jan-2026 rates'!$L:$R,4,0),IF($LB149=65%,VLOOKUP($JK149,'Jan-2026 rates'!$L:$R,4,0),IF($LB149=40%,VLOOKUP($JK149,'Jan-2026 rates'!$L:$R,5,0),IF($LB149=30%,VLOOKUP($JK149,'Jan-2026 rates'!$L:$R,6,0),IF($LB149=100%,VLOOKUP($JK149,'Jan-2026 rates'!$L:$R,7,0),IF($LB149=60%,VLOOKUP($JK149,'Jan-2026 rates'!$L:$S,8,0),IF($LB149=80%,VLOOKUP($JK149,'Jan-2026 rates'!L:T,9,0),0))))))))</f>
        <v>0</v>
      </c>
      <c r="JQ149" s="413"/>
      <c r="JR149" s="412"/>
      <c r="JS149" s="413"/>
      <c r="JT149" s="413"/>
      <c r="JU149" s="412"/>
      <c r="JV149" s="412"/>
      <c r="JW149" s="412"/>
      <c r="JX149" s="412"/>
      <c r="JY149" s="409"/>
      <c r="JZ149" s="398">
        <f>IF(JY149=0,0,IF(LEN(JQ149)=11,_xlfn.XLOOKUP(JQ149,'Dispensed Ink Rates'!C:C,'Dispensed Ink Rates'!CS:CS),VLOOKUP(JQ149,'Jan-2026 rates'!$E:$F,2,0)))</f>
        <v>0</v>
      </c>
      <c r="KA149" s="409"/>
      <c r="KB149" s="398">
        <f>IF(KA149=0,0,IF(LEN(JR149)=11,_xlfn.XLOOKUP(JR149,'Dispensed Ink Rates'!C:C,'Dispensed Ink Rates'!CS:CS),VLOOKUP(JR149,'Jan-2026 rates'!$E:$F,2,0)))</f>
        <v>0</v>
      </c>
      <c r="KC149" s="409"/>
      <c r="KD149" s="398">
        <f>IF(KC149=0,0,IF(LEN(JS149)=11,_xlfn.XLOOKUP(JS149,'Dispensed Ink Rates'!C:C,'Dispensed Ink Rates'!CS:CS),VLOOKUP(JS149,'Jan-2026 rates'!$E:$F,2,0)))</f>
        <v>0</v>
      </c>
      <c r="KE149" s="409"/>
      <c r="KF149" s="398">
        <f>IF(KE149=0,0,IF(LEN(JT149)=11,_xlfn.XLOOKUP(JT149,'Dispensed Ink Rates'!C:C,'Dispensed Ink Rates'!CS:CS),VLOOKUP(JT149,'Jan-2026 rates'!$E:$F,2,0)))</f>
        <v>0</v>
      </c>
      <c r="KG149" s="409"/>
      <c r="KH149" s="398">
        <f>IF(KG149=0,0,IF(LEN(JU149)=11,_xlfn.XLOOKUP(JU149,'Dispensed Ink Rates'!C:C,'Dispensed Ink Rates'!CS:CS),VLOOKUP(JU149,'Jan-2026 rates'!$E:$F,2,0)))</f>
        <v>0</v>
      </c>
      <c r="KI149" s="409"/>
      <c r="KJ149" s="398">
        <f>IF(KI149=0,0,IF(LEN(JV149)=11,_xlfn.XLOOKUP(JV149,'Dispensed Ink Rates'!C:C,'Dispensed Ink Rates'!CS:CS),VLOOKUP(JV149,'Jan-2026 rates'!$E:$F,2,0)))</f>
        <v>0</v>
      </c>
      <c r="KK149" s="409"/>
      <c r="KL149" s="398">
        <f>IF(KK149=0,0,IF(LEN(JW149)=11,_xlfn.XLOOKUP(JW149,'Dispensed Ink Rates'!C:C,'Dispensed Ink Rates'!CS:CS),VLOOKUP(JW149,'Jan-2026 rates'!$E:$F,2,0)))</f>
        <v>0</v>
      </c>
      <c r="KM149" s="428"/>
      <c r="KN149" s="398">
        <f>IF(KM149=0,0,IF(LEN(JX149)=11,_xlfn.XLOOKUP(JX149,'Dispensed Ink Rates'!C:C,'Dispensed Ink Rates'!CS:CS),VLOOKUP(JX149,'Jan-2026 rates'!$E:$F,2,0)))</f>
        <v>0</v>
      </c>
      <c r="KO149" s="409"/>
      <c r="KP149" s="409"/>
      <c r="KQ149" s="411">
        <f t="shared" si="127"/>
        <v>0</v>
      </c>
      <c r="KR149" s="411">
        <f t="shared" si="128"/>
        <v>0</v>
      </c>
      <c r="KS149" s="410">
        <f t="shared" si="129"/>
        <v>0</v>
      </c>
      <c r="KT149" s="409">
        <v>3</v>
      </c>
      <c r="KU149" s="409">
        <v>4</v>
      </c>
      <c r="KV149" s="409">
        <v>2</v>
      </c>
      <c r="KW149" s="409">
        <v>2</v>
      </c>
      <c r="KX149" s="409">
        <v>2</v>
      </c>
      <c r="KY149" s="409">
        <f>30+20</f>
        <v>50</v>
      </c>
      <c r="KZ149" s="409">
        <v>0</v>
      </c>
      <c r="LA149" s="409">
        <v>0</v>
      </c>
      <c r="LB149" s="415">
        <v>0.3</v>
      </c>
      <c r="LC149" s="415"/>
      <c r="LD149" s="415"/>
      <c r="LE149" s="415">
        <v>0.5</v>
      </c>
      <c r="LF149" s="415">
        <v>0.2</v>
      </c>
      <c r="LG149" s="409">
        <v>0</v>
      </c>
      <c r="LH149" s="409">
        <f>50+40+21+35+5+5+5+14</f>
        <v>175</v>
      </c>
      <c r="LI149" s="409">
        <v>0</v>
      </c>
      <c r="LJ149" s="409">
        <v>0</v>
      </c>
      <c r="LK149" s="416">
        <f t="shared" si="61"/>
        <v>175</v>
      </c>
      <c r="LL149" s="416">
        <f t="shared" si="62"/>
        <v>175</v>
      </c>
      <c r="LM149" s="417">
        <f t="shared" si="63"/>
        <v>52.5</v>
      </c>
      <c r="LN149" s="417">
        <f>VLOOKUP($LM$8,'Jan-2026 rates'!$H:$I,2,0)</f>
        <v>0</v>
      </c>
      <c r="LO149" s="417">
        <f t="shared" si="64"/>
        <v>0</v>
      </c>
      <c r="LP149" s="417">
        <f>VLOOKUP($LO$8,'Jan-2026 rates'!$H:$I,2,0)</f>
        <v>0</v>
      </c>
      <c r="LQ149" s="417">
        <f t="shared" si="65"/>
        <v>0</v>
      </c>
      <c r="LR149" s="417">
        <f>VLOOKUP($LQ$8,'Jan-2026 rates'!$H:$I,2,0)</f>
        <v>0</v>
      </c>
      <c r="LS149" s="417">
        <f t="shared" si="66"/>
        <v>87.5</v>
      </c>
      <c r="LT149" s="417">
        <f>VLOOKUP($LS$8,'Jan-2026 rates'!$H:$I,2,0)</f>
        <v>0</v>
      </c>
      <c r="LU149" s="417">
        <f t="shared" si="67"/>
        <v>35</v>
      </c>
      <c r="LV149" s="417">
        <f>VLOOKUP($LU$8,'Jan-2026 rates'!$H:$I,2,0)</f>
        <v>0</v>
      </c>
      <c r="LW149" s="417">
        <f t="shared" si="68"/>
        <v>0</v>
      </c>
      <c r="LX149" s="417">
        <f t="shared" si="69"/>
        <v>0</v>
      </c>
      <c r="LY149" s="418">
        <f t="shared" si="70"/>
        <v>0</v>
      </c>
      <c r="LZ149" s="417"/>
      <c r="MA149" s="435">
        <f t="shared" si="71"/>
        <v>132.88</v>
      </c>
      <c r="MB149" s="282">
        <f t="shared" si="72"/>
        <v>331.88</v>
      </c>
      <c r="MC149" s="283" t="s">
        <v>1984</v>
      </c>
      <c r="MD149" s="284" t="str">
        <f t="shared" si="73"/>
        <v>ToyoLiToyoLiToyoLiToyoLiToyoLiToyoLi</v>
      </c>
      <c r="ME149" s="293" t="str">
        <f t="shared" si="74"/>
        <v>+</v>
      </c>
      <c r="MF149" s="293" t="str">
        <f t="shared" si="75"/>
        <v>+</v>
      </c>
      <c r="MG149" s="293" t="str">
        <f t="shared" si="76"/>
        <v>+</v>
      </c>
      <c r="MH149" s="293" t="str">
        <f t="shared" si="77"/>
        <v>+</v>
      </c>
      <c r="MI149" s="293" t="str">
        <f t="shared" si="78"/>
        <v>+</v>
      </c>
      <c r="MJ149" s="293" t="str">
        <f t="shared" si="79"/>
        <v>+</v>
      </c>
      <c r="MK149" s="293" t="str">
        <f t="shared" si="80"/>
        <v>NIL</v>
      </c>
      <c r="ML149" s="293" t="str">
        <f t="shared" si="81"/>
        <v>NIL</v>
      </c>
      <c r="MM149" s="3" t="b">
        <f t="array" ref="MM149">OR(ME149:ML149="-")</f>
        <v>0</v>
      </c>
      <c r="MN149" s="285"/>
      <c r="MO149" s="401"/>
      <c r="MP149" s="286"/>
      <c r="MQ149" s="286"/>
      <c r="MR149" s="402"/>
      <c r="MS149" s="400"/>
      <c r="NH149" s="422"/>
      <c r="NJ149" s="421"/>
    </row>
    <row r="150" spans="1:374" s="1" customFormat="1" ht="16.5">
      <c r="A150" s="403">
        <v>46031</v>
      </c>
      <c r="B150" s="404" t="s">
        <v>1015</v>
      </c>
      <c r="C150" s="405" t="s">
        <v>3462</v>
      </c>
      <c r="D150" s="406" t="s">
        <v>1985</v>
      </c>
      <c r="E150" s="404">
        <v>222</v>
      </c>
      <c r="F150" s="407">
        <v>12800</v>
      </c>
      <c r="G150" s="407" t="s">
        <v>1016</v>
      </c>
      <c r="H150" s="408" t="s">
        <v>1017</v>
      </c>
      <c r="I150" s="409">
        <v>1.32</v>
      </c>
      <c r="J150" s="405" t="s">
        <v>543</v>
      </c>
      <c r="K150" s="404" t="s">
        <v>3457</v>
      </c>
      <c r="L150" s="419" t="str">
        <f t="shared" si="54"/>
        <v>ToyoLi - BLACK</v>
      </c>
      <c r="M150" s="404">
        <v>28</v>
      </c>
      <c r="N150" s="410">
        <f>IF(M150=0,0,IF($LB150=70%,VLOOKUP($L150,'Jan-2026 rates'!$L:$R,4,0),IF($LB150=65%,VLOOKUP($L150,'Jan-2026 rates'!$L:$R,4,0),IF($LB150=40%,VLOOKUP($L150,'Jan-2026 rates'!$L:$R,5,0),IF($LB150=30%,VLOOKUP($L150,'Jan-2026 rates'!$L:$R,6,0),IF($LB150=100%,VLOOKUP($L150,'Jan-2026 rates'!$L:$R,7,0),IF($LB150=60%,VLOOKUP($L150,'Jan-2026 rates'!$L:$S,8,0),IF($LB150=80%,VLOOKUP($L150,'Jan-2026 rates'!L:T,9,0),0))))))))</f>
        <v>0</v>
      </c>
      <c r="O150" s="406"/>
      <c r="P150" s="404"/>
      <c r="Q150" s="410">
        <f>IF(P150=0,0,IF($LB150=70%,VLOOKUP($L150,'Jan-2026 rates'!$L:$R,4,0),IF($LB150=65%,VLOOKUP($L150,'Jan-2026 rates'!$L:$R,4,0),IF($LB150=40%,VLOOKUP($L150,'Jan-2026 rates'!$L:$R,5,0),IF($LB150=30%,VLOOKUP($L150,'Jan-2026 rates'!$L:$R,6,0),IF($LB150=100%,VLOOKUP($L150,'Jan-2026 rates'!$L:$R,7,0),IF($LB150=60%,VLOOKUP($L150,'Jan-2026 rates'!$L:$S,8,0),IF($LB150=80%,VLOOKUP($L150,'Jan-2026 rates'!L:T,9,0),0))))))))</f>
        <v>0</v>
      </c>
      <c r="R150" s="406" t="s">
        <v>1252</v>
      </c>
      <c r="S150" s="406"/>
      <c r="T150" s="406"/>
      <c r="U150" s="406"/>
      <c r="V150" s="406"/>
      <c r="W150" s="406"/>
      <c r="X150" s="406"/>
      <c r="Y150" s="406"/>
      <c r="Z150" s="404">
        <v>2</v>
      </c>
      <c r="AA150" s="398">
        <f>IF(Z150=0,0,IF(LEN(R150)=11,_xlfn.XLOOKUP(R150,'Dispensed Ink Rates'!C:C,'Dispensed Ink Rates'!CS:CS),VLOOKUP(R150,'Jan-2026 rates'!$E:$F,2,0)))</f>
        <v>0</v>
      </c>
      <c r="AB150" s="404"/>
      <c r="AC150" s="398">
        <f>IF(AB150=0,0,IF(LEN(S150)=11,_xlfn.XLOOKUP(S150,'Dispensed Ink Rates'!C:C,'Dispensed Ink Rates'!CS:CS),VLOOKUP(S150,'Jan-2026 rates'!$E:$F,2,0)))</f>
        <v>0</v>
      </c>
      <c r="AD150" s="404"/>
      <c r="AE150" s="398">
        <f>IF(AD150=0,0,IF(LEN(T150)=11,_xlfn.XLOOKUP(T150,'Dispensed Ink Rates'!C:C,'Dispensed Ink Rates'!CS:CS),VLOOKUP(T150,'Jan-2026 rates'!$E:$F,2,0)))</f>
        <v>0</v>
      </c>
      <c r="AF150" s="404"/>
      <c r="AG150" s="398">
        <f>IF(AF150=0,0,IF(LEN(U150)=11,_xlfn.XLOOKUP(U150,'Dispensed Ink Rates'!C:C,'Dispensed Ink Rates'!CS:CS),VLOOKUP(U150,'Jan-2026 rates'!$E:$F,2,0)))</f>
        <v>0</v>
      </c>
      <c r="AH150" s="404"/>
      <c r="AI150" s="398">
        <f>IF(AH150=0,0,IF(LEN(V150)=11,_xlfn.XLOOKUP(V150,'Dispensed Ink Rates'!C:C,'Dispensed Ink Rates'!CS:CS),VLOOKUP(V150,'Jan-2026 rates'!$E:$F,2,0)))</f>
        <v>0</v>
      </c>
      <c r="AJ150" s="404"/>
      <c r="AK150" s="398">
        <f>IF(AJ150=0,0,IF(LEN(W150)=11,_xlfn.XLOOKUP(W150,'Dispensed Ink Rates'!C:C,'Dispensed Ink Rates'!CS:CS),VLOOKUP(W150,'Jan-2026 rates'!$E:$F,2,0)))</f>
        <v>0</v>
      </c>
      <c r="AL150" s="404"/>
      <c r="AM150" s="398">
        <f>IF(AL150=0,0,IF(LEN(X150)=11,_xlfn.XLOOKUP(X150,'Dispensed Ink Rates'!C:C,'Dispensed Ink Rates'!CS:CS),VLOOKUP(X150,'Jan-2026 rates'!$E:$F,2,0)))</f>
        <v>0</v>
      </c>
      <c r="AN150" s="404"/>
      <c r="AO150" s="398">
        <f>IF(AN150=0,0,IF(LEN(Y150)=11,_xlfn.XLOOKUP(Y150,'Dispensed Ink Rates'!C:C,'Dispensed Ink Rates'!CS:CS),VLOOKUP(Y150,'Jan-2026 rates'!$E:$F,2,0)))</f>
        <v>0</v>
      </c>
      <c r="AP150" s="409" t="s">
        <v>1881</v>
      </c>
      <c r="AQ150" s="409">
        <v>27</v>
      </c>
      <c r="AR150" s="410">
        <f t="shared" si="106"/>
        <v>0</v>
      </c>
      <c r="AS150" s="411">
        <f t="shared" si="107"/>
        <v>11.739130434782609</v>
      </c>
      <c r="AT150" s="410">
        <f t="shared" si="108"/>
        <v>0</v>
      </c>
      <c r="AU150" s="405" t="s">
        <v>856</v>
      </c>
      <c r="AV150" s="409" t="s">
        <v>3463</v>
      </c>
      <c r="AW150" s="420" t="str">
        <f t="shared" si="130"/>
        <v>ToyoLi - WHITE</v>
      </c>
      <c r="AX150" s="409">
        <v>30</v>
      </c>
      <c r="AY150" s="411">
        <f>IF(AX150=0,0,IF($LB150=70%,VLOOKUP($AW150,'Jan-2026 rates'!$L:$R,4,0),IF($LB150=65%,VLOOKUP($AW150,'Jan-2026 rates'!$L:$R,4,0),IF($LB150=40%,VLOOKUP($AW150,'Jan-2026 rates'!$L:$R,5,0),IF($LB150=30%,VLOOKUP($AW150,'Jan-2026 rates'!$L:$R,6,0),IF($LB150=100%,VLOOKUP($AW150,'Jan-2026 rates'!$L:$R,7,0),IF($LB150=60%,VLOOKUP($AW150,'Jan-2026 rates'!$L:$S,8,0),IF($LB150=80%,VLOOKUP($AW150,'Jan-2026 rates'!L:T,9,0),0))))))))</f>
        <v>0</v>
      </c>
      <c r="AZ150" s="412"/>
      <c r="BA150" s="409"/>
      <c r="BB150" s="411">
        <f>IF(BA150=0,0,IF($LB150=70%,VLOOKUP($AW150,'Jan-2026 rates'!$L:$R,4,0),IF($LB150=65%,VLOOKUP($AW150,'Jan-2026 rates'!$L:$R,4,0),IF($LB150=40%,VLOOKUP($AW150,'Jan-2026 rates'!$L:$R,5,0),IF($LB150=30%,VLOOKUP($AW150,'Jan-2026 rates'!$L:$R,6,0),IF($LB150=100%,VLOOKUP($AW150,'Jan-2026 rates'!$L:$R,7,0),IF($LB150=60%,VLOOKUP($AW150,'Jan-2026 rates'!$L:$S,8,0),IF($LB150=80%,VLOOKUP($AW150,'Jan-2026 rates'!L:T,9,0),0))))))))</f>
        <v>0</v>
      </c>
      <c r="BC150" s="413" t="s">
        <v>1249</v>
      </c>
      <c r="BD150" s="412" t="s">
        <v>1122</v>
      </c>
      <c r="BE150" s="412"/>
      <c r="BF150" s="413"/>
      <c r="BG150" s="412"/>
      <c r="BH150" s="412"/>
      <c r="BI150" s="412"/>
      <c r="BJ150" s="412"/>
      <c r="BK150" s="409">
        <v>40</v>
      </c>
      <c r="BL150" s="398">
        <f>IF(BK150=0,0,IF(LEN(BC150)=11,_xlfn.XLOOKUP(BC150,'Dispensed Ink Rates'!C:C,'Dispensed Ink Rates'!CS:CS),VLOOKUP(BC150,'Jan-2026 rates'!$E:$F,2,0)))</f>
        <v>0</v>
      </c>
      <c r="BM150" s="409">
        <v>2.13</v>
      </c>
      <c r="BN150" s="398">
        <f>IF(BM150=0,0,IF(LEN(BD150)=11,_xlfn.XLOOKUP(BD150,'Dispensed Ink Rates'!C:C,'Dispensed Ink Rates'!CS:CS),VLOOKUP(BD150,'Jan-2026 rates'!$E:$F,2,0)))</f>
        <v>0</v>
      </c>
      <c r="BO150" s="409"/>
      <c r="BP150" s="398">
        <f>IF(BO150=0,0,IF(LEN(BE150)=11,_xlfn.XLOOKUP(BE150,'Dispensed Ink Rates'!C:C,'Dispensed Ink Rates'!CS:CS),VLOOKUP(BE150,'Jan-2026 rates'!$E:$F,2,0)))</f>
        <v>0</v>
      </c>
      <c r="BQ150" s="409"/>
      <c r="BR150" s="398">
        <f>IF(BQ150=0,0,IF(LEN(BF150)=11,_xlfn.XLOOKUP(BF150,'Dispensed Ink Rates'!C:C,'Dispensed Ink Rates'!CS:CS),VLOOKUP(BF150,'Jan-2026 rates'!$E:$F,2,0)))</f>
        <v>0</v>
      </c>
      <c r="BS150" s="409"/>
      <c r="BT150" s="398">
        <f>IF(BS150=0,0,IF(LEN(BG150)=11,_xlfn.XLOOKUP(BG150,'Dispensed Ink Rates'!C:C,'Dispensed Ink Rates'!CS:CS),VLOOKUP(BG150,'Jan-2026 rates'!$E:$F,2,0)))</f>
        <v>0</v>
      </c>
      <c r="BU150" s="409"/>
      <c r="BV150" s="398">
        <f>IF(BU150=0,0,IF(LEN(BH150)=11,_xlfn.XLOOKUP(BH150,'Dispensed Ink Rates'!C:C,'Dispensed Ink Rates'!CS:CS),VLOOKUP(BH150,'Jan-2026 rates'!$E:$F,2,0)))</f>
        <v>0</v>
      </c>
      <c r="BW150" s="409"/>
      <c r="BX150" s="398">
        <f>IF(BW150=0,0,IF(LEN(BI150)=11,_xlfn.XLOOKUP(BI150,'Dispensed Ink Rates'!C:C,'Dispensed Ink Rates'!CS:CS),VLOOKUP(BI150,'Jan-2026 rates'!$E:$F,2,0)))</f>
        <v>0</v>
      </c>
      <c r="BY150" s="409"/>
      <c r="BZ150" s="398">
        <f>IF(BY150=0,0,IF(LEN(BJ150)=11,_xlfn.XLOOKUP(BJ150,'Dispensed Ink Rates'!C:C,'Dispensed Ink Rates'!CS:CS),VLOOKUP(BJ150,'Jan-2026 rates'!$E:$F,2,0)))</f>
        <v>0</v>
      </c>
      <c r="CA150" s="409" t="s">
        <v>1881</v>
      </c>
      <c r="CB150" s="409">
        <v>30</v>
      </c>
      <c r="CC150" s="411">
        <f t="shared" si="109"/>
        <v>0</v>
      </c>
      <c r="CD150" s="411">
        <f t="shared" si="110"/>
        <v>100.39086956521737</v>
      </c>
      <c r="CE150" s="410">
        <f t="shared" si="111"/>
        <v>0</v>
      </c>
      <c r="CF150" s="404"/>
      <c r="CG150" s="409"/>
      <c r="CH150" s="420" t="str">
        <f t="shared" si="55"/>
        <v xml:space="preserve"> - </v>
      </c>
      <c r="CI150" s="409"/>
      <c r="CJ150" s="411">
        <f>IF(CI150=0,0,IF($LB150=70%,VLOOKUP($CH150,'Jan-2026 rates'!$L:$R,4,0),IF($LB150=65%,VLOOKUP($CH150,'Jan-2026 rates'!$L:$R,4,0),IF($LB150=40%,VLOOKUP($CH150,'Jan-2026 rates'!$L:$R,5,0),IF($LB150=30%,VLOOKUP($CH150,'Jan-2026 rates'!$L:$R,6,0),IF($LB150=100%,VLOOKUP($CH150,'Jan-2026 rates'!$L:$R,7,0),IF($LB150=60%,VLOOKUP($CH150,'Jan-2026 rates'!$L:$S,8,0),IF($LB150=80%,VLOOKUP($CH150,'Jan-2026 rates'!L:T,9,0),0))))))))</f>
        <v>0</v>
      </c>
      <c r="CK150" s="412"/>
      <c r="CL150" s="409"/>
      <c r="CM150" s="411">
        <f>IF(CL150=0,0,IF($LB150=70%,VLOOKUP($CH150,'Jan-2026 rates'!$L:$R,4,0),IF($LB150=65%,VLOOKUP($CH150,'Jan-2026 rates'!$L:$R,4,0),IF($LB150=40%,VLOOKUP($CH150,'Jan-2026 rates'!$L:$R,5,0),IF($LB150=30%,VLOOKUP($CH150,'Jan-2026 rates'!$L:$R,6,0),IF($LB150=100%,VLOOKUP($CH150,'Jan-2026 rates'!$L:$R,7,0),IF($LB150=60%,VLOOKUP($CH150,'Jan-2026 rates'!$L:$S,8,0),IF($LB150=80%,VLOOKUP($CH150,'Jan-2026 rates'!L:T,9,0),0))))))))</f>
        <v>0</v>
      </c>
      <c r="CN150" s="426"/>
      <c r="CO150" s="427"/>
      <c r="CP150" s="426"/>
      <c r="CQ150" s="426"/>
      <c r="CR150" s="428"/>
      <c r="CS150" s="428"/>
      <c r="CT150" s="428"/>
      <c r="CU150" s="428"/>
      <c r="CV150" s="409"/>
      <c r="CW150" s="398">
        <f>IF(CV150=0,0,IF(LEN(CN150)=11,_xlfn.XLOOKUP(CN150,'Dispensed Ink Rates'!C:C,'Dispensed Ink Rates'!CS:CS),VLOOKUP(CN150,'Jan-2026 rates'!$E:$F,2,0)))</f>
        <v>0</v>
      </c>
      <c r="CX150" s="409"/>
      <c r="CY150" s="398">
        <f>IF(CX150=0,0,IF(LEN(CO150)=11,_xlfn.XLOOKUP(CO150,'Dispensed Ink Rates'!C:C,'Dispensed Ink Rates'!CS:CS),VLOOKUP(CO150,'Jan-2026 rates'!$E:$F,2,0)))</f>
        <v>0</v>
      </c>
      <c r="CZ150" s="409"/>
      <c r="DA150" s="398">
        <f>IF(CZ150=0,0,IF(LEN(CP150)=11,_xlfn.XLOOKUP(CP150,'Dispensed Ink Rates'!C:C,'Dispensed Ink Rates'!CS:CS),VLOOKUP(CP150,'Jan-2026 rates'!$E:$F,2,0)))</f>
        <v>0</v>
      </c>
      <c r="DB150" s="409"/>
      <c r="DC150" s="398">
        <f>IF(DB150=0,0,IF(LEN(CQ150)=11,_xlfn.XLOOKUP(CQ150,'Dispensed Ink Rates'!C:C,'Dispensed Ink Rates'!CS:CS),VLOOKUP(CQ150,'Jan-2026 rates'!$E:$F,2,0)))</f>
        <v>0</v>
      </c>
      <c r="DD150" s="409"/>
      <c r="DE150" s="398">
        <f>IF(DD150=0,0,IF(LEN(CR150)=11,_xlfn.XLOOKUP(CR150,'Dispensed Ink Rates'!C:C,'Dispensed Ink Rates'!CS:CS),VLOOKUP(CR150,'Jan-2026 rates'!$E:$F,2,0)))</f>
        <v>0</v>
      </c>
      <c r="DF150" s="409"/>
      <c r="DG150" s="398">
        <f>IF(DF150=0,0,IF(LEN(CS150)=11,_xlfn.XLOOKUP(CS150,'Dispensed Ink Rates'!C:C,'Dispensed Ink Rates'!CS:CS),VLOOKUP(CS150,'Jan-2026 rates'!$E:$F,2,0)))</f>
        <v>0</v>
      </c>
      <c r="DH150" s="409"/>
      <c r="DI150" s="398">
        <f>IF(DH150=0,0,IF(LEN(CT150)=11,_xlfn.XLOOKUP(CT150,'Dispensed Ink Rates'!C:C,'Dispensed Ink Rates'!CS:CS),VLOOKUP(CT150,'Jan-2026 rates'!$E:$F,2,0)))</f>
        <v>0</v>
      </c>
      <c r="DJ150" s="409"/>
      <c r="DK150" s="398">
        <f>IF(DJ150=0,0,IF(LEN(CU150)=11,_xlfn.XLOOKUP(CU150,'Dispensed Ink Rates'!C:C,'Dispensed Ink Rates'!CS:CS),VLOOKUP(CU150,'Jan-2026 rates'!$E:$F,2,0)))</f>
        <v>0</v>
      </c>
      <c r="DL150" s="409"/>
      <c r="DM150" s="409"/>
      <c r="DN150" s="411">
        <f t="shared" si="112"/>
        <v>0</v>
      </c>
      <c r="DO150" s="411">
        <f t="shared" si="113"/>
        <v>0</v>
      </c>
      <c r="DP150" s="410">
        <f t="shared" si="114"/>
        <v>0</v>
      </c>
      <c r="DQ150" s="405"/>
      <c r="DR150" s="409"/>
      <c r="DS150" s="420" t="str">
        <f t="shared" si="56"/>
        <v xml:space="preserve"> - </v>
      </c>
      <c r="DT150" s="409"/>
      <c r="DU150" s="411">
        <f>IF(DT150=0,0,IF($LB150=70%,VLOOKUP($DS150,'Jan-2026 rates'!$L:$R,4,0),IF($LB150=65%,VLOOKUP($DS150,'Jan-2026 rates'!$L:$R,4,0),IF($LB150=40%,VLOOKUP($DS150,'Jan-2026 rates'!$L:$R,5,0),IF($LB150=30%,VLOOKUP($DS150,'Jan-2026 rates'!$L:$R,6,0),IF($LB150=100%,VLOOKUP($DS150,'Jan-2026 rates'!$L:$R,7,0),IF($LB150=60%,VLOOKUP($DS150,'Jan-2026 rates'!$L:$S,8,0),IF($LB150=80%,VLOOKUP($DS150,'Jan-2026 rates'!L:T,9,0),0))))))))</f>
        <v>0</v>
      </c>
      <c r="DV150" s="412"/>
      <c r="DW150" s="409"/>
      <c r="DX150" s="411">
        <f>IF(DW150=0,0,IF($LB150=70%,VLOOKUP($DS150,'Jan-2026 rates'!$L:$R,4,0),IF($LB150=65%,VLOOKUP($DS150,'Jan-2026 rates'!$L:$R,4,0),IF($LB150=40%,VLOOKUP($DS150,'Jan-2026 rates'!$L:$R,5,0),IF($LB150=30%,VLOOKUP($DS150,'Jan-2026 rates'!$L:$R,6,0),IF($LB150=100%,VLOOKUP($DS150,'Jan-2026 rates'!$L:$R,7,0),IF($LB150=60%,VLOOKUP($DS150,'Jan-2026 rates'!$L:$S,8,0),IF($LB150=80%,VLOOKUP($DS150,'Jan-2026 rates'!L:T,9,0),0))))))))</f>
        <v>0</v>
      </c>
      <c r="DY150" s="413"/>
      <c r="DZ150" s="413"/>
      <c r="EA150" s="412"/>
      <c r="EB150" s="412"/>
      <c r="EC150" s="412"/>
      <c r="ED150" s="412"/>
      <c r="EE150" s="412"/>
      <c r="EF150" s="412"/>
      <c r="EG150" s="409"/>
      <c r="EH150" s="398">
        <f>IF(EG150=0,0,IF(LEN(DY150)=11,_xlfn.XLOOKUP(DY150,'Dispensed Ink Rates'!C:C,'Dispensed Ink Rates'!CS:CS),VLOOKUP(DY150,'Jan-2026 rates'!$E:$F,2,0)))</f>
        <v>0</v>
      </c>
      <c r="EI150" s="409"/>
      <c r="EJ150" s="398">
        <f>IF(EI150=0,0,IF(LEN(DZ150)=11,_xlfn.XLOOKUP(DZ150,'Dispensed Ink Rates'!C:C,'Dispensed Ink Rates'!CS:CS),VLOOKUP(DZ150,'Jan-2026 rates'!$E:$F,2,0)))</f>
        <v>0</v>
      </c>
      <c r="EK150" s="409"/>
      <c r="EL150" s="398">
        <f>IF(EK150=0,0,IF(LEN(EA150)=11,_xlfn.XLOOKUP(EA150,'Dispensed Ink Rates'!C:C,'Dispensed Ink Rates'!CS:CS),VLOOKUP(EA150,'Jan-2026 rates'!$E:$F,2,0)))</f>
        <v>0</v>
      </c>
      <c r="EM150" s="409"/>
      <c r="EN150" s="398">
        <f>IF(EM150=0,0,IF(LEN(EB150)=11,_xlfn.XLOOKUP(EB150,'Dispensed Ink Rates'!C:C,'Dispensed Ink Rates'!CS:CS),VLOOKUP(EB150,'Jan-2026 rates'!$E:$F,2,0)))</f>
        <v>0</v>
      </c>
      <c r="EO150" s="409"/>
      <c r="EP150" s="398">
        <f>IF(EO150=0,0,IF(LEN(EC150)=11,_xlfn.XLOOKUP(EC150,'Dispensed Ink Rates'!C:C,'Dispensed Ink Rates'!CS:CS),VLOOKUP(EC150,'Jan-2026 rates'!$E:$F,2,0)))</f>
        <v>0</v>
      </c>
      <c r="EQ150" s="409"/>
      <c r="ER150" s="398">
        <f>IF(EQ150=0,0,IF(LEN(ED150)=11,_xlfn.XLOOKUP(ED150,'Dispensed Ink Rates'!C:C,'Dispensed Ink Rates'!CS:CS),VLOOKUP(ED150,'Jan-2026 rates'!$E:$F,2,0)))</f>
        <v>0</v>
      </c>
      <c r="ES150" s="409"/>
      <c r="ET150" s="398">
        <f>IF(ES150=0,0,IF(LEN(EE150)=11,_xlfn.XLOOKUP(EE150,'Dispensed Ink Rates'!C:C,'Dispensed Ink Rates'!CS:CS),VLOOKUP(EE150,'Jan-2026 rates'!$E:$F,2,0)))</f>
        <v>0</v>
      </c>
      <c r="EU150" s="409"/>
      <c r="EV150" s="398">
        <f>IF(EU150=0,0,IF(LEN(EF150)=11,_xlfn.XLOOKUP(EF150,'Dispensed Ink Rates'!C:C,'Dispensed Ink Rates'!CS:CS),VLOOKUP(EF150,'Jan-2026 rates'!$E:$F,2,0)))</f>
        <v>0</v>
      </c>
      <c r="EW150" s="409"/>
      <c r="EX150" s="409"/>
      <c r="EY150" s="411">
        <f t="shared" si="115"/>
        <v>0</v>
      </c>
      <c r="EZ150" s="411">
        <f t="shared" si="116"/>
        <v>0</v>
      </c>
      <c r="FA150" s="410">
        <f t="shared" si="117"/>
        <v>0</v>
      </c>
      <c r="FB150" s="405"/>
      <c r="FC150" s="409"/>
      <c r="FD150" s="420" t="str">
        <f t="shared" si="57"/>
        <v xml:space="preserve"> - </v>
      </c>
      <c r="FE150" s="409"/>
      <c r="FF150" s="411">
        <f>IF(FE150=0,0,IF($LB150=70%,VLOOKUP($FD150,'Jan-2026 rates'!$L:$R,4,0),IF($LB150=65%,VLOOKUP($FD150,'Jan-2026 rates'!$L:$R,4,0),IF($LB150=40%,VLOOKUP($FD150,'Jan-2026 rates'!$L:$R,5,0),IF($LB150=30%,VLOOKUP($FD150,'Jan-2026 rates'!$L:$R,6,0),IF($LB150=100%,VLOOKUP($FD150,'Jan-2026 rates'!$L:$R,7,0),IF($LB150=60%,VLOOKUP($FD150,'Jan-2026 rates'!$L:$S,8,0),IF($LB150=80%,VLOOKUP($FD150,'Jan-2026 rates'!L:T,9,0),0))))))))</f>
        <v>0</v>
      </c>
      <c r="FG150" s="412"/>
      <c r="FH150" s="409"/>
      <c r="FI150" s="411">
        <f>IF(FH150=0,0,IF($LB150=70%,VLOOKUP($FD150,'Jan-2026 rates'!$L:$R,4,0),IF($LB150=65%,VLOOKUP($FD150,'Jan-2026 rates'!$L:$R,4,0),IF($LB150=40%,VLOOKUP($FD150,'Jan-2026 rates'!$L:$R,5,0),IF($LB150=30%,VLOOKUP($FD150,'Jan-2026 rates'!$L:$R,6,0),IF($LB150=100%,VLOOKUP($FD150,'Jan-2026 rates'!$L:$R,7,0),IF($LB150=60%,VLOOKUP($FD150,'Jan-2026 rates'!$L:$S,8,0),IF($LB150=80%,VLOOKUP($FD150,'Jan-2026 rates'!L:T,9,0),0))))))))</f>
        <v>0</v>
      </c>
      <c r="FJ150" s="413"/>
      <c r="FK150" s="413"/>
      <c r="FL150" s="413"/>
      <c r="FM150" s="412"/>
      <c r="FN150" s="412"/>
      <c r="FO150" s="412"/>
      <c r="FP150" s="412"/>
      <c r="FQ150" s="412"/>
      <c r="FR150" s="409"/>
      <c r="FS150" s="398">
        <f>IF(FR150=0,0,IF(LEN(FJ150)=11,_xlfn.XLOOKUP(FJ150,'Dispensed Ink Rates'!C:C,'Dispensed Ink Rates'!CS:CS),VLOOKUP(FJ150,'Jan-2026 rates'!$E:$F,2,0)))</f>
        <v>0</v>
      </c>
      <c r="FT150" s="409"/>
      <c r="FU150" s="398">
        <f>IF(FT150=0,0,IF(LEN(FK150)=11,_xlfn.XLOOKUP(FK150,'Dispensed Ink Rates'!C:C,'Dispensed Ink Rates'!CS:CS),VLOOKUP(FK150,'Jan-2026 rates'!$E:$F,2,0)))</f>
        <v>0</v>
      </c>
      <c r="FV150" s="409"/>
      <c r="FW150" s="398">
        <f>IF(FV150=0,0,IF(LEN(FL150)=11,_xlfn.XLOOKUP(FL150,'Dispensed Ink Rates'!C:C,'Dispensed Ink Rates'!CS:CS),VLOOKUP(FL150,'Jan-2026 rates'!$E:$F,2,0)))</f>
        <v>0</v>
      </c>
      <c r="FX150" s="409"/>
      <c r="FY150" s="398">
        <f>IF(FX150=0,0,IF(LEN(FM150)=11,_xlfn.XLOOKUP(FM150,'Dispensed Ink Rates'!C:C,'Dispensed Ink Rates'!CS:CS),VLOOKUP(FM150,'Jan-2026 rates'!$E:$F,2,0)))</f>
        <v>0</v>
      </c>
      <c r="FZ150" s="409"/>
      <c r="GA150" s="398">
        <f>IF(FZ150=0,0,IF(LEN(FN150)=11,_xlfn.XLOOKUP(FN150,'Dispensed Ink Rates'!C:C,'Dispensed Ink Rates'!CS:CS),VLOOKUP(FN150,'Jan-2026 rates'!$E:$F,2,0)))</f>
        <v>0</v>
      </c>
      <c r="GB150" s="409"/>
      <c r="GC150" s="398">
        <f>IF(GB150=0,0,IF(LEN(FO150)=11,_xlfn.XLOOKUP(FO150,'Dispensed Ink Rates'!C:C,'Dispensed Ink Rates'!CS:CS),VLOOKUP(FO150,'Jan-2026 rates'!$E:$F,2,0)))</f>
        <v>0</v>
      </c>
      <c r="GD150" s="409"/>
      <c r="GE150" s="398">
        <f>IF(GD150=0,0,IF(LEN(FP150)=11,_xlfn.XLOOKUP(FP150,'Dispensed Ink Rates'!C:C,'Dispensed Ink Rates'!CS:CS),VLOOKUP(FP150,'Jan-2026 rates'!$E:$F,2,0)))</f>
        <v>0</v>
      </c>
      <c r="GF150" s="409"/>
      <c r="GG150" s="398">
        <f>IF(GF150=0,0,IF(LEN(FQ150)=11,_xlfn.XLOOKUP(FQ150,'Dispensed Ink Rates'!C:C,'Dispensed Ink Rates'!CS:CS),VLOOKUP(FQ150,'Jan-2026 rates'!$E:$F,2,0)))</f>
        <v>0</v>
      </c>
      <c r="GH150" s="409"/>
      <c r="GI150" s="409"/>
      <c r="GJ150" s="411">
        <f t="shared" si="118"/>
        <v>0</v>
      </c>
      <c r="GK150" s="411">
        <f t="shared" si="119"/>
        <v>0</v>
      </c>
      <c r="GL150" s="410">
        <f t="shared" si="120"/>
        <v>0</v>
      </c>
      <c r="GM150" s="405"/>
      <c r="GN150" s="409"/>
      <c r="GO150" s="420" t="str">
        <f t="shared" si="58"/>
        <v xml:space="preserve"> - </v>
      </c>
      <c r="GP150" s="409"/>
      <c r="GQ150" s="411">
        <f>IF(GP150=0,0,IF($LB150=70%,VLOOKUP($GO150,'Jan-2026 rates'!$L:$R,4,0),IF($LB150=65%,VLOOKUP($GO150,'Jan-2026 rates'!$L:$R,4,0),IF($LB150=40%,VLOOKUP($GO150,'Jan-2026 rates'!$L:$R,5,0),IF($LB150=30%,VLOOKUP($GO150,'Jan-2026 rates'!$L:$R,6,0),IF($LB150=100%,VLOOKUP($GO150,'Jan-2026 rates'!$L:$R,7,0),IF($LB150=60%,VLOOKUP($GO150,'Jan-2026 rates'!$L:$S,8,0),IF($LB150=80%,VLOOKUP($GO150,'Jan-2026 rates'!L:T,9,0),0))))))))</f>
        <v>0</v>
      </c>
      <c r="GR150" s="412"/>
      <c r="GS150" s="409"/>
      <c r="GT150" s="411">
        <f>IF(GS150=0,0,IF($LB150=70%,VLOOKUP($GO150,'Jan-2026 rates'!$L:$R,4,0),IF($LB150=65%,VLOOKUP($GO150,'Jan-2026 rates'!$L:$R,4,0),IF($LB150=40%,VLOOKUP($GO150,'Jan-2026 rates'!$L:$R,5,0),IF($LB150=30%,VLOOKUP($GO150,'Jan-2026 rates'!$L:$R,6,0),IF($LB150=100%,VLOOKUP($GO150,'Jan-2026 rates'!$L:$R,7,0),IF($LB150=60%,VLOOKUP($GO150,'Jan-2026 rates'!$L:$S,8,0),IF($LB150=80%,VLOOKUP($GO150,'Jan-2026 rates'!L:T,9,0),0))))))))</f>
        <v>0</v>
      </c>
      <c r="GU150" s="413"/>
      <c r="GV150" s="413"/>
      <c r="GW150" s="412"/>
      <c r="GX150" s="412"/>
      <c r="GY150" s="412"/>
      <c r="GZ150" s="412"/>
      <c r="HA150" s="412"/>
      <c r="HB150" s="412"/>
      <c r="HC150" s="409"/>
      <c r="HD150" s="398">
        <f>IF(HC150=0,0,IF(LEN(GU150)=11,_xlfn.XLOOKUP(GU150,'Dispensed Ink Rates'!C:C,'Dispensed Ink Rates'!CS:CS),VLOOKUP(GU150,'Jan-2026 rates'!$E:$F,2,0)))</f>
        <v>0</v>
      </c>
      <c r="HE150" s="409"/>
      <c r="HF150" s="398">
        <f>IF(HE150=0,0,IF(LEN(GV150)=11,_xlfn.XLOOKUP(GV150,'Dispensed Ink Rates'!C:C,'Dispensed Ink Rates'!CS:CS),VLOOKUP(GV150,'Jan-2026 rates'!$E:$F,2,0)))</f>
        <v>0</v>
      </c>
      <c r="HG150" s="409"/>
      <c r="HH150" s="398">
        <f>IF(HG150=0,0,IF(LEN(GW150)=11,_xlfn.XLOOKUP(GW150,'Dispensed Ink Rates'!C:C,'Dispensed Ink Rates'!CS:CS),VLOOKUP(GW150,'Jan-2026 rates'!$E:$F,2,0)))</f>
        <v>0</v>
      </c>
      <c r="HI150" s="409"/>
      <c r="HJ150" s="398">
        <f>IF(HI150=0,0,IF(LEN(GX150)=11,_xlfn.XLOOKUP(GX150,'Dispensed Ink Rates'!C:C,'Dispensed Ink Rates'!CS:CS),VLOOKUP(GX150,'Jan-2026 rates'!$E:$F,2,0)))</f>
        <v>0</v>
      </c>
      <c r="HK150" s="409"/>
      <c r="HL150" s="398">
        <f>IF(HK150=0,0,IF(LEN(GY150)=11,_xlfn.XLOOKUP(GY150,'Dispensed Ink Rates'!C:C,'Dispensed Ink Rates'!CS:CS),VLOOKUP(GY150,'Jan-2026 rates'!$E:$F,2,0)))</f>
        <v>0</v>
      </c>
      <c r="HM150" s="409"/>
      <c r="HN150" s="398">
        <f>IF(HM150=0,0,IF(LEN(GZ150)=11,_xlfn.XLOOKUP(GZ150,'Dispensed Ink Rates'!C:C,'Dispensed Ink Rates'!CS:CS),VLOOKUP(GZ150,'Jan-2026 rates'!$E:$F,2,0)))</f>
        <v>0</v>
      </c>
      <c r="HO150" s="409"/>
      <c r="HP150" s="398">
        <f>IF(HO150=0,0,IF(LEN(HA150)=11,_xlfn.XLOOKUP(HA150,'Dispensed Ink Rates'!C:C,'Dispensed Ink Rates'!CS:CS),VLOOKUP(HA150,'Jan-2026 rates'!$E:$F,2,0)))</f>
        <v>0</v>
      </c>
      <c r="HQ150" s="409"/>
      <c r="HR150" s="398">
        <f>IF(HQ150=0,0,IF(LEN(HB150)=11,_xlfn.XLOOKUP(HB150,'Dispensed Ink Rates'!C:C,'Dispensed Ink Rates'!CS:CS),VLOOKUP(HB150,'Jan-2026 rates'!$E:$F,2,0)))</f>
        <v>0</v>
      </c>
      <c r="HS150" s="409"/>
      <c r="HT150" s="409"/>
      <c r="HU150" s="411">
        <f t="shared" si="121"/>
        <v>0</v>
      </c>
      <c r="HV150" s="411">
        <f t="shared" si="122"/>
        <v>0</v>
      </c>
      <c r="HW150" s="414">
        <f t="shared" si="123"/>
        <v>0</v>
      </c>
      <c r="HX150" s="405"/>
      <c r="HY150" s="409"/>
      <c r="HZ150" s="420" t="str">
        <f t="shared" si="59"/>
        <v xml:space="preserve"> - </v>
      </c>
      <c r="IA150" s="409"/>
      <c r="IB150" s="411">
        <f>IF(IA150=0,0,IF($LB150=70%,VLOOKUP($HZ150,'Jan-2026 rates'!$L:$R,4,0),IF($LB150=65%,VLOOKUP($HZ150,'Jan-2026 rates'!$L:$R,4,0),IF($LB150=40%,VLOOKUP($HZ150,'Jan-2026 rates'!$L:$R,5,0),IF($LB150=30%,VLOOKUP($HZ150,'Jan-2026 rates'!$L:$R,6,0),IF($LB150=100%,VLOOKUP($HZ150,'Jan-2026 rates'!$L:$R,7,0),IF($LB150=60%,VLOOKUP($HZ150,'Jan-2026 rates'!$L:$S,8,0),IF($LB150=80%,VLOOKUP($HZ150,'Jan-2026 rates'!L:T,9,0),0))))))))</f>
        <v>0</v>
      </c>
      <c r="IC150" s="412"/>
      <c r="ID150" s="409"/>
      <c r="IE150" s="411">
        <f>IF(ID150=0,0,IF($LB150=70%,VLOOKUP($HZ150,'Jan-2026 rates'!$L:$R,4,0),IF($LB150=65%,VLOOKUP($HZ150,'Jan-2026 rates'!$L:$R,4,0),IF($LB150=40%,VLOOKUP($HZ150,'Jan-2026 rates'!$L:$R,5,0),IF($LB150=30%,VLOOKUP($HZ150,'Jan-2026 rates'!$L:$R,6,0),IF($LB150=100%,VLOOKUP($HZ150,'Jan-2026 rates'!$L:$R,7,0),IF($LB150=60%,VLOOKUP($HZ150,'Jan-2026 rates'!$L:$S,8,0),IF($LB150=80%,VLOOKUP($HZ150,'Jan-2026 rates'!L:T,9,0),0))))))))</f>
        <v>0</v>
      </c>
      <c r="IF150" s="412"/>
      <c r="IG150" s="413"/>
      <c r="IH150" s="412"/>
      <c r="II150" s="412"/>
      <c r="IJ150" s="412"/>
      <c r="IK150" s="412"/>
      <c r="IL150" s="412"/>
      <c r="IM150" s="412"/>
      <c r="IN150" s="409"/>
      <c r="IO150" s="398">
        <f>IF(IN150=0,0,IF(LEN(IF150)=11,_xlfn.XLOOKUP(IF150,'Dispensed Ink Rates'!C:C,'Dispensed Ink Rates'!CS:CS),VLOOKUP(IF150,'Jan-2026 rates'!$E:$F,2,0)))</f>
        <v>0</v>
      </c>
      <c r="IP150" s="409"/>
      <c r="IQ150" s="398">
        <f>IF(IP150=0,0,IF(LEN(IG150)=11,_xlfn.XLOOKUP(IG150,'Dispensed Ink Rates'!C:C,'Dispensed Ink Rates'!CS:CS),VLOOKUP(IG150,'Jan-2026 rates'!$E:$F,2,0)))</f>
        <v>0</v>
      </c>
      <c r="IR150" s="409"/>
      <c r="IS150" s="398">
        <f>IF(IR150=0,0,IF(LEN(IH150)=11,_xlfn.XLOOKUP(IH150,'Dispensed Ink Rates'!C:C,'Dispensed Ink Rates'!CS:CS),VLOOKUP(IH150,'Jan-2026 rates'!$E:$F,2,0)))</f>
        <v>0</v>
      </c>
      <c r="IT150" s="409"/>
      <c r="IU150" s="398">
        <f>IF(IT150=0,0,IF(LEN(II150)=11,_xlfn.XLOOKUP(II150,'Dispensed Ink Rates'!C:C,'Dispensed Ink Rates'!CS:CS),VLOOKUP(II150,'Jan-2026 rates'!$E:$F,2,0)))</f>
        <v>0</v>
      </c>
      <c r="IV150" s="409"/>
      <c r="IW150" s="398">
        <f>IF(IV150=0,0,IF(LEN(IJ150)=11,_xlfn.XLOOKUP(IJ150,'Dispensed Ink Rates'!C:C,'Dispensed Ink Rates'!CS:CS),VLOOKUP(IJ150,'Jan-2026 rates'!$E:$F,2,0)))</f>
        <v>0</v>
      </c>
      <c r="IX150" s="409"/>
      <c r="IY150" s="398">
        <f>IF(IX150=0,0,IF(LEN(IK150)=11,_xlfn.XLOOKUP(IK150,'Dispensed Ink Rates'!C:C,'Dispensed Ink Rates'!CS:CS),VLOOKUP(IK150,'Jan-2026 rates'!$E:$F,2,0)))</f>
        <v>0</v>
      </c>
      <c r="IZ150" s="409"/>
      <c r="JA150" s="398">
        <f>IF(IZ150=0,0,IF(LEN(IL150)=11,_xlfn.XLOOKUP(IL150,'Dispensed Ink Rates'!C:C,'Dispensed Ink Rates'!CS:CS),VLOOKUP(IL150,'Jan-2026 rates'!$E:$F,2,0)))</f>
        <v>0</v>
      </c>
      <c r="JB150" s="409"/>
      <c r="JC150" s="398">
        <f>IF(JB150=0,0,IF(LEN(IM150)=11,_xlfn.XLOOKUP(IM150,'Dispensed Ink Rates'!C:C,'Dispensed Ink Rates'!CS:CS),VLOOKUP(IM150,'Jan-2026 rates'!$E:$F,2,0)))</f>
        <v>0</v>
      </c>
      <c r="JD150" s="409"/>
      <c r="JE150" s="409"/>
      <c r="JF150" s="411">
        <f t="shared" si="124"/>
        <v>0</v>
      </c>
      <c r="JG150" s="411">
        <f t="shared" si="125"/>
        <v>0</v>
      </c>
      <c r="JH150" s="410">
        <f t="shared" si="126"/>
        <v>0</v>
      </c>
      <c r="JI150" s="405"/>
      <c r="JJ150" s="409"/>
      <c r="JK150" s="420" t="str">
        <f t="shared" si="60"/>
        <v xml:space="preserve"> - </v>
      </c>
      <c r="JL150" s="409"/>
      <c r="JM150" s="411">
        <f>IF(JL150=0,0,IF($LB150=70%,VLOOKUP($JK150,'Jan-2026 rates'!$L:$R,4,0),IF($LB150=65%,VLOOKUP($JK150,'Jan-2026 rates'!$L:$R,4,0),IF($LB150=40%,VLOOKUP($JK150,'Jan-2026 rates'!$L:$R,5,0),IF($LB150=30%,VLOOKUP($JK150,'Jan-2026 rates'!$L:$R,6,0),IF($LB150=100%,VLOOKUP($JK150,'Jan-2026 rates'!$L:$R,7,0),IF($LB150=60%,VLOOKUP($JK150,'Jan-2026 rates'!$L:$S,8,0),IF($LB150=80%,VLOOKUP($JK150,'Jan-2026 rates'!L:T,9,0),0))))))))</f>
        <v>0</v>
      </c>
      <c r="JN150" s="412"/>
      <c r="JO150" s="409"/>
      <c r="JP150" s="411">
        <f>IF(JO150=0,0,IF($LB150=70%,VLOOKUP($JK150,'Jan-2026 rates'!$L:$R,4,0),IF($LB150=65%,VLOOKUP($JK150,'Jan-2026 rates'!$L:$R,4,0),IF($LB150=40%,VLOOKUP($JK150,'Jan-2026 rates'!$L:$R,5,0),IF($LB150=30%,VLOOKUP($JK150,'Jan-2026 rates'!$L:$R,6,0),IF($LB150=100%,VLOOKUP($JK150,'Jan-2026 rates'!$L:$R,7,0),IF($LB150=60%,VLOOKUP($JK150,'Jan-2026 rates'!$L:$S,8,0),IF($LB150=80%,VLOOKUP($JK150,'Jan-2026 rates'!L:T,9,0),0))))))))</f>
        <v>0</v>
      </c>
      <c r="JQ150" s="413"/>
      <c r="JR150" s="412"/>
      <c r="JS150" s="413"/>
      <c r="JT150" s="413"/>
      <c r="JU150" s="412"/>
      <c r="JV150" s="412"/>
      <c r="JW150" s="412"/>
      <c r="JX150" s="412"/>
      <c r="JY150" s="409"/>
      <c r="JZ150" s="398">
        <f>IF(JY150=0,0,IF(LEN(JQ150)=11,_xlfn.XLOOKUP(JQ150,'Dispensed Ink Rates'!C:C,'Dispensed Ink Rates'!CS:CS),VLOOKUP(JQ150,'Jan-2026 rates'!$E:$F,2,0)))</f>
        <v>0</v>
      </c>
      <c r="KA150" s="409"/>
      <c r="KB150" s="398">
        <f>IF(KA150=0,0,IF(LEN(JR150)=11,_xlfn.XLOOKUP(JR150,'Dispensed Ink Rates'!C:C,'Dispensed Ink Rates'!CS:CS),VLOOKUP(JR150,'Jan-2026 rates'!$E:$F,2,0)))</f>
        <v>0</v>
      </c>
      <c r="KC150" s="409"/>
      <c r="KD150" s="398">
        <f>IF(KC150=0,0,IF(LEN(JS150)=11,_xlfn.XLOOKUP(JS150,'Dispensed Ink Rates'!C:C,'Dispensed Ink Rates'!CS:CS),VLOOKUP(JS150,'Jan-2026 rates'!$E:$F,2,0)))</f>
        <v>0</v>
      </c>
      <c r="KE150" s="409"/>
      <c r="KF150" s="398">
        <f>IF(KE150=0,0,IF(LEN(JT150)=11,_xlfn.XLOOKUP(JT150,'Dispensed Ink Rates'!C:C,'Dispensed Ink Rates'!CS:CS),VLOOKUP(JT150,'Jan-2026 rates'!$E:$F,2,0)))</f>
        <v>0</v>
      </c>
      <c r="KG150" s="409"/>
      <c r="KH150" s="398">
        <f>IF(KG150=0,0,IF(LEN(JU150)=11,_xlfn.XLOOKUP(JU150,'Dispensed Ink Rates'!C:C,'Dispensed Ink Rates'!CS:CS),VLOOKUP(JU150,'Jan-2026 rates'!$E:$F,2,0)))</f>
        <v>0</v>
      </c>
      <c r="KI150" s="409"/>
      <c r="KJ150" s="398">
        <f>IF(KI150=0,0,IF(LEN(JV150)=11,_xlfn.XLOOKUP(JV150,'Dispensed Ink Rates'!C:C,'Dispensed Ink Rates'!CS:CS),VLOOKUP(JV150,'Jan-2026 rates'!$E:$F,2,0)))</f>
        <v>0</v>
      </c>
      <c r="KK150" s="409"/>
      <c r="KL150" s="398">
        <f>IF(KK150=0,0,IF(LEN(JW150)=11,_xlfn.XLOOKUP(JW150,'Dispensed Ink Rates'!C:C,'Dispensed Ink Rates'!CS:CS),VLOOKUP(JW150,'Jan-2026 rates'!$E:$F,2,0)))</f>
        <v>0</v>
      </c>
      <c r="KM150" s="428"/>
      <c r="KN150" s="398">
        <f>IF(KM150=0,0,IF(LEN(JX150)=11,_xlfn.XLOOKUP(JX150,'Dispensed Ink Rates'!C:C,'Dispensed Ink Rates'!CS:CS),VLOOKUP(JX150,'Jan-2026 rates'!$E:$F,2,0)))</f>
        <v>0</v>
      </c>
      <c r="KO150" s="409"/>
      <c r="KP150" s="409"/>
      <c r="KQ150" s="411">
        <f t="shared" si="127"/>
        <v>0</v>
      </c>
      <c r="KR150" s="411">
        <f t="shared" si="128"/>
        <v>0</v>
      </c>
      <c r="KS150" s="410">
        <f t="shared" si="129"/>
        <v>0</v>
      </c>
      <c r="KT150" s="409">
        <v>3</v>
      </c>
      <c r="KU150" s="409">
        <v>20</v>
      </c>
      <c r="KV150" s="409">
        <v>0</v>
      </c>
      <c r="KW150" s="409">
        <v>0</v>
      </c>
      <c r="KX150" s="409">
        <v>0</v>
      </c>
      <c r="KY150" s="409">
        <v>0</v>
      </c>
      <c r="KZ150" s="409">
        <v>0</v>
      </c>
      <c r="LA150" s="409">
        <v>0</v>
      </c>
      <c r="LB150" s="415">
        <v>0.3</v>
      </c>
      <c r="LC150" s="415"/>
      <c r="LD150" s="415"/>
      <c r="LE150" s="415">
        <v>0.5</v>
      </c>
      <c r="LF150" s="415">
        <v>0.2</v>
      </c>
      <c r="LG150" s="409">
        <v>0</v>
      </c>
      <c r="LH150" s="409">
        <f>20+17+9+15+6</f>
        <v>67</v>
      </c>
      <c r="LI150" s="409">
        <v>0</v>
      </c>
      <c r="LJ150" s="409">
        <v>0</v>
      </c>
      <c r="LK150" s="416">
        <f t="shared" si="61"/>
        <v>67</v>
      </c>
      <c r="LL150" s="416">
        <f t="shared" si="62"/>
        <v>67</v>
      </c>
      <c r="LM150" s="417">
        <f t="shared" si="63"/>
        <v>20.099999999999998</v>
      </c>
      <c r="LN150" s="417">
        <f>VLOOKUP($LM$8,'Jan-2026 rates'!$H:$I,2,0)</f>
        <v>0</v>
      </c>
      <c r="LO150" s="417">
        <f t="shared" si="64"/>
        <v>0</v>
      </c>
      <c r="LP150" s="417">
        <f>VLOOKUP($LO$8,'Jan-2026 rates'!$H:$I,2,0)</f>
        <v>0</v>
      </c>
      <c r="LQ150" s="417">
        <f t="shared" si="65"/>
        <v>0</v>
      </c>
      <c r="LR150" s="417">
        <f>VLOOKUP($LQ$8,'Jan-2026 rates'!$H:$I,2,0)</f>
        <v>0</v>
      </c>
      <c r="LS150" s="417">
        <f t="shared" si="66"/>
        <v>33.5</v>
      </c>
      <c r="LT150" s="417">
        <f>VLOOKUP($LS$8,'Jan-2026 rates'!$H:$I,2,0)</f>
        <v>0</v>
      </c>
      <c r="LU150" s="417">
        <f t="shared" si="67"/>
        <v>13.4</v>
      </c>
      <c r="LV150" s="417">
        <f>VLOOKUP($LU$8,'Jan-2026 rates'!$H:$I,2,0)</f>
        <v>0</v>
      </c>
      <c r="LW150" s="417">
        <f t="shared" si="68"/>
        <v>0</v>
      </c>
      <c r="LX150" s="417">
        <f t="shared" si="69"/>
        <v>0</v>
      </c>
      <c r="LY150" s="418">
        <f t="shared" si="70"/>
        <v>0</v>
      </c>
      <c r="LZ150" s="417"/>
      <c r="MA150" s="435">
        <f t="shared" si="71"/>
        <v>44.13</v>
      </c>
      <c r="MB150" s="282">
        <f t="shared" si="72"/>
        <v>112.12999999999998</v>
      </c>
      <c r="MC150" s="283" t="s">
        <v>1985</v>
      </c>
      <c r="MD150" s="284" t="str">
        <f t="shared" si="73"/>
        <v>ToyoLiToyoLi</v>
      </c>
      <c r="ME150" s="293" t="str">
        <f t="shared" si="74"/>
        <v>+</v>
      </c>
      <c r="MF150" s="293" t="str">
        <f t="shared" si="75"/>
        <v>+</v>
      </c>
      <c r="MG150" s="293" t="str">
        <f t="shared" si="76"/>
        <v>NIL</v>
      </c>
      <c r="MH150" s="293" t="str">
        <f t="shared" si="77"/>
        <v>NIL</v>
      </c>
      <c r="MI150" s="293" t="str">
        <f t="shared" si="78"/>
        <v>NIL</v>
      </c>
      <c r="MJ150" s="293" t="str">
        <f t="shared" si="79"/>
        <v>NIL</v>
      </c>
      <c r="MK150" s="293" t="str">
        <f t="shared" si="80"/>
        <v>NIL</v>
      </c>
      <c r="ML150" s="293" t="str">
        <f t="shared" si="81"/>
        <v>NIL</v>
      </c>
      <c r="MM150" s="3" t="b">
        <f t="array" ref="MM150">OR(ME150:ML150="-")</f>
        <v>0</v>
      </c>
      <c r="MN150" s="285"/>
      <c r="MO150" s="401"/>
      <c r="MP150" s="286"/>
      <c r="MQ150" s="286"/>
      <c r="MR150" s="402"/>
      <c r="MS150" s="400"/>
      <c r="NH150" s="422"/>
      <c r="NJ150" s="421"/>
    </row>
    <row r="151" spans="1:374" s="1" customFormat="1" ht="16.5">
      <c r="A151" s="403">
        <v>46031</v>
      </c>
      <c r="B151" s="404" t="s">
        <v>1015</v>
      </c>
      <c r="C151" s="405" t="s">
        <v>3464</v>
      </c>
      <c r="D151" s="406" t="s">
        <v>1986</v>
      </c>
      <c r="E151" s="404">
        <v>42</v>
      </c>
      <c r="F151" s="407">
        <v>2000</v>
      </c>
      <c r="G151" s="407" t="s">
        <v>1016</v>
      </c>
      <c r="H151" s="408" t="s">
        <v>1017</v>
      </c>
      <c r="I151" s="409">
        <v>0.5</v>
      </c>
      <c r="J151" s="405" t="s">
        <v>543</v>
      </c>
      <c r="K151" s="404" t="s">
        <v>3465</v>
      </c>
      <c r="L151" s="419" t="str">
        <f t="shared" si="54"/>
        <v>ToyoLi - BLACK</v>
      </c>
      <c r="M151" s="404">
        <v>27</v>
      </c>
      <c r="N151" s="410">
        <f>IF(M151=0,0,IF($LB151=70%,VLOOKUP($L151,'Jan-2026 rates'!$L:$R,4,0),IF($LB151=65%,VLOOKUP($L151,'Jan-2026 rates'!$L:$R,4,0),IF($LB151=40%,VLOOKUP($L151,'Jan-2026 rates'!$L:$R,5,0),IF($LB151=30%,VLOOKUP($L151,'Jan-2026 rates'!$L:$R,6,0),IF($LB151=100%,VLOOKUP($L151,'Jan-2026 rates'!$L:$R,7,0),IF($LB151=60%,VLOOKUP($L151,'Jan-2026 rates'!$L:$S,8,0),IF($LB151=80%,VLOOKUP($L151,'Jan-2026 rates'!L:T,9,0),0))))))))</f>
        <v>0</v>
      </c>
      <c r="O151" s="406"/>
      <c r="P151" s="404"/>
      <c r="Q151" s="410">
        <f>IF(P151=0,0,IF($LB151=70%,VLOOKUP($L151,'Jan-2026 rates'!$L:$R,4,0),IF($LB151=65%,VLOOKUP($L151,'Jan-2026 rates'!$L:$R,4,0),IF($LB151=40%,VLOOKUP($L151,'Jan-2026 rates'!$L:$R,5,0),IF($LB151=30%,VLOOKUP($L151,'Jan-2026 rates'!$L:$R,6,0),IF($LB151=100%,VLOOKUP($L151,'Jan-2026 rates'!$L:$R,7,0),IF($LB151=60%,VLOOKUP($L151,'Jan-2026 rates'!$L:$S,8,0),IF($LB151=80%,VLOOKUP($L151,'Jan-2026 rates'!L:T,9,0),0))))))))</f>
        <v>0</v>
      </c>
      <c r="R151" s="406" t="s">
        <v>1252</v>
      </c>
      <c r="S151" s="406"/>
      <c r="T151" s="406"/>
      <c r="U151" s="406"/>
      <c r="V151" s="406"/>
      <c r="W151" s="406"/>
      <c r="X151" s="406"/>
      <c r="Y151" s="406"/>
      <c r="Z151" s="404">
        <v>3</v>
      </c>
      <c r="AA151" s="398">
        <f>IF(Z151=0,0,IF(LEN(R151)=11,_xlfn.XLOOKUP(R151,'Dispensed Ink Rates'!C:C,'Dispensed Ink Rates'!CS:CS),VLOOKUP(R151,'Jan-2026 rates'!$E:$F,2,0)))</f>
        <v>0</v>
      </c>
      <c r="AB151" s="404"/>
      <c r="AC151" s="398">
        <f>IF(AB151=0,0,IF(LEN(S151)=11,_xlfn.XLOOKUP(S151,'Dispensed Ink Rates'!C:C,'Dispensed Ink Rates'!CS:CS),VLOOKUP(S151,'Jan-2026 rates'!$E:$F,2,0)))</f>
        <v>0</v>
      </c>
      <c r="AD151" s="404"/>
      <c r="AE151" s="398">
        <f>IF(AD151=0,0,IF(LEN(T151)=11,_xlfn.XLOOKUP(T151,'Dispensed Ink Rates'!C:C,'Dispensed Ink Rates'!CS:CS),VLOOKUP(T151,'Jan-2026 rates'!$E:$F,2,0)))</f>
        <v>0</v>
      </c>
      <c r="AF151" s="404"/>
      <c r="AG151" s="398">
        <f>IF(AF151=0,0,IF(LEN(U151)=11,_xlfn.XLOOKUP(U151,'Dispensed Ink Rates'!C:C,'Dispensed Ink Rates'!CS:CS),VLOOKUP(U151,'Jan-2026 rates'!$E:$F,2,0)))</f>
        <v>0</v>
      </c>
      <c r="AH151" s="404"/>
      <c r="AI151" s="398">
        <f>IF(AH151=0,0,IF(LEN(V151)=11,_xlfn.XLOOKUP(V151,'Dispensed Ink Rates'!C:C,'Dispensed Ink Rates'!CS:CS),VLOOKUP(V151,'Jan-2026 rates'!$E:$F,2,0)))</f>
        <v>0</v>
      </c>
      <c r="AJ151" s="404"/>
      <c r="AK151" s="398">
        <f>IF(AJ151=0,0,IF(LEN(W151)=11,_xlfn.XLOOKUP(W151,'Dispensed Ink Rates'!C:C,'Dispensed Ink Rates'!CS:CS),VLOOKUP(W151,'Jan-2026 rates'!$E:$F,2,0)))</f>
        <v>0</v>
      </c>
      <c r="AL151" s="404"/>
      <c r="AM151" s="398">
        <f>IF(AL151=0,0,IF(LEN(X151)=11,_xlfn.XLOOKUP(X151,'Dispensed Ink Rates'!C:C,'Dispensed Ink Rates'!CS:CS),VLOOKUP(X151,'Jan-2026 rates'!$E:$F,2,0)))</f>
        <v>0</v>
      </c>
      <c r="AN151" s="404"/>
      <c r="AO151" s="398">
        <f>IF(AN151=0,0,IF(LEN(Y151)=11,_xlfn.XLOOKUP(Y151,'Dispensed Ink Rates'!C:C,'Dispensed Ink Rates'!CS:CS),VLOOKUP(Y151,'Jan-2026 rates'!$E:$F,2,0)))</f>
        <v>0</v>
      </c>
      <c r="AP151" s="409" t="s">
        <v>1881</v>
      </c>
      <c r="AQ151" s="409">
        <v>26</v>
      </c>
      <c r="AR151" s="410">
        <f t="shared" si="106"/>
        <v>0</v>
      </c>
      <c r="AS151" s="411">
        <f t="shared" si="107"/>
        <v>12.571428571428569</v>
      </c>
      <c r="AT151" s="410">
        <f t="shared" si="108"/>
        <v>0</v>
      </c>
      <c r="AU151" s="405" t="s">
        <v>855</v>
      </c>
      <c r="AV151" s="409" t="s">
        <v>3466</v>
      </c>
      <c r="AW151" s="420" t="str">
        <f t="shared" si="130"/>
        <v>ToyoLi - CYAN</v>
      </c>
      <c r="AX151" s="409">
        <v>30</v>
      </c>
      <c r="AY151" s="411">
        <f>IF(AX151=0,0,IF($LB151=70%,VLOOKUP($AW151,'Jan-2026 rates'!$L:$R,4,0),IF($LB151=65%,VLOOKUP($AW151,'Jan-2026 rates'!$L:$R,4,0),IF($LB151=40%,VLOOKUP($AW151,'Jan-2026 rates'!$L:$R,5,0),IF($LB151=30%,VLOOKUP($AW151,'Jan-2026 rates'!$L:$R,6,0),IF($LB151=100%,VLOOKUP($AW151,'Jan-2026 rates'!$L:$R,7,0),IF($LB151=60%,VLOOKUP($AW151,'Jan-2026 rates'!$L:$S,8,0),IF($LB151=80%,VLOOKUP($AW151,'Jan-2026 rates'!L:T,9,0),0))))))))</f>
        <v>0</v>
      </c>
      <c r="AZ151" s="412"/>
      <c r="BA151" s="409"/>
      <c r="BB151" s="411">
        <f>IF(BA151=0,0,IF($LB151=70%,VLOOKUP($AW151,'Jan-2026 rates'!$L:$R,4,0),IF($LB151=65%,VLOOKUP($AW151,'Jan-2026 rates'!$L:$R,4,0),IF($LB151=40%,VLOOKUP($AW151,'Jan-2026 rates'!$L:$R,5,0),IF($LB151=30%,VLOOKUP($AW151,'Jan-2026 rates'!$L:$R,6,0),IF($LB151=100%,VLOOKUP($AW151,'Jan-2026 rates'!$L:$R,7,0),IF($LB151=60%,VLOOKUP($AW151,'Jan-2026 rates'!$L:$S,8,0),IF($LB151=80%,VLOOKUP($AW151,'Jan-2026 rates'!L:T,9,0),0))))))))</f>
        <v>0</v>
      </c>
      <c r="BC151" s="413" t="s">
        <v>1921</v>
      </c>
      <c r="BD151" s="412"/>
      <c r="BE151" s="412"/>
      <c r="BF151" s="413"/>
      <c r="BG151" s="412"/>
      <c r="BH151" s="412"/>
      <c r="BI151" s="412"/>
      <c r="BJ151" s="412"/>
      <c r="BK151" s="409">
        <v>5</v>
      </c>
      <c r="BL151" s="398">
        <f>IF(BK151=0,0,IF(LEN(BC151)=11,_xlfn.XLOOKUP(BC151,'Dispensed Ink Rates'!C:C,'Dispensed Ink Rates'!CS:CS),VLOOKUP(BC151,'Jan-2026 rates'!$E:$F,2,0)))</f>
        <v>0</v>
      </c>
      <c r="BM151" s="409"/>
      <c r="BN151" s="398">
        <f>IF(BM151=0,0,IF(LEN(BD151)=11,_xlfn.XLOOKUP(BD151,'Dispensed Ink Rates'!C:C,'Dispensed Ink Rates'!CS:CS),VLOOKUP(BD151,'Jan-2026 rates'!$E:$F,2,0)))</f>
        <v>0</v>
      </c>
      <c r="BO151" s="409"/>
      <c r="BP151" s="398">
        <f>IF(BO151=0,0,IF(LEN(BE151)=11,_xlfn.XLOOKUP(BE151,'Dispensed Ink Rates'!C:C,'Dispensed Ink Rates'!CS:CS),VLOOKUP(BE151,'Jan-2026 rates'!$E:$F,2,0)))</f>
        <v>0</v>
      </c>
      <c r="BQ151" s="409"/>
      <c r="BR151" s="398">
        <f>IF(BQ151=0,0,IF(LEN(BF151)=11,_xlfn.XLOOKUP(BF151,'Dispensed Ink Rates'!C:C,'Dispensed Ink Rates'!CS:CS),VLOOKUP(BF151,'Jan-2026 rates'!$E:$F,2,0)))</f>
        <v>0</v>
      </c>
      <c r="BS151" s="409"/>
      <c r="BT151" s="398">
        <f>IF(BS151=0,0,IF(LEN(BG151)=11,_xlfn.XLOOKUP(BG151,'Dispensed Ink Rates'!C:C,'Dispensed Ink Rates'!CS:CS),VLOOKUP(BG151,'Jan-2026 rates'!$E:$F,2,0)))</f>
        <v>0</v>
      </c>
      <c r="BU151" s="409"/>
      <c r="BV151" s="398">
        <f>IF(BU151=0,0,IF(LEN(BH151)=11,_xlfn.XLOOKUP(BH151,'Dispensed Ink Rates'!C:C,'Dispensed Ink Rates'!CS:CS),VLOOKUP(BH151,'Jan-2026 rates'!$E:$F,2,0)))</f>
        <v>0</v>
      </c>
      <c r="BW151" s="409"/>
      <c r="BX151" s="398">
        <f>IF(BW151=0,0,IF(LEN(BI151)=11,_xlfn.XLOOKUP(BI151,'Dispensed Ink Rates'!C:C,'Dispensed Ink Rates'!CS:CS),VLOOKUP(BI151,'Jan-2026 rates'!$E:$F,2,0)))</f>
        <v>0</v>
      </c>
      <c r="BY151" s="409"/>
      <c r="BZ151" s="398">
        <f>IF(BY151=0,0,IF(LEN(BJ151)=11,_xlfn.XLOOKUP(BJ151,'Dispensed Ink Rates'!C:C,'Dispensed Ink Rates'!CS:CS),VLOOKUP(BJ151,'Jan-2026 rates'!$E:$F,2,0)))</f>
        <v>0</v>
      </c>
      <c r="CA151" s="409" t="s">
        <v>1881</v>
      </c>
      <c r="CB151" s="409">
        <v>25</v>
      </c>
      <c r="CC151" s="411">
        <f t="shared" si="109"/>
        <v>0</v>
      </c>
      <c r="CD151" s="411">
        <f t="shared" si="110"/>
        <v>31.428571428571431</v>
      </c>
      <c r="CE151" s="410">
        <f t="shared" si="111"/>
        <v>0</v>
      </c>
      <c r="CF151" s="404"/>
      <c r="CG151" s="409"/>
      <c r="CH151" s="420" t="str">
        <f t="shared" si="55"/>
        <v xml:space="preserve"> - </v>
      </c>
      <c r="CI151" s="409"/>
      <c r="CJ151" s="411">
        <f>IF(CI151=0,0,IF($LB151=70%,VLOOKUP($CH151,'Jan-2026 rates'!$L:$R,4,0),IF($LB151=65%,VLOOKUP($CH151,'Jan-2026 rates'!$L:$R,4,0),IF($LB151=40%,VLOOKUP($CH151,'Jan-2026 rates'!$L:$R,5,0),IF($LB151=30%,VLOOKUP($CH151,'Jan-2026 rates'!$L:$R,6,0),IF($LB151=100%,VLOOKUP($CH151,'Jan-2026 rates'!$L:$R,7,0),IF($LB151=60%,VLOOKUP($CH151,'Jan-2026 rates'!$L:$S,8,0),IF($LB151=80%,VLOOKUP($CH151,'Jan-2026 rates'!L:T,9,0),0))))))))</f>
        <v>0</v>
      </c>
      <c r="CK151" s="412"/>
      <c r="CL151" s="409"/>
      <c r="CM151" s="411">
        <f>IF(CL151=0,0,IF($LB151=70%,VLOOKUP($CH151,'Jan-2026 rates'!$L:$R,4,0),IF($LB151=65%,VLOOKUP($CH151,'Jan-2026 rates'!$L:$R,4,0),IF($LB151=40%,VLOOKUP($CH151,'Jan-2026 rates'!$L:$R,5,0),IF($LB151=30%,VLOOKUP($CH151,'Jan-2026 rates'!$L:$R,6,0),IF($LB151=100%,VLOOKUP($CH151,'Jan-2026 rates'!$L:$R,7,0),IF($LB151=60%,VLOOKUP($CH151,'Jan-2026 rates'!$L:$S,8,0),IF($LB151=80%,VLOOKUP($CH151,'Jan-2026 rates'!L:T,9,0),0))))))))</f>
        <v>0</v>
      </c>
      <c r="CN151" s="426"/>
      <c r="CO151" s="427"/>
      <c r="CP151" s="426"/>
      <c r="CQ151" s="426"/>
      <c r="CR151" s="428"/>
      <c r="CS151" s="428"/>
      <c r="CT151" s="428"/>
      <c r="CU151" s="428"/>
      <c r="CV151" s="409"/>
      <c r="CW151" s="398">
        <f>IF(CV151=0,0,IF(LEN(CN151)=11,_xlfn.XLOOKUP(CN151,'Dispensed Ink Rates'!C:C,'Dispensed Ink Rates'!CS:CS),VLOOKUP(CN151,'Jan-2026 rates'!$E:$F,2,0)))</f>
        <v>0</v>
      </c>
      <c r="CX151" s="409"/>
      <c r="CY151" s="398">
        <f>IF(CX151=0,0,IF(LEN(CO151)=11,_xlfn.XLOOKUP(CO151,'Dispensed Ink Rates'!C:C,'Dispensed Ink Rates'!CS:CS),VLOOKUP(CO151,'Jan-2026 rates'!$E:$F,2,0)))</f>
        <v>0</v>
      </c>
      <c r="CZ151" s="409"/>
      <c r="DA151" s="398">
        <f>IF(CZ151=0,0,IF(LEN(CP151)=11,_xlfn.XLOOKUP(CP151,'Dispensed Ink Rates'!C:C,'Dispensed Ink Rates'!CS:CS),VLOOKUP(CP151,'Jan-2026 rates'!$E:$F,2,0)))</f>
        <v>0</v>
      </c>
      <c r="DB151" s="409"/>
      <c r="DC151" s="398">
        <f>IF(DB151=0,0,IF(LEN(CQ151)=11,_xlfn.XLOOKUP(CQ151,'Dispensed Ink Rates'!C:C,'Dispensed Ink Rates'!CS:CS),VLOOKUP(CQ151,'Jan-2026 rates'!$E:$F,2,0)))</f>
        <v>0</v>
      </c>
      <c r="DD151" s="409"/>
      <c r="DE151" s="398">
        <f>IF(DD151=0,0,IF(LEN(CR151)=11,_xlfn.XLOOKUP(CR151,'Dispensed Ink Rates'!C:C,'Dispensed Ink Rates'!CS:CS),VLOOKUP(CR151,'Jan-2026 rates'!$E:$F,2,0)))</f>
        <v>0</v>
      </c>
      <c r="DF151" s="409"/>
      <c r="DG151" s="398">
        <f>IF(DF151=0,0,IF(LEN(CS151)=11,_xlfn.XLOOKUP(CS151,'Dispensed Ink Rates'!C:C,'Dispensed Ink Rates'!CS:CS),VLOOKUP(CS151,'Jan-2026 rates'!$E:$F,2,0)))</f>
        <v>0</v>
      </c>
      <c r="DH151" s="409"/>
      <c r="DI151" s="398">
        <f>IF(DH151=0,0,IF(LEN(CT151)=11,_xlfn.XLOOKUP(CT151,'Dispensed Ink Rates'!C:C,'Dispensed Ink Rates'!CS:CS),VLOOKUP(CT151,'Jan-2026 rates'!$E:$F,2,0)))</f>
        <v>0</v>
      </c>
      <c r="DJ151" s="409"/>
      <c r="DK151" s="398">
        <f>IF(DJ151=0,0,IF(LEN(CU151)=11,_xlfn.XLOOKUP(CU151,'Dispensed Ink Rates'!C:C,'Dispensed Ink Rates'!CS:CS),VLOOKUP(CU151,'Jan-2026 rates'!$E:$F,2,0)))</f>
        <v>0</v>
      </c>
      <c r="DL151" s="409"/>
      <c r="DM151" s="409"/>
      <c r="DN151" s="411">
        <f t="shared" si="112"/>
        <v>0</v>
      </c>
      <c r="DO151" s="411">
        <f t="shared" si="113"/>
        <v>0</v>
      </c>
      <c r="DP151" s="410">
        <f t="shared" si="114"/>
        <v>0</v>
      </c>
      <c r="DQ151" s="405"/>
      <c r="DR151" s="409"/>
      <c r="DS151" s="420" t="str">
        <f t="shared" si="56"/>
        <v xml:space="preserve"> - </v>
      </c>
      <c r="DT151" s="409"/>
      <c r="DU151" s="411">
        <f>IF(DT151=0,0,IF($LB151=70%,VLOOKUP($DS151,'Jan-2026 rates'!$L:$R,4,0),IF($LB151=65%,VLOOKUP($DS151,'Jan-2026 rates'!$L:$R,4,0),IF($LB151=40%,VLOOKUP($DS151,'Jan-2026 rates'!$L:$R,5,0),IF($LB151=30%,VLOOKUP($DS151,'Jan-2026 rates'!$L:$R,6,0),IF($LB151=100%,VLOOKUP($DS151,'Jan-2026 rates'!$L:$R,7,0),IF($LB151=60%,VLOOKUP($DS151,'Jan-2026 rates'!$L:$S,8,0),IF($LB151=80%,VLOOKUP($DS151,'Jan-2026 rates'!L:T,9,0),0))))))))</f>
        <v>0</v>
      </c>
      <c r="DV151" s="412"/>
      <c r="DW151" s="409"/>
      <c r="DX151" s="411">
        <f>IF(DW151=0,0,IF($LB151=70%,VLOOKUP($DS151,'Jan-2026 rates'!$L:$R,4,0),IF($LB151=65%,VLOOKUP($DS151,'Jan-2026 rates'!$L:$R,4,0),IF($LB151=40%,VLOOKUP($DS151,'Jan-2026 rates'!$L:$R,5,0),IF($LB151=30%,VLOOKUP($DS151,'Jan-2026 rates'!$L:$R,6,0),IF($LB151=100%,VLOOKUP($DS151,'Jan-2026 rates'!$L:$R,7,0),IF($LB151=60%,VLOOKUP($DS151,'Jan-2026 rates'!$L:$S,8,0),IF($LB151=80%,VLOOKUP($DS151,'Jan-2026 rates'!L:T,9,0),0))))))))</f>
        <v>0</v>
      </c>
      <c r="DY151" s="413"/>
      <c r="DZ151" s="413"/>
      <c r="EA151" s="412"/>
      <c r="EB151" s="412"/>
      <c r="EC151" s="412"/>
      <c r="ED151" s="412"/>
      <c r="EE151" s="412"/>
      <c r="EF151" s="412"/>
      <c r="EG151" s="409"/>
      <c r="EH151" s="398">
        <f>IF(EG151=0,0,IF(LEN(DY151)=11,_xlfn.XLOOKUP(DY151,'Dispensed Ink Rates'!C:C,'Dispensed Ink Rates'!CS:CS),VLOOKUP(DY151,'Jan-2026 rates'!$E:$F,2,0)))</f>
        <v>0</v>
      </c>
      <c r="EI151" s="409"/>
      <c r="EJ151" s="398">
        <f>IF(EI151=0,0,IF(LEN(DZ151)=11,_xlfn.XLOOKUP(DZ151,'Dispensed Ink Rates'!C:C,'Dispensed Ink Rates'!CS:CS),VLOOKUP(DZ151,'Jan-2026 rates'!$E:$F,2,0)))</f>
        <v>0</v>
      </c>
      <c r="EK151" s="409"/>
      <c r="EL151" s="398">
        <f>IF(EK151=0,0,IF(LEN(EA151)=11,_xlfn.XLOOKUP(EA151,'Dispensed Ink Rates'!C:C,'Dispensed Ink Rates'!CS:CS),VLOOKUP(EA151,'Jan-2026 rates'!$E:$F,2,0)))</f>
        <v>0</v>
      </c>
      <c r="EM151" s="409"/>
      <c r="EN151" s="398">
        <f>IF(EM151=0,0,IF(LEN(EB151)=11,_xlfn.XLOOKUP(EB151,'Dispensed Ink Rates'!C:C,'Dispensed Ink Rates'!CS:CS),VLOOKUP(EB151,'Jan-2026 rates'!$E:$F,2,0)))</f>
        <v>0</v>
      </c>
      <c r="EO151" s="409"/>
      <c r="EP151" s="398">
        <f>IF(EO151=0,0,IF(LEN(EC151)=11,_xlfn.XLOOKUP(EC151,'Dispensed Ink Rates'!C:C,'Dispensed Ink Rates'!CS:CS),VLOOKUP(EC151,'Jan-2026 rates'!$E:$F,2,0)))</f>
        <v>0</v>
      </c>
      <c r="EQ151" s="409"/>
      <c r="ER151" s="398">
        <f>IF(EQ151=0,0,IF(LEN(ED151)=11,_xlfn.XLOOKUP(ED151,'Dispensed Ink Rates'!C:C,'Dispensed Ink Rates'!CS:CS),VLOOKUP(ED151,'Jan-2026 rates'!$E:$F,2,0)))</f>
        <v>0</v>
      </c>
      <c r="ES151" s="409"/>
      <c r="ET151" s="398">
        <f>IF(ES151=0,0,IF(LEN(EE151)=11,_xlfn.XLOOKUP(EE151,'Dispensed Ink Rates'!C:C,'Dispensed Ink Rates'!CS:CS),VLOOKUP(EE151,'Jan-2026 rates'!$E:$F,2,0)))</f>
        <v>0</v>
      </c>
      <c r="EU151" s="409"/>
      <c r="EV151" s="398">
        <f>IF(EU151=0,0,IF(LEN(EF151)=11,_xlfn.XLOOKUP(EF151,'Dispensed Ink Rates'!C:C,'Dispensed Ink Rates'!CS:CS),VLOOKUP(EF151,'Jan-2026 rates'!$E:$F,2,0)))</f>
        <v>0</v>
      </c>
      <c r="EW151" s="409"/>
      <c r="EX151" s="409"/>
      <c r="EY151" s="411">
        <f t="shared" si="115"/>
        <v>0</v>
      </c>
      <c r="EZ151" s="411">
        <f t="shared" si="116"/>
        <v>0</v>
      </c>
      <c r="FA151" s="410">
        <f t="shared" si="117"/>
        <v>0</v>
      </c>
      <c r="FB151" s="405"/>
      <c r="FC151" s="409"/>
      <c r="FD151" s="420" t="str">
        <f t="shared" si="57"/>
        <v xml:space="preserve"> - </v>
      </c>
      <c r="FE151" s="409"/>
      <c r="FF151" s="411">
        <f>IF(FE151=0,0,IF($LB151=70%,VLOOKUP($FD151,'Jan-2026 rates'!$L:$R,4,0),IF($LB151=65%,VLOOKUP($FD151,'Jan-2026 rates'!$L:$R,4,0),IF($LB151=40%,VLOOKUP($FD151,'Jan-2026 rates'!$L:$R,5,0),IF($LB151=30%,VLOOKUP($FD151,'Jan-2026 rates'!$L:$R,6,0),IF($LB151=100%,VLOOKUP($FD151,'Jan-2026 rates'!$L:$R,7,0),IF($LB151=60%,VLOOKUP($FD151,'Jan-2026 rates'!$L:$S,8,0),IF($LB151=80%,VLOOKUP($FD151,'Jan-2026 rates'!L:T,9,0),0))))))))</f>
        <v>0</v>
      </c>
      <c r="FG151" s="412"/>
      <c r="FH151" s="409"/>
      <c r="FI151" s="411">
        <f>IF(FH151=0,0,IF($LB151=70%,VLOOKUP($FD151,'Jan-2026 rates'!$L:$R,4,0),IF($LB151=65%,VLOOKUP($FD151,'Jan-2026 rates'!$L:$R,4,0),IF($LB151=40%,VLOOKUP($FD151,'Jan-2026 rates'!$L:$R,5,0),IF($LB151=30%,VLOOKUP($FD151,'Jan-2026 rates'!$L:$R,6,0),IF($LB151=100%,VLOOKUP($FD151,'Jan-2026 rates'!$L:$R,7,0),IF($LB151=60%,VLOOKUP($FD151,'Jan-2026 rates'!$L:$S,8,0),IF($LB151=80%,VLOOKUP($FD151,'Jan-2026 rates'!L:T,9,0),0))))))))</f>
        <v>0</v>
      </c>
      <c r="FJ151" s="413"/>
      <c r="FK151" s="413"/>
      <c r="FL151" s="413"/>
      <c r="FM151" s="412"/>
      <c r="FN151" s="412"/>
      <c r="FO151" s="412"/>
      <c r="FP151" s="412"/>
      <c r="FQ151" s="412"/>
      <c r="FR151" s="409"/>
      <c r="FS151" s="398">
        <f>IF(FR151=0,0,IF(LEN(FJ151)=11,_xlfn.XLOOKUP(FJ151,'Dispensed Ink Rates'!C:C,'Dispensed Ink Rates'!CS:CS),VLOOKUP(FJ151,'Jan-2026 rates'!$E:$F,2,0)))</f>
        <v>0</v>
      </c>
      <c r="FT151" s="409"/>
      <c r="FU151" s="398">
        <f>IF(FT151=0,0,IF(LEN(FK151)=11,_xlfn.XLOOKUP(FK151,'Dispensed Ink Rates'!C:C,'Dispensed Ink Rates'!CS:CS),VLOOKUP(FK151,'Jan-2026 rates'!$E:$F,2,0)))</f>
        <v>0</v>
      </c>
      <c r="FV151" s="409"/>
      <c r="FW151" s="398">
        <f>IF(FV151=0,0,IF(LEN(FL151)=11,_xlfn.XLOOKUP(FL151,'Dispensed Ink Rates'!C:C,'Dispensed Ink Rates'!CS:CS),VLOOKUP(FL151,'Jan-2026 rates'!$E:$F,2,0)))</f>
        <v>0</v>
      </c>
      <c r="FX151" s="409"/>
      <c r="FY151" s="398">
        <f>IF(FX151=0,0,IF(LEN(FM151)=11,_xlfn.XLOOKUP(FM151,'Dispensed Ink Rates'!C:C,'Dispensed Ink Rates'!CS:CS),VLOOKUP(FM151,'Jan-2026 rates'!$E:$F,2,0)))</f>
        <v>0</v>
      </c>
      <c r="FZ151" s="409"/>
      <c r="GA151" s="398">
        <f>IF(FZ151=0,0,IF(LEN(FN151)=11,_xlfn.XLOOKUP(FN151,'Dispensed Ink Rates'!C:C,'Dispensed Ink Rates'!CS:CS),VLOOKUP(FN151,'Jan-2026 rates'!$E:$F,2,0)))</f>
        <v>0</v>
      </c>
      <c r="GB151" s="409"/>
      <c r="GC151" s="398">
        <f>IF(GB151=0,0,IF(LEN(FO151)=11,_xlfn.XLOOKUP(FO151,'Dispensed Ink Rates'!C:C,'Dispensed Ink Rates'!CS:CS),VLOOKUP(FO151,'Jan-2026 rates'!$E:$F,2,0)))</f>
        <v>0</v>
      </c>
      <c r="GD151" s="409"/>
      <c r="GE151" s="398">
        <f>IF(GD151=0,0,IF(LEN(FP151)=11,_xlfn.XLOOKUP(FP151,'Dispensed Ink Rates'!C:C,'Dispensed Ink Rates'!CS:CS),VLOOKUP(FP151,'Jan-2026 rates'!$E:$F,2,0)))</f>
        <v>0</v>
      </c>
      <c r="GF151" s="409"/>
      <c r="GG151" s="398">
        <f>IF(GF151=0,0,IF(LEN(FQ151)=11,_xlfn.XLOOKUP(FQ151,'Dispensed Ink Rates'!C:C,'Dispensed Ink Rates'!CS:CS),VLOOKUP(FQ151,'Jan-2026 rates'!$E:$F,2,0)))</f>
        <v>0</v>
      </c>
      <c r="GH151" s="409"/>
      <c r="GI151" s="409"/>
      <c r="GJ151" s="411">
        <f t="shared" si="118"/>
        <v>0</v>
      </c>
      <c r="GK151" s="411">
        <f t="shared" si="119"/>
        <v>0</v>
      </c>
      <c r="GL151" s="410">
        <f t="shared" si="120"/>
        <v>0</v>
      </c>
      <c r="GM151" s="405"/>
      <c r="GN151" s="409"/>
      <c r="GO151" s="420" t="str">
        <f t="shared" si="58"/>
        <v xml:space="preserve"> - </v>
      </c>
      <c r="GP151" s="409"/>
      <c r="GQ151" s="411">
        <f>IF(GP151=0,0,IF($LB151=70%,VLOOKUP($GO151,'Jan-2026 rates'!$L:$R,4,0),IF($LB151=65%,VLOOKUP($GO151,'Jan-2026 rates'!$L:$R,4,0),IF($LB151=40%,VLOOKUP($GO151,'Jan-2026 rates'!$L:$R,5,0),IF($LB151=30%,VLOOKUP($GO151,'Jan-2026 rates'!$L:$R,6,0),IF($LB151=100%,VLOOKUP($GO151,'Jan-2026 rates'!$L:$R,7,0),IF($LB151=60%,VLOOKUP($GO151,'Jan-2026 rates'!$L:$S,8,0),IF($LB151=80%,VLOOKUP($GO151,'Jan-2026 rates'!L:T,9,0),0))))))))</f>
        <v>0</v>
      </c>
      <c r="GR151" s="412"/>
      <c r="GS151" s="409"/>
      <c r="GT151" s="411">
        <f>IF(GS151=0,0,IF($LB151=70%,VLOOKUP($GO151,'Jan-2026 rates'!$L:$R,4,0),IF($LB151=65%,VLOOKUP($GO151,'Jan-2026 rates'!$L:$R,4,0),IF($LB151=40%,VLOOKUP($GO151,'Jan-2026 rates'!$L:$R,5,0),IF($LB151=30%,VLOOKUP($GO151,'Jan-2026 rates'!$L:$R,6,0),IF($LB151=100%,VLOOKUP($GO151,'Jan-2026 rates'!$L:$R,7,0),IF($LB151=60%,VLOOKUP($GO151,'Jan-2026 rates'!$L:$S,8,0),IF($LB151=80%,VLOOKUP($GO151,'Jan-2026 rates'!L:T,9,0),0))))))))</f>
        <v>0</v>
      </c>
      <c r="GU151" s="413"/>
      <c r="GV151" s="413"/>
      <c r="GW151" s="412"/>
      <c r="GX151" s="412"/>
      <c r="GY151" s="412"/>
      <c r="GZ151" s="412"/>
      <c r="HA151" s="412"/>
      <c r="HB151" s="412"/>
      <c r="HC151" s="409"/>
      <c r="HD151" s="398">
        <f>IF(HC151=0,0,IF(LEN(GU151)=11,_xlfn.XLOOKUP(GU151,'Dispensed Ink Rates'!C:C,'Dispensed Ink Rates'!CS:CS),VLOOKUP(GU151,'Jan-2026 rates'!$E:$F,2,0)))</f>
        <v>0</v>
      </c>
      <c r="HE151" s="409"/>
      <c r="HF151" s="398">
        <f>IF(HE151=0,0,IF(LEN(GV151)=11,_xlfn.XLOOKUP(GV151,'Dispensed Ink Rates'!C:C,'Dispensed Ink Rates'!CS:CS),VLOOKUP(GV151,'Jan-2026 rates'!$E:$F,2,0)))</f>
        <v>0</v>
      </c>
      <c r="HG151" s="409"/>
      <c r="HH151" s="398">
        <f>IF(HG151=0,0,IF(LEN(GW151)=11,_xlfn.XLOOKUP(GW151,'Dispensed Ink Rates'!C:C,'Dispensed Ink Rates'!CS:CS),VLOOKUP(GW151,'Jan-2026 rates'!$E:$F,2,0)))</f>
        <v>0</v>
      </c>
      <c r="HI151" s="409"/>
      <c r="HJ151" s="398">
        <f>IF(HI151=0,0,IF(LEN(GX151)=11,_xlfn.XLOOKUP(GX151,'Dispensed Ink Rates'!C:C,'Dispensed Ink Rates'!CS:CS),VLOOKUP(GX151,'Jan-2026 rates'!$E:$F,2,0)))</f>
        <v>0</v>
      </c>
      <c r="HK151" s="409"/>
      <c r="HL151" s="398">
        <f>IF(HK151=0,0,IF(LEN(GY151)=11,_xlfn.XLOOKUP(GY151,'Dispensed Ink Rates'!C:C,'Dispensed Ink Rates'!CS:CS),VLOOKUP(GY151,'Jan-2026 rates'!$E:$F,2,0)))</f>
        <v>0</v>
      </c>
      <c r="HM151" s="409"/>
      <c r="HN151" s="398">
        <f>IF(HM151=0,0,IF(LEN(GZ151)=11,_xlfn.XLOOKUP(GZ151,'Dispensed Ink Rates'!C:C,'Dispensed Ink Rates'!CS:CS),VLOOKUP(GZ151,'Jan-2026 rates'!$E:$F,2,0)))</f>
        <v>0</v>
      </c>
      <c r="HO151" s="409"/>
      <c r="HP151" s="398">
        <f>IF(HO151=0,0,IF(LEN(HA151)=11,_xlfn.XLOOKUP(HA151,'Dispensed Ink Rates'!C:C,'Dispensed Ink Rates'!CS:CS),VLOOKUP(HA151,'Jan-2026 rates'!$E:$F,2,0)))</f>
        <v>0</v>
      </c>
      <c r="HQ151" s="409"/>
      <c r="HR151" s="398">
        <f>IF(HQ151=0,0,IF(LEN(HB151)=11,_xlfn.XLOOKUP(HB151,'Dispensed Ink Rates'!C:C,'Dispensed Ink Rates'!CS:CS),VLOOKUP(HB151,'Jan-2026 rates'!$E:$F,2,0)))</f>
        <v>0</v>
      </c>
      <c r="HS151" s="409"/>
      <c r="HT151" s="409"/>
      <c r="HU151" s="411">
        <f t="shared" si="121"/>
        <v>0</v>
      </c>
      <c r="HV151" s="411">
        <f t="shared" si="122"/>
        <v>0</v>
      </c>
      <c r="HW151" s="414">
        <f t="shared" si="123"/>
        <v>0</v>
      </c>
      <c r="HX151" s="405"/>
      <c r="HY151" s="409"/>
      <c r="HZ151" s="420" t="str">
        <f t="shared" si="59"/>
        <v xml:space="preserve"> - </v>
      </c>
      <c r="IA151" s="409"/>
      <c r="IB151" s="411">
        <f>IF(IA151=0,0,IF($LB151=70%,VLOOKUP($HZ151,'Jan-2026 rates'!$L:$R,4,0),IF($LB151=65%,VLOOKUP($HZ151,'Jan-2026 rates'!$L:$R,4,0),IF($LB151=40%,VLOOKUP($HZ151,'Jan-2026 rates'!$L:$R,5,0),IF($LB151=30%,VLOOKUP($HZ151,'Jan-2026 rates'!$L:$R,6,0),IF($LB151=100%,VLOOKUP($HZ151,'Jan-2026 rates'!$L:$R,7,0),IF($LB151=60%,VLOOKUP($HZ151,'Jan-2026 rates'!$L:$S,8,0),IF($LB151=80%,VLOOKUP($HZ151,'Jan-2026 rates'!L:T,9,0),0))))))))</f>
        <v>0</v>
      </c>
      <c r="IC151" s="412"/>
      <c r="ID151" s="409"/>
      <c r="IE151" s="411">
        <f>IF(ID151=0,0,IF($LB151=70%,VLOOKUP($HZ151,'Jan-2026 rates'!$L:$R,4,0),IF($LB151=65%,VLOOKUP($HZ151,'Jan-2026 rates'!$L:$R,4,0),IF($LB151=40%,VLOOKUP($HZ151,'Jan-2026 rates'!$L:$R,5,0),IF($LB151=30%,VLOOKUP($HZ151,'Jan-2026 rates'!$L:$R,6,0),IF($LB151=100%,VLOOKUP($HZ151,'Jan-2026 rates'!$L:$R,7,0),IF($LB151=60%,VLOOKUP($HZ151,'Jan-2026 rates'!$L:$S,8,0),IF($LB151=80%,VLOOKUP($HZ151,'Jan-2026 rates'!L:T,9,0),0))))))))</f>
        <v>0</v>
      </c>
      <c r="IF151" s="412"/>
      <c r="IG151" s="413"/>
      <c r="IH151" s="412"/>
      <c r="II151" s="412"/>
      <c r="IJ151" s="412"/>
      <c r="IK151" s="412"/>
      <c r="IL151" s="412"/>
      <c r="IM151" s="412"/>
      <c r="IN151" s="409"/>
      <c r="IO151" s="398">
        <f>IF(IN151=0,0,IF(LEN(IF151)=11,_xlfn.XLOOKUP(IF151,'Dispensed Ink Rates'!C:C,'Dispensed Ink Rates'!CS:CS),VLOOKUP(IF151,'Jan-2026 rates'!$E:$F,2,0)))</f>
        <v>0</v>
      </c>
      <c r="IP151" s="409"/>
      <c r="IQ151" s="398">
        <f>IF(IP151=0,0,IF(LEN(IG151)=11,_xlfn.XLOOKUP(IG151,'Dispensed Ink Rates'!C:C,'Dispensed Ink Rates'!CS:CS),VLOOKUP(IG151,'Jan-2026 rates'!$E:$F,2,0)))</f>
        <v>0</v>
      </c>
      <c r="IR151" s="409"/>
      <c r="IS151" s="398">
        <f>IF(IR151=0,0,IF(LEN(IH151)=11,_xlfn.XLOOKUP(IH151,'Dispensed Ink Rates'!C:C,'Dispensed Ink Rates'!CS:CS),VLOOKUP(IH151,'Jan-2026 rates'!$E:$F,2,0)))</f>
        <v>0</v>
      </c>
      <c r="IT151" s="409"/>
      <c r="IU151" s="398">
        <f>IF(IT151=0,0,IF(LEN(II151)=11,_xlfn.XLOOKUP(II151,'Dispensed Ink Rates'!C:C,'Dispensed Ink Rates'!CS:CS),VLOOKUP(II151,'Jan-2026 rates'!$E:$F,2,0)))</f>
        <v>0</v>
      </c>
      <c r="IV151" s="409"/>
      <c r="IW151" s="398">
        <f>IF(IV151=0,0,IF(LEN(IJ151)=11,_xlfn.XLOOKUP(IJ151,'Dispensed Ink Rates'!C:C,'Dispensed Ink Rates'!CS:CS),VLOOKUP(IJ151,'Jan-2026 rates'!$E:$F,2,0)))</f>
        <v>0</v>
      </c>
      <c r="IX151" s="409"/>
      <c r="IY151" s="398">
        <f>IF(IX151=0,0,IF(LEN(IK151)=11,_xlfn.XLOOKUP(IK151,'Dispensed Ink Rates'!C:C,'Dispensed Ink Rates'!CS:CS),VLOOKUP(IK151,'Jan-2026 rates'!$E:$F,2,0)))</f>
        <v>0</v>
      </c>
      <c r="IZ151" s="409"/>
      <c r="JA151" s="398">
        <f>IF(IZ151=0,0,IF(LEN(IL151)=11,_xlfn.XLOOKUP(IL151,'Dispensed Ink Rates'!C:C,'Dispensed Ink Rates'!CS:CS),VLOOKUP(IL151,'Jan-2026 rates'!$E:$F,2,0)))</f>
        <v>0</v>
      </c>
      <c r="JB151" s="409"/>
      <c r="JC151" s="398">
        <f>IF(JB151=0,0,IF(LEN(IM151)=11,_xlfn.XLOOKUP(IM151,'Dispensed Ink Rates'!C:C,'Dispensed Ink Rates'!CS:CS),VLOOKUP(IM151,'Jan-2026 rates'!$E:$F,2,0)))</f>
        <v>0</v>
      </c>
      <c r="JD151" s="409"/>
      <c r="JE151" s="409"/>
      <c r="JF151" s="411">
        <f t="shared" si="124"/>
        <v>0</v>
      </c>
      <c r="JG151" s="411">
        <f t="shared" si="125"/>
        <v>0</v>
      </c>
      <c r="JH151" s="410">
        <f t="shared" si="126"/>
        <v>0</v>
      </c>
      <c r="JI151" s="405"/>
      <c r="JJ151" s="409"/>
      <c r="JK151" s="420" t="str">
        <f t="shared" si="60"/>
        <v xml:space="preserve"> - </v>
      </c>
      <c r="JL151" s="409"/>
      <c r="JM151" s="411">
        <f>IF(JL151=0,0,IF($LB151=70%,VLOOKUP($JK151,'Jan-2026 rates'!$L:$R,4,0),IF($LB151=65%,VLOOKUP($JK151,'Jan-2026 rates'!$L:$R,4,0),IF($LB151=40%,VLOOKUP($JK151,'Jan-2026 rates'!$L:$R,5,0),IF($LB151=30%,VLOOKUP($JK151,'Jan-2026 rates'!$L:$R,6,0),IF($LB151=100%,VLOOKUP($JK151,'Jan-2026 rates'!$L:$R,7,0),IF($LB151=60%,VLOOKUP($JK151,'Jan-2026 rates'!$L:$S,8,0),IF($LB151=80%,VLOOKUP($JK151,'Jan-2026 rates'!L:T,9,0),0))))))))</f>
        <v>0</v>
      </c>
      <c r="JN151" s="412"/>
      <c r="JO151" s="409"/>
      <c r="JP151" s="411">
        <f>IF(JO151=0,0,IF($LB151=70%,VLOOKUP($JK151,'Jan-2026 rates'!$L:$R,4,0),IF($LB151=65%,VLOOKUP($JK151,'Jan-2026 rates'!$L:$R,4,0),IF($LB151=40%,VLOOKUP($JK151,'Jan-2026 rates'!$L:$R,5,0),IF($LB151=30%,VLOOKUP($JK151,'Jan-2026 rates'!$L:$R,6,0),IF($LB151=100%,VLOOKUP($JK151,'Jan-2026 rates'!$L:$R,7,0),IF($LB151=60%,VLOOKUP($JK151,'Jan-2026 rates'!$L:$S,8,0),IF($LB151=80%,VLOOKUP($JK151,'Jan-2026 rates'!L:T,9,0),0))))))))</f>
        <v>0</v>
      </c>
      <c r="JQ151" s="413"/>
      <c r="JR151" s="412"/>
      <c r="JS151" s="413"/>
      <c r="JT151" s="413"/>
      <c r="JU151" s="412"/>
      <c r="JV151" s="412"/>
      <c r="JW151" s="412"/>
      <c r="JX151" s="412"/>
      <c r="JY151" s="409"/>
      <c r="JZ151" s="398">
        <f>IF(JY151=0,0,IF(LEN(JQ151)=11,_xlfn.XLOOKUP(JQ151,'Dispensed Ink Rates'!C:C,'Dispensed Ink Rates'!CS:CS),VLOOKUP(JQ151,'Jan-2026 rates'!$E:$F,2,0)))</f>
        <v>0</v>
      </c>
      <c r="KA151" s="409"/>
      <c r="KB151" s="398">
        <f>IF(KA151=0,0,IF(LEN(JR151)=11,_xlfn.XLOOKUP(JR151,'Dispensed Ink Rates'!C:C,'Dispensed Ink Rates'!CS:CS),VLOOKUP(JR151,'Jan-2026 rates'!$E:$F,2,0)))</f>
        <v>0</v>
      </c>
      <c r="KC151" s="409"/>
      <c r="KD151" s="398">
        <f>IF(KC151=0,0,IF(LEN(JS151)=11,_xlfn.XLOOKUP(JS151,'Dispensed Ink Rates'!C:C,'Dispensed Ink Rates'!CS:CS),VLOOKUP(JS151,'Jan-2026 rates'!$E:$F,2,0)))</f>
        <v>0</v>
      </c>
      <c r="KE151" s="409"/>
      <c r="KF151" s="398">
        <f>IF(KE151=0,0,IF(LEN(JT151)=11,_xlfn.XLOOKUP(JT151,'Dispensed Ink Rates'!C:C,'Dispensed Ink Rates'!CS:CS),VLOOKUP(JT151,'Jan-2026 rates'!$E:$F,2,0)))</f>
        <v>0</v>
      </c>
      <c r="KG151" s="409"/>
      <c r="KH151" s="398">
        <f>IF(KG151=0,0,IF(LEN(JU151)=11,_xlfn.XLOOKUP(JU151,'Dispensed Ink Rates'!C:C,'Dispensed Ink Rates'!CS:CS),VLOOKUP(JU151,'Jan-2026 rates'!$E:$F,2,0)))</f>
        <v>0</v>
      </c>
      <c r="KI151" s="409"/>
      <c r="KJ151" s="398">
        <f>IF(KI151=0,0,IF(LEN(JV151)=11,_xlfn.XLOOKUP(JV151,'Dispensed Ink Rates'!C:C,'Dispensed Ink Rates'!CS:CS),VLOOKUP(JV151,'Jan-2026 rates'!$E:$F,2,0)))</f>
        <v>0</v>
      </c>
      <c r="KK151" s="409"/>
      <c r="KL151" s="398">
        <f>IF(KK151=0,0,IF(LEN(JW151)=11,_xlfn.XLOOKUP(JW151,'Dispensed Ink Rates'!C:C,'Dispensed Ink Rates'!CS:CS),VLOOKUP(JW151,'Jan-2026 rates'!$E:$F,2,0)))</f>
        <v>0</v>
      </c>
      <c r="KM151" s="428"/>
      <c r="KN151" s="398">
        <f>IF(KM151=0,0,IF(LEN(JX151)=11,_xlfn.XLOOKUP(JX151,'Dispensed Ink Rates'!C:C,'Dispensed Ink Rates'!CS:CS),VLOOKUP(JX151,'Jan-2026 rates'!$E:$F,2,0)))</f>
        <v>0</v>
      </c>
      <c r="KO151" s="409"/>
      <c r="KP151" s="409"/>
      <c r="KQ151" s="411">
        <f t="shared" si="127"/>
        <v>0</v>
      </c>
      <c r="KR151" s="411">
        <f t="shared" si="128"/>
        <v>0</v>
      </c>
      <c r="KS151" s="410">
        <f t="shared" si="129"/>
        <v>0</v>
      </c>
      <c r="KT151" s="409">
        <v>2</v>
      </c>
      <c r="KU151" s="409">
        <v>5</v>
      </c>
      <c r="KV151" s="409">
        <v>0</v>
      </c>
      <c r="KW151" s="409">
        <v>0</v>
      </c>
      <c r="KX151" s="409">
        <v>0</v>
      </c>
      <c r="KY151" s="409">
        <v>0</v>
      </c>
      <c r="KZ151" s="409">
        <v>0</v>
      </c>
      <c r="LA151" s="409">
        <v>0</v>
      </c>
      <c r="LB151" s="415">
        <v>0.3</v>
      </c>
      <c r="LC151" s="415"/>
      <c r="LD151" s="415"/>
      <c r="LE151" s="415">
        <v>0.5</v>
      </c>
      <c r="LF151" s="415">
        <v>0.2</v>
      </c>
      <c r="LG151" s="409">
        <v>0</v>
      </c>
      <c r="LH151" s="409">
        <f>5+5+6+10+4</f>
        <v>30</v>
      </c>
      <c r="LI151" s="409">
        <v>0</v>
      </c>
      <c r="LJ151" s="409">
        <v>0</v>
      </c>
      <c r="LK151" s="416">
        <f t="shared" si="61"/>
        <v>30</v>
      </c>
      <c r="LL151" s="416">
        <f t="shared" si="62"/>
        <v>30</v>
      </c>
      <c r="LM151" s="417">
        <f t="shared" si="63"/>
        <v>9</v>
      </c>
      <c r="LN151" s="417">
        <f>VLOOKUP($LM$8,'Jan-2026 rates'!$H:$I,2,0)</f>
        <v>0</v>
      </c>
      <c r="LO151" s="417">
        <f t="shared" si="64"/>
        <v>0</v>
      </c>
      <c r="LP151" s="417">
        <f>VLOOKUP($LO$8,'Jan-2026 rates'!$H:$I,2,0)</f>
        <v>0</v>
      </c>
      <c r="LQ151" s="417">
        <f t="shared" si="65"/>
        <v>0</v>
      </c>
      <c r="LR151" s="417">
        <f>VLOOKUP($LQ$8,'Jan-2026 rates'!$H:$I,2,0)</f>
        <v>0</v>
      </c>
      <c r="LS151" s="417">
        <f t="shared" si="66"/>
        <v>15</v>
      </c>
      <c r="LT151" s="417">
        <f>VLOOKUP($LS$8,'Jan-2026 rates'!$H:$I,2,0)</f>
        <v>0</v>
      </c>
      <c r="LU151" s="417">
        <f t="shared" si="67"/>
        <v>6</v>
      </c>
      <c r="LV151" s="417">
        <f>VLOOKUP($LU$8,'Jan-2026 rates'!$H:$I,2,0)</f>
        <v>0</v>
      </c>
      <c r="LW151" s="417">
        <f t="shared" si="68"/>
        <v>0</v>
      </c>
      <c r="LX151" s="417">
        <f t="shared" si="69"/>
        <v>0</v>
      </c>
      <c r="LY151" s="418">
        <f t="shared" si="70"/>
        <v>0</v>
      </c>
      <c r="LZ151" s="417"/>
      <c r="MA151" s="435">
        <f t="shared" si="71"/>
        <v>8</v>
      </c>
      <c r="MB151" s="282">
        <f t="shared" si="72"/>
        <v>44</v>
      </c>
      <c r="MC151" s="283" t="s">
        <v>1986</v>
      </c>
      <c r="MD151" s="284" t="str">
        <f t="shared" si="73"/>
        <v>ToyoLiToyoLi</v>
      </c>
      <c r="ME151" s="293" t="str">
        <f t="shared" si="74"/>
        <v>+</v>
      </c>
      <c r="MF151" s="293" t="str">
        <f t="shared" si="75"/>
        <v>+</v>
      </c>
      <c r="MG151" s="293" t="str">
        <f t="shared" si="76"/>
        <v>NIL</v>
      </c>
      <c r="MH151" s="293" t="str">
        <f t="shared" si="77"/>
        <v>NIL</v>
      </c>
      <c r="MI151" s="293" t="str">
        <f t="shared" si="78"/>
        <v>NIL</v>
      </c>
      <c r="MJ151" s="293" t="str">
        <f t="shared" si="79"/>
        <v>NIL</v>
      </c>
      <c r="MK151" s="293" t="str">
        <f t="shared" si="80"/>
        <v>NIL</v>
      </c>
      <c r="ML151" s="293" t="str">
        <f t="shared" si="81"/>
        <v>NIL</v>
      </c>
      <c r="MM151" s="3" t="b">
        <f t="array" ref="MM151">OR(ME151:ML151="-")</f>
        <v>0</v>
      </c>
      <c r="MN151" s="285"/>
      <c r="MO151" s="401"/>
      <c r="MP151" s="286"/>
      <c r="MQ151" s="286"/>
      <c r="MR151" s="402"/>
      <c r="MS151" s="400"/>
      <c r="NH151" s="422"/>
      <c r="NJ151" s="421"/>
    </row>
    <row r="152" spans="1:374" s="1" customFormat="1" ht="16.5">
      <c r="A152" s="403">
        <v>46031</v>
      </c>
      <c r="B152" s="404" t="s">
        <v>1015</v>
      </c>
      <c r="C152" s="405" t="s">
        <v>3467</v>
      </c>
      <c r="D152" s="406" t="s">
        <v>1987</v>
      </c>
      <c r="E152" s="404">
        <v>11105</v>
      </c>
      <c r="F152" s="407">
        <v>552200</v>
      </c>
      <c r="G152" s="407" t="s">
        <v>1016</v>
      </c>
      <c r="H152" s="408" t="s">
        <v>1017</v>
      </c>
      <c r="I152" s="409">
        <v>1.55</v>
      </c>
      <c r="J152" s="405" t="s">
        <v>543</v>
      </c>
      <c r="K152" s="404" t="s">
        <v>3468</v>
      </c>
      <c r="L152" s="419" t="str">
        <f t="shared" si="54"/>
        <v>ToyoLi - BLACK</v>
      </c>
      <c r="M152" s="404">
        <v>26</v>
      </c>
      <c r="N152" s="410">
        <f>IF(M152=0,0,IF($LB152=70%,VLOOKUP($L152,'Jan-2026 rates'!$L:$R,4,0),IF($LB152=65%,VLOOKUP($L152,'Jan-2026 rates'!$L:$R,4,0),IF($LB152=40%,VLOOKUP($L152,'Jan-2026 rates'!$L:$R,5,0),IF($LB152=30%,VLOOKUP($L152,'Jan-2026 rates'!$L:$R,6,0),IF($LB152=100%,VLOOKUP($L152,'Jan-2026 rates'!$L:$R,7,0),IF($LB152=60%,VLOOKUP($L152,'Jan-2026 rates'!$L:$S,8,0),IF($LB152=80%,VLOOKUP($L152,'Jan-2026 rates'!L:T,9,0),0))))))))</f>
        <v>0</v>
      </c>
      <c r="O152" s="406"/>
      <c r="P152" s="404"/>
      <c r="Q152" s="410">
        <f>IF(P152=0,0,IF($LB152=70%,VLOOKUP($L152,'Jan-2026 rates'!$L:$R,4,0),IF($LB152=65%,VLOOKUP($L152,'Jan-2026 rates'!$L:$R,4,0),IF($LB152=40%,VLOOKUP($L152,'Jan-2026 rates'!$L:$R,5,0),IF($LB152=30%,VLOOKUP($L152,'Jan-2026 rates'!$L:$R,6,0),IF($LB152=100%,VLOOKUP($L152,'Jan-2026 rates'!$L:$R,7,0),IF($LB152=60%,VLOOKUP($L152,'Jan-2026 rates'!$L:$S,8,0),IF($LB152=80%,VLOOKUP($L152,'Jan-2026 rates'!L:T,9,0),0))))))))</f>
        <v>0</v>
      </c>
      <c r="R152" s="406" t="s">
        <v>1252</v>
      </c>
      <c r="S152" s="406"/>
      <c r="T152" s="406"/>
      <c r="U152" s="406"/>
      <c r="V152" s="406"/>
      <c r="W152" s="406"/>
      <c r="X152" s="406"/>
      <c r="Y152" s="406"/>
      <c r="Z152" s="404">
        <f>10+15</f>
        <v>25</v>
      </c>
      <c r="AA152" s="398">
        <f>IF(Z152=0,0,IF(LEN(R152)=11,_xlfn.XLOOKUP(R152,'Dispensed Ink Rates'!C:C,'Dispensed Ink Rates'!CS:CS),VLOOKUP(R152,'Jan-2026 rates'!$E:$F,2,0)))</f>
        <v>0</v>
      </c>
      <c r="AB152" s="404"/>
      <c r="AC152" s="398">
        <f>IF(AB152=0,0,IF(LEN(S152)=11,_xlfn.XLOOKUP(S152,'Dispensed Ink Rates'!C:C,'Dispensed Ink Rates'!CS:CS),VLOOKUP(S152,'Jan-2026 rates'!$E:$F,2,0)))</f>
        <v>0</v>
      </c>
      <c r="AD152" s="404"/>
      <c r="AE152" s="398">
        <f>IF(AD152=0,0,IF(LEN(T152)=11,_xlfn.XLOOKUP(T152,'Dispensed Ink Rates'!C:C,'Dispensed Ink Rates'!CS:CS),VLOOKUP(T152,'Jan-2026 rates'!$E:$F,2,0)))</f>
        <v>0</v>
      </c>
      <c r="AF152" s="404"/>
      <c r="AG152" s="398">
        <f>IF(AF152=0,0,IF(LEN(U152)=11,_xlfn.XLOOKUP(U152,'Dispensed Ink Rates'!C:C,'Dispensed Ink Rates'!CS:CS),VLOOKUP(U152,'Jan-2026 rates'!$E:$F,2,0)))</f>
        <v>0</v>
      </c>
      <c r="AH152" s="404"/>
      <c r="AI152" s="398">
        <f>IF(AH152=0,0,IF(LEN(V152)=11,_xlfn.XLOOKUP(V152,'Dispensed Ink Rates'!C:C,'Dispensed Ink Rates'!CS:CS),VLOOKUP(V152,'Jan-2026 rates'!$E:$F,2,0)))</f>
        <v>0</v>
      </c>
      <c r="AJ152" s="404"/>
      <c r="AK152" s="398">
        <f>IF(AJ152=0,0,IF(LEN(W152)=11,_xlfn.XLOOKUP(W152,'Dispensed Ink Rates'!C:C,'Dispensed Ink Rates'!CS:CS),VLOOKUP(W152,'Jan-2026 rates'!$E:$F,2,0)))</f>
        <v>0</v>
      </c>
      <c r="AL152" s="404"/>
      <c r="AM152" s="398">
        <f>IF(AL152=0,0,IF(LEN(X152)=11,_xlfn.XLOOKUP(X152,'Dispensed Ink Rates'!C:C,'Dispensed Ink Rates'!CS:CS),VLOOKUP(X152,'Jan-2026 rates'!$E:$F,2,0)))</f>
        <v>0</v>
      </c>
      <c r="AN152" s="404"/>
      <c r="AO152" s="398">
        <f>IF(AN152=0,0,IF(LEN(Y152)=11,_xlfn.XLOOKUP(Y152,'Dispensed Ink Rates'!C:C,'Dispensed Ink Rates'!CS:CS),VLOOKUP(Y152,'Jan-2026 rates'!$E:$F,2,0)))</f>
        <v>0</v>
      </c>
      <c r="AP152" s="409" t="s">
        <v>1881</v>
      </c>
      <c r="AQ152" s="409">
        <v>30</v>
      </c>
      <c r="AR152" s="410">
        <f t="shared" si="106"/>
        <v>0</v>
      </c>
      <c r="AS152" s="411">
        <f t="shared" si="107"/>
        <v>71.784313725490193</v>
      </c>
      <c r="AT152" s="410">
        <f t="shared" si="108"/>
        <v>0</v>
      </c>
      <c r="AU152" s="405" t="s">
        <v>546</v>
      </c>
      <c r="AV152" s="409" t="s">
        <v>3469</v>
      </c>
      <c r="AW152" s="420" t="str">
        <f t="shared" si="130"/>
        <v>ToyoLi - REFLEX BLUE</v>
      </c>
      <c r="AX152" s="409">
        <v>10</v>
      </c>
      <c r="AY152" s="411">
        <f>IF(AX152=0,0,IF($LB152=70%,VLOOKUP($AW152,'Jan-2026 rates'!$L:$R,4,0),IF($LB152=65%,VLOOKUP($AW152,'Jan-2026 rates'!$L:$R,4,0),IF($LB152=40%,VLOOKUP($AW152,'Jan-2026 rates'!$L:$R,5,0),IF($LB152=30%,VLOOKUP($AW152,'Jan-2026 rates'!$L:$R,6,0),IF($LB152=100%,VLOOKUP($AW152,'Jan-2026 rates'!$L:$R,7,0),IF($LB152=60%,VLOOKUP($AW152,'Jan-2026 rates'!$L:$S,8,0),IF($LB152=80%,VLOOKUP($AW152,'Jan-2026 rates'!L:T,9,0),0))))))))</f>
        <v>0</v>
      </c>
      <c r="AZ152" s="412" t="s">
        <v>3470</v>
      </c>
      <c r="BA152" s="409">
        <f>11+12+12+11+17+18+17+14+20+17+14+14+16+17+20+13+19+17+18+19+7+17+17+9+20+10+16+10+10+10+14+8+20+9+20+10+10+5+17+10+9+20+10+15+14+14+12+16+18+12+18</f>
        <v>723</v>
      </c>
      <c r="BB152" s="411">
        <f>IF(BA152=0,0,IF($LB152=70%,VLOOKUP($AW152,'Jan-2026 rates'!$L:$R,4,0),IF($LB152=65%,VLOOKUP($AW152,'Jan-2026 rates'!$L:$R,4,0),IF($LB152=40%,VLOOKUP($AW152,'Jan-2026 rates'!$L:$R,5,0),IF($LB152=30%,VLOOKUP($AW152,'Jan-2026 rates'!$L:$R,6,0),IF($LB152=100%,VLOOKUP($AW152,'Jan-2026 rates'!$L:$R,7,0),IF($LB152=60%,VLOOKUP($AW152,'Jan-2026 rates'!$L:$S,8,0),IF($LB152=80%,VLOOKUP($AW152,'Jan-2026 rates'!L:T,9,0),0))))))))</f>
        <v>0</v>
      </c>
      <c r="BC152" s="413" t="s">
        <v>1246</v>
      </c>
      <c r="BD152" s="412" t="s">
        <v>1880</v>
      </c>
      <c r="BE152" s="412" t="s">
        <v>1880</v>
      </c>
      <c r="BF152" s="413" t="s">
        <v>1246</v>
      </c>
      <c r="BG152" s="412" t="s">
        <v>1880</v>
      </c>
      <c r="BH152" s="412" t="s">
        <v>1246</v>
      </c>
      <c r="BI152" s="412"/>
      <c r="BJ152" s="412"/>
      <c r="BK152" s="409">
        <f>20+20</f>
        <v>40</v>
      </c>
      <c r="BL152" s="398">
        <f>IF(BK152=0,0,IF(LEN(BC152)=11,_xlfn.XLOOKUP(BC152,'Dispensed Ink Rates'!C:C,'Dispensed Ink Rates'!CS:CS),VLOOKUP(BC152,'Jan-2026 rates'!$E:$F,2,0)))</f>
        <v>0</v>
      </c>
      <c r="BM152" s="409">
        <f>20+60+40+20</f>
        <v>140</v>
      </c>
      <c r="BN152" s="398">
        <f>IF(BM152=0,0,IF(LEN(BD152)=11,_xlfn.XLOOKUP(BD152,'Dispensed Ink Rates'!C:C,'Dispensed Ink Rates'!CS:CS),VLOOKUP(BD152,'Jan-2026 rates'!$E:$F,2,0)))</f>
        <v>0</v>
      </c>
      <c r="BO152" s="409">
        <f>30+40+40+40</f>
        <v>150</v>
      </c>
      <c r="BP152" s="398">
        <f>IF(BO152=0,0,IF(LEN(BE152)=11,_xlfn.XLOOKUP(BE152,'Dispensed Ink Rates'!C:C,'Dispensed Ink Rates'!CS:CS),VLOOKUP(BE152,'Jan-2026 rates'!$E:$F,2,0)))</f>
        <v>0</v>
      </c>
      <c r="BQ152" s="409">
        <v>20</v>
      </c>
      <c r="BR152" s="398">
        <f>IF(BQ152=0,0,IF(LEN(BF152)=11,_xlfn.XLOOKUP(BF152,'Dispensed Ink Rates'!C:C,'Dispensed Ink Rates'!CS:CS),VLOOKUP(BF152,'Jan-2026 rates'!$E:$F,2,0)))</f>
        <v>0</v>
      </c>
      <c r="BS152" s="409">
        <f>60+60+80</f>
        <v>200</v>
      </c>
      <c r="BT152" s="398">
        <f>IF(BS152=0,0,IF(LEN(BG152)=11,_xlfn.XLOOKUP(BG152,'Dispensed Ink Rates'!C:C,'Dispensed Ink Rates'!CS:CS),VLOOKUP(BG152,'Jan-2026 rates'!$E:$F,2,0)))</f>
        <v>0</v>
      </c>
      <c r="BU152" s="409">
        <f>40+40+40</f>
        <v>120</v>
      </c>
      <c r="BV152" s="398">
        <f>IF(BU152=0,0,IF(LEN(BH152)=11,_xlfn.XLOOKUP(BH152,'Dispensed Ink Rates'!C:C,'Dispensed Ink Rates'!CS:CS),VLOOKUP(BH152,'Jan-2026 rates'!$E:$F,2,0)))</f>
        <v>0</v>
      </c>
      <c r="BW152" s="409"/>
      <c r="BX152" s="398">
        <f>IF(BW152=0,0,IF(LEN(BI152)=11,_xlfn.XLOOKUP(BI152,'Dispensed Ink Rates'!C:C,'Dispensed Ink Rates'!CS:CS),VLOOKUP(BI152,'Jan-2026 rates'!$E:$F,2,0)))</f>
        <v>0</v>
      </c>
      <c r="BY152" s="409"/>
      <c r="BZ152" s="398">
        <f>IF(BY152=0,0,IF(LEN(BJ152)=11,_xlfn.XLOOKUP(BJ152,'Dispensed Ink Rates'!C:C,'Dispensed Ink Rates'!CS:CS),VLOOKUP(BJ152,'Jan-2026 rates'!$E:$F,2,0)))</f>
        <v>0</v>
      </c>
      <c r="CA152" s="409" t="s">
        <v>1881</v>
      </c>
      <c r="CB152" s="409">
        <v>18</v>
      </c>
      <c r="CC152" s="411">
        <f t="shared" si="109"/>
        <v>0</v>
      </c>
      <c r="CD152" s="411">
        <f t="shared" si="110"/>
        <v>2169.848484848485</v>
      </c>
      <c r="CE152" s="410">
        <f t="shared" si="111"/>
        <v>0</v>
      </c>
      <c r="CF152" s="404" t="s">
        <v>544</v>
      </c>
      <c r="CG152" s="409" t="s">
        <v>2746</v>
      </c>
      <c r="CH152" s="420" t="str">
        <f t="shared" si="55"/>
        <v>ToyoLi - MAGENTA</v>
      </c>
      <c r="CI152" s="409">
        <v>13</v>
      </c>
      <c r="CJ152" s="411">
        <f>IF(CI152=0,0,IF($LB152=70%,VLOOKUP($CH152,'Jan-2026 rates'!$L:$R,4,0),IF($LB152=65%,VLOOKUP($CH152,'Jan-2026 rates'!$L:$R,4,0),IF($LB152=40%,VLOOKUP($CH152,'Jan-2026 rates'!$L:$R,5,0),IF($LB152=30%,VLOOKUP($CH152,'Jan-2026 rates'!$L:$R,6,0),IF($LB152=100%,VLOOKUP($CH152,'Jan-2026 rates'!$L:$R,7,0),IF($LB152=60%,VLOOKUP($CH152,'Jan-2026 rates'!$L:$S,8,0),IF($LB152=80%,VLOOKUP($CH152,'Jan-2026 rates'!L:T,9,0),0))))))))</f>
        <v>0</v>
      </c>
      <c r="CK152" s="412" t="s">
        <v>3471</v>
      </c>
      <c r="CL152" s="409">
        <f>5+20+20</f>
        <v>45</v>
      </c>
      <c r="CM152" s="411">
        <f>IF(CL152=0,0,IF($LB152=70%,VLOOKUP($CH152,'Jan-2026 rates'!$L:$R,4,0),IF($LB152=65%,VLOOKUP($CH152,'Jan-2026 rates'!$L:$R,4,0),IF($LB152=40%,VLOOKUP($CH152,'Jan-2026 rates'!$L:$R,5,0),IF($LB152=30%,VLOOKUP($CH152,'Jan-2026 rates'!$L:$R,6,0),IF($LB152=100%,VLOOKUP($CH152,'Jan-2026 rates'!$L:$R,7,0),IF($LB152=60%,VLOOKUP($CH152,'Jan-2026 rates'!$L:$S,8,0),IF($LB152=80%,VLOOKUP($CH152,'Jan-2026 rates'!L:T,9,0),0))))))))</f>
        <v>0</v>
      </c>
      <c r="CN152" s="426" t="s">
        <v>1246</v>
      </c>
      <c r="CO152" s="427" t="s">
        <v>1921</v>
      </c>
      <c r="CP152" s="426"/>
      <c r="CQ152" s="426"/>
      <c r="CR152" s="428"/>
      <c r="CS152" s="428"/>
      <c r="CT152" s="428"/>
      <c r="CU152" s="428"/>
      <c r="CV152" s="409">
        <f>15+10</f>
        <v>25</v>
      </c>
      <c r="CW152" s="398">
        <f>IF(CV152=0,0,IF(LEN(CN152)=11,_xlfn.XLOOKUP(CN152,'Dispensed Ink Rates'!C:C,'Dispensed Ink Rates'!CS:CS),VLOOKUP(CN152,'Jan-2026 rates'!$E:$F,2,0)))</f>
        <v>0</v>
      </c>
      <c r="CX152" s="409">
        <f>6+6</f>
        <v>12</v>
      </c>
      <c r="CY152" s="398">
        <f>IF(CX152=0,0,IF(LEN(CO152)=11,_xlfn.XLOOKUP(CO152,'Dispensed Ink Rates'!C:C,'Dispensed Ink Rates'!CS:CS),VLOOKUP(CO152,'Jan-2026 rates'!$E:$F,2,0)))</f>
        <v>0</v>
      </c>
      <c r="CZ152" s="409"/>
      <c r="DA152" s="398">
        <f>IF(CZ152=0,0,IF(LEN(CP152)=11,_xlfn.XLOOKUP(CP152,'Dispensed Ink Rates'!C:C,'Dispensed Ink Rates'!CS:CS),VLOOKUP(CP152,'Jan-2026 rates'!$E:$F,2,0)))</f>
        <v>0</v>
      </c>
      <c r="DB152" s="409"/>
      <c r="DC152" s="398">
        <f>IF(DB152=0,0,IF(LEN(CQ152)=11,_xlfn.XLOOKUP(CQ152,'Dispensed Ink Rates'!C:C,'Dispensed Ink Rates'!CS:CS),VLOOKUP(CQ152,'Jan-2026 rates'!$E:$F,2,0)))</f>
        <v>0</v>
      </c>
      <c r="DD152" s="409"/>
      <c r="DE152" s="398">
        <f>IF(DD152=0,0,IF(LEN(CR152)=11,_xlfn.XLOOKUP(CR152,'Dispensed Ink Rates'!C:C,'Dispensed Ink Rates'!CS:CS),VLOOKUP(CR152,'Jan-2026 rates'!$E:$F,2,0)))</f>
        <v>0</v>
      </c>
      <c r="DF152" s="409"/>
      <c r="DG152" s="398">
        <f>IF(DF152=0,0,IF(LEN(CS152)=11,_xlfn.XLOOKUP(CS152,'Dispensed Ink Rates'!C:C,'Dispensed Ink Rates'!CS:CS),VLOOKUP(CS152,'Jan-2026 rates'!$E:$F,2,0)))</f>
        <v>0</v>
      </c>
      <c r="DH152" s="409"/>
      <c r="DI152" s="398">
        <f>IF(DH152=0,0,IF(LEN(CT152)=11,_xlfn.XLOOKUP(CT152,'Dispensed Ink Rates'!C:C,'Dispensed Ink Rates'!CS:CS),VLOOKUP(CT152,'Jan-2026 rates'!$E:$F,2,0)))</f>
        <v>0</v>
      </c>
      <c r="DJ152" s="409"/>
      <c r="DK152" s="398">
        <f>IF(DJ152=0,0,IF(LEN(CU152)=11,_xlfn.XLOOKUP(CU152,'Dispensed Ink Rates'!C:C,'Dispensed Ink Rates'!CS:CS),VLOOKUP(CU152,'Jan-2026 rates'!$E:$F,2,0)))</f>
        <v>0</v>
      </c>
      <c r="DL152" s="409" t="s">
        <v>1881</v>
      </c>
      <c r="DM152" s="409">
        <f>20+12</f>
        <v>32</v>
      </c>
      <c r="DN152" s="411">
        <f t="shared" si="112"/>
        <v>0</v>
      </c>
      <c r="DO152" s="411">
        <f t="shared" si="113"/>
        <v>111.475935828877</v>
      </c>
      <c r="DP152" s="410">
        <f t="shared" si="114"/>
        <v>0</v>
      </c>
      <c r="DQ152" s="405" t="s">
        <v>855</v>
      </c>
      <c r="DR152" s="409" t="s">
        <v>2650</v>
      </c>
      <c r="DS152" s="420" t="str">
        <f t="shared" si="56"/>
        <v>ToyoLi - CYAN</v>
      </c>
      <c r="DT152" s="409">
        <v>16</v>
      </c>
      <c r="DU152" s="411">
        <f>IF(DT152=0,0,IF($LB152=70%,VLOOKUP($DS152,'Jan-2026 rates'!$L:$R,4,0),IF($LB152=65%,VLOOKUP($DS152,'Jan-2026 rates'!$L:$R,4,0),IF($LB152=40%,VLOOKUP($DS152,'Jan-2026 rates'!$L:$R,5,0),IF($LB152=30%,VLOOKUP($DS152,'Jan-2026 rates'!$L:$R,6,0),IF($LB152=100%,VLOOKUP($DS152,'Jan-2026 rates'!$L:$R,7,0),IF($LB152=60%,VLOOKUP($DS152,'Jan-2026 rates'!$L:$S,8,0),IF($LB152=80%,VLOOKUP($DS152,'Jan-2026 rates'!L:T,9,0),0))))))))</f>
        <v>0</v>
      </c>
      <c r="DV152" s="412" t="s">
        <v>3472</v>
      </c>
      <c r="DW152" s="409">
        <f>13+16+18+8+16+5+19+15+18+19+17+19+18+12+17+10+20+20+12+14+10+14+11+14+4+12+6</f>
        <v>377</v>
      </c>
      <c r="DX152" s="411">
        <f>IF(DW152=0,0,IF($LB152=70%,VLOOKUP($DS152,'Jan-2026 rates'!$L:$R,4,0),IF($LB152=65%,VLOOKUP($DS152,'Jan-2026 rates'!$L:$R,4,0),IF($LB152=40%,VLOOKUP($DS152,'Jan-2026 rates'!$L:$R,5,0),IF($LB152=30%,VLOOKUP($DS152,'Jan-2026 rates'!$L:$R,6,0),IF($LB152=100%,VLOOKUP($DS152,'Jan-2026 rates'!$L:$R,7,0),IF($LB152=60%,VLOOKUP($DS152,'Jan-2026 rates'!$L:$S,8,0),IF($LB152=80%,VLOOKUP($DS152,'Jan-2026 rates'!L:T,9,0),0))))))))</f>
        <v>0</v>
      </c>
      <c r="DY152" s="413" t="s">
        <v>1921</v>
      </c>
      <c r="DZ152" s="413" t="s">
        <v>1250</v>
      </c>
      <c r="EA152" s="412" t="s">
        <v>1921</v>
      </c>
      <c r="EB152" s="412" t="s">
        <v>1250</v>
      </c>
      <c r="EC152" s="412" t="s">
        <v>1921</v>
      </c>
      <c r="ED152" s="412"/>
      <c r="EE152" s="412"/>
      <c r="EF152" s="412"/>
      <c r="EG152" s="409">
        <v>20</v>
      </c>
      <c r="EH152" s="398">
        <f>IF(EG152=0,0,IF(LEN(DY152)=11,_xlfn.XLOOKUP(DY152,'Dispensed Ink Rates'!C:C,'Dispensed Ink Rates'!CS:CS),VLOOKUP(DY152,'Jan-2026 rates'!$E:$F,2,0)))</f>
        <v>0</v>
      </c>
      <c r="EI152" s="409">
        <f>50+30+40+40</f>
        <v>160</v>
      </c>
      <c r="EJ152" s="398">
        <f>IF(EI152=0,0,IF(LEN(DZ152)=11,_xlfn.XLOOKUP(DZ152,'Dispensed Ink Rates'!C:C,'Dispensed Ink Rates'!CS:CS),VLOOKUP(DZ152,'Jan-2026 rates'!$E:$F,2,0)))</f>
        <v>0</v>
      </c>
      <c r="EK152" s="409">
        <f>60+40+40+40</f>
        <v>180</v>
      </c>
      <c r="EL152" s="398">
        <f>IF(EK152=0,0,IF(LEN(EA152)=11,_xlfn.XLOOKUP(EA152,'Dispensed Ink Rates'!C:C,'Dispensed Ink Rates'!CS:CS),VLOOKUP(EA152,'Jan-2026 rates'!$E:$F,2,0)))</f>
        <v>0</v>
      </c>
      <c r="EM152" s="409">
        <f>60+50</f>
        <v>110</v>
      </c>
      <c r="EN152" s="398">
        <f>IF(EM152=0,0,IF(LEN(EB152)=11,_xlfn.XLOOKUP(EB152,'Dispensed Ink Rates'!C:C,'Dispensed Ink Rates'!CS:CS),VLOOKUP(EB152,'Jan-2026 rates'!$E:$F,2,0)))</f>
        <v>0</v>
      </c>
      <c r="EO152" s="409">
        <f>40+60</f>
        <v>100</v>
      </c>
      <c r="EP152" s="398">
        <f>IF(EO152=0,0,IF(LEN(EC152)=11,_xlfn.XLOOKUP(EC152,'Dispensed Ink Rates'!C:C,'Dispensed Ink Rates'!CS:CS),VLOOKUP(EC152,'Jan-2026 rates'!$E:$F,2,0)))</f>
        <v>0</v>
      </c>
      <c r="EQ152" s="409"/>
      <c r="ER152" s="398">
        <f>IF(EQ152=0,0,IF(LEN(ED152)=11,_xlfn.XLOOKUP(ED152,'Dispensed Ink Rates'!C:C,'Dispensed Ink Rates'!CS:CS),VLOOKUP(ED152,'Jan-2026 rates'!$E:$F,2,0)))</f>
        <v>0</v>
      </c>
      <c r="ES152" s="409"/>
      <c r="ET152" s="398">
        <f>IF(ES152=0,0,IF(LEN(EE152)=11,_xlfn.XLOOKUP(EE152,'Dispensed Ink Rates'!C:C,'Dispensed Ink Rates'!CS:CS),VLOOKUP(EE152,'Jan-2026 rates'!$E:$F,2,0)))</f>
        <v>0</v>
      </c>
      <c r="EU152" s="409"/>
      <c r="EV152" s="398">
        <f>IF(EU152=0,0,IF(LEN(EF152)=11,_xlfn.XLOOKUP(EF152,'Dispensed Ink Rates'!C:C,'Dispensed Ink Rates'!CS:CS),VLOOKUP(EF152,'Jan-2026 rates'!$E:$F,2,0)))</f>
        <v>0</v>
      </c>
      <c r="EW152" s="409" t="s">
        <v>1881</v>
      </c>
      <c r="EX152" s="409">
        <v>14</v>
      </c>
      <c r="EY152" s="411">
        <f t="shared" si="115"/>
        <v>0</v>
      </c>
      <c r="EZ152" s="411">
        <f t="shared" si="116"/>
        <v>1479.9269162210339</v>
      </c>
      <c r="FA152" s="410">
        <f t="shared" si="117"/>
        <v>0</v>
      </c>
      <c r="FB152" s="405" t="s">
        <v>544</v>
      </c>
      <c r="FC152" s="409" t="s">
        <v>3473</v>
      </c>
      <c r="FD152" s="420" t="str">
        <f t="shared" si="57"/>
        <v>ToyoLi - MAGENTA</v>
      </c>
      <c r="FE152" s="409">
        <v>28</v>
      </c>
      <c r="FF152" s="411">
        <f>IF(FE152=0,0,IF($LB152=70%,VLOOKUP($FD152,'Jan-2026 rates'!$L:$R,4,0),IF($LB152=65%,VLOOKUP($FD152,'Jan-2026 rates'!$L:$R,4,0),IF($LB152=40%,VLOOKUP($FD152,'Jan-2026 rates'!$L:$R,5,0),IF($LB152=30%,VLOOKUP($FD152,'Jan-2026 rates'!$L:$R,6,0),IF($LB152=100%,VLOOKUP($FD152,'Jan-2026 rates'!$L:$R,7,0),IF($LB152=60%,VLOOKUP($FD152,'Jan-2026 rates'!$L:$S,8,0),IF($LB152=80%,VLOOKUP($FD152,'Jan-2026 rates'!L:T,9,0),0))))))))</f>
        <v>0</v>
      </c>
      <c r="FG152" s="412"/>
      <c r="FH152" s="409"/>
      <c r="FI152" s="411">
        <f>IF(FH152=0,0,IF($LB152=70%,VLOOKUP($FD152,'Jan-2026 rates'!$L:$R,4,0),IF($LB152=65%,VLOOKUP($FD152,'Jan-2026 rates'!$L:$R,4,0),IF($LB152=40%,VLOOKUP($FD152,'Jan-2026 rates'!$L:$R,5,0),IF($LB152=30%,VLOOKUP($FD152,'Jan-2026 rates'!$L:$R,6,0),IF($LB152=100%,VLOOKUP($FD152,'Jan-2026 rates'!$L:$R,7,0),IF($LB152=60%,VLOOKUP($FD152,'Jan-2026 rates'!$L:$S,8,0),IF($LB152=80%,VLOOKUP($FD152,'Jan-2026 rates'!L:T,9,0),0))))))))</f>
        <v>0</v>
      </c>
      <c r="FJ152" s="413" t="s">
        <v>1246</v>
      </c>
      <c r="FK152" s="413"/>
      <c r="FL152" s="413"/>
      <c r="FM152" s="412"/>
      <c r="FN152" s="412"/>
      <c r="FO152" s="412"/>
      <c r="FP152" s="412"/>
      <c r="FQ152" s="412"/>
      <c r="FR152" s="409">
        <f>5+2</f>
        <v>7</v>
      </c>
      <c r="FS152" s="398">
        <f>IF(FR152=0,0,IF(LEN(FJ152)=11,_xlfn.XLOOKUP(FJ152,'Dispensed Ink Rates'!C:C,'Dispensed Ink Rates'!CS:CS),VLOOKUP(FJ152,'Jan-2026 rates'!$E:$F,2,0)))</f>
        <v>0</v>
      </c>
      <c r="FT152" s="409"/>
      <c r="FU152" s="398">
        <f>IF(FT152=0,0,IF(LEN(FK152)=11,_xlfn.XLOOKUP(FK152,'Dispensed Ink Rates'!C:C,'Dispensed Ink Rates'!CS:CS),VLOOKUP(FK152,'Jan-2026 rates'!$E:$F,2,0)))</f>
        <v>0</v>
      </c>
      <c r="FV152" s="409"/>
      <c r="FW152" s="398">
        <f>IF(FV152=0,0,IF(LEN(FL152)=11,_xlfn.XLOOKUP(FL152,'Dispensed Ink Rates'!C:C,'Dispensed Ink Rates'!CS:CS),VLOOKUP(FL152,'Jan-2026 rates'!$E:$F,2,0)))</f>
        <v>0</v>
      </c>
      <c r="FX152" s="409"/>
      <c r="FY152" s="398">
        <f>IF(FX152=0,0,IF(LEN(FM152)=11,_xlfn.XLOOKUP(FM152,'Dispensed Ink Rates'!C:C,'Dispensed Ink Rates'!CS:CS),VLOOKUP(FM152,'Jan-2026 rates'!$E:$F,2,0)))</f>
        <v>0</v>
      </c>
      <c r="FZ152" s="409"/>
      <c r="GA152" s="398">
        <f>IF(FZ152=0,0,IF(LEN(FN152)=11,_xlfn.XLOOKUP(FN152,'Dispensed Ink Rates'!C:C,'Dispensed Ink Rates'!CS:CS),VLOOKUP(FN152,'Jan-2026 rates'!$E:$F,2,0)))</f>
        <v>0</v>
      </c>
      <c r="GB152" s="409"/>
      <c r="GC152" s="398">
        <f>IF(GB152=0,0,IF(LEN(FO152)=11,_xlfn.XLOOKUP(FO152,'Dispensed Ink Rates'!C:C,'Dispensed Ink Rates'!CS:CS),VLOOKUP(FO152,'Jan-2026 rates'!$E:$F,2,0)))</f>
        <v>0</v>
      </c>
      <c r="GD152" s="409"/>
      <c r="GE152" s="398">
        <f>IF(GD152=0,0,IF(LEN(FP152)=11,_xlfn.XLOOKUP(FP152,'Dispensed Ink Rates'!C:C,'Dispensed Ink Rates'!CS:CS),VLOOKUP(FP152,'Jan-2026 rates'!$E:$F,2,0)))</f>
        <v>0</v>
      </c>
      <c r="GF152" s="409"/>
      <c r="GG152" s="398">
        <f>IF(GF152=0,0,IF(LEN(FQ152)=11,_xlfn.XLOOKUP(FQ152,'Dispensed Ink Rates'!C:C,'Dispensed Ink Rates'!CS:CS),VLOOKUP(FQ152,'Jan-2026 rates'!$E:$F,2,0)))</f>
        <v>0</v>
      </c>
      <c r="GH152" s="409" t="s">
        <v>1881</v>
      </c>
      <c r="GI152" s="409">
        <f>10+12</f>
        <v>22</v>
      </c>
      <c r="GJ152" s="411">
        <f t="shared" si="118"/>
        <v>0</v>
      </c>
      <c r="GK152" s="411">
        <f t="shared" si="119"/>
        <v>24.541889483065951</v>
      </c>
      <c r="GL152" s="410">
        <f t="shared" si="120"/>
        <v>0</v>
      </c>
      <c r="GM152" s="405" t="s">
        <v>545</v>
      </c>
      <c r="GN152" s="409" t="s">
        <v>3474</v>
      </c>
      <c r="GO152" s="420" t="str">
        <f t="shared" si="58"/>
        <v>ToyoLi - YELLOW</v>
      </c>
      <c r="GP152" s="409">
        <v>15</v>
      </c>
      <c r="GQ152" s="411">
        <f>IF(GP152=0,0,IF($LB152=70%,VLOOKUP($GO152,'Jan-2026 rates'!$L:$R,4,0),IF($LB152=65%,VLOOKUP($GO152,'Jan-2026 rates'!$L:$R,4,0),IF($LB152=40%,VLOOKUP($GO152,'Jan-2026 rates'!$L:$R,5,0),IF($LB152=30%,VLOOKUP($GO152,'Jan-2026 rates'!$L:$R,6,0),IF($LB152=100%,VLOOKUP($GO152,'Jan-2026 rates'!$L:$R,7,0),IF($LB152=60%,VLOOKUP($GO152,'Jan-2026 rates'!$L:$S,8,0),IF($LB152=80%,VLOOKUP($GO152,'Jan-2026 rates'!L:T,9,0),0))))))))</f>
        <v>0</v>
      </c>
      <c r="GR152" s="412"/>
      <c r="GS152" s="409"/>
      <c r="GT152" s="411">
        <f>IF(GS152=0,0,IF($LB152=70%,VLOOKUP($GO152,'Jan-2026 rates'!$L:$R,4,0),IF($LB152=65%,VLOOKUP($GO152,'Jan-2026 rates'!$L:$R,4,0),IF($LB152=40%,VLOOKUP($GO152,'Jan-2026 rates'!$L:$R,5,0),IF($LB152=30%,VLOOKUP($GO152,'Jan-2026 rates'!$L:$R,6,0),IF($LB152=100%,VLOOKUP($GO152,'Jan-2026 rates'!$L:$R,7,0),IF($LB152=60%,VLOOKUP($GO152,'Jan-2026 rates'!$L:$S,8,0),IF($LB152=80%,VLOOKUP($GO152,'Jan-2026 rates'!L:T,9,0),0))))))))</f>
        <v>0</v>
      </c>
      <c r="GU152" s="413" t="s">
        <v>1247</v>
      </c>
      <c r="GV152" s="413" t="s">
        <v>1248</v>
      </c>
      <c r="GW152" s="412"/>
      <c r="GX152" s="412"/>
      <c r="GY152" s="412"/>
      <c r="GZ152" s="412"/>
      <c r="HA152" s="412"/>
      <c r="HB152" s="412"/>
      <c r="HC152" s="409">
        <f>20+20+20</f>
        <v>60</v>
      </c>
      <c r="HD152" s="398">
        <f>IF(HC152=0,0,IF(LEN(GU152)=11,_xlfn.XLOOKUP(GU152,'Dispensed Ink Rates'!C:C,'Dispensed Ink Rates'!CS:CS),VLOOKUP(GU152,'Jan-2026 rates'!$E:$F,2,0)))</f>
        <v>0</v>
      </c>
      <c r="HE152" s="409">
        <f>0.1+0.1+0.4+0.1</f>
        <v>0.70000000000000007</v>
      </c>
      <c r="HF152" s="398">
        <f>IF(HE152=0,0,IF(LEN(GV152)=11,_xlfn.XLOOKUP(GV152,'Dispensed Ink Rates'!C:C,'Dispensed Ink Rates'!CS:CS),VLOOKUP(GV152,'Jan-2026 rates'!$E:$F,2,0)))</f>
        <v>0</v>
      </c>
      <c r="HG152" s="409"/>
      <c r="HH152" s="398">
        <f>IF(HG152=0,0,IF(LEN(GW152)=11,_xlfn.XLOOKUP(GW152,'Dispensed Ink Rates'!C:C,'Dispensed Ink Rates'!CS:CS),VLOOKUP(GW152,'Jan-2026 rates'!$E:$F,2,0)))</f>
        <v>0</v>
      </c>
      <c r="HI152" s="409"/>
      <c r="HJ152" s="398">
        <f>IF(HI152=0,0,IF(LEN(GX152)=11,_xlfn.XLOOKUP(GX152,'Dispensed Ink Rates'!C:C,'Dispensed Ink Rates'!CS:CS),VLOOKUP(GX152,'Jan-2026 rates'!$E:$F,2,0)))</f>
        <v>0</v>
      </c>
      <c r="HK152" s="409"/>
      <c r="HL152" s="398">
        <f>IF(HK152=0,0,IF(LEN(GY152)=11,_xlfn.XLOOKUP(GY152,'Dispensed Ink Rates'!C:C,'Dispensed Ink Rates'!CS:CS),VLOOKUP(GY152,'Jan-2026 rates'!$E:$F,2,0)))</f>
        <v>0</v>
      </c>
      <c r="HM152" s="409"/>
      <c r="HN152" s="398">
        <f>IF(HM152=0,0,IF(LEN(GZ152)=11,_xlfn.XLOOKUP(GZ152,'Dispensed Ink Rates'!C:C,'Dispensed Ink Rates'!CS:CS),VLOOKUP(GZ152,'Jan-2026 rates'!$E:$F,2,0)))</f>
        <v>0</v>
      </c>
      <c r="HO152" s="409"/>
      <c r="HP152" s="398">
        <f>IF(HO152=0,0,IF(LEN(HA152)=11,_xlfn.XLOOKUP(HA152,'Dispensed Ink Rates'!C:C,'Dispensed Ink Rates'!CS:CS),VLOOKUP(HA152,'Jan-2026 rates'!$E:$F,2,0)))</f>
        <v>0</v>
      </c>
      <c r="HQ152" s="409"/>
      <c r="HR152" s="398">
        <f>IF(HQ152=0,0,IF(LEN(HB152)=11,_xlfn.XLOOKUP(HB152,'Dispensed Ink Rates'!C:C,'Dispensed Ink Rates'!CS:CS),VLOOKUP(HB152,'Jan-2026 rates'!$E:$F,2,0)))</f>
        <v>0</v>
      </c>
      <c r="HS152" s="409" t="s">
        <v>1881</v>
      </c>
      <c r="HT152" s="409">
        <f>17+8</f>
        <v>25</v>
      </c>
      <c r="HU152" s="411">
        <f t="shared" si="121"/>
        <v>0</v>
      </c>
      <c r="HV152" s="411">
        <f t="shared" si="122"/>
        <v>131.49322638146168</v>
      </c>
      <c r="HW152" s="414">
        <f t="shared" si="123"/>
        <v>0</v>
      </c>
      <c r="HX152" s="405" t="s">
        <v>545</v>
      </c>
      <c r="HY152" s="409" t="s">
        <v>3474</v>
      </c>
      <c r="HZ152" s="420" t="str">
        <f t="shared" si="59"/>
        <v>ToyoLi - YELLOW</v>
      </c>
      <c r="IA152" s="409">
        <v>15</v>
      </c>
      <c r="IB152" s="411">
        <f>IF(IA152=0,0,IF($LB152=70%,VLOOKUP($HZ152,'Jan-2026 rates'!$L:$R,4,0),IF($LB152=65%,VLOOKUP($HZ152,'Jan-2026 rates'!$L:$R,4,0),IF($LB152=40%,VLOOKUP($HZ152,'Jan-2026 rates'!$L:$R,5,0),IF($LB152=30%,VLOOKUP($HZ152,'Jan-2026 rates'!$L:$R,6,0),IF($LB152=100%,VLOOKUP($HZ152,'Jan-2026 rates'!$L:$R,7,0),IF($LB152=60%,VLOOKUP($HZ152,'Jan-2026 rates'!$L:$S,8,0),IF($LB152=80%,VLOOKUP($HZ152,'Jan-2026 rates'!L:T,9,0),0))))))))</f>
        <v>0</v>
      </c>
      <c r="IC152" s="412"/>
      <c r="ID152" s="409"/>
      <c r="IE152" s="411">
        <f>IF(ID152=0,0,IF($LB152=70%,VLOOKUP($HZ152,'Jan-2026 rates'!$L:$R,4,0),IF($LB152=65%,VLOOKUP($HZ152,'Jan-2026 rates'!$L:$R,4,0),IF($LB152=40%,VLOOKUP($HZ152,'Jan-2026 rates'!$L:$R,5,0),IF($LB152=30%,VLOOKUP($HZ152,'Jan-2026 rates'!$L:$R,6,0),IF($LB152=100%,VLOOKUP($HZ152,'Jan-2026 rates'!$L:$R,7,0),IF($LB152=60%,VLOOKUP($HZ152,'Jan-2026 rates'!$L:$S,8,0),IF($LB152=80%,VLOOKUP($HZ152,'Jan-2026 rates'!L:T,9,0),0))))))))</f>
        <v>0</v>
      </c>
      <c r="IF152" s="412" t="s">
        <v>1247</v>
      </c>
      <c r="IG152" s="413"/>
      <c r="IH152" s="412"/>
      <c r="II152" s="412"/>
      <c r="IJ152" s="412"/>
      <c r="IK152" s="412"/>
      <c r="IL152" s="412"/>
      <c r="IM152" s="412"/>
      <c r="IN152" s="409">
        <f>20+20+20+40</f>
        <v>100</v>
      </c>
      <c r="IO152" s="398">
        <f>IF(IN152=0,0,IF(LEN(IF152)=11,_xlfn.XLOOKUP(IF152,'Dispensed Ink Rates'!C:C,'Dispensed Ink Rates'!CS:CS),VLOOKUP(IF152,'Jan-2026 rates'!$E:$F,2,0)))</f>
        <v>0</v>
      </c>
      <c r="IP152" s="409"/>
      <c r="IQ152" s="398">
        <f>IF(IP152=0,0,IF(LEN(IG152)=11,_xlfn.XLOOKUP(IG152,'Dispensed Ink Rates'!C:C,'Dispensed Ink Rates'!CS:CS),VLOOKUP(IG152,'Jan-2026 rates'!$E:$F,2,0)))</f>
        <v>0</v>
      </c>
      <c r="IR152" s="409"/>
      <c r="IS152" s="398">
        <f>IF(IR152=0,0,IF(LEN(IH152)=11,_xlfn.XLOOKUP(IH152,'Dispensed Ink Rates'!C:C,'Dispensed Ink Rates'!CS:CS),VLOOKUP(IH152,'Jan-2026 rates'!$E:$F,2,0)))</f>
        <v>0</v>
      </c>
      <c r="IT152" s="409"/>
      <c r="IU152" s="398">
        <f>IF(IT152=0,0,IF(LEN(II152)=11,_xlfn.XLOOKUP(II152,'Dispensed Ink Rates'!C:C,'Dispensed Ink Rates'!CS:CS),VLOOKUP(II152,'Jan-2026 rates'!$E:$F,2,0)))</f>
        <v>0</v>
      </c>
      <c r="IV152" s="409"/>
      <c r="IW152" s="398">
        <f>IF(IV152=0,0,IF(LEN(IJ152)=11,_xlfn.XLOOKUP(IJ152,'Dispensed Ink Rates'!C:C,'Dispensed Ink Rates'!CS:CS),VLOOKUP(IJ152,'Jan-2026 rates'!$E:$F,2,0)))</f>
        <v>0</v>
      </c>
      <c r="IX152" s="409"/>
      <c r="IY152" s="398">
        <f>IF(IX152=0,0,IF(LEN(IK152)=11,_xlfn.XLOOKUP(IK152,'Dispensed Ink Rates'!C:C,'Dispensed Ink Rates'!CS:CS),VLOOKUP(IK152,'Jan-2026 rates'!$E:$F,2,0)))</f>
        <v>0</v>
      </c>
      <c r="IZ152" s="409"/>
      <c r="JA152" s="398">
        <f>IF(IZ152=0,0,IF(LEN(IL152)=11,_xlfn.XLOOKUP(IL152,'Dispensed Ink Rates'!C:C,'Dispensed Ink Rates'!CS:CS),VLOOKUP(IL152,'Jan-2026 rates'!$E:$F,2,0)))</f>
        <v>0</v>
      </c>
      <c r="JB152" s="409"/>
      <c r="JC152" s="398">
        <f>IF(JB152=0,0,IF(LEN(IM152)=11,_xlfn.XLOOKUP(IM152,'Dispensed Ink Rates'!C:C,'Dispensed Ink Rates'!CS:CS),VLOOKUP(IM152,'Jan-2026 rates'!$E:$F,2,0)))</f>
        <v>0</v>
      </c>
      <c r="JD152" s="409" t="s">
        <v>1881</v>
      </c>
      <c r="JE152" s="409">
        <f>19+5</f>
        <v>24</v>
      </c>
      <c r="JF152" s="411">
        <f t="shared" si="124"/>
        <v>0</v>
      </c>
      <c r="JG152" s="411">
        <f t="shared" si="125"/>
        <v>229.50267379679144</v>
      </c>
      <c r="JH152" s="410">
        <f t="shared" si="126"/>
        <v>0</v>
      </c>
      <c r="JI152" s="405" t="s">
        <v>856</v>
      </c>
      <c r="JJ152" s="409" t="s">
        <v>3475</v>
      </c>
      <c r="JK152" s="420" t="str">
        <f t="shared" si="60"/>
        <v>ToyoLi - WHITE</v>
      </c>
      <c r="JL152" s="409">
        <v>30</v>
      </c>
      <c r="JM152" s="411">
        <f>IF(JL152=0,0,IF($LB152=70%,VLOOKUP($JK152,'Jan-2026 rates'!$L:$R,4,0),IF($LB152=65%,VLOOKUP($JK152,'Jan-2026 rates'!$L:$R,4,0),IF($LB152=40%,VLOOKUP($JK152,'Jan-2026 rates'!$L:$R,5,0),IF($LB152=30%,VLOOKUP($JK152,'Jan-2026 rates'!$L:$R,6,0),IF($LB152=100%,VLOOKUP($JK152,'Jan-2026 rates'!$L:$R,7,0),IF($LB152=60%,VLOOKUP($JK152,'Jan-2026 rates'!$L:$S,8,0),IF($LB152=80%,VLOOKUP($JK152,'Jan-2026 rates'!L:T,9,0),0))))))))</f>
        <v>0</v>
      </c>
      <c r="JN152" s="412"/>
      <c r="JO152" s="409"/>
      <c r="JP152" s="411">
        <f>IF(JO152=0,0,IF($LB152=70%,VLOOKUP($JK152,'Jan-2026 rates'!$L:$R,4,0),IF($LB152=65%,VLOOKUP($JK152,'Jan-2026 rates'!$L:$R,4,0),IF($LB152=40%,VLOOKUP($JK152,'Jan-2026 rates'!$L:$R,5,0),IF($LB152=30%,VLOOKUP($JK152,'Jan-2026 rates'!$L:$R,6,0),IF($LB152=100%,VLOOKUP($JK152,'Jan-2026 rates'!$L:$R,7,0),IF($LB152=60%,VLOOKUP($JK152,'Jan-2026 rates'!$L:$S,8,0),IF($LB152=80%,VLOOKUP($JK152,'Jan-2026 rates'!L:T,9,0),0))))))))</f>
        <v>0</v>
      </c>
      <c r="JQ152" s="413" t="s">
        <v>1249</v>
      </c>
      <c r="JR152" s="412"/>
      <c r="JS152" s="413"/>
      <c r="JT152" s="413"/>
      <c r="JU152" s="412"/>
      <c r="JV152" s="412"/>
      <c r="JW152" s="412"/>
      <c r="JX152" s="412"/>
      <c r="JY152" s="409">
        <f>130+200+200+200+200+200+200+200</f>
        <v>1530</v>
      </c>
      <c r="JZ152" s="398">
        <f>IF(JY152=0,0,IF(LEN(JQ152)=11,_xlfn.XLOOKUP(JQ152,'Dispensed Ink Rates'!C:C,'Dispensed Ink Rates'!CS:CS),VLOOKUP(JQ152,'Jan-2026 rates'!$E:$F,2,0)))</f>
        <v>0</v>
      </c>
      <c r="KA152" s="409"/>
      <c r="KB152" s="398">
        <f>IF(KA152=0,0,IF(LEN(JR152)=11,_xlfn.XLOOKUP(JR152,'Dispensed Ink Rates'!C:C,'Dispensed Ink Rates'!CS:CS),VLOOKUP(JR152,'Jan-2026 rates'!$E:$F,2,0)))</f>
        <v>0</v>
      </c>
      <c r="KC152" s="409"/>
      <c r="KD152" s="398">
        <f>IF(KC152=0,0,IF(LEN(JS152)=11,_xlfn.XLOOKUP(JS152,'Dispensed Ink Rates'!C:C,'Dispensed Ink Rates'!CS:CS),VLOOKUP(JS152,'Jan-2026 rates'!$E:$F,2,0)))</f>
        <v>0</v>
      </c>
      <c r="KE152" s="409"/>
      <c r="KF152" s="398">
        <f>IF(KE152=0,0,IF(LEN(JT152)=11,_xlfn.XLOOKUP(JT152,'Dispensed Ink Rates'!C:C,'Dispensed Ink Rates'!CS:CS),VLOOKUP(JT152,'Jan-2026 rates'!$E:$F,2,0)))</f>
        <v>0</v>
      </c>
      <c r="KG152" s="409"/>
      <c r="KH152" s="398">
        <f>IF(KG152=0,0,IF(LEN(JU152)=11,_xlfn.XLOOKUP(JU152,'Dispensed Ink Rates'!C:C,'Dispensed Ink Rates'!CS:CS),VLOOKUP(JU152,'Jan-2026 rates'!$E:$F,2,0)))</f>
        <v>0</v>
      </c>
      <c r="KI152" s="409"/>
      <c r="KJ152" s="398">
        <f>IF(KI152=0,0,IF(LEN(JV152)=11,_xlfn.XLOOKUP(JV152,'Dispensed Ink Rates'!C:C,'Dispensed Ink Rates'!CS:CS),VLOOKUP(JV152,'Jan-2026 rates'!$E:$F,2,0)))</f>
        <v>0</v>
      </c>
      <c r="KK152" s="409"/>
      <c r="KL152" s="398">
        <f>IF(KK152=0,0,IF(LEN(JW152)=11,_xlfn.XLOOKUP(JW152,'Dispensed Ink Rates'!C:C,'Dispensed Ink Rates'!CS:CS),VLOOKUP(JW152,'Jan-2026 rates'!$E:$F,2,0)))</f>
        <v>0</v>
      </c>
      <c r="KM152" s="428"/>
      <c r="KN152" s="398">
        <f>IF(KM152=0,0,IF(LEN(JX152)=11,_xlfn.XLOOKUP(JX152,'Dispensed Ink Rates'!C:C,'Dispensed Ink Rates'!CS:CS),VLOOKUP(JX152,'Jan-2026 rates'!$E:$F,2,0)))</f>
        <v>0</v>
      </c>
      <c r="KO152" s="409" t="s">
        <v>1881</v>
      </c>
      <c r="KP152" s="409">
        <v>25</v>
      </c>
      <c r="KQ152" s="411">
        <f t="shared" si="127"/>
        <v>0</v>
      </c>
      <c r="KR152" s="411">
        <f t="shared" si="128"/>
        <v>3774.1265597147949</v>
      </c>
      <c r="KS152" s="410">
        <f t="shared" si="129"/>
        <v>0</v>
      </c>
      <c r="KT152" s="409">
        <f>10+12</f>
        <v>22</v>
      </c>
      <c r="KU152" s="409">
        <f>20+50+50+40+40+50+30+60</f>
        <v>340</v>
      </c>
      <c r="KV152" s="409">
        <f>15+6</f>
        <v>21</v>
      </c>
      <c r="KW152" s="409">
        <f>40+30+50+50+30+30</f>
        <v>230</v>
      </c>
      <c r="KX152" s="409">
        <v>5</v>
      </c>
      <c r="KY152" s="409">
        <f>10+15+10</f>
        <v>35</v>
      </c>
      <c r="KZ152" s="409">
        <f>30+30</f>
        <v>60</v>
      </c>
      <c r="LA152" s="409">
        <f>80+80+80+130+600</f>
        <v>970</v>
      </c>
      <c r="LB152" s="415">
        <v>0.3</v>
      </c>
      <c r="LC152" s="415"/>
      <c r="LD152" s="415"/>
      <c r="LE152" s="415">
        <v>0.5</v>
      </c>
      <c r="LF152" s="415">
        <v>0.2</v>
      </c>
      <c r="LG152" s="409">
        <v>0</v>
      </c>
      <c r="LH152" s="409">
        <f>970+910+591+985+5+5+5+5+5+5+5+394</f>
        <v>3885</v>
      </c>
      <c r="LI152" s="409">
        <v>0</v>
      </c>
      <c r="LJ152" s="409">
        <v>0</v>
      </c>
      <c r="LK152" s="416">
        <f t="shared" si="61"/>
        <v>3885</v>
      </c>
      <c r="LL152" s="416">
        <f t="shared" si="62"/>
        <v>3885</v>
      </c>
      <c r="LM152" s="417">
        <f t="shared" si="63"/>
        <v>1165.5</v>
      </c>
      <c r="LN152" s="417">
        <f>VLOOKUP($LM$8,'Jan-2026 rates'!$H:$I,2,0)</f>
        <v>0</v>
      </c>
      <c r="LO152" s="417">
        <f t="shared" si="64"/>
        <v>0</v>
      </c>
      <c r="LP152" s="417">
        <f>VLOOKUP($LO$8,'Jan-2026 rates'!$H:$I,2,0)</f>
        <v>0</v>
      </c>
      <c r="LQ152" s="417">
        <f t="shared" si="65"/>
        <v>0</v>
      </c>
      <c r="LR152" s="417">
        <f>VLOOKUP($LQ$8,'Jan-2026 rates'!$H:$I,2,0)</f>
        <v>0</v>
      </c>
      <c r="LS152" s="417">
        <f t="shared" si="66"/>
        <v>1942.5</v>
      </c>
      <c r="LT152" s="417">
        <f>VLOOKUP($LS$8,'Jan-2026 rates'!$H:$I,2,0)</f>
        <v>0</v>
      </c>
      <c r="LU152" s="417">
        <f t="shared" si="67"/>
        <v>777</v>
      </c>
      <c r="LV152" s="417">
        <f>VLOOKUP($LU$8,'Jan-2026 rates'!$H:$I,2,0)</f>
        <v>0</v>
      </c>
      <c r="LW152" s="417">
        <f t="shared" si="68"/>
        <v>0</v>
      </c>
      <c r="LX152" s="417">
        <f t="shared" si="69"/>
        <v>0</v>
      </c>
      <c r="LY152" s="418">
        <f t="shared" si="70"/>
        <v>0</v>
      </c>
      <c r="LZ152" s="417"/>
      <c r="MA152" s="435">
        <f t="shared" si="71"/>
        <v>2999.7</v>
      </c>
      <c r="MB152" s="282">
        <f t="shared" si="72"/>
        <v>7992.7</v>
      </c>
      <c r="MC152" s="283" t="s">
        <v>1987</v>
      </c>
      <c r="MD152" s="284" t="str">
        <f t="shared" si="73"/>
        <v>ToyoLiToyoLiToyoLiToyoLiToyoLiToyoLiToyoLiToyoLi</v>
      </c>
      <c r="ME152" s="293" t="str">
        <f t="shared" si="74"/>
        <v>+</v>
      </c>
      <c r="MF152" s="293" t="str">
        <f t="shared" si="75"/>
        <v>+</v>
      </c>
      <c r="MG152" s="293" t="str">
        <f t="shared" si="76"/>
        <v>+</v>
      </c>
      <c r="MH152" s="293" t="str">
        <f t="shared" si="77"/>
        <v>+</v>
      </c>
      <c r="MI152" s="293" t="str">
        <f t="shared" si="78"/>
        <v>+</v>
      </c>
      <c r="MJ152" s="293" t="str">
        <f t="shared" si="79"/>
        <v>+</v>
      </c>
      <c r="MK152" s="293" t="str">
        <f t="shared" si="80"/>
        <v>+</v>
      </c>
      <c r="ML152" s="293" t="str">
        <f t="shared" si="81"/>
        <v>+</v>
      </c>
      <c r="MM152" s="3" t="b">
        <f t="array" ref="MM152">OR(ME152:ML152="-")</f>
        <v>0</v>
      </c>
      <c r="MN152" s="285"/>
      <c r="MO152" s="401"/>
      <c r="MP152" s="286"/>
      <c r="MQ152" s="286"/>
      <c r="MR152" s="402"/>
      <c r="MS152" s="400"/>
      <c r="NH152" s="422"/>
      <c r="NJ152" s="421"/>
    </row>
    <row r="153" spans="1:374" s="1" customFormat="1" ht="16.5">
      <c r="A153" s="403">
        <v>46032</v>
      </c>
      <c r="B153" s="404" t="s">
        <v>1018</v>
      </c>
      <c r="C153" s="405" t="s">
        <v>3476</v>
      </c>
      <c r="D153" s="406" t="s">
        <v>1988</v>
      </c>
      <c r="E153" s="404">
        <v>84</v>
      </c>
      <c r="F153" s="407">
        <v>5000</v>
      </c>
      <c r="G153" s="407" t="s">
        <v>1016</v>
      </c>
      <c r="H153" s="408" t="s">
        <v>1017</v>
      </c>
      <c r="I153" s="409">
        <v>2.1</v>
      </c>
      <c r="J153" s="405" t="s">
        <v>543</v>
      </c>
      <c r="K153" s="404" t="s">
        <v>3477</v>
      </c>
      <c r="L153" s="419" t="str">
        <f t="shared" si="54"/>
        <v>ToyoLi - BLACK</v>
      </c>
      <c r="M153" s="404">
        <v>30</v>
      </c>
      <c r="N153" s="410">
        <f>IF(M153=0,0,IF($LB153=70%,VLOOKUP($L153,'Jan-2026 rates'!$L:$R,4,0),IF($LB153=65%,VLOOKUP($L153,'Jan-2026 rates'!$L:$R,4,0),IF($LB153=40%,VLOOKUP($L153,'Jan-2026 rates'!$L:$R,5,0),IF($LB153=30%,VLOOKUP($L153,'Jan-2026 rates'!$L:$R,6,0),IF($LB153=100%,VLOOKUP($L153,'Jan-2026 rates'!$L:$R,7,0),IF($LB153=60%,VLOOKUP($L153,'Jan-2026 rates'!$L:$S,8,0),IF($LB153=80%,VLOOKUP($L153,'Jan-2026 rates'!L:T,9,0),0))))))))</f>
        <v>0</v>
      </c>
      <c r="O153" s="406"/>
      <c r="P153" s="404"/>
      <c r="Q153" s="410">
        <f>IF(P153=0,0,IF($LB153=70%,VLOOKUP($L153,'Jan-2026 rates'!$L:$R,4,0),IF($LB153=65%,VLOOKUP($L153,'Jan-2026 rates'!$L:$R,4,0),IF($LB153=40%,VLOOKUP($L153,'Jan-2026 rates'!$L:$R,5,0),IF($LB153=30%,VLOOKUP($L153,'Jan-2026 rates'!$L:$R,6,0),IF($LB153=100%,VLOOKUP($L153,'Jan-2026 rates'!$L:$R,7,0),IF($LB153=60%,VLOOKUP($L153,'Jan-2026 rates'!$L:$S,8,0),IF($LB153=80%,VLOOKUP($L153,'Jan-2026 rates'!L:T,9,0),0))))))))</f>
        <v>0</v>
      </c>
      <c r="R153" s="406" t="s">
        <v>1252</v>
      </c>
      <c r="S153" s="406"/>
      <c r="T153" s="406"/>
      <c r="U153" s="406"/>
      <c r="V153" s="406"/>
      <c r="W153" s="406"/>
      <c r="X153" s="406"/>
      <c r="Y153" s="406"/>
      <c r="Z153" s="404">
        <v>2</v>
      </c>
      <c r="AA153" s="398">
        <f>IF(Z153=0,0,IF(LEN(R153)=11,_xlfn.XLOOKUP(R153,'Dispensed Ink Rates'!C:C,'Dispensed Ink Rates'!CS:CS),VLOOKUP(R153,'Jan-2026 rates'!$E:$F,2,0)))</f>
        <v>0</v>
      </c>
      <c r="AB153" s="404"/>
      <c r="AC153" s="398">
        <f>IF(AB153=0,0,IF(LEN(S153)=11,_xlfn.XLOOKUP(S153,'Dispensed Ink Rates'!C:C,'Dispensed Ink Rates'!CS:CS),VLOOKUP(S153,'Jan-2026 rates'!$E:$F,2,0)))</f>
        <v>0</v>
      </c>
      <c r="AD153" s="404"/>
      <c r="AE153" s="398">
        <f>IF(AD153=0,0,IF(LEN(T153)=11,_xlfn.XLOOKUP(T153,'Dispensed Ink Rates'!C:C,'Dispensed Ink Rates'!CS:CS),VLOOKUP(T153,'Jan-2026 rates'!$E:$F,2,0)))</f>
        <v>0</v>
      </c>
      <c r="AF153" s="404"/>
      <c r="AG153" s="398">
        <f>IF(AF153=0,0,IF(LEN(U153)=11,_xlfn.XLOOKUP(U153,'Dispensed Ink Rates'!C:C,'Dispensed Ink Rates'!CS:CS),VLOOKUP(U153,'Jan-2026 rates'!$E:$F,2,0)))</f>
        <v>0</v>
      </c>
      <c r="AH153" s="404"/>
      <c r="AI153" s="398">
        <f>IF(AH153=0,0,IF(LEN(V153)=11,_xlfn.XLOOKUP(V153,'Dispensed Ink Rates'!C:C,'Dispensed Ink Rates'!CS:CS),VLOOKUP(V153,'Jan-2026 rates'!$E:$F,2,0)))</f>
        <v>0</v>
      </c>
      <c r="AJ153" s="404"/>
      <c r="AK153" s="398">
        <f>IF(AJ153=0,0,IF(LEN(W153)=11,_xlfn.XLOOKUP(W153,'Dispensed Ink Rates'!C:C,'Dispensed Ink Rates'!CS:CS),VLOOKUP(W153,'Jan-2026 rates'!$E:$F,2,0)))</f>
        <v>0</v>
      </c>
      <c r="AL153" s="404"/>
      <c r="AM153" s="398">
        <f>IF(AL153=0,0,IF(LEN(X153)=11,_xlfn.XLOOKUP(X153,'Dispensed Ink Rates'!C:C,'Dispensed Ink Rates'!CS:CS),VLOOKUP(X153,'Jan-2026 rates'!$E:$F,2,0)))</f>
        <v>0</v>
      </c>
      <c r="AN153" s="404"/>
      <c r="AO153" s="398">
        <f>IF(AN153=0,0,IF(LEN(Y153)=11,_xlfn.XLOOKUP(Y153,'Dispensed Ink Rates'!C:C,'Dispensed Ink Rates'!CS:CS),VLOOKUP(Y153,'Jan-2026 rates'!$E:$F,2,0)))</f>
        <v>0</v>
      </c>
      <c r="AP153" s="409" t="s">
        <v>1881</v>
      </c>
      <c r="AQ153" s="409">
        <v>29</v>
      </c>
      <c r="AR153" s="410">
        <f t="shared" si="106"/>
        <v>0</v>
      </c>
      <c r="AS153" s="411">
        <f t="shared" si="107"/>
        <v>10</v>
      </c>
      <c r="AT153" s="410">
        <f t="shared" si="108"/>
        <v>0</v>
      </c>
      <c r="AU153" s="405" t="s">
        <v>828</v>
      </c>
      <c r="AV153" s="409" t="s">
        <v>3478</v>
      </c>
      <c r="AW153" s="420" t="str">
        <f t="shared" si="130"/>
        <v>ToyoLi - ORANGE</v>
      </c>
      <c r="AX153" s="409">
        <v>8</v>
      </c>
      <c r="AY153" s="411">
        <f>IF(AX153=0,0,IF($LB153=70%,VLOOKUP($AW153,'Jan-2026 rates'!$L:$R,4,0),IF($LB153=65%,VLOOKUP($AW153,'Jan-2026 rates'!$L:$R,4,0),IF($LB153=40%,VLOOKUP($AW153,'Jan-2026 rates'!$L:$R,5,0),IF($LB153=30%,VLOOKUP($AW153,'Jan-2026 rates'!$L:$R,6,0),IF($LB153=100%,VLOOKUP($AW153,'Jan-2026 rates'!$L:$R,7,0),IF($LB153=60%,VLOOKUP($AW153,'Jan-2026 rates'!$L:$S,8,0),IF($LB153=80%,VLOOKUP($AW153,'Jan-2026 rates'!L:T,9,0),0))))))))</f>
        <v>0</v>
      </c>
      <c r="AZ153" s="412" t="s">
        <v>3478</v>
      </c>
      <c r="BA153" s="409">
        <v>5</v>
      </c>
      <c r="BB153" s="411">
        <f>IF(BA153=0,0,IF($LB153=70%,VLOOKUP($AW153,'Jan-2026 rates'!$L:$R,4,0),IF($LB153=65%,VLOOKUP($AW153,'Jan-2026 rates'!$L:$R,4,0),IF($LB153=40%,VLOOKUP($AW153,'Jan-2026 rates'!$L:$R,5,0),IF($LB153=30%,VLOOKUP($AW153,'Jan-2026 rates'!$L:$R,6,0),IF($LB153=100%,VLOOKUP($AW153,'Jan-2026 rates'!$L:$R,7,0),IF($LB153=60%,VLOOKUP($AW153,'Jan-2026 rates'!$L:$S,8,0),IF($LB153=80%,VLOOKUP($AW153,'Jan-2026 rates'!L:T,9,0),0))))))))</f>
        <v>0</v>
      </c>
      <c r="BC153" s="413" t="s">
        <v>1921</v>
      </c>
      <c r="BD153" s="412" t="s">
        <v>1248</v>
      </c>
      <c r="BE153" s="412" t="s">
        <v>1252</v>
      </c>
      <c r="BF153" s="413" t="s">
        <v>1249</v>
      </c>
      <c r="BG153" s="412"/>
      <c r="BH153" s="412"/>
      <c r="BI153" s="412"/>
      <c r="BJ153" s="412"/>
      <c r="BK153" s="409">
        <v>3</v>
      </c>
      <c r="BL153" s="398">
        <f>IF(BK153=0,0,IF(LEN(BC153)=11,_xlfn.XLOOKUP(BC153,'Dispensed Ink Rates'!C:C,'Dispensed Ink Rates'!CS:CS),VLOOKUP(BC153,'Jan-2026 rates'!$E:$F,2,0)))</f>
        <v>0</v>
      </c>
      <c r="BM153" s="409">
        <v>2</v>
      </c>
      <c r="BN153" s="398">
        <f>IF(BM153=0,0,IF(LEN(BD153)=11,_xlfn.XLOOKUP(BD153,'Dispensed Ink Rates'!C:C,'Dispensed Ink Rates'!CS:CS),VLOOKUP(BD153,'Jan-2026 rates'!$E:$F,2,0)))</f>
        <v>0</v>
      </c>
      <c r="BO153" s="409">
        <v>0.3</v>
      </c>
      <c r="BP153" s="398">
        <f>IF(BO153=0,0,IF(LEN(BE153)=11,_xlfn.XLOOKUP(BE153,'Dispensed Ink Rates'!C:C,'Dispensed Ink Rates'!CS:CS),VLOOKUP(BE153,'Jan-2026 rates'!$E:$F,2,0)))</f>
        <v>0</v>
      </c>
      <c r="BQ153" s="409">
        <v>5</v>
      </c>
      <c r="BR153" s="398">
        <f>IF(BQ153=0,0,IF(LEN(BF153)=11,_xlfn.XLOOKUP(BF153,'Dispensed Ink Rates'!C:C,'Dispensed Ink Rates'!CS:CS),VLOOKUP(BF153,'Jan-2026 rates'!$E:$F,2,0)))</f>
        <v>0</v>
      </c>
      <c r="BS153" s="409"/>
      <c r="BT153" s="398">
        <f>IF(BS153=0,0,IF(LEN(BG153)=11,_xlfn.XLOOKUP(BG153,'Dispensed Ink Rates'!C:C,'Dispensed Ink Rates'!CS:CS),VLOOKUP(BG153,'Jan-2026 rates'!$E:$F,2,0)))</f>
        <v>0</v>
      </c>
      <c r="BU153" s="409"/>
      <c r="BV153" s="398">
        <f>IF(BU153=0,0,IF(LEN(BH153)=11,_xlfn.XLOOKUP(BH153,'Dispensed Ink Rates'!C:C,'Dispensed Ink Rates'!CS:CS),VLOOKUP(BH153,'Jan-2026 rates'!$E:$F,2,0)))</f>
        <v>0</v>
      </c>
      <c r="BW153" s="409"/>
      <c r="BX153" s="398">
        <f>IF(BW153=0,0,IF(LEN(BI153)=11,_xlfn.XLOOKUP(BI153,'Dispensed Ink Rates'!C:C,'Dispensed Ink Rates'!CS:CS),VLOOKUP(BI153,'Jan-2026 rates'!$E:$F,2,0)))</f>
        <v>0</v>
      </c>
      <c r="BY153" s="409"/>
      <c r="BZ153" s="398">
        <f>IF(BY153=0,0,IF(LEN(BJ153)=11,_xlfn.XLOOKUP(BJ153,'Dispensed Ink Rates'!C:C,'Dispensed Ink Rates'!CS:CS),VLOOKUP(BJ153,'Jan-2026 rates'!$E:$F,2,0)))</f>
        <v>0</v>
      </c>
      <c r="CA153" s="409" t="s">
        <v>1881</v>
      </c>
      <c r="CB153" s="409">
        <v>21</v>
      </c>
      <c r="CC153" s="411">
        <f t="shared" si="109"/>
        <v>0</v>
      </c>
      <c r="CD153" s="411">
        <f t="shared" si="110"/>
        <v>19.799999999999997</v>
      </c>
      <c r="CE153" s="410">
        <f t="shared" si="111"/>
        <v>0</v>
      </c>
      <c r="CF153" s="404" t="s">
        <v>856</v>
      </c>
      <c r="CG153" s="409" t="s">
        <v>3479</v>
      </c>
      <c r="CH153" s="420" t="str">
        <f t="shared" si="55"/>
        <v>ToyoLi - WHITE</v>
      </c>
      <c r="CI153" s="409">
        <v>25</v>
      </c>
      <c r="CJ153" s="411">
        <f>IF(CI153=0,0,IF($LB153=70%,VLOOKUP($CH153,'Jan-2026 rates'!$L:$R,4,0),IF($LB153=65%,VLOOKUP($CH153,'Jan-2026 rates'!$L:$R,4,0),IF($LB153=40%,VLOOKUP($CH153,'Jan-2026 rates'!$L:$R,5,0),IF($LB153=30%,VLOOKUP($CH153,'Jan-2026 rates'!$L:$R,6,0),IF($LB153=100%,VLOOKUP($CH153,'Jan-2026 rates'!$L:$R,7,0),IF($LB153=60%,VLOOKUP($CH153,'Jan-2026 rates'!$L:$S,8,0),IF($LB153=80%,VLOOKUP($CH153,'Jan-2026 rates'!L:T,9,0),0))))))))</f>
        <v>0</v>
      </c>
      <c r="CK153" s="412"/>
      <c r="CL153" s="409"/>
      <c r="CM153" s="411">
        <f>IF(CL153=0,0,IF($LB153=70%,VLOOKUP($CH153,'Jan-2026 rates'!$L:$R,4,0),IF($LB153=65%,VLOOKUP($CH153,'Jan-2026 rates'!$L:$R,4,0),IF($LB153=40%,VLOOKUP($CH153,'Jan-2026 rates'!$L:$R,5,0),IF($LB153=30%,VLOOKUP($CH153,'Jan-2026 rates'!$L:$R,6,0),IF($LB153=100%,VLOOKUP($CH153,'Jan-2026 rates'!$L:$R,7,0),IF($LB153=60%,VLOOKUP($CH153,'Jan-2026 rates'!$L:$S,8,0),IF($LB153=80%,VLOOKUP($CH153,'Jan-2026 rates'!L:T,9,0),0))))))))</f>
        <v>0</v>
      </c>
      <c r="CN153" s="426" t="s">
        <v>1249</v>
      </c>
      <c r="CO153" s="427"/>
      <c r="CP153" s="426"/>
      <c r="CQ153" s="426"/>
      <c r="CR153" s="428"/>
      <c r="CS153" s="428"/>
      <c r="CT153" s="428"/>
      <c r="CU153" s="428"/>
      <c r="CV153" s="409">
        <v>15</v>
      </c>
      <c r="CW153" s="398">
        <f>IF(CV153=0,0,IF(LEN(CN153)=11,_xlfn.XLOOKUP(CN153,'Dispensed Ink Rates'!C:C,'Dispensed Ink Rates'!CS:CS),VLOOKUP(CN153,'Jan-2026 rates'!$E:$F,2,0)))</f>
        <v>0</v>
      </c>
      <c r="CX153" s="409"/>
      <c r="CY153" s="398">
        <f>IF(CX153=0,0,IF(LEN(CO153)=11,_xlfn.XLOOKUP(CO153,'Dispensed Ink Rates'!C:C,'Dispensed Ink Rates'!CS:CS),VLOOKUP(CO153,'Jan-2026 rates'!$E:$F,2,0)))</f>
        <v>0</v>
      </c>
      <c r="CZ153" s="409"/>
      <c r="DA153" s="398">
        <f>IF(CZ153=0,0,IF(LEN(CP153)=11,_xlfn.XLOOKUP(CP153,'Dispensed Ink Rates'!C:C,'Dispensed Ink Rates'!CS:CS),VLOOKUP(CP153,'Jan-2026 rates'!$E:$F,2,0)))</f>
        <v>0</v>
      </c>
      <c r="DB153" s="409"/>
      <c r="DC153" s="398">
        <f>IF(DB153=0,0,IF(LEN(CQ153)=11,_xlfn.XLOOKUP(CQ153,'Dispensed Ink Rates'!C:C,'Dispensed Ink Rates'!CS:CS),VLOOKUP(CQ153,'Jan-2026 rates'!$E:$F,2,0)))</f>
        <v>0</v>
      </c>
      <c r="DD153" s="409"/>
      <c r="DE153" s="398">
        <f>IF(DD153=0,0,IF(LEN(CR153)=11,_xlfn.XLOOKUP(CR153,'Dispensed Ink Rates'!C:C,'Dispensed Ink Rates'!CS:CS),VLOOKUP(CR153,'Jan-2026 rates'!$E:$F,2,0)))</f>
        <v>0</v>
      </c>
      <c r="DF153" s="409"/>
      <c r="DG153" s="398">
        <f>IF(DF153=0,0,IF(LEN(CS153)=11,_xlfn.XLOOKUP(CS153,'Dispensed Ink Rates'!C:C,'Dispensed Ink Rates'!CS:CS),VLOOKUP(CS153,'Jan-2026 rates'!$E:$F,2,0)))</f>
        <v>0</v>
      </c>
      <c r="DH153" s="409"/>
      <c r="DI153" s="398">
        <f>IF(DH153=0,0,IF(LEN(CT153)=11,_xlfn.XLOOKUP(CT153,'Dispensed Ink Rates'!C:C,'Dispensed Ink Rates'!CS:CS),VLOOKUP(CT153,'Jan-2026 rates'!$E:$F,2,0)))</f>
        <v>0</v>
      </c>
      <c r="DJ153" s="409"/>
      <c r="DK153" s="398">
        <f>IF(DJ153=0,0,IF(LEN(CU153)=11,_xlfn.XLOOKUP(CU153,'Dispensed Ink Rates'!C:C,'Dispensed Ink Rates'!CS:CS),VLOOKUP(CU153,'Jan-2026 rates'!$E:$F,2,0)))</f>
        <v>0</v>
      </c>
      <c r="DL153" s="409" t="s">
        <v>1881</v>
      </c>
      <c r="DM153" s="409">
        <v>18</v>
      </c>
      <c r="DN153" s="411">
        <f t="shared" si="112"/>
        <v>0</v>
      </c>
      <c r="DO153" s="411">
        <f t="shared" si="113"/>
        <v>29</v>
      </c>
      <c r="DP153" s="410">
        <f t="shared" si="114"/>
        <v>0</v>
      </c>
      <c r="DQ153" s="405" t="s">
        <v>856</v>
      </c>
      <c r="DR153" s="409"/>
      <c r="DS153" s="420" t="str">
        <f t="shared" si="56"/>
        <v>ToyoLi - WHITE</v>
      </c>
      <c r="DT153" s="409"/>
      <c r="DU153" s="411">
        <f>IF(DT153=0,0,IF($LB153=70%,VLOOKUP($DS153,'Jan-2026 rates'!$L:$R,4,0),IF($LB153=65%,VLOOKUP($DS153,'Jan-2026 rates'!$L:$R,4,0),IF($LB153=40%,VLOOKUP($DS153,'Jan-2026 rates'!$L:$R,5,0),IF($LB153=30%,VLOOKUP($DS153,'Jan-2026 rates'!$L:$R,6,0),IF($LB153=100%,VLOOKUP($DS153,'Jan-2026 rates'!$L:$R,7,0),IF($LB153=60%,VLOOKUP($DS153,'Jan-2026 rates'!$L:$S,8,0),IF($LB153=80%,VLOOKUP($DS153,'Jan-2026 rates'!L:T,9,0),0))))))))</f>
        <v>0</v>
      </c>
      <c r="DV153" s="412"/>
      <c r="DW153" s="409"/>
      <c r="DX153" s="411">
        <f>IF(DW153=0,0,IF($LB153=70%,VLOOKUP($DS153,'Jan-2026 rates'!$L:$R,4,0),IF($LB153=65%,VLOOKUP($DS153,'Jan-2026 rates'!$L:$R,4,0),IF($LB153=40%,VLOOKUP($DS153,'Jan-2026 rates'!$L:$R,5,0),IF($LB153=30%,VLOOKUP($DS153,'Jan-2026 rates'!$L:$R,6,0),IF($LB153=100%,VLOOKUP($DS153,'Jan-2026 rates'!$L:$R,7,0),IF($LB153=60%,VLOOKUP($DS153,'Jan-2026 rates'!$L:$S,8,0),IF($LB153=80%,VLOOKUP($DS153,'Jan-2026 rates'!L:T,9,0),0))))))))</f>
        <v>0</v>
      </c>
      <c r="DY153" s="413" t="s">
        <v>1249</v>
      </c>
      <c r="DZ153" s="413" t="s">
        <v>1122</v>
      </c>
      <c r="EA153" s="412"/>
      <c r="EB153" s="412"/>
      <c r="EC153" s="412"/>
      <c r="ED153" s="412"/>
      <c r="EE153" s="412"/>
      <c r="EF153" s="412"/>
      <c r="EG153" s="409">
        <v>40</v>
      </c>
      <c r="EH153" s="398">
        <f>IF(EG153=0,0,IF(LEN(DY153)=11,_xlfn.XLOOKUP(DY153,'Dispensed Ink Rates'!C:C,'Dispensed Ink Rates'!CS:CS),VLOOKUP(DY153,'Jan-2026 rates'!$E:$F,2,0)))</f>
        <v>0</v>
      </c>
      <c r="EI153" s="409">
        <v>3.03</v>
      </c>
      <c r="EJ153" s="398">
        <f>IF(EI153=0,0,IF(LEN(DZ153)=11,_xlfn.XLOOKUP(DZ153,'Dispensed Ink Rates'!C:C,'Dispensed Ink Rates'!CS:CS),VLOOKUP(DZ153,'Jan-2026 rates'!$E:$F,2,0)))</f>
        <v>0</v>
      </c>
      <c r="EK153" s="409"/>
      <c r="EL153" s="398">
        <f>IF(EK153=0,0,IF(LEN(EA153)=11,_xlfn.XLOOKUP(EA153,'Dispensed Ink Rates'!C:C,'Dispensed Ink Rates'!CS:CS),VLOOKUP(EA153,'Jan-2026 rates'!$E:$F,2,0)))</f>
        <v>0</v>
      </c>
      <c r="EM153" s="409"/>
      <c r="EN153" s="398">
        <f>IF(EM153=0,0,IF(LEN(EB153)=11,_xlfn.XLOOKUP(EB153,'Dispensed Ink Rates'!C:C,'Dispensed Ink Rates'!CS:CS),VLOOKUP(EB153,'Jan-2026 rates'!$E:$F,2,0)))</f>
        <v>0</v>
      </c>
      <c r="EO153" s="409"/>
      <c r="EP153" s="398">
        <f>IF(EO153=0,0,IF(LEN(EC153)=11,_xlfn.XLOOKUP(EC153,'Dispensed Ink Rates'!C:C,'Dispensed Ink Rates'!CS:CS),VLOOKUP(EC153,'Jan-2026 rates'!$E:$F,2,0)))</f>
        <v>0</v>
      </c>
      <c r="EQ153" s="409"/>
      <c r="ER153" s="398">
        <f>IF(EQ153=0,0,IF(LEN(ED153)=11,_xlfn.XLOOKUP(ED153,'Dispensed Ink Rates'!C:C,'Dispensed Ink Rates'!CS:CS),VLOOKUP(ED153,'Jan-2026 rates'!$E:$F,2,0)))</f>
        <v>0</v>
      </c>
      <c r="ES153" s="409"/>
      <c r="ET153" s="398">
        <f>IF(ES153=0,0,IF(LEN(EE153)=11,_xlfn.XLOOKUP(EE153,'Dispensed Ink Rates'!C:C,'Dispensed Ink Rates'!CS:CS),VLOOKUP(EE153,'Jan-2026 rates'!$E:$F,2,0)))</f>
        <v>0</v>
      </c>
      <c r="EU153" s="409"/>
      <c r="EV153" s="398">
        <f>IF(EU153=0,0,IF(LEN(EF153)=11,_xlfn.XLOOKUP(EF153,'Dispensed Ink Rates'!C:C,'Dispensed Ink Rates'!CS:CS),VLOOKUP(EF153,'Jan-2026 rates'!$E:$F,2,0)))</f>
        <v>0</v>
      </c>
      <c r="EW153" s="409" t="s">
        <v>1881</v>
      </c>
      <c r="EX153" s="409">
        <v>27</v>
      </c>
      <c r="EY153" s="411">
        <f t="shared" si="115"/>
        <v>0</v>
      </c>
      <c r="EZ153" s="411">
        <f t="shared" si="116"/>
        <v>68.53</v>
      </c>
      <c r="FA153" s="410">
        <f t="shared" si="117"/>
        <v>0</v>
      </c>
      <c r="FB153" s="405"/>
      <c r="FC153" s="409"/>
      <c r="FD153" s="420" t="str">
        <f t="shared" si="57"/>
        <v xml:space="preserve"> - </v>
      </c>
      <c r="FE153" s="409"/>
      <c r="FF153" s="411">
        <f>IF(FE153=0,0,IF($LB153=70%,VLOOKUP($FD153,'Jan-2026 rates'!$L:$R,4,0),IF($LB153=65%,VLOOKUP($FD153,'Jan-2026 rates'!$L:$R,4,0),IF($LB153=40%,VLOOKUP($FD153,'Jan-2026 rates'!$L:$R,5,0),IF($LB153=30%,VLOOKUP($FD153,'Jan-2026 rates'!$L:$R,6,0),IF($LB153=100%,VLOOKUP($FD153,'Jan-2026 rates'!$L:$R,7,0),IF($LB153=60%,VLOOKUP($FD153,'Jan-2026 rates'!$L:$S,8,0),IF($LB153=80%,VLOOKUP($FD153,'Jan-2026 rates'!L:T,9,0),0))))))))</f>
        <v>0</v>
      </c>
      <c r="FG153" s="412"/>
      <c r="FH153" s="409"/>
      <c r="FI153" s="411">
        <f>IF(FH153=0,0,IF($LB153=70%,VLOOKUP($FD153,'Jan-2026 rates'!$L:$R,4,0),IF($LB153=65%,VLOOKUP($FD153,'Jan-2026 rates'!$L:$R,4,0),IF($LB153=40%,VLOOKUP($FD153,'Jan-2026 rates'!$L:$R,5,0),IF($LB153=30%,VLOOKUP($FD153,'Jan-2026 rates'!$L:$R,6,0),IF($LB153=100%,VLOOKUP($FD153,'Jan-2026 rates'!$L:$R,7,0),IF($LB153=60%,VLOOKUP($FD153,'Jan-2026 rates'!$L:$S,8,0),IF($LB153=80%,VLOOKUP($FD153,'Jan-2026 rates'!L:T,9,0),0))))))))</f>
        <v>0</v>
      </c>
      <c r="FJ153" s="413"/>
      <c r="FK153" s="413"/>
      <c r="FL153" s="413"/>
      <c r="FM153" s="412"/>
      <c r="FN153" s="412"/>
      <c r="FO153" s="412"/>
      <c r="FP153" s="412"/>
      <c r="FQ153" s="412"/>
      <c r="FR153" s="409"/>
      <c r="FS153" s="398">
        <f>IF(FR153=0,0,IF(LEN(FJ153)=11,_xlfn.XLOOKUP(FJ153,'Dispensed Ink Rates'!C:C,'Dispensed Ink Rates'!CS:CS),VLOOKUP(FJ153,'Jan-2026 rates'!$E:$F,2,0)))</f>
        <v>0</v>
      </c>
      <c r="FT153" s="409"/>
      <c r="FU153" s="398">
        <f>IF(FT153=0,0,IF(LEN(FK153)=11,_xlfn.XLOOKUP(FK153,'Dispensed Ink Rates'!C:C,'Dispensed Ink Rates'!CS:CS),VLOOKUP(FK153,'Jan-2026 rates'!$E:$F,2,0)))</f>
        <v>0</v>
      </c>
      <c r="FV153" s="409"/>
      <c r="FW153" s="398">
        <f>IF(FV153=0,0,IF(LEN(FL153)=11,_xlfn.XLOOKUP(FL153,'Dispensed Ink Rates'!C:C,'Dispensed Ink Rates'!CS:CS),VLOOKUP(FL153,'Jan-2026 rates'!$E:$F,2,0)))</f>
        <v>0</v>
      </c>
      <c r="FX153" s="409"/>
      <c r="FY153" s="398">
        <f>IF(FX153=0,0,IF(LEN(FM153)=11,_xlfn.XLOOKUP(FM153,'Dispensed Ink Rates'!C:C,'Dispensed Ink Rates'!CS:CS),VLOOKUP(FM153,'Jan-2026 rates'!$E:$F,2,0)))</f>
        <v>0</v>
      </c>
      <c r="FZ153" s="409"/>
      <c r="GA153" s="398">
        <f>IF(FZ153=0,0,IF(LEN(FN153)=11,_xlfn.XLOOKUP(FN153,'Dispensed Ink Rates'!C:C,'Dispensed Ink Rates'!CS:CS),VLOOKUP(FN153,'Jan-2026 rates'!$E:$F,2,0)))</f>
        <v>0</v>
      </c>
      <c r="GB153" s="409"/>
      <c r="GC153" s="398">
        <f>IF(GB153=0,0,IF(LEN(FO153)=11,_xlfn.XLOOKUP(FO153,'Dispensed Ink Rates'!C:C,'Dispensed Ink Rates'!CS:CS),VLOOKUP(FO153,'Jan-2026 rates'!$E:$F,2,0)))</f>
        <v>0</v>
      </c>
      <c r="GD153" s="409"/>
      <c r="GE153" s="398">
        <f>IF(GD153=0,0,IF(LEN(FP153)=11,_xlfn.XLOOKUP(FP153,'Dispensed Ink Rates'!C:C,'Dispensed Ink Rates'!CS:CS),VLOOKUP(FP153,'Jan-2026 rates'!$E:$F,2,0)))</f>
        <v>0</v>
      </c>
      <c r="GF153" s="409"/>
      <c r="GG153" s="398">
        <f>IF(GF153=0,0,IF(LEN(FQ153)=11,_xlfn.XLOOKUP(FQ153,'Dispensed Ink Rates'!C:C,'Dispensed Ink Rates'!CS:CS),VLOOKUP(FQ153,'Jan-2026 rates'!$E:$F,2,0)))</f>
        <v>0</v>
      </c>
      <c r="GH153" s="409"/>
      <c r="GI153" s="409"/>
      <c r="GJ153" s="411">
        <f t="shared" si="118"/>
        <v>0</v>
      </c>
      <c r="GK153" s="411">
        <f t="shared" si="119"/>
        <v>0</v>
      </c>
      <c r="GL153" s="410">
        <f t="shared" si="120"/>
        <v>0</v>
      </c>
      <c r="GM153" s="405"/>
      <c r="GN153" s="409"/>
      <c r="GO153" s="420" t="str">
        <f t="shared" si="58"/>
        <v xml:space="preserve"> - </v>
      </c>
      <c r="GP153" s="409"/>
      <c r="GQ153" s="411">
        <f>IF(GP153=0,0,IF($LB153=70%,VLOOKUP($GO153,'Jan-2026 rates'!$L:$R,4,0),IF($LB153=65%,VLOOKUP($GO153,'Jan-2026 rates'!$L:$R,4,0),IF($LB153=40%,VLOOKUP($GO153,'Jan-2026 rates'!$L:$R,5,0),IF($LB153=30%,VLOOKUP($GO153,'Jan-2026 rates'!$L:$R,6,0),IF($LB153=100%,VLOOKUP($GO153,'Jan-2026 rates'!$L:$R,7,0),IF($LB153=60%,VLOOKUP($GO153,'Jan-2026 rates'!$L:$S,8,0),IF($LB153=80%,VLOOKUP($GO153,'Jan-2026 rates'!L:T,9,0),0))))))))</f>
        <v>0</v>
      </c>
      <c r="GR153" s="412"/>
      <c r="GS153" s="409"/>
      <c r="GT153" s="411">
        <f>IF(GS153=0,0,IF($LB153=70%,VLOOKUP($GO153,'Jan-2026 rates'!$L:$R,4,0),IF($LB153=65%,VLOOKUP($GO153,'Jan-2026 rates'!$L:$R,4,0),IF($LB153=40%,VLOOKUP($GO153,'Jan-2026 rates'!$L:$R,5,0),IF($LB153=30%,VLOOKUP($GO153,'Jan-2026 rates'!$L:$R,6,0),IF($LB153=100%,VLOOKUP($GO153,'Jan-2026 rates'!$L:$R,7,0),IF($LB153=60%,VLOOKUP($GO153,'Jan-2026 rates'!$L:$S,8,0),IF($LB153=80%,VLOOKUP($GO153,'Jan-2026 rates'!L:T,9,0),0))))))))</f>
        <v>0</v>
      </c>
      <c r="GU153" s="413"/>
      <c r="GV153" s="413"/>
      <c r="GW153" s="412"/>
      <c r="GX153" s="412"/>
      <c r="GY153" s="412"/>
      <c r="GZ153" s="412"/>
      <c r="HA153" s="412"/>
      <c r="HB153" s="412"/>
      <c r="HC153" s="409"/>
      <c r="HD153" s="398">
        <f>IF(HC153=0,0,IF(LEN(GU153)=11,_xlfn.XLOOKUP(GU153,'Dispensed Ink Rates'!C:C,'Dispensed Ink Rates'!CS:CS),VLOOKUP(GU153,'Jan-2026 rates'!$E:$F,2,0)))</f>
        <v>0</v>
      </c>
      <c r="HE153" s="409"/>
      <c r="HF153" s="398">
        <f>IF(HE153=0,0,IF(LEN(GV153)=11,_xlfn.XLOOKUP(GV153,'Dispensed Ink Rates'!C:C,'Dispensed Ink Rates'!CS:CS),VLOOKUP(GV153,'Jan-2026 rates'!$E:$F,2,0)))</f>
        <v>0</v>
      </c>
      <c r="HG153" s="409"/>
      <c r="HH153" s="398">
        <f>IF(HG153=0,0,IF(LEN(GW153)=11,_xlfn.XLOOKUP(GW153,'Dispensed Ink Rates'!C:C,'Dispensed Ink Rates'!CS:CS),VLOOKUP(GW153,'Jan-2026 rates'!$E:$F,2,0)))</f>
        <v>0</v>
      </c>
      <c r="HI153" s="409"/>
      <c r="HJ153" s="398">
        <f>IF(HI153=0,0,IF(LEN(GX153)=11,_xlfn.XLOOKUP(GX153,'Dispensed Ink Rates'!C:C,'Dispensed Ink Rates'!CS:CS),VLOOKUP(GX153,'Jan-2026 rates'!$E:$F,2,0)))</f>
        <v>0</v>
      </c>
      <c r="HK153" s="409"/>
      <c r="HL153" s="398">
        <f>IF(HK153=0,0,IF(LEN(GY153)=11,_xlfn.XLOOKUP(GY153,'Dispensed Ink Rates'!C:C,'Dispensed Ink Rates'!CS:CS),VLOOKUP(GY153,'Jan-2026 rates'!$E:$F,2,0)))</f>
        <v>0</v>
      </c>
      <c r="HM153" s="409"/>
      <c r="HN153" s="398">
        <f>IF(HM153=0,0,IF(LEN(GZ153)=11,_xlfn.XLOOKUP(GZ153,'Dispensed Ink Rates'!C:C,'Dispensed Ink Rates'!CS:CS),VLOOKUP(GZ153,'Jan-2026 rates'!$E:$F,2,0)))</f>
        <v>0</v>
      </c>
      <c r="HO153" s="409"/>
      <c r="HP153" s="398">
        <f>IF(HO153=0,0,IF(LEN(HA153)=11,_xlfn.XLOOKUP(HA153,'Dispensed Ink Rates'!C:C,'Dispensed Ink Rates'!CS:CS),VLOOKUP(HA153,'Jan-2026 rates'!$E:$F,2,0)))</f>
        <v>0</v>
      </c>
      <c r="HQ153" s="409"/>
      <c r="HR153" s="398">
        <f>IF(HQ153=0,0,IF(LEN(HB153)=11,_xlfn.XLOOKUP(HB153,'Dispensed Ink Rates'!C:C,'Dispensed Ink Rates'!CS:CS),VLOOKUP(HB153,'Jan-2026 rates'!$E:$F,2,0)))</f>
        <v>0</v>
      </c>
      <c r="HS153" s="409"/>
      <c r="HT153" s="409"/>
      <c r="HU153" s="411">
        <f t="shared" si="121"/>
        <v>0</v>
      </c>
      <c r="HV153" s="411">
        <f t="shared" si="122"/>
        <v>0</v>
      </c>
      <c r="HW153" s="414">
        <f t="shared" si="123"/>
        <v>0</v>
      </c>
      <c r="HX153" s="405"/>
      <c r="HY153" s="409"/>
      <c r="HZ153" s="420" t="str">
        <f t="shared" si="59"/>
        <v xml:space="preserve"> - </v>
      </c>
      <c r="IA153" s="409"/>
      <c r="IB153" s="411">
        <f>IF(IA153=0,0,IF($LB153=70%,VLOOKUP($HZ153,'Jan-2026 rates'!$L:$R,4,0),IF($LB153=65%,VLOOKUP($HZ153,'Jan-2026 rates'!$L:$R,4,0),IF($LB153=40%,VLOOKUP($HZ153,'Jan-2026 rates'!$L:$R,5,0),IF($LB153=30%,VLOOKUP($HZ153,'Jan-2026 rates'!$L:$R,6,0),IF($LB153=100%,VLOOKUP($HZ153,'Jan-2026 rates'!$L:$R,7,0),IF($LB153=60%,VLOOKUP($HZ153,'Jan-2026 rates'!$L:$S,8,0),IF($LB153=80%,VLOOKUP($HZ153,'Jan-2026 rates'!L:T,9,0),0))))))))</f>
        <v>0</v>
      </c>
      <c r="IC153" s="412"/>
      <c r="ID153" s="409"/>
      <c r="IE153" s="411">
        <f>IF(ID153=0,0,IF($LB153=70%,VLOOKUP($HZ153,'Jan-2026 rates'!$L:$R,4,0),IF($LB153=65%,VLOOKUP($HZ153,'Jan-2026 rates'!$L:$R,4,0),IF($LB153=40%,VLOOKUP($HZ153,'Jan-2026 rates'!$L:$R,5,0),IF($LB153=30%,VLOOKUP($HZ153,'Jan-2026 rates'!$L:$R,6,0),IF($LB153=100%,VLOOKUP($HZ153,'Jan-2026 rates'!$L:$R,7,0),IF($LB153=60%,VLOOKUP($HZ153,'Jan-2026 rates'!$L:$S,8,0),IF($LB153=80%,VLOOKUP($HZ153,'Jan-2026 rates'!L:T,9,0),0))))))))</f>
        <v>0</v>
      </c>
      <c r="IF153" s="412"/>
      <c r="IG153" s="413"/>
      <c r="IH153" s="412"/>
      <c r="II153" s="412"/>
      <c r="IJ153" s="412"/>
      <c r="IK153" s="412"/>
      <c r="IL153" s="412"/>
      <c r="IM153" s="412"/>
      <c r="IN153" s="409"/>
      <c r="IO153" s="398">
        <f>IF(IN153=0,0,IF(LEN(IF153)=11,_xlfn.XLOOKUP(IF153,'Dispensed Ink Rates'!C:C,'Dispensed Ink Rates'!CS:CS),VLOOKUP(IF153,'Jan-2026 rates'!$E:$F,2,0)))</f>
        <v>0</v>
      </c>
      <c r="IP153" s="409"/>
      <c r="IQ153" s="398">
        <f>IF(IP153=0,0,IF(LEN(IG153)=11,_xlfn.XLOOKUP(IG153,'Dispensed Ink Rates'!C:C,'Dispensed Ink Rates'!CS:CS),VLOOKUP(IG153,'Jan-2026 rates'!$E:$F,2,0)))</f>
        <v>0</v>
      </c>
      <c r="IR153" s="409"/>
      <c r="IS153" s="398">
        <f>IF(IR153=0,0,IF(LEN(IH153)=11,_xlfn.XLOOKUP(IH153,'Dispensed Ink Rates'!C:C,'Dispensed Ink Rates'!CS:CS),VLOOKUP(IH153,'Jan-2026 rates'!$E:$F,2,0)))</f>
        <v>0</v>
      </c>
      <c r="IT153" s="409"/>
      <c r="IU153" s="398">
        <f>IF(IT153=0,0,IF(LEN(II153)=11,_xlfn.XLOOKUP(II153,'Dispensed Ink Rates'!C:C,'Dispensed Ink Rates'!CS:CS),VLOOKUP(II153,'Jan-2026 rates'!$E:$F,2,0)))</f>
        <v>0</v>
      </c>
      <c r="IV153" s="409"/>
      <c r="IW153" s="398">
        <f>IF(IV153=0,0,IF(LEN(IJ153)=11,_xlfn.XLOOKUP(IJ153,'Dispensed Ink Rates'!C:C,'Dispensed Ink Rates'!CS:CS),VLOOKUP(IJ153,'Jan-2026 rates'!$E:$F,2,0)))</f>
        <v>0</v>
      </c>
      <c r="IX153" s="409"/>
      <c r="IY153" s="398">
        <f>IF(IX153=0,0,IF(LEN(IK153)=11,_xlfn.XLOOKUP(IK153,'Dispensed Ink Rates'!C:C,'Dispensed Ink Rates'!CS:CS),VLOOKUP(IK153,'Jan-2026 rates'!$E:$F,2,0)))</f>
        <v>0</v>
      </c>
      <c r="IZ153" s="409"/>
      <c r="JA153" s="398">
        <f>IF(IZ153=0,0,IF(LEN(IL153)=11,_xlfn.XLOOKUP(IL153,'Dispensed Ink Rates'!C:C,'Dispensed Ink Rates'!CS:CS),VLOOKUP(IL153,'Jan-2026 rates'!$E:$F,2,0)))</f>
        <v>0</v>
      </c>
      <c r="JB153" s="409"/>
      <c r="JC153" s="398">
        <f>IF(JB153=0,0,IF(LEN(IM153)=11,_xlfn.XLOOKUP(IM153,'Dispensed Ink Rates'!C:C,'Dispensed Ink Rates'!CS:CS),VLOOKUP(IM153,'Jan-2026 rates'!$E:$F,2,0)))</f>
        <v>0</v>
      </c>
      <c r="JD153" s="409"/>
      <c r="JE153" s="409"/>
      <c r="JF153" s="411">
        <f t="shared" si="124"/>
        <v>0</v>
      </c>
      <c r="JG153" s="411">
        <f t="shared" si="125"/>
        <v>0</v>
      </c>
      <c r="JH153" s="410">
        <f t="shared" si="126"/>
        <v>0</v>
      </c>
      <c r="JI153" s="405"/>
      <c r="JJ153" s="409"/>
      <c r="JK153" s="420" t="str">
        <f t="shared" si="60"/>
        <v xml:space="preserve"> - </v>
      </c>
      <c r="JL153" s="409"/>
      <c r="JM153" s="411">
        <f>IF(JL153=0,0,IF($LB153=70%,VLOOKUP($JK153,'Jan-2026 rates'!$L:$R,4,0),IF($LB153=65%,VLOOKUP($JK153,'Jan-2026 rates'!$L:$R,4,0),IF($LB153=40%,VLOOKUP($JK153,'Jan-2026 rates'!$L:$R,5,0),IF($LB153=30%,VLOOKUP($JK153,'Jan-2026 rates'!$L:$R,6,0),IF($LB153=100%,VLOOKUP($JK153,'Jan-2026 rates'!$L:$R,7,0),IF($LB153=60%,VLOOKUP($JK153,'Jan-2026 rates'!$L:$S,8,0),IF($LB153=80%,VLOOKUP($JK153,'Jan-2026 rates'!L:T,9,0),0))))))))</f>
        <v>0</v>
      </c>
      <c r="JN153" s="412"/>
      <c r="JO153" s="409"/>
      <c r="JP153" s="411">
        <f>IF(JO153=0,0,IF($LB153=70%,VLOOKUP($JK153,'Jan-2026 rates'!$L:$R,4,0),IF($LB153=65%,VLOOKUP($JK153,'Jan-2026 rates'!$L:$R,4,0),IF($LB153=40%,VLOOKUP($JK153,'Jan-2026 rates'!$L:$R,5,0),IF($LB153=30%,VLOOKUP($JK153,'Jan-2026 rates'!$L:$R,6,0),IF($LB153=100%,VLOOKUP($JK153,'Jan-2026 rates'!$L:$R,7,0),IF($LB153=60%,VLOOKUP($JK153,'Jan-2026 rates'!$L:$S,8,0),IF($LB153=80%,VLOOKUP($JK153,'Jan-2026 rates'!L:T,9,0),0))))))))</f>
        <v>0</v>
      </c>
      <c r="JQ153" s="413"/>
      <c r="JR153" s="412"/>
      <c r="JS153" s="413"/>
      <c r="JT153" s="413"/>
      <c r="JU153" s="412"/>
      <c r="JV153" s="412"/>
      <c r="JW153" s="412"/>
      <c r="JX153" s="412"/>
      <c r="JY153" s="409"/>
      <c r="JZ153" s="398">
        <f>IF(JY153=0,0,IF(LEN(JQ153)=11,_xlfn.XLOOKUP(JQ153,'Dispensed Ink Rates'!C:C,'Dispensed Ink Rates'!CS:CS),VLOOKUP(JQ153,'Jan-2026 rates'!$E:$F,2,0)))</f>
        <v>0</v>
      </c>
      <c r="KA153" s="409"/>
      <c r="KB153" s="398">
        <f>IF(KA153=0,0,IF(LEN(JR153)=11,_xlfn.XLOOKUP(JR153,'Dispensed Ink Rates'!C:C,'Dispensed Ink Rates'!CS:CS),VLOOKUP(JR153,'Jan-2026 rates'!$E:$F,2,0)))</f>
        <v>0</v>
      </c>
      <c r="KC153" s="409"/>
      <c r="KD153" s="398">
        <f>IF(KC153=0,0,IF(LEN(JS153)=11,_xlfn.XLOOKUP(JS153,'Dispensed Ink Rates'!C:C,'Dispensed Ink Rates'!CS:CS),VLOOKUP(JS153,'Jan-2026 rates'!$E:$F,2,0)))</f>
        <v>0</v>
      </c>
      <c r="KE153" s="409"/>
      <c r="KF153" s="398">
        <f>IF(KE153=0,0,IF(LEN(JT153)=11,_xlfn.XLOOKUP(JT153,'Dispensed Ink Rates'!C:C,'Dispensed Ink Rates'!CS:CS),VLOOKUP(JT153,'Jan-2026 rates'!$E:$F,2,0)))</f>
        <v>0</v>
      </c>
      <c r="KG153" s="409"/>
      <c r="KH153" s="398">
        <f>IF(KG153=0,0,IF(LEN(JU153)=11,_xlfn.XLOOKUP(JU153,'Dispensed Ink Rates'!C:C,'Dispensed Ink Rates'!CS:CS),VLOOKUP(JU153,'Jan-2026 rates'!$E:$F,2,0)))</f>
        <v>0</v>
      </c>
      <c r="KI153" s="409"/>
      <c r="KJ153" s="398">
        <f>IF(KI153=0,0,IF(LEN(JV153)=11,_xlfn.XLOOKUP(JV153,'Dispensed Ink Rates'!C:C,'Dispensed Ink Rates'!CS:CS),VLOOKUP(JV153,'Jan-2026 rates'!$E:$F,2,0)))</f>
        <v>0</v>
      </c>
      <c r="KK153" s="409"/>
      <c r="KL153" s="398">
        <f>IF(KK153=0,0,IF(LEN(JW153)=11,_xlfn.XLOOKUP(JW153,'Dispensed Ink Rates'!C:C,'Dispensed Ink Rates'!CS:CS),VLOOKUP(JW153,'Jan-2026 rates'!$E:$F,2,0)))</f>
        <v>0</v>
      </c>
      <c r="KM153" s="428"/>
      <c r="KN153" s="398">
        <f>IF(KM153=0,0,IF(LEN(JX153)=11,_xlfn.XLOOKUP(JX153,'Dispensed Ink Rates'!C:C,'Dispensed Ink Rates'!CS:CS),VLOOKUP(JX153,'Jan-2026 rates'!$E:$F,2,0)))</f>
        <v>0</v>
      </c>
      <c r="KO153" s="409"/>
      <c r="KP153" s="409"/>
      <c r="KQ153" s="411">
        <f t="shared" si="127"/>
        <v>0</v>
      </c>
      <c r="KR153" s="411">
        <f t="shared" si="128"/>
        <v>0</v>
      </c>
      <c r="KS153" s="410">
        <f t="shared" si="129"/>
        <v>0</v>
      </c>
      <c r="KT153" s="409">
        <v>2</v>
      </c>
      <c r="KU153" s="409">
        <v>5</v>
      </c>
      <c r="KV153" s="409">
        <v>2</v>
      </c>
      <c r="KW153" s="409">
        <v>15</v>
      </c>
      <c r="KX153" s="409">
        <v>0</v>
      </c>
      <c r="KY153" s="409">
        <v>0</v>
      </c>
      <c r="KZ153" s="409">
        <v>0</v>
      </c>
      <c r="LA153" s="409">
        <v>0</v>
      </c>
      <c r="LB153" s="415">
        <v>0.3</v>
      </c>
      <c r="LC153" s="415"/>
      <c r="LD153" s="415"/>
      <c r="LE153" s="415">
        <v>0.5</v>
      </c>
      <c r="LF153" s="415">
        <v>0.2</v>
      </c>
      <c r="LG153" s="409">
        <v>0</v>
      </c>
      <c r="LH153" s="409">
        <f>17+17+12+20+5+5+8</f>
        <v>84</v>
      </c>
      <c r="LI153" s="409">
        <v>0</v>
      </c>
      <c r="LJ153" s="409">
        <v>0</v>
      </c>
      <c r="LK153" s="416">
        <f t="shared" si="61"/>
        <v>84</v>
      </c>
      <c r="LL153" s="416">
        <f t="shared" si="62"/>
        <v>84</v>
      </c>
      <c r="LM153" s="417">
        <f t="shared" si="63"/>
        <v>25.2</v>
      </c>
      <c r="LN153" s="417">
        <f>VLOOKUP($LM$8,'Jan-2026 rates'!$H:$I,2,0)</f>
        <v>0</v>
      </c>
      <c r="LO153" s="417">
        <f t="shared" si="64"/>
        <v>0</v>
      </c>
      <c r="LP153" s="417">
        <f>VLOOKUP($LO$8,'Jan-2026 rates'!$H:$I,2,0)</f>
        <v>0</v>
      </c>
      <c r="LQ153" s="417">
        <f t="shared" si="65"/>
        <v>0</v>
      </c>
      <c r="LR153" s="417">
        <f>VLOOKUP($LQ$8,'Jan-2026 rates'!$H:$I,2,0)</f>
        <v>0</v>
      </c>
      <c r="LS153" s="417">
        <f t="shared" si="66"/>
        <v>42</v>
      </c>
      <c r="LT153" s="417">
        <f>VLOOKUP($LS$8,'Jan-2026 rates'!$H:$I,2,0)</f>
        <v>0</v>
      </c>
      <c r="LU153" s="417">
        <f t="shared" si="67"/>
        <v>16.8</v>
      </c>
      <c r="LV153" s="417">
        <f>VLOOKUP($LU$8,'Jan-2026 rates'!$H:$I,2,0)</f>
        <v>0</v>
      </c>
      <c r="LW153" s="417">
        <f t="shared" si="68"/>
        <v>0</v>
      </c>
      <c r="LX153" s="417">
        <f t="shared" si="69"/>
        <v>0</v>
      </c>
      <c r="LY153" s="418">
        <f t="shared" si="70"/>
        <v>0</v>
      </c>
      <c r="LZ153" s="417"/>
      <c r="MA153" s="435">
        <f t="shared" si="71"/>
        <v>70.33</v>
      </c>
      <c r="MB153" s="282">
        <f t="shared" si="72"/>
        <v>127.33</v>
      </c>
      <c r="MC153" s="283" t="s">
        <v>1988</v>
      </c>
      <c r="MD153" s="284" t="str">
        <f t="shared" si="73"/>
        <v>ToyoLiToyoLiToyoLiToyoLi</v>
      </c>
      <c r="ME153" s="293" t="str">
        <f t="shared" si="74"/>
        <v>+</v>
      </c>
      <c r="MF153" s="293" t="str">
        <f t="shared" si="75"/>
        <v>+</v>
      </c>
      <c r="MG153" s="293" t="str">
        <f t="shared" si="76"/>
        <v>+</v>
      </c>
      <c r="MH153" s="293" t="str">
        <f t="shared" si="77"/>
        <v>+</v>
      </c>
      <c r="MI153" s="293" t="str">
        <f t="shared" si="78"/>
        <v>NIL</v>
      </c>
      <c r="MJ153" s="293" t="str">
        <f t="shared" si="79"/>
        <v>NIL</v>
      </c>
      <c r="MK153" s="293" t="str">
        <f t="shared" si="80"/>
        <v>NIL</v>
      </c>
      <c r="ML153" s="293" t="str">
        <f t="shared" si="81"/>
        <v>NIL</v>
      </c>
      <c r="MM153" s="3" t="b">
        <f t="array" ref="MM153">OR(ME153:ML153="-")</f>
        <v>0</v>
      </c>
      <c r="MN153" s="285"/>
      <c r="MO153" s="401"/>
      <c r="MP153" s="286"/>
      <c r="MQ153" s="286"/>
      <c r="MR153" s="402"/>
      <c r="MS153" s="400"/>
      <c r="NH153" s="422"/>
      <c r="NJ153" s="421"/>
    </row>
    <row r="154" spans="1:374" s="1" customFormat="1" ht="16.5">
      <c r="A154" s="403">
        <v>46032</v>
      </c>
      <c r="B154" s="404" t="s">
        <v>1018</v>
      </c>
      <c r="C154" s="405" t="s">
        <v>3480</v>
      </c>
      <c r="D154" s="406" t="s">
        <v>1989</v>
      </c>
      <c r="E154" s="404">
        <v>763</v>
      </c>
      <c r="F154" s="407">
        <v>43000</v>
      </c>
      <c r="G154" s="407" t="s">
        <v>1016</v>
      </c>
      <c r="H154" s="408" t="s">
        <v>1017</v>
      </c>
      <c r="I154" s="409">
        <v>0.3</v>
      </c>
      <c r="J154" s="405" t="s">
        <v>546</v>
      </c>
      <c r="K154" s="404"/>
      <c r="L154" s="419" t="str">
        <f t="shared" si="54"/>
        <v>ToyoLi - REFLEX BLUE</v>
      </c>
      <c r="M154" s="404"/>
      <c r="N154" s="410">
        <f>IF(M154=0,0,IF($LB154=70%,VLOOKUP($L154,'Jan-2026 rates'!$L:$R,4,0),IF($LB154=65%,VLOOKUP($L154,'Jan-2026 rates'!$L:$R,4,0),IF($LB154=40%,VLOOKUP($L154,'Jan-2026 rates'!$L:$R,5,0),IF($LB154=30%,VLOOKUP($L154,'Jan-2026 rates'!$L:$R,6,0),IF($LB154=100%,VLOOKUP($L154,'Jan-2026 rates'!$L:$R,7,0),IF($LB154=60%,VLOOKUP($L154,'Jan-2026 rates'!$L:$S,8,0),IF($LB154=80%,VLOOKUP($L154,'Jan-2026 rates'!L:T,9,0),0))))))))</f>
        <v>0</v>
      </c>
      <c r="O154" s="406"/>
      <c r="P154" s="404"/>
      <c r="Q154" s="410">
        <f>IF(P154=0,0,IF($LB154=70%,VLOOKUP($L154,'Jan-2026 rates'!$L:$R,4,0),IF($LB154=65%,VLOOKUP($L154,'Jan-2026 rates'!$L:$R,4,0),IF($LB154=40%,VLOOKUP($L154,'Jan-2026 rates'!$L:$R,5,0),IF($LB154=30%,VLOOKUP($L154,'Jan-2026 rates'!$L:$R,6,0),IF($LB154=100%,VLOOKUP($L154,'Jan-2026 rates'!$L:$R,7,0),IF($LB154=60%,VLOOKUP($L154,'Jan-2026 rates'!$L:$S,8,0),IF($LB154=80%,VLOOKUP($L154,'Jan-2026 rates'!L:T,9,0),0))))))))</f>
        <v>0</v>
      </c>
      <c r="R154" s="406" t="s">
        <v>1880</v>
      </c>
      <c r="S154" s="406" t="s">
        <v>1250</v>
      </c>
      <c r="T154" s="406" t="s">
        <v>1585</v>
      </c>
      <c r="U154" s="406" t="s">
        <v>1246</v>
      </c>
      <c r="V154" s="406"/>
      <c r="W154" s="406"/>
      <c r="X154" s="406"/>
      <c r="Y154" s="406"/>
      <c r="Z154" s="404">
        <f>15+10</f>
        <v>25</v>
      </c>
      <c r="AA154" s="398">
        <f>IF(Z154=0,0,IF(LEN(R154)=11,_xlfn.XLOOKUP(R154,'Dispensed Ink Rates'!C:C,'Dispensed Ink Rates'!CS:CS),VLOOKUP(R154,'Jan-2026 rates'!$E:$F,2,0)))</f>
        <v>0</v>
      </c>
      <c r="AB154" s="404">
        <f>5+5</f>
        <v>10</v>
      </c>
      <c r="AC154" s="398">
        <f>IF(AB154=0,0,IF(LEN(S154)=11,_xlfn.XLOOKUP(S154,'Dispensed Ink Rates'!C:C,'Dispensed Ink Rates'!CS:CS),VLOOKUP(S154,'Jan-2026 rates'!$E:$F,2,0)))</f>
        <v>0</v>
      </c>
      <c r="AD154" s="404">
        <f>2+6</f>
        <v>8</v>
      </c>
      <c r="AE154" s="398">
        <f>IF(AD154=0,0,IF(LEN(T154)=11,_xlfn.XLOOKUP(T154,'Dispensed Ink Rates'!C:C,'Dispensed Ink Rates'!CS:CS),VLOOKUP(T154,'Jan-2026 rates'!$E:$F,2,0)))</f>
        <v>0</v>
      </c>
      <c r="AF154" s="404">
        <v>4</v>
      </c>
      <c r="AG154" s="398">
        <f>IF(AF154=0,0,IF(LEN(U154)=11,_xlfn.XLOOKUP(U154,'Dispensed Ink Rates'!C:C,'Dispensed Ink Rates'!CS:CS),VLOOKUP(U154,'Jan-2026 rates'!$E:$F,2,0)))</f>
        <v>0</v>
      </c>
      <c r="AH154" s="404"/>
      <c r="AI154" s="398">
        <f>IF(AH154=0,0,IF(LEN(V154)=11,_xlfn.XLOOKUP(V154,'Dispensed Ink Rates'!C:C,'Dispensed Ink Rates'!CS:CS),VLOOKUP(V154,'Jan-2026 rates'!$E:$F,2,0)))</f>
        <v>0</v>
      </c>
      <c r="AJ154" s="404"/>
      <c r="AK154" s="398">
        <f>IF(AJ154=0,0,IF(LEN(W154)=11,_xlfn.XLOOKUP(W154,'Dispensed Ink Rates'!C:C,'Dispensed Ink Rates'!CS:CS),VLOOKUP(W154,'Jan-2026 rates'!$E:$F,2,0)))</f>
        <v>0</v>
      </c>
      <c r="AL154" s="404"/>
      <c r="AM154" s="398">
        <f>IF(AL154=0,0,IF(LEN(X154)=11,_xlfn.XLOOKUP(X154,'Dispensed Ink Rates'!C:C,'Dispensed Ink Rates'!CS:CS),VLOOKUP(X154,'Jan-2026 rates'!$E:$F,2,0)))</f>
        <v>0</v>
      </c>
      <c r="AN154" s="404"/>
      <c r="AO154" s="398">
        <f>IF(AN154=0,0,IF(LEN(Y154)=11,_xlfn.XLOOKUP(Y154,'Dispensed Ink Rates'!C:C,'Dispensed Ink Rates'!CS:CS),VLOOKUP(Y154,'Jan-2026 rates'!$E:$F,2,0)))</f>
        <v>0</v>
      </c>
      <c r="AP154" s="409" t="s">
        <v>1881</v>
      </c>
      <c r="AQ154" s="409">
        <f>16+8</f>
        <v>24</v>
      </c>
      <c r="AR154" s="410">
        <f t="shared" si="106"/>
        <v>0</v>
      </c>
      <c r="AS154" s="411">
        <f t="shared" si="107"/>
        <v>71.857142857142861</v>
      </c>
      <c r="AT154" s="410">
        <f t="shared" si="108"/>
        <v>0</v>
      </c>
      <c r="AU154" s="405" t="s">
        <v>856</v>
      </c>
      <c r="AV154" s="409" t="s">
        <v>3481</v>
      </c>
      <c r="AW154" s="420" t="str">
        <f t="shared" si="130"/>
        <v>ToyoLi - WHITE</v>
      </c>
      <c r="AX154" s="409">
        <v>27</v>
      </c>
      <c r="AY154" s="411">
        <f>IF(AX154=0,0,IF($LB154=70%,VLOOKUP($AW154,'Jan-2026 rates'!$L:$R,4,0),IF($LB154=65%,VLOOKUP($AW154,'Jan-2026 rates'!$L:$R,4,0),IF($LB154=40%,VLOOKUP($AW154,'Jan-2026 rates'!$L:$R,5,0),IF($LB154=30%,VLOOKUP($AW154,'Jan-2026 rates'!$L:$R,6,0),IF($LB154=100%,VLOOKUP($AW154,'Jan-2026 rates'!$L:$R,7,0),IF($LB154=60%,VLOOKUP($AW154,'Jan-2026 rates'!$L:$S,8,0),IF($LB154=80%,VLOOKUP($AW154,'Jan-2026 rates'!L:T,9,0),0))))))))</f>
        <v>0</v>
      </c>
      <c r="AZ154" s="412"/>
      <c r="BA154" s="409"/>
      <c r="BB154" s="411">
        <f>IF(BA154=0,0,IF($LB154=70%,VLOOKUP($AW154,'Jan-2026 rates'!$L:$R,4,0),IF($LB154=65%,VLOOKUP($AW154,'Jan-2026 rates'!$L:$R,4,0),IF($LB154=40%,VLOOKUP($AW154,'Jan-2026 rates'!$L:$R,5,0),IF($LB154=30%,VLOOKUP($AW154,'Jan-2026 rates'!$L:$R,6,0),IF($LB154=100%,VLOOKUP($AW154,'Jan-2026 rates'!$L:$R,7,0),IF($LB154=60%,VLOOKUP($AW154,'Jan-2026 rates'!$L:$S,8,0),IF($LB154=80%,VLOOKUP($AW154,'Jan-2026 rates'!L:T,9,0),0))))))))</f>
        <v>0</v>
      </c>
      <c r="BC154" s="413" t="s">
        <v>1249</v>
      </c>
      <c r="BD154" s="412" t="s">
        <v>1122</v>
      </c>
      <c r="BE154" s="412"/>
      <c r="BF154" s="413"/>
      <c r="BG154" s="412"/>
      <c r="BH154" s="412"/>
      <c r="BI154" s="412"/>
      <c r="BJ154" s="412"/>
      <c r="BK154" s="409">
        <f>10+25</f>
        <v>35</v>
      </c>
      <c r="BL154" s="398">
        <f>IF(BK154=0,0,IF(LEN(BC154)=11,_xlfn.XLOOKUP(BC154,'Dispensed Ink Rates'!C:C,'Dispensed Ink Rates'!CS:CS),VLOOKUP(BC154,'Jan-2026 rates'!$E:$F,2,0)))</f>
        <v>0</v>
      </c>
      <c r="BM154" s="409">
        <v>2.86</v>
      </c>
      <c r="BN154" s="398">
        <f>IF(BM154=0,0,IF(LEN(BD154)=11,_xlfn.XLOOKUP(BD154,'Dispensed Ink Rates'!C:C,'Dispensed Ink Rates'!CS:CS),VLOOKUP(BD154,'Jan-2026 rates'!$E:$F,2,0)))</f>
        <v>0</v>
      </c>
      <c r="BO154" s="409"/>
      <c r="BP154" s="398">
        <f>IF(BO154=0,0,IF(LEN(BE154)=11,_xlfn.XLOOKUP(BE154,'Dispensed Ink Rates'!C:C,'Dispensed Ink Rates'!CS:CS),VLOOKUP(BE154,'Jan-2026 rates'!$E:$F,2,0)))</f>
        <v>0</v>
      </c>
      <c r="BQ154" s="409"/>
      <c r="BR154" s="398">
        <f>IF(BQ154=0,0,IF(LEN(BF154)=11,_xlfn.XLOOKUP(BF154,'Dispensed Ink Rates'!C:C,'Dispensed Ink Rates'!CS:CS),VLOOKUP(BF154,'Jan-2026 rates'!$E:$F,2,0)))</f>
        <v>0</v>
      </c>
      <c r="BS154" s="409"/>
      <c r="BT154" s="398">
        <f>IF(BS154=0,0,IF(LEN(BG154)=11,_xlfn.XLOOKUP(BG154,'Dispensed Ink Rates'!C:C,'Dispensed Ink Rates'!CS:CS),VLOOKUP(BG154,'Jan-2026 rates'!$E:$F,2,0)))</f>
        <v>0</v>
      </c>
      <c r="BU154" s="409"/>
      <c r="BV154" s="398">
        <f>IF(BU154=0,0,IF(LEN(BH154)=11,_xlfn.XLOOKUP(BH154,'Dispensed Ink Rates'!C:C,'Dispensed Ink Rates'!CS:CS),VLOOKUP(BH154,'Jan-2026 rates'!$E:$F,2,0)))</f>
        <v>0</v>
      </c>
      <c r="BW154" s="409"/>
      <c r="BX154" s="398">
        <f>IF(BW154=0,0,IF(LEN(BI154)=11,_xlfn.XLOOKUP(BI154,'Dispensed Ink Rates'!C:C,'Dispensed Ink Rates'!CS:CS),VLOOKUP(BI154,'Jan-2026 rates'!$E:$F,2,0)))</f>
        <v>0</v>
      </c>
      <c r="BY154" s="409"/>
      <c r="BZ154" s="398">
        <f>IF(BY154=0,0,IF(LEN(BJ154)=11,_xlfn.XLOOKUP(BJ154,'Dispensed Ink Rates'!C:C,'Dispensed Ink Rates'!CS:CS),VLOOKUP(BJ154,'Jan-2026 rates'!$E:$F,2,0)))</f>
        <v>0</v>
      </c>
      <c r="CA154" s="409" t="s">
        <v>1881</v>
      </c>
      <c r="CB154" s="409">
        <v>24</v>
      </c>
      <c r="CC154" s="411">
        <f t="shared" si="109"/>
        <v>0</v>
      </c>
      <c r="CD154" s="411">
        <f t="shared" si="110"/>
        <v>106.00285714285712</v>
      </c>
      <c r="CE154" s="410">
        <f t="shared" si="111"/>
        <v>0</v>
      </c>
      <c r="CF154" s="404"/>
      <c r="CG154" s="409"/>
      <c r="CH154" s="420" t="str">
        <f t="shared" si="55"/>
        <v xml:space="preserve"> - </v>
      </c>
      <c r="CI154" s="409"/>
      <c r="CJ154" s="411">
        <f>IF(CI154=0,0,IF($LB154=70%,VLOOKUP($CH154,'Jan-2026 rates'!$L:$R,4,0),IF($LB154=65%,VLOOKUP($CH154,'Jan-2026 rates'!$L:$R,4,0),IF($LB154=40%,VLOOKUP($CH154,'Jan-2026 rates'!$L:$R,5,0),IF($LB154=30%,VLOOKUP($CH154,'Jan-2026 rates'!$L:$R,6,0),IF($LB154=100%,VLOOKUP($CH154,'Jan-2026 rates'!$L:$R,7,0),IF($LB154=60%,VLOOKUP($CH154,'Jan-2026 rates'!$L:$S,8,0),IF($LB154=80%,VLOOKUP($CH154,'Jan-2026 rates'!L:T,9,0),0))))))))</f>
        <v>0</v>
      </c>
      <c r="CK154" s="412"/>
      <c r="CL154" s="409"/>
      <c r="CM154" s="411">
        <f>IF(CL154=0,0,IF($LB154=70%,VLOOKUP($CH154,'Jan-2026 rates'!$L:$R,4,0),IF($LB154=65%,VLOOKUP($CH154,'Jan-2026 rates'!$L:$R,4,0),IF($LB154=40%,VLOOKUP($CH154,'Jan-2026 rates'!$L:$R,5,0),IF($LB154=30%,VLOOKUP($CH154,'Jan-2026 rates'!$L:$R,6,0),IF($LB154=100%,VLOOKUP($CH154,'Jan-2026 rates'!$L:$R,7,0),IF($LB154=60%,VLOOKUP($CH154,'Jan-2026 rates'!$L:$S,8,0),IF($LB154=80%,VLOOKUP($CH154,'Jan-2026 rates'!L:T,9,0),0))))))))</f>
        <v>0</v>
      </c>
      <c r="CN154" s="426"/>
      <c r="CO154" s="427"/>
      <c r="CP154" s="426"/>
      <c r="CQ154" s="426"/>
      <c r="CR154" s="428"/>
      <c r="CS154" s="428"/>
      <c r="CT154" s="428"/>
      <c r="CU154" s="428"/>
      <c r="CV154" s="409"/>
      <c r="CW154" s="398">
        <f>IF(CV154=0,0,IF(LEN(CN154)=11,_xlfn.XLOOKUP(CN154,'Dispensed Ink Rates'!C:C,'Dispensed Ink Rates'!CS:CS),VLOOKUP(CN154,'Jan-2026 rates'!$E:$F,2,0)))</f>
        <v>0</v>
      </c>
      <c r="CX154" s="409"/>
      <c r="CY154" s="398">
        <f>IF(CX154=0,0,IF(LEN(CO154)=11,_xlfn.XLOOKUP(CO154,'Dispensed Ink Rates'!C:C,'Dispensed Ink Rates'!CS:CS),VLOOKUP(CO154,'Jan-2026 rates'!$E:$F,2,0)))</f>
        <v>0</v>
      </c>
      <c r="CZ154" s="409"/>
      <c r="DA154" s="398">
        <f>IF(CZ154=0,0,IF(LEN(CP154)=11,_xlfn.XLOOKUP(CP154,'Dispensed Ink Rates'!C:C,'Dispensed Ink Rates'!CS:CS),VLOOKUP(CP154,'Jan-2026 rates'!$E:$F,2,0)))</f>
        <v>0</v>
      </c>
      <c r="DB154" s="409"/>
      <c r="DC154" s="398">
        <f>IF(DB154=0,0,IF(LEN(CQ154)=11,_xlfn.XLOOKUP(CQ154,'Dispensed Ink Rates'!C:C,'Dispensed Ink Rates'!CS:CS),VLOOKUP(CQ154,'Jan-2026 rates'!$E:$F,2,0)))</f>
        <v>0</v>
      </c>
      <c r="DD154" s="409"/>
      <c r="DE154" s="398">
        <f>IF(DD154=0,0,IF(LEN(CR154)=11,_xlfn.XLOOKUP(CR154,'Dispensed Ink Rates'!C:C,'Dispensed Ink Rates'!CS:CS),VLOOKUP(CR154,'Jan-2026 rates'!$E:$F,2,0)))</f>
        <v>0</v>
      </c>
      <c r="DF154" s="409"/>
      <c r="DG154" s="398">
        <f>IF(DF154=0,0,IF(LEN(CS154)=11,_xlfn.XLOOKUP(CS154,'Dispensed Ink Rates'!C:C,'Dispensed Ink Rates'!CS:CS),VLOOKUP(CS154,'Jan-2026 rates'!$E:$F,2,0)))</f>
        <v>0</v>
      </c>
      <c r="DH154" s="409"/>
      <c r="DI154" s="398">
        <f>IF(DH154=0,0,IF(LEN(CT154)=11,_xlfn.XLOOKUP(CT154,'Dispensed Ink Rates'!C:C,'Dispensed Ink Rates'!CS:CS),VLOOKUP(CT154,'Jan-2026 rates'!$E:$F,2,0)))</f>
        <v>0</v>
      </c>
      <c r="DJ154" s="409"/>
      <c r="DK154" s="398">
        <f>IF(DJ154=0,0,IF(LEN(CU154)=11,_xlfn.XLOOKUP(CU154,'Dispensed Ink Rates'!C:C,'Dispensed Ink Rates'!CS:CS),VLOOKUP(CU154,'Jan-2026 rates'!$E:$F,2,0)))</f>
        <v>0</v>
      </c>
      <c r="DL154" s="409"/>
      <c r="DM154" s="409"/>
      <c r="DN154" s="411">
        <f t="shared" si="112"/>
        <v>0</v>
      </c>
      <c r="DO154" s="411">
        <f t="shared" si="113"/>
        <v>0</v>
      </c>
      <c r="DP154" s="410">
        <f t="shared" si="114"/>
        <v>0</v>
      </c>
      <c r="DQ154" s="405"/>
      <c r="DR154" s="409"/>
      <c r="DS154" s="420" t="str">
        <f t="shared" si="56"/>
        <v xml:space="preserve"> - </v>
      </c>
      <c r="DT154" s="409"/>
      <c r="DU154" s="411">
        <f>IF(DT154=0,0,IF($LB154=70%,VLOOKUP($DS154,'Jan-2026 rates'!$L:$R,4,0),IF($LB154=65%,VLOOKUP($DS154,'Jan-2026 rates'!$L:$R,4,0),IF($LB154=40%,VLOOKUP($DS154,'Jan-2026 rates'!$L:$R,5,0),IF($LB154=30%,VLOOKUP($DS154,'Jan-2026 rates'!$L:$R,6,0),IF($LB154=100%,VLOOKUP($DS154,'Jan-2026 rates'!$L:$R,7,0),IF($LB154=60%,VLOOKUP($DS154,'Jan-2026 rates'!$L:$S,8,0),IF($LB154=80%,VLOOKUP($DS154,'Jan-2026 rates'!L:T,9,0),0))))))))</f>
        <v>0</v>
      </c>
      <c r="DV154" s="412"/>
      <c r="DW154" s="409"/>
      <c r="DX154" s="411">
        <f>IF(DW154=0,0,IF($LB154=70%,VLOOKUP($DS154,'Jan-2026 rates'!$L:$R,4,0),IF($LB154=65%,VLOOKUP($DS154,'Jan-2026 rates'!$L:$R,4,0),IF($LB154=40%,VLOOKUP($DS154,'Jan-2026 rates'!$L:$R,5,0),IF($LB154=30%,VLOOKUP($DS154,'Jan-2026 rates'!$L:$R,6,0),IF($LB154=100%,VLOOKUP($DS154,'Jan-2026 rates'!$L:$R,7,0),IF($LB154=60%,VLOOKUP($DS154,'Jan-2026 rates'!$L:$S,8,0),IF($LB154=80%,VLOOKUP($DS154,'Jan-2026 rates'!L:T,9,0),0))))))))</f>
        <v>0</v>
      </c>
      <c r="DY154" s="413"/>
      <c r="DZ154" s="413"/>
      <c r="EA154" s="412"/>
      <c r="EB154" s="412"/>
      <c r="EC154" s="412"/>
      <c r="ED154" s="412"/>
      <c r="EE154" s="412"/>
      <c r="EF154" s="412"/>
      <c r="EG154" s="409"/>
      <c r="EH154" s="398">
        <f>IF(EG154=0,0,IF(LEN(DY154)=11,_xlfn.XLOOKUP(DY154,'Dispensed Ink Rates'!C:C,'Dispensed Ink Rates'!CS:CS),VLOOKUP(DY154,'Jan-2026 rates'!$E:$F,2,0)))</f>
        <v>0</v>
      </c>
      <c r="EI154" s="409"/>
      <c r="EJ154" s="398">
        <f>IF(EI154=0,0,IF(LEN(DZ154)=11,_xlfn.XLOOKUP(DZ154,'Dispensed Ink Rates'!C:C,'Dispensed Ink Rates'!CS:CS),VLOOKUP(DZ154,'Jan-2026 rates'!$E:$F,2,0)))</f>
        <v>0</v>
      </c>
      <c r="EK154" s="409"/>
      <c r="EL154" s="398">
        <f>IF(EK154=0,0,IF(LEN(EA154)=11,_xlfn.XLOOKUP(EA154,'Dispensed Ink Rates'!C:C,'Dispensed Ink Rates'!CS:CS),VLOOKUP(EA154,'Jan-2026 rates'!$E:$F,2,0)))</f>
        <v>0</v>
      </c>
      <c r="EM154" s="409"/>
      <c r="EN154" s="398">
        <f>IF(EM154=0,0,IF(LEN(EB154)=11,_xlfn.XLOOKUP(EB154,'Dispensed Ink Rates'!C:C,'Dispensed Ink Rates'!CS:CS),VLOOKUP(EB154,'Jan-2026 rates'!$E:$F,2,0)))</f>
        <v>0</v>
      </c>
      <c r="EO154" s="409"/>
      <c r="EP154" s="398">
        <f>IF(EO154=0,0,IF(LEN(EC154)=11,_xlfn.XLOOKUP(EC154,'Dispensed Ink Rates'!C:C,'Dispensed Ink Rates'!CS:CS),VLOOKUP(EC154,'Jan-2026 rates'!$E:$F,2,0)))</f>
        <v>0</v>
      </c>
      <c r="EQ154" s="409"/>
      <c r="ER154" s="398">
        <f>IF(EQ154=0,0,IF(LEN(ED154)=11,_xlfn.XLOOKUP(ED154,'Dispensed Ink Rates'!C:C,'Dispensed Ink Rates'!CS:CS),VLOOKUP(ED154,'Jan-2026 rates'!$E:$F,2,0)))</f>
        <v>0</v>
      </c>
      <c r="ES154" s="409"/>
      <c r="ET154" s="398">
        <f>IF(ES154=0,0,IF(LEN(EE154)=11,_xlfn.XLOOKUP(EE154,'Dispensed Ink Rates'!C:C,'Dispensed Ink Rates'!CS:CS),VLOOKUP(EE154,'Jan-2026 rates'!$E:$F,2,0)))</f>
        <v>0</v>
      </c>
      <c r="EU154" s="409"/>
      <c r="EV154" s="398">
        <f>IF(EU154=0,0,IF(LEN(EF154)=11,_xlfn.XLOOKUP(EF154,'Dispensed Ink Rates'!C:C,'Dispensed Ink Rates'!CS:CS),VLOOKUP(EF154,'Jan-2026 rates'!$E:$F,2,0)))</f>
        <v>0</v>
      </c>
      <c r="EW154" s="409"/>
      <c r="EX154" s="409"/>
      <c r="EY154" s="411">
        <f t="shared" si="115"/>
        <v>0</v>
      </c>
      <c r="EZ154" s="411">
        <f t="shared" si="116"/>
        <v>0</v>
      </c>
      <c r="FA154" s="410">
        <f t="shared" si="117"/>
        <v>0</v>
      </c>
      <c r="FB154" s="405"/>
      <c r="FC154" s="409"/>
      <c r="FD154" s="420" t="str">
        <f t="shared" si="57"/>
        <v xml:space="preserve"> - </v>
      </c>
      <c r="FE154" s="409"/>
      <c r="FF154" s="411">
        <f>IF(FE154=0,0,IF($LB154=70%,VLOOKUP($FD154,'Jan-2026 rates'!$L:$R,4,0),IF($LB154=65%,VLOOKUP($FD154,'Jan-2026 rates'!$L:$R,4,0),IF($LB154=40%,VLOOKUP($FD154,'Jan-2026 rates'!$L:$R,5,0),IF($LB154=30%,VLOOKUP($FD154,'Jan-2026 rates'!$L:$R,6,0),IF($LB154=100%,VLOOKUP($FD154,'Jan-2026 rates'!$L:$R,7,0),IF($LB154=60%,VLOOKUP($FD154,'Jan-2026 rates'!$L:$S,8,0),IF($LB154=80%,VLOOKUP($FD154,'Jan-2026 rates'!L:T,9,0),0))))))))</f>
        <v>0</v>
      </c>
      <c r="FG154" s="412"/>
      <c r="FH154" s="409"/>
      <c r="FI154" s="411">
        <f>IF(FH154=0,0,IF($LB154=70%,VLOOKUP($FD154,'Jan-2026 rates'!$L:$R,4,0),IF($LB154=65%,VLOOKUP($FD154,'Jan-2026 rates'!$L:$R,4,0),IF($LB154=40%,VLOOKUP($FD154,'Jan-2026 rates'!$L:$R,5,0),IF($LB154=30%,VLOOKUP($FD154,'Jan-2026 rates'!$L:$R,6,0),IF($LB154=100%,VLOOKUP($FD154,'Jan-2026 rates'!$L:$R,7,0),IF($LB154=60%,VLOOKUP($FD154,'Jan-2026 rates'!$L:$S,8,0),IF($LB154=80%,VLOOKUP($FD154,'Jan-2026 rates'!L:T,9,0),0))))))))</f>
        <v>0</v>
      </c>
      <c r="FJ154" s="413"/>
      <c r="FK154" s="413"/>
      <c r="FL154" s="413"/>
      <c r="FM154" s="412"/>
      <c r="FN154" s="412"/>
      <c r="FO154" s="412"/>
      <c r="FP154" s="412"/>
      <c r="FQ154" s="412"/>
      <c r="FR154" s="409"/>
      <c r="FS154" s="398">
        <f>IF(FR154=0,0,IF(LEN(FJ154)=11,_xlfn.XLOOKUP(FJ154,'Dispensed Ink Rates'!C:C,'Dispensed Ink Rates'!CS:CS),VLOOKUP(FJ154,'Jan-2026 rates'!$E:$F,2,0)))</f>
        <v>0</v>
      </c>
      <c r="FT154" s="409"/>
      <c r="FU154" s="398">
        <f>IF(FT154=0,0,IF(LEN(FK154)=11,_xlfn.XLOOKUP(FK154,'Dispensed Ink Rates'!C:C,'Dispensed Ink Rates'!CS:CS),VLOOKUP(FK154,'Jan-2026 rates'!$E:$F,2,0)))</f>
        <v>0</v>
      </c>
      <c r="FV154" s="409"/>
      <c r="FW154" s="398">
        <f>IF(FV154=0,0,IF(LEN(FL154)=11,_xlfn.XLOOKUP(FL154,'Dispensed Ink Rates'!C:C,'Dispensed Ink Rates'!CS:CS),VLOOKUP(FL154,'Jan-2026 rates'!$E:$F,2,0)))</f>
        <v>0</v>
      </c>
      <c r="FX154" s="409"/>
      <c r="FY154" s="398">
        <f>IF(FX154=0,0,IF(LEN(FM154)=11,_xlfn.XLOOKUP(FM154,'Dispensed Ink Rates'!C:C,'Dispensed Ink Rates'!CS:CS),VLOOKUP(FM154,'Jan-2026 rates'!$E:$F,2,0)))</f>
        <v>0</v>
      </c>
      <c r="FZ154" s="409"/>
      <c r="GA154" s="398">
        <f>IF(FZ154=0,0,IF(LEN(FN154)=11,_xlfn.XLOOKUP(FN154,'Dispensed Ink Rates'!C:C,'Dispensed Ink Rates'!CS:CS),VLOOKUP(FN154,'Jan-2026 rates'!$E:$F,2,0)))</f>
        <v>0</v>
      </c>
      <c r="GB154" s="409"/>
      <c r="GC154" s="398">
        <f>IF(GB154=0,0,IF(LEN(FO154)=11,_xlfn.XLOOKUP(FO154,'Dispensed Ink Rates'!C:C,'Dispensed Ink Rates'!CS:CS),VLOOKUP(FO154,'Jan-2026 rates'!$E:$F,2,0)))</f>
        <v>0</v>
      </c>
      <c r="GD154" s="409"/>
      <c r="GE154" s="398">
        <f>IF(GD154=0,0,IF(LEN(FP154)=11,_xlfn.XLOOKUP(FP154,'Dispensed Ink Rates'!C:C,'Dispensed Ink Rates'!CS:CS),VLOOKUP(FP154,'Jan-2026 rates'!$E:$F,2,0)))</f>
        <v>0</v>
      </c>
      <c r="GF154" s="409"/>
      <c r="GG154" s="398">
        <f>IF(GF154=0,0,IF(LEN(FQ154)=11,_xlfn.XLOOKUP(FQ154,'Dispensed Ink Rates'!C:C,'Dispensed Ink Rates'!CS:CS),VLOOKUP(FQ154,'Jan-2026 rates'!$E:$F,2,0)))</f>
        <v>0</v>
      </c>
      <c r="GH154" s="409"/>
      <c r="GI154" s="409"/>
      <c r="GJ154" s="411">
        <f t="shared" si="118"/>
        <v>0</v>
      </c>
      <c r="GK154" s="411">
        <f t="shared" si="119"/>
        <v>0</v>
      </c>
      <c r="GL154" s="410">
        <f t="shared" si="120"/>
        <v>0</v>
      </c>
      <c r="GM154" s="405"/>
      <c r="GN154" s="409"/>
      <c r="GO154" s="420" t="str">
        <f t="shared" si="58"/>
        <v xml:space="preserve"> - </v>
      </c>
      <c r="GP154" s="409"/>
      <c r="GQ154" s="411">
        <f>IF(GP154=0,0,IF($LB154=70%,VLOOKUP($GO154,'Jan-2026 rates'!$L:$R,4,0),IF($LB154=65%,VLOOKUP($GO154,'Jan-2026 rates'!$L:$R,4,0),IF($LB154=40%,VLOOKUP($GO154,'Jan-2026 rates'!$L:$R,5,0),IF($LB154=30%,VLOOKUP($GO154,'Jan-2026 rates'!$L:$R,6,0),IF($LB154=100%,VLOOKUP($GO154,'Jan-2026 rates'!$L:$R,7,0),IF($LB154=60%,VLOOKUP($GO154,'Jan-2026 rates'!$L:$S,8,0),IF($LB154=80%,VLOOKUP($GO154,'Jan-2026 rates'!L:T,9,0),0))))))))</f>
        <v>0</v>
      </c>
      <c r="GR154" s="412"/>
      <c r="GS154" s="409"/>
      <c r="GT154" s="411">
        <f>IF(GS154=0,0,IF($LB154=70%,VLOOKUP($GO154,'Jan-2026 rates'!$L:$R,4,0),IF($LB154=65%,VLOOKUP($GO154,'Jan-2026 rates'!$L:$R,4,0),IF($LB154=40%,VLOOKUP($GO154,'Jan-2026 rates'!$L:$R,5,0),IF($LB154=30%,VLOOKUP($GO154,'Jan-2026 rates'!$L:$R,6,0),IF($LB154=100%,VLOOKUP($GO154,'Jan-2026 rates'!$L:$R,7,0),IF($LB154=60%,VLOOKUP($GO154,'Jan-2026 rates'!$L:$S,8,0),IF($LB154=80%,VLOOKUP($GO154,'Jan-2026 rates'!L:T,9,0),0))))))))</f>
        <v>0</v>
      </c>
      <c r="GU154" s="413"/>
      <c r="GV154" s="413"/>
      <c r="GW154" s="412"/>
      <c r="GX154" s="412"/>
      <c r="GY154" s="412"/>
      <c r="GZ154" s="412"/>
      <c r="HA154" s="412"/>
      <c r="HB154" s="412"/>
      <c r="HC154" s="409"/>
      <c r="HD154" s="398">
        <f>IF(HC154=0,0,IF(LEN(GU154)=11,_xlfn.XLOOKUP(GU154,'Dispensed Ink Rates'!C:C,'Dispensed Ink Rates'!CS:CS),VLOOKUP(GU154,'Jan-2026 rates'!$E:$F,2,0)))</f>
        <v>0</v>
      </c>
      <c r="HE154" s="409"/>
      <c r="HF154" s="398">
        <f>IF(HE154=0,0,IF(LEN(GV154)=11,_xlfn.XLOOKUP(GV154,'Dispensed Ink Rates'!C:C,'Dispensed Ink Rates'!CS:CS),VLOOKUP(GV154,'Jan-2026 rates'!$E:$F,2,0)))</f>
        <v>0</v>
      </c>
      <c r="HG154" s="409"/>
      <c r="HH154" s="398">
        <f>IF(HG154=0,0,IF(LEN(GW154)=11,_xlfn.XLOOKUP(GW154,'Dispensed Ink Rates'!C:C,'Dispensed Ink Rates'!CS:CS),VLOOKUP(GW154,'Jan-2026 rates'!$E:$F,2,0)))</f>
        <v>0</v>
      </c>
      <c r="HI154" s="409"/>
      <c r="HJ154" s="398">
        <f>IF(HI154=0,0,IF(LEN(GX154)=11,_xlfn.XLOOKUP(GX154,'Dispensed Ink Rates'!C:C,'Dispensed Ink Rates'!CS:CS),VLOOKUP(GX154,'Jan-2026 rates'!$E:$F,2,0)))</f>
        <v>0</v>
      </c>
      <c r="HK154" s="409"/>
      <c r="HL154" s="398">
        <f>IF(HK154=0,0,IF(LEN(GY154)=11,_xlfn.XLOOKUP(GY154,'Dispensed Ink Rates'!C:C,'Dispensed Ink Rates'!CS:CS),VLOOKUP(GY154,'Jan-2026 rates'!$E:$F,2,0)))</f>
        <v>0</v>
      </c>
      <c r="HM154" s="409"/>
      <c r="HN154" s="398">
        <f>IF(HM154=0,0,IF(LEN(GZ154)=11,_xlfn.XLOOKUP(GZ154,'Dispensed Ink Rates'!C:C,'Dispensed Ink Rates'!CS:CS),VLOOKUP(GZ154,'Jan-2026 rates'!$E:$F,2,0)))</f>
        <v>0</v>
      </c>
      <c r="HO154" s="409"/>
      <c r="HP154" s="398">
        <f>IF(HO154=0,0,IF(LEN(HA154)=11,_xlfn.XLOOKUP(HA154,'Dispensed Ink Rates'!C:C,'Dispensed Ink Rates'!CS:CS),VLOOKUP(HA154,'Jan-2026 rates'!$E:$F,2,0)))</f>
        <v>0</v>
      </c>
      <c r="HQ154" s="409"/>
      <c r="HR154" s="398">
        <f>IF(HQ154=0,0,IF(LEN(HB154)=11,_xlfn.XLOOKUP(HB154,'Dispensed Ink Rates'!C:C,'Dispensed Ink Rates'!CS:CS),VLOOKUP(HB154,'Jan-2026 rates'!$E:$F,2,0)))</f>
        <v>0</v>
      </c>
      <c r="HS154" s="409"/>
      <c r="HT154" s="409"/>
      <c r="HU154" s="411">
        <f t="shared" si="121"/>
        <v>0</v>
      </c>
      <c r="HV154" s="411">
        <f t="shared" si="122"/>
        <v>0</v>
      </c>
      <c r="HW154" s="414">
        <f t="shared" si="123"/>
        <v>0</v>
      </c>
      <c r="HX154" s="405"/>
      <c r="HY154" s="409"/>
      <c r="HZ154" s="420" t="str">
        <f t="shared" si="59"/>
        <v xml:space="preserve"> - </v>
      </c>
      <c r="IA154" s="409"/>
      <c r="IB154" s="411">
        <f>IF(IA154=0,0,IF($LB154=70%,VLOOKUP($HZ154,'Jan-2026 rates'!$L:$R,4,0),IF($LB154=65%,VLOOKUP($HZ154,'Jan-2026 rates'!$L:$R,4,0),IF($LB154=40%,VLOOKUP($HZ154,'Jan-2026 rates'!$L:$R,5,0),IF($LB154=30%,VLOOKUP($HZ154,'Jan-2026 rates'!$L:$R,6,0),IF($LB154=100%,VLOOKUP($HZ154,'Jan-2026 rates'!$L:$R,7,0),IF($LB154=60%,VLOOKUP($HZ154,'Jan-2026 rates'!$L:$S,8,0),IF($LB154=80%,VLOOKUP($HZ154,'Jan-2026 rates'!L:T,9,0),0))))))))</f>
        <v>0</v>
      </c>
      <c r="IC154" s="412"/>
      <c r="ID154" s="409"/>
      <c r="IE154" s="411">
        <f>IF(ID154=0,0,IF($LB154=70%,VLOOKUP($HZ154,'Jan-2026 rates'!$L:$R,4,0),IF($LB154=65%,VLOOKUP($HZ154,'Jan-2026 rates'!$L:$R,4,0),IF($LB154=40%,VLOOKUP($HZ154,'Jan-2026 rates'!$L:$R,5,0),IF($LB154=30%,VLOOKUP($HZ154,'Jan-2026 rates'!$L:$R,6,0),IF($LB154=100%,VLOOKUP($HZ154,'Jan-2026 rates'!$L:$R,7,0),IF($LB154=60%,VLOOKUP($HZ154,'Jan-2026 rates'!$L:$S,8,0),IF($LB154=80%,VLOOKUP($HZ154,'Jan-2026 rates'!L:T,9,0),0))))))))</f>
        <v>0</v>
      </c>
      <c r="IF154" s="412"/>
      <c r="IG154" s="413"/>
      <c r="IH154" s="412"/>
      <c r="II154" s="412"/>
      <c r="IJ154" s="412"/>
      <c r="IK154" s="412"/>
      <c r="IL154" s="412"/>
      <c r="IM154" s="412"/>
      <c r="IN154" s="409"/>
      <c r="IO154" s="398">
        <f>IF(IN154=0,0,IF(LEN(IF154)=11,_xlfn.XLOOKUP(IF154,'Dispensed Ink Rates'!C:C,'Dispensed Ink Rates'!CS:CS),VLOOKUP(IF154,'Jan-2026 rates'!$E:$F,2,0)))</f>
        <v>0</v>
      </c>
      <c r="IP154" s="409"/>
      <c r="IQ154" s="398">
        <f>IF(IP154=0,0,IF(LEN(IG154)=11,_xlfn.XLOOKUP(IG154,'Dispensed Ink Rates'!C:C,'Dispensed Ink Rates'!CS:CS),VLOOKUP(IG154,'Jan-2026 rates'!$E:$F,2,0)))</f>
        <v>0</v>
      </c>
      <c r="IR154" s="409"/>
      <c r="IS154" s="398">
        <f>IF(IR154=0,0,IF(LEN(IH154)=11,_xlfn.XLOOKUP(IH154,'Dispensed Ink Rates'!C:C,'Dispensed Ink Rates'!CS:CS),VLOOKUP(IH154,'Jan-2026 rates'!$E:$F,2,0)))</f>
        <v>0</v>
      </c>
      <c r="IT154" s="409"/>
      <c r="IU154" s="398">
        <f>IF(IT154=0,0,IF(LEN(II154)=11,_xlfn.XLOOKUP(II154,'Dispensed Ink Rates'!C:C,'Dispensed Ink Rates'!CS:CS),VLOOKUP(II154,'Jan-2026 rates'!$E:$F,2,0)))</f>
        <v>0</v>
      </c>
      <c r="IV154" s="409"/>
      <c r="IW154" s="398">
        <f>IF(IV154=0,0,IF(LEN(IJ154)=11,_xlfn.XLOOKUP(IJ154,'Dispensed Ink Rates'!C:C,'Dispensed Ink Rates'!CS:CS),VLOOKUP(IJ154,'Jan-2026 rates'!$E:$F,2,0)))</f>
        <v>0</v>
      </c>
      <c r="IX154" s="409"/>
      <c r="IY154" s="398">
        <f>IF(IX154=0,0,IF(LEN(IK154)=11,_xlfn.XLOOKUP(IK154,'Dispensed Ink Rates'!C:C,'Dispensed Ink Rates'!CS:CS),VLOOKUP(IK154,'Jan-2026 rates'!$E:$F,2,0)))</f>
        <v>0</v>
      </c>
      <c r="IZ154" s="409"/>
      <c r="JA154" s="398">
        <f>IF(IZ154=0,0,IF(LEN(IL154)=11,_xlfn.XLOOKUP(IL154,'Dispensed Ink Rates'!C:C,'Dispensed Ink Rates'!CS:CS),VLOOKUP(IL154,'Jan-2026 rates'!$E:$F,2,0)))</f>
        <v>0</v>
      </c>
      <c r="JB154" s="409"/>
      <c r="JC154" s="398">
        <f>IF(JB154=0,0,IF(LEN(IM154)=11,_xlfn.XLOOKUP(IM154,'Dispensed Ink Rates'!C:C,'Dispensed Ink Rates'!CS:CS),VLOOKUP(IM154,'Jan-2026 rates'!$E:$F,2,0)))</f>
        <v>0</v>
      </c>
      <c r="JD154" s="409"/>
      <c r="JE154" s="409"/>
      <c r="JF154" s="411">
        <f t="shared" si="124"/>
        <v>0</v>
      </c>
      <c r="JG154" s="411">
        <f t="shared" si="125"/>
        <v>0</v>
      </c>
      <c r="JH154" s="410">
        <f t="shared" si="126"/>
        <v>0</v>
      </c>
      <c r="JI154" s="405"/>
      <c r="JJ154" s="409"/>
      <c r="JK154" s="420" t="str">
        <f t="shared" si="60"/>
        <v xml:space="preserve"> - </v>
      </c>
      <c r="JL154" s="409"/>
      <c r="JM154" s="411">
        <f>IF(JL154=0,0,IF($LB154=70%,VLOOKUP($JK154,'Jan-2026 rates'!$L:$R,4,0),IF($LB154=65%,VLOOKUP($JK154,'Jan-2026 rates'!$L:$R,4,0),IF($LB154=40%,VLOOKUP($JK154,'Jan-2026 rates'!$L:$R,5,0),IF($LB154=30%,VLOOKUP($JK154,'Jan-2026 rates'!$L:$R,6,0),IF($LB154=100%,VLOOKUP($JK154,'Jan-2026 rates'!$L:$R,7,0),IF($LB154=60%,VLOOKUP($JK154,'Jan-2026 rates'!$L:$S,8,0),IF($LB154=80%,VLOOKUP($JK154,'Jan-2026 rates'!L:T,9,0),0))))))))</f>
        <v>0</v>
      </c>
      <c r="JN154" s="412"/>
      <c r="JO154" s="409"/>
      <c r="JP154" s="411">
        <f>IF(JO154=0,0,IF($LB154=70%,VLOOKUP($JK154,'Jan-2026 rates'!$L:$R,4,0),IF($LB154=65%,VLOOKUP($JK154,'Jan-2026 rates'!$L:$R,4,0),IF($LB154=40%,VLOOKUP($JK154,'Jan-2026 rates'!$L:$R,5,0),IF($LB154=30%,VLOOKUP($JK154,'Jan-2026 rates'!$L:$R,6,0),IF($LB154=100%,VLOOKUP($JK154,'Jan-2026 rates'!$L:$R,7,0),IF($LB154=60%,VLOOKUP($JK154,'Jan-2026 rates'!$L:$S,8,0),IF($LB154=80%,VLOOKUP($JK154,'Jan-2026 rates'!L:T,9,0),0))))))))</f>
        <v>0</v>
      </c>
      <c r="JQ154" s="413"/>
      <c r="JR154" s="412"/>
      <c r="JS154" s="413"/>
      <c r="JT154" s="413"/>
      <c r="JU154" s="412"/>
      <c r="JV154" s="412"/>
      <c r="JW154" s="412"/>
      <c r="JX154" s="412"/>
      <c r="JY154" s="409"/>
      <c r="JZ154" s="398">
        <f>IF(JY154=0,0,IF(LEN(JQ154)=11,_xlfn.XLOOKUP(JQ154,'Dispensed Ink Rates'!C:C,'Dispensed Ink Rates'!CS:CS),VLOOKUP(JQ154,'Jan-2026 rates'!$E:$F,2,0)))</f>
        <v>0</v>
      </c>
      <c r="KA154" s="409"/>
      <c r="KB154" s="398">
        <f>IF(KA154=0,0,IF(LEN(JR154)=11,_xlfn.XLOOKUP(JR154,'Dispensed Ink Rates'!C:C,'Dispensed Ink Rates'!CS:CS),VLOOKUP(JR154,'Jan-2026 rates'!$E:$F,2,0)))</f>
        <v>0</v>
      </c>
      <c r="KC154" s="409"/>
      <c r="KD154" s="398">
        <f>IF(KC154=0,0,IF(LEN(JS154)=11,_xlfn.XLOOKUP(JS154,'Dispensed Ink Rates'!C:C,'Dispensed Ink Rates'!CS:CS),VLOOKUP(JS154,'Jan-2026 rates'!$E:$F,2,0)))</f>
        <v>0</v>
      </c>
      <c r="KE154" s="409"/>
      <c r="KF154" s="398">
        <f>IF(KE154=0,0,IF(LEN(JT154)=11,_xlfn.XLOOKUP(JT154,'Dispensed Ink Rates'!C:C,'Dispensed Ink Rates'!CS:CS),VLOOKUP(JT154,'Jan-2026 rates'!$E:$F,2,0)))</f>
        <v>0</v>
      </c>
      <c r="KG154" s="409"/>
      <c r="KH154" s="398">
        <f>IF(KG154=0,0,IF(LEN(JU154)=11,_xlfn.XLOOKUP(JU154,'Dispensed Ink Rates'!C:C,'Dispensed Ink Rates'!CS:CS),VLOOKUP(JU154,'Jan-2026 rates'!$E:$F,2,0)))</f>
        <v>0</v>
      </c>
      <c r="KI154" s="409"/>
      <c r="KJ154" s="398">
        <f>IF(KI154=0,0,IF(LEN(JV154)=11,_xlfn.XLOOKUP(JV154,'Dispensed Ink Rates'!C:C,'Dispensed Ink Rates'!CS:CS),VLOOKUP(JV154,'Jan-2026 rates'!$E:$F,2,0)))</f>
        <v>0</v>
      </c>
      <c r="KK154" s="409"/>
      <c r="KL154" s="398">
        <f>IF(KK154=0,0,IF(LEN(JW154)=11,_xlfn.XLOOKUP(JW154,'Dispensed Ink Rates'!C:C,'Dispensed Ink Rates'!CS:CS),VLOOKUP(JW154,'Jan-2026 rates'!$E:$F,2,0)))</f>
        <v>0</v>
      </c>
      <c r="KM154" s="428"/>
      <c r="KN154" s="398">
        <f>IF(KM154=0,0,IF(LEN(JX154)=11,_xlfn.XLOOKUP(JX154,'Dispensed Ink Rates'!C:C,'Dispensed Ink Rates'!CS:CS),VLOOKUP(JX154,'Jan-2026 rates'!$E:$F,2,0)))</f>
        <v>0</v>
      </c>
      <c r="KO154" s="409"/>
      <c r="KP154" s="409"/>
      <c r="KQ154" s="411">
        <f t="shared" si="127"/>
        <v>0</v>
      </c>
      <c r="KR154" s="411">
        <f t="shared" si="128"/>
        <v>0</v>
      </c>
      <c r="KS154" s="410">
        <f t="shared" si="129"/>
        <v>0</v>
      </c>
      <c r="KT154" s="409">
        <v>15</v>
      </c>
      <c r="KU154" s="409">
        <f>5+15</f>
        <v>20</v>
      </c>
      <c r="KV154" s="409">
        <v>0</v>
      </c>
      <c r="KW154" s="409">
        <v>0</v>
      </c>
      <c r="KX154" s="409">
        <v>0</v>
      </c>
      <c r="KY154" s="409">
        <v>0</v>
      </c>
      <c r="KZ154" s="409">
        <v>0</v>
      </c>
      <c r="LA154" s="409">
        <v>0</v>
      </c>
      <c r="LB154" s="415">
        <v>0.3</v>
      </c>
      <c r="LC154" s="415"/>
      <c r="LD154" s="415"/>
      <c r="LE154" s="415">
        <v>0.5</v>
      </c>
      <c r="LF154" s="415">
        <v>0.2</v>
      </c>
      <c r="LG154" s="409">
        <v>0</v>
      </c>
      <c r="LH154" s="409">
        <f>20+15+21+35+5+4+14</f>
        <v>114</v>
      </c>
      <c r="LI154" s="409">
        <v>0</v>
      </c>
      <c r="LJ154" s="409">
        <v>0</v>
      </c>
      <c r="LK154" s="416">
        <f t="shared" si="61"/>
        <v>114</v>
      </c>
      <c r="LL154" s="416">
        <f t="shared" si="62"/>
        <v>114</v>
      </c>
      <c r="LM154" s="417">
        <f t="shared" si="63"/>
        <v>34.199999999999996</v>
      </c>
      <c r="LN154" s="417">
        <f>VLOOKUP($LM$8,'Jan-2026 rates'!$H:$I,2,0)</f>
        <v>0</v>
      </c>
      <c r="LO154" s="417">
        <f t="shared" si="64"/>
        <v>0</v>
      </c>
      <c r="LP154" s="417">
        <f>VLOOKUP($LO$8,'Jan-2026 rates'!$H:$I,2,0)</f>
        <v>0</v>
      </c>
      <c r="LQ154" s="417">
        <f t="shared" si="65"/>
        <v>0</v>
      </c>
      <c r="LR154" s="417">
        <f>VLOOKUP($LQ$8,'Jan-2026 rates'!$H:$I,2,0)</f>
        <v>0</v>
      </c>
      <c r="LS154" s="417">
        <f t="shared" si="66"/>
        <v>57</v>
      </c>
      <c r="LT154" s="417">
        <f>VLOOKUP($LS$8,'Jan-2026 rates'!$H:$I,2,0)</f>
        <v>0</v>
      </c>
      <c r="LU154" s="417">
        <f t="shared" si="67"/>
        <v>22.8</v>
      </c>
      <c r="LV154" s="417">
        <f>VLOOKUP($LU$8,'Jan-2026 rates'!$H:$I,2,0)</f>
        <v>0</v>
      </c>
      <c r="LW154" s="417">
        <f t="shared" si="68"/>
        <v>0</v>
      </c>
      <c r="LX154" s="417">
        <f t="shared" si="69"/>
        <v>0</v>
      </c>
      <c r="LY154" s="418">
        <f t="shared" si="70"/>
        <v>0</v>
      </c>
      <c r="LZ154" s="417"/>
      <c r="MA154" s="435">
        <f t="shared" si="71"/>
        <v>84.86</v>
      </c>
      <c r="MB154" s="282">
        <f t="shared" si="72"/>
        <v>177.85999999999999</v>
      </c>
      <c r="MC154" s="283" t="s">
        <v>1989</v>
      </c>
      <c r="MD154" s="284" t="str">
        <f t="shared" si="73"/>
        <v>ToyoLiToyoLi</v>
      </c>
      <c r="ME154" s="293" t="str">
        <f t="shared" si="74"/>
        <v>+</v>
      </c>
      <c r="MF154" s="293" t="str">
        <f t="shared" si="75"/>
        <v>+</v>
      </c>
      <c r="MG154" s="293" t="str">
        <f t="shared" si="76"/>
        <v>NIL</v>
      </c>
      <c r="MH154" s="293" t="str">
        <f t="shared" si="77"/>
        <v>NIL</v>
      </c>
      <c r="MI154" s="293" t="str">
        <f t="shared" si="78"/>
        <v>NIL</v>
      </c>
      <c r="MJ154" s="293" t="str">
        <f t="shared" si="79"/>
        <v>NIL</v>
      </c>
      <c r="MK154" s="293" t="str">
        <f t="shared" si="80"/>
        <v>NIL</v>
      </c>
      <c r="ML154" s="293" t="str">
        <f t="shared" si="81"/>
        <v>NIL</v>
      </c>
      <c r="MM154" s="3" t="b">
        <f t="array" ref="MM154">OR(ME154:ML154="-")</f>
        <v>0</v>
      </c>
      <c r="MN154" s="285"/>
      <c r="MO154" s="401"/>
      <c r="MP154" s="286"/>
      <c r="MQ154" s="286"/>
      <c r="MR154" s="402"/>
      <c r="MS154" s="400"/>
      <c r="NH154" s="422"/>
      <c r="NJ154" s="421"/>
    </row>
    <row r="155" spans="1:374" s="1" customFormat="1" ht="16.5">
      <c r="A155" s="403">
        <v>46033</v>
      </c>
      <c r="B155" s="404" t="s">
        <v>1015</v>
      </c>
      <c r="C155" s="405" t="s">
        <v>3482</v>
      </c>
      <c r="D155" s="406" t="s">
        <v>1990</v>
      </c>
      <c r="E155" s="404">
        <v>222</v>
      </c>
      <c r="F155" s="407">
        <v>12800</v>
      </c>
      <c r="G155" s="407" t="s">
        <v>1016</v>
      </c>
      <c r="H155" s="408" t="s">
        <v>1017</v>
      </c>
      <c r="I155" s="409">
        <v>1.22</v>
      </c>
      <c r="J155" s="405" t="s">
        <v>543</v>
      </c>
      <c r="K155" s="404" t="s">
        <v>3483</v>
      </c>
      <c r="L155" s="419" t="str">
        <f t="shared" si="54"/>
        <v>ToyoLi - BLACK</v>
      </c>
      <c r="M155" s="404">
        <v>29</v>
      </c>
      <c r="N155" s="410">
        <f>IF(M155=0,0,IF($LB155=70%,VLOOKUP($L155,'Jan-2026 rates'!$L:$R,4,0),IF($LB155=65%,VLOOKUP($L155,'Jan-2026 rates'!$L:$R,4,0),IF($LB155=40%,VLOOKUP($L155,'Jan-2026 rates'!$L:$R,5,0),IF($LB155=30%,VLOOKUP($L155,'Jan-2026 rates'!$L:$R,6,0),IF($LB155=100%,VLOOKUP($L155,'Jan-2026 rates'!$L:$R,7,0),IF($LB155=60%,VLOOKUP($L155,'Jan-2026 rates'!$L:$S,8,0),IF($LB155=80%,VLOOKUP($L155,'Jan-2026 rates'!L:T,9,0),0))))))))</f>
        <v>0</v>
      </c>
      <c r="O155" s="406"/>
      <c r="P155" s="404"/>
      <c r="Q155" s="410">
        <f>IF(P155=0,0,IF($LB155=70%,VLOOKUP($L155,'Jan-2026 rates'!$L:$R,4,0),IF($LB155=65%,VLOOKUP($L155,'Jan-2026 rates'!$L:$R,4,0),IF($LB155=40%,VLOOKUP($L155,'Jan-2026 rates'!$L:$R,5,0),IF($LB155=30%,VLOOKUP($L155,'Jan-2026 rates'!$L:$R,6,0),IF($LB155=100%,VLOOKUP($L155,'Jan-2026 rates'!$L:$R,7,0),IF($LB155=60%,VLOOKUP($L155,'Jan-2026 rates'!$L:$S,8,0),IF($LB155=80%,VLOOKUP($L155,'Jan-2026 rates'!L:T,9,0),0))))))))</f>
        <v>0</v>
      </c>
      <c r="R155" s="406" t="s">
        <v>1252</v>
      </c>
      <c r="S155" s="406"/>
      <c r="T155" s="406"/>
      <c r="U155" s="406"/>
      <c r="V155" s="406"/>
      <c r="W155" s="406"/>
      <c r="X155" s="406"/>
      <c r="Y155" s="406"/>
      <c r="Z155" s="404">
        <v>2</v>
      </c>
      <c r="AA155" s="398">
        <f>IF(Z155=0,0,IF(LEN(R155)=11,_xlfn.XLOOKUP(R155,'Dispensed Ink Rates'!C:C,'Dispensed Ink Rates'!CS:CS),VLOOKUP(R155,'Jan-2026 rates'!$E:$F,2,0)))</f>
        <v>0</v>
      </c>
      <c r="AB155" s="404"/>
      <c r="AC155" s="398">
        <f>IF(AB155=0,0,IF(LEN(S155)=11,_xlfn.XLOOKUP(S155,'Dispensed Ink Rates'!C:C,'Dispensed Ink Rates'!CS:CS),VLOOKUP(S155,'Jan-2026 rates'!$E:$F,2,0)))</f>
        <v>0</v>
      </c>
      <c r="AD155" s="404"/>
      <c r="AE155" s="398">
        <f>IF(AD155=0,0,IF(LEN(T155)=11,_xlfn.XLOOKUP(T155,'Dispensed Ink Rates'!C:C,'Dispensed Ink Rates'!CS:CS),VLOOKUP(T155,'Jan-2026 rates'!$E:$F,2,0)))</f>
        <v>0</v>
      </c>
      <c r="AF155" s="404"/>
      <c r="AG155" s="398">
        <f>IF(AF155=0,0,IF(LEN(U155)=11,_xlfn.XLOOKUP(U155,'Dispensed Ink Rates'!C:C,'Dispensed Ink Rates'!CS:CS),VLOOKUP(U155,'Jan-2026 rates'!$E:$F,2,0)))</f>
        <v>0</v>
      </c>
      <c r="AH155" s="404"/>
      <c r="AI155" s="398">
        <f>IF(AH155=0,0,IF(LEN(V155)=11,_xlfn.XLOOKUP(V155,'Dispensed Ink Rates'!C:C,'Dispensed Ink Rates'!CS:CS),VLOOKUP(V155,'Jan-2026 rates'!$E:$F,2,0)))</f>
        <v>0</v>
      </c>
      <c r="AJ155" s="404"/>
      <c r="AK155" s="398">
        <f>IF(AJ155=0,0,IF(LEN(W155)=11,_xlfn.XLOOKUP(W155,'Dispensed Ink Rates'!C:C,'Dispensed Ink Rates'!CS:CS),VLOOKUP(W155,'Jan-2026 rates'!$E:$F,2,0)))</f>
        <v>0</v>
      </c>
      <c r="AL155" s="404"/>
      <c r="AM155" s="398">
        <f>IF(AL155=0,0,IF(LEN(X155)=11,_xlfn.XLOOKUP(X155,'Dispensed Ink Rates'!C:C,'Dispensed Ink Rates'!CS:CS),VLOOKUP(X155,'Jan-2026 rates'!$E:$F,2,0)))</f>
        <v>0</v>
      </c>
      <c r="AN155" s="404"/>
      <c r="AO155" s="398">
        <f>IF(AN155=0,0,IF(LEN(Y155)=11,_xlfn.XLOOKUP(Y155,'Dispensed Ink Rates'!C:C,'Dispensed Ink Rates'!CS:CS),VLOOKUP(Y155,'Jan-2026 rates'!$E:$F,2,0)))</f>
        <v>0</v>
      </c>
      <c r="AP155" s="409" t="s">
        <v>1881</v>
      </c>
      <c r="AQ155" s="409">
        <v>26</v>
      </c>
      <c r="AR155" s="410">
        <f t="shared" si="106"/>
        <v>0</v>
      </c>
      <c r="AS155" s="411">
        <f t="shared" si="107"/>
        <v>8.2363636363636346</v>
      </c>
      <c r="AT155" s="410">
        <f t="shared" si="108"/>
        <v>0</v>
      </c>
      <c r="AU155" s="405" t="s">
        <v>548</v>
      </c>
      <c r="AV155" s="409" t="s">
        <v>3484</v>
      </c>
      <c r="AW155" s="420" t="str">
        <f t="shared" si="130"/>
        <v>ToyoLi - GOLD</v>
      </c>
      <c r="AX155" s="409">
        <v>15</v>
      </c>
      <c r="AY155" s="411">
        <f>IF(AX155=0,0,IF($LB155=70%,VLOOKUP($AW155,'Jan-2026 rates'!$L:$R,4,0),IF($LB155=65%,VLOOKUP($AW155,'Jan-2026 rates'!$L:$R,4,0),IF($LB155=40%,VLOOKUP($AW155,'Jan-2026 rates'!$L:$R,5,0),IF($LB155=30%,VLOOKUP($AW155,'Jan-2026 rates'!$L:$R,6,0),IF($LB155=100%,VLOOKUP($AW155,'Jan-2026 rates'!$L:$R,7,0),IF($LB155=60%,VLOOKUP($AW155,'Jan-2026 rates'!$L:$S,8,0),IF($LB155=80%,VLOOKUP($AW155,'Jan-2026 rates'!L:T,9,0),0))))))))</f>
        <v>0</v>
      </c>
      <c r="AZ155" s="412" t="s">
        <v>3485</v>
      </c>
      <c r="BA155" s="409">
        <v>9</v>
      </c>
      <c r="BB155" s="411">
        <f>IF(BA155=0,0,IF($LB155=70%,VLOOKUP($AW155,'Jan-2026 rates'!$L:$R,4,0),IF($LB155=65%,VLOOKUP($AW155,'Jan-2026 rates'!$L:$R,4,0),IF($LB155=40%,VLOOKUP($AW155,'Jan-2026 rates'!$L:$R,5,0),IF($LB155=30%,VLOOKUP($AW155,'Jan-2026 rates'!$L:$R,6,0),IF($LB155=100%,VLOOKUP($AW155,'Jan-2026 rates'!$L:$R,7,0),IF($LB155=60%,VLOOKUP($AW155,'Jan-2026 rates'!$L:$S,8,0),IF($LB155=80%,VLOOKUP($AW155,'Jan-2026 rates'!L:T,9,0),0))))))))</f>
        <v>0</v>
      </c>
      <c r="BC155" s="413" t="s">
        <v>1891</v>
      </c>
      <c r="BD155" s="412"/>
      <c r="BE155" s="412"/>
      <c r="BF155" s="413"/>
      <c r="BG155" s="412"/>
      <c r="BH155" s="412"/>
      <c r="BI155" s="412"/>
      <c r="BJ155" s="412"/>
      <c r="BK155" s="409">
        <v>8</v>
      </c>
      <c r="BL155" s="398">
        <f>IF(BK155=0,0,IF(LEN(BC155)=11,_xlfn.XLOOKUP(BC155,'Dispensed Ink Rates'!C:C,'Dispensed Ink Rates'!CS:CS),VLOOKUP(BC155,'Jan-2026 rates'!$E:$F,2,0)))</f>
        <v>0</v>
      </c>
      <c r="BM155" s="409"/>
      <c r="BN155" s="398">
        <f>IF(BM155=0,0,IF(LEN(BD155)=11,_xlfn.XLOOKUP(BD155,'Dispensed Ink Rates'!C:C,'Dispensed Ink Rates'!CS:CS),VLOOKUP(BD155,'Jan-2026 rates'!$E:$F,2,0)))</f>
        <v>0</v>
      </c>
      <c r="BO155" s="409"/>
      <c r="BP155" s="398">
        <f>IF(BO155=0,0,IF(LEN(BE155)=11,_xlfn.XLOOKUP(BE155,'Dispensed Ink Rates'!C:C,'Dispensed Ink Rates'!CS:CS),VLOOKUP(BE155,'Jan-2026 rates'!$E:$F,2,0)))</f>
        <v>0</v>
      </c>
      <c r="BQ155" s="409"/>
      <c r="BR155" s="398">
        <f>IF(BQ155=0,0,IF(LEN(BF155)=11,_xlfn.XLOOKUP(BF155,'Dispensed Ink Rates'!C:C,'Dispensed Ink Rates'!CS:CS),VLOOKUP(BF155,'Jan-2026 rates'!$E:$F,2,0)))</f>
        <v>0</v>
      </c>
      <c r="BS155" s="409"/>
      <c r="BT155" s="398">
        <f>IF(BS155=0,0,IF(LEN(BG155)=11,_xlfn.XLOOKUP(BG155,'Dispensed Ink Rates'!C:C,'Dispensed Ink Rates'!CS:CS),VLOOKUP(BG155,'Jan-2026 rates'!$E:$F,2,0)))</f>
        <v>0</v>
      </c>
      <c r="BU155" s="409"/>
      <c r="BV155" s="398">
        <f>IF(BU155=0,0,IF(LEN(BH155)=11,_xlfn.XLOOKUP(BH155,'Dispensed Ink Rates'!C:C,'Dispensed Ink Rates'!CS:CS),VLOOKUP(BH155,'Jan-2026 rates'!$E:$F,2,0)))</f>
        <v>0</v>
      </c>
      <c r="BW155" s="409"/>
      <c r="BX155" s="398">
        <f>IF(BW155=0,0,IF(LEN(BI155)=11,_xlfn.XLOOKUP(BI155,'Dispensed Ink Rates'!C:C,'Dispensed Ink Rates'!CS:CS),VLOOKUP(BI155,'Jan-2026 rates'!$E:$F,2,0)))</f>
        <v>0</v>
      </c>
      <c r="BY155" s="409"/>
      <c r="BZ155" s="398">
        <f>IF(BY155=0,0,IF(LEN(BJ155)=11,_xlfn.XLOOKUP(BJ155,'Dispensed Ink Rates'!C:C,'Dispensed Ink Rates'!CS:CS),VLOOKUP(BJ155,'Jan-2026 rates'!$E:$F,2,0)))</f>
        <v>0</v>
      </c>
      <c r="CA155" s="409" t="s">
        <v>1881</v>
      </c>
      <c r="CB155" s="409">
        <f>11+15</f>
        <v>26</v>
      </c>
      <c r="CC155" s="411">
        <f t="shared" si="109"/>
        <v>0</v>
      </c>
      <c r="CD155" s="411">
        <f t="shared" si="110"/>
        <v>14.090909090909093</v>
      </c>
      <c r="CE155" s="410">
        <f t="shared" si="111"/>
        <v>0</v>
      </c>
      <c r="CF155" s="404" t="s">
        <v>547</v>
      </c>
      <c r="CG155" s="409" t="s">
        <v>3486</v>
      </c>
      <c r="CH155" s="420" t="str">
        <f t="shared" si="55"/>
        <v>ToyoLi - GREEN</v>
      </c>
      <c r="CI155" s="409">
        <v>17</v>
      </c>
      <c r="CJ155" s="411">
        <f>IF(CI155=0,0,IF($LB155=70%,VLOOKUP($CH155,'Jan-2026 rates'!$L:$R,4,0),IF($LB155=65%,VLOOKUP($CH155,'Jan-2026 rates'!$L:$R,4,0),IF($LB155=40%,VLOOKUP($CH155,'Jan-2026 rates'!$L:$R,5,0),IF($LB155=30%,VLOOKUP($CH155,'Jan-2026 rates'!$L:$R,6,0),IF($LB155=100%,VLOOKUP($CH155,'Jan-2026 rates'!$L:$R,7,0),IF($LB155=60%,VLOOKUP($CH155,'Jan-2026 rates'!$L:$S,8,0),IF($LB155=80%,VLOOKUP($CH155,'Jan-2026 rates'!L:T,9,0),0))))))))</f>
        <v>0</v>
      </c>
      <c r="CK155" s="412" t="s">
        <v>3485</v>
      </c>
      <c r="CL155" s="409">
        <v>10</v>
      </c>
      <c r="CM155" s="411">
        <f>IF(CL155=0,0,IF($LB155=70%,VLOOKUP($CH155,'Jan-2026 rates'!$L:$R,4,0),IF($LB155=65%,VLOOKUP($CH155,'Jan-2026 rates'!$L:$R,4,0),IF($LB155=40%,VLOOKUP($CH155,'Jan-2026 rates'!$L:$R,5,0),IF($LB155=30%,VLOOKUP($CH155,'Jan-2026 rates'!$L:$R,6,0),IF($LB155=100%,VLOOKUP($CH155,'Jan-2026 rates'!$L:$R,7,0),IF($LB155=60%,VLOOKUP($CH155,'Jan-2026 rates'!$L:$S,8,0),IF($LB155=80%,VLOOKUP($CH155,'Jan-2026 rates'!L:T,9,0),0))))))))</f>
        <v>0</v>
      </c>
      <c r="CN155" s="426" t="s">
        <v>1251</v>
      </c>
      <c r="CO155" s="427" t="s">
        <v>1247</v>
      </c>
      <c r="CP155" s="426" t="s">
        <v>1250</v>
      </c>
      <c r="CQ155" s="426"/>
      <c r="CR155" s="428"/>
      <c r="CS155" s="428"/>
      <c r="CT155" s="428"/>
      <c r="CU155" s="428"/>
      <c r="CV155" s="409">
        <v>15</v>
      </c>
      <c r="CW155" s="398">
        <f>IF(CV155=0,0,IF(LEN(CN155)=11,_xlfn.XLOOKUP(CN155,'Dispensed Ink Rates'!C:C,'Dispensed Ink Rates'!CS:CS),VLOOKUP(CN155,'Jan-2026 rates'!$E:$F,2,0)))</f>
        <v>0</v>
      </c>
      <c r="CX155" s="409">
        <v>10</v>
      </c>
      <c r="CY155" s="398">
        <f>IF(CX155=0,0,IF(LEN(CO155)=11,_xlfn.XLOOKUP(CO155,'Dispensed Ink Rates'!C:C,'Dispensed Ink Rates'!CS:CS),VLOOKUP(CO155,'Jan-2026 rates'!$E:$F,2,0)))</f>
        <v>0</v>
      </c>
      <c r="CZ155" s="409">
        <v>6</v>
      </c>
      <c r="DA155" s="398">
        <f>IF(CZ155=0,0,IF(LEN(CP155)=11,_xlfn.XLOOKUP(CP155,'Dispensed Ink Rates'!C:C,'Dispensed Ink Rates'!CS:CS),VLOOKUP(CP155,'Jan-2026 rates'!$E:$F,2,0)))</f>
        <v>0</v>
      </c>
      <c r="DB155" s="409"/>
      <c r="DC155" s="398">
        <f>IF(DB155=0,0,IF(LEN(CQ155)=11,_xlfn.XLOOKUP(CQ155,'Dispensed Ink Rates'!C:C,'Dispensed Ink Rates'!CS:CS),VLOOKUP(CQ155,'Jan-2026 rates'!$E:$F,2,0)))</f>
        <v>0</v>
      </c>
      <c r="DD155" s="409"/>
      <c r="DE155" s="398">
        <f>IF(DD155=0,0,IF(LEN(CR155)=11,_xlfn.XLOOKUP(CR155,'Dispensed Ink Rates'!C:C,'Dispensed Ink Rates'!CS:CS),VLOOKUP(CR155,'Jan-2026 rates'!$E:$F,2,0)))</f>
        <v>0</v>
      </c>
      <c r="DF155" s="409"/>
      <c r="DG155" s="398">
        <f>IF(DF155=0,0,IF(LEN(CS155)=11,_xlfn.XLOOKUP(CS155,'Dispensed Ink Rates'!C:C,'Dispensed Ink Rates'!CS:CS),VLOOKUP(CS155,'Jan-2026 rates'!$E:$F,2,0)))</f>
        <v>0</v>
      </c>
      <c r="DH155" s="409"/>
      <c r="DI155" s="398">
        <f>IF(DH155=0,0,IF(LEN(CT155)=11,_xlfn.XLOOKUP(CT155,'Dispensed Ink Rates'!C:C,'Dispensed Ink Rates'!CS:CS),VLOOKUP(CT155,'Jan-2026 rates'!$E:$F,2,0)))</f>
        <v>0</v>
      </c>
      <c r="DJ155" s="409"/>
      <c r="DK155" s="398">
        <f>IF(DJ155=0,0,IF(LEN(CU155)=11,_xlfn.XLOOKUP(CU155,'Dispensed Ink Rates'!C:C,'Dispensed Ink Rates'!CS:CS),VLOOKUP(CU155,'Jan-2026 rates'!$E:$F,2,0)))</f>
        <v>0</v>
      </c>
      <c r="DL155" s="409" t="s">
        <v>1881</v>
      </c>
      <c r="DM155" s="409">
        <f>17+12</f>
        <v>29</v>
      </c>
      <c r="DN155" s="411">
        <f t="shared" si="112"/>
        <v>0</v>
      </c>
      <c r="DO155" s="411">
        <f t="shared" si="113"/>
        <v>41.945454545454538</v>
      </c>
      <c r="DP155" s="410">
        <f t="shared" si="114"/>
        <v>0</v>
      </c>
      <c r="DQ155" s="405" t="s">
        <v>855</v>
      </c>
      <c r="DR155" s="409" t="s">
        <v>3487</v>
      </c>
      <c r="DS155" s="420" t="str">
        <f t="shared" si="56"/>
        <v>ToyoLi - CYAN</v>
      </c>
      <c r="DT155" s="409">
        <v>17</v>
      </c>
      <c r="DU155" s="411">
        <f>IF(DT155=0,0,IF($LB155=70%,VLOOKUP($DS155,'Jan-2026 rates'!$L:$R,4,0),IF($LB155=65%,VLOOKUP($DS155,'Jan-2026 rates'!$L:$R,4,0),IF($LB155=40%,VLOOKUP($DS155,'Jan-2026 rates'!$L:$R,5,0),IF($LB155=30%,VLOOKUP($DS155,'Jan-2026 rates'!$L:$R,6,0),IF($LB155=100%,VLOOKUP($DS155,'Jan-2026 rates'!$L:$R,7,0),IF($LB155=60%,VLOOKUP($DS155,'Jan-2026 rates'!$L:$S,8,0),IF($LB155=80%,VLOOKUP($DS155,'Jan-2026 rates'!L:T,9,0),0))))))))</f>
        <v>0</v>
      </c>
      <c r="DV155" s="412"/>
      <c r="DW155" s="409"/>
      <c r="DX155" s="411">
        <f>IF(DW155=0,0,IF($LB155=70%,VLOOKUP($DS155,'Jan-2026 rates'!$L:$R,4,0),IF($LB155=65%,VLOOKUP($DS155,'Jan-2026 rates'!$L:$R,4,0),IF($LB155=40%,VLOOKUP($DS155,'Jan-2026 rates'!$L:$R,5,0),IF($LB155=30%,VLOOKUP($DS155,'Jan-2026 rates'!$L:$R,6,0),IF($LB155=100%,VLOOKUP($DS155,'Jan-2026 rates'!$L:$R,7,0),IF($LB155=60%,VLOOKUP($DS155,'Jan-2026 rates'!$L:$S,8,0),IF($LB155=80%,VLOOKUP($DS155,'Jan-2026 rates'!L:T,9,0),0))))))))</f>
        <v>0</v>
      </c>
      <c r="DY155" s="413" t="s">
        <v>1250</v>
      </c>
      <c r="DZ155" s="413"/>
      <c r="EA155" s="412"/>
      <c r="EB155" s="412"/>
      <c r="EC155" s="412"/>
      <c r="ED155" s="412"/>
      <c r="EE155" s="412"/>
      <c r="EF155" s="412"/>
      <c r="EG155" s="409">
        <v>8</v>
      </c>
      <c r="EH155" s="398">
        <f>IF(EG155=0,0,IF(LEN(DY155)=11,_xlfn.XLOOKUP(DY155,'Dispensed Ink Rates'!C:C,'Dispensed Ink Rates'!CS:CS),VLOOKUP(DY155,'Jan-2026 rates'!$E:$F,2,0)))</f>
        <v>0</v>
      </c>
      <c r="EI155" s="409"/>
      <c r="EJ155" s="398">
        <f>IF(EI155=0,0,IF(LEN(DZ155)=11,_xlfn.XLOOKUP(DZ155,'Dispensed Ink Rates'!C:C,'Dispensed Ink Rates'!CS:CS),VLOOKUP(DZ155,'Jan-2026 rates'!$E:$F,2,0)))</f>
        <v>0</v>
      </c>
      <c r="EK155" s="409"/>
      <c r="EL155" s="398">
        <f>IF(EK155=0,0,IF(LEN(EA155)=11,_xlfn.XLOOKUP(EA155,'Dispensed Ink Rates'!C:C,'Dispensed Ink Rates'!CS:CS),VLOOKUP(EA155,'Jan-2026 rates'!$E:$F,2,0)))</f>
        <v>0</v>
      </c>
      <c r="EM155" s="409"/>
      <c r="EN155" s="398">
        <f>IF(EM155=0,0,IF(LEN(EB155)=11,_xlfn.XLOOKUP(EB155,'Dispensed Ink Rates'!C:C,'Dispensed Ink Rates'!CS:CS),VLOOKUP(EB155,'Jan-2026 rates'!$E:$F,2,0)))</f>
        <v>0</v>
      </c>
      <c r="EO155" s="409"/>
      <c r="EP155" s="398">
        <f>IF(EO155=0,0,IF(LEN(EC155)=11,_xlfn.XLOOKUP(EC155,'Dispensed Ink Rates'!C:C,'Dispensed Ink Rates'!CS:CS),VLOOKUP(EC155,'Jan-2026 rates'!$E:$F,2,0)))</f>
        <v>0</v>
      </c>
      <c r="EQ155" s="409"/>
      <c r="ER155" s="398">
        <f>IF(EQ155=0,0,IF(LEN(ED155)=11,_xlfn.XLOOKUP(ED155,'Dispensed Ink Rates'!C:C,'Dispensed Ink Rates'!CS:CS),VLOOKUP(ED155,'Jan-2026 rates'!$E:$F,2,0)))</f>
        <v>0</v>
      </c>
      <c r="ES155" s="409"/>
      <c r="ET155" s="398">
        <f>IF(ES155=0,0,IF(LEN(EE155)=11,_xlfn.XLOOKUP(EE155,'Dispensed Ink Rates'!C:C,'Dispensed Ink Rates'!CS:CS),VLOOKUP(EE155,'Jan-2026 rates'!$E:$F,2,0)))</f>
        <v>0</v>
      </c>
      <c r="EU155" s="409"/>
      <c r="EV155" s="398">
        <f>IF(EU155=0,0,IF(LEN(EF155)=11,_xlfn.XLOOKUP(EF155,'Dispensed Ink Rates'!C:C,'Dispensed Ink Rates'!CS:CS),VLOOKUP(EF155,'Jan-2026 rates'!$E:$F,2,0)))</f>
        <v>0</v>
      </c>
      <c r="EW155" s="409" t="s">
        <v>1881</v>
      </c>
      <c r="EX155" s="409">
        <v>25</v>
      </c>
      <c r="EY155" s="411">
        <f t="shared" si="115"/>
        <v>0</v>
      </c>
      <c r="EZ155" s="411">
        <f t="shared" si="116"/>
        <v>16.181818181818187</v>
      </c>
      <c r="FA155" s="410">
        <f t="shared" si="117"/>
        <v>0</v>
      </c>
      <c r="FB155" s="405" t="s">
        <v>547</v>
      </c>
      <c r="FC155" s="409" t="s">
        <v>3488</v>
      </c>
      <c r="FD155" s="420" t="str">
        <f t="shared" si="57"/>
        <v>ToyoLi - GREEN</v>
      </c>
      <c r="FE155" s="409">
        <v>20</v>
      </c>
      <c r="FF155" s="411">
        <f>IF(FE155=0,0,IF($LB155=70%,VLOOKUP($FD155,'Jan-2026 rates'!$L:$R,4,0),IF($LB155=65%,VLOOKUP($FD155,'Jan-2026 rates'!$L:$R,4,0),IF($LB155=40%,VLOOKUP($FD155,'Jan-2026 rates'!$L:$R,5,0),IF($LB155=30%,VLOOKUP($FD155,'Jan-2026 rates'!$L:$R,6,0),IF($LB155=100%,VLOOKUP($FD155,'Jan-2026 rates'!$L:$R,7,0),IF($LB155=60%,VLOOKUP($FD155,'Jan-2026 rates'!$L:$S,8,0),IF($LB155=80%,VLOOKUP($FD155,'Jan-2026 rates'!L:T,9,0),0))))))))</f>
        <v>0</v>
      </c>
      <c r="FG155" s="412"/>
      <c r="FH155" s="409"/>
      <c r="FI155" s="411">
        <f>IF(FH155=0,0,IF($LB155=70%,VLOOKUP($FD155,'Jan-2026 rates'!$L:$R,4,0),IF($LB155=65%,VLOOKUP($FD155,'Jan-2026 rates'!$L:$R,4,0),IF($LB155=40%,VLOOKUP($FD155,'Jan-2026 rates'!$L:$R,5,0),IF($LB155=30%,VLOOKUP($FD155,'Jan-2026 rates'!$L:$R,6,0),IF($LB155=100%,VLOOKUP($FD155,'Jan-2026 rates'!$L:$R,7,0),IF($LB155=60%,VLOOKUP($FD155,'Jan-2026 rates'!$L:$S,8,0),IF($LB155=80%,VLOOKUP($FD155,'Jan-2026 rates'!L:T,9,0),0))))))))</f>
        <v>0</v>
      </c>
      <c r="FJ155" s="413" t="s">
        <v>1250</v>
      </c>
      <c r="FK155" s="413" t="s">
        <v>1921</v>
      </c>
      <c r="FL155" s="413"/>
      <c r="FM155" s="412"/>
      <c r="FN155" s="412"/>
      <c r="FO155" s="412"/>
      <c r="FP155" s="412"/>
      <c r="FQ155" s="412"/>
      <c r="FR155" s="409">
        <v>2</v>
      </c>
      <c r="FS155" s="398">
        <f>IF(FR155=0,0,IF(LEN(FJ155)=11,_xlfn.XLOOKUP(FJ155,'Dispensed Ink Rates'!C:C,'Dispensed Ink Rates'!CS:CS),VLOOKUP(FJ155,'Jan-2026 rates'!$E:$F,2,0)))</f>
        <v>0</v>
      </c>
      <c r="FT155" s="409">
        <v>4</v>
      </c>
      <c r="FU155" s="398">
        <f>IF(FT155=0,0,IF(LEN(FK155)=11,_xlfn.XLOOKUP(FK155,'Dispensed Ink Rates'!C:C,'Dispensed Ink Rates'!CS:CS),VLOOKUP(FK155,'Jan-2026 rates'!$E:$F,2,0)))</f>
        <v>0</v>
      </c>
      <c r="FV155" s="409"/>
      <c r="FW155" s="398">
        <f>IF(FV155=0,0,IF(LEN(FL155)=11,_xlfn.XLOOKUP(FL155,'Dispensed Ink Rates'!C:C,'Dispensed Ink Rates'!CS:CS),VLOOKUP(FL155,'Jan-2026 rates'!$E:$F,2,0)))</f>
        <v>0</v>
      </c>
      <c r="FX155" s="409"/>
      <c r="FY155" s="398">
        <f>IF(FX155=0,0,IF(LEN(FM155)=11,_xlfn.XLOOKUP(FM155,'Dispensed Ink Rates'!C:C,'Dispensed Ink Rates'!CS:CS),VLOOKUP(FM155,'Jan-2026 rates'!$E:$F,2,0)))</f>
        <v>0</v>
      </c>
      <c r="FZ155" s="409"/>
      <c r="GA155" s="398">
        <f>IF(FZ155=0,0,IF(LEN(FN155)=11,_xlfn.XLOOKUP(FN155,'Dispensed Ink Rates'!C:C,'Dispensed Ink Rates'!CS:CS),VLOOKUP(FN155,'Jan-2026 rates'!$E:$F,2,0)))</f>
        <v>0</v>
      </c>
      <c r="GB155" s="409"/>
      <c r="GC155" s="398">
        <f>IF(GB155=0,0,IF(LEN(FO155)=11,_xlfn.XLOOKUP(FO155,'Dispensed Ink Rates'!C:C,'Dispensed Ink Rates'!CS:CS),VLOOKUP(FO155,'Jan-2026 rates'!$E:$F,2,0)))</f>
        <v>0</v>
      </c>
      <c r="GD155" s="409"/>
      <c r="GE155" s="398">
        <f>IF(GD155=0,0,IF(LEN(FP155)=11,_xlfn.XLOOKUP(FP155,'Dispensed Ink Rates'!C:C,'Dispensed Ink Rates'!CS:CS),VLOOKUP(FP155,'Jan-2026 rates'!$E:$F,2,0)))</f>
        <v>0</v>
      </c>
      <c r="GF155" s="409"/>
      <c r="GG155" s="398">
        <f>IF(GF155=0,0,IF(LEN(FQ155)=11,_xlfn.XLOOKUP(FQ155,'Dispensed Ink Rates'!C:C,'Dispensed Ink Rates'!CS:CS),VLOOKUP(FQ155,'Jan-2026 rates'!$E:$F,2,0)))</f>
        <v>0</v>
      </c>
      <c r="GH155" s="409" t="s">
        <v>1881</v>
      </c>
      <c r="GI155" s="409">
        <f>17+10</f>
        <v>27</v>
      </c>
      <c r="GJ155" s="411">
        <f t="shared" si="118"/>
        <v>0</v>
      </c>
      <c r="GK155" s="411">
        <f t="shared" si="119"/>
        <v>7.0909090909090935</v>
      </c>
      <c r="GL155" s="410">
        <f t="shared" si="120"/>
        <v>0</v>
      </c>
      <c r="GM155" s="405" t="s">
        <v>544</v>
      </c>
      <c r="GN155" s="409" t="s">
        <v>3489</v>
      </c>
      <c r="GO155" s="420" t="str">
        <f t="shared" si="58"/>
        <v>ToyoLi - MAGENTA</v>
      </c>
      <c r="GP155" s="409">
        <v>20</v>
      </c>
      <c r="GQ155" s="411">
        <f>IF(GP155=0,0,IF($LB155=70%,VLOOKUP($GO155,'Jan-2026 rates'!$L:$R,4,0),IF($LB155=65%,VLOOKUP($GO155,'Jan-2026 rates'!$L:$R,4,0),IF($LB155=40%,VLOOKUP($GO155,'Jan-2026 rates'!$L:$R,5,0),IF($LB155=30%,VLOOKUP($GO155,'Jan-2026 rates'!$L:$R,6,0),IF($LB155=100%,VLOOKUP($GO155,'Jan-2026 rates'!$L:$R,7,0),IF($LB155=60%,VLOOKUP($GO155,'Jan-2026 rates'!$L:$S,8,0),IF($LB155=80%,VLOOKUP($GO155,'Jan-2026 rates'!L:T,9,0),0))))))))</f>
        <v>0</v>
      </c>
      <c r="GR155" s="412"/>
      <c r="GS155" s="409"/>
      <c r="GT155" s="411">
        <f>IF(GS155=0,0,IF($LB155=70%,VLOOKUP($GO155,'Jan-2026 rates'!$L:$R,4,0),IF($LB155=65%,VLOOKUP($GO155,'Jan-2026 rates'!$L:$R,4,0),IF($LB155=40%,VLOOKUP($GO155,'Jan-2026 rates'!$L:$R,5,0),IF($LB155=30%,VLOOKUP($GO155,'Jan-2026 rates'!$L:$R,6,0),IF($LB155=100%,VLOOKUP($GO155,'Jan-2026 rates'!$L:$R,7,0),IF($LB155=60%,VLOOKUP($GO155,'Jan-2026 rates'!$L:$S,8,0),IF($LB155=80%,VLOOKUP($GO155,'Jan-2026 rates'!L:T,9,0),0))))))))</f>
        <v>0</v>
      </c>
      <c r="GU155" s="413" t="s">
        <v>1246</v>
      </c>
      <c r="GV155" s="413"/>
      <c r="GW155" s="412"/>
      <c r="GX155" s="412"/>
      <c r="GY155" s="412"/>
      <c r="GZ155" s="412"/>
      <c r="HA155" s="412"/>
      <c r="HB155" s="412"/>
      <c r="HC155" s="409">
        <v>8</v>
      </c>
      <c r="HD155" s="398">
        <f>IF(HC155=0,0,IF(LEN(GU155)=11,_xlfn.XLOOKUP(GU155,'Dispensed Ink Rates'!C:C,'Dispensed Ink Rates'!CS:CS),VLOOKUP(GU155,'Jan-2026 rates'!$E:$F,2,0)))</f>
        <v>0</v>
      </c>
      <c r="HE155" s="409"/>
      <c r="HF155" s="398">
        <f>IF(HE155=0,0,IF(LEN(GV155)=11,_xlfn.XLOOKUP(GV155,'Dispensed Ink Rates'!C:C,'Dispensed Ink Rates'!CS:CS),VLOOKUP(GV155,'Jan-2026 rates'!$E:$F,2,0)))</f>
        <v>0</v>
      </c>
      <c r="HG155" s="409"/>
      <c r="HH155" s="398">
        <f>IF(HG155=0,0,IF(LEN(GW155)=11,_xlfn.XLOOKUP(GW155,'Dispensed Ink Rates'!C:C,'Dispensed Ink Rates'!CS:CS),VLOOKUP(GW155,'Jan-2026 rates'!$E:$F,2,0)))</f>
        <v>0</v>
      </c>
      <c r="HI155" s="409"/>
      <c r="HJ155" s="398">
        <f>IF(HI155=0,0,IF(LEN(GX155)=11,_xlfn.XLOOKUP(GX155,'Dispensed Ink Rates'!C:C,'Dispensed Ink Rates'!CS:CS),VLOOKUP(GX155,'Jan-2026 rates'!$E:$F,2,0)))</f>
        <v>0</v>
      </c>
      <c r="HK155" s="409"/>
      <c r="HL155" s="398">
        <f>IF(HK155=0,0,IF(LEN(GY155)=11,_xlfn.XLOOKUP(GY155,'Dispensed Ink Rates'!C:C,'Dispensed Ink Rates'!CS:CS),VLOOKUP(GY155,'Jan-2026 rates'!$E:$F,2,0)))</f>
        <v>0</v>
      </c>
      <c r="HM155" s="409"/>
      <c r="HN155" s="398">
        <f>IF(HM155=0,0,IF(LEN(GZ155)=11,_xlfn.XLOOKUP(GZ155,'Dispensed Ink Rates'!C:C,'Dispensed Ink Rates'!CS:CS),VLOOKUP(GZ155,'Jan-2026 rates'!$E:$F,2,0)))</f>
        <v>0</v>
      </c>
      <c r="HO155" s="409"/>
      <c r="HP155" s="398">
        <f>IF(HO155=0,0,IF(LEN(HA155)=11,_xlfn.XLOOKUP(HA155,'Dispensed Ink Rates'!C:C,'Dispensed Ink Rates'!CS:CS),VLOOKUP(HA155,'Jan-2026 rates'!$E:$F,2,0)))</f>
        <v>0</v>
      </c>
      <c r="HQ155" s="409"/>
      <c r="HR155" s="398">
        <f>IF(HQ155=0,0,IF(LEN(HB155)=11,_xlfn.XLOOKUP(HB155,'Dispensed Ink Rates'!C:C,'Dispensed Ink Rates'!CS:CS),VLOOKUP(HB155,'Jan-2026 rates'!$E:$F,2,0)))</f>
        <v>0</v>
      </c>
      <c r="HS155" s="409" t="s">
        <v>1881</v>
      </c>
      <c r="HT155" s="409">
        <v>29</v>
      </c>
      <c r="HU155" s="411">
        <f t="shared" si="121"/>
        <v>0</v>
      </c>
      <c r="HV155" s="411">
        <f t="shared" si="122"/>
        <v>7.0909090909090935</v>
      </c>
      <c r="HW155" s="414">
        <f t="shared" si="123"/>
        <v>0</v>
      </c>
      <c r="HX155" s="405" t="s">
        <v>545</v>
      </c>
      <c r="HY155" s="409" t="s">
        <v>3490</v>
      </c>
      <c r="HZ155" s="420" t="str">
        <f t="shared" si="59"/>
        <v>ToyoLi - YELLOW</v>
      </c>
      <c r="IA155" s="409">
        <v>19</v>
      </c>
      <c r="IB155" s="411">
        <f>IF(IA155=0,0,IF($LB155=70%,VLOOKUP($HZ155,'Jan-2026 rates'!$L:$R,4,0),IF($LB155=65%,VLOOKUP($HZ155,'Jan-2026 rates'!$L:$R,4,0),IF($LB155=40%,VLOOKUP($HZ155,'Jan-2026 rates'!$L:$R,5,0),IF($LB155=30%,VLOOKUP($HZ155,'Jan-2026 rates'!$L:$R,6,0),IF($LB155=100%,VLOOKUP($HZ155,'Jan-2026 rates'!$L:$R,7,0),IF($LB155=60%,VLOOKUP($HZ155,'Jan-2026 rates'!$L:$S,8,0),IF($LB155=80%,VLOOKUP($HZ155,'Jan-2026 rates'!L:T,9,0),0))))))))</f>
        <v>0</v>
      </c>
      <c r="IC155" s="412"/>
      <c r="ID155" s="409"/>
      <c r="IE155" s="411">
        <f>IF(ID155=0,0,IF($LB155=70%,VLOOKUP($HZ155,'Jan-2026 rates'!$L:$R,4,0),IF($LB155=65%,VLOOKUP($HZ155,'Jan-2026 rates'!$L:$R,4,0),IF($LB155=40%,VLOOKUP($HZ155,'Jan-2026 rates'!$L:$R,5,0),IF($LB155=30%,VLOOKUP($HZ155,'Jan-2026 rates'!$L:$R,6,0),IF($LB155=100%,VLOOKUP($HZ155,'Jan-2026 rates'!$L:$R,7,0),IF($LB155=60%,VLOOKUP($HZ155,'Jan-2026 rates'!$L:$S,8,0),IF($LB155=80%,VLOOKUP($HZ155,'Jan-2026 rates'!L:T,9,0),0))))))))</f>
        <v>0</v>
      </c>
      <c r="IF155" s="412" t="s">
        <v>1247</v>
      </c>
      <c r="IG155" s="413" t="s">
        <v>1921</v>
      </c>
      <c r="IH155" s="412"/>
      <c r="II155" s="412"/>
      <c r="IJ155" s="412"/>
      <c r="IK155" s="412"/>
      <c r="IL155" s="412"/>
      <c r="IM155" s="412"/>
      <c r="IN155" s="409">
        <v>10</v>
      </c>
      <c r="IO155" s="398">
        <f>IF(IN155=0,0,IF(LEN(IF155)=11,_xlfn.XLOOKUP(IF155,'Dispensed Ink Rates'!C:C,'Dispensed Ink Rates'!CS:CS),VLOOKUP(IF155,'Jan-2026 rates'!$E:$F,2,0)))</f>
        <v>0</v>
      </c>
      <c r="IP155" s="409">
        <v>4</v>
      </c>
      <c r="IQ155" s="398">
        <f>IF(IP155=0,0,IF(LEN(IG155)=11,_xlfn.XLOOKUP(IG155,'Dispensed Ink Rates'!C:C,'Dispensed Ink Rates'!CS:CS),VLOOKUP(IG155,'Jan-2026 rates'!$E:$F,2,0)))</f>
        <v>0</v>
      </c>
      <c r="IR155" s="409"/>
      <c r="IS155" s="398">
        <f>IF(IR155=0,0,IF(LEN(IH155)=11,_xlfn.XLOOKUP(IH155,'Dispensed Ink Rates'!C:C,'Dispensed Ink Rates'!CS:CS),VLOOKUP(IH155,'Jan-2026 rates'!$E:$F,2,0)))</f>
        <v>0</v>
      </c>
      <c r="IT155" s="409"/>
      <c r="IU155" s="398">
        <f>IF(IT155=0,0,IF(LEN(II155)=11,_xlfn.XLOOKUP(II155,'Dispensed Ink Rates'!C:C,'Dispensed Ink Rates'!CS:CS),VLOOKUP(II155,'Jan-2026 rates'!$E:$F,2,0)))</f>
        <v>0</v>
      </c>
      <c r="IV155" s="409"/>
      <c r="IW155" s="398">
        <f>IF(IV155=0,0,IF(LEN(IJ155)=11,_xlfn.XLOOKUP(IJ155,'Dispensed Ink Rates'!C:C,'Dispensed Ink Rates'!CS:CS),VLOOKUP(IJ155,'Jan-2026 rates'!$E:$F,2,0)))</f>
        <v>0</v>
      </c>
      <c r="IX155" s="409"/>
      <c r="IY155" s="398">
        <f>IF(IX155=0,0,IF(LEN(IK155)=11,_xlfn.XLOOKUP(IK155,'Dispensed Ink Rates'!C:C,'Dispensed Ink Rates'!CS:CS),VLOOKUP(IK155,'Jan-2026 rates'!$E:$F,2,0)))</f>
        <v>0</v>
      </c>
      <c r="IZ155" s="409"/>
      <c r="JA155" s="398">
        <f>IF(IZ155=0,0,IF(LEN(IL155)=11,_xlfn.XLOOKUP(IL155,'Dispensed Ink Rates'!C:C,'Dispensed Ink Rates'!CS:CS),VLOOKUP(IL155,'Jan-2026 rates'!$E:$F,2,0)))</f>
        <v>0</v>
      </c>
      <c r="JB155" s="409"/>
      <c r="JC155" s="398">
        <f>IF(JB155=0,0,IF(LEN(IM155)=11,_xlfn.XLOOKUP(IM155,'Dispensed Ink Rates'!C:C,'Dispensed Ink Rates'!CS:CS),VLOOKUP(IM155,'Jan-2026 rates'!$E:$F,2,0)))</f>
        <v>0</v>
      </c>
      <c r="JD155" s="409" t="s">
        <v>1881</v>
      </c>
      <c r="JE155" s="409">
        <v>29</v>
      </c>
      <c r="JF155" s="411">
        <f t="shared" si="124"/>
        <v>0</v>
      </c>
      <c r="JG155" s="411">
        <f t="shared" si="125"/>
        <v>12.090909090909093</v>
      </c>
      <c r="JH155" s="410">
        <f t="shared" si="126"/>
        <v>0</v>
      </c>
      <c r="JI155" s="405" t="s">
        <v>856</v>
      </c>
      <c r="JJ155" s="409" t="s">
        <v>3491</v>
      </c>
      <c r="JK155" s="420" t="str">
        <f t="shared" si="60"/>
        <v>ToyoLi - WHITE</v>
      </c>
      <c r="JL155" s="409">
        <v>24</v>
      </c>
      <c r="JM155" s="411">
        <f>IF(JL155=0,0,IF($LB155=70%,VLOOKUP($JK155,'Jan-2026 rates'!$L:$R,4,0),IF($LB155=65%,VLOOKUP($JK155,'Jan-2026 rates'!$L:$R,4,0),IF($LB155=40%,VLOOKUP($JK155,'Jan-2026 rates'!$L:$R,5,0),IF($LB155=30%,VLOOKUP($JK155,'Jan-2026 rates'!$L:$R,6,0),IF($LB155=100%,VLOOKUP($JK155,'Jan-2026 rates'!$L:$R,7,0),IF($LB155=60%,VLOOKUP($JK155,'Jan-2026 rates'!$L:$S,8,0),IF($LB155=80%,VLOOKUP($JK155,'Jan-2026 rates'!L:T,9,0),0))))))))</f>
        <v>0</v>
      </c>
      <c r="JN155" s="412"/>
      <c r="JO155" s="409"/>
      <c r="JP155" s="411">
        <f>IF(JO155=0,0,IF($LB155=70%,VLOOKUP($JK155,'Jan-2026 rates'!$L:$R,4,0),IF($LB155=65%,VLOOKUP($JK155,'Jan-2026 rates'!$L:$R,4,0),IF($LB155=40%,VLOOKUP($JK155,'Jan-2026 rates'!$L:$R,5,0),IF($LB155=30%,VLOOKUP($JK155,'Jan-2026 rates'!$L:$R,6,0),IF($LB155=100%,VLOOKUP($JK155,'Jan-2026 rates'!$L:$R,7,0),IF($LB155=60%,VLOOKUP($JK155,'Jan-2026 rates'!$L:$S,8,0),IF($LB155=80%,VLOOKUP($JK155,'Jan-2026 rates'!L:T,9,0),0))))))))</f>
        <v>0</v>
      </c>
      <c r="JQ155" s="413" t="s">
        <v>1246</v>
      </c>
      <c r="JR155" s="412" t="s">
        <v>1122</v>
      </c>
      <c r="JS155" s="413"/>
      <c r="JT155" s="413"/>
      <c r="JU155" s="412"/>
      <c r="JV155" s="412"/>
      <c r="JW155" s="412"/>
      <c r="JX155" s="412"/>
      <c r="JY155" s="409">
        <v>25</v>
      </c>
      <c r="JZ155" s="398">
        <f>IF(JY155=0,0,IF(LEN(JQ155)=11,_xlfn.XLOOKUP(JQ155,'Dispensed Ink Rates'!C:C,'Dispensed Ink Rates'!CS:CS),VLOOKUP(JQ155,'Jan-2026 rates'!$E:$F,2,0)))</f>
        <v>0</v>
      </c>
      <c r="KA155" s="409">
        <v>5.76</v>
      </c>
      <c r="KB155" s="398">
        <f>IF(KA155=0,0,IF(LEN(JR155)=11,_xlfn.XLOOKUP(JR155,'Dispensed Ink Rates'!C:C,'Dispensed Ink Rates'!CS:CS),VLOOKUP(JR155,'Jan-2026 rates'!$E:$F,2,0)))</f>
        <v>0</v>
      </c>
      <c r="KC155" s="409"/>
      <c r="KD155" s="398">
        <f>IF(KC155=0,0,IF(LEN(JS155)=11,_xlfn.XLOOKUP(JS155,'Dispensed Ink Rates'!C:C,'Dispensed Ink Rates'!CS:CS),VLOOKUP(JS155,'Jan-2026 rates'!$E:$F,2,0)))</f>
        <v>0</v>
      </c>
      <c r="KE155" s="409"/>
      <c r="KF155" s="398">
        <f>IF(KE155=0,0,IF(LEN(JT155)=11,_xlfn.XLOOKUP(JT155,'Dispensed Ink Rates'!C:C,'Dispensed Ink Rates'!CS:CS),VLOOKUP(JT155,'Jan-2026 rates'!$E:$F,2,0)))</f>
        <v>0</v>
      </c>
      <c r="KG155" s="409"/>
      <c r="KH155" s="398">
        <f>IF(KG155=0,0,IF(LEN(JU155)=11,_xlfn.XLOOKUP(JU155,'Dispensed Ink Rates'!C:C,'Dispensed Ink Rates'!CS:CS),VLOOKUP(JU155,'Jan-2026 rates'!$E:$F,2,0)))</f>
        <v>0</v>
      </c>
      <c r="KI155" s="409"/>
      <c r="KJ155" s="398">
        <f>IF(KI155=0,0,IF(LEN(JV155)=11,_xlfn.XLOOKUP(JV155,'Dispensed Ink Rates'!C:C,'Dispensed Ink Rates'!CS:CS),VLOOKUP(JV155,'Jan-2026 rates'!$E:$F,2,0)))</f>
        <v>0</v>
      </c>
      <c r="KK155" s="409"/>
      <c r="KL155" s="398">
        <f>IF(KK155=0,0,IF(LEN(JW155)=11,_xlfn.XLOOKUP(JW155,'Dispensed Ink Rates'!C:C,'Dispensed Ink Rates'!CS:CS),VLOOKUP(JW155,'Jan-2026 rates'!$E:$F,2,0)))</f>
        <v>0</v>
      </c>
      <c r="KM155" s="428"/>
      <c r="KN155" s="398">
        <f>IF(KM155=0,0,IF(LEN(JX155)=11,_xlfn.XLOOKUP(JX155,'Dispensed Ink Rates'!C:C,'Dispensed Ink Rates'!CS:CS),VLOOKUP(JX155,'Jan-2026 rates'!$E:$F,2,0)))</f>
        <v>0</v>
      </c>
      <c r="KO155" s="409" t="s">
        <v>1881</v>
      </c>
      <c r="KP155" s="409">
        <v>24</v>
      </c>
      <c r="KQ155" s="411">
        <f t="shared" si="127"/>
        <v>0</v>
      </c>
      <c r="KR155" s="411">
        <f t="shared" si="128"/>
        <v>55.032727272727271</v>
      </c>
      <c r="KS155" s="410">
        <f t="shared" si="129"/>
        <v>0</v>
      </c>
      <c r="KT155" s="409">
        <v>2</v>
      </c>
      <c r="KU155" s="409">
        <v>5</v>
      </c>
      <c r="KV155" s="409">
        <v>8</v>
      </c>
      <c r="KW155" s="409">
        <v>10</v>
      </c>
      <c r="KX155" s="409">
        <v>5</v>
      </c>
      <c r="KY155" s="409">
        <v>5</v>
      </c>
      <c r="KZ155" s="409">
        <v>5</v>
      </c>
      <c r="LA155" s="409">
        <v>15</v>
      </c>
      <c r="LB155" s="415">
        <v>0.3</v>
      </c>
      <c r="LC155" s="415"/>
      <c r="LD155" s="415"/>
      <c r="LE155" s="415">
        <v>0.5</v>
      </c>
      <c r="LF155" s="415">
        <v>0.2</v>
      </c>
      <c r="LG155" s="409">
        <v>0</v>
      </c>
      <c r="LH155" s="409">
        <f>20+19+12+20+5+5+8</f>
        <v>89</v>
      </c>
      <c r="LI155" s="409">
        <v>0</v>
      </c>
      <c r="LJ155" s="409">
        <v>0</v>
      </c>
      <c r="LK155" s="416">
        <f t="shared" si="61"/>
        <v>89</v>
      </c>
      <c r="LL155" s="416">
        <f t="shared" si="62"/>
        <v>89</v>
      </c>
      <c r="LM155" s="417">
        <f t="shared" si="63"/>
        <v>26.7</v>
      </c>
      <c r="LN155" s="417">
        <f>VLOOKUP($LM$8,'Jan-2026 rates'!$H:$I,2,0)</f>
        <v>0</v>
      </c>
      <c r="LO155" s="417">
        <f t="shared" si="64"/>
        <v>0</v>
      </c>
      <c r="LP155" s="417">
        <f>VLOOKUP($LO$8,'Jan-2026 rates'!$H:$I,2,0)</f>
        <v>0</v>
      </c>
      <c r="LQ155" s="417">
        <f t="shared" si="65"/>
        <v>0</v>
      </c>
      <c r="LR155" s="417">
        <f>VLOOKUP($LQ$8,'Jan-2026 rates'!$H:$I,2,0)</f>
        <v>0</v>
      </c>
      <c r="LS155" s="417">
        <f t="shared" si="66"/>
        <v>44.5</v>
      </c>
      <c r="LT155" s="417">
        <f>VLOOKUP($LS$8,'Jan-2026 rates'!$H:$I,2,0)</f>
        <v>0</v>
      </c>
      <c r="LU155" s="417">
        <f t="shared" si="67"/>
        <v>17.8</v>
      </c>
      <c r="LV155" s="417">
        <f>VLOOKUP($LU$8,'Jan-2026 rates'!$H:$I,2,0)</f>
        <v>0</v>
      </c>
      <c r="LW155" s="417">
        <f t="shared" si="68"/>
        <v>0</v>
      </c>
      <c r="LX155" s="417">
        <f t="shared" si="69"/>
        <v>0</v>
      </c>
      <c r="LY155" s="418">
        <f t="shared" si="70"/>
        <v>0</v>
      </c>
      <c r="LZ155" s="417"/>
      <c r="MA155" s="435">
        <f t="shared" si="71"/>
        <v>107.76</v>
      </c>
      <c r="MB155" s="282">
        <f t="shared" si="72"/>
        <v>161.76</v>
      </c>
      <c r="MC155" s="283" t="s">
        <v>1990</v>
      </c>
      <c r="MD155" s="284" t="str">
        <f t="shared" si="73"/>
        <v>ToyoLiToyoLiToyoLiToyoLiToyoLiToyoLiToyoLiToyoLi</v>
      </c>
      <c r="ME155" s="293" t="str">
        <f t="shared" si="74"/>
        <v>+</v>
      </c>
      <c r="MF155" s="293" t="str">
        <f t="shared" si="75"/>
        <v>+</v>
      </c>
      <c r="MG155" s="293" t="str">
        <f t="shared" si="76"/>
        <v>+</v>
      </c>
      <c r="MH155" s="293" t="str">
        <f t="shared" si="77"/>
        <v>+</v>
      </c>
      <c r="MI155" s="293" t="str">
        <f t="shared" si="78"/>
        <v>+</v>
      </c>
      <c r="MJ155" s="293" t="str">
        <f t="shared" si="79"/>
        <v>+</v>
      </c>
      <c r="MK155" s="293" t="str">
        <f t="shared" si="80"/>
        <v>+</v>
      </c>
      <c r="ML155" s="293" t="str">
        <f t="shared" si="81"/>
        <v>+</v>
      </c>
      <c r="MM155" s="3" t="b">
        <f t="array" ref="MM155">OR(ME155:ML155="-")</f>
        <v>0</v>
      </c>
      <c r="MN155" s="285"/>
      <c r="MO155" s="401"/>
      <c r="MP155" s="286"/>
      <c r="MQ155" s="286"/>
      <c r="MR155" s="402"/>
      <c r="MS155" s="400"/>
      <c r="NH155" s="422"/>
      <c r="NJ155" s="421"/>
    </row>
    <row r="156" spans="1:374" s="1" customFormat="1" ht="16.5">
      <c r="A156" s="403">
        <v>46033</v>
      </c>
      <c r="B156" s="404" t="s">
        <v>1015</v>
      </c>
      <c r="C156" s="405" t="s">
        <v>3492</v>
      </c>
      <c r="D156" s="406" t="s">
        <v>1991</v>
      </c>
      <c r="E156" s="404">
        <v>222</v>
      </c>
      <c r="F156" s="407">
        <v>12800</v>
      </c>
      <c r="G156" s="407" t="s">
        <v>1016</v>
      </c>
      <c r="H156" s="408" t="s">
        <v>1017</v>
      </c>
      <c r="I156" s="409">
        <v>1.58</v>
      </c>
      <c r="J156" s="405" t="s">
        <v>543</v>
      </c>
      <c r="K156" s="404" t="s">
        <v>3493</v>
      </c>
      <c r="L156" s="419" t="str">
        <f t="shared" si="54"/>
        <v>ToyoLi - BLACK</v>
      </c>
      <c r="M156" s="404">
        <v>26</v>
      </c>
      <c r="N156" s="410">
        <f>IF(M156=0,0,IF($LB156=70%,VLOOKUP($L156,'Jan-2026 rates'!$L:$R,4,0),IF($LB156=65%,VLOOKUP($L156,'Jan-2026 rates'!$L:$R,4,0),IF($LB156=40%,VLOOKUP($L156,'Jan-2026 rates'!$L:$R,5,0),IF($LB156=30%,VLOOKUP($L156,'Jan-2026 rates'!$L:$R,6,0),IF($LB156=100%,VLOOKUP($L156,'Jan-2026 rates'!$L:$R,7,0),IF($LB156=60%,VLOOKUP($L156,'Jan-2026 rates'!$L:$S,8,0),IF($LB156=80%,VLOOKUP($L156,'Jan-2026 rates'!L:T,9,0),0))))))))</f>
        <v>0</v>
      </c>
      <c r="O156" s="406"/>
      <c r="P156" s="404"/>
      <c r="Q156" s="410">
        <f>IF(P156=0,0,IF($LB156=70%,VLOOKUP($L156,'Jan-2026 rates'!$L:$R,4,0),IF($LB156=65%,VLOOKUP($L156,'Jan-2026 rates'!$L:$R,4,0),IF($LB156=40%,VLOOKUP($L156,'Jan-2026 rates'!$L:$R,5,0),IF($LB156=30%,VLOOKUP($L156,'Jan-2026 rates'!$L:$R,6,0),IF($LB156=100%,VLOOKUP($L156,'Jan-2026 rates'!$L:$R,7,0),IF($LB156=60%,VLOOKUP($L156,'Jan-2026 rates'!$L:$S,8,0),IF($LB156=80%,VLOOKUP($L156,'Jan-2026 rates'!L:T,9,0),0))))))))</f>
        <v>0</v>
      </c>
      <c r="R156" s="406" t="s">
        <v>1921</v>
      </c>
      <c r="S156" s="406"/>
      <c r="T156" s="406"/>
      <c r="U156" s="406"/>
      <c r="V156" s="406"/>
      <c r="W156" s="406"/>
      <c r="X156" s="406"/>
      <c r="Y156" s="406"/>
      <c r="Z156" s="404">
        <v>3</v>
      </c>
      <c r="AA156" s="398">
        <f>IF(Z156=0,0,IF(LEN(R156)=11,_xlfn.XLOOKUP(R156,'Dispensed Ink Rates'!C:C,'Dispensed Ink Rates'!CS:CS),VLOOKUP(R156,'Jan-2026 rates'!$E:$F,2,0)))</f>
        <v>0</v>
      </c>
      <c r="AB156" s="404"/>
      <c r="AC156" s="398">
        <f>IF(AB156=0,0,IF(LEN(S156)=11,_xlfn.XLOOKUP(S156,'Dispensed Ink Rates'!C:C,'Dispensed Ink Rates'!CS:CS),VLOOKUP(S156,'Jan-2026 rates'!$E:$F,2,0)))</f>
        <v>0</v>
      </c>
      <c r="AD156" s="404"/>
      <c r="AE156" s="398">
        <f>IF(AD156=0,0,IF(LEN(T156)=11,_xlfn.XLOOKUP(T156,'Dispensed Ink Rates'!C:C,'Dispensed Ink Rates'!CS:CS),VLOOKUP(T156,'Jan-2026 rates'!$E:$F,2,0)))</f>
        <v>0</v>
      </c>
      <c r="AF156" s="404"/>
      <c r="AG156" s="398">
        <f>IF(AF156=0,0,IF(LEN(U156)=11,_xlfn.XLOOKUP(U156,'Dispensed Ink Rates'!C:C,'Dispensed Ink Rates'!CS:CS),VLOOKUP(U156,'Jan-2026 rates'!$E:$F,2,0)))</f>
        <v>0</v>
      </c>
      <c r="AH156" s="404"/>
      <c r="AI156" s="398">
        <f>IF(AH156=0,0,IF(LEN(V156)=11,_xlfn.XLOOKUP(V156,'Dispensed Ink Rates'!C:C,'Dispensed Ink Rates'!CS:CS),VLOOKUP(V156,'Jan-2026 rates'!$E:$F,2,0)))</f>
        <v>0</v>
      </c>
      <c r="AJ156" s="404"/>
      <c r="AK156" s="398">
        <f>IF(AJ156=0,0,IF(LEN(W156)=11,_xlfn.XLOOKUP(W156,'Dispensed Ink Rates'!C:C,'Dispensed Ink Rates'!CS:CS),VLOOKUP(W156,'Jan-2026 rates'!$E:$F,2,0)))</f>
        <v>0</v>
      </c>
      <c r="AL156" s="404"/>
      <c r="AM156" s="398">
        <f>IF(AL156=0,0,IF(LEN(X156)=11,_xlfn.XLOOKUP(X156,'Dispensed Ink Rates'!C:C,'Dispensed Ink Rates'!CS:CS),VLOOKUP(X156,'Jan-2026 rates'!$E:$F,2,0)))</f>
        <v>0</v>
      </c>
      <c r="AN156" s="404"/>
      <c r="AO156" s="398">
        <f>IF(AN156=0,0,IF(LEN(Y156)=11,_xlfn.XLOOKUP(Y156,'Dispensed Ink Rates'!C:C,'Dispensed Ink Rates'!CS:CS),VLOOKUP(Y156,'Jan-2026 rates'!$E:$F,2,0)))</f>
        <v>0</v>
      </c>
      <c r="AP156" s="409" t="s">
        <v>1881</v>
      </c>
      <c r="AQ156" s="409">
        <v>25</v>
      </c>
      <c r="AR156" s="410">
        <f t="shared" si="106"/>
        <v>0</v>
      </c>
      <c r="AS156" s="411">
        <f t="shared" si="107"/>
        <v>10.984126984126988</v>
      </c>
      <c r="AT156" s="410">
        <f t="shared" si="108"/>
        <v>0</v>
      </c>
      <c r="AU156" s="405" t="s">
        <v>546</v>
      </c>
      <c r="AV156" s="409"/>
      <c r="AW156" s="420" t="str">
        <f t="shared" si="130"/>
        <v>ToyoLi - REFLEX BLUE</v>
      </c>
      <c r="AX156" s="409"/>
      <c r="AY156" s="411">
        <f>IF(AX156=0,0,IF($LB156=70%,VLOOKUP($AW156,'Jan-2026 rates'!$L:$R,4,0),IF($LB156=65%,VLOOKUP($AW156,'Jan-2026 rates'!$L:$R,4,0),IF($LB156=40%,VLOOKUP($AW156,'Jan-2026 rates'!$L:$R,5,0),IF($LB156=30%,VLOOKUP($AW156,'Jan-2026 rates'!$L:$R,6,0),IF($LB156=100%,VLOOKUP($AW156,'Jan-2026 rates'!$L:$R,7,0),IF($LB156=60%,VLOOKUP($AW156,'Jan-2026 rates'!$L:$S,8,0),IF($LB156=80%,VLOOKUP($AW156,'Jan-2026 rates'!L:T,9,0),0))))))))</f>
        <v>0</v>
      </c>
      <c r="AZ156" s="412"/>
      <c r="BA156" s="409"/>
      <c r="BB156" s="411">
        <f>IF(BA156=0,0,IF($LB156=70%,VLOOKUP($AW156,'Jan-2026 rates'!$L:$R,4,0),IF($LB156=65%,VLOOKUP($AW156,'Jan-2026 rates'!$L:$R,4,0),IF($LB156=40%,VLOOKUP($AW156,'Jan-2026 rates'!$L:$R,5,0),IF($LB156=30%,VLOOKUP($AW156,'Jan-2026 rates'!$L:$R,6,0),IF($LB156=100%,VLOOKUP($AW156,'Jan-2026 rates'!$L:$R,7,0),IF($LB156=60%,VLOOKUP($AW156,'Jan-2026 rates'!$L:$S,8,0),IF($LB156=80%,VLOOKUP($AW156,'Jan-2026 rates'!L:T,9,0),0))))))))</f>
        <v>0</v>
      </c>
      <c r="BC156" s="413" t="s">
        <v>1880</v>
      </c>
      <c r="BD156" s="412" t="s">
        <v>1250</v>
      </c>
      <c r="BE156" s="412" t="s">
        <v>1246</v>
      </c>
      <c r="BF156" s="413"/>
      <c r="BG156" s="412"/>
      <c r="BH156" s="412"/>
      <c r="BI156" s="412"/>
      <c r="BJ156" s="412"/>
      <c r="BK156" s="409">
        <f>10+2</f>
        <v>12</v>
      </c>
      <c r="BL156" s="398">
        <f>IF(BK156=0,0,IF(LEN(BC156)=11,_xlfn.XLOOKUP(BC156,'Dispensed Ink Rates'!C:C,'Dispensed Ink Rates'!CS:CS),VLOOKUP(BC156,'Jan-2026 rates'!$E:$F,2,0)))</f>
        <v>0</v>
      </c>
      <c r="BM156" s="409">
        <f>6+2</f>
        <v>8</v>
      </c>
      <c r="BN156" s="398">
        <f>IF(BM156=0,0,IF(LEN(BD156)=11,_xlfn.XLOOKUP(BD156,'Dispensed Ink Rates'!C:C,'Dispensed Ink Rates'!CS:CS),VLOOKUP(BD156,'Jan-2026 rates'!$E:$F,2,0)))</f>
        <v>0</v>
      </c>
      <c r="BO156" s="409">
        <v>1</v>
      </c>
      <c r="BP156" s="398">
        <f>IF(BO156=0,0,IF(LEN(BE156)=11,_xlfn.XLOOKUP(BE156,'Dispensed Ink Rates'!C:C,'Dispensed Ink Rates'!CS:CS),VLOOKUP(BE156,'Jan-2026 rates'!$E:$F,2,0)))</f>
        <v>0</v>
      </c>
      <c r="BQ156" s="409"/>
      <c r="BR156" s="398">
        <f>IF(BQ156=0,0,IF(LEN(BF156)=11,_xlfn.XLOOKUP(BF156,'Dispensed Ink Rates'!C:C,'Dispensed Ink Rates'!CS:CS),VLOOKUP(BF156,'Jan-2026 rates'!$E:$F,2,0)))</f>
        <v>0</v>
      </c>
      <c r="BS156" s="409"/>
      <c r="BT156" s="398">
        <f>IF(BS156=0,0,IF(LEN(BG156)=11,_xlfn.XLOOKUP(BG156,'Dispensed Ink Rates'!C:C,'Dispensed Ink Rates'!CS:CS),VLOOKUP(BG156,'Jan-2026 rates'!$E:$F,2,0)))</f>
        <v>0</v>
      </c>
      <c r="BU156" s="409"/>
      <c r="BV156" s="398">
        <f>IF(BU156=0,0,IF(LEN(BH156)=11,_xlfn.XLOOKUP(BH156,'Dispensed Ink Rates'!C:C,'Dispensed Ink Rates'!CS:CS),VLOOKUP(BH156,'Jan-2026 rates'!$E:$F,2,0)))</f>
        <v>0</v>
      </c>
      <c r="BW156" s="409"/>
      <c r="BX156" s="398">
        <f>IF(BW156=0,0,IF(LEN(BI156)=11,_xlfn.XLOOKUP(BI156,'Dispensed Ink Rates'!C:C,'Dispensed Ink Rates'!CS:CS),VLOOKUP(BI156,'Jan-2026 rates'!$E:$F,2,0)))</f>
        <v>0</v>
      </c>
      <c r="BY156" s="409"/>
      <c r="BZ156" s="398">
        <f>IF(BY156=0,0,IF(LEN(BJ156)=11,_xlfn.XLOOKUP(BJ156,'Dispensed Ink Rates'!C:C,'Dispensed Ink Rates'!CS:CS),VLOOKUP(BJ156,'Jan-2026 rates'!$E:$F,2,0)))</f>
        <v>0</v>
      </c>
      <c r="CA156" s="409" t="s">
        <v>1881</v>
      </c>
      <c r="CB156" s="409">
        <v>24</v>
      </c>
      <c r="CC156" s="411">
        <f t="shared" si="109"/>
        <v>0</v>
      </c>
      <c r="CD156" s="411">
        <f t="shared" si="110"/>
        <v>8.1746031746031775</v>
      </c>
      <c r="CE156" s="410">
        <f t="shared" si="111"/>
        <v>0</v>
      </c>
      <c r="CF156" s="404" t="s">
        <v>857</v>
      </c>
      <c r="CG156" s="409" t="s">
        <v>3494</v>
      </c>
      <c r="CH156" s="420" t="str">
        <f t="shared" si="55"/>
        <v>ToyoLi - RED</v>
      </c>
      <c r="CI156" s="409">
        <v>17</v>
      </c>
      <c r="CJ156" s="411">
        <f>IF(CI156=0,0,IF($LB156=70%,VLOOKUP($CH156,'Jan-2026 rates'!$L:$R,4,0),IF($LB156=65%,VLOOKUP($CH156,'Jan-2026 rates'!$L:$R,4,0),IF($LB156=40%,VLOOKUP($CH156,'Jan-2026 rates'!$L:$R,5,0),IF($LB156=30%,VLOOKUP($CH156,'Jan-2026 rates'!$L:$R,6,0),IF($LB156=100%,VLOOKUP($CH156,'Jan-2026 rates'!$L:$R,7,0),IF($LB156=60%,VLOOKUP($CH156,'Jan-2026 rates'!$L:$S,8,0),IF($LB156=80%,VLOOKUP($CH156,'Jan-2026 rates'!L:T,9,0),0))))))))</f>
        <v>0</v>
      </c>
      <c r="CK156" s="412"/>
      <c r="CL156" s="409"/>
      <c r="CM156" s="411">
        <f>IF(CL156=0,0,IF($LB156=70%,VLOOKUP($CH156,'Jan-2026 rates'!$L:$R,4,0),IF($LB156=65%,VLOOKUP($CH156,'Jan-2026 rates'!$L:$R,4,0),IF($LB156=40%,VLOOKUP($CH156,'Jan-2026 rates'!$L:$R,5,0),IF($LB156=30%,VLOOKUP($CH156,'Jan-2026 rates'!$L:$R,6,0),IF($LB156=100%,VLOOKUP($CH156,'Jan-2026 rates'!$L:$R,7,0),IF($LB156=60%,VLOOKUP($CH156,'Jan-2026 rates'!$L:$S,8,0),IF($LB156=80%,VLOOKUP($CH156,'Jan-2026 rates'!L:T,9,0),0))))))))</f>
        <v>0</v>
      </c>
      <c r="CN156" s="426" t="s">
        <v>1246</v>
      </c>
      <c r="CO156" s="427" t="s">
        <v>1248</v>
      </c>
      <c r="CP156" s="426"/>
      <c r="CQ156" s="426"/>
      <c r="CR156" s="428"/>
      <c r="CS156" s="428"/>
      <c r="CT156" s="428"/>
      <c r="CU156" s="428"/>
      <c r="CV156" s="409">
        <v>6</v>
      </c>
      <c r="CW156" s="398">
        <f>IF(CV156=0,0,IF(LEN(CN156)=11,_xlfn.XLOOKUP(CN156,'Dispensed Ink Rates'!C:C,'Dispensed Ink Rates'!CS:CS),VLOOKUP(CN156,'Jan-2026 rates'!$E:$F,2,0)))</f>
        <v>0</v>
      </c>
      <c r="CX156" s="409">
        <v>2</v>
      </c>
      <c r="CY156" s="398">
        <f>IF(CX156=0,0,IF(LEN(CO156)=11,_xlfn.XLOOKUP(CO156,'Dispensed Ink Rates'!C:C,'Dispensed Ink Rates'!CS:CS),VLOOKUP(CO156,'Jan-2026 rates'!$E:$F,2,0)))</f>
        <v>0</v>
      </c>
      <c r="CZ156" s="409"/>
      <c r="DA156" s="398">
        <f>IF(CZ156=0,0,IF(LEN(CP156)=11,_xlfn.XLOOKUP(CP156,'Dispensed Ink Rates'!C:C,'Dispensed Ink Rates'!CS:CS),VLOOKUP(CP156,'Jan-2026 rates'!$E:$F,2,0)))</f>
        <v>0</v>
      </c>
      <c r="DB156" s="409"/>
      <c r="DC156" s="398">
        <f>IF(DB156=0,0,IF(LEN(CQ156)=11,_xlfn.XLOOKUP(CQ156,'Dispensed Ink Rates'!C:C,'Dispensed Ink Rates'!CS:CS),VLOOKUP(CQ156,'Jan-2026 rates'!$E:$F,2,0)))</f>
        <v>0</v>
      </c>
      <c r="DD156" s="409"/>
      <c r="DE156" s="398">
        <f>IF(DD156=0,0,IF(LEN(CR156)=11,_xlfn.XLOOKUP(CR156,'Dispensed Ink Rates'!C:C,'Dispensed Ink Rates'!CS:CS),VLOOKUP(CR156,'Jan-2026 rates'!$E:$F,2,0)))</f>
        <v>0</v>
      </c>
      <c r="DF156" s="409"/>
      <c r="DG156" s="398">
        <f>IF(DF156=0,0,IF(LEN(CS156)=11,_xlfn.XLOOKUP(CS156,'Dispensed Ink Rates'!C:C,'Dispensed Ink Rates'!CS:CS),VLOOKUP(CS156,'Jan-2026 rates'!$E:$F,2,0)))</f>
        <v>0</v>
      </c>
      <c r="DH156" s="409"/>
      <c r="DI156" s="398">
        <f>IF(DH156=0,0,IF(LEN(CT156)=11,_xlfn.XLOOKUP(CT156,'Dispensed Ink Rates'!C:C,'Dispensed Ink Rates'!CS:CS),VLOOKUP(CT156,'Jan-2026 rates'!$E:$F,2,0)))</f>
        <v>0</v>
      </c>
      <c r="DJ156" s="409"/>
      <c r="DK156" s="398">
        <f>IF(DJ156=0,0,IF(LEN(CU156)=11,_xlfn.XLOOKUP(CU156,'Dispensed Ink Rates'!C:C,'Dispensed Ink Rates'!CS:CS),VLOOKUP(CU156,'Jan-2026 rates'!$E:$F,2,0)))</f>
        <v>0</v>
      </c>
      <c r="DL156" s="409" t="s">
        <v>1881</v>
      </c>
      <c r="DM156" s="409">
        <v>24</v>
      </c>
      <c r="DN156" s="411">
        <f t="shared" si="112"/>
        <v>0</v>
      </c>
      <c r="DO156" s="411">
        <f t="shared" si="113"/>
        <v>7.9841269841269842</v>
      </c>
      <c r="DP156" s="410">
        <f t="shared" si="114"/>
        <v>0</v>
      </c>
      <c r="DQ156" s="405" t="s">
        <v>855</v>
      </c>
      <c r="DR156" s="409" t="s">
        <v>3495</v>
      </c>
      <c r="DS156" s="420" t="str">
        <f t="shared" si="56"/>
        <v>ToyoLi - CYAN</v>
      </c>
      <c r="DT156" s="409">
        <v>25</v>
      </c>
      <c r="DU156" s="411">
        <f>IF(DT156=0,0,IF($LB156=70%,VLOOKUP($DS156,'Jan-2026 rates'!$L:$R,4,0),IF($LB156=65%,VLOOKUP($DS156,'Jan-2026 rates'!$L:$R,4,0),IF($LB156=40%,VLOOKUP($DS156,'Jan-2026 rates'!$L:$R,5,0),IF($LB156=30%,VLOOKUP($DS156,'Jan-2026 rates'!$L:$R,6,0),IF($LB156=100%,VLOOKUP($DS156,'Jan-2026 rates'!$L:$R,7,0),IF($LB156=60%,VLOOKUP($DS156,'Jan-2026 rates'!$L:$S,8,0),IF($LB156=80%,VLOOKUP($DS156,'Jan-2026 rates'!L:T,9,0),0))))))))</f>
        <v>0</v>
      </c>
      <c r="DV156" s="412"/>
      <c r="DW156" s="409"/>
      <c r="DX156" s="411">
        <f>IF(DW156=0,0,IF($LB156=70%,VLOOKUP($DS156,'Jan-2026 rates'!$L:$R,4,0),IF($LB156=65%,VLOOKUP($DS156,'Jan-2026 rates'!$L:$R,4,0),IF($LB156=40%,VLOOKUP($DS156,'Jan-2026 rates'!$L:$R,5,0),IF($LB156=30%,VLOOKUP($DS156,'Jan-2026 rates'!$L:$R,6,0),IF($LB156=100%,VLOOKUP($DS156,'Jan-2026 rates'!$L:$R,7,0),IF($LB156=60%,VLOOKUP($DS156,'Jan-2026 rates'!$L:$S,8,0),IF($LB156=80%,VLOOKUP($DS156,'Jan-2026 rates'!L:T,9,0),0))))))))</f>
        <v>0</v>
      </c>
      <c r="DY156" s="413" t="s">
        <v>1921</v>
      </c>
      <c r="DZ156" s="413"/>
      <c r="EA156" s="412"/>
      <c r="EB156" s="412"/>
      <c r="EC156" s="412"/>
      <c r="ED156" s="412"/>
      <c r="EE156" s="412"/>
      <c r="EF156" s="412"/>
      <c r="EG156" s="409">
        <v>4</v>
      </c>
      <c r="EH156" s="398">
        <f>IF(EG156=0,0,IF(LEN(DY156)=11,_xlfn.XLOOKUP(DY156,'Dispensed Ink Rates'!C:C,'Dispensed Ink Rates'!CS:CS),VLOOKUP(DY156,'Jan-2026 rates'!$E:$F,2,0)))</f>
        <v>0</v>
      </c>
      <c r="EI156" s="409"/>
      <c r="EJ156" s="398">
        <f>IF(EI156=0,0,IF(LEN(DZ156)=11,_xlfn.XLOOKUP(DZ156,'Dispensed Ink Rates'!C:C,'Dispensed Ink Rates'!CS:CS),VLOOKUP(DZ156,'Jan-2026 rates'!$E:$F,2,0)))</f>
        <v>0</v>
      </c>
      <c r="EK156" s="409"/>
      <c r="EL156" s="398">
        <f>IF(EK156=0,0,IF(LEN(EA156)=11,_xlfn.XLOOKUP(EA156,'Dispensed Ink Rates'!C:C,'Dispensed Ink Rates'!CS:CS),VLOOKUP(EA156,'Jan-2026 rates'!$E:$F,2,0)))</f>
        <v>0</v>
      </c>
      <c r="EM156" s="409"/>
      <c r="EN156" s="398">
        <f>IF(EM156=0,0,IF(LEN(EB156)=11,_xlfn.XLOOKUP(EB156,'Dispensed Ink Rates'!C:C,'Dispensed Ink Rates'!CS:CS),VLOOKUP(EB156,'Jan-2026 rates'!$E:$F,2,0)))</f>
        <v>0</v>
      </c>
      <c r="EO156" s="409"/>
      <c r="EP156" s="398">
        <f>IF(EO156=0,0,IF(LEN(EC156)=11,_xlfn.XLOOKUP(EC156,'Dispensed Ink Rates'!C:C,'Dispensed Ink Rates'!CS:CS),VLOOKUP(EC156,'Jan-2026 rates'!$E:$F,2,0)))</f>
        <v>0</v>
      </c>
      <c r="EQ156" s="409"/>
      <c r="ER156" s="398">
        <f>IF(EQ156=0,0,IF(LEN(ED156)=11,_xlfn.XLOOKUP(ED156,'Dispensed Ink Rates'!C:C,'Dispensed Ink Rates'!CS:CS),VLOOKUP(ED156,'Jan-2026 rates'!$E:$F,2,0)))</f>
        <v>0</v>
      </c>
      <c r="ES156" s="409"/>
      <c r="ET156" s="398">
        <f>IF(ES156=0,0,IF(LEN(EE156)=11,_xlfn.XLOOKUP(EE156,'Dispensed Ink Rates'!C:C,'Dispensed Ink Rates'!CS:CS),VLOOKUP(EE156,'Jan-2026 rates'!$E:$F,2,0)))</f>
        <v>0</v>
      </c>
      <c r="EU156" s="409"/>
      <c r="EV156" s="398">
        <f>IF(EU156=0,0,IF(LEN(EF156)=11,_xlfn.XLOOKUP(EF156,'Dispensed Ink Rates'!C:C,'Dispensed Ink Rates'!CS:CS),VLOOKUP(EF156,'Jan-2026 rates'!$E:$F,2,0)))</f>
        <v>0</v>
      </c>
      <c r="EW156" s="409" t="s">
        <v>1881</v>
      </c>
      <c r="EX156" s="409">
        <v>27</v>
      </c>
      <c r="EY156" s="411">
        <f t="shared" si="115"/>
        <v>0</v>
      </c>
      <c r="EZ156" s="411">
        <f t="shared" si="116"/>
        <v>8.9841269841269877</v>
      </c>
      <c r="FA156" s="410">
        <f t="shared" si="117"/>
        <v>0</v>
      </c>
      <c r="FB156" s="405" t="s">
        <v>544</v>
      </c>
      <c r="FC156" s="409" t="s">
        <v>3496</v>
      </c>
      <c r="FD156" s="420" t="str">
        <f t="shared" si="57"/>
        <v>ToyoLi - MAGENTA</v>
      </c>
      <c r="FE156" s="409">
        <v>29</v>
      </c>
      <c r="FF156" s="411">
        <f>IF(FE156=0,0,IF($LB156=70%,VLOOKUP($FD156,'Jan-2026 rates'!$L:$R,4,0),IF($LB156=65%,VLOOKUP($FD156,'Jan-2026 rates'!$L:$R,4,0),IF($LB156=40%,VLOOKUP($FD156,'Jan-2026 rates'!$L:$R,5,0),IF($LB156=30%,VLOOKUP($FD156,'Jan-2026 rates'!$L:$R,6,0),IF($LB156=100%,VLOOKUP($FD156,'Jan-2026 rates'!$L:$R,7,0),IF($LB156=60%,VLOOKUP($FD156,'Jan-2026 rates'!$L:$S,8,0),IF($LB156=80%,VLOOKUP($FD156,'Jan-2026 rates'!L:T,9,0),0))))))))</f>
        <v>0</v>
      </c>
      <c r="FG156" s="412"/>
      <c r="FH156" s="409"/>
      <c r="FI156" s="411">
        <f>IF(FH156=0,0,IF($LB156=70%,VLOOKUP($FD156,'Jan-2026 rates'!$L:$R,4,0),IF($LB156=65%,VLOOKUP($FD156,'Jan-2026 rates'!$L:$R,4,0),IF($LB156=40%,VLOOKUP($FD156,'Jan-2026 rates'!$L:$R,5,0),IF($LB156=30%,VLOOKUP($FD156,'Jan-2026 rates'!$L:$R,6,0),IF($LB156=100%,VLOOKUP($FD156,'Jan-2026 rates'!$L:$R,7,0),IF($LB156=60%,VLOOKUP($FD156,'Jan-2026 rates'!$L:$S,8,0),IF($LB156=80%,VLOOKUP($FD156,'Jan-2026 rates'!L:T,9,0),0))))))))</f>
        <v>0</v>
      </c>
      <c r="FJ156" s="413" t="s">
        <v>1921</v>
      </c>
      <c r="FK156" s="413"/>
      <c r="FL156" s="413"/>
      <c r="FM156" s="412"/>
      <c r="FN156" s="412"/>
      <c r="FO156" s="412"/>
      <c r="FP156" s="412"/>
      <c r="FQ156" s="412"/>
      <c r="FR156" s="409">
        <v>6</v>
      </c>
      <c r="FS156" s="398">
        <f>IF(FR156=0,0,IF(LEN(FJ156)=11,_xlfn.XLOOKUP(FJ156,'Dispensed Ink Rates'!C:C,'Dispensed Ink Rates'!CS:CS),VLOOKUP(FJ156,'Jan-2026 rates'!$E:$F,2,0)))</f>
        <v>0</v>
      </c>
      <c r="FT156" s="409"/>
      <c r="FU156" s="398">
        <f>IF(FT156=0,0,IF(LEN(FK156)=11,_xlfn.XLOOKUP(FK156,'Dispensed Ink Rates'!C:C,'Dispensed Ink Rates'!CS:CS),VLOOKUP(FK156,'Jan-2026 rates'!$E:$F,2,0)))</f>
        <v>0</v>
      </c>
      <c r="FV156" s="409"/>
      <c r="FW156" s="398">
        <f>IF(FV156=0,0,IF(LEN(FL156)=11,_xlfn.XLOOKUP(FL156,'Dispensed Ink Rates'!C:C,'Dispensed Ink Rates'!CS:CS),VLOOKUP(FL156,'Jan-2026 rates'!$E:$F,2,0)))</f>
        <v>0</v>
      </c>
      <c r="FX156" s="409"/>
      <c r="FY156" s="398">
        <f>IF(FX156=0,0,IF(LEN(FM156)=11,_xlfn.XLOOKUP(FM156,'Dispensed Ink Rates'!C:C,'Dispensed Ink Rates'!CS:CS),VLOOKUP(FM156,'Jan-2026 rates'!$E:$F,2,0)))</f>
        <v>0</v>
      </c>
      <c r="FZ156" s="409"/>
      <c r="GA156" s="398">
        <f>IF(FZ156=0,0,IF(LEN(FN156)=11,_xlfn.XLOOKUP(FN156,'Dispensed Ink Rates'!C:C,'Dispensed Ink Rates'!CS:CS),VLOOKUP(FN156,'Jan-2026 rates'!$E:$F,2,0)))</f>
        <v>0</v>
      </c>
      <c r="GB156" s="409"/>
      <c r="GC156" s="398">
        <f>IF(GB156=0,0,IF(LEN(FO156)=11,_xlfn.XLOOKUP(FO156,'Dispensed Ink Rates'!C:C,'Dispensed Ink Rates'!CS:CS),VLOOKUP(FO156,'Jan-2026 rates'!$E:$F,2,0)))</f>
        <v>0</v>
      </c>
      <c r="GD156" s="409"/>
      <c r="GE156" s="398">
        <f>IF(GD156=0,0,IF(LEN(FP156)=11,_xlfn.XLOOKUP(FP156,'Dispensed Ink Rates'!C:C,'Dispensed Ink Rates'!CS:CS),VLOOKUP(FP156,'Jan-2026 rates'!$E:$F,2,0)))</f>
        <v>0</v>
      </c>
      <c r="GF156" s="409"/>
      <c r="GG156" s="398">
        <f>IF(GF156=0,0,IF(LEN(FQ156)=11,_xlfn.XLOOKUP(FQ156,'Dispensed Ink Rates'!C:C,'Dispensed Ink Rates'!CS:CS),VLOOKUP(FQ156,'Jan-2026 rates'!$E:$F,2,0)))</f>
        <v>0</v>
      </c>
      <c r="GH156" s="409" t="s">
        <v>1881</v>
      </c>
      <c r="GI156" s="409">
        <f>8+24</f>
        <v>32</v>
      </c>
      <c r="GJ156" s="411">
        <f t="shared" si="118"/>
        <v>0</v>
      </c>
      <c r="GK156" s="411">
        <f t="shared" si="119"/>
        <v>9.9841269841269877</v>
      </c>
      <c r="GL156" s="410">
        <f t="shared" si="120"/>
        <v>0</v>
      </c>
      <c r="GM156" s="405" t="s">
        <v>545</v>
      </c>
      <c r="GN156" s="409" t="s">
        <v>3497</v>
      </c>
      <c r="GO156" s="420" t="str">
        <f t="shared" si="58"/>
        <v>ToyoLi - YELLOW</v>
      </c>
      <c r="GP156" s="409">
        <v>29</v>
      </c>
      <c r="GQ156" s="411">
        <f>IF(GP156=0,0,IF($LB156=70%,VLOOKUP($GO156,'Jan-2026 rates'!$L:$R,4,0),IF($LB156=65%,VLOOKUP($GO156,'Jan-2026 rates'!$L:$R,4,0),IF($LB156=40%,VLOOKUP($GO156,'Jan-2026 rates'!$L:$R,5,0),IF($LB156=30%,VLOOKUP($GO156,'Jan-2026 rates'!$L:$R,6,0),IF($LB156=100%,VLOOKUP($GO156,'Jan-2026 rates'!$L:$R,7,0),IF($LB156=60%,VLOOKUP($GO156,'Jan-2026 rates'!$L:$S,8,0),IF($LB156=80%,VLOOKUP($GO156,'Jan-2026 rates'!L:T,9,0),0))))))))</f>
        <v>0</v>
      </c>
      <c r="GR156" s="412"/>
      <c r="GS156" s="409"/>
      <c r="GT156" s="411">
        <f>IF(GS156=0,0,IF($LB156=70%,VLOOKUP($GO156,'Jan-2026 rates'!$L:$R,4,0),IF($LB156=65%,VLOOKUP($GO156,'Jan-2026 rates'!$L:$R,4,0),IF($LB156=40%,VLOOKUP($GO156,'Jan-2026 rates'!$L:$R,5,0),IF($LB156=30%,VLOOKUP($GO156,'Jan-2026 rates'!$L:$R,6,0),IF($LB156=100%,VLOOKUP($GO156,'Jan-2026 rates'!$L:$R,7,0),IF($LB156=60%,VLOOKUP($GO156,'Jan-2026 rates'!$L:$S,8,0),IF($LB156=80%,VLOOKUP($GO156,'Jan-2026 rates'!L:T,9,0),0))))))))</f>
        <v>0</v>
      </c>
      <c r="GU156" s="413" t="s">
        <v>1247</v>
      </c>
      <c r="GV156" s="413"/>
      <c r="GW156" s="412"/>
      <c r="GX156" s="412"/>
      <c r="GY156" s="412"/>
      <c r="GZ156" s="412"/>
      <c r="HA156" s="412"/>
      <c r="HB156" s="412"/>
      <c r="HC156" s="409">
        <v>6</v>
      </c>
      <c r="HD156" s="398">
        <f>IF(HC156=0,0,IF(LEN(GU156)=11,_xlfn.XLOOKUP(GU156,'Dispensed Ink Rates'!C:C,'Dispensed Ink Rates'!CS:CS),VLOOKUP(GU156,'Jan-2026 rates'!$E:$F,2,0)))</f>
        <v>0</v>
      </c>
      <c r="HE156" s="409"/>
      <c r="HF156" s="398">
        <f>IF(HE156=0,0,IF(LEN(GV156)=11,_xlfn.XLOOKUP(GV156,'Dispensed Ink Rates'!C:C,'Dispensed Ink Rates'!CS:CS),VLOOKUP(GV156,'Jan-2026 rates'!$E:$F,2,0)))</f>
        <v>0</v>
      </c>
      <c r="HG156" s="409"/>
      <c r="HH156" s="398">
        <f>IF(HG156=0,0,IF(LEN(GW156)=11,_xlfn.XLOOKUP(GW156,'Dispensed Ink Rates'!C:C,'Dispensed Ink Rates'!CS:CS),VLOOKUP(GW156,'Jan-2026 rates'!$E:$F,2,0)))</f>
        <v>0</v>
      </c>
      <c r="HI156" s="409"/>
      <c r="HJ156" s="398">
        <f>IF(HI156=0,0,IF(LEN(GX156)=11,_xlfn.XLOOKUP(GX156,'Dispensed Ink Rates'!C:C,'Dispensed Ink Rates'!CS:CS),VLOOKUP(GX156,'Jan-2026 rates'!$E:$F,2,0)))</f>
        <v>0</v>
      </c>
      <c r="HK156" s="409"/>
      <c r="HL156" s="398">
        <f>IF(HK156=0,0,IF(LEN(GY156)=11,_xlfn.XLOOKUP(GY156,'Dispensed Ink Rates'!C:C,'Dispensed Ink Rates'!CS:CS),VLOOKUP(GY156,'Jan-2026 rates'!$E:$F,2,0)))</f>
        <v>0</v>
      </c>
      <c r="HM156" s="409"/>
      <c r="HN156" s="398">
        <f>IF(HM156=0,0,IF(LEN(GZ156)=11,_xlfn.XLOOKUP(GZ156,'Dispensed Ink Rates'!C:C,'Dispensed Ink Rates'!CS:CS),VLOOKUP(GZ156,'Jan-2026 rates'!$E:$F,2,0)))</f>
        <v>0</v>
      </c>
      <c r="HO156" s="409"/>
      <c r="HP156" s="398">
        <f>IF(HO156=0,0,IF(LEN(HA156)=11,_xlfn.XLOOKUP(HA156,'Dispensed Ink Rates'!C:C,'Dispensed Ink Rates'!CS:CS),VLOOKUP(HA156,'Jan-2026 rates'!$E:$F,2,0)))</f>
        <v>0</v>
      </c>
      <c r="HQ156" s="409"/>
      <c r="HR156" s="398">
        <f>IF(HQ156=0,0,IF(LEN(HB156)=11,_xlfn.XLOOKUP(HB156,'Dispensed Ink Rates'!C:C,'Dispensed Ink Rates'!CS:CS),VLOOKUP(HB156,'Jan-2026 rates'!$E:$F,2,0)))</f>
        <v>0</v>
      </c>
      <c r="HS156" s="409" t="s">
        <v>1881</v>
      </c>
      <c r="HT156" s="409">
        <v>28</v>
      </c>
      <c r="HU156" s="411">
        <f t="shared" si="121"/>
        <v>0</v>
      </c>
      <c r="HV156" s="411">
        <f t="shared" si="122"/>
        <v>13.984126984126988</v>
      </c>
      <c r="HW156" s="414">
        <f t="shared" si="123"/>
        <v>0</v>
      </c>
      <c r="HX156" s="405" t="s">
        <v>545</v>
      </c>
      <c r="HY156" s="409" t="s">
        <v>3490</v>
      </c>
      <c r="HZ156" s="420" t="str">
        <f t="shared" si="59"/>
        <v>ToyoLi - YELLOW</v>
      </c>
      <c r="IA156" s="409">
        <v>17</v>
      </c>
      <c r="IB156" s="411">
        <f>IF(IA156=0,0,IF($LB156=70%,VLOOKUP($HZ156,'Jan-2026 rates'!$L:$R,4,0),IF($LB156=65%,VLOOKUP($HZ156,'Jan-2026 rates'!$L:$R,4,0),IF($LB156=40%,VLOOKUP($HZ156,'Jan-2026 rates'!$L:$R,5,0),IF($LB156=30%,VLOOKUP($HZ156,'Jan-2026 rates'!$L:$R,6,0),IF($LB156=100%,VLOOKUP($HZ156,'Jan-2026 rates'!$L:$R,7,0),IF($LB156=60%,VLOOKUP($HZ156,'Jan-2026 rates'!$L:$S,8,0),IF($LB156=80%,VLOOKUP($HZ156,'Jan-2026 rates'!L:T,9,0),0))))))))</f>
        <v>0</v>
      </c>
      <c r="IC156" s="412"/>
      <c r="ID156" s="409"/>
      <c r="IE156" s="411">
        <f>IF(ID156=0,0,IF($LB156=70%,VLOOKUP($HZ156,'Jan-2026 rates'!$L:$R,4,0),IF($LB156=65%,VLOOKUP($HZ156,'Jan-2026 rates'!$L:$R,4,0),IF($LB156=40%,VLOOKUP($HZ156,'Jan-2026 rates'!$L:$R,5,0),IF($LB156=30%,VLOOKUP($HZ156,'Jan-2026 rates'!$L:$R,6,0),IF($LB156=100%,VLOOKUP($HZ156,'Jan-2026 rates'!$L:$R,7,0),IF($LB156=60%,VLOOKUP($HZ156,'Jan-2026 rates'!$L:$S,8,0),IF($LB156=80%,VLOOKUP($HZ156,'Jan-2026 rates'!L:T,9,0),0))))))))</f>
        <v>0</v>
      </c>
      <c r="IF156" s="412" t="s">
        <v>1247</v>
      </c>
      <c r="IG156" s="413" t="s">
        <v>1921</v>
      </c>
      <c r="IH156" s="412" t="s">
        <v>1248</v>
      </c>
      <c r="II156" s="412"/>
      <c r="IJ156" s="412"/>
      <c r="IK156" s="412"/>
      <c r="IL156" s="412"/>
      <c r="IM156" s="412"/>
      <c r="IN156" s="409">
        <f>10+8</f>
        <v>18</v>
      </c>
      <c r="IO156" s="398">
        <f>IF(IN156=0,0,IF(LEN(IF156)=11,_xlfn.XLOOKUP(IF156,'Dispensed Ink Rates'!C:C,'Dispensed Ink Rates'!CS:CS),VLOOKUP(IF156,'Jan-2026 rates'!$E:$F,2,0)))</f>
        <v>0</v>
      </c>
      <c r="IP156" s="409">
        <v>2</v>
      </c>
      <c r="IQ156" s="398">
        <f>IF(IP156=0,0,IF(LEN(IG156)=11,_xlfn.XLOOKUP(IG156,'Dispensed Ink Rates'!C:C,'Dispensed Ink Rates'!CS:CS),VLOOKUP(IG156,'Jan-2026 rates'!$E:$F,2,0)))</f>
        <v>0</v>
      </c>
      <c r="IR156" s="409">
        <v>1</v>
      </c>
      <c r="IS156" s="398">
        <f>IF(IR156=0,0,IF(LEN(IH156)=11,_xlfn.XLOOKUP(IH156,'Dispensed Ink Rates'!C:C,'Dispensed Ink Rates'!CS:CS),VLOOKUP(IH156,'Jan-2026 rates'!$E:$F,2,0)))</f>
        <v>0</v>
      </c>
      <c r="IT156" s="409"/>
      <c r="IU156" s="398">
        <f>IF(IT156=0,0,IF(LEN(II156)=11,_xlfn.XLOOKUP(II156,'Dispensed Ink Rates'!C:C,'Dispensed Ink Rates'!CS:CS),VLOOKUP(II156,'Jan-2026 rates'!$E:$F,2,0)))</f>
        <v>0</v>
      </c>
      <c r="IV156" s="409"/>
      <c r="IW156" s="398">
        <f>IF(IV156=0,0,IF(LEN(IJ156)=11,_xlfn.XLOOKUP(IJ156,'Dispensed Ink Rates'!C:C,'Dispensed Ink Rates'!CS:CS),VLOOKUP(IJ156,'Jan-2026 rates'!$E:$F,2,0)))</f>
        <v>0</v>
      </c>
      <c r="IX156" s="409"/>
      <c r="IY156" s="398">
        <f>IF(IX156=0,0,IF(LEN(IK156)=11,_xlfn.XLOOKUP(IK156,'Dispensed Ink Rates'!C:C,'Dispensed Ink Rates'!CS:CS),VLOOKUP(IK156,'Jan-2026 rates'!$E:$F,2,0)))</f>
        <v>0</v>
      </c>
      <c r="IZ156" s="409"/>
      <c r="JA156" s="398">
        <f>IF(IZ156=0,0,IF(LEN(IL156)=11,_xlfn.XLOOKUP(IL156,'Dispensed Ink Rates'!C:C,'Dispensed Ink Rates'!CS:CS),VLOOKUP(IL156,'Jan-2026 rates'!$E:$F,2,0)))</f>
        <v>0</v>
      </c>
      <c r="JB156" s="409"/>
      <c r="JC156" s="398">
        <f>IF(JB156=0,0,IF(LEN(IM156)=11,_xlfn.XLOOKUP(IM156,'Dispensed Ink Rates'!C:C,'Dispensed Ink Rates'!CS:CS),VLOOKUP(IM156,'Jan-2026 rates'!$E:$F,2,0)))</f>
        <v>0</v>
      </c>
      <c r="JD156" s="409" t="s">
        <v>1881</v>
      </c>
      <c r="JE156" s="409">
        <v>20</v>
      </c>
      <c r="JF156" s="411">
        <f t="shared" si="124"/>
        <v>0</v>
      </c>
      <c r="JG156" s="411">
        <f t="shared" si="125"/>
        <v>31.968253968253968</v>
      </c>
      <c r="JH156" s="410">
        <f t="shared" si="126"/>
        <v>0</v>
      </c>
      <c r="JI156" s="405" t="s">
        <v>856</v>
      </c>
      <c r="JJ156" s="409" t="s">
        <v>3498</v>
      </c>
      <c r="JK156" s="420" t="str">
        <f t="shared" si="60"/>
        <v>ToyoLi - WHITE</v>
      </c>
      <c r="JL156" s="409">
        <v>24</v>
      </c>
      <c r="JM156" s="411">
        <f>IF(JL156=0,0,IF($LB156=70%,VLOOKUP($JK156,'Jan-2026 rates'!$L:$R,4,0),IF($LB156=65%,VLOOKUP($JK156,'Jan-2026 rates'!$L:$R,4,0),IF($LB156=40%,VLOOKUP($JK156,'Jan-2026 rates'!$L:$R,5,0),IF($LB156=30%,VLOOKUP($JK156,'Jan-2026 rates'!$L:$R,6,0),IF($LB156=100%,VLOOKUP($JK156,'Jan-2026 rates'!$L:$R,7,0),IF($LB156=60%,VLOOKUP($JK156,'Jan-2026 rates'!$L:$S,8,0),IF($LB156=80%,VLOOKUP($JK156,'Jan-2026 rates'!L:T,9,0),0))))))))</f>
        <v>0</v>
      </c>
      <c r="JN156" s="412"/>
      <c r="JO156" s="409"/>
      <c r="JP156" s="411">
        <f>IF(JO156=0,0,IF($LB156=70%,VLOOKUP($JK156,'Jan-2026 rates'!$L:$R,4,0),IF($LB156=65%,VLOOKUP($JK156,'Jan-2026 rates'!$L:$R,4,0),IF($LB156=40%,VLOOKUP($JK156,'Jan-2026 rates'!$L:$R,5,0),IF($LB156=30%,VLOOKUP($JK156,'Jan-2026 rates'!$L:$R,6,0),IF($LB156=100%,VLOOKUP($JK156,'Jan-2026 rates'!$L:$R,7,0),IF($LB156=60%,VLOOKUP($JK156,'Jan-2026 rates'!$L:$S,8,0),IF($LB156=80%,VLOOKUP($JK156,'Jan-2026 rates'!L:T,9,0),0))))))))</f>
        <v>0</v>
      </c>
      <c r="JQ156" s="413" t="s">
        <v>1249</v>
      </c>
      <c r="JR156" s="412" t="s">
        <v>1122</v>
      </c>
      <c r="JS156" s="413"/>
      <c r="JT156" s="413"/>
      <c r="JU156" s="412"/>
      <c r="JV156" s="412"/>
      <c r="JW156" s="412"/>
      <c r="JX156" s="412"/>
      <c r="JY156" s="409">
        <v>25</v>
      </c>
      <c r="JZ156" s="398">
        <f>IF(JY156=0,0,IF(LEN(JQ156)=11,_xlfn.XLOOKUP(JQ156,'Dispensed Ink Rates'!C:C,'Dispensed Ink Rates'!CS:CS),VLOOKUP(JQ156,'Jan-2026 rates'!$E:$F,2,0)))</f>
        <v>0</v>
      </c>
      <c r="KA156" s="409">
        <v>5.32</v>
      </c>
      <c r="KB156" s="398">
        <f>IF(KA156=0,0,IF(LEN(JR156)=11,_xlfn.XLOOKUP(JR156,'Dispensed Ink Rates'!C:C,'Dispensed Ink Rates'!CS:CS),VLOOKUP(JR156,'Jan-2026 rates'!$E:$F,2,0)))</f>
        <v>0</v>
      </c>
      <c r="KC156" s="409"/>
      <c r="KD156" s="398">
        <f>IF(KC156=0,0,IF(LEN(JS156)=11,_xlfn.XLOOKUP(JS156,'Dispensed Ink Rates'!C:C,'Dispensed Ink Rates'!CS:CS),VLOOKUP(JS156,'Jan-2026 rates'!$E:$F,2,0)))</f>
        <v>0</v>
      </c>
      <c r="KE156" s="409"/>
      <c r="KF156" s="398">
        <f>IF(KE156=0,0,IF(LEN(JT156)=11,_xlfn.XLOOKUP(JT156,'Dispensed Ink Rates'!C:C,'Dispensed Ink Rates'!CS:CS),VLOOKUP(JT156,'Jan-2026 rates'!$E:$F,2,0)))</f>
        <v>0</v>
      </c>
      <c r="KG156" s="409"/>
      <c r="KH156" s="398">
        <f>IF(KG156=0,0,IF(LEN(JU156)=11,_xlfn.XLOOKUP(JU156,'Dispensed Ink Rates'!C:C,'Dispensed Ink Rates'!CS:CS),VLOOKUP(JU156,'Jan-2026 rates'!$E:$F,2,0)))</f>
        <v>0</v>
      </c>
      <c r="KI156" s="409"/>
      <c r="KJ156" s="398">
        <f>IF(KI156=0,0,IF(LEN(JV156)=11,_xlfn.XLOOKUP(JV156,'Dispensed Ink Rates'!C:C,'Dispensed Ink Rates'!CS:CS),VLOOKUP(JV156,'Jan-2026 rates'!$E:$F,2,0)))</f>
        <v>0</v>
      </c>
      <c r="KK156" s="409"/>
      <c r="KL156" s="398">
        <f>IF(KK156=0,0,IF(LEN(JW156)=11,_xlfn.XLOOKUP(JW156,'Dispensed Ink Rates'!C:C,'Dispensed Ink Rates'!CS:CS),VLOOKUP(JW156,'Jan-2026 rates'!$E:$F,2,0)))</f>
        <v>0</v>
      </c>
      <c r="KM156" s="428"/>
      <c r="KN156" s="398">
        <f>IF(KM156=0,0,IF(LEN(JX156)=11,_xlfn.XLOOKUP(JX156,'Dispensed Ink Rates'!C:C,'Dispensed Ink Rates'!CS:CS),VLOOKUP(JX156,'Jan-2026 rates'!$E:$F,2,0)))</f>
        <v>0</v>
      </c>
      <c r="KO156" s="409" t="s">
        <v>1881</v>
      </c>
      <c r="KP156" s="409">
        <v>24</v>
      </c>
      <c r="KQ156" s="411">
        <f t="shared" si="127"/>
        <v>0</v>
      </c>
      <c r="KR156" s="411">
        <f t="shared" si="128"/>
        <v>58.256507936507944</v>
      </c>
      <c r="KS156" s="410">
        <f t="shared" si="129"/>
        <v>0</v>
      </c>
      <c r="KT156" s="409">
        <v>5</v>
      </c>
      <c r="KU156" s="409">
        <v>8</v>
      </c>
      <c r="KV156" s="409">
        <v>5</v>
      </c>
      <c r="KW156" s="409">
        <v>5</v>
      </c>
      <c r="KX156" s="409">
        <v>5</v>
      </c>
      <c r="KY156" s="409">
        <v>5</v>
      </c>
      <c r="KZ156" s="409">
        <f>5+5</f>
        <v>10</v>
      </c>
      <c r="LA156" s="409">
        <v>20</v>
      </c>
      <c r="LB156" s="415">
        <v>0.3</v>
      </c>
      <c r="LC156" s="415"/>
      <c r="LD156" s="415"/>
      <c r="LE156" s="415">
        <v>0.5</v>
      </c>
      <c r="LF156" s="415">
        <v>0.2</v>
      </c>
      <c r="LG156" s="409">
        <v>0</v>
      </c>
      <c r="LH156" s="409">
        <f>20+20+12+20+4+4+8</f>
        <v>88</v>
      </c>
      <c r="LI156" s="409">
        <v>0</v>
      </c>
      <c r="LJ156" s="409">
        <v>0</v>
      </c>
      <c r="LK156" s="416">
        <f t="shared" si="61"/>
        <v>88</v>
      </c>
      <c r="LL156" s="416">
        <f t="shared" si="62"/>
        <v>88</v>
      </c>
      <c r="LM156" s="417">
        <f t="shared" si="63"/>
        <v>26.4</v>
      </c>
      <c r="LN156" s="417">
        <f>VLOOKUP($LM$8,'Jan-2026 rates'!$H:$I,2,0)</f>
        <v>0</v>
      </c>
      <c r="LO156" s="417">
        <f t="shared" si="64"/>
        <v>0</v>
      </c>
      <c r="LP156" s="417">
        <f>VLOOKUP($LO$8,'Jan-2026 rates'!$H:$I,2,0)</f>
        <v>0</v>
      </c>
      <c r="LQ156" s="417">
        <f t="shared" si="65"/>
        <v>0</v>
      </c>
      <c r="LR156" s="417">
        <f>VLOOKUP($LQ$8,'Jan-2026 rates'!$H:$I,2,0)</f>
        <v>0</v>
      </c>
      <c r="LS156" s="417">
        <f t="shared" si="66"/>
        <v>44</v>
      </c>
      <c r="LT156" s="417">
        <f>VLOOKUP($LS$8,'Jan-2026 rates'!$H:$I,2,0)</f>
        <v>0</v>
      </c>
      <c r="LU156" s="417">
        <f t="shared" si="67"/>
        <v>17.600000000000001</v>
      </c>
      <c r="LV156" s="417">
        <f>VLOOKUP($LU$8,'Jan-2026 rates'!$H:$I,2,0)</f>
        <v>0</v>
      </c>
      <c r="LW156" s="417">
        <f t="shared" si="68"/>
        <v>0</v>
      </c>
      <c r="LX156" s="417">
        <f t="shared" si="69"/>
        <v>0</v>
      </c>
      <c r="LY156" s="418">
        <f t="shared" si="70"/>
        <v>0</v>
      </c>
      <c r="LZ156" s="417"/>
      <c r="MA156" s="435">
        <f t="shared" si="71"/>
        <v>99.32</v>
      </c>
      <c r="MB156" s="282">
        <f t="shared" si="72"/>
        <v>150.32000000000002</v>
      </c>
      <c r="MC156" s="283" t="s">
        <v>1991</v>
      </c>
      <c r="MD156" s="284" t="str">
        <f t="shared" si="73"/>
        <v>ToyoLiToyoLiToyoLiToyoLiToyoLiToyoLiToyoLiToyoLi</v>
      </c>
      <c r="ME156" s="293" t="str">
        <f t="shared" si="74"/>
        <v>+</v>
      </c>
      <c r="MF156" s="293" t="str">
        <f t="shared" si="75"/>
        <v>+</v>
      </c>
      <c r="MG156" s="293" t="str">
        <f t="shared" si="76"/>
        <v>+</v>
      </c>
      <c r="MH156" s="293" t="str">
        <f t="shared" si="77"/>
        <v>+</v>
      </c>
      <c r="MI156" s="293" t="str">
        <f t="shared" si="78"/>
        <v>+</v>
      </c>
      <c r="MJ156" s="293" t="str">
        <f t="shared" si="79"/>
        <v>+</v>
      </c>
      <c r="MK156" s="293" t="str">
        <f t="shared" si="80"/>
        <v>+</v>
      </c>
      <c r="ML156" s="293" t="str">
        <f t="shared" si="81"/>
        <v>+</v>
      </c>
      <c r="MM156" s="3" t="b">
        <f t="array" ref="MM156">OR(ME156:ML156="-")</f>
        <v>0</v>
      </c>
      <c r="MN156" s="285"/>
      <c r="MO156" s="401"/>
      <c r="MP156" s="286"/>
      <c r="MQ156" s="286"/>
      <c r="MR156" s="402"/>
      <c r="MS156" s="400"/>
      <c r="NH156" s="422"/>
      <c r="NJ156" s="421"/>
    </row>
    <row r="157" spans="1:374" s="1" customFormat="1" ht="16.5">
      <c r="A157" s="403">
        <v>46033</v>
      </c>
      <c r="B157" s="404" t="s">
        <v>1015</v>
      </c>
      <c r="C157" s="405" t="s">
        <v>3499</v>
      </c>
      <c r="D157" s="406" t="s">
        <v>1992</v>
      </c>
      <c r="E157" s="404">
        <v>432</v>
      </c>
      <c r="F157" s="407">
        <v>24900</v>
      </c>
      <c r="G157" s="407" t="s">
        <v>1016</v>
      </c>
      <c r="H157" s="408" t="s">
        <v>1017</v>
      </c>
      <c r="I157" s="409">
        <v>1.2</v>
      </c>
      <c r="J157" s="405" t="s">
        <v>543</v>
      </c>
      <c r="K157" s="404" t="s">
        <v>3500</v>
      </c>
      <c r="L157" s="419" t="str">
        <f t="shared" si="54"/>
        <v>ToyoLi - BLACK</v>
      </c>
      <c r="M157" s="404">
        <v>25</v>
      </c>
      <c r="N157" s="410">
        <f>IF(M157=0,0,IF($LB157=70%,VLOOKUP($L157,'Jan-2026 rates'!$L:$R,4,0),IF($LB157=65%,VLOOKUP($L157,'Jan-2026 rates'!$L:$R,4,0),IF($LB157=40%,VLOOKUP($L157,'Jan-2026 rates'!$L:$R,5,0),IF($LB157=30%,VLOOKUP($L157,'Jan-2026 rates'!$L:$R,6,0),IF($LB157=100%,VLOOKUP($L157,'Jan-2026 rates'!$L:$R,7,0),IF($LB157=60%,VLOOKUP($L157,'Jan-2026 rates'!$L:$S,8,0),IF($LB157=80%,VLOOKUP($L157,'Jan-2026 rates'!L:T,9,0),0))))))))</f>
        <v>0</v>
      </c>
      <c r="O157" s="406"/>
      <c r="P157" s="404"/>
      <c r="Q157" s="410">
        <f>IF(P157=0,0,IF($LB157=70%,VLOOKUP($L157,'Jan-2026 rates'!$L:$R,4,0),IF($LB157=65%,VLOOKUP($L157,'Jan-2026 rates'!$L:$R,4,0),IF($LB157=40%,VLOOKUP($L157,'Jan-2026 rates'!$L:$R,5,0),IF($LB157=30%,VLOOKUP($L157,'Jan-2026 rates'!$L:$R,6,0),IF($LB157=100%,VLOOKUP($L157,'Jan-2026 rates'!$L:$R,7,0),IF($LB157=60%,VLOOKUP($L157,'Jan-2026 rates'!$L:$S,8,0),IF($LB157=80%,VLOOKUP($L157,'Jan-2026 rates'!L:T,9,0),0))))))))</f>
        <v>0</v>
      </c>
      <c r="R157" s="406" t="s">
        <v>1921</v>
      </c>
      <c r="S157" s="406"/>
      <c r="T157" s="406"/>
      <c r="U157" s="406"/>
      <c r="V157" s="406"/>
      <c r="W157" s="406"/>
      <c r="X157" s="406"/>
      <c r="Y157" s="406"/>
      <c r="Z157" s="404">
        <v>6</v>
      </c>
      <c r="AA157" s="398">
        <f>IF(Z157=0,0,IF(LEN(R157)=11,_xlfn.XLOOKUP(R157,'Dispensed Ink Rates'!C:C,'Dispensed Ink Rates'!CS:CS),VLOOKUP(R157,'Jan-2026 rates'!$E:$F,2,0)))</f>
        <v>0</v>
      </c>
      <c r="AB157" s="404"/>
      <c r="AC157" s="398">
        <f>IF(AB157=0,0,IF(LEN(S157)=11,_xlfn.XLOOKUP(S157,'Dispensed Ink Rates'!C:C,'Dispensed Ink Rates'!CS:CS),VLOOKUP(S157,'Jan-2026 rates'!$E:$F,2,0)))</f>
        <v>0</v>
      </c>
      <c r="AD157" s="404"/>
      <c r="AE157" s="398">
        <f>IF(AD157=0,0,IF(LEN(T157)=11,_xlfn.XLOOKUP(T157,'Dispensed Ink Rates'!C:C,'Dispensed Ink Rates'!CS:CS),VLOOKUP(T157,'Jan-2026 rates'!$E:$F,2,0)))</f>
        <v>0</v>
      </c>
      <c r="AF157" s="404"/>
      <c r="AG157" s="398">
        <f>IF(AF157=0,0,IF(LEN(U157)=11,_xlfn.XLOOKUP(U157,'Dispensed Ink Rates'!C:C,'Dispensed Ink Rates'!CS:CS),VLOOKUP(U157,'Jan-2026 rates'!$E:$F,2,0)))</f>
        <v>0</v>
      </c>
      <c r="AH157" s="404"/>
      <c r="AI157" s="398">
        <f>IF(AH157=0,0,IF(LEN(V157)=11,_xlfn.XLOOKUP(V157,'Dispensed Ink Rates'!C:C,'Dispensed Ink Rates'!CS:CS),VLOOKUP(V157,'Jan-2026 rates'!$E:$F,2,0)))</f>
        <v>0</v>
      </c>
      <c r="AJ157" s="404"/>
      <c r="AK157" s="398">
        <f>IF(AJ157=0,0,IF(LEN(W157)=11,_xlfn.XLOOKUP(W157,'Dispensed Ink Rates'!C:C,'Dispensed Ink Rates'!CS:CS),VLOOKUP(W157,'Jan-2026 rates'!$E:$F,2,0)))</f>
        <v>0</v>
      </c>
      <c r="AL157" s="404"/>
      <c r="AM157" s="398">
        <f>IF(AL157=0,0,IF(LEN(X157)=11,_xlfn.XLOOKUP(X157,'Dispensed Ink Rates'!C:C,'Dispensed Ink Rates'!CS:CS),VLOOKUP(X157,'Jan-2026 rates'!$E:$F,2,0)))</f>
        <v>0</v>
      </c>
      <c r="AN157" s="404"/>
      <c r="AO157" s="398">
        <f>IF(AN157=0,0,IF(LEN(Y157)=11,_xlfn.XLOOKUP(Y157,'Dispensed Ink Rates'!C:C,'Dispensed Ink Rates'!CS:CS),VLOOKUP(Y157,'Jan-2026 rates'!$E:$F,2,0)))</f>
        <v>0</v>
      </c>
      <c r="AP157" s="409" t="s">
        <v>1881</v>
      </c>
      <c r="AQ157" s="409">
        <v>26</v>
      </c>
      <c r="AR157" s="410">
        <f t="shared" si="106"/>
        <v>0</v>
      </c>
      <c r="AS157" s="411">
        <f t="shared" si="107"/>
        <v>16.984126984126988</v>
      </c>
      <c r="AT157" s="410">
        <f t="shared" si="108"/>
        <v>0</v>
      </c>
      <c r="AU157" s="405" t="s">
        <v>546</v>
      </c>
      <c r="AV157" s="409" t="s">
        <v>3500</v>
      </c>
      <c r="AW157" s="420" t="str">
        <f t="shared" si="130"/>
        <v>ToyoLi - REFLEX BLUE</v>
      </c>
      <c r="AX157" s="409">
        <v>24</v>
      </c>
      <c r="AY157" s="411">
        <f>IF(AX157=0,0,IF($LB157=70%,VLOOKUP($AW157,'Jan-2026 rates'!$L:$R,4,0),IF($LB157=65%,VLOOKUP($AW157,'Jan-2026 rates'!$L:$R,4,0),IF($LB157=40%,VLOOKUP($AW157,'Jan-2026 rates'!$L:$R,5,0),IF($LB157=30%,VLOOKUP($AW157,'Jan-2026 rates'!$L:$R,6,0),IF($LB157=100%,VLOOKUP($AW157,'Jan-2026 rates'!$L:$R,7,0),IF($LB157=60%,VLOOKUP($AW157,'Jan-2026 rates'!$L:$S,8,0),IF($LB157=80%,VLOOKUP($AW157,'Jan-2026 rates'!L:T,9,0),0))))))))</f>
        <v>0</v>
      </c>
      <c r="AZ157" s="412"/>
      <c r="BA157" s="409"/>
      <c r="BB157" s="411">
        <f>IF(BA157=0,0,IF($LB157=70%,VLOOKUP($AW157,'Jan-2026 rates'!$L:$R,4,0),IF($LB157=65%,VLOOKUP($AW157,'Jan-2026 rates'!$L:$R,4,0),IF($LB157=40%,VLOOKUP($AW157,'Jan-2026 rates'!$L:$R,5,0),IF($LB157=30%,VLOOKUP($AW157,'Jan-2026 rates'!$L:$R,6,0),IF($LB157=100%,VLOOKUP($AW157,'Jan-2026 rates'!$L:$R,7,0),IF($LB157=60%,VLOOKUP($AW157,'Jan-2026 rates'!$L:$S,8,0),IF($LB157=80%,VLOOKUP($AW157,'Jan-2026 rates'!L:T,9,0),0))))))))</f>
        <v>0</v>
      </c>
      <c r="BC157" s="413" t="s">
        <v>1880</v>
      </c>
      <c r="BD157" s="412" t="s">
        <v>1585</v>
      </c>
      <c r="BE157" s="412"/>
      <c r="BF157" s="413"/>
      <c r="BG157" s="412"/>
      <c r="BH157" s="412"/>
      <c r="BI157" s="412"/>
      <c r="BJ157" s="412"/>
      <c r="BK157" s="409">
        <v>20</v>
      </c>
      <c r="BL157" s="398">
        <f>IF(BK157=0,0,IF(LEN(BC157)=11,_xlfn.XLOOKUP(BC157,'Dispensed Ink Rates'!C:C,'Dispensed Ink Rates'!CS:CS),VLOOKUP(BC157,'Jan-2026 rates'!$E:$F,2,0)))</f>
        <v>0</v>
      </c>
      <c r="BM157" s="409">
        <v>12</v>
      </c>
      <c r="BN157" s="398">
        <f>IF(BM157=0,0,IF(LEN(BD157)=11,_xlfn.XLOOKUP(BD157,'Dispensed Ink Rates'!C:C,'Dispensed Ink Rates'!CS:CS),VLOOKUP(BD157,'Jan-2026 rates'!$E:$F,2,0)))</f>
        <v>0</v>
      </c>
      <c r="BO157" s="409"/>
      <c r="BP157" s="398">
        <f>IF(BO157=0,0,IF(LEN(BE157)=11,_xlfn.XLOOKUP(BE157,'Dispensed Ink Rates'!C:C,'Dispensed Ink Rates'!CS:CS),VLOOKUP(BE157,'Jan-2026 rates'!$E:$F,2,0)))</f>
        <v>0</v>
      </c>
      <c r="BQ157" s="409"/>
      <c r="BR157" s="398">
        <f>IF(BQ157=0,0,IF(LEN(BF157)=11,_xlfn.XLOOKUP(BF157,'Dispensed Ink Rates'!C:C,'Dispensed Ink Rates'!CS:CS),VLOOKUP(BF157,'Jan-2026 rates'!$E:$F,2,0)))</f>
        <v>0</v>
      </c>
      <c r="BS157" s="409"/>
      <c r="BT157" s="398">
        <f>IF(BS157=0,0,IF(LEN(BG157)=11,_xlfn.XLOOKUP(BG157,'Dispensed Ink Rates'!C:C,'Dispensed Ink Rates'!CS:CS),VLOOKUP(BG157,'Jan-2026 rates'!$E:$F,2,0)))</f>
        <v>0</v>
      </c>
      <c r="BU157" s="409"/>
      <c r="BV157" s="398">
        <f>IF(BU157=0,0,IF(LEN(BH157)=11,_xlfn.XLOOKUP(BH157,'Dispensed Ink Rates'!C:C,'Dispensed Ink Rates'!CS:CS),VLOOKUP(BH157,'Jan-2026 rates'!$E:$F,2,0)))</f>
        <v>0</v>
      </c>
      <c r="BW157" s="409"/>
      <c r="BX157" s="398">
        <f>IF(BW157=0,0,IF(LEN(BI157)=11,_xlfn.XLOOKUP(BI157,'Dispensed Ink Rates'!C:C,'Dispensed Ink Rates'!CS:CS),VLOOKUP(BI157,'Jan-2026 rates'!$E:$F,2,0)))</f>
        <v>0</v>
      </c>
      <c r="BY157" s="409"/>
      <c r="BZ157" s="398">
        <f>IF(BY157=0,0,IF(LEN(BJ157)=11,_xlfn.XLOOKUP(BJ157,'Dispensed Ink Rates'!C:C,'Dispensed Ink Rates'!CS:CS),VLOOKUP(BJ157,'Jan-2026 rates'!$E:$F,2,0)))</f>
        <v>0</v>
      </c>
      <c r="CA157" s="409" t="s">
        <v>1881</v>
      </c>
      <c r="CB157" s="409">
        <f>16+17</f>
        <v>33</v>
      </c>
      <c r="CC157" s="411">
        <f t="shared" si="109"/>
        <v>0</v>
      </c>
      <c r="CD157" s="411">
        <f t="shared" si="110"/>
        <v>42.174603174603178</v>
      </c>
      <c r="CE157" s="410">
        <f t="shared" si="111"/>
        <v>0</v>
      </c>
      <c r="CF157" s="404" t="s">
        <v>855</v>
      </c>
      <c r="CG157" s="409" t="s">
        <v>3501</v>
      </c>
      <c r="CH157" s="420" t="str">
        <f t="shared" si="55"/>
        <v>ToyoLi - CYAN</v>
      </c>
      <c r="CI157" s="409">
        <v>27</v>
      </c>
      <c r="CJ157" s="411">
        <f>IF(CI157=0,0,IF($LB157=70%,VLOOKUP($CH157,'Jan-2026 rates'!$L:$R,4,0),IF($LB157=65%,VLOOKUP($CH157,'Jan-2026 rates'!$L:$R,4,0),IF($LB157=40%,VLOOKUP($CH157,'Jan-2026 rates'!$L:$R,5,0),IF($LB157=30%,VLOOKUP($CH157,'Jan-2026 rates'!$L:$R,6,0),IF($LB157=100%,VLOOKUP($CH157,'Jan-2026 rates'!$L:$R,7,0),IF($LB157=60%,VLOOKUP($CH157,'Jan-2026 rates'!$L:$S,8,0),IF($LB157=80%,VLOOKUP($CH157,'Jan-2026 rates'!L:T,9,0),0))))))))</f>
        <v>0</v>
      </c>
      <c r="CK157" s="412"/>
      <c r="CL157" s="409"/>
      <c r="CM157" s="411">
        <f>IF(CL157=0,0,IF($LB157=70%,VLOOKUP($CH157,'Jan-2026 rates'!$L:$R,4,0),IF($LB157=65%,VLOOKUP($CH157,'Jan-2026 rates'!$L:$R,4,0),IF($LB157=40%,VLOOKUP($CH157,'Jan-2026 rates'!$L:$R,5,0),IF($LB157=30%,VLOOKUP($CH157,'Jan-2026 rates'!$L:$R,6,0),IF($LB157=100%,VLOOKUP($CH157,'Jan-2026 rates'!$L:$R,7,0),IF($LB157=60%,VLOOKUP($CH157,'Jan-2026 rates'!$L:$S,8,0),IF($LB157=80%,VLOOKUP($CH157,'Jan-2026 rates'!L:T,9,0),0))))))))</f>
        <v>0</v>
      </c>
      <c r="CN157" s="426" t="s">
        <v>1921</v>
      </c>
      <c r="CO157" s="427"/>
      <c r="CP157" s="426"/>
      <c r="CQ157" s="426"/>
      <c r="CR157" s="428"/>
      <c r="CS157" s="428"/>
      <c r="CT157" s="428"/>
      <c r="CU157" s="428"/>
      <c r="CV157" s="409">
        <f>20+10</f>
        <v>30</v>
      </c>
      <c r="CW157" s="398">
        <f>IF(CV157=0,0,IF(LEN(CN157)=11,_xlfn.XLOOKUP(CN157,'Dispensed Ink Rates'!C:C,'Dispensed Ink Rates'!CS:CS),VLOOKUP(CN157,'Jan-2026 rates'!$E:$F,2,0)))</f>
        <v>0</v>
      </c>
      <c r="CX157" s="409"/>
      <c r="CY157" s="398">
        <f>IF(CX157=0,0,IF(LEN(CO157)=11,_xlfn.XLOOKUP(CO157,'Dispensed Ink Rates'!C:C,'Dispensed Ink Rates'!CS:CS),VLOOKUP(CO157,'Jan-2026 rates'!$E:$F,2,0)))</f>
        <v>0</v>
      </c>
      <c r="CZ157" s="409"/>
      <c r="DA157" s="398">
        <f>IF(CZ157=0,0,IF(LEN(CP157)=11,_xlfn.XLOOKUP(CP157,'Dispensed Ink Rates'!C:C,'Dispensed Ink Rates'!CS:CS),VLOOKUP(CP157,'Jan-2026 rates'!$E:$F,2,0)))</f>
        <v>0</v>
      </c>
      <c r="DB157" s="409"/>
      <c r="DC157" s="398">
        <f>IF(DB157=0,0,IF(LEN(CQ157)=11,_xlfn.XLOOKUP(CQ157,'Dispensed Ink Rates'!C:C,'Dispensed Ink Rates'!CS:CS),VLOOKUP(CQ157,'Jan-2026 rates'!$E:$F,2,0)))</f>
        <v>0</v>
      </c>
      <c r="DD157" s="409"/>
      <c r="DE157" s="398">
        <f>IF(DD157=0,0,IF(LEN(CR157)=11,_xlfn.XLOOKUP(CR157,'Dispensed Ink Rates'!C:C,'Dispensed Ink Rates'!CS:CS),VLOOKUP(CR157,'Jan-2026 rates'!$E:$F,2,0)))</f>
        <v>0</v>
      </c>
      <c r="DF157" s="409"/>
      <c r="DG157" s="398">
        <f>IF(DF157=0,0,IF(LEN(CS157)=11,_xlfn.XLOOKUP(CS157,'Dispensed Ink Rates'!C:C,'Dispensed Ink Rates'!CS:CS),VLOOKUP(CS157,'Jan-2026 rates'!$E:$F,2,0)))</f>
        <v>0</v>
      </c>
      <c r="DH157" s="409"/>
      <c r="DI157" s="398">
        <f>IF(DH157=0,0,IF(LEN(CT157)=11,_xlfn.XLOOKUP(CT157,'Dispensed Ink Rates'!C:C,'Dispensed Ink Rates'!CS:CS),VLOOKUP(CT157,'Jan-2026 rates'!$E:$F,2,0)))</f>
        <v>0</v>
      </c>
      <c r="DJ157" s="409"/>
      <c r="DK157" s="398">
        <f>IF(DJ157=0,0,IF(LEN(CU157)=11,_xlfn.XLOOKUP(CU157,'Dispensed Ink Rates'!C:C,'Dispensed Ink Rates'!CS:CS),VLOOKUP(CU157,'Jan-2026 rates'!$E:$F,2,0)))</f>
        <v>0</v>
      </c>
      <c r="DL157" s="409" t="s">
        <v>1881</v>
      </c>
      <c r="DM157" s="409">
        <v>25</v>
      </c>
      <c r="DN157" s="411">
        <f t="shared" si="112"/>
        <v>0</v>
      </c>
      <c r="DO157" s="411">
        <f t="shared" si="113"/>
        <v>55.968253968253975</v>
      </c>
      <c r="DP157" s="410">
        <f t="shared" si="114"/>
        <v>0</v>
      </c>
      <c r="DQ157" s="405" t="s">
        <v>544</v>
      </c>
      <c r="DR157" s="409" t="s">
        <v>3502</v>
      </c>
      <c r="DS157" s="420" t="str">
        <f t="shared" si="56"/>
        <v>ToyoLi - MAGENTA</v>
      </c>
      <c r="DT157" s="409">
        <v>24</v>
      </c>
      <c r="DU157" s="411">
        <f>IF(DT157=0,0,IF($LB157=70%,VLOOKUP($DS157,'Jan-2026 rates'!$L:$R,4,0),IF($LB157=65%,VLOOKUP($DS157,'Jan-2026 rates'!$L:$R,4,0),IF($LB157=40%,VLOOKUP($DS157,'Jan-2026 rates'!$L:$R,5,0),IF($LB157=30%,VLOOKUP($DS157,'Jan-2026 rates'!$L:$R,6,0),IF($LB157=100%,VLOOKUP($DS157,'Jan-2026 rates'!$L:$R,7,0),IF($LB157=60%,VLOOKUP($DS157,'Jan-2026 rates'!$L:$S,8,0),IF($LB157=80%,VLOOKUP($DS157,'Jan-2026 rates'!L:T,9,0),0))))))))</f>
        <v>0</v>
      </c>
      <c r="DV157" s="412"/>
      <c r="DW157" s="409"/>
      <c r="DX157" s="411">
        <f>IF(DW157=0,0,IF($LB157=70%,VLOOKUP($DS157,'Jan-2026 rates'!$L:$R,4,0),IF($LB157=65%,VLOOKUP($DS157,'Jan-2026 rates'!$L:$R,4,0),IF($LB157=40%,VLOOKUP($DS157,'Jan-2026 rates'!$L:$R,5,0),IF($LB157=30%,VLOOKUP($DS157,'Jan-2026 rates'!$L:$R,6,0),IF($LB157=100%,VLOOKUP($DS157,'Jan-2026 rates'!$L:$R,7,0),IF($LB157=60%,VLOOKUP($DS157,'Jan-2026 rates'!$L:$S,8,0),IF($LB157=80%,VLOOKUP($DS157,'Jan-2026 rates'!L:T,9,0),0))))))))</f>
        <v>0</v>
      </c>
      <c r="DY157" s="413" t="s">
        <v>1246</v>
      </c>
      <c r="DZ157" s="413"/>
      <c r="EA157" s="412"/>
      <c r="EB157" s="412"/>
      <c r="EC157" s="412"/>
      <c r="ED157" s="412"/>
      <c r="EE157" s="412"/>
      <c r="EF157" s="412"/>
      <c r="EG157" s="409">
        <v>7</v>
      </c>
      <c r="EH157" s="398">
        <f>IF(EG157=0,0,IF(LEN(DY157)=11,_xlfn.XLOOKUP(DY157,'Dispensed Ink Rates'!C:C,'Dispensed Ink Rates'!CS:CS),VLOOKUP(DY157,'Jan-2026 rates'!$E:$F,2,0)))</f>
        <v>0</v>
      </c>
      <c r="EI157" s="409"/>
      <c r="EJ157" s="398">
        <f>IF(EI157=0,0,IF(LEN(DZ157)=11,_xlfn.XLOOKUP(DZ157,'Dispensed Ink Rates'!C:C,'Dispensed Ink Rates'!CS:CS),VLOOKUP(DZ157,'Jan-2026 rates'!$E:$F,2,0)))</f>
        <v>0</v>
      </c>
      <c r="EK157" s="409"/>
      <c r="EL157" s="398">
        <f>IF(EK157=0,0,IF(LEN(EA157)=11,_xlfn.XLOOKUP(EA157,'Dispensed Ink Rates'!C:C,'Dispensed Ink Rates'!CS:CS),VLOOKUP(EA157,'Jan-2026 rates'!$E:$F,2,0)))</f>
        <v>0</v>
      </c>
      <c r="EM157" s="409"/>
      <c r="EN157" s="398">
        <f>IF(EM157=0,0,IF(LEN(EB157)=11,_xlfn.XLOOKUP(EB157,'Dispensed Ink Rates'!C:C,'Dispensed Ink Rates'!CS:CS),VLOOKUP(EB157,'Jan-2026 rates'!$E:$F,2,0)))</f>
        <v>0</v>
      </c>
      <c r="EO157" s="409"/>
      <c r="EP157" s="398">
        <f>IF(EO157=0,0,IF(LEN(EC157)=11,_xlfn.XLOOKUP(EC157,'Dispensed Ink Rates'!C:C,'Dispensed Ink Rates'!CS:CS),VLOOKUP(EC157,'Jan-2026 rates'!$E:$F,2,0)))</f>
        <v>0</v>
      </c>
      <c r="EQ157" s="409"/>
      <c r="ER157" s="398">
        <f>IF(EQ157=0,0,IF(LEN(ED157)=11,_xlfn.XLOOKUP(ED157,'Dispensed Ink Rates'!C:C,'Dispensed Ink Rates'!CS:CS),VLOOKUP(ED157,'Jan-2026 rates'!$E:$F,2,0)))</f>
        <v>0</v>
      </c>
      <c r="ES157" s="409"/>
      <c r="ET157" s="398">
        <f>IF(ES157=0,0,IF(LEN(EE157)=11,_xlfn.XLOOKUP(EE157,'Dispensed Ink Rates'!C:C,'Dispensed Ink Rates'!CS:CS),VLOOKUP(EE157,'Jan-2026 rates'!$E:$F,2,0)))</f>
        <v>0</v>
      </c>
      <c r="EU157" s="409"/>
      <c r="EV157" s="398">
        <f>IF(EU157=0,0,IF(LEN(EF157)=11,_xlfn.XLOOKUP(EF157,'Dispensed Ink Rates'!C:C,'Dispensed Ink Rates'!CS:CS),VLOOKUP(EF157,'Jan-2026 rates'!$E:$F,2,0)))</f>
        <v>0</v>
      </c>
      <c r="EW157" s="409" t="s">
        <v>1881</v>
      </c>
      <c r="EX157" s="409">
        <v>20</v>
      </c>
      <c r="EY157" s="411">
        <f t="shared" si="115"/>
        <v>0</v>
      </c>
      <c r="EZ157" s="411">
        <f t="shared" si="116"/>
        <v>22.984126984126988</v>
      </c>
      <c r="FA157" s="410">
        <f t="shared" si="117"/>
        <v>0</v>
      </c>
      <c r="FB157" s="405" t="s">
        <v>545</v>
      </c>
      <c r="FC157" s="409" t="s">
        <v>3503</v>
      </c>
      <c r="FD157" s="420" t="str">
        <f t="shared" si="57"/>
        <v>ToyoLi - YELLOW</v>
      </c>
      <c r="FE157" s="409">
        <v>28</v>
      </c>
      <c r="FF157" s="411">
        <f>IF(FE157=0,0,IF($LB157=70%,VLOOKUP($FD157,'Jan-2026 rates'!$L:$R,4,0),IF($LB157=65%,VLOOKUP($FD157,'Jan-2026 rates'!$L:$R,4,0),IF($LB157=40%,VLOOKUP($FD157,'Jan-2026 rates'!$L:$R,5,0),IF($LB157=30%,VLOOKUP($FD157,'Jan-2026 rates'!$L:$R,6,0),IF($LB157=100%,VLOOKUP($FD157,'Jan-2026 rates'!$L:$R,7,0),IF($LB157=60%,VLOOKUP($FD157,'Jan-2026 rates'!$L:$S,8,0),IF($LB157=80%,VLOOKUP($FD157,'Jan-2026 rates'!L:T,9,0),0))))))))</f>
        <v>0</v>
      </c>
      <c r="FG157" s="412"/>
      <c r="FH157" s="409"/>
      <c r="FI157" s="411">
        <f>IF(FH157=0,0,IF($LB157=70%,VLOOKUP($FD157,'Jan-2026 rates'!$L:$R,4,0),IF($LB157=65%,VLOOKUP($FD157,'Jan-2026 rates'!$L:$R,4,0),IF($LB157=40%,VLOOKUP($FD157,'Jan-2026 rates'!$L:$R,5,0),IF($LB157=30%,VLOOKUP($FD157,'Jan-2026 rates'!$L:$R,6,0),IF($LB157=100%,VLOOKUP($FD157,'Jan-2026 rates'!$L:$R,7,0),IF($LB157=60%,VLOOKUP($FD157,'Jan-2026 rates'!$L:$S,8,0),IF($LB157=80%,VLOOKUP($FD157,'Jan-2026 rates'!L:T,9,0),0))))))))</f>
        <v>0</v>
      </c>
      <c r="FJ157" s="413" t="s">
        <v>1247</v>
      </c>
      <c r="FK157" s="413"/>
      <c r="FL157" s="413"/>
      <c r="FM157" s="412"/>
      <c r="FN157" s="412"/>
      <c r="FO157" s="412"/>
      <c r="FP157" s="412"/>
      <c r="FQ157" s="412"/>
      <c r="FR157" s="409">
        <v>7</v>
      </c>
      <c r="FS157" s="398">
        <f>IF(FR157=0,0,IF(LEN(FJ157)=11,_xlfn.XLOOKUP(FJ157,'Dispensed Ink Rates'!C:C,'Dispensed Ink Rates'!CS:CS),VLOOKUP(FJ157,'Jan-2026 rates'!$E:$F,2,0)))</f>
        <v>0</v>
      </c>
      <c r="FT157" s="409"/>
      <c r="FU157" s="398">
        <f>IF(FT157=0,0,IF(LEN(FK157)=11,_xlfn.XLOOKUP(FK157,'Dispensed Ink Rates'!C:C,'Dispensed Ink Rates'!CS:CS),VLOOKUP(FK157,'Jan-2026 rates'!$E:$F,2,0)))</f>
        <v>0</v>
      </c>
      <c r="FV157" s="409"/>
      <c r="FW157" s="398">
        <f>IF(FV157=0,0,IF(LEN(FL157)=11,_xlfn.XLOOKUP(FL157,'Dispensed Ink Rates'!C:C,'Dispensed Ink Rates'!CS:CS),VLOOKUP(FL157,'Jan-2026 rates'!$E:$F,2,0)))</f>
        <v>0</v>
      </c>
      <c r="FX157" s="409"/>
      <c r="FY157" s="398">
        <f>IF(FX157=0,0,IF(LEN(FM157)=11,_xlfn.XLOOKUP(FM157,'Dispensed Ink Rates'!C:C,'Dispensed Ink Rates'!CS:CS),VLOOKUP(FM157,'Jan-2026 rates'!$E:$F,2,0)))</f>
        <v>0</v>
      </c>
      <c r="FZ157" s="409"/>
      <c r="GA157" s="398">
        <f>IF(FZ157=0,0,IF(LEN(FN157)=11,_xlfn.XLOOKUP(FN157,'Dispensed Ink Rates'!C:C,'Dispensed Ink Rates'!CS:CS),VLOOKUP(FN157,'Jan-2026 rates'!$E:$F,2,0)))</f>
        <v>0</v>
      </c>
      <c r="GB157" s="409"/>
      <c r="GC157" s="398">
        <f>IF(GB157=0,0,IF(LEN(FO157)=11,_xlfn.XLOOKUP(FO157,'Dispensed Ink Rates'!C:C,'Dispensed Ink Rates'!CS:CS),VLOOKUP(FO157,'Jan-2026 rates'!$E:$F,2,0)))</f>
        <v>0</v>
      </c>
      <c r="GD157" s="409"/>
      <c r="GE157" s="398">
        <f>IF(GD157=0,0,IF(LEN(FP157)=11,_xlfn.XLOOKUP(FP157,'Dispensed Ink Rates'!C:C,'Dispensed Ink Rates'!CS:CS),VLOOKUP(FP157,'Jan-2026 rates'!$E:$F,2,0)))</f>
        <v>0</v>
      </c>
      <c r="GF157" s="409"/>
      <c r="GG157" s="398">
        <f>IF(GF157=0,0,IF(LEN(FQ157)=11,_xlfn.XLOOKUP(FQ157,'Dispensed Ink Rates'!C:C,'Dispensed Ink Rates'!CS:CS),VLOOKUP(FQ157,'Jan-2026 rates'!$E:$F,2,0)))</f>
        <v>0</v>
      </c>
      <c r="GH157" s="409" t="s">
        <v>1881</v>
      </c>
      <c r="GI157" s="409">
        <v>27</v>
      </c>
      <c r="GJ157" s="411">
        <f t="shared" si="118"/>
        <v>0</v>
      </c>
      <c r="GK157" s="411">
        <f t="shared" si="119"/>
        <v>19.984126984126988</v>
      </c>
      <c r="GL157" s="410">
        <f t="shared" si="120"/>
        <v>0</v>
      </c>
      <c r="GM157" s="405" t="s">
        <v>856</v>
      </c>
      <c r="GN157" s="409" t="s">
        <v>3504</v>
      </c>
      <c r="GO157" s="420" t="str">
        <f t="shared" si="58"/>
        <v>ToyoLi - WHITE</v>
      </c>
      <c r="GP157" s="409">
        <v>24</v>
      </c>
      <c r="GQ157" s="411">
        <f>IF(GP157=0,0,IF($LB157=70%,VLOOKUP($GO157,'Jan-2026 rates'!$L:$R,4,0),IF($LB157=65%,VLOOKUP($GO157,'Jan-2026 rates'!$L:$R,4,0),IF($LB157=40%,VLOOKUP($GO157,'Jan-2026 rates'!$L:$R,5,0),IF($LB157=30%,VLOOKUP($GO157,'Jan-2026 rates'!$L:$R,6,0),IF($LB157=100%,VLOOKUP($GO157,'Jan-2026 rates'!$L:$R,7,0),IF($LB157=60%,VLOOKUP($GO157,'Jan-2026 rates'!$L:$S,8,0),IF($LB157=80%,VLOOKUP($GO157,'Jan-2026 rates'!L:T,9,0),0))))))))</f>
        <v>0</v>
      </c>
      <c r="GR157" s="412"/>
      <c r="GS157" s="409"/>
      <c r="GT157" s="411">
        <f>IF(GS157=0,0,IF($LB157=70%,VLOOKUP($GO157,'Jan-2026 rates'!$L:$R,4,0),IF($LB157=65%,VLOOKUP($GO157,'Jan-2026 rates'!$L:$R,4,0),IF($LB157=40%,VLOOKUP($GO157,'Jan-2026 rates'!$L:$R,5,0),IF($LB157=30%,VLOOKUP($GO157,'Jan-2026 rates'!$L:$R,6,0),IF($LB157=100%,VLOOKUP($GO157,'Jan-2026 rates'!$L:$R,7,0),IF($LB157=60%,VLOOKUP($GO157,'Jan-2026 rates'!$L:$S,8,0),IF($LB157=80%,VLOOKUP($GO157,'Jan-2026 rates'!L:T,9,0),0))))))))</f>
        <v>0</v>
      </c>
      <c r="GU157" s="413" t="s">
        <v>1249</v>
      </c>
      <c r="GV157" s="413" t="s">
        <v>1122</v>
      </c>
      <c r="GW157" s="412"/>
      <c r="GX157" s="412"/>
      <c r="GY157" s="412"/>
      <c r="GZ157" s="412"/>
      <c r="HA157" s="412"/>
      <c r="HB157" s="412"/>
      <c r="HC157" s="409">
        <v>50</v>
      </c>
      <c r="HD157" s="398">
        <f>IF(HC157=0,0,IF(LEN(GU157)=11,_xlfn.XLOOKUP(GU157,'Dispensed Ink Rates'!C:C,'Dispensed Ink Rates'!CS:CS),VLOOKUP(GU157,'Jan-2026 rates'!$E:$F,2,0)))</f>
        <v>0</v>
      </c>
      <c r="HE157" s="409">
        <v>6.25</v>
      </c>
      <c r="HF157" s="398">
        <f>IF(HE157=0,0,IF(LEN(GV157)=11,_xlfn.XLOOKUP(GV157,'Dispensed Ink Rates'!C:C,'Dispensed Ink Rates'!CS:CS),VLOOKUP(GV157,'Jan-2026 rates'!$E:$F,2,0)))</f>
        <v>0</v>
      </c>
      <c r="HG157" s="409"/>
      <c r="HH157" s="398">
        <f>IF(HG157=0,0,IF(LEN(GW157)=11,_xlfn.XLOOKUP(GW157,'Dispensed Ink Rates'!C:C,'Dispensed Ink Rates'!CS:CS),VLOOKUP(GW157,'Jan-2026 rates'!$E:$F,2,0)))</f>
        <v>0</v>
      </c>
      <c r="HI157" s="409"/>
      <c r="HJ157" s="398">
        <f>IF(HI157=0,0,IF(LEN(GX157)=11,_xlfn.XLOOKUP(GX157,'Dispensed Ink Rates'!C:C,'Dispensed Ink Rates'!CS:CS),VLOOKUP(GX157,'Jan-2026 rates'!$E:$F,2,0)))</f>
        <v>0</v>
      </c>
      <c r="HK157" s="409"/>
      <c r="HL157" s="398">
        <f>IF(HK157=0,0,IF(LEN(GY157)=11,_xlfn.XLOOKUP(GY157,'Dispensed Ink Rates'!C:C,'Dispensed Ink Rates'!CS:CS),VLOOKUP(GY157,'Jan-2026 rates'!$E:$F,2,0)))</f>
        <v>0</v>
      </c>
      <c r="HM157" s="409"/>
      <c r="HN157" s="398">
        <f>IF(HM157=0,0,IF(LEN(GZ157)=11,_xlfn.XLOOKUP(GZ157,'Dispensed Ink Rates'!C:C,'Dispensed Ink Rates'!CS:CS),VLOOKUP(GZ157,'Jan-2026 rates'!$E:$F,2,0)))</f>
        <v>0</v>
      </c>
      <c r="HO157" s="409"/>
      <c r="HP157" s="398">
        <f>IF(HO157=0,0,IF(LEN(HA157)=11,_xlfn.XLOOKUP(HA157,'Dispensed Ink Rates'!C:C,'Dispensed Ink Rates'!CS:CS),VLOOKUP(HA157,'Jan-2026 rates'!$E:$F,2,0)))</f>
        <v>0</v>
      </c>
      <c r="HQ157" s="409"/>
      <c r="HR157" s="398">
        <f>IF(HQ157=0,0,IF(LEN(HB157)=11,_xlfn.XLOOKUP(HB157,'Dispensed Ink Rates'!C:C,'Dispensed Ink Rates'!CS:CS),VLOOKUP(HB157,'Jan-2026 rates'!$E:$F,2,0)))</f>
        <v>0</v>
      </c>
      <c r="HS157" s="409" t="s">
        <v>1881</v>
      </c>
      <c r="HT157" s="409">
        <v>24</v>
      </c>
      <c r="HU157" s="411">
        <f t="shared" si="121"/>
        <v>0</v>
      </c>
      <c r="HV157" s="411">
        <f t="shared" si="122"/>
        <v>128.1547619047619</v>
      </c>
      <c r="HW157" s="414">
        <f t="shared" si="123"/>
        <v>0</v>
      </c>
      <c r="HX157" s="405"/>
      <c r="HY157" s="409"/>
      <c r="HZ157" s="420" t="str">
        <f t="shared" si="59"/>
        <v xml:space="preserve"> - </v>
      </c>
      <c r="IA157" s="409"/>
      <c r="IB157" s="411">
        <f>IF(IA157=0,0,IF($LB157=70%,VLOOKUP($HZ157,'Jan-2026 rates'!$L:$R,4,0),IF($LB157=65%,VLOOKUP($HZ157,'Jan-2026 rates'!$L:$R,4,0),IF($LB157=40%,VLOOKUP($HZ157,'Jan-2026 rates'!$L:$R,5,0),IF($LB157=30%,VLOOKUP($HZ157,'Jan-2026 rates'!$L:$R,6,0),IF($LB157=100%,VLOOKUP($HZ157,'Jan-2026 rates'!$L:$R,7,0),IF($LB157=60%,VLOOKUP($HZ157,'Jan-2026 rates'!$L:$S,8,0),IF($LB157=80%,VLOOKUP($HZ157,'Jan-2026 rates'!L:T,9,0),0))))))))</f>
        <v>0</v>
      </c>
      <c r="IC157" s="412"/>
      <c r="ID157" s="409"/>
      <c r="IE157" s="411">
        <f>IF(ID157=0,0,IF($LB157=70%,VLOOKUP($HZ157,'Jan-2026 rates'!$L:$R,4,0),IF($LB157=65%,VLOOKUP($HZ157,'Jan-2026 rates'!$L:$R,4,0),IF($LB157=40%,VLOOKUP($HZ157,'Jan-2026 rates'!$L:$R,5,0),IF($LB157=30%,VLOOKUP($HZ157,'Jan-2026 rates'!$L:$R,6,0),IF($LB157=100%,VLOOKUP($HZ157,'Jan-2026 rates'!$L:$R,7,0),IF($LB157=60%,VLOOKUP($HZ157,'Jan-2026 rates'!$L:$S,8,0),IF($LB157=80%,VLOOKUP($HZ157,'Jan-2026 rates'!L:T,9,0),0))))))))</f>
        <v>0</v>
      </c>
      <c r="IF157" s="412"/>
      <c r="IG157" s="413"/>
      <c r="IH157" s="412"/>
      <c r="II157" s="412"/>
      <c r="IJ157" s="412"/>
      <c r="IK157" s="412"/>
      <c r="IL157" s="412"/>
      <c r="IM157" s="412"/>
      <c r="IN157" s="409"/>
      <c r="IO157" s="398">
        <f>IF(IN157=0,0,IF(LEN(IF157)=11,_xlfn.XLOOKUP(IF157,'Dispensed Ink Rates'!C:C,'Dispensed Ink Rates'!CS:CS),VLOOKUP(IF157,'Jan-2026 rates'!$E:$F,2,0)))</f>
        <v>0</v>
      </c>
      <c r="IP157" s="409"/>
      <c r="IQ157" s="398">
        <f>IF(IP157=0,0,IF(LEN(IG157)=11,_xlfn.XLOOKUP(IG157,'Dispensed Ink Rates'!C:C,'Dispensed Ink Rates'!CS:CS),VLOOKUP(IG157,'Jan-2026 rates'!$E:$F,2,0)))</f>
        <v>0</v>
      </c>
      <c r="IR157" s="409"/>
      <c r="IS157" s="398">
        <f>IF(IR157=0,0,IF(LEN(IH157)=11,_xlfn.XLOOKUP(IH157,'Dispensed Ink Rates'!C:C,'Dispensed Ink Rates'!CS:CS),VLOOKUP(IH157,'Jan-2026 rates'!$E:$F,2,0)))</f>
        <v>0</v>
      </c>
      <c r="IT157" s="409"/>
      <c r="IU157" s="398">
        <f>IF(IT157=0,0,IF(LEN(II157)=11,_xlfn.XLOOKUP(II157,'Dispensed Ink Rates'!C:C,'Dispensed Ink Rates'!CS:CS),VLOOKUP(II157,'Jan-2026 rates'!$E:$F,2,0)))</f>
        <v>0</v>
      </c>
      <c r="IV157" s="409"/>
      <c r="IW157" s="398">
        <f>IF(IV157=0,0,IF(LEN(IJ157)=11,_xlfn.XLOOKUP(IJ157,'Dispensed Ink Rates'!C:C,'Dispensed Ink Rates'!CS:CS),VLOOKUP(IJ157,'Jan-2026 rates'!$E:$F,2,0)))</f>
        <v>0</v>
      </c>
      <c r="IX157" s="409"/>
      <c r="IY157" s="398">
        <f>IF(IX157=0,0,IF(LEN(IK157)=11,_xlfn.XLOOKUP(IK157,'Dispensed Ink Rates'!C:C,'Dispensed Ink Rates'!CS:CS),VLOOKUP(IK157,'Jan-2026 rates'!$E:$F,2,0)))</f>
        <v>0</v>
      </c>
      <c r="IZ157" s="409"/>
      <c r="JA157" s="398">
        <f>IF(IZ157=0,0,IF(LEN(IL157)=11,_xlfn.XLOOKUP(IL157,'Dispensed Ink Rates'!C:C,'Dispensed Ink Rates'!CS:CS),VLOOKUP(IL157,'Jan-2026 rates'!$E:$F,2,0)))</f>
        <v>0</v>
      </c>
      <c r="JB157" s="409"/>
      <c r="JC157" s="398">
        <f>IF(JB157=0,0,IF(LEN(IM157)=11,_xlfn.XLOOKUP(IM157,'Dispensed Ink Rates'!C:C,'Dispensed Ink Rates'!CS:CS),VLOOKUP(IM157,'Jan-2026 rates'!$E:$F,2,0)))</f>
        <v>0</v>
      </c>
      <c r="JD157" s="409"/>
      <c r="JE157" s="409"/>
      <c r="JF157" s="411">
        <f t="shared" si="124"/>
        <v>0</v>
      </c>
      <c r="JG157" s="411">
        <f t="shared" si="125"/>
        <v>0</v>
      </c>
      <c r="JH157" s="410">
        <f t="shared" si="126"/>
        <v>0</v>
      </c>
      <c r="JI157" s="405"/>
      <c r="JJ157" s="409"/>
      <c r="JK157" s="420" t="str">
        <f t="shared" si="60"/>
        <v xml:space="preserve"> - </v>
      </c>
      <c r="JL157" s="409"/>
      <c r="JM157" s="411">
        <f>IF(JL157=0,0,IF($LB157=70%,VLOOKUP($JK157,'Jan-2026 rates'!$L:$R,4,0),IF($LB157=65%,VLOOKUP($JK157,'Jan-2026 rates'!$L:$R,4,0),IF($LB157=40%,VLOOKUP($JK157,'Jan-2026 rates'!$L:$R,5,0),IF($LB157=30%,VLOOKUP($JK157,'Jan-2026 rates'!$L:$R,6,0),IF($LB157=100%,VLOOKUP($JK157,'Jan-2026 rates'!$L:$R,7,0),IF($LB157=60%,VLOOKUP($JK157,'Jan-2026 rates'!$L:$S,8,0),IF($LB157=80%,VLOOKUP($JK157,'Jan-2026 rates'!L:T,9,0),0))))))))</f>
        <v>0</v>
      </c>
      <c r="JN157" s="412"/>
      <c r="JO157" s="409"/>
      <c r="JP157" s="411">
        <f>IF(JO157=0,0,IF($LB157=70%,VLOOKUP($JK157,'Jan-2026 rates'!$L:$R,4,0),IF($LB157=65%,VLOOKUP($JK157,'Jan-2026 rates'!$L:$R,4,0),IF($LB157=40%,VLOOKUP($JK157,'Jan-2026 rates'!$L:$R,5,0),IF($LB157=30%,VLOOKUP($JK157,'Jan-2026 rates'!$L:$R,6,0),IF($LB157=100%,VLOOKUP($JK157,'Jan-2026 rates'!$L:$R,7,0),IF($LB157=60%,VLOOKUP($JK157,'Jan-2026 rates'!$L:$S,8,0),IF($LB157=80%,VLOOKUP($JK157,'Jan-2026 rates'!L:T,9,0),0))))))))</f>
        <v>0</v>
      </c>
      <c r="JQ157" s="413"/>
      <c r="JR157" s="412"/>
      <c r="JS157" s="413"/>
      <c r="JT157" s="413"/>
      <c r="JU157" s="412"/>
      <c r="JV157" s="412"/>
      <c r="JW157" s="412"/>
      <c r="JX157" s="412"/>
      <c r="JY157" s="409"/>
      <c r="JZ157" s="398">
        <f>IF(JY157=0,0,IF(LEN(JQ157)=11,_xlfn.XLOOKUP(JQ157,'Dispensed Ink Rates'!C:C,'Dispensed Ink Rates'!CS:CS),VLOOKUP(JQ157,'Jan-2026 rates'!$E:$F,2,0)))</f>
        <v>0</v>
      </c>
      <c r="KA157" s="409"/>
      <c r="KB157" s="398">
        <f>IF(KA157=0,0,IF(LEN(JR157)=11,_xlfn.XLOOKUP(JR157,'Dispensed Ink Rates'!C:C,'Dispensed Ink Rates'!CS:CS),VLOOKUP(JR157,'Jan-2026 rates'!$E:$F,2,0)))</f>
        <v>0</v>
      </c>
      <c r="KC157" s="409"/>
      <c r="KD157" s="398">
        <f>IF(KC157=0,0,IF(LEN(JS157)=11,_xlfn.XLOOKUP(JS157,'Dispensed Ink Rates'!C:C,'Dispensed Ink Rates'!CS:CS),VLOOKUP(JS157,'Jan-2026 rates'!$E:$F,2,0)))</f>
        <v>0</v>
      </c>
      <c r="KE157" s="409"/>
      <c r="KF157" s="398">
        <f>IF(KE157=0,0,IF(LEN(JT157)=11,_xlfn.XLOOKUP(JT157,'Dispensed Ink Rates'!C:C,'Dispensed Ink Rates'!CS:CS),VLOOKUP(JT157,'Jan-2026 rates'!$E:$F,2,0)))</f>
        <v>0</v>
      </c>
      <c r="KG157" s="409"/>
      <c r="KH157" s="398">
        <f>IF(KG157=0,0,IF(LEN(JU157)=11,_xlfn.XLOOKUP(JU157,'Dispensed Ink Rates'!C:C,'Dispensed Ink Rates'!CS:CS),VLOOKUP(JU157,'Jan-2026 rates'!$E:$F,2,0)))</f>
        <v>0</v>
      </c>
      <c r="KI157" s="409"/>
      <c r="KJ157" s="398">
        <f>IF(KI157=0,0,IF(LEN(JV157)=11,_xlfn.XLOOKUP(JV157,'Dispensed Ink Rates'!C:C,'Dispensed Ink Rates'!CS:CS),VLOOKUP(JV157,'Jan-2026 rates'!$E:$F,2,0)))</f>
        <v>0</v>
      </c>
      <c r="KK157" s="409"/>
      <c r="KL157" s="398">
        <f>IF(KK157=0,0,IF(LEN(JW157)=11,_xlfn.XLOOKUP(JW157,'Dispensed Ink Rates'!C:C,'Dispensed Ink Rates'!CS:CS),VLOOKUP(JW157,'Jan-2026 rates'!$E:$F,2,0)))</f>
        <v>0</v>
      </c>
      <c r="KM157" s="428"/>
      <c r="KN157" s="398">
        <f>IF(KM157=0,0,IF(LEN(JX157)=11,_xlfn.XLOOKUP(JX157,'Dispensed Ink Rates'!C:C,'Dispensed Ink Rates'!CS:CS),VLOOKUP(JX157,'Jan-2026 rates'!$E:$F,2,0)))</f>
        <v>0</v>
      </c>
      <c r="KO157" s="409"/>
      <c r="KP157" s="409"/>
      <c r="KQ157" s="411">
        <f t="shared" si="127"/>
        <v>0</v>
      </c>
      <c r="KR157" s="411">
        <f t="shared" si="128"/>
        <v>0</v>
      </c>
      <c r="KS157" s="410">
        <f t="shared" si="129"/>
        <v>0</v>
      </c>
      <c r="KT157" s="409">
        <v>5</v>
      </c>
      <c r="KU157" s="409">
        <v>8</v>
      </c>
      <c r="KV157" s="409">
        <v>10</v>
      </c>
      <c r="KW157" s="409">
        <v>5</v>
      </c>
      <c r="KX157" s="409">
        <v>5</v>
      </c>
      <c r="KY157" s="409">
        <v>30</v>
      </c>
      <c r="KZ157" s="409">
        <v>0</v>
      </c>
      <c r="LA157" s="409">
        <v>0</v>
      </c>
      <c r="LB157" s="415">
        <v>0.3</v>
      </c>
      <c r="LC157" s="415"/>
      <c r="LD157" s="415"/>
      <c r="LE157" s="415">
        <v>0.5</v>
      </c>
      <c r="LF157" s="415">
        <v>0.2</v>
      </c>
      <c r="LG157" s="409">
        <v>0</v>
      </c>
      <c r="LH157" s="409">
        <f>30+25+24+40+5+5+6+16</f>
        <v>151</v>
      </c>
      <c r="LI157" s="409">
        <v>0</v>
      </c>
      <c r="LJ157" s="409">
        <v>0</v>
      </c>
      <c r="LK157" s="416">
        <f t="shared" si="61"/>
        <v>151</v>
      </c>
      <c r="LL157" s="416">
        <f t="shared" si="62"/>
        <v>151</v>
      </c>
      <c r="LM157" s="417">
        <f t="shared" si="63"/>
        <v>45.3</v>
      </c>
      <c r="LN157" s="417">
        <f>VLOOKUP($LM$8,'Jan-2026 rates'!$H:$I,2,0)</f>
        <v>0</v>
      </c>
      <c r="LO157" s="417">
        <f t="shared" si="64"/>
        <v>0</v>
      </c>
      <c r="LP157" s="417">
        <f>VLOOKUP($LO$8,'Jan-2026 rates'!$H:$I,2,0)</f>
        <v>0</v>
      </c>
      <c r="LQ157" s="417">
        <f t="shared" si="65"/>
        <v>0</v>
      </c>
      <c r="LR157" s="417">
        <f>VLOOKUP($LQ$8,'Jan-2026 rates'!$H:$I,2,0)</f>
        <v>0</v>
      </c>
      <c r="LS157" s="417">
        <f t="shared" si="66"/>
        <v>75.5</v>
      </c>
      <c r="LT157" s="417">
        <f>VLOOKUP($LS$8,'Jan-2026 rates'!$H:$I,2,0)</f>
        <v>0</v>
      </c>
      <c r="LU157" s="417">
        <f t="shared" si="67"/>
        <v>30.200000000000003</v>
      </c>
      <c r="LV157" s="417">
        <f>VLOOKUP($LU$8,'Jan-2026 rates'!$H:$I,2,0)</f>
        <v>0</v>
      </c>
      <c r="LW157" s="417">
        <f t="shared" si="68"/>
        <v>0</v>
      </c>
      <c r="LX157" s="417">
        <f t="shared" si="69"/>
        <v>0</v>
      </c>
      <c r="LY157" s="418">
        <f t="shared" si="70"/>
        <v>0</v>
      </c>
      <c r="LZ157" s="417"/>
      <c r="MA157" s="435">
        <f t="shared" si="71"/>
        <v>138.25</v>
      </c>
      <c r="MB157" s="282">
        <f t="shared" si="72"/>
        <v>286.25</v>
      </c>
      <c r="MC157" s="283" t="s">
        <v>1992</v>
      </c>
      <c r="MD157" s="284" t="str">
        <f t="shared" si="73"/>
        <v>ToyoLiToyoLiToyoLiToyoLiToyoLiToyoLi</v>
      </c>
      <c r="ME157" s="293" t="str">
        <f t="shared" si="74"/>
        <v>+</v>
      </c>
      <c r="MF157" s="293" t="str">
        <f t="shared" si="75"/>
        <v>+</v>
      </c>
      <c r="MG157" s="293" t="str">
        <f t="shared" si="76"/>
        <v>+</v>
      </c>
      <c r="MH157" s="293" t="str">
        <f t="shared" si="77"/>
        <v>+</v>
      </c>
      <c r="MI157" s="293" t="str">
        <f t="shared" si="78"/>
        <v>+</v>
      </c>
      <c r="MJ157" s="293" t="str">
        <f t="shared" si="79"/>
        <v>+</v>
      </c>
      <c r="MK157" s="293" t="str">
        <f t="shared" si="80"/>
        <v>NIL</v>
      </c>
      <c r="ML157" s="293" t="str">
        <f t="shared" si="81"/>
        <v>NIL</v>
      </c>
      <c r="MM157" s="3" t="b">
        <f t="array" ref="MM157">OR(ME157:ML157="-")</f>
        <v>0</v>
      </c>
      <c r="MN157" s="285"/>
      <c r="MO157" s="401"/>
      <c r="MP157" s="286"/>
      <c r="MQ157" s="286"/>
      <c r="MR157" s="402"/>
      <c r="MS157" s="400"/>
      <c r="NH157" s="422"/>
      <c r="NJ157" s="421"/>
    </row>
    <row r="158" spans="1:374" s="1" customFormat="1" ht="16.5">
      <c r="A158" s="403">
        <v>46033</v>
      </c>
      <c r="B158" s="404" t="s">
        <v>1015</v>
      </c>
      <c r="C158" s="405" t="s">
        <v>3505</v>
      </c>
      <c r="D158" s="406" t="s">
        <v>1993</v>
      </c>
      <c r="E158" s="404">
        <v>145</v>
      </c>
      <c r="F158" s="407">
        <v>7200</v>
      </c>
      <c r="G158" s="407" t="s">
        <v>1016</v>
      </c>
      <c r="H158" s="408" t="s">
        <v>1017</v>
      </c>
      <c r="I158" s="409">
        <v>1.64</v>
      </c>
      <c r="J158" s="405" t="s">
        <v>543</v>
      </c>
      <c r="K158" s="404" t="s">
        <v>3506</v>
      </c>
      <c r="L158" s="419" t="str">
        <f t="shared" si="54"/>
        <v>ToyoLi - BLACK</v>
      </c>
      <c r="M158" s="404">
        <v>26</v>
      </c>
      <c r="N158" s="410">
        <f>IF(M158=0,0,IF($LB158=70%,VLOOKUP($L158,'Jan-2026 rates'!$L:$R,4,0),IF($LB158=65%,VLOOKUP($L158,'Jan-2026 rates'!$L:$R,4,0),IF($LB158=40%,VLOOKUP($L158,'Jan-2026 rates'!$L:$R,5,0),IF($LB158=30%,VLOOKUP($L158,'Jan-2026 rates'!$L:$R,6,0),IF($LB158=100%,VLOOKUP($L158,'Jan-2026 rates'!$L:$R,7,0),IF($LB158=60%,VLOOKUP($L158,'Jan-2026 rates'!$L:$S,8,0),IF($LB158=80%,VLOOKUP($L158,'Jan-2026 rates'!L:T,9,0),0))))))))</f>
        <v>0</v>
      </c>
      <c r="O158" s="406"/>
      <c r="P158" s="404"/>
      <c r="Q158" s="410">
        <f>IF(P158=0,0,IF($LB158=70%,VLOOKUP($L158,'Jan-2026 rates'!$L:$R,4,0),IF($LB158=65%,VLOOKUP($L158,'Jan-2026 rates'!$L:$R,4,0),IF($LB158=40%,VLOOKUP($L158,'Jan-2026 rates'!$L:$R,5,0),IF($LB158=30%,VLOOKUP($L158,'Jan-2026 rates'!$L:$R,6,0),IF($LB158=100%,VLOOKUP($L158,'Jan-2026 rates'!$L:$R,7,0),IF($LB158=60%,VLOOKUP($L158,'Jan-2026 rates'!$L:$S,8,0),IF($LB158=80%,VLOOKUP($L158,'Jan-2026 rates'!L:T,9,0),0))))))))</f>
        <v>0</v>
      </c>
      <c r="R158" s="406"/>
      <c r="S158" s="406"/>
      <c r="T158" s="406"/>
      <c r="U158" s="406"/>
      <c r="V158" s="406"/>
      <c r="W158" s="406"/>
      <c r="X158" s="406"/>
      <c r="Y158" s="406"/>
      <c r="Z158" s="404"/>
      <c r="AA158" s="398">
        <f>IF(Z158=0,0,IF(LEN(R158)=11,_xlfn.XLOOKUP(R158,'Dispensed Ink Rates'!C:C,'Dispensed Ink Rates'!CS:CS),VLOOKUP(R158,'Jan-2026 rates'!$E:$F,2,0)))</f>
        <v>0</v>
      </c>
      <c r="AB158" s="404"/>
      <c r="AC158" s="398">
        <f>IF(AB158=0,0,IF(LEN(S158)=11,_xlfn.XLOOKUP(S158,'Dispensed Ink Rates'!C:C,'Dispensed Ink Rates'!CS:CS),VLOOKUP(S158,'Jan-2026 rates'!$E:$F,2,0)))</f>
        <v>0</v>
      </c>
      <c r="AD158" s="404"/>
      <c r="AE158" s="398">
        <f>IF(AD158=0,0,IF(LEN(T158)=11,_xlfn.XLOOKUP(T158,'Dispensed Ink Rates'!C:C,'Dispensed Ink Rates'!CS:CS),VLOOKUP(T158,'Jan-2026 rates'!$E:$F,2,0)))</f>
        <v>0</v>
      </c>
      <c r="AF158" s="404"/>
      <c r="AG158" s="398">
        <f>IF(AF158=0,0,IF(LEN(U158)=11,_xlfn.XLOOKUP(U158,'Dispensed Ink Rates'!C:C,'Dispensed Ink Rates'!CS:CS),VLOOKUP(U158,'Jan-2026 rates'!$E:$F,2,0)))</f>
        <v>0</v>
      </c>
      <c r="AH158" s="404"/>
      <c r="AI158" s="398">
        <f>IF(AH158=0,0,IF(LEN(V158)=11,_xlfn.XLOOKUP(V158,'Dispensed Ink Rates'!C:C,'Dispensed Ink Rates'!CS:CS),VLOOKUP(V158,'Jan-2026 rates'!$E:$F,2,0)))</f>
        <v>0</v>
      </c>
      <c r="AJ158" s="404"/>
      <c r="AK158" s="398">
        <f>IF(AJ158=0,0,IF(LEN(W158)=11,_xlfn.XLOOKUP(W158,'Dispensed Ink Rates'!C:C,'Dispensed Ink Rates'!CS:CS),VLOOKUP(W158,'Jan-2026 rates'!$E:$F,2,0)))</f>
        <v>0</v>
      </c>
      <c r="AL158" s="404"/>
      <c r="AM158" s="398">
        <f>IF(AL158=0,0,IF(LEN(X158)=11,_xlfn.XLOOKUP(X158,'Dispensed Ink Rates'!C:C,'Dispensed Ink Rates'!CS:CS),VLOOKUP(X158,'Jan-2026 rates'!$E:$F,2,0)))</f>
        <v>0</v>
      </c>
      <c r="AN158" s="404"/>
      <c r="AO158" s="398">
        <f>IF(AN158=0,0,IF(LEN(Y158)=11,_xlfn.XLOOKUP(Y158,'Dispensed Ink Rates'!C:C,'Dispensed Ink Rates'!CS:CS),VLOOKUP(Y158,'Jan-2026 rates'!$E:$F,2,0)))</f>
        <v>0</v>
      </c>
      <c r="AP158" s="409" t="s">
        <v>1881</v>
      </c>
      <c r="AQ158" s="409">
        <v>30</v>
      </c>
      <c r="AR158" s="410">
        <f t="shared" si="106"/>
        <v>0</v>
      </c>
      <c r="AS158" s="411">
        <f t="shared" si="107"/>
        <v>0.75409836065573899</v>
      </c>
      <c r="AT158" s="410">
        <f t="shared" si="108"/>
        <v>0</v>
      </c>
      <c r="AU158" s="405" t="s">
        <v>546</v>
      </c>
      <c r="AV158" s="409"/>
      <c r="AW158" s="420" t="str">
        <f t="shared" si="130"/>
        <v>ToyoLi - REFLEX BLUE</v>
      </c>
      <c r="AX158" s="409"/>
      <c r="AY158" s="411">
        <f>IF(AX158=0,0,IF($LB158=70%,VLOOKUP($AW158,'Jan-2026 rates'!$L:$R,4,0),IF($LB158=65%,VLOOKUP($AW158,'Jan-2026 rates'!$L:$R,4,0),IF($LB158=40%,VLOOKUP($AW158,'Jan-2026 rates'!$L:$R,5,0),IF($LB158=30%,VLOOKUP($AW158,'Jan-2026 rates'!$L:$R,6,0),IF($LB158=100%,VLOOKUP($AW158,'Jan-2026 rates'!$L:$R,7,0),IF($LB158=60%,VLOOKUP($AW158,'Jan-2026 rates'!$L:$S,8,0),IF($LB158=80%,VLOOKUP($AW158,'Jan-2026 rates'!L:T,9,0),0))))))))</f>
        <v>0</v>
      </c>
      <c r="AZ158" s="412"/>
      <c r="BA158" s="409"/>
      <c r="BB158" s="411">
        <f>IF(BA158=0,0,IF($LB158=70%,VLOOKUP($AW158,'Jan-2026 rates'!$L:$R,4,0),IF($LB158=65%,VLOOKUP($AW158,'Jan-2026 rates'!$L:$R,4,0),IF($LB158=40%,VLOOKUP($AW158,'Jan-2026 rates'!$L:$R,5,0),IF($LB158=30%,VLOOKUP($AW158,'Jan-2026 rates'!$L:$R,6,0),IF($LB158=100%,VLOOKUP($AW158,'Jan-2026 rates'!$L:$R,7,0),IF($LB158=60%,VLOOKUP($AW158,'Jan-2026 rates'!$L:$S,8,0),IF($LB158=80%,VLOOKUP($AW158,'Jan-2026 rates'!L:T,9,0),0))))))))</f>
        <v>0</v>
      </c>
      <c r="BC158" s="413" t="s">
        <v>1880</v>
      </c>
      <c r="BD158" s="412" t="s">
        <v>1250</v>
      </c>
      <c r="BE158" s="412"/>
      <c r="BF158" s="413"/>
      <c r="BG158" s="412"/>
      <c r="BH158" s="412"/>
      <c r="BI158" s="412"/>
      <c r="BJ158" s="412"/>
      <c r="BK158" s="409">
        <f>3+6</f>
        <v>9</v>
      </c>
      <c r="BL158" s="398">
        <f>IF(BK158=0,0,IF(LEN(BC158)=11,_xlfn.XLOOKUP(BC158,'Dispensed Ink Rates'!C:C,'Dispensed Ink Rates'!CS:CS),VLOOKUP(BC158,'Jan-2026 rates'!$E:$F,2,0)))</f>
        <v>0</v>
      </c>
      <c r="BM158" s="409">
        <f>10+3</f>
        <v>13</v>
      </c>
      <c r="BN158" s="398">
        <f>IF(BM158=0,0,IF(LEN(BD158)=11,_xlfn.XLOOKUP(BD158,'Dispensed Ink Rates'!C:C,'Dispensed Ink Rates'!CS:CS),VLOOKUP(BD158,'Jan-2026 rates'!$E:$F,2,0)))</f>
        <v>0</v>
      </c>
      <c r="BO158" s="409"/>
      <c r="BP158" s="398">
        <f>IF(BO158=0,0,IF(LEN(BE158)=11,_xlfn.XLOOKUP(BE158,'Dispensed Ink Rates'!C:C,'Dispensed Ink Rates'!CS:CS),VLOOKUP(BE158,'Jan-2026 rates'!$E:$F,2,0)))</f>
        <v>0</v>
      </c>
      <c r="BQ158" s="409"/>
      <c r="BR158" s="398">
        <f>IF(BQ158=0,0,IF(LEN(BF158)=11,_xlfn.XLOOKUP(BF158,'Dispensed Ink Rates'!C:C,'Dispensed Ink Rates'!CS:CS),VLOOKUP(BF158,'Jan-2026 rates'!$E:$F,2,0)))</f>
        <v>0</v>
      </c>
      <c r="BS158" s="409"/>
      <c r="BT158" s="398">
        <f>IF(BS158=0,0,IF(LEN(BG158)=11,_xlfn.XLOOKUP(BG158,'Dispensed Ink Rates'!C:C,'Dispensed Ink Rates'!CS:CS),VLOOKUP(BG158,'Jan-2026 rates'!$E:$F,2,0)))</f>
        <v>0</v>
      </c>
      <c r="BU158" s="409"/>
      <c r="BV158" s="398">
        <f>IF(BU158=0,0,IF(LEN(BH158)=11,_xlfn.XLOOKUP(BH158,'Dispensed Ink Rates'!C:C,'Dispensed Ink Rates'!CS:CS),VLOOKUP(BH158,'Jan-2026 rates'!$E:$F,2,0)))</f>
        <v>0</v>
      </c>
      <c r="BW158" s="409"/>
      <c r="BX158" s="398">
        <f>IF(BW158=0,0,IF(LEN(BI158)=11,_xlfn.XLOOKUP(BI158,'Dispensed Ink Rates'!C:C,'Dispensed Ink Rates'!CS:CS),VLOOKUP(BI158,'Jan-2026 rates'!$E:$F,2,0)))</f>
        <v>0</v>
      </c>
      <c r="BY158" s="409"/>
      <c r="BZ158" s="398">
        <f>IF(BY158=0,0,IF(LEN(BJ158)=11,_xlfn.XLOOKUP(BJ158,'Dispensed Ink Rates'!C:C,'Dispensed Ink Rates'!CS:CS),VLOOKUP(BJ158,'Jan-2026 rates'!$E:$F,2,0)))</f>
        <v>0</v>
      </c>
      <c r="CA158" s="409" t="s">
        <v>1881</v>
      </c>
      <c r="CB158" s="409">
        <f>16+10</f>
        <v>26</v>
      </c>
      <c r="CC158" s="411">
        <f t="shared" si="109"/>
        <v>0</v>
      </c>
      <c r="CD158" s="411">
        <f t="shared" si="110"/>
        <v>5.5081967213114744</v>
      </c>
      <c r="CE158" s="410">
        <f t="shared" si="111"/>
        <v>0</v>
      </c>
      <c r="CF158" s="404" t="s">
        <v>857</v>
      </c>
      <c r="CG158" s="409" t="s">
        <v>3507</v>
      </c>
      <c r="CH158" s="420" t="str">
        <f t="shared" si="55"/>
        <v>ToyoLi - RED</v>
      </c>
      <c r="CI158" s="409">
        <v>24</v>
      </c>
      <c r="CJ158" s="411">
        <f>IF(CI158=0,0,IF($LB158=70%,VLOOKUP($CH158,'Jan-2026 rates'!$L:$R,4,0),IF($LB158=65%,VLOOKUP($CH158,'Jan-2026 rates'!$L:$R,4,0),IF($LB158=40%,VLOOKUP($CH158,'Jan-2026 rates'!$L:$R,5,0),IF($LB158=30%,VLOOKUP($CH158,'Jan-2026 rates'!$L:$R,6,0),IF($LB158=100%,VLOOKUP($CH158,'Jan-2026 rates'!$L:$R,7,0),IF($LB158=60%,VLOOKUP($CH158,'Jan-2026 rates'!$L:$S,8,0),IF($LB158=80%,VLOOKUP($CH158,'Jan-2026 rates'!L:T,9,0),0))))))))</f>
        <v>0</v>
      </c>
      <c r="CK158" s="412"/>
      <c r="CL158" s="409"/>
      <c r="CM158" s="411">
        <f>IF(CL158=0,0,IF($LB158=70%,VLOOKUP($CH158,'Jan-2026 rates'!$L:$R,4,0),IF($LB158=65%,VLOOKUP($CH158,'Jan-2026 rates'!$L:$R,4,0),IF($LB158=40%,VLOOKUP($CH158,'Jan-2026 rates'!$L:$R,5,0),IF($LB158=30%,VLOOKUP($CH158,'Jan-2026 rates'!$L:$R,6,0),IF($LB158=100%,VLOOKUP($CH158,'Jan-2026 rates'!$L:$R,7,0),IF($LB158=60%,VLOOKUP($CH158,'Jan-2026 rates'!$L:$S,8,0),IF($LB158=80%,VLOOKUP($CH158,'Jan-2026 rates'!L:T,9,0),0))))))))</f>
        <v>0</v>
      </c>
      <c r="CN158" s="426" t="s">
        <v>1248</v>
      </c>
      <c r="CO158" s="427" t="s">
        <v>1246</v>
      </c>
      <c r="CP158" s="426"/>
      <c r="CQ158" s="426"/>
      <c r="CR158" s="428"/>
      <c r="CS158" s="428"/>
      <c r="CT158" s="428"/>
      <c r="CU158" s="428"/>
      <c r="CV158" s="409">
        <v>6</v>
      </c>
      <c r="CW158" s="398">
        <f>IF(CV158=0,0,IF(LEN(CN158)=11,_xlfn.XLOOKUP(CN158,'Dispensed Ink Rates'!C:C,'Dispensed Ink Rates'!CS:CS),VLOOKUP(CN158,'Jan-2026 rates'!$E:$F,2,0)))</f>
        <v>0</v>
      </c>
      <c r="CX158" s="409">
        <v>2</v>
      </c>
      <c r="CY158" s="398">
        <f>IF(CX158=0,0,IF(LEN(CO158)=11,_xlfn.XLOOKUP(CO158,'Dispensed Ink Rates'!C:C,'Dispensed Ink Rates'!CS:CS),VLOOKUP(CO158,'Jan-2026 rates'!$E:$F,2,0)))</f>
        <v>0</v>
      </c>
      <c r="CZ158" s="409"/>
      <c r="DA158" s="398">
        <f>IF(CZ158=0,0,IF(LEN(CP158)=11,_xlfn.XLOOKUP(CP158,'Dispensed Ink Rates'!C:C,'Dispensed Ink Rates'!CS:CS),VLOOKUP(CP158,'Jan-2026 rates'!$E:$F,2,0)))</f>
        <v>0</v>
      </c>
      <c r="DB158" s="409"/>
      <c r="DC158" s="398">
        <f>IF(DB158=0,0,IF(LEN(CQ158)=11,_xlfn.XLOOKUP(CQ158,'Dispensed Ink Rates'!C:C,'Dispensed Ink Rates'!CS:CS),VLOOKUP(CQ158,'Jan-2026 rates'!$E:$F,2,0)))</f>
        <v>0</v>
      </c>
      <c r="DD158" s="409"/>
      <c r="DE158" s="398">
        <f>IF(DD158=0,0,IF(LEN(CR158)=11,_xlfn.XLOOKUP(CR158,'Dispensed Ink Rates'!C:C,'Dispensed Ink Rates'!CS:CS),VLOOKUP(CR158,'Jan-2026 rates'!$E:$F,2,0)))</f>
        <v>0</v>
      </c>
      <c r="DF158" s="409"/>
      <c r="DG158" s="398">
        <f>IF(DF158=0,0,IF(LEN(CS158)=11,_xlfn.XLOOKUP(CS158,'Dispensed Ink Rates'!C:C,'Dispensed Ink Rates'!CS:CS),VLOOKUP(CS158,'Jan-2026 rates'!$E:$F,2,0)))</f>
        <v>0</v>
      </c>
      <c r="DH158" s="409"/>
      <c r="DI158" s="398">
        <f>IF(DH158=0,0,IF(LEN(CT158)=11,_xlfn.XLOOKUP(CT158,'Dispensed Ink Rates'!C:C,'Dispensed Ink Rates'!CS:CS),VLOOKUP(CT158,'Jan-2026 rates'!$E:$F,2,0)))</f>
        <v>0</v>
      </c>
      <c r="DJ158" s="409"/>
      <c r="DK158" s="398">
        <f>IF(DJ158=0,0,IF(LEN(CU158)=11,_xlfn.XLOOKUP(CU158,'Dispensed Ink Rates'!C:C,'Dispensed Ink Rates'!CS:CS),VLOOKUP(CU158,'Jan-2026 rates'!$E:$F,2,0)))</f>
        <v>0</v>
      </c>
      <c r="DL158" s="409" t="s">
        <v>1881</v>
      </c>
      <c r="DM158" s="409">
        <f>6+20</f>
        <v>26</v>
      </c>
      <c r="DN158" s="411">
        <f t="shared" si="112"/>
        <v>0</v>
      </c>
      <c r="DO158" s="411">
        <f t="shared" si="113"/>
        <v>10.754098360655739</v>
      </c>
      <c r="DP158" s="410">
        <f t="shared" si="114"/>
        <v>0</v>
      </c>
      <c r="DQ158" s="405" t="s">
        <v>855</v>
      </c>
      <c r="DR158" s="409" t="s">
        <v>3508</v>
      </c>
      <c r="DS158" s="420" t="str">
        <f t="shared" si="56"/>
        <v>ToyoLi - CYAN</v>
      </c>
      <c r="DT158" s="409">
        <v>25</v>
      </c>
      <c r="DU158" s="411">
        <f>IF(DT158=0,0,IF($LB158=70%,VLOOKUP($DS158,'Jan-2026 rates'!$L:$R,4,0),IF($LB158=65%,VLOOKUP($DS158,'Jan-2026 rates'!$L:$R,4,0),IF($LB158=40%,VLOOKUP($DS158,'Jan-2026 rates'!$L:$R,5,0),IF($LB158=30%,VLOOKUP($DS158,'Jan-2026 rates'!$L:$R,6,0),IF($LB158=100%,VLOOKUP($DS158,'Jan-2026 rates'!$L:$R,7,0),IF($LB158=60%,VLOOKUP($DS158,'Jan-2026 rates'!$L:$S,8,0),IF($LB158=80%,VLOOKUP($DS158,'Jan-2026 rates'!L:T,9,0),0))))))))</f>
        <v>0</v>
      </c>
      <c r="DV158" s="412"/>
      <c r="DW158" s="409"/>
      <c r="DX158" s="411">
        <f>IF(DW158=0,0,IF($LB158=70%,VLOOKUP($DS158,'Jan-2026 rates'!$L:$R,4,0),IF($LB158=65%,VLOOKUP($DS158,'Jan-2026 rates'!$L:$R,4,0),IF($LB158=40%,VLOOKUP($DS158,'Jan-2026 rates'!$L:$R,5,0),IF($LB158=30%,VLOOKUP($DS158,'Jan-2026 rates'!$L:$R,6,0),IF($LB158=100%,VLOOKUP($DS158,'Jan-2026 rates'!$L:$R,7,0),IF($LB158=60%,VLOOKUP($DS158,'Jan-2026 rates'!$L:$S,8,0),IF($LB158=80%,VLOOKUP($DS158,'Jan-2026 rates'!L:T,9,0),0))))))))</f>
        <v>0</v>
      </c>
      <c r="DY158" s="413" t="s">
        <v>1250</v>
      </c>
      <c r="DZ158" s="413"/>
      <c r="EA158" s="412"/>
      <c r="EB158" s="412"/>
      <c r="EC158" s="412"/>
      <c r="ED158" s="412"/>
      <c r="EE158" s="412"/>
      <c r="EF158" s="412"/>
      <c r="EG158" s="409">
        <v>8</v>
      </c>
      <c r="EH158" s="398">
        <f>IF(EG158=0,0,IF(LEN(DY158)=11,_xlfn.XLOOKUP(DY158,'Dispensed Ink Rates'!C:C,'Dispensed Ink Rates'!CS:CS),VLOOKUP(DY158,'Jan-2026 rates'!$E:$F,2,0)))</f>
        <v>0</v>
      </c>
      <c r="EI158" s="409"/>
      <c r="EJ158" s="398">
        <f>IF(EI158=0,0,IF(LEN(DZ158)=11,_xlfn.XLOOKUP(DZ158,'Dispensed Ink Rates'!C:C,'Dispensed Ink Rates'!CS:CS),VLOOKUP(DZ158,'Jan-2026 rates'!$E:$F,2,0)))</f>
        <v>0</v>
      </c>
      <c r="EK158" s="409"/>
      <c r="EL158" s="398">
        <f>IF(EK158=0,0,IF(LEN(EA158)=11,_xlfn.XLOOKUP(EA158,'Dispensed Ink Rates'!C:C,'Dispensed Ink Rates'!CS:CS),VLOOKUP(EA158,'Jan-2026 rates'!$E:$F,2,0)))</f>
        <v>0</v>
      </c>
      <c r="EM158" s="409"/>
      <c r="EN158" s="398">
        <f>IF(EM158=0,0,IF(LEN(EB158)=11,_xlfn.XLOOKUP(EB158,'Dispensed Ink Rates'!C:C,'Dispensed Ink Rates'!CS:CS),VLOOKUP(EB158,'Jan-2026 rates'!$E:$F,2,0)))</f>
        <v>0</v>
      </c>
      <c r="EO158" s="409"/>
      <c r="EP158" s="398">
        <f>IF(EO158=0,0,IF(LEN(EC158)=11,_xlfn.XLOOKUP(EC158,'Dispensed Ink Rates'!C:C,'Dispensed Ink Rates'!CS:CS),VLOOKUP(EC158,'Jan-2026 rates'!$E:$F,2,0)))</f>
        <v>0</v>
      </c>
      <c r="EQ158" s="409"/>
      <c r="ER158" s="398">
        <f>IF(EQ158=0,0,IF(LEN(ED158)=11,_xlfn.XLOOKUP(ED158,'Dispensed Ink Rates'!C:C,'Dispensed Ink Rates'!CS:CS),VLOOKUP(ED158,'Jan-2026 rates'!$E:$F,2,0)))</f>
        <v>0</v>
      </c>
      <c r="ES158" s="409"/>
      <c r="ET158" s="398">
        <f>IF(ES158=0,0,IF(LEN(EE158)=11,_xlfn.XLOOKUP(EE158,'Dispensed Ink Rates'!C:C,'Dispensed Ink Rates'!CS:CS),VLOOKUP(EE158,'Jan-2026 rates'!$E:$F,2,0)))</f>
        <v>0</v>
      </c>
      <c r="EU158" s="409"/>
      <c r="EV158" s="398">
        <f>IF(EU158=0,0,IF(LEN(EF158)=11,_xlfn.XLOOKUP(EF158,'Dispensed Ink Rates'!C:C,'Dispensed Ink Rates'!CS:CS),VLOOKUP(EF158,'Jan-2026 rates'!$E:$F,2,0)))</f>
        <v>0</v>
      </c>
      <c r="EW158" s="409" t="s">
        <v>1881</v>
      </c>
      <c r="EX158" s="409">
        <v>26</v>
      </c>
      <c r="EY158" s="411">
        <f t="shared" si="115"/>
        <v>0</v>
      </c>
      <c r="EZ158" s="411">
        <f t="shared" si="116"/>
        <v>11.754098360655739</v>
      </c>
      <c r="FA158" s="410">
        <f t="shared" si="117"/>
        <v>0</v>
      </c>
      <c r="FB158" s="405" t="s">
        <v>544</v>
      </c>
      <c r="FC158" s="409" t="s">
        <v>3509</v>
      </c>
      <c r="FD158" s="420" t="str">
        <f t="shared" si="57"/>
        <v>ToyoLi - MAGENTA</v>
      </c>
      <c r="FE158" s="409">
        <v>20</v>
      </c>
      <c r="FF158" s="411">
        <f>IF(FE158=0,0,IF($LB158=70%,VLOOKUP($FD158,'Jan-2026 rates'!$L:$R,4,0),IF($LB158=65%,VLOOKUP($FD158,'Jan-2026 rates'!$L:$R,4,0),IF($LB158=40%,VLOOKUP($FD158,'Jan-2026 rates'!$L:$R,5,0),IF($LB158=30%,VLOOKUP($FD158,'Jan-2026 rates'!$L:$R,6,0),IF($LB158=100%,VLOOKUP($FD158,'Jan-2026 rates'!$L:$R,7,0),IF($LB158=60%,VLOOKUP($FD158,'Jan-2026 rates'!$L:$S,8,0),IF($LB158=80%,VLOOKUP($FD158,'Jan-2026 rates'!L:T,9,0),0))))))))</f>
        <v>0</v>
      </c>
      <c r="FG158" s="412"/>
      <c r="FH158" s="409"/>
      <c r="FI158" s="411">
        <f>IF(FH158=0,0,IF($LB158=70%,VLOOKUP($FD158,'Jan-2026 rates'!$L:$R,4,0),IF($LB158=65%,VLOOKUP($FD158,'Jan-2026 rates'!$L:$R,4,0),IF($LB158=40%,VLOOKUP($FD158,'Jan-2026 rates'!$L:$R,5,0),IF($LB158=30%,VLOOKUP($FD158,'Jan-2026 rates'!$L:$R,6,0),IF($LB158=100%,VLOOKUP($FD158,'Jan-2026 rates'!$L:$R,7,0),IF($LB158=60%,VLOOKUP($FD158,'Jan-2026 rates'!$L:$S,8,0),IF($LB158=80%,VLOOKUP($FD158,'Jan-2026 rates'!L:T,9,0),0))))))))</f>
        <v>0</v>
      </c>
      <c r="FJ158" s="413" t="s">
        <v>1246</v>
      </c>
      <c r="FK158" s="413"/>
      <c r="FL158" s="413"/>
      <c r="FM158" s="412"/>
      <c r="FN158" s="412"/>
      <c r="FO158" s="412"/>
      <c r="FP158" s="412"/>
      <c r="FQ158" s="412"/>
      <c r="FR158" s="409">
        <f>6+3</f>
        <v>9</v>
      </c>
      <c r="FS158" s="398">
        <f>IF(FR158=0,0,IF(LEN(FJ158)=11,_xlfn.XLOOKUP(FJ158,'Dispensed Ink Rates'!C:C,'Dispensed Ink Rates'!CS:CS),VLOOKUP(FJ158,'Jan-2026 rates'!$E:$F,2,0)))</f>
        <v>0</v>
      </c>
      <c r="FT158" s="409"/>
      <c r="FU158" s="398">
        <f>IF(FT158=0,0,IF(LEN(FK158)=11,_xlfn.XLOOKUP(FK158,'Dispensed Ink Rates'!C:C,'Dispensed Ink Rates'!CS:CS),VLOOKUP(FK158,'Jan-2026 rates'!$E:$F,2,0)))</f>
        <v>0</v>
      </c>
      <c r="FV158" s="409"/>
      <c r="FW158" s="398">
        <f>IF(FV158=0,0,IF(LEN(FL158)=11,_xlfn.XLOOKUP(FL158,'Dispensed Ink Rates'!C:C,'Dispensed Ink Rates'!CS:CS),VLOOKUP(FL158,'Jan-2026 rates'!$E:$F,2,0)))</f>
        <v>0</v>
      </c>
      <c r="FX158" s="409"/>
      <c r="FY158" s="398">
        <f>IF(FX158=0,0,IF(LEN(FM158)=11,_xlfn.XLOOKUP(FM158,'Dispensed Ink Rates'!C:C,'Dispensed Ink Rates'!CS:CS),VLOOKUP(FM158,'Jan-2026 rates'!$E:$F,2,0)))</f>
        <v>0</v>
      </c>
      <c r="FZ158" s="409"/>
      <c r="GA158" s="398">
        <f>IF(FZ158=0,0,IF(LEN(FN158)=11,_xlfn.XLOOKUP(FN158,'Dispensed Ink Rates'!C:C,'Dispensed Ink Rates'!CS:CS),VLOOKUP(FN158,'Jan-2026 rates'!$E:$F,2,0)))</f>
        <v>0</v>
      </c>
      <c r="GB158" s="409"/>
      <c r="GC158" s="398">
        <f>IF(GB158=0,0,IF(LEN(FO158)=11,_xlfn.XLOOKUP(FO158,'Dispensed Ink Rates'!C:C,'Dispensed Ink Rates'!CS:CS),VLOOKUP(FO158,'Jan-2026 rates'!$E:$F,2,0)))</f>
        <v>0</v>
      </c>
      <c r="GD158" s="409"/>
      <c r="GE158" s="398">
        <f>IF(GD158=0,0,IF(LEN(FP158)=11,_xlfn.XLOOKUP(FP158,'Dispensed Ink Rates'!C:C,'Dispensed Ink Rates'!CS:CS),VLOOKUP(FP158,'Jan-2026 rates'!$E:$F,2,0)))</f>
        <v>0</v>
      </c>
      <c r="GF158" s="409"/>
      <c r="GG158" s="398">
        <f>IF(GF158=0,0,IF(LEN(FQ158)=11,_xlfn.XLOOKUP(FQ158,'Dispensed Ink Rates'!C:C,'Dispensed Ink Rates'!CS:CS),VLOOKUP(FQ158,'Jan-2026 rates'!$E:$F,2,0)))</f>
        <v>0</v>
      </c>
      <c r="GH158" s="409" t="s">
        <v>1881</v>
      </c>
      <c r="GI158" s="409">
        <v>24</v>
      </c>
      <c r="GJ158" s="411">
        <f t="shared" si="118"/>
        <v>0</v>
      </c>
      <c r="GK158" s="411">
        <f t="shared" si="119"/>
        <v>12.606557377049178</v>
      </c>
      <c r="GL158" s="410">
        <f t="shared" si="120"/>
        <v>0</v>
      </c>
      <c r="GM158" s="405" t="s">
        <v>545</v>
      </c>
      <c r="GN158" s="409" t="s">
        <v>3510</v>
      </c>
      <c r="GO158" s="420" t="str">
        <f t="shared" si="58"/>
        <v>ToyoLi - YELLOW</v>
      </c>
      <c r="GP158" s="409">
        <v>27</v>
      </c>
      <c r="GQ158" s="411">
        <f>IF(GP158=0,0,IF($LB158=70%,VLOOKUP($GO158,'Jan-2026 rates'!$L:$R,4,0),IF($LB158=65%,VLOOKUP($GO158,'Jan-2026 rates'!$L:$R,4,0),IF($LB158=40%,VLOOKUP($GO158,'Jan-2026 rates'!$L:$R,5,0),IF($LB158=30%,VLOOKUP($GO158,'Jan-2026 rates'!$L:$R,6,0),IF($LB158=100%,VLOOKUP($GO158,'Jan-2026 rates'!$L:$R,7,0),IF($LB158=60%,VLOOKUP($GO158,'Jan-2026 rates'!$L:$S,8,0),IF($LB158=80%,VLOOKUP($GO158,'Jan-2026 rates'!L:T,9,0),0))))))))</f>
        <v>0</v>
      </c>
      <c r="GR158" s="412"/>
      <c r="GS158" s="409"/>
      <c r="GT158" s="411">
        <f>IF(GS158=0,0,IF($LB158=70%,VLOOKUP($GO158,'Jan-2026 rates'!$L:$R,4,0),IF($LB158=65%,VLOOKUP($GO158,'Jan-2026 rates'!$L:$R,4,0),IF($LB158=40%,VLOOKUP($GO158,'Jan-2026 rates'!$L:$R,5,0),IF($LB158=30%,VLOOKUP($GO158,'Jan-2026 rates'!$L:$R,6,0),IF($LB158=100%,VLOOKUP($GO158,'Jan-2026 rates'!$L:$R,7,0),IF($LB158=60%,VLOOKUP($GO158,'Jan-2026 rates'!$L:$S,8,0),IF($LB158=80%,VLOOKUP($GO158,'Jan-2026 rates'!L:T,9,0),0))))))))</f>
        <v>0</v>
      </c>
      <c r="GU158" s="413" t="s">
        <v>1247</v>
      </c>
      <c r="GV158" s="413"/>
      <c r="GW158" s="412"/>
      <c r="GX158" s="412"/>
      <c r="GY158" s="412"/>
      <c r="GZ158" s="412"/>
      <c r="HA158" s="412"/>
      <c r="HB158" s="412"/>
      <c r="HC158" s="409">
        <v>6</v>
      </c>
      <c r="HD158" s="398">
        <f>IF(HC158=0,0,IF(LEN(GU158)=11,_xlfn.XLOOKUP(GU158,'Dispensed Ink Rates'!C:C,'Dispensed Ink Rates'!CS:CS),VLOOKUP(GU158,'Jan-2026 rates'!$E:$F,2,0)))</f>
        <v>0</v>
      </c>
      <c r="HE158" s="409"/>
      <c r="HF158" s="398">
        <f>IF(HE158=0,0,IF(LEN(GV158)=11,_xlfn.XLOOKUP(GV158,'Dispensed Ink Rates'!C:C,'Dispensed Ink Rates'!CS:CS),VLOOKUP(GV158,'Jan-2026 rates'!$E:$F,2,0)))</f>
        <v>0</v>
      </c>
      <c r="HG158" s="409"/>
      <c r="HH158" s="398">
        <f>IF(HG158=0,0,IF(LEN(GW158)=11,_xlfn.XLOOKUP(GW158,'Dispensed Ink Rates'!C:C,'Dispensed Ink Rates'!CS:CS),VLOOKUP(GW158,'Jan-2026 rates'!$E:$F,2,0)))</f>
        <v>0</v>
      </c>
      <c r="HI158" s="409"/>
      <c r="HJ158" s="398">
        <f>IF(HI158=0,0,IF(LEN(GX158)=11,_xlfn.XLOOKUP(GX158,'Dispensed Ink Rates'!C:C,'Dispensed Ink Rates'!CS:CS),VLOOKUP(GX158,'Jan-2026 rates'!$E:$F,2,0)))</f>
        <v>0</v>
      </c>
      <c r="HK158" s="409"/>
      <c r="HL158" s="398">
        <f>IF(HK158=0,0,IF(LEN(GY158)=11,_xlfn.XLOOKUP(GY158,'Dispensed Ink Rates'!C:C,'Dispensed Ink Rates'!CS:CS),VLOOKUP(GY158,'Jan-2026 rates'!$E:$F,2,0)))</f>
        <v>0</v>
      </c>
      <c r="HM158" s="409"/>
      <c r="HN158" s="398">
        <f>IF(HM158=0,0,IF(LEN(GZ158)=11,_xlfn.XLOOKUP(GZ158,'Dispensed Ink Rates'!C:C,'Dispensed Ink Rates'!CS:CS),VLOOKUP(GZ158,'Jan-2026 rates'!$E:$F,2,0)))</f>
        <v>0</v>
      </c>
      <c r="HO158" s="409"/>
      <c r="HP158" s="398">
        <f>IF(HO158=0,0,IF(LEN(HA158)=11,_xlfn.XLOOKUP(HA158,'Dispensed Ink Rates'!C:C,'Dispensed Ink Rates'!CS:CS),VLOOKUP(HA158,'Jan-2026 rates'!$E:$F,2,0)))</f>
        <v>0</v>
      </c>
      <c r="HQ158" s="409"/>
      <c r="HR158" s="398">
        <f>IF(HQ158=0,0,IF(LEN(HB158)=11,_xlfn.XLOOKUP(HB158,'Dispensed Ink Rates'!C:C,'Dispensed Ink Rates'!CS:CS),VLOOKUP(HB158,'Jan-2026 rates'!$E:$F,2,0)))</f>
        <v>0</v>
      </c>
      <c r="HS158" s="409" t="s">
        <v>1881</v>
      </c>
      <c r="HT158" s="409">
        <v>27</v>
      </c>
      <c r="HU158" s="411">
        <f t="shared" si="121"/>
        <v>0</v>
      </c>
      <c r="HV158" s="411">
        <f t="shared" si="122"/>
        <v>10.754098360655739</v>
      </c>
      <c r="HW158" s="414">
        <f t="shared" si="123"/>
        <v>0</v>
      </c>
      <c r="HX158" s="405" t="s">
        <v>546</v>
      </c>
      <c r="HY158" s="409"/>
      <c r="HZ158" s="420" t="str">
        <f t="shared" si="59"/>
        <v>ToyoLi - REFLEX BLUE</v>
      </c>
      <c r="IA158" s="409"/>
      <c r="IB158" s="411">
        <f>IF(IA158=0,0,IF($LB158=70%,VLOOKUP($HZ158,'Jan-2026 rates'!$L:$R,4,0),IF($LB158=65%,VLOOKUP($HZ158,'Jan-2026 rates'!$L:$R,4,0),IF($LB158=40%,VLOOKUP($HZ158,'Jan-2026 rates'!$L:$R,5,0),IF($LB158=30%,VLOOKUP($HZ158,'Jan-2026 rates'!$L:$R,6,0),IF($LB158=100%,VLOOKUP($HZ158,'Jan-2026 rates'!$L:$R,7,0),IF($LB158=60%,VLOOKUP($HZ158,'Jan-2026 rates'!$L:$S,8,0),IF($LB158=80%,VLOOKUP($HZ158,'Jan-2026 rates'!L:T,9,0),0))))))))</f>
        <v>0</v>
      </c>
      <c r="IC158" s="412"/>
      <c r="ID158" s="409"/>
      <c r="IE158" s="411">
        <f>IF(ID158=0,0,IF($LB158=70%,VLOOKUP($HZ158,'Jan-2026 rates'!$L:$R,4,0),IF($LB158=65%,VLOOKUP($HZ158,'Jan-2026 rates'!$L:$R,4,0),IF($LB158=40%,VLOOKUP($HZ158,'Jan-2026 rates'!$L:$R,5,0),IF($LB158=30%,VLOOKUP($HZ158,'Jan-2026 rates'!$L:$R,6,0),IF($LB158=100%,VLOOKUP($HZ158,'Jan-2026 rates'!$L:$R,7,0),IF($LB158=60%,VLOOKUP($HZ158,'Jan-2026 rates'!$L:$S,8,0),IF($LB158=80%,VLOOKUP($HZ158,'Jan-2026 rates'!L:T,9,0),0))))))))</f>
        <v>0</v>
      </c>
      <c r="IF158" s="412" t="s">
        <v>1250</v>
      </c>
      <c r="IG158" s="413" t="s">
        <v>1880</v>
      </c>
      <c r="IH158" s="412" t="s">
        <v>1247</v>
      </c>
      <c r="II158" s="412"/>
      <c r="IJ158" s="412"/>
      <c r="IK158" s="412"/>
      <c r="IL158" s="412"/>
      <c r="IM158" s="412"/>
      <c r="IN158" s="409">
        <v>20</v>
      </c>
      <c r="IO158" s="398">
        <f>IF(IN158=0,0,IF(LEN(IF158)=11,_xlfn.XLOOKUP(IF158,'Dispensed Ink Rates'!C:C,'Dispensed Ink Rates'!CS:CS),VLOOKUP(IF158,'Jan-2026 rates'!$E:$F,2,0)))</f>
        <v>0</v>
      </c>
      <c r="IP158" s="409">
        <v>2</v>
      </c>
      <c r="IQ158" s="398">
        <f>IF(IP158=0,0,IF(LEN(IG158)=11,_xlfn.XLOOKUP(IG158,'Dispensed Ink Rates'!C:C,'Dispensed Ink Rates'!CS:CS),VLOOKUP(IG158,'Jan-2026 rates'!$E:$F,2,0)))</f>
        <v>0</v>
      </c>
      <c r="IR158" s="409">
        <v>0.5</v>
      </c>
      <c r="IS158" s="398">
        <f>IF(IR158=0,0,IF(LEN(IH158)=11,_xlfn.XLOOKUP(IH158,'Dispensed Ink Rates'!C:C,'Dispensed Ink Rates'!CS:CS),VLOOKUP(IH158,'Jan-2026 rates'!$E:$F,2,0)))</f>
        <v>0</v>
      </c>
      <c r="IT158" s="409"/>
      <c r="IU158" s="398">
        <f>IF(IT158=0,0,IF(LEN(II158)=11,_xlfn.XLOOKUP(II158,'Dispensed Ink Rates'!C:C,'Dispensed Ink Rates'!CS:CS),VLOOKUP(II158,'Jan-2026 rates'!$E:$F,2,0)))</f>
        <v>0</v>
      </c>
      <c r="IV158" s="409"/>
      <c r="IW158" s="398">
        <f>IF(IV158=0,0,IF(LEN(IJ158)=11,_xlfn.XLOOKUP(IJ158,'Dispensed Ink Rates'!C:C,'Dispensed Ink Rates'!CS:CS),VLOOKUP(IJ158,'Jan-2026 rates'!$E:$F,2,0)))</f>
        <v>0</v>
      </c>
      <c r="IX158" s="409"/>
      <c r="IY158" s="398">
        <f>IF(IX158=0,0,IF(LEN(IK158)=11,_xlfn.XLOOKUP(IK158,'Dispensed Ink Rates'!C:C,'Dispensed Ink Rates'!CS:CS),VLOOKUP(IK158,'Jan-2026 rates'!$E:$F,2,0)))</f>
        <v>0</v>
      </c>
      <c r="IZ158" s="409"/>
      <c r="JA158" s="398">
        <f>IF(IZ158=0,0,IF(LEN(IL158)=11,_xlfn.XLOOKUP(IL158,'Dispensed Ink Rates'!C:C,'Dispensed Ink Rates'!CS:CS),VLOOKUP(IL158,'Jan-2026 rates'!$E:$F,2,0)))</f>
        <v>0</v>
      </c>
      <c r="JB158" s="409"/>
      <c r="JC158" s="398">
        <f>IF(JB158=0,0,IF(LEN(IM158)=11,_xlfn.XLOOKUP(IM158,'Dispensed Ink Rates'!C:C,'Dispensed Ink Rates'!CS:CS),VLOOKUP(IM158,'Jan-2026 rates'!$E:$F,2,0)))</f>
        <v>0</v>
      </c>
      <c r="JD158" s="409" t="s">
        <v>1881</v>
      </c>
      <c r="JE158" s="409">
        <v>18</v>
      </c>
      <c r="JF158" s="411">
        <f t="shared" si="124"/>
        <v>0</v>
      </c>
      <c r="JG158" s="411">
        <f t="shared" si="125"/>
        <v>12.106557377049182</v>
      </c>
      <c r="JH158" s="410">
        <f t="shared" si="126"/>
        <v>0</v>
      </c>
      <c r="JI158" s="405" t="s">
        <v>856</v>
      </c>
      <c r="JJ158" s="409" t="s">
        <v>3511</v>
      </c>
      <c r="JK158" s="420" t="str">
        <f t="shared" si="60"/>
        <v>ToyoLi - WHITE</v>
      </c>
      <c r="JL158" s="409">
        <v>24</v>
      </c>
      <c r="JM158" s="411">
        <f>IF(JL158=0,0,IF($LB158=70%,VLOOKUP($JK158,'Jan-2026 rates'!$L:$R,4,0),IF($LB158=65%,VLOOKUP($JK158,'Jan-2026 rates'!$L:$R,4,0),IF($LB158=40%,VLOOKUP($JK158,'Jan-2026 rates'!$L:$R,5,0),IF($LB158=30%,VLOOKUP($JK158,'Jan-2026 rates'!$L:$R,6,0),IF($LB158=100%,VLOOKUP($JK158,'Jan-2026 rates'!$L:$R,7,0),IF($LB158=60%,VLOOKUP($JK158,'Jan-2026 rates'!$L:$S,8,0),IF($LB158=80%,VLOOKUP($JK158,'Jan-2026 rates'!L:T,9,0),0))))))))</f>
        <v>0</v>
      </c>
      <c r="JN158" s="412"/>
      <c r="JO158" s="409"/>
      <c r="JP158" s="411">
        <f>IF(JO158=0,0,IF($LB158=70%,VLOOKUP($JK158,'Jan-2026 rates'!$L:$R,4,0),IF($LB158=65%,VLOOKUP($JK158,'Jan-2026 rates'!$L:$R,4,0),IF($LB158=40%,VLOOKUP($JK158,'Jan-2026 rates'!$L:$R,5,0),IF($LB158=30%,VLOOKUP($JK158,'Jan-2026 rates'!$L:$R,6,0),IF($LB158=100%,VLOOKUP($JK158,'Jan-2026 rates'!$L:$R,7,0),IF($LB158=60%,VLOOKUP($JK158,'Jan-2026 rates'!$L:$S,8,0),IF($LB158=80%,VLOOKUP($JK158,'Jan-2026 rates'!L:T,9,0),0))))))))</f>
        <v>0</v>
      </c>
      <c r="JQ158" s="413" t="s">
        <v>1249</v>
      </c>
      <c r="JR158" s="412"/>
      <c r="JS158" s="413"/>
      <c r="JT158" s="413"/>
      <c r="JU158" s="412"/>
      <c r="JV158" s="412"/>
      <c r="JW158" s="412"/>
      <c r="JX158" s="412"/>
      <c r="JY158" s="409">
        <f>25+10</f>
        <v>35</v>
      </c>
      <c r="JZ158" s="398">
        <f>IF(JY158=0,0,IF(LEN(JQ158)=11,_xlfn.XLOOKUP(JQ158,'Dispensed Ink Rates'!C:C,'Dispensed Ink Rates'!CS:CS),VLOOKUP(JQ158,'Jan-2026 rates'!$E:$F,2,0)))</f>
        <v>0</v>
      </c>
      <c r="KA158" s="409"/>
      <c r="KB158" s="398">
        <f>IF(KA158=0,0,IF(LEN(JR158)=11,_xlfn.XLOOKUP(JR158,'Dispensed Ink Rates'!C:C,'Dispensed Ink Rates'!CS:CS),VLOOKUP(JR158,'Jan-2026 rates'!$E:$F,2,0)))</f>
        <v>0</v>
      </c>
      <c r="KC158" s="409"/>
      <c r="KD158" s="398">
        <f>IF(KC158=0,0,IF(LEN(JS158)=11,_xlfn.XLOOKUP(JS158,'Dispensed Ink Rates'!C:C,'Dispensed Ink Rates'!CS:CS),VLOOKUP(JS158,'Jan-2026 rates'!$E:$F,2,0)))</f>
        <v>0</v>
      </c>
      <c r="KE158" s="409"/>
      <c r="KF158" s="398">
        <f>IF(KE158=0,0,IF(LEN(JT158)=11,_xlfn.XLOOKUP(JT158,'Dispensed Ink Rates'!C:C,'Dispensed Ink Rates'!CS:CS),VLOOKUP(JT158,'Jan-2026 rates'!$E:$F,2,0)))</f>
        <v>0</v>
      </c>
      <c r="KG158" s="409"/>
      <c r="KH158" s="398">
        <f>IF(KG158=0,0,IF(LEN(JU158)=11,_xlfn.XLOOKUP(JU158,'Dispensed Ink Rates'!C:C,'Dispensed Ink Rates'!CS:CS),VLOOKUP(JU158,'Jan-2026 rates'!$E:$F,2,0)))</f>
        <v>0</v>
      </c>
      <c r="KI158" s="409"/>
      <c r="KJ158" s="398">
        <f>IF(KI158=0,0,IF(LEN(JV158)=11,_xlfn.XLOOKUP(JV158,'Dispensed Ink Rates'!C:C,'Dispensed Ink Rates'!CS:CS),VLOOKUP(JV158,'Jan-2026 rates'!$E:$F,2,0)))</f>
        <v>0</v>
      </c>
      <c r="KK158" s="409"/>
      <c r="KL158" s="398">
        <f>IF(KK158=0,0,IF(LEN(JW158)=11,_xlfn.XLOOKUP(JW158,'Dispensed Ink Rates'!C:C,'Dispensed Ink Rates'!CS:CS),VLOOKUP(JW158,'Jan-2026 rates'!$E:$F,2,0)))</f>
        <v>0</v>
      </c>
      <c r="KM158" s="428"/>
      <c r="KN158" s="398">
        <f>IF(KM158=0,0,IF(LEN(JX158)=11,_xlfn.XLOOKUP(JX158,'Dispensed Ink Rates'!C:C,'Dispensed Ink Rates'!CS:CS),VLOOKUP(JX158,'Jan-2026 rates'!$E:$F,2,0)))</f>
        <v>0</v>
      </c>
      <c r="KO158" s="409" t="s">
        <v>1881</v>
      </c>
      <c r="KP158" s="409">
        <v>24</v>
      </c>
      <c r="KQ158" s="411">
        <f t="shared" si="127"/>
        <v>0</v>
      </c>
      <c r="KR158" s="411">
        <f t="shared" si="128"/>
        <v>49.26229508196721</v>
      </c>
      <c r="KS158" s="410">
        <f t="shared" si="129"/>
        <v>0</v>
      </c>
      <c r="KT158" s="409">
        <v>5</v>
      </c>
      <c r="KU158" s="409">
        <v>10</v>
      </c>
      <c r="KV158" s="409">
        <v>5</v>
      </c>
      <c r="KW158" s="409">
        <v>5</v>
      </c>
      <c r="KX158" s="409">
        <v>8</v>
      </c>
      <c r="KY158" s="409">
        <v>5</v>
      </c>
      <c r="KZ158" s="409">
        <v>8</v>
      </c>
      <c r="LA158" s="409">
        <v>15</v>
      </c>
      <c r="LB158" s="415">
        <v>0.3</v>
      </c>
      <c r="LC158" s="415"/>
      <c r="LD158" s="415"/>
      <c r="LE158" s="415">
        <v>0.5</v>
      </c>
      <c r="LF158" s="415">
        <v>0.2</v>
      </c>
      <c r="LG158" s="409">
        <v>0</v>
      </c>
      <c r="LH158" s="409">
        <f>15+13+9+15+6</f>
        <v>58</v>
      </c>
      <c r="LI158" s="409">
        <v>0</v>
      </c>
      <c r="LJ158" s="409">
        <v>0</v>
      </c>
      <c r="LK158" s="416">
        <f t="shared" si="61"/>
        <v>58</v>
      </c>
      <c r="LL158" s="416">
        <f t="shared" si="62"/>
        <v>58</v>
      </c>
      <c r="LM158" s="417">
        <f t="shared" si="63"/>
        <v>17.399999999999999</v>
      </c>
      <c r="LN158" s="417">
        <f>VLOOKUP($LM$8,'Jan-2026 rates'!$H:$I,2,0)</f>
        <v>0</v>
      </c>
      <c r="LO158" s="417">
        <f t="shared" si="64"/>
        <v>0</v>
      </c>
      <c r="LP158" s="417">
        <f>VLOOKUP($LO$8,'Jan-2026 rates'!$H:$I,2,0)</f>
        <v>0</v>
      </c>
      <c r="LQ158" s="417">
        <f t="shared" si="65"/>
        <v>0</v>
      </c>
      <c r="LR158" s="417">
        <f>VLOOKUP($LQ$8,'Jan-2026 rates'!$H:$I,2,0)</f>
        <v>0</v>
      </c>
      <c r="LS158" s="417">
        <f t="shared" si="66"/>
        <v>29</v>
      </c>
      <c r="LT158" s="417">
        <f>VLOOKUP($LS$8,'Jan-2026 rates'!$H:$I,2,0)</f>
        <v>0</v>
      </c>
      <c r="LU158" s="417">
        <f t="shared" si="67"/>
        <v>11.600000000000001</v>
      </c>
      <c r="LV158" s="417">
        <f>VLOOKUP($LU$8,'Jan-2026 rates'!$H:$I,2,0)</f>
        <v>0</v>
      </c>
      <c r="LW158" s="417">
        <f t="shared" si="68"/>
        <v>0</v>
      </c>
      <c r="LX158" s="417">
        <f t="shared" si="69"/>
        <v>0</v>
      </c>
      <c r="LY158" s="418">
        <f t="shared" si="70"/>
        <v>0</v>
      </c>
      <c r="LZ158" s="417"/>
      <c r="MA158" s="435">
        <f t="shared" si="71"/>
        <v>110.5</v>
      </c>
      <c r="MB158" s="282">
        <f t="shared" si="72"/>
        <v>113.5</v>
      </c>
      <c r="MC158" s="283" t="s">
        <v>1993</v>
      </c>
      <c r="MD158" s="284" t="str">
        <f t="shared" si="73"/>
        <v>ToyoLiToyoLiToyoLiToyoLiToyoLiToyoLiToyoLiToyoLi</v>
      </c>
      <c r="ME158" s="293" t="str">
        <f t="shared" si="74"/>
        <v>+</v>
      </c>
      <c r="MF158" s="293" t="str">
        <f t="shared" si="75"/>
        <v>+</v>
      </c>
      <c r="MG158" s="293" t="str">
        <f t="shared" si="76"/>
        <v>+</v>
      </c>
      <c r="MH158" s="293" t="str">
        <f t="shared" si="77"/>
        <v>+</v>
      </c>
      <c r="MI158" s="293" t="str">
        <f t="shared" si="78"/>
        <v>+</v>
      </c>
      <c r="MJ158" s="293" t="str">
        <f t="shared" si="79"/>
        <v>+</v>
      </c>
      <c r="MK158" s="293" t="str">
        <f t="shared" si="80"/>
        <v>+</v>
      </c>
      <c r="ML158" s="293" t="str">
        <f t="shared" si="81"/>
        <v>+</v>
      </c>
      <c r="MM158" s="3" t="b">
        <f t="array" ref="MM158">OR(ME158:ML158="-")</f>
        <v>0</v>
      </c>
      <c r="MN158" s="285"/>
      <c r="MO158" s="401"/>
      <c r="MP158" s="286"/>
      <c r="MQ158" s="286"/>
      <c r="MR158" s="402"/>
      <c r="MS158" s="400"/>
      <c r="NH158" s="422"/>
      <c r="NJ158" s="421"/>
    </row>
    <row r="159" spans="1:374" s="1" customFormat="1" ht="16.5">
      <c r="A159" s="403">
        <v>46033</v>
      </c>
      <c r="B159" s="404" t="s">
        <v>1015</v>
      </c>
      <c r="C159" s="405" t="s">
        <v>3512</v>
      </c>
      <c r="D159" s="406" t="s">
        <v>1994</v>
      </c>
      <c r="E159" s="404">
        <v>185</v>
      </c>
      <c r="F159" s="407">
        <v>9700</v>
      </c>
      <c r="G159" s="407" t="s">
        <v>1016</v>
      </c>
      <c r="H159" s="408" t="s">
        <v>1017</v>
      </c>
      <c r="I159" s="409">
        <v>1.65</v>
      </c>
      <c r="J159" s="405" t="s">
        <v>543</v>
      </c>
      <c r="K159" s="404" t="s">
        <v>3513</v>
      </c>
      <c r="L159" s="419" t="str">
        <f t="shared" si="54"/>
        <v>ToyoLi - BLACK</v>
      </c>
      <c r="M159" s="404">
        <v>25</v>
      </c>
      <c r="N159" s="410">
        <f>IF(M159=0,0,IF($LB159=70%,VLOOKUP($L159,'Jan-2026 rates'!$L:$R,4,0),IF($LB159=65%,VLOOKUP($L159,'Jan-2026 rates'!$L:$R,4,0),IF($LB159=40%,VLOOKUP($L159,'Jan-2026 rates'!$L:$R,5,0),IF($LB159=30%,VLOOKUP($L159,'Jan-2026 rates'!$L:$R,6,0),IF($LB159=100%,VLOOKUP($L159,'Jan-2026 rates'!$L:$R,7,0),IF($LB159=60%,VLOOKUP($L159,'Jan-2026 rates'!$L:$S,8,0),IF($LB159=80%,VLOOKUP($L159,'Jan-2026 rates'!L:T,9,0),0))))))))</f>
        <v>0</v>
      </c>
      <c r="O159" s="406"/>
      <c r="P159" s="404"/>
      <c r="Q159" s="410">
        <f>IF(P159=0,0,IF($LB159=70%,VLOOKUP($L159,'Jan-2026 rates'!$L:$R,4,0),IF($LB159=65%,VLOOKUP($L159,'Jan-2026 rates'!$L:$R,4,0),IF($LB159=40%,VLOOKUP($L159,'Jan-2026 rates'!$L:$R,5,0),IF($LB159=30%,VLOOKUP($L159,'Jan-2026 rates'!$L:$R,6,0),IF($LB159=100%,VLOOKUP($L159,'Jan-2026 rates'!$L:$R,7,0),IF($LB159=60%,VLOOKUP($L159,'Jan-2026 rates'!$L:$S,8,0),IF($LB159=80%,VLOOKUP($L159,'Jan-2026 rates'!L:T,9,0),0))))))))</f>
        <v>0</v>
      </c>
      <c r="R159" s="406" t="s">
        <v>1252</v>
      </c>
      <c r="S159" s="406"/>
      <c r="T159" s="406"/>
      <c r="U159" s="406"/>
      <c r="V159" s="406"/>
      <c r="W159" s="406"/>
      <c r="X159" s="406"/>
      <c r="Y159" s="406"/>
      <c r="Z159" s="404">
        <f>6+3</f>
        <v>9</v>
      </c>
      <c r="AA159" s="398">
        <f>IF(Z159=0,0,IF(LEN(R159)=11,_xlfn.XLOOKUP(R159,'Dispensed Ink Rates'!C:C,'Dispensed Ink Rates'!CS:CS),VLOOKUP(R159,'Jan-2026 rates'!$E:$F,2,0)))</f>
        <v>0</v>
      </c>
      <c r="AB159" s="404"/>
      <c r="AC159" s="398">
        <f>IF(AB159=0,0,IF(LEN(S159)=11,_xlfn.XLOOKUP(S159,'Dispensed Ink Rates'!C:C,'Dispensed Ink Rates'!CS:CS),VLOOKUP(S159,'Jan-2026 rates'!$E:$F,2,0)))</f>
        <v>0</v>
      </c>
      <c r="AD159" s="404"/>
      <c r="AE159" s="398">
        <f>IF(AD159=0,0,IF(LEN(T159)=11,_xlfn.XLOOKUP(T159,'Dispensed Ink Rates'!C:C,'Dispensed Ink Rates'!CS:CS),VLOOKUP(T159,'Jan-2026 rates'!$E:$F,2,0)))</f>
        <v>0</v>
      </c>
      <c r="AF159" s="404"/>
      <c r="AG159" s="398">
        <f>IF(AF159=0,0,IF(LEN(U159)=11,_xlfn.XLOOKUP(U159,'Dispensed Ink Rates'!C:C,'Dispensed Ink Rates'!CS:CS),VLOOKUP(U159,'Jan-2026 rates'!$E:$F,2,0)))</f>
        <v>0</v>
      </c>
      <c r="AH159" s="404"/>
      <c r="AI159" s="398">
        <f>IF(AH159=0,0,IF(LEN(V159)=11,_xlfn.XLOOKUP(V159,'Dispensed Ink Rates'!C:C,'Dispensed Ink Rates'!CS:CS),VLOOKUP(V159,'Jan-2026 rates'!$E:$F,2,0)))</f>
        <v>0</v>
      </c>
      <c r="AJ159" s="404"/>
      <c r="AK159" s="398">
        <f>IF(AJ159=0,0,IF(LEN(W159)=11,_xlfn.XLOOKUP(W159,'Dispensed Ink Rates'!C:C,'Dispensed Ink Rates'!CS:CS),VLOOKUP(W159,'Jan-2026 rates'!$E:$F,2,0)))</f>
        <v>0</v>
      </c>
      <c r="AL159" s="404"/>
      <c r="AM159" s="398">
        <f>IF(AL159=0,0,IF(LEN(X159)=11,_xlfn.XLOOKUP(X159,'Dispensed Ink Rates'!C:C,'Dispensed Ink Rates'!CS:CS),VLOOKUP(X159,'Jan-2026 rates'!$E:$F,2,0)))</f>
        <v>0</v>
      </c>
      <c r="AN159" s="404"/>
      <c r="AO159" s="398">
        <f>IF(AN159=0,0,IF(LEN(Y159)=11,_xlfn.XLOOKUP(Y159,'Dispensed Ink Rates'!C:C,'Dispensed Ink Rates'!CS:CS),VLOOKUP(Y159,'Jan-2026 rates'!$E:$F,2,0)))</f>
        <v>0</v>
      </c>
      <c r="AP159" s="409" t="s">
        <v>1881</v>
      </c>
      <c r="AQ159" s="409">
        <f>20+10</f>
        <v>30</v>
      </c>
      <c r="AR159" s="410">
        <f t="shared" si="106"/>
        <v>0</v>
      </c>
      <c r="AS159" s="411">
        <f t="shared" si="107"/>
        <v>10.384615384615387</v>
      </c>
      <c r="AT159" s="410">
        <f t="shared" si="108"/>
        <v>0</v>
      </c>
      <c r="AU159" s="405" t="s">
        <v>828</v>
      </c>
      <c r="AV159" s="409" t="s">
        <v>3514</v>
      </c>
      <c r="AW159" s="420" t="str">
        <f t="shared" si="130"/>
        <v>ToyoLi - ORANGE</v>
      </c>
      <c r="AX159" s="409">
        <v>17</v>
      </c>
      <c r="AY159" s="411">
        <f>IF(AX159=0,0,IF($LB159=70%,VLOOKUP($AW159,'Jan-2026 rates'!$L:$R,4,0),IF($LB159=65%,VLOOKUP($AW159,'Jan-2026 rates'!$L:$R,4,0),IF($LB159=40%,VLOOKUP($AW159,'Jan-2026 rates'!$L:$R,5,0),IF($LB159=30%,VLOOKUP($AW159,'Jan-2026 rates'!$L:$R,6,0),IF($LB159=100%,VLOOKUP($AW159,'Jan-2026 rates'!$L:$R,7,0),IF($LB159=60%,VLOOKUP($AW159,'Jan-2026 rates'!$L:$S,8,0),IF($LB159=80%,VLOOKUP($AW159,'Jan-2026 rates'!L:T,9,0),0))))))))</f>
        <v>0</v>
      </c>
      <c r="AZ159" s="412" t="s">
        <v>3515</v>
      </c>
      <c r="BA159" s="409">
        <v>6</v>
      </c>
      <c r="BB159" s="411">
        <f>IF(BA159=0,0,IF($LB159=70%,VLOOKUP($AW159,'Jan-2026 rates'!$L:$R,4,0),IF($LB159=65%,VLOOKUP($AW159,'Jan-2026 rates'!$L:$R,4,0),IF($LB159=40%,VLOOKUP($AW159,'Jan-2026 rates'!$L:$R,5,0),IF($LB159=30%,VLOOKUP($AW159,'Jan-2026 rates'!$L:$R,6,0),IF($LB159=100%,VLOOKUP($AW159,'Jan-2026 rates'!$L:$R,7,0),IF($LB159=60%,VLOOKUP($AW159,'Jan-2026 rates'!$L:$S,8,0),IF($LB159=80%,VLOOKUP($AW159,'Jan-2026 rates'!L:T,9,0),0))))))))</f>
        <v>0</v>
      </c>
      <c r="BC159" s="413" t="s">
        <v>1247</v>
      </c>
      <c r="BD159" s="412" t="s">
        <v>1248</v>
      </c>
      <c r="BE159" s="412"/>
      <c r="BF159" s="413"/>
      <c r="BG159" s="412"/>
      <c r="BH159" s="412"/>
      <c r="BI159" s="412"/>
      <c r="BJ159" s="412"/>
      <c r="BK159" s="409">
        <v>6</v>
      </c>
      <c r="BL159" s="398">
        <f>IF(BK159=0,0,IF(LEN(BC159)=11,_xlfn.XLOOKUP(BC159,'Dispensed Ink Rates'!C:C,'Dispensed Ink Rates'!CS:CS),VLOOKUP(BC159,'Jan-2026 rates'!$E:$F,2,0)))</f>
        <v>0</v>
      </c>
      <c r="BM159" s="409">
        <v>6</v>
      </c>
      <c r="BN159" s="398">
        <f>IF(BM159=0,0,IF(LEN(BD159)=11,_xlfn.XLOOKUP(BD159,'Dispensed Ink Rates'!C:C,'Dispensed Ink Rates'!CS:CS),VLOOKUP(BD159,'Jan-2026 rates'!$E:$F,2,0)))</f>
        <v>0</v>
      </c>
      <c r="BO159" s="409"/>
      <c r="BP159" s="398">
        <f>IF(BO159=0,0,IF(LEN(BE159)=11,_xlfn.XLOOKUP(BE159,'Dispensed Ink Rates'!C:C,'Dispensed Ink Rates'!CS:CS),VLOOKUP(BE159,'Jan-2026 rates'!$E:$F,2,0)))</f>
        <v>0</v>
      </c>
      <c r="BQ159" s="409"/>
      <c r="BR159" s="398">
        <f>IF(BQ159=0,0,IF(LEN(BF159)=11,_xlfn.XLOOKUP(BF159,'Dispensed Ink Rates'!C:C,'Dispensed Ink Rates'!CS:CS),VLOOKUP(BF159,'Jan-2026 rates'!$E:$F,2,0)))</f>
        <v>0</v>
      </c>
      <c r="BS159" s="409"/>
      <c r="BT159" s="398">
        <f>IF(BS159=0,0,IF(LEN(BG159)=11,_xlfn.XLOOKUP(BG159,'Dispensed Ink Rates'!C:C,'Dispensed Ink Rates'!CS:CS),VLOOKUP(BG159,'Jan-2026 rates'!$E:$F,2,0)))</f>
        <v>0</v>
      </c>
      <c r="BU159" s="409"/>
      <c r="BV159" s="398">
        <f>IF(BU159=0,0,IF(LEN(BH159)=11,_xlfn.XLOOKUP(BH159,'Dispensed Ink Rates'!C:C,'Dispensed Ink Rates'!CS:CS),VLOOKUP(BH159,'Jan-2026 rates'!$E:$F,2,0)))</f>
        <v>0</v>
      </c>
      <c r="BW159" s="409"/>
      <c r="BX159" s="398">
        <f>IF(BW159=0,0,IF(LEN(BI159)=11,_xlfn.XLOOKUP(BI159,'Dispensed Ink Rates'!C:C,'Dispensed Ink Rates'!CS:CS),VLOOKUP(BI159,'Jan-2026 rates'!$E:$F,2,0)))</f>
        <v>0</v>
      </c>
      <c r="BY159" s="409"/>
      <c r="BZ159" s="398">
        <f>IF(BY159=0,0,IF(LEN(BJ159)=11,_xlfn.XLOOKUP(BJ159,'Dispensed Ink Rates'!C:C,'Dispensed Ink Rates'!CS:CS),VLOOKUP(BJ159,'Jan-2026 rates'!$E:$F,2,0)))</f>
        <v>0</v>
      </c>
      <c r="CA159" s="409" t="s">
        <v>1881</v>
      </c>
      <c r="CB159" s="409">
        <f>17+13</f>
        <v>30</v>
      </c>
      <c r="CC159" s="411">
        <f t="shared" si="109"/>
        <v>0</v>
      </c>
      <c r="CD159" s="411">
        <f t="shared" si="110"/>
        <v>17.769230769230774</v>
      </c>
      <c r="CE159" s="410">
        <f t="shared" si="111"/>
        <v>0</v>
      </c>
      <c r="CF159" s="404" t="s">
        <v>855</v>
      </c>
      <c r="CG159" s="409" t="s">
        <v>3516</v>
      </c>
      <c r="CH159" s="420" t="str">
        <f t="shared" si="55"/>
        <v>ToyoLi - CYAN</v>
      </c>
      <c r="CI159" s="409">
        <v>26</v>
      </c>
      <c r="CJ159" s="411">
        <f>IF(CI159=0,0,IF($LB159=70%,VLOOKUP($CH159,'Jan-2026 rates'!$L:$R,4,0),IF($LB159=65%,VLOOKUP($CH159,'Jan-2026 rates'!$L:$R,4,0),IF($LB159=40%,VLOOKUP($CH159,'Jan-2026 rates'!$L:$R,5,0),IF($LB159=30%,VLOOKUP($CH159,'Jan-2026 rates'!$L:$R,6,0),IF($LB159=100%,VLOOKUP($CH159,'Jan-2026 rates'!$L:$R,7,0),IF($LB159=60%,VLOOKUP($CH159,'Jan-2026 rates'!$L:$S,8,0),IF($LB159=80%,VLOOKUP($CH159,'Jan-2026 rates'!L:T,9,0),0))))))))</f>
        <v>0</v>
      </c>
      <c r="CK159" s="412"/>
      <c r="CL159" s="409"/>
      <c r="CM159" s="411">
        <f>IF(CL159=0,0,IF($LB159=70%,VLOOKUP($CH159,'Jan-2026 rates'!$L:$R,4,0),IF($LB159=65%,VLOOKUP($CH159,'Jan-2026 rates'!$L:$R,4,0),IF($LB159=40%,VLOOKUP($CH159,'Jan-2026 rates'!$L:$R,5,0),IF($LB159=30%,VLOOKUP($CH159,'Jan-2026 rates'!$L:$R,6,0),IF($LB159=100%,VLOOKUP($CH159,'Jan-2026 rates'!$L:$R,7,0),IF($LB159=60%,VLOOKUP($CH159,'Jan-2026 rates'!$L:$S,8,0),IF($LB159=80%,VLOOKUP($CH159,'Jan-2026 rates'!L:T,9,0),0))))))))</f>
        <v>0</v>
      </c>
      <c r="CN159" s="426" t="s">
        <v>1250</v>
      </c>
      <c r="CO159" s="427"/>
      <c r="CP159" s="426"/>
      <c r="CQ159" s="426"/>
      <c r="CR159" s="428"/>
      <c r="CS159" s="428"/>
      <c r="CT159" s="428"/>
      <c r="CU159" s="428"/>
      <c r="CV159" s="409">
        <v>6</v>
      </c>
      <c r="CW159" s="398">
        <f>IF(CV159=0,0,IF(LEN(CN159)=11,_xlfn.XLOOKUP(CN159,'Dispensed Ink Rates'!C:C,'Dispensed Ink Rates'!CS:CS),VLOOKUP(CN159,'Jan-2026 rates'!$E:$F,2,0)))</f>
        <v>0</v>
      </c>
      <c r="CX159" s="409"/>
      <c r="CY159" s="398">
        <f>IF(CX159=0,0,IF(LEN(CO159)=11,_xlfn.XLOOKUP(CO159,'Dispensed Ink Rates'!C:C,'Dispensed Ink Rates'!CS:CS),VLOOKUP(CO159,'Jan-2026 rates'!$E:$F,2,0)))</f>
        <v>0</v>
      </c>
      <c r="CZ159" s="409"/>
      <c r="DA159" s="398">
        <f>IF(CZ159=0,0,IF(LEN(CP159)=11,_xlfn.XLOOKUP(CP159,'Dispensed Ink Rates'!C:C,'Dispensed Ink Rates'!CS:CS),VLOOKUP(CP159,'Jan-2026 rates'!$E:$F,2,0)))</f>
        <v>0</v>
      </c>
      <c r="DB159" s="409"/>
      <c r="DC159" s="398">
        <f>IF(DB159=0,0,IF(LEN(CQ159)=11,_xlfn.XLOOKUP(CQ159,'Dispensed Ink Rates'!C:C,'Dispensed Ink Rates'!CS:CS),VLOOKUP(CQ159,'Jan-2026 rates'!$E:$F,2,0)))</f>
        <v>0</v>
      </c>
      <c r="DD159" s="409"/>
      <c r="DE159" s="398">
        <f>IF(DD159=0,0,IF(LEN(CR159)=11,_xlfn.XLOOKUP(CR159,'Dispensed Ink Rates'!C:C,'Dispensed Ink Rates'!CS:CS),VLOOKUP(CR159,'Jan-2026 rates'!$E:$F,2,0)))</f>
        <v>0</v>
      </c>
      <c r="DF159" s="409"/>
      <c r="DG159" s="398">
        <f>IF(DF159=0,0,IF(LEN(CS159)=11,_xlfn.XLOOKUP(CS159,'Dispensed Ink Rates'!C:C,'Dispensed Ink Rates'!CS:CS),VLOOKUP(CS159,'Jan-2026 rates'!$E:$F,2,0)))</f>
        <v>0</v>
      </c>
      <c r="DH159" s="409"/>
      <c r="DI159" s="398">
        <f>IF(DH159=0,0,IF(LEN(CT159)=11,_xlfn.XLOOKUP(CT159,'Dispensed Ink Rates'!C:C,'Dispensed Ink Rates'!CS:CS),VLOOKUP(CT159,'Jan-2026 rates'!$E:$F,2,0)))</f>
        <v>0</v>
      </c>
      <c r="DJ159" s="409"/>
      <c r="DK159" s="398">
        <f>IF(DJ159=0,0,IF(LEN(CU159)=11,_xlfn.XLOOKUP(CU159,'Dispensed Ink Rates'!C:C,'Dispensed Ink Rates'!CS:CS),VLOOKUP(CU159,'Jan-2026 rates'!$E:$F,2,0)))</f>
        <v>0</v>
      </c>
      <c r="DL159" s="409" t="s">
        <v>1881</v>
      </c>
      <c r="DM159" s="409">
        <f>11+13</f>
        <v>24</v>
      </c>
      <c r="DN159" s="411">
        <f t="shared" si="112"/>
        <v>0</v>
      </c>
      <c r="DO159" s="411">
        <f t="shared" si="113"/>
        <v>14.384615384615387</v>
      </c>
      <c r="DP159" s="410">
        <f t="shared" si="114"/>
        <v>0</v>
      </c>
      <c r="DQ159" s="405" t="s">
        <v>544</v>
      </c>
      <c r="DR159" s="409" t="s">
        <v>3517</v>
      </c>
      <c r="DS159" s="420" t="str">
        <f t="shared" si="56"/>
        <v>ToyoLi - MAGENTA</v>
      </c>
      <c r="DT159" s="409">
        <v>24</v>
      </c>
      <c r="DU159" s="411">
        <f>IF(DT159=0,0,IF($LB159=70%,VLOOKUP($DS159,'Jan-2026 rates'!$L:$R,4,0),IF($LB159=65%,VLOOKUP($DS159,'Jan-2026 rates'!$L:$R,4,0),IF($LB159=40%,VLOOKUP($DS159,'Jan-2026 rates'!$L:$R,5,0),IF($LB159=30%,VLOOKUP($DS159,'Jan-2026 rates'!$L:$R,6,0),IF($LB159=100%,VLOOKUP($DS159,'Jan-2026 rates'!$L:$R,7,0),IF($LB159=60%,VLOOKUP($DS159,'Jan-2026 rates'!$L:$S,8,0),IF($LB159=80%,VLOOKUP($DS159,'Jan-2026 rates'!L:T,9,0),0))))))))</f>
        <v>0</v>
      </c>
      <c r="DV159" s="412"/>
      <c r="DW159" s="409"/>
      <c r="DX159" s="411">
        <f>IF(DW159=0,0,IF($LB159=70%,VLOOKUP($DS159,'Jan-2026 rates'!$L:$R,4,0),IF($LB159=65%,VLOOKUP($DS159,'Jan-2026 rates'!$L:$R,4,0),IF($LB159=40%,VLOOKUP($DS159,'Jan-2026 rates'!$L:$R,5,0),IF($LB159=30%,VLOOKUP($DS159,'Jan-2026 rates'!$L:$R,6,0),IF($LB159=100%,VLOOKUP($DS159,'Jan-2026 rates'!$L:$R,7,0),IF($LB159=60%,VLOOKUP($DS159,'Jan-2026 rates'!$L:$S,8,0),IF($LB159=80%,VLOOKUP($DS159,'Jan-2026 rates'!L:T,9,0),0))))))))</f>
        <v>0</v>
      </c>
      <c r="DY159" s="413" t="s">
        <v>1246</v>
      </c>
      <c r="DZ159" s="413"/>
      <c r="EA159" s="412"/>
      <c r="EB159" s="412"/>
      <c r="EC159" s="412"/>
      <c r="ED159" s="412"/>
      <c r="EE159" s="412"/>
      <c r="EF159" s="412"/>
      <c r="EG159" s="409">
        <v>2</v>
      </c>
      <c r="EH159" s="398">
        <f>IF(EG159=0,0,IF(LEN(DY159)=11,_xlfn.XLOOKUP(DY159,'Dispensed Ink Rates'!C:C,'Dispensed Ink Rates'!CS:CS),VLOOKUP(DY159,'Jan-2026 rates'!$E:$F,2,0)))</f>
        <v>0</v>
      </c>
      <c r="EI159" s="409"/>
      <c r="EJ159" s="398">
        <f>IF(EI159=0,0,IF(LEN(DZ159)=11,_xlfn.XLOOKUP(DZ159,'Dispensed Ink Rates'!C:C,'Dispensed Ink Rates'!CS:CS),VLOOKUP(DZ159,'Jan-2026 rates'!$E:$F,2,0)))</f>
        <v>0</v>
      </c>
      <c r="EK159" s="409"/>
      <c r="EL159" s="398">
        <f>IF(EK159=0,0,IF(LEN(EA159)=11,_xlfn.XLOOKUP(EA159,'Dispensed Ink Rates'!C:C,'Dispensed Ink Rates'!CS:CS),VLOOKUP(EA159,'Jan-2026 rates'!$E:$F,2,0)))</f>
        <v>0</v>
      </c>
      <c r="EM159" s="409"/>
      <c r="EN159" s="398">
        <f>IF(EM159=0,0,IF(LEN(EB159)=11,_xlfn.XLOOKUP(EB159,'Dispensed Ink Rates'!C:C,'Dispensed Ink Rates'!CS:CS),VLOOKUP(EB159,'Jan-2026 rates'!$E:$F,2,0)))</f>
        <v>0</v>
      </c>
      <c r="EO159" s="409"/>
      <c r="EP159" s="398">
        <f>IF(EO159=0,0,IF(LEN(EC159)=11,_xlfn.XLOOKUP(EC159,'Dispensed Ink Rates'!C:C,'Dispensed Ink Rates'!CS:CS),VLOOKUP(EC159,'Jan-2026 rates'!$E:$F,2,0)))</f>
        <v>0</v>
      </c>
      <c r="EQ159" s="409"/>
      <c r="ER159" s="398">
        <f>IF(EQ159=0,0,IF(LEN(ED159)=11,_xlfn.XLOOKUP(ED159,'Dispensed Ink Rates'!C:C,'Dispensed Ink Rates'!CS:CS),VLOOKUP(ED159,'Jan-2026 rates'!$E:$F,2,0)))</f>
        <v>0</v>
      </c>
      <c r="ES159" s="409"/>
      <c r="ET159" s="398">
        <f>IF(ES159=0,0,IF(LEN(EE159)=11,_xlfn.XLOOKUP(EE159,'Dispensed Ink Rates'!C:C,'Dispensed Ink Rates'!CS:CS),VLOOKUP(EE159,'Jan-2026 rates'!$E:$F,2,0)))</f>
        <v>0</v>
      </c>
      <c r="EU159" s="409"/>
      <c r="EV159" s="398">
        <f>IF(EU159=0,0,IF(LEN(EF159)=11,_xlfn.XLOOKUP(EF159,'Dispensed Ink Rates'!C:C,'Dispensed Ink Rates'!CS:CS),VLOOKUP(EF159,'Jan-2026 rates'!$E:$F,2,0)))</f>
        <v>0</v>
      </c>
      <c r="EW159" s="409" t="s">
        <v>1881</v>
      </c>
      <c r="EX159" s="409">
        <f>15+17</f>
        <v>32</v>
      </c>
      <c r="EY159" s="411">
        <f t="shared" si="115"/>
        <v>0</v>
      </c>
      <c r="EZ159" s="411">
        <f t="shared" si="116"/>
        <v>0.3846153846153868</v>
      </c>
      <c r="FA159" s="410">
        <f t="shared" si="117"/>
        <v>0</v>
      </c>
      <c r="FB159" s="405" t="s">
        <v>545</v>
      </c>
      <c r="FC159" s="409" t="s">
        <v>3518</v>
      </c>
      <c r="FD159" s="420" t="str">
        <f t="shared" si="57"/>
        <v>ToyoLi - YELLOW</v>
      </c>
      <c r="FE159" s="409">
        <v>27</v>
      </c>
      <c r="FF159" s="411">
        <f>IF(FE159=0,0,IF($LB159=70%,VLOOKUP($FD159,'Jan-2026 rates'!$L:$R,4,0),IF($LB159=65%,VLOOKUP($FD159,'Jan-2026 rates'!$L:$R,4,0),IF($LB159=40%,VLOOKUP($FD159,'Jan-2026 rates'!$L:$R,5,0),IF($LB159=30%,VLOOKUP($FD159,'Jan-2026 rates'!$L:$R,6,0),IF($LB159=100%,VLOOKUP($FD159,'Jan-2026 rates'!$L:$R,7,0),IF($LB159=60%,VLOOKUP($FD159,'Jan-2026 rates'!$L:$S,8,0),IF($LB159=80%,VLOOKUP($FD159,'Jan-2026 rates'!L:T,9,0),0))))))))</f>
        <v>0</v>
      </c>
      <c r="FG159" s="412"/>
      <c r="FH159" s="409"/>
      <c r="FI159" s="411">
        <f>IF(FH159=0,0,IF($LB159=70%,VLOOKUP($FD159,'Jan-2026 rates'!$L:$R,4,0),IF($LB159=65%,VLOOKUP($FD159,'Jan-2026 rates'!$L:$R,4,0),IF($LB159=40%,VLOOKUP($FD159,'Jan-2026 rates'!$L:$R,5,0),IF($LB159=30%,VLOOKUP($FD159,'Jan-2026 rates'!$L:$R,6,0),IF($LB159=100%,VLOOKUP($FD159,'Jan-2026 rates'!$L:$R,7,0),IF($LB159=60%,VLOOKUP($FD159,'Jan-2026 rates'!$L:$S,8,0),IF($LB159=80%,VLOOKUP($FD159,'Jan-2026 rates'!L:T,9,0),0))))))))</f>
        <v>0</v>
      </c>
      <c r="FJ159" s="413" t="s">
        <v>1247</v>
      </c>
      <c r="FK159" s="413"/>
      <c r="FL159" s="413"/>
      <c r="FM159" s="412"/>
      <c r="FN159" s="412"/>
      <c r="FO159" s="412"/>
      <c r="FP159" s="412"/>
      <c r="FQ159" s="412"/>
      <c r="FR159" s="409">
        <v>6</v>
      </c>
      <c r="FS159" s="398">
        <f>IF(FR159=0,0,IF(LEN(FJ159)=11,_xlfn.XLOOKUP(FJ159,'Dispensed Ink Rates'!C:C,'Dispensed Ink Rates'!CS:CS),VLOOKUP(FJ159,'Jan-2026 rates'!$E:$F,2,0)))</f>
        <v>0</v>
      </c>
      <c r="FT159" s="409"/>
      <c r="FU159" s="398">
        <f>IF(FT159=0,0,IF(LEN(FK159)=11,_xlfn.XLOOKUP(FK159,'Dispensed Ink Rates'!C:C,'Dispensed Ink Rates'!CS:CS),VLOOKUP(FK159,'Jan-2026 rates'!$E:$F,2,0)))</f>
        <v>0</v>
      </c>
      <c r="FV159" s="409"/>
      <c r="FW159" s="398">
        <f>IF(FV159=0,0,IF(LEN(FL159)=11,_xlfn.XLOOKUP(FL159,'Dispensed Ink Rates'!C:C,'Dispensed Ink Rates'!CS:CS),VLOOKUP(FL159,'Jan-2026 rates'!$E:$F,2,0)))</f>
        <v>0</v>
      </c>
      <c r="FX159" s="409"/>
      <c r="FY159" s="398">
        <f>IF(FX159=0,0,IF(LEN(FM159)=11,_xlfn.XLOOKUP(FM159,'Dispensed Ink Rates'!C:C,'Dispensed Ink Rates'!CS:CS),VLOOKUP(FM159,'Jan-2026 rates'!$E:$F,2,0)))</f>
        <v>0</v>
      </c>
      <c r="FZ159" s="409"/>
      <c r="GA159" s="398">
        <f>IF(FZ159=0,0,IF(LEN(FN159)=11,_xlfn.XLOOKUP(FN159,'Dispensed Ink Rates'!C:C,'Dispensed Ink Rates'!CS:CS),VLOOKUP(FN159,'Jan-2026 rates'!$E:$F,2,0)))</f>
        <v>0</v>
      </c>
      <c r="GB159" s="409"/>
      <c r="GC159" s="398">
        <f>IF(GB159=0,0,IF(LEN(FO159)=11,_xlfn.XLOOKUP(FO159,'Dispensed Ink Rates'!C:C,'Dispensed Ink Rates'!CS:CS),VLOOKUP(FO159,'Jan-2026 rates'!$E:$F,2,0)))</f>
        <v>0</v>
      </c>
      <c r="GD159" s="409"/>
      <c r="GE159" s="398">
        <f>IF(GD159=0,0,IF(LEN(FP159)=11,_xlfn.XLOOKUP(FP159,'Dispensed Ink Rates'!C:C,'Dispensed Ink Rates'!CS:CS),VLOOKUP(FP159,'Jan-2026 rates'!$E:$F,2,0)))</f>
        <v>0</v>
      </c>
      <c r="GF159" s="409"/>
      <c r="GG159" s="398">
        <f>IF(GF159=0,0,IF(LEN(FQ159)=11,_xlfn.XLOOKUP(FQ159,'Dispensed Ink Rates'!C:C,'Dispensed Ink Rates'!CS:CS),VLOOKUP(FQ159,'Jan-2026 rates'!$E:$F,2,0)))</f>
        <v>0</v>
      </c>
      <c r="GH159" s="409" t="s">
        <v>1881</v>
      </c>
      <c r="GI159" s="409">
        <f>12+11</f>
        <v>23</v>
      </c>
      <c r="GJ159" s="411">
        <f t="shared" si="118"/>
        <v>0</v>
      </c>
      <c r="GK159" s="411">
        <f t="shared" si="119"/>
        <v>16.384615384615387</v>
      </c>
      <c r="GL159" s="410">
        <f t="shared" si="120"/>
        <v>0</v>
      </c>
      <c r="GM159" s="405" t="s">
        <v>545</v>
      </c>
      <c r="GN159" s="409"/>
      <c r="GO159" s="420" t="str">
        <f t="shared" si="58"/>
        <v>ToyoLi - YELLOW</v>
      </c>
      <c r="GP159" s="409"/>
      <c r="GQ159" s="411">
        <f>IF(GP159=0,0,IF($LB159=70%,VLOOKUP($GO159,'Jan-2026 rates'!$L:$R,4,0),IF($LB159=65%,VLOOKUP($GO159,'Jan-2026 rates'!$L:$R,4,0),IF($LB159=40%,VLOOKUP($GO159,'Jan-2026 rates'!$L:$R,5,0),IF($LB159=30%,VLOOKUP($GO159,'Jan-2026 rates'!$L:$R,6,0),IF($LB159=100%,VLOOKUP($GO159,'Jan-2026 rates'!$L:$R,7,0),IF($LB159=60%,VLOOKUP($GO159,'Jan-2026 rates'!$L:$S,8,0),IF($LB159=80%,VLOOKUP($GO159,'Jan-2026 rates'!L:T,9,0),0))))))))</f>
        <v>0</v>
      </c>
      <c r="GR159" s="412"/>
      <c r="GS159" s="409"/>
      <c r="GT159" s="411">
        <f>IF(GS159=0,0,IF($LB159=70%,VLOOKUP($GO159,'Jan-2026 rates'!$L:$R,4,0),IF($LB159=65%,VLOOKUP($GO159,'Jan-2026 rates'!$L:$R,4,0),IF($LB159=40%,VLOOKUP($GO159,'Jan-2026 rates'!$L:$R,5,0),IF($LB159=30%,VLOOKUP($GO159,'Jan-2026 rates'!$L:$R,6,0),IF($LB159=100%,VLOOKUP($GO159,'Jan-2026 rates'!$L:$R,7,0),IF($LB159=60%,VLOOKUP($GO159,'Jan-2026 rates'!$L:$S,8,0),IF($LB159=80%,VLOOKUP($GO159,'Jan-2026 rates'!L:T,9,0),0))))))))</f>
        <v>0</v>
      </c>
      <c r="GU159" s="413">
        <v>262</v>
      </c>
      <c r="GV159" s="413" t="s">
        <v>1921</v>
      </c>
      <c r="GW159" s="412" t="s">
        <v>1505</v>
      </c>
      <c r="GX159" s="412"/>
      <c r="GY159" s="412"/>
      <c r="GZ159" s="412"/>
      <c r="HA159" s="412"/>
      <c r="HB159" s="412"/>
      <c r="HC159" s="409">
        <v>10</v>
      </c>
      <c r="HD159" s="398">
        <f>IF(HC159=0,0,IF(LEN(GU159)=11,_xlfn.XLOOKUP(GU159,'Dispensed Ink Rates'!C:C,'Dispensed Ink Rates'!CS:CS),VLOOKUP(GU159,'Jan-2026 rates'!$E:$F,2,0)))</f>
        <v>0</v>
      </c>
      <c r="HE159" s="409">
        <v>20</v>
      </c>
      <c r="HF159" s="398">
        <f>IF(HE159=0,0,IF(LEN(GV159)=11,_xlfn.XLOOKUP(GV159,'Dispensed Ink Rates'!C:C,'Dispensed Ink Rates'!CS:CS),VLOOKUP(GV159,'Jan-2026 rates'!$E:$F,2,0)))</f>
        <v>0</v>
      </c>
      <c r="HG159" s="409">
        <v>0.2</v>
      </c>
      <c r="HH159" s="398">
        <f>IF(HG159=0,0,IF(LEN(GW159)=11,_xlfn.XLOOKUP(GW159,'Dispensed Ink Rates'!C:C,'Dispensed Ink Rates'!CS:CS),VLOOKUP(GW159,'Jan-2026 rates'!$E:$F,2,0)))</f>
        <v>0</v>
      </c>
      <c r="HI159" s="409"/>
      <c r="HJ159" s="398">
        <f>IF(HI159=0,0,IF(LEN(GX159)=11,_xlfn.XLOOKUP(GX159,'Dispensed Ink Rates'!C:C,'Dispensed Ink Rates'!CS:CS),VLOOKUP(GX159,'Jan-2026 rates'!$E:$F,2,0)))</f>
        <v>0</v>
      </c>
      <c r="HK159" s="409"/>
      <c r="HL159" s="398">
        <f>IF(HK159=0,0,IF(LEN(GY159)=11,_xlfn.XLOOKUP(GY159,'Dispensed Ink Rates'!C:C,'Dispensed Ink Rates'!CS:CS),VLOOKUP(GY159,'Jan-2026 rates'!$E:$F,2,0)))</f>
        <v>0</v>
      </c>
      <c r="HM159" s="409"/>
      <c r="HN159" s="398">
        <f>IF(HM159=0,0,IF(LEN(GZ159)=11,_xlfn.XLOOKUP(GZ159,'Dispensed Ink Rates'!C:C,'Dispensed Ink Rates'!CS:CS),VLOOKUP(GZ159,'Jan-2026 rates'!$E:$F,2,0)))</f>
        <v>0</v>
      </c>
      <c r="HO159" s="409"/>
      <c r="HP159" s="398">
        <f>IF(HO159=0,0,IF(LEN(HA159)=11,_xlfn.XLOOKUP(HA159,'Dispensed Ink Rates'!C:C,'Dispensed Ink Rates'!CS:CS),VLOOKUP(HA159,'Jan-2026 rates'!$E:$F,2,0)))</f>
        <v>0</v>
      </c>
      <c r="HQ159" s="409"/>
      <c r="HR159" s="398">
        <f>IF(HQ159=0,0,IF(LEN(HB159)=11,_xlfn.XLOOKUP(HB159,'Dispensed Ink Rates'!C:C,'Dispensed Ink Rates'!CS:CS),VLOOKUP(HB159,'Jan-2026 rates'!$E:$F,2,0)))</f>
        <v>0</v>
      </c>
      <c r="HS159" s="409" t="s">
        <v>1881</v>
      </c>
      <c r="HT159" s="409">
        <f>11+13</f>
        <v>24</v>
      </c>
      <c r="HU159" s="411">
        <f t="shared" si="121"/>
        <v>0</v>
      </c>
      <c r="HV159" s="411">
        <f t="shared" si="122"/>
        <v>18.969230769230769</v>
      </c>
      <c r="HW159" s="414">
        <f t="shared" si="123"/>
        <v>0</v>
      </c>
      <c r="HX159" s="405" t="s">
        <v>856</v>
      </c>
      <c r="HY159" s="409" t="s">
        <v>3519</v>
      </c>
      <c r="HZ159" s="420" t="str">
        <f t="shared" si="59"/>
        <v>ToyoLi - WHITE</v>
      </c>
      <c r="IA159" s="409">
        <v>24</v>
      </c>
      <c r="IB159" s="411">
        <f>IF(IA159=0,0,IF($LB159=70%,VLOOKUP($HZ159,'Jan-2026 rates'!$L:$R,4,0),IF($LB159=65%,VLOOKUP($HZ159,'Jan-2026 rates'!$L:$R,4,0),IF($LB159=40%,VLOOKUP($HZ159,'Jan-2026 rates'!$L:$R,5,0),IF($LB159=30%,VLOOKUP($HZ159,'Jan-2026 rates'!$L:$R,6,0),IF($LB159=100%,VLOOKUP($HZ159,'Jan-2026 rates'!$L:$R,7,0),IF($LB159=60%,VLOOKUP($HZ159,'Jan-2026 rates'!$L:$S,8,0),IF($LB159=80%,VLOOKUP($HZ159,'Jan-2026 rates'!L:T,9,0),0))))))))</f>
        <v>0</v>
      </c>
      <c r="IC159" s="412"/>
      <c r="ID159" s="409"/>
      <c r="IE159" s="411">
        <f>IF(ID159=0,0,IF($LB159=70%,VLOOKUP($HZ159,'Jan-2026 rates'!$L:$R,4,0),IF($LB159=65%,VLOOKUP($HZ159,'Jan-2026 rates'!$L:$R,4,0),IF($LB159=40%,VLOOKUP($HZ159,'Jan-2026 rates'!$L:$R,5,0),IF($LB159=30%,VLOOKUP($HZ159,'Jan-2026 rates'!$L:$R,6,0),IF($LB159=100%,VLOOKUP($HZ159,'Jan-2026 rates'!$L:$R,7,0),IF($LB159=60%,VLOOKUP($HZ159,'Jan-2026 rates'!$L:$S,8,0),IF($LB159=80%,VLOOKUP($HZ159,'Jan-2026 rates'!L:T,9,0),0))))))))</f>
        <v>0</v>
      </c>
      <c r="IF159" s="412" t="s">
        <v>1249</v>
      </c>
      <c r="IG159" s="413"/>
      <c r="IH159" s="412"/>
      <c r="II159" s="412"/>
      <c r="IJ159" s="412"/>
      <c r="IK159" s="412"/>
      <c r="IL159" s="412"/>
      <c r="IM159" s="412"/>
      <c r="IN159" s="409">
        <f>25+25</f>
        <v>50</v>
      </c>
      <c r="IO159" s="398">
        <f>IF(IN159=0,0,IF(LEN(IF159)=11,_xlfn.XLOOKUP(IF159,'Dispensed Ink Rates'!C:C,'Dispensed Ink Rates'!CS:CS),VLOOKUP(IF159,'Jan-2026 rates'!$E:$F,2,0)))</f>
        <v>0</v>
      </c>
      <c r="IP159" s="409"/>
      <c r="IQ159" s="398">
        <f>IF(IP159=0,0,IF(LEN(IG159)=11,_xlfn.XLOOKUP(IG159,'Dispensed Ink Rates'!C:C,'Dispensed Ink Rates'!CS:CS),VLOOKUP(IG159,'Jan-2026 rates'!$E:$F,2,0)))</f>
        <v>0</v>
      </c>
      <c r="IR159" s="409"/>
      <c r="IS159" s="398">
        <f>IF(IR159=0,0,IF(LEN(IH159)=11,_xlfn.XLOOKUP(IH159,'Dispensed Ink Rates'!C:C,'Dispensed Ink Rates'!CS:CS),VLOOKUP(IH159,'Jan-2026 rates'!$E:$F,2,0)))</f>
        <v>0</v>
      </c>
      <c r="IT159" s="409"/>
      <c r="IU159" s="398">
        <f>IF(IT159=0,0,IF(LEN(II159)=11,_xlfn.XLOOKUP(II159,'Dispensed Ink Rates'!C:C,'Dispensed Ink Rates'!CS:CS),VLOOKUP(II159,'Jan-2026 rates'!$E:$F,2,0)))</f>
        <v>0</v>
      </c>
      <c r="IV159" s="409"/>
      <c r="IW159" s="398">
        <f>IF(IV159=0,0,IF(LEN(IJ159)=11,_xlfn.XLOOKUP(IJ159,'Dispensed Ink Rates'!C:C,'Dispensed Ink Rates'!CS:CS),VLOOKUP(IJ159,'Jan-2026 rates'!$E:$F,2,0)))</f>
        <v>0</v>
      </c>
      <c r="IX159" s="409"/>
      <c r="IY159" s="398">
        <f>IF(IX159=0,0,IF(LEN(IK159)=11,_xlfn.XLOOKUP(IK159,'Dispensed Ink Rates'!C:C,'Dispensed Ink Rates'!CS:CS),VLOOKUP(IK159,'Jan-2026 rates'!$E:$F,2,0)))</f>
        <v>0</v>
      </c>
      <c r="IZ159" s="409"/>
      <c r="JA159" s="398">
        <f>IF(IZ159=0,0,IF(LEN(IL159)=11,_xlfn.XLOOKUP(IL159,'Dispensed Ink Rates'!C:C,'Dispensed Ink Rates'!CS:CS),VLOOKUP(IL159,'Jan-2026 rates'!$E:$F,2,0)))</f>
        <v>0</v>
      </c>
      <c r="JB159" s="409"/>
      <c r="JC159" s="398">
        <f>IF(JB159=0,0,IF(LEN(IM159)=11,_xlfn.XLOOKUP(IM159,'Dispensed Ink Rates'!C:C,'Dispensed Ink Rates'!CS:CS),VLOOKUP(IM159,'Jan-2026 rates'!$E:$F,2,0)))</f>
        <v>0</v>
      </c>
      <c r="JD159" s="409" t="s">
        <v>1881</v>
      </c>
      <c r="JE159" s="409">
        <v>23</v>
      </c>
      <c r="JF159" s="411">
        <f t="shared" si="124"/>
        <v>0</v>
      </c>
      <c r="JG159" s="411">
        <f t="shared" si="125"/>
        <v>82.92307692307692</v>
      </c>
      <c r="JH159" s="410">
        <f t="shared" si="126"/>
        <v>0</v>
      </c>
      <c r="JI159" s="405"/>
      <c r="JJ159" s="409"/>
      <c r="JK159" s="420" t="str">
        <f t="shared" si="60"/>
        <v xml:space="preserve"> - </v>
      </c>
      <c r="JL159" s="409"/>
      <c r="JM159" s="411">
        <f>IF(JL159=0,0,IF($LB159=70%,VLOOKUP($JK159,'Jan-2026 rates'!$L:$R,4,0),IF($LB159=65%,VLOOKUP($JK159,'Jan-2026 rates'!$L:$R,4,0),IF($LB159=40%,VLOOKUP($JK159,'Jan-2026 rates'!$L:$R,5,0),IF($LB159=30%,VLOOKUP($JK159,'Jan-2026 rates'!$L:$R,6,0),IF($LB159=100%,VLOOKUP($JK159,'Jan-2026 rates'!$L:$R,7,0),IF($LB159=60%,VLOOKUP($JK159,'Jan-2026 rates'!$L:$S,8,0),IF($LB159=80%,VLOOKUP($JK159,'Jan-2026 rates'!L:T,9,0),0))))))))</f>
        <v>0</v>
      </c>
      <c r="JN159" s="412"/>
      <c r="JO159" s="409"/>
      <c r="JP159" s="411">
        <f>IF(JO159=0,0,IF($LB159=70%,VLOOKUP($JK159,'Jan-2026 rates'!$L:$R,4,0),IF($LB159=65%,VLOOKUP($JK159,'Jan-2026 rates'!$L:$R,4,0),IF($LB159=40%,VLOOKUP($JK159,'Jan-2026 rates'!$L:$R,5,0),IF($LB159=30%,VLOOKUP($JK159,'Jan-2026 rates'!$L:$R,6,0),IF($LB159=100%,VLOOKUP($JK159,'Jan-2026 rates'!$L:$R,7,0),IF($LB159=60%,VLOOKUP($JK159,'Jan-2026 rates'!$L:$S,8,0),IF($LB159=80%,VLOOKUP($JK159,'Jan-2026 rates'!L:T,9,0),0))))))))</f>
        <v>0</v>
      </c>
      <c r="JQ159" s="413"/>
      <c r="JR159" s="412"/>
      <c r="JS159" s="413"/>
      <c r="JT159" s="413"/>
      <c r="JU159" s="412"/>
      <c r="JV159" s="412"/>
      <c r="JW159" s="412"/>
      <c r="JX159" s="412"/>
      <c r="JY159" s="409"/>
      <c r="JZ159" s="398">
        <f>IF(JY159=0,0,IF(LEN(JQ159)=11,_xlfn.XLOOKUP(JQ159,'Dispensed Ink Rates'!C:C,'Dispensed Ink Rates'!CS:CS),VLOOKUP(JQ159,'Jan-2026 rates'!$E:$F,2,0)))</f>
        <v>0</v>
      </c>
      <c r="KA159" s="409"/>
      <c r="KB159" s="398">
        <f>IF(KA159=0,0,IF(LEN(JR159)=11,_xlfn.XLOOKUP(JR159,'Dispensed Ink Rates'!C:C,'Dispensed Ink Rates'!CS:CS),VLOOKUP(JR159,'Jan-2026 rates'!$E:$F,2,0)))</f>
        <v>0</v>
      </c>
      <c r="KC159" s="409"/>
      <c r="KD159" s="398">
        <f>IF(KC159=0,0,IF(LEN(JS159)=11,_xlfn.XLOOKUP(JS159,'Dispensed Ink Rates'!C:C,'Dispensed Ink Rates'!CS:CS),VLOOKUP(JS159,'Jan-2026 rates'!$E:$F,2,0)))</f>
        <v>0</v>
      </c>
      <c r="KE159" s="409"/>
      <c r="KF159" s="398">
        <f>IF(KE159=0,0,IF(LEN(JT159)=11,_xlfn.XLOOKUP(JT159,'Dispensed Ink Rates'!C:C,'Dispensed Ink Rates'!CS:CS),VLOOKUP(JT159,'Jan-2026 rates'!$E:$F,2,0)))</f>
        <v>0</v>
      </c>
      <c r="KG159" s="409"/>
      <c r="KH159" s="398">
        <f>IF(KG159=0,0,IF(LEN(JU159)=11,_xlfn.XLOOKUP(JU159,'Dispensed Ink Rates'!C:C,'Dispensed Ink Rates'!CS:CS),VLOOKUP(JU159,'Jan-2026 rates'!$E:$F,2,0)))</f>
        <v>0</v>
      </c>
      <c r="KI159" s="409"/>
      <c r="KJ159" s="398">
        <f>IF(KI159=0,0,IF(LEN(JV159)=11,_xlfn.XLOOKUP(JV159,'Dispensed Ink Rates'!C:C,'Dispensed Ink Rates'!CS:CS),VLOOKUP(JV159,'Jan-2026 rates'!$E:$F,2,0)))</f>
        <v>0</v>
      </c>
      <c r="KK159" s="409"/>
      <c r="KL159" s="398">
        <f>IF(KK159=0,0,IF(LEN(JW159)=11,_xlfn.XLOOKUP(JW159,'Dispensed Ink Rates'!C:C,'Dispensed Ink Rates'!CS:CS),VLOOKUP(JW159,'Jan-2026 rates'!$E:$F,2,0)))</f>
        <v>0</v>
      </c>
      <c r="KM159" s="428"/>
      <c r="KN159" s="398">
        <f>IF(KM159=0,0,IF(LEN(JX159)=11,_xlfn.XLOOKUP(JX159,'Dispensed Ink Rates'!C:C,'Dispensed Ink Rates'!CS:CS),VLOOKUP(JX159,'Jan-2026 rates'!$E:$F,2,0)))</f>
        <v>0</v>
      </c>
      <c r="KO159" s="409"/>
      <c r="KP159" s="409"/>
      <c r="KQ159" s="411">
        <f t="shared" si="127"/>
        <v>0</v>
      </c>
      <c r="KR159" s="411">
        <f t="shared" si="128"/>
        <v>0</v>
      </c>
      <c r="KS159" s="410">
        <f t="shared" si="129"/>
        <v>0</v>
      </c>
      <c r="KT159" s="409">
        <v>5</v>
      </c>
      <c r="KU159" s="409">
        <f>5+5</f>
        <v>10</v>
      </c>
      <c r="KV159" s="409">
        <v>5</v>
      </c>
      <c r="KW159" s="409">
        <v>5</v>
      </c>
      <c r="KX159" s="409">
        <v>5</v>
      </c>
      <c r="KY159" s="409">
        <v>10</v>
      </c>
      <c r="KZ159" s="409">
        <f>10+15</f>
        <v>25</v>
      </c>
      <c r="LA159" s="409">
        <v>0</v>
      </c>
      <c r="LB159" s="415">
        <v>0.3</v>
      </c>
      <c r="LC159" s="415"/>
      <c r="LD159" s="415"/>
      <c r="LE159" s="415">
        <v>0.5</v>
      </c>
      <c r="LF159" s="415">
        <v>0.2</v>
      </c>
      <c r="LG159" s="409">
        <v>0</v>
      </c>
      <c r="LH159" s="409">
        <f>25+18+12+20+8</f>
        <v>83</v>
      </c>
      <c r="LI159" s="409">
        <v>0</v>
      </c>
      <c r="LJ159" s="409">
        <v>0</v>
      </c>
      <c r="LK159" s="416">
        <f t="shared" si="61"/>
        <v>83</v>
      </c>
      <c r="LL159" s="416">
        <f t="shared" si="62"/>
        <v>83</v>
      </c>
      <c r="LM159" s="417">
        <f t="shared" si="63"/>
        <v>24.9</v>
      </c>
      <c r="LN159" s="417">
        <f>VLOOKUP($LM$8,'Jan-2026 rates'!$H:$I,2,0)</f>
        <v>0</v>
      </c>
      <c r="LO159" s="417">
        <f t="shared" si="64"/>
        <v>0</v>
      </c>
      <c r="LP159" s="417">
        <f>VLOOKUP($LO$8,'Jan-2026 rates'!$H:$I,2,0)</f>
        <v>0</v>
      </c>
      <c r="LQ159" s="417">
        <f t="shared" si="65"/>
        <v>0</v>
      </c>
      <c r="LR159" s="417">
        <f>VLOOKUP($LQ$8,'Jan-2026 rates'!$H:$I,2,0)</f>
        <v>0</v>
      </c>
      <c r="LS159" s="417">
        <f t="shared" si="66"/>
        <v>41.5</v>
      </c>
      <c r="LT159" s="417">
        <f>VLOOKUP($LS$8,'Jan-2026 rates'!$H:$I,2,0)</f>
        <v>0</v>
      </c>
      <c r="LU159" s="417">
        <f t="shared" si="67"/>
        <v>16.600000000000001</v>
      </c>
      <c r="LV159" s="417">
        <f>VLOOKUP($LU$8,'Jan-2026 rates'!$H:$I,2,0)</f>
        <v>0</v>
      </c>
      <c r="LW159" s="417">
        <f t="shared" si="68"/>
        <v>0</v>
      </c>
      <c r="LX159" s="417">
        <f t="shared" si="69"/>
        <v>0</v>
      </c>
      <c r="LY159" s="418">
        <f t="shared" si="70"/>
        <v>0</v>
      </c>
      <c r="LZ159" s="417"/>
      <c r="MA159" s="435">
        <f t="shared" si="71"/>
        <v>115.2</v>
      </c>
      <c r="MB159" s="282">
        <f t="shared" si="72"/>
        <v>161.19999999999999</v>
      </c>
      <c r="MC159" s="283" t="s">
        <v>1994</v>
      </c>
      <c r="MD159" s="284" t="str">
        <f t="shared" si="73"/>
        <v>ToyoLiToyoLiToyoLiToyoLiToyoLiToyoLiToyoLi</v>
      </c>
      <c r="ME159" s="293" t="str">
        <f t="shared" si="74"/>
        <v>+</v>
      </c>
      <c r="MF159" s="293" t="str">
        <f t="shared" si="75"/>
        <v>+</v>
      </c>
      <c r="MG159" s="293" t="str">
        <f t="shared" si="76"/>
        <v>+</v>
      </c>
      <c r="MH159" s="293" t="str">
        <f t="shared" si="77"/>
        <v>+</v>
      </c>
      <c r="MI159" s="293" t="str">
        <f t="shared" si="78"/>
        <v>+</v>
      </c>
      <c r="MJ159" s="293" t="str">
        <f t="shared" si="79"/>
        <v>+</v>
      </c>
      <c r="MK159" s="293" t="str">
        <f t="shared" si="80"/>
        <v>+</v>
      </c>
      <c r="ML159" s="293" t="str">
        <f t="shared" si="81"/>
        <v>NIL</v>
      </c>
      <c r="MM159" s="3" t="b">
        <f t="array" ref="MM159">OR(ME159:ML159="-")</f>
        <v>0</v>
      </c>
      <c r="MN159" s="285"/>
      <c r="MO159" s="401"/>
      <c r="MP159" s="286"/>
      <c r="MQ159" s="286"/>
      <c r="MR159" s="402"/>
      <c r="MS159" s="400"/>
      <c r="NH159" s="422"/>
      <c r="NJ159" s="421"/>
    </row>
    <row r="160" spans="1:374" s="1" customFormat="1" ht="16.5">
      <c r="A160" s="403">
        <v>46034</v>
      </c>
      <c r="B160" s="404" t="s">
        <v>1015</v>
      </c>
      <c r="C160" s="405" t="s">
        <v>3520</v>
      </c>
      <c r="D160" s="406" t="s">
        <v>1995</v>
      </c>
      <c r="E160" s="404">
        <v>75</v>
      </c>
      <c r="F160" s="407">
        <v>6000</v>
      </c>
      <c r="G160" s="407" t="s">
        <v>1016</v>
      </c>
      <c r="H160" s="408" t="s">
        <v>1017</v>
      </c>
      <c r="I160" s="409">
        <v>1.8</v>
      </c>
      <c r="J160" s="405" t="s">
        <v>543</v>
      </c>
      <c r="K160" s="404" t="s">
        <v>3521</v>
      </c>
      <c r="L160" s="419" t="str">
        <f t="shared" si="54"/>
        <v>ToyoLi - BLACK</v>
      </c>
      <c r="M160" s="404">
        <v>10</v>
      </c>
      <c r="N160" s="410">
        <f>IF(M160=0,0,IF($LB160=70%,VLOOKUP($L160,'Jan-2026 rates'!$L:$R,4,0),IF($LB160=65%,VLOOKUP($L160,'Jan-2026 rates'!$L:$R,4,0),IF($LB160=40%,VLOOKUP($L160,'Jan-2026 rates'!$L:$R,5,0),IF($LB160=30%,VLOOKUP($L160,'Jan-2026 rates'!$L:$R,6,0),IF($LB160=100%,VLOOKUP($L160,'Jan-2026 rates'!$L:$R,7,0),IF($LB160=60%,VLOOKUP($L160,'Jan-2026 rates'!$L:$S,8,0),IF($LB160=80%,VLOOKUP($L160,'Jan-2026 rates'!L:T,9,0),0))))))))</f>
        <v>0</v>
      </c>
      <c r="O160" s="406" t="s">
        <v>3522</v>
      </c>
      <c r="P160" s="404">
        <f>17+8</f>
        <v>25</v>
      </c>
      <c r="Q160" s="410">
        <f>IF(P160=0,0,IF($LB160=70%,VLOOKUP($L160,'Jan-2026 rates'!$L:$R,4,0),IF($LB160=65%,VLOOKUP($L160,'Jan-2026 rates'!$L:$R,4,0),IF($LB160=40%,VLOOKUP($L160,'Jan-2026 rates'!$L:$R,5,0),IF($LB160=30%,VLOOKUP($L160,'Jan-2026 rates'!$L:$R,6,0),IF($LB160=100%,VLOOKUP($L160,'Jan-2026 rates'!$L:$R,7,0),IF($LB160=60%,VLOOKUP($L160,'Jan-2026 rates'!$L:$S,8,0),IF($LB160=80%,VLOOKUP($L160,'Jan-2026 rates'!L:T,9,0),0))))))))</f>
        <v>0</v>
      </c>
      <c r="R160" s="406" t="s">
        <v>1252</v>
      </c>
      <c r="S160" s="406"/>
      <c r="T160" s="406"/>
      <c r="U160" s="406"/>
      <c r="V160" s="406"/>
      <c r="W160" s="406"/>
      <c r="X160" s="406"/>
      <c r="Y160" s="406"/>
      <c r="Z160" s="404">
        <v>2</v>
      </c>
      <c r="AA160" s="398">
        <f>IF(Z160=0,0,IF(LEN(R160)=11,_xlfn.XLOOKUP(R160,'Dispensed Ink Rates'!C:C,'Dispensed Ink Rates'!CS:CS),VLOOKUP(R160,'Jan-2026 rates'!$E:$F,2,0)))</f>
        <v>0</v>
      </c>
      <c r="AB160" s="404"/>
      <c r="AC160" s="398">
        <f>IF(AB160=0,0,IF(LEN(S160)=11,_xlfn.XLOOKUP(S160,'Dispensed Ink Rates'!C:C,'Dispensed Ink Rates'!CS:CS),VLOOKUP(S160,'Jan-2026 rates'!$E:$F,2,0)))</f>
        <v>0</v>
      </c>
      <c r="AD160" s="404"/>
      <c r="AE160" s="398">
        <f>IF(AD160=0,0,IF(LEN(T160)=11,_xlfn.XLOOKUP(T160,'Dispensed Ink Rates'!C:C,'Dispensed Ink Rates'!CS:CS),VLOOKUP(T160,'Jan-2026 rates'!$E:$F,2,0)))</f>
        <v>0</v>
      </c>
      <c r="AF160" s="404"/>
      <c r="AG160" s="398">
        <f>IF(AF160=0,0,IF(LEN(U160)=11,_xlfn.XLOOKUP(U160,'Dispensed Ink Rates'!C:C,'Dispensed Ink Rates'!CS:CS),VLOOKUP(U160,'Jan-2026 rates'!$E:$F,2,0)))</f>
        <v>0</v>
      </c>
      <c r="AH160" s="404"/>
      <c r="AI160" s="398">
        <f>IF(AH160=0,0,IF(LEN(V160)=11,_xlfn.XLOOKUP(V160,'Dispensed Ink Rates'!C:C,'Dispensed Ink Rates'!CS:CS),VLOOKUP(V160,'Jan-2026 rates'!$E:$F,2,0)))</f>
        <v>0</v>
      </c>
      <c r="AJ160" s="404"/>
      <c r="AK160" s="398">
        <f>IF(AJ160=0,0,IF(LEN(W160)=11,_xlfn.XLOOKUP(W160,'Dispensed Ink Rates'!C:C,'Dispensed Ink Rates'!CS:CS),VLOOKUP(W160,'Jan-2026 rates'!$E:$F,2,0)))</f>
        <v>0</v>
      </c>
      <c r="AL160" s="404"/>
      <c r="AM160" s="398">
        <f>IF(AL160=0,0,IF(LEN(X160)=11,_xlfn.XLOOKUP(X160,'Dispensed Ink Rates'!C:C,'Dispensed Ink Rates'!CS:CS),VLOOKUP(X160,'Jan-2026 rates'!$E:$F,2,0)))</f>
        <v>0</v>
      </c>
      <c r="AN160" s="404"/>
      <c r="AO160" s="398">
        <f>IF(AN160=0,0,IF(LEN(Y160)=11,_xlfn.XLOOKUP(Y160,'Dispensed Ink Rates'!C:C,'Dispensed Ink Rates'!CS:CS),VLOOKUP(Y160,'Jan-2026 rates'!$E:$F,2,0)))</f>
        <v>0</v>
      </c>
      <c r="AP160" s="409" t="s">
        <v>1881</v>
      </c>
      <c r="AQ160" s="409">
        <v>28</v>
      </c>
      <c r="AR160" s="410">
        <f t="shared" si="106"/>
        <v>0</v>
      </c>
      <c r="AS160" s="411">
        <f t="shared" si="107"/>
        <v>12.061224489795919</v>
      </c>
      <c r="AT160" s="410">
        <f t="shared" si="108"/>
        <v>0</v>
      </c>
      <c r="AU160" s="405" t="s">
        <v>543</v>
      </c>
      <c r="AV160" s="409" t="s">
        <v>3523</v>
      </c>
      <c r="AW160" s="420" t="str">
        <f t="shared" si="130"/>
        <v>ToyoLi - BLACK</v>
      </c>
      <c r="AX160" s="409">
        <v>18</v>
      </c>
      <c r="AY160" s="411">
        <f>IF(AX160=0,0,IF($LB160=70%,VLOOKUP($AW160,'Jan-2026 rates'!$L:$R,4,0),IF($LB160=65%,VLOOKUP($AW160,'Jan-2026 rates'!$L:$R,4,0),IF($LB160=40%,VLOOKUP($AW160,'Jan-2026 rates'!$L:$R,5,0),IF($LB160=30%,VLOOKUP($AW160,'Jan-2026 rates'!$L:$R,6,0),IF($LB160=100%,VLOOKUP($AW160,'Jan-2026 rates'!$L:$R,7,0),IF($LB160=60%,VLOOKUP($AW160,'Jan-2026 rates'!$L:$S,8,0),IF($LB160=80%,VLOOKUP($AW160,'Jan-2026 rates'!L:T,9,0),0))))))))</f>
        <v>0</v>
      </c>
      <c r="AZ160" s="412"/>
      <c r="BA160" s="409"/>
      <c r="BB160" s="411">
        <f>IF(BA160=0,0,IF($LB160=70%,VLOOKUP($AW160,'Jan-2026 rates'!$L:$R,4,0),IF($LB160=65%,VLOOKUP($AW160,'Jan-2026 rates'!$L:$R,4,0),IF($LB160=40%,VLOOKUP($AW160,'Jan-2026 rates'!$L:$R,5,0),IF($LB160=30%,VLOOKUP($AW160,'Jan-2026 rates'!$L:$R,6,0),IF($LB160=100%,VLOOKUP($AW160,'Jan-2026 rates'!$L:$R,7,0),IF($LB160=60%,VLOOKUP($AW160,'Jan-2026 rates'!$L:$S,8,0),IF($LB160=80%,VLOOKUP($AW160,'Jan-2026 rates'!L:T,9,0),0))))))))</f>
        <v>0</v>
      </c>
      <c r="BC160" s="413" t="s">
        <v>1252</v>
      </c>
      <c r="BD160" s="412" t="s">
        <v>1247</v>
      </c>
      <c r="BE160" s="412" t="s">
        <v>1250</v>
      </c>
      <c r="BF160" s="413"/>
      <c r="BG160" s="412"/>
      <c r="BH160" s="412"/>
      <c r="BI160" s="412"/>
      <c r="BJ160" s="412"/>
      <c r="BK160" s="409">
        <v>5</v>
      </c>
      <c r="BL160" s="398">
        <f>IF(BK160=0,0,IF(LEN(BC160)=11,_xlfn.XLOOKUP(BC160,'Dispensed Ink Rates'!C:C,'Dispensed Ink Rates'!CS:CS),VLOOKUP(BC160,'Jan-2026 rates'!$E:$F,2,0)))</f>
        <v>0</v>
      </c>
      <c r="BM160" s="409">
        <v>3</v>
      </c>
      <c r="BN160" s="398">
        <f>IF(BM160=0,0,IF(LEN(BD160)=11,_xlfn.XLOOKUP(BD160,'Dispensed Ink Rates'!C:C,'Dispensed Ink Rates'!CS:CS),VLOOKUP(BD160,'Jan-2026 rates'!$E:$F,2,0)))</f>
        <v>0</v>
      </c>
      <c r="BO160" s="409">
        <v>1</v>
      </c>
      <c r="BP160" s="398">
        <f>IF(BO160=0,0,IF(LEN(BE160)=11,_xlfn.XLOOKUP(BE160,'Dispensed Ink Rates'!C:C,'Dispensed Ink Rates'!CS:CS),VLOOKUP(BE160,'Jan-2026 rates'!$E:$F,2,0)))</f>
        <v>0</v>
      </c>
      <c r="BQ160" s="409"/>
      <c r="BR160" s="398">
        <f>IF(BQ160=0,0,IF(LEN(BF160)=11,_xlfn.XLOOKUP(BF160,'Dispensed Ink Rates'!C:C,'Dispensed Ink Rates'!CS:CS),VLOOKUP(BF160,'Jan-2026 rates'!$E:$F,2,0)))</f>
        <v>0</v>
      </c>
      <c r="BS160" s="409"/>
      <c r="BT160" s="398">
        <f>IF(BS160=0,0,IF(LEN(BG160)=11,_xlfn.XLOOKUP(BG160,'Dispensed Ink Rates'!C:C,'Dispensed Ink Rates'!CS:CS),VLOOKUP(BG160,'Jan-2026 rates'!$E:$F,2,0)))</f>
        <v>0</v>
      </c>
      <c r="BU160" s="409"/>
      <c r="BV160" s="398">
        <f>IF(BU160=0,0,IF(LEN(BH160)=11,_xlfn.XLOOKUP(BH160,'Dispensed Ink Rates'!C:C,'Dispensed Ink Rates'!CS:CS),VLOOKUP(BH160,'Jan-2026 rates'!$E:$F,2,0)))</f>
        <v>0</v>
      </c>
      <c r="BW160" s="409"/>
      <c r="BX160" s="398">
        <f>IF(BW160=0,0,IF(LEN(BI160)=11,_xlfn.XLOOKUP(BI160,'Dispensed Ink Rates'!C:C,'Dispensed Ink Rates'!CS:CS),VLOOKUP(BI160,'Jan-2026 rates'!$E:$F,2,0)))</f>
        <v>0</v>
      </c>
      <c r="BY160" s="409"/>
      <c r="BZ160" s="398">
        <f>IF(BY160=0,0,IF(LEN(BJ160)=11,_xlfn.XLOOKUP(BJ160,'Dispensed Ink Rates'!C:C,'Dispensed Ink Rates'!CS:CS),VLOOKUP(BJ160,'Jan-2026 rates'!$E:$F,2,0)))</f>
        <v>0</v>
      </c>
      <c r="CA160" s="409" t="s">
        <v>1881</v>
      </c>
      <c r="CB160" s="409">
        <f>18+10</f>
        <v>28</v>
      </c>
      <c r="CC160" s="411">
        <f t="shared" si="109"/>
        <v>0</v>
      </c>
      <c r="CD160" s="411">
        <f t="shared" si="110"/>
        <v>2.0612244897959187</v>
      </c>
      <c r="CE160" s="410">
        <f t="shared" si="111"/>
        <v>0</v>
      </c>
      <c r="CF160" s="404" t="s">
        <v>829</v>
      </c>
      <c r="CG160" s="409" t="s">
        <v>2318</v>
      </c>
      <c r="CH160" s="420" t="str">
        <f t="shared" si="55"/>
        <v>ToyoLi - MEDIUM</v>
      </c>
      <c r="CI160" s="409">
        <v>16</v>
      </c>
      <c r="CJ160" s="411">
        <f>IF(CI160=0,0,IF($LB160=70%,VLOOKUP($CH160,'Jan-2026 rates'!$L:$R,4,0),IF($LB160=65%,VLOOKUP($CH160,'Jan-2026 rates'!$L:$R,4,0),IF($LB160=40%,VLOOKUP($CH160,'Jan-2026 rates'!$L:$R,5,0),IF($LB160=30%,VLOOKUP($CH160,'Jan-2026 rates'!$L:$R,6,0),IF($LB160=100%,VLOOKUP($CH160,'Jan-2026 rates'!$L:$R,7,0),IF($LB160=60%,VLOOKUP($CH160,'Jan-2026 rates'!$L:$S,8,0),IF($LB160=80%,VLOOKUP($CH160,'Jan-2026 rates'!L:T,9,0),0))))))))</f>
        <v>0</v>
      </c>
      <c r="CK160" s="412"/>
      <c r="CL160" s="409"/>
      <c r="CM160" s="411">
        <f>IF(CL160=0,0,IF($LB160=70%,VLOOKUP($CH160,'Jan-2026 rates'!$L:$R,4,0),IF($LB160=65%,VLOOKUP($CH160,'Jan-2026 rates'!$L:$R,4,0),IF($LB160=40%,VLOOKUP($CH160,'Jan-2026 rates'!$L:$R,5,0),IF($LB160=30%,VLOOKUP($CH160,'Jan-2026 rates'!$L:$R,6,0),IF($LB160=100%,VLOOKUP($CH160,'Jan-2026 rates'!$L:$R,7,0),IF($LB160=60%,VLOOKUP($CH160,'Jan-2026 rates'!$L:$S,8,0),IF($LB160=80%,VLOOKUP($CH160,'Jan-2026 rates'!L:T,9,0),0))))))))</f>
        <v>0</v>
      </c>
      <c r="CN160" s="426" t="s">
        <v>1247</v>
      </c>
      <c r="CO160" s="427" t="s">
        <v>1248</v>
      </c>
      <c r="CP160" s="426" t="s">
        <v>1246</v>
      </c>
      <c r="CQ160" s="426"/>
      <c r="CR160" s="428"/>
      <c r="CS160" s="428"/>
      <c r="CT160" s="428"/>
      <c r="CU160" s="428"/>
      <c r="CV160" s="409">
        <v>5</v>
      </c>
      <c r="CW160" s="398">
        <f>IF(CV160=0,0,IF(LEN(CN160)=11,_xlfn.XLOOKUP(CN160,'Dispensed Ink Rates'!C:C,'Dispensed Ink Rates'!CS:CS),VLOOKUP(CN160,'Jan-2026 rates'!$E:$F,2,0)))</f>
        <v>0</v>
      </c>
      <c r="CX160" s="409">
        <v>2</v>
      </c>
      <c r="CY160" s="398">
        <f>IF(CX160=0,0,IF(LEN(CO160)=11,_xlfn.XLOOKUP(CO160,'Dispensed Ink Rates'!C:C,'Dispensed Ink Rates'!CS:CS),VLOOKUP(CO160,'Jan-2026 rates'!$E:$F,2,0)))</f>
        <v>0</v>
      </c>
      <c r="CZ160" s="409">
        <v>0.5</v>
      </c>
      <c r="DA160" s="398">
        <f>IF(CZ160=0,0,IF(LEN(CP160)=11,_xlfn.XLOOKUP(CP160,'Dispensed Ink Rates'!C:C,'Dispensed Ink Rates'!CS:CS),VLOOKUP(CP160,'Jan-2026 rates'!$E:$F,2,0)))</f>
        <v>0</v>
      </c>
      <c r="DB160" s="409"/>
      <c r="DC160" s="398">
        <f>IF(DB160=0,0,IF(LEN(CQ160)=11,_xlfn.XLOOKUP(CQ160,'Dispensed Ink Rates'!C:C,'Dispensed Ink Rates'!CS:CS),VLOOKUP(CQ160,'Jan-2026 rates'!$E:$F,2,0)))</f>
        <v>0</v>
      </c>
      <c r="DD160" s="409"/>
      <c r="DE160" s="398">
        <f>IF(DD160=0,0,IF(LEN(CR160)=11,_xlfn.XLOOKUP(CR160,'Dispensed Ink Rates'!C:C,'Dispensed Ink Rates'!CS:CS),VLOOKUP(CR160,'Jan-2026 rates'!$E:$F,2,0)))</f>
        <v>0</v>
      </c>
      <c r="DF160" s="409"/>
      <c r="DG160" s="398">
        <f>IF(DF160=0,0,IF(LEN(CS160)=11,_xlfn.XLOOKUP(CS160,'Dispensed Ink Rates'!C:C,'Dispensed Ink Rates'!CS:CS),VLOOKUP(CS160,'Jan-2026 rates'!$E:$F,2,0)))</f>
        <v>0</v>
      </c>
      <c r="DH160" s="409"/>
      <c r="DI160" s="398">
        <f>IF(DH160=0,0,IF(LEN(CT160)=11,_xlfn.XLOOKUP(CT160,'Dispensed Ink Rates'!C:C,'Dispensed Ink Rates'!CS:CS),VLOOKUP(CT160,'Jan-2026 rates'!$E:$F,2,0)))</f>
        <v>0</v>
      </c>
      <c r="DJ160" s="409"/>
      <c r="DK160" s="398">
        <f>IF(DJ160=0,0,IF(LEN(CU160)=11,_xlfn.XLOOKUP(CU160,'Dispensed Ink Rates'!C:C,'Dispensed Ink Rates'!CS:CS),VLOOKUP(CU160,'Jan-2026 rates'!$E:$F,2,0)))</f>
        <v>0</v>
      </c>
      <c r="DL160" s="409" t="s">
        <v>1881</v>
      </c>
      <c r="DM160" s="409">
        <v>17</v>
      </c>
      <c r="DN160" s="411">
        <f t="shared" si="112"/>
        <v>0</v>
      </c>
      <c r="DO160" s="411">
        <f t="shared" si="113"/>
        <v>12.622448979591837</v>
      </c>
      <c r="DP160" s="410">
        <f t="shared" si="114"/>
        <v>0</v>
      </c>
      <c r="DQ160" s="405" t="s">
        <v>855</v>
      </c>
      <c r="DR160" s="409" t="s">
        <v>3524</v>
      </c>
      <c r="DS160" s="420" t="str">
        <f t="shared" si="56"/>
        <v>ToyoLi - CYAN</v>
      </c>
      <c r="DT160" s="409">
        <f>11+13</f>
        <v>24</v>
      </c>
      <c r="DU160" s="411">
        <f>IF(DT160=0,0,IF($LB160=70%,VLOOKUP($DS160,'Jan-2026 rates'!$L:$R,4,0),IF($LB160=65%,VLOOKUP($DS160,'Jan-2026 rates'!$L:$R,4,0),IF($LB160=40%,VLOOKUP($DS160,'Jan-2026 rates'!$L:$R,5,0),IF($LB160=30%,VLOOKUP($DS160,'Jan-2026 rates'!$L:$R,6,0),IF($LB160=100%,VLOOKUP($DS160,'Jan-2026 rates'!$L:$R,7,0),IF($LB160=60%,VLOOKUP($DS160,'Jan-2026 rates'!$L:$S,8,0),IF($LB160=80%,VLOOKUP($DS160,'Jan-2026 rates'!L:T,9,0),0))))))))</f>
        <v>0</v>
      </c>
      <c r="DV160" s="412"/>
      <c r="DW160" s="409"/>
      <c r="DX160" s="411">
        <f>IF(DW160=0,0,IF($LB160=70%,VLOOKUP($DS160,'Jan-2026 rates'!$L:$R,4,0),IF($LB160=65%,VLOOKUP($DS160,'Jan-2026 rates'!$L:$R,4,0),IF($LB160=40%,VLOOKUP($DS160,'Jan-2026 rates'!$L:$R,5,0),IF($LB160=30%,VLOOKUP($DS160,'Jan-2026 rates'!$L:$R,6,0),IF($LB160=100%,VLOOKUP($DS160,'Jan-2026 rates'!$L:$R,7,0),IF($LB160=60%,VLOOKUP($DS160,'Jan-2026 rates'!$L:$S,8,0),IF($LB160=80%,VLOOKUP($DS160,'Jan-2026 rates'!L:T,9,0),0))))))))</f>
        <v>0</v>
      </c>
      <c r="DY160" s="413" t="s">
        <v>1250</v>
      </c>
      <c r="DZ160" s="413"/>
      <c r="EA160" s="412"/>
      <c r="EB160" s="412"/>
      <c r="EC160" s="412"/>
      <c r="ED160" s="412"/>
      <c r="EE160" s="412"/>
      <c r="EF160" s="412"/>
      <c r="EG160" s="409">
        <v>2</v>
      </c>
      <c r="EH160" s="398">
        <f>IF(EG160=0,0,IF(LEN(DY160)=11,_xlfn.XLOOKUP(DY160,'Dispensed Ink Rates'!C:C,'Dispensed Ink Rates'!CS:CS),VLOOKUP(DY160,'Jan-2026 rates'!$E:$F,2,0)))</f>
        <v>0</v>
      </c>
      <c r="EI160" s="409"/>
      <c r="EJ160" s="398">
        <f>IF(EI160=0,0,IF(LEN(DZ160)=11,_xlfn.XLOOKUP(DZ160,'Dispensed Ink Rates'!C:C,'Dispensed Ink Rates'!CS:CS),VLOOKUP(DZ160,'Jan-2026 rates'!$E:$F,2,0)))</f>
        <v>0</v>
      </c>
      <c r="EK160" s="409"/>
      <c r="EL160" s="398">
        <f>IF(EK160=0,0,IF(LEN(EA160)=11,_xlfn.XLOOKUP(EA160,'Dispensed Ink Rates'!C:C,'Dispensed Ink Rates'!CS:CS),VLOOKUP(EA160,'Jan-2026 rates'!$E:$F,2,0)))</f>
        <v>0</v>
      </c>
      <c r="EM160" s="409"/>
      <c r="EN160" s="398">
        <f>IF(EM160=0,0,IF(LEN(EB160)=11,_xlfn.XLOOKUP(EB160,'Dispensed Ink Rates'!C:C,'Dispensed Ink Rates'!CS:CS),VLOOKUP(EB160,'Jan-2026 rates'!$E:$F,2,0)))</f>
        <v>0</v>
      </c>
      <c r="EO160" s="409"/>
      <c r="EP160" s="398">
        <f>IF(EO160=0,0,IF(LEN(EC160)=11,_xlfn.XLOOKUP(EC160,'Dispensed Ink Rates'!C:C,'Dispensed Ink Rates'!CS:CS),VLOOKUP(EC160,'Jan-2026 rates'!$E:$F,2,0)))</f>
        <v>0</v>
      </c>
      <c r="EQ160" s="409"/>
      <c r="ER160" s="398">
        <f>IF(EQ160=0,0,IF(LEN(ED160)=11,_xlfn.XLOOKUP(ED160,'Dispensed Ink Rates'!C:C,'Dispensed Ink Rates'!CS:CS),VLOOKUP(ED160,'Jan-2026 rates'!$E:$F,2,0)))</f>
        <v>0</v>
      </c>
      <c r="ES160" s="409"/>
      <c r="ET160" s="398">
        <f>IF(ES160=0,0,IF(LEN(EE160)=11,_xlfn.XLOOKUP(EE160,'Dispensed Ink Rates'!C:C,'Dispensed Ink Rates'!CS:CS),VLOOKUP(EE160,'Jan-2026 rates'!$E:$F,2,0)))</f>
        <v>0</v>
      </c>
      <c r="EU160" s="409"/>
      <c r="EV160" s="398">
        <f>IF(EU160=0,0,IF(LEN(EF160)=11,_xlfn.XLOOKUP(EF160,'Dispensed Ink Rates'!C:C,'Dispensed Ink Rates'!CS:CS),VLOOKUP(EF160,'Jan-2026 rates'!$E:$F,2,0)))</f>
        <v>0</v>
      </c>
      <c r="EW160" s="409" t="s">
        <v>1881</v>
      </c>
      <c r="EX160" s="409">
        <v>25</v>
      </c>
      <c r="EY160" s="411">
        <f t="shared" si="115"/>
        <v>0</v>
      </c>
      <c r="EZ160" s="411">
        <f t="shared" si="116"/>
        <v>4.0612244897959187</v>
      </c>
      <c r="FA160" s="410">
        <f t="shared" si="117"/>
        <v>0</v>
      </c>
      <c r="FB160" s="405" t="s">
        <v>544</v>
      </c>
      <c r="FC160" s="409" t="s">
        <v>3525</v>
      </c>
      <c r="FD160" s="420" t="str">
        <f t="shared" si="57"/>
        <v>ToyoLi - MAGENTA</v>
      </c>
      <c r="FE160" s="409">
        <v>15</v>
      </c>
      <c r="FF160" s="411">
        <f>IF(FE160=0,0,IF($LB160=70%,VLOOKUP($FD160,'Jan-2026 rates'!$L:$R,4,0),IF($LB160=65%,VLOOKUP($FD160,'Jan-2026 rates'!$L:$R,4,0),IF($LB160=40%,VLOOKUP($FD160,'Jan-2026 rates'!$L:$R,5,0),IF($LB160=30%,VLOOKUP($FD160,'Jan-2026 rates'!$L:$R,6,0),IF($LB160=100%,VLOOKUP($FD160,'Jan-2026 rates'!$L:$R,7,0),IF($LB160=60%,VLOOKUP($FD160,'Jan-2026 rates'!$L:$S,8,0),IF($LB160=80%,VLOOKUP($FD160,'Jan-2026 rates'!L:T,9,0),0))))))))</f>
        <v>0</v>
      </c>
      <c r="FG160" s="412"/>
      <c r="FH160" s="409"/>
      <c r="FI160" s="411">
        <f>IF(FH160=0,0,IF($LB160=70%,VLOOKUP($FD160,'Jan-2026 rates'!$L:$R,4,0),IF($LB160=65%,VLOOKUP($FD160,'Jan-2026 rates'!$L:$R,4,0),IF($LB160=40%,VLOOKUP($FD160,'Jan-2026 rates'!$L:$R,5,0),IF($LB160=30%,VLOOKUP($FD160,'Jan-2026 rates'!$L:$R,6,0),IF($LB160=100%,VLOOKUP($FD160,'Jan-2026 rates'!$L:$R,7,0),IF($LB160=60%,VLOOKUP($FD160,'Jan-2026 rates'!$L:$S,8,0),IF($LB160=80%,VLOOKUP($FD160,'Jan-2026 rates'!L:T,9,0),0))))))))</f>
        <v>0</v>
      </c>
      <c r="FJ160" s="413" t="s">
        <v>1246</v>
      </c>
      <c r="FK160" s="413"/>
      <c r="FL160" s="413"/>
      <c r="FM160" s="412"/>
      <c r="FN160" s="412"/>
      <c r="FO160" s="412"/>
      <c r="FP160" s="412"/>
      <c r="FQ160" s="412"/>
      <c r="FR160" s="409">
        <v>4</v>
      </c>
      <c r="FS160" s="398">
        <f>IF(FR160=0,0,IF(LEN(FJ160)=11,_xlfn.XLOOKUP(FJ160,'Dispensed Ink Rates'!C:C,'Dispensed Ink Rates'!CS:CS),VLOOKUP(FJ160,'Jan-2026 rates'!$E:$F,2,0)))</f>
        <v>0</v>
      </c>
      <c r="FT160" s="409"/>
      <c r="FU160" s="398">
        <f>IF(FT160=0,0,IF(LEN(FK160)=11,_xlfn.XLOOKUP(FK160,'Dispensed Ink Rates'!C:C,'Dispensed Ink Rates'!CS:CS),VLOOKUP(FK160,'Jan-2026 rates'!$E:$F,2,0)))</f>
        <v>0</v>
      </c>
      <c r="FV160" s="409"/>
      <c r="FW160" s="398">
        <f>IF(FV160=0,0,IF(LEN(FL160)=11,_xlfn.XLOOKUP(FL160,'Dispensed Ink Rates'!C:C,'Dispensed Ink Rates'!CS:CS),VLOOKUP(FL160,'Jan-2026 rates'!$E:$F,2,0)))</f>
        <v>0</v>
      </c>
      <c r="FX160" s="409"/>
      <c r="FY160" s="398">
        <f>IF(FX160=0,0,IF(LEN(FM160)=11,_xlfn.XLOOKUP(FM160,'Dispensed Ink Rates'!C:C,'Dispensed Ink Rates'!CS:CS),VLOOKUP(FM160,'Jan-2026 rates'!$E:$F,2,0)))</f>
        <v>0</v>
      </c>
      <c r="FZ160" s="409"/>
      <c r="GA160" s="398">
        <f>IF(FZ160=0,0,IF(LEN(FN160)=11,_xlfn.XLOOKUP(FN160,'Dispensed Ink Rates'!C:C,'Dispensed Ink Rates'!CS:CS),VLOOKUP(FN160,'Jan-2026 rates'!$E:$F,2,0)))</f>
        <v>0</v>
      </c>
      <c r="GB160" s="409"/>
      <c r="GC160" s="398">
        <f>IF(GB160=0,0,IF(LEN(FO160)=11,_xlfn.XLOOKUP(FO160,'Dispensed Ink Rates'!C:C,'Dispensed Ink Rates'!CS:CS),VLOOKUP(FO160,'Jan-2026 rates'!$E:$F,2,0)))</f>
        <v>0</v>
      </c>
      <c r="GD160" s="409"/>
      <c r="GE160" s="398">
        <f>IF(GD160=0,0,IF(LEN(FP160)=11,_xlfn.XLOOKUP(FP160,'Dispensed Ink Rates'!C:C,'Dispensed Ink Rates'!CS:CS),VLOOKUP(FP160,'Jan-2026 rates'!$E:$F,2,0)))</f>
        <v>0</v>
      </c>
      <c r="GF160" s="409"/>
      <c r="GG160" s="398">
        <f>IF(GF160=0,0,IF(LEN(FQ160)=11,_xlfn.XLOOKUP(FQ160,'Dispensed Ink Rates'!C:C,'Dispensed Ink Rates'!CS:CS),VLOOKUP(FQ160,'Jan-2026 rates'!$E:$F,2,0)))</f>
        <v>0</v>
      </c>
      <c r="GH160" s="409" t="s">
        <v>1881</v>
      </c>
      <c r="GI160" s="409">
        <v>22</v>
      </c>
      <c r="GJ160" s="411">
        <f t="shared" si="118"/>
        <v>0</v>
      </c>
      <c r="GK160" s="411">
        <f t="shared" si="119"/>
        <v>3.1224489795918373</v>
      </c>
      <c r="GL160" s="410">
        <f t="shared" si="120"/>
        <v>0</v>
      </c>
      <c r="GM160" s="405" t="s">
        <v>545</v>
      </c>
      <c r="GN160" s="409" t="s">
        <v>3526</v>
      </c>
      <c r="GO160" s="420" t="str">
        <f t="shared" si="58"/>
        <v>ToyoLi - YELLOW</v>
      </c>
      <c r="GP160" s="409">
        <f>12+11</f>
        <v>23</v>
      </c>
      <c r="GQ160" s="411">
        <f>IF(GP160=0,0,IF($LB160=70%,VLOOKUP($GO160,'Jan-2026 rates'!$L:$R,4,0),IF($LB160=65%,VLOOKUP($GO160,'Jan-2026 rates'!$L:$R,4,0),IF($LB160=40%,VLOOKUP($GO160,'Jan-2026 rates'!$L:$R,5,0),IF($LB160=30%,VLOOKUP($GO160,'Jan-2026 rates'!$L:$R,6,0),IF($LB160=100%,VLOOKUP($GO160,'Jan-2026 rates'!$L:$R,7,0),IF($LB160=60%,VLOOKUP($GO160,'Jan-2026 rates'!$L:$S,8,0),IF($LB160=80%,VLOOKUP($GO160,'Jan-2026 rates'!L:T,9,0),0))))))))</f>
        <v>0</v>
      </c>
      <c r="GR160" s="412"/>
      <c r="GS160" s="409"/>
      <c r="GT160" s="411">
        <f>IF(GS160=0,0,IF($LB160=70%,VLOOKUP($GO160,'Jan-2026 rates'!$L:$R,4,0),IF($LB160=65%,VLOOKUP($GO160,'Jan-2026 rates'!$L:$R,4,0),IF($LB160=40%,VLOOKUP($GO160,'Jan-2026 rates'!$L:$R,5,0),IF($LB160=30%,VLOOKUP($GO160,'Jan-2026 rates'!$L:$R,6,0),IF($LB160=100%,VLOOKUP($GO160,'Jan-2026 rates'!$L:$R,7,0),IF($LB160=60%,VLOOKUP($GO160,'Jan-2026 rates'!$L:$S,8,0),IF($LB160=80%,VLOOKUP($GO160,'Jan-2026 rates'!L:T,9,0),0))))))))</f>
        <v>0</v>
      </c>
      <c r="GU160" s="413" t="s">
        <v>1247</v>
      </c>
      <c r="GV160" s="413"/>
      <c r="GW160" s="412"/>
      <c r="GX160" s="412"/>
      <c r="GY160" s="412"/>
      <c r="GZ160" s="412"/>
      <c r="HA160" s="412"/>
      <c r="HB160" s="412"/>
      <c r="HC160" s="409">
        <v>5</v>
      </c>
      <c r="HD160" s="398">
        <f>IF(HC160=0,0,IF(LEN(GU160)=11,_xlfn.XLOOKUP(GU160,'Dispensed Ink Rates'!C:C,'Dispensed Ink Rates'!CS:CS),VLOOKUP(GU160,'Jan-2026 rates'!$E:$F,2,0)))</f>
        <v>0</v>
      </c>
      <c r="HE160" s="409"/>
      <c r="HF160" s="398">
        <f>IF(HE160=0,0,IF(LEN(GV160)=11,_xlfn.XLOOKUP(GV160,'Dispensed Ink Rates'!C:C,'Dispensed Ink Rates'!CS:CS),VLOOKUP(GV160,'Jan-2026 rates'!$E:$F,2,0)))</f>
        <v>0</v>
      </c>
      <c r="HG160" s="409"/>
      <c r="HH160" s="398">
        <f>IF(HG160=0,0,IF(LEN(GW160)=11,_xlfn.XLOOKUP(GW160,'Dispensed Ink Rates'!C:C,'Dispensed Ink Rates'!CS:CS),VLOOKUP(GW160,'Jan-2026 rates'!$E:$F,2,0)))</f>
        <v>0</v>
      </c>
      <c r="HI160" s="409"/>
      <c r="HJ160" s="398">
        <f>IF(HI160=0,0,IF(LEN(GX160)=11,_xlfn.XLOOKUP(GX160,'Dispensed Ink Rates'!C:C,'Dispensed Ink Rates'!CS:CS),VLOOKUP(GX160,'Jan-2026 rates'!$E:$F,2,0)))</f>
        <v>0</v>
      </c>
      <c r="HK160" s="409"/>
      <c r="HL160" s="398">
        <f>IF(HK160=0,0,IF(LEN(GY160)=11,_xlfn.XLOOKUP(GY160,'Dispensed Ink Rates'!C:C,'Dispensed Ink Rates'!CS:CS),VLOOKUP(GY160,'Jan-2026 rates'!$E:$F,2,0)))</f>
        <v>0</v>
      </c>
      <c r="HM160" s="409"/>
      <c r="HN160" s="398">
        <f>IF(HM160=0,0,IF(LEN(GZ160)=11,_xlfn.XLOOKUP(GZ160,'Dispensed Ink Rates'!C:C,'Dispensed Ink Rates'!CS:CS),VLOOKUP(GZ160,'Jan-2026 rates'!$E:$F,2,0)))</f>
        <v>0</v>
      </c>
      <c r="HO160" s="409"/>
      <c r="HP160" s="398">
        <f>IF(HO160=0,0,IF(LEN(HA160)=11,_xlfn.XLOOKUP(HA160,'Dispensed Ink Rates'!C:C,'Dispensed Ink Rates'!CS:CS),VLOOKUP(HA160,'Jan-2026 rates'!$E:$F,2,0)))</f>
        <v>0</v>
      </c>
      <c r="HQ160" s="409"/>
      <c r="HR160" s="398">
        <f>IF(HQ160=0,0,IF(LEN(HB160)=11,_xlfn.XLOOKUP(HB160,'Dispensed Ink Rates'!C:C,'Dispensed Ink Rates'!CS:CS),VLOOKUP(HB160,'Jan-2026 rates'!$E:$F,2,0)))</f>
        <v>0</v>
      </c>
      <c r="HS160" s="409" t="s">
        <v>1881</v>
      </c>
      <c r="HT160" s="409">
        <v>27</v>
      </c>
      <c r="HU160" s="411">
        <f t="shared" si="121"/>
        <v>0</v>
      </c>
      <c r="HV160" s="411">
        <f t="shared" si="122"/>
        <v>5.591836734693878</v>
      </c>
      <c r="HW160" s="414">
        <f t="shared" si="123"/>
        <v>0</v>
      </c>
      <c r="HX160" s="405" t="s">
        <v>545</v>
      </c>
      <c r="HY160" s="409" t="s">
        <v>3503</v>
      </c>
      <c r="HZ160" s="420" t="str">
        <f t="shared" si="59"/>
        <v>ToyoLi - YELLOW</v>
      </c>
      <c r="IA160" s="409">
        <v>20</v>
      </c>
      <c r="IB160" s="411">
        <f>IF(IA160=0,0,IF($LB160=70%,VLOOKUP($HZ160,'Jan-2026 rates'!$L:$R,4,0),IF($LB160=65%,VLOOKUP($HZ160,'Jan-2026 rates'!$L:$R,4,0),IF($LB160=40%,VLOOKUP($HZ160,'Jan-2026 rates'!$L:$R,5,0),IF($LB160=30%,VLOOKUP($HZ160,'Jan-2026 rates'!$L:$R,6,0),IF($LB160=100%,VLOOKUP($HZ160,'Jan-2026 rates'!$L:$R,7,0),IF($LB160=60%,VLOOKUP($HZ160,'Jan-2026 rates'!$L:$S,8,0),IF($LB160=80%,VLOOKUP($HZ160,'Jan-2026 rates'!L:T,9,0),0))))))))</f>
        <v>0</v>
      </c>
      <c r="IC160" s="412"/>
      <c r="ID160" s="409"/>
      <c r="IE160" s="411">
        <f>IF(ID160=0,0,IF($LB160=70%,VLOOKUP($HZ160,'Jan-2026 rates'!$L:$R,4,0),IF($LB160=65%,VLOOKUP($HZ160,'Jan-2026 rates'!$L:$R,4,0),IF($LB160=40%,VLOOKUP($HZ160,'Jan-2026 rates'!$L:$R,5,0),IF($LB160=30%,VLOOKUP($HZ160,'Jan-2026 rates'!$L:$R,6,0),IF($LB160=100%,VLOOKUP($HZ160,'Jan-2026 rates'!$L:$R,7,0),IF($LB160=60%,VLOOKUP($HZ160,'Jan-2026 rates'!$L:$S,8,0),IF($LB160=80%,VLOOKUP($HZ160,'Jan-2026 rates'!L:T,9,0),0))))))))</f>
        <v>0</v>
      </c>
      <c r="IF160" s="412" t="s">
        <v>1247</v>
      </c>
      <c r="IG160" s="413" t="s">
        <v>1248</v>
      </c>
      <c r="IH160" s="412"/>
      <c r="II160" s="412"/>
      <c r="IJ160" s="412"/>
      <c r="IK160" s="412"/>
      <c r="IL160" s="412"/>
      <c r="IM160" s="412"/>
      <c r="IN160" s="409">
        <v>3</v>
      </c>
      <c r="IO160" s="398">
        <f>IF(IN160=0,0,IF(LEN(IF160)=11,_xlfn.XLOOKUP(IF160,'Dispensed Ink Rates'!C:C,'Dispensed Ink Rates'!CS:CS),VLOOKUP(IF160,'Jan-2026 rates'!$E:$F,2,0)))</f>
        <v>0</v>
      </c>
      <c r="IP160" s="409">
        <v>2</v>
      </c>
      <c r="IQ160" s="398">
        <f>IF(IP160=0,0,IF(LEN(IG160)=11,_xlfn.XLOOKUP(IG160,'Dispensed Ink Rates'!C:C,'Dispensed Ink Rates'!CS:CS),VLOOKUP(IG160,'Jan-2026 rates'!$E:$F,2,0)))</f>
        <v>0</v>
      </c>
      <c r="IR160" s="409"/>
      <c r="IS160" s="398">
        <f>IF(IR160=0,0,IF(LEN(IH160)=11,_xlfn.XLOOKUP(IH160,'Dispensed Ink Rates'!C:C,'Dispensed Ink Rates'!CS:CS),VLOOKUP(IH160,'Jan-2026 rates'!$E:$F,2,0)))</f>
        <v>0</v>
      </c>
      <c r="IT160" s="409"/>
      <c r="IU160" s="398">
        <f>IF(IT160=0,0,IF(LEN(II160)=11,_xlfn.XLOOKUP(II160,'Dispensed Ink Rates'!C:C,'Dispensed Ink Rates'!CS:CS),VLOOKUP(II160,'Jan-2026 rates'!$E:$F,2,0)))</f>
        <v>0</v>
      </c>
      <c r="IV160" s="409"/>
      <c r="IW160" s="398">
        <f>IF(IV160=0,0,IF(LEN(IJ160)=11,_xlfn.XLOOKUP(IJ160,'Dispensed Ink Rates'!C:C,'Dispensed Ink Rates'!CS:CS),VLOOKUP(IJ160,'Jan-2026 rates'!$E:$F,2,0)))</f>
        <v>0</v>
      </c>
      <c r="IX160" s="409"/>
      <c r="IY160" s="398">
        <f>IF(IX160=0,0,IF(LEN(IK160)=11,_xlfn.XLOOKUP(IK160,'Dispensed Ink Rates'!C:C,'Dispensed Ink Rates'!CS:CS),VLOOKUP(IK160,'Jan-2026 rates'!$E:$F,2,0)))</f>
        <v>0</v>
      </c>
      <c r="IZ160" s="409"/>
      <c r="JA160" s="398">
        <f>IF(IZ160=0,0,IF(LEN(IL160)=11,_xlfn.XLOOKUP(IL160,'Dispensed Ink Rates'!C:C,'Dispensed Ink Rates'!CS:CS),VLOOKUP(IL160,'Jan-2026 rates'!$E:$F,2,0)))</f>
        <v>0</v>
      </c>
      <c r="JB160" s="409"/>
      <c r="JC160" s="398">
        <f>IF(JB160=0,0,IF(LEN(IM160)=11,_xlfn.XLOOKUP(IM160,'Dispensed Ink Rates'!C:C,'Dispensed Ink Rates'!CS:CS),VLOOKUP(IM160,'Jan-2026 rates'!$E:$F,2,0)))</f>
        <v>0</v>
      </c>
      <c r="JD160" s="409" t="s">
        <v>1881</v>
      </c>
      <c r="JE160" s="409">
        <f>14+10</f>
        <v>24</v>
      </c>
      <c r="JF160" s="411">
        <f t="shared" si="124"/>
        <v>0</v>
      </c>
      <c r="JG160" s="411">
        <f t="shared" si="125"/>
        <v>4.0612244897959187</v>
      </c>
      <c r="JH160" s="410">
        <f t="shared" si="126"/>
        <v>0</v>
      </c>
      <c r="JI160" s="405" t="s">
        <v>856</v>
      </c>
      <c r="JJ160" s="409"/>
      <c r="JK160" s="420" t="str">
        <f t="shared" si="60"/>
        <v>ToyoLi - WHITE</v>
      </c>
      <c r="JL160" s="409"/>
      <c r="JM160" s="411">
        <f>IF(JL160=0,0,IF($LB160=70%,VLOOKUP($JK160,'Jan-2026 rates'!$L:$R,4,0),IF($LB160=65%,VLOOKUP($JK160,'Jan-2026 rates'!$L:$R,4,0),IF($LB160=40%,VLOOKUP($JK160,'Jan-2026 rates'!$L:$R,5,0),IF($LB160=30%,VLOOKUP($JK160,'Jan-2026 rates'!$L:$R,6,0),IF($LB160=100%,VLOOKUP($JK160,'Jan-2026 rates'!$L:$R,7,0),IF($LB160=60%,VLOOKUP($JK160,'Jan-2026 rates'!$L:$S,8,0),IF($LB160=80%,VLOOKUP($JK160,'Jan-2026 rates'!L:T,9,0),0))))))))</f>
        <v>0</v>
      </c>
      <c r="JN160" s="412"/>
      <c r="JO160" s="409"/>
      <c r="JP160" s="411">
        <f>IF(JO160=0,0,IF($LB160=70%,VLOOKUP($JK160,'Jan-2026 rates'!$L:$R,4,0),IF($LB160=65%,VLOOKUP($JK160,'Jan-2026 rates'!$L:$R,4,0),IF($LB160=40%,VLOOKUP($JK160,'Jan-2026 rates'!$L:$R,5,0),IF($LB160=30%,VLOOKUP($JK160,'Jan-2026 rates'!$L:$R,6,0),IF($LB160=100%,VLOOKUP($JK160,'Jan-2026 rates'!$L:$R,7,0),IF($LB160=60%,VLOOKUP($JK160,'Jan-2026 rates'!$L:$S,8,0),IF($LB160=80%,VLOOKUP($JK160,'Jan-2026 rates'!L:T,9,0),0))))))))</f>
        <v>0</v>
      </c>
      <c r="JQ160" s="413" t="s">
        <v>1249</v>
      </c>
      <c r="JR160" s="412" t="s">
        <v>1122</v>
      </c>
      <c r="JS160" s="413"/>
      <c r="JT160" s="413"/>
      <c r="JU160" s="412"/>
      <c r="JV160" s="412"/>
      <c r="JW160" s="412"/>
      <c r="JX160" s="412"/>
      <c r="JY160" s="409">
        <v>60</v>
      </c>
      <c r="JZ160" s="398">
        <f>IF(JY160=0,0,IF(LEN(JQ160)=11,_xlfn.XLOOKUP(JQ160,'Dispensed Ink Rates'!C:C,'Dispensed Ink Rates'!CS:CS),VLOOKUP(JQ160,'Jan-2026 rates'!$E:$F,2,0)))</f>
        <v>0</v>
      </c>
      <c r="KA160" s="409">
        <v>5.08</v>
      </c>
      <c r="KB160" s="398">
        <f>IF(KA160=0,0,IF(LEN(JR160)=11,_xlfn.XLOOKUP(JR160,'Dispensed Ink Rates'!C:C,'Dispensed Ink Rates'!CS:CS),VLOOKUP(JR160,'Jan-2026 rates'!$E:$F,2,0)))</f>
        <v>0</v>
      </c>
      <c r="KC160" s="409"/>
      <c r="KD160" s="398">
        <f>IF(KC160=0,0,IF(LEN(JS160)=11,_xlfn.XLOOKUP(JS160,'Dispensed Ink Rates'!C:C,'Dispensed Ink Rates'!CS:CS),VLOOKUP(JS160,'Jan-2026 rates'!$E:$F,2,0)))</f>
        <v>0</v>
      </c>
      <c r="KE160" s="409"/>
      <c r="KF160" s="398">
        <f>IF(KE160=0,0,IF(LEN(JT160)=11,_xlfn.XLOOKUP(JT160,'Dispensed Ink Rates'!C:C,'Dispensed Ink Rates'!CS:CS),VLOOKUP(JT160,'Jan-2026 rates'!$E:$F,2,0)))</f>
        <v>0</v>
      </c>
      <c r="KG160" s="409"/>
      <c r="KH160" s="398">
        <f>IF(KG160=0,0,IF(LEN(JU160)=11,_xlfn.XLOOKUP(JU160,'Dispensed Ink Rates'!C:C,'Dispensed Ink Rates'!CS:CS),VLOOKUP(JU160,'Jan-2026 rates'!$E:$F,2,0)))</f>
        <v>0</v>
      </c>
      <c r="KI160" s="409"/>
      <c r="KJ160" s="398">
        <f>IF(KI160=0,0,IF(LEN(JV160)=11,_xlfn.XLOOKUP(JV160,'Dispensed Ink Rates'!C:C,'Dispensed Ink Rates'!CS:CS),VLOOKUP(JV160,'Jan-2026 rates'!$E:$F,2,0)))</f>
        <v>0</v>
      </c>
      <c r="KK160" s="409"/>
      <c r="KL160" s="398">
        <f>IF(KK160=0,0,IF(LEN(JW160)=11,_xlfn.XLOOKUP(JW160,'Dispensed Ink Rates'!C:C,'Dispensed Ink Rates'!CS:CS),VLOOKUP(JW160,'Jan-2026 rates'!$E:$F,2,0)))</f>
        <v>0</v>
      </c>
      <c r="KM160" s="428"/>
      <c r="KN160" s="398">
        <f>IF(KM160=0,0,IF(LEN(JX160)=11,_xlfn.XLOOKUP(JX160,'Dispensed Ink Rates'!C:C,'Dispensed Ink Rates'!CS:CS),VLOOKUP(JX160,'Jan-2026 rates'!$E:$F,2,0)))</f>
        <v>0</v>
      </c>
      <c r="KO160" s="409" t="s">
        <v>1881</v>
      </c>
      <c r="KP160" s="409">
        <v>40</v>
      </c>
      <c r="KQ160" s="411">
        <f t="shared" si="127"/>
        <v>0</v>
      </c>
      <c r="KR160" s="411">
        <f t="shared" si="128"/>
        <v>70.998367346938778</v>
      </c>
      <c r="KS160" s="410">
        <f t="shared" si="129"/>
        <v>0</v>
      </c>
      <c r="KT160" s="409">
        <v>2</v>
      </c>
      <c r="KU160" s="409">
        <v>2</v>
      </c>
      <c r="KV160" s="409">
        <v>4</v>
      </c>
      <c r="KW160" s="409">
        <v>2</v>
      </c>
      <c r="KX160" s="409">
        <v>4</v>
      </c>
      <c r="KY160" s="409">
        <v>3</v>
      </c>
      <c r="KZ160" s="409">
        <v>2</v>
      </c>
      <c r="LA160" s="409">
        <v>30</v>
      </c>
      <c r="LB160" s="415">
        <v>0.3</v>
      </c>
      <c r="LC160" s="415"/>
      <c r="LD160" s="415"/>
      <c r="LE160" s="415">
        <v>0.5</v>
      </c>
      <c r="LF160" s="415">
        <v>0.2</v>
      </c>
      <c r="LG160" s="409">
        <v>0</v>
      </c>
      <c r="LH160" s="409">
        <f>30+15+9+15+6</f>
        <v>75</v>
      </c>
      <c r="LI160" s="409">
        <v>0</v>
      </c>
      <c r="LJ160" s="409">
        <v>0</v>
      </c>
      <c r="LK160" s="416">
        <f t="shared" si="61"/>
        <v>75</v>
      </c>
      <c r="LL160" s="416">
        <f t="shared" si="62"/>
        <v>75</v>
      </c>
      <c r="LM160" s="417">
        <f t="shared" si="63"/>
        <v>22.5</v>
      </c>
      <c r="LN160" s="417">
        <f>VLOOKUP($LM$8,'Jan-2026 rates'!$H:$I,2,0)</f>
        <v>0</v>
      </c>
      <c r="LO160" s="417">
        <f t="shared" si="64"/>
        <v>0</v>
      </c>
      <c r="LP160" s="417">
        <f>VLOOKUP($LO$8,'Jan-2026 rates'!$H:$I,2,0)</f>
        <v>0</v>
      </c>
      <c r="LQ160" s="417">
        <f t="shared" si="65"/>
        <v>0</v>
      </c>
      <c r="LR160" s="417">
        <f>VLOOKUP($LQ$8,'Jan-2026 rates'!$H:$I,2,0)</f>
        <v>0</v>
      </c>
      <c r="LS160" s="417">
        <f t="shared" si="66"/>
        <v>37.5</v>
      </c>
      <c r="LT160" s="417">
        <f>VLOOKUP($LS$8,'Jan-2026 rates'!$H:$I,2,0)</f>
        <v>0</v>
      </c>
      <c r="LU160" s="417">
        <f t="shared" si="67"/>
        <v>15</v>
      </c>
      <c r="LV160" s="417">
        <f>VLOOKUP($LU$8,'Jan-2026 rates'!$H:$I,2,0)</f>
        <v>0</v>
      </c>
      <c r="LW160" s="417">
        <f t="shared" si="68"/>
        <v>0</v>
      </c>
      <c r="LX160" s="417">
        <f t="shared" si="69"/>
        <v>0</v>
      </c>
      <c r="LY160" s="418">
        <f t="shared" si="70"/>
        <v>0</v>
      </c>
      <c r="LZ160" s="417"/>
      <c r="MA160" s="435">
        <f t="shared" si="71"/>
        <v>99.58</v>
      </c>
      <c r="MB160" s="282">
        <f t="shared" si="72"/>
        <v>114.58000000000001</v>
      </c>
      <c r="MC160" s="283" t="s">
        <v>1995</v>
      </c>
      <c r="MD160" s="284" t="str">
        <f t="shared" si="73"/>
        <v>ToyoLiToyoLiToyoLiToyoLiToyoLiToyoLiToyoLiToyoLi</v>
      </c>
      <c r="ME160" s="293" t="str">
        <f t="shared" si="74"/>
        <v>+</v>
      </c>
      <c r="MF160" s="293" t="str">
        <f t="shared" si="75"/>
        <v>+</v>
      </c>
      <c r="MG160" s="293" t="str">
        <f t="shared" si="76"/>
        <v>+</v>
      </c>
      <c r="MH160" s="293" t="str">
        <f t="shared" si="77"/>
        <v>+</v>
      </c>
      <c r="MI160" s="293" t="str">
        <f t="shared" si="78"/>
        <v>+</v>
      </c>
      <c r="MJ160" s="293" t="str">
        <f t="shared" si="79"/>
        <v>+</v>
      </c>
      <c r="MK160" s="293" t="str">
        <f t="shared" si="80"/>
        <v>+</v>
      </c>
      <c r="ML160" s="293" t="str">
        <f t="shared" si="81"/>
        <v>+</v>
      </c>
      <c r="MM160" s="3" t="b">
        <f t="array" ref="MM160">OR(ME160:ML160="-")</f>
        <v>0</v>
      </c>
      <c r="MN160" s="285"/>
      <c r="MO160" s="401"/>
      <c r="MP160" s="286"/>
      <c r="MQ160" s="286"/>
      <c r="MR160" s="402"/>
      <c r="MS160" s="400"/>
      <c r="NH160" s="422"/>
      <c r="NJ160" s="421"/>
    </row>
    <row r="161" spans="1:374" s="1" customFormat="1" ht="16.5">
      <c r="A161" s="403">
        <v>46034</v>
      </c>
      <c r="B161" s="404" t="s">
        <v>1015</v>
      </c>
      <c r="C161" s="405" t="s">
        <v>3527</v>
      </c>
      <c r="D161" s="406" t="s">
        <v>1996</v>
      </c>
      <c r="E161" s="404">
        <v>325</v>
      </c>
      <c r="F161" s="407">
        <v>20500</v>
      </c>
      <c r="G161" s="407" t="s">
        <v>1016</v>
      </c>
      <c r="H161" s="408" t="s">
        <v>1017</v>
      </c>
      <c r="I161" s="409">
        <v>0.88</v>
      </c>
      <c r="J161" s="405" t="s">
        <v>543</v>
      </c>
      <c r="K161" s="404" t="s">
        <v>3528</v>
      </c>
      <c r="L161" s="419" t="str">
        <f t="shared" si="54"/>
        <v>ToyoLi - BLACK</v>
      </c>
      <c r="M161" s="404">
        <v>10</v>
      </c>
      <c r="N161" s="410">
        <f>IF(M161=0,0,IF($LB161=70%,VLOOKUP($L161,'Jan-2026 rates'!$L:$R,4,0),IF($LB161=65%,VLOOKUP($L161,'Jan-2026 rates'!$L:$R,4,0),IF($LB161=40%,VLOOKUP($L161,'Jan-2026 rates'!$L:$R,5,0),IF($LB161=30%,VLOOKUP($L161,'Jan-2026 rates'!$L:$R,6,0),IF($LB161=100%,VLOOKUP($L161,'Jan-2026 rates'!$L:$R,7,0),IF($LB161=60%,VLOOKUP($L161,'Jan-2026 rates'!$L:$S,8,0),IF($LB161=80%,VLOOKUP($L161,'Jan-2026 rates'!L:T,9,0),0))))))))</f>
        <v>0</v>
      </c>
      <c r="O161" s="406" t="s">
        <v>3529</v>
      </c>
      <c r="P161" s="404">
        <f>13+14+10</f>
        <v>37</v>
      </c>
      <c r="Q161" s="410">
        <f>IF(P161=0,0,IF($LB161=70%,VLOOKUP($L161,'Jan-2026 rates'!$L:$R,4,0),IF($LB161=65%,VLOOKUP($L161,'Jan-2026 rates'!$L:$R,4,0),IF($LB161=40%,VLOOKUP($L161,'Jan-2026 rates'!$L:$R,5,0),IF($LB161=30%,VLOOKUP($L161,'Jan-2026 rates'!$L:$R,6,0),IF($LB161=100%,VLOOKUP($L161,'Jan-2026 rates'!$L:$R,7,0),IF($LB161=60%,VLOOKUP($L161,'Jan-2026 rates'!$L:$S,8,0),IF($LB161=80%,VLOOKUP($L161,'Jan-2026 rates'!L:T,9,0),0))))))))</f>
        <v>0</v>
      </c>
      <c r="R161" s="406" t="s">
        <v>1252</v>
      </c>
      <c r="S161" s="406" t="s">
        <v>1247</v>
      </c>
      <c r="T161" s="406" t="s">
        <v>1248</v>
      </c>
      <c r="U161" s="406" t="s">
        <v>1246</v>
      </c>
      <c r="V161" s="406" t="s">
        <v>1122</v>
      </c>
      <c r="W161" s="406"/>
      <c r="X161" s="406"/>
      <c r="Y161" s="406"/>
      <c r="Z161" s="404">
        <v>10</v>
      </c>
      <c r="AA161" s="398">
        <f>IF(Z161=0,0,IF(LEN(R161)=11,_xlfn.XLOOKUP(R161,'Dispensed Ink Rates'!C:C,'Dispensed Ink Rates'!CS:CS),VLOOKUP(R161,'Jan-2026 rates'!$E:$F,2,0)))</f>
        <v>0</v>
      </c>
      <c r="AB161" s="404">
        <v>5</v>
      </c>
      <c r="AC161" s="398">
        <f>IF(AB161=0,0,IF(LEN(S161)=11,_xlfn.XLOOKUP(S161,'Dispensed Ink Rates'!C:C,'Dispensed Ink Rates'!CS:CS),VLOOKUP(S161,'Jan-2026 rates'!$E:$F,2,0)))</f>
        <v>0</v>
      </c>
      <c r="AD161" s="404">
        <v>2</v>
      </c>
      <c r="AE161" s="398">
        <f>IF(AD161=0,0,IF(LEN(T161)=11,_xlfn.XLOOKUP(T161,'Dispensed Ink Rates'!C:C,'Dispensed Ink Rates'!CS:CS),VLOOKUP(T161,'Jan-2026 rates'!$E:$F,2,0)))</f>
        <v>0</v>
      </c>
      <c r="AF161" s="404">
        <v>5</v>
      </c>
      <c r="AG161" s="398">
        <f>IF(AF161=0,0,IF(LEN(U161)=11,_xlfn.XLOOKUP(U161,'Dispensed Ink Rates'!C:C,'Dispensed Ink Rates'!CS:CS),VLOOKUP(U161,'Jan-2026 rates'!$E:$F,2,0)))</f>
        <v>0</v>
      </c>
      <c r="AH161" s="404">
        <v>1.36</v>
      </c>
      <c r="AI161" s="398">
        <f>IF(AH161=0,0,IF(LEN(V161)=11,_xlfn.XLOOKUP(V161,'Dispensed Ink Rates'!C:C,'Dispensed Ink Rates'!CS:CS),VLOOKUP(V161,'Jan-2026 rates'!$E:$F,2,0)))</f>
        <v>0</v>
      </c>
      <c r="AJ161" s="404"/>
      <c r="AK161" s="398">
        <f>IF(AJ161=0,0,IF(LEN(W161)=11,_xlfn.XLOOKUP(W161,'Dispensed Ink Rates'!C:C,'Dispensed Ink Rates'!CS:CS),VLOOKUP(W161,'Jan-2026 rates'!$E:$F,2,0)))</f>
        <v>0</v>
      </c>
      <c r="AL161" s="404"/>
      <c r="AM161" s="398">
        <f>IF(AL161=0,0,IF(LEN(X161)=11,_xlfn.XLOOKUP(X161,'Dispensed Ink Rates'!C:C,'Dispensed Ink Rates'!CS:CS),VLOOKUP(X161,'Jan-2026 rates'!$E:$F,2,0)))</f>
        <v>0</v>
      </c>
      <c r="AN161" s="404"/>
      <c r="AO161" s="398">
        <f>IF(AN161=0,0,IF(LEN(Y161)=11,_xlfn.XLOOKUP(Y161,'Dispensed Ink Rates'!C:C,'Dispensed Ink Rates'!CS:CS),VLOOKUP(Y161,'Jan-2026 rates'!$E:$F,2,0)))</f>
        <v>0</v>
      </c>
      <c r="AP161" s="409" t="s">
        <v>1881</v>
      </c>
      <c r="AQ161" s="409">
        <f>20+8+20</f>
        <v>48</v>
      </c>
      <c r="AR161" s="410">
        <f t="shared" si="106"/>
        <v>0</v>
      </c>
      <c r="AS161" s="411">
        <f t="shared" si="107"/>
        <v>87.360000000000014</v>
      </c>
      <c r="AT161" s="410">
        <f t="shared" si="108"/>
        <v>0</v>
      </c>
      <c r="AU161" s="405"/>
      <c r="AV161" s="409"/>
      <c r="AW161" s="420" t="str">
        <f t="shared" si="130"/>
        <v xml:space="preserve"> - </v>
      </c>
      <c r="AX161" s="409"/>
      <c r="AY161" s="411">
        <f>IF(AX161=0,0,IF($LB161=70%,VLOOKUP($AW161,'Jan-2026 rates'!$L:$R,4,0),IF($LB161=65%,VLOOKUP($AW161,'Jan-2026 rates'!$L:$R,4,0),IF($LB161=40%,VLOOKUP($AW161,'Jan-2026 rates'!$L:$R,5,0),IF($LB161=30%,VLOOKUP($AW161,'Jan-2026 rates'!$L:$R,6,0),IF($LB161=100%,VLOOKUP($AW161,'Jan-2026 rates'!$L:$R,7,0),IF($LB161=60%,VLOOKUP($AW161,'Jan-2026 rates'!$L:$S,8,0),IF($LB161=80%,VLOOKUP($AW161,'Jan-2026 rates'!L:T,9,0),0))))))))</f>
        <v>0</v>
      </c>
      <c r="AZ161" s="412"/>
      <c r="BA161" s="409"/>
      <c r="BB161" s="411">
        <f>IF(BA161=0,0,IF($LB161=70%,VLOOKUP($AW161,'Jan-2026 rates'!$L:$R,4,0),IF($LB161=65%,VLOOKUP($AW161,'Jan-2026 rates'!$L:$R,4,0),IF($LB161=40%,VLOOKUP($AW161,'Jan-2026 rates'!$L:$R,5,0),IF($LB161=30%,VLOOKUP($AW161,'Jan-2026 rates'!$L:$R,6,0),IF($LB161=100%,VLOOKUP($AW161,'Jan-2026 rates'!$L:$R,7,0),IF($LB161=60%,VLOOKUP($AW161,'Jan-2026 rates'!$L:$S,8,0),IF($LB161=80%,VLOOKUP($AW161,'Jan-2026 rates'!L:T,9,0),0))))))))</f>
        <v>0</v>
      </c>
      <c r="BC161" s="413"/>
      <c r="BD161" s="412"/>
      <c r="BE161" s="412"/>
      <c r="BF161" s="413"/>
      <c r="BG161" s="412"/>
      <c r="BH161" s="412"/>
      <c r="BI161" s="412"/>
      <c r="BJ161" s="412"/>
      <c r="BK161" s="409"/>
      <c r="BL161" s="398">
        <f>IF(BK161=0,0,IF(LEN(BC161)=11,_xlfn.XLOOKUP(BC161,'Dispensed Ink Rates'!C:C,'Dispensed Ink Rates'!CS:CS),VLOOKUP(BC161,'Jan-2026 rates'!$E:$F,2,0)))</f>
        <v>0</v>
      </c>
      <c r="BM161" s="409"/>
      <c r="BN161" s="398">
        <f>IF(BM161=0,0,IF(LEN(BD161)=11,_xlfn.XLOOKUP(BD161,'Dispensed Ink Rates'!C:C,'Dispensed Ink Rates'!CS:CS),VLOOKUP(BD161,'Jan-2026 rates'!$E:$F,2,0)))</f>
        <v>0</v>
      </c>
      <c r="BO161" s="409"/>
      <c r="BP161" s="398">
        <f>IF(BO161=0,0,IF(LEN(BE161)=11,_xlfn.XLOOKUP(BE161,'Dispensed Ink Rates'!C:C,'Dispensed Ink Rates'!CS:CS),VLOOKUP(BE161,'Jan-2026 rates'!$E:$F,2,0)))</f>
        <v>0</v>
      </c>
      <c r="BQ161" s="409"/>
      <c r="BR161" s="398">
        <f>IF(BQ161=0,0,IF(LEN(BF161)=11,_xlfn.XLOOKUP(BF161,'Dispensed Ink Rates'!C:C,'Dispensed Ink Rates'!CS:CS),VLOOKUP(BF161,'Jan-2026 rates'!$E:$F,2,0)))</f>
        <v>0</v>
      </c>
      <c r="BS161" s="409"/>
      <c r="BT161" s="398">
        <f>IF(BS161=0,0,IF(LEN(BG161)=11,_xlfn.XLOOKUP(BG161,'Dispensed Ink Rates'!C:C,'Dispensed Ink Rates'!CS:CS),VLOOKUP(BG161,'Jan-2026 rates'!$E:$F,2,0)))</f>
        <v>0</v>
      </c>
      <c r="BU161" s="409"/>
      <c r="BV161" s="398">
        <f>IF(BU161=0,0,IF(LEN(BH161)=11,_xlfn.XLOOKUP(BH161,'Dispensed Ink Rates'!C:C,'Dispensed Ink Rates'!CS:CS),VLOOKUP(BH161,'Jan-2026 rates'!$E:$F,2,0)))</f>
        <v>0</v>
      </c>
      <c r="BW161" s="409"/>
      <c r="BX161" s="398">
        <f>IF(BW161=0,0,IF(LEN(BI161)=11,_xlfn.XLOOKUP(BI161,'Dispensed Ink Rates'!C:C,'Dispensed Ink Rates'!CS:CS),VLOOKUP(BI161,'Jan-2026 rates'!$E:$F,2,0)))</f>
        <v>0</v>
      </c>
      <c r="BY161" s="409"/>
      <c r="BZ161" s="398">
        <f>IF(BY161=0,0,IF(LEN(BJ161)=11,_xlfn.XLOOKUP(BJ161,'Dispensed Ink Rates'!C:C,'Dispensed Ink Rates'!CS:CS),VLOOKUP(BJ161,'Jan-2026 rates'!$E:$F,2,0)))</f>
        <v>0</v>
      </c>
      <c r="CA161" s="409"/>
      <c r="CB161" s="409"/>
      <c r="CC161" s="411">
        <f t="shared" si="109"/>
        <v>0</v>
      </c>
      <c r="CD161" s="411">
        <f t="shared" si="110"/>
        <v>0</v>
      </c>
      <c r="CE161" s="410">
        <f t="shared" si="111"/>
        <v>0</v>
      </c>
      <c r="CF161" s="404"/>
      <c r="CG161" s="409"/>
      <c r="CH161" s="420" t="str">
        <f t="shared" si="55"/>
        <v xml:space="preserve"> - </v>
      </c>
      <c r="CI161" s="409"/>
      <c r="CJ161" s="411">
        <f>IF(CI161=0,0,IF($LB161=70%,VLOOKUP($CH161,'Jan-2026 rates'!$L:$R,4,0),IF($LB161=65%,VLOOKUP($CH161,'Jan-2026 rates'!$L:$R,4,0),IF($LB161=40%,VLOOKUP($CH161,'Jan-2026 rates'!$L:$R,5,0),IF($LB161=30%,VLOOKUP($CH161,'Jan-2026 rates'!$L:$R,6,0),IF($LB161=100%,VLOOKUP($CH161,'Jan-2026 rates'!$L:$R,7,0),IF($LB161=60%,VLOOKUP($CH161,'Jan-2026 rates'!$L:$S,8,0),IF($LB161=80%,VLOOKUP($CH161,'Jan-2026 rates'!L:T,9,0),0))))))))</f>
        <v>0</v>
      </c>
      <c r="CK161" s="412"/>
      <c r="CL161" s="409"/>
      <c r="CM161" s="411">
        <f>IF(CL161=0,0,IF($LB161=70%,VLOOKUP($CH161,'Jan-2026 rates'!$L:$R,4,0),IF($LB161=65%,VLOOKUP($CH161,'Jan-2026 rates'!$L:$R,4,0),IF($LB161=40%,VLOOKUP($CH161,'Jan-2026 rates'!$L:$R,5,0),IF($LB161=30%,VLOOKUP($CH161,'Jan-2026 rates'!$L:$R,6,0),IF($LB161=100%,VLOOKUP($CH161,'Jan-2026 rates'!$L:$R,7,0),IF($LB161=60%,VLOOKUP($CH161,'Jan-2026 rates'!$L:$S,8,0),IF($LB161=80%,VLOOKUP($CH161,'Jan-2026 rates'!L:T,9,0),0))))))))</f>
        <v>0</v>
      </c>
      <c r="CN161" s="426"/>
      <c r="CO161" s="427"/>
      <c r="CP161" s="426"/>
      <c r="CQ161" s="426"/>
      <c r="CR161" s="428"/>
      <c r="CS161" s="428"/>
      <c r="CT161" s="428"/>
      <c r="CU161" s="428"/>
      <c r="CV161" s="409"/>
      <c r="CW161" s="398">
        <f>IF(CV161=0,0,IF(LEN(CN161)=11,_xlfn.XLOOKUP(CN161,'Dispensed Ink Rates'!C:C,'Dispensed Ink Rates'!CS:CS),VLOOKUP(CN161,'Jan-2026 rates'!$E:$F,2,0)))</f>
        <v>0</v>
      </c>
      <c r="CX161" s="409"/>
      <c r="CY161" s="398">
        <f>IF(CX161=0,0,IF(LEN(CO161)=11,_xlfn.XLOOKUP(CO161,'Dispensed Ink Rates'!C:C,'Dispensed Ink Rates'!CS:CS),VLOOKUP(CO161,'Jan-2026 rates'!$E:$F,2,0)))</f>
        <v>0</v>
      </c>
      <c r="CZ161" s="409"/>
      <c r="DA161" s="398">
        <f>IF(CZ161=0,0,IF(LEN(CP161)=11,_xlfn.XLOOKUP(CP161,'Dispensed Ink Rates'!C:C,'Dispensed Ink Rates'!CS:CS),VLOOKUP(CP161,'Jan-2026 rates'!$E:$F,2,0)))</f>
        <v>0</v>
      </c>
      <c r="DB161" s="409"/>
      <c r="DC161" s="398">
        <f>IF(DB161=0,0,IF(LEN(CQ161)=11,_xlfn.XLOOKUP(CQ161,'Dispensed Ink Rates'!C:C,'Dispensed Ink Rates'!CS:CS),VLOOKUP(CQ161,'Jan-2026 rates'!$E:$F,2,0)))</f>
        <v>0</v>
      </c>
      <c r="DD161" s="409"/>
      <c r="DE161" s="398">
        <f>IF(DD161=0,0,IF(LEN(CR161)=11,_xlfn.XLOOKUP(CR161,'Dispensed Ink Rates'!C:C,'Dispensed Ink Rates'!CS:CS),VLOOKUP(CR161,'Jan-2026 rates'!$E:$F,2,0)))</f>
        <v>0</v>
      </c>
      <c r="DF161" s="409"/>
      <c r="DG161" s="398">
        <f>IF(DF161=0,0,IF(LEN(CS161)=11,_xlfn.XLOOKUP(CS161,'Dispensed Ink Rates'!C:C,'Dispensed Ink Rates'!CS:CS),VLOOKUP(CS161,'Jan-2026 rates'!$E:$F,2,0)))</f>
        <v>0</v>
      </c>
      <c r="DH161" s="409"/>
      <c r="DI161" s="398">
        <f>IF(DH161=0,0,IF(LEN(CT161)=11,_xlfn.XLOOKUP(CT161,'Dispensed Ink Rates'!C:C,'Dispensed Ink Rates'!CS:CS),VLOOKUP(CT161,'Jan-2026 rates'!$E:$F,2,0)))</f>
        <v>0</v>
      </c>
      <c r="DJ161" s="409"/>
      <c r="DK161" s="398">
        <f>IF(DJ161=0,0,IF(LEN(CU161)=11,_xlfn.XLOOKUP(CU161,'Dispensed Ink Rates'!C:C,'Dispensed Ink Rates'!CS:CS),VLOOKUP(CU161,'Jan-2026 rates'!$E:$F,2,0)))</f>
        <v>0</v>
      </c>
      <c r="DL161" s="409"/>
      <c r="DM161" s="409"/>
      <c r="DN161" s="411">
        <f t="shared" si="112"/>
        <v>0</v>
      </c>
      <c r="DO161" s="411">
        <f t="shared" si="113"/>
        <v>0</v>
      </c>
      <c r="DP161" s="410">
        <f t="shared" si="114"/>
        <v>0</v>
      </c>
      <c r="DQ161" s="405"/>
      <c r="DR161" s="409"/>
      <c r="DS161" s="420" t="str">
        <f t="shared" si="56"/>
        <v xml:space="preserve"> - </v>
      </c>
      <c r="DT161" s="409"/>
      <c r="DU161" s="411">
        <f>IF(DT161=0,0,IF($LB161=70%,VLOOKUP($DS161,'Jan-2026 rates'!$L:$R,4,0),IF($LB161=65%,VLOOKUP($DS161,'Jan-2026 rates'!$L:$R,4,0),IF($LB161=40%,VLOOKUP($DS161,'Jan-2026 rates'!$L:$R,5,0),IF($LB161=30%,VLOOKUP($DS161,'Jan-2026 rates'!$L:$R,6,0),IF($LB161=100%,VLOOKUP($DS161,'Jan-2026 rates'!$L:$R,7,0),IF($LB161=60%,VLOOKUP($DS161,'Jan-2026 rates'!$L:$S,8,0),IF($LB161=80%,VLOOKUP($DS161,'Jan-2026 rates'!L:T,9,0),0))))))))</f>
        <v>0</v>
      </c>
      <c r="DV161" s="412"/>
      <c r="DW161" s="409"/>
      <c r="DX161" s="411">
        <f>IF(DW161=0,0,IF($LB161=70%,VLOOKUP($DS161,'Jan-2026 rates'!$L:$R,4,0),IF($LB161=65%,VLOOKUP($DS161,'Jan-2026 rates'!$L:$R,4,0),IF($LB161=40%,VLOOKUP($DS161,'Jan-2026 rates'!$L:$R,5,0),IF($LB161=30%,VLOOKUP($DS161,'Jan-2026 rates'!$L:$R,6,0),IF($LB161=100%,VLOOKUP($DS161,'Jan-2026 rates'!$L:$R,7,0),IF($LB161=60%,VLOOKUP($DS161,'Jan-2026 rates'!$L:$S,8,0),IF($LB161=80%,VLOOKUP($DS161,'Jan-2026 rates'!L:T,9,0),0))))))))</f>
        <v>0</v>
      </c>
      <c r="DY161" s="413"/>
      <c r="DZ161" s="413"/>
      <c r="EA161" s="412"/>
      <c r="EB161" s="412"/>
      <c r="EC161" s="412"/>
      <c r="ED161" s="412"/>
      <c r="EE161" s="412"/>
      <c r="EF161" s="412"/>
      <c r="EG161" s="409"/>
      <c r="EH161" s="398">
        <f>IF(EG161=0,0,IF(LEN(DY161)=11,_xlfn.XLOOKUP(DY161,'Dispensed Ink Rates'!C:C,'Dispensed Ink Rates'!CS:CS),VLOOKUP(DY161,'Jan-2026 rates'!$E:$F,2,0)))</f>
        <v>0</v>
      </c>
      <c r="EI161" s="409"/>
      <c r="EJ161" s="398">
        <f>IF(EI161=0,0,IF(LEN(DZ161)=11,_xlfn.XLOOKUP(DZ161,'Dispensed Ink Rates'!C:C,'Dispensed Ink Rates'!CS:CS),VLOOKUP(DZ161,'Jan-2026 rates'!$E:$F,2,0)))</f>
        <v>0</v>
      </c>
      <c r="EK161" s="409"/>
      <c r="EL161" s="398">
        <f>IF(EK161=0,0,IF(LEN(EA161)=11,_xlfn.XLOOKUP(EA161,'Dispensed Ink Rates'!C:C,'Dispensed Ink Rates'!CS:CS),VLOOKUP(EA161,'Jan-2026 rates'!$E:$F,2,0)))</f>
        <v>0</v>
      </c>
      <c r="EM161" s="409"/>
      <c r="EN161" s="398">
        <f>IF(EM161=0,0,IF(LEN(EB161)=11,_xlfn.XLOOKUP(EB161,'Dispensed Ink Rates'!C:C,'Dispensed Ink Rates'!CS:CS),VLOOKUP(EB161,'Jan-2026 rates'!$E:$F,2,0)))</f>
        <v>0</v>
      </c>
      <c r="EO161" s="409"/>
      <c r="EP161" s="398">
        <f>IF(EO161=0,0,IF(LEN(EC161)=11,_xlfn.XLOOKUP(EC161,'Dispensed Ink Rates'!C:C,'Dispensed Ink Rates'!CS:CS),VLOOKUP(EC161,'Jan-2026 rates'!$E:$F,2,0)))</f>
        <v>0</v>
      </c>
      <c r="EQ161" s="409"/>
      <c r="ER161" s="398">
        <f>IF(EQ161=0,0,IF(LEN(ED161)=11,_xlfn.XLOOKUP(ED161,'Dispensed Ink Rates'!C:C,'Dispensed Ink Rates'!CS:CS),VLOOKUP(ED161,'Jan-2026 rates'!$E:$F,2,0)))</f>
        <v>0</v>
      </c>
      <c r="ES161" s="409"/>
      <c r="ET161" s="398">
        <f>IF(ES161=0,0,IF(LEN(EE161)=11,_xlfn.XLOOKUP(EE161,'Dispensed Ink Rates'!C:C,'Dispensed Ink Rates'!CS:CS),VLOOKUP(EE161,'Jan-2026 rates'!$E:$F,2,0)))</f>
        <v>0</v>
      </c>
      <c r="EU161" s="409"/>
      <c r="EV161" s="398">
        <f>IF(EU161=0,0,IF(LEN(EF161)=11,_xlfn.XLOOKUP(EF161,'Dispensed Ink Rates'!C:C,'Dispensed Ink Rates'!CS:CS),VLOOKUP(EF161,'Jan-2026 rates'!$E:$F,2,0)))</f>
        <v>0</v>
      </c>
      <c r="EW161" s="409"/>
      <c r="EX161" s="409"/>
      <c r="EY161" s="411">
        <f t="shared" si="115"/>
        <v>0</v>
      </c>
      <c r="EZ161" s="411">
        <f t="shared" si="116"/>
        <v>0</v>
      </c>
      <c r="FA161" s="410">
        <f t="shared" si="117"/>
        <v>0</v>
      </c>
      <c r="FB161" s="405"/>
      <c r="FC161" s="409"/>
      <c r="FD161" s="420" t="str">
        <f t="shared" si="57"/>
        <v xml:space="preserve"> - </v>
      </c>
      <c r="FE161" s="409"/>
      <c r="FF161" s="411">
        <f>IF(FE161=0,0,IF($LB161=70%,VLOOKUP($FD161,'Jan-2026 rates'!$L:$R,4,0),IF($LB161=65%,VLOOKUP($FD161,'Jan-2026 rates'!$L:$R,4,0),IF($LB161=40%,VLOOKUP($FD161,'Jan-2026 rates'!$L:$R,5,0),IF($LB161=30%,VLOOKUP($FD161,'Jan-2026 rates'!$L:$R,6,0),IF($LB161=100%,VLOOKUP($FD161,'Jan-2026 rates'!$L:$R,7,0),IF($LB161=60%,VLOOKUP($FD161,'Jan-2026 rates'!$L:$S,8,0),IF($LB161=80%,VLOOKUP($FD161,'Jan-2026 rates'!L:T,9,0),0))))))))</f>
        <v>0</v>
      </c>
      <c r="FG161" s="412"/>
      <c r="FH161" s="409"/>
      <c r="FI161" s="411">
        <f>IF(FH161=0,0,IF($LB161=70%,VLOOKUP($FD161,'Jan-2026 rates'!$L:$R,4,0),IF($LB161=65%,VLOOKUP($FD161,'Jan-2026 rates'!$L:$R,4,0),IF($LB161=40%,VLOOKUP($FD161,'Jan-2026 rates'!$L:$R,5,0),IF($LB161=30%,VLOOKUP($FD161,'Jan-2026 rates'!$L:$R,6,0),IF($LB161=100%,VLOOKUP($FD161,'Jan-2026 rates'!$L:$R,7,0),IF($LB161=60%,VLOOKUP($FD161,'Jan-2026 rates'!$L:$S,8,0),IF($LB161=80%,VLOOKUP($FD161,'Jan-2026 rates'!L:T,9,0),0))))))))</f>
        <v>0</v>
      </c>
      <c r="FJ161" s="413"/>
      <c r="FK161" s="413"/>
      <c r="FL161" s="413"/>
      <c r="FM161" s="412"/>
      <c r="FN161" s="412"/>
      <c r="FO161" s="412"/>
      <c r="FP161" s="412"/>
      <c r="FQ161" s="412"/>
      <c r="FR161" s="409"/>
      <c r="FS161" s="398">
        <f>IF(FR161=0,0,IF(LEN(FJ161)=11,_xlfn.XLOOKUP(FJ161,'Dispensed Ink Rates'!C:C,'Dispensed Ink Rates'!CS:CS),VLOOKUP(FJ161,'Jan-2026 rates'!$E:$F,2,0)))</f>
        <v>0</v>
      </c>
      <c r="FT161" s="409"/>
      <c r="FU161" s="398">
        <f>IF(FT161=0,0,IF(LEN(FK161)=11,_xlfn.XLOOKUP(FK161,'Dispensed Ink Rates'!C:C,'Dispensed Ink Rates'!CS:CS),VLOOKUP(FK161,'Jan-2026 rates'!$E:$F,2,0)))</f>
        <v>0</v>
      </c>
      <c r="FV161" s="409"/>
      <c r="FW161" s="398">
        <f>IF(FV161=0,0,IF(LEN(FL161)=11,_xlfn.XLOOKUP(FL161,'Dispensed Ink Rates'!C:C,'Dispensed Ink Rates'!CS:CS),VLOOKUP(FL161,'Jan-2026 rates'!$E:$F,2,0)))</f>
        <v>0</v>
      </c>
      <c r="FX161" s="409"/>
      <c r="FY161" s="398">
        <f>IF(FX161=0,0,IF(LEN(FM161)=11,_xlfn.XLOOKUP(FM161,'Dispensed Ink Rates'!C:C,'Dispensed Ink Rates'!CS:CS),VLOOKUP(FM161,'Jan-2026 rates'!$E:$F,2,0)))</f>
        <v>0</v>
      </c>
      <c r="FZ161" s="409"/>
      <c r="GA161" s="398">
        <f>IF(FZ161=0,0,IF(LEN(FN161)=11,_xlfn.XLOOKUP(FN161,'Dispensed Ink Rates'!C:C,'Dispensed Ink Rates'!CS:CS),VLOOKUP(FN161,'Jan-2026 rates'!$E:$F,2,0)))</f>
        <v>0</v>
      </c>
      <c r="GB161" s="409"/>
      <c r="GC161" s="398">
        <f>IF(GB161=0,0,IF(LEN(FO161)=11,_xlfn.XLOOKUP(FO161,'Dispensed Ink Rates'!C:C,'Dispensed Ink Rates'!CS:CS),VLOOKUP(FO161,'Jan-2026 rates'!$E:$F,2,0)))</f>
        <v>0</v>
      </c>
      <c r="GD161" s="409"/>
      <c r="GE161" s="398">
        <f>IF(GD161=0,0,IF(LEN(FP161)=11,_xlfn.XLOOKUP(FP161,'Dispensed Ink Rates'!C:C,'Dispensed Ink Rates'!CS:CS),VLOOKUP(FP161,'Jan-2026 rates'!$E:$F,2,0)))</f>
        <v>0</v>
      </c>
      <c r="GF161" s="409"/>
      <c r="GG161" s="398">
        <f>IF(GF161=0,0,IF(LEN(FQ161)=11,_xlfn.XLOOKUP(FQ161,'Dispensed Ink Rates'!C:C,'Dispensed Ink Rates'!CS:CS),VLOOKUP(FQ161,'Jan-2026 rates'!$E:$F,2,0)))</f>
        <v>0</v>
      </c>
      <c r="GH161" s="409"/>
      <c r="GI161" s="409"/>
      <c r="GJ161" s="411">
        <f t="shared" si="118"/>
        <v>0</v>
      </c>
      <c r="GK161" s="411">
        <f t="shared" si="119"/>
        <v>0</v>
      </c>
      <c r="GL161" s="410">
        <f t="shared" si="120"/>
        <v>0</v>
      </c>
      <c r="GM161" s="405"/>
      <c r="GN161" s="409"/>
      <c r="GO161" s="420" t="str">
        <f t="shared" si="58"/>
        <v xml:space="preserve"> - </v>
      </c>
      <c r="GP161" s="409"/>
      <c r="GQ161" s="411">
        <f>IF(GP161=0,0,IF($LB161=70%,VLOOKUP($GO161,'Jan-2026 rates'!$L:$R,4,0),IF($LB161=65%,VLOOKUP($GO161,'Jan-2026 rates'!$L:$R,4,0),IF($LB161=40%,VLOOKUP($GO161,'Jan-2026 rates'!$L:$R,5,0),IF($LB161=30%,VLOOKUP($GO161,'Jan-2026 rates'!$L:$R,6,0),IF($LB161=100%,VLOOKUP($GO161,'Jan-2026 rates'!$L:$R,7,0),IF($LB161=60%,VLOOKUP($GO161,'Jan-2026 rates'!$L:$S,8,0),IF($LB161=80%,VLOOKUP($GO161,'Jan-2026 rates'!L:T,9,0),0))))))))</f>
        <v>0</v>
      </c>
      <c r="GR161" s="412"/>
      <c r="GS161" s="409"/>
      <c r="GT161" s="411">
        <f>IF(GS161=0,0,IF($LB161=70%,VLOOKUP($GO161,'Jan-2026 rates'!$L:$R,4,0),IF($LB161=65%,VLOOKUP($GO161,'Jan-2026 rates'!$L:$R,4,0),IF($LB161=40%,VLOOKUP($GO161,'Jan-2026 rates'!$L:$R,5,0),IF($LB161=30%,VLOOKUP($GO161,'Jan-2026 rates'!$L:$R,6,0),IF($LB161=100%,VLOOKUP($GO161,'Jan-2026 rates'!$L:$R,7,0),IF($LB161=60%,VLOOKUP($GO161,'Jan-2026 rates'!$L:$S,8,0),IF($LB161=80%,VLOOKUP($GO161,'Jan-2026 rates'!L:T,9,0),0))))))))</f>
        <v>0</v>
      </c>
      <c r="GU161" s="413"/>
      <c r="GV161" s="413"/>
      <c r="GW161" s="412"/>
      <c r="GX161" s="412"/>
      <c r="GY161" s="412"/>
      <c r="GZ161" s="412"/>
      <c r="HA161" s="412"/>
      <c r="HB161" s="412"/>
      <c r="HC161" s="409"/>
      <c r="HD161" s="398">
        <f>IF(HC161=0,0,IF(LEN(GU161)=11,_xlfn.XLOOKUP(GU161,'Dispensed Ink Rates'!C:C,'Dispensed Ink Rates'!CS:CS),VLOOKUP(GU161,'Jan-2026 rates'!$E:$F,2,0)))</f>
        <v>0</v>
      </c>
      <c r="HE161" s="409"/>
      <c r="HF161" s="398">
        <f>IF(HE161=0,0,IF(LEN(GV161)=11,_xlfn.XLOOKUP(GV161,'Dispensed Ink Rates'!C:C,'Dispensed Ink Rates'!CS:CS),VLOOKUP(GV161,'Jan-2026 rates'!$E:$F,2,0)))</f>
        <v>0</v>
      </c>
      <c r="HG161" s="409"/>
      <c r="HH161" s="398">
        <f>IF(HG161=0,0,IF(LEN(GW161)=11,_xlfn.XLOOKUP(GW161,'Dispensed Ink Rates'!C:C,'Dispensed Ink Rates'!CS:CS),VLOOKUP(GW161,'Jan-2026 rates'!$E:$F,2,0)))</f>
        <v>0</v>
      </c>
      <c r="HI161" s="409"/>
      <c r="HJ161" s="398">
        <f>IF(HI161=0,0,IF(LEN(GX161)=11,_xlfn.XLOOKUP(GX161,'Dispensed Ink Rates'!C:C,'Dispensed Ink Rates'!CS:CS),VLOOKUP(GX161,'Jan-2026 rates'!$E:$F,2,0)))</f>
        <v>0</v>
      </c>
      <c r="HK161" s="409"/>
      <c r="HL161" s="398">
        <f>IF(HK161=0,0,IF(LEN(GY161)=11,_xlfn.XLOOKUP(GY161,'Dispensed Ink Rates'!C:C,'Dispensed Ink Rates'!CS:CS),VLOOKUP(GY161,'Jan-2026 rates'!$E:$F,2,0)))</f>
        <v>0</v>
      </c>
      <c r="HM161" s="409"/>
      <c r="HN161" s="398">
        <f>IF(HM161=0,0,IF(LEN(GZ161)=11,_xlfn.XLOOKUP(GZ161,'Dispensed Ink Rates'!C:C,'Dispensed Ink Rates'!CS:CS),VLOOKUP(GZ161,'Jan-2026 rates'!$E:$F,2,0)))</f>
        <v>0</v>
      </c>
      <c r="HO161" s="409"/>
      <c r="HP161" s="398">
        <f>IF(HO161=0,0,IF(LEN(HA161)=11,_xlfn.XLOOKUP(HA161,'Dispensed Ink Rates'!C:C,'Dispensed Ink Rates'!CS:CS),VLOOKUP(HA161,'Jan-2026 rates'!$E:$F,2,0)))</f>
        <v>0</v>
      </c>
      <c r="HQ161" s="409"/>
      <c r="HR161" s="398">
        <f>IF(HQ161=0,0,IF(LEN(HB161)=11,_xlfn.XLOOKUP(HB161,'Dispensed Ink Rates'!C:C,'Dispensed Ink Rates'!CS:CS),VLOOKUP(HB161,'Jan-2026 rates'!$E:$F,2,0)))</f>
        <v>0</v>
      </c>
      <c r="HS161" s="409"/>
      <c r="HT161" s="409"/>
      <c r="HU161" s="411">
        <f t="shared" si="121"/>
        <v>0</v>
      </c>
      <c r="HV161" s="411">
        <f t="shared" si="122"/>
        <v>0</v>
      </c>
      <c r="HW161" s="414">
        <f t="shared" si="123"/>
        <v>0</v>
      </c>
      <c r="HX161" s="405"/>
      <c r="HY161" s="409"/>
      <c r="HZ161" s="420" t="str">
        <f t="shared" si="59"/>
        <v xml:space="preserve"> - </v>
      </c>
      <c r="IA161" s="409"/>
      <c r="IB161" s="411">
        <f>IF(IA161=0,0,IF($LB161=70%,VLOOKUP($HZ161,'Jan-2026 rates'!$L:$R,4,0),IF($LB161=65%,VLOOKUP($HZ161,'Jan-2026 rates'!$L:$R,4,0),IF($LB161=40%,VLOOKUP($HZ161,'Jan-2026 rates'!$L:$R,5,0),IF($LB161=30%,VLOOKUP($HZ161,'Jan-2026 rates'!$L:$R,6,0),IF($LB161=100%,VLOOKUP($HZ161,'Jan-2026 rates'!$L:$R,7,0),IF($LB161=60%,VLOOKUP($HZ161,'Jan-2026 rates'!$L:$S,8,0),IF($LB161=80%,VLOOKUP($HZ161,'Jan-2026 rates'!L:T,9,0),0))))))))</f>
        <v>0</v>
      </c>
      <c r="IC161" s="412"/>
      <c r="ID161" s="409"/>
      <c r="IE161" s="411">
        <f>IF(ID161=0,0,IF($LB161=70%,VLOOKUP($HZ161,'Jan-2026 rates'!$L:$R,4,0),IF($LB161=65%,VLOOKUP($HZ161,'Jan-2026 rates'!$L:$R,4,0),IF($LB161=40%,VLOOKUP($HZ161,'Jan-2026 rates'!$L:$R,5,0),IF($LB161=30%,VLOOKUP($HZ161,'Jan-2026 rates'!$L:$R,6,0),IF($LB161=100%,VLOOKUP($HZ161,'Jan-2026 rates'!$L:$R,7,0),IF($LB161=60%,VLOOKUP($HZ161,'Jan-2026 rates'!$L:$S,8,0),IF($LB161=80%,VLOOKUP($HZ161,'Jan-2026 rates'!L:T,9,0),0))))))))</f>
        <v>0</v>
      </c>
      <c r="IF161" s="412"/>
      <c r="IG161" s="413"/>
      <c r="IH161" s="412"/>
      <c r="II161" s="412"/>
      <c r="IJ161" s="412"/>
      <c r="IK161" s="412"/>
      <c r="IL161" s="412"/>
      <c r="IM161" s="412"/>
      <c r="IN161" s="409"/>
      <c r="IO161" s="398">
        <f>IF(IN161=0,0,IF(LEN(IF161)=11,_xlfn.XLOOKUP(IF161,'Dispensed Ink Rates'!C:C,'Dispensed Ink Rates'!CS:CS),VLOOKUP(IF161,'Jan-2026 rates'!$E:$F,2,0)))</f>
        <v>0</v>
      </c>
      <c r="IP161" s="409"/>
      <c r="IQ161" s="398">
        <f>IF(IP161=0,0,IF(LEN(IG161)=11,_xlfn.XLOOKUP(IG161,'Dispensed Ink Rates'!C:C,'Dispensed Ink Rates'!CS:CS),VLOOKUP(IG161,'Jan-2026 rates'!$E:$F,2,0)))</f>
        <v>0</v>
      </c>
      <c r="IR161" s="409"/>
      <c r="IS161" s="398">
        <f>IF(IR161=0,0,IF(LEN(IH161)=11,_xlfn.XLOOKUP(IH161,'Dispensed Ink Rates'!C:C,'Dispensed Ink Rates'!CS:CS),VLOOKUP(IH161,'Jan-2026 rates'!$E:$F,2,0)))</f>
        <v>0</v>
      </c>
      <c r="IT161" s="409"/>
      <c r="IU161" s="398">
        <f>IF(IT161=0,0,IF(LEN(II161)=11,_xlfn.XLOOKUP(II161,'Dispensed Ink Rates'!C:C,'Dispensed Ink Rates'!CS:CS),VLOOKUP(II161,'Jan-2026 rates'!$E:$F,2,0)))</f>
        <v>0</v>
      </c>
      <c r="IV161" s="409"/>
      <c r="IW161" s="398">
        <f>IF(IV161=0,0,IF(LEN(IJ161)=11,_xlfn.XLOOKUP(IJ161,'Dispensed Ink Rates'!C:C,'Dispensed Ink Rates'!CS:CS),VLOOKUP(IJ161,'Jan-2026 rates'!$E:$F,2,0)))</f>
        <v>0</v>
      </c>
      <c r="IX161" s="409"/>
      <c r="IY161" s="398">
        <f>IF(IX161=0,0,IF(LEN(IK161)=11,_xlfn.XLOOKUP(IK161,'Dispensed Ink Rates'!C:C,'Dispensed Ink Rates'!CS:CS),VLOOKUP(IK161,'Jan-2026 rates'!$E:$F,2,0)))</f>
        <v>0</v>
      </c>
      <c r="IZ161" s="409"/>
      <c r="JA161" s="398">
        <f>IF(IZ161=0,0,IF(LEN(IL161)=11,_xlfn.XLOOKUP(IL161,'Dispensed Ink Rates'!C:C,'Dispensed Ink Rates'!CS:CS),VLOOKUP(IL161,'Jan-2026 rates'!$E:$F,2,0)))</f>
        <v>0</v>
      </c>
      <c r="JB161" s="409"/>
      <c r="JC161" s="398">
        <f>IF(JB161=0,0,IF(LEN(IM161)=11,_xlfn.XLOOKUP(IM161,'Dispensed Ink Rates'!C:C,'Dispensed Ink Rates'!CS:CS),VLOOKUP(IM161,'Jan-2026 rates'!$E:$F,2,0)))</f>
        <v>0</v>
      </c>
      <c r="JD161" s="409"/>
      <c r="JE161" s="409"/>
      <c r="JF161" s="411">
        <f t="shared" si="124"/>
        <v>0</v>
      </c>
      <c r="JG161" s="411">
        <f t="shared" si="125"/>
        <v>0</v>
      </c>
      <c r="JH161" s="410">
        <f t="shared" si="126"/>
        <v>0</v>
      </c>
      <c r="JI161" s="405"/>
      <c r="JJ161" s="409"/>
      <c r="JK161" s="420" t="str">
        <f t="shared" si="60"/>
        <v xml:space="preserve"> - </v>
      </c>
      <c r="JL161" s="409"/>
      <c r="JM161" s="411">
        <f>IF(JL161=0,0,IF($LB161=70%,VLOOKUP($JK161,'Jan-2026 rates'!$L:$R,4,0),IF($LB161=65%,VLOOKUP($JK161,'Jan-2026 rates'!$L:$R,4,0),IF($LB161=40%,VLOOKUP($JK161,'Jan-2026 rates'!$L:$R,5,0),IF($LB161=30%,VLOOKUP($JK161,'Jan-2026 rates'!$L:$R,6,0),IF($LB161=100%,VLOOKUP($JK161,'Jan-2026 rates'!$L:$R,7,0),IF($LB161=60%,VLOOKUP($JK161,'Jan-2026 rates'!$L:$S,8,0),IF($LB161=80%,VLOOKUP($JK161,'Jan-2026 rates'!L:T,9,0),0))))))))</f>
        <v>0</v>
      </c>
      <c r="JN161" s="412"/>
      <c r="JO161" s="409"/>
      <c r="JP161" s="411">
        <f>IF(JO161=0,0,IF($LB161=70%,VLOOKUP($JK161,'Jan-2026 rates'!$L:$R,4,0),IF($LB161=65%,VLOOKUP($JK161,'Jan-2026 rates'!$L:$R,4,0),IF($LB161=40%,VLOOKUP($JK161,'Jan-2026 rates'!$L:$R,5,0),IF($LB161=30%,VLOOKUP($JK161,'Jan-2026 rates'!$L:$R,6,0),IF($LB161=100%,VLOOKUP($JK161,'Jan-2026 rates'!$L:$R,7,0),IF($LB161=60%,VLOOKUP($JK161,'Jan-2026 rates'!$L:$S,8,0),IF($LB161=80%,VLOOKUP($JK161,'Jan-2026 rates'!L:T,9,0),0))))))))</f>
        <v>0</v>
      </c>
      <c r="JQ161" s="413"/>
      <c r="JR161" s="412"/>
      <c r="JS161" s="413"/>
      <c r="JT161" s="413"/>
      <c r="JU161" s="412"/>
      <c r="JV161" s="412"/>
      <c r="JW161" s="412"/>
      <c r="JX161" s="412"/>
      <c r="JY161" s="409"/>
      <c r="JZ161" s="398">
        <f>IF(JY161=0,0,IF(LEN(JQ161)=11,_xlfn.XLOOKUP(JQ161,'Dispensed Ink Rates'!C:C,'Dispensed Ink Rates'!CS:CS),VLOOKUP(JQ161,'Jan-2026 rates'!$E:$F,2,0)))</f>
        <v>0</v>
      </c>
      <c r="KA161" s="409"/>
      <c r="KB161" s="398">
        <f>IF(KA161=0,0,IF(LEN(JR161)=11,_xlfn.XLOOKUP(JR161,'Dispensed Ink Rates'!C:C,'Dispensed Ink Rates'!CS:CS),VLOOKUP(JR161,'Jan-2026 rates'!$E:$F,2,0)))</f>
        <v>0</v>
      </c>
      <c r="KC161" s="409"/>
      <c r="KD161" s="398">
        <f>IF(KC161=0,0,IF(LEN(JS161)=11,_xlfn.XLOOKUP(JS161,'Dispensed Ink Rates'!C:C,'Dispensed Ink Rates'!CS:CS),VLOOKUP(JS161,'Jan-2026 rates'!$E:$F,2,0)))</f>
        <v>0</v>
      </c>
      <c r="KE161" s="409"/>
      <c r="KF161" s="398">
        <f>IF(KE161=0,0,IF(LEN(JT161)=11,_xlfn.XLOOKUP(JT161,'Dispensed Ink Rates'!C:C,'Dispensed Ink Rates'!CS:CS),VLOOKUP(JT161,'Jan-2026 rates'!$E:$F,2,0)))</f>
        <v>0</v>
      </c>
      <c r="KG161" s="409"/>
      <c r="KH161" s="398">
        <f>IF(KG161=0,0,IF(LEN(JU161)=11,_xlfn.XLOOKUP(JU161,'Dispensed Ink Rates'!C:C,'Dispensed Ink Rates'!CS:CS),VLOOKUP(JU161,'Jan-2026 rates'!$E:$F,2,0)))</f>
        <v>0</v>
      </c>
      <c r="KI161" s="409"/>
      <c r="KJ161" s="398">
        <f>IF(KI161=0,0,IF(LEN(JV161)=11,_xlfn.XLOOKUP(JV161,'Dispensed Ink Rates'!C:C,'Dispensed Ink Rates'!CS:CS),VLOOKUP(JV161,'Jan-2026 rates'!$E:$F,2,0)))</f>
        <v>0</v>
      </c>
      <c r="KK161" s="409"/>
      <c r="KL161" s="398">
        <f>IF(KK161=0,0,IF(LEN(JW161)=11,_xlfn.XLOOKUP(JW161,'Dispensed Ink Rates'!C:C,'Dispensed Ink Rates'!CS:CS),VLOOKUP(JW161,'Jan-2026 rates'!$E:$F,2,0)))</f>
        <v>0</v>
      </c>
      <c r="KM161" s="428"/>
      <c r="KN161" s="398">
        <f>IF(KM161=0,0,IF(LEN(JX161)=11,_xlfn.XLOOKUP(JX161,'Dispensed Ink Rates'!C:C,'Dispensed Ink Rates'!CS:CS),VLOOKUP(JX161,'Jan-2026 rates'!$E:$F,2,0)))</f>
        <v>0</v>
      </c>
      <c r="KO161" s="409"/>
      <c r="KP161" s="409"/>
      <c r="KQ161" s="411">
        <f t="shared" si="127"/>
        <v>0</v>
      </c>
      <c r="KR161" s="411">
        <f t="shared" si="128"/>
        <v>0</v>
      </c>
      <c r="KS161" s="410">
        <f t="shared" si="129"/>
        <v>0</v>
      </c>
      <c r="KT161" s="409">
        <v>7</v>
      </c>
      <c r="KU161" s="409">
        <v>0</v>
      </c>
      <c r="KV161" s="409">
        <v>0</v>
      </c>
      <c r="KW161" s="409">
        <v>0</v>
      </c>
      <c r="KX161" s="409">
        <v>0</v>
      </c>
      <c r="KY161" s="409">
        <v>0</v>
      </c>
      <c r="KZ161" s="409">
        <v>0</v>
      </c>
      <c r="LA161" s="409">
        <v>0</v>
      </c>
      <c r="LB161" s="415">
        <v>0.3</v>
      </c>
      <c r="LC161" s="415"/>
      <c r="LD161" s="415"/>
      <c r="LE161" s="415">
        <v>0.5</v>
      </c>
      <c r="LF161" s="415">
        <v>0.2</v>
      </c>
      <c r="LG161" s="409">
        <v>0</v>
      </c>
      <c r="LH161" s="409">
        <f>7+10+12+20+5+3+8</f>
        <v>65</v>
      </c>
      <c r="LI161" s="409">
        <v>0</v>
      </c>
      <c r="LJ161" s="409">
        <v>0</v>
      </c>
      <c r="LK161" s="416">
        <f t="shared" si="61"/>
        <v>65</v>
      </c>
      <c r="LL161" s="416">
        <f t="shared" si="62"/>
        <v>65</v>
      </c>
      <c r="LM161" s="417">
        <f t="shared" si="63"/>
        <v>19.5</v>
      </c>
      <c r="LN161" s="417">
        <f>VLOOKUP($LM$8,'Jan-2026 rates'!$H:$I,2,0)</f>
        <v>0</v>
      </c>
      <c r="LO161" s="417">
        <f t="shared" si="64"/>
        <v>0</v>
      </c>
      <c r="LP161" s="417">
        <f>VLOOKUP($LO$8,'Jan-2026 rates'!$H:$I,2,0)</f>
        <v>0</v>
      </c>
      <c r="LQ161" s="417">
        <f t="shared" si="65"/>
        <v>0</v>
      </c>
      <c r="LR161" s="417">
        <f>VLOOKUP($LQ$8,'Jan-2026 rates'!$H:$I,2,0)</f>
        <v>0</v>
      </c>
      <c r="LS161" s="417">
        <f t="shared" si="66"/>
        <v>32.5</v>
      </c>
      <c r="LT161" s="417">
        <f>VLOOKUP($LS$8,'Jan-2026 rates'!$H:$I,2,0)</f>
        <v>0</v>
      </c>
      <c r="LU161" s="417">
        <f t="shared" si="67"/>
        <v>13</v>
      </c>
      <c r="LV161" s="417">
        <f>VLOOKUP($LU$8,'Jan-2026 rates'!$H:$I,2,0)</f>
        <v>0</v>
      </c>
      <c r="LW161" s="417">
        <f t="shared" si="68"/>
        <v>0</v>
      </c>
      <c r="LX161" s="417">
        <f t="shared" si="69"/>
        <v>0</v>
      </c>
      <c r="LY161" s="418">
        <f t="shared" si="70"/>
        <v>0</v>
      </c>
      <c r="LZ161" s="417"/>
      <c r="MA161" s="435">
        <f t="shared" si="71"/>
        <v>23.36</v>
      </c>
      <c r="MB161" s="282">
        <f t="shared" si="72"/>
        <v>87.360000000000014</v>
      </c>
      <c r="MC161" s="283" t="s">
        <v>1996</v>
      </c>
      <c r="MD161" s="284" t="str">
        <f t="shared" si="73"/>
        <v>ToyoLi</v>
      </c>
      <c r="ME161" s="293" t="str">
        <f t="shared" si="74"/>
        <v>+</v>
      </c>
      <c r="MF161" s="293" t="str">
        <f t="shared" si="75"/>
        <v>NIL</v>
      </c>
      <c r="MG161" s="293" t="str">
        <f t="shared" si="76"/>
        <v>NIL</v>
      </c>
      <c r="MH161" s="293" t="str">
        <f t="shared" si="77"/>
        <v>NIL</v>
      </c>
      <c r="MI161" s="293" t="str">
        <f t="shared" si="78"/>
        <v>NIL</v>
      </c>
      <c r="MJ161" s="293" t="str">
        <f t="shared" si="79"/>
        <v>NIL</v>
      </c>
      <c r="MK161" s="293" t="str">
        <f t="shared" si="80"/>
        <v>NIL</v>
      </c>
      <c r="ML161" s="293" t="str">
        <f t="shared" si="81"/>
        <v>NIL</v>
      </c>
      <c r="MM161" s="3" t="b">
        <f t="array" ref="MM161">OR(ME161:ML161="-")</f>
        <v>0</v>
      </c>
      <c r="MN161" s="285"/>
      <c r="MO161" s="401"/>
      <c r="MP161" s="286"/>
      <c r="MQ161" s="286"/>
      <c r="MR161" s="402"/>
      <c r="MS161" s="400"/>
      <c r="NH161" s="422"/>
      <c r="NJ161" s="421"/>
    </row>
    <row r="162" spans="1:374" s="1" customFormat="1" ht="16.5">
      <c r="A162" s="403">
        <v>46034</v>
      </c>
      <c r="B162" s="404" t="s">
        <v>1015</v>
      </c>
      <c r="C162" s="405" t="s">
        <v>3530</v>
      </c>
      <c r="D162" s="406" t="s">
        <v>1997</v>
      </c>
      <c r="E162" s="404">
        <v>167</v>
      </c>
      <c r="F162" s="407">
        <v>10200</v>
      </c>
      <c r="G162" s="407" t="s">
        <v>1016</v>
      </c>
      <c r="H162" s="408" t="s">
        <v>1017</v>
      </c>
      <c r="I162" s="409">
        <v>0.8</v>
      </c>
      <c r="J162" s="405" t="s">
        <v>829</v>
      </c>
      <c r="K162" s="404" t="s">
        <v>3531</v>
      </c>
      <c r="L162" s="419" t="str">
        <f t="shared" si="54"/>
        <v>ToyoLi - MEDIUM</v>
      </c>
      <c r="M162" s="404">
        <v>17</v>
      </c>
      <c r="N162" s="410">
        <f>IF(M162=0,0,IF($LB162=70%,VLOOKUP($L162,'Jan-2026 rates'!$L:$R,4,0),IF($LB162=65%,VLOOKUP($L162,'Jan-2026 rates'!$L:$R,4,0),IF($LB162=40%,VLOOKUP($L162,'Jan-2026 rates'!$L:$R,5,0),IF($LB162=30%,VLOOKUP($L162,'Jan-2026 rates'!$L:$R,6,0),IF($LB162=100%,VLOOKUP($L162,'Jan-2026 rates'!$L:$R,7,0),IF($LB162=60%,VLOOKUP($L162,'Jan-2026 rates'!$L:$S,8,0),IF($LB162=80%,VLOOKUP($L162,'Jan-2026 rates'!L:T,9,0),0))))))))</f>
        <v>0</v>
      </c>
      <c r="O162" s="406" t="s">
        <v>3532</v>
      </c>
      <c r="P162" s="404">
        <f>6+18</f>
        <v>24</v>
      </c>
      <c r="Q162" s="410">
        <f>IF(P162=0,0,IF($LB162=70%,VLOOKUP($L162,'Jan-2026 rates'!$L:$R,4,0),IF($LB162=65%,VLOOKUP($L162,'Jan-2026 rates'!$L:$R,4,0),IF($LB162=40%,VLOOKUP($L162,'Jan-2026 rates'!$L:$R,5,0),IF($LB162=30%,VLOOKUP($L162,'Jan-2026 rates'!$L:$R,6,0),IF($LB162=100%,VLOOKUP($L162,'Jan-2026 rates'!$L:$R,7,0),IF($LB162=60%,VLOOKUP($L162,'Jan-2026 rates'!$L:$S,8,0),IF($LB162=80%,VLOOKUP($L162,'Jan-2026 rates'!L:T,9,0),0))))))))</f>
        <v>0</v>
      </c>
      <c r="R162" s="406" t="s">
        <v>1249</v>
      </c>
      <c r="S162" s="406" t="s">
        <v>1247</v>
      </c>
      <c r="T162" s="406" t="s">
        <v>1252</v>
      </c>
      <c r="U162" s="406" t="s">
        <v>1248</v>
      </c>
      <c r="V162" s="406" t="s">
        <v>1122</v>
      </c>
      <c r="W162" s="406"/>
      <c r="X162" s="406"/>
      <c r="Y162" s="406"/>
      <c r="Z162" s="404">
        <v>10</v>
      </c>
      <c r="AA162" s="398">
        <f>IF(Z162=0,0,IF(LEN(R162)=11,_xlfn.XLOOKUP(R162,'Dispensed Ink Rates'!C:C,'Dispensed Ink Rates'!CS:CS),VLOOKUP(R162,'Jan-2026 rates'!$E:$F,2,0)))</f>
        <v>0</v>
      </c>
      <c r="AB162" s="404">
        <v>2</v>
      </c>
      <c r="AC162" s="398">
        <f>IF(AB162=0,0,IF(LEN(S162)=11,_xlfn.XLOOKUP(S162,'Dispensed Ink Rates'!C:C,'Dispensed Ink Rates'!CS:CS),VLOOKUP(S162,'Jan-2026 rates'!$E:$F,2,0)))</f>
        <v>0</v>
      </c>
      <c r="AD162" s="404">
        <v>0.2</v>
      </c>
      <c r="AE162" s="398">
        <f>IF(AD162=0,0,IF(LEN(T162)=11,_xlfn.XLOOKUP(T162,'Dispensed Ink Rates'!C:C,'Dispensed Ink Rates'!CS:CS),VLOOKUP(T162,'Jan-2026 rates'!$E:$F,2,0)))</f>
        <v>0</v>
      </c>
      <c r="AF162" s="404">
        <v>0.5</v>
      </c>
      <c r="AG162" s="398">
        <f>IF(AF162=0,0,IF(LEN(U162)=11,_xlfn.XLOOKUP(U162,'Dispensed Ink Rates'!C:C,'Dispensed Ink Rates'!CS:CS),VLOOKUP(U162,'Jan-2026 rates'!$E:$F,2,0)))</f>
        <v>0</v>
      </c>
      <c r="AH162" s="404">
        <v>1</v>
      </c>
      <c r="AI162" s="398">
        <f>IF(AH162=0,0,IF(LEN(V162)=11,_xlfn.XLOOKUP(V162,'Dispensed Ink Rates'!C:C,'Dispensed Ink Rates'!CS:CS),VLOOKUP(V162,'Jan-2026 rates'!$E:$F,2,0)))</f>
        <v>0</v>
      </c>
      <c r="AJ162" s="404"/>
      <c r="AK162" s="398">
        <f>IF(AJ162=0,0,IF(LEN(W162)=11,_xlfn.XLOOKUP(W162,'Dispensed Ink Rates'!C:C,'Dispensed Ink Rates'!CS:CS),VLOOKUP(W162,'Jan-2026 rates'!$E:$F,2,0)))</f>
        <v>0</v>
      </c>
      <c r="AL162" s="404"/>
      <c r="AM162" s="398">
        <f>IF(AL162=0,0,IF(LEN(X162)=11,_xlfn.XLOOKUP(X162,'Dispensed Ink Rates'!C:C,'Dispensed Ink Rates'!CS:CS),VLOOKUP(X162,'Jan-2026 rates'!$E:$F,2,0)))</f>
        <v>0</v>
      </c>
      <c r="AN162" s="404"/>
      <c r="AO162" s="398">
        <f>IF(AN162=0,0,IF(LEN(Y162)=11,_xlfn.XLOOKUP(Y162,'Dispensed Ink Rates'!C:C,'Dispensed Ink Rates'!CS:CS),VLOOKUP(Y162,'Jan-2026 rates'!$E:$F,2,0)))</f>
        <v>0</v>
      </c>
      <c r="AP162" s="409" t="s">
        <v>1881</v>
      </c>
      <c r="AQ162" s="409">
        <f>20+11</f>
        <v>31</v>
      </c>
      <c r="AR162" s="410">
        <f t="shared" si="106"/>
        <v>0</v>
      </c>
      <c r="AS162" s="411">
        <f t="shared" si="107"/>
        <v>65.7</v>
      </c>
      <c r="AT162" s="410">
        <f t="shared" si="108"/>
        <v>0</v>
      </c>
      <c r="AU162" s="405"/>
      <c r="AV162" s="409"/>
      <c r="AW162" s="420" t="str">
        <f t="shared" si="130"/>
        <v xml:space="preserve"> - </v>
      </c>
      <c r="AX162" s="409"/>
      <c r="AY162" s="411">
        <f>IF(AX162=0,0,IF($LB162=70%,VLOOKUP($AW162,'Jan-2026 rates'!$L:$R,4,0),IF($LB162=65%,VLOOKUP($AW162,'Jan-2026 rates'!$L:$R,4,0),IF($LB162=40%,VLOOKUP($AW162,'Jan-2026 rates'!$L:$R,5,0),IF($LB162=30%,VLOOKUP($AW162,'Jan-2026 rates'!$L:$R,6,0),IF($LB162=100%,VLOOKUP($AW162,'Jan-2026 rates'!$L:$R,7,0),IF($LB162=60%,VLOOKUP($AW162,'Jan-2026 rates'!$L:$S,8,0),IF($LB162=80%,VLOOKUP($AW162,'Jan-2026 rates'!L:T,9,0),0))))))))</f>
        <v>0</v>
      </c>
      <c r="AZ162" s="412"/>
      <c r="BA162" s="409"/>
      <c r="BB162" s="411">
        <f>IF(BA162=0,0,IF($LB162=70%,VLOOKUP($AW162,'Jan-2026 rates'!$L:$R,4,0),IF($LB162=65%,VLOOKUP($AW162,'Jan-2026 rates'!$L:$R,4,0),IF($LB162=40%,VLOOKUP($AW162,'Jan-2026 rates'!$L:$R,5,0),IF($LB162=30%,VLOOKUP($AW162,'Jan-2026 rates'!$L:$R,6,0),IF($LB162=100%,VLOOKUP($AW162,'Jan-2026 rates'!$L:$R,7,0),IF($LB162=60%,VLOOKUP($AW162,'Jan-2026 rates'!$L:$S,8,0),IF($LB162=80%,VLOOKUP($AW162,'Jan-2026 rates'!L:T,9,0),0))))))))</f>
        <v>0</v>
      </c>
      <c r="BC162" s="413"/>
      <c r="BD162" s="412"/>
      <c r="BE162" s="412"/>
      <c r="BF162" s="413"/>
      <c r="BG162" s="412"/>
      <c r="BH162" s="412"/>
      <c r="BI162" s="412"/>
      <c r="BJ162" s="412"/>
      <c r="BK162" s="409"/>
      <c r="BL162" s="398">
        <f>IF(BK162=0,0,IF(LEN(BC162)=11,_xlfn.XLOOKUP(BC162,'Dispensed Ink Rates'!C:C,'Dispensed Ink Rates'!CS:CS),VLOOKUP(BC162,'Jan-2026 rates'!$E:$F,2,0)))</f>
        <v>0</v>
      </c>
      <c r="BM162" s="409"/>
      <c r="BN162" s="398">
        <f>IF(BM162=0,0,IF(LEN(BD162)=11,_xlfn.XLOOKUP(BD162,'Dispensed Ink Rates'!C:C,'Dispensed Ink Rates'!CS:CS),VLOOKUP(BD162,'Jan-2026 rates'!$E:$F,2,0)))</f>
        <v>0</v>
      </c>
      <c r="BO162" s="409"/>
      <c r="BP162" s="398">
        <f>IF(BO162=0,0,IF(LEN(BE162)=11,_xlfn.XLOOKUP(BE162,'Dispensed Ink Rates'!C:C,'Dispensed Ink Rates'!CS:CS),VLOOKUP(BE162,'Jan-2026 rates'!$E:$F,2,0)))</f>
        <v>0</v>
      </c>
      <c r="BQ162" s="409"/>
      <c r="BR162" s="398">
        <f>IF(BQ162=0,0,IF(LEN(BF162)=11,_xlfn.XLOOKUP(BF162,'Dispensed Ink Rates'!C:C,'Dispensed Ink Rates'!CS:CS),VLOOKUP(BF162,'Jan-2026 rates'!$E:$F,2,0)))</f>
        <v>0</v>
      </c>
      <c r="BS162" s="409"/>
      <c r="BT162" s="398">
        <f>IF(BS162=0,0,IF(LEN(BG162)=11,_xlfn.XLOOKUP(BG162,'Dispensed Ink Rates'!C:C,'Dispensed Ink Rates'!CS:CS),VLOOKUP(BG162,'Jan-2026 rates'!$E:$F,2,0)))</f>
        <v>0</v>
      </c>
      <c r="BU162" s="409"/>
      <c r="BV162" s="398">
        <f>IF(BU162=0,0,IF(LEN(BH162)=11,_xlfn.XLOOKUP(BH162,'Dispensed Ink Rates'!C:C,'Dispensed Ink Rates'!CS:CS),VLOOKUP(BH162,'Jan-2026 rates'!$E:$F,2,0)))</f>
        <v>0</v>
      </c>
      <c r="BW162" s="409"/>
      <c r="BX162" s="398">
        <f>IF(BW162=0,0,IF(LEN(BI162)=11,_xlfn.XLOOKUP(BI162,'Dispensed Ink Rates'!C:C,'Dispensed Ink Rates'!CS:CS),VLOOKUP(BI162,'Jan-2026 rates'!$E:$F,2,0)))</f>
        <v>0</v>
      </c>
      <c r="BY162" s="409"/>
      <c r="BZ162" s="398">
        <f>IF(BY162=0,0,IF(LEN(BJ162)=11,_xlfn.XLOOKUP(BJ162,'Dispensed Ink Rates'!C:C,'Dispensed Ink Rates'!CS:CS),VLOOKUP(BJ162,'Jan-2026 rates'!$E:$F,2,0)))</f>
        <v>0</v>
      </c>
      <c r="CA162" s="409"/>
      <c r="CB162" s="409"/>
      <c r="CC162" s="411">
        <f t="shared" si="109"/>
        <v>0</v>
      </c>
      <c r="CD162" s="411">
        <f t="shared" si="110"/>
        <v>0</v>
      </c>
      <c r="CE162" s="410">
        <f t="shared" si="111"/>
        <v>0</v>
      </c>
      <c r="CF162" s="404"/>
      <c r="CG162" s="409"/>
      <c r="CH162" s="420" t="str">
        <f t="shared" si="55"/>
        <v xml:space="preserve"> - </v>
      </c>
      <c r="CI162" s="409"/>
      <c r="CJ162" s="411">
        <f>IF(CI162=0,0,IF($LB162=70%,VLOOKUP($CH162,'Jan-2026 rates'!$L:$R,4,0),IF($LB162=65%,VLOOKUP($CH162,'Jan-2026 rates'!$L:$R,4,0),IF($LB162=40%,VLOOKUP($CH162,'Jan-2026 rates'!$L:$R,5,0),IF($LB162=30%,VLOOKUP($CH162,'Jan-2026 rates'!$L:$R,6,0),IF($LB162=100%,VLOOKUP($CH162,'Jan-2026 rates'!$L:$R,7,0),IF($LB162=60%,VLOOKUP($CH162,'Jan-2026 rates'!$L:$S,8,0),IF($LB162=80%,VLOOKUP($CH162,'Jan-2026 rates'!L:T,9,0),0))))))))</f>
        <v>0</v>
      </c>
      <c r="CK162" s="412"/>
      <c r="CL162" s="409"/>
      <c r="CM162" s="411">
        <f>IF(CL162=0,0,IF($LB162=70%,VLOOKUP($CH162,'Jan-2026 rates'!$L:$R,4,0),IF($LB162=65%,VLOOKUP($CH162,'Jan-2026 rates'!$L:$R,4,0),IF($LB162=40%,VLOOKUP($CH162,'Jan-2026 rates'!$L:$R,5,0),IF($LB162=30%,VLOOKUP($CH162,'Jan-2026 rates'!$L:$R,6,0),IF($LB162=100%,VLOOKUP($CH162,'Jan-2026 rates'!$L:$R,7,0),IF($LB162=60%,VLOOKUP($CH162,'Jan-2026 rates'!$L:$S,8,0),IF($LB162=80%,VLOOKUP($CH162,'Jan-2026 rates'!L:T,9,0),0))))))))</f>
        <v>0</v>
      </c>
      <c r="CN162" s="426"/>
      <c r="CO162" s="427"/>
      <c r="CP162" s="426"/>
      <c r="CQ162" s="426"/>
      <c r="CR162" s="428"/>
      <c r="CS162" s="428"/>
      <c r="CT162" s="428"/>
      <c r="CU162" s="428"/>
      <c r="CV162" s="409"/>
      <c r="CW162" s="398">
        <f>IF(CV162=0,0,IF(LEN(CN162)=11,_xlfn.XLOOKUP(CN162,'Dispensed Ink Rates'!C:C,'Dispensed Ink Rates'!CS:CS),VLOOKUP(CN162,'Jan-2026 rates'!$E:$F,2,0)))</f>
        <v>0</v>
      </c>
      <c r="CX162" s="409"/>
      <c r="CY162" s="398">
        <f>IF(CX162=0,0,IF(LEN(CO162)=11,_xlfn.XLOOKUP(CO162,'Dispensed Ink Rates'!C:C,'Dispensed Ink Rates'!CS:CS),VLOOKUP(CO162,'Jan-2026 rates'!$E:$F,2,0)))</f>
        <v>0</v>
      </c>
      <c r="CZ162" s="409"/>
      <c r="DA162" s="398">
        <f>IF(CZ162=0,0,IF(LEN(CP162)=11,_xlfn.XLOOKUP(CP162,'Dispensed Ink Rates'!C:C,'Dispensed Ink Rates'!CS:CS),VLOOKUP(CP162,'Jan-2026 rates'!$E:$F,2,0)))</f>
        <v>0</v>
      </c>
      <c r="DB162" s="409"/>
      <c r="DC162" s="398">
        <f>IF(DB162=0,0,IF(LEN(CQ162)=11,_xlfn.XLOOKUP(CQ162,'Dispensed Ink Rates'!C:C,'Dispensed Ink Rates'!CS:CS),VLOOKUP(CQ162,'Jan-2026 rates'!$E:$F,2,0)))</f>
        <v>0</v>
      </c>
      <c r="DD162" s="409"/>
      <c r="DE162" s="398">
        <f>IF(DD162=0,0,IF(LEN(CR162)=11,_xlfn.XLOOKUP(CR162,'Dispensed Ink Rates'!C:C,'Dispensed Ink Rates'!CS:CS),VLOOKUP(CR162,'Jan-2026 rates'!$E:$F,2,0)))</f>
        <v>0</v>
      </c>
      <c r="DF162" s="409"/>
      <c r="DG162" s="398">
        <f>IF(DF162=0,0,IF(LEN(CS162)=11,_xlfn.XLOOKUP(CS162,'Dispensed Ink Rates'!C:C,'Dispensed Ink Rates'!CS:CS),VLOOKUP(CS162,'Jan-2026 rates'!$E:$F,2,0)))</f>
        <v>0</v>
      </c>
      <c r="DH162" s="409"/>
      <c r="DI162" s="398">
        <f>IF(DH162=0,0,IF(LEN(CT162)=11,_xlfn.XLOOKUP(CT162,'Dispensed Ink Rates'!C:C,'Dispensed Ink Rates'!CS:CS),VLOOKUP(CT162,'Jan-2026 rates'!$E:$F,2,0)))</f>
        <v>0</v>
      </c>
      <c r="DJ162" s="409"/>
      <c r="DK162" s="398">
        <f>IF(DJ162=0,0,IF(LEN(CU162)=11,_xlfn.XLOOKUP(CU162,'Dispensed Ink Rates'!C:C,'Dispensed Ink Rates'!CS:CS),VLOOKUP(CU162,'Jan-2026 rates'!$E:$F,2,0)))</f>
        <v>0</v>
      </c>
      <c r="DL162" s="409"/>
      <c r="DM162" s="409"/>
      <c r="DN162" s="411">
        <f t="shared" si="112"/>
        <v>0</v>
      </c>
      <c r="DO162" s="411">
        <f t="shared" si="113"/>
        <v>0</v>
      </c>
      <c r="DP162" s="410">
        <f t="shared" si="114"/>
        <v>0</v>
      </c>
      <c r="DQ162" s="405"/>
      <c r="DR162" s="409"/>
      <c r="DS162" s="420" t="str">
        <f t="shared" si="56"/>
        <v xml:space="preserve"> - </v>
      </c>
      <c r="DT162" s="409"/>
      <c r="DU162" s="411">
        <f>IF(DT162=0,0,IF($LB162=70%,VLOOKUP($DS162,'Jan-2026 rates'!$L:$R,4,0),IF($LB162=65%,VLOOKUP($DS162,'Jan-2026 rates'!$L:$R,4,0),IF($LB162=40%,VLOOKUP($DS162,'Jan-2026 rates'!$L:$R,5,0),IF($LB162=30%,VLOOKUP($DS162,'Jan-2026 rates'!$L:$R,6,0),IF($LB162=100%,VLOOKUP($DS162,'Jan-2026 rates'!$L:$R,7,0),IF($LB162=60%,VLOOKUP($DS162,'Jan-2026 rates'!$L:$S,8,0),IF($LB162=80%,VLOOKUP($DS162,'Jan-2026 rates'!L:T,9,0),0))))))))</f>
        <v>0</v>
      </c>
      <c r="DV162" s="412"/>
      <c r="DW162" s="409"/>
      <c r="DX162" s="411">
        <f>IF(DW162=0,0,IF($LB162=70%,VLOOKUP($DS162,'Jan-2026 rates'!$L:$R,4,0),IF($LB162=65%,VLOOKUP($DS162,'Jan-2026 rates'!$L:$R,4,0),IF($LB162=40%,VLOOKUP($DS162,'Jan-2026 rates'!$L:$R,5,0),IF($LB162=30%,VLOOKUP($DS162,'Jan-2026 rates'!$L:$R,6,0),IF($LB162=100%,VLOOKUP($DS162,'Jan-2026 rates'!$L:$R,7,0),IF($LB162=60%,VLOOKUP($DS162,'Jan-2026 rates'!$L:$S,8,0),IF($LB162=80%,VLOOKUP($DS162,'Jan-2026 rates'!L:T,9,0),0))))))))</f>
        <v>0</v>
      </c>
      <c r="DY162" s="413"/>
      <c r="DZ162" s="413"/>
      <c r="EA162" s="412"/>
      <c r="EB162" s="412"/>
      <c r="EC162" s="412"/>
      <c r="ED162" s="412"/>
      <c r="EE162" s="412"/>
      <c r="EF162" s="412"/>
      <c r="EG162" s="409"/>
      <c r="EH162" s="398">
        <f>IF(EG162=0,0,IF(LEN(DY162)=11,_xlfn.XLOOKUP(DY162,'Dispensed Ink Rates'!C:C,'Dispensed Ink Rates'!CS:CS),VLOOKUP(DY162,'Jan-2026 rates'!$E:$F,2,0)))</f>
        <v>0</v>
      </c>
      <c r="EI162" s="409"/>
      <c r="EJ162" s="398">
        <f>IF(EI162=0,0,IF(LEN(DZ162)=11,_xlfn.XLOOKUP(DZ162,'Dispensed Ink Rates'!C:C,'Dispensed Ink Rates'!CS:CS),VLOOKUP(DZ162,'Jan-2026 rates'!$E:$F,2,0)))</f>
        <v>0</v>
      </c>
      <c r="EK162" s="409"/>
      <c r="EL162" s="398">
        <f>IF(EK162=0,0,IF(LEN(EA162)=11,_xlfn.XLOOKUP(EA162,'Dispensed Ink Rates'!C:C,'Dispensed Ink Rates'!CS:CS),VLOOKUP(EA162,'Jan-2026 rates'!$E:$F,2,0)))</f>
        <v>0</v>
      </c>
      <c r="EM162" s="409"/>
      <c r="EN162" s="398">
        <f>IF(EM162=0,0,IF(LEN(EB162)=11,_xlfn.XLOOKUP(EB162,'Dispensed Ink Rates'!C:C,'Dispensed Ink Rates'!CS:CS),VLOOKUP(EB162,'Jan-2026 rates'!$E:$F,2,0)))</f>
        <v>0</v>
      </c>
      <c r="EO162" s="409"/>
      <c r="EP162" s="398">
        <f>IF(EO162=0,0,IF(LEN(EC162)=11,_xlfn.XLOOKUP(EC162,'Dispensed Ink Rates'!C:C,'Dispensed Ink Rates'!CS:CS),VLOOKUP(EC162,'Jan-2026 rates'!$E:$F,2,0)))</f>
        <v>0</v>
      </c>
      <c r="EQ162" s="409"/>
      <c r="ER162" s="398">
        <f>IF(EQ162=0,0,IF(LEN(ED162)=11,_xlfn.XLOOKUP(ED162,'Dispensed Ink Rates'!C:C,'Dispensed Ink Rates'!CS:CS),VLOOKUP(ED162,'Jan-2026 rates'!$E:$F,2,0)))</f>
        <v>0</v>
      </c>
      <c r="ES162" s="409"/>
      <c r="ET162" s="398">
        <f>IF(ES162=0,0,IF(LEN(EE162)=11,_xlfn.XLOOKUP(EE162,'Dispensed Ink Rates'!C:C,'Dispensed Ink Rates'!CS:CS),VLOOKUP(EE162,'Jan-2026 rates'!$E:$F,2,0)))</f>
        <v>0</v>
      </c>
      <c r="EU162" s="409"/>
      <c r="EV162" s="398">
        <f>IF(EU162=0,0,IF(LEN(EF162)=11,_xlfn.XLOOKUP(EF162,'Dispensed Ink Rates'!C:C,'Dispensed Ink Rates'!CS:CS),VLOOKUP(EF162,'Jan-2026 rates'!$E:$F,2,0)))</f>
        <v>0</v>
      </c>
      <c r="EW162" s="409"/>
      <c r="EX162" s="409"/>
      <c r="EY162" s="411">
        <f t="shared" si="115"/>
        <v>0</v>
      </c>
      <c r="EZ162" s="411">
        <f t="shared" si="116"/>
        <v>0</v>
      </c>
      <c r="FA162" s="410">
        <f t="shared" si="117"/>
        <v>0</v>
      </c>
      <c r="FB162" s="405"/>
      <c r="FC162" s="409"/>
      <c r="FD162" s="420" t="str">
        <f t="shared" si="57"/>
        <v xml:space="preserve"> - </v>
      </c>
      <c r="FE162" s="409"/>
      <c r="FF162" s="411">
        <f>IF(FE162=0,0,IF($LB162=70%,VLOOKUP($FD162,'Jan-2026 rates'!$L:$R,4,0),IF($LB162=65%,VLOOKUP($FD162,'Jan-2026 rates'!$L:$R,4,0),IF($LB162=40%,VLOOKUP($FD162,'Jan-2026 rates'!$L:$R,5,0),IF($LB162=30%,VLOOKUP($FD162,'Jan-2026 rates'!$L:$R,6,0),IF($LB162=100%,VLOOKUP($FD162,'Jan-2026 rates'!$L:$R,7,0),IF($LB162=60%,VLOOKUP($FD162,'Jan-2026 rates'!$L:$S,8,0),IF($LB162=80%,VLOOKUP($FD162,'Jan-2026 rates'!L:T,9,0),0))))))))</f>
        <v>0</v>
      </c>
      <c r="FG162" s="412"/>
      <c r="FH162" s="409"/>
      <c r="FI162" s="411">
        <f>IF(FH162=0,0,IF($LB162=70%,VLOOKUP($FD162,'Jan-2026 rates'!$L:$R,4,0),IF($LB162=65%,VLOOKUP($FD162,'Jan-2026 rates'!$L:$R,4,0),IF($LB162=40%,VLOOKUP($FD162,'Jan-2026 rates'!$L:$R,5,0),IF($LB162=30%,VLOOKUP($FD162,'Jan-2026 rates'!$L:$R,6,0),IF($LB162=100%,VLOOKUP($FD162,'Jan-2026 rates'!$L:$R,7,0),IF($LB162=60%,VLOOKUP($FD162,'Jan-2026 rates'!$L:$S,8,0),IF($LB162=80%,VLOOKUP($FD162,'Jan-2026 rates'!L:T,9,0),0))))))))</f>
        <v>0</v>
      </c>
      <c r="FJ162" s="413"/>
      <c r="FK162" s="413"/>
      <c r="FL162" s="413"/>
      <c r="FM162" s="412"/>
      <c r="FN162" s="412"/>
      <c r="FO162" s="412"/>
      <c r="FP162" s="412"/>
      <c r="FQ162" s="412"/>
      <c r="FR162" s="409"/>
      <c r="FS162" s="398">
        <f>IF(FR162=0,0,IF(LEN(FJ162)=11,_xlfn.XLOOKUP(FJ162,'Dispensed Ink Rates'!C:C,'Dispensed Ink Rates'!CS:CS),VLOOKUP(FJ162,'Jan-2026 rates'!$E:$F,2,0)))</f>
        <v>0</v>
      </c>
      <c r="FT162" s="409"/>
      <c r="FU162" s="398">
        <f>IF(FT162=0,0,IF(LEN(FK162)=11,_xlfn.XLOOKUP(FK162,'Dispensed Ink Rates'!C:C,'Dispensed Ink Rates'!CS:CS),VLOOKUP(FK162,'Jan-2026 rates'!$E:$F,2,0)))</f>
        <v>0</v>
      </c>
      <c r="FV162" s="409"/>
      <c r="FW162" s="398">
        <f>IF(FV162=0,0,IF(LEN(FL162)=11,_xlfn.XLOOKUP(FL162,'Dispensed Ink Rates'!C:C,'Dispensed Ink Rates'!CS:CS),VLOOKUP(FL162,'Jan-2026 rates'!$E:$F,2,0)))</f>
        <v>0</v>
      </c>
      <c r="FX162" s="409"/>
      <c r="FY162" s="398">
        <f>IF(FX162=0,0,IF(LEN(FM162)=11,_xlfn.XLOOKUP(FM162,'Dispensed Ink Rates'!C:C,'Dispensed Ink Rates'!CS:CS),VLOOKUP(FM162,'Jan-2026 rates'!$E:$F,2,0)))</f>
        <v>0</v>
      </c>
      <c r="FZ162" s="409"/>
      <c r="GA162" s="398">
        <f>IF(FZ162=0,0,IF(LEN(FN162)=11,_xlfn.XLOOKUP(FN162,'Dispensed Ink Rates'!C:C,'Dispensed Ink Rates'!CS:CS),VLOOKUP(FN162,'Jan-2026 rates'!$E:$F,2,0)))</f>
        <v>0</v>
      </c>
      <c r="GB162" s="409"/>
      <c r="GC162" s="398">
        <f>IF(GB162=0,0,IF(LEN(FO162)=11,_xlfn.XLOOKUP(FO162,'Dispensed Ink Rates'!C:C,'Dispensed Ink Rates'!CS:CS),VLOOKUP(FO162,'Jan-2026 rates'!$E:$F,2,0)))</f>
        <v>0</v>
      </c>
      <c r="GD162" s="409"/>
      <c r="GE162" s="398">
        <f>IF(GD162=0,0,IF(LEN(FP162)=11,_xlfn.XLOOKUP(FP162,'Dispensed Ink Rates'!C:C,'Dispensed Ink Rates'!CS:CS),VLOOKUP(FP162,'Jan-2026 rates'!$E:$F,2,0)))</f>
        <v>0</v>
      </c>
      <c r="GF162" s="409"/>
      <c r="GG162" s="398">
        <f>IF(GF162=0,0,IF(LEN(FQ162)=11,_xlfn.XLOOKUP(FQ162,'Dispensed Ink Rates'!C:C,'Dispensed Ink Rates'!CS:CS),VLOOKUP(FQ162,'Jan-2026 rates'!$E:$F,2,0)))</f>
        <v>0</v>
      </c>
      <c r="GH162" s="409"/>
      <c r="GI162" s="409"/>
      <c r="GJ162" s="411">
        <f t="shared" si="118"/>
        <v>0</v>
      </c>
      <c r="GK162" s="411">
        <f t="shared" si="119"/>
        <v>0</v>
      </c>
      <c r="GL162" s="410">
        <f t="shared" si="120"/>
        <v>0</v>
      </c>
      <c r="GM162" s="405"/>
      <c r="GN162" s="409"/>
      <c r="GO162" s="420" t="str">
        <f t="shared" si="58"/>
        <v xml:space="preserve"> - </v>
      </c>
      <c r="GP162" s="409"/>
      <c r="GQ162" s="411">
        <f>IF(GP162=0,0,IF($LB162=70%,VLOOKUP($GO162,'Jan-2026 rates'!$L:$R,4,0),IF($LB162=65%,VLOOKUP($GO162,'Jan-2026 rates'!$L:$R,4,0),IF($LB162=40%,VLOOKUP($GO162,'Jan-2026 rates'!$L:$R,5,0),IF($LB162=30%,VLOOKUP($GO162,'Jan-2026 rates'!$L:$R,6,0),IF($LB162=100%,VLOOKUP($GO162,'Jan-2026 rates'!$L:$R,7,0),IF($LB162=60%,VLOOKUP($GO162,'Jan-2026 rates'!$L:$S,8,0),IF($LB162=80%,VLOOKUP($GO162,'Jan-2026 rates'!L:T,9,0),0))))))))</f>
        <v>0</v>
      </c>
      <c r="GR162" s="412"/>
      <c r="GS162" s="409"/>
      <c r="GT162" s="411">
        <f>IF(GS162=0,0,IF($LB162=70%,VLOOKUP($GO162,'Jan-2026 rates'!$L:$R,4,0),IF($LB162=65%,VLOOKUP($GO162,'Jan-2026 rates'!$L:$R,4,0),IF($LB162=40%,VLOOKUP($GO162,'Jan-2026 rates'!$L:$R,5,0),IF($LB162=30%,VLOOKUP($GO162,'Jan-2026 rates'!$L:$R,6,0),IF($LB162=100%,VLOOKUP($GO162,'Jan-2026 rates'!$L:$R,7,0),IF($LB162=60%,VLOOKUP($GO162,'Jan-2026 rates'!$L:$S,8,0),IF($LB162=80%,VLOOKUP($GO162,'Jan-2026 rates'!L:T,9,0),0))))))))</f>
        <v>0</v>
      </c>
      <c r="GU162" s="413"/>
      <c r="GV162" s="413"/>
      <c r="GW162" s="412"/>
      <c r="GX162" s="412"/>
      <c r="GY162" s="412"/>
      <c r="GZ162" s="412"/>
      <c r="HA162" s="412"/>
      <c r="HB162" s="412"/>
      <c r="HC162" s="409"/>
      <c r="HD162" s="398">
        <f>IF(HC162=0,0,IF(LEN(GU162)=11,_xlfn.XLOOKUP(GU162,'Dispensed Ink Rates'!C:C,'Dispensed Ink Rates'!CS:CS),VLOOKUP(GU162,'Jan-2026 rates'!$E:$F,2,0)))</f>
        <v>0</v>
      </c>
      <c r="HE162" s="409"/>
      <c r="HF162" s="398">
        <f>IF(HE162=0,0,IF(LEN(GV162)=11,_xlfn.XLOOKUP(GV162,'Dispensed Ink Rates'!C:C,'Dispensed Ink Rates'!CS:CS),VLOOKUP(GV162,'Jan-2026 rates'!$E:$F,2,0)))</f>
        <v>0</v>
      </c>
      <c r="HG162" s="409"/>
      <c r="HH162" s="398">
        <f>IF(HG162=0,0,IF(LEN(GW162)=11,_xlfn.XLOOKUP(GW162,'Dispensed Ink Rates'!C:C,'Dispensed Ink Rates'!CS:CS),VLOOKUP(GW162,'Jan-2026 rates'!$E:$F,2,0)))</f>
        <v>0</v>
      </c>
      <c r="HI162" s="409"/>
      <c r="HJ162" s="398">
        <f>IF(HI162=0,0,IF(LEN(GX162)=11,_xlfn.XLOOKUP(GX162,'Dispensed Ink Rates'!C:C,'Dispensed Ink Rates'!CS:CS),VLOOKUP(GX162,'Jan-2026 rates'!$E:$F,2,0)))</f>
        <v>0</v>
      </c>
      <c r="HK162" s="409"/>
      <c r="HL162" s="398">
        <f>IF(HK162=0,0,IF(LEN(GY162)=11,_xlfn.XLOOKUP(GY162,'Dispensed Ink Rates'!C:C,'Dispensed Ink Rates'!CS:CS),VLOOKUP(GY162,'Jan-2026 rates'!$E:$F,2,0)))</f>
        <v>0</v>
      </c>
      <c r="HM162" s="409"/>
      <c r="HN162" s="398">
        <f>IF(HM162=0,0,IF(LEN(GZ162)=11,_xlfn.XLOOKUP(GZ162,'Dispensed Ink Rates'!C:C,'Dispensed Ink Rates'!CS:CS),VLOOKUP(GZ162,'Jan-2026 rates'!$E:$F,2,0)))</f>
        <v>0</v>
      </c>
      <c r="HO162" s="409"/>
      <c r="HP162" s="398">
        <f>IF(HO162=0,0,IF(LEN(HA162)=11,_xlfn.XLOOKUP(HA162,'Dispensed Ink Rates'!C:C,'Dispensed Ink Rates'!CS:CS),VLOOKUP(HA162,'Jan-2026 rates'!$E:$F,2,0)))</f>
        <v>0</v>
      </c>
      <c r="HQ162" s="409"/>
      <c r="HR162" s="398">
        <f>IF(HQ162=0,0,IF(LEN(HB162)=11,_xlfn.XLOOKUP(HB162,'Dispensed Ink Rates'!C:C,'Dispensed Ink Rates'!CS:CS),VLOOKUP(HB162,'Jan-2026 rates'!$E:$F,2,0)))</f>
        <v>0</v>
      </c>
      <c r="HS162" s="409"/>
      <c r="HT162" s="409"/>
      <c r="HU162" s="411">
        <f t="shared" si="121"/>
        <v>0</v>
      </c>
      <c r="HV162" s="411">
        <f t="shared" si="122"/>
        <v>0</v>
      </c>
      <c r="HW162" s="414">
        <f t="shared" si="123"/>
        <v>0</v>
      </c>
      <c r="HX162" s="405"/>
      <c r="HY162" s="409"/>
      <c r="HZ162" s="420" t="str">
        <f t="shared" si="59"/>
        <v xml:space="preserve"> - </v>
      </c>
      <c r="IA162" s="409"/>
      <c r="IB162" s="411">
        <f>IF(IA162=0,0,IF($LB162=70%,VLOOKUP($HZ162,'Jan-2026 rates'!$L:$R,4,0),IF($LB162=65%,VLOOKUP($HZ162,'Jan-2026 rates'!$L:$R,4,0),IF($LB162=40%,VLOOKUP($HZ162,'Jan-2026 rates'!$L:$R,5,0),IF($LB162=30%,VLOOKUP($HZ162,'Jan-2026 rates'!$L:$R,6,0),IF($LB162=100%,VLOOKUP($HZ162,'Jan-2026 rates'!$L:$R,7,0),IF($LB162=60%,VLOOKUP($HZ162,'Jan-2026 rates'!$L:$S,8,0),IF($LB162=80%,VLOOKUP($HZ162,'Jan-2026 rates'!L:T,9,0),0))))))))</f>
        <v>0</v>
      </c>
      <c r="IC162" s="412"/>
      <c r="ID162" s="409"/>
      <c r="IE162" s="411">
        <f>IF(ID162=0,0,IF($LB162=70%,VLOOKUP($HZ162,'Jan-2026 rates'!$L:$R,4,0),IF($LB162=65%,VLOOKUP($HZ162,'Jan-2026 rates'!$L:$R,4,0),IF($LB162=40%,VLOOKUP($HZ162,'Jan-2026 rates'!$L:$R,5,0),IF($LB162=30%,VLOOKUP($HZ162,'Jan-2026 rates'!$L:$R,6,0),IF($LB162=100%,VLOOKUP($HZ162,'Jan-2026 rates'!$L:$R,7,0),IF($LB162=60%,VLOOKUP($HZ162,'Jan-2026 rates'!$L:$S,8,0),IF($LB162=80%,VLOOKUP($HZ162,'Jan-2026 rates'!L:T,9,0),0))))))))</f>
        <v>0</v>
      </c>
      <c r="IF162" s="412"/>
      <c r="IG162" s="413"/>
      <c r="IH162" s="412"/>
      <c r="II162" s="412"/>
      <c r="IJ162" s="412"/>
      <c r="IK162" s="412"/>
      <c r="IL162" s="412"/>
      <c r="IM162" s="412"/>
      <c r="IN162" s="409"/>
      <c r="IO162" s="398">
        <f>IF(IN162=0,0,IF(LEN(IF162)=11,_xlfn.XLOOKUP(IF162,'Dispensed Ink Rates'!C:C,'Dispensed Ink Rates'!CS:CS),VLOOKUP(IF162,'Jan-2026 rates'!$E:$F,2,0)))</f>
        <v>0</v>
      </c>
      <c r="IP162" s="409"/>
      <c r="IQ162" s="398">
        <f>IF(IP162=0,0,IF(LEN(IG162)=11,_xlfn.XLOOKUP(IG162,'Dispensed Ink Rates'!C:C,'Dispensed Ink Rates'!CS:CS),VLOOKUP(IG162,'Jan-2026 rates'!$E:$F,2,0)))</f>
        <v>0</v>
      </c>
      <c r="IR162" s="409"/>
      <c r="IS162" s="398">
        <f>IF(IR162=0,0,IF(LEN(IH162)=11,_xlfn.XLOOKUP(IH162,'Dispensed Ink Rates'!C:C,'Dispensed Ink Rates'!CS:CS),VLOOKUP(IH162,'Jan-2026 rates'!$E:$F,2,0)))</f>
        <v>0</v>
      </c>
      <c r="IT162" s="409"/>
      <c r="IU162" s="398">
        <f>IF(IT162=0,0,IF(LEN(II162)=11,_xlfn.XLOOKUP(II162,'Dispensed Ink Rates'!C:C,'Dispensed Ink Rates'!CS:CS),VLOOKUP(II162,'Jan-2026 rates'!$E:$F,2,0)))</f>
        <v>0</v>
      </c>
      <c r="IV162" s="409"/>
      <c r="IW162" s="398">
        <f>IF(IV162=0,0,IF(LEN(IJ162)=11,_xlfn.XLOOKUP(IJ162,'Dispensed Ink Rates'!C:C,'Dispensed Ink Rates'!CS:CS),VLOOKUP(IJ162,'Jan-2026 rates'!$E:$F,2,0)))</f>
        <v>0</v>
      </c>
      <c r="IX162" s="409"/>
      <c r="IY162" s="398">
        <f>IF(IX162=0,0,IF(LEN(IK162)=11,_xlfn.XLOOKUP(IK162,'Dispensed Ink Rates'!C:C,'Dispensed Ink Rates'!CS:CS),VLOOKUP(IK162,'Jan-2026 rates'!$E:$F,2,0)))</f>
        <v>0</v>
      </c>
      <c r="IZ162" s="409"/>
      <c r="JA162" s="398">
        <f>IF(IZ162=0,0,IF(LEN(IL162)=11,_xlfn.XLOOKUP(IL162,'Dispensed Ink Rates'!C:C,'Dispensed Ink Rates'!CS:CS),VLOOKUP(IL162,'Jan-2026 rates'!$E:$F,2,0)))</f>
        <v>0</v>
      </c>
      <c r="JB162" s="409"/>
      <c r="JC162" s="398">
        <f>IF(JB162=0,0,IF(LEN(IM162)=11,_xlfn.XLOOKUP(IM162,'Dispensed Ink Rates'!C:C,'Dispensed Ink Rates'!CS:CS),VLOOKUP(IM162,'Jan-2026 rates'!$E:$F,2,0)))</f>
        <v>0</v>
      </c>
      <c r="JD162" s="409"/>
      <c r="JE162" s="409"/>
      <c r="JF162" s="411">
        <f t="shared" si="124"/>
        <v>0</v>
      </c>
      <c r="JG162" s="411">
        <f t="shared" si="125"/>
        <v>0</v>
      </c>
      <c r="JH162" s="410">
        <f t="shared" si="126"/>
        <v>0</v>
      </c>
      <c r="JI162" s="405"/>
      <c r="JJ162" s="409"/>
      <c r="JK162" s="420" t="str">
        <f t="shared" si="60"/>
        <v xml:space="preserve"> - </v>
      </c>
      <c r="JL162" s="409"/>
      <c r="JM162" s="411">
        <f>IF(JL162=0,0,IF($LB162=70%,VLOOKUP($JK162,'Jan-2026 rates'!$L:$R,4,0),IF($LB162=65%,VLOOKUP($JK162,'Jan-2026 rates'!$L:$R,4,0),IF($LB162=40%,VLOOKUP($JK162,'Jan-2026 rates'!$L:$R,5,0),IF($LB162=30%,VLOOKUP($JK162,'Jan-2026 rates'!$L:$R,6,0),IF($LB162=100%,VLOOKUP($JK162,'Jan-2026 rates'!$L:$R,7,0),IF($LB162=60%,VLOOKUP($JK162,'Jan-2026 rates'!$L:$S,8,0),IF($LB162=80%,VLOOKUP($JK162,'Jan-2026 rates'!L:T,9,0),0))))))))</f>
        <v>0</v>
      </c>
      <c r="JN162" s="412"/>
      <c r="JO162" s="409"/>
      <c r="JP162" s="411">
        <f>IF(JO162=0,0,IF($LB162=70%,VLOOKUP($JK162,'Jan-2026 rates'!$L:$R,4,0),IF($LB162=65%,VLOOKUP($JK162,'Jan-2026 rates'!$L:$R,4,0),IF($LB162=40%,VLOOKUP($JK162,'Jan-2026 rates'!$L:$R,5,0),IF($LB162=30%,VLOOKUP($JK162,'Jan-2026 rates'!$L:$R,6,0),IF($LB162=100%,VLOOKUP($JK162,'Jan-2026 rates'!$L:$R,7,0),IF($LB162=60%,VLOOKUP($JK162,'Jan-2026 rates'!$L:$S,8,0),IF($LB162=80%,VLOOKUP($JK162,'Jan-2026 rates'!L:T,9,0),0))))))))</f>
        <v>0</v>
      </c>
      <c r="JQ162" s="413"/>
      <c r="JR162" s="412"/>
      <c r="JS162" s="413"/>
      <c r="JT162" s="413"/>
      <c r="JU162" s="412"/>
      <c r="JV162" s="412"/>
      <c r="JW162" s="412"/>
      <c r="JX162" s="412"/>
      <c r="JY162" s="409"/>
      <c r="JZ162" s="398">
        <f>IF(JY162=0,0,IF(LEN(JQ162)=11,_xlfn.XLOOKUP(JQ162,'Dispensed Ink Rates'!C:C,'Dispensed Ink Rates'!CS:CS),VLOOKUP(JQ162,'Jan-2026 rates'!$E:$F,2,0)))</f>
        <v>0</v>
      </c>
      <c r="KA162" s="409"/>
      <c r="KB162" s="398">
        <f>IF(KA162=0,0,IF(LEN(JR162)=11,_xlfn.XLOOKUP(JR162,'Dispensed Ink Rates'!C:C,'Dispensed Ink Rates'!CS:CS),VLOOKUP(JR162,'Jan-2026 rates'!$E:$F,2,0)))</f>
        <v>0</v>
      </c>
      <c r="KC162" s="409"/>
      <c r="KD162" s="398">
        <f>IF(KC162=0,0,IF(LEN(JS162)=11,_xlfn.XLOOKUP(JS162,'Dispensed Ink Rates'!C:C,'Dispensed Ink Rates'!CS:CS),VLOOKUP(JS162,'Jan-2026 rates'!$E:$F,2,0)))</f>
        <v>0</v>
      </c>
      <c r="KE162" s="409"/>
      <c r="KF162" s="398">
        <f>IF(KE162=0,0,IF(LEN(JT162)=11,_xlfn.XLOOKUP(JT162,'Dispensed Ink Rates'!C:C,'Dispensed Ink Rates'!CS:CS),VLOOKUP(JT162,'Jan-2026 rates'!$E:$F,2,0)))</f>
        <v>0</v>
      </c>
      <c r="KG162" s="409"/>
      <c r="KH162" s="398">
        <f>IF(KG162=0,0,IF(LEN(JU162)=11,_xlfn.XLOOKUP(JU162,'Dispensed Ink Rates'!C:C,'Dispensed Ink Rates'!CS:CS),VLOOKUP(JU162,'Jan-2026 rates'!$E:$F,2,0)))</f>
        <v>0</v>
      </c>
      <c r="KI162" s="409"/>
      <c r="KJ162" s="398">
        <f>IF(KI162=0,0,IF(LEN(JV162)=11,_xlfn.XLOOKUP(JV162,'Dispensed Ink Rates'!C:C,'Dispensed Ink Rates'!CS:CS),VLOOKUP(JV162,'Jan-2026 rates'!$E:$F,2,0)))</f>
        <v>0</v>
      </c>
      <c r="KK162" s="409"/>
      <c r="KL162" s="398">
        <f>IF(KK162=0,0,IF(LEN(JW162)=11,_xlfn.XLOOKUP(JW162,'Dispensed Ink Rates'!C:C,'Dispensed Ink Rates'!CS:CS),VLOOKUP(JW162,'Jan-2026 rates'!$E:$F,2,0)))</f>
        <v>0</v>
      </c>
      <c r="KM162" s="428"/>
      <c r="KN162" s="398">
        <f>IF(KM162=0,0,IF(LEN(JX162)=11,_xlfn.XLOOKUP(JX162,'Dispensed Ink Rates'!C:C,'Dispensed Ink Rates'!CS:CS),VLOOKUP(JX162,'Jan-2026 rates'!$E:$F,2,0)))</f>
        <v>0</v>
      </c>
      <c r="KO162" s="409"/>
      <c r="KP162" s="409"/>
      <c r="KQ162" s="411">
        <f t="shared" si="127"/>
        <v>0</v>
      </c>
      <c r="KR162" s="411">
        <f t="shared" si="128"/>
        <v>0</v>
      </c>
      <c r="KS162" s="410">
        <f t="shared" si="129"/>
        <v>0</v>
      </c>
      <c r="KT162" s="409">
        <v>10</v>
      </c>
      <c r="KU162" s="409">
        <v>0</v>
      </c>
      <c r="KV162" s="409">
        <v>0</v>
      </c>
      <c r="KW162" s="409">
        <v>0</v>
      </c>
      <c r="KX162" s="409">
        <v>0</v>
      </c>
      <c r="KY162" s="409">
        <v>0</v>
      </c>
      <c r="KZ162" s="409">
        <v>0</v>
      </c>
      <c r="LA162" s="409">
        <v>0</v>
      </c>
      <c r="LB162" s="415">
        <v>0.3</v>
      </c>
      <c r="LC162" s="415"/>
      <c r="LD162" s="415"/>
      <c r="LE162" s="415">
        <v>0.5</v>
      </c>
      <c r="LF162" s="415">
        <v>0.2</v>
      </c>
      <c r="LG162" s="409">
        <v>0</v>
      </c>
      <c r="LH162" s="409">
        <f>10+10+6+10+2+4</f>
        <v>42</v>
      </c>
      <c r="LI162" s="409">
        <v>0</v>
      </c>
      <c r="LJ162" s="409">
        <v>0</v>
      </c>
      <c r="LK162" s="416">
        <f t="shared" si="61"/>
        <v>42</v>
      </c>
      <c r="LL162" s="416">
        <f t="shared" si="62"/>
        <v>42</v>
      </c>
      <c r="LM162" s="417">
        <f t="shared" si="63"/>
        <v>12.6</v>
      </c>
      <c r="LN162" s="417">
        <f>VLOOKUP($LM$8,'Jan-2026 rates'!$H:$I,2,0)</f>
        <v>0</v>
      </c>
      <c r="LO162" s="417">
        <f t="shared" si="64"/>
        <v>0</v>
      </c>
      <c r="LP162" s="417">
        <f>VLOOKUP($LO$8,'Jan-2026 rates'!$H:$I,2,0)</f>
        <v>0</v>
      </c>
      <c r="LQ162" s="417">
        <f t="shared" si="65"/>
        <v>0</v>
      </c>
      <c r="LR162" s="417">
        <f>VLOOKUP($LQ$8,'Jan-2026 rates'!$H:$I,2,0)</f>
        <v>0</v>
      </c>
      <c r="LS162" s="417">
        <f t="shared" si="66"/>
        <v>21</v>
      </c>
      <c r="LT162" s="417">
        <f>VLOOKUP($LS$8,'Jan-2026 rates'!$H:$I,2,0)</f>
        <v>0</v>
      </c>
      <c r="LU162" s="417">
        <f t="shared" si="67"/>
        <v>8.4</v>
      </c>
      <c r="LV162" s="417">
        <f>VLOOKUP($LU$8,'Jan-2026 rates'!$H:$I,2,0)</f>
        <v>0</v>
      </c>
      <c r="LW162" s="417">
        <f t="shared" si="68"/>
        <v>0</v>
      </c>
      <c r="LX162" s="417">
        <f t="shared" si="69"/>
        <v>0</v>
      </c>
      <c r="LY162" s="418">
        <f t="shared" si="70"/>
        <v>0</v>
      </c>
      <c r="LZ162" s="417"/>
      <c r="MA162" s="435">
        <f t="shared" si="71"/>
        <v>13.7</v>
      </c>
      <c r="MB162" s="282">
        <f t="shared" si="72"/>
        <v>65.7</v>
      </c>
      <c r="MC162" s="283" t="s">
        <v>1997</v>
      </c>
      <c r="MD162" s="284" t="str">
        <f t="shared" si="73"/>
        <v>ToyoLi</v>
      </c>
      <c r="ME162" s="293" t="str">
        <f t="shared" si="74"/>
        <v>+</v>
      </c>
      <c r="MF162" s="293" t="str">
        <f t="shared" si="75"/>
        <v>NIL</v>
      </c>
      <c r="MG162" s="293" t="str">
        <f t="shared" si="76"/>
        <v>NIL</v>
      </c>
      <c r="MH162" s="293" t="str">
        <f t="shared" si="77"/>
        <v>NIL</v>
      </c>
      <c r="MI162" s="293" t="str">
        <f t="shared" si="78"/>
        <v>NIL</v>
      </c>
      <c r="MJ162" s="293" t="str">
        <f t="shared" si="79"/>
        <v>NIL</v>
      </c>
      <c r="MK162" s="293" t="str">
        <f t="shared" si="80"/>
        <v>NIL</v>
      </c>
      <c r="ML162" s="293" t="str">
        <f t="shared" si="81"/>
        <v>NIL</v>
      </c>
      <c r="MM162" s="3" t="b">
        <f t="array" ref="MM162">OR(ME162:ML162="-")</f>
        <v>0</v>
      </c>
      <c r="MN162" s="285"/>
      <c r="MO162" s="401"/>
      <c r="MP162" s="286"/>
      <c r="MQ162" s="286"/>
      <c r="MR162" s="402"/>
      <c r="MS162" s="400"/>
      <c r="NH162" s="422"/>
      <c r="NJ162" s="421"/>
    </row>
    <row r="163" spans="1:374" s="1" customFormat="1" ht="16.5">
      <c r="A163" s="403">
        <v>46034</v>
      </c>
      <c r="B163" s="404" t="s">
        <v>1015</v>
      </c>
      <c r="C163" s="405" t="s">
        <v>3533</v>
      </c>
      <c r="D163" s="406" t="s">
        <v>1998</v>
      </c>
      <c r="E163" s="404">
        <v>707</v>
      </c>
      <c r="F163" s="407">
        <v>37000</v>
      </c>
      <c r="G163" s="407" t="s">
        <v>1016</v>
      </c>
      <c r="H163" s="408" t="s">
        <v>1017</v>
      </c>
      <c r="I163" s="409">
        <v>0.9</v>
      </c>
      <c r="J163" s="405" t="s">
        <v>543</v>
      </c>
      <c r="K163" s="404" t="s">
        <v>3534</v>
      </c>
      <c r="L163" s="419" t="str">
        <f t="shared" si="54"/>
        <v>ToyoLi - BLACK</v>
      </c>
      <c r="M163" s="404">
        <v>28</v>
      </c>
      <c r="N163" s="410">
        <f>IF(M163=0,0,IF($LB163=70%,VLOOKUP($L163,'Jan-2026 rates'!$L:$R,4,0),IF($LB163=65%,VLOOKUP($L163,'Jan-2026 rates'!$L:$R,4,0),IF($LB163=40%,VLOOKUP($L163,'Jan-2026 rates'!$L:$R,5,0),IF($LB163=30%,VLOOKUP($L163,'Jan-2026 rates'!$L:$R,6,0),IF($LB163=100%,VLOOKUP($L163,'Jan-2026 rates'!$L:$R,7,0),IF($LB163=60%,VLOOKUP($L163,'Jan-2026 rates'!$L:$S,8,0),IF($LB163=80%,VLOOKUP($L163,'Jan-2026 rates'!L:T,9,0),0))))))))</f>
        <v>0</v>
      </c>
      <c r="O163" s="406"/>
      <c r="P163" s="404"/>
      <c r="Q163" s="410">
        <f>IF(P163=0,0,IF($LB163=70%,VLOOKUP($L163,'Jan-2026 rates'!$L:$R,4,0),IF($LB163=65%,VLOOKUP($L163,'Jan-2026 rates'!$L:$R,4,0),IF($LB163=40%,VLOOKUP($L163,'Jan-2026 rates'!$L:$R,5,0),IF($LB163=30%,VLOOKUP($L163,'Jan-2026 rates'!$L:$R,6,0),IF($LB163=100%,VLOOKUP($L163,'Jan-2026 rates'!$L:$R,7,0),IF($LB163=60%,VLOOKUP($L163,'Jan-2026 rates'!$L:$S,8,0),IF($LB163=80%,VLOOKUP($L163,'Jan-2026 rates'!L:T,9,0),0))))))))</f>
        <v>0</v>
      </c>
      <c r="R163" s="406" t="s">
        <v>1252</v>
      </c>
      <c r="S163" s="406"/>
      <c r="T163" s="406"/>
      <c r="U163" s="406"/>
      <c r="V163" s="406"/>
      <c r="W163" s="406"/>
      <c r="X163" s="406"/>
      <c r="Y163" s="406"/>
      <c r="Z163" s="404">
        <v>2</v>
      </c>
      <c r="AA163" s="398">
        <f>IF(Z163=0,0,IF(LEN(R163)=11,_xlfn.XLOOKUP(R163,'Dispensed Ink Rates'!C:C,'Dispensed Ink Rates'!CS:CS),VLOOKUP(R163,'Jan-2026 rates'!$E:$F,2,0)))</f>
        <v>0</v>
      </c>
      <c r="AB163" s="404"/>
      <c r="AC163" s="398">
        <f>IF(AB163=0,0,IF(LEN(S163)=11,_xlfn.XLOOKUP(S163,'Dispensed Ink Rates'!C:C,'Dispensed Ink Rates'!CS:CS),VLOOKUP(S163,'Jan-2026 rates'!$E:$F,2,0)))</f>
        <v>0</v>
      </c>
      <c r="AD163" s="404"/>
      <c r="AE163" s="398">
        <f>IF(AD163=0,0,IF(LEN(T163)=11,_xlfn.XLOOKUP(T163,'Dispensed Ink Rates'!C:C,'Dispensed Ink Rates'!CS:CS),VLOOKUP(T163,'Jan-2026 rates'!$E:$F,2,0)))</f>
        <v>0</v>
      </c>
      <c r="AF163" s="404"/>
      <c r="AG163" s="398">
        <f>IF(AF163=0,0,IF(LEN(U163)=11,_xlfn.XLOOKUP(U163,'Dispensed Ink Rates'!C:C,'Dispensed Ink Rates'!CS:CS),VLOOKUP(U163,'Jan-2026 rates'!$E:$F,2,0)))</f>
        <v>0</v>
      </c>
      <c r="AH163" s="404"/>
      <c r="AI163" s="398">
        <f>IF(AH163=0,0,IF(LEN(V163)=11,_xlfn.XLOOKUP(V163,'Dispensed Ink Rates'!C:C,'Dispensed Ink Rates'!CS:CS),VLOOKUP(V163,'Jan-2026 rates'!$E:$F,2,0)))</f>
        <v>0</v>
      </c>
      <c r="AJ163" s="404"/>
      <c r="AK163" s="398">
        <f>IF(AJ163=0,0,IF(LEN(W163)=11,_xlfn.XLOOKUP(W163,'Dispensed Ink Rates'!C:C,'Dispensed Ink Rates'!CS:CS),VLOOKUP(W163,'Jan-2026 rates'!$E:$F,2,0)))</f>
        <v>0</v>
      </c>
      <c r="AL163" s="404"/>
      <c r="AM163" s="398">
        <f>IF(AL163=0,0,IF(LEN(X163)=11,_xlfn.XLOOKUP(X163,'Dispensed Ink Rates'!C:C,'Dispensed Ink Rates'!CS:CS),VLOOKUP(X163,'Jan-2026 rates'!$E:$F,2,0)))</f>
        <v>0</v>
      </c>
      <c r="AN163" s="404"/>
      <c r="AO163" s="398">
        <f>IF(AN163=0,0,IF(LEN(Y163)=11,_xlfn.XLOOKUP(Y163,'Dispensed Ink Rates'!C:C,'Dispensed Ink Rates'!CS:CS),VLOOKUP(Y163,'Jan-2026 rates'!$E:$F,2,0)))</f>
        <v>0</v>
      </c>
      <c r="AP163" s="409" t="s">
        <v>1881</v>
      </c>
      <c r="AQ163" s="409">
        <v>26</v>
      </c>
      <c r="AR163" s="410">
        <f t="shared" si="106"/>
        <v>0</v>
      </c>
      <c r="AS163" s="411">
        <f t="shared" si="107"/>
        <v>4</v>
      </c>
      <c r="AT163" s="410">
        <f t="shared" si="108"/>
        <v>0</v>
      </c>
      <c r="AU163" s="405" t="s">
        <v>547</v>
      </c>
      <c r="AV163" s="409" t="s">
        <v>2693</v>
      </c>
      <c r="AW163" s="420" t="str">
        <f t="shared" si="130"/>
        <v>ToyoLi - GREEN</v>
      </c>
      <c r="AX163" s="409">
        <v>18</v>
      </c>
      <c r="AY163" s="411">
        <f>IF(AX163=0,0,IF($LB163=70%,VLOOKUP($AW163,'Jan-2026 rates'!$L:$R,4,0),IF($LB163=65%,VLOOKUP($AW163,'Jan-2026 rates'!$L:$R,4,0),IF($LB163=40%,VLOOKUP($AW163,'Jan-2026 rates'!$L:$R,5,0),IF($LB163=30%,VLOOKUP($AW163,'Jan-2026 rates'!$L:$R,6,0),IF($LB163=100%,VLOOKUP($AW163,'Jan-2026 rates'!$L:$R,7,0),IF($LB163=60%,VLOOKUP($AW163,'Jan-2026 rates'!$L:$S,8,0),IF($LB163=80%,VLOOKUP($AW163,'Jan-2026 rates'!L:T,9,0),0))))))))</f>
        <v>0</v>
      </c>
      <c r="AZ163" s="412" t="s">
        <v>3535</v>
      </c>
      <c r="BA163" s="409">
        <v>20</v>
      </c>
      <c r="BB163" s="411">
        <f>IF(BA163=0,0,IF($LB163=70%,VLOOKUP($AW163,'Jan-2026 rates'!$L:$R,4,0),IF($LB163=65%,VLOOKUP($AW163,'Jan-2026 rates'!$L:$R,4,0),IF($LB163=40%,VLOOKUP($AW163,'Jan-2026 rates'!$L:$R,5,0),IF($LB163=30%,VLOOKUP($AW163,'Jan-2026 rates'!$L:$R,6,0),IF($LB163=100%,VLOOKUP($AW163,'Jan-2026 rates'!$L:$R,7,0),IF($LB163=60%,VLOOKUP($AW163,'Jan-2026 rates'!$L:$S,8,0),IF($LB163=80%,VLOOKUP($AW163,'Jan-2026 rates'!L:T,9,0),0))))))))</f>
        <v>0</v>
      </c>
      <c r="BC163" s="413" t="s">
        <v>1250</v>
      </c>
      <c r="BD163" s="412" t="s">
        <v>1921</v>
      </c>
      <c r="BE163" s="412"/>
      <c r="BF163" s="413"/>
      <c r="BG163" s="412"/>
      <c r="BH163" s="412"/>
      <c r="BI163" s="412"/>
      <c r="BJ163" s="412"/>
      <c r="BK163" s="409">
        <v>2</v>
      </c>
      <c r="BL163" s="398">
        <f>IF(BK163=0,0,IF(LEN(BC163)=11,_xlfn.XLOOKUP(BC163,'Dispensed Ink Rates'!C:C,'Dispensed Ink Rates'!CS:CS),VLOOKUP(BC163,'Jan-2026 rates'!$E:$F,2,0)))</f>
        <v>0</v>
      </c>
      <c r="BM163" s="409">
        <v>20</v>
      </c>
      <c r="BN163" s="398">
        <f>IF(BM163=0,0,IF(LEN(BD163)=11,_xlfn.XLOOKUP(BD163,'Dispensed Ink Rates'!C:C,'Dispensed Ink Rates'!CS:CS),VLOOKUP(BD163,'Jan-2026 rates'!$E:$F,2,0)))</f>
        <v>0</v>
      </c>
      <c r="BO163" s="409"/>
      <c r="BP163" s="398">
        <f>IF(BO163=0,0,IF(LEN(BE163)=11,_xlfn.XLOOKUP(BE163,'Dispensed Ink Rates'!C:C,'Dispensed Ink Rates'!CS:CS),VLOOKUP(BE163,'Jan-2026 rates'!$E:$F,2,0)))</f>
        <v>0</v>
      </c>
      <c r="BQ163" s="409"/>
      <c r="BR163" s="398">
        <f>IF(BQ163=0,0,IF(LEN(BF163)=11,_xlfn.XLOOKUP(BF163,'Dispensed Ink Rates'!C:C,'Dispensed Ink Rates'!CS:CS),VLOOKUP(BF163,'Jan-2026 rates'!$E:$F,2,0)))</f>
        <v>0</v>
      </c>
      <c r="BS163" s="409"/>
      <c r="BT163" s="398">
        <f>IF(BS163=0,0,IF(LEN(BG163)=11,_xlfn.XLOOKUP(BG163,'Dispensed Ink Rates'!C:C,'Dispensed Ink Rates'!CS:CS),VLOOKUP(BG163,'Jan-2026 rates'!$E:$F,2,0)))</f>
        <v>0</v>
      </c>
      <c r="BU163" s="409"/>
      <c r="BV163" s="398">
        <f>IF(BU163=0,0,IF(LEN(BH163)=11,_xlfn.XLOOKUP(BH163,'Dispensed Ink Rates'!C:C,'Dispensed Ink Rates'!CS:CS),VLOOKUP(BH163,'Jan-2026 rates'!$E:$F,2,0)))</f>
        <v>0</v>
      </c>
      <c r="BW163" s="409"/>
      <c r="BX163" s="398">
        <f>IF(BW163=0,0,IF(LEN(BI163)=11,_xlfn.XLOOKUP(BI163,'Dispensed Ink Rates'!C:C,'Dispensed Ink Rates'!CS:CS),VLOOKUP(BI163,'Jan-2026 rates'!$E:$F,2,0)))</f>
        <v>0</v>
      </c>
      <c r="BY163" s="409"/>
      <c r="BZ163" s="398">
        <f>IF(BY163=0,0,IF(LEN(BJ163)=11,_xlfn.XLOOKUP(BJ163,'Dispensed Ink Rates'!C:C,'Dispensed Ink Rates'!CS:CS),VLOOKUP(BJ163,'Jan-2026 rates'!$E:$F,2,0)))</f>
        <v>0</v>
      </c>
      <c r="CA163" s="409" t="s">
        <v>1881</v>
      </c>
      <c r="CB163" s="409">
        <f>18+9</f>
        <v>27</v>
      </c>
      <c r="CC163" s="411">
        <f t="shared" si="109"/>
        <v>0</v>
      </c>
      <c r="CD163" s="411">
        <f t="shared" si="110"/>
        <v>69.122448979591837</v>
      </c>
      <c r="CE163" s="410">
        <f t="shared" si="111"/>
        <v>0</v>
      </c>
      <c r="CF163" s="404" t="s">
        <v>855</v>
      </c>
      <c r="CG163" s="409" t="s">
        <v>3536</v>
      </c>
      <c r="CH163" s="420" t="str">
        <f t="shared" si="55"/>
        <v>ToyoLi - CYAN</v>
      </c>
      <c r="CI163" s="409">
        <v>25</v>
      </c>
      <c r="CJ163" s="411">
        <f>IF(CI163=0,0,IF($LB163=70%,VLOOKUP($CH163,'Jan-2026 rates'!$L:$R,4,0),IF($LB163=65%,VLOOKUP($CH163,'Jan-2026 rates'!$L:$R,4,0),IF($LB163=40%,VLOOKUP($CH163,'Jan-2026 rates'!$L:$R,5,0),IF($LB163=30%,VLOOKUP($CH163,'Jan-2026 rates'!$L:$R,6,0),IF($LB163=100%,VLOOKUP($CH163,'Jan-2026 rates'!$L:$R,7,0),IF($LB163=60%,VLOOKUP($CH163,'Jan-2026 rates'!$L:$S,8,0),IF($LB163=80%,VLOOKUP($CH163,'Jan-2026 rates'!L:T,9,0),0))))))))</f>
        <v>0</v>
      </c>
      <c r="CK163" s="412"/>
      <c r="CL163" s="409"/>
      <c r="CM163" s="411">
        <f>IF(CL163=0,0,IF($LB163=70%,VLOOKUP($CH163,'Jan-2026 rates'!$L:$R,4,0),IF($LB163=65%,VLOOKUP($CH163,'Jan-2026 rates'!$L:$R,4,0),IF($LB163=40%,VLOOKUP($CH163,'Jan-2026 rates'!$L:$R,5,0),IF($LB163=30%,VLOOKUP($CH163,'Jan-2026 rates'!$L:$R,6,0),IF($LB163=100%,VLOOKUP($CH163,'Jan-2026 rates'!$L:$R,7,0),IF($LB163=60%,VLOOKUP($CH163,'Jan-2026 rates'!$L:$S,8,0),IF($LB163=80%,VLOOKUP($CH163,'Jan-2026 rates'!L:T,9,0),0))))))))</f>
        <v>0</v>
      </c>
      <c r="CN163" s="426" t="s">
        <v>1921</v>
      </c>
      <c r="CO163" s="427"/>
      <c r="CP163" s="426"/>
      <c r="CQ163" s="426"/>
      <c r="CR163" s="428"/>
      <c r="CS163" s="428"/>
      <c r="CT163" s="428"/>
      <c r="CU163" s="428"/>
      <c r="CV163" s="409">
        <v>3</v>
      </c>
      <c r="CW163" s="398">
        <f>IF(CV163=0,0,IF(LEN(CN163)=11,_xlfn.XLOOKUP(CN163,'Dispensed Ink Rates'!C:C,'Dispensed Ink Rates'!CS:CS),VLOOKUP(CN163,'Jan-2026 rates'!$E:$F,2,0)))</f>
        <v>0</v>
      </c>
      <c r="CX163" s="409"/>
      <c r="CY163" s="398">
        <f>IF(CX163=0,0,IF(LEN(CO163)=11,_xlfn.XLOOKUP(CO163,'Dispensed Ink Rates'!C:C,'Dispensed Ink Rates'!CS:CS),VLOOKUP(CO163,'Jan-2026 rates'!$E:$F,2,0)))</f>
        <v>0</v>
      </c>
      <c r="CZ163" s="409"/>
      <c r="DA163" s="398">
        <f>IF(CZ163=0,0,IF(LEN(CP163)=11,_xlfn.XLOOKUP(CP163,'Dispensed Ink Rates'!C:C,'Dispensed Ink Rates'!CS:CS),VLOOKUP(CP163,'Jan-2026 rates'!$E:$F,2,0)))</f>
        <v>0</v>
      </c>
      <c r="DB163" s="409"/>
      <c r="DC163" s="398">
        <f>IF(DB163=0,0,IF(LEN(CQ163)=11,_xlfn.XLOOKUP(CQ163,'Dispensed Ink Rates'!C:C,'Dispensed Ink Rates'!CS:CS),VLOOKUP(CQ163,'Jan-2026 rates'!$E:$F,2,0)))</f>
        <v>0</v>
      </c>
      <c r="DD163" s="409"/>
      <c r="DE163" s="398">
        <f>IF(DD163=0,0,IF(LEN(CR163)=11,_xlfn.XLOOKUP(CR163,'Dispensed Ink Rates'!C:C,'Dispensed Ink Rates'!CS:CS),VLOOKUP(CR163,'Jan-2026 rates'!$E:$F,2,0)))</f>
        <v>0</v>
      </c>
      <c r="DF163" s="409"/>
      <c r="DG163" s="398">
        <f>IF(DF163=0,0,IF(LEN(CS163)=11,_xlfn.XLOOKUP(CS163,'Dispensed Ink Rates'!C:C,'Dispensed Ink Rates'!CS:CS),VLOOKUP(CS163,'Jan-2026 rates'!$E:$F,2,0)))</f>
        <v>0</v>
      </c>
      <c r="DH163" s="409"/>
      <c r="DI163" s="398">
        <f>IF(DH163=0,0,IF(LEN(CT163)=11,_xlfn.XLOOKUP(CT163,'Dispensed Ink Rates'!C:C,'Dispensed Ink Rates'!CS:CS),VLOOKUP(CT163,'Jan-2026 rates'!$E:$F,2,0)))</f>
        <v>0</v>
      </c>
      <c r="DJ163" s="409"/>
      <c r="DK163" s="398">
        <f>IF(DJ163=0,0,IF(LEN(CU163)=11,_xlfn.XLOOKUP(CU163,'Dispensed Ink Rates'!C:C,'Dispensed Ink Rates'!CS:CS),VLOOKUP(CU163,'Jan-2026 rates'!$E:$F,2,0)))</f>
        <v>0</v>
      </c>
      <c r="DL163" s="409" t="s">
        <v>1881</v>
      </c>
      <c r="DM163" s="409">
        <v>28</v>
      </c>
      <c r="DN163" s="411">
        <f t="shared" si="112"/>
        <v>0</v>
      </c>
      <c r="DO163" s="411">
        <f t="shared" si="113"/>
        <v>3.612244897959183</v>
      </c>
      <c r="DP163" s="410">
        <f t="shared" si="114"/>
        <v>0</v>
      </c>
      <c r="DQ163" s="405" t="s">
        <v>544</v>
      </c>
      <c r="DR163" s="409" t="s">
        <v>3537</v>
      </c>
      <c r="DS163" s="420" t="str">
        <f t="shared" si="56"/>
        <v>ToyoLi - MAGENTA</v>
      </c>
      <c r="DT163" s="409">
        <v>22</v>
      </c>
      <c r="DU163" s="411">
        <f>IF(DT163=0,0,IF($LB163=70%,VLOOKUP($DS163,'Jan-2026 rates'!$L:$R,4,0),IF($LB163=65%,VLOOKUP($DS163,'Jan-2026 rates'!$L:$R,4,0),IF($LB163=40%,VLOOKUP($DS163,'Jan-2026 rates'!$L:$R,5,0),IF($LB163=30%,VLOOKUP($DS163,'Jan-2026 rates'!$L:$R,6,0),IF($LB163=100%,VLOOKUP($DS163,'Jan-2026 rates'!$L:$R,7,0),IF($LB163=60%,VLOOKUP($DS163,'Jan-2026 rates'!$L:$S,8,0),IF($LB163=80%,VLOOKUP($DS163,'Jan-2026 rates'!L:T,9,0),0))))))))</f>
        <v>0</v>
      </c>
      <c r="DV163" s="412"/>
      <c r="DW163" s="409"/>
      <c r="DX163" s="411">
        <f>IF(DW163=0,0,IF($LB163=70%,VLOOKUP($DS163,'Jan-2026 rates'!$L:$R,4,0),IF($LB163=65%,VLOOKUP($DS163,'Jan-2026 rates'!$L:$R,4,0),IF($LB163=40%,VLOOKUP($DS163,'Jan-2026 rates'!$L:$R,5,0),IF($LB163=30%,VLOOKUP($DS163,'Jan-2026 rates'!$L:$R,6,0),IF($LB163=100%,VLOOKUP($DS163,'Jan-2026 rates'!$L:$R,7,0),IF($LB163=60%,VLOOKUP($DS163,'Jan-2026 rates'!$L:$S,8,0),IF($LB163=80%,VLOOKUP($DS163,'Jan-2026 rates'!L:T,9,0),0))))))))</f>
        <v>0</v>
      </c>
      <c r="DY163" s="413" t="s">
        <v>1921</v>
      </c>
      <c r="DZ163" s="413"/>
      <c r="EA163" s="412"/>
      <c r="EB163" s="412"/>
      <c r="EC163" s="412"/>
      <c r="ED163" s="412"/>
      <c r="EE163" s="412"/>
      <c r="EF163" s="412"/>
      <c r="EG163" s="409">
        <v>5</v>
      </c>
      <c r="EH163" s="398">
        <f>IF(EG163=0,0,IF(LEN(DY163)=11,_xlfn.XLOOKUP(DY163,'Dispensed Ink Rates'!C:C,'Dispensed Ink Rates'!CS:CS),VLOOKUP(DY163,'Jan-2026 rates'!$E:$F,2,0)))</f>
        <v>0</v>
      </c>
      <c r="EI163" s="409"/>
      <c r="EJ163" s="398">
        <f>IF(EI163=0,0,IF(LEN(DZ163)=11,_xlfn.XLOOKUP(DZ163,'Dispensed Ink Rates'!C:C,'Dispensed Ink Rates'!CS:CS),VLOOKUP(DZ163,'Jan-2026 rates'!$E:$F,2,0)))</f>
        <v>0</v>
      </c>
      <c r="EK163" s="409"/>
      <c r="EL163" s="398">
        <f>IF(EK163=0,0,IF(LEN(EA163)=11,_xlfn.XLOOKUP(EA163,'Dispensed Ink Rates'!C:C,'Dispensed Ink Rates'!CS:CS),VLOOKUP(EA163,'Jan-2026 rates'!$E:$F,2,0)))</f>
        <v>0</v>
      </c>
      <c r="EM163" s="409"/>
      <c r="EN163" s="398">
        <f>IF(EM163=0,0,IF(LEN(EB163)=11,_xlfn.XLOOKUP(EB163,'Dispensed Ink Rates'!C:C,'Dispensed Ink Rates'!CS:CS),VLOOKUP(EB163,'Jan-2026 rates'!$E:$F,2,0)))</f>
        <v>0</v>
      </c>
      <c r="EO163" s="409"/>
      <c r="EP163" s="398">
        <f>IF(EO163=0,0,IF(LEN(EC163)=11,_xlfn.XLOOKUP(EC163,'Dispensed Ink Rates'!C:C,'Dispensed Ink Rates'!CS:CS),VLOOKUP(EC163,'Jan-2026 rates'!$E:$F,2,0)))</f>
        <v>0</v>
      </c>
      <c r="EQ163" s="409"/>
      <c r="ER163" s="398">
        <f>IF(EQ163=0,0,IF(LEN(ED163)=11,_xlfn.XLOOKUP(ED163,'Dispensed Ink Rates'!C:C,'Dispensed Ink Rates'!CS:CS),VLOOKUP(ED163,'Jan-2026 rates'!$E:$F,2,0)))</f>
        <v>0</v>
      </c>
      <c r="ES163" s="409"/>
      <c r="ET163" s="398">
        <f>IF(ES163=0,0,IF(LEN(EE163)=11,_xlfn.XLOOKUP(EE163,'Dispensed Ink Rates'!C:C,'Dispensed Ink Rates'!CS:CS),VLOOKUP(EE163,'Jan-2026 rates'!$E:$F,2,0)))</f>
        <v>0</v>
      </c>
      <c r="EU163" s="409"/>
      <c r="EV163" s="398">
        <f>IF(EU163=0,0,IF(LEN(EF163)=11,_xlfn.XLOOKUP(EF163,'Dispensed Ink Rates'!C:C,'Dispensed Ink Rates'!CS:CS),VLOOKUP(EF163,'Jan-2026 rates'!$E:$F,2,0)))</f>
        <v>0</v>
      </c>
      <c r="EW163" s="409" t="s">
        <v>1881</v>
      </c>
      <c r="EX163" s="409">
        <v>29</v>
      </c>
      <c r="EY163" s="411">
        <f t="shared" si="115"/>
        <v>0</v>
      </c>
      <c r="EZ163" s="411">
        <f t="shared" si="116"/>
        <v>7.0306122448979593</v>
      </c>
      <c r="FA163" s="410">
        <f t="shared" si="117"/>
        <v>0</v>
      </c>
      <c r="FB163" s="405" t="s">
        <v>545</v>
      </c>
      <c r="FC163" s="409" t="s">
        <v>3538</v>
      </c>
      <c r="FD163" s="420" t="str">
        <f t="shared" si="57"/>
        <v>ToyoLi - YELLOW</v>
      </c>
      <c r="FE163" s="409">
        <v>27</v>
      </c>
      <c r="FF163" s="411">
        <f>IF(FE163=0,0,IF($LB163=70%,VLOOKUP($FD163,'Jan-2026 rates'!$L:$R,4,0),IF($LB163=65%,VLOOKUP($FD163,'Jan-2026 rates'!$L:$R,4,0),IF($LB163=40%,VLOOKUP($FD163,'Jan-2026 rates'!$L:$R,5,0),IF($LB163=30%,VLOOKUP($FD163,'Jan-2026 rates'!$L:$R,6,0),IF($LB163=100%,VLOOKUP($FD163,'Jan-2026 rates'!$L:$R,7,0),IF($LB163=60%,VLOOKUP($FD163,'Jan-2026 rates'!$L:$S,8,0),IF($LB163=80%,VLOOKUP($FD163,'Jan-2026 rates'!L:T,9,0),0))))))))</f>
        <v>0</v>
      </c>
      <c r="FG163" s="412"/>
      <c r="FH163" s="409"/>
      <c r="FI163" s="411">
        <f>IF(FH163=0,0,IF($LB163=70%,VLOOKUP($FD163,'Jan-2026 rates'!$L:$R,4,0),IF($LB163=65%,VLOOKUP($FD163,'Jan-2026 rates'!$L:$R,4,0),IF($LB163=40%,VLOOKUP($FD163,'Jan-2026 rates'!$L:$R,5,0),IF($LB163=30%,VLOOKUP($FD163,'Jan-2026 rates'!$L:$R,6,0),IF($LB163=100%,VLOOKUP($FD163,'Jan-2026 rates'!$L:$R,7,0),IF($LB163=60%,VLOOKUP($FD163,'Jan-2026 rates'!$L:$S,8,0),IF($LB163=80%,VLOOKUP($FD163,'Jan-2026 rates'!L:T,9,0),0))))))))</f>
        <v>0</v>
      </c>
      <c r="FJ163" s="413" t="s">
        <v>1921</v>
      </c>
      <c r="FK163" s="413"/>
      <c r="FL163" s="413"/>
      <c r="FM163" s="412"/>
      <c r="FN163" s="412"/>
      <c r="FO163" s="412"/>
      <c r="FP163" s="412"/>
      <c r="FQ163" s="412"/>
      <c r="FR163" s="409">
        <v>2</v>
      </c>
      <c r="FS163" s="398">
        <f>IF(FR163=0,0,IF(LEN(FJ163)=11,_xlfn.XLOOKUP(FJ163,'Dispensed Ink Rates'!C:C,'Dispensed Ink Rates'!CS:CS),VLOOKUP(FJ163,'Jan-2026 rates'!$E:$F,2,0)))</f>
        <v>0</v>
      </c>
      <c r="FT163" s="409"/>
      <c r="FU163" s="398">
        <f>IF(FT163=0,0,IF(LEN(FK163)=11,_xlfn.XLOOKUP(FK163,'Dispensed Ink Rates'!C:C,'Dispensed Ink Rates'!CS:CS),VLOOKUP(FK163,'Jan-2026 rates'!$E:$F,2,0)))</f>
        <v>0</v>
      </c>
      <c r="FV163" s="409"/>
      <c r="FW163" s="398">
        <f>IF(FV163=0,0,IF(LEN(FL163)=11,_xlfn.XLOOKUP(FL163,'Dispensed Ink Rates'!C:C,'Dispensed Ink Rates'!CS:CS),VLOOKUP(FL163,'Jan-2026 rates'!$E:$F,2,0)))</f>
        <v>0</v>
      </c>
      <c r="FX163" s="409"/>
      <c r="FY163" s="398">
        <f>IF(FX163=0,0,IF(LEN(FM163)=11,_xlfn.XLOOKUP(FM163,'Dispensed Ink Rates'!C:C,'Dispensed Ink Rates'!CS:CS),VLOOKUP(FM163,'Jan-2026 rates'!$E:$F,2,0)))</f>
        <v>0</v>
      </c>
      <c r="FZ163" s="409"/>
      <c r="GA163" s="398">
        <f>IF(FZ163=0,0,IF(LEN(FN163)=11,_xlfn.XLOOKUP(FN163,'Dispensed Ink Rates'!C:C,'Dispensed Ink Rates'!CS:CS),VLOOKUP(FN163,'Jan-2026 rates'!$E:$F,2,0)))</f>
        <v>0</v>
      </c>
      <c r="GB163" s="409"/>
      <c r="GC163" s="398">
        <f>IF(GB163=0,0,IF(LEN(FO163)=11,_xlfn.XLOOKUP(FO163,'Dispensed Ink Rates'!C:C,'Dispensed Ink Rates'!CS:CS),VLOOKUP(FO163,'Jan-2026 rates'!$E:$F,2,0)))</f>
        <v>0</v>
      </c>
      <c r="GD163" s="409"/>
      <c r="GE163" s="398">
        <f>IF(GD163=0,0,IF(LEN(FP163)=11,_xlfn.XLOOKUP(FP163,'Dispensed Ink Rates'!C:C,'Dispensed Ink Rates'!CS:CS),VLOOKUP(FP163,'Jan-2026 rates'!$E:$F,2,0)))</f>
        <v>0</v>
      </c>
      <c r="GF163" s="409"/>
      <c r="GG163" s="398">
        <f>IF(GF163=0,0,IF(LEN(FQ163)=11,_xlfn.XLOOKUP(FQ163,'Dispensed Ink Rates'!C:C,'Dispensed Ink Rates'!CS:CS),VLOOKUP(FQ163,'Jan-2026 rates'!$E:$F,2,0)))</f>
        <v>0</v>
      </c>
      <c r="GH163" s="409" t="s">
        <v>1881</v>
      </c>
      <c r="GI163" s="409">
        <v>26</v>
      </c>
      <c r="GJ163" s="411">
        <f t="shared" si="118"/>
        <v>0</v>
      </c>
      <c r="GK163" s="411">
        <f t="shared" si="119"/>
        <v>8.4183673469387728</v>
      </c>
      <c r="GL163" s="410">
        <f t="shared" si="120"/>
        <v>0</v>
      </c>
      <c r="GM163" s="405" t="s">
        <v>546</v>
      </c>
      <c r="GN163" s="409"/>
      <c r="GO163" s="420" t="str">
        <f t="shared" si="58"/>
        <v>ToyoLi - REFLEX BLUE</v>
      </c>
      <c r="GP163" s="409"/>
      <c r="GQ163" s="411">
        <f>IF(GP163=0,0,IF($LB163=70%,VLOOKUP($GO163,'Jan-2026 rates'!$L:$R,4,0),IF($LB163=65%,VLOOKUP($GO163,'Jan-2026 rates'!$L:$R,4,0),IF($LB163=40%,VLOOKUP($GO163,'Jan-2026 rates'!$L:$R,5,0),IF($LB163=30%,VLOOKUP($GO163,'Jan-2026 rates'!$L:$R,6,0),IF($LB163=100%,VLOOKUP($GO163,'Jan-2026 rates'!$L:$R,7,0),IF($LB163=60%,VLOOKUP($GO163,'Jan-2026 rates'!$L:$S,8,0),IF($LB163=80%,VLOOKUP($GO163,'Jan-2026 rates'!L:T,9,0),0))))))))</f>
        <v>0</v>
      </c>
      <c r="GR163" s="412"/>
      <c r="GS163" s="409"/>
      <c r="GT163" s="411">
        <f>IF(GS163=0,0,IF($LB163=70%,VLOOKUP($GO163,'Jan-2026 rates'!$L:$R,4,0),IF($LB163=65%,VLOOKUP($GO163,'Jan-2026 rates'!$L:$R,4,0),IF($LB163=40%,VLOOKUP($GO163,'Jan-2026 rates'!$L:$R,5,0),IF($LB163=30%,VLOOKUP($GO163,'Jan-2026 rates'!$L:$R,6,0),IF($LB163=100%,VLOOKUP($GO163,'Jan-2026 rates'!$L:$R,7,0),IF($LB163=60%,VLOOKUP($GO163,'Jan-2026 rates'!$L:$S,8,0),IF($LB163=80%,VLOOKUP($GO163,'Jan-2026 rates'!L:T,9,0),0))))))))</f>
        <v>0</v>
      </c>
      <c r="GU163" s="413" t="s">
        <v>1921</v>
      </c>
      <c r="GV163" s="413" t="s">
        <v>1880</v>
      </c>
      <c r="GW163" s="412" t="s">
        <v>1585</v>
      </c>
      <c r="GX163" s="412"/>
      <c r="GY163" s="412"/>
      <c r="GZ163" s="412"/>
      <c r="HA163" s="412"/>
      <c r="HB163" s="412"/>
      <c r="HC163" s="409">
        <v>15</v>
      </c>
      <c r="HD163" s="398">
        <f>IF(HC163=0,0,IF(LEN(GU163)=11,_xlfn.XLOOKUP(GU163,'Dispensed Ink Rates'!C:C,'Dispensed Ink Rates'!CS:CS),VLOOKUP(GU163,'Jan-2026 rates'!$E:$F,2,0)))</f>
        <v>0</v>
      </c>
      <c r="HE163" s="409">
        <v>1</v>
      </c>
      <c r="HF163" s="398">
        <f>IF(HE163=0,0,IF(LEN(GV163)=11,_xlfn.XLOOKUP(GV163,'Dispensed Ink Rates'!C:C,'Dispensed Ink Rates'!CS:CS),VLOOKUP(GV163,'Jan-2026 rates'!$E:$F,2,0)))</f>
        <v>0</v>
      </c>
      <c r="HG163" s="409">
        <v>1</v>
      </c>
      <c r="HH163" s="398">
        <f>IF(HG163=0,0,IF(LEN(GW163)=11,_xlfn.XLOOKUP(GW163,'Dispensed Ink Rates'!C:C,'Dispensed Ink Rates'!CS:CS),VLOOKUP(GW163,'Jan-2026 rates'!$E:$F,2,0)))</f>
        <v>0</v>
      </c>
      <c r="HI163" s="409"/>
      <c r="HJ163" s="398">
        <f>IF(HI163=0,0,IF(LEN(GX163)=11,_xlfn.XLOOKUP(GX163,'Dispensed Ink Rates'!C:C,'Dispensed Ink Rates'!CS:CS),VLOOKUP(GX163,'Jan-2026 rates'!$E:$F,2,0)))</f>
        <v>0</v>
      </c>
      <c r="HK163" s="409"/>
      <c r="HL163" s="398">
        <f>IF(HK163=0,0,IF(LEN(GY163)=11,_xlfn.XLOOKUP(GY163,'Dispensed Ink Rates'!C:C,'Dispensed Ink Rates'!CS:CS),VLOOKUP(GY163,'Jan-2026 rates'!$E:$F,2,0)))</f>
        <v>0</v>
      </c>
      <c r="HM163" s="409"/>
      <c r="HN163" s="398">
        <f>IF(HM163=0,0,IF(LEN(GZ163)=11,_xlfn.XLOOKUP(GZ163,'Dispensed Ink Rates'!C:C,'Dispensed Ink Rates'!CS:CS),VLOOKUP(GZ163,'Jan-2026 rates'!$E:$F,2,0)))</f>
        <v>0</v>
      </c>
      <c r="HO163" s="409"/>
      <c r="HP163" s="398">
        <f>IF(HO163=0,0,IF(LEN(HA163)=11,_xlfn.XLOOKUP(HA163,'Dispensed Ink Rates'!C:C,'Dispensed Ink Rates'!CS:CS),VLOOKUP(HA163,'Jan-2026 rates'!$E:$F,2,0)))</f>
        <v>0</v>
      </c>
      <c r="HQ163" s="409"/>
      <c r="HR163" s="398">
        <f>IF(HQ163=0,0,IF(LEN(HB163)=11,_xlfn.XLOOKUP(HB163,'Dispensed Ink Rates'!C:C,'Dispensed Ink Rates'!CS:CS),VLOOKUP(HB163,'Jan-2026 rates'!$E:$F,2,0)))</f>
        <v>0</v>
      </c>
      <c r="HS163" s="409" t="s">
        <v>1881</v>
      </c>
      <c r="HT163" s="409">
        <v>19.5</v>
      </c>
      <c r="HU163" s="411">
        <f t="shared" si="121"/>
        <v>0</v>
      </c>
      <c r="HV163" s="411">
        <f t="shared" si="122"/>
        <v>11.948979591836732</v>
      </c>
      <c r="HW163" s="414">
        <f t="shared" si="123"/>
        <v>0</v>
      </c>
      <c r="HX163" s="405" t="s">
        <v>856</v>
      </c>
      <c r="HY163" s="409" t="s">
        <v>3539</v>
      </c>
      <c r="HZ163" s="420" t="str">
        <f t="shared" si="59"/>
        <v>ToyoLi - WHITE</v>
      </c>
      <c r="IA163" s="409">
        <v>40</v>
      </c>
      <c r="IB163" s="411">
        <f>IF(IA163=0,0,IF($LB163=70%,VLOOKUP($HZ163,'Jan-2026 rates'!$L:$R,4,0),IF($LB163=65%,VLOOKUP($HZ163,'Jan-2026 rates'!$L:$R,4,0),IF($LB163=40%,VLOOKUP($HZ163,'Jan-2026 rates'!$L:$R,5,0),IF($LB163=30%,VLOOKUP($HZ163,'Jan-2026 rates'!$L:$R,6,0),IF($LB163=100%,VLOOKUP($HZ163,'Jan-2026 rates'!$L:$R,7,0),IF($LB163=60%,VLOOKUP($HZ163,'Jan-2026 rates'!$L:$S,8,0),IF($LB163=80%,VLOOKUP($HZ163,'Jan-2026 rates'!L:T,9,0),0))))))))</f>
        <v>0</v>
      </c>
      <c r="IC163" s="412"/>
      <c r="ID163" s="409"/>
      <c r="IE163" s="411">
        <f>IF(ID163=0,0,IF($LB163=70%,VLOOKUP($HZ163,'Jan-2026 rates'!$L:$R,4,0),IF($LB163=65%,VLOOKUP($HZ163,'Jan-2026 rates'!$L:$R,4,0),IF($LB163=40%,VLOOKUP($HZ163,'Jan-2026 rates'!$L:$R,5,0),IF($LB163=30%,VLOOKUP($HZ163,'Jan-2026 rates'!$L:$R,6,0),IF($LB163=100%,VLOOKUP($HZ163,'Jan-2026 rates'!$L:$R,7,0),IF($LB163=60%,VLOOKUP($HZ163,'Jan-2026 rates'!$L:$S,8,0),IF($LB163=80%,VLOOKUP($HZ163,'Jan-2026 rates'!L:T,9,0),0))))))))</f>
        <v>0</v>
      </c>
      <c r="IF163" s="412" t="s">
        <v>1249</v>
      </c>
      <c r="IG163" s="413"/>
      <c r="IH163" s="412"/>
      <c r="II163" s="412"/>
      <c r="IJ163" s="412"/>
      <c r="IK163" s="412"/>
      <c r="IL163" s="412"/>
      <c r="IM163" s="412"/>
      <c r="IN163" s="409">
        <f>70+30</f>
        <v>100</v>
      </c>
      <c r="IO163" s="398">
        <f>IF(IN163=0,0,IF(LEN(IF163)=11,_xlfn.XLOOKUP(IF163,'Dispensed Ink Rates'!C:C,'Dispensed Ink Rates'!CS:CS),VLOOKUP(IF163,'Jan-2026 rates'!$E:$F,2,0)))</f>
        <v>0</v>
      </c>
      <c r="IP163" s="409"/>
      <c r="IQ163" s="398">
        <f>IF(IP163=0,0,IF(LEN(IG163)=11,_xlfn.XLOOKUP(IG163,'Dispensed Ink Rates'!C:C,'Dispensed Ink Rates'!CS:CS),VLOOKUP(IG163,'Jan-2026 rates'!$E:$F,2,0)))</f>
        <v>0</v>
      </c>
      <c r="IR163" s="409"/>
      <c r="IS163" s="398">
        <f>IF(IR163=0,0,IF(LEN(IH163)=11,_xlfn.XLOOKUP(IH163,'Dispensed Ink Rates'!C:C,'Dispensed Ink Rates'!CS:CS),VLOOKUP(IH163,'Jan-2026 rates'!$E:$F,2,0)))</f>
        <v>0</v>
      </c>
      <c r="IT163" s="409"/>
      <c r="IU163" s="398">
        <f>IF(IT163=0,0,IF(LEN(II163)=11,_xlfn.XLOOKUP(II163,'Dispensed Ink Rates'!C:C,'Dispensed Ink Rates'!CS:CS),VLOOKUP(II163,'Jan-2026 rates'!$E:$F,2,0)))</f>
        <v>0</v>
      </c>
      <c r="IV163" s="409"/>
      <c r="IW163" s="398">
        <f>IF(IV163=0,0,IF(LEN(IJ163)=11,_xlfn.XLOOKUP(IJ163,'Dispensed Ink Rates'!C:C,'Dispensed Ink Rates'!CS:CS),VLOOKUP(IJ163,'Jan-2026 rates'!$E:$F,2,0)))</f>
        <v>0</v>
      </c>
      <c r="IX163" s="409"/>
      <c r="IY163" s="398">
        <f>IF(IX163=0,0,IF(LEN(IK163)=11,_xlfn.XLOOKUP(IK163,'Dispensed Ink Rates'!C:C,'Dispensed Ink Rates'!CS:CS),VLOOKUP(IK163,'Jan-2026 rates'!$E:$F,2,0)))</f>
        <v>0</v>
      </c>
      <c r="IZ163" s="409"/>
      <c r="JA163" s="398">
        <f>IF(IZ163=0,0,IF(LEN(IL163)=11,_xlfn.XLOOKUP(IL163,'Dispensed Ink Rates'!C:C,'Dispensed Ink Rates'!CS:CS),VLOOKUP(IL163,'Jan-2026 rates'!$E:$F,2,0)))</f>
        <v>0</v>
      </c>
      <c r="JB163" s="409"/>
      <c r="JC163" s="398">
        <f>IF(JB163=0,0,IF(LEN(IM163)=11,_xlfn.XLOOKUP(IM163,'Dispensed Ink Rates'!C:C,'Dispensed Ink Rates'!CS:CS),VLOOKUP(IM163,'Jan-2026 rates'!$E:$F,2,0)))</f>
        <v>0</v>
      </c>
      <c r="JD163" s="409" t="s">
        <v>1881</v>
      </c>
      <c r="JE163" s="409">
        <v>25</v>
      </c>
      <c r="JF163" s="411">
        <f t="shared" si="124"/>
        <v>0</v>
      </c>
      <c r="JG163" s="411">
        <f t="shared" si="125"/>
        <v>223.36734693877551</v>
      </c>
      <c r="JH163" s="410">
        <f t="shared" si="126"/>
        <v>0</v>
      </c>
      <c r="JI163" s="405"/>
      <c r="JJ163" s="409"/>
      <c r="JK163" s="420" t="str">
        <f t="shared" si="60"/>
        <v xml:space="preserve"> - </v>
      </c>
      <c r="JL163" s="409"/>
      <c r="JM163" s="411">
        <f>IF(JL163=0,0,IF($LB163=70%,VLOOKUP($JK163,'Jan-2026 rates'!$L:$R,4,0),IF($LB163=65%,VLOOKUP($JK163,'Jan-2026 rates'!$L:$R,4,0),IF($LB163=40%,VLOOKUP($JK163,'Jan-2026 rates'!$L:$R,5,0),IF($LB163=30%,VLOOKUP($JK163,'Jan-2026 rates'!$L:$R,6,0),IF($LB163=100%,VLOOKUP($JK163,'Jan-2026 rates'!$L:$R,7,0),IF($LB163=60%,VLOOKUP($JK163,'Jan-2026 rates'!$L:$S,8,0),IF($LB163=80%,VLOOKUP($JK163,'Jan-2026 rates'!L:T,9,0),0))))))))</f>
        <v>0</v>
      </c>
      <c r="JN163" s="412"/>
      <c r="JO163" s="409"/>
      <c r="JP163" s="411">
        <f>IF(JO163=0,0,IF($LB163=70%,VLOOKUP($JK163,'Jan-2026 rates'!$L:$R,4,0),IF($LB163=65%,VLOOKUP($JK163,'Jan-2026 rates'!$L:$R,4,0),IF($LB163=40%,VLOOKUP($JK163,'Jan-2026 rates'!$L:$R,5,0),IF($LB163=30%,VLOOKUP($JK163,'Jan-2026 rates'!$L:$R,6,0),IF($LB163=100%,VLOOKUP($JK163,'Jan-2026 rates'!$L:$R,7,0),IF($LB163=60%,VLOOKUP($JK163,'Jan-2026 rates'!$L:$S,8,0),IF($LB163=80%,VLOOKUP($JK163,'Jan-2026 rates'!L:T,9,0),0))))))))</f>
        <v>0</v>
      </c>
      <c r="JQ163" s="413"/>
      <c r="JR163" s="412"/>
      <c r="JS163" s="413"/>
      <c r="JT163" s="413"/>
      <c r="JU163" s="412"/>
      <c r="JV163" s="412"/>
      <c r="JW163" s="412"/>
      <c r="JX163" s="412"/>
      <c r="JY163" s="409"/>
      <c r="JZ163" s="398">
        <f>IF(JY163=0,0,IF(LEN(JQ163)=11,_xlfn.XLOOKUP(JQ163,'Dispensed Ink Rates'!C:C,'Dispensed Ink Rates'!CS:CS),VLOOKUP(JQ163,'Jan-2026 rates'!$E:$F,2,0)))</f>
        <v>0</v>
      </c>
      <c r="KA163" s="409"/>
      <c r="KB163" s="398">
        <f>IF(KA163=0,0,IF(LEN(JR163)=11,_xlfn.XLOOKUP(JR163,'Dispensed Ink Rates'!C:C,'Dispensed Ink Rates'!CS:CS),VLOOKUP(JR163,'Jan-2026 rates'!$E:$F,2,0)))</f>
        <v>0</v>
      </c>
      <c r="KC163" s="409"/>
      <c r="KD163" s="398">
        <f>IF(KC163=0,0,IF(LEN(JS163)=11,_xlfn.XLOOKUP(JS163,'Dispensed Ink Rates'!C:C,'Dispensed Ink Rates'!CS:CS),VLOOKUP(JS163,'Jan-2026 rates'!$E:$F,2,0)))</f>
        <v>0</v>
      </c>
      <c r="KE163" s="409"/>
      <c r="KF163" s="398">
        <f>IF(KE163=0,0,IF(LEN(JT163)=11,_xlfn.XLOOKUP(JT163,'Dispensed Ink Rates'!C:C,'Dispensed Ink Rates'!CS:CS),VLOOKUP(JT163,'Jan-2026 rates'!$E:$F,2,0)))</f>
        <v>0</v>
      </c>
      <c r="KG163" s="409"/>
      <c r="KH163" s="398">
        <f>IF(KG163=0,0,IF(LEN(JU163)=11,_xlfn.XLOOKUP(JU163,'Dispensed Ink Rates'!C:C,'Dispensed Ink Rates'!CS:CS),VLOOKUP(JU163,'Jan-2026 rates'!$E:$F,2,0)))</f>
        <v>0</v>
      </c>
      <c r="KI163" s="409"/>
      <c r="KJ163" s="398">
        <f>IF(KI163=0,0,IF(LEN(JV163)=11,_xlfn.XLOOKUP(JV163,'Dispensed Ink Rates'!C:C,'Dispensed Ink Rates'!CS:CS),VLOOKUP(JV163,'Jan-2026 rates'!$E:$F,2,0)))</f>
        <v>0</v>
      </c>
      <c r="KK163" s="409"/>
      <c r="KL163" s="398">
        <f>IF(KK163=0,0,IF(LEN(JW163)=11,_xlfn.XLOOKUP(JW163,'Dispensed Ink Rates'!C:C,'Dispensed Ink Rates'!CS:CS),VLOOKUP(JW163,'Jan-2026 rates'!$E:$F,2,0)))</f>
        <v>0</v>
      </c>
      <c r="KM163" s="428"/>
      <c r="KN163" s="398">
        <f>IF(KM163=0,0,IF(LEN(JX163)=11,_xlfn.XLOOKUP(JX163,'Dispensed Ink Rates'!C:C,'Dispensed Ink Rates'!CS:CS),VLOOKUP(JX163,'Jan-2026 rates'!$E:$F,2,0)))</f>
        <v>0</v>
      </c>
      <c r="KO163" s="409"/>
      <c r="KP163" s="409"/>
      <c r="KQ163" s="411">
        <f t="shared" si="127"/>
        <v>0</v>
      </c>
      <c r="KR163" s="411">
        <f t="shared" si="128"/>
        <v>0</v>
      </c>
      <c r="KS163" s="410">
        <f t="shared" si="129"/>
        <v>0</v>
      </c>
      <c r="KT163" s="409">
        <v>0</v>
      </c>
      <c r="KU163" s="409">
        <v>20</v>
      </c>
      <c r="KV163" s="409">
        <v>2</v>
      </c>
      <c r="KW163" s="409">
        <v>5</v>
      </c>
      <c r="KX163" s="409">
        <v>3</v>
      </c>
      <c r="KY163" s="409">
        <v>8</v>
      </c>
      <c r="KZ163" s="409">
        <f>30+30</f>
        <v>60</v>
      </c>
      <c r="LA163" s="409">
        <v>0</v>
      </c>
      <c r="LB163" s="415">
        <v>0.3</v>
      </c>
      <c r="LC163" s="415"/>
      <c r="LD163" s="415"/>
      <c r="LE163" s="415">
        <v>0.5</v>
      </c>
      <c r="LF163" s="415">
        <v>0.2</v>
      </c>
      <c r="LG163" s="409">
        <v>0</v>
      </c>
      <c r="LH163" s="409">
        <f>60+50+18+30+5+2+12</f>
        <v>177</v>
      </c>
      <c r="LI163" s="409">
        <v>0</v>
      </c>
      <c r="LJ163" s="409">
        <v>0</v>
      </c>
      <c r="LK163" s="416">
        <f t="shared" si="61"/>
        <v>177</v>
      </c>
      <c r="LL163" s="416">
        <f t="shared" si="62"/>
        <v>177</v>
      </c>
      <c r="LM163" s="417">
        <f t="shared" si="63"/>
        <v>53.1</v>
      </c>
      <c r="LN163" s="417">
        <f>VLOOKUP($LM$8,'Jan-2026 rates'!$H:$I,2,0)</f>
        <v>0</v>
      </c>
      <c r="LO163" s="417">
        <f t="shared" si="64"/>
        <v>0</v>
      </c>
      <c r="LP163" s="417">
        <f>VLOOKUP($LO$8,'Jan-2026 rates'!$H:$I,2,0)</f>
        <v>0</v>
      </c>
      <c r="LQ163" s="417">
        <f t="shared" si="65"/>
        <v>0</v>
      </c>
      <c r="LR163" s="417">
        <f>VLOOKUP($LQ$8,'Jan-2026 rates'!$H:$I,2,0)</f>
        <v>0</v>
      </c>
      <c r="LS163" s="417">
        <f t="shared" si="66"/>
        <v>88.5</v>
      </c>
      <c r="LT163" s="417">
        <f>VLOOKUP($LS$8,'Jan-2026 rates'!$H:$I,2,0)</f>
        <v>0</v>
      </c>
      <c r="LU163" s="417">
        <f t="shared" si="67"/>
        <v>35.4</v>
      </c>
      <c r="LV163" s="417">
        <f>VLOOKUP($LU$8,'Jan-2026 rates'!$H:$I,2,0)</f>
        <v>0</v>
      </c>
      <c r="LW163" s="417">
        <f t="shared" si="68"/>
        <v>0</v>
      </c>
      <c r="LX163" s="417">
        <f t="shared" si="69"/>
        <v>0</v>
      </c>
      <c r="LY163" s="418">
        <f t="shared" si="70"/>
        <v>0</v>
      </c>
      <c r="LZ163" s="417"/>
      <c r="MA163" s="435">
        <f t="shared" si="71"/>
        <v>151</v>
      </c>
      <c r="MB163" s="282">
        <f t="shared" si="72"/>
        <v>327.5</v>
      </c>
      <c r="MC163" s="283" t="s">
        <v>1998</v>
      </c>
      <c r="MD163" s="284" t="str">
        <f t="shared" si="73"/>
        <v>ToyoLiToyoLiToyoLiToyoLiToyoLiToyoLiToyoLi</v>
      </c>
      <c r="ME163" s="293" t="str">
        <f t="shared" si="74"/>
        <v>+</v>
      </c>
      <c r="MF163" s="293" t="str">
        <f t="shared" si="75"/>
        <v>+</v>
      </c>
      <c r="MG163" s="293" t="str">
        <f t="shared" si="76"/>
        <v>+</v>
      </c>
      <c r="MH163" s="293" t="str">
        <f t="shared" si="77"/>
        <v>+</v>
      </c>
      <c r="MI163" s="293" t="str">
        <f t="shared" si="78"/>
        <v>+</v>
      </c>
      <c r="MJ163" s="293" t="str">
        <f t="shared" si="79"/>
        <v>+</v>
      </c>
      <c r="MK163" s="293" t="str">
        <f t="shared" si="80"/>
        <v>+</v>
      </c>
      <c r="ML163" s="293" t="str">
        <f t="shared" si="81"/>
        <v>NIL</v>
      </c>
      <c r="MM163" s="3" t="b">
        <f t="array" ref="MM163">OR(ME163:ML163="-")</f>
        <v>0</v>
      </c>
      <c r="MN163" s="285"/>
      <c r="MO163" s="401"/>
      <c r="MP163" s="286"/>
      <c r="MQ163" s="286"/>
      <c r="MR163" s="402"/>
      <c r="MS163" s="400"/>
      <c r="NH163" s="422"/>
      <c r="NJ163" s="421"/>
    </row>
    <row r="164" spans="1:374" s="1" customFormat="1" ht="16.5">
      <c r="A164" s="403">
        <v>46034</v>
      </c>
      <c r="B164" s="404" t="s">
        <v>1015</v>
      </c>
      <c r="C164" s="405" t="s">
        <v>3540</v>
      </c>
      <c r="D164" s="406" t="s">
        <v>1999</v>
      </c>
      <c r="E164" s="404">
        <v>20</v>
      </c>
      <c r="F164" s="407">
        <v>1100</v>
      </c>
      <c r="G164" s="407" t="s">
        <v>1016</v>
      </c>
      <c r="H164" s="408" t="s">
        <v>1017</v>
      </c>
      <c r="I164" s="409">
        <v>1.06</v>
      </c>
      <c r="J164" s="405" t="s">
        <v>856</v>
      </c>
      <c r="K164" s="404"/>
      <c r="L164" s="419" t="str">
        <f t="shared" si="54"/>
        <v>ToyoLi - WHITE</v>
      </c>
      <c r="M164" s="404"/>
      <c r="N164" s="410">
        <f>IF(M164=0,0,IF($LB164=70%,VLOOKUP($L164,'Jan-2026 rates'!$L:$R,4,0),IF($LB164=65%,VLOOKUP($L164,'Jan-2026 rates'!$L:$R,4,0),IF($LB164=40%,VLOOKUP($L164,'Jan-2026 rates'!$L:$R,5,0),IF($LB164=30%,VLOOKUP($L164,'Jan-2026 rates'!$L:$R,6,0),IF($LB164=100%,VLOOKUP($L164,'Jan-2026 rates'!$L:$R,7,0),IF($LB164=60%,VLOOKUP($L164,'Jan-2026 rates'!$L:$S,8,0),IF($LB164=80%,VLOOKUP($L164,'Jan-2026 rates'!L:T,9,0),0))))))))</f>
        <v>0</v>
      </c>
      <c r="O164" s="406"/>
      <c r="P164" s="404"/>
      <c r="Q164" s="410">
        <f>IF(P164=0,0,IF($LB164=70%,VLOOKUP($L164,'Jan-2026 rates'!$L:$R,4,0),IF($LB164=65%,VLOOKUP($L164,'Jan-2026 rates'!$L:$R,4,0),IF($LB164=40%,VLOOKUP($L164,'Jan-2026 rates'!$L:$R,5,0),IF($LB164=30%,VLOOKUP($L164,'Jan-2026 rates'!$L:$R,6,0),IF($LB164=100%,VLOOKUP($L164,'Jan-2026 rates'!$L:$R,7,0),IF($LB164=60%,VLOOKUP($L164,'Jan-2026 rates'!$L:$S,8,0),IF($LB164=80%,VLOOKUP($L164,'Jan-2026 rates'!L:T,9,0),0))))))))</f>
        <v>0</v>
      </c>
      <c r="R164" s="406" t="s">
        <v>1249</v>
      </c>
      <c r="S164" s="406"/>
      <c r="T164" s="406"/>
      <c r="U164" s="406"/>
      <c r="V164" s="406"/>
      <c r="W164" s="406"/>
      <c r="X164" s="406"/>
      <c r="Y164" s="406"/>
      <c r="Z164" s="404">
        <v>20</v>
      </c>
      <c r="AA164" s="398">
        <f>IF(Z164=0,0,IF(LEN(R164)=11,_xlfn.XLOOKUP(R164,'Dispensed Ink Rates'!C:C,'Dispensed Ink Rates'!CS:CS),VLOOKUP(R164,'Jan-2026 rates'!$E:$F,2,0)))</f>
        <v>0</v>
      </c>
      <c r="AB164" s="404"/>
      <c r="AC164" s="398">
        <f>IF(AB164=0,0,IF(LEN(S164)=11,_xlfn.XLOOKUP(S164,'Dispensed Ink Rates'!C:C,'Dispensed Ink Rates'!CS:CS),VLOOKUP(S164,'Jan-2026 rates'!$E:$F,2,0)))</f>
        <v>0</v>
      </c>
      <c r="AD164" s="404"/>
      <c r="AE164" s="398">
        <f>IF(AD164=0,0,IF(LEN(T164)=11,_xlfn.XLOOKUP(T164,'Dispensed Ink Rates'!C:C,'Dispensed Ink Rates'!CS:CS),VLOOKUP(T164,'Jan-2026 rates'!$E:$F,2,0)))</f>
        <v>0</v>
      </c>
      <c r="AF164" s="404"/>
      <c r="AG164" s="398">
        <f>IF(AF164=0,0,IF(LEN(U164)=11,_xlfn.XLOOKUP(U164,'Dispensed Ink Rates'!C:C,'Dispensed Ink Rates'!CS:CS),VLOOKUP(U164,'Jan-2026 rates'!$E:$F,2,0)))</f>
        <v>0</v>
      </c>
      <c r="AH164" s="404"/>
      <c r="AI164" s="398">
        <f>IF(AH164=0,0,IF(LEN(V164)=11,_xlfn.XLOOKUP(V164,'Dispensed Ink Rates'!C:C,'Dispensed Ink Rates'!CS:CS),VLOOKUP(V164,'Jan-2026 rates'!$E:$F,2,0)))</f>
        <v>0</v>
      </c>
      <c r="AJ164" s="404"/>
      <c r="AK164" s="398">
        <f>IF(AJ164=0,0,IF(LEN(W164)=11,_xlfn.XLOOKUP(W164,'Dispensed Ink Rates'!C:C,'Dispensed Ink Rates'!CS:CS),VLOOKUP(W164,'Jan-2026 rates'!$E:$F,2,0)))</f>
        <v>0</v>
      </c>
      <c r="AL164" s="404"/>
      <c r="AM164" s="398">
        <f>IF(AL164=0,0,IF(LEN(X164)=11,_xlfn.XLOOKUP(X164,'Dispensed Ink Rates'!C:C,'Dispensed Ink Rates'!CS:CS),VLOOKUP(X164,'Jan-2026 rates'!$E:$F,2,0)))</f>
        <v>0</v>
      </c>
      <c r="AN164" s="404"/>
      <c r="AO164" s="398">
        <f>IF(AN164=0,0,IF(LEN(Y164)=11,_xlfn.XLOOKUP(Y164,'Dispensed Ink Rates'!C:C,'Dispensed Ink Rates'!CS:CS),VLOOKUP(Y164,'Jan-2026 rates'!$E:$F,2,0)))</f>
        <v>0</v>
      </c>
      <c r="AP164" s="409" t="s">
        <v>1881</v>
      </c>
      <c r="AQ164" s="409">
        <f>22+5</f>
        <v>27</v>
      </c>
      <c r="AR164" s="410">
        <f t="shared" si="106"/>
        <v>0</v>
      </c>
      <c r="AS164" s="411">
        <f t="shared" si="107"/>
        <v>24</v>
      </c>
      <c r="AT164" s="410">
        <f t="shared" si="108"/>
        <v>0</v>
      </c>
      <c r="AU164" s="405"/>
      <c r="AV164" s="409"/>
      <c r="AW164" s="420" t="str">
        <f t="shared" si="130"/>
        <v xml:space="preserve"> - </v>
      </c>
      <c r="AX164" s="409"/>
      <c r="AY164" s="411">
        <f>IF(AX164=0,0,IF($LB164=70%,VLOOKUP($AW164,'Jan-2026 rates'!$L:$R,4,0),IF($LB164=65%,VLOOKUP($AW164,'Jan-2026 rates'!$L:$R,4,0),IF($LB164=40%,VLOOKUP($AW164,'Jan-2026 rates'!$L:$R,5,0),IF($LB164=30%,VLOOKUP($AW164,'Jan-2026 rates'!$L:$R,6,0),IF($LB164=100%,VLOOKUP($AW164,'Jan-2026 rates'!$L:$R,7,0),IF($LB164=60%,VLOOKUP($AW164,'Jan-2026 rates'!$L:$S,8,0),IF($LB164=80%,VLOOKUP($AW164,'Jan-2026 rates'!L:T,9,0),0))))))))</f>
        <v>0</v>
      </c>
      <c r="AZ164" s="412"/>
      <c r="BA164" s="409"/>
      <c r="BB164" s="411">
        <f>IF(BA164=0,0,IF($LB164=70%,VLOOKUP($AW164,'Jan-2026 rates'!$L:$R,4,0),IF($LB164=65%,VLOOKUP($AW164,'Jan-2026 rates'!$L:$R,4,0),IF($LB164=40%,VLOOKUP($AW164,'Jan-2026 rates'!$L:$R,5,0),IF($LB164=30%,VLOOKUP($AW164,'Jan-2026 rates'!$L:$R,6,0),IF($LB164=100%,VLOOKUP($AW164,'Jan-2026 rates'!$L:$R,7,0),IF($LB164=60%,VLOOKUP($AW164,'Jan-2026 rates'!$L:$S,8,0),IF($LB164=80%,VLOOKUP($AW164,'Jan-2026 rates'!L:T,9,0),0))))))))</f>
        <v>0</v>
      </c>
      <c r="BC164" s="413"/>
      <c r="BD164" s="412"/>
      <c r="BE164" s="412"/>
      <c r="BF164" s="413"/>
      <c r="BG164" s="412"/>
      <c r="BH164" s="412"/>
      <c r="BI164" s="412"/>
      <c r="BJ164" s="412"/>
      <c r="BK164" s="409"/>
      <c r="BL164" s="398">
        <f>IF(BK164=0,0,IF(LEN(BC164)=11,_xlfn.XLOOKUP(BC164,'Dispensed Ink Rates'!C:C,'Dispensed Ink Rates'!CS:CS),VLOOKUP(BC164,'Jan-2026 rates'!$E:$F,2,0)))</f>
        <v>0</v>
      </c>
      <c r="BM164" s="409"/>
      <c r="BN164" s="398">
        <f>IF(BM164=0,0,IF(LEN(BD164)=11,_xlfn.XLOOKUP(BD164,'Dispensed Ink Rates'!C:C,'Dispensed Ink Rates'!CS:CS),VLOOKUP(BD164,'Jan-2026 rates'!$E:$F,2,0)))</f>
        <v>0</v>
      </c>
      <c r="BO164" s="409"/>
      <c r="BP164" s="398">
        <f>IF(BO164=0,0,IF(LEN(BE164)=11,_xlfn.XLOOKUP(BE164,'Dispensed Ink Rates'!C:C,'Dispensed Ink Rates'!CS:CS),VLOOKUP(BE164,'Jan-2026 rates'!$E:$F,2,0)))</f>
        <v>0</v>
      </c>
      <c r="BQ164" s="409"/>
      <c r="BR164" s="398">
        <f>IF(BQ164=0,0,IF(LEN(BF164)=11,_xlfn.XLOOKUP(BF164,'Dispensed Ink Rates'!C:C,'Dispensed Ink Rates'!CS:CS),VLOOKUP(BF164,'Jan-2026 rates'!$E:$F,2,0)))</f>
        <v>0</v>
      </c>
      <c r="BS164" s="409"/>
      <c r="BT164" s="398">
        <f>IF(BS164=0,0,IF(LEN(BG164)=11,_xlfn.XLOOKUP(BG164,'Dispensed Ink Rates'!C:C,'Dispensed Ink Rates'!CS:CS),VLOOKUP(BG164,'Jan-2026 rates'!$E:$F,2,0)))</f>
        <v>0</v>
      </c>
      <c r="BU164" s="409"/>
      <c r="BV164" s="398">
        <f>IF(BU164=0,0,IF(LEN(BH164)=11,_xlfn.XLOOKUP(BH164,'Dispensed Ink Rates'!C:C,'Dispensed Ink Rates'!CS:CS),VLOOKUP(BH164,'Jan-2026 rates'!$E:$F,2,0)))</f>
        <v>0</v>
      </c>
      <c r="BW164" s="409"/>
      <c r="BX164" s="398">
        <f>IF(BW164=0,0,IF(LEN(BI164)=11,_xlfn.XLOOKUP(BI164,'Dispensed Ink Rates'!C:C,'Dispensed Ink Rates'!CS:CS),VLOOKUP(BI164,'Jan-2026 rates'!$E:$F,2,0)))</f>
        <v>0</v>
      </c>
      <c r="BY164" s="409"/>
      <c r="BZ164" s="398">
        <f>IF(BY164=0,0,IF(LEN(BJ164)=11,_xlfn.XLOOKUP(BJ164,'Dispensed Ink Rates'!C:C,'Dispensed Ink Rates'!CS:CS),VLOOKUP(BJ164,'Jan-2026 rates'!$E:$F,2,0)))</f>
        <v>0</v>
      </c>
      <c r="CA164" s="409"/>
      <c r="CB164" s="409"/>
      <c r="CC164" s="411">
        <f t="shared" si="109"/>
        <v>0</v>
      </c>
      <c r="CD164" s="411">
        <f t="shared" si="110"/>
        <v>0</v>
      </c>
      <c r="CE164" s="410">
        <f t="shared" si="111"/>
        <v>0</v>
      </c>
      <c r="CF164" s="404"/>
      <c r="CG164" s="409"/>
      <c r="CH164" s="420" t="str">
        <f t="shared" si="55"/>
        <v xml:space="preserve"> - </v>
      </c>
      <c r="CI164" s="409"/>
      <c r="CJ164" s="411">
        <f>IF(CI164=0,0,IF($LB164=70%,VLOOKUP($CH164,'Jan-2026 rates'!$L:$R,4,0),IF($LB164=65%,VLOOKUP($CH164,'Jan-2026 rates'!$L:$R,4,0),IF($LB164=40%,VLOOKUP($CH164,'Jan-2026 rates'!$L:$R,5,0),IF($LB164=30%,VLOOKUP($CH164,'Jan-2026 rates'!$L:$R,6,0),IF($LB164=100%,VLOOKUP($CH164,'Jan-2026 rates'!$L:$R,7,0),IF($LB164=60%,VLOOKUP($CH164,'Jan-2026 rates'!$L:$S,8,0),IF($LB164=80%,VLOOKUP($CH164,'Jan-2026 rates'!L:T,9,0),0))))))))</f>
        <v>0</v>
      </c>
      <c r="CK164" s="412"/>
      <c r="CL164" s="409"/>
      <c r="CM164" s="411">
        <f>IF(CL164=0,0,IF($LB164=70%,VLOOKUP($CH164,'Jan-2026 rates'!$L:$R,4,0),IF($LB164=65%,VLOOKUP($CH164,'Jan-2026 rates'!$L:$R,4,0),IF($LB164=40%,VLOOKUP($CH164,'Jan-2026 rates'!$L:$R,5,0),IF($LB164=30%,VLOOKUP($CH164,'Jan-2026 rates'!$L:$R,6,0),IF($LB164=100%,VLOOKUP($CH164,'Jan-2026 rates'!$L:$R,7,0),IF($LB164=60%,VLOOKUP($CH164,'Jan-2026 rates'!$L:$S,8,0),IF($LB164=80%,VLOOKUP($CH164,'Jan-2026 rates'!L:T,9,0),0))))))))</f>
        <v>0</v>
      </c>
      <c r="CN164" s="426"/>
      <c r="CO164" s="427"/>
      <c r="CP164" s="426"/>
      <c r="CQ164" s="426"/>
      <c r="CR164" s="428"/>
      <c r="CS164" s="428"/>
      <c r="CT164" s="428"/>
      <c r="CU164" s="428"/>
      <c r="CV164" s="409"/>
      <c r="CW164" s="398">
        <f>IF(CV164=0,0,IF(LEN(CN164)=11,_xlfn.XLOOKUP(CN164,'Dispensed Ink Rates'!C:C,'Dispensed Ink Rates'!CS:CS),VLOOKUP(CN164,'Jan-2026 rates'!$E:$F,2,0)))</f>
        <v>0</v>
      </c>
      <c r="CX164" s="409"/>
      <c r="CY164" s="398">
        <f>IF(CX164=0,0,IF(LEN(CO164)=11,_xlfn.XLOOKUP(CO164,'Dispensed Ink Rates'!C:C,'Dispensed Ink Rates'!CS:CS),VLOOKUP(CO164,'Jan-2026 rates'!$E:$F,2,0)))</f>
        <v>0</v>
      </c>
      <c r="CZ164" s="409"/>
      <c r="DA164" s="398">
        <f>IF(CZ164=0,0,IF(LEN(CP164)=11,_xlfn.XLOOKUP(CP164,'Dispensed Ink Rates'!C:C,'Dispensed Ink Rates'!CS:CS),VLOOKUP(CP164,'Jan-2026 rates'!$E:$F,2,0)))</f>
        <v>0</v>
      </c>
      <c r="DB164" s="409"/>
      <c r="DC164" s="398">
        <f>IF(DB164=0,0,IF(LEN(CQ164)=11,_xlfn.XLOOKUP(CQ164,'Dispensed Ink Rates'!C:C,'Dispensed Ink Rates'!CS:CS),VLOOKUP(CQ164,'Jan-2026 rates'!$E:$F,2,0)))</f>
        <v>0</v>
      </c>
      <c r="DD164" s="409"/>
      <c r="DE164" s="398">
        <f>IF(DD164=0,0,IF(LEN(CR164)=11,_xlfn.XLOOKUP(CR164,'Dispensed Ink Rates'!C:C,'Dispensed Ink Rates'!CS:CS),VLOOKUP(CR164,'Jan-2026 rates'!$E:$F,2,0)))</f>
        <v>0</v>
      </c>
      <c r="DF164" s="409"/>
      <c r="DG164" s="398">
        <f>IF(DF164=0,0,IF(LEN(CS164)=11,_xlfn.XLOOKUP(CS164,'Dispensed Ink Rates'!C:C,'Dispensed Ink Rates'!CS:CS),VLOOKUP(CS164,'Jan-2026 rates'!$E:$F,2,0)))</f>
        <v>0</v>
      </c>
      <c r="DH164" s="409"/>
      <c r="DI164" s="398">
        <f>IF(DH164=0,0,IF(LEN(CT164)=11,_xlfn.XLOOKUP(CT164,'Dispensed Ink Rates'!C:C,'Dispensed Ink Rates'!CS:CS),VLOOKUP(CT164,'Jan-2026 rates'!$E:$F,2,0)))</f>
        <v>0</v>
      </c>
      <c r="DJ164" s="409"/>
      <c r="DK164" s="398">
        <f>IF(DJ164=0,0,IF(LEN(CU164)=11,_xlfn.XLOOKUP(CU164,'Dispensed Ink Rates'!C:C,'Dispensed Ink Rates'!CS:CS),VLOOKUP(CU164,'Jan-2026 rates'!$E:$F,2,0)))</f>
        <v>0</v>
      </c>
      <c r="DL164" s="409"/>
      <c r="DM164" s="409"/>
      <c r="DN164" s="411">
        <f t="shared" si="112"/>
        <v>0</v>
      </c>
      <c r="DO164" s="411">
        <f t="shared" si="113"/>
        <v>0</v>
      </c>
      <c r="DP164" s="410">
        <f t="shared" si="114"/>
        <v>0</v>
      </c>
      <c r="DQ164" s="405"/>
      <c r="DR164" s="409"/>
      <c r="DS164" s="420" t="str">
        <f t="shared" si="56"/>
        <v xml:space="preserve"> - </v>
      </c>
      <c r="DT164" s="409"/>
      <c r="DU164" s="411">
        <f>IF(DT164=0,0,IF($LB164=70%,VLOOKUP($DS164,'Jan-2026 rates'!$L:$R,4,0),IF($LB164=65%,VLOOKUP($DS164,'Jan-2026 rates'!$L:$R,4,0),IF($LB164=40%,VLOOKUP($DS164,'Jan-2026 rates'!$L:$R,5,0),IF($LB164=30%,VLOOKUP($DS164,'Jan-2026 rates'!$L:$R,6,0),IF($LB164=100%,VLOOKUP($DS164,'Jan-2026 rates'!$L:$R,7,0),IF($LB164=60%,VLOOKUP($DS164,'Jan-2026 rates'!$L:$S,8,0),IF($LB164=80%,VLOOKUP($DS164,'Jan-2026 rates'!L:T,9,0),0))))))))</f>
        <v>0</v>
      </c>
      <c r="DV164" s="412"/>
      <c r="DW164" s="409"/>
      <c r="DX164" s="411">
        <f>IF(DW164=0,0,IF($LB164=70%,VLOOKUP($DS164,'Jan-2026 rates'!$L:$R,4,0),IF($LB164=65%,VLOOKUP($DS164,'Jan-2026 rates'!$L:$R,4,0),IF($LB164=40%,VLOOKUP($DS164,'Jan-2026 rates'!$L:$R,5,0),IF($LB164=30%,VLOOKUP($DS164,'Jan-2026 rates'!$L:$R,6,0),IF($LB164=100%,VLOOKUP($DS164,'Jan-2026 rates'!$L:$R,7,0),IF($LB164=60%,VLOOKUP($DS164,'Jan-2026 rates'!$L:$S,8,0),IF($LB164=80%,VLOOKUP($DS164,'Jan-2026 rates'!L:T,9,0),0))))))))</f>
        <v>0</v>
      </c>
      <c r="DY164" s="413"/>
      <c r="DZ164" s="413"/>
      <c r="EA164" s="412"/>
      <c r="EB164" s="412"/>
      <c r="EC164" s="412"/>
      <c r="ED164" s="412"/>
      <c r="EE164" s="412"/>
      <c r="EF164" s="412"/>
      <c r="EG164" s="409"/>
      <c r="EH164" s="398">
        <f>IF(EG164=0,0,IF(LEN(DY164)=11,_xlfn.XLOOKUP(DY164,'Dispensed Ink Rates'!C:C,'Dispensed Ink Rates'!CS:CS),VLOOKUP(DY164,'Jan-2026 rates'!$E:$F,2,0)))</f>
        <v>0</v>
      </c>
      <c r="EI164" s="409"/>
      <c r="EJ164" s="398">
        <f>IF(EI164=0,0,IF(LEN(DZ164)=11,_xlfn.XLOOKUP(DZ164,'Dispensed Ink Rates'!C:C,'Dispensed Ink Rates'!CS:CS),VLOOKUP(DZ164,'Jan-2026 rates'!$E:$F,2,0)))</f>
        <v>0</v>
      </c>
      <c r="EK164" s="409"/>
      <c r="EL164" s="398">
        <f>IF(EK164=0,0,IF(LEN(EA164)=11,_xlfn.XLOOKUP(EA164,'Dispensed Ink Rates'!C:C,'Dispensed Ink Rates'!CS:CS),VLOOKUP(EA164,'Jan-2026 rates'!$E:$F,2,0)))</f>
        <v>0</v>
      </c>
      <c r="EM164" s="409"/>
      <c r="EN164" s="398">
        <f>IF(EM164=0,0,IF(LEN(EB164)=11,_xlfn.XLOOKUP(EB164,'Dispensed Ink Rates'!C:C,'Dispensed Ink Rates'!CS:CS),VLOOKUP(EB164,'Jan-2026 rates'!$E:$F,2,0)))</f>
        <v>0</v>
      </c>
      <c r="EO164" s="409"/>
      <c r="EP164" s="398">
        <f>IF(EO164=0,0,IF(LEN(EC164)=11,_xlfn.XLOOKUP(EC164,'Dispensed Ink Rates'!C:C,'Dispensed Ink Rates'!CS:CS),VLOOKUP(EC164,'Jan-2026 rates'!$E:$F,2,0)))</f>
        <v>0</v>
      </c>
      <c r="EQ164" s="409"/>
      <c r="ER164" s="398">
        <f>IF(EQ164=0,0,IF(LEN(ED164)=11,_xlfn.XLOOKUP(ED164,'Dispensed Ink Rates'!C:C,'Dispensed Ink Rates'!CS:CS),VLOOKUP(ED164,'Jan-2026 rates'!$E:$F,2,0)))</f>
        <v>0</v>
      </c>
      <c r="ES164" s="409"/>
      <c r="ET164" s="398">
        <f>IF(ES164=0,0,IF(LEN(EE164)=11,_xlfn.XLOOKUP(EE164,'Dispensed Ink Rates'!C:C,'Dispensed Ink Rates'!CS:CS),VLOOKUP(EE164,'Jan-2026 rates'!$E:$F,2,0)))</f>
        <v>0</v>
      </c>
      <c r="EU164" s="409"/>
      <c r="EV164" s="398">
        <f>IF(EU164=0,0,IF(LEN(EF164)=11,_xlfn.XLOOKUP(EF164,'Dispensed Ink Rates'!C:C,'Dispensed Ink Rates'!CS:CS),VLOOKUP(EF164,'Jan-2026 rates'!$E:$F,2,0)))</f>
        <v>0</v>
      </c>
      <c r="EW164" s="409"/>
      <c r="EX164" s="409"/>
      <c r="EY164" s="411">
        <f t="shared" si="115"/>
        <v>0</v>
      </c>
      <c r="EZ164" s="411">
        <f t="shared" si="116"/>
        <v>0</v>
      </c>
      <c r="FA164" s="410">
        <f t="shared" si="117"/>
        <v>0</v>
      </c>
      <c r="FB164" s="405"/>
      <c r="FC164" s="409"/>
      <c r="FD164" s="420" t="str">
        <f t="shared" si="57"/>
        <v xml:space="preserve"> - </v>
      </c>
      <c r="FE164" s="409"/>
      <c r="FF164" s="411">
        <f>IF(FE164=0,0,IF($LB164=70%,VLOOKUP($FD164,'Jan-2026 rates'!$L:$R,4,0),IF($LB164=65%,VLOOKUP($FD164,'Jan-2026 rates'!$L:$R,4,0),IF($LB164=40%,VLOOKUP($FD164,'Jan-2026 rates'!$L:$R,5,0),IF($LB164=30%,VLOOKUP($FD164,'Jan-2026 rates'!$L:$R,6,0),IF($LB164=100%,VLOOKUP($FD164,'Jan-2026 rates'!$L:$R,7,0),IF($LB164=60%,VLOOKUP($FD164,'Jan-2026 rates'!$L:$S,8,0),IF($LB164=80%,VLOOKUP($FD164,'Jan-2026 rates'!L:T,9,0),0))))))))</f>
        <v>0</v>
      </c>
      <c r="FG164" s="412"/>
      <c r="FH164" s="409"/>
      <c r="FI164" s="411">
        <f>IF(FH164=0,0,IF($LB164=70%,VLOOKUP($FD164,'Jan-2026 rates'!$L:$R,4,0),IF($LB164=65%,VLOOKUP($FD164,'Jan-2026 rates'!$L:$R,4,0),IF($LB164=40%,VLOOKUP($FD164,'Jan-2026 rates'!$L:$R,5,0),IF($LB164=30%,VLOOKUP($FD164,'Jan-2026 rates'!$L:$R,6,0),IF($LB164=100%,VLOOKUP($FD164,'Jan-2026 rates'!$L:$R,7,0),IF($LB164=60%,VLOOKUP($FD164,'Jan-2026 rates'!$L:$S,8,0),IF($LB164=80%,VLOOKUP($FD164,'Jan-2026 rates'!L:T,9,0),0))))))))</f>
        <v>0</v>
      </c>
      <c r="FJ164" s="413"/>
      <c r="FK164" s="413"/>
      <c r="FL164" s="413"/>
      <c r="FM164" s="412"/>
      <c r="FN164" s="412"/>
      <c r="FO164" s="412"/>
      <c r="FP164" s="412"/>
      <c r="FQ164" s="412"/>
      <c r="FR164" s="409"/>
      <c r="FS164" s="398">
        <f>IF(FR164=0,0,IF(LEN(FJ164)=11,_xlfn.XLOOKUP(FJ164,'Dispensed Ink Rates'!C:C,'Dispensed Ink Rates'!CS:CS),VLOOKUP(FJ164,'Jan-2026 rates'!$E:$F,2,0)))</f>
        <v>0</v>
      </c>
      <c r="FT164" s="409"/>
      <c r="FU164" s="398">
        <f>IF(FT164=0,0,IF(LEN(FK164)=11,_xlfn.XLOOKUP(FK164,'Dispensed Ink Rates'!C:C,'Dispensed Ink Rates'!CS:CS),VLOOKUP(FK164,'Jan-2026 rates'!$E:$F,2,0)))</f>
        <v>0</v>
      </c>
      <c r="FV164" s="409"/>
      <c r="FW164" s="398">
        <f>IF(FV164=0,0,IF(LEN(FL164)=11,_xlfn.XLOOKUP(FL164,'Dispensed Ink Rates'!C:C,'Dispensed Ink Rates'!CS:CS),VLOOKUP(FL164,'Jan-2026 rates'!$E:$F,2,0)))</f>
        <v>0</v>
      </c>
      <c r="FX164" s="409"/>
      <c r="FY164" s="398">
        <f>IF(FX164=0,0,IF(LEN(FM164)=11,_xlfn.XLOOKUP(FM164,'Dispensed Ink Rates'!C:C,'Dispensed Ink Rates'!CS:CS),VLOOKUP(FM164,'Jan-2026 rates'!$E:$F,2,0)))</f>
        <v>0</v>
      </c>
      <c r="FZ164" s="409"/>
      <c r="GA164" s="398">
        <f>IF(FZ164=0,0,IF(LEN(FN164)=11,_xlfn.XLOOKUP(FN164,'Dispensed Ink Rates'!C:C,'Dispensed Ink Rates'!CS:CS),VLOOKUP(FN164,'Jan-2026 rates'!$E:$F,2,0)))</f>
        <v>0</v>
      </c>
      <c r="GB164" s="409"/>
      <c r="GC164" s="398">
        <f>IF(GB164=0,0,IF(LEN(FO164)=11,_xlfn.XLOOKUP(FO164,'Dispensed Ink Rates'!C:C,'Dispensed Ink Rates'!CS:CS),VLOOKUP(FO164,'Jan-2026 rates'!$E:$F,2,0)))</f>
        <v>0</v>
      </c>
      <c r="GD164" s="409"/>
      <c r="GE164" s="398">
        <f>IF(GD164=0,0,IF(LEN(FP164)=11,_xlfn.XLOOKUP(FP164,'Dispensed Ink Rates'!C:C,'Dispensed Ink Rates'!CS:CS),VLOOKUP(FP164,'Jan-2026 rates'!$E:$F,2,0)))</f>
        <v>0</v>
      </c>
      <c r="GF164" s="409"/>
      <c r="GG164" s="398">
        <f>IF(GF164=0,0,IF(LEN(FQ164)=11,_xlfn.XLOOKUP(FQ164,'Dispensed Ink Rates'!C:C,'Dispensed Ink Rates'!CS:CS),VLOOKUP(FQ164,'Jan-2026 rates'!$E:$F,2,0)))</f>
        <v>0</v>
      </c>
      <c r="GH164" s="409"/>
      <c r="GI164" s="409"/>
      <c r="GJ164" s="411">
        <f t="shared" si="118"/>
        <v>0</v>
      </c>
      <c r="GK164" s="411">
        <f t="shared" si="119"/>
        <v>0</v>
      </c>
      <c r="GL164" s="410">
        <f t="shared" si="120"/>
        <v>0</v>
      </c>
      <c r="GM164" s="405"/>
      <c r="GN164" s="409"/>
      <c r="GO164" s="420" t="str">
        <f t="shared" si="58"/>
        <v xml:space="preserve"> - </v>
      </c>
      <c r="GP164" s="409"/>
      <c r="GQ164" s="411">
        <f>IF(GP164=0,0,IF($LB164=70%,VLOOKUP($GO164,'Jan-2026 rates'!$L:$R,4,0),IF($LB164=65%,VLOOKUP($GO164,'Jan-2026 rates'!$L:$R,4,0),IF($LB164=40%,VLOOKUP($GO164,'Jan-2026 rates'!$L:$R,5,0),IF($LB164=30%,VLOOKUP($GO164,'Jan-2026 rates'!$L:$R,6,0),IF($LB164=100%,VLOOKUP($GO164,'Jan-2026 rates'!$L:$R,7,0),IF($LB164=60%,VLOOKUP($GO164,'Jan-2026 rates'!$L:$S,8,0),IF($LB164=80%,VLOOKUP($GO164,'Jan-2026 rates'!L:T,9,0),0))))))))</f>
        <v>0</v>
      </c>
      <c r="GR164" s="412"/>
      <c r="GS164" s="409"/>
      <c r="GT164" s="411">
        <f>IF(GS164=0,0,IF($LB164=70%,VLOOKUP($GO164,'Jan-2026 rates'!$L:$R,4,0),IF($LB164=65%,VLOOKUP($GO164,'Jan-2026 rates'!$L:$R,4,0),IF($LB164=40%,VLOOKUP($GO164,'Jan-2026 rates'!$L:$R,5,0),IF($LB164=30%,VLOOKUP($GO164,'Jan-2026 rates'!$L:$R,6,0),IF($LB164=100%,VLOOKUP($GO164,'Jan-2026 rates'!$L:$R,7,0),IF($LB164=60%,VLOOKUP($GO164,'Jan-2026 rates'!$L:$S,8,0),IF($LB164=80%,VLOOKUP($GO164,'Jan-2026 rates'!L:T,9,0),0))))))))</f>
        <v>0</v>
      </c>
      <c r="GU164" s="413"/>
      <c r="GV164" s="413"/>
      <c r="GW164" s="412"/>
      <c r="GX164" s="412"/>
      <c r="GY164" s="412"/>
      <c r="GZ164" s="412"/>
      <c r="HA164" s="412"/>
      <c r="HB164" s="412"/>
      <c r="HC164" s="409"/>
      <c r="HD164" s="398">
        <f>IF(HC164=0,0,IF(LEN(GU164)=11,_xlfn.XLOOKUP(GU164,'Dispensed Ink Rates'!C:C,'Dispensed Ink Rates'!CS:CS),VLOOKUP(GU164,'Jan-2026 rates'!$E:$F,2,0)))</f>
        <v>0</v>
      </c>
      <c r="HE164" s="409"/>
      <c r="HF164" s="398">
        <f>IF(HE164=0,0,IF(LEN(GV164)=11,_xlfn.XLOOKUP(GV164,'Dispensed Ink Rates'!C:C,'Dispensed Ink Rates'!CS:CS),VLOOKUP(GV164,'Jan-2026 rates'!$E:$F,2,0)))</f>
        <v>0</v>
      </c>
      <c r="HG164" s="409"/>
      <c r="HH164" s="398">
        <f>IF(HG164=0,0,IF(LEN(GW164)=11,_xlfn.XLOOKUP(GW164,'Dispensed Ink Rates'!C:C,'Dispensed Ink Rates'!CS:CS),VLOOKUP(GW164,'Jan-2026 rates'!$E:$F,2,0)))</f>
        <v>0</v>
      </c>
      <c r="HI164" s="409"/>
      <c r="HJ164" s="398">
        <f>IF(HI164=0,0,IF(LEN(GX164)=11,_xlfn.XLOOKUP(GX164,'Dispensed Ink Rates'!C:C,'Dispensed Ink Rates'!CS:CS),VLOOKUP(GX164,'Jan-2026 rates'!$E:$F,2,0)))</f>
        <v>0</v>
      </c>
      <c r="HK164" s="409"/>
      <c r="HL164" s="398">
        <f>IF(HK164=0,0,IF(LEN(GY164)=11,_xlfn.XLOOKUP(GY164,'Dispensed Ink Rates'!C:C,'Dispensed Ink Rates'!CS:CS),VLOOKUP(GY164,'Jan-2026 rates'!$E:$F,2,0)))</f>
        <v>0</v>
      </c>
      <c r="HM164" s="409"/>
      <c r="HN164" s="398">
        <f>IF(HM164=0,0,IF(LEN(GZ164)=11,_xlfn.XLOOKUP(GZ164,'Dispensed Ink Rates'!C:C,'Dispensed Ink Rates'!CS:CS),VLOOKUP(GZ164,'Jan-2026 rates'!$E:$F,2,0)))</f>
        <v>0</v>
      </c>
      <c r="HO164" s="409"/>
      <c r="HP164" s="398">
        <f>IF(HO164=0,0,IF(LEN(HA164)=11,_xlfn.XLOOKUP(HA164,'Dispensed Ink Rates'!C:C,'Dispensed Ink Rates'!CS:CS),VLOOKUP(HA164,'Jan-2026 rates'!$E:$F,2,0)))</f>
        <v>0</v>
      </c>
      <c r="HQ164" s="409"/>
      <c r="HR164" s="398">
        <f>IF(HQ164=0,0,IF(LEN(HB164)=11,_xlfn.XLOOKUP(HB164,'Dispensed Ink Rates'!C:C,'Dispensed Ink Rates'!CS:CS),VLOOKUP(HB164,'Jan-2026 rates'!$E:$F,2,0)))</f>
        <v>0</v>
      </c>
      <c r="HS164" s="409"/>
      <c r="HT164" s="409"/>
      <c r="HU164" s="411">
        <f t="shared" si="121"/>
        <v>0</v>
      </c>
      <c r="HV164" s="411">
        <f t="shared" si="122"/>
        <v>0</v>
      </c>
      <c r="HW164" s="414">
        <f t="shared" si="123"/>
        <v>0</v>
      </c>
      <c r="HX164" s="405"/>
      <c r="HY164" s="409"/>
      <c r="HZ164" s="420" t="str">
        <f t="shared" si="59"/>
        <v xml:space="preserve"> - </v>
      </c>
      <c r="IA164" s="409"/>
      <c r="IB164" s="411">
        <f>IF(IA164=0,0,IF($LB164=70%,VLOOKUP($HZ164,'Jan-2026 rates'!$L:$R,4,0),IF($LB164=65%,VLOOKUP($HZ164,'Jan-2026 rates'!$L:$R,4,0),IF($LB164=40%,VLOOKUP($HZ164,'Jan-2026 rates'!$L:$R,5,0),IF($LB164=30%,VLOOKUP($HZ164,'Jan-2026 rates'!$L:$R,6,0),IF($LB164=100%,VLOOKUP($HZ164,'Jan-2026 rates'!$L:$R,7,0),IF($LB164=60%,VLOOKUP($HZ164,'Jan-2026 rates'!$L:$S,8,0),IF($LB164=80%,VLOOKUP($HZ164,'Jan-2026 rates'!L:T,9,0),0))))))))</f>
        <v>0</v>
      </c>
      <c r="IC164" s="412"/>
      <c r="ID164" s="409"/>
      <c r="IE164" s="411">
        <f>IF(ID164=0,0,IF($LB164=70%,VLOOKUP($HZ164,'Jan-2026 rates'!$L:$R,4,0),IF($LB164=65%,VLOOKUP($HZ164,'Jan-2026 rates'!$L:$R,4,0),IF($LB164=40%,VLOOKUP($HZ164,'Jan-2026 rates'!$L:$R,5,0),IF($LB164=30%,VLOOKUP($HZ164,'Jan-2026 rates'!$L:$R,6,0),IF($LB164=100%,VLOOKUP($HZ164,'Jan-2026 rates'!$L:$R,7,0),IF($LB164=60%,VLOOKUP($HZ164,'Jan-2026 rates'!$L:$S,8,0),IF($LB164=80%,VLOOKUP($HZ164,'Jan-2026 rates'!L:T,9,0),0))))))))</f>
        <v>0</v>
      </c>
      <c r="IF164" s="412"/>
      <c r="IG164" s="413"/>
      <c r="IH164" s="412"/>
      <c r="II164" s="412"/>
      <c r="IJ164" s="412"/>
      <c r="IK164" s="412"/>
      <c r="IL164" s="412"/>
      <c r="IM164" s="412"/>
      <c r="IN164" s="409"/>
      <c r="IO164" s="398">
        <f>IF(IN164=0,0,IF(LEN(IF164)=11,_xlfn.XLOOKUP(IF164,'Dispensed Ink Rates'!C:C,'Dispensed Ink Rates'!CS:CS),VLOOKUP(IF164,'Jan-2026 rates'!$E:$F,2,0)))</f>
        <v>0</v>
      </c>
      <c r="IP164" s="409"/>
      <c r="IQ164" s="398">
        <f>IF(IP164=0,0,IF(LEN(IG164)=11,_xlfn.XLOOKUP(IG164,'Dispensed Ink Rates'!C:C,'Dispensed Ink Rates'!CS:CS),VLOOKUP(IG164,'Jan-2026 rates'!$E:$F,2,0)))</f>
        <v>0</v>
      </c>
      <c r="IR164" s="409"/>
      <c r="IS164" s="398">
        <f>IF(IR164=0,0,IF(LEN(IH164)=11,_xlfn.XLOOKUP(IH164,'Dispensed Ink Rates'!C:C,'Dispensed Ink Rates'!CS:CS),VLOOKUP(IH164,'Jan-2026 rates'!$E:$F,2,0)))</f>
        <v>0</v>
      </c>
      <c r="IT164" s="409"/>
      <c r="IU164" s="398">
        <f>IF(IT164=0,0,IF(LEN(II164)=11,_xlfn.XLOOKUP(II164,'Dispensed Ink Rates'!C:C,'Dispensed Ink Rates'!CS:CS),VLOOKUP(II164,'Jan-2026 rates'!$E:$F,2,0)))</f>
        <v>0</v>
      </c>
      <c r="IV164" s="409"/>
      <c r="IW164" s="398">
        <f>IF(IV164=0,0,IF(LEN(IJ164)=11,_xlfn.XLOOKUP(IJ164,'Dispensed Ink Rates'!C:C,'Dispensed Ink Rates'!CS:CS),VLOOKUP(IJ164,'Jan-2026 rates'!$E:$F,2,0)))</f>
        <v>0</v>
      </c>
      <c r="IX164" s="409"/>
      <c r="IY164" s="398">
        <f>IF(IX164=0,0,IF(LEN(IK164)=11,_xlfn.XLOOKUP(IK164,'Dispensed Ink Rates'!C:C,'Dispensed Ink Rates'!CS:CS),VLOOKUP(IK164,'Jan-2026 rates'!$E:$F,2,0)))</f>
        <v>0</v>
      </c>
      <c r="IZ164" s="409"/>
      <c r="JA164" s="398">
        <f>IF(IZ164=0,0,IF(LEN(IL164)=11,_xlfn.XLOOKUP(IL164,'Dispensed Ink Rates'!C:C,'Dispensed Ink Rates'!CS:CS),VLOOKUP(IL164,'Jan-2026 rates'!$E:$F,2,0)))</f>
        <v>0</v>
      </c>
      <c r="JB164" s="409"/>
      <c r="JC164" s="398">
        <f>IF(JB164=0,0,IF(LEN(IM164)=11,_xlfn.XLOOKUP(IM164,'Dispensed Ink Rates'!C:C,'Dispensed Ink Rates'!CS:CS),VLOOKUP(IM164,'Jan-2026 rates'!$E:$F,2,0)))</f>
        <v>0</v>
      </c>
      <c r="JD164" s="409"/>
      <c r="JE164" s="409"/>
      <c r="JF164" s="411">
        <f t="shared" si="124"/>
        <v>0</v>
      </c>
      <c r="JG164" s="411">
        <f t="shared" si="125"/>
        <v>0</v>
      </c>
      <c r="JH164" s="410">
        <f t="shared" si="126"/>
        <v>0</v>
      </c>
      <c r="JI164" s="405"/>
      <c r="JJ164" s="409"/>
      <c r="JK164" s="420" t="str">
        <f t="shared" si="60"/>
        <v xml:space="preserve"> - </v>
      </c>
      <c r="JL164" s="409"/>
      <c r="JM164" s="411">
        <f>IF(JL164=0,0,IF($LB164=70%,VLOOKUP($JK164,'Jan-2026 rates'!$L:$R,4,0),IF($LB164=65%,VLOOKUP($JK164,'Jan-2026 rates'!$L:$R,4,0),IF($LB164=40%,VLOOKUP($JK164,'Jan-2026 rates'!$L:$R,5,0),IF($LB164=30%,VLOOKUP($JK164,'Jan-2026 rates'!$L:$R,6,0),IF($LB164=100%,VLOOKUP($JK164,'Jan-2026 rates'!$L:$R,7,0),IF($LB164=60%,VLOOKUP($JK164,'Jan-2026 rates'!$L:$S,8,0),IF($LB164=80%,VLOOKUP($JK164,'Jan-2026 rates'!L:T,9,0),0))))))))</f>
        <v>0</v>
      </c>
      <c r="JN164" s="412"/>
      <c r="JO164" s="409"/>
      <c r="JP164" s="411">
        <f>IF(JO164=0,0,IF($LB164=70%,VLOOKUP($JK164,'Jan-2026 rates'!$L:$R,4,0),IF($LB164=65%,VLOOKUP($JK164,'Jan-2026 rates'!$L:$R,4,0),IF($LB164=40%,VLOOKUP($JK164,'Jan-2026 rates'!$L:$R,5,0),IF($LB164=30%,VLOOKUP($JK164,'Jan-2026 rates'!$L:$R,6,0),IF($LB164=100%,VLOOKUP($JK164,'Jan-2026 rates'!$L:$R,7,0),IF($LB164=60%,VLOOKUP($JK164,'Jan-2026 rates'!$L:$S,8,0),IF($LB164=80%,VLOOKUP($JK164,'Jan-2026 rates'!L:T,9,0),0))))))))</f>
        <v>0</v>
      </c>
      <c r="JQ164" s="413"/>
      <c r="JR164" s="412"/>
      <c r="JS164" s="413"/>
      <c r="JT164" s="413"/>
      <c r="JU164" s="412"/>
      <c r="JV164" s="412"/>
      <c r="JW164" s="412"/>
      <c r="JX164" s="412"/>
      <c r="JY164" s="409"/>
      <c r="JZ164" s="398">
        <f>IF(JY164=0,0,IF(LEN(JQ164)=11,_xlfn.XLOOKUP(JQ164,'Dispensed Ink Rates'!C:C,'Dispensed Ink Rates'!CS:CS),VLOOKUP(JQ164,'Jan-2026 rates'!$E:$F,2,0)))</f>
        <v>0</v>
      </c>
      <c r="KA164" s="409"/>
      <c r="KB164" s="398">
        <f>IF(KA164=0,0,IF(LEN(JR164)=11,_xlfn.XLOOKUP(JR164,'Dispensed Ink Rates'!C:C,'Dispensed Ink Rates'!CS:CS),VLOOKUP(JR164,'Jan-2026 rates'!$E:$F,2,0)))</f>
        <v>0</v>
      </c>
      <c r="KC164" s="409"/>
      <c r="KD164" s="398">
        <f>IF(KC164=0,0,IF(LEN(JS164)=11,_xlfn.XLOOKUP(JS164,'Dispensed Ink Rates'!C:C,'Dispensed Ink Rates'!CS:CS),VLOOKUP(JS164,'Jan-2026 rates'!$E:$F,2,0)))</f>
        <v>0</v>
      </c>
      <c r="KE164" s="409"/>
      <c r="KF164" s="398">
        <f>IF(KE164=0,0,IF(LEN(JT164)=11,_xlfn.XLOOKUP(JT164,'Dispensed Ink Rates'!C:C,'Dispensed Ink Rates'!CS:CS),VLOOKUP(JT164,'Jan-2026 rates'!$E:$F,2,0)))</f>
        <v>0</v>
      </c>
      <c r="KG164" s="409"/>
      <c r="KH164" s="398">
        <f>IF(KG164=0,0,IF(LEN(JU164)=11,_xlfn.XLOOKUP(JU164,'Dispensed Ink Rates'!C:C,'Dispensed Ink Rates'!CS:CS),VLOOKUP(JU164,'Jan-2026 rates'!$E:$F,2,0)))</f>
        <v>0</v>
      </c>
      <c r="KI164" s="409"/>
      <c r="KJ164" s="398">
        <f>IF(KI164=0,0,IF(LEN(JV164)=11,_xlfn.XLOOKUP(JV164,'Dispensed Ink Rates'!C:C,'Dispensed Ink Rates'!CS:CS),VLOOKUP(JV164,'Jan-2026 rates'!$E:$F,2,0)))</f>
        <v>0</v>
      </c>
      <c r="KK164" s="409"/>
      <c r="KL164" s="398">
        <f>IF(KK164=0,0,IF(LEN(JW164)=11,_xlfn.XLOOKUP(JW164,'Dispensed Ink Rates'!C:C,'Dispensed Ink Rates'!CS:CS),VLOOKUP(JW164,'Jan-2026 rates'!$E:$F,2,0)))</f>
        <v>0</v>
      </c>
      <c r="KM164" s="428"/>
      <c r="KN164" s="398">
        <f>IF(KM164=0,0,IF(LEN(JX164)=11,_xlfn.XLOOKUP(JX164,'Dispensed Ink Rates'!C:C,'Dispensed Ink Rates'!CS:CS),VLOOKUP(JX164,'Jan-2026 rates'!$E:$F,2,0)))</f>
        <v>0</v>
      </c>
      <c r="KO164" s="409"/>
      <c r="KP164" s="409"/>
      <c r="KQ164" s="411">
        <f t="shared" si="127"/>
        <v>0</v>
      </c>
      <c r="KR164" s="411">
        <f t="shared" si="128"/>
        <v>0</v>
      </c>
      <c r="KS164" s="410">
        <f t="shared" si="129"/>
        <v>0</v>
      </c>
      <c r="KT164" s="409">
        <v>16</v>
      </c>
      <c r="KU164" s="409">
        <v>0</v>
      </c>
      <c r="KV164" s="409">
        <v>0</v>
      </c>
      <c r="KW164" s="409">
        <v>0</v>
      </c>
      <c r="KX164" s="409">
        <v>0</v>
      </c>
      <c r="KY164" s="409">
        <v>0</v>
      </c>
      <c r="KZ164" s="409">
        <v>0</v>
      </c>
      <c r="LA164" s="409">
        <v>0</v>
      </c>
      <c r="LB164" s="415">
        <v>0.3</v>
      </c>
      <c r="LC164" s="415"/>
      <c r="LD164" s="415"/>
      <c r="LE164" s="415">
        <v>0.5</v>
      </c>
      <c r="LF164" s="415">
        <v>0.2</v>
      </c>
      <c r="LG164" s="409">
        <v>0</v>
      </c>
      <c r="LH164" s="409">
        <f>16+5+10</f>
        <v>31</v>
      </c>
      <c r="LI164" s="409">
        <v>0</v>
      </c>
      <c r="LJ164" s="409">
        <v>0</v>
      </c>
      <c r="LK164" s="416">
        <f t="shared" si="61"/>
        <v>31</v>
      </c>
      <c r="LL164" s="416">
        <f t="shared" si="62"/>
        <v>31</v>
      </c>
      <c r="LM164" s="417">
        <f t="shared" si="63"/>
        <v>9.2999999999999989</v>
      </c>
      <c r="LN164" s="417">
        <f>VLOOKUP($LM$8,'Jan-2026 rates'!$H:$I,2,0)</f>
        <v>0</v>
      </c>
      <c r="LO164" s="417">
        <f t="shared" si="64"/>
        <v>0</v>
      </c>
      <c r="LP164" s="417">
        <f>VLOOKUP($LO$8,'Jan-2026 rates'!$H:$I,2,0)</f>
        <v>0</v>
      </c>
      <c r="LQ164" s="417">
        <f t="shared" si="65"/>
        <v>0</v>
      </c>
      <c r="LR164" s="417">
        <f>VLOOKUP($LQ$8,'Jan-2026 rates'!$H:$I,2,0)</f>
        <v>0</v>
      </c>
      <c r="LS164" s="417">
        <f t="shared" si="66"/>
        <v>15.5</v>
      </c>
      <c r="LT164" s="417">
        <f>VLOOKUP($LS$8,'Jan-2026 rates'!$H:$I,2,0)</f>
        <v>0</v>
      </c>
      <c r="LU164" s="417">
        <f t="shared" si="67"/>
        <v>6.2</v>
      </c>
      <c r="LV164" s="417">
        <f>VLOOKUP($LU$8,'Jan-2026 rates'!$H:$I,2,0)</f>
        <v>0</v>
      </c>
      <c r="LW164" s="417">
        <f t="shared" si="68"/>
        <v>0</v>
      </c>
      <c r="LX164" s="417">
        <f t="shared" si="69"/>
        <v>0</v>
      </c>
      <c r="LY164" s="418">
        <f t="shared" si="70"/>
        <v>0</v>
      </c>
      <c r="LZ164" s="417"/>
      <c r="MA164" s="435">
        <f t="shared" si="71"/>
        <v>20</v>
      </c>
      <c r="MB164" s="282">
        <f t="shared" si="72"/>
        <v>24</v>
      </c>
      <c r="MC164" s="283" t="s">
        <v>1999</v>
      </c>
      <c r="MD164" s="284" t="str">
        <f t="shared" si="73"/>
        <v>ToyoLi</v>
      </c>
      <c r="ME164" s="293" t="str">
        <f t="shared" si="74"/>
        <v>+</v>
      </c>
      <c r="MF164" s="293" t="str">
        <f t="shared" si="75"/>
        <v>NIL</v>
      </c>
      <c r="MG164" s="293" t="str">
        <f t="shared" si="76"/>
        <v>NIL</v>
      </c>
      <c r="MH164" s="293" t="str">
        <f t="shared" si="77"/>
        <v>NIL</v>
      </c>
      <c r="MI164" s="293" t="str">
        <f t="shared" si="78"/>
        <v>NIL</v>
      </c>
      <c r="MJ164" s="293" t="str">
        <f t="shared" si="79"/>
        <v>NIL</v>
      </c>
      <c r="MK164" s="293" t="str">
        <f t="shared" si="80"/>
        <v>NIL</v>
      </c>
      <c r="ML164" s="293" t="str">
        <f t="shared" si="81"/>
        <v>NIL</v>
      </c>
      <c r="MM164" s="3" t="b">
        <f t="array" ref="MM164">OR(ME164:ML164="-")</f>
        <v>0</v>
      </c>
      <c r="MN164" s="285"/>
      <c r="MO164" s="401"/>
      <c r="MP164" s="286"/>
      <c r="MQ164" s="286"/>
      <c r="MR164" s="402"/>
      <c r="MS164" s="400"/>
      <c r="NH164" s="422"/>
      <c r="NJ164" s="421"/>
    </row>
    <row r="165" spans="1:374" s="1" customFormat="1" ht="16.5">
      <c r="A165" s="403">
        <v>46034</v>
      </c>
      <c r="B165" s="404" t="s">
        <v>1015</v>
      </c>
      <c r="C165" s="405" t="s">
        <v>3541</v>
      </c>
      <c r="D165" s="406" t="s">
        <v>2000</v>
      </c>
      <c r="E165" s="404">
        <v>161</v>
      </c>
      <c r="F165" s="407">
        <v>7900</v>
      </c>
      <c r="G165" s="407" t="s">
        <v>1016</v>
      </c>
      <c r="H165" s="408" t="s">
        <v>1017</v>
      </c>
      <c r="I165" s="409">
        <v>1.8</v>
      </c>
      <c r="J165" s="405" t="s">
        <v>543</v>
      </c>
      <c r="K165" s="404" t="s">
        <v>3542</v>
      </c>
      <c r="L165" s="419" t="str">
        <f t="shared" si="54"/>
        <v>ToyoLi - BLACK</v>
      </c>
      <c r="M165" s="404">
        <v>26</v>
      </c>
      <c r="N165" s="410">
        <f>IF(M165=0,0,IF($LB165=70%,VLOOKUP($L165,'Jan-2026 rates'!$L:$R,4,0),IF($LB165=65%,VLOOKUP($L165,'Jan-2026 rates'!$L:$R,4,0),IF($LB165=40%,VLOOKUP($L165,'Jan-2026 rates'!$L:$R,5,0),IF($LB165=30%,VLOOKUP($L165,'Jan-2026 rates'!$L:$R,6,0),IF($LB165=100%,VLOOKUP($L165,'Jan-2026 rates'!$L:$R,7,0),IF($LB165=60%,VLOOKUP($L165,'Jan-2026 rates'!$L:$S,8,0),IF($LB165=80%,VLOOKUP($L165,'Jan-2026 rates'!L:T,9,0),0))))))))</f>
        <v>0</v>
      </c>
      <c r="O165" s="406"/>
      <c r="P165" s="404"/>
      <c r="Q165" s="410">
        <f>IF(P165=0,0,IF($LB165=70%,VLOOKUP($L165,'Jan-2026 rates'!$L:$R,4,0),IF($LB165=65%,VLOOKUP($L165,'Jan-2026 rates'!$L:$R,4,0),IF($LB165=40%,VLOOKUP($L165,'Jan-2026 rates'!$L:$R,5,0),IF($LB165=30%,VLOOKUP($L165,'Jan-2026 rates'!$L:$R,6,0),IF($LB165=100%,VLOOKUP($L165,'Jan-2026 rates'!$L:$R,7,0),IF($LB165=60%,VLOOKUP($L165,'Jan-2026 rates'!$L:$S,8,0),IF($LB165=80%,VLOOKUP($L165,'Jan-2026 rates'!L:T,9,0),0))))))))</f>
        <v>0</v>
      </c>
      <c r="R165" s="406" t="s">
        <v>1252</v>
      </c>
      <c r="S165" s="406"/>
      <c r="T165" s="406"/>
      <c r="U165" s="406"/>
      <c r="V165" s="406"/>
      <c r="W165" s="406"/>
      <c r="X165" s="406"/>
      <c r="Y165" s="406"/>
      <c r="Z165" s="404">
        <v>1</v>
      </c>
      <c r="AA165" s="398">
        <f>IF(Z165=0,0,IF(LEN(R165)=11,_xlfn.XLOOKUP(R165,'Dispensed Ink Rates'!C:C,'Dispensed Ink Rates'!CS:CS),VLOOKUP(R165,'Jan-2026 rates'!$E:$F,2,0)))</f>
        <v>0</v>
      </c>
      <c r="AB165" s="404"/>
      <c r="AC165" s="398">
        <f>IF(AB165=0,0,IF(LEN(S165)=11,_xlfn.XLOOKUP(S165,'Dispensed Ink Rates'!C:C,'Dispensed Ink Rates'!CS:CS),VLOOKUP(S165,'Jan-2026 rates'!$E:$F,2,0)))</f>
        <v>0</v>
      </c>
      <c r="AD165" s="404"/>
      <c r="AE165" s="398">
        <f>IF(AD165=0,0,IF(LEN(T165)=11,_xlfn.XLOOKUP(T165,'Dispensed Ink Rates'!C:C,'Dispensed Ink Rates'!CS:CS),VLOOKUP(T165,'Jan-2026 rates'!$E:$F,2,0)))</f>
        <v>0</v>
      </c>
      <c r="AF165" s="404"/>
      <c r="AG165" s="398">
        <f>IF(AF165=0,0,IF(LEN(U165)=11,_xlfn.XLOOKUP(U165,'Dispensed Ink Rates'!C:C,'Dispensed Ink Rates'!CS:CS),VLOOKUP(U165,'Jan-2026 rates'!$E:$F,2,0)))</f>
        <v>0</v>
      </c>
      <c r="AH165" s="404"/>
      <c r="AI165" s="398">
        <f>IF(AH165=0,0,IF(LEN(V165)=11,_xlfn.XLOOKUP(V165,'Dispensed Ink Rates'!C:C,'Dispensed Ink Rates'!CS:CS),VLOOKUP(V165,'Jan-2026 rates'!$E:$F,2,0)))</f>
        <v>0</v>
      </c>
      <c r="AJ165" s="404"/>
      <c r="AK165" s="398">
        <f>IF(AJ165=0,0,IF(LEN(W165)=11,_xlfn.XLOOKUP(W165,'Dispensed Ink Rates'!C:C,'Dispensed Ink Rates'!CS:CS),VLOOKUP(W165,'Jan-2026 rates'!$E:$F,2,0)))</f>
        <v>0</v>
      </c>
      <c r="AL165" s="404"/>
      <c r="AM165" s="398">
        <f>IF(AL165=0,0,IF(LEN(X165)=11,_xlfn.XLOOKUP(X165,'Dispensed Ink Rates'!C:C,'Dispensed Ink Rates'!CS:CS),VLOOKUP(X165,'Jan-2026 rates'!$E:$F,2,0)))</f>
        <v>0</v>
      </c>
      <c r="AN165" s="404"/>
      <c r="AO165" s="398">
        <f>IF(AN165=0,0,IF(LEN(Y165)=11,_xlfn.XLOOKUP(Y165,'Dispensed Ink Rates'!C:C,'Dispensed Ink Rates'!CS:CS),VLOOKUP(Y165,'Jan-2026 rates'!$E:$F,2,0)))</f>
        <v>0</v>
      </c>
      <c r="AP165" s="409" t="s">
        <v>1881</v>
      </c>
      <c r="AQ165" s="409">
        <v>25</v>
      </c>
      <c r="AR165" s="410">
        <f t="shared" si="106"/>
        <v>0</v>
      </c>
      <c r="AS165" s="411">
        <f t="shared" si="107"/>
        <v>4.25</v>
      </c>
      <c r="AT165" s="410">
        <f t="shared" si="108"/>
        <v>0</v>
      </c>
      <c r="AU165" s="405" t="s">
        <v>546</v>
      </c>
      <c r="AV165" s="409" t="s">
        <v>3506</v>
      </c>
      <c r="AW165" s="420" t="str">
        <f t="shared" si="130"/>
        <v>ToyoLi - REFLEX BLUE</v>
      </c>
      <c r="AX165" s="409">
        <v>17</v>
      </c>
      <c r="AY165" s="411">
        <f>IF(AX165=0,0,IF($LB165=70%,VLOOKUP($AW165,'Jan-2026 rates'!$L:$R,4,0),IF($LB165=65%,VLOOKUP($AW165,'Jan-2026 rates'!$L:$R,4,0),IF($LB165=40%,VLOOKUP($AW165,'Jan-2026 rates'!$L:$R,5,0),IF($LB165=30%,VLOOKUP($AW165,'Jan-2026 rates'!$L:$R,6,0),IF($LB165=100%,VLOOKUP($AW165,'Jan-2026 rates'!$L:$R,7,0),IF($LB165=60%,VLOOKUP($AW165,'Jan-2026 rates'!$L:$S,8,0),IF($LB165=80%,VLOOKUP($AW165,'Jan-2026 rates'!L:T,9,0),0))))))))</f>
        <v>0</v>
      </c>
      <c r="AZ165" s="412"/>
      <c r="BA165" s="409"/>
      <c r="BB165" s="411">
        <f>IF(BA165=0,0,IF($LB165=70%,VLOOKUP($AW165,'Jan-2026 rates'!$L:$R,4,0),IF($LB165=65%,VLOOKUP($AW165,'Jan-2026 rates'!$L:$R,4,0),IF($LB165=40%,VLOOKUP($AW165,'Jan-2026 rates'!$L:$R,5,0),IF($LB165=30%,VLOOKUP($AW165,'Jan-2026 rates'!$L:$R,6,0),IF($LB165=100%,VLOOKUP($AW165,'Jan-2026 rates'!$L:$R,7,0),IF($LB165=60%,VLOOKUP($AW165,'Jan-2026 rates'!$L:$S,8,0),IF($LB165=80%,VLOOKUP($AW165,'Jan-2026 rates'!L:T,9,0),0))))))))</f>
        <v>0</v>
      </c>
      <c r="BC165" s="413" t="s">
        <v>1585</v>
      </c>
      <c r="BD165" s="412" t="s">
        <v>1880</v>
      </c>
      <c r="BE165" s="412"/>
      <c r="BF165" s="413"/>
      <c r="BG165" s="412"/>
      <c r="BH165" s="412"/>
      <c r="BI165" s="412"/>
      <c r="BJ165" s="412"/>
      <c r="BK165" s="409">
        <v>2</v>
      </c>
      <c r="BL165" s="398">
        <f>IF(BK165=0,0,IF(LEN(BC165)=11,_xlfn.XLOOKUP(BC165,'Dispensed Ink Rates'!C:C,'Dispensed Ink Rates'!CS:CS),VLOOKUP(BC165,'Jan-2026 rates'!$E:$F,2,0)))</f>
        <v>0</v>
      </c>
      <c r="BM165" s="409">
        <v>2</v>
      </c>
      <c r="BN165" s="398">
        <f>IF(BM165=0,0,IF(LEN(BD165)=11,_xlfn.XLOOKUP(BD165,'Dispensed Ink Rates'!C:C,'Dispensed Ink Rates'!CS:CS),VLOOKUP(BD165,'Jan-2026 rates'!$E:$F,2,0)))</f>
        <v>0</v>
      </c>
      <c r="BO165" s="409"/>
      <c r="BP165" s="398">
        <f>IF(BO165=0,0,IF(LEN(BE165)=11,_xlfn.XLOOKUP(BE165,'Dispensed Ink Rates'!C:C,'Dispensed Ink Rates'!CS:CS),VLOOKUP(BE165,'Jan-2026 rates'!$E:$F,2,0)))</f>
        <v>0</v>
      </c>
      <c r="BQ165" s="409"/>
      <c r="BR165" s="398">
        <f>IF(BQ165=0,0,IF(LEN(BF165)=11,_xlfn.XLOOKUP(BF165,'Dispensed Ink Rates'!C:C,'Dispensed Ink Rates'!CS:CS),VLOOKUP(BF165,'Jan-2026 rates'!$E:$F,2,0)))</f>
        <v>0</v>
      </c>
      <c r="BS165" s="409"/>
      <c r="BT165" s="398">
        <f>IF(BS165=0,0,IF(LEN(BG165)=11,_xlfn.XLOOKUP(BG165,'Dispensed Ink Rates'!C:C,'Dispensed Ink Rates'!CS:CS),VLOOKUP(BG165,'Jan-2026 rates'!$E:$F,2,0)))</f>
        <v>0</v>
      </c>
      <c r="BU165" s="409"/>
      <c r="BV165" s="398">
        <f>IF(BU165=0,0,IF(LEN(BH165)=11,_xlfn.XLOOKUP(BH165,'Dispensed Ink Rates'!C:C,'Dispensed Ink Rates'!CS:CS),VLOOKUP(BH165,'Jan-2026 rates'!$E:$F,2,0)))</f>
        <v>0</v>
      </c>
      <c r="BW165" s="409"/>
      <c r="BX165" s="398">
        <f>IF(BW165=0,0,IF(LEN(BI165)=11,_xlfn.XLOOKUP(BI165,'Dispensed Ink Rates'!C:C,'Dispensed Ink Rates'!CS:CS),VLOOKUP(BI165,'Jan-2026 rates'!$E:$F,2,0)))</f>
        <v>0</v>
      </c>
      <c r="BY165" s="409"/>
      <c r="BZ165" s="398">
        <f>IF(BY165=0,0,IF(LEN(BJ165)=11,_xlfn.XLOOKUP(BJ165,'Dispensed Ink Rates'!C:C,'Dispensed Ink Rates'!CS:CS),VLOOKUP(BJ165,'Jan-2026 rates'!$E:$F,2,0)))</f>
        <v>0</v>
      </c>
      <c r="CA165" s="409" t="s">
        <v>1881</v>
      </c>
      <c r="CB165" s="409">
        <v>18</v>
      </c>
      <c r="CC165" s="411">
        <f t="shared" si="109"/>
        <v>0</v>
      </c>
      <c r="CD165" s="411">
        <f t="shared" si="110"/>
        <v>7.5</v>
      </c>
      <c r="CE165" s="410">
        <f t="shared" si="111"/>
        <v>0</v>
      </c>
      <c r="CF165" s="404" t="s">
        <v>545</v>
      </c>
      <c r="CG165" s="409" t="s">
        <v>3543</v>
      </c>
      <c r="CH165" s="420" t="str">
        <f t="shared" si="55"/>
        <v>ToyoLi - YELLOW</v>
      </c>
      <c r="CI165" s="409">
        <v>20</v>
      </c>
      <c r="CJ165" s="411">
        <f>IF(CI165=0,0,IF($LB165=70%,VLOOKUP($CH165,'Jan-2026 rates'!$L:$R,4,0),IF($LB165=65%,VLOOKUP($CH165,'Jan-2026 rates'!$L:$R,4,0),IF($LB165=40%,VLOOKUP($CH165,'Jan-2026 rates'!$L:$R,5,0),IF($LB165=30%,VLOOKUP($CH165,'Jan-2026 rates'!$L:$R,6,0),IF($LB165=100%,VLOOKUP($CH165,'Jan-2026 rates'!$L:$R,7,0),IF($LB165=60%,VLOOKUP($CH165,'Jan-2026 rates'!$L:$S,8,0),IF($LB165=80%,VLOOKUP($CH165,'Jan-2026 rates'!L:T,9,0),0))))))))</f>
        <v>0</v>
      </c>
      <c r="CK165" s="412"/>
      <c r="CL165" s="409"/>
      <c r="CM165" s="411">
        <f>IF(CL165=0,0,IF($LB165=70%,VLOOKUP($CH165,'Jan-2026 rates'!$L:$R,4,0),IF($LB165=65%,VLOOKUP($CH165,'Jan-2026 rates'!$L:$R,4,0),IF($LB165=40%,VLOOKUP($CH165,'Jan-2026 rates'!$L:$R,5,0),IF($LB165=30%,VLOOKUP($CH165,'Jan-2026 rates'!$L:$R,6,0),IF($LB165=100%,VLOOKUP($CH165,'Jan-2026 rates'!$L:$R,7,0),IF($LB165=60%,VLOOKUP($CH165,'Jan-2026 rates'!$L:$S,8,0),IF($LB165=80%,VLOOKUP($CH165,'Jan-2026 rates'!L:T,9,0),0))))))))</f>
        <v>0</v>
      </c>
      <c r="CN165" s="426" t="s">
        <v>1247</v>
      </c>
      <c r="CO165" s="427" t="s">
        <v>1249</v>
      </c>
      <c r="CP165" s="426"/>
      <c r="CQ165" s="426"/>
      <c r="CR165" s="428"/>
      <c r="CS165" s="428"/>
      <c r="CT165" s="428"/>
      <c r="CU165" s="428"/>
      <c r="CV165" s="409">
        <v>10</v>
      </c>
      <c r="CW165" s="398">
        <f>IF(CV165=0,0,IF(LEN(CN165)=11,_xlfn.XLOOKUP(CN165,'Dispensed Ink Rates'!C:C,'Dispensed Ink Rates'!CS:CS),VLOOKUP(CN165,'Jan-2026 rates'!$E:$F,2,0)))</f>
        <v>0</v>
      </c>
      <c r="CX165" s="409">
        <v>5</v>
      </c>
      <c r="CY165" s="398">
        <f>IF(CX165=0,0,IF(LEN(CO165)=11,_xlfn.XLOOKUP(CO165,'Dispensed Ink Rates'!C:C,'Dispensed Ink Rates'!CS:CS),VLOOKUP(CO165,'Jan-2026 rates'!$E:$F,2,0)))</f>
        <v>0</v>
      </c>
      <c r="CZ165" s="409"/>
      <c r="DA165" s="398">
        <f>IF(CZ165=0,0,IF(LEN(CP165)=11,_xlfn.XLOOKUP(CP165,'Dispensed Ink Rates'!C:C,'Dispensed Ink Rates'!CS:CS),VLOOKUP(CP165,'Jan-2026 rates'!$E:$F,2,0)))</f>
        <v>0</v>
      </c>
      <c r="DB165" s="409"/>
      <c r="DC165" s="398">
        <f>IF(DB165=0,0,IF(LEN(CQ165)=11,_xlfn.XLOOKUP(CQ165,'Dispensed Ink Rates'!C:C,'Dispensed Ink Rates'!CS:CS),VLOOKUP(CQ165,'Jan-2026 rates'!$E:$F,2,0)))</f>
        <v>0</v>
      </c>
      <c r="DD165" s="409"/>
      <c r="DE165" s="398">
        <f>IF(DD165=0,0,IF(LEN(CR165)=11,_xlfn.XLOOKUP(CR165,'Dispensed Ink Rates'!C:C,'Dispensed Ink Rates'!CS:CS),VLOOKUP(CR165,'Jan-2026 rates'!$E:$F,2,0)))</f>
        <v>0</v>
      </c>
      <c r="DF165" s="409"/>
      <c r="DG165" s="398">
        <f>IF(DF165=0,0,IF(LEN(CS165)=11,_xlfn.XLOOKUP(CS165,'Dispensed Ink Rates'!C:C,'Dispensed Ink Rates'!CS:CS),VLOOKUP(CS165,'Jan-2026 rates'!$E:$F,2,0)))</f>
        <v>0</v>
      </c>
      <c r="DH165" s="409"/>
      <c r="DI165" s="398">
        <f>IF(DH165=0,0,IF(LEN(CT165)=11,_xlfn.XLOOKUP(CT165,'Dispensed Ink Rates'!C:C,'Dispensed Ink Rates'!CS:CS),VLOOKUP(CT165,'Jan-2026 rates'!$E:$F,2,0)))</f>
        <v>0</v>
      </c>
      <c r="DJ165" s="409"/>
      <c r="DK165" s="398">
        <f>IF(DJ165=0,0,IF(LEN(CU165)=11,_xlfn.XLOOKUP(CU165,'Dispensed Ink Rates'!C:C,'Dispensed Ink Rates'!CS:CS),VLOOKUP(CU165,'Jan-2026 rates'!$E:$F,2,0)))</f>
        <v>0</v>
      </c>
      <c r="DL165" s="409" t="s">
        <v>1881</v>
      </c>
      <c r="DM165" s="409">
        <v>15</v>
      </c>
      <c r="DN165" s="411">
        <f t="shared" si="112"/>
        <v>0</v>
      </c>
      <c r="DO165" s="411">
        <f t="shared" si="113"/>
        <v>31.25</v>
      </c>
      <c r="DP165" s="410">
        <f t="shared" si="114"/>
        <v>0</v>
      </c>
      <c r="DQ165" s="405" t="s">
        <v>855</v>
      </c>
      <c r="DR165" s="409" t="s">
        <v>3544</v>
      </c>
      <c r="DS165" s="420" t="str">
        <f t="shared" si="56"/>
        <v>ToyoLi - CYAN</v>
      </c>
      <c r="DT165" s="409">
        <v>28</v>
      </c>
      <c r="DU165" s="411">
        <f>IF(DT165=0,0,IF($LB165=70%,VLOOKUP($DS165,'Jan-2026 rates'!$L:$R,4,0),IF($LB165=65%,VLOOKUP($DS165,'Jan-2026 rates'!$L:$R,4,0),IF($LB165=40%,VLOOKUP($DS165,'Jan-2026 rates'!$L:$R,5,0),IF($LB165=30%,VLOOKUP($DS165,'Jan-2026 rates'!$L:$R,6,0),IF($LB165=100%,VLOOKUP($DS165,'Jan-2026 rates'!$L:$R,7,0),IF($LB165=60%,VLOOKUP($DS165,'Jan-2026 rates'!$L:$S,8,0),IF($LB165=80%,VLOOKUP($DS165,'Jan-2026 rates'!L:T,9,0),0))))))))</f>
        <v>0</v>
      </c>
      <c r="DV165" s="412"/>
      <c r="DW165" s="409"/>
      <c r="DX165" s="411">
        <f>IF(DW165=0,0,IF($LB165=70%,VLOOKUP($DS165,'Jan-2026 rates'!$L:$R,4,0),IF($LB165=65%,VLOOKUP($DS165,'Jan-2026 rates'!$L:$R,4,0),IF($LB165=40%,VLOOKUP($DS165,'Jan-2026 rates'!$L:$R,5,0),IF($LB165=30%,VLOOKUP($DS165,'Jan-2026 rates'!$L:$R,6,0),IF($LB165=100%,VLOOKUP($DS165,'Jan-2026 rates'!$L:$R,7,0),IF($LB165=60%,VLOOKUP($DS165,'Jan-2026 rates'!$L:$S,8,0),IF($LB165=80%,VLOOKUP($DS165,'Jan-2026 rates'!L:T,9,0),0))))))))</f>
        <v>0</v>
      </c>
      <c r="DY165" s="413" t="s">
        <v>1250</v>
      </c>
      <c r="DZ165" s="413"/>
      <c r="EA165" s="412"/>
      <c r="EB165" s="412"/>
      <c r="EC165" s="412"/>
      <c r="ED165" s="412"/>
      <c r="EE165" s="412"/>
      <c r="EF165" s="412"/>
      <c r="EG165" s="409">
        <v>2</v>
      </c>
      <c r="EH165" s="398">
        <f>IF(EG165=0,0,IF(LEN(DY165)=11,_xlfn.XLOOKUP(DY165,'Dispensed Ink Rates'!C:C,'Dispensed Ink Rates'!CS:CS),VLOOKUP(DY165,'Jan-2026 rates'!$E:$F,2,0)))</f>
        <v>0</v>
      </c>
      <c r="EI165" s="409"/>
      <c r="EJ165" s="398">
        <f>IF(EI165=0,0,IF(LEN(DZ165)=11,_xlfn.XLOOKUP(DZ165,'Dispensed Ink Rates'!C:C,'Dispensed Ink Rates'!CS:CS),VLOOKUP(DZ165,'Jan-2026 rates'!$E:$F,2,0)))</f>
        <v>0</v>
      </c>
      <c r="EK165" s="409"/>
      <c r="EL165" s="398">
        <f>IF(EK165=0,0,IF(LEN(EA165)=11,_xlfn.XLOOKUP(EA165,'Dispensed Ink Rates'!C:C,'Dispensed Ink Rates'!CS:CS),VLOOKUP(EA165,'Jan-2026 rates'!$E:$F,2,0)))</f>
        <v>0</v>
      </c>
      <c r="EM165" s="409"/>
      <c r="EN165" s="398">
        <f>IF(EM165=0,0,IF(LEN(EB165)=11,_xlfn.XLOOKUP(EB165,'Dispensed Ink Rates'!C:C,'Dispensed Ink Rates'!CS:CS),VLOOKUP(EB165,'Jan-2026 rates'!$E:$F,2,0)))</f>
        <v>0</v>
      </c>
      <c r="EO165" s="409"/>
      <c r="EP165" s="398">
        <f>IF(EO165=0,0,IF(LEN(EC165)=11,_xlfn.XLOOKUP(EC165,'Dispensed Ink Rates'!C:C,'Dispensed Ink Rates'!CS:CS),VLOOKUP(EC165,'Jan-2026 rates'!$E:$F,2,0)))</f>
        <v>0</v>
      </c>
      <c r="EQ165" s="409"/>
      <c r="ER165" s="398">
        <f>IF(EQ165=0,0,IF(LEN(ED165)=11,_xlfn.XLOOKUP(ED165,'Dispensed Ink Rates'!C:C,'Dispensed Ink Rates'!CS:CS),VLOOKUP(ED165,'Jan-2026 rates'!$E:$F,2,0)))</f>
        <v>0</v>
      </c>
      <c r="ES165" s="409"/>
      <c r="ET165" s="398">
        <f>IF(ES165=0,0,IF(LEN(EE165)=11,_xlfn.XLOOKUP(EE165,'Dispensed Ink Rates'!C:C,'Dispensed Ink Rates'!CS:CS),VLOOKUP(EE165,'Jan-2026 rates'!$E:$F,2,0)))</f>
        <v>0</v>
      </c>
      <c r="EU165" s="409"/>
      <c r="EV165" s="398">
        <f>IF(EU165=0,0,IF(LEN(EF165)=11,_xlfn.XLOOKUP(EF165,'Dispensed Ink Rates'!C:C,'Dispensed Ink Rates'!CS:CS),VLOOKUP(EF165,'Jan-2026 rates'!$E:$F,2,0)))</f>
        <v>0</v>
      </c>
      <c r="EW165" s="409" t="s">
        <v>1881</v>
      </c>
      <c r="EX165" s="409">
        <v>27</v>
      </c>
      <c r="EY165" s="411">
        <f t="shared" si="115"/>
        <v>0</v>
      </c>
      <c r="EZ165" s="411">
        <f t="shared" si="116"/>
        <v>5.25</v>
      </c>
      <c r="FA165" s="410">
        <f t="shared" si="117"/>
        <v>0</v>
      </c>
      <c r="FB165" s="405" t="s">
        <v>544</v>
      </c>
      <c r="FC165" s="409" t="s">
        <v>3545</v>
      </c>
      <c r="FD165" s="420" t="str">
        <f t="shared" si="57"/>
        <v>ToyoLi - MAGENTA</v>
      </c>
      <c r="FE165" s="409">
        <v>29</v>
      </c>
      <c r="FF165" s="411">
        <f>IF(FE165=0,0,IF($LB165=70%,VLOOKUP($FD165,'Jan-2026 rates'!$L:$R,4,0),IF($LB165=65%,VLOOKUP($FD165,'Jan-2026 rates'!$L:$R,4,0),IF($LB165=40%,VLOOKUP($FD165,'Jan-2026 rates'!$L:$R,5,0),IF($LB165=30%,VLOOKUP($FD165,'Jan-2026 rates'!$L:$R,6,0),IF($LB165=100%,VLOOKUP($FD165,'Jan-2026 rates'!$L:$R,7,0),IF($LB165=60%,VLOOKUP($FD165,'Jan-2026 rates'!$L:$S,8,0),IF($LB165=80%,VLOOKUP($FD165,'Jan-2026 rates'!L:T,9,0),0))))))))</f>
        <v>0</v>
      </c>
      <c r="FG165" s="412"/>
      <c r="FH165" s="409"/>
      <c r="FI165" s="411">
        <f>IF(FH165=0,0,IF($LB165=70%,VLOOKUP($FD165,'Jan-2026 rates'!$L:$R,4,0),IF($LB165=65%,VLOOKUP($FD165,'Jan-2026 rates'!$L:$R,4,0),IF($LB165=40%,VLOOKUP($FD165,'Jan-2026 rates'!$L:$R,5,0),IF($LB165=30%,VLOOKUP($FD165,'Jan-2026 rates'!$L:$R,6,0),IF($LB165=100%,VLOOKUP($FD165,'Jan-2026 rates'!$L:$R,7,0),IF($LB165=60%,VLOOKUP($FD165,'Jan-2026 rates'!$L:$S,8,0),IF($LB165=80%,VLOOKUP($FD165,'Jan-2026 rates'!L:T,9,0),0))))))))</f>
        <v>0</v>
      </c>
      <c r="FJ165" s="413" t="s">
        <v>1246</v>
      </c>
      <c r="FK165" s="413"/>
      <c r="FL165" s="413"/>
      <c r="FM165" s="412"/>
      <c r="FN165" s="412"/>
      <c r="FO165" s="412"/>
      <c r="FP165" s="412"/>
      <c r="FQ165" s="412"/>
      <c r="FR165" s="409">
        <v>2</v>
      </c>
      <c r="FS165" s="398">
        <f>IF(FR165=0,0,IF(LEN(FJ165)=11,_xlfn.XLOOKUP(FJ165,'Dispensed Ink Rates'!C:C,'Dispensed Ink Rates'!CS:CS),VLOOKUP(FJ165,'Jan-2026 rates'!$E:$F,2,0)))</f>
        <v>0</v>
      </c>
      <c r="FT165" s="409"/>
      <c r="FU165" s="398">
        <f>IF(FT165=0,0,IF(LEN(FK165)=11,_xlfn.XLOOKUP(FK165,'Dispensed Ink Rates'!C:C,'Dispensed Ink Rates'!CS:CS),VLOOKUP(FK165,'Jan-2026 rates'!$E:$F,2,0)))</f>
        <v>0</v>
      </c>
      <c r="FV165" s="409"/>
      <c r="FW165" s="398">
        <f>IF(FV165=0,0,IF(LEN(FL165)=11,_xlfn.XLOOKUP(FL165,'Dispensed Ink Rates'!C:C,'Dispensed Ink Rates'!CS:CS),VLOOKUP(FL165,'Jan-2026 rates'!$E:$F,2,0)))</f>
        <v>0</v>
      </c>
      <c r="FX165" s="409"/>
      <c r="FY165" s="398">
        <f>IF(FX165=0,0,IF(LEN(FM165)=11,_xlfn.XLOOKUP(FM165,'Dispensed Ink Rates'!C:C,'Dispensed Ink Rates'!CS:CS),VLOOKUP(FM165,'Jan-2026 rates'!$E:$F,2,0)))</f>
        <v>0</v>
      </c>
      <c r="FZ165" s="409"/>
      <c r="GA165" s="398">
        <f>IF(FZ165=0,0,IF(LEN(FN165)=11,_xlfn.XLOOKUP(FN165,'Dispensed Ink Rates'!C:C,'Dispensed Ink Rates'!CS:CS),VLOOKUP(FN165,'Jan-2026 rates'!$E:$F,2,0)))</f>
        <v>0</v>
      </c>
      <c r="GB165" s="409"/>
      <c r="GC165" s="398">
        <f>IF(GB165=0,0,IF(LEN(FO165)=11,_xlfn.XLOOKUP(FO165,'Dispensed Ink Rates'!C:C,'Dispensed Ink Rates'!CS:CS),VLOOKUP(FO165,'Jan-2026 rates'!$E:$F,2,0)))</f>
        <v>0</v>
      </c>
      <c r="GD165" s="409"/>
      <c r="GE165" s="398">
        <f>IF(GD165=0,0,IF(LEN(FP165)=11,_xlfn.XLOOKUP(FP165,'Dispensed Ink Rates'!C:C,'Dispensed Ink Rates'!CS:CS),VLOOKUP(FP165,'Jan-2026 rates'!$E:$F,2,0)))</f>
        <v>0</v>
      </c>
      <c r="GF165" s="409"/>
      <c r="GG165" s="398">
        <f>IF(GF165=0,0,IF(LEN(FQ165)=11,_xlfn.XLOOKUP(FQ165,'Dispensed Ink Rates'!C:C,'Dispensed Ink Rates'!CS:CS),VLOOKUP(FQ165,'Jan-2026 rates'!$E:$F,2,0)))</f>
        <v>0</v>
      </c>
      <c r="GH165" s="409" t="s">
        <v>1881</v>
      </c>
      <c r="GI165" s="409">
        <v>27</v>
      </c>
      <c r="GJ165" s="411">
        <f t="shared" si="118"/>
        <v>0</v>
      </c>
      <c r="GK165" s="411">
        <f t="shared" si="119"/>
        <v>6.25</v>
      </c>
      <c r="GL165" s="410">
        <f t="shared" si="120"/>
        <v>0</v>
      </c>
      <c r="GM165" s="405" t="s">
        <v>545</v>
      </c>
      <c r="GN165" s="409" t="s">
        <v>3546</v>
      </c>
      <c r="GO165" s="420" t="str">
        <f t="shared" si="58"/>
        <v>ToyoLi - YELLOW</v>
      </c>
      <c r="GP165" s="409">
        <v>26</v>
      </c>
      <c r="GQ165" s="411">
        <f>IF(GP165=0,0,IF($LB165=70%,VLOOKUP($GO165,'Jan-2026 rates'!$L:$R,4,0),IF($LB165=65%,VLOOKUP($GO165,'Jan-2026 rates'!$L:$R,4,0),IF($LB165=40%,VLOOKUP($GO165,'Jan-2026 rates'!$L:$R,5,0),IF($LB165=30%,VLOOKUP($GO165,'Jan-2026 rates'!$L:$R,6,0),IF($LB165=100%,VLOOKUP($GO165,'Jan-2026 rates'!$L:$R,7,0),IF($LB165=60%,VLOOKUP($GO165,'Jan-2026 rates'!$L:$S,8,0),IF($LB165=80%,VLOOKUP($GO165,'Jan-2026 rates'!L:T,9,0),0))))))))</f>
        <v>0</v>
      </c>
      <c r="GR165" s="412"/>
      <c r="GS165" s="409"/>
      <c r="GT165" s="411">
        <f>IF(GS165=0,0,IF($LB165=70%,VLOOKUP($GO165,'Jan-2026 rates'!$L:$R,4,0),IF($LB165=65%,VLOOKUP($GO165,'Jan-2026 rates'!$L:$R,4,0),IF($LB165=40%,VLOOKUP($GO165,'Jan-2026 rates'!$L:$R,5,0),IF($LB165=30%,VLOOKUP($GO165,'Jan-2026 rates'!$L:$R,6,0),IF($LB165=100%,VLOOKUP($GO165,'Jan-2026 rates'!$L:$R,7,0),IF($LB165=60%,VLOOKUP($GO165,'Jan-2026 rates'!$L:$S,8,0),IF($LB165=80%,VLOOKUP($GO165,'Jan-2026 rates'!L:T,9,0),0))))))))</f>
        <v>0</v>
      </c>
      <c r="GU165" s="413" t="s">
        <v>1921</v>
      </c>
      <c r="GV165" s="413"/>
      <c r="GW165" s="412"/>
      <c r="GX165" s="412"/>
      <c r="GY165" s="412"/>
      <c r="GZ165" s="412"/>
      <c r="HA165" s="412"/>
      <c r="HB165" s="412"/>
      <c r="HC165" s="409">
        <v>3</v>
      </c>
      <c r="HD165" s="398">
        <f>IF(HC165=0,0,IF(LEN(GU165)=11,_xlfn.XLOOKUP(GU165,'Dispensed Ink Rates'!C:C,'Dispensed Ink Rates'!CS:CS),VLOOKUP(GU165,'Jan-2026 rates'!$E:$F,2,0)))</f>
        <v>0</v>
      </c>
      <c r="HE165" s="409"/>
      <c r="HF165" s="398">
        <f>IF(HE165=0,0,IF(LEN(GV165)=11,_xlfn.XLOOKUP(GV165,'Dispensed Ink Rates'!C:C,'Dispensed Ink Rates'!CS:CS),VLOOKUP(GV165,'Jan-2026 rates'!$E:$F,2,0)))</f>
        <v>0</v>
      </c>
      <c r="HG165" s="409"/>
      <c r="HH165" s="398">
        <f>IF(HG165=0,0,IF(LEN(GW165)=11,_xlfn.XLOOKUP(GW165,'Dispensed Ink Rates'!C:C,'Dispensed Ink Rates'!CS:CS),VLOOKUP(GW165,'Jan-2026 rates'!$E:$F,2,0)))</f>
        <v>0</v>
      </c>
      <c r="HI165" s="409"/>
      <c r="HJ165" s="398">
        <f>IF(HI165=0,0,IF(LEN(GX165)=11,_xlfn.XLOOKUP(GX165,'Dispensed Ink Rates'!C:C,'Dispensed Ink Rates'!CS:CS),VLOOKUP(GX165,'Jan-2026 rates'!$E:$F,2,0)))</f>
        <v>0</v>
      </c>
      <c r="HK165" s="409"/>
      <c r="HL165" s="398">
        <f>IF(HK165=0,0,IF(LEN(GY165)=11,_xlfn.XLOOKUP(GY165,'Dispensed Ink Rates'!C:C,'Dispensed Ink Rates'!CS:CS),VLOOKUP(GY165,'Jan-2026 rates'!$E:$F,2,0)))</f>
        <v>0</v>
      </c>
      <c r="HM165" s="409"/>
      <c r="HN165" s="398">
        <f>IF(HM165=0,0,IF(LEN(GZ165)=11,_xlfn.XLOOKUP(GZ165,'Dispensed Ink Rates'!C:C,'Dispensed Ink Rates'!CS:CS),VLOOKUP(GZ165,'Jan-2026 rates'!$E:$F,2,0)))</f>
        <v>0</v>
      </c>
      <c r="HO165" s="409"/>
      <c r="HP165" s="398">
        <f>IF(HO165=0,0,IF(LEN(HA165)=11,_xlfn.XLOOKUP(HA165,'Dispensed Ink Rates'!C:C,'Dispensed Ink Rates'!CS:CS),VLOOKUP(HA165,'Jan-2026 rates'!$E:$F,2,0)))</f>
        <v>0</v>
      </c>
      <c r="HQ165" s="409"/>
      <c r="HR165" s="398">
        <f>IF(HQ165=0,0,IF(LEN(HB165)=11,_xlfn.XLOOKUP(HB165,'Dispensed Ink Rates'!C:C,'Dispensed Ink Rates'!CS:CS),VLOOKUP(HB165,'Jan-2026 rates'!$E:$F,2,0)))</f>
        <v>0</v>
      </c>
      <c r="HS165" s="409" t="s">
        <v>1881</v>
      </c>
      <c r="HT165" s="409">
        <v>28</v>
      </c>
      <c r="HU165" s="411">
        <f t="shared" si="121"/>
        <v>0</v>
      </c>
      <c r="HV165" s="411">
        <f t="shared" si="122"/>
        <v>5.5</v>
      </c>
      <c r="HW165" s="414">
        <f t="shared" si="123"/>
        <v>0</v>
      </c>
      <c r="HX165" s="405" t="s">
        <v>856</v>
      </c>
      <c r="HY165" s="409" t="s">
        <v>3547</v>
      </c>
      <c r="HZ165" s="420" t="str">
        <f t="shared" si="59"/>
        <v>ToyoLi - WHITE</v>
      </c>
      <c r="IA165" s="409">
        <v>25</v>
      </c>
      <c r="IB165" s="411">
        <f>IF(IA165=0,0,IF($LB165=70%,VLOOKUP($HZ165,'Jan-2026 rates'!$L:$R,4,0),IF($LB165=65%,VLOOKUP($HZ165,'Jan-2026 rates'!$L:$R,4,0),IF($LB165=40%,VLOOKUP($HZ165,'Jan-2026 rates'!$L:$R,5,0),IF($LB165=30%,VLOOKUP($HZ165,'Jan-2026 rates'!$L:$R,6,0),IF($LB165=100%,VLOOKUP($HZ165,'Jan-2026 rates'!$L:$R,7,0),IF($LB165=60%,VLOOKUP($HZ165,'Jan-2026 rates'!$L:$S,8,0),IF($LB165=80%,VLOOKUP($HZ165,'Jan-2026 rates'!L:T,9,0),0))))))))</f>
        <v>0</v>
      </c>
      <c r="IC165" s="412"/>
      <c r="ID165" s="409"/>
      <c r="IE165" s="411">
        <f>IF(ID165=0,0,IF($LB165=70%,VLOOKUP($HZ165,'Jan-2026 rates'!$L:$R,4,0),IF($LB165=65%,VLOOKUP($HZ165,'Jan-2026 rates'!$L:$R,4,0),IF($LB165=40%,VLOOKUP($HZ165,'Jan-2026 rates'!$L:$R,5,0),IF($LB165=30%,VLOOKUP($HZ165,'Jan-2026 rates'!$L:$R,6,0),IF($LB165=100%,VLOOKUP($HZ165,'Jan-2026 rates'!$L:$R,7,0),IF($LB165=60%,VLOOKUP($HZ165,'Jan-2026 rates'!$L:$S,8,0),IF($LB165=80%,VLOOKUP($HZ165,'Jan-2026 rates'!L:T,9,0),0))))))))</f>
        <v>0</v>
      </c>
      <c r="IF165" s="412" t="s">
        <v>1249</v>
      </c>
      <c r="IG165" s="413"/>
      <c r="IH165" s="412"/>
      <c r="II165" s="412"/>
      <c r="IJ165" s="412"/>
      <c r="IK165" s="412"/>
      <c r="IL165" s="412"/>
      <c r="IM165" s="412"/>
      <c r="IN165" s="409">
        <v>40</v>
      </c>
      <c r="IO165" s="398">
        <f>IF(IN165=0,0,IF(LEN(IF165)=11,_xlfn.XLOOKUP(IF165,'Dispensed Ink Rates'!C:C,'Dispensed Ink Rates'!CS:CS),VLOOKUP(IF165,'Jan-2026 rates'!$E:$F,2,0)))</f>
        <v>0</v>
      </c>
      <c r="IP165" s="409"/>
      <c r="IQ165" s="398">
        <f>IF(IP165=0,0,IF(LEN(IG165)=11,_xlfn.XLOOKUP(IG165,'Dispensed Ink Rates'!C:C,'Dispensed Ink Rates'!CS:CS),VLOOKUP(IG165,'Jan-2026 rates'!$E:$F,2,0)))</f>
        <v>0</v>
      </c>
      <c r="IR165" s="409"/>
      <c r="IS165" s="398">
        <f>IF(IR165=0,0,IF(LEN(IH165)=11,_xlfn.XLOOKUP(IH165,'Dispensed Ink Rates'!C:C,'Dispensed Ink Rates'!CS:CS),VLOOKUP(IH165,'Jan-2026 rates'!$E:$F,2,0)))</f>
        <v>0</v>
      </c>
      <c r="IT165" s="409"/>
      <c r="IU165" s="398">
        <f>IF(IT165=0,0,IF(LEN(II165)=11,_xlfn.XLOOKUP(II165,'Dispensed Ink Rates'!C:C,'Dispensed Ink Rates'!CS:CS),VLOOKUP(II165,'Jan-2026 rates'!$E:$F,2,0)))</f>
        <v>0</v>
      </c>
      <c r="IV165" s="409"/>
      <c r="IW165" s="398">
        <f>IF(IV165=0,0,IF(LEN(IJ165)=11,_xlfn.XLOOKUP(IJ165,'Dispensed Ink Rates'!C:C,'Dispensed Ink Rates'!CS:CS),VLOOKUP(IJ165,'Jan-2026 rates'!$E:$F,2,0)))</f>
        <v>0</v>
      </c>
      <c r="IX165" s="409"/>
      <c r="IY165" s="398">
        <f>IF(IX165=0,0,IF(LEN(IK165)=11,_xlfn.XLOOKUP(IK165,'Dispensed Ink Rates'!C:C,'Dispensed Ink Rates'!CS:CS),VLOOKUP(IK165,'Jan-2026 rates'!$E:$F,2,0)))</f>
        <v>0</v>
      </c>
      <c r="IZ165" s="409"/>
      <c r="JA165" s="398">
        <f>IF(IZ165=0,0,IF(LEN(IL165)=11,_xlfn.XLOOKUP(IL165,'Dispensed Ink Rates'!C:C,'Dispensed Ink Rates'!CS:CS),VLOOKUP(IL165,'Jan-2026 rates'!$E:$F,2,0)))</f>
        <v>0</v>
      </c>
      <c r="JB165" s="409"/>
      <c r="JC165" s="398">
        <f>IF(JB165=0,0,IF(LEN(IM165)=11,_xlfn.XLOOKUP(IM165,'Dispensed Ink Rates'!C:C,'Dispensed Ink Rates'!CS:CS),VLOOKUP(IM165,'Jan-2026 rates'!$E:$F,2,0)))</f>
        <v>0</v>
      </c>
      <c r="JD165" s="409" t="s">
        <v>1881</v>
      </c>
      <c r="JE165" s="409">
        <v>20</v>
      </c>
      <c r="JF165" s="411">
        <f t="shared" si="124"/>
        <v>0</v>
      </c>
      <c r="JG165" s="411">
        <f t="shared" si="125"/>
        <v>90</v>
      </c>
      <c r="JH165" s="410">
        <f t="shared" si="126"/>
        <v>0</v>
      </c>
      <c r="JI165" s="405"/>
      <c r="JJ165" s="409"/>
      <c r="JK165" s="420" t="str">
        <f t="shared" si="60"/>
        <v xml:space="preserve"> - </v>
      </c>
      <c r="JL165" s="409"/>
      <c r="JM165" s="411">
        <f>IF(JL165=0,0,IF($LB165=70%,VLOOKUP($JK165,'Jan-2026 rates'!$L:$R,4,0),IF($LB165=65%,VLOOKUP($JK165,'Jan-2026 rates'!$L:$R,4,0),IF($LB165=40%,VLOOKUP($JK165,'Jan-2026 rates'!$L:$R,5,0),IF($LB165=30%,VLOOKUP($JK165,'Jan-2026 rates'!$L:$R,6,0),IF($LB165=100%,VLOOKUP($JK165,'Jan-2026 rates'!$L:$R,7,0),IF($LB165=60%,VLOOKUP($JK165,'Jan-2026 rates'!$L:$S,8,0),IF($LB165=80%,VLOOKUP($JK165,'Jan-2026 rates'!L:T,9,0),0))))))))</f>
        <v>0</v>
      </c>
      <c r="JN165" s="412"/>
      <c r="JO165" s="409"/>
      <c r="JP165" s="411">
        <f>IF(JO165=0,0,IF($LB165=70%,VLOOKUP($JK165,'Jan-2026 rates'!$L:$R,4,0),IF($LB165=65%,VLOOKUP($JK165,'Jan-2026 rates'!$L:$R,4,0),IF($LB165=40%,VLOOKUP($JK165,'Jan-2026 rates'!$L:$R,5,0),IF($LB165=30%,VLOOKUP($JK165,'Jan-2026 rates'!$L:$R,6,0),IF($LB165=100%,VLOOKUP($JK165,'Jan-2026 rates'!$L:$R,7,0),IF($LB165=60%,VLOOKUP($JK165,'Jan-2026 rates'!$L:$S,8,0),IF($LB165=80%,VLOOKUP($JK165,'Jan-2026 rates'!L:T,9,0),0))))))))</f>
        <v>0</v>
      </c>
      <c r="JQ165" s="413"/>
      <c r="JR165" s="412"/>
      <c r="JS165" s="413"/>
      <c r="JT165" s="413"/>
      <c r="JU165" s="412"/>
      <c r="JV165" s="412"/>
      <c r="JW165" s="412"/>
      <c r="JX165" s="412"/>
      <c r="JY165" s="409"/>
      <c r="JZ165" s="398">
        <f>IF(JY165=0,0,IF(LEN(JQ165)=11,_xlfn.XLOOKUP(JQ165,'Dispensed Ink Rates'!C:C,'Dispensed Ink Rates'!CS:CS),VLOOKUP(JQ165,'Jan-2026 rates'!$E:$F,2,0)))</f>
        <v>0</v>
      </c>
      <c r="KA165" s="409"/>
      <c r="KB165" s="398">
        <f>IF(KA165=0,0,IF(LEN(JR165)=11,_xlfn.XLOOKUP(JR165,'Dispensed Ink Rates'!C:C,'Dispensed Ink Rates'!CS:CS),VLOOKUP(JR165,'Jan-2026 rates'!$E:$F,2,0)))</f>
        <v>0</v>
      </c>
      <c r="KC165" s="409"/>
      <c r="KD165" s="398">
        <f>IF(KC165=0,0,IF(LEN(JS165)=11,_xlfn.XLOOKUP(JS165,'Dispensed Ink Rates'!C:C,'Dispensed Ink Rates'!CS:CS),VLOOKUP(JS165,'Jan-2026 rates'!$E:$F,2,0)))</f>
        <v>0</v>
      </c>
      <c r="KE165" s="409"/>
      <c r="KF165" s="398">
        <f>IF(KE165=0,0,IF(LEN(JT165)=11,_xlfn.XLOOKUP(JT165,'Dispensed Ink Rates'!C:C,'Dispensed Ink Rates'!CS:CS),VLOOKUP(JT165,'Jan-2026 rates'!$E:$F,2,0)))</f>
        <v>0</v>
      </c>
      <c r="KG165" s="409"/>
      <c r="KH165" s="398">
        <f>IF(KG165=0,0,IF(LEN(JU165)=11,_xlfn.XLOOKUP(JU165,'Dispensed Ink Rates'!C:C,'Dispensed Ink Rates'!CS:CS),VLOOKUP(JU165,'Jan-2026 rates'!$E:$F,2,0)))</f>
        <v>0</v>
      </c>
      <c r="KI165" s="409"/>
      <c r="KJ165" s="398">
        <f>IF(KI165=0,0,IF(LEN(JV165)=11,_xlfn.XLOOKUP(JV165,'Dispensed Ink Rates'!C:C,'Dispensed Ink Rates'!CS:CS),VLOOKUP(JV165,'Jan-2026 rates'!$E:$F,2,0)))</f>
        <v>0</v>
      </c>
      <c r="KK165" s="409"/>
      <c r="KL165" s="398">
        <f>IF(KK165=0,0,IF(LEN(JW165)=11,_xlfn.XLOOKUP(JW165,'Dispensed Ink Rates'!C:C,'Dispensed Ink Rates'!CS:CS),VLOOKUP(JW165,'Jan-2026 rates'!$E:$F,2,0)))</f>
        <v>0</v>
      </c>
      <c r="KM165" s="428"/>
      <c r="KN165" s="398">
        <f>IF(KM165=0,0,IF(LEN(JX165)=11,_xlfn.XLOOKUP(JX165,'Dispensed Ink Rates'!C:C,'Dispensed Ink Rates'!CS:CS),VLOOKUP(JX165,'Jan-2026 rates'!$E:$F,2,0)))</f>
        <v>0</v>
      </c>
      <c r="KO165" s="409"/>
      <c r="KP165" s="409"/>
      <c r="KQ165" s="411">
        <f t="shared" si="127"/>
        <v>0</v>
      </c>
      <c r="KR165" s="411">
        <f t="shared" si="128"/>
        <v>0</v>
      </c>
      <c r="KS165" s="410">
        <f t="shared" si="129"/>
        <v>0</v>
      </c>
      <c r="KT165" s="409">
        <v>1</v>
      </c>
      <c r="KU165" s="409">
        <v>2</v>
      </c>
      <c r="KV165" s="409">
        <v>5</v>
      </c>
      <c r="KW165" s="409">
        <v>1</v>
      </c>
      <c r="KX165" s="409">
        <v>1</v>
      </c>
      <c r="KY165" s="409">
        <v>2</v>
      </c>
      <c r="KZ165" s="409">
        <v>20</v>
      </c>
      <c r="LA165" s="409">
        <v>0</v>
      </c>
      <c r="LB165" s="415">
        <v>0.3</v>
      </c>
      <c r="LC165" s="415"/>
      <c r="LD165" s="415"/>
      <c r="LE165" s="415">
        <v>0.5</v>
      </c>
      <c r="LF165" s="415">
        <v>0.2</v>
      </c>
      <c r="LG165" s="409">
        <v>0</v>
      </c>
      <c r="LH165" s="409">
        <f>20+10+12+20+2+8</f>
        <v>72</v>
      </c>
      <c r="LI165" s="409">
        <v>0</v>
      </c>
      <c r="LJ165" s="409">
        <v>0</v>
      </c>
      <c r="LK165" s="416">
        <f t="shared" si="61"/>
        <v>72</v>
      </c>
      <c r="LL165" s="416">
        <f t="shared" si="62"/>
        <v>72</v>
      </c>
      <c r="LM165" s="417">
        <f t="shared" si="63"/>
        <v>21.599999999999998</v>
      </c>
      <c r="LN165" s="417">
        <f>VLOOKUP($LM$8,'Jan-2026 rates'!$H:$I,2,0)</f>
        <v>0</v>
      </c>
      <c r="LO165" s="417">
        <f t="shared" si="64"/>
        <v>0</v>
      </c>
      <c r="LP165" s="417">
        <f>VLOOKUP($LO$8,'Jan-2026 rates'!$H:$I,2,0)</f>
        <v>0</v>
      </c>
      <c r="LQ165" s="417">
        <f t="shared" si="65"/>
        <v>0</v>
      </c>
      <c r="LR165" s="417">
        <f>VLOOKUP($LQ$8,'Jan-2026 rates'!$H:$I,2,0)</f>
        <v>0</v>
      </c>
      <c r="LS165" s="417">
        <f t="shared" si="66"/>
        <v>36</v>
      </c>
      <c r="LT165" s="417">
        <f>VLOOKUP($LS$8,'Jan-2026 rates'!$H:$I,2,0)</f>
        <v>0</v>
      </c>
      <c r="LU165" s="417">
        <f t="shared" si="67"/>
        <v>14.4</v>
      </c>
      <c r="LV165" s="417">
        <f>VLOOKUP($LU$8,'Jan-2026 rates'!$H:$I,2,0)</f>
        <v>0</v>
      </c>
      <c r="LW165" s="417">
        <f t="shared" si="68"/>
        <v>0</v>
      </c>
      <c r="LX165" s="417">
        <f t="shared" si="69"/>
        <v>0</v>
      </c>
      <c r="LY165" s="418">
        <f t="shared" si="70"/>
        <v>0</v>
      </c>
      <c r="LZ165" s="417"/>
      <c r="MA165" s="435">
        <f t="shared" si="71"/>
        <v>67</v>
      </c>
      <c r="MB165" s="282">
        <f t="shared" si="72"/>
        <v>150</v>
      </c>
      <c r="MC165" s="283" t="s">
        <v>2000</v>
      </c>
      <c r="MD165" s="284" t="str">
        <f t="shared" si="73"/>
        <v>ToyoLiToyoLiToyoLiToyoLiToyoLiToyoLiToyoLi</v>
      </c>
      <c r="ME165" s="293" t="str">
        <f t="shared" si="74"/>
        <v>+</v>
      </c>
      <c r="MF165" s="293" t="str">
        <f t="shared" si="75"/>
        <v>+</v>
      </c>
      <c r="MG165" s="293" t="str">
        <f t="shared" si="76"/>
        <v>+</v>
      </c>
      <c r="MH165" s="293" t="str">
        <f t="shared" si="77"/>
        <v>+</v>
      </c>
      <c r="MI165" s="293" t="str">
        <f t="shared" si="78"/>
        <v>+</v>
      </c>
      <c r="MJ165" s="293" t="str">
        <f t="shared" si="79"/>
        <v>+</v>
      </c>
      <c r="MK165" s="293" t="str">
        <f t="shared" si="80"/>
        <v>+</v>
      </c>
      <c r="ML165" s="293" t="str">
        <f t="shared" si="81"/>
        <v>NIL</v>
      </c>
      <c r="MM165" s="3" t="b">
        <f t="array" ref="MM165">OR(ME165:ML165="-")</f>
        <v>0</v>
      </c>
      <c r="MN165" s="285"/>
      <c r="MO165" s="401"/>
      <c r="MP165" s="286"/>
      <c r="MQ165" s="286"/>
      <c r="MR165" s="402"/>
      <c r="MS165" s="400"/>
      <c r="NH165" s="422"/>
      <c r="NJ165" s="421"/>
    </row>
    <row r="166" spans="1:374" s="1" customFormat="1" ht="16.5">
      <c r="A166" s="403">
        <v>46034</v>
      </c>
      <c r="B166" s="404" t="s">
        <v>1015</v>
      </c>
      <c r="C166" s="405" t="s">
        <v>3548</v>
      </c>
      <c r="D166" s="406" t="s">
        <v>2001</v>
      </c>
      <c r="E166" s="404">
        <v>190</v>
      </c>
      <c r="F166" s="407">
        <v>9600</v>
      </c>
      <c r="G166" s="407" t="s">
        <v>1016</v>
      </c>
      <c r="H166" s="408" t="s">
        <v>1017</v>
      </c>
      <c r="I166" s="409">
        <v>1.86</v>
      </c>
      <c r="J166" s="405" t="s">
        <v>543</v>
      </c>
      <c r="K166" s="404" t="s">
        <v>3549</v>
      </c>
      <c r="L166" s="419" t="str">
        <f t="shared" si="54"/>
        <v>ToyoLi - BLACK</v>
      </c>
      <c r="M166" s="404">
        <v>25</v>
      </c>
      <c r="N166" s="410">
        <f>IF(M166=0,0,IF($LB166=70%,VLOOKUP($L166,'Jan-2026 rates'!$L:$R,4,0),IF($LB166=65%,VLOOKUP($L166,'Jan-2026 rates'!$L:$R,4,0),IF($LB166=40%,VLOOKUP($L166,'Jan-2026 rates'!$L:$R,5,0),IF($LB166=30%,VLOOKUP($L166,'Jan-2026 rates'!$L:$R,6,0),IF($LB166=100%,VLOOKUP($L166,'Jan-2026 rates'!$L:$R,7,0),IF($LB166=60%,VLOOKUP($L166,'Jan-2026 rates'!$L:$S,8,0),IF($LB166=80%,VLOOKUP($L166,'Jan-2026 rates'!L:T,9,0),0))))))))</f>
        <v>0</v>
      </c>
      <c r="O166" s="406"/>
      <c r="P166" s="404"/>
      <c r="Q166" s="410">
        <f>IF(P166=0,0,IF($LB166=70%,VLOOKUP($L166,'Jan-2026 rates'!$L:$R,4,0),IF($LB166=65%,VLOOKUP($L166,'Jan-2026 rates'!$L:$R,4,0),IF($LB166=40%,VLOOKUP($L166,'Jan-2026 rates'!$L:$R,5,0),IF($LB166=30%,VLOOKUP($L166,'Jan-2026 rates'!$L:$R,6,0),IF($LB166=100%,VLOOKUP($L166,'Jan-2026 rates'!$L:$R,7,0),IF($LB166=60%,VLOOKUP($L166,'Jan-2026 rates'!$L:$S,8,0),IF($LB166=80%,VLOOKUP($L166,'Jan-2026 rates'!L:T,9,0),0))))))))</f>
        <v>0</v>
      </c>
      <c r="R166" s="406" t="s">
        <v>1921</v>
      </c>
      <c r="S166" s="406"/>
      <c r="T166" s="406"/>
      <c r="U166" s="406"/>
      <c r="V166" s="406"/>
      <c r="W166" s="406"/>
      <c r="X166" s="406"/>
      <c r="Y166" s="406"/>
      <c r="Z166" s="404">
        <v>2</v>
      </c>
      <c r="AA166" s="398">
        <f>IF(Z166=0,0,IF(LEN(R166)=11,_xlfn.XLOOKUP(R166,'Dispensed Ink Rates'!C:C,'Dispensed Ink Rates'!CS:CS),VLOOKUP(R166,'Jan-2026 rates'!$E:$F,2,0)))</f>
        <v>0</v>
      </c>
      <c r="AB166" s="404"/>
      <c r="AC166" s="398">
        <f>IF(AB166=0,0,IF(LEN(S166)=11,_xlfn.XLOOKUP(S166,'Dispensed Ink Rates'!C:C,'Dispensed Ink Rates'!CS:CS),VLOOKUP(S166,'Jan-2026 rates'!$E:$F,2,0)))</f>
        <v>0</v>
      </c>
      <c r="AD166" s="404"/>
      <c r="AE166" s="398">
        <f>IF(AD166=0,0,IF(LEN(T166)=11,_xlfn.XLOOKUP(T166,'Dispensed Ink Rates'!C:C,'Dispensed Ink Rates'!CS:CS),VLOOKUP(T166,'Jan-2026 rates'!$E:$F,2,0)))</f>
        <v>0</v>
      </c>
      <c r="AF166" s="404"/>
      <c r="AG166" s="398">
        <f>IF(AF166=0,0,IF(LEN(U166)=11,_xlfn.XLOOKUP(U166,'Dispensed Ink Rates'!C:C,'Dispensed Ink Rates'!CS:CS),VLOOKUP(U166,'Jan-2026 rates'!$E:$F,2,0)))</f>
        <v>0</v>
      </c>
      <c r="AH166" s="404"/>
      <c r="AI166" s="398">
        <f>IF(AH166=0,0,IF(LEN(V166)=11,_xlfn.XLOOKUP(V166,'Dispensed Ink Rates'!C:C,'Dispensed Ink Rates'!CS:CS),VLOOKUP(V166,'Jan-2026 rates'!$E:$F,2,0)))</f>
        <v>0</v>
      </c>
      <c r="AJ166" s="404"/>
      <c r="AK166" s="398">
        <f>IF(AJ166=0,0,IF(LEN(W166)=11,_xlfn.XLOOKUP(W166,'Dispensed Ink Rates'!C:C,'Dispensed Ink Rates'!CS:CS),VLOOKUP(W166,'Jan-2026 rates'!$E:$F,2,0)))</f>
        <v>0</v>
      </c>
      <c r="AL166" s="404"/>
      <c r="AM166" s="398">
        <f>IF(AL166=0,0,IF(LEN(X166)=11,_xlfn.XLOOKUP(X166,'Dispensed Ink Rates'!C:C,'Dispensed Ink Rates'!CS:CS),VLOOKUP(X166,'Jan-2026 rates'!$E:$F,2,0)))</f>
        <v>0</v>
      </c>
      <c r="AN166" s="404"/>
      <c r="AO166" s="398">
        <f>IF(AN166=0,0,IF(LEN(Y166)=11,_xlfn.XLOOKUP(Y166,'Dispensed Ink Rates'!C:C,'Dispensed Ink Rates'!CS:CS),VLOOKUP(Y166,'Jan-2026 rates'!$E:$F,2,0)))</f>
        <v>0</v>
      </c>
      <c r="AP166" s="409" t="s">
        <v>1881</v>
      </c>
      <c r="AQ166" s="409">
        <v>27</v>
      </c>
      <c r="AR166" s="410">
        <f t="shared" si="106"/>
        <v>0</v>
      </c>
      <c r="AS166" s="411">
        <f t="shared" si="107"/>
        <v>2.6666666666666679</v>
      </c>
      <c r="AT166" s="410">
        <f t="shared" si="108"/>
        <v>0</v>
      </c>
      <c r="AU166" s="405" t="s">
        <v>546</v>
      </c>
      <c r="AV166" s="409"/>
      <c r="AW166" s="420" t="str">
        <f t="shared" si="130"/>
        <v>ToyoLi - REFLEX BLUE</v>
      </c>
      <c r="AX166" s="409"/>
      <c r="AY166" s="411">
        <f>IF(AX166=0,0,IF($LB166=70%,VLOOKUP($AW166,'Jan-2026 rates'!$L:$R,4,0),IF($LB166=65%,VLOOKUP($AW166,'Jan-2026 rates'!$L:$R,4,0),IF($LB166=40%,VLOOKUP($AW166,'Jan-2026 rates'!$L:$R,5,0),IF($LB166=30%,VLOOKUP($AW166,'Jan-2026 rates'!$L:$R,6,0),IF($LB166=100%,VLOOKUP($AW166,'Jan-2026 rates'!$L:$R,7,0),IF($LB166=60%,VLOOKUP($AW166,'Jan-2026 rates'!$L:$S,8,0),IF($LB166=80%,VLOOKUP($AW166,'Jan-2026 rates'!L:T,9,0),0))))))))</f>
        <v>0</v>
      </c>
      <c r="AZ166" s="412"/>
      <c r="BA166" s="409"/>
      <c r="BB166" s="411">
        <f>IF(BA166=0,0,IF($LB166=70%,VLOOKUP($AW166,'Jan-2026 rates'!$L:$R,4,0),IF($LB166=65%,VLOOKUP($AW166,'Jan-2026 rates'!$L:$R,4,0),IF($LB166=40%,VLOOKUP($AW166,'Jan-2026 rates'!$L:$R,5,0),IF($LB166=30%,VLOOKUP($AW166,'Jan-2026 rates'!$L:$R,6,0),IF($LB166=100%,VLOOKUP($AW166,'Jan-2026 rates'!$L:$R,7,0),IF($LB166=60%,VLOOKUP($AW166,'Jan-2026 rates'!$L:$S,8,0),IF($LB166=80%,VLOOKUP($AW166,'Jan-2026 rates'!L:T,9,0),0))))))))</f>
        <v>0</v>
      </c>
      <c r="BC166" s="413" t="s">
        <v>1921</v>
      </c>
      <c r="BD166" s="412" t="s">
        <v>1246</v>
      </c>
      <c r="BE166" s="412" t="s">
        <v>1880</v>
      </c>
      <c r="BF166" s="413" t="s">
        <v>1585</v>
      </c>
      <c r="BG166" s="412"/>
      <c r="BH166" s="412"/>
      <c r="BI166" s="412"/>
      <c r="BJ166" s="412"/>
      <c r="BK166" s="409">
        <v>4</v>
      </c>
      <c r="BL166" s="398">
        <f>IF(BK166=0,0,IF(LEN(BC166)=11,_xlfn.XLOOKUP(BC166,'Dispensed Ink Rates'!C:C,'Dispensed Ink Rates'!CS:CS),VLOOKUP(BC166,'Jan-2026 rates'!$E:$F,2,0)))</f>
        <v>0</v>
      </c>
      <c r="BM166" s="409">
        <v>8</v>
      </c>
      <c r="BN166" s="398">
        <f>IF(BM166=0,0,IF(LEN(BD166)=11,_xlfn.XLOOKUP(BD166,'Dispensed Ink Rates'!C:C,'Dispensed Ink Rates'!CS:CS),VLOOKUP(BD166,'Jan-2026 rates'!$E:$F,2,0)))</f>
        <v>0</v>
      </c>
      <c r="BO166" s="409">
        <v>2</v>
      </c>
      <c r="BP166" s="398">
        <f>IF(BO166=0,0,IF(LEN(BE166)=11,_xlfn.XLOOKUP(BE166,'Dispensed Ink Rates'!C:C,'Dispensed Ink Rates'!CS:CS),VLOOKUP(BE166,'Jan-2026 rates'!$E:$F,2,0)))</f>
        <v>0</v>
      </c>
      <c r="BQ166" s="409">
        <v>3</v>
      </c>
      <c r="BR166" s="398">
        <f>IF(BQ166=0,0,IF(LEN(BF166)=11,_xlfn.XLOOKUP(BF166,'Dispensed Ink Rates'!C:C,'Dispensed Ink Rates'!CS:CS),VLOOKUP(BF166,'Jan-2026 rates'!$E:$F,2,0)))</f>
        <v>0</v>
      </c>
      <c r="BS166" s="409"/>
      <c r="BT166" s="398">
        <f>IF(BS166=0,0,IF(LEN(BG166)=11,_xlfn.XLOOKUP(BG166,'Dispensed Ink Rates'!C:C,'Dispensed Ink Rates'!CS:CS),VLOOKUP(BG166,'Jan-2026 rates'!$E:$F,2,0)))</f>
        <v>0</v>
      </c>
      <c r="BU166" s="409"/>
      <c r="BV166" s="398">
        <f>IF(BU166=0,0,IF(LEN(BH166)=11,_xlfn.XLOOKUP(BH166,'Dispensed Ink Rates'!C:C,'Dispensed Ink Rates'!CS:CS),VLOOKUP(BH166,'Jan-2026 rates'!$E:$F,2,0)))</f>
        <v>0</v>
      </c>
      <c r="BW166" s="409"/>
      <c r="BX166" s="398">
        <f>IF(BW166=0,0,IF(LEN(BI166)=11,_xlfn.XLOOKUP(BI166,'Dispensed Ink Rates'!C:C,'Dispensed Ink Rates'!CS:CS),VLOOKUP(BI166,'Jan-2026 rates'!$E:$F,2,0)))</f>
        <v>0</v>
      </c>
      <c r="BY166" s="409"/>
      <c r="BZ166" s="398">
        <f>IF(BY166=0,0,IF(LEN(BJ166)=11,_xlfn.XLOOKUP(BJ166,'Dispensed Ink Rates'!C:C,'Dispensed Ink Rates'!CS:CS),VLOOKUP(BJ166,'Jan-2026 rates'!$E:$F,2,0)))</f>
        <v>0</v>
      </c>
      <c r="CA166" s="409" t="s">
        <v>1881</v>
      </c>
      <c r="CB166" s="409">
        <v>24</v>
      </c>
      <c r="CC166" s="411">
        <f t="shared" si="109"/>
        <v>0</v>
      </c>
      <c r="CD166" s="411">
        <f t="shared" si="110"/>
        <v>6.3333333333333321</v>
      </c>
      <c r="CE166" s="410">
        <f t="shared" si="111"/>
        <v>0</v>
      </c>
      <c r="CF166" s="404" t="s">
        <v>857</v>
      </c>
      <c r="CG166" s="409"/>
      <c r="CH166" s="420" t="str">
        <f t="shared" si="55"/>
        <v>ToyoLi - RED</v>
      </c>
      <c r="CI166" s="409"/>
      <c r="CJ166" s="411">
        <f>IF(CI166=0,0,IF($LB166=70%,VLOOKUP($CH166,'Jan-2026 rates'!$L:$R,4,0),IF($LB166=65%,VLOOKUP($CH166,'Jan-2026 rates'!$L:$R,4,0),IF($LB166=40%,VLOOKUP($CH166,'Jan-2026 rates'!$L:$R,5,0),IF($LB166=30%,VLOOKUP($CH166,'Jan-2026 rates'!$L:$R,6,0),IF($LB166=100%,VLOOKUP($CH166,'Jan-2026 rates'!$L:$R,7,0),IF($LB166=60%,VLOOKUP($CH166,'Jan-2026 rates'!$L:$S,8,0),IF($LB166=80%,VLOOKUP($CH166,'Jan-2026 rates'!L:T,9,0),0))))))))</f>
        <v>0</v>
      </c>
      <c r="CK166" s="412"/>
      <c r="CL166" s="409"/>
      <c r="CM166" s="411">
        <f>IF(CL166=0,0,IF($LB166=70%,VLOOKUP($CH166,'Jan-2026 rates'!$L:$R,4,0),IF($LB166=65%,VLOOKUP($CH166,'Jan-2026 rates'!$L:$R,4,0),IF($LB166=40%,VLOOKUP($CH166,'Jan-2026 rates'!$L:$R,5,0),IF($LB166=30%,VLOOKUP($CH166,'Jan-2026 rates'!$L:$R,6,0),IF($LB166=100%,VLOOKUP($CH166,'Jan-2026 rates'!$L:$R,7,0),IF($LB166=60%,VLOOKUP($CH166,'Jan-2026 rates'!$L:$S,8,0),IF($LB166=80%,VLOOKUP($CH166,'Jan-2026 rates'!L:T,9,0),0))))))))</f>
        <v>0</v>
      </c>
      <c r="CN166" s="426" t="s">
        <v>1248</v>
      </c>
      <c r="CO166" s="427" t="s">
        <v>1246</v>
      </c>
      <c r="CP166" s="426" t="s">
        <v>1505</v>
      </c>
      <c r="CQ166" s="426"/>
      <c r="CR166" s="428"/>
      <c r="CS166" s="428"/>
      <c r="CT166" s="428"/>
      <c r="CU166" s="428"/>
      <c r="CV166" s="409">
        <f>5+5</f>
        <v>10</v>
      </c>
      <c r="CW166" s="398">
        <f>IF(CV166=0,0,IF(LEN(CN166)=11,_xlfn.XLOOKUP(CN166,'Dispensed Ink Rates'!C:C,'Dispensed Ink Rates'!CS:CS),VLOOKUP(CN166,'Jan-2026 rates'!$E:$F,2,0)))</f>
        <v>0</v>
      </c>
      <c r="CX166" s="409">
        <f>5+1</f>
        <v>6</v>
      </c>
      <c r="CY166" s="398">
        <f>IF(CX166=0,0,IF(LEN(CO166)=11,_xlfn.XLOOKUP(CO166,'Dispensed Ink Rates'!C:C,'Dispensed Ink Rates'!CS:CS),VLOOKUP(CO166,'Jan-2026 rates'!$E:$F,2,0)))</f>
        <v>0</v>
      </c>
      <c r="CZ166" s="409">
        <v>6</v>
      </c>
      <c r="DA166" s="398">
        <f>IF(CZ166=0,0,IF(LEN(CP166)=11,_xlfn.XLOOKUP(CP166,'Dispensed Ink Rates'!C:C,'Dispensed Ink Rates'!CS:CS),VLOOKUP(CP166,'Jan-2026 rates'!$E:$F,2,0)))</f>
        <v>0</v>
      </c>
      <c r="DB166" s="409"/>
      <c r="DC166" s="398">
        <f>IF(DB166=0,0,IF(LEN(CQ166)=11,_xlfn.XLOOKUP(CQ166,'Dispensed Ink Rates'!C:C,'Dispensed Ink Rates'!CS:CS),VLOOKUP(CQ166,'Jan-2026 rates'!$E:$F,2,0)))</f>
        <v>0</v>
      </c>
      <c r="DD166" s="409"/>
      <c r="DE166" s="398">
        <f>IF(DD166=0,0,IF(LEN(CR166)=11,_xlfn.XLOOKUP(CR166,'Dispensed Ink Rates'!C:C,'Dispensed Ink Rates'!CS:CS),VLOOKUP(CR166,'Jan-2026 rates'!$E:$F,2,0)))</f>
        <v>0</v>
      </c>
      <c r="DF166" s="409"/>
      <c r="DG166" s="398">
        <f>IF(DF166=0,0,IF(LEN(CS166)=11,_xlfn.XLOOKUP(CS166,'Dispensed Ink Rates'!C:C,'Dispensed Ink Rates'!CS:CS),VLOOKUP(CS166,'Jan-2026 rates'!$E:$F,2,0)))</f>
        <v>0</v>
      </c>
      <c r="DH166" s="409"/>
      <c r="DI166" s="398">
        <f>IF(DH166=0,0,IF(LEN(CT166)=11,_xlfn.XLOOKUP(CT166,'Dispensed Ink Rates'!C:C,'Dispensed Ink Rates'!CS:CS),VLOOKUP(CT166,'Jan-2026 rates'!$E:$F,2,0)))</f>
        <v>0</v>
      </c>
      <c r="DJ166" s="409"/>
      <c r="DK166" s="398">
        <f>IF(DJ166=0,0,IF(LEN(CU166)=11,_xlfn.XLOOKUP(CU166,'Dispensed Ink Rates'!C:C,'Dispensed Ink Rates'!CS:CS),VLOOKUP(CU166,'Jan-2026 rates'!$E:$F,2,0)))</f>
        <v>0</v>
      </c>
      <c r="DL166" s="409" t="s">
        <v>1881</v>
      </c>
      <c r="DM166" s="409">
        <v>25</v>
      </c>
      <c r="DN166" s="411">
        <f t="shared" si="112"/>
        <v>0</v>
      </c>
      <c r="DO166" s="411">
        <f t="shared" si="113"/>
        <v>3.6666666666666643</v>
      </c>
      <c r="DP166" s="410">
        <f t="shared" si="114"/>
        <v>0</v>
      </c>
      <c r="DQ166" s="405" t="s">
        <v>546</v>
      </c>
      <c r="DR166" s="409" t="s">
        <v>3549</v>
      </c>
      <c r="DS166" s="420" t="str">
        <f t="shared" si="56"/>
        <v>ToyoLi - REFLEX BLUE</v>
      </c>
      <c r="DT166" s="409">
        <v>18</v>
      </c>
      <c r="DU166" s="411">
        <f>IF(DT166=0,0,IF($LB166=70%,VLOOKUP($DS166,'Jan-2026 rates'!$L:$R,4,0),IF($LB166=65%,VLOOKUP($DS166,'Jan-2026 rates'!$L:$R,4,0),IF($LB166=40%,VLOOKUP($DS166,'Jan-2026 rates'!$L:$R,5,0),IF($LB166=30%,VLOOKUP($DS166,'Jan-2026 rates'!$L:$R,6,0),IF($LB166=100%,VLOOKUP($DS166,'Jan-2026 rates'!$L:$R,7,0),IF($LB166=60%,VLOOKUP($DS166,'Jan-2026 rates'!$L:$S,8,0),IF($LB166=80%,VLOOKUP($DS166,'Jan-2026 rates'!L:T,9,0),0))))))))</f>
        <v>0</v>
      </c>
      <c r="DV166" s="412"/>
      <c r="DW166" s="409"/>
      <c r="DX166" s="411">
        <f>IF(DW166=0,0,IF($LB166=70%,VLOOKUP($DS166,'Jan-2026 rates'!$L:$R,4,0),IF($LB166=65%,VLOOKUP($DS166,'Jan-2026 rates'!$L:$R,4,0),IF($LB166=40%,VLOOKUP($DS166,'Jan-2026 rates'!$L:$R,5,0),IF($LB166=30%,VLOOKUP($DS166,'Jan-2026 rates'!$L:$R,6,0),IF($LB166=100%,VLOOKUP($DS166,'Jan-2026 rates'!$L:$R,7,0),IF($LB166=60%,VLOOKUP($DS166,'Jan-2026 rates'!$L:$S,8,0),IF($LB166=80%,VLOOKUP($DS166,'Jan-2026 rates'!L:T,9,0),0))))))))</f>
        <v>0</v>
      </c>
      <c r="DY166" s="413" t="s">
        <v>1921</v>
      </c>
      <c r="DZ166" s="413" t="s">
        <v>1250</v>
      </c>
      <c r="EA166" s="412"/>
      <c r="EB166" s="412"/>
      <c r="EC166" s="412"/>
      <c r="ED166" s="412"/>
      <c r="EE166" s="412"/>
      <c r="EF166" s="412"/>
      <c r="EG166" s="409">
        <v>5</v>
      </c>
      <c r="EH166" s="398">
        <f>IF(EG166=0,0,IF(LEN(DY166)=11,_xlfn.XLOOKUP(DY166,'Dispensed Ink Rates'!C:C,'Dispensed Ink Rates'!CS:CS),VLOOKUP(DY166,'Jan-2026 rates'!$E:$F,2,0)))</f>
        <v>0</v>
      </c>
      <c r="EI166" s="409">
        <v>4</v>
      </c>
      <c r="EJ166" s="398">
        <f>IF(EI166=0,0,IF(LEN(DZ166)=11,_xlfn.XLOOKUP(DZ166,'Dispensed Ink Rates'!C:C,'Dispensed Ink Rates'!CS:CS),VLOOKUP(DZ166,'Jan-2026 rates'!$E:$F,2,0)))</f>
        <v>0</v>
      </c>
      <c r="EK166" s="409"/>
      <c r="EL166" s="398">
        <f>IF(EK166=0,0,IF(LEN(EA166)=11,_xlfn.XLOOKUP(EA166,'Dispensed Ink Rates'!C:C,'Dispensed Ink Rates'!CS:CS),VLOOKUP(EA166,'Jan-2026 rates'!$E:$F,2,0)))</f>
        <v>0</v>
      </c>
      <c r="EM166" s="409"/>
      <c r="EN166" s="398">
        <f>IF(EM166=0,0,IF(LEN(EB166)=11,_xlfn.XLOOKUP(EB166,'Dispensed Ink Rates'!C:C,'Dispensed Ink Rates'!CS:CS),VLOOKUP(EB166,'Jan-2026 rates'!$E:$F,2,0)))</f>
        <v>0</v>
      </c>
      <c r="EO166" s="409"/>
      <c r="EP166" s="398">
        <f>IF(EO166=0,0,IF(LEN(EC166)=11,_xlfn.XLOOKUP(EC166,'Dispensed Ink Rates'!C:C,'Dispensed Ink Rates'!CS:CS),VLOOKUP(EC166,'Jan-2026 rates'!$E:$F,2,0)))</f>
        <v>0</v>
      </c>
      <c r="EQ166" s="409"/>
      <c r="ER166" s="398">
        <f>IF(EQ166=0,0,IF(LEN(ED166)=11,_xlfn.XLOOKUP(ED166,'Dispensed Ink Rates'!C:C,'Dispensed Ink Rates'!CS:CS),VLOOKUP(ED166,'Jan-2026 rates'!$E:$F,2,0)))</f>
        <v>0</v>
      </c>
      <c r="ES166" s="409"/>
      <c r="ET166" s="398">
        <f>IF(ES166=0,0,IF(LEN(EE166)=11,_xlfn.XLOOKUP(EE166,'Dispensed Ink Rates'!C:C,'Dispensed Ink Rates'!CS:CS),VLOOKUP(EE166,'Jan-2026 rates'!$E:$F,2,0)))</f>
        <v>0</v>
      </c>
      <c r="EU166" s="409"/>
      <c r="EV166" s="398">
        <f>IF(EU166=0,0,IF(LEN(EF166)=11,_xlfn.XLOOKUP(EF166,'Dispensed Ink Rates'!C:C,'Dispensed Ink Rates'!CS:CS),VLOOKUP(EF166,'Jan-2026 rates'!$E:$F,2,0)))</f>
        <v>0</v>
      </c>
      <c r="EW166" s="409" t="s">
        <v>1881</v>
      </c>
      <c r="EX166" s="409">
        <v>28</v>
      </c>
      <c r="EY166" s="411">
        <f t="shared" si="115"/>
        <v>0</v>
      </c>
      <c r="EZ166" s="411">
        <f t="shared" si="116"/>
        <v>4.3333333333333357</v>
      </c>
      <c r="FA166" s="410">
        <f t="shared" si="117"/>
        <v>0</v>
      </c>
      <c r="FB166" s="405" t="s">
        <v>855</v>
      </c>
      <c r="FC166" s="409" t="s">
        <v>3550</v>
      </c>
      <c r="FD166" s="420" t="str">
        <f t="shared" si="57"/>
        <v>ToyoLi - CYAN</v>
      </c>
      <c r="FE166" s="409">
        <v>27</v>
      </c>
      <c r="FF166" s="411">
        <f>IF(FE166=0,0,IF($LB166=70%,VLOOKUP($FD166,'Jan-2026 rates'!$L:$R,4,0),IF($LB166=65%,VLOOKUP($FD166,'Jan-2026 rates'!$L:$R,4,0),IF($LB166=40%,VLOOKUP($FD166,'Jan-2026 rates'!$L:$R,5,0),IF($LB166=30%,VLOOKUP($FD166,'Jan-2026 rates'!$L:$R,6,0),IF($LB166=100%,VLOOKUP($FD166,'Jan-2026 rates'!$L:$R,7,0),IF($LB166=60%,VLOOKUP($FD166,'Jan-2026 rates'!$L:$S,8,0),IF($LB166=80%,VLOOKUP($FD166,'Jan-2026 rates'!L:T,9,0),0))))))))</f>
        <v>0</v>
      </c>
      <c r="FG166" s="412"/>
      <c r="FH166" s="409"/>
      <c r="FI166" s="411">
        <f>IF(FH166=0,0,IF($LB166=70%,VLOOKUP($FD166,'Jan-2026 rates'!$L:$R,4,0),IF($LB166=65%,VLOOKUP($FD166,'Jan-2026 rates'!$L:$R,4,0),IF($LB166=40%,VLOOKUP($FD166,'Jan-2026 rates'!$L:$R,5,0),IF($LB166=30%,VLOOKUP($FD166,'Jan-2026 rates'!$L:$R,6,0),IF($LB166=100%,VLOOKUP($FD166,'Jan-2026 rates'!$L:$R,7,0),IF($LB166=60%,VLOOKUP($FD166,'Jan-2026 rates'!$L:$S,8,0),IF($LB166=80%,VLOOKUP($FD166,'Jan-2026 rates'!L:T,9,0),0))))))))</f>
        <v>0</v>
      </c>
      <c r="FJ166" s="413" t="s">
        <v>1250</v>
      </c>
      <c r="FK166" s="413"/>
      <c r="FL166" s="413"/>
      <c r="FM166" s="412"/>
      <c r="FN166" s="412"/>
      <c r="FO166" s="412"/>
      <c r="FP166" s="412"/>
      <c r="FQ166" s="412"/>
      <c r="FR166" s="409">
        <v>5</v>
      </c>
      <c r="FS166" s="398">
        <f>IF(FR166=0,0,IF(LEN(FJ166)=11,_xlfn.XLOOKUP(FJ166,'Dispensed Ink Rates'!C:C,'Dispensed Ink Rates'!CS:CS),VLOOKUP(FJ166,'Jan-2026 rates'!$E:$F,2,0)))</f>
        <v>0</v>
      </c>
      <c r="FT166" s="409"/>
      <c r="FU166" s="398">
        <f>IF(FT166=0,0,IF(LEN(FK166)=11,_xlfn.XLOOKUP(FK166,'Dispensed Ink Rates'!C:C,'Dispensed Ink Rates'!CS:CS),VLOOKUP(FK166,'Jan-2026 rates'!$E:$F,2,0)))</f>
        <v>0</v>
      </c>
      <c r="FV166" s="409"/>
      <c r="FW166" s="398">
        <f>IF(FV166=0,0,IF(LEN(FL166)=11,_xlfn.XLOOKUP(FL166,'Dispensed Ink Rates'!C:C,'Dispensed Ink Rates'!CS:CS),VLOOKUP(FL166,'Jan-2026 rates'!$E:$F,2,0)))</f>
        <v>0</v>
      </c>
      <c r="FX166" s="409"/>
      <c r="FY166" s="398">
        <f>IF(FX166=0,0,IF(LEN(FM166)=11,_xlfn.XLOOKUP(FM166,'Dispensed Ink Rates'!C:C,'Dispensed Ink Rates'!CS:CS),VLOOKUP(FM166,'Jan-2026 rates'!$E:$F,2,0)))</f>
        <v>0</v>
      </c>
      <c r="FZ166" s="409"/>
      <c r="GA166" s="398">
        <f>IF(FZ166=0,0,IF(LEN(FN166)=11,_xlfn.XLOOKUP(FN166,'Dispensed Ink Rates'!C:C,'Dispensed Ink Rates'!CS:CS),VLOOKUP(FN166,'Jan-2026 rates'!$E:$F,2,0)))</f>
        <v>0</v>
      </c>
      <c r="GB166" s="409"/>
      <c r="GC166" s="398">
        <f>IF(GB166=0,0,IF(LEN(FO166)=11,_xlfn.XLOOKUP(FO166,'Dispensed Ink Rates'!C:C,'Dispensed Ink Rates'!CS:CS),VLOOKUP(FO166,'Jan-2026 rates'!$E:$F,2,0)))</f>
        <v>0</v>
      </c>
      <c r="GD166" s="409"/>
      <c r="GE166" s="398">
        <f>IF(GD166=0,0,IF(LEN(FP166)=11,_xlfn.XLOOKUP(FP166,'Dispensed Ink Rates'!C:C,'Dispensed Ink Rates'!CS:CS),VLOOKUP(FP166,'Jan-2026 rates'!$E:$F,2,0)))</f>
        <v>0</v>
      </c>
      <c r="GF166" s="409"/>
      <c r="GG166" s="398">
        <f>IF(GF166=0,0,IF(LEN(FQ166)=11,_xlfn.XLOOKUP(FQ166,'Dispensed Ink Rates'!C:C,'Dispensed Ink Rates'!CS:CS),VLOOKUP(FQ166,'Jan-2026 rates'!$E:$F,2,0)))</f>
        <v>0</v>
      </c>
      <c r="GH166" s="409" t="s">
        <v>1881</v>
      </c>
      <c r="GI166" s="409">
        <v>24</v>
      </c>
      <c r="GJ166" s="411">
        <f t="shared" si="118"/>
        <v>0</v>
      </c>
      <c r="GK166" s="411">
        <f t="shared" si="119"/>
        <v>10.666666666666664</v>
      </c>
      <c r="GL166" s="410">
        <f t="shared" si="120"/>
        <v>0</v>
      </c>
      <c r="GM166" s="405" t="s">
        <v>544</v>
      </c>
      <c r="GN166" s="409" t="s">
        <v>3551</v>
      </c>
      <c r="GO166" s="420" t="str">
        <f t="shared" si="58"/>
        <v>ToyoLi - MAGENTA</v>
      </c>
      <c r="GP166" s="409">
        <v>27</v>
      </c>
      <c r="GQ166" s="411">
        <f>IF(GP166=0,0,IF($LB166=70%,VLOOKUP($GO166,'Jan-2026 rates'!$L:$R,4,0),IF($LB166=65%,VLOOKUP($GO166,'Jan-2026 rates'!$L:$R,4,0),IF($LB166=40%,VLOOKUP($GO166,'Jan-2026 rates'!$L:$R,5,0),IF($LB166=30%,VLOOKUP($GO166,'Jan-2026 rates'!$L:$R,6,0),IF($LB166=100%,VLOOKUP($GO166,'Jan-2026 rates'!$L:$R,7,0),IF($LB166=60%,VLOOKUP($GO166,'Jan-2026 rates'!$L:$S,8,0),IF($LB166=80%,VLOOKUP($GO166,'Jan-2026 rates'!L:T,9,0),0))))))))</f>
        <v>0</v>
      </c>
      <c r="GR166" s="412"/>
      <c r="GS166" s="409"/>
      <c r="GT166" s="411">
        <f>IF(GS166=0,0,IF($LB166=70%,VLOOKUP($GO166,'Jan-2026 rates'!$L:$R,4,0),IF($LB166=65%,VLOOKUP($GO166,'Jan-2026 rates'!$L:$R,4,0),IF($LB166=40%,VLOOKUP($GO166,'Jan-2026 rates'!$L:$R,5,0),IF($LB166=30%,VLOOKUP($GO166,'Jan-2026 rates'!$L:$R,6,0),IF($LB166=100%,VLOOKUP($GO166,'Jan-2026 rates'!$L:$R,7,0),IF($LB166=60%,VLOOKUP($GO166,'Jan-2026 rates'!$L:$S,8,0),IF($LB166=80%,VLOOKUP($GO166,'Jan-2026 rates'!L:T,9,0),0))))))))</f>
        <v>0</v>
      </c>
      <c r="GU166" s="413" t="s">
        <v>1246</v>
      </c>
      <c r="GV166" s="413"/>
      <c r="GW166" s="412"/>
      <c r="GX166" s="412"/>
      <c r="GY166" s="412"/>
      <c r="GZ166" s="412"/>
      <c r="HA166" s="412"/>
      <c r="HB166" s="412"/>
      <c r="HC166" s="409">
        <v>2</v>
      </c>
      <c r="HD166" s="398">
        <f>IF(HC166=0,0,IF(LEN(GU166)=11,_xlfn.XLOOKUP(GU166,'Dispensed Ink Rates'!C:C,'Dispensed Ink Rates'!CS:CS),VLOOKUP(GU166,'Jan-2026 rates'!$E:$F,2,0)))</f>
        <v>0</v>
      </c>
      <c r="HE166" s="409"/>
      <c r="HF166" s="398">
        <f>IF(HE166=0,0,IF(LEN(GV166)=11,_xlfn.XLOOKUP(GV166,'Dispensed Ink Rates'!C:C,'Dispensed Ink Rates'!CS:CS),VLOOKUP(GV166,'Jan-2026 rates'!$E:$F,2,0)))</f>
        <v>0</v>
      </c>
      <c r="HG166" s="409"/>
      <c r="HH166" s="398">
        <f>IF(HG166=0,0,IF(LEN(GW166)=11,_xlfn.XLOOKUP(GW166,'Dispensed Ink Rates'!C:C,'Dispensed Ink Rates'!CS:CS),VLOOKUP(GW166,'Jan-2026 rates'!$E:$F,2,0)))</f>
        <v>0</v>
      </c>
      <c r="HI166" s="409"/>
      <c r="HJ166" s="398">
        <f>IF(HI166=0,0,IF(LEN(GX166)=11,_xlfn.XLOOKUP(GX166,'Dispensed Ink Rates'!C:C,'Dispensed Ink Rates'!CS:CS),VLOOKUP(GX166,'Jan-2026 rates'!$E:$F,2,0)))</f>
        <v>0</v>
      </c>
      <c r="HK166" s="409"/>
      <c r="HL166" s="398">
        <f>IF(HK166=0,0,IF(LEN(GY166)=11,_xlfn.XLOOKUP(GY166,'Dispensed Ink Rates'!C:C,'Dispensed Ink Rates'!CS:CS),VLOOKUP(GY166,'Jan-2026 rates'!$E:$F,2,0)))</f>
        <v>0</v>
      </c>
      <c r="HM166" s="409"/>
      <c r="HN166" s="398">
        <f>IF(HM166=0,0,IF(LEN(GZ166)=11,_xlfn.XLOOKUP(GZ166,'Dispensed Ink Rates'!C:C,'Dispensed Ink Rates'!CS:CS),VLOOKUP(GZ166,'Jan-2026 rates'!$E:$F,2,0)))</f>
        <v>0</v>
      </c>
      <c r="HO166" s="409"/>
      <c r="HP166" s="398">
        <f>IF(HO166=0,0,IF(LEN(HA166)=11,_xlfn.XLOOKUP(HA166,'Dispensed Ink Rates'!C:C,'Dispensed Ink Rates'!CS:CS),VLOOKUP(HA166,'Jan-2026 rates'!$E:$F,2,0)))</f>
        <v>0</v>
      </c>
      <c r="HQ166" s="409"/>
      <c r="HR166" s="398">
        <f>IF(HQ166=0,0,IF(LEN(HB166)=11,_xlfn.XLOOKUP(HB166,'Dispensed Ink Rates'!C:C,'Dispensed Ink Rates'!CS:CS),VLOOKUP(HB166,'Jan-2026 rates'!$E:$F,2,0)))</f>
        <v>0</v>
      </c>
      <c r="HS166" s="409" t="s">
        <v>1881</v>
      </c>
      <c r="HT166" s="409">
        <v>28</v>
      </c>
      <c r="HU166" s="411">
        <f t="shared" si="121"/>
        <v>0</v>
      </c>
      <c r="HV166" s="411">
        <f t="shared" si="122"/>
        <v>3.6666666666666679</v>
      </c>
      <c r="HW166" s="414">
        <f t="shared" si="123"/>
        <v>0</v>
      </c>
      <c r="HX166" s="405" t="s">
        <v>545</v>
      </c>
      <c r="HY166" s="409" t="s">
        <v>3552</v>
      </c>
      <c r="HZ166" s="420" t="str">
        <f t="shared" si="59"/>
        <v>ToyoLi - YELLOW</v>
      </c>
      <c r="IA166" s="409">
        <v>28</v>
      </c>
      <c r="IB166" s="411">
        <f>IF(IA166=0,0,IF($LB166=70%,VLOOKUP($HZ166,'Jan-2026 rates'!$L:$R,4,0),IF($LB166=65%,VLOOKUP($HZ166,'Jan-2026 rates'!$L:$R,4,0),IF($LB166=40%,VLOOKUP($HZ166,'Jan-2026 rates'!$L:$R,5,0),IF($LB166=30%,VLOOKUP($HZ166,'Jan-2026 rates'!$L:$R,6,0),IF($LB166=100%,VLOOKUP($HZ166,'Jan-2026 rates'!$L:$R,7,0),IF($LB166=60%,VLOOKUP($HZ166,'Jan-2026 rates'!$L:$S,8,0),IF($LB166=80%,VLOOKUP($HZ166,'Jan-2026 rates'!L:T,9,0),0))))))))</f>
        <v>0</v>
      </c>
      <c r="IC166" s="412"/>
      <c r="ID166" s="409"/>
      <c r="IE166" s="411">
        <f>IF(ID166=0,0,IF($LB166=70%,VLOOKUP($HZ166,'Jan-2026 rates'!$L:$R,4,0),IF($LB166=65%,VLOOKUP($HZ166,'Jan-2026 rates'!$L:$R,4,0),IF($LB166=40%,VLOOKUP($HZ166,'Jan-2026 rates'!$L:$R,5,0),IF($LB166=30%,VLOOKUP($HZ166,'Jan-2026 rates'!$L:$R,6,0),IF($LB166=100%,VLOOKUP($HZ166,'Jan-2026 rates'!$L:$R,7,0),IF($LB166=60%,VLOOKUP($HZ166,'Jan-2026 rates'!$L:$S,8,0),IF($LB166=80%,VLOOKUP($HZ166,'Jan-2026 rates'!L:T,9,0),0))))))))</f>
        <v>0</v>
      </c>
      <c r="IF166" s="412" t="s">
        <v>1247</v>
      </c>
      <c r="IG166" s="413"/>
      <c r="IH166" s="412"/>
      <c r="II166" s="412"/>
      <c r="IJ166" s="412"/>
      <c r="IK166" s="412"/>
      <c r="IL166" s="412"/>
      <c r="IM166" s="412"/>
      <c r="IN166" s="409">
        <f>3+7</f>
        <v>10</v>
      </c>
      <c r="IO166" s="398">
        <f>IF(IN166=0,0,IF(LEN(IF166)=11,_xlfn.XLOOKUP(IF166,'Dispensed Ink Rates'!C:C,'Dispensed Ink Rates'!CS:CS),VLOOKUP(IF166,'Jan-2026 rates'!$E:$F,2,0)))</f>
        <v>0</v>
      </c>
      <c r="IP166" s="409"/>
      <c r="IQ166" s="398">
        <f>IF(IP166=0,0,IF(LEN(IG166)=11,_xlfn.XLOOKUP(IG166,'Dispensed Ink Rates'!C:C,'Dispensed Ink Rates'!CS:CS),VLOOKUP(IG166,'Jan-2026 rates'!$E:$F,2,0)))</f>
        <v>0</v>
      </c>
      <c r="IR166" s="409"/>
      <c r="IS166" s="398">
        <f>IF(IR166=0,0,IF(LEN(IH166)=11,_xlfn.XLOOKUP(IH166,'Dispensed Ink Rates'!C:C,'Dispensed Ink Rates'!CS:CS),VLOOKUP(IH166,'Jan-2026 rates'!$E:$F,2,0)))</f>
        <v>0</v>
      </c>
      <c r="IT166" s="409"/>
      <c r="IU166" s="398">
        <f>IF(IT166=0,0,IF(LEN(II166)=11,_xlfn.XLOOKUP(II166,'Dispensed Ink Rates'!C:C,'Dispensed Ink Rates'!CS:CS),VLOOKUP(II166,'Jan-2026 rates'!$E:$F,2,0)))</f>
        <v>0</v>
      </c>
      <c r="IV166" s="409"/>
      <c r="IW166" s="398">
        <f>IF(IV166=0,0,IF(LEN(IJ166)=11,_xlfn.XLOOKUP(IJ166,'Dispensed Ink Rates'!C:C,'Dispensed Ink Rates'!CS:CS),VLOOKUP(IJ166,'Jan-2026 rates'!$E:$F,2,0)))</f>
        <v>0</v>
      </c>
      <c r="IX166" s="409"/>
      <c r="IY166" s="398">
        <f>IF(IX166=0,0,IF(LEN(IK166)=11,_xlfn.XLOOKUP(IK166,'Dispensed Ink Rates'!C:C,'Dispensed Ink Rates'!CS:CS),VLOOKUP(IK166,'Jan-2026 rates'!$E:$F,2,0)))</f>
        <v>0</v>
      </c>
      <c r="IZ166" s="409"/>
      <c r="JA166" s="398">
        <f>IF(IZ166=0,0,IF(LEN(IL166)=11,_xlfn.XLOOKUP(IL166,'Dispensed Ink Rates'!C:C,'Dispensed Ink Rates'!CS:CS),VLOOKUP(IL166,'Jan-2026 rates'!$E:$F,2,0)))</f>
        <v>0</v>
      </c>
      <c r="JB166" s="409"/>
      <c r="JC166" s="398">
        <f>IF(JB166=0,0,IF(LEN(IM166)=11,_xlfn.XLOOKUP(IM166,'Dispensed Ink Rates'!C:C,'Dispensed Ink Rates'!CS:CS),VLOOKUP(IM166,'Jan-2026 rates'!$E:$F,2,0)))</f>
        <v>0</v>
      </c>
      <c r="JD166" s="409" t="s">
        <v>1881</v>
      </c>
      <c r="JE166" s="409">
        <f>29+10</f>
        <v>39</v>
      </c>
      <c r="JF166" s="411">
        <f t="shared" si="124"/>
        <v>0</v>
      </c>
      <c r="JG166" s="411">
        <f t="shared" si="125"/>
        <v>15</v>
      </c>
      <c r="JH166" s="410">
        <f t="shared" si="126"/>
        <v>0</v>
      </c>
      <c r="JI166" s="405" t="s">
        <v>856</v>
      </c>
      <c r="JJ166" s="409" t="s">
        <v>3553</v>
      </c>
      <c r="JK166" s="420" t="str">
        <f t="shared" si="60"/>
        <v>ToyoLi - WHITE</v>
      </c>
      <c r="JL166" s="409">
        <v>20</v>
      </c>
      <c r="JM166" s="411">
        <f>IF(JL166=0,0,IF($LB166=70%,VLOOKUP($JK166,'Jan-2026 rates'!$L:$R,4,0),IF($LB166=65%,VLOOKUP($JK166,'Jan-2026 rates'!$L:$R,4,0),IF($LB166=40%,VLOOKUP($JK166,'Jan-2026 rates'!$L:$R,5,0),IF($LB166=30%,VLOOKUP($JK166,'Jan-2026 rates'!$L:$R,6,0),IF($LB166=100%,VLOOKUP($JK166,'Jan-2026 rates'!$L:$R,7,0),IF($LB166=60%,VLOOKUP($JK166,'Jan-2026 rates'!$L:$S,8,0),IF($LB166=80%,VLOOKUP($JK166,'Jan-2026 rates'!L:T,9,0),0))))))))</f>
        <v>0</v>
      </c>
      <c r="JN166" s="412"/>
      <c r="JO166" s="409"/>
      <c r="JP166" s="411">
        <f>IF(JO166=0,0,IF($LB166=70%,VLOOKUP($JK166,'Jan-2026 rates'!$L:$R,4,0),IF($LB166=65%,VLOOKUP($JK166,'Jan-2026 rates'!$L:$R,4,0),IF($LB166=40%,VLOOKUP($JK166,'Jan-2026 rates'!$L:$R,5,0),IF($LB166=30%,VLOOKUP($JK166,'Jan-2026 rates'!$L:$R,6,0),IF($LB166=100%,VLOOKUP($JK166,'Jan-2026 rates'!$L:$R,7,0),IF($LB166=60%,VLOOKUP($JK166,'Jan-2026 rates'!$L:$S,8,0),IF($LB166=80%,VLOOKUP($JK166,'Jan-2026 rates'!L:T,9,0),0))))))))</f>
        <v>0</v>
      </c>
      <c r="JQ166" s="413" t="s">
        <v>1249</v>
      </c>
      <c r="JR166" s="412" t="s">
        <v>1122</v>
      </c>
      <c r="JS166" s="413"/>
      <c r="JT166" s="413"/>
      <c r="JU166" s="412"/>
      <c r="JV166" s="412"/>
      <c r="JW166" s="412"/>
      <c r="JX166" s="412"/>
      <c r="JY166" s="409">
        <v>40</v>
      </c>
      <c r="JZ166" s="398">
        <f>IF(JY166=0,0,IF(LEN(JQ166)=11,_xlfn.XLOOKUP(JQ166,'Dispensed Ink Rates'!C:C,'Dispensed Ink Rates'!CS:CS),VLOOKUP(JQ166,'Jan-2026 rates'!$E:$F,2,0)))</f>
        <v>0</v>
      </c>
      <c r="KA166" s="409">
        <v>5.38</v>
      </c>
      <c r="KB166" s="398">
        <f>IF(KA166=0,0,IF(LEN(JR166)=11,_xlfn.XLOOKUP(JR166,'Dispensed Ink Rates'!C:C,'Dispensed Ink Rates'!CS:CS),VLOOKUP(JR166,'Jan-2026 rates'!$E:$F,2,0)))</f>
        <v>0</v>
      </c>
      <c r="KC166" s="409"/>
      <c r="KD166" s="398">
        <f>IF(KC166=0,0,IF(LEN(JS166)=11,_xlfn.XLOOKUP(JS166,'Dispensed Ink Rates'!C:C,'Dispensed Ink Rates'!CS:CS),VLOOKUP(JS166,'Jan-2026 rates'!$E:$F,2,0)))</f>
        <v>0</v>
      </c>
      <c r="KE166" s="409"/>
      <c r="KF166" s="398">
        <f>IF(KE166=0,0,IF(LEN(JT166)=11,_xlfn.XLOOKUP(JT166,'Dispensed Ink Rates'!C:C,'Dispensed Ink Rates'!CS:CS),VLOOKUP(JT166,'Jan-2026 rates'!$E:$F,2,0)))</f>
        <v>0</v>
      </c>
      <c r="KG166" s="409"/>
      <c r="KH166" s="398">
        <f>IF(KG166=0,0,IF(LEN(JU166)=11,_xlfn.XLOOKUP(JU166,'Dispensed Ink Rates'!C:C,'Dispensed Ink Rates'!CS:CS),VLOOKUP(JU166,'Jan-2026 rates'!$E:$F,2,0)))</f>
        <v>0</v>
      </c>
      <c r="KI166" s="409"/>
      <c r="KJ166" s="398">
        <f>IF(KI166=0,0,IF(LEN(JV166)=11,_xlfn.XLOOKUP(JV166,'Dispensed Ink Rates'!C:C,'Dispensed Ink Rates'!CS:CS),VLOOKUP(JV166,'Jan-2026 rates'!$E:$F,2,0)))</f>
        <v>0</v>
      </c>
      <c r="KK166" s="409"/>
      <c r="KL166" s="398">
        <f>IF(KK166=0,0,IF(LEN(JW166)=11,_xlfn.XLOOKUP(JW166,'Dispensed Ink Rates'!C:C,'Dispensed Ink Rates'!CS:CS),VLOOKUP(JW166,'Jan-2026 rates'!$E:$F,2,0)))</f>
        <v>0</v>
      </c>
      <c r="KM166" s="428"/>
      <c r="KN166" s="398">
        <f>IF(KM166=0,0,IF(LEN(JX166)=11,_xlfn.XLOOKUP(JX166,'Dispensed Ink Rates'!C:C,'Dispensed Ink Rates'!CS:CS),VLOOKUP(JX166,'Jan-2026 rates'!$E:$F,2,0)))</f>
        <v>0</v>
      </c>
      <c r="KO166" s="409" t="s">
        <v>1881</v>
      </c>
      <c r="KP166" s="409">
        <v>25</v>
      </c>
      <c r="KQ166" s="411">
        <f t="shared" si="127"/>
        <v>0</v>
      </c>
      <c r="KR166" s="411">
        <f t="shared" si="128"/>
        <v>67.046666666666653</v>
      </c>
      <c r="KS166" s="410">
        <f t="shared" si="129"/>
        <v>0</v>
      </c>
      <c r="KT166" s="409">
        <v>2</v>
      </c>
      <c r="KU166" s="409">
        <v>10</v>
      </c>
      <c r="KV166" s="409">
        <v>5</v>
      </c>
      <c r="KW166" s="409">
        <v>4</v>
      </c>
      <c r="KX166" s="409">
        <v>2</v>
      </c>
      <c r="KY166" s="409">
        <v>2</v>
      </c>
      <c r="KZ166" s="409">
        <v>12</v>
      </c>
      <c r="LA166" s="409">
        <v>20</v>
      </c>
      <c r="LB166" s="415">
        <v>0.3</v>
      </c>
      <c r="LC166" s="415"/>
      <c r="LD166" s="415"/>
      <c r="LE166" s="415">
        <v>0.5</v>
      </c>
      <c r="LF166" s="415">
        <v>0.2</v>
      </c>
      <c r="LG166" s="409">
        <v>0</v>
      </c>
      <c r="LH166" s="409">
        <f>20+20+9+15+6+6</f>
        <v>76</v>
      </c>
      <c r="LI166" s="409">
        <v>0</v>
      </c>
      <c r="LJ166" s="409">
        <v>0</v>
      </c>
      <c r="LK166" s="416">
        <f t="shared" si="61"/>
        <v>76</v>
      </c>
      <c r="LL166" s="416">
        <f t="shared" si="62"/>
        <v>76</v>
      </c>
      <c r="LM166" s="417">
        <f t="shared" si="63"/>
        <v>22.8</v>
      </c>
      <c r="LN166" s="417">
        <f>VLOOKUP($LM$8,'Jan-2026 rates'!$H:$I,2,0)</f>
        <v>0</v>
      </c>
      <c r="LO166" s="417">
        <f t="shared" si="64"/>
        <v>0</v>
      </c>
      <c r="LP166" s="417">
        <f>VLOOKUP($LO$8,'Jan-2026 rates'!$H:$I,2,0)</f>
        <v>0</v>
      </c>
      <c r="LQ166" s="417">
        <f t="shared" si="65"/>
        <v>0</v>
      </c>
      <c r="LR166" s="417">
        <f>VLOOKUP($LQ$8,'Jan-2026 rates'!$H:$I,2,0)</f>
        <v>0</v>
      </c>
      <c r="LS166" s="417">
        <f t="shared" si="66"/>
        <v>38</v>
      </c>
      <c r="LT166" s="417">
        <f>VLOOKUP($LS$8,'Jan-2026 rates'!$H:$I,2,0)</f>
        <v>0</v>
      </c>
      <c r="LU166" s="417">
        <f t="shared" si="67"/>
        <v>15.200000000000001</v>
      </c>
      <c r="LV166" s="417">
        <f>VLOOKUP($LU$8,'Jan-2026 rates'!$H:$I,2,0)</f>
        <v>0</v>
      </c>
      <c r="LW166" s="417">
        <f t="shared" si="68"/>
        <v>0</v>
      </c>
      <c r="LX166" s="417">
        <f t="shared" si="69"/>
        <v>0</v>
      </c>
      <c r="LY166" s="418">
        <f t="shared" si="70"/>
        <v>0</v>
      </c>
      <c r="LZ166" s="417"/>
      <c r="MA166" s="435">
        <f t="shared" si="71"/>
        <v>112.38</v>
      </c>
      <c r="MB166" s="282">
        <f t="shared" si="72"/>
        <v>113.37999999999998</v>
      </c>
      <c r="MC166" s="283" t="s">
        <v>2001</v>
      </c>
      <c r="MD166" s="284" t="str">
        <f t="shared" si="73"/>
        <v>ToyoLiToyoLiToyoLiToyoLiToyoLiToyoLiToyoLiToyoLi</v>
      </c>
      <c r="ME166" s="293" t="str">
        <f t="shared" si="74"/>
        <v>+</v>
      </c>
      <c r="MF166" s="293" t="str">
        <f t="shared" si="75"/>
        <v>+</v>
      </c>
      <c r="MG166" s="293" t="str">
        <f t="shared" si="76"/>
        <v>+</v>
      </c>
      <c r="MH166" s="293" t="str">
        <f t="shared" si="77"/>
        <v>+</v>
      </c>
      <c r="MI166" s="293" t="str">
        <f t="shared" si="78"/>
        <v>+</v>
      </c>
      <c r="MJ166" s="293" t="str">
        <f t="shared" si="79"/>
        <v>+</v>
      </c>
      <c r="MK166" s="293" t="str">
        <f t="shared" si="80"/>
        <v>+</v>
      </c>
      <c r="ML166" s="293" t="str">
        <f t="shared" si="81"/>
        <v>+</v>
      </c>
      <c r="MM166" s="3" t="b">
        <f t="array" ref="MM166">OR(ME166:ML166="-")</f>
        <v>0</v>
      </c>
      <c r="MN166" s="285"/>
      <c r="MO166" s="401"/>
      <c r="MP166" s="286"/>
      <c r="MQ166" s="286"/>
      <c r="MR166" s="402"/>
      <c r="MS166" s="400"/>
      <c r="NH166" s="422"/>
      <c r="NJ166" s="421"/>
    </row>
    <row r="167" spans="1:374" s="1" customFormat="1" ht="16.5">
      <c r="A167" s="403">
        <v>46034</v>
      </c>
      <c r="B167" s="404" t="s">
        <v>1018</v>
      </c>
      <c r="C167" s="405" t="s">
        <v>3554</v>
      </c>
      <c r="D167" s="406" t="s">
        <v>2002</v>
      </c>
      <c r="E167" s="404">
        <v>190</v>
      </c>
      <c r="F167" s="407">
        <v>9600</v>
      </c>
      <c r="G167" s="407" t="s">
        <v>1016</v>
      </c>
      <c r="H167" s="408" t="s">
        <v>1017</v>
      </c>
      <c r="I167" s="409">
        <v>1.88</v>
      </c>
      <c r="J167" s="405" t="s">
        <v>543</v>
      </c>
      <c r="K167" s="404" t="s">
        <v>3555</v>
      </c>
      <c r="L167" s="419" t="str">
        <f t="shared" si="54"/>
        <v>ToyoLi - BLACK</v>
      </c>
      <c r="M167" s="404">
        <v>27</v>
      </c>
      <c r="N167" s="410">
        <f>IF(M167=0,0,IF($LB167=70%,VLOOKUP($L167,'Jan-2026 rates'!$L:$R,4,0),IF($LB167=65%,VLOOKUP($L167,'Jan-2026 rates'!$L:$R,4,0),IF($LB167=40%,VLOOKUP($L167,'Jan-2026 rates'!$L:$R,5,0),IF($LB167=30%,VLOOKUP($L167,'Jan-2026 rates'!$L:$R,6,0),IF($LB167=100%,VLOOKUP($L167,'Jan-2026 rates'!$L:$R,7,0),IF($LB167=60%,VLOOKUP($L167,'Jan-2026 rates'!$L:$S,8,0),IF($LB167=80%,VLOOKUP($L167,'Jan-2026 rates'!L:T,9,0),0))))))))</f>
        <v>0</v>
      </c>
      <c r="O167" s="406"/>
      <c r="P167" s="404"/>
      <c r="Q167" s="410">
        <f>IF(P167=0,0,IF($LB167=70%,VLOOKUP($L167,'Jan-2026 rates'!$L:$R,4,0),IF($LB167=65%,VLOOKUP($L167,'Jan-2026 rates'!$L:$R,4,0),IF($LB167=40%,VLOOKUP($L167,'Jan-2026 rates'!$L:$R,5,0),IF($LB167=30%,VLOOKUP($L167,'Jan-2026 rates'!$L:$R,6,0),IF($LB167=100%,VLOOKUP($L167,'Jan-2026 rates'!$L:$R,7,0),IF($LB167=60%,VLOOKUP($L167,'Jan-2026 rates'!$L:$S,8,0),IF($LB167=80%,VLOOKUP($L167,'Jan-2026 rates'!L:T,9,0),0))))))))</f>
        <v>0</v>
      </c>
      <c r="R167" s="406" t="s">
        <v>1252</v>
      </c>
      <c r="S167" s="406"/>
      <c r="T167" s="406"/>
      <c r="U167" s="406"/>
      <c r="V167" s="406"/>
      <c r="W167" s="406"/>
      <c r="X167" s="406"/>
      <c r="Y167" s="406"/>
      <c r="Z167" s="404">
        <v>2</v>
      </c>
      <c r="AA167" s="398">
        <f>IF(Z167=0,0,IF(LEN(R167)=11,_xlfn.XLOOKUP(R167,'Dispensed Ink Rates'!C:C,'Dispensed Ink Rates'!CS:CS),VLOOKUP(R167,'Jan-2026 rates'!$E:$F,2,0)))</f>
        <v>0</v>
      </c>
      <c r="AB167" s="404"/>
      <c r="AC167" s="398">
        <f>IF(AB167=0,0,IF(LEN(S167)=11,_xlfn.XLOOKUP(S167,'Dispensed Ink Rates'!C:C,'Dispensed Ink Rates'!CS:CS),VLOOKUP(S167,'Jan-2026 rates'!$E:$F,2,0)))</f>
        <v>0</v>
      </c>
      <c r="AD167" s="404"/>
      <c r="AE167" s="398">
        <f>IF(AD167=0,0,IF(LEN(T167)=11,_xlfn.XLOOKUP(T167,'Dispensed Ink Rates'!C:C,'Dispensed Ink Rates'!CS:CS),VLOOKUP(T167,'Jan-2026 rates'!$E:$F,2,0)))</f>
        <v>0</v>
      </c>
      <c r="AF167" s="404"/>
      <c r="AG167" s="398">
        <f>IF(AF167=0,0,IF(LEN(U167)=11,_xlfn.XLOOKUP(U167,'Dispensed Ink Rates'!C:C,'Dispensed Ink Rates'!CS:CS),VLOOKUP(U167,'Jan-2026 rates'!$E:$F,2,0)))</f>
        <v>0</v>
      </c>
      <c r="AH167" s="404"/>
      <c r="AI167" s="398">
        <f>IF(AH167=0,0,IF(LEN(V167)=11,_xlfn.XLOOKUP(V167,'Dispensed Ink Rates'!C:C,'Dispensed Ink Rates'!CS:CS),VLOOKUP(V167,'Jan-2026 rates'!$E:$F,2,0)))</f>
        <v>0</v>
      </c>
      <c r="AJ167" s="404"/>
      <c r="AK167" s="398">
        <f>IF(AJ167=0,0,IF(LEN(W167)=11,_xlfn.XLOOKUP(W167,'Dispensed Ink Rates'!C:C,'Dispensed Ink Rates'!CS:CS),VLOOKUP(W167,'Jan-2026 rates'!$E:$F,2,0)))</f>
        <v>0</v>
      </c>
      <c r="AL167" s="404"/>
      <c r="AM167" s="398">
        <f>IF(AL167=0,0,IF(LEN(X167)=11,_xlfn.XLOOKUP(X167,'Dispensed Ink Rates'!C:C,'Dispensed Ink Rates'!CS:CS),VLOOKUP(X167,'Jan-2026 rates'!$E:$F,2,0)))</f>
        <v>0</v>
      </c>
      <c r="AN167" s="404"/>
      <c r="AO167" s="398">
        <f>IF(AN167=0,0,IF(LEN(Y167)=11,_xlfn.XLOOKUP(Y167,'Dispensed Ink Rates'!C:C,'Dispensed Ink Rates'!CS:CS),VLOOKUP(Y167,'Jan-2026 rates'!$E:$F,2,0)))</f>
        <v>0</v>
      </c>
      <c r="AP167" s="409" t="s">
        <v>1881</v>
      </c>
      <c r="AQ167" s="409">
        <v>29</v>
      </c>
      <c r="AR167" s="410">
        <f t="shared" si="106"/>
        <v>0</v>
      </c>
      <c r="AS167" s="411">
        <f t="shared" si="107"/>
        <v>5.5609756097560989</v>
      </c>
      <c r="AT167" s="410">
        <f t="shared" si="108"/>
        <v>0</v>
      </c>
      <c r="AU167" s="405" t="s">
        <v>828</v>
      </c>
      <c r="AV167" s="409"/>
      <c r="AW167" s="420" t="str">
        <f t="shared" si="130"/>
        <v>ToyoLi - ORANGE</v>
      </c>
      <c r="AX167" s="409"/>
      <c r="AY167" s="411">
        <f>IF(AX167=0,0,IF($LB167=70%,VLOOKUP($AW167,'Jan-2026 rates'!$L:$R,4,0),IF($LB167=65%,VLOOKUP($AW167,'Jan-2026 rates'!$L:$R,4,0),IF($LB167=40%,VLOOKUP($AW167,'Jan-2026 rates'!$L:$R,5,0),IF($LB167=30%,VLOOKUP($AW167,'Jan-2026 rates'!$L:$R,6,0),IF($LB167=100%,VLOOKUP($AW167,'Jan-2026 rates'!$L:$R,7,0),IF($LB167=60%,VLOOKUP($AW167,'Jan-2026 rates'!$L:$S,8,0),IF($LB167=80%,VLOOKUP($AW167,'Jan-2026 rates'!L:T,9,0),0))))))))</f>
        <v>0</v>
      </c>
      <c r="AZ167" s="412"/>
      <c r="BA167" s="409"/>
      <c r="BB167" s="411">
        <f>IF(BA167=0,0,IF($LB167=70%,VLOOKUP($AW167,'Jan-2026 rates'!$L:$R,4,0),IF($LB167=65%,VLOOKUP($AW167,'Jan-2026 rates'!$L:$R,4,0),IF($LB167=40%,VLOOKUP($AW167,'Jan-2026 rates'!$L:$R,5,0),IF($LB167=30%,VLOOKUP($AW167,'Jan-2026 rates'!$L:$R,6,0),IF($LB167=100%,VLOOKUP($AW167,'Jan-2026 rates'!$L:$R,7,0),IF($LB167=60%,VLOOKUP($AW167,'Jan-2026 rates'!$L:$S,8,0),IF($LB167=80%,VLOOKUP($AW167,'Jan-2026 rates'!L:T,9,0),0))))))))</f>
        <v>0</v>
      </c>
      <c r="BC167" s="413" t="s">
        <v>1248</v>
      </c>
      <c r="BD167" s="412" t="s">
        <v>1505</v>
      </c>
      <c r="BE167" s="412"/>
      <c r="BF167" s="413"/>
      <c r="BG167" s="412"/>
      <c r="BH167" s="412"/>
      <c r="BI167" s="412"/>
      <c r="BJ167" s="412"/>
      <c r="BK167" s="409">
        <v>12</v>
      </c>
      <c r="BL167" s="398">
        <f>IF(BK167=0,0,IF(LEN(BC167)=11,_xlfn.XLOOKUP(BC167,'Dispensed Ink Rates'!C:C,'Dispensed Ink Rates'!CS:CS),VLOOKUP(BC167,'Jan-2026 rates'!$E:$F,2,0)))</f>
        <v>0</v>
      </c>
      <c r="BM167" s="409">
        <v>4</v>
      </c>
      <c r="BN167" s="398">
        <f>IF(BM167=0,0,IF(LEN(BD167)=11,_xlfn.XLOOKUP(BD167,'Dispensed Ink Rates'!C:C,'Dispensed Ink Rates'!CS:CS),VLOOKUP(BD167,'Jan-2026 rates'!$E:$F,2,0)))</f>
        <v>0</v>
      </c>
      <c r="BO167" s="409"/>
      <c r="BP167" s="398">
        <f>IF(BO167=0,0,IF(LEN(BE167)=11,_xlfn.XLOOKUP(BE167,'Dispensed Ink Rates'!C:C,'Dispensed Ink Rates'!CS:CS),VLOOKUP(BE167,'Jan-2026 rates'!$E:$F,2,0)))</f>
        <v>0</v>
      </c>
      <c r="BQ167" s="409"/>
      <c r="BR167" s="398">
        <f>IF(BQ167=0,0,IF(LEN(BF167)=11,_xlfn.XLOOKUP(BF167,'Dispensed Ink Rates'!C:C,'Dispensed Ink Rates'!CS:CS),VLOOKUP(BF167,'Jan-2026 rates'!$E:$F,2,0)))</f>
        <v>0</v>
      </c>
      <c r="BS167" s="409"/>
      <c r="BT167" s="398">
        <f>IF(BS167=0,0,IF(LEN(BG167)=11,_xlfn.XLOOKUP(BG167,'Dispensed Ink Rates'!C:C,'Dispensed Ink Rates'!CS:CS),VLOOKUP(BG167,'Jan-2026 rates'!$E:$F,2,0)))</f>
        <v>0</v>
      </c>
      <c r="BU167" s="409"/>
      <c r="BV167" s="398">
        <f>IF(BU167=0,0,IF(LEN(BH167)=11,_xlfn.XLOOKUP(BH167,'Dispensed Ink Rates'!C:C,'Dispensed Ink Rates'!CS:CS),VLOOKUP(BH167,'Jan-2026 rates'!$E:$F,2,0)))</f>
        <v>0</v>
      </c>
      <c r="BW167" s="409"/>
      <c r="BX167" s="398">
        <f>IF(BW167=0,0,IF(LEN(BI167)=11,_xlfn.XLOOKUP(BI167,'Dispensed Ink Rates'!C:C,'Dispensed Ink Rates'!CS:CS),VLOOKUP(BI167,'Jan-2026 rates'!$E:$F,2,0)))</f>
        <v>0</v>
      </c>
      <c r="BY167" s="409"/>
      <c r="BZ167" s="398">
        <f>IF(BY167=0,0,IF(LEN(BJ167)=11,_xlfn.XLOOKUP(BJ167,'Dispensed Ink Rates'!C:C,'Dispensed Ink Rates'!CS:CS),VLOOKUP(BJ167,'Jan-2026 rates'!$E:$F,2,0)))</f>
        <v>0</v>
      </c>
      <c r="CA167" s="409" t="s">
        <v>1881</v>
      </c>
      <c r="CB167" s="409">
        <v>20</v>
      </c>
      <c r="CC167" s="411">
        <f t="shared" si="109"/>
        <v>0</v>
      </c>
      <c r="CD167" s="411">
        <f t="shared" si="110"/>
        <v>7.1219512195121943</v>
      </c>
      <c r="CE167" s="410">
        <f t="shared" si="111"/>
        <v>0</v>
      </c>
      <c r="CF167" s="404" t="s">
        <v>857</v>
      </c>
      <c r="CG167" s="409" t="s">
        <v>3556</v>
      </c>
      <c r="CH167" s="420" t="str">
        <f t="shared" si="55"/>
        <v>ToyoLi - RED</v>
      </c>
      <c r="CI167" s="409">
        <v>25</v>
      </c>
      <c r="CJ167" s="411">
        <f>IF(CI167=0,0,IF($LB167=70%,VLOOKUP($CH167,'Jan-2026 rates'!$L:$R,4,0),IF($LB167=65%,VLOOKUP($CH167,'Jan-2026 rates'!$L:$R,4,0),IF($LB167=40%,VLOOKUP($CH167,'Jan-2026 rates'!$L:$R,5,0),IF($LB167=30%,VLOOKUP($CH167,'Jan-2026 rates'!$L:$R,6,0),IF($LB167=100%,VLOOKUP($CH167,'Jan-2026 rates'!$L:$R,7,0),IF($LB167=60%,VLOOKUP($CH167,'Jan-2026 rates'!$L:$S,8,0),IF($LB167=80%,VLOOKUP($CH167,'Jan-2026 rates'!L:T,9,0),0))))))))</f>
        <v>0</v>
      </c>
      <c r="CK167" s="412"/>
      <c r="CL167" s="409"/>
      <c r="CM167" s="411">
        <f>IF(CL167=0,0,IF($LB167=70%,VLOOKUP($CH167,'Jan-2026 rates'!$L:$R,4,0),IF($LB167=65%,VLOOKUP($CH167,'Jan-2026 rates'!$L:$R,4,0),IF($LB167=40%,VLOOKUP($CH167,'Jan-2026 rates'!$L:$R,5,0),IF($LB167=30%,VLOOKUP($CH167,'Jan-2026 rates'!$L:$R,6,0),IF($LB167=100%,VLOOKUP($CH167,'Jan-2026 rates'!$L:$R,7,0),IF($LB167=60%,VLOOKUP($CH167,'Jan-2026 rates'!$L:$S,8,0),IF($LB167=80%,VLOOKUP($CH167,'Jan-2026 rates'!L:T,9,0),0))))))))</f>
        <v>0</v>
      </c>
      <c r="CN167" s="426"/>
      <c r="CO167" s="427"/>
      <c r="CP167" s="426"/>
      <c r="CQ167" s="426"/>
      <c r="CR167" s="428"/>
      <c r="CS167" s="428"/>
      <c r="CT167" s="428"/>
      <c r="CU167" s="428"/>
      <c r="CV167" s="409"/>
      <c r="CW167" s="398">
        <f>IF(CV167=0,0,IF(LEN(CN167)=11,_xlfn.XLOOKUP(CN167,'Dispensed Ink Rates'!C:C,'Dispensed Ink Rates'!CS:CS),VLOOKUP(CN167,'Jan-2026 rates'!$E:$F,2,0)))</f>
        <v>0</v>
      </c>
      <c r="CX167" s="409"/>
      <c r="CY167" s="398">
        <f>IF(CX167=0,0,IF(LEN(CO167)=11,_xlfn.XLOOKUP(CO167,'Dispensed Ink Rates'!C:C,'Dispensed Ink Rates'!CS:CS),VLOOKUP(CO167,'Jan-2026 rates'!$E:$F,2,0)))</f>
        <v>0</v>
      </c>
      <c r="CZ167" s="409"/>
      <c r="DA167" s="398">
        <f>IF(CZ167=0,0,IF(LEN(CP167)=11,_xlfn.XLOOKUP(CP167,'Dispensed Ink Rates'!C:C,'Dispensed Ink Rates'!CS:CS),VLOOKUP(CP167,'Jan-2026 rates'!$E:$F,2,0)))</f>
        <v>0</v>
      </c>
      <c r="DB167" s="409"/>
      <c r="DC167" s="398">
        <f>IF(DB167=0,0,IF(LEN(CQ167)=11,_xlfn.XLOOKUP(CQ167,'Dispensed Ink Rates'!C:C,'Dispensed Ink Rates'!CS:CS),VLOOKUP(CQ167,'Jan-2026 rates'!$E:$F,2,0)))</f>
        <v>0</v>
      </c>
      <c r="DD167" s="409"/>
      <c r="DE167" s="398">
        <f>IF(DD167=0,0,IF(LEN(CR167)=11,_xlfn.XLOOKUP(CR167,'Dispensed Ink Rates'!C:C,'Dispensed Ink Rates'!CS:CS),VLOOKUP(CR167,'Jan-2026 rates'!$E:$F,2,0)))</f>
        <v>0</v>
      </c>
      <c r="DF167" s="409"/>
      <c r="DG167" s="398">
        <f>IF(DF167=0,0,IF(LEN(CS167)=11,_xlfn.XLOOKUP(CS167,'Dispensed Ink Rates'!C:C,'Dispensed Ink Rates'!CS:CS),VLOOKUP(CS167,'Jan-2026 rates'!$E:$F,2,0)))</f>
        <v>0</v>
      </c>
      <c r="DH167" s="409"/>
      <c r="DI167" s="398">
        <f>IF(DH167=0,0,IF(LEN(CT167)=11,_xlfn.XLOOKUP(CT167,'Dispensed Ink Rates'!C:C,'Dispensed Ink Rates'!CS:CS),VLOOKUP(CT167,'Jan-2026 rates'!$E:$F,2,0)))</f>
        <v>0</v>
      </c>
      <c r="DJ167" s="409"/>
      <c r="DK167" s="398">
        <f>IF(DJ167=0,0,IF(LEN(CU167)=11,_xlfn.XLOOKUP(CU167,'Dispensed Ink Rates'!C:C,'Dispensed Ink Rates'!CS:CS),VLOOKUP(CU167,'Jan-2026 rates'!$E:$F,2,0)))</f>
        <v>0</v>
      </c>
      <c r="DL167" s="409" t="s">
        <v>1881</v>
      </c>
      <c r="DM167" s="409">
        <v>22</v>
      </c>
      <c r="DN167" s="411">
        <f t="shared" si="112"/>
        <v>0</v>
      </c>
      <c r="DO167" s="411">
        <f t="shared" si="113"/>
        <v>6.7073170731707314</v>
      </c>
      <c r="DP167" s="410">
        <f t="shared" si="114"/>
        <v>0</v>
      </c>
      <c r="DQ167" s="405" t="s">
        <v>546</v>
      </c>
      <c r="DR167" s="409" t="s">
        <v>3555</v>
      </c>
      <c r="DS167" s="420" t="str">
        <f t="shared" si="56"/>
        <v>ToyoLi - REFLEX BLUE</v>
      </c>
      <c r="DT167" s="409">
        <v>28</v>
      </c>
      <c r="DU167" s="411">
        <f>IF(DT167=0,0,IF($LB167=70%,VLOOKUP($DS167,'Jan-2026 rates'!$L:$R,4,0),IF($LB167=65%,VLOOKUP($DS167,'Jan-2026 rates'!$L:$R,4,0),IF($LB167=40%,VLOOKUP($DS167,'Jan-2026 rates'!$L:$R,5,0),IF($LB167=30%,VLOOKUP($DS167,'Jan-2026 rates'!$L:$R,6,0),IF($LB167=100%,VLOOKUP($DS167,'Jan-2026 rates'!$L:$R,7,0),IF($LB167=60%,VLOOKUP($DS167,'Jan-2026 rates'!$L:$S,8,0),IF($LB167=80%,VLOOKUP($DS167,'Jan-2026 rates'!L:T,9,0),0))))))))</f>
        <v>0</v>
      </c>
      <c r="DV167" s="412"/>
      <c r="DW167" s="409"/>
      <c r="DX167" s="411">
        <f>IF(DW167=0,0,IF($LB167=70%,VLOOKUP($DS167,'Jan-2026 rates'!$L:$R,4,0),IF($LB167=65%,VLOOKUP($DS167,'Jan-2026 rates'!$L:$R,4,0),IF($LB167=40%,VLOOKUP($DS167,'Jan-2026 rates'!$L:$R,5,0),IF($LB167=30%,VLOOKUP($DS167,'Jan-2026 rates'!$L:$R,6,0),IF($LB167=100%,VLOOKUP($DS167,'Jan-2026 rates'!$L:$R,7,0),IF($LB167=60%,VLOOKUP($DS167,'Jan-2026 rates'!$L:$S,8,0),IF($LB167=80%,VLOOKUP($DS167,'Jan-2026 rates'!L:T,9,0),0))))))))</f>
        <v>0</v>
      </c>
      <c r="DY167" s="413"/>
      <c r="DZ167" s="413"/>
      <c r="EA167" s="412"/>
      <c r="EB167" s="412"/>
      <c r="EC167" s="412"/>
      <c r="ED167" s="412"/>
      <c r="EE167" s="412"/>
      <c r="EF167" s="412"/>
      <c r="EG167" s="409"/>
      <c r="EH167" s="398">
        <f>IF(EG167=0,0,IF(LEN(DY167)=11,_xlfn.XLOOKUP(DY167,'Dispensed Ink Rates'!C:C,'Dispensed Ink Rates'!CS:CS),VLOOKUP(DY167,'Jan-2026 rates'!$E:$F,2,0)))</f>
        <v>0</v>
      </c>
      <c r="EI167" s="409"/>
      <c r="EJ167" s="398">
        <f>IF(EI167=0,0,IF(LEN(DZ167)=11,_xlfn.XLOOKUP(DZ167,'Dispensed Ink Rates'!C:C,'Dispensed Ink Rates'!CS:CS),VLOOKUP(DZ167,'Jan-2026 rates'!$E:$F,2,0)))</f>
        <v>0</v>
      </c>
      <c r="EK167" s="409"/>
      <c r="EL167" s="398">
        <f>IF(EK167=0,0,IF(LEN(EA167)=11,_xlfn.XLOOKUP(EA167,'Dispensed Ink Rates'!C:C,'Dispensed Ink Rates'!CS:CS),VLOOKUP(EA167,'Jan-2026 rates'!$E:$F,2,0)))</f>
        <v>0</v>
      </c>
      <c r="EM167" s="409"/>
      <c r="EN167" s="398">
        <f>IF(EM167=0,0,IF(LEN(EB167)=11,_xlfn.XLOOKUP(EB167,'Dispensed Ink Rates'!C:C,'Dispensed Ink Rates'!CS:CS),VLOOKUP(EB167,'Jan-2026 rates'!$E:$F,2,0)))</f>
        <v>0</v>
      </c>
      <c r="EO167" s="409"/>
      <c r="EP167" s="398">
        <f>IF(EO167=0,0,IF(LEN(EC167)=11,_xlfn.XLOOKUP(EC167,'Dispensed Ink Rates'!C:C,'Dispensed Ink Rates'!CS:CS),VLOOKUP(EC167,'Jan-2026 rates'!$E:$F,2,0)))</f>
        <v>0</v>
      </c>
      <c r="EQ167" s="409"/>
      <c r="ER167" s="398">
        <f>IF(EQ167=0,0,IF(LEN(ED167)=11,_xlfn.XLOOKUP(ED167,'Dispensed Ink Rates'!C:C,'Dispensed Ink Rates'!CS:CS),VLOOKUP(ED167,'Jan-2026 rates'!$E:$F,2,0)))</f>
        <v>0</v>
      </c>
      <c r="ES167" s="409"/>
      <c r="ET167" s="398">
        <f>IF(ES167=0,0,IF(LEN(EE167)=11,_xlfn.XLOOKUP(EE167,'Dispensed Ink Rates'!C:C,'Dispensed Ink Rates'!CS:CS),VLOOKUP(EE167,'Jan-2026 rates'!$E:$F,2,0)))</f>
        <v>0</v>
      </c>
      <c r="EU167" s="409"/>
      <c r="EV167" s="398">
        <f>IF(EU167=0,0,IF(LEN(EF167)=11,_xlfn.XLOOKUP(EF167,'Dispensed Ink Rates'!C:C,'Dispensed Ink Rates'!CS:CS),VLOOKUP(EF167,'Jan-2026 rates'!$E:$F,2,0)))</f>
        <v>0</v>
      </c>
      <c r="EW167" s="409" t="s">
        <v>1881</v>
      </c>
      <c r="EX167" s="409">
        <v>26</v>
      </c>
      <c r="EY167" s="411">
        <f t="shared" si="115"/>
        <v>0</v>
      </c>
      <c r="EZ167" s="411">
        <f t="shared" si="116"/>
        <v>5.7073170731707314</v>
      </c>
      <c r="FA167" s="410">
        <f t="shared" si="117"/>
        <v>0</v>
      </c>
      <c r="FB167" s="405" t="s">
        <v>855</v>
      </c>
      <c r="FC167" s="409" t="s">
        <v>3557</v>
      </c>
      <c r="FD167" s="420" t="str">
        <f t="shared" si="57"/>
        <v>ToyoLi - CYAN</v>
      </c>
      <c r="FE167" s="409">
        <v>27</v>
      </c>
      <c r="FF167" s="411">
        <f>IF(FE167=0,0,IF($LB167=70%,VLOOKUP($FD167,'Jan-2026 rates'!$L:$R,4,0),IF($LB167=65%,VLOOKUP($FD167,'Jan-2026 rates'!$L:$R,4,0),IF($LB167=40%,VLOOKUP($FD167,'Jan-2026 rates'!$L:$R,5,0),IF($LB167=30%,VLOOKUP($FD167,'Jan-2026 rates'!$L:$R,6,0),IF($LB167=100%,VLOOKUP($FD167,'Jan-2026 rates'!$L:$R,7,0),IF($LB167=60%,VLOOKUP($FD167,'Jan-2026 rates'!$L:$S,8,0),IF($LB167=80%,VLOOKUP($FD167,'Jan-2026 rates'!L:T,9,0),0))))))))</f>
        <v>0</v>
      </c>
      <c r="FG167" s="412"/>
      <c r="FH167" s="409"/>
      <c r="FI167" s="411">
        <f>IF(FH167=0,0,IF($LB167=70%,VLOOKUP($FD167,'Jan-2026 rates'!$L:$R,4,0),IF($LB167=65%,VLOOKUP($FD167,'Jan-2026 rates'!$L:$R,4,0),IF($LB167=40%,VLOOKUP($FD167,'Jan-2026 rates'!$L:$R,5,0),IF($LB167=30%,VLOOKUP($FD167,'Jan-2026 rates'!$L:$R,6,0),IF($LB167=100%,VLOOKUP($FD167,'Jan-2026 rates'!$L:$R,7,0),IF($LB167=60%,VLOOKUP($FD167,'Jan-2026 rates'!$L:$S,8,0),IF($LB167=80%,VLOOKUP($FD167,'Jan-2026 rates'!L:T,9,0),0))))))))</f>
        <v>0</v>
      </c>
      <c r="FJ167" s="413" t="s">
        <v>1250</v>
      </c>
      <c r="FK167" s="413"/>
      <c r="FL167" s="413"/>
      <c r="FM167" s="412"/>
      <c r="FN167" s="412"/>
      <c r="FO167" s="412"/>
      <c r="FP167" s="412"/>
      <c r="FQ167" s="412"/>
      <c r="FR167" s="409">
        <v>5</v>
      </c>
      <c r="FS167" s="398">
        <f>IF(FR167=0,0,IF(LEN(FJ167)=11,_xlfn.XLOOKUP(FJ167,'Dispensed Ink Rates'!C:C,'Dispensed Ink Rates'!CS:CS),VLOOKUP(FJ167,'Jan-2026 rates'!$E:$F,2,0)))</f>
        <v>0</v>
      </c>
      <c r="FT167" s="409"/>
      <c r="FU167" s="398">
        <f>IF(FT167=0,0,IF(LEN(FK167)=11,_xlfn.XLOOKUP(FK167,'Dispensed Ink Rates'!C:C,'Dispensed Ink Rates'!CS:CS),VLOOKUP(FK167,'Jan-2026 rates'!$E:$F,2,0)))</f>
        <v>0</v>
      </c>
      <c r="FV167" s="409"/>
      <c r="FW167" s="398">
        <f>IF(FV167=0,0,IF(LEN(FL167)=11,_xlfn.XLOOKUP(FL167,'Dispensed Ink Rates'!C:C,'Dispensed Ink Rates'!CS:CS),VLOOKUP(FL167,'Jan-2026 rates'!$E:$F,2,0)))</f>
        <v>0</v>
      </c>
      <c r="FX167" s="409"/>
      <c r="FY167" s="398">
        <f>IF(FX167=0,0,IF(LEN(FM167)=11,_xlfn.XLOOKUP(FM167,'Dispensed Ink Rates'!C:C,'Dispensed Ink Rates'!CS:CS),VLOOKUP(FM167,'Jan-2026 rates'!$E:$F,2,0)))</f>
        <v>0</v>
      </c>
      <c r="FZ167" s="409"/>
      <c r="GA167" s="398">
        <f>IF(FZ167=0,0,IF(LEN(FN167)=11,_xlfn.XLOOKUP(FN167,'Dispensed Ink Rates'!C:C,'Dispensed Ink Rates'!CS:CS),VLOOKUP(FN167,'Jan-2026 rates'!$E:$F,2,0)))</f>
        <v>0</v>
      </c>
      <c r="GB167" s="409"/>
      <c r="GC167" s="398">
        <f>IF(GB167=0,0,IF(LEN(FO167)=11,_xlfn.XLOOKUP(FO167,'Dispensed Ink Rates'!C:C,'Dispensed Ink Rates'!CS:CS),VLOOKUP(FO167,'Jan-2026 rates'!$E:$F,2,0)))</f>
        <v>0</v>
      </c>
      <c r="GD167" s="409"/>
      <c r="GE167" s="398">
        <f>IF(GD167=0,0,IF(LEN(FP167)=11,_xlfn.XLOOKUP(FP167,'Dispensed Ink Rates'!C:C,'Dispensed Ink Rates'!CS:CS),VLOOKUP(FP167,'Jan-2026 rates'!$E:$F,2,0)))</f>
        <v>0</v>
      </c>
      <c r="GF167" s="409"/>
      <c r="GG167" s="398">
        <f>IF(GF167=0,0,IF(LEN(FQ167)=11,_xlfn.XLOOKUP(FQ167,'Dispensed Ink Rates'!C:C,'Dispensed Ink Rates'!CS:CS),VLOOKUP(FQ167,'Jan-2026 rates'!$E:$F,2,0)))</f>
        <v>0</v>
      </c>
      <c r="GH167" s="409" t="s">
        <v>1881</v>
      </c>
      <c r="GI167" s="409">
        <v>26</v>
      </c>
      <c r="GJ167" s="411">
        <f t="shared" si="118"/>
        <v>0</v>
      </c>
      <c r="GK167" s="411">
        <f t="shared" si="119"/>
        <v>13.414634146341463</v>
      </c>
      <c r="GL167" s="410">
        <f t="shared" si="120"/>
        <v>0</v>
      </c>
      <c r="GM167" s="405" t="s">
        <v>544</v>
      </c>
      <c r="GN167" s="409" t="s">
        <v>3558</v>
      </c>
      <c r="GO167" s="420" t="str">
        <f t="shared" si="58"/>
        <v>ToyoLi - MAGENTA</v>
      </c>
      <c r="GP167" s="409">
        <v>28</v>
      </c>
      <c r="GQ167" s="411">
        <f>IF(GP167=0,0,IF($LB167=70%,VLOOKUP($GO167,'Jan-2026 rates'!$L:$R,4,0),IF($LB167=65%,VLOOKUP($GO167,'Jan-2026 rates'!$L:$R,4,0),IF($LB167=40%,VLOOKUP($GO167,'Jan-2026 rates'!$L:$R,5,0),IF($LB167=30%,VLOOKUP($GO167,'Jan-2026 rates'!$L:$R,6,0),IF($LB167=100%,VLOOKUP($GO167,'Jan-2026 rates'!$L:$R,7,0),IF($LB167=60%,VLOOKUP($GO167,'Jan-2026 rates'!$L:$S,8,0),IF($LB167=80%,VLOOKUP($GO167,'Jan-2026 rates'!L:T,9,0),0))))))))</f>
        <v>0</v>
      </c>
      <c r="GR167" s="412"/>
      <c r="GS167" s="409"/>
      <c r="GT167" s="411">
        <f>IF(GS167=0,0,IF($LB167=70%,VLOOKUP($GO167,'Jan-2026 rates'!$L:$R,4,0),IF($LB167=65%,VLOOKUP($GO167,'Jan-2026 rates'!$L:$R,4,0),IF($LB167=40%,VLOOKUP($GO167,'Jan-2026 rates'!$L:$R,5,0),IF($LB167=30%,VLOOKUP($GO167,'Jan-2026 rates'!$L:$R,6,0),IF($LB167=100%,VLOOKUP($GO167,'Jan-2026 rates'!$L:$R,7,0),IF($LB167=60%,VLOOKUP($GO167,'Jan-2026 rates'!$L:$S,8,0),IF($LB167=80%,VLOOKUP($GO167,'Jan-2026 rates'!L:T,9,0),0))))))))</f>
        <v>0</v>
      </c>
      <c r="GU167" s="413" t="s">
        <v>1246</v>
      </c>
      <c r="GV167" s="413"/>
      <c r="GW167" s="412"/>
      <c r="GX167" s="412"/>
      <c r="GY167" s="412"/>
      <c r="GZ167" s="412"/>
      <c r="HA167" s="412"/>
      <c r="HB167" s="412"/>
      <c r="HC167" s="409">
        <v>2</v>
      </c>
      <c r="HD167" s="398">
        <f>IF(HC167=0,0,IF(LEN(GU167)=11,_xlfn.XLOOKUP(GU167,'Dispensed Ink Rates'!C:C,'Dispensed Ink Rates'!CS:CS),VLOOKUP(GU167,'Jan-2026 rates'!$E:$F,2,0)))</f>
        <v>0</v>
      </c>
      <c r="HE167" s="409"/>
      <c r="HF167" s="398">
        <f>IF(HE167=0,0,IF(LEN(GV167)=11,_xlfn.XLOOKUP(GV167,'Dispensed Ink Rates'!C:C,'Dispensed Ink Rates'!CS:CS),VLOOKUP(GV167,'Jan-2026 rates'!$E:$F,2,0)))</f>
        <v>0</v>
      </c>
      <c r="HG167" s="409"/>
      <c r="HH167" s="398">
        <f>IF(HG167=0,0,IF(LEN(GW167)=11,_xlfn.XLOOKUP(GW167,'Dispensed Ink Rates'!C:C,'Dispensed Ink Rates'!CS:CS),VLOOKUP(GW167,'Jan-2026 rates'!$E:$F,2,0)))</f>
        <v>0</v>
      </c>
      <c r="HI167" s="409"/>
      <c r="HJ167" s="398">
        <f>IF(HI167=0,0,IF(LEN(GX167)=11,_xlfn.XLOOKUP(GX167,'Dispensed Ink Rates'!C:C,'Dispensed Ink Rates'!CS:CS),VLOOKUP(GX167,'Jan-2026 rates'!$E:$F,2,0)))</f>
        <v>0</v>
      </c>
      <c r="HK167" s="409"/>
      <c r="HL167" s="398">
        <f>IF(HK167=0,0,IF(LEN(GY167)=11,_xlfn.XLOOKUP(GY167,'Dispensed Ink Rates'!C:C,'Dispensed Ink Rates'!CS:CS),VLOOKUP(GY167,'Jan-2026 rates'!$E:$F,2,0)))</f>
        <v>0</v>
      </c>
      <c r="HM167" s="409"/>
      <c r="HN167" s="398">
        <f>IF(HM167=0,0,IF(LEN(GZ167)=11,_xlfn.XLOOKUP(GZ167,'Dispensed Ink Rates'!C:C,'Dispensed Ink Rates'!CS:CS),VLOOKUP(GZ167,'Jan-2026 rates'!$E:$F,2,0)))</f>
        <v>0</v>
      </c>
      <c r="HO167" s="409"/>
      <c r="HP167" s="398">
        <f>IF(HO167=0,0,IF(LEN(HA167)=11,_xlfn.XLOOKUP(HA167,'Dispensed Ink Rates'!C:C,'Dispensed Ink Rates'!CS:CS),VLOOKUP(HA167,'Jan-2026 rates'!$E:$F,2,0)))</f>
        <v>0</v>
      </c>
      <c r="HQ167" s="409"/>
      <c r="HR167" s="398">
        <f>IF(HQ167=0,0,IF(LEN(HB167)=11,_xlfn.XLOOKUP(HB167,'Dispensed Ink Rates'!C:C,'Dispensed Ink Rates'!CS:CS),VLOOKUP(HB167,'Jan-2026 rates'!$E:$F,2,0)))</f>
        <v>0</v>
      </c>
      <c r="HS167" s="409" t="s">
        <v>1881</v>
      </c>
      <c r="HT167" s="409">
        <v>26</v>
      </c>
      <c r="HU167" s="411">
        <f t="shared" si="121"/>
        <v>0</v>
      </c>
      <c r="HV167" s="411">
        <f t="shared" si="122"/>
        <v>7.707317073170735</v>
      </c>
      <c r="HW167" s="414">
        <f t="shared" si="123"/>
        <v>0</v>
      </c>
      <c r="HX167" s="405" t="s">
        <v>545</v>
      </c>
      <c r="HY167" s="409" t="s">
        <v>3559</v>
      </c>
      <c r="HZ167" s="420" t="str">
        <f t="shared" si="59"/>
        <v>ToyoLi - YELLOW</v>
      </c>
      <c r="IA167" s="409">
        <v>29</v>
      </c>
      <c r="IB167" s="411">
        <f>IF(IA167=0,0,IF($LB167=70%,VLOOKUP($HZ167,'Jan-2026 rates'!$L:$R,4,0),IF($LB167=65%,VLOOKUP($HZ167,'Jan-2026 rates'!$L:$R,4,0),IF($LB167=40%,VLOOKUP($HZ167,'Jan-2026 rates'!$L:$R,5,0),IF($LB167=30%,VLOOKUP($HZ167,'Jan-2026 rates'!$L:$R,6,0),IF($LB167=100%,VLOOKUP($HZ167,'Jan-2026 rates'!$L:$R,7,0),IF($LB167=60%,VLOOKUP($HZ167,'Jan-2026 rates'!$L:$S,8,0),IF($LB167=80%,VLOOKUP($HZ167,'Jan-2026 rates'!L:T,9,0),0))))))))</f>
        <v>0</v>
      </c>
      <c r="IC167" s="412"/>
      <c r="ID167" s="409"/>
      <c r="IE167" s="411">
        <f>IF(ID167=0,0,IF($LB167=70%,VLOOKUP($HZ167,'Jan-2026 rates'!$L:$R,4,0),IF($LB167=65%,VLOOKUP($HZ167,'Jan-2026 rates'!$L:$R,4,0),IF($LB167=40%,VLOOKUP($HZ167,'Jan-2026 rates'!$L:$R,5,0),IF($LB167=30%,VLOOKUP($HZ167,'Jan-2026 rates'!$L:$R,6,0),IF($LB167=100%,VLOOKUP($HZ167,'Jan-2026 rates'!$L:$R,7,0),IF($LB167=60%,VLOOKUP($HZ167,'Jan-2026 rates'!$L:$S,8,0),IF($LB167=80%,VLOOKUP($HZ167,'Jan-2026 rates'!L:T,9,0),0))))))))</f>
        <v>0</v>
      </c>
      <c r="IF167" s="412" t="s">
        <v>1247</v>
      </c>
      <c r="IG167" s="413"/>
      <c r="IH167" s="412"/>
      <c r="II167" s="412"/>
      <c r="IJ167" s="412"/>
      <c r="IK167" s="412"/>
      <c r="IL167" s="412"/>
      <c r="IM167" s="412"/>
      <c r="IN167" s="409">
        <v>3</v>
      </c>
      <c r="IO167" s="398">
        <f>IF(IN167=0,0,IF(LEN(IF167)=11,_xlfn.XLOOKUP(IF167,'Dispensed Ink Rates'!C:C,'Dispensed Ink Rates'!CS:CS),VLOOKUP(IF167,'Jan-2026 rates'!$E:$F,2,0)))</f>
        <v>0</v>
      </c>
      <c r="IP167" s="409"/>
      <c r="IQ167" s="398">
        <f>IF(IP167=0,0,IF(LEN(IG167)=11,_xlfn.XLOOKUP(IG167,'Dispensed Ink Rates'!C:C,'Dispensed Ink Rates'!CS:CS),VLOOKUP(IG167,'Jan-2026 rates'!$E:$F,2,0)))</f>
        <v>0</v>
      </c>
      <c r="IR167" s="409"/>
      <c r="IS167" s="398">
        <f>IF(IR167=0,0,IF(LEN(IH167)=11,_xlfn.XLOOKUP(IH167,'Dispensed Ink Rates'!C:C,'Dispensed Ink Rates'!CS:CS),VLOOKUP(IH167,'Jan-2026 rates'!$E:$F,2,0)))</f>
        <v>0</v>
      </c>
      <c r="IT167" s="409"/>
      <c r="IU167" s="398">
        <f>IF(IT167=0,0,IF(LEN(II167)=11,_xlfn.XLOOKUP(II167,'Dispensed Ink Rates'!C:C,'Dispensed Ink Rates'!CS:CS),VLOOKUP(II167,'Jan-2026 rates'!$E:$F,2,0)))</f>
        <v>0</v>
      </c>
      <c r="IV167" s="409"/>
      <c r="IW167" s="398">
        <f>IF(IV167=0,0,IF(LEN(IJ167)=11,_xlfn.XLOOKUP(IJ167,'Dispensed Ink Rates'!C:C,'Dispensed Ink Rates'!CS:CS),VLOOKUP(IJ167,'Jan-2026 rates'!$E:$F,2,0)))</f>
        <v>0</v>
      </c>
      <c r="IX167" s="409"/>
      <c r="IY167" s="398">
        <f>IF(IX167=0,0,IF(LEN(IK167)=11,_xlfn.XLOOKUP(IK167,'Dispensed Ink Rates'!C:C,'Dispensed Ink Rates'!CS:CS),VLOOKUP(IK167,'Jan-2026 rates'!$E:$F,2,0)))</f>
        <v>0</v>
      </c>
      <c r="IZ167" s="409"/>
      <c r="JA167" s="398">
        <f>IF(IZ167=0,0,IF(LEN(IL167)=11,_xlfn.XLOOKUP(IL167,'Dispensed Ink Rates'!C:C,'Dispensed Ink Rates'!CS:CS),VLOOKUP(IL167,'Jan-2026 rates'!$E:$F,2,0)))</f>
        <v>0</v>
      </c>
      <c r="JB167" s="409"/>
      <c r="JC167" s="398">
        <f>IF(JB167=0,0,IF(LEN(IM167)=11,_xlfn.XLOOKUP(IM167,'Dispensed Ink Rates'!C:C,'Dispensed Ink Rates'!CS:CS),VLOOKUP(IM167,'Jan-2026 rates'!$E:$F,2,0)))</f>
        <v>0</v>
      </c>
      <c r="JD167" s="409" t="s">
        <v>1881</v>
      </c>
      <c r="JE167" s="409">
        <v>28</v>
      </c>
      <c r="JF167" s="411">
        <f t="shared" si="124"/>
        <v>0</v>
      </c>
      <c r="JG167" s="411">
        <f t="shared" si="125"/>
        <v>7.707317073170735</v>
      </c>
      <c r="JH167" s="410">
        <f t="shared" si="126"/>
        <v>0</v>
      </c>
      <c r="JI167" s="405" t="s">
        <v>856</v>
      </c>
      <c r="JJ167" s="409" t="s">
        <v>3560</v>
      </c>
      <c r="JK167" s="420" t="str">
        <f t="shared" si="60"/>
        <v>ToyoLi - WHITE</v>
      </c>
      <c r="JL167" s="409">
        <v>25</v>
      </c>
      <c r="JM167" s="411">
        <f>IF(JL167=0,0,IF($LB167=70%,VLOOKUP($JK167,'Jan-2026 rates'!$L:$R,4,0),IF($LB167=65%,VLOOKUP($JK167,'Jan-2026 rates'!$L:$R,4,0),IF($LB167=40%,VLOOKUP($JK167,'Jan-2026 rates'!$L:$R,5,0),IF($LB167=30%,VLOOKUP($JK167,'Jan-2026 rates'!$L:$R,6,0),IF($LB167=100%,VLOOKUP($JK167,'Jan-2026 rates'!$L:$R,7,0),IF($LB167=60%,VLOOKUP($JK167,'Jan-2026 rates'!$L:$S,8,0),IF($LB167=80%,VLOOKUP($JK167,'Jan-2026 rates'!L:T,9,0),0))))))))</f>
        <v>0</v>
      </c>
      <c r="JN167" s="412"/>
      <c r="JO167" s="409"/>
      <c r="JP167" s="411">
        <f>IF(JO167=0,0,IF($LB167=70%,VLOOKUP($JK167,'Jan-2026 rates'!$L:$R,4,0),IF($LB167=65%,VLOOKUP($JK167,'Jan-2026 rates'!$L:$R,4,0),IF($LB167=40%,VLOOKUP($JK167,'Jan-2026 rates'!$L:$R,5,0),IF($LB167=30%,VLOOKUP($JK167,'Jan-2026 rates'!$L:$R,6,0),IF($LB167=100%,VLOOKUP($JK167,'Jan-2026 rates'!$L:$R,7,0),IF($LB167=60%,VLOOKUP($JK167,'Jan-2026 rates'!$L:$S,8,0),IF($LB167=80%,VLOOKUP($JK167,'Jan-2026 rates'!L:T,9,0),0))))))))</f>
        <v>0</v>
      </c>
      <c r="JQ167" s="413" t="s">
        <v>1249</v>
      </c>
      <c r="JR167" s="412" t="s">
        <v>1122</v>
      </c>
      <c r="JS167" s="413"/>
      <c r="JT167" s="413"/>
      <c r="JU167" s="412"/>
      <c r="JV167" s="412"/>
      <c r="JW167" s="412"/>
      <c r="JX167" s="412"/>
      <c r="JY167" s="409">
        <v>40</v>
      </c>
      <c r="JZ167" s="398">
        <f>IF(JY167=0,0,IF(LEN(JQ167)=11,_xlfn.XLOOKUP(JQ167,'Dispensed Ink Rates'!C:C,'Dispensed Ink Rates'!CS:CS),VLOOKUP(JQ167,'Jan-2026 rates'!$E:$F,2,0)))</f>
        <v>0</v>
      </c>
      <c r="KA167" s="409">
        <v>4.8899999999999997</v>
      </c>
      <c r="KB167" s="398">
        <f>IF(KA167=0,0,IF(LEN(JR167)=11,_xlfn.XLOOKUP(JR167,'Dispensed Ink Rates'!C:C,'Dispensed Ink Rates'!CS:CS),VLOOKUP(JR167,'Jan-2026 rates'!$E:$F,2,0)))</f>
        <v>0</v>
      </c>
      <c r="KC167" s="409"/>
      <c r="KD167" s="398">
        <f>IF(KC167=0,0,IF(LEN(JS167)=11,_xlfn.XLOOKUP(JS167,'Dispensed Ink Rates'!C:C,'Dispensed Ink Rates'!CS:CS),VLOOKUP(JS167,'Jan-2026 rates'!$E:$F,2,0)))</f>
        <v>0</v>
      </c>
      <c r="KE167" s="409"/>
      <c r="KF167" s="398">
        <f>IF(KE167=0,0,IF(LEN(JT167)=11,_xlfn.XLOOKUP(JT167,'Dispensed Ink Rates'!C:C,'Dispensed Ink Rates'!CS:CS),VLOOKUP(JT167,'Jan-2026 rates'!$E:$F,2,0)))</f>
        <v>0</v>
      </c>
      <c r="KG167" s="409"/>
      <c r="KH167" s="398">
        <f>IF(KG167=0,0,IF(LEN(JU167)=11,_xlfn.XLOOKUP(JU167,'Dispensed Ink Rates'!C:C,'Dispensed Ink Rates'!CS:CS),VLOOKUP(JU167,'Jan-2026 rates'!$E:$F,2,0)))</f>
        <v>0</v>
      </c>
      <c r="KI167" s="409"/>
      <c r="KJ167" s="398">
        <f>IF(KI167=0,0,IF(LEN(JV167)=11,_xlfn.XLOOKUP(JV167,'Dispensed Ink Rates'!C:C,'Dispensed Ink Rates'!CS:CS),VLOOKUP(JV167,'Jan-2026 rates'!$E:$F,2,0)))</f>
        <v>0</v>
      </c>
      <c r="KK167" s="409"/>
      <c r="KL167" s="398">
        <f>IF(KK167=0,0,IF(LEN(JW167)=11,_xlfn.XLOOKUP(JW167,'Dispensed Ink Rates'!C:C,'Dispensed Ink Rates'!CS:CS),VLOOKUP(JW167,'Jan-2026 rates'!$E:$F,2,0)))</f>
        <v>0</v>
      </c>
      <c r="KM167" s="428"/>
      <c r="KN167" s="398">
        <f>IF(KM167=0,0,IF(LEN(JX167)=11,_xlfn.XLOOKUP(JX167,'Dispensed Ink Rates'!C:C,'Dispensed Ink Rates'!CS:CS),VLOOKUP(JX167,'Jan-2026 rates'!$E:$F,2,0)))</f>
        <v>0</v>
      </c>
      <c r="KO167" s="409" t="s">
        <v>1881</v>
      </c>
      <c r="KP167" s="409">
        <v>25</v>
      </c>
      <c r="KQ167" s="411">
        <f t="shared" si="127"/>
        <v>0</v>
      </c>
      <c r="KR167" s="411">
        <f t="shared" si="128"/>
        <v>81.963170731707322</v>
      </c>
      <c r="KS167" s="410">
        <f t="shared" si="129"/>
        <v>0</v>
      </c>
      <c r="KT167" s="409">
        <v>3</v>
      </c>
      <c r="KU167" s="409">
        <v>6</v>
      </c>
      <c r="KV167" s="409">
        <v>2</v>
      </c>
      <c r="KW167" s="409">
        <v>2</v>
      </c>
      <c r="KX167" s="409">
        <v>4</v>
      </c>
      <c r="KY167" s="409">
        <v>2</v>
      </c>
      <c r="KZ167" s="409">
        <v>2</v>
      </c>
      <c r="LA167" s="409">
        <v>20</v>
      </c>
      <c r="LB167" s="415">
        <v>0.3</v>
      </c>
      <c r="LC167" s="415"/>
      <c r="LD167" s="415"/>
      <c r="LE167" s="415">
        <v>0.5</v>
      </c>
      <c r="LF167" s="415">
        <v>0.2</v>
      </c>
      <c r="LG167" s="409">
        <v>0</v>
      </c>
      <c r="LH167" s="409">
        <f>20+20+9+15+6+6</f>
        <v>76</v>
      </c>
      <c r="LI167" s="409">
        <v>0</v>
      </c>
      <c r="LJ167" s="409">
        <v>0</v>
      </c>
      <c r="LK167" s="416">
        <f t="shared" si="61"/>
        <v>76</v>
      </c>
      <c r="LL167" s="416">
        <f t="shared" si="62"/>
        <v>76</v>
      </c>
      <c r="LM167" s="417">
        <f t="shared" si="63"/>
        <v>22.8</v>
      </c>
      <c r="LN167" s="417">
        <f>VLOOKUP($LM$8,'Jan-2026 rates'!$H:$I,2,0)</f>
        <v>0</v>
      </c>
      <c r="LO167" s="417">
        <f t="shared" si="64"/>
        <v>0</v>
      </c>
      <c r="LP167" s="417">
        <f>VLOOKUP($LO$8,'Jan-2026 rates'!$H:$I,2,0)</f>
        <v>0</v>
      </c>
      <c r="LQ167" s="417">
        <f t="shared" si="65"/>
        <v>0</v>
      </c>
      <c r="LR167" s="417">
        <f>VLOOKUP($LQ$8,'Jan-2026 rates'!$H:$I,2,0)</f>
        <v>0</v>
      </c>
      <c r="LS167" s="417">
        <f t="shared" si="66"/>
        <v>38</v>
      </c>
      <c r="LT167" s="417">
        <f>VLOOKUP($LS$8,'Jan-2026 rates'!$H:$I,2,0)</f>
        <v>0</v>
      </c>
      <c r="LU167" s="417">
        <f t="shared" si="67"/>
        <v>15.200000000000001</v>
      </c>
      <c r="LV167" s="417">
        <f>VLOOKUP($LU$8,'Jan-2026 rates'!$H:$I,2,0)</f>
        <v>0</v>
      </c>
      <c r="LW167" s="417">
        <f t="shared" si="68"/>
        <v>0</v>
      </c>
      <c r="LX167" s="417">
        <f t="shared" si="69"/>
        <v>0</v>
      </c>
      <c r="LY167" s="418">
        <f t="shared" si="70"/>
        <v>0</v>
      </c>
      <c r="LZ167" s="417"/>
      <c r="MA167" s="435">
        <f t="shared" si="71"/>
        <v>72.89</v>
      </c>
      <c r="MB167" s="282">
        <f t="shared" si="72"/>
        <v>135.89000000000001</v>
      </c>
      <c r="MC167" s="283" t="s">
        <v>2002</v>
      </c>
      <c r="MD167" s="284" t="str">
        <f t="shared" si="73"/>
        <v>ToyoLiToyoLiToyoLiToyoLiToyoLiToyoLiToyoLiToyoLi</v>
      </c>
      <c r="ME167" s="293" t="str">
        <f t="shared" si="74"/>
        <v>+</v>
      </c>
      <c r="MF167" s="293" t="str">
        <f t="shared" si="75"/>
        <v>+</v>
      </c>
      <c r="MG167" s="293" t="str">
        <f t="shared" si="76"/>
        <v>+</v>
      </c>
      <c r="MH167" s="293" t="str">
        <f t="shared" si="77"/>
        <v>+</v>
      </c>
      <c r="MI167" s="293" t="str">
        <f t="shared" si="78"/>
        <v>+</v>
      </c>
      <c r="MJ167" s="293" t="str">
        <f t="shared" si="79"/>
        <v>+</v>
      </c>
      <c r="MK167" s="293" t="str">
        <f t="shared" si="80"/>
        <v>+</v>
      </c>
      <c r="ML167" s="293" t="str">
        <f t="shared" si="81"/>
        <v>+</v>
      </c>
      <c r="MM167" s="3" t="b">
        <f t="array" ref="MM167">OR(ME167:ML167="-")</f>
        <v>0</v>
      </c>
      <c r="MN167" s="285"/>
      <c r="MO167" s="401"/>
      <c r="MP167" s="286"/>
      <c r="MQ167" s="286"/>
      <c r="MR167" s="402"/>
      <c r="MS167" s="400"/>
      <c r="NH167" s="422"/>
      <c r="NJ167" s="421"/>
    </row>
    <row r="168" spans="1:374" s="1" customFormat="1" ht="16.5">
      <c r="A168" s="403">
        <v>46034</v>
      </c>
      <c r="B168" s="404" t="s">
        <v>1018</v>
      </c>
      <c r="C168" s="405" t="s">
        <v>3561</v>
      </c>
      <c r="D168" s="406" t="s">
        <v>2003</v>
      </c>
      <c r="E168" s="404">
        <v>61</v>
      </c>
      <c r="F168" s="407">
        <v>3900</v>
      </c>
      <c r="G168" s="407" t="s">
        <v>1016</v>
      </c>
      <c r="H168" s="408" t="s">
        <v>1017</v>
      </c>
      <c r="I168" s="409">
        <v>1.89</v>
      </c>
      <c r="J168" s="405" t="s">
        <v>543</v>
      </c>
      <c r="K168" s="404" t="s">
        <v>3562</v>
      </c>
      <c r="L168" s="419" t="str">
        <f t="shared" si="54"/>
        <v>ToyoLi - BLACK</v>
      </c>
      <c r="M168" s="404">
        <v>29</v>
      </c>
      <c r="N168" s="410">
        <f>IF(M168=0,0,IF($LB168=70%,VLOOKUP($L168,'Jan-2026 rates'!$L:$R,4,0),IF($LB168=65%,VLOOKUP($L168,'Jan-2026 rates'!$L:$R,4,0),IF($LB168=40%,VLOOKUP($L168,'Jan-2026 rates'!$L:$R,5,0),IF($LB168=30%,VLOOKUP($L168,'Jan-2026 rates'!$L:$R,6,0),IF($LB168=100%,VLOOKUP($L168,'Jan-2026 rates'!$L:$R,7,0),IF($LB168=60%,VLOOKUP($L168,'Jan-2026 rates'!$L:$S,8,0),IF($LB168=80%,VLOOKUP($L168,'Jan-2026 rates'!L:T,9,0),0))))))))</f>
        <v>0</v>
      </c>
      <c r="O168" s="406"/>
      <c r="P168" s="404"/>
      <c r="Q168" s="410">
        <f>IF(P168=0,0,IF($LB168=70%,VLOOKUP($L168,'Jan-2026 rates'!$L:$R,4,0),IF($LB168=65%,VLOOKUP($L168,'Jan-2026 rates'!$L:$R,4,0),IF($LB168=40%,VLOOKUP($L168,'Jan-2026 rates'!$L:$R,5,0),IF($LB168=30%,VLOOKUP($L168,'Jan-2026 rates'!$L:$R,6,0),IF($LB168=100%,VLOOKUP($L168,'Jan-2026 rates'!$L:$R,7,0),IF($LB168=60%,VLOOKUP($L168,'Jan-2026 rates'!$L:$S,8,0),IF($LB168=80%,VLOOKUP($L168,'Jan-2026 rates'!L:T,9,0),0))))))))</f>
        <v>0</v>
      </c>
      <c r="R168" s="406" t="s">
        <v>1252</v>
      </c>
      <c r="S168" s="406"/>
      <c r="T168" s="406"/>
      <c r="U168" s="406"/>
      <c r="V168" s="406"/>
      <c r="W168" s="406"/>
      <c r="X168" s="406"/>
      <c r="Y168" s="406"/>
      <c r="Z168" s="404">
        <v>2</v>
      </c>
      <c r="AA168" s="398">
        <f>IF(Z168=0,0,IF(LEN(R168)=11,_xlfn.XLOOKUP(R168,'Dispensed Ink Rates'!C:C,'Dispensed Ink Rates'!CS:CS),VLOOKUP(R168,'Jan-2026 rates'!$E:$F,2,0)))</f>
        <v>0</v>
      </c>
      <c r="AB168" s="404"/>
      <c r="AC168" s="398">
        <f>IF(AB168=0,0,IF(LEN(S168)=11,_xlfn.XLOOKUP(S168,'Dispensed Ink Rates'!C:C,'Dispensed Ink Rates'!CS:CS),VLOOKUP(S168,'Jan-2026 rates'!$E:$F,2,0)))</f>
        <v>0</v>
      </c>
      <c r="AD168" s="404"/>
      <c r="AE168" s="398">
        <f>IF(AD168=0,0,IF(LEN(T168)=11,_xlfn.XLOOKUP(T168,'Dispensed Ink Rates'!C:C,'Dispensed Ink Rates'!CS:CS),VLOOKUP(T168,'Jan-2026 rates'!$E:$F,2,0)))</f>
        <v>0</v>
      </c>
      <c r="AF168" s="404"/>
      <c r="AG168" s="398">
        <f>IF(AF168=0,0,IF(LEN(U168)=11,_xlfn.XLOOKUP(U168,'Dispensed Ink Rates'!C:C,'Dispensed Ink Rates'!CS:CS),VLOOKUP(U168,'Jan-2026 rates'!$E:$F,2,0)))</f>
        <v>0</v>
      </c>
      <c r="AH168" s="404"/>
      <c r="AI168" s="398">
        <f>IF(AH168=0,0,IF(LEN(V168)=11,_xlfn.XLOOKUP(V168,'Dispensed Ink Rates'!C:C,'Dispensed Ink Rates'!CS:CS),VLOOKUP(V168,'Jan-2026 rates'!$E:$F,2,0)))</f>
        <v>0</v>
      </c>
      <c r="AJ168" s="404"/>
      <c r="AK168" s="398">
        <f>IF(AJ168=0,0,IF(LEN(W168)=11,_xlfn.XLOOKUP(W168,'Dispensed Ink Rates'!C:C,'Dispensed Ink Rates'!CS:CS),VLOOKUP(W168,'Jan-2026 rates'!$E:$F,2,0)))</f>
        <v>0</v>
      </c>
      <c r="AL168" s="404"/>
      <c r="AM168" s="398">
        <f>IF(AL168=0,0,IF(LEN(X168)=11,_xlfn.XLOOKUP(X168,'Dispensed Ink Rates'!C:C,'Dispensed Ink Rates'!CS:CS),VLOOKUP(X168,'Jan-2026 rates'!$E:$F,2,0)))</f>
        <v>0</v>
      </c>
      <c r="AN168" s="404"/>
      <c r="AO168" s="398">
        <f>IF(AN168=0,0,IF(LEN(Y168)=11,_xlfn.XLOOKUP(Y168,'Dispensed Ink Rates'!C:C,'Dispensed Ink Rates'!CS:CS),VLOOKUP(Y168,'Jan-2026 rates'!$E:$F,2,0)))</f>
        <v>0</v>
      </c>
      <c r="AP168" s="409" t="s">
        <v>1881</v>
      </c>
      <c r="AQ168" s="409">
        <v>29</v>
      </c>
      <c r="AR168" s="410">
        <f t="shared" si="106"/>
        <v>0</v>
      </c>
      <c r="AS168" s="411">
        <f t="shared" si="107"/>
        <v>4.4799999999999969</v>
      </c>
      <c r="AT168" s="410">
        <f t="shared" si="108"/>
        <v>0</v>
      </c>
      <c r="AU168" s="405" t="s">
        <v>546</v>
      </c>
      <c r="AV168" s="409" t="s">
        <v>3563</v>
      </c>
      <c r="AW168" s="420" t="str">
        <f t="shared" si="130"/>
        <v>ToyoLi - REFLEX BLUE</v>
      </c>
      <c r="AX168" s="409">
        <v>24</v>
      </c>
      <c r="AY168" s="411">
        <f>IF(AX168=0,0,IF($LB168=70%,VLOOKUP($AW168,'Jan-2026 rates'!$L:$R,4,0),IF($LB168=65%,VLOOKUP($AW168,'Jan-2026 rates'!$L:$R,4,0),IF($LB168=40%,VLOOKUP($AW168,'Jan-2026 rates'!$L:$R,5,0),IF($LB168=30%,VLOOKUP($AW168,'Jan-2026 rates'!$L:$R,6,0),IF($LB168=100%,VLOOKUP($AW168,'Jan-2026 rates'!$L:$R,7,0),IF($LB168=60%,VLOOKUP($AW168,'Jan-2026 rates'!$L:$S,8,0),IF($LB168=80%,VLOOKUP($AW168,'Jan-2026 rates'!L:T,9,0),0))))))))</f>
        <v>0</v>
      </c>
      <c r="AZ168" s="412"/>
      <c r="BA168" s="409"/>
      <c r="BB168" s="411">
        <f>IF(BA168=0,0,IF($LB168=70%,VLOOKUP($AW168,'Jan-2026 rates'!$L:$R,4,0),IF($LB168=65%,VLOOKUP($AW168,'Jan-2026 rates'!$L:$R,4,0),IF($LB168=40%,VLOOKUP($AW168,'Jan-2026 rates'!$L:$R,5,0),IF($LB168=30%,VLOOKUP($AW168,'Jan-2026 rates'!$L:$R,6,0),IF($LB168=100%,VLOOKUP($AW168,'Jan-2026 rates'!$L:$R,7,0),IF($LB168=60%,VLOOKUP($AW168,'Jan-2026 rates'!$L:$S,8,0),IF($LB168=80%,VLOOKUP($AW168,'Jan-2026 rates'!L:T,9,0),0))))))))</f>
        <v>0</v>
      </c>
      <c r="BC168" s="413" t="s">
        <v>1585</v>
      </c>
      <c r="BD168" s="412" t="s">
        <v>1246</v>
      </c>
      <c r="BE168" s="412"/>
      <c r="BF168" s="413"/>
      <c r="BG168" s="412"/>
      <c r="BH168" s="412"/>
      <c r="BI168" s="412"/>
      <c r="BJ168" s="412"/>
      <c r="BK168" s="409">
        <f>1+4</f>
        <v>5</v>
      </c>
      <c r="BL168" s="398">
        <f>IF(BK168=0,0,IF(LEN(BC168)=11,_xlfn.XLOOKUP(BC168,'Dispensed Ink Rates'!C:C,'Dispensed Ink Rates'!CS:CS),VLOOKUP(BC168,'Jan-2026 rates'!$E:$F,2,0)))</f>
        <v>0</v>
      </c>
      <c r="BM168" s="409">
        <f>3+3</f>
        <v>6</v>
      </c>
      <c r="BN168" s="398">
        <f>IF(BM168=0,0,IF(LEN(BD168)=11,_xlfn.XLOOKUP(BD168,'Dispensed Ink Rates'!C:C,'Dispensed Ink Rates'!CS:CS),VLOOKUP(BD168,'Jan-2026 rates'!$E:$F,2,0)))</f>
        <v>0</v>
      </c>
      <c r="BO168" s="409"/>
      <c r="BP168" s="398">
        <f>IF(BO168=0,0,IF(LEN(BE168)=11,_xlfn.XLOOKUP(BE168,'Dispensed Ink Rates'!C:C,'Dispensed Ink Rates'!CS:CS),VLOOKUP(BE168,'Jan-2026 rates'!$E:$F,2,0)))</f>
        <v>0</v>
      </c>
      <c r="BQ168" s="409"/>
      <c r="BR168" s="398">
        <f>IF(BQ168=0,0,IF(LEN(BF168)=11,_xlfn.XLOOKUP(BF168,'Dispensed Ink Rates'!C:C,'Dispensed Ink Rates'!CS:CS),VLOOKUP(BF168,'Jan-2026 rates'!$E:$F,2,0)))</f>
        <v>0</v>
      </c>
      <c r="BS168" s="409"/>
      <c r="BT168" s="398">
        <f>IF(BS168=0,0,IF(LEN(BG168)=11,_xlfn.XLOOKUP(BG168,'Dispensed Ink Rates'!C:C,'Dispensed Ink Rates'!CS:CS),VLOOKUP(BG168,'Jan-2026 rates'!$E:$F,2,0)))</f>
        <v>0</v>
      </c>
      <c r="BU168" s="409"/>
      <c r="BV168" s="398">
        <f>IF(BU168=0,0,IF(LEN(BH168)=11,_xlfn.XLOOKUP(BH168,'Dispensed Ink Rates'!C:C,'Dispensed Ink Rates'!CS:CS),VLOOKUP(BH168,'Jan-2026 rates'!$E:$F,2,0)))</f>
        <v>0</v>
      </c>
      <c r="BW168" s="409"/>
      <c r="BX168" s="398">
        <f>IF(BW168=0,0,IF(LEN(BI168)=11,_xlfn.XLOOKUP(BI168,'Dispensed Ink Rates'!C:C,'Dispensed Ink Rates'!CS:CS),VLOOKUP(BI168,'Jan-2026 rates'!$E:$F,2,0)))</f>
        <v>0</v>
      </c>
      <c r="BY168" s="409"/>
      <c r="BZ168" s="398">
        <f>IF(BY168=0,0,IF(LEN(BJ168)=11,_xlfn.XLOOKUP(BJ168,'Dispensed Ink Rates'!C:C,'Dispensed Ink Rates'!CS:CS),VLOOKUP(BJ168,'Jan-2026 rates'!$E:$F,2,0)))</f>
        <v>0</v>
      </c>
      <c r="CA168" s="409" t="s">
        <v>1881</v>
      </c>
      <c r="CB168" s="409">
        <f>20+16</f>
        <v>36</v>
      </c>
      <c r="CC168" s="411">
        <f t="shared" si="109"/>
        <v>0</v>
      </c>
      <c r="CD168" s="411">
        <f t="shared" si="110"/>
        <v>2.7199999999999989</v>
      </c>
      <c r="CE168" s="410">
        <f t="shared" si="111"/>
        <v>0</v>
      </c>
      <c r="CF168" s="404" t="s">
        <v>546</v>
      </c>
      <c r="CG168" s="409" t="s">
        <v>3562</v>
      </c>
      <c r="CH168" s="420" t="str">
        <f t="shared" si="55"/>
        <v>ToyoLi - REFLEX BLUE</v>
      </c>
      <c r="CI168" s="409">
        <v>26</v>
      </c>
      <c r="CJ168" s="411">
        <f>IF(CI168=0,0,IF($LB168=70%,VLOOKUP($CH168,'Jan-2026 rates'!$L:$R,4,0),IF($LB168=65%,VLOOKUP($CH168,'Jan-2026 rates'!$L:$R,4,0),IF($LB168=40%,VLOOKUP($CH168,'Jan-2026 rates'!$L:$R,5,0),IF($LB168=30%,VLOOKUP($CH168,'Jan-2026 rates'!$L:$R,6,0),IF($LB168=100%,VLOOKUP($CH168,'Jan-2026 rates'!$L:$R,7,0),IF($LB168=60%,VLOOKUP($CH168,'Jan-2026 rates'!$L:$S,8,0),IF($LB168=80%,VLOOKUP($CH168,'Jan-2026 rates'!L:T,9,0),0))))))))</f>
        <v>0</v>
      </c>
      <c r="CK168" s="412"/>
      <c r="CL168" s="409"/>
      <c r="CM168" s="411">
        <f>IF(CL168=0,0,IF($LB168=70%,VLOOKUP($CH168,'Jan-2026 rates'!$L:$R,4,0),IF($LB168=65%,VLOOKUP($CH168,'Jan-2026 rates'!$L:$R,4,0),IF($LB168=40%,VLOOKUP($CH168,'Jan-2026 rates'!$L:$R,5,0),IF($LB168=30%,VLOOKUP($CH168,'Jan-2026 rates'!$L:$R,6,0),IF($LB168=100%,VLOOKUP($CH168,'Jan-2026 rates'!$L:$R,7,0),IF($LB168=60%,VLOOKUP($CH168,'Jan-2026 rates'!$L:$S,8,0),IF($LB168=80%,VLOOKUP($CH168,'Jan-2026 rates'!L:T,9,0),0))))))))</f>
        <v>0</v>
      </c>
      <c r="CN168" s="426" t="s">
        <v>1880</v>
      </c>
      <c r="CO168" s="427"/>
      <c r="CP168" s="426"/>
      <c r="CQ168" s="426"/>
      <c r="CR168" s="428"/>
      <c r="CS168" s="428"/>
      <c r="CT168" s="428"/>
      <c r="CU168" s="428"/>
      <c r="CV168" s="409">
        <v>3</v>
      </c>
      <c r="CW168" s="398">
        <f>IF(CV168=0,0,IF(LEN(CN168)=11,_xlfn.XLOOKUP(CN168,'Dispensed Ink Rates'!C:C,'Dispensed Ink Rates'!CS:CS),VLOOKUP(CN168,'Jan-2026 rates'!$E:$F,2,0)))</f>
        <v>0</v>
      </c>
      <c r="CX168" s="409"/>
      <c r="CY168" s="398">
        <f>IF(CX168=0,0,IF(LEN(CO168)=11,_xlfn.XLOOKUP(CO168,'Dispensed Ink Rates'!C:C,'Dispensed Ink Rates'!CS:CS),VLOOKUP(CO168,'Jan-2026 rates'!$E:$F,2,0)))</f>
        <v>0</v>
      </c>
      <c r="CZ168" s="409"/>
      <c r="DA168" s="398">
        <f>IF(CZ168=0,0,IF(LEN(CP168)=11,_xlfn.XLOOKUP(CP168,'Dispensed Ink Rates'!C:C,'Dispensed Ink Rates'!CS:CS),VLOOKUP(CP168,'Jan-2026 rates'!$E:$F,2,0)))</f>
        <v>0</v>
      </c>
      <c r="DB168" s="409"/>
      <c r="DC168" s="398">
        <f>IF(DB168=0,0,IF(LEN(CQ168)=11,_xlfn.XLOOKUP(CQ168,'Dispensed Ink Rates'!C:C,'Dispensed Ink Rates'!CS:CS),VLOOKUP(CQ168,'Jan-2026 rates'!$E:$F,2,0)))</f>
        <v>0</v>
      </c>
      <c r="DD168" s="409"/>
      <c r="DE168" s="398">
        <f>IF(DD168=0,0,IF(LEN(CR168)=11,_xlfn.XLOOKUP(CR168,'Dispensed Ink Rates'!C:C,'Dispensed Ink Rates'!CS:CS),VLOOKUP(CR168,'Jan-2026 rates'!$E:$F,2,0)))</f>
        <v>0</v>
      </c>
      <c r="DF168" s="409"/>
      <c r="DG168" s="398">
        <f>IF(DF168=0,0,IF(LEN(CS168)=11,_xlfn.XLOOKUP(CS168,'Dispensed Ink Rates'!C:C,'Dispensed Ink Rates'!CS:CS),VLOOKUP(CS168,'Jan-2026 rates'!$E:$F,2,0)))</f>
        <v>0</v>
      </c>
      <c r="DH168" s="409"/>
      <c r="DI168" s="398">
        <f>IF(DH168=0,0,IF(LEN(CT168)=11,_xlfn.XLOOKUP(CT168,'Dispensed Ink Rates'!C:C,'Dispensed Ink Rates'!CS:CS),VLOOKUP(CT168,'Jan-2026 rates'!$E:$F,2,0)))</f>
        <v>0</v>
      </c>
      <c r="DJ168" s="409"/>
      <c r="DK168" s="398">
        <f>IF(DJ168=0,0,IF(LEN(CU168)=11,_xlfn.XLOOKUP(CU168,'Dispensed Ink Rates'!C:C,'Dispensed Ink Rates'!CS:CS),VLOOKUP(CU168,'Jan-2026 rates'!$E:$F,2,0)))</f>
        <v>0</v>
      </c>
      <c r="DL168" s="409" t="s">
        <v>1881</v>
      </c>
      <c r="DM168" s="409">
        <v>29</v>
      </c>
      <c r="DN168" s="411">
        <f t="shared" si="112"/>
        <v>0</v>
      </c>
      <c r="DO168" s="411">
        <f t="shared" si="113"/>
        <v>3.7199999999999989</v>
      </c>
      <c r="DP168" s="410">
        <f t="shared" si="114"/>
        <v>0</v>
      </c>
      <c r="DQ168" s="405" t="s">
        <v>855</v>
      </c>
      <c r="DR168" s="409" t="s">
        <v>3564</v>
      </c>
      <c r="DS168" s="420" t="str">
        <f t="shared" si="56"/>
        <v>ToyoLi - CYAN</v>
      </c>
      <c r="DT168" s="409">
        <v>26</v>
      </c>
      <c r="DU168" s="411">
        <f>IF(DT168=0,0,IF($LB168=70%,VLOOKUP($DS168,'Jan-2026 rates'!$L:$R,4,0),IF($LB168=65%,VLOOKUP($DS168,'Jan-2026 rates'!$L:$R,4,0),IF($LB168=40%,VLOOKUP($DS168,'Jan-2026 rates'!$L:$R,5,0),IF($LB168=30%,VLOOKUP($DS168,'Jan-2026 rates'!$L:$R,6,0),IF($LB168=100%,VLOOKUP($DS168,'Jan-2026 rates'!$L:$R,7,0),IF($LB168=60%,VLOOKUP($DS168,'Jan-2026 rates'!$L:$S,8,0),IF($LB168=80%,VLOOKUP($DS168,'Jan-2026 rates'!L:T,9,0),0))))))))</f>
        <v>0</v>
      </c>
      <c r="DV168" s="412"/>
      <c r="DW168" s="409"/>
      <c r="DX168" s="411">
        <f>IF(DW168=0,0,IF($LB168=70%,VLOOKUP($DS168,'Jan-2026 rates'!$L:$R,4,0),IF($LB168=65%,VLOOKUP($DS168,'Jan-2026 rates'!$L:$R,4,0),IF($LB168=40%,VLOOKUP($DS168,'Jan-2026 rates'!$L:$R,5,0),IF($LB168=30%,VLOOKUP($DS168,'Jan-2026 rates'!$L:$R,6,0),IF($LB168=100%,VLOOKUP($DS168,'Jan-2026 rates'!$L:$R,7,0),IF($LB168=60%,VLOOKUP($DS168,'Jan-2026 rates'!$L:$S,8,0),IF($LB168=80%,VLOOKUP($DS168,'Jan-2026 rates'!L:T,9,0),0))))))))</f>
        <v>0</v>
      </c>
      <c r="DY168" s="413" t="s">
        <v>1250</v>
      </c>
      <c r="DZ168" s="413"/>
      <c r="EA168" s="412"/>
      <c r="EB168" s="412"/>
      <c r="EC168" s="412"/>
      <c r="ED168" s="412"/>
      <c r="EE168" s="412"/>
      <c r="EF168" s="412"/>
      <c r="EG168" s="409">
        <v>4</v>
      </c>
      <c r="EH168" s="398">
        <f>IF(EG168=0,0,IF(LEN(DY168)=11,_xlfn.XLOOKUP(DY168,'Dispensed Ink Rates'!C:C,'Dispensed Ink Rates'!CS:CS),VLOOKUP(DY168,'Jan-2026 rates'!$E:$F,2,0)))</f>
        <v>0</v>
      </c>
      <c r="EI168" s="409"/>
      <c r="EJ168" s="398">
        <f>IF(EI168=0,0,IF(LEN(DZ168)=11,_xlfn.XLOOKUP(DZ168,'Dispensed Ink Rates'!C:C,'Dispensed Ink Rates'!CS:CS),VLOOKUP(DZ168,'Jan-2026 rates'!$E:$F,2,0)))</f>
        <v>0</v>
      </c>
      <c r="EK168" s="409"/>
      <c r="EL168" s="398">
        <f>IF(EK168=0,0,IF(LEN(EA168)=11,_xlfn.XLOOKUP(EA168,'Dispensed Ink Rates'!C:C,'Dispensed Ink Rates'!CS:CS),VLOOKUP(EA168,'Jan-2026 rates'!$E:$F,2,0)))</f>
        <v>0</v>
      </c>
      <c r="EM168" s="409"/>
      <c r="EN168" s="398">
        <f>IF(EM168=0,0,IF(LEN(EB168)=11,_xlfn.XLOOKUP(EB168,'Dispensed Ink Rates'!C:C,'Dispensed Ink Rates'!CS:CS),VLOOKUP(EB168,'Jan-2026 rates'!$E:$F,2,0)))</f>
        <v>0</v>
      </c>
      <c r="EO168" s="409"/>
      <c r="EP168" s="398">
        <f>IF(EO168=0,0,IF(LEN(EC168)=11,_xlfn.XLOOKUP(EC168,'Dispensed Ink Rates'!C:C,'Dispensed Ink Rates'!CS:CS),VLOOKUP(EC168,'Jan-2026 rates'!$E:$F,2,0)))</f>
        <v>0</v>
      </c>
      <c r="EQ168" s="409"/>
      <c r="ER168" s="398">
        <f>IF(EQ168=0,0,IF(LEN(ED168)=11,_xlfn.XLOOKUP(ED168,'Dispensed Ink Rates'!C:C,'Dispensed Ink Rates'!CS:CS),VLOOKUP(ED168,'Jan-2026 rates'!$E:$F,2,0)))</f>
        <v>0</v>
      </c>
      <c r="ES168" s="409"/>
      <c r="ET168" s="398">
        <f>IF(ES168=0,0,IF(LEN(EE168)=11,_xlfn.XLOOKUP(EE168,'Dispensed Ink Rates'!C:C,'Dispensed Ink Rates'!CS:CS),VLOOKUP(EE168,'Jan-2026 rates'!$E:$F,2,0)))</f>
        <v>0</v>
      </c>
      <c r="EU168" s="409"/>
      <c r="EV168" s="398">
        <f>IF(EU168=0,0,IF(LEN(EF168)=11,_xlfn.XLOOKUP(EF168,'Dispensed Ink Rates'!C:C,'Dispensed Ink Rates'!CS:CS),VLOOKUP(EF168,'Jan-2026 rates'!$E:$F,2,0)))</f>
        <v>0</v>
      </c>
      <c r="EW168" s="409" t="s">
        <v>1881</v>
      </c>
      <c r="EX168" s="409">
        <v>26</v>
      </c>
      <c r="EY168" s="411">
        <f t="shared" si="115"/>
        <v>0</v>
      </c>
      <c r="EZ168" s="411">
        <f t="shared" si="116"/>
        <v>7.7199999999999989</v>
      </c>
      <c r="FA168" s="410">
        <f t="shared" si="117"/>
        <v>0</v>
      </c>
      <c r="FB168" s="405" t="s">
        <v>857</v>
      </c>
      <c r="FC168" s="409" t="s">
        <v>3565</v>
      </c>
      <c r="FD168" s="420" t="str">
        <f t="shared" si="57"/>
        <v>ToyoLi - RED</v>
      </c>
      <c r="FE168" s="409">
        <v>22</v>
      </c>
      <c r="FF168" s="411">
        <f>IF(FE168=0,0,IF($LB168=70%,VLOOKUP($FD168,'Jan-2026 rates'!$L:$R,4,0),IF($LB168=65%,VLOOKUP($FD168,'Jan-2026 rates'!$L:$R,4,0),IF($LB168=40%,VLOOKUP($FD168,'Jan-2026 rates'!$L:$R,5,0),IF($LB168=30%,VLOOKUP($FD168,'Jan-2026 rates'!$L:$R,6,0),IF($LB168=100%,VLOOKUP($FD168,'Jan-2026 rates'!$L:$R,7,0),IF($LB168=60%,VLOOKUP($FD168,'Jan-2026 rates'!$L:$S,8,0),IF($LB168=80%,VLOOKUP($FD168,'Jan-2026 rates'!L:T,9,0),0))))))))</f>
        <v>0</v>
      </c>
      <c r="FG168" s="412"/>
      <c r="FH168" s="409"/>
      <c r="FI168" s="411">
        <f>IF(FH168=0,0,IF($LB168=70%,VLOOKUP($FD168,'Jan-2026 rates'!$L:$R,4,0),IF($LB168=65%,VLOOKUP($FD168,'Jan-2026 rates'!$L:$R,4,0),IF($LB168=40%,VLOOKUP($FD168,'Jan-2026 rates'!$L:$R,5,0),IF($LB168=30%,VLOOKUP($FD168,'Jan-2026 rates'!$L:$R,6,0),IF($LB168=100%,VLOOKUP($FD168,'Jan-2026 rates'!$L:$R,7,0),IF($LB168=60%,VLOOKUP($FD168,'Jan-2026 rates'!$L:$S,8,0),IF($LB168=80%,VLOOKUP($FD168,'Jan-2026 rates'!L:T,9,0),0))))))))</f>
        <v>0</v>
      </c>
      <c r="FJ168" s="413" t="s">
        <v>1505</v>
      </c>
      <c r="FK168" s="413"/>
      <c r="FL168" s="413"/>
      <c r="FM168" s="412"/>
      <c r="FN168" s="412"/>
      <c r="FO168" s="412"/>
      <c r="FP168" s="412"/>
      <c r="FQ168" s="412"/>
      <c r="FR168" s="409">
        <v>3</v>
      </c>
      <c r="FS168" s="398">
        <f>IF(FR168=0,0,IF(LEN(FJ168)=11,_xlfn.XLOOKUP(FJ168,'Dispensed Ink Rates'!C:C,'Dispensed Ink Rates'!CS:CS),VLOOKUP(FJ168,'Jan-2026 rates'!$E:$F,2,0)))</f>
        <v>0</v>
      </c>
      <c r="FT168" s="409"/>
      <c r="FU168" s="398">
        <f>IF(FT168=0,0,IF(LEN(FK168)=11,_xlfn.XLOOKUP(FK168,'Dispensed Ink Rates'!C:C,'Dispensed Ink Rates'!CS:CS),VLOOKUP(FK168,'Jan-2026 rates'!$E:$F,2,0)))</f>
        <v>0</v>
      </c>
      <c r="FV168" s="409"/>
      <c r="FW168" s="398">
        <f>IF(FV168=0,0,IF(LEN(FL168)=11,_xlfn.XLOOKUP(FL168,'Dispensed Ink Rates'!C:C,'Dispensed Ink Rates'!CS:CS),VLOOKUP(FL168,'Jan-2026 rates'!$E:$F,2,0)))</f>
        <v>0</v>
      </c>
      <c r="FX168" s="409"/>
      <c r="FY168" s="398">
        <f>IF(FX168=0,0,IF(LEN(FM168)=11,_xlfn.XLOOKUP(FM168,'Dispensed Ink Rates'!C:C,'Dispensed Ink Rates'!CS:CS),VLOOKUP(FM168,'Jan-2026 rates'!$E:$F,2,0)))</f>
        <v>0</v>
      </c>
      <c r="FZ168" s="409"/>
      <c r="GA168" s="398">
        <f>IF(FZ168=0,0,IF(LEN(FN168)=11,_xlfn.XLOOKUP(FN168,'Dispensed Ink Rates'!C:C,'Dispensed Ink Rates'!CS:CS),VLOOKUP(FN168,'Jan-2026 rates'!$E:$F,2,0)))</f>
        <v>0</v>
      </c>
      <c r="GB168" s="409"/>
      <c r="GC168" s="398">
        <f>IF(GB168=0,0,IF(LEN(FO168)=11,_xlfn.XLOOKUP(FO168,'Dispensed Ink Rates'!C:C,'Dispensed Ink Rates'!CS:CS),VLOOKUP(FO168,'Jan-2026 rates'!$E:$F,2,0)))</f>
        <v>0</v>
      </c>
      <c r="GD168" s="409"/>
      <c r="GE168" s="398">
        <f>IF(GD168=0,0,IF(LEN(FP168)=11,_xlfn.XLOOKUP(FP168,'Dispensed Ink Rates'!C:C,'Dispensed Ink Rates'!CS:CS),VLOOKUP(FP168,'Jan-2026 rates'!$E:$F,2,0)))</f>
        <v>0</v>
      </c>
      <c r="GF168" s="409"/>
      <c r="GG168" s="398">
        <f>IF(GF168=0,0,IF(LEN(FQ168)=11,_xlfn.XLOOKUP(FQ168,'Dispensed Ink Rates'!C:C,'Dispensed Ink Rates'!CS:CS),VLOOKUP(FQ168,'Jan-2026 rates'!$E:$F,2,0)))</f>
        <v>0</v>
      </c>
      <c r="GH168" s="409" t="s">
        <v>1881</v>
      </c>
      <c r="GI168" s="409">
        <v>24</v>
      </c>
      <c r="GJ168" s="411">
        <f t="shared" si="118"/>
        <v>0</v>
      </c>
      <c r="GK168" s="411">
        <f t="shared" si="119"/>
        <v>3.4800000000000004</v>
      </c>
      <c r="GL168" s="410">
        <f t="shared" si="120"/>
        <v>0</v>
      </c>
      <c r="GM168" s="405" t="s">
        <v>545</v>
      </c>
      <c r="GN168" s="409" t="s">
        <v>3566</v>
      </c>
      <c r="GO168" s="420" t="str">
        <f t="shared" si="58"/>
        <v>ToyoLi - YELLOW</v>
      </c>
      <c r="GP168" s="409">
        <v>28</v>
      </c>
      <c r="GQ168" s="411">
        <f>IF(GP168=0,0,IF($LB168=70%,VLOOKUP($GO168,'Jan-2026 rates'!$L:$R,4,0),IF($LB168=65%,VLOOKUP($GO168,'Jan-2026 rates'!$L:$R,4,0),IF($LB168=40%,VLOOKUP($GO168,'Jan-2026 rates'!$L:$R,5,0),IF($LB168=30%,VLOOKUP($GO168,'Jan-2026 rates'!$L:$R,6,0),IF($LB168=100%,VLOOKUP($GO168,'Jan-2026 rates'!$L:$R,7,0),IF($LB168=60%,VLOOKUP($GO168,'Jan-2026 rates'!$L:$S,8,0),IF($LB168=80%,VLOOKUP($GO168,'Jan-2026 rates'!L:T,9,0),0))))))))</f>
        <v>0</v>
      </c>
      <c r="GR168" s="412"/>
      <c r="GS168" s="409"/>
      <c r="GT168" s="411">
        <f>IF(GS168=0,0,IF($LB168=70%,VLOOKUP($GO168,'Jan-2026 rates'!$L:$R,4,0),IF($LB168=65%,VLOOKUP($GO168,'Jan-2026 rates'!$L:$R,4,0),IF($LB168=40%,VLOOKUP($GO168,'Jan-2026 rates'!$L:$R,5,0),IF($LB168=30%,VLOOKUP($GO168,'Jan-2026 rates'!$L:$R,6,0),IF($LB168=100%,VLOOKUP($GO168,'Jan-2026 rates'!$L:$R,7,0),IF($LB168=60%,VLOOKUP($GO168,'Jan-2026 rates'!$L:$S,8,0),IF($LB168=80%,VLOOKUP($GO168,'Jan-2026 rates'!L:T,9,0),0))))))))</f>
        <v>0</v>
      </c>
      <c r="GU168" s="413"/>
      <c r="GV168" s="413"/>
      <c r="GW168" s="412"/>
      <c r="GX168" s="412"/>
      <c r="GY168" s="412"/>
      <c r="GZ168" s="412"/>
      <c r="HA168" s="412"/>
      <c r="HB168" s="412"/>
      <c r="HC168" s="409"/>
      <c r="HD168" s="398">
        <f>IF(HC168=0,0,IF(LEN(GU168)=11,_xlfn.XLOOKUP(GU168,'Dispensed Ink Rates'!C:C,'Dispensed Ink Rates'!CS:CS),VLOOKUP(GU168,'Jan-2026 rates'!$E:$F,2,0)))</f>
        <v>0</v>
      </c>
      <c r="HE168" s="409"/>
      <c r="HF168" s="398">
        <f>IF(HE168=0,0,IF(LEN(GV168)=11,_xlfn.XLOOKUP(GV168,'Dispensed Ink Rates'!C:C,'Dispensed Ink Rates'!CS:CS),VLOOKUP(GV168,'Jan-2026 rates'!$E:$F,2,0)))</f>
        <v>0</v>
      </c>
      <c r="HG168" s="409"/>
      <c r="HH168" s="398">
        <f>IF(HG168=0,0,IF(LEN(GW168)=11,_xlfn.XLOOKUP(GW168,'Dispensed Ink Rates'!C:C,'Dispensed Ink Rates'!CS:CS),VLOOKUP(GW168,'Jan-2026 rates'!$E:$F,2,0)))</f>
        <v>0</v>
      </c>
      <c r="HI168" s="409"/>
      <c r="HJ168" s="398">
        <f>IF(HI168=0,0,IF(LEN(GX168)=11,_xlfn.XLOOKUP(GX168,'Dispensed Ink Rates'!C:C,'Dispensed Ink Rates'!CS:CS),VLOOKUP(GX168,'Jan-2026 rates'!$E:$F,2,0)))</f>
        <v>0</v>
      </c>
      <c r="HK168" s="409"/>
      <c r="HL168" s="398">
        <f>IF(HK168=0,0,IF(LEN(GY168)=11,_xlfn.XLOOKUP(GY168,'Dispensed Ink Rates'!C:C,'Dispensed Ink Rates'!CS:CS),VLOOKUP(GY168,'Jan-2026 rates'!$E:$F,2,0)))</f>
        <v>0</v>
      </c>
      <c r="HM168" s="409"/>
      <c r="HN168" s="398">
        <f>IF(HM168=0,0,IF(LEN(GZ168)=11,_xlfn.XLOOKUP(GZ168,'Dispensed Ink Rates'!C:C,'Dispensed Ink Rates'!CS:CS),VLOOKUP(GZ168,'Jan-2026 rates'!$E:$F,2,0)))</f>
        <v>0</v>
      </c>
      <c r="HO168" s="409"/>
      <c r="HP168" s="398">
        <f>IF(HO168=0,0,IF(LEN(HA168)=11,_xlfn.XLOOKUP(HA168,'Dispensed Ink Rates'!C:C,'Dispensed Ink Rates'!CS:CS),VLOOKUP(HA168,'Jan-2026 rates'!$E:$F,2,0)))</f>
        <v>0</v>
      </c>
      <c r="HQ168" s="409"/>
      <c r="HR168" s="398">
        <f>IF(HQ168=0,0,IF(LEN(HB168)=11,_xlfn.XLOOKUP(HB168,'Dispensed Ink Rates'!C:C,'Dispensed Ink Rates'!CS:CS),VLOOKUP(HB168,'Jan-2026 rates'!$E:$F,2,0)))</f>
        <v>0</v>
      </c>
      <c r="HS168" s="409" t="s">
        <v>1881</v>
      </c>
      <c r="HT168" s="409">
        <v>25</v>
      </c>
      <c r="HU168" s="411">
        <f t="shared" si="121"/>
        <v>0</v>
      </c>
      <c r="HV168" s="411">
        <f t="shared" si="122"/>
        <v>5.48</v>
      </c>
      <c r="HW168" s="414">
        <f t="shared" si="123"/>
        <v>0</v>
      </c>
      <c r="HX168" s="405" t="s">
        <v>856</v>
      </c>
      <c r="HY168" s="409" t="s">
        <v>3567</v>
      </c>
      <c r="HZ168" s="420" t="str">
        <f t="shared" si="59"/>
        <v>ToyoLi - WHITE</v>
      </c>
      <c r="IA168" s="409">
        <v>25</v>
      </c>
      <c r="IB168" s="411">
        <f>IF(IA168=0,0,IF($LB168=70%,VLOOKUP($HZ168,'Jan-2026 rates'!$L:$R,4,0),IF($LB168=65%,VLOOKUP($HZ168,'Jan-2026 rates'!$L:$R,4,0),IF($LB168=40%,VLOOKUP($HZ168,'Jan-2026 rates'!$L:$R,5,0),IF($LB168=30%,VLOOKUP($HZ168,'Jan-2026 rates'!$L:$R,6,0),IF($LB168=100%,VLOOKUP($HZ168,'Jan-2026 rates'!$L:$R,7,0),IF($LB168=60%,VLOOKUP($HZ168,'Jan-2026 rates'!$L:$S,8,0),IF($LB168=80%,VLOOKUP($HZ168,'Jan-2026 rates'!L:T,9,0),0))))))))</f>
        <v>0</v>
      </c>
      <c r="IC168" s="412"/>
      <c r="ID168" s="409"/>
      <c r="IE168" s="411">
        <f>IF(ID168=0,0,IF($LB168=70%,VLOOKUP($HZ168,'Jan-2026 rates'!$L:$R,4,0),IF($LB168=65%,VLOOKUP($HZ168,'Jan-2026 rates'!$L:$R,4,0),IF($LB168=40%,VLOOKUP($HZ168,'Jan-2026 rates'!$L:$R,5,0),IF($LB168=30%,VLOOKUP($HZ168,'Jan-2026 rates'!$L:$R,6,0),IF($LB168=100%,VLOOKUP($HZ168,'Jan-2026 rates'!$L:$R,7,0),IF($LB168=60%,VLOOKUP($HZ168,'Jan-2026 rates'!$L:$S,8,0),IF($LB168=80%,VLOOKUP($HZ168,'Jan-2026 rates'!L:T,9,0),0))))))))</f>
        <v>0</v>
      </c>
      <c r="IF168" s="412" t="s">
        <v>1249</v>
      </c>
      <c r="IG168" s="413" t="s">
        <v>1122</v>
      </c>
      <c r="IH168" s="412"/>
      <c r="II168" s="412"/>
      <c r="IJ168" s="412"/>
      <c r="IK168" s="412"/>
      <c r="IL168" s="412"/>
      <c r="IM168" s="412"/>
      <c r="IN168" s="409">
        <v>20</v>
      </c>
      <c r="IO168" s="398">
        <f>IF(IN168=0,0,IF(LEN(IF168)=11,_xlfn.XLOOKUP(IF168,'Dispensed Ink Rates'!C:C,'Dispensed Ink Rates'!CS:CS),VLOOKUP(IF168,'Jan-2026 rates'!$E:$F,2,0)))</f>
        <v>0</v>
      </c>
      <c r="IP168" s="409">
        <v>3.99</v>
      </c>
      <c r="IQ168" s="398">
        <f>IF(IP168=0,0,IF(LEN(IG168)=11,_xlfn.XLOOKUP(IG168,'Dispensed Ink Rates'!C:C,'Dispensed Ink Rates'!CS:CS),VLOOKUP(IG168,'Jan-2026 rates'!$E:$F,2,0)))</f>
        <v>0</v>
      </c>
      <c r="IR168" s="409"/>
      <c r="IS168" s="398">
        <f>IF(IR168=0,0,IF(LEN(IH168)=11,_xlfn.XLOOKUP(IH168,'Dispensed Ink Rates'!C:C,'Dispensed Ink Rates'!CS:CS),VLOOKUP(IH168,'Jan-2026 rates'!$E:$F,2,0)))</f>
        <v>0</v>
      </c>
      <c r="IT168" s="409"/>
      <c r="IU168" s="398">
        <f>IF(IT168=0,0,IF(LEN(II168)=11,_xlfn.XLOOKUP(II168,'Dispensed Ink Rates'!C:C,'Dispensed Ink Rates'!CS:CS),VLOOKUP(II168,'Jan-2026 rates'!$E:$F,2,0)))</f>
        <v>0</v>
      </c>
      <c r="IV168" s="409"/>
      <c r="IW168" s="398">
        <f>IF(IV168=0,0,IF(LEN(IJ168)=11,_xlfn.XLOOKUP(IJ168,'Dispensed Ink Rates'!C:C,'Dispensed Ink Rates'!CS:CS),VLOOKUP(IJ168,'Jan-2026 rates'!$E:$F,2,0)))</f>
        <v>0</v>
      </c>
      <c r="IX168" s="409"/>
      <c r="IY168" s="398">
        <f>IF(IX168=0,0,IF(LEN(IK168)=11,_xlfn.XLOOKUP(IK168,'Dispensed Ink Rates'!C:C,'Dispensed Ink Rates'!CS:CS),VLOOKUP(IK168,'Jan-2026 rates'!$E:$F,2,0)))</f>
        <v>0</v>
      </c>
      <c r="IZ168" s="409"/>
      <c r="JA168" s="398">
        <f>IF(IZ168=0,0,IF(LEN(IL168)=11,_xlfn.XLOOKUP(IL168,'Dispensed Ink Rates'!C:C,'Dispensed Ink Rates'!CS:CS),VLOOKUP(IL168,'Jan-2026 rates'!$E:$F,2,0)))</f>
        <v>0</v>
      </c>
      <c r="JB168" s="409"/>
      <c r="JC168" s="398">
        <f>IF(JB168=0,0,IF(LEN(IM168)=11,_xlfn.XLOOKUP(IM168,'Dispensed Ink Rates'!C:C,'Dispensed Ink Rates'!CS:CS),VLOOKUP(IM168,'Jan-2026 rates'!$E:$F,2,0)))</f>
        <v>0</v>
      </c>
      <c r="JD168" s="409" t="s">
        <v>1881</v>
      </c>
      <c r="JE168" s="409">
        <v>25</v>
      </c>
      <c r="JF168" s="411">
        <f t="shared" si="124"/>
        <v>0</v>
      </c>
      <c r="JG168" s="411">
        <f t="shared" si="125"/>
        <v>36.39</v>
      </c>
      <c r="JH168" s="410">
        <f t="shared" si="126"/>
        <v>0</v>
      </c>
      <c r="JI168" s="405"/>
      <c r="JJ168" s="409"/>
      <c r="JK168" s="420" t="str">
        <f t="shared" si="60"/>
        <v xml:space="preserve"> - </v>
      </c>
      <c r="JL168" s="409"/>
      <c r="JM168" s="411">
        <f>IF(JL168=0,0,IF($LB168=70%,VLOOKUP($JK168,'Jan-2026 rates'!$L:$R,4,0),IF($LB168=65%,VLOOKUP($JK168,'Jan-2026 rates'!$L:$R,4,0),IF($LB168=40%,VLOOKUP($JK168,'Jan-2026 rates'!$L:$R,5,0),IF($LB168=30%,VLOOKUP($JK168,'Jan-2026 rates'!$L:$R,6,0),IF($LB168=100%,VLOOKUP($JK168,'Jan-2026 rates'!$L:$R,7,0),IF($LB168=60%,VLOOKUP($JK168,'Jan-2026 rates'!$L:$S,8,0),IF($LB168=80%,VLOOKUP($JK168,'Jan-2026 rates'!L:T,9,0),0))))))))</f>
        <v>0</v>
      </c>
      <c r="JN168" s="412"/>
      <c r="JO168" s="409"/>
      <c r="JP168" s="411">
        <f>IF(JO168=0,0,IF($LB168=70%,VLOOKUP($JK168,'Jan-2026 rates'!$L:$R,4,0),IF($LB168=65%,VLOOKUP($JK168,'Jan-2026 rates'!$L:$R,4,0),IF($LB168=40%,VLOOKUP($JK168,'Jan-2026 rates'!$L:$R,5,0),IF($LB168=30%,VLOOKUP($JK168,'Jan-2026 rates'!$L:$R,6,0),IF($LB168=100%,VLOOKUP($JK168,'Jan-2026 rates'!$L:$R,7,0),IF($LB168=60%,VLOOKUP($JK168,'Jan-2026 rates'!$L:$S,8,0),IF($LB168=80%,VLOOKUP($JK168,'Jan-2026 rates'!L:T,9,0),0))))))))</f>
        <v>0</v>
      </c>
      <c r="JQ168" s="413"/>
      <c r="JR168" s="412"/>
      <c r="JS168" s="413"/>
      <c r="JT168" s="413"/>
      <c r="JU168" s="412"/>
      <c r="JV168" s="412"/>
      <c r="JW168" s="412"/>
      <c r="JX168" s="412"/>
      <c r="JY168" s="409"/>
      <c r="JZ168" s="398">
        <f>IF(JY168=0,0,IF(LEN(JQ168)=11,_xlfn.XLOOKUP(JQ168,'Dispensed Ink Rates'!C:C,'Dispensed Ink Rates'!CS:CS),VLOOKUP(JQ168,'Jan-2026 rates'!$E:$F,2,0)))</f>
        <v>0</v>
      </c>
      <c r="KA168" s="409"/>
      <c r="KB168" s="398">
        <f>IF(KA168=0,0,IF(LEN(JR168)=11,_xlfn.XLOOKUP(JR168,'Dispensed Ink Rates'!C:C,'Dispensed Ink Rates'!CS:CS),VLOOKUP(JR168,'Jan-2026 rates'!$E:$F,2,0)))</f>
        <v>0</v>
      </c>
      <c r="KC168" s="409"/>
      <c r="KD168" s="398">
        <f>IF(KC168=0,0,IF(LEN(JS168)=11,_xlfn.XLOOKUP(JS168,'Dispensed Ink Rates'!C:C,'Dispensed Ink Rates'!CS:CS),VLOOKUP(JS168,'Jan-2026 rates'!$E:$F,2,0)))</f>
        <v>0</v>
      </c>
      <c r="KE168" s="409"/>
      <c r="KF168" s="398">
        <f>IF(KE168=0,0,IF(LEN(JT168)=11,_xlfn.XLOOKUP(JT168,'Dispensed Ink Rates'!C:C,'Dispensed Ink Rates'!CS:CS),VLOOKUP(JT168,'Jan-2026 rates'!$E:$F,2,0)))</f>
        <v>0</v>
      </c>
      <c r="KG168" s="409"/>
      <c r="KH168" s="398">
        <f>IF(KG168=0,0,IF(LEN(JU168)=11,_xlfn.XLOOKUP(JU168,'Dispensed Ink Rates'!C:C,'Dispensed Ink Rates'!CS:CS),VLOOKUP(JU168,'Jan-2026 rates'!$E:$F,2,0)))</f>
        <v>0</v>
      </c>
      <c r="KI168" s="409"/>
      <c r="KJ168" s="398">
        <f>IF(KI168=0,0,IF(LEN(JV168)=11,_xlfn.XLOOKUP(JV168,'Dispensed Ink Rates'!C:C,'Dispensed Ink Rates'!CS:CS),VLOOKUP(JV168,'Jan-2026 rates'!$E:$F,2,0)))</f>
        <v>0</v>
      </c>
      <c r="KK168" s="409"/>
      <c r="KL168" s="398">
        <f>IF(KK168=0,0,IF(LEN(JW168)=11,_xlfn.XLOOKUP(JW168,'Dispensed Ink Rates'!C:C,'Dispensed Ink Rates'!CS:CS),VLOOKUP(JW168,'Jan-2026 rates'!$E:$F,2,0)))</f>
        <v>0</v>
      </c>
      <c r="KM168" s="428"/>
      <c r="KN168" s="398">
        <f>IF(KM168=0,0,IF(LEN(JX168)=11,_xlfn.XLOOKUP(JX168,'Dispensed Ink Rates'!C:C,'Dispensed Ink Rates'!CS:CS),VLOOKUP(JX168,'Jan-2026 rates'!$E:$F,2,0)))</f>
        <v>0</v>
      </c>
      <c r="KO168" s="409"/>
      <c r="KP168" s="409"/>
      <c r="KQ168" s="411">
        <f t="shared" si="127"/>
        <v>0</v>
      </c>
      <c r="KR168" s="411">
        <f t="shared" si="128"/>
        <v>0</v>
      </c>
      <c r="KS168" s="410">
        <f t="shared" si="129"/>
        <v>0</v>
      </c>
      <c r="KT168" s="409">
        <v>2</v>
      </c>
      <c r="KU168" s="409">
        <v>3</v>
      </c>
      <c r="KV168" s="409">
        <v>3</v>
      </c>
      <c r="KW168" s="409">
        <v>3</v>
      </c>
      <c r="KX168" s="409">
        <v>2</v>
      </c>
      <c r="KY168" s="409">
        <v>2</v>
      </c>
      <c r="KZ168" s="409">
        <v>10</v>
      </c>
      <c r="LA168" s="409">
        <v>0</v>
      </c>
      <c r="LB168" s="415">
        <v>0.3</v>
      </c>
      <c r="LC168" s="415"/>
      <c r="LD168" s="415"/>
      <c r="LE168" s="415">
        <v>0.5</v>
      </c>
      <c r="LF168" s="415">
        <v>0.2</v>
      </c>
      <c r="LG168" s="409">
        <v>0</v>
      </c>
      <c r="LH168" s="409">
        <f>10+1+6+10+4</f>
        <v>31</v>
      </c>
      <c r="LI168" s="409">
        <v>0</v>
      </c>
      <c r="LJ168" s="409">
        <v>0</v>
      </c>
      <c r="LK168" s="416">
        <f t="shared" si="61"/>
        <v>31</v>
      </c>
      <c r="LL168" s="416">
        <f t="shared" si="62"/>
        <v>31</v>
      </c>
      <c r="LM168" s="417">
        <f t="shared" si="63"/>
        <v>9.2999999999999989</v>
      </c>
      <c r="LN168" s="417">
        <f>VLOOKUP($LM$8,'Jan-2026 rates'!$H:$I,2,0)</f>
        <v>0</v>
      </c>
      <c r="LO168" s="417">
        <f t="shared" si="64"/>
        <v>0</v>
      </c>
      <c r="LP168" s="417">
        <f>VLOOKUP($LO$8,'Jan-2026 rates'!$H:$I,2,0)</f>
        <v>0</v>
      </c>
      <c r="LQ168" s="417">
        <f t="shared" si="65"/>
        <v>0</v>
      </c>
      <c r="LR168" s="417">
        <f>VLOOKUP($LQ$8,'Jan-2026 rates'!$H:$I,2,0)</f>
        <v>0</v>
      </c>
      <c r="LS168" s="417">
        <f t="shared" si="66"/>
        <v>15.5</v>
      </c>
      <c r="LT168" s="417">
        <f>VLOOKUP($LS$8,'Jan-2026 rates'!$H:$I,2,0)</f>
        <v>0</v>
      </c>
      <c r="LU168" s="417">
        <f t="shared" si="67"/>
        <v>6.2</v>
      </c>
      <c r="LV168" s="417">
        <f>VLOOKUP($LU$8,'Jan-2026 rates'!$H:$I,2,0)</f>
        <v>0</v>
      </c>
      <c r="LW168" s="417">
        <f t="shared" si="68"/>
        <v>0</v>
      </c>
      <c r="LX168" s="417">
        <f t="shared" si="69"/>
        <v>0</v>
      </c>
      <c r="LY168" s="418">
        <f t="shared" si="70"/>
        <v>0</v>
      </c>
      <c r="LZ168" s="417"/>
      <c r="MA168" s="435">
        <f t="shared" si="71"/>
        <v>46.99</v>
      </c>
      <c r="MB168" s="282">
        <f t="shared" si="72"/>
        <v>63.989999999999995</v>
      </c>
      <c r="MC168" s="283" t="s">
        <v>2003</v>
      </c>
      <c r="MD168" s="284" t="str">
        <f t="shared" si="73"/>
        <v>ToyoLiToyoLiToyoLiToyoLiToyoLiToyoLiToyoLi</v>
      </c>
      <c r="ME168" s="293" t="str">
        <f t="shared" si="74"/>
        <v>+</v>
      </c>
      <c r="MF168" s="293" t="str">
        <f t="shared" si="75"/>
        <v>+</v>
      </c>
      <c r="MG168" s="293" t="str">
        <f t="shared" si="76"/>
        <v>+</v>
      </c>
      <c r="MH168" s="293" t="str">
        <f t="shared" si="77"/>
        <v>+</v>
      </c>
      <c r="MI168" s="293" t="str">
        <f t="shared" si="78"/>
        <v>+</v>
      </c>
      <c r="MJ168" s="293" t="str">
        <f t="shared" si="79"/>
        <v>+</v>
      </c>
      <c r="MK168" s="293" t="str">
        <f t="shared" si="80"/>
        <v>+</v>
      </c>
      <c r="ML168" s="293" t="str">
        <f t="shared" si="81"/>
        <v>NIL</v>
      </c>
      <c r="MM168" s="3" t="b">
        <f t="array" ref="MM168">OR(ME168:ML168="-")</f>
        <v>0</v>
      </c>
      <c r="MN168" s="285"/>
      <c r="MO168" s="401"/>
      <c r="MP168" s="286"/>
      <c r="MQ168" s="286"/>
      <c r="MR168" s="402"/>
      <c r="MS168" s="400"/>
      <c r="NH168" s="422"/>
      <c r="NJ168" s="421"/>
    </row>
    <row r="169" spans="1:374" s="1" customFormat="1" ht="16.5">
      <c r="A169" s="403">
        <v>46034</v>
      </c>
      <c r="B169" s="404" t="s">
        <v>1018</v>
      </c>
      <c r="C169" s="405" t="s">
        <v>3568</v>
      </c>
      <c r="D169" s="406" t="s">
        <v>2004</v>
      </c>
      <c r="E169" s="404">
        <v>58</v>
      </c>
      <c r="F169" s="407">
        <v>3700</v>
      </c>
      <c r="G169" s="407" t="s">
        <v>1016</v>
      </c>
      <c r="H169" s="408" t="s">
        <v>1017</v>
      </c>
      <c r="I169" s="409">
        <v>1.85</v>
      </c>
      <c r="J169" s="405" t="s">
        <v>543</v>
      </c>
      <c r="K169" s="404" t="s">
        <v>3569</v>
      </c>
      <c r="L169" s="419" t="str">
        <f t="shared" si="54"/>
        <v>ToyoLi - BLACK</v>
      </c>
      <c r="M169" s="404">
        <v>29</v>
      </c>
      <c r="N169" s="410">
        <f>IF(M169=0,0,IF($LB169=70%,VLOOKUP($L169,'Jan-2026 rates'!$L:$R,4,0),IF($LB169=65%,VLOOKUP($L169,'Jan-2026 rates'!$L:$R,4,0),IF($LB169=40%,VLOOKUP($L169,'Jan-2026 rates'!$L:$R,5,0),IF($LB169=30%,VLOOKUP($L169,'Jan-2026 rates'!$L:$R,6,0),IF($LB169=100%,VLOOKUP($L169,'Jan-2026 rates'!$L:$R,7,0),IF($LB169=60%,VLOOKUP($L169,'Jan-2026 rates'!$L:$S,8,0),IF($LB169=80%,VLOOKUP($L169,'Jan-2026 rates'!L:T,9,0),0))))))))</f>
        <v>0</v>
      </c>
      <c r="O169" s="406"/>
      <c r="P169" s="404"/>
      <c r="Q169" s="410">
        <f>IF(P169=0,0,IF($LB169=70%,VLOOKUP($L169,'Jan-2026 rates'!$L:$R,4,0),IF($LB169=65%,VLOOKUP($L169,'Jan-2026 rates'!$L:$R,4,0),IF($LB169=40%,VLOOKUP($L169,'Jan-2026 rates'!$L:$R,5,0),IF($LB169=30%,VLOOKUP($L169,'Jan-2026 rates'!$L:$R,6,0),IF($LB169=100%,VLOOKUP($L169,'Jan-2026 rates'!$L:$R,7,0),IF($LB169=60%,VLOOKUP($L169,'Jan-2026 rates'!$L:$S,8,0),IF($LB169=80%,VLOOKUP($L169,'Jan-2026 rates'!L:T,9,0),0))))))))</f>
        <v>0</v>
      </c>
      <c r="R169" s="406"/>
      <c r="S169" s="406"/>
      <c r="T169" s="406"/>
      <c r="U169" s="406"/>
      <c r="V169" s="406"/>
      <c r="W169" s="406"/>
      <c r="X169" s="406"/>
      <c r="Y169" s="406"/>
      <c r="Z169" s="404"/>
      <c r="AA169" s="398">
        <f>IF(Z169=0,0,IF(LEN(R169)=11,_xlfn.XLOOKUP(R169,'Dispensed Ink Rates'!C:C,'Dispensed Ink Rates'!CS:CS),VLOOKUP(R169,'Jan-2026 rates'!$E:$F,2,0)))</f>
        <v>0</v>
      </c>
      <c r="AB169" s="404"/>
      <c r="AC169" s="398">
        <f>IF(AB169=0,0,IF(LEN(S169)=11,_xlfn.XLOOKUP(S169,'Dispensed Ink Rates'!C:C,'Dispensed Ink Rates'!CS:CS),VLOOKUP(S169,'Jan-2026 rates'!$E:$F,2,0)))</f>
        <v>0</v>
      </c>
      <c r="AD169" s="404"/>
      <c r="AE169" s="398">
        <f>IF(AD169=0,0,IF(LEN(T169)=11,_xlfn.XLOOKUP(T169,'Dispensed Ink Rates'!C:C,'Dispensed Ink Rates'!CS:CS),VLOOKUP(T169,'Jan-2026 rates'!$E:$F,2,0)))</f>
        <v>0</v>
      </c>
      <c r="AF169" s="404"/>
      <c r="AG169" s="398">
        <f>IF(AF169=0,0,IF(LEN(U169)=11,_xlfn.XLOOKUP(U169,'Dispensed Ink Rates'!C:C,'Dispensed Ink Rates'!CS:CS),VLOOKUP(U169,'Jan-2026 rates'!$E:$F,2,0)))</f>
        <v>0</v>
      </c>
      <c r="AH169" s="404"/>
      <c r="AI169" s="398">
        <f>IF(AH169=0,0,IF(LEN(V169)=11,_xlfn.XLOOKUP(V169,'Dispensed Ink Rates'!C:C,'Dispensed Ink Rates'!CS:CS),VLOOKUP(V169,'Jan-2026 rates'!$E:$F,2,0)))</f>
        <v>0</v>
      </c>
      <c r="AJ169" s="404"/>
      <c r="AK169" s="398">
        <f>IF(AJ169=0,0,IF(LEN(W169)=11,_xlfn.XLOOKUP(W169,'Dispensed Ink Rates'!C:C,'Dispensed Ink Rates'!CS:CS),VLOOKUP(W169,'Jan-2026 rates'!$E:$F,2,0)))</f>
        <v>0</v>
      </c>
      <c r="AL169" s="404"/>
      <c r="AM169" s="398">
        <f>IF(AL169=0,0,IF(LEN(X169)=11,_xlfn.XLOOKUP(X169,'Dispensed Ink Rates'!C:C,'Dispensed Ink Rates'!CS:CS),VLOOKUP(X169,'Jan-2026 rates'!$E:$F,2,0)))</f>
        <v>0</v>
      </c>
      <c r="AN169" s="404"/>
      <c r="AO169" s="398">
        <f>IF(AN169=0,0,IF(LEN(Y169)=11,_xlfn.XLOOKUP(Y169,'Dispensed Ink Rates'!C:C,'Dispensed Ink Rates'!CS:CS),VLOOKUP(Y169,'Jan-2026 rates'!$E:$F,2,0)))</f>
        <v>0</v>
      </c>
      <c r="AP169" s="409" t="s">
        <v>1881</v>
      </c>
      <c r="AQ169" s="409">
        <v>26</v>
      </c>
      <c r="AR169" s="410">
        <f t="shared" si="106"/>
        <v>0</v>
      </c>
      <c r="AS169" s="411">
        <f t="shared" si="107"/>
        <v>5.6363636363636367</v>
      </c>
      <c r="AT169" s="410">
        <f t="shared" si="108"/>
        <v>0</v>
      </c>
      <c r="AU169" s="405" t="s">
        <v>828</v>
      </c>
      <c r="AV169" s="409" t="s">
        <v>3570</v>
      </c>
      <c r="AW169" s="420" t="str">
        <f t="shared" si="130"/>
        <v>ToyoLi - ORANGE</v>
      </c>
      <c r="AX169" s="409">
        <v>20</v>
      </c>
      <c r="AY169" s="411">
        <f>IF(AX169=0,0,IF($LB169=70%,VLOOKUP($AW169,'Jan-2026 rates'!$L:$R,4,0),IF($LB169=65%,VLOOKUP($AW169,'Jan-2026 rates'!$L:$R,4,0),IF($LB169=40%,VLOOKUP($AW169,'Jan-2026 rates'!$L:$R,5,0),IF($LB169=30%,VLOOKUP($AW169,'Jan-2026 rates'!$L:$R,6,0),IF($LB169=100%,VLOOKUP($AW169,'Jan-2026 rates'!$L:$R,7,0),IF($LB169=60%,VLOOKUP($AW169,'Jan-2026 rates'!$L:$S,8,0),IF($LB169=80%,VLOOKUP($AW169,'Jan-2026 rates'!L:T,9,0),0))))))))</f>
        <v>0</v>
      </c>
      <c r="AZ169" s="412"/>
      <c r="BA169" s="409"/>
      <c r="BB169" s="411">
        <f>IF(BA169=0,0,IF($LB169=70%,VLOOKUP($AW169,'Jan-2026 rates'!$L:$R,4,0),IF($LB169=65%,VLOOKUP($AW169,'Jan-2026 rates'!$L:$R,4,0),IF($LB169=40%,VLOOKUP($AW169,'Jan-2026 rates'!$L:$R,5,0),IF($LB169=30%,VLOOKUP($AW169,'Jan-2026 rates'!$L:$R,6,0),IF($LB169=100%,VLOOKUP($AW169,'Jan-2026 rates'!$L:$R,7,0),IF($LB169=60%,VLOOKUP($AW169,'Jan-2026 rates'!$L:$S,8,0),IF($LB169=80%,VLOOKUP($AW169,'Jan-2026 rates'!L:T,9,0),0))))))))</f>
        <v>0</v>
      </c>
      <c r="BC169" s="413"/>
      <c r="BD169" s="412"/>
      <c r="BE169" s="412"/>
      <c r="BF169" s="413"/>
      <c r="BG169" s="412"/>
      <c r="BH169" s="412"/>
      <c r="BI169" s="412"/>
      <c r="BJ169" s="412"/>
      <c r="BK169" s="409"/>
      <c r="BL169" s="398">
        <f>IF(BK169=0,0,IF(LEN(BC169)=11,_xlfn.XLOOKUP(BC169,'Dispensed Ink Rates'!C:C,'Dispensed Ink Rates'!CS:CS),VLOOKUP(BC169,'Jan-2026 rates'!$E:$F,2,0)))</f>
        <v>0</v>
      </c>
      <c r="BM169" s="409"/>
      <c r="BN169" s="398">
        <f>IF(BM169=0,0,IF(LEN(BD169)=11,_xlfn.XLOOKUP(BD169,'Dispensed Ink Rates'!C:C,'Dispensed Ink Rates'!CS:CS),VLOOKUP(BD169,'Jan-2026 rates'!$E:$F,2,0)))</f>
        <v>0</v>
      </c>
      <c r="BO169" s="409"/>
      <c r="BP169" s="398">
        <f>IF(BO169=0,0,IF(LEN(BE169)=11,_xlfn.XLOOKUP(BE169,'Dispensed Ink Rates'!C:C,'Dispensed Ink Rates'!CS:CS),VLOOKUP(BE169,'Jan-2026 rates'!$E:$F,2,0)))</f>
        <v>0</v>
      </c>
      <c r="BQ169" s="409"/>
      <c r="BR169" s="398">
        <f>IF(BQ169=0,0,IF(LEN(BF169)=11,_xlfn.XLOOKUP(BF169,'Dispensed Ink Rates'!C:C,'Dispensed Ink Rates'!CS:CS),VLOOKUP(BF169,'Jan-2026 rates'!$E:$F,2,0)))</f>
        <v>0</v>
      </c>
      <c r="BS169" s="409"/>
      <c r="BT169" s="398">
        <f>IF(BS169=0,0,IF(LEN(BG169)=11,_xlfn.XLOOKUP(BG169,'Dispensed Ink Rates'!C:C,'Dispensed Ink Rates'!CS:CS),VLOOKUP(BG169,'Jan-2026 rates'!$E:$F,2,0)))</f>
        <v>0</v>
      </c>
      <c r="BU169" s="409"/>
      <c r="BV169" s="398">
        <f>IF(BU169=0,0,IF(LEN(BH169)=11,_xlfn.XLOOKUP(BH169,'Dispensed Ink Rates'!C:C,'Dispensed Ink Rates'!CS:CS),VLOOKUP(BH169,'Jan-2026 rates'!$E:$F,2,0)))</f>
        <v>0</v>
      </c>
      <c r="BW169" s="409"/>
      <c r="BX169" s="398">
        <f>IF(BW169=0,0,IF(LEN(BI169)=11,_xlfn.XLOOKUP(BI169,'Dispensed Ink Rates'!C:C,'Dispensed Ink Rates'!CS:CS),VLOOKUP(BI169,'Jan-2026 rates'!$E:$F,2,0)))</f>
        <v>0</v>
      </c>
      <c r="BY169" s="409"/>
      <c r="BZ169" s="398">
        <f>IF(BY169=0,0,IF(LEN(BJ169)=11,_xlfn.XLOOKUP(BJ169,'Dispensed Ink Rates'!C:C,'Dispensed Ink Rates'!CS:CS),VLOOKUP(BJ169,'Jan-2026 rates'!$E:$F,2,0)))</f>
        <v>0</v>
      </c>
      <c r="CA169" s="409" t="s">
        <v>1881</v>
      </c>
      <c r="CB169" s="409">
        <v>19</v>
      </c>
      <c r="CC169" s="411">
        <f t="shared" si="109"/>
        <v>0</v>
      </c>
      <c r="CD169" s="411">
        <f t="shared" si="110"/>
        <v>3.6363636363636367</v>
      </c>
      <c r="CE169" s="410">
        <f t="shared" si="111"/>
        <v>0</v>
      </c>
      <c r="CF169" s="404" t="s">
        <v>857</v>
      </c>
      <c r="CG169" s="409" t="s">
        <v>3571</v>
      </c>
      <c r="CH169" s="420" t="str">
        <f t="shared" si="55"/>
        <v>ToyoLi - RED</v>
      </c>
      <c r="CI169" s="409">
        <v>24</v>
      </c>
      <c r="CJ169" s="411">
        <f>IF(CI169=0,0,IF($LB169=70%,VLOOKUP($CH169,'Jan-2026 rates'!$L:$R,4,0),IF($LB169=65%,VLOOKUP($CH169,'Jan-2026 rates'!$L:$R,4,0),IF($LB169=40%,VLOOKUP($CH169,'Jan-2026 rates'!$L:$R,5,0),IF($LB169=30%,VLOOKUP($CH169,'Jan-2026 rates'!$L:$R,6,0),IF($LB169=100%,VLOOKUP($CH169,'Jan-2026 rates'!$L:$R,7,0),IF($LB169=60%,VLOOKUP($CH169,'Jan-2026 rates'!$L:$S,8,0),IF($LB169=80%,VLOOKUP($CH169,'Jan-2026 rates'!L:T,9,0),0))))))))</f>
        <v>0</v>
      </c>
      <c r="CK169" s="412"/>
      <c r="CL169" s="409"/>
      <c r="CM169" s="411">
        <f>IF(CL169=0,0,IF($LB169=70%,VLOOKUP($CH169,'Jan-2026 rates'!$L:$R,4,0),IF($LB169=65%,VLOOKUP($CH169,'Jan-2026 rates'!$L:$R,4,0),IF($LB169=40%,VLOOKUP($CH169,'Jan-2026 rates'!$L:$R,5,0),IF($LB169=30%,VLOOKUP($CH169,'Jan-2026 rates'!$L:$R,6,0),IF($LB169=100%,VLOOKUP($CH169,'Jan-2026 rates'!$L:$R,7,0),IF($LB169=60%,VLOOKUP($CH169,'Jan-2026 rates'!$L:$S,8,0),IF($LB169=80%,VLOOKUP($CH169,'Jan-2026 rates'!L:T,9,0),0))))))))</f>
        <v>0</v>
      </c>
      <c r="CN169" s="426"/>
      <c r="CO169" s="427"/>
      <c r="CP169" s="426"/>
      <c r="CQ169" s="426"/>
      <c r="CR169" s="428"/>
      <c r="CS169" s="428"/>
      <c r="CT169" s="428"/>
      <c r="CU169" s="428"/>
      <c r="CV169" s="409"/>
      <c r="CW169" s="398">
        <f>IF(CV169=0,0,IF(LEN(CN169)=11,_xlfn.XLOOKUP(CN169,'Dispensed Ink Rates'!C:C,'Dispensed Ink Rates'!CS:CS),VLOOKUP(CN169,'Jan-2026 rates'!$E:$F,2,0)))</f>
        <v>0</v>
      </c>
      <c r="CX169" s="409"/>
      <c r="CY169" s="398">
        <f>IF(CX169=0,0,IF(LEN(CO169)=11,_xlfn.XLOOKUP(CO169,'Dispensed Ink Rates'!C:C,'Dispensed Ink Rates'!CS:CS),VLOOKUP(CO169,'Jan-2026 rates'!$E:$F,2,0)))</f>
        <v>0</v>
      </c>
      <c r="CZ169" s="409"/>
      <c r="DA169" s="398">
        <f>IF(CZ169=0,0,IF(LEN(CP169)=11,_xlfn.XLOOKUP(CP169,'Dispensed Ink Rates'!C:C,'Dispensed Ink Rates'!CS:CS),VLOOKUP(CP169,'Jan-2026 rates'!$E:$F,2,0)))</f>
        <v>0</v>
      </c>
      <c r="DB169" s="409"/>
      <c r="DC169" s="398">
        <f>IF(DB169=0,0,IF(LEN(CQ169)=11,_xlfn.XLOOKUP(CQ169,'Dispensed Ink Rates'!C:C,'Dispensed Ink Rates'!CS:CS),VLOOKUP(CQ169,'Jan-2026 rates'!$E:$F,2,0)))</f>
        <v>0</v>
      </c>
      <c r="DD169" s="409"/>
      <c r="DE169" s="398">
        <f>IF(DD169=0,0,IF(LEN(CR169)=11,_xlfn.XLOOKUP(CR169,'Dispensed Ink Rates'!C:C,'Dispensed Ink Rates'!CS:CS),VLOOKUP(CR169,'Jan-2026 rates'!$E:$F,2,0)))</f>
        <v>0</v>
      </c>
      <c r="DF169" s="409"/>
      <c r="DG169" s="398">
        <f>IF(DF169=0,0,IF(LEN(CS169)=11,_xlfn.XLOOKUP(CS169,'Dispensed Ink Rates'!C:C,'Dispensed Ink Rates'!CS:CS),VLOOKUP(CS169,'Jan-2026 rates'!$E:$F,2,0)))</f>
        <v>0</v>
      </c>
      <c r="DH169" s="409"/>
      <c r="DI169" s="398">
        <f>IF(DH169=0,0,IF(LEN(CT169)=11,_xlfn.XLOOKUP(CT169,'Dispensed Ink Rates'!C:C,'Dispensed Ink Rates'!CS:CS),VLOOKUP(CT169,'Jan-2026 rates'!$E:$F,2,0)))</f>
        <v>0</v>
      </c>
      <c r="DJ169" s="409"/>
      <c r="DK169" s="398">
        <f>IF(DJ169=0,0,IF(LEN(CU169)=11,_xlfn.XLOOKUP(CU169,'Dispensed Ink Rates'!C:C,'Dispensed Ink Rates'!CS:CS),VLOOKUP(CU169,'Jan-2026 rates'!$E:$F,2,0)))</f>
        <v>0</v>
      </c>
      <c r="DL169" s="409" t="s">
        <v>1881</v>
      </c>
      <c r="DM169" s="409">
        <v>22</v>
      </c>
      <c r="DN169" s="411">
        <f t="shared" si="112"/>
        <v>0</v>
      </c>
      <c r="DO169" s="411">
        <f t="shared" si="113"/>
        <v>4.6363636363636367</v>
      </c>
      <c r="DP169" s="410">
        <f t="shared" si="114"/>
        <v>0</v>
      </c>
      <c r="DQ169" s="405" t="s">
        <v>546</v>
      </c>
      <c r="DR169" s="409" t="s">
        <v>3569</v>
      </c>
      <c r="DS169" s="420" t="str">
        <f t="shared" si="56"/>
        <v>ToyoLi - REFLEX BLUE</v>
      </c>
      <c r="DT169" s="409">
        <v>29</v>
      </c>
      <c r="DU169" s="411">
        <f>IF(DT169=0,0,IF($LB169=70%,VLOOKUP($DS169,'Jan-2026 rates'!$L:$R,4,0),IF($LB169=65%,VLOOKUP($DS169,'Jan-2026 rates'!$L:$R,4,0),IF($LB169=40%,VLOOKUP($DS169,'Jan-2026 rates'!$L:$R,5,0),IF($LB169=30%,VLOOKUP($DS169,'Jan-2026 rates'!$L:$R,6,0),IF($LB169=100%,VLOOKUP($DS169,'Jan-2026 rates'!$L:$R,7,0),IF($LB169=60%,VLOOKUP($DS169,'Jan-2026 rates'!$L:$S,8,0),IF($LB169=80%,VLOOKUP($DS169,'Jan-2026 rates'!L:T,9,0),0))))))))</f>
        <v>0</v>
      </c>
      <c r="DV169" s="412"/>
      <c r="DW169" s="409"/>
      <c r="DX169" s="411">
        <f>IF(DW169=0,0,IF($LB169=70%,VLOOKUP($DS169,'Jan-2026 rates'!$L:$R,4,0),IF($LB169=65%,VLOOKUP($DS169,'Jan-2026 rates'!$L:$R,4,0),IF($LB169=40%,VLOOKUP($DS169,'Jan-2026 rates'!$L:$R,5,0),IF($LB169=30%,VLOOKUP($DS169,'Jan-2026 rates'!$L:$R,6,0),IF($LB169=100%,VLOOKUP($DS169,'Jan-2026 rates'!$L:$R,7,0),IF($LB169=60%,VLOOKUP($DS169,'Jan-2026 rates'!$L:$S,8,0),IF($LB169=80%,VLOOKUP($DS169,'Jan-2026 rates'!L:T,9,0),0))))))))</f>
        <v>0</v>
      </c>
      <c r="DY169" s="413"/>
      <c r="DZ169" s="413"/>
      <c r="EA169" s="412"/>
      <c r="EB169" s="412"/>
      <c r="EC169" s="412"/>
      <c r="ED169" s="412"/>
      <c r="EE169" s="412"/>
      <c r="EF169" s="412"/>
      <c r="EG169" s="409"/>
      <c r="EH169" s="398">
        <f>IF(EG169=0,0,IF(LEN(DY169)=11,_xlfn.XLOOKUP(DY169,'Dispensed Ink Rates'!C:C,'Dispensed Ink Rates'!CS:CS),VLOOKUP(DY169,'Jan-2026 rates'!$E:$F,2,0)))</f>
        <v>0</v>
      </c>
      <c r="EI169" s="409"/>
      <c r="EJ169" s="398">
        <f>IF(EI169=0,0,IF(LEN(DZ169)=11,_xlfn.XLOOKUP(DZ169,'Dispensed Ink Rates'!C:C,'Dispensed Ink Rates'!CS:CS),VLOOKUP(DZ169,'Jan-2026 rates'!$E:$F,2,0)))</f>
        <v>0</v>
      </c>
      <c r="EK169" s="409"/>
      <c r="EL169" s="398">
        <f>IF(EK169=0,0,IF(LEN(EA169)=11,_xlfn.XLOOKUP(EA169,'Dispensed Ink Rates'!C:C,'Dispensed Ink Rates'!CS:CS),VLOOKUP(EA169,'Jan-2026 rates'!$E:$F,2,0)))</f>
        <v>0</v>
      </c>
      <c r="EM169" s="409"/>
      <c r="EN169" s="398">
        <f>IF(EM169=0,0,IF(LEN(EB169)=11,_xlfn.XLOOKUP(EB169,'Dispensed Ink Rates'!C:C,'Dispensed Ink Rates'!CS:CS),VLOOKUP(EB169,'Jan-2026 rates'!$E:$F,2,0)))</f>
        <v>0</v>
      </c>
      <c r="EO169" s="409"/>
      <c r="EP169" s="398">
        <f>IF(EO169=0,0,IF(LEN(EC169)=11,_xlfn.XLOOKUP(EC169,'Dispensed Ink Rates'!C:C,'Dispensed Ink Rates'!CS:CS),VLOOKUP(EC169,'Jan-2026 rates'!$E:$F,2,0)))</f>
        <v>0</v>
      </c>
      <c r="EQ169" s="409"/>
      <c r="ER169" s="398">
        <f>IF(EQ169=0,0,IF(LEN(ED169)=11,_xlfn.XLOOKUP(ED169,'Dispensed Ink Rates'!C:C,'Dispensed Ink Rates'!CS:CS),VLOOKUP(ED169,'Jan-2026 rates'!$E:$F,2,0)))</f>
        <v>0</v>
      </c>
      <c r="ES169" s="409"/>
      <c r="ET169" s="398">
        <f>IF(ES169=0,0,IF(LEN(EE169)=11,_xlfn.XLOOKUP(EE169,'Dispensed Ink Rates'!C:C,'Dispensed Ink Rates'!CS:CS),VLOOKUP(EE169,'Jan-2026 rates'!$E:$F,2,0)))</f>
        <v>0</v>
      </c>
      <c r="EU169" s="409"/>
      <c r="EV169" s="398">
        <f>IF(EU169=0,0,IF(LEN(EF169)=11,_xlfn.XLOOKUP(EF169,'Dispensed Ink Rates'!C:C,'Dispensed Ink Rates'!CS:CS),VLOOKUP(EF169,'Jan-2026 rates'!$E:$F,2,0)))</f>
        <v>0</v>
      </c>
      <c r="EW169" s="409" t="s">
        <v>1881</v>
      </c>
      <c r="EX169" s="409">
        <f>14+10</f>
        <v>24</v>
      </c>
      <c r="EY169" s="411">
        <f t="shared" si="115"/>
        <v>0</v>
      </c>
      <c r="EZ169" s="411">
        <f t="shared" si="116"/>
        <v>7.6363636363636367</v>
      </c>
      <c r="FA169" s="410">
        <f t="shared" si="117"/>
        <v>0</v>
      </c>
      <c r="FB169" s="405" t="s">
        <v>855</v>
      </c>
      <c r="FC169" s="409" t="s">
        <v>3572</v>
      </c>
      <c r="FD169" s="420" t="str">
        <f t="shared" si="57"/>
        <v>ToyoLi - CYAN</v>
      </c>
      <c r="FE169" s="409">
        <v>26</v>
      </c>
      <c r="FF169" s="411">
        <f>IF(FE169=0,0,IF($LB169=70%,VLOOKUP($FD169,'Jan-2026 rates'!$L:$R,4,0),IF($LB169=65%,VLOOKUP($FD169,'Jan-2026 rates'!$L:$R,4,0),IF($LB169=40%,VLOOKUP($FD169,'Jan-2026 rates'!$L:$R,5,0),IF($LB169=30%,VLOOKUP($FD169,'Jan-2026 rates'!$L:$R,6,0),IF($LB169=100%,VLOOKUP($FD169,'Jan-2026 rates'!$L:$R,7,0),IF($LB169=60%,VLOOKUP($FD169,'Jan-2026 rates'!$L:$S,8,0),IF($LB169=80%,VLOOKUP($FD169,'Jan-2026 rates'!L:T,9,0),0))))))))</f>
        <v>0</v>
      </c>
      <c r="FG169" s="412"/>
      <c r="FH169" s="409"/>
      <c r="FI169" s="411">
        <f>IF(FH169=0,0,IF($LB169=70%,VLOOKUP($FD169,'Jan-2026 rates'!$L:$R,4,0),IF($LB169=65%,VLOOKUP($FD169,'Jan-2026 rates'!$L:$R,4,0),IF($LB169=40%,VLOOKUP($FD169,'Jan-2026 rates'!$L:$R,5,0),IF($LB169=30%,VLOOKUP($FD169,'Jan-2026 rates'!$L:$R,6,0),IF($LB169=100%,VLOOKUP($FD169,'Jan-2026 rates'!$L:$R,7,0),IF($LB169=60%,VLOOKUP($FD169,'Jan-2026 rates'!$L:$S,8,0),IF($LB169=80%,VLOOKUP($FD169,'Jan-2026 rates'!L:T,9,0),0))))))))</f>
        <v>0</v>
      </c>
      <c r="FJ169" s="413"/>
      <c r="FK169" s="413"/>
      <c r="FL169" s="413"/>
      <c r="FM169" s="412"/>
      <c r="FN169" s="412"/>
      <c r="FO169" s="412"/>
      <c r="FP169" s="412"/>
      <c r="FQ169" s="412"/>
      <c r="FR169" s="409"/>
      <c r="FS169" s="398">
        <f>IF(FR169=0,0,IF(LEN(FJ169)=11,_xlfn.XLOOKUP(FJ169,'Dispensed Ink Rates'!C:C,'Dispensed Ink Rates'!CS:CS),VLOOKUP(FJ169,'Jan-2026 rates'!$E:$F,2,0)))</f>
        <v>0</v>
      </c>
      <c r="FT169" s="409"/>
      <c r="FU169" s="398">
        <f>IF(FT169=0,0,IF(LEN(FK169)=11,_xlfn.XLOOKUP(FK169,'Dispensed Ink Rates'!C:C,'Dispensed Ink Rates'!CS:CS),VLOOKUP(FK169,'Jan-2026 rates'!$E:$F,2,0)))</f>
        <v>0</v>
      </c>
      <c r="FV169" s="409"/>
      <c r="FW169" s="398">
        <f>IF(FV169=0,0,IF(LEN(FL169)=11,_xlfn.XLOOKUP(FL169,'Dispensed Ink Rates'!C:C,'Dispensed Ink Rates'!CS:CS),VLOOKUP(FL169,'Jan-2026 rates'!$E:$F,2,0)))</f>
        <v>0</v>
      </c>
      <c r="FX169" s="409"/>
      <c r="FY169" s="398">
        <f>IF(FX169=0,0,IF(LEN(FM169)=11,_xlfn.XLOOKUP(FM169,'Dispensed Ink Rates'!C:C,'Dispensed Ink Rates'!CS:CS),VLOOKUP(FM169,'Jan-2026 rates'!$E:$F,2,0)))</f>
        <v>0</v>
      </c>
      <c r="FZ169" s="409"/>
      <c r="GA169" s="398">
        <f>IF(FZ169=0,0,IF(LEN(FN169)=11,_xlfn.XLOOKUP(FN169,'Dispensed Ink Rates'!C:C,'Dispensed Ink Rates'!CS:CS),VLOOKUP(FN169,'Jan-2026 rates'!$E:$F,2,0)))</f>
        <v>0</v>
      </c>
      <c r="GB169" s="409"/>
      <c r="GC169" s="398">
        <f>IF(GB169=0,0,IF(LEN(FO169)=11,_xlfn.XLOOKUP(FO169,'Dispensed Ink Rates'!C:C,'Dispensed Ink Rates'!CS:CS),VLOOKUP(FO169,'Jan-2026 rates'!$E:$F,2,0)))</f>
        <v>0</v>
      </c>
      <c r="GD169" s="409"/>
      <c r="GE169" s="398">
        <f>IF(GD169=0,0,IF(LEN(FP169)=11,_xlfn.XLOOKUP(FP169,'Dispensed Ink Rates'!C:C,'Dispensed Ink Rates'!CS:CS),VLOOKUP(FP169,'Jan-2026 rates'!$E:$F,2,0)))</f>
        <v>0</v>
      </c>
      <c r="GF169" s="409"/>
      <c r="GG169" s="398">
        <f>IF(GF169=0,0,IF(LEN(FQ169)=11,_xlfn.XLOOKUP(FQ169,'Dispensed Ink Rates'!C:C,'Dispensed Ink Rates'!CS:CS),VLOOKUP(FQ169,'Jan-2026 rates'!$E:$F,2,0)))</f>
        <v>0</v>
      </c>
      <c r="GH169" s="409" t="s">
        <v>1881</v>
      </c>
      <c r="GI169" s="409">
        <v>20</v>
      </c>
      <c r="GJ169" s="411">
        <f t="shared" si="118"/>
        <v>0</v>
      </c>
      <c r="GK169" s="411">
        <f t="shared" si="119"/>
        <v>8.6363636363636367</v>
      </c>
      <c r="GL169" s="410">
        <f t="shared" si="120"/>
        <v>0</v>
      </c>
      <c r="GM169" s="405" t="s">
        <v>545</v>
      </c>
      <c r="GN169" s="409" t="s">
        <v>3573</v>
      </c>
      <c r="GO169" s="420" t="str">
        <f t="shared" si="58"/>
        <v>ToyoLi - YELLOW</v>
      </c>
      <c r="GP169" s="409">
        <v>25</v>
      </c>
      <c r="GQ169" s="411">
        <f>IF(GP169=0,0,IF($LB169=70%,VLOOKUP($GO169,'Jan-2026 rates'!$L:$R,4,0),IF($LB169=65%,VLOOKUP($GO169,'Jan-2026 rates'!$L:$R,4,0),IF($LB169=40%,VLOOKUP($GO169,'Jan-2026 rates'!$L:$R,5,0),IF($LB169=30%,VLOOKUP($GO169,'Jan-2026 rates'!$L:$R,6,0),IF($LB169=100%,VLOOKUP($GO169,'Jan-2026 rates'!$L:$R,7,0),IF($LB169=60%,VLOOKUP($GO169,'Jan-2026 rates'!$L:$S,8,0),IF($LB169=80%,VLOOKUP($GO169,'Jan-2026 rates'!L:T,9,0),0))))))))</f>
        <v>0</v>
      </c>
      <c r="GR169" s="412"/>
      <c r="GS169" s="409"/>
      <c r="GT169" s="411">
        <f>IF(GS169=0,0,IF($LB169=70%,VLOOKUP($GO169,'Jan-2026 rates'!$L:$R,4,0),IF($LB169=65%,VLOOKUP($GO169,'Jan-2026 rates'!$L:$R,4,0),IF($LB169=40%,VLOOKUP($GO169,'Jan-2026 rates'!$L:$R,5,0),IF($LB169=30%,VLOOKUP($GO169,'Jan-2026 rates'!$L:$R,6,0),IF($LB169=100%,VLOOKUP($GO169,'Jan-2026 rates'!$L:$R,7,0),IF($LB169=60%,VLOOKUP($GO169,'Jan-2026 rates'!$L:$S,8,0),IF($LB169=80%,VLOOKUP($GO169,'Jan-2026 rates'!L:T,9,0),0))))))))</f>
        <v>0</v>
      </c>
      <c r="GU169" s="413" t="s">
        <v>1247</v>
      </c>
      <c r="GV169" s="413"/>
      <c r="GW169" s="412"/>
      <c r="GX169" s="412"/>
      <c r="GY169" s="412"/>
      <c r="GZ169" s="412"/>
      <c r="HA169" s="412"/>
      <c r="HB169" s="412"/>
      <c r="HC169" s="409">
        <v>4</v>
      </c>
      <c r="HD169" s="398">
        <f>IF(HC169=0,0,IF(LEN(GU169)=11,_xlfn.XLOOKUP(GU169,'Dispensed Ink Rates'!C:C,'Dispensed Ink Rates'!CS:CS),VLOOKUP(GU169,'Jan-2026 rates'!$E:$F,2,0)))</f>
        <v>0</v>
      </c>
      <c r="HE169" s="409"/>
      <c r="HF169" s="398">
        <f>IF(HE169=0,0,IF(LEN(GV169)=11,_xlfn.XLOOKUP(GV169,'Dispensed Ink Rates'!C:C,'Dispensed Ink Rates'!CS:CS),VLOOKUP(GV169,'Jan-2026 rates'!$E:$F,2,0)))</f>
        <v>0</v>
      </c>
      <c r="HG169" s="409"/>
      <c r="HH169" s="398">
        <f>IF(HG169=0,0,IF(LEN(GW169)=11,_xlfn.XLOOKUP(GW169,'Dispensed Ink Rates'!C:C,'Dispensed Ink Rates'!CS:CS),VLOOKUP(GW169,'Jan-2026 rates'!$E:$F,2,0)))</f>
        <v>0</v>
      </c>
      <c r="HI169" s="409"/>
      <c r="HJ169" s="398">
        <f>IF(HI169=0,0,IF(LEN(GX169)=11,_xlfn.XLOOKUP(GX169,'Dispensed Ink Rates'!C:C,'Dispensed Ink Rates'!CS:CS),VLOOKUP(GX169,'Jan-2026 rates'!$E:$F,2,0)))</f>
        <v>0</v>
      </c>
      <c r="HK169" s="409"/>
      <c r="HL169" s="398">
        <f>IF(HK169=0,0,IF(LEN(GY169)=11,_xlfn.XLOOKUP(GY169,'Dispensed Ink Rates'!C:C,'Dispensed Ink Rates'!CS:CS),VLOOKUP(GY169,'Jan-2026 rates'!$E:$F,2,0)))</f>
        <v>0</v>
      </c>
      <c r="HM169" s="409"/>
      <c r="HN169" s="398">
        <f>IF(HM169=0,0,IF(LEN(GZ169)=11,_xlfn.XLOOKUP(GZ169,'Dispensed Ink Rates'!C:C,'Dispensed Ink Rates'!CS:CS),VLOOKUP(GZ169,'Jan-2026 rates'!$E:$F,2,0)))</f>
        <v>0</v>
      </c>
      <c r="HO169" s="409"/>
      <c r="HP169" s="398">
        <f>IF(HO169=0,0,IF(LEN(HA169)=11,_xlfn.XLOOKUP(HA169,'Dispensed Ink Rates'!C:C,'Dispensed Ink Rates'!CS:CS),VLOOKUP(HA169,'Jan-2026 rates'!$E:$F,2,0)))</f>
        <v>0</v>
      </c>
      <c r="HQ169" s="409"/>
      <c r="HR169" s="398">
        <f>IF(HQ169=0,0,IF(LEN(HB169)=11,_xlfn.XLOOKUP(HB169,'Dispensed Ink Rates'!C:C,'Dispensed Ink Rates'!CS:CS),VLOOKUP(HB169,'Jan-2026 rates'!$E:$F,2,0)))</f>
        <v>0</v>
      </c>
      <c r="HS169" s="409" t="s">
        <v>1881</v>
      </c>
      <c r="HT169" s="409">
        <f>15+12</f>
        <v>27</v>
      </c>
      <c r="HU169" s="411">
        <f t="shared" si="121"/>
        <v>0</v>
      </c>
      <c r="HV169" s="411">
        <f t="shared" si="122"/>
        <v>4.6363636363636367</v>
      </c>
      <c r="HW169" s="414">
        <f t="shared" si="123"/>
        <v>0</v>
      </c>
      <c r="HX169" s="405" t="s">
        <v>856</v>
      </c>
      <c r="HY169" s="409" t="s">
        <v>3574</v>
      </c>
      <c r="HZ169" s="420" t="str">
        <f t="shared" si="59"/>
        <v>ToyoLi - WHITE</v>
      </c>
      <c r="IA169" s="409">
        <v>25</v>
      </c>
      <c r="IB169" s="411">
        <f>IF(IA169=0,0,IF($LB169=70%,VLOOKUP($HZ169,'Jan-2026 rates'!$L:$R,4,0),IF($LB169=65%,VLOOKUP($HZ169,'Jan-2026 rates'!$L:$R,4,0),IF($LB169=40%,VLOOKUP($HZ169,'Jan-2026 rates'!$L:$R,5,0),IF($LB169=30%,VLOOKUP($HZ169,'Jan-2026 rates'!$L:$R,6,0),IF($LB169=100%,VLOOKUP($HZ169,'Jan-2026 rates'!$L:$R,7,0),IF($LB169=60%,VLOOKUP($HZ169,'Jan-2026 rates'!$L:$S,8,0),IF($LB169=80%,VLOOKUP($HZ169,'Jan-2026 rates'!L:T,9,0),0))))))))</f>
        <v>0</v>
      </c>
      <c r="IC169" s="412"/>
      <c r="ID169" s="409"/>
      <c r="IE169" s="411">
        <f>IF(ID169=0,0,IF($LB169=70%,VLOOKUP($HZ169,'Jan-2026 rates'!$L:$R,4,0),IF($LB169=65%,VLOOKUP($HZ169,'Jan-2026 rates'!$L:$R,4,0),IF($LB169=40%,VLOOKUP($HZ169,'Jan-2026 rates'!$L:$R,5,0),IF($LB169=30%,VLOOKUP($HZ169,'Jan-2026 rates'!$L:$R,6,0),IF($LB169=100%,VLOOKUP($HZ169,'Jan-2026 rates'!$L:$R,7,0),IF($LB169=60%,VLOOKUP($HZ169,'Jan-2026 rates'!$L:$S,8,0),IF($LB169=80%,VLOOKUP($HZ169,'Jan-2026 rates'!L:T,9,0),0))))))))</f>
        <v>0</v>
      </c>
      <c r="IF169" s="412" t="s">
        <v>1249</v>
      </c>
      <c r="IG169" s="413" t="s">
        <v>1122</v>
      </c>
      <c r="IH169" s="412"/>
      <c r="II169" s="412"/>
      <c r="IJ169" s="412"/>
      <c r="IK169" s="412"/>
      <c r="IL169" s="412"/>
      <c r="IM169" s="412"/>
      <c r="IN169" s="409">
        <v>20</v>
      </c>
      <c r="IO169" s="398">
        <f>IF(IN169=0,0,IF(LEN(IF169)=11,_xlfn.XLOOKUP(IF169,'Dispensed Ink Rates'!C:C,'Dispensed Ink Rates'!CS:CS),VLOOKUP(IF169,'Jan-2026 rates'!$E:$F,2,0)))</f>
        <v>0</v>
      </c>
      <c r="IP169" s="409">
        <v>3.39</v>
      </c>
      <c r="IQ169" s="398">
        <f>IF(IP169=0,0,IF(LEN(IG169)=11,_xlfn.XLOOKUP(IG169,'Dispensed Ink Rates'!C:C,'Dispensed Ink Rates'!CS:CS),VLOOKUP(IG169,'Jan-2026 rates'!$E:$F,2,0)))</f>
        <v>0</v>
      </c>
      <c r="IR169" s="409"/>
      <c r="IS169" s="398">
        <f>IF(IR169=0,0,IF(LEN(IH169)=11,_xlfn.XLOOKUP(IH169,'Dispensed Ink Rates'!C:C,'Dispensed Ink Rates'!CS:CS),VLOOKUP(IH169,'Jan-2026 rates'!$E:$F,2,0)))</f>
        <v>0</v>
      </c>
      <c r="IT169" s="409"/>
      <c r="IU169" s="398">
        <f>IF(IT169=0,0,IF(LEN(II169)=11,_xlfn.XLOOKUP(II169,'Dispensed Ink Rates'!C:C,'Dispensed Ink Rates'!CS:CS),VLOOKUP(II169,'Jan-2026 rates'!$E:$F,2,0)))</f>
        <v>0</v>
      </c>
      <c r="IV169" s="409"/>
      <c r="IW169" s="398">
        <f>IF(IV169=0,0,IF(LEN(IJ169)=11,_xlfn.XLOOKUP(IJ169,'Dispensed Ink Rates'!C:C,'Dispensed Ink Rates'!CS:CS),VLOOKUP(IJ169,'Jan-2026 rates'!$E:$F,2,0)))</f>
        <v>0</v>
      </c>
      <c r="IX169" s="409"/>
      <c r="IY169" s="398">
        <f>IF(IX169=0,0,IF(LEN(IK169)=11,_xlfn.XLOOKUP(IK169,'Dispensed Ink Rates'!C:C,'Dispensed Ink Rates'!CS:CS),VLOOKUP(IK169,'Jan-2026 rates'!$E:$F,2,0)))</f>
        <v>0</v>
      </c>
      <c r="IZ169" s="409"/>
      <c r="JA169" s="398">
        <f>IF(IZ169=0,0,IF(LEN(IL169)=11,_xlfn.XLOOKUP(IL169,'Dispensed Ink Rates'!C:C,'Dispensed Ink Rates'!CS:CS),VLOOKUP(IL169,'Jan-2026 rates'!$E:$F,2,0)))</f>
        <v>0</v>
      </c>
      <c r="JB169" s="409"/>
      <c r="JC169" s="398">
        <f>IF(JB169=0,0,IF(LEN(IM169)=11,_xlfn.XLOOKUP(IM169,'Dispensed Ink Rates'!C:C,'Dispensed Ink Rates'!CS:CS),VLOOKUP(IM169,'Jan-2026 rates'!$E:$F,2,0)))</f>
        <v>0</v>
      </c>
      <c r="JD169" s="409" t="s">
        <v>1881</v>
      </c>
      <c r="JE169" s="409">
        <v>25</v>
      </c>
      <c r="JF169" s="411">
        <f t="shared" si="124"/>
        <v>0</v>
      </c>
      <c r="JG169" s="411">
        <f t="shared" si="125"/>
        <v>36.57181818181818</v>
      </c>
      <c r="JH169" s="410">
        <f t="shared" si="126"/>
        <v>0</v>
      </c>
      <c r="JI169" s="405"/>
      <c r="JJ169" s="409"/>
      <c r="JK169" s="420" t="str">
        <f t="shared" si="60"/>
        <v xml:space="preserve"> - </v>
      </c>
      <c r="JL169" s="409"/>
      <c r="JM169" s="411">
        <f>IF(JL169=0,0,IF($LB169=70%,VLOOKUP($JK169,'Jan-2026 rates'!$L:$R,4,0),IF($LB169=65%,VLOOKUP($JK169,'Jan-2026 rates'!$L:$R,4,0),IF($LB169=40%,VLOOKUP($JK169,'Jan-2026 rates'!$L:$R,5,0),IF($LB169=30%,VLOOKUP($JK169,'Jan-2026 rates'!$L:$R,6,0),IF($LB169=100%,VLOOKUP($JK169,'Jan-2026 rates'!$L:$R,7,0),IF($LB169=60%,VLOOKUP($JK169,'Jan-2026 rates'!$L:$S,8,0),IF($LB169=80%,VLOOKUP($JK169,'Jan-2026 rates'!L:T,9,0),0))))))))</f>
        <v>0</v>
      </c>
      <c r="JN169" s="412"/>
      <c r="JO169" s="409"/>
      <c r="JP169" s="411">
        <f>IF(JO169=0,0,IF($LB169=70%,VLOOKUP($JK169,'Jan-2026 rates'!$L:$R,4,0),IF($LB169=65%,VLOOKUP($JK169,'Jan-2026 rates'!$L:$R,4,0),IF($LB169=40%,VLOOKUP($JK169,'Jan-2026 rates'!$L:$R,5,0),IF($LB169=30%,VLOOKUP($JK169,'Jan-2026 rates'!$L:$R,6,0),IF($LB169=100%,VLOOKUP($JK169,'Jan-2026 rates'!$L:$R,7,0),IF($LB169=60%,VLOOKUP($JK169,'Jan-2026 rates'!$L:$S,8,0),IF($LB169=80%,VLOOKUP($JK169,'Jan-2026 rates'!L:T,9,0),0))))))))</f>
        <v>0</v>
      </c>
      <c r="JQ169" s="413"/>
      <c r="JR169" s="412"/>
      <c r="JS169" s="413"/>
      <c r="JT169" s="413"/>
      <c r="JU169" s="412"/>
      <c r="JV169" s="412"/>
      <c r="JW169" s="412"/>
      <c r="JX169" s="412"/>
      <c r="JY169" s="409"/>
      <c r="JZ169" s="398">
        <f>IF(JY169=0,0,IF(LEN(JQ169)=11,_xlfn.XLOOKUP(JQ169,'Dispensed Ink Rates'!C:C,'Dispensed Ink Rates'!CS:CS),VLOOKUP(JQ169,'Jan-2026 rates'!$E:$F,2,0)))</f>
        <v>0</v>
      </c>
      <c r="KA169" s="409"/>
      <c r="KB169" s="398">
        <f>IF(KA169=0,0,IF(LEN(JR169)=11,_xlfn.XLOOKUP(JR169,'Dispensed Ink Rates'!C:C,'Dispensed Ink Rates'!CS:CS),VLOOKUP(JR169,'Jan-2026 rates'!$E:$F,2,0)))</f>
        <v>0</v>
      </c>
      <c r="KC169" s="409"/>
      <c r="KD169" s="398">
        <f>IF(KC169=0,0,IF(LEN(JS169)=11,_xlfn.XLOOKUP(JS169,'Dispensed Ink Rates'!C:C,'Dispensed Ink Rates'!CS:CS),VLOOKUP(JS169,'Jan-2026 rates'!$E:$F,2,0)))</f>
        <v>0</v>
      </c>
      <c r="KE169" s="409"/>
      <c r="KF169" s="398">
        <f>IF(KE169=0,0,IF(LEN(JT169)=11,_xlfn.XLOOKUP(JT169,'Dispensed Ink Rates'!C:C,'Dispensed Ink Rates'!CS:CS),VLOOKUP(JT169,'Jan-2026 rates'!$E:$F,2,0)))</f>
        <v>0</v>
      </c>
      <c r="KG169" s="409"/>
      <c r="KH169" s="398">
        <f>IF(KG169=0,0,IF(LEN(JU169)=11,_xlfn.XLOOKUP(JU169,'Dispensed Ink Rates'!C:C,'Dispensed Ink Rates'!CS:CS),VLOOKUP(JU169,'Jan-2026 rates'!$E:$F,2,0)))</f>
        <v>0</v>
      </c>
      <c r="KI169" s="409"/>
      <c r="KJ169" s="398">
        <f>IF(KI169=0,0,IF(LEN(JV169)=11,_xlfn.XLOOKUP(JV169,'Dispensed Ink Rates'!C:C,'Dispensed Ink Rates'!CS:CS),VLOOKUP(JV169,'Jan-2026 rates'!$E:$F,2,0)))</f>
        <v>0</v>
      </c>
      <c r="KK169" s="409"/>
      <c r="KL169" s="398">
        <f>IF(KK169=0,0,IF(LEN(JW169)=11,_xlfn.XLOOKUP(JW169,'Dispensed Ink Rates'!C:C,'Dispensed Ink Rates'!CS:CS),VLOOKUP(JW169,'Jan-2026 rates'!$E:$F,2,0)))</f>
        <v>0</v>
      </c>
      <c r="KM169" s="428"/>
      <c r="KN169" s="398">
        <f>IF(KM169=0,0,IF(LEN(JX169)=11,_xlfn.XLOOKUP(JX169,'Dispensed Ink Rates'!C:C,'Dispensed Ink Rates'!CS:CS),VLOOKUP(JX169,'Jan-2026 rates'!$E:$F,2,0)))</f>
        <v>0</v>
      </c>
      <c r="KO169" s="409"/>
      <c r="KP169" s="409"/>
      <c r="KQ169" s="411">
        <f t="shared" si="127"/>
        <v>0</v>
      </c>
      <c r="KR169" s="411">
        <f t="shared" si="128"/>
        <v>0</v>
      </c>
      <c r="KS169" s="410">
        <f t="shared" si="129"/>
        <v>0</v>
      </c>
      <c r="KT169" s="409">
        <v>2</v>
      </c>
      <c r="KU169" s="409">
        <v>2</v>
      </c>
      <c r="KV169" s="409">
        <v>2</v>
      </c>
      <c r="KW169" s="409">
        <v>2</v>
      </c>
      <c r="KX169" s="409">
        <v>2</v>
      </c>
      <c r="KY169" s="409">
        <v>2</v>
      </c>
      <c r="KZ169" s="409">
        <v>10</v>
      </c>
      <c r="LA169" s="409">
        <v>0</v>
      </c>
      <c r="LB169" s="415">
        <v>0.3</v>
      </c>
      <c r="LC169" s="415"/>
      <c r="LD169" s="415"/>
      <c r="LE169" s="415">
        <v>0.5</v>
      </c>
      <c r="LF169" s="415">
        <v>0.2</v>
      </c>
      <c r="LG169" s="409">
        <v>0</v>
      </c>
      <c r="LH169" s="409">
        <f>10+9+3+5+2</f>
        <v>29</v>
      </c>
      <c r="LI169" s="409">
        <v>0</v>
      </c>
      <c r="LJ169" s="409">
        <v>0</v>
      </c>
      <c r="LK169" s="416">
        <f t="shared" si="61"/>
        <v>29</v>
      </c>
      <c r="LL169" s="416">
        <f t="shared" si="62"/>
        <v>29</v>
      </c>
      <c r="LM169" s="417">
        <f t="shared" si="63"/>
        <v>8.6999999999999993</v>
      </c>
      <c r="LN169" s="417">
        <f>VLOOKUP($LM$8,'Jan-2026 rates'!$H:$I,2,0)</f>
        <v>0</v>
      </c>
      <c r="LO169" s="417">
        <f t="shared" si="64"/>
        <v>0</v>
      </c>
      <c r="LP169" s="417">
        <f>VLOOKUP($LO$8,'Jan-2026 rates'!$H:$I,2,0)</f>
        <v>0</v>
      </c>
      <c r="LQ169" s="417">
        <f t="shared" si="65"/>
        <v>0</v>
      </c>
      <c r="LR169" s="417">
        <f>VLOOKUP($LQ$8,'Jan-2026 rates'!$H:$I,2,0)</f>
        <v>0</v>
      </c>
      <c r="LS169" s="417">
        <f t="shared" si="66"/>
        <v>14.5</v>
      </c>
      <c r="LT169" s="417">
        <f>VLOOKUP($LS$8,'Jan-2026 rates'!$H:$I,2,0)</f>
        <v>0</v>
      </c>
      <c r="LU169" s="417">
        <f t="shared" si="67"/>
        <v>5.8000000000000007</v>
      </c>
      <c r="LV169" s="417">
        <f>VLOOKUP($LU$8,'Jan-2026 rates'!$H:$I,2,0)</f>
        <v>0</v>
      </c>
      <c r="LW169" s="417">
        <f t="shared" si="68"/>
        <v>0</v>
      </c>
      <c r="LX169" s="417">
        <f t="shared" si="69"/>
        <v>0</v>
      </c>
      <c r="LY169" s="418">
        <f t="shared" si="70"/>
        <v>0</v>
      </c>
      <c r="LZ169" s="417"/>
      <c r="MA169" s="435">
        <f t="shared" si="71"/>
        <v>27.39</v>
      </c>
      <c r="MB169" s="282">
        <f t="shared" si="72"/>
        <v>71.39</v>
      </c>
      <c r="MC169" s="283" t="s">
        <v>2004</v>
      </c>
      <c r="MD169" s="284" t="str">
        <f t="shared" si="73"/>
        <v>ToyoLiToyoLiToyoLiToyoLiToyoLiToyoLiToyoLi</v>
      </c>
      <c r="ME169" s="293" t="str">
        <f t="shared" si="74"/>
        <v>+</v>
      </c>
      <c r="MF169" s="293" t="str">
        <f t="shared" si="75"/>
        <v>+</v>
      </c>
      <c r="MG169" s="293" t="str">
        <f t="shared" si="76"/>
        <v>+</v>
      </c>
      <c r="MH169" s="293" t="str">
        <f t="shared" si="77"/>
        <v>+</v>
      </c>
      <c r="MI169" s="293" t="str">
        <f t="shared" si="78"/>
        <v>+</v>
      </c>
      <c r="MJ169" s="293" t="str">
        <f t="shared" si="79"/>
        <v>+</v>
      </c>
      <c r="MK169" s="293" t="str">
        <f t="shared" si="80"/>
        <v>+</v>
      </c>
      <c r="ML169" s="293" t="str">
        <f t="shared" si="81"/>
        <v>NIL</v>
      </c>
      <c r="MM169" s="3" t="b">
        <f t="array" ref="MM169">OR(ME169:ML169="-")</f>
        <v>0</v>
      </c>
      <c r="MN169" s="285"/>
      <c r="MO169" s="401"/>
      <c r="MP169" s="286"/>
      <c r="MQ169" s="286"/>
      <c r="MR169" s="402"/>
      <c r="MS169" s="400"/>
      <c r="NH169" s="422"/>
      <c r="NJ169" s="421"/>
    </row>
    <row r="170" spans="1:374" s="1" customFormat="1" ht="16.5">
      <c r="A170" s="403">
        <v>46034</v>
      </c>
      <c r="B170" s="404" t="s">
        <v>1018</v>
      </c>
      <c r="C170" s="405" t="s">
        <v>3575</v>
      </c>
      <c r="D170" s="406" t="s">
        <v>2005</v>
      </c>
      <c r="E170" s="404">
        <v>141</v>
      </c>
      <c r="F170" s="407">
        <v>9200</v>
      </c>
      <c r="G170" s="407" t="s">
        <v>1016</v>
      </c>
      <c r="H170" s="408" t="s">
        <v>1017</v>
      </c>
      <c r="I170" s="409">
        <v>2.4</v>
      </c>
      <c r="J170" s="405" t="s">
        <v>543</v>
      </c>
      <c r="K170" s="404" t="s">
        <v>3576</v>
      </c>
      <c r="L170" s="419" t="str">
        <f t="shared" ref="L170:L233" si="131">CONCATENATE(AP170," - ",J170)</f>
        <v>ToyoLi - BLACK</v>
      </c>
      <c r="M170" s="404">
        <v>26</v>
      </c>
      <c r="N170" s="410">
        <f>IF(M170=0,0,IF($LB170=70%,VLOOKUP($L170,'Jan-2026 rates'!$L:$R,4,0),IF($LB170=65%,VLOOKUP($L170,'Jan-2026 rates'!$L:$R,4,0),IF($LB170=40%,VLOOKUP($L170,'Jan-2026 rates'!$L:$R,5,0),IF($LB170=30%,VLOOKUP($L170,'Jan-2026 rates'!$L:$R,6,0),IF($LB170=100%,VLOOKUP($L170,'Jan-2026 rates'!$L:$R,7,0),IF($LB170=60%,VLOOKUP($L170,'Jan-2026 rates'!$L:$S,8,0),IF($LB170=80%,VLOOKUP($L170,'Jan-2026 rates'!L:T,9,0),0))))))))</f>
        <v>0</v>
      </c>
      <c r="O170" s="406"/>
      <c r="P170" s="404"/>
      <c r="Q170" s="410">
        <f>IF(P170=0,0,IF($LB170=70%,VLOOKUP($L170,'Jan-2026 rates'!$L:$R,4,0),IF($LB170=65%,VLOOKUP($L170,'Jan-2026 rates'!$L:$R,4,0),IF($LB170=40%,VLOOKUP($L170,'Jan-2026 rates'!$L:$R,5,0),IF($LB170=30%,VLOOKUP($L170,'Jan-2026 rates'!$L:$R,6,0),IF($LB170=100%,VLOOKUP($L170,'Jan-2026 rates'!$L:$R,7,0),IF($LB170=60%,VLOOKUP($L170,'Jan-2026 rates'!$L:$S,8,0),IF($LB170=80%,VLOOKUP($L170,'Jan-2026 rates'!L:T,9,0),0))))))))</f>
        <v>0</v>
      </c>
      <c r="R170" s="406"/>
      <c r="S170" s="406"/>
      <c r="T170" s="406"/>
      <c r="U170" s="406"/>
      <c r="V170" s="406"/>
      <c r="W170" s="406"/>
      <c r="X170" s="406"/>
      <c r="Y170" s="406"/>
      <c r="Z170" s="404"/>
      <c r="AA170" s="398">
        <f>IF(Z170=0,0,IF(LEN(R170)=11,_xlfn.XLOOKUP(R170,'Dispensed Ink Rates'!C:C,'Dispensed Ink Rates'!CS:CS),VLOOKUP(R170,'Jan-2026 rates'!$E:$F,2,0)))</f>
        <v>0</v>
      </c>
      <c r="AB170" s="404"/>
      <c r="AC170" s="398">
        <f>IF(AB170=0,0,IF(LEN(S170)=11,_xlfn.XLOOKUP(S170,'Dispensed Ink Rates'!C:C,'Dispensed Ink Rates'!CS:CS),VLOOKUP(S170,'Jan-2026 rates'!$E:$F,2,0)))</f>
        <v>0</v>
      </c>
      <c r="AD170" s="404"/>
      <c r="AE170" s="398">
        <f>IF(AD170=0,0,IF(LEN(T170)=11,_xlfn.XLOOKUP(T170,'Dispensed Ink Rates'!C:C,'Dispensed Ink Rates'!CS:CS),VLOOKUP(T170,'Jan-2026 rates'!$E:$F,2,0)))</f>
        <v>0</v>
      </c>
      <c r="AF170" s="404"/>
      <c r="AG170" s="398">
        <f>IF(AF170=0,0,IF(LEN(U170)=11,_xlfn.XLOOKUP(U170,'Dispensed Ink Rates'!C:C,'Dispensed Ink Rates'!CS:CS),VLOOKUP(U170,'Jan-2026 rates'!$E:$F,2,0)))</f>
        <v>0</v>
      </c>
      <c r="AH170" s="404"/>
      <c r="AI170" s="398">
        <f>IF(AH170=0,0,IF(LEN(V170)=11,_xlfn.XLOOKUP(V170,'Dispensed Ink Rates'!C:C,'Dispensed Ink Rates'!CS:CS),VLOOKUP(V170,'Jan-2026 rates'!$E:$F,2,0)))</f>
        <v>0</v>
      </c>
      <c r="AJ170" s="404"/>
      <c r="AK170" s="398">
        <f>IF(AJ170=0,0,IF(LEN(W170)=11,_xlfn.XLOOKUP(W170,'Dispensed Ink Rates'!C:C,'Dispensed Ink Rates'!CS:CS),VLOOKUP(W170,'Jan-2026 rates'!$E:$F,2,0)))</f>
        <v>0</v>
      </c>
      <c r="AL170" s="404"/>
      <c r="AM170" s="398">
        <f>IF(AL170=0,0,IF(LEN(X170)=11,_xlfn.XLOOKUP(X170,'Dispensed Ink Rates'!C:C,'Dispensed Ink Rates'!CS:CS),VLOOKUP(X170,'Jan-2026 rates'!$E:$F,2,0)))</f>
        <v>0</v>
      </c>
      <c r="AN170" s="404"/>
      <c r="AO170" s="398">
        <f>IF(AN170=0,0,IF(LEN(Y170)=11,_xlfn.XLOOKUP(Y170,'Dispensed Ink Rates'!C:C,'Dispensed Ink Rates'!CS:CS),VLOOKUP(Y170,'Jan-2026 rates'!$E:$F,2,0)))</f>
        <v>0</v>
      </c>
      <c r="AP170" s="409" t="s">
        <v>1881</v>
      </c>
      <c r="AQ170" s="409">
        <v>24</v>
      </c>
      <c r="AR170" s="410">
        <f t="shared" si="106"/>
        <v>0</v>
      </c>
      <c r="AS170" s="411">
        <f t="shared" si="107"/>
        <v>7.0399999999999991</v>
      </c>
      <c r="AT170" s="410">
        <f t="shared" si="108"/>
        <v>0</v>
      </c>
      <c r="AU170" s="405" t="s">
        <v>546</v>
      </c>
      <c r="AV170" s="409" t="s">
        <v>3576</v>
      </c>
      <c r="AW170" s="420" t="str">
        <f t="shared" si="130"/>
        <v>ToyoLi - REFLEX BLUE</v>
      </c>
      <c r="AX170" s="409">
        <v>25</v>
      </c>
      <c r="AY170" s="411">
        <f>IF(AX170=0,0,IF($LB170=70%,VLOOKUP($AW170,'Jan-2026 rates'!$L:$R,4,0),IF($LB170=65%,VLOOKUP($AW170,'Jan-2026 rates'!$L:$R,4,0),IF($LB170=40%,VLOOKUP($AW170,'Jan-2026 rates'!$L:$R,5,0),IF($LB170=30%,VLOOKUP($AW170,'Jan-2026 rates'!$L:$R,6,0),IF($LB170=100%,VLOOKUP($AW170,'Jan-2026 rates'!$L:$R,7,0),IF($LB170=60%,VLOOKUP($AW170,'Jan-2026 rates'!$L:$S,8,0),IF($LB170=80%,VLOOKUP($AW170,'Jan-2026 rates'!L:T,9,0),0))))))))</f>
        <v>0</v>
      </c>
      <c r="AZ170" s="412"/>
      <c r="BA170" s="409"/>
      <c r="BB170" s="411">
        <f>IF(BA170=0,0,IF($LB170=70%,VLOOKUP($AW170,'Jan-2026 rates'!$L:$R,4,0),IF($LB170=65%,VLOOKUP($AW170,'Jan-2026 rates'!$L:$R,4,0),IF($LB170=40%,VLOOKUP($AW170,'Jan-2026 rates'!$L:$R,5,0),IF($LB170=30%,VLOOKUP($AW170,'Jan-2026 rates'!$L:$R,6,0),IF($LB170=100%,VLOOKUP($AW170,'Jan-2026 rates'!$L:$R,7,0),IF($LB170=60%,VLOOKUP($AW170,'Jan-2026 rates'!$L:$S,8,0),IF($LB170=80%,VLOOKUP($AW170,'Jan-2026 rates'!L:T,9,0),0))))))))</f>
        <v>0</v>
      </c>
      <c r="BC170" s="413" t="s">
        <v>1880</v>
      </c>
      <c r="BD170" s="412" t="s">
        <v>1585</v>
      </c>
      <c r="BE170" s="412"/>
      <c r="BF170" s="413"/>
      <c r="BG170" s="412"/>
      <c r="BH170" s="412"/>
      <c r="BI170" s="412"/>
      <c r="BJ170" s="412"/>
      <c r="BK170" s="409">
        <v>4</v>
      </c>
      <c r="BL170" s="398">
        <f>IF(BK170=0,0,IF(LEN(BC170)=11,_xlfn.XLOOKUP(BC170,'Dispensed Ink Rates'!C:C,'Dispensed Ink Rates'!CS:CS),VLOOKUP(BC170,'Jan-2026 rates'!$E:$F,2,0)))</f>
        <v>0</v>
      </c>
      <c r="BM170" s="409">
        <v>3</v>
      </c>
      <c r="BN170" s="398">
        <f>IF(BM170=0,0,IF(LEN(BD170)=11,_xlfn.XLOOKUP(BD170,'Dispensed Ink Rates'!C:C,'Dispensed Ink Rates'!CS:CS),VLOOKUP(BD170,'Jan-2026 rates'!$E:$F,2,0)))</f>
        <v>0</v>
      </c>
      <c r="BO170" s="409"/>
      <c r="BP170" s="398">
        <f>IF(BO170=0,0,IF(LEN(BE170)=11,_xlfn.XLOOKUP(BE170,'Dispensed Ink Rates'!C:C,'Dispensed Ink Rates'!CS:CS),VLOOKUP(BE170,'Jan-2026 rates'!$E:$F,2,0)))</f>
        <v>0</v>
      </c>
      <c r="BQ170" s="409"/>
      <c r="BR170" s="398">
        <f>IF(BQ170=0,0,IF(LEN(BF170)=11,_xlfn.XLOOKUP(BF170,'Dispensed Ink Rates'!C:C,'Dispensed Ink Rates'!CS:CS),VLOOKUP(BF170,'Jan-2026 rates'!$E:$F,2,0)))</f>
        <v>0</v>
      </c>
      <c r="BS170" s="409"/>
      <c r="BT170" s="398">
        <f>IF(BS170=0,0,IF(LEN(BG170)=11,_xlfn.XLOOKUP(BG170,'Dispensed Ink Rates'!C:C,'Dispensed Ink Rates'!CS:CS),VLOOKUP(BG170,'Jan-2026 rates'!$E:$F,2,0)))</f>
        <v>0</v>
      </c>
      <c r="BU170" s="409"/>
      <c r="BV170" s="398">
        <f>IF(BU170=0,0,IF(LEN(BH170)=11,_xlfn.XLOOKUP(BH170,'Dispensed Ink Rates'!C:C,'Dispensed Ink Rates'!CS:CS),VLOOKUP(BH170,'Jan-2026 rates'!$E:$F,2,0)))</f>
        <v>0</v>
      </c>
      <c r="BW170" s="409"/>
      <c r="BX170" s="398">
        <f>IF(BW170=0,0,IF(LEN(BI170)=11,_xlfn.XLOOKUP(BI170,'Dispensed Ink Rates'!C:C,'Dispensed Ink Rates'!CS:CS),VLOOKUP(BI170,'Jan-2026 rates'!$E:$F,2,0)))</f>
        <v>0</v>
      </c>
      <c r="BY170" s="409"/>
      <c r="BZ170" s="398">
        <f>IF(BY170=0,0,IF(LEN(BJ170)=11,_xlfn.XLOOKUP(BJ170,'Dispensed Ink Rates'!C:C,'Dispensed Ink Rates'!CS:CS),VLOOKUP(BJ170,'Jan-2026 rates'!$E:$F,2,0)))</f>
        <v>0</v>
      </c>
      <c r="CA170" s="409" t="s">
        <v>1881</v>
      </c>
      <c r="CB170" s="409">
        <f>12+6</f>
        <v>18</v>
      </c>
      <c r="CC170" s="411">
        <f t="shared" si="109"/>
        <v>0</v>
      </c>
      <c r="CD170" s="411">
        <f t="shared" si="110"/>
        <v>19.04</v>
      </c>
      <c r="CE170" s="410">
        <f t="shared" si="111"/>
        <v>0</v>
      </c>
      <c r="CF170" s="404" t="s">
        <v>546</v>
      </c>
      <c r="CG170" s="409" t="s">
        <v>3577</v>
      </c>
      <c r="CH170" s="420" t="str">
        <f t="shared" ref="CH170:CH233" si="132">CONCATENATE(DL170," - ",CF170)</f>
        <v>ToyoLi - REFLEX BLUE</v>
      </c>
      <c r="CI170" s="409">
        <v>15</v>
      </c>
      <c r="CJ170" s="411">
        <f>IF(CI170=0,0,IF($LB170=70%,VLOOKUP($CH170,'Jan-2026 rates'!$L:$R,4,0),IF($LB170=65%,VLOOKUP($CH170,'Jan-2026 rates'!$L:$R,4,0),IF($LB170=40%,VLOOKUP($CH170,'Jan-2026 rates'!$L:$R,5,0),IF($LB170=30%,VLOOKUP($CH170,'Jan-2026 rates'!$L:$R,6,0),IF($LB170=100%,VLOOKUP($CH170,'Jan-2026 rates'!$L:$R,7,0),IF($LB170=60%,VLOOKUP($CH170,'Jan-2026 rates'!$L:$S,8,0),IF($LB170=80%,VLOOKUP($CH170,'Jan-2026 rates'!L:T,9,0),0))))))))</f>
        <v>0</v>
      </c>
      <c r="CK170" s="412"/>
      <c r="CL170" s="409"/>
      <c r="CM170" s="411">
        <f>IF(CL170=0,0,IF($LB170=70%,VLOOKUP($CH170,'Jan-2026 rates'!$L:$R,4,0),IF($LB170=65%,VLOOKUP($CH170,'Jan-2026 rates'!$L:$R,4,0),IF($LB170=40%,VLOOKUP($CH170,'Jan-2026 rates'!$L:$R,5,0),IF($LB170=30%,VLOOKUP($CH170,'Jan-2026 rates'!$L:$R,6,0),IF($LB170=100%,VLOOKUP($CH170,'Jan-2026 rates'!$L:$R,7,0),IF($LB170=60%,VLOOKUP($CH170,'Jan-2026 rates'!$L:$S,8,0),IF($LB170=80%,VLOOKUP($CH170,'Jan-2026 rates'!L:T,9,0),0))))))))</f>
        <v>0</v>
      </c>
      <c r="CN170" s="426" t="s">
        <v>1246</v>
      </c>
      <c r="CO170" s="427"/>
      <c r="CP170" s="426"/>
      <c r="CQ170" s="426"/>
      <c r="CR170" s="428"/>
      <c r="CS170" s="428"/>
      <c r="CT170" s="428"/>
      <c r="CU170" s="428"/>
      <c r="CV170" s="409">
        <v>6</v>
      </c>
      <c r="CW170" s="398">
        <f>IF(CV170=0,0,IF(LEN(CN170)=11,_xlfn.XLOOKUP(CN170,'Dispensed Ink Rates'!C:C,'Dispensed Ink Rates'!CS:CS),VLOOKUP(CN170,'Jan-2026 rates'!$E:$F,2,0)))</f>
        <v>0</v>
      </c>
      <c r="CX170" s="409"/>
      <c r="CY170" s="398">
        <f>IF(CX170=0,0,IF(LEN(CO170)=11,_xlfn.XLOOKUP(CO170,'Dispensed Ink Rates'!C:C,'Dispensed Ink Rates'!CS:CS),VLOOKUP(CO170,'Jan-2026 rates'!$E:$F,2,0)))</f>
        <v>0</v>
      </c>
      <c r="CZ170" s="409"/>
      <c r="DA170" s="398">
        <f>IF(CZ170=0,0,IF(LEN(CP170)=11,_xlfn.XLOOKUP(CP170,'Dispensed Ink Rates'!C:C,'Dispensed Ink Rates'!CS:CS),VLOOKUP(CP170,'Jan-2026 rates'!$E:$F,2,0)))</f>
        <v>0</v>
      </c>
      <c r="DB170" s="409"/>
      <c r="DC170" s="398">
        <f>IF(DB170=0,0,IF(LEN(CQ170)=11,_xlfn.XLOOKUP(CQ170,'Dispensed Ink Rates'!C:C,'Dispensed Ink Rates'!CS:CS),VLOOKUP(CQ170,'Jan-2026 rates'!$E:$F,2,0)))</f>
        <v>0</v>
      </c>
      <c r="DD170" s="409"/>
      <c r="DE170" s="398">
        <f>IF(DD170=0,0,IF(LEN(CR170)=11,_xlfn.XLOOKUP(CR170,'Dispensed Ink Rates'!C:C,'Dispensed Ink Rates'!CS:CS),VLOOKUP(CR170,'Jan-2026 rates'!$E:$F,2,0)))</f>
        <v>0</v>
      </c>
      <c r="DF170" s="409"/>
      <c r="DG170" s="398">
        <f>IF(DF170=0,0,IF(LEN(CS170)=11,_xlfn.XLOOKUP(CS170,'Dispensed Ink Rates'!C:C,'Dispensed Ink Rates'!CS:CS),VLOOKUP(CS170,'Jan-2026 rates'!$E:$F,2,0)))</f>
        <v>0</v>
      </c>
      <c r="DH170" s="409"/>
      <c r="DI170" s="398">
        <f>IF(DH170=0,0,IF(LEN(CT170)=11,_xlfn.XLOOKUP(CT170,'Dispensed Ink Rates'!C:C,'Dispensed Ink Rates'!CS:CS),VLOOKUP(CT170,'Jan-2026 rates'!$E:$F,2,0)))</f>
        <v>0</v>
      </c>
      <c r="DJ170" s="409"/>
      <c r="DK170" s="398">
        <f>IF(DJ170=0,0,IF(LEN(CU170)=11,_xlfn.XLOOKUP(CU170,'Dispensed Ink Rates'!C:C,'Dispensed Ink Rates'!CS:CS),VLOOKUP(CU170,'Jan-2026 rates'!$E:$F,2,0)))</f>
        <v>0</v>
      </c>
      <c r="DL170" s="409" t="s">
        <v>1881</v>
      </c>
      <c r="DM170" s="409">
        <v>17</v>
      </c>
      <c r="DN170" s="411">
        <f t="shared" si="112"/>
        <v>0</v>
      </c>
      <c r="DO170" s="411">
        <f t="shared" si="113"/>
        <v>19.119999999999997</v>
      </c>
      <c r="DP170" s="410">
        <f t="shared" si="114"/>
        <v>0</v>
      </c>
      <c r="DQ170" s="405" t="s">
        <v>857</v>
      </c>
      <c r="DR170" s="409" t="s">
        <v>3578</v>
      </c>
      <c r="DS170" s="420" t="str">
        <f t="shared" ref="DS170:DS233" si="133">CONCATENATE(EW170," - ",DQ170)</f>
        <v>ToyoLi - RED</v>
      </c>
      <c r="DT170" s="409">
        <v>15</v>
      </c>
      <c r="DU170" s="411">
        <f>IF(DT170=0,0,IF($LB170=70%,VLOOKUP($DS170,'Jan-2026 rates'!$L:$R,4,0),IF($LB170=65%,VLOOKUP($DS170,'Jan-2026 rates'!$L:$R,4,0),IF($LB170=40%,VLOOKUP($DS170,'Jan-2026 rates'!$L:$R,5,0),IF($LB170=30%,VLOOKUP($DS170,'Jan-2026 rates'!$L:$R,6,0),IF($LB170=100%,VLOOKUP($DS170,'Jan-2026 rates'!$L:$R,7,0),IF($LB170=60%,VLOOKUP($DS170,'Jan-2026 rates'!$L:$S,8,0),IF($LB170=80%,VLOOKUP($DS170,'Jan-2026 rates'!L:T,9,0),0))))))))</f>
        <v>0</v>
      </c>
      <c r="DV170" s="412"/>
      <c r="DW170" s="409"/>
      <c r="DX170" s="411">
        <f>IF(DW170=0,0,IF($LB170=70%,VLOOKUP($DS170,'Jan-2026 rates'!$L:$R,4,0),IF($LB170=65%,VLOOKUP($DS170,'Jan-2026 rates'!$L:$R,4,0),IF($LB170=40%,VLOOKUP($DS170,'Jan-2026 rates'!$L:$R,5,0),IF($LB170=30%,VLOOKUP($DS170,'Jan-2026 rates'!$L:$R,6,0),IF($LB170=100%,VLOOKUP($DS170,'Jan-2026 rates'!$L:$R,7,0),IF($LB170=60%,VLOOKUP($DS170,'Jan-2026 rates'!$L:$S,8,0),IF($LB170=80%,VLOOKUP($DS170,'Jan-2026 rates'!L:T,9,0),0))))))))</f>
        <v>0</v>
      </c>
      <c r="DY170" s="413" t="s">
        <v>1246</v>
      </c>
      <c r="DZ170" s="413"/>
      <c r="EA170" s="412"/>
      <c r="EB170" s="412"/>
      <c r="EC170" s="412"/>
      <c r="ED170" s="412"/>
      <c r="EE170" s="412"/>
      <c r="EF170" s="412"/>
      <c r="EG170" s="409">
        <v>12</v>
      </c>
      <c r="EH170" s="398">
        <f>IF(EG170=0,0,IF(LEN(DY170)=11,_xlfn.XLOOKUP(DY170,'Dispensed Ink Rates'!C:C,'Dispensed Ink Rates'!CS:CS),VLOOKUP(DY170,'Jan-2026 rates'!$E:$F,2,0)))</f>
        <v>0</v>
      </c>
      <c r="EI170" s="409"/>
      <c r="EJ170" s="398">
        <f>IF(EI170=0,0,IF(LEN(DZ170)=11,_xlfn.XLOOKUP(DZ170,'Dispensed Ink Rates'!C:C,'Dispensed Ink Rates'!CS:CS),VLOOKUP(DZ170,'Jan-2026 rates'!$E:$F,2,0)))</f>
        <v>0</v>
      </c>
      <c r="EK170" s="409"/>
      <c r="EL170" s="398">
        <f>IF(EK170=0,0,IF(LEN(EA170)=11,_xlfn.XLOOKUP(EA170,'Dispensed Ink Rates'!C:C,'Dispensed Ink Rates'!CS:CS),VLOOKUP(EA170,'Jan-2026 rates'!$E:$F,2,0)))</f>
        <v>0</v>
      </c>
      <c r="EM170" s="409"/>
      <c r="EN170" s="398">
        <f>IF(EM170=0,0,IF(LEN(EB170)=11,_xlfn.XLOOKUP(EB170,'Dispensed Ink Rates'!C:C,'Dispensed Ink Rates'!CS:CS),VLOOKUP(EB170,'Jan-2026 rates'!$E:$F,2,0)))</f>
        <v>0</v>
      </c>
      <c r="EO170" s="409"/>
      <c r="EP170" s="398">
        <f>IF(EO170=0,0,IF(LEN(EC170)=11,_xlfn.XLOOKUP(EC170,'Dispensed Ink Rates'!C:C,'Dispensed Ink Rates'!CS:CS),VLOOKUP(EC170,'Jan-2026 rates'!$E:$F,2,0)))</f>
        <v>0</v>
      </c>
      <c r="EQ170" s="409"/>
      <c r="ER170" s="398">
        <f>IF(EQ170=0,0,IF(LEN(ED170)=11,_xlfn.XLOOKUP(ED170,'Dispensed Ink Rates'!C:C,'Dispensed Ink Rates'!CS:CS),VLOOKUP(ED170,'Jan-2026 rates'!$E:$F,2,0)))</f>
        <v>0</v>
      </c>
      <c r="ES170" s="409"/>
      <c r="ET170" s="398">
        <f>IF(ES170=0,0,IF(LEN(EE170)=11,_xlfn.XLOOKUP(EE170,'Dispensed Ink Rates'!C:C,'Dispensed Ink Rates'!CS:CS),VLOOKUP(EE170,'Jan-2026 rates'!$E:$F,2,0)))</f>
        <v>0</v>
      </c>
      <c r="EU170" s="409"/>
      <c r="EV170" s="398">
        <f>IF(EU170=0,0,IF(LEN(EF170)=11,_xlfn.XLOOKUP(EF170,'Dispensed Ink Rates'!C:C,'Dispensed Ink Rates'!CS:CS),VLOOKUP(EF170,'Jan-2026 rates'!$E:$F,2,0)))</f>
        <v>0</v>
      </c>
      <c r="EW170" s="409" t="s">
        <v>1881</v>
      </c>
      <c r="EX170" s="409">
        <v>17</v>
      </c>
      <c r="EY170" s="411">
        <f t="shared" si="115"/>
        <v>0</v>
      </c>
      <c r="EZ170" s="411">
        <f t="shared" si="116"/>
        <v>22.6</v>
      </c>
      <c r="FA170" s="410">
        <f t="shared" si="117"/>
        <v>0</v>
      </c>
      <c r="FB170" s="405" t="s">
        <v>856</v>
      </c>
      <c r="FC170" s="409" t="s">
        <v>3579</v>
      </c>
      <c r="FD170" s="420" t="str">
        <f t="shared" ref="FD170:FD233" si="134">CONCATENATE(GH170," - ",FB170)</f>
        <v>ToyoLi - WHITE</v>
      </c>
      <c r="FE170" s="409">
        <v>25</v>
      </c>
      <c r="FF170" s="411">
        <f>IF(FE170=0,0,IF($LB170=70%,VLOOKUP($FD170,'Jan-2026 rates'!$L:$R,4,0),IF($LB170=65%,VLOOKUP($FD170,'Jan-2026 rates'!$L:$R,4,0),IF($LB170=40%,VLOOKUP($FD170,'Jan-2026 rates'!$L:$R,5,0),IF($LB170=30%,VLOOKUP($FD170,'Jan-2026 rates'!$L:$R,6,0),IF($LB170=100%,VLOOKUP($FD170,'Jan-2026 rates'!$L:$R,7,0),IF($LB170=60%,VLOOKUP($FD170,'Jan-2026 rates'!$L:$S,8,0),IF($LB170=80%,VLOOKUP($FD170,'Jan-2026 rates'!L:T,9,0),0))))))))</f>
        <v>0</v>
      </c>
      <c r="FG170" s="412"/>
      <c r="FH170" s="409"/>
      <c r="FI170" s="411">
        <f>IF(FH170=0,0,IF($LB170=70%,VLOOKUP($FD170,'Jan-2026 rates'!$L:$R,4,0),IF($LB170=65%,VLOOKUP($FD170,'Jan-2026 rates'!$L:$R,4,0),IF($LB170=40%,VLOOKUP($FD170,'Jan-2026 rates'!$L:$R,5,0),IF($LB170=30%,VLOOKUP($FD170,'Jan-2026 rates'!$L:$R,6,0),IF($LB170=100%,VLOOKUP($FD170,'Jan-2026 rates'!$L:$R,7,0),IF($LB170=60%,VLOOKUP($FD170,'Jan-2026 rates'!$L:$S,8,0),IF($LB170=80%,VLOOKUP($FD170,'Jan-2026 rates'!L:T,9,0),0))))))))</f>
        <v>0</v>
      </c>
      <c r="FJ170" s="413" t="s">
        <v>1249</v>
      </c>
      <c r="FK170" s="413"/>
      <c r="FL170" s="413"/>
      <c r="FM170" s="412"/>
      <c r="FN170" s="412"/>
      <c r="FO170" s="412"/>
      <c r="FP170" s="412"/>
      <c r="FQ170" s="412"/>
      <c r="FR170" s="409">
        <v>20</v>
      </c>
      <c r="FS170" s="398">
        <f>IF(FR170=0,0,IF(LEN(FJ170)=11,_xlfn.XLOOKUP(FJ170,'Dispensed Ink Rates'!C:C,'Dispensed Ink Rates'!CS:CS),VLOOKUP(FJ170,'Jan-2026 rates'!$E:$F,2,0)))</f>
        <v>0</v>
      </c>
      <c r="FT170" s="409"/>
      <c r="FU170" s="398">
        <f>IF(FT170=0,0,IF(LEN(FK170)=11,_xlfn.XLOOKUP(FK170,'Dispensed Ink Rates'!C:C,'Dispensed Ink Rates'!CS:CS),VLOOKUP(FK170,'Jan-2026 rates'!$E:$F,2,0)))</f>
        <v>0</v>
      </c>
      <c r="FV170" s="409"/>
      <c r="FW170" s="398">
        <f>IF(FV170=0,0,IF(LEN(FL170)=11,_xlfn.XLOOKUP(FL170,'Dispensed Ink Rates'!C:C,'Dispensed Ink Rates'!CS:CS),VLOOKUP(FL170,'Jan-2026 rates'!$E:$F,2,0)))</f>
        <v>0</v>
      </c>
      <c r="FX170" s="409"/>
      <c r="FY170" s="398">
        <f>IF(FX170=0,0,IF(LEN(FM170)=11,_xlfn.XLOOKUP(FM170,'Dispensed Ink Rates'!C:C,'Dispensed Ink Rates'!CS:CS),VLOOKUP(FM170,'Jan-2026 rates'!$E:$F,2,0)))</f>
        <v>0</v>
      </c>
      <c r="FZ170" s="409"/>
      <c r="GA170" s="398">
        <f>IF(FZ170=0,0,IF(LEN(FN170)=11,_xlfn.XLOOKUP(FN170,'Dispensed Ink Rates'!C:C,'Dispensed Ink Rates'!CS:CS),VLOOKUP(FN170,'Jan-2026 rates'!$E:$F,2,0)))</f>
        <v>0</v>
      </c>
      <c r="GB170" s="409"/>
      <c r="GC170" s="398">
        <f>IF(GB170=0,0,IF(LEN(FO170)=11,_xlfn.XLOOKUP(FO170,'Dispensed Ink Rates'!C:C,'Dispensed Ink Rates'!CS:CS),VLOOKUP(FO170,'Jan-2026 rates'!$E:$F,2,0)))</f>
        <v>0</v>
      </c>
      <c r="GD170" s="409"/>
      <c r="GE170" s="398">
        <f>IF(GD170=0,0,IF(LEN(FP170)=11,_xlfn.XLOOKUP(FP170,'Dispensed Ink Rates'!C:C,'Dispensed Ink Rates'!CS:CS),VLOOKUP(FP170,'Jan-2026 rates'!$E:$F,2,0)))</f>
        <v>0</v>
      </c>
      <c r="GF170" s="409"/>
      <c r="GG170" s="398">
        <f>IF(GF170=0,0,IF(LEN(FQ170)=11,_xlfn.XLOOKUP(FQ170,'Dispensed Ink Rates'!C:C,'Dispensed Ink Rates'!CS:CS),VLOOKUP(FQ170,'Jan-2026 rates'!$E:$F,2,0)))</f>
        <v>0</v>
      </c>
      <c r="GH170" s="409" t="s">
        <v>1881</v>
      </c>
      <c r="GI170" s="409">
        <v>20</v>
      </c>
      <c r="GJ170" s="411">
        <f t="shared" si="118"/>
        <v>0</v>
      </c>
      <c r="GK170" s="411">
        <f t="shared" si="119"/>
        <v>50.2</v>
      </c>
      <c r="GL170" s="410">
        <f t="shared" si="120"/>
        <v>0</v>
      </c>
      <c r="GM170" s="405"/>
      <c r="GN170" s="409"/>
      <c r="GO170" s="420" t="str">
        <f t="shared" ref="GO170:GO233" si="135">CONCATENATE(HS170," - ",GM170)</f>
        <v xml:space="preserve"> - </v>
      </c>
      <c r="GP170" s="409"/>
      <c r="GQ170" s="411">
        <f>IF(GP170=0,0,IF($LB170=70%,VLOOKUP($GO170,'Jan-2026 rates'!$L:$R,4,0),IF($LB170=65%,VLOOKUP($GO170,'Jan-2026 rates'!$L:$R,4,0),IF($LB170=40%,VLOOKUP($GO170,'Jan-2026 rates'!$L:$R,5,0),IF($LB170=30%,VLOOKUP($GO170,'Jan-2026 rates'!$L:$R,6,0),IF($LB170=100%,VLOOKUP($GO170,'Jan-2026 rates'!$L:$R,7,0),IF($LB170=60%,VLOOKUP($GO170,'Jan-2026 rates'!$L:$S,8,0),IF($LB170=80%,VLOOKUP($GO170,'Jan-2026 rates'!L:T,9,0),0))))))))</f>
        <v>0</v>
      </c>
      <c r="GR170" s="412"/>
      <c r="GS170" s="409"/>
      <c r="GT170" s="411">
        <f>IF(GS170=0,0,IF($LB170=70%,VLOOKUP($GO170,'Jan-2026 rates'!$L:$R,4,0),IF($LB170=65%,VLOOKUP($GO170,'Jan-2026 rates'!$L:$R,4,0),IF($LB170=40%,VLOOKUP($GO170,'Jan-2026 rates'!$L:$R,5,0),IF($LB170=30%,VLOOKUP($GO170,'Jan-2026 rates'!$L:$R,6,0),IF($LB170=100%,VLOOKUP($GO170,'Jan-2026 rates'!$L:$R,7,0),IF($LB170=60%,VLOOKUP($GO170,'Jan-2026 rates'!$L:$S,8,0),IF($LB170=80%,VLOOKUP($GO170,'Jan-2026 rates'!L:T,9,0),0))))))))</f>
        <v>0</v>
      </c>
      <c r="GU170" s="413"/>
      <c r="GV170" s="413"/>
      <c r="GW170" s="412"/>
      <c r="GX170" s="412"/>
      <c r="GY170" s="412"/>
      <c r="GZ170" s="412"/>
      <c r="HA170" s="412"/>
      <c r="HB170" s="412"/>
      <c r="HC170" s="409"/>
      <c r="HD170" s="398">
        <f>IF(HC170=0,0,IF(LEN(GU170)=11,_xlfn.XLOOKUP(GU170,'Dispensed Ink Rates'!C:C,'Dispensed Ink Rates'!CS:CS),VLOOKUP(GU170,'Jan-2026 rates'!$E:$F,2,0)))</f>
        <v>0</v>
      </c>
      <c r="HE170" s="409"/>
      <c r="HF170" s="398">
        <f>IF(HE170=0,0,IF(LEN(GV170)=11,_xlfn.XLOOKUP(GV170,'Dispensed Ink Rates'!C:C,'Dispensed Ink Rates'!CS:CS),VLOOKUP(GV170,'Jan-2026 rates'!$E:$F,2,0)))</f>
        <v>0</v>
      </c>
      <c r="HG170" s="409"/>
      <c r="HH170" s="398">
        <f>IF(HG170=0,0,IF(LEN(GW170)=11,_xlfn.XLOOKUP(GW170,'Dispensed Ink Rates'!C:C,'Dispensed Ink Rates'!CS:CS),VLOOKUP(GW170,'Jan-2026 rates'!$E:$F,2,0)))</f>
        <v>0</v>
      </c>
      <c r="HI170" s="409"/>
      <c r="HJ170" s="398">
        <f>IF(HI170=0,0,IF(LEN(GX170)=11,_xlfn.XLOOKUP(GX170,'Dispensed Ink Rates'!C:C,'Dispensed Ink Rates'!CS:CS),VLOOKUP(GX170,'Jan-2026 rates'!$E:$F,2,0)))</f>
        <v>0</v>
      </c>
      <c r="HK170" s="409"/>
      <c r="HL170" s="398">
        <f>IF(HK170=0,0,IF(LEN(GY170)=11,_xlfn.XLOOKUP(GY170,'Dispensed Ink Rates'!C:C,'Dispensed Ink Rates'!CS:CS),VLOOKUP(GY170,'Jan-2026 rates'!$E:$F,2,0)))</f>
        <v>0</v>
      </c>
      <c r="HM170" s="409"/>
      <c r="HN170" s="398">
        <f>IF(HM170=0,0,IF(LEN(GZ170)=11,_xlfn.XLOOKUP(GZ170,'Dispensed Ink Rates'!C:C,'Dispensed Ink Rates'!CS:CS),VLOOKUP(GZ170,'Jan-2026 rates'!$E:$F,2,0)))</f>
        <v>0</v>
      </c>
      <c r="HO170" s="409"/>
      <c r="HP170" s="398">
        <f>IF(HO170=0,0,IF(LEN(HA170)=11,_xlfn.XLOOKUP(HA170,'Dispensed Ink Rates'!C:C,'Dispensed Ink Rates'!CS:CS),VLOOKUP(HA170,'Jan-2026 rates'!$E:$F,2,0)))</f>
        <v>0</v>
      </c>
      <c r="HQ170" s="409"/>
      <c r="HR170" s="398">
        <f>IF(HQ170=0,0,IF(LEN(HB170)=11,_xlfn.XLOOKUP(HB170,'Dispensed Ink Rates'!C:C,'Dispensed Ink Rates'!CS:CS),VLOOKUP(HB170,'Jan-2026 rates'!$E:$F,2,0)))</f>
        <v>0</v>
      </c>
      <c r="HS170" s="409"/>
      <c r="HT170" s="409"/>
      <c r="HU170" s="411">
        <f t="shared" si="121"/>
        <v>0</v>
      </c>
      <c r="HV170" s="411">
        <f t="shared" si="122"/>
        <v>0</v>
      </c>
      <c r="HW170" s="414">
        <f t="shared" si="123"/>
        <v>0</v>
      </c>
      <c r="HX170" s="405"/>
      <c r="HY170" s="409"/>
      <c r="HZ170" s="420" t="str">
        <f t="shared" ref="HZ170:HZ233" si="136">CONCATENATE(JD170," - ",HX170)</f>
        <v xml:space="preserve"> - </v>
      </c>
      <c r="IA170" s="409"/>
      <c r="IB170" s="411">
        <f>IF(IA170=0,0,IF($LB170=70%,VLOOKUP($HZ170,'Jan-2026 rates'!$L:$R,4,0),IF($LB170=65%,VLOOKUP($HZ170,'Jan-2026 rates'!$L:$R,4,0),IF($LB170=40%,VLOOKUP($HZ170,'Jan-2026 rates'!$L:$R,5,0),IF($LB170=30%,VLOOKUP($HZ170,'Jan-2026 rates'!$L:$R,6,0),IF($LB170=100%,VLOOKUP($HZ170,'Jan-2026 rates'!$L:$R,7,0),IF($LB170=60%,VLOOKUP($HZ170,'Jan-2026 rates'!$L:$S,8,0),IF($LB170=80%,VLOOKUP($HZ170,'Jan-2026 rates'!L:T,9,0),0))))))))</f>
        <v>0</v>
      </c>
      <c r="IC170" s="412"/>
      <c r="ID170" s="409"/>
      <c r="IE170" s="411">
        <f>IF(ID170=0,0,IF($LB170=70%,VLOOKUP($HZ170,'Jan-2026 rates'!$L:$R,4,0),IF($LB170=65%,VLOOKUP($HZ170,'Jan-2026 rates'!$L:$R,4,0),IF($LB170=40%,VLOOKUP($HZ170,'Jan-2026 rates'!$L:$R,5,0),IF($LB170=30%,VLOOKUP($HZ170,'Jan-2026 rates'!$L:$R,6,0),IF($LB170=100%,VLOOKUP($HZ170,'Jan-2026 rates'!$L:$R,7,0),IF($LB170=60%,VLOOKUP($HZ170,'Jan-2026 rates'!$L:$S,8,0),IF($LB170=80%,VLOOKUP($HZ170,'Jan-2026 rates'!L:T,9,0),0))))))))</f>
        <v>0</v>
      </c>
      <c r="IF170" s="412"/>
      <c r="IG170" s="413"/>
      <c r="IH170" s="412"/>
      <c r="II170" s="412"/>
      <c r="IJ170" s="412"/>
      <c r="IK170" s="412"/>
      <c r="IL170" s="412"/>
      <c r="IM170" s="412"/>
      <c r="IN170" s="409"/>
      <c r="IO170" s="398">
        <f>IF(IN170=0,0,IF(LEN(IF170)=11,_xlfn.XLOOKUP(IF170,'Dispensed Ink Rates'!C:C,'Dispensed Ink Rates'!CS:CS),VLOOKUP(IF170,'Jan-2026 rates'!$E:$F,2,0)))</f>
        <v>0</v>
      </c>
      <c r="IP170" s="409"/>
      <c r="IQ170" s="398">
        <f>IF(IP170=0,0,IF(LEN(IG170)=11,_xlfn.XLOOKUP(IG170,'Dispensed Ink Rates'!C:C,'Dispensed Ink Rates'!CS:CS),VLOOKUP(IG170,'Jan-2026 rates'!$E:$F,2,0)))</f>
        <v>0</v>
      </c>
      <c r="IR170" s="409"/>
      <c r="IS170" s="398">
        <f>IF(IR170=0,0,IF(LEN(IH170)=11,_xlfn.XLOOKUP(IH170,'Dispensed Ink Rates'!C:C,'Dispensed Ink Rates'!CS:CS),VLOOKUP(IH170,'Jan-2026 rates'!$E:$F,2,0)))</f>
        <v>0</v>
      </c>
      <c r="IT170" s="409"/>
      <c r="IU170" s="398">
        <f>IF(IT170=0,0,IF(LEN(II170)=11,_xlfn.XLOOKUP(II170,'Dispensed Ink Rates'!C:C,'Dispensed Ink Rates'!CS:CS),VLOOKUP(II170,'Jan-2026 rates'!$E:$F,2,0)))</f>
        <v>0</v>
      </c>
      <c r="IV170" s="409"/>
      <c r="IW170" s="398">
        <f>IF(IV170=0,0,IF(LEN(IJ170)=11,_xlfn.XLOOKUP(IJ170,'Dispensed Ink Rates'!C:C,'Dispensed Ink Rates'!CS:CS),VLOOKUP(IJ170,'Jan-2026 rates'!$E:$F,2,0)))</f>
        <v>0</v>
      </c>
      <c r="IX170" s="409"/>
      <c r="IY170" s="398">
        <f>IF(IX170=0,0,IF(LEN(IK170)=11,_xlfn.XLOOKUP(IK170,'Dispensed Ink Rates'!C:C,'Dispensed Ink Rates'!CS:CS),VLOOKUP(IK170,'Jan-2026 rates'!$E:$F,2,0)))</f>
        <v>0</v>
      </c>
      <c r="IZ170" s="409"/>
      <c r="JA170" s="398">
        <f>IF(IZ170=0,0,IF(LEN(IL170)=11,_xlfn.XLOOKUP(IL170,'Dispensed Ink Rates'!C:C,'Dispensed Ink Rates'!CS:CS),VLOOKUP(IL170,'Jan-2026 rates'!$E:$F,2,0)))</f>
        <v>0</v>
      </c>
      <c r="JB170" s="409"/>
      <c r="JC170" s="398">
        <f>IF(JB170=0,0,IF(LEN(IM170)=11,_xlfn.XLOOKUP(IM170,'Dispensed Ink Rates'!C:C,'Dispensed Ink Rates'!CS:CS),VLOOKUP(IM170,'Jan-2026 rates'!$E:$F,2,0)))</f>
        <v>0</v>
      </c>
      <c r="JD170" s="409"/>
      <c r="JE170" s="409"/>
      <c r="JF170" s="411">
        <f t="shared" si="124"/>
        <v>0</v>
      </c>
      <c r="JG170" s="411">
        <f t="shared" si="125"/>
        <v>0</v>
      </c>
      <c r="JH170" s="410">
        <f t="shared" si="126"/>
        <v>0</v>
      </c>
      <c r="JI170" s="405"/>
      <c r="JJ170" s="409"/>
      <c r="JK170" s="420" t="str">
        <f t="shared" ref="JK170:JK233" si="137">CONCATENATE(KO170," - ",JI170)</f>
        <v xml:space="preserve"> - </v>
      </c>
      <c r="JL170" s="409"/>
      <c r="JM170" s="411">
        <f>IF(JL170=0,0,IF($LB170=70%,VLOOKUP($JK170,'Jan-2026 rates'!$L:$R,4,0),IF($LB170=65%,VLOOKUP($JK170,'Jan-2026 rates'!$L:$R,4,0),IF($LB170=40%,VLOOKUP($JK170,'Jan-2026 rates'!$L:$R,5,0),IF($LB170=30%,VLOOKUP($JK170,'Jan-2026 rates'!$L:$R,6,0),IF($LB170=100%,VLOOKUP($JK170,'Jan-2026 rates'!$L:$R,7,0),IF($LB170=60%,VLOOKUP($JK170,'Jan-2026 rates'!$L:$S,8,0),IF($LB170=80%,VLOOKUP($JK170,'Jan-2026 rates'!L:T,9,0),0))))))))</f>
        <v>0</v>
      </c>
      <c r="JN170" s="412"/>
      <c r="JO170" s="409"/>
      <c r="JP170" s="411">
        <f>IF(JO170=0,0,IF($LB170=70%,VLOOKUP($JK170,'Jan-2026 rates'!$L:$R,4,0),IF($LB170=65%,VLOOKUP($JK170,'Jan-2026 rates'!$L:$R,4,0),IF($LB170=40%,VLOOKUP($JK170,'Jan-2026 rates'!$L:$R,5,0),IF($LB170=30%,VLOOKUP($JK170,'Jan-2026 rates'!$L:$R,6,0),IF($LB170=100%,VLOOKUP($JK170,'Jan-2026 rates'!$L:$R,7,0),IF($LB170=60%,VLOOKUP($JK170,'Jan-2026 rates'!$L:$S,8,0),IF($LB170=80%,VLOOKUP($JK170,'Jan-2026 rates'!L:T,9,0),0))))))))</f>
        <v>0</v>
      </c>
      <c r="JQ170" s="413"/>
      <c r="JR170" s="412"/>
      <c r="JS170" s="413"/>
      <c r="JT170" s="413"/>
      <c r="JU170" s="412"/>
      <c r="JV170" s="412"/>
      <c r="JW170" s="412"/>
      <c r="JX170" s="412"/>
      <c r="JY170" s="409"/>
      <c r="JZ170" s="398">
        <f>IF(JY170=0,0,IF(LEN(JQ170)=11,_xlfn.XLOOKUP(JQ170,'Dispensed Ink Rates'!C:C,'Dispensed Ink Rates'!CS:CS),VLOOKUP(JQ170,'Jan-2026 rates'!$E:$F,2,0)))</f>
        <v>0</v>
      </c>
      <c r="KA170" s="409"/>
      <c r="KB170" s="398">
        <f>IF(KA170=0,0,IF(LEN(JR170)=11,_xlfn.XLOOKUP(JR170,'Dispensed Ink Rates'!C:C,'Dispensed Ink Rates'!CS:CS),VLOOKUP(JR170,'Jan-2026 rates'!$E:$F,2,0)))</f>
        <v>0</v>
      </c>
      <c r="KC170" s="409"/>
      <c r="KD170" s="398">
        <f>IF(KC170=0,0,IF(LEN(JS170)=11,_xlfn.XLOOKUP(JS170,'Dispensed Ink Rates'!C:C,'Dispensed Ink Rates'!CS:CS),VLOOKUP(JS170,'Jan-2026 rates'!$E:$F,2,0)))</f>
        <v>0</v>
      </c>
      <c r="KE170" s="409"/>
      <c r="KF170" s="398">
        <f>IF(KE170=0,0,IF(LEN(JT170)=11,_xlfn.XLOOKUP(JT170,'Dispensed Ink Rates'!C:C,'Dispensed Ink Rates'!CS:CS),VLOOKUP(JT170,'Jan-2026 rates'!$E:$F,2,0)))</f>
        <v>0</v>
      </c>
      <c r="KG170" s="409"/>
      <c r="KH170" s="398">
        <f>IF(KG170=0,0,IF(LEN(JU170)=11,_xlfn.XLOOKUP(JU170,'Dispensed Ink Rates'!C:C,'Dispensed Ink Rates'!CS:CS),VLOOKUP(JU170,'Jan-2026 rates'!$E:$F,2,0)))</f>
        <v>0</v>
      </c>
      <c r="KI170" s="409"/>
      <c r="KJ170" s="398">
        <f>IF(KI170=0,0,IF(LEN(JV170)=11,_xlfn.XLOOKUP(JV170,'Dispensed Ink Rates'!C:C,'Dispensed Ink Rates'!CS:CS),VLOOKUP(JV170,'Jan-2026 rates'!$E:$F,2,0)))</f>
        <v>0</v>
      </c>
      <c r="KK170" s="409"/>
      <c r="KL170" s="398">
        <f>IF(KK170=0,0,IF(LEN(JW170)=11,_xlfn.XLOOKUP(JW170,'Dispensed Ink Rates'!C:C,'Dispensed Ink Rates'!CS:CS),VLOOKUP(JW170,'Jan-2026 rates'!$E:$F,2,0)))</f>
        <v>0</v>
      </c>
      <c r="KM170" s="428"/>
      <c r="KN170" s="398">
        <f>IF(KM170=0,0,IF(LEN(JX170)=11,_xlfn.XLOOKUP(JX170,'Dispensed Ink Rates'!C:C,'Dispensed Ink Rates'!CS:CS),VLOOKUP(JX170,'Jan-2026 rates'!$E:$F,2,0)))</f>
        <v>0</v>
      </c>
      <c r="KO170" s="409"/>
      <c r="KP170" s="409"/>
      <c r="KQ170" s="411">
        <f t="shared" si="127"/>
        <v>0</v>
      </c>
      <c r="KR170" s="411">
        <f t="shared" si="128"/>
        <v>0</v>
      </c>
      <c r="KS170" s="410">
        <f t="shared" si="129"/>
        <v>0</v>
      </c>
      <c r="KT170" s="409">
        <v>2</v>
      </c>
      <c r="KU170" s="409">
        <v>2</v>
      </c>
      <c r="KV170" s="409">
        <v>6</v>
      </c>
      <c r="KW170" s="409">
        <v>5</v>
      </c>
      <c r="KX170" s="409">
        <v>10</v>
      </c>
      <c r="KY170" s="409">
        <v>0</v>
      </c>
      <c r="KZ170" s="409">
        <v>0</v>
      </c>
      <c r="LA170" s="409">
        <v>0</v>
      </c>
      <c r="LB170" s="415">
        <v>0.3</v>
      </c>
      <c r="LC170" s="415"/>
      <c r="LD170" s="415"/>
      <c r="LE170" s="415">
        <v>0.5</v>
      </c>
      <c r="LF170" s="415">
        <v>0.2</v>
      </c>
      <c r="LG170" s="409">
        <v>0</v>
      </c>
      <c r="LH170" s="409">
        <f>10+13+12+20+8</f>
        <v>63</v>
      </c>
      <c r="LI170" s="409">
        <v>0</v>
      </c>
      <c r="LJ170" s="409">
        <v>0</v>
      </c>
      <c r="LK170" s="416">
        <f t="shared" ref="LK170:LK233" si="138">LG170+LH170+LI170-LJ170</f>
        <v>63</v>
      </c>
      <c r="LL170" s="416">
        <f t="shared" ref="LL170:LL233" si="139">IF(LK170&lt;=0,SUM(KT170:LA170),LK170)</f>
        <v>63</v>
      </c>
      <c r="LM170" s="417">
        <f t="shared" ref="LM170:LM233" si="140">IFERROR($LL170*LB170,0)</f>
        <v>18.899999999999999</v>
      </c>
      <c r="LN170" s="417">
        <f>VLOOKUP($LM$8,'Jan-2026 rates'!$H:$I,2,0)</f>
        <v>0</v>
      </c>
      <c r="LO170" s="417">
        <f t="shared" ref="LO170:LO233" si="141">IFERROR(LL170*LC170,0)</f>
        <v>0</v>
      </c>
      <c r="LP170" s="417">
        <f>VLOOKUP($LO$8,'Jan-2026 rates'!$H:$I,2,0)</f>
        <v>0</v>
      </c>
      <c r="LQ170" s="417">
        <f t="shared" ref="LQ170:LQ233" si="142">IFERROR(LL170*LD170,0)</f>
        <v>0</v>
      </c>
      <c r="LR170" s="417">
        <f>VLOOKUP($LQ$8,'Jan-2026 rates'!$H:$I,2,0)</f>
        <v>0</v>
      </c>
      <c r="LS170" s="417">
        <f t="shared" ref="LS170:LS233" si="143">IFERROR(LL170*LE170,0)</f>
        <v>31.5</v>
      </c>
      <c r="LT170" s="417">
        <f>VLOOKUP($LS$8,'Jan-2026 rates'!$H:$I,2,0)</f>
        <v>0</v>
      </c>
      <c r="LU170" s="417">
        <f t="shared" ref="LU170:LU233" si="144">IFERROR(LL170*LF170,0)</f>
        <v>12.600000000000001</v>
      </c>
      <c r="LV170" s="417">
        <f>VLOOKUP($LU$8,'Jan-2026 rates'!$H:$I,2,0)</f>
        <v>0</v>
      </c>
      <c r="LW170" s="417">
        <f t="shared" ref="LW170:LW233" si="145">(LM170*LN170+LO170*LP170+LQ170*LR170+LS170*LT170+LU170*LV170)</f>
        <v>0</v>
      </c>
      <c r="LX170" s="417">
        <f t="shared" ref="LX170:LX233" si="146">IFERROR(LW170/LL170,0)</f>
        <v>0</v>
      </c>
      <c r="LY170" s="418">
        <f t="shared" ref="LY170:LY233" si="147">AT170+CE170+DP170+FA170+GL170+HW170+JH170+KS170</f>
        <v>0</v>
      </c>
      <c r="LZ170" s="417"/>
      <c r="MA170" s="435">
        <f t="shared" ref="MA170:MA233" si="148">Z170+AB170+AD170+AF170+AH170+AJ170+AL170+AN170+BK170+BM170+BO170+BQ170+BS170+BU170+BW170+BY170+CV170+CX170+CZ170+DB170+DD170+DF170+DH170+DJ170+EG170+EI170+EK170+EM170+EO170+EQ170+ES170+EU170+FR170+FT170+FV170+FX170+FZ170+GB170+GD170+GF170+HC170+HE170+HG170+HI170+HK170+HM170+HO170+HQ170+IN170+IP170+IR170+IT170+IV170+IX170+IZ170+JB170+JY170+KA170+KC170+KE170+KG170+KI170+KK170+KM170</f>
        <v>45</v>
      </c>
      <c r="MB170" s="282">
        <f t="shared" ref="MB170:MB233" si="149">AS170+CD170+DO170+EZ170+GK170+HV170+JG170+KR170</f>
        <v>118</v>
      </c>
      <c r="MC170" s="283" t="s">
        <v>2005</v>
      </c>
      <c r="MD170" s="284" t="str">
        <f t="shared" ref="MD170:MD233" si="150">CONCATENATE(AP170,CA170,DL170,EW170,GH170,HS170,JD170,KO170)</f>
        <v>ToyoLiToyoLiToyoLiToyoLiToyoLi</v>
      </c>
      <c r="ME170" s="293" t="str">
        <f t="shared" ref="ME170:ME233" si="151">IF(AQ170&lt;&gt;"",IF(AS170&gt;0,"+","-"),"NIL")</f>
        <v>+</v>
      </c>
      <c r="MF170" s="293" t="str">
        <f t="shared" ref="MF170:MF233" si="152">IF(CB170&lt;&gt;"",IF(CD170&gt;0,"+","-"),"NIL")</f>
        <v>+</v>
      </c>
      <c r="MG170" s="293" t="str">
        <f t="shared" ref="MG170:MG233" si="153">IF(DM170&lt;&gt;"",IF(DO170&gt;0,"+","-"),"NIL")</f>
        <v>+</v>
      </c>
      <c r="MH170" s="293" t="str">
        <f t="shared" ref="MH170:MH233" si="154">IF(EX170&lt;&gt;"",IF(EZ170&gt;0,"+","-"),"NIL")</f>
        <v>+</v>
      </c>
      <c r="MI170" s="293" t="str">
        <f t="shared" ref="MI170:MI233" si="155">IF(GI170&lt;&gt;"",IF(GK170&gt;0,"+","-"),"NIL")</f>
        <v>+</v>
      </c>
      <c r="MJ170" s="293" t="str">
        <f t="shared" ref="MJ170:MJ233" si="156">IF(HT170&lt;&gt;"",IF(HV170&gt;0,"+","-"),"NIL")</f>
        <v>NIL</v>
      </c>
      <c r="MK170" s="293" t="str">
        <f t="shared" ref="MK170:MK233" si="157">IF(JE170&lt;&gt;"",IF(JG170&gt;0,"+","-"),"NIL")</f>
        <v>NIL</v>
      </c>
      <c r="ML170" s="293" t="str">
        <f t="shared" ref="ML170:ML233" si="158">IF(KP170&lt;&gt;"",IF(KR170&gt;0,"+","-"),"NIL")</f>
        <v>NIL</v>
      </c>
      <c r="MM170" s="3" t="b">
        <f t="array" ref="MM170">OR(ME170:ML170="-")</f>
        <v>0</v>
      </c>
      <c r="MN170" s="285"/>
      <c r="MO170" s="401"/>
      <c r="MP170" s="286"/>
      <c r="MQ170" s="286"/>
      <c r="MR170" s="402"/>
      <c r="MS170" s="400"/>
      <c r="NH170" s="422"/>
      <c r="NJ170" s="421"/>
    </row>
    <row r="171" spans="1:374" s="1" customFormat="1" ht="16.5">
      <c r="A171" s="403">
        <v>46034</v>
      </c>
      <c r="B171" s="404" t="s">
        <v>1018</v>
      </c>
      <c r="C171" s="405" t="s">
        <v>3580</v>
      </c>
      <c r="D171" s="406" t="s">
        <v>2006</v>
      </c>
      <c r="E171" s="404">
        <v>626</v>
      </c>
      <c r="F171" s="407">
        <v>40800</v>
      </c>
      <c r="G171" s="407" t="s">
        <v>1016</v>
      </c>
      <c r="H171" s="408" t="s">
        <v>1017</v>
      </c>
      <c r="I171" s="409">
        <v>2.2000000000000002</v>
      </c>
      <c r="J171" s="405" t="s">
        <v>543</v>
      </c>
      <c r="K171" s="404" t="s">
        <v>3581</v>
      </c>
      <c r="L171" s="419" t="str">
        <f t="shared" si="131"/>
        <v>ToyoLi - BLACK</v>
      </c>
      <c r="M171" s="404">
        <v>24</v>
      </c>
      <c r="N171" s="410">
        <f>IF(M171=0,0,IF($LB171=70%,VLOOKUP($L171,'Jan-2026 rates'!$L:$R,4,0),IF($LB171=65%,VLOOKUP($L171,'Jan-2026 rates'!$L:$R,4,0),IF($LB171=40%,VLOOKUP($L171,'Jan-2026 rates'!$L:$R,5,0),IF($LB171=30%,VLOOKUP($L171,'Jan-2026 rates'!$L:$R,6,0),IF($LB171=100%,VLOOKUP($L171,'Jan-2026 rates'!$L:$R,7,0),IF($LB171=60%,VLOOKUP($L171,'Jan-2026 rates'!$L:$S,8,0),IF($LB171=80%,VLOOKUP($L171,'Jan-2026 rates'!L:T,9,0),0))))))))</f>
        <v>0</v>
      </c>
      <c r="O171" s="406"/>
      <c r="P171" s="404"/>
      <c r="Q171" s="410">
        <f>IF(P171=0,0,IF($LB171=70%,VLOOKUP($L171,'Jan-2026 rates'!$L:$R,4,0),IF($LB171=65%,VLOOKUP($L171,'Jan-2026 rates'!$L:$R,4,0),IF($LB171=40%,VLOOKUP($L171,'Jan-2026 rates'!$L:$R,5,0),IF($LB171=30%,VLOOKUP($L171,'Jan-2026 rates'!$L:$R,6,0),IF($LB171=100%,VLOOKUP($L171,'Jan-2026 rates'!$L:$R,7,0),IF($LB171=60%,VLOOKUP($L171,'Jan-2026 rates'!$L:$S,8,0),IF($LB171=80%,VLOOKUP($L171,'Jan-2026 rates'!L:T,9,0),0))))))))</f>
        <v>0</v>
      </c>
      <c r="R171" s="406" t="s">
        <v>1252</v>
      </c>
      <c r="S171" s="406"/>
      <c r="T171" s="406"/>
      <c r="U171" s="406"/>
      <c r="V171" s="406"/>
      <c r="W171" s="406"/>
      <c r="X171" s="406"/>
      <c r="Y171" s="406"/>
      <c r="Z171" s="404">
        <v>4</v>
      </c>
      <c r="AA171" s="398">
        <f>IF(Z171=0,0,IF(LEN(R171)=11,_xlfn.XLOOKUP(R171,'Dispensed Ink Rates'!C:C,'Dispensed Ink Rates'!CS:CS),VLOOKUP(R171,'Jan-2026 rates'!$E:$F,2,0)))</f>
        <v>0</v>
      </c>
      <c r="AB171" s="404"/>
      <c r="AC171" s="398">
        <f>IF(AB171=0,0,IF(LEN(S171)=11,_xlfn.XLOOKUP(S171,'Dispensed Ink Rates'!C:C,'Dispensed Ink Rates'!CS:CS),VLOOKUP(S171,'Jan-2026 rates'!$E:$F,2,0)))</f>
        <v>0</v>
      </c>
      <c r="AD171" s="404"/>
      <c r="AE171" s="398">
        <f>IF(AD171=0,0,IF(LEN(T171)=11,_xlfn.XLOOKUP(T171,'Dispensed Ink Rates'!C:C,'Dispensed Ink Rates'!CS:CS),VLOOKUP(T171,'Jan-2026 rates'!$E:$F,2,0)))</f>
        <v>0</v>
      </c>
      <c r="AF171" s="404"/>
      <c r="AG171" s="398">
        <f>IF(AF171=0,0,IF(LEN(U171)=11,_xlfn.XLOOKUP(U171,'Dispensed Ink Rates'!C:C,'Dispensed Ink Rates'!CS:CS),VLOOKUP(U171,'Jan-2026 rates'!$E:$F,2,0)))</f>
        <v>0</v>
      </c>
      <c r="AH171" s="404"/>
      <c r="AI171" s="398">
        <f>IF(AH171=0,0,IF(LEN(V171)=11,_xlfn.XLOOKUP(V171,'Dispensed Ink Rates'!C:C,'Dispensed Ink Rates'!CS:CS),VLOOKUP(V171,'Jan-2026 rates'!$E:$F,2,0)))</f>
        <v>0</v>
      </c>
      <c r="AJ171" s="404"/>
      <c r="AK171" s="398">
        <f>IF(AJ171=0,0,IF(LEN(W171)=11,_xlfn.XLOOKUP(W171,'Dispensed Ink Rates'!C:C,'Dispensed Ink Rates'!CS:CS),VLOOKUP(W171,'Jan-2026 rates'!$E:$F,2,0)))</f>
        <v>0</v>
      </c>
      <c r="AL171" s="404"/>
      <c r="AM171" s="398">
        <f>IF(AL171=0,0,IF(LEN(X171)=11,_xlfn.XLOOKUP(X171,'Dispensed Ink Rates'!C:C,'Dispensed Ink Rates'!CS:CS),VLOOKUP(X171,'Jan-2026 rates'!$E:$F,2,0)))</f>
        <v>0</v>
      </c>
      <c r="AN171" s="404"/>
      <c r="AO171" s="398">
        <f>IF(AN171=0,0,IF(LEN(Y171)=11,_xlfn.XLOOKUP(Y171,'Dispensed Ink Rates'!C:C,'Dispensed Ink Rates'!CS:CS),VLOOKUP(Y171,'Jan-2026 rates'!$E:$F,2,0)))</f>
        <v>0</v>
      </c>
      <c r="AP171" s="409" t="s">
        <v>1881</v>
      </c>
      <c r="AQ171" s="409">
        <v>26</v>
      </c>
      <c r="AR171" s="410">
        <f t="shared" si="106"/>
        <v>0</v>
      </c>
      <c r="AS171" s="411">
        <f t="shared" si="107"/>
        <v>5.6000000000000014</v>
      </c>
      <c r="AT171" s="410">
        <f t="shared" si="108"/>
        <v>0</v>
      </c>
      <c r="AU171" s="405" t="s">
        <v>546</v>
      </c>
      <c r="AV171" s="409" t="s">
        <v>3581</v>
      </c>
      <c r="AW171" s="420" t="str">
        <f t="shared" si="130"/>
        <v>ToyoLi - REFLEX BLUE</v>
      </c>
      <c r="AX171" s="409">
        <v>16</v>
      </c>
      <c r="AY171" s="411">
        <f>IF(AX171=0,0,IF($LB171=70%,VLOOKUP($AW171,'Jan-2026 rates'!$L:$R,4,0),IF($LB171=65%,VLOOKUP($AW171,'Jan-2026 rates'!$L:$R,4,0),IF($LB171=40%,VLOOKUP($AW171,'Jan-2026 rates'!$L:$R,5,0),IF($LB171=30%,VLOOKUP($AW171,'Jan-2026 rates'!$L:$R,6,0),IF($LB171=100%,VLOOKUP($AW171,'Jan-2026 rates'!$L:$R,7,0),IF($LB171=60%,VLOOKUP($AW171,'Jan-2026 rates'!$L:$S,8,0),IF($LB171=80%,VLOOKUP($AW171,'Jan-2026 rates'!L:T,9,0),0))))))))</f>
        <v>0</v>
      </c>
      <c r="AZ171" s="412"/>
      <c r="BA171" s="409"/>
      <c r="BB171" s="411">
        <f>IF(BA171=0,0,IF($LB171=70%,VLOOKUP($AW171,'Jan-2026 rates'!$L:$R,4,0),IF($LB171=65%,VLOOKUP($AW171,'Jan-2026 rates'!$L:$R,4,0),IF($LB171=40%,VLOOKUP($AW171,'Jan-2026 rates'!$L:$R,5,0),IF($LB171=30%,VLOOKUP($AW171,'Jan-2026 rates'!$L:$R,6,0),IF($LB171=100%,VLOOKUP($AW171,'Jan-2026 rates'!$L:$R,7,0),IF($LB171=60%,VLOOKUP($AW171,'Jan-2026 rates'!$L:$S,8,0),IF($LB171=80%,VLOOKUP($AW171,'Jan-2026 rates'!L:T,9,0),0))))))))</f>
        <v>0</v>
      </c>
      <c r="BC171" s="413" t="s">
        <v>1880</v>
      </c>
      <c r="BD171" s="412" t="s">
        <v>1250</v>
      </c>
      <c r="BE171" s="412"/>
      <c r="BF171" s="413"/>
      <c r="BG171" s="412"/>
      <c r="BH171" s="412"/>
      <c r="BI171" s="412"/>
      <c r="BJ171" s="412"/>
      <c r="BK171" s="409">
        <v>2</v>
      </c>
      <c r="BL171" s="398">
        <f>IF(BK171=0,0,IF(LEN(BC171)=11,_xlfn.XLOOKUP(BC171,'Dispensed Ink Rates'!C:C,'Dispensed Ink Rates'!CS:CS),VLOOKUP(BC171,'Jan-2026 rates'!$E:$F,2,0)))</f>
        <v>0</v>
      </c>
      <c r="BM171" s="409">
        <v>15</v>
      </c>
      <c r="BN171" s="398">
        <f>IF(BM171=0,0,IF(LEN(BD171)=11,_xlfn.XLOOKUP(BD171,'Dispensed Ink Rates'!C:C,'Dispensed Ink Rates'!CS:CS),VLOOKUP(BD171,'Jan-2026 rates'!$E:$F,2,0)))</f>
        <v>0</v>
      </c>
      <c r="BO171" s="409"/>
      <c r="BP171" s="398">
        <f>IF(BO171=0,0,IF(LEN(BE171)=11,_xlfn.XLOOKUP(BE171,'Dispensed Ink Rates'!C:C,'Dispensed Ink Rates'!CS:CS),VLOOKUP(BE171,'Jan-2026 rates'!$E:$F,2,0)))</f>
        <v>0</v>
      </c>
      <c r="BQ171" s="409"/>
      <c r="BR171" s="398">
        <f>IF(BQ171=0,0,IF(LEN(BF171)=11,_xlfn.XLOOKUP(BF171,'Dispensed Ink Rates'!C:C,'Dispensed Ink Rates'!CS:CS),VLOOKUP(BF171,'Jan-2026 rates'!$E:$F,2,0)))</f>
        <v>0</v>
      </c>
      <c r="BS171" s="409"/>
      <c r="BT171" s="398">
        <f>IF(BS171=0,0,IF(LEN(BG171)=11,_xlfn.XLOOKUP(BG171,'Dispensed Ink Rates'!C:C,'Dispensed Ink Rates'!CS:CS),VLOOKUP(BG171,'Jan-2026 rates'!$E:$F,2,0)))</f>
        <v>0</v>
      </c>
      <c r="BU171" s="409"/>
      <c r="BV171" s="398">
        <f>IF(BU171=0,0,IF(LEN(BH171)=11,_xlfn.XLOOKUP(BH171,'Dispensed Ink Rates'!C:C,'Dispensed Ink Rates'!CS:CS),VLOOKUP(BH171,'Jan-2026 rates'!$E:$F,2,0)))</f>
        <v>0</v>
      </c>
      <c r="BW171" s="409"/>
      <c r="BX171" s="398">
        <f>IF(BW171=0,0,IF(LEN(BI171)=11,_xlfn.XLOOKUP(BI171,'Dispensed Ink Rates'!C:C,'Dispensed Ink Rates'!CS:CS),VLOOKUP(BI171,'Jan-2026 rates'!$E:$F,2,0)))</f>
        <v>0</v>
      </c>
      <c r="BY171" s="409"/>
      <c r="BZ171" s="398">
        <f>IF(BY171=0,0,IF(LEN(BJ171)=11,_xlfn.XLOOKUP(BJ171,'Dispensed Ink Rates'!C:C,'Dispensed Ink Rates'!CS:CS),VLOOKUP(BJ171,'Jan-2026 rates'!$E:$F,2,0)))</f>
        <v>0</v>
      </c>
      <c r="CA171" s="409" t="s">
        <v>1881</v>
      </c>
      <c r="CB171" s="409">
        <v>20</v>
      </c>
      <c r="CC171" s="411">
        <f t="shared" si="109"/>
        <v>0</v>
      </c>
      <c r="CD171" s="411">
        <f t="shared" si="110"/>
        <v>27.4</v>
      </c>
      <c r="CE171" s="410">
        <f t="shared" si="111"/>
        <v>0</v>
      </c>
      <c r="CF171" s="404" t="s">
        <v>856</v>
      </c>
      <c r="CG171" s="409" t="s">
        <v>3582</v>
      </c>
      <c r="CH171" s="420" t="str">
        <f t="shared" si="132"/>
        <v>ToyoLi - WHITE</v>
      </c>
      <c r="CI171" s="409">
        <v>20</v>
      </c>
      <c r="CJ171" s="411">
        <f>IF(CI171=0,0,IF($LB171=70%,VLOOKUP($CH171,'Jan-2026 rates'!$L:$R,4,0),IF($LB171=65%,VLOOKUP($CH171,'Jan-2026 rates'!$L:$R,4,0),IF($LB171=40%,VLOOKUP($CH171,'Jan-2026 rates'!$L:$R,5,0),IF($LB171=30%,VLOOKUP($CH171,'Jan-2026 rates'!$L:$R,6,0),IF($LB171=100%,VLOOKUP($CH171,'Jan-2026 rates'!$L:$R,7,0),IF($LB171=60%,VLOOKUP($CH171,'Jan-2026 rates'!$L:$S,8,0),IF($LB171=80%,VLOOKUP($CH171,'Jan-2026 rates'!L:T,9,0),0))))))))</f>
        <v>0</v>
      </c>
      <c r="CK171" s="412"/>
      <c r="CL171" s="409"/>
      <c r="CM171" s="411">
        <f>IF(CL171=0,0,IF($LB171=70%,VLOOKUP($CH171,'Jan-2026 rates'!$L:$R,4,0),IF($LB171=65%,VLOOKUP($CH171,'Jan-2026 rates'!$L:$R,4,0),IF($LB171=40%,VLOOKUP($CH171,'Jan-2026 rates'!$L:$R,5,0),IF($LB171=30%,VLOOKUP($CH171,'Jan-2026 rates'!$L:$R,6,0),IF($LB171=100%,VLOOKUP($CH171,'Jan-2026 rates'!$L:$R,7,0),IF($LB171=60%,VLOOKUP($CH171,'Jan-2026 rates'!$L:$S,8,0),IF($LB171=80%,VLOOKUP($CH171,'Jan-2026 rates'!L:T,9,0),0))))))))</f>
        <v>0</v>
      </c>
      <c r="CN171" s="426" t="s">
        <v>1249</v>
      </c>
      <c r="CO171" s="427"/>
      <c r="CP171" s="426"/>
      <c r="CQ171" s="426"/>
      <c r="CR171" s="428"/>
      <c r="CS171" s="428"/>
      <c r="CT171" s="428"/>
      <c r="CU171" s="428"/>
      <c r="CV171" s="409">
        <f>60+100</f>
        <v>160</v>
      </c>
      <c r="CW171" s="398">
        <f>IF(CV171=0,0,IF(LEN(CN171)=11,_xlfn.XLOOKUP(CN171,'Dispensed Ink Rates'!C:C,'Dispensed Ink Rates'!CS:CS),VLOOKUP(CN171,'Jan-2026 rates'!$E:$F,2,0)))</f>
        <v>0</v>
      </c>
      <c r="CX171" s="409"/>
      <c r="CY171" s="398">
        <f>IF(CX171=0,0,IF(LEN(CO171)=11,_xlfn.XLOOKUP(CO171,'Dispensed Ink Rates'!C:C,'Dispensed Ink Rates'!CS:CS),VLOOKUP(CO171,'Jan-2026 rates'!$E:$F,2,0)))</f>
        <v>0</v>
      </c>
      <c r="CZ171" s="409"/>
      <c r="DA171" s="398">
        <f>IF(CZ171=0,0,IF(LEN(CP171)=11,_xlfn.XLOOKUP(CP171,'Dispensed Ink Rates'!C:C,'Dispensed Ink Rates'!CS:CS),VLOOKUP(CP171,'Jan-2026 rates'!$E:$F,2,0)))</f>
        <v>0</v>
      </c>
      <c r="DB171" s="409"/>
      <c r="DC171" s="398">
        <f>IF(DB171=0,0,IF(LEN(CQ171)=11,_xlfn.XLOOKUP(CQ171,'Dispensed Ink Rates'!C:C,'Dispensed Ink Rates'!CS:CS),VLOOKUP(CQ171,'Jan-2026 rates'!$E:$F,2,0)))</f>
        <v>0</v>
      </c>
      <c r="DD171" s="409"/>
      <c r="DE171" s="398">
        <f>IF(DD171=0,0,IF(LEN(CR171)=11,_xlfn.XLOOKUP(CR171,'Dispensed Ink Rates'!C:C,'Dispensed Ink Rates'!CS:CS),VLOOKUP(CR171,'Jan-2026 rates'!$E:$F,2,0)))</f>
        <v>0</v>
      </c>
      <c r="DF171" s="409"/>
      <c r="DG171" s="398">
        <f>IF(DF171=0,0,IF(LEN(CS171)=11,_xlfn.XLOOKUP(CS171,'Dispensed Ink Rates'!C:C,'Dispensed Ink Rates'!CS:CS),VLOOKUP(CS171,'Jan-2026 rates'!$E:$F,2,0)))</f>
        <v>0</v>
      </c>
      <c r="DH171" s="409"/>
      <c r="DI171" s="398">
        <f>IF(DH171=0,0,IF(LEN(CT171)=11,_xlfn.XLOOKUP(CT171,'Dispensed Ink Rates'!C:C,'Dispensed Ink Rates'!CS:CS),VLOOKUP(CT171,'Jan-2026 rates'!$E:$F,2,0)))</f>
        <v>0</v>
      </c>
      <c r="DJ171" s="409"/>
      <c r="DK171" s="398">
        <f>IF(DJ171=0,0,IF(LEN(CU171)=11,_xlfn.XLOOKUP(CU171,'Dispensed Ink Rates'!C:C,'Dispensed Ink Rates'!CS:CS),VLOOKUP(CU171,'Jan-2026 rates'!$E:$F,2,0)))</f>
        <v>0</v>
      </c>
      <c r="DL171" s="409" t="s">
        <v>1881</v>
      </c>
      <c r="DM171" s="409">
        <v>30</v>
      </c>
      <c r="DN171" s="411">
        <f t="shared" si="112"/>
        <v>0</v>
      </c>
      <c r="DO171" s="411">
        <f t="shared" si="113"/>
        <v>312</v>
      </c>
      <c r="DP171" s="410">
        <f t="shared" si="114"/>
        <v>0</v>
      </c>
      <c r="DQ171" s="405"/>
      <c r="DR171" s="409"/>
      <c r="DS171" s="420" t="str">
        <f t="shared" si="133"/>
        <v xml:space="preserve"> - </v>
      </c>
      <c r="DT171" s="409"/>
      <c r="DU171" s="411">
        <f>IF(DT171=0,0,IF($LB171=70%,VLOOKUP($DS171,'Jan-2026 rates'!$L:$R,4,0),IF($LB171=65%,VLOOKUP($DS171,'Jan-2026 rates'!$L:$R,4,0),IF($LB171=40%,VLOOKUP($DS171,'Jan-2026 rates'!$L:$R,5,0),IF($LB171=30%,VLOOKUP($DS171,'Jan-2026 rates'!$L:$R,6,0),IF($LB171=100%,VLOOKUP($DS171,'Jan-2026 rates'!$L:$R,7,0),IF($LB171=60%,VLOOKUP($DS171,'Jan-2026 rates'!$L:$S,8,0),IF($LB171=80%,VLOOKUP($DS171,'Jan-2026 rates'!L:T,9,0),0))))))))</f>
        <v>0</v>
      </c>
      <c r="DV171" s="412"/>
      <c r="DW171" s="409"/>
      <c r="DX171" s="411">
        <f>IF(DW171=0,0,IF($LB171=70%,VLOOKUP($DS171,'Jan-2026 rates'!$L:$R,4,0),IF($LB171=65%,VLOOKUP($DS171,'Jan-2026 rates'!$L:$R,4,0),IF($LB171=40%,VLOOKUP($DS171,'Jan-2026 rates'!$L:$R,5,0),IF($LB171=30%,VLOOKUP($DS171,'Jan-2026 rates'!$L:$R,6,0),IF($LB171=100%,VLOOKUP($DS171,'Jan-2026 rates'!$L:$R,7,0),IF($LB171=60%,VLOOKUP($DS171,'Jan-2026 rates'!$L:$S,8,0),IF($LB171=80%,VLOOKUP($DS171,'Jan-2026 rates'!L:T,9,0),0))))))))</f>
        <v>0</v>
      </c>
      <c r="DY171" s="413"/>
      <c r="DZ171" s="413"/>
      <c r="EA171" s="412"/>
      <c r="EB171" s="412"/>
      <c r="EC171" s="412"/>
      <c r="ED171" s="412"/>
      <c r="EE171" s="412"/>
      <c r="EF171" s="412"/>
      <c r="EG171" s="409"/>
      <c r="EH171" s="398">
        <f>IF(EG171=0,0,IF(LEN(DY171)=11,_xlfn.XLOOKUP(DY171,'Dispensed Ink Rates'!C:C,'Dispensed Ink Rates'!CS:CS),VLOOKUP(DY171,'Jan-2026 rates'!$E:$F,2,0)))</f>
        <v>0</v>
      </c>
      <c r="EI171" s="409"/>
      <c r="EJ171" s="398">
        <f>IF(EI171=0,0,IF(LEN(DZ171)=11,_xlfn.XLOOKUP(DZ171,'Dispensed Ink Rates'!C:C,'Dispensed Ink Rates'!CS:CS),VLOOKUP(DZ171,'Jan-2026 rates'!$E:$F,2,0)))</f>
        <v>0</v>
      </c>
      <c r="EK171" s="409"/>
      <c r="EL171" s="398">
        <f>IF(EK171=0,0,IF(LEN(EA171)=11,_xlfn.XLOOKUP(EA171,'Dispensed Ink Rates'!C:C,'Dispensed Ink Rates'!CS:CS),VLOOKUP(EA171,'Jan-2026 rates'!$E:$F,2,0)))</f>
        <v>0</v>
      </c>
      <c r="EM171" s="409"/>
      <c r="EN171" s="398">
        <f>IF(EM171=0,0,IF(LEN(EB171)=11,_xlfn.XLOOKUP(EB171,'Dispensed Ink Rates'!C:C,'Dispensed Ink Rates'!CS:CS),VLOOKUP(EB171,'Jan-2026 rates'!$E:$F,2,0)))</f>
        <v>0</v>
      </c>
      <c r="EO171" s="409"/>
      <c r="EP171" s="398">
        <f>IF(EO171=0,0,IF(LEN(EC171)=11,_xlfn.XLOOKUP(EC171,'Dispensed Ink Rates'!C:C,'Dispensed Ink Rates'!CS:CS),VLOOKUP(EC171,'Jan-2026 rates'!$E:$F,2,0)))</f>
        <v>0</v>
      </c>
      <c r="EQ171" s="409"/>
      <c r="ER171" s="398">
        <f>IF(EQ171=0,0,IF(LEN(ED171)=11,_xlfn.XLOOKUP(ED171,'Dispensed Ink Rates'!C:C,'Dispensed Ink Rates'!CS:CS),VLOOKUP(ED171,'Jan-2026 rates'!$E:$F,2,0)))</f>
        <v>0</v>
      </c>
      <c r="ES171" s="409"/>
      <c r="ET171" s="398">
        <f>IF(ES171=0,0,IF(LEN(EE171)=11,_xlfn.XLOOKUP(EE171,'Dispensed Ink Rates'!C:C,'Dispensed Ink Rates'!CS:CS),VLOOKUP(EE171,'Jan-2026 rates'!$E:$F,2,0)))</f>
        <v>0</v>
      </c>
      <c r="EU171" s="409"/>
      <c r="EV171" s="398">
        <f>IF(EU171=0,0,IF(LEN(EF171)=11,_xlfn.XLOOKUP(EF171,'Dispensed Ink Rates'!C:C,'Dispensed Ink Rates'!CS:CS),VLOOKUP(EF171,'Jan-2026 rates'!$E:$F,2,0)))</f>
        <v>0</v>
      </c>
      <c r="EW171" s="409"/>
      <c r="EX171" s="409"/>
      <c r="EY171" s="411">
        <f t="shared" si="115"/>
        <v>0</v>
      </c>
      <c r="EZ171" s="411">
        <f t="shared" si="116"/>
        <v>0</v>
      </c>
      <c r="FA171" s="410">
        <f t="shared" si="117"/>
        <v>0</v>
      </c>
      <c r="FB171" s="405"/>
      <c r="FC171" s="409"/>
      <c r="FD171" s="420" t="str">
        <f t="shared" si="134"/>
        <v xml:space="preserve"> - </v>
      </c>
      <c r="FE171" s="409"/>
      <c r="FF171" s="411">
        <f>IF(FE171=0,0,IF($LB171=70%,VLOOKUP($FD171,'Jan-2026 rates'!$L:$R,4,0),IF($LB171=65%,VLOOKUP($FD171,'Jan-2026 rates'!$L:$R,4,0),IF($LB171=40%,VLOOKUP($FD171,'Jan-2026 rates'!$L:$R,5,0),IF($LB171=30%,VLOOKUP($FD171,'Jan-2026 rates'!$L:$R,6,0),IF($LB171=100%,VLOOKUP($FD171,'Jan-2026 rates'!$L:$R,7,0),IF($LB171=60%,VLOOKUP($FD171,'Jan-2026 rates'!$L:$S,8,0),IF($LB171=80%,VLOOKUP($FD171,'Jan-2026 rates'!L:T,9,0),0))))))))</f>
        <v>0</v>
      </c>
      <c r="FG171" s="412"/>
      <c r="FH171" s="409"/>
      <c r="FI171" s="411">
        <f>IF(FH171=0,0,IF($LB171=70%,VLOOKUP($FD171,'Jan-2026 rates'!$L:$R,4,0),IF($LB171=65%,VLOOKUP($FD171,'Jan-2026 rates'!$L:$R,4,0),IF($LB171=40%,VLOOKUP($FD171,'Jan-2026 rates'!$L:$R,5,0),IF($LB171=30%,VLOOKUP($FD171,'Jan-2026 rates'!$L:$R,6,0),IF($LB171=100%,VLOOKUP($FD171,'Jan-2026 rates'!$L:$R,7,0),IF($LB171=60%,VLOOKUP($FD171,'Jan-2026 rates'!$L:$S,8,0),IF($LB171=80%,VLOOKUP($FD171,'Jan-2026 rates'!L:T,9,0),0))))))))</f>
        <v>0</v>
      </c>
      <c r="FJ171" s="413"/>
      <c r="FK171" s="413"/>
      <c r="FL171" s="413"/>
      <c r="FM171" s="412"/>
      <c r="FN171" s="412"/>
      <c r="FO171" s="412"/>
      <c r="FP171" s="412"/>
      <c r="FQ171" s="412"/>
      <c r="FR171" s="409"/>
      <c r="FS171" s="398">
        <f>IF(FR171=0,0,IF(LEN(FJ171)=11,_xlfn.XLOOKUP(FJ171,'Dispensed Ink Rates'!C:C,'Dispensed Ink Rates'!CS:CS),VLOOKUP(FJ171,'Jan-2026 rates'!$E:$F,2,0)))</f>
        <v>0</v>
      </c>
      <c r="FT171" s="409"/>
      <c r="FU171" s="398">
        <f>IF(FT171=0,0,IF(LEN(FK171)=11,_xlfn.XLOOKUP(FK171,'Dispensed Ink Rates'!C:C,'Dispensed Ink Rates'!CS:CS),VLOOKUP(FK171,'Jan-2026 rates'!$E:$F,2,0)))</f>
        <v>0</v>
      </c>
      <c r="FV171" s="409"/>
      <c r="FW171" s="398">
        <f>IF(FV171=0,0,IF(LEN(FL171)=11,_xlfn.XLOOKUP(FL171,'Dispensed Ink Rates'!C:C,'Dispensed Ink Rates'!CS:CS),VLOOKUP(FL171,'Jan-2026 rates'!$E:$F,2,0)))</f>
        <v>0</v>
      </c>
      <c r="FX171" s="409"/>
      <c r="FY171" s="398">
        <f>IF(FX171=0,0,IF(LEN(FM171)=11,_xlfn.XLOOKUP(FM171,'Dispensed Ink Rates'!C:C,'Dispensed Ink Rates'!CS:CS),VLOOKUP(FM171,'Jan-2026 rates'!$E:$F,2,0)))</f>
        <v>0</v>
      </c>
      <c r="FZ171" s="409"/>
      <c r="GA171" s="398">
        <f>IF(FZ171=0,0,IF(LEN(FN171)=11,_xlfn.XLOOKUP(FN171,'Dispensed Ink Rates'!C:C,'Dispensed Ink Rates'!CS:CS),VLOOKUP(FN171,'Jan-2026 rates'!$E:$F,2,0)))</f>
        <v>0</v>
      </c>
      <c r="GB171" s="409"/>
      <c r="GC171" s="398">
        <f>IF(GB171=0,0,IF(LEN(FO171)=11,_xlfn.XLOOKUP(FO171,'Dispensed Ink Rates'!C:C,'Dispensed Ink Rates'!CS:CS),VLOOKUP(FO171,'Jan-2026 rates'!$E:$F,2,0)))</f>
        <v>0</v>
      </c>
      <c r="GD171" s="409"/>
      <c r="GE171" s="398">
        <f>IF(GD171=0,0,IF(LEN(FP171)=11,_xlfn.XLOOKUP(FP171,'Dispensed Ink Rates'!C:C,'Dispensed Ink Rates'!CS:CS),VLOOKUP(FP171,'Jan-2026 rates'!$E:$F,2,0)))</f>
        <v>0</v>
      </c>
      <c r="GF171" s="409"/>
      <c r="GG171" s="398">
        <f>IF(GF171=0,0,IF(LEN(FQ171)=11,_xlfn.XLOOKUP(FQ171,'Dispensed Ink Rates'!C:C,'Dispensed Ink Rates'!CS:CS),VLOOKUP(FQ171,'Jan-2026 rates'!$E:$F,2,0)))</f>
        <v>0</v>
      </c>
      <c r="GH171" s="409"/>
      <c r="GI171" s="409"/>
      <c r="GJ171" s="411">
        <f t="shared" si="118"/>
        <v>0</v>
      </c>
      <c r="GK171" s="411">
        <f t="shared" si="119"/>
        <v>0</v>
      </c>
      <c r="GL171" s="410">
        <f t="shared" si="120"/>
        <v>0</v>
      </c>
      <c r="GM171" s="405"/>
      <c r="GN171" s="409"/>
      <c r="GO171" s="420" t="str">
        <f t="shared" si="135"/>
        <v xml:space="preserve"> - </v>
      </c>
      <c r="GP171" s="409"/>
      <c r="GQ171" s="411">
        <f>IF(GP171=0,0,IF($LB171=70%,VLOOKUP($GO171,'Jan-2026 rates'!$L:$R,4,0),IF($LB171=65%,VLOOKUP($GO171,'Jan-2026 rates'!$L:$R,4,0),IF($LB171=40%,VLOOKUP($GO171,'Jan-2026 rates'!$L:$R,5,0),IF($LB171=30%,VLOOKUP($GO171,'Jan-2026 rates'!$L:$R,6,0),IF($LB171=100%,VLOOKUP($GO171,'Jan-2026 rates'!$L:$R,7,0),IF($LB171=60%,VLOOKUP($GO171,'Jan-2026 rates'!$L:$S,8,0),IF($LB171=80%,VLOOKUP($GO171,'Jan-2026 rates'!L:T,9,0),0))))))))</f>
        <v>0</v>
      </c>
      <c r="GR171" s="412"/>
      <c r="GS171" s="409"/>
      <c r="GT171" s="411">
        <f>IF(GS171=0,0,IF($LB171=70%,VLOOKUP($GO171,'Jan-2026 rates'!$L:$R,4,0),IF($LB171=65%,VLOOKUP($GO171,'Jan-2026 rates'!$L:$R,4,0),IF($LB171=40%,VLOOKUP($GO171,'Jan-2026 rates'!$L:$R,5,0),IF($LB171=30%,VLOOKUP($GO171,'Jan-2026 rates'!$L:$R,6,0),IF($LB171=100%,VLOOKUP($GO171,'Jan-2026 rates'!$L:$R,7,0),IF($LB171=60%,VLOOKUP($GO171,'Jan-2026 rates'!$L:$S,8,0),IF($LB171=80%,VLOOKUP($GO171,'Jan-2026 rates'!L:T,9,0),0))))))))</f>
        <v>0</v>
      </c>
      <c r="GU171" s="413"/>
      <c r="GV171" s="413"/>
      <c r="GW171" s="412"/>
      <c r="GX171" s="412"/>
      <c r="GY171" s="412"/>
      <c r="GZ171" s="412"/>
      <c r="HA171" s="412"/>
      <c r="HB171" s="412"/>
      <c r="HC171" s="409"/>
      <c r="HD171" s="398">
        <f>IF(HC171=0,0,IF(LEN(GU171)=11,_xlfn.XLOOKUP(GU171,'Dispensed Ink Rates'!C:C,'Dispensed Ink Rates'!CS:CS),VLOOKUP(GU171,'Jan-2026 rates'!$E:$F,2,0)))</f>
        <v>0</v>
      </c>
      <c r="HE171" s="409"/>
      <c r="HF171" s="398">
        <f>IF(HE171=0,0,IF(LEN(GV171)=11,_xlfn.XLOOKUP(GV171,'Dispensed Ink Rates'!C:C,'Dispensed Ink Rates'!CS:CS),VLOOKUP(GV171,'Jan-2026 rates'!$E:$F,2,0)))</f>
        <v>0</v>
      </c>
      <c r="HG171" s="409"/>
      <c r="HH171" s="398">
        <f>IF(HG171=0,0,IF(LEN(GW171)=11,_xlfn.XLOOKUP(GW171,'Dispensed Ink Rates'!C:C,'Dispensed Ink Rates'!CS:CS),VLOOKUP(GW171,'Jan-2026 rates'!$E:$F,2,0)))</f>
        <v>0</v>
      </c>
      <c r="HI171" s="409"/>
      <c r="HJ171" s="398">
        <f>IF(HI171=0,0,IF(LEN(GX171)=11,_xlfn.XLOOKUP(GX171,'Dispensed Ink Rates'!C:C,'Dispensed Ink Rates'!CS:CS),VLOOKUP(GX171,'Jan-2026 rates'!$E:$F,2,0)))</f>
        <v>0</v>
      </c>
      <c r="HK171" s="409"/>
      <c r="HL171" s="398">
        <f>IF(HK171=0,0,IF(LEN(GY171)=11,_xlfn.XLOOKUP(GY171,'Dispensed Ink Rates'!C:C,'Dispensed Ink Rates'!CS:CS),VLOOKUP(GY171,'Jan-2026 rates'!$E:$F,2,0)))</f>
        <v>0</v>
      </c>
      <c r="HM171" s="409"/>
      <c r="HN171" s="398">
        <f>IF(HM171=0,0,IF(LEN(GZ171)=11,_xlfn.XLOOKUP(GZ171,'Dispensed Ink Rates'!C:C,'Dispensed Ink Rates'!CS:CS),VLOOKUP(GZ171,'Jan-2026 rates'!$E:$F,2,0)))</f>
        <v>0</v>
      </c>
      <c r="HO171" s="409"/>
      <c r="HP171" s="398">
        <f>IF(HO171=0,0,IF(LEN(HA171)=11,_xlfn.XLOOKUP(HA171,'Dispensed Ink Rates'!C:C,'Dispensed Ink Rates'!CS:CS),VLOOKUP(HA171,'Jan-2026 rates'!$E:$F,2,0)))</f>
        <v>0</v>
      </c>
      <c r="HQ171" s="409"/>
      <c r="HR171" s="398">
        <f>IF(HQ171=0,0,IF(LEN(HB171)=11,_xlfn.XLOOKUP(HB171,'Dispensed Ink Rates'!C:C,'Dispensed Ink Rates'!CS:CS),VLOOKUP(HB171,'Jan-2026 rates'!$E:$F,2,0)))</f>
        <v>0</v>
      </c>
      <c r="HS171" s="409"/>
      <c r="HT171" s="409"/>
      <c r="HU171" s="411">
        <f t="shared" si="121"/>
        <v>0</v>
      </c>
      <c r="HV171" s="411">
        <f t="shared" si="122"/>
        <v>0</v>
      </c>
      <c r="HW171" s="414">
        <f t="shared" si="123"/>
        <v>0</v>
      </c>
      <c r="HX171" s="405"/>
      <c r="HY171" s="409"/>
      <c r="HZ171" s="420" t="str">
        <f t="shared" si="136"/>
        <v xml:space="preserve"> - </v>
      </c>
      <c r="IA171" s="409"/>
      <c r="IB171" s="411">
        <f>IF(IA171=0,0,IF($LB171=70%,VLOOKUP($HZ171,'Jan-2026 rates'!$L:$R,4,0),IF($LB171=65%,VLOOKUP($HZ171,'Jan-2026 rates'!$L:$R,4,0),IF($LB171=40%,VLOOKUP($HZ171,'Jan-2026 rates'!$L:$R,5,0),IF($LB171=30%,VLOOKUP($HZ171,'Jan-2026 rates'!$L:$R,6,0),IF($LB171=100%,VLOOKUP($HZ171,'Jan-2026 rates'!$L:$R,7,0),IF($LB171=60%,VLOOKUP($HZ171,'Jan-2026 rates'!$L:$S,8,0),IF($LB171=80%,VLOOKUP($HZ171,'Jan-2026 rates'!L:T,9,0),0))))))))</f>
        <v>0</v>
      </c>
      <c r="IC171" s="412"/>
      <c r="ID171" s="409"/>
      <c r="IE171" s="411">
        <f>IF(ID171=0,0,IF($LB171=70%,VLOOKUP($HZ171,'Jan-2026 rates'!$L:$R,4,0),IF($LB171=65%,VLOOKUP($HZ171,'Jan-2026 rates'!$L:$R,4,0),IF($LB171=40%,VLOOKUP($HZ171,'Jan-2026 rates'!$L:$R,5,0),IF($LB171=30%,VLOOKUP($HZ171,'Jan-2026 rates'!$L:$R,6,0),IF($LB171=100%,VLOOKUP($HZ171,'Jan-2026 rates'!$L:$R,7,0),IF($LB171=60%,VLOOKUP($HZ171,'Jan-2026 rates'!$L:$S,8,0),IF($LB171=80%,VLOOKUP($HZ171,'Jan-2026 rates'!L:T,9,0),0))))))))</f>
        <v>0</v>
      </c>
      <c r="IF171" s="412"/>
      <c r="IG171" s="413"/>
      <c r="IH171" s="412"/>
      <c r="II171" s="412"/>
      <c r="IJ171" s="412"/>
      <c r="IK171" s="412"/>
      <c r="IL171" s="412"/>
      <c r="IM171" s="412"/>
      <c r="IN171" s="409"/>
      <c r="IO171" s="398">
        <f>IF(IN171=0,0,IF(LEN(IF171)=11,_xlfn.XLOOKUP(IF171,'Dispensed Ink Rates'!C:C,'Dispensed Ink Rates'!CS:CS),VLOOKUP(IF171,'Jan-2026 rates'!$E:$F,2,0)))</f>
        <v>0</v>
      </c>
      <c r="IP171" s="409"/>
      <c r="IQ171" s="398">
        <f>IF(IP171=0,0,IF(LEN(IG171)=11,_xlfn.XLOOKUP(IG171,'Dispensed Ink Rates'!C:C,'Dispensed Ink Rates'!CS:CS),VLOOKUP(IG171,'Jan-2026 rates'!$E:$F,2,0)))</f>
        <v>0</v>
      </c>
      <c r="IR171" s="409"/>
      <c r="IS171" s="398">
        <f>IF(IR171=0,0,IF(LEN(IH171)=11,_xlfn.XLOOKUP(IH171,'Dispensed Ink Rates'!C:C,'Dispensed Ink Rates'!CS:CS),VLOOKUP(IH171,'Jan-2026 rates'!$E:$F,2,0)))</f>
        <v>0</v>
      </c>
      <c r="IT171" s="409"/>
      <c r="IU171" s="398">
        <f>IF(IT171=0,0,IF(LEN(II171)=11,_xlfn.XLOOKUP(II171,'Dispensed Ink Rates'!C:C,'Dispensed Ink Rates'!CS:CS),VLOOKUP(II171,'Jan-2026 rates'!$E:$F,2,0)))</f>
        <v>0</v>
      </c>
      <c r="IV171" s="409"/>
      <c r="IW171" s="398">
        <f>IF(IV171=0,0,IF(LEN(IJ171)=11,_xlfn.XLOOKUP(IJ171,'Dispensed Ink Rates'!C:C,'Dispensed Ink Rates'!CS:CS),VLOOKUP(IJ171,'Jan-2026 rates'!$E:$F,2,0)))</f>
        <v>0</v>
      </c>
      <c r="IX171" s="409"/>
      <c r="IY171" s="398">
        <f>IF(IX171=0,0,IF(LEN(IK171)=11,_xlfn.XLOOKUP(IK171,'Dispensed Ink Rates'!C:C,'Dispensed Ink Rates'!CS:CS),VLOOKUP(IK171,'Jan-2026 rates'!$E:$F,2,0)))</f>
        <v>0</v>
      </c>
      <c r="IZ171" s="409"/>
      <c r="JA171" s="398">
        <f>IF(IZ171=0,0,IF(LEN(IL171)=11,_xlfn.XLOOKUP(IL171,'Dispensed Ink Rates'!C:C,'Dispensed Ink Rates'!CS:CS),VLOOKUP(IL171,'Jan-2026 rates'!$E:$F,2,0)))</f>
        <v>0</v>
      </c>
      <c r="JB171" s="409"/>
      <c r="JC171" s="398">
        <f>IF(JB171=0,0,IF(LEN(IM171)=11,_xlfn.XLOOKUP(IM171,'Dispensed Ink Rates'!C:C,'Dispensed Ink Rates'!CS:CS),VLOOKUP(IM171,'Jan-2026 rates'!$E:$F,2,0)))</f>
        <v>0</v>
      </c>
      <c r="JD171" s="409"/>
      <c r="JE171" s="409"/>
      <c r="JF171" s="411">
        <f t="shared" si="124"/>
        <v>0</v>
      </c>
      <c r="JG171" s="411">
        <f t="shared" si="125"/>
        <v>0</v>
      </c>
      <c r="JH171" s="410">
        <f t="shared" si="126"/>
        <v>0</v>
      </c>
      <c r="JI171" s="405"/>
      <c r="JJ171" s="409"/>
      <c r="JK171" s="420" t="str">
        <f t="shared" si="137"/>
        <v xml:space="preserve"> - </v>
      </c>
      <c r="JL171" s="409"/>
      <c r="JM171" s="411">
        <f>IF(JL171=0,0,IF($LB171=70%,VLOOKUP($JK171,'Jan-2026 rates'!$L:$R,4,0),IF($LB171=65%,VLOOKUP($JK171,'Jan-2026 rates'!$L:$R,4,0),IF($LB171=40%,VLOOKUP($JK171,'Jan-2026 rates'!$L:$R,5,0),IF($LB171=30%,VLOOKUP($JK171,'Jan-2026 rates'!$L:$R,6,0),IF($LB171=100%,VLOOKUP($JK171,'Jan-2026 rates'!$L:$R,7,0),IF($LB171=60%,VLOOKUP($JK171,'Jan-2026 rates'!$L:$S,8,0),IF($LB171=80%,VLOOKUP($JK171,'Jan-2026 rates'!L:T,9,0),0))))))))</f>
        <v>0</v>
      </c>
      <c r="JN171" s="412"/>
      <c r="JO171" s="409"/>
      <c r="JP171" s="411">
        <f>IF(JO171=0,0,IF($LB171=70%,VLOOKUP($JK171,'Jan-2026 rates'!$L:$R,4,0),IF($LB171=65%,VLOOKUP($JK171,'Jan-2026 rates'!$L:$R,4,0),IF($LB171=40%,VLOOKUP($JK171,'Jan-2026 rates'!$L:$R,5,0),IF($LB171=30%,VLOOKUP($JK171,'Jan-2026 rates'!$L:$R,6,0),IF($LB171=100%,VLOOKUP($JK171,'Jan-2026 rates'!$L:$R,7,0),IF($LB171=60%,VLOOKUP($JK171,'Jan-2026 rates'!$L:$S,8,0),IF($LB171=80%,VLOOKUP($JK171,'Jan-2026 rates'!L:T,9,0),0))))))))</f>
        <v>0</v>
      </c>
      <c r="JQ171" s="413"/>
      <c r="JR171" s="412"/>
      <c r="JS171" s="413"/>
      <c r="JT171" s="413"/>
      <c r="JU171" s="412"/>
      <c r="JV171" s="412"/>
      <c r="JW171" s="412"/>
      <c r="JX171" s="412"/>
      <c r="JY171" s="409"/>
      <c r="JZ171" s="398">
        <f>IF(JY171=0,0,IF(LEN(JQ171)=11,_xlfn.XLOOKUP(JQ171,'Dispensed Ink Rates'!C:C,'Dispensed Ink Rates'!CS:CS),VLOOKUP(JQ171,'Jan-2026 rates'!$E:$F,2,0)))</f>
        <v>0</v>
      </c>
      <c r="KA171" s="409"/>
      <c r="KB171" s="398">
        <f>IF(KA171=0,0,IF(LEN(JR171)=11,_xlfn.XLOOKUP(JR171,'Dispensed Ink Rates'!C:C,'Dispensed Ink Rates'!CS:CS),VLOOKUP(JR171,'Jan-2026 rates'!$E:$F,2,0)))</f>
        <v>0</v>
      </c>
      <c r="KC171" s="409"/>
      <c r="KD171" s="398">
        <f>IF(KC171=0,0,IF(LEN(JS171)=11,_xlfn.XLOOKUP(JS171,'Dispensed Ink Rates'!C:C,'Dispensed Ink Rates'!CS:CS),VLOOKUP(JS171,'Jan-2026 rates'!$E:$F,2,0)))</f>
        <v>0</v>
      </c>
      <c r="KE171" s="409"/>
      <c r="KF171" s="398">
        <f>IF(KE171=0,0,IF(LEN(JT171)=11,_xlfn.XLOOKUP(JT171,'Dispensed Ink Rates'!C:C,'Dispensed Ink Rates'!CS:CS),VLOOKUP(JT171,'Jan-2026 rates'!$E:$F,2,0)))</f>
        <v>0</v>
      </c>
      <c r="KG171" s="409"/>
      <c r="KH171" s="398">
        <f>IF(KG171=0,0,IF(LEN(JU171)=11,_xlfn.XLOOKUP(JU171,'Dispensed Ink Rates'!C:C,'Dispensed Ink Rates'!CS:CS),VLOOKUP(JU171,'Jan-2026 rates'!$E:$F,2,0)))</f>
        <v>0</v>
      </c>
      <c r="KI171" s="409"/>
      <c r="KJ171" s="398">
        <f>IF(KI171=0,0,IF(LEN(JV171)=11,_xlfn.XLOOKUP(JV171,'Dispensed Ink Rates'!C:C,'Dispensed Ink Rates'!CS:CS),VLOOKUP(JV171,'Jan-2026 rates'!$E:$F,2,0)))</f>
        <v>0</v>
      </c>
      <c r="KK171" s="409"/>
      <c r="KL171" s="398">
        <f>IF(KK171=0,0,IF(LEN(JW171)=11,_xlfn.XLOOKUP(JW171,'Dispensed Ink Rates'!C:C,'Dispensed Ink Rates'!CS:CS),VLOOKUP(JW171,'Jan-2026 rates'!$E:$F,2,0)))</f>
        <v>0</v>
      </c>
      <c r="KM171" s="428"/>
      <c r="KN171" s="398">
        <f>IF(KM171=0,0,IF(LEN(JX171)=11,_xlfn.XLOOKUP(JX171,'Dispensed Ink Rates'!C:C,'Dispensed Ink Rates'!CS:CS),VLOOKUP(JX171,'Jan-2026 rates'!$E:$F,2,0)))</f>
        <v>0</v>
      </c>
      <c r="KO171" s="409"/>
      <c r="KP171" s="409"/>
      <c r="KQ171" s="411">
        <f t="shared" si="127"/>
        <v>0</v>
      </c>
      <c r="KR171" s="411">
        <f t="shared" si="128"/>
        <v>0</v>
      </c>
      <c r="KS171" s="410">
        <f t="shared" si="129"/>
        <v>0</v>
      </c>
      <c r="KT171" s="409">
        <v>2</v>
      </c>
      <c r="KU171" s="409">
        <v>8</v>
      </c>
      <c r="KV171" s="409">
        <f>60+30</f>
        <v>90</v>
      </c>
      <c r="KW171" s="409">
        <v>0</v>
      </c>
      <c r="KX171" s="409">
        <v>0</v>
      </c>
      <c r="KY171" s="409">
        <v>0</v>
      </c>
      <c r="KZ171" s="409">
        <v>0</v>
      </c>
      <c r="LA171" s="409">
        <v>0</v>
      </c>
      <c r="LB171" s="415">
        <v>0.3</v>
      </c>
      <c r="LC171" s="415"/>
      <c r="LD171" s="415"/>
      <c r="LE171" s="415">
        <v>0.5</v>
      </c>
      <c r="LF171" s="415">
        <v>0.2</v>
      </c>
      <c r="LG171" s="409">
        <v>0</v>
      </c>
      <c r="LH171" s="409">
        <f>90+30+18+30+12</f>
        <v>180</v>
      </c>
      <c r="LI171" s="409">
        <v>0</v>
      </c>
      <c r="LJ171" s="409">
        <v>0</v>
      </c>
      <c r="LK171" s="416">
        <f t="shared" si="138"/>
        <v>180</v>
      </c>
      <c r="LL171" s="416">
        <f t="shared" si="139"/>
        <v>180</v>
      </c>
      <c r="LM171" s="417">
        <f t="shared" si="140"/>
        <v>54</v>
      </c>
      <c r="LN171" s="417">
        <f>VLOOKUP($LM$8,'Jan-2026 rates'!$H:$I,2,0)</f>
        <v>0</v>
      </c>
      <c r="LO171" s="417">
        <f t="shared" si="141"/>
        <v>0</v>
      </c>
      <c r="LP171" s="417">
        <f>VLOOKUP($LO$8,'Jan-2026 rates'!$H:$I,2,0)</f>
        <v>0</v>
      </c>
      <c r="LQ171" s="417">
        <f t="shared" si="142"/>
        <v>0</v>
      </c>
      <c r="LR171" s="417">
        <f>VLOOKUP($LQ$8,'Jan-2026 rates'!$H:$I,2,0)</f>
        <v>0</v>
      </c>
      <c r="LS171" s="417">
        <f t="shared" si="143"/>
        <v>90</v>
      </c>
      <c r="LT171" s="417">
        <f>VLOOKUP($LS$8,'Jan-2026 rates'!$H:$I,2,0)</f>
        <v>0</v>
      </c>
      <c r="LU171" s="417">
        <f t="shared" si="144"/>
        <v>36</v>
      </c>
      <c r="LV171" s="417">
        <f>VLOOKUP($LU$8,'Jan-2026 rates'!$H:$I,2,0)</f>
        <v>0</v>
      </c>
      <c r="LW171" s="417">
        <f t="shared" si="145"/>
        <v>0</v>
      </c>
      <c r="LX171" s="417">
        <f t="shared" si="146"/>
        <v>0</v>
      </c>
      <c r="LY171" s="418">
        <f t="shared" si="147"/>
        <v>0</v>
      </c>
      <c r="LZ171" s="417"/>
      <c r="MA171" s="435">
        <f t="shared" si="148"/>
        <v>181</v>
      </c>
      <c r="MB171" s="282">
        <f t="shared" si="149"/>
        <v>345</v>
      </c>
      <c r="MC171" s="283" t="s">
        <v>2006</v>
      </c>
      <c r="MD171" s="284" t="str">
        <f t="shared" si="150"/>
        <v>ToyoLiToyoLiToyoLi</v>
      </c>
      <c r="ME171" s="293" t="str">
        <f t="shared" si="151"/>
        <v>+</v>
      </c>
      <c r="MF171" s="293" t="str">
        <f t="shared" si="152"/>
        <v>+</v>
      </c>
      <c r="MG171" s="293" t="str">
        <f t="shared" si="153"/>
        <v>+</v>
      </c>
      <c r="MH171" s="293" t="str">
        <f t="shared" si="154"/>
        <v>NIL</v>
      </c>
      <c r="MI171" s="293" t="str">
        <f t="shared" si="155"/>
        <v>NIL</v>
      </c>
      <c r="MJ171" s="293" t="str">
        <f t="shared" si="156"/>
        <v>NIL</v>
      </c>
      <c r="MK171" s="293" t="str">
        <f t="shared" si="157"/>
        <v>NIL</v>
      </c>
      <c r="ML171" s="293" t="str">
        <f t="shared" si="158"/>
        <v>NIL</v>
      </c>
      <c r="MM171" s="3" t="b">
        <f t="array" ref="MM171">OR(ME171:ML171="-")</f>
        <v>0</v>
      </c>
      <c r="MN171" s="285"/>
      <c r="MO171" s="401"/>
      <c r="MP171" s="286"/>
      <c r="MQ171" s="286"/>
      <c r="MR171" s="402"/>
      <c r="MS171" s="400"/>
      <c r="NH171" s="422"/>
      <c r="NJ171" s="421"/>
    </row>
    <row r="172" spans="1:374" s="1" customFormat="1" ht="16.5">
      <c r="A172" s="403">
        <v>46034</v>
      </c>
      <c r="B172" s="404" t="s">
        <v>1018</v>
      </c>
      <c r="C172" s="405" t="s">
        <v>3583</v>
      </c>
      <c r="D172" s="406" t="s">
        <v>2007</v>
      </c>
      <c r="E172" s="404">
        <v>373</v>
      </c>
      <c r="F172" s="407">
        <v>24300</v>
      </c>
      <c r="G172" s="407" t="s">
        <v>1016</v>
      </c>
      <c r="H172" s="408" t="s">
        <v>1017</v>
      </c>
      <c r="I172" s="409">
        <v>2</v>
      </c>
      <c r="J172" s="405" t="s">
        <v>543</v>
      </c>
      <c r="K172" s="404" t="s">
        <v>3584</v>
      </c>
      <c r="L172" s="419" t="str">
        <f t="shared" si="131"/>
        <v>ToyoLi - BLACK</v>
      </c>
      <c r="M172" s="404">
        <v>10</v>
      </c>
      <c r="N172" s="410">
        <f>IF(M172=0,0,IF($LB172=70%,VLOOKUP($L172,'Jan-2026 rates'!$L:$R,4,0),IF($LB172=65%,VLOOKUP($L172,'Jan-2026 rates'!$L:$R,4,0),IF($LB172=40%,VLOOKUP($L172,'Jan-2026 rates'!$L:$R,5,0),IF($LB172=30%,VLOOKUP($L172,'Jan-2026 rates'!$L:$R,6,0),IF($LB172=100%,VLOOKUP($L172,'Jan-2026 rates'!$L:$R,7,0),IF($LB172=60%,VLOOKUP($L172,'Jan-2026 rates'!$L:$S,8,0),IF($LB172=80%,VLOOKUP($L172,'Jan-2026 rates'!L:T,9,0),0))))))))</f>
        <v>0</v>
      </c>
      <c r="O172" s="406" t="s">
        <v>1929</v>
      </c>
      <c r="P172" s="404">
        <v>17</v>
      </c>
      <c r="Q172" s="410">
        <f>IF(P172=0,0,IF($LB172=70%,VLOOKUP($L172,'Jan-2026 rates'!$L:$R,4,0),IF($LB172=65%,VLOOKUP($L172,'Jan-2026 rates'!$L:$R,4,0),IF($LB172=40%,VLOOKUP($L172,'Jan-2026 rates'!$L:$R,5,0),IF($LB172=30%,VLOOKUP($L172,'Jan-2026 rates'!$L:$R,6,0),IF($LB172=100%,VLOOKUP($L172,'Jan-2026 rates'!$L:$R,7,0),IF($LB172=60%,VLOOKUP($L172,'Jan-2026 rates'!$L:$S,8,0),IF($LB172=80%,VLOOKUP($L172,'Jan-2026 rates'!L:T,9,0),0))))))))</f>
        <v>0</v>
      </c>
      <c r="R172" s="406" t="s">
        <v>1921</v>
      </c>
      <c r="S172" s="406" t="s">
        <v>1246</v>
      </c>
      <c r="T172" s="406"/>
      <c r="U172" s="406"/>
      <c r="V172" s="406"/>
      <c r="W172" s="406"/>
      <c r="X172" s="406"/>
      <c r="Y172" s="406"/>
      <c r="Z172" s="404">
        <v>5</v>
      </c>
      <c r="AA172" s="398">
        <f>IF(Z172=0,0,IF(LEN(R172)=11,_xlfn.XLOOKUP(R172,'Dispensed Ink Rates'!C:C,'Dispensed Ink Rates'!CS:CS),VLOOKUP(R172,'Jan-2026 rates'!$E:$F,2,0)))</f>
        <v>0</v>
      </c>
      <c r="AB172" s="404">
        <v>0.2</v>
      </c>
      <c r="AC172" s="398">
        <f>IF(AB172=0,0,IF(LEN(S172)=11,_xlfn.XLOOKUP(S172,'Dispensed Ink Rates'!C:C,'Dispensed Ink Rates'!CS:CS),VLOOKUP(S172,'Jan-2026 rates'!$E:$F,2,0)))</f>
        <v>0</v>
      </c>
      <c r="AD172" s="404"/>
      <c r="AE172" s="398">
        <f>IF(AD172=0,0,IF(LEN(T172)=11,_xlfn.XLOOKUP(T172,'Dispensed Ink Rates'!C:C,'Dispensed Ink Rates'!CS:CS),VLOOKUP(T172,'Jan-2026 rates'!$E:$F,2,0)))</f>
        <v>0</v>
      </c>
      <c r="AF172" s="404"/>
      <c r="AG172" s="398">
        <f>IF(AF172=0,0,IF(LEN(U172)=11,_xlfn.XLOOKUP(U172,'Dispensed Ink Rates'!C:C,'Dispensed Ink Rates'!CS:CS),VLOOKUP(U172,'Jan-2026 rates'!$E:$F,2,0)))</f>
        <v>0</v>
      </c>
      <c r="AH172" s="404"/>
      <c r="AI172" s="398">
        <f>IF(AH172=0,0,IF(LEN(V172)=11,_xlfn.XLOOKUP(V172,'Dispensed Ink Rates'!C:C,'Dispensed Ink Rates'!CS:CS),VLOOKUP(V172,'Jan-2026 rates'!$E:$F,2,0)))</f>
        <v>0</v>
      </c>
      <c r="AJ172" s="404"/>
      <c r="AK172" s="398">
        <f>IF(AJ172=0,0,IF(LEN(W172)=11,_xlfn.XLOOKUP(W172,'Dispensed Ink Rates'!C:C,'Dispensed Ink Rates'!CS:CS),VLOOKUP(W172,'Jan-2026 rates'!$E:$F,2,0)))</f>
        <v>0</v>
      </c>
      <c r="AL172" s="404"/>
      <c r="AM172" s="398">
        <f>IF(AL172=0,0,IF(LEN(X172)=11,_xlfn.XLOOKUP(X172,'Dispensed Ink Rates'!C:C,'Dispensed Ink Rates'!CS:CS),VLOOKUP(X172,'Jan-2026 rates'!$E:$F,2,0)))</f>
        <v>0</v>
      </c>
      <c r="AN172" s="404"/>
      <c r="AO172" s="398">
        <f>IF(AN172=0,0,IF(LEN(Y172)=11,_xlfn.XLOOKUP(Y172,'Dispensed Ink Rates'!C:C,'Dispensed Ink Rates'!CS:CS),VLOOKUP(Y172,'Jan-2026 rates'!$E:$F,2,0)))</f>
        <v>0</v>
      </c>
      <c r="AP172" s="409" t="s">
        <v>1881</v>
      </c>
      <c r="AQ172" s="409">
        <f>15+10</f>
        <v>25</v>
      </c>
      <c r="AR172" s="410">
        <f t="shared" si="106"/>
        <v>0</v>
      </c>
      <c r="AS172" s="411">
        <f t="shared" si="107"/>
        <v>14.295238095238098</v>
      </c>
      <c r="AT172" s="410">
        <f t="shared" si="108"/>
        <v>0</v>
      </c>
      <c r="AU172" s="405" t="s">
        <v>856</v>
      </c>
      <c r="AV172" s="409" t="s">
        <v>3585</v>
      </c>
      <c r="AW172" s="420" t="str">
        <f t="shared" si="130"/>
        <v>ToyoLi - WHITE</v>
      </c>
      <c r="AX172" s="409">
        <v>30</v>
      </c>
      <c r="AY172" s="411">
        <f>IF(AX172=0,0,IF($LB172=70%,VLOOKUP($AW172,'Jan-2026 rates'!$L:$R,4,0),IF($LB172=65%,VLOOKUP($AW172,'Jan-2026 rates'!$L:$R,4,0),IF($LB172=40%,VLOOKUP($AW172,'Jan-2026 rates'!$L:$R,5,0),IF($LB172=30%,VLOOKUP($AW172,'Jan-2026 rates'!$L:$R,6,0),IF($LB172=100%,VLOOKUP($AW172,'Jan-2026 rates'!$L:$R,7,0),IF($LB172=60%,VLOOKUP($AW172,'Jan-2026 rates'!$L:$S,8,0),IF($LB172=80%,VLOOKUP($AW172,'Jan-2026 rates'!L:T,9,0),0))))))))</f>
        <v>0</v>
      </c>
      <c r="AZ172" s="412"/>
      <c r="BA172" s="409"/>
      <c r="BB172" s="411">
        <f>IF(BA172=0,0,IF($LB172=70%,VLOOKUP($AW172,'Jan-2026 rates'!$L:$R,4,0),IF($LB172=65%,VLOOKUP($AW172,'Jan-2026 rates'!$L:$R,4,0),IF($LB172=40%,VLOOKUP($AW172,'Jan-2026 rates'!$L:$R,5,0),IF($LB172=30%,VLOOKUP($AW172,'Jan-2026 rates'!$L:$R,6,0),IF($LB172=100%,VLOOKUP($AW172,'Jan-2026 rates'!$L:$R,7,0),IF($LB172=60%,VLOOKUP($AW172,'Jan-2026 rates'!$L:$S,8,0),IF($LB172=80%,VLOOKUP($AW172,'Jan-2026 rates'!L:T,9,0),0))))))))</f>
        <v>0</v>
      </c>
      <c r="BC172" s="413" t="s">
        <v>1249</v>
      </c>
      <c r="BD172" s="412"/>
      <c r="BE172" s="412"/>
      <c r="BF172" s="413"/>
      <c r="BG172" s="412"/>
      <c r="BH172" s="412"/>
      <c r="BI172" s="412"/>
      <c r="BJ172" s="412"/>
      <c r="BK172" s="409">
        <f>60+40</f>
        <v>100</v>
      </c>
      <c r="BL172" s="398">
        <f>IF(BK172=0,0,IF(LEN(BC172)=11,_xlfn.XLOOKUP(BC172,'Dispensed Ink Rates'!C:C,'Dispensed Ink Rates'!CS:CS),VLOOKUP(BC172,'Jan-2026 rates'!$E:$F,2,0)))</f>
        <v>0</v>
      </c>
      <c r="BM172" s="409"/>
      <c r="BN172" s="398">
        <f>IF(BM172=0,0,IF(LEN(BD172)=11,_xlfn.XLOOKUP(BD172,'Dispensed Ink Rates'!C:C,'Dispensed Ink Rates'!CS:CS),VLOOKUP(BD172,'Jan-2026 rates'!$E:$F,2,0)))</f>
        <v>0</v>
      </c>
      <c r="BO172" s="409"/>
      <c r="BP172" s="398">
        <f>IF(BO172=0,0,IF(LEN(BE172)=11,_xlfn.XLOOKUP(BE172,'Dispensed Ink Rates'!C:C,'Dispensed Ink Rates'!CS:CS),VLOOKUP(BE172,'Jan-2026 rates'!$E:$F,2,0)))</f>
        <v>0</v>
      </c>
      <c r="BQ172" s="409"/>
      <c r="BR172" s="398">
        <f>IF(BQ172=0,0,IF(LEN(BF172)=11,_xlfn.XLOOKUP(BF172,'Dispensed Ink Rates'!C:C,'Dispensed Ink Rates'!CS:CS),VLOOKUP(BF172,'Jan-2026 rates'!$E:$F,2,0)))</f>
        <v>0</v>
      </c>
      <c r="BS172" s="409"/>
      <c r="BT172" s="398">
        <f>IF(BS172=0,0,IF(LEN(BG172)=11,_xlfn.XLOOKUP(BG172,'Dispensed Ink Rates'!C:C,'Dispensed Ink Rates'!CS:CS),VLOOKUP(BG172,'Jan-2026 rates'!$E:$F,2,0)))</f>
        <v>0</v>
      </c>
      <c r="BU172" s="409"/>
      <c r="BV172" s="398">
        <f>IF(BU172=0,0,IF(LEN(BH172)=11,_xlfn.XLOOKUP(BH172,'Dispensed Ink Rates'!C:C,'Dispensed Ink Rates'!CS:CS),VLOOKUP(BH172,'Jan-2026 rates'!$E:$F,2,0)))</f>
        <v>0</v>
      </c>
      <c r="BW172" s="409"/>
      <c r="BX172" s="398">
        <f>IF(BW172=0,0,IF(LEN(BI172)=11,_xlfn.XLOOKUP(BI172,'Dispensed Ink Rates'!C:C,'Dispensed Ink Rates'!CS:CS),VLOOKUP(BI172,'Jan-2026 rates'!$E:$F,2,0)))</f>
        <v>0</v>
      </c>
      <c r="BY172" s="409"/>
      <c r="BZ172" s="398">
        <f>IF(BY172=0,0,IF(LEN(BJ172)=11,_xlfn.XLOOKUP(BJ172,'Dispensed Ink Rates'!C:C,'Dispensed Ink Rates'!CS:CS),VLOOKUP(BJ172,'Jan-2026 rates'!$E:$F,2,0)))</f>
        <v>0</v>
      </c>
      <c r="CA172" s="409" t="s">
        <v>1881</v>
      </c>
      <c r="CB172" s="409">
        <v>30</v>
      </c>
      <c r="CC172" s="411">
        <f t="shared" si="109"/>
        <v>0</v>
      </c>
      <c r="CD172" s="411">
        <f t="shared" si="110"/>
        <v>241.90476190476193</v>
      </c>
      <c r="CE172" s="410">
        <f t="shared" si="111"/>
        <v>0</v>
      </c>
      <c r="CF172" s="404"/>
      <c r="CG172" s="409"/>
      <c r="CH172" s="420" t="str">
        <f t="shared" si="132"/>
        <v xml:space="preserve"> - </v>
      </c>
      <c r="CI172" s="409"/>
      <c r="CJ172" s="411">
        <f>IF(CI172=0,0,IF($LB172=70%,VLOOKUP($CH172,'Jan-2026 rates'!$L:$R,4,0),IF($LB172=65%,VLOOKUP($CH172,'Jan-2026 rates'!$L:$R,4,0),IF($LB172=40%,VLOOKUP($CH172,'Jan-2026 rates'!$L:$R,5,0),IF($LB172=30%,VLOOKUP($CH172,'Jan-2026 rates'!$L:$R,6,0),IF($LB172=100%,VLOOKUP($CH172,'Jan-2026 rates'!$L:$R,7,0),IF($LB172=60%,VLOOKUP($CH172,'Jan-2026 rates'!$L:$S,8,0),IF($LB172=80%,VLOOKUP($CH172,'Jan-2026 rates'!L:T,9,0),0))))))))</f>
        <v>0</v>
      </c>
      <c r="CK172" s="412"/>
      <c r="CL172" s="409"/>
      <c r="CM172" s="411">
        <f>IF(CL172=0,0,IF($LB172=70%,VLOOKUP($CH172,'Jan-2026 rates'!$L:$R,4,0),IF($LB172=65%,VLOOKUP($CH172,'Jan-2026 rates'!$L:$R,4,0),IF($LB172=40%,VLOOKUP($CH172,'Jan-2026 rates'!$L:$R,5,0),IF($LB172=30%,VLOOKUP($CH172,'Jan-2026 rates'!$L:$R,6,0),IF($LB172=100%,VLOOKUP($CH172,'Jan-2026 rates'!$L:$R,7,0),IF($LB172=60%,VLOOKUP($CH172,'Jan-2026 rates'!$L:$S,8,0),IF($LB172=80%,VLOOKUP($CH172,'Jan-2026 rates'!L:T,9,0),0))))))))</f>
        <v>0</v>
      </c>
      <c r="CN172" s="426"/>
      <c r="CO172" s="427"/>
      <c r="CP172" s="426"/>
      <c r="CQ172" s="426"/>
      <c r="CR172" s="428"/>
      <c r="CS172" s="428"/>
      <c r="CT172" s="428"/>
      <c r="CU172" s="428"/>
      <c r="CV172" s="409"/>
      <c r="CW172" s="398">
        <f>IF(CV172=0,0,IF(LEN(CN172)=11,_xlfn.XLOOKUP(CN172,'Dispensed Ink Rates'!C:C,'Dispensed Ink Rates'!CS:CS),VLOOKUP(CN172,'Jan-2026 rates'!$E:$F,2,0)))</f>
        <v>0</v>
      </c>
      <c r="CX172" s="409"/>
      <c r="CY172" s="398">
        <f>IF(CX172=0,0,IF(LEN(CO172)=11,_xlfn.XLOOKUP(CO172,'Dispensed Ink Rates'!C:C,'Dispensed Ink Rates'!CS:CS),VLOOKUP(CO172,'Jan-2026 rates'!$E:$F,2,0)))</f>
        <v>0</v>
      </c>
      <c r="CZ172" s="409"/>
      <c r="DA172" s="398">
        <f>IF(CZ172=0,0,IF(LEN(CP172)=11,_xlfn.XLOOKUP(CP172,'Dispensed Ink Rates'!C:C,'Dispensed Ink Rates'!CS:CS),VLOOKUP(CP172,'Jan-2026 rates'!$E:$F,2,0)))</f>
        <v>0</v>
      </c>
      <c r="DB172" s="409"/>
      <c r="DC172" s="398">
        <f>IF(DB172=0,0,IF(LEN(CQ172)=11,_xlfn.XLOOKUP(CQ172,'Dispensed Ink Rates'!C:C,'Dispensed Ink Rates'!CS:CS),VLOOKUP(CQ172,'Jan-2026 rates'!$E:$F,2,0)))</f>
        <v>0</v>
      </c>
      <c r="DD172" s="409"/>
      <c r="DE172" s="398">
        <f>IF(DD172=0,0,IF(LEN(CR172)=11,_xlfn.XLOOKUP(CR172,'Dispensed Ink Rates'!C:C,'Dispensed Ink Rates'!CS:CS),VLOOKUP(CR172,'Jan-2026 rates'!$E:$F,2,0)))</f>
        <v>0</v>
      </c>
      <c r="DF172" s="409"/>
      <c r="DG172" s="398">
        <f>IF(DF172=0,0,IF(LEN(CS172)=11,_xlfn.XLOOKUP(CS172,'Dispensed Ink Rates'!C:C,'Dispensed Ink Rates'!CS:CS),VLOOKUP(CS172,'Jan-2026 rates'!$E:$F,2,0)))</f>
        <v>0</v>
      </c>
      <c r="DH172" s="409"/>
      <c r="DI172" s="398">
        <f>IF(DH172=0,0,IF(LEN(CT172)=11,_xlfn.XLOOKUP(CT172,'Dispensed Ink Rates'!C:C,'Dispensed Ink Rates'!CS:CS),VLOOKUP(CT172,'Jan-2026 rates'!$E:$F,2,0)))</f>
        <v>0</v>
      </c>
      <c r="DJ172" s="409"/>
      <c r="DK172" s="398">
        <f>IF(DJ172=0,0,IF(LEN(CU172)=11,_xlfn.XLOOKUP(CU172,'Dispensed Ink Rates'!C:C,'Dispensed Ink Rates'!CS:CS),VLOOKUP(CU172,'Jan-2026 rates'!$E:$F,2,0)))</f>
        <v>0</v>
      </c>
      <c r="DL172" s="409"/>
      <c r="DM172" s="409"/>
      <c r="DN172" s="411">
        <f t="shared" si="112"/>
        <v>0</v>
      </c>
      <c r="DO172" s="411">
        <f t="shared" si="113"/>
        <v>0</v>
      </c>
      <c r="DP172" s="410">
        <f t="shared" si="114"/>
        <v>0</v>
      </c>
      <c r="DQ172" s="405"/>
      <c r="DR172" s="409"/>
      <c r="DS172" s="420" t="str">
        <f t="shared" si="133"/>
        <v xml:space="preserve"> - </v>
      </c>
      <c r="DT172" s="409"/>
      <c r="DU172" s="411">
        <f>IF(DT172=0,0,IF($LB172=70%,VLOOKUP($DS172,'Jan-2026 rates'!$L:$R,4,0),IF($LB172=65%,VLOOKUP($DS172,'Jan-2026 rates'!$L:$R,4,0),IF($LB172=40%,VLOOKUP($DS172,'Jan-2026 rates'!$L:$R,5,0),IF($LB172=30%,VLOOKUP($DS172,'Jan-2026 rates'!$L:$R,6,0),IF($LB172=100%,VLOOKUP($DS172,'Jan-2026 rates'!$L:$R,7,0),IF($LB172=60%,VLOOKUP($DS172,'Jan-2026 rates'!$L:$S,8,0),IF($LB172=80%,VLOOKUP($DS172,'Jan-2026 rates'!L:T,9,0),0))))))))</f>
        <v>0</v>
      </c>
      <c r="DV172" s="412"/>
      <c r="DW172" s="409"/>
      <c r="DX172" s="411">
        <f>IF(DW172=0,0,IF($LB172=70%,VLOOKUP($DS172,'Jan-2026 rates'!$L:$R,4,0),IF($LB172=65%,VLOOKUP($DS172,'Jan-2026 rates'!$L:$R,4,0),IF($LB172=40%,VLOOKUP($DS172,'Jan-2026 rates'!$L:$R,5,0),IF($LB172=30%,VLOOKUP($DS172,'Jan-2026 rates'!$L:$R,6,0),IF($LB172=100%,VLOOKUP($DS172,'Jan-2026 rates'!$L:$R,7,0),IF($LB172=60%,VLOOKUP($DS172,'Jan-2026 rates'!$L:$S,8,0),IF($LB172=80%,VLOOKUP($DS172,'Jan-2026 rates'!L:T,9,0),0))))))))</f>
        <v>0</v>
      </c>
      <c r="DY172" s="413"/>
      <c r="DZ172" s="413"/>
      <c r="EA172" s="412"/>
      <c r="EB172" s="412"/>
      <c r="EC172" s="412"/>
      <c r="ED172" s="412"/>
      <c r="EE172" s="412"/>
      <c r="EF172" s="412"/>
      <c r="EG172" s="409"/>
      <c r="EH172" s="398">
        <f>IF(EG172=0,0,IF(LEN(DY172)=11,_xlfn.XLOOKUP(DY172,'Dispensed Ink Rates'!C:C,'Dispensed Ink Rates'!CS:CS),VLOOKUP(DY172,'Jan-2026 rates'!$E:$F,2,0)))</f>
        <v>0</v>
      </c>
      <c r="EI172" s="409"/>
      <c r="EJ172" s="398">
        <f>IF(EI172=0,0,IF(LEN(DZ172)=11,_xlfn.XLOOKUP(DZ172,'Dispensed Ink Rates'!C:C,'Dispensed Ink Rates'!CS:CS),VLOOKUP(DZ172,'Jan-2026 rates'!$E:$F,2,0)))</f>
        <v>0</v>
      </c>
      <c r="EK172" s="409"/>
      <c r="EL172" s="398">
        <f>IF(EK172=0,0,IF(LEN(EA172)=11,_xlfn.XLOOKUP(EA172,'Dispensed Ink Rates'!C:C,'Dispensed Ink Rates'!CS:CS),VLOOKUP(EA172,'Jan-2026 rates'!$E:$F,2,0)))</f>
        <v>0</v>
      </c>
      <c r="EM172" s="409"/>
      <c r="EN172" s="398">
        <f>IF(EM172=0,0,IF(LEN(EB172)=11,_xlfn.XLOOKUP(EB172,'Dispensed Ink Rates'!C:C,'Dispensed Ink Rates'!CS:CS),VLOOKUP(EB172,'Jan-2026 rates'!$E:$F,2,0)))</f>
        <v>0</v>
      </c>
      <c r="EO172" s="409"/>
      <c r="EP172" s="398">
        <f>IF(EO172=0,0,IF(LEN(EC172)=11,_xlfn.XLOOKUP(EC172,'Dispensed Ink Rates'!C:C,'Dispensed Ink Rates'!CS:CS),VLOOKUP(EC172,'Jan-2026 rates'!$E:$F,2,0)))</f>
        <v>0</v>
      </c>
      <c r="EQ172" s="409"/>
      <c r="ER172" s="398">
        <f>IF(EQ172=0,0,IF(LEN(ED172)=11,_xlfn.XLOOKUP(ED172,'Dispensed Ink Rates'!C:C,'Dispensed Ink Rates'!CS:CS),VLOOKUP(ED172,'Jan-2026 rates'!$E:$F,2,0)))</f>
        <v>0</v>
      </c>
      <c r="ES172" s="409"/>
      <c r="ET172" s="398">
        <f>IF(ES172=0,0,IF(LEN(EE172)=11,_xlfn.XLOOKUP(EE172,'Dispensed Ink Rates'!C:C,'Dispensed Ink Rates'!CS:CS),VLOOKUP(EE172,'Jan-2026 rates'!$E:$F,2,0)))</f>
        <v>0</v>
      </c>
      <c r="EU172" s="409"/>
      <c r="EV172" s="398">
        <f>IF(EU172=0,0,IF(LEN(EF172)=11,_xlfn.XLOOKUP(EF172,'Dispensed Ink Rates'!C:C,'Dispensed Ink Rates'!CS:CS),VLOOKUP(EF172,'Jan-2026 rates'!$E:$F,2,0)))</f>
        <v>0</v>
      </c>
      <c r="EW172" s="409"/>
      <c r="EX172" s="409"/>
      <c r="EY172" s="411">
        <f t="shared" si="115"/>
        <v>0</v>
      </c>
      <c r="EZ172" s="411">
        <f t="shared" si="116"/>
        <v>0</v>
      </c>
      <c r="FA172" s="410">
        <f t="shared" si="117"/>
        <v>0</v>
      </c>
      <c r="FB172" s="405"/>
      <c r="FC172" s="409"/>
      <c r="FD172" s="420" t="str">
        <f t="shared" si="134"/>
        <v xml:space="preserve"> - </v>
      </c>
      <c r="FE172" s="409"/>
      <c r="FF172" s="411">
        <f>IF(FE172=0,0,IF($LB172=70%,VLOOKUP($FD172,'Jan-2026 rates'!$L:$R,4,0),IF($LB172=65%,VLOOKUP($FD172,'Jan-2026 rates'!$L:$R,4,0),IF($LB172=40%,VLOOKUP($FD172,'Jan-2026 rates'!$L:$R,5,0),IF($LB172=30%,VLOOKUP($FD172,'Jan-2026 rates'!$L:$R,6,0),IF($LB172=100%,VLOOKUP($FD172,'Jan-2026 rates'!$L:$R,7,0),IF($LB172=60%,VLOOKUP($FD172,'Jan-2026 rates'!$L:$S,8,0),IF($LB172=80%,VLOOKUP($FD172,'Jan-2026 rates'!L:T,9,0),0))))))))</f>
        <v>0</v>
      </c>
      <c r="FG172" s="412"/>
      <c r="FH172" s="409"/>
      <c r="FI172" s="411">
        <f>IF(FH172=0,0,IF($LB172=70%,VLOOKUP($FD172,'Jan-2026 rates'!$L:$R,4,0),IF($LB172=65%,VLOOKUP($FD172,'Jan-2026 rates'!$L:$R,4,0),IF($LB172=40%,VLOOKUP($FD172,'Jan-2026 rates'!$L:$R,5,0),IF($LB172=30%,VLOOKUP($FD172,'Jan-2026 rates'!$L:$R,6,0),IF($LB172=100%,VLOOKUP($FD172,'Jan-2026 rates'!$L:$R,7,0),IF($LB172=60%,VLOOKUP($FD172,'Jan-2026 rates'!$L:$S,8,0),IF($LB172=80%,VLOOKUP($FD172,'Jan-2026 rates'!L:T,9,0),0))))))))</f>
        <v>0</v>
      </c>
      <c r="FJ172" s="413"/>
      <c r="FK172" s="413"/>
      <c r="FL172" s="413"/>
      <c r="FM172" s="412"/>
      <c r="FN172" s="412"/>
      <c r="FO172" s="412"/>
      <c r="FP172" s="412"/>
      <c r="FQ172" s="412"/>
      <c r="FR172" s="409"/>
      <c r="FS172" s="398">
        <f>IF(FR172=0,0,IF(LEN(FJ172)=11,_xlfn.XLOOKUP(FJ172,'Dispensed Ink Rates'!C:C,'Dispensed Ink Rates'!CS:CS),VLOOKUP(FJ172,'Jan-2026 rates'!$E:$F,2,0)))</f>
        <v>0</v>
      </c>
      <c r="FT172" s="409"/>
      <c r="FU172" s="398">
        <f>IF(FT172=0,0,IF(LEN(FK172)=11,_xlfn.XLOOKUP(FK172,'Dispensed Ink Rates'!C:C,'Dispensed Ink Rates'!CS:CS),VLOOKUP(FK172,'Jan-2026 rates'!$E:$F,2,0)))</f>
        <v>0</v>
      </c>
      <c r="FV172" s="409"/>
      <c r="FW172" s="398">
        <f>IF(FV172=0,0,IF(LEN(FL172)=11,_xlfn.XLOOKUP(FL172,'Dispensed Ink Rates'!C:C,'Dispensed Ink Rates'!CS:CS),VLOOKUP(FL172,'Jan-2026 rates'!$E:$F,2,0)))</f>
        <v>0</v>
      </c>
      <c r="FX172" s="409"/>
      <c r="FY172" s="398">
        <f>IF(FX172=0,0,IF(LEN(FM172)=11,_xlfn.XLOOKUP(FM172,'Dispensed Ink Rates'!C:C,'Dispensed Ink Rates'!CS:CS),VLOOKUP(FM172,'Jan-2026 rates'!$E:$F,2,0)))</f>
        <v>0</v>
      </c>
      <c r="FZ172" s="409"/>
      <c r="GA172" s="398">
        <f>IF(FZ172=0,0,IF(LEN(FN172)=11,_xlfn.XLOOKUP(FN172,'Dispensed Ink Rates'!C:C,'Dispensed Ink Rates'!CS:CS),VLOOKUP(FN172,'Jan-2026 rates'!$E:$F,2,0)))</f>
        <v>0</v>
      </c>
      <c r="GB172" s="409"/>
      <c r="GC172" s="398">
        <f>IF(GB172=0,0,IF(LEN(FO172)=11,_xlfn.XLOOKUP(FO172,'Dispensed Ink Rates'!C:C,'Dispensed Ink Rates'!CS:CS),VLOOKUP(FO172,'Jan-2026 rates'!$E:$F,2,0)))</f>
        <v>0</v>
      </c>
      <c r="GD172" s="409"/>
      <c r="GE172" s="398">
        <f>IF(GD172=0,0,IF(LEN(FP172)=11,_xlfn.XLOOKUP(FP172,'Dispensed Ink Rates'!C:C,'Dispensed Ink Rates'!CS:CS),VLOOKUP(FP172,'Jan-2026 rates'!$E:$F,2,0)))</f>
        <v>0</v>
      </c>
      <c r="GF172" s="409"/>
      <c r="GG172" s="398">
        <f>IF(GF172=0,0,IF(LEN(FQ172)=11,_xlfn.XLOOKUP(FQ172,'Dispensed Ink Rates'!C:C,'Dispensed Ink Rates'!CS:CS),VLOOKUP(FQ172,'Jan-2026 rates'!$E:$F,2,0)))</f>
        <v>0</v>
      </c>
      <c r="GH172" s="409"/>
      <c r="GI172" s="409"/>
      <c r="GJ172" s="411">
        <f t="shared" si="118"/>
        <v>0</v>
      </c>
      <c r="GK172" s="411">
        <f t="shared" si="119"/>
        <v>0</v>
      </c>
      <c r="GL172" s="410">
        <f t="shared" si="120"/>
        <v>0</v>
      </c>
      <c r="GM172" s="405"/>
      <c r="GN172" s="409"/>
      <c r="GO172" s="420" t="str">
        <f t="shared" si="135"/>
        <v xml:space="preserve"> - </v>
      </c>
      <c r="GP172" s="409"/>
      <c r="GQ172" s="411">
        <f>IF(GP172=0,0,IF($LB172=70%,VLOOKUP($GO172,'Jan-2026 rates'!$L:$R,4,0),IF($LB172=65%,VLOOKUP($GO172,'Jan-2026 rates'!$L:$R,4,0),IF($LB172=40%,VLOOKUP($GO172,'Jan-2026 rates'!$L:$R,5,0),IF($LB172=30%,VLOOKUP($GO172,'Jan-2026 rates'!$L:$R,6,0),IF($LB172=100%,VLOOKUP($GO172,'Jan-2026 rates'!$L:$R,7,0),IF($LB172=60%,VLOOKUP($GO172,'Jan-2026 rates'!$L:$S,8,0),IF($LB172=80%,VLOOKUP($GO172,'Jan-2026 rates'!L:T,9,0),0))))))))</f>
        <v>0</v>
      </c>
      <c r="GR172" s="412"/>
      <c r="GS172" s="409"/>
      <c r="GT172" s="411">
        <f>IF(GS172=0,0,IF($LB172=70%,VLOOKUP($GO172,'Jan-2026 rates'!$L:$R,4,0),IF($LB172=65%,VLOOKUP($GO172,'Jan-2026 rates'!$L:$R,4,0),IF($LB172=40%,VLOOKUP($GO172,'Jan-2026 rates'!$L:$R,5,0),IF($LB172=30%,VLOOKUP($GO172,'Jan-2026 rates'!$L:$R,6,0),IF($LB172=100%,VLOOKUP($GO172,'Jan-2026 rates'!$L:$R,7,0),IF($LB172=60%,VLOOKUP($GO172,'Jan-2026 rates'!$L:$S,8,0),IF($LB172=80%,VLOOKUP($GO172,'Jan-2026 rates'!L:T,9,0),0))))))))</f>
        <v>0</v>
      </c>
      <c r="GU172" s="413"/>
      <c r="GV172" s="413"/>
      <c r="GW172" s="412"/>
      <c r="GX172" s="412"/>
      <c r="GY172" s="412"/>
      <c r="GZ172" s="412"/>
      <c r="HA172" s="412"/>
      <c r="HB172" s="412"/>
      <c r="HC172" s="409"/>
      <c r="HD172" s="398">
        <f>IF(HC172=0,0,IF(LEN(GU172)=11,_xlfn.XLOOKUP(GU172,'Dispensed Ink Rates'!C:C,'Dispensed Ink Rates'!CS:CS),VLOOKUP(GU172,'Jan-2026 rates'!$E:$F,2,0)))</f>
        <v>0</v>
      </c>
      <c r="HE172" s="409"/>
      <c r="HF172" s="398">
        <f>IF(HE172=0,0,IF(LEN(GV172)=11,_xlfn.XLOOKUP(GV172,'Dispensed Ink Rates'!C:C,'Dispensed Ink Rates'!CS:CS),VLOOKUP(GV172,'Jan-2026 rates'!$E:$F,2,0)))</f>
        <v>0</v>
      </c>
      <c r="HG172" s="409"/>
      <c r="HH172" s="398">
        <f>IF(HG172=0,0,IF(LEN(GW172)=11,_xlfn.XLOOKUP(GW172,'Dispensed Ink Rates'!C:C,'Dispensed Ink Rates'!CS:CS),VLOOKUP(GW172,'Jan-2026 rates'!$E:$F,2,0)))</f>
        <v>0</v>
      </c>
      <c r="HI172" s="409"/>
      <c r="HJ172" s="398">
        <f>IF(HI172=0,0,IF(LEN(GX172)=11,_xlfn.XLOOKUP(GX172,'Dispensed Ink Rates'!C:C,'Dispensed Ink Rates'!CS:CS),VLOOKUP(GX172,'Jan-2026 rates'!$E:$F,2,0)))</f>
        <v>0</v>
      </c>
      <c r="HK172" s="409"/>
      <c r="HL172" s="398">
        <f>IF(HK172=0,0,IF(LEN(GY172)=11,_xlfn.XLOOKUP(GY172,'Dispensed Ink Rates'!C:C,'Dispensed Ink Rates'!CS:CS),VLOOKUP(GY172,'Jan-2026 rates'!$E:$F,2,0)))</f>
        <v>0</v>
      </c>
      <c r="HM172" s="409"/>
      <c r="HN172" s="398">
        <f>IF(HM172=0,0,IF(LEN(GZ172)=11,_xlfn.XLOOKUP(GZ172,'Dispensed Ink Rates'!C:C,'Dispensed Ink Rates'!CS:CS),VLOOKUP(GZ172,'Jan-2026 rates'!$E:$F,2,0)))</f>
        <v>0</v>
      </c>
      <c r="HO172" s="409"/>
      <c r="HP172" s="398">
        <f>IF(HO172=0,0,IF(LEN(HA172)=11,_xlfn.XLOOKUP(HA172,'Dispensed Ink Rates'!C:C,'Dispensed Ink Rates'!CS:CS),VLOOKUP(HA172,'Jan-2026 rates'!$E:$F,2,0)))</f>
        <v>0</v>
      </c>
      <c r="HQ172" s="409"/>
      <c r="HR172" s="398">
        <f>IF(HQ172=0,0,IF(LEN(HB172)=11,_xlfn.XLOOKUP(HB172,'Dispensed Ink Rates'!C:C,'Dispensed Ink Rates'!CS:CS),VLOOKUP(HB172,'Jan-2026 rates'!$E:$F,2,0)))</f>
        <v>0</v>
      </c>
      <c r="HS172" s="409"/>
      <c r="HT172" s="409"/>
      <c r="HU172" s="411">
        <f t="shared" si="121"/>
        <v>0</v>
      </c>
      <c r="HV172" s="411">
        <f t="shared" si="122"/>
        <v>0</v>
      </c>
      <c r="HW172" s="414">
        <f t="shared" si="123"/>
        <v>0</v>
      </c>
      <c r="HX172" s="405"/>
      <c r="HY172" s="409"/>
      <c r="HZ172" s="420" t="str">
        <f t="shared" si="136"/>
        <v xml:space="preserve"> - </v>
      </c>
      <c r="IA172" s="409"/>
      <c r="IB172" s="411">
        <f>IF(IA172=0,0,IF($LB172=70%,VLOOKUP($HZ172,'Jan-2026 rates'!$L:$R,4,0),IF($LB172=65%,VLOOKUP($HZ172,'Jan-2026 rates'!$L:$R,4,0),IF($LB172=40%,VLOOKUP($HZ172,'Jan-2026 rates'!$L:$R,5,0),IF($LB172=30%,VLOOKUP($HZ172,'Jan-2026 rates'!$L:$R,6,0),IF($LB172=100%,VLOOKUP($HZ172,'Jan-2026 rates'!$L:$R,7,0),IF($LB172=60%,VLOOKUP($HZ172,'Jan-2026 rates'!$L:$S,8,0),IF($LB172=80%,VLOOKUP($HZ172,'Jan-2026 rates'!L:T,9,0),0))))))))</f>
        <v>0</v>
      </c>
      <c r="IC172" s="412"/>
      <c r="ID172" s="409"/>
      <c r="IE172" s="411">
        <f>IF(ID172=0,0,IF($LB172=70%,VLOOKUP($HZ172,'Jan-2026 rates'!$L:$R,4,0),IF($LB172=65%,VLOOKUP($HZ172,'Jan-2026 rates'!$L:$R,4,0),IF($LB172=40%,VLOOKUP($HZ172,'Jan-2026 rates'!$L:$R,5,0),IF($LB172=30%,VLOOKUP($HZ172,'Jan-2026 rates'!$L:$R,6,0),IF($LB172=100%,VLOOKUP($HZ172,'Jan-2026 rates'!$L:$R,7,0),IF($LB172=60%,VLOOKUP($HZ172,'Jan-2026 rates'!$L:$S,8,0),IF($LB172=80%,VLOOKUP($HZ172,'Jan-2026 rates'!L:T,9,0),0))))))))</f>
        <v>0</v>
      </c>
      <c r="IF172" s="412"/>
      <c r="IG172" s="413"/>
      <c r="IH172" s="412"/>
      <c r="II172" s="412"/>
      <c r="IJ172" s="412"/>
      <c r="IK172" s="412"/>
      <c r="IL172" s="412"/>
      <c r="IM172" s="412"/>
      <c r="IN172" s="409"/>
      <c r="IO172" s="398">
        <f>IF(IN172=0,0,IF(LEN(IF172)=11,_xlfn.XLOOKUP(IF172,'Dispensed Ink Rates'!C:C,'Dispensed Ink Rates'!CS:CS),VLOOKUP(IF172,'Jan-2026 rates'!$E:$F,2,0)))</f>
        <v>0</v>
      </c>
      <c r="IP172" s="409"/>
      <c r="IQ172" s="398">
        <f>IF(IP172=0,0,IF(LEN(IG172)=11,_xlfn.XLOOKUP(IG172,'Dispensed Ink Rates'!C:C,'Dispensed Ink Rates'!CS:CS),VLOOKUP(IG172,'Jan-2026 rates'!$E:$F,2,0)))</f>
        <v>0</v>
      </c>
      <c r="IR172" s="409"/>
      <c r="IS172" s="398">
        <f>IF(IR172=0,0,IF(LEN(IH172)=11,_xlfn.XLOOKUP(IH172,'Dispensed Ink Rates'!C:C,'Dispensed Ink Rates'!CS:CS),VLOOKUP(IH172,'Jan-2026 rates'!$E:$F,2,0)))</f>
        <v>0</v>
      </c>
      <c r="IT172" s="409"/>
      <c r="IU172" s="398">
        <f>IF(IT172=0,0,IF(LEN(II172)=11,_xlfn.XLOOKUP(II172,'Dispensed Ink Rates'!C:C,'Dispensed Ink Rates'!CS:CS),VLOOKUP(II172,'Jan-2026 rates'!$E:$F,2,0)))</f>
        <v>0</v>
      </c>
      <c r="IV172" s="409"/>
      <c r="IW172" s="398">
        <f>IF(IV172=0,0,IF(LEN(IJ172)=11,_xlfn.XLOOKUP(IJ172,'Dispensed Ink Rates'!C:C,'Dispensed Ink Rates'!CS:CS),VLOOKUP(IJ172,'Jan-2026 rates'!$E:$F,2,0)))</f>
        <v>0</v>
      </c>
      <c r="IX172" s="409"/>
      <c r="IY172" s="398">
        <f>IF(IX172=0,0,IF(LEN(IK172)=11,_xlfn.XLOOKUP(IK172,'Dispensed Ink Rates'!C:C,'Dispensed Ink Rates'!CS:CS),VLOOKUP(IK172,'Jan-2026 rates'!$E:$F,2,0)))</f>
        <v>0</v>
      </c>
      <c r="IZ172" s="409"/>
      <c r="JA172" s="398">
        <f>IF(IZ172=0,0,IF(LEN(IL172)=11,_xlfn.XLOOKUP(IL172,'Dispensed Ink Rates'!C:C,'Dispensed Ink Rates'!CS:CS),VLOOKUP(IL172,'Jan-2026 rates'!$E:$F,2,0)))</f>
        <v>0</v>
      </c>
      <c r="JB172" s="409"/>
      <c r="JC172" s="398">
        <f>IF(JB172=0,0,IF(LEN(IM172)=11,_xlfn.XLOOKUP(IM172,'Dispensed Ink Rates'!C:C,'Dispensed Ink Rates'!CS:CS),VLOOKUP(IM172,'Jan-2026 rates'!$E:$F,2,0)))</f>
        <v>0</v>
      </c>
      <c r="JD172" s="409"/>
      <c r="JE172" s="409"/>
      <c r="JF172" s="411">
        <f t="shared" si="124"/>
        <v>0</v>
      </c>
      <c r="JG172" s="411">
        <f t="shared" si="125"/>
        <v>0</v>
      </c>
      <c r="JH172" s="410">
        <f t="shared" si="126"/>
        <v>0</v>
      </c>
      <c r="JI172" s="405"/>
      <c r="JJ172" s="409"/>
      <c r="JK172" s="420" t="str">
        <f t="shared" si="137"/>
        <v xml:space="preserve"> - </v>
      </c>
      <c r="JL172" s="409"/>
      <c r="JM172" s="411">
        <f>IF(JL172=0,0,IF($LB172=70%,VLOOKUP($JK172,'Jan-2026 rates'!$L:$R,4,0),IF($LB172=65%,VLOOKUP($JK172,'Jan-2026 rates'!$L:$R,4,0),IF($LB172=40%,VLOOKUP($JK172,'Jan-2026 rates'!$L:$R,5,0),IF($LB172=30%,VLOOKUP($JK172,'Jan-2026 rates'!$L:$R,6,0),IF($LB172=100%,VLOOKUP($JK172,'Jan-2026 rates'!$L:$R,7,0),IF($LB172=60%,VLOOKUP($JK172,'Jan-2026 rates'!$L:$S,8,0),IF($LB172=80%,VLOOKUP($JK172,'Jan-2026 rates'!L:T,9,0),0))))))))</f>
        <v>0</v>
      </c>
      <c r="JN172" s="412"/>
      <c r="JO172" s="409"/>
      <c r="JP172" s="411">
        <f>IF(JO172=0,0,IF($LB172=70%,VLOOKUP($JK172,'Jan-2026 rates'!$L:$R,4,0),IF($LB172=65%,VLOOKUP($JK172,'Jan-2026 rates'!$L:$R,4,0),IF($LB172=40%,VLOOKUP($JK172,'Jan-2026 rates'!$L:$R,5,0),IF($LB172=30%,VLOOKUP($JK172,'Jan-2026 rates'!$L:$R,6,0),IF($LB172=100%,VLOOKUP($JK172,'Jan-2026 rates'!$L:$R,7,0),IF($LB172=60%,VLOOKUP($JK172,'Jan-2026 rates'!$L:$S,8,0),IF($LB172=80%,VLOOKUP($JK172,'Jan-2026 rates'!L:T,9,0),0))))))))</f>
        <v>0</v>
      </c>
      <c r="JQ172" s="413"/>
      <c r="JR172" s="412"/>
      <c r="JS172" s="413"/>
      <c r="JT172" s="413"/>
      <c r="JU172" s="412"/>
      <c r="JV172" s="412"/>
      <c r="JW172" s="412"/>
      <c r="JX172" s="412"/>
      <c r="JY172" s="409"/>
      <c r="JZ172" s="398">
        <f>IF(JY172=0,0,IF(LEN(JQ172)=11,_xlfn.XLOOKUP(JQ172,'Dispensed Ink Rates'!C:C,'Dispensed Ink Rates'!CS:CS),VLOOKUP(JQ172,'Jan-2026 rates'!$E:$F,2,0)))</f>
        <v>0</v>
      </c>
      <c r="KA172" s="409"/>
      <c r="KB172" s="398">
        <f>IF(KA172=0,0,IF(LEN(JR172)=11,_xlfn.XLOOKUP(JR172,'Dispensed Ink Rates'!C:C,'Dispensed Ink Rates'!CS:CS),VLOOKUP(JR172,'Jan-2026 rates'!$E:$F,2,0)))</f>
        <v>0</v>
      </c>
      <c r="KC172" s="409"/>
      <c r="KD172" s="398">
        <f>IF(KC172=0,0,IF(LEN(JS172)=11,_xlfn.XLOOKUP(JS172,'Dispensed Ink Rates'!C:C,'Dispensed Ink Rates'!CS:CS),VLOOKUP(JS172,'Jan-2026 rates'!$E:$F,2,0)))</f>
        <v>0</v>
      </c>
      <c r="KE172" s="409"/>
      <c r="KF172" s="398">
        <f>IF(KE172=0,0,IF(LEN(JT172)=11,_xlfn.XLOOKUP(JT172,'Dispensed Ink Rates'!C:C,'Dispensed Ink Rates'!CS:CS),VLOOKUP(JT172,'Jan-2026 rates'!$E:$F,2,0)))</f>
        <v>0</v>
      </c>
      <c r="KG172" s="409"/>
      <c r="KH172" s="398">
        <f>IF(KG172=0,0,IF(LEN(JU172)=11,_xlfn.XLOOKUP(JU172,'Dispensed Ink Rates'!C:C,'Dispensed Ink Rates'!CS:CS),VLOOKUP(JU172,'Jan-2026 rates'!$E:$F,2,0)))</f>
        <v>0</v>
      </c>
      <c r="KI172" s="409"/>
      <c r="KJ172" s="398">
        <f>IF(KI172=0,0,IF(LEN(JV172)=11,_xlfn.XLOOKUP(JV172,'Dispensed Ink Rates'!C:C,'Dispensed Ink Rates'!CS:CS),VLOOKUP(JV172,'Jan-2026 rates'!$E:$F,2,0)))</f>
        <v>0</v>
      </c>
      <c r="KK172" s="409"/>
      <c r="KL172" s="398">
        <f>IF(KK172=0,0,IF(LEN(JW172)=11,_xlfn.XLOOKUP(JW172,'Dispensed Ink Rates'!C:C,'Dispensed Ink Rates'!CS:CS),VLOOKUP(JW172,'Jan-2026 rates'!$E:$F,2,0)))</f>
        <v>0</v>
      </c>
      <c r="KM172" s="428"/>
      <c r="KN172" s="398">
        <f>IF(KM172=0,0,IF(LEN(JX172)=11,_xlfn.XLOOKUP(JX172,'Dispensed Ink Rates'!C:C,'Dispensed Ink Rates'!CS:CS),VLOOKUP(JX172,'Jan-2026 rates'!$E:$F,2,0)))</f>
        <v>0</v>
      </c>
      <c r="KO172" s="409"/>
      <c r="KP172" s="409"/>
      <c r="KQ172" s="411">
        <f t="shared" si="127"/>
        <v>0</v>
      </c>
      <c r="KR172" s="411">
        <f t="shared" si="128"/>
        <v>0</v>
      </c>
      <c r="KS172" s="410">
        <f t="shared" si="129"/>
        <v>0</v>
      </c>
      <c r="KT172" s="409">
        <v>3</v>
      </c>
      <c r="KU172" s="409">
        <f>30+30</f>
        <v>60</v>
      </c>
      <c r="KV172" s="409">
        <v>0</v>
      </c>
      <c r="KW172" s="409">
        <v>0</v>
      </c>
      <c r="KX172" s="409">
        <v>0</v>
      </c>
      <c r="KY172" s="409">
        <v>0</v>
      </c>
      <c r="KZ172" s="409">
        <v>0</v>
      </c>
      <c r="LA172" s="409">
        <v>0</v>
      </c>
      <c r="LB172" s="415">
        <v>0.3</v>
      </c>
      <c r="LC172" s="415"/>
      <c r="LD172" s="415"/>
      <c r="LE172" s="415">
        <v>0.5</v>
      </c>
      <c r="LF172" s="415">
        <v>0.2</v>
      </c>
      <c r="LG172" s="409">
        <v>0</v>
      </c>
      <c r="LH172" s="409">
        <f>60+29+18+30+12</f>
        <v>149</v>
      </c>
      <c r="LI172" s="409">
        <v>0</v>
      </c>
      <c r="LJ172" s="409">
        <v>0</v>
      </c>
      <c r="LK172" s="416">
        <f t="shared" si="138"/>
        <v>149</v>
      </c>
      <c r="LL172" s="416">
        <f t="shared" si="139"/>
        <v>149</v>
      </c>
      <c r="LM172" s="417">
        <f t="shared" si="140"/>
        <v>44.699999999999996</v>
      </c>
      <c r="LN172" s="417">
        <f>VLOOKUP($LM$8,'Jan-2026 rates'!$H:$I,2,0)</f>
        <v>0</v>
      </c>
      <c r="LO172" s="417">
        <f t="shared" si="141"/>
        <v>0</v>
      </c>
      <c r="LP172" s="417">
        <f>VLOOKUP($LO$8,'Jan-2026 rates'!$H:$I,2,0)</f>
        <v>0</v>
      </c>
      <c r="LQ172" s="417">
        <f t="shared" si="142"/>
        <v>0</v>
      </c>
      <c r="LR172" s="417">
        <f>VLOOKUP($LQ$8,'Jan-2026 rates'!$H:$I,2,0)</f>
        <v>0</v>
      </c>
      <c r="LS172" s="417">
        <f t="shared" si="143"/>
        <v>74.5</v>
      </c>
      <c r="LT172" s="417">
        <f>VLOOKUP($LS$8,'Jan-2026 rates'!$H:$I,2,0)</f>
        <v>0</v>
      </c>
      <c r="LU172" s="417">
        <f t="shared" si="144"/>
        <v>29.8</v>
      </c>
      <c r="LV172" s="417">
        <f>VLOOKUP($LU$8,'Jan-2026 rates'!$H:$I,2,0)</f>
        <v>0</v>
      </c>
      <c r="LW172" s="417">
        <f t="shared" si="145"/>
        <v>0</v>
      </c>
      <c r="LX172" s="417">
        <f t="shared" si="146"/>
        <v>0</v>
      </c>
      <c r="LY172" s="418">
        <f t="shared" si="147"/>
        <v>0</v>
      </c>
      <c r="LZ172" s="417"/>
      <c r="MA172" s="435">
        <f t="shared" si="148"/>
        <v>105.2</v>
      </c>
      <c r="MB172" s="282">
        <f t="shared" si="149"/>
        <v>256.20000000000005</v>
      </c>
      <c r="MC172" s="283" t="s">
        <v>2007</v>
      </c>
      <c r="MD172" s="284" t="str">
        <f t="shared" si="150"/>
        <v>ToyoLiToyoLi</v>
      </c>
      <c r="ME172" s="293" t="str">
        <f t="shared" si="151"/>
        <v>+</v>
      </c>
      <c r="MF172" s="293" t="str">
        <f t="shared" si="152"/>
        <v>+</v>
      </c>
      <c r="MG172" s="293" t="str">
        <f t="shared" si="153"/>
        <v>NIL</v>
      </c>
      <c r="MH172" s="293" t="str">
        <f t="shared" si="154"/>
        <v>NIL</v>
      </c>
      <c r="MI172" s="293" t="str">
        <f t="shared" si="155"/>
        <v>NIL</v>
      </c>
      <c r="MJ172" s="293" t="str">
        <f t="shared" si="156"/>
        <v>NIL</v>
      </c>
      <c r="MK172" s="293" t="str">
        <f t="shared" si="157"/>
        <v>NIL</v>
      </c>
      <c r="ML172" s="293" t="str">
        <f t="shared" si="158"/>
        <v>NIL</v>
      </c>
      <c r="MM172" s="3" t="b">
        <f t="array" ref="MM172">OR(ME172:ML172="-")</f>
        <v>0</v>
      </c>
      <c r="MN172" s="285"/>
      <c r="MO172" s="401"/>
      <c r="MP172" s="286"/>
      <c r="MQ172" s="286"/>
      <c r="MR172" s="402"/>
      <c r="MS172" s="400"/>
      <c r="NH172" s="422"/>
      <c r="NJ172" s="421"/>
    </row>
    <row r="173" spans="1:374" s="1" customFormat="1" ht="16.5">
      <c r="A173" s="403">
        <v>46035</v>
      </c>
      <c r="B173" s="404" t="s">
        <v>1015</v>
      </c>
      <c r="C173" s="405" t="s">
        <v>3586</v>
      </c>
      <c r="D173" s="406" t="s">
        <v>2008</v>
      </c>
      <c r="E173" s="404">
        <v>126</v>
      </c>
      <c r="F173" s="407">
        <v>8200</v>
      </c>
      <c r="G173" s="407" t="s">
        <v>1016</v>
      </c>
      <c r="H173" s="408" t="s">
        <v>1017</v>
      </c>
      <c r="I173" s="409">
        <v>2</v>
      </c>
      <c r="J173" s="405" t="s">
        <v>543</v>
      </c>
      <c r="K173" s="404" t="s">
        <v>3587</v>
      </c>
      <c r="L173" s="419" t="str">
        <f t="shared" si="131"/>
        <v>ToyoLi - BLACK</v>
      </c>
      <c r="M173" s="404">
        <v>26</v>
      </c>
      <c r="N173" s="410">
        <f>IF(M173=0,0,IF($LB173=70%,VLOOKUP($L173,'Jan-2026 rates'!$L:$R,4,0),IF($LB173=65%,VLOOKUP($L173,'Jan-2026 rates'!$L:$R,4,0),IF($LB173=40%,VLOOKUP($L173,'Jan-2026 rates'!$L:$R,5,0),IF($LB173=30%,VLOOKUP($L173,'Jan-2026 rates'!$L:$R,6,0),IF($LB173=100%,VLOOKUP($L173,'Jan-2026 rates'!$L:$R,7,0),IF($LB173=60%,VLOOKUP($L173,'Jan-2026 rates'!$L:$S,8,0),IF($LB173=80%,VLOOKUP($L173,'Jan-2026 rates'!L:T,9,0),0))))))))</f>
        <v>0</v>
      </c>
      <c r="O173" s="406"/>
      <c r="P173" s="404"/>
      <c r="Q173" s="410">
        <f>IF(P173=0,0,IF($LB173=70%,VLOOKUP($L173,'Jan-2026 rates'!$L:$R,4,0),IF($LB173=65%,VLOOKUP($L173,'Jan-2026 rates'!$L:$R,4,0),IF($LB173=40%,VLOOKUP($L173,'Jan-2026 rates'!$L:$R,5,0),IF($LB173=30%,VLOOKUP($L173,'Jan-2026 rates'!$L:$R,6,0),IF($LB173=100%,VLOOKUP($L173,'Jan-2026 rates'!$L:$R,7,0),IF($LB173=60%,VLOOKUP($L173,'Jan-2026 rates'!$L:$S,8,0),IF($LB173=80%,VLOOKUP($L173,'Jan-2026 rates'!L:T,9,0),0))))))))</f>
        <v>0</v>
      </c>
      <c r="R173" s="406" t="s">
        <v>1252</v>
      </c>
      <c r="S173" s="406"/>
      <c r="T173" s="406"/>
      <c r="U173" s="406"/>
      <c r="V173" s="406"/>
      <c r="W173" s="406"/>
      <c r="X173" s="406"/>
      <c r="Y173" s="406"/>
      <c r="Z173" s="404">
        <v>3</v>
      </c>
      <c r="AA173" s="398">
        <f>IF(Z173=0,0,IF(LEN(R173)=11,_xlfn.XLOOKUP(R173,'Dispensed Ink Rates'!C:C,'Dispensed Ink Rates'!CS:CS),VLOOKUP(R173,'Jan-2026 rates'!$E:$F,2,0)))</f>
        <v>0</v>
      </c>
      <c r="AB173" s="404"/>
      <c r="AC173" s="398">
        <f>IF(AB173=0,0,IF(LEN(S173)=11,_xlfn.XLOOKUP(S173,'Dispensed Ink Rates'!C:C,'Dispensed Ink Rates'!CS:CS),VLOOKUP(S173,'Jan-2026 rates'!$E:$F,2,0)))</f>
        <v>0</v>
      </c>
      <c r="AD173" s="404"/>
      <c r="AE173" s="398">
        <f>IF(AD173=0,0,IF(LEN(T173)=11,_xlfn.XLOOKUP(T173,'Dispensed Ink Rates'!C:C,'Dispensed Ink Rates'!CS:CS),VLOOKUP(T173,'Jan-2026 rates'!$E:$F,2,0)))</f>
        <v>0</v>
      </c>
      <c r="AF173" s="404"/>
      <c r="AG173" s="398">
        <f>IF(AF173=0,0,IF(LEN(U173)=11,_xlfn.XLOOKUP(U173,'Dispensed Ink Rates'!C:C,'Dispensed Ink Rates'!CS:CS),VLOOKUP(U173,'Jan-2026 rates'!$E:$F,2,0)))</f>
        <v>0</v>
      </c>
      <c r="AH173" s="404"/>
      <c r="AI173" s="398">
        <f>IF(AH173=0,0,IF(LEN(V173)=11,_xlfn.XLOOKUP(V173,'Dispensed Ink Rates'!C:C,'Dispensed Ink Rates'!CS:CS),VLOOKUP(V173,'Jan-2026 rates'!$E:$F,2,0)))</f>
        <v>0</v>
      </c>
      <c r="AJ173" s="404"/>
      <c r="AK173" s="398">
        <f>IF(AJ173=0,0,IF(LEN(W173)=11,_xlfn.XLOOKUP(W173,'Dispensed Ink Rates'!C:C,'Dispensed Ink Rates'!CS:CS),VLOOKUP(W173,'Jan-2026 rates'!$E:$F,2,0)))</f>
        <v>0</v>
      </c>
      <c r="AL173" s="404"/>
      <c r="AM173" s="398">
        <f>IF(AL173=0,0,IF(LEN(X173)=11,_xlfn.XLOOKUP(X173,'Dispensed Ink Rates'!C:C,'Dispensed Ink Rates'!CS:CS),VLOOKUP(X173,'Jan-2026 rates'!$E:$F,2,0)))</f>
        <v>0</v>
      </c>
      <c r="AN173" s="404"/>
      <c r="AO173" s="398">
        <f>IF(AN173=0,0,IF(LEN(Y173)=11,_xlfn.XLOOKUP(Y173,'Dispensed Ink Rates'!C:C,'Dispensed Ink Rates'!CS:CS),VLOOKUP(Y173,'Jan-2026 rates'!$E:$F,2,0)))</f>
        <v>0</v>
      </c>
      <c r="AP173" s="409" t="s">
        <v>1881</v>
      </c>
      <c r="AQ173" s="409">
        <v>27</v>
      </c>
      <c r="AR173" s="410">
        <f t="shared" si="106"/>
        <v>0</v>
      </c>
      <c r="AS173" s="411">
        <f t="shared" si="107"/>
        <v>8.2999999999999972</v>
      </c>
      <c r="AT173" s="410">
        <f t="shared" si="108"/>
        <v>0</v>
      </c>
      <c r="AU173" s="405" t="s">
        <v>857</v>
      </c>
      <c r="AV173" s="409" t="s">
        <v>3588</v>
      </c>
      <c r="AW173" s="420" t="str">
        <f t="shared" si="130"/>
        <v>ToyoLi - RED</v>
      </c>
      <c r="AX173" s="409">
        <v>17</v>
      </c>
      <c r="AY173" s="411">
        <f>IF(AX173=0,0,IF($LB173=70%,VLOOKUP($AW173,'Jan-2026 rates'!$L:$R,4,0),IF($LB173=65%,VLOOKUP($AW173,'Jan-2026 rates'!$L:$R,4,0),IF($LB173=40%,VLOOKUP($AW173,'Jan-2026 rates'!$L:$R,5,0),IF($LB173=30%,VLOOKUP($AW173,'Jan-2026 rates'!$L:$R,6,0),IF($LB173=100%,VLOOKUP($AW173,'Jan-2026 rates'!$L:$R,7,0),IF($LB173=60%,VLOOKUP($AW173,'Jan-2026 rates'!$L:$S,8,0),IF($LB173=80%,VLOOKUP($AW173,'Jan-2026 rates'!L:T,9,0),0))))))))</f>
        <v>0</v>
      </c>
      <c r="AZ173" s="412"/>
      <c r="BA173" s="409"/>
      <c r="BB173" s="411">
        <f>IF(BA173=0,0,IF($LB173=70%,VLOOKUP($AW173,'Jan-2026 rates'!$L:$R,4,0),IF($LB173=65%,VLOOKUP($AW173,'Jan-2026 rates'!$L:$R,4,0),IF($LB173=40%,VLOOKUP($AW173,'Jan-2026 rates'!$L:$R,5,0),IF($LB173=30%,VLOOKUP($AW173,'Jan-2026 rates'!$L:$R,6,0),IF($LB173=100%,VLOOKUP($AW173,'Jan-2026 rates'!$L:$R,7,0),IF($LB173=60%,VLOOKUP($AW173,'Jan-2026 rates'!$L:$S,8,0),IF($LB173=80%,VLOOKUP($AW173,'Jan-2026 rates'!L:T,9,0),0))))))))</f>
        <v>0</v>
      </c>
      <c r="BC173" s="413" t="s">
        <v>1246</v>
      </c>
      <c r="BD173" s="412"/>
      <c r="BE173" s="412"/>
      <c r="BF173" s="413"/>
      <c r="BG173" s="412"/>
      <c r="BH173" s="412"/>
      <c r="BI173" s="412"/>
      <c r="BJ173" s="412"/>
      <c r="BK173" s="409">
        <v>3</v>
      </c>
      <c r="BL173" s="398">
        <f>IF(BK173=0,0,IF(LEN(BC173)=11,_xlfn.XLOOKUP(BC173,'Dispensed Ink Rates'!C:C,'Dispensed Ink Rates'!CS:CS),VLOOKUP(BC173,'Jan-2026 rates'!$E:$F,2,0)))</f>
        <v>0</v>
      </c>
      <c r="BM173" s="409"/>
      <c r="BN173" s="398">
        <f>IF(BM173=0,0,IF(LEN(BD173)=11,_xlfn.XLOOKUP(BD173,'Dispensed Ink Rates'!C:C,'Dispensed Ink Rates'!CS:CS),VLOOKUP(BD173,'Jan-2026 rates'!$E:$F,2,0)))</f>
        <v>0</v>
      </c>
      <c r="BO173" s="409"/>
      <c r="BP173" s="398">
        <f>IF(BO173=0,0,IF(LEN(BE173)=11,_xlfn.XLOOKUP(BE173,'Dispensed Ink Rates'!C:C,'Dispensed Ink Rates'!CS:CS),VLOOKUP(BE173,'Jan-2026 rates'!$E:$F,2,0)))</f>
        <v>0</v>
      </c>
      <c r="BQ173" s="409"/>
      <c r="BR173" s="398">
        <f>IF(BQ173=0,0,IF(LEN(BF173)=11,_xlfn.XLOOKUP(BF173,'Dispensed Ink Rates'!C:C,'Dispensed Ink Rates'!CS:CS),VLOOKUP(BF173,'Jan-2026 rates'!$E:$F,2,0)))</f>
        <v>0</v>
      </c>
      <c r="BS173" s="409"/>
      <c r="BT173" s="398">
        <f>IF(BS173=0,0,IF(LEN(BG173)=11,_xlfn.XLOOKUP(BG173,'Dispensed Ink Rates'!C:C,'Dispensed Ink Rates'!CS:CS),VLOOKUP(BG173,'Jan-2026 rates'!$E:$F,2,0)))</f>
        <v>0</v>
      </c>
      <c r="BU173" s="409"/>
      <c r="BV173" s="398">
        <f>IF(BU173=0,0,IF(LEN(BH173)=11,_xlfn.XLOOKUP(BH173,'Dispensed Ink Rates'!C:C,'Dispensed Ink Rates'!CS:CS),VLOOKUP(BH173,'Jan-2026 rates'!$E:$F,2,0)))</f>
        <v>0</v>
      </c>
      <c r="BW173" s="409"/>
      <c r="BX173" s="398">
        <f>IF(BW173=0,0,IF(LEN(BI173)=11,_xlfn.XLOOKUP(BI173,'Dispensed Ink Rates'!C:C,'Dispensed Ink Rates'!CS:CS),VLOOKUP(BI173,'Jan-2026 rates'!$E:$F,2,0)))</f>
        <v>0</v>
      </c>
      <c r="BY173" s="409"/>
      <c r="BZ173" s="398">
        <f>IF(BY173=0,0,IF(LEN(BJ173)=11,_xlfn.XLOOKUP(BJ173,'Dispensed Ink Rates'!C:C,'Dispensed Ink Rates'!CS:CS),VLOOKUP(BJ173,'Jan-2026 rates'!$E:$F,2,0)))</f>
        <v>0</v>
      </c>
      <c r="CA173" s="409" t="s">
        <v>1881</v>
      </c>
      <c r="CB173" s="409">
        <v>22</v>
      </c>
      <c r="CC173" s="411">
        <f t="shared" si="109"/>
        <v>0</v>
      </c>
      <c r="CD173" s="411">
        <f t="shared" si="110"/>
        <v>7.4499999999999993</v>
      </c>
      <c r="CE173" s="410">
        <f t="shared" si="111"/>
        <v>0</v>
      </c>
      <c r="CF173" s="404" t="s">
        <v>856</v>
      </c>
      <c r="CG173" s="409" t="s">
        <v>3589</v>
      </c>
      <c r="CH173" s="420" t="str">
        <f t="shared" si="132"/>
        <v>ToyoLi - WHITE</v>
      </c>
      <c r="CI173" s="409">
        <v>30</v>
      </c>
      <c r="CJ173" s="411">
        <f>IF(CI173=0,0,IF($LB173=70%,VLOOKUP($CH173,'Jan-2026 rates'!$L:$R,4,0),IF($LB173=65%,VLOOKUP($CH173,'Jan-2026 rates'!$L:$R,4,0),IF($LB173=40%,VLOOKUP($CH173,'Jan-2026 rates'!$L:$R,5,0),IF($LB173=30%,VLOOKUP($CH173,'Jan-2026 rates'!$L:$R,6,0),IF($LB173=100%,VLOOKUP($CH173,'Jan-2026 rates'!$L:$R,7,0),IF($LB173=60%,VLOOKUP($CH173,'Jan-2026 rates'!$L:$S,8,0),IF($LB173=80%,VLOOKUP($CH173,'Jan-2026 rates'!L:T,9,0),0))))))))</f>
        <v>0</v>
      </c>
      <c r="CK173" s="412"/>
      <c r="CL173" s="409"/>
      <c r="CM173" s="411">
        <f>IF(CL173=0,0,IF($LB173=70%,VLOOKUP($CH173,'Jan-2026 rates'!$L:$R,4,0),IF($LB173=65%,VLOOKUP($CH173,'Jan-2026 rates'!$L:$R,4,0),IF($LB173=40%,VLOOKUP($CH173,'Jan-2026 rates'!$L:$R,5,0),IF($LB173=30%,VLOOKUP($CH173,'Jan-2026 rates'!$L:$R,6,0),IF($LB173=100%,VLOOKUP($CH173,'Jan-2026 rates'!$L:$R,7,0),IF($LB173=60%,VLOOKUP($CH173,'Jan-2026 rates'!$L:$S,8,0),IF($LB173=80%,VLOOKUP($CH173,'Jan-2026 rates'!L:T,9,0),0))))))))</f>
        <v>0</v>
      </c>
      <c r="CN173" s="426" t="s">
        <v>1249</v>
      </c>
      <c r="CO173" s="427"/>
      <c r="CP173" s="426"/>
      <c r="CQ173" s="426"/>
      <c r="CR173" s="428"/>
      <c r="CS173" s="428"/>
      <c r="CT173" s="428"/>
      <c r="CU173" s="428"/>
      <c r="CV173" s="409">
        <v>40</v>
      </c>
      <c r="CW173" s="398">
        <f>IF(CV173=0,0,IF(LEN(CN173)=11,_xlfn.XLOOKUP(CN173,'Dispensed Ink Rates'!C:C,'Dispensed Ink Rates'!CS:CS),VLOOKUP(CN173,'Jan-2026 rates'!$E:$F,2,0)))</f>
        <v>0</v>
      </c>
      <c r="CX173" s="409"/>
      <c r="CY173" s="398">
        <f>IF(CX173=0,0,IF(LEN(CO173)=11,_xlfn.XLOOKUP(CO173,'Dispensed Ink Rates'!C:C,'Dispensed Ink Rates'!CS:CS),VLOOKUP(CO173,'Jan-2026 rates'!$E:$F,2,0)))</f>
        <v>0</v>
      </c>
      <c r="CZ173" s="409"/>
      <c r="DA173" s="398">
        <f>IF(CZ173=0,0,IF(LEN(CP173)=11,_xlfn.XLOOKUP(CP173,'Dispensed Ink Rates'!C:C,'Dispensed Ink Rates'!CS:CS),VLOOKUP(CP173,'Jan-2026 rates'!$E:$F,2,0)))</f>
        <v>0</v>
      </c>
      <c r="DB173" s="409"/>
      <c r="DC173" s="398">
        <f>IF(DB173=0,0,IF(LEN(CQ173)=11,_xlfn.XLOOKUP(CQ173,'Dispensed Ink Rates'!C:C,'Dispensed Ink Rates'!CS:CS),VLOOKUP(CQ173,'Jan-2026 rates'!$E:$F,2,0)))</f>
        <v>0</v>
      </c>
      <c r="DD173" s="409"/>
      <c r="DE173" s="398">
        <f>IF(DD173=0,0,IF(LEN(CR173)=11,_xlfn.XLOOKUP(CR173,'Dispensed Ink Rates'!C:C,'Dispensed Ink Rates'!CS:CS),VLOOKUP(CR173,'Jan-2026 rates'!$E:$F,2,0)))</f>
        <v>0</v>
      </c>
      <c r="DF173" s="409"/>
      <c r="DG173" s="398">
        <f>IF(DF173=0,0,IF(LEN(CS173)=11,_xlfn.XLOOKUP(CS173,'Dispensed Ink Rates'!C:C,'Dispensed Ink Rates'!CS:CS),VLOOKUP(CS173,'Jan-2026 rates'!$E:$F,2,0)))</f>
        <v>0</v>
      </c>
      <c r="DH173" s="409"/>
      <c r="DI173" s="398">
        <f>IF(DH173=0,0,IF(LEN(CT173)=11,_xlfn.XLOOKUP(CT173,'Dispensed Ink Rates'!C:C,'Dispensed Ink Rates'!CS:CS),VLOOKUP(CT173,'Jan-2026 rates'!$E:$F,2,0)))</f>
        <v>0</v>
      </c>
      <c r="DJ173" s="409"/>
      <c r="DK173" s="398">
        <f>IF(DJ173=0,0,IF(LEN(CU173)=11,_xlfn.XLOOKUP(CU173,'Dispensed Ink Rates'!C:C,'Dispensed Ink Rates'!CS:CS),VLOOKUP(CU173,'Jan-2026 rates'!$E:$F,2,0)))</f>
        <v>0</v>
      </c>
      <c r="DL173" s="409" t="s">
        <v>1881</v>
      </c>
      <c r="DM173" s="409">
        <v>25</v>
      </c>
      <c r="DN173" s="411">
        <f t="shared" si="112"/>
        <v>0</v>
      </c>
      <c r="DO173" s="411">
        <f t="shared" si="113"/>
        <v>92.25</v>
      </c>
      <c r="DP173" s="410">
        <f t="shared" si="114"/>
        <v>0</v>
      </c>
      <c r="DQ173" s="405"/>
      <c r="DR173" s="409"/>
      <c r="DS173" s="420" t="str">
        <f t="shared" si="133"/>
        <v xml:space="preserve"> - </v>
      </c>
      <c r="DT173" s="409"/>
      <c r="DU173" s="411">
        <f>IF(DT173=0,0,IF($LB173=70%,VLOOKUP($DS173,'Jan-2026 rates'!$L:$R,4,0),IF($LB173=65%,VLOOKUP($DS173,'Jan-2026 rates'!$L:$R,4,0),IF($LB173=40%,VLOOKUP($DS173,'Jan-2026 rates'!$L:$R,5,0),IF($LB173=30%,VLOOKUP($DS173,'Jan-2026 rates'!$L:$R,6,0),IF($LB173=100%,VLOOKUP($DS173,'Jan-2026 rates'!$L:$R,7,0),IF($LB173=60%,VLOOKUP($DS173,'Jan-2026 rates'!$L:$S,8,0),IF($LB173=80%,VLOOKUP($DS173,'Jan-2026 rates'!L:T,9,0),0))))))))</f>
        <v>0</v>
      </c>
      <c r="DV173" s="412"/>
      <c r="DW173" s="409"/>
      <c r="DX173" s="411">
        <f>IF(DW173=0,0,IF($LB173=70%,VLOOKUP($DS173,'Jan-2026 rates'!$L:$R,4,0),IF($LB173=65%,VLOOKUP($DS173,'Jan-2026 rates'!$L:$R,4,0),IF($LB173=40%,VLOOKUP($DS173,'Jan-2026 rates'!$L:$R,5,0),IF($LB173=30%,VLOOKUP($DS173,'Jan-2026 rates'!$L:$R,6,0),IF($LB173=100%,VLOOKUP($DS173,'Jan-2026 rates'!$L:$R,7,0),IF($LB173=60%,VLOOKUP($DS173,'Jan-2026 rates'!$L:$S,8,0),IF($LB173=80%,VLOOKUP($DS173,'Jan-2026 rates'!L:T,9,0),0))))))))</f>
        <v>0</v>
      </c>
      <c r="DY173" s="413"/>
      <c r="DZ173" s="413"/>
      <c r="EA173" s="412"/>
      <c r="EB173" s="412"/>
      <c r="EC173" s="412"/>
      <c r="ED173" s="412"/>
      <c r="EE173" s="412"/>
      <c r="EF173" s="412"/>
      <c r="EG173" s="409"/>
      <c r="EH173" s="398">
        <f>IF(EG173=0,0,IF(LEN(DY173)=11,_xlfn.XLOOKUP(DY173,'Dispensed Ink Rates'!C:C,'Dispensed Ink Rates'!CS:CS),VLOOKUP(DY173,'Jan-2026 rates'!$E:$F,2,0)))</f>
        <v>0</v>
      </c>
      <c r="EI173" s="409"/>
      <c r="EJ173" s="398">
        <f>IF(EI173=0,0,IF(LEN(DZ173)=11,_xlfn.XLOOKUP(DZ173,'Dispensed Ink Rates'!C:C,'Dispensed Ink Rates'!CS:CS),VLOOKUP(DZ173,'Jan-2026 rates'!$E:$F,2,0)))</f>
        <v>0</v>
      </c>
      <c r="EK173" s="409"/>
      <c r="EL173" s="398">
        <f>IF(EK173=0,0,IF(LEN(EA173)=11,_xlfn.XLOOKUP(EA173,'Dispensed Ink Rates'!C:C,'Dispensed Ink Rates'!CS:CS),VLOOKUP(EA173,'Jan-2026 rates'!$E:$F,2,0)))</f>
        <v>0</v>
      </c>
      <c r="EM173" s="409"/>
      <c r="EN173" s="398">
        <f>IF(EM173=0,0,IF(LEN(EB173)=11,_xlfn.XLOOKUP(EB173,'Dispensed Ink Rates'!C:C,'Dispensed Ink Rates'!CS:CS),VLOOKUP(EB173,'Jan-2026 rates'!$E:$F,2,0)))</f>
        <v>0</v>
      </c>
      <c r="EO173" s="409"/>
      <c r="EP173" s="398">
        <f>IF(EO173=0,0,IF(LEN(EC173)=11,_xlfn.XLOOKUP(EC173,'Dispensed Ink Rates'!C:C,'Dispensed Ink Rates'!CS:CS),VLOOKUP(EC173,'Jan-2026 rates'!$E:$F,2,0)))</f>
        <v>0</v>
      </c>
      <c r="EQ173" s="409"/>
      <c r="ER173" s="398">
        <f>IF(EQ173=0,0,IF(LEN(ED173)=11,_xlfn.XLOOKUP(ED173,'Dispensed Ink Rates'!C:C,'Dispensed Ink Rates'!CS:CS),VLOOKUP(ED173,'Jan-2026 rates'!$E:$F,2,0)))</f>
        <v>0</v>
      </c>
      <c r="ES173" s="409"/>
      <c r="ET173" s="398">
        <f>IF(ES173=0,0,IF(LEN(EE173)=11,_xlfn.XLOOKUP(EE173,'Dispensed Ink Rates'!C:C,'Dispensed Ink Rates'!CS:CS),VLOOKUP(EE173,'Jan-2026 rates'!$E:$F,2,0)))</f>
        <v>0</v>
      </c>
      <c r="EU173" s="409"/>
      <c r="EV173" s="398">
        <f>IF(EU173=0,0,IF(LEN(EF173)=11,_xlfn.XLOOKUP(EF173,'Dispensed Ink Rates'!C:C,'Dispensed Ink Rates'!CS:CS),VLOOKUP(EF173,'Jan-2026 rates'!$E:$F,2,0)))</f>
        <v>0</v>
      </c>
      <c r="EW173" s="409"/>
      <c r="EX173" s="409"/>
      <c r="EY173" s="411">
        <f t="shared" si="115"/>
        <v>0</v>
      </c>
      <c r="EZ173" s="411">
        <f t="shared" si="116"/>
        <v>0</v>
      </c>
      <c r="FA173" s="410">
        <f t="shared" si="117"/>
        <v>0</v>
      </c>
      <c r="FB173" s="405"/>
      <c r="FC173" s="409"/>
      <c r="FD173" s="420" t="str">
        <f t="shared" si="134"/>
        <v xml:space="preserve"> - </v>
      </c>
      <c r="FE173" s="409"/>
      <c r="FF173" s="411">
        <f>IF(FE173=0,0,IF($LB173=70%,VLOOKUP($FD173,'Jan-2026 rates'!$L:$R,4,0),IF($LB173=65%,VLOOKUP($FD173,'Jan-2026 rates'!$L:$R,4,0),IF($LB173=40%,VLOOKUP($FD173,'Jan-2026 rates'!$L:$R,5,0),IF($LB173=30%,VLOOKUP($FD173,'Jan-2026 rates'!$L:$R,6,0),IF($LB173=100%,VLOOKUP($FD173,'Jan-2026 rates'!$L:$R,7,0),IF($LB173=60%,VLOOKUP($FD173,'Jan-2026 rates'!$L:$S,8,0),IF($LB173=80%,VLOOKUP($FD173,'Jan-2026 rates'!L:T,9,0),0))))))))</f>
        <v>0</v>
      </c>
      <c r="FG173" s="412"/>
      <c r="FH173" s="409"/>
      <c r="FI173" s="411">
        <f>IF(FH173=0,0,IF($LB173=70%,VLOOKUP($FD173,'Jan-2026 rates'!$L:$R,4,0),IF($LB173=65%,VLOOKUP($FD173,'Jan-2026 rates'!$L:$R,4,0),IF($LB173=40%,VLOOKUP($FD173,'Jan-2026 rates'!$L:$R,5,0),IF($LB173=30%,VLOOKUP($FD173,'Jan-2026 rates'!$L:$R,6,0),IF($LB173=100%,VLOOKUP($FD173,'Jan-2026 rates'!$L:$R,7,0),IF($LB173=60%,VLOOKUP($FD173,'Jan-2026 rates'!$L:$S,8,0),IF($LB173=80%,VLOOKUP($FD173,'Jan-2026 rates'!L:T,9,0),0))))))))</f>
        <v>0</v>
      </c>
      <c r="FJ173" s="413"/>
      <c r="FK173" s="413"/>
      <c r="FL173" s="413"/>
      <c r="FM173" s="412"/>
      <c r="FN173" s="412"/>
      <c r="FO173" s="412"/>
      <c r="FP173" s="412"/>
      <c r="FQ173" s="412"/>
      <c r="FR173" s="409"/>
      <c r="FS173" s="398">
        <f>IF(FR173=0,0,IF(LEN(FJ173)=11,_xlfn.XLOOKUP(FJ173,'Dispensed Ink Rates'!C:C,'Dispensed Ink Rates'!CS:CS),VLOOKUP(FJ173,'Jan-2026 rates'!$E:$F,2,0)))</f>
        <v>0</v>
      </c>
      <c r="FT173" s="409"/>
      <c r="FU173" s="398">
        <f>IF(FT173=0,0,IF(LEN(FK173)=11,_xlfn.XLOOKUP(FK173,'Dispensed Ink Rates'!C:C,'Dispensed Ink Rates'!CS:CS),VLOOKUP(FK173,'Jan-2026 rates'!$E:$F,2,0)))</f>
        <v>0</v>
      </c>
      <c r="FV173" s="409"/>
      <c r="FW173" s="398">
        <f>IF(FV173=0,0,IF(LEN(FL173)=11,_xlfn.XLOOKUP(FL173,'Dispensed Ink Rates'!C:C,'Dispensed Ink Rates'!CS:CS),VLOOKUP(FL173,'Jan-2026 rates'!$E:$F,2,0)))</f>
        <v>0</v>
      </c>
      <c r="FX173" s="409"/>
      <c r="FY173" s="398">
        <f>IF(FX173=0,0,IF(LEN(FM173)=11,_xlfn.XLOOKUP(FM173,'Dispensed Ink Rates'!C:C,'Dispensed Ink Rates'!CS:CS),VLOOKUP(FM173,'Jan-2026 rates'!$E:$F,2,0)))</f>
        <v>0</v>
      </c>
      <c r="FZ173" s="409"/>
      <c r="GA173" s="398">
        <f>IF(FZ173=0,0,IF(LEN(FN173)=11,_xlfn.XLOOKUP(FN173,'Dispensed Ink Rates'!C:C,'Dispensed Ink Rates'!CS:CS),VLOOKUP(FN173,'Jan-2026 rates'!$E:$F,2,0)))</f>
        <v>0</v>
      </c>
      <c r="GB173" s="409"/>
      <c r="GC173" s="398">
        <f>IF(GB173=0,0,IF(LEN(FO173)=11,_xlfn.XLOOKUP(FO173,'Dispensed Ink Rates'!C:C,'Dispensed Ink Rates'!CS:CS),VLOOKUP(FO173,'Jan-2026 rates'!$E:$F,2,0)))</f>
        <v>0</v>
      </c>
      <c r="GD173" s="409"/>
      <c r="GE173" s="398">
        <f>IF(GD173=0,0,IF(LEN(FP173)=11,_xlfn.XLOOKUP(FP173,'Dispensed Ink Rates'!C:C,'Dispensed Ink Rates'!CS:CS),VLOOKUP(FP173,'Jan-2026 rates'!$E:$F,2,0)))</f>
        <v>0</v>
      </c>
      <c r="GF173" s="409"/>
      <c r="GG173" s="398">
        <f>IF(GF173=0,0,IF(LEN(FQ173)=11,_xlfn.XLOOKUP(FQ173,'Dispensed Ink Rates'!C:C,'Dispensed Ink Rates'!CS:CS),VLOOKUP(FQ173,'Jan-2026 rates'!$E:$F,2,0)))</f>
        <v>0</v>
      </c>
      <c r="GH173" s="409"/>
      <c r="GI173" s="409"/>
      <c r="GJ173" s="411">
        <f t="shared" si="118"/>
        <v>0</v>
      </c>
      <c r="GK173" s="411">
        <f t="shared" si="119"/>
        <v>0</v>
      </c>
      <c r="GL173" s="410">
        <f t="shared" si="120"/>
        <v>0</v>
      </c>
      <c r="GM173" s="405"/>
      <c r="GN173" s="409"/>
      <c r="GO173" s="420" t="str">
        <f t="shared" si="135"/>
        <v xml:space="preserve"> - </v>
      </c>
      <c r="GP173" s="409"/>
      <c r="GQ173" s="411">
        <f>IF(GP173=0,0,IF($LB173=70%,VLOOKUP($GO173,'Jan-2026 rates'!$L:$R,4,0),IF($LB173=65%,VLOOKUP($GO173,'Jan-2026 rates'!$L:$R,4,0),IF($LB173=40%,VLOOKUP($GO173,'Jan-2026 rates'!$L:$R,5,0),IF($LB173=30%,VLOOKUP($GO173,'Jan-2026 rates'!$L:$R,6,0),IF($LB173=100%,VLOOKUP($GO173,'Jan-2026 rates'!$L:$R,7,0),IF($LB173=60%,VLOOKUP($GO173,'Jan-2026 rates'!$L:$S,8,0),IF($LB173=80%,VLOOKUP($GO173,'Jan-2026 rates'!L:T,9,0),0))))))))</f>
        <v>0</v>
      </c>
      <c r="GR173" s="412"/>
      <c r="GS173" s="409"/>
      <c r="GT173" s="411">
        <f>IF(GS173=0,0,IF($LB173=70%,VLOOKUP($GO173,'Jan-2026 rates'!$L:$R,4,0),IF($LB173=65%,VLOOKUP($GO173,'Jan-2026 rates'!$L:$R,4,0),IF($LB173=40%,VLOOKUP($GO173,'Jan-2026 rates'!$L:$R,5,0),IF($LB173=30%,VLOOKUP($GO173,'Jan-2026 rates'!$L:$R,6,0),IF($LB173=100%,VLOOKUP($GO173,'Jan-2026 rates'!$L:$R,7,0),IF($LB173=60%,VLOOKUP($GO173,'Jan-2026 rates'!$L:$S,8,0),IF($LB173=80%,VLOOKUP($GO173,'Jan-2026 rates'!L:T,9,0),0))))))))</f>
        <v>0</v>
      </c>
      <c r="GU173" s="413"/>
      <c r="GV173" s="413"/>
      <c r="GW173" s="412"/>
      <c r="GX173" s="412"/>
      <c r="GY173" s="412"/>
      <c r="GZ173" s="412"/>
      <c r="HA173" s="412"/>
      <c r="HB173" s="412"/>
      <c r="HC173" s="409"/>
      <c r="HD173" s="398">
        <f>IF(HC173=0,0,IF(LEN(GU173)=11,_xlfn.XLOOKUP(GU173,'Dispensed Ink Rates'!C:C,'Dispensed Ink Rates'!CS:CS),VLOOKUP(GU173,'Jan-2026 rates'!$E:$F,2,0)))</f>
        <v>0</v>
      </c>
      <c r="HE173" s="409"/>
      <c r="HF173" s="398">
        <f>IF(HE173=0,0,IF(LEN(GV173)=11,_xlfn.XLOOKUP(GV173,'Dispensed Ink Rates'!C:C,'Dispensed Ink Rates'!CS:CS),VLOOKUP(GV173,'Jan-2026 rates'!$E:$F,2,0)))</f>
        <v>0</v>
      </c>
      <c r="HG173" s="409"/>
      <c r="HH173" s="398">
        <f>IF(HG173=0,0,IF(LEN(GW173)=11,_xlfn.XLOOKUP(GW173,'Dispensed Ink Rates'!C:C,'Dispensed Ink Rates'!CS:CS),VLOOKUP(GW173,'Jan-2026 rates'!$E:$F,2,0)))</f>
        <v>0</v>
      </c>
      <c r="HI173" s="409"/>
      <c r="HJ173" s="398">
        <f>IF(HI173=0,0,IF(LEN(GX173)=11,_xlfn.XLOOKUP(GX173,'Dispensed Ink Rates'!C:C,'Dispensed Ink Rates'!CS:CS),VLOOKUP(GX173,'Jan-2026 rates'!$E:$F,2,0)))</f>
        <v>0</v>
      </c>
      <c r="HK173" s="409"/>
      <c r="HL173" s="398">
        <f>IF(HK173=0,0,IF(LEN(GY173)=11,_xlfn.XLOOKUP(GY173,'Dispensed Ink Rates'!C:C,'Dispensed Ink Rates'!CS:CS),VLOOKUP(GY173,'Jan-2026 rates'!$E:$F,2,0)))</f>
        <v>0</v>
      </c>
      <c r="HM173" s="409"/>
      <c r="HN173" s="398">
        <f>IF(HM173=0,0,IF(LEN(GZ173)=11,_xlfn.XLOOKUP(GZ173,'Dispensed Ink Rates'!C:C,'Dispensed Ink Rates'!CS:CS),VLOOKUP(GZ173,'Jan-2026 rates'!$E:$F,2,0)))</f>
        <v>0</v>
      </c>
      <c r="HO173" s="409"/>
      <c r="HP173" s="398">
        <f>IF(HO173=0,0,IF(LEN(HA173)=11,_xlfn.XLOOKUP(HA173,'Dispensed Ink Rates'!C:C,'Dispensed Ink Rates'!CS:CS),VLOOKUP(HA173,'Jan-2026 rates'!$E:$F,2,0)))</f>
        <v>0</v>
      </c>
      <c r="HQ173" s="409"/>
      <c r="HR173" s="398">
        <f>IF(HQ173=0,0,IF(LEN(HB173)=11,_xlfn.XLOOKUP(HB173,'Dispensed Ink Rates'!C:C,'Dispensed Ink Rates'!CS:CS),VLOOKUP(HB173,'Jan-2026 rates'!$E:$F,2,0)))</f>
        <v>0</v>
      </c>
      <c r="HS173" s="409"/>
      <c r="HT173" s="409"/>
      <c r="HU173" s="411">
        <f t="shared" si="121"/>
        <v>0</v>
      </c>
      <c r="HV173" s="411">
        <f t="shared" si="122"/>
        <v>0</v>
      </c>
      <c r="HW173" s="414">
        <f t="shared" si="123"/>
        <v>0</v>
      </c>
      <c r="HX173" s="405"/>
      <c r="HY173" s="409"/>
      <c r="HZ173" s="420" t="str">
        <f t="shared" si="136"/>
        <v xml:space="preserve"> - </v>
      </c>
      <c r="IA173" s="409"/>
      <c r="IB173" s="411">
        <f>IF(IA173=0,0,IF($LB173=70%,VLOOKUP($HZ173,'Jan-2026 rates'!$L:$R,4,0),IF($LB173=65%,VLOOKUP($HZ173,'Jan-2026 rates'!$L:$R,4,0),IF($LB173=40%,VLOOKUP($HZ173,'Jan-2026 rates'!$L:$R,5,0),IF($LB173=30%,VLOOKUP($HZ173,'Jan-2026 rates'!$L:$R,6,0),IF($LB173=100%,VLOOKUP($HZ173,'Jan-2026 rates'!$L:$R,7,0),IF($LB173=60%,VLOOKUP($HZ173,'Jan-2026 rates'!$L:$S,8,0),IF($LB173=80%,VLOOKUP($HZ173,'Jan-2026 rates'!L:T,9,0),0))))))))</f>
        <v>0</v>
      </c>
      <c r="IC173" s="412"/>
      <c r="ID173" s="409"/>
      <c r="IE173" s="411">
        <f>IF(ID173=0,0,IF($LB173=70%,VLOOKUP($HZ173,'Jan-2026 rates'!$L:$R,4,0),IF($LB173=65%,VLOOKUP($HZ173,'Jan-2026 rates'!$L:$R,4,0),IF($LB173=40%,VLOOKUP($HZ173,'Jan-2026 rates'!$L:$R,5,0),IF($LB173=30%,VLOOKUP($HZ173,'Jan-2026 rates'!$L:$R,6,0),IF($LB173=100%,VLOOKUP($HZ173,'Jan-2026 rates'!$L:$R,7,0),IF($LB173=60%,VLOOKUP($HZ173,'Jan-2026 rates'!$L:$S,8,0),IF($LB173=80%,VLOOKUP($HZ173,'Jan-2026 rates'!L:T,9,0),0))))))))</f>
        <v>0</v>
      </c>
      <c r="IF173" s="412"/>
      <c r="IG173" s="413"/>
      <c r="IH173" s="412"/>
      <c r="II173" s="412"/>
      <c r="IJ173" s="412"/>
      <c r="IK173" s="412"/>
      <c r="IL173" s="412"/>
      <c r="IM173" s="412"/>
      <c r="IN173" s="409"/>
      <c r="IO173" s="398">
        <f>IF(IN173=0,0,IF(LEN(IF173)=11,_xlfn.XLOOKUP(IF173,'Dispensed Ink Rates'!C:C,'Dispensed Ink Rates'!CS:CS),VLOOKUP(IF173,'Jan-2026 rates'!$E:$F,2,0)))</f>
        <v>0</v>
      </c>
      <c r="IP173" s="409"/>
      <c r="IQ173" s="398">
        <f>IF(IP173=0,0,IF(LEN(IG173)=11,_xlfn.XLOOKUP(IG173,'Dispensed Ink Rates'!C:C,'Dispensed Ink Rates'!CS:CS),VLOOKUP(IG173,'Jan-2026 rates'!$E:$F,2,0)))</f>
        <v>0</v>
      </c>
      <c r="IR173" s="409"/>
      <c r="IS173" s="398">
        <f>IF(IR173=0,0,IF(LEN(IH173)=11,_xlfn.XLOOKUP(IH173,'Dispensed Ink Rates'!C:C,'Dispensed Ink Rates'!CS:CS),VLOOKUP(IH173,'Jan-2026 rates'!$E:$F,2,0)))</f>
        <v>0</v>
      </c>
      <c r="IT173" s="409"/>
      <c r="IU173" s="398">
        <f>IF(IT173=0,0,IF(LEN(II173)=11,_xlfn.XLOOKUP(II173,'Dispensed Ink Rates'!C:C,'Dispensed Ink Rates'!CS:CS),VLOOKUP(II173,'Jan-2026 rates'!$E:$F,2,0)))</f>
        <v>0</v>
      </c>
      <c r="IV173" s="409"/>
      <c r="IW173" s="398">
        <f>IF(IV173=0,0,IF(LEN(IJ173)=11,_xlfn.XLOOKUP(IJ173,'Dispensed Ink Rates'!C:C,'Dispensed Ink Rates'!CS:CS),VLOOKUP(IJ173,'Jan-2026 rates'!$E:$F,2,0)))</f>
        <v>0</v>
      </c>
      <c r="IX173" s="409"/>
      <c r="IY173" s="398">
        <f>IF(IX173=0,0,IF(LEN(IK173)=11,_xlfn.XLOOKUP(IK173,'Dispensed Ink Rates'!C:C,'Dispensed Ink Rates'!CS:CS),VLOOKUP(IK173,'Jan-2026 rates'!$E:$F,2,0)))</f>
        <v>0</v>
      </c>
      <c r="IZ173" s="409"/>
      <c r="JA173" s="398">
        <f>IF(IZ173=0,0,IF(LEN(IL173)=11,_xlfn.XLOOKUP(IL173,'Dispensed Ink Rates'!C:C,'Dispensed Ink Rates'!CS:CS),VLOOKUP(IL173,'Jan-2026 rates'!$E:$F,2,0)))</f>
        <v>0</v>
      </c>
      <c r="JB173" s="409"/>
      <c r="JC173" s="398">
        <f>IF(JB173=0,0,IF(LEN(IM173)=11,_xlfn.XLOOKUP(IM173,'Dispensed Ink Rates'!C:C,'Dispensed Ink Rates'!CS:CS),VLOOKUP(IM173,'Jan-2026 rates'!$E:$F,2,0)))</f>
        <v>0</v>
      </c>
      <c r="JD173" s="409"/>
      <c r="JE173" s="409"/>
      <c r="JF173" s="411">
        <f t="shared" si="124"/>
        <v>0</v>
      </c>
      <c r="JG173" s="411">
        <f t="shared" si="125"/>
        <v>0</v>
      </c>
      <c r="JH173" s="410">
        <f t="shared" si="126"/>
        <v>0</v>
      </c>
      <c r="JI173" s="405"/>
      <c r="JJ173" s="409"/>
      <c r="JK173" s="420" t="str">
        <f t="shared" si="137"/>
        <v xml:space="preserve"> - </v>
      </c>
      <c r="JL173" s="409"/>
      <c r="JM173" s="411">
        <f>IF(JL173=0,0,IF($LB173=70%,VLOOKUP($JK173,'Jan-2026 rates'!$L:$R,4,0),IF($LB173=65%,VLOOKUP($JK173,'Jan-2026 rates'!$L:$R,4,0),IF($LB173=40%,VLOOKUP($JK173,'Jan-2026 rates'!$L:$R,5,0),IF($LB173=30%,VLOOKUP($JK173,'Jan-2026 rates'!$L:$R,6,0),IF($LB173=100%,VLOOKUP($JK173,'Jan-2026 rates'!$L:$R,7,0),IF($LB173=60%,VLOOKUP($JK173,'Jan-2026 rates'!$L:$S,8,0),IF($LB173=80%,VLOOKUP($JK173,'Jan-2026 rates'!L:T,9,0),0))))))))</f>
        <v>0</v>
      </c>
      <c r="JN173" s="412"/>
      <c r="JO173" s="409"/>
      <c r="JP173" s="411">
        <f>IF(JO173=0,0,IF($LB173=70%,VLOOKUP($JK173,'Jan-2026 rates'!$L:$R,4,0),IF($LB173=65%,VLOOKUP($JK173,'Jan-2026 rates'!$L:$R,4,0),IF($LB173=40%,VLOOKUP($JK173,'Jan-2026 rates'!$L:$R,5,0),IF($LB173=30%,VLOOKUP($JK173,'Jan-2026 rates'!$L:$R,6,0),IF($LB173=100%,VLOOKUP($JK173,'Jan-2026 rates'!$L:$R,7,0),IF($LB173=60%,VLOOKUP($JK173,'Jan-2026 rates'!$L:$S,8,0),IF($LB173=80%,VLOOKUP($JK173,'Jan-2026 rates'!L:T,9,0),0))))))))</f>
        <v>0</v>
      </c>
      <c r="JQ173" s="413"/>
      <c r="JR173" s="412"/>
      <c r="JS173" s="413"/>
      <c r="JT173" s="413"/>
      <c r="JU173" s="412"/>
      <c r="JV173" s="412"/>
      <c r="JW173" s="412"/>
      <c r="JX173" s="412"/>
      <c r="JY173" s="409"/>
      <c r="JZ173" s="398">
        <f>IF(JY173=0,0,IF(LEN(JQ173)=11,_xlfn.XLOOKUP(JQ173,'Dispensed Ink Rates'!C:C,'Dispensed Ink Rates'!CS:CS),VLOOKUP(JQ173,'Jan-2026 rates'!$E:$F,2,0)))</f>
        <v>0</v>
      </c>
      <c r="KA173" s="409"/>
      <c r="KB173" s="398">
        <f>IF(KA173=0,0,IF(LEN(JR173)=11,_xlfn.XLOOKUP(JR173,'Dispensed Ink Rates'!C:C,'Dispensed Ink Rates'!CS:CS),VLOOKUP(JR173,'Jan-2026 rates'!$E:$F,2,0)))</f>
        <v>0</v>
      </c>
      <c r="KC173" s="409"/>
      <c r="KD173" s="398">
        <f>IF(KC173=0,0,IF(LEN(JS173)=11,_xlfn.XLOOKUP(JS173,'Dispensed Ink Rates'!C:C,'Dispensed Ink Rates'!CS:CS),VLOOKUP(JS173,'Jan-2026 rates'!$E:$F,2,0)))</f>
        <v>0</v>
      </c>
      <c r="KE173" s="409"/>
      <c r="KF173" s="398">
        <f>IF(KE173=0,0,IF(LEN(JT173)=11,_xlfn.XLOOKUP(JT173,'Dispensed Ink Rates'!C:C,'Dispensed Ink Rates'!CS:CS),VLOOKUP(JT173,'Jan-2026 rates'!$E:$F,2,0)))</f>
        <v>0</v>
      </c>
      <c r="KG173" s="409"/>
      <c r="KH173" s="398">
        <f>IF(KG173=0,0,IF(LEN(JU173)=11,_xlfn.XLOOKUP(JU173,'Dispensed Ink Rates'!C:C,'Dispensed Ink Rates'!CS:CS),VLOOKUP(JU173,'Jan-2026 rates'!$E:$F,2,0)))</f>
        <v>0</v>
      </c>
      <c r="KI173" s="409"/>
      <c r="KJ173" s="398">
        <f>IF(KI173=0,0,IF(LEN(JV173)=11,_xlfn.XLOOKUP(JV173,'Dispensed Ink Rates'!C:C,'Dispensed Ink Rates'!CS:CS),VLOOKUP(JV173,'Jan-2026 rates'!$E:$F,2,0)))</f>
        <v>0</v>
      </c>
      <c r="KK173" s="409"/>
      <c r="KL173" s="398">
        <f>IF(KK173=0,0,IF(LEN(JW173)=11,_xlfn.XLOOKUP(JW173,'Dispensed Ink Rates'!C:C,'Dispensed Ink Rates'!CS:CS),VLOOKUP(JW173,'Jan-2026 rates'!$E:$F,2,0)))</f>
        <v>0</v>
      </c>
      <c r="KM173" s="428"/>
      <c r="KN173" s="398">
        <f>IF(KM173=0,0,IF(LEN(JX173)=11,_xlfn.XLOOKUP(JX173,'Dispensed Ink Rates'!C:C,'Dispensed Ink Rates'!CS:CS),VLOOKUP(JX173,'Jan-2026 rates'!$E:$F,2,0)))</f>
        <v>0</v>
      </c>
      <c r="KO173" s="409"/>
      <c r="KP173" s="409"/>
      <c r="KQ173" s="411">
        <f t="shared" si="127"/>
        <v>0</v>
      </c>
      <c r="KR173" s="411">
        <f t="shared" si="128"/>
        <v>0</v>
      </c>
      <c r="KS173" s="410">
        <f t="shared" si="129"/>
        <v>0</v>
      </c>
      <c r="KT173" s="409">
        <v>2</v>
      </c>
      <c r="KU173" s="409">
        <v>3</v>
      </c>
      <c r="KV173" s="409">
        <v>15</v>
      </c>
      <c r="KW173" s="409">
        <v>0</v>
      </c>
      <c r="KX173" s="409">
        <v>0</v>
      </c>
      <c r="KY173" s="409">
        <v>0</v>
      </c>
      <c r="KZ173" s="409">
        <v>0</v>
      </c>
      <c r="LA173" s="409">
        <v>0</v>
      </c>
      <c r="LB173" s="415">
        <v>0.3</v>
      </c>
      <c r="LC173" s="415"/>
      <c r="LD173" s="415"/>
      <c r="LE173" s="415">
        <v>0.5</v>
      </c>
      <c r="LF173" s="415">
        <v>0.2</v>
      </c>
      <c r="LG173" s="409">
        <v>0</v>
      </c>
      <c r="LH173" s="409">
        <f>15+18+9+15+6</f>
        <v>63</v>
      </c>
      <c r="LI173" s="409">
        <v>0</v>
      </c>
      <c r="LJ173" s="409">
        <v>0</v>
      </c>
      <c r="LK173" s="416">
        <f t="shared" si="138"/>
        <v>63</v>
      </c>
      <c r="LL173" s="416">
        <f t="shared" si="139"/>
        <v>63</v>
      </c>
      <c r="LM173" s="417">
        <f t="shared" si="140"/>
        <v>18.899999999999999</v>
      </c>
      <c r="LN173" s="417">
        <f>VLOOKUP($LM$8,'Jan-2026 rates'!$H:$I,2,0)</f>
        <v>0</v>
      </c>
      <c r="LO173" s="417">
        <f t="shared" si="141"/>
        <v>0</v>
      </c>
      <c r="LP173" s="417">
        <f>VLOOKUP($LO$8,'Jan-2026 rates'!$H:$I,2,0)</f>
        <v>0</v>
      </c>
      <c r="LQ173" s="417">
        <f t="shared" si="142"/>
        <v>0</v>
      </c>
      <c r="LR173" s="417">
        <f>VLOOKUP($LQ$8,'Jan-2026 rates'!$H:$I,2,0)</f>
        <v>0</v>
      </c>
      <c r="LS173" s="417">
        <f t="shared" si="143"/>
        <v>31.5</v>
      </c>
      <c r="LT173" s="417">
        <f>VLOOKUP($LS$8,'Jan-2026 rates'!$H:$I,2,0)</f>
        <v>0</v>
      </c>
      <c r="LU173" s="417">
        <f t="shared" si="144"/>
        <v>12.600000000000001</v>
      </c>
      <c r="LV173" s="417">
        <f>VLOOKUP($LU$8,'Jan-2026 rates'!$H:$I,2,0)</f>
        <v>0</v>
      </c>
      <c r="LW173" s="417">
        <f t="shared" si="145"/>
        <v>0</v>
      </c>
      <c r="LX173" s="417">
        <f t="shared" si="146"/>
        <v>0</v>
      </c>
      <c r="LY173" s="418">
        <f t="shared" si="147"/>
        <v>0</v>
      </c>
      <c r="LZ173" s="417"/>
      <c r="MA173" s="435">
        <f t="shared" si="148"/>
        <v>46</v>
      </c>
      <c r="MB173" s="282">
        <f t="shared" si="149"/>
        <v>108</v>
      </c>
      <c r="MC173" s="283" t="s">
        <v>2008</v>
      </c>
      <c r="MD173" s="284" t="str">
        <f t="shared" si="150"/>
        <v>ToyoLiToyoLiToyoLi</v>
      </c>
      <c r="ME173" s="293" t="str">
        <f t="shared" si="151"/>
        <v>+</v>
      </c>
      <c r="MF173" s="293" t="str">
        <f t="shared" si="152"/>
        <v>+</v>
      </c>
      <c r="MG173" s="293" t="str">
        <f t="shared" si="153"/>
        <v>+</v>
      </c>
      <c r="MH173" s="293" t="str">
        <f t="shared" si="154"/>
        <v>NIL</v>
      </c>
      <c r="MI173" s="293" t="str">
        <f t="shared" si="155"/>
        <v>NIL</v>
      </c>
      <c r="MJ173" s="293" t="str">
        <f t="shared" si="156"/>
        <v>NIL</v>
      </c>
      <c r="MK173" s="293" t="str">
        <f t="shared" si="157"/>
        <v>NIL</v>
      </c>
      <c r="ML173" s="293" t="str">
        <f t="shared" si="158"/>
        <v>NIL</v>
      </c>
      <c r="MM173" s="3" t="b">
        <f t="array" ref="MM173">OR(ME173:ML173="-")</f>
        <v>0</v>
      </c>
      <c r="MN173" s="285"/>
      <c r="MO173" s="401"/>
      <c r="MP173" s="286"/>
      <c r="MQ173" s="286"/>
      <c r="MR173" s="402"/>
      <c r="MS173" s="400"/>
      <c r="NH173" s="422"/>
      <c r="NJ173" s="421"/>
    </row>
    <row r="174" spans="1:374" s="1" customFormat="1" ht="16.5">
      <c r="A174" s="403">
        <v>46035</v>
      </c>
      <c r="B174" s="404" t="s">
        <v>1015</v>
      </c>
      <c r="C174" s="405" t="s">
        <v>5133</v>
      </c>
      <c r="D174" s="406" t="s">
        <v>2009</v>
      </c>
      <c r="E174" s="404">
        <v>372</v>
      </c>
      <c r="F174" s="407">
        <v>23500</v>
      </c>
      <c r="G174" s="407" t="s">
        <v>1016</v>
      </c>
      <c r="H174" s="408" t="s">
        <v>1017</v>
      </c>
      <c r="I174" s="409">
        <v>2.1</v>
      </c>
      <c r="J174" s="405" t="s">
        <v>543</v>
      </c>
      <c r="K174" s="404" t="s">
        <v>3590</v>
      </c>
      <c r="L174" s="419" t="str">
        <f t="shared" si="131"/>
        <v>ToyoLi - BLACK</v>
      </c>
      <c r="M174" s="404">
        <v>27</v>
      </c>
      <c r="N174" s="410">
        <f>IF(M174=0,0,IF($LB174=70%,VLOOKUP($L174,'Jan-2026 rates'!$L:$R,4,0),IF($LB174=65%,VLOOKUP($L174,'Jan-2026 rates'!$L:$R,4,0),IF($LB174=40%,VLOOKUP($L174,'Jan-2026 rates'!$L:$R,5,0),IF($LB174=30%,VLOOKUP($L174,'Jan-2026 rates'!$L:$R,6,0),IF($LB174=100%,VLOOKUP($L174,'Jan-2026 rates'!$L:$R,7,0),IF($LB174=60%,VLOOKUP($L174,'Jan-2026 rates'!$L:$S,8,0),IF($LB174=80%,VLOOKUP($L174,'Jan-2026 rates'!L:T,9,0),0))))))))</f>
        <v>0</v>
      </c>
      <c r="O174" s="406"/>
      <c r="P174" s="404"/>
      <c r="Q174" s="410">
        <f>IF(P174=0,0,IF($LB174=70%,VLOOKUP($L174,'Jan-2026 rates'!$L:$R,4,0),IF($LB174=65%,VLOOKUP($L174,'Jan-2026 rates'!$L:$R,4,0),IF($LB174=40%,VLOOKUP($L174,'Jan-2026 rates'!$L:$R,5,0),IF($LB174=30%,VLOOKUP($L174,'Jan-2026 rates'!$L:$R,6,0),IF($LB174=100%,VLOOKUP($L174,'Jan-2026 rates'!$L:$R,7,0),IF($LB174=60%,VLOOKUP($L174,'Jan-2026 rates'!$L:$S,8,0),IF($LB174=80%,VLOOKUP($L174,'Jan-2026 rates'!L:T,9,0),0))))))))</f>
        <v>0</v>
      </c>
      <c r="R174" s="406"/>
      <c r="S174" s="406"/>
      <c r="T174" s="406"/>
      <c r="U174" s="406"/>
      <c r="V174" s="406"/>
      <c r="W174" s="406"/>
      <c r="X174" s="406"/>
      <c r="Y174" s="406"/>
      <c r="Z174" s="404"/>
      <c r="AA174" s="398">
        <f>IF(Z174=0,0,IF(LEN(R174)=11,_xlfn.XLOOKUP(R174,'Dispensed Ink Rates'!C:C,'Dispensed Ink Rates'!CS:CS),VLOOKUP(R174,'Jan-2026 rates'!$E:$F,2,0)))</f>
        <v>0</v>
      </c>
      <c r="AB174" s="404"/>
      <c r="AC174" s="398">
        <f>IF(AB174=0,0,IF(LEN(S174)=11,_xlfn.XLOOKUP(S174,'Dispensed Ink Rates'!C:C,'Dispensed Ink Rates'!CS:CS),VLOOKUP(S174,'Jan-2026 rates'!$E:$F,2,0)))</f>
        <v>0</v>
      </c>
      <c r="AD174" s="404"/>
      <c r="AE174" s="398">
        <f>IF(AD174=0,0,IF(LEN(T174)=11,_xlfn.XLOOKUP(T174,'Dispensed Ink Rates'!C:C,'Dispensed Ink Rates'!CS:CS),VLOOKUP(T174,'Jan-2026 rates'!$E:$F,2,0)))</f>
        <v>0</v>
      </c>
      <c r="AF174" s="404"/>
      <c r="AG174" s="398">
        <f>IF(AF174=0,0,IF(LEN(U174)=11,_xlfn.XLOOKUP(U174,'Dispensed Ink Rates'!C:C,'Dispensed Ink Rates'!CS:CS),VLOOKUP(U174,'Jan-2026 rates'!$E:$F,2,0)))</f>
        <v>0</v>
      </c>
      <c r="AH174" s="404"/>
      <c r="AI174" s="398">
        <f>IF(AH174=0,0,IF(LEN(V174)=11,_xlfn.XLOOKUP(V174,'Dispensed Ink Rates'!C:C,'Dispensed Ink Rates'!CS:CS),VLOOKUP(V174,'Jan-2026 rates'!$E:$F,2,0)))</f>
        <v>0</v>
      </c>
      <c r="AJ174" s="404"/>
      <c r="AK174" s="398">
        <f>IF(AJ174=0,0,IF(LEN(W174)=11,_xlfn.XLOOKUP(W174,'Dispensed Ink Rates'!C:C,'Dispensed Ink Rates'!CS:CS),VLOOKUP(W174,'Jan-2026 rates'!$E:$F,2,0)))</f>
        <v>0</v>
      </c>
      <c r="AL174" s="404"/>
      <c r="AM174" s="398">
        <f>IF(AL174=0,0,IF(LEN(X174)=11,_xlfn.XLOOKUP(X174,'Dispensed Ink Rates'!C:C,'Dispensed Ink Rates'!CS:CS),VLOOKUP(X174,'Jan-2026 rates'!$E:$F,2,0)))</f>
        <v>0</v>
      </c>
      <c r="AN174" s="404"/>
      <c r="AO174" s="398">
        <f>IF(AN174=0,0,IF(LEN(Y174)=11,_xlfn.XLOOKUP(Y174,'Dispensed Ink Rates'!C:C,'Dispensed Ink Rates'!CS:CS),VLOOKUP(Y174,'Jan-2026 rates'!$E:$F,2,0)))</f>
        <v>0</v>
      </c>
      <c r="AP174" s="409" t="s">
        <v>1881</v>
      </c>
      <c r="AQ174" s="409">
        <v>25</v>
      </c>
      <c r="AR174" s="410">
        <f t="shared" si="106"/>
        <v>0</v>
      </c>
      <c r="AS174" s="411">
        <f t="shared" si="107"/>
        <v>6.1935483870967758</v>
      </c>
      <c r="AT174" s="410">
        <f t="shared" si="108"/>
        <v>0</v>
      </c>
      <c r="AU174" s="405" t="s">
        <v>547</v>
      </c>
      <c r="AV174" s="409"/>
      <c r="AW174" s="420" t="str">
        <f t="shared" si="130"/>
        <v>ToyoLi - GREEN</v>
      </c>
      <c r="AX174" s="409"/>
      <c r="AY174" s="411">
        <f>IF(AX174=0,0,IF($LB174=70%,VLOOKUP($AW174,'Jan-2026 rates'!$L:$R,4,0),IF($LB174=65%,VLOOKUP($AW174,'Jan-2026 rates'!$L:$R,4,0),IF($LB174=40%,VLOOKUP($AW174,'Jan-2026 rates'!$L:$R,5,0),IF($LB174=30%,VLOOKUP($AW174,'Jan-2026 rates'!$L:$R,6,0),IF($LB174=100%,VLOOKUP($AW174,'Jan-2026 rates'!$L:$R,7,0),IF($LB174=60%,VLOOKUP($AW174,'Jan-2026 rates'!$L:$S,8,0),IF($LB174=80%,VLOOKUP($AW174,'Jan-2026 rates'!L:T,9,0),0))))))))</f>
        <v>0</v>
      </c>
      <c r="AZ174" s="412"/>
      <c r="BA174" s="409"/>
      <c r="BB174" s="411">
        <f>IF(BA174=0,0,IF($LB174=70%,VLOOKUP($AW174,'Jan-2026 rates'!$L:$R,4,0),IF($LB174=65%,VLOOKUP($AW174,'Jan-2026 rates'!$L:$R,4,0),IF($LB174=40%,VLOOKUP($AW174,'Jan-2026 rates'!$L:$R,5,0),IF($LB174=30%,VLOOKUP($AW174,'Jan-2026 rates'!$L:$R,6,0),IF($LB174=100%,VLOOKUP($AW174,'Jan-2026 rates'!$L:$R,7,0),IF($LB174=60%,VLOOKUP($AW174,'Jan-2026 rates'!$L:$S,8,0),IF($LB174=80%,VLOOKUP($AW174,'Jan-2026 rates'!L:T,9,0),0))))))))</f>
        <v>0</v>
      </c>
      <c r="BC174" s="413" t="s">
        <v>1251</v>
      </c>
      <c r="BD174" s="412" t="s">
        <v>1247</v>
      </c>
      <c r="BE174" s="412" t="s">
        <v>1921</v>
      </c>
      <c r="BF174" s="413"/>
      <c r="BG174" s="412"/>
      <c r="BH174" s="412"/>
      <c r="BI174" s="412"/>
      <c r="BJ174" s="412"/>
      <c r="BK174" s="409">
        <v>20</v>
      </c>
      <c r="BL174" s="398">
        <f>IF(BK174=0,0,IF(LEN(BC174)=11,_xlfn.XLOOKUP(BC174,'Dispensed Ink Rates'!C:C,'Dispensed Ink Rates'!CS:CS),VLOOKUP(BC174,'Jan-2026 rates'!$E:$F,2,0)))</f>
        <v>0</v>
      </c>
      <c r="BM174" s="409">
        <v>10</v>
      </c>
      <c r="BN174" s="398">
        <f>IF(BM174=0,0,IF(LEN(BD174)=11,_xlfn.XLOOKUP(BD174,'Dispensed Ink Rates'!C:C,'Dispensed Ink Rates'!CS:CS),VLOOKUP(BD174,'Jan-2026 rates'!$E:$F,2,0)))</f>
        <v>0</v>
      </c>
      <c r="BO174" s="409">
        <v>20</v>
      </c>
      <c r="BP174" s="398">
        <f>IF(BO174=0,0,IF(LEN(BE174)=11,_xlfn.XLOOKUP(BE174,'Dispensed Ink Rates'!C:C,'Dispensed Ink Rates'!CS:CS),VLOOKUP(BE174,'Jan-2026 rates'!$E:$F,2,0)))</f>
        <v>0</v>
      </c>
      <c r="BQ174" s="409"/>
      <c r="BR174" s="398">
        <f>IF(BQ174=0,0,IF(LEN(BF174)=11,_xlfn.XLOOKUP(BF174,'Dispensed Ink Rates'!C:C,'Dispensed Ink Rates'!CS:CS),VLOOKUP(BF174,'Jan-2026 rates'!$E:$F,2,0)))</f>
        <v>0</v>
      </c>
      <c r="BS174" s="409"/>
      <c r="BT174" s="398">
        <f>IF(BS174=0,0,IF(LEN(BG174)=11,_xlfn.XLOOKUP(BG174,'Dispensed Ink Rates'!C:C,'Dispensed Ink Rates'!CS:CS),VLOOKUP(BG174,'Jan-2026 rates'!$E:$F,2,0)))</f>
        <v>0</v>
      </c>
      <c r="BU174" s="409"/>
      <c r="BV174" s="398">
        <f>IF(BU174=0,0,IF(LEN(BH174)=11,_xlfn.XLOOKUP(BH174,'Dispensed Ink Rates'!C:C,'Dispensed Ink Rates'!CS:CS),VLOOKUP(BH174,'Jan-2026 rates'!$E:$F,2,0)))</f>
        <v>0</v>
      </c>
      <c r="BW174" s="409"/>
      <c r="BX174" s="398">
        <f>IF(BW174=0,0,IF(LEN(BI174)=11,_xlfn.XLOOKUP(BI174,'Dispensed Ink Rates'!C:C,'Dispensed Ink Rates'!CS:CS),VLOOKUP(BI174,'Jan-2026 rates'!$E:$F,2,0)))</f>
        <v>0</v>
      </c>
      <c r="BY174" s="409"/>
      <c r="BZ174" s="398">
        <f>IF(BY174=0,0,IF(LEN(BJ174)=11,_xlfn.XLOOKUP(BJ174,'Dispensed Ink Rates'!C:C,'Dispensed Ink Rates'!CS:CS),VLOOKUP(BJ174,'Jan-2026 rates'!$E:$F,2,0)))</f>
        <v>0</v>
      </c>
      <c r="CA174" s="409" t="s">
        <v>1881</v>
      </c>
      <c r="CB174" s="409">
        <v>30</v>
      </c>
      <c r="CC174" s="411">
        <f t="shared" si="109"/>
        <v>0</v>
      </c>
      <c r="CD174" s="411">
        <f t="shared" si="110"/>
        <v>61.935483870967744</v>
      </c>
      <c r="CE174" s="410">
        <f t="shared" si="111"/>
        <v>0</v>
      </c>
      <c r="CF174" s="404" t="s">
        <v>856</v>
      </c>
      <c r="CG174" s="409" t="s">
        <v>3591</v>
      </c>
      <c r="CH174" s="420" t="str">
        <f t="shared" si="132"/>
        <v>ToyoLi - WHITE</v>
      </c>
      <c r="CI174" s="409">
        <v>25</v>
      </c>
      <c r="CJ174" s="411">
        <f>IF(CI174=0,0,IF($LB174=70%,VLOOKUP($CH174,'Jan-2026 rates'!$L:$R,4,0),IF($LB174=65%,VLOOKUP($CH174,'Jan-2026 rates'!$L:$R,4,0),IF($LB174=40%,VLOOKUP($CH174,'Jan-2026 rates'!$L:$R,5,0),IF($LB174=30%,VLOOKUP($CH174,'Jan-2026 rates'!$L:$R,6,0),IF($LB174=100%,VLOOKUP($CH174,'Jan-2026 rates'!$L:$R,7,0),IF($LB174=60%,VLOOKUP($CH174,'Jan-2026 rates'!$L:$S,8,0),IF($LB174=80%,VLOOKUP($CH174,'Jan-2026 rates'!L:T,9,0),0))))))))</f>
        <v>0</v>
      </c>
      <c r="CK174" s="412"/>
      <c r="CL174" s="409"/>
      <c r="CM174" s="411">
        <f>IF(CL174=0,0,IF($LB174=70%,VLOOKUP($CH174,'Jan-2026 rates'!$L:$R,4,0),IF($LB174=65%,VLOOKUP($CH174,'Jan-2026 rates'!$L:$R,4,0),IF($LB174=40%,VLOOKUP($CH174,'Jan-2026 rates'!$L:$R,5,0),IF($LB174=30%,VLOOKUP($CH174,'Jan-2026 rates'!$L:$R,6,0),IF($LB174=100%,VLOOKUP($CH174,'Jan-2026 rates'!$L:$R,7,0),IF($LB174=60%,VLOOKUP($CH174,'Jan-2026 rates'!$L:$S,8,0),IF($LB174=80%,VLOOKUP($CH174,'Jan-2026 rates'!L:T,9,0),0))))))))</f>
        <v>0</v>
      </c>
      <c r="CN174" s="426" t="s">
        <v>1249</v>
      </c>
      <c r="CO174" s="427"/>
      <c r="CP174" s="426"/>
      <c r="CQ174" s="426"/>
      <c r="CR174" s="428"/>
      <c r="CS174" s="428"/>
      <c r="CT174" s="428"/>
      <c r="CU174" s="428"/>
      <c r="CV174" s="409">
        <v>110</v>
      </c>
      <c r="CW174" s="398">
        <f>IF(CV174=0,0,IF(LEN(CN174)=11,_xlfn.XLOOKUP(CN174,'Dispensed Ink Rates'!C:C,'Dispensed Ink Rates'!CS:CS),VLOOKUP(CN174,'Jan-2026 rates'!$E:$F,2,0)))</f>
        <v>0</v>
      </c>
      <c r="CX174" s="409"/>
      <c r="CY174" s="398">
        <f>IF(CX174=0,0,IF(LEN(CO174)=11,_xlfn.XLOOKUP(CO174,'Dispensed Ink Rates'!C:C,'Dispensed Ink Rates'!CS:CS),VLOOKUP(CO174,'Jan-2026 rates'!$E:$F,2,0)))</f>
        <v>0</v>
      </c>
      <c r="CZ174" s="409"/>
      <c r="DA174" s="398">
        <f>IF(CZ174=0,0,IF(LEN(CP174)=11,_xlfn.XLOOKUP(CP174,'Dispensed Ink Rates'!C:C,'Dispensed Ink Rates'!CS:CS),VLOOKUP(CP174,'Jan-2026 rates'!$E:$F,2,0)))</f>
        <v>0</v>
      </c>
      <c r="DB174" s="409"/>
      <c r="DC174" s="398">
        <f>IF(DB174=0,0,IF(LEN(CQ174)=11,_xlfn.XLOOKUP(CQ174,'Dispensed Ink Rates'!C:C,'Dispensed Ink Rates'!CS:CS),VLOOKUP(CQ174,'Jan-2026 rates'!$E:$F,2,0)))</f>
        <v>0</v>
      </c>
      <c r="DD174" s="409"/>
      <c r="DE174" s="398">
        <f>IF(DD174=0,0,IF(LEN(CR174)=11,_xlfn.XLOOKUP(CR174,'Dispensed Ink Rates'!C:C,'Dispensed Ink Rates'!CS:CS),VLOOKUP(CR174,'Jan-2026 rates'!$E:$F,2,0)))</f>
        <v>0</v>
      </c>
      <c r="DF174" s="409"/>
      <c r="DG174" s="398">
        <f>IF(DF174=0,0,IF(LEN(CS174)=11,_xlfn.XLOOKUP(CS174,'Dispensed Ink Rates'!C:C,'Dispensed Ink Rates'!CS:CS),VLOOKUP(CS174,'Jan-2026 rates'!$E:$F,2,0)))</f>
        <v>0</v>
      </c>
      <c r="DH174" s="409"/>
      <c r="DI174" s="398">
        <f>IF(DH174=0,0,IF(LEN(CT174)=11,_xlfn.XLOOKUP(CT174,'Dispensed Ink Rates'!C:C,'Dispensed Ink Rates'!CS:CS),VLOOKUP(CT174,'Jan-2026 rates'!$E:$F,2,0)))</f>
        <v>0</v>
      </c>
      <c r="DJ174" s="409"/>
      <c r="DK174" s="398">
        <f>IF(DJ174=0,0,IF(LEN(CU174)=11,_xlfn.XLOOKUP(CU174,'Dispensed Ink Rates'!C:C,'Dispensed Ink Rates'!CS:CS),VLOOKUP(CU174,'Jan-2026 rates'!$E:$F,2,0)))</f>
        <v>0</v>
      </c>
      <c r="DL174" s="409" t="s">
        <v>1881</v>
      </c>
      <c r="DM174" s="409">
        <v>28</v>
      </c>
      <c r="DN174" s="411">
        <f t="shared" si="112"/>
        <v>0</v>
      </c>
      <c r="DO174" s="411">
        <f t="shared" si="113"/>
        <v>190.87096774193549</v>
      </c>
      <c r="DP174" s="410">
        <f t="shared" si="114"/>
        <v>0</v>
      </c>
      <c r="DQ174" s="405"/>
      <c r="DR174" s="409"/>
      <c r="DS174" s="420" t="str">
        <f t="shared" si="133"/>
        <v xml:space="preserve"> - </v>
      </c>
      <c r="DT174" s="409"/>
      <c r="DU174" s="411">
        <f>IF(DT174=0,0,IF($LB174=70%,VLOOKUP($DS174,'Jan-2026 rates'!$L:$R,4,0),IF($LB174=65%,VLOOKUP($DS174,'Jan-2026 rates'!$L:$R,4,0),IF($LB174=40%,VLOOKUP($DS174,'Jan-2026 rates'!$L:$R,5,0),IF($LB174=30%,VLOOKUP($DS174,'Jan-2026 rates'!$L:$R,6,0),IF($LB174=100%,VLOOKUP($DS174,'Jan-2026 rates'!$L:$R,7,0),IF($LB174=60%,VLOOKUP($DS174,'Jan-2026 rates'!$L:$S,8,0),IF($LB174=80%,VLOOKUP($DS174,'Jan-2026 rates'!L:T,9,0),0))))))))</f>
        <v>0</v>
      </c>
      <c r="DV174" s="412"/>
      <c r="DW174" s="409"/>
      <c r="DX174" s="411">
        <f>IF(DW174=0,0,IF($LB174=70%,VLOOKUP($DS174,'Jan-2026 rates'!$L:$R,4,0),IF($LB174=65%,VLOOKUP($DS174,'Jan-2026 rates'!$L:$R,4,0),IF($LB174=40%,VLOOKUP($DS174,'Jan-2026 rates'!$L:$R,5,0),IF($LB174=30%,VLOOKUP($DS174,'Jan-2026 rates'!$L:$R,6,0),IF($LB174=100%,VLOOKUP($DS174,'Jan-2026 rates'!$L:$R,7,0),IF($LB174=60%,VLOOKUP($DS174,'Jan-2026 rates'!$L:$S,8,0),IF($LB174=80%,VLOOKUP($DS174,'Jan-2026 rates'!L:T,9,0),0))))))))</f>
        <v>0</v>
      </c>
      <c r="DY174" s="413"/>
      <c r="DZ174" s="413"/>
      <c r="EA174" s="412"/>
      <c r="EB174" s="412"/>
      <c r="EC174" s="412"/>
      <c r="ED174" s="412"/>
      <c r="EE174" s="412"/>
      <c r="EF174" s="412"/>
      <c r="EG174" s="409"/>
      <c r="EH174" s="398">
        <f>IF(EG174=0,0,IF(LEN(DY174)=11,_xlfn.XLOOKUP(DY174,'Dispensed Ink Rates'!C:C,'Dispensed Ink Rates'!CS:CS),VLOOKUP(DY174,'Jan-2026 rates'!$E:$F,2,0)))</f>
        <v>0</v>
      </c>
      <c r="EI174" s="409"/>
      <c r="EJ174" s="398">
        <f>IF(EI174=0,0,IF(LEN(DZ174)=11,_xlfn.XLOOKUP(DZ174,'Dispensed Ink Rates'!C:C,'Dispensed Ink Rates'!CS:CS),VLOOKUP(DZ174,'Jan-2026 rates'!$E:$F,2,0)))</f>
        <v>0</v>
      </c>
      <c r="EK174" s="409"/>
      <c r="EL174" s="398">
        <f>IF(EK174=0,0,IF(LEN(EA174)=11,_xlfn.XLOOKUP(EA174,'Dispensed Ink Rates'!C:C,'Dispensed Ink Rates'!CS:CS),VLOOKUP(EA174,'Jan-2026 rates'!$E:$F,2,0)))</f>
        <v>0</v>
      </c>
      <c r="EM174" s="409"/>
      <c r="EN174" s="398">
        <f>IF(EM174=0,0,IF(LEN(EB174)=11,_xlfn.XLOOKUP(EB174,'Dispensed Ink Rates'!C:C,'Dispensed Ink Rates'!CS:CS),VLOOKUP(EB174,'Jan-2026 rates'!$E:$F,2,0)))</f>
        <v>0</v>
      </c>
      <c r="EO174" s="409"/>
      <c r="EP174" s="398">
        <f>IF(EO174=0,0,IF(LEN(EC174)=11,_xlfn.XLOOKUP(EC174,'Dispensed Ink Rates'!C:C,'Dispensed Ink Rates'!CS:CS),VLOOKUP(EC174,'Jan-2026 rates'!$E:$F,2,0)))</f>
        <v>0</v>
      </c>
      <c r="EQ174" s="409"/>
      <c r="ER174" s="398">
        <f>IF(EQ174=0,0,IF(LEN(ED174)=11,_xlfn.XLOOKUP(ED174,'Dispensed Ink Rates'!C:C,'Dispensed Ink Rates'!CS:CS),VLOOKUP(ED174,'Jan-2026 rates'!$E:$F,2,0)))</f>
        <v>0</v>
      </c>
      <c r="ES174" s="409"/>
      <c r="ET174" s="398">
        <f>IF(ES174=0,0,IF(LEN(EE174)=11,_xlfn.XLOOKUP(EE174,'Dispensed Ink Rates'!C:C,'Dispensed Ink Rates'!CS:CS),VLOOKUP(EE174,'Jan-2026 rates'!$E:$F,2,0)))</f>
        <v>0</v>
      </c>
      <c r="EU174" s="409"/>
      <c r="EV174" s="398">
        <f>IF(EU174=0,0,IF(LEN(EF174)=11,_xlfn.XLOOKUP(EF174,'Dispensed Ink Rates'!C:C,'Dispensed Ink Rates'!CS:CS),VLOOKUP(EF174,'Jan-2026 rates'!$E:$F,2,0)))</f>
        <v>0</v>
      </c>
      <c r="EW174" s="409"/>
      <c r="EX174" s="409"/>
      <c r="EY174" s="411">
        <f t="shared" si="115"/>
        <v>0</v>
      </c>
      <c r="EZ174" s="411">
        <f t="shared" si="116"/>
        <v>0</v>
      </c>
      <c r="FA174" s="410">
        <f t="shared" si="117"/>
        <v>0</v>
      </c>
      <c r="FB174" s="405"/>
      <c r="FC174" s="409"/>
      <c r="FD174" s="420" t="str">
        <f t="shared" si="134"/>
        <v xml:space="preserve"> - </v>
      </c>
      <c r="FE174" s="409"/>
      <c r="FF174" s="411">
        <f>IF(FE174=0,0,IF($LB174=70%,VLOOKUP($FD174,'Jan-2026 rates'!$L:$R,4,0),IF($LB174=65%,VLOOKUP($FD174,'Jan-2026 rates'!$L:$R,4,0),IF($LB174=40%,VLOOKUP($FD174,'Jan-2026 rates'!$L:$R,5,0),IF($LB174=30%,VLOOKUP($FD174,'Jan-2026 rates'!$L:$R,6,0),IF($LB174=100%,VLOOKUP($FD174,'Jan-2026 rates'!$L:$R,7,0),IF($LB174=60%,VLOOKUP($FD174,'Jan-2026 rates'!$L:$S,8,0),IF($LB174=80%,VLOOKUP($FD174,'Jan-2026 rates'!L:T,9,0),0))))))))</f>
        <v>0</v>
      </c>
      <c r="FG174" s="412"/>
      <c r="FH174" s="409"/>
      <c r="FI174" s="411">
        <f>IF(FH174=0,0,IF($LB174=70%,VLOOKUP($FD174,'Jan-2026 rates'!$L:$R,4,0),IF($LB174=65%,VLOOKUP($FD174,'Jan-2026 rates'!$L:$R,4,0),IF($LB174=40%,VLOOKUP($FD174,'Jan-2026 rates'!$L:$R,5,0),IF($LB174=30%,VLOOKUP($FD174,'Jan-2026 rates'!$L:$R,6,0),IF($LB174=100%,VLOOKUP($FD174,'Jan-2026 rates'!$L:$R,7,0),IF($LB174=60%,VLOOKUP($FD174,'Jan-2026 rates'!$L:$S,8,0),IF($LB174=80%,VLOOKUP($FD174,'Jan-2026 rates'!L:T,9,0),0))))))))</f>
        <v>0</v>
      </c>
      <c r="FJ174" s="413"/>
      <c r="FK174" s="413"/>
      <c r="FL174" s="413"/>
      <c r="FM174" s="412"/>
      <c r="FN174" s="412"/>
      <c r="FO174" s="412"/>
      <c r="FP174" s="412"/>
      <c r="FQ174" s="412"/>
      <c r="FR174" s="409"/>
      <c r="FS174" s="398">
        <f>IF(FR174=0,0,IF(LEN(FJ174)=11,_xlfn.XLOOKUP(FJ174,'Dispensed Ink Rates'!C:C,'Dispensed Ink Rates'!CS:CS),VLOOKUP(FJ174,'Jan-2026 rates'!$E:$F,2,0)))</f>
        <v>0</v>
      </c>
      <c r="FT174" s="409"/>
      <c r="FU174" s="398">
        <f>IF(FT174=0,0,IF(LEN(FK174)=11,_xlfn.XLOOKUP(FK174,'Dispensed Ink Rates'!C:C,'Dispensed Ink Rates'!CS:CS),VLOOKUP(FK174,'Jan-2026 rates'!$E:$F,2,0)))</f>
        <v>0</v>
      </c>
      <c r="FV174" s="409"/>
      <c r="FW174" s="398">
        <f>IF(FV174=0,0,IF(LEN(FL174)=11,_xlfn.XLOOKUP(FL174,'Dispensed Ink Rates'!C:C,'Dispensed Ink Rates'!CS:CS),VLOOKUP(FL174,'Jan-2026 rates'!$E:$F,2,0)))</f>
        <v>0</v>
      </c>
      <c r="FX174" s="409"/>
      <c r="FY174" s="398">
        <f>IF(FX174=0,0,IF(LEN(FM174)=11,_xlfn.XLOOKUP(FM174,'Dispensed Ink Rates'!C:C,'Dispensed Ink Rates'!CS:CS),VLOOKUP(FM174,'Jan-2026 rates'!$E:$F,2,0)))</f>
        <v>0</v>
      </c>
      <c r="FZ174" s="409"/>
      <c r="GA174" s="398">
        <f>IF(FZ174=0,0,IF(LEN(FN174)=11,_xlfn.XLOOKUP(FN174,'Dispensed Ink Rates'!C:C,'Dispensed Ink Rates'!CS:CS),VLOOKUP(FN174,'Jan-2026 rates'!$E:$F,2,0)))</f>
        <v>0</v>
      </c>
      <c r="GB174" s="409"/>
      <c r="GC174" s="398">
        <f>IF(GB174=0,0,IF(LEN(FO174)=11,_xlfn.XLOOKUP(FO174,'Dispensed Ink Rates'!C:C,'Dispensed Ink Rates'!CS:CS),VLOOKUP(FO174,'Jan-2026 rates'!$E:$F,2,0)))</f>
        <v>0</v>
      </c>
      <c r="GD174" s="409"/>
      <c r="GE174" s="398">
        <f>IF(GD174=0,0,IF(LEN(FP174)=11,_xlfn.XLOOKUP(FP174,'Dispensed Ink Rates'!C:C,'Dispensed Ink Rates'!CS:CS),VLOOKUP(FP174,'Jan-2026 rates'!$E:$F,2,0)))</f>
        <v>0</v>
      </c>
      <c r="GF174" s="409"/>
      <c r="GG174" s="398">
        <f>IF(GF174=0,0,IF(LEN(FQ174)=11,_xlfn.XLOOKUP(FQ174,'Dispensed Ink Rates'!C:C,'Dispensed Ink Rates'!CS:CS),VLOOKUP(FQ174,'Jan-2026 rates'!$E:$F,2,0)))</f>
        <v>0</v>
      </c>
      <c r="GH174" s="409"/>
      <c r="GI174" s="409"/>
      <c r="GJ174" s="411">
        <f t="shared" si="118"/>
        <v>0</v>
      </c>
      <c r="GK174" s="411">
        <f t="shared" si="119"/>
        <v>0</v>
      </c>
      <c r="GL174" s="410">
        <f t="shared" si="120"/>
        <v>0</v>
      </c>
      <c r="GM174" s="405"/>
      <c r="GN174" s="409"/>
      <c r="GO174" s="420" t="str">
        <f t="shared" si="135"/>
        <v xml:space="preserve"> - </v>
      </c>
      <c r="GP174" s="409"/>
      <c r="GQ174" s="411">
        <f>IF(GP174=0,0,IF($LB174=70%,VLOOKUP($GO174,'Jan-2026 rates'!$L:$R,4,0),IF($LB174=65%,VLOOKUP($GO174,'Jan-2026 rates'!$L:$R,4,0),IF($LB174=40%,VLOOKUP($GO174,'Jan-2026 rates'!$L:$R,5,0),IF($LB174=30%,VLOOKUP($GO174,'Jan-2026 rates'!$L:$R,6,0),IF($LB174=100%,VLOOKUP($GO174,'Jan-2026 rates'!$L:$R,7,0),IF($LB174=60%,VLOOKUP($GO174,'Jan-2026 rates'!$L:$S,8,0),IF($LB174=80%,VLOOKUP($GO174,'Jan-2026 rates'!L:T,9,0),0))))))))</f>
        <v>0</v>
      </c>
      <c r="GR174" s="412"/>
      <c r="GS174" s="409"/>
      <c r="GT174" s="411">
        <f>IF(GS174=0,0,IF($LB174=70%,VLOOKUP($GO174,'Jan-2026 rates'!$L:$R,4,0),IF($LB174=65%,VLOOKUP($GO174,'Jan-2026 rates'!$L:$R,4,0),IF($LB174=40%,VLOOKUP($GO174,'Jan-2026 rates'!$L:$R,5,0),IF($LB174=30%,VLOOKUP($GO174,'Jan-2026 rates'!$L:$R,6,0),IF($LB174=100%,VLOOKUP($GO174,'Jan-2026 rates'!$L:$R,7,0),IF($LB174=60%,VLOOKUP($GO174,'Jan-2026 rates'!$L:$S,8,0),IF($LB174=80%,VLOOKUP($GO174,'Jan-2026 rates'!L:T,9,0),0))))))))</f>
        <v>0</v>
      </c>
      <c r="GU174" s="413"/>
      <c r="GV174" s="413"/>
      <c r="GW174" s="412"/>
      <c r="GX174" s="412"/>
      <c r="GY174" s="412"/>
      <c r="GZ174" s="412"/>
      <c r="HA174" s="412"/>
      <c r="HB174" s="412"/>
      <c r="HC174" s="409"/>
      <c r="HD174" s="398">
        <f>IF(HC174=0,0,IF(LEN(GU174)=11,_xlfn.XLOOKUP(GU174,'Dispensed Ink Rates'!C:C,'Dispensed Ink Rates'!CS:CS),VLOOKUP(GU174,'Jan-2026 rates'!$E:$F,2,0)))</f>
        <v>0</v>
      </c>
      <c r="HE174" s="409"/>
      <c r="HF174" s="398">
        <f>IF(HE174=0,0,IF(LEN(GV174)=11,_xlfn.XLOOKUP(GV174,'Dispensed Ink Rates'!C:C,'Dispensed Ink Rates'!CS:CS),VLOOKUP(GV174,'Jan-2026 rates'!$E:$F,2,0)))</f>
        <v>0</v>
      </c>
      <c r="HG174" s="409"/>
      <c r="HH174" s="398">
        <f>IF(HG174=0,0,IF(LEN(GW174)=11,_xlfn.XLOOKUP(GW174,'Dispensed Ink Rates'!C:C,'Dispensed Ink Rates'!CS:CS),VLOOKUP(GW174,'Jan-2026 rates'!$E:$F,2,0)))</f>
        <v>0</v>
      </c>
      <c r="HI174" s="409"/>
      <c r="HJ174" s="398">
        <f>IF(HI174=0,0,IF(LEN(GX174)=11,_xlfn.XLOOKUP(GX174,'Dispensed Ink Rates'!C:C,'Dispensed Ink Rates'!CS:CS),VLOOKUP(GX174,'Jan-2026 rates'!$E:$F,2,0)))</f>
        <v>0</v>
      </c>
      <c r="HK174" s="409"/>
      <c r="HL174" s="398">
        <f>IF(HK174=0,0,IF(LEN(GY174)=11,_xlfn.XLOOKUP(GY174,'Dispensed Ink Rates'!C:C,'Dispensed Ink Rates'!CS:CS),VLOOKUP(GY174,'Jan-2026 rates'!$E:$F,2,0)))</f>
        <v>0</v>
      </c>
      <c r="HM174" s="409"/>
      <c r="HN174" s="398">
        <f>IF(HM174=0,0,IF(LEN(GZ174)=11,_xlfn.XLOOKUP(GZ174,'Dispensed Ink Rates'!C:C,'Dispensed Ink Rates'!CS:CS),VLOOKUP(GZ174,'Jan-2026 rates'!$E:$F,2,0)))</f>
        <v>0</v>
      </c>
      <c r="HO174" s="409"/>
      <c r="HP174" s="398">
        <f>IF(HO174=0,0,IF(LEN(HA174)=11,_xlfn.XLOOKUP(HA174,'Dispensed Ink Rates'!C:C,'Dispensed Ink Rates'!CS:CS),VLOOKUP(HA174,'Jan-2026 rates'!$E:$F,2,0)))</f>
        <v>0</v>
      </c>
      <c r="HQ174" s="409"/>
      <c r="HR174" s="398">
        <f>IF(HQ174=0,0,IF(LEN(HB174)=11,_xlfn.XLOOKUP(HB174,'Dispensed Ink Rates'!C:C,'Dispensed Ink Rates'!CS:CS),VLOOKUP(HB174,'Jan-2026 rates'!$E:$F,2,0)))</f>
        <v>0</v>
      </c>
      <c r="HS174" s="409"/>
      <c r="HT174" s="409"/>
      <c r="HU174" s="411">
        <f t="shared" si="121"/>
        <v>0</v>
      </c>
      <c r="HV174" s="411">
        <f t="shared" si="122"/>
        <v>0</v>
      </c>
      <c r="HW174" s="414">
        <f t="shared" si="123"/>
        <v>0</v>
      </c>
      <c r="HX174" s="405"/>
      <c r="HY174" s="409"/>
      <c r="HZ174" s="420" t="str">
        <f t="shared" si="136"/>
        <v xml:space="preserve"> - </v>
      </c>
      <c r="IA174" s="409"/>
      <c r="IB174" s="411">
        <f>IF(IA174=0,0,IF($LB174=70%,VLOOKUP($HZ174,'Jan-2026 rates'!$L:$R,4,0),IF($LB174=65%,VLOOKUP($HZ174,'Jan-2026 rates'!$L:$R,4,0),IF($LB174=40%,VLOOKUP($HZ174,'Jan-2026 rates'!$L:$R,5,0),IF($LB174=30%,VLOOKUP($HZ174,'Jan-2026 rates'!$L:$R,6,0),IF($LB174=100%,VLOOKUP($HZ174,'Jan-2026 rates'!$L:$R,7,0),IF($LB174=60%,VLOOKUP($HZ174,'Jan-2026 rates'!$L:$S,8,0),IF($LB174=80%,VLOOKUP($HZ174,'Jan-2026 rates'!L:T,9,0),0))))))))</f>
        <v>0</v>
      </c>
      <c r="IC174" s="412"/>
      <c r="ID174" s="409"/>
      <c r="IE174" s="411">
        <f>IF(ID174=0,0,IF($LB174=70%,VLOOKUP($HZ174,'Jan-2026 rates'!$L:$R,4,0),IF($LB174=65%,VLOOKUP($HZ174,'Jan-2026 rates'!$L:$R,4,0),IF($LB174=40%,VLOOKUP($HZ174,'Jan-2026 rates'!$L:$R,5,0),IF($LB174=30%,VLOOKUP($HZ174,'Jan-2026 rates'!$L:$R,6,0),IF($LB174=100%,VLOOKUP($HZ174,'Jan-2026 rates'!$L:$R,7,0),IF($LB174=60%,VLOOKUP($HZ174,'Jan-2026 rates'!$L:$S,8,0),IF($LB174=80%,VLOOKUP($HZ174,'Jan-2026 rates'!L:T,9,0),0))))))))</f>
        <v>0</v>
      </c>
      <c r="IF174" s="412"/>
      <c r="IG174" s="413"/>
      <c r="IH174" s="412"/>
      <c r="II174" s="412"/>
      <c r="IJ174" s="412"/>
      <c r="IK174" s="412"/>
      <c r="IL174" s="412"/>
      <c r="IM174" s="412"/>
      <c r="IN174" s="409"/>
      <c r="IO174" s="398">
        <f>IF(IN174=0,0,IF(LEN(IF174)=11,_xlfn.XLOOKUP(IF174,'Dispensed Ink Rates'!C:C,'Dispensed Ink Rates'!CS:CS),VLOOKUP(IF174,'Jan-2026 rates'!$E:$F,2,0)))</f>
        <v>0</v>
      </c>
      <c r="IP174" s="409"/>
      <c r="IQ174" s="398">
        <f>IF(IP174=0,0,IF(LEN(IG174)=11,_xlfn.XLOOKUP(IG174,'Dispensed Ink Rates'!C:C,'Dispensed Ink Rates'!CS:CS),VLOOKUP(IG174,'Jan-2026 rates'!$E:$F,2,0)))</f>
        <v>0</v>
      </c>
      <c r="IR174" s="409"/>
      <c r="IS174" s="398">
        <f>IF(IR174=0,0,IF(LEN(IH174)=11,_xlfn.XLOOKUP(IH174,'Dispensed Ink Rates'!C:C,'Dispensed Ink Rates'!CS:CS),VLOOKUP(IH174,'Jan-2026 rates'!$E:$F,2,0)))</f>
        <v>0</v>
      </c>
      <c r="IT174" s="409"/>
      <c r="IU174" s="398">
        <f>IF(IT174=0,0,IF(LEN(II174)=11,_xlfn.XLOOKUP(II174,'Dispensed Ink Rates'!C:C,'Dispensed Ink Rates'!CS:CS),VLOOKUP(II174,'Jan-2026 rates'!$E:$F,2,0)))</f>
        <v>0</v>
      </c>
      <c r="IV174" s="409"/>
      <c r="IW174" s="398">
        <f>IF(IV174=0,0,IF(LEN(IJ174)=11,_xlfn.XLOOKUP(IJ174,'Dispensed Ink Rates'!C:C,'Dispensed Ink Rates'!CS:CS),VLOOKUP(IJ174,'Jan-2026 rates'!$E:$F,2,0)))</f>
        <v>0</v>
      </c>
      <c r="IX174" s="409"/>
      <c r="IY174" s="398">
        <f>IF(IX174=0,0,IF(LEN(IK174)=11,_xlfn.XLOOKUP(IK174,'Dispensed Ink Rates'!C:C,'Dispensed Ink Rates'!CS:CS),VLOOKUP(IK174,'Jan-2026 rates'!$E:$F,2,0)))</f>
        <v>0</v>
      </c>
      <c r="IZ174" s="409"/>
      <c r="JA174" s="398">
        <f>IF(IZ174=0,0,IF(LEN(IL174)=11,_xlfn.XLOOKUP(IL174,'Dispensed Ink Rates'!C:C,'Dispensed Ink Rates'!CS:CS),VLOOKUP(IL174,'Jan-2026 rates'!$E:$F,2,0)))</f>
        <v>0</v>
      </c>
      <c r="JB174" s="409"/>
      <c r="JC174" s="398">
        <f>IF(JB174=0,0,IF(LEN(IM174)=11,_xlfn.XLOOKUP(IM174,'Dispensed Ink Rates'!C:C,'Dispensed Ink Rates'!CS:CS),VLOOKUP(IM174,'Jan-2026 rates'!$E:$F,2,0)))</f>
        <v>0</v>
      </c>
      <c r="JD174" s="409"/>
      <c r="JE174" s="409"/>
      <c r="JF174" s="411">
        <f t="shared" si="124"/>
        <v>0</v>
      </c>
      <c r="JG174" s="411">
        <f t="shared" si="125"/>
        <v>0</v>
      </c>
      <c r="JH174" s="410">
        <f t="shared" si="126"/>
        <v>0</v>
      </c>
      <c r="JI174" s="405"/>
      <c r="JJ174" s="409"/>
      <c r="JK174" s="420" t="str">
        <f t="shared" si="137"/>
        <v xml:space="preserve"> - </v>
      </c>
      <c r="JL174" s="409"/>
      <c r="JM174" s="411">
        <f>IF(JL174=0,0,IF($LB174=70%,VLOOKUP($JK174,'Jan-2026 rates'!$L:$R,4,0),IF($LB174=65%,VLOOKUP($JK174,'Jan-2026 rates'!$L:$R,4,0),IF($LB174=40%,VLOOKUP($JK174,'Jan-2026 rates'!$L:$R,5,0),IF($LB174=30%,VLOOKUP($JK174,'Jan-2026 rates'!$L:$R,6,0),IF($LB174=100%,VLOOKUP($JK174,'Jan-2026 rates'!$L:$R,7,0),IF($LB174=60%,VLOOKUP($JK174,'Jan-2026 rates'!$L:$S,8,0),IF($LB174=80%,VLOOKUP($JK174,'Jan-2026 rates'!L:T,9,0),0))))))))</f>
        <v>0</v>
      </c>
      <c r="JN174" s="412"/>
      <c r="JO174" s="409"/>
      <c r="JP174" s="411">
        <f>IF(JO174=0,0,IF($LB174=70%,VLOOKUP($JK174,'Jan-2026 rates'!$L:$R,4,0),IF($LB174=65%,VLOOKUP($JK174,'Jan-2026 rates'!$L:$R,4,0),IF($LB174=40%,VLOOKUP($JK174,'Jan-2026 rates'!$L:$R,5,0),IF($LB174=30%,VLOOKUP($JK174,'Jan-2026 rates'!$L:$R,6,0),IF($LB174=100%,VLOOKUP($JK174,'Jan-2026 rates'!$L:$R,7,0),IF($LB174=60%,VLOOKUP($JK174,'Jan-2026 rates'!$L:$S,8,0),IF($LB174=80%,VLOOKUP($JK174,'Jan-2026 rates'!L:T,9,0),0))))))))</f>
        <v>0</v>
      </c>
      <c r="JQ174" s="413"/>
      <c r="JR174" s="412"/>
      <c r="JS174" s="413"/>
      <c r="JT174" s="413"/>
      <c r="JU174" s="412"/>
      <c r="JV174" s="412"/>
      <c r="JW174" s="412"/>
      <c r="JX174" s="412"/>
      <c r="JY174" s="409"/>
      <c r="JZ174" s="398">
        <f>IF(JY174=0,0,IF(LEN(JQ174)=11,_xlfn.XLOOKUP(JQ174,'Dispensed Ink Rates'!C:C,'Dispensed Ink Rates'!CS:CS),VLOOKUP(JQ174,'Jan-2026 rates'!$E:$F,2,0)))</f>
        <v>0</v>
      </c>
      <c r="KA174" s="409"/>
      <c r="KB174" s="398">
        <f>IF(KA174=0,0,IF(LEN(JR174)=11,_xlfn.XLOOKUP(JR174,'Dispensed Ink Rates'!C:C,'Dispensed Ink Rates'!CS:CS),VLOOKUP(JR174,'Jan-2026 rates'!$E:$F,2,0)))</f>
        <v>0</v>
      </c>
      <c r="KC174" s="409"/>
      <c r="KD174" s="398">
        <f>IF(KC174=0,0,IF(LEN(JS174)=11,_xlfn.XLOOKUP(JS174,'Dispensed Ink Rates'!C:C,'Dispensed Ink Rates'!CS:CS),VLOOKUP(JS174,'Jan-2026 rates'!$E:$F,2,0)))</f>
        <v>0</v>
      </c>
      <c r="KE174" s="409"/>
      <c r="KF174" s="398">
        <f>IF(KE174=0,0,IF(LEN(JT174)=11,_xlfn.XLOOKUP(JT174,'Dispensed Ink Rates'!C:C,'Dispensed Ink Rates'!CS:CS),VLOOKUP(JT174,'Jan-2026 rates'!$E:$F,2,0)))</f>
        <v>0</v>
      </c>
      <c r="KG174" s="409"/>
      <c r="KH174" s="398">
        <f>IF(KG174=0,0,IF(LEN(JU174)=11,_xlfn.XLOOKUP(JU174,'Dispensed Ink Rates'!C:C,'Dispensed Ink Rates'!CS:CS),VLOOKUP(JU174,'Jan-2026 rates'!$E:$F,2,0)))</f>
        <v>0</v>
      </c>
      <c r="KI174" s="409"/>
      <c r="KJ174" s="398">
        <f>IF(KI174=0,0,IF(LEN(JV174)=11,_xlfn.XLOOKUP(JV174,'Dispensed Ink Rates'!C:C,'Dispensed Ink Rates'!CS:CS),VLOOKUP(JV174,'Jan-2026 rates'!$E:$F,2,0)))</f>
        <v>0</v>
      </c>
      <c r="KK174" s="409"/>
      <c r="KL174" s="398">
        <f>IF(KK174=0,0,IF(LEN(JW174)=11,_xlfn.XLOOKUP(JW174,'Dispensed Ink Rates'!C:C,'Dispensed Ink Rates'!CS:CS),VLOOKUP(JW174,'Jan-2026 rates'!$E:$F,2,0)))</f>
        <v>0</v>
      </c>
      <c r="KM174" s="428"/>
      <c r="KN174" s="398">
        <f>IF(KM174=0,0,IF(LEN(JX174)=11,_xlfn.XLOOKUP(JX174,'Dispensed Ink Rates'!C:C,'Dispensed Ink Rates'!CS:CS),VLOOKUP(JX174,'Jan-2026 rates'!$E:$F,2,0)))</f>
        <v>0</v>
      </c>
      <c r="KO174" s="409"/>
      <c r="KP174" s="409"/>
      <c r="KQ174" s="411">
        <f t="shared" si="127"/>
        <v>0</v>
      </c>
      <c r="KR174" s="411">
        <f t="shared" si="128"/>
        <v>0</v>
      </c>
      <c r="KS174" s="410">
        <f t="shared" si="129"/>
        <v>0</v>
      </c>
      <c r="KT174" s="409">
        <v>2</v>
      </c>
      <c r="KU174" s="409">
        <v>20</v>
      </c>
      <c r="KV174" s="409">
        <v>40</v>
      </c>
      <c r="KW174" s="409">
        <v>0</v>
      </c>
      <c r="KX174" s="409">
        <v>0</v>
      </c>
      <c r="KY174" s="409">
        <v>0</v>
      </c>
      <c r="KZ174" s="409">
        <v>0</v>
      </c>
      <c r="LA174" s="409">
        <v>0</v>
      </c>
      <c r="LB174" s="415">
        <v>0.3</v>
      </c>
      <c r="LC174" s="415"/>
      <c r="LD174" s="415"/>
      <c r="LE174" s="415">
        <v>0.5</v>
      </c>
      <c r="LF174" s="415">
        <v>0.2</v>
      </c>
      <c r="LG174" s="409">
        <v>0</v>
      </c>
      <c r="LH174" s="409">
        <f>40+22+18+30+5+3+12</f>
        <v>130</v>
      </c>
      <c r="LI174" s="409">
        <v>0</v>
      </c>
      <c r="LJ174" s="409">
        <v>0</v>
      </c>
      <c r="LK174" s="416">
        <f t="shared" si="138"/>
        <v>130</v>
      </c>
      <c r="LL174" s="416">
        <f t="shared" si="139"/>
        <v>130</v>
      </c>
      <c r="LM174" s="417">
        <f t="shared" si="140"/>
        <v>39</v>
      </c>
      <c r="LN174" s="417">
        <f>VLOOKUP($LM$8,'Jan-2026 rates'!$H:$I,2,0)</f>
        <v>0</v>
      </c>
      <c r="LO174" s="417">
        <f t="shared" si="141"/>
        <v>0</v>
      </c>
      <c r="LP174" s="417">
        <f>VLOOKUP($LO$8,'Jan-2026 rates'!$H:$I,2,0)</f>
        <v>0</v>
      </c>
      <c r="LQ174" s="417">
        <f t="shared" si="142"/>
        <v>0</v>
      </c>
      <c r="LR174" s="417">
        <f>VLOOKUP($LQ$8,'Jan-2026 rates'!$H:$I,2,0)</f>
        <v>0</v>
      </c>
      <c r="LS174" s="417">
        <f t="shared" si="143"/>
        <v>65</v>
      </c>
      <c r="LT174" s="417">
        <f>VLOOKUP($LS$8,'Jan-2026 rates'!$H:$I,2,0)</f>
        <v>0</v>
      </c>
      <c r="LU174" s="417">
        <f t="shared" si="144"/>
        <v>26</v>
      </c>
      <c r="LV174" s="417">
        <f>VLOOKUP($LU$8,'Jan-2026 rates'!$H:$I,2,0)</f>
        <v>0</v>
      </c>
      <c r="LW174" s="417">
        <f t="shared" si="145"/>
        <v>0</v>
      </c>
      <c r="LX174" s="417">
        <f t="shared" si="146"/>
        <v>0</v>
      </c>
      <c r="LY174" s="418">
        <f t="shared" si="147"/>
        <v>0</v>
      </c>
      <c r="LZ174" s="417"/>
      <c r="MA174" s="435">
        <f t="shared" si="148"/>
        <v>160</v>
      </c>
      <c r="MB174" s="282">
        <f t="shared" si="149"/>
        <v>259</v>
      </c>
      <c r="MC174" s="283" t="s">
        <v>2009</v>
      </c>
      <c r="MD174" s="284" t="str">
        <f t="shared" si="150"/>
        <v>ToyoLiToyoLiToyoLi</v>
      </c>
      <c r="ME174" s="293" t="str">
        <f t="shared" si="151"/>
        <v>+</v>
      </c>
      <c r="MF174" s="293" t="str">
        <f t="shared" si="152"/>
        <v>+</v>
      </c>
      <c r="MG174" s="293" t="str">
        <f t="shared" si="153"/>
        <v>+</v>
      </c>
      <c r="MH174" s="293" t="str">
        <f t="shared" si="154"/>
        <v>NIL</v>
      </c>
      <c r="MI174" s="293" t="str">
        <f t="shared" si="155"/>
        <v>NIL</v>
      </c>
      <c r="MJ174" s="293" t="str">
        <f t="shared" si="156"/>
        <v>NIL</v>
      </c>
      <c r="MK174" s="293" t="str">
        <f t="shared" si="157"/>
        <v>NIL</v>
      </c>
      <c r="ML174" s="293" t="str">
        <f t="shared" si="158"/>
        <v>NIL</v>
      </c>
      <c r="MM174" s="3" t="b">
        <f t="array" ref="MM174">OR(ME174:ML174="-")</f>
        <v>0</v>
      </c>
      <c r="MN174" s="285"/>
      <c r="MO174" s="401"/>
      <c r="MP174" s="286"/>
      <c r="MQ174" s="286"/>
      <c r="MR174" s="402"/>
      <c r="MS174" s="400"/>
      <c r="NH174" s="422"/>
      <c r="NJ174" s="421"/>
    </row>
    <row r="175" spans="1:374" s="1" customFormat="1" ht="16.5">
      <c r="A175" s="403">
        <v>46035</v>
      </c>
      <c r="B175" s="404" t="s">
        <v>1015</v>
      </c>
      <c r="C175" s="405" t="s">
        <v>3592</v>
      </c>
      <c r="D175" s="406" t="s">
        <v>2010</v>
      </c>
      <c r="E175" s="404">
        <v>501</v>
      </c>
      <c r="F175" s="407">
        <v>31700</v>
      </c>
      <c r="G175" s="407" t="s">
        <v>1016</v>
      </c>
      <c r="H175" s="408" t="s">
        <v>1017</v>
      </c>
      <c r="I175" s="409">
        <v>2.2000000000000002</v>
      </c>
      <c r="J175" s="405" t="s">
        <v>543</v>
      </c>
      <c r="K175" s="404" t="s">
        <v>3593</v>
      </c>
      <c r="L175" s="419" t="str">
        <f t="shared" si="131"/>
        <v>ToyoLi - BLACK</v>
      </c>
      <c r="M175" s="404">
        <v>25</v>
      </c>
      <c r="N175" s="410">
        <f>IF(M175=0,0,IF($LB175=70%,VLOOKUP($L175,'Jan-2026 rates'!$L:$R,4,0),IF($LB175=65%,VLOOKUP($L175,'Jan-2026 rates'!$L:$R,4,0),IF($LB175=40%,VLOOKUP($L175,'Jan-2026 rates'!$L:$R,5,0),IF($LB175=30%,VLOOKUP($L175,'Jan-2026 rates'!$L:$R,6,0),IF($LB175=100%,VLOOKUP($L175,'Jan-2026 rates'!$L:$R,7,0),IF($LB175=60%,VLOOKUP($L175,'Jan-2026 rates'!$L:$S,8,0),IF($LB175=80%,VLOOKUP($L175,'Jan-2026 rates'!L:T,9,0),0))))))))</f>
        <v>0</v>
      </c>
      <c r="O175" s="406"/>
      <c r="P175" s="404"/>
      <c r="Q175" s="410">
        <f>IF(P175=0,0,IF($LB175=70%,VLOOKUP($L175,'Jan-2026 rates'!$L:$R,4,0),IF($LB175=65%,VLOOKUP($L175,'Jan-2026 rates'!$L:$R,4,0),IF($LB175=40%,VLOOKUP($L175,'Jan-2026 rates'!$L:$R,5,0),IF($LB175=30%,VLOOKUP($L175,'Jan-2026 rates'!$L:$R,6,0),IF($LB175=100%,VLOOKUP($L175,'Jan-2026 rates'!$L:$R,7,0),IF($LB175=60%,VLOOKUP($L175,'Jan-2026 rates'!$L:$S,8,0),IF($LB175=80%,VLOOKUP($L175,'Jan-2026 rates'!L:T,9,0),0))))))))</f>
        <v>0</v>
      </c>
      <c r="R175" s="406" t="s">
        <v>1252</v>
      </c>
      <c r="S175" s="406"/>
      <c r="T175" s="406"/>
      <c r="U175" s="406"/>
      <c r="V175" s="406"/>
      <c r="W175" s="406"/>
      <c r="X175" s="406"/>
      <c r="Y175" s="406"/>
      <c r="Z175" s="404">
        <v>2</v>
      </c>
      <c r="AA175" s="398">
        <f>IF(Z175=0,0,IF(LEN(R175)=11,_xlfn.XLOOKUP(R175,'Dispensed Ink Rates'!C:C,'Dispensed Ink Rates'!CS:CS),VLOOKUP(R175,'Jan-2026 rates'!$E:$F,2,0)))</f>
        <v>0</v>
      </c>
      <c r="AB175" s="404"/>
      <c r="AC175" s="398">
        <f>IF(AB175=0,0,IF(LEN(S175)=11,_xlfn.XLOOKUP(S175,'Dispensed Ink Rates'!C:C,'Dispensed Ink Rates'!CS:CS),VLOOKUP(S175,'Jan-2026 rates'!$E:$F,2,0)))</f>
        <v>0</v>
      </c>
      <c r="AD175" s="404"/>
      <c r="AE175" s="398">
        <f>IF(AD175=0,0,IF(LEN(T175)=11,_xlfn.XLOOKUP(T175,'Dispensed Ink Rates'!C:C,'Dispensed Ink Rates'!CS:CS),VLOOKUP(T175,'Jan-2026 rates'!$E:$F,2,0)))</f>
        <v>0</v>
      </c>
      <c r="AF175" s="404"/>
      <c r="AG175" s="398">
        <f>IF(AF175=0,0,IF(LEN(U175)=11,_xlfn.XLOOKUP(U175,'Dispensed Ink Rates'!C:C,'Dispensed Ink Rates'!CS:CS),VLOOKUP(U175,'Jan-2026 rates'!$E:$F,2,0)))</f>
        <v>0</v>
      </c>
      <c r="AH175" s="404"/>
      <c r="AI175" s="398">
        <f>IF(AH175=0,0,IF(LEN(V175)=11,_xlfn.XLOOKUP(V175,'Dispensed Ink Rates'!C:C,'Dispensed Ink Rates'!CS:CS),VLOOKUP(V175,'Jan-2026 rates'!$E:$F,2,0)))</f>
        <v>0</v>
      </c>
      <c r="AJ175" s="404"/>
      <c r="AK175" s="398">
        <f>IF(AJ175=0,0,IF(LEN(W175)=11,_xlfn.XLOOKUP(W175,'Dispensed Ink Rates'!C:C,'Dispensed Ink Rates'!CS:CS),VLOOKUP(W175,'Jan-2026 rates'!$E:$F,2,0)))</f>
        <v>0</v>
      </c>
      <c r="AL175" s="404"/>
      <c r="AM175" s="398">
        <f>IF(AL175=0,0,IF(LEN(X175)=11,_xlfn.XLOOKUP(X175,'Dispensed Ink Rates'!C:C,'Dispensed Ink Rates'!CS:CS),VLOOKUP(X175,'Jan-2026 rates'!$E:$F,2,0)))</f>
        <v>0</v>
      </c>
      <c r="AN175" s="404"/>
      <c r="AO175" s="398">
        <f>IF(AN175=0,0,IF(LEN(Y175)=11,_xlfn.XLOOKUP(Y175,'Dispensed Ink Rates'!C:C,'Dispensed Ink Rates'!CS:CS),VLOOKUP(Y175,'Jan-2026 rates'!$E:$F,2,0)))</f>
        <v>0</v>
      </c>
      <c r="AP175" s="409" t="s">
        <v>1881</v>
      </c>
      <c r="AQ175" s="409">
        <v>26</v>
      </c>
      <c r="AR175" s="410">
        <f t="shared" si="106"/>
        <v>0</v>
      </c>
      <c r="AS175" s="411">
        <f t="shared" si="107"/>
        <v>4.3653846153846168</v>
      </c>
      <c r="AT175" s="410">
        <f t="shared" si="108"/>
        <v>0</v>
      </c>
      <c r="AU175" s="405" t="s">
        <v>547</v>
      </c>
      <c r="AV175" s="409" t="s">
        <v>3594</v>
      </c>
      <c r="AW175" s="420" t="str">
        <f t="shared" si="130"/>
        <v>ToyoLi - GREEN</v>
      </c>
      <c r="AX175" s="409">
        <v>30</v>
      </c>
      <c r="AY175" s="411">
        <f>IF(AX175=0,0,IF($LB175=70%,VLOOKUP($AW175,'Jan-2026 rates'!$L:$R,4,0),IF($LB175=65%,VLOOKUP($AW175,'Jan-2026 rates'!$L:$R,4,0),IF($LB175=40%,VLOOKUP($AW175,'Jan-2026 rates'!$L:$R,5,0),IF($LB175=30%,VLOOKUP($AW175,'Jan-2026 rates'!$L:$R,6,0),IF($LB175=100%,VLOOKUP($AW175,'Jan-2026 rates'!$L:$R,7,0),IF($LB175=60%,VLOOKUP($AW175,'Jan-2026 rates'!$L:$S,8,0),IF($LB175=80%,VLOOKUP($AW175,'Jan-2026 rates'!L:T,9,0),0))))))))</f>
        <v>0</v>
      </c>
      <c r="AZ175" s="412"/>
      <c r="BA175" s="409"/>
      <c r="BB175" s="411">
        <f>IF(BA175=0,0,IF($LB175=70%,VLOOKUP($AW175,'Jan-2026 rates'!$L:$R,4,0),IF($LB175=65%,VLOOKUP($AW175,'Jan-2026 rates'!$L:$R,4,0),IF($LB175=40%,VLOOKUP($AW175,'Jan-2026 rates'!$L:$R,5,0),IF($LB175=30%,VLOOKUP($AW175,'Jan-2026 rates'!$L:$R,6,0),IF($LB175=100%,VLOOKUP($AW175,'Jan-2026 rates'!$L:$R,7,0),IF($LB175=60%,VLOOKUP($AW175,'Jan-2026 rates'!$L:$S,8,0),IF($LB175=80%,VLOOKUP($AW175,'Jan-2026 rates'!L:T,9,0),0))))))))</f>
        <v>0</v>
      </c>
      <c r="BC175" s="413" t="s">
        <v>1251</v>
      </c>
      <c r="BD175" s="412" t="s">
        <v>1921</v>
      </c>
      <c r="BE175" s="412" t="s">
        <v>1247</v>
      </c>
      <c r="BF175" s="413"/>
      <c r="BG175" s="412"/>
      <c r="BH175" s="412"/>
      <c r="BI175" s="412"/>
      <c r="BJ175" s="412"/>
      <c r="BK175" s="409">
        <f>15+5</f>
        <v>20</v>
      </c>
      <c r="BL175" s="398">
        <f>IF(BK175=0,0,IF(LEN(BC175)=11,_xlfn.XLOOKUP(BC175,'Dispensed Ink Rates'!C:C,'Dispensed Ink Rates'!CS:CS),VLOOKUP(BC175,'Jan-2026 rates'!$E:$F,2,0)))</f>
        <v>0</v>
      </c>
      <c r="BM175" s="409">
        <f>10+5</f>
        <v>15</v>
      </c>
      <c r="BN175" s="398">
        <f>IF(BM175=0,0,IF(LEN(BD175)=11,_xlfn.XLOOKUP(BD175,'Dispensed Ink Rates'!C:C,'Dispensed Ink Rates'!CS:CS),VLOOKUP(BD175,'Jan-2026 rates'!$E:$F,2,0)))</f>
        <v>0</v>
      </c>
      <c r="BO175" s="409">
        <f>5+4</f>
        <v>9</v>
      </c>
      <c r="BP175" s="398">
        <f>IF(BO175=0,0,IF(LEN(BE175)=11,_xlfn.XLOOKUP(BE175,'Dispensed Ink Rates'!C:C,'Dispensed Ink Rates'!CS:CS),VLOOKUP(BE175,'Jan-2026 rates'!$E:$F,2,0)))</f>
        <v>0</v>
      </c>
      <c r="BQ175" s="409"/>
      <c r="BR175" s="398">
        <f>IF(BQ175=0,0,IF(LEN(BF175)=11,_xlfn.XLOOKUP(BF175,'Dispensed Ink Rates'!C:C,'Dispensed Ink Rates'!CS:CS),VLOOKUP(BF175,'Jan-2026 rates'!$E:$F,2,0)))</f>
        <v>0</v>
      </c>
      <c r="BS175" s="409"/>
      <c r="BT175" s="398">
        <f>IF(BS175=0,0,IF(LEN(BG175)=11,_xlfn.XLOOKUP(BG175,'Dispensed Ink Rates'!C:C,'Dispensed Ink Rates'!CS:CS),VLOOKUP(BG175,'Jan-2026 rates'!$E:$F,2,0)))</f>
        <v>0</v>
      </c>
      <c r="BU175" s="409"/>
      <c r="BV175" s="398">
        <f>IF(BU175=0,0,IF(LEN(BH175)=11,_xlfn.XLOOKUP(BH175,'Dispensed Ink Rates'!C:C,'Dispensed Ink Rates'!CS:CS),VLOOKUP(BH175,'Jan-2026 rates'!$E:$F,2,0)))</f>
        <v>0</v>
      </c>
      <c r="BW175" s="409"/>
      <c r="BX175" s="398">
        <f>IF(BW175=0,0,IF(LEN(BI175)=11,_xlfn.XLOOKUP(BI175,'Dispensed Ink Rates'!C:C,'Dispensed Ink Rates'!CS:CS),VLOOKUP(BI175,'Jan-2026 rates'!$E:$F,2,0)))</f>
        <v>0</v>
      </c>
      <c r="BY175" s="409"/>
      <c r="BZ175" s="398">
        <f>IF(BY175=0,0,IF(LEN(BJ175)=11,_xlfn.XLOOKUP(BJ175,'Dispensed Ink Rates'!C:C,'Dispensed Ink Rates'!CS:CS),VLOOKUP(BJ175,'Jan-2026 rates'!$E:$F,2,0)))</f>
        <v>0</v>
      </c>
      <c r="CA175" s="409" t="s">
        <v>1881</v>
      </c>
      <c r="CB175" s="409">
        <v>25</v>
      </c>
      <c r="CC175" s="411">
        <f t="shared" si="109"/>
        <v>0</v>
      </c>
      <c r="CD175" s="411">
        <f t="shared" si="110"/>
        <v>77.605769230769226</v>
      </c>
      <c r="CE175" s="410">
        <f t="shared" si="111"/>
        <v>0</v>
      </c>
      <c r="CF175" s="404" t="s">
        <v>856</v>
      </c>
      <c r="CG175" s="409" t="s">
        <v>3595</v>
      </c>
      <c r="CH175" s="420" t="str">
        <f t="shared" si="132"/>
        <v>ToyoLi - WHITE</v>
      </c>
      <c r="CI175" s="409">
        <v>28</v>
      </c>
      <c r="CJ175" s="411">
        <f>IF(CI175=0,0,IF($LB175=70%,VLOOKUP($CH175,'Jan-2026 rates'!$L:$R,4,0),IF($LB175=65%,VLOOKUP($CH175,'Jan-2026 rates'!$L:$R,4,0),IF($LB175=40%,VLOOKUP($CH175,'Jan-2026 rates'!$L:$R,5,0),IF($LB175=30%,VLOOKUP($CH175,'Jan-2026 rates'!$L:$R,6,0),IF($LB175=100%,VLOOKUP($CH175,'Jan-2026 rates'!$L:$R,7,0),IF($LB175=60%,VLOOKUP($CH175,'Jan-2026 rates'!$L:$S,8,0),IF($LB175=80%,VLOOKUP($CH175,'Jan-2026 rates'!L:T,9,0),0))))))))</f>
        <v>0</v>
      </c>
      <c r="CK175" s="412"/>
      <c r="CL175" s="409"/>
      <c r="CM175" s="411">
        <f>IF(CL175=0,0,IF($LB175=70%,VLOOKUP($CH175,'Jan-2026 rates'!$L:$R,4,0),IF($LB175=65%,VLOOKUP($CH175,'Jan-2026 rates'!$L:$R,4,0),IF($LB175=40%,VLOOKUP($CH175,'Jan-2026 rates'!$L:$R,5,0),IF($LB175=30%,VLOOKUP($CH175,'Jan-2026 rates'!$L:$R,6,0),IF($LB175=100%,VLOOKUP($CH175,'Jan-2026 rates'!$L:$R,7,0),IF($LB175=60%,VLOOKUP($CH175,'Jan-2026 rates'!$L:$S,8,0),IF($LB175=80%,VLOOKUP($CH175,'Jan-2026 rates'!L:T,9,0),0))))))))</f>
        <v>0</v>
      </c>
      <c r="CN175" s="426" t="s">
        <v>1249</v>
      </c>
      <c r="CO175" s="427"/>
      <c r="CP175" s="426"/>
      <c r="CQ175" s="426"/>
      <c r="CR175" s="428"/>
      <c r="CS175" s="428"/>
      <c r="CT175" s="428"/>
      <c r="CU175" s="428"/>
      <c r="CV175" s="409">
        <v>140</v>
      </c>
      <c r="CW175" s="398">
        <f>IF(CV175=0,0,IF(LEN(CN175)=11,_xlfn.XLOOKUP(CN175,'Dispensed Ink Rates'!C:C,'Dispensed Ink Rates'!CS:CS),VLOOKUP(CN175,'Jan-2026 rates'!$E:$F,2,0)))</f>
        <v>0</v>
      </c>
      <c r="CX175" s="409"/>
      <c r="CY175" s="398">
        <f>IF(CX175=0,0,IF(LEN(CO175)=11,_xlfn.XLOOKUP(CO175,'Dispensed Ink Rates'!C:C,'Dispensed Ink Rates'!CS:CS),VLOOKUP(CO175,'Jan-2026 rates'!$E:$F,2,0)))</f>
        <v>0</v>
      </c>
      <c r="CZ175" s="409"/>
      <c r="DA175" s="398">
        <f>IF(CZ175=0,0,IF(LEN(CP175)=11,_xlfn.XLOOKUP(CP175,'Dispensed Ink Rates'!C:C,'Dispensed Ink Rates'!CS:CS),VLOOKUP(CP175,'Jan-2026 rates'!$E:$F,2,0)))</f>
        <v>0</v>
      </c>
      <c r="DB175" s="409"/>
      <c r="DC175" s="398">
        <f>IF(DB175=0,0,IF(LEN(CQ175)=11,_xlfn.XLOOKUP(CQ175,'Dispensed Ink Rates'!C:C,'Dispensed Ink Rates'!CS:CS),VLOOKUP(CQ175,'Jan-2026 rates'!$E:$F,2,0)))</f>
        <v>0</v>
      </c>
      <c r="DD175" s="409"/>
      <c r="DE175" s="398">
        <f>IF(DD175=0,0,IF(LEN(CR175)=11,_xlfn.XLOOKUP(CR175,'Dispensed Ink Rates'!C:C,'Dispensed Ink Rates'!CS:CS),VLOOKUP(CR175,'Jan-2026 rates'!$E:$F,2,0)))</f>
        <v>0</v>
      </c>
      <c r="DF175" s="409"/>
      <c r="DG175" s="398">
        <f>IF(DF175=0,0,IF(LEN(CS175)=11,_xlfn.XLOOKUP(CS175,'Dispensed Ink Rates'!C:C,'Dispensed Ink Rates'!CS:CS),VLOOKUP(CS175,'Jan-2026 rates'!$E:$F,2,0)))</f>
        <v>0</v>
      </c>
      <c r="DH175" s="409"/>
      <c r="DI175" s="398">
        <f>IF(DH175=0,0,IF(LEN(CT175)=11,_xlfn.XLOOKUP(CT175,'Dispensed Ink Rates'!C:C,'Dispensed Ink Rates'!CS:CS),VLOOKUP(CT175,'Jan-2026 rates'!$E:$F,2,0)))</f>
        <v>0</v>
      </c>
      <c r="DJ175" s="409"/>
      <c r="DK175" s="398">
        <f>IF(DJ175=0,0,IF(LEN(CU175)=11,_xlfn.XLOOKUP(CU175,'Dispensed Ink Rates'!C:C,'Dispensed Ink Rates'!CS:CS),VLOOKUP(CU175,'Jan-2026 rates'!$E:$F,2,0)))</f>
        <v>0</v>
      </c>
      <c r="DL175" s="409" t="s">
        <v>1881</v>
      </c>
      <c r="DM175" s="409">
        <v>35</v>
      </c>
      <c r="DN175" s="411">
        <f t="shared" si="112"/>
        <v>0</v>
      </c>
      <c r="DO175" s="411">
        <f t="shared" si="113"/>
        <v>276.02884615384619</v>
      </c>
      <c r="DP175" s="410">
        <f t="shared" si="114"/>
        <v>0</v>
      </c>
      <c r="DQ175" s="405"/>
      <c r="DR175" s="409"/>
      <c r="DS175" s="420" t="str">
        <f t="shared" si="133"/>
        <v xml:space="preserve"> - </v>
      </c>
      <c r="DT175" s="409"/>
      <c r="DU175" s="411">
        <f>IF(DT175=0,0,IF($LB175=70%,VLOOKUP($DS175,'Jan-2026 rates'!$L:$R,4,0),IF($LB175=65%,VLOOKUP($DS175,'Jan-2026 rates'!$L:$R,4,0),IF($LB175=40%,VLOOKUP($DS175,'Jan-2026 rates'!$L:$R,5,0),IF($LB175=30%,VLOOKUP($DS175,'Jan-2026 rates'!$L:$R,6,0),IF($LB175=100%,VLOOKUP($DS175,'Jan-2026 rates'!$L:$R,7,0),IF($LB175=60%,VLOOKUP($DS175,'Jan-2026 rates'!$L:$S,8,0),IF($LB175=80%,VLOOKUP($DS175,'Jan-2026 rates'!L:T,9,0),0))))))))</f>
        <v>0</v>
      </c>
      <c r="DV175" s="412"/>
      <c r="DW175" s="409"/>
      <c r="DX175" s="411">
        <f>IF(DW175=0,0,IF($LB175=70%,VLOOKUP($DS175,'Jan-2026 rates'!$L:$R,4,0),IF($LB175=65%,VLOOKUP($DS175,'Jan-2026 rates'!$L:$R,4,0),IF($LB175=40%,VLOOKUP($DS175,'Jan-2026 rates'!$L:$R,5,0),IF($LB175=30%,VLOOKUP($DS175,'Jan-2026 rates'!$L:$R,6,0),IF($LB175=100%,VLOOKUP($DS175,'Jan-2026 rates'!$L:$R,7,0),IF($LB175=60%,VLOOKUP($DS175,'Jan-2026 rates'!$L:$S,8,0),IF($LB175=80%,VLOOKUP($DS175,'Jan-2026 rates'!L:T,9,0),0))))))))</f>
        <v>0</v>
      </c>
      <c r="DY175" s="413"/>
      <c r="DZ175" s="413"/>
      <c r="EA175" s="412"/>
      <c r="EB175" s="412"/>
      <c r="EC175" s="412"/>
      <c r="ED175" s="412"/>
      <c r="EE175" s="412"/>
      <c r="EF175" s="412"/>
      <c r="EG175" s="409"/>
      <c r="EH175" s="398">
        <f>IF(EG175=0,0,IF(LEN(DY175)=11,_xlfn.XLOOKUP(DY175,'Dispensed Ink Rates'!C:C,'Dispensed Ink Rates'!CS:CS),VLOOKUP(DY175,'Jan-2026 rates'!$E:$F,2,0)))</f>
        <v>0</v>
      </c>
      <c r="EI175" s="409"/>
      <c r="EJ175" s="398">
        <f>IF(EI175=0,0,IF(LEN(DZ175)=11,_xlfn.XLOOKUP(DZ175,'Dispensed Ink Rates'!C:C,'Dispensed Ink Rates'!CS:CS),VLOOKUP(DZ175,'Jan-2026 rates'!$E:$F,2,0)))</f>
        <v>0</v>
      </c>
      <c r="EK175" s="409"/>
      <c r="EL175" s="398">
        <f>IF(EK175=0,0,IF(LEN(EA175)=11,_xlfn.XLOOKUP(EA175,'Dispensed Ink Rates'!C:C,'Dispensed Ink Rates'!CS:CS),VLOOKUP(EA175,'Jan-2026 rates'!$E:$F,2,0)))</f>
        <v>0</v>
      </c>
      <c r="EM175" s="409"/>
      <c r="EN175" s="398">
        <f>IF(EM175=0,0,IF(LEN(EB175)=11,_xlfn.XLOOKUP(EB175,'Dispensed Ink Rates'!C:C,'Dispensed Ink Rates'!CS:CS),VLOOKUP(EB175,'Jan-2026 rates'!$E:$F,2,0)))</f>
        <v>0</v>
      </c>
      <c r="EO175" s="409"/>
      <c r="EP175" s="398">
        <f>IF(EO175=0,0,IF(LEN(EC175)=11,_xlfn.XLOOKUP(EC175,'Dispensed Ink Rates'!C:C,'Dispensed Ink Rates'!CS:CS),VLOOKUP(EC175,'Jan-2026 rates'!$E:$F,2,0)))</f>
        <v>0</v>
      </c>
      <c r="EQ175" s="409"/>
      <c r="ER175" s="398">
        <f>IF(EQ175=0,0,IF(LEN(ED175)=11,_xlfn.XLOOKUP(ED175,'Dispensed Ink Rates'!C:C,'Dispensed Ink Rates'!CS:CS),VLOOKUP(ED175,'Jan-2026 rates'!$E:$F,2,0)))</f>
        <v>0</v>
      </c>
      <c r="ES175" s="409"/>
      <c r="ET175" s="398">
        <f>IF(ES175=0,0,IF(LEN(EE175)=11,_xlfn.XLOOKUP(EE175,'Dispensed Ink Rates'!C:C,'Dispensed Ink Rates'!CS:CS),VLOOKUP(EE175,'Jan-2026 rates'!$E:$F,2,0)))</f>
        <v>0</v>
      </c>
      <c r="EU175" s="409"/>
      <c r="EV175" s="398">
        <f>IF(EU175=0,0,IF(LEN(EF175)=11,_xlfn.XLOOKUP(EF175,'Dispensed Ink Rates'!C:C,'Dispensed Ink Rates'!CS:CS),VLOOKUP(EF175,'Jan-2026 rates'!$E:$F,2,0)))</f>
        <v>0</v>
      </c>
      <c r="EW175" s="409"/>
      <c r="EX175" s="409"/>
      <c r="EY175" s="411">
        <f t="shared" si="115"/>
        <v>0</v>
      </c>
      <c r="EZ175" s="411">
        <f t="shared" si="116"/>
        <v>0</v>
      </c>
      <c r="FA175" s="410">
        <f t="shared" si="117"/>
        <v>0</v>
      </c>
      <c r="FB175" s="405"/>
      <c r="FC175" s="409"/>
      <c r="FD175" s="420" t="str">
        <f t="shared" si="134"/>
        <v xml:space="preserve"> - </v>
      </c>
      <c r="FE175" s="409"/>
      <c r="FF175" s="411">
        <f>IF(FE175=0,0,IF($LB175=70%,VLOOKUP($FD175,'Jan-2026 rates'!$L:$R,4,0),IF($LB175=65%,VLOOKUP($FD175,'Jan-2026 rates'!$L:$R,4,0),IF($LB175=40%,VLOOKUP($FD175,'Jan-2026 rates'!$L:$R,5,0),IF($LB175=30%,VLOOKUP($FD175,'Jan-2026 rates'!$L:$R,6,0),IF($LB175=100%,VLOOKUP($FD175,'Jan-2026 rates'!$L:$R,7,0),IF($LB175=60%,VLOOKUP($FD175,'Jan-2026 rates'!$L:$S,8,0),IF($LB175=80%,VLOOKUP($FD175,'Jan-2026 rates'!L:T,9,0),0))))))))</f>
        <v>0</v>
      </c>
      <c r="FG175" s="412"/>
      <c r="FH175" s="409"/>
      <c r="FI175" s="411">
        <f>IF(FH175=0,0,IF($LB175=70%,VLOOKUP($FD175,'Jan-2026 rates'!$L:$R,4,0),IF($LB175=65%,VLOOKUP($FD175,'Jan-2026 rates'!$L:$R,4,0),IF($LB175=40%,VLOOKUP($FD175,'Jan-2026 rates'!$L:$R,5,0),IF($LB175=30%,VLOOKUP($FD175,'Jan-2026 rates'!$L:$R,6,0),IF($LB175=100%,VLOOKUP($FD175,'Jan-2026 rates'!$L:$R,7,0),IF($LB175=60%,VLOOKUP($FD175,'Jan-2026 rates'!$L:$S,8,0),IF($LB175=80%,VLOOKUP($FD175,'Jan-2026 rates'!L:T,9,0),0))))))))</f>
        <v>0</v>
      </c>
      <c r="FJ175" s="413"/>
      <c r="FK175" s="413"/>
      <c r="FL175" s="413"/>
      <c r="FM175" s="412"/>
      <c r="FN175" s="412"/>
      <c r="FO175" s="412"/>
      <c r="FP175" s="412"/>
      <c r="FQ175" s="412"/>
      <c r="FR175" s="409"/>
      <c r="FS175" s="398">
        <f>IF(FR175=0,0,IF(LEN(FJ175)=11,_xlfn.XLOOKUP(FJ175,'Dispensed Ink Rates'!C:C,'Dispensed Ink Rates'!CS:CS),VLOOKUP(FJ175,'Jan-2026 rates'!$E:$F,2,0)))</f>
        <v>0</v>
      </c>
      <c r="FT175" s="409"/>
      <c r="FU175" s="398">
        <f>IF(FT175=0,0,IF(LEN(FK175)=11,_xlfn.XLOOKUP(FK175,'Dispensed Ink Rates'!C:C,'Dispensed Ink Rates'!CS:CS),VLOOKUP(FK175,'Jan-2026 rates'!$E:$F,2,0)))</f>
        <v>0</v>
      </c>
      <c r="FV175" s="409"/>
      <c r="FW175" s="398">
        <f>IF(FV175=0,0,IF(LEN(FL175)=11,_xlfn.XLOOKUP(FL175,'Dispensed Ink Rates'!C:C,'Dispensed Ink Rates'!CS:CS),VLOOKUP(FL175,'Jan-2026 rates'!$E:$F,2,0)))</f>
        <v>0</v>
      </c>
      <c r="FX175" s="409"/>
      <c r="FY175" s="398">
        <f>IF(FX175=0,0,IF(LEN(FM175)=11,_xlfn.XLOOKUP(FM175,'Dispensed Ink Rates'!C:C,'Dispensed Ink Rates'!CS:CS),VLOOKUP(FM175,'Jan-2026 rates'!$E:$F,2,0)))</f>
        <v>0</v>
      </c>
      <c r="FZ175" s="409"/>
      <c r="GA175" s="398">
        <f>IF(FZ175=0,0,IF(LEN(FN175)=11,_xlfn.XLOOKUP(FN175,'Dispensed Ink Rates'!C:C,'Dispensed Ink Rates'!CS:CS),VLOOKUP(FN175,'Jan-2026 rates'!$E:$F,2,0)))</f>
        <v>0</v>
      </c>
      <c r="GB175" s="409"/>
      <c r="GC175" s="398">
        <f>IF(GB175=0,0,IF(LEN(FO175)=11,_xlfn.XLOOKUP(FO175,'Dispensed Ink Rates'!C:C,'Dispensed Ink Rates'!CS:CS),VLOOKUP(FO175,'Jan-2026 rates'!$E:$F,2,0)))</f>
        <v>0</v>
      </c>
      <c r="GD175" s="409"/>
      <c r="GE175" s="398">
        <f>IF(GD175=0,0,IF(LEN(FP175)=11,_xlfn.XLOOKUP(FP175,'Dispensed Ink Rates'!C:C,'Dispensed Ink Rates'!CS:CS),VLOOKUP(FP175,'Jan-2026 rates'!$E:$F,2,0)))</f>
        <v>0</v>
      </c>
      <c r="GF175" s="409"/>
      <c r="GG175" s="398">
        <f>IF(GF175=0,0,IF(LEN(FQ175)=11,_xlfn.XLOOKUP(FQ175,'Dispensed Ink Rates'!C:C,'Dispensed Ink Rates'!CS:CS),VLOOKUP(FQ175,'Jan-2026 rates'!$E:$F,2,0)))</f>
        <v>0</v>
      </c>
      <c r="GH175" s="409"/>
      <c r="GI175" s="409"/>
      <c r="GJ175" s="411">
        <f t="shared" si="118"/>
        <v>0</v>
      </c>
      <c r="GK175" s="411">
        <f t="shared" si="119"/>
        <v>0</v>
      </c>
      <c r="GL175" s="410">
        <f t="shared" si="120"/>
        <v>0</v>
      </c>
      <c r="GM175" s="405"/>
      <c r="GN175" s="409"/>
      <c r="GO175" s="420" t="str">
        <f t="shared" si="135"/>
        <v xml:space="preserve"> - </v>
      </c>
      <c r="GP175" s="409"/>
      <c r="GQ175" s="411">
        <f>IF(GP175=0,0,IF($LB175=70%,VLOOKUP($GO175,'Jan-2026 rates'!$L:$R,4,0),IF($LB175=65%,VLOOKUP($GO175,'Jan-2026 rates'!$L:$R,4,0),IF($LB175=40%,VLOOKUP($GO175,'Jan-2026 rates'!$L:$R,5,0),IF($LB175=30%,VLOOKUP($GO175,'Jan-2026 rates'!$L:$R,6,0),IF($LB175=100%,VLOOKUP($GO175,'Jan-2026 rates'!$L:$R,7,0),IF($LB175=60%,VLOOKUP($GO175,'Jan-2026 rates'!$L:$S,8,0),IF($LB175=80%,VLOOKUP($GO175,'Jan-2026 rates'!L:T,9,0),0))))))))</f>
        <v>0</v>
      </c>
      <c r="GR175" s="412"/>
      <c r="GS175" s="409"/>
      <c r="GT175" s="411">
        <f>IF(GS175=0,0,IF($LB175=70%,VLOOKUP($GO175,'Jan-2026 rates'!$L:$R,4,0),IF($LB175=65%,VLOOKUP($GO175,'Jan-2026 rates'!$L:$R,4,0),IF($LB175=40%,VLOOKUP($GO175,'Jan-2026 rates'!$L:$R,5,0),IF($LB175=30%,VLOOKUP($GO175,'Jan-2026 rates'!$L:$R,6,0),IF($LB175=100%,VLOOKUP($GO175,'Jan-2026 rates'!$L:$R,7,0),IF($LB175=60%,VLOOKUP($GO175,'Jan-2026 rates'!$L:$S,8,0),IF($LB175=80%,VLOOKUP($GO175,'Jan-2026 rates'!L:T,9,0),0))))))))</f>
        <v>0</v>
      </c>
      <c r="GU175" s="413"/>
      <c r="GV175" s="413"/>
      <c r="GW175" s="412"/>
      <c r="GX175" s="412"/>
      <c r="GY175" s="412"/>
      <c r="GZ175" s="412"/>
      <c r="HA175" s="412"/>
      <c r="HB175" s="412"/>
      <c r="HC175" s="409"/>
      <c r="HD175" s="398">
        <f>IF(HC175=0,0,IF(LEN(GU175)=11,_xlfn.XLOOKUP(GU175,'Dispensed Ink Rates'!C:C,'Dispensed Ink Rates'!CS:CS),VLOOKUP(GU175,'Jan-2026 rates'!$E:$F,2,0)))</f>
        <v>0</v>
      </c>
      <c r="HE175" s="409"/>
      <c r="HF175" s="398">
        <f>IF(HE175=0,0,IF(LEN(GV175)=11,_xlfn.XLOOKUP(GV175,'Dispensed Ink Rates'!C:C,'Dispensed Ink Rates'!CS:CS),VLOOKUP(GV175,'Jan-2026 rates'!$E:$F,2,0)))</f>
        <v>0</v>
      </c>
      <c r="HG175" s="409"/>
      <c r="HH175" s="398">
        <f>IF(HG175=0,0,IF(LEN(GW175)=11,_xlfn.XLOOKUP(GW175,'Dispensed Ink Rates'!C:C,'Dispensed Ink Rates'!CS:CS),VLOOKUP(GW175,'Jan-2026 rates'!$E:$F,2,0)))</f>
        <v>0</v>
      </c>
      <c r="HI175" s="409"/>
      <c r="HJ175" s="398">
        <f>IF(HI175=0,0,IF(LEN(GX175)=11,_xlfn.XLOOKUP(GX175,'Dispensed Ink Rates'!C:C,'Dispensed Ink Rates'!CS:CS),VLOOKUP(GX175,'Jan-2026 rates'!$E:$F,2,0)))</f>
        <v>0</v>
      </c>
      <c r="HK175" s="409"/>
      <c r="HL175" s="398">
        <f>IF(HK175=0,0,IF(LEN(GY175)=11,_xlfn.XLOOKUP(GY175,'Dispensed Ink Rates'!C:C,'Dispensed Ink Rates'!CS:CS),VLOOKUP(GY175,'Jan-2026 rates'!$E:$F,2,0)))</f>
        <v>0</v>
      </c>
      <c r="HM175" s="409"/>
      <c r="HN175" s="398">
        <f>IF(HM175=0,0,IF(LEN(GZ175)=11,_xlfn.XLOOKUP(GZ175,'Dispensed Ink Rates'!C:C,'Dispensed Ink Rates'!CS:CS),VLOOKUP(GZ175,'Jan-2026 rates'!$E:$F,2,0)))</f>
        <v>0</v>
      </c>
      <c r="HO175" s="409"/>
      <c r="HP175" s="398">
        <f>IF(HO175=0,0,IF(LEN(HA175)=11,_xlfn.XLOOKUP(HA175,'Dispensed Ink Rates'!C:C,'Dispensed Ink Rates'!CS:CS),VLOOKUP(HA175,'Jan-2026 rates'!$E:$F,2,0)))</f>
        <v>0</v>
      </c>
      <c r="HQ175" s="409"/>
      <c r="HR175" s="398">
        <f>IF(HQ175=0,0,IF(LEN(HB175)=11,_xlfn.XLOOKUP(HB175,'Dispensed Ink Rates'!C:C,'Dispensed Ink Rates'!CS:CS),VLOOKUP(HB175,'Jan-2026 rates'!$E:$F,2,0)))</f>
        <v>0</v>
      </c>
      <c r="HS175" s="409"/>
      <c r="HT175" s="409"/>
      <c r="HU175" s="411">
        <f t="shared" si="121"/>
        <v>0</v>
      </c>
      <c r="HV175" s="411">
        <f t="shared" si="122"/>
        <v>0</v>
      </c>
      <c r="HW175" s="414">
        <f t="shared" si="123"/>
        <v>0</v>
      </c>
      <c r="HX175" s="405"/>
      <c r="HY175" s="409"/>
      <c r="HZ175" s="420" t="str">
        <f t="shared" si="136"/>
        <v xml:space="preserve"> - </v>
      </c>
      <c r="IA175" s="409"/>
      <c r="IB175" s="411">
        <f>IF(IA175=0,0,IF($LB175=70%,VLOOKUP($HZ175,'Jan-2026 rates'!$L:$R,4,0),IF($LB175=65%,VLOOKUP($HZ175,'Jan-2026 rates'!$L:$R,4,0),IF($LB175=40%,VLOOKUP($HZ175,'Jan-2026 rates'!$L:$R,5,0),IF($LB175=30%,VLOOKUP($HZ175,'Jan-2026 rates'!$L:$R,6,0),IF($LB175=100%,VLOOKUP($HZ175,'Jan-2026 rates'!$L:$R,7,0),IF($LB175=60%,VLOOKUP($HZ175,'Jan-2026 rates'!$L:$S,8,0),IF($LB175=80%,VLOOKUP($HZ175,'Jan-2026 rates'!L:T,9,0),0))))))))</f>
        <v>0</v>
      </c>
      <c r="IC175" s="412"/>
      <c r="ID175" s="409"/>
      <c r="IE175" s="411">
        <f>IF(ID175=0,0,IF($LB175=70%,VLOOKUP($HZ175,'Jan-2026 rates'!$L:$R,4,0),IF($LB175=65%,VLOOKUP($HZ175,'Jan-2026 rates'!$L:$R,4,0),IF($LB175=40%,VLOOKUP($HZ175,'Jan-2026 rates'!$L:$R,5,0),IF($LB175=30%,VLOOKUP($HZ175,'Jan-2026 rates'!$L:$R,6,0),IF($LB175=100%,VLOOKUP($HZ175,'Jan-2026 rates'!$L:$R,7,0),IF($LB175=60%,VLOOKUP($HZ175,'Jan-2026 rates'!$L:$S,8,0),IF($LB175=80%,VLOOKUP($HZ175,'Jan-2026 rates'!L:T,9,0),0))))))))</f>
        <v>0</v>
      </c>
      <c r="IF175" s="412"/>
      <c r="IG175" s="413"/>
      <c r="IH175" s="412"/>
      <c r="II175" s="412"/>
      <c r="IJ175" s="412"/>
      <c r="IK175" s="412"/>
      <c r="IL175" s="412"/>
      <c r="IM175" s="412"/>
      <c r="IN175" s="409"/>
      <c r="IO175" s="398">
        <f>IF(IN175=0,0,IF(LEN(IF175)=11,_xlfn.XLOOKUP(IF175,'Dispensed Ink Rates'!C:C,'Dispensed Ink Rates'!CS:CS),VLOOKUP(IF175,'Jan-2026 rates'!$E:$F,2,0)))</f>
        <v>0</v>
      </c>
      <c r="IP175" s="409"/>
      <c r="IQ175" s="398">
        <f>IF(IP175=0,0,IF(LEN(IG175)=11,_xlfn.XLOOKUP(IG175,'Dispensed Ink Rates'!C:C,'Dispensed Ink Rates'!CS:CS),VLOOKUP(IG175,'Jan-2026 rates'!$E:$F,2,0)))</f>
        <v>0</v>
      </c>
      <c r="IR175" s="409"/>
      <c r="IS175" s="398">
        <f>IF(IR175=0,0,IF(LEN(IH175)=11,_xlfn.XLOOKUP(IH175,'Dispensed Ink Rates'!C:C,'Dispensed Ink Rates'!CS:CS),VLOOKUP(IH175,'Jan-2026 rates'!$E:$F,2,0)))</f>
        <v>0</v>
      </c>
      <c r="IT175" s="409"/>
      <c r="IU175" s="398">
        <f>IF(IT175=0,0,IF(LEN(II175)=11,_xlfn.XLOOKUP(II175,'Dispensed Ink Rates'!C:C,'Dispensed Ink Rates'!CS:CS),VLOOKUP(II175,'Jan-2026 rates'!$E:$F,2,0)))</f>
        <v>0</v>
      </c>
      <c r="IV175" s="409"/>
      <c r="IW175" s="398">
        <f>IF(IV175=0,0,IF(LEN(IJ175)=11,_xlfn.XLOOKUP(IJ175,'Dispensed Ink Rates'!C:C,'Dispensed Ink Rates'!CS:CS),VLOOKUP(IJ175,'Jan-2026 rates'!$E:$F,2,0)))</f>
        <v>0</v>
      </c>
      <c r="IX175" s="409"/>
      <c r="IY175" s="398">
        <f>IF(IX175=0,0,IF(LEN(IK175)=11,_xlfn.XLOOKUP(IK175,'Dispensed Ink Rates'!C:C,'Dispensed Ink Rates'!CS:CS),VLOOKUP(IK175,'Jan-2026 rates'!$E:$F,2,0)))</f>
        <v>0</v>
      </c>
      <c r="IZ175" s="409"/>
      <c r="JA175" s="398">
        <f>IF(IZ175=0,0,IF(LEN(IL175)=11,_xlfn.XLOOKUP(IL175,'Dispensed Ink Rates'!C:C,'Dispensed Ink Rates'!CS:CS),VLOOKUP(IL175,'Jan-2026 rates'!$E:$F,2,0)))</f>
        <v>0</v>
      </c>
      <c r="JB175" s="409"/>
      <c r="JC175" s="398">
        <f>IF(JB175=0,0,IF(LEN(IM175)=11,_xlfn.XLOOKUP(IM175,'Dispensed Ink Rates'!C:C,'Dispensed Ink Rates'!CS:CS),VLOOKUP(IM175,'Jan-2026 rates'!$E:$F,2,0)))</f>
        <v>0</v>
      </c>
      <c r="JD175" s="409"/>
      <c r="JE175" s="409"/>
      <c r="JF175" s="411">
        <f t="shared" si="124"/>
        <v>0</v>
      </c>
      <c r="JG175" s="411">
        <f t="shared" si="125"/>
        <v>0</v>
      </c>
      <c r="JH175" s="410">
        <f t="shared" si="126"/>
        <v>0</v>
      </c>
      <c r="JI175" s="405"/>
      <c r="JJ175" s="409"/>
      <c r="JK175" s="420" t="str">
        <f t="shared" si="137"/>
        <v xml:space="preserve"> - </v>
      </c>
      <c r="JL175" s="409"/>
      <c r="JM175" s="411">
        <f>IF(JL175=0,0,IF($LB175=70%,VLOOKUP($JK175,'Jan-2026 rates'!$L:$R,4,0),IF($LB175=65%,VLOOKUP($JK175,'Jan-2026 rates'!$L:$R,4,0),IF($LB175=40%,VLOOKUP($JK175,'Jan-2026 rates'!$L:$R,5,0),IF($LB175=30%,VLOOKUP($JK175,'Jan-2026 rates'!$L:$R,6,0),IF($LB175=100%,VLOOKUP($JK175,'Jan-2026 rates'!$L:$R,7,0),IF($LB175=60%,VLOOKUP($JK175,'Jan-2026 rates'!$L:$S,8,0),IF($LB175=80%,VLOOKUP($JK175,'Jan-2026 rates'!L:T,9,0),0))))))))</f>
        <v>0</v>
      </c>
      <c r="JN175" s="412"/>
      <c r="JO175" s="409"/>
      <c r="JP175" s="411">
        <f>IF(JO175=0,0,IF($LB175=70%,VLOOKUP($JK175,'Jan-2026 rates'!$L:$R,4,0),IF($LB175=65%,VLOOKUP($JK175,'Jan-2026 rates'!$L:$R,4,0),IF($LB175=40%,VLOOKUP($JK175,'Jan-2026 rates'!$L:$R,5,0),IF($LB175=30%,VLOOKUP($JK175,'Jan-2026 rates'!$L:$R,6,0),IF($LB175=100%,VLOOKUP($JK175,'Jan-2026 rates'!$L:$R,7,0),IF($LB175=60%,VLOOKUP($JK175,'Jan-2026 rates'!$L:$S,8,0),IF($LB175=80%,VLOOKUP($JK175,'Jan-2026 rates'!L:T,9,0),0))))))))</f>
        <v>0</v>
      </c>
      <c r="JQ175" s="413"/>
      <c r="JR175" s="412"/>
      <c r="JS175" s="413"/>
      <c r="JT175" s="413"/>
      <c r="JU175" s="412"/>
      <c r="JV175" s="412"/>
      <c r="JW175" s="412"/>
      <c r="JX175" s="412"/>
      <c r="JY175" s="409"/>
      <c r="JZ175" s="398">
        <f>IF(JY175=0,0,IF(LEN(JQ175)=11,_xlfn.XLOOKUP(JQ175,'Dispensed Ink Rates'!C:C,'Dispensed Ink Rates'!CS:CS),VLOOKUP(JQ175,'Jan-2026 rates'!$E:$F,2,0)))</f>
        <v>0</v>
      </c>
      <c r="KA175" s="409"/>
      <c r="KB175" s="398">
        <f>IF(KA175=0,0,IF(LEN(JR175)=11,_xlfn.XLOOKUP(JR175,'Dispensed Ink Rates'!C:C,'Dispensed Ink Rates'!CS:CS),VLOOKUP(JR175,'Jan-2026 rates'!$E:$F,2,0)))</f>
        <v>0</v>
      </c>
      <c r="KC175" s="409"/>
      <c r="KD175" s="398">
        <f>IF(KC175=0,0,IF(LEN(JS175)=11,_xlfn.XLOOKUP(JS175,'Dispensed Ink Rates'!C:C,'Dispensed Ink Rates'!CS:CS),VLOOKUP(JS175,'Jan-2026 rates'!$E:$F,2,0)))</f>
        <v>0</v>
      </c>
      <c r="KE175" s="409"/>
      <c r="KF175" s="398">
        <f>IF(KE175=0,0,IF(LEN(JT175)=11,_xlfn.XLOOKUP(JT175,'Dispensed Ink Rates'!C:C,'Dispensed Ink Rates'!CS:CS),VLOOKUP(JT175,'Jan-2026 rates'!$E:$F,2,0)))</f>
        <v>0</v>
      </c>
      <c r="KG175" s="409"/>
      <c r="KH175" s="398">
        <f>IF(KG175=0,0,IF(LEN(JU175)=11,_xlfn.XLOOKUP(JU175,'Dispensed Ink Rates'!C:C,'Dispensed Ink Rates'!CS:CS),VLOOKUP(JU175,'Jan-2026 rates'!$E:$F,2,0)))</f>
        <v>0</v>
      </c>
      <c r="KI175" s="409"/>
      <c r="KJ175" s="398">
        <f>IF(KI175=0,0,IF(LEN(JV175)=11,_xlfn.XLOOKUP(JV175,'Dispensed Ink Rates'!C:C,'Dispensed Ink Rates'!CS:CS),VLOOKUP(JV175,'Jan-2026 rates'!$E:$F,2,0)))</f>
        <v>0</v>
      </c>
      <c r="KK175" s="409"/>
      <c r="KL175" s="398">
        <f>IF(KK175=0,0,IF(LEN(JW175)=11,_xlfn.XLOOKUP(JW175,'Dispensed Ink Rates'!C:C,'Dispensed Ink Rates'!CS:CS),VLOOKUP(JW175,'Jan-2026 rates'!$E:$F,2,0)))</f>
        <v>0</v>
      </c>
      <c r="KM175" s="428"/>
      <c r="KN175" s="398">
        <f>IF(KM175=0,0,IF(LEN(JX175)=11,_xlfn.XLOOKUP(JX175,'Dispensed Ink Rates'!C:C,'Dispensed Ink Rates'!CS:CS),VLOOKUP(JX175,'Jan-2026 rates'!$E:$F,2,0)))</f>
        <v>0</v>
      </c>
      <c r="KO175" s="409"/>
      <c r="KP175" s="409"/>
      <c r="KQ175" s="411">
        <f t="shared" si="127"/>
        <v>0</v>
      </c>
      <c r="KR175" s="411">
        <f t="shared" si="128"/>
        <v>0</v>
      </c>
      <c r="KS175" s="410">
        <f t="shared" si="129"/>
        <v>0</v>
      </c>
      <c r="KT175" s="409">
        <v>2</v>
      </c>
      <c r="KU175" s="409">
        <f>10+7</f>
        <v>17</v>
      </c>
      <c r="KV175" s="409">
        <f>60+25</f>
        <v>85</v>
      </c>
      <c r="KW175" s="409">
        <v>0</v>
      </c>
      <c r="KX175" s="409">
        <v>0</v>
      </c>
      <c r="KY175" s="409">
        <v>0</v>
      </c>
      <c r="KZ175" s="409">
        <v>0</v>
      </c>
      <c r="LA175" s="409">
        <v>0</v>
      </c>
      <c r="LB175" s="415">
        <v>0.3</v>
      </c>
      <c r="LC175" s="415"/>
      <c r="LD175" s="415"/>
      <c r="LE175" s="415">
        <v>0.5</v>
      </c>
      <c r="LF175" s="415">
        <v>0.2</v>
      </c>
      <c r="LG175" s="409">
        <v>0</v>
      </c>
      <c r="LH175" s="409">
        <f>85+20+21+35+14</f>
        <v>175</v>
      </c>
      <c r="LI175" s="409">
        <v>0</v>
      </c>
      <c r="LJ175" s="409">
        <v>0</v>
      </c>
      <c r="LK175" s="416">
        <f t="shared" si="138"/>
        <v>175</v>
      </c>
      <c r="LL175" s="416">
        <f t="shared" si="139"/>
        <v>175</v>
      </c>
      <c r="LM175" s="417">
        <f t="shared" si="140"/>
        <v>52.5</v>
      </c>
      <c r="LN175" s="417">
        <f>VLOOKUP($LM$8,'Jan-2026 rates'!$H:$I,2,0)</f>
        <v>0</v>
      </c>
      <c r="LO175" s="417">
        <f t="shared" si="141"/>
        <v>0</v>
      </c>
      <c r="LP175" s="417">
        <f>VLOOKUP($LO$8,'Jan-2026 rates'!$H:$I,2,0)</f>
        <v>0</v>
      </c>
      <c r="LQ175" s="417">
        <f t="shared" si="142"/>
        <v>0</v>
      </c>
      <c r="LR175" s="417">
        <f>VLOOKUP($LQ$8,'Jan-2026 rates'!$H:$I,2,0)</f>
        <v>0</v>
      </c>
      <c r="LS175" s="417">
        <f t="shared" si="143"/>
        <v>87.5</v>
      </c>
      <c r="LT175" s="417">
        <f>VLOOKUP($LS$8,'Jan-2026 rates'!$H:$I,2,0)</f>
        <v>0</v>
      </c>
      <c r="LU175" s="417">
        <f t="shared" si="144"/>
        <v>35</v>
      </c>
      <c r="LV175" s="417">
        <f>VLOOKUP($LU$8,'Jan-2026 rates'!$H:$I,2,0)</f>
        <v>0</v>
      </c>
      <c r="LW175" s="417">
        <f t="shared" si="145"/>
        <v>0</v>
      </c>
      <c r="LX175" s="417">
        <f t="shared" si="146"/>
        <v>0</v>
      </c>
      <c r="LY175" s="418">
        <f t="shared" si="147"/>
        <v>0</v>
      </c>
      <c r="LZ175" s="417"/>
      <c r="MA175" s="435">
        <f t="shared" si="148"/>
        <v>186</v>
      </c>
      <c r="MB175" s="282">
        <f t="shared" si="149"/>
        <v>358</v>
      </c>
      <c r="MC175" s="283" t="s">
        <v>2010</v>
      </c>
      <c r="MD175" s="284" t="str">
        <f t="shared" si="150"/>
        <v>ToyoLiToyoLiToyoLi</v>
      </c>
      <c r="ME175" s="293" t="str">
        <f t="shared" si="151"/>
        <v>+</v>
      </c>
      <c r="MF175" s="293" t="str">
        <f t="shared" si="152"/>
        <v>+</v>
      </c>
      <c r="MG175" s="293" t="str">
        <f t="shared" si="153"/>
        <v>+</v>
      </c>
      <c r="MH175" s="293" t="str">
        <f t="shared" si="154"/>
        <v>NIL</v>
      </c>
      <c r="MI175" s="293" t="str">
        <f t="shared" si="155"/>
        <v>NIL</v>
      </c>
      <c r="MJ175" s="293" t="str">
        <f t="shared" si="156"/>
        <v>NIL</v>
      </c>
      <c r="MK175" s="293" t="str">
        <f t="shared" si="157"/>
        <v>NIL</v>
      </c>
      <c r="ML175" s="293" t="str">
        <f t="shared" si="158"/>
        <v>NIL</v>
      </c>
      <c r="MM175" s="3" t="b">
        <f t="array" ref="MM175">OR(ME175:ML175="-")</f>
        <v>0</v>
      </c>
      <c r="MN175" s="285"/>
      <c r="MO175" s="401"/>
      <c r="MP175" s="286"/>
      <c r="MQ175" s="286"/>
      <c r="MR175" s="402"/>
      <c r="MS175" s="400"/>
      <c r="NH175" s="422"/>
      <c r="NJ175" s="421"/>
    </row>
    <row r="176" spans="1:374" s="1" customFormat="1" ht="16.5">
      <c r="A176" s="403">
        <v>46035</v>
      </c>
      <c r="B176" s="404" t="s">
        <v>1015</v>
      </c>
      <c r="C176" s="405" t="s">
        <v>3596</v>
      </c>
      <c r="D176" s="406" t="s">
        <v>2011</v>
      </c>
      <c r="E176" s="404">
        <v>146</v>
      </c>
      <c r="F176" s="407">
        <v>9200</v>
      </c>
      <c r="G176" s="407" t="s">
        <v>1016</v>
      </c>
      <c r="H176" s="408" t="s">
        <v>1017</v>
      </c>
      <c r="I176" s="409">
        <v>2.1</v>
      </c>
      <c r="J176" s="405" t="s">
        <v>543</v>
      </c>
      <c r="K176" s="404" t="s">
        <v>3597</v>
      </c>
      <c r="L176" s="419" t="str">
        <f t="shared" si="131"/>
        <v>ToyoLi - BLACK</v>
      </c>
      <c r="M176" s="404">
        <v>26</v>
      </c>
      <c r="N176" s="410">
        <f>IF(M176=0,0,IF($LB176=70%,VLOOKUP($L176,'Jan-2026 rates'!$L:$R,4,0),IF($LB176=65%,VLOOKUP($L176,'Jan-2026 rates'!$L:$R,4,0),IF($LB176=40%,VLOOKUP($L176,'Jan-2026 rates'!$L:$R,5,0),IF($LB176=30%,VLOOKUP($L176,'Jan-2026 rates'!$L:$R,6,0),IF($LB176=100%,VLOOKUP($L176,'Jan-2026 rates'!$L:$R,7,0),IF($LB176=60%,VLOOKUP($L176,'Jan-2026 rates'!$L:$S,8,0),IF($LB176=80%,VLOOKUP($L176,'Jan-2026 rates'!L:T,9,0),0))))))))</f>
        <v>0</v>
      </c>
      <c r="O176" s="406"/>
      <c r="P176" s="404"/>
      <c r="Q176" s="410">
        <f>IF(P176=0,0,IF($LB176=70%,VLOOKUP($L176,'Jan-2026 rates'!$L:$R,4,0),IF($LB176=65%,VLOOKUP($L176,'Jan-2026 rates'!$L:$R,4,0),IF($LB176=40%,VLOOKUP($L176,'Jan-2026 rates'!$L:$R,5,0),IF($LB176=30%,VLOOKUP($L176,'Jan-2026 rates'!$L:$R,6,0),IF($LB176=100%,VLOOKUP($L176,'Jan-2026 rates'!$L:$R,7,0),IF($LB176=60%,VLOOKUP($L176,'Jan-2026 rates'!$L:$S,8,0),IF($LB176=80%,VLOOKUP($L176,'Jan-2026 rates'!L:T,9,0),0))))))))</f>
        <v>0</v>
      </c>
      <c r="R176" s="406" t="s">
        <v>1252</v>
      </c>
      <c r="S176" s="406"/>
      <c r="T176" s="406"/>
      <c r="U176" s="406"/>
      <c r="V176" s="406"/>
      <c r="W176" s="406"/>
      <c r="X176" s="406"/>
      <c r="Y176" s="406"/>
      <c r="Z176" s="404">
        <v>1</v>
      </c>
      <c r="AA176" s="398">
        <f>IF(Z176=0,0,IF(LEN(R176)=11,_xlfn.XLOOKUP(R176,'Dispensed Ink Rates'!C:C,'Dispensed Ink Rates'!CS:CS),VLOOKUP(R176,'Jan-2026 rates'!$E:$F,2,0)))</f>
        <v>0</v>
      </c>
      <c r="AB176" s="404"/>
      <c r="AC176" s="398">
        <f>IF(AB176=0,0,IF(LEN(S176)=11,_xlfn.XLOOKUP(S176,'Dispensed Ink Rates'!C:C,'Dispensed Ink Rates'!CS:CS),VLOOKUP(S176,'Jan-2026 rates'!$E:$F,2,0)))</f>
        <v>0</v>
      </c>
      <c r="AD176" s="404"/>
      <c r="AE176" s="398">
        <f>IF(AD176=0,0,IF(LEN(T176)=11,_xlfn.XLOOKUP(T176,'Dispensed Ink Rates'!C:C,'Dispensed Ink Rates'!CS:CS),VLOOKUP(T176,'Jan-2026 rates'!$E:$F,2,0)))</f>
        <v>0</v>
      </c>
      <c r="AF176" s="404"/>
      <c r="AG176" s="398">
        <f>IF(AF176=0,0,IF(LEN(U176)=11,_xlfn.XLOOKUP(U176,'Dispensed Ink Rates'!C:C,'Dispensed Ink Rates'!CS:CS),VLOOKUP(U176,'Jan-2026 rates'!$E:$F,2,0)))</f>
        <v>0</v>
      </c>
      <c r="AH176" s="404"/>
      <c r="AI176" s="398">
        <f>IF(AH176=0,0,IF(LEN(V176)=11,_xlfn.XLOOKUP(V176,'Dispensed Ink Rates'!C:C,'Dispensed Ink Rates'!CS:CS),VLOOKUP(V176,'Jan-2026 rates'!$E:$F,2,0)))</f>
        <v>0</v>
      </c>
      <c r="AJ176" s="404"/>
      <c r="AK176" s="398">
        <f>IF(AJ176=0,0,IF(LEN(W176)=11,_xlfn.XLOOKUP(W176,'Dispensed Ink Rates'!C:C,'Dispensed Ink Rates'!CS:CS),VLOOKUP(W176,'Jan-2026 rates'!$E:$F,2,0)))</f>
        <v>0</v>
      </c>
      <c r="AL176" s="404"/>
      <c r="AM176" s="398">
        <f>IF(AL176=0,0,IF(LEN(X176)=11,_xlfn.XLOOKUP(X176,'Dispensed Ink Rates'!C:C,'Dispensed Ink Rates'!CS:CS),VLOOKUP(X176,'Jan-2026 rates'!$E:$F,2,0)))</f>
        <v>0</v>
      </c>
      <c r="AN176" s="404"/>
      <c r="AO176" s="398">
        <f>IF(AN176=0,0,IF(LEN(Y176)=11,_xlfn.XLOOKUP(Y176,'Dispensed Ink Rates'!C:C,'Dispensed Ink Rates'!CS:CS),VLOOKUP(Y176,'Jan-2026 rates'!$E:$F,2,0)))</f>
        <v>0</v>
      </c>
      <c r="AP176" s="409" t="s">
        <v>1881</v>
      </c>
      <c r="AQ176" s="409">
        <v>25</v>
      </c>
      <c r="AR176" s="410">
        <f t="shared" si="106"/>
        <v>0</v>
      </c>
      <c r="AS176" s="411">
        <f t="shared" si="107"/>
        <v>4.1886792452830193</v>
      </c>
      <c r="AT176" s="410">
        <f t="shared" si="108"/>
        <v>0</v>
      </c>
      <c r="AU176" s="405" t="s">
        <v>547</v>
      </c>
      <c r="AV176" s="409" t="s">
        <v>3598</v>
      </c>
      <c r="AW176" s="420" t="str">
        <f t="shared" si="130"/>
        <v>ToyoLi - GREEN</v>
      </c>
      <c r="AX176" s="409">
        <v>25</v>
      </c>
      <c r="AY176" s="411">
        <f>IF(AX176=0,0,IF($LB176=70%,VLOOKUP($AW176,'Jan-2026 rates'!$L:$R,4,0),IF($LB176=65%,VLOOKUP($AW176,'Jan-2026 rates'!$L:$R,4,0),IF($LB176=40%,VLOOKUP($AW176,'Jan-2026 rates'!$L:$R,5,0),IF($LB176=30%,VLOOKUP($AW176,'Jan-2026 rates'!$L:$R,6,0),IF($LB176=100%,VLOOKUP($AW176,'Jan-2026 rates'!$L:$R,7,0),IF($LB176=60%,VLOOKUP($AW176,'Jan-2026 rates'!$L:$S,8,0),IF($LB176=80%,VLOOKUP($AW176,'Jan-2026 rates'!L:T,9,0),0))))))))</f>
        <v>0</v>
      </c>
      <c r="AZ176" s="412"/>
      <c r="BA176" s="409"/>
      <c r="BB176" s="411">
        <f>IF(BA176=0,0,IF($LB176=70%,VLOOKUP($AW176,'Jan-2026 rates'!$L:$R,4,0),IF($LB176=65%,VLOOKUP($AW176,'Jan-2026 rates'!$L:$R,4,0),IF($LB176=40%,VLOOKUP($AW176,'Jan-2026 rates'!$L:$R,5,0),IF($LB176=30%,VLOOKUP($AW176,'Jan-2026 rates'!$L:$R,6,0),IF($LB176=100%,VLOOKUP($AW176,'Jan-2026 rates'!$L:$R,7,0),IF($LB176=60%,VLOOKUP($AW176,'Jan-2026 rates'!$L:$S,8,0),IF($LB176=80%,VLOOKUP($AW176,'Jan-2026 rates'!L:T,9,0),0))))))))</f>
        <v>0</v>
      </c>
      <c r="BC176" s="413" t="s">
        <v>1251</v>
      </c>
      <c r="BD176" s="412" t="s">
        <v>1921</v>
      </c>
      <c r="BE176" s="412"/>
      <c r="BF176" s="413"/>
      <c r="BG176" s="412"/>
      <c r="BH176" s="412"/>
      <c r="BI176" s="412"/>
      <c r="BJ176" s="412"/>
      <c r="BK176" s="409">
        <v>1</v>
      </c>
      <c r="BL176" s="398">
        <f>IF(BK176=0,0,IF(LEN(BC176)=11,_xlfn.XLOOKUP(BC176,'Dispensed Ink Rates'!C:C,'Dispensed Ink Rates'!CS:CS),VLOOKUP(BC176,'Jan-2026 rates'!$E:$F,2,0)))</f>
        <v>0</v>
      </c>
      <c r="BM176" s="409">
        <v>2</v>
      </c>
      <c r="BN176" s="398">
        <f>IF(BM176=0,0,IF(LEN(BD176)=11,_xlfn.XLOOKUP(BD176,'Dispensed Ink Rates'!C:C,'Dispensed Ink Rates'!CS:CS),VLOOKUP(BD176,'Jan-2026 rates'!$E:$F,2,0)))</f>
        <v>0</v>
      </c>
      <c r="BO176" s="409"/>
      <c r="BP176" s="398">
        <f>IF(BO176=0,0,IF(LEN(BE176)=11,_xlfn.XLOOKUP(BE176,'Dispensed Ink Rates'!C:C,'Dispensed Ink Rates'!CS:CS),VLOOKUP(BE176,'Jan-2026 rates'!$E:$F,2,0)))</f>
        <v>0</v>
      </c>
      <c r="BQ176" s="409"/>
      <c r="BR176" s="398">
        <f>IF(BQ176=0,0,IF(LEN(BF176)=11,_xlfn.XLOOKUP(BF176,'Dispensed Ink Rates'!C:C,'Dispensed Ink Rates'!CS:CS),VLOOKUP(BF176,'Jan-2026 rates'!$E:$F,2,0)))</f>
        <v>0</v>
      </c>
      <c r="BS176" s="409"/>
      <c r="BT176" s="398">
        <f>IF(BS176=0,0,IF(LEN(BG176)=11,_xlfn.XLOOKUP(BG176,'Dispensed Ink Rates'!C:C,'Dispensed Ink Rates'!CS:CS),VLOOKUP(BG176,'Jan-2026 rates'!$E:$F,2,0)))</f>
        <v>0</v>
      </c>
      <c r="BU176" s="409"/>
      <c r="BV176" s="398">
        <f>IF(BU176=0,0,IF(LEN(BH176)=11,_xlfn.XLOOKUP(BH176,'Dispensed Ink Rates'!C:C,'Dispensed Ink Rates'!CS:CS),VLOOKUP(BH176,'Jan-2026 rates'!$E:$F,2,0)))</f>
        <v>0</v>
      </c>
      <c r="BW176" s="409"/>
      <c r="BX176" s="398">
        <f>IF(BW176=0,0,IF(LEN(BI176)=11,_xlfn.XLOOKUP(BI176,'Dispensed Ink Rates'!C:C,'Dispensed Ink Rates'!CS:CS),VLOOKUP(BI176,'Jan-2026 rates'!$E:$F,2,0)))</f>
        <v>0</v>
      </c>
      <c r="BY176" s="409"/>
      <c r="BZ176" s="398">
        <f>IF(BY176=0,0,IF(LEN(BJ176)=11,_xlfn.XLOOKUP(BJ176,'Dispensed Ink Rates'!C:C,'Dispensed Ink Rates'!CS:CS),VLOOKUP(BJ176,'Jan-2026 rates'!$E:$F,2,0)))</f>
        <v>0</v>
      </c>
      <c r="CA176" s="409" t="s">
        <v>1881</v>
      </c>
      <c r="CB176" s="409">
        <v>25</v>
      </c>
      <c r="CC176" s="411">
        <f t="shared" si="109"/>
        <v>0</v>
      </c>
      <c r="CD176" s="411">
        <f t="shared" si="110"/>
        <v>4.0943396226415096</v>
      </c>
      <c r="CE176" s="410">
        <f t="shared" si="111"/>
        <v>0</v>
      </c>
      <c r="CF176" s="404" t="s">
        <v>545</v>
      </c>
      <c r="CG176" s="409" t="s">
        <v>2323</v>
      </c>
      <c r="CH176" s="420" t="str">
        <f t="shared" si="132"/>
        <v>ToyoLi - YELLOW</v>
      </c>
      <c r="CI176" s="409">
        <v>18</v>
      </c>
      <c r="CJ176" s="411">
        <f>IF(CI176=0,0,IF($LB176=70%,VLOOKUP($CH176,'Jan-2026 rates'!$L:$R,4,0),IF($LB176=65%,VLOOKUP($CH176,'Jan-2026 rates'!$L:$R,4,0),IF($LB176=40%,VLOOKUP($CH176,'Jan-2026 rates'!$L:$R,5,0),IF($LB176=30%,VLOOKUP($CH176,'Jan-2026 rates'!$L:$R,6,0),IF($LB176=100%,VLOOKUP($CH176,'Jan-2026 rates'!$L:$R,7,0),IF($LB176=60%,VLOOKUP($CH176,'Jan-2026 rates'!$L:$S,8,0),IF($LB176=80%,VLOOKUP($CH176,'Jan-2026 rates'!L:T,9,0),0))))))))</f>
        <v>0</v>
      </c>
      <c r="CK176" s="412" t="s">
        <v>3599</v>
      </c>
      <c r="CL176" s="409">
        <f>20+18</f>
        <v>38</v>
      </c>
      <c r="CM176" s="411">
        <f>IF(CL176=0,0,IF($LB176=70%,VLOOKUP($CH176,'Jan-2026 rates'!$L:$R,4,0),IF($LB176=65%,VLOOKUP($CH176,'Jan-2026 rates'!$L:$R,4,0),IF($LB176=40%,VLOOKUP($CH176,'Jan-2026 rates'!$L:$R,5,0),IF($LB176=30%,VLOOKUP($CH176,'Jan-2026 rates'!$L:$R,6,0),IF($LB176=100%,VLOOKUP($CH176,'Jan-2026 rates'!$L:$R,7,0),IF($LB176=60%,VLOOKUP($CH176,'Jan-2026 rates'!$L:$S,8,0),IF($LB176=80%,VLOOKUP($CH176,'Jan-2026 rates'!L:T,9,0),0))))))))</f>
        <v>0</v>
      </c>
      <c r="CN176" s="426" t="s">
        <v>1247</v>
      </c>
      <c r="CO176" s="427" t="s">
        <v>1249</v>
      </c>
      <c r="CP176" s="426" t="s">
        <v>1248</v>
      </c>
      <c r="CQ176" s="426"/>
      <c r="CR176" s="428"/>
      <c r="CS176" s="428"/>
      <c r="CT176" s="428"/>
      <c r="CU176" s="428"/>
      <c r="CV176" s="409">
        <v>5</v>
      </c>
      <c r="CW176" s="398">
        <f>IF(CV176=0,0,IF(LEN(CN176)=11,_xlfn.XLOOKUP(CN176,'Dispensed Ink Rates'!C:C,'Dispensed Ink Rates'!CS:CS),VLOOKUP(CN176,'Jan-2026 rates'!$E:$F,2,0)))</f>
        <v>0</v>
      </c>
      <c r="CX176" s="409">
        <v>10</v>
      </c>
      <c r="CY176" s="398">
        <f>IF(CX176=0,0,IF(LEN(CO176)=11,_xlfn.XLOOKUP(CO176,'Dispensed Ink Rates'!C:C,'Dispensed Ink Rates'!CS:CS),VLOOKUP(CO176,'Jan-2026 rates'!$E:$F,2,0)))</f>
        <v>0</v>
      </c>
      <c r="CZ176" s="409">
        <v>0.5</v>
      </c>
      <c r="DA176" s="398">
        <f>IF(CZ176=0,0,IF(LEN(CP176)=11,_xlfn.XLOOKUP(CP176,'Dispensed Ink Rates'!C:C,'Dispensed Ink Rates'!CS:CS),VLOOKUP(CP176,'Jan-2026 rates'!$E:$F,2,0)))</f>
        <v>0</v>
      </c>
      <c r="DB176" s="409"/>
      <c r="DC176" s="398">
        <f>IF(DB176=0,0,IF(LEN(CQ176)=11,_xlfn.XLOOKUP(CQ176,'Dispensed Ink Rates'!C:C,'Dispensed Ink Rates'!CS:CS),VLOOKUP(CQ176,'Jan-2026 rates'!$E:$F,2,0)))</f>
        <v>0</v>
      </c>
      <c r="DD176" s="409"/>
      <c r="DE176" s="398">
        <f>IF(DD176=0,0,IF(LEN(CR176)=11,_xlfn.XLOOKUP(CR176,'Dispensed Ink Rates'!C:C,'Dispensed Ink Rates'!CS:CS),VLOOKUP(CR176,'Jan-2026 rates'!$E:$F,2,0)))</f>
        <v>0</v>
      </c>
      <c r="DF176" s="409"/>
      <c r="DG176" s="398">
        <f>IF(DF176=0,0,IF(LEN(CS176)=11,_xlfn.XLOOKUP(CS176,'Dispensed Ink Rates'!C:C,'Dispensed Ink Rates'!CS:CS),VLOOKUP(CS176,'Jan-2026 rates'!$E:$F,2,0)))</f>
        <v>0</v>
      </c>
      <c r="DH176" s="409"/>
      <c r="DI176" s="398">
        <f>IF(DH176=0,0,IF(LEN(CT176)=11,_xlfn.XLOOKUP(CT176,'Dispensed Ink Rates'!C:C,'Dispensed Ink Rates'!CS:CS),VLOOKUP(CT176,'Jan-2026 rates'!$E:$F,2,0)))</f>
        <v>0</v>
      </c>
      <c r="DJ176" s="409"/>
      <c r="DK176" s="398">
        <f>IF(DJ176=0,0,IF(LEN(CU176)=11,_xlfn.XLOOKUP(CU176,'Dispensed Ink Rates'!C:C,'Dispensed Ink Rates'!CS:CS),VLOOKUP(CU176,'Jan-2026 rates'!$E:$F,2,0)))</f>
        <v>0</v>
      </c>
      <c r="DL176" s="409" t="s">
        <v>1881</v>
      </c>
      <c r="DM176" s="409">
        <v>30</v>
      </c>
      <c r="DN176" s="411">
        <f t="shared" si="112"/>
        <v>0</v>
      </c>
      <c r="DO176" s="411">
        <f t="shared" si="113"/>
        <v>52.443396226415089</v>
      </c>
      <c r="DP176" s="410">
        <f t="shared" si="114"/>
        <v>0</v>
      </c>
      <c r="DQ176" s="405" t="s">
        <v>856</v>
      </c>
      <c r="DR176" s="409" t="s">
        <v>3600</v>
      </c>
      <c r="DS176" s="420" t="str">
        <f t="shared" si="133"/>
        <v>ToyoLi - WHITE</v>
      </c>
      <c r="DT176" s="409">
        <v>35</v>
      </c>
      <c r="DU176" s="411">
        <f>IF(DT176=0,0,IF($LB176=70%,VLOOKUP($DS176,'Jan-2026 rates'!$L:$R,4,0),IF($LB176=65%,VLOOKUP($DS176,'Jan-2026 rates'!$L:$R,4,0),IF($LB176=40%,VLOOKUP($DS176,'Jan-2026 rates'!$L:$R,5,0),IF($LB176=30%,VLOOKUP($DS176,'Jan-2026 rates'!$L:$R,6,0),IF($LB176=100%,VLOOKUP($DS176,'Jan-2026 rates'!$L:$R,7,0),IF($LB176=60%,VLOOKUP($DS176,'Jan-2026 rates'!$L:$S,8,0),IF($LB176=80%,VLOOKUP($DS176,'Jan-2026 rates'!L:T,9,0),0))))))))</f>
        <v>0</v>
      </c>
      <c r="DV176" s="412"/>
      <c r="DW176" s="409"/>
      <c r="DX176" s="411">
        <f>IF(DW176=0,0,IF($LB176=70%,VLOOKUP($DS176,'Jan-2026 rates'!$L:$R,4,0),IF($LB176=65%,VLOOKUP($DS176,'Jan-2026 rates'!$L:$R,4,0),IF($LB176=40%,VLOOKUP($DS176,'Jan-2026 rates'!$L:$R,5,0),IF($LB176=30%,VLOOKUP($DS176,'Jan-2026 rates'!$L:$R,6,0),IF($LB176=100%,VLOOKUP($DS176,'Jan-2026 rates'!$L:$R,7,0),IF($LB176=60%,VLOOKUP($DS176,'Jan-2026 rates'!$L:$S,8,0),IF($LB176=80%,VLOOKUP($DS176,'Jan-2026 rates'!L:T,9,0),0))))))))</f>
        <v>0</v>
      </c>
      <c r="DY176" s="413" t="s">
        <v>1249</v>
      </c>
      <c r="DZ176" s="413"/>
      <c r="EA176" s="412"/>
      <c r="EB176" s="412"/>
      <c r="EC176" s="412"/>
      <c r="ED176" s="412"/>
      <c r="EE176" s="412"/>
      <c r="EF176" s="412"/>
      <c r="EG176" s="409">
        <v>30</v>
      </c>
      <c r="EH176" s="398">
        <f>IF(EG176=0,0,IF(LEN(DY176)=11,_xlfn.XLOOKUP(DY176,'Dispensed Ink Rates'!C:C,'Dispensed Ink Rates'!CS:CS),VLOOKUP(DY176,'Jan-2026 rates'!$E:$F,2,0)))</f>
        <v>0</v>
      </c>
      <c r="EI176" s="409"/>
      <c r="EJ176" s="398">
        <f>IF(EI176=0,0,IF(LEN(DZ176)=11,_xlfn.XLOOKUP(DZ176,'Dispensed Ink Rates'!C:C,'Dispensed Ink Rates'!CS:CS),VLOOKUP(DZ176,'Jan-2026 rates'!$E:$F,2,0)))</f>
        <v>0</v>
      </c>
      <c r="EK176" s="409"/>
      <c r="EL176" s="398">
        <f>IF(EK176=0,0,IF(LEN(EA176)=11,_xlfn.XLOOKUP(EA176,'Dispensed Ink Rates'!C:C,'Dispensed Ink Rates'!CS:CS),VLOOKUP(EA176,'Jan-2026 rates'!$E:$F,2,0)))</f>
        <v>0</v>
      </c>
      <c r="EM176" s="409"/>
      <c r="EN176" s="398">
        <f>IF(EM176=0,0,IF(LEN(EB176)=11,_xlfn.XLOOKUP(EB176,'Dispensed Ink Rates'!C:C,'Dispensed Ink Rates'!CS:CS),VLOOKUP(EB176,'Jan-2026 rates'!$E:$F,2,0)))</f>
        <v>0</v>
      </c>
      <c r="EO176" s="409"/>
      <c r="EP176" s="398">
        <f>IF(EO176=0,0,IF(LEN(EC176)=11,_xlfn.XLOOKUP(EC176,'Dispensed Ink Rates'!C:C,'Dispensed Ink Rates'!CS:CS),VLOOKUP(EC176,'Jan-2026 rates'!$E:$F,2,0)))</f>
        <v>0</v>
      </c>
      <c r="EQ176" s="409"/>
      <c r="ER176" s="398">
        <f>IF(EQ176=0,0,IF(LEN(ED176)=11,_xlfn.XLOOKUP(ED176,'Dispensed Ink Rates'!C:C,'Dispensed Ink Rates'!CS:CS),VLOOKUP(ED176,'Jan-2026 rates'!$E:$F,2,0)))</f>
        <v>0</v>
      </c>
      <c r="ES176" s="409"/>
      <c r="ET176" s="398">
        <f>IF(ES176=0,0,IF(LEN(EE176)=11,_xlfn.XLOOKUP(EE176,'Dispensed Ink Rates'!C:C,'Dispensed Ink Rates'!CS:CS),VLOOKUP(EE176,'Jan-2026 rates'!$E:$F,2,0)))</f>
        <v>0</v>
      </c>
      <c r="EU176" s="409"/>
      <c r="EV176" s="398">
        <f>IF(EU176=0,0,IF(LEN(EF176)=11,_xlfn.XLOOKUP(EF176,'Dispensed Ink Rates'!C:C,'Dispensed Ink Rates'!CS:CS),VLOOKUP(EF176,'Jan-2026 rates'!$E:$F,2,0)))</f>
        <v>0</v>
      </c>
      <c r="EW176" s="409" t="s">
        <v>1881</v>
      </c>
      <c r="EX176" s="409">
        <v>25</v>
      </c>
      <c r="EY176" s="411">
        <f t="shared" si="115"/>
        <v>0</v>
      </c>
      <c r="EZ176" s="411">
        <f t="shared" si="116"/>
        <v>83.773584905660385</v>
      </c>
      <c r="FA176" s="410">
        <f t="shared" si="117"/>
        <v>0</v>
      </c>
      <c r="FB176" s="405"/>
      <c r="FC176" s="409"/>
      <c r="FD176" s="420" t="str">
        <f t="shared" si="134"/>
        <v xml:space="preserve"> - </v>
      </c>
      <c r="FE176" s="409"/>
      <c r="FF176" s="411">
        <f>IF(FE176=0,0,IF($LB176=70%,VLOOKUP($FD176,'Jan-2026 rates'!$L:$R,4,0),IF($LB176=65%,VLOOKUP($FD176,'Jan-2026 rates'!$L:$R,4,0),IF($LB176=40%,VLOOKUP($FD176,'Jan-2026 rates'!$L:$R,5,0),IF($LB176=30%,VLOOKUP($FD176,'Jan-2026 rates'!$L:$R,6,0),IF($LB176=100%,VLOOKUP($FD176,'Jan-2026 rates'!$L:$R,7,0),IF($LB176=60%,VLOOKUP($FD176,'Jan-2026 rates'!$L:$S,8,0),IF($LB176=80%,VLOOKUP($FD176,'Jan-2026 rates'!L:T,9,0),0))))))))</f>
        <v>0</v>
      </c>
      <c r="FG176" s="412"/>
      <c r="FH176" s="409"/>
      <c r="FI176" s="411">
        <f>IF(FH176=0,0,IF($LB176=70%,VLOOKUP($FD176,'Jan-2026 rates'!$L:$R,4,0),IF($LB176=65%,VLOOKUP($FD176,'Jan-2026 rates'!$L:$R,4,0),IF($LB176=40%,VLOOKUP($FD176,'Jan-2026 rates'!$L:$R,5,0),IF($LB176=30%,VLOOKUP($FD176,'Jan-2026 rates'!$L:$R,6,0),IF($LB176=100%,VLOOKUP($FD176,'Jan-2026 rates'!$L:$R,7,0),IF($LB176=60%,VLOOKUP($FD176,'Jan-2026 rates'!$L:$S,8,0),IF($LB176=80%,VLOOKUP($FD176,'Jan-2026 rates'!L:T,9,0),0))))))))</f>
        <v>0</v>
      </c>
      <c r="FJ176" s="413"/>
      <c r="FK176" s="413"/>
      <c r="FL176" s="413"/>
      <c r="FM176" s="412"/>
      <c r="FN176" s="412"/>
      <c r="FO176" s="412"/>
      <c r="FP176" s="412"/>
      <c r="FQ176" s="412"/>
      <c r="FR176" s="409"/>
      <c r="FS176" s="398">
        <f>IF(FR176=0,0,IF(LEN(FJ176)=11,_xlfn.XLOOKUP(FJ176,'Dispensed Ink Rates'!C:C,'Dispensed Ink Rates'!CS:CS),VLOOKUP(FJ176,'Jan-2026 rates'!$E:$F,2,0)))</f>
        <v>0</v>
      </c>
      <c r="FT176" s="409"/>
      <c r="FU176" s="398">
        <f>IF(FT176=0,0,IF(LEN(FK176)=11,_xlfn.XLOOKUP(FK176,'Dispensed Ink Rates'!C:C,'Dispensed Ink Rates'!CS:CS),VLOOKUP(FK176,'Jan-2026 rates'!$E:$F,2,0)))</f>
        <v>0</v>
      </c>
      <c r="FV176" s="409"/>
      <c r="FW176" s="398">
        <f>IF(FV176=0,0,IF(LEN(FL176)=11,_xlfn.XLOOKUP(FL176,'Dispensed Ink Rates'!C:C,'Dispensed Ink Rates'!CS:CS),VLOOKUP(FL176,'Jan-2026 rates'!$E:$F,2,0)))</f>
        <v>0</v>
      </c>
      <c r="FX176" s="409"/>
      <c r="FY176" s="398">
        <f>IF(FX176=0,0,IF(LEN(FM176)=11,_xlfn.XLOOKUP(FM176,'Dispensed Ink Rates'!C:C,'Dispensed Ink Rates'!CS:CS),VLOOKUP(FM176,'Jan-2026 rates'!$E:$F,2,0)))</f>
        <v>0</v>
      </c>
      <c r="FZ176" s="409"/>
      <c r="GA176" s="398">
        <f>IF(FZ176=0,0,IF(LEN(FN176)=11,_xlfn.XLOOKUP(FN176,'Dispensed Ink Rates'!C:C,'Dispensed Ink Rates'!CS:CS),VLOOKUP(FN176,'Jan-2026 rates'!$E:$F,2,0)))</f>
        <v>0</v>
      </c>
      <c r="GB176" s="409"/>
      <c r="GC176" s="398">
        <f>IF(GB176=0,0,IF(LEN(FO176)=11,_xlfn.XLOOKUP(FO176,'Dispensed Ink Rates'!C:C,'Dispensed Ink Rates'!CS:CS),VLOOKUP(FO176,'Jan-2026 rates'!$E:$F,2,0)))</f>
        <v>0</v>
      </c>
      <c r="GD176" s="409"/>
      <c r="GE176" s="398">
        <f>IF(GD176=0,0,IF(LEN(FP176)=11,_xlfn.XLOOKUP(FP176,'Dispensed Ink Rates'!C:C,'Dispensed Ink Rates'!CS:CS),VLOOKUP(FP176,'Jan-2026 rates'!$E:$F,2,0)))</f>
        <v>0</v>
      </c>
      <c r="GF176" s="409"/>
      <c r="GG176" s="398">
        <f>IF(GF176=0,0,IF(LEN(FQ176)=11,_xlfn.XLOOKUP(FQ176,'Dispensed Ink Rates'!C:C,'Dispensed Ink Rates'!CS:CS),VLOOKUP(FQ176,'Jan-2026 rates'!$E:$F,2,0)))</f>
        <v>0</v>
      </c>
      <c r="GH176" s="409"/>
      <c r="GI176" s="409"/>
      <c r="GJ176" s="411">
        <f t="shared" si="118"/>
        <v>0</v>
      </c>
      <c r="GK176" s="411">
        <f t="shared" si="119"/>
        <v>0</v>
      </c>
      <c r="GL176" s="410">
        <f t="shared" si="120"/>
        <v>0</v>
      </c>
      <c r="GM176" s="405"/>
      <c r="GN176" s="409"/>
      <c r="GO176" s="420" t="str">
        <f t="shared" si="135"/>
        <v xml:space="preserve"> - </v>
      </c>
      <c r="GP176" s="409"/>
      <c r="GQ176" s="411">
        <f>IF(GP176=0,0,IF($LB176=70%,VLOOKUP($GO176,'Jan-2026 rates'!$L:$R,4,0),IF($LB176=65%,VLOOKUP($GO176,'Jan-2026 rates'!$L:$R,4,0),IF($LB176=40%,VLOOKUP($GO176,'Jan-2026 rates'!$L:$R,5,0),IF($LB176=30%,VLOOKUP($GO176,'Jan-2026 rates'!$L:$R,6,0),IF($LB176=100%,VLOOKUP($GO176,'Jan-2026 rates'!$L:$R,7,0),IF($LB176=60%,VLOOKUP($GO176,'Jan-2026 rates'!$L:$S,8,0),IF($LB176=80%,VLOOKUP($GO176,'Jan-2026 rates'!L:T,9,0),0))))))))</f>
        <v>0</v>
      </c>
      <c r="GR176" s="412"/>
      <c r="GS176" s="409"/>
      <c r="GT176" s="411">
        <f>IF(GS176=0,0,IF($LB176=70%,VLOOKUP($GO176,'Jan-2026 rates'!$L:$R,4,0),IF($LB176=65%,VLOOKUP($GO176,'Jan-2026 rates'!$L:$R,4,0),IF($LB176=40%,VLOOKUP($GO176,'Jan-2026 rates'!$L:$R,5,0),IF($LB176=30%,VLOOKUP($GO176,'Jan-2026 rates'!$L:$R,6,0),IF($LB176=100%,VLOOKUP($GO176,'Jan-2026 rates'!$L:$R,7,0),IF($LB176=60%,VLOOKUP($GO176,'Jan-2026 rates'!$L:$S,8,0),IF($LB176=80%,VLOOKUP($GO176,'Jan-2026 rates'!L:T,9,0),0))))))))</f>
        <v>0</v>
      </c>
      <c r="GU176" s="413"/>
      <c r="GV176" s="413"/>
      <c r="GW176" s="412"/>
      <c r="GX176" s="412"/>
      <c r="GY176" s="412"/>
      <c r="GZ176" s="412"/>
      <c r="HA176" s="412"/>
      <c r="HB176" s="412"/>
      <c r="HC176" s="409"/>
      <c r="HD176" s="398">
        <f>IF(HC176=0,0,IF(LEN(GU176)=11,_xlfn.XLOOKUP(GU176,'Dispensed Ink Rates'!C:C,'Dispensed Ink Rates'!CS:CS),VLOOKUP(GU176,'Jan-2026 rates'!$E:$F,2,0)))</f>
        <v>0</v>
      </c>
      <c r="HE176" s="409"/>
      <c r="HF176" s="398">
        <f>IF(HE176=0,0,IF(LEN(GV176)=11,_xlfn.XLOOKUP(GV176,'Dispensed Ink Rates'!C:C,'Dispensed Ink Rates'!CS:CS),VLOOKUP(GV176,'Jan-2026 rates'!$E:$F,2,0)))</f>
        <v>0</v>
      </c>
      <c r="HG176" s="409"/>
      <c r="HH176" s="398">
        <f>IF(HG176=0,0,IF(LEN(GW176)=11,_xlfn.XLOOKUP(GW176,'Dispensed Ink Rates'!C:C,'Dispensed Ink Rates'!CS:CS),VLOOKUP(GW176,'Jan-2026 rates'!$E:$F,2,0)))</f>
        <v>0</v>
      </c>
      <c r="HI176" s="409"/>
      <c r="HJ176" s="398">
        <f>IF(HI176=0,0,IF(LEN(GX176)=11,_xlfn.XLOOKUP(GX176,'Dispensed Ink Rates'!C:C,'Dispensed Ink Rates'!CS:CS),VLOOKUP(GX176,'Jan-2026 rates'!$E:$F,2,0)))</f>
        <v>0</v>
      </c>
      <c r="HK176" s="409"/>
      <c r="HL176" s="398">
        <f>IF(HK176=0,0,IF(LEN(GY176)=11,_xlfn.XLOOKUP(GY176,'Dispensed Ink Rates'!C:C,'Dispensed Ink Rates'!CS:CS),VLOOKUP(GY176,'Jan-2026 rates'!$E:$F,2,0)))</f>
        <v>0</v>
      </c>
      <c r="HM176" s="409"/>
      <c r="HN176" s="398">
        <f>IF(HM176=0,0,IF(LEN(GZ176)=11,_xlfn.XLOOKUP(GZ176,'Dispensed Ink Rates'!C:C,'Dispensed Ink Rates'!CS:CS),VLOOKUP(GZ176,'Jan-2026 rates'!$E:$F,2,0)))</f>
        <v>0</v>
      </c>
      <c r="HO176" s="409"/>
      <c r="HP176" s="398">
        <f>IF(HO176=0,0,IF(LEN(HA176)=11,_xlfn.XLOOKUP(HA176,'Dispensed Ink Rates'!C:C,'Dispensed Ink Rates'!CS:CS),VLOOKUP(HA176,'Jan-2026 rates'!$E:$F,2,0)))</f>
        <v>0</v>
      </c>
      <c r="HQ176" s="409"/>
      <c r="HR176" s="398">
        <f>IF(HQ176=0,0,IF(LEN(HB176)=11,_xlfn.XLOOKUP(HB176,'Dispensed Ink Rates'!C:C,'Dispensed Ink Rates'!CS:CS),VLOOKUP(HB176,'Jan-2026 rates'!$E:$F,2,0)))</f>
        <v>0</v>
      </c>
      <c r="HS176" s="409"/>
      <c r="HT176" s="409"/>
      <c r="HU176" s="411">
        <f t="shared" si="121"/>
        <v>0</v>
      </c>
      <c r="HV176" s="411">
        <f t="shared" si="122"/>
        <v>0</v>
      </c>
      <c r="HW176" s="414">
        <f t="shared" si="123"/>
        <v>0</v>
      </c>
      <c r="HX176" s="405"/>
      <c r="HY176" s="409"/>
      <c r="HZ176" s="420" t="str">
        <f t="shared" si="136"/>
        <v xml:space="preserve"> - </v>
      </c>
      <c r="IA176" s="409"/>
      <c r="IB176" s="411">
        <f>IF(IA176=0,0,IF($LB176=70%,VLOOKUP($HZ176,'Jan-2026 rates'!$L:$R,4,0),IF($LB176=65%,VLOOKUP($HZ176,'Jan-2026 rates'!$L:$R,4,0),IF($LB176=40%,VLOOKUP($HZ176,'Jan-2026 rates'!$L:$R,5,0),IF($LB176=30%,VLOOKUP($HZ176,'Jan-2026 rates'!$L:$R,6,0),IF($LB176=100%,VLOOKUP($HZ176,'Jan-2026 rates'!$L:$R,7,0),IF($LB176=60%,VLOOKUP($HZ176,'Jan-2026 rates'!$L:$S,8,0),IF($LB176=80%,VLOOKUP($HZ176,'Jan-2026 rates'!L:T,9,0),0))))))))</f>
        <v>0</v>
      </c>
      <c r="IC176" s="412"/>
      <c r="ID176" s="409"/>
      <c r="IE176" s="411">
        <f>IF(ID176=0,0,IF($LB176=70%,VLOOKUP($HZ176,'Jan-2026 rates'!$L:$R,4,0),IF($LB176=65%,VLOOKUP($HZ176,'Jan-2026 rates'!$L:$R,4,0),IF($LB176=40%,VLOOKUP($HZ176,'Jan-2026 rates'!$L:$R,5,0),IF($LB176=30%,VLOOKUP($HZ176,'Jan-2026 rates'!$L:$R,6,0),IF($LB176=100%,VLOOKUP($HZ176,'Jan-2026 rates'!$L:$R,7,0),IF($LB176=60%,VLOOKUP($HZ176,'Jan-2026 rates'!$L:$S,8,0),IF($LB176=80%,VLOOKUP($HZ176,'Jan-2026 rates'!L:T,9,0),0))))))))</f>
        <v>0</v>
      </c>
      <c r="IF176" s="412"/>
      <c r="IG176" s="413"/>
      <c r="IH176" s="412"/>
      <c r="II176" s="412"/>
      <c r="IJ176" s="412"/>
      <c r="IK176" s="412"/>
      <c r="IL176" s="412"/>
      <c r="IM176" s="412"/>
      <c r="IN176" s="409"/>
      <c r="IO176" s="398">
        <f>IF(IN176=0,0,IF(LEN(IF176)=11,_xlfn.XLOOKUP(IF176,'Dispensed Ink Rates'!C:C,'Dispensed Ink Rates'!CS:CS),VLOOKUP(IF176,'Jan-2026 rates'!$E:$F,2,0)))</f>
        <v>0</v>
      </c>
      <c r="IP176" s="409"/>
      <c r="IQ176" s="398">
        <f>IF(IP176=0,0,IF(LEN(IG176)=11,_xlfn.XLOOKUP(IG176,'Dispensed Ink Rates'!C:C,'Dispensed Ink Rates'!CS:CS),VLOOKUP(IG176,'Jan-2026 rates'!$E:$F,2,0)))</f>
        <v>0</v>
      </c>
      <c r="IR176" s="409"/>
      <c r="IS176" s="398">
        <f>IF(IR176=0,0,IF(LEN(IH176)=11,_xlfn.XLOOKUP(IH176,'Dispensed Ink Rates'!C:C,'Dispensed Ink Rates'!CS:CS),VLOOKUP(IH176,'Jan-2026 rates'!$E:$F,2,0)))</f>
        <v>0</v>
      </c>
      <c r="IT176" s="409"/>
      <c r="IU176" s="398">
        <f>IF(IT176=0,0,IF(LEN(II176)=11,_xlfn.XLOOKUP(II176,'Dispensed Ink Rates'!C:C,'Dispensed Ink Rates'!CS:CS),VLOOKUP(II176,'Jan-2026 rates'!$E:$F,2,0)))</f>
        <v>0</v>
      </c>
      <c r="IV176" s="409"/>
      <c r="IW176" s="398">
        <f>IF(IV176=0,0,IF(LEN(IJ176)=11,_xlfn.XLOOKUP(IJ176,'Dispensed Ink Rates'!C:C,'Dispensed Ink Rates'!CS:CS),VLOOKUP(IJ176,'Jan-2026 rates'!$E:$F,2,0)))</f>
        <v>0</v>
      </c>
      <c r="IX176" s="409"/>
      <c r="IY176" s="398">
        <f>IF(IX176=0,0,IF(LEN(IK176)=11,_xlfn.XLOOKUP(IK176,'Dispensed Ink Rates'!C:C,'Dispensed Ink Rates'!CS:CS),VLOOKUP(IK176,'Jan-2026 rates'!$E:$F,2,0)))</f>
        <v>0</v>
      </c>
      <c r="IZ176" s="409"/>
      <c r="JA176" s="398">
        <f>IF(IZ176=0,0,IF(LEN(IL176)=11,_xlfn.XLOOKUP(IL176,'Dispensed Ink Rates'!C:C,'Dispensed Ink Rates'!CS:CS),VLOOKUP(IL176,'Jan-2026 rates'!$E:$F,2,0)))</f>
        <v>0</v>
      </c>
      <c r="JB176" s="409"/>
      <c r="JC176" s="398">
        <f>IF(JB176=0,0,IF(LEN(IM176)=11,_xlfn.XLOOKUP(IM176,'Dispensed Ink Rates'!C:C,'Dispensed Ink Rates'!CS:CS),VLOOKUP(IM176,'Jan-2026 rates'!$E:$F,2,0)))</f>
        <v>0</v>
      </c>
      <c r="JD176" s="409"/>
      <c r="JE176" s="409"/>
      <c r="JF176" s="411">
        <f t="shared" si="124"/>
        <v>0</v>
      </c>
      <c r="JG176" s="411">
        <f t="shared" si="125"/>
        <v>0</v>
      </c>
      <c r="JH176" s="410">
        <f t="shared" si="126"/>
        <v>0</v>
      </c>
      <c r="JI176" s="405"/>
      <c r="JJ176" s="409"/>
      <c r="JK176" s="420" t="str">
        <f t="shared" si="137"/>
        <v xml:space="preserve"> - </v>
      </c>
      <c r="JL176" s="409"/>
      <c r="JM176" s="411">
        <f>IF(JL176=0,0,IF($LB176=70%,VLOOKUP($JK176,'Jan-2026 rates'!$L:$R,4,0),IF($LB176=65%,VLOOKUP($JK176,'Jan-2026 rates'!$L:$R,4,0),IF($LB176=40%,VLOOKUP($JK176,'Jan-2026 rates'!$L:$R,5,0),IF($LB176=30%,VLOOKUP($JK176,'Jan-2026 rates'!$L:$R,6,0),IF($LB176=100%,VLOOKUP($JK176,'Jan-2026 rates'!$L:$R,7,0),IF($LB176=60%,VLOOKUP($JK176,'Jan-2026 rates'!$L:$S,8,0),IF($LB176=80%,VLOOKUP($JK176,'Jan-2026 rates'!L:T,9,0),0))))))))</f>
        <v>0</v>
      </c>
      <c r="JN176" s="412"/>
      <c r="JO176" s="409"/>
      <c r="JP176" s="411">
        <f>IF(JO176=0,0,IF($LB176=70%,VLOOKUP($JK176,'Jan-2026 rates'!$L:$R,4,0),IF($LB176=65%,VLOOKUP($JK176,'Jan-2026 rates'!$L:$R,4,0),IF($LB176=40%,VLOOKUP($JK176,'Jan-2026 rates'!$L:$R,5,0),IF($LB176=30%,VLOOKUP($JK176,'Jan-2026 rates'!$L:$R,6,0),IF($LB176=100%,VLOOKUP($JK176,'Jan-2026 rates'!$L:$R,7,0),IF($LB176=60%,VLOOKUP($JK176,'Jan-2026 rates'!$L:$S,8,0),IF($LB176=80%,VLOOKUP($JK176,'Jan-2026 rates'!L:T,9,0),0))))))))</f>
        <v>0</v>
      </c>
      <c r="JQ176" s="413"/>
      <c r="JR176" s="412"/>
      <c r="JS176" s="413"/>
      <c r="JT176" s="413"/>
      <c r="JU176" s="412"/>
      <c r="JV176" s="412"/>
      <c r="JW176" s="412"/>
      <c r="JX176" s="412"/>
      <c r="JY176" s="409"/>
      <c r="JZ176" s="398">
        <f>IF(JY176=0,0,IF(LEN(JQ176)=11,_xlfn.XLOOKUP(JQ176,'Dispensed Ink Rates'!C:C,'Dispensed Ink Rates'!CS:CS),VLOOKUP(JQ176,'Jan-2026 rates'!$E:$F,2,0)))</f>
        <v>0</v>
      </c>
      <c r="KA176" s="409"/>
      <c r="KB176" s="398">
        <f>IF(KA176=0,0,IF(LEN(JR176)=11,_xlfn.XLOOKUP(JR176,'Dispensed Ink Rates'!C:C,'Dispensed Ink Rates'!CS:CS),VLOOKUP(JR176,'Jan-2026 rates'!$E:$F,2,0)))</f>
        <v>0</v>
      </c>
      <c r="KC176" s="409"/>
      <c r="KD176" s="398">
        <f>IF(KC176=0,0,IF(LEN(JS176)=11,_xlfn.XLOOKUP(JS176,'Dispensed Ink Rates'!C:C,'Dispensed Ink Rates'!CS:CS),VLOOKUP(JS176,'Jan-2026 rates'!$E:$F,2,0)))</f>
        <v>0</v>
      </c>
      <c r="KE176" s="409"/>
      <c r="KF176" s="398">
        <f>IF(KE176=0,0,IF(LEN(JT176)=11,_xlfn.XLOOKUP(JT176,'Dispensed Ink Rates'!C:C,'Dispensed Ink Rates'!CS:CS),VLOOKUP(JT176,'Jan-2026 rates'!$E:$F,2,0)))</f>
        <v>0</v>
      </c>
      <c r="KG176" s="409"/>
      <c r="KH176" s="398">
        <f>IF(KG176=0,0,IF(LEN(JU176)=11,_xlfn.XLOOKUP(JU176,'Dispensed Ink Rates'!C:C,'Dispensed Ink Rates'!CS:CS),VLOOKUP(JU176,'Jan-2026 rates'!$E:$F,2,0)))</f>
        <v>0</v>
      </c>
      <c r="KI176" s="409"/>
      <c r="KJ176" s="398">
        <f>IF(KI176=0,0,IF(LEN(JV176)=11,_xlfn.XLOOKUP(JV176,'Dispensed Ink Rates'!C:C,'Dispensed Ink Rates'!CS:CS),VLOOKUP(JV176,'Jan-2026 rates'!$E:$F,2,0)))</f>
        <v>0</v>
      </c>
      <c r="KK176" s="409"/>
      <c r="KL176" s="398">
        <f>IF(KK176=0,0,IF(LEN(JW176)=11,_xlfn.XLOOKUP(JW176,'Dispensed Ink Rates'!C:C,'Dispensed Ink Rates'!CS:CS),VLOOKUP(JW176,'Jan-2026 rates'!$E:$F,2,0)))</f>
        <v>0</v>
      </c>
      <c r="KM176" s="428"/>
      <c r="KN176" s="398">
        <f>IF(KM176=0,0,IF(LEN(JX176)=11,_xlfn.XLOOKUP(JX176,'Dispensed Ink Rates'!C:C,'Dispensed Ink Rates'!CS:CS),VLOOKUP(JX176,'Jan-2026 rates'!$E:$F,2,0)))</f>
        <v>0</v>
      </c>
      <c r="KO176" s="409"/>
      <c r="KP176" s="409"/>
      <c r="KQ176" s="411">
        <f t="shared" si="127"/>
        <v>0</v>
      </c>
      <c r="KR176" s="411">
        <f t="shared" si="128"/>
        <v>0</v>
      </c>
      <c r="KS176" s="410">
        <f t="shared" si="129"/>
        <v>0</v>
      </c>
      <c r="KT176" s="409">
        <v>1</v>
      </c>
      <c r="KU176" s="409">
        <v>0.5</v>
      </c>
      <c r="KV176" s="409">
        <v>5</v>
      </c>
      <c r="KW176" s="409">
        <v>20</v>
      </c>
      <c r="KX176" s="409">
        <v>0</v>
      </c>
      <c r="KY176" s="409">
        <v>0</v>
      </c>
      <c r="KZ176" s="409">
        <v>0</v>
      </c>
      <c r="LA176" s="409">
        <v>0</v>
      </c>
      <c r="LB176" s="415">
        <v>0.3</v>
      </c>
      <c r="LC176" s="415"/>
      <c r="LD176" s="415"/>
      <c r="LE176" s="415">
        <v>0.5</v>
      </c>
      <c r="LF176" s="415">
        <v>0.2</v>
      </c>
      <c r="LG176" s="409">
        <v>0</v>
      </c>
      <c r="LH176" s="409">
        <f>20+18+6+10+4</f>
        <v>58</v>
      </c>
      <c r="LI176" s="409">
        <v>0</v>
      </c>
      <c r="LJ176" s="409">
        <v>0</v>
      </c>
      <c r="LK176" s="416">
        <f t="shared" si="138"/>
        <v>58</v>
      </c>
      <c r="LL176" s="416">
        <f t="shared" si="139"/>
        <v>58</v>
      </c>
      <c r="LM176" s="417">
        <f t="shared" si="140"/>
        <v>17.399999999999999</v>
      </c>
      <c r="LN176" s="417">
        <f>VLOOKUP($LM$8,'Jan-2026 rates'!$H:$I,2,0)</f>
        <v>0</v>
      </c>
      <c r="LO176" s="417">
        <f t="shared" si="141"/>
        <v>0</v>
      </c>
      <c r="LP176" s="417">
        <f>VLOOKUP($LO$8,'Jan-2026 rates'!$H:$I,2,0)</f>
        <v>0</v>
      </c>
      <c r="LQ176" s="417">
        <f t="shared" si="142"/>
        <v>0</v>
      </c>
      <c r="LR176" s="417">
        <f>VLOOKUP($LQ$8,'Jan-2026 rates'!$H:$I,2,0)</f>
        <v>0</v>
      </c>
      <c r="LS176" s="417">
        <f t="shared" si="143"/>
        <v>29</v>
      </c>
      <c r="LT176" s="417">
        <f>VLOOKUP($LS$8,'Jan-2026 rates'!$H:$I,2,0)</f>
        <v>0</v>
      </c>
      <c r="LU176" s="417">
        <f t="shared" si="144"/>
        <v>11.600000000000001</v>
      </c>
      <c r="LV176" s="417">
        <f>VLOOKUP($LU$8,'Jan-2026 rates'!$H:$I,2,0)</f>
        <v>0</v>
      </c>
      <c r="LW176" s="417">
        <f t="shared" si="145"/>
        <v>0</v>
      </c>
      <c r="LX176" s="417">
        <f t="shared" si="146"/>
        <v>0</v>
      </c>
      <c r="LY176" s="418">
        <f t="shared" si="147"/>
        <v>0</v>
      </c>
      <c r="LZ176" s="417"/>
      <c r="MA176" s="435">
        <f t="shared" si="148"/>
        <v>49.5</v>
      </c>
      <c r="MB176" s="282">
        <f t="shared" si="149"/>
        <v>144.5</v>
      </c>
      <c r="MC176" s="283" t="s">
        <v>2011</v>
      </c>
      <c r="MD176" s="284" t="str">
        <f t="shared" si="150"/>
        <v>ToyoLiToyoLiToyoLiToyoLi</v>
      </c>
      <c r="ME176" s="293" t="str">
        <f t="shared" si="151"/>
        <v>+</v>
      </c>
      <c r="MF176" s="293" t="str">
        <f t="shared" si="152"/>
        <v>+</v>
      </c>
      <c r="MG176" s="293" t="str">
        <f t="shared" si="153"/>
        <v>+</v>
      </c>
      <c r="MH176" s="293" t="str">
        <f t="shared" si="154"/>
        <v>+</v>
      </c>
      <c r="MI176" s="293" t="str">
        <f t="shared" si="155"/>
        <v>NIL</v>
      </c>
      <c r="MJ176" s="293" t="str">
        <f t="shared" si="156"/>
        <v>NIL</v>
      </c>
      <c r="MK176" s="293" t="str">
        <f t="shared" si="157"/>
        <v>NIL</v>
      </c>
      <c r="ML176" s="293" t="str">
        <f t="shared" si="158"/>
        <v>NIL</v>
      </c>
      <c r="MM176" s="3" t="b">
        <f t="array" ref="MM176">OR(ME176:ML176="-")</f>
        <v>0</v>
      </c>
      <c r="MN176" s="285"/>
      <c r="MO176" s="401"/>
      <c r="MP176" s="286"/>
      <c r="MQ176" s="286"/>
      <c r="MR176" s="402"/>
      <c r="MS176" s="400"/>
      <c r="NH176" s="422"/>
      <c r="NJ176" s="421"/>
    </row>
    <row r="177" spans="1:374" s="1" customFormat="1" ht="16.5">
      <c r="A177" s="403">
        <v>46035</v>
      </c>
      <c r="B177" s="404" t="s">
        <v>1015</v>
      </c>
      <c r="C177" s="405" t="s">
        <v>3601</v>
      </c>
      <c r="D177" s="406" t="s">
        <v>2012</v>
      </c>
      <c r="E177" s="404">
        <v>125</v>
      </c>
      <c r="F177" s="407">
        <v>7900</v>
      </c>
      <c r="G177" s="407" t="s">
        <v>1016</v>
      </c>
      <c r="H177" s="408" t="s">
        <v>1017</v>
      </c>
      <c r="I177" s="409">
        <v>2.4</v>
      </c>
      <c r="J177" s="405" t="s">
        <v>543</v>
      </c>
      <c r="K177" s="404" t="s">
        <v>3602</v>
      </c>
      <c r="L177" s="419" t="str">
        <f t="shared" si="131"/>
        <v>ToyoLi - BLACK</v>
      </c>
      <c r="M177" s="404">
        <v>25</v>
      </c>
      <c r="N177" s="410">
        <f>IF(M177=0,0,IF($LB177=70%,VLOOKUP($L177,'Jan-2026 rates'!$L:$R,4,0),IF($LB177=65%,VLOOKUP($L177,'Jan-2026 rates'!$L:$R,4,0),IF($LB177=40%,VLOOKUP($L177,'Jan-2026 rates'!$L:$R,5,0),IF($LB177=30%,VLOOKUP($L177,'Jan-2026 rates'!$L:$R,6,0),IF($LB177=100%,VLOOKUP($L177,'Jan-2026 rates'!$L:$R,7,0),IF($LB177=60%,VLOOKUP($L177,'Jan-2026 rates'!$L:$S,8,0),IF($LB177=80%,VLOOKUP($L177,'Jan-2026 rates'!L:T,9,0),0))))))))</f>
        <v>0</v>
      </c>
      <c r="O177" s="406"/>
      <c r="P177" s="404"/>
      <c r="Q177" s="410">
        <f>IF(P177=0,0,IF($LB177=70%,VLOOKUP($L177,'Jan-2026 rates'!$L:$R,4,0),IF($LB177=65%,VLOOKUP($L177,'Jan-2026 rates'!$L:$R,4,0),IF($LB177=40%,VLOOKUP($L177,'Jan-2026 rates'!$L:$R,5,0),IF($LB177=30%,VLOOKUP($L177,'Jan-2026 rates'!$L:$R,6,0),IF($LB177=100%,VLOOKUP($L177,'Jan-2026 rates'!$L:$R,7,0),IF($LB177=60%,VLOOKUP($L177,'Jan-2026 rates'!$L:$S,8,0),IF($LB177=80%,VLOOKUP($L177,'Jan-2026 rates'!L:T,9,0),0))))))))</f>
        <v>0</v>
      </c>
      <c r="R177" s="406" t="s">
        <v>1252</v>
      </c>
      <c r="S177" s="406"/>
      <c r="T177" s="406"/>
      <c r="U177" s="406"/>
      <c r="V177" s="406"/>
      <c r="W177" s="406"/>
      <c r="X177" s="406"/>
      <c r="Y177" s="406"/>
      <c r="Z177" s="404">
        <v>2</v>
      </c>
      <c r="AA177" s="398">
        <f>IF(Z177=0,0,IF(LEN(R177)=11,_xlfn.XLOOKUP(R177,'Dispensed Ink Rates'!C:C,'Dispensed Ink Rates'!CS:CS),VLOOKUP(R177,'Jan-2026 rates'!$E:$F,2,0)))</f>
        <v>0</v>
      </c>
      <c r="AB177" s="404"/>
      <c r="AC177" s="398">
        <f>IF(AB177=0,0,IF(LEN(S177)=11,_xlfn.XLOOKUP(S177,'Dispensed Ink Rates'!C:C,'Dispensed Ink Rates'!CS:CS),VLOOKUP(S177,'Jan-2026 rates'!$E:$F,2,0)))</f>
        <v>0</v>
      </c>
      <c r="AD177" s="404"/>
      <c r="AE177" s="398">
        <f>IF(AD177=0,0,IF(LEN(T177)=11,_xlfn.XLOOKUP(T177,'Dispensed Ink Rates'!C:C,'Dispensed Ink Rates'!CS:CS),VLOOKUP(T177,'Jan-2026 rates'!$E:$F,2,0)))</f>
        <v>0</v>
      </c>
      <c r="AF177" s="404"/>
      <c r="AG177" s="398">
        <f>IF(AF177=0,0,IF(LEN(U177)=11,_xlfn.XLOOKUP(U177,'Dispensed Ink Rates'!C:C,'Dispensed Ink Rates'!CS:CS),VLOOKUP(U177,'Jan-2026 rates'!$E:$F,2,0)))</f>
        <v>0</v>
      </c>
      <c r="AH177" s="404"/>
      <c r="AI177" s="398">
        <f>IF(AH177=0,0,IF(LEN(V177)=11,_xlfn.XLOOKUP(V177,'Dispensed Ink Rates'!C:C,'Dispensed Ink Rates'!CS:CS),VLOOKUP(V177,'Jan-2026 rates'!$E:$F,2,0)))</f>
        <v>0</v>
      </c>
      <c r="AJ177" s="404"/>
      <c r="AK177" s="398">
        <f>IF(AJ177=0,0,IF(LEN(W177)=11,_xlfn.XLOOKUP(W177,'Dispensed Ink Rates'!C:C,'Dispensed Ink Rates'!CS:CS),VLOOKUP(W177,'Jan-2026 rates'!$E:$F,2,0)))</f>
        <v>0</v>
      </c>
      <c r="AL177" s="404"/>
      <c r="AM177" s="398">
        <f>IF(AL177=0,0,IF(LEN(X177)=11,_xlfn.XLOOKUP(X177,'Dispensed Ink Rates'!C:C,'Dispensed Ink Rates'!CS:CS),VLOOKUP(X177,'Jan-2026 rates'!$E:$F,2,0)))</f>
        <v>0</v>
      </c>
      <c r="AN177" s="404"/>
      <c r="AO177" s="398">
        <f>IF(AN177=0,0,IF(LEN(Y177)=11,_xlfn.XLOOKUP(Y177,'Dispensed Ink Rates'!C:C,'Dispensed Ink Rates'!CS:CS),VLOOKUP(Y177,'Jan-2026 rates'!$E:$F,2,0)))</f>
        <v>0</v>
      </c>
      <c r="AP177" s="409" t="s">
        <v>1881</v>
      </c>
      <c r="AQ177" s="409">
        <v>23</v>
      </c>
      <c r="AR177" s="410">
        <f t="shared" si="106"/>
        <v>0</v>
      </c>
      <c r="AS177" s="411">
        <f t="shared" si="107"/>
        <v>7.125</v>
      </c>
      <c r="AT177" s="410">
        <f t="shared" si="108"/>
        <v>0</v>
      </c>
      <c r="AU177" s="405" t="s">
        <v>547</v>
      </c>
      <c r="AV177" s="409" t="s">
        <v>3603</v>
      </c>
      <c r="AW177" s="420" t="str">
        <f t="shared" si="130"/>
        <v>ToyoLi - GREEN</v>
      </c>
      <c r="AX177" s="409">
        <v>25</v>
      </c>
      <c r="AY177" s="411">
        <f>IF(AX177=0,0,IF($LB177=70%,VLOOKUP($AW177,'Jan-2026 rates'!$L:$R,4,0),IF($LB177=65%,VLOOKUP($AW177,'Jan-2026 rates'!$L:$R,4,0),IF($LB177=40%,VLOOKUP($AW177,'Jan-2026 rates'!$L:$R,5,0),IF($LB177=30%,VLOOKUP($AW177,'Jan-2026 rates'!$L:$R,6,0),IF($LB177=100%,VLOOKUP($AW177,'Jan-2026 rates'!$L:$R,7,0),IF($LB177=60%,VLOOKUP($AW177,'Jan-2026 rates'!$L:$S,8,0),IF($LB177=80%,VLOOKUP($AW177,'Jan-2026 rates'!L:T,9,0),0))))))))</f>
        <v>0</v>
      </c>
      <c r="AZ177" s="412"/>
      <c r="BA177" s="409"/>
      <c r="BB177" s="411">
        <f>IF(BA177=0,0,IF($LB177=70%,VLOOKUP($AW177,'Jan-2026 rates'!$L:$R,4,0),IF($LB177=65%,VLOOKUP($AW177,'Jan-2026 rates'!$L:$R,4,0),IF($LB177=40%,VLOOKUP($AW177,'Jan-2026 rates'!$L:$R,5,0),IF($LB177=30%,VLOOKUP($AW177,'Jan-2026 rates'!$L:$R,6,0),IF($LB177=100%,VLOOKUP($AW177,'Jan-2026 rates'!$L:$R,7,0),IF($LB177=60%,VLOOKUP($AW177,'Jan-2026 rates'!$L:$S,8,0),IF($LB177=80%,VLOOKUP($AW177,'Jan-2026 rates'!L:T,9,0),0))))))))</f>
        <v>0</v>
      </c>
      <c r="BC177" s="413" t="s">
        <v>1251</v>
      </c>
      <c r="BD177" s="412" t="s">
        <v>1921</v>
      </c>
      <c r="BE177" s="412" t="s">
        <v>1247</v>
      </c>
      <c r="BF177" s="413"/>
      <c r="BG177" s="412"/>
      <c r="BH177" s="412"/>
      <c r="BI177" s="412"/>
      <c r="BJ177" s="412"/>
      <c r="BK177" s="409">
        <v>3</v>
      </c>
      <c r="BL177" s="398">
        <f>IF(BK177=0,0,IF(LEN(BC177)=11,_xlfn.XLOOKUP(BC177,'Dispensed Ink Rates'!C:C,'Dispensed Ink Rates'!CS:CS),VLOOKUP(BC177,'Jan-2026 rates'!$E:$F,2,0)))</f>
        <v>0</v>
      </c>
      <c r="BM177" s="409">
        <v>2</v>
      </c>
      <c r="BN177" s="398">
        <f>IF(BM177=0,0,IF(LEN(BD177)=11,_xlfn.XLOOKUP(BD177,'Dispensed Ink Rates'!C:C,'Dispensed Ink Rates'!CS:CS),VLOOKUP(BD177,'Jan-2026 rates'!$E:$F,2,0)))</f>
        <v>0</v>
      </c>
      <c r="BO177" s="409">
        <v>1</v>
      </c>
      <c r="BP177" s="398">
        <f>IF(BO177=0,0,IF(LEN(BE177)=11,_xlfn.XLOOKUP(BE177,'Dispensed Ink Rates'!C:C,'Dispensed Ink Rates'!CS:CS),VLOOKUP(BE177,'Jan-2026 rates'!$E:$F,2,0)))</f>
        <v>0</v>
      </c>
      <c r="BQ177" s="409"/>
      <c r="BR177" s="398">
        <f>IF(BQ177=0,0,IF(LEN(BF177)=11,_xlfn.XLOOKUP(BF177,'Dispensed Ink Rates'!C:C,'Dispensed Ink Rates'!CS:CS),VLOOKUP(BF177,'Jan-2026 rates'!$E:$F,2,0)))</f>
        <v>0</v>
      </c>
      <c r="BS177" s="409"/>
      <c r="BT177" s="398">
        <f>IF(BS177=0,0,IF(LEN(BG177)=11,_xlfn.XLOOKUP(BG177,'Dispensed Ink Rates'!C:C,'Dispensed Ink Rates'!CS:CS),VLOOKUP(BG177,'Jan-2026 rates'!$E:$F,2,0)))</f>
        <v>0</v>
      </c>
      <c r="BU177" s="409"/>
      <c r="BV177" s="398">
        <f>IF(BU177=0,0,IF(LEN(BH177)=11,_xlfn.XLOOKUP(BH177,'Dispensed Ink Rates'!C:C,'Dispensed Ink Rates'!CS:CS),VLOOKUP(BH177,'Jan-2026 rates'!$E:$F,2,0)))</f>
        <v>0</v>
      </c>
      <c r="BW177" s="409"/>
      <c r="BX177" s="398">
        <f>IF(BW177=0,0,IF(LEN(BI177)=11,_xlfn.XLOOKUP(BI177,'Dispensed Ink Rates'!C:C,'Dispensed Ink Rates'!CS:CS),VLOOKUP(BI177,'Jan-2026 rates'!$E:$F,2,0)))</f>
        <v>0</v>
      </c>
      <c r="BY177" s="409"/>
      <c r="BZ177" s="398">
        <f>IF(BY177=0,0,IF(LEN(BJ177)=11,_xlfn.XLOOKUP(BJ177,'Dispensed Ink Rates'!C:C,'Dispensed Ink Rates'!CS:CS),VLOOKUP(BJ177,'Jan-2026 rates'!$E:$F,2,0)))</f>
        <v>0</v>
      </c>
      <c r="CA177" s="409" t="s">
        <v>1881</v>
      </c>
      <c r="CB177" s="409">
        <f>20+7</f>
        <v>27</v>
      </c>
      <c r="CC177" s="411">
        <f t="shared" si="109"/>
        <v>0</v>
      </c>
      <c r="CD177" s="411">
        <f t="shared" si="110"/>
        <v>10.25</v>
      </c>
      <c r="CE177" s="410">
        <f t="shared" si="111"/>
        <v>0</v>
      </c>
      <c r="CF177" s="404" t="s">
        <v>545</v>
      </c>
      <c r="CG177" s="409" t="s">
        <v>3604</v>
      </c>
      <c r="CH177" s="420" t="str">
        <f t="shared" si="132"/>
        <v>ToyoLi - YELLOW</v>
      </c>
      <c r="CI177" s="409">
        <v>30</v>
      </c>
      <c r="CJ177" s="411">
        <f>IF(CI177=0,0,IF($LB177=70%,VLOOKUP($CH177,'Jan-2026 rates'!$L:$R,4,0),IF($LB177=65%,VLOOKUP($CH177,'Jan-2026 rates'!$L:$R,4,0),IF($LB177=40%,VLOOKUP($CH177,'Jan-2026 rates'!$L:$R,5,0),IF($LB177=30%,VLOOKUP($CH177,'Jan-2026 rates'!$L:$R,6,0),IF($LB177=100%,VLOOKUP($CH177,'Jan-2026 rates'!$L:$R,7,0),IF($LB177=60%,VLOOKUP($CH177,'Jan-2026 rates'!$L:$S,8,0),IF($LB177=80%,VLOOKUP($CH177,'Jan-2026 rates'!L:T,9,0),0))))))))</f>
        <v>0</v>
      </c>
      <c r="CK177" s="412"/>
      <c r="CL177" s="409"/>
      <c r="CM177" s="411">
        <f>IF(CL177=0,0,IF($LB177=70%,VLOOKUP($CH177,'Jan-2026 rates'!$L:$R,4,0),IF($LB177=65%,VLOOKUP($CH177,'Jan-2026 rates'!$L:$R,4,0),IF($LB177=40%,VLOOKUP($CH177,'Jan-2026 rates'!$L:$R,5,0),IF($LB177=30%,VLOOKUP($CH177,'Jan-2026 rates'!$L:$R,6,0),IF($LB177=100%,VLOOKUP($CH177,'Jan-2026 rates'!$L:$R,7,0),IF($LB177=60%,VLOOKUP($CH177,'Jan-2026 rates'!$L:$S,8,0),IF($LB177=80%,VLOOKUP($CH177,'Jan-2026 rates'!L:T,9,0),0))))))))</f>
        <v>0</v>
      </c>
      <c r="CN177" s="426" t="s">
        <v>1249</v>
      </c>
      <c r="CO177" s="427" t="s">
        <v>1247</v>
      </c>
      <c r="CP177" s="426"/>
      <c r="CQ177" s="426"/>
      <c r="CR177" s="428"/>
      <c r="CS177" s="428"/>
      <c r="CT177" s="428"/>
      <c r="CU177" s="428"/>
      <c r="CV177" s="409">
        <v>5</v>
      </c>
      <c r="CW177" s="398">
        <f>IF(CV177=0,0,IF(LEN(CN177)=11,_xlfn.XLOOKUP(CN177,'Dispensed Ink Rates'!C:C,'Dispensed Ink Rates'!CS:CS),VLOOKUP(CN177,'Jan-2026 rates'!$E:$F,2,0)))</f>
        <v>0</v>
      </c>
      <c r="CX177" s="409">
        <v>2</v>
      </c>
      <c r="CY177" s="398">
        <f>IF(CX177=0,0,IF(LEN(CO177)=11,_xlfn.XLOOKUP(CO177,'Dispensed Ink Rates'!C:C,'Dispensed Ink Rates'!CS:CS),VLOOKUP(CO177,'Jan-2026 rates'!$E:$F,2,0)))</f>
        <v>0</v>
      </c>
      <c r="CZ177" s="409"/>
      <c r="DA177" s="398">
        <f>IF(CZ177=0,0,IF(LEN(CP177)=11,_xlfn.XLOOKUP(CP177,'Dispensed Ink Rates'!C:C,'Dispensed Ink Rates'!CS:CS),VLOOKUP(CP177,'Jan-2026 rates'!$E:$F,2,0)))</f>
        <v>0</v>
      </c>
      <c r="DB177" s="409"/>
      <c r="DC177" s="398">
        <f>IF(DB177=0,0,IF(LEN(CQ177)=11,_xlfn.XLOOKUP(CQ177,'Dispensed Ink Rates'!C:C,'Dispensed Ink Rates'!CS:CS),VLOOKUP(CQ177,'Jan-2026 rates'!$E:$F,2,0)))</f>
        <v>0</v>
      </c>
      <c r="DD177" s="409"/>
      <c r="DE177" s="398">
        <f>IF(DD177=0,0,IF(LEN(CR177)=11,_xlfn.XLOOKUP(CR177,'Dispensed Ink Rates'!C:C,'Dispensed Ink Rates'!CS:CS),VLOOKUP(CR177,'Jan-2026 rates'!$E:$F,2,0)))</f>
        <v>0</v>
      </c>
      <c r="DF177" s="409"/>
      <c r="DG177" s="398">
        <f>IF(DF177=0,0,IF(LEN(CS177)=11,_xlfn.XLOOKUP(CS177,'Dispensed Ink Rates'!C:C,'Dispensed Ink Rates'!CS:CS),VLOOKUP(CS177,'Jan-2026 rates'!$E:$F,2,0)))</f>
        <v>0</v>
      </c>
      <c r="DH177" s="409"/>
      <c r="DI177" s="398">
        <f>IF(DH177=0,0,IF(LEN(CT177)=11,_xlfn.XLOOKUP(CT177,'Dispensed Ink Rates'!C:C,'Dispensed Ink Rates'!CS:CS),VLOOKUP(CT177,'Jan-2026 rates'!$E:$F,2,0)))</f>
        <v>0</v>
      </c>
      <c r="DJ177" s="409"/>
      <c r="DK177" s="398">
        <f>IF(DJ177=0,0,IF(LEN(CU177)=11,_xlfn.XLOOKUP(CU177,'Dispensed Ink Rates'!C:C,'Dispensed Ink Rates'!CS:CS),VLOOKUP(CU177,'Jan-2026 rates'!$E:$F,2,0)))</f>
        <v>0</v>
      </c>
      <c r="DL177" s="409" t="s">
        <v>1881</v>
      </c>
      <c r="DM177" s="409">
        <f>20+13</f>
        <v>33</v>
      </c>
      <c r="DN177" s="411">
        <f t="shared" si="112"/>
        <v>0</v>
      </c>
      <c r="DO177" s="411">
        <f t="shared" si="113"/>
        <v>13.375</v>
      </c>
      <c r="DP177" s="410">
        <f t="shared" si="114"/>
        <v>0</v>
      </c>
      <c r="DQ177" s="405" t="s">
        <v>856</v>
      </c>
      <c r="DR177" s="409" t="s">
        <v>2703</v>
      </c>
      <c r="DS177" s="420" t="str">
        <f t="shared" si="133"/>
        <v>ToyoLi - WHITE</v>
      </c>
      <c r="DT177" s="409">
        <v>25</v>
      </c>
      <c r="DU177" s="411">
        <f>IF(DT177=0,0,IF($LB177=70%,VLOOKUP($DS177,'Jan-2026 rates'!$L:$R,4,0),IF($LB177=65%,VLOOKUP($DS177,'Jan-2026 rates'!$L:$R,4,0),IF($LB177=40%,VLOOKUP($DS177,'Jan-2026 rates'!$L:$R,5,0),IF($LB177=30%,VLOOKUP($DS177,'Jan-2026 rates'!$L:$R,6,0),IF($LB177=100%,VLOOKUP($DS177,'Jan-2026 rates'!$L:$R,7,0),IF($LB177=60%,VLOOKUP($DS177,'Jan-2026 rates'!$L:$S,8,0),IF($LB177=80%,VLOOKUP($DS177,'Jan-2026 rates'!L:T,9,0),0))))))))</f>
        <v>0</v>
      </c>
      <c r="DV177" s="412"/>
      <c r="DW177" s="409"/>
      <c r="DX177" s="411">
        <f>IF(DW177=0,0,IF($LB177=70%,VLOOKUP($DS177,'Jan-2026 rates'!$L:$R,4,0),IF($LB177=65%,VLOOKUP($DS177,'Jan-2026 rates'!$L:$R,4,0),IF($LB177=40%,VLOOKUP($DS177,'Jan-2026 rates'!$L:$R,5,0),IF($LB177=30%,VLOOKUP($DS177,'Jan-2026 rates'!$L:$R,6,0),IF($LB177=100%,VLOOKUP($DS177,'Jan-2026 rates'!$L:$R,7,0),IF($LB177=60%,VLOOKUP($DS177,'Jan-2026 rates'!$L:$S,8,0),IF($LB177=80%,VLOOKUP($DS177,'Jan-2026 rates'!L:T,9,0),0))))))))</f>
        <v>0</v>
      </c>
      <c r="DY177" s="413" t="s">
        <v>1249</v>
      </c>
      <c r="DZ177" s="413"/>
      <c r="EA177" s="412"/>
      <c r="EB177" s="412"/>
      <c r="EC177" s="412"/>
      <c r="ED177" s="412"/>
      <c r="EE177" s="412"/>
      <c r="EF177" s="412"/>
      <c r="EG177" s="409">
        <v>30</v>
      </c>
      <c r="EH177" s="398">
        <f>IF(EG177=0,0,IF(LEN(DY177)=11,_xlfn.XLOOKUP(DY177,'Dispensed Ink Rates'!C:C,'Dispensed Ink Rates'!CS:CS),VLOOKUP(DY177,'Jan-2026 rates'!$E:$F,2,0)))</f>
        <v>0</v>
      </c>
      <c r="EI177" s="409"/>
      <c r="EJ177" s="398">
        <f>IF(EI177=0,0,IF(LEN(DZ177)=11,_xlfn.XLOOKUP(DZ177,'Dispensed Ink Rates'!C:C,'Dispensed Ink Rates'!CS:CS),VLOOKUP(DZ177,'Jan-2026 rates'!$E:$F,2,0)))</f>
        <v>0</v>
      </c>
      <c r="EK177" s="409"/>
      <c r="EL177" s="398">
        <f>IF(EK177=0,0,IF(LEN(EA177)=11,_xlfn.XLOOKUP(EA177,'Dispensed Ink Rates'!C:C,'Dispensed Ink Rates'!CS:CS),VLOOKUP(EA177,'Jan-2026 rates'!$E:$F,2,0)))</f>
        <v>0</v>
      </c>
      <c r="EM177" s="409"/>
      <c r="EN177" s="398">
        <f>IF(EM177=0,0,IF(LEN(EB177)=11,_xlfn.XLOOKUP(EB177,'Dispensed Ink Rates'!C:C,'Dispensed Ink Rates'!CS:CS),VLOOKUP(EB177,'Jan-2026 rates'!$E:$F,2,0)))</f>
        <v>0</v>
      </c>
      <c r="EO177" s="409"/>
      <c r="EP177" s="398">
        <f>IF(EO177=0,0,IF(LEN(EC177)=11,_xlfn.XLOOKUP(EC177,'Dispensed Ink Rates'!C:C,'Dispensed Ink Rates'!CS:CS),VLOOKUP(EC177,'Jan-2026 rates'!$E:$F,2,0)))</f>
        <v>0</v>
      </c>
      <c r="EQ177" s="409"/>
      <c r="ER177" s="398">
        <f>IF(EQ177=0,0,IF(LEN(ED177)=11,_xlfn.XLOOKUP(ED177,'Dispensed Ink Rates'!C:C,'Dispensed Ink Rates'!CS:CS),VLOOKUP(ED177,'Jan-2026 rates'!$E:$F,2,0)))</f>
        <v>0</v>
      </c>
      <c r="ES177" s="409"/>
      <c r="ET177" s="398">
        <f>IF(ES177=0,0,IF(LEN(EE177)=11,_xlfn.XLOOKUP(EE177,'Dispensed Ink Rates'!C:C,'Dispensed Ink Rates'!CS:CS),VLOOKUP(EE177,'Jan-2026 rates'!$E:$F,2,0)))</f>
        <v>0</v>
      </c>
      <c r="EU177" s="409"/>
      <c r="EV177" s="398">
        <f>IF(EU177=0,0,IF(LEN(EF177)=11,_xlfn.XLOOKUP(EF177,'Dispensed Ink Rates'!C:C,'Dispensed Ink Rates'!CS:CS),VLOOKUP(EF177,'Jan-2026 rates'!$E:$F,2,0)))</f>
        <v>0</v>
      </c>
      <c r="EW177" s="409" t="s">
        <v>1881</v>
      </c>
      <c r="EX177" s="409">
        <v>20</v>
      </c>
      <c r="EY177" s="411">
        <f t="shared" si="115"/>
        <v>0</v>
      </c>
      <c r="EZ177" s="411">
        <f t="shared" si="116"/>
        <v>66.25</v>
      </c>
      <c r="FA177" s="410">
        <f t="shared" si="117"/>
        <v>0</v>
      </c>
      <c r="FB177" s="405"/>
      <c r="FC177" s="409"/>
      <c r="FD177" s="420" t="str">
        <f t="shared" si="134"/>
        <v xml:space="preserve"> - </v>
      </c>
      <c r="FE177" s="409"/>
      <c r="FF177" s="411">
        <f>IF(FE177=0,0,IF($LB177=70%,VLOOKUP($FD177,'Jan-2026 rates'!$L:$R,4,0),IF($LB177=65%,VLOOKUP($FD177,'Jan-2026 rates'!$L:$R,4,0),IF($LB177=40%,VLOOKUP($FD177,'Jan-2026 rates'!$L:$R,5,0),IF($LB177=30%,VLOOKUP($FD177,'Jan-2026 rates'!$L:$R,6,0),IF($LB177=100%,VLOOKUP($FD177,'Jan-2026 rates'!$L:$R,7,0),IF($LB177=60%,VLOOKUP($FD177,'Jan-2026 rates'!$L:$S,8,0),IF($LB177=80%,VLOOKUP($FD177,'Jan-2026 rates'!L:T,9,0),0))))))))</f>
        <v>0</v>
      </c>
      <c r="FG177" s="412"/>
      <c r="FH177" s="409"/>
      <c r="FI177" s="411">
        <f>IF(FH177=0,0,IF($LB177=70%,VLOOKUP($FD177,'Jan-2026 rates'!$L:$R,4,0),IF($LB177=65%,VLOOKUP($FD177,'Jan-2026 rates'!$L:$R,4,0),IF($LB177=40%,VLOOKUP($FD177,'Jan-2026 rates'!$L:$R,5,0),IF($LB177=30%,VLOOKUP($FD177,'Jan-2026 rates'!$L:$R,6,0),IF($LB177=100%,VLOOKUP($FD177,'Jan-2026 rates'!$L:$R,7,0),IF($LB177=60%,VLOOKUP($FD177,'Jan-2026 rates'!$L:$S,8,0),IF($LB177=80%,VLOOKUP($FD177,'Jan-2026 rates'!L:T,9,0),0))))))))</f>
        <v>0</v>
      </c>
      <c r="FJ177" s="413"/>
      <c r="FK177" s="413"/>
      <c r="FL177" s="413"/>
      <c r="FM177" s="412"/>
      <c r="FN177" s="412"/>
      <c r="FO177" s="412"/>
      <c r="FP177" s="412"/>
      <c r="FQ177" s="412"/>
      <c r="FR177" s="409"/>
      <c r="FS177" s="398">
        <f>IF(FR177=0,0,IF(LEN(FJ177)=11,_xlfn.XLOOKUP(FJ177,'Dispensed Ink Rates'!C:C,'Dispensed Ink Rates'!CS:CS),VLOOKUP(FJ177,'Jan-2026 rates'!$E:$F,2,0)))</f>
        <v>0</v>
      </c>
      <c r="FT177" s="409"/>
      <c r="FU177" s="398">
        <f>IF(FT177=0,0,IF(LEN(FK177)=11,_xlfn.XLOOKUP(FK177,'Dispensed Ink Rates'!C:C,'Dispensed Ink Rates'!CS:CS),VLOOKUP(FK177,'Jan-2026 rates'!$E:$F,2,0)))</f>
        <v>0</v>
      </c>
      <c r="FV177" s="409"/>
      <c r="FW177" s="398">
        <f>IF(FV177=0,0,IF(LEN(FL177)=11,_xlfn.XLOOKUP(FL177,'Dispensed Ink Rates'!C:C,'Dispensed Ink Rates'!CS:CS),VLOOKUP(FL177,'Jan-2026 rates'!$E:$F,2,0)))</f>
        <v>0</v>
      </c>
      <c r="FX177" s="409"/>
      <c r="FY177" s="398">
        <f>IF(FX177=0,0,IF(LEN(FM177)=11,_xlfn.XLOOKUP(FM177,'Dispensed Ink Rates'!C:C,'Dispensed Ink Rates'!CS:CS),VLOOKUP(FM177,'Jan-2026 rates'!$E:$F,2,0)))</f>
        <v>0</v>
      </c>
      <c r="FZ177" s="409"/>
      <c r="GA177" s="398">
        <f>IF(FZ177=0,0,IF(LEN(FN177)=11,_xlfn.XLOOKUP(FN177,'Dispensed Ink Rates'!C:C,'Dispensed Ink Rates'!CS:CS),VLOOKUP(FN177,'Jan-2026 rates'!$E:$F,2,0)))</f>
        <v>0</v>
      </c>
      <c r="GB177" s="409"/>
      <c r="GC177" s="398">
        <f>IF(GB177=0,0,IF(LEN(FO177)=11,_xlfn.XLOOKUP(FO177,'Dispensed Ink Rates'!C:C,'Dispensed Ink Rates'!CS:CS),VLOOKUP(FO177,'Jan-2026 rates'!$E:$F,2,0)))</f>
        <v>0</v>
      </c>
      <c r="GD177" s="409"/>
      <c r="GE177" s="398">
        <f>IF(GD177=0,0,IF(LEN(FP177)=11,_xlfn.XLOOKUP(FP177,'Dispensed Ink Rates'!C:C,'Dispensed Ink Rates'!CS:CS),VLOOKUP(FP177,'Jan-2026 rates'!$E:$F,2,0)))</f>
        <v>0</v>
      </c>
      <c r="GF177" s="409"/>
      <c r="GG177" s="398">
        <f>IF(GF177=0,0,IF(LEN(FQ177)=11,_xlfn.XLOOKUP(FQ177,'Dispensed Ink Rates'!C:C,'Dispensed Ink Rates'!CS:CS),VLOOKUP(FQ177,'Jan-2026 rates'!$E:$F,2,0)))</f>
        <v>0</v>
      </c>
      <c r="GH177" s="409"/>
      <c r="GI177" s="409"/>
      <c r="GJ177" s="411">
        <f t="shared" si="118"/>
        <v>0</v>
      </c>
      <c r="GK177" s="411">
        <f t="shared" si="119"/>
        <v>0</v>
      </c>
      <c r="GL177" s="410">
        <f t="shared" si="120"/>
        <v>0</v>
      </c>
      <c r="GM177" s="405"/>
      <c r="GN177" s="409"/>
      <c r="GO177" s="420" t="str">
        <f t="shared" si="135"/>
        <v xml:space="preserve"> - </v>
      </c>
      <c r="GP177" s="409"/>
      <c r="GQ177" s="411">
        <f>IF(GP177=0,0,IF($LB177=70%,VLOOKUP($GO177,'Jan-2026 rates'!$L:$R,4,0),IF($LB177=65%,VLOOKUP($GO177,'Jan-2026 rates'!$L:$R,4,0),IF($LB177=40%,VLOOKUP($GO177,'Jan-2026 rates'!$L:$R,5,0),IF($LB177=30%,VLOOKUP($GO177,'Jan-2026 rates'!$L:$R,6,0),IF($LB177=100%,VLOOKUP($GO177,'Jan-2026 rates'!$L:$R,7,0),IF($LB177=60%,VLOOKUP($GO177,'Jan-2026 rates'!$L:$S,8,0),IF($LB177=80%,VLOOKUP($GO177,'Jan-2026 rates'!L:T,9,0),0))))))))</f>
        <v>0</v>
      </c>
      <c r="GR177" s="412"/>
      <c r="GS177" s="409"/>
      <c r="GT177" s="411">
        <f>IF(GS177=0,0,IF($LB177=70%,VLOOKUP($GO177,'Jan-2026 rates'!$L:$R,4,0),IF($LB177=65%,VLOOKUP($GO177,'Jan-2026 rates'!$L:$R,4,0),IF($LB177=40%,VLOOKUP($GO177,'Jan-2026 rates'!$L:$R,5,0),IF($LB177=30%,VLOOKUP($GO177,'Jan-2026 rates'!$L:$R,6,0),IF($LB177=100%,VLOOKUP($GO177,'Jan-2026 rates'!$L:$R,7,0),IF($LB177=60%,VLOOKUP($GO177,'Jan-2026 rates'!$L:$S,8,0),IF($LB177=80%,VLOOKUP($GO177,'Jan-2026 rates'!L:T,9,0),0))))))))</f>
        <v>0</v>
      </c>
      <c r="GU177" s="413"/>
      <c r="GV177" s="413"/>
      <c r="GW177" s="412"/>
      <c r="GX177" s="412"/>
      <c r="GY177" s="412"/>
      <c r="GZ177" s="412"/>
      <c r="HA177" s="412"/>
      <c r="HB177" s="412"/>
      <c r="HC177" s="409"/>
      <c r="HD177" s="398">
        <f>IF(HC177=0,0,IF(LEN(GU177)=11,_xlfn.XLOOKUP(GU177,'Dispensed Ink Rates'!C:C,'Dispensed Ink Rates'!CS:CS),VLOOKUP(GU177,'Jan-2026 rates'!$E:$F,2,0)))</f>
        <v>0</v>
      </c>
      <c r="HE177" s="409"/>
      <c r="HF177" s="398">
        <f>IF(HE177=0,0,IF(LEN(GV177)=11,_xlfn.XLOOKUP(GV177,'Dispensed Ink Rates'!C:C,'Dispensed Ink Rates'!CS:CS),VLOOKUP(GV177,'Jan-2026 rates'!$E:$F,2,0)))</f>
        <v>0</v>
      </c>
      <c r="HG177" s="409"/>
      <c r="HH177" s="398">
        <f>IF(HG177=0,0,IF(LEN(GW177)=11,_xlfn.XLOOKUP(GW177,'Dispensed Ink Rates'!C:C,'Dispensed Ink Rates'!CS:CS),VLOOKUP(GW177,'Jan-2026 rates'!$E:$F,2,0)))</f>
        <v>0</v>
      </c>
      <c r="HI177" s="409"/>
      <c r="HJ177" s="398">
        <f>IF(HI177=0,0,IF(LEN(GX177)=11,_xlfn.XLOOKUP(GX177,'Dispensed Ink Rates'!C:C,'Dispensed Ink Rates'!CS:CS),VLOOKUP(GX177,'Jan-2026 rates'!$E:$F,2,0)))</f>
        <v>0</v>
      </c>
      <c r="HK177" s="409"/>
      <c r="HL177" s="398">
        <f>IF(HK177=0,0,IF(LEN(GY177)=11,_xlfn.XLOOKUP(GY177,'Dispensed Ink Rates'!C:C,'Dispensed Ink Rates'!CS:CS),VLOOKUP(GY177,'Jan-2026 rates'!$E:$F,2,0)))</f>
        <v>0</v>
      </c>
      <c r="HM177" s="409"/>
      <c r="HN177" s="398">
        <f>IF(HM177=0,0,IF(LEN(GZ177)=11,_xlfn.XLOOKUP(GZ177,'Dispensed Ink Rates'!C:C,'Dispensed Ink Rates'!CS:CS),VLOOKUP(GZ177,'Jan-2026 rates'!$E:$F,2,0)))</f>
        <v>0</v>
      </c>
      <c r="HO177" s="409"/>
      <c r="HP177" s="398">
        <f>IF(HO177=0,0,IF(LEN(HA177)=11,_xlfn.XLOOKUP(HA177,'Dispensed Ink Rates'!C:C,'Dispensed Ink Rates'!CS:CS),VLOOKUP(HA177,'Jan-2026 rates'!$E:$F,2,0)))</f>
        <v>0</v>
      </c>
      <c r="HQ177" s="409"/>
      <c r="HR177" s="398">
        <f>IF(HQ177=0,0,IF(LEN(HB177)=11,_xlfn.XLOOKUP(HB177,'Dispensed Ink Rates'!C:C,'Dispensed Ink Rates'!CS:CS),VLOOKUP(HB177,'Jan-2026 rates'!$E:$F,2,0)))</f>
        <v>0</v>
      </c>
      <c r="HS177" s="409"/>
      <c r="HT177" s="409"/>
      <c r="HU177" s="411">
        <f t="shared" si="121"/>
        <v>0</v>
      </c>
      <c r="HV177" s="411">
        <f t="shared" si="122"/>
        <v>0</v>
      </c>
      <c r="HW177" s="414">
        <f t="shared" si="123"/>
        <v>0</v>
      </c>
      <c r="HX177" s="405"/>
      <c r="HY177" s="409"/>
      <c r="HZ177" s="420" t="str">
        <f t="shared" si="136"/>
        <v xml:space="preserve"> - </v>
      </c>
      <c r="IA177" s="409"/>
      <c r="IB177" s="411">
        <f>IF(IA177=0,0,IF($LB177=70%,VLOOKUP($HZ177,'Jan-2026 rates'!$L:$R,4,0),IF($LB177=65%,VLOOKUP($HZ177,'Jan-2026 rates'!$L:$R,4,0),IF($LB177=40%,VLOOKUP($HZ177,'Jan-2026 rates'!$L:$R,5,0),IF($LB177=30%,VLOOKUP($HZ177,'Jan-2026 rates'!$L:$R,6,0),IF($LB177=100%,VLOOKUP($HZ177,'Jan-2026 rates'!$L:$R,7,0),IF($LB177=60%,VLOOKUP($HZ177,'Jan-2026 rates'!$L:$S,8,0),IF($LB177=80%,VLOOKUP($HZ177,'Jan-2026 rates'!L:T,9,0),0))))))))</f>
        <v>0</v>
      </c>
      <c r="IC177" s="412"/>
      <c r="ID177" s="409"/>
      <c r="IE177" s="411">
        <f>IF(ID177=0,0,IF($LB177=70%,VLOOKUP($HZ177,'Jan-2026 rates'!$L:$R,4,0),IF($LB177=65%,VLOOKUP($HZ177,'Jan-2026 rates'!$L:$R,4,0),IF($LB177=40%,VLOOKUP($HZ177,'Jan-2026 rates'!$L:$R,5,0),IF($LB177=30%,VLOOKUP($HZ177,'Jan-2026 rates'!$L:$R,6,0),IF($LB177=100%,VLOOKUP($HZ177,'Jan-2026 rates'!$L:$R,7,0),IF($LB177=60%,VLOOKUP($HZ177,'Jan-2026 rates'!$L:$S,8,0),IF($LB177=80%,VLOOKUP($HZ177,'Jan-2026 rates'!L:T,9,0),0))))))))</f>
        <v>0</v>
      </c>
      <c r="IF177" s="412"/>
      <c r="IG177" s="413"/>
      <c r="IH177" s="412"/>
      <c r="II177" s="412"/>
      <c r="IJ177" s="412"/>
      <c r="IK177" s="412"/>
      <c r="IL177" s="412"/>
      <c r="IM177" s="412"/>
      <c r="IN177" s="409"/>
      <c r="IO177" s="398">
        <f>IF(IN177=0,0,IF(LEN(IF177)=11,_xlfn.XLOOKUP(IF177,'Dispensed Ink Rates'!C:C,'Dispensed Ink Rates'!CS:CS),VLOOKUP(IF177,'Jan-2026 rates'!$E:$F,2,0)))</f>
        <v>0</v>
      </c>
      <c r="IP177" s="409"/>
      <c r="IQ177" s="398">
        <f>IF(IP177=0,0,IF(LEN(IG177)=11,_xlfn.XLOOKUP(IG177,'Dispensed Ink Rates'!C:C,'Dispensed Ink Rates'!CS:CS),VLOOKUP(IG177,'Jan-2026 rates'!$E:$F,2,0)))</f>
        <v>0</v>
      </c>
      <c r="IR177" s="409"/>
      <c r="IS177" s="398">
        <f>IF(IR177=0,0,IF(LEN(IH177)=11,_xlfn.XLOOKUP(IH177,'Dispensed Ink Rates'!C:C,'Dispensed Ink Rates'!CS:CS),VLOOKUP(IH177,'Jan-2026 rates'!$E:$F,2,0)))</f>
        <v>0</v>
      </c>
      <c r="IT177" s="409"/>
      <c r="IU177" s="398">
        <f>IF(IT177=0,0,IF(LEN(II177)=11,_xlfn.XLOOKUP(II177,'Dispensed Ink Rates'!C:C,'Dispensed Ink Rates'!CS:CS),VLOOKUP(II177,'Jan-2026 rates'!$E:$F,2,0)))</f>
        <v>0</v>
      </c>
      <c r="IV177" s="409"/>
      <c r="IW177" s="398">
        <f>IF(IV177=0,0,IF(LEN(IJ177)=11,_xlfn.XLOOKUP(IJ177,'Dispensed Ink Rates'!C:C,'Dispensed Ink Rates'!CS:CS),VLOOKUP(IJ177,'Jan-2026 rates'!$E:$F,2,0)))</f>
        <v>0</v>
      </c>
      <c r="IX177" s="409"/>
      <c r="IY177" s="398">
        <f>IF(IX177=0,0,IF(LEN(IK177)=11,_xlfn.XLOOKUP(IK177,'Dispensed Ink Rates'!C:C,'Dispensed Ink Rates'!CS:CS),VLOOKUP(IK177,'Jan-2026 rates'!$E:$F,2,0)))</f>
        <v>0</v>
      </c>
      <c r="IZ177" s="409"/>
      <c r="JA177" s="398">
        <f>IF(IZ177=0,0,IF(LEN(IL177)=11,_xlfn.XLOOKUP(IL177,'Dispensed Ink Rates'!C:C,'Dispensed Ink Rates'!CS:CS),VLOOKUP(IL177,'Jan-2026 rates'!$E:$F,2,0)))</f>
        <v>0</v>
      </c>
      <c r="JB177" s="409"/>
      <c r="JC177" s="398">
        <f>IF(JB177=0,0,IF(LEN(IM177)=11,_xlfn.XLOOKUP(IM177,'Dispensed Ink Rates'!C:C,'Dispensed Ink Rates'!CS:CS),VLOOKUP(IM177,'Jan-2026 rates'!$E:$F,2,0)))</f>
        <v>0</v>
      </c>
      <c r="JD177" s="409"/>
      <c r="JE177" s="409"/>
      <c r="JF177" s="411">
        <f t="shared" si="124"/>
        <v>0</v>
      </c>
      <c r="JG177" s="411">
        <f t="shared" si="125"/>
        <v>0</v>
      </c>
      <c r="JH177" s="410">
        <f t="shared" si="126"/>
        <v>0</v>
      </c>
      <c r="JI177" s="405"/>
      <c r="JJ177" s="409"/>
      <c r="JK177" s="420" t="str">
        <f t="shared" si="137"/>
        <v xml:space="preserve"> - </v>
      </c>
      <c r="JL177" s="409"/>
      <c r="JM177" s="411">
        <f>IF(JL177=0,0,IF($LB177=70%,VLOOKUP($JK177,'Jan-2026 rates'!$L:$R,4,0),IF($LB177=65%,VLOOKUP($JK177,'Jan-2026 rates'!$L:$R,4,0),IF($LB177=40%,VLOOKUP($JK177,'Jan-2026 rates'!$L:$R,5,0),IF($LB177=30%,VLOOKUP($JK177,'Jan-2026 rates'!$L:$R,6,0),IF($LB177=100%,VLOOKUP($JK177,'Jan-2026 rates'!$L:$R,7,0),IF($LB177=60%,VLOOKUP($JK177,'Jan-2026 rates'!$L:$S,8,0),IF($LB177=80%,VLOOKUP($JK177,'Jan-2026 rates'!L:T,9,0),0))))))))</f>
        <v>0</v>
      </c>
      <c r="JN177" s="412"/>
      <c r="JO177" s="409"/>
      <c r="JP177" s="411">
        <f>IF(JO177=0,0,IF($LB177=70%,VLOOKUP($JK177,'Jan-2026 rates'!$L:$R,4,0),IF($LB177=65%,VLOOKUP($JK177,'Jan-2026 rates'!$L:$R,4,0),IF($LB177=40%,VLOOKUP($JK177,'Jan-2026 rates'!$L:$R,5,0),IF($LB177=30%,VLOOKUP($JK177,'Jan-2026 rates'!$L:$R,6,0),IF($LB177=100%,VLOOKUP($JK177,'Jan-2026 rates'!$L:$R,7,0),IF($LB177=60%,VLOOKUP($JK177,'Jan-2026 rates'!$L:$S,8,0),IF($LB177=80%,VLOOKUP($JK177,'Jan-2026 rates'!L:T,9,0),0))))))))</f>
        <v>0</v>
      </c>
      <c r="JQ177" s="413"/>
      <c r="JR177" s="412"/>
      <c r="JS177" s="413"/>
      <c r="JT177" s="413"/>
      <c r="JU177" s="412"/>
      <c r="JV177" s="412"/>
      <c r="JW177" s="412"/>
      <c r="JX177" s="412"/>
      <c r="JY177" s="409"/>
      <c r="JZ177" s="398">
        <f>IF(JY177=0,0,IF(LEN(JQ177)=11,_xlfn.XLOOKUP(JQ177,'Dispensed Ink Rates'!C:C,'Dispensed Ink Rates'!CS:CS),VLOOKUP(JQ177,'Jan-2026 rates'!$E:$F,2,0)))</f>
        <v>0</v>
      </c>
      <c r="KA177" s="409"/>
      <c r="KB177" s="398">
        <f>IF(KA177=0,0,IF(LEN(JR177)=11,_xlfn.XLOOKUP(JR177,'Dispensed Ink Rates'!C:C,'Dispensed Ink Rates'!CS:CS),VLOOKUP(JR177,'Jan-2026 rates'!$E:$F,2,0)))</f>
        <v>0</v>
      </c>
      <c r="KC177" s="409"/>
      <c r="KD177" s="398">
        <f>IF(KC177=0,0,IF(LEN(JS177)=11,_xlfn.XLOOKUP(JS177,'Dispensed Ink Rates'!C:C,'Dispensed Ink Rates'!CS:CS),VLOOKUP(JS177,'Jan-2026 rates'!$E:$F,2,0)))</f>
        <v>0</v>
      </c>
      <c r="KE177" s="409"/>
      <c r="KF177" s="398">
        <f>IF(KE177=0,0,IF(LEN(JT177)=11,_xlfn.XLOOKUP(JT177,'Dispensed Ink Rates'!C:C,'Dispensed Ink Rates'!CS:CS),VLOOKUP(JT177,'Jan-2026 rates'!$E:$F,2,0)))</f>
        <v>0</v>
      </c>
      <c r="KG177" s="409"/>
      <c r="KH177" s="398">
        <f>IF(KG177=0,0,IF(LEN(JU177)=11,_xlfn.XLOOKUP(JU177,'Dispensed Ink Rates'!C:C,'Dispensed Ink Rates'!CS:CS),VLOOKUP(JU177,'Jan-2026 rates'!$E:$F,2,0)))</f>
        <v>0</v>
      </c>
      <c r="KI177" s="409"/>
      <c r="KJ177" s="398">
        <f>IF(KI177=0,0,IF(LEN(JV177)=11,_xlfn.XLOOKUP(JV177,'Dispensed Ink Rates'!C:C,'Dispensed Ink Rates'!CS:CS),VLOOKUP(JV177,'Jan-2026 rates'!$E:$F,2,0)))</f>
        <v>0</v>
      </c>
      <c r="KK177" s="409"/>
      <c r="KL177" s="398">
        <f>IF(KK177=0,0,IF(LEN(JW177)=11,_xlfn.XLOOKUP(JW177,'Dispensed Ink Rates'!C:C,'Dispensed Ink Rates'!CS:CS),VLOOKUP(JW177,'Jan-2026 rates'!$E:$F,2,0)))</f>
        <v>0</v>
      </c>
      <c r="KM177" s="428"/>
      <c r="KN177" s="398">
        <f>IF(KM177=0,0,IF(LEN(JX177)=11,_xlfn.XLOOKUP(JX177,'Dispensed Ink Rates'!C:C,'Dispensed Ink Rates'!CS:CS),VLOOKUP(JX177,'Jan-2026 rates'!$E:$F,2,0)))</f>
        <v>0</v>
      </c>
      <c r="KO177" s="409"/>
      <c r="KP177" s="409"/>
      <c r="KQ177" s="411">
        <f t="shared" si="127"/>
        <v>0</v>
      </c>
      <c r="KR177" s="411">
        <f t="shared" si="128"/>
        <v>0</v>
      </c>
      <c r="KS177" s="410">
        <f t="shared" si="129"/>
        <v>0</v>
      </c>
      <c r="KT177" s="409">
        <v>1</v>
      </c>
      <c r="KU177" s="409">
        <v>2</v>
      </c>
      <c r="KV177" s="409">
        <v>3</v>
      </c>
      <c r="KW177" s="409">
        <v>10</v>
      </c>
      <c r="KX177" s="409">
        <v>0</v>
      </c>
      <c r="KY177" s="409">
        <v>0</v>
      </c>
      <c r="KZ177" s="409">
        <v>0</v>
      </c>
      <c r="LA177" s="409">
        <v>0</v>
      </c>
      <c r="LB177" s="415">
        <v>0.3</v>
      </c>
      <c r="LC177" s="415"/>
      <c r="LD177" s="415"/>
      <c r="LE177" s="415">
        <v>0.5</v>
      </c>
      <c r="LF177" s="415">
        <v>0.2</v>
      </c>
      <c r="LG177" s="409">
        <v>0</v>
      </c>
      <c r="LH177" s="409">
        <f>10+10+9+15+6</f>
        <v>50</v>
      </c>
      <c r="LI177" s="409">
        <v>0</v>
      </c>
      <c r="LJ177" s="409">
        <v>0</v>
      </c>
      <c r="LK177" s="416">
        <f t="shared" si="138"/>
        <v>50</v>
      </c>
      <c r="LL177" s="416">
        <f t="shared" si="139"/>
        <v>50</v>
      </c>
      <c r="LM177" s="417">
        <f t="shared" si="140"/>
        <v>15</v>
      </c>
      <c r="LN177" s="417">
        <f>VLOOKUP($LM$8,'Jan-2026 rates'!$H:$I,2,0)</f>
        <v>0</v>
      </c>
      <c r="LO177" s="417">
        <f t="shared" si="141"/>
        <v>0</v>
      </c>
      <c r="LP177" s="417">
        <f>VLOOKUP($LO$8,'Jan-2026 rates'!$H:$I,2,0)</f>
        <v>0</v>
      </c>
      <c r="LQ177" s="417">
        <f t="shared" si="142"/>
        <v>0</v>
      </c>
      <c r="LR177" s="417">
        <f>VLOOKUP($LQ$8,'Jan-2026 rates'!$H:$I,2,0)</f>
        <v>0</v>
      </c>
      <c r="LS177" s="417">
        <f t="shared" si="143"/>
        <v>25</v>
      </c>
      <c r="LT177" s="417">
        <f>VLOOKUP($LS$8,'Jan-2026 rates'!$H:$I,2,0)</f>
        <v>0</v>
      </c>
      <c r="LU177" s="417">
        <f t="shared" si="144"/>
        <v>10</v>
      </c>
      <c r="LV177" s="417">
        <f>VLOOKUP($LU$8,'Jan-2026 rates'!$H:$I,2,0)</f>
        <v>0</v>
      </c>
      <c r="LW177" s="417">
        <f t="shared" si="145"/>
        <v>0</v>
      </c>
      <c r="LX177" s="417">
        <f t="shared" si="146"/>
        <v>0</v>
      </c>
      <c r="LY177" s="418">
        <f t="shared" si="147"/>
        <v>0</v>
      </c>
      <c r="LZ177" s="417"/>
      <c r="MA177" s="435">
        <f t="shared" si="148"/>
        <v>45</v>
      </c>
      <c r="MB177" s="282">
        <f t="shared" si="149"/>
        <v>97</v>
      </c>
      <c r="MC177" s="283" t="s">
        <v>2012</v>
      </c>
      <c r="MD177" s="284" t="str">
        <f t="shared" si="150"/>
        <v>ToyoLiToyoLiToyoLiToyoLi</v>
      </c>
      <c r="ME177" s="293" t="str">
        <f t="shared" si="151"/>
        <v>+</v>
      </c>
      <c r="MF177" s="293" t="str">
        <f t="shared" si="152"/>
        <v>+</v>
      </c>
      <c r="MG177" s="293" t="str">
        <f t="shared" si="153"/>
        <v>+</v>
      </c>
      <c r="MH177" s="293" t="str">
        <f t="shared" si="154"/>
        <v>+</v>
      </c>
      <c r="MI177" s="293" t="str">
        <f t="shared" si="155"/>
        <v>NIL</v>
      </c>
      <c r="MJ177" s="293" t="str">
        <f t="shared" si="156"/>
        <v>NIL</v>
      </c>
      <c r="MK177" s="293" t="str">
        <f t="shared" si="157"/>
        <v>NIL</v>
      </c>
      <c r="ML177" s="293" t="str">
        <f t="shared" si="158"/>
        <v>NIL</v>
      </c>
      <c r="MM177" s="3" t="b">
        <f t="array" ref="MM177">OR(ME177:ML177="-")</f>
        <v>0</v>
      </c>
      <c r="MN177" s="285"/>
      <c r="MO177" s="401"/>
      <c r="MP177" s="286"/>
      <c r="MQ177" s="286"/>
      <c r="MR177" s="402"/>
      <c r="MS177" s="400"/>
      <c r="NH177" s="422"/>
      <c r="NJ177" s="421"/>
    </row>
    <row r="178" spans="1:374" s="1" customFormat="1" ht="16.5">
      <c r="A178" s="403">
        <v>46035</v>
      </c>
      <c r="B178" s="404" t="s">
        <v>1015</v>
      </c>
      <c r="C178" s="405" t="s">
        <v>3605</v>
      </c>
      <c r="D178" s="406" t="s">
        <v>2013</v>
      </c>
      <c r="E178" s="404">
        <v>1687</v>
      </c>
      <c r="F178" s="407">
        <v>137000</v>
      </c>
      <c r="G178" s="407" t="s">
        <v>1016</v>
      </c>
      <c r="H178" s="408" t="s">
        <v>1017</v>
      </c>
      <c r="I178" s="409">
        <v>1.8</v>
      </c>
      <c r="J178" s="405" t="s">
        <v>543</v>
      </c>
      <c r="K178" s="404"/>
      <c r="L178" s="419" t="str">
        <f t="shared" si="131"/>
        <v>ToyoLi - BLACK</v>
      </c>
      <c r="M178" s="404"/>
      <c r="N178" s="410">
        <f>IF(M178=0,0,IF($LB178=70%,VLOOKUP($L178,'Jan-2026 rates'!$L:$R,4,0),IF($LB178=65%,VLOOKUP($L178,'Jan-2026 rates'!$L:$R,4,0),IF($LB178=40%,VLOOKUP($L178,'Jan-2026 rates'!$L:$R,5,0),IF($LB178=30%,VLOOKUP($L178,'Jan-2026 rates'!$L:$R,6,0),IF($LB178=100%,VLOOKUP($L178,'Jan-2026 rates'!$L:$R,7,0),IF($LB178=60%,VLOOKUP($L178,'Jan-2026 rates'!$L:$S,8,0),IF($LB178=80%,VLOOKUP($L178,'Jan-2026 rates'!L:T,9,0),0))))))))</f>
        <v>0</v>
      </c>
      <c r="O178" s="406"/>
      <c r="P178" s="404"/>
      <c r="Q178" s="410">
        <f>IF(P178=0,0,IF($LB178=70%,VLOOKUP($L178,'Jan-2026 rates'!$L:$R,4,0),IF($LB178=65%,VLOOKUP($L178,'Jan-2026 rates'!$L:$R,4,0),IF($LB178=40%,VLOOKUP($L178,'Jan-2026 rates'!$L:$R,5,0),IF($LB178=30%,VLOOKUP($L178,'Jan-2026 rates'!$L:$R,6,0),IF($LB178=100%,VLOOKUP($L178,'Jan-2026 rates'!$L:$R,7,0),IF($LB178=60%,VLOOKUP($L178,'Jan-2026 rates'!$L:$S,8,0),IF($LB178=80%,VLOOKUP($L178,'Jan-2026 rates'!L:T,9,0),0))))))))</f>
        <v>0</v>
      </c>
      <c r="R178" s="406" t="s">
        <v>1252</v>
      </c>
      <c r="S178" s="406" t="s">
        <v>1921</v>
      </c>
      <c r="T178" s="406"/>
      <c r="U178" s="406"/>
      <c r="V178" s="406"/>
      <c r="W178" s="406"/>
      <c r="X178" s="406"/>
      <c r="Y178" s="406"/>
      <c r="Z178" s="404">
        <f>15+15</f>
        <v>30</v>
      </c>
      <c r="AA178" s="398">
        <f>IF(Z178=0,0,IF(LEN(R178)=11,_xlfn.XLOOKUP(R178,'Dispensed Ink Rates'!C:C,'Dispensed Ink Rates'!CS:CS),VLOOKUP(R178,'Jan-2026 rates'!$E:$F,2,0)))</f>
        <v>0</v>
      </c>
      <c r="AB178" s="404">
        <f>5+3</f>
        <v>8</v>
      </c>
      <c r="AC178" s="398">
        <f>IF(AB178=0,0,IF(LEN(S178)=11,_xlfn.XLOOKUP(S178,'Dispensed Ink Rates'!C:C,'Dispensed Ink Rates'!CS:CS),VLOOKUP(S178,'Jan-2026 rates'!$E:$F,2,0)))</f>
        <v>0</v>
      </c>
      <c r="AD178" s="404"/>
      <c r="AE178" s="398">
        <f>IF(AD178=0,0,IF(LEN(T178)=11,_xlfn.XLOOKUP(T178,'Dispensed Ink Rates'!C:C,'Dispensed Ink Rates'!CS:CS),VLOOKUP(T178,'Jan-2026 rates'!$E:$F,2,0)))</f>
        <v>0</v>
      </c>
      <c r="AF178" s="404"/>
      <c r="AG178" s="398">
        <f>IF(AF178=0,0,IF(LEN(U178)=11,_xlfn.XLOOKUP(U178,'Dispensed Ink Rates'!C:C,'Dispensed Ink Rates'!CS:CS),VLOOKUP(U178,'Jan-2026 rates'!$E:$F,2,0)))</f>
        <v>0</v>
      </c>
      <c r="AH178" s="404"/>
      <c r="AI178" s="398">
        <f>IF(AH178=0,0,IF(LEN(V178)=11,_xlfn.XLOOKUP(V178,'Dispensed Ink Rates'!C:C,'Dispensed Ink Rates'!CS:CS),VLOOKUP(V178,'Jan-2026 rates'!$E:$F,2,0)))</f>
        <v>0</v>
      </c>
      <c r="AJ178" s="404"/>
      <c r="AK178" s="398">
        <f>IF(AJ178=0,0,IF(LEN(W178)=11,_xlfn.XLOOKUP(W178,'Dispensed Ink Rates'!C:C,'Dispensed Ink Rates'!CS:CS),VLOOKUP(W178,'Jan-2026 rates'!$E:$F,2,0)))</f>
        <v>0</v>
      </c>
      <c r="AL178" s="404"/>
      <c r="AM178" s="398">
        <f>IF(AL178=0,0,IF(LEN(X178)=11,_xlfn.XLOOKUP(X178,'Dispensed Ink Rates'!C:C,'Dispensed Ink Rates'!CS:CS),VLOOKUP(X178,'Jan-2026 rates'!$E:$F,2,0)))</f>
        <v>0</v>
      </c>
      <c r="AN178" s="404"/>
      <c r="AO178" s="398">
        <f>IF(AN178=0,0,IF(LEN(Y178)=11,_xlfn.XLOOKUP(Y178,'Dispensed Ink Rates'!C:C,'Dispensed Ink Rates'!CS:CS),VLOOKUP(Y178,'Jan-2026 rates'!$E:$F,2,0)))</f>
        <v>0</v>
      </c>
      <c r="AP178" s="409" t="s">
        <v>1881</v>
      </c>
      <c r="AQ178" s="409">
        <f>15+15+25</f>
        <v>55</v>
      </c>
      <c r="AR178" s="410">
        <f t="shared" si="106"/>
        <v>0</v>
      </c>
      <c r="AS178" s="411">
        <f t="shared" si="107"/>
        <v>31.360655737704917</v>
      </c>
      <c r="AT178" s="410">
        <f t="shared" si="108"/>
        <v>0</v>
      </c>
      <c r="AU178" s="405" t="s">
        <v>543</v>
      </c>
      <c r="AV178" s="409" t="s">
        <v>3606</v>
      </c>
      <c r="AW178" s="420" t="str">
        <f t="shared" si="130"/>
        <v>ToyoLi - BLACK</v>
      </c>
      <c r="AX178" s="409">
        <v>23</v>
      </c>
      <c r="AY178" s="411">
        <f>IF(AX178=0,0,IF($LB178=70%,VLOOKUP($AW178,'Jan-2026 rates'!$L:$R,4,0),IF($LB178=65%,VLOOKUP($AW178,'Jan-2026 rates'!$L:$R,4,0),IF($LB178=40%,VLOOKUP($AW178,'Jan-2026 rates'!$L:$R,5,0),IF($LB178=30%,VLOOKUP($AW178,'Jan-2026 rates'!$L:$R,6,0),IF($LB178=100%,VLOOKUP($AW178,'Jan-2026 rates'!$L:$R,7,0),IF($LB178=60%,VLOOKUP($AW178,'Jan-2026 rates'!$L:$S,8,0),IF($LB178=80%,VLOOKUP($AW178,'Jan-2026 rates'!L:T,9,0),0))))))))</f>
        <v>0</v>
      </c>
      <c r="AZ178" s="412"/>
      <c r="BA178" s="409"/>
      <c r="BB178" s="411">
        <f>IF(BA178=0,0,IF($LB178=70%,VLOOKUP($AW178,'Jan-2026 rates'!$L:$R,4,0),IF($LB178=65%,VLOOKUP($AW178,'Jan-2026 rates'!$L:$R,4,0),IF($LB178=40%,VLOOKUP($AW178,'Jan-2026 rates'!$L:$R,5,0),IF($LB178=30%,VLOOKUP($AW178,'Jan-2026 rates'!$L:$R,6,0),IF($LB178=100%,VLOOKUP($AW178,'Jan-2026 rates'!$L:$R,7,0),IF($LB178=60%,VLOOKUP($AW178,'Jan-2026 rates'!$L:$S,8,0),IF($LB178=80%,VLOOKUP($AW178,'Jan-2026 rates'!L:T,9,0),0))))))))</f>
        <v>0</v>
      </c>
      <c r="BC178" s="413" t="s">
        <v>1252</v>
      </c>
      <c r="BD178" s="412"/>
      <c r="BE178" s="412"/>
      <c r="BF178" s="413"/>
      <c r="BG178" s="412"/>
      <c r="BH178" s="412"/>
      <c r="BI178" s="412"/>
      <c r="BJ178" s="412"/>
      <c r="BK178" s="409">
        <f>10+20</f>
        <v>30</v>
      </c>
      <c r="BL178" s="398">
        <f>IF(BK178=0,0,IF(LEN(BC178)=11,_xlfn.XLOOKUP(BC178,'Dispensed Ink Rates'!C:C,'Dispensed Ink Rates'!CS:CS),VLOOKUP(BC178,'Jan-2026 rates'!$E:$F,2,0)))</f>
        <v>0</v>
      </c>
      <c r="BM178" s="409"/>
      <c r="BN178" s="398">
        <f>IF(BM178=0,0,IF(LEN(BD178)=11,_xlfn.XLOOKUP(BD178,'Dispensed Ink Rates'!C:C,'Dispensed Ink Rates'!CS:CS),VLOOKUP(BD178,'Jan-2026 rates'!$E:$F,2,0)))</f>
        <v>0</v>
      </c>
      <c r="BO178" s="409"/>
      <c r="BP178" s="398">
        <f>IF(BO178=0,0,IF(LEN(BE178)=11,_xlfn.XLOOKUP(BE178,'Dispensed Ink Rates'!C:C,'Dispensed Ink Rates'!CS:CS),VLOOKUP(BE178,'Jan-2026 rates'!$E:$F,2,0)))</f>
        <v>0</v>
      </c>
      <c r="BQ178" s="409"/>
      <c r="BR178" s="398">
        <f>IF(BQ178=0,0,IF(LEN(BF178)=11,_xlfn.XLOOKUP(BF178,'Dispensed Ink Rates'!C:C,'Dispensed Ink Rates'!CS:CS),VLOOKUP(BF178,'Jan-2026 rates'!$E:$F,2,0)))</f>
        <v>0</v>
      </c>
      <c r="BS178" s="409"/>
      <c r="BT178" s="398">
        <f>IF(BS178=0,0,IF(LEN(BG178)=11,_xlfn.XLOOKUP(BG178,'Dispensed Ink Rates'!C:C,'Dispensed Ink Rates'!CS:CS),VLOOKUP(BG178,'Jan-2026 rates'!$E:$F,2,0)))</f>
        <v>0</v>
      </c>
      <c r="BU178" s="409"/>
      <c r="BV178" s="398">
        <f>IF(BU178=0,0,IF(LEN(BH178)=11,_xlfn.XLOOKUP(BH178,'Dispensed Ink Rates'!C:C,'Dispensed Ink Rates'!CS:CS),VLOOKUP(BH178,'Jan-2026 rates'!$E:$F,2,0)))</f>
        <v>0</v>
      </c>
      <c r="BW178" s="409"/>
      <c r="BX178" s="398">
        <f>IF(BW178=0,0,IF(LEN(BI178)=11,_xlfn.XLOOKUP(BI178,'Dispensed Ink Rates'!C:C,'Dispensed Ink Rates'!CS:CS),VLOOKUP(BI178,'Jan-2026 rates'!$E:$F,2,0)))</f>
        <v>0</v>
      </c>
      <c r="BY178" s="409"/>
      <c r="BZ178" s="398">
        <f>IF(BY178=0,0,IF(LEN(BJ178)=11,_xlfn.XLOOKUP(BJ178,'Dispensed Ink Rates'!C:C,'Dispensed Ink Rates'!CS:CS),VLOOKUP(BJ178,'Jan-2026 rates'!$E:$F,2,0)))</f>
        <v>0</v>
      </c>
      <c r="CA178" s="409" t="s">
        <v>1881</v>
      </c>
      <c r="CB178" s="409">
        <v>20</v>
      </c>
      <c r="CC178" s="411">
        <f t="shared" si="109"/>
        <v>0</v>
      </c>
      <c r="CD178" s="411">
        <f t="shared" si="110"/>
        <v>65.885245901639337</v>
      </c>
      <c r="CE178" s="410">
        <f t="shared" si="111"/>
        <v>0</v>
      </c>
      <c r="CF178" s="404" t="s">
        <v>857</v>
      </c>
      <c r="CG178" s="409" t="s">
        <v>3588</v>
      </c>
      <c r="CH178" s="420" t="str">
        <f t="shared" si="132"/>
        <v>ToyoLi - RED</v>
      </c>
      <c r="CI178" s="409">
        <v>17</v>
      </c>
      <c r="CJ178" s="411">
        <f>IF(CI178=0,0,IF($LB178=70%,VLOOKUP($CH178,'Jan-2026 rates'!$L:$R,4,0),IF($LB178=65%,VLOOKUP($CH178,'Jan-2026 rates'!$L:$R,4,0),IF($LB178=40%,VLOOKUP($CH178,'Jan-2026 rates'!$L:$R,5,0),IF($LB178=30%,VLOOKUP($CH178,'Jan-2026 rates'!$L:$R,6,0),IF($LB178=100%,VLOOKUP($CH178,'Jan-2026 rates'!$L:$R,7,0),IF($LB178=60%,VLOOKUP($CH178,'Jan-2026 rates'!$L:$S,8,0),IF($LB178=80%,VLOOKUP($CH178,'Jan-2026 rates'!L:T,9,0),0))))))))</f>
        <v>0</v>
      </c>
      <c r="CK178" s="412" t="s">
        <v>3607</v>
      </c>
      <c r="CL178" s="409">
        <f>20+20</f>
        <v>40</v>
      </c>
      <c r="CM178" s="411">
        <f>IF(CL178=0,0,IF($LB178=70%,VLOOKUP($CH178,'Jan-2026 rates'!$L:$R,4,0),IF($LB178=65%,VLOOKUP($CH178,'Jan-2026 rates'!$L:$R,4,0),IF($LB178=40%,VLOOKUP($CH178,'Jan-2026 rates'!$L:$R,5,0),IF($LB178=30%,VLOOKUP($CH178,'Jan-2026 rates'!$L:$R,6,0),IF($LB178=100%,VLOOKUP($CH178,'Jan-2026 rates'!$L:$R,7,0),IF($LB178=60%,VLOOKUP($CH178,'Jan-2026 rates'!$L:$S,8,0),IF($LB178=80%,VLOOKUP($CH178,'Jan-2026 rates'!L:T,9,0),0))))))))</f>
        <v>0</v>
      </c>
      <c r="CN178" s="426" t="s">
        <v>1246</v>
      </c>
      <c r="CO178" s="427" t="s">
        <v>1248</v>
      </c>
      <c r="CP178" s="426"/>
      <c r="CQ178" s="426"/>
      <c r="CR178" s="428"/>
      <c r="CS178" s="428"/>
      <c r="CT178" s="428"/>
      <c r="CU178" s="428"/>
      <c r="CV178" s="409">
        <f>40+20+20</f>
        <v>80</v>
      </c>
      <c r="CW178" s="398">
        <f>IF(CV178=0,0,IF(LEN(CN178)=11,_xlfn.XLOOKUP(CN178,'Dispensed Ink Rates'!C:C,'Dispensed Ink Rates'!CS:CS),VLOOKUP(CN178,'Jan-2026 rates'!$E:$F,2,0)))</f>
        <v>0</v>
      </c>
      <c r="CX178" s="409">
        <f>40+10+10</f>
        <v>60</v>
      </c>
      <c r="CY178" s="398">
        <f>IF(CX178=0,0,IF(LEN(CO178)=11,_xlfn.XLOOKUP(CO178,'Dispensed Ink Rates'!C:C,'Dispensed Ink Rates'!CS:CS),VLOOKUP(CO178,'Jan-2026 rates'!$E:$F,2,0)))</f>
        <v>0</v>
      </c>
      <c r="CZ178" s="409"/>
      <c r="DA178" s="398">
        <f>IF(CZ178=0,0,IF(LEN(CP178)=11,_xlfn.XLOOKUP(CP178,'Dispensed Ink Rates'!C:C,'Dispensed Ink Rates'!CS:CS),VLOOKUP(CP178,'Jan-2026 rates'!$E:$F,2,0)))</f>
        <v>0</v>
      </c>
      <c r="DB178" s="409"/>
      <c r="DC178" s="398">
        <f>IF(DB178=0,0,IF(LEN(CQ178)=11,_xlfn.XLOOKUP(CQ178,'Dispensed Ink Rates'!C:C,'Dispensed Ink Rates'!CS:CS),VLOOKUP(CQ178,'Jan-2026 rates'!$E:$F,2,0)))</f>
        <v>0</v>
      </c>
      <c r="DD178" s="409"/>
      <c r="DE178" s="398">
        <f>IF(DD178=0,0,IF(LEN(CR178)=11,_xlfn.XLOOKUP(CR178,'Dispensed Ink Rates'!C:C,'Dispensed Ink Rates'!CS:CS),VLOOKUP(CR178,'Jan-2026 rates'!$E:$F,2,0)))</f>
        <v>0</v>
      </c>
      <c r="DF178" s="409"/>
      <c r="DG178" s="398">
        <f>IF(DF178=0,0,IF(LEN(CS178)=11,_xlfn.XLOOKUP(CS178,'Dispensed Ink Rates'!C:C,'Dispensed Ink Rates'!CS:CS),VLOOKUP(CS178,'Jan-2026 rates'!$E:$F,2,0)))</f>
        <v>0</v>
      </c>
      <c r="DH178" s="409"/>
      <c r="DI178" s="398">
        <f>IF(DH178=0,0,IF(LEN(CT178)=11,_xlfn.XLOOKUP(CT178,'Dispensed Ink Rates'!C:C,'Dispensed Ink Rates'!CS:CS),VLOOKUP(CT178,'Jan-2026 rates'!$E:$F,2,0)))</f>
        <v>0</v>
      </c>
      <c r="DJ178" s="409"/>
      <c r="DK178" s="398">
        <f>IF(DJ178=0,0,IF(LEN(CU178)=11,_xlfn.XLOOKUP(CU178,'Dispensed Ink Rates'!C:C,'Dispensed Ink Rates'!CS:CS),VLOOKUP(CU178,'Jan-2026 rates'!$E:$F,2,0)))</f>
        <v>0</v>
      </c>
      <c r="DL178" s="409" t="s">
        <v>1881</v>
      </c>
      <c r="DM178" s="409">
        <v>30</v>
      </c>
      <c r="DN178" s="411">
        <f t="shared" si="112"/>
        <v>0</v>
      </c>
      <c r="DO178" s="411">
        <f t="shared" si="113"/>
        <v>263.72131147540983</v>
      </c>
      <c r="DP178" s="410">
        <f t="shared" si="114"/>
        <v>0</v>
      </c>
      <c r="DQ178" s="405" t="s">
        <v>855</v>
      </c>
      <c r="DR178" s="409" t="s">
        <v>3550</v>
      </c>
      <c r="DS178" s="420" t="str">
        <f t="shared" si="133"/>
        <v>ToyoLi - CYAN</v>
      </c>
      <c r="DT178" s="409">
        <v>20</v>
      </c>
      <c r="DU178" s="411">
        <f>IF(DT178=0,0,IF($LB178=70%,VLOOKUP($DS178,'Jan-2026 rates'!$L:$R,4,0),IF($LB178=65%,VLOOKUP($DS178,'Jan-2026 rates'!$L:$R,4,0),IF($LB178=40%,VLOOKUP($DS178,'Jan-2026 rates'!$L:$R,5,0),IF($LB178=30%,VLOOKUP($DS178,'Jan-2026 rates'!$L:$R,6,0),IF($LB178=100%,VLOOKUP($DS178,'Jan-2026 rates'!$L:$R,7,0),IF($LB178=60%,VLOOKUP($DS178,'Jan-2026 rates'!$L:$S,8,0),IF($LB178=80%,VLOOKUP($DS178,'Jan-2026 rates'!L:T,9,0),0))))))))</f>
        <v>0</v>
      </c>
      <c r="DV178" s="412"/>
      <c r="DW178" s="409"/>
      <c r="DX178" s="411">
        <f>IF(DW178=0,0,IF($LB178=70%,VLOOKUP($DS178,'Jan-2026 rates'!$L:$R,4,0),IF($LB178=65%,VLOOKUP($DS178,'Jan-2026 rates'!$L:$R,4,0),IF($LB178=40%,VLOOKUP($DS178,'Jan-2026 rates'!$L:$R,5,0),IF($LB178=30%,VLOOKUP($DS178,'Jan-2026 rates'!$L:$R,6,0),IF($LB178=100%,VLOOKUP($DS178,'Jan-2026 rates'!$L:$R,7,0),IF($LB178=60%,VLOOKUP($DS178,'Jan-2026 rates'!$L:$S,8,0),IF($LB178=80%,VLOOKUP($DS178,'Jan-2026 rates'!L:T,9,0),0))))))))</f>
        <v>0</v>
      </c>
      <c r="DY178" s="413" t="s">
        <v>1250</v>
      </c>
      <c r="DZ178" s="413"/>
      <c r="EA178" s="412"/>
      <c r="EB178" s="412"/>
      <c r="EC178" s="412"/>
      <c r="ED178" s="412"/>
      <c r="EE178" s="412"/>
      <c r="EF178" s="412"/>
      <c r="EG178" s="409">
        <v>5</v>
      </c>
      <c r="EH178" s="398">
        <f>IF(EG178=0,0,IF(LEN(DY178)=11,_xlfn.XLOOKUP(DY178,'Dispensed Ink Rates'!C:C,'Dispensed Ink Rates'!CS:CS),VLOOKUP(DY178,'Jan-2026 rates'!$E:$F,2,0)))</f>
        <v>0</v>
      </c>
      <c r="EI178" s="409"/>
      <c r="EJ178" s="398">
        <f>IF(EI178=0,0,IF(LEN(DZ178)=11,_xlfn.XLOOKUP(DZ178,'Dispensed Ink Rates'!C:C,'Dispensed Ink Rates'!CS:CS),VLOOKUP(DZ178,'Jan-2026 rates'!$E:$F,2,0)))</f>
        <v>0</v>
      </c>
      <c r="EK178" s="409"/>
      <c r="EL178" s="398">
        <f>IF(EK178=0,0,IF(LEN(EA178)=11,_xlfn.XLOOKUP(EA178,'Dispensed Ink Rates'!C:C,'Dispensed Ink Rates'!CS:CS),VLOOKUP(EA178,'Jan-2026 rates'!$E:$F,2,0)))</f>
        <v>0</v>
      </c>
      <c r="EM178" s="409"/>
      <c r="EN178" s="398">
        <f>IF(EM178=0,0,IF(LEN(EB178)=11,_xlfn.XLOOKUP(EB178,'Dispensed Ink Rates'!C:C,'Dispensed Ink Rates'!CS:CS),VLOOKUP(EB178,'Jan-2026 rates'!$E:$F,2,0)))</f>
        <v>0</v>
      </c>
      <c r="EO178" s="409"/>
      <c r="EP178" s="398">
        <f>IF(EO178=0,0,IF(LEN(EC178)=11,_xlfn.XLOOKUP(EC178,'Dispensed Ink Rates'!C:C,'Dispensed Ink Rates'!CS:CS),VLOOKUP(EC178,'Jan-2026 rates'!$E:$F,2,0)))</f>
        <v>0</v>
      </c>
      <c r="EQ178" s="409"/>
      <c r="ER178" s="398">
        <f>IF(EQ178=0,0,IF(LEN(ED178)=11,_xlfn.XLOOKUP(ED178,'Dispensed Ink Rates'!C:C,'Dispensed Ink Rates'!CS:CS),VLOOKUP(ED178,'Jan-2026 rates'!$E:$F,2,0)))</f>
        <v>0</v>
      </c>
      <c r="ES178" s="409"/>
      <c r="ET178" s="398">
        <f>IF(ES178=0,0,IF(LEN(EE178)=11,_xlfn.XLOOKUP(EE178,'Dispensed Ink Rates'!C:C,'Dispensed Ink Rates'!CS:CS),VLOOKUP(EE178,'Jan-2026 rates'!$E:$F,2,0)))</f>
        <v>0</v>
      </c>
      <c r="EU178" s="409"/>
      <c r="EV178" s="398">
        <f>IF(EU178=0,0,IF(LEN(EF178)=11,_xlfn.XLOOKUP(EF178,'Dispensed Ink Rates'!C:C,'Dispensed Ink Rates'!CS:CS),VLOOKUP(EF178,'Jan-2026 rates'!$E:$F,2,0)))</f>
        <v>0</v>
      </c>
      <c r="EW178" s="409" t="s">
        <v>1881</v>
      </c>
      <c r="EX178" s="409">
        <f>14+15</f>
        <v>29</v>
      </c>
      <c r="EY178" s="411">
        <f t="shared" si="115"/>
        <v>0</v>
      </c>
      <c r="EZ178" s="411">
        <f t="shared" si="116"/>
        <v>5.6721311475409806</v>
      </c>
      <c r="FA178" s="410">
        <f t="shared" si="117"/>
        <v>0</v>
      </c>
      <c r="FB178" s="405" t="s">
        <v>544</v>
      </c>
      <c r="FC178" s="409" t="s">
        <v>3608</v>
      </c>
      <c r="FD178" s="420" t="str">
        <f t="shared" si="134"/>
        <v>ToyoLi - MAGENTA</v>
      </c>
      <c r="FE178" s="409">
        <v>10</v>
      </c>
      <c r="FF178" s="411">
        <f>IF(FE178=0,0,IF($LB178=70%,VLOOKUP($FD178,'Jan-2026 rates'!$L:$R,4,0),IF($LB178=65%,VLOOKUP($FD178,'Jan-2026 rates'!$L:$R,4,0),IF($LB178=40%,VLOOKUP($FD178,'Jan-2026 rates'!$L:$R,5,0),IF($LB178=30%,VLOOKUP($FD178,'Jan-2026 rates'!$L:$R,6,0),IF($LB178=100%,VLOOKUP($FD178,'Jan-2026 rates'!$L:$R,7,0),IF($LB178=60%,VLOOKUP($FD178,'Jan-2026 rates'!$L:$S,8,0),IF($LB178=80%,VLOOKUP($FD178,'Jan-2026 rates'!L:T,9,0),0))))))))</f>
        <v>0</v>
      </c>
      <c r="FG178" s="412" t="s">
        <v>3489</v>
      </c>
      <c r="FH178" s="409">
        <v>12</v>
      </c>
      <c r="FI178" s="411">
        <f>IF(FH178=0,0,IF($LB178=70%,VLOOKUP($FD178,'Jan-2026 rates'!$L:$R,4,0),IF($LB178=65%,VLOOKUP($FD178,'Jan-2026 rates'!$L:$R,4,0),IF($LB178=40%,VLOOKUP($FD178,'Jan-2026 rates'!$L:$R,5,0),IF($LB178=30%,VLOOKUP($FD178,'Jan-2026 rates'!$L:$R,6,0),IF($LB178=100%,VLOOKUP($FD178,'Jan-2026 rates'!$L:$R,7,0),IF($LB178=60%,VLOOKUP($FD178,'Jan-2026 rates'!$L:$S,8,0),IF($LB178=80%,VLOOKUP($FD178,'Jan-2026 rates'!L:T,9,0),0))))))))</f>
        <v>0</v>
      </c>
      <c r="FJ178" s="413" t="s">
        <v>1246</v>
      </c>
      <c r="FK178" s="413"/>
      <c r="FL178" s="413"/>
      <c r="FM178" s="412"/>
      <c r="FN178" s="412"/>
      <c r="FO178" s="412"/>
      <c r="FP178" s="412"/>
      <c r="FQ178" s="412"/>
      <c r="FR178" s="409">
        <v>2</v>
      </c>
      <c r="FS178" s="398">
        <f>IF(FR178=0,0,IF(LEN(FJ178)=11,_xlfn.XLOOKUP(FJ178,'Dispensed Ink Rates'!C:C,'Dispensed Ink Rates'!CS:CS),VLOOKUP(FJ178,'Jan-2026 rates'!$E:$F,2,0)))</f>
        <v>0</v>
      </c>
      <c r="FT178" s="409"/>
      <c r="FU178" s="398">
        <f>IF(FT178=0,0,IF(LEN(FK178)=11,_xlfn.XLOOKUP(FK178,'Dispensed Ink Rates'!C:C,'Dispensed Ink Rates'!CS:CS),VLOOKUP(FK178,'Jan-2026 rates'!$E:$F,2,0)))</f>
        <v>0</v>
      </c>
      <c r="FV178" s="409"/>
      <c r="FW178" s="398">
        <f>IF(FV178=0,0,IF(LEN(FL178)=11,_xlfn.XLOOKUP(FL178,'Dispensed Ink Rates'!C:C,'Dispensed Ink Rates'!CS:CS),VLOOKUP(FL178,'Jan-2026 rates'!$E:$F,2,0)))</f>
        <v>0</v>
      </c>
      <c r="FX178" s="409"/>
      <c r="FY178" s="398">
        <f>IF(FX178=0,0,IF(LEN(FM178)=11,_xlfn.XLOOKUP(FM178,'Dispensed Ink Rates'!C:C,'Dispensed Ink Rates'!CS:CS),VLOOKUP(FM178,'Jan-2026 rates'!$E:$F,2,0)))</f>
        <v>0</v>
      </c>
      <c r="FZ178" s="409"/>
      <c r="GA178" s="398">
        <f>IF(FZ178=0,0,IF(LEN(FN178)=11,_xlfn.XLOOKUP(FN178,'Dispensed Ink Rates'!C:C,'Dispensed Ink Rates'!CS:CS),VLOOKUP(FN178,'Jan-2026 rates'!$E:$F,2,0)))</f>
        <v>0</v>
      </c>
      <c r="GB178" s="409"/>
      <c r="GC178" s="398">
        <f>IF(GB178=0,0,IF(LEN(FO178)=11,_xlfn.XLOOKUP(FO178,'Dispensed Ink Rates'!C:C,'Dispensed Ink Rates'!CS:CS),VLOOKUP(FO178,'Jan-2026 rates'!$E:$F,2,0)))</f>
        <v>0</v>
      </c>
      <c r="GD178" s="409"/>
      <c r="GE178" s="398">
        <f>IF(GD178=0,0,IF(LEN(FP178)=11,_xlfn.XLOOKUP(FP178,'Dispensed Ink Rates'!C:C,'Dispensed Ink Rates'!CS:CS),VLOOKUP(FP178,'Jan-2026 rates'!$E:$F,2,0)))</f>
        <v>0</v>
      </c>
      <c r="GF178" s="409"/>
      <c r="GG178" s="398">
        <f>IF(GF178=0,0,IF(LEN(FQ178)=11,_xlfn.XLOOKUP(FQ178,'Dispensed Ink Rates'!C:C,'Dispensed Ink Rates'!CS:CS),VLOOKUP(FQ178,'Jan-2026 rates'!$E:$F,2,0)))</f>
        <v>0</v>
      </c>
      <c r="GH178" s="409" t="s">
        <v>1881</v>
      </c>
      <c r="GI178" s="409">
        <v>28</v>
      </c>
      <c r="GJ178" s="411">
        <f t="shared" si="118"/>
        <v>0</v>
      </c>
      <c r="GK178" s="411">
        <f t="shared" si="119"/>
        <v>1.8032786885245926</v>
      </c>
      <c r="GL178" s="410">
        <f t="shared" si="120"/>
        <v>0</v>
      </c>
      <c r="GM178" s="405" t="s">
        <v>545</v>
      </c>
      <c r="GN178" s="409" t="s">
        <v>3609</v>
      </c>
      <c r="GO178" s="420" t="str">
        <f t="shared" si="135"/>
        <v>ToyoLi - YELLOW</v>
      </c>
      <c r="GP178" s="409">
        <f>15+12</f>
        <v>27</v>
      </c>
      <c r="GQ178" s="411">
        <f>IF(GP178=0,0,IF($LB178=70%,VLOOKUP($GO178,'Jan-2026 rates'!$L:$R,4,0),IF($LB178=65%,VLOOKUP($GO178,'Jan-2026 rates'!$L:$R,4,0),IF($LB178=40%,VLOOKUP($GO178,'Jan-2026 rates'!$L:$R,5,0),IF($LB178=30%,VLOOKUP($GO178,'Jan-2026 rates'!$L:$R,6,0),IF($LB178=100%,VLOOKUP($GO178,'Jan-2026 rates'!$L:$R,7,0),IF($LB178=60%,VLOOKUP($GO178,'Jan-2026 rates'!$L:$S,8,0),IF($LB178=80%,VLOOKUP($GO178,'Jan-2026 rates'!L:T,9,0),0))))))))</f>
        <v>0</v>
      </c>
      <c r="GR178" s="412"/>
      <c r="GS178" s="409"/>
      <c r="GT178" s="411">
        <f>IF(GS178=0,0,IF($LB178=70%,VLOOKUP($GO178,'Jan-2026 rates'!$L:$R,4,0),IF($LB178=65%,VLOOKUP($GO178,'Jan-2026 rates'!$L:$R,4,0),IF($LB178=40%,VLOOKUP($GO178,'Jan-2026 rates'!$L:$R,5,0),IF($LB178=30%,VLOOKUP($GO178,'Jan-2026 rates'!$L:$R,6,0),IF($LB178=100%,VLOOKUP($GO178,'Jan-2026 rates'!$L:$R,7,0),IF($LB178=60%,VLOOKUP($GO178,'Jan-2026 rates'!$L:$S,8,0),IF($LB178=80%,VLOOKUP($GO178,'Jan-2026 rates'!L:T,9,0),0))))))))</f>
        <v>0</v>
      </c>
      <c r="GU178" s="413" t="s">
        <v>1247</v>
      </c>
      <c r="GV178" s="413"/>
      <c r="GW178" s="412"/>
      <c r="GX178" s="412"/>
      <c r="GY178" s="412"/>
      <c r="GZ178" s="412"/>
      <c r="HA178" s="412"/>
      <c r="HB178" s="412"/>
      <c r="HC178" s="409">
        <v>10</v>
      </c>
      <c r="HD178" s="398">
        <f>IF(HC178=0,0,IF(LEN(GU178)=11,_xlfn.XLOOKUP(GU178,'Dispensed Ink Rates'!C:C,'Dispensed Ink Rates'!CS:CS),VLOOKUP(GU178,'Jan-2026 rates'!$E:$F,2,0)))</f>
        <v>0</v>
      </c>
      <c r="HE178" s="409"/>
      <c r="HF178" s="398">
        <f>IF(HE178=0,0,IF(LEN(GV178)=11,_xlfn.XLOOKUP(GV178,'Dispensed Ink Rates'!C:C,'Dispensed Ink Rates'!CS:CS),VLOOKUP(GV178,'Jan-2026 rates'!$E:$F,2,0)))</f>
        <v>0</v>
      </c>
      <c r="HG178" s="409"/>
      <c r="HH178" s="398">
        <f>IF(HG178=0,0,IF(LEN(GW178)=11,_xlfn.XLOOKUP(GW178,'Dispensed Ink Rates'!C:C,'Dispensed Ink Rates'!CS:CS),VLOOKUP(GW178,'Jan-2026 rates'!$E:$F,2,0)))</f>
        <v>0</v>
      </c>
      <c r="HI178" s="409"/>
      <c r="HJ178" s="398">
        <f>IF(HI178=0,0,IF(LEN(GX178)=11,_xlfn.XLOOKUP(GX178,'Dispensed Ink Rates'!C:C,'Dispensed Ink Rates'!CS:CS),VLOOKUP(GX178,'Jan-2026 rates'!$E:$F,2,0)))</f>
        <v>0</v>
      </c>
      <c r="HK178" s="409"/>
      <c r="HL178" s="398">
        <f>IF(HK178=0,0,IF(LEN(GY178)=11,_xlfn.XLOOKUP(GY178,'Dispensed Ink Rates'!C:C,'Dispensed Ink Rates'!CS:CS),VLOOKUP(GY178,'Jan-2026 rates'!$E:$F,2,0)))</f>
        <v>0</v>
      </c>
      <c r="HM178" s="409"/>
      <c r="HN178" s="398">
        <f>IF(HM178=0,0,IF(LEN(GZ178)=11,_xlfn.XLOOKUP(GZ178,'Dispensed Ink Rates'!C:C,'Dispensed Ink Rates'!CS:CS),VLOOKUP(GZ178,'Jan-2026 rates'!$E:$F,2,0)))</f>
        <v>0</v>
      </c>
      <c r="HO178" s="409"/>
      <c r="HP178" s="398">
        <f>IF(HO178=0,0,IF(LEN(HA178)=11,_xlfn.XLOOKUP(HA178,'Dispensed Ink Rates'!C:C,'Dispensed Ink Rates'!CS:CS),VLOOKUP(HA178,'Jan-2026 rates'!$E:$F,2,0)))</f>
        <v>0</v>
      </c>
      <c r="HQ178" s="409"/>
      <c r="HR178" s="398">
        <f>IF(HQ178=0,0,IF(LEN(HB178)=11,_xlfn.XLOOKUP(HB178,'Dispensed Ink Rates'!C:C,'Dispensed Ink Rates'!CS:CS),VLOOKUP(HB178,'Jan-2026 rates'!$E:$F,2,0)))</f>
        <v>0</v>
      </c>
      <c r="HS178" s="409" t="s">
        <v>1881</v>
      </c>
      <c r="HT178" s="409">
        <v>27</v>
      </c>
      <c r="HU178" s="411">
        <f t="shared" si="121"/>
        <v>0</v>
      </c>
      <c r="HV178" s="411">
        <f t="shared" si="122"/>
        <v>19.672131147540981</v>
      </c>
      <c r="HW178" s="414">
        <f t="shared" si="123"/>
        <v>0</v>
      </c>
      <c r="HX178" s="405" t="s">
        <v>856</v>
      </c>
      <c r="HY178" s="409" t="s">
        <v>3610</v>
      </c>
      <c r="HZ178" s="420" t="str">
        <f t="shared" si="136"/>
        <v>ToyoLi - WHITE</v>
      </c>
      <c r="IA178" s="409">
        <v>20</v>
      </c>
      <c r="IB178" s="411">
        <f>IF(IA178=0,0,IF($LB178=70%,VLOOKUP($HZ178,'Jan-2026 rates'!$L:$R,4,0),IF($LB178=65%,VLOOKUP($HZ178,'Jan-2026 rates'!$L:$R,4,0),IF($LB178=40%,VLOOKUP($HZ178,'Jan-2026 rates'!$L:$R,5,0),IF($LB178=30%,VLOOKUP($HZ178,'Jan-2026 rates'!$L:$R,6,0),IF($LB178=100%,VLOOKUP($HZ178,'Jan-2026 rates'!$L:$R,7,0),IF($LB178=60%,VLOOKUP($HZ178,'Jan-2026 rates'!$L:$S,8,0),IF($LB178=80%,VLOOKUP($HZ178,'Jan-2026 rates'!L:T,9,0),0))))))))</f>
        <v>0</v>
      </c>
      <c r="IC178" s="412"/>
      <c r="ID178" s="409"/>
      <c r="IE178" s="411">
        <f>IF(ID178=0,0,IF($LB178=70%,VLOOKUP($HZ178,'Jan-2026 rates'!$L:$R,4,0),IF($LB178=65%,VLOOKUP($HZ178,'Jan-2026 rates'!$L:$R,4,0),IF($LB178=40%,VLOOKUP($HZ178,'Jan-2026 rates'!$L:$R,5,0),IF($LB178=30%,VLOOKUP($HZ178,'Jan-2026 rates'!$L:$R,6,0),IF($LB178=100%,VLOOKUP($HZ178,'Jan-2026 rates'!$L:$R,7,0),IF($LB178=60%,VLOOKUP($HZ178,'Jan-2026 rates'!$L:$S,8,0),IF($LB178=80%,VLOOKUP($HZ178,'Jan-2026 rates'!L:T,9,0),0))))))))</f>
        <v>0</v>
      </c>
      <c r="IF178" s="412" t="s">
        <v>1249</v>
      </c>
      <c r="IG178" s="413"/>
      <c r="IH178" s="412"/>
      <c r="II178" s="412"/>
      <c r="IJ178" s="412"/>
      <c r="IK178" s="412"/>
      <c r="IL178" s="412"/>
      <c r="IM178" s="412"/>
      <c r="IN178" s="409">
        <f>130+100+100</f>
        <v>330</v>
      </c>
      <c r="IO178" s="398">
        <f>IF(IN178=0,0,IF(LEN(IF178)=11,_xlfn.XLOOKUP(IF178,'Dispensed Ink Rates'!C:C,'Dispensed Ink Rates'!CS:CS),VLOOKUP(IF178,'Jan-2026 rates'!$E:$F,2,0)))</f>
        <v>0</v>
      </c>
      <c r="IP178" s="409"/>
      <c r="IQ178" s="398">
        <f>IF(IP178=0,0,IF(LEN(IG178)=11,_xlfn.XLOOKUP(IG178,'Dispensed Ink Rates'!C:C,'Dispensed Ink Rates'!CS:CS),VLOOKUP(IG178,'Jan-2026 rates'!$E:$F,2,0)))</f>
        <v>0</v>
      </c>
      <c r="IR178" s="409"/>
      <c r="IS178" s="398">
        <f>IF(IR178=0,0,IF(LEN(IH178)=11,_xlfn.XLOOKUP(IH178,'Dispensed Ink Rates'!C:C,'Dispensed Ink Rates'!CS:CS),VLOOKUP(IH178,'Jan-2026 rates'!$E:$F,2,0)))</f>
        <v>0</v>
      </c>
      <c r="IT178" s="409"/>
      <c r="IU178" s="398">
        <f>IF(IT178=0,0,IF(LEN(II178)=11,_xlfn.XLOOKUP(II178,'Dispensed Ink Rates'!C:C,'Dispensed Ink Rates'!CS:CS),VLOOKUP(II178,'Jan-2026 rates'!$E:$F,2,0)))</f>
        <v>0</v>
      </c>
      <c r="IV178" s="409"/>
      <c r="IW178" s="398">
        <f>IF(IV178=0,0,IF(LEN(IJ178)=11,_xlfn.XLOOKUP(IJ178,'Dispensed Ink Rates'!C:C,'Dispensed Ink Rates'!CS:CS),VLOOKUP(IJ178,'Jan-2026 rates'!$E:$F,2,0)))</f>
        <v>0</v>
      </c>
      <c r="IX178" s="409"/>
      <c r="IY178" s="398">
        <f>IF(IX178=0,0,IF(LEN(IK178)=11,_xlfn.XLOOKUP(IK178,'Dispensed Ink Rates'!C:C,'Dispensed Ink Rates'!CS:CS),VLOOKUP(IK178,'Jan-2026 rates'!$E:$F,2,0)))</f>
        <v>0</v>
      </c>
      <c r="IZ178" s="409"/>
      <c r="JA178" s="398">
        <f>IF(IZ178=0,0,IF(LEN(IL178)=11,_xlfn.XLOOKUP(IL178,'Dispensed Ink Rates'!C:C,'Dispensed Ink Rates'!CS:CS),VLOOKUP(IL178,'Jan-2026 rates'!$E:$F,2,0)))</f>
        <v>0</v>
      </c>
      <c r="JB178" s="409"/>
      <c r="JC178" s="398">
        <f>IF(JB178=0,0,IF(LEN(IM178)=11,_xlfn.XLOOKUP(IM178,'Dispensed Ink Rates'!C:C,'Dispensed Ink Rates'!CS:CS),VLOOKUP(IM178,'Jan-2026 rates'!$E:$F,2,0)))</f>
        <v>0</v>
      </c>
      <c r="JD178" s="409" t="s">
        <v>1881</v>
      </c>
      <c r="JE178" s="409">
        <v>30</v>
      </c>
      <c r="JF178" s="411">
        <f t="shared" si="124"/>
        <v>0</v>
      </c>
      <c r="JG178" s="411">
        <f t="shared" si="125"/>
        <v>706.88524590163934</v>
      </c>
      <c r="JH178" s="410">
        <f t="shared" si="126"/>
        <v>0</v>
      </c>
      <c r="JI178" s="405"/>
      <c r="JJ178" s="409"/>
      <c r="JK178" s="420" t="str">
        <f t="shared" si="137"/>
        <v xml:space="preserve"> - </v>
      </c>
      <c r="JL178" s="409"/>
      <c r="JM178" s="411">
        <f>IF(JL178=0,0,IF($LB178=70%,VLOOKUP($JK178,'Jan-2026 rates'!$L:$R,4,0),IF($LB178=65%,VLOOKUP($JK178,'Jan-2026 rates'!$L:$R,4,0),IF($LB178=40%,VLOOKUP($JK178,'Jan-2026 rates'!$L:$R,5,0),IF($LB178=30%,VLOOKUP($JK178,'Jan-2026 rates'!$L:$R,6,0),IF($LB178=100%,VLOOKUP($JK178,'Jan-2026 rates'!$L:$R,7,0),IF($LB178=60%,VLOOKUP($JK178,'Jan-2026 rates'!$L:$S,8,0),IF($LB178=80%,VLOOKUP($JK178,'Jan-2026 rates'!L:T,9,0),0))))))))</f>
        <v>0</v>
      </c>
      <c r="JN178" s="412"/>
      <c r="JO178" s="409"/>
      <c r="JP178" s="411">
        <f>IF(JO178=0,0,IF($LB178=70%,VLOOKUP($JK178,'Jan-2026 rates'!$L:$R,4,0),IF($LB178=65%,VLOOKUP($JK178,'Jan-2026 rates'!$L:$R,4,0),IF($LB178=40%,VLOOKUP($JK178,'Jan-2026 rates'!$L:$R,5,0),IF($LB178=30%,VLOOKUP($JK178,'Jan-2026 rates'!$L:$R,6,0),IF($LB178=100%,VLOOKUP($JK178,'Jan-2026 rates'!$L:$R,7,0),IF($LB178=60%,VLOOKUP($JK178,'Jan-2026 rates'!$L:$S,8,0),IF($LB178=80%,VLOOKUP($JK178,'Jan-2026 rates'!L:T,9,0),0))))))))</f>
        <v>0</v>
      </c>
      <c r="JQ178" s="413"/>
      <c r="JR178" s="412"/>
      <c r="JS178" s="413"/>
      <c r="JT178" s="413"/>
      <c r="JU178" s="412"/>
      <c r="JV178" s="412"/>
      <c r="JW178" s="412"/>
      <c r="JX178" s="412"/>
      <c r="JY178" s="409"/>
      <c r="JZ178" s="398">
        <f>IF(JY178=0,0,IF(LEN(JQ178)=11,_xlfn.XLOOKUP(JQ178,'Dispensed Ink Rates'!C:C,'Dispensed Ink Rates'!CS:CS),VLOOKUP(JQ178,'Jan-2026 rates'!$E:$F,2,0)))</f>
        <v>0</v>
      </c>
      <c r="KA178" s="409"/>
      <c r="KB178" s="398">
        <f>IF(KA178=0,0,IF(LEN(JR178)=11,_xlfn.XLOOKUP(JR178,'Dispensed Ink Rates'!C:C,'Dispensed Ink Rates'!CS:CS),VLOOKUP(JR178,'Jan-2026 rates'!$E:$F,2,0)))</f>
        <v>0</v>
      </c>
      <c r="KC178" s="409"/>
      <c r="KD178" s="398">
        <f>IF(KC178=0,0,IF(LEN(JS178)=11,_xlfn.XLOOKUP(JS178,'Dispensed Ink Rates'!C:C,'Dispensed Ink Rates'!CS:CS),VLOOKUP(JS178,'Jan-2026 rates'!$E:$F,2,0)))</f>
        <v>0</v>
      </c>
      <c r="KE178" s="409"/>
      <c r="KF178" s="398">
        <f>IF(KE178=0,0,IF(LEN(JT178)=11,_xlfn.XLOOKUP(JT178,'Dispensed Ink Rates'!C:C,'Dispensed Ink Rates'!CS:CS),VLOOKUP(JT178,'Jan-2026 rates'!$E:$F,2,0)))</f>
        <v>0</v>
      </c>
      <c r="KG178" s="409"/>
      <c r="KH178" s="398">
        <f>IF(KG178=0,0,IF(LEN(JU178)=11,_xlfn.XLOOKUP(JU178,'Dispensed Ink Rates'!C:C,'Dispensed Ink Rates'!CS:CS),VLOOKUP(JU178,'Jan-2026 rates'!$E:$F,2,0)))</f>
        <v>0</v>
      </c>
      <c r="KI178" s="409"/>
      <c r="KJ178" s="398">
        <f>IF(KI178=0,0,IF(LEN(JV178)=11,_xlfn.XLOOKUP(JV178,'Dispensed Ink Rates'!C:C,'Dispensed Ink Rates'!CS:CS),VLOOKUP(JV178,'Jan-2026 rates'!$E:$F,2,0)))</f>
        <v>0</v>
      </c>
      <c r="KK178" s="409"/>
      <c r="KL178" s="398">
        <f>IF(KK178=0,0,IF(LEN(JW178)=11,_xlfn.XLOOKUP(JW178,'Dispensed Ink Rates'!C:C,'Dispensed Ink Rates'!CS:CS),VLOOKUP(JW178,'Jan-2026 rates'!$E:$F,2,0)))</f>
        <v>0</v>
      </c>
      <c r="KM178" s="428"/>
      <c r="KN178" s="398">
        <f>IF(KM178=0,0,IF(LEN(JX178)=11,_xlfn.XLOOKUP(JX178,'Dispensed Ink Rates'!C:C,'Dispensed Ink Rates'!CS:CS),VLOOKUP(JX178,'Jan-2026 rates'!$E:$F,2,0)))</f>
        <v>0</v>
      </c>
      <c r="KO178" s="409"/>
      <c r="KP178" s="409"/>
      <c r="KQ178" s="411">
        <f t="shared" si="127"/>
        <v>0</v>
      </c>
      <c r="KR178" s="411">
        <f t="shared" si="128"/>
        <v>0</v>
      </c>
      <c r="KS178" s="410">
        <f t="shared" si="129"/>
        <v>0</v>
      </c>
      <c r="KT178" s="409">
        <f>15+10</f>
        <v>25</v>
      </c>
      <c r="KU178" s="409">
        <f>7+10</f>
        <v>17</v>
      </c>
      <c r="KV178" s="409">
        <f>40+10</f>
        <v>50</v>
      </c>
      <c r="KW178" s="409">
        <v>5</v>
      </c>
      <c r="KX178" s="409">
        <v>3</v>
      </c>
      <c r="KY178" s="409">
        <v>5</v>
      </c>
      <c r="KZ178" s="409">
        <f>80+60+60</f>
        <v>200</v>
      </c>
      <c r="LA178" s="409">
        <v>0</v>
      </c>
      <c r="LB178" s="415">
        <v>0.3</v>
      </c>
      <c r="LC178" s="415"/>
      <c r="LD178" s="415"/>
      <c r="LE178" s="415">
        <v>0.5</v>
      </c>
      <c r="LF178" s="415">
        <v>0.2</v>
      </c>
      <c r="LG178" s="409">
        <v>0</v>
      </c>
      <c r="LH178" s="409">
        <f>200+190+60+100+40</f>
        <v>590</v>
      </c>
      <c r="LI178" s="409">
        <v>0</v>
      </c>
      <c r="LJ178" s="409">
        <v>0</v>
      </c>
      <c r="LK178" s="416">
        <f t="shared" si="138"/>
        <v>590</v>
      </c>
      <c r="LL178" s="416">
        <f t="shared" si="139"/>
        <v>590</v>
      </c>
      <c r="LM178" s="417">
        <f t="shared" si="140"/>
        <v>177</v>
      </c>
      <c r="LN178" s="417">
        <f>VLOOKUP($LM$8,'Jan-2026 rates'!$H:$I,2,0)</f>
        <v>0</v>
      </c>
      <c r="LO178" s="417">
        <f t="shared" si="141"/>
        <v>0</v>
      </c>
      <c r="LP178" s="417">
        <f>VLOOKUP($LO$8,'Jan-2026 rates'!$H:$I,2,0)</f>
        <v>0</v>
      </c>
      <c r="LQ178" s="417">
        <f t="shared" si="142"/>
        <v>0</v>
      </c>
      <c r="LR178" s="417">
        <f>VLOOKUP($LQ$8,'Jan-2026 rates'!$H:$I,2,0)</f>
        <v>0</v>
      </c>
      <c r="LS178" s="417">
        <f t="shared" si="143"/>
        <v>295</v>
      </c>
      <c r="LT178" s="417">
        <f>VLOOKUP($LS$8,'Jan-2026 rates'!$H:$I,2,0)</f>
        <v>0</v>
      </c>
      <c r="LU178" s="417">
        <f t="shared" si="144"/>
        <v>118</v>
      </c>
      <c r="LV178" s="417">
        <f>VLOOKUP($LU$8,'Jan-2026 rates'!$H:$I,2,0)</f>
        <v>0</v>
      </c>
      <c r="LW178" s="417">
        <f t="shared" si="145"/>
        <v>0</v>
      </c>
      <c r="LX178" s="417">
        <f t="shared" si="146"/>
        <v>0</v>
      </c>
      <c r="LY178" s="418">
        <f t="shared" si="147"/>
        <v>0</v>
      </c>
      <c r="LZ178" s="417"/>
      <c r="MA178" s="435">
        <f t="shared" si="148"/>
        <v>555</v>
      </c>
      <c r="MB178" s="282">
        <f t="shared" si="149"/>
        <v>1095</v>
      </c>
      <c r="MC178" s="283" t="s">
        <v>2013</v>
      </c>
      <c r="MD178" s="284" t="str">
        <f t="shared" si="150"/>
        <v>ToyoLiToyoLiToyoLiToyoLiToyoLiToyoLiToyoLi</v>
      </c>
      <c r="ME178" s="293" t="str">
        <f t="shared" si="151"/>
        <v>+</v>
      </c>
      <c r="MF178" s="293" t="str">
        <f t="shared" si="152"/>
        <v>+</v>
      </c>
      <c r="MG178" s="293" t="str">
        <f t="shared" si="153"/>
        <v>+</v>
      </c>
      <c r="MH178" s="293" t="str">
        <f t="shared" si="154"/>
        <v>+</v>
      </c>
      <c r="MI178" s="293" t="str">
        <f t="shared" si="155"/>
        <v>+</v>
      </c>
      <c r="MJ178" s="293" t="str">
        <f t="shared" si="156"/>
        <v>+</v>
      </c>
      <c r="MK178" s="293" t="str">
        <f t="shared" si="157"/>
        <v>+</v>
      </c>
      <c r="ML178" s="293" t="str">
        <f t="shared" si="158"/>
        <v>NIL</v>
      </c>
      <c r="MM178" s="3" t="b">
        <f t="array" ref="MM178">OR(ME178:ML178="-")</f>
        <v>0</v>
      </c>
      <c r="MN178" s="285"/>
      <c r="MO178" s="401"/>
      <c r="MP178" s="286"/>
      <c r="MQ178" s="286"/>
      <c r="MR178" s="402"/>
      <c r="MS178" s="400"/>
      <c r="NH178" s="422"/>
      <c r="NJ178" s="421"/>
    </row>
    <row r="179" spans="1:374" s="1" customFormat="1" ht="16.5">
      <c r="A179" s="403">
        <v>46035</v>
      </c>
      <c r="B179" s="404" t="s">
        <v>1018</v>
      </c>
      <c r="C179" s="405" t="s">
        <v>3611</v>
      </c>
      <c r="D179" s="406" t="s">
        <v>2014</v>
      </c>
      <c r="E179" s="404">
        <v>143</v>
      </c>
      <c r="F179" s="407">
        <v>9500</v>
      </c>
      <c r="G179" s="407" t="s">
        <v>1016</v>
      </c>
      <c r="H179" s="408" t="s">
        <v>1017</v>
      </c>
      <c r="I179" s="409">
        <v>1.42</v>
      </c>
      <c r="J179" s="405" t="s">
        <v>543</v>
      </c>
      <c r="K179" s="404" t="s">
        <v>3612</v>
      </c>
      <c r="L179" s="419" t="str">
        <f t="shared" si="131"/>
        <v>ToyoLi - BLACK</v>
      </c>
      <c r="M179" s="404">
        <v>25</v>
      </c>
      <c r="N179" s="410">
        <f>IF(M179=0,0,IF($LB179=70%,VLOOKUP($L179,'Jan-2026 rates'!$L:$R,4,0),IF($LB179=65%,VLOOKUP($L179,'Jan-2026 rates'!$L:$R,4,0),IF($LB179=40%,VLOOKUP($L179,'Jan-2026 rates'!$L:$R,5,0),IF($LB179=30%,VLOOKUP($L179,'Jan-2026 rates'!$L:$R,6,0),IF($LB179=100%,VLOOKUP($L179,'Jan-2026 rates'!$L:$R,7,0),IF($LB179=60%,VLOOKUP($L179,'Jan-2026 rates'!$L:$S,8,0),IF($LB179=80%,VLOOKUP($L179,'Jan-2026 rates'!L:T,9,0),0))))))))</f>
        <v>0</v>
      </c>
      <c r="O179" s="406"/>
      <c r="P179" s="404"/>
      <c r="Q179" s="410">
        <f>IF(P179=0,0,IF($LB179=70%,VLOOKUP($L179,'Jan-2026 rates'!$L:$R,4,0),IF($LB179=65%,VLOOKUP($L179,'Jan-2026 rates'!$L:$R,4,0),IF($LB179=40%,VLOOKUP($L179,'Jan-2026 rates'!$L:$R,5,0),IF($LB179=30%,VLOOKUP($L179,'Jan-2026 rates'!$L:$R,6,0),IF($LB179=100%,VLOOKUP($L179,'Jan-2026 rates'!$L:$R,7,0),IF($LB179=60%,VLOOKUP($L179,'Jan-2026 rates'!$L:$S,8,0),IF($LB179=80%,VLOOKUP($L179,'Jan-2026 rates'!L:T,9,0),0))))))))</f>
        <v>0</v>
      </c>
      <c r="R179" s="406" t="s">
        <v>1252</v>
      </c>
      <c r="S179" s="406"/>
      <c r="T179" s="406"/>
      <c r="U179" s="406"/>
      <c r="V179" s="406"/>
      <c r="W179" s="406"/>
      <c r="X179" s="406"/>
      <c r="Y179" s="406"/>
      <c r="Z179" s="404">
        <v>2</v>
      </c>
      <c r="AA179" s="398">
        <f>IF(Z179=0,0,IF(LEN(R179)=11,_xlfn.XLOOKUP(R179,'Dispensed Ink Rates'!C:C,'Dispensed Ink Rates'!CS:CS),VLOOKUP(R179,'Jan-2026 rates'!$E:$F,2,0)))</f>
        <v>0</v>
      </c>
      <c r="AB179" s="404"/>
      <c r="AC179" s="398">
        <f>IF(AB179=0,0,IF(LEN(S179)=11,_xlfn.XLOOKUP(S179,'Dispensed Ink Rates'!C:C,'Dispensed Ink Rates'!CS:CS),VLOOKUP(S179,'Jan-2026 rates'!$E:$F,2,0)))</f>
        <v>0</v>
      </c>
      <c r="AD179" s="404"/>
      <c r="AE179" s="398">
        <f>IF(AD179=0,0,IF(LEN(T179)=11,_xlfn.XLOOKUP(T179,'Dispensed Ink Rates'!C:C,'Dispensed Ink Rates'!CS:CS),VLOOKUP(T179,'Jan-2026 rates'!$E:$F,2,0)))</f>
        <v>0</v>
      </c>
      <c r="AF179" s="404"/>
      <c r="AG179" s="398">
        <f>IF(AF179=0,0,IF(LEN(U179)=11,_xlfn.XLOOKUP(U179,'Dispensed Ink Rates'!C:C,'Dispensed Ink Rates'!CS:CS),VLOOKUP(U179,'Jan-2026 rates'!$E:$F,2,0)))</f>
        <v>0</v>
      </c>
      <c r="AH179" s="404"/>
      <c r="AI179" s="398">
        <f>IF(AH179=0,0,IF(LEN(V179)=11,_xlfn.XLOOKUP(V179,'Dispensed Ink Rates'!C:C,'Dispensed Ink Rates'!CS:CS),VLOOKUP(V179,'Jan-2026 rates'!$E:$F,2,0)))</f>
        <v>0</v>
      </c>
      <c r="AJ179" s="404"/>
      <c r="AK179" s="398">
        <f>IF(AJ179=0,0,IF(LEN(W179)=11,_xlfn.XLOOKUP(W179,'Dispensed Ink Rates'!C:C,'Dispensed Ink Rates'!CS:CS),VLOOKUP(W179,'Jan-2026 rates'!$E:$F,2,0)))</f>
        <v>0</v>
      </c>
      <c r="AL179" s="404"/>
      <c r="AM179" s="398">
        <f>IF(AL179=0,0,IF(LEN(X179)=11,_xlfn.XLOOKUP(X179,'Dispensed Ink Rates'!C:C,'Dispensed Ink Rates'!CS:CS),VLOOKUP(X179,'Jan-2026 rates'!$E:$F,2,0)))</f>
        <v>0</v>
      </c>
      <c r="AN179" s="404"/>
      <c r="AO179" s="398">
        <f>IF(AN179=0,0,IF(LEN(Y179)=11,_xlfn.XLOOKUP(Y179,'Dispensed Ink Rates'!C:C,'Dispensed Ink Rates'!CS:CS),VLOOKUP(Y179,'Jan-2026 rates'!$E:$F,2,0)))</f>
        <v>0</v>
      </c>
      <c r="AP179" s="409" t="s">
        <v>1881</v>
      </c>
      <c r="AQ179" s="409">
        <v>27</v>
      </c>
      <c r="AR179" s="410">
        <f t="shared" si="106"/>
        <v>0</v>
      </c>
      <c r="AS179" s="411">
        <f t="shared" si="107"/>
        <v>3.4545454545454533</v>
      </c>
      <c r="AT179" s="410">
        <f t="shared" si="108"/>
        <v>0</v>
      </c>
      <c r="AU179" s="405" t="s">
        <v>546</v>
      </c>
      <c r="AV179" s="409" t="s">
        <v>3613</v>
      </c>
      <c r="AW179" s="420" t="str">
        <f t="shared" si="130"/>
        <v>ToyoLi - REFLEX BLUE</v>
      </c>
      <c r="AX179" s="409">
        <v>20</v>
      </c>
      <c r="AY179" s="411">
        <f>IF(AX179=0,0,IF($LB179=70%,VLOOKUP($AW179,'Jan-2026 rates'!$L:$R,4,0),IF($LB179=65%,VLOOKUP($AW179,'Jan-2026 rates'!$L:$R,4,0),IF($LB179=40%,VLOOKUP($AW179,'Jan-2026 rates'!$L:$R,5,0),IF($LB179=30%,VLOOKUP($AW179,'Jan-2026 rates'!$L:$R,6,0),IF($LB179=100%,VLOOKUP($AW179,'Jan-2026 rates'!$L:$R,7,0),IF($LB179=60%,VLOOKUP($AW179,'Jan-2026 rates'!$L:$S,8,0),IF($LB179=80%,VLOOKUP($AW179,'Jan-2026 rates'!L:T,9,0),0))))))))</f>
        <v>0</v>
      </c>
      <c r="AZ179" s="412" t="s">
        <v>3614</v>
      </c>
      <c r="BA179" s="409">
        <v>17</v>
      </c>
      <c r="BB179" s="411">
        <f>IF(BA179=0,0,IF($LB179=70%,VLOOKUP($AW179,'Jan-2026 rates'!$L:$R,4,0),IF($LB179=65%,VLOOKUP($AW179,'Jan-2026 rates'!$L:$R,4,0),IF($LB179=40%,VLOOKUP($AW179,'Jan-2026 rates'!$L:$R,5,0),IF($LB179=30%,VLOOKUP($AW179,'Jan-2026 rates'!$L:$R,6,0),IF($LB179=100%,VLOOKUP($AW179,'Jan-2026 rates'!$L:$R,7,0),IF($LB179=60%,VLOOKUP($AW179,'Jan-2026 rates'!$L:$S,8,0),IF($LB179=80%,VLOOKUP($AW179,'Jan-2026 rates'!L:T,9,0),0))))))))</f>
        <v>0</v>
      </c>
      <c r="BC179" s="413" t="s">
        <v>1246</v>
      </c>
      <c r="BD179" s="412" t="s">
        <v>1880</v>
      </c>
      <c r="BE179" s="412" t="s">
        <v>1248</v>
      </c>
      <c r="BF179" s="413"/>
      <c r="BG179" s="412"/>
      <c r="BH179" s="412"/>
      <c r="BI179" s="412"/>
      <c r="BJ179" s="412"/>
      <c r="BK179" s="409">
        <v>10</v>
      </c>
      <c r="BL179" s="398">
        <f>IF(BK179=0,0,IF(LEN(BC179)=11,_xlfn.XLOOKUP(BC179,'Dispensed Ink Rates'!C:C,'Dispensed Ink Rates'!CS:CS),VLOOKUP(BC179,'Jan-2026 rates'!$E:$F,2,0)))</f>
        <v>0</v>
      </c>
      <c r="BM179" s="409">
        <v>1</v>
      </c>
      <c r="BN179" s="398">
        <f>IF(BM179=0,0,IF(LEN(BD179)=11,_xlfn.XLOOKUP(BD179,'Dispensed Ink Rates'!C:C,'Dispensed Ink Rates'!CS:CS),VLOOKUP(BD179,'Jan-2026 rates'!$E:$F,2,0)))</f>
        <v>0</v>
      </c>
      <c r="BO179" s="409">
        <v>3</v>
      </c>
      <c r="BP179" s="398">
        <f>IF(BO179=0,0,IF(LEN(BE179)=11,_xlfn.XLOOKUP(BE179,'Dispensed Ink Rates'!C:C,'Dispensed Ink Rates'!CS:CS),VLOOKUP(BE179,'Jan-2026 rates'!$E:$F,2,0)))</f>
        <v>0</v>
      </c>
      <c r="BQ179" s="409"/>
      <c r="BR179" s="398">
        <f>IF(BQ179=0,0,IF(LEN(BF179)=11,_xlfn.XLOOKUP(BF179,'Dispensed Ink Rates'!C:C,'Dispensed Ink Rates'!CS:CS),VLOOKUP(BF179,'Jan-2026 rates'!$E:$F,2,0)))</f>
        <v>0</v>
      </c>
      <c r="BS179" s="409"/>
      <c r="BT179" s="398">
        <f>IF(BS179=0,0,IF(LEN(BG179)=11,_xlfn.XLOOKUP(BG179,'Dispensed Ink Rates'!C:C,'Dispensed Ink Rates'!CS:CS),VLOOKUP(BG179,'Jan-2026 rates'!$E:$F,2,0)))</f>
        <v>0</v>
      </c>
      <c r="BU179" s="409"/>
      <c r="BV179" s="398">
        <f>IF(BU179=0,0,IF(LEN(BH179)=11,_xlfn.XLOOKUP(BH179,'Dispensed Ink Rates'!C:C,'Dispensed Ink Rates'!CS:CS),VLOOKUP(BH179,'Jan-2026 rates'!$E:$F,2,0)))</f>
        <v>0</v>
      </c>
      <c r="BW179" s="409"/>
      <c r="BX179" s="398">
        <f>IF(BW179=0,0,IF(LEN(BI179)=11,_xlfn.XLOOKUP(BI179,'Dispensed Ink Rates'!C:C,'Dispensed Ink Rates'!CS:CS),VLOOKUP(BI179,'Jan-2026 rates'!$E:$F,2,0)))</f>
        <v>0</v>
      </c>
      <c r="BY179" s="409"/>
      <c r="BZ179" s="398">
        <f>IF(BY179=0,0,IF(LEN(BJ179)=11,_xlfn.XLOOKUP(BJ179,'Dispensed Ink Rates'!C:C,'Dispensed Ink Rates'!CS:CS),VLOOKUP(BJ179,'Jan-2026 rates'!$E:$F,2,0)))</f>
        <v>0</v>
      </c>
      <c r="CA179" s="409" t="s">
        <v>1881</v>
      </c>
      <c r="CB179" s="409">
        <f>20+18</f>
        <v>38</v>
      </c>
      <c r="CC179" s="411">
        <f t="shared" si="109"/>
        <v>0</v>
      </c>
      <c r="CD179" s="411">
        <f t="shared" si="110"/>
        <v>23.36363636363636</v>
      </c>
      <c r="CE179" s="410">
        <f t="shared" si="111"/>
        <v>0</v>
      </c>
      <c r="CF179" s="404" t="s">
        <v>855</v>
      </c>
      <c r="CG179" s="409" t="s">
        <v>3615</v>
      </c>
      <c r="CH179" s="420" t="str">
        <f t="shared" si="132"/>
        <v>ToyoLi - CYAN</v>
      </c>
      <c r="CI179" s="409">
        <v>29</v>
      </c>
      <c r="CJ179" s="411">
        <f>IF(CI179=0,0,IF($LB179=70%,VLOOKUP($CH179,'Jan-2026 rates'!$L:$R,4,0),IF($LB179=65%,VLOOKUP($CH179,'Jan-2026 rates'!$L:$R,4,0),IF($LB179=40%,VLOOKUP($CH179,'Jan-2026 rates'!$L:$R,5,0),IF($LB179=30%,VLOOKUP($CH179,'Jan-2026 rates'!$L:$R,6,0),IF($LB179=100%,VLOOKUP($CH179,'Jan-2026 rates'!$L:$R,7,0),IF($LB179=60%,VLOOKUP($CH179,'Jan-2026 rates'!$L:$S,8,0),IF($LB179=80%,VLOOKUP($CH179,'Jan-2026 rates'!L:T,9,0),0))))))))</f>
        <v>0</v>
      </c>
      <c r="CK179" s="412"/>
      <c r="CL179" s="409"/>
      <c r="CM179" s="411">
        <f>IF(CL179=0,0,IF($LB179=70%,VLOOKUP($CH179,'Jan-2026 rates'!$L:$R,4,0),IF($LB179=65%,VLOOKUP($CH179,'Jan-2026 rates'!$L:$R,4,0),IF($LB179=40%,VLOOKUP($CH179,'Jan-2026 rates'!$L:$R,5,0),IF($LB179=30%,VLOOKUP($CH179,'Jan-2026 rates'!$L:$R,6,0),IF($LB179=100%,VLOOKUP($CH179,'Jan-2026 rates'!$L:$R,7,0),IF($LB179=60%,VLOOKUP($CH179,'Jan-2026 rates'!$L:$S,8,0),IF($LB179=80%,VLOOKUP($CH179,'Jan-2026 rates'!L:T,9,0),0))))))))</f>
        <v>0</v>
      </c>
      <c r="CN179" s="426"/>
      <c r="CO179" s="427"/>
      <c r="CP179" s="426"/>
      <c r="CQ179" s="426"/>
      <c r="CR179" s="428"/>
      <c r="CS179" s="428"/>
      <c r="CT179" s="428"/>
      <c r="CU179" s="428"/>
      <c r="CV179" s="409"/>
      <c r="CW179" s="398">
        <f>IF(CV179=0,0,IF(LEN(CN179)=11,_xlfn.XLOOKUP(CN179,'Dispensed Ink Rates'!C:C,'Dispensed Ink Rates'!CS:CS),VLOOKUP(CN179,'Jan-2026 rates'!$E:$F,2,0)))</f>
        <v>0</v>
      </c>
      <c r="CX179" s="409"/>
      <c r="CY179" s="398">
        <f>IF(CX179=0,0,IF(LEN(CO179)=11,_xlfn.XLOOKUP(CO179,'Dispensed Ink Rates'!C:C,'Dispensed Ink Rates'!CS:CS),VLOOKUP(CO179,'Jan-2026 rates'!$E:$F,2,0)))</f>
        <v>0</v>
      </c>
      <c r="CZ179" s="409"/>
      <c r="DA179" s="398">
        <f>IF(CZ179=0,0,IF(LEN(CP179)=11,_xlfn.XLOOKUP(CP179,'Dispensed Ink Rates'!C:C,'Dispensed Ink Rates'!CS:CS),VLOOKUP(CP179,'Jan-2026 rates'!$E:$F,2,0)))</f>
        <v>0</v>
      </c>
      <c r="DB179" s="409"/>
      <c r="DC179" s="398">
        <f>IF(DB179=0,0,IF(LEN(CQ179)=11,_xlfn.XLOOKUP(CQ179,'Dispensed Ink Rates'!C:C,'Dispensed Ink Rates'!CS:CS),VLOOKUP(CQ179,'Jan-2026 rates'!$E:$F,2,0)))</f>
        <v>0</v>
      </c>
      <c r="DD179" s="409"/>
      <c r="DE179" s="398">
        <f>IF(DD179=0,0,IF(LEN(CR179)=11,_xlfn.XLOOKUP(CR179,'Dispensed Ink Rates'!C:C,'Dispensed Ink Rates'!CS:CS),VLOOKUP(CR179,'Jan-2026 rates'!$E:$F,2,0)))</f>
        <v>0</v>
      </c>
      <c r="DF179" s="409"/>
      <c r="DG179" s="398">
        <f>IF(DF179=0,0,IF(LEN(CS179)=11,_xlfn.XLOOKUP(CS179,'Dispensed Ink Rates'!C:C,'Dispensed Ink Rates'!CS:CS),VLOOKUP(CS179,'Jan-2026 rates'!$E:$F,2,0)))</f>
        <v>0</v>
      </c>
      <c r="DH179" s="409"/>
      <c r="DI179" s="398">
        <f>IF(DH179=0,0,IF(LEN(CT179)=11,_xlfn.XLOOKUP(CT179,'Dispensed Ink Rates'!C:C,'Dispensed Ink Rates'!CS:CS),VLOOKUP(CT179,'Jan-2026 rates'!$E:$F,2,0)))</f>
        <v>0</v>
      </c>
      <c r="DJ179" s="409"/>
      <c r="DK179" s="398">
        <f>IF(DJ179=0,0,IF(LEN(CU179)=11,_xlfn.XLOOKUP(CU179,'Dispensed Ink Rates'!C:C,'Dispensed Ink Rates'!CS:CS),VLOOKUP(CU179,'Jan-2026 rates'!$E:$F,2,0)))</f>
        <v>0</v>
      </c>
      <c r="DL179" s="409" t="s">
        <v>1881</v>
      </c>
      <c r="DM179" s="409">
        <f>15+16</f>
        <v>31</v>
      </c>
      <c r="DN179" s="411">
        <f t="shared" si="112"/>
        <v>0</v>
      </c>
      <c r="DO179" s="411">
        <f t="shared" si="113"/>
        <v>1.4545454545454533</v>
      </c>
      <c r="DP179" s="410">
        <f t="shared" si="114"/>
        <v>0</v>
      </c>
      <c r="DQ179" s="405" t="s">
        <v>544</v>
      </c>
      <c r="DR179" s="409" t="s">
        <v>3616</v>
      </c>
      <c r="DS179" s="420" t="str">
        <f t="shared" si="133"/>
        <v>ToyoLi - MAGENTA</v>
      </c>
      <c r="DT179" s="409">
        <v>28</v>
      </c>
      <c r="DU179" s="411">
        <f>IF(DT179=0,0,IF($LB179=70%,VLOOKUP($DS179,'Jan-2026 rates'!$L:$R,4,0),IF($LB179=65%,VLOOKUP($DS179,'Jan-2026 rates'!$L:$R,4,0),IF($LB179=40%,VLOOKUP($DS179,'Jan-2026 rates'!$L:$R,5,0),IF($LB179=30%,VLOOKUP($DS179,'Jan-2026 rates'!$L:$R,6,0),IF($LB179=100%,VLOOKUP($DS179,'Jan-2026 rates'!$L:$R,7,0),IF($LB179=60%,VLOOKUP($DS179,'Jan-2026 rates'!$L:$S,8,0),IF($LB179=80%,VLOOKUP($DS179,'Jan-2026 rates'!L:T,9,0),0))))))))</f>
        <v>0</v>
      </c>
      <c r="DV179" s="412"/>
      <c r="DW179" s="409"/>
      <c r="DX179" s="411">
        <f>IF(DW179=0,0,IF($LB179=70%,VLOOKUP($DS179,'Jan-2026 rates'!$L:$R,4,0),IF($LB179=65%,VLOOKUP($DS179,'Jan-2026 rates'!$L:$R,4,0),IF($LB179=40%,VLOOKUP($DS179,'Jan-2026 rates'!$L:$R,5,0),IF($LB179=30%,VLOOKUP($DS179,'Jan-2026 rates'!$L:$R,6,0),IF($LB179=100%,VLOOKUP($DS179,'Jan-2026 rates'!$L:$R,7,0),IF($LB179=60%,VLOOKUP($DS179,'Jan-2026 rates'!$L:$S,8,0),IF($LB179=80%,VLOOKUP($DS179,'Jan-2026 rates'!L:T,9,0),0))))))))</f>
        <v>0</v>
      </c>
      <c r="DY179" s="413" t="s">
        <v>1921</v>
      </c>
      <c r="DZ179" s="413"/>
      <c r="EA179" s="412"/>
      <c r="EB179" s="412"/>
      <c r="EC179" s="412"/>
      <c r="ED179" s="412"/>
      <c r="EE179" s="412"/>
      <c r="EF179" s="412"/>
      <c r="EG179" s="409">
        <v>2</v>
      </c>
      <c r="EH179" s="398">
        <f>IF(EG179=0,0,IF(LEN(DY179)=11,_xlfn.XLOOKUP(DY179,'Dispensed Ink Rates'!C:C,'Dispensed Ink Rates'!CS:CS),VLOOKUP(DY179,'Jan-2026 rates'!$E:$F,2,0)))</f>
        <v>0</v>
      </c>
      <c r="EI179" s="409"/>
      <c r="EJ179" s="398">
        <f>IF(EI179=0,0,IF(LEN(DZ179)=11,_xlfn.XLOOKUP(DZ179,'Dispensed Ink Rates'!C:C,'Dispensed Ink Rates'!CS:CS),VLOOKUP(DZ179,'Jan-2026 rates'!$E:$F,2,0)))</f>
        <v>0</v>
      </c>
      <c r="EK179" s="409"/>
      <c r="EL179" s="398">
        <f>IF(EK179=0,0,IF(LEN(EA179)=11,_xlfn.XLOOKUP(EA179,'Dispensed Ink Rates'!C:C,'Dispensed Ink Rates'!CS:CS),VLOOKUP(EA179,'Jan-2026 rates'!$E:$F,2,0)))</f>
        <v>0</v>
      </c>
      <c r="EM179" s="409"/>
      <c r="EN179" s="398">
        <f>IF(EM179=0,0,IF(LEN(EB179)=11,_xlfn.XLOOKUP(EB179,'Dispensed Ink Rates'!C:C,'Dispensed Ink Rates'!CS:CS),VLOOKUP(EB179,'Jan-2026 rates'!$E:$F,2,0)))</f>
        <v>0</v>
      </c>
      <c r="EO179" s="409"/>
      <c r="EP179" s="398">
        <f>IF(EO179=0,0,IF(LEN(EC179)=11,_xlfn.XLOOKUP(EC179,'Dispensed Ink Rates'!C:C,'Dispensed Ink Rates'!CS:CS),VLOOKUP(EC179,'Jan-2026 rates'!$E:$F,2,0)))</f>
        <v>0</v>
      </c>
      <c r="EQ179" s="409"/>
      <c r="ER179" s="398">
        <f>IF(EQ179=0,0,IF(LEN(ED179)=11,_xlfn.XLOOKUP(ED179,'Dispensed Ink Rates'!C:C,'Dispensed Ink Rates'!CS:CS),VLOOKUP(ED179,'Jan-2026 rates'!$E:$F,2,0)))</f>
        <v>0</v>
      </c>
      <c r="ES179" s="409"/>
      <c r="ET179" s="398">
        <f>IF(ES179=0,0,IF(LEN(EE179)=11,_xlfn.XLOOKUP(EE179,'Dispensed Ink Rates'!C:C,'Dispensed Ink Rates'!CS:CS),VLOOKUP(EE179,'Jan-2026 rates'!$E:$F,2,0)))</f>
        <v>0</v>
      </c>
      <c r="EU179" s="409"/>
      <c r="EV179" s="398">
        <f>IF(EU179=0,0,IF(LEN(EF179)=11,_xlfn.XLOOKUP(EF179,'Dispensed Ink Rates'!C:C,'Dispensed Ink Rates'!CS:CS),VLOOKUP(EF179,'Jan-2026 rates'!$E:$F,2,0)))</f>
        <v>0</v>
      </c>
      <c r="EW179" s="409" t="s">
        <v>1881</v>
      </c>
      <c r="EX179" s="409">
        <v>28</v>
      </c>
      <c r="EY179" s="411">
        <f t="shared" si="115"/>
        <v>0</v>
      </c>
      <c r="EZ179" s="411">
        <f t="shared" si="116"/>
        <v>5.4545454545454533</v>
      </c>
      <c r="FA179" s="410">
        <f t="shared" si="117"/>
        <v>0</v>
      </c>
      <c r="FB179" s="405" t="s">
        <v>545</v>
      </c>
      <c r="FC179" s="409" t="s">
        <v>3617</v>
      </c>
      <c r="FD179" s="420" t="str">
        <f t="shared" si="134"/>
        <v>ToyoLi - YELLOW</v>
      </c>
      <c r="FE179" s="409">
        <v>27</v>
      </c>
      <c r="FF179" s="411">
        <f>IF(FE179=0,0,IF($LB179=70%,VLOOKUP($FD179,'Jan-2026 rates'!$L:$R,4,0),IF($LB179=65%,VLOOKUP($FD179,'Jan-2026 rates'!$L:$R,4,0),IF($LB179=40%,VLOOKUP($FD179,'Jan-2026 rates'!$L:$R,5,0),IF($LB179=30%,VLOOKUP($FD179,'Jan-2026 rates'!$L:$R,6,0),IF($LB179=100%,VLOOKUP($FD179,'Jan-2026 rates'!$L:$R,7,0),IF($LB179=60%,VLOOKUP($FD179,'Jan-2026 rates'!$L:$S,8,0),IF($LB179=80%,VLOOKUP($FD179,'Jan-2026 rates'!L:T,9,0),0))))))))</f>
        <v>0</v>
      </c>
      <c r="FG179" s="412"/>
      <c r="FH179" s="409"/>
      <c r="FI179" s="411">
        <f>IF(FH179=0,0,IF($LB179=70%,VLOOKUP($FD179,'Jan-2026 rates'!$L:$R,4,0),IF($LB179=65%,VLOOKUP($FD179,'Jan-2026 rates'!$L:$R,4,0),IF($LB179=40%,VLOOKUP($FD179,'Jan-2026 rates'!$L:$R,5,0),IF($LB179=30%,VLOOKUP($FD179,'Jan-2026 rates'!$L:$R,6,0),IF($LB179=100%,VLOOKUP($FD179,'Jan-2026 rates'!$L:$R,7,0),IF($LB179=60%,VLOOKUP($FD179,'Jan-2026 rates'!$L:$S,8,0),IF($LB179=80%,VLOOKUP($FD179,'Jan-2026 rates'!L:T,9,0),0))))))))</f>
        <v>0</v>
      </c>
      <c r="FJ179" s="413" t="s">
        <v>1247</v>
      </c>
      <c r="FK179" s="413"/>
      <c r="FL179" s="413"/>
      <c r="FM179" s="412"/>
      <c r="FN179" s="412"/>
      <c r="FO179" s="412"/>
      <c r="FP179" s="412"/>
      <c r="FQ179" s="412"/>
      <c r="FR179" s="409">
        <v>5</v>
      </c>
      <c r="FS179" s="398">
        <f>IF(FR179=0,0,IF(LEN(FJ179)=11,_xlfn.XLOOKUP(FJ179,'Dispensed Ink Rates'!C:C,'Dispensed Ink Rates'!CS:CS),VLOOKUP(FJ179,'Jan-2026 rates'!$E:$F,2,0)))</f>
        <v>0</v>
      </c>
      <c r="FT179" s="409"/>
      <c r="FU179" s="398">
        <f>IF(FT179=0,0,IF(LEN(FK179)=11,_xlfn.XLOOKUP(FK179,'Dispensed Ink Rates'!C:C,'Dispensed Ink Rates'!CS:CS),VLOOKUP(FK179,'Jan-2026 rates'!$E:$F,2,0)))</f>
        <v>0</v>
      </c>
      <c r="FV179" s="409"/>
      <c r="FW179" s="398">
        <f>IF(FV179=0,0,IF(LEN(FL179)=11,_xlfn.XLOOKUP(FL179,'Dispensed Ink Rates'!C:C,'Dispensed Ink Rates'!CS:CS),VLOOKUP(FL179,'Jan-2026 rates'!$E:$F,2,0)))</f>
        <v>0</v>
      </c>
      <c r="FX179" s="409"/>
      <c r="FY179" s="398">
        <f>IF(FX179=0,0,IF(LEN(FM179)=11,_xlfn.XLOOKUP(FM179,'Dispensed Ink Rates'!C:C,'Dispensed Ink Rates'!CS:CS),VLOOKUP(FM179,'Jan-2026 rates'!$E:$F,2,0)))</f>
        <v>0</v>
      </c>
      <c r="FZ179" s="409"/>
      <c r="GA179" s="398">
        <f>IF(FZ179=0,0,IF(LEN(FN179)=11,_xlfn.XLOOKUP(FN179,'Dispensed Ink Rates'!C:C,'Dispensed Ink Rates'!CS:CS),VLOOKUP(FN179,'Jan-2026 rates'!$E:$F,2,0)))</f>
        <v>0</v>
      </c>
      <c r="GB179" s="409"/>
      <c r="GC179" s="398">
        <f>IF(GB179=0,0,IF(LEN(FO179)=11,_xlfn.XLOOKUP(FO179,'Dispensed Ink Rates'!C:C,'Dispensed Ink Rates'!CS:CS),VLOOKUP(FO179,'Jan-2026 rates'!$E:$F,2,0)))</f>
        <v>0</v>
      </c>
      <c r="GD179" s="409"/>
      <c r="GE179" s="398">
        <f>IF(GD179=0,0,IF(LEN(FP179)=11,_xlfn.XLOOKUP(FP179,'Dispensed Ink Rates'!C:C,'Dispensed Ink Rates'!CS:CS),VLOOKUP(FP179,'Jan-2026 rates'!$E:$F,2,0)))</f>
        <v>0</v>
      </c>
      <c r="GF179" s="409"/>
      <c r="GG179" s="398">
        <f>IF(GF179=0,0,IF(LEN(FQ179)=11,_xlfn.XLOOKUP(FQ179,'Dispensed Ink Rates'!C:C,'Dispensed Ink Rates'!CS:CS),VLOOKUP(FQ179,'Jan-2026 rates'!$E:$F,2,0)))</f>
        <v>0</v>
      </c>
      <c r="GH179" s="409" t="s">
        <v>1881</v>
      </c>
      <c r="GI179" s="409">
        <v>26</v>
      </c>
      <c r="GJ179" s="411">
        <f t="shared" si="118"/>
        <v>0</v>
      </c>
      <c r="GK179" s="411">
        <f t="shared" si="119"/>
        <v>11.18181818181818</v>
      </c>
      <c r="GL179" s="410">
        <f t="shared" si="120"/>
        <v>0</v>
      </c>
      <c r="GM179" s="405" t="s">
        <v>545</v>
      </c>
      <c r="GN179" s="409"/>
      <c r="GO179" s="420" t="str">
        <f t="shared" si="135"/>
        <v>ToyoLi - YELLOW</v>
      </c>
      <c r="GP179" s="409"/>
      <c r="GQ179" s="411">
        <f>IF(GP179=0,0,IF($LB179=70%,VLOOKUP($GO179,'Jan-2026 rates'!$L:$R,4,0),IF($LB179=65%,VLOOKUP($GO179,'Jan-2026 rates'!$L:$R,4,0),IF($LB179=40%,VLOOKUP($GO179,'Jan-2026 rates'!$L:$R,5,0),IF($LB179=30%,VLOOKUP($GO179,'Jan-2026 rates'!$L:$R,6,0),IF($LB179=100%,VLOOKUP($GO179,'Jan-2026 rates'!$L:$R,7,0),IF($LB179=60%,VLOOKUP($GO179,'Jan-2026 rates'!$L:$S,8,0),IF($LB179=80%,VLOOKUP($GO179,'Jan-2026 rates'!L:T,9,0),0))))))))</f>
        <v>0</v>
      </c>
      <c r="GR179" s="412"/>
      <c r="GS179" s="409"/>
      <c r="GT179" s="411">
        <f>IF(GS179=0,0,IF($LB179=70%,VLOOKUP($GO179,'Jan-2026 rates'!$L:$R,4,0),IF($LB179=65%,VLOOKUP($GO179,'Jan-2026 rates'!$L:$R,4,0),IF($LB179=40%,VLOOKUP($GO179,'Jan-2026 rates'!$L:$R,5,0),IF($LB179=30%,VLOOKUP($GO179,'Jan-2026 rates'!$L:$R,6,0),IF($LB179=100%,VLOOKUP($GO179,'Jan-2026 rates'!$L:$R,7,0),IF($LB179=60%,VLOOKUP($GO179,'Jan-2026 rates'!$L:$S,8,0),IF($LB179=80%,VLOOKUP($GO179,'Jan-2026 rates'!L:T,9,0),0))))))))</f>
        <v>0</v>
      </c>
      <c r="GU179" s="413" t="s">
        <v>1247</v>
      </c>
      <c r="GV179" s="413" t="s">
        <v>1248</v>
      </c>
      <c r="GW179" s="412"/>
      <c r="GX179" s="412"/>
      <c r="GY179" s="412"/>
      <c r="GZ179" s="412"/>
      <c r="HA179" s="412"/>
      <c r="HB179" s="412"/>
      <c r="HC179" s="409">
        <v>14</v>
      </c>
      <c r="HD179" s="398">
        <f>IF(HC179=0,0,IF(LEN(GU179)=11,_xlfn.XLOOKUP(GU179,'Dispensed Ink Rates'!C:C,'Dispensed Ink Rates'!CS:CS),VLOOKUP(GU179,'Jan-2026 rates'!$E:$F,2,0)))</f>
        <v>0</v>
      </c>
      <c r="HE179" s="409">
        <v>0.5</v>
      </c>
      <c r="HF179" s="398">
        <f>IF(HE179=0,0,IF(LEN(GV179)=11,_xlfn.XLOOKUP(GV179,'Dispensed Ink Rates'!C:C,'Dispensed Ink Rates'!CS:CS),VLOOKUP(GV179,'Jan-2026 rates'!$E:$F,2,0)))</f>
        <v>0</v>
      </c>
      <c r="HG179" s="409"/>
      <c r="HH179" s="398">
        <f>IF(HG179=0,0,IF(LEN(GW179)=11,_xlfn.XLOOKUP(GW179,'Dispensed Ink Rates'!C:C,'Dispensed Ink Rates'!CS:CS),VLOOKUP(GW179,'Jan-2026 rates'!$E:$F,2,0)))</f>
        <v>0</v>
      </c>
      <c r="HI179" s="409"/>
      <c r="HJ179" s="398">
        <f>IF(HI179=0,0,IF(LEN(GX179)=11,_xlfn.XLOOKUP(GX179,'Dispensed Ink Rates'!C:C,'Dispensed Ink Rates'!CS:CS),VLOOKUP(GX179,'Jan-2026 rates'!$E:$F,2,0)))</f>
        <v>0</v>
      </c>
      <c r="HK179" s="409"/>
      <c r="HL179" s="398">
        <f>IF(HK179=0,0,IF(LEN(GY179)=11,_xlfn.XLOOKUP(GY179,'Dispensed Ink Rates'!C:C,'Dispensed Ink Rates'!CS:CS),VLOOKUP(GY179,'Jan-2026 rates'!$E:$F,2,0)))</f>
        <v>0</v>
      </c>
      <c r="HM179" s="409"/>
      <c r="HN179" s="398">
        <f>IF(HM179=0,0,IF(LEN(GZ179)=11,_xlfn.XLOOKUP(GZ179,'Dispensed Ink Rates'!C:C,'Dispensed Ink Rates'!CS:CS),VLOOKUP(GZ179,'Jan-2026 rates'!$E:$F,2,0)))</f>
        <v>0</v>
      </c>
      <c r="HO179" s="409"/>
      <c r="HP179" s="398">
        <f>IF(HO179=0,0,IF(LEN(HA179)=11,_xlfn.XLOOKUP(HA179,'Dispensed Ink Rates'!C:C,'Dispensed Ink Rates'!CS:CS),VLOOKUP(HA179,'Jan-2026 rates'!$E:$F,2,0)))</f>
        <v>0</v>
      </c>
      <c r="HQ179" s="409"/>
      <c r="HR179" s="398">
        <f>IF(HQ179=0,0,IF(LEN(HB179)=11,_xlfn.XLOOKUP(HB179,'Dispensed Ink Rates'!C:C,'Dispensed Ink Rates'!CS:CS),VLOOKUP(HB179,'Jan-2026 rates'!$E:$F,2,0)))</f>
        <v>0</v>
      </c>
      <c r="HS179" s="409" t="s">
        <v>1881</v>
      </c>
      <c r="HT179" s="409">
        <v>20</v>
      </c>
      <c r="HU179" s="411">
        <f t="shared" si="121"/>
        <v>0</v>
      </c>
      <c r="HV179" s="411">
        <f t="shared" si="122"/>
        <v>8.3181818181818201</v>
      </c>
      <c r="HW179" s="414">
        <f t="shared" si="123"/>
        <v>0</v>
      </c>
      <c r="HX179" s="405" t="s">
        <v>856</v>
      </c>
      <c r="HY179" s="409" t="s">
        <v>3618</v>
      </c>
      <c r="HZ179" s="420" t="str">
        <f t="shared" si="136"/>
        <v>ToyoLi - WHITE</v>
      </c>
      <c r="IA179" s="409">
        <v>30</v>
      </c>
      <c r="IB179" s="411">
        <f>IF(IA179=0,0,IF($LB179=70%,VLOOKUP($HZ179,'Jan-2026 rates'!$L:$R,4,0),IF($LB179=65%,VLOOKUP($HZ179,'Jan-2026 rates'!$L:$R,4,0),IF($LB179=40%,VLOOKUP($HZ179,'Jan-2026 rates'!$L:$R,5,0),IF($LB179=30%,VLOOKUP($HZ179,'Jan-2026 rates'!$L:$R,6,0),IF($LB179=100%,VLOOKUP($HZ179,'Jan-2026 rates'!$L:$R,7,0),IF($LB179=60%,VLOOKUP($HZ179,'Jan-2026 rates'!$L:$S,8,0),IF($LB179=80%,VLOOKUP($HZ179,'Jan-2026 rates'!L:T,9,0),0))))))))</f>
        <v>0</v>
      </c>
      <c r="IC179" s="412"/>
      <c r="ID179" s="409"/>
      <c r="IE179" s="411">
        <f>IF(ID179=0,0,IF($LB179=70%,VLOOKUP($HZ179,'Jan-2026 rates'!$L:$R,4,0),IF($LB179=65%,VLOOKUP($HZ179,'Jan-2026 rates'!$L:$R,4,0),IF($LB179=40%,VLOOKUP($HZ179,'Jan-2026 rates'!$L:$R,5,0),IF($LB179=30%,VLOOKUP($HZ179,'Jan-2026 rates'!$L:$R,6,0),IF($LB179=100%,VLOOKUP($HZ179,'Jan-2026 rates'!$L:$R,7,0),IF($LB179=60%,VLOOKUP($HZ179,'Jan-2026 rates'!$L:$S,8,0),IF($LB179=80%,VLOOKUP($HZ179,'Jan-2026 rates'!L:T,9,0),0))))))))</f>
        <v>0</v>
      </c>
      <c r="IF179" s="412" t="s">
        <v>1249</v>
      </c>
      <c r="IG179" s="413"/>
      <c r="IH179" s="412"/>
      <c r="II179" s="412"/>
      <c r="IJ179" s="412"/>
      <c r="IK179" s="412"/>
      <c r="IL179" s="412"/>
      <c r="IM179" s="412"/>
      <c r="IN179" s="409">
        <v>20</v>
      </c>
      <c r="IO179" s="398">
        <f>IF(IN179=0,0,IF(LEN(IF179)=11,_xlfn.XLOOKUP(IF179,'Dispensed Ink Rates'!C:C,'Dispensed Ink Rates'!CS:CS),VLOOKUP(IF179,'Jan-2026 rates'!$E:$F,2,0)))</f>
        <v>0</v>
      </c>
      <c r="IP179" s="409"/>
      <c r="IQ179" s="398">
        <f>IF(IP179=0,0,IF(LEN(IG179)=11,_xlfn.XLOOKUP(IG179,'Dispensed Ink Rates'!C:C,'Dispensed Ink Rates'!CS:CS),VLOOKUP(IG179,'Jan-2026 rates'!$E:$F,2,0)))</f>
        <v>0</v>
      </c>
      <c r="IR179" s="409"/>
      <c r="IS179" s="398">
        <f>IF(IR179=0,0,IF(LEN(IH179)=11,_xlfn.XLOOKUP(IH179,'Dispensed Ink Rates'!C:C,'Dispensed Ink Rates'!CS:CS),VLOOKUP(IH179,'Jan-2026 rates'!$E:$F,2,0)))</f>
        <v>0</v>
      </c>
      <c r="IT179" s="409"/>
      <c r="IU179" s="398">
        <f>IF(IT179=0,0,IF(LEN(II179)=11,_xlfn.XLOOKUP(II179,'Dispensed Ink Rates'!C:C,'Dispensed Ink Rates'!CS:CS),VLOOKUP(II179,'Jan-2026 rates'!$E:$F,2,0)))</f>
        <v>0</v>
      </c>
      <c r="IV179" s="409"/>
      <c r="IW179" s="398">
        <f>IF(IV179=0,0,IF(LEN(IJ179)=11,_xlfn.XLOOKUP(IJ179,'Dispensed Ink Rates'!C:C,'Dispensed Ink Rates'!CS:CS),VLOOKUP(IJ179,'Jan-2026 rates'!$E:$F,2,0)))</f>
        <v>0</v>
      </c>
      <c r="IX179" s="409"/>
      <c r="IY179" s="398">
        <f>IF(IX179=0,0,IF(LEN(IK179)=11,_xlfn.XLOOKUP(IK179,'Dispensed Ink Rates'!C:C,'Dispensed Ink Rates'!CS:CS),VLOOKUP(IK179,'Jan-2026 rates'!$E:$F,2,0)))</f>
        <v>0</v>
      </c>
      <c r="IZ179" s="409"/>
      <c r="JA179" s="398">
        <f>IF(IZ179=0,0,IF(LEN(IL179)=11,_xlfn.XLOOKUP(IL179,'Dispensed Ink Rates'!C:C,'Dispensed Ink Rates'!CS:CS),VLOOKUP(IL179,'Jan-2026 rates'!$E:$F,2,0)))</f>
        <v>0</v>
      </c>
      <c r="JB179" s="409"/>
      <c r="JC179" s="398">
        <f>IF(JB179=0,0,IF(LEN(IM179)=11,_xlfn.XLOOKUP(IM179,'Dispensed Ink Rates'!C:C,'Dispensed Ink Rates'!CS:CS),VLOOKUP(IM179,'Jan-2026 rates'!$E:$F,2,0)))</f>
        <v>0</v>
      </c>
      <c r="JD179" s="409" t="s">
        <v>1881</v>
      </c>
      <c r="JE179" s="409">
        <v>30</v>
      </c>
      <c r="JF179" s="411">
        <f t="shared" si="124"/>
        <v>0</v>
      </c>
      <c r="JG179" s="411">
        <f t="shared" si="125"/>
        <v>37.27272727272728</v>
      </c>
      <c r="JH179" s="410">
        <f t="shared" si="126"/>
        <v>0</v>
      </c>
      <c r="JI179" s="405"/>
      <c r="JJ179" s="409"/>
      <c r="JK179" s="420" t="str">
        <f t="shared" si="137"/>
        <v xml:space="preserve"> - </v>
      </c>
      <c r="JL179" s="409"/>
      <c r="JM179" s="411">
        <f>IF(JL179=0,0,IF($LB179=70%,VLOOKUP($JK179,'Jan-2026 rates'!$L:$R,4,0),IF($LB179=65%,VLOOKUP($JK179,'Jan-2026 rates'!$L:$R,4,0),IF($LB179=40%,VLOOKUP($JK179,'Jan-2026 rates'!$L:$R,5,0),IF($LB179=30%,VLOOKUP($JK179,'Jan-2026 rates'!$L:$R,6,0),IF($LB179=100%,VLOOKUP($JK179,'Jan-2026 rates'!$L:$R,7,0),IF($LB179=60%,VLOOKUP($JK179,'Jan-2026 rates'!$L:$S,8,0),IF($LB179=80%,VLOOKUP($JK179,'Jan-2026 rates'!L:T,9,0),0))))))))</f>
        <v>0</v>
      </c>
      <c r="JN179" s="412"/>
      <c r="JO179" s="409"/>
      <c r="JP179" s="411">
        <f>IF(JO179=0,0,IF($LB179=70%,VLOOKUP($JK179,'Jan-2026 rates'!$L:$R,4,0),IF($LB179=65%,VLOOKUP($JK179,'Jan-2026 rates'!$L:$R,4,0),IF($LB179=40%,VLOOKUP($JK179,'Jan-2026 rates'!$L:$R,5,0),IF($LB179=30%,VLOOKUP($JK179,'Jan-2026 rates'!$L:$R,6,0),IF($LB179=100%,VLOOKUP($JK179,'Jan-2026 rates'!$L:$R,7,0),IF($LB179=60%,VLOOKUP($JK179,'Jan-2026 rates'!$L:$S,8,0),IF($LB179=80%,VLOOKUP($JK179,'Jan-2026 rates'!L:T,9,0),0))))))))</f>
        <v>0</v>
      </c>
      <c r="JQ179" s="413"/>
      <c r="JR179" s="412"/>
      <c r="JS179" s="413"/>
      <c r="JT179" s="413"/>
      <c r="JU179" s="412"/>
      <c r="JV179" s="412"/>
      <c r="JW179" s="412"/>
      <c r="JX179" s="412"/>
      <c r="JY179" s="409"/>
      <c r="JZ179" s="398">
        <f>IF(JY179=0,0,IF(LEN(JQ179)=11,_xlfn.XLOOKUP(JQ179,'Dispensed Ink Rates'!C:C,'Dispensed Ink Rates'!CS:CS),VLOOKUP(JQ179,'Jan-2026 rates'!$E:$F,2,0)))</f>
        <v>0</v>
      </c>
      <c r="KA179" s="409"/>
      <c r="KB179" s="398">
        <f>IF(KA179=0,0,IF(LEN(JR179)=11,_xlfn.XLOOKUP(JR179,'Dispensed Ink Rates'!C:C,'Dispensed Ink Rates'!CS:CS),VLOOKUP(JR179,'Jan-2026 rates'!$E:$F,2,0)))</f>
        <v>0</v>
      </c>
      <c r="KC179" s="409"/>
      <c r="KD179" s="398">
        <f>IF(KC179=0,0,IF(LEN(JS179)=11,_xlfn.XLOOKUP(JS179,'Dispensed Ink Rates'!C:C,'Dispensed Ink Rates'!CS:CS),VLOOKUP(JS179,'Jan-2026 rates'!$E:$F,2,0)))</f>
        <v>0</v>
      </c>
      <c r="KE179" s="409"/>
      <c r="KF179" s="398">
        <f>IF(KE179=0,0,IF(LEN(JT179)=11,_xlfn.XLOOKUP(JT179,'Dispensed Ink Rates'!C:C,'Dispensed Ink Rates'!CS:CS),VLOOKUP(JT179,'Jan-2026 rates'!$E:$F,2,0)))</f>
        <v>0</v>
      </c>
      <c r="KG179" s="409"/>
      <c r="KH179" s="398">
        <f>IF(KG179=0,0,IF(LEN(JU179)=11,_xlfn.XLOOKUP(JU179,'Dispensed Ink Rates'!C:C,'Dispensed Ink Rates'!CS:CS),VLOOKUP(JU179,'Jan-2026 rates'!$E:$F,2,0)))</f>
        <v>0</v>
      </c>
      <c r="KI179" s="409"/>
      <c r="KJ179" s="398">
        <f>IF(KI179=0,0,IF(LEN(JV179)=11,_xlfn.XLOOKUP(JV179,'Dispensed Ink Rates'!C:C,'Dispensed Ink Rates'!CS:CS),VLOOKUP(JV179,'Jan-2026 rates'!$E:$F,2,0)))</f>
        <v>0</v>
      </c>
      <c r="KK179" s="409"/>
      <c r="KL179" s="398">
        <f>IF(KK179=0,0,IF(LEN(JW179)=11,_xlfn.XLOOKUP(JW179,'Dispensed Ink Rates'!C:C,'Dispensed Ink Rates'!CS:CS),VLOOKUP(JW179,'Jan-2026 rates'!$E:$F,2,0)))</f>
        <v>0</v>
      </c>
      <c r="KM179" s="428"/>
      <c r="KN179" s="398">
        <f>IF(KM179=0,0,IF(LEN(JX179)=11,_xlfn.XLOOKUP(JX179,'Dispensed Ink Rates'!C:C,'Dispensed Ink Rates'!CS:CS),VLOOKUP(JX179,'Jan-2026 rates'!$E:$F,2,0)))</f>
        <v>0</v>
      </c>
      <c r="KO179" s="409"/>
      <c r="KP179" s="409"/>
      <c r="KQ179" s="411">
        <f t="shared" si="127"/>
        <v>0</v>
      </c>
      <c r="KR179" s="411">
        <f t="shared" si="128"/>
        <v>0</v>
      </c>
      <c r="KS179" s="410">
        <f t="shared" si="129"/>
        <v>0</v>
      </c>
      <c r="KT179" s="409">
        <v>2</v>
      </c>
      <c r="KU179" s="409">
        <v>6</v>
      </c>
      <c r="KV179" s="409">
        <v>2</v>
      </c>
      <c r="KW179" s="409">
        <v>2</v>
      </c>
      <c r="KX179" s="409">
        <v>3</v>
      </c>
      <c r="KY179" s="409">
        <v>8</v>
      </c>
      <c r="KZ179" s="409">
        <v>10</v>
      </c>
      <c r="LA179" s="409">
        <v>0</v>
      </c>
      <c r="LB179" s="415">
        <v>0.3</v>
      </c>
      <c r="LC179" s="415"/>
      <c r="LD179" s="415"/>
      <c r="LE179" s="415">
        <v>0.5</v>
      </c>
      <c r="LF179" s="415">
        <v>0.2</v>
      </c>
      <c r="LG179" s="409">
        <v>0</v>
      </c>
      <c r="LH179" s="409">
        <f>10+17+9+15+6</f>
        <v>57</v>
      </c>
      <c r="LI179" s="409">
        <v>0</v>
      </c>
      <c r="LJ179" s="409">
        <v>0</v>
      </c>
      <c r="LK179" s="416">
        <f t="shared" si="138"/>
        <v>57</v>
      </c>
      <c r="LL179" s="416">
        <f t="shared" si="139"/>
        <v>57</v>
      </c>
      <c r="LM179" s="417">
        <f t="shared" si="140"/>
        <v>17.099999999999998</v>
      </c>
      <c r="LN179" s="417">
        <f>VLOOKUP($LM$8,'Jan-2026 rates'!$H:$I,2,0)</f>
        <v>0</v>
      </c>
      <c r="LO179" s="417">
        <f t="shared" si="141"/>
        <v>0</v>
      </c>
      <c r="LP179" s="417">
        <f>VLOOKUP($LO$8,'Jan-2026 rates'!$H:$I,2,0)</f>
        <v>0</v>
      </c>
      <c r="LQ179" s="417">
        <f t="shared" si="142"/>
        <v>0</v>
      </c>
      <c r="LR179" s="417">
        <f>VLOOKUP($LQ$8,'Jan-2026 rates'!$H:$I,2,0)</f>
        <v>0</v>
      </c>
      <c r="LS179" s="417">
        <f t="shared" si="143"/>
        <v>28.5</v>
      </c>
      <c r="LT179" s="417">
        <f>VLOOKUP($LS$8,'Jan-2026 rates'!$H:$I,2,0)</f>
        <v>0</v>
      </c>
      <c r="LU179" s="417">
        <f t="shared" si="144"/>
        <v>11.4</v>
      </c>
      <c r="LV179" s="417">
        <f>VLOOKUP($LU$8,'Jan-2026 rates'!$H:$I,2,0)</f>
        <v>0</v>
      </c>
      <c r="LW179" s="417">
        <f t="shared" si="145"/>
        <v>0</v>
      </c>
      <c r="LX179" s="417">
        <f t="shared" si="146"/>
        <v>0</v>
      </c>
      <c r="LY179" s="418">
        <f t="shared" si="147"/>
        <v>0</v>
      </c>
      <c r="LZ179" s="417"/>
      <c r="MA179" s="435">
        <f t="shared" si="148"/>
        <v>57.5</v>
      </c>
      <c r="MB179" s="282">
        <f t="shared" si="149"/>
        <v>90.5</v>
      </c>
      <c r="MC179" s="283" t="s">
        <v>2014</v>
      </c>
      <c r="MD179" s="284" t="str">
        <f t="shared" si="150"/>
        <v>ToyoLiToyoLiToyoLiToyoLiToyoLiToyoLiToyoLi</v>
      </c>
      <c r="ME179" s="293" t="str">
        <f t="shared" si="151"/>
        <v>+</v>
      </c>
      <c r="MF179" s="293" t="str">
        <f t="shared" si="152"/>
        <v>+</v>
      </c>
      <c r="MG179" s="293" t="str">
        <f t="shared" si="153"/>
        <v>+</v>
      </c>
      <c r="MH179" s="293" t="str">
        <f t="shared" si="154"/>
        <v>+</v>
      </c>
      <c r="MI179" s="293" t="str">
        <f t="shared" si="155"/>
        <v>+</v>
      </c>
      <c r="MJ179" s="293" t="str">
        <f t="shared" si="156"/>
        <v>+</v>
      </c>
      <c r="MK179" s="293" t="str">
        <f t="shared" si="157"/>
        <v>+</v>
      </c>
      <c r="ML179" s="293" t="str">
        <f t="shared" si="158"/>
        <v>NIL</v>
      </c>
      <c r="MM179" s="3" t="b">
        <f t="array" ref="MM179">OR(ME179:ML179="-")</f>
        <v>0</v>
      </c>
      <c r="MN179" s="285"/>
      <c r="MO179" s="401"/>
      <c r="MP179" s="286"/>
      <c r="MQ179" s="286"/>
      <c r="MR179" s="402"/>
      <c r="MS179" s="400"/>
      <c r="NH179" s="422"/>
      <c r="NJ179" s="421"/>
    </row>
    <row r="180" spans="1:374" s="1" customFormat="1" ht="16.5">
      <c r="A180" s="403">
        <v>46035</v>
      </c>
      <c r="B180" s="404" t="s">
        <v>1018</v>
      </c>
      <c r="C180" s="405" t="s">
        <v>3619</v>
      </c>
      <c r="D180" s="406" t="s">
        <v>2015</v>
      </c>
      <c r="E180" s="404">
        <v>154</v>
      </c>
      <c r="F180" s="407">
        <v>10300</v>
      </c>
      <c r="G180" s="407" t="s">
        <v>1016</v>
      </c>
      <c r="H180" s="408" t="s">
        <v>1017</v>
      </c>
      <c r="I180" s="409">
        <f>1.41+1.36</f>
        <v>2.77</v>
      </c>
      <c r="J180" s="405" t="s">
        <v>543</v>
      </c>
      <c r="K180" s="404" t="s">
        <v>3620</v>
      </c>
      <c r="L180" s="419" t="str">
        <f t="shared" si="131"/>
        <v>ToyoLi - BLACK</v>
      </c>
      <c r="M180" s="404">
        <v>27</v>
      </c>
      <c r="N180" s="410">
        <f>IF(M180=0,0,IF($LB180=70%,VLOOKUP($L180,'Jan-2026 rates'!$L:$R,4,0),IF($LB180=65%,VLOOKUP($L180,'Jan-2026 rates'!$L:$R,4,0),IF($LB180=40%,VLOOKUP($L180,'Jan-2026 rates'!$L:$R,5,0),IF($LB180=30%,VLOOKUP($L180,'Jan-2026 rates'!$L:$R,6,0),IF($LB180=100%,VLOOKUP($L180,'Jan-2026 rates'!$L:$R,7,0),IF($LB180=60%,VLOOKUP($L180,'Jan-2026 rates'!$L:$S,8,0),IF($LB180=80%,VLOOKUP($L180,'Jan-2026 rates'!L:T,9,0),0))))))))</f>
        <v>0</v>
      </c>
      <c r="O180" s="406"/>
      <c r="P180" s="404"/>
      <c r="Q180" s="410">
        <f>IF(P180=0,0,IF($LB180=70%,VLOOKUP($L180,'Jan-2026 rates'!$L:$R,4,0),IF($LB180=65%,VLOOKUP($L180,'Jan-2026 rates'!$L:$R,4,0),IF($LB180=40%,VLOOKUP($L180,'Jan-2026 rates'!$L:$R,5,0),IF($LB180=30%,VLOOKUP($L180,'Jan-2026 rates'!$L:$R,6,0),IF($LB180=100%,VLOOKUP($L180,'Jan-2026 rates'!$L:$R,7,0),IF($LB180=60%,VLOOKUP($L180,'Jan-2026 rates'!$L:$S,8,0),IF($LB180=80%,VLOOKUP($L180,'Jan-2026 rates'!L:T,9,0),0))))))))</f>
        <v>0</v>
      </c>
      <c r="R180" s="406" t="s">
        <v>1252</v>
      </c>
      <c r="S180" s="406"/>
      <c r="T180" s="406"/>
      <c r="U180" s="406"/>
      <c r="V180" s="406"/>
      <c r="W180" s="406"/>
      <c r="X180" s="406"/>
      <c r="Y180" s="406"/>
      <c r="Z180" s="404">
        <v>2</v>
      </c>
      <c r="AA180" s="398">
        <f>IF(Z180=0,0,IF(LEN(R180)=11,_xlfn.XLOOKUP(R180,'Dispensed Ink Rates'!C:C,'Dispensed Ink Rates'!CS:CS),VLOOKUP(R180,'Jan-2026 rates'!$E:$F,2,0)))</f>
        <v>0</v>
      </c>
      <c r="AB180" s="404"/>
      <c r="AC180" s="398">
        <f>IF(AB180=0,0,IF(LEN(S180)=11,_xlfn.XLOOKUP(S180,'Dispensed Ink Rates'!C:C,'Dispensed Ink Rates'!CS:CS),VLOOKUP(S180,'Jan-2026 rates'!$E:$F,2,0)))</f>
        <v>0</v>
      </c>
      <c r="AD180" s="404"/>
      <c r="AE180" s="398">
        <f>IF(AD180=0,0,IF(LEN(T180)=11,_xlfn.XLOOKUP(T180,'Dispensed Ink Rates'!C:C,'Dispensed Ink Rates'!CS:CS),VLOOKUP(T180,'Jan-2026 rates'!$E:$F,2,0)))</f>
        <v>0</v>
      </c>
      <c r="AF180" s="404"/>
      <c r="AG180" s="398">
        <f>IF(AF180=0,0,IF(LEN(U180)=11,_xlfn.XLOOKUP(U180,'Dispensed Ink Rates'!C:C,'Dispensed Ink Rates'!CS:CS),VLOOKUP(U180,'Jan-2026 rates'!$E:$F,2,0)))</f>
        <v>0</v>
      </c>
      <c r="AH180" s="404"/>
      <c r="AI180" s="398">
        <f>IF(AH180=0,0,IF(LEN(V180)=11,_xlfn.XLOOKUP(V180,'Dispensed Ink Rates'!C:C,'Dispensed Ink Rates'!CS:CS),VLOOKUP(V180,'Jan-2026 rates'!$E:$F,2,0)))</f>
        <v>0</v>
      </c>
      <c r="AJ180" s="404"/>
      <c r="AK180" s="398">
        <f>IF(AJ180=0,0,IF(LEN(W180)=11,_xlfn.XLOOKUP(W180,'Dispensed Ink Rates'!C:C,'Dispensed Ink Rates'!CS:CS),VLOOKUP(W180,'Jan-2026 rates'!$E:$F,2,0)))</f>
        <v>0</v>
      </c>
      <c r="AL180" s="404"/>
      <c r="AM180" s="398">
        <f>IF(AL180=0,0,IF(LEN(X180)=11,_xlfn.XLOOKUP(X180,'Dispensed Ink Rates'!C:C,'Dispensed Ink Rates'!CS:CS),VLOOKUP(X180,'Jan-2026 rates'!$E:$F,2,0)))</f>
        <v>0</v>
      </c>
      <c r="AN180" s="404"/>
      <c r="AO180" s="398">
        <f>IF(AN180=0,0,IF(LEN(Y180)=11,_xlfn.XLOOKUP(Y180,'Dispensed Ink Rates'!C:C,'Dispensed Ink Rates'!CS:CS),VLOOKUP(Y180,'Jan-2026 rates'!$E:$F,2,0)))</f>
        <v>0</v>
      </c>
      <c r="AP180" s="409" t="s">
        <v>1881</v>
      </c>
      <c r="AQ180" s="409">
        <v>29</v>
      </c>
      <c r="AR180" s="410">
        <f t="shared" si="106"/>
        <v>0</v>
      </c>
      <c r="AS180" s="411">
        <f t="shared" si="107"/>
        <v>5.8378378378378386</v>
      </c>
      <c r="AT180" s="410">
        <f t="shared" si="108"/>
        <v>0</v>
      </c>
      <c r="AU180" s="405" t="s">
        <v>543</v>
      </c>
      <c r="AV180" s="409" t="s">
        <v>3621</v>
      </c>
      <c r="AW180" s="420" t="str">
        <f t="shared" si="130"/>
        <v>ToyoLi - BLACK</v>
      </c>
      <c r="AX180" s="409">
        <v>20</v>
      </c>
      <c r="AY180" s="411">
        <f>IF(AX180=0,0,IF($LB180=70%,VLOOKUP($AW180,'Jan-2026 rates'!$L:$R,4,0),IF($LB180=65%,VLOOKUP($AW180,'Jan-2026 rates'!$L:$R,4,0),IF($LB180=40%,VLOOKUP($AW180,'Jan-2026 rates'!$L:$R,5,0),IF($LB180=30%,VLOOKUP($AW180,'Jan-2026 rates'!$L:$R,6,0),IF($LB180=100%,VLOOKUP($AW180,'Jan-2026 rates'!$L:$R,7,0),IF($LB180=60%,VLOOKUP($AW180,'Jan-2026 rates'!$L:$S,8,0),IF($LB180=80%,VLOOKUP($AW180,'Jan-2026 rates'!L:T,9,0),0))))))))</f>
        <v>0</v>
      </c>
      <c r="AZ180" s="412" t="s">
        <v>3584</v>
      </c>
      <c r="BA180" s="409">
        <v>13</v>
      </c>
      <c r="BB180" s="411">
        <f>IF(BA180=0,0,IF($LB180=70%,VLOOKUP($AW180,'Jan-2026 rates'!$L:$R,4,0),IF($LB180=65%,VLOOKUP($AW180,'Jan-2026 rates'!$L:$R,4,0),IF($LB180=40%,VLOOKUP($AW180,'Jan-2026 rates'!$L:$R,5,0),IF($LB180=30%,VLOOKUP($AW180,'Jan-2026 rates'!$L:$R,6,0),IF($LB180=100%,VLOOKUP($AW180,'Jan-2026 rates'!$L:$R,7,0),IF($LB180=60%,VLOOKUP($AW180,'Jan-2026 rates'!$L:$S,8,0),IF($LB180=80%,VLOOKUP($AW180,'Jan-2026 rates'!L:T,9,0),0))))))))</f>
        <v>0</v>
      </c>
      <c r="BC180" s="413" t="s">
        <v>1921</v>
      </c>
      <c r="BD180" s="412" t="s">
        <v>1246</v>
      </c>
      <c r="BE180" s="412" t="s">
        <v>1252</v>
      </c>
      <c r="BF180" s="413"/>
      <c r="BG180" s="412"/>
      <c r="BH180" s="412"/>
      <c r="BI180" s="412"/>
      <c r="BJ180" s="412"/>
      <c r="BK180" s="409">
        <v>5</v>
      </c>
      <c r="BL180" s="398">
        <f>IF(BK180=0,0,IF(LEN(BC180)=11,_xlfn.XLOOKUP(BC180,'Dispensed Ink Rates'!C:C,'Dispensed Ink Rates'!CS:CS),VLOOKUP(BC180,'Jan-2026 rates'!$E:$F,2,0)))</f>
        <v>0</v>
      </c>
      <c r="BM180" s="409">
        <v>0.2</v>
      </c>
      <c r="BN180" s="398">
        <f>IF(BM180=0,0,IF(LEN(BD180)=11,_xlfn.XLOOKUP(BD180,'Dispensed Ink Rates'!C:C,'Dispensed Ink Rates'!CS:CS),VLOOKUP(BD180,'Jan-2026 rates'!$E:$F,2,0)))</f>
        <v>0</v>
      </c>
      <c r="BO180" s="409">
        <v>0.1</v>
      </c>
      <c r="BP180" s="398">
        <f>IF(BO180=0,0,IF(LEN(BE180)=11,_xlfn.XLOOKUP(BE180,'Dispensed Ink Rates'!C:C,'Dispensed Ink Rates'!CS:CS),VLOOKUP(BE180,'Jan-2026 rates'!$E:$F,2,0)))</f>
        <v>0</v>
      </c>
      <c r="BQ180" s="409"/>
      <c r="BR180" s="398">
        <f>IF(BQ180=0,0,IF(LEN(BF180)=11,_xlfn.XLOOKUP(BF180,'Dispensed Ink Rates'!C:C,'Dispensed Ink Rates'!CS:CS),VLOOKUP(BF180,'Jan-2026 rates'!$E:$F,2,0)))</f>
        <v>0</v>
      </c>
      <c r="BS180" s="409"/>
      <c r="BT180" s="398">
        <f>IF(BS180=0,0,IF(LEN(BG180)=11,_xlfn.XLOOKUP(BG180,'Dispensed Ink Rates'!C:C,'Dispensed Ink Rates'!CS:CS),VLOOKUP(BG180,'Jan-2026 rates'!$E:$F,2,0)))</f>
        <v>0</v>
      </c>
      <c r="BU180" s="409"/>
      <c r="BV180" s="398">
        <f>IF(BU180=0,0,IF(LEN(BH180)=11,_xlfn.XLOOKUP(BH180,'Dispensed Ink Rates'!C:C,'Dispensed Ink Rates'!CS:CS),VLOOKUP(BH180,'Jan-2026 rates'!$E:$F,2,0)))</f>
        <v>0</v>
      </c>
      <c r="BW180" s="409"/>
      <c r="BX180" s="398">
        <f>IF(BW180=0,0,IF(LEN(BI180)=11,_xlfn.XLOOKUP(BI180,'Dispensed Ink Rates'!C:C,'Dispensed Ink Rates'!CS:CS),VLOOKUP(BI180,'Jan-2026 rates'!$E:$F,2,0)))</f>
        <v>0</v>
      </c>
      <c r="BY180" s="409"/>
      <c r="BZ180" s="398">
        <f>IF(BY180=0,0,IF(LEN(BJ180)=11,_xlfn.XLOOKUP(BJ180,'Dispensed Ink Rates'!C:C,'Dispensed Ink Rates'!CS:CS),VLOOKUP(BJ180,'Jan-2026 rates'!$E:$F,2,0)))</f>
        <v>0</v>
      </c>
      <c r="CA180" s="409" t="s">
        <v>1881</v>
      </c>
      <c r="CB180" s="409">
        <v>26</v>
      </c>
      <c r="CC180" s="411">
        <f t="shared" si="109"/>
        <v>0</v>
      </c>
      <c r="CD180" s="411">
        <f t="shared" si="110"/>
        <v>21.056756756756762</v>
      </c>
      <c r="CE180" s="410">
        <f t="shared" si="111"/>
        <v>0</v>
      </c>
      <c r="CF180" s="404" t="s">
        <v>857</v>
      </c>
      <c r="CG180" s="409" t="s">
        <v>3622</v>
      </c>
      <c r="CH180" s="420" t="str">
        <f t="shared" si="132"/>
        <v>ToyoLi - RED</v>
      </c>
      <c r="CI180" s="409">
        <v>30</v>
      </c>
      <c r="CJ180" s="411">
        <f>IF(CI180=0,0,IF($LB180=70%,VLOOKUP($CH180,'Jan-2026 rates'!$L:$R,4,0),IF($LB180=65%,VLOOKUP($CH180,'Jan-2026 rates'!$L:$R,4,0),IF($LB180=40%,VLOOKUP($CH180,'Jan-2026 rates'!$L:$R,5,0),IF($LB180=30%,VLOOKUP($CH180,'Jan-2026 rates'!$L:$R,6,0),IF($LB180=100%,VLOOKUP($CH180,'Jan-2026 rates'!$L:$R,7,0),IF($LB180=60%,VLOOKUP($CH180,'Jan-2026 rates'!$L:$S,8,0),IF($LB180=80%,VLOOKUP($CH180,'Jan-2026 rates'!L:T,9,0),0))))))))</f>
        <v>0</v>
      </c>
      <c r="CK180" s="412"/>
      <c r="CL180" s="409"/>
      <c r="CM180" s="411">
        <f>IF(CL180=0,0,IF($LB180=70%,VLOOKUP($CH180,'Jan-2026 rates'!$L:$R,4,0),IF($LB180=65%,VLOOKUP($CH180,'Jan-2026 rates'!$L:$R,4,0),IF($LB180=40%,VLOOKUP($CH180,'Jan-2026 rates'!$L:$R,5,0),IF($LB180=30%,VLOOKUP($CH180,'Jan-2026 rates'!$L:$R,6,0),IF($LB180=100%,VLOOKUP($CH180,'Jan-2026 rates'!$L:$R,7,0),IF($LB180=60%,VLOOKUP($CH180,'Jan-2026 rates'!$L:$S,8,0),IF($LB180=80%,VLOOKUP($CH180,'Jan-2026 rates'!L:T,9,0),0))))))))</f>
        <v>0</v>
      </c>
      <c r="CN180" s="426"/>
      <c r="CO180" s="427"/>
      <c r="CP180" s="426"/>
      <c r="CQ180" s="426"/>
      <c r="CR180" s="428"/>
      <c r="CS180" s="428"/>
      <c r="CT180" s="428"/>
      <c r="CU180" s="428"/>
      <c r="CV180" s="409"/>
      <c r="CW180" s="398">
        <f>IF(CV180=0,0,IF(LEN(CN180)=11,_xlfn.XLOOKUP(CN180,'Dispensed Ink Rates'!C:C,'Dispensed Ink Rates'!CS:CS),VLOOKUP(CN180,'Jan-2026 rates'!$E:$F,2,0)))</f>
        <v>0</v>
      </c>
      <c r="CX180" s="409"/>
      <c r="CY180" s="398">
        <f>IF(CX180=0,0,IF(LEN(CO180)=11,_xlfn.XLOOKUP(CO180,'Dispensed Ink Rates'!C:C,'Dispensed Ink Rates'!CS:CS),VLOOKUP(CO180,'Jan-2026 rates'!$E:$F,2,0)))</f>
        <v>0</v>
      </c>
      <c r="CZ180" s="409"/>
      <c r="DA180" s="398">
        <f>IF(CZ180=0,0,IF(LEN(CP180)=11,_xlfn.XLOOKUP(CP180,'Dispensed Ink Rates'!C:C,'Dispensed Ink Rates'!CS:CS),VLOOKUP(CP180,'Jan-2026 rates'!$E:$F,2,0)))</f>
        <v>0</v>
      </c>
      <c r="DB180" s="409"/>
      <c r="DC180" s="398">
        <f>IF(DB180=0,0,IF(LEN(CQ180)=11,_xlfn.XLOOKUP(CQ180,'Dispensed Ink Rates'!C:C,'Dispensed Ink Rates'!CS:CS),VLOOKUP(CQ180,'Jan-2026 rates'!$E:$F,2,0)))</f>
        <v>0</v>
      </c>
      <c r="DD180" s="409"/>
      <c r="DE180" s="398">
        <f>IF(DD180=0,0,IF(LEN(CR180)=11,_xlfn.XLOOKUP(CR180,'Dispensed Ink Rates'!C:C,'Dispensed Ink Rates'!CS:CS),VLOOKUP(CR180,'Jan-2026 rates'!$E:$F,2,0)))</f>
        <v>0</v>
      </c>
      <c r="DF180" s="409"/>
      <c r="DG180" s="398">
        <f>IF(DF180=0,0,IF(LEN(CS180)=11,_xlfn.XLOOKUP(CS180,'Dispensed Ink Rates'!C:C,'Dispensed Ink Rates'!CS:CS),VLOOKUP(CS180,'Jan-2026 rates'!$E:$F,2,0)))</f>
        <v>0</v>
      </c>
      <c r="DH180" s="409"/>
      <c r="DI180" s="398">
        <f>IF(DH180=0,0,IF(LEN(CT180)=11,_xlfn.XLOOKUP(CT180,'Dispensed Ink Rates'!C:C,'Dispensed Ink Rates'!CS:CS),VLOOKUP(CT180,'Jan-2026 rates'!$E:$F,2,0)))</f>
        <v>0</v>
      </c>
      <c r="DJ180" s="409"/>
      <c r="DK180" s="398">
        <f>IF(DJ180=0,0,IF(LEN(CU180)=11,_xlfn.XLOOKUP(CU180,'Dispensed Ink Rates'!C:C,'Dispensed Ink Rates'!CS:CS),VLOOKUP(CU180,'Jan-2026 rates'!$E:$F,2,0)))</f>
        <v>0</v>
      </c>
      <c r="DL180" s="409" t="s">
        <v>1881</v>
      </c>
      <c r="DM180" s="409">
        <v>28</v>
      </c>
      <c r="DN180" s="411">
        <f t="shared" si="112"/>
        <v>0</v>
      </c>
      <c r="DO180" s="411">
        <f t="shared" si="113"/>
        <v>7.8378378378378386</v>
      </c>
      <c r="DP180" s="410">
        <f t="shared" si="114"/>
        <v>0</v>
      </c>
      <c r="DQ180" s="405" t="s">
        <v>544</v>
      </c>
      <c r="DR180" s="409" t="s">
        <v>3623</v>
      </c>
      <c r="DS180" s="420" t="str">
        <f t="shared" si="133"/>
        <v>ToyoLi - MAGENTA</v>
      </c>
      <c r="DT180" s="409">
        <v>28</v>
      </c>
      <c r="DU180" s="411">
        <f>IF(DT180=0,0,IF($LB180=70%,VLOOKUP($DS180,'Jan-2026 rates'!$L:$R,4,0),IF($LB180=65%,VLOOKUP($DS180,'Jan-2026 rates'!$L:$R,4,0),IF($LB180=40%,VLOOKUP($DS180,'Jan-2026 rates'!$L:$R,5,0),IF($LB180=30%,VLOOKUP($DS180,'Jan-2026 rates'!$L:$R,6,0),IF($LB180=100%,VLOOKUP($DS180,'Jan-2026 rates'!$L:$R,7,0),IF($LB180=60%,VLOOKUP($DS180,'Jan-2026 rates'!$L:$S,8,0),IF($LB180=80%,VLOOKUP($DS180,'Jan-2026 rates'!L:T,9,0),0))))))))</f>
        <v>0</v>
      </c>
      <c r="DV180" s="412"/>
      <c r="DW180" s="409"/>
      <c r="DX180" s="411">
        <f>IF(DW180=0,0,IF($LB180=70%,VLOOKUP($DS180,'Jan-2026 rates'!$L:$R,4,0),IF($LB180=65%,VLOOKUP($DS180,'Jan-2026 rates'!$L:$R,4,0),IF($LB180=40%,VLOOKUP($DS180,'Jan-2026 rates'!$L:$R,5,0),IF($LB180=30%,VLOOKUP($DS180,'Jan-2026 rates'!$L:$R,6,0),IF($LB180=100%,VLOOKUP($DS180,'Jan-2026 rates'!$L:$R,7,0),IF($LB180=60%,VLOOKUP($DS180,'Jan-2026 rates'!$L:$S,8,0),IF($LB180=80%,VLOOKUP($DS180,'Jan-2026 rates'!L:T,9,0),0))))))))</f>
        <v>0</v>
      </c>
      <c r="DY180" s="413"/>
      <c r="DZ180" s="413"/>
      <c r="EA180" s="412"/>
      <c r="EB180" s="412"/>
      <c r="EC180" s="412"/>
      <c r="ED180" s="412"/>
      <c r="EE180" s="412"/>
      <c r="EF180" s="412"/>
      <c r="EG180" s="409"/>
      <c r="EH180" s="398">
        <f>IF(EG180=0,0,IF(LEN(DY180)=11,_xlfn.XLOOKUP(DY180,'Dispensed Ink Rates'!C:C,'Dispensed Ink Rates'!CS:CS),VLOOKUP(DY180,'Jan-2026 rates'!$E:$F,2,0)))</f>
        <v>0</v>
      </c>
      <c r="EI180" s="409"/>
      <c r="EJ180" s="398">
        <f>IF(EI180=0,0,IF(LEN(DZ180)=11,_xlfn.XLOOKUP(DZ180,'Dispensed Ink Rates'!C:C,'Dispensed Ink Rates'!CS:CS),VLOOKUP(DZ180,'Jan-2026 rates'!$E:$F,2,0)))</f>
        <v>0</v>
      </c>
      <c r="EK180" s="409"/>
      <c r="EL180" s="398">
        <f>IF(EK180=0,0,IF(LEN(EA180)=11,_xlfn.XLOOKUP(EA180,'Dispensed Ink Rates'!C:C,'Dispensed Ink Rates'!CS:CS),VLOOKUP(EA180,'Jan-2026 rates'!$E:$F,2,0)))</f>
        <v>0</v>
      </c>
      <c r="EM180" s="409"/>
      <c r="EN180" s="398">
        <f>IF(EM180=0,0,IF(LEN(EB180)=11,_xlfn.XLOOKUP(EB180,'Dispensed Ink Rates'!C:C,'Dispensed Ink Rates'!CS:CS),VLOOKUP(EB180,'Jan-2026 rates'!$E:$F,2,0)))</f>
        <v>0</v>
      </c>
      <c r="EO180" s="409"/>
      <c r="EP180" s="398">
        <f>IF(EO180=0,0,IF(LEN(EC180)=11,_xlfn.XLOOKUP(EC180,'Dispensed Ink Rates'!C:C,'Dispensed Ink Rates'!CS:CS),VLOOKUP(EC180,'Jan-2026 rates'!$E:$F,2,0)))</f>
        <v>0</v>
      </c>
      <c r="EQ180" s="409"/>
      <c r="ER180" s="398">
        <f>IF(EQ180=0,0,IF(LEN(ED180)=11,_xlfn.XLOOKUP(ED180,'Dispensed Ink Rates'!C:C,'Dispensed Ink Rates'!CS:CS),VLOOKUP(ED180,'Jan-2026 rates'!$E:$F,2,0)))</f>
        <v>0</v>
      </c>
      <c r="ES180" s="409"/>
      <c r="ET180" s="398">
        <f>IF(ES180=0,0,IF(LEN(EE180)=11,_xlfn.XLOOKUP(EE180,'Dispensed Ink Rates'!C:C,'Dispensed Ink Rates'!CS:CS),VLOOKUP(EE180,'Jan-2026 rates'!$E:$F,2,0)))</f>
        <v>0</v>
      </c>
      <c r="EU180" s="409"/>
      <c r="EV180" s="398">
        <f>IF(EU180=0,0,IF(LEN(EF180)=11,_xlfn.XLOOKUP(EF180,'Dispensed Ink Rates'!C:C,'Dispensed Ink Rates'!CS:CS),VLOOKUP(EF180,'Jan-2026 rates'!$E:$F,2,0)))</f>
        <v>0</v>
      </c>
      <c r="EW180" s="409" t="s">
        <v>1881</v>
      </c>
      <c r="EX180" s="409">
        <v>28</v>
      </c>
      <c r="EY180" s="411">
        <f t="shared" si="115"/>
        <v>0</v>
      </c>
      <c r="EZ180" s="411">
        <f t="shared" si="116"/>
        <v>5.8378378378378386</v>
      </c>
      <c r="FA180" s="410">
        <f t="shared" si="117"/>
        <v>0</v>
      </c>
      <c r="FB180" s="405" t="s">
        <v>545</v>
      </c>
      <c r="FC180" s="409" t="s">
        <v>3624</v>
      </c>
      <c r="FD180" s="420" t="str">
        <f t="shared" si="134"/>
        <v>ToyoLi - YELLOW</v>
      </c>
      <c r="FE180" s="409">
        <v>26</v>
      </c>
      <c r="FF180" s="411">
        <f>IF(FE180=0,0,IF($LB180=70%,VLOOKUP($FD180,'Jan-2026 rates'!$L:$R,4,0),IF($LB180=65%,VLOOKUP($FD180,'Jan-2026 rates'!$L:$R,4,0),IF($LB180=40%,VLOOKUP($FD180,'Jan-2026 rates'!$L:$R,5,0),IF($LB180=30%,VLOOKUP($FD180,'Jan-2026 rates'!$L:$R,6,0),IF($LB180=100%,VLOOKUP($FD180,'Jan-2026 rates'!$L:$R,7,0),IF($LB180=60%,VLOOKUP($FD180,'Jan-2026 rates'!$L:$S,8,0),IF($LB180=80%,VLOOKUP($FD180,'Jan-2026 rates'!L:T,9,0),0))))))))</f>
        <v>0</v>
      </c>
      <c r="FG180" s="412"/>
      <c r="FH180" s="409"/>
      <c r="FI180" s="411">
        <f>IF(FH180=0,0,IF($LB180=70%,VLOOKUP($FD180,'Jan-2026 rates'!$L:$R,4,0),IF($LB180=65%,VLOOKUP($FD180,'Jan-2026 rates'!$L:$R,4,0),IF($LB180=40%,VLOOKUP($FD180,'Jan-2026 rates'!$L:$R,5,0),IF($LB180=30%,VLOOKUP($FD180,'Jan-2026 rates'!$L:$R,6,0),IF($LB180=100%,VLOOKUP($FD180,'Jan-2026 rates'!$L:$R,7,0),IF($LB180=60%,VLOOKUP($FD180,'Jan-2026 rates'!$L:$S,8,0),IF($LB180=80%,VLOOKUP($FD180,'Jan-2026 rates'!L:T,9,0),0))))))))</f>
        <v>0</v>
      </c>
      <c r="FJ180" s="413" t="s">
        <v>1247</v>
      </c>
      <c r="FK180" s="413"/>
      <c r="FL180" s="413"/>
      <c r="FM180" s="412"/>
      <c r="FN180" s="412"/>
      <c r="FO180" s="412"/>
      <c r="FP180" s="412"/>
      <c r="FQ180" s="412"/>
      <c r="FR180" s="409">
        <f>3+2</f>
        <v>5</v>
      </c>
      <c r="FS180" s="398">
        <f>IF(FR180=0,0,IF(LEN(FJ180)=11,_xlfn.XLOOKUP(FJ180,'Dispensed Ink Rates'!C:C,'Dispensed Ink Rates'!CS:CS),VLOOKUP(FJ180,'Jan-2026 rates'!$E:$F,2,0)))</f>
        <v>0</v>
      </c>
      <c r="FT180" s="409"/>
      <c r="FU180" s="398">
        <f>IF(FT180=0,0,IF(LEN(FK180)=11,_xlfn.XLOOKUP(FK180,'Dispensed Ink Rates'!C:C,'Dispensed Ink Rates'!CS:CS),VLOOKUP(FK180,'Jan-2026 rates'!$E:$F,2,0)))</f>
        <v>0</v>
      </c>
      <c r="FV180" s="409"/>
      <c r="FW180" s="398">
        <f>IF(FV180=0,0,IF(LEN(FL180)=11,_xlfn.XLOOKUP(FL180,'Dispensed Ink Rates'!C:C,'Dispensed Ink Rates'!CS:CS),VLOOKUP(FL180,'Jan-2026 rates'!$E:$F,2,0)))</f>
        <v>0</v>
      </c>
      <c r="FX180" s="409"/>
      <c r="FY180" s="398">
        <f>IF(FX180=0,0,IF(LEN(FM180)=11,_xlfn.XLOOKUP(FM180,'Dispensed Ink Rates'!C:C,'Dispensed Ink Rates'!CS:CS),VLOOKUP(FM180,'Jan-2026 rates'!$E:$F,2,0)))</f>
        <v>0</v>
      </c>
      <c r="FZ180" s="409"/>
      <c r="GA180" s="398">
        <f>IF(FZ180=0,0,IF(LEN(FN180)=11,_xlfn.XLOOKUP(FN180,'Dispensed Ink Rates'!C:C,'Dispensed Ink Rates'!CS:CS),VLOOKUP(FN180,'Jan-2026 rates'!$E:$F,2,0)))</f>
        <v>0</v>
      </c>
      <c r="GB180" s="409"/>
      <c r="GC180" s="398">
        <f>IF(GB180=0,0,IF(LEN(FO180)=11,_xlfn.XLOOKUP(FO180,'Dispensed Ink Rates'!C:C,'Dispensed Ink Rates'!CS:CS),VLOOKUP(FO180,'Jan-2026 rates'!$E:$F,2,0)))</f>
        <v>0</v>
      </c>
      <c r="GD180" s="409"/>
      <c r="GE180" s="398">
        <f>IF(GD180=0,0,IF(LEN(FP180)=11,_xlfn.XLOOKUP(FP180,'Dispensed Ink Rates'!C:C,'Dispensed Ink Rates'!CS:CS),VLOOKUP(FP180,'Jan-2026 rates'!$E:$F,2,0)))</f>
        <v>0</v>
      </c>
      <c r="GF180" s="409"/>
      <c r="GG180" s="398">
        <f>IF(GF180=0,0,IF(LEN(FQ180)=11,_xlfn.XLOOKUP(FQ180,'Dispensed Ink Rates'!C:C,'Dispensed Ink Rates'!CS:CS),VLOOKUP(FQ180,'Jan-2026 rates'!$E:$F,2,0)))</f>
        <v>0</v>
      </c>
      <c r="GH180" s="409" t="s">
        <v>1881</v>
      </c>
      <c r="GI180" s="409">
        <v>30</v>
      </c>
      <c r="GJ180" s="411">
        <f t="shared" si="118"/>
        <v>0</v>
      </c>
      <c r="GK180" s="411">
        <f t="shared" si="119"/>
        <v>6.8378378378378386</v>
      </c>
      <c r="GL180" s="410">
        <f t="shared" si="120"/>
        <v>0</v>
      </c>
      <c r="GM180" s="405" t="s">
        <v>856</v>
      </c>
      <c r="GN180" s="409" t="s">
        <v>3625</v>
      </c>
      <c r="GO180" s="420" t="str">
        <f t="shared" si="135"/>
        <v>ToyoLi - WHITE</v>
      </c>
      <c r="GP180" s="409">
        <v>30</v>
      </c>
      <c r="GQ180" s="411">
        <f>IF(GP180=0,0,IF($LB180=70%,VLOOKUP($GO180,'Jan-2026 rates'!$L:$R,4,0),IF($LB180=65%,VLOOKUP($GO180,'Jan-2026 rates'!$L:$R,4,0),IF($LB180=40%,VLOOKUP($GO180,'Jan-2026 rates'!$L:$R,5,0),IF($LB180=30%,VLOOKUP($GO180,'Jan-2026 rates'!$L:$R,6,0),IF($LB180=100%,VLOOKUP($GO180,'Jan-2026 rates'!$L:$R,7,0),IF($LB180=60%,VLOOKUP($GO180,'Jan-2026 rates'!$L:$S,8,0),IF($LB180=80%,VLOOKUP($GO180,'Jan-2026 rates'!L:T,9,0),0))))))))</f>
        <v>0</v>
      </c>
      <c r="GR180" s="412"/>
      <c r="GS180" s="409"/>
      <c r="GT180" s="411">
        <f>IF(GS180=0,0,IF($LB180=70%,VLOOKUP($GO180,'Jan-2026 rates'!$L:$R,4,0),IF($LB180=65%,VLOOKUP($GO180,'Jan-2026 rates'!$L:$R,4,0),IF($LB180=40%,VLOOKUP($GO180,'Jan-2026 rates'!$L:$R,5,0),IF($LB180=30%,VLOOKUP($GO180,'Jan-2026 rates'!$L:$R,6,0),IF($LB180=100%,VLOOKUP($GO180,'Jan-2026 rates'!$L:$R,7,0),IF($LB180=60%,VLOOKUP($GO180,'Jan-2026 rates'!$L:$S,8,0),IF($LB180=80%,VLOOKUP($GO180,'Jan-2026 rates'!L:T,9,0),0))))))))</f>
        <v>0</v>
      </c>
      <c r="GU180" s="413" t="s">
        <v>1249</v>
      </c>
      <c r="GV180" s="413"/>
      <c r="GW180" s="412"/>
      <c r="GX180" s="412"/>
      <c r="GY180" s="412"/>
      <c r="GZ180" s="412"/>
      <c r="HA180" s="412"/>
      <c r="HB180" s="412"/>
      <c r="HC180" s="409">
        <f>20+20</f>
        <v>40</v>
      </c>
      <c r="HD180" s="398">
        <f>IF(HC180=0,0,IF(LEN(GU180)=11,_xlfn.XLOOKUP(GU180,'Dispensed Ink Rates'!C:C,'Dispensed Ink Rates'!CS:CS),VLOOKUP(GU180,'Jan-2026 rates'!$E:$F,2,0)))</f>
        <v>0</v>
      </c>
      <c r="HE180" s="409"/>
      <c r="HF180" s="398">
        <f>IF(HE180=0,0,IF(LEN(GV180)=11,_xlfn.XLOOKUP(GV180,'Dispensed Ink Rates'!C:C,'Dispensed Ink Rates'!CS:CS),VLOOKUP(GV180,'Jan-2026 rates'!$E:$F,2,0)))</f>
        <v>0</v>
      </c>
      <c r="HG180" s="409"/>
      <c r="HH180" s="398">
        <f>IF(HG180=0,0,IF(LEN(GW180)=11,_xlfn.XLOOKUP(GW180,'Dispensed Ink Rates'!C:C,'Dispensed Ink Rates'!CS:CS),VLOOKUP(GW180,'Jan-2026 rates'!$E:$F,2,0)))</f>
        <v>0</v>
      </c>
      <c r="HI180" s="409"/>
      <c r="HJ180" s="398">
        <f>IF(HI180=0,0,IF(LEN(GX180)=11,_xlfn.XLOOKUP(GX180,'Dispensed Ink Rates'!C:C,'Dispensed Ink Rates'!CS:CS),VLOOKUP(GX180,'Jan-2026 rates'!$E:$F,2,0)))</f>
        <v>0</v>
      </c>
      <c r="HK180" s="409"/>
      <c r="HL180" s="398">
        <f>IF(HK180=0,0,IF(LEN(GY180)=11,_xlfn.XLOOKUP(GY180,'Dispensed Ink Rates'!C:C,'Dispensed Ink Rates'!CS:CS),VLOOKUP(GY180,'Jan-2026 rates'!$E:$F,2,0)))</f>
        <v>0</v>
      </c>
      <c r="HM180" s="409"/>
      <c r="HN180" s="398">
        <f>IF(HM180=0,0,IF(LEN(GZ180)=11,_xlfn.XLOOKUP(GZ180,'Dispensed Ink Rates'!C:C,'Dispensed Ink Rates'!CS:CS),VLOOKUP(GZ180,'Jan-2026 rates'!$E:$F,2,0)))</f>
        <v>0</v>
      </c>
      <c r="HO180" s="409"/>
      <c r="HP180" s="398">
        <f>IF(HO180=0,0,IF(LEN(HA180)=11,_xlfn.XLOOKUP(HA180,'Dispensed Ink Rates'!C:C,'Dispensed Ink Rates'!CS:CS),VLOOKUP(HA180,'Jan-2026 rates'!$E:$F,2,0)))</f>
        <v>0</v>
      </c>
      <c r="HQ180" s="409"/>
      <c r="HR180" s="398">
        <f>IF(HQ180=0,0,IF(LEN(HB180)=11,_xlfn.XLOOKUP(HB180,'Dispensed Ink Rates'!C:C,'Dispensed Ink Rates'!CS:CS),VLOOKUP(HB180,'Jan-2026 rates'!$E:$F,2,0)))</f>
        <v>0</v>
      </c>
      <c r="HS180" s="409" t="s">
        <v>1881</v>
      </c>
      <c r="HT180" s="409">
        <v>30</v>
      </c>
      <c r="HU180" s="411">
        <f t="shared" si="121"/>
        <v>0</v>
      </c>
      <c r="HV180" s="411">
        <f t="shared" si="122"/>
        <v>98.378378378378386</v>
      </c>
      <c r="HW180" s="414">
        <f t="shared" si="123"/>
        <v>0</v>
      </c>
      <c r="HX180" s="405" t="s">
        <v>605</v>
      </c>
      <c r="HY180" s="409" t="s">
        <v>3155</v>
      </c>
      <c r="HZ180" s="420" t="str">
        <f t="shared" si="136"/>
        <v>ToyoLi - MATT</v>
      </c>
      <c r="IA180" s="409">
        <v>20</v>
      </c>
      <c r="IB180" s="411">
        <f>IF(IA180=0,0,IF($LB180=70%,VLOOKUP($HZ180,'Jan-2026 rates'!$L:$R,4,0),IF($LB180=65%,VLOOKUP($HZ180,'Jan-2026 rates'!$L:$R,4,0),IF($LB180=40%,VLOOKUP($HZ180,'Jan-2026 rates'!$L:$R,5,0),IF($LB180=30%,VLOOKUP($HZ180,'Jan-2026 rates'!$L:$R,6,0),IF($LB180=100%,VLOOKUP($HZ180,'Jan-2026 rates'!$L:$R,7,0),IF($LB180=60%,VLOOKUP($HZ180,'Jan-2026 rates'!$L:$S,8,0),IF($LB180=80%,VLOOKUP($HZ180,'Jan-2026 rates'!L:T,9,0),0))))))))</f>
        <v>0</v>
      </c>
      <c r="IC180" s="412"/>
      <c r="ID180" s="409"/>
      <c r="IE180" s="411">
        <f>IF(ID180=0,0,IF($LB180=70%,VLOOKUP($HZ180,'Jan-2026 rates'!$L:$R,4,0),IF($LB180=65%,VLOOKUP($HZ180,'Jan-2026 rates'!$L:$R,4,0),IF($LB180=40%,VLOOKUP($HZ180,'Jan-2026 rates'!$L:$R,5,0),IF($LB180=30%,VLOOKUP($HZ180,'Jan-2026 rates'!$L:$R,6,0),IF($LB180=100%,VLOOKUP($HZ180,'Jan-2026 rates'!$L:$R,7,0),IF($LB180=60%,VLOOKUP($HZ180,'Jan-2026 rates'!$L:$S,8,0),IF($LB180=80%,VLOOKUP($HZ180,'Jan-2026 rates'!L:T,9,0),0))))))))</f>
        <v>0</v>
      </c>
      <c r="IF180" s="412">
        <v>55</v>
      </c>
      <c r="IG180" s="413" t="s">
        <v>1902</v>
      </c>
      <c r="IH180" s="412"/>
      <c r="II180" s="412"/>
      <c r="IJ180" s="412"/>
      <c r="IK180" s="412"/>
      <c r="IL180" s="412"/>
      <c r="IM180" s="412"/>
      <c r="IN180" s="409">
        <v>40</v>
      </c>
      <c r="IO180" s="398">
        <f>IF(IN180=0,0,IF(LEN(IF180)=11,_xlfn.XLOOKUP(IF180,'Dispensed Ink Rates'!C:C,'Dispensed Ink Rates'!CS:CS),VLOOKUP(IF180,'Jan-2026 rates'!$E:$F,2,0)))</f>
        <v>0</v>
      </c>
      <c r="IP180" s="409">
        <v>10</v>
      </c>
      <c r="IQ180" s="398">
        <f>IF(IP180=0,0,IF(LEN(IG180)=11,_xlfn.XLOOKUP(IG180,'Dispensed Ink Rates'!C:C,'Dispensed Ink Rates'!CS:CS),VLOOKUP(IG180,'Jan-2026 rates'!$E:$F,2,0)))</f>
        <v>0</v>
      </c>
      <c r="IR180" s="409"/>
      <c r="IS180" s="398">
        <f>IF(IR180=0,0,IF(LEN(IH180)=11,_xlfn.XLOOKUP(IH180,'Dispensed Ink Rates'!C:C,'Dispensed Ink Rates'!CS:CS),VLOOKUP(IH180,'Jan-2026 rates'!$E:$F,2,0)))</f>
        <v>0</v>
      </c>
      <c r="IT180" s="409"/>
      <c r="IU180" s="398">
        <f>IF(IT180=0,0,IF(LEN(II180)=11,_xlfn.XLOOKUP(II180,'Dispensed Ink Rates'!C:C,'Dispensed Ink Rates'!CS:CS),VLOOKUP(II180,'Jan-2026 rates'!$E:$F,2,0)))</f>
        <v>0</v>
      </c>
      <c r="IV180" s="409"/>
      <c r="IW180" s="398">
        <f>IF(IV180=0,0,IF(LEN(IJ180)=11,_xlfn.XLOOKUP(IJ180,'Dispensed Ink Rates'!C:C,'Dispensed Ink Rates'!CS:CS),VLOOKUP(IJ180,'Jan-2026 rates'!$E:$F,2,0)))</f>
        <v>0</v>
      </c>
      <c r="IX180" s="409"/>
      <c r="IY180" s="398">
        <f>IF(IX180=0,0,IF(LEN(IK180)=11,_xlfn.XLOOKUP(IK180,'Dispensed Ink Rates'!C:C,'Dispensed Ink Rates'!CS:CS),VLOOKUP(IK180,'Jan-2026 rates'!$E:$F,2,0)))</f>
        <v>0</v>
      </c>
      <c r="IZ180" s="409"/>
      <c r="JA180" s="398">
        <f>IF(IZ180=0,0,IF(LEN(IL180)=11,_xlfn.XLOOKUP(IL180,'Dispensed Ink Rates'!C:C,'Dispensed Ink Rates'!CS:CS),VLOOKUP(IL180,'Jan-2026 rates'!$E:$F,2,0)))</f>
        <v>0</v>
      </c>
      <c r="JB180" s="409"/>
      <c r="JC180" s="398">
        <f>IF(JB180=0,0,IF(LEN(IM180)=11,_xlfn.XLOOKUP(IM180,'Dispensed Ink Rates'!C:C,'Dispensed Ink Rates'!CS:CS),VLOOKUP(IM180,'Jan-2026 rates'!$E:$F,2,0)))</f>
        <v>0</v>
      </c>
      <c r="JD180" s="409" t="s">
        <v>1881</v>
      </c>
      <c r="JE180" s="409">
        <v>25</v>
      </c>
      <c r="JF180" s="411">
        <f t="shared" si="124"/>
        <v>0</v>
      </c>
      <c r="JG180" s="411">
        <f t="shared" si="125"/>
        <v>62.513513513513516</v>
      </c>
      <c r="JH180" s="410">
        <f t="shared" si="126"/>
        <v>0</v>
      </c>
      <c r="JI180" s="405"/>
      <c r="JJ180" s="409"/>
      <c r="JK180" s="420" t="str">
        <f t="shared" si="137"/>
        <v xml:space="preserve"> - </v>
      </c>
      <c r="JL180" s="409"/>
      <c r="JM180" s="411">
        <f>IF(JL180=0,0,IF($LB180=70%,VLOOKUP($JK180,'Jan-2026 rates'!$L:$R,4,0),IF($LB180=65%,VLOOKUP($JK180,'Jan-2026 rates'!$L:$R,4,0),IF($LB180=40%,VLOOKUP($JK180,'Jan-2026 rates'!$L:$R,5,0),IF($LB180=30%,VLOOKUP($JK180,'Jan-2026 rates'!$L:$R,6,0),IF($LB180=100%,VLOOKUP($JK180,'Jan-2026 rates'!$L:$R,7,0),IF($LB180=60%,VLOOKUP($JK180,'Jan-2026 rates'!$L:$S,8,0),IF($LB180=80%,VLOOKUP($JK180,'Jan-2026 rates'!L:T,9,0),0))))))))</f>
        <v>0</v>
      </c>
      <c r="JN180" s="412"/>
      <c r="JO180" s="409"/>
      <c r="JP180" s="411">
        <f>IF(JO180=0,0,IF($LB180=70%,VLOOKUP($JK180,'Jan-2026 rates'!$L:$R,4,0),IF($LB180=65%,VLOOKUP($JK180,'Jan-2026 rates'!$L:$R,4,0),IF($LB180=40%,VLOOKUP($JK180,'Jan-2026 rates'!$L:$R,5,0),IF($LB180=30%,VLOOKUP($JK180,'Jan-2026 rates'!$L:$R,6,0),IF($LB180=100%,VLOOKUP($JK180,'Jan-2026 rates'!$L:$R,7,0),IF($LB180=60%,VLOOKUP($JK180,'Jan-2026 rates'!$L:$S,8,0),IF($LB180=80%,VLOOKUP($JK180,'Jan-2026 rates'!L:T,9,0),0))))))))</f>
        <v>0</v>
      </c>
      <c r="JQ180" s="413"/>
      <c r="JR180" s="412"/>
      <c r="JS180" s="413"/>
      <c r="JT180" s="413"/>
      <c r="JU180" s="412"/>
      <c r="JV180" s="412"/>
      <c r="JW180" s="412"/>
      <c r="JX180" s="412"/>
      <c r="JY180" s="409"/>
      <c r="JZ180" s="398">
        <f>IF(JY180=0,0,IF(LEN(JQ180)=11,_xlfn.XLOOKUP(JQ180,'Dispensed Ink Rates'!C:C,'Dispensed Ink Rates'!CS:CS),VLOOKUP(JQ180,'Jan-2026 rates'!$E:$F,2,0)))</f>
        <v>0</v>
      </c>
      <c r="KA180" s="409"/>
      <c r="KB180" s="398">
        <f>IF(KA180=0,0,IF(LEN(JR180)=11,_xlfn.XLOOKUP(JR180,'Dispensed Ink Rates'!C:C,'Dispensed Ink Rates'!CS:CS),VLOOKUP(JR180,'Jan-2026 rates'!$E:$F,2,0)))</f>
        <v>0</v>
      </c>
      <c r="KC180" s="409"/>
      <c r="KD180" s="398">
        <f>IF(KC180=0,0,IF(LEN(JS180)=11,_xlfn.XLOOKUP(JS180,'Dispensed Ink Rates'!C:C,'Dispensed Ink Rates'!CS:CS),VLOOKUP(JS180,'Jan-2026 rates'!$E:$F,2,0)))</f>
        <v>0</v>
      </c>
      <c r="KE180" s="409"/>
      <c r="KF180" s="398">
        <f>IF(KE180=0,0,IF(LEN(JT180)=11,_xlfn.XLOOKUP(JT180,'Dispensed Ink Rates'!C:C,'Dispensed Ink Rates'!CS:CS),VLOOKUP(JT180,'Jan-2026 rates'!$E:$F,2,0)))</f>
        <v>0</v>
      </c>
      <c r="KG180" s="409"/>
      <c r="KH180" s="398">
        <f>IF(KG180=0,0,IF(LEN(JU180)=11,_xlfn.XLOOKUP(JU180,'Dispensed Ink Rates'!C:C,'Dispensed Ink Rates'!CS:CS),VLOOKUP(JU180,'Jan-2026 rates'!$E:$F,2,0)))</f>
        <v>0</v>
      </c>
      <c r="KI180" s="409"/>
      <c r="KJ180" s="398">
        <f>IF(KI180=0,0,IF(LEN(JV180)=11,_xlfn.XLOOKUP(JV180,'Dispensed Ink Rates'!C:C,'Dispensed Ink Rates'!CS:CS),VLOOKUP(JV180,'Jan-2026 rates'!$E:$F,2,0)))</f>
        <v>0</v>
      </c>
      <c r="KK180" s="409"/>
      <c r="KL180" s="398">
        <f>IF(KK180=0,0,IF(LEN(JW180)=11,_xlfn.XLOOKUP(JW180,'Dispensed Ink Rates'!C:C,'Dispensed Ink Rates'!CS:CS),VLOOKUP(JW180,'Jan-2026 rates'!$E:$F,2,0)))</f>
        <v>0</v>
      </c>
      <c r="KM180" s="428"/>
      <c r="KN180" s="398">
        <f>IF(KM180=0,0,IF(LEN(JX180)=11,_xlfn.XLOOKUP(JX180,'Dispensed Ink Rates'!C:C,'Dispensed Ink Rates'!CS:CS),VLOOKUP(JX180,'Jan-2026 rates'!$E:$F,2,0)))</f>
        <v>0</v>
      </c>
      <c r="KO180" s="409"/>
      <c r="KP180" s="409"/>
      <c r="KQ180" s="411">
        <f t="shared" si="127"/>
        <v>0</v>
      </c>
      <c r="KR180" s="411">
        <f t="shared" si="128"/>
        <v>0</v>
      </c>
      <c r="KS180" s="410">
        <f t="shared" si="129"/>
        <v>0</v>
      </c>
      <c r="KT180" s="409">
        <v>2</v>
      </c>
      <c r="KU180" s="409">
        <v>3</v>
      </c>
      <c r="KV180" s="409">
        <v>2</v>
      </c>
      <c r="KW180" s="409">
        <v>2</v>
      </c>
      <c r="KX180" s="409">
        <v>2</v>
      </c>
      <c r="KY180" s="409">
        <f>10+10</f>
        <v>20</v>
      </c>
      <c r="KZ180" s="409">
        <v>6</v>
      </c>
      <c r="LA180" s="409">
        <v>0</v>
      </c>
      <c r="LB180" s="415">
        <v>0.3</v>
      </c>
      <c r="LC180" s="415"/>
      <c r="LD180" s="415"/>
      <c r="LE180" s="415">
        <v>0.5</v>
      </c>
      <c r="LF180" s="415">
        <v>0.2</v>
      </c>
      <c r="LG180" s="409">
        <v>0</v>
      </c>
      <c r="LH180" s="409">
        <f>26+22+18+30+12</f>
        <v>108</v>
      </c>
      <c r="LI180" s="409">
        <v>0</v>
      </c>
      <c r="LJ180" s="409">
        <v>0</v>
      </c>
      <c r="LK180" s="416">
        <f t="shared" si="138"/>
        <v>108</v>
      </c>
      <c r="LL180" s="416">
        <f t="shared" si="139"/>
        <v>108</v>
      </c>
      <c r="LM180" s="417">
        <f t="shared" si="140"/>
        <v>32.4</v>
      </c>
      <c r="LN180" s="417">
        <f>VLOOKUP($LM$8,'Jan-2026 rates'!$H:$I,2,0)</f>
        <v>0</v>
      </c>
      <c r="LO180" s="417">
        <f t="shared" si="141"/>
        <v>0</v>
      </c>
      <c r="LP180" s="417">
        <f>VLOOKUP($LO$8,'Jan-2026 rates'!$H:$I,2,0)</f>
        <v>0</v>
      </c>
      <c r="LQ180" s="417">
        <f t="shared" si="142"/>
        <v>0</v>
      </c>
      <c r="LR180" s="417">
        <f>VLOOKUP($LQ$8,'Jan-2026 rates'!$H:$I,2,0)</f>
        <v>0</v>
      </c>
      <c r="LS180" s="417">
        <f t="shared" si="143"/>
        <v>54</v>
      </c>
      <c r="LT180" s="417">
        <f>VLOOKUP($LS$8,'Jan-2026 rates'!$H:$I,2,0)</f>
        <v>0</v>
      </c>
      <c r="LU180" s="417">
        <f t="shared" si="144"/>
        <v>21.6</v>
      </c>
      <c r="LV180" s="417">
        <f>VLOOKUP($LU$8,'Jan-2026 rates'!$H:$I,2,0)</f>
        <v>0</v>
      </c>
      <c r="LW180" s="417">
        <f t="shared" si="145"/>
        <v>0</v>
      </c>
      <c r="LX180" s="417">
        <f t="shared" si="146"/>
        <v>0</v>
      </c>
      <c r="LY180" s="418">
        <f t="shared" si="147"/>
        <v>0</v>
      </c>
      <c r="LZ180" s="417"/>
      <c r="MA180" s="435">
        <f t="shared" si="148"/>
        <v>102.3</v>
      </c>
      <c r="MB180" s="282">
        <f t="shared" si="149"/>
        <v>208.3</v>
      </c>
      <c r="MC180" s="283" t="s">
        <v>2015</v>
      </c>
      <c r="MD180" s="284" t="str">
        <f t="shared" si="150"/>
        <v>ToyoLiToyoLiToyoLiToyoLiToyoLiToyoLiToyoLi</v>
      </c>
      <c r="ME180" s="293" t="str">
        <f t="shared" si="151"/>
        <v>+</v>
      </c>
      <c r="MF180" s="293" t="str">
        <f t="shared" si="152"/>
        <v>+</v>
      </c>
      <c r="MG180" s="293" t="str">
        <f t="shared" si="153"/>
        <v>+</v>
      </c>
      <c r="MH180" s="293" t="str">
        <f t="shared" si="154"/>
        <v>+</v>
      </c>
      <c r="MI180" s="293" t="str">
        <f t="shared" si="155"/>
        <v>+</v>
      </c>
      <c r="MJ180" s="293" t="str">
        <f t="shared" si="156"/>
        <v>+</v>
      </c>
      <c r="MK180" s="293" t="str">
        <f t="shared" si="157"/>
        <v>+</v>
      </c>
      <c r="ML180" s="293" t="str">
        <f t="shared" si="158"/>
        <v>NIL</v>
      </c>
      <c r="MM180" s="3" t="b">
        <f t="array" ref="MM180">OR(ME180:ML180="-")</f>
        <v>0</v>
      </c>
      <c r="MN180" s="285"/>
      <c r="MO180" s="401"/>
      <c r="MP180" s="286"/>
      <c r="MQ180" s="286"/>
      <c r="MR180" s="402"/>
      <c r="MS180" s="400"/>
      <c r="NH180" s="422"/>
      <c r="NJ180" s="421"/>
    </row>
    <row r="181" spans="1:374" s="1" customFormat="1" ht="16.5">
      <c r="A181" s="403">
        <v>46035</v>
      </c>
      <c r="B181" s="404" t="s">
        <v>1018</v>
      </c>
      <c r="C181" s="405" t="s">
        <v>3626</v>
      </c>
      <c r="D181" s="406" t="s">
        <v>2016</v>
      </c>
      <c r="E181" s="404">
        <v>147</v>
      </c>
      <c r="F181" s="407">
        <v>9800</v>
      </c>
      <c r="G181" s="407" t="s">
        <v>1016</v>
      </c>
      <c r="H181" s="408" t="s">
        <v>1017</v>
      </c>
      <c r="I181" s="409">
        <f>1.41+1.29</f>
        <v>2.7</v>
      </c>
      <c r="J181" s="405" t="s">
        <v>543</v>
      </c>
      <c r="K181" s="404" t="s">
        <v>3627</v>
      </c>
      <c r="L181" s="419" t="str">
        <f t="shared" si="131"/>
        <v>ToyoLi - BLACK</v>
      </c>
      <c r="M181" s="404">
        <v>29</v>
      </c>
      <c r="N181" s="410">
        <f>IF(M181=0,0,IF($LB181=70%,VLOOKUP($L181,'Jan-2026 rates'!$L:$R,4,0),IF($LB181=65%,VLOOKUP($L181,'Jan-2026 rates'!$L:$R,4,0),IF($LB181=40%,VLOOKUP($L181,'Jan-2026 rates'!$L:$R,5,0),IF($LB181=30%,VLOOKUP($L181,'Jan-2026 rates'!$L:$R,6,0),IF($LB181=100%,VLOOKUP($L181,'Jan-2026 rates'!$L:$R,7,0),IF($LB181=60%,VLOOKUP($L181,'Jan-2026 rates'!$L:$S,8,0),IF($LB181=80%,VLOOKUP($L181,'Jan-2026 rates'!L:T,9,0),0))))))))</f>
        <v>0</v>
      </c>
      <c r="O181" s="406"/>
      <c r="P181" s="404"/>
      <c r="Q181" s="410">
        <f>IF(P181=0,0,IF($LB181=70%,VLOOKUP($L181,'Jan-2026 rates'!$L:$R,4,0),IF($LB181=65%,VLOOKUP($L181,'Jan-2026 rates'!$L:$R,4,0),IF($LB181=40%,VLOOKUP($L181,'Jan-2026 rates'!$L:$R,5,0),IF($LB181=30%,VLOOKUP($L181,'Jan-2026 rates'!$L:$R,6,0),IF($LB181=100%,VLOOKUP($L181,'Jan-2026 rates'!$L:$R,7,0),IF($LB181=60%,VLOOKUP($L181,'Jan-2026 rates'!$L:$S,8,0),IF($LB181=80%,VLOOKUP($L181,'Jan-2026 rates'!L:T,9,0),0))))))))</f>
        <v>0</v>
      </c>
      <c r="R181" s="406" t="s">
        <v>1252</v>
      </c>
      <c r="S181" s="406"/>
      <c r="T181" s="406"/>
      <c r="U181" s="406"/>
      <c r="V181" s="406"/>
      <c r="W181" s="406"/>
      <c r="X181" s="406"/>
      <c r="Y181" s="406"/>
      <c r="Z181" s="404">
        <v>2</v>
      </c>
      <c r="AA181" s="398">
        <f>IF(Z181=0,0,IF(LEN(R181)=11,_xlfn.XLOOKUP(R181,'Dispensed Ink Rates'!C:C,'Dispensed Ink Rates'!CS:CS),VLOOKUP(R181,'Jan-2026 rates'!$E:$F,2,0)))</f>
        <v>0</v>
      </c>
      <c r="AB181" s="404"/>
      <c r="AC181" s="398">
        <f>IF(AB181=0,0,IF(LEN(S181)=11,_xlfn.XLOOKUP(S181,'Dispensed Ink Rates'!C:C,'Dispensed Ink Rates'!CS:CS),VLOOKUP(S181,'Jan-2026 rates'!$E:$F,2,0)))</f>
        <v>0</v>
      </c>
      <c r="AD181" s="404"/>
      <c r="AE181" s="398">
        <f>IF(AD181=0,0,IF(LEN(T181)=11,_xlfn.XLOOKUP(T181,'Dispensed Ink Rates'!C:C,'Dispensed Ink Rates'!CS:CS),VLOOKUP(T181,'Jan-2026 rates'!$E:$F,2,0)))</f>
        <v>0</v>
      </c>
      <c r="AF181" s="404"/>
      <c r="AG181" s="398">
        <f>IF(AF181=0,0,IF(LEN(U181)=11,_xlfn.XLOOKUP(U181,'Dispensed Ink Rates'!C:C,'Dispensed Ink Rates'!CS:CS),VLOOKUP(U181,'Jan-2026 rates'!$E:$F,2,0)))</f>
        <v>0</v>
      </c>
      <c r="AH181" s="404"/>
      <c r="AI181" s="398">
        <f>IF(AH181=0,0,IF(LEN(V181)=11,_xlfn.XLOOKUP(V181,'Dispensed Ink Rates'!C:C,'Dispensed Ink Rates'!CS:CS),VLOOKUP(V181,'Jan-2026 rates'!$E:$F,2,0)))</f>
        <v>0</v>
      </c>
      <c r="AJ181" s="404"/>
      <c r="AK181" s="398">
        <f>IF(AJ181=0,0,IF(LEN(W181)=11,_xlfn.XLOOKUP(W181,'Dispensed Ink Rates'!C:C,'Dispensed Ink Rates'!CS:CS),VLOOKUP(W181,'Jan-2026 rates'!$E:$F,2,0)))</f>
        <v>0</v>
      </c>
      <c r="AL181" s="404"/>
      <c r="AM181" s="398">
        <f>IF(AL181=0,0,IF(LEN(X181)=11,_xlfn.XLOOKUP(X181,'Dispensed Ink Rates'!C:C,'Dispensed Ink Rates'!CS:CS),VLOOKUP(X181,'Jan-2026 rates'!$E:$F,2,0)))</f>
        <v>0</v>
      </c>
      <c r="AN181" s="404"/>
      <c r="AO181" s="398">
        <f>IF(AN181=0,0,IF(LEN(Y181)=11,_xlfn.XLOOKUP(Y181,'Dispensed Ink Rates'!C:C,'Dispensed Ink Rates'!CS:CS),VLOOKUP(Y181,'Jan-2026 rates'!$E:$F,2,0)))</f>
        <v>0</v>
      </c>
      <c r="AP181" s="409" t="s">
        <v>1881</v>
      </c>
      <c r="AQ181" s="409">
        <v>30</v>
      </c>
      <c r="AR181" s="410">
        <f t="shared" si="106"/>
        <v>0</v>
      </c>
      <c r="AS181" s="411">
        <f t="shared" si="107"/>
        <v>6.7894736842105274</v>
      </c>
      <c r="AT181" s="410">
        <f t="shared" si="108"/>
        <v>0</v>
      </c>
      <c r="AU181" s="405" t="s">
        <v>828</v>
      </c>
      <c r="AV181" s="409" t="s">
        <v>3628</v>
      </c>
      <c r="AW181" s="420" t="str">
        <f t="shared" si="130"/>
        <v>ToyoLi - ORANGE</v>
      </c>
      <c r="AX181" s="409">
        <f>17+13</f>
        <v>30</v>
      </c>
      <c r="AY181" s="411">
        <f>IF(AX181=0,0,IF($LB181=70%,VLOOKUP($AW181,'Jan-2026 rates'!$L:$R,4,0),IF($LB181=65%,VLOOKUP($AW181,'Jan-2026 rates'!$L:$R,4,0),IF($LB181=40%,VLOOKUP($AW181,'Jan-2026 rates'!$L:$R,5,0),IF($LB181=30%,VLOOKUP($AW181,'Jan-2026 rates'!$L:$R,6,0),IF($LB181=100%,VLOOKUP($AW181,'Jan-2026 rates'!$L:$R,7,0),IF($LB181=60%,VLOOKUP($AW181,'Jan-2026 rates'!$L:$S,8,0),IF($LB181=80%,VLOOKUP($AW181,'Jan-2026 rates'!L:T,9,0),0))))))))</f>
        <v>0</v>
      </c>
      <c r="AZ181" s="412"/>
      <c r="BA181" s="409"/>
      <c r="BB181" s="411">
        <f>IF(BA181=0,0,IF($LB181=70%,VLOOKUP($AW181,'Jan-2026 rates'!$L:$R,4,0),IF($LB181=65%,VLOOKUP($AW181,'Jan-2026 rates'!$L:$R,4,0),IF($LB181=40%,VLOOKUP($AW181,'Jan-2026 rates'!$L:$R,5,0),IF($LB181=30%,VLOOKUP($AW181,'Jan-2026 rates'!$L:$R,6,0),IF($LB181=100%,VLOOKUP($AW181,'Jan-2026 rates'!$L:$R,7,0),IF($LB181=60%,VLOOKUP($AW181,'Jan-2026 rates'!$L:$S,8,0),IF($LB181=80%,VLOOKUP($AW181,'Jan-2026 rates'!L:T,9,0),0))))))))</f>
        <v>0</v>
      </c>
      <c r="BC181" s="413" t="s">
        <v>1246</v>
      </c>
      <c r="BD181" s="412"/>
      <c r="BE181" s="412"/>
      <c r="BF181" s="413"/>
      <c r="BG181" s="412"/>
      <c r="BH181" s="412"/>
      <c r="BI181" s="412"/>
      <c r="BJ181" s="412"/>
      <c r="BK181" s="409">
        <v>2</v>
      </c>
      <c r="BL181" s="398">
        <f>IF(BK181=0,0,IF(LEN(BC181)=11,_xlfn.XLOOKUP(BC181,'Dispensed Ink Rates'!C:C,'Dispensed Ink Rates'!CS:CS),VLOOKUP(BC181,'Jan-2026 rates'!$E:$F,2,0)))</f>
        <v>0</v>
      </c>
      <c r="BM181" s="409"/>
      <c r="BN181" s="398">
        <f>IF(BM181=0,0,IF(LEN(BD181)=11,_xlfn.XLOOKUP(BD181,'Dispensed Ink Rates'!C:C,'Dispensed Ink Rates'!CS:CS),VLOOKUP(BD181,'Jan-2026 rates'!$E:$F,2,0)))</f>
        <v>0</v>
      </c>
      <c r="BO181" s="409"/>
      <c r="BP181" s="398">
        <f>IF(BO181=0,0,IF(LEN(BE181)=11,_xlfn.XLOOKUP(BE181,'Dispensed Ink Rates'!C:C,'Dispensed Ink Rates'!CS:CS),VLOOKUP(BE181,'Jan-2026 rates'!$E:$F,2,0)))</f>
        <v>0</v>
      </c>
      <c r="BQ181" s="409"/>
      <c r="BR181" s="398">
        <f>IF(BQ181=0,0,IF(LEN(BF181)=11,_xlfn.XLOOKUP(BF181,'Dispensed Ink Rates'!C:C,'Dispensed Ink Rates'!CS:CS),VLOOKUP(BF181,'Jan-2026 rates'!$E:$F,2,0)))</f>
        <v>0</v>
      </c>
      <c r="BS181" s="409"/>
      <c r="BT181" s="398">
        <f>IF(BS181=0,0,IF(LEN(BG181)=11,_xlfn.XLOOKUP(BG181,'Dispensed Ink Rates'!C:C,'Dispensed Ink Rates'!CS:CS),VLOOKUP(BG181,'Jan-2026 rates'!$E:$F,2,0)))</f>
        <v>0</v>
      </c>
      <c r="BU181" s="409"/>
      <c r="BV181" s="398">
        <f>IF(BU181=0,0,IF(LEN(BH181)=11,_xlfn.XLOOKUP(BH181,'Dispensed Ink Rates'!C:C,'Dispensed Ink Rates'!CS:CS),VLOOKUP(BH181,'Jan-2026 rates'!$E:$F,2,0)))</f>
        <v>0</v>
      </c>
      <c r="BW181" s="409"/>
      <c r="BX181" s="398">
        <f>IF(BW181=0,0,IF(LEN(BI181)=11,_xlfn.XLOOKUP(BI181,'Dispensed Ink Rates'!C:C,'Dispensed Ink Rates'!CS:CS),VLOOKUP(BI181,'Jan-2026 rates'!$E:$F,2,0)))</f>
        <v>0</v>
      </c>
      <c r="BY181" s="409"/>
      <c r="BZ181" s="398">
        <f>IF(BY181=0,0,IF(LEN(BJ181)=11,_xlfn.XLOOKUP(BJ181,'Dispensed Ink Rates'!C:C,'Dispensed Ink Rates'!CS:CS),VLOOKUP(BJ181,'Jan-2026 rates'!$E:$F,2,0)))</f>
        <v>0</v>
      </c>
      <c r="CA181" s="409" t="s">
        <v>1881</v>
      </c>
      <c r="CB181" s="409">
        <v>26</v>
      </c>
      <c r="CC181" s="411">
        <f t="shared" si="109"/>
        <v>0</v>
      </c>
      <c r="CD181" s="411">
        <f t="shared" si="110"/>
        <v>11.789473684210527</v>
      </c>
      <c r="CE181" s="410">
        <f t="shared" si="111"/>
        <v>0</v>
      </c>
      <c r="CF181" s="404" t="s">
        <v>857</v>
      </c>
      <c r="CG181" s="409" t="s">
        <v>3629</v>
      </c>
      <c r="CH181" s="420" t="str">
        <f t="shared" si="132"/>
        <v>ToyoLi - RED</v>
      </c>
      <c r="CI181" s="409">
        <v>28</v>
      </c>
      <c r="CJ181" s="411">
        <f>IF(CI181=0,0,IF($LB181=70%,VLOOKUP($CH181,'Jan-2026 rates'!$L:$R,4,0),IF($LB181=65%,VLOOKUP($CH181,'Jan-2026 rates'!$L:$R,4,0),IF($LB181=40%,VLOOKUP($CH181,'Jan-2026 rates'!$L:$R,5,0),IF($LB181=30%,VLOOKUP($CH181,'Jan-2026 rates'!$L:$R,6,0),IF($LB181=100%,VLOOKUP($CH181,'Jan-2026 rates'!$L:$R,7,0),IF($LB181=60%,VLOOKUP($CH181,'Jan-2026 rates'!$L:$S,8,0),IF($LB181=80%,VLOOKUP($CH181,'Jan-2026 rates'!L:T,9,0),0))))))))</f>
        <v>0</v>
      </c>
      <c r="CK181" s="412"/>
      <c r="CL181" s="409"/>
      <c r="CM181" s="411">
        <f>IF(CL181=0,0,IF($LB181=70%,VLOOKUP($CH181,'Jan-2026 rates'!$L:$R,4,0),IF($LB181=65%,VLOOKUP($CH181,'Jan-2026 rates'!$L:$R,4,0),IF($LB181=40%,VLOOKUP($CH181,'Jan-2026 rates'!$L:$R,5,0),IF($LB181=30%,VLOOKUP($CH181,'Jan-2026 rates'!$L:$R,6,0),IF($LB181=100%,VLOOKUP($CH181,'Jan-2026 rates'!$L:$R,7,0),IF($LB181=60%,VLOOKUP($CH181,'Jan-2026 rates'!$L:$S,8,0),IF($LB181=80%,VLOOKUP($CH181,'Jan-2026 rates'!L:T,9,0),0))))))))</f>
        <v>0</v>
      </c>
      <c r="CN181" s="426" t="s">
        <v>1248</v>
      </c>
      <c r="CO181" s="427"/>
      <c r="CP181" s="426"/>
      <c r="CQ181" s="426"/>
      <c r="CR181" s="428"/>
      <c r="CS181" s="428"/>
      <c r="CT181" s="428"/>
      <c r="CU181" s="428"/>
      <c r="CV181" s="409">
        <v>2</v>
      </c>
      <c r="CW181" s="398">
        <f>IF(CV181=0,0,IF(LEN(CN181)=11,_xlfn.XLOOKUP(CN181,'Dispensed Ink Rates'!C:C,'Dispensed Ink Rates'!CS:CS),VLOOKUP(CN181,'Jan-2026 rates'!$E:$F,2,0)))</f>
        <v>0</v>
      </c>
      <c r="CX181" s="409"/>
      <c r="CY181" s="398">
        <f>IF(CX181=0,0,IF(LEN(CO181)=11,_xlfn.XLOOKUP(CO181,'Dispensed Ink Rates'!C:C,'Dispensed Ink Rates'!CS:CS),VLOOKUP(CO181,'Jan-2026 rates'!$E:$F,2,0)))</f>
        <v>0</v>
      </c>
      <c r="CZ181" s="409"/>
      <c r="DA181" s="398">
        <f>IF(CZ181=0,0,IF(LEN(CP181)=11,_xlfn.XLOOKUP(CP181,'Dispensed Ink Rates'!C:C,'Dispensed Ink Rates'!CS:CS),VLOOKUP(CP181,'Jan-2026 rates'!$E:$F,2,0)))</f>
        <v>0</v>
      </c>
      <c r="DB181" s="409"/>
      <c r="DC181" s="398">
        <f>IF(DB181=0,0,IF(LEN(CQ181)=11,_xlfn.XLOOKUP(CQ181,'Dispensed Ink Rates'!C:C,'Dispensed Ink Rates'!CS:CS),VLOOKUP(CQ181,'Jan-2026 rates'!$E:$F,2,0)))</f>
        <v>0</v>
      </c>
      <c r="DD181" s="409"/>
      <c r="DE181" s="398">
        <f>IF(DD181=0,0,IF(LEN(CR181)=11,_xlfn.XLOOKUP(CR181,'Dispensed Ink Rates'!C:C,'Dispensed Ink Rates'!CS:CS),VLOOKUP(CR181,'Jan-2026 rates'!$E:$F,2,0)))</f>
        <v>0</v>
      </c>
      <c r="DF181" s="409"/>
      <c r="DG181" s="398">
        <f>IF(DF181=0,0,IF(LEN(CS181)=11,_xlfn.XLOOKUP(CS181,'Dispensed Ink Rates'!C:C,'Dispensed Ink Rates'!CS:CS),VLOOKUP(CS181,'Jan-2026 rates'!$E:$F,2,0)))</f>
        <v>0</v>
      </c>
      <c r="DH181" s="409"/>
      <c r="DI181" s="398">
        <f>IF(DH181=0,0,IF(LEN(CT181)=11,_xlfn.XLOOKUP(CT181,'Dispensed Ink Rates'!C:C,'Dispensed Ink Rates'!CS:CS),VLOOKUP(CT181,'Jan-2026 rates'!$E:$F,2,0)))</f>
        <v>0</v>
      </c>
      <c r="DJ181" s="409"/>
      <c r="DK181" s="398">
        <f>IF(DJ181=0,0,IF(LEN(CU181)=11,_xlfn.XLOOKUP(CU181,'Dispensed Ink Rates'!C:C,'Dispensed Ink Rates'!CS:CS),VLOOKUP(CU181,'Jan-2026 rates'!$E:$F,2,0)))</f>
        <v>0</v>
      </c>
      <c r="DL181" s="409" t="s">
        <v>1881</v>
      </c>
      <c r="DM181" s="409">
        <v>28</v>
      </c>
      <c r="DN181" s="411">
        <f t="shared" si="112"/>
        <v>0</v>
      </c>
      <c r="DO181" s="411">
        <f t="shared" si="113"/>
        <v>2</v>
      </c>
      <c r="DP181" s="410">
        <f t="shared" si="114"/>
        <v>0</v>
      </c>
      <c r="DQ181" s="405" t="s">
        <v>828</v>
      </c>
      <c r="DR181" s="409" t="s">
        <v>3630</v>
      </c>
      <c r="DS181" s="420" t="str">
        <f t="shared" si="133"/>
        <v>ToyoLi - ORANGE</v>
      </c>
      <c r="DT181" s="409">
        <f>14+5</f>
        <v>19</v>
      </c>
      <c r="DU181" s="411">
        <f>IF(DT181=0,0,IF($LB181=70%,VLOOKUP($DS181,'Jan-2026 rates'!$L:$R,4,0),IF($LB181=65%,VLOOKUP($DS181,'Jan-2026 rates'!$L:$R,4,0),IF($LB181=40%,VLOOKUP($DS181,'Jan-2026 rates'!$L:$R,5,0),IF($LB181=30%,VLOOKUP($DS181,'Jan-2026 rates'!$L:$R,6,0),IF($LB181=100%,VLOOKUP($DS181,'Jan-2026 rates'!$L:$R,7,0),IF($LB181=60%,VLOOKUP($DS181,'Jan-2026 rates'!$L:$S,8,0),IF($LB181=80%,VLOOKUP($DS181,'Jan-2026 rates'!L:T,9,0),0))))))))</f>
        <v>0</v>
      </c>
      <c r="DV181" s="412"/>
      <c r="DW181" s="409"/>
      <c r="DX181" s="411">
        <f>IF(DW181=0,0,IF($LB181=70%,VLOOKUP($DS181,'Jan-2026 rates'!$L:$R,4,0),IF($LB181=65%,VLOOKUP($DS181,'Jan-2026 rates'!$L:$R,4,0),IF($LB181=40%,VLOOKUP($DS181,'Jan-2026 rates'!$L:$R,5,0),IF($LB181=30%,VLOOKUP($DS181,'Jan-2026 rates'!$L:$R,6,0),IF($LB181=100%,VLOOKUP($DS181,'Jan-2026 rates'!$L:$R,7,0),IF($LB181=60%,VLOOKUP($DS181,'Jan-2026 rates'!$L:$S,8,0),IF($LB181=80%,VLOOKUP($DS181,'Jan-2026 rates'!L:T,9,0),0))))))))</f>
        <v>0</v>
      </c>
      <c r="DY181" s="413" t="s">
        <v>1248</v>
      </c>
      <c r="DZ181" s="413" t="s">
        <v>1921</v>
      </c>
      <c r="EA181" s="412" t="s">
        <v>1252</v>
      </c>
      <c r="EB181" s="412"/>
      <c r="EC181" s="412"/>
      <c r="ED181" s="412"/>
      <c r="EE181" s="412"/>
      <c r="EF181" s="412"/>
      <c r="EG181" s="409">
        <v>6</v>
      </c>
      <c r="EH181" s="398">
        <f>IF(EG181=0,0,IF(LEN(DY181)=11,_xlfn.XLOOKUP(DY181,'Dispensed Ink Rates'!C:C,'Dispensed Ink Rates'!CS:CS),VLOOKUP(DY181,'Jan-2026 rates'!$E:$F,2,0)))</f>
        <v>0</v>
      </c>
      <c r="EI181" s="409">
        <v>3</v>
      </c>
      <c r="EJ181" s="398">
        <f>IF(EI181=0,0,IF(LEN(DZ181)=11,_xlfn.XLOOKUP(DZ181,'Dispensed Ink Rates'!C:C,'Dispensed Ink Rates'!CS:CS),VLOOKUP(DZ181,'Jan-2026 rates'!$E:$F,2,0)))</f>
        <v>0</v>
      </c>
      <c r="EK181" s="409">
        <v>0.5</v>
      </c>
      <c r="EL181" s="398">
        <f>IF(EK181=0,0,IF(LEN(EA181)=11,_xlfn.XLOOKUP(EA181,'Dispensed Ink Rates'!C:C,'Dispensed Ink Rates'!CS:CS),VLOOKUP(EA181,'Jan-2026 rates'!$E:$F,2,0)))</f>
        <v>0</v>
      </c>
      <c r="EM181" s="409"/>
      <c r="EN181" s="398">
        <f>IF(EM181=0,0,IF(LEN(EB181)=11,_xlfn.XLOOKUP(EB181,'Dispensed Ink Rates'!C:C,'Dispensed Ink Rates'!CS:CS),VLOOKUP(EB181,'Jan-2026 rates'!$E:$F,2,0)))</f>
        <v>0</v>
      </c>
      <c r="EO181" s="409"/>
      <c r="EP181" s="398">
        <f>IF(EO181=0,0,IF(LEN(EC181)=11,_xlfn.XLOOKUP(EC181,'Dispensed Ink Rates'!C:C,'Dispensed Ink Rates'!CS:CS),VLOOKUP(EC181,'Jan-2026 rates'!$E:$F,2,0)))</f>
        <v>0</v>
      </c>
      <c r="EQ181" s="409"/>
      <c r="ER181" s="398">
        <f>IF(EQ181=0,0,IF(LEN(ED181)=11,_xlfn.XLOOKUP(ED181,'Dispensed Ink Rates'!C:C,'Dispensed Ink Rates'!CS:CS),VLOOKUP(ED181,'Jan-2026 rates'!$E:$F,2,0)))</f>
        <v>0</v>
      </c>
      <c r="ES181" s="409"/>
      <c r="ET181" s="398">
        <f>IF(ES181=0,0,IF(LEN(EE181)=11,_xlfn.XLOOKUP(EE181,'Dispensed Ink Rates'!C:C,'Dispensed Ink Rates'!CS:CS),VLOOKUP(EE181,'Jan-2026 rates'!$E:$F,2,0)))</f>
        <v>0</v>
      </c>
      <c r="EU181" s="409"/>
      <c r="EV181" s="398">
        <f>IF(EU181=0,0,IF(LEN(EF181)=11,_xlfn.XLOOKUP(EF181,'Dispensed Ink Rates'!C:C,'Dispensed Ink Rates'!CS:CS),VLOOKUP(EF181,'Jan-2026 rates'!$E:$F,2,0)))</f>
        <v>0</v>
      </c>
      <c r="EW181" s="409" t="s">
        <v>1881</v>
      </c>
      <c r="EX181" s="409">
        <v>20</v>
      </c>
      <c r="EY181" s="411">
        <f t="shared" si="115"/>
        <v>0</v>
      </c>
      <c r="EZ181" s="411">
        <f t="shared" si="116"/>
        <v>20.078947368421055</v>
      </c>
      <c r="FA181" s="410">
        <f t="shared" si="117"/>
        <v>0</v>
      </c>
      <c r="FB181" s="405" t="s">
        <v>544</v>
      </c>
      <c r="FC181" s="409" t="s">
        <v>3631</v>
      </c>
      <c r="FD181" s="420" t="str">
        <f t="shared" si="134"/>
        <v>ToyoLi - MAGENTA</v>
      </c>
      <c r="FE181" s="409">
        <v>28</v>
      </c>
      <c r="FF181" s="411">
        <f>IF(FE181=0,0,IF($LB181=70%,VLOOKUP($FD181,'Jan-2026 rates'!$L:$R,4,0),IF($LB181=65%,VLOOKUP($FD181,'Jan-2026 rates'!$L:$R,4,0),IF($LB181=40%,VLOOKUP($FD181,'Jan-2026 rates'!$L:$R,5,0),IF($LB181=30%,VLOOKUP($FD181,'Jan-2026 rates'!$L:$R,6,0),IF($LB181=100%,VLOOKUP($FD181,'Jan-2026 rates'!$L:$R,7,0),IF($LB181=60%,VLOOKUP($FD181,'Jan-2026 rates'!$L:$S,8,0),IF($LB181=80%,VLOOKUP($FD181,'Jan-2026 rates'!L:T,9,0),0))))))))</f>
        <v>0</v>
      </c>
      <c r="FG181" s="412"/>
      <c r="FH181" s="409"/>
      <c r="FI181" s="411">
        <f>IF(FH181=0,0,IF($LB181=70%,VLOOKUP($FD181,'Jan-2026 rates'!$L:$R,4,0),IF($LB181=65%,VLOOKUP($FD181,'Jan-2026 rates'!$L:$R,4,0),IF($LB181=40%,VLOOKUP($FD181,'Jan-2026 rates'!$L:$R,5,0),IF($LB181=30%,VLOOKUP($FD181,'Jan-2026 rates'!$L:$R,6,0),IF($LB181=100%,VLOOKUP($FD181,'Jan-2026 rates'!$L:$R,7,0),IF($LB181=60%,VLOOKUP($FD181,'Jan-2026 rates'!$L:$S,8,0),IF($LB181=80%,VLOOKUP($FD181,'Jan-2026 rates'!L:T,9,0),0))))))))</f>
        <v>0</v>
      </c>
      <c r="FJ181" s="413"/>
      <c r="FK181" s="413"/>
      <c r="FL181" s="413"/>
      <c r="FM181" s="412"/>
      <c r="FN181" s="412"/>
      <c r="FO181" s="412"/>
      <c r="FP181" s="412"/>
      <c r="FQ181" s="412"/>
      <c r="FR181" s="409"/>
      <c r="FS181" s="398">
        <f>IF(FR181=0,0,IF(LEN(FJ181)=11,_xlfn.XLOOKUP(FJ181,'Dispensed Ink Rates'!C:C,'Dispensed Ink Rates'!CS:CS),VLOOKUP(FJ181,'Jan-2026 rates'!$E:$F,2,0)))</f>
        <v>0</v>
      </c>
      <c r="FT181" s="409"/>
      <c r="FU181" s="398">
        <f>IF(FT181=0,0,IF(LEN(FK181)=11,_xlfn.XLOOKUP(FK181,'Dispensed Ink Rates'!C:C,'Dispensed Ink Rates'!CS:CS),VLOOKUP(FK181,'Jan-2026 rates'!$E:$F,2,0)))</f>
        <v>0</v>
      </c>
      <c r="FV181" s="409"/>
      <c r="FW181" s="398">
        <f>IF(FV181=0,0,IF(LEN(FL181)=11,_xlfn.XLOOKUP(FL181,'Dispensed Ink Rates'!C:C,'Dispensed Ink Rates'!CS:CS),VLOOKUP(FL181,'Jan-2026 rates'!$E:$F,2,0)))</f>
        <v>0</v>
      </c>
      <c r="FX181" s="409"/>
      <c r="FY181" s="398">
        <f>IF(FX181=0,0,IF(LEN(FM181)=11,_xlfn.XLOOKUP(FM181,'Dispensed Ink Rates'!C:C,'Dispensed Ink Rates'!CS:CS),VLOOKUP(FM181,'Jan-2026 rates'!$E:$F,2,0)))</f>
        <v>0</v>
      </c>
      <c r="FZ181" s="409"/>
      <c r="GA181" s="398">
        <f>IF(FZ181=0,0,IF(LEN(FN181)=11,_xlfn.XLOOKUP(FN181,'Dispensed Ink Rates'!C:C,'Dispensed Ink Rates'!CS:CS),VLOOKUP(FN181,'Jan-2026 rates'!$E:$F,2,0)))</f>
        <v>0</v>
      </c>
      <c r="GB181" s="409"/>
      <c r="GC181" s="398">
        <f>IF(GB181=0,0,IF(LEN(FO181)=11,_xlfn.XLOOKUP(FO181,'Dispensed Ink Rates'!C:C,'Dispensed Ink Rates'!CS:CS),VLOOKUP(FO181,'Jan-2026 rates'!$E:$F,2,0)))</f>
        <v>0</v>
      </c>
      <c r="GD181" s="409"/>
      <c r="GE181" s="398">
        <f>IF(GD181=0,0,IF(LEN(FP181)=11,_xlfn.XLOOKUP(FP181,'Dispensed Ink Rates'!C:C,'Dispensed Ink Rates'!CS:CS),VLOOKUP(FP181,'Jan-2026 rates'!$E:$F,2,0)))</f>
        <v>0</v>
      </c>
      <c r="GF181" s="409"/>
      <c r="GG181" s="398">
        <f>IF(GF181=0,0,IF(LEN(FQ181)=11,_xlfn.XLOOKUP(FQ181,'Dispensed Ink Rates'!C:C,'Dispensed Ink Rates'!CS:CS),VLOOKUP(FQ181,'Jan-2026 rates'!$E:$F,2,0)))</f>
        <v>0</v>
      </c>
      <c r="GH181" s="409" t="s">
        <v>1881</v>
      </c>
      <c r="GI181" s="409">
        <v>28</v>
      </c>
      <c r="GJ181" s="411">
        <f t="shared" si="118"/>
        <v>0</v>
      </c>
      <c r="GK181" s="411">
        <f t="shared" si="119"/>
        <v>5.7894736842105274</v>
      </c>
      <c r="GL181" s="410">
        <f t="shared" si="120"/>
        <v>0</v>
      </c>
      <c r="GM181" s="405" t="s">
        <v>545</v>
      </c>
      <c r="GN181" s="409" t="s">
        <v>3632</v>
      </c>
      <c r="GO181" s="420" t="str">
        <f t="shared" si="135"/>
        <v>ToyoLi - YELLOW</v>
      </c>
      <c r="GP181" s="409">
        <v>30</v>
      </c>
      <c r="GQ181" s="411">
        <f>IF(GP181=0,0,IF($LB181=70%,VLOOKUP($GO181,'Jan-2026 rates'!$L:$R,4,0),IF($LB181=65%,VLOOKUP($GO181,'Jan-2026 rates'!$L:$R,4,0),IF($LB181=40%,VLOOKUP($GO181,'Jan-2026 rates'!$L:$R,5,0),IF($LB181=30%,VLOOKUP($GO181,'Jan-2026 rates'!$L:$R,6,0),IF($LB181=100%,VLOOKUP($GO181,'Jan-2026 rates'!$L:$R,7,0),IF($LB181=60%,VLOOKUP($GO181,'Jan-2026 rates'!$L:$S,8,0),IF($LB181=80%,VLOOKUP($GO181,'Jan-2026 rates'!L:T,9,0),0))))))))</f>
        <v>0</v>
      </c>
      <c r="GR181" s="412"/>
      <c r="GS181" s="409"/>
      <c r="GT181" s="411">
        <f>IF(GS181=0,0,IF($LB181=70%,VLOOKUP($GO181,'Jan-2026 rates'!$L:$R,4,0),IF($LB181=65%,VLOOKUP($GO181,'Jan-2026 rates'!$L:$R,4,0),IF($LB181=40%,VLOOKUP($GO181,'Jan-2026 rates'!$L:$R,5,0),IF($LB181=30%,VLOOKUP($GO181,'Jan-2026 rates'!$L:$R,6,0),IF($LB181=100%,VLOOKUP($GO181,'Jan-2026 rates'!$L:$R,7,0),IF($LB181=60%,VLOOKUP($GO181,'Jan-2026 rates'!$L:$S,8,0),IF($LB181=80%,VLOOKUP($GO181,'Jan-2026 rates'!L:T,9,0),0))))))))</f>
        <v>0</v>
      </c>
      <c r="GU181" s="413" t="s">
        <v>1921</v>
      </c>
      <c r="GV181" s="413"/>
      <c r="GW181" s="412"/>
      <c r="GX181" s="412"/>
      <c r="GY181" s="412"/>
      <c r="GZ181" s="412"/>
      <c r="HA181" s="412"/>
      <c r="HB181" s="412"/>
      <c r="HC181" s="409">
        <v>2</v>
      </c>
      <c r="HD181" s="398">
        <f>IF(HC181=0,0,IF(LEN(GU181)=11,_xlfn.XLOOKUP(GU181,'Dispensed Ink Rates'!C:C,'Dispensed Ink Rates'!CS:CS),VLOOKUP(GU181,'Jan-2026 rates'!$E:$F,2,0)))</f>
        <v>0</v>
      </c>
      <c r="HE181" s="409"/>
      <c r="HF181" s="398">
        <f>IF(HE181=0,0,IF(LEN(GV181)=11,_xlfn.XLOOKUP(GV181,'Dispensed Ink Rates'!C:C,'Dispensed Ink Rates'!CS:CS),VLOOKUP(GV181,'Jan-2026 rates'!$E:$F,2,0)))</f>
        <v>0</v>
      </c>
      <c r="HG181" s="409"/>
      <c r="HH181" s="398">
        <f>IF(HG181=0,0,IF(LEN(GW181)=11,_xlfn.XLOOKUP(GW181,'Dispensed Ink Rates'!C:C,'Dispensed Ink Rates'!CS:CS),VLOOKUP(GW181,'Jan-2026 rates'!$E:$F,2,0)))</f>
        <v>0</v>
      </c>
      <c r="HI181" s="409"/>
      <c r="HJ181" s="398">
        <f>IF(HI181=0,0,IF(LEN(GX181)=11,_xlfn.XLOOKUP(GX181,'Dispensed Ink Rates'!C:C,'Dispensed Ink Rates'!CS:CS),VLOOKUP(GX181,'Jan-2026 rates'!$E:$F,2,0)))</f>
        <v>0</v>
      </c>
      <c r="HK181" s="409"/>
      <c r="HL181" s="398">
        <f>IF(HK181=0,0,IF(LEN(GY181)=11,_xlfn.XLOOKUP(GY181,'Dispensed Ink Rates'!C:C,'Dispensed Ink Rates'!CS:CS),VLOOKUP(GY181,'Jan-2026 rates'!$E:$F,2,0)))</f>
        <v>0</v>
      </c>
      <c r="HM181" s="409"/>
      <c r="HN181" s="398">
        <f>IF(HM181=0,0,IF(LEN(GZ181)=11,_xlfn.XLOOKUP(GZ181,'Dispensed Ink Rates'!C:C,'Dispensed Ink Rates'!CS:CS),VLOOKUP(GZ181,'Jan-2026 rates'!$E:$F,2,0)))</f>
        <v>0</v>
      </c>
      <c r="HO181" s="409"/>
      <c r="HP181" s="398">
        <f>IF(HO181=0,0,IF(LEN(HA181)=11,_xlfn.XLOOKUP(HA181,'Dispensed Ink Rates'!C:C,'Dispensed Ink Rates'!CS:CS),VLOOKUP(HA181,'Jan-2026 rates'!$E:$F,2,0)))</f>
        <v>0</v>
      </c>
      <c r="HQ181" s="409"/>
      <c r="HR181" s="398">
        <f>IF(HQ181=0,0,IF(LEN(HB181)=11,_xlfn.XLOOKUP(HB181,'Dispensed Ink Rates'!C:C,'Dispensed Ink Rates'!CS:CS),VLOOKUP(HB181,'Jan-2026 rates'!$E:$F,2,0)))</f>
        <v>0</v>
      </c>
      <c r="HS181" s="409" t="s">
        <v>1881</v>
      </c>
      <c r="HT181" s="409">
        <v>32</v>
      </c>
      <c r="HU181" s="411">
        <f t="shared" si="121"/>
        <v>0</v>
      </c>
      <c r="HV181" s="411">
        <f t="shared" si="122"/>
        <v>8.6842105263157876</v>
      </c>
      <c r="HW181" s="414">
        <f t="shared" si="123"/>
        <v>0</v>
      </c>
      <c r="HX181" s="405" t="s">
        <v>856</v>
      </c>
      <c r="HY181" s="409" t="s">
        <v>3633</v>
      </c>
      <c r="HZ181" s="420" t="str">
        <f t="shared" si="136"/>
        <v>ToyoLi - WHITE</v>
      </c>
      <c r="IA181" s="409">
        <v>30</v>
      </c>
      <c r="IB181" s="411">
        <f>IF(IA181=0,0,IF($LB181=70%,VLOOKUP($HZ181,'Jan-2026 rates'!$L:$R,4,0),IF($LB181=65%,VLOOKUP($HZ181,'Jan-2026 rates'!$L:$R,4,0),IF($LB181=40%,VLOOKUP($HZ181,'Jan-2026 rates'!$L:$R,5,0),IF($LB181=30%,VLOOKUP($HZ181,'Jan-2026 rates'!$L:$R,6,0),IF($LB181=100%,VLOOKUP($HZ181,'Jan-2026 rates'!$L:$R,7,0),IF($LB181=60%,VLOOKUP($HZ181,'Jan-2026 rates'!$L:$S,8,0),IF($LB181=80%,VLOOKUP($HZ181,'Jan-2026 rates'!L:T,9,0),0))))))))</f>
        <v>0</v>
      </c>
      <c r="IC181" s="412"/>
      <c r="ID181" s="409"/>
      <c r="IE181" s="411">
        <f>IF(ID181=0,0,IF($LB181=70%,VLOOKUP($HZ181,'Jan-2026 rates'!$L:$R,4,0),IF($LB181=65%,VLOOKUP($HZ181,'Jan-2026 rates'!$L:$R,4,0),IF($LB181=40%,VLOOKUP($HZ181,'Jan-2026 rates'!$L:$R,5,0),IF($LB181=30%,VLOOKUP($HZ181,'Jan-2026 rates'!$L:$R,6,0),IF($LB181=100%,VLOOKUP($HZ181,'Jan-2026 rates'!$L:$R,7,0),IF($LB181=60%,VLOOKUP($HZ181,'Jan-2026 rates'!$L:$S,8,0),IF($LB181=80%,VLOOKUP($HZ181,'Jan-2026 rates'!L:T,9,0),0))))))))</f>
        <v>0</v>
      </c>
      <c r="IF181" s="412" t="s">
        <v>1249</v>
      </c>
      <c r="IG181" s="413"/>
      <c r="IH181" s="412"/>
      <c r="II181" s="412"/>
      <c r="IJ181" s="412"/>
      <c r="IK181" s="412"/>
      <c r="IL181" s="412"/>
      <c r="IM181" s="412"/>
      <c r="IN181" s="409">
        <f>20+20</f>
        <v>40</v>
      </c>
      <c r="IO181" s="398">
        <f>IF(IN181=0,0,IF(LEN(IF181)=11,_xlfn.XLOOKUP(IF181,'Dispensed Ink Rates'!C:C,'Dispensed Ink Rates'!CS:CS),VLOOKUP(IF181,'Jan-2026 rates'!$E:$F,2,0)))</f>
        <v>0</v>
      </c>
      <c r="IP181" s="409"/>
      <c r="IQ181" s="398">
        <f>IF(IP181=0,0,IF(LEN(IG181)=11,_xlfn.XLOOKUP(IG181,'Dispensed Ink Rates'!C:C,'Dispensed Ink Rates'!CS:CS),VLOOKUP(IG181,'Jan-2026 rates'!$E:$F,2,0)))</f>
        <v>0</v>
      </c>
      <c r="IR181" s="409"/>
      <c r="IS181" s="398">
        <f>IF(IR181=0,0,IF(LEN(IH181)=11,_xlfn.XLOOKUP(IH181,'Dispensed Ink Rates'!C:C,'Dispensed Ink Rates'!CS:CS),VLOOKUP(IH181,'Jan-2026 rates'!$E:$F,2,0)))</f>
        <v>0</v>
      </c>
      <c r="IT181" s="409"/>
      <c r="IU181" s="398">
        <f>IF(IT181=0,0,IF(LEN(II181)=11,_xlfn.XLOOKUP(II181,'Dispensed Ink Rates'!C:C,'Dispensed Ink Rates'!CS:CS),VLOOKUP(II181,'Jan-2026 rates'!$E:$F,2,0)))</f>
        <v>0</v>
      </c>
      <c r="IV181" s="409"/>
      <c r="IW181" s="398">
        <f>IF(IV181=0,0,IF(LEN(IJ181)=11,_xlfn.XLOOKUP(IJ181,'Dispensed Ink Rates'!C:C,'Dispensed Ink Rates'!CS:CS),VLOOKUP(IJ181,'Jan-2026 rates'!$E:$F,2,0)))</f>
        <v>0</v>
      </c>
      <c r="IX181" s="409"/>
      <c r="IY181" s="398">
        <f>IF(IX181=0,0,IF(LEN(IK181)=11,_xlfn.XLOOKUP(IK181,'Dispensed Ink Rates'!C:C,'Dispensed Ink Rates'!CS:CS),VLOOKUP(IK181,'Jan-2026 rates'!$E:$F,2,0)))</f>
        <v>0</v>
      </c>
      <c r="IZ181" s="409"/>
      <c r="JA181" s="398">
        <f>IF(IZ181=0,0,IF(LEN(IL181)=11,_xlfn.XLOOKUP(IL181,'Dispensed Ink Rates'!C:C,'Dispensed Ink Rates'!CS:CS),VLOOKUP(IL181,'Jan-2026 rates'!$E:$F,2,0)))</f>
        <v>0</v>
      </c>
      <c r="JB181" s="409"/>
      <c r="JC181" s="398">
        <f>IF(JB181=0,0,IF(LEN(IM181)=11,_xlfn.XLOOKUP(IM181,'Dispensed Ink Rates'!C:C,'Dispensed Ink Rates'!CS:CS),VLOOKUP(IM181,'Jan-2026 rates'!$E:$F,2,0)))</f>
        <v>0</v>
      </c>
      <c r="JD181" s="409" t="s">
        <v>1881</v>
      </c>
      <c r="JE181" s="409">
        <v>25</v>
      </c>
      <c r="JF181" s="411">
        <f t="shared" si="124"/>
        <v>0</v>
      </c>
      <c r="JG181" s="411">
        <f t="shared" si="125"/>
        <v>102.89473684210526</v>
      </c>
      <c r="JH181" s="410">
        <f t="shared" si="126"/>
        <v>0</v>
      </c>
      <c r="JI181" s="405" t="s">
        <v>605</v>
      </c>
      <c r="JJ181" s="409" t="s">
        <v>3631</v>
      </c>
      <c r="JK181" s="420" t="str">
        <f t="shared" si="137"/>
        <v>ToyoLi - MATT</v>
      </c>
      <c r="JL181" s="409">
        <v>25</v>
      </c>
      <c r="JM181" s="411">
        <f>IF(JL181=0,0,IF($LB181=70%,VLOOKUP($JK181,'Jan-2026 rates'!$L:$R,4,0),IF($LB181=65%,VLOOKUP($JK181,'Jan-2026 rates'!$L:$R,4,0),IF($LB181=40%,VLOOKUP($JK181,'Jan-2026 rates'!$L:$R,5,0),IF($LB181=30%,VLOOKUP($JK181,'Jan-2026 rates'!$L:$R,6,0),IF($LB181=100%,VLOOKUP($JK181,'Jan-2026 rates'!$L:$R,7,0),IF($LB181=60%,VLOOKUP($JK181,'Jan-2026 rates'!$L:$S,8,0),IF($LB181=80%,VLOOKUP($JK181,'Jan-2026 rates'!L:T,9,0),0))))))))</f>
        <v>0</v>
      </c>
      <c r="JN181" s="412"/>
      <c r="JO181" s="409"/>
      <c r="JP181" s="411">
        <f>IF(JO181=0,0,IF($LB181=70%,VLOOKUP($JK181,'Jan-2026 rates'!$L:$R,4,0),IF($LB181=65%,VLOOKUP($JK181,'Jan-2026 rates'!$L:$R,4,0),IF($LB181=40%,VLOOKUP($JK181,'Jan-2026 rates'!$L:$R,5,0),IF($LB181=30%,VLOOKUP($JK181,'Jan-2026 rates'!$L:$R,6,0),IF($LB181=100%,VLOOKUP($JK181,'Jan-2026 rates'!$L:$R,7,0),IF($LB181=60%,VLOOKUP($JK181,'Jan-2026 rates'!$L:$S,8,0),IF($LB181=80%,VLOOKUP($JK181,'Jan-2026 rates'!L:T,9,0),0))))))))</f>
        <v>0</v>
      </c>
      <c r="JQ181" s="413">
        <v>55</v>
      </c>
      <c r="JR181" s="412" t="s">
        <v>1902</v>
      </c>
      <c r="JS181" s="413"/>
      <c r="JT181" s="413"/>
      <c r="JU181" s="412"/>
      <c r="JV181" s="412"/>
      <c r="JW181" s="412"/>
      <c r="JX181" s="412"/>
      <c r="JY181" s="409">
        <v>20</v>
      </c>
      <c r="JZ181" s="398">
        <f>IF(JY181=0,0,IF(LEN(JQ181)=11,_xlfn.XLOOKUP(JQ181,'Dispensed Ink Rates'!C:C,'Dispensed Ink Rates'!CS:CS),VLOOKUP(JQ181,'Jan-2026 rates'!$E:$F,2,0)))</f>
        <v>0</v>
      </c>
      <c r="KA181" s="409">
        <v>5</v>
      </c>
      <c r="KB181" s="398">
        <f>IF(KA181=0,0,IF(LEN(JR181)=11,_xlfn.XLOOKUP(JR181,'Dispensed Ink Rates'!C:C,'Dispensed Ink Rates'!CS:CS),VLOOKUP(JR181,'Jan-2026 rates'!$E:$F,2,0)))</f>
        <v>0</v>
      </c>
      <c r="KC181" s="409"/>
      <c r="KD181" s="398">
        <f>IF(KC181=0,0,IF(LEN(JS181)=11,_xlfn.XLOOKUP(JS181,'Dispensed Ink Rates'!C:C,'Dispensed Ink Rates'!CS:CS),VLOOKUP(JS181,'Jan-2026 rates'!$E:$F,2,0)))</f>
        <v>0</v>
      </c>
      <c r="KE181" s="409"/>
      <c r="KF181" s="398">
        <f>IF(KE181=0,0,IF(LEN(JT181)=11,_xlfn.XLOOKUP(JT181,'Dispensed Ink Rates'!C:C,'Dispensed Ink Rates'!CS:CS),VLOOKUP(JT181,'Jan-2026 rates'!$E:$F,2,0)))</f>
        <v>0</v>
      </c>
      <c r="KG181" s="409"/>
      <c r="KH181" s="398">
        <f>IF(KG181=0,0,IF(LEN(JU181)=11,_xlfn.XLOOKUP(JU181,'Dispensed Ink Rates'!C:C,'Dispensed Ink Rates'!CS:CS),VLOOKUP(JU181,'Jan-2026 rates'!$E:$F,2,0)))</f>
        <v>0</v>
      </c>
      <c r="KI181" s="409"/>
      <c r="KJ181" s="398">
        <f>IF(KI181=0,0,IF(LEN(JV181)=11,_xlfn.XLOOKUP(JV181,'Dispensed Ink Rates'!C:C,'Dispensed Ink Rates'!CS:CS),VLOOKUP(JV181,'Jan-2026 rates'!$E:$F,2,0)))</f>
        <v>0</v>
      </c>
      <c r="KK181" s="409"/>
      <c r="KL181" s="398">
        <f>IF(KK181=0,0,IF(LEN(JW181)=11,_xlfn.XLOOKUP(JW181,'Dispensed Ink Rates'!C:C,'Dispensed Ink Rates'!CS:CS),VLOOKUP(JW181,'Jan-2026 rates'!$E:$F,2,0)))</f>
        <v>0</v>
      </c>
      <c r="KM181" s="428"/>
      <c r="KN181" s="398">
        <f>IF(KM181=0,0,IF(LEN(JX181)=11,_xlfn.XLOOKUP(JX181,'Dispensed Ink Rates'!C:C,'Dispensed Ink Rates'!CS:CS),VLOOKUP(JX181,'Jan-2026 rates'!$E:$F,2,0)))</f>
        <v>0</v>
      </c>
      <c r="KO181" s="409" t="s">
        <v>1881</v>
      </c>
      <c r="KP181" s="409">
        <v>18</v>
      </c>
      <c r="KQ181" s="411">
        <f t="shared" si="127"/>
        <v>0</v>
      </c>
      <c r="KR181" s="411">
        <f t="shared" si="128"/>
        <v>46.473684210526315</v>
      </c>
      <c r="KS181" s="410">
        <f t="shared" si="129"/>
        <v>0</v>
      </c>
      <c r="KT181" s="409">
        <v>2</v>
      </c>
      <c r="KU181" s="409">
        <v>2</v>
      </c>
      <c r="KV181" s="409">
        <v>0</v>
      </c>
      <c r="KW181" s="409">
        <v>4</v>
      </c>
      <c r="KX181" s="409">
        <v>2</v>
      </c>
      <c r="KY181" s="409">
        <v>3</v>
      </c>
      <c r="KZ181" s="409">
        <f>10+10</f>
        <v>20</v>
      </c>
      <c r="LA181" s="409">
        <v>5</v>
      </c>
      <c r="LB181" s="415">
        <v>0.3</v>
      </c>
      <c r="LC181" s="415"/>
      <c r="LD181" s="415"/>
      <c r="LE181" s="415">
        <v>0.5</v>
      </c>
      <c r="LF181" s="415">
        <v>0.2</v>
      </c>
      <c r="LG181" s="409">
        <v>0</v>
      </c>
      <c r="LH181" s="409">
        <f>25+20+18+30+5+12</f>
        <v>110</v>
      </c>
      <c r="LI181" s="409">
        <v>0</v>
      </c>
      <c r="LJ181" s="409">
        <v>0</v>
      </c>
      <c r="LK181" s="416">
        <f t="shared" si="138"/>
        <v>110</v>
      </c>
      <c r="LL181" s="416">
        <f t="shared" si="139"/>
        <v>110</v>
      </c>
      <c r="LM181" s="417">
        <f t="shared" si="140"/>
        <v>33</v>
      </c>
      <c r="LN181" s="417">
        <f>VLOOKUP($LM$8,'Jan-2026 rates'!$H:$I,2,0)</f>
        <v>0</v>
      </c>
      <c r="LO181" s="417">
        <f t="shared" si="141"/>
        <v>0</v>
      </c>
      <c r="LP181" s="417">
        <f>VLOOKUP($LO$8,'Jan-2026 rates'!$H:$I,2,0)</f>
        <v>0</v>
      </c>
      <c r="LQ181" s="417">
        <f t="shared" si="142"/>
        <v>0</v>
      </c>
      <c r="LR181" s="417">
        <f>VLOOKUP($LQ$8,'Jan-2026 rates'!$H:$I,2,0)</f>
        <v>0</v>
      </c>
      <c r="LS181" s="417">
        <f t="shared" si="143"/>
        <v>55</v>
      </c>
      <c r="LT181" s="417">
        <f>VLOOKUP($LS$8,'Jan-2026 rates'!$H:$I,2,0)</f>
        <v>0</v>
      </c>
      <c r="LU181" s="417">
        <f t="shared" si="144"/>
        <v>22</v>
      </c>
      <c r="LV181" s="417">
        <f>VLOOKUP($LU$8,'Jan-2026 rates'!$H:$I,2,0)</f>
        <v>0</v>
      </c>
      <c r="LW181" s="417">
        <f t="shared" si="145"/>
        <v>0</v>
      </c>
      <c r="LX181" s="417">
        <f t="shared" si="146"/>
        <v>0</v>
      </c>
      <c r="LY181" s="418">
        <f t="shared" si="147"/>
        <v>0</v>
      </c>
      <c r="LZ181" s="417"/>
      <c r="MA181" s="435">
        <f t="shared" si="148"/>
        <v>82.5</v>
      </c>
      <c r="MB181" s="282">
        <f t="shared" si="149"/>
        <v>204.5</v>
      </c>
      <c r="MC181" s="283" t="s">
        <v>2016</v>
      </c>
      <c r="MD181" s="284" t="str">
        <f t="shared" si="150"/>
        <v>ToyoLiToyoLiToyoLiToyoLiToyoLiToyoLiToyoLiToyoLi</v>
      </c>
      <c r="ME181" s="293" t="str">
        <f t="shared" si="151"/>
        <v>+</v>
      </c>
      <c r="MF181" s="293" t="str">
        <f t="shared" si="152"/>
        <v>+</v>
      </c>
      <c r="MG181" s="293" t="str">
        <f t="shared" si="153"/>
        <v>+</v>
      </c>
      <c r="MH181" s="293" t="str">
        <f t="shared" si="154"/>
        <v>+</v>
      </c>
      <c r="MI181" s="293" t="str">
        <f t="shared" si="155"/>
        <v>+</v>
      </c>
      <c r="MJ181" s="293" t="str">
        <f t="shared" si="156"/>
        <v>+</v>
      </c>
      <c r="MK181" s="293" t="str">
        <f t="shared" si="157"/>
        <v>+</v>
      </c>
      <c r="ML181" s="293" t="str">
        <f t="shared" si="158"/>
        <v>+</v>
      </c>
      <c r="MM181" s="3" t="b">
        <f t="array" ref="MM181">OR(ME181:ML181="-")</f>
        <v>0</v>
      </c>
      <c r="MN181" s="285"/>
      <c r="MO181" s="401"/>
      <c r="MP181" s="286"/>
      <c r="MQ181" s="286"/>
      <c r="MR181" s="402"/>
      <c r="MS181" s="400"/>
      <c r="NH181" s="422"/>
      <c r="NJ181" s="421"/>
    </row>
    <row r="182" spans="1:374" s="1" customFormat="1" ht="16.5">
      <c r="A182" s="403">
        <v>46036</v>
      </c>
      <c r="B182" s="404" t="s">
        <v>1015</v>
      </c>
      <c r="C182" s="405" t="s">
        <v>3634</v>
      </c>
      <c r="D182" s="406" t="s">
        <v>2017</v>
      </c>
      <c r="E182" s="404">
        <v>78</v>
      </c>
      <c r="F182" s="407">
        <v>5800</v>
      </c>
      <c r="G182" s="407" t="s">
        <v>1016</v>
      </c>
      <c r="H182" s="408" t="s">
        <v>1017</v>
      </c>
      <c r="I182" s="409">
        <f>1.7+1</f>
        <v>2.7</v>
      </c>
      <c r="J182" s="405" t="s">
        <v>543</v>
      </c>
      <c r="K182" s="404" t="s">
        <v>3635</v>
      </c>
      <c r="L182" s="419" t="str">
        <f t="shared" si="131"/>
        <v>ToyoLi - BLACK</v>
      </c>
      <c r="M182" s="404">
        <v>30</v>
      </c>
      <c r="N182" s="410">
        <f>IF(M182=0,0,IF($LB182=70%,VLOOKUP($L182,'Jan-2026 rates'!$L:$R,4,0),IF($LB182=65%,VLOOKUP($L182,'Jan-2026 rates'!$L:$R,4,0),IF($LB182=40%,VLOOKUP($L182,'Jan-2026 rates'!$L:$R,5,0),IF($LB182=30%,VLOOKUP($L182,'Jan-2026 rates'!$L:$R,6,0),IF($LB182=100%,VLOOKUP($L182,'Jan-2026 rates'!$L:$R,7,0),IF($LB182=60%,VLOOKUP($L182,'Jan-2026 rates'!$L:$S,8,0),IF($LB182=80%,VLOOKUP($L182,'Jan-2026 rates'!L:T,9,0),0))))))))</f>
        <v>0</v>
      </c>
      <c r="O182" s="406"/>
      <c r="P182" s="404"/>
      <c r="Q182" s="410">
        <f>IF(P182=0,0,IF($LB182=70%,VLOOKUP($L182,'Jan-2026 rates'!$L:$R,4,0),IF($LB182=65%,VLOOKUP($L182,'Jan-2026 rates'!$L:$R,4,0),IF($LB182=40%,VLOOKUP($L182,'Jan-2026 rates'!$L:$R,5,0),IF($LB182=30%,VLOOKUP($L182,'Jan-2026 rates'!$L:$R,6,0),IF($LB182=100%,VLOOKUP($L182,'Jan-2026 rates'!$L:$R,7,0),IF($LB182=60%,VLOOKUP($L182,'Jan-2026 rates'!$L:$S,8,0),IF($LB182=80%,VLOOKUP($L182,'Jan-2026 rates'!L:T,9,0),0))))))))</f>
        <v>0</v>
      </c>
      <c r="R182" s="406" t="s">
        <v>1252</v>
      </c>
      <c r="S182" s="406"/>
      <c r="T182" s="406"/>
      <c r="U182" s="406"/>
      <c r="V182" s="406"/>
      <c r="W182" s="406"/>
      <c r="X182" s="406"/>
      <c r="Y182" s="406"/>
      <c r="Z182" s="404">
        <v>2</v>
      </c>
      <c r="AA182" s="398">
        <f>IF(Z182=0,0,IF(LEN(R182)=11,_xlfn.XLOOKUP(R182,'Dispensed Ink Rates'!C:C,'Dispensed Ink Rates'!CS:CS),VLOOKUP(R182,'Jan-2026 rates'!$E:$F,2,0)))</f>
        <v>0</v>
      </c>
      <c r="AB182" s="404"/>
      <c r="AC182" s="398">
        <f>IF(AB182=0,0,IF(LEN(S182)=11,_xlfn.XLOOKUP(S182,'Dispensed Ink Rates'!C:C,'Dispensed Ink Rates'!CS:CS),VLOOKUP(S182,'Jan-2026 rates'!$E:$F,2,0)))</f>
        <v>0</v>
      </c>
      <c r="AD182" s="404"/>
      <c r="AE182" s="398">
        <f>IF(AD182=0,0,IF(LEN(T182)=11,_xlfn.XLOOKUP(T182,'Dispensed Ink Rates'!C:C,'Dispensed Ink Rates'!CS:CS),VLOOKUP(T182,'Jan-2026 rates'!$E:$F,2,0)))</f>
        <v>0</v>
      </c>
      <c r="AF182" s="404"/>
      <c r="AG182" s="398">
        <f>IF(AF182=0,0,IF(LEN(U182)=11,_xlfn.XLOOKUP(U182,'Dispensed Ink Rates'!C:C,'Dispensed Ink Rates'!CS:CS),VLOOKUP(U182,'Jan-2026 rates'!$E:$F,2,0)))</f>
        <v>0</v>
      </c>
      <c r="AH182" s="404"/>
      <c r="AI182" s="398">
        <f>IF(AH182=0,0,IF(LEN(V182)=11,_xlfn.XLOOKUP(V182,'Dispensed Ink Rates'!C:C,'Dispensed Ink Rates'!CS:CS),VLOOKUP(V182,'Jan-2026 rates'!$E:$F,2,0)))</f>
        <v>0</v>
      </c>
      <c r="AJ182" s="404"/>
      <c r="AK182" s="398">
        <f>IF(AJ182=0,0,IF(LEN(W182)=11,_xlfn.XLOOKUP(W182,'Dispensed Ink Rates'!C:C,'Dispensed Ink Rates'!CS:CS),VLOOKUP(W182,'Jan-2026 rates'!$E:$F,2,0)))</f>
        <v>0</v>
      </c>
      <c r="AL182" s="404"/>
      <c r="AM182" s="398">
        <f>IF(AL182=0,0,IF(LEN(X182)=11,_xlfn.XLOOKUP(X182,'Dispensed Ink Rates'!C:C,'Dispensed Ink Rates'!CS:CS),VLOOKUP(X182,'Jan-2026 rates'!$E:$F,2,0)))</f>
        <v>0</v>
      </c>
      <c r="AN182" s="404"/>
      <c r="AO182" s="398">
        <f>IF(AN182=0,0,IF(LEN(Y182)=11,_xlfn.XLOOKUP(Y182,'Dispensed Ink Rates'!C:C,'Dispensed Ink Rates'!CS:CS),VLOOKUP(Y182,'Jan-2026 rates'!$E:$F,2,0)))</f>
        <v>0</v>
      </c>
      <c r="AP182" s="409" t="s">
        <v>1881</v>
      </c>
      <c r="AQ182" s="409">
        <v>28</v>
      </c>
      <c r="AR182" s="410">
        <f t="shared" si="106"/>
        <v>0</v>
      </c>
      <c r="AS182" s="411">
        <f t="shared" si="107"/>
        <v>4</v>
      </c>
      <c r="AT182" s="410">
        <f t="shared" si="108"/>
        <v>0</v>
      </c>
      <c r="AU182" s="405" t="s">
        <v>543</v>
      </c>
      <c r="AV182" s="409" t="s">
        <v>3636</v>
      </c>
      <c r="AW182" s="420" t="str">
        <f t="shared" si="130"/>
        <v>ToyoLi - BLACK</v>
      </c>
      <c r="AX182" s="409">
        <v>26</v>
      </c>
      <c r="AY182" s="411">
        <f>IF(AX182=0,0,IF($LB182=70%,VLOOKUP($AW182,'Jan-2026 rates'!$L:$R,4,0),IF($LB182=65%,VLOOKUP($AW182,'Jan-2026 rates'!$L:$R,4,0),IF($LB182=40%,VLOOKUP($AW182,'Jan-2026 rates'!$L:$R,5,0),IF($LB182=30%,VLOOKUP($AW182,'Jan-2026 rates'!$L:$R,6,0),IF($LB182=100%,VLOOKUP($AW182,'Jan-2026 rates'!$L:$R,7,0),IF($LB182=60%,VLOOKUP($AW182,'Jan-2026 rates'!$L:$S,8,0),IF($LB182=80%,VLOOKUP($AW182,'Jan-2026 rates'!L:T,9,0),0))))))))</f>
        <v>0</v>
      </c>
      <c r="AZ182" s="412"/>
      <c r="BA182" s="409"/>
      <c r="BB182" s="411">
        <f>IF(BA182=0,0,IF($LB182=70%,VLOOKUP($AW182,'Jan-2026 rates'!$L:$R,4,0),IF($LB182=65%,VLOOKUP($AW182,'Jan-2026 rates'!$L:$R,4,0),IF($LB182=40%,VLOOKUP($AW182,'Jan-2026 rates'!$L:$R,5,0),IF($LB182=30%,VLOOKUP($AW182,'Jan-2026 rates'!$L:$R,6,0),IF($LB182=100%,VLOOKUP($AW182,'Jan-2026 rates'!$L:$R,7,0),IF($LB182=60%,VLOOKUP($AW182,'Jan-2026 rates'!$L:$S,8,0),IF($LB182=80%,VLOOKUP($AW182,'Jan-2026 rates'!L:T,9,0),0))))))))</f>
        <v>0</v>
      </c>
      <c r="BC182" s="413" t="s">
        <v>1252</v>
      </c>
      <c r="BD182" s="412" t="s">
        <v>1921</v>
      </c>
      <c r="BE182" s="412"/>
      <c r="BF182" s="413"/>
      <c r="BG182" s="412"/>
      <c r="BH182" s="412"/>
      <c r="BI182" s="412"/>
      <c r="BJ182" s="412"/>
      <c r="BK182" s="409">
        <v>2</v>
      </c>
      <c r="BL182" s="398">
        <f>IF(BK182=0,0,IF(LEN(BC182)=11,_xlfn.XLOOKUP(BC182,'Dispensed Ink Rates'!C:C,'Dispensed Ink Rates'!CS:CS),VLOOKUP(BC182,'Jan-2026 rates'!$E:$F,2,0)))</f>
        <v>0</v>
      </c>
      <c r="BM182" s="409">
        <v>5</v>
      </c>
      <c r="BN182" s="398">
        <f>IF(BM182=0,0,IF(LEN(BD182)=11,_xlfn.XLOOKUP(BD182,'Dispensed Ink Rates'!C:C,'Dispensed Ink Rates'!CS:CS),VLOOKUP(BD182,'Jan-2026 rates'!$E:$F,2,0)))</f>
        <v>0</v>
      </c>
      <c r="BO182" s="409"/>
      <c r="BP182" s="398">
        <f>IF(BO182=0,0,IF(LEN(BE182)=11,_xlfn.XLOOKUP(BE182,'Dispensed Ink Rates'!C:C,'Dispensed Ink Rates'!CS:CS),VLOOKUP(BE182,'Jan-2026 rates'!$E:$F,2,0)))</f>
        <v>0</v>
      </c>
      <c r="BQ182" s="409"/>
      <c r="BR182" s="398">
        <f>IF(BQ182=0,0,IF(LEN(BF182)=11,_xlfn.XLOOKUP(BF182,'Dispensed Ink Rates'!C:C,'Dispensed Ink Rates'!CS:CS),VLOOKUP(BF182,'Jan-2026 rates'!$E:$F,2,0)))</f>
        <v>0</v>
      </c>
      <c r="BS182" s="409"/>
      <c r="BT182" s="398">
        <f>IF(BS182=0,0,IF(LEN(BG182)=11,_xlfn.XLOOKUP(BG182,'Dispensed Ink Rates'!C:C,'Dispensed Ink Rates'!CS:CS),VLOOKUP(BG182,'Jan-2026 rates'!$E:$F,2,0)))</f>
        <v>0</v>
      </c>
      <c r="BU182" s="409"/>
      <c r="BV182" s="398">
        <f>IF(BU182=0,0,IF(LEN(BH182)=11,_xlfn.XLOOKUP(BH182,'Dispensed Ink Rates'!C:C,'Dispensed Ink Rates'!CS:CS),VLOOKUP(BH182,'Jan-2026 rates'!$E:$F,2,0)))</f>
        <v>0</v>
      </c>
      <c r="BW182" s="409"/>
      <c r="BX182" s="398">
        <f>IF(BW182=0,0,IF(LEN(BI182)=11,_xlfn.XLOOKUP(BI182,'Dispensed Ink Rates'!C:C,'Dispensed Ink Rates'!CS:CS),VLOOKUP(BI182,'Jan-2026 rates'!$E:$F,2,0)))</f>
        <v>0</v>
      </c>
      <c r="BY182" s="409"/>
      <c r="BZ182" s="398">
        <f>IF(BY182=0,0,IF(LEN(BJ182)=11,_xlfn.XLOOKUP(BJ182,'Dispensed Ink Rates'!C:C,'Dispensed Ink Rates'!CS:CS),VLOOKUP(BJ182,'Jan-2026 rates'!$E:$F,2,0)))</f>
        <v>0</v>
      </c>
      <c r="CA182" s="409" t="s">
        <v>1881</v>
      </c>
      <c r="CB182" s="409">
        <f>20+5</f>
        <v>25</v>
      </c>
      <c r="CC182" s="411">
        <f t="shared" si="109"/>
        <v>0</v>
      </c>
      <c r="CD182" s="411">
        <f t="shared" si="110"/>
        <v>22.307692307692307</v>
      </c>
      <c r="CE182" s="410">
        <f t="shared" si="111"/>
        <v>0</v>
      </c>
      <c r="CF182" s="404" t="s">
        <v>856</v>
      </c>
      <c r="CG182" s="409" t="s">
        <v>3637</v>
      </c>
      <c r="CH182" s="420" t="str">
        <f t="shared" si="132"/>
        <v>ToyoLi - WHITE</v>
      </c>
      <c r="CI182" s="409">
        <v>25</v>
      </c>
      <c r="CJ182" s="411">
        <f>IF(CI182=0,0,IF($LB182=70%,VLOOKUP($CH182,'Jan-2026 rates'!$L:$R,4,0),IF($LB182=65%,VLOOKUP($CH182,'Jan-2026 rates'!$L:$R,4,0),IF($LB182=40%,VLOOKUP($CH182,'Jan-2026 rates'!$L:$R,5,0),IF($LB182=30%,VLOOKUP($CH182,'Jan-2026 rates'!$L:$R,6,0),IF($LB182=100%,VLOOKUP($CH182,'Jan-2026 rates'!$L:$R,7,0),IF($LB182=60%,VLOOKUP($CH182,'Jan-2026 rates'!$L:$S,8,0),IF($LB182=80%,VLOOKUP($CH182,'Jan-2026 rates'!L:T,9,0),0))))))))</f>
        <v>0</v>
      </c>
      <c r="CK182" s="412"/>
      <c r="CL182" s="409"/>
      <c r="CM182" s="411">
        <f>IF(CL182=0,0,IF($LB182=70%,VLOOKUP($CH182,'Jan-2026 rates'!$L:$R,4,0),IF($LB182=65%,VLOOKUP($CH182,'Jan-2026 rates'!$L:$R,4,0),IF($LB182=40%,VLOOKUP($CH182,'Jan-2026 rates'!$L:$R,5,0),IF($LB182=30%,VLOOKUP($CH182,'Jan-2026 rates'!$L:$R,6,0),IF($LB182=100%,VLOOKUP($CH182,'Jan-2026 rates'!$L:$R,7,0),IF($LB182=60%,VLOOKUP($CH182,'Jan-2026 rates'!$L:$S,8,0),IF($LB182=80%,VLOOKUP($CH182,'Jan-2026 rates'!L:T,9,0),0))))))))</f>
        <v>0</v>
      </c>
      <c r="CN182" s="426" t="s">
        <v>1249</v>
      </c>
      <c r="CO182" s="427"/>
      <c r="CP182" s="426"/>
      <c r="CQ182" s="426"/>
      <c r="CR182" s="428"/>
      <c r="CS182" s="428"/>
      <c r="CT182" s="428"/>
      <c r="CU182" s="428"/>
      <c r="CV182" s="409">
        <v>15</v>
      </c>
      <c r="CW182" s="398">
        <f>IF(CV182=0,0,IF(LEN(CN182)=11,_xlfn.XLOOKUP(CN182,'Dispensed Ink Rates'!C:C,'Dispensed Ink Rates'!CS:CS),VLOOKUP(CN182,'Jan-2026 rates'!$E:$F,2,0)))</f>
        <v>0</v>
      </c>
      <c r="CX182" s="409"/>
      <c r="CY182" s="398">
        <f>IF(CX182=0,0,IF(LEN(CO182)=11,_xlfn.XLOOKUP(CO182,'Dispensed Ink Rates'!C:C,'Dispensed Ink Rates'!CS:CS),VLOOKUP(CO182,'Jan-2026 rates'!$E:$F,2,0)))</f>
        <v>0</v>
      </c>
      <c r="CZ182" s="409"/>
      <c r="DA182" s="398">
        <f>IF(CZ182=0,0,IF(LEN(CP182)=11,_xlfn.XLOOKUP(CP182,'Dispensed Ink Rates'!C:C,'Dispensed Ink Rates'!CS:CS),VLOOKUP(CP182,'Jan-2026 rates'!$E:$F,2,0)))</f>
        <v>0</v>
      </c>
      <c r="DB182" s="409"/>
      <c r="DC182" s="398">
        <f>IF(DB182=0,0,IF(LEN(CQ182)=11,_xlfn.XLOOKUP(CQ182,'Dispensed Ink Rates'!C:C,'Dispensed Ink Rates'!CS:CS),VLOOKUP(CQ182,'Jan-2026 rates'!$E:$F,2,0)))</f>
        <v>0</v>
      </c>
      <c r="DD182" s="409"/>
      <c r="DE182" s="398">
        <f>IF(DD182=0,0,IF(LEN(CR182)=11,_xlfn.XLOOKUP(CR182,'Dispensed Ink Rates'!C:C,'Dispensed Ink Rates'!CS:CS),VLOOKUP(CR182,'Jan-2026 rates'!$E:$F,2,0)))</f>
        <v>0</v>
      </c>
      <c r="DF182" s="409"/>
      <c r="DG182" s="398">
        <f>IF(DF182=0,0,IF(LEN(CS182)=11,_xlfn.XLOOKUP(CS182,'Dispensed Ink Rates'!C:C,'Dispensed Ink Rates'!CS:CS),VLOOKUP(CS182,'Jan-2026 rates'!$E:$F,2,0)))</f>
        <v>0</v>
      </c>
      <c r="DH182" s="409"/>
      <c r="DI182" s="398">
        <f>IF(DH182=0,0,IF(LEN(CT182)=11,_xlfn.XLOOKUP(CT182,'Dispensed Ink Rates'!C:C,'Dispensed Ink Rates'!CS:CS),VLOOKUP(CT182,'Jan-2026 rates'!$E:$F,2,0)))</f>
        <v>0</v>
      </c>
      <c r="DJ182" s="409"/>
      <c r="DK182" s="398">
        <f>IF(DJ182=0,0,IF(LEN(CU182)=11,_xlfn.XLOOKUP(CU182,'Dispensed Ink Rates'!C:C,'Dispensed Ink Rates'!CS:CS),VLOOKUP(CU182,'Jan-2026 rates'!$E:$F,2,0)))</f>
        <v>0</v>
      </c>
      <c r="DL182" s="409" t="s">
        <v>1881</v>
      </c>
      <c r="DM182" s="409">
        <v>20</v>
      </c>
      <c r="DN182" s="411">
        <f t="shared" si="112"/>
        <v>0</v>
      </c>
      <c r="DO182" s="411">
        <f t="shared" si="113"/>
        <v>43.846153846153847</v>
      </c>
      <c r="DP182" s="410">
        <f t="shared" si="114"/>
        <v>0</v>
      </c>
      <c r="DQ182" s="405" t="s">
        <v>605</v>
      </c>
      <c r="DR182" s="409" t="s">
        <v>3638</v>
      </c>
      <c r="DS182" s="420" t="str">
        <f t="shared" si="133"/>
        <v>ToyoLi - MATT</v>
      </c>
      <c r="DT182" s="409">
        <v>18</v>
      </c>
      <c r="DU182" s="411">
        <f>IF(DT182=0,0,IF($LB182=70%,VLOOKUP($DS182,'Jan-2026 rates'!$L:$R,4,0),IF($LB182=65%,VLOOKUP($DS182,'Jan-2026 rates'!$L:$R,4,0),IF($LB182=40%,VLOOKUP($DS182,'Jan-2026 rates'!$L:$R,5,0),IF($LB182=30%,VLOOKUP($DS182,'Jan-2026 rates'!$L:$R,6,0),IF($LB182=100%,VLOOKUP($DS182,'Jan-2026 rates'!$L:$R,7,0),IF($LB182=60%,VLOOKUP($DS182,'Jan-2026 rates'!$L:$S,8,0),IF($LB182=80%,VLOOKUP($DS182,'Jan-2026 rates'!L:T,9,0),0))))))))</f>
        <v>0</v>
      </c>
      <c r="DV182" s="412"/>
      <c r="DW182" s="409"/>
      <c r="DX182" s="411">
        <f>IF(DW182=0,0,IF($LB182=70%,VLOOKUP($DS182,'Jan-2026 rates'!$L:$R,4,0),IF($LB182=65%,VLOOKUP($DS182,'Jan-2026 rates'!$L:$R,4,0),IF($LB182=40%,VLOOKUP($DS182,'Jan-2026 rates'!$L:$R,5,0),IF($LB182=30%,VLOOKUP($DS182,'Jan-2026 rates'!$L:$R,6,0),IF($LB182=100%,VLOOKUP($DS182,'Jan-2026 rates'!$L:$R,7,0),IF($LB182=60%,VLOOKUP($DS182,'Jan-2026 rates'!$L:$S,8,0),IF($LB182=80%,VLOOKUP($DS182,'Jan-2026 rates'!L:T,9,0),0))))))))</f>
        <v>0</v>
      </c>
      <c r="DY182" s="413">
        <v>55</v>
      </c>
      <c r="DZ182" s="413" t="s">
        <v>1902</v>
      </c>
      <c r="EA182" s="412"/>
      <c r="EB182" s="412"/>
      <c r="EC182" s="412"/>
      <c r="ED182" s="412"/>
      <c r="EE182" s="412"/>
      <c r="EF182" s="412"/>
      <c r="EG182" s="409">
        <v>20</v>
      </c>
      <c r="EH182" s="398">
        <f>IF(EG182=0,0,IF(LEN(DY182)=11,_xlfn.XLOOKUP(DY182,'Dispensed Ink Rates'!C:C,'Dispensed Ink Rates'!CS:CS),VLOOKUP(DY182,'Jan-2026 rates'!$E:$F,2,0)))</f>
        <v>0</v>
      </c>
      <c r="EI182" s="409">
        <v>5</v>
      </c>
      <c r="EJ182" s="398">
        <f>IF(EI182=0,0,IF(LEN(DZ182)=11,_xlfn.XLOOKUP(DZ182,'Dispensed Ink Rates'!C:C,'Dispensed Ink Rates'!CS:CS),VLOOKUP(DZ182,'Jan-2026 rates'!$E:$F,2,0)))</f>
        <v>0</v>
      </c>
      <c r="EK182" s="409"/>
      <c r="EL182" s="398">
        <f>IF(EK182=0,0,IF(LEN(EA182)=11,_xlfn.XLOOKUP(EA182,'Dispensed Ink Rates'!C:C,'Dispensed Ink Rates'!CS:CS),VLOOKUP(EA182,'Jan-2026 rates'!$E:$F,2,0)))</f>
        <v>0</v>
      </c>
      <c r="EM182" s="409"/>
      <c r="EN182" s="398">
        <f>IF(EM182=0,0,IF(LEN(EB182)=11,_xlfn.XLOOKUP(EB182,'Dispensed Ink Rates'!C:C,'Dispensed Ink Rates'!CS:CS),VLOOKUP(EB182,'Jan-2026 rates'!$E:$F,2,0)))</f>
        <v>0</v>
      </c>
      <c r="EO182" s="409"/>
      <c r="EP182" s="398">
        <f>IF(EO182=0,0,IF(LEN(EC182)=11,_xlfn.XLOOKUP(EC182,'Dispensed Ink Rates'!C:C,'Dispensed Ink Rates'!CS:CS),VLOOKUP(EC182,'Jan-2026 rates'!$E:$F,2,0)))</f>
        <v>0</v>
      </c>
      <c r="EQ182" s="409"/>
      <c r="ER182" s="398">
        <f>IF(EQ182=0,0,IF(LEN(ED182)=11,_xlfn.XLOOKUP(ED182,'Dispensed Ink Rates'!C:C,'Dispensed Ink Rates'!CS:CS),VLOOKUP(ED182,'Jan-2026 rates'!$E:$F,2,0)))</f>
        <v>0</v>
      </c>
      <c r="ES182" s="409"/>
      <c r="ET182" s="398">
        <f>IF(ES182=0,0,IF(LEN(EE182)=11,_xlfn.XLOOKUP(EE182,'Dispensed Ink Rates'!C:C,'Dispensed Ink Rates'!CS:CS),VLOOKUP(EE182,'Jan-2026 rates'!$E:$F,2,0)))</f>
        <v>0</v>
      </c>
      <c r="EU182" s="409"/>
      <c r="EV182" s="398">
        <f>IF(EU182=0,0,IF(LEN(EF182)=11,_xlfn.XLOOKUP(EF182,'Dispensed Ink Rates'!C:C,'Dispensed Ink Rates'!CS:CS),VLOOKUP(EF182,'Jan-2026 rates'!$E:$F,2,0)))</f>
        <v>0</v>
      </c>
      <c r="EW182" s="409" t="s">
        <v>1881</v>
      </c>
      <c r="EX182" s="409">
        <v>15</v>
      </c>
      <c r="EY182" s="411">
        <f t="shared" si="115"/>
        <v>0</v>
      </c>
      <c r="EZ182" s="411">
        <f t="shared" si="116"/>
        <v>51.84615384615384</v>
      </c>
      <c r="FA182" s="410">
        <f t="shared" si="117"/>
        <v>0</v>
      </c>
      <c r="FB182" s="405"/>
      <c r="FC182" s="409"/>
      <c r="FD182" s="420" t="str">
        <f t="shared" si="134"/>
        <v xml:space="preserve"> - </v>
      </c>
      <c r="FE182" s="409"/>
      <c r="FF182" s="411">
        <f>IF(FE182=0,0,IF($LB182=70%,VLOOKUP($FD182,'Jan-2026 rates'!$L:$R,4,0),IF($LB182=65%,VLOOKUP($FD182,'Jan-2026 rates'!$L:$R,4,0),IF($LB182=40%,VLOOKUP($FD182,'Jan-2026 rates'!$L:$R,5,0),IF($LB182=30%,VLOOKUP($FD182,'Jan-2026 rates'!$L:$R,6,0),IF($LB182=100%,VLOOKUP($FD182,'Jan-2026 rates'!$L:$R,7,0),IF($LB182=60%,VLOOKUP($FD182,'Jan-2026 rates'!$L:$S,8,0),IF($LB182=80%,VLOOKUP($FD182,'Jan-2026 rates'!L:T,9,0),0))))))))</f>
        <v>0</v>
      </c>
      <c r="FG182" s="412"/>
      <c r="FH182" s="409"/>
      <c r="FI182" s="411">
        <f>IF(FH182=0,0,IF($LB182=70%,VLOOKUP($FD182,'Jan-2026 rates'!$L:$R,4,0),IF($LB182=65%,VLOOKUP($FD182,'Jan-2026 rates'!$L:$R,4,0),IF($LB182=40%,VLOOKUP($FD182,'Jan-2026 rates'!$L:$R,5,0),IF($LB182=30%,VLOOKUP($FD182,'Jan-2026 rates'!$L:$R,6,0),IF($LB182=100%,VLOOKUP($FD182,'Jan-2026 rates'!$L:$R,7,0),IF($LB182=60%,VLOOKUP($FD182,'Jan-2026 rates'!$L:$S,8,0),IF($LB182=80%,VLOOKUP($FD182,'Jan-2026 rates'!L:T,9,0),0))))))))</f>
        <v>0</v>
      </c>
      <c r="FJ182" s="413"/>
      <c r="FK182" s="413"/>
      <c r="FL182" s="413"/>
      <c r="FM182" s="412"/>
      <c r="FN182" s="412"/>
      <c r="FO182" s="412"/>
      <c r="FP182" s="412"/>
      <c r="FQ182" s="412"/>
      <c r="FR182" s="409"/>
      <c r="FS182" s="398">
        <f>IF(FR182=0,0,IF(LEN(FJ182)=11,_xlfn.XLOOKUP(FJ182,'Dispensed Ink Rates'!C:C,'Dispensed Ink Rates'!CS:CS),VLOOKUP(FJ182,'Jan-2026 rates'!$E:$F,2,0)))</f>
        <v>0</v>
      </c>
      <c r="FT182" s="409"/>
      <c r="FU182" s="398">
        <f>IF(FT182=0,0,IF(LEN(FK182)=11,_xlfn.XLOOKUP(FK182,'Dispensed Ink Rates'!C:C,'Dispensed Ink Rates'!CS:CS),VLOOKUP(FK182,'Jan-2026 rates'!$E:$F,2,0)))</f>
        <v>0</v>
      </c>
      <c r="FV182" s="409"/>
      <c r="FW182" s="398">
        <f>IF(FV182=0,0,IF(LEN(FL182)=11,_xlfn.XLOOKUP(FL182,'Dispensed Ink Rates'!C:C,'Dispensed Ink Rates'!CS:CS),VLOOKUP(FL182,'Jan-2026 rates'!$E:$F,2,0)))</f>
        <v>0</v>
      </c>
      <c r="FX182" s="409"/>
      <c r="FY182" s="398">
        <f>IF(FX182=0,0,IF(LEN(FM182)=11,_xlfn.XLOOKUP(FM182,'Dispensed Ink Rates'!C:C,'Dispensed Ink Rates'!CS:CS),VLOOKUP(FM182,'Jan-2026 rates'!$E:$F,2,0)))</f>
        <v>0</v>
      </c>
      <c r="FZ182" s="409"/>
      <c r="GA182" s="398">
        <f>IF(FZ182=0,0,IF(LEN(FN182)=11,_xlfn.XLOOKUP(FN182,'Dispensed Ink Rates'!C:C,'Dispensed Ink Rates'!CS:CS),VLOOKUP(FN182,'Jan-2026 rates'!$E:$F,2,0)))</f>
        <v>0</v>
      </c>
      <c r="GB182" s="409"/>
      <c r="GC182" s="398">
        <f>IF(GB182=0,0,IF(LEN(FO182)=11,_xlfn.XLOOKUP(FO182,'Dispensed Ink Rates'!C:C,'Dispensed Ink Rates'!CS:CS),VLOOKUP(FO182,'Jan-2026 rates'!$E:$F,2,0)))</f>
        <v>0</v>
      </c>
      <c r="GD182" s="409"/>
      <c r="GE182" s="398">
        <f>IF(GD182=0,0,IF(LEN(FP182)=11,_xlfn.XLOOKUP(FP182,'Dispensed Ink Rates'!C:C,'Dispensed Ink Rates'!CS:CS),VLOOKUP(FP182,'Jan-2026 rates'!$E:$F,2,0)))</f>
        <v>0</v>
      </c>
      <c r="GF182" s="409"/>
      <c r="GG182" s="398">
        <f>IF(GF182=0,0,IF(LEN(FQ182)=11,_xlfn.XLOOKUP(FQ182,'Dispensed Ink Rates'!C:C,'Dispensed Ink Rates'!CS:CS),VLOOKUP(FQ182,'Jan-2026 rates'!$E:$F,2,0)))</f>
        <v>0</v>
      </c>
      <c r="GH182" s="409"/>
      <c r="GI182" s="409"/>
      <c r="GJ182" s="411">
        <f t="shared" si="118"/>
        <v>0</v>
      </c>
      <c r="GK182" s="411">
        <f t="shared" si="119"/>
        <v>0</v>
      </c>
      <c r="GL182" s="410">
        <f t="shared" si="120"/>
        <v>0</v>
      </c>
      <c r="GM182" s="405"/>
      <c r="GN182" s="409"/>
      <c r="GO182" s="420" t="str">
        <f t="shared" si="135"/>
        <v xml:space="preserve"> - </v>
      </c>
      <c r="GP182" s="409"/>
      <c r="GQ182" s="411">
        <f>IF(GP182=0,0,IF($LB182=70%,VLOOKUP($GO182,'Jan-2026 rates'!$L:$R,4,0),IF($LB182=65%,VLOOKUP($GO182,'Jan-2026 rates'!$L:$R,4,0),IF($LB182=40%,VLOOKUP($GO182,'Jan-2026 rates'!$L:$R,5,0),IF($LB182=30%,VLOOKUP($GO182,'Jan-2026 rates'!$L:$R,6,0),IF($LB182=100%,VLOOKUP($GO182,'Jan-2026 rates'!$L:$R,7,0),IF($LB182=60%,VLOOKUP($GO182,'Jan-2026 rates'!$L:$S,8,0),IF($LB182=80%,VLOOKUP($GO182,'Jan-2026 rates'!L:T,9,0),0))))))))</f>
        <v>0</v>
      </c>
      <c r="GR182" s="412"/>
      <c r="GS182" s="409"/>
      <c r="GT182" s="411">
        <f>IF(GS182=0,0,IF($LB182=70%,VLOOKUP($GO182,'Jan-2026 rates'!$L:$R,4,0),IF($LB182=65%,VLOOKUP($GO182,'Jan-2026 rates'!$L:$R,4,0),IF($LB182=40%,VLOOKUP($GO182,'Jan-2026 rates'!$L:$R,5,0),IF($LB182=30%,VLOOKUP($GO182,'Jan-2026 rates'!$L:$R,6,0),IF($LB182=100%,VLOOKUP($GO182,'Jan-2026 rates'!$L:$R,7,0),IF($LB182=60%,VLOOKUP($GO182,'Jan-2026 rates'!$L:$S,8,0),IF($LB182=80%,VLOOKUP($GO182,'Jan-2026 rates'!L:T,9,0),0))))))))</f>
        <v>0</v>
      </c>
      <c r="GU182" s="413"/>
      <c r="GV182" s="413"/>
      <c r="GW182" s="412"/>
      <c r="GX182" s="412"/>
      <c r="GY182" s="412"/>
      <c r="GZ182" s="412"/>
      <c r="HA182" s="412"/>
      <c r="HB182" s="412"/>
      <c r="HC182" s="409"/>
      <c r="HD182" s="398">
        <f>IF(HC182=0,0,IF(LEN(GU182)=11,_xlfn.XLOOKUP(GU182,'Dispensed Ink Rates'!C:C,'Dispensed Ink Rates'!CS:CS),VLOOKUP(GU182,'Jan-2026 rates'!$E:$F,2,0)))</f>
        <v>0</v>
      </c>
      <c r="HE182" s="409"/>
      <c r="HF182" s="398">
        <f>IF(HE182=0,0,IF(LEN(GV182)=11,_xlfn.XLOOKUP(GV182,'Dispensed Ink Rates'!C:C,'Dispensed Ink Rates'!CS:CS),VLOOKUP(GV182,'Jan-2026 rates'!$E:$F,2,0)))</f>
        <v>0</v>
      </c>
      <c r="HG182" s="409"/>
      <c r="HH182" s="398">
        <f>IF(HG182=0,0,IF(LEN(GW182)=11,_xlfn.XLOOKUP(GW182,'Dispensed Ink Rates'!C:C,'Dispensed Ink Rates'!CS:CS),VLOOKUP(GW182,'Jan-2026 rates'!$E:$F,2,0)))</f>
        <v>0</v>
      </c>
      <c r="HI182" s="409"/>
      <c r="HJ182" s="398">
        <f>IF(HI182=0,0,IF(LEN(GX182)=11,_xlfn.XLOOKUP(GX182,'Dispensed Ink Rates'!C:C,'Dispensed Ink Rates'!CS:CS),VLOOKUP(GX182,'Jan-2026 rates'!$E:$F,2,0)))</f>
        <v>0</v>
      </c>
      <c r="HK182" s="409"/>
      <c r="HL182" s="398">
        <f>IF(HK182=0,0,IF(LEN(GY182)=11,_xlfn.XLOOKUP(GY182,'Dispensed Ink Rates'!C:C,'Dispensed Ink Rates'!CS:CS),VLOOKUP(GY182,'Jan-2026 rates'!$E:$F,2,0)))</f>
        <v>0</v>
      </c>
      <c r="HM182" s="409"/>
      <c r="HN182" s="398">
        <f>IF(HM182=0,0,IF(LEN(GZ182)=11,_xlfn.XLOOKUP(GZ182,'Dispensed Ink Rates'!C:C,'Dispensed Ink Rates'!CS:CS),VLOOKUP(GZ182,'Jan-2026 rates'!$E:$F,2,0)))</f>
        <v>0</v>
      </c>
      <c r="HO182" s="409"/>
      <c r="HP182" s="398">
        <f>IF(HO182=0,0,IF(LEN(HA182)=11,_xlfn.XLOOKUP(HA182,'Dispensed Ink Rates'!C:C,'Dispensed Ink Rates'!CS:CS),VLOOKUP(HA182,'Jan-2026 rates'!$E:$F,2,0)))</f>
        <v>0</v>
      </c>
      <c r="HQ182" s="409"/>
      <c r="HR182" s="398">
        <f>IF(HQ182=0,0,IF(LEN(HB182)=11,_xlfn.XLOOKUP(HB182,'Dispensed Ink Rates'!C:C,'Dispensed Ink Rates'!CS:CS),VLOOKUP(HB182,'Jan-2026 rates'!$E:$F,2,0)))</f>
        <v>0</v>
      </c>
      <c r="HS182" s="409"/>
      <c r="HT182" s="409"/>
      <c r="HU182" s="411">
        <f t="shared" si="121"/>
        <v>0</v>
      </c>
      <c r="HV182" s="411">
        <f t="shared" si="122"/>
        <v>0</v>
      </c>
      <c r="HW182" s="414">
        <f t="shared" si="123"/>
        <v>0</v>
      </c>
      <c r="HX182" s="405"/>
      <c r="HY182" s="409"/>
      <c r="HZ182" s="420" t="str">
        <f t="shared" si="136"/>
        <v xml:space="preserve"> - </v>
      </c>
      <c r="IA182" s="409"/>
      <c r="IB182" s="411">
        <f>IF(IA182=0,0,IF($LB182=70%,VLOOKUP($HZ182,'Jan-2026 rates'!$L:$R,4,0),IF($LB182=65%,VLOOKUP($HZ182,'Jan-2026 rates'!$L:$R,4,0),IF($LB182=40%,VLOOKUP($HZ182,'Jan-2026 rates'!$L:$R,5,0),IF($LB182=30%,VLOOKUP($HZ182,'Jan-2026 rates'!$L:$R,6,0),IF($LB182=100%,VLOOKUP($HZ182,'Jan-2026 rates'!$L:$R,7,0),IF($LB182=60%,VLOOKUP($HZ182,'Jan-2026 rates'!$L:$S,8,0),IF($LB182=80%,VLOOKUP($HZ182,'Jan-2026 rates'!L:T,9,0),0))))))))</f>
        <v>0</v>
      </c>
      <c r="IC182" s="412"/>
      <c r="ID182" s="409"/>
      <c r="IE182" s="411">
        <f>IF(ID182=0,0,IF($LB182=70%,VLOOKUP($HZ182,'Jan-2026 rates'!$L:$R,4,0),IF($LB182=65%,VLOOKUP($HZ182,'Jan-2026 rates'!$L:$R,4,0),IF($LB182=40%,VLOOKUP($HZ182,'Jan-2026 rates'!$L:$R,5,0),IF($LB182=30%,VLOOKUP($HZ182,'Jan-2026 rates'!$L:$R,6,0),IF($LB182=100%,VLOOKUP($HZ182,'Jan-2026 rates'!$L:$R,7,0),IF($LB182=60%,VLOOKUP($HZ182,'Jan-2026 rates'!$L:$S,8,0),IF($LB182=80%,VLOOKUP($HZ182,'Jan-2026 rates'!L:T,9,0),0))))))))</f>
        <v>0</v>
      </c>
      <c r="IF182" s="412"/>
      <c r="IG182" s="413"/>
      <c r="IH182" s="412"/>
      <c r="II182" s="412"/>
      <c r="IJ182" s="412"/>
      <c r="IK182" s="412"/>
      <c r="IL182" s="412"/>
      <c r="IM182" s="412"/>
      <c r="IN182" s="409"/>
      <c r="IO182" s="398">
        <f>IF(IN182=0,0,IF(LEN(IF182)=11,_xlfn.XLOOKUP(IF182,'Dispensed Ink Rates'!C:C,'Dispensed Ink Rates'!CS:CS),VLOOKUP(IF182,'Jan-2026 rates'!$E:$F,2,0)))</f>
        <v>0</v>
      </c>
      <c r="IP182" s="409"/>
      <c r="IQ182" s="398">
        <f>IF(IP182=0,0,IF(LEN(IG182)=11,_xlfn.XLOOKUP(IG182,'Dispensed Ink Rates'!C:C,'Dispensed Ink Rates'!CS:CS),VLOOKUP(IG182,'Jan-2026 rates'!$E:$F,2,0)))</f>
        <v>0</v>
      </c>
      <c r="IR182" s="409"/>
      <c r="IS182" s="398">
        <f>IF(IR182=0,0,IF(LEN(IH182)=11,_xlfn.XLOOKUP(IH182,'Dispensed Ink Rates'!C:C,'Dispensed Ink Rates'!CS:CS),VLOOKUP(IH182,'Jan-2026 rates'!$E:$F,2,0)))</f>
        <v>0</v>
      </c>
      <c r="IT182" s="409"/>
      <c r="IU182" s="398">
        <f>IF(IT182=0,0,IF(LEN(II182)=11,_xlfn.XLOOKUP(II182,'Dispensed Ink Rates'!C:C,'Dispensed Ink Rates'!CS:CS),VLOOKUP(II182,'Jan-2026 rates'!$E:$F,2,0)))</f>
        <v>0</v>
      </c>
      <c r="IV182" s="409"/>
      <c r="IW182" s="398">
        <f>IF(IV182=0,0,IF(LEN(IJ182)=11,_xlfn.XLOOKUP(IJ182,'Dispensed Ink Rates'!C:C,'Dispensed Ink Rates'!CS:CS),VLOOKUP(IJ182,'Jan-2026 rates'!$E:$F,2,0)))</f>
        <v>0</v>
      </c>
      <c r="IX182" s="409"/>
      <c r="IY182" s="398">
        <f>IF(IX182=0,0,IF(LEN(IK182)=11,_xlfn.XLOOKUP(IK182,'Dispensed Ink Rates'!C:C,'Dispensed Ink Rates'!CS:CS),VLOOKUP(IK182,'Jan-2026 rates'!$E:$F,2,0)))</f>
        <v>0</v>
      </c>
      <c r="IZ182" s="409"/>
      <c r="JA182" s="398">
        <f>IF(IZ182=0,0,IF(LEN(IL182)=11,_xlfn.XLOOKUP(IL182,'Dispensed Ink Rates'!C:C,'Dispensed Ink Rates'!CS:CS),VLOOKUP(IL182,'Jan-2026 rates'!$E:$F,2,0)))</f>
        <v>0</v>
      </c>
      <c r="JB182" s="409"/>
      <c r="JC182" s="398">
        <f>IF(JB182=0,0,IF(LEN(IM182)=11,_xlfn.XLOOKUP(IM182,'Dispensed Ink Rates'!C:C,'Dispensed Ink Rates'!CS:CS),VLOOKUP(IM182,'Jan-2026 rates'!$E:$F,2,0)))</f>
        <v>0</v>
      </c>
      <c r="JD182" s="409"/>
      <c r="JE182" s="409"/>
      <c r="JF182" s="411">
        <f t="shared" si="124"/>
        <v>0</v>
      </c>
      <c r="JG182" s="411">
        <f t="shared" si="125"/>
        <v>0</v>
      </c>
      <c r="JH182" s="410">
        <f t="shared" si="126"/>
        <v>0</v>
      </c>
      <c r="JI182" s="405"/>
      <c r="JJ182" s="409"/>
      <c r="JK182" s="420" t="str">
        <f t="shared" si="137"/>
        <v xml:space="preserve"> - </v>
      </c>
      <c r="JL182" s="409"/>
      <c r="JM182" s="411">
        <f>IF(JL182=0,0,IF($LB182=70%,VLOOKUP($JK182,'Jan-2026 rates'!$L:$R,4,0),IF($LB182=65%,VLOOKUP($JK182,'Jan-2026 rates'!$L:$R,4,0),IF($LB182=40%,VLOOKUP($JK182,'Jan-2026 rates'!$L:$R,5,0),IF($LB182=30%,VLOOKUP($JK182,'Jan-2026 rates'!$L:$R,6,0),IF($LB182=100%,VLOOKUP($JK182,'Jan-2026 rates'!$L:$R,7,0),IF($LB182=60%,VLOOKUP($JK182,'Jan-2026 rates'!$L:$S,8,0),IF($LB182=80%,VLOOKUP($JK182,'Jan-2026 rates'!L:T,9,0),0))))))))</f>
        <v>0</v>
      </c>
      <c r="JN182" s="412"/>
      <c r="JO182" s="409"/>
      <c r="JP182" s="411">
        <f>IF(JO182=0,0,IF($LB182=70%,VLOOKUP($JK182,'Jan-2026 rates'!$L:$R,4,0),IF($LB182=65%,VLOOKUP($JK182,'Jan-2026 rates'!$L:$R,4,0),IF($LB182=40%,VLOOKUP($JK182,'Jan-2026 rates'!$L:$R,5,0),IF($LB182=30%,VLOOKUP($JK182,'Jan-2026 rates'!$L:$R,6,0),IF($LB182=100%,VLOOKUP($JK182,'Jan-2026 rates'!$L:$R,7,0),IF($LB182=60%,VLOOKUP($JK182,'Jan-2026 rates'!$L:$S,8,0),IF($LB182=80%,VLOOKUP($JK182,'Jan-2026 rates'!L:T,9,0),0))))))))</f>
        <v>0</v>
      </c>
      <c r="JQ182" s="413"/>
      <c r="JR182" s="412"/>
      <c r="JS182" s="413"/>
      <c r="JT182" s="413"/>
      <c r="JU182" s="412"/>
      <c r="JV182" s="412"/>
      <c r="JW182" s="412"/>
      <c r="JX182" s="412"/>
      <c r="JY182" s="409"/>
      <c r="JZ182" s="398">
        <f>IF(JY182=0,0,IF(LEN(JQ182)=11,_xlfn.XLOOKUP(JQ182,'Dispensed Ink Rates'!C:C,'Dispensed Ink Rates'!CS:CS),VLOOKUP(JQ182,'Jan-2026 rates'!$E:$F,2,0)))</f>
        <v>0</v>
      </c>
      <c r="KA182" s="409"/>
      <c r="KB182" s="398">
        <f>IF(KA182=0,0,IF(LEN(JR182)=11,_xlfn.XLOOKUP(JR182,'Dispensed Ink Rates'!C:C,'Dispensed Ink Rates'!CS:CS),VLOOKUP(JR182,'Jan-2026 rates'!$E:$F,2,0)))</f>
        <v>0</v>
      </c>
      <c r="KC182" s="409"/>
      <c r="KD182" s="398">
        <f>IF(KC182=0,0,IF(LEN(JS182)=11,_xlfn.XLOOKUP(JS182,'Dispensed Ink Rates'!C:C,'Dispensed Ink Rates'!CS:CS),VLOOKUP(JS182,'Jan-2026 rates'!$E:$F,2,0)))</f>
        <v>0</v>
      </c>
      <c r="KE182" s="409"/>
      <c r="KF182" s="398">
        <f>IF(KE182=0,0,IF(LEN(JT182)=11,_xlfn.XLOOKUP(JT182,'Dispensed Ink Rates'!C:C,'Dispensed Ink Rates'!CS:CS),VLOOKUP(JT182,'Jan-2026 rates'!$E:$F,2,0)))</f>
        <v>0</v>
      </c>
      <c r="KG182" s="409"/>
      <c r="KH182" s="398">
        <f>IF(KG182=0,0,IF(LEN(JU182)=11,_xlfn.XLOOKUP(JU182,'Dispensed Ink Rates'!C:C,'Dispensed Ink Rates'!CS:CS),VLOOKUP(JU182,'Jan-2026 rates'!$E:$F,2,0)))</f>
        <v>0</v>
      </c>
      <c r="KI182" s="409"/>
      <c r="KJ182" s="398">
        <f>IF(KI182=0,0,IF(LEN(JV182)=11,_xlfn.XLOOKUP(JV182,'Dispensed Ink Rates'!C:C,'Dispensed Ink Rates'!CS:CS),VLOOKUP(JV182,'Jan-2026 rates'!$E:$F,2,0)))</f>
        <v>0</v>
      </c>
      <c r="KK182" s="409"/>
      <c r="KL182" s="398">
        <f>IF(KK182=0,0,IF(LEN(JW182)=11,_xlfn.XLOOKUP(JW182,'Dispensed Ink Rates'!C:C,'Dispensed Ink Rates'!CS:CS),VLOOKUP(JW182,'Jan-2026 rates'!$E:$F,2,0)))</f>
        <v>0</v>
      </c>
      <c r="KM182" s="428"/>
      <c r="KN182" s="398">
        <f>IF(KM182=0,0,IF(LEN(JX182)=11,_xlfn.XLOOKUP(JX182,'Dispensed Ink Rates'!C:C,'Dispensed Ink Rates'!CS:CS),VLOOKUP(JX182,'Jan-2026 rates'!$E:$F,2,0)))</f>
        <v>0</v>
      </c>
      <c r="KO182" s="409"/>
      <c r="KP182" s="409"/>
      <c r="KQ182" s="411">
        <f t="shared" si="127"/>
        <v>0</v>
      </c>
      <c r="KR182" s="411">
        <f t="shared" si="128"/>
        <v>0</v>
      </c>
      <c r="KS182" s="410">
        <f t="shared" si="129"/>
        <v>0</v>
      </c>
      <c r="KT182" s="409">
        <v>0</v>
      </c>
      <c r="KU182" s="409">
        <v>3</v>
      </c>
      <c r="KV182" s="409">
        <v>5</v>
      </c>
      <c r="KW182" s="409">
        <v>5</v>
      </c>
      <c r="KX182" s="409">
        <v>0</v>
      </c>
      <c r="KY182" s="409">
        <v>0</v>
      </c>
      <c r="KZ182" s="409">
        <v>0</v>
      </c>
      <c r="LA182" s="409">
        <v>0</v>
      </c>
      <c r="LB182" s="415">
        <v>0.3</v>
      </c>
      <c r="LC182" s="415"/>
      <c r="LD182" s="415"/>
      <c r="LE182" s="415">
        <v>0.5</v>
      </c>
      <c r="LF182" s="415">
        <v>0.2</v>
      </c>
      <c r="LG182" s="409">
        <v>0</v>
      </c>
      <c r="LH182" s="409">
        <f>10+10+12+20+2+8</f>
        <v>62</v>
      </c>
      <c r="LI182" s="409">
        <v>0</v>
      </c>
      <c r="LJ182" s="409">
        <v>0</v>
      </c>
      <c r="LK182" s="416">
        <f t="shared" si="138"/>
        <v>62</v>
      </c>
      <c r="LL182" s="416">
        <f t="shared" si="139"/>
        <v>62</v>
      </c>
      <c r="LM182" s="417">
        <f t="shared" si="140"/>
        <v>18.599999999999998</v>
      </c>
      <c r="LN182" s="417">
        <f>VLOOKUP($LM$8,'Jan-2026 rates'!$H:$I,2,0)</f>
        <v>0</v>
      </c>
      <c r="LO182" s="417">
        <f t="shared" si="141"/>
        <v>0</v>
      </c>
      <c r="LP182" s="417">
        <f>VLOOKUP($LO$8,'Jan-2026 rates'!$H:$I,2,0)</f>
        <v>0</v>
      </c>
      <c r="LQ182" s="417">
        <f t="shared" si="142"/>
        <v>0</v>
      </c>
      <c r="LR182" s="417">
        <f>VLOOKUP($LQ$8,'Jan-2026 rates'!$H:$I,2,0)</f>
        <v>0</v>
      </c>
      <c r="LS182" s="417">
        <f t="shared" si="143"/>
        <v>31</v>
      </c>
      <c r="LT182" s="417">
        <f>VLOOKUP($LS$8,'Jan-2026 rates'!$H:$I,2,0)</f>
        <v>0</v>
      </c>
      <c r="LU182" s="417">
        <f t="shared" si="144"/>
        <v>12.4</v>
      </c>
      <c r="LV182" s="417">
        <f>VLOOKUP($LU$8,'Jan-2026 rates'!$H:$I,2,0)</f>
        <v>0</v>
      </c>
      <c r="LW182" s="417">
        <f t="shared" si="145"/>
        <v>0</v>
      </c>
      <c r="LX182" s="417">
        <f t="shared" si="146"/>
        <v>0</v>
      </c>
      <c r="LY182" s="418">
        <f t="shared" si="147"/>
        <v>0</v>
      </c>
      <c r="LZ182" s="417"/>
      <c r="MA182" s="435">
        <f t="shared" si="148"/>
        <v>49</v>
      </c>
      <c r="MB182" s="282">
        <f t="shared" si="149"/>
        <v>122</v>
      </c>
      <c r="MC182" s="283" t="s">
        <v>2017</v>
      </c>
      <c r="MD182" s="284" t="str">
        <f t="shared" si="150"/>
        <v>ToyoLiToyoLiToyoLiToyoLi</v>
      </c>
      <c r="ME182" s="293" t="str">
        <f t="shared" si="151"/>
        <v>+</v>
      </c>
      <c r="MF182" s="293" t="str">
        <f t="shared" si="152"/>
        <v>+</v>
      </c>
      <c r="MG182" s="293" t="str">
        <f t="shared" si="153"/>
        <v>+</v>
      </c>
      <c r="MH182" s="293" t="str">
        <f t="shared" si="154"/>
        <v>+</v>
      </c>
      <c r="MI182" s="293" t="str">
        <f t="shared" si="155"/>
        <v>NIL</v>
      </c>
      <c r="MJ182" s="293" t="str">
        <f t="shared" si="156"/>
        <v>NIL</v>
      </c>
      <c r="MK182" s="293" t="str">
        <f t="shared" si="157"/>
        <v>NIL</v>
      </c>
      <c r="ML182" s="293" t="str">
        <f t="shared" si="158"/>
        <v>NIL</v>
      </c>
      <c r="MM182" s="3" t="b">
        <f t="array" ref="MM182">OR(ME182:ML182="-")</f>
        <v>0</v>
      </c>
      <c r="MN182" s="285"/>
      <c r="MO182" s="401"/>
      <c r="MP182" s="286"/>
      <c r="MQ182" s="286"/>
      <c r="MR182" s="402"/>
      <c r="MS182" s="400"/>
      <c r="NH182" s="422"/>
      <c r="NJ182" s="421"/>
    </row>
    <row r="183" spans="1:374" s="1" customFormat="1" ht="16.5">
      <c r="A183" s="403">
        <v>46036</v>
      </c>
      <c r="B183" s="404" t="s">
        <v>1015</v>
      </c>
      <c r="C183" s="405" t="s">
        <v>3639</v>
      </c>
      <c r="D183" s="406" t="s">
        <v>2018</v>
      </c>
      <c r="E183" s="404">
        <v>77</v>
      </c>
      <c r="F183" s="407">
        <v>5700</v>
      </c>
      <c r="G183" s="407" t="s">
        <v>1016</v>
      </c>
      <c r="H183" s="408" t="s">
        <v>1017</v>
      </c>
      <c r="I183" s="409">
        <f>1.6+0.9</f>
        <v>2.5</v>
      </c>
      <c r="J183" s="405" t="s">
        <v>543</v>
      </c>
      <c r="K183" s="404" t="s">
        <v>3640</v>
      </c>
      <c r="L183" s="419" t="str">
        <f t="shared" si="131"/>
        <v>ToyoLi - BLACK</v>
      </c>
      <c r="M183" s="404">
        <v>28</v>
      </c>
      <c r="N183" s="410">
        <f>IF(M183=0,0,IF($LB183=70%,VLOOKUP($L183,'Jan-2026 rates'!$L:$R,4,0),IF($LB183=65%,VLOOKUP($L183,'Jan-2026 rates'!$L:$R,4,0),IF($LB183=40%,VLOOKUP($L183,'Jan-2026 rates'!$L:$R,5,0),IF($LB183=30%,VLOOKUP($L183,'Jan-2026 rates'!$L:$R,6,0),IF($LB183=100%,VLOOKUP($L183,'Jan-2026 rates'!$L:$R,7,0),IF($LB183=60%,VLOOKUP($L183,'Jan-2026 rates'!$L:$S,8,0),IF($LB183=80%,VLOOKUP($L183,'Jan-2026 rates'!L:T,9,0),0))))))))</f>
        <v>0</v>
      </c>
      <c r="O183" s="406"/>
      <c r="P183" s="404"/>
      <c r="Q183" s="410">
        <f>IF(P183=0,0,IF($LB183=70%,VLOOKUP($L183,'Jan-2026 rates'!$L:$R,4,0),IF($LB183=65%,VLOOKUP($L183,'Jan-2026 rates'!$L:$R,4,0),IF($LB183=40%,VLOOKUP($L183,'Jan-2026 rates'!$L:$R,5,0),IF($LB183=30%,VLOOKUP($L183,'Jan-2026 rates'!$L:$R,6,0),IF($LB183=100%,VLOOKUP($L183,'Jan-2026 rates'!$L:$R,7,0),IF($LB183=60%,VLOOKUP($L183,'Jan-2026 rates'!$L:$S,8,0),IF($LB183=80%,VLOOKUP($L183,'Jan-2026 rates'!L:T,9,0),0))))))))</f>
        <v>0</v>
      </c>
      <c r="R183" s="406" t="s">
        <v>1252</v>
      </c>
      <c r="S183" s="406"/>
      <c r="T183" s="406"/>
      <c r="U183" s="406"/>
      <c r="V183" s="406"/>
      <c r="W183" s="406"/>
      <c r="X183" s="406"/>
      <c r="Y183" s="406"/>
      <c r="Z183" s="404">
        <v>1</v>
      </c>
      <c r="AA183" s="398">
        <f>IF(Z183=0,0,IF(LEN(R183)=11,_xlfn.XLOOKUP(R183,'Dispensed Ink Rates'!C:C,'Dispensed Ink Rates'!CS:CS),VLOOKUP(R183,'Jan-2026 rates'!$E:$F,2,0)))</f>
        <v>0</v>
      </c>
      <c r="AB183" s="404"/>
      <c r="AC183" s="398">
        <f>IF(AB183=0,0,IF(LEN(S183)=11,_xlfn.XLOOKUP(S183,'Dispensed Ink Rates'!C:C,'Dispensed Ink Rates'!CS:CS),VLOOKUP(S183,'Jan-2026 rates'!$E:$F,2,0)))</f>
        <v>0</v>
      </c>
      <c r="AD183" s="404"/>
      <c r="AE183" s="398">
        <f>IF(AD183=0,0,IF(LEN(T183)=11,_xlfn.XLOOKUP(T183,'Dispensed Ink Rates'!C:C,'Dispensed Ink Rates'!CS:CS),VLOOKUP(T183,'Jan-2026 rates'!$E:$F,2,0)))</f>
        <v>0</v>
      </c>
      <c r="AF183" s="404"/>
      <c r="AG183" s="398">
        <f>IF(AF183=0,0,IF(LEN(U183)=11,_xlfn.XLOOKUP(U183,'Dispensed Ink Rates'!C:C,'Dispensed Ink Rates'!CS:CS),VLOOKUP(U183,'Jan-2026 rates'!$E:$F,2,0)))</f>
        <v>0</v>
      </c>
      <c r="AH183" s="404"/>
      <c r="AI183" s="398">
        <f>IF(AH183=0,0,IF(LEN(V183)=11,_xlfn.XLOOKUP(V183,'Dispensed Ink Rates'!C:C,'Dispensed Ink Rates'!CS:CS),VLOOKUP(V183,'Jan-2026 rates'!$E:$F,2,0)))</f>
        <v>0</v>
      </c>
      <c r="AJ183" s="404"/>
      <c r="AK183" s="398">
        <f>IF(AJ183=0,0,IF(LEN(W183)=11,_xlfn.XLOOKUP(W183,'Dispensed Ink Rates'!C:C,'Dispensed Ink Rates'!CS:CS),VLOOKUP(W183,'Jan-2026 rates'!$E:$F,2,0)))</f>
        <v>0</v>
      </c>
      <c r="AL183" s="404"/>
      <c r="AM183" s="398">
        <f>IF(AL183=0,0,IF(LEN(X183)=11,_xlfn.XLOOKUP(X183,'Dispensed Ink Rates'!C:C,'Dispensed Ink Rates'!CS:CS),VLOOKUP(X183,'Jan-2026 rates'!$E:$F,2,0)))</f>
        <v>0</v>
      </c>
      <c r="AN183" s="404"/>
      <c r="AO183" s="398">
        <f>IF(AN183=0,0,IF(LEN(Y183)=11,_xlfn.XLOOKUP(Y183,'Dispensed Ink Rates'!C:C,'Dispensed Ink Rates'!CS:CS),VLOOKUP(Y183,'Jan-2026 rates'!$E:$F,2,0)))</f>
        <v>0</v>
      </c>
      <c r="AP183" s="409" t="s">
        <v>1881</v>
      </c>
      <c r="AQ183" s="409">
        <v>27</v>
      </c>
      <c r="AR183" s="410">
        <f t="shared" si="106"/>
        <v>0</v>
      </c>
      <c r="AS183" s="411">
        <f t="shared" si="107"/>
        <v>5.2631578947368425</v>
      </c>
      <c r="AT183" s="410">
        <f t="shared" si="108"/>
        <v>0</v>
      </c>
      <c r="AU183" s="405" t="s">
        <v>828</v>
      </c>
      <c r="AV183" s="409" t="s">
        <v>3641</v>
      </c>
      <c r="AW183" s="420" t="str">
        <f t="shared" si="130"/>
        <v>ToyoLi - ORANGE</v>
      </c>
      <c r="AX183" s="409">
        <v>26</v>
      </c>
      <c r="AY183" s="411">
        <f>IF(AX183=0,0,IF($LB183=70%,VLOOKUP($AW183,'Jan-2026 rates'!$L:$R,4,0),IF($LB183=65%,VLOOKUP($AW183,'Jan-2026 rates'!$L:$R,4,0),IF($LB183=40%,VLOOKUP($AW183,'Jan-2026 rates'!$L:$R,5,0),IF($LB183=30%,VLOOKUP($AW183,'Jan-2026 rates'!$L:$R,6,0),IF($LB183=100%,VLOOKUP($AW183,'Jan-2026 rates'!$L:$R,7,0),IF($LB183=60%,VLOOKUP($AW183,'Jan-2026 rates'!$L:$S,8,0),IF($LB183=80%,VLOOKUP($AW183,'Jan-2026 rates'!L:T,9,0),0))))))))</f>
        <v>0</v>
      </c>
      <c r="AZ183" s="412"/>
      <c r="BA183" s="409"/>
      <c r="BB183" s="411">
        <f>IF(BA183=0,0,IF($LB183=70%,VLOOKUP($AW183,'Jan-2026 rates'!$L:$R,4,0),IF($LB183=65%,VLOOKUP($AW183,'Jan-2026 rates'!$L:$R,4,0),IF($LB183=40%,VLOOKUP($AW183,'Jan-2026 rates'!$L:$R,5,0),IF($LB183=30%,VLOOKUP($AW183,'Jan-2026 rates'!$L:$R,6,0),IF($LB183=100%,VLOOKUP($AW183,'Jan-2026 rates'!$L:$R,7,0),IF($LB183=60%,VLOOKUP($AW183,'Jan-2026 rates'!$L:$S,8,0),IF($LB183=80%,VLOOKUP($AW183,'Jan-2026 rates'!L:T,9,0),0))))))))</f>
        <v>0</v>
      </c>
      <c r="BC183" s="413" t="s">
        <v>1246</v>
      </c>
      <c r="BD183" s="412" t="s">
        <v>1248</v>
      </c>
      <c r="BE183" s="412" t="s">
        <v>1252</v>
      </c>
      <c r="BF183" s="413"/>
      <c r="BG183" s="412"/>
      <c r="BH183" s="412"/>
      <c r="BI183" s="412"/>
      <c r="BJ183" s="412"/>
      <c r="BK183" s="409">
        <v>3</v>
      </c>
      <c r="BL183" s="398">
        <f>IF(BK183=0,0,IF(LEN(BC183)=11,_xlfn.XLOOKUP(BC183,'Dispensed Ink Rates'!C:C,'Dispensed Ink Rates'!CS:CS),VLOOKUP(BC183,'Jan-2026 rates'!$E:$F,2,0)))</f>
        <v>0</v>
      </c>
      <c r="BM183" s="409">
        <v>4</v>
      </c>
      <c r="BN183" s="398">
        <f>IF(BM183=0,0,IF(LEN(BD183)=11,_xlfn.XLOOKUP(BD183,'Dispensed Ink Rates'!C:C,'Dispensed Ink Rates'!CS:CS),VLOOKUP(BD183,'Jan-2026 rates'!$E:$F,2,0)))</f>
        <v>0</v>
      </c>
      <c r="BO183" s="409">
        <v>1</v>
      </c>
      <c r="BP183" s="398">
        <f>IF(BO183=0,0,IF(LEN(BE183)=11,_xlfn.XLOOKUP(BE183,'Dispensed Ink Rates'!C:C,'Dispensed Ink Rates'!CS:CS),VLOOKUP(BE183,'Jan-2026 rates'!$E:$F,2,0)))</f>
        <v>0</v>
      </c>
      <c r="BQ183" s="409"/>
      <c r="BR183" s="398">
        <f>IF(BQ183=0,0,IF(LEN(BF183)=11,_xlfn.XLOOKUP(BF183,'Dispensed Ink Rates'!C:C,'Dispensed Ink Rates'!CS:CS),VLOOKUP(BF183,'Jan-2026 rates'!$E:$F,2,0)))</f>
        <v>0</v>
      </c>
      <c r="BS183" s="409"/>
      <c r="BT183" s="398">
        <f>IF(BS183=0,0,IF(LEN(BG183)=11,_xlfn.XLOOKUP(BG183,'Dispensed Ink Rates'!C:C,'Dispensed Ink Rates'!CS:CS),VLOOKUP(BG183,'Jan-2026 rates'!$E:$F,2,0)))</f>
        <v>0</v>
      </c>
      <c r="BU183" s="409"/>
      <c r="BV183" s="398">
        <f>IF(BU183=0,0,IF(LEN(BH183)=11,_xlfn.XLOOKUP(BH183,'Dispensed Ink Rates'!C:C,'Dispensed Ink Rates'!CS:CS),VLOOKUP(BH183,'Jan-2026 rates'!$E:$F,2,0)))</f>
        <v>0</v>
      </c>
      <c r="BW183" s="409"/>
      <c r="BX183" s="398">
        <f>IF(BW183=0,0,IF(LEN(BI183)=11,_xlfn.XLOOKUP(BI183,'Dispensed Ink Rates'!C:C,'Dispensed Ink Rates'!CS:CS),VLOOKUP(BI183,'Jan-2026 rates'!$E:$F,2,0)))</f>
        <v>0</v>
      </c>
      <c r="BY183" s="409"/>
      <c r="BZ183" s="398">
        <f>IF(BY183=0,0,IF(LEN(BJ183)=11,_xlfn.XLOOKUP(BJ183,'Dispensed Ink Rates'!C:C,'Dispensed Ink Rates'!CS:CS),VLOOKUP(BJ183,'Jan-2026 rates'!$E:$F,2,0)))</f>
        <v>0</v>
      </c>
      <c r="CA183" s="409" t="s">
        <v>1881</v>
      </c>
      <c r="CB183" s="409">
        <f>15+12</f>
        <v>27</v>
      </c>
      <c r="CC183" s="411">
        <f t="shared" si="109"/>
        <v>0</v>
      </c>
      <c r="CD183" s="411">
        <f t="shared" si="110"/>
        <v>15.157894736842103</v>
      </c>
      <c r="CE183" s="410">
        <f t="shared" si="111"/>
        <v>0</v>
      </c>
      <c r="CF183" s="404" t="s">
        <v>828</v>
      </c>
      <c r="CG183" s="409" t="s">
        <v>3641</v>
      </c>
      <c r="CH183" s="420" t="str">
        <f t="shared" si="132"/>
        <v>ToyoLi - ORANGE</v>
      </c>
      <c r="CI183" s="409">
        <v>20</v>
      </c>
      <c r="CJ183" s="411">
        <f>IF(CI183=0,0,IF($LB183=70%,VLOOKUP($CH183,'Jan-2026 rates'!$L:$R,4,0),IF($LB183=65%,VLOOKUP($CH183,'Jan-2026 rates'!$L:$R,4,0),IF($LB183=40%,VLOOKUP($CH183,'Jan-2026 rates'!$L:$R,5,0),IF($LB183=30%,VLOOKUP($CH183,'Jan-2026 rates'!$L:$R,6,0),IF($LB183=100%,VLOOKUP($CH183,'Jan-2026 rates'!$L:$R,7,0),IF($LB183=60%,VLOOKUP($CH183,'Jan-2026 rates'!$L:$S,8,0),IF($LB183=80%,VLOOKUP($CH183,'Jan-2026 rates'!L:T,9,0),0))))))))</f>
        <v>0</v>
      </c>
      <c r="CK183" s="412"/>
      <c r="CL183" s="409"/>
      <c r="CM183" s="411">
        <f>IF(CL183=0,0,IF($LB183=70%,VLOOKUP($CH183,'Jan-2026 rates'!$L:$R,4,0),IF($LB183=65%,VLOOKUP($CH183,'Jan-2026 rates'!$L:$R,4,0),IF($LB183=40%,VLOOKUP($CH183,'Jan-2026 rates'!$L:$R,5,0),IF($LB183=30%,VLOOKUP($CH183,'Jan-2026 rates'!$L:$R,6,0),IF($LB183=100%,VLOOKUP($CH183,'Jan-2026 rates'!$L:$R,7,0),IF($LB183=60%,VLOOKUP($CH183,'Jan-2026 rates'!$L:$S,8,0),IF($LB183=80%,VLOOKUP($CH183,'Jan-2026 rates'!L:T,9,0),0))))))))</f>
        <v>0</v>
      </c>
      <c r="CN183" s="426" t="s">
        <v>1247</v>
      </c>
      <c r="CO183" s="427" t="s">
        <v>1248</v>
      </c>
      <c r="CP183" s="426"/>
      <c r="CQ183" s="426"/>
      <c r="CR183" s="428"/>
      <c r="CS183" s="428"/>
      <c r="CT183" s="428"/>
      <c r="CU183" s="428"/>
      <c r="CV183" s="409">
        <v>15</v>
      </c>
      <c r="CW183" s="398">
        <f>IF(CV183=0,0,IF(LEN(CN183)=11,_xlfn.XLOOKUP(CN183,'Dispensed Ink Rates'!C:C,'Dispensed Ink Rates'!CS:CS),VLOOKUP(CN183,'Jan-2026 rates'!$E:$F,2,0)))</f>
        <v>0</v>
      </c>
      <c r="CX183" s="409">
        <v>3</v>
      </c>
      <c r="CY183" s="398">
        <f>IF(CX183=0,0,IF(LEN(CO183)=11,_xlfn.XLOOKUP(CO183,'Dispensed Ink Rates'!C:C,'Dispensed Ink Rates'!CS:CS),VLOOKUP(CO183,'Jan-2026 rates'!$E:$F,2,0)))</f>
        <v>0</v>
      </c>
      <c r="CZ183" s="409"/>
      <c r="DA183" s="398">
        <f>IF(CZ183=0,0,IF(LEN(CP183)=11,_xlfn.XLOOKUP(CP183,'Dispensed Ink Rates'!C:C,'Dispensed Ink Rates'!CS:CS),VLOOKUP(CP183,'Jan-2026 rates'!$E:$F,2,0)))</f>
        <v>0</v>
      </c>
      <c r="DB183" s="409"/>
      <c r="DC183" s="398">
        <f>IF(DB183=0,0,IF(LEN(CQ183)=11,_xlfn.XLOOKUP(CQ183,'Dispensed Ink Rates'!C:C,'Dispensed Ink Rates'!CS:CS),VLOOKUP(CQ183,'Jan-2026 rates'!$E:$F,2,0)))</f>
        <v>0</v>
      </c>
      <c r="DD183" s="409"/>
      <c r="DE183" s="398">
        <f>IF(DD183=0,0,IF(LEN(CR183)=11,_xlfn.XLOOKUP(CR183,'Dispensed Ink Rates'!C:C,'Dispensed Ink Rates'!CS:CS),VLOOKUP(CR183,'Jan-2026 rates'!$E:$F,2,0)))</f>
        <v>0</v>
      </c>
      <c r="DF183" s="409"/>
      <c r="DG183" s="398">
        <f>IF(DF183=0,0,IF(LEN(CS183)=11,_xlfn.XLOOKUP(CS183,'Dispensed Ink Rates'!C:C,'Dispensed Ink Rates'!CS:CS),VLOOKUP(CS183,'Jan-2026 rates'!$E:$F,2,0)))</f>
        <v>0</v>
      </c>
      <c r="DH183" s="409"/>
      <c r="DI183" s="398">
        <f>IF(DH183=0,0,IF(LEN(CT183)=11,_xlfn.XLOOKUP(CT183,'Dispensed Ink Rates'!C:C,'Dispensed Ink Rates'!CS:CS),VLOOKUP(CT183,'Jan-2026 rates'!$E:$F,2,0)))</f>
        <v>0</v>
      </c>
      <c r="DJ183" s="409"/>
      <c r="DK183" s="398">
        <f>IF(DJ183=0,0,IF(LEN(CU183)=11,_xlfn.XLOOKUP(CU183,'Dispensed Ink Rates'!C:C,'Dispensed Ink Rates'!CS:CS),VLOOKUP(CU183,'Jan-2026 rates'!$E:$F,2,0)))</f>
        <v>0</v>
      </c>
      <c r="DL183" s="409" t="s">
        <v>1881</v>
      </c>
      <c r="DM183" s="409">
        <f>20+20</f>
        <v>40</v>
      </c>
      <c r="DN183" s="411">
        <f t="shared" si="112"/>
        <v>0</v>
      </c>
      <c r="DO183" s="411">
        <f t="shared" si="113"/>
        <v>14.315789473684205</v>
      </c>
      <c r="DP183" s="410">
        <f t="shared" si="114"/>
        <v>0</v>
      </c>
      <c r="DQ183" s="405" t="s">
        <v>856</v>
      </c>
      <c r="DR183" s="409" t="s">
        <v>3642</v>
      </c>
      <c r="DS183" s="420" t="str">
        <f t="shared" si="133"/>
        <v>ToyoLi - WHITE</v>
      </c>
      <c r="DT183" s="409">
        <v>20</v>
      </c>
      <c r="DU183" s="411">
        <f>IF(DT183=0,0,IF($LB183=70%,VLOOKUP($DS183,'Jan-2026 rates'!$L:$R,4,0),IF($LB183=65%,VLOOKUP($DS183,'Jan-2026 rates'!$L:$R,4,0),IF($LB183=40%,VLOOKUP($DS183,'Jan-2026 rates'!$L:$R,5,0),IF($LB183=30%,VLOOKUP($DS183,'Jan-2026 rates'!$L:$R,6,0),IF($LB183=100%,VLOOKUP($DS183,'Jan-2026 rates'!$L:$R,7,0),IF($LB183=60%,VLOOKUP($DS183,'Jan-2026 rates'!$L:$S,8,0),IF($LB183=80%,VLOOKUP($DS183,'Jan-2026 rates'!L:T,9,0),0))))))))</f>
        <v>0</v>
      </c>
      <c r="DV183" s="412"/>
      <c r="DW183" s="409"/>
      <c r="DX183" s="411">
        <f>IF(DW183=0,0,IF($LB183=70%,VLOOKUP($DS183,'Jan-2026 rates'!$L:$R,4,0),IF($LB183=65%,VLOOKUP($DS183,'Jan-2026 rates'!$L:$R,4,0),IF($LB183=40%,VLOOKUP($DS183,'Jan-2026 rates'!$L:$R,5,0),IF($LB183=30%,VLOOKUP($DS183,'Jan-2026 rates'!$L:$R,6,0),IF($LB183=100%,VLOOKUP($DS183,'Jan-2026 rates'!$L:$R,7,0),IF($LB183=60%,VLOOKUP($DS183,'Jan-2026 rates'!$L:$S,8,0),IF($LB183=80%,VLOOKUP($DS183,'Jan-2026 rates'!L:T,9,0),0))))))))</f>
        <v>0</v>
      </c>
      <c r="DY183" s="413" t="s">
        <v>1249</v>
      </c>
      <c r="DZ183" s="413"/>
      <c r="EA183" s="412"/>
      <c r="EB183" s="412"/>
      <c r="EC183" s="412"/>
      <c r="ED183" s="412"/>
      <c r="EE183" s="412"/>
      <c r="EF183" s="412"/>
      <c r="EG183" s="409">
        <v>30</v>
      </c>
      <c r="EH183" s="398">
        <f>IF(EG183=0,0,IF(LEN(DY183)=11,_xlfn.XLOOKUP(DY183,'Dispensed Ink Rates'!C:C,'Dispensed Ink Rates'!CS:CS),VLOOKUP(DY183,'Jan-2026 rates'!$E:$F,2,0)))</f>
        <v>0</v>
      </c>
      <c r="EI183" s="409"/>
      <c r="EJ183" s="398">
        <f>IF(EI183=0,0,IF(LEN(DZ183)=11,_xlfn.XLOOKUP(DZ183,'Dispensed Ink Rates'!C:C,'Dispensed Ink Rates'!CS:CS),VLOOKUP(DZ183,'Jan-2026 rates'!$E:$F,2,0)))</f>
        <v>0</v>
      </c>
      <c r="EK183" s="409"/>
      <c r="EL183" s="398">
        <f>IF(EK183=0,0,IF(LEN(EA183)=11,_xlfn.XLOOKUP(EA183,'Dispensed Ink Rates'!C:C,'Dispensed Ink Rates'!CS:CS),VLOOKUP(EA183,'Jan-2026 rates'!$E:$F,2,0)))</f>
        <v>0</v>
      </c>
      <c r="EM183" s="409"/>
      <c r="EN183" s="398">
        <f>IF(EM183=0,0,IF(LEN(EB183)=11,_xlfn.XLOOKUP(EB183,'Dispensed Ink Rates'!C:C,'Dispensed Ink Rates'!CS:CS),VLOOKUP(EB183,'Jan-2026 rates'!$E:$F,2,0)))</f>
        <v>0</v>
      </c>
      <c r="EO183" s="409"/>
      <c r="EP183" s="398">
        <f>IF(EO183=0,0,IF(LEN(EC183)=11,_xlfn.XLOOKUP(EC183,'Dispensed Ink Rates'!C:C,'Dispensed Ink Rates'!CS:CS),VLOOKUP(EC183,'Jan-2026 rates'!$E:$F,2,0)))</f>
        <v>0</v>
      </c>
      <c r="EQ183" s="409"/>
      <c r="ER183" s="398">
        <f>IF(EQ183=0,0,IF(LEN(ED183)=11,_xlfn.XLOOKUP(ED183,'Dispensed Ink Rates'!C:C,'Dispensed Ink Rates'!CS:CS),VLOOKUP(ED183,'Jan-2026 rates'!$E:$F,2,0)))</f>
        <v>0</v>
      </c>
      <c r="ES183" s="409"/>
      <c r="ET183" s="398">
        <f>IF(ES183=0,0,IF(LEN(EE183)=11,_xlfn.XLOOKUP(EE183,'Dispensed Ink Rates'!C:C,'Dispensed Ink Rates'!CS:CS),VLOOKUP(EE183,'Jan-2026 rates'!$E:$F,2,0)))</f>
        <v>0</v>
      </c>
      <c r="EU183" s="409"/>
      <c r="EV183" s="398">
        <f>IF(EU183=0,0,IF(LEN(EF183)=11,_xlfn.XLOOKUP(EF183,'Dispensed Ink Rates'!C:C,'Dispensed Ink Rates'!CS:CS),VLOOKUP(EF183,'Jan-2026 rates'!$E:$F,2,0)))</f>
        <v>0</v>
      </c>
      <c r="EW183" s="409" t="s">
        <v>1881</v>
      </c>
      <c r="EX183" s="409">
        <v>20</v>
      </c>
      <c r="EY183" s="411">
        <f t="shared" si="115"/>
        <v>0</v>
      </c>
      <c r="EZ183" s="411">
        <f t="shared" si="116"/>
        <v>56.10526315789474</v>
      </c>
      <c r="FA183" s="410">
        <f t="shared" si="117"/>
        <v>0</v>
      </c>
      <c r="FB183" s="405" t="s">
        <v>605</v>
      </c>
      <c r="FC183" s="409" t="s">
        <v>3643</v>
      </c>
      <c r="FD183" s="420" t="str">
        <f t="shared" si="134"/>
        <v>ToyoLi - MATT</v>
      </c>
      <c r="FE183" s="409">
        <v>15</v>
      </c>
      <c r="FF183" s="411">
        <f>IF(FE183=0,0,IF($LB183=70%,VLOOKUP($FD183,'Jan-2026 rates'!$L:$R,4,0),IF($LB183=65%,VLOOKUP($FD183,'Jan-2026 rates'!$L:$R,4,0),IF($LB183=40%,VLOOKUP($FD183,'Jan-2026 rates'!$L:$R,5,0),IF($LB183=30%,VLOOKUP($FD183,'Jan-2026 rates'!$L:$R,6,0),IF($LB183=100%,VLOOKUP($FD183,'Jan-2026 rates'!$L:$R,7,0),IF($LB183=60%,VLOOKUP($FD183,'Jan-2026 rates'!$L:$S,8,0),IF($LB183=80%,VLOOKUP($FD183,'Jan-2026 rates'!L:T,9,0),0))))))))</f>
        <v>0</v>
      </c>
      <c r="FG183" s="412"/>
      <c r="FH183" s="409"/>
      <c r="FI183" s="411">
        <f>IF(FH183=0,0,IF($LB183=70%,VLOOKUP($FD183,'Jan-2026 rates'!$L:$R,4,0),IF($LB183=65%,VLOOKUP($FD183,'Jan-2026 rates'!$L:$R,4,0),IF($LB183=40%,VLOOKUP($FD183,'Jan-2026 rates'!$L:$R,5,0),IF($LB183=30%,VLOOKUP($FD183,'Jan-2026 rates'!$L:$R,6,0),IF($LB183=100%,VLOOKUP($FD183,'Jan-2026 rates'!$L:$R,7,0),IF($LB183=60%,VLOOKUP($FD183,'Jan-2026 rates'!$L:$S,8,0),IF($LB183=80%,VLOOKUP($FD183,'Jan-2026 rates'!L:T,9,0),0))))))))</f>
        <v>0</v>
      </c>
      <c r="FJ183" s="413">
        <v>55</v>
      </c>
      <c r="FK183" s="413" t="s">
        <v>1902</v>
      </c>
      <c r="FL183" s="413"/>
      <c r="FM183" s="412"/>
      <c r="FN183" s="412"/>
      <c r="FO183" s="412"/>
      <c r="FP183" s="412"/>
      <c r="FQ183" s="412"/>
      <c r="FR183" s="409">
        <v>20</v>
      </c>
      <c r="FS183" s="398">
        <f>IF(FR183=0,0,IF(LEN(FJ183)=11,_xlfn.XLOOKUP(FJ183,'Dispensed Ink Rates'!C:C,'Dispensed Ink Rates'!CS:CS),VLOOKUP(FJ183,'Jan-2026 rates'!$E:$F,2,0)))</f>
        <v>0</v>
      </c>
      <c r="FT183" s="409">
        <v>5</v>
      </c>
      <c r="FU183" s="398">
        <f>IF(FT183=0,0,IF(LEN(FK183)=11,_xlfn.XLOOKUP(FK183,'Dispensed Ink Rates'!C:C,'Dispensed Ink Rates'!CS:CS),VLOOKUP(FK183,'Jan-2026 rates'!$E:$F,2,0)))</f>
        <v>0</v>
      </c>
      <c r="FV183" s="409"/>
      <c r="FW183" s="398">
        <f>IF(FV183=0,0,IF(LEN(FL183)=11,_xlfn.XLOOKUP(FL183,'Dispensed Ink Rates'!C:C,'Dispensed Ink Rates'!CS:CS),VLOOKUP(FL183,'Jan-2026 rates'!$E:$F,2,0)))</f>
        <v>0</v>
      </c>
      <c r="FX183" s="409"/>
      <c r="FY183" s="398">
        <f>IF(FX183=0,0,IF(LEN(FM183)=11,_xlfn.XLOOKUP(FM183,'Dispensed Ink Rates'!C:C,'Dispensed Ink Rates'!CS:CS),VLOOKUP(FM183,'Jan-2026 rates'!$E:$F,2,0)))</f>
        <v>0</v>
      </c>
      <c r="FZ183" s="409"/>
      <c r="GA183" s="398">
        <f>IF(FZ183=0,0,IF(LEN(FN183)=11,_xlfn.XLOOKUP(FN183,'Dispensed Ink Rates'!C:C,'Dispensed Ink Rates'!CS:CS),VLOOKUP(FN183,'Jan-2026 rates'!$E:$F,2,0)))</f>
        <v>0</v>
      </c>
      <c r="GB183" s="409"/>
      <c r="GC183" s="398">
        <f>IF(GB183=0,0,IF(LEN(FO183)=11,_xlfn.XLOOKUP(FO183,'Dispensed Ink Rates'!C:C,'Dispensed Ink Rates'!CS:CS),VLOOKUP(FO183,'Jan-2026 rates'!$E:$F,2,0)))</f>
        <v>0</v>
      </c>
      <c r="GD183" s="409"/>
      <c r="GE183" s="398">
        <f>IF(GD183=0,0,IF(LEN(FP183)=11,_xlfn.XLOOKUP(FP183,'Dispensed Ink Rates'!C:C,'Dispensed Ink Rates'!CS:CS),VLOOKUP(FP183,'Jan-2026 rates'!$E:$F,2,0)))</f>
        <v>0</v>
      </c>
      <c r="GF183" s="409"/>
      <c r="GG183" s="398">
        <f>IF(GF183=0,0,IF(LEN(FQ183)=11,_xlfn.XLOOKUP(FQ183,'Dispensed Ink Rates'!C:C,'Dispensed Ink Rates'!CS:CS),VLOOKUP(FQ183,'Jan-2026 rates'!$E:$F,2,0)))</f>
        <v>0</v>
      </c>
      <c r="GH183" s="409" t="s">
        <v>1881</v>
      </c>
      <c r="GI183" s="409">
        <f>18+5</f>
        <v>23</v>
      </c>
      <c r="GJ183" s="411">
        <f t="shared" si="118"/>
        <v>0</v>
      </c>
      <c r="GK183" s="411">
        <f t="shared" si="119"/>
        <v>25.157894736842103</v>
      </c>
      <c r="GL183" s="410">
        <f t="shared" si="120"/>
        <v>0</v>
      </c>
      <c r="GM183" s="405"/>
      <c r="GN183" s="409"/>
      <c r="GO183" s="420" t="str">
        <f t="shared" si="135"/>
        <v xml:space="preserve"> - </v>
      </c>
      <c r="GP183" s="409"/>
      <c r="GQ183" s="411">
        <f>IF(GP183=0,0,IF($LB183=70%,VLOOKUP($GO183,'Jan-2026 rates'!$L:$R,4,0),IF($LB183=65%,VLOOKUP($GO183,'Jan-2026 rates'!$L:$R,4,0),IF($LB183=40%,VLOOKUP($GO183,'Jan-2026 rates'!$L:$R,5,0),IF($LB183=30%,VLOOKUP($GO183,'Jan-2026 rates'!$L:$R,6,0),IF($LB183=100%,VLOOKUP($GO183,'Jan-2026 rates'!$L:$R,7,0),IF($LB183=60%,VLOOKUP($GO183,'Jan-2026 rates'!$L:$S,8,0),IF($LB183=80%,VLOOKUP($GO183,'Jan-2026 rates'!L:T,9,0),0))))))))</f>
        <v>0</v>
      </c>
      <c r="GR183" s="412"/>
      <c r="GS183" s="409"/>
      <c r="GT183" s="411">
        <f>IF(GS183=0,0,IF($LB183=70%,VLOOKUP($GO183,'Jan-2026 rates'!$L:$R,4,0),IF($LB183=65%,VLOOKUP($GO183,'Jan-2026 rates'!$L:$R,4,0),IF($LB183=40%,VLOOKUP($GO183,'Jan-2026 rates'!$L:$R,5,0),IF($LB183=30%,VLOOKUP($GO183,'Jan-2026 rates'!$L:$R,6,0),IF($LB183=100%,VLOOKUP($GO183,'Jan-2026 rates'!$L:$R,7,0),IF($LB183=60%,VLOOKUP($GO183,'Jan-2026 rates'!$L:$S,8,0),IF($LB183=80%,VLOOKUP($GO183,'Jan-2026 rates'!L:T,9,0),0))))))))</f>
        <v>0</v>
      </c>
      <c r="GU183" s="413"/>
      <c r="GV183" s="413"/>
      <c r="GW183" s="412"/>
      <c r="GX183" s="412"/>
      <c r="GY183" s="412"/>
      <c r="GZ183" s="412"/>
      <c r="HA183" s="412"/>
      <c r="HB183" s="412"/>
      <c r="HC183" s="409"/>
      <c r="HD183" s="398">
        <f>IF(HC183=0,0,IF(LEN(GU183)=11,_xlfn.XLOOKUP(GU183,'Dispensed Ink Rates'!C:C,'Dispensed Ink Rates'!CS:CS),VLOOKUP(GU183,'Jan-2026 rates'!$E:$F,2,0)))</f>
        <v>0</v>
      </c>
      <c r="HE183" s="409"/>
      <c r="HF183" s="398">
        <f>IF(HE183=0,0,IF(LEN(GV183)=11,_xlfn.XLOOKUP(GV183,'Dispensed Ink Rates'!C:C,'Dispensed Ink Rates'!CS:CS),VLOOKUP(GV183,'Jan-2026 rates'!$E:$F,2,0)))</f>
        <v>0</v>
      </c>
      <c r="HG183" s="409"/>
      <c r="HH183" s="398">
        <f>IF(HG183=0,0,IF(LEN(GW183)=11,_xlfn.XLOOKUP(GW183,'Dispensed Ink Rates'!C:C,'Dispensed Ink Rates'!CS:CS),VLOOKUP(GW183,'Jan-2026 rates'!$E:$F,2,0)))</f>
        <v>0</v>
      </c>
      <c r="HI183" s="409"/>
      <c r="HJ183" s="398">
        <f>IF(HI183=0,0,IF(LEN(GX183)=11,_xlfn.XLOOKUP(GX183,'Dispensed Ink Rates'!C:C,'Dispensed Ink Rates'!CS:CS),VLOOKUP(GX183,'Jan-2026 rates'!$E:$F,2,0)))</f>
        <v>0</v>
      </c>
      <c r="HK183" s="409"/>
      <c r="HL183" s="398">
        <f>IF(HK183=0,0,IF(LEN(GY183)=11,_xlfn.XLOOKUP(GY183,'Dispensed Ink Rates'!C:C,'Dispensed Ink Rates'!CS:CS),VLOOKUP(GY183,'Jan-2026 rates'!$E:$F,2,0)))</f>
        <v>0</v>
      </c>
      <c r="HM183" s="409"/>
      <c r="HN183" s="398">
        <f>IF(HM183=0,0,IF(LEN(GZ183)=11,_xlfn.XLOOKUP(GZ183,'Dispensed Ink Rates'!C:C,'Dispensed Ink Rates'!CS:CS),VLOOKUP(GZ183,'Jan-2026 rates'!$E:$F,2,0)))</f>
        <v>0</v>
      </c>
      <c r="HO183" s="409"/>
      <c r="HP183" s="398">
        <f>IF(HO183=0,0,IF(LEN(HA183)=11,_xlfn.XLOOKUP(HA183,'Dispensed Ink Rates'!C:C,'Dispensed Ink Rates'!CS:CS),VLOOKUP(HA183,'Jan-2026 rates'!$E:$F,2,0)))</f>
        <v>0</v>
      </c>
      <c r="HQ183" s="409"/>
      <c r="HR183" s="398">
        <f>IF(HQ183=0,0,IF(LEN(HB183)=11,_xlfn.XLOOKUP(HB183,'Dispensed Ink Rates'!C:C,'Dispensed Ink Rates'!CS:CS),VLOOKUP(HB183,'Jan-2026 rates'!$E:$F,2,0)))</f>
        <v>0</v>
      </c>
      <c r="HS183" s="409"/>
      <c r="HT183" s="409"/>
      <c r="HU183" s="411">
        <f t="shared" si="121"/>
        <v>0</v>
      </c>
      <c r="HV183" s="411">
        <f t="shared" si="122"/>
        <v>0</v>
      </c>
      <c r="HW183" s="414">
        <f t="shared" si="123"/>
        <v>0</v>
      </c>
      <c r="HX183" s="405"/>
      <c r="HY183" s="409"/>
      <c r="HZ183" s="420" t="str">
        <f t="shared" si="136"/>
        <v xml:space="preserve"> - </v>
      </c>
      <c r="IA183" s="409"/>
      <c r="IB183" s="411">
        <f>IF(IA183=0,0,IF($LB183=70%,VLOOKUP($HZ183,'Jan-2026 rates'!$L:$R,4,0),IF($LB183=65%,VLOOKUP($HZ183,'Jan-2026 rates'!$L:$R,4,0),IF($LB183=40%,VLOOKUP($HZ183,'Jan-2026 rates'!$L:$R,5,0),IF($LB183=30%,VLOOKUP($HZ183,'Jan-2026 rates'!$L:$R,6,0),IF($LB183=100%,VLOOKUP($HZ183,'Jan-2026 rates'!$L:$R,7,0),IF($LB183=60%,VLOOKUP($HZ183,'Jan-2026 rates'!$L:$S,8,0),IF($LB183=80%,VLOOKUP($HZ183,'Jan-2026 rates'!L:T,9,0),0))))))))</f>
        <v>0</v>
      </c>
      <c r="IC183" s="412"/>
      <c r="ID183" s="409"/>
      <c r="IE183" s="411">
        <f>IF(ID183=0,0,IF($LB183=70%,VLOOKUP($HZ183,'Jan-2026 rates'!$L:$R,4,0),IF($LB183=65%,VLOOKUP($HZ183,'Jan-2026 rates'!$L:$R,4,0),IF($LB183=40%,VLOOKUP($HZ183,'Jan-2026 rates'!$L:$R,5,0),IF($LB183=30%,VLOOKUP($HZ183,'Jan-2026 rates'!$L:$R,6,0),IF($LB183=100%,VLOOKUP($HZ183,'Jan-2026 rates'!$L:$R,7,0),IF($LB183=60%,VLOOKUP($HZ183,'Jan-2026 rates'!$L:$S,8,0),IF($LB183=80%,VLOOKUP($HZ183,'Jan-2026 rates'!L:T,9,0),0))))))))</f>
        <v>0</v>
      </c>
      <c r="IF183" s="412"/>
      <c r="IG183" s="413"/>
      <c r="IH183" s="412"/>
      <c r="II183" s="412"/>
      <c r="IJ183" s="412"/>
      <c r="IK183" s="412"/>
      <c r="IL183" s="412"/>
      <c r="IM183" s="412"/>
      <c r="IN183" s="409"/>
      <c r="IO183" s="398">
        <f>IF(IN183=0,0,IF(LEN(IF183)=11,_xlfn.XLOOKUP(IF183,'Dispensed Ink Rates'!C:C,'Dispensed Ink Rates'!CS:CS),VLOOKUP(IF183,'Jan-2026 rates'!$E:$F,2,0)))</f>
        <v>0</v>
      </c>
      <c r="IP183" s="409"/>
      <c r="IQ183" s="398">
        <f>IF(IP183=0,0,IF(LEN(IG183)=11,_xlfn.XLOOKUP(IG183,'Dispensed Ink Rates'!C:C,'Dispensed Ink Rates'!CS:CS),VLOOKUP(IG183,'Jan-2026 rates'!$E:$F,2,0)))</f>
        <v>0</v>
      </c>
      <c r="IR183" s="409"/>
      <c r="IS183" s="398">
        <f>IF(IR183=0,0,IF(LEN(IH183)=11,_xlfn.XLOOKUP(IH183,'Dispensed Ink Rates'!C:C,'Dispensed Ink Rates'!CS:CS),VLOOKUP(IH183,'Jan-2026 rates'!$E:$F,2,0)))</f>
        <v>0</v>
      </c>
      <c r="IT183" s="409"/>
      <c r="IU183" s="398">
        <f>IF(IT183=0,0,IF(LEN(II183)=11,_xlfn.XLOOKUP(II183,'Dispensed Ink Rates'!C:C,'Dispensed Ink Rates'!CS:CS),VLOOKUP(II183,'Jan-2026 rates'!$E:$F,2,0)))</f>
        <v>0</v>
      </c>
      <c r="IV183" s="409"/>
      <c r="IW183" s="398">
        <f>IF(IV183=0,0,IF(LEN(IJ183)=11,_xlfn.XLOOKUP(IJ183,'Dispensed Ink Rates'!C:C,'Dispensed Ink Rates'!CS:CS),VLOOKUP(IJ183,'Jan-2026 rates'!$E:$F,2,0)))</f>
        <v>0</v>
      </c>
      <c r="IX183" s="409"/>
      <c r="IY183" s="398">
        <f>IF(IX183=0,0,IF(LEN(IK183)=11,_xlfn.XLOOKUP(IK183,'Dispensed Ink Rates'!C:C,'Dispensed Ink Rates'!CS:CS),VLOOKUP(IK183,'Jan-2026 rates'!$E:$F,2,0)))</f>
        <v>0</v>
      </c>
      <c r="IZ183" s="409"/>
      <c r="JA183" s="398">
        <f>IF(IZ183=0,0,IF(LEN(IL183)=11,_xlfn.XLOOKUP(IL183,'Dispensed Ink Rates'!C:C,'Dispensed Ink Rates'!CS:CS),VLOOKUP(IL183,'Jan-2026 rates'!$E:$F,2,0)))</f>
        <v>0</v>
      </c>
      <c r="JB183" s="409"/>
      <c r="JC183" s="398">
        <f>IF(JB183=0,0,IF(LEN(IM183)=11,_xlfn.XLOOKUP(IM183,'Dispensed Ink Rates'!C:C,'Dispensed Ink Rates'!CS:CS),VLOOKUP(IM183,'Jan-2026 rates'!$E:$F,2,0)))</f>
        <v>0</v>
      </c>
      <c r="JD183" s="409"/>
      <c r="JE183" s="409"/>
      <c r="JF183" s="411">
        <f t="shared" si="124"/>
        <v>0</v>
      </c>
      <c r="JG183" s="411">
        <f t="shared" si="125"/>
        <v>0</v>
      </c>
      <c r="JH183" s="410">
        <f t="shared" si="126"/>
        <v>0</v>
      </c>
      <c r="JI183" s="405"/>
      <c r="JJ183" s="409"/>
      <c r="JK183" s="420" t="str">
        <f t="shared" si="137"/>
        <v xml:space="preserve"> - </v>
      </c>
      <c r="JL183" s="409"/>
      <c r="JM183" s="411">
        <f>IF(JL183=0,0,IF($LB183=70%,VLOOKUP($JK183,'Jan-2026 rates'!$L:$R,4,0),IF($LB183=65%,VLOOKUP($JK183,'Jan-2026 rates'!$L:$R,4,0),IF($LB183=40%,VLOOKUP($JK183,'Jan-2026 rates'!$L:$R,5,0),IF($LB183=30%,VLOOKUP($JK183,'Jan-2026 rates'!$L:$R,6,0),IF($LB183=100%,VLOOKUP($JK183,'Jan-2026 rates'!$L:$R,7,0),IF($LB183=60%,VLOOKUP($JK183,'Jan-2026 rates'!$L:$S,8,0),IF($LB183=80%,VLOOKUP($JK183,'Jan-2026 rates'!L:T,9,0),0))))))))</f>
        <v>0</v>
      </c>
      <c r="JN183" s="412"/>
      <c r="JO183" s="409"/>
      <c r="JP183" s="411">
        <f>IF(JO183=0,0,IF($LB183=70%,VLOOKUP($JK183,'Jan-2026 rates'!$L:$R,4,0),IF($LB183=65%,VLOOKUP($JK183,'Jan-2026 rates'!$L:$R,4,0),IF($LB183=40%,VLOOKUP($JK183,'Jan-2026 rates'!$L:$R,5,0),IF($LB183=30%,VLOOKUP($JK183,'Jan-2026 rates'!$L:$R,6,0),IF($LB183=100%,VLOOKUP($JK183,'Jan-2026 rates'!$L:$R,7,0),IF($LB183=60%,VLOOKUP($JK183,'Jan-2026 rates'!$L:$S,8,0),IF($LB183=80%,VLOOKUP($JK183,'Jan-2026 rates'!L:T,9,0),0))))))))</f>
        <v>0</v>
      </c>
      <c r="JQ183" s="413"/>
      <c r="JR183" s="412"/>
      <c r="JS183" s="413"/>
      <c r="JT183" s="413"/>
      <c r="JU183" s="412"/>
      <c r="JV183" s="412"/>
      <c r="JW183" s="412"/>
      <c r="JX183" s="412"/>
      <c r="JY183" s="409"/>
      <c r="JZ183" s="398">
        <f>IF(JY183=0,0,IF(LEN(JQ183)=11,_xlfn.XLOOKUP(JQ183,'Dispensed Ink Rates'!C:C,'Dispensed Ink Rates'!CS:CS),VLOOKUP(JQ183,'Jan-2026 rates'!$E:$F,2,0)))</f>
        <v>0</v>
      </c>
      <c r="KA183" s="409"/>
      <c r="KB183" s="398">
        <f>IF(KA183=0,0,IF(LEN(JR183)=11,_xlfn.XLOOKUP(JR183,'Dispensed Ink Rates'!C:C,'Dispensed Ink Rates'!CS:CS),VLOOKUP(JR183,'Jan-2026 rates'!$E:$F,2,0)))</f>
        <v>0</v>
      </c>
      <c r="KC183" s="409"/>
      <c r="KD183" s="398">
        <f>IF(KC183=0,0,IF(LEN(JS183)=11,_xlfn.XLOOKUP(JS183,'Dispensed Ink Rates'!C:C,'Dispensed Ink Rates'!CS:CS),VLOOKUP(JS183,'Jan-2026 rates'!$E:$F,2,0)))</f>
        <v>0</v>
      </c>
      <c r="KE183" s="409"/>
      <c r="KF183" s="398">
        <f>IF(KE183=0,0,IF(LEN(JT183)=11,_xlfn.XLOOKUP(JT183,'Dispensed Ink Rates'!C:C,'Dispensed Ink Rates'!CS:CS),VLOOKUP(JT183,'Jan-2026 rates'!$E:$F,2,0)))</f>
        <v>0</v>
      </c>
      <c r="KG183" s="409"/>
      <c r="KH183" s="398">
        <f>IF(KG183=0,0,IF(LEN(JU183)=11,_xlfn.XLOOKUP(JU183,'Dispensed Ink Rates'!C:C,'Dispensed Ink Rates'!CS:CS),VLOOKUP(JU183,'Jan-2026 rates'!$E:$F,2,0)))</f>
        <v>0</v>
      </c>
      <c r="KI183" s="409"/>
      <c r="KJ183" s="398">
        <f>IF(KI183=0,0,IF(LEN(JV183)=11,_xlfn.XLOOKUP(JV183,'Dispensed Ink Rates'!C:C,'Dispensed Ink Rates'!CS:CS),VLOOKUP(JV183,'Jan-2026 rates'!$E:$F,2,0)))</f>
        <v>0</v>
      </c>
      <c r="KK183" s="409"/>
      <c r="KL183" s="398">
        <f>IF(KK183=0,0,IF(LEN(JW183)=11,_xlfn.XLOOKUP(JW183,'Dispensed Ink Rates'!C:C,'Dispensed Ink Rates'!CS:CS),VLOOKUP(JW183,'Jan-2026 rates'!$E:$F,2,0)))</f>
        <v>0</v>
      </c>
      <c r="KM183" s="428"/>
      <c r="KN183" s="398">
        <f>IF(KM183=0,0,IF(LEN(JX183)=11,_xlfn.XLOOKUP(JX183,'Dispensed Ink Rates'!C:C,'Dispensed Ink Rates'!CS:CS),VLOOKUP(JX183,'Jan-2026 rates'!$E:$F,2,0)))</f>
        <v>0</v>
      </c>
      <c r="KO183" s="409"/>
      <c r="KP183" s="409"/>
      <c r="KQ183" s="411">
        <f t="shared" si="127"/>
        <v>0</v>
      </c>
      <c r="KR183" s="411">
        <f t="shared" si="128"/>
        <v>0</v>
      </c>
      <c r="KS183" s="410">
        <f t="shared" si="129"/>
        <v>0</v>
      </c>
      <c r="KT183" s="409">
        <v>2</v>
      </c>
      <c r="KU183" s="409">
        <v>5</v>
      </c>
      <c r="KV183" s="409">
        <v>10</v>
      </c>
      <c r="KW183" s="409">
        <v>16</v>
      </c>
      <c r="KX183" s="409">
        <v>5</v>
      </c>
      <c r="KY183" s="409">
        <v>0</v>
      </c>
      <c r="KZ183" s="409">
        <v>0</v>
      </c>
      <c r="LA183" s="409">
        <v>0</v>
      </c>
      <c r="LB183" s="415">
        <v>0.3</v>
      </c>
      <c r="LC183" s="415"/>
      <c r="LD183" s="415"/>
      <c r="LE183" s="415">
        <v>0.5</v>
      </c>
      <c r="LF183" s="415">
        <v>0.2</v>
      </c>
      <c r="LG183" s="409">
        <v>0</v>
      </c>
      <c r="LH183" s="409">
        <f>21+11+9+15+6</f>
        <v>62</v>
      </c>
      <c r="LI183" s="409">
        <v>0</v>
      </c>
      <c r="LJ183" s="409">
        <v>0</v>
      </c>
      <c r="LK183" s="416">
        <f t="shared" si="138"/>
        <v>62</v>
      </c>
      <c r="LL183" s="416">
        <f t="shared" si="139"/>
        <v>62</v>
      </c>
      <c r="LM183" s="417">
        <f t="shared" si="140"/>
        <v>18.599999999999998</v>
      </c>
      <c r="LN183" s="417">
        <f>VLOOKUP($LM$8,'Jan-2026 rates'!$H:$I,2,0)</f>
        <v>0</v>
      </c>
      <c r="LO183" s="417">
        <f t="shared" si="141"/>
        <v>0</v>
      </c>
      <c r="LP183" s="417">
        <f>VLOOKUP($LO$8,'Jan-2026 rates'!$H:$I,2,0)</f>
        <v>0</v>
      </c>
      <c r="LQ183" s="417">
        <f t="shared" si="142"/>
        <v>0</v>
      </c>
      <c r="LR183" s="417">
        <f>VLOOKUP($LQ$8,'Jan-2026 rates'!$H:$I,2,0)</f>
        <v>0</v>
      </c>
      <c r="LS183" s="417">
        <f t="shared" si="143"/>
        <v>31</v>
      </c>
      <c r="LT183" s="417">
        <f>VLOOKUP($LS$8,'Jan-2026 rates'!$H:$I,2,0)</f>
        <v>0</v>
      </c>
      <c r="LU183" s="417">
        <f t="shared" si="144"/>
        <v>12.4</v>
      </c>
      <c r="LV183" s="417">
        <f>VLOOKUP($LU$8,'Jan-2026 rates'!$H:$I,2,0)</f>
        <v>0</v>
      </c>
      <c r="LW183" s="417">
        <f t="shared" si="145"/>
        <v>0</v>
      </c>
      <c r="LX183" s="417">
        <f t="shared" si="146"/>
        <v>0</v>
      </c>
      <c r="LY183" s="418">
        <f t="shared" si="147"/>
        <v>0</v>
      </c>
      <c r="LZ183" s="417"/>
      <c r="MA183" s="435">
        <f t="shared" si="148"/>
        <v>82</v>
      </c>
      <c r="MB183" s="282">
        <f t="shared" si="149"/>
        <v>116</v>
      </c>
      <c r="MC183" s="283" t="s">
        <v>2018</v>
      </c>
      <c r="MD183" s="284" t="str">
        <f t="shared" si="150"/>
        <v>ToyoLiToyoLiToyoLiToyoLiToyoLi</v>
      </c>
      <c r="ME183" s="293" t="str">
        <f t="shared" si="151"/>
        <v>+</v>
      </c>
      <c r="MF183" s="293" t="str">
        <f t="shared" si="152"/>
        <v>+</v>
      </c>
      <c r="MG183" s="293" t="str">
        <f t="shared" si="153"/>
        <v>+</v>
      </c>
      <c r="MH183" s="293" t="str">
        <f t="shared" si="154"/>
        <v>+</v>
      </c>
      <c r="MI183" s="293" t="str">
        <f t="shared" si="155"/>
        <v>+</v>
      </c>
      <c r="MJ183" s="293" t="str">
        <f t="shared" si="156"/>
        <v>NIL</v>
      </c>
      <c r="MK183" s="293" t="str">
        <f t="shared" si="157"/>
        <v>NIL</v>
      </c>
      <c r="ML183" s="293" t="str">
        <f t="shared" si="158"/>
        <v>NIL</v>
      </c>
      <c r="MM183" s="3" t="b">
        <f t="array" ref="MM183">OR(ME183:ML183="-")</f>
        <v>0</v>
      </c>
      <c r="MN183" s="285"/>
      <c r="MO183" s="401"/>
      <c r="MP183" s="286"/>
      <c r="MQ183" s="286"/>
      <c r="MR183" s="402"/>
      <c r="MS183" s="400"/>
      <c r="NH183" s="422"/>
      <c r="NJ183" s="421"/>
    </row>
    <row r="184" spans="1:374" s="1" customFormat="1" ht="16.5">
      <c r="A184" s="403">
        <v>46036</v>
      </c>
      <c r="B184" s="404" t="s">
        <v>1015</v>
      </c>
      <c r="C184" s="405" t="s">
        <v>3644</v>
      </c>
      <c r="D184" s="406" t="s">
        <v>2019</v>
      </c>
      <c r="E184" s="404">
        <v>241</v>
      </c>
      <c r="F184" s="407">
        <v>12600</v>
      </c>
      <c r="G184" s="407" t="s">
        <v>1016</v>
      </c>
      <c r="H184" s="408" t="s">
        <v>1017</v>
      </c>
      <c r="I184" s="409">
        <f>1.5+1</f>
        <v>2.5</v>
      </c>
      <c r="J184" s="405" t="s">
        <v>543</v>
      </c>
      <c r="K184" s="404" t="s">
        <v>3645</v>
      </c>
      <c r="L184" s="419" t="str">
        <f t="shared" si="131"/>
        <v>ToyoLi - BLACK</v>
      </c>
      <c r="M184" s="404">
        <v>27</v>
      </c>
      <c r="N184" s="410">
        <f>IF(M184=0,0,IF($LB184=70%,VLOOKUP($L184,'Jan-2026 rates'!$L:$R,4,0),IF($LB184=65%,VLOOKUP($L184,'Jan-2026 rates'!$L:$R,4,0),IF($LB184=40%,VLOOKUP($L184,'Jan-2026 rates'!$L:$R,5,0),IF($LB184=30%,VLOOKUP($L184,'Jan-2026 rates'!$L:$R,6,0),IF($LB184=100%,VLOOKUP($L184,'Jan-2026 rates'!$L:$R,7,0),IF($LB184=60%,VLOOKUP($L184,'Jan-2026 rates'!$L:$S,8,0),IF($LB184=80%,VLOOKUP($L184,'Jan-2026 rates'!L:T,9,0),0))))))))</f>
        <v>0</v>
      </c>
      <c r="O184" s="406"/>
      <c r="P184" s="404"/>
      <c r="Q184" s="410">
        <f>IF(P184=0,0,IF($LB184=70%,VLOOKUP($L184,'Jan-2026 rates'!$L:$R,4,0),IF($LB184=65%,VLOOKUP($L184,'Jan-2026 rates'!$L:$R,4,0),IF($LB184=40%,VLOOKUP($L184,'Jan-2026 rates'!$L:$R,5,0),IF($LB184=30%,VLOOKUP($L184,'Jan-2026 rates'!$L:$R,6,0),IF($LB184=100%,VLOOKUP($L184,'Jan-2026 rates'!$L:$R,7,0),IF($LB184=60%,VLOOKUP($L184,'Jan-2026 rates'!$L:$S,8,0),IF($LB184=80%,VLOOKUP($L184,'Jan-2026 rates'!L:T,9,0),0))))))))</f>
        <v>0</v>
      </c>
      <c r="R184" s="406" t="s">
        <v>1921</v>
      </c>
      <c r="S184" s="406"/>
      <c r="T184" s="406"/>
      <c r="U184" s="406"/>
      <c r="V184" s="406"/>
      <c r="W184" s="406"/>
      <c r="X184" s="406"/>
      <c r="Y184" s="406"/>
      <c r="Z184" s="404">
        <v>3</v>
      </c>
      <c r="AA184" s="398">
        <f>IF(Z184=0,0,IF(LEN(R184)=11,_xlfn.XLOOKUP(R184,'Dispensed Ink Rates'!C:C,'Dispensed Ink Rates'!CS:CS),VLOOKUP(R184,'Jan-2026 rates'!$E:$F,2,0)))</f>
        <v>0</v>
      </c>
      <c r="AB184" s="404"/>
      <c r="AC184" s="398">
        <f>IF(AB184=0,0,IF(LEN(S184)=11,_xlfn.XLOOKUP(S184,'Dispensed Ink Rates'!C:C,'Dispensed Ink Rates'!CS:CS),VLOOKUP(S184,'Jan-2026 rates'!$E:$F,2,0)))</f>
        <v>0</v>
      </c>
      <c r="AD184" s="404"/>
      <c r="AE184" s="398">
        <f>IF(AD184=0,0,IF(LEN(T184)=11,_xlfn.XLOOKUP(T184,'Dispensed Ink Rates'!C:C,'Dispensed Ink Rates'!CS:CS),VLOOKUP(T184,'Jan-2026 rates'!$E:$F,2,0)))</f>
        <v>0</v>
      </c>
      <c r="AF184" s="404"/>
      <c r="AG184" s="398">
        <f>IF(AF184=0,0,IF(LEN(U184)=11,_xlfn.XLOOKUP(U184,'Dispensed Ink Rates'!C:C,'Dispensed Ink Rates'!CS:CS),VLOOKUP(U184,'Jan-2026 rates'!$E:$F,2,0)))</f>
        <v>0</v>
      </c>
      <c r="AH184" s="404"/>
      <c r="AI184" s="398">
        <f>IF(AH184=0,0,IF(LEN(V184)=11,_xlfn.XLOOKUP(V184,'Dispensed Ink Rates'!C:C,'Dispensed Ink Rates'!CS:CS),VLOOKUP(V184,'Jan-2026 rates'!$E:$F,2,0)))</f>
        <v>0</v>
      </c>
      <c r="AJ184" s="404"/>
      <c r="AK184" s="398">
        <f>IF(AJ184=0,0,IF(LEN(W184)=11,_xlfn.XLOOKUP(W184,'Dispensed Ink Rates'!C:C,'Dispensed Ink Rates'!CS:CS),VLOOKUP(W184,'Jan-2026 rates'!$E:$F,2,0)))</f>
        <v>0</v>
      </c>
      <c r="AL184" s="404"/>
      <c r="AM184" s="398">
        <f>IF(AL184=0,0,IF(LEN(X184)=11,_xlfn.XLOOKUP(X184,'Dispensed Ink Rates'!C:C,'Dispensed Ink Rates'!CS:CS),VLOOKUP(X184,'Jan-2026 rates'!$E:$F,2,0)))</f>
        <v>0</v>
      </c>
      <c r="AN184" s="404"/>
      <c r="AO184" s="398">
        <f>IF(AN184=0,0,IF(LEN(Y184)=11,_xlfn.XLOOKUP(Y184,'Dispensed Ink Rates'!C:C,'Dispensed Ink Rates'!CS:CS),VLOOKUP(Y184,'Jan-2026 rates'!$E:$F,2,0)))</f>
        <v>0</v>
      </c>
      <c r="AP184" s="409" t="s">
        <v>1881</v>
      </c>
      <c r="AQ184" s="409">
        <v>26</v>
      </c>
      <c r="AR184" s="410">
        <f t="shared" si="106"/>
        <v>0</v>
      </c>
      <c r="AS184" s="411">
        <f t="shared" si="107"/>
        <v>9.6333333333333329</v>
      </c>
      <c r="AT184" s="410">
        <f t="shared" si="108"/>
        <v>0</v>
      </c>
      <c r="AU184" s="405" t="s">
        <v>547</v>
      </c>
      <c r="AV184" s="409" t="s">
        <v>3646</v>
      </c>
      <c r="AW184" s="420" t="str">
        <f t="shared" si="130"/>
        <v>ToyoLi - GREEN</v>
      </c>
      <c r="AX184" s="409">
        <v>20</v>
      </c>
      <c r="AY184" s="411">
        <f>IF(AX184=0,0,IF($LB184=70%,VLOOKUP($AW184,'Jan-2026 rates'!$L:$R,4,0),IF($LB184=65%,VLOOKUP($AW184,'Jan-2026 rates'!$L:$R,4,0),IF($LB184=40%,VLOOKUP($AW184,'Jan-2026 rates'!$L:$R,5,0),IF($LB184=30%,VLOOKUP($AW184,'Jan-2026 rates'!$L:$R,6,0),IF($LB184=100%,VLOOKUP($AW184,'Jan-2026 rates'!$L:$R,7,0),IF($LB184=60%,VLOOKUP($AW184,'Jan-2026 rates'!$L:$S,8,0),IF($LB184=80%,VLOOKUP($AW184,'Jan-2026 rates'!L:T,9,0),0))))))))</f>
        <v>0</v>
      </c>
      <c r="AZ184" s="412"/>
      <c r="BA184" s="409"/>
      <c r="BB184" s="411">
        <f>IF(BA184=0,0,IF($LB184=70%,VLOOKUP($AW184,'Jan-2026 rates'!$L:$R,4,0),IF($LB184=65%,VLOOKUP($AW184,'Jan-2026 rates'!$L:$R,4,0),IF($LB184=40%,VLOOKUP($AW184,'Jan-2026 rates'!$L:$R,5,0),IF($LB184=30%,VLOOKUP($AW184,'Jan-2026 rates'!$L:$R,6,0),IF($LB184=100%,VLOOKUP($AW184,'Jan-2026 rates'!$L:$R,7,0),IF($LB184=60%,VLOOKUP($AW184,'Jan-2026 rates'!$L:$S,8,0),IF($LB184=80%,VLOOKUP($AW184,'Jan-2026 rates'!L:T,9,0),0))))))))</f>
        <v>0</v>
      </c>
      <c r="BC184" s="413" t="s">
        <v>1247</v>
      </c>
      <c r="BD184" s="412" t="s">
        <v>1248</v>
      </c>
      <c r="BE184" s="412" t="s">
        <v>1252</v>
      </c>
      <c r="BF184" s="413"/>
      <c r="BG184" s="412"/>
      <c r="BH184" s="412"/>
      <c r="BI184" s="412"/>
      <c r="BJ184" s="412"/>
      <c r="BK184" s="409">
        <v>2</v>
      </c>
      <c r="BL184" s="398">
        <f>IF(BK184=0,0,IF(LEN(BC184)=11,_xlfn.XLOOKUP(BC184,'Dispensed Ink Rates'!C:C,'Dispensed Ink Rates'!CS:CS),VLOOKUP(BC184,'Jan-2026 rates'!$E:$F,2,0)))</f>
        <v>0</v>
      </c>
      <c r="BM184" s="409">
        <v>1</v>
      </c>
      <c r="BN184" s="398">
        <f>IF(BM184=0,0,IF(LEN(BD184)=11,_xlfn.XLOOKUP(BD184,'Dispensed Ink Rates'!C:C,'Dispensed Ink Rates'!CS:CS),VLOOKUP(BD184,'Jan-2026 rates'!$E:$F,2,0)))</f>
        <v>0</v>
      </c>
      <c r="BO184" s="409">
        <v>1</v>
      </c>
      <c r="BP184" s="398">
        <f>IF(BO184=0,0,IF(LEN(BE184)=11,_xlfn.XLOOKUP(BE184,'Dispensed Ink Rates'!C:C,'Dispensed Ink Rates'!CS:CS),VLOOKUP(BE184,'Jan-2026 rates'!$E:$F,2,0)))</f>
        <v>0</v>
      </c>
      <c r="BQ184" s="409"/>
      <c r="BR184" s="398">
        <f>IF(BQ184=0,0,IF(LEN(BF184)=11,_xlfn.XLOOKUP(BF184,'Dispensed Ink Rates'!C:C,'Dispensed Ink Rates'!CS:CS),VLOOKUP(BF184,'Jan-2026 rates'!$E:$F,2,0)))</f>
        <v>0</v>
      </c>
      <c r="BS184" s="409"/>
      <c r="BT184" s="398">
        <f>IF(BS184=0,0,IF(LEN(BG184)=11,_xlfn.XLOOKUP(BG184,'Dispensed Ink Rates'!C:C,'Dispensed Ink Rates'!CS:CS),VLOOKUP(BG184,'Jan-2026 rates'!$E:$F,2,0)))</f>
        <v>0</v>
      </c>
      <c r="BU184" s="409"/>
      <c r="BV184" s="398">
        <f>IF(BU184=0,0,IF(LEN(BH184)=11,_xlfn.XLOOKUP(BH184,'Dispensed Ink Rates'!C:C,'Dispensed Ink Rates'!CS:CS),VLOOKUP(BH184,'Jan-2026 rates'!$E:$F,2,0)))</f>
        <v>0</v>
      </c>
      <c r="BW184" s="409"/>
      <c r="BX184" s="398">
        <f>IF(BW184=0,0,IF(LEN(BI184)=11,_xlfn.XLOOKUP(BI184,'Dispensed Ink Rates'!C:C,'Dispensed Ink Rates'!CS:CS),VLOOKUP(BI184,'Jan-2026 rates'!$E:$F,2,0)))</f>
        <v>0</v>
      </c>
      <c r="BY184" s="409"/>
      <c r="BZ184" s="398">
        <f>IF(BY184=0,0,IF(LEN(BJ184)=11,_xlfn.XLOOKUP(BJ184,'Dispensed Ink Rates'!C:C,'Dispensed Ink Rates'!CS:CS),VLOOKUP(BJ184,'Jan-2026 rates'!$E:$F,2,0)))</f>
        <v>0</v>
      </c>
      <c r="CA184" s="409" t="s">
        <v>1881</v>
      </c>
      <c r="CB184" s="409">
        <v>25</v>
      </c>
      <c r="CC184" s="411">
        <f t="shared" si="109"/>
        <v>0</v>
      </c>
      <c r="CD184" s="411">
        <f t="shared" si="110"/>
        <v>7.4500000000000028</v>
      </c>
      <c r="CE184" s="410">
        <f t="shared" si="111"/>
        <v>0</v>
      </c>
      <c r="CF184" s="404" t="s">
        <v>543</v>
      </c>
      <c r="CG184" s="409" t="s">
        <v>2314</v>
      </c>
      <c r="CH184" s="420" t="str">
        <f t="shared" si="132"/>
        <v>ToyoLi - BLACK</v>
      </c>
      <c r="CI184" s="409">
        <v>11</v>
      </c>
      <c r="CJ184" s="411">
        <f>IF(CI184=0,0,IF($LB184=70%,VLOOKUP($CH184,'Jan-2026 rates'!$L:$R,4,0),IF($LB184=65%,VLOOKUP($CH184,'Jan-2026 rates'!$L:$R,4,0),IF($LB184=40%,VLOOKUP($CH184,'Jan-2026 rates'!$L:$R,5,0),IF($LB184=30%,VLOOKUP($CH184,'Jan-2026 rates'!$L:$R,6,0),IF($LB184=100%,VLOOKUP($CH184,'Jan-2026 rates'!$L:$R,7,0),IF($LB184=60%,VLOOKUP($CH184,'Jan-2026 rates'!$L:$S,8,0),IF($LB184=80%,VLOOKUP($CH184,'Jan-2026 rates'!L:T,9,0),0))))))))</f>
        <v>0</v>
      </c>
      <c r="CK184" s="412" t="s">
        <v>3647</v>
      </c>
      <c r="CL184" s="409">
        <v>20</v>
      </c>
      <c r="CM184" s="411">
        <f>IF(CL184=0,0,IF($LB184=70%,VLOOKUP($CH184,'Jan-2026 rates'!$L:$R,4,0),IF($LB184=65%,VLOOKUP($CH184,'Jan-2026 rates'!$L:$R,4,0),IF($LB184=40%,VLOOKUP($CH184,'Jan-2026 rates'!$L:$R,5,0),IF($LB184=30%,VLOOKUP($CH184,'Jan-2026 rates'!$L:$R,6,0),IF($LB184=100%,VLOOKUP($CH184,'Jan-2026 rates'!$L:$R,7,0),IF($LB184=60%,VLOOKUP($CH184,'Jan-2026 rates'!$L:$S,8,0),IF($LB184=80%,VLOOKUP($CH184,'Jan-2026 rates'!L:T,9,0),0))))))))</f>
        <v>0</v>
      </c>
      <c r="CN184" s="426" t="s">
        <v>1246</v>
      </c>
      <c r="CO184" s="427" t="s">
        <v>1247</v>
      </c>
      <c r="CP184" s="426" t="s">
        <v>1248</v>
      </c>
      <c r="CQ184" s="426"/>
      <c r="CR184" s="428"/>
      <c r="CS184" s="428"/>
      <c r="CT184" s="428"/>
      <c r="CU184" s="428"/>
      <c r="CV184" s="409">
        <v>3</v>
      </c>
      <c r="CW184" s="398">
        <f>IF(CV184=0,0,IF(LEN(CN184)=11,_xlfn.XLOOKUP(CN184,'Dispensed Ink Rates'!C:C,'Dispensed Ink Rates'!CS:CS),VLOOKUP(CN184,'Jan-2026 rates'!$E:$F,2,0)))</f>
        <v>0</v>
      </c>
      <c r="CX184" s="409">
        <v>2</v>
      </c>
      <c r="CY184" s="398">
        <f>IF(CX184=0,0,IF(LEN(CO184)=11,_xlfn.XLOOKUP(CO184,'Dispensed Ink Rates'!C:C,'Dispensed Ink Rates'!CS:CS),VLOOKUP(CO184,'Jan-2026 rates'!$E:$F,2,0)))</f>
        <v>0</v>
      </c>
      <c r="CZ184" s="409">
        <v>2</v>
      </c>
      <c r="DA184" s="398">
        <f>IF(CZ184=0,0,IF(LEN(CP184)=11,_xlfn.XLOOKUP(CP184,'Dispensed Ink Rates'!C:C,'Dispensed Ink Rates'!CS:CS),VLOOKUP(CP184,'Jan-2026 rates'!$E:$F,2,0)))</f>
        <v>0</v>
      </c>
      <c r="DB184" s="409"/>
      <c r="DC184" s="398">
        <f>IF(DB184=0,0,IF(LEN(CQ184)=11,_xlfn.XLOOKUP(CQ184,'Dispensed Ink Rates'!C:C,'Dispensed Ink Rates'!CS:CS),VLOOKUP(CQ184,'Jan-2026 rates'!$E:$F,2,0)))</f>
        <v>0</v>
      </c>
      <c r="DD184" s="409"/>
      <c r="DE184" s="398">
        <f>IF(DD184=0,0,IF(LEN(CR184)=11,_xlfn.XLOOKUP(CR184,'Dispensed Ink Rates'!C:C,'Dispensed Ink Rates'!CS:CS),VLOOKUP(CR184,'Jan-2026 rates'!$E:$F,2,0)))</f>
        <v>0</v>
      </c>
      <c r="DF184" s="409"/>
      <c r="DG184" s="398">
        <f>IF(DF184=0,0,IF(LEN(CS184)=11,_xlfn.XLOOKUP(CS184,'Dispensed Ink Rates'!C:C,'Dispensed Ink Rates'!CS:CS),VLOOKUP(CS184,'Jan-2026 rates'!$E:$F,2,0)))</f>
        <v>0</v>
      </c>
      <c r="DH184" s="409"/>
      <c r="DI184" s="398">
        <f>IF(DH184=0,0,IF(LEN(CT184)=11,_xlfn.XLOOKUP(CT184,'Dispensed Ink Rates'!C:C,'Dispensed Ink Rates'!CS:CS),VLOOKUP(CT184,'Jan-2026 rates'!$E:$F,2,0)))</f>
        <v>0</v>
      </c>
      <c r="DJ184" s="409"/>
      <c r="DK184" s="398">
        <f>IF(DJ184=0,0,IF(LEN(CU184)=11,_xlfn.XLOOKUP(CU184,'Dispensed Ink Rates'!C:C,'Dispensed Ink Rates'!CS:CS),VLOOKUP(CU184,'Jan-2026 rates'!$E:$F,2,0)))</f>
        <v>0</v>
      </c>
      <c r="DL184" s="409" t="s">
        <v>1881</v>
      </c>
      <c r="DM184" s="409">
        <f>18+20</f>
        <v>38</v>
      </c>
      <c r="DN184" s="411">
        <f t="shared" si="112"/>
        <v>0</v>
      </c>
      <c r="DO184" s="411">
        <f t="shared" si="113"/>
        <v>8.4500000000000028</v>
      </c>
      <c r="DP184" s="410">
        <f t="shared" si="114"/>
        <v>0</v>
      </c>
      <c r="DQ184" s="405" t="s">
        <v>547</v>
      </c>
      <c r="DR184" s="409" t="s">
        <v>2791</v>
      </c>
      <c r="DS184" s="420" t="str">
        <f t="shared" si="133"/>
        <v>ToyoLi - GREEN</v>
      </c>
      <c r="DT184" s="409">
        <v>16</v>
      </c>
      <c r="DU184" s="411">
        <f>IF(DT184=0,0,IF($LB184=70%,VLOOKUP($DS184,'Jan-2026 rates'!$L:$R,4,0),IF($LB184=65%,VLOOKUP($DS184,'Jan-2026 rates'!$L:$R,4,0),IF($LB184=40%,VLOOKUP($DS184,'Jan-2026 rates'!$L:$R,5,0),IF($LB184=30%,VLOOKUP($DS184,'Jan-2026 rates'!$L:$R,6,0),IF($LB184=100%,VLOOKUP($DS184,'Jan-2026 rates'!$L:$R,7,0),IF($LB184=60%,VLOOKUP($DS184,'Jan-2026 rates'!$L:$S,8,0),IF($LB184=80%,VLOOKUP($DS184,'Jan-2026 rates'!L:T,9,0),0))))))))</f>
        <v>0</v>
      </c>
      <c r="DV184" s="412" t="s">
        <v>3648</v>
      </c>
      <c r="DW184" s="409">
        <v>20</v>
      </c>
      <c r="DX184" s="411">
        <f>IF(DW184=0,0,IF($LB184=70%,VLOOKUP($DS184,'Jan-2026 rates'!$L:$R,4,0),IF($LB184=65%,VLOOKUP($DS184,'Jan-2026 rates'!$L:$R,4,0),IF($LB184=40%,VLOOKUP($DS184,'Jan-2026 rates'!$L:$R,5,0),IF($LB184=30%,VLOOKUP($DS184,'Jan-2026 rates'!$L:$R,6,0),IF($LB184=100%,VLOOKUP($DS184,'Jan-2026 rates'!$L:$R,7,0),IF($LB184=60%,VLOOKUP($DS184,'Jan-2026 rates'!$L:$S,8,0),IF($LB184=80%,VLOOKUP($DS184,'Jan-2026 rates'!L:T,9,0),0))))))))</f>
        <v>0</v>
      </c>
      <c r="DY184" s="413" t="s">
        <v>1251</v>
      </c>
      <c r="DZ184" s="413"/>
      <c r="EA184" s="412"/>
      <c r="EB184" s="412"/>
      <c r="EC184" s="412"/>
      <c r="ED184" s="412"/>
      <c r="EE184" s="412"/>
      <c r="EF184" s="412"/>
      <c r="EG184" s="409">
        <v>2</v>
      </c>
      <c r="EH184" s="398">
        <f>IF(EG184=0,0,IF(LEN(DY184)=11,_xlfn.XLOOKUP(DY184,'Dispensed Ink Rates'!C:C,'Dispensed Ink Rates'!CS:CS),VLOOKUP(DY184,'Jan-2026 rates'!$E:$F,2,0)))</f>
        <v>0</v>
      </c>
      <c r="EI184" s="409"/>
      <c r="EJ184" s="398">
        <f>IF(EI184=0,0,IF(LEN(DZ184)=11,_xlfn.XLOOKUP(DZ184,'Dispensed Ink Rates'!C:C,'Dispensed Ink Rates'!CS:CS),VLOOKUP(DZ184,'Jan-2026 rates'!$E:$F,2,0)))</f>
        <v>0</v>
      </c>
      <c r="EK184" s="409"/>
      <c r="EL184" s="398">
        <f>IF(EK184=0,0,IF(LEN(EA184)=11,_xlfn.XLOOKUP(EA184,'Dispensed Ink Rates'!C:C,'Dispensed Ink Rates'!CS:CS),VLOOKUP(EA184,'Jan-2026 rates'!$E:$F,2,0)))</f>
        <v>0</v>
      </c>
      <c r="EM184" s="409"/>
      <c r="EN184" s="398">
        <f>IF(EM184=0,0,IF(LEN(EB184)=11,_xlfn.XLOOKUP(EB184,'Dispensed Ink Rates'!C:C,'Dispensed Ink Rates'!CS:CS),VLOOKUP(EB184,'Jan-2026 rates'!$E:$F,2,0)))</f>
        <v>0</v>
      </c>
      <c r="EO184" s="409"/>
      <c r="EP184" s="398">
        <f>IF(EO184=0,0,IF(LEN(EC184)=11,_xlfn.XLOOKUP(EC184,'Dispensed Ink Rates'!C:C,'Dispensed Ink Rates'!CS:CS),VLOOKUP(EC184,'Jan-2026 rates'!$E:$F,2,0)))</f>
        <v>0</v>
      </c>
      <c r="EQ184" s="409"/>
      <c r="ER184" s="398">
        <f>IF(EQ184=0,0,IF(LEN(ED184)=11,_xlfn.XLOOKUP(ED184,'Dispensed Ink Rates'!C:C,'Dispensed Ink Rates'!CS:CS),VLOOKUP(ED184,'Jan-2026 rates'!$E:$F,2,0)))</f>
        <v>0</v>
      </c>
      <c r="ES184" s="409"/>
      <c r="ET184" s="398">
        <f>IF(ES184=0,0,IF(LEN(EE184)=11,_xlfn.XLOOKUP(EE184,'Dispensed Ink Rates'!C:C,'Dispensed Ink Rates'!CS:CS),VLOOKUP(EE184,'Jan-2026 rates'!$E:$F,2,0)))</f>
        <v>0</v>
      </c>
      <c r="EU184" s="409"/>
      <c r="EV184" s="398">
        <f>IF(EU184=0,0,IF(LEN(EF184)=11,_xlfn.XLOOKUP(EF184,'Dispensed Ink Rates'!C:C,'Dispensed Ink Rates'!CS:CS),VLOOKUP(EF184,'Jan-2026 rates'!$E:$F,2,0)))</f>
        <v>0</v>
      </c>
      <c r="EW184" s="409" t="s">
        <v>1881</v>
      </c>
      <c r="EX184" s="409">
        <f>20+5</f>
        <v>25</v>
      </c>
      <c r="EY184" s="411">
        <f t="shared" si="115"/>
        <v>0</v>
      </c>
      <c r="EZ184" s="411">
        <f t="shared" si="116"/>
        <v>13</v>
      </c>
      <c r="FA184" s="410">
        <f t="shared" si="117"/>
        <v>0</v>
      </c>
      <c r="FB184" s="405" t="s">
        <v>829</v>
      </c>
      <c r="FC184" s="409" t="s">
        <v>3649</v>
      </c>
      <c r="FD184" s="420" t="str">
        <f t="shared" si="134"/>
        <v>ToyoLi - MEDIUM</v>
      </c>
      <c r="FE184" s="409">
        <v>20</v>
      </c>
      <c r="FF184" s="411">
        <f>IF(FE184=0,0,IF($LB184=70%,VLOOKUP($FD184,'Jan-2026 rates'!$L:$R,4,0),IF($LB184=65%,VLOOKUP($FD184,'Jan-2026 rates'!$L:$R,4,0),IF($LB184=40%,VLOOKUP($FD184,'Jan-2026 rates'!$L:$R,5,0),IF($LB184=30%,VLOOKUP($FD184,'Jan-2026 rates'!$L:$R,6,0),IF($LB184=100%,VLOOKUP($FD184,'Jan-2026 rates'!$L:$R,7,0),IF($LB184=60%,VLOOKUP($FD184,'Jan-2026 rates'!$L:$S,8,0),IF($LB184=80%,VLOOKUP($FD184,'Jan-2026 rates'!L:T,9,0),0))))))))</f>
        <v>0</v>
      </c>
      <c r="FG184" s="412" t="s">
        <v>2815</v>
      </c>
      <c r="FH184" s="409">
        <v>19</v>
      </c>
      <c r="FI184" s="411">
        <f>IF(FH184=0,0,IF($LB184=70%,VLOOKUP($FD184,'Jan-2026 rates'!$L:$R,4,0),IF($LB184=65%,VLOOKUP($FD184,'Jan-2026 rates'!$L:$R,4,0),IF($LB184=40%,VLOOKUP($FD184,'Jan-2026 rates'!$L:$R,5,0),IF($LB184=30%,VLOOKUP($FD184,'Jan-2026 rates'!$L:$R,6,0),IF($LB184=100%,VLOOKUP($FD184,'Jan-2026 rates'!$L:$R,7,0),IF($LB184=60%,VLOOKUP($FD184,'Jan-2026 rates'!$L:$S,8,0),IF($LB184=80%,VLOOKUP($FD184,'Jan-2026 rates'!L:T,9,0),0))))))))</f>
        <v>0</v>
      </c>
      <c r="FJ184" s="413" t="s">
        <v>1252</v>
      </c>
      <c r="FK184" s="413" t="s">
        <v>1249</v>
      </c>
      <c r="FL184" s="413" t="s">
        <v>1247</v>
      </c>
      <c r="FM184" s="412" t="s">
        <v>1921</v>
      </c>
      <c r="FN184" s="412"/>
      <c r="FO184" s="412"/>
      <c r="FP184" s="412"/>
      <c r="FQ184" s="412"/>
      <c r="FR184" s="409">
        <v>0.5</v>
      </c>
      <c r="FS184" s="398">
        <f>IF(FR184=0,0,IF(LEN(FJ184)=11,_xlfn.XLOOKUP(FJ184,'Dispensed Ink Rates'!C:C,'Dispensed Ink Rates'!CS:CS),VLOOKUP(FJ184,'Jan-2026 rates'!$E:$F,2,0)))</f>
        <v>0</v>
      </c>
      <c r="FT184" s="409">
        <v>10</v>
      </c>
      <c r="FU184" s="398">
        <f>IF(FT184=0,0,IF(LEN(FK184)=11,_xlfn.XLOOKUP(FK184,'Dispensed Ink Rates'!C:C,'Dispensed Ink Rates'!CS:CS),VLOOKUP(FK184,'Jan-2026 rates'!$E:$F,2,0)))</f>
        <v>0</v>
      </c>
      <c r="FV184" s="409">
        <v>2</v>
      </c>
      <c r="FW184" s="398">
        <f>IF(FV184=0,0,IF(LEN(FL184)=11,_xlfn.XLOOKUP(FL184,'Dispensed Ink Rates'!C:C,'Dispensed Ink Rates'!CS:CS),VLOOKUP(FL184,'Jan-2026 rates'!$E:$F,2,0)))</f>
        <v>0</v>
      </c>
      <c r="FX184" s="409">
        <v>10</v>
      </c>
      <c r="FY184" s="398">
        <f>IF(FX184=0,0,IF(LEN(FM184)=11,_xlfn.XLOOKUP(FM184,'Dispensed Ink Rates'!C:C,'Dispensed Ink Rates'!CS:CS),VLOOKUP(FM184,'Jan-2026 rates'!$E:$F,2,0)))</f>
        <v>0</v>
      </c>
      <c r="FZ184" s="409"/>
      <c r="GA184" s="398">
        <f>IF(FZ184=0,0,IF(LEN(FN184)=11,_xlfn.XLOOKUP(FN184,'Dispensed Ink Rates'!C:C,'Dispensed Ink Rates'!CS:CS),VLOOKUP(FN184,'Jan-2026 rates'!$E:$F,2,0)))</f>
        <v>0</v>
      </c>
      <c r="GB184" s="409"/>
      <c r="GC184" s="398">
        <f>IF(GB184=0,0,IF(LEN(FO184)=11,_xlfn.XLOOKUP(FO184,'Dispensed Ink Rates'!C:C,'Dispensed Ink Rates'!CS:CS),VLOOKUP(FO184,'Jan-2026 rates'!$E:$F,2,0)))</f>
        <v>0</v>
      </c>
      <c r="GD184" s="409"/>
      <c r="GE184" s="398">
        <f>IF(GD184=0,0,IF(LEN(FP184)=11,_xlfn.XLOOKUP(FP184,'Dispensed Ink Rates'!C:C,'Dispensed Ink Rates'!CS:CS),VLOOKUP(FP184,'Jan-2026 rates'!$E:$F,2,0)))</f>
        <v>0</v>
      </c>
      <c r="GF184" s="409"/>
      <c r="GG184" s="398">
        <f>IF(GF184=0,0,IF(LEN(FQ184)=11,_xlfn.XLOOKUP(FQ184,'Dispensed Ink Rates'!C:C,'Dispensed Ink Rates'!CS:CS),VLOOKUP(FQ184,'Jan-2026 rates'!$E:$F,2,0)))</f>
        <v>0</v>
      </c>
      <c r="GH184" s="409" t="s">
        <v>1881</v>
      </c>
      <c r="GI184" s="409">
        <f>20+19</f>
        <v>39</v>
      </c>
      <c r="GJ184" s="411">
        <f t="shared" si="118"/>
        <v>0</v>
      </c>
      <c r="GK184" s="411">
        <f t="shared" si="119"/>
        <v>50.666666666666657</v>
      </c>
      <c r="GL184" s="410">
        <f t="shared" si="120"/>
        <v>0</v>
      </c>
      <c r="GM184" s="405" t="s">
        <v>546</v>
      </c>
      <c r="GN184" s="409" t="s">
        <v>3650</v>
      </c>
      <c r="GO184" s="420" t="str">
        <f t="shared" si="135"/>
        <v>ToyoLi - REFLEX BLUE</v>
      </c>
      <c r="GP184" s="409">
        <f>15+16</f>
        <v>31</v>
      </c>
      <c r="GQ184" s="411">
        <f>IF(GP184=0,0,IF($LB184=70%,VLOOKUP($GO184,'Jan-2026 rates'!$L:$R,4,0),IF($LB184=65%,VLOOKUP($GO184,'Jan-2026 rates'!$L:$R,4,0),IF($LB184=40%,VLOOKUP($GO184,'Jan-2026 rates'!$L:$R,5,0),IF($LB184=30%,VLOOKUP($GO184,'Jan-2026 rates'!$L:$R,6,0),IF($LB184=100%,VLOOKUP($GO184,'Jan-2026 rates'!$L:$R,7,0),IF($LB184=60%,VLOOKUP($GO184,'Jan-2026 rates'!$L:$S,8,0),IF($LB184=80%,VLOOKUP($GO184,'Jan-2026 rates'!L:T,9,0),0))))))))</f>
        <v>0</v>
      </c>
      <c r="GR184" s="412"/>
      <c r="GS184" s="409"/>
      <c r="GT184" s="411">
        <f>IF(GS184=0,0,IF($LB184=70%,VLOOKUP($GO184,'Jan-2026 rates'!$L:$R,4,0),IF($LB184=65%,VLOOKUP($GO184,'Jan-2026 rates'!$L:$R,4,0),IF($LB184=40%,VLOOKUP($GO184,'Jan-2026 rates'!$L:$R,5,0),IF($LB184=30%,VLOOKUP($GO184,'Jan-2026 rates'!$L:$R,6,0),IF($LB184=100%,VLOOKUP($GO184,'Jan-2026 rates'!$L:$R,7,0),IF($LB184=60%,VLOOKUP($GO184,'Jan-2026 rates'!$L:$S,8,0),IF($LB184=80%,VLOOKUP($GO184,'Jan-2026 rates'!L:T,9,0),0))))))))</f>
        <v>0</v>
      </c>
      <c r="GU184" s="413" t="s">
        <v>1247</v>
      </c>
      <c r="GV184" s="413" t="s">
        <v>1921</v>
      </c>
      <c r="GW184" s="412" t="s">
        <v>1250</v>
      </c>
      <c r="GX184" s="412"/>
      <c r="GY184" s="412"/>
      <c r="GZ184" s="412"/>
      <c r="HA184" s="412"/>
      <c r="HB184" s="412"/>
      <c r="HC184" s="409">
        <v>1</v>
      </c>
      <c r="HD184" s="398">
        <f>IF(HC184=0,0,IF(LEN(GU184)=11,_xlfn.XLOOKUP(GU184,'Dispensed Ink Rates'!C:C,'Dispensed Ink Rates'!CS:CS),VLOOKUP(GU184,'Jan-2026 rates'!$E:$F,2,0)))</f>
        <v>0</v>
      </c>
      <c r="HE184" s="409">
        <v>3</v>
      </c>
      <c r="HF184" s="398">
        <f>IF(HE184=0,0,IF(LEN(GV184)=11,_xlfn.XLOOKUP(GV184,'Dispensed Ink Rates'!C:C,'Dispensed Ink Rates'!CS:CS),VLOOKUP(GV184,'Jan-2026 rates'!$E:$F,2,0)))</f>
        <v>0</v>
      </c>
      <c r="HG184" s="409">
        <v>3</v>
      </c>
      <c r="HH184" s="398">
        <f>IF(HG184=0,0,IF(LEN(GW184)=11,_xlfn.XLOOKUP(GW184,'Dispensed Ink Rates'!C:C,'Dispensed Ink Rates'!CS:CS),VLOOKUP(GW184,'Jan-2026 rates'!$E:$F,2,0)))</f>
        <v>0</v>
      </c>
      <c r="HI184" s="409"/>
      <c r="HJ184" s="398">
        <f>IF(HI184=0,0,IF(LEN(GX184)=11,_xlfn.XLOOKUP(GX184,'Dispensed Ink Rates'!C:C,'Dispensed Ink Rates'!CS:CS),VLOOKUP(GX184,'Jan-2026 rates'!$E:$F,2,0)))</f>
        <v>0</v>
      </c>
      <c r="HK184" s="409"/>
      <c r="HL184" s="398">
        <f>IF(HK184=0,0,IF(LEN(GY184)=11,_xlfn.XLOOKUP(GY184,'Dispensed Ink Rates'!C:C,'Dispensed Ink Rates'!CS:CS),VLOOKUP(GY184,'Jan-2026 rates'!$E:$F,2,0)))</f>
        <v>0</v>
      </c>
      <c r="HM184" s="409"/>
      <c r="HN184" s="398">
        <f>IF(HM184=0,0,IF(LEN(GZ184)=11,_xlfn.XLOOKUP(GZ184,'Dispensed Ink Rates'!C:C,'Dispensed Ink Rates'!CS:CS),VLOOKUP(GZ184,'Jan-2026 rates'!$E:$F,2,0)))</f>
        <v>0</v>
      </c>
      <c r="HO184" s="409"/>
      <c r="HP184" s="398">
        <f>IF(HO184=0,0,IF(LEN(HA184)=11,_xlfn.XLOOKUP(HA184,'Dispensed Ink Rates'!C:C,'Dispensed Ink Rates'!CS:CS),VLOOKUP(HA184,'Jan-2026 rates'!$E:$F,2,0)))</f>
        <v>0</v>
      </c>
      <c r="HQ184" s="409"/>
      <c r="HR184" s="398">
        <f>IF(HQ184=0,0,IF(LEN(HB184)=11,_xlfn.XLOOKUP(HB184,'Dispensed Ink Rates'!C:C,'Dispensed Ink Rates'!CS:CS),VLOOKUP(HB184,'Jan-2026 rates'!$E:$F,2,0)))</f>
        <v>0</v>
      </c>
      <c r="HS184" s="409" t="s">
        <v>1881</v>
      </c>
      <c r="HT184" s="409">
        <f>20+17</f>
        <v>37</v>
      </c>
      <c r="HU184" s="411">
        <f t="shared" si="121"/>
        <v>0</v>
      </c>
      <c r="HV184" s="411">
        <f t="shared" si="122"/>
        <v>6.6333333333333329</v>
      </c>
      <c r="HW184" s="414">
        <f t="shared" si="123"/>
        <v>0</v>
      </c>
      <c r="HX184" s="405" t="s">
        <v>856</v>
      </c>
      <c r="HY184" s="409" t="s">
        <v>3651</v>
      </c>
      <c r="HZ184" s="420" t="str">
        <f t="shared" si="136"/>
        <v>ToyoLi - WHITE</v>
      </c>
      <c r="IA184" s="409">
        <v>20</v>
      </c>
      <c r="IB184" s="411">
        <f>IF(IA184=0,0,IF($LB184=70%,VLOOKUP($HZ184,'Jan-2026 rates'!$L:$R,4,0),IF($LB184=65%,VLOOKUP($HZ184,'Jan-2026 rates'!$L:$R,4,0),IF($LB184=40%,VLOOKUP($HZ184,'Jan-2026 rates'!$L:$R,5,0),IF($LB184=30%,VLOOKUP($HZ184,'Jan-2026 rates'!$L:$R,6,0),IF($LB184=100%,VLOOKUP($HZ184,'Jan-2026 rates'!$L:$R,7,0),IF($LB184=60%,VLOOKUP($HZ184,'Jan-2026 rates'!$L:$S,8,0),IF($LB184=80%,VLOOKUP($HZ184,'Jan-2026 rates'!L:T,9,0),0))))))))</f>
        <v>0</v>
      </c>
      <c r="IC184" s="412"/>
      <c r="ID184" s="409"/>
      <c r="IE184" s="411">
        <f>IF(ID184=0,0,IF($LB184=70%,VLOOKUP($HZ184,'Jan-2026 rates'!$L:$R,4,0),IF($LB184=65%,VLOOKUP($HZ184,'Jan-2026 rates'!$L:$R,4,0),IF($LB184=40%,VLOOKUP($HZ184,'Jan-2026 rates'!$L:$R,5,0),IF($LB184=30%,VLOOKUP($HZ184,'Jan-2026 rates'!$L:$R,6,0),IF($LB184=100%,VLOOKUP($HZ184,'Jan-2026 rates'!$L:$R,7,0),IF($LB184=60%,VLOOKUP($HZ184,'Jan-2026 rates'!$L:$S,8,0),IF($LB184=80%,VLOOKUP($HZ184,'Jan-2026 rates'!L:T,9,0),0))))))))</f>
        <v>0</v>
      </c>
      <c r="IF184" s="412" t="s">
        <v>1249</v>
      </c>
      <c r="IG184" s="413"/>
      <c r="IH184" s="412"/>
      <c r="II184" s="412"/>
      <c r="IJ184" s="412"/>
      <c r="IK184" s="412"/>
      <c r="IL184" s="412"/>
      <c r="IM184" s="412"/>
      <c r="IN184" s="409">
        <v>60</v>
      </c>
      <c r="IO184" s="398">
        <f>IF(IN184=0,0,IF(LEN(IF184)=11,_xlfn.XLOOKUP(IF184,'Dispensed Ink Rates'!C:C,'Dispensed Ink Rates'!CS:CS),VLOOKUP(IF184,'Jan-2026 rates'!$E:$F,2,0)))</f>
        <v>0</v>
      </c>
      <c r="IP184" s="409"/>
      <c r="IQ184" s="398">
        <f>IF(IP184=0,0,IF(LEN(IG184)=11,_xlfn.XLOOKUP(IG184,'Dispensed Ink Rates'!C:C,'Dispensed Ink Rates'!CS:CS),VLOOKUP(IG184,'Jan-2026 rates'!$E:$F,2,0)))</f>
        <v>0</v>
      </c>
      <c r="IR184" s="409"/>
      <c r="IS184" s="398">
        <f>IF(IR184=0,0,IF(LEN(IH184)=11,_xlfn.XLOOKUP(IH184,'Dispensed Ink Rates'!C:C,'Dispensed Ink Rates'!CS:CS),VLOOKUP(IH184,'Jan-2026 rates'!$E:$F,2,0)))</f>
        <v>0</v>
      </c>
      <c r="IT184" s="409"/>
      <c r="IU184" s="398">
        <f>IF(IT184=0,0,IF(LEN(II184)=11,_xlfn.XLOOKUP(II184,'Dispensed Ink Rates'!C:C,'Dispensed Ink Rates'!CS:CS),VLOOKUP(II184,'Jan-2026 rates'!$E:$F,2,0)))</f>
        <v>0</v>
      </c>
      <c r="IV184" s="409"/>
      <c r="IW184" s="398">
        <f>IF(IV184=0,0,IF(LEN(IJ184)=11,_xlfn.XLOOKUP(IJ184,'Dispensed Ink Rates'!C:C,'Dispensed Ink Rates'!CS:CS),VLOOKUP(IJ184,'Jan-2026 rates'!$E:$F,2,0)))</f>
        <v>0</v>
      </c>
      <c r="IX184" s="409"/>
      <c r="IY184" s="398">
        <f>IF(IX184=0,0,IF(LEN(IK184)=11,_xlfn.XLOOKUP(IK184,'Dispensed Ink Rates'!C:C,'Dispensed Ink Rates'!CS:CS),VLOOKUP(IK184,'Jan-2026 rates'!$E:$F,2,0)))</f>
        <v>0</v>
      </c>
      <c r="IZ184" s="409"/>
      <c r="JA184" s="398">
        <f>IF(IZ184=0,0,IF(LEN(IL184)=11,_xlfn.XLOOKUP(IL184,'Dispensed Ink Rates'!C:C,'Dispensed Ink Rates'!CS:CS),VLOOKUP(IL184,'Jan-2026 rates'!$E:$F,2,0)))</f>
        <v>0</v>
      </c>
      <c r="JB184" s="409"/>
      <c r="JC184" s="398">
        <f>IF(JB184=0,0,IF(LEN(IM184)=11,_xlfn.XLOOKUP(IM184,'Dispensed Ink Rates'!C:C,'Dispensed Ink Rates'!CS:CS),VLOOKUP(IM184,'Jan-2026 rates'!$E:$F,2,0)))</f>
        <v>0</v>
      </c>
      <c r="JD184" s="409" t="s">
        <v>1881</v>
      </c>
      <c r="JE184" s="409">
        <v>25</v>
      </c>
      <c r="JF184" s="411">
        <f t="shared" si="124"/>
        <v>0</v>
      </c>
      <c r="JG184" s="411">
        <f t="shared" si="125"/>
        <v>139.5</v>
      </c>
      <c r="JH184" s="410">
        <f t="shared" si="126"/>
        <v>0</v>
      </c>
      <c r="JI184" s="405" t="s">
        <v>605</v>
      </c>
      <c r="JJ184" s="409" t="s">
        <v>2423</v>
      </c>
      <c r="JK184" s="420" t="str">
        <f t="shared" si="137"/>
        <v>HI-TECH INK - MATT</v>
      </c>
      <c r="JL184" s="409">
        <f>18+5</f>
        <v>23</v>
      </c>
      <c r="JM184" s="411">
        <f>IF(JL184=0,0,IF($LB184=70%,VLOOKUP($JK184,'Jan-2026 rates'!$L:$R,4,0),IF($LB184=65%,VLOOKUP($JK184,'Jan-2026 rates'!$L:$R,4,0),IF($LB184=40%,VLOOKUP($JK184,'Jan-2026 rates'!$L:$R,5,0),IF($LB184=30%,VLOOKUP($JK184,'Jan-2026 rates'!$L:$R,6,0),IF($LB184=100%,VLOOKUP($JK184,'Jan-2026 rates'!$L:$R,7,0),IF($LB184=60%,VLOOKUP($JK184,'Jan-2026 rates'!$L:$S,8,0),IF($LB184=80%,VLOOKUP($JK184,'Jan-2026 rates'!L:T,9,0),0))))))))</f>
        <v>0</v>
      </c>
      <c r="JN184" s="412"/>
      <c r="JO184" s="409"/>
      <c r="JP184" s="411">
        <f>IF(JO184=0,0,IF($LB184=70%,VLOOKUP($JK184,'Jan-2026 rates'!$L:$R,4,0),IF($LB184=65%,VLOOKUP($JK184,'Jan-2026 rates'!$L:$R,4,0),IF($LB184=40%,VLOOKUP($JK184,'Jan-2026 rates'!$L:$R,5,0),IF($LB184=30%,VLOOKUP($JK184,'Jan-2026 rates'!$L:$R,6,0),IF($LB184=100%,VLOOKUP($JK184,'Jan-2026 rates'!$L:$R,7,0),IF($LB184=60%,VLOOKUP($JK184,'Jan-2026 rates'!$L:$S,8,0),IF($LB184=80%,VLOOKUP($JK184,'Jan-2026 rates'!L:T,9,0),0))))))))</f>
        <v>0</v>
      </c>
      <c r="JQ184" s="413">
        <v>2066</v>
      </c>
      <c r="JR184" s="412"/>
      <c r="JS184" s="413"/>
      <c r="JT184" s="413"/>
      <c r="JU184" s="412"/>
      <c r="JV184" s="412"/>
      <c r="JW184" s="412"/>
      <c r="JX184" s="412"/>
      <c r="JY184" s="409">
        <f>40+20</f>
        <v>60</v>
      </c>
      <c r="JZ184" s="398">
        <f>IF(JY184=0,0,IF(LEN(JQ184)=11,_xlfn.XLOOKUP(JQ184,'Dispensed Ink Rates'!C:C,'Dispensed Ink Rates'!CS:CS),VLOOKUP(JQ184,'Jan-2026 rates'!$E:$F,2,0)))</f>
        <v>0</v>
      </c>
      <c r="KA184" s="409"/>
      <c r="KB184" s="398">
        <f>IF(KA184=0,0,IF(LEN(JR184)=11,_xlfn.XLOOKUP(JR184,'Dispensed Ink Rates'!C:C,'Dispensed Ink Rates'!CS:CS),VLOOKUP(JR184,'Jan-2026 rates'!$E:$F,2,0)))</f>
        <v>0</v>
      </c>
      <c r="KC184" s="409"/>
      <c r="KD184" s="398">
        <f>IF(KC184=0,0,IF(LEN(JS184)=11,_xlfn.XLOOKUP(JS184,'Dispensed Ink Rates'!C:C,'Dispensed Ink Rates'!CS:CS),VLOOKUP(JS184,'Jan-2026 rates'!$E:$F,2,0)))</f>
        <v>0</v>
      </c>
      <c r="KE184" s="409"/>
      <c r="KF184" s="398">
        <f>IF(KE184=0,0,IF(LEN(JT184)=11,_xlfn.XLOOKUP(JT184,'Dispensed Ink Rates'!C:C,'Dispensed Ink Rates'!CS:CS),VLOOKUP(JT184,'Jan-2026 rates'!$E:$F,2,0)))</f>
        <v>0</v>
      </c>
      <c r="KG184" s="409"/>
      <c r="KH184" s="398">
        <f>IF(KG184=0,0,IF(LEN(JU184)=11,_xlfn.XLOOKUP(JU184,'Dispensed Ink Rates'!C:C,'Dispensed Ink Rates'!CS:CS),VLOOKUP(JU184,'Jan-2026 rates'!$E:$F,2,0)))</f>
        <v>0</v>
      </c>
      <c r="KI184" s="409"/>
      <c r="KJ184" s="398">
        <f>IF(KI184=0,0,IF(LEN(JV184)=11,_xlfn.XLOOKUP(JV184,'Dispensed Ink Rates'!C:C,'Dispensed Ink Rates'!CS:CS),VLOOKUP(JV184,'Jan-2026 rates'!$E:$F,2,0)))</f>
        <v>0</v>
      </c>
      <c r="KK184" s="409"/>
      <c r="KL184" s="398">
        <f>IF(KK184=0,0,IF(LEN(JW184)=11,_xlfn.XLOOKUP(JW184,'Dispensed Ink Rates'!C:C,'Dispensed Ink Rates'!CS:CS),VLOOKUP(JW184,'Jan-2026 rates'!$E:$F,2,0)))</f>
        <v>0</v>
      </c>
      <c r="KM184" s="428"/>
      <c r="KN184" s="398">
        <f>IF(KM184=0,0,IF(LEN(JX184)=11,_xlfn.XLOOKUP(JX184,'Dispensed Ink Rates'!C:C,'Dispensed Ink Rates'!CS:CS),VLOOKUP(JX184,'Jan-2026 rates'!$E:$F,2,0)))</f>
        <v>0</v>
      </c>
      <c r="KO184" s="409" t="s">
        <v>602</v>
      </c>
      <c r="KP184" s="409">
        <v>18</v>
      </c>
      <c r="KQ184" s="411">
        <f t="shared" si="127"/>
        <v>0</v>
      </c>
      <c r="KR184" s="411">
        <f t="shared" si="128"/>
        <v>93.166666666666657</v>
      </c>
      <c r="KS184" s="410">
        <f t="shared" si="129"/>
        <v>0</v>
      </c>
      <c r="KT184" s="409">
        <v>2</v>
      </c>
      <c r="KU184" s="409">
        <v>3</v>
      </c>
      <c r="KV184" s="409">
        <v>3</v>
      </c>
      <c r="KW184" s="409">
        <v>0</v>
      </c>
      <c r="KX184" s="409">
        <v>10</v>
      </c>
      <c r="KY184" s="409">
        <v>2</v>
      </c>
      <c r="KZ184" s="409">
        <v>30</v>
      </c>
      <c r="LA184" s="409">
        <v>10</v>
      </c>
      <c r="LB184" s="415">
        <v>0.3</v>
      </c>
      <c r="LC184" s="415"/>
      <c r="LD184" s="415"/>
      <c r="LE184" s="415">
        <v>0.5</v>
      </c>
      <c r="LF184" s="415">
        <v>0.2</v>
      </c>
      <c r="LG184" s="409">
        <v>0</v>
      </c>
      <c r="LH184" s="409">
        <f>40+30+27+45+5+4+18</f>
        <v>169</v>
      </c>
      <c r="LI184" s="409">
        <v>0</v>
      </c>
      <c r="LJ184" s="409">
        <v>0</v>
      </c>
      <c r="LK184" s="416">
        <f t="shared" si="138"/>
        <v>169</v>
      </c>
      <c r="LL184" s="416">
        <f t="shared" si="139"/>
        <v>169</v>
      </c>
      <c r="LM184" s="417">
        <f t="shared" si="140"/>
        <v>50.699999999999996</v>
      </c>
      <c r="LN184" s="417">
        <f>VLOOKUP($LM$8,'Jan-2026 rates'!$H:$I,2,0)</f>
        <v>0</v>
      </c>
      <c r="LO184" s="417">
        <f t="shared" si="141"/>
        <v>0</v>
      </c>
      <c r="LP184" s="417">
        <f>VLOOKUP($LO$8,'Jan-2026 rates'!$H:$I,2,0)</f>
        <v>0</v>
      </c>
      <c r="LQ184" s="417">
        <f t="shared" si="142"/>
        <v>0</v>
      </c>
      <c r="LR184" s="417">
        <f>VLOOKUP($LQ$8,'Jan-2026 rates'!$H:$I,2,0)</f>
        <v>0</v>
      </c>
      <c r="LS184" s="417">
        <f t="shared" si="143"/>
        <v>84.5</v>
      </c>
      <c r="LT184" s="417">
        <f>VLOOKUP($LS$8,'Jan-2026 rates'!$H:$I,2,0)</f>
        <v>0</v>
      </c>
      <c r="LU184" s="417">
        <f t="shared" si="144"/>
        <v>33.800000000000004</v>
      </c>
      <c r="LV184" s="417">
        <f>VLOOKUP($LU$8,'Jan-2026 rates'!$H:$I,2,0)</f>
        <v>0</v>
      </c>
      <c r="LW184" s="417">
        <f t="shared" si="145"/>
        <v>0</v>
      </c>
      <c r="LX184" s="417">
        <f t="shared" si="146"/>
        <v>0</v>
      </c>
      <c r="LY184" s="418">
        <f t="shared" si="147"/>
        <v>0</v>
      </c>
      <c r="LZ184" s="417"/>
      <c r="MA184" s="435">
        <f t="shared" si="148"/>
        <v>165.5</v>
      </c>
      <c r="MB184" s="282">
        <f t="shared" si="149"/>
        <v>328.5</v>
      </c>
      <c r="MC184" s="283" t="s">
        <v>2019</v>
      </c>
      <c r="MD184" s="284" t="str">
        <f t="shared" si="150"/>
        <v>ToyoLiToyoLiToyoLiToyoLiToyoLiToyoLiToyoLiHI-TECH INK</v>
      </c>
      <c r="ME184" s="293" t="str">
        <f t="shared" si="151"/>
        <v>+</v>
      </c>
      <c r="MF184" s="293" t="str">
        <f t="shared" si="152"/>
        <v>+</v>
      </c>
      <c r="MG184" s="293" t="str">
        <f t="shared" si="153"/>
        <v>+</v>
      </c>
      <c r="MH184" s="293" t="str">
        <f t="shared" si="154"/>
        <v>+</v>
      </c>
      <c r="MI184" s="293" t="str">
        <f t="shared" si="155"/>
        <v>+</v>
      </c>
      <c r="MJ184" s="293" t="str">
        <f t="shared" si="156"/>
        <v>+</v>
      </c>
      <c r="MK184" s="293" t="str">
        <f t="shared" si="157"/>
        <v>+</v>
      </c>
      <c r="ML184" s="293" t="str">
        <f t="shared" si="158"/>
        <v>+</v>
      </c>
      <c r="MM184" s="3" t="b">
        <f t="array" ref="MM184">OR(ME184:ML184="-")</f>
        <v>0</v>
      </c>
      <c r="MN184" s="285"/>
      <c r="MO184" s="401"/>
      <c r="MP184" s="286"/>
      <c r="MQ184" s="286"/>
      <c r="MR184" s="402"/>
      <c r="MS184" s="400"/>
      <c r="NH184" s="422"/>
      <c r="NJ184" s="421"/>
    </row>
    <row r="185" spans="1:374" s="1" customFormat="1" ht="16.5">
      <c r="A185" s="403">
        <v>46036</v>
      </c>
      <c r="B185" s="404" t="s">
        <v>1015</v>
      </c>
      <c r="C185" s="405" t="s">
        <v>3652</v>
      </c>
      <c r="D185" s="406" t="s">
        <v>2020</v>
      </c>
      <c r="E185" s="404">
        <v>147</v>
      </c>
      <c r="F185" s="407">
        <v>8000</v>
      </c>
      <c r="G185" s="407" t="s">
        <v>1016</v>
      </c>
      <c r="H185" s="408" t="s">
        <v>1017</v>
      </c>
      <c r="I185" s="409">
        <f>1.9+1.1</f>
        <v>3</v>
      </c>
      <c r="J185" s="405" t="s">
        <v>543</v>
      </c>
      <c r="K185" s="404" t="s">
        <v>3653</v>
      </c>
      <c r="L185" s="419" t="str">
        <f t="shared" si="131"/>
        <v>ToyoLi - BLACK</v>
      </c>
      <c r="M185" s="404">
        <v>26</v>
      </c>
      <c r="N185" s="410">
        <f>IF(M185=0,0,IF($LB185=70%,VLOOKUP($L185,'Jan-2026 rates'!$L:$R,4,0),IF($LB185=65%,VLOOKUP($L185,'Jan-2026 rates'!$L:$R,4,0),IF($LB185=40%,VLOOKUP($L185,'Jan-2026 rates'!$L:$R,5,0),IF($LB185=30%,VLOOKUP($L185,'Jan-2026 rates'!$L:$R,6,0),IF($LB185=100%,VLOOKUP($L185,'Jan-2026 rates'!$L:$R,7,0),IF($LB185=60%,VLOOKUP($L185,'Jan-2026 rates'!$L:$S,8,0),IF($LB185=80%,VLOOKUP($L185,'Jan-2026 rates'!L:T,9,0),0))))))))</f>
        <v>0</v>
      </c>
      <c r="O185" s="406"/>
      <c r="P185" s="404"/>
      <c r="Q185" s="410">
        <f>IF(P185=0,0,IF($LB185=70%,VLOOKUP($L185,'Jan-2026 rates'!$L:$R,4,0),IF($LB185=65%,VLOOKUP($L185,'Jan-2026 rates'!$L:$R,4,0),IF($LB185=40%,VLOOKUP($L185,'Jan-2026 rates'!$L:$R,5,0),IF($LB185=30%,VLOOKUP($L185,'Jan-2026 rates'!$L:$R,6,0),IF($LB185=100%,VLOOKUP($L185,'Jan-2026 rates'!$L:$R,7,0),IF($LB185=60%,VLOOKUP($L185,'Jan-2026 rates'!$L:$S,8,0),IF($LB185=80%,VLOOKUP($L185,'Jan-2026 rates'!L:T,9,0),0))))))))</f>
        <v>0</v>
      </c>
      <c r="R185" s="406" t="s">
        <v>1252</v>
      </c>
      <c r="S185" s="406"/>
      <c r="T185" s="406"/>
      <c r="U185" s="406"/>
      <c r="V185" s="406"/>
      <c r="W185" s="406"/>
      <c r="X185" s="406"/>
      <c r="Y185" s="406"/>
      <c r="Z185" s="404">
        <v>2</v>
      </c>
      <c r="AA185" s="398">
        <f>IF(Z185=0,0,IF(LEN(R185)=11,_xlfn.XLOOKUP(R185,'Dispensed Ink Rates'!C:C,'Dispensed Ink Rates'!CS:CS),VLOOKUP(R185,'Jan-2026 rates'!$E:$F,2,0)))</f>
        <v>0</v>
      </c>
      <c r="AB185" s="404"/>
      <c r="AC185" s="398">
        <f>IF(AB185=0,0,IF(LEN(S185)=11,_xlfn.XLOOKUP(S185,'Dispensed Ink Rates'!C:C,'Dispensed Ink Rates'!CS:CS),VLOOKUP(S185,'Jan-2026 rates'!$E:$F,2,0)))</f>
        <v>0</v>
      </c>
      <c r="AD185" s="404"/>
      <c r="AE185" s="398">
        <f>IF(AD185=0,0,IF(LEN(T185)=11,_xlfn.XLOOKUP(T185,'Dispensed Ink Rates'!C:C,'Dispensed Ink Rates'!CS:CS),VLOOKUP(T185,'Jan-2026 rates'!$E:$F,2,0)))</f>
        <v>0</v>
      </c>
      <c r="AF185" s="404"/>
      <c r="AG185" s="398">
        <f>IF(AF185=0,0,IF(LEN(U185)=11,_xlfn.XLOOKUP(U185,'Dispensed Ink Rates'!C:C,'Dispensed Ink Rates'!CS:CS),VLOOKUP(U185,'Jan-2026 rates'!$E:$F,2,0)))</f>
        <v>0</v>
      </c>
      <c r="AH185" s="404"/>
      <c r="AI185" s="398">
        <f>IF(AH185=0,0,IF(LEN(V185)=11,_xlfn.XLOOKUP(V185,'Dispensed Ink Rates'!C:C,'Dispensed Ink Rates'!CS:CS),VLOOKUP(V185,'Jan-2026 rates'!$E:$F,2,0)))</f>
        <v>0</v>
      </c>
      <c r="AJ185" s="404"/>
      <c r="AK185" s="398">
        <f>IF(AJ185=0,0,IF(LEN(W185)=11,_xlfn.XLOOKUP(W185,'Dispensed Ink Rates'!C:C,'Dispensed Ink Rates'!CS:CS),VLOOKUP(W185,'Jan-2026 rates'!$E:$F,2,0)))</f>
        <v>0</v>
      </c>
      <c r="AL185" s="404"/>
      <c r="AM185" s="398">
        <f>IF(AL185=0,0,IF(LEN(X185)=11,_xlfn.XLOOKUP(X185,'Dispensed Ink Rates'!C:C,'Dispensed Ink Rates'!CS:CS),VLOOKUP(X185,'Jan-2026 rates'!$E:$F,2,0)))</f>
        <v>0</v>
      </c>
      <c r="AN185" s="404"/>
      <c r="AO185" s="398">
        <f>IF(AN185=0,0,IF(LEN(Y185)=11,_xlfn.XLOOKUP(Y185,'Dispensed Ink Rates'!C:C,'Dispensed Ink Rates'!CS:CS),VLOOKUP(Y185,'Jan-2026 rates'!$E:$F,2,0)))</f>
        <v>0</v>
      </c>
      <c r="AP185" s="409" t="s">
        <v>1881</v>
      </c>
      <c r="AQ185" s="409">
        <v>25</v>
      </c>
      <c r="AR185" s="410">
        <f t="shared" si="106"/>
        <v>0</v>
      </c>
      <c r="AS185" s="411">
        <f t="shared" si="107"/>
        <v>7.6274509803921546</v>
      </c>
      <c r="AT185" s="410">
        <f t="shared" si="108"/>
        <v>0</v>
      </c>
      <c r="AU185" s="405" t="s">
        <v>543</v>
      </c>
      <c r="AV185" s="409" t="s">
        <v>3612</v>
      </c>
      <c r="AW185" s="420" t="str">
        <f t="shared" si="130"/>
        <v>ToyoLi - BLACK</v>
      </c>
      <c r="AX185" s="409">
        <f>15+20</f>
        <v>35</v>
      </c>
      <c r="AY185" s="411">
        <f>IF(AX185=0,0,IF($LB185=70%,VLOOKUP($AW185,'Jan-2026 rates'!$L:$R,4,0),IF($LB185=65%,VLOOKUP($AW185,'Jan-2026 rates'!$L:$R,4,0),IF($LB185=40%,VLOOKUP($AW185,'Jan-2026 rates'!$L:$R,5,0),IF($LB185=30%,VLOOKUP($AW185,'Jan-2026 rates'!$L:$R,6,0),IF($LB185=100%,VLOOKUP($AW185,'Jan-2026 rates'!$L:$R,7,0),IF($LB185=60%,VLOOKUP($AW185,'Jan-2026 rates'!$L:$S,8,0),IF($LB185=80%,VLOOKUP($AW185,'Jan-2026 rates'!L:T,9,0),0))))))))</f>
        <v>0</v>
      </c>
      <c r="AZ185" s="412" t="s">
        <v>3654</v>
      </c>
      <c r="BA185" s="409">
        <v>7</v>
      </c>
      <c r="BB185" s="411">
        <f>IF(BA185=0,0,IF($LB185=70%,VLOOKUP($AW185,'Jan-2026 rates'!$L:$R,4,0),IF($LB185=65%,VLOOKUP($AW185,'Jan-2026 rates'!$L:$R,4,0),IF($LB185=40%,VLOOKUP($AW185,'Jan-2026 rates'!$L:$R,5,0),IF($LB185=30%,VLOOKUP($AW185,'Jan-2026 rates'!$L:$R,6,0),IF($LB185=100%,VLOOKUP($AW185,'Jan-2026 rates'!$L:$R,7,0),IF($LB185=60%,VLOOKUP($AW185,'Jan-2026 rates'!$L:$S,8,0),IF($LB185=80%,VLOOKUP($AW185,'Jan-2026 rates'!L:T,9,0),0))))))))</f>
        <v>0</v>
      </c>
      <c r="BC185" s="413" t="s">
        <v>1252</v>
      </c>
      <c r="BD185" s="412"/>
      <c r="BE185" s="412"/>
      <c r="BF185" s="413"/>
      <c r="BG185" s="412"/>
      <c r="BH185" s="412"/>
      <c r="BI185" s="412"/>
      <c r="BJ185" s="412"/>
      <c r="BK185" s="409">
        <v>10</v>
      </c>
      <c r="BL185" s="398">
        <f>IF(BK185=0,0,IF(LEN(BC185)=11,_xlfn.XLOOKUP(BC185,'Dispensed Ink Rates'!C:C,'Dispensed Ink Rates'!CS:CS),VLOOKUP(BC185,'Jan-2026 rates'!$E:$F,2,0)))</f>
        <v>0</v>
      </c>
      <c r="BM185" s="409"/>
      <c r="BN185" s="398">
        <f>IF(BM185=0,0,IF(LEN(BD185)=11,_xlfn.XLOOKUP(BD185,'Dispensed Ink Rates'!C:C,'Dispensed Ink Rates'!CS:CS),VLOOKUP(BD185,'Jan-2026 rates'!$E:$F,2,0)))</f>
        <v>0</v>
      </c>
      <c r="BO185" s="409"/>
      <c r="BP185" s="398">
        <f>IF(BO185=0,0,IF(LEN(BE185)=11,_xlfn.XLOOKUP(BE185,'Dispensed Ink Rates'!C:C,'Dispensed Ink Rates'!CS:CS),VLOOKUP(BE185,'Jan-2026 rates'!$E:$F,2,0)))</f>
        <v>0</v>
      </c>
      <c r="BQ185" s="409"/>
      <c r="BR185" s="398">
        <f>IF(BQ185=0,0,IF(LEN(BF185)=11,_xlfn.XLOOKUP(BF185,'Dispensed Ink Rates'!C:C,'Dispensed Ink Rates'!CS:CS),VLOOKUP(BF185,'Jan-2026 rates'!$E:$F,2,0)))</f>
        <v>0</v>
      </c>
      <c r="BS185" s="409"/>
      <c r="BT185" s="398">
        <f>IF(BS185=0,0,IF(LEN(BG185)=11,_xlfn.XLOOKUP(BG185,'Dispensed Ink Rates'!C:C,'Dispensed Ink Rates'!CS:CS),VLOOKUP(BG185,'Jan-2026 rates'!$E:$F,2,0)))</f>
        <v>0</v>
      </c>
      <c r="BU185" s="409"/>
      <c r="BV185" s="398">
        <f>IF(BU185=0,0,IF(LEN(BH185)=11,_xlfn.XLOOKUP(BH185,'Dispensed Ink Rates'!C:C,'Dispensed Ink Rates'!CS:CS),VLOOKUP(BH185,'Jan-2026 rates'!$E:$F,2,0)))</f>
        <v>0</v>
      </c>
      <c r="BW185" s="409"/>
      <c r="BX185" s="398">
        <f>IF(BW185=0,0,IF(LEN(BI185)=11,_xlfn.XLOOKUP(BI185,'Dispensed Ink Rates'!C:C,'Dispensed Ink Rates'!CS:CS),VLOOKUP(BI185,'Jan-2026 rates'!$E:$F,2,0)))</f>
        <v>0</v>
      </c>
      <c r="BY185" s="409"/>
      <c r="BZ185" s="398">
        <f>IF(BY185=0,0,IF(LEN(BJ185)=11,_xlfn.XLOOKUP(BJ185,'Dispensed Ink Rates'!C:C,'Dispensed Ink Rates'!CS:CS),VLOOKUP(BJ185,'Jan-2026 rates'!$E:$F,2,0)))</f>
        <v>0</v>
      </c>
      <c r="CA185" s="409" t="s">
        <v>1881</v>
      </c>
      <c r="CB185" s="409">
        <v>18</v>
      </c>
      <c r="CC185" s="411">
        <f t="shared" si="109"/>
        <v>0</v>
      </c>
      <c r="CD185" s="411">
        <f t="shared" si="110"/>
        <v>45.568627450980394</v>
      </c>
      <c r="CE185" s="410">
        <f t="shared" si="111"/>
        <v>0</v>
      </c>
      <c r="CF185" s="404" t="s">
        <v>547</v>
      </c>
      <c r="CG185" s="409" t="s">
        <v>3655</v>
      </c>
      <c r="CH185" s="420" t="str">
        <f t="shared" si="132"/>
        <v>ToyoLi - GREEN</v>
      </c>
      <c r="CI185" s="409">
        <v>25</v>
      </c>
      <c r="CJ185" s="411">
        <f>IF(CI185=0,0,IF($LB185=70%,VLOOKUP($CH185,'Jan-2026 rates'!$L:$R,4,0),IF($LB185=65%,VLOOKUP($CH185,'Jan-2026 rates'!$L:$R,4,0),IF($LB185=40%,VLOOKUP($CH185,'Jan-2026 rates'!$L:$R,5,0),IF($LB185=30%,VLOOKUP($CH185,'Jan-2026 rates'!$L:$R,6,0),IF($LB185=100%,VLOOKUP($CH185,'Jan-2026 rates'!$L:$R,7,0),IF($LB185=60%,VLOOKUP($CH185,'Jan-2026 rates'!$L:$S,8,0),IF($LB185=80%,VLOOKUP($CH185,'Jan-2026 rates'!L:T,9,0),0))))))))</f>
        <v>0</v>
      </c>
      <c r="CK185" s="412"/>
      <c r="CL185" s="409"/>
      <c r="CM185" s="411">
        <f>IF(CL185=0,0,IF($LB185=70%,VLOOKUP($CH185,'Jan-2026 rates'!$L:$R,4,0),IF($LB185=65%,VLOOKUP($CH185,'Jan-2026 rates'!$L:$R,4,0),IF($LB185=40%,VLOOKUP($CH185,'Jan-2026 rates'!$L:$R,5,0),IF($LB185=30%,VLOOKUP($CH185,'Jan-2026 rates'!$L:$R,6,0),IF($LB185=100%,VLOOKUP($CH185,'Jan-2026 rates'!$L:$R,7,0),IF($LB185=60%,VLOOKUP($CH185,'Jan-2026 rates'!$L:$S,8,0),IF($LB185=80%,VLOOKUP($CH185,'Jan-2026 rates'!L:T,9,0),0))))))))</f>
        <v>0</v>
      </c>
      <c r="CN185" s="426" t="s">
        <v>1247</v>
      </c>
      <c r="CO185" s="427" t="s">
        <v>1251</v>
      </c>
      <c r="CP185" s="426" t="s">
        <v>1921</v>
      </c>
      <c r="CQ185" s="426"/>
      <c r="CR185" s="428"/>
      <c r="CS185" s="428"/>
      <c r="CT185" s="428"/>
      <c r="CU185" s="428"/>
      <c r="CV185" s="409">
        <v>2</v>
      </c>
      <c r="CW185" s="398">
        <f>IF(CV185=0,0,IF(LEN(CN185)=11,_xlfn.XLOOKUP(CN185,'Dispensed Ink Rates'!C:C,'Dispensed Ink Rates'!CS:CS),VLOOKUP(CN185,'Jan-2026 rates'!$E:$F,2,0)))</f>
        <v>0</v>
      </c>
      <c r="CX185" s="409">
        <v>2</v>
      </c>
      <c r="CY185" s="398">
        <f>IF(CX185=0,0,IF(LEN(CO185)=11,_xlfn.XLOOKUP(CO185,'Dispensed Ink Rates'!C:C,'Dispensed Ink Rates'!CS:CS),VLOOKUP(CO185,'Jan-2026 rates'!$E:$F,2,0)))</f>
        <v>0</v>
      </c>
      <c r="CZ185" s="409">
        <v>2</v>
      </c>
      <c r="DA185" s="398">
        <f>IF(CZ185=0,0,IF(LEN(CP185)=11,_xlfn.XLOOKUP(CP185,'Dispensed Ink Rates'!C:C,'Dispensed Ink Rates'!CS:CS),VLOOKUP(CP185,'Jan-2026 rates'!$E:$F,2,0)))</f>
        <v>0</v>
      </c>
      <c r="DB185" s="409"/>
      <c r="DC185" s="398">
        <f>IF(DB185=0,0,IF(LEN(CQ185)=11,_xlfn.XLOOKUP(CQ185,'Dispensed Ink Rates'!C:C,'Dispensed Ink Rates'!CS:CS),VLOOKUP(CQ185,'Jan-2026 rates'!$E:$F,2,0)))</f>
        <v>0</v>
      </c>
      <c r="DD185" s="409"/>
      <c r="DE185" s="398">
        <f>IF(DD185=0,0,IF(LEN(CR185)=11,_xlfn.XLOOKUP(CR185,'Dispensed Ink Rates'!C:C,'Dispensed Ink Rates'!CS:CS),VLOOKUP(CR185,'Jan-2026 rates'!$E:$F,2,0)))</f>
        <v>0</v>
      </c>
      <c r="DF185" s="409"/>
      <c r="DG185" s="398">
        <f>IF(DF185=0,0,IF(LEN(CS185)=11,_xlfn.XLOOKUP(CS185,'Dispensed Ink Rates'!C:C,'Dispensed Ink Rates'!CS:CS),VLOOKUP(CS185,'Jan-2026 rates'!$E:$F,2,0)))</f>
        <v>0</v>
      </c>
      <c r="DH185" s="409"/>
      <c r="DI185" s="398">
        <f>IF(DH185=0,0,IF(LEN(CT185)=11,_xlfn.XLOOKUP(CT185,'Dispensed Ink Rates'!C:C,'Dispensed Ink Rates'!CS:CS),VLOOKUP(CT185,'Jan-2026 rates'!$E:$F,2,0)))</f>
        <v>0</v>
      </c>
      <c r="DJ185" s="409"/>
      <c r="DK185" s="398">
        <f>IF(DJ185=0,0,IF(LEN(CU185)=11,_xlfn.XLOOKUP(CU185,'Dispensed Ink Rates'!C:C,'Dispensed Ink Rates'!CS:CS),VLOOKUP(CU185,'Jan-2026 rates'!$E:$F,2,0)))</f>
        <v>0</v>
      </c>
      <c r="DL185" s="409" t="s">
        <v>1881</v>
      </c>
      <c r="DM185" s="409">
        <v>28</v>
      </c>
      <c r="DN185" s="411">
        <f t="shared" si="112"/>
        <v>0</v>
      </c>
      <c r="DO185" s="411">
        <f t="shared" si="113"/>
        <v>9.941176470588232</v>
      </c>
      <c r="DP185" s="410">
        <f t="shared" si="114"/>
        <v>0</v>
      </c>
      <c r="DQ185" s="405" t="s">
        <v>828</v>
      </c>
      <c r="DR185" s="409" t="s">
        <v>3630</v>
      </c>
      <c r="DS185" s="420" t="str">
        <f t="shared" si="133"/>
        <v>ToyoLi - ORANGE</v>
      </c>
      <c r="DT185" s="409">
        <v>5</v>
      </c>
      <c r="DU185" s="411">
        <f>IF(DT185=0,0,IF($LB185=70%,VLOOKUP($DS185,'Jan-2026 rates'!$L:$R,4,0),IF($LB185=65%,VLOOKUP($DS185,'Jan-2026 rates'!$L:$R,4,0),IF($LB185=40%,VLOOKUP($DS185,'Jan-2026 rates'!$L:$R,5,0),IF($LB185=30%,VLOOKUP($DS185,'Jan-2026 rates'!$L:$R,6,0),IF($LB185=100%,VLOOKUP($DS185,'Jan-2026 rates'!$L:$R,7,0),IF($LB185=60%,VLOOKUP($DS185,'Jan-2026 rates'!$L:$S,8,0),IF($LB185=80%,VLOOKUP($DS185,'Jan-2026 rates'!L:T,9,0),0))))))))</f>
        <v>0</v>
      </c>
      <c r="DV185" s="412" t="s">
        <v>3656</v>
      </c>
      <c r="DW185" s="409">
        <v>13</v>
      </c>
      <c r="DX185" s="411">
        <f>IF(DW185=0,0,IF($LB185=70%,VLOOKUP($DS185,'Jan-2026 rates'!$L:$R,4,0),IF($LB185=65%,VLOOKUP($DS185,'Jan-2026 rates'!$L:$R,4,0),IF($LB185=40%,VLOOKUP($DS185,'Jan-2026 rates'!$L:$R,5,0),IF($LB185=30%,VLOOKUP($DS185,'Jan-2026 rates'!$L:$R,6,0),IF($LB185=100%,VLOOKUP($DS185,'Jan-2026 rates'!$L:$R,7,0),IF($LB185=60%,VLOOKUP($DS185,'Jan-2026 rates'!$L:$S,8,0),IF($LB185=80%,VLOOKUP($DS185,'Jan-2026 rates'!L:T,9,0),0))))))))</f>
        <v>0</v>
      </c>
      <c r="DY185" s="413" t="s">
        <v>1247</v>
      </c>
      <c r="DZ185" s="413" t="s">
        <v>1921</v>
      </c>
      <c r="EA185" s="412" t="s">
        <v>1252</v>
      </c>
      <c r="EB185" s="412"/>
      <c r="EC185" s="412"/>
      <c r="ED185" s="412"/>
      <c r="EE185" s="412"/>
      <c r="EF185" s="412"/>
      <c r="EG185" s="409">
        <v>2</v>
      </c>
      <c r="EH185" s="398">
        <f>IF(EG185=0,0,IF(LEN(DY185)=11,_xlfn.XLOOKUP(DY185,'Dispensed Ink Rates'!C:C,'Dispensed Ink Rates'!CS:CS),VLOOKUP(DY185,'Jan-2026 rates'!$E:$F,2,0)))</f>
        <v>0</v>
      </c>
      <c r="EI185" s="409">
        <v>1</v>
      </c>
      <c r="EJ185" s="398">
        <f>IF(EI185=0,0,IF(LEN(DZ185)=11,_xlfn.XLOOKUP(DZ185,'Dispensed Ink Rates'!C:C,'Dispensed Ink Rates'!CS:CS),VLOOKUP(DZ185,'Jan-2026 rates'!$E:$F,2,0)))</f>
        <v>0</v>
      </c>
      <c r="EK185" s="409">
        <v>0.2</v>
      </c>
      <c r="EL185" s="398">
        <f>IF(EK185=0,0,IF(LEN(EA185)=11,_xlfn.XLOOKUP(EA185,'Dispensed Ink Rates'!C:C,'Dispensed Ink Rates'!CS:CS),VLOOKUP(EA185,'Jan-2026 rates'!$E:$F,2,0)))</f>
        <v>0</v>
      </c>
      <c r="EM185" s="409"/>
      <c r="EN185" s="398">
        <f>IF(EM185=0,0,IF(LEN(EB185)=11,_xlfn.XLOOKUP(EB185,'Dispensed Ink Rates'!C:C,'Dispensed Ink Rates'!CS:CS),VLOOKUP(EB185,'Jan-2026 rates'!$E:$F,2,0)))</f>
        <v>0</v>
      </c>
      <c r="EO185" s="409"/>
      <c r="EP185" s="398">
        <f>IF(EO185=0,0,IF(LEN(EC185)=11,_xlfn.XLOOKUP(EC185,'Dispensed Ink Rates'!C:C,'Dispensed Ink Rates'!CS:CS),VLOOKUP(EC185,'Jan-2026 rates'!$E:$F,2,0)))</f>
        <v>0</v>
      </c>
      <c r="EQ185" s="409"/>
      <c r="ER185" s="398">
        <f>IF(EQ185=0,0,IF(LEN(ED185)=11,_xlfn.XLOOKUP(ED185,'Dispensed Ink Rates'!C:C,'Dispensed Ink Rates'!CS:CS),VLOOKUP(ED185,'Jan-2026 rates'!$E:$F,2,0)))</f>
        <v>0</v>
      </c>
      <c r="ES185" s="409"/>
      <c r="ET185" s="398">
        <f>IF(ES185=0,0,IF(LEN(EE185)=11,_xlfn.XLOOKUP(EE185,'Dispensed Ink Rates'!C:C,'Dispensed Ink Rates'!CS:CS),VLOOKUP(EE185,'Jan-2026 rates'!$E:$F,2,0)))</f>
        <v>0</v>
      </c>
      <c r="EU185" s="409"/>
      <c r="EV185" s="398">
        <f>IF(EU185=0,0,IF(LEN(EF185)=11,_xlfn.XLOOKUP(EF185,'Dispensed Ink Rates'!C:C,'Dispensed Ink Rates'!CS:CS),VLOOKUP(EF185,'Jan-2026 rates'!$E:$F,2,0)))</f>
        <v>0</v>
      </c>
      <c r="EW185" s="409" t="s">
        <v>1881</v>
      </c>
      <c r="EX185" s="409">
        <v>23</v>
      </c>
      <c r="EY185" s="411">
        <f t="shared" si="115"/>
        <v>0</v>
      </c>
      <c r="EZ185" s="411">
        <f t="shared" si="116"/>
        <v>2.8274509803921575</v>
      </c>
      <c r="FA185" s="410">
        <f t="shared" si="117"/>
        <v>0</v>
      </c>
      <c r="FB185" s="405" t="s">
        <v>544</v>
      </c>
      <c r="FC185" s="409" t="s">
        <v>3638</v>
      </c>
      <c r="FD185" s="420" t="str">
        <f t="shared" si="134"/>
        <v>ToyoLi - MAGENTA</v>
      </c>
      <c r="FE185" s="409">
        <v>28</v>
      </c>
      <c r="FF185" s="411">
        <f>IF(FE185=0,0,IF($LB185=70%,VLOOKUP($FD185,'Jan-2026 rates'!$L:$R,4,0),IF($LB185=65%,VLOOKUP($FD185,'Jan-2026 rates'!$L:$R,4,0),IF($LB185=40%,VLOOKUP($FD185,'Jan-2026 rates'!$L:$R,5,0),IF($LB185=30%,VLOOKUP($FD185,'Jan-2026 rates'!$L:$R,6,0),IF($LB185=100%,VLOOKUP($FD185,'Jan-2026 rates'!$L:$R,7,0),IF($LB185=60%,VLOOKUP($FD185,'Jan-2026 rates'!$L:$S,8,0),IF($LB185=80%,VLOOKUP($FD185,'Jan-2026 rates'!L:T,9,0),0))))))))</f>
        <v>0</v>
      </c>
      <c r="FG185" s="412"/>
      <c r="FH185" s="409"/>
      <c r="FI185" s="411">
        <f>IF(FH185=0,0,IF($LB185=70%,VLOOKUP($FD185,'Jan-2026 rates'!$L:$R,4,0),IF($LB185=65%,VLOOKUP($FD185,'Jan-2026 rates'!$L:$R,4,0),IF($LB185=40%,VLOOKUP($FD185,'Jan-2026 rates'!$L:$R,5,0),IF($LB185=30%,VLOOKUP($FD185,'Jan-2026 rates'!$L:$R,6,0),IF($LB185=100%,VLOOKUP($FD185,'Jan-2026 rates'!$L:$R,7,0),IF($LB185=60%,VLOOKUP($FD185,'Jan-2026 rates'!$L:$S,8,0),IF($LB185=80%,VLOOKUP($FD185,'Jan-2026 rates'!L:T,9,0),0))))))))</f>
        <v>0</v>
      </c>
      <c r="FJ185" s="413" t="s">
        <v>1921</v>
      </c>
      <c r="FK185" s="413"/>
      <c r="FL185" s="413"/>
      <c r="FM185" s="412"/>
      <c r="FN185" s="412"/>
      <c r="FO185" s="412"/>
      <c r="FP185" s="412"/>
      <c r="FQ185" s="412"/>
      <c r="FR185" s="409">
        <v>2</v>
      </c>
      <c r="FS185" s="398">
        <f>IF(FR185=0,0,IF(LEN(FJ185)=11,_xlfn.XLOOKUP(FJ185,'Dispensed Ink Rates'!C:C,'Dispensed Ink Rates'!CS:CS),VLOOKUP(FJ185,'Jan-2026 rates'!$E:$F,2,0)))</f>
        <v>0</v>
      </c>
      <c r="FT185" s="409"/>
      <c r="FU185" s="398">
        <f>IF(FT185=0,0,IF(LEN(FK185)=11,_xlfn.XLOOKUP(FK185,'Dispensed Ink Rates'!C:C,'Dispensed Ink Rates'!CS:CS),VLOOKUP(FK185,'Jan-2026 rates'!$E:$F,2,0)))</f>
        <v>0</v>
      </c>
      <c r="FV185" s="409"/>
      <c r="FW185" s="398">
        <f>IF(FV185=0,0,IF(LEN(FL185)=11,_xlfn.XLOOKUP(FL185,'Dispensed Ink Rates'!C:C,'Dispensed Ink Rates'!CS:CS),VLOOKUP(FL185,'Jan-2026 rates'!$E:$F,2,0)))</f>
        <v>0</v>
      </c>
      <c r="FX185" s="409"/>
      <c r="FY185" s="398">
        <f>IF(FX185=0,0,IF(LEN(FM185)=11,_xlfn.XLOOKUP(FM185,'Dispensed Ink Rates'!C:C,'Dispensed Ink Rates'!CS:CS),VLOOKUP(FM185,'Jan-2026 rates'!$E:$F,2,0)))</f>
        <v>0</v>
      </c>
      <c r="FZ185" s="409"/>
      <c r="GA185" s="398">
        <f>IF(FZ185=0,0,IF(LEN(FN185)=11,_xlfn.XLOOKUP(FN185,'Dispensed Ink Rates'!C:C,'Dispensed Ink Rates'!CS:CS),VLOOKUP(FN185,'Jan-2026 rates'!$E:$F,2,0)))</f>
        <v>0</v>
      </c>
      <c r="GB185" s="409"/>
      <c r="GC185" s="398">
        <f>IF(GB185=0,0,IF(LEN(FO185)=11,_xlfn.XLOOKUP(FO185,'Dispensed Ink Rates'!C:C,'Dispensed Ink Rates'!CS:CS),VLOOKUP(FO185,'Jan-2026 rates'!$E:$F,2,0)))</f>
        <v>0</v>
      </c>
      <c r="GD185" s="409"/>
      <c r="GE185" s="398">
        <f>IF(GD185=0,0,IF(LEN(FP185)=11,_xlfn.XLOOKUP(FP185,'Dispensed Ink Rates'!C:C,'Dispensed Ink Rates'!CS:CS),VLOOKUP(FP185,'Jan-2026 rates'!$E:$F,2,0)))</f>
        <v>0</v>
      </c>
      <c r="GF185" s="409"/>
      <c r="GG185" s="398">
        <f>IF(GF185=0,0,IF(LEN(FQ185)=11,_xlfn.XLOOKUP(FQ185,'Dispensed Ink Rates'!C:C,'Dispensed Ink Rates'!CS:CS),VLOOKUP(FQ185,'Jan-2026 rates'!$E:$F,2,0)))</f>
        <v>0</v>
      </c>
      <c r="GH185" s="409" t="s">
        <v>1881</v>
      </c>
      <c r="GI185" s="409">
        <v>27</v>
      </c>
      <c r="GJ185" s="411">
        <f t="shared" si="118"/>
        <v>0</v>
      </c>
      <c r="GK185" s="411">
        <f t="shared" si="119"/>
        <v>7.6274509803921546</v>
      </c>
      <c r="GL185" s="410">
        <f t="shared" si="120"/>
        <v>0</v>
      </c>
      <c r="GM185" s="405" t="s">
        <v>545</v>
      </c>
      <c r="GN185" s="409" t="s">
        <v>3657</v>
      </c>
      <c r="GO185" s="420" t="str">
        <f t="shared" si="135"/>
        <v>ToyoLi - YELLOW</v>
      </c>
      <c r="GP185" s="409">
        <v>32</v>
      </c>
      <c r="GQ185" s="411">
        <f>IF(GP185=0,0,IF($LB185=70%,VLOOKUP($GO185,'Jan-2026 rates'!$L:$R,4,0),IF($LB185=65%,VLOOKUP($GO185,'Jan-2026 rates'!$L:$R,4,0),IF($LB185=40%,VLOOKUP($GO185,'Jan-2026 rates'!$L:$R,5,0),IF($LB185=30%,VLOOKUP($GO185,'Jan-2026 rates'!$L:$R,6,0),IF($LB185=100%,VLOOKUP($GO185,'Jan-2026 rates'!$L:$R,7,0),IF($LB185=60%,VLOOKUP($GO185,'Jan-2026 rates'!$L:$S,8,0),IF($LB185=80%,VLOOKUP($GO185,'Jan-2026 rates'!L:T,9,0),0))))))))</f>
        <v>0</v>
      </c>
      <c r="GR185" s="412"/>
      <c r="GS185" s="409"/>
      <c r="GT185" s="411">
        <f>IF(GS185=0,0,IF($LB185=70%,VLOOKUP($GO185,'Jan-2026 rates'!$L:$R,4,0),IF($LB185=65%,VLOOKUP($GO185,'Jan-2026 rates'!$L:$R,4,0),IF($LB185=40%,VLOOKUP($GO185,'Jan-2026 rates'!$L:$R,5,0),IF($LB185=30%,VLOOKUP($GO185,'Jan-2026 rates'!$L:$R,6,0),IF($LB185=100%,VLOOKUP($GO185,'Jan-2026 rates'!$L:$R,7,0),IF($LB185=60%,VLOOKUP($GO185,'Jan-2026 rates'!$L:$S,8,0),IF($LB185=80%,VLOOKUP($GO185,'Jan-2026 rates'!L:T,9,0),0))))))))</f>
        <v>0</v>
      </c>
      <c r="GU185" s="413" t="s">
        <v>1247</v>
      </c>
      <c r="GV185" s="413"/>
      <c r="GW185" s="412"/>
      <c r="GX185" s="412"/>
      <c r="GY185" s="412"/>
      <c r="GZ185" s="412"/>
      <c r="HA185" s="412"/>
      <c r="HB185" s="412"/>
      <c r="HC185" s="409">
        <v>2</v>
      </c>
      <c r="HD185" s="398">
        <f>IF(HC185=0,0,IF(LEN(GU185)=11,_xlfn.XLOOKUP(GU185,'Dispensed Ink Rates'!C:C,'Dispensed Ink Rates'!CS:CS),VLOOKUP(GU185,'Jan-2026 rates'!$E:$F,2,0)))</f>
        <v>0</v>
      </c>
      <c r="HE185" s="409"/>
      <c r="HF185" s="398">
        <f>IF(HE185=0,0,IF(LEN(GV185)=11,_xlfn.XLOOKUP(GV185,'Dispensed Ink Rates'!C:C,'Dispensed Ink Rates'!CS:CS),VLOOKUP(GV185,'Jan-2026 rates'!$E:$F,2,0)))</f>
        <v>0</v>
      </c>
      <c r="HG185" s="409"/>
      <c r="HH185" s="398">
        <f>IF(HG185=0,0,IF(LEN(GW185)=11,_xlfn.XLOOKUP(GW185,'Dispensed Ink Rates'!C:C,'Dispensed Ink Rates'!CS:CS),VLOOKUP(GW185,'Jan-2026 rates'!$E:$F,2,0)))</f>
        <v>0</v>
      </c>
      <c r="HI185" s="409"/>
      <c r="HJ185" s="398">
        <f>IF(HI185=0,0,IF(LEN(GX185)=11,_xlfn.XLOOKUP(GX185,'Dispensed Ink Rates'!C:C,'Dispensed Ink Rates'!CS:CS),VLOOKUP(GX185,'Jan-2026 rates'!$E:$F,2,0)))</f>
        <v>0</v>
      </c>
      <c r="HK185" s="409"/>
      <c r="HL185" s="398">
        <f>IF(HK185=0,0,IF(LEN(GY185)=11,_xlfn.XLOOKUP(GY185,'Dispensed Ink Rates'!C:C,'Dispensed Ink Rates'!CS:CS),VLOOKUP(GY185,'Jan-2026 rates'!$E:$F,2,0)))</f>
        <v>0</v>
      </c>
      <c r="HM185" s="409"/>
      <c r="HN185" s="398">
        <f>IF(HM185=0,0,IF(LEN(GZ185)=11,_xlfn.XLOOKUP(GZ185,'Dispensed Ink Rates'!C:C,'Dispensed Ink Rates'!CS:CS),VLOOKUP(GZ185,'Jan-2026 rates'!$E:$F,2,0)))</f>
        <v>0</v>
      </c>
      <c r="HO185" s="409"/>
      <c r="HP185" s="398">
        <f>IF(HO185=0,0,IF(LEN(HA185)=11,_xlfn.XLOOKUP(HA185,'Dispensed Ink Rates'!C:C,'Dispensed Ink Rates'!CS:CS),VLOOKUP(HA185,'Jan-2026 rates'!$E:$F,2,0)))</f>
        <v>0</v>
      </c>
      <c r="HQ185" s="409"/>
      <c r="HR185" s="398">
        <f>IF(HQ185=0,0,IF(LEN(HB185)=11,_xlfn.XLOOKUP(HB185,'Dispensed Ink Rates'!C:C,'Dispensed Ink Rates'!CS:CS),VLOOKUP(HB185,'Jan-2026 rates'!$E:$F,2,0)))</f>
        <v>0</v>
      </c>
      <c r="HS185" s="409" t="s">
        <v>1881</v>
      </c>
      <c r="HT185" s="409">
        <v>26</v>
      </c>
      <c r="HU185" s="411">
        <f t="shared" si="121"/>
        <v>0</v>
      </c>
      <c r="HV185" s="411">
        <f t="shared" si="122"/>
        <v>12.627450980392155</v>
      </c>
      <c r="HW185" s="414">
        <f t="shared" si="123"/>
        <v>0</v>
      </c>
      <c r="HX185" s="405" t="s">
        <v>856</v>
      </c>
      <c r="HY185" s="409" t="s">
        <v>3658</v>
      </c>
      <c r="HZ185" s="420" t="str">
        <f t="shared" si="136"/>
        <v>ToyoLi - WHITE</v>
      </c>
      <c r="IA185" s="409">
        <v>20</v>
      </c>
      <c r="IB185" s="411">
        <f>IF(IA185=0,0,IF($LB185=70%,VLOOKUP($HZ185,'Jan-2026 rates'!$L:$R,4,0),IF($LB185=65%,VLOOKUP($HZ185,'Jan-2026 rates'!$L:$R,4,0),IF($LB185=40%,VLOOKUP($HZ185,'Jan-2026 rates'!$L:$R,5,0),IF($LB185=30%,VLOOKUP($HZ185,'Jan-2026 rates'!$L:$R,6,0),IF($LB185=100%,VLOOKUP($HZ185,'Jan-2026 rates'!$L:$R,7,0),IF($LB185=60%,VLOOKUP($HZ185,'Jan-2026 rates'!$L:$S,8,0),IF($LB185=80%,VLOOKUP($HZ185,'Jan-2026 rates'!L:T,9,0),0))))))))</f>
        <v>0</v>
      </c>
      <c r="IC185" s="412"/>
      <c r="ID185" s="409"/>
      <c r="IE185" s="411">
        <f>IF(ID185=0,0,IF($LB185=70%,VLOOKUP($HZ185,'Jan-2026 rates'!$L:$R,4,0),IF($LB185=65%,VLOOKUP($HZ185,'Jan-2026 rates'!$L:$R,4,0),IF($LB185=40%,VLOOKUP($HZ185,'Jan-2026 rates'!$L:$R,5,0),IF($LB185=30%,VLOOKUP($HZ185,'Jan-2026 rates'!$L:$R,6,0),IF($LB185=100%,VLOOKUP($HZ185,'Jan-2026 rates'!$L:$R,7,0),IF($LB185=60%,VLOOKUP($HZ185,'Jan-2026 rates'!$L:$S,8,0),IF($LB185=80%,VLOOKUP($HZ185,'Jan-2026 rates'!L:T,9,0),0))))))))</f>
        <v>0</v>
      </c>
      <c r="IF185" s="412" t="s">
        <v>1249</v>
      </c>
      <c r="IG185" s="413"/>
      <c r="IH185" s="412"/>
      <c r="II185" s="412"/>
      <c r="IJ185" s="412"/>
      <c r="IK185" s="412"/>
      <c r="IL185" s="412"/>
      <c r="IM185" s="412"/>
      <c r="IN185" s="409">
        <v>60</v>
      </c>
      <c r="IO185" s="398">
        <f>IF(IN185=0,0,IF(LEN(IF185)=11,_xlfn.XLOOKUP(IF185,'Dispensed Ink Rates'!C:C,'Dispensed Ink Rates'!CS:CS),VLOOKUP(IF185,'Jan-2026 rates'!$E:$F,2,0)))</f>
        <v>0</v>
      </c>
      <c r="IP185" s="409"/>
      <c r="IQ185" s="398">
        <f>IF(IP185=0,0,IF(LEN(IG185)=11,_xlfn.XLOOKUP(IG185,'Dispensed Ink Rates'!C:C,'Dispensed Ink Rates'!CS:CS),VLOOKUP(IG185,'Jan-2026 rates'!$E:$F,2,0)))</f>
        <v>0</v>
      </c>
      <c r="IR185" s="409"/>
      <c r="IS185" s="398">
        <f>IF(IR185=0,0,IF(LEN(IH185)=11,_xlfn.XLOOKUP(IH185,'Dispensed Ink Rates'!C:C,'Dispensed Ink Rates'!CS:CS),VLOOKUP(IH185,'Jan-2026 rates'!$E:$F,2,0)))</f>
        <v>0</v>
      </c>
      <c r="IT185" s="409"/>
      <c r="IU185" s="398">
        <f>IF(IT185=0,0,IF(LEN(II185)=11,_xlfn.XLOOKUP(II185,'Dispensed Ink Rates'!C:C,'Dispensed Ink Rates'!CS:CS),VLOOKUP(II185,'Jan-2026 rates'!$E:$F,2,0)))</f>
        <v>0</v>
      </c>
      <c r="IV185" s="409"/>
      <c r="IW185" s="398">
        <f>IF(IV185=0,0,IF(LEN(IJ185)=11,_xlfn.XLOOKUP(IJ185,'Dispensed Ink Rates'!C:C,'Dispensed Ink Rates'!CS:CS),VLOOKUP(IJ185,'Jan-2026 rates'!$E:$F,2,0)))</f>
        <v>0</v>
      </c>
      <c r="IX185" s="409"/>
      <c r="IY185" s="398">
        <f>IF(IX185=0,0,IF(LEN(IK185)=11,_xlfn.XLOOKUP(IK185,'Dispensed Ink Rates'!C:C,'Dispensed Ink Rates'!CS:CS),VLOOKUP(IK185,'Jan-2026 rates'!$E:$F,2,0)))</f>
        <v>0</v>
      </c>
      <c r="IZ185" s="409"/>
      <c r="JA185" s="398">
        <f>IF(IZ185=0,0,IF(LEN(IL185)=11,_xlfn.XLOOKUP(IL185,'Dispensed Ink Rates'!C:C,'Dispensed Ink Rates'!CS:CS),VLOOKUP(IL185,'Jan-2026 rates'!$E:$F,2,0)))</f>
        <v>0</v>
      </c>
      <c r="JB185" s="409"/>
      <c r="JC185" s="398">
        <f>IF(JB185=0,0,IF(LEN(IM185)=11,_xlfn.XLOOKUP(IM185,'Dispensed Ink Rates'!C:C,'Dispensed Ink Rates'!CS:CS),VLOOKUP(IM185,'Jan-2026 rates'!$E:$F,2,0)))</f>
        <v>0</v>
      </c>
      <c r="JD185" s="409" t="s">
        <v>1881</v>
      </c>
      <c r="JE185" s="409">
        <v>22</v>
      </c>
      <c r="JF185" s="411">
        <f t="shared" si="124"/>
        <v>0</v>
      </c>
      <c r="JG185" s="411">
        <f t="shared" si="125"/>
        <v>127.41176470588238</v>
      </c>
      <c r="JH185" s="410">
        <f t="shared" si="126"/>
        <v>0</v>
      </c>
      <c r="JI185" s="405" t="s">
        <v>605</v>
      </c>
      <c r="JJ185" s="409" t="s">
        <v>3659</v>
      </c>
      <c r="JK185" s="420" t="str">
        <f t="shared" si="137"/>
        <v>HI-TECH INK - MATT</v>
      </c>
      <c r="JL185" s="409">
        <v>30</v>
      </c>
      <c r="JM185" s="411">
        <f>IF(JL185=0,0,IF($LB185=70%,VLOOKUP($JK185,'Jan-2026 rates'!$L:$R,4,0),IF($LB185=65%,VLOOKUP($JK185,'Jan-2026 rates'!$L:$R,4,0),IF($LB185=40%,VLOOKUP($JK185,'Jan-2026 rates'!$L:$R,5,0),IF($LB185=30%,VLOOKUP($JK185,'Jan-2026 rates'!$L:$R,6,0),IF($LB185=100%,VLOOKUP($JK185,'Jan-2026 rates'!$L:$R,7,0),IF($LB185=60%,VLOOKUP($JK185,'Jan-2026 rates'!$L:$S,8,0),IF($LB185=80%,VLOOKUP($JK185,'Jan-2026 rates'!L:T,9,0),0))))))))</f>
        <v>0</v>
      </c>
      <c r="JN185" s="412"/>
      <c r="JO185" s="409"/>
      <c r="JP185" s="411">
        <f>IF(JO185=0,0,IF($LB185=70%,VLOOKUP($JK185,'Jan-2026 rates'!$L:$R,4,0),IF($LB185=65%,VLOOKUP($JK185,'Jan-2026 rates'!$L:$R,4,0),IF($LB185=40%,VLOOKUP($JK185,'Jan-2026 rates'!$L:$R,5,0),IF($LB185=30%,VLOOKUP($JK185,'Jan-2026 rates'!$L:$R,6,0),IF($LB185=100%,VLOOKUP($JK185,'Jan-2026 rates'!$L:$R,7,0),IF($LB185=60%,VLOOKUP($JK185,'Jan-2026 rates'!$L:$S,8,0),IF($LB185=80%,VLOOKUP($JK185,'Jan-2026 rates'!L:T,9,0),0))))))))</f>
        <v>0</v>
      </c>
      <c r="JQ185" s="413">
        <v>2066</v>
      </c>
      <c r="JR185" s="412"/>
      <c r="JS185" s="413"/>
      <c r="JT185" s="413"/>
      <c r="JU185" s="412"/>
      <c r="JV185" s="412"/>
      <c r="JW185" s="412"/>
      <c r="JX185" s="412"/>
      <c r="JY185" s="409">
        <v>20</v>
      </c>
      <c r="JZ185" s="398">
        <f>IF(JY185=0,0,IF(LEN(JQ185)=11,_xlfn.XLOOKUP(JQ185,'Dispensed Ink Rates'!C:C,'Dispensed Ink Rates'!CS:CS),VLOOKUP(JQ185,'Jan-2026 rates'!$E:$F,2,0)))</f>
        <v>0</v>
      </c>
      <c r="KA185" s="409"/>
      <c r="KB185" s="398">
        <f>IF(KA185=0,0,IF(LEN(JR185)=11,_xlfn.XLOOKUP(JR185,'Dispensed Ink Rates'!C:C,'Dispensed Ink Rates'!CS:CS),VLOOKUP(JR185,'Jan-2026 rates'!$E:$F,2,0)))</f>
        <v>0</v>
      </c>
      <c r="KC185" s="409"/>
      <c r="KD185" s="398">
        <f>IF(KC185=0,0,IF(LEN(JS185)=11,_xlfn.XLOOKUP(JS185,'Dispensed Ink Rates'!C:C,'Dispensed Ink Rates'!CS:CS),VLOOKUP(JS185,'Jan-2026 rates'!$E:$F,2,0)))</f>
        <v>0</v>
      </c>
      <c r="KE185" s="409"/>
      <c r="KF185" s="398">
        <f>IF(KE185=0,0,IF(LEN(JT185)=11,_xlfn.XLOOKUP(JT185,'Dispensed Ink Rates'!C:C,'Dispensed Ink Rates'!CS:CS),VLOOKUP(JT185,'Jan-2026 rates'!$E:$F,2,0)))</f>
        <v>0</v>
      </c>
      <c r="KG185" s="409"/>
      <c r="KH185" s="398">
        <f>IF(KG185=0,0,IF(LEN(JU185)=11,_xlfn.XLOOKUP(JU185,'Dispensed Ink Rates'!C:C,'Dispensed Ink Rates'!CS:CS),VLOOKUP(JU185,'Jan-2026 rates'!$E:$F,2,0)))</f>
        <v>0</v>
      </c>
      <c r="KI185" s="409"/>
      <c r="KJ185" s="398">
        <f>IF(KI185=0,0,IF(LEN(JV185)=11,_xlfn.XLOOKUP(JV185,'Dispensed Ink Rates'!C:C,'Dispensed Ink Rates'!CS:CS),VLOOKUP(JV185,'Jan-2026 rates'!$E:$F,2,0)))</f>
        <v>0</v>
      </c>
      <c r="KK185" s="409"/>
      <c r="KL185" s="398">
        <f>IF(KK185=0,0,IF(LEN(JW185)=11,_xlfn.XLOOKUP(JW185,'Dispensed Ink Rates'!C:C,'Dispensed Ink Rates'!CS:CS),VLOOKUP(JW185,'Jan-2026 rates'!$E:$F,2,0)))</f>
        <v>0</v>
      </c>
      <c r="KM185" s="428"/>
      <c r="KN185" s="398">
        <f>IF(KM185=0,0,IF(LEN(JX185)=11,_xlfn.XLOOKUP(JX185,'Dispensed Ink Rates'!C:C,'Dispensed Ink Rates'!CS:CS),VLOOKUP(JX185,'Jan-2026 rates'!$E:$F,2,0)))</f>
        <v>0</v>
      </c>
      <c r="KO185" s="409" t="s">
        <v>602</v>
      </c>
      <c r="KP185" s="409">
        <v>15</v>
      </c>
      <c r="KQ185" s="411">
        <f t="shared" si="127"/>
        <v>0</v>
      </c>
      <c r="KR185" s="411">
        <f t="shared" si="128"/>
        <v>46.568627450980394</v>
      </c>
      <c r="KS185" s="410">
        <f t="shared" si="129"/>
        <v>0</v>
      </c>
      <c r="KT185" s="409">
        <v>2</v>
      </c>
      <c r="KU185" s="409">
        <v>5</v>
      </c>
      <c r="KV185" s="409">
        <v>3</v>
      </c>
      <c r="KW185" s="409">
        <v>2</v>
      </c>
      <c r="KX185" s="409">
        <v>2</v>
      </c>
      <c r="KY185" s="409">
        <v>2</v>
      </c>
      <c r="KZ185" s="409">
        <v>30</v>
      </c>
      <c r="LA185" s="409">
        <v>5</v>
      </c>
      <c r="LB185" s="415">
        <v>0.3</v>
      </c>
      <c r="LC185" s="415"/>
      <c r="LD185" s="415"/>
      <c r="LE185" s="415">
        <v>0.5</v>
      </c>
      <c r="LF185" s="415">
        <v>0.2</v>
      </c>
      <c r="LG185" s="409">
        <v>0</v>
      </c>
      <c r="LH185" s="409">
        <f>35+25+15+25+5+3+10</f>
        <v>118</v>
      </c>
      <c r="LI185" s="409">
        <v>0</v>
      </c>
      <c r="LJ185" s="409">
        <v>0</v>
      </c>
      <c r="LK185" s="416">
        <f t="shared" si="138"/>
        <v>118</v>
      </c>
      <c r="LL185" s="416">
        <f t="shared" si="139"/>
        <v>118</v>
      </c>
      <c r="LM185" s="417">
        <f t="shared" si="140"/>
        <v>35.4</v>
      </c>
      <c r="LN185" s="417">
        <f>VLOOKUP($LM$8,'Jan-2026 rates'!$H:$I,2,0)</f>
        <v>0</v>
      </c>
      <c r="LO185" s="417">
        <f t="shared" si="141"/>
        <v>0</v>
      </c>
      <c r="LP185" s="417">
        <f>VLOOKUP($LO$8,'Jan-2026 rates'!$H:$I,2,0)</f>
        <v>0</v>
      </c>
      <c r="LQ185" s="417">
        <f t="shared" si="142"/>
        <v>0</v>
      </c>
      <c r="LR185" s="417">
        <f>VLOOKUP($LQ$8,'Jan-2026 rates'!$H:$I,2,0)</f>
        <v>0</v>
      </c>
      <c r="LS185" s="417">
        <f t="shared" si="143"/>
        <v>59</v>
      </c>
      <c r="LT185" s="417">
        <f>VLOOKUP($LS$8,'Jan-2026 rates'!$H:$I,2,0)</f>
        <v>0</v>
      </c>
      <c r="LU185" s="417">
        <f t="shared" si="144"/>
        <v>23.6</v>
      </c>
      <c r="LV185" s="417">
        <f>VLOOKUP($LU$8,'Jan-2026 rates'!$H:$I,2,0)</f>
        <v>0</v>
      </c>
      <c r="LW185" s="417">
        <f t="shared" si="145"/>
        <v>0</v>
      </c>
      <c r="LX185" s="417">
        <f t="shared" si="146"/>
        <v>0</v>
      </c>
      <c r="LY185" s="418">
        <f t="shared" si="147"/>
        <v>0</v>
      </c>
      <c r="LZ185" s="417"/>
      <c r="MA185" s="435">
        <f t="shared" si="148"/>
        <v>105.2</v>
      </c>
      <c r="MB185" s="282">
        <f t="shared" si="149"/>
        <v>260.20000000000005</v>
      </c>
      <c r="MC185" s="283" t="s">
        <v>2020</v>
      </c>
      <c r="MD185" s="284" t="str">
        <f t="shared" si="150"/>
        <v>ToyoLiToyoLiToyoLiToyoLiToyoLiToyoLiToyoLiHI-TECH INK</v>
      </c>
      <c r="ME185" s="293" t="str">
        <f t="shared" si="151"/>
        <v>+</v>
      </c>
      <c r="MF185" s="293" t="str">
        <f t="shared" si="152"/>
        <v>+</v>
      </c>
      <c r="MG185" s="293" t="str">
        <f t="shared" si="153"/>
        <v>+</v>
      </c>
      <c r="MH185" s="293" t="str">
        <f t="shared" si="154"/>
        <v>+</v>
      </c>
      <c r="MI185" s="293" t="str">
        <f t="shared" si="155"/>
        <v>+</v>
      </c>
      <c r="MJ185" s="293" t="str">
        <f t="shared" si="156"/>
        <v>+</v>
      </c>
      <c r="MK185" s="293" t="str">
        <f t="shared" si="157"/>
        <v>+</v>
      </c>
      <c r="ML185" s="293" t="str">
        <f t="shared" si="158"/>
        <v>+</v>
      </c>
      <c r="MM185" s="3" t="b">
        <f t="array" ref="MM185">OR(ME185:ML185="-")</f>
        <v>0</v>
      </c>
      <c r="MN185" s="285"/>
      <c r="MO185" s="401"/>
      <c r="MP185" s="286"/>
      <c r="MQ185" s="286"/>
      <c r="MR185" s="402"/>
      <c r="MS185" s="400"/>
      <c r="NH185" s="422"/>
      <c r="NJ185" s="421"/>
    </row>
    <row r="186" spans="1:374" s="1" customFormat="1" ht="16.5">
      <c r="A186" s="403">
        <v>46036</v>
      </c>
      <c r="B186" s="404" t="s">
        <v>1015</v>
      </c>
      <c r="C186" s="405" t="s">
        <v>3660</v>
      </c>
      <c r="D186" s="406" t="s">
        <v>2021</v>
      </c>
      <c r="E186" s="404">
        <v>148</v>
      </c>
      <c r="F186" s="407">
        <v>7800</v>
      </c>
      <c r="G186" s="407" t="s">
        <v>1016</v>
      </c>
      <c r="H186" s="408" t="s">
        <v>1017</v>
      </c>
      <c r="I186" s="409">
        <f>1.7+1.2</f>
        <v>2.9</v>
      </c>
      <c r="J186" s="405" t="s">
        <v>543</v>
      </c>
      <c r="K186" s="404" t="s">
        <v>3661</v>
      </c>
      <c r="L186" s="419" t="str">
        <f t="shared" si="131"/>
        <v>ToyoLi - BLACK</v>
      </c>
      <c r="M186" s="404">
        <v>25</v>
      </c>
      <c r="N186" s="410">
        <f>IF(M186=0,0,IF($LB186=70%,VLOOKUP($L186,'Jan-2026 rates'!$L:$R,4,0),IF($LB186=65%,VLOOKUP($L186,'Jan-2026 rates'!$L:$R,4,0),IF($LB186=40%,VLOOKUP($L186,'Jan-2026 rates'!$L:$R,5,0),IF($LB186=30%,VLOOKUP($L186,'Jan-2026 rates'!$L:$R,6,0),IF($LB186=100%,VLOOKUP($L186,'Jan-2026 rates'!$L:$R,7,0),IF($LB186=60%,VLOOKUP($L186,'Jan-2026 rates'!$L:$S,8,0),IF($LB186=80%,VLOOKUP($L186,'Jan-2026 rates'!L:T,9,0),0))))))))</f>
        <v>0</v>
      </c>
      <c r="O186" s="406"/>
      <c r="P186" s="404"/>
      <c r="Q186" s="410">
        <f>IF(P186=0,0,IF($LB186=70%,VLOOKUP($L186,'Jan-2026 rates'!$L:$R,4,0),IF($LB186=65%,VLOOKUP($L186,'Jan-2026 rates'!$L:$R,4,0),IF($LB186=40%,VLOOKUP($L186,'Jan-2026 rates'!$L:$R,5,0),IF($LB186=30%,VLOOKUP($L186,'Jan-2026 rates'!$L:$R,6,0),IF($LB186=100%,VLOOKUP($L186,'Jan-2026 rates'!$L:$R,7,0),IF($LB186=60%,VLOOKUP($L186,'Jan-2026 rates'!$L:$S,8,0),IF($LB186=80%,VLOOKUP($L186,'Jan-2026 rates'!L:T,9,0),0))))))))</f>
        <v>0</v>
      </c>
      <c r="R186" s="406" t="s">
        <v>1252</v>
      </c>
      <c r="S186" s="406"/>
      <c r="T186" s="406"/>
      <c r="U186" s="406"/>
      <c r="V186" s="406"/>
      <c r="W186" s="406"/>
      <c r="X186" s="406"/>
      <c r="Y186" s="406"/>
      <c r="Z186" s="404">
        <v>2</v>
      </c>
      <c r="AA186" s="398">
        <f>IF(Z186=0,0,IF(LEN(R186)=11,_xlfn.XLOOKUP(R186,'Dispensed Ink Rates'!C:C,'Dispensed Ink Rates'!CS:CS),VLOOKUP(R186,'Jan-2026 rates'!$E:$F,2,0)))</f>
        <v>0</v>
      </c>
      <c r="AB186" s="404"/>
      <c r="AC186" s="398">
        <f>IF(AB186=0,0,IF(LEN(S186)=11,_xlfn.XLOOKUP(S186,'Dispensed Ink Rates'!C:C,'Dispensed Ink Rates'!CS:CS),VLOOKUP(S186,'Jan-2026 rates'!$E:$F,2,0)))</f>
        <v>0</v>
      </c>
      <c r="AD186" s="404"/>
      <c r="AE186" s="398">
        <f>IF(AD186=0,0,IF(LEN(T186)=11,_xlfn.XLOOKUP(T186,'Dispensed Ink Rates'!C:C,'Dispensed Ink Rates'!CS:CS),VLOOKUP(T186,'Jan-2026 rates'!$E:$F,2,0)))</f>
        <v>0</v>
      </c>
      <c r="AF186" s="404"/>
      <c r="AG186" s="398">
        <f>IF(AF186=0,0,IF(LEN(U186)=11,_xlfn.XLOOKUP(U186,'Dispensed Ink Rates'!C:C,'Dispensed Ink Rates'!CS:CS),VLOOKUP(U186,'Jan-2026 rates'!$E:$F,2,0)))</f>
        <v>0</v>
      </c>
      <c r="AH186" s="404"/>
      <c r="AI186" s="398">
        <f>IF(AH186=0,0,IF(LEN(V186)=11,_xlfn.XLOOKUP(V186,'Dispensed Ink Rates'!C:C,'Dispensed Ink Rates'!CS:CS),VLOOKUP(V186,'Jan-2026 rates'!$E:$F,2,0)))</f>
        <v>0</v>
      </c>
      <c r="AJ186" s="404"/>
      <c r="AK186" s="398">
        <f>IF(AJ186=0,0,IF(LEN(W186)=11,_xlfn.XLOOKUP(W186,'Dispensed Ink Rates'!C:C,'Dispensed Ink Rates'!CS:CS),VLOOKUP(W186,'Jan-2026 rates'!$E:$F,2,0)))</f>
        <v>0</v>
      </c>
      <c r="AL186" s="404"/>
      <c r="AM186" s="398">
        <f>IF(AL186=0,0,IF(LEN(X186)=11,_xlfn.XLOOKUP(X186,'Dispensed Ink Rates'!C:C,'Dispensed Ink Rates'!CS:CS),VLOOKUP(X186,'Jan-2026 rates'!$E:$F,2,0)))</f>
        <v>0</v>
      </c>
      <c r="AN186" s="404"/>
      <c r="AO186" s="398">
        <f>IF(AN186=0,0,IF(LEN(Y186)=11,_xlfn.XLOOKUP(Y186,'Dispensed Ink Rates'!C:C,'Dispensed Ink Rates'!CS:CS),VLOOKUP(Y186,'Jan-2026 rates'!$E:$F,2,0)))</f>
        <v>0</v>
      </c>
      <c r="AP186" s="409" t="s">
        <v>1881</v>
      </c>
      <c r="AQ186" s="409">
        <v>26</v>
      </c>
      <c r="AR186" s="410">
        <f t="shared" si="106"/>
        <v>0</v>
      </c>
      <c r="AS186" s="411">
        <f t="shared" si="107"/>
        <v>7.3030303030303045</v>
      </c>
      <c r="AT186" s="410">
        <f t="shared" si="108"/>
        <v>0</v>
      </c>
      <c r="AU186" s="405" t="s">
        <v>547</v>
      </c>
      <c r="AV186" s="409" t="s">
        <v>3662</v>
      </c>
      <c r="AW186" s="420" t="str">
        <f t="shared" si="130"/>
        <v>ToyoLi - GREEN</v>
      </c>
      <c r="AX186" s="409">
        <v>28</v>
      </c>
      <c r="AY186" s="411">
        <f>IF(AX186=0,0,IF($LB186=70%,VLOOKUP($AW186,'Jan-2026 rates'!$L:$R,4,0),IF($LB186=65%,VLOOKUP($AW186,'Jan-2026 rates'!$L:$R,4,0),IF($LB186=40%,VLOOKUP($AW186,'Jan-2026 rates'!$L:$R,5,0),IF($LB186=30%,VLOOKUP($AW186,'Jan-2026 rates'!$L:$R,6,0),IF($LB186=100%,VLOOKUP($AW186,'Jan-2026 rates'!$L:$R,7,0),IF($LB186=60%,VLOOKUP($AW186,'Jan-2026 rates'!$L:$S,8,0),IF($LB186=80%,VLOOKUP($AW186,'Jan-2026 rates'!L:T,9,0),0))))))))</f>
        <v>0</v>
      </c>
      <c r="AZ186" s="412" t="s">
        <v>2415</v>
      </c>
      <c r="BA186" s="409">
        <v>20</v>
      </c>
      <c r="BB186" s="411">
        <f>IF(BA186=0,0,IF($LB186=70%,VLOOKUP($AW186,'Jan-2026 rates'!$L:$R,4,0),IF($LB186=65%,VLOOKUP($AW186,'Jan-2026 rates'!$L:$R,4,0),IF($LB186=40%,VLOOKUP($AW186,'Jan-2026 rates'!$L:$R,5,0),IF($LB186=30%,VLOOKUP($AW186,'Jan-2026 rates'!$L:$R,6,0),IF($LB186=100%,VLOOKUP($AW186,'Jan-2026 rates'!$L:$R,7,0),IF($LB186=60%,VLOOKUP($AW186,'Jan-2026 rates'!$L:$S,8,0),IF($LB186=80%,VLOOKUP($AW186,'Jan-2026 rates'!L:T,9,0),0))))))))</f>
        <v>0</v>
      </c>
      <c r="BC186" s="413" t="s">
        <v>1921</v>
      </c>
      <c r="BD186" s="412" t="s">
        <v>1248</v>
      </c>
      <c r="BE186" s="412"/>
      <c r="BF186" s="413"/>
      <c r="BG186" s="412"/>
      <c r="BH186" s="412"/>
      <c r="BI186" s="412"/>
      <c r="BJ186" s="412"/>
      <c r="BK186" s="409">
        <v>5</v>
      </c>
      <c r="BL186" s="398">
        <f>IF(BK186=0,0,IF(LEN(BC186)=11,_xlfn.XLOOKUP(BC186,'Dispensed Ink Rates'!C:C,'Dispensed Ink Rates'!CS:CS),VLOOKUP(BC186,'Jan-2026 rates'!$E:$F,2,0)))</f>
        <v>0</v>
      </c>
      <c r="BM186" s="409">
        <v>1</v>
      </c>
      <c r="BN186" s="398">
        <f>IF(BM186=0,0,IF(LEN(BD186)=11,_xlfn.XLOOKUP(BD186,'Dispensed Ink Rates'!C:C,'Dispensed Ink Rates'!CS:CS),VLOOKUP(BD186,'Jan-2026 rates'!$E:$F,2,0)))</f>
        <v>0</v>
      </c>
      <c r="BO186" s="409"/>
      <c r="BP186" s="398">
        <f>IF(BO186=0,0,IF(LEN(BE186)=11,_xlfn.XLOOKUP(BE186,'Dispensed Ink Rates'!C:C,'Dispensed Ink Rates'!CS:CS),VLOOKUP(BE186,'Jan-2026 rates'!$E:$F,2,0)))</f>
        <v>0</v>
      </c>
      <c r="BQ186" s="409"/>
      <c r="BR186" s="398">
        <f>IF(BQ186=0,0,IF(LEN(BF186)=11,_xlfn.XLOOKUP(BF186,'Dispensed Ink Rates'!C:C,'Dispensed Ink Rates'!CS:CS),VLOOKUP(BF186,'Jan-2026 rates'!$E:$F,2,0)))</f>
        <v>0</v>
      </c>
      <c r="BS186" s="409"/>
      <c r="BT186" s="398">
        <f>IF(BS186=0,0,IF(LEN(BG186)=11,_xlfn.XLOOKUP(BG186,'Dispensed Ink Rates'!C:C,'Dispensed Ink Rates'!CS:CS),VLOOKUP(BG186,'Jan-2026 rates'!$E:$F,2,0)))</f>
        <v>0</v>
      </c>
      <c r="BU186" s="409"/>
      <c r="BV186" s="398">
        <f>IF(BU186=0,0,IF(LEN(BH186)=11,_xlfn.XLOOKUP(BH186,'Dispensed Ink Rates'!C:C,'Dispensed Ink Rates'!CS:CS),VLOOKUP(BH186,'Jan-2026 rates'!$E:$F,2,0)))</f>
        <v>0</v>
      </c>
      <c r="BW186" s="409"/>
      <c r="BX186" s="398">
        <f>IF(BW186=0,0,IF(LEN(BI186)=11,_xlfn.XLOOKUP(BI186,'Dispensed Ink Rates'!C:C,'Dispensed Ink Rates'!CS:CS),VLOOKUP(BI186,'Jan-2026 rates'!$E:$F,2,0)))</f>
        <v>0</v>
      </c>
      <c r="BY186" s="409"/>
      <c r="BZ186" s="398">
        <f>IF(BY186=0,0,IF(LEN(BJ186)=11,_xlfn.XLOOKUP(BJ186,'Dispensed Ink Rates'!C:C,'Dispensed Ink Rates'!CS:CS),VLOOKUP(BJ186,'Jan-2026 rates'!$E:$F,2,0)))</f>
        <v>0</v>
      </c>
      <c r="CA186" s="409" t="s">
        <v>1881</v>
      </c>
      <c r="CB186" s="409">
        <v>24</v>
      </c>
      <c r="CC186" s="411">
        <f t="shared" si="109"/>
        <v>0</v>
      </c>
      <c r="CD186" s="411">
        <f t="shared" si="110"/>
        <v>36.303030303030305</v>
      </c>
      <c r="CE186" s="410">
        <f t="shared" si="111"/>
        <v>0</v>
      </c>
      <c r="CF186" s="404" t="s">
        <v>828</v>
      </c>
      <c r="CG186" s="409" t="s">
        <v>3663</v>
      </c>
      <c r="CH186" s="420" t="str">
        <f t="shared" si="132"/>
        <v>ToyoLi - ORANGE</v>
      </c>
      <c r="CI186" s="409">
        <v>23</v>
      </c>
      <c r="CJ186" s="411">
        <f>IF(CI186=0,0,IF($LB186=70%,VLOOKUP($CH186,'Jan-2026 rates'!$L:$R,4,0),IF($LB186=65%,VLOOKUP($CH186,'Jan-2026 rates'!$L:$R,4,0),IF($LB186=40%,VLOOKUP($CH186,'Jan-2026 rates'!$L:$R,5,0),IF($LB186=30%,VLOOKUP($CH186,'Jan-2026 rates'!$L:$R,6,0),IF($LB186=100%,VLOOKUP($CH186,'Jan-2026 rates'!$L:$R,7,0),IF($LB186=60%,VLOOKUP($CH186,'Jan-2026 rates'!$L:$S,8,0),IF($LB186=80%,VLOOKUP($CH186,'Jan-2026 rates'!L:T,9,0),0))))))))</f>
        <v>0</v>
      </c>
      <c r="CK186" s="412"/>
      <c r="CL186" s="409"/>
      <c r="CM186" s="411">
        <f>IF(CL186=0,0,IF($LB186=70%,VLOOKUP($CH186,'Jan-2026 rates'!$L:$R,4,0),IF($LB186=65%,VLOOKUP($CH186,'Jan-2026 rates'!$L:$R,4,0),IF($LB186=40%,VLOOKUP($CH186,'Jan-2026 rates'!$L:$R,5,0),IF($LB186=30%,VLOOKUP($CH186,'Jan-2026 rates'!$L:$R,6,0),IF($LB186=100%,VLOOKUP($CH186,'Jan-2026 rates'!$L:$R,7,0),IF($LB186=60%,VLOOKUP($CH186,'Jan-2026 rates'!$L:$S,8,0),IF($LB186=80%,VLOOKUP($CH186,'Jan-2026 rates'!L:T,9,0),0))))))))</f>
        <v>0</v>
      </c>
      <c r="CN186" s="426" t="s">
        <v>1248</v>
      </c>
      <c r="CO186" s="427" t="s">
        <v>1247</v>
      </c>
      <c r="CP186" s="426" t="s">
        <v>1505</v>
      </c>
      <c r="CQ186" s="426"/>
      <c r="CR186" s="428"/>
      <c r="CS186" s="428"/>
      <c r="CT186" s="428"/>
      <c r="CU186" s="428"/>
      <c r="CV186" s="409">
        <v>2</v>
      </c>
      <c r="CW186" s="398">
        <f>IF(CV186=0,0,IF(LEN(CN186)=11,_xlfn.XLOOKUP(CN186,'Dispensed Ink Rates'!C:C,'Dispensed Ink Rates'!CS:CS),VLOOKUP(CN186,'Jan-2026 rates'!$E:$F,2,0)))</f>
        <v>0</v>
      </c>
      <c r="CX186" s="409">
        <v>1</v>
      </c>
      <c r="CY186" s="398">
        <f>IF(CX186=0,0,IF(LEN(CO186)=11,_xlfn.XLOOKUP(CO186,'Dispensed Ink Rates'!C:C,'Dispensed Ink Rates'!CS:CS),VLOOKUP(CO186,'Jan-2026 rates'!$E:$F,2,0)))</f>
        <v>0</v>
      </c>
      <c r="CZ186" s="409">
        <v>0.5</v>
      </c>
      <c r="DA186" s="398">
        <f>IF(CZ186=0,0,IF(LEN(CP186)=11,_xlfn.XLOOKUP(CP186,'Dispensed Ink Rates'!C:C,'Dispensed Ink Rates'!CS:CS),VLOOKUP(CP186,'Jan-2026 rates'!$E:$F,2,0)))</f>
        <v>0</v>
      </c>
      <c r="DB186" s="409"/>
      <c r="DC186" s="398">
        <f>IF(DB186=0,0,IF(LEN(CQ186)=11,_xlfn.XLOOKUP(CQ186,'Dispensed Ink Rates'!C:C,'Dispensed Ink Rates'!CS:CS),VLOOKUP(CQ186,'Jan-2026 rates'!$E:$F,2,0)))</f>
        <v>0</v>
      </c>
      <c r="DD186" s="409"/>
      <c r="DE186" s="398">
        <f>IF(DD186=0,0,IF(LEN(CR186)=11,_xlfn.XLOOKUP(CR186,'Dispensed Ink Rates'!C:C,'Dispensed Ink Rates'!CS:CS),VLOOKUP(CR186,'Jan-2026 rates'!$E:$F,2,0)))</f>
        <v>0</v>
      </c>
      <c r="DF186" s="409"/>
      <c r="DG186" s="398">
        <f>IF(DF186=0,0,IF(LEN(CS186)=11,_xlfn.XLOOKUP(CS186,'Dispensed Ink Rates'!C:C,'Dispensed Ink Rates'!CS:CS),VLOOKUP(CS186,'Jan-2026 rates'!$E:$F,2,0)))</f>
        <v>0</v>
      </c>
      <c r="DH186" s="409"/>
      <c r="DI186" s="398">
        <f>IF(DH186=0,0,IF(LEN(CT186)=11,_xlfn.XLOOKUP(CT186,'Dispensed Ink Rates'!C:C,'Dispensed Ink Rates'!CS:CS),VLOOKUP(CT186,'Jan-2026 rates'!$E:$F,2,0)))</f>
        <v>0</v>
      </c>
      <c r="DJ186" s="409"/>
      <c r="DK186" s="398">
        <f>IF(DJ186=0,0,IF(LEN(CU186)=11,_xlfn.XLOOKUP(CU186,'Dispensed Ink Rates'!C:C,'Dispensed Ink Rates'!CS:CS),VLOOKUP(CU186,'Jan-2026 rates'!$E:$F,2,0)))</f>
        <v>0</v>
      </c>
      <c r="DL186" s="409" t="s">
        <v>1881</v>
      </c>
      <c r="DM186" s="409">
        <v>25</v>
      </c>
      <c r="DN186" s="411">
        <f t="shared" si="112"/>
        <v>0</v>
      </c>
      <c r="DO186" s="411">
        <f t="shared" si="113"/>
        <v>7.8030303030303045</v>
      </c>
      <c r="DP186" s="410">
        <f t="shared" si="114"/>
        <v>0</v>
      </c>
      <c r="DQ186" s="405" t="s">
        <v>544</v>
      </c>
      <c r="DR186" s="409" t="s">
        <v>3664</v>
      </c>
      <c r="DS186" s="420" t="str">
        <f t="shared" si="133"/>
        <v>ToyoLi - MAGENTA</v>
      </c>
      <c r="DT186" s="409">
        <v>27</v>
      </c>
      <c r="DU186" s="411">
        <f>IF(DT186=0,0,IF($LB186=70%,VLOOKUP($DS186,'Jan-2026 rates'!$L:$R,4,0),IF($LB186=65%,VLOOKUP($DS186,'Jan-2026 rates'!$L:$R,4,0),IF($LB186=40%,VLOOKUP($DS186,'Jan-2026 rates'!$L:$R,5,0),IF($LB186=30%,VLOOKUP($DS186,'Jan-2026 rates'!$L:$R,6,0),IF($LB186=100%,VLOOKUP($DS186,'Jan-2026 rates'!$L:$R,7,0),IF($LB186=60%,VLOOKUP($DS186,'Jan-2026 rates'!$L:$S,8,0),IF($LB186=80%,VLOOKUP($DS186,'Jan-2026 rates'!L:T,9,0),0))))))))</f>
        <v>0</v>
      </c>
      <c r="DV186" s="412"/>
      <c r="DW186" s="409"/>
      <c r="DX186" s="411">
        <f>IF(DW186=0,0,IF($LB186=70%,VLOOKUP($DS186,'Jan-2026 rates'!$L:$R,4,0),IF($LB186=65%,VLOOKUP($DS186,'Jan-2026 rates'!$L:$R,4,0),IF($LB186=40%,VLOOKUP($DS186,'Jan-2026 rates'!$L:$R,5,0),IF($LB186=30%,VLOOKUP($DS186,'Jan-2026 rates'!$L:$R,6,0),IF($LB186=100%,VLOOKUP($DS186,'Jan-2026 rates'!$L:$R,7,0),IF($LB186=60%,VLOOKUP($DS186,'Jan-2026 rates'!$L:$S,8,0),IF($LB186=80%,VLOOKUP($DS186,'Jan-2026 rates'!L:T,9,0),0))))))))</f>
        <v>0</v>
      </c>
      <c r="DY186" s="413" t="s">
        <v>1246</v>
      </c>
      <c r="DZ186" s="413"/>
      <c r="EA186" s="412"/>
      <c r="EB186" s="412"/>
      <c r="EC186" s="412"/>
      <c r="ED186" s="412"/>
      <c r="EE186" s="412"/>
      <c r="EF186" s="412"/>
      <c r="EG186" s="409">
        <v>2</v>
      </c>
      <c r="EH186" s="398">
        <f>IF(EG186=0,0,IF(LEN(DY186)=11,_xlfn.XLOOKUP(DY186,'Dispensed Ink Rates'!C:C,'Dispensed Ink Rates'!CS:CS),VLOOKUP(DY186,'Jan-2026 rates'!$E:$F,2,0)))</f>
        <v>0</v>
      </c>
      <c r="EI186" s="409"/>
      <c r="EJ186" s="398">
        <f>IF(EI186=0,0,IF(LEN(DZ186)=11,_xlfn.XLOOKUP(DZ186,'Dispensed Ink Rates'!C:C,'Dispensed Ink Rates'!CS:CS),VLOOKUP(DZ186,'Jan-2026 rates'!$E:$F,2,0)))</f>
        <v>0</v>
      </c>
      <c r="EK186" s="409"/>
      <c r="EL186" s="398">
        <f>IF(EK186=0,0,IF(LEN(EA186)=11,_xlfn.XLOOKUP(EA186,'Dispensed Ink Rates'!C:C,'Dispensed Ink Rates'!CS:CS),VLOOKUP(EA186,'Jan-2026 rates'!$E:$F,2,0)))</f>
        <v>0</v>
      </c>
      <c r="EM186" s="409"/>
      <c r="EN186" s="398">
        <f>IF(EM186=0,0,IF(LEN(EB186)=11,_xlfn.XLOOKUP(EB186,'Dispensed Ink Rates'!C:C,'Dispensed Ink Rates'!CS:CS),VLOOKUP(EB186,'Jan-2026 rates'!$E:$F,2,0)))</f>
        <v>0</v>
      </c>
      <c r="EO186" s="409"/>
      <c r="EP186" s="398">
        <f>IF(EO186=0,0,IF(LEN(EC186)=11,_xlfn.XLOOKUP(EC186,'Dispensed Ink Rates'!C:C,'Dispensed Ink Rates'!CS:CS),VLOOKUP(EC186,'Jan-2026 rates'!$E:$F,2,0)))</f>
        <v>0</v>
      </c>
      <c r="EQ186" s="409"/>
      <c r="ER186" s="398">
        <f>IF(EQ186=0,0,IF(LEN(ED186)=11,_xlfn.XLOOKUP(ED186,'Dispensed Ink Rates'!C:C,'Dispensed Ink Rates'!CS:CS),VLOOKUP(ED186,'Jan-2026 rates'!$E:$F,2,0)))</f>
        <v>0</v>
      </c>
      <c r="ES186" s="409"/>
      <c r="ET186" s="398">
        <f>IF(ES186=0,0,IF(LEN(EE186)=11,_xlfn.XLOOKUP(EE186,'Dispensed Ink Rates'!C:C,'Dispensed Ink Rates'!CS:CS),VLOOKUP(EE186,'Jan-2026 rates'!$E:$F,2,0)))</f>
        <v>0</v>
      </c>
      <c r="EU186" s="409"/>
      <c r="EV186" s="398">
        <f>IF(EU186=0,0,IF(LEN(EF186)=11,_xlfn.XLOOKUP(EF186,'Dispensed Ink Rates'!C:C,'Dispensed Ink Rates'!CS:CS),VLOOKUP(EF186,'Jan-2026 rates'!$E:$F,2,0)))</f>
        <v>0</v>
      </c>
      <c r="EW186" s="409" t="s">
        <v>1881</v>
      </c>
      <c r="EX186" s="409">
        <v>26</v>
      </c>
      <c r="EY186" s="411">
        <f t="shared" si="115"/>
        <v>0</v>
      </c>
      <c r="EZ186" s="411">
        <f t="shared" si="116"/>
        <v>9.3030303030303045</v>
      </c>
      <c r="FA186" s="410">
        <f t="shared" si="117"/>
        <v>0</v>
      </c>
      <c r="FB186" s="405" t="s">
        <v>545</v>
      </c>
      <c r="FC186" s="409" t="s">
        <v>3665</v>
      </c>
      <c r="FD186" s="420" t="str">
        <f t="shared" si="134"/>
        <v>ToyoLi - YELLOW</v>
      </c>
      <c r="FE186" s="409">
        <v>26</v>
      </c>
      <c r="FF186" s="411">
        <f>IF(FE186=0,0,IF($LB186=70%,VLOOKUP($FD186,'Jan-2026 rates'!$L:$R,4,0),IF($LB186=65%,VLOOKUP($FD186,'Jan-2026 rates'!$L:$R,4,0),IF($LB186=40%,VLOOKUP($FD186,'Jan-2026 rates'!$L:$R,5,0),IF($LB186=30%,VLOOKUP($FD186,'Jan-2026 rates'!$L:$R,6,0),IF($LB186=100%,VLOOKUP($FD186,'Jan-2026 rates'!$L:$R,7,0),IF($LB186=60%,VLOOKUP($FD186,'Jan-2026 rates'!$L:$S,8,0),IF($LB186=80%,VLOOKUP($FD186,'Jan-2026 rates'!L:T,9,0),0))))))))</f>
        <v>0</v>
      </c>
      <c r="FG186" s="412"/>
      <c r="FH186" s="409"/>
      <c r="FI186" s="411">
        <f>IF(FH186=0,0,IF($LB186=70%,VLOOKUP($FD186,'Jan-2026 rates'!$L:$R,4,0),IF($LB186=65%,VLOOKUP($FD186,'Jan-2026 rates'!$L:$R,4,0),IF($LB186=40%,VLOOKUP($FD186,'Jan-2026 rates'!$L:$R,5,0),IF($LB186=30%,VLOOKUP($FD186,'Jan-2026 rates'!$L:$R,6,0),IF($LB186=100%,VLOOKUP($FD186,'Jan-2026 rates'!$L:$R,7,0),IF($LB186=60%,VLOOKUP($FD186,'Jan-2026 rates'!$L:$S,8,0),IF($LB186=80%,VLOOKUP($FD186,'Jan-2026 rates'!L:T,9,0),0))))))))</f>
        <v>0</v>
      </c>
      <c r="FJ186" s="413" t="s">
        <v>1247</v>
      </c>
      <c r="FK186" s="413"/>
      <c r="FL186" s="413"/>
      <c r="FM186" s="412"/>
      <c r="FN186" s="412"/>
      <c r="FO186" s="412"/>
      <c r="FP186" s="412"/>
      <c r="FQ186" s="412"/>
      <c r="FR186" s="409">
        <v>2</v>
      </c>
      <c r="FS186" s="398">
        <f>IF(FR186=0,0,IF(LEN(FJ186)=11,_xlfn.XLOOKUP(FJ186,'Dispensed Ink Rates'!C:C,'Dispensed Ink Rates'!CS:CS),VLOOKUP(FJ186,'Jan-2026 rates'!$E:$F,2,0)))</f>
        <v>0</v>
      </c>
      <c r="FT186" s="409"/>
      <c r="FU186" s="398">
        <f>IF(FT186=0,0,IF(LEN(FK186)=11,_xlfn.XLOOKUP(FK186,'Dispensed Ink Rates'!C:C,'Dispensed Ink Rates'!CS:CS),VLOOKUP(FK186,'Jan-2026 rates'!$E:$F,2,0)))</f>
        <v>0</v>
      </c>
      <c r="FV186" s="409"/>
      <c r="FW186" s="398">
        <f>IF(FV186=0,0,IF(LEN(FL186)=11,_xlfn.XLOOKUP(FL186,'Dispensed Ink Rates'!C:C,'Dispensed Ink Rates'!CS:CS),VLOOKUP(FL186,'Jan-2026 rates'!$E:$F,2,0)))</f>
        <v>0</v>
      </c>
      <c r="FX186" s="409"/>
      <c r="FY186" s="398">
        <f>IF(FX186=0,0,IF(LEN(FM186)=11,_xlfn.XLOOKUP(FM186,'Dispensed Ink Rates'!C:C,'Dispensed Ink Rates'!CS:CS),VLOOKUP(FM186,'Jan-2026 rates'!$E:$F,2,0)))</f>
        <v>0</v>
      </c>
      <c r="FZ186" s="409"/>
      <c r="GA186" s="398">
        <f>IF(FZ186=0,0,IF(LEN(FN186)=11,_xlfn.XLOOKUP(FN186,'Dispensed Ink Rates'!C:C,'Dispensed Ink Rates'!CS:CS),VLOOKUP(FN186,'Jan-2026 rates'!$E:$F,2,0)))</f>
        <v>0</v>
      </c>
      <c r="GB186" s="409"/>
      <c r="GC186" s="398">
        <f>IF(GB186=0,0,IF(LEN(FO186)=11,_xlfn.XLOOKUP(FO186,'Dispensed Ink Rates'!C:C,'Dispensed Ink Rates'!CS:CS),VLOOKUP(FO186,'Jan-2026 rates'!$E:$F,2,0)))</f>
        <v>0</v>
      </c>
      <c r="GD186" s="409"/>
      <c r="GE186" s="398">
        <f>IF(GD186=0,0,IF(LEN(FP186)=11,_xlfn.XLOOKUP(FP186,'Dispensed Ink Rates'!C:C,'Dispensed Ink Rates'!CS:CS),VLOOKUP(FP186,'Jan-2026 rates'!$E:$F,2,0)))</f>
        <v>0</v>
      </c>
      <c r="GF186" s="409"/>
      <c r="GG186" s="398">
        <f>IF(GF186=0,0,IF(LEN(FQ186)=11,_xlfn.XLOOKUP(FQ186,'Dispensed Ink Rates'!C:C,'Dispensed Ink Rates'!CS:CS),VLOOKUP(FQ186,'Jan-2026 rates'!$E:$F,2,0)))</f>
        <v>0</v>
      </c>
      <c r="GH186" s="409" t="s">
        <v>1881</v>
      </c>
      <c r="GI186" s="409">
        <v>28</v>
      </c>
      <c r="GJ186" s="411">
        <f t="shared" si="118"/>
        <v>0</v>
      </c>
      <c r="GK186" s="411">
        <f t="shared" si="119"/>
        <v>9.4545454545454533</v>
      </c>
      <c r="GL186" s="410">
        <f t="shared" si="120"/>
        <v>0</v>
      </c>
      <c r="GM186" s="405" t="s">
        <v>856</v>
      </c>
      <c r="GN186" s="409" t="s">
        <v>3666</v>
      </c>
      <c r="GO186" s="420" t="str">
        <f t="shared" si="135"/>
        <v>ToyoLi - WHITE</v>
      </c>
      <c r="GP186" s="409">
        <v>22</v>
      </c>
      <c r="GQ186" s="411">
        <f>IF(GP186=0,0,IF($LB186=70%,VLOOKUP($GO186,'Jan-2026 rates'!$L:$R,4,0),IF($LB186=65%,VLOOKUP($GO186,'Jan-2026 rates'!$L:$R,4,0),IF($LB186=40%,VLOOKUP($GO186,'Jan-2026 rates'!$L:$R,5,0),IF($LB186=30%,VLOOKUP($GO186,'Jan-2026 rates'!$L:$R,6,0),IF($LB186=100%,VLOOKUP($GO186,'Jan-2026 rates'!$L:$R,7,0),IF($LB186=60%,VLOOKUP($GO186,'Jan-2026 rates'!$L:$S,8,0),IF($LB186=80%,VLOOKUP($GO186,'Jan-2026 rates'!L:T,9,0),0))))))))</f>
        <v>0</v>
      </c>
      <c r="GR186" s="412"/>
      <c r="GS186" s="409"/>
      <c r="GT186" s="411">
        <f>IF(GS186=0,0,IF($LB186=70%,VLOOKUP($GO186,'Jan-2026 rates'!$L:$R,4,0),IF($LB186=65%,VLOOKUP($GO186,'Jan-2026 rates'!$L:$R,4,0),IF($LB186=40%,VLOOKUP($GO186,'Jan-2026 rates'!$L:$R,5,0),IF($LB186=30%,VLOOKUP($GO186,'Jan-2026 rates'!$L:$R,6,0),IF($LB186=100%,VLOOKUP($GO186,'Jan-2026 rates'!$L:$R,7,0),IF($LB186=60%,VLOOKUP($GO186,'Jan-2026 rates'!$L:$S,8,0),IF($LB186=80%,VLOOKUP($GO186,'Jan-2026 rates'!L:T,9,0),0))))))))</f>
        <v>0</v>
      </c>
      <c r="GU186" s="413" t="s">
        <v>1249</v>
      </c>
      <c r="GV186" s="413"/>
      <c r="GW186" s="412"/>
      <c r="GX186" s="412"/>
      <c r="GY186" s="412"/>
      <c r="GZ186" s="412"/>
      <c r="HA186" s="412"/>
      <c r="HB186" s="412"/>
      <c r="HC186" s="409">
        <v>30</v>
      </c>
      <c r="HD186" s="398">
        <f>IF(HC186=0,0,IF(LEN(GU186)=11,_xlfn.XLOOKUP(GU186,'Dispensed Ink Rates'!C:C,'Dispensed Ink Rates'!CS:CS),VLOOKUP(GU186,'Jan-2026 rates'!$E:$F,2,0)))</f>
        <v>0</v>
      </c>
      <c r="HE186" s="409"/>
      <c r="HF186" s="398">
        <f>IF(HE186=0,0,IF(LEN(GV186)=11,_xlfn.XLOOKUP(GV186,'Dispensed Ink Rates'!C:C,'Dispensed Ink Rates'!CS:CS),VLOOKUP(GV186,'Jan-2026 rates'!$E:$F,2,0)))</f>
        <v>0</v>
      </c>
      <c r="HG186" s="409"/>
      <c r="HH186" s="398">
        <f>IF(HG186=0,0,IF(LEN(GW186)=11,_xlfn.XLOOKUP(GW186,'Dispensed Ink Rates'!C:C,'Dispensed Ink Rates'!CS:CS),VLOOKUP(GW186,'Jan-2026 rates'!$E:$F,2,0)))</f>
        <v>0</v>
      </c>
      <c r="HI186" s="409"/>
      <c r="HJ186" s="398">
        <f>IF(HI186=0,0,IF(LEN(GX186)=11,_xlfn.XLOOKUP(GX186,'Dispensed Ink Rates'!C:C,'Dispensed Ink Rates'!CS:CS),VLOOKUP(GX186,'Jan-2026 rates'!$E:$F,2,0)))</f>
        <v>0</v>
      </c>
      <c r="HK186" s="409"/>
      <c r="HL186" s="398">
        <f>IF(HK186=0,0,IF(LEN(GY186)=11,_xlfn.XLOOKUP(GY186,'Dispensed Ink Rates'!C:C,'Dispensed Ink Rates'!CS:CS),VLOOKUP(GY186,'Jan-2026 rates'!$E:$F,2,0)))</f>
        <v>0</v>
      </c>
      <c r="HM186" s="409"/>
      <c r="HN186" s="398">
        <f>IF(HM186=0,0,IF(LEN(GZ186)=11,_xlfn.XLOOKUP(GZ186,'Dispensed Ink Rates'!C:C,'Dispensed Ink Rates'!CS:CS),VLOOKUP(GZ186,'Jan-2026 rates'!$E:$F,2,0)))</f>
        <v>0</v>
      </c>
      <c r="HO186" s="409"/>
      <c r="HP186" s="398">
        <f>IF(HO186=0,0,IF(LEN(HA186)=11,_xlfn.XLOOKUP(HA186,'Dispensed Ink Rates'!C:C,'Dispensed Ink Rates'!CS:CS),VLOOKUP(HA186,'Jan-2026 rates'!$E:$F,2,0)))</f>
        <v>0</v>
      </c>
      <c r="HQ186" s="409"/>
      <c r="HR186" s="398">
        <f>IF(HQ186=0,0,IF(LEN(HB186)=11,_xlfn.XLOOKUP(HB186,'Dispensed Ink Rates'!C:C,'Dispensed Ink Rates'!CS:CS),VLOOKUP(HB186,'Jan-2026 rates'!$E:$F,2,0)))</f>
        <v>0</v>
      </c>
      <c r="HS186" s="409" t="s">
        <v>1881</v>
      </c>
      <c r="HT186" s="409">
        <v>20</v>
      </c>
      <c r="HU186" s="411">
        <f t="shared" si="121"/>
        <v>0</v>
      </c>
      <c r="HV186" s="411">
        <f t="shared" si="122"/>
        <v>79.27272727272728</v>
      </c>
      <c r="HW186" s="414">
        <f t="shared" si="123"/>
        <v>0</v>
      </c>
      <c r="HX186" s="405" t="s">
        <v>605</v>
      </c>
      <c r="HY186" s="409" t="s">
        <v>3664</v>
      </c>
      <c r="HZ186" s="420" t="str">
        <f t="shared" si="136"/>
        <v>HI-TECH INK - MATT</v>
      </c>
      <c r="IA186" s="409">
        <v>15</v>
      </c>
      <c r="IB186" s="411">
        <f>IF(IA186=0,0,IF($LB186=70%,VLOOKUP($HZ186,'Jan-2026 rates'!$L:$R,4,0),IF($LB186=65%,VLOOKUP($HZ186,'Jan-2026 rates'!$L:$R,4,0),IF($LB186=40%,VLOOKUP($HZ186,'Jan-2026 rates'!$L:$R,5,0),IF($LB186=30%,VLOOKUP($HZ186,'Jan-2026 rates'!$L:$R,6,0),IF($LB186=100%,VLOOKUP($HZ186,'Jan-2026 rates'!$L:$R,7,0),IF($LB186=60%,VLOOKUP($HZ186,'Jan-2026 rates'!$L:$S,8,0),IF($LB186=80%,VLOOKUP($HZ186,'Jan-2026 rates'!L:T,9,0),0))))))))</f>
        <v>0</v>
      </c>
      <c r="IC186" s="412"/>
      <c r="ID186" s="409"/>
      <c r="IE186" s="411">
        <f>IF(ID186=0,0,IF($LB186=70%,VLOOKUP($HZ186,'Jan-2026 rates'!$L:$R,4,0),IF($LB186=65%,VLOOKUP($HZ186,'Jan-2026 rates'!$L:$R,4,0),IF($LB186=40%,VLOOKUP($HZ186,'Jan-2026 rates'!$L:$R,5,0),IF($LB186=30%,VLOOKUP($HZ186,'Jan-2026 rates'!$L:$R,6,0),IF($LB186=100%,VLOOKUP($HZ186,'Jan-2026 rates'!$L:$R,7,0),IF($LB186=60%,VLOOKUP($HZ186,'Jan-2026 rates'!$L:$S,8,0),IF($LB186=80%,VLOOKUP($HZ186,'Jan-2026 rates'!L:T,9,0),0))))))))</f>
        <v>0</v>
      </c>
      <c r="IF186" s="412">
        <v>2066</v>
      </c>
      <c r="IG186" s="413"/>
      <c r="IH186" s="412"/>
      <c r="II186" s="412"/>
      <c r="IJ186" s="412"/>
      <c r="IK186" s="412"/>
      <c r="IL186" s="412"/>
      <c r="IM186" s="412"/>
      <c r="IN186" s="409">
        <f>20+10</f>
        <v>30</v>
      </c>
      <c r="IO186" s="398">
        <f>IF(IN186=0,0,IF(LEN(IF186)=11,_xlfn.XLOOKUP(IF186,'Dispensed Ink Rates'!C:C,'Dispensed Ink Rates'!CS:CS),VLOOKUP(IF186,'Jan-2026 rates'!$E:$F,2,0)))</f>
        <v>0</v>
      </c>
      <c r="IP186" s="409"/>
      <c r="IQ186" s="398">
        <f>IF(IP186=0,0,IF(LEN(IG186)=11,_xlfn.XLOOKUP(IG186,'Dispensed Ink Rates'!C:C,'Dispensed Ink Rates'!CS:CS),VLOOKUP(IG186,'Jan-2026 rates'!$E:$F,2,0)))</f>
        <v>0</v>
      </c>
      <c r="IR186" s="409"/>
      <c r="IS186" s="398">
        <f>IF(IR186=0,0,IF(LEN(IH186)=11,_xlfn.XLOOKUP(IH186,'Dispensed Ink Rates'!C:C,'Dispensed Ink Rates'!CS:CS),VLOOKUP(IH186,'Jan-2026 rates'!$E:$F,2,0)))</f>
        <v>0</v>
      </c>
      <c r="IT186" s="409"/>
      <c r="IU186" s="398">
        <f>IF(IT186=0,0,IF(LEN(II186)=11,_xlfn.XLOOKUP(II186,'Dispensed Ink Rates'!C:C,'Dispensed Ink Rates'!CS:CS),VLOOKUP(II186,'Jan-2026 rates'!$E:$F,2,0)))</f>
        <v>0</v>
      </c>
      <c r="IV186" s="409"/>
      <c r="IW186" s="398">
        <f>IF(IV186=0,0,IF(LEN(IJ186)=11,_xlfn.XLOOKUP(IJ186,'Dispensed Ink Rates'!C:C,'Dispensed Ink Rates'!CS:CS),VLOOKUP(IJ186,'Jan-2026 rates'!$E:$F,2,0)))</f>
        <v>0</v>
      </c>
      <c r="IX186" s="409"/>
      <c r="IY186" s="398">
        <f>IF(IX186=0,0,IF(LEN(IK186)=11,_xlfn.XLOOKUP(IK186,'Dispensed Ink Rates'!C:C,'Dispensed Ink Rates'!CS:CS),VLOOKUP(IK186,'Jan-2026 rates'!$E:$F,2,0)))</f>
        <v>0</v>
      </c>
      <c r="IZ186" s="409"/>
      <c r="JA186" s="398">
        <f>IF(IZ186=0,0,IF(LEN(IL186)=11,_xlfn.XLOOKUP(IL186,'Dispensed Ink Rates'!C:C,'Dispensed Ink Rates'!CS:CS),VLOOKUP(IL186,'Jan-2026 rates'!$E:$F,2,0)))</f>
        <v>0</v>
      </c>
      <c r="JB186" s="409"/>
      <c r="JC186" s="398">
        <f>IF(JB186=0,0,IF(LEN(IM186)=11,_xlfn.XLOOKUP(IM186,'Dispensed Ink Rates'!C:C,'Dispensed Ink Rates'!CS:CS),VLOOKUP(IM186,'Jan-2026 rates'!$E:$F,2,0)))</f>
        <v>0</v>
      </c>
      <c r="JD186" s="409" t="s">
        <v>602</v>
      </c>
      <c r="JE186" s="409">
        <v>17</v>
      </c>
      <c r="JF186" s="411">
        <f t="shared" si="124"/>
        <v>0</v>
      </c>
      <c r="JG186" s="411">
        <f t="shared" si="125"/>
        <v>50.060606060606062</v>
      </c>
      <c r="JH186" s="410">
        <f t="shared" si="126"/>
        <v>0</v>
      </c>
      <c r="JI186" s="405"/>
      <c r="JJ186" s="409"/>
      <c r="JK186" s="420" t="str">
        <f t="shared" si="137"/>
        <v xml:space="preserve"> - </v>
      </c>
      <c r="JL186" s="409"/>
      <c r="JM186" s="411">
        <f>IF(JL186=0,0,IF($LB186=70%,VLOOKUP($JK186,'Jan-2026 rates'!$L:$R,4,0),IF($LB186=65%,VLOOKUP($JK186,'Jan-2026 rates'!$L:$R,4,0),IF($LB186=40%,VLOOKUP($JK186,'Jan-2026 rates'!$L:$R,5,0),IF($LB186=30%,VLOOKUP($JK186,'Jan-2026 rates'!$L:$R,6,0),IF($LB186=100%,VLOOKUP($JK186,'Jan-2026 rates'!$L:$R,7,0),IF($LB186=60%,VLOOKUP($JK186,'Jan-2026 rates'!$L:$S,8,0),IF($LB186=80%,VLOOKUP($JK186,'Jan-2026 rates'!L:T,9,0),0))))))))</f>
        <v>0</v>
      </c>
      <c r="JN186" s="412"/>
      <c r="JO186" s="409"/>
      <c r="JP186" s="411">
        <f>IF(JO186=0,0,IF($LB186=70%,VLOOKUP($JK186,'Jan-2026 rates'!$L:$R,4,0),IF($LB186=65%,VLOOKUP($JK186,'Jan-2026 rates'!$L:$R,4,0),IF($LB186=40%,VLOOKUP($JK186,'Jan-2026 rates'!$L:$R,5,0),IF($LB186=30%,VLOOKUP($JK186,'Jan-2026 rates'!$L:$R,6,0),IF($LB186=100%,VLOOKUP($JK186,'Jan-2026 rates'!$L:$R,7,0),IF($LB186=60%,VLOOKUP($JK186,'Jan-2026 rates'!$L:$S,8,0),IF($LB186=80%,VLOOKUP($JK186,'Jan-2026 rates'!L:T,9,0),0))))))))</f>
        <v>0</v>
      </c>
      <c r="JQ186" s="413"/>
      <c r="JR186" s="412"/>
      <c r="JS186" s="413"/>
      <c r="JT186" s="413"/>
      <c r="JU186" s="412"/>
      <c r="JV186" s="412"/>
      <c r="JW186" s="412"/>
      <c r="JX186" s="412"/>
      <c r="JY186" s="409"/>
      <c r="JZ186" s="398">
        <f>IF(JY186=0,0,IF(LEN(JQ186)=11,_xlfn.XLOOKUP(JQ186,'Dispensed Ink Rates'!C:C,'Dispensed Ink Rates'!CS:CS),VLOOKUP(JQ186,'Jan-2026 rates'!$E:$F,2,0)))</f>
        <v>0</v>
      </c>
      <c r="KA186" s="409"/>
      <c r="KB186" s="398">
        <f>IF(KA186=0,0,IF(LEN(JR186)=11,_xlfn.XLOOKUP(JR186,'Dispensed Ink Rates'!C:C,'Dispensed Ink Rates'!CS:CS),VLOOKUP(JR186,'Jan-2026 rates'!$E:$F,2,0)))</f>
        <v>0</v>
      </c>
      <c r="KC186" s="409"/>
      <c r="KD186" s="398">
        <f>IF(KC186=0,0,IF(LEN(JS186)=11,_xlfn.XLOOKUP(JS186,'Dispensed Ink Rates'!C:C,'Dispensed Ink Rates'!CS:CS),VLOOKUP(JS186,'Jan-2026 rates'!$E:$F,2,0)))</f>
        <v>0</v>
      </c>
      <c r="KE186" s="409"/>
      <c r="KF186" s="398">
        <f>IF(KE186=0,0,IF(LEN(JT186)=11,_xlfn.XLOOKUP(JT186,'Dispensed Ink Rates'!C:C,'Dispensed Ink Rates'!CS:CS),VLOOKUP(JT186,'Jan-2026 rates'!$E:$F,2,0)))</f>
        <v>0</v>
      </c>
      <c r="KG186" s="409"/>
      <c r="KH186" s="398">
        <f>IF(KG186=0,0,IF(LEN(JU186)=11,_xlfn.XLOOKUP(JU186,'Dispensed Ink Rates'!C:C,'Dispensed Ink Rates'!CS:CS),VLOOKUP(JU186,'Jan-2026 rates'!$E:$F,2,0)))</f>
        <v>0</v>
      </c>
      <c r="KI186" s="409"/>
      <c r="KJ186" s="398">
        <f>IF(KI186=0,0,IF(LEN(JV186)=11,_xlfn.XLOOKUP(JV186,'Dispensed Ink Rates'!C:C,'Dispensed Ink Rates'!CS:CS),VLOOKUP(JV186,'Jan-2026 rates'!$E:$F,2,0)))</f>
        <v>0</v>
      </c>
      <c r="KK186" s="409"/>
      <c r="KL186" s="398">
        <f>IF(KK186=0,0,IF(LEN(JW186)=11,_xlfn.XLOOKUP(JW186,'Dispensed Ink Rates'!C:C,'Dispensed Ink Rates'!CS:CS),VLOOKUP(JW186,'Jan-2026 rates'!$E:$F,2,0)))</f>
        <v>0</v>
      </c>
      <c r="KM186" s="428"/>
      <c r="KN186" s="398">
        <f>IF(KM186=0,0,IF(LEN(JX186)=11,_xlfn.XLOOKUP(JX186,'Dispensed Ink Rates'!C:C,'Dispensed Ink Rates'!CS:CS),VLOOKUP(JX186,'Jan-2026 rates'!$E:$F,2,0)))</f>
        <v>0</v>
      </c>
      <c r="KO186" s="409"/>
      <c r="KP186" s="409"/>
      <c r="KQ186" s="411">
        <f t="shared" si="127"/>
        <v>0</v>
      </c>
      <c r="KR186" s="411">
        <f t="shared" si="128"/>
        <v>0</v>
      </c>
      <c r="KS186" s="410">
        <f t="shared" si="129"/>
        <v>0</v>
      </c>
      <c r="KT186" s="409">
        <v>2</v>
      </c>
      <c r="KU186" s="409">
        <v>2</v>
      </c>
      <c r="KV186" s="409">
        <v>2</v>
      </c>
      <c r="KW186" s="409">
        <v>2</v>
      </c>
      <c r="KX186" s="409">
        <v>3</v>
      </c>
      <c r="KY186" s="409">
        <v>15</v>
      </c>
      <c r="KZ186" s="409">
        <f>5+2</f>
        <v>7</v>
      </c>
      <c r="LA186" s="409">
        <v>0</v>
      </c>
      <c r="LB186" s="415">
        <v>0.3</v>
      </c>
      <c r="LC186" s="415"/>
      <c r="LD186" s="415"/>
      <c r="LE186" s="415">
        <v>0.5</v>
      </c>
      <c r="LF186" s="415">
        <v>0.2</v>
      </c>
      <c r="LG186" s="409">
        <v>0</v>
      </c>
      <c r="LH186" s="409">
        <f>22+20+15+25+6+6+10</f>
        <v>104</v>
      </c>
      <c r="LI186" s="409">
        <v>0</v>
      </c>
      <c r="LJ186" s="409">
        <v>0</v>
      </c>
      <c r="LK186" s="416">
        <f t="shared" si="138"/>
        <v>104</v>
      </c>
      <c r="LL186" s="416">
        <f t="shared" si="139"/>
        <v>104</v>
      </c>
      <c r="LM186" s="417">
        <f t="shared" si="140"/>
        <v>31.2</v>
      </c>
      <c r="LN186" s="417">
        <f>VLOOKUP($LM$8,'Jan-2026 rates'!$H:$I,2,0)</f>
        <v>0</v>
      </c>
      <c r="LO186" s="417">
        <f t="shared" si="141"/>
        <v>0</v>
      </c>
      <c r="LP186" s="417">
        <f>VLOOKUP($LO$8,'Jan-2026 rates'!$H:$I,2,0)</f>
        <v>0</v>
      </c>
      <c r="LQ186" s="417">
        <f t="shared" si="142"/>
        <v>0</v>
      </c>
      <c r="LR186" s="417">
        <f>VLOOKUP($LQ$8,'Jan-2026 rates'!$H:$I,2,0)</f>
        <v>0</v>
      </c>
      <c r="LS186" s="417">
        <f t="shared" si="143"/>
        <v>52</v>
      </c>
      <c r="LT186" s="417">
        <f>VLOOKUP($LS$8,'Jan-2026 rates'!$H:$I,2,0)</f>
        <v>0</v>
      </c>
      <c r="LU186" s="417">
        <f t="shared" si="144"/>
        <v>20.8</v>
      </c>
      <c r="LV186" s="417">
        <f>VLOOKUP($LU$8,'Jan-2026 rates'!$H:$I,2,0)</f>
        <v>0</v>
      </c>
      <c r="LW186" s="417">
        <f t="shared" si="145"/>
        <v>0</v>
      </c>
      <c r="LX186" s="417">
        <f t="shared" si="146"/>
        <v>0</v>
      </c>
      <c r="LY186" s="418">
        <f t="shared" si="147"/>
        <v>0</v>
      </c>
      <c r="LZ186" s="417"/>
      <c r="MA186" s="435">
        <f t="shared" si="148"/>
        <v>75.5</v>
      </c>
      <c r="MB186" s="282">
        <f t="shared" si="149"/>
        <v>199.5</v>
      </c>
      <c r="MC186" s="283" t="s">
        <v>2021</v>
      </c>
      <c r="MD186" s="284" t="str">
        <f t="shared" si="150"/>
        <v>ToyoLiToyoLiToyoLiToyoLiToyoLiToyoLiHI-TECH INK</v>
      </c>
      <c r="ME186" s="293" t="str">
        <f t="shared" si="151"/>
        <v>+</v>
      </c>
      <c r="MF186" s="293" t="str">
        <f t="shared" si="152"/>
        <v>+</v>
      </c>
      <c r="MG186" s="293" t="str">
        <f t="shared" si="153"/>
        <v>+</v>
      </c>
      <c r="MH186" s="293" t="str">
        <f t="shared" si="154"/>
        <v>+</v>
      </c>
      <c r="MI186" s="293" t="str">
        <f t="shared" si="155"/>
        <v>+</v>
      </c>
      <c r="MJ186" s="293" t="str">
        <f t="shared" si="156"/>
        <v>+</v>
      </c>
      <c r="MK186" s="293" t="str">
        <f t="shared" si="157"/>
        <v>+</v>
      </c>
      <c r="ML186" s="293" t="str">
        <f t="shared" si="158"/>
        <v>NIL</v>
      </c>
      <c r="MM186" s="3" t="b">
        <f t="array" ref="MM186">OR(ME186:ML186="-")</f>
        <v>0</v>
      </c>
      <c r="MN186" s="285"/>
      <c r="MO186" s="401"/>
      <c r="MP186" s="286"/>
      <c r="MQ186" s="286"/>
      <c r="MR186" s="402"/>
      <c r="MS186" s="400"/>
      <c r="NH186" s="422"/>
      <c r="NJ186" s="421"/>
    </row>
    <row r="187" spans="1:374" s="1" customFormat="1" ht="16.5">
      <c r="A187" s="403">
        <v>46036</v>
      </c>
      <c r="B187" s="404" t="s">
        <v>1015</v>
      </c>
      <c r="C187" s="405" t="s">
        <v>3667</v>
      </c>
      <c r="D187" s="406" t="s">
        <v>2022</v>
      </c>
      <c r="E187" s="404">
        <v>151</v>
      </c>
      <c r="F187" s="407">
        <v>7800</v>
      </c>
      <c r="G187" s="407" t="s">
        <v>1016</v>
      </c>
      <c r="H187" s="408" t="s">
        <v>1017</v>
      </c>
      <c r="I187" s="409">
        <f>1.9+1.2</f>
        <v>3.0999999999999996</v>
      </c>
      <c r="J187" s="405" t="s">
        <v>543</v>
      </c>
      <c r="K187" s="404" t="s">
        <v>3668</v>
      </c>
      <c r="L187" s="419" t="str">
        <f t="shared" si="131"/>
        <v>ToyoLi - BLACK</v>
      </c>
      <c r="M187" s="404">
        <v>26</v>
      </c>
      <c r="N187" s="410">
        <f>IF(M187=0,0,IF($LB187=70%,VLOOKUP($L187,'Jan-2026 rates'!$L:$R,4,0),IF($LB187=65%,VLOOKUP($L187,'Jan-2026 rates'!$L:$R,4,0),IF($LB187=40%,VLOOKUP($L187,'Jan-2026 rates'!$L:$R,5,0),IF($LB187=30%,VLOOKUP($L187,'Jan-2026 rates'!$L:$R,6,0),IF($LB187=100%,VLOOKUP($L187,'Jan-2026 rates'!$L:$R,7,0),IF($LB187=60%,VLOOKUP($L187,'Jan-2026 rates'!$L:$S,8,0),IF($LB187=80%,VLOOKUP($L187,'Jan-2026 rates'!L:T,9,0),0))))))))</f>
        <v>0</v>
      </c>
      <c r="O187" s="406"/>
      <c r="P187" s="404"/>
      <c r="Q187" s="410">
        <f>IF(P187=0,0,IF($LB187=70%,VLOOKUP($L187,'Jan-2026 rates'!$L:$R,4,0),IF($LB187=65%,VLOOKUP($L187,'Jan-2026 rates'!$L:$R,4,0),IF($LB187=40%,VLOOKUP($L187,'Jan-2026 rates'!$L:$R,5,0),IF($LB187=30%,VLOOKUP($L187,'Jan-2026 rates'!$L:$R,6,0),IF($LB187=100%,VLOOKUP($L187,'Jan-2026 rates'!$L:$R,7,0),IF($LB187=60%,VLOOKUP($L187,'Jan-2026 rates'!$L:$S,8,0),IF($LB187=80%,VLOOKUP($L187,'Jan-2026 rates'!L:T,9,0),0))))))))</f>
        <v>0</v>
      </c>
      <c r="R187" s="406" t="s">
        <v>1252</v>
      </c>
      <c r="S187" s="406"/>
      <c r="T187" s="406"/>
      <c r="U187" s="406"/>
      <c r="V187" s="406"/>
      <c r="W187" s="406"/>
      <c r="X187" s="406"/>
      <c r="Y187" s="406"/>
      <c r="Z187" s="404">
        <v>3</v>
      </c>
      <c r="AA187" s="398">
        <f>IF(Z187=0,0,IF(LEN(R187)=11,_xlfn.XLOOKUP(R187,'Dispensed Ink Rates'!C:C,'Dispensed Ink Rates'!CS:CS),VLOOKUP(R187,'Jan-2026 rates'!$E:$F,2,0)))</f>
        <v>0</v>
      </c>
      <c r="AB187" s="404"/>
      <c r="AC187" s="398">
        <f>IF(AB187=0,0,IF(LEN(S187)=11,_xlfn.XLOOKUP(S187,'Dispensed Ink Rates'!C:C,'Dispensed Ink Rates'!CS:CS),VLOOKUP(S187,'Jan-2026 rates'!$E:$F,2,0)))</f>
        <v>0</v>
      </c>
      <c r="AD187" s="404"/>
      <c r="AE187" s="398">
        <f>IF(AD187=0,0,IF(LEN(T187)=11,_xlfn.XLOOKUP(T187,'Dispensed Ink Rates'!C:C,'Dispensed Ink Rates'!CS:CS),VLOOKUP(T187,'Jan-2026 rates'!$E:$F,2,0)))</f>
        <v>0</v>
      </c>
      <c r="AF187" s="404"/>
      <c r="AG187" s="398">
        <f>IF(AF187=0,0,IF(LEN(U187)=11,_xlfn.XLOOKUP(U187,'Dispensed Ink Rates'!C:C,'Dispensed Ink Rates'!CS:CS),VLOOKUP(U187,'Jan-2026 rates'!$E:$F,2,0)))</f>
        <v>0</v>
      </c>
      <c r="AH187" s="404"/>
      <c r="AI187" s="398">
        <f>IF(AH187=0,0,IF(LEN(V187)=11,_xlfn.XLOOKUP(V187,'Dispensed Ink Rates'!C:C,'Dispensed Ink Rates'!CS:CS),VLOOKUP(V187,'Jan-2026 rates'!$E:$F,2,0)))</f>
        <v>0</v>
      </c>
      <c r="AJ187" s="404"/>
      <c r="AK187" s="398">
        <f>IF(AJ187=0,0,IF(LEN(W187)=11,_xlfn.XLOOKUP(W187,'Dispensed Ink Rates'!C:C,'Dispensed Ink Rates'!CS:CS),VLOOKUP(W187,'Jan-2026 rates'!$E:$F,2,0)))</f>
        <v>0</v>
      </c>
      <c r="AL187" s="404"/>
      <c r="AM187" s="398">
        <f>IF(AL187=0,0,IF(LEN(X187)=11,_xlfn.XLOOKUP(X187,'Dispensed Ink Rates'!C:C,'Dispensed Ink Rates'!CS:CS),VLOOKUP(X187,'Jan-2026 rates'!$E:$F,2,0)))</f>
        <v>0</v>
      </c>
      <c r="AN187" s="404"/>
      <c r="AO187" s="398">
        <f>IF(AN187=0,0,IF(LEN(Y187)=11,_xlfn.XLOOKUP(Y187,'Dispensed Ink Rates'!C:C,'Dispensed Ink Rates'!CS:CS),VLOOKUP(Y187,'Jan-2026 rates'!$E:$F,2,0)))</f>
        <v>0</v>
      </c>
      <c r="AP187" s="409" t="s">
        <v>1881</v>
      </c>
      <c r="AQ187" s="409">
        <v>25</v>
      </c>
      <c r="AR187" s="410">
        <f t="shared" si="106"/>
        <v>0</v>
      </c>
      <c r="AS187" s="411">
        <f t="shared" si="107"/>
        <v>8.7450980392156836</v>
      </c>
      <c r="AT187" s="410">
        <f t="shared" si="108"/>
        <v>0</v>
      </c>
      <c r="AU187" s="405" t="s">
        <v>857</v>
      </c>
      <c r="AV187" s="409" t="s">
        <v>3669</v>
      </c>
      <c r="AW187" s="420" t="str">
        <f t="shared" si="130"/>
        <v>ToyoLi - RED</v>
      </c>
      <c r="AX187" s="409">
        <v>28</v>
      </c>
      <c r="AY187" s="411">
        <f>IF(AX187=0,0,IF($LB187=70%,VLOOKUP($AW187,'Jan-2026 rates'!$L:$R,4,0),IF($LB187=65%,VLOOKUP($AW187,'Jan-2026 rates'!$L:$R,4,0),IF($LB187=40%,VLOOKUP($AW187,'Jan-2026 rates'!$L:$R,5,0),IF($LB187=30%,VLOOKUP($AW187,'Jan-2026 rates'!$L:$R,6,0),IF($LB187=100%,VLOOKUP($AW187,'Jan-2026 rates'!$L:$R,7,0),IF($LB187=60%,VLOOKUP($AW187,'Jan-2026 rates'!$L:$S,8,0),IF($LB187=80%,VLOOKUP($AW187,'Jan-2026 rates'!L:T,9,0),0))))))))</f>
        <v>0</v>
      </c>
      <c r="AZ187" s="412"/>
      <c r="BA187" s="409"/>
      <c r="BB187" s="411">
        <f>IF(BA187=0,0,IF($LB187=70%,VLOOKUP($AW187,'Jan-2026 rates'!$L:$R,4,0),IF($LB187=65%,VLOOKUP($AW187,'Jan-2026 rates'!$L:$R,4,0),IF($LB187=40%,VLOOKUP($AW187,'Jan-2026 rates'!$L:$R,5,0),IF($LB187=30%,VLOOKUP($AW187,'Jan-2026 rates'!$L:$R,6,0),IF($LB187=100%,VLOOKUP($AW187,'Jan-2026 rates'!$L:$R,7,0),IF($LB187=60%,VLOOKUP($AW187,'Jan-2026 rates'!$L:$S,8,0),IF($LB187=80%,VLOOKUP($AW187,'Jan-2026 rates'!L:T,9,0),0))))))))</f>
        <v>0</v>
      </c>
      <c r="BC187" s="413" t="s">
        <v>1246</v>
      </c>
      <c r="BD187" s="412"/>
      <c r="BE187" s="412"/>
      <c r="BF187" s="413"/>
      <c r="BG187" s="412"/>
      <c r="BH187" s="412"/>
      <c r="BI187" s="412"/>
      <c r="BJ187" s="412"/>
      <c r="BK187" s="409">
        <v>10</v>
      </c>
      <c r="BL187" s="398">
        <f>IF(BK187=0,0,IF(LEN(BC187)=11,_xlfn.XLOOKUP(BC187,'Dispensed Ink Rates'!C:C,'Dispensed Ink Rates'!CS:CS),VLOOKUP(BC187,'Jan-2026 rates'!$E:$F,2,0)))</f>
        <v>0</v>
      </c>
      <c r="BM187" s="409"/>
      <c r="BN187" s="398">
        <f>IF(BM187=0,0,IF(LEN(BD187)=11,_xlfn.XLOOKUP(BD187,'Dispensed Ink Rates'!C:C,'Dispensed Ink Rates'!CS:CS),VLOOKUP(BD187,'Jan-2026 rates'!$E:$F,2,0)))</f>
        <v>0</v>
      </c>
      <c r="BO187" s="409"/>
      <c r="BP187" s="398">
        <f>IF(BO187=0,0,IF(LEN(BE187)=11,_xlfn.XLOOKUP(BE187,'Dispensed Ink Rates'!C:C,'Dispensed Ink Rates'!CS:CS),VLOOKUP(BE187,'Jan-2026 rates'!$E:$F,2,0)))</f>
        <v>0</v>
      </c>
      <c r="BQ187" s="409"/>
      <c r="BR187" s="398">
        <f>IF(BQ187=0,0,IF(LEN(BF187)=11,_xlfn.XLOOKUP(BF187,'Dispensed Ink Rates'!C:C,'Dispensed Ink Rates'!CS:CS),VLOOKUP(BF187,'Jan-2026 rates'!$E:$F,2,0)))</f>
        <v>0</v>
      </c>
      <c r="BS187" s="409"/>
      <c r="BT187" s="398">
        <f>IF(BS187=0,0,IF(LEN(BG187)=11,_xlfn.XLOOKUP(BG187,'Dispensed Ink Rates'!C:C,'Dispensed Ink Rates'!CS:CS),VLOOKUP(BG187,'Jan-2026 rates'!$E:$F,2,0)))</f>
        <v>0</v>
      </c>
      <c r="BU187" s="409"/>
      <c r="BV187" s="398">
        <f>IF(BU187=0,0,IF(LEN(BH187)=11,_xlfn.XLOOKUP(BH187,'Dispensed Ink Rates'!C:C,'Dispensed Ink Rates'!CS:CS),VLOOKUP(BH187,'Jan-2026 rates'!$E:$F,2,0)))</f>
        <v>0</v>
      </c>
      <c r="BW187" s="409"/>
      <c r="BX187" s="398">
        <f>IF(BW187=0,0,IF(LEN(BI187)=11,_xlfn.XLOOKUP(BI187,'Dispensed Ink Rates'!C:C,'Dispensed Ink Rates'!CS:CS),VLOOKUP(BI187,'Jan-2026 rates'!$E:$F,2,0)))</f>
        <v>0</v>
      </c>
      <c r="BY187" s="409"/>
      <c r="BZ187" s="398">
        <f>IF(BY187=0,0,IF(LEN(BJ187)=11,_xlfn.XLOOKUP(BJ187,'Dispensed Ink Rates'!C:C,'Dispensed Ink Rates'!CS:CS),VLOOKUP(BJ187,'Jan-2026 rates'!$E:$F,2,0)))</f>
        <v>0</v>
      </c>
      <c r="CA187" s="409" t="s">
        <v>1881</v>
      </c>
      <c r="CB187" s="409">
        <v>22</v>
      </c>
      <c r="CC187" s="411">
        <f t="shared" si="109"/>
        <v>0</v>
      </c>
      <c r="CD187" s="411">
        <f t="shared" si="110"/>
        <v>30.235294117647058</v>
      </c>
      <c r="CE187" s="410">
        <f t="shared" si="111"/>
        <v>0</v>
      </c>
      <c r="CF187" s="404" t="s">
        <v>547</v>
      </c>
      <c r="CG187" s="409" t="s">
        <v>3670</v>
      </c>
      <c r="CH187" s="420" t="str">
        <f t="shared" si="132"/>
        <v>ToyoLi - GREEN</v>
      </c>
      <c r="CI187" s="409">
        <v>24</v>
      </c>
      <c r="CJ187" s="411">
        <f>IF(CI187=0,0,IF($LB187=70%,VLOOKUP($CH187,'Jan-2026 rates'!$L:$R,4,0),IF($LB187=65%,VLOOKUP($CH187,'Jan-2026 rates'!$L:$R,4,0),IF($LB187=40%,VLOOKUP($CH187,'Jan-2026 rates'!$L:$R,5,0),IF($LB187=30%,VLOOKUP($CH187,'Jan-2026 rates'!$L:$R,6,0),IF($LB187=100%,VLOOKUP($CH187,'Jan-2026 rates'!$L:$R,7,0),IF($LB187=60%,VLOOKUP($CH187,'Jan-2026 rates'!$L:$S,8,0),IF($LB187=80%,VLOOKUP($CH187,'Jan-2026 rates'!L:T,9,0),0))))))))</f>
        <v>0</v>
      </c>
      <c r="CK187" s="412"/>
      <c r="CL187" s="409"/>
      <c r="CM187" s="411">
        <f>IF(CL187=0,0,IF($LB187=70%,VLOOKUP($CH187,'Jan-2026 rates'!$L:$R,4,0),IF($LB187=65%,VLOOKUP($CH187,'Jan-2026 rates'!$L:$R,4,0),IF($LB187=40%,VLOOKUP($CH187,'Jan-2026 rates'!$L:$R,5,0),IF($LB187=30%,VLOOKUP($CH187,'Jan-2026 rates'!$L:$R,6,0),IF($LB187=100%,VLOOKUP($CH187,'Jan-2026 rates'!$L:$R,7,0),IF($LB187=60%,VLOOKUP($CH187,'Jan-2026 rates'!$L:$S,8,0),IF($LB187=80%,VLOOKUP($CH187,'Jan-2026 rates'!L:T,9,0),0))))))))</f>
        <v>0</v>
      </c>
      <c r="CN187" s="426" t="s">
        <v>1252</v>
      </c>
      <c r="CO187" s="427" t="s">
        <v>1248</v>
      </c>
      <c r="CP187" s="426" t="s">
        <v>1247</v>
      </c>
      <c r="CQ187" s="426"/>
      <c r="CR187" s="428"/>
      <c r="CS187" s="428"/>
      <c r="CT187" s="428"/>
      <c r="CU187" s="428"/>
      <c r="CV187" s="409">
        <v>0.2</v>
      </c>
      <c r="CW187" s="398">
        <f>IF(CV187=0,0,IF(LEN(CN187)=11,_xlfn.XLOOKUP(CN187,'Dispensed Ink Rates'!C:C,'Dispensed Ink Rates'!CS:CS),VLOOKUP(CN187,'Jan-2026 rates'!$E:$F,2,0)))</f>
        <v>0</v>
      </c>
      <c r="CX187" s="409">
        <v>0.3</v>
      </c>
      <c r="CY187" s="398">
        <f>IF(CX187=0,0,IF(LEN(CO187)=11,_xlfn.XLOOKUP(CO187,'Dispensed Ink Rates'!C:C,'Dispensed Ink Rates'!CS:CS),VLOOKUP(CO187,'Jan-2026 rates'!$E:$F,2,0)))</f>
        <v>0</v>
      </c>
      <c r="CZ187" s="409">
        <v>1</v>
      </c>
      <c r="DA187" s="398">
        <f>IF(CZ187=0,0,IF(LEN(CP187)=11,_xlfn.XLOOKUP(CP187,'Dispensed Ink Rates'!C:C,'Dispensed Ink Rates'!CS:CS),VLOOKUP(CP187,'Jan-2026 rates'!$E:$F,2,0)))</f>
        <v>0</v>
      </c>
      <c r="DB187" s="409"/>
      <c r="DC187" s="398">
        <f>IF(DB187=0,0,IF(LEN(CQ187)=11,_xlfn.XLOOKUP(CQ187,'Dispensed Ink Rates'!C:C,'Dispensed Ink Rates'!CS:CS),VLOOKUP(CQ187,'Jan-2026 rates'!$E:$F,2,0)))</f>
        <v>0</v>
      </c>
      <c r="DD187" s="409"/>
      <c r="DE187" s="398">
        <f>IF(DD187=0,0,IF(LEN(CR187)=11,_xlfn.XLOOKUP(CR187,'Dispensed Ink Rates'!C:C,'Dispensed Ink Rates'!CS:CS),VLOOKUP(CR187,'Jan-2026 rates'!$E:$F,2,0)))</f>
        <v>0</v>
      </c>
      <c r="DF187" s="409"/>
      <c r="DG187" s="398">
        <f>IF(DF187=0,0,IF(LEN(CS187)=11,_xlfn.XLOOKUP(CS187,'Dispensed Ink Rates'!C:C,'Dispensed Ink Rates'!CS:CS),VLOOKUP(CS187,'Jan-2026 rates'!$E:$F,2,0)))</f>
        <v>0</v>
      </c>
      <c r="DH187" s="409"/>
      <c r="DI187" s="398">
        <f>IF(DH187=0,0,IF(LEN(CT187)=11,_xlfn.XLOOKUP(CT187,'Dispensed Ink Rates'!C:C,'Dispensed Ink Rates'!CS:CS),VLOOKUP(CT187,'Jan-2026 rates'!$E:$F,2,0)))</f>
        <v>0</v>
      </c>
      <c r="DJ187" s="409"/>
      <c r="DK187" s="398">
        <f>IF(DJ187=0,0,IF(LEN(CU187)=11,_xlfn.XLOOKUP(CU187,'Dispensed Ink Rates'!C:C,'Dispensed Ink Rates'!CS:CS),VLOOKUP(CU187,'Jan-2026 rates'!$E:$F,2,0)))</f>
        <v>0</v>
      </c>
      <c r="DL187" s="409" t="s">
        <v>1881</v>
      </c>
      <c r="DM187" s="409">
        <v>23</v>
      </c>
      <c r="DN187" s="411">
        <f t="shared" si="112"/>
        <v>0</v>
      </c>
      <c r="DO187" s="411">
        <f t="shared" si="113"/>
        <v>7.2450980392156872</v>
      </c>
      <c r="DP187" s="410">
        <f t="shared" si="114"/>
        <v>0</v>
      </c>
      <c r="DQ187" s="405" t="s">
        <v>828</v>
      </c>
      <c r="DR187" s="409" t="s">
        <v>3671</v>
      </c>
      <c r="DS187" s="420" t="str">
        <f t="shared" si="133"/>
        <v>ToyoLi - ORANGE</v>
      </c>
      <c r="DT187" s="409">
        <v>25</v>
      </c>
      <c r="DU187" s="411">
        <f>IF(DT187=0,0,IF($LB187=70%,VLOOKUP($DS187,'Jan-2026 rates'!$L:$R,4,0),IF($LB187=65%,VLOOKUP($DS187,'Jan-2026 rates'!$L:$R,4,0),IF($LB187=40%,VLOOKUP($DS187,'Jan-2026 rates'!$L:$R,5,0),IF($LB187=30%,VLOOKUP($DS187,'Jan-2026 rates'!$L:$R,6,0),IF($LB187=100%,VLOOKUP($DS187,'Jan-2026 rates'!$L:$R,7,0),IF($LB187=60%,VLOOKUP($DS187,'Jan-2026 rates'!$L:$S,8,0),IF($LB187=80%,VLOOKUP($DS187,'Jan-2026 rates'!L:T,9,0),0))))))))</f>
        <v>0</v>
      </c>
      <c r="DV187" s="412"/>
      <c r="DW187" s="409"/>
      <c r="DX187" s="411">
        <f>IF(DW187=0,0,IF($LB187=70%,VLOOKUP($DS187,'Jan-2026 rates'!$L:$R,4,0),IF($LB187=65%,VLOOKUP($DS187,'Jan-2026 rates'!$L:$R,4,0),IF($LB187=40%,VLOOKUP($DS187,'Jan-2026 rates'!$L:$R,5,0),IF($LB187=30%,VLOOKUP($DS187,'Jan-2026 rates'!$L:$R,6,0),IF($LB187=100%,VLOOKUP($DS187,'Jan-2026 rates'!$L:$R,7,0),IF($LB187=60%,VLOOKUP($DS187,'Jan-2026 rates'!$L:$S,8,0),IF($LB187=80%,VLOOKUP($DS187,'Jan-2026 rates'!L:T,9,0),0))))))))</f>
        <v>0</v>
      </c>
      <c r="DY187" s="413" t="s">
        <v>1248</v>
      </c>
      <c r="DZ187" s="413" t="s">
        <v>1247</v>
      </c>
      <c r="EA187" s="412" t="s">
        <v>1921</v>
      </c>
      <c r="EB187" s="412"/>
      <c r="EC187" s="412"/>
      <c r="ED187" s="412"/>
      <c r="EE187" s="412"/>
      <c r="EF187" s="412"/>
      <c r="EG187" s="409">
        <v>4</v>
      </c>
      <c r="EH187" s="398">
        <f>IF(EG187=0,0,IF(LEN(DY187)=11,_xlfn.XLOOKUP(DY187,'Dispensed Ink Rates'!C:C,'Dispensed Ink Rates'!CS:CS),VLOOKUP(DY187,'Jan-2026 rates'!$E:$F,2,0)))</f>
        <v>0</v>
      </c>
      <c r="EI187" s="409">
        <v>3</v>
      </c>
      <c r="EJ187" s="398">
        <f>IF(EI187=0,0,IF(LEN(DZ187)=11,_xlfn.XLOOKUP(DZ187,'Dispensed Ink Rates'!C:C,'Dispensed Ink Rates'!CS:CS),VLOOKUP(DZ187,'Jan-2026 rates'!$E:$F,2,0)))</f>
        <v>0</v>
      </c>
      <c r="EK187" s="409">
        <v>2</v>
      </c>
      <c r="EL187" s="398">
        <f>IF(EK187=0,0,IF(LEN(EA187)=11,_xlfn.XLOOKUP(EA187,'Dispensed Ink Rates'!C:C,'Dispensed Ink Rates'!CS:CS),VLOOKUP(EA187,'Jan-2026 rates'!$E:$F,2,0)))</f>
        <v>0</v>
      </c>
      <c r="EM187" s="409"/>
      <c r="EN187" s="398">
        <f>IF(EM187=0,0,IF(LEN(EB187)=11,_xlfn.XLOOKUP(EB187,'Dispensed Ink Rates'!C:C,'Dispensed Ink Rates'!CS:CS),VLOOKUP(EB187,'Jan-2026 rates'!$E:$F,2,0)))</f>
        <v>0</v>
      </c>
      <c r="EO187" s="409"/>
      <c r="EP187" s="398">
        <f>IF(EO187=0,0,IF(LEN(EC187)=11,_xlfn.XLOOKUP(EC187,'Dispensed Ink Rates'!C:C,'Dispensed Ink Rates'!CS:CS),VLOOKUP(EC187,'Jan-2026 rates'!$E:$F,2,0)))</f>
        <v>0</v>
      </c>
      <c r="EQ187" s="409"/>
      <c r="ER187" s="398">
        <f>IF(EQ187=0,0,IF(LEN(ED187)=11,_xlfn.XLOOKUP(ED187,'Dispensed Ink Rates'!C:C,'Dispensed Ink Rates'!CS:CS),VLOOKUP(ED187,'Jan-2026 rates'!$E:$F,2,0)))</f>
        <v>0</v>
      </c>
      <c r="ES187" s="409"/>
      <c r="ET187" s="398">
        <f>IF(ES187=0,0,IF(LEN(EE187)=11,_xlfn.XLOOKUP(EE187,'Dispensed Ink Rates'!C:C,'Dispensed Ink Rates'!CS:CS),VLOOKUP(EE187,'Jan-2026 rates'!$E:$F,2,0)))</f>
        <v>0</v>
      </c>
      <c r="EU187" s="409"/>
      <c r="EV187" s="398">
        <f>IF(EU187=0,0,IF(LEN(EF187)=11,_xlfn.XLOOKUP(EF187,'Dispensed Ink Rates'!C:C,'Dispensed Ink Rates'!CS:CS),VLOOKUP(EF187,'Jan-2026 rates'!$E:$F,2,0)))</f>
        <v>0</v>
      </c>
      <c r="EW187" s="409" t="s">
        <v>1881</v>
      </c>
      <c r="EX187" s="409">
        <v>28</v>
      </c>
      <c r="EY187" s="411">
        <f t="shared" si="115"/>
        <v>0</v>
      </c>
      <c r="EZ187" s="411">
        <f t="shared" si="116"/>
        <v>17.862745098039213</v>
      </c>
      <c r="FA187" s="410">
        <f t="shared" si="117"/>
        <v>0</v>
      </c>
      <c r="FB187" s="405" t="s">
        <v>544</v>
      </c>
      <c r="FC187" s="409" t="s">
        <v>3672</v>
      </c>
      <c r="FD187" s="420" t="str">
        <f t="shared" si="134"/>
        <v>ToyoLi - MAGENTA</v>
      </c>
      <c r="FE187" s="409">
        <v>26</v>
      </c>
      <c r="FF187" s="411">
        <f>IF(FE187=0,0,IF($LB187=70%,VLOOKUP($FD187,'Jan-2026 rates'!$L:$R,4,0),IF($LB187=65%,VLOOKUP($FD187,'Jan-2026 rates'!$L:$R,4,0),IF($LB187=40%,VLOOKUP($FD187,'Jan-2026 rates'!$L:$R,5,0),IF($LB187=30%,VLOOKUP($FD187,'Jan-2026 rates'!$L:$R,6,0),IF($LB187=100%,VLOOKUP($FD187,'Jan-2026 rates'!$L:$R,7,0),IF($LB187=60%,VLOOKUP($FD187,'Jan-2026 rates'!$L:$S,8,0),IF($LB187=80%,VLOOKUP($FD187,'Jan-2026 rates'!L:T,9,0),0))))))))</f>
        <v>0</v>
      </c>
      <c r="FG187" s="412"/>
      <c r="FH187" s="409"/>
      <c r="FI187" s="411">
        <f>IF(FH187=0,0,IF($LB187=70%,VLOOKUP($FD187,'Jan-2026 rates'!$L:$R,4,0),IF($LB187=65%,VLOOKUP($FD187,'Jan-2026 rates'!$L:$R,4,0),IF($LB187=40%,VLOOKUP($FD187,'Jan-2026 rates'!$L:$R,5,0),IF($LB187=30%,VLOOKUP($FD187,'Jan-2026 rates'!$L:$R,6,0),IF($LB187=100%,VLOOKUP($FD187,'Jan-2026 rates'!$L:$R,7,0),IF($LB187=60%,VLOOKUP($FD187,'Jan-2026 rates'!$L:$S,8,0),IF($LB187=80%,VLOOKUP($FD187,'Jan-2026 rates'!L:T,9,0),0))))))))</f>
        <v>0</v>
      </c>
      <c r="FJ187" s="413" t="s">
        <v>1246</v>
      </c>
      <c r="FK187" s="413"/>
      <c r="FL187" s="413"/>
      <c r="FM187" s="412"/>
      <c r="FN187" s="412"/>
      <c r="FO187" s="412"/>
      <c r="FP187" s="412"/>
      <c r="FQ187" s="412"/>
      <c r="FR187" s="409">
        <v>3</v>
      </c>
      <c r="FS187" s="398">
        <f>IF(FR187=0,0,IF(LEN(FJ187)=11,_xlfn.XLOOKUP(FJ187,'Dispensed Ink Rates'!C:C,'Dispensed Ink Rates'!CS:CS),VLOOKUP(FJ187,'Jan-2026 rates'!$E:$F,2,0)))</f>
        <v>0</v>
      </c>
      <c r="FT187" s="409"/>
      <c r="FU187" s="398">
        <f>IF(FT187=0,0,IF(LEN(FK187)=11,_xlfn.XLOOKUP(FK187,'Dispensed Ink Rates'!C:C,'Dispensed Ink Rates'!CS:CS),VLOOKUP(FK187,'Jan-2026 rates'!$E:$F,2,0)))</f>
        <v>0</v>
      </c>
      <c r="FV187" s="409"/>
      <c r="FW187" s="398">
        <f>IF(FV187=0,0,IF(LEN(FL187)=11,_xlfn.XLOOKUP(FL187,'Dispensed Ink Rates'!C:C,'Dispensed Ink Rates'!CS:CS),VLOOKUP(FL187,'Jan-2026 rates'!$E:$F,2,0)))</f>
        <v>0</v>
      </c>
      <c r="FX187" s="409"/>
      <c r="FY187" s="398">
        <f>IF(FX187=0,0,IF(LEN(FM187)=11,_xlfn.XLOOKUP(FM187,'Dispensed Ink Rates'!C:C,'Dispensed Ink Rates'!CS:CS),VLOOKUP(FM187,'Jan-2026 rates'!$E:$F,2,0)))</f>
        <v>0</v>
      </c>
      <c r="FZ187" s="409"/>
      <c r="GA187" s="398">
        <f>IF(FZ187=0,0,IF(LEN(FN187)=11,_xlfn.XLOOKUP(FN187,'Dispensed Ink Rates'!C:C,'Dispensed Ink Rates'!CS:CS),VLOOKUP(FN187,'Jan-2026 rates'!$E:$F,2,0)))</f>
        <v>0</v>
      </c>
      <c r="GB187" s="409"/>
      <c r="GC187" s="398">
        <f>IF(GB187=0,0,IF(LEN(FO187)=11,_xlfn.XLOOKUP(FO187,'Dispensed Ink Rates'!C:C,'Dispensed Ink Rates'!CS:CS),VLOOKUP(FO187,'Jan-2026 rates'!$E:$F,2,0)))</f>
        <v>0</v>
      </c>
      <c r="GD187" s="409"/>
      <c r="GE187" s="398">
        <f>IF(GD187=0,0,IF(LEN(FP187)=11,_xlfn.XLOOKUP(FP187,'Dispensed Ink Rates'!C:C,'Dispensed Ink Rates'!CS:CS),VLOOKUP(FP187,'Jan-2026 rates'!$E:$F,2,0)))</f>
        <v>0</v>
      </c>
      <c r="GF187" s="409"/>
      <c r="GG187" s="398">
        <f>IF(GF187=0,0,IF(LEN(FQ187)=11,_xlfn.XLOOKUP(FQ187,'Dispensed Ink Rates'!C:C,'Dispensed Ink Rates'!CS:CS),VLOOKUP(FQ187,'Jan-2026 rates'!$E:$F,2,0)))</f>
        <v>0</v>
      </c>
      <c r="GH187" s="409" t="s">
        <v>1881</v>
      </c>
      <c r="GI187" s="409">
        <v>28</v>
      </c>
      <c r="GJ187" s="411">
        <f t="shared" si="118"/>
        <v>0</v>
      </c>
      <c r="GK187" s="411">
        <f t="shared" si="119"/>
        <v>8.117647058823529</v>
      </c>
      <c r="GL187" s="410">
        <f t="shared" si="120"/>
        <v>0</v>
      </c>
      <c r="GM187" s="405" t="s">
        <v>545</v>
      </c>
      <c r="GN187" s="409" t="s">
        <v>3673</v>
      </c>
      <c r="GO187" s="420" t="str">
        <f t="shared" si="135"/>
        <v>ToyoLi - YELLOW</v>
      </c>
      <c r="GP187" s="409">
        <v>28</v>
      </c>
      <c r="GQ187" s="411">
        <f>IF(GP187=0,0,IF($LB187=70%,VLOOKUP($GO187,'Jan-2026 rates'!$L:$R,4,0),IF($LB187=65%,VLOOKUP($GO187,'Jan-2026 rates'!$L:$R,4,0),IF($LB187=40%,VLOOKUP($GO187,'Jan-2026 rates'!$L:$R,5,0),IF($LB187=30%,VLOOKUP($GO187,'Jan-2026 rates'!$L:$R,6,0),IF($LB187=100%,VLOOKUP($GO187,'Jan-2026 rates'!$L:$R,7,0),IF($LB187=60%,VLOOKUP($GO187,'Jan-2026 rates'!$L:$S,8,0),IF($LB187=80%,VLOOKUP($GO187,'Jan-2026 rates'!L:T,9,0),0))))))))</f>
        <v>0</v>
      </c>
      <c r="GR187" s="412"/>
      <c r="GS187" s="409"/>
      <c r="GT187" s="411">
        <f>IF(GS187=0,0,IF($LB187=70%,VLOOKUP($GO187,'Jan-2026 rates'!$L:$R,4,0),IF($LB187=65%,VLOOKUP($GO187,'Jan-2026 rates'!$L:$R,4,0),IF($LB187=40%,VLOOKUP($GO187,'Jan-2026 rates'!$L:$R,5,0),IF($LB187=30%,VLOOKUP($GO187,'Jan-2026 rates'!$L:$R,6,0),IF($LB187=100%,VLOOKUP($GO187,'Jan-2026 rates'!$L:$R,7,0),IF($LB187=60%,VLOOKUP($GO187,'Jan-2026 rates'!$L:$S,8,0),IF($LB187=80%,VLOOKUP($GO187,'Jan-2026 rates'!L:T,9,0),0))))))))</f>
        <v>0</v>
      </c>
      <c r="GU187" s="413" t="s">
        <v>1247</v>
      </c>
      <c r="GV187" s="413"/>
      <c r="GW187" s="412"/>
      <c r="GX187" s="412"/>
      <c r="GY187" s="412"/>
      <c r="GZ187" s="412"/>
      <c r="HA187" s="412"/>
      <c r="HB187" s="412"/>
      <c r="HC187" s="409">
        <v>2</v>
      </c>
      <c r="HD187" s="398">
        <f>IF(HC187=0,0,IF(LEN(GU187)=11,_xlfn.XLOOKUP(GU187,'Dispensed Ink Rates'!C:C,'Dispensed Ink Rates'!CS:CS),VLOOKUP(GU187,'Jan-2026 rates'!$E:$F,2,0)))</f>
        <v>0</v>
      </c>
      <c r="HE187" s="409"/>
      <c r="HF187" s="398">
        <f>IF(HE187=0,0,IF(LEN(GV187)=11,_xlfn.XLOOKUP(GV187,'Dispensed Ink Rates'!C:C,'Dispensed Ink Rates'!CS:CS),VLOOKUP(GV187,'Jan-2026 rates'!$E:$F,2,0)))</f>
        <v>0</v>
      </c>
      <c r="HG187" s="409"/>
      <c r="HH187" s="398">
        <f>IF(HG187=0,0,IF(LEN(GW187)=11,_xlfn.XLOOKUP(GW187,'Dispensed Ink Rates'!C:C,'Dispensed Ink Rates'!CS:CS),VLOOKUP(GW187,'Jan-2026 rates'!$E:$F,2,0)))</f>
        <v>0</v>
      </c>
      <c r="HI187" s="409"/>
      <c r="HJ187" s="398">
        <f>IF(HI187=0,0,IF(LEN(GX187)=11,_xlfn.XLOOKUP(GX187,'Dispensed Ink Rates'!C:C,'Dispensed Ink Rates'!CS:CS),VLOOKUP(GX187,'Jan-2026 rates'!$E:$F,2,0)))</f>
        <v>0</v>
      </c>
      <c r="HK187" s="409"/>
      <c r="HL187" s="398">
        <f>IF(HK187=0,0,IF(LEN(GY187)=11,_xlfn.XLOOKUP(GY187,'Dispensed Ink Rates'!C:C,'Dispensed Ink Rates'!CS:CS),VLOOKUP(GY187,'Jan-2026 rates'!$E:$F,2,0)))</f>
        <v>0</v>
      </c>
      <c r="HM187" s="409"/>
      <c r="HN187" s="398">
        <f>IF(HM187=0,0,IF(LEN(GZ187)=11,_xlfn.XLOOKUP(GZ187,'Dispensed Ink Rates'!C:C,'Dispensed Ink Rates'!CS:CS),VLOOKUP(GZ187,'Jan-2026 rates'!$E:$F,2,0)))</f>
        <v>0</v>
      </c>
      <c r="HO187" s="409"/>
      <c r="HP187" s="398">
        <f>IF(HO187=0,0,IF(LEN(HA187)=11,_xlfn.XLOOKUP(HA187,'Dispensed Ink Rates'!C:C,'Dispensed Ink Rates'!CS:CS),VLOOKUP(HA187,'Jan-2026 rates'!$E:$F,2,0)))</f>
        <v>0</v>
      </c>
      <c r="HQ187" s="409"/>
      <c r="HR187" s="398">
        <f>IF(HQ187=0,0,IF(LEN(HB187)=11,_xlfn.XLOOKUP(HB187,'Dispensed Ink Rates'!C:C,'Dispensed Ink Rates'!CS:CS),VLOOKUP(HB187,'Jan-2026 rates'!$E:$F,2,0)))</f>
        <v>0</v>
      </c>
      <c r="HS187" s="409" t="s">
        <v>1881</v>
      </c>
      <c r="HT187" s="409">
        <v>25</v>
      </c>
      <c r="HU187" s="411">
        <f t="shared" si="121"/>
        <v>0</v>
      </c>
      <c r="HV187" s="411">
        <f t="shared" si="122"/>
        <v>12.117647058823529</v>
      </c>
      <c r="HW187" s="414">
        <f t="shared" si="123"/>
        <v>0</v>
      </c>
      <c r="HX187" s="405" t="s">
        <v>856</v>
      </c>
      <c r="HY187" s="409" t="s">
        <v>3674</v>
      </c>
      <c r="HZ187" s="420" t="str">
        <f t="shared" si="136"/>
        <v>ToyoLi - WHITE</v>
      </c>
      <c r="IA187" s="409">
        <v>20</v>
      </c>
      <c r="IB187" s="411">
        <f>IF(IA187=0,0,IF($LB187=70%,VLOOKUP($HZ187,'Jan-2026 rates'!$L:$R,4,0),IF($LB187=65%,VLOOKUP($HZ187,'Jan-2026 rates'!$L:$R,4,0),IF($LB187=40%,VLOOKUP($HZ187,'Jan-2026 rates'!$L:$R,5,0),IF($LB187=30%,VLOOKUP($HZ187,'Jan-2026 rates'!$L:$R,6,0),IF($LB187=100%,VLOOKUP($HZ187,'Jan-2026 rates'!$L:$R,7,0),IF($LB187=60%,VLOOKUP($HZ187,'Jan-2026 rates'!$L:$S,8,0),IF($LB187=80%,VLOOKUP($HZ187,'Jan-2026 rates'!L:T,9,0),0))))))))</f>
        <v>0</v>
      </c>
      <c r="IC187" s="412"/>
      <c r="ID187" s="409"/>
      <c r="IE187" s="411">
        <f>IF(ID187=0,0,IF($LB187=70%,VLOOKUP($HZ187,'Jan-2026 rates'!$L:$R,4,0),IF($LB187=65%,VLOOKUP($HZ187,'Jan-2026 rates'!$L:$R,4,0),IF($LB187=40%,VLOOKUP($HZ187,'Jan-2026 rates'!$L:$R,5,0),IF($LB187=30%,VLOOKUP($HZ187,'Jan-2026 rates'!$L:$R,6,0),IF($LB187=100%,VLOOKUP($HZ187,'Jan-2026 rates'!$L:$R,7,0),IF($LB187=60%,VLOOKUP($HZ187,'Jan-2026 rates'!$L:$S,8,0),IF($LB187=80%,VLOOKUP($HZ187,'Jan-2026 rates'!L:T,9,0),0))))))))</f>
        <v>0</v>
      </c>
      <c r="IF187" s="412" t="s">
        <v>1249</v>
      </c>
      <c r="IG187" s="413"/>
      <c r="IH187" s="412"/>
      <c r="II187" s="412"/>
      <c r="IJ187" s="412"/>
      <c r="IK187" s="412"/>
      <c r="IL187" s="412"/>
      <c r="IM187" s="412"/>
      <c r="IN187" s="409">
        <v>40</v>
      </c>
      <c r="IO187" s="398">
        <f>IF(IN187=0,0,IF(LEN(IF187)=11,_xlfn.XLOOKUP(IF187,'Dispensed Ink Rates'!C:C,'Dispensed Ink Rates'!CS:CS),VLOOKUP(IF187,'Jan-2026 rates'!$E:$F,2,0)))</f>
        <v>0</v>
      </c>
      <c r="IP187" s="409"/>
      <c r="IQ187" s="398">
        <f>IF(IP187=0,0,IF(LEN(IG187)=11,_xlfn.XLOOKUP(IG187,'Dispensed Ink Rates'!C:C,'Dispensed Ink Rates'!CS:CS),VLOOKUP(IG187,'Jan-2026 rates'!$E:$F,2,0)))</f>
        <v>0</v>
      </c>
      <c r="IR187" s="409"/>
      <c r="IS187" s="398">
        <f>IF(IR187=0,0,IF(LEN(IH187)=11,_xlfn.XLOOKUP(IH187,'Dispensed Ink Rates'!C:C,'Dispensed Ink Rates'!CS:CS),VLOOKUP(IH187,'Jan-2026 rates'!$E:$F,2,0)))</f>
        <v>0</v>
      </c>
      <c r="IT187" s="409"/>
      <c r="IU187" s="398">
        <f>IF(IT187=0,0,IF(LEN(II187)=11,_xlfn.XLOOKUP(II187,'Dispensed Ink Rates'!C:C,'Dispensed Ink Rates'!CS:CS),VLOOKUP(II187,'Jan-2026 rates'!$E:$F,2,0)))</f>
        <v>0</v>
      </c>
      <c r="IV187" s="409"/>
      <c r="IW187" s="398">
        <f>IF(IV187=0,0,IF(LEN(IJ187)=11,_xlfn.XLOOKUP(IJ187,'Dispensed Ink Rates'!C:C,'Dispensed Ink Rates'!CS:CS),VLOOKUP(IJ187,'Jan-2026 rates'!$E:$F,2,0)))</f>
        <v>0</v>
      </c>
      <c r="IX187" s="409"/>
      <c r="IY187" s="398">
        <f>IF(IX187=0,0,IF(LEN(IK187)=11,_xlfn.XLOOKUP(IK187,'Dispensed Ink Rates'!C:C,'Dispensed Ink Rates'!CS:CS),VLOOKUP(IK187,'Jan-2026 rates'!$E:$F,2,0)))</f>
        <v>0</v>
      </c>
      <c r="IZ187" s="409"/>
      <c r="JA187" s="398">
        <f>IF(IZ187=0,0,IF(LEN(IL187)=11,_xlfn.XLOOKUP(IL187,'Dispensed Ink Rates'!C:C,'Dispensed Ink Rates'!CS:CS),VLOOKUP(IL187,'Jan-2026 rates'!$E:$F,2,0)))</f>
        <v>0</v>
      </c>
      <c r="JB187" s="409"/>
      <c r="JC187" s="398">
        <f>IF(JB187=0,0,IF(LEN(IM187)=11,_xlfn.XLOOKUP(IM187,'Dispensed Ink Rates'!C:C,'Dispensed Ink Rates'!CS:CS),VLOOKUP(IM187,'Jan-2026 rates'!$E:$F,2,0)))</f>
        <v>0</v>
      </c>
      <c r="JD187" s="409" t="s">
        <v>1881</v>
      </c>
      <c r="JE187" s="409">
        <v>23</v>
      </c>
      <c r="JF187" s="411">
        <f t="shared" si="124"/>
        <v>0</v>
      </c>
      <c r="JG187" s="411">
        <f t="shared" si="125"/>
        <v>84.450980392156865</v>
      </c>
      <c r="JH187" s="410">
        <f t="shared" si="126"/>
        <v>0</v>
      </c>
      <c r="JI187" s="405" t="s">
        <v>605</v>
      </c>
      <c r="JJ187" s="409" t="s">
        <v>3672</v>
      </c>
      <c r="JK187" s="420" t="str">
        <f t="shared" si="137"/>
        <v>HI-TECH INK - MATT</v>
      </c>
      <c r="JL187" s="409">
        <v>17</v>
      </c>
      <c r="JM187" s="411">
        <f>IF(JL187=0,0,IF($LB187=70%,VLOOKUP($JK187,'Jan-2026 rates'!$L:$R,4,0),IF($LB187=65%,VLOOKUP($JK187,'Jan-2026 rates'!$L:$R,4,0),IF($LB187=40%,VLOOKUP($JK187,'Jan-2026 rates'!$L:$R,5,0),IF($LB187=30%,VLOOKUP($JK187,'Jan-2026 rates'!$L:$R,6,0),IF($LB187=100%,VLOOKUP($JK187,'Jan-2026 rates'!$L:$R,7,0),IF($LB187=60%,VLOOKUP($JK187,'Jan-2026 rates'!$L:$S,8,0),IF($LB187=80%,VLOOKUP($JK187,'Jan-2026 rates'!L:T,9,0),0))))))))</f>
        <v>0</v>
      </c>
      <c r="JN187" s="412"/>
      <c r="JO187" s="409"/>
      <c r="JP187" s="411">
        <f>IF(JO187=0,0,IF($LB187=70%,VLOOKUP($JK187,'Jan-2026 rates'!$L:$R,4,0),IF($LB187=65%,VLOOKUP($JK187,'Jan-2026 rates'!$L:$R,4,0),IF($LB187=40%,VLOOKUP($JK187,'Jan-2026 rates'!$L:$R,5,0),IF($LB187=30%,VLOOKUP($JK187,'Jan-2026 rates'!$L:$R,6,0),IF($LB187=100%,VLOOKUP($JK187,'Jan-2026 rates'!$L:$R,7,0),IF($LB187=60%,VLOOKUP($JK187,'Jan-2026 rates'!$L:$S,8,0),IF($LB187=80%,VLOOKUP($JK187,'Jan-2026 rates'!L:T,9,0),0))))))))</f>
        <v>0</v>
      </c>
      <c r="JQ187" s="413">
        <v>2066</v>
      </c>
      <c r="JR187" s="412"/>
      <c r="JS187" s="413"/>
      <c r="JT187" s="413"/>
      <c r="JU187" s="412"/>
      <c r="JV187" s="412"/>
      <c r="JW187" s="412"/>
      <c r="JX187" s="412"/>
      <c r="JY187" s="409">
        <v>30</v>
      </c>
      <c r="JZ187" s="398">
        <f>IF(JY187=0,0,IF(LEN(JQ187)=11,_xlfn.XLOOKUP(JQ187,'Dispensed Ink Rates'!C:C,'Dispensed Ink Rates'!CS:CS),VLOOKUP(JQ187,'Jan-2026 rates'!$E:$F,2,0)))</f>
        <v>0</v>
      </c>
      <c r="KA187" s="409"/>
      <c r="KB187" s="398">
        <f>IF(KA187=0,0,IF(LEN(JR187)=11,_xlfn.XLOOKUP(JR187,'Dispensed Ink Rates'!C:C,'Dispensed Ink Rates'!CS:CS),VLOOKUP(JR187,'Jan-2026 rates'!$E:$F,2,0)))</f>
        <v>0</v>
      </c>
      <c r="KC187" s="409"/>
      <c r="KD187" s="398">
        <f>IF(KC187=0,0,IF(LEN(JS187)=11,_xlfn.XLOOKUP(JS187,'Dispensed Ink Rates'!C:C,'Dispensed Ink Rates'!CS:CS),VLOOKUP(JS187,'Jan-2026 rates'!$E:$F,2,0)))</f>
        <v>0</v>
      </c>
      <c r="KE187" s="409"/>
      <c r="KF187" s="398">
        <f>IF(KE187=0,0,IF(LEN(JT187)=11,_xlfn.XLOOKUP(JT187,'Dispensed Ink Rates'!C:C,'Dispensed Ink Rates'!CS:CS),VLOOKUP(JT187,'Jan-2026 rates'!$E:$F,2,0)))</f>
        <v>0</v>
      </c>
      <c r="KG187" s="409"/>
      <c r="KH187" s="398">
        <f>IF(KG187=0,0,IF(LEN(JU187)=11,_xlfn.XLOOKUP(JU187,'Dispensed Ink Rates'!C:C,'Dispensed Ink Rates'!CS:CS),VLOOKUP(JU187,'Jan-2026 rates'!$E:$F,2,0)))</f>
        <v>0</v>
      </c>
      <c r="KI187" s="409"/>
      <c r="KJ187" s="398">
        <f>IF(KI187=0,0,IF(LEN(JV187)=11,_xlfn.XLOOKUP(JV187,'Dispensed Ink Rates'!C:C,'Dispensed Ink Rates'!CS:CS),VLOOKUP(JV187,'Jan-2026 rates'!$E:$F,2,0)))</f>
        <v>0</v>
      </c>
      <c r="KK187" s="409"/>
      <c r="KL187" s="398">
        <f>IF(KK187=0,0,IF(LEN(JW187)=11,_xlfn.XLOOKUP(JW187,'Dispensed Ink Rates'!C:C,'Dispensed Ink Rates'!CS:CS),VLOOKUP(JW187,'Jan-2026 rates'!$E:$F,2,0)))</f>
        <v>0</v>
      </c>
      <c r="KM187" s="428"/>
      <c r="KN187" s="398">
        <f>IF(KM187=0,0,IF(LEN(JX187)=11,_xlfn.XLOOKUP(JX187,'Dispensed Ink Rates'!C:C,'Dispensed Ink Rates'!CS:CS),VLOOKUP(JX187,'Jan-2026 rates'!$E:$F,2,0)))</f>
        <v>0</v>
      </c>
      <c r="KO187" s="409" t="s">
        <v>602</v>
      </c>
      <c r="KP187" s="409">
        <v>18</v>
      </c>
      <c r="KQ187" s="411">
        <f t="shared" si="127"/>
        <v>0</v>
      </c>
      <c r="KR187" s="411">
        <f t="shared" si="128"/>
        <v>52.725490196078425</v>
      </c>
      <c r="KS187" s="410">
        <f t="shared" si="129"/>
        <v>0</v>
      </c>
      <c r="KT187" s="409">
        <v>2</v>
      </c>
      <c r="KU187" s="409">
        <v>6</v>
      </c>
      <c r="KV187" s="409">
        <v>2</v>
      </c>
      <c r="KW187" s="409">
        <v>5</v>
      </c>
      <c r="KX187" s="409">
        <v>3</v>
      </c>
      <c r="KY187" s="409">
        <v>3</v>
      </c>
      <c r="KZ187" s="409">
        <v>20</v>
      </c>
      <c r="LA187" s="409">
        <v>10</v>
      </c>
      <c r="LB187" s="415">
        <v>0.3</v>
      </c>
      <c r="LC187" s="415"/>
      <c r="LD187" s="415"/>
      <c r="LE187" s="415">
        <v>0.5</v>
      </c>
      <c r="LF187" s="415">
        <v>0.2</v>
      </c>
      <c r="LG187" s="409">
        <v>0</v>
      </c>
      <c r="LH187" s="409">
        <f>30+21+21+35+14</f>
        <v>121</v>
      </c>
      <c r="LI187" s="409">
        <v>0</v>
      </c>
      <c r="LJ187" s="409">
        <v>0</v>
      </c>
      <c r="LK187" s="416">
        <f t="shared" si="138"/>
        <v>121</v>
      </c>
      <c r="LL187" s="416">
        <f t="shared" si="139"/>
        <v>121</v>
      </c>
      <c r="LM187" s="417">
        <f t="shared" si="140"/>
        <v>36.299999999999997</v>
      </c>
      <c r="LN187" s="417">
        <f>VLOOKUP($LM$8,'Jan-2026 rates'!$H:$I,2,0)</f>
        <v>0</v>
      </c>
      <c r="LO187" s="417">
        <f t="shared" si="141"/>
        <v>0</v>
      </c>
      <c r="LP187" s="417">
        <f>VLOOKUP($LO$8,'Jan-2026 rates'!$H:$I,2,0)</f>
        <v>0</v>
      </c>
      <c r="LQ187" s="417">
        <f t="shared" si="142"/>
        <v>0</v>
      </c>
      <c r="LR187" s="417">
        <f>VLOOKUP($LQ$8,'Jan-2026 rates'!$H:$I,2,0)</f>
        <v>0</v>
      </c>
      <c r="LS187" s="417">
        <f t="shared" si="143"/>
        <v>60.5</v>
      </c>
      <c r="LT187" s="417">
        <f>VLOOKUP($LS$8,'Jan-2026 rates'!$H:$I,2,0)</f>
        <v>0</v>
      </c>
      <c r="LU187" s="417">
        <f t="shared" si="144"/>
        <v>24.200000000000003</v>
      </c>
      <c r="LV187" s="417">
        <f>VLOOKUP($LU$8,'Jan-2026 rates'!$H:$I,2,0)</f>
        <v>0</v>
      </c>
      <c r="LW187" s="417">
        <f t="shared" si="145"/>
        <v>0</v>
      </c>
      <c r="LX187" s="417">
        <f t="shared" si="146"/>
        <v>0</v>
      </c>
      <c r="LY187" s="418">
        <f t="shared" si="147"/>
        <v>0</v>
      </c>
      <c r="LZ187" s="417"/>
      <c r="MA187" s="435">
        <f t="shared" si="148"/>
        <v>98.5</v>
      </c>
      <c r="MB187" s="282">
        <f t="shared" si="149"/>
        <v>221.49999999999997</v>
      </c>
      <c r="MC187" s="283" t="s">
        <v>2022</v>
      </c>
      <c r="MD187" s="284" t="str">
        <f t="shared" si="150"/>
        <v>ToyoLiToyoLiToyoLiToyoLiToyoLiToyoLiToyoLiHI-TECH INK</v>
      </c>
      <c r="ME187" s="293" t="str">
        <f t="shared" si="151"/>
        <v>+</v>
      </c>
      <c r="MF187" s="293" t="str">
        <f t="shared" si="152"/>
        <v>+</v>
      </c>
      <c r="MG187" s="293" t="str">
        <f t="shared" si="153"/>
        <v>+</v>
      </c>
      <c r="MH187" s="293" t="str">
        <f t="shared" si="154"/>
        <v>+</v>
      </c>
      <c r="MI187" s="293" t="str">
        <f t="shared" si="155"/>
        <v>+</v>
      </c>
      <c r="MJ187" s="293" t="str">
        <f t="shared" si="156"/>
        <v>+</v>
      </c>
      <c r="MK187" s="293" t="str">
        <f t="shared" si="157"/>
        <v>+</v>
      </c>
      <c r="ML187" s="293" t="str">
        <f t="shared" si="158"/>
        <v>+</v>
      </c>
      <c r="MM187" s="3" t="b">
        <f t="array" ref="MM187">OR(ME187:ML187="-")</f>
        <v>0</v>
      </c>
      <c r="MN187" s="285"/>
      <c r="MO187" s="401"/>
      <c r="MP187" s="286"/>
      <c r="MQ187" s="286"/>
      <c r="MR187" s="402"/>
      <c r="MS187" s="400"/>
      <c r="NH187" s="422"/>
      <c r="NJ187" s="421"/>
    </row>
    <row r="188" spans="1:374" s="1" customFormat="1" ht="16.5">
      <c r="A188" s="403">
        <v>46036</v>
      </c>
      <c r="B188" s="404" t="s">
        <v>1015</v>
      </c>
      <c r="C188" s="405" t="s">
        <v>3675</v>
      </c>
      <c r="D188" s="406" t="s">
        <v>2023</v>
      </c>
      <c r="E188" s="404">
        <v>89</v>
      </c>
      <c r="F188" s="407">
        <v>5800</v>
      </c>
      <c r="G188" s="407" t="s">
        <v>1016</v>
      </c>
      <c r="H188" s="408" t="s">
        <v>1017</v>
      </c>
      <c r="I188" s="409">
        <v>0.56000000000000005</v>
      </c>
      <c r="J188" s="405" t="s">
        <v>543</v>
      </c>
      <c r="K188" s="404" t="s">
        <v>3676</v>
      </c>
      <c r="L188" s="419" t="str">
        <f t="shared" si="131"/>
        <v>ToyoLi - BLACK</v>
      </c>
      <c r="M188" s="404">
        <v>25</v>
      </c>
      <c r="N188" s="410">
        <f>IF(M188=0,0,IF($LB188=70%,VLOOKUP($L188,'Jan-2026 rates'!$L:$R,4,0),IF($LB188=65%,VLOOKUP($L188,'Jan-2026 rates'!$L:$R,4,0),IF($LB188=40%,VLOOKUP($L188,'Jan-2026 rates'!$L:$R,5,0),IF($LB188=30%,VLOOKUP($L188,'Jan-2026 rates'!$L:$R,6,0),IF($LB188=100%,VLOOKUP($L188,'Jan-2026 rates'!$L:$R,7,0),IF($LB188=60%,VLOOKUP($L188,'Jan-2026 rates'!$L:$S,8,0),IF($LB188=80%,VLOOKUP($L188,'Jan-2026 rates'!L:T,9,0),0))))))))</f>
        <v>0</v>
      </c>
      <c r="O188" s="406"/>
      <c r="P188" s="404"/>
      <c r="Q188" s="410">
        <f>IF(P188=0,0,IF($LB188=70%,VLOOKUP($L188,'Jan-2026 rates'!$L:$R,4,0),IF($LB188=65%,VLOOKUP($L188,'Jan-2026 rates'!$L:$R,4,0),IF($LB188=40%,VLOOKUP($L188,'Jan-2026 rates'!$L:$R,5,0),IF($LB188=30%,VLOOKUP($L188,'Jan-2026 rates'!$L:$R,6,0),IF($LB188=100%,VLOOKUP($L188,'Jan-2026 rates'!$L:$R,7,0),IF($LB188=60%,VLOOKUP($L188,'Jan-2026 rates'!$L:$S,8,0),IF($LB188=80%,VLOOKUP($L188,'Jan-2026 rates'!L:T,9,0),0))))))))</f>
        <v>0</v>
      </c>
      <c r="R188" s="406" t="s">
        <v>1252</v>
      </c>
      <c r="S188" s="406"/>
      <c r="T188" s="406"/>
      <c r="U188" s="406"/>
      <c r="V188" s="406"/>
      <c r="W188" s="406"/>
      <c r="X188" s="406"/>
      <c r="Y188" s="406"/>
      <c r="Z188" s="404">
        <v>10</v>
      </c>
      <c r="AA188" s="398">
        <f>IF(Z188=0,0,IF(LEN(R188)=11,_xlfn.XLOOKUP(R188,'Dispensed Ink Rates'!C:C,'Dispensed Ink Rates'!CS:CS),VLOOKUP(R188,'Jan-2026 rates'!$E:$F,2,0)))</f>
        <v>0</v>
      </c>
      <c r="AB188" s="404"/>
      <c r="AC188" s="398">
        <f>IF(AB188=0,0,IF(LEN(S188)=11,_xlfn.XLOOKUP(S188,'Dispensed Ink Rates'!C:C,'Dispensed Ink Rates'!CS:CS),VLOOKUP(S188,'Jan-2026 rates'!$E:$F,2,0)))</f>
        <v>0</v>
      </c>
      <c r="AD188" s="404"/>
      <c r="AE188" s="398">
        <f>IF(AD188=0,0,IF(LEN(T188)=11,_xlfn.XLOOKUP(T188,'Dispensed Ink Rates'!C:C,'Dispensed Ink Rates'!CS:CS),VLOOKUP(T188,'Jan-2026 rates'!$E:$F,2,0)))</f>
        <v>0</v>
      </c>
      <c r="AF188" s="404"/>
      <c r="AG188" s="398">
        <f>IF(AF188=0,0,IF(LEN(U188)=11,_xlfn.XLOOKUP(U188,'Dispensed Ink Rates'!C:C,'Dispensed Ink Rates'!CS:CS),VLOOKUP(U188,'Jan-2026 rates'!$E:$F,2,0)))</f>
        <v>0</v>
      </c>
      <c r="AH188" s="404"/>
      <c r="AI188" s="398">
        <f>IF(AH188=0,0,IF(LEN(V188)=11,_xlfn.XLOOKUP(V188,'Dispensed Ink Rates'!C:C,'Dispensed Ink Rates'!CS:CS),VLOOKUP(V188,'Jan-2026 rates'!$E:$F,2,0)))</f>
        <v>0</v>
      </c>
      <c r="AJ188" s="404"/>
      <c r="AK188" s="398">
        <f>IF(AJ188=0,0,IF(LEN(W188)=11,_xlfn.XLOOKUP(W188,'Dispensed Ink Rates'!C:C,'Dispensed Ink Rates'!CS:CS),VLOOKUP(W188,'Jan-2026 rates'!$E:$F,2,0)))</f>
        <v>0</v>
      </c>
      <c r="AL188" s="404"/>
      <c r="AM188" s="398">
        <f>IF(AL188=0,0,IF(LEN(X188)=11,_xlfn.XLOOKUP(X188,'Dispensed Ink Rates'!C:C,'Dispensed Ink Rates'!CS:CS),VLOOKUP(X188,'Jan-2026 rates'!$E:$F,2,0)))</f>
        <v>0</v>
      </c>
      <c r="AN188" s="404"/>
      <c r="AO188" s="398">
        <f>IF(AN188=0,0,IF(LEN(Y188)=11,_xlfn.XLOOKUP(Y188,'Dispensed Ink Rates'!C:C,'Dispensed Ink Rates'!CS:CS),VLOOKUP(Y188,'Jan-2026 rates'!$E:$F,2,0)))</f>
        <v>0</v>
      </c>
      <c r="AP188" s="409" t="s">
        <v>1881</v>
      </c>
      <c r="AQ188" s="409">
        <v>30</v>
      </c>
      <c r="AR188" s="410">
        <f t="shared" si="106"/>
        <v>0</v>
      </c>
      <c r="AS188" s="411">
        <f t="shared" si="107"/>
        <v>9.235294117647058</v>
      </c>
      <c r="AT188" s="410">
        <f t="shared" si="108"/>
        <v>0</v>
      </c>
      <c r="AU188" s="405" t="s">
        <v>857</v>
      </c>
      <c r="AV188" s="409"/>
      <c r="AW188" s="420" t="str">
        <f t="shared" si="130"/>
        <v>ToyoLi - RED</v>
      </c>
      <c r="AX188" s="409"/>
      <c r="AY188" s="411">
        <f>IF(AX188=0,0,IF($LB188=70%,VLOOKUP($AW188,'Jan-2026 rates'!$L:$R,4,0),IF($LB188=65%,VLOOKUP($AW188,'Jan-2026 rates'!$L:$R,4,0),IF($LB188=40%,VLOOKUP($AW188,'Jan-2026 rates'!$L:$R,5,0),IF($LB188=30%,VLOOKUP($AW188,'Jan-2026 rates'!$L:$R,6,0),IF($LB188=100%,VLOOKUP($AW188,'Jan-2026 rates'!$L:$R,7,0),IF($LB188=60%,VLOOKUP($AW188,'Jan-2026 rates'!$L:$S,8,0),IF($LB188=80%,VLOOKUP($AW188,'Jan-2026 rates'!L:T,9,0),0))))))))</f>
        <v>0</v>
      </c>
      <c r="AZ188" s="412"/>
      <c r="BA188" s="409"/>
      <c r="BB188" s="411">
        <f>IF(BA188=0,0,IF($LB188=70%,VLOOKUP($AW188,'Jan-2026 rates'!$L:$R,4,0),IF($LB188=65%,VLOOKUP($AW188,'Jan-2026 rates'!$L:$R,4,0),IF($LB188=40%,VLOOKUP($AW188,'Jan-2026 rates'!$L:$R,5,0),IF($LB188=30%,VLOOKUP($AW188,'Jan-2026 rates'!$L:$R,6,0),IF($LB188=100%,VLOOKUP($AW188,'Jan-2026 rates'!$L:$R,7,0),IF($LB188=60%,VLOOKUP($AW188,'Jan-2026 rates'!$L:$S,8,0),IF($LB188=80%,VLOOKUP($AW188,'Jan-2026 rates'!L:T,9,0),0))))))))</f>
        <v>0</v>
      </c>
      <c r="BC188" s="413" t="s">
        <v>1248</v>
      </c>
      <c r="BD188" s="412" t="s">
        <v>1246</v>
      </c>
      <c r="BE188" s="412"/>
      <c r="BF188" s="413"/>
      <c r="BG188" s="412"/>
      <c r="BH188" s="412"/>
      <c r="BI188" s="412"/>
      <c r="BJ188" s="412"/>
      <c r="BK188" s="409">
        <v>5</v>
      </c>
      <c r="BL188" s="398">
        <f>IF(BK188=0,0,IF(LEN(BC188)=11,_xlfn.XLOOKUP(BC188,'Dispensed Ink Rates'!C:C,'Dispensed Ink Rates'!CS:CS),VLOOKUP(BC188,'Jan-2026 rates'!$E:$F,2,0)))</f>
        <v>0</v>
      </c>
      <c r="BM188" s="409">
        <f>8+5</f>
        <v>13</v>
      </c>
      <c r="BN188" s="398">
        <f>IF(BM188=0,0,IF(LEN(BD188)=11,_xlfn.XLOOKUP(BD188,'Dispensed Ink Rates'!C:C,'Dispensed Ink Rates'!CS:CS),VLOOKUP(BD188,'Jan-2026 rates'!$E:$F,2,0)))</f>
        <v>0</v>
      </c>
      <c r="BO188" s="409"/>
      <c r="BP188" s="398">
        <f>IF(BO188=0,0,IF(LEN(BE188)=11,_xlfn.XLOOKUP(BE188,'Dispensed Ink Rates'!C:C,'Dispensed Ink Rates'!CS:CS),VLOOKUP(BE188,'Jan-2026 rates'!$E:$F,2,0)))</f>
        <v>0</v>
      </c>
      <c r="BQ188" s="409"/>
      <c r="BR188" s="398">
        <f>IF(BQ188=0,0,IF(LEN(BF188)=11,_xlfn.XLOOKUP(BF188,'Dispensed Ink Rates'!C:C,'Dispensed Ink Rates'!CS:CS),VLOOKUP(BF188,'Jan-2026 rates'!$E:$F,2,0)))</f>
        <v>0</v>
      </c>
      <c r="BS188" s="409"/>
      <c r="BT188" s="398">
        <f>IF(BS188=0,0,IF(LEN(BG188)=11,_xlfn.XLOOKUP(BG188,'Dispensed Ink Rates'!C:C,'Dispensed Ink Rates'!CS:CS),VLOOKUP(BG188,'Jan-2026 rates'!$E:$F,2,0)))</f>
        <v>0</v>
      </c>
      <c r="BU188" s="409"/>
      <c r="BV188" s="398">
        <f>IF(BU188=0,0,IF(LEN(BH188)=11,_xlfn.XLOOKUP(BH188,'Dispensed Ink Rates'!C:C,'Dispensed Ink Rates'!CS:CS),VLOOKUP(BH188,'Jan-2026 rates'!$E:$F,2,0)))</f>
        <v>0</v>
      </c>
      <c r="BW188" s="409"/>
      <c r="BX188" s="398">
        <f>IF(BW188=0,0,IF(LEN(BI188)=11,_xlfn.XLOOKUP(BI188,'Dispensed Ink Rates'!C:C,'Dispensed Ink Rates'!CS:CS),VLOOKUP(BI188,'Jan-2026 rates'!$E:$F,2,0)))</f>
        <v>0</v>
      </c>
      <c r="BY188" s="409"/>
      <c r="BZ188" s="398">
        <f>IF(BY188=0,0,IF(LEN(BJ188)=11,_xlfn.XLOOKUP(BJ188,'Dispensed Ink Rates'!C:C,'Dispensed Ink Rates'!CS:CS),VLOOKUP(BJ188,'Jan-2026 rates'!$E:$F,2,0)))</f>
        <v>0</v>
      </c>
      <c r="CA188" s="409" t="s">
        <v>1881</v>
      </c>
      <c r="CB188" s="409">
        <v>20</v>
      </c>
      <c r="CC188" s="411">
        <f t="shared" si="109"/>
        <v>0</v>
      </c>
      <c r="CD188" s="411">
        <f t="shared" si="110"/>
        <v>19.17647058823529</v>
      </c>
      <c r="CE188" s="410">
        <f t="shared" si="111"/>
        <v>0</v>
      </c>
      <c r="CF188" s="404" t="s">
        <v>545</v>
      </c>
      <c r="CG188" s="409" t="s">
        <v>3677</v>
      </c>
      <c r="CH188" s="420" t="str">
        <f t="shared" si="132"/>
        <v>ToyoLi - YELLOW</v>
      </c>
      <c r="CI188" s="409">
        <v>25</v>
      </c>
      <c r="CJ188" s="411">
        <f>IF(CI188=0,0,IF($LB188=70%,VLOOKUP($CH188,'Jan-2026 rates'!$L:$R,4,0),IF($LB188=65%,VLOOKUP($CH188,'Jan-2026 rates'!$L:$R,4,0),IF($LB188=40%,VLOOKUP($CH188,'Jan-2026 rates'!$L:$R,5,0),IF($LB188=30%,VLOOKUP($CH188,'Jan-2026 rates'!$L:$R,6,0),IF($LB188=100%,VLOOKUP($CH188,'Jan-2026 rates'!$L:$R,7,0),IF($LB188=60%,VLOOKUP($CH188,'Jan-2026 rates'!$L:$S,8,0),IF($LB188=80%,VLOOKUP($CH188,'Jan-2026 rates'!L:T,9,0),0))))))))</f>
        <v>0</v>
      </c>
      <c r="CK188" s="412"/>
      <c r="CL188" s="409"/>
      <c r="CM188" s="411">
        <f>IF(CL188=0,0,IF($LB188=70%,VLOOKUP($CH188,'Jan-2026 rates'!$L:$R,4,0),IF($LB188=65%,VLOOKUP($CH188,'Jan-2026 rates'!$L:$R,4,0),IF($LB188=40%,VLOOKUP($CH188,'Jan-2026 rates'!$L:$R,5,0),IF($LB188=30%,VLOOKUP($CH188,'Jan-2026 rates'!$L:$R,6,0),IF($LB188=100%,VLOOKUP($CH188,'Jan-2026 rates'!$L:$R,7,0),IF($LB188=60%,VLOOKUP($CH188,'Jan-2026 rates'!$L:$S,8,0),IF($LB188=80%,VLOOKUP($CH188,'Jan-2026 rates'!L:T,9,0),0))))))))</f>
        <v>0</v>
      </c>
      <c r="CN188" s="426" t="s">
        <v>1247</v>
      </c>
      <c r="CO188" s="427"/>
      <c r="CP188" s="426"/>
      <c r="CQ188" s="426"/>
      <c r="CR188" s="428"/>
      <c r="CS188" s="428"/>
      <c r="CT188" s="428"/>
      <c r="CU188" s="428"/>
      <c r="CV188" s="409">
        <f>5+10</f>
        <v>15</v>
      </c>
      <c r="CW188" s="398">
        <f>IF(CV188=0,0,IF(LEN(CN188)=11,_xlfn.XLOOKUP(CN188,'Dispensed Ink Rates'!C:C,'Dispensed Ink Rates'!CS:CS),VLOOKUP(CN188,'Jan-2026 rates'!$E:$F,2,0)))</f>
        <v>0</v>
      </c>
      <c r="CX188" s="409"/>
      <c r="CY188" s="398">
        <f>IF(CX188=0,0,IF(LEN(CO188)=11,_xlfn.XLOOKUP(CO188,'Dispensed Ink Rates'!C:C,'Dispensed Ink Rates'!CS:CS),VLOOKUP(CO188,'Jan-2026 rates'!$E:$F,2,0)))</f>
        <v>0</v>
      </c>
      <c r="CZ188" s="409"/>
      <c r="DA188" s="398">
        <f>IF(CZ188=0,0,IF(LEN(CP188)=11,_xlfn.XLOOKUP(CP188,'Dispensed Ink Rates'!C:C,'Dispensed Ink Rates'!CS:CS),VLOOKUP(CP188,'Jan-2026 rates'!$E:$F,2,0)))</f>
        <v>0</v>
      </c>
      <c r="DB188" s="409"/>
      <c r="DC188" s="398">
        <f>IF(DB188=0,0,IF(LEN(CQ188)=11,_xlfn.XLOOKUP(CQ188,'Dispensed Ink Rates'!C:C,'Dispensed Ink Rates'!CS:CS),VLOOKUP(CQ188,'Jan-2026 rates'!$E:$F,2,0)))</f>
        <v>0</v>
      </c>
      <c r="DD188" s="409"/>
      <c r="DE188" s="398">
        <f>IF(DD188=0,0,IF(LEN(CR188)=11,_xlfn.XLOOKUP(CR188,'Dispensed Ink Rates'!C:C,'Dispensed Ink Rates'!CS:CS),VLOOKUP(CR188,'Jan-2026 rates'!$E:$F,2,0)))</f>
        <v>0</v>
      </c>
      <c r="DF188" s="409"/>
      <c r="DG188" s="398">
        <f>IF(DF188=0,0,IF(LEN(CS188)=11,_xlfn.XLOOKUP(CS188,'Dispensed Ink Rates'!C:C,'Dispensed Ink Rates'!CS:CS),VLOOKUP(CS188,'Jan-2026 rates'!$E:$F,2,0)))</f>
        <v>0</v>
      </c>
      <c r="DH188" s="409"/>
      <c r="DI188" s="398">
        <f>IF(DH188=0,0,IF(LEN(CT188)=11,_xlfn.XLOOKUP(CT188,'Dispensed Ink Rates'!C:C,'Dispensed Ink Rates'!CS:CS),VLOOKUP(CT188,'Jan-2026 rates'!$E:$F,2,0)))</f>
        <v>0</v>
      </c>
      <c r="DJ188" s="409"/>
      <c r="DK188" s="398">
        <f>IF(DJ188=0,0,IF(LEN(CU188)=11,_xlfn.XLOOKUP(CU188,'Dispensed Ink Rates'!C:C,'Dispensed Ink Rates'!CS:CS),VLOOKUP(CU188,'Jan-2026 rates'!$E:$F,2,0)))</f>
        <v>0</v>
      </c>
      <c r="DL188" s="409" t="s">
        <v>1881</v>
      </c>
      <c r="DM188" s="409">
        <v>25</v>
      </c>
      <c r="DN188" s="411">
        <f t="shared" si="112"/>
        <v>0</v>
      </c>
      <c r="DO188" s="411">
        <f t="shared" si="113"/>
        <v>25.588235294117645</v>
      </c>
      <c r="DP188" s="410">
        <f t="shared" si="114"/>
        <v>0</v>
      </c>
      <c r="DQ188" s="405"/>
      <c r="DR188" s="409"/>
      <c r="DS188" s="420" t="str">
        <f t="shared" si="133"/>
        <v xml:space="preserve"> - </v>
      </c>
      <c r="DT188" s="409"/>
      <c r="DU188" s="411">
        <f>IF(DT188=0,0,IF($LB188=70%,VLOOKUP($DS188,'Jan-2026 rates'!$L:$R,4,0),IF($LB188=65%,VLOOKUP($DS188,'Jan-2026 rates'!$L:$R,4,0),IF($LB188=40%,VLOOKUP($DS188,'Jan-2026 rates'!$L:$R,5,0),IF($LB188=30%,VLOOKUP($DS188,'Jan-2026 rates'!$L:$R,6,0),IF($LB188=100%,VLOOKUP($DS188,'Jan-2026 rates'!$L:$R,7,0),IF($LB188=60%,VLOOKUP($DS188,'Jan-2026 rates'!$L:$S,8,0),IF($LB188=80%,VLOOKUP($DS188,'Jan-2026 rates'!L:T,9,0),0))))))))</f>
        <v>0</v>
      </c>
      <c r="DV188" s="412"/>
      <c r="DW188" s="409"/>
      <c r="DX188" s="411">
        <f>IF(DW188=0,0,IF($LB188=70%,VLOOKUP($DS188,'Jan-2026 rates'!$L:$R,4,0),IF($LB188=65%,VLOOKUP($DS188,'Jan-2026 rates'!$L:$R,4,0),IF($LB188=40%,VLOOKUP($DS188,'Jan-2026 rates'!$L:$R,5,0),IF($LB188=30%,VLOOKUP($DS188,'Jan-2026 rates'!$L:$R,6,0),IF($LB188=100%,VLOOKUP($DS188,'Jan-2026 rates'!$L:$R,7,0),IF($LB188=60%,VLOOKUP($DS188,'Jan-2026 rates'!$L:$S,8,0),IF($LB188=80%,VLOOKUP($DS188,'Jan-2026 rates'!L:T,9,0),0))))))))</f>
        <v>0</v>
      </c>
      <c r="DY188" s="413"/>
      <c r="DZ188" s="413"/>
      <c r="EA188" s="412"/>
      <c r="EB188" s="412"/>
      <c r="EC188" s="412"/>
      <c r="ED188" s="412"/>
      <c r="EE188" s="412"/>
      <c r="EF188" s="412"/>
      <c r="EG188" s="409"/>
      <c r="EH188" s="398">
        <f>IF(EG188=0,0,IF(LEN(DY188)=11,_xlfn.XLOOKUP(DY188,'Dispensed Ink Rates'!C:C,'Dispensed Ink Rates'!CS:CS),VLOOKUP(DY188,'Jan-2026 rates'!$E:$F,2,0)))</f>
        <v>0</v>
      </c>
      <c r="EI188" s="409"/>
      <c r="EJ188" s="398">
        <f>IF(EI188=0,0,IF(LEN(DZ188)=11,_xlfn.XLOOKUP(DZ188,'Dispensed Ink Rates'!C:C,'Dispensed Ink Rates'!CS:CS),VLOOKUP(DZ188,'Jan-2026 rates'!$E:$F,2,0)))</f>
        <v>0</v>
      </c>
      <c r="EK188" s="409"/>
      <c r="EL188" s="398">
        <f>IF(EK188=0,0,IF(LEN(EA188)=11,_xlfn.XLOOKUP(EA188,'Dispensed Ink Rates'!C:C,'Dispensed Ink Rates'!CS:CS),VLOOKUP(EA188,'Jan-2026 rates'!$E:$F,2,0)))</f>
        <v>0</v>
      </c>
      <c r="EM188" s="409"/>
      <c r="EN188" s="398">
        <f>IF(EM188=0,0,IF(LEN(EB188)=11,_xlfn.XLOOKUP(EB188,'Dispensed Ink Rates'!C:C,'Dispensed Ink Rates'!CS:CS),VLOOKUP(EB188,'Jan-2026 rates'!$E:$F,2,0)))</f>
        <v>0</v>
      </c>
      <c r="EO188" s="409"/>
      <c r="EP188" s="398">
        <f>IF(EO188=0,0,IF(LEN(EC188)=11,_xlfn.XLOOKUP(EC188,'Dispensed Ink Rates'!C:C,'Dispensed Ink Rates'!CS:CS),VLOOKUP(EC188,'Jan-2026 rates'!$E:$F,2,0)))</f>
        <v>0</v>
      </c>
      <c r="EQ188" s="409"/>
      <c r="ER188" s="398">
        <f>IF(EQ188=0,0,IF(LEN(ED188)=11,_xlfn.XLOOKUP(ED188,'Dispensed Ink Rates'!C:C,'Dispensed Ink Rates'!CS:CS),VLOOKUP(ED188,'Jan-2026 rates'!$E:$F,2,0)))</f>
        <v>0</v>
      </c>
      <c r="ES188" s="409"/>
      <c r="ET188" s="398">
        <f>IF(ES188=0,0,IF(LEN(EE188)=11,_xlfn.XLOOKUP(EE188,'Dispensed Ink Rates'!C:C,'Dispensed Ink Rates'!CS:CS),VLOOKUP(EE188,'Jan-2026 rates'!$E:$F,2,0)))</f>
        <v>0</v>
      </c>
      <c r="EU188" s="409"/>
      <c r="EV188" s="398">
        <f>IF(EU188=0,0,IF(LEN(EF188)=11,_xlfn.XLOOKUP(EF188,'Dispensed Ink Rates'!C:C,'Dispensed Ink Rates'!CS:CS),VLOOKUP(EF188,'Jan-2026 rates'!$E:$F,2,0)))</f>
        <v>0</v>
      </c>
      <c r="EW188" s="409"/>
      <c r="EX188" s="409"/>
      <c r="EY188" s="411">
        <f t="shared" si="115"/>
        <v>0</v>
      </c>
      <c r="EZ188" s="411">
        <f t="shared" si="116"/>
        <v>0</v>
      </c>
      <c r="FA188" s="410">
        <f t="shared" si="117"/>
        <v>0</v>
      </c>
      <c r="FB188" s="405"/>
      <c r="FC188" s="409"/>
      <c r="FD188" s="420" t="str">
        <f t="shared" si="134"/>
        <v xml:space="preserve"> - </v>
      </c>
      <c r="FE188" s="409"/>
      <c r="FF188" s="411">
        <f>IF(FE188=0,0,IF($LB188=70%,VLOOKUP($FD188,'Jan-2026 rates'!$L:$R,4,0),IF($LB188=65%,VLOOKUP($FD188,'Jan-2026 rates'!$L:$R,4,0),IF($LB188=40%,VLOOKUP($FD188,'Jan-2026 rates'!$L:$R,5,0),IF($LB188=30%,VLOOKUP($FD188,'Jan-2026 rates'!$L:$R,6,0),IF($LB188=100%,VLOOKUP($FD188,'Jan-2026 rates'!$L:$R,7,0),IF($LB188=60%,VLOOKUP($FD188,'Jan-2026 rates'!$L:$S,8,0),IF($LB188=80%,VLOOKUP($FD188,'Jan-2026 rates'!L:T,9,0),0))))))))</f>
        <v>0</v>
      </c>
      <c r="FG188" s="412"/>
      <c r="FH188" s="409"/>
      <c r="FI188" s="411">
        <f>IF(FH188=0,0,IF($LB188=70%,VLOOKUP($FD188,'Jan-2026 rates'!$L:$R,4,0),IF($LB188=65%,VLOOKUP($FD188,'Jan-2026 rates'!$L:$R,4,0),IF($LB188=40%,VLOOKUP($FD188,'Jan-2026 rates'!$L:$R,5,0),IF($LB188=30%,VLOOKUP($FD188,'Jan-2026 rates'!$L:$R,6,0),IF($LB188=100%,VLOOKUP($FD188,'Jan-2026 rates'!$L:$R,7,0),IF($LB188=60%,VLOOKUP($FD188,'Jan-2026 rates'!$L:$S,8,0),IF($LB188=80%,VLOOKUP($FD188,'Jan-2026 rates'!L:T,9,0),0))))))))</f>
        <v>0</v>
      </c>
      <c r="FJ188" s="413"/>
      <c r="FK188" s="413"/>
      <c r="FL188" s="413"/>
      <c r="FM188" s="412"/>
      <c r="FN188" s="412"/>
      <c r="FO188" s="412"/>
      <c r="FP188" s="412"/>
      <c r="FQ188" s="412"/>
      <c r="FR188" s="409"/>
      <c r="FS188" s="398">
        <f>IF(FR188=0,0,IF(LEN(FJ188)=11,_xlfn.XLOOKUP(FJ188,'Dispensed Ink Rates'!C:C,'Dispensed Ink Rates'!CS:CS),VLOOKUP(FJ188,'Jan-2026 rates'!$E:$F,2,0)))</f>
        <v>0</v>
      </c>
      <c r="FT188" s="409"/>
      <c r="FU188" s="398">
        <f>IF(FT188=0,0,IF(LEN(FK188)=11,_xlfn.XLOOKUP(FK188,'Dispensed Ink Rates'!C:C,'Dispensed Ink Rates'!CS:CS),VLOOKUP(FK188,'Jan-2026 rates'!$E:$F,2,0)))</f>
        <v>0</v>
      </c>
      <c r="FV188" s="409"/>
      <c r="FW188" s="398">
        <f>IF(FV188=0,0,IF(LEN(FL188)=11,_xlfn.XLOOKUP(FL188,'Dispensed Ink Rates'!C:C,'Dispensed Ink Rates'!CS:CS),VLOOKUP(FL188,'Jan-2026 rates'!$E:$F,2,0)))</f>
        <v>0</v>
      </c>
      <c r="FX188" s="409"/>
      <c r="FY188" s="398">
        <f>IF(FX188=0,0,IF(LEN(FM188)=11,_xlfn.XLOOKUP(FM188,'Dispensed Ink Rates'!C:C,'Dispensed Ink Rates'!CS:CS),VLOOKUP(FM188,'Jan-2026 rates'!$E:$F,2,0)))</f>
        <v>0</v>
      </c>
      <c r="FZ188" s="409"/>
      <c r="GA188" s="398">
        <f>IF(FZ188=0,0,IF(LEN(FN188)=11,_xlfn.XLOOKUP(FN188,'Dispensed Ink Rates'!C:C,'Dispensed Ink Rates'!CS:CS),VLOOKUP(FN188,'Jan-2026 rates'!$E:$F,2,0)))</f>
        <v>0</v>
      </c>
      <c r="GB188" s="409"/>
      <c r="GC188" s="398">
        <f>IF(GB188=0,0,IF(LEN(FO188)=11,_xlfn.XLOOKUP(FO188,'Dispensed Ink Rates'!C:C,'Dispensed Ink Rates'!CS:CS),VLOOKUP(FO188,'Jan-2026 rates'!$E:$F,2,0)))</f>
        <v>0</v>
      </c>
      <c r="GD188" s="409"/>
      <c r="GE188" s="398">
        <f>IF(GD188=0,0,IF(LEN(FP188)=11,_xlfn.XLOOKUP(FP188,'Dispensed Ink Rates'!C:C,'Dispensed Ink Rates'!CS:CS),VLOOKUP(FP188,'Jan-2026 rates'!$E:$F,2,0)))</f>
        <v>0</v>
      </c>
      <c r="GF188" s="409"/>
      <c r="GG188" s="398">
        <f>IF(GF188=0,0,IF(LEN(FQ188)=11,_xlfn.XLOOKUP(FQ188,'Dispensed Ink Rates'!C:C,'Dispensed Ink Rates'!CS:CS),VLOOKUP(FQ188,'Jan-2026 rates'!$E:$F,2,0)))</f>
        <v>0</v>
      </c>
      <c r="GH188" s="409"/>
      <c r="GI188" s="409"/>
      <c r="GJ188" s="411">
        <f t="shared" si="118"/>
        <v>0</v>
      </c>
      <c r="GK188" s="411">
        <f t="shared" si="119"/>
        <v>0</v>
      </c>
      <c r="GL188" s="410">
        <f t="shared" si="120"/>
        <v>0</v>
      </c>
      <c r="GM188" s="405"/>
      <c r="GN188" s="409"/>
      <c r="GO188" s="420" t="str">
        <f t="shared" si="135"/>
        <v xml:space="preserve"> - </v>
      </c>
      <c r="GP188" s="409"/>
      <c r="GQ188" s="411">
        <f>IF(GP188=0,0,IF($LB188=70%,VLOOKUP($GO188,'Jan-2026 rates'!$L:$R,4,0),IF($LB188=65%,VLOOKUP($GO188,'Jan-2026 rates'!$L:$R,4,0),IF($LB188=40%,VLOOKUP($GO188,'Jan-2026 rates'!$L:$R,5,0),IF($LB188=30%,VLOOKUP($GO188,'Jan-2026 rates'!$L:$R,6,0),IF($LB188=100%,VLOOKUP($GO188,'Jan-2026 rates'!$L:$R,7,0),IF($LB188=60%,VLOOKUP($GO188,'Jan-2026 rates'!$L:$S,8,0),IF($LB188=80%,VLOOKUP($GO188,'Jan-2026 rates'!L:T,9,0),0))))))))</f>
        <v>0</v>
      </c>
      <c r="GR188" s="412"/>
      <c r="GS188" s="409"/>
      <c r="GT188" s="411">
        <f>IF(GS188=0,0,IF($LB188=70%,VLOOKUP($GO188,'Jan-2026 rates'!$L:$R,4,0),IF($LB188=65%,VLOOKUP($GO188,'Jan-2026 rates'!$L:$R,4,0),IF($LB188=40%,VLOOKUP($GO188,'Jan-2026 rates'!$L:$R,5,0),IF($LB188=30%,VLOOKUP($GO188,'Jan-2026 rates'!$L:$R,6,0),IF($LB188=100%,VLOOKUP($GO188,'Jan-2026 rates'!$L:$R,7,0),IF($LB188=60%,VLOOKUP($GO188,'Jan-2026 rates'!$L:$S,8,0),IF($LB188=80%,VLOOKUP($GO188,'Jan-2026 rates'!L:T,9,0),0))))))))</f>
        <v>0</v>
      </c>
      <c r="GU188" s="413"/>
      <c r="GV188" s="413"/>
      <c r="GW188" s="412"/>
      <c r="GX188" s="412"/>
      <c r="GY188" s="412"/>
      <c r="GZ188" s="412"/>
      <c r="HA188" s="412"/>
      <c r="HB188" s="412"/>
      <c r="HC188" s="409"/>
      <c r="HD188" s="398">
        <f>IF(HC188=0,0,IF(LEN(GU188)=11,_xlfn.XLOOKUP(GU188,'Dispensed Ink Rates'!C:C,'Dispensed Ink Rates'!CS:CS),VLOOKUP(GU188,'Jan-2026 rates'!$E:$F,2,0)))</f>
        <v>0</v>
      </c>
      <c r="HE188" s="409"/>
      <c r="HF188" s="398">
        <f>IF(HE188=0,0,IF(LEN(GV188)=11,_xlfn.XLOOKUP(GV188,'Dispensed Ink Rates'!C:C,'Dispensed Ink Rates'!CS:CS),VLOOKUP(GV188,'Jan-2026 rates'!$E:$F,2,0)))</f>
        <v>0</v>
      </c>
      <c r="HG188" s="409"/>
      <c r="HH188" s="398">
        <f>IF(HG188=0,0,IF(LEN(GW188)=11,_xlfn.XLOOKUP(GW188,'Dispensed Ink Rates'!C:C,'Dispensed Ink Rates'!CS:CS),VLOOKUP(GW188,'Jan-2026 rates'!$E:$F,2,0)))</f>
        <v>0</v>
      </c>
      <c r="HI188" s="409"/>
      <c r="HJ188" s="398">
        <f>IF(HI188=0,0,IF(LEN(GX188)=11,_xlfn.XLOOKUP(GX188,'Dispensed Ink Rates'!C:C,'Dispensed Ink Rates'!CS:CS),VLOOKUP(GX188,'Jan-2026 rates'!$E:$F,2,0)))</f>
        <v>0</v>
      </c>
      <c r="HK188" s="409"/>
      <c r="HL188" s="398">
        <f>IF(HK188=0,0,IF(LEN(GY188)=11,_xlfn.XLOOKUP(GY188,'Dispensed Ink Rates'!C:C,'Dispensed Ink Rates'!CS:CS),VLOOKUP(GY188,'Jan-2026 rates'!$E:$F,2,0)))</f>
        <v>0</v>
      </c>
      <c r="HM188" s="409"/>
      <c r="HN188" s="398">
        <f>IF(HM188=0,0,IF(LEN(GZ188)=11,_xlfn.XLOOKUP(GZ188,'Dispensed Ink Rates'!C:C,'Dispensed Ink Rates'!CS:CS),VLOOKUP(GZ188,'Jan-2026 rates'!$E:$F,2,0)))</f>
        <v>0</v>
      </c>
      <c r="HO188" s="409"/>
      <c r="HP188" s="398">
        <f>IF(HO188=0,0,IF(LEN(HA188)=11,_xlfn.XLOOKUP(HA188,'Dispensed Ink Rates'!C:C,'Dispensed Ink Rates'!CS:CS),VLOOKUP(HA188,'Jan-2026 rates'!$E:$F,2,0)))</f>
        <v>0</v>
      </c>
      <c r="HQ188" s="409"/>
      <c r="HR188" s="398">
        <f>IF(HQ188=0,0,IF(LEN(HB188)=11,_xlfn.XLOOKUP(HB188,'Dispensed Ink Rates'!C:C,'Dispensed Ink Rates'!CS:CS),VLOOKUP(HB188,'Jan-2026 rates'!$E:$F,2,0)))</f>
        <v>0</v>
      </c>
      <c r="HS188" s="409"/>
      <c r="HT188" s="409"/>
      <c r="HU188" s="411">
        <f t="shared" si="121"/>
        <v>0</v>
      </c>
      <c r="HV188" s="411">
        <f t="shared" si="122"/>
        <v>0</v>
      </c>
      <c r="HW188" s="414">
        <f t="shared" si="123"/>
        <v>0</v>
      </c>
      <c r="HX188" s="405"/>
      <c r="HY188" s="409"/>
      <c r="HZ188" s="420" t="str">
        <f t="shared" si="136"/>
        <v xml:space="preserve"> - </v>
      </c>
      <c r="IA188" s="409"/>
      <c r="IB188" s="411">
        <f>IF(IA188=0,0,IF($LB188=70%,VLOOKUP($HZ188,'Jan-2026 rates'!$L:$R,4,0),IF($LB188=65%,VLOOKUP($HZ188,'Jan-2026 rates'!$L:$R,4,0),IF($LB188=40%,VLOOKUP($HZ188,'Jan-2026 rates'!$L:$R,5,0),IF($LB188=30%,VLOOKUP($HZ188,'Jan-2026 rates'!$L:$R,6,0),IF($LB188=100%,VLOOKUP($HZ188,'Jan-2026 rates'!$L:$R,7,0),IF($LB188=60%,VLOOKUP($HZ188,'Jan-2026 rates'!$L:$S,8,0),IF($LB188=80%,VLOOKUP($HZ188,'Jan-2026 rates'!L:T,9,0),0))))))))</f>
        <v>0</v>
      </c>
      <c r="IC188" s="412"/>
      <c r="ID188" s="409"/>
      <c r="IE188" s="411">
        <f>IF(ID188=0,0,IF($LB188=70%,VLOOKUP($HZ188,'Jan-2026 rates'!$L:$R,4,0),IF($LB188=65%,VLOOKUP($HZ188,'Jan-2026 rates'!$L:$R,4,0),IF($LB188=40%,VLOOKUP($HZ188,'Jan-2026 rates'!$L:$R,5,0),IF($LB188=30%,VLOOKUP($HZ188,'Jan-2026 rates'!$L:$R,6,0),IF($LB188=100%,VLOOKUP($HZ188,'Jan-2026 rates'!$L:$R,7,0),IF($LB188=60%,VLOOKUP($HZ188,'Jan-2026 rates'!$L:$S,8,0),IF($LB188=80%,VLOOKUP($HZ188,'Jan-2026 rates'!L:T,9,0),0))))))))</f>
        <v>0</v>
      </c>
      <c r="IF188" s="412"/>
      <c r="IG188" s="413"/>
      <c r="IH188" s="412"/>
      <c r="II188" s="412"/>
      <c r="IJ188" s="412"/>
      <c r="IK188" s="412"/>
      <c r="IL188" s="412"/>
      <c r="IM188" s="412"/>
      <c r="IN188" s="409"/>
      <c r="IO188" s="398">
        <f>IF(IN188=0,0,IF(LEN(IF188)=11,_xlfn.XLOOKUP(IF188,'Dispensed Ink Rates'!C:C,'Dispensed Ink Rates'!CS:CS),VLOOKUP(IF188,'Jan-2026 rates'!$E:$F,2,0)))</f>
        <v>0</v>
      </c>
      <c r="IP188" s="409"/>
      <c r="IQ188" s="398">
        <f>IF(IP188=0,0,IF(LEN(IG188)=11,_xlfn.XLOOKUP(IG188,'Dispensed Ink Rates'!C:C,'Dispensed Ink Rates'!CS:CS),VLOOKUP(IG188,'Jan-2026 rates'!$E:$F,2,0)))</f>
        <v>0</v>
      </c>
      <c r="IR188" s="409"/>
      <c r="IS188" s="398">
        <f>IF(IR188=0,0,IF(LEN(IH188)=11,_xlfn.XLOOKUP(IH188,'Dispensed Ink Rates'!C:C,'Dispensed Ink Rates'!CS:CS),VLOOKUP(IH188,'Jan-2026 rates'!$E:$F,2,0)))</f>
        <v>0</v>
      </c>
      <c r="IT188" s="409"/>
      <c r="IU188" s="398">
        <f>IF(IT188=0,0,IF(LEN(II188)=11,_xlfn.XLOOKUP(II188,'Dispensed Ink Rates'!C:C,'Dispensed Ink Rates'!CS:CS),VLOOKUP(II188,'Jan-2026 rates'!$E:$F,2,0)))</f>
        <v>0</v>
      </c>
      <c r="IV188" s="409"/>
      <c r="IW188" s="398">
        <f>IF(IV188=0,0,IF(LEN(IJ188)=11,_xlfn.XLOOKUP(IJ188,'Dispensed Ink Rates'!C:C,'Dispensed Ink Rates'!CS:CS),VLOOKUP(IJ188,'Jan-2026 rates'!$E:$F,2,0)))</f>
        <v>0</v>
      </c>
      <c r="IX188" s="409"/>
      <c r="IY188" s="398">
        <f>IF(IX188=0,0,IF(LEN(IK188)=11,_xlfn.XLOOKUP(IK188,'Dispensed Ink Rates'!C:C,'Dispensed Ink Rates'!CS:CS),VLOOKUP(IK188,'Jan-2026 rates'!$E:$F,2,0)))</f>
        <v>0</v>
      </c>
      <c r="IZ188" s="409"/>
      <c r="JA188" s="398">
        <f>IF(IZ188=0,0,IF(LEN(IL188)=11,_xlfn.XLOOKUP(IL188,'Dispensed Ink Rates'!C:C,'Dispensed Ink Rates'!CS:CS),VLOOKUP(IL188,'Jan-2026 rates'!$E:$F,2,0)))</f>
        <v>0</v>
      </c>
      <c r="JB188" s="409"/>
      <c r="JC188" s="398">
        <f>IF(JB188=0,0,IF(LEN(IM188)=11,_xlfn.XLOOKUP(IM188,'Dispensed Ink Rates'!C:C,'Dispensed Ink Rates'!CS:CS),VLOOKUP(IM188,'Jan-2026 rates'!$E:$F,2,0)))</f>
        <v>0</v>
      </c>
      <c r="JD188" s="409"/>
      <c r="JE188" s="409"/>
      <c r="JF188" s="411">
        <f t="shared" si="124"/>
        <v>0</v>
      </c>
      <c r="JG188" s="411">
        <f t="shared" si="125"/>
        <v>0</v>
      </c>
      <c r="JH188" s="410">
        <f t="shared" si="126"/>
        <v>0</v>
      </c>
      <c r="JI188" s="405"/>
      <c r="JJ188" s="409"/>
      <c r="JK188" s="420" t="str">
        <f t="shared" si="137"/>
        <v xml:space="preserve"> - </v>
      </c>
      <c r="JL188" s="409"/>
      <c r="JM188" s="411">
        <f>IF(JL188=0,0,IF($LB188=70%,VLOOKUP($JK188,'Jan-2026 rates'!$L:$R,4,0),IF($LB188=65%,VLOOKUP($JK188,'Jan-2026 rates'!$L:$R,4,0),IF($LB188=40%,VLOOKUP($JK188,'Jan-2026 rates'!$L:$R,5,0),IF($LB188=30%,VLOOKUP($JK188,'Jan-2026 rates'!$L:$R,6,0),IF($LB188=100%,VLOOKUP($JK188,'Jan-2026 rates'!$L:$R,7,0),IF($LB188=60%,VLOOKUP($JK188,'Jan-2026 rates'!$L:$S,8,0),IF($LB188=80%,VLOOKUP($JK188,'Jan-2026 rates'!L:T,9,0),0))))))))</f>
        <v>0</v>
      </c>
      <c r="JN188" s="412"/>
      <c r="JO188" s="409"/>
      <c r="JP188" s="411">
        <f>IF(JO188=0,0,IF($LB188=70%,VLOOKUP($JK188,'Jan-2026 rates'!$L:$R,4,0),IF($LB188=65%,VLOOKUP($JK188,'Jan-2026 rates'!$L:$R,4,0),IF($LB188=40%,VLOOKUP($JK188,'Jan-2026 rates'!$L:$R,5,0),IF($LB188=30%,VLOOKUP($JK188,'Jan-2026 rates'!$L:$R,6,0),IF($LB188=100%,VLOOKUP($JK188,'Jan-2026 rates'!$L:$R,7,0),IF($LB188=60%,VLOOKUP($JK188,'Jan-2026 rates'!$L:$S,8,0),IF($LB188=80%,VLOOKUP($JK188,'Jan-2026 rates'!L:T,9,0),0))))))))</f>
        <v>0</v>
      </c>
      <c r="JQ188" s="413"/>
      <c r="JR188" s="412"/>
      <c r="JS188" s="413"/>
      <c r="JT188" s="413"/>
      <c r="JU188" s="412"/>
      <c r="JV188" s="412"/>
      <c r="JW188" s="412"/>
      <c r="JX188" s="412"/>
      <c r="JY188" s="409"/>
      <c r="JZ188" s="398">
        <f>IF(JY188=0,0,IF(LEN(JQ188)=11,_xlfn.XLOOKUP(JQ188,'Dispensed Ink Rates'!C:C,'Dispensed Ink Rates'!CS:CS),VLOOKUP(JQ188,'Jan-2026 rates'!$E:$F,2,0)))</f>
        <v>0</v>
      </c>
      <c r="KA188" s="409"/>
      <c r="KB188" s="398">
        <f>IF(KA188=0,0,IF(LEN(JR188)=11,_xlfn.XLOOKUP(JR188,'Dispensed Ink Rates'!C:C,'Dispensed Ink Rates'!CS:CS),VLOOKUP(JR188,'Jan-2026 rates'!$E:$F,2,0)))</f>
        <v>0</v>
      </c>
      <c r="KC188" s="409"/>
      <c r="KD188" s="398">
        <f>IF(KC188=0,0,IF(LEN(JS188)=11,_xlfn.XLOOKUP(JS188,'Dispensed Ink Rates'!C:C,'Dispensed Ink Rates'!CS:CS),VLOOKUP(JS188,'Jan-2026 rates'!$E:$F,2,0)))</f>
        <v>0</v>
      </c>
      <c r="KE188" s="409"/>
      <c r="KF188" s="398">
        <f>IF(KE188=0,0,IF(LEN(JT188)=11,_xlfn.XLOOKUP(JT188,'Dispensed Ink Rates'!C:C,'Dispensed Ink Rates'!CS:CS),VLOOKUP(JT188,'Jan-2026 rates'!$E:$F,2,0)))</f>
        <v>0</v>
      </c>
      <c r="KG188" s="409"/>
      <c r="KH188" s="398">
        <f>IF(KG188=0,0,IF(LEN(JU188)=11,_xlfn.XLOOKUP(JU188,'Dispensed Ink Rates'!C:C,'Dispensed Ink Rates'!CS:CS),VLOOKUP(JU188,'Jan-2026 rates'!$E:$F,2,0)))</f>
        <v>0</v>
      </c>
      <c r="KI188" s="409"/>
      <c r="KJ188" s="398">
        <f>IF(KI188=0,0,IF(LEN(JV188)=11,_xlfn.XLOOKUP(JV188,'Dispensed Ink Rates'!C:C,'Dispensed Ink Rates'!CS:CS),VLOOKUP(JV188,'Jan-2026 rates'!$E:$F,2,0)))</f>
        <v>0</v>
      </c>
      <c r="KK188" s="409"/>
      <c r="KL188" s="398">
        <f>IF(KK188=0,0,IF(LEN(JW188)=11,_xlfn.XLOOKUP(JW188,'Dispensed Ink Rates'!C:C,'Dispensed Ink Rates'!CS:CS),VLOOKUP(JW188,'Jan-2026 rates'!$E:$F,2,0)))</f>
        <v>0</v>
      </c>
      <c r="KM188" s="428"/>
      <c r="KN188" s="398">
        <f>IF(KM188=0,0,IF(LEN(JX188)=11,_xlfn.XLOOKUP(JX188,'Dispensed Ink Rates'!C:C,'Dispensed Ink Rates'!CS:CS),VLOOKUP(JX188,'Jan-2026 rates'!$E:$F,2,0)))</f>
        <v>0</v>
      </c>
      <c r="KO188" s="409"/>
      <c r="KP188" s="409"/>
      <c r="KQ188" s="411">
        <f t="shared" si="127"/>
        <v>0</v>
      </c>
      <c r="KR188" s="411">
        <f t="shared" si="128"/>
        <v>0</v>
      </c>
      <c r="KS188" s="410">
        <f t="shared" si="129"/>
        <v>0</v>
      </c>
      <c r="KT188" s="409">
        <v>2</v>
      </c>
      <c r="KU188" s="409">
        <v>10</v>
      </c>
      <c r="KV188" s="409">
        <v>5</v>
      </c>
      <c r="KW188" s="409">
        <v>0</v>
      </c>
      <c r="KX188" s="409">
        <v>0</v>
      </c>
      <c r="KY188" s="409">
        <v>0</v>
      </c>
      <c r="KZ188" s="409">
        <v>0</v>
      </c>
      <c r="LA188" s="409">
        <v>0</v>
      </c>
      <c r="LB188" s="415">
        <v>0.3</v>
      </c>
      <c r="LC188" s="415"/>
      <c r="LD188" s="415"/>
      <c r="LE188" s="415">
        <v>0.5</v>
      </c>
      <c r="LF188" s="415">
        <v>0.2</v>
      </c>
      <c r="LG188" s="409">
        <v>0</v>
      </c>
      <c r="LH188" s="409">
        <f>10+6+6+10+4</f>
        <v>36</v>
      </c>
      <c r="LI188" s="409">
        <v>0</v>
      </c>
      <c r="LJ188" s="409">
        <v>0</v>
      </c>
      <c r="LK188" s="416">
        <f t="shared" si="138"/>
        <v>36</v>
      </c>
      <c r="LL188" s="416">
        <f t="shared" si="139"/>
        <v>36</v>
      </c>
      <c r="LM188" s="417">
        <f t="shared" si="140"/>
        <v>10.799999999999999</v>
      </c>
      <c r="LN188" s="417">
        <f>VLOOKUP($LM$8,'Jan-2026 rates'!$H:$I,2,0)</f>
        <v>0</v>
      </c>
      <c r="LO188" s="417">
        <f t="shared" si="141"/>
        <v>0</v>
      </c>
      <c r="LP188" s="417">
        <f>VLOOKUP($LO$8,'Jan-2026 rates'!$H:$I,2,0)</f>
        <v>0</v>
      </c>
      <c r="LQ188" s="417">
        <f t="shared" si="142"/>
        <v>0</v>
      </c>
      <c r="LR188" s="417">
        <f>VLOOKUP($LQ$8,'Jan-2026 rates'!$H:$I,2,0)</f>
        <v>0</v>
      </c>
      <c r="LS188" s="417">
        <f t="shared" si="143"/>
        <v>18</v>
      </c>
      <c r="LT188" s="417">
        <f>VLOOKUP($LS$8,'Jan-2026 rates'!$H:$I,2,0)</f>
        <v>0</v>
      </c>
      <c r="LU188" s="417">
        <f t="shared" si="144"/>
        <v>7.2</v>
      </c>
      <c r="LV188" s="417">
        <f>VLOOKUP($LU$8,'Jan-2026 rates'!$H:$I,2,0)</f>
        <v>0</v>
      </c>
      <c r="LW188" s="417">
        <f t="shared" si="145"/>
        <v>0</v>
      </c>
      <c r="LX188" s="417">
        <f t="shared" si="146"/>
        <v>0</v>
      </c>
      <c r="LY188" s="418">
        <f t="shared" si="147"/>
        <v>0</v>
      </c>
      <c r="LZ188" s="417"/>
      <c r="MA188" s="435">
        <f t="shared" si="148"/>
        <v>43</v>
      </c>
      <c r="MB188" s="282">
        <f t="shared" si="149"/>
        <v>53.999999999999993</v>
      </c>
      <c r="MC188" s="283" t="s">
        <v>2023</v>
      </c>
      <c r="MD188" s="284" t="str">
        <f t="shared" si="150"/>
        <v>ToyoLiToyoLiToyoLi</v>
      </c>
      <c r="ME188" s="293" t="str">
        <f t="shared" si="151"/>
        <v>+</v>
      </c>
      <c r="MF188" s="293" t="str">
        <f t="shared" si="152"/>
        <v>+</v>
      </c>
      <c r="MG188" s="293" t="str">
        <f t="shared" si="153"/>
        <v>+</v>
      </c>
      <c r="MH188" s="293" t="str">
        <f t="shared" si="154"/>
        <v>NIL</v>
      </c>
      <c r="MI188" s="293" t="str">
        <f t="shared" si="155"/>
        <v>NIL</v>
      </c>
      <c r="MJ188" s="293" t="str">
        <f t="shared" si="156"/>
        <v>NIL</v>
      </c>
      <c r="MK188" s="293" t="str">
        <f t="shared" si="157"/>
        <v>NIL</v>
      </c>
      <c r="ML188" s="293" t="str">
        <f t="shared" si="158"/>
        <v>NIL</v>
      </c>
      <c r="MM188" s="3" t="b">
        <f t="array" ref="MM188">OR(ME188:ML188="-")</f>
        <v>0</v>
      </c>
      <c r="MN188" s="285"/>
      <c r="MO188" s="401"/>
      <c r="MP188" s="286"/>
      <c r="MQ188" s="286"/>
      <c r="MR188" s="402"/>
      <c r="MS188" s="400"/>
      <c r="NH188" s="422"/>
      <c r="NJ188" s="421"/>
    </row>
    <row r="189" spans="1:374" s="1" customFormat="1" ht="16.5">
      <c r="A189" s="403">
        <v>46036</v>
      </c>
      <c r="B189" s="404" t="s">
        <v>1018</v>
      </c>
      <c r="C189" s="405" t="s">
        <v>3678</v>
      </c>
      <c r="D189" s="406" t="s">
        <v>2024</v>
      </c>
      <c r="E189" s="404">
        <v>23</v>
      </c>
      <c r="F189" s="407">
        <v>1500</v>
      </c>
      <c r="G189" s="407" t="s">
        <v>1016</v>
      </c>
      <c r="H189" s="408" t="s">
        <v>1017</v>
      </c>
      <c r="I189" s="409">
        <v>0.56000000000000005</v>
      </c>
      <c r="J189" s="405" t="s">
        <v>543</v>
      </c>
      <c r="K189" s="404" t="s">
        <v>3679</v>
      </c>
      <c r="L189" s="419" t="str">
        <f t="shared" si="131"/>
        <v>ToyoLi - BLACK</v>
      </c>
      <c r="M189" s="404">
        <v>30</v>
      </c>
      <c r="N189" s="410">
        <f>IF(M189=0,0,IF($LB189=70%,VLOOKUP($L189,'Jan-2026 rates'!$L:$R,4,0),IF($LB189=65%,VLOOKUP($L189,'Jan-2026 rates'!$L:$R,4,0),IF($LB189=40%,VLOOKUP($L189,'Jan-2026 rates'!$L:$R,5,0),IF($LB189=30%,VLOOKUP($L189,'Jan-2026 rates'!$L:$R,6,0),IF($LB189=100%,VLOOKUP($L189,'Jan-2026 rates'!$L:$R,7,0),IF($LB189=60%,VLOOKUP($L189,'Jan-2026 rates'!$L:$S,8,0),IF($LB189=80%,VLOOKUP($L189,'Jan-2026 rates'!L:T,9,0),0))))))))</f>
        <v>0</v>
      </c>
      <c r="O189" s="406"/>
      <c r="P189" s="404"/>
      <c r="Q189" s="410">
        <f>IF(P189=0,0,IF($LB189=70%,VLOOKUP($L189,'Jan-2026 rates'!$L:$R,4,0),IF($LB189=65%,VLOOKUP($L189,'Jan-2026 rates'!$L:$R,4,0),IF($LB189=40%,VLOOKUP($L189,'Jan-2026 rates'!$L:$R,5,0),IF($LB189=30%,VLOOKUP($L189,'Jan-2026 rates'!$L:$R,6,0),IF($LB189=100%,VLOOKUP($L189,'Jan-2026 rates'!$L:$R,7,0),IF($LB189=60%,VLOOKUP($L189,'Jan-2026 rates'!$L:$S,8,0),IF($LB189=80%,VLOOKUP($L189,'Jan-2026 rates'!L:T,9,0),0))))))))</f>
        <v>0</v>
      </c>
      <c r="R189" s="406"/>
      <c r="S189" s="406"/>
      <c r="T189" s="406"/>
      <c r="U189" s="406"/>
      <c r="V189" s="406"/>
      <c r="W189" s="406"/>
      <c r="X189" s="406"/>
      <c r="Y189" s="406"/>
      <c r="Z189" s="404"/>
      <c r="AA189" s="398">
        <f>IF(Z189=0,0,IF(LEN(R189)=11,_xlfn.XLOOKUP(R189,'Dispensed Ink Rates'!C:C,'Dispensed Ink Rates'!CS:CS),VLOOKUP(R189,'Jan-2026 rates'!$E:$F,2,0)))</f>
        <v>0</v>
      </c>
      <c r="AB189" s="404"/>
      <c r="AC189" s="398">
        <f>IF(AB189=0,0,IF(LEN(S189)=11,_xlfn.XLOOKUP(S189,'Dispensed Ink Rates'!C:C,'Dispensed Ink Rates'!CS:CS),VLOOKUP(S189,'Jan-2026 rates'!$E:$F,2,0)))</f>
        <v>0</v>
      </c>
      <c r="AD189" s="404"/>
      <c r="AE189" s="398">
        <f>IF(AD189=0,0,IF(LEN(T189)=11,_xlfn.XLOOKUP(T189,'Dispensed Ink Rates'!C:C,'Dispensed Ink Rates'!CS:CS),VLOOKUP(T189,'Jan-2026 rates'!$E:$F,2,0)))</f>
        <v>0</v>
      </c>
      <c r="AF189" s="404"/>
      <c r="AG189" s="398">
        <f>IF(AF189=0,0,IF(LEN(U189)=11,_xlfn.XLOOKUP(U189,'Dispensed Ink Rates'!C:C,'Dispensed Ink Rates'!CS:CS),VLOOKUP(U189,'Jan-2026 rates'!$E:$F,2,0)))</f>
        <v>0</v>
      </c>
      <c r="AH189" s="404"/>
      <c r="AI189" s="398">
        <f>IF(AH189=0,0,IF(LEN(V189)=11,_xlfn.XLOOKUP(V189,'Dispensed Ink Rates'!C:C,'Dispensed Ink Rates'!CS:CS),VLOOKUP(V189,'Jan-2026 rates'!$E:$F,2,0)))</f>
        <v>0</v>
      </c>
      <c r="AJ189" s="404"/>
      <c r="AK189" s="398">
        <f>IF(AJ189=0,0,IF(LEN(W189)=11,_xlfn.XLOOKUP(W189,'Dispensed Ink Rates'!C:C,'Dispensed Ink Rates'!CS:CS),VLOOKUP(W189,'Jan-2026 rates'!$E:$F,2,0)))</f>
        <v>0</v>
      </c>
      <c r="AL189" s="404"/>
      <c r="AM189" s="398">
        <f>IF(AL189=0,0,IF(LEN(X189)=11,_xlfn.XLOOKUP(X189,'Dispensed Ink Rates'!C:C,'Dispensed Ink Rates'!CS:CS),VLOOKUP(X189,'Jan-2026 rates'!$E:$F,2,0)))</f>
        <v>0</v>
      </c>
      <c r="AN189" s="404"/>
      <c r="AO189" s="398">
        <f>IF(AN189=0,0,IF(LEN(Y189)=11,_xlfn.XLOOKUP(Y189,'Dispensed Ink Rates'!C:C,'Dispensed Ink Rates'!CS:CS),VLOOKUP(Y189,'Jan-2026 rates'!$E:$F,2,0)))</f>
        <v>0</v>
      </c>
      <c r="AP189" s="409" t="s">
        <v>1881</v>
      </c>
      <c r="AQ189" s="409">
        <v>27</v>
      </c>
      <c r="AR189" s="410">
        <f t="shared" si="106"/>
        <v>0</v>
      </c>
      <c r="AS189" s="411">
        <f t="shared" si="107"/>
        <v>13</v>
      </c>
      <c r="AT189" s="410">
        <f t="shared" si="108"/>
        <v>0</v>
      </c>
      <c r="AU189" s="405" t="s">
        <v>545</v>
      </c>
      <c r="AV189" s="409" t="s">
        <v>3680</v>
      </c>
      <c r="AW189" s="420" t="str">
        <f t="shared" si="130"/>
        <v>ToyoLi - YELLOW</v>
      </c>
      <c r="AX189" s="409">
        <v>25</v>
      </c>
      <c r="AY189" s="411">
        <f>IF(AX189=0,0,IF($LB189=70%,VLOOKUP($AW189,'Jan-2026 rates'!$L:$R,4,0),IF($LB189=65%,VLOOKUP($AW189,'Jan-2026 rates'!$L:$R,4,0),IF($LB189=40%,VLOOKUP($AW189,'Jan-2026 rates'!$L:$R,5,0),IF($LB189=30%,VLOOKUP($AW189,'Jan-2026 rates'!$L:$R,6,0),IF($LB189=100%,VLOOKUP($AW189,'Jan-2026 rates'!$L:$R,7,0),IF($LB189=60%,VLOOKUP($AW189,'Jan-2026 rates'!$L:$S,8,0),IF($LB189=80%,VLOOKUP($AW189,'Jan-2026 rates'!L:T,9,0),0))))))))</f>
        <v>0</v>
      </c>
      <c r="AZ189" s="412"/>
      <c r="BA189" s="409"/>
      <c r="BB189" s="411">
        <f>IF(BA189=0,0,IF($LB189=70%,VLOOKUP($AW189,'Jan-2026 rates'!$L:$R,4,0),IF($LB189=65%,VLOOKUP($AW189,'Jan-2026 rates'!$L:$R,4,0),IF($LB189=40%,VLOOKUP($AW189,'Jan-2026 rates'!$L:$R,5,0),IF($LB189=30%,VLOOKUP($AW189,'Jan-2026 rates'!$L:$R,6,0),IF($LB189=100%,VLOOKUP($AW189,'Jan-2026 rates'!$L:$R,7,0),IF($LB189=60%,VLOOKUP($AW189,'Jan-2026 rates'!$L:$S,8,0),IF($LB189=80%,VLOOKUP($AW189,'Jan-2026 rates'!L:T,9,0),0))))))))</f>
        <v>0</v>
      </c>
      <c r="BC189" s="413" t="s">
        <v>1247</v>
      </c>
      <c r="BD189" s="412"/>
      <c r="BE189" s="412"/>
      <c r="BF189" s="413"/>
      <c r="BG189" s="412"/>
      <c r="BH189" s="412"/>
      <c r="BI189" s="412"/>
      <c r="BJ189" s="412"/>
      <c r="BK189" s="409">
        <v>5</v>
      </c>
      <c r="BL189" s="398">
        <f>IF(BK189=0,0,IF(LEN(BC189)=11,_xlfn.XLOOKUP(BC189,'Dispensed Ink Rates'!C:C,'Dispensed Ink Rates'!CS:CS),VLOOKUP(BC189,'Jan-2026 rates'!$E:$F,2,0)))</f>
        <v>0</v>
      </c>
      <c r="BM189" s="409"/>
      <c r="BN189" s="398">
        <f>IF(BM189=0,0,IF(LEN(BD189)=11,_xlfn.XLOOKUP(BD189,'Dispensed Ink Rates'!C:C,'Dispensed Ink Rates'!CS:CS),VLOOKUP(BD189,'Jan-2026 rates'!$E:$F,2,0)))</f>
        <v>0</v>
      </c>
      <c r="BO189" s="409"/>
      <c r="BP189" s="398">
        <f>IF(BO189=0,0,IF(LEN(BE189)=11,_xlfn.XLOOKUP(BE189,'Dispensed Ink Rates'!C:C,'Dispensed Ink Rates'!CS:CS),VLOOKUP(BE189,'Jan-2026 rates'!$E:$F,2,0)))</f>
        <v>0</v>
      </c>
      <c r="BQ189" s="409"/>
      <c r="BR189" s="398">
        <f>IF(BQ189=0,0,IF(LEN(BF189)=11,_xlfn.XLOOKUP(BF189,'Dispensed Ink Rates'!C:C,'Dispensed Ink Rates'!CS:CS),VLOOKUP(BF189,'Jan-2026 rates'!$E:$F,2,0)))</f>
        <v>0</v>
      </c>
      <c r="BS189" s="409"/>
      <c r="BT189" s="398">
        <f>IF(BS189=0,0,IF(LEN(BG189)=11,_xlfn.XLOOKUP(BG189,'Dispensed Ink Rates'!C:C,'Dispensed Ink Rates'!CS:CS),VLOOKUP(BG189,'Jan-2026 rates'!$E:$F,2,0)))</f>
        <v>0</v>
      </c>
      <c r="BU189" s="409"/>
      <c r="BV189" s="398">
        <f>IF(BU189=0,0,IF(LEN(BH189)=11,_xlfn.XLOOKUP(BH189,'Dispensed Ink Rates'!C:C,'Dispensed Ink Rates'!CS:CS),VLOOKUP(BH189,'Jan-2026 rates'!$E:$F,2,0)))</f>
        <v>0</v>
      </c>
      <c r="BW189" s="409"/>
      <c r="BX189" s="398">
        <f>IF(BW189=0,0,IF(LEN(BI189)=11,_xlfn.XLOOKUP(BI189,'Dispensed Ink Rates'!C:C,'Dispensed Ink Rates'!CS:CS),VLOOKUP(BI189,'Jan-2026 rates'!$E:$F,2,0)))</f>
        <v>0</v>
      </c>
      <c r="BY189" s="409"/>
      <c r="BZ189" s="398">
        <f>IF(BY189=0,0,IF(LEN(BJ189)=11,_xlfn.XLOOKUP(BJ189,'Dispensed Ink Rates'!C:C,'Dispensed Ink Rates'!CS:CS),VLOOKUP(BJ189,'Jan-2026 rates'!$E:$F,2,0)))</f>
        <v>0</v>
      </c>
      <c r="CA189" s="409" t="s">
        <v>1881</v>
      </c>
      <c r="CB189" s="409">
        <v>26</v>
      </c>
      <c r="CC189" s="411">
        <f t="shared" si="109"/>
        <v>0</v>
      </c>
      <c r="CD189" s="411">
        <f t="shared" si="110"/>
        <v>14</v>
      </c>
      <c r="CE189" s="410">
        <f t="shared" si="111"/>
        <v>0</v>
      </c>
      <c r="CF189" s="404"/>
      <c r="CG189" s="409"/>
      <c r="CH189" s="420" t="str">
        <f t="shared" si="132"/>
        <v xml:space="preserve"> - </v>
      </c>
      <c r="CI189" s="409"/>
      <c r="CJ189" s="411">
        <f>IF(CI189=0,0,IF($LB189=70%,VLOOKUP($CH189,'Jan-2026 rates'!$L:$R,4,0),IF($LB189=65%,VLOOKUP($CH189,'Jan-2026 rates'!$L:$R,4,0),IF($LB189=40%,VLOOKUP($CH189,'Jan-2026 rates'!$L:$R,5,0),IF($LB189=30%,VLOOKUP($CH189,'Jan-2026 rates'!$L:$R,6,0),IF($LB189=100%,VLOOKUP($CH189,'Jan-2026 rates'!$L:$R,7,0),IF($LB189=60%,VLOOKUP($CH189,'Jan-2026 rates'!$L:$S,8,0),IF($LB189=80%,VLOOKUP($CH189,'Jan-2026 rates'!L:T,9,0),0))))))))</f>
        <v>0</v>
      </c>
      <c r="CK189" s="412"/>
      <c r="CL189" s="409"/>
      <c r="CM189" s="411">
        <f>IF(CL189=0,0,IF($LB189=70%,VLOOKUP($CH189,'Jan-2026 rates'!$L:$R,4,0),IF($LB189=65%,VLOOKUP($CH189,'Jan-2026 rates'!$L:$R,4,0),IF($LB189=40%,VLOOKUP($CH189,'Jan-2026 rates'!$L:$R,5,0),IF($LB189=30%,VLOOKUP($CH189,'Jan-2026 rates'!$L:$R,6,0),IF($LB189=100%,VLOOKUP($CH189,'Jan-2026 rates'!$L:$R,7,0),IF($LB189=60%,VLOOKUP($CH189,'Jan-2026 rates'!$L:$S,8,0),IF($LB189=80%,VLOOKUP($CH189,'Jan-2026 rates'!L:T,9,0),0))))))))</f>
        <v>0</v>
      </c>
      <c r="CN189" s="426"/>
      <c r="CO189" s="427"/>
      <c r="CP189" s="426"/>
      <c r="CQ189" s="426"/>
      <c r="CR189" s="428"/>
      <c r="CS189" s="428"/>
      <c r="CT189" s="428"/>
      <c r="CU189" s="428"/>
      <c r="CV189" s="409"/>
      <c r="CW189" s="398">
        <f>IF(CV189=0,0,IF(LEN(CN189)=11,_xlfn.XLOOKUP(CN189,'Dispensed Ink Rates'!C:C,'Dispensed Ink Rates'!CS:CS),VLOOKUP(CN189,'Jan-2026 rates'!$E:$F,2,0)))</f>
        <v>0</v>
      </c>
      <c r="CX189" s="409"/>
      <c r="CY189" s="398">
        <f>IF(CX189=0,0,IF(LEN(CO189)=11,_xlfn.XLOOKUP(CO189,'Dispensed Ink Rates'!C:C,'Dispensed Ink Rates'!CS:CS),VLOOKUP(CO189,'Jan-2026 rates'!$E:$F,2,0)))</f>
        <v>0</v>
      </c>
      <c r="CZ189" s="409"/>
      <c r="DA189" s="398">
        <f>IF(CZ189=0,0,IF(LEN(CP189)=11,_xlfn.XLOOKUP(CP189,'Dispensed Ink Rates'!C:C,'Dispensed Ink Rates'!CS:CS),VLOOKUP(CP189,'Jan-2026 rates'!$E:$F,2,0)))</f>
        <v>0</v>
      </c>
      <c r="DB189" s="409"/>
      <c r="DC189" s="398">
        <f>IF(DB189=0,0,IF(LEN(CQ189)=11,_xlfn.XLOOKUP(CQ189,'Dispensed Ink Rates'!C:C,'Dispensed Ink Rates'!CS:CS),VLOOKUP(CQ189,'Jan-2026 rates'!$E:$F,2,0)))</f>
        <v>0</v>
      </c>
      <c r="DD189" s="409"/>
      <c r="DE189" s="398">
        <f>IF(DD189=0,0,IF(LEN(CR189)=11,_xlfn.XLOOKUP(CR189,'Dispensed Ink Rates'!C:C,'Dispensed Ink Rates'!CS:CS),VLOOKUP(CR189,'Jan-2026 rates'!$E:$F,2,0)))</f>
        <v>0</v>
      </c>
      <c r="DF189" s="409"/>
      <c r="DG189" s="398">
        <f>IF(DF189=0,0,IF(LEN(CS189)=11,_xlfn.XLOOKUP(CS189,'Dispensed Ink Rates'!C:C,'Dispensed Ink Rates'!CS:CS),VLOOKUP(CS189,'Jan-2026 rates'!$E:$F,2,0)))</f>
        <v>0</v>
      </c>
      <c r="DH189" s="409"/>
      <c r="DI189" s="398">
        <f>IF(DH189=0,0,IF(LEN(CT189)=11,_xlfn.XLOOKUP(CT189,'Dispensed Ink Rates'!C:C,'Dispensed Ink Rates'!CS:CS),VLOOKUP(CT189,'Jan-2026 rates'!$E:$F,2,0)))</f>
        <v>0</v>
      </c>
      <c r="DJ189" s="409"/>
      <c r="DK189" s="398">
        <f>IF(DJ189=0,0,IF(LEN(CU189)=11,_xlfn.XLOOKUP(CU189,'Dispensed Ink Rates'!C:C,'Dispensed Ink Rates'!CS:CS),VLOOKUP(CU189,'Jan-2026 rates'!$E:$F,2,0)))</f>
        <v>0</v>
      </c>
      <c r="DL189" s="409"/>
      <c r="DM189" s="409"/>
      <c r="DN189" s="411">
        <f t="shared" si="112"/>
        <v>0</v>
      </c>
      <c r="DO189" s="411">
        <f t="shared" si="113"/>
        <v>0</v>
      </c>
      <c r="DP189" s="410">
        <f t="shared" si="114"/>
        <v>0</v>
      </c>
      <c r="DQ189" s="405"/>
      <c r="DR189" s="409"/>
      <c r="DS189" s="420" t="str">
        <f t="shared" si="133"/>
        <v xml:space="preserve"> - </v>
      </c>
      <c r="DT189" s="409"/>
      <c r="DU189" s="411">
        <f>IF(DT189=0,0,IF($LB189=70%,VLOOKUP($DS189,'Jan-2026 rates'!$L:$R,4,0),IF($LB189=65%,VLOOKUP($DS189,'Jan-2026 rates'!$L:$R,4,0),IF($LB189=40%,VLOOKUP($DS189,'Jan-2026 rates'!$L:$R,5,0),IF($LB189=30%,VLOOKUP($DS189,'Jan-2026 rates'!$L:$R,6,0),IF($LB189=100%,VLOOKUP($DS189,'Jan-2026 rates'!$L:$R,7,0),IF($LB189=60%,VLOOKUP($DS189,'Jan-2026 rates'!$L:$S,8,0),IF($LB189=80%,VLOOKUP($DS189,'Jan-2026 rates'!L:T,9,0),0))))))))</f>
        <v>0</v>
      </c>
      <c r="DV189" s="412"/>
      <c r="DW189" s="409"/>
      <c r="DX189" s="411">
        <f>IF(DW189=0,0,IF($LB189=70%,VLOOKUP($DS189,'Jan-2026 rates'!$L:$R,4,0),IF($LB189=65%,VLOOKUP($DS189,'Jan-2026 rates'!$L:$R,4,0),IF($LB189=40%,VLOOKUP($DS189,'Jan-2026 rates'!$L:$R,5,0),IF($LB189=30%,VLOOKUP($DS189,'Jan-2026 rates'!$L:$R,6,0),IF($LB189=100%,VLOOKUP($DS189,'Jan-2026 rates'!$L:$R,7,0),IF($LB189=60%,VLOOKUP($DS189,'Jan-2026 rates'!$L:$S,8,0),IF($LB189=80%,VLOOKUP($DS189,'Jan-2026 rates'!L:T,9,0),0))))))))</f>
        <v>0</v>
      </c>
      <c r="DY189" s="413"/>
      <c r="DZ189" s="413"/>
      <c r="EA189" s="412"/>
      <c r="EB189" s="412"/>
      <c r="EC189" s="412"/>
      <c r="ED189" s="412"/>
      <c r="EE189" s="412"/>
      <c r="EF189" s="412"/>
      <c r="EG189" s="409"/>
      <c r="EH189" s="398">
        <f>IF(EG189=0,0,IF(LEN(DY189)=11,_xlfn.XLOOKUP(DY189,'Dispensed Ink Rates'!C:C,'Dispensed Ink Rates'!CS:CS),VLOOKUP(DY189,'Jan-2026 rates'!$E:$F,2,0)))</f>
        <v>0</v>
      </c>
      <c r="EI189" s="409"/>
      <c r="EJ189" s="398">
        <f>IF(EI189=0,0,IF(LEN(DZ189)=11,_xlfn.XLOOKUP(DZ189,'Dispensed Ink Rates'!C:C,'Dispensed Ink Rates'!CS:CS),VLOOKUP(DZ189,'Jan-2026 rates'!$E:$F,2,0)))</f>
        <v>0</v>
      </c>
      <c r="EK189" s="409"/>
      <c r="EL189" s="398">
        <f>IF(EK189=0,0,IF(LEN(EA189)=11,_xlfn.XLOOKUP(EA189,'Dispensed Ink Rates'!C:C,'Dispensed Ink Rates'!CS:CS),VLOOKUP(EA189,'Jan-2026 rates'!$E:$F,2,0)))</f>
        <v>0</v>
      </c>
      <c r="EM189" s="409"/>
      <c r="EN189" s="398">
        <f>IF(EM189=0,0,IF(LEN(EB189)=11,_xlfn.XLOOKUP(EB189,'Dispensed Ink Rates'!C:C,'Dispensed Ink Rates'!CS:CS),VLOOKUP(EB189,'Jan-2026 rates'!$E:$F,2,0)))</f>
        <v>0</v>
      </c>
      <c r="EO189" s="409"/>
      <c r="EP189" s="398">
        <f>IF(EO189=0,0,IF(LEN(EC189)=11,_xlfn.XLOOKUP(EC189,'Dispensed Ink Rates'!C:C,'Dispensed Ink Rates'!CS:CS),VLOOKUP(EC189,'Jan-2026 rates'!$E:$F,2,0)))</f>
        <v>0</v>
      </c>
      <c r="EQ189" s="409"/>
      <c r="ER189" s="398">
        <f>IF(EQ189=0,0,IF(LEN(ED189)=11,_xlfn.XLOOKUP(ED189,'Dispensed Ink Rates'!C:C,'Dispensed Ink Rates'!CS:CS),VLOOKUP(ED189,'Jan-2026 rates'!$E:$F,2,0)))</f>
        <v>0</v>
      </c>
      <c r="ES189" s="409"/>
      <c r="ET189" s="398">
        <f>IF(ES189=0,0,IF(LEN(EE189)=11,_xlfn.XLOOKUP(EE189,'Dispensed Ink Rates'!C:C,'Dispensed Ink Rates'!CS:CS),VLOOKUP(EE189,'Jan-2026 rates'!$E:$F,2,0)))</f>
        <v>0</v>
      </c>
      <c r="EU189" s="409"/>
      <c r="EV189" s="398">
        <f>IF(EU189=0,0,IF(LEN(EF189)=11,_xlfn.XLOOKUP(EF189,'Dispensed Ink Rates'!C:C,'Dispensed Ink Rates'!CS:CS),VLOOKUP(EF189,'Jan-2026 rates'!$E:$F,2,0)))</f>
        <v>0</v>
      </c>
      <c r="EW189" s="409"/>
      <c r="EX189" s="409"/>
      <c r="EY189" s="411">
        <f t="shared" si="115"/>
        <v>0</v>
      </c>
      <c r="EZ189" s="411">
        <f t="shared" si="116"/>
        <v>0</v>
      </c>
      <c r="FA189" s="410">
        <f t="shared" si="117"/>
        <v>0</v>
      </c>
      <c r="FB189" s="405"/>
      <c r="FC189" s="409"/>
      <c r="FD189" s="420" t="str">
        <f t="shared" si="134"/>
        <v xml:space="preserve"> - </v>
      </c>
      <c r="FE189" s="409"/>
      <c r="FF189" s="411">
        <f>IF(FE189=0,0,IF($LB189=70%,VLOOKUP($FD189,'Jan-2026 rates'!$L:$R,4,0),IF($LB189=65%,VLOOKUP($FD189,'Jan-2026 rates'!$L:$R,4,0),IF($LB189=40%,VLOOKUP($FD189,'Jan-2026 rates'!$L:$R,5,0),IF($LB189=30%,VLOOKUP($FD189,'Jan-2026 rates'!$L:$R,6,0),IF($LB189=100%,VLOOKUP($FD189,'Jan-2026 rates'!$L:$R,7,0),IF($LB189=60%,VLOOKUP($FD189,'Jan-2026 rates'!$L:$S,8,0),IF($LB189=80%,VLOOKUP($FD189,'Jan-2026 rates'!L:T,9,0),0))))))))</f>
        <v>0</v>
      </c>
      <c r="FG189" s="412"/>
      <c r="FH189" s="409"/>
      <c r="FI189" s="411">
        <f>IF(FH189=0,0,IF($LB189=70%,VLOOKUP($FD189,'Jan-2026 rates'!$L:$R,4,0),IF($LB189=65%,VLOOKUP($FD189,'Jan-2026 rates'!$L:$R,4,0),IF($LB189=40%,VLOOKUP($FD189,'Jan-2026 rates'!$L:$R,5,0),IF($LB189=30%,VLOOKUP($FD189,'Jan-2026 rates'!$L:$R,6,0),IF($LB189=100%,VLOOKUP($FD189,'Jan-2026 rates'!$L:$R,7,0),IF($LB189=60%,VLOOKUP($FD189,'Jan-2026 rates'!$L:$S,8,0),IF($LB189=80%,VLOOKUP($FD189,'Jan-2026 rates'!L:T,9,0),0))))))))</f>
        <v>0</v>
      </c>
      <c r="FJ189" s="413"/>
      <c r="FK189" s="413"/>
      <c r="FL189" s="413"/>
      <c r="FM189" s="412"/>
      <c r="FN189" s="412"/>
      <c r="FO189" s="412"/>
      <c r="FP189" s="412"/>
      <c r="FQ189" s="412"/>
      <c r="FR189" s="409"/>
      <c r="FS189" s="398">
        <f>IF(FR189=0,0,IF(LEN(FJ189)=11,_xlfn.XLOOKUP(FJ189,'Dispensed Ink Rates'!C:C,'Dispensed Ink Rates'!CS:CS),VLOOKUP(FJ189,'Jan-2026 rates'!$E:$F,2,0)))</f>
        <v>0</v>
      </c>
      <c r="FT189" s="409"/>
      <c r="FU189" s="398">
        <f>IF(FT189=0,0,IF(LEN(FK189)=11,_xlfn.XLOOKUP(FK189,'Dispensed Ink Rates'!C:C,'Dispensed Ink Rates'!CS:CS),VLOOKUP(FK189,'Jan-2026 rates'!$E:$F,2,0)))</f>
        <v>0</v>
      </c>
      <c r="FV189" s="409"/>
      <c r="FW189" s="398">
        <f>IF(FV189=0,0,IF(LEN(FL189)=11,_xlfn.XLOOKUP(FL189,'Dispensed Ink Rates'!C:C,'Dispensed Ink Rates'!CS:CS),VLOOKUP(FL189,'Jan-2026 rates'!$E:$F,2,0)))</f>
        <v>0</v>
      </c>
      <c r="FX189" s="409"/>
      <c r="FY189" s="398">
        <f>IF(FX189=0,0,IF(LEN(FM189)=11,_xlfn.XLOOKUP(FM189,'Dispensed Ink Rates'!C:C,'Dispensed Ink Rates'!CS:CS),VLOOKUP(FM189,'Jan-2026 rates'!$E:$F,2,0)))</f>
        <v>0</v>
      </c>
      <c r="FZ189" s="409"/>
      <c r="GA189" s="398">
        <f>IF(FZ189=0,0,IF(LEN(FN189)=11,_xlfn.XLOOKUP(FN189,'Dispensed Ink Rates'!C:C,'Dispensed Ink Rates'!CS:CS),VLOOKUP(FN189,'Jan-2026 rates'!$E:$F,2,0)))</f>
        <v>0</v>
      </c>
      <c r="GB189" s="409"/>
      <c r="GC189" s="398">
        <f>IF(GB189=0,0,IF(LEN(FO189)=11,_xlfn.XLOOKUP(FO189,'Dispensed Ink Rates'!C:C,'Dispensed Ink Rates'!CS:CS),VLOOKUP(FO189,'Jan-2026 rates'!$E:$F,2,0)))</f>
        <v>0</v>
      </c>
      <c r="GD189" s="409"/>
      <c r="GE189" s="398">
        <f>IF(GD189=0,0,IF(LEN(FP189)=11,_xlfn.XLOOKUP(FP189,'Dispensed Ink Rates'!C:C,'Dispensed Ink Rates'!CS:CS),VLOOKUP(FP189,'Jan-2026 rates'!$E:$F,2,0)))</f>
        <v>0</v>
      </c>
      <c r="GF189" s="409"/>
      <c r="GG189" s="398">
        <f>IF(GF189=0,0,IF(LEN(FQ189)=11,_xlfn.XLOOKUP(FQ189,'Dispensed Ink Rates'!C:C,'Dispensed Ink Rates'!CS:CS),VLOOKUP(FQ189,'Jan-2026 rates'!$E:$F,2,0)))</f>
        <v>0</v>
      </c>
      <c r="GH189" s="409"/>
      <c r="GI189" s="409"/>
      <c r="GJ189" s="411">
        <f t="shared" si="118"/>
        <v>0</v>
      </c>
      <c r="GK189" s="411">
        <f t="shared" si="119"/>
        <v>0</v>
      </c>
      <c r="GL189" s="410">
        <f t="shared" si="120"/>
        <v>0</v>
      </c>
      <c r="GM189" s="405"/>
      <c r="GN189" s="409"/>
      <c r="GO189" s="420" t="str">
        <f t="shared" si="135"/>
        <v xml:space="preserve"> - </v>
      </c>
      <c r="GP189" s="409"/>
      <c r="GQ189" s="411">
        <f>IF(GP189=0,0,IF($LB189=70%,VLOOKUP($GO189,'Jan-2026 rates'!$L:$R,4,0),IF($LB189=65%,VLOOKUP($GO189,'Jan-2026 rates'!$L:$R,4,0),IF($LB189=40%,VLOOKUP($GO189,'Jan-2026 rates'!$L:$R,5,0),IF($LB189=30%,VLOOKUP($GO189,'Jan-2026 rates'!$L:$R,6,0),IF($LB189=100%,VLOOKUP($GO189,'Jan-2026 rates'!$L:$R,7,0),IF($LB189=60%,VLOOKUP($GO189,'Jan-2026 rates'!$L:$S,8,0),IF($LB189=80%,VLOOKUP($GO189,'Jan-2026 rates'!L:T,9,0),0))))))))</f>
        <v>0</v>
      </c>
      <c r="GR189" s="412"/>
      <c r="GS189" s="409"/>
      <c r="GT189" s="411">
        <f>IF(GS189=0,0,IF($LB189=70%,VLOOKUP($GO189,'Jan-2026 rates'!$L:$R,4,0),IF($LB189=65%,VLOOKUP($GO189,'Jan-2026 rates'!$L:$R,4,0),IF($LB189=40%,VLOOKUP($GO189,'Jan-2026 rates'!$L:$R,5,0),IF($LB189=30%,VLOOKUP($GO189,'Jan-2026 rates'!$L:$R,6,0),IF($LB189=100%,VLOOKUP($GO189,'Jan-2026 rates'!$L:$R,7,0),IF($LB189=60%,VLOOKUP($GO189,'Jan-2026 rates'!$L:$S,8,0),IF($LB189=80%,VLOOKUP($GO189,'Jan-2026 rates'!L:T,9,0),0))))))))</f>
        <v>0</v>
      </c>
      <c r="GU189" s="413"/>
      <c r="GV189" s="413"/>
      <c r="GW189" s="412"/>
      <c r="GX189" s="412"/>
      <c r="GY189" s="412"/>
      <c r="GZ189" s="412"/>
      <c r="HA189" s="412"/>
      <c r="HB189" s="412"/>
      <c r="HC189" s="409"/>
      <c r="HD189" s="398">
        <f>IF(HC189=0,0,IF(LEN(GU189)=11,_xlfn.XLOOKUP(GU189,'Dispensed Ink Rates'!C:C,'Dispensed Ink Rates'!CS:CS),VLOOKUP(GU189,'Jan-2026 rates'!$E:$F,2,0)))</f>
        <v>0</v>
      </c>
      <c r="HE189" s="409"/>
      <c r="HF189" s="398">
        <f>IF(HE189=0,0,IF(LEN(GV189)=11,_xlfn.XLOOKUP(GV189,'Dispensed Ink Rates'!C:C,'Dispensed Ink Rates'!CS:CS),VLOOKUP(GV189,'Jan-2026 rates'!$E:$F,2,0)))</f>
        <v>0</v>
      </c>
      <c r="HG189" s="409"/>
      <c r="HH189" s="398">
        <f>IF(HG189=0,0,IF(LEN(GW189)=11,_xlfn.XLOOKUP(GW189,'Dispensed Ink Rates'!C:C,'Dispensed Ink Rates'!CS:CS),VLOOKUP(GW189,'Jan-2026 rates'!$E:$F,2,0)))</f>
        <v>0</v>
      </c>
      <c r="HI189" s="409"/>
      <c r="HJ189" s="398">
        <f>IF(HI189=0,0,IF(LEN(GX189)=11,_xlfn.XLOOKUP(GX189,'Dispensed Ink Rates'!C:C,'Dispensed Ink Rates'!CS:CS),VLOOKUP(GX189,'Jan-2026 rates'!$E:$F,2,0)))</f>
        <v>0</v>
      </c>
      <c r="HK189" s="409"/>
      <c r="HL189" s="398">
        <f>IF(HK189=0,0,IF(LEN(GY189)=11,_xlfn.XLOOKUP(GY189,'Dispensed Ink Rates'!C:C,'Dispensed Ink Rates'!CS:CS),VLOOKUP(GY189,'Jan-2026 rates'!$E:$F,2,0)))</f>
        <v>0</v>
      </c>
      <c r="HM189" s="409"/>
      <c r="HN189" s="398">
        <f>IF(HM189=0,0,IF(LEN(GZ189)=11,_xlfn.XLOOKUP(GZ189,'Dispensed Ink Rates'!C:C,'Dispensed Ink Rates'!CS:CS),VLOOKUP(GZ189,'Jan-2026 rates'!$E:$F,2,0)))</f>
        <v>0</v>
      </c>
      <c r="HO189" s="409"/>
      <c r="HP189" s="398">
        <f>IF(HO189=0,0,IF(LEN(HA189)=11,_xlfn.XLOOKUP(HA189,'Dispensed Ink Rates'!C:C,'Dispensed Ink Rates'!CS:CS),VLOOKUP(HA189,'Jan-2026 rates'!$E:$F,2,0)))</f>
        <v>0</v>
      </c>
      <c r="HQ189" s="409"/>
      <c r="HR189" s="398">
        <f>IF(HQ189=0,0,IF(LEN(HB189)=11,_xlfn.XLOOKUP(HB189,'Dispensed Ink Rates'!C:C,'Dispensed Ink Rates'!CS:CS),VLOOKUP(HB189,'Jan-2026 rates'!$E:$F,2,0)))</f>
        <v>0</v>
      </c>
      <c r="HS189" s="409"/>
      <c r="HT189" s="409"/>
      <c r="HU189" s="411">
        <f t="shared" si="121"/>
        <v>0</v>
      </c>
      <c r="HV189" s="411">
        <f t="shared" si="122"/>
        <v>0</v>
      </c>
      <c r="HW189" s="414">
        <f t="shared" si="123"/>
        <v>0</v>
      </c>
      <c r="HX189" s="405"/>
      <c r="HY189" s="409"/>
      <c r="HZ189" s="420" t="str">
        <f t="shared" si="136"/>
        <v xml:space="preserve"> - </v>
      </c>
      <c r="IA189" s="409"/>
      <c r="IB189" s="411">
        <f>IF(IA189=0,0,IF($LB189=70%,VLOOKUP($HZ189,'Jan-2026 rates'!$L:$R,4,0),IF($LB189=65%,VLOOKUP($HZ189,'Jan-2026 rates'!$L:$R,4,0),IF($LB189=40%,VLOOKUP($HZ189,'Jan-2026 rates'!$L:$R,5,0),IF($LB189=30%,VLOOKUP($HZ189,'Jan-2026 rates'!$L:$R,6,0),IF($LB189=100%,VLOOKUP($HZ189,'Jan-2026 rates'!$L:$R,7,0),IF($LB189=60%,VLOOKUP($HZ189,'Jan-2026 rates'!$L:$S,8,0),IF($LB189=80%,VLOOKUP($HZ189,'Jan-2026 rates'!L:T,9,0),0))))))))</f>
        <v>0</v>
      </c>
      <c r="IC189" s="412"/>
      <c r="ID189" s="409"/>
      <c r="IE189" s="411">
        <f>IF(ID189=0,0,IF($LB189=70%,VLOOKUP($HZ189,'Jan-2026 rates'!$L:$R,4,0),IF($LB189=65%,VLOOKUP($HZ189,'Jan-2026 rates'!$L:$R,4,0),IF($LB189=40%,VLOOKUP($HZ189,'Jan-2026 rates'!$L:$R,5,0),IF($LB189=30%,VLOOKUP($HZ189,'Jan-2026 rates'!$L:$R,6,0),IF($LB189=100%,VLOOKUP($HZ189,'Jan-2026 rates'!$L:$R,7,0),IF($LB189=60%,VLOOKUP($HZ189,'Jan-2026 rates'!$L:$S,8,0),IF($LB189=80%,VLOOKUP($HZ189,'Jan-2026 rates'!L:T,9,0),0))))))))</f>
        <v>0</v>
      </c>
      <c r="IF189" s="412"/>
      <c r="IG189" s="413"/>
      <c r="IH189" s="412"/>
      <c r="II189" s="412"/>
      <c r="IJ189" s="412"/>
      <c r="IK189" s="412"/>
      <c r="IL189" s="412"/>
      <c r="IM189" s="412"/>
      <c r="IN189" s="409"/>
      <c r="IO189" s="398">
        <f>IF(IN189=0,0,IF(LEN(IF189)=11,_xlfn.XLOOKUP(IF189,'Dispensed Ink Rates'!C:C,'Dispensed Ink Rates'!CS:CS),VLOOKUP(IF189,'Jan-2026 rates'!$E:$F,2,0)))</f>
        <v>0</v>
      </c>
      <c r="IP189" s="409"/>
      <c r="IQ189" s="398">
        <f>IF(IP189=0,0,IF(LEN(IG189)=11,_xlfn.XLOOKUP(IG189,'Dispensed Ink Rates'!C:C,'Dispensed Ink Rates'!CS:CS),VLOOKUP(IG189,'Jan-2026 rates'!$E:$F,2,0)))</f>
        <v>0</v>
      </c>
      <c r="IR189" s="409"/>
      <c r="IS189" s="398">
        <f>IF(IR189=0,0,IF(LEN(IH189)=11,_xlfn.XLOOKUP(IH189,'Dispensed Ink Rates'!C:C,'Dispensed Ink Rates'!CS:CS),VLOOKUP(IH189,'Jan-2026 rates'!$E:$F,2,0)))</f>
        <v>0</v>
      </c>
      <c r="IT189" s="409"/>
      <c r="IU189" s="398">
        <f>IF(IT189=0,0,IF(LEN(II189)=11,_xlfn.XLOOKUP(II189,'Dispensed Ink Rates'!C:C,'Dispensed Ink Rates'!CS:CS),VLOOKUP(II189,'Jan-2026 rates'!$E:$F,2,0)))</f>
        <v>0</v>
      </c>
      <c r="IV189" s="409"/>
      <c r="IW189" s="398">
        <f>IF(IV189=0,0,IF(LEN(IJ189)=11,_xlfn.XLOOKUP(IJ189,'Dispensed Ink Rates'!C:C,'Dispensed Ink Rates'!CS:CS),VLOOKUP(IJ189,'Jan-2026 rates'!$E:$F,2,0)))</f>
        <v>0</v>
      </c>
      <c r="IX189" s="409"/>
      <c r="IY189" s="398">
        <f>IF(IX189=0,0,IF(LEN(IK189)=11,_xlfn.XLOOKUP(IK189,'Dispensed Ink Rates'!C:C,'Dispensed Ink Rates'!CS:CS),VLOOKUP(IK189,'Jan-2026 rates'!$E:$F,2,0)))</f>
        <v>0</v>
      </c>
      <c r="IZ189" s="409"/>
      <c r="JA189" s="398">
        <f>IF(IZ189=0,0,IF(LEN(IL189)=11,_xlfn.XLOOKUP(IL189,'Dispensed Ink Rates'!C:C,'Dispensed Ink Rates'!CS:CS),VLOOKUP(IL189,'Jan-2026 rates'!$E:$F,2,0)))</f>
        <v>0</v>
      </c>
      <c r="JB189" s="409"/>
      <c r="JC189" s="398">
        <f>IF(JB189=0,0,IF(LEN(IM189)=11,_xlfn.XLOOKUP(IM189,'Dispensed Ink Rates'!C:C,'Dispensed Ink Rates'!CS:CS),VLOOKUP(IM189,'Jan-2026 rates'!$E:$F,2,0)))</f>
        <v>0</v>
      </c>
      <c r="JD189" s="409"/>
      <c r="JE189" s="409"/>
      <c r="JF189" s="411">
        <f t="shared" si="124"/>
        <v>0</v>
      </c>
      <c r="JG189" s="411">
        <f t="shared" si="125"/>
        <v>0</v>
      </c>
      <c r="JH189" s="410">
        <f t="shared" si="126"/>
        <v>0</v>
      </c>
      <c r="JI189" s="405"/>
      <c r="JJ189" s="409"/>
      <c r="JK189" s="420" t="str">
        <f t="shared" si="137"/>
        <v xml:space="preserve"> - </v>
      </c>
      <c r="JL189" s="409"/>
      <c r="JM189" s="411">
        <f>IF(JL189=0,0,IF($LB189=70%,VLOOKUP($JK189,'Jan-2026 rates'!$L:$R,4,0),IF($LB189=65%,VLOOKUP($JK189,'Jan-2026 rates'!$L:$R,4,0),IF($LB189=40%,VLOOKUP($JK189,'Jan-2026 rates'!$L:$R,5,0),IF($LB189=30%,VLOOKUP($JK189,'Jan-2026 rates'!$L:$R,6,0),IF($LB189=100%,VLOOKUP($JK189,'Jan-2026 rates'!$L:$R,7,0),IF($LB189=60%,VLOOKUP($JK189,'Jan-2026 rates'!$L:$S,8,0),IF($LB189=80%,VLOOKUP($JK189,'Jan-2026 rates'!L:T,9,0),0))))))))</f>
        <v>0</v>
      </c>
      <c r="JN189" s="412"/>
      <c r="JO189" s="409"/>
      <c r="JP189" s="411">
        <f>IF(JO189=0,0,IF($LB189=70%,VLOOKUP($JK189,'Jan-2026 rates'!$L:$R,4,0),IF($LB189=65%,VLOOKUP($JK189,'Jan-2026 rates'!$L:$R,4,0),IF($LB189=40%,VLOOKUP($JK189,'Jan-2026 rates'!$L:$R,5,0),IF($LB189=30%,VLOOKUP($JK189,'Jan-2026 rates'!$L:$R,6,0),IF($LB189=100%,VLOOKUP($JK189,'Jan-2026 rates'!$L:$R,7,0),IF($LB189=60%,VLOOKUP($JK189,'Jan-2026 rates'!$L:$S,8,0),IF($LB189=80%,VLOOKUP($JK189,'Jan-2026 rates'!L:T,9,0),0))))))))</f>
        <v>0</v>
      </c>
      <c r="JQ189" s="413"/>
      <c r="JR189" s="412"/>
      <c r="JS189" s="413"/>
      <c r="JT189" s="413"/>
      <c r="JU189" s="412"/>
      <c r="JV189" s="412"/>
      <c r="JW189" s="412"/>
      <c r="JX189" s="412"/>
      <c r="JY189" s="409"/>
      <c r="JZ189" s="398">
        <f>IF(JY189=0,0,IF(LEN(JQ189)=11,_xlfn.XLOOKUP(JQ189,'Dispensed Ink Rates'!C:C,'Dispensed Ink Rates'!CS:CS),VLOOKUP(JQ189,'Jan-2026 rates'!$E:$F,2,0)))</f>
        <v>0</v>
      </c>
      <c r="KA189" s="409"/>
      <c r="KB189" s="398">
        <f>IF(KA189=0,0,IF(LEN(JR189)=11,_xlfn.XLOOKUP(JR189,'Dispensed Ink Rates'!C:C,'Dispensed Ink Rates'!CS:CS),VLOOKUP(JR189,'Jan-2026 rates'!$E:$F,2,0)))</f>
        <v>0</v>
      </c>
      <c r="KC189" s="409"/>
      <c r="KD189" s="398">
        <f>IF(KC189=0,0,IF(LEN(JS189)=11,_xlfn.XLOOKUP(JS189,'Dispensed Ink Rates'!C:C,'Dispensed Ink Rates'!CS:CS),VLOOKUP(JS189,'Jan-2026 rates'!$E:$F,2,0)))</f>
        <v>0</v>
      </c>
      <c r="KE189" s="409"/>
      <c r="KF189" s="398">
        <f>IF(KE189=0,0,IF(LEN(JT189)=11,_xlfn.XLOOKUP(JT189,'Dispensed Ink Rates'!C:C,'Dispensed Ink Rates'!CS:CS),VLOOKUP(JT189,'Jan-2026 rates'!$E:$F,2,0)))</f>
        <v>0</v>
      </c>
      <c r="KG189" s="409"/>
      <c r="KH189" s="398">
        <f>IF(KG189=0,0,IF(LEN(JU189)=11,_xlfn.XLOOKUP(JU189,'Dispensed Ink Rates'!C:C,'Dispensed Ink Rates'!CS:CS),VLOOKUP(JU189,'Jan-2026 rates'!$E:$F,2,0)))</f>
        <v>0</v>
      </c>
      <c r="KI189" s="409"/>
      <c r="KJ189" s="398">
        <f>IF(KI189=0,0,IF(LEN(JV189)=11,_xlfn.XLOOKUP(JV189,'Dispensed Ink Rates'!C:C,'Dispensed Ink Rates'!CS:CS),VLOOKUP(JV189,'Jan-2026 rates'!$E:$F,2,0)))</f>
        <v>0</v>
      </c>
      <c r="KK189" s="409"/>
      <c r="KL189" s="398">
        <f>IF(KK189=0,0,IF(LEN(JW189)=11,_xlfn.XLOOKUP(JW189,'Dispensed Ink Rates'!C:C,'Dispensed Ink Rates'!CS:CS),VLOOKUP(JW189,'Jan-2026 rates'!$E:$F,2,0)))</f>
        <v>0</v>
      </c>
      <c r="KM189" s="428"/>
      <c r="KN189" s="398">
        <f>IF(KM189=0,0,IF(LEN(JX189)=11,_xlfn.XLOOKUP(JX189,'Dispensed Ink Rates'!C:C,'Dispensed Ink Rates'!CS:CS),VLOOKUP(JX189,'Jan-2026 rates'!$E:$F,2,0)))</f>
        <v>0</v>
      </c>
      <c r="KO189" s="409"/>
      <c r="KP189" s="409"/>
      <c r="KQ189" s="411">
        <f t="shared" si="127"/>
        <v>0</v>
      </c>
      <c r="KR189" s="411">
        <f t="shared" si="128"/>
        <v>0</v>
      </c>
      <c r="KS189" s="410">
        <f t="shared" si="129"/>
        <v>0</v>
      </c>
      <c r="KT189" s="409">
        <v>2</v>
      </c>
      <c r="KU189" s="409">
        <v>2</v>
      </c>
      <c r="KV189" s="409">
        <v>0</v>
      </c>
      <c r="KW189" s="409">
        <v>0</v>
      </c>
      <c r="KX189" s="409">
        <v>0</v>
      </c>
      <c r="KY189" s="409">
        <v>0</v>
      </c>
      <c r="KZ189" s="409">
        <v>0</v>
      </c>
      <c r="LA189" s="409">
        <v>0</v>
      </c>
      <c r="LB189" s="415">
        <v>0.3</v>
      </c>
      <c r="LC189" s="415"/>
      <c r="LD189" s="415"/>
      <c r="LE189" s="415">
        <v>0.5</v>
      </c>
      <c r="LF189" s="415">
        <v>0.2</v>
      </c>
      <c r="LG189" s="409">
        <v>0</v>
      </c>
      <c r="LH189" s="409">
        <f>5+5+3+5+2</f>
        <v>20</v>
      </c>
      <c r="LI189" s="409">
        <v>0</v>
      </c>
      <c r="LJ189" s="409">
        <v>0</v>
      </c>
      <c r="LK189" s="416">
        <f t="shared" si="138"/>
        <v>20</v>
      </c>
      <c r="LL189" s="416">
        <f t="shared" si="139"/>
        <v>20</v>
      </c>
      <c r="LM189" s="417">
        <f t="shared" si="140"/>
        <v>6</v>
      </c>
      <c r="LN189" s="417">
        <f>VLOOKUP($LM$8,'Jan-2026 rates'!$H:$I,2,0)</f>
        <v>0</v>
      </c>
      <c r="LO189" s="417">
        <f t="shared" si="141"/>
        <v>0</v>
      </c>
      <c r="LP189" s="417">
        <f>VLOOKUP($LO$8,'Jan-2026 rates'!$H:$I,2,0)</f>
        <v>0</v>
      </c>
      <c r="LQ189" s="417">
        <f t="shared" si="142"/>
        <v>0</v>
      </c>
      <c r="LR189" s="417">
        <f>VLOOKUP($LQ$8,'Jan-2026 rates'!$H:$I,2,0)</f>
        <v>0</v>
      </c>
      <c r="LS189" s="417">
        <f t="shared" si="143"/>
        <v>10</v>
      </c>
      <c r="LT189" s="417">
        <f>VLOOKUP($LS$8,'Jan-2026 rates'!$H:$I,2,0)</f>
        <v>0</v>
      </c>
      <c r="LU189" s="417">
        <f t="shared" si="144"/>
        <v>4</v>
      </c>
      <c r="LV189" s="417">
        <f>VLOOKUP($LU$8,'Jan-2026 rates'!$H:$I,2,0)</f>
        <v>0</v>
      </c>
      <c r="LW189" s="417">
        <f t="shared" si="145"/>
        <v>0</v>
      </c>
      <c r="LX189" s="417">
        <f t="shared" si="146"/>
        <v>0</v>
      </c>
      <c r="LY189" s="418">
        <f t="shared" si="147"/>
        <v>0</v>
      </c>
      <c r="LZ189" s="417"/>
      <c r="MA189" s="435">
        <f t="shared" si="148"/>
        <v>5</v>
      </c>
      <c r="MB189" s="282">
        <f t="shared" si="149"/>
        <v>27</v>
      </c>
      <c r="MC189" s="283" t="s">
        <v>2024</v>
      </c>
      <c r="MD189" s="284" t="str">
        <f t="shared" si="150"/>
        <v>ToyoLiToyoLi</v>
      </c>
      <c r="ME189" s="293" t="str">
        <f t="shared" si="151"/>
        <v>+</v>
      </c>
      <c r="MF189" s="293" t="str">
        <f t="shared" si="152"/>
        <v>+</v>
      </c>
      <c r="MG189" s="293" t="str">
        <f t="shared" si="153"/>
        <v>NIL</v>
      </c>
      <c r="MH189" s="293" t="str">
        <f t="shared" si="154"/>
        <v>NIL</v>
      </c>
      <c r="MI189" s="293" t="str">
        <f t="shared" si="155"/>
        <v>NIL</v>
      </c>
      <c r="MJ189" s="293" t="str">
        <f t="shared" si="156"/>
        <v>NIL</v>
      </c>
      <c r="MK189" s="293" t="str">
        <f t="shared" si="157"/>
        <v>NIL</v>
      </c>
      <c r="ML189" s="293" t="str">
        <f t="shared" si="158"/>
        <v>NIL</v>
      </c>
      <c r="MM189" s="3" t="b">
        <f t="array" ref="MM189">OR(ME189:ML189="-")</f>
        <v>0</v>
      </c>
      <c r="MN189" s="285"/>
      <c r="MO189" s="401"/>
      <c r="MP189" s="286"/>
      <c r="MQ189" s="286"/>
      <c r="MR189" s="402"/>
      <c r="MS189" s="400"/>
      <c r="NH189" s="422"/>
      <c r="NJ189" s="421"/>
    </row>
    <row r="190" spans="1:374" s="1" customFormat="1" ht="16.5">
      <c r="A190" s="403">
        <v>46036</v>
      </c>
      <c r="B190" s="404" t="s">
        <v>1018</v>
      </c>
      <c r="C190" s="405" t="s">
        <v>3681</v>
      </c>
      <c r="D190" s="406" t="s">
        <v>2025</v>
      </c>
      <c r="E190" s="404">
        <v>222</v>
      </c>
      <c r="F190" s="407">
        <v>12100</v>
      </c>
      <c r="G190" s="407" t="s">
        <v>1016</v>
      </c>
      <c r="H190" s="408" t="s">
        <v>1017</v>
      </c>
      <c r="I190" s="409">
        <f>1.68+1.21</f>
        <v>2.8899999999999997</v>
      </c>
      <c r="J190" s="405" t="s">
        <v>543</v>
      </c>
      <c r="K190" s="404" t="s">
        <v>3682</v>
      </c>
      <c r="L190" s="419" t="str">
        <f t="shared" si="131"/>
        <v>ToyoLi - BLACK</v>
      </c>
      <c r="M190" s="404">
        <v>27</v>
      </c>
      <c r="N190" s="410">
        <f>IF(M190=0,0,IF($LB190=70%,VLOOKUP($L190,'Jan-2026 rates'!$L:$R,4,0),IF($LB190=65%,VLOOKUP($L190,'Jan-2026 rates'!$L:$R,4,0),IF($LB190=40%,VLOOKUP($L190,'Jan-2026 rates'!$L:$R,5,0),IF($LB190=30%,VLOOKUP($L190,'Jan-2026 rates'!$L:$R,6,0),IF($LB190=100%,VLOOKUP($L190,'Jan-2026 rates'!$L:$R,7,0),IF($LB190=60%,VLOOKUP($L190,'Jan-2026 rates'!$L:$S,8,0),IF($LB190=80%,VLOOKUP($L190,'Jan-2026 rates'!L:T,9,0),0))))))))</f>
        <v>0</v>
      </c>
      <c r="O190" s="406"/>
      <c r="P190" s="404"/>
      <c r="Q190" s="410">
        <f>IF(P190=0,0,IF($LB190=70%,VLOOKUP($L190,'Jan-2026 rates'!$L:$R,4,0),IF($LB190=65%,VLOOKUP($L190,'Jan-2026 rates'!$L:$R,4,0),IF($LB190=40%,VLOOKUP($L190,'Jan-2026 rates'!$L:$R,5,0),IF($LB190=30%,VLOOKUP($L190,'Jan-2026 rates'!$L:$R,6,0),IF($LB190=100%,VLOOKUP($L190,'Jan-2026 rates'!$L:$R,7,0),IF($LB190=60%,VLOOKUP($L190,'Jan-2026 rates'!$L:$S,8,0),IF($LB190=80%,VLOOKUP($L190,'Jan-2026 rates'!L:T,9,0),0))))))))</f>
        <v>0</v>
      </c>
      <c r="R190" s="406" t="s">
        <v>1252</v>
      </c>
      <c r="S190" s="406"/>
      <c r="T190" s="406"/>
      <c r="U190" s="406"/>
      <c r="V190" s="406"/>
      <c r="W190" s="406"/>
      <c r="X190" s="406"/>
      <c r="Y190" s="406"/>
      <c r="Z190" s="404">
        <v>2</v>
      </c>
      <c r="AA190" s="398">
        <f>IF(Z190=0,0,IF(LEN(R190)=11,_xlfn.XLOOKUP(R190,'Dispensed Ink Rates'!C:C,'Dispensed Ink Rates'!CS:CS),VLOOKUP(R190,'Jan-2026 rates'!$E:$F,2,0)))</f>
        <v>0</v>
      </c>
      <c r="AB190" s="404"/>
      <c r="AC190" s="398">
        <f>IF(AB190=0,0,IF(LEN(S190)=11,_xlfn.XLOOKUP(S190,'Dispensed Ink Rates'!C:C,'Dispensed Ink Rates'!CS:CS),VLOOKUP(S190,'Jan-2026 rates'!$E:$F,2,0)))</f>
        <v>0</v>
      </c>
      <c r="AD190" s="404"/>
      <c r="AE190" s="398">
        <f>IF(AD190=0,0,IF(LEN(T190)=11,_xlfn.XLOOKUP(T190,'Dispensed Ink Rates'!C:C,'Dispensed Ink Rates'!CS:CS),VLOOKUP(T190,'Jan-2026 rates'!$E:$F,2,0)))</f>
        <v>0</v>
      </c>
      <c r="AF190" s="404"/>
      <c r="AG190" s="398">
        <f>IF(AF190=0,0,IF(LEN(U190)=11,_xlfn.XLOOKUP(U190,'Dispensed Ink Rates'!C:C,'Dispensed Ink Rates'!CS:CS),VLOOKUP(U190,'Jan-2026 rates'!$E:$F,2,0)))</f>
        <v>0</v>
      </c>
      <c r="AH190" s="404"/>
      <c r="AI190" s="398">
        <f>IF(AH190=0,0,IF(LEN(V190)=11,_xlfn.XLOOKUP(V190,'Dispensed Ink Rates'!C:C,'Dispensed Ink Rates'!CS:CS),VLOOKUP(V190,'Jan-2026 rates'!$E:$F,2,0)))</f>
        <v>0</v>
      </c>
      <c r="AJ190" s="404"/>
      <c r="AK190" s="398">
        <f>IF(AJ190=0,0,IF(LEN(W190)=11,_xlfn.XLOOKUP(W190,'Dispensed Ink Rates'!C:C,'Dispensed Ink Rates'!CS:CS),VLOOKUP(W190,'Jan-2026 rates'!$E:$F,2,0)))</f>
        <v>0</v>
      </c>
      <c r="AL190" s="404"/>
      <c r="AM190" s="398">
        <f>IF(AL190=0,0,IF(LEN(X190)=11,_xlfn.XLOOKUP(X190,'Dispensed Ink Rates'!C:C,'Dispensed Ink Rates'!CS:CS),VLOOKUP(X190,'Jan-2026 rates'!$E:$F,2,0)))</f>
        <v>0</v>
      </c>
      <c r="AN190" s="404"/>
      <c r="AO190" s="398">
        <f>IF(AN190=0,0,IF(LEN(Y190)=11,_xlfn.XLOOKUP(Y190,'Dispensed Ink Rates'!C:C,'Dispensed Ink Rates'!CS:CS),VLOOKUP(Y190,'Jan-2026 rates'!$E:$F,2,0)))</f>
        <v>0</v>
      </c>
      <c r="AP190" s="409" t="s">
        <v>1881</v>
      </c>
      <c r="AQ190" s="409">
        <v>29</v>
      </c>
      <c r="AR190" s="410">
        <f t="shared" si="106"/>
        <v>0</v>
      </c>
      <c r="AS190" s="411">
        <f t="shared" si="107"/>
        <v>10.787878787878789</v>
      </c>
      <c r="AT190" s="410">
        <f t="shared" si="108"/>
        <v>0</v>
      </c>
      <c r="AU190" s="405" t="s">
        <v>857</v>
      </c>
      <c r="AV190" s="409" t="s">
        <v>3683</v>
      </c>
      <c r="AW190" s="420" t="str">
        <f t="shared" si="130"/>
        <v>ToyoLi - RED</v>
      </c>
      <c r="AX190" s="409">
        <v>22</v>
      </c>
      <c r="AY190" s="411">
        <f>IF(AX190=0,0,IF($LB190=70%,VLOOKUP($AW190,'Jan-2026 rates'!$L:$R,4,0),IF($LB190=65%,VLOOKUP($AW190,'Jan-2026 rates'!$L:$R,4,0),IF($LB190=40%,VLOOKUP($AW190,'Jan-2026 rates'!$L:$R,5,0),IF($LB190=30%,VLOOKUP($AW190,'Jan-2026 rates'!$L:$R,6,0),IF($LB190=100%,VLOOKUP($AW190,'Jan-2026 rates'!$L:$R,7,0),IF($LB190=60%,VLOOKUP($AW190,'Jan-2026 rates'!$L:$S,8,0),IF($LB190=80%,VLOOKUP($AW190,'Jan-2026 rates'!L:T,9,0),0))))))))</f>
        <v>0</v>
      </c>
      <c r="AZ190" s="412" t="s">
        <v>3684</v>
      </c>
      <c r="BA190" s="409">
        <v>20</v>
      </c>
      <c r="BB190" s="411">
        <f>IF(BA190=0,0,IF($LB190=70%,VLOOKUP($AW190,'Jan-2026 rates'!$L:$R,4,0),IF($LB190=65%,VLOOKUP($AW190,'Jan-2026 rates'!$L:$R,4,0),IF($LB190=40%,VLOOKUP($AW190,'Jan-2026 rates'!$L:$R,5,0),IF($LB190=30%,VLOOKUP($AW190,'Jan-2026 rates'!$L:$R,6,0),IF($LB190=100%,VLOOKUP($AW190,'Jan-2026 rates'!$L:$R,7,0),IF($LB190=60%,VLOOKUP($AW190,'Jan-2026 rates'!$L:$S,8,0),IF($LB190=80%,VLOOKUP($AW190,'Jan-2026 rates'!L:T,9,0),0))))))))</f>
        <v>0</v>
      </c>
      <c r="BC190" s="413" t="s">
        <v>1246</v>
      </c>
      <c r="BD190" s="412" t="s">
        <v>1248</v>
      </c>
      <c r="BE190" s="412"/>
      <c r="BF190" s="413"/>
      <c r="BG190" s="412"/>
      <c r="BH190" s="412"/>
      <c r="BI190" s="412"/>
      <c r="BJ190" s="412"/>
      <c r="BK190" s="409">
        <v>8</v>
      </c>
      <c r="BL190" s="398">
        <f>IF(BK190=0,0,IF(LEN(BC190)=11,_xlfn.XLOOKUP(BC190,'Dispensed Ink Rates'!C:C,'Dispensed Ink Rates'!CS:CS),VLOOKUP(BC190,'Jan-2026 rates'!$E:$F,2,0)))</f>
        <v>0</v>
      </c>
      <c r="BM190" s="409">
        <v>3</v>
      </c>
      <c r="BN190" s="398">
        <f>IF(BM190=0,0,IF(LEN(BD190)=11,_xlfn.XLOOKUP(BD190,'Dispensed Ink Rates'!C:C,'Dispensed Ink Rates'!CS:CS),VLOOKUP(BD190,'Jan-2026 rates'!$E:$F,2,0)))</f>
        <v>0</v>
      </c>
      <c r="BO190" s="409"/>
      <c r="BP190" s="398">
        <f>IF(BO190=0,0,IF(LEN(BE190)=11,_xlfn.XLOOKUP(BE190,'Dispensed Ink Rates'!C:C,'Dispensed Ink Rates'!CS:CS),VLOOKUP(BE190,'Jan-2026 rates'!$E:$F,2,0)))</f>
        <v>0</v>
      </c>
      <c r="BQ190" s="409"/>
      <c r="BR190" s="398">
        <f>IF(BQ190=0,0,IF(LEN(BF190)=11,_xlfn.XLOOKUP(BF190,'Dispensed Ink Rates'!C:C,'Dispensed Ink Rates'!CS:CS),VLOOKUP(BF190,'Jan-2026 rates'!$E:$F,2,0)))</f>
        <v>0</v>
      </c>
      <c r="BS190" s="409"/>
      <c r="BT190" s="398">
        <f>IF(BS190=0,0,IF(LEN(BG190)=11,_xlfn.XLOOKUP(BG190,'Dispensed Ink Rates'!C:C,'Dispensed Ink Rates'!CS:CS),VLOOKUP(BG190,'Jan-2026 rates'!$E:$F,2,0)))</f>
        <v>0</v>
      </c>
      <c r="BU190" s="409"/>
      <c r="BV190" s="398">
        <f>IF(BU190=0,0,IF(LEN(BH190)=11,_xlfn.XLOOKUP(BH190,'Dispensed Ink Rates'!C:C,'Dispensed Ink Rates'!CS:CS),VLOOKUP(BH190,'Jan-2026 rates'!$E:$F,2,0)))</f>
        <v>0</v>
      </c>
      <c r="BW190" s="409"/>
      <c r="BX190" s="398">
        <f>IF(BW190=0,0,IF(LEN(BI190)=11,_xlfn.XLOOKUP(BI190,'Dispensed Ink Rates'!C:C,'Dispensed Ink Rates'!CS:CS),VLOOKUP(BI190,'Jan-2026 rates'!$E:$F,2,0)))</f>
        <v>0</v>
      </c>
      <c r="BY190" s="409"/>
      <c r="BZ190" s="398">
        <f>IF(BY190=0,0,IF(LEN(BJ190)=11,_xlfn.XLOOKUP(BJ190,'Dispensed Ink Rates'!C:C,'Dispensed Ink Rates'!CS:CS),VLOOKUP(BJ190,'Jan-2026 rates'!$E:$F,2,0)))</f>
        <v>0</v>
      </c>
      <c r="CA190" s="409" t="s">
        <v>1881</v>
      </c>
      <c r="CB190" s="409">
        <v>20</v>
      </c>
      <c r="CC190" s="411">
        <f t="shared" si="109"/>
        <v>0</v>
      </c>
      <c r="CD190" s="411">
        <f t="shared" si="110"/>
        <v>46.484848484848484</v>
      </c>
      <c r="CE190" s="410">
        <f t="shared" si="111"/>
        <v>0</v>
      </c>
      <c r="CF190" s="404" t="s">
        <v>547</v>
      </c>
      <c r="CG190" s="409" t="s">
        <v>3685</v>
      </c>
      <c r="CH190" s="420" t="str">
        <f t="shared" si="132"/>
        <v>ToyoLi - GREEN</v>
      </c>
      <c r="CI190" s="409">
        <v>23</v>
      </c>
      <c r="CJ190" s="411">
        <f>IF(CI190=0,0,IF($LB190=70%,VLOOKUP($CH190,'Jan-2026 rates'!$L:$R,4,0),IF($LB190=65%,VLOOKUP($CH190,'Jan-2026 rates'!$L:$R,4,0),IF($LB190=40%,VLOOKUP($CH190,'Jan-2026 rates'!$L:$R,5,0),IF($LB190=30%,VLOOKUP($CH190,'Jan-2026 rates'!$L:$R,6,0),IF($LB190=100%,VLOOKUP($CH190,'Jan-2026 rates'!$L:$R,7,0),IF($LB190=60%,VLOOKUP($CH190,'Jan-2026 rates'!$L:$S,8,0),IF($LB190=80%,VLOOKUP($CH190,'Jan-2026 rates'!L:T,9,0),0))))))))</f>
        <v>0</v>
      </c>
      <c r="CK190" s="412"/>
      <c r="CL190" s="409"/>
      <c r="CM190" s="411">
        <f>IF(CL190=0,0,IF($LB190=70%,VLOOKUP($CH190,'Jan-2026 rates'!$L:$R,4,0),IF($LB190=65%,VLOOKUP($CH190,'Jan-2026 rates'!$L:$R,4,0),IF($LB190=40%,VLOOKUP($CH190,'Jan-2026 rates'!$L:$R,5,0),IF($LB190=30%,VLOOKUP($CH190,'Jan-2026 rates'!$L:$R,6,0),IF($LB190=100%,VLOOKUP($CH190,'Jan-2026 rates'!$L:$R,7,0),IF($LB190=60%,VLOOKUP($CH190,'Jan-2026 rates'!$L:$S,8,0),IF($LB190=80%,VLOOKUP($CH190,'Jan-2026 rates'!L:T,9,0),0))))))))</f>
        <v>0</v>
      </c>
      <c r="CN190" s="426" t="s">
        <v>1250</v>
      </c>
      <c r="CO190" s="427"/>
      <c r="CP190" s="426"/>
      <c r="CQ190" s="426"/>
      <c r="CR190" s="428"/>
      <c r="CS190" s="428"/>
      <c r="CT190" s="428"/>
      <c r="CU190" s="428"/>
      <c r="CV190" s="409">
        <v>1</v>
      </c>
      <c r="CW190" s="398">
        <f>IF(CV190=0,0,IF(LEN(CN190)=11,_xlfn.XLOOKUP(CN190,'Dispensed Ink Rates'!C:C,'Dispensed Ink Rates'!CS:CS),VLOOKUP(CN190,'Jan-2026 rates'!$E:$F,2,0)))</f>
        <v>0</v>
      </c>
      <c r="CX190" s="409"/>
      <c r="CY190" s="398">
        <f>IF(CX190=0,0,IF(LEN(CO190)=11,_xlfn.XLOOKUP(CO190,'Dispensed Ink Rates'!C:C,'Dispensed Ink Rates'!CS:CS),VLOOKUP(CO190,'Jan-2026 rates'!$E:$F,2,0)))</f>
        <v>0</v>
      </c>
      <c r="CZ190" s="409"/>
      <c r="DA190" s="398">
        <f>IF(CZ190=0,0,IF(LEN(CP190)=11,_xlfn.XLOOKUP(CP190,'Dispensed Ink Rates'!C:C,'Dispensed Ink Rates'!CS:CS),VLOOKUP(CP190,'Jan-2026 rates'!$E:$F,2,0)))</f>
        <v>0</v>
      </c>
      <c r="DB190" s="409"/>
      <c r="DC190" s="398">
        <f>IF(DB190=0,0,IF(LEN(CQ190)=11,_xlfn.XLOOKUP(CQ190,'Dispensed Ink Rates'!C:C,'Dispensed Ink Rates'!CS:CS),VLOOKUP(CQ190,'Jan-2026 rates'!$E:$F,2,0)))</f>
        <v>0</v>
      </c>
      <c r="DD190" s="409"/>
      <c r="DE190" s="398">
        <f>IF(DD190=0,0,IF(LEN(CR190)=11,_xlfn.XLOOKUP(CR190,'Dispensed Ink Rates'!C:C,'Dispensed Ink Rates'!CS:CS),VLOOKUP(CR190,'Jan-2026 rates'!$E:$F,2,0)))</f>
        <v>0</v>
      </c>
      <c r="DF190" s="409"/>
      <c r="DG190" s="398">
        <f>IF(DF190=0,0,IF(LEN(CS190)=11,_xlfn.XLOOKUP(CS190,'Dispensed Ink Rates'!C:C,'Dispensed Ink Rates'!CS:CS),VLOOKUP(CS190,'Jan-2026 rates'!$E:$F,2,0)))</f>
        <v>0</v>
      </c>
      <c r="DH190" s="409"/>
      <c r="DI190" s="398">
        <f>IF(DH190=0,0,IF(LEN(CT190)=11,_xlfn.XLOOKUP(CT190,'Dispensed Ink Rates'!C:C,'Dispensed Ink Rates'!CS:CS),VLOOKUP(CT190,'Jan-2026 rates'!$E:$F,2,0)))</f>
        <v>0</v>
      </c>
      <c r="DJ190" s="409"/>
      <c r="DK190" s="398">
        <f>IF(DJ190=0,0,IF(LEN(CU190)=11,_xlfn.XLOOKUP(CU190,'Dispensed Ink Rates'!C:C,'Dispensed Ink Rates'!CS:CS),VLOOKUP(CU190,'Jan-2026 rates'!$E:$F,2,0)))</f>
        <v>0</v>
      </c>
      <c r="DL190" s="409" t="s">
        <v>1881</v>
      </c>
      <c r="DM190" s="409">
        <v>25</v>
      </c>
      <c r="DN190" s="411">
        <f t="shared" si="112"/>
        <v>0</v>
      </c>
      <c r="DO190" s="411">
        <f t="shared" si="113"/>
        <v>4.3939393939393945</v>
      </c>
      <c r="DP190" s="410">
        <f t="shared" si="114"/>
        <v>0</v>
      </c>
      <c r="DQ190" s="405" t="s">
        <v>828</v>
      </c>
      <c r="DR190" s="409" t="s">
        <v>3686</v>
      </c>
      <c r="DS190" s="420" t="str">
        <f t="shared" si="133"/>
        <v>ToyoLi - ORANGE</v>
      </c>
      <c r="DT190" s="409">
        <v>28</v>
      </c>
      <c r="DU190" s="411">
        <f>IF(DT190=0,0,IF($LB190=70%,VLOOKUP($DS190,'Jan-2026 rates'!$L:$R,4,0),IF($LB190=65%,VLOOKUP($DS190,'Jan-2026 rates'!$L:$R,4,0),IF($LB190=40%,VLOOKUP($DS190,'Jan-2026 rates'!$L:$R,5,0),IF($LB190=30%,VLOOKUP($DS190,'Jan-2026 rates'!$L:$R,6,0),IF($LB190=100%,VLOOKUP($DS190,'Jan-2026 rates'!$L:$R,7,0),IF($LB190=60%,VLOOKUP($DS190,'Jan-2026 rates'!$L:$S,8,0),IF($LB190=80%,VLOOKUP($DS190,'Jan-2026 rates'!L:T,9,0),0))))))))</f>
        <v>0</v>
      </c>
      <c r="DV190" s="412"/>
      <c r="DW190" s="409"/>
      <c r="DX190" s="411">
        <f>IF(DW190=0,0,IF($LB190=70%,VLOOKUP($DS190,'Jan-2026 rates'!$L:$R,4,0),IF($LB190=65%,VLOOKUP($DS190,'Jan-2026 rates'!$L:$R,4,0),IF($LB190=40%,VLOOKUP($DS190,'Jan-2026 rates'!$L:$R,5,0),IF($LB190=30%,VLOOKUP($DS190,'Jan-2026 rates'!$L:$R,6,0),IF($LB190=100%,VLOOKUP($DS190,'Jan-2026 rates'!$L:$R,7,0),IF($LB190=60%,VLOOKUP($DS190,'Jan-2026 rates'!$L:$S,8,0),IF($LB190=80%,VLOOKUP($DS190,'Jan-2026 rates'!L:T,9,0),0))))))))</f>
        <v>0</v>
      </c>
      <c r="DY190" s="413" t="s">
        <v>1247</v>
      </c>
      <c r="DZ190" s="413"/>
      <c r="EA190" s="412"/>
      <c r="EB190" s="412"/>
      <c r="EC190" s="412"/>
      <c r="ED190" s="412"/>
      <c r="EE190" s="412"/>
      <c r="EF190" s="412"/>
      <c r="EG190" s="409">
        <v>1</v>
      </c>
      <c r="EH190" s="398">
        <f>IF(EG190=0,0,IF(LEN(DY190)=11,_xlfn.XLOOKUP(DY190,'Dispensed Ink Rates'!C:C,'Dispensed Ink Rates'!CS:CS),VLOOKUP(DY190,'Jan-2026 rates'!$E:$F,2,0)))</f>
        <v>0</v>
      </c>
      <c r="EI190" s="409"/>
      <c r="EJ190" s="398">
        <f>IF(EI190=0,0,IF(LEN(DZ190)=11,_xlfn.XLOOKUP(DZ190,'Dispensed Ink Rates'!C:C,'Dispensed Ink Rates'!CS:CS),VLOOKUP(DZ190,'Jan-2026 rates'!$E:$F,2,0)))</f>
        <v>0</v>
      </c>
      <c r="EK190" s="409"/>
      <c r="EL190" s="398">
        <f>IF(EK190=0,0,IF(LEN(EA190)=11,_xlfn.XLOOKUP(EA190,'Dispensed Ink Rates'!C:C,'Dispensed Ink Rates'!CS:CS),VLOOKUP(EA190,'Jan-2026 rates'!$E:$F,2,0)))</f>
        <v>0</v>
      </c>
      <c r="EM190" s="409"/>
      <c r="EN190" s="398">
        <f>IF(EM190=0,0,IF(LEN(EB190)=11,_xlfn.XLOOKUP(EB190,'Dispensed Ink Rates'!C:C,'Dispensed Ink Rates'!CS:CS),VLOOKUP(EB190,'Jan-2026 rates'!$E:$F,2,0)))</f>
        <v>0</v>
      </c>
      <c r="EO190" s="409"/>
      <c r="EP190" s="398">
        <f>IF(EO190=0,0,IF(LEN(EC190)=11,_xlfn.XLOOKUP(EC190,'Dispensed Ink Rates'!C:C,'Dispensed Ink Rates'!CS:CS),VLOOKUP(EC190,'Jan-2026 rates'!$E:$F,2,0)))</f>
        <v>0</v>
      </c>
      <c r="EQ190" s="409"/>
      <c r="ER190" s="398">
        <f>IF(EQ190=0,0,IF(LEN(ED190)=11,_xlfn.XLOOKUP(ED190,'Dispensed Ink Rates'!C:C,'Dispensed Ink Rates'!CS:CS),VLOOKUP(ED190,'Jan-2026 rates'!$E:$F,2,0)))</f>
        <v>0</v>
      </c>
      <c r="ES190" s="409"/>
      <c r="ET190" s="398">
        <f>IF(ES190=0,0,IF(LEN(EE190)=11,_xlfn.XLOOKUP(EE190,'Dispensed Ink Rates'!C:C,'Dispensed Ink Rates'!CS:CS),VLOOKUP(EE190,'Jan-2026 rates'!$E:$F,2,0)))</f>
        <v>0</v>
      </c>
      <c r="EU190" s="409"/>
      <c r="EV190" s="398">
        <f>IF(EU190=0,0,IF(LEN(EF190)=11,_xlfn.XLOOKUP(EF190,'Dispensed Ink Rates'!C:C,'Dispensed Ink Rates'!CS:CS),VLOOKUP(EF190,'Jan-2026 rates'!$E:$F,2,0)))</f>
        <v>0</v>
      </c>
      <c r="EW190" s="409" t="s">
        <v>1881</v>
      </c>
      <c r="EX190" s="409">
        <v>27</v>
      </c>
      <c r="EY190" s="411">
        <f t="shared" si="115"/>
        <v>0</v>
      </c>
      <c r="EZ190" s="411">
        <f t="shared" si="116"/>
        <v>2</v>
      </c>
      <c r="FA190" s="410">
        <f t="shared" si="117"/>
        <v>0</v>
      </c>
      <c r="FB190" s="405" t="s">
        <v>544</v>
      </c>
      <c r="FC190" s="409" t="s">
        <v>3687</v>
      </c>
      <c r="FD190" s="420" t="str">
        <f t="shared" si="134"/>
        <v>ToyoLi - MAGENTA</v>
      </c>
      <c r="FE190" s="409">
        <v>28</v>
      </c>
      <c r="FF190" s="411">
        <f>IF(FE190=0,0,IF($LB190=70%,VLOOKUP($FD190,'Jan-2026 rates'!$L:$R,4,0),IF($LB190=65%,VLOOKUP($FD190,'Jan-2026 rates'!$L:$R,4,0),IF($LB190=40%,VLOOKUP($FD190,'Jan-2026 rates'!$L:$R,5,0),IF($LB190=30%,VLOOKUP($FD190,'Jan-2026 rates'!$L:$R,6,0),IF($LB190=100%,VLOOKUP($FD190,'Jan-2026 rates'!$L:$R,7,0),IF($LB190=60%,VLOOKUP($FD190,'Jan-2026 rates'!$L:$S,8,0),IF($LB190=80%,VLOOKUP($FD190,'Jan-2026 rates'!L:T,9,0),0))))))))</f>
        <v>0</v>
      </c>
      <c r="FG190" s="412"/>
      <c r="FH190" s="409"/>
      <c r="FI190" s="411">
        <f>IF(FH190=0,0,IF($LB190=70%,VLOOKUP($FD190,'Jan-2026 rates'!$L:$R,4,0),IF($LB190=65%,VLOOKUP($FD190,'Jan-2026 rates'!$L:$R,4,0),IF($LB190=40%,VLOOKUP($FD190,'Jan-2026 rates'!$L:$R,5,0),IF($LB190=30%,VLOOKUP($FD190,'Jan-2026 rates'!$L:$R,6,0),IF($LB190=100%,VLOOKUP($FD190,'Jan-2026 rates'!$L:$R,7,0),IF($LB190=60%,VLOOKUP($FD190,'Jan-2026 rates'!$L:$S,8,0),IF($LB190=80%,VLOOKUP($FD190,'Jan-2026 rates'!L:T,9,0),0))))))))</f>
        <v>0</v>
      </c>
      <c r="FJ190" s="413"/>
      <c r="FK190" s="413"/>
      <c r="FL190" s="413"/>
      <c r="FM190" s="412"/>
      <c r="FN190" s="412"/>
      <c r="FO190" s="412"/>
      <c r="FP190" s="412"/>
      <c r="FQ190" s="412"/>
      <c r="FR190" s="409"/>
      <c r="FS190" s="398">
        <f>IF(FR190=0,0,IF(LEN(FJ190)=11,_xlfn.XLOOKUP(FJ190,'Dispensed Ink Rates'!C:C,'Dispensed Ink Rates'!CS:CS),VLOOKUP(FJ190,'Jan-2026 rates'!$E:$F,2,0)))</f>
        <v>0</v>
      </c>
      <c r="FT190" s="409"/>
      <c r="FU190" s="398">
        <f>IF(FT190=0,0,IF(LEN(FK190)=11,_xlfn.XLOOKUP(FK190,'Dispensed Ink Rates'!C:C,'Dispensed Ink Rates'!CS:CS),VLOOKUP(FK190,'Jan-2026 rates'!$E:$F,2,0)))</f>
        <v>0</v>
      </c>
      <c r="FV190" s="409"/>
      <c r="FW190" s="398">
        <f>IF(FV190=0,0,IF(LEN(FL190)=11,_xlfn.XLOOKUP(FL190,'Dispensed Ink Rates'!C:C,'Dispensed Ink Rates'!CS:CS),VLOOKUP(FL190,'Jan-2026 rates'!$E:$F,2,0)))</f>
        <v>0</v>
      </c>
      <c r="FX190" s="409"/>
      <c r="FY190" s="398">
        <f>IF(FX190=0,0,IF(LEN(FM190)=11,_xlfn.XLOOKUP(FM190,'Dispensed Ink Rates'!C:C,'Dispensed Ink Rates'!CS:CS),VLOOKUP(FM190,'Jan-2026 rates'!$E:$F,2,0)))</f>
        <v>0</v>
      </c>
      <c r="FZ190" s="409"/>
      <c r="GA190" s="398">
        <f>IF(FZ190=0,0,IF(LEN(FN190)=11,_xlfn.XLOOKUP(FN190,'Dispensed Ink Rates'!C:C,'Dispensed Ink Rates'!CS:CS),VLOOKUP(FN190,'Jan-2026 rates'!$E:$F,2,0)))</f>
        <v>0</v>
      </c>
      <c r="GB190" s="409"/>
      <c r="GC190" s="398">
        <f>IF(GB190=0,0,IF(LEN(FO190)=11,_xlfn.XLOOKUP(FO190,'Dispensed Ink Rates'!C:C,'Dispensed Ink Rates'!CS:CS),VLOOKUP(FO190,'Jan-2026 rates'!$E:$F,2,0)))</f>
        <v>0</v>
      </c>
      <c r="GD190" s="409"/>
      <c r="GE190" s="398">
        <f>IF(GD190=0,0,IF(LEN(FP190)=11,_xlfn.XLOOKUP(FP190,'Dispensed Ink Rates'!C:C,'Dispensed Ink Rates'!CS:CS),VLOOKUP(FP190,'Jan-2026 rates'!$E:$F,2,0)))</f>
        <v>0</v>
      </c>
      <c r="GF190" s="409"/>
      <c r="GG190" s="398">
        <f>IF(GF190=0,0,IF(LEN(FQ190)=11,_xlfn.XLOOKUP(FQ190,'Dispensed Ink Rates'!C:C,'Dispensed Ink Rates'!CS:CS),VLOOKUP(FQ190,'Jan-2026 rates'!$E:$F,2,0)))</f>
        <v>0</v>
      </c>
      <c r="GH190" s="409" t="s">
        <v>1881</v>
      </c>
      <c r="GI190" s="409">
        <v>26</v>
      </c>
      <c r="GJ190" s="411">
        <f t="shared" si="118"/>
        <v>0</v>
      </c>
      <c r="GK190" s="411">
        <f t="shared" si="119"/>
        <v>2</v>
      </c>
      <c r="GL190" s="410">
        <f t="shared" si="120"/>
        <v>0</v>
      </c>
      <c r="GM190" s="405" t="s">
        <v>545</v>
      </c>
      <c r="GN190" s="409"/>
      <c r="GO190" s="420" t="str">
        <f t="shared" si="135"/>
        <v>ToyoLi - YELLOW</v>
      </c>
      <c r="GP190" s="409"/>
      <c r="GQ190" s="411">
        <f>IF(GP190=0,0,IF($LB190=70%,VLOOKUP($GO190,'Jan-2026 rates'!$L:$R,4,0),IF($LB190=65%,VLOOKUP($GO190,'Jan-2026 rates'!$L:$R,4,0),IF($LB190=40%,VLOOKUP($GO190,'Jan-2026 rates'!$L:$R,5,0),IF($LB190=30%,VLOOKUP($GO190,'Jan-2026 rates'!$L:$R,6,0),IF($LB190=100%,VLOOKUP($GO190,'Jan-2026 rates'!$L:$R,7,0),IF($LB190=60%,VLOOKUP($GO190,'Jan-2026 rates'!$L:$S,8,0),IF($LB190=80%,VLOOKUP($GO190,'Jan-2026 rates'!L:T,9,0),0))))))))</f>
        <v>0</v>
      </c>
      <c r="GR190" s="412"/>
      <c r="GS190" s="409"/>
      <c r="GT190" s="411">
        <f>IF(GS190=0,0,IF($LB190=70%,VLOOKUP($GO190,'Jan-2026 rates'!$L:$R,4,0),IF($LB190=65%,VLOOKUP($GO190,'Jan-2026 rates'!$L:$R,4,0),IF($LB190=40%,VLOOKUP($GO190,'Jan-2026 rates'!$L:$R,5,0),IF($LB190=30%,VLOOKUP($GO190,'Jan-2026 rates'!$L:$R,6,0),IF($LB190=100%,VLOOKUP($GO190,'Jan-2026 rates'!$L:$R,7,0),IF($LB190=60%,VLOOKUP($GO190,'Jan-2026 rates'!$L:$S,8,0),IF($LB190=80%,VLOOKUP($GO190,'Jan-2026 rates'!L:T,9,0),0))))))))</f>
        <v>0</v>
      </c>
      <c r="GU190" s="413" t="s">
        <v>1247</v>
      </c>
      <c r="GV190" s="413"/>
      <c r="GW190" s="412"/>
      <c r="GX190" s="412"/>
      <c r="GY190" s="412"/>
      <c r="GZ190" s="412"/>
      <c r="HA190" s="412"/>
      <c r="HB190" s="412"/>
      <c r="HC190" s="409">
        <v>16</v>
      </c>
      <c r="HD190" s="398">
        <f>IF(HC190=0,0,IF(LEN(GU190)=11,_xlfn.XLOOKUP(GU190,'Dispensed Ink Rates'!C:C,'Dispensed Ink Rates'!CS:CS),VLOOKUP(GU190,'Jan-2026 rates'!$E:$F,2,0)))</f>
        <v>0</v>
      </c>
      <c r="HE190" s="409"/>
      <c r="HF190" s="398">
        <f>IF(HE190=0,0,IF(LEN(GV190)=11,_xlfn.XLOOKUP(GV190,'Dispensed Ink Rates'!C:C,'Dispensed Ink Rates'!CS:CS),VLOOKUP(GV190,'Jan-2026 rates'!$E:$F,2,0)))</f>
        <v>0</v>
      </c>
      <c r="HG190" s="409"/>
      <c r="HH190" s="398">
        <f>IF(HG190=0,0,IF(LEN(GW190)=11,_xlfn.XLOOKUP(GW190,'Dispensed Ink Rates'!C:C,'Dispensed Ink Rates'!CS:CS),VLOOKUP(GW190,'Jan-2026 rates'!$E:$F,2,0)))</f>
        <v>0</v>
      </c>
      <c r="HI190" s="409"/>
      <c r="HJ190" s="398">
        <f>IF(HI190=0,0,IF(LEN(GX190)=11,_xlfn.XLOOKUP(GX190,'Dispensed Ink Rates'!C:C,'Dispensed Ink Rates'!CS:CS),VLOOKUP(GX190,'Jan-2026 rates'!$E:$F,2,0)))</f>
        <v>0</v>
      </c>
      <c r="HK190" s="409"/>
      <c r="HL190" s="398">
        <f>IF(HK190=0,0,IF(LEN(GY190)=11,_xlfn.XLOOKUP(GY190,'Dispensed Ink Rates'!C:C,'Dispensed Ink Rates'!CS:CS),VLOOKUP(GY190,'Jan-2026 rates'!$E:$F,2,0)))</f>
        <v>0</v>
      </c>
      <c r="HM190" s="409"/>
      <c r="HN190" s="398">
        <f>IF(HM190=0,0,IF(LEN(GZ190)=11,_xlfn.XLOOKUP(GZ190,'Dispensed Ink Rates'!C:C,'Dispensed Ink Rates'!CS:CS),VLOOKUP(GZ190,'Jan-2026 rates'!$E:$F,2,0)))</f>
        <v>0</v>
      </c>
      <c r="HO190" s="409"/>
      <c r="HP190" s="398">
        <f>IF(HO190=0,0,IF(LEN(HA190)=11,_xlfn.XLOOKUP(HA190,'Dispensed Ink Rates'!C:C,'Dispensed Ink Rates'!CS:CS),VLOOKUP(HA190,'Jan-2026 rates'!$E:$F,2,0)))</f>
        <v>0</v>
      </c>
      <c r="HQ190" s="409"/>
      <c r="HR190" s="398">
        <f>IF(HQ190=0,0,IF(LEN(HB190)=11,_xlfn.XLOOKUP(HB190,'Dispensed Ink Rates'!C:C,'Dispensed Ink Rates'!CS:CS),VLOOKUP(HB190,'Jan-2026 rates'!$E:$F,2,0)))</f>
        <v>0</v>
      </c>
      <c r="HS190" s="409" t="s">
        <v>1881</v>
      </c>
      <c r="HT190" s="409">
        <v>23</v>
      </c>
      <c r="HU190" s="411">
        <f t="shared" si="121"/>
        <v>0</v>
      </c>
      <c r="HV190" s="411">
        <f t="shared" si="122"/>
        <v>19.969696969696969</v>
      </c>
      <c r="HW190" s="414">
        <f t="shared" si="123"/>
        <v>0</v>
      </c>
      <c r="HX190" s="405" t="s">
        <v>856</v>
      </c>
      <c r="HY190" s="409" t="s">
        <v>3688</v>
      </c>
      <c r="HZ190" s="420" t="str">
        <f t="shared" si="136"/>
        <v>ToyoLi - WHITE</v>
      </c>
      <c r="IA190" s="409">
        <v>23</v>
      </c>
      <c r="IB190" s="411">
        <f>IF(IA190=0,0,IF($LB190=70%,VLOOKUP($HZ190,'Jan-2026 rates'!$L:$R,4,0),IF($LB190=65%,VLOOKUP($HZ190,'Jan-2026 rates'!$L:$R,4,0),IF($LB190=40%,VLOOKUP($HZ190,'Jan-2026 rates'!$L:$R,5,0),IF($LB190=30%,VLOOKUP($HZ190,'Jan-2026 rates'!$L:$R,6,0),IF($LB190=100%,VLOOKUP($HZ190,'Jan-2026 rates'!$L:$R,7,0),IF($LB190=60%,VLOOKUP($HZ190,'Jan-2026 rates'!$L:$S,8,0),IF($LB190=80%,VLOOKUP($HZ190,'Jan-2026 rates'!L:T,9,0),0))))))))</f>
        <v>0</v>
      </c>
      <c r="IC190" s="412"/>
      <c r="ID190" s="409"/>
      <c r="IE190" s="411">
        <f>IF(ID190=0,0,IF($LB190=70%,VLOOKUP($HZ190,'Jan-2026 rates'!$L:$R,4,0),IF($LB190=65%,VLOOKUP($HZ190,'Jan-2026 rates'!$L:$R,4,0),IF($LB190=40%,VLOOKUP($HZ190,'Jan-2026 rates'!$L:$R,5,0),IF($LB190=30%,VLOOKUP($HZ190,'Jan-2026 rates'!$L:$R,6,0),IF($LB190=100%,VLOOKUP($HZ190,'Jan-2026 rates'!$L:$R,7,0),IF($LB190=60%,VLOOKUP($HZ190,'Jan-2026 rates'!$L:$S,8,0),IF($LB190=80%,VLOOKUP($HZ190,'Jan-2026 rates'!L:T,9,0),0))))))))</f>
        <v>0</v>
      </c>
      <c r="IF190" s="412" t="s">
        <v>1249</v>
      </c>
      <c r="IG190" s="413"/>
      <c r="IH190" s="412"/>
      <c r="II190" s="412"/>
      <c r="IJ190" s="412"/>
      <c r="IK190" s="412"/>
      <c r="IL190" s="412"/>
      <c r="IM190" s="412"/>
      <c r="IN190" s="409">
        <f>30+30</f>
        <v>60</v>
      </c>
      <c r="IO190" s="398">
        <f>IF(IN190=0,0,IF(LEN(IF190)=11,_xlfn.XLOOKUP(IF190,'Dispensed Ink Rates'!C:C,'Dispensed Ink Rates'!CS:CS),VLOOKUP(IF190,'Jan-2026 rates'!$E:$F,2,0)))</f>
        <v>0</v>
      </c>
      <c r="IP190" s="409"/>
      <c r="IQ190" s="398">
        <f>IF(IP190=0,0,IF(LEN(IG190)=11,_xlfn.XLOOKUP(IG190,'Dispensed Ink Rates'!C:C,'Dispensed Ink Rates'!CS:CS),VLOOKUP(IG190,'Jan-2026 rates'!$E:$F,2,0)))</f>
        <v>0</v>
      </c>
      <c r="IR190" s="409"/>
      <c r="IS190" s="398">
        <f>IF(IR190=0,0,IF(LEN(IH190)=11,_xlfn.XLOOKUP(IH190,'Dispensed Ink Rates'!C:C,'Dispensed Ink Rates'!CS:CS),VLOOKUP(IH190,'Jan-2026 rates'!$E:$F,2,0)))</f>
        <v>0</v>
      </c>
      <c r="IT190" s="409"/>
      <c r="IU190" s="398">
        <f>IF(IT190=0,0,IF(LEN(II190)=11,_xlfn.XLOOKUP(II190,'Dispensed Ink Rates'!C:C,'Dispensed Ink Rates'!CS:CS),VLOOKUP(II190,'Jan-2026 rates'!$E:$F,2,0)))</f>
        <v>0</v>
      </c>
      <c r="IV190" s="409"/>
      <c r="IW190" s="398">
        <f>IF(IV190=0,0,IF(LEN(IJ190)=11,_xlfn.XLOOKUP(IJ190,'Dispensed Ink Rates'!C:C,'Dispensed Ink Rates'!CS:CS),VLOOKUP(IJ190,'Jan-2026 rates'!$E:$F,2,0)))</f>
        <v>0</v>
      </c>
      <c r="IX190" s="409"/>
      <c r="IY190" s="398">
        <f>IF(IX190=0,0,IF(LEN(IK190)=11,_xlfn.XLOOKUP(IK190,'Dispensed Ink Rates'!C:C,'Dispensed Ink Rates'!CS:CS),VLOOKUP(IK190,'Jan-2026 rates'!$E:$F,2,0)))</f>
        <v>0</v>
      </c>
      <c r="IZ190" s="409"/>
      <c r="JA190" s="398">
        <f>IF(IZ190=0,0,IF(LEN(IL190)=11,_xlfn.XLOOKUP(IL190,'Dispensed Ink Rates'!C:C,'Dispensed Ink Rates'!CS:CS),VLOOKUP(IL190,'Jan-2026 rates'!$E:$F,2,0)))</f>
        <v>0</v>
      </c>
      <c r="JB190" s="409"/>
      <c r="JC190" s="398">
        <f>IF(JB190=0,0,IF(LEN(IM190)=11,_xlfn.XLOOKUP(IM190,'Dispensed Ink Rates'!C:C,'Dispensed Ink Rates'!CS:CS),VLOOKUP(IM190,'Jan-2026 rates'!$E:$F,2,0)))</f>
        <v>0</v>
      </c>
      <c r="JD190" s="409" t="s">
        <v>1881</v>
      </c>
      <c r="JE190" s="409">
        <v>25</v>
      </c>
      <c r="JF190" s="411">
        <f t="shared" si="124"/>
        <v>0</v>
      </c>
      <c r="JG190" s="411">
        <f t="shared" si="125"/>
        <v>138.90909090909091</v>
      </c>
      <c r="JH190" s="410">
        <f t="shared" si="126"/>
        <v>0</v>
      </c>
      <c r="JI190" s="405" t="s">
        <v>605</v>
      </c>
      <c r="JJ190" s="409" t="s">
        <v>3687</v>
      </c>
      <c r="JK190" s="420" t="str">
        <f t="shared" si="137"/>
        <v>HI-TECH INK - MATT</v>
      </c>
      <c r="JL190" s="409">
        <v>18</v>
      </c>
      <c r="JM190" s="411">
        <f>IF(JL190=0,0,IF($LB190=70%,VLOOKUP($JK190,'Jan-2026 rates'!$L:$R,4,0),IF($LB190=65%,VLOOKUP($JK190,'Jan-2026 rates'!$L:$R,4,0),IF($LB190=40%,VLOOKUP($JK190,'Jan-2026 rates'!$L:$R,5,0),IF($LB190=30%,VLOOKUP($JK190,'Jan-2026 rates'!$L:$R,6,0),IF($LB190=100%,VLOOKUP($JK190,'Jan-2026 rates'!$L:$R,7,0),IF($LB190=60%,VLOOKUP($JK190,'Jan-2026 rates'!$L:$S,8,0),IF($LB190=80%,VLOOKUP($JK190,'Jan-2026 rates'!L:T,9,0),0))))))))</f>
        <v>0</v>
      </c>
      <c r="JN190" s="412"/>
      <c r="JO190" s="409"/>
      <c r="JP190" s="411">
        <f>IF(JO190=0,0,IF($LB190=70%,VLOOKUP($JK190,'Jan-2026 rates'!$L:$R,4,0),IF($LB190=65%,VLOOKUP($JK190,'Jan-2026 rates'!$L:$R,4,0),IF($LB190=40%,VLOOKUP($JK190,'Jan-2026 rates'!$L:$R,5,0),IF($LB190=30%,VLOOKUP($JK190,'Jan-2026 rates'!$L:$R,6,0),IF($LB190=100%,VLOOKUP($JK190,'Jan-2026 rates'!$L:$R,7,0),IF($LB190=60%,VLOOKUP($JK190,'Jan-2026 rates'!$L:$S,8,0),IF($LB190=80%,VLOOKUP($JK190,'Jan-2026 rates'!L:T,9,0),0))))))))</f>
        <v>0</v>
      </c>
      <c r="JQ190" s="413">
        <v>2066</v>
      </c>
      <c r="JR190" s="412"/>
      <c r="JS190" s="413"/>
      <c r="JT190" s="413"/>
      <c r="JU190" s="412"/>
      <c r="JV190" s="412"/>
      <c r="JW190" s="412"/>
      <c r="JX190" s="412"/>
      <c r="JY190" s="409">
        <v>60</v>
      </c>
      <c r="JZ190" s="398">
        <f>IF(JY190=0,0,IF(LEN(JQ190)=11,_xlfn.XLOOKUP(JQ190,'Dispensed Ink Rates'!C:C,'Dispensed Ink Rates'!CS:CS),VLOOKUP(JQ190,'Jan-2026 rates'!$E:$F,2,0)))</f>
        <v>0</v>
      </c>
      <c r="KA190" s="409"/>
      <c r="KB190" s="398">
        <f>IF(KA190=0,0,IF(LEN(JR190)=11,_xlfn.XLOOKUP(JR190,'Dispensed Ink Rates'!C:C,'Dispensed Ink Rates'!CS:CS),VLOOKUP(JR190,'Jan-2026 rates'!$E:$F,2,0)))</f>
        <v>0</v>
      </c>
      <c r="KC190" s="409"/>
      <c r="KD190" s="398">
        <f>IF(KC190=0,0,IF(LEN(JS190)=11,_xlfn.XLOOKUP(JS190,'Dispensed Ink Rates'!C:C,'Dispensed Ink Rates'!CS:CS),VLOOKUP(JS190,'Jan-2026 rates'!$E:$F,2,0)))</f>
        <v>0</v>
      </c>
      <c r="KE190" s="409"/>
      <c r="KF190" s="398">
        <f>IF(KE190=0,0,IF(LEN(JT190)=11,_xlfn.XLOOKUP(JT190,'Dispensed Ink Rates'!C:C,'Dispensed Ink Rates'!CS:CS),VLOOKUP(JT190,'Jan-2026 rates'!$E:$F,2,0)))</f>
        <v>0</v>
      </c>
      <c r="KG190" s="409"/>
      <c r="KH190" s="398">
        <f>IF(KG190=0,0,IF(LEN(JU190)=11,_xlfn.XLOOKUP(JU190,'Dispensed Ink Rates'!C:C,'Dispensed Ink Rates'!CS:CS),VLOOKUP(JU190,'Jan-2026 rates'!$E:$F,2,0)))</f>
        <v>0</v>
      </c>
      <c r="KI190" s="409"/>
      <c r="KJ190" s="398">
        <f>IF(KI190=0,0,IF(LEN(JV190)=11,_xlfn.XLOOKUP(JV190,'Dispensed Ink Rates'!C:C,'Dispensed Ink Rates'!CS:CS),VLOOKUP(JV190,'Jan-2026 rates'!$E:$F,2,0)))</f>
        <v>0</v>
      </c>
      <c r="KK190" s="409"/>
      <c r="KL190" s="398">
        <f>IF(KK190=0,0,IF(LEN(JW190)=11,_xlfn.XLOOKUP(JW190,'Dispensed Ink Rates'!C:C,'Dispensed Ink Rates'!CS:CS),VLOOKUP(JW190,'Jan-2026 rates'!$E:$F,2,0)))</f>
        <v>0</v>
      </c>
      <c r="KM190" s="428"/>
      <c r="KN190" s="398">
        <f>IF(KM190=0,0,IF(LEN(JX190)=11,_xlfn.XLOOKUP(JX190,'Dispensed Ink Rates'!C:C,'Dispensed Ink Rates'!CS:CS),VLOOKUP(JX190,'Jan-2026 rates'!$E:$F,2,0)))</f>
        <v>0</v>
      </c>
      <c r="KO190" s="409" t="s">
        <v>602</v>
      </c>
      <c r="KP190" s="409">
        <v>20</v>
      </c>
      <c r="KQ190" s="411">
        <f t="shared" si="127"/>
        <v>0</v>
      </c>
      <c r="KR190" s="411">
        <f t="shared" si="128"/>
        <v>98.454545454545453</v>
      </c>
      <c r="KS190" s="410">
        <f t="shared" si="129"/>
        <v>0</v>
      </c>
      <c r="KT190" s="409">
        <v>4</v>
      </c>
      <c r="KU190" s="409">
        <v>5</v>
      </c>
      <c r="KV190" s="409">
        <v>2</v>
      </c>
      <c r="KW190" s="409">
        <v>0</v>
      </c>
      <c r="KX190" s="409">
        <v>0</v>
      </c>
      <c r="KY190" s="409">
        <v>10</v>
      </c>
      <c r="KZ190" s="409">
        <f>15+15</f>
        <v>30</v>
      </c>
      <c r="LA190" s="409">
        <v>15</v>
      </c>
      <c r="LB190" s="415">
        <v>0.3</v>
      </c>
      <c r="LC190" s="415"/>
      <c r="LD190" s="415"/>
      <c r="LE190" s="415">
        <v>0.5</v>
      </c>
      <c r="LF190" s="415">
        <v>0.2</v>
      </c>
      <c r="LG190" s="409">
        <v>0</v>
      </c>
      <c r="LH190" s="409">
        <f>45+40+27+45+3+18</f>
        <v>178</v>
      </c>
      <c r="LI190" s="409">
        <v>0</v>
      </c>
      <c r="LJ190" s="409">
        <v>0</v>
      </c>
      <c r="LK190" s="416">
        <f t="shared" si="138"/>
        <v>178</v>
      </c>
      <c r="LL190" s="416">
        <f t="shared" si="139"/>
        <v>178</v>
      </c>
      <c r="LM190" s="417">
        <f t="shared" si="140"/>
        <v>53.4</v>
      </c>
      <c r="LN190" s="417">
        <f>VLOOKUP($LM$8,'Jan-2026 rates'!$H:$I,2,0)</f>
        <v>0</v>
      </c>
      <c r="LO190" s="417">
        <f t="shared" si="141"/>
        <v>0</v>
      </c>
      <c r="LP190" s="417">
        <f>VLOOKUP($LO$8,'Jan-2026 rates'!$H:$I,2,0)</f>
        <v>0</v>
      </c>
      <c r="LQ190" s="417">
        <f t="shared" si="142"/>
        <v>0</v>
      </c>
      <c r="LR190" s="417">
        <f>VLOOKUP($LQ$8,'Jan-2026 rates'!$H:$I,2,0)</f>
        <v>0</v>
      </c>
      <c r="LS190" s="417">
        <f t="shared" si="143"/>
        <v>89</v>
      </c>
      <c r="LT190" s="417">
        <f>VLOOKUP($LS$8,'Jan-2026 rates'!$H:$I,2,0)</f>
        <v>0</v>
      </c>
      <c r="LU190" s="417">
        <f t="shared" si="144"/>
        <v>35.6</v>
      </c>
      <c r="LV190" s="417">
        <f>VLOOKUP($LU$8,'Jan-2026 rates'!$H:$I,2,0)</f>
        <v>0</v>
      </c>
      <c r="LW190" s="417">
        <f t="shared" si="145"/>
        <v>0</v>
      </c>
      <c r="LX190" s="417">
        <f t="shared" si="146"/>
        <v>0</v>
      </c>
      <c r="LY190" s="418">
        <f t="shared" si="147"/>
        <v>0</v>
      </c>
      <c r="LZ190" s="417"/>
      <c r="MA190" s="435">
        <f t="shared" si="148"/>
        <v>151</v>
      </c>
      <c r="MB190" s="282">
        <f t="shared" si="149"/>
        <v>323</v>
      </c>
      <c r="MC190" s="283" t="s">
        <v>2025</v>
      </c>
      <c r="MD190" s="284" t="str">
        <f t="shared" si="150"/>
        <v>ToyoLiToyoLiToyoLiToyoLiToyoLiToyoLiToyoLiHI-TECH INK</v>
      </c>
      <c r="ME190" s="293" t="str">
        <f t="shared" si="151"/>
        <v>+</v>
      </c>
      <c r="MF190" s="293" t="str">
        <f t="shared" si="152"/>
        <v>+</v>
      </c>
      <c r="MG190" s="293" t="str">
        <f t="shared" si="153"/>
        <v>+</v>
      </c>
      <c r="MH190" s="293" t="str">
        <f t="shared" si="154"/>
        <v>+</v>
      </c>
      <c r="MI190" s="293" t="str">
        <f t="shared" si="155"/>
        <v>+</v>
      </c>
      <c r="MJ190" s="293" t="str">
        <f t="shared" si="156"/>
        <v>+</v>
      </c>
      <c r="MK190" s="293" t="str">
        <f t="shared" si="157"/>
        <v>+</v>
      </c>
      <c r="ML190" s="293" t="str">
        <f t="shared" si="158"/>
        <v>+</v>
      </c>
      <c r="MM190" s="3" t="b">
        <f t="array" ref="MM190">OR(ME190:ML190="-")</f>
        <v>0</v>
      </c>
      <c r="MN190" s="285"/>
      <c r="MO190" s="401"/>
      <c r="MP190" s="286"/>
      <c r="MQ190" s="286"/>
      <c r="MR190" s="402"/>
      <c r="MS190" s="400"/>
      <c r="NH190" s="422"/>
      <c r="NJ190" s="421"/>
    </row>
    <row r="191" spans="1:374" s="1" customFormat="1" ht="16.5">
      <c r="A191" s="403">
        <v>46036</v>
      </c>
      <c r="B191" s="404" t="s">
        <v>1018</v>
      </c>
      <c r="C191" s="405" t="s">
        <v>3689</v>
      </c>
      <c r="D191" s="406" t="s">
        <v>2026</v>
      </c>
      <c r="E191" s="404">
        <v>222</v>
      </c>
      <c r="F191" s="407">
        <v>12100</v>
      </c>
      <c r="G191" s="407" t="s">
        <v>1016</v>
      </c>
      <c r="H191" s="408" t="s">
        <v>1017</v>
      </c>
      <c r="I191" s="409">
        <f>1.64+1.26</f>
        <v>2.9</v>
      </c>
      <c r="J191" s="405" t="s">
        <v>543</v>
      </c>
      <c r="K191" s="404" t="s">
        <v>3690</v>
      </c>
      <c r="L191" s="419" t="str">
        <f t="shared" si="131"/>
        <v>ToyoLi - BLACK</v>
      </c>
      <c r="M191" s="404">
        <v>29</v>
      </c>
      <c r="N191" s="410">
        <f>IF(M191=0,0,IF($LB191=70%,VLOOKUP($L191,'Jan-2026 rates'!$L:$R,4,0),IF($LB191=65%,VLOOKUP($L191,'Jan-2026 rates'!$L:$R,4,0),IF($LB191=40%,VLOOKUP($L191,'Jan-2026 rates'!$L:$R,5,0),IF($LB191=30%,VLOOKUP($L191,'Jan-2026 rates'!$L:$R,6,0),IF($LB191=100%,VLOOKUP($L191,'Jan-2026 rates'!$L:$R,7,0),IF($LB191=60%,VLOOKUP($L191,'Jan-2026 rates'!$L:$S,8,0),IF($LB191=80%,VLOOKUP($L191,'Jan-2026 rates'!L:T,9,0),0))))))))</f>
        <v>0</v>
      </c>
      <c r="O191" s="406"/>
      <c r="P191" s="404"/>
      <c r="Q191" s="410">
        <f>IF(P191=0,0,IF($LB191=70%,VLOOKUP($L191,'Jan-2026 rates'!$L:$R,4,0),IF($LB191=65%,VLOOKUP($L191,'Jan-2026 rates'!$L:$R,4,0),IF($LB191=40%,VLOOKUP($L191,'Jan-2026 rates'!$L:$R,5,0),IF($LB191=30%,VLOOKUP($L191,'Jan-2026 rates'!$L:$R,6,0),IF($LB191=100%,VLOOKUP($L191,'Jan-2026 rates'!$L:$R,7,0),IF($LB191=60%,VLOOKUP($L191,'Jan-2026 rates'!$L:$S,8,0),IF($LB191=80%,VLOOKUP($L191,'Jan-2026 rates'!L:T,9,0),0))))))))</f>
        <v>0</v>
      </c>
      <c r="R191" s="406"/>
      <c r="S191" s="406"/>
      <c r="T191" s="406"/>
      <c r="U191" s="406"/>
      <c r="V191" s="406"/>
      <c r="W191" s="406"/>
      <c r="X191" s="406"/>
      <c r="Y191" s="406"/>
      <c r="Z191" s="404"/>
      <c r="AA191" s="398">
        <f>IF(Z191=0,0,IF(LEN(R191)=11,_xlfn.XLOOKUP(R191,'Dispensed Ink Rates'!C:C,'Dispensed Ink Rates'!CS:CS),VLOOKUP(R191,'Jan-2026 rates'!$E:$F,2,0)))</f>
        <v>0</v>
      </c>
      <c r="AB191" s="404"/>
      <c r="AC191" s="398">
        <f>IF(AB191=0,0,IF(LEN(S191)=11,_xlfn.XLOOKUP(S191,'Dispensed Ink Rates'!C:C,'Dispensed Ink Rates'!CS:CS),VLOOKUP(S191,'Jan-2026 rates'!$E:$F,2,0)))</f>
        <v>0</v>
      </c>
      <c r="AD191" s="404"/>
      <c r="AE191" s="398">
        <f>IF(AD191=0,0,IF(LEN(T191)=11,_xlfn.XLOOKUP(T191,'Dispensed Ink Rates'!C:C,'Dispensed Ink Rates'!CS:CS),VLOOKUP(T191,'Jan-2026 rates'!$E:$F,2,0)))</f>
        <v>0</v>
      </c>
      <c r="AF191" s="404"/>
      <c r="AG191" s="398">
        <f>IF(AF191=0,0,IF(LEN(U191)=11,_xlfn.XLOOKUP(U191,'Dispensed Ink Rates'!C:C,'Dispensed Ink Rates'!CS:CS),VLOOKUP(U191,'Jan-2026 rates'!$E:$F,2,0)))</f>
        <v>0</v>
      </c>
      <c r="AH191" s="404"/>
      <c r="AI191" s="398">
        <f>IF(AH191=0,0,IF(LEN(V191)=11,_xlfn.XLOOKUP(V191,'Dispensed Ink Rates'!C:C,'Dispensed Ink Rates'!CS:CS),VLOOKUP(V191,'Jan-2026 rates'!$E:$F,2,0)))</f>
        <v>0</v>
      </c>
      <c r="AJ191" s="404"/>
      <c r="AK191" s="398">
        <f>IF(AJ191=0,0,IF(LEN(W191)=11,_xlfn.XLOOKUP(W191,'Dispensed Ink Rates'!C:C,'Dispensed Ink Rates'!CS:CS),VLOOKUP(W191,'Jan-2026 rates'!$E:$F,2,0)))</f>
        <v>0</v>
      </c>
      <c r="AL191" s="404"/>
      <c r="AM191" s="398">
        <f>IF(AL191=0,0,IF(LEN(X191)=11,_xlfn.XLOOKUP(X191,'Dispensed Ink Rates'!C:C,'Dispensed Ink Rates'!CS:CS),VLOOKUP(X191,'Jan-2026 rates'!$E:$F,2,0)))</f>
        <v>0</v>
      </c>
      <c r="AN191" s="404"/>
      <c r="AO191" s="398">
        <f>IF(AN191=0,0,IF(LEN(Y191)=11,_xlfn.XLOOKUP(Y191,'Dispensed Ink Rates'!C:C,'Dispensed Ink Rates'!CS:CS),VLOOKUP(Y191,'Jan-2026 rates'!$E:$F,2,0)))</f>
        <v>0</v>
      </c>
      <c r="AP191" s="409" t="s">
        <v>1881</v>
      </c>
      <c r="AQ191" s="409">
        <v>27</v>
      </c>
      <c r="AR191" s="410">
        <f t="shared" si="106"/>
        <v>0</v>
      </c>
      <c r="AS191" s="411">
        <f t="shared" si="107"/>
        <v>8.4727272727272691</v>
      </c>
      <c r="AT191" s="410">
        <f t="shared" si="108"/>
        <v>0</v>
      </c>
      <c r="AU191" s="405" t="s">
        <v>547</v>
      </c>
      <c r="AV191" s="409" t="s">
        <v>3691</v>
      </c>
      <c r="AW191" s="420" t="str">
        <f t="shared" si="130"/>
        <v>ToyoLi - GREEN</v>
      </c>
      <c r="AX191" s="409">
        <v>20</v>
      </c>
      <c r="AY191" s="411">
        <f>IF(AX191=0,0,IF($LB191=70%,VLOOKUP($AW191,'Jan-2026 rates'!$L:$R,4,0),IF($LB191=65%,VLOOKUP($AW191,'Jan-2026 rates'!$L:$R,4,0),IF($LB191=40%,VLOOKUP($AW191,'Jan-2026 rates'!$L:$R,5,0),IF($LB191=30%,VLOOKUP($AW191,'Jan-2026 rates'!$L:$R,6,0),IF($LB191=100%,VLOOKUP($AW191,'Jan-2026 rates'!$L:$R,7,0),IF($LB191=60%,VLOOKUP($AW191,'Jan-2026 rates'!$L:$S,8,0),IF($LB191=80%,VLOOKUP($AW191,'Jan-2026 rates'!L:T,9,0),0))))))))</f>
        <v>0</v>
      </c>
      <c r="AZ191" s="412" t="s">
        <v>3692</v>
      </c>
      <c r="BA191" s="409">
        <f>12+25</f>
        <v>37</v>
      </c>
      <c r="BB191" s="411">
        <f>IF(BA191=0,0,IF($LB191=70%,VLOOKUP($AW191,'Jan-2026 rates'!$L:$R,4,0),IF($LB191=65%,VLOOKUP($AW191,'Jan-2026 rates'!$L:$R,4,0),IF($LB191=40%,VLOOKUP($AW191,'Jan-2026 rates'!$L:$R,5,0),IF($LB191=30%,VLOOKUP($AW191,'Jan-2026 rates'!$L:$R,6,0),IF($LB191=100%,VLOOKUP($AW191,'Jan-2026 rates'!$L:$R,7,0),IF($LB191=60%,VLOOKUP($AW191,'Jan-2026 rates'!$L:$S,8,0),IF($LB191=80%,VLOOKUP($AW191,'Jan-2026 rates'!L:T,9,0),0))))))))</f>
        <v>0</v>
      </c>
      <c r="BC191" s="413" t="s">
        <v>1247</v>
      </c>
      <c r="BD191" s="412" t="s">
        <v>1250</v>
      </c>
      <c r="BE191" s="412" t="s">
        <v>1252</v>
      </c>
      <c r="BF191" s="413"/>
      <c r="BG191" s="412"/>
      <c r="BH191" s="412"/>
      <c r="BI191" s="412"/>
      <c r="BJ191" s="412"/>
      <c r="BK191" s="409">
        <v>2</v>
      </c>
      <c r="BL191" s="398">
        <f>IF(BK191=0,0,IF(LEN(BC191)=11,_xlfn.XLOOKUP(BC191,'Dispensed Ink Rates'!C:C,'Dispensed Ink Rates'!CS:CS),VLOOKUP(BC191,'Jan-2026 rates'!$E:$F,2,0)))</f>
        <v>0</v>
      </c>
      <c r="BM191" s="409">
        <v>1</v>
      </c>
      <c r="BN191" s="398">
        <f>IF(BM191=0,0,IF(LEN(BD191)=11,_xlfn.XLOOKUP(BD191,'Dispensed Ink Rates'!C:C,'Dispensed Ink Rates'!CS:CS),VLOOKUP(BD191,'Jan-2026 rates'!$E:$F,2,0)))</f>
        <v>0</v>
      </c>
      <c r="BO191" s="409">
        <v>0.5</v>
      </c>
      <c r="BP191" s="398">
        <f>IF(BO191=0,0,IF(LEN(BE191)=11,_xlfn.XLOOKUP(BE191,'Dispensed Ink Rates'!C:C,'Dispensed Ink Rates'!CS:CS),VLOOKUP(BE191,'Jan-2026 rates'!$E:$F,2,0)))</f>
        <v>0</v>
      </c>
      <c r="BQ191" s="409"/>
      <c r="BR191" s="398">
        <f>IF(BQ191=0,0,IF(LEN(BF191)=11,_xlfn.XLOOKUP(BF191,'Dispensed Ink Rates'!C:C,'Dispensed Ink Rates'!CS:CS),VLOOKUP(BF191,'Jan-2026 rates'!$E:$F,2,0)))</f>
        <v>0</v>
      </c>
      <c r="BS191" s="409"/>
      <c r="BT191" s="398">
        <f>IF(BS191=0,0,IF(LEN(BG191)=11,_xlfn.XLOOKUP(BG191,'Dispensed Ink Rates'!C:C,'Dispensed Ink Rates'!CS:CS),VLOOKUP(BG191,'Jan-2026 rates'!$E:$F,2,0)))</f>
        <v>0</v>
      </c>
      <c r="BU191" s="409"/>
      <c r="BV191" s="398">
        <f>IF(BU191=0,0,IF(LEN(BH191)=11,_xlfn.XLOOKUP(BH191,'Dispensed Ink Rates'!C:C,'Dispensed Ink Rates'!CS:CS),VLOOKUP(BH191,'Jan-2026 rates'!$E:$F,2,0)))</f>
        <v>0</v>
      </c>
      <c r="BW191" s="409"/>
      <c r="BX191" s="398">
        <f>IF(BW191=0,0,IF(LEN(BI191)=11,_xlfn.XLOOKUP(BI191,'Dispensed Ink Rates'!C:C,'Dispensed Ink Rates'!CS:CS),VLOOKUP(BI191,'Jan-2026 rates'!$E:$F,2,0)))</f>
        <v>0</v>
      </c>
      <c r="BY191" s="409"/>
      <c r="BZ191" s="398">
        <f>IF(BY191=0,0,IF(LEN(BJ191)=11,_xlfn.XLOOKUP(BJ191,'Dispensed Ink Rates'!C:C,'Dispensed Ink Rates'!CS:CS),VLOOKUP(BJ191,'Jan-2026 rates'!$E:$F,2,0)))</f>
        <v>0</v>
      </c>
      <c r="CA191" s="409" t="s">
        <v>1881</v>
      </c>
      <c r="CB191" s="409">
        <v>20</v>
      </c>
      <c r="CC191" s="411">
        <f t="shared" si="109"/>
        <v>0</v>
      </c>
      <c r="CD191" s="411">
        <f t="shared" si="110"/>
        <v>46.972727272727269</v>
      </c>
      <c r="CE191" s="410">
        <f t="shared" si="111"/>
        <v>0</v>
      </c>
      <c r="CF191" s="404" t="s">
        <v>828</v>
      </c>
      <c r="CG191" s="409" t="s">
        <v>3693</v>
      </c>
      <c r="CH191" s="420" t="str">
        <f t="shared" si="132"/>
        <v>ToyoLi - ORANGE</v>
      </c>
      <c r="CI191" s="409">
        <v>27</v>
      </c>
      <c r="CJ191" s="411">
        <f>IF(CI191=0,0,IF($LB191=70%,VLOOKUP($CH191,'Jan-2026 rates'!$L:$R,4,0),IF($LB191=65%,VLOOKUP($CH191,'Jan-2026 rates'!$L:$R,4,0),IF($LB191=40%,VLOOKUP($CH191,'Jan-2026 rates'!$L:$R,5,0),IF($LB191=30%,VLOOKUP($CH191,'Jan-2026 rates'!$L:$R,6,0),IF($LB191=100%,VLOOKUP($CH191,'Jan-2026 rates'!$L:$R,7,0),IF($LB191=60%,VLOOKUP($CH191,'Jan-2026 rates'!$L:$S,8,0),IF($LB191=80%,VLOOKUP($CH191,'Jan-2026 rates'!L:T,9,0),0))))))))</f>
        <v>0</v>
      </c>
      <c r="CK191" s="412"/>
      <c r="CL191" s="409"/>
      <c r="CM191" s="411">
        <f>IF(CL191=0,0,IF($LB191=70%,VLOOKUP($CH191,'Jan-2026 rates'!$L:$R,4,0),IF($LB191=65%,VLOOKUP($CH191,'Jan-2026 rates'!$L:$R,4,0),IF($LB191=40%,VLOOKUP($CH191,'Jan-2026 rates'!$L:$R,5,0),IF($LB191=30%,VLOOKUP($CH191,'Jan-2026 rates'!$L:$R,6,0),IF($LB191=100%,VLOOKUP($CH191,'Jan-2026 rates'!$L:$R,7,0),IF($LB191=60%,VLOOKUP($CH191,'Jan-2026 rates'!$L:$S,8,0),IF($LB191=80%,VLOOKUP($CH191,'Jan-2026 rates'!L:T,9,0),0))))))))</f>
        <v>0</v>
      </c>
      <c r="CN191" s="426" t="s">
        <v>1248</v>
      </c>
      <c r="CO191" s="427"/>
      <c r="CP191" s="426"/>
      <c r="CQ191" s="426"/>
      <c r="CR191" s="428"/>
      <c r="CS191" s="428"/>
      <c r="CT191" s="428"/>
      <c r="CU191" s="428"/>
      <c r="CV191" s="409">
        <v>2</v>
      </c>
      <c r="CW191" s="398">
        <f>IF(CV191=0,0,IF(LEN(CN191)=11,_xlfn.XLOOKUP(CN191,'Dispensed Ink Rates'!C:C,'Dispensed Ink Rates'!CS:CS),VLOOKUP(CN191,'Jan-2026 rates'!$E:$F,2,0)))</f>
        <v>0</v>
      </c>
      <c r="CX191" s="409"/>
      <c r="CY191" s="398">
        <f>IF(CX191=0,0,IF(LEN(CO191)=11,_xlfn.XLOOKUP(CO191,'Dispensed Ink Rates'!C:C,'Dispensed Ink Rates'!CS:CS),VLOOKUP(CO191,'Jan-2026 rates'!$E:$F,2,0)))</f>
        <v>0</v>
      </c>
      <c r="CZ191" s="409"/>
      <c r="DA191" s="398">
        <f>IF(CZ191=0,0,IF(LEN(CP191)=11,_xlfn.XLOOKUP(CP191,'Dispensed Ink Rates'!C:C,'Dispensed Ink Rates'!CS:CS),VLOOKUP(CP191,'Jan-2026 rates'!$E:$F,2,0)))</f>
        <v>0</v>
      </c>
      <c r="DB191" s="409"/>
      <c r="DC191" s="398">
        <f>IF(DB191=0,0,IF(LEN(CQ191)=11,_xlfn.XLOOKUP(CQ191,'Dispensed Ink Rates'!C:C,'Dispensed Ink Rates'!CS:CS),VLOOKUP(CQ191,'Jan-2026 rates'!$E:$F,2,0)))</f>
        <v>0</v>
      </c>
      <c r="DD191" s="409"/>
      <c r="DE191" s="398">
        <f>IF(DD191=0,0,IF(LEN(CR191)=11,_xlfn.XLOOKUP(CR191,'Dispensed Ink Rates'!C:C,'Dispensed Ink Rates'!CS:CS),VLOOKUP(CR191,'Jan-2026 rates'!$E:$F,2,0)))</f>
        <v>0</v>
      </c>
      <c r="DF191" s="409"/>
      <c r="DG191" s="398">
        <f>IF(DF191=0,0,IF(LEN(CS191)=11,_xlfn.XLOOKUP(CS191,'Dispensed Ink Rates'!C:C,'Dispensed Ink Rates'!CS:CS),VLOOKUP(CS191,'Jan-2026 rates'!$E:$F,2,0)))</f>
        <v>0</v>
      </c>
      <c r="DH191" s="409"/>
      <c r="DI191" s="398">
        <f>IF(DH191=0,0,IF(LEN(CT191)=11,_xlfn.XLOOKUP(CT191,'Dispensed Ink Rates'!C:C,'Dispensed Ink Rates'!CS:CS),VLOOKUP(CT191,'Jan-2026 rates'!$E:$F,2,0)))</f>
        <v>0</v>
      </c>
      <c r="DJ191" s="409"/>
      <c r="DK191" s="398">
        <f>IF(DJ191=0,0,IF(LEN(CU191)=11,_xlfn.XLOOKUP(CU191,'Dispensed Ink Rates'!C:C,'Dispensed Ink Rates'!CS:CS),VLOOKUP(CU191,'Jan-2026 rates'!$E:$F,2,0)))</f>
        <v>0</v>
      </c>
      <c r="DL191" s="409" t="s">
        <v>1881</v>
      </c>
      <c r="DM191" s="409">
        <v>28</v>
      </c>
      <c r="DN191" s="411">
        <f t="shared" si="112"/>
        <v>0</v>
      </c>
      <c r="DO191" s="411">
        <f t="shared" si="113"/>
        <v>7.4727272727272691</v>
      </c>
      <c r="DP191" s="410">
        <f t="shared" si="114"/>
        <v>0</v>
      </c>
      <c r="DQ191" s="405" t="s">
        <v>544</v>
      </c>
      <c r="DR191" s="409" t="s">
        <v>3694</v>
      </c>
      <c r="DS191" s="420" t="str">
        <f t="shared" si="133"/>
        <v>ToyoLi - MAGENTA</v>
      </c>
      <c r="DT191" s="409">
        <v>26</v>
      </c>
      <c r="DU191" s="411">
        <f>IF(DT191=0,0,IF($LB191=70%,VLOOKUP($DS191,'Jan-2026 rates'!$L:$R,4,0),IF($LB191=65%,VLOOKUP($DS191,'Jan-2026 rates'!$L:$R,4,0),IF($LB191=40%,VLOOKUP($DS191,'Jan-2026 rates'!$L:$R,5,0),IF($LB191=30%,VLOOKUP($DS191,'Jan-2026 rates'!$L:$R,6,0),IF($LB191=100%,VLOOKUP($DS191,'Jan-2026 rates'!$L:$R,7,0),IF($LB191=60%,VLOOKUP($DS191,'Jan-2026 rates'!$L:$S,8,0),IF($LB191=80%,VLOOKUP($DS191,'Jan-2026 rates'!L:T,9,0),0))))))))</f>
        <v>0</v>
      </c>
      <c r="DV191" s="412"/>
      <c r="DW191" s="409"/>
      <c r="DX191" s="411">
        <f>IF(DW191=0,0,IF($LB191=70%,VLOOKUP($DS191,'Jan-2026 rates'!$L:$R,4,0),IF($LB191=65%,VLOOKUP($DS191,'Jan-2026 rates'!$L:$R,4,0),IF($LB191=40%,VLOOKUP($DS191,'Jan-2026 rates'!$L:$R,5,0),IF($LB191=30%,VLOOKUP($DS191,'Jan-2026 rates'!$L:$R,6,0),IF($LB191=100%,VLOOKUP($DS191,'Jan-2026 rates'!$L:$R,7,0),IF($LB191=60%,VLOOKUP($DS191,'Jan-2026 rates'!$L:$S,8,0),IF($LB191=80%,VLOOKUP($DS191,'Jan-2026 rates'!L:T,9,0),0))))))))</f>
        <v>0</v>
      </c>
      <c r="DY191" s="413" t="s">
        <v>1246</v>
      </c>
      <c r="DZ191" s="413"/>
      <c r="EA191" s="412"/>
      <c r="EB191" s="412"/>
      <c r="EC191" s="412"/>
      <c r="ED191" s="412"/>
      <c r="EE191" s="412"/>
      <c r="EF191" s="412"/>
      <c r="EG191" s="409">
        <v>3</v>
      </c>
      <c r="EH191" s="398">
        <f>IF(EG191=0,0,IF(LEN(DY191)=11,_xlfn.XLOOKUP(DY191,'Dispensed Ink Rates'!C:C,'Dispensed Ink Rates'!CS:CS),VLOOKUP(DY191,'Jan-2026 rates'!$E:$F,2,0)))</f>
        <v>0</v>
      </c>
      <c r="EI191" s="409"/>
      <c r="EJ191" s="398">
        <f>IF(EI191=0,0,IF(LEN(DZ191)=11,_xlfn.XLOOKUP(DZ191,'Dispensed Ink Rates'!C:C,'Dispensed Ink Rates'!CS:CS),VLOOKUP(DZ191,'Jan-2026 rates'!$E:$F,2,0)))</f>
        <v>0</v>
      </c>
      <c r="EK191" s="409"/>
      <c r="EL191" s="398">
        <f>IF(EK191=0,0,IF(LEN(EA191)=11,_xlfn.XLOOKUP(EA191,'Dispensed Ink Rates'!C:C,'Dispensed Ink Rates'!CS:CS),VLOOKUP(EA191,'Jan-2026 rates'!$E:$F,2,0)))</f>
        <v>0</v>
      </c>
      <c r="EM191" s="409"/>
      <c r="EN191" s="398">
        <f>IF(EM191=0,0,IF(LEN(EB191)=11,_xlfn.XLOOKUP(EB191,'Dispensed Ink Rates'!C:C,'Dispensed Ink Rates'!CS:CS),VLOOKUP(EB191,'Jan-2026 rates'!$E:$F,2,0)))</f>
        <v>0</v>
      </c>
      <c r="EO191" s="409"/>
      <c r="EP191" s="398">
        <f>IF(EO191=0,0,IF(LEN(EC191)=11,_xlfn.XLOOKUP(EC191,'Dispensed Ink Rates'!C:C,'Dispensed Ink Rates'!CS:CS),VLOOKUP(EC191,'Jan-2026 rates'!$E:$F,2,0)))</f>
        <v>0</v>
      </c>
      <c r="EQ191" s="409"/>
      <c r="ER191" s="398">
        <f>IF(EQ191=0,0,IF(LEN(ED191)=11,_xlfn.XLOOKUP(ED191,'Dispensed Ink Rates'!C:C,'Dispensed Ink Rates'!CS:CS),VLOOKUP(ED191,'Jan-2026 rates'!$E:$F,2,0)))</f>
        <v>0</v>
      </c>
      <c r="ES191" s="409"/>
      <c r="ET191" s="398">
        <f>IF(ES191=0,0,IF(LEN(EE191)=11,_xlfn.XLOOKUP(EE191,'Dispensed Ink Rates'!C:C,'Dispensed Ink Rates'!CS:CS),VLOOKUP(EE191,'Jan-2026 rates'!$E:$F,2,0)))</f>
        <v>0</v>
      </c>
      <c r="EU191" s="409"/>
      <c r="EV191" s="398">
        <f>IF(EU191=0,0,IF(LEN(EF191)=11,_xlfn.XLOOKUP(EF191,'Dispensed Ink Rates'!C:C,'Dispensed Ink Rates'!CS:CS),VLOOKUP(EF191,'Jan-2026 rates'!$E:$F,2,0)))</f>
        <v>0</v>
      </c>
      <c r="EW191" s="409" t="s">
        <v>1881</v>
      </c>
      <c r="EX191" s="409">
        <v>28</v>
      </c>
      <c r="EY191" s="411">
        <f t="shared" si="115"/>
        <v>0</v>
      </c>
      <c r="EZ191" s="411">
        <f t="shared" si="116"/>
        <v>7.4727272727272691</v>
      </c>
      <c r="FA191" s="410">
        <f t="shared" si="117"/>
        <v>0</v>
      </c>
      <c r="FB191" s="405" t="s">
        <v>545</v>
      </c>
      <c r="FC191" s="409" t="s">
        <v>3695</v>
      </c>
      <c r="FD191" s="420" t="str">
        <f t="shared" si="134"/>
        <v>ToyoLi - YELLOW</v>
      </c>
      <c r="FE191" s="409">
        <v>23</v>
      </c>
      <c r="FF191" s="411">
        <f>IF(FE191=0,0,IF($LB191=70%,VLOOKUP($FD191,'Jan-2026 rates'!$L:$R,4,0),IF($LB191=65%,VLOOKUP($FD191,'Jan-2026 rates'!$L:$R,4,0),IF($LB191=40%,VLOOKUP($FD191,'Jan-2026 rates'!$L:$R,5,0),IF($LB191=30%,VLOOKUP($FD191,'Jan-2026 rates'!$L:$R,6,0),IF($LB191=100%,VLOOKUP($FD191,'Jan-2026 rates'!$L:$R,7,0),IF($LB191=60%,VLOOKUP($FD191,'Jan-2026 rates'!$L:$S,8,0),IF($LB191=80%,VLOOKUP($FD191,'Jan-2026 rates'!L:T,9,0),0))))))))</f>
        <v>0</v>
      </c>
      <c r="FG191" s="412"/>
      <c r="FH191" s="409"/>
      <c r="FI191" s="411">
        <f>IF(FH191=0,0,IF($LB191=70%,VLOOKUP($FD191,'Jan-2026 rates'!$L:$R,4,0),IF($LB191=65%,VLOOKUP($FD191,'Jan-2026 rates'!$L:$R,4,0),IF($LB191=40%,VLOOKUP($FD191,'Jan-2026 rates'!$L:$R,5,0),IF($LB191=30%,VLOOKUP($FD191,'Jan-2026 rates'!$L:$R,6,0),IF($LB191=100%,VLOOKUP($FD191,'Jan-2026 rates'!$L:$R,7,0),IF($LB191=60%,VLOOKUP($FD191,'Jan-2026 rates'!$L:$S,8,0),IF($LB191=80%,VLOOKUP($FD191,'Jan-2026 rates'!L:T,9,0),0))))))))</f>
        <v>0</v>
      </c>
      <c r="FJ191" s="413" t="s">
        <v>1247</v>
      </c>
      <c r="FK191" s="413"/>
      <c r="FL191" s="413"/>
      <c r="FM191" s="412"/>
      <c r="FN191" s="412"/>
      <c r="FO191" s="412"/>
      <c r="FP191" s="412"/>
      <c r="FQ191" s="412"/>
      <c r="FR191" s="409">
        <v>4</v>
      </c>
      <c r="FS191" s="398">
        <f>IF(FR191=0,0,IF(LEN(FJ191)=11,_xlfn.XLOOKUP(FJ191,'Dispensed Ink Rates'!C:C,'Dispensed Ink Rates'!CS:CS),VLOOKUP(FJ191,'Jan-2026 rates'!$E:$F,2,0)))</f>
        <v>0</v>
      </c>
      <c r="FT191" s="409"/>
      <c r="FU191" s="398">
        <f>IF(FT191=0,0,IF(LEN(FK191)=11,_xlfn.XLOOKUP(FK191,'Dispensed Ink Rates'!C:C,'Dispensed Ink Rates'!CS:CS),VLOOKUP(FK191,'Jan-2026 rates'!$E:$F,2,0)))</f>
        <v>0</v>
      </c>
      <c r="FV191" s="409"/>
      <c r="FW191" s="398">
        <f>IF(FV191=0,0,IF(LEN(FL191)=11,_xlfn.XLOOKUP(FL191,'Dispensed Ink Rates'!C:C,'Dispensed Ink Rates'!CS:CS),VLOOKUP(FL191,'Jan-2026 rates'!$E:$F,2,0)))</f>
        <v>0</v>
      </c>
      <c r="FX191" s="409"/>
      <c r="FY191" s="398">
        <f>IF(FX191=0,0,IF(LEN(FM191)=11,_xlfn.XLOOKUP(FM191,'Dispensed Ink Rates'!C:C,'Dispensed Ink Rates'!CS:CS),VLOOKUP(FM191,'Jan-2026 rates'!$E:$F,2,0)))</f>
        <v>0</v>
      </c>
      <c r="FZ191" s="409"/>
      <c r="GA191" s="398">
        <f>IF(FZ191=0,0,IF(LEN(FN191)=11,_xlfn.XLOOKUP(FN191,'Dispensed Ink Rates'!C:C,'Dispensed Ink Rates'!CS:CS),VLOOKUP(FN191,'Jan-2026 rates'!$E:$F,2,0)))</f>
        <v>0</v>
      </c>
      <c r="GB191" s="409"/>
      <c r="GC191" s="398">
        <f>IF(GB191=0,0,IF(LEN(FO191)=11,_xlfn.XLOOKUP(FO191,'Dispensed Ink Rates'!C:C,'Dispensed Ink Rates'!CS:CS),VLOOKUP(FO191,'Jan-2026 rates'!$E:$F,2,0)))</f>
        <v>0</v>
      </c>
      <c r="GD191" s="409"/>
      <c r="GE191" s="398">
        <f>IF(GD191=0,0,IF(LEN(FP191)=11,_xlfn.XLOOKUP(FP191,'Dispensed Ink Rates'!C:C,'Dispensed Ink Rates'!CS:CS),VLOOKUP(FP191,'Jan-2026 rates'!$E:$F,2,0)))</f>
        <v>0</v>
      </c>
      <c r="GF191" s="409"/>
      <c r="GG191" s="398">
        <f>IF(GF191=0,0,IF(LEN(FQ191)=11,_xlfn.XLOOKUP(FQ191,'Dispensed Ink Rates'!C:C,'Dispensed Ink Rates'!CS:CS),VLOOKUP(FQ191,'Jan-2026 rates'!$E:$F,2,0)))</f>
        <v>0</v>
      </c>
      <c r="GH191" s="409" t="s">
        <v>1881</v>
      </c>
      <c r="GI191" s="409">
        <v>26</v>
      </c>
      <c r="GJ191" s="411">
        <f t="shared" si="118"/>
        <v>0</v>
      </c>
      <c r="GK191" s="411">
        <f t="shared" si="119"/>
        <v>7.4727272727272691</v>
      </c>
      <c r="GL191" s="410">
        <f t="shared" si="120"/>
        <v>0</v>
      </c>
      <c r="GM191" s="405" t="s">
        <v>856</v>
      </c>
      <c r="GN191" s="409" t="s">
        <v>3696</v>
      </c>
      <c r="GO191" s="420" t="str">
        <f t="shared" si="135"/>
        <v>ToyoLi - WHITE</v>
      </c>
      <c r="GP191" s="409">
        <v>25</v>
      </c>
      <c r="GQ191" s="411">
        <f>IF(GP191=0,0,IF($LB191=70%,VLOOKUP($GO191,'Jan-2026 rates'!$L:$R,4,0),IF($LB191=65%,VLOOKUP($GO191,'Jan-2026 rates'!$L:$R,4,0),IF($LB191=40%,VLOOKUP($GO191,'Jan-2026 rates'!$L:$R,5,0),IF($LB191=30%,VLOOKUP($GO191,'Jan-2026 rates'!$L:$R,6,0),IF($LB191=100%,VLOOKUP($GO191,'Jan-2026 rates'!$L:$R,7,0),IF($LB191=60%,VLOOKUP($GO191,'Jan-2026 rates'!$L:$S,8,0),IF($LB191=80%,VLOOKUP($GO191,'Jan-2026 rates'!L:T,9,0),0))))))))</f>
        <v>0</v>
      </c>
      <c r="GR191" s="412"/>
      <c r="GS191" s="409"/>
      <c r="GT191" s="411">
        <f>IF(GS191=0,0,IF($LB191=70%,VLOOKUP($GO191,'Jan-2026 rates'!$L:$R,4,0),IF($LB191=65%,VLOOKUP($GO191,'Jan-2026 rates'!$L:$R,4,0),IF($LB191=40%,VLOOKUP($GO191,'Jan-2026 rates'!$L:$R,5,0),IF($LB191=30%,VLOOKUP($GO191,'Jan-2026 rates'!$L:$R,6,0),IF($LB191=100%,VLOOKUP($GO191,'Jan-2026 rates'!$L:$R,7,0),IF($LB191=60%,VLOOKUP($GO191,'Jan-2026 rates'!$L:$S,8,0),IF($LB191=80%,VLOOKUP($GO191,'Jan-2026 rates'!L:T,9,0),0))))))))</f>
        <v>0</v>
      </c>
      <c r="GU191" s="413" t="s">
        <v>1249</v>
      </c>
      <c r="GV191" s="413"/>
      <c r="GW191" s="412"/>
      <c r="GX191" s="412"/>
      <c r="GY191" s="412"/>
      <c r="GZ191" s="412"/>
      <c r="HA191" s="412"/>
      <c r="HB191" s="412"/>
      <c r="HC191" s="409">
        <f>40+20</f>
        <v>60</v>
      </c>
      <c r="HD191" s="398">
        <f>IF(HC191=0,0,IF(LEN(GU191)=11,_xlfn.XLOOKUP(GU191,'Dispensed Ink Rates'!C:C,'Dispensed Ink Rates'!CS:CS),VLOOKUP(GU191,'Jan-2026 rates'!$E:$F,2,0)))</f>
        <v>0</v>
      </c>
      <c r="HE191" s="409"/>
      <c r="HF191" s="398">
        <f>IF(HE191=0,0,IF(LEN(GV191)=11,_xlfn.XLOOKUP(GV191,'Dispensed Ink Rates'!C:C,'Dispensed Ink Rates'!CS:CS),VLOOKUP(GV191,'Jan-2026 rates'!$E:$F,2,0)))</f>
        <v>0</v>
      </c>
      <c r="HG191" s="409"/>
      <c r="HH191" s="398">
        <f>IF(HG191=0,0,IF(LEN(GW191)=11,_xlfn.XLOOKUP(GW191,'Dispensed Ink Rates'!C:C,'Dispensed Ink Rates'!CS:CS),VLOOKUP(GW191,'Jan-2026 rates'!$E:$F,2,0)))</f>
        <v>0</v>
      </c>
      <c r="HI191" s="409"/>
      <c r="HJ191" s="398">
        <f>IF(HI191=0,0,IF(LEN(GX191)=11,_xlfn.XLOOKUP(GX191,'Dispensed Ink Rates'!C:C,'Dispensed Ink Rates'!CS:CS),VLOOKUP(GX191,'Jan-2026 rates'!$E:$F,2,0)))</f>
        <v>0</v>
      </c>
      <c r="HK191" s="409"/>
      <c r="HL191" s="398">
        <f>IF(HK191=0,0,IF(LEN(GY191)=11,_xlfn.XLOOKUP(GY191,'Dispensed Ink Rates'!C:C,'Dispensed Ink Rates'!CS:CS),VLOOKUP(GY191,'Jan-2026 rates'!$E:$F,2,0)))</f>
        <v>0</v>
      </c>
      <c r="HM191" s="409"/>
      <c r="HN191" s="398">
        <f>IF(HM191=0,0,IF(LEN(GZ191)=11,_xlfn.XLOOKUP(GZ191,'Dispensed Ink Rates'!C:C,'Dispensed Ink Rates'!CS:CS),VLOOKUP(GZ191,'Jan-2026 rates'!$E:$F,2,0)))</f>
        <v>0</v>
      </c>
      <c r="HO191" s="409"/>
      <c r="HP191" s="398">
        <f>IF(HO191=0,0,IF(LEN(HA191)=11,_xlfn.XLOOKUP(HA191,'Dispensed Ink Rates'!C:C,'Dispensed Ink Rates'!CS:CS),VLOOKUP(HA191,'Jan-2026 rates'!$E:$F,2,0)))</f>
        <v>0</v>
      </c>
      <c r="HQ191" s="409"/>
      <c r="HR191" s="398">
        <f>IF(HQ191=0,0,IF(LEN(HB191)=11,_xlfn.XLOOKUP(HB191,'Dispensed Ink Rates'!C:C,'Dispensed Ink Rates'!CS:CS),VLOOKUP(HB191,'Jan-2026 rates'!$E:$F,2,0)))</f>
        <v>0</v>
      </c>
      <c r="HS191" s="409" t="s">
        <v>1881</v>
      </c>
      <c r="HT191" s="409">
        <v>30</v>
      </c>
      <c r="HU191" s="411">
        <f t="shared" si="121"/>
        <v>0</v>
      </c>
      <c r="HV191" s="411">
        <f t="shared" si="122"/>
        <v>152.09090909090907</v>
      </c>
      <c r="HW191" s="414">
        <f t="shared" si="123"/>
        <v>0</v>
      </c>
      <c r="HX191" s="405" t="s">
        <v>605</v>
      </c>
      <c r="HY191" s="409" t="s">
        <v>3694</v>
      </c>
      <c r="HZ191" s="420" t="str">
        <f t="shared" si="136"/>
        <v>HI-TECH INK - MATT</v>
      </c>
      <c r="IA191" s="409">
        <v>20</v>
      </c>
      <c r="IB191" s="411">
        <f>IF(IA191=0,0,IF($LB191=70%,VLOOKUP($HZ191,'Jan-2026 rates'!$L:$R,4,0),IF($LB191=65%,VLOOKUP($HZ191,'Jan-2026 rates'!$L:$R,4,0),IF($LB191=40%,VLOOKUP($HZ191,'Jan-2026 rates'!$L:$R,5,0),IF($LB191=30%,VLOOKUP($HZ191,'Jan-2026 rates'!$L:$R,6,0),IF($LB191=100%,VLOOKUP($HZ191,'Jan-2026 rates'!$L:$R,7,0),IF($LB191=60%,VLOOKUP($HZ191,'Jan-2026 rates'!$L:$S,8,0),IF($LB191=80%,VLOOKUP($HZ191,'Jan-2026 rates'!L:T,9,0),0))))))))</f>
        <v>0</v>
      </c>
      <c r="IC191" s="412"/>
      <c r="ID191" s="409"/>
      <c r="IE191" s="411">
        <f>IF(ID191=0,0,IF($LB191=70%,VLOOKUP($HZ191,'Jan-2026 rates'!$L:$R,4,0),IF($LB191=65%,VLOOKUP($HZ191,'Jan-2026 rates'!$L:$R,4,0),IF($LB191=40%,VLOOKUP($HZ191,'Jan-2026 rates'!$L:$R,5,0),IF($LB191=30%,VLOOKUP($HZ191,'Jan-2026 rates'!$L:$R,6,0),IF($LB191=100%,VLOOKUP($HZ191,'Jan-2026 rates'!$L:$R,7,0),IF($LB191=60%,VLOOKUP($HZ191,'Jan-2026 rates'!$L:$S,8,0),IF($LB191=80%,VLOOKUP($HZ191,'Jan-2026 rates'!L:T,9,0),0))))))))</f>
        <v>0</v>
      </c>
      <c r="IF191" s="412">
        <v>2066</v>
      </c>
      <c r="IG191" s="413"/>
      <c r="IH191" s="412"/>
      <c r="II191" s="412"/>
      <c r="IJ191" s="412"/>
      <c r="IK191" s="412"/>
      <c r="IL191" s="412"/>
      <c r="IM191" s="412"/>
      <c r="IN191" s="409">
        <v>60</v>
      </c>
      <c r="IO191" s="398">
        <f>IF(IN191=0,0,IF(LEN(IF191)=11,_xlfn.XLOOKUP(IF191,'Dispensed Ink Rates'!C:C,'Dispensed Ink Rates'!CS:CS),VLOOKUP(IF191,'Jan-2026 rates'!$E:$F,2,0)))</f>
        <v>0</v>
      </c>
      <c r="IP191" s="409"/>
      <c r="IQ191" s="398">
        <f>IF(IP191=0,0,IF(LEN(IG191)=11,_xlfn.XLOOKUP(IG191,'Dispensed Ink Rates'!C:C,'Dispensed Ink Rates'!CS:CS),VLOOKUP(IG191,'Jan-2026 rates'!$E:$F,2,0)))</f>
        <v>0</v>
      </c>
      <c r="IR191" s="409"/>
      <c r="IS191" s="398">
        <f>IF(IR191=0,0,IF(LEN(IH191)=11,_xlfn.XLOOKUP(IH191,'Dispensed Ink Rates'!C:C,'Dispensed Ink Rates'!CS:CS),VLOOKUP(IH191,'Jan-2026 rates'!$E:$F,2,0)))</f>
        <v>0</v>
      </c>
      <c r="IT191" s="409"/>
      <c r="IU191" s="398">
        <f>IF(IT191=0,0,IF(LEN(II191)=11,_xlfn.XLOOKUP(II191,'Dispensed Ink Rates'!C:C,'Dispensed Ink Rates'!CS:CS),VLOOKUP(II191,'Jan-2026 rates'!$E:$F,2,0)))</f>
        <v>0</v>
      </c>
      <c r="IV191" s="409"/>
      <c r="IW191" s="398">
        <f>IF(IV191=0,0,IF(LEN(IJ191)=11,_xlfn.XLOOKUP(IJ191,'Dispensed Ink Rates'!C:C,'Dispensed Ink Rates'!CS:CS),VLOOKUP(IJ191,'Jan-2026 rates'!$E:$F,2,0)))</f>
        <v>0</v>
      </c>
      <c r="IX191" s="409"/>
      <c r="IY191" s="398">
        <f>IF(IX191=0,0,IF(LEN(IK191)=11,_xlfn.XLOOKUP(IK191,'Dispensed Ink Rates'!C:C,'Dispensed Ink Rates'!CS:CS),VLOOKUP(IK191,'Jan-2026 rates'!$E:$F,2,0)))</f>
        <v>0</v>
      </c>
      <c r="IZ191" s="409"/>
      <c r="JA191" s="398">
        <f>IF(IZ191=0,0,IF(LEN(IL191)=11,_xlfn.XLOOKUP(IL191,'Dispensed Ink Rates'!C:C,'Dispensed Ink Rates'!CS:CS),VLOOKUP(IL191,'Jan-2026 rates'!$E:$F,2,0)))</f>
        <v>0</v>
      </c>
      <c r="JB191" s="409"/>
      <c r="JC191" s="398">
        <f>IF(JB191=0,0,IF(LEN(IM191)=11,_xlfn.XLOOKUP(IM191,'Dispensed Ink Rates'!C:C,'Dispensed Ink Rates'!CS:CS),VLOOKUP(IM191,'Jan-2026 rates'!$E:$F,2,0)))</f>
        <v>0</v>
      </c>
      <c r="JD191" s="409" t="s">
        <v>602</v>
      </c>
      <c r="JE191" s="409">
        <v>27</v>
      </c>
      <c r="JF191" s="411">
        <f t="shared" si="124"/>
        <v>0</v>
      </c>
      <c r="JG191" s="411">
        <f t="shared" si="125"/>
        <v>101.54545454545453</v>
      </c>
      <c r="JH191" s="410">
        <f t="shared" si="126"/>
        <v>0</v>
      </c>
      <c r="JI191" s="405"/>
      <c r="JJ191" s="409"/>
      <c r="JK191" s="420" t="str">
        <f t="shared" si="137"/>
        <v xml:space="preserve"> - </v>
      </c>
      <c r="JL191" s="409"/>
      <c r="JM191" s="411">
        <f>IF(JL191=0,0,IF($LB191=70%,VLOOKUP($JK191,'Jan-2026 rates'!$L:$R,4,0),IF($LB191=65%,VLOOKUP($JK191,'Jan-2026 rates'!$L:$R,4,0),IF($LB191=40%,VLOOKUP($JK191,'Jan-2026 rates'!$L:$R,5,0),IF($LB191=30%,VLOOKUP($JK191,'Jan-2026 rates'!$L:$R,6,0),IF($LB191=100%,VLOOKUP($JK191,'Jan-2026 rates'!$L:$R,7,0),IF($LB191=60%,VLOOKUP($JK191,'Jan-2026 rates'!$L:$S,8,0),IF($LB191=80%,VLOOKUP($JK191,'Jan-2026 rates'!L:T,9,0),0))))))))</f>
        <v>0</v>
      </c>
      <c r="JN191" s="412"/>
      <c r="JO191" s="409"/>
      <c r="JP191" s="411">
        <f>IF(JO191=0,0,IF($LB191=70%,VLOOKUP($JK191,'Jan-2026 rates'!$L:$R,4,0),IF($LB191=65%,VLOOKUP($JK191,'Jan-2026 rates'!$L:$R,4,0),IF($LB191=40%,VLOOKUP($JK191,'Jan-2026 rates'!$L:$R,5,0),IF($LB191=30%,VLOOKUP($JK191,'Jan-2026 rates'!$L:$R,6,0),IF($LB191=100%,VLOOKUP($JK191,'Jan-2026 rates'!$L:$R,7,0),IF($LB191=60%,VLOOKUP($JK191,'Jan-2026 rates'!$L:$S,8,0),IF($LB191=80%,VLOOKUP($JK191,'Jan-2026 rates'!L:T,9,0),0))))))))</f>
        <v>0</v>
      </c>
      <c r="JQ191" s="413"/>
      <c r="JR191" s="412"/>
      <c r="JS191" s="413"/>
      <c r="JT191" s="413"/>
      <c r="JU191" s="412"/>
      <c r="JV191" s="412"/>
      <c r="JW191" s="412"/>
      <c r="JX191" s="412"/>
      <c r="JY191" s="409"/>
      <c r="JZ191" s="398">
        <f>IF(JY191=0,0,IF(LEN(JQ191)=11,_xlfn.XLOOKUP(JQ191,'Dispensed Ink Rates'!C:C,'Dispensed Ink Rates'!CS:CS),VLOOKUP(JQ191,'Jan-2026 rates'!$E:$F,2,0)))</f>
        <v>0</v>
      </c>
      <c r="KA191" s="409"/>
      <c r="KB191" s="398">
        <f>IF(KA191=0,0,IF(LEN(JR191)=11,_xlfn.XLOOKUP(JR191,'Dispensed Ink Rates'!C:C,'Dispensed Ink Rates'!CS:CS),VLOOKUP(JR191,'Jan-2026 rates'!$E:$F,2,0)))</f>
        <v>0</v>
      </c>
      <c r="KC191" s="409"/>
      <c r="KD191" s="398">
        <f>IF(KC191=0,0,IF(LEN(JS191)=11,_xlfn.XLOOKUP(JS191,'Dispensed Ink Rates'!C:C,'Dispensed Ink Rates'!CS:CS),VLOOKUP(JS191,'Jan-2026 rates'!$E:$F,2,0)))</f>
        <v>0</v>
      </c>
      <c r="KE191" s="409"/>
      <c r="KF191" s="398">
        <f>IF(KE191=0,0,IF(LEN(JT191)=11,_xlfn.XLOOKUP(JT191,'Dispensed Ink Rates'!C:C,'Dispensed Ink Rates'!CS:CS),VLOOKUP(JT191,'Jan-2026 rates'!$E:$F,2,0)))</f>
        <v>0</v>
      </c>
      <c r="KG191" s="409"/>
      <c r="KH191" s="398">
        <f>IF(KG191=0,0,IF(LEN(JU191)=11,_xlfn.XLOOKUP(JU191,'Dispensed Ink Rates'!C:C,'Dispensed Ink Rates'!CS:CS),VLOOKUP(JU191,'Jan-2026 rates'!$E:$F,2,0)))</f>
        <v>0</v>
      </c>
      <c r="KI191" s="409"/>
      <c r="KJ191" s="398">
        <f>IF(KI191=0,0,IF(LEN(JV191)=11,_xlfn.XLOOKUP(JV191,'Dispensed Ink Rates'!C:C,'Dispensed Ink Rates'!CS:CS),VLOOKUP(JV191,'Jan-2026 rates'!$E:$F,2,0)))</f>
        <v>0</v>
      </c>
      <c r="KK191" s="409"/>
      <c r="KL191" s="398">
        <f>IF(KK191=0,0,IF(LEN(JW191)=11,_xlfn.XLOOKUP(JW191,'Dispensed Ink Rates'!C:C,'Dispensed Ink Rates'!CS:CS),VLOOKUP(JW191,'Jan-2026 rates'!$E:$F,2,0)))</f>
        <v>0</v>
      </c>
      <c r="KM191" s="428"/>
      <c r="KN191" s="398">
        <f>IF(KM191=0,0,IF(LEN(JX191)=11,_xlfn.XLOOKUP(JX191,'Dispensed Ink Rates'!C:C,'Dispensed Ink Rates'!CS:CS),VLOOKUP(JX191,'Jan-2026 rates'!$E:$F,2,0)))</f>
        <v>0</v>
      </c>
      <c r="KO191" s="409"/>
      <c r="KP191" s="409"/>
      <c r="KQ191" s="411">
        <f t="shared" si="127"/>
        <v>0</v>
      </c>
      <c r="KR191" s="411">
        <f t="shared" si="128"/>
        <v>0</v>
      </c>
      <c r="KS191" s="410">
        <f t="shared" si="129"/>
        <v>0</v>
      </c>
      <c r="KT191" s="409">
        <v>2</v>
      </c>
      <c r="KU191" s="409">
        <v>2</v>
      </c>
      <c r="KV191" s="409">
        <v>2</v>
      </c>
      <c r="KW191" s="409">
        <v>2</v>
      </c>
      <c r="KX191" s="409">
        <v>2</v>
      </c>
      <c r="KY191" s="409">
        <f>20+10</f>
        <v>30</v>
      </c>
      <c r="KZ191" s="409">
        <v>15</v>
      </c>
      <c r="LA191" s="409">
        <v>0</v>
      </c>
      <c r="LB191" s="415">
        <v>0.3</v>
      </c>
      <c r="LC191" s="415"/>
      <c r="LD191" s="415"/>
      <c r="LE191" s="415">
        <v>0.5</v>
      </c>
      <c r="LF191" s="415">
        <v>0.2</v>
      </c>
      <c r="LG191" s="409">
        <v>0</v>
      </c>
      <c r="LH191" s="409">
        <f>45+40+24+40+6+7+16</f>
        <v>178</v>
      </c>
      <c r="LI191" s="409">
        <v>0</v>
      </c>
      <c r="LJ191" s="409">
        <v>0</v>
      </c>
      <c r="LK191" s="416">
        <f t="shared" si="138"/>
        <v>178</v>
      </c>
      <c r="LL191" s="416">
        <f t="shared" si="139"/>
        <v>178</v>
      </c>
      <c r="LM191" s="417">
        <f t="shared" si="140"/>
        <v>53.4</v>
      </c>
      <c r="LN191" s="417">
        <f>VLOOKUP($LM$8,'Jan-2026 rates'!$H:$I,2,0)</f>
        <v>0</v>
      </c>
      <c r="LO191" s="417">
        <f t="shared" si="141"/>
        <v>0</v>
      </c>
      <c r="LP191" s="417">
        <f>VLOOKUP($LO$8,'Jan-2026 rates'!$H:$I,2,0)</f>
        <v>0</v>
      </c>
      <c r="LQ191" s="417">
        <f t="shared" si="142"/>
        <v>0</v>
      </c>
      <c r="LR191" s="417">
        <f>VLOOKUP($LQ$8,'Jan-2026 rates'!$H:$I,2,0)</f>
        <v>0</v>
      </c>
      <c r="LS191" s="417">
        <f t="shared" si="143"/>
        <v>89</v>
      </c>
      <c r="LT191" s="417">
        <f>VLOOKUP($LS$8,'Jan-2026 rates'!$H:$I,2,0)</f>
        <v>0</v>
      </c>
      <c r="LU191" s="417">
        <f t="shared" si="144"/>
        <v>35.6</v>
      </c>
      <c r="LV191" s="417">
        <f>VLOOKUP($LU$8,'Jan-2026 rates'!$H:$I,2,0)</f>
        <v>0</v>
      </c>
      <c r="LW191" s="417">
        <f t="shared" si="145"/>
        <v>0</v>
      </c>
      <c r="LX191" s="417">
        <f t="shared" si="146"/>
        <v>0</v>
      </c>
      <c r="LY191" s="418">
        <f t="shared" si="147"/>
        <v>0</v>
      </c>
      <c r="LZ191" s="417"/>
      <c r="MA191" s="435">
        <f t="shared" si="148"/>
        <v>132.5</v>
      </c>
      <c r="MB191" s="282">
        <f t="shared" si="149"/>
        <v>331.49999999999994</v>
      </c>
      <c r="MC191" s="283" t="s">
        <v>2026</v>
      </c>
      <c r="MD191" s="284" t="str">
        <f t="shared" si="150"/>
        <v>ToyoLiToyoLiToyoLiToyoLiToyoLiToyoLiHI-TECH INK</v>
      </c>
      <c r="ME191" s="293" t="str">
        <f t="shared" si="151"/>
        <v>+</v>
      </c>
      <c r="MF191" s="293" t="str">
        <f t="shared" si="152"/>
        <v>+</v>
      </c>
      <c r="MG191" s="293" t="str">
        <f t="shared" si="153"/>
        <v>+</v>
      </c>
      <c r="MH191" s="293" t="str">
        <f t="shared" si="154"/>
        <v>+</v>
      </c>
      <c r="MI191" s="293" t="str">
        <f t="shared" si="155"/>
        <v>+</v>
      </c>
      <c r="MJ191" s="293" t="str">
        <f t="shared" si="156"/>
        <v>+</v>
      </c>
      <c r="MK191" s="293" t="str">
        <f t="shared" si="157"/>
        <v>+</v>
      </c>
      <c r="ML191" s="293" t="str">
        <f t="shared" si="158"/>
        <v>NIL</v>
      </c>
      <c r="MM191" s="3" t="b">
        <f t="array" ref="MM191">OR(ME191:ML191="-")</f>
        <v>0</v>
      </c>
      <c r="MN191" s="285"/>
      <c r="MO191" s="401"/>
      <c r="MP191" s="286"/>
      <c r="MQ191" s="286"/>
      <c r="MR191" s="402"/>
      <c r="MS191" s="400"/>
      <c r="NH191" s="422"/>
      <c r="NJ191" s="421"/>
    </row>
    <row r="192" spans="1:374" s="1" customFormat="1" ht="16.5">
      <c r="A192" s="403">
        <v>46036</v>
      </c>
      <c r="B192" s="404" t="s">
        <v>1018</v>
      </c>
      <c r="C192" s="405" t="s">
        <v>3697</v>
      </c>
      <c r="D192" s="406" t="s">
        <v>2027</v>
      </c>
      <c r="E192" s="404">
        <v>684</v>
      </c>
      <c r="F192" s="407">
        <v>39400</v>
      </c>
      <c r="G192" s="407" t="s">
        <v>1016</v>
      </c>
      <c r="H192" s="408" t="s">
        <v>1017</v>
      </c>
      <c r="I192" s="409">
        <v>1.93</v>
      </c>
      <c r="J192" s="405" t="s">
        <v>543</v>
      </c>
      <c r="K192" s="404" t="s">
        <v>3698</v>
      </c>
      <c r="L192" s="419" t="str">
        <f t="shared" si="131"/>
        <v>ToyoLi - BLACK</v>
      </c>
      <c r="M192" s="404">
        <v>27</v>
      </c>
      <c r="N192" s="410">
        <f>IF(M192=0,0,IF($LB192=70%,VLOOKUP($L192,'Jan-2026 rates'!$L:$R,4,0),IF($LB192=65%,VLOOKUP($L192,'Jan-2026 rates'!$L:$R,4,0),IF($LB192=40%,VLOOKUP($L192,'Jan-2026 rates'!$L:$R,5,0),IF($LB192=30%,VLOOKUP($L192,'Jan-2026 rates'!$L:$R,6,0),IF($LB192=100%,VLOOKUP($L192,'Jan-2026 rates'!$L:$R,7,0),IF($LB192=60%,VLOOKUP($L192,'Jan-2026 rates'!$L:$S,8,0),IF($LB192=80%,VLOOKUP($L192,'Jan-2026 rates'!L:T,9,0),0))))))))</f>
        <v>0</v>
      </c>
      <c r="O192" s="406"/>
      <c r="P192" s="404"/>
      <c r="Q192" s="410">
        <f>IF(P192=0,0,IF($LB192=70%,VLOOKUP($L192,'Jan-2026 rates'!$L:$R,4,0),IF($LB192=65%,VLOOKUP($L192,'Jan-2026 rates'!$L:$R,4,0),IF($LB192=40%,VLOOKUP($L192,'Jan-2026 rates'!$L:$R,5,0),IF($LB192=30%,VLOOKUP($L192,'Jan-2026 rates'!$L:$R,6,0),IF($LB192=100%,VLOOKUP($L192,'Jan-2026 rates'!$L:$R,7,0),IF($LB192=60%,VLOOKUP($L192,'Jan-2026 rates'!$L:$S,8,0),IF($LB192=80%,VLOOKUP($L192,'Jan-2026 rates'!L:T,9,0),0))))))))</f>
        <v>0</v>
      </c>
      <c r="R192" s="406" t="s">
        <v>1252</v>
      </c>
      <c r="S192" s="406"/>
      <c r="T192" s="406"/>
      <c r="U192" s="406"/>
      <c r="V192" s="406"/>
      <c r="W192" s="406"/>
      <c r="X192" s="406"/>
      <c r="Y192" s="406"/>
      <c r="Z192" s="404">
        <v>3</v>
      </c>
      <c r="AA192" s="398">
        <f>IF(Z192=0,0,IF(LEN(R192)=11,_xlfn.XLOOKUP(R192,'Dispensed Ink Rates'!C:C,'Dispensed Ink Rates'!CS:CS),VLOOKUP(R192,'Jan-2026 rates'!$E:$F,2,0)))</f>
        <v>0</v>
      </c>
      <c r="AB192" s="404"/>
      <c r="AC192" s="398">
        <f>IF(AB192=0,0,IF(LEN(S192)=11,_xlfn.XLOOKUP(S192,'Dispensed Ink Rates'!C:C,'Dispensed Ink Rates'!CS:CS),VLOOKUP(S192,'Jan-2026 rates'!$E:$F,2,0)))</f>
        <v>0</v>
      </c>
      <c r="AD192" s="404"/>
      <c r="AE192" s="398">
        <f>IF(AD192=0,0,IF(LEN(T192)=11,_xlfn.XLOOKUP(T192,'Dispensed Ink Rates'!C:C,'Dispensed Ink Rates'!CS:CS),VLOOKUP(T192,'Jan-2026 rates'!$E:$F,2,0)))</f>
        <v>0</v>
      </c>
      <c r="AF192" s="404"/>
      <c r="AG192" s="398">
        <f>IF(AF192=0,0,IF(LEN(U192)=11,_xlfn.XLOOKUP(U192,'Dispensed Ink Rates'!C:C,'Dispensed Ink Rates'!CS:CS),VLOOKUP(U192,'Jan-2026 rates'!$E:$F,2,0)))</f>
        <v>0</v>
      </c>
      <c r="AH192" s="404"/>
      <c r="AI192" s="398">
        <f>IF(AH192=0,0,IF(LEN(V192)=11,_xlfn.XLOOKUP(V192,'Dispensed Ink Rates'!C:C,'Dispensed Ink Rates'!CS:CS),VLOOKUP(V192,'Jan-2026 rates'!$E:$F,2,0)))</f>
        <v>0</v>
      </c>
      <c r="AJ192" s="404"/>
      <c r="AK192" s="398">
        <f>IF(AJ192=0,0,IF(LEN(W192)=11,_xlfn.XLOOKUP(W192,'Dispensed Ink Rates'!C:C,'Dispensed Ink Rates'!CS:CS),VLOOKUP(W192,'Jan-2026 rates'!$E:$F,2,0)))</f>
        <v>0</v>
      </c>
      <c r="AL192" s="404"/>
      <c r="AM192" s="398">
        <f>IF(AL192=0,0,IF(LEN(X192)=11,_xlfn.XLOOKUP(X192,'Dispensed Ink Rates'!C:C,'Dispensed Ink Rates'!CS:CS),VLOOKUP(X192,'Jan-2026 rates'!$E:$F,2,0)))</f>
        <v>0</v>
      </c>
      <c r="AN192" s="404"/>
      <c r="AO192" s="398">
        <f>IF(AN192=0,0,IF(LEN(Y192)=11,_xlfn.XLOOKUP(Y192,'Dispensed Ink Rates'!C:C,'Dispensed Ink Rates'!CS:CS),VLOOKUP(Y192,'Jan-2026 rates'!$E:$F,2,0)))</f>
        <v>0</v>
      </c>
      <c r="AP192" s="409" t="s">
        <v>1881</v>
      </c>
      <c r="AQ192" s="409">
        <v>28</v>
      </c>
      <c r="AR192" s="410">
        <f t="shared" si="106"/>
        <v>0</v>
      </c>
      <c r="AS192" s="411">
        <f t="shared" si="107"/>
        <v>6.3063063063063041</v>
      </c>
      <c r="AT192" s="410">
        <f t="shared" si="108"/>
        <v>0</v>
      </c>
      <c r="AU192" s="405" t="s">
        <v>857</v>
      </c>
      <c r="AV192" s="409" t="s">
        <v>3699</v>
      </c>
      <c r="AW192" s="420" t="str">
        <f t="shared" si="130"/>
        <v>ToyoLi - RED</v>
      </c>
      <c r="AX192" s="409">
        <v>20</v>
      </c>
      <c r="AY192" s="411">
        <f>IF(AX192=0,0,IF($LB192=70%,VLOOKUP($AW192,'Jan-2026 rates'!$L:$R,4,0),IF($LB192=65%,VLOOKUP($AW192,'Jan-2026 rates'!$L:$R,4,0),IF($LB192=40%,VLOOKUP($AW192,'Jan-2026 rates'!$L:$R,5,0),IF($LB192=30%,VLOOKUP($AW192,'Jan-2026 rates'!$L:$R,6,0),IF($LB192=100%,VLOOKUP($AW192,'Jan-2026 rates'!$L:$R,7,0),IF($LB192=60%,VLOOKUP($AW192,'Jan-2026 rates'!$L:$S,8,0),IF($LB192=80%,VLOOKUP($AW192,'Jan-2026 rates'!L:T,9,0),0))))))))</f>
        <v>0</v>
      </c>
      <c r="AZ192" s="412" t="s">
        <v>3700</v>
      </c>
      <c r="BA192" s="409">
        <f>28+16</f>
        <v>44</v>
      </c>
      <c r="BB192" s="411">
        <f>IF(BA192=0,0,IF($LB192=70%,VLOOKUP($AW192,'Jan-2026 rates'!$L:$R,4,0),IF($LB192=65%,VLOOKUP($AW192,'Jan-2026 rates'!$L:$R,4,0),IF($LB192=40%,VLOOKUP($AW192,'Jan-2026 rates'!$L:$R,5,0),IF($LB192=30%,VLOOKUP($AW192,'Jan-2026 rates'!$L:$R,6,0),IF($LB192=100%,VLOOKUP($AW192,'Jan-2026 rates'!$L:$R,7,0),IF($LB192=60%,VLOOKUP($AW192,'Jan-2026 rates'!$L:$S,8,0),IF($LB192=80%,VLOOKUP($AW192,'Jan-2026 rates'!L:T,9,0),0))))))))</f>
        <v>0</v>
      </c>
      <c r="BC192" s="413" t="s">
        <v>1246</v>
      </c>
      <c r="BD192" s="412" t="s">
        <v>1248</v>
      </c>
      <c r="BE192" s="412" t="s">
        <v>1247</v>
      </c>
      <c r="BF192" s="413" t="s">
        <v>1252</v>
      </c>
      <c r="BG192" s="412"/>
      <c r="BH192" s="412"/>
      <c r="BI192" s="412"/>
      <c r="BJ192" s="412"/>
      <c r="BK192" s="409">
        <f>10+6</f>
        <v>16</v>
      </c>
      <c r="BL192" s="398">
        <f>IF(BK192=0,0,IF(LEN(BC192)=11,_xlfn.XLOOKUP(BC192,'Dispensed Ink Rates'!C:C,'Dispensed Ink Rates'!CS:CS),VLOOKUP(BC192,'Jan-2026 rates'!$E:$F,2,0)))</f>
        <v>0</v>
      </c>
      <c r="BM192" s="409">
        <f>15+10</f>
        <v>25</v>
      </c>
      <c r="BN192" s="398">
        <f>IF(BM192=0,0,IF(LEN(BD192)=11,_xlfn.XLOOKUP(BD192,'Dispensed Ink Rates'!C:C,'Dispensed Ink Rates'!CS:CS),VLOOKUP(BD192,'Jan-2026 rates'!$E:$F,2,0)))</f>
        <v>0</v>
      </c>
      <c r="BO192" s="409">
        <f>5+5</f>
        <v>10</v>
      </c>
      <c r="BP192" s="398">
        <f>IF(BO192=0,0,IF(LEN(BE192)=11,_xlfn.XLOOKUP(BE192,'Dispensed Ink Rates'!C:C,'Dispensed Ink Rates'!CS:CS),VLOOKUP(BE192,'Jan-2026 rates'!$E:$F,2,0)))</f>
        <v>0</v>
      </c>
      <c r="BQ192" s="409">
        <v>0.5</v>
      </c>
      <c r="BR192" s="398">
        <f>IF(BQ192=0,0,IF(LEN(BF192)=11,_xlfn.XLOOKUP(BF192,'Dispensed Ink Rates'!C:C,'Dispensed Ink Rates'!CS:CS),VLOOKUP(BF192,'Jan-2026 rates'!$E:$F,2,0)))</f>
        <v>0</v>
      </c>
      <c r="BS192" s="409"/>
      <c r="BT192" s="398">
        <f>IF(BS192=0,0,IF(LEN(BG192)=11,_xlfn.XLOOKUP(BG192,'Dispensed Ink Rates'!C:C,'Dispensed Ink Rates'!CS:CS),VLOOKUP(BG192,'Jan-2026 rates'!$E:$F,2,0)))</f>
        <v>0</v>
      </c>
      <c r="BU192" s="409"/>
      <c r="BV192" s="398">
        <f>IF(BU192=0,0,IF(LEN(BH192)=11,_xlfn.XLOOKUP(BH192,'Dispensed Ink Rates'!C:C,'Dispensed Ink Rates'!CS:CS),VLOOKUP(BH192,'Jan-2026 rates'!$E:$F,2,0)))</f>
        <v>0</v>
      </c>
      <c r="BW192" s="409"/>
      <c r="BX192" s="398">
        <f>IF(BW192=0,0,IF(LEN(BI192)=11,_xlfn.XLOOKUP(BI192,'Dispensed Ink Rates'!C:C,'Dispensed Ink Rates'!CS:CS),VLOOKUP(BI192,'Jan-2026 rates'!$E:$F,2,0)))</f>
        <v>0</v>
      </c>
      <c r="BY192" s="409"/>
      <c r="BZ192" s="398">
        <f>IF(BY192=0,0,IF(LEN(BJ192)=11,_xlfn.XLOOKUP(BJ192,'Dispensed Ink Rates'!C:C,'Dispensed Ink Rates'!CS:CS),VLOOKUP(BJ192,'Jan-2026 rates'!$E:$F,2,0)))</f>
        <v>0</v>
      </c>
      <c r="CA192" s="409" t="s">
        <v>1881</v>
      </c>
      <c r="CB192" s="409">
        <v>20</v>
      </c>
      <c r="CC192" s="411">
        <f t="shared" si="109"/>
        <v>0</v>
      </c>
      <c r="CD192" s="411">
        <f t="shared" si="110"/>
        <v>129.95045045045043</v>
      </c>
      <c r="CE192" s="410">
        <f t="shared" si="111"/>
        <v>0</v>
      </c>
      <c r="CF192" s="404" t="s">
        <v>547</v>
      </c>
      <c r="CG192" s="409" t="s">
        <v>3701</v>
      </c>
      <c r="CH192" s="420" t="str">
        <f t="shared" si="132"/>
        <v>ToyoLi - GREEN</v>
      </c>
      <c r="CI192" s="409">
        <v>20</v>
      </c>
      <c r="CJ192" s="411">
        <f>IF(CI192=0,0,IF($LB192=70%,VLOOKUP($CH192,'Jan-2026 rates'!$L:$R,4,0),IF($LB192=65%,VLOOKUP($CH192,'Jan-2026 rates'!$L:$R,4,0),IF($LB192=40%,VLOOKUP($CH192,'Jan-2026 rates'!$L:$R,5,0),IF($LB192=30%,VLOOKUP($CH192,'Jan-2026 rates'!$L:$R,6,0),IF($LB192=100%,VLOOKUP($CH192,'Jan-2026 rates'!$L:$R,7,0),IF($LB192=60%,VLOOKUP($CH192,'Jan-2026 rates'!$L:$S,8,0),IF($LB192=80%,VLOOKUP($CH192,'Jan-2026 rates'!L:T,9,0),0))))))))</f>
        <v>0</v>
      </c>
      <c r="CK192" s="412"/>
      <c r="CL192" s="409"/>
      <c r="CM192" s="411">
        <f>IF(CL192=0,0,IF($LB192=70%,VLOOKUP($CH192,'Jan-2026 rates'!$L:$R,4,0),IF($LB192=65%,VLOOKUP($CH192,'Jan-2026 rates'!$L:$R,4,0),IF($LB192=40%,VLOOKUP($CH192,'Jan-2026 rates'!$L:$R,5,0),IF($LB192=30%,VLOOKUP($CH192,'Jan-2026 rates'!$L:$R,6,0),IF($LB192=100%,VLOOKUP($CH192,'Jan-2026 rates'!$L:$R,7,0),IF($LB192=60%,VLOOKUP($CH192,'Jan-2026 rates'!$L:$S,8,0),IF($LB192=80%,VLOOKUP($CH192,'Jan-2026 rates'!L:T,9,0),0))))))))</f>
        <v>0</v>
      </c>
      <c r="CN192" s="426" t="s">
        <v>1250</v>
      </c>
      <c r="CO192" s="427" t="s">
        <v>1921</v>
      </c>
      <c r="CP192" s="426"/>
      <c r="CQ192" s="426"/>
      <c r="CR192" s="428"/>
      <c r="CS192" s="428"/>
      <c r="CT192" s="428"/>
      <c r="CU192" s="428"/>
      <c r="CV192" s="409">
        <v>4</v>
      </c>
      <c r="CW192" s="398">
        <f>IF(CV192=0,0,IF(LEN(CN192)=11,_xlfn.XLOOKUP(CN192,'Dispensed Ink Rates'!C:C,'Dispensed Ink Rates'!CS:CS),VLOOKUP(CN192,'Jan-2026 rates'!$E:$F,2,0)))</f>
        <v>0</v>
      </c>
      <c r="CX192" s="409">
        <v>3</v>
      </c>
      <c r="CY192" s="398">
        <f>IF(CX192=0,0,IF(LEN(CO192)=11,_xlfn.XLOOKUP(CO192,'Dispensed Ink Rates'!C:C,'Dispensed Ink Rates'!CS:CS),VLOOKUP(CO192,'Jan-2026 rates'!$E:$F,2,0)))</f>
        <v>0</v>
      </c>
      <c r="CZ192" s="409"/>
      <c r="DA192" s="398">
        <f>IF(CZ192=0,0,IF(LEN(CP192)=11,_xlfn.XLOOKUP(CP192,'Dispensed Ink Rates'!C:C,'Dispensed Ink Rates'!CS:CS),VLOOKUP(CP192,'Jan-2026 rates'!$E:$F,2,0)))</f>
        <v>0</v>
      </c>
      <c r="DB192" s="409"/>
      <c r="DC192" s="398">
        <f>IF(DB192=0,0,IF(LEN(CQ192)=11,_xlfn.XLOOKUP(CQ192,'Dispensed Ink Rates'!C:C,'Dispensed Ink Rates'!CS:CS),VLOOKUP(CQ192,'Jan-2026 rates'!$E:$F,2,0)))</f>
        <v>0</v>
      </c>
      <c r="DD192" s="409"/>
      <c r="DE192" s="398">
        <f>IF(DD192=0,0,IF(LEN(CR192)=11,_xlfn.XLOOKUP(CR192,'Dispensed Ink Rates'!C:C,'Dispensed Ink Rates'!CS:CS),VLOOKUP(CR192,'Jan-2026 rates'!$E:$F,2,0)))</f>
        <v>0</v>
      </c>
      <c r="DF192" s="409"/>
      <c r="DG192" s="398">
        <f>IF(DF192=0,0,IF(LEN(CS192)=11,_xlfn.XLOOKUP(CS192,'Dispensed Ink Rates'!C:C,'Dispensed Ink Rates'!CS:CS),VLOOKUP(CS192,'Jan-2026 rates'!$E:$F,2,0)))</f>
        <v>0</v>
      </c>
      <c r="DH192" s="409"/>
      <c r="DI192" s="398">
        <f>IF(DH192=0,0,IF(LEN(CT192)=11,_xlfn.XLOOKUP(CT192,'Dispensed Ink Rates'!C:C,'Dispensed Ink Rates'!CS:CS),VLOOKUP(CT192,'Jan-2026 rates'!$E:$F,2,0)))</f>
        <v>0</v>
      </c>
      <c r="DJ192" s="409"/>
      <c r="DK192" s="398">
        <f>IF(DJ192=0,0,IF(LEN(CU192)=11,_xlfn.XLOOKUP(CU192,'Dispensed Ink Rates'!C:C,'Dispensed Ink Rates'!CS:CS),VLOOKUP(CU192,'Jan-2026 rates'!$E:$F,2,0)))</f>
        <v>0</v>
      </c>
      <c r="DL192" s="409" t="s">
        <v>1881</v>
      </c>
      <c r="DM192" s="409">
        <v>27</v>
      </c>
      <c r="DN192" s="411">
        <f t="shared" si="112"/>
        <v>0</v>
      </c>
      <c r="DO192" s="411">
        <f t="shared" si="113"/>
        <v>10.765765765765764</v>
      </c>
      <c r="DP192" s="410">
        <f t="shared" si="114"/>
        <v>0</v>
      </c>
      <c r="DQ192" s="405" t="s">
        <v>545</v>
      </c>
      <c r="DR192" s="409" t="s">
        <v>3702</v>
      </c>
      <c r="DS192" s="420" t="str">
        <f t="shared" si="133"/>
        <v>ToyoLi - YELLOW</v>
      </c>
      <c r="DT192" s="409">
        <v>26</v>
      </c>
      <c r="DU192" s="411">
        <f>IF(DT192=0,0,IF($LB192=70%,VLOOKUP($DS192,'Jan-2026 rates'!$L:$R,4,0),IF($LB192=65%,VLOOKUP($DS192,'Jan-2026 rates'!$L:$R,4,0),IF($LB192=40%,VLOOKUP($DS192,'Jan-2026 rates'!$L:$R,5,0),IF($LB192=30%,VLOOKUP($DS192,'Jan-2026 rates'!$L:$R,6,0),IF($LB192=100%,VLOOKUP($DS192,'Jan-2026 rates'!$L:$R,7,0),IF($LB192=60%,VLOOKUP($DS192,'Jan-2026 rates'!$L:$S,8,0),IF($LB192=80%,VLOOKUP($DS192,'Jan-2026 rates'!L:T,9,0),0))))))))</f>
        <v>0</v>
      </c>
      <c r="DV192" s="412"/>
      <c r="DW192" s="409"/>
      <c r="DX192" s="411">
        <f>IF(DW192=0,0,IF($LB192=70%,VLOOKUP($DS192,'Jan-2026 rates'!$L:$R,4,0),IF($LB192=65%,VLOOKUP($DS192,'Jan-2026 rates'!$L:$R,4,0),IF($LB192=40%,VLOOKUP($DS192,'Jan-2026 rates'!$L:$R,5,0),IF($LB192=30%,VLOOKUP($DS192,'Jan-2026 rates'!$L:$R,6,0),IF($LB192=100%,VLOOKUP($DS192,'Jan-2026 rates'!$L:$R,7,0),IF($LB192=60%,VLOOKUP($DS192,'Jan-2026 rates'!$L:$S,8,0),IF($LB192=80%,VLOOKUP($DS192,'Jan-2026 rates'!L:T,9,0),0))))))))</f>
        <v>0</v>
      </c>
      <c r="DY192" s="413" t="s">
        <v>1247</v>
      </c>
      <c r="DZ192" s="413"/>
      <c r="EA192" s="412"/>
      <c r="EB192" s="412"/>
      <c r="EC192" s="412"/>
      <c r="ED192" s="412"/>
      <c r="EE192" s="412"/>
      <c r="EF192" s="412"/>
      <c r="EG192" s="409">
        <v>5</v>
      </c>
      <c r="EH192" s="398">
        <f>IF(EG192=0,0,IF(LEN(DY192)=11,_xlfn.XLOOKUP(DY192,'Dispensed Ink Rates'!C:C,'Dispensed Ink Rates'!CS:CS),VLOOKUP(DY192,'Jan-2026 rates'!$E:$F,2,0)))</f>
        <v>0</v>
      </c>
      <c r="EI192" s="409"/>
      <c r="EJ192" s="398">
        <f>IF(EI192=0,0,IF(LEN(DZ192)=11,_xlfn.XLOOKUP(DZ192,'Dispensed Ink Rates'!C:C,'Dispensed Ink Rates'!CS:CS),VLOOKUP(DZ192,'Jan-2026 rates'!$E:$F,2,0)))</f>
        <v>0</v>
      </c>
      <c r="EK192" s="409"/>
      <c r="EL192" s="398">
        <f>IF(EK192=0,0,IF(LEN(EA192)=11,_xlfn.XLOOKUP(EA192,'Dispensed Ink Rates'!C:C,'Dispensed Ink Rates'!CS:CS),VLOOKUP(EA192,'Jan-2026 rates'!$E:$F,2,0)))</f>
        <v>0</v>
      </c>
      <c r="EM192" s="409"/>
      <c r="EN192" s="398">
        <f>IF(EM192=0,0,IF(LEN(EB192)=11,_xlfn.XLOOKUP(EB192,'Dispensed Ink Rates'!C:C,'Dispensed Ink Rates'!CS:CS),VLOOKUP(EB192,'Jan-2026 rates'!$E:$F,2,0)))</f>
        <v>0</v>
      </c>
      <c r="EO192" s="409"/>
      <c r="EP192" s="398">
        <f>IF(EO192=0,0,IF(LEN(EC192)=11,_xlfn.XLOOKUP(EC192,'Dispensed Ink Rates'!C:C,'Dispensed Ink Rates'!CS:CS),VLOOKUP(EC192,'Jan-2026 rates'!$E:$F,2,0)))</f>
        <v>0</v>
      </c>
      <c r="EQ192" s="409"/>
      <c r="ER192" s="398">
        <f>IF(EQ192=0,0,IF(LEN(ED192)=11,_xlfn.XLOOKUP(ED192,'Dispensed Ink Rates'!C:C,'Dispensed Ink Rates'!CS:CS),VLOOKUP(ED192,'Jan-2026 rates'!$E:$F,2,0)))</f>
        <v>0</v>
      </c>
      <c r="ES192" s="409"/>
      <c r="ET192" s="398">
        <f>IF(ES192=0,0,IF(LEN(EE192)=11,_xlfn.XLOOKUP(EE192,'Dispensed Ink Rates'!C:C,'Dispensed Ink Rates'!CS:CS),VLOOKUP(EE192,'Jan-2026 rates'!$E:$F,2,0)))</f>
        <v>0</v>
      </c>
      <c r="EU192" s="409"/>
      <c r="EV192" s="398">
        <f>IF(EU192=0,0,IF(LEN(EF192)=11,_xlfn.XLOOKUP(EF192,'Dispensed Ink Rates'!C:C,'Dispensed Ink Rates'!CS:CS),VLOOKUP(EF192,'Jan-2026 rates'!$E:$F,2,0)))</f>
        <v>0</v>
      </c>
      <c r="EW192" s="409" t="s">
        <v>1881</v>
      </c>
      <c r="EX192" s="409">
        <v>28</v>
      </c>
      <c r="EY192" s="411">
        <f t="shared" si="115"/>
        <v>0</v>
      </c>
      <c r="EZ192" s="411">
        <f t="shared" si="116"/>
        <v>9.4594594594594597</v>
      </c>
      <c r="FA192" s="410">
        <f t="shared" si="117"/>
        <v>0</v>
      </c>
      <c r="FB192" s="405" t="s">
        <v>856</v>
      </c>
      <c r="FC192" s="409" t="s">
        <v>3703</v>
      </c>
      <c r="FD192" s="420" t="str">
        <f t="shared" si="134"/>
        <v>ToyoLi - WHITE</v>
      </c>
      <c r="FE192" s="409">
        <v>30</v>
      </c>
      <c r="FF192" s="411">
        <f>IF(FE192=0,0,IF($LB192=70%,VLOOKUP($FD192,'Jan-2026 rates'!$L:$R,4,0),IF($LB192=65%,VLOOKUP($FD192,'Jan-2026 rates'!$L:$R,4,0),IF($LB192=40%,VLOOKUP($FD192,'Jan-2026 rates'!$L:$R,5,0),IF($LB192=30%,VLOOKUP($FD192,'Jan-2026 rates'!$L:$R,6,0),IF($LB192=100%,VLOOKUP($FD192,'Jan-2026 rates'!$L:$R,7,0),IF($LB192=60%,VLOOKUP($FD192,'Jan-2026 rates'!$L:$S,8,0),IF($LB192=80%,VLOOKUP($FD192,'Jan-2026 rates'!L:T,9,0),0))))))))</f>
        <v>0</v>
      </c>
      <c r="FG192" s="412"/>
      <c r="FH192" s="409"/>
      <c r="FI192" s="411">
        <f>IF(FH192=0,0,IF($LB192=70%,VLOOKUP($FD192,'Jan-2026 rates'!$L:$R,4,0),IF($LB192=65%,VLOOKUP($FD192,'Jan-2026 rates'!$L:$R,4,0),IF($LB192=40%,VLOOKUP($FD192,'Jan-2026 rates'!$L:$R,5,0),IF($LB192=30%,VLOOKUP($FD192,'Jan-2026 rates'!$L:$R,6,0),IF($LB192=100%,VLOOKUP($FD192,'Jan-2026 rates'!$L:$R,7,0),IF($LB192=60%,VLOOKUP($FD192,'Jan-2026 rates'!$L:$S,8,0),IF($LB192=80%,VLOOKUP($FD192,'Jan-2026 rates'!L:T,9,0),0))))))))</f>
        <v>0</v>
      </c>
      <c r="FJ192" s="413" t="s">
        <v>1249</v>
      </c>
      <c r="FK192" s="413"/>
      <c r="FL192" s="413"/>
      <c r="FM192" s="412"/>
      <c r="FN192" s="412"/>
      <c r="FO192" s="412"/>
      <c r="FP192" s="412"/>
      <c r="FQ192" s="412"/>
      <c r="FR192" s="409">
        <f>100+40</f>
        <v>140</v>
      </c>
      <c r="FS192" s="398">
        <f>IF(FR192=0,0,IF(LEN(FJ192)=11,_xlfn.XLOOKUP(FJ192,'Dispensed Ink Rates'!C:C,'Dispensed Ink Rates'!CS:CS),VLOOKUP(FJ192,'Jan-2026 rates'!$E:$F,2,0)))</f>
        <v>0</v>
      </c>
      <c r="FT192" s="409"/>
      <c r="FU192" s="398">
        <f>IF(FT192=0,0,IF(LEN(FK192)=11,_xlfn.XLOOKUP(FK192,'Dispensed Ink Rates'!C:C,'Dispensed Ink Rates'!CS:CS),VLOOKUP(FK192,'Jan-2026 rates'!$E:$F,2,0)))</f>
        <v>0</v>
      </c>
      <c r="FV192" s="409"/>
      <c r="FW192" s="398">
        <f>IF(FV192=0,0,IF(LEN(FL192)=11,_xlfn.XLOOKUP(FL192,'Dispensed Ink Rates'!C:C,'Dispensed Ink Rates'!CS:CS),VLOOKUP(FL192,'Jan-2026 rates'!$E:$F,2,0)))</f>
        <v>0</v>
      </c>
      <c r="FX192" s="409"/>
      <c r="FY192" s="398">
        <f>IF(FX192=0,0,IF(LEN(FM192)=11,_xlfn.XLOOKUP(FM192,'Dispensed Ink Rates'!C:C,'Dispensed Ink Rates'!CS:CS),VLOOKUP(FM192,'Jan-2026 rates'!$E:$F,2,0)))</f>
        <v>0</v>
      </c>
      <c r="FZ192" s="409"/>
      <c r="GA192" s="398">
        <f>IF(FZ192=0,0,IF(LEN(FN192)=11,_xlfn.XLOOKUP(FN192,'Dispensed Ink Rates'!C:C,'Dispensed Ink Rates'!CS:CS),VLOOKUP(FN192,'Jan-2026 rates'!$E:$F,2,0)))</f>
        <v>0</v>
      </c>
      <c r="GB192" s="409"/>
      <c r="GC192" s="398">
        <f>IF(GB192=0,0,IF(LEN(FO192)=11,_xlfn.XLOOKUP(FO192,'Dispensed Ink Rates'!C:C,'Dispensed Ink Rates'!CS:CS),VLOOKUP(FO192,'Jan-2026 rates'!$E:$F,2,0)))</f>
        <v>0</v>
      </c>
      <c r="GD192" s="409"/>
      <c r="GE192" s="398">
        <f>IF(GD192=0,0,IF(LEN(FP192)=11,_xlfn.XLOOKUP(FP192,'Dispensed Ink Rates'!C:C,'Dispensed Ink Rates'!CS:CS),VLOOKUP(FP192,'Jan-2026 rates'!$E:$F,2,0)))</f>
        <v>0</v>
      </c>
      <c r="GF192" s="409"/>
      <c r="GG192" s="398">
        <f>IF(GF192=0,0,IF(LEN(FQ192)=11,_xlfn.XLOOKUP(FQ192,'Dispensed Ink Rates'!C:C,'Dispensed Ink Rates'!CS:CS),VLOOKUP(FQ192,'Jan-2026 rates'!$E:$F,2,0)))</f>
        <v>0</v>
      </c>
      <c r="GH192" s="409" t="s">
        <v>1881</v>
      </c>
      <c r="GI192" s="409">
        <v>25</v>
      </c>
      <c r="GJ192" s="411">
        <f t="shared" si="118"/>
        <v>0</v>
      </c>
      <c r="GK192" s="411">
        <f t="shared" si="119"/>
        <v>328.01801801801798</v>
      </c>
      <c r="GL192" s="410">
        <f t="shared" si="120"/>
        <v>0</v>
      </c>
      <c r="GM192" s="405"/>
      <c r="GN192" s="409"/>
      <c r="GO192" s="420" t="str">
        <f t="shared" si="135"/>
        <v xml:space="preserve"> - </v>
      </c>
      <c r="GP192" s="409"/>
      <c r="GQ192" s="411">
        <f>IF(GP192=0,0,IF($LB192=70%,VLOOKUP($GO192,'Jan-2026 rates'!$L:$R,4,0),IF($LB192=65%,VLOOKUP($GO192,'Jan-2026 rates'!$L:$R,4,0),IF($LB192=40%,VLOOKUP($GO192,'Jan-2026 rates'!$L:$R,5,0),IF($LB192=30%,VLOOKUP($GO192,'Jan-2026 rates'!$L:$R,6,0),IF($LB192=100%,VLOOKUP($GO192,'Jan-2026 rates'!$L:$R,7,0),IF($LB192=60%,VLOOKUP($GO192,'Jan-2026 rates'!$L:$S,8,0),IF($LB192=80%,VLOOKUP($GO192,'Jan-2026 rates'!L:T,9,0),0))))))))</f>
        <v>0</v>
      </c>
      <c r="GR192" s="412"/>
      <c r="GS192" s="409"/>
      <c r="GT192" s="411">
        <f>IF(GS192=0,0,IF($LB192=70%,VLOOKUP($GO192,'Jan-2026 rates'!$L:$R,4,0),IF($LB192=65%,VLOOKUP($GO192,'Jan-2026 rates'!$L:$R,4,0),IF($LB192=40%,VLOOKUP($GO192,'Jan-2026 rates'!$L:$R,5,0),IF($LB192=30%,VLOOKUP($GO192,'Jan-2026 rates'!$L:$R,6,0),IF($LB192=100%,VLOOKUP($GO192,'Jan-2026 rates'!$L:$R,7,0),IF($LB192=60%,VLOOKUP($GO192,'Jan-2026 rates'!$L:$S,8,0),IF($LB192=80%,VLOOKUP($GO192,'Jan-2026 rates'!L:T,9,0),0))))))))</f>
        <v>0</v>
      </c>
      <c r="GU192" s="413"/>
      <c r="GV192" s="413"/>
      <c r="GW192" s="412"/>
      <c r="GX192" s="412"/>
      <c r="GY192" s="412"/>
      <c r="GZ192" s="412"/>
      <c r="HA192" s="412"/>
      <c r="HB192" s="412"/>
      <c r="HC192" s="409"/>
      <c r="HD192" s="398">
        <f>IF(HC192=0,0,IF(LEN(GU192)=11,_xlfn.XLOOKUP(GU192,'Dispensed Ink Rates'!C:C,'Dispensed Ink Rates'!CS:CS),VLOOKUP(GU192,'Jan-2026 rates'!$E:$F,2,0)))</f>
        <v>0</v>
      </c>
      <c r="HE192" s="409"/>
      <c r="HF192" s="398">
        <f>IF(HE192=0,0,IF(LEN(GV192)=11,_xlfn.XLOOKUP(GV192,'Dispensed Ink Rates'!C:C,'Dispensed Ink Rates'!CS:CS),VLOOKUP(GV192,'Jan-2026 rates'!$E:$F,2,0)))</f>
        <v>0</v>
      </c>
      <c r="HG192" s="409"/>
      <c r="HH192" s="398">
        <f>IF(HG192=0,0,IF(LEN(GW192)=11,_xlfn.XLOOKUP(GW192,'Dispensed Ink Rates'!C:C,'Dispensed Ink Rates'!CS:CS),VLOOKUP(GW192,'Jan-2026 rates'!$E:$F,2,0)))</f>
        <v>0</v>
      </c>
      <c r="HI192" s="409"/>
      <c r="HJ192" s="398">
        <f>IF(HI192=0,0,IF(LEN(GX192)=11,_xlfn.XLOOKUP(GX192,'Dispensed Ink Rates'!C:C,'Dispensed Ink Rates'!CS:CS),VLOOKUP(GX192,'Jan-2026 rates'!$E:$F,2,0)))</f>
        <v>0</v>
      </c>
      <c r="HK192" s="409"/>
      <c r="HL192" s="398">
        <f>IF(HK192=0,0,IF(LEN(GY192)=11,_xlfn.XLOOKUP(GY192,'Dispensed Ink Rates'!C:C,'Dispensed Ink Rates'!CS:CS),VLOOKUP(GY192,'Jan-2026 rates'!$E:$F,2,0)))</f>
        <v>0</v>
      </c>
      <c r="HM192" s="409"/>
      <c r="HN192" s="398">
        <f>IF(HM192=0,0,IF(LEN(GZ192)=11,_xlfn.XLOOKUP(GZ192,'Dispensed Ink Rates'!C:C,'Dispensed Ink Rates'!CS:CS),VLOOKUP(GZ192,'Jan-2026 rates'!$E:$F,2,0)))</f>
        <v>0</v>
      </c>
      <c r="HO192" s="409"/>
      <c r="HP192" s="398">
        <f>IF(HO192=0,0,IF(LEN(HA192)=11,_xlfn.XLOOKUP(HA192,'Dispensed Ink Rates'!C:C,'Dispensed Ink Rates'!CS:CS),VLOOKUP(HA192,'Jan-2026 rates'!$E:$F,2,0)))</f>
        <v>0</v>
      </c>
      <c r="HQ192" s="409"/>
      <c r="HR192" s="398">
        <f>IF(HQ192=0,0,IF(LEN(HB192)=11,_xlfn.XLOOKUP(HB192,'Dispensed Ink Rates'!C:C,'Dispensed Ink Rates'!CS:CS),VLOOKUP(HB192,'Jan-2026 rates'!$E:$F,2,0)))</f>
        <v>0</v>
      </c>
      <c r="HS192" s="409"/>
      <c r="HT192" s="409"/>
      <c r="HU192" s="411">
        <f t="shared" si="121"/>
        <v>0</v>
      </c>
      <c r="HV192" s="411">
        <f t="shared" si="122"/>
        <v>0</v>
      </c>
      <c r="HW192" s="414">
        <f t="shared" si="123"/>
        <v>0</v>
      </c>
      <c r="HX192" s="405"/>
      <c r="HY192" s="409"/>
      <c r="HZ192" s="420" t="str">
        <f t="shared" si="136"/>
        <v xml:space="preserve"> - </v>
      </c>
      <c r="IA192" s="409"/>
      <c r="IB192" s="411">
        <f>IF(IA192=0,0,IF($LB192=70%,VLOOKUP($HZ192,'Jan-2026 rates'!$L:$R,4,0),IF($LB192=65%,VLOOKUP($HZ192,'Jan-2026 rates'!$L:$R,4,0),IF($LB192=40%,VLOOKUP($HZ192,'Jan-2026 rates'!$L:$R,5,0),IF($LB192=30%,VLOOKUP($HZ192,'Jan-2026 rates'!$L:$R,6,0),IF($LB192=100%,VLOOKUP($HZ192,'Jan-2026 rates'!$L:$R,7,0),IF($LB192=60%,VLOOKUP($HZ192,'Jan-2026 rates'!$L:$S,8,0),IF($LB192=80%,VLOOKUP($HZ192,'Jan-2026 rates'!L:T,9,0),0))))))))</f>
        <v>0</v>
      </c>
      <c r="IC192" s="412"/>
      <c r="ID192" s="409"/>
      <c r="IE192" s="411">
        <f>IF(ID192=0,0,IF($LB192=70%,VLOOKUP($HZ192,'Jan-2026 rates'!$L:$R,4,0),IF($LB192=65%,VLOOKUP($HZ192,'Jan-2026 rates'!$L:$R,4,0),IF($LB192=40%,VLOOKUP($HZ192,'Jan-2026 rates'!$L:$R,5,0),IF($LB192=30%,VLOOKUP($HZ192,'Jan-2026 rates'!$L:$R,6,0),IF($LB192=100%,VLOOKUP($HZ192,'Jan-2026 rates'!$L:$R,7,0),IF($LB192=60%,VLOOKUP($HZ192,'Jan-2026 rates'!$L:$S,8,0),IF($LB192=80%,VLOOKUP($HZ192,'Jan-2026 rates'!L:T,9,0),0))))))))</f>
        <v>0</v>
      </c>
      <c r="IF192" s="412"/>
      <c r="IG192" s="413"/>
      <c r="IH192" s="412"/>
      <c r="II192" s="412"/>
      <c r="IJ192" s="412"/>
      <c r="IK192" s="412"/>
      <c r="IL192" s="412"/>
      <c r="IM192" s="412"/>
      <c r="IN192" s="409"/>
      <c r="IO192" s="398">
        <f>IF(IN192=0,0,IF(LEN(IF192)=11,_xlfn.XLOOKUP(IF192,'Dispensed Ink Rates'!C:C,'Dispensed Ink Rates'!CS:CS),VLOOKUP(IF192,'Jan-2026 rates'!$E:$F,2,0)))</f>
        <v>0</v>
      </c>
      <c r="IP192" s="409"/>
      <c r="IQ192" s="398">
        <f>IF(IP192=0,0,IF(LEN(IG192)=11,_xlfn.XLOOKUP(IG192,'Dispensed Ink Rates'!C:C,'Dispensed Ink Rates'!CS:CS),VLOOKUP(IG192,'Jan-2026 rates'!$E:$F,2,0)))</f>
        <v>0</v>
      </c>
      <c r="IR192" s="409"/>
      <c r="IS192" s="398">
        <f>IF(IR192=0,0,IF(LEN(IH192)=11,_xlfn.XLOOKUP(IH192,'Dispensed Ink Rates'!C:C,'Dispensed Ink Rates'!CS:CS),VLOOKUP(IH192,'Jan-2026 rates'!$E:$F,2,0)))</f>
        <v>0</v>
      </c>
      <c r="IT192" s="409"/>
      <c r="IU192" s="398">
        <f>IF(IT192=0,0,IF(LEN(II192)=11,_xlfn.XLOOKUP(II192,'Dispensed Ink Rates'!C:C,'Dispensed Ink Rates'!CS:CS),VLOOKUP(II192,'Jan-2026 rates'!$E:$F,2,0)))</f>
        <v>0</v>
      </c>
      <c r="IV192" s="409"/>
      <c r="IW192" s="398">
        <f>IF(IV192=0,0,IF(LEN(IJ192)=11,_xlfn.XLOOKUP(IJ192,'Dispensed Ink Rates'!C:C,'Dispensed Ink Rates'!CS:CS),VLOOKUP(IJ192,'Jan-2026 rates'!$E:$F,2,0)))</f>
        <v>0</v>
      </c>
      <c r="IX192" s="409"/>
      <c r="IY192" s="398">
        <f>IF(IX192=0,0,IF(LEN(IK192)=11,_xlfn.XLOOKUP(IK192,'Dispensed Ink Rates'!C:C,'Dispensed Ink Rates'!CS:CS),VLOOKUP(IK192,'Jan-2026 rates'!$E:$F,2,0)))</f>
        <v>0</v>
      </c>
      <c r="IZ192" s="409"/>
      <c r="JA192" s="398">
        <f>IF(IZ192=0,0,IF(LEN(IL192)=11,_xlfn.XLOOKUP(IL192,'Dispensed Ink Rates'!C:C,'Dispensed Ink Rates'!CS:CS),VLOOKUP(IL192,'Jan-2026 rates'!$E:$F,2,0)))</f>
        <v>0</v>
      </c>
      <c r="JB192" s="409"/>
      <c r="JC192" s="398">
        <f>IF(JB192=0,0,IF(LEN(IM192)=11,_xlfn.XLOOKUP(IM192,'Dispensed Ink Rates'!C:C,'Dispensed Ink Rates'!CS:CS),VLOOKUP(IM192,'Jan-2026 rates'!$E:$F,2,0)))</f>
        <v>0</v>
      </c>
      <c r="JD192" s="409"/>
      <c r="JE192" s="409"/>
      <c r="JF192" s="411">
        <f t="shared" si="124"/>
        <v>0</v>
      </c>
      <c r="JG192" s="411">
        <f t="shared" si="125"/>
        <v>0</v>
      </c>
      <c r="JH192" s="410">
        <f t="shared" si="126"/>
        <v>0</v>
      </c>
      <c r="JI192" s="405"/>
      <c r="JJ192" s="409"/>
      <c r="JK192" s="420" t="str">
        <f t="shared" si="137"/>
        <v xml:space="preserve"> - </v>
      </c>
      <c r="JL192" s="409"/>
      <c r="JM192" s="411">
        <f>IF(JL192=0,0,IF($LB192=70%,VLOOKUP($JK192,'Jan-2026 rates'!$L:$R,4,0),IF($LB192=65%,VLOOKUP($JK192,'Jan-2026 rates'!$L:$R,4,0),IF($LB192=40%,VLOOKUP($JK192,'Jan-2026 rates'!$L:$R,5,0),IF($LB192=30%,VLOOKUP($JK192,'Jan-2026 rates'!$L:$R,6,0),IF($LB192=100%,VLOOKUP($JK192,'Jan-2026 rates'!$L:$R,7,0),IF($LB192=60%,VLOOKUP($JK192,'Jan-2026 rates'!$L:$S,8,0),IF($LB192=80%,VLOOKUP($JK192,'Jan-2026 rates'!L:T,9,0),0))))))))</f>
        <v>0</v>
      </c>
      <c r="JN192" s="412"/>
      <c r="JO192" s="409"/>
      <c r="JP192" s="411">
        <f>IF(JO192=0,0,IF($LB192=70%,VLOOKUP($JK192,'Jan-2026 rates'!$L:$R,4,0),IF($LB192=65%,VLOOKUP($JK192,'Jan-2026 rates'!$L:$R,4,0),IF($LB192=40%,VLOOKUP($JK192,'Jan-2026 rates'!$L:$R,5,0),IF($LB192=30%,VLOOKUP($JK192,'Jan-2026 rates'!$L:$R,6,0),IF($LB192=100%,VLOOKUP($JK192,'Jan-2026 rates'!$L:$R,7,0),IF($LB192=60%,VLOOKUP($JK192,'Jan-2026 rates'!$L:$S,8,0),IF($LB192=80%,VLOOKUP($JK192,'Jan-2026 rates'!L:T,9,0),0))))))))</f>
        <v>0</v>
      </c>
      <c r="JQ192" s="413"/>
      <c r="JR192" s="412"/>
      <c r="JS192" s="413"/>
      <c r="JT192" s="413"/>
      <c r="JU192" s="412"/>
      <c r="JV192" s="412"/>
      <c r="JW192" s="412"/>
      <c r="JX192" s="412"/>
      <c r="JY192" s="409"/>
      <c r="JZ192" s="398">
        <f>IF(JY192=0,0,IF(LEN(JQ192)=11,_xlfn.XLOOKUP(JQ192,'Dispensed Ink Rates'!C:C,'Dispensed Ink Rates'!CS:CS),VLOOKUP(JQ192,'Jan-2026 rates'!$E:$F,2,0)))</f>
        <v>0</v>
      </c>
      <c r="KA192" s="409"/>
      <c r="KB192" s="398">
        <f>IF(KA192=0,0,IF(LEN(JR192)=11,_xlfn.XLOOKUP(JR192,'Dispensed Ink Rates'!C:C,'Dispensed Ink Rates'!CS:CS),VLOOKUP(JR192,'Jan-2026 rates'!$E:$F,2,0)))</f>
        <v>0</v>
      </c>
      <c r="KC192" s="409"/>
      <c r="KD192" s="398">
        <f>IF(KC192=0,0,IF(LEN(JS192)=11,_xlfn.XLOOKUP(JS192,'Dispensed Ink Rates'!C:C,'Dispensed Ink Rates'!CS:CS),VLOOKUP(JS192,'Jan-2026 rates'!$E:$F,2,0)))</f>
        <v>0</v>
      </c>
      <c r="KE192" s="409"/>
      <c r="KF192" s="398">
        <f>IF(KE192=0,0,IF(LEN(JT192)=11,_xlfn.XLOOKUP(JT192,'Dispensed Ink Rates'!C:C,'Dispensed Ink Rates'!CS:CS),VLOOKUP(JT192,'Jan-2026 rates'!$E:$F,2,0)))</f>
        <v>0</v>
      </c>
      <c r="KG192" s="409"/>
      <c r="KH192" s="398">
        <f>IF(KG192=0,0,IF(LEN(JU192)=11,_xlfn.XLOOKUP(JU192,'Dispensed Ink Rates'!C:C,'Dispensed Ink Rates'!CS:CS),VLOOKUP(JU192,'Jan-2026 rates'!$E:$F,2,0)))</f>
        <v>0</v>
      </c>
      <c r="KI192" s="409"/>
      <c r="KJ192" s="398">
        <f>IF(KI192=0,0,IF(LEN(JV192)=11,_xlfn.XLOOKUP(JV192,'Dispensed Ink Rates'!C:C,'Dispensed Ink Rates'!CS:CS),VLOOKUP(JV192,'Jan-2026 rates'!$E:$F,2,0)))</f>
        <v>0</v>
      </c>
      <c r="KK192" s="409"/>
      <c r="KL192" s="398">
        <f>IF(KK192=0,0,IF(LEN(JW192)=11,_xlfn.XLOOKUP(JW192,'Dispensed Ink Rates'!C:C,'Dispensed Ink Rates'!CS:CS),VLOOKUP(JW192,'Jan-2026 rates'!$E:$F,2,0)))</f>
        <v>0</v>
      </c>
      <c r="KM192" s="428"/>
      <c r="KN192" s="398">
        <f>IF(KM192=0,0,IF(LEN(JX192)=11,_xlfn.XLOOKUP(JX192,'Dispensed Ink Rates'!C:C,'Dispensed Ink Rates'!CS:CS),VLOOKUP(JX192,'Jan-2026 rates'!$E:$F,2,0)))</f>
        <v>0</v>
      </c>
      <c r="KO192" s="409"/>
      <c r="KP192" s="409"/>
      <c r="KQ192" s="411">
        <f t="shared" si="127"/>
        <v>0</v>
      </c>
      <c r="KR192" s="411">
        <f t="shared" si="128"/>
        <v>0</v>
      </c>
      <c r="KS192" s="410">
        <f t="shared" si="129"/>
        <v>0</v>
      </c>
      <c r="KT192" s="409">
        <v>2</v>
      </c>
      <c r="KU192" s="409">
        <f>10+6</f>
        <v>16</v>
      </c>
      <c r="KV192" s="409">
        <v>5</v>
      </c>
      <c r="KW192" s="409">
        <v>3</v>
      </c>
      <c r="KX192" s="409">
        <f>60+25</f>
        <v>85</v>
      </c>
      <c r="KY192" s="409">
        <v>0</v>
      </c>
      <c r="KZ192" s="409">
        <v>0</v>
      </c>
      <c r="LA192" s="409">
        <v>0</v>
      </c>
      <c r="LB192" s="415">
        <v>0.3</v>
      </c>
      <c r="LC192" s="415"/>
      <c r="LD192" s="415"/>
      <c r="LE192" s="415">
        <v>0.5</v>
      </c>
      <c r="LF192" s="415">
        <v>0.2</v>
      </c>
      <c r="LG192" s="409">
        <v>0</v>
      </c>
      <c r="LH192" s="409">
        <f>85+54+30+50+20</f>
        <v>239</v>
      </c>
      <c r="LI192" s="409">
        <v>0</v>
      </c>
      <c r="LJ192" s="409">
        <v>0</v>
      </c>
      <c r="LK192" s="416">
        <f t="shared" si="138"/>
        <v>239</v>
      </c>
      <c r="LL192" s="416">
        <f t="shared" si="139"/>
        <v>239</v>
      </c>
      <c r="LM192" s="417">
        <f t="shared" si="140"/>
        <v>71.7</v>
      </c>
      <c r="LN192" s="417">
        <f>VLOOKUP($LM$8,'Jan-2026 rates'!$H:$I,2,0)</f>
        <v>0</v>
      </c>
      <c r="LO192" s="417">
        <f t="shared" si="141"/>
        <v>0</v>
      </c>
      <c r="LP192" s="417">
        <f>VLOOKUP($LO$8,'Jan-2026 rates'!$H:$I,2,0)</f>
        <v>0</v>
      </c>
      <c r="LQ192" s="417">
        <f t="shared" si="142"/>
        <v>0</v>
      </c>
      <c r="LR192" s="417">
        <f>VLOOKUP($LQ$8,'Jan-2026 rates'!$H:$I,2,0)</f>
        <v>0</v>
      </c>
      <c r="LS192" s="417">
        <f t="shared" si="143"/>
        <v>119.5</v>
      </c>
      <c r="LT192" s="417">
        <f>VLOOKUP($LS$8,'Jan-2026 rates'!$H:$I,2,0)</f>
        <v>0</v>
      </c>
      <c r="LU192" s="417">
        <f t="shared" si="144"/>
        <v>47.800000000000004</v>
      </c>
      <c r="LV192" s="417">
        <f>VLOOKUP($LU$8,'Jan-2026 rates'!$H:$I,2,0)</f>
        <v>0</v>
      </c>
      <c r="LW192" s="417">
        <f t="shared" si="145"/>
        <v>0</v>
      </c>
      <c r="LX192" s="417">
        <f t="shared" si="146"/>
        <v>0</v>
      </c>
      <c r="LY192" s="418">
        <f t="shared" si="147"/>
        <v>0</v>
      </c>
      <c r="LZ192" s="417"/>
      <c r="MA192" s="435">
        <f t="shared" si="148"/>
        <v>206.5</v>
      </c>
      <c r="MB192" s="282">
        <f t="shared" si="149"/>
        <v>484.49999999999994</v>
      </c>
      <c r="MC192" s="283" t="s">
        <v>2027</v>
      </c>
      <c r="MD192" s="284" t="str">
        <f t="shared" si="150"/>
        <v>ToyoLiToyoLiToyoLiToyoLiToyoLi</v>
      </c>
      <c r="ME192" s="293" t="str">
        <f t="shared" si="151"/>
        <v>+</v>
      </c>
      <c r="MF192" s="293" t="str">
        <f t="shared" si="152"/>
        <v>+</v>
      </c>
      <c r="MG192" s="293" t="str">
        <f t="shared" si="153"/>
        <v>+</v>
      </c>
      <c r="MH192" s="293" t="str">
        <f t="shared" si="154"/>
        <v>+</v>
      </c>
      <c r="MI192" s="293" t="str">
        <f t="shared" si="155"/>
        <v>+</v>
      </c>
      <c r="MJ192" s="293" t="str">
        <f t="shared" si="156"/>
        <v>NIL</v>
      </c>
      <c r="MK192" s="293" t="str">
        <f t="shared" si="157"/>
        <v>NIL</v>
      </c>
      <c r="ML192" s="293" t="str">
        <f t="shared" si="158"/>
        <v>NIL</v>
      </c>
      <c r="MM192" s="3" t="b">
        <f t="array" ref="MM192">OR(ME192:ML192="-")</f>
        <v>0</v>
      </c>
      <c r="MN192" s="285"/>
      <c r="MO192" s="401"/>
      <c r="MP192" s="286"/>
      <c r="MQ192" s="286"/>
      <c r="MR192" s="402"/>
      <c r="MS192" s="400"/>
      <c r="NH192" s="422"/>
      <c r="NJ192" s="421"/>
    </row>
    <row r="193" spans="1:374" s="1" customFormat="1" ht="16.5">
      <c r="A193" s="403">
        <v>46036</v>
      </c>
      <c r="B193" s="404" t="s">
        <v>1018</v>
      </c>
      <c r="C193" s="405" t="s">
        <v>3704</v>
      </c>
      <c r="D193" s="406" t="s">
        <v>2028</v>
      </c>
      <c r="E193" s="404">
        <v>1102</v>
      </c>
      <c r="F193" s="407">
        <v>56900</v>
      </c>
      <c r="G193" s="407" t="s">
        <v>1016</v>
      </c>
      <c r="H193" s="408" t="s">
        <v>1017</v>
      </c>
      <c r="I193" s="409">
        <v>1.43</v>
      </c>
      <c r="J193" s="405" t="s">
        <v>543</v>
      </c>
      <c r="K193" s="404" t="s">
        <v>3705</v>
      </c>
      <c r="L193" s="419" t="str">
        <f t="shared" si="131"/>
        <v>ToyoLi - BLACK</v>
      </c>
      <c r="M193" s="404">
        <v>28</v>
      </c>
      <c r="N193" s="410">
        <f>IF(M193=0,0,IF($LB193=70%,VLOOKUP($L193,'Jan-2026 rates'!$L:$R,4,0),IF($LB193=65%,VLOOKUP($L193,'Jan-2026 rates'!$L:$R,4,0),IF($LB193=40%,VLOOKUP($L193,'Jan-2026 rates'!$L:$R,5,0),IF($LB193=30%,VLOOKUP($L193,'Jan-2026 rates'!$L:$R,6,0),IF($LB193=100%,VLOOKUP($L193,'Jan-2026 rates'!$L:$R,7,0),IF($LB193=60%,VLOOKUP($L193,'Jan-2026 rates'!$L:$S,8,0),IF($LB193=80%,VLOOKUP($L193,'Jan-2026 rates'!L:T,9,0),0))))))))</f>
        <v>0</v>
      </c>
      <c r="O193" s="406"/>
      <c r="P193" s="404"/>
      <c r="Q193" s="410">
        <f>IF(P193=0,0,IF($LB193=70%,VLOOKUP($L193,'Jan-2026 rates'!$L:$R,4,0),IF($LB193=65%,VLOOKUP($L193,'Jan-2026 rates'!$L:$R,4,0),IF($LB193=40%,VLOOKUP($L193,'Jan-2026 rates'!$L:$R,5,0),IF($LB193=30%,VLOOKUP($L193,'Jan-2026 rates'!$L:$R,6,0),IF($LB193=100%,VLOOKUP($L193,'Jan-2026 rates'!$L:$R,7,0),IF($LB193=60%,VLOOKUP($L193,'Jan-2026 rates'!$L:$S,8,0),IF($LB193=80%,VLOOKUP($L193,'Jan-2026 rates'!L:T,9,0),0))))))))</f>
        <v>0</v>
      </c>
      <c r="R193" s="406" t="s">
        <v>1252</v>
      </c>
      <c r="S193" s="406"/>
      <c r="T193" s="406"/>
      <c r="U193" s="406"/>
      <c r="V193" s="406"/>
      <c r="W193" s="406"/>
      <c r="X193" s="406"/>
      <c r="Y193" s="406"/>
      <c r="Z193" s="404">
        <v>15</v>
      </c>
      <c r="AA193" s="398">
        <f>IF(Z193=0,0,IF(LEN(R193)=11,_xlfn.XLOOKUP(R193,'Dispensed Ink Rates'!C:C,'Dispensed Ink Rates'!CS:CS),VLOOKUP(R193,'Jan-2026 rates'!$E:$F,2,0)))</f>
        <v>0</v>
      </c>
      <c r="AB193" s="404"/>
      <c r="AC193" s="398">
        <f>IF(AB193=0,0,IF(LEN(S193)=11,_xlfn.XLOOKUP(S193,'Dispensed Ink Rates'!C:C,'Dispensed Ink Rates'!CS:CS),VLOOKUP(S193,'Jan-2026 rates'!$E:$F,2,0)))</f>
        <v>0</v>
      </c>
      <c r="AD193" s="404"/>
      <c r="AE193" s="398">
        <f>IF(AD193=0,0,IF(LEN(T193)=11,_xlfn.XLOOKUP(T193,'Dispensed Ink Rates'!C:C,'Dispensed Ink Rates'!CS:CS),VLOOKUP(T193,'Jan-2026 rates'!$E:$F,2,0)))</f>
        <v>0</v>
      </c>
      <c r="AF193" s="404"/>
      <c r="AG193" s="398">
        <f>IF(AF193=0,0,IF(LEN(U193)=11,_xlfn.XLOOKUP(U193,'Dispensed Ink Rates'!C:C,'Dispensed Ink Rates'!CS:CS),VLOOKUP(U193,'Jan-2026 rates'!$E:$F,2,0)))</f>
        <v>0</v>
      </c>
      <c r="AH193" s="404"/>
      <c r="AI193" s="398">
        <f>IF(AH193=0,0,IF(LEN(V193)=11,_xlfn.XLOOKUP(V193,'Dispensed Ink Rates'!C:C,'Dispensed Ink Rates'!CS:CS),VLOOKUP(V193,'Jan-2026 rates'!$E:$F,2,0)))</f>
        <v>0</v>
      </c>
      <c r="AJ193" s="404"/>
      <c r="AK193" s="398">
        <f>IF(AJ193=0,0,IF(LEN(W193)=11,_xlfn.XLOOKUP(W193,'Dispensed Ink Rates'!C:C,'Dispensed Ink Rates'!CS:CS),VLOOKUP(W193,'Jan-2026 rates'!$E:$F,2,0)))</f>
        <v>0</v>
      </c>
      <c r="AL193" s="404"/>
      <c r="AM193" s="398">
        <f>IF(AL193=0,0,IF(LEN(X193)=11,_xlfn.XLOOKUP(X193,'Dispensed Ink Rates'!C:C,'Dispensed Ink Rates'!CS:CS),VLOOKUP(X193,'Jan-2026 rates'!$E:$F,2,0)))</f>
        <v>0</v>
      </c>
      <c r="AN193" s="404"/>
      <c r="AO193" s="398">
        <f>IF(AN193=0,0,IF(LEN(Y193)=11,_xlfn.XLOOKUP(Y193,'Dispensed Ink Rates'!C:C,'Dispensed Ink Rates'!CS:CS),VLOOKUP(Y193,'Jan-2026 rates'!$E:$F,2,0)))</f>
        <v>0</v>
      </c>
      <c r="AP193" s="409" t="s">
        <v>1881</v>
      </c>
      <c r="AQ193" s="409">
        <v>27</v>
      </c>
      <c r="AR193" s="410">
        <f t="shared" si="106"/>
        <v>0</v>
      </c>
      <c r="AS193" s="411">
        <f t="shared" si="107"/>
        <v>20.036585365853661</v>
      </c>
      <c r="AT193" s="410">
        <f t="shared" si="108"/>
        <v>0</v>
      </c>
      <c r="AU193" s="405" t="s">
        <v>543</v>
      </c>
      <c r="AV193" s="409"/>
      <c r="AW193" s="420" t="str">
        <f t="shared" si="130"/>
        <v>ToyoLi - BLACK</v>
      </c>
      <c r="AX193" s="409"/>
      <c r="AY193" s="411">
        <f>IF(AX193=0,0,IF($LB193=70%,VLOOKUP($AW193,'Jan-2026 rates'!$L:$R,4,0),IF($LB193=65%,VLOOKUP($AW193,'Jan-2026 rates'!$L:$R,4,0),IF($LB193=40%,VLOOKUP($AW193,'Jan-2026 rates'!$L:$R,5,0),IF($LB193=30%,VLOOKUP($AW193,'Jan-2026 rates'!$L:$R,6,0),IF($LB193=100%,VLOOKUP($AW193,'Jan-2026 rates'!$L:$R,7,0),IF($LB193=60%,VLOOKUP($AW193,'Jan-2026 rates'!$L:$S,8,0),IF($LB193=80%,VLOOKUP($AW193,'Jan-2026 rates'!L:T,9,0),0))))))))</f>
        <v>0</v>
      </c>
      <c r="AZ193" s="412"/>
      <c r="BA193" s="409"/>
      <c r="BB193" s="411">
        <f>IF(BA193=0,0,IF($LB193=70%,VLOOKUP($AW193,'Jan-2026 rates'!$L:$R,4,0),IF($LB193=65%,VLOOKUP($AW193,'Jan-2026 rates'!$L:$R,4,0),IF($LB193=40%,VLOOKUP($AW193,'Jan-2026 rates'!$L:$R,5,0),IF($LB193=30%,VLOOKUP($AW193,'Jan-2026 rates'!$L:$R,6,0),IF($LB193=100%,VLOOKUP($AW193,'Jan-2026 rates'!$L:$R,7,0),IF($LB193=60%,VLOOKUP($AW193,'Jan-2026 rates'!$L:$S,8,0),IF($LB193=80%,VLOOKUP($AW193,'Jan-2026 rates'!L:T,9,0),0))))))))</f>
        <v>0</v>
      </c>
      <c r="BC193" s="413" t="s">
        <v>1252</v>
      </c>
      <c r="BD193" s="412"/>
      <c r="BE193" s="412"/>
      <c r="BF193" s="413"/>
      <c r="BG193" s="412"/>
      <c r="BH193" s="412"/>
      <c r="BI193" s="412"/>
      <c r="BJ193" s="412"/>
      <c r="BK193" s="409">
        <f>20+5</f>
        <v>25</v>
      </c>
      <c r="BL193" s="398">
        <f>IF(BK193=0,0,IF(LEN(BC193)=11,_xlfn.XLOOKUP(BC193,'Dispensed Ink Rates'!C:C,'Dispensed Ink Rates'!CS:CS),VLOOKUP(BC193,'Jan-2026 rates'!$E:$F,2,0)))</f>
        <v>0</v>
      </c>
      <c r="BM193" s="409"/>
      <c r="BN193" s="398">
        <f>IF(BM193=0,0,IF(LEN(BD193)=11,_xlfn.XLOOKUP(BD193,'Dispensed Ink Rates'!C:C,'Dispensed Ink Rates'!CS:CS),VLOOKUP(BD193,'Jan-2026 rates'!$E:$F,2,0)))</f>
        <v>0</v>
      </c>
      <c r="BO193" s="409"/>
      <c r="BP193" s="398">
        <f>IF(BO193=0,0,IF(LEN(BE193)=11,_xlfn.XLOOKUP(BE193,'Dispensed Ink Rates'!C:C,'Dispensed Ink Rates'!CS:CS),VLOOKUP(BE193,'Jan-2026 rates'!$E:$F,2,0)))</f>
        <v>0</v>
      </c>
      <c r="BQ193" s="409"/>
      <c r="BR193" s="398">
        <f>IF(BQ193=0,0,IF(LEN(BF193)=11,_xlfn.XLOOKUP(BF193,'Dispensed Ink Rates'!C:C,'Dispensed Ink Rates'!CS:CS),VLOOKUP(BF193,'Jan-2026 rates'!$E:$F,2,0)))</f>
        <v>0</v>
      </c>
      <c r="BS193" s="409"/>
      <c r="BT193" s="398">
        <f>IF(BS193=0,0,IF(LEN(BG193)=11,_xlfn.XLOOKUP(BG193,'Dispensed Ink Rates'!C:C,'Dispensed Ink Rates'!CS:CS),VLOOKUP(BG193,'Jan-2026 rates'!$E:$F,2,0)))</f>
        <v>0</v>
      </c>
      <c r="BU193" s="409"/>
      <c r="BV193" s="398">
        <f>IF(BU193=0,0,IF(LEN(BH193)=11,_xlfn.XLOOKUP(BH193,'Dispensed Ink Rates'!C:C,'Dispensed Ink Rates'!CS:CS),VLOOKUP(BH193,'Jan-2026 rates'!$E:$F,2,0)))</f>
        <v>0</v>
      </c>
      <c r="BW193" s="409"/>
      <c r="BX193" s="398">
        <f>IF(BW193=0,0,IF(LEN(BI193)=11,_xlfn.XLOOKUP(BI193,'Dispensed Ink Rates'!C:C,'Dispensed Ink Rates'!CS:CS),VLOOKUP(BI193,'Jan-2026 rates'!$E:$F,2,0)))</f>
        <v>0</v>
      </c>
      <c r="BY193" s="409"/>
      <c r="BZ193" s="398">
        <f>IF(BY193=0,0,IF(LEN(BJ193)=11,_xlfn.XLOOKUP(BJ193,'Dispensed Ink Rates'!C:C,'Dispensed Ink Rates'!CS:CS),VLOOKUP(BJ193,'Jan-2026 rates'!$E:$F,2,0)))</f>
        <v>0</v>
      </c>
      <c r="CA193" s="409" t="s">
        <v>1881</v>
      </c>
      <c r="CB193" s="409">
        <v>28</v>
      </c>
      <c r="CC193" s="411">
        <f t="shared" si="109"/>
        <v>0</v>
      </c>
      <c r="CD193" s="411">
        <f t="shared" si="110"/>
        <v>27.274390243902438</v>
      </c>
      <c r="CE193" s="410">
        <f t="shared" si="111"/>
        <v>0</v>
      </c>
      <c r="CF193" s="404" t="s">
        <v>547</v>
      </c>
      <c r="CG193" s="409" t="s">
        <v>3706</v>
      </c>
      <c r="CH193" s="420" t="str">
        <f t="shared" si="132"/>
        <v>ToyoLi - GREEN</v>
      </c>
      <c r="CI193" s="409">
        <v>20</v>
      </c>
      <c r="CJ193" s="411">
        <f>IF(CI193=0,0,IF($LB193=70%,VLOOKUP($CH193,'Jan-2026 rates'!$L:$R,4,0),IF($LB193=65%,VLOOKUP($CH193,'Jan-2026 rates'!$L:$R,4,0),IF($LB193=40%,VLOOKUP($CH193,'Jan-2026 rates'!$L:$R,5,0),IF($LB193=30%,VLOOKUP($CH193,'Jan-2026 rates'!$L:$R,6,0),IF($LB193=100%,VLOOKUP($CH193,'Jan-2026 rates'!$L:$R,7,0),IF($LB193=60%,VLOOKUP($CH193,'Jan-2026 rates'!$L:$S,8,0),IF($LB193=80%,VLOOKUP($CH193,'Jan-2026 rates'!L:T,9,0),0))))))))</f>
        <v>0</v>
      </c>
      <c r="CK193" s="412" t="s">
        <v>3707</v>
      </c>
      <c r="CL193" s="409">
        <f>12+18</f>
        <v>30</v>
      </c>
      <c r="CM193" s="411">
        <f>IF(CL193=0,0,IF($LB193=70%,VLOOKUP($CH193,'Jan-2026 rates'!$L:$R,4,0),IF($LB193=65%,VLOOKUP($CH193,'Jan-2026 rates'!$L:$R,4,0),IF($LB193=40%,VLOOKUP($CH193,'Jan-2026 rates'!$L:$R,5,0),IF($LB193=30%,VLOOKUP($CH193,'Jan-2026 rates'!$L:$R,6,0),IF($LB193=100%,VLOOKUP($CH193,'Jan-2026 rates'!$L:$R,7,0),IF($LB193=60%,VLOOKUP($CH193,'Jan-2026 rates'!$L:$S,8,0),IF($LB193=80%,VLOOKUP($CH193,'Jan-2026 rates'!L:T,9,0),0))))))))</f>
        <v>0</v>
      </c>
      <c r="CN193" s="426" t="s">
        <v>1247</v>
      </c>
      <c r="CO193" s="427" t="s">
        <v>1250</v>
      </c>
      <c r="CP193" s="426" t="s">
        <v>1252</v>
      </c>
      <c r="CQ193" s="426"/>
      <c r="CR193" s="428"/>
      <c r="CS193" s="428"/>
      <c r="CT193" s="428"/>
      <c r="CU193" s="428"/>
      <c r="CV193" s="409">
        <v>10</v>
      </c>
      <c r="CW193" s="398">
        <f>IF(CV193=0,0,IF(LEN(CN193)=11,_xlfn.XLOOKUP(CN193,'Dispensed Ink Rates'!C:C,'Dispensed Ink Rates'!CS:CS),VLOOKUP(CN193,'Jan-2026 rates'!$E:$F,2,0)))</f>
        <v>0</v>
      </c>
      <c r="CX193" s="409">
        <v>6</v>
      </c>
      <c r="CY193" s="398">
        <f>IF(CX193=0,0,IF(LEN(CO193)=11,_xlfn.XLOOKUP(CO193,'Dispensed Ink Rates'!C:C,'Dispensed Ink Rates'!CS:CS),VLOOKUP(CO193,'Jan-2026 rates'!$E:$F,2,0)))</f>
        <v>0</v>
      </c>
      <c r="CZ193" s="409">
        <v>1</v>
      </c>
      <c r="DA193" s="398">
        <f>IF(CZ193=0,0,IF(LEN(CP193)=11,_xlfn.XLOOKUP(CP193,'Dispensed Ink Rates'!C:C,'Dispensed Ink Rates'!CS:CS),VLOOKUP(CP193,'Jan-2026 rates'!$E:$F,2,0)))</f>
        <v>0</v>
      </c>
      <c r="DB193" s="409"/>
      <c r="DC193" s="398">
        <f>IF(DB193=0,0,IF(LEN(CQ193)=11,_xlfn.XLOOKUP(CQ193,'Dispensed Ink Rates'!C:C,'Dispensed Ink Rates'!CS:CS),VLOOKUP(CQ193,'Jan-2026 rates'!$E:$F,2,0)))</f>
        <v>0</v>
      </c>
      <c r="DD193" s="409"/>
      <c r="DE193" s="398">
        <f>IF(DD193=0,0,IF(LEN(CR193)=11,_xlfn.XLOOKUP(CR193,'Dispensed Ink Rates'!C:C,'Dispensed Ink Rates'!CS:CS),VLOOKUP(CR193,'Jan-2026 rates'!$E:$F,2,0)))</f>
        <v>0</v>
      </c>
      <c r="DF193" s="409"/>
      <c r="DG193" s="398">
        <f>IF(DF193=0,0,IF(LEN(CS193)=11,_xlfn.XLOOKUP(CS193,'Dispensed Ink Rates'!C:C,'Dispensed Ink Rates'!CS:CS),VLOOKUP(CS193,'Jan-2026 rates'!$E:$F,2,0)))</f>
        <v>0</v>
      </c>
      <c r="DH193" s="409"/>
      <c r="DI193" s="398">
        <f>IF(DH193=0,0,IF(LEN(CT193)=11,_xlfn.XLOOKUP(CT193,'Dispensed Ink Rates'!C:C,'Dispensed Ink Rates'!CS:CS),VLOOKUP(CT193,'Jan-2026 rates'!$E:$F,2,0)))</f>
        <v>0</v>
      </c>
      <c r="DJ193" s="409"/>
      <c r="DK193" s="398">
        <f>IF(DJ193=0,0,IF(LEN(CU193)=11,_xlfn.XLOOKUP(CU193,'Dispensed Ink Rates'!C:C,'Dispensed Ink Rates'!CS:CS),VLOOKUP(CU193,'Jan-2026 rates'!$E:$F,2,0)))</f>
        <v>0</v>
      </c>
      <c r="DL193" s="409" t="s">
        <v>1881</v>
      </c>
      <c r="DM193" s="409">
        <v>15</v>
      </c>
      <c r="DN193" s="411">
        <f t="shared" si="112"/>
        <v>0</v>
      </c>
      <c r="DO193" s="411">
        <f t="shared" si="113"/>
        <v>72.182926829268297</v>
      </c>
      <c r="DP193" s="410">
        <f t="shared" si="114"/>
        <v>0</v>
      </c>
      <c r="DQ193" s="405" t="s">
        <v>547</v>
      </c>
      <c r="DR193" s="409" t="s">
        <v>3708</v>
      </c>
      <c r="DS193" s="420" t="str">
        <f t="shared" si="133"/>
        <v>ToyoLi - GREEN</v>
      </c>
      <c r="DT193" s="409">
        <v>27</v>
      </c>
      <c r="DU193" s="411">
        <f>IF(DT193=0,0,IF($LB193=70%,VLOOKUP($DS193,'Jan-2026 rates'!$L:$R,4,0),IF($LB193=65%,VLOOKUP($DS193,'Jan-2026 rates'!$L:$R,4,0),IF($LB193=40%,VLOOKUP($DS193,'Jan-2026 rates'!$L:$R,5,0),IF($LB193=30%,VLOOKUP($DS193,'Jan-2026 rates'!$L:$R,6,0),IF($LB193=100%,VLOOKUP($DS193,'Jan-2026 rates'!$L:$R,7,0),IF($LB193=60%,VLOOKUP($DS193,'Jan-2026 rates'!$L:$S,8,0),IF($LB193=80%,VLOOKUP($DS193,'Jan-2026 rates'!L:T,9,0),0))))))))</f>
        <v>0</v>
      </c>
      <c r="DV193" s="412"/>
      <c r="DW193" s="409"/>
      <c r="DX193" s="411">
        <f>IF(DW193=0,0,IF($LB193=70%,VLOOKUP($DS193,'Jan-2026 rates'!$L:$R,4,0),IF($LB193=65%,VLOOKUP($DS193,'Jan-2026 rates'!$L:$R,4,0),IF($LB193=40%,VLOOKUP($DS193,'Jan-2026 rates'!$L:$R,5,0),IF($LB193=30%,VLOOKUP($DS193,'Jan-2026 rates'!$L:$R,6,0),IF($LB193=100%,VLOOKUP($DS193,'Jan-2026 rates'!$L:$R,7,0),IF($LB193=60%,VLOOKUP($DS193,'Jan-2026 rates'!$L:$S,8,0),IF($LB193=80%,VLOOKUP($DS193,'Jan-2026 rates'!L:T,9,0),0))))))))</f>
        <v>0</v>
      </c>
      <c r="DY193" s="413" t="s">
        <v>1247</v>
      </c>
      <c r="DZ193" s="413" t="s">
        <v>1250</v>
      </c>
      <c r="EA193" s="412" t="s">
        <v>1251</v>
      </c>
      <c r="EB193" s="412"/>
      <c r="EC193" s="412"/>
      <c r="ED193" s="412"/>
      <c r="EE193" s="412"/>
      <c r="EF193" s="412"/>
      <c r="EG193" s="409">
        <v>4</v>
      </c>
      <c r="EH193" s="398">
        <f>IF(EG193=0,0,IF(LEN(DY193)=11,_xlfn.XLOOKUP(DY193,'Dispensed Ink Rates'!C:C,'Dispensed Ink Rates'!CS:CS),VLOOKUP(DY193,'Jan-2026 rates'!$E:$F,2,0)))</f>
        <v>0</v>
      </c>
      <c r="EI193" s="409">
        <v>2</v>
      </c>
      <c r="EJ193" s="398">
        <f>IF(EI193=0,0,IF(LEN(DZ193)=11,_xlfn.XLOOKUP(DZ193,'Dispensed Ink Rates'!C:C,'Dispensed Ink Rates'!CS:CS),VLOOKUP(DZ193,'Jan-2026 rates'!$E:$F,2,0)))</f>
        <v>0</v>
      </c>
      <c r="EK193" s="409">
        <v>3</v>
      </c>
      <c r="EL193" s="398">
        <f>IF(EK193=0,0,IF(LEN(EA193)=11,_xlfn.XLOOKUP(EA193,'Dispensed Ink Rates'!C:C,'Dispensed Ink Rates'!CS:CS),VLOOKUP(EA193,'Jan-2026 rates'!$E:$F,2,0)))</f>
        <v>0</v>
      </c>
      <c r="EM193" s="409"/>
      <c r="EN193" s="398">
        <f>IF(EM193=0,0,IF(LEN(EB193)=11,_xlfn.XLOOKUP(EB193,'Dispensed Ink Rates'!C:C,'Dispensed Ink Rates'!CS:CS),VLOOKUP(EB193,'Jan-2026 rates'!$E:$F,2,0)))</f>
        <v>0</v>
      </c>
      <c r="EO193" s="409"/>
      <c r="EP193" s="398">
        <f>IF(EO193=0,0,IF(LEN(EC193)=11,_xlfn.XLOOKUP(EC193,'Dispensed Ink Rates'!C:C,'Dispensed Ink Rates'!CS:CS),VLOOKUP(EC193,'Jan-2026 rates'!$E:$F,2,0)))</f>
        <v>0</v>
      </c>
      <c r="EQ193" s="409"/>
      <c r="ER193" s="398">
        <f>IF(EQ193=0,0,IF(LEN(ED193)=11,_xlfn.XLOOKUP(ED193,'Dispensed Ink Rates'!C:C,'Dispensed Ink Rates'!CS:CS),VLOOKUP(ED193,'Jan-2026 rates'!$E:$F,2,0)))</f>
        <v>0</v>
      </c>
      <c r="ES193" s="409"/>
      <c r="ET193" s="398">
        <f>IF(ES193=0,0,IF(LEN(EE193)=11,_xlfn.XLOOKUP(EE193,'Dispensed Ink Rates'!C:C,'Dispensed Ink Rates'!CS:CS),VLOOKUP(EE193,'Jan-2026 rates'!$E:$F,2,0)))</f>
        <v>0</v>
      </c>
      <c r="EU193" s="409"/>
      <c r="EV193" s="398">
        <f>IF(EU193=0,0,IF(LEN(EF193)=11,_xlfn.XLOOKUP(EF193,'Dispensed Ink Rates'!C:C,'Dispensed Ink Rates'!CS:CS),VLOOKUP(EF193,'Jan-2026 rates'!$E:$F,2,0)))</f>
        <v>0</v>
      </c>
      <c r="EW193" s="409" t="s">
        <v>1881</v>
      </c>
      <c r="EX193" s="409">
        <f>13+14</f>
        <v>27</v>
      </c>
      <c r="EY193" s="411">
        <f t="shared" si="115"/>
        <v>0</v>
      </c>
      <c r="EZ193" s="411">
        <f t="shared" si="116"/>
        <v>15.054878048780488</v>
      </c>
      <c r="FA193" s="410">
        <f t="shared" si="117"/>
        <v>0</v>
      </c>
      <c r="FB193" s="405" t="s">
        <v>855</v>
      </c>
      <c r="FC193" s="409" t="s">
        <v>3709</v>
      </c>
      <c r="FD193" s="420" t="str">
        <f t="shared" si="134"/>
        <v>ToyoLi - CYAN</v>
      </c>
      <c r="FE193" s="409">
        <v>15</v>
      </c>
      <c r="FF193" s="411">
        <f>IF(FE193=0,0,IF($LB193=70%,VLOOKUP($FD193,'Jan-2026 rates'!$L:$R,4,0),IF($LB193=65%,VLOOKUP($FD193,'Jan-2026 rates'!$L:$R,4,0),IF($LB193=40%,VLOOKUP($FD193,'Jan-2026 rates'!$L:$R,5,0),IF($LB193=30%,VLOOKUP($FD193,'Jan-2026 rates'!$L:$R,6,0),IF($LB193=100%,VLOOKUP($FD193,'Jan-2026 rates'!$L:$R,7,0),IF($LB193=60%,VLOOKUP($FD193,'Jan-2026 rates'!$L:$S,8,0),IF($LB193=80%,VLOOKUP($FD193,'Jan-2026 rates'!L:T,9,0),0))))))))</f>
        <v>0</v>
      </c>
      <c r="FG193" s="412"/>
      <c r="FH193" s="409"/>
      <c r="FI193" s="411">
        <f>IF(FH193=0,0,IF($LB193=70%,VLOOKUP($FD193,'Jan-2026 rates'!$L:$R,4,0),IF($LB193=65%,VLOOKUP($FD193,'Jan-2026 rates'!$L:$R,4,0),IF($LB193=40%,VLOOKUP($FD193,'Jan-2026 rates'!$L:$R,5,0),IF($LB193=30%,VLOOKUP($FD193,'Jan-2026 rates'!$L:$R,6,0),IF($LB193=100%,VLOOKUP($FD193,'Jan-2026 rates'!$L:$R,7,0),IF($LB193=60%,VLOOKUP($FD193,'Jan-2026 rates'!$L:$S,8,0),IF($LB193=80%,VLOOKUP($FD193,'Jan-2026 rates'!L:T,9,0),0))))))))</f>
        <v>0</v>
      </c>
      <c r="FJ193" s="413" t="s">
        <v>1921</v>
      </c>
      <c r="FK193" s="413"/>
      <c r="FL193" s="413"/>
      <c r="FM193" s="412"/>
      <c r="FN193" s="412"/>
      <c r="FO193" s="412"/>
      <c r="FP193" s="412"/>
      <c r="FQ193" s="412"/>
      <c r="FR193" s="409">
        <v>6</v>
      </c>
      <c r="FS193" s="398">
        <f>IF(FR193=0,0,IF(LEN(FJ193)=11,_xlfn.XLOOKUP(FJ193,'Dispensed Ink Rates'!C:C,'Dispensed Ink Rates'!CS:CS),VLOOKUP(FJ193,'Jan-2026 rates'!$E:$F,2,0)))</f>
        <v>0</v>
      </c>
      <c r="FT193" s="409"/>
      <c r="FU193" s="398">
        <f>IF(FT193=0,0,IF(LEN(FK193)=11,_xlfn.XLOOKUP(FK193,'Dispensed Ink Rates'!C:C,'Dispensed Ink Rates'!CS:CS),VLOOKUP(FK193,'Jan-2026 rates'!$E:$F,2,0)))</f>
        <v>0</v>
      </c>
      <c r="FV193" s="409"/>
      <c r="FW193" s="398">
        <f>IF(FV193=0,0,IF(LEN(FL193)=11,_xlfn.XLOOKUP(FL193,'Dispensed Ink Rates'!C:C,'Dispensed Ink Rates'!CS:CS),VLOOKUP(FL193,'Jan-2026 rates'!$E:$F,2,0)))</f>
        <v>0</v>
      </c>
      <c r="FX193" s="409"/>
      <c r="FY193" s="398">
        <f>IF(FX193=0,0,IF(LEN(FM193)=11,_xlfn.XLOOKUP(FM193,'Dispensed Ink Rates'!C:C,'Dispensed Ink Rates'!CS:CS),VLOOKUP(FM193,'Jan-2026 rates'!$E:$F,2,0)))</f>
        <v>0</v>
      </c>
      <c r="FZ193" s="409"/>
      <c r="GA193" s="398">
        <f>IF(FZ193=0,0,IF(LEN(FN193)=11,_xlfn.XLOOKUP(FN193,'Dispensed Ink Rates'!C:C,'Dispensed Ink Rates'!CS:CS),VLOOKUP(FN193,'Jan-2026 rates'!$E:$F,2,0)))</f>
        <v>0</v>
      </c>
      <c r="GB193" s="409"/>
      <c r="GC193" s="398">
        <f>IF(GB193=0,0,IF(LEN(FO193)=11,_xlfn.XLOOKUP(FO193,'Dispensed Ink Rates'!C:C,'Dispensed Ink Rates'!CS:CS),VLOOKUP(FO193,'Jan-2026 rates'!$E:$F,2,0)))</f>
        <v>0</v>
      </c>
      <c r="GD193" s="409"/>
      <c r="GE193" s="398">
        <f>IF(GD193=0,0,IF(LEN(FP193)=11,_xlfn.XLOOKUP(FP193,'Dispensed Ink Rates'!C:C,'Dispensed Ink Rates'!CS:CS),VLOOKUP(FP193,'Jan-2026 rates'!$E:$F,2,0)))</f>
        <v>0</v>
      </c>
      <c r="GF193" s="409"/>
      <c r="GG193" s="398">
        <f>IF(GF193=0,0,IF(LEN(FQ193)=11,_xlfn.XLOOKUP(FQ193,'Dispensed Ink Rates'!C:C,'Dispensed Ink Rates'!CS:CS),VLOOKUP(FQ193,'Jan-2026 rates'!$E:$F,2,0)))</f>
        <v>0</v>
      </c>
      <c r="GH193" s="409" t="s">
        <v>1881</v>
      </c>
      <c r="GI193" s="409">
        <v>25</v>
      </c>
      <c r="GJ193" s="411">
        <f t="shared" si="118"/>
        <v>0</v>
      </c>
      <c r="GK193" s="411">
        <f t="shared" si="119"/>
        <v>8.1097560975609753</v>
      </c>
      <c r="GL193" s="410">
        <f t="shared" si="120"/>
        <v>0</v>
      </c>
      <c r="GM193" s="405" t="s">
        <v>544</v>
      </c>
      <c r="GN193" s="409" t="s">
        <v>3710</v>
      </c>
      <c r="GO193" s="420" t="str">
        <f t="shared" si="135"/>
        <v>ToyoLi - MAGENTA</v>
      </c>
      <c r="GP193" s="409">
        <v>28</v>
      </c>
      <c r="GQ193" s="411">
        <f>IF(GP193=0,0,IF($LB193=70%,VLOOKUP($GO193,'Jan-2026 rates'!$L:$R,4,0),IF($LB193=65%,VLOOKUP($GO193,'Jan-2026 rates'!$L:$R,4,0),IF($LB193=40%,VLOOKUP($GO193,'Jan-2026 rates'!$L:$R,5,0),IF($LB193=30%,VLOOKUP($GO193,'Jan-2026 rates'!$L:$R,6,0),IF($LB193=100%,VLOOKUP($GO193,'Jan-2026 rates'!$L:$R,7,0),IF($LB193=60%,VLOOKUP($GO193,'Jan-2026 rates'!$L:$S,8,0),IF($LB193=80%,VLOOKUP($GO193,'Jan-2026 rates'!L:T,9,0),0))))))))</f>
        <v>0</v>
      </c>
      <c r="GR193" s="412"/>
      <c r="GS193" s="409"/>
      <c r="GT193" s="411">
        <f>IF(GS193=0,0,IF($LB193=70%,VLOOKUP($GO193,'Jan-2026 rates'!$L:$R,4,0),IF($LB193=65%,VLOOKUP($GO193,'Jan-2026 rates'!$L:$R,4,0),IF($LB193=40%,VLOOKUP($GO193,'Jan-2026 rates'!$L:$R,5,0),IF($LB193=30%,VLOOKUP($GO193,'Jan-2026 rates'!$L:$R,6,0),IF($LB193=100%,VLOOKUP($GO193,'Jan-2026 rates'!$L:$R,7,0),IF($LB193=60%,VLOOKUP($GO193,'Jan-2026 rates'!$L:$S,8,0),IF($LB193=80%,VLOOKUP($GO193,'Jan-2026 rates'!L:T,9,0),0))))))))</f>
        <v>0</v>
      </c>
      <c r="GU193" s="413" t="s">
        <v>1246</v>
      </c>
      <c r="GV193" s="413"/>
      <c r="GW193" s="412"/>
      <c r="GX193" s="412"/>
      <c r="GY193" s="412"/>
      <c r="GZ193" s="412"/>
      <c r="HA193" s="412"/>
      <c r="HB193" s="412"/>
      <c r="HC193" s="409">
        <v>4</v>
      </c>
      <c r="HD193" s="398">
        <f>IF(HC193=0,0,IF(LEN(GU193)=11,_xlfn.XLOOKUP(GU193,'Dispensed Ink Rates'!C:C,'Dispensed Ink Rates'!CS:CS),VLOOKUP(GU193,'Jan-2026 rates'!$E:$F,2,0)))</f>
        <v>0</v>
      </c>
      <c r="HE193" s="409"/>
      <c r="HF193" s="398">
        <f>IF(HE193=0,0,IF(LEN(GV193)=11,_xlfn.XLOOKUP(GV193,'Dispensed Ink Rates'!C:C,'Dispensed Ink Rates'!CS:CS),VLOOKUP(GV193,'Jan-2026 rates'!$E:$F,2,0)))</f>
        <v>0</v>
      </c>
      <c r="HG193" s="409"/>
      <c r="HH193" s="398">
        <f>IF(HG193=0,0,IF(LEN(GW193)=11,_xlfn.XLOOKUP(GW193,'Dispensed Ink Rates'!C:C,'Dispensed Ink Rates'!CS:CS),VLOOKUP(GW193,'Jan-2026 rates'!$E:$F,2,0)))</f>
        <v>0</v>
      </c>
      <c r="HI193" s="409"/>
      <c r="HJ193" s="398">
        <f>IF(HI193=0,0,IF(LEN(GX193)=11,_xlfn.XLOOKUP(GX193,'Dispensed Ink Rates'!C:C,'Dispensed Ink Rates'!CS:CS),VLOOKUP(GX193,'Jan-2026 rates'!$E:$F,2,0)))</f>
        <v>0</v>
      </c>
      <c r="HK193" s="409"/>
      <c r="HL193" s="398">
        <f>IF(HK193=0,0,IF(LEN(GY193)=11,_xlfn.XLOOKUP(GY193,'Dispensed Ink Rates'!C:C,'Dispensed Ink Rates'!CS:CS),VLOOKUP(GY193,'Jan-2026 rates'!$E:$F,2,0)))</f>
        <v>0</v>
      </c>
      <c r="HM193" s="409"/>
      <c r="HN193" s="398">
        <f>IF(HM193=0,0,IF(LEN(GZ193)=11,_xlfn.XLOOKUP(GZ193,'Dispensed Ink Rates'!C:C,'Dispensed Ink Rates'!CS:CS),VLOOKUP(GZ193,'Jan-2026 rates'!$E:$F,2,0)))</f>
        <v>0</v>
      </c>
      <c r="HO193" s="409"/>
      <c r="HP193" s="398">
        <f>IF(HO193=0,0,IF(LEN(HA193)=11,_xlfn.XLOOKUP(HA193,'Dispensed Ink Rates'!C:C,'Dispensed Ink Rates'!CS:CS),VLOOKUP(HA193,'Jan-2026 rates'!$E:$F,2,0)))</f>
        <v>0</v>
      </c>
      <c r="HQ193" s="409"/>
      <c r="HR193" s="398">
        <f>IF(HQ193=0,0,IF(LEN(HB193)=11,_xlfn.XLOOKUP(HB193,'Dispensed Ink Rates'!C:C,'Dispensed Ink Rates'!CS:CS),VLOOKUP(HB193,'Jan-2026 rates'!$E:$F,2,0)))</f>
        <v>0</v>
      </c>
      <c r="HS193" s="409" t="s">
        <v>1881</v>
      </c>
      <c r="HT193" s="409">
        <v>26</v>
      </c>
      <c r="HU193" s="411">
        <f t="shared" si="121"/>
        <v>0</v>
      </c>
      <c r="HV193" s="411">
        <f t="shared" si="122"/>
        <v>12.054878048780488</v>
      </c>
      <c r="HW193" s="414">
        <f t="shared" si="123"/>
        <v>0</v>
      </c>
      <c r="HX193" s="405" t="s">
        <v>545</v>
      </c>
      <c r="HY193" s="409" t="s">
        <v>3711</v>
      </c>
      <c r="HZ193" s="420" t="str">
        <f t="shared" si="136"/>
        <v>ToyoLi - YELLOW</v>
      </c>
      <c r="IA193" s="409">
        <v>28</v>
      </c>
      <c r="IB193" s="411">
        <f>IF(IA193=0,0,IF($LB193=70%,VLOOKUP($HZ193,'Jan-2026 rates'!$L:$R,4,0),IF($LB193=65%,VLOOKUP($HZ193,'Jan-2026 rates'!$L:$R,4,0),IF($LB193=40%,VLOOKUP($HZ193,'Jan-2026 rates'!$L:$R,5,0),IF($LB193=30%,VLOOKUP($HZ193,'Jan-2026 rates'!$L:$R,6,0),IF($LB193=100%,VLOOKUP($HZ193,'Jan-2026 rates'!$L:$R,7,0),IF($LB193=60%,VLOOKUP($HZ193,'Jan-2026 rates'!$L:$S,8,0),IF($LB193=80%,VLOOKUP($HZ193,'Jan-2026 rates'!L:T,9,0),0))))))))</f>
        <v>0</v>
      </c>
      <c r="IC193" s="412"/>
      <c r="ID193" s="409"/>
      <c r="IE193" s="411">
        <f>IF(ID193=0,0,IF($LB193=70%,VLOOKUP($HZ193,'Jan-2026 rates'!$L:$R,4,0),IF($LB193=65%,VLOOKUP($HZ193,'Jan-2026 rates'!$L:$R,4,0),IF($LB193=40%,VLOOKUP($HZ193,'Jan-2026 rates'!$L:$R,5,0),IF($LB193=30%,VLOOKUP($HZ193,'Jan-2026 rates'!$L:$R,6,0),IF($LB193=100%,VLOOKUP($HZ193,'Jan-2026 rates'!$L:$R,7,0),IF($LB193=60%,VLOOKUP($HZ193,'Jan-2026 rates'!$L:$S,8,0),IF($LB193=80%,VLOOKUP($HZ193,'Jan-2026 rates'!L:T,9,0),0))))))))</f>
        <v>0</v>
      </c>
      <c r="IF193" s="412" t="s">
        <v>1247</v>
      </c>
      <c r="IG193" s="413"/>
      <c r="IH193" s="412"/>
      <c r="II193" s="412"/>
      <c r="IJ193" s="412"/>
      <c r="IK193" s="412"/>
      <c r="IL193" s="412"/>
      <c r="IM193" s="412"/>
      <c r="IN193" s="409">
        <v>18</v>
      </c>
      <c r="IO193" s="398">
        <f>IF(IN193=0,0,IF(LEN(IF193)=11,_xlfn.XLOOKUP(IF193,'Dispensed Ink Rates'!C:C,'Dispensed Ink Rates'!CS:CS),VLOOKUP(IF193,'Jan-2026 rates'!$E:$F,2,0)))</f>
        <v>0</v>
      </c>
      <c r="IP193" s="409"/>
      <c r="IQ193" s="398">
        <f>IF(IP193=0,0,IF(LEN(IG193)=11,_xlfn.XLOOKUP(IG193,'Dispensed Ink Rates'!C:C,'Dispensed Ink Rates'!CS:CS),VLOOKUP(IG193,'Jan-2026 rates'!$E:$F,2,0)))</f>
        <v>0</v>
      </c>
      <c r="IR193" s="409"/>
      <c r="IS193" s="398">
        <f>IF(IR193=0,0,IF(LEN(IH193)=11,_xlfn.XLOOKUP(IH193,'Dispensed Ink Rates'!C:C,'Dispensed Ink Rates'!CS:CS),VLOOKUP(IH193,'Jan-2026 rates'!$E:$F,2,0)))</f>
        <v>0</v>
      </c>
      <c r="IT193" s="409"/>
      <c r="IU193" s="398">
        <f>IF(IT193=0,0,IF(LEN(II193)=11,_xlfn.XLOOKUP(II193,'Dispensed Ink Rates'!C:C,'Dispensed Ink Rates'!CS:CS),VLOOKUP(II193,'Jan-2026 rates'!$E:$F,2,0)))</f>
        <v>0</v>
      </c>
      <c r="IV193" s="409"/>
      <c r="IW193" s="398">
        <f>IF(IV193=0,0,IF(LEN(IJ193)=11,_xlfn.XLOOKUP(IJ193,'Dispensed Ink Rates'!C:C,'Dispensed Ink Rates'!CS:CS),VLOOKUP(IJ193,'Jan-2026 rates'!$E:$F,2,0)))</f>
        <v>0</v>
      </c>
      <c r="IX193" s="409"/>
      <c r="IY193" s="398">
        <f>IF(IX193=0,0,IF(LEN(IK193)=11,_xlfn.XLOOKUP(IK193,'Dispensed Ink Rates'!C:C,'Dispensed Ink Rates'!CS:CS),VLOOKUP(IK193,'Jan-2026 rates'!$E:$F,2,0)))</f>
        <v>0</v>
      </c>
      <c r="IZ193" s="409"/>
      <c r="JA193" s="398">
        <f>IF(IZ193=0,0,IF(LEN(IL193)=11,_xlfn.XLOOKUP(IL193,'Dispensed Ink Rates'!C:C,'Dispensed Ink Rates'!CS:CS),VLOOKUP(IL193,'Jan-2026 rates'!$E:$F,2,0)))</f>
        <v>0</v>
      </c>
      <c r="JB193" s="409"/>
      <c r="JC193" s="398">
        <f>IF(JB193=0,0,IF(LEN(IM193)=11,_xlfn.XLOOKUP(IM193,'Dispensed Ink Rates'!C:C,'Dispensed Ink Rates'!CS:CS),VLOOKUP(IM193,'Jan-2026 rates'!$E:$F,2,0)))</f>
        <v>0</v>
      </c>
      <c r="JD193" s="409" t="s">
        <v>1881</v>
      </c>
      <c r="JE193" s="409">
        <v>25</v>
      </c>
      <c r="JF193" s="411">
        <f t="shared" si="124"/>
        <v>0</v>
      </c>
      <c r="JG193" s="411">
        <f t="shared" si="125"/>
        <v>31.091463414634148</v>
      </c>
      <c r="JH193" s="410">
        <f t="shared" si="126"/>
        <v>0</v>
      </c>
      <c r="JI193" s="405" t="s">
        <v>856</v>
      </c>
      <c r="JJ193" s="409" t="s">
        <v>3712</v>
      </c>
      <c r="JK193" s="420" t="str">
        <f t="shared" si="137"/>
        <v>ToyoLi - WHITE</v>
      </c>
      <c r="JL193" s="409">
        <v>25</v>
      </c>
      <c r="JM193" s="411">
        <f>IF(JL193=0,0,IF($LB193=70%,VLOOKUP($JK193,'Jan-2026 rates'!$L:$R,4,0),IF($LB193=65%,VLOOKUP($JK193,'Jan-2026 rates'!$L:$R,4,0),IF($LB193=40%,VLOOKUP($JK193,'Jan-2026 rates'!$L:$R,5,0),IF($LB193=30%,VLOOKUP($JK193,'Jan-2026 rates'!$L:$R,6,0),IF($LB193=100%,VLOOKUP($JK193,'Jan-2026 rates'!$L:$R,7,0),IF($LB193=60%,VLOOKUP($JK193,'Jan-2026 rates'!$L:$S,8,0),IF($LB193=80%,VLOOKUP($JK193,'Jan-2026 rates'!L:T,9,0),0))))))))</f>
        <v>0</v>
      </c>
      <c r="JN193" s="412"/>
      <c r="JO193" s="409"/>
      <c r="JP193" s="411">
        <f>IF(JO193=0,0,IF($LB193=70%,VLOOKUP($JK193,'Jan-2026 rates'!$L:$R,4,0),IF($LB193=65%,VLOOKUP($JK193,'Jan-2026 rates'!$L:$R,4,0),IF($LB193=40%,VLOOKUP($JK193,'Jan-2026 rates'!$L:$R,5,0),IF($LB193=30%,VLOOKUP($JK193,'Jan-2026 rates'!$L:$R,6,0),IF($LB193=100%,VLOOKUP($JK193,'Jan-2026 rates'!$L:$R,7,0),IF($LB193=60%,VLOOKUP($JK193,'Jan-2026 rates'!$L:$S,8,0),IF($LB193=80%,VLOOKUP($JK193,'Jan-2026 rates'!L:T,9,0),0))))))))</f>
        <v>0</v>
      </c>
      <c r="JQ193" s="413" t="s">
        <v>1249</v>
      </c>
      <c r="JR193" s="412" t="s">
        <v>1122</v>
      </c>
      <c r="JS193" s="413"/>
      <c r="JT193" s="413"/>
      <c r="JU193" s="412"/>
      <c r="JV193" s="412"/>
      <c r="JW193" s="412"/>
      <c r="JX193" s="412"/>
      <c r="JY193" s="409">
        <f>100+20+100</f>
        <v>220</v>
      </c>
      <c r="JZ193" s="398">
        <f>IF(JY193=0,0,IF(LEN(JQ193)=11,_xlfn.XLOOKUP(JQ193,'Dispensed Ink Rates'!C:C,'Dispensed Ink Rates'!CS:CS),VLOOKUP(JQ193,'Jan-2026 rates'!$E:$F,2,0)))</f>
        <v>0</v>
      </c>
      <c r="KA193" s="409">
        <v>12.73</v>
      </c>
      <c r="KB193" s="398">
        <f>IF(KA193=0,0,IF(LEN(JR193)=11,_xlfn.XLOOKUP(JR193,'Dispensed Ink Rates'!C:C,'Dispensed Ink Rates'!CS:CS),VLOOKUP(JR193,'Jan-2026 rates'!$E:$F,2,0)))</f>
        <v>0</v>
      </c>
      <c r="KC193" s="409"/>
      <c r="KD193" s="398">
        <f>IF(KC193=0,0,IF(LEN(JS193)=11,_xlfn.XLOOKUP(JS193,'Dispensed Ink Rates'!C:C,'Dispensed Ink Rates'!CS:CS),VLOOKUP(JS193,'Jan-2026 rates'!$E:$F,2,0)))</f>
        <v>0</v>
      </c>
      <c r="KE193" s="409"/>
      <c r="KF193" s="398">
        <f>IF(KE193=0,0,IF(LEN(JT193)=11,_xlfn.XLOOKUP(JT193,'Dispensed Ink Rates'!C:C,'Dispensed Ink Rates'!CS:CS),VLOOKUP(JT193,'Jan-2026 rates'!$E:$F,2,0)))</f>
        <v>0</v>
      </c>
      <c r="KG193" s="409"/>
      <c r="KH193" s="398">
        <f>IF(KG193=0,0,IF(LEN(JU193)=11,_xlfn.XLOOKUP(JU193,'Dispensed Ink Rates'!C:C,'Dispensed Ink Rates'!CS:CS),VLOOKUP(JU193,'Jan-2026 rates'!$E:$F,2,0)))</f>
        <v>0</v>
      </c>
      <c r="KI193" s="409"/>
      <c r="KJ193" s="398">
        <f>IF(KI193=0,0,IF(LEN(JV193)=11,_xlfn.XLOOKUP(JV193,'Dispensed Ink Rates'!C:C,'Dispensed Ink Rates'!CS:CS),VLOOKUP(JV193,'Jan-2026 rates'!$E:$F,2,0)))</f>
        <v>0</v>
      </c>
      <c r="KK193" s="409"/>
      <c r="KL193" s="398">
        <f>IF(KK193=0,0,IF(LEN(JW193)=11,_xlfn.XLOOKUP(JW193,'Dispensed Ink Rates'!C:C,'Dispensed Ink Rates'!CS:CS),VLOOKUP(JW193,'Jan-2026 rates'!$E:$F,2,0)))</f>
        <v>0</v>
      </c>
      <c r="KM193" s="428"/>
      <c r="KN193" s="398">
        <f>IF(KM193=0,0,IF(LEN(JX193)=11,_xlfn.XLOOKUP(JX193,'Dispensed Ink Rates'!C:C,'Dispensed Ink Rates'!CS:CS),VLOOKUP(JX193,'Jan-2026 rates'!$E:$F,2,0)))</f>
        <v>0</v>
      </c>
      <c r="KO193" s="409" t="s">
        <v>1881</v>
      </c>
      <c r="KP193" s="409">
        <v>30</v>
      </c>
      <c r="KQ193" s="411">
        <f t="shared" si="127"/>
        <v>0</v>
      </c>
      <c r="KR193" s="411">
        <f t="shared" si="128"/>
        <v>469.92512195121952</v>
      </c>
      <c r="KS193" s="410">
        <f t="shared" si="129"/>
        <v>0</v>
      </c>
      <c r="KT193" s="409">
        <v>2</v>
      </c>
      <c r="KU193" s="409">
        <v>15</v>
      </c>
      <c r="KV193" s="409">
        <v>10</v>
      </c>
      <c r="KW193" s="409">
        <v>3</v>
      </c>
      <c r="KX193" s="409">
        <v>6</v>
      </c>
      <c r="KY193" s="409">
        <v>3</v>
      </c>
      <c r="KZ193" s="409">
        <v>5</v>
      </c>
      <c r="LA193" s="409">
        <f>50+10+60</f>
        <v>120</v>
      </c>
      <c r="LB193" s="415">
        <v>0.3</v>
      </c>
      <c r="LC193" s="415"/>
      <c r="LD193" s="415"/>
      <c r="LE193" s="415">
        <v>0.5</v>
      </c>
      <c r="LF193" s="415">
        <v>0.2</v>
      </c>
      <c r="LG193" s="409">
        <v>0</v>
      </c>
      <c r="LH193" s="409">
        <f>120+80+36+60+6+5+24</f>
        <v>331</v>
      </c>
      <c r="LI193" s="409">
        <v>0</v>
      </c>
      <c r="LJ193" s="409">
        <v>0</v>
      </c>
      <c r="LK193" s="416">
        <f t="shared" si="138"/>
        <v>331</v>
      </c>
      <c r="LL193" s="416">
        <f t="shared" si="139"/>
        <v>331</v>
      </c>
      <c r="LM193" s="417">
        <f t="shared" si="140"/>
        <v>99.3</v>
      </c>
      <c r="LN193" s="417">
        <f>VLOOKUP($LM$8,'Jan-2026 rates'!$H:$I,2,0)</f>
        <v>0</v>
      </c>
      <c r="LO193" s="417">
        <f t="shared" si="141"/>
        <v>0</v>
      </c>
      <c r="LP193" s="417">
        <f>VLOOKUP($LO$8,'Jan-2026 rates'!$H:$I,2,0)</f>
        <v>0</v>
      </c>
      <c r="LQ193" s="417">
        <f t="shared" si="142"/>
        <v>0</v>
      </c>
      <c r="LR193" s="417">
        <f>VLOOKUP($LQ$8,'Jan-2026 rates'!$H:$I,2,0)</f>
        <v>0</v>
      </c>
      <c r="LS193" s="417">
        <f t="shared" si="143"/>
        <v>165.5</v>
      </c>
      <c r="LT193" s="417">
        <f>VLOOKUP($LS$8,'Jan-2026 rates'!$H:$I,2,0)</f>
        <v>0</v>
      </c>
      <c r="LU193" s="417">
        <f t="shared" si="144"/>
        <v>66.2</v>
      </c>
      <c r="LV193" s="417">
        <f>VLOOKUP($LU$8,'Jan-2026 rates'!$H:$I,2,0)</f>
        <v>0</v>
      </c>
      <c r="LW193" s="417">
        <f t="shared" si="145"/>
        <v>0</v>
      </c>
      <c r="LX193" s="417">
        <f t="shared" si="146"/>
        <v>0</v>
      </c>
      <c r="LY193" s="418">
        <f t="shared" si="147"/>
        <v>0</v>
      </c>
      <c r="LZ193" s="417"/>
      <c r="MA193" s="435">
        <f t="shared" si="148"/>
        <v>326.73</v>
      </c>
      <c r="MB193" s="282">
        <f t="shared" si="149"/>
        <v>655.73</v>
      </c>
      <c r="MC193" s="283" t="s">
        <v>2028</v>
      </c>
      <c r="MD193" s="284" t="str">
        <f t="shared" si="150"/>
        <v>ToyoLiToyoLiToyoLiToyoLiToyoLiToyoLiToyoLiToyoLi</v>
      </c>
      <c r="ME193" s="293" t="str">
        <f t="shared" si="151"/>
        <v>+</v>
      </c>
      <c r="MF193" s="293" t="str">
        <f t="shared" si="152"/>
        <v>+</v>
      </c>
      <c r="MG193" s="293" t="str">
        <f t="shared" si="153"/>
        <v>+</v>
      </c>
      <c r="MH193" s="293" t="str">
        <f t="shared" si="154"/>
        <v>+</v>
      </c>
      <c r="MI193" s="293" t="str">
        <f t="shared" si="155"/>
        <v>+</v>
      </c>
      <c r="MJ193" s="293" t="str">
        <f t="shared" si="156"/>
        <v>+</v>
      </c>
      <c r="MK193" s="293" t="str">
        <f t="shared" si="157"/>
        <v>+</v>
      </c>
      <c r="ML193" s="293" t="str">
        <f t="shared" si="158"/>
        <v>+</v>
      </c>
      <c r="MM193" s="3" t="b">
        <f t="array" ref="MM193">OR(ME193:ML193="-")</f>
        <v>0</v>
      </c>
      <c r="MN193" s="285"/>
      <c r="MO193" s="401"/>
      <c r="MP193" s="286"/>
      <c r="MQ193" s="286"/>
      <c r="MR193" s="402"/>
      <c r="MS193" s="400"/>
      <c r="NH193" s="422"/>
      <c r="NJ193" s="421"/>
    </row>
    <row r="194" spans="1:374" s="1" customFormat="1" ht="16.5">
      <c r="A194" s="403">
        <v>46037</v>
      </c>
      <c r="B194" s="404" t="s">
        <v>1015</v>
      </c>
      <c r="C194" s="405" t="s">
        <v>3713</v>
      </c>
      <c r="D194" s="406" t="s">
        <v>2029</v>
      </c>
      <c r="E194" s="404">
        <v>409</v>
      </c>
      <c r="F194" s="407">
        <v>27900</v>
      </c>
      <c r="G194" s="407" t="s">
        <v>1016</v>
      </c>
      <c r="H194" s="408" t="s">
        <v>1017</v>
      </c>
      <c r="I194" s="409">
        <v>1.8</v>
      </c>
      <c r="J194" s="405" t="s">
        <v>543</v>
      </c>
      <c r="K194" s="404" t="s">
        <v>3714</v>
      </c>
      <c r="L194" s="419" t="str">
        <f t="shared" si="131"/>
        <v>ToyoLi - BLACK</v>
      </c>
      <c r="M194" s="404">
        <v>27</v>
      </c>
      <c r="N194" s="410">
        <f>IF(M194=0,0,IF($LB194=70%,VLOOKUP($L194,'Jan-2026 rates'!$L:$R,4,0),IF($LB194=65%,VLOOKUP($L194,'Jan-2026 rates'!$L:$R,4,0),IF($LB194=40%,VLOOKUP($L194,'Jan-2026 rates'!$L:$R,5,0),IF($LB194=30%,VLOOKUP($L194,'Jan-2026 rates'!$L:$R,6,0),IF($LB194=100%,VLOOKUP($L194,'Jan-2026 rates'!$L:$R,7,0),IF($LB194=60%,VLOOKUP($L194,'Jan-2026 rates'!$L:$S,8,0),IF($LB194=80%,VLOOKUP($L194,'Jan-2026 rates'!L:T,9,0),0))))))))</f>
        <v>0</v>
      </c>
      <c r="O194" s="406"/>
      <c r="P194" s="404"/>
      <c r="Q194" s="410">
        <f>IF(P194=0,0,IF($LB194=70%,VLOOKUP($L194,'Jan-2026 rates'!$L:$R,4,0),IF($LB194=65%,VLOOKUP($L194,'Jan-2026 rates'!$L:$R,4,0),IF($LB194=40%,VLOOKUP($L194,'Jan-2026 rates'!$L:$R,5,0),IF($LB194=30%,VLOOKUP($L194,'Jan-2026 rates'!$L:$R,6,0),IF($LB194=100%,VLOOKUP($L194,'Jan-2026 rates'!$L:$R,7,0),IF($LB194=60%,VLOOKUP($L194,'Jan-2026 rates'!$L:$S,8,0),IF($LB194=80%,VLOOKUP($L194,'Jan-2026 rates'!L:T,9,0),0))))))))</f>
        <v>0</v>
      </c>
      <c r="R194" s="406" t="s">
        <v>1252</v>
      </c>
      <c r="S194" s="406" t="s">
        <v>1921</v>
      </c>
      <c r="T194" s="406"/>
      <c r="U194" s="406"/>
      <c r="V194" s="406"/>
      <c r="W194" s="406"/>
      <c r="X194" s="406"/>
      <c r="Y194" s="406"/>
      <c r="Z194" s="404">
        <v>3</v>
      </c>
      <c r="AA194" s="398">
        <f>IF(Z194=0,0,IF(LEN(R194)=11,_xlfn.XLOOKUP(R194,'Dispensed Ink Rates'!C:C,'Dispensed Ink Rates'!CS:CS),VLOOKUP(R194,'Jan-2026 rates'!$E:$F,2,0)))</f>
        <v>0</v>
      </c>
      <c r="AB194" s="404">
        <v>5</v>
      </c>
      <c r="AC194" s="398">
        <f>IF(AB194=0,0,IF(LEN(S194)=11,_xlfn.XLOOKUP(S194,'Dispensed Ink Rates'!C:C,'Dispensed Ink Rates'!CS:CS),VLOOKUP(S194,'Jan-2026 rates'!$E:$F,2,0)))</f>
        <v>0</v>
      </c>
      <c r="AD194" s="404"/>
      <c r="AE194" s="398">
        <f>IF(AD194=0,0,IF(LEN(T194)=11,_xlfn.XLOOKUP(T194,'Dispensed Ink Rates'!C:C,'Dispensed Ink Rates'!CS:CS),VLOOKUP(T194,'Jan-2026 rates'!$E:$F,2,0)))</f>
        <v>0</v>
      </c>
      <c r="AF194" s="404"/>
      <c r="AG194" s="398">
        <f>IF(AF194=0,0,IF(LEN(U194)=11,_xlfn.XLOOKUP(U194,'Dispensed Ink Rates'!C:C,'Dispensed Ink Rates'!CS:CS),VLOOKUP(U194,'Jan-2026 rates'!$E:$F,2,0)))</f>
        <v>0</v>
      </c>
      <c r="AH194" s="404"/>
      <c r="AI194" s="398">
        <f>IF(AH194=0,0,IF(LEN(V194)=11,_xlfn.XLOOKUP(V194,'Dispensed Ink Rates'!C:C,'Dispensed Ink Rates'!CS:CS),VLOOKUP(V194,'Jan-2026 rates'!$E:$F,2,0)))</f>
        <v>0</v>
      </c>
      <c r="AJ194" s="404"/>
      <c r="AK194" s="398">
        <f>IF(AJ194=0,0,IF(LEN(W194)=11,_xlfn.XLOOKUP(W194,'Dispensed Ink Rates'!C:C,'Dispensed Ink Rates'!CS:CS),VLOOKUP(W194,'Jan-2026 rates'!$E:$F,2,0)))</f>
        <v>0</v>
      </c>
      <c r="AL194" s="404"/>
      <c r="AM194" s="398">
        <f>IF(AL194=0,0,IF(LEN(X194)=11,_xlfn.XLOOKUP(X194,'Dispensed Ink Rates'!C:C,'Dispensed Ink Rates'!CS:CS),VLOOKUP(X194,'Jan-2026 rates'!$E:$F,2,0)))</f>
        <v>0</v>
      </c>
      <c r="AN194" s="404"/>
      <c r="AO194" s="398">
        <f>IF(AN194=0,0,IF(LEN(Y194)=11,_xlfn.XLOOKUP(Y194,'Dispensed Ink Rates'!C:C,'Dispensed Ink Rates'!CS:CS),VLOOKUP(Y194,'Jan-2026 rates'!$E:$F,2,0)))</f>
        <v>0</v>
      </c>
      <c r="AP194" s="409" t="s">
        <v>1881</v>
      </c>
      <c r="AQ194" s="409">
        <f>18+16</f>
        <v>34</v>
      </c>
      <c r="AR194" s="410">
        <f t="shared" si="106"/>
        <v>0</v>
      </c>
      <c r="AS194" s="411">
        <f t="shared" si="107"/>
        <v>4.9518072289156621</v>
      </c>
      <c r="AT194" s="410">
        <f t="shared" si="108"/>
        <v>0</v>
      </c>
      <c r="AU194" s="405" t="s">
        <v>543</v>
      </c>
      <c r="AV194" s="409" t="s">
        <v>3714</v>
      </c>
      <c r="AW194" s="420" t="str">
        <f t="shared" si="130"/>
        <v>ToyoLi - BLACK</v>
      </c>
      <c r="AX194" s="409">
        <v>28</v>
      </c>
      <c r="AY194" s="411">
        <f>IF(AX194=0,0,IF($LB194=70%,VLOOKUP($AW194,'Jan-2026 rates'!$L:$R,4,0),IF($LB194=65%,VLOOKUP($AW194,'Jan-2026 rates'!$L:$R,4,0),IF($LB194=40%,VLOOKUP($AW194,'Jan-2026 rates'!$L:$R,5,0),IF($LB194=30%,VLOOKUP($AW194,'Jan-2026 rates'!$L:$R,6,0),IF($LB194=100%,VLOOKUP($AW194,'Jan-2026 rates'!$L:$R,7,0),IF($LB194=60%,VLOOKUP($AW194,'Jan-2026 rates'!$L:$S,8,0),IF($LB194=80%,VLOOKUP($AW194,'Jan-2026 rates'!L:T,9,0),0))))))))</f>
        <v>0</v>
      </c>
      <c r="AZ194" s="412"/>
      <c r="BA194" s="409"/>
      <c r="BB194" s="411">
        <f>IF(BA194=0,0,IF($LB194=70%,VLOOKUP($AW194,'Jan-2026 rates'!$L:$R,4,0),IF($LB194=65%,VLOOKUP($AW194,'Jan-2026 rates'!$L:$R,4,0),IF($LB194=40%,VLOOKUP($AW194,'Jan-2026 rates'!$L:$R,5,0),IF($LB194=30%,VLOOKUP($AW194,'Jan-2026 rates'!$L:$R,6,0),IF($LB194=100%,VLOOKUP($AW194,'Jan-2026 rates'!$L:$R,7,0),IF($LB194=60%,VLOOKUP($AW194,'Jan-2026 rates'!$L:$S,8,0),IF($LB194=80%,VLOOKUP($AW194,'Jan-2026 rates'!L:T,9,0),0))))))))</f>
        <v>0</v>
      </c>
      <c r="BC194" s="413" t="s">
        <v>1252</v>
      </c>
      <c r="BD194" s="412" t="s">
        <v>1921</v>
      </c>
      <c r="BE194" s="412"/>
      <c r="BF194" s="413"/>
      <c r="BG194" s="412"/>
      <c r="BH194" s="412"/>
      <c r="BI194" s="412"/>
      <c r="BJ194" s="412"/>
      <c r="BK194" s="409">
        <v>4</v>
      </c>
      <c r="BL194" s="398">
        <f>IF(BK194=0,0,IF(LEN(BC194)=11,_xlfn.XLOOKUP(BC194,'Dispensed Ink Rates'!C:C,'Dispensed Ink Rates'!CS:CS),VLOOKUP(BC194,'Jan-2026 rates'!$E:$F,2,0)))</f>
        <v>0</v>
      </c>
      <c r="BM194" s="409">
        <v>6</v>
      </c>
      <c r="BN194" s="398">
        <f>IF(BM194=0,0,IF(LEN(BD194)=11,_xlfn.XLOOKUP(BD194,'Dispensed Ink Rates'!C:C,'Dispensed Ink Rates'!CS:CS),VLOOKUP(BD194,'Jan-2026 rates'!$E:$F,2,0)))</f>
        <v>0</v>
      </c>
      <c r="BO194" s="409"/>
      <c r="BP194" s="398">
        <f>IF(BO194=0,0,IF(LEN(BE194)=11,_xlfn.XLOOKUP(BE194,'Dispensed Ink Rates'!C:C,'Dispensed Ink Rates'!CS:CS),VLOOKUP(BE194,'Jan-2026 rates'!$E:$F,2,0)))</f>
        <v>0</v>
      </c>
      <c r="BQ194" s="409"/>
      <c r="BR194" s="398">
        <f>IF(BQ194=0,0,IF(LEN(BF194)=11,_xlfn.XLOOKUP(BF194,'Dispensed Ink Rates'!C:C,'Dispensed Ink Rates'!CS:CS),VLOOKUP(BF194,'Jan-2026 rates'!$E:$F,2,0)))</f>
        <v>0</v>
      </c>
      <c r="BS194" s="409"/>
      <c r="BT194" s="398">
        <f>IF(BS194=0,0,IF(LEN(BG194)=11,_xlfn.XLOOKUP(BG194,'Dispensed Ink Rates'!C:C,'Dispensed Ink Rates'!CS:CS),VLOOKUP(BG194,'Jan-2026 rates'!$E:$F,2,0)))</f>
        <v>0</v>
      </c>
      <c r="BU194" s="409"/>
      <c r="BV194" s="398">
        <f>IF(BU194=0,0,IF(LEN(BH194)=11,_xlfn.XLOOKUP(BH194,'Dispensed Ink Rates'!C:C,'Dispensed Ink Rates'!CS:CS),VLOOKUP(BH194,'Jan-2026 rates'!$E:$F,2,0)))</f>
        <v>0</v>
      </c>
      <c r="BW194" s="409"/>
      <c r="BX194" s="398">
        <f>IF(BW194=0,0,IF(LEN(BI194)=11,_xlfn.XLOOKUP(BI194,'Dispensed Ink Rates'!C:C,'Dispensed Ink Rates'!CS:CS),VLOOKUP(BI194,'Jan-2026 rates'!$E:$F,2,0)))</f>
        <v>0</v>
      </c>
      <c r="BY194" s="409"/>
      <c r="BZ194" s="398">
        <f>IF(BY194=0,0,IF(LEN(BJ194)=11,_xlfn.XLOOKUP(BJ194,'Dispensed Ink Rates'!C:C,'Dispensed Ink Rates'!CS:CS),VLOOKUP(BJ194,'Jan-2026 rates'!$E:$F,2,0)))</f>
        <v>0</v>
      </c>
      <c r="CA194" s="409" t="s">
        <v>1881</v>
      </c>
      <c r="CB194" s="409">
        <f>20+20</f>
        <v>40</v>
      </c>
      <c r="CC194" s="411">
        <f t="shared" si="109"/>
        <v>0</v>
      </c>
      <c r="CD194" s="411">
        <f t="shared" si="110"/>
        <v>9.8554216867469862</v>
      </c>
      <c r="CE194" s="410">
        <f t="shared" si="111"/>
        <v>0</v>
      </c>
      <c r="CF194" s="404" t="s">
        <v>546</v>
      </c>
      <c r="CG194" s="409" t="s">
        <v>3715</v>
      </c>
      <c r="CH194" s="420" t="str">
        <f t="shared" si="132"/>
        <v>ToyoLi - REFLEX BLUE</v>
      </c>
      <c r="CI194" s="409">
        <f>16+20</f>
        <v>36</v>
      </c>
      <c r="CJ194" s="411">
        <f>IF(CI194=0,0,IF($LB194=70%,VLOOKUP($CH194,'Jan-2026 rates'!$L:$R,4,0),IF($LB194=65%,VLOOKUP($CH194,'Jan-2026 rates'!$L:$R,4,0),IF($LB194=40%,VLOOKUP($CH194,'Jan-2026 rates'!$L:$R,5,0),IF($LB194=30%,VLOOKUP($CH194,'Jan-2026 rates'!$L:$R,6,0),IF($LB194=100%,VLOOKUP($CH194,'Jan-2026 rates'!$L:$R,7,0),IF($LB194=60%,VLOOKUP($CH194,'Jan-2026 rates'!$L:$S,8,0),IF($LB194=80%,VLOOKUP($CH194,'Jan-2026 rates'!L:T,9,0),0))))))))</f>
        <v>0</v>
      </c>
      <c r="CK194" s="412"/>
      <c r="CL194" s="409"/>
      <c r="CM194" s="411">
        <f>IF(CL194=0,0,IF($LB194=70%,VLOOKUP($CH194,'Jan-2026 rates'!$L:$R,4,0),IF($LB194=65%,VLOOKUP($CH194,'Jan-2026 rates'!$L:$R,4,0),IF($LB194=40%,VLOOKUP($CH194,'Jan-2026 rates'!$L:$R,5,0),IF($LB194=30%,VLOOKUP($CH194,'Jan-2026 rates'!$L:$R,6,0),IF($LB194=100%,VLOOKUP($CH194,'Jan-2026 rates'!$L:$R,7,0),IF($LB194=60%,VLOOKUP($CH194,'Jan-2026 rates'!$L:$S,8,0),IF($LB194=80%,VLOOKUP($CH194,'Jan-2026 rates'!L:T,9,0),0))))))))</f>
        <v>0</v>
      </c>
      <c r="CN194" s="426" t="s">
        <v>1246</v>
      </c>
      <c r="CO194" s="427" t="s">
        <v>1585</v>
      </c>
      <c r="CP194" s="426" t="s">
        <v>1880</v>
      </c>
      <c r="CQ194" s="426" t="s">
        <v>1921</v>
      </c>
      <c r="CR194" s="428" t="s">
        <v>827</v>
      </c>
      <c r="CS194" s="428"/>
      <c r="CT194" s="428"/>
      <c r="CU194" s="428"/>
      <c r="CV194" s="409">
        <v>15</v>
      </c>
      <c r="CW194" s="398">
        <f>IF(CV194=0,0,IF(LEN(CN194)=11,_xlfn.XLOOKUP(CN194,'Dispensed Ink Rates'!C:C,'Dispensed Ink Rates'!CS:CS),VLOOKUP(CN194,'Jan-2026 rates'!$E:$F,2,0)))</f>
        <v>0</v>
      </c>
      <c r="CX194" s="409">
        <v>20</v>
      </c>
      <c r="CY194" s="398">
        <f>IF(CX194=0,0,IF(LEN(CO194)=11,_xlfn.XLOOKUP(CO194,'Dispensed Ink Rates'!C:C,'Dispensed Ink Rates'!CS:CS),VLOOKUP(CO194,'Jan-2026 rates'!$E:$F,2,0)))</f>
        <v>0</v>
      </c>
      <c r="CZ194" s="409">
        <v>2</v>
      </c>
      <c r="DA194" s="398">
        <f>IF(CZ194=0,0,IF(LEN(CP194)=11,_xlfn.XLOOKUP(CP194,'Dispensed Ink Rates'!C:C,'Dispensed Ink Rates'!CS:CS),VLOOKUP(CP194,'Jan-2026 rates'!$E:$F,2,0)))</f>
        <v>0</v>
      </c>
      <c r="DB194" s="409">
        <v>15</v>
      </c>
      <c r="DC194" s="398">
        <f>IF(DB194=0,0,IF(LEN(CQ194)=11,_xlfn.XLOOKUP(CQ194,'Dispensed Ink Rates'!C:C,'Dispensed Ink Rates'!CS:CS),VLOOKUP(CQ194,'Jan-2026 rates'!$E:$F,2,0)))</f>
        <v>0</v>
      </c>
      <c r="DD194" s="409">
        <v>10</v>
      </c>
      <c r="DE194" s="398">
        <f>IF(DD194=0,0,IF(LEN(CR194)=11,_xlfn.XLOOKUP(CR194,'Dispensed Ink Rates'!C:C,'Dispensed Ink Rates'!CS:CS),VLOOKUP(CR194,'Jan-2026 rates'!$E:$F,2,0)))</f>
        <v>0</v>
      </c>
      <c r="DF194" s="409"/>
      <c r="DG194" s="398">
        <f>IF(DF194=0,0,IF(LEN(CS194)=11,_xlfn.XLOOKUP(CS194,'Dispensed Ink Rates'!C:C,'Dispensed Ink Rates'!CS:CS),VLOOKUP(CS194,'Jan-2026 rates'!$E:$F,2,0)))</f>
        <v>0</v>
      </c>
      <c r="DH194" s="409"/>
      <c r="DI194" s="398">
        <f>IF(DH194=0,0,IF(LEN(CT194)=11,_xlfn.XLOOKUP(CT194,'Dispensed Ink Rates'!C:C,'Dispensed Ink Rates'!CS:CS),VLOOKUP(CT194,'Jan-2026 rates'!$E:$F,2,0)))</f>
        <v>0</v>
      </c>
      <c r="DJ194" s="409"/>
      <c r="DK194" s="398">
        <f>IF(DJ194=0,0,IF(LEN(CU194)=11,_xlfn.XLOOKUP(CU194,'Dispensed Ink Rates'!C:C,'Dispensed Ink Rates'!CS:CS),VLOOKUP(CU194,'Jan-2026 rates'!$E:$F,2,0)))</f>
        <v>0</v>
      </c>
      <c r="DL194" s="409" t="s">
        <v>1881</v>
      </c>
      <c r="DM194" s="409">
        <f>20+19</f>
        <v>39</v>
      </c>
      <c r="DN194" s="411">
        <f t="shared" si="112"/>
        <v>0</v>
      </c>
      <c r="DO194" s="411">
        <f t="shared" si="113"/>
        <v>88.638554216867476</v>
      </c>
      <c r="DP194" s="410">
        <f t="shared" si="114"/>
        <v>0</v>
      </c>
      <c r="DQ194" s="405" t="s">
        <v>857</v>
      </c>
      <c r="DR194" s="409" t="s">
        <v>3716</v>
      </c>
      <c r="DS194" s="420" t="str">
        <f t="shared" si="133"/>
        <v>ToyoLi - RED</v>
      </c>
      <c r="DT194" s="409">
        <v>20</v>
      </c>
      <c r="DU194" s="411">
        <f>IF(DT194=0,0,IF($LB194=70%,VLOOKUP($DS194,'Jan-2026 rates'!$L:$R,4,0),IF($LB194=65%,VLOOKUP($DS194,'Jan-2026 rates'!$L:$R,4,0),IF($LB194=40%,VLOOKUP($DS194,'Jan-2026 rates'!$L:$R,5,0),IF($LB194=30%,VLOOKUP($DS194,'Jan-2026 rates'!$L:$R,6,0),IF($LB194=100%,VLOOKUP($DS194,'Jan-2026 rates'!$L:$R,7,0),IF($LB194=60%,VLOOKUP($DS194,'Jan-2026 rates'!$L:$S,8,0),IF($LB194=80%,VLOOKUP($DS194,'Jan-2026 rates'!L:T,9,0),0))))))))</f>
        <v>0</v>
      </c>
      <c r="DV194" s="412"/>
      <c r="DW194" s="409"/>
      <c r="DX194" s="411">
        <f>IF(DW194=0,0,IF($LB194=70%,VLOOKUP($DS194,'Jan-2026 rates'!$L:$R,4,0),IF($LB194=65%,VLOOKUP($DS194,'Jan-2026 rates'!$L:$R,4,0),IF($LB194=40%,VLOOKUP($DS194,'Jan-2026 rates'!$L:$R,5,0),IF($LB194=30%,VLOOKUP($DS194,'Jan-2026 rates'!$L:$R,6,0),IF($LB194=100%,VLOOKUP($DS194,'Jan-2026 rates'!$L:$R,7,0),IF($LB194=60%,VLOOKUP($DS194,'Jan-2026 rates'!$L:$S,8,0),IF($LB194=80%,VLOOKUP($DS194,'Jan-2026 rates'!L:T,9,0),0))))))))</f>
        <v>0</v>
      </c>
      <c r="DY194" s="413" t="s">
        <v>1246</v>
      </c>
      <c r="DZ194" s="412" t="s">
        <v>1252</v>
      </c>
      <c r="EA194" s="412" t="s">
        <v>1248</v>
      </c>
      <c r="EB194" s="412"/>
      <c r="EC194" s="412"/>
      <c r="ED194" s="412"/>
      <c r="EE194" s="412"/>
      <c r="EF194" s="412"/>
      <c r="EG194" s="409">
        <v>5</v>
      </c>
      <c r="EH194" s="398">
        <f>IF(EG194=0,0,IF(LEN(DY194)=11,_xlfn.XLOOKUP(DY194,'Dispensed Ink Rates'!C:C,'Dispensed Ink Rates'!CS:CS),VLOOKUP(DY194,'Jan-2026 rates'!$E:$F,2,0)))</f>
        <v>0</v>
      </c>
      <c r="EI194" s="409">
        <v>2</v>
      </c>
      <c r="EJ194" s="398">
        <f>IF(EI194=0,0,IF(LEN(DZ194)=11,_xlfn.XLOOKUP(DZ194,'Dispensed Ink Rates'!C:C,'Dispensed Ink Rates'!CS:CS),VLOOKUP(DZ194,'Jan-2026 rates'!$E:$F,2,0)))</f>
        <v>0</v>
      </c>
      <c r="EK194" s="409">
        <v>4</v>
      </c>
      <c r="EL194" s="398">
        <f>IF(EK194=0,0,IF(LEN(EA194)=11,_xlfn.XLOOKUP(EA194,'Dispensed Ink Rates'!C:C,'Dispensed Ink Rates'!CS:CS),VLOOKUP(EA194,'Jan-2026 rates'!$E:$F,2,0)))</f>
        <v>0</v>
      </c>
      <c r="EM194" s="409"/>
      <c r="EN194" s="398">
        <f>IF(EM194=0,0,IF(LEN(EB194)=11,_xlfn.XLOOKUP(EB194,'Dispensed Ink Rates'!C:C,'Dispensed Ink Rates'!CS:CS),VLOOKUP(EB194,'Jan-2026 rates'!$E:$F,2,0)))</f>
        <v>0</v>
      </c>
      <c r="EO194" s="409"/>
      <c r="EP194" s="398">
        <f>IF(EO194=0,0,IF(LEN(EC194)=11,_xlfn.XLOOKUP(EC194,'Dispensed Ink Rates'!C:C,'Dispensed Ink Rates'!CS:CS),VLOOKUP(EC194,'Jan-2026 rates'!$E:$F,2,0)))</f>
        <v>0</v>
      </c>
      <c r="EQ194" s="409"/>
      <c r="ER194" s="398">
        <f>IF(EQ194=0,0,IF(LEN(ED194)=11,_xlfn.XLOOKUP(ED194,'Dispensed Ink Rates'!C:C,'Dispensed Ink Rates'!CS:CS),VLOOKUP(ED194,'Jan-2026 rates'!$E:$F,2,0)))</f>
        <v>0</v>
      </c>
      <c r="ES194" s="409"/>
      <c r="ET194" s="398">
        <f>IF(ES194=0,0,IF(LEN(EE194)=11,_xlfn.XLOOKUP(EE194,'Dispensed Ink Rates'!C:C,'Dispensed Ink Rates'!CS:CS),VLOOKUP(EE194,'Jan-2026 rates'!$E:$F,2,0)))</f>
        <v>0</v>
      </c>
      <c r="EU194" s="409"/>
      <c r="EV194" s="398">
        <f>IF(EU194=0,0,IF(LEN(EF194)=11,_xlfn.XLOOKUP(EF194,'Dispensed Ink Rates'!C:C,'Dispensed Ink Rates'!CS:CS),VLOOKUP(EF194,'Jan-2026 rates'!$E:$F,2,0)))</f>
        <v>0</v>
      </c>
      <c r="EW194" s="409" t="s">
        <v>1881</v>
      </c>
      <c r="EX194" s="409">
        <f>20+5</f>
        <v>25</v>
      </c>
      <c r="EY194" s="411">
        <f t="shared" si="115"/>
        <v>0</v>
      </c>
      <c r="EZ194" s="411">
        <f t="shared" si="116"/>
        <v>17.855421686746986</v>
      </c>
      <c r="FA194" s="410">
        <f t="shared" si="117"/>
        <v>0</v>
      </c>
      <c r="FB194" s="405" t="s">
        <v>855</v>
      </c>
      <c r="FC194" s="409" t="s">
        <v>3717</v>
      </c>
      <c r="FD194" s="420" t="str">
        <f t="shared" si="134"/>
        <v>ToyoLi - CYAN</v>
      </c>
      <c r="FE194" s="409">
        <v>25</v>
      </c>
      <c r="FF194" s="411">
        <f>IF(FE194=0,0,IF($LB194=70%,VLOOKUP($FD194,'Jan-2026 rates'!$L:$R,4,0),IF($LB194=65%,VLOOKUP($FD194,'Jan-2026 rates'!$L:$R,4,0),IF($LB194=40%,VLOOKUP($FD194,'Jan-2026 rates'!$L:$R,5,0),IF($LB194=30%,VLOOKUP($FD194,'Jan-2026 rates'!$L:$R,6,0),IF($LB194=100%,VLOOKUP($FD194,'Jan-2026 rates'!$L:$R,7,0),IF($LB194=60%,VLOOKUP($FD194,'Jan-2026 rates'!$L:$S,8,0),IF($LB194=80%,VLOOKUP($FD194,'Jan-2026 rates'!L:T,9,0),0))))))))</f>
        <v>0</v>
      </c>
      <c r="FG194" s="412"/>
      <c r="FH194" s="409"/>
      <c r="FI194" s="411">
        <f>IF(FH194=0,0,IF($LB194=70%,VLOOKUP($FD194,'Jan-2026 rates'!$L:$R,4,0),IF($LB194=65%,VLOOKUP($FD194,'Jan-2026 rates'!$L:$R,4,0),IF($LB194=40%,VLOOKUP($FD194,'Jan-2026 rates'!$L:$R,5,0),IF($LB194=30%,VLOOKUP($FD194,'Jan-2026 rates'!$L:$R,6,0),IF($LB194=100%,VLOOKUP($FD194,'Jan-2026 rates'!$L:$R,7,0),IF($LB194=60%,VLOOKUP($FD194,'Jan-2026 rates'!$L:$S,8,0),IF($LB194=80%,VLOOKUP($FD194,'Jan-2026 rates'!L:T,9,0),0))))))))</f>
        <v>0</v>
      </c>
      <c r="FJ194" s="413" t="s">
        <v>1250</v>
      </c>
      <c r="FK194" s="413"/>
      <c r="FL194" s="413"/>
      <c r="FM194" s="412"/>
      <c r="FN194" s="412"/>
      <c r="FO194" s="412"/>
      <c r="FP194" s="412"/>
      <c r="FQ194" s="412"/>
      <c r="FR194" s="409">
        <v>2</v>
      </c>
      <c r="FS194" s="398">
        <f>IF(FR194=0,0,IF(LEN(FJ194)=11,_xlfn.XLOOKUP(FJ194,'Dispensed Ink Rates'!C:C,'Dispensed Ink Rates'!CS:CS),VLOOKUP(FJ194,'Jan-2026 rates'!$E:$F,2,0)))</f>
        <v>0</v>
      </c>
      <c r="FT194" s="409"/>
      <c r="FU194" s="398">
        <f>IF(FT194=0,0,IF(LEN(FK194)=11,_xlfn.XLOOKUP(FK194,'Dispensed Ink Rates'!C:C,'Dispensed Ink Rates'!CS:CS),VLOOKUP(FK194,'Jan-2026 rates'!$E:$F,2,0)))</f>
        <v>0</v>
      </c>
      <c r="FV194" s="409"/>
      <c r="FW194" s="398">
        <f>IF(FV194=0,0,IF(LEN(FL194)=11,_xlfn.XLOOKUP(FL194,'Dispensed Ink Rates'!C:C,'Dispensed Ink Rates'!CS:CS),VLOOKUP(FL194,'Jan-2026 rates'!$E:$F,2,0)))</f>
        <v>0</v>
      </c>
      <c r="FX194" s="409"/>
      <c r="FY194" s="398">
        <f>IF(FX194=0,0,IF(LEN(FM194)=11,_xlfn.XLOOKUP(FM194,'Dispensed Ink Rates'!C:C,'Dispensed Ink Rates'!CS:CS),VLOOKUP(FM194,'Jan-2026 rates'!$E:$F,2,0)))</f>
        <v>0</v>
      </c>
      <c r="FZ194" s="409"/>
      <c r="GA194" s="398">
        <f>IF(FZ194=0,0,IF(LEN(FN194)=11,_xlfn.XLOOKUP(FN194,'Dispensed Ink Rates'!C:C,'Dispensed Ink Rates'!CS:CS),VLOOKUP(FN194,'Jan-2026 rates'!$E:$F,2,0)))</f>
        <v>0</v>
      </c>
      <c r="GB194" s="409"/>
      <c r="GC194" s="398">
        <f>IF(GB194=0,0,IF(LEN(FO194)=11,_xlfn.XLOOKUP(FO194,'Dispensed Ink Rates'!C:C,'Dispensed Ink Rates'!CS:CS),VLOOKUP(FO194,'Jan-2026 rates'!$E:$F,2,0)))</f>
        <v>0</v>
      </c>
      <c r="GD194" s="409"/>
      <c r="GE194" s="398">
        <f>IF(GD194=0,0,IF(LEN(FP194)=11,_xlfn.XLOOKUP(FP194,'Dispensed Ink Rates'!C:C,'Dispensed Ink Rates'!CS:CS),VLOOKUP(FP194,'Jan-2026 rates'!$E:$F,2,0)))</f>
        <v>0</v>
      </c>
      <c r="GF194" s="409"/>
      <c r="GG194" s="398">
        <f>IF(GF194=0,0,IF(LEN(FQ194)=11,_xlfn.XLOOKUP(FQ194,'Dispensed Ink Rates'!C:C,'Dispensed Ink Rates'!CS:CS),VLOOKUP(FQ194,'Jan-2026 rates'!$E:$F,2,0)))</f>
        <v>0</v>
      </c>
      <c r="GH194" s="409" t="s">
        <v>1881</v>
      </c>
      <c r="GI194" s="409">
        <f>13+15</f>
        <v>28</v>
      </c>
      <c r="GJ194" s="411">
        <f t="shared" si="118"/>
        <v>0</v>
      </c>
      <c r="GK194" s="411">
        <f t="shared" si="119"/>
        <v>6.9036144578313241</v>
      </c>
      <c r="GL194" s="410">
        <f t="shared" si="120"/>
        <v>0</v>
      </c>
      <c r="GM194" s="405" t="s">
        <v>544</v>
      </c>
      <c r="GN194" s="409" t="s">
        <v>3718</v>
      </c>
      <c r="GO194" s="420" t="str">
        <f t="shared" si="135"/>
        <v>ToyoLi - MAGENTA</v>
      </c>
      <c r="GP194" s="409">
        <v>26</v>
      </c>
      <c r="GQ194" s="411">
        <f>IF(GP194=0,0,IF($LB194=70%,VLOOKUP($GO194,'Jan-2026 rates'!$L:$R,4,0),IF($LB194=65%,VLOOKUP($GO194,'Jan-2026 rates'!$L:$R,4,0),IF($LB194=40%,VLOOKUP($GO194,'Jan-2026 rates'!$L:$R,5,0),IF($LB194=30%,VLOOKUP($GO194,'Jan-2026 rates'!$L:$R,6,0),IF($LB194=100%,VLOOKUP($GO194,'Jan-2026 rates'!$L:$R,7,0),IF($LB194=60%,VLOOKUP($GO194,'Jan-2026 rates'!$L:$S,8,0),IF($LB194=80%,VLOOKUP($GO194,'Jan-2026 rates'!L:T,9,0),0))))))))</f>
        <v>0</v>
      </c>
      <c r="GR194" s="412"/>
      <c r="GS194" s="409"/>
      <c r="GT194" s="411">
        <f>IF(GS194=0,0,IF($LB194=70%,VLOOKUP($GO194,'Jan-2026 rates'!$L:$R,4,0),IF($LB194=65%,VLOOKUP($GO194,'Jan-2026 rates'!$L:$R,4,0),IF($LB194=40%,VLOOKUP($GO194,'Jan-2026 rates'!$L:$R,5,0),IF($LB194=30%,VLOOKUP($GO194,'Jan-2026 rates'!$L:$R,6,0),IF($LB194=100%,VLOOKUP($GO194,'Jan-2026 rates'!$L:$R,7,0),IF($LB194=60%,VLOOKUP($GO194,'Jan-2026 rates'!$L:$S,8,0),IF($LB194=80%,VLOOKUP($GO194,'Jan-2026 rates'!L:T,9,0),0))))))))</f>
        <v>0</v>
      </c>
      <c r="GU194" s="413" t="s">
        <v>1246</v>
      </c>
      <c r="GV194" s="413" t="s">
        <v>1921</v>
      </c>
      <c r="GW194" s="412"/>
      <c r="GX194" s="412"/>
      <c r="GY194" s="412"/>
      <c r="GZ194" s="412"/>
      <c r="HA194" s="412"/>
      <c r="HB194" s="412"/>
      <c r="HC194" s="409">
        <f>3+4</f>
        <v>7</v>
      </c>
      <c r="HD194" s="398">
        <f>IF(HC194=0,0,IF(LEN(GU194)=11,_xlfn.XLOOKUP(GU194,'Dispensed Ink Rates'!C:C,'Dispensed Ink Rates'!CS:CS),VLOOKUP(GU194,'Jan-2026 rates'!$E:$F,2,0)))</f>
        <v>0</v>
      </c>
      <c r="HE194" s="409">
        <v>5</v>
      </c>
      <c r="HF194" s="398">
        <f>IF(HE194=0,0,IF(LEN(GV194)=11,_xlfn.XLOOKUP(GV194,'Dispensed Ink Rates'!C:C,'Dispensed Ink Rates'!CS:CS),VLOOKUP(GV194,'Jan-2026 rates'!$E:$F,2,0)))</f>
        <v>0</v>
      </c>
      <c r="HG194" s="409"/>
      <c r="HH194" s="398">
        <f>IF(HG194=0,0,IF(LEN(GW194)=11,_xlfn.XLOOKUP(GW194,'Dispensed Ink Rates'!C:C,'Dispensed Ink Rates'!CS:CS),VLOOKUP(GW194,'Jan-2026 rates'!$E:$F,2,0)))</f>
        <v>0</v>
      </c>
      <c r="HI194" s="409"/>
      <c r="HJ194" s="398">
        <f>IF(HI194=0,0,IF(LEN(GX194)=11,_xlfn.XLOOKUP(GX194,'Dispensed Ink Rates'!C:C,'Dispensed Ink Rates'!CS:CS),VLOOKUP(GX194,'Jan-2026 rates'!$E:$F,2,0)))</f>
        <v>0</v>
      </c>
      <c r="HK194" s="409"/>
      <c r="HL194" s="398">
        <f>IF(HK194=0,0,IF(LEN(GY194)=11,_xlfn.XLOOKUP(GY194,'Dispensed Ink Rates'!C:C,'Dispensed Ink Rates'!CS:CS),VLOOKUP(GY194,'Jan-2026 rates'!$E:$F,2,0)))</f>
        <v>0</v>
      </c>
      <c r="HM194" s="409"/>
      <c r="HN194" s="398">
        <f>IF(HM194=0,0,IF(LEN(GZ194)=11,_xlfn.XLOOKUP(GZ194,'Dispensed Ink Rates'!C:C,'Dispensed Ink Rates'!CS:CS),VLOOKUP(GZ194,'Jan-2026 rates'!$E:$F,2,0)))</f>
        <v>0</v>
      </c>
      <c r="HO194" s="409"/>
      <c r="HP194" s="398">
        <f>IF(HO194=0,0,IF(LEN(HA194)=11,_xlfn.XLOOKUP(HA194,'Dispensed Ink Rates'!C:C,'Dispensed Ink Rates'!CS:CS),VLOOKUP(HA194,'Jan-2026 rates'!$E:$F,2,0)))</f>
        <v>0</v>
      </c>
      <c r="HQ194" s="409"/>
      <c r="HR194" s="398">
        <f>IF(HQ194=0,0,IF(LEN(HB194)=11,_xlfn.XLOOKUP(HB194,'Dispensed Ink Rates'!C:C,'Dispensed Ink Rates'!CS:CS),VLOOKUP(HB194,'Jan-2026 rates'!$E:$F,2,0)))</f>
        <v>0</v>
      </c>
      <c r="HS194" s="409" t="s">
        <v>1881</v>
      </c>
      <c r="HT194" s="409">
        <f>20+20</f>
        <v>40</v>
      </c>
      <c r="HU194" s="411">
        <f t="shared" si="121"/>
        <v>0</v>
      </c>
      <c r="HV194" s="411">
        <f t="shared" si="122"/>
        <v>7.8795180722891587</v>
      </c>
      <c r="HW194" s="414">
        <f t="shared" si="123"/>
        <v>0</v>
      </c>
      <c r="HX194" s="405" t="s">
        <v>545</v>
      </c>
      <c r="HY194" s="409" t="s">
        <v>3719</v>
      </c>
      <c r="HZ194" s="420" t="str">
        <f t="shared" si="136"/>
        <v>ToyoLi - YELLOW</v>
      </c>
      <c r="IA194" s="409">
        <v>25</v>
      </c>
      <c r="IB194" s="411">
        <f>IF(IA194=0,0,IF($LB194=70%,VLOOKUP($HZ194,'Jan-2026 rates'!$L:$R,4,0),IF($LB194=65%,VLOOKUP($HZ194,'Jan-2026 rates'!$L:$R,4,0),IF($LB194=40%,VLOOKUP($HZ194,'Jan-2026 rates'!$L:$R,5,0),IF($LB194=30%,VLOOKUP($HZ194,'Jan-2026 rates'!$L:$R,6,0),IF($LB194=100%,VLOOKUP($HZ194,'Jan-2026 rates'!$L:$R,7,0),IF($LB194=60%,VLOOKUP($HZ194,'Jan-2026 rates'!$L:$S,8,0),IF($LB194=80%,VLOOKUP($HZ194,'Jan-2026 rates'!L:T,9,0),0))))))))</f>
        <v>0</v>
      </c>
      <c r="IC194" s="412"/>
      <c r="ID194" s="409"/>
      <c r="IE194" s="411">
        <f>IF(ID194=0,0,IF($LB194=70%,VLOOKUP($HZ194,'Jan-2026 rates'!$L:$R,4,0),IF($LB194=65%,VLOOKUP($HZ194,'Jan-2026 rates'!$L:$R,4,0),IF($LB194=40%,VLOOKUP($HZ194,'Jan-2026 rates'!$L:$R,5,0),IF($LB194=30%,VLOOKUP($HZ194,'Jan-2026 rates'!$L:$R,6,0),IF($LB194=100%,VLOOKUP($HZ194,'Jan-2026 rates'!$L:$R,7,0),IF($LB194=60%,VLOOKUP($HZ194,'Jan-2026 rates'!$L:$S,8,0),IF($LB194=80%,VLOOKUP($HZ194,'Jan-2026 rates'!L:T,9,0),0))))))))</f>
        <v>0</v>
      </c>
      <c r="IF194" s="412" t="s">
        <v>1247</v>
      </c>
      <c r="IG194" s="413" t="s">
        <v>1921</v>
      </c>
      <c r="IH194" s="412"/>
      <c r="II194" s="412"/>
      <c r="IJ194" s="412"/>
      <c r="IK194" s="412"/>
      <c r="IL194" s="412"/>
      <c r="IM194" s="412"/>
      <c r="IN194" s="409">
        <v>10</v>
      </c>
      <c r="IO194" s="398">
        <f>IF(IN194=0,0,IF(LEN(IF194)=11,_xlfn.XLOOKUP(IF194,'Dispensed Ink Rates'!C:C,'Dispensed Ink Rates'!CS:CS),VLOOKUP(IF194,'Jan-2026 rates'!$E:$F,2,0)))</f>
        <v>0</v>
      </c>
      <c r="IP194" s="409">
        <v>5</v>
      </c>
      <c r="IQ194" s="398">
        <f>IF(IP194=0,0,IF(LEN(IG194)=11,_xlfn.XLOOKUP(IG194,'Dispensed Ink Rates'!C:C,'Dispensed Ink Rates'!CS:CS),VLOOKUP(IG194,'Jan-2026 rates'!$E:$F,2,0)))</f>
        <v>0</v>
      </c>
      <c r="IR194" s="409"/>
      <c r="IS194" s="398">
        <f>IF(IR194=0,0,IF(LEN(IH194)=11,_xlfn.XLOOKUP(IH194,'Dispensed Ink Rates'!C:C,'Dispensed Ink Rates'!CS:CS),VLOOKUP(IH194,'Jan-2026 rates'!$E:$F,2,0)))</f>
        <v>0</v>
      </c>
      <c r="IT194" s="409"/>
      <c r="IU194" s="398">
        <f>IF(IT194=0,0,IF(LEN(II194)=11,_xlfn.XLOOKUP(II194,'Dispensed Ink Rates'!C:C,'Dispensed Ink Rates'!CS:CS),VLOOKUP(II194,'Jan-2026 rates'!$E:$F,2,0)))</f>
        <v>0</v>
      </c>
      <c r="IV194" s="409"/>
      <c r="IW194" s="398">
        <f>IF(IV194=0,0,IF(LEN(IJ194)=11,_xlfn.XLOOKUP(IJ194,'Dispensed Ink Rates'!C:C,'Dispensed Ink Rates'!CS:CS),VLOOKUP(IJ194,'Jan-2026 rates'!$E:$F,2,0)))</f>
        <v>0</v>
      </c>
      <c r="IX194" s="409"/>
      <c r="IY194" s="398">
        <f>IF(IX194=0,0,IF(LEN(IK194)=11,_xlfn.XLOOKUP(IK194,'Dispensed Ink Rates'!C:C,'Dispensed Ink Rates'!CS:CS),VLOOKUP(IK194,'Jan-2026 rates'!$E:$F,2,0)))</f>
        <v>0</v>
      </c>
      <c r="IZ194" s="409"/>
      <c r="JA194" s="398">
        <f>IF(IZ194=0,0,IF(LEN(IL194)=11,_xlfn.XLOOKUP(IL194,'Dispensed Ink Rates'!C:C,'Dispensed Ink Rates'!CS:CS),VLOOKUP(IL194,'Jan-2026 rates'!$E:$F,2,0)))</f>
        <v>0</v>
      </c>
      <c r="JB194" s="409"/>
      <c r="JC194" s="398">
        <f>IF(JB194=0,0,IF(LEN(IM194)=11,_xlfn.XLOOKUP(IM194,'Dispensed Ink Rates'!C:C,'Dispensed Ink Rates'!CS:CS),VLOOKUP(IM194,'Jan-2026 rates'!$E:$F,2,0)))</f>
        <v>0</v>
      </c>
      <c r="JD194" s="409" t="s">
        <v>1881</v>
      </c>
      <c r="JE194" s="409">
        <f>12+13</f>
        <v>25</v>
      </c>
      <c r="JF194" s="411">
        <f t="shared" si="124"/>
        <v>0</v>
      </c>
      <c r="JG194" s="411">
        <f t="shared" si="125"/>
        <v>34.759036144578317</v>
      </c>
      <c r="JH194" s="410">
        <f t="shared" si="126"/>
        <v>0</v>
      </c>
      <c r="JI194" s="405" t="s">
        <v>856</v>
      </c>
      <c r="JJ194" s="409" t="s">
        <v>3720</v>
      </c>
      <c r="JK194" s="420" t="str">
        <f t="shared" si="137"/>
        <v>ToyoLi - WHITE</v>
      </c>
      <c r="JL194" s="409">
        <v>30</v>
      </c>
      <c r="JM194" s="411">
        <f>IF(JL194=0,0,IF($LB194=70%,VLOOKUP($JK194,'Jan-2026 rates'!$L:$R,4,0),IF($LB194=65%,VLOOKUP($JK194,'Jan-2026 rates'!$L:$R,4,0),IF($LB194=40%,VLOOKUP($JK194,'Jan-2026 rates'!$L:$R,5,0),IF($LB194=30%,VLOOKUP($JK194,'Jan-2026 rates'!$L:$R,6,0),IF($LB194=100%,VLOOKUP($JK194,'Jan-2026 rates'!$L:$R,7,0),IF($LB194=60%,VLOOKUP($JK194,'Jan-2026 rates'!$L:$S,8,0),IF($LB194=80%,VLOOKUP($JK194,'Jan-2026 rates'!L:T,9,0),0))))))))</f>
        <v>0</v>
      </c>
      <c r="JN194" s="412"/>
      <c r="JO194" s="409"/>
      <c r="JP194" s="411">
        <f>IF(JO194=0,0,IF($LB194=70%,VLOOKUP($JK194,'Jan-2026 rates'!$L:$R,4,0),IF($LB194=65%,VLOOKUP($JK194,'Jan-2026 rates'!$L:$R,4,0),IF($LB194=40%,VLOOKUP($JK194,'Jan-2026 rates'!$L:$R,5,0),IF($LB194=30%,VLOOKUP($JK194,'Jan-2026 rates'!$L:$R,6,0),IF($LB194=100%,VLOOKUP($JK194,'Jan-2026 rates'!$L:$R,7,0),IF($LB194=60%,VLOOKUP($JK194,'Jan-2026 rates'!$L:$S,8,0),IF($LB194=80%,VLOOKUP($JK194,'Jan-2026 rates'!L:T,9,0),0))))))))</f>
        <v>0</v>
      </c>
      <c r="JQ194" s="413" t="s">
        <v>1249</v>
      </c>
      <c r="JR194" s="412"/>
      <c r="JS194" s="413"/>
      <c r="JT194" s="413"/>
      <c r="JU194" s="412"/>
      <c r="JV194" s="412"/>
      <c r="JW194" s="412"/>
      <c r="JX194" s="412"/>
      <c r="JY194" s="409">
        <v>75</v>
      </c>
      <c r="JZ194" s="398">
        <f>IF(JY194=0,0,IF(LEN(JQ194)=11,_xlfn.XLOOKUP(JQ194,'Dispensed Ink Rates'!C:C,'Dispensed Ink Rates'!CS:CS),VLOOKUP(JQ194,'Jan-2026 rates'!$E:$F,2,0)))</f>
        <v>0</v>
      </c>
      <c r="KA194" s="409"/>
      <c r="KB194" s="398">
        <f>IF(KA194=0,0,IF(LEN(JR194)=11,_xlfn.XLOOKUP(JR194,'Dispensed Ink Rates'!C:C,'Dispensed Ink Rates'!CS:CS),VLOOKUP(JR194,'Jan-2026 rates'!$E:$F,2,0)))</f>
        <v>0</v>
      </c>
      <c r="KC194" s="409"/>
      <c r="KD194" s="398">
        <f>IF(KC194=0,0,IF(LEN(JS194)=11,_xlfn.XLOOKUP(JS194,'Dispensed Ink Rates'!C:C,'Dispensed Ink Rates'!CS:CS),VLOOKUP(JS194,'Jan-2026 rates'!$E:$F,2,0)))</f>
        <v>0</v>
      </c>
      <c r="KE194" s="409"/>
      <c r="KF194" s="398">
        <f>IF(KE194=0,0,IF(LEN(JT194)=11,_xlfn.XLOOKUP(JT194,'Dispensed Ink Rates'!C:C,'Dispensed Ink Rates'!CS:CS),VLOOKUP(JT194,'Jan-2026 rates'!$E:$F,2,0)))</f>
        <v>0</v>
      </c>
      <c r="KG194" s="409"/>
      <c r="KH194" s="398">
        <f>IF(KG194=0,0,IF(LEN(JU194)=11,_xlfn.XLOOKUP(JU194,'Dispensed Ink Rates'!C:C,'Dispensed Ink Rates'!CS:CS),VLOOKUP(JU194,'Jan-2026 rates'!$E:$F,2,0)))</f>
        <v>0</v>
      </c>
      <c r="KI194" s="409"/>
      <c r="KJ194" s="398">
        <f>IF(KI194=0,0,IF(LEN(JV194)=11,_xlfn.XLOOKUP(JV194,'Dispensed Ink Rates'!C:C,'Dispensed Ink Rates'!CS:CS),VLOOKUP(JV194,'Jan-2026 rates'!$E:$F,2,0)))</f>
        <v>0</v>
      </c>
      <c r="KK194" s="409"/>
      <c r="KL194" s="398">
        <f>IF(KK194=0,0,IF(LEN(JW194)=11,_xlfn.XLOOKUP(JW194,'Dispensed Ink Rates'!C:C,'Dispensed Ink Rates'!CS:CS),VLOOKUP(JW194,'Jan-2026 rates'!$E:$F,2,0)))</f>
        <v>0</v>
      </c>
      <c r="KM194" s="428"/>
      <c r="KN194" s="398">
        <f>IF(KM194=0,0,IF(LEN(JX194)=11,_xlfn.XLOOKUP(JX194,'Dispensed Ink Rates'!C:C,'Dispensed Ink Rates'!CS:CS),VLOOKUP(JX194,'Jan-2026 rates'!$E:$F,2,0)))</f>
        <v>0</v>
      </c>
      <c r="KO194" s="409" t="s">
        <v>1881</v>
      </c>
      <c r="KP194" s="409">
        <v>35</v>
      </c>
      <c r="KQ194" s="411">
        <f t="shared" si="127"/>
        <v>0</v>
      </c>
      <c r="KR194" s="411">
        <f t="shared" si="128"/>
        <v>139.15662650602411</v>
      </c>
      <c r="KS194" s="410">
        <f t="shared" si="129"/>
        <v>0</v>
      </c>
      <c r="KT194" s="409">
        <v>2</v>
      </c>
      <c r="KU194" s="409">
        <f>2+4</f>
        <v>6</v>
      </c>
      <c r="KV194" s="409">
        <v>15</v>
      </c>
      <c r="KW194" s="409">
        <v>6</v>
      </c>
      <c r="KX194" s="409">
        <v>4</v>
      </c>
      <c r="KY194" s="409">
        <v>5</v>
      </c>
      <c r="KZ194" s="409">
        <v>10</v>
      </c>
      <c r="LA194" s="409">
        <v>35</v>
      </c>
      <c r="LB194" s="415">
        <v>0.3</v>
      </c>
      <c r="LC194" s="415"/>
      <c r="LD194" s="415"/>
      <c r="LE194" s="415">
        <v>0.5</v>
      </c>
      <c r="LF194" s="415">
        <v>0.2</v>
      </c>
      <c r="LG194" s="409">
        <v>0</v>
      </c>
      <c r="LH194" s="409">
        <f>45+40+21+35+5+4+14</f>
        <v>164</v>
      </c>
      <c r="LI194" s="409">
        <v>0</v>
      </c>
      <c r="LJ194" s="409">
        <v>0</v>
      </c>
      <c r="LK194" s="416">
        <f t="shared" si="138"/>
        <v>164</v>
      </c>
      <c r="LL194" s="416">
        <f t="shared" si="139"/>
        <v>164</v>
      </c>
      <c r="LM194" s="417">
        <f t="shared" si="140"/>
        <v>49.199999999999996</v>
      </c>
      <c r="LN194" s="417">
        <f>VLOOKUP($LM$8,'Jan-2026 rates'!$H:$I,2,0)</f>
        <v>0</v>
      </c>
      <c r="LO194" s="417">
        <f t="shared" si="141"/>
        <v>0</v>
      </c>
      <c r="LP194" s="417">
        <f>VLOOKUP($LO$8,'Jan-2026 rates'!$H:$I,2,0)</f>
        <v>0</v>
      </c>
      <c r="LQ194" s="417">
        <f t="shared" si="142"/>
        <v>0</v>
      </c>
      <c r="LR194" s="417">
        <f>VLOOKUP($LQ$8,'Jan-2026 rates'!$H:$I,2,0)</f>
        <v>0</v>
      </c>
      <c r="LS194" s="417">
        <f t="shared" si="143"/>
        <v>82</v>
      </c>
      <c r="LT194" s="417">
        <f>VLOOKUP($LS$8,'Jan-2026 rates'!$H:$I,2,0)</f>
        <v>0</v>
      </c>
      <c r="LU194" s="417">
        <f t="shared" si="144"/>
        <v>32.800000000000004</v>
      </c>
      <c r="LV194" s="417">
        <f>VLOOKUP($LU$8,'Jan-2026 rates'!$H:$I,2,0)</f>
        <v>0</v>
      </c>
      <c r="LW194" s="417">
        <f t="shared" si="145"/>
        <v>0</v>
      </c>
      <c r="LX194" s="417">
        <f t="shared" si="146"/>
        <v>0</v>
      </c>
      <c r="LY194" s="418">
        <f t="shared" si="147"/>
        <v>0</v>
      </c>
      <c r="LZ194" s="417"/>
      <c r="MA194" s="435">
        <f t="shared" si="148"/>
        <v>195</v>
      </c>
      <c r="MB194" s="282">
        <f t="shared" si="149"/>
        <v>310</v>
      </c>
      <c r="MC194" s="283" t="s">
        <v>2029</v>
      </c>
      <c r="MD194" s="284" t="str">
        <f t="shared" si="150"/>
        <v>ToyoLiToyoLiToyoLiToyoLiToyoLiToyoLiToyoLiToyoLi</v>
      </c>
      <c r="ME194" s="293" t="str">
        <f t="shared" si="151"/>
        <v>+</v>
      </c>
      <c r="MF194" s="293" t="str">
        <f t="shared" si="152"/>
        <v>+</v>
      </c>
      <c r="MG194" s="293" t="str">
        <f t="shared" si="153"/>
        <v>+</v>
      </c>
      <c r="MH194" s="293" t="str">
        <f t="shared" si="154"/>
        <v>+</v>
      </c>
      <c r="MI194" s="293" t="str">
        <f t="shared" si="155"/>
        <v>+</v>
      </c>
      <c r="MJ194" s="293" t="str">
        <f t="shared" si="156"/>
        <v>+</v>
      </c>
      <c r="MK194" s="293" t="str">
        <f t="shared" si="157"/>
        <v>+</v>
      </c>
      <c r="ML194" s="293" t="str">
        <f t="shared" si="158"/>
        <v>+</v>
      </c>
      <c r="MM194" s="3" t="b">
        <f t="array" ref="MM194">OR(ME194:ML194="-")</f>
        <v>0</v>
      </c>
      <c r="MN194" s="285"/>
      <c r="MO194" s="401"/>
      <c r="MP194" s="286"/>
      <c r="MQ194" s="286"/>
      <c r="MR194" s="402"/>
      <c r="MS194" s="400"/>
      <c r="NH194" s="422"/>
      <c r="NJ194" s="421"/>
    </row>
    <row r="195" spans="1:374" s="1" customFormat="1" ht="16.5">
      <c r="A195" s="403">
        <v>46038</v>
      </c>
      <c r="B195" s="404" t="s">
        <v>1018</v>
      </c>
      <c r="C195" s="405" t="s">
        <v>3721</v>
      </c>
      <c r="D195" s="406" t="s">
        <v>2030</v>
      </c>
      <c r="E195" s="404">
        <v>460</v>
      </c>
      <c r="F195" s="407">
        <v>29000</v>
      </c>
      <c r="G195" s="407" t="s">
        <v>1016</v>
      </c>
      <c r="H195" s="408" t="s">
        <v>1017</v>
      </c>
      <c r="I195" s="409">
        <v>1.69</v>
      </c>
      <c r="J195" s="405" t="s">
        <v>543</v>
      </c>
      <c r="K195" s="404" t="s">
        <v>2740</v>
      </c>
      <c r="L195" s="419" t="str">
        <f t="shared" si="131"/>
        <v>ToyoLi - BLACK</v>
      </c>
      <c r="M195" s="404">
        <v>18</v>
      </c>
      <c r="N195" s="410">
        <f>IF(M195=0,0,IF($LB195=70%,VLOOKUP($L195,'Jan-2026 rates'!$L:$R,4,0),IF($LB195=65%,VLOOKUP($L195,'Jan-2026 rates'!$L:$R,4,0),IF($LB195=40%,VLOOKUP($L195,'Jan-2026 rates'!$L:$R,5,0),IF($LB195=30%,VLOOKUP($L195,'Jan-2026 rates'!$L:$R,6,0),IF($LB195=100%,VLOOKUP($L195,'Jan-2026 rates'!$L:$R,7,0),IF($LB195=60%,VLOOKUP($L195,'Jan-2026 rates'!$L:$S,8,0),IF($LB195=80%,VLOOKUP($L195,'Jan-2026 rates'!L:T,9,0),0))))))))</f>
        <v>0</v>
      </c>
      <c r="O195" s="406" t="s">
        <v>3722</v>
      </c>
      <c r="P195" s="404">
        <v>18</v>
      </c>
      <c r="Q195" s="410">
        <f>IF(P195=0,0,IF($LB195=70%,VLOOKUP($L195,'Jan-2026 rates'!$L:$R,4,0),IF($LB195=65%,VLOOKUP($L195,'Jan-2026 rates'!$L:$R,4,0),IF($LB195=40%,VLOOKUP($L195,'Jan-2026 rates'!$L:$R,5,0),IF($LB195=30%,VLOOKUP($L195,'Jan-2026 rates'!$L:$R,6,0),IF($LB195=100%,VLOOKUP($L195,'Jan-2026 rates'!$L:$R,7,0),IF($LB195=60%,VLOOKUP($L195,'Jan-2026 rates'!$L:$S,8,0),IF($LB195=80%,VLOOKUP($L195,'Jan-2026 rates'!L:T,9,0),0))))))))</f>
        <v>0</v>
      </c>
      <c r="R195" s="406" t="s">
        <v>1252</v>
      </c>
      <c r="S195" s="406"/>
      <c r="T195" s="406"/>
      <c r="U195" s="406"/>
      <c r="V195" s="406"/>
      <c r="W195" s="406"/>
      <c r="X195" s="406"/>
      <c r="Y195" s="406"/>
      <c r="Z195" s="404">
        <v>13</v>
      </c>
      <c r="AA195" s="398">
        <f>IF(Z195=0,0,IF(LEN(R195)=11,_xlfn.XLOOKUP(R195,'Dispensed Ink Rates'!C:C,'Dispensed Ink Rates'!CS:CS),VLOOKUP(R195,'Jan-2026 rates'!$E:$F,2,0)))</f>
        <v>0</v>
      </c>
      <c r="AB195" s="404"/>
      <c r="AC195" s="398">
        <f>IF(AB195=0,0,IF(LEN(S195)=11,_xlfn.XLOOKUP(S195,'Dispensed Ink Rates'!C:C,'Dispensed Ink Rates'!CS:CS),VLOOKUP(S195,'Jan-2026 rates'!$E:$F,2,0)))</f>
        <v>0</v>
      </c>
      <c r="AD195" s="404"/>
      <c r="AE195" s="398">
        <f>IF(AD195=0,0,IF(LEN(T195)=11,_xlfn.XLOOKUP(T195,'Dispensed Ink Rates'!C:C,'Dispensed Ink Rates'!CS:CS),VLOOKUP(T195,'Jan-2026 rates'!$E:$F,2,0)))</f>
        <v>0</v>
      </c>
      <c r="AF195" s="404"/>
      <c r="AG195" s="398">
        <f>IF(AF195=0,0,IF(LEN(U195)=11,_xlfn.XLOOKUP(U195,'Dispensed Ink Rates'!C:C,'Dispensed Ink Rates'!CS:CS),VLOOKUP(U195,'Jan-2026 rates'!$E:$F,2,0)))</f>
        <v>0</v>
      </c>
      <c r="AH195" s="404"/>
      <c r="AI195" s="398">
        <f>IF(AH195=0,0,IF(LEN(V195)=11,_xlfn.XLOOKUP(V195,'Dispensed Ink Rates'!C:C,'Dispensed Ink Rates'!CS:CS),VLOOKUP(V195,'Jan-2026 rates'!$E:$F,2,0)))</f>
        <v>0</v>
      </c>
      <c r="AJ195" s="404"/>
      <c r="AK195" s="398">
        <f>IF(AJ195=0,0,IF(LEN(W195)=11,_xlfn.XLOOKUP(W195,'Dispensed Ink Rates'!C:C,'Dispensed Ink Rates'!CS:CS),VLOOKUP(W195,'Jan-2026 rates'!$E:$F,2,0)))</f>
        <v>0</v>
      </c>
      <c r="AL195" s="404"/>
      <c r="AM195" s="398">
        <f>IF(AL195=0,0,IF(LEN(X195)=11,_xlfn.XLOOKUP(X195,'Dispensed Ink Rates'!C:C,'Dispensed Ink Rates'!CS:CS),VLOOKUP(X195,'Jan-2026 rates'!$E:$F,2,0)))</f>
        <v>0</v>
      </c>
      <c r="AN195" s="404"/>
      <c r="AO195" s="398">
        <f>IF(AN195=0,0,IF(LEN(Y195)=11,_xlfn.XLOOKUP(Y195,'Dispensed Ink Rates'!C:C,'Dispensed Ink Rates'!CS:CS),VLOOKUP(Y195,'Jan-2026 rates'!$E:$F,2,0)))</f>
        <v>0</v>
      </c>
      <c r="AP195" s="409" t="s">
        <v>1881</v>
      </c>
      <c r="AQ195" s="409">
        <v>30</v>
      </c>
      <c r="AR195" s="410">
        <f t="shared" si="106"/>
        <v>0</v>
      </c>
      <c r="AS195" s="411">
        <f t="shared" si="107"/>
        <v>24.111111111111114</v>
      </c>
      <c r="AT195" s="410">
        <f t="shared" si="108"/>
        <v>0</v>
      </c>
      <c r="AU195" s="405" t="s">
        <v>543</v>
      </c>
      <c r="AV195" s="409" t="s">
        <v>3723</v>
      </c>
      <c r="AW195" s="420" t="str">
        <f t="shared" si="130"/>
        <v>ToyoLi - BLACK</v>
      </c>
      <c r="AX195" s="409">
        <f>20+20</f>
        <v>40</v>
      </c>
      <c r="AY195" s="411">
        <f>IF(AX195=0,0,IF($LB195=70%,VLOOKUP($AW195,'Jan-2026 rates'!$L:$R,4,0),IF($LB195=65%,VLOOKUP($AW195,'Jan-2026 rates'!$L:$R,4,0),IF($LB195=40%,VLOOKUP($AW195,'Jan-2026 rates'!$L:$R,5,0),IF($LB195=30%,VLOOKUP($AW195,'Jan-2026 rates'!$L:$R,6,0),IF($LB195=100%,VLOOKUP($AW195,'Jan-2026 rates'!$L:$R,7,0),IF($LB195=60%,VLOOKUP($AW195,'Jan-2026 rates'!$L:$S,8,0),IF($LB195=80%,VLOOKUP($AW195,'Jan-2026 rates'!L:T,9,0),0))))))))</f>
        <v>0</v>
      </c>
      <c r="AZ195" s="412" t="s">
        <v>3724</v>
      </c>
      <c r="BA195" s="409">
        <f>20+15</f>
        <v>35</v>
      </c>
      <c r="BB195" s="411">
        <f>IF(BA195=0,0,IF($LB195=70%,VLOOKUP($AW195,'Jan-2026 rates'!$L:$R,4,0),IF($LB195=65%,VLOOKUP($AW195,'Jan-2026 rates'!$L:$R,4,0),IF($LB195=40%,VLOOKUP($AW195,'Jan-2026 rates'!$L:$R,5,0),IF($LB195=30%,VLOOKUP($AW195,'Jan-2026 rates'!$L:$R,6,0),IF($LB195=100%,VLOOKUP($AW195,'Jan-2026 rates'!$L:$R,7,0),IF($LB195=60%,VLOOKUP($AW195,'Jan-2026 rates'!$L:$S,8,0),IF($LB195=80%,VLOOKUP($AW195,'Jan-2026 rates'!L:T,9,0),0))))))))</f>
        <v>0</v>
      </c>
      <c r="BC195" s="413" t="s">
        <v>1252</v>
      </c>
      <c r="BD195" s="412"/>
      <c r="BE195" s="412"/>
      <c r="BF195" s="413"/>
      <c r="BG195" s="412"/>
      <c r="BH195" s="412"/>
      <c r="BI195" s="412"/>
      <c r="BJ195" s="412"/>
      <c r="BK195" s="409">
        <v>5</v>
      </c>
      <c r="BL195" s="398">
        <f>IF(BK195=0,0,IF(LEN(BC195)=11,_xlfn.XLOOKUP(BC195,'Dispensed Ink Rates'!C:C,'Dispensed Ink Rates'!CS:CS),VLOOKUP(BC195,'Jan-2026 rates'!$E:$F,2,0)))</f>
        <v>0</v>
      </c>
      <c r="BM195" s="409"/>
      <c r="BN195" s="398">
        <f>IF(BM195=0,0,IF(LEN(BD195)=11,_xlfn.XLOOKUP(BD195,'Dispensed Ink Rates'!C:C,'Dispensed Ink Rates'!CS:CS),VLOOKUP(BD195,'Jan-2026 rates'!$E:$F,2,0)))</f>
        <v>0</v>
      </c>
      <c r="BO195" s="409"/>
      <c r="BP195" s="398">
        <f>IF(BO195=0,0,IF(LEN(BE195)=11,_xlfn.XLOOKUP(BE195,'Dispensed Ink Rates'!C:C,'Dispensed Ink Rates'!CS:CS),VLOOKUP(BE195,'Jan-2026 rates'!$E:$F,2,0)))</f>
        <v>0</v>
      </c>
      <c r="BQ195" s="409"/>
      <c r="BR195" s="398">
        <f>IF(BQ195=0,0,IF(LEN(BF195)=11,_xlfn.XLOOKUP(BF195,'Dispensed Ink Rates'!C:C,'Dispensed Ink Rates'!CS:CS),VLOOKUP(BF195,'Jan-2026 rates'!$E:$F,2,0)))</f>
        <v>0</v>
      </c>
      <c r="BS195" s="409"/>
      <c r="BT195" s="398">
        <f>IF(BS195=0,0,IF(LEN(BG195)=11,_xlfn.XLOOKUP(BG195,'Dispensed Ink Rates'!C:C,'Dispensed Ink Rates'!CS:CS),VLOOKUP(BG195,'Jan-2026 rates'!$E:$F,2,0)))</f>
        <v>0</v>
      </c>
      <c r="BU195" s="409"/>
      <c r="BV195" s="398">
        <f>IF(BU195=0,0,IF(LEN(BH195)=11,_xlfn.XLOOKUP(BH195,'Dispensed Ink Rates'!C:C,'Dispensed Ink Rates'!CS:CS),VLOOKUP(BH195,'Jan-2026 rates'!$E:$F,2,0)))</f>
        <v>0</v>
      </c>
      <c r="BW195" s="409"/>
      <c r="BX195" s="398">
        <f>IF(BW195=0,0,IF(LEN(BI195)=11,_xlfn.XLOOKUP(BI195,'Dispensed Ink Rates'!C:C,'Dispensed Ink Rates'!CS:CS),VLOOKUP(BI195,'Jan-2026 rates'!$E:$F,2,0)))</f>
        <v>0</v>
      </c>
      <c r="BY195" s="409"/>
      <c r="BZ195" s="398">
        <f>IF(BY195=0,0,IF(LEN(BJ195)=11,_xlfn.XLOOKUP(BJ195,'Dispensed Ink Rates'!C:C,'Dispensed Ink Rates'!CS:CS),VLOOKUP(BJ195,'Jan-2026 rates'!$E:$F,2,0)))</f>
        <v>0</v>
      </c>
      <c r="CA195" s="409" t="s">
        <v>1881</v>
      </c>
      <c r="CB195" s="409">
        <v>18</v>
      </c>
      <c r="CC195" s="411">
        <f t="shared" si="109"/>
        <v>0</v>
      </c>
      <c r="CD195" s="411">
        <f t="shared" si="110"/>
        <v>74.777777777777771</v>
      </c>
      <c r="CE195" s="410">
        <f t="shared" si="111"/>
        <v>0</v>
      </c>
      <c r="CF195" s="404" t="s">
        <v>829</v>
      </c>
      <c r="CG195" s="409" t="s">
        <v>3725</v>
      </c>
      <c r="CH195" s="420" t="str">
        <f t="shared" si="132"/>
        <v>ToyoLi - MEDIUM</v>
      </c>
      <c r="CI195" s="409">
        <v>11</v>
      </c>
      <c r="CJ195" s="411">
        <f>IF(CI195=0,0,IF($LB195=70%,VLOOKUP($CH195,'Jan-2026 rates'!$L:$R,4,0),IF($LB195=65%,VLOOKUP($CH195,'Jan-2026 rates'!$L:$R,4,0),IF($LB195=40%,VLOOKUP($CH195,'Jan-2026 rates'!$L:$R,5,0),IF($LB195=30%,VLOOKUP($CH195,'Jan-2026 rates'!$L:$R,6,0),IF($LB195=100%,VLOOKUP($CH195,'Jan-2026 rates'!$L:$R,7,0),IF($LB195=60%,VLOOKUP($CH195,'Jan-2026 rates'!$L:$S,8,0),IF($LB195=80%,VLOOKUP($CH195,'Jan-2026 rates'!L:T,9,0),0))))))))</f>
        <v>0</v>
      </c>
      <c r="CK195" s="412" t="s">
        <v>3525</v>
      </c>
      <c r="CL195" s="409">
        <v>13</v>
      </c>
      <c r="CM195" s="411">
        <f>IF(CL195=0,0,IF($LB195=70%,VLOOKUP($CH195,'Jan-2026 rates'!$L:$R,4,0),IF($LB195=65%,VLOOKUP($CH195,'Jan-2026 rates'!$L:$R,4,0),IF($LB195=40%,VLOOKUP($CH195,'Jan-2026 rates'!$L:$R,5,0),IF($LB195=30%,VLOOKUP($CH195,'Jan-2026 rates'!$L:$R,6,0),IF($LB195=100%,VLOOKUP($CH195,'Jan-2026 rates'!$L:$R,7,0),IF($LB195=60%,VLOOKUP($CH195,'Jan-2026 rates'!$L:$S,8,0),IF($LB195=80%,VLOOKUP($CH195,'Jan-2026 rates'!L:T,9,0),0))))))))</f>
        <v>0</v>
      </c>
      <c r="CN195" s="426" t="s">
        <v>1921</v>
      </c>
      <c r="CO195" s="427"/>
      <c r="CP195" s="426"/>
      <c r="CQ195" s="426"/>
      <c r="CR195" s="428"/>
      <c r="CS195" s="428"/>
      <c r="CT195" s="428"/>
      <c r="CU195" s="428"/>
      <c r="CV195" s="409">
        <v>4</v>
      </c>
      <c r="CW195" s="398">
        <f>IF(CV195=0,0,IF(LEN(CN195)=11,_xlfn.XLOOKUP(CN195,'Dispensed Ink Rates'!C:C,'Dispensed Ink Rates'!CS:CS),VLOOKUP(CN195,'Jan-2026 rates'!$E:$F,2,0)))</f>
        <v>0</v>
      </c>
      <c r="CX195" s="409"/>
      <c r="CY195" s="398">
        <f>IF(CX195=0,0,IF(LEN(CO195)=11,_xlfn.XLOOKUP(CO195,'Dispensed Ink Rates'!C:C,'Dispensed Ink Rates'!CS:CS),VLOOKUP(CO195,'Jan-2026 rates'!$E:$F,2,0)))</f>
        <v>0</v>
      </c>
      <c r="CZ195" s="409"/>
      <c r="DA195" s="398">
        <f>IF(CZ195=0,0,IF(LEN(CP195)=11,_xlfn.XLOOKUP(CP195,'Dispensed Ink Rates'!C:C,'Dispensed Ink Rates'!CS:CS),VLOOKUP(CP195,'Jan-2026 rates'!$E:$F,2,0)))</f>
        <v>0</v>
      </c>
      <c r="DB195" s="409"/>
      <c r="DC195" s="398">
        <f>IF(DB195=0,0,IF(LEN(CQ195)=11,_xlfn.XLOOKUP(CQ195,'Dispensed Ink Rates'!C:C,'Dispensed Ink Rates'!CS:CS),VLOOKUP(CQ195,'Jan-2026 rates'!$E:$F,2,0)))</f>
        <v>0</v>
      </c>
      <c r="DD195" s="409"/>
      <c r="DE195" s="398">
        <f>IF(DD195=0,0,IF(LEN(CR195)=11,_xlfn.XLOOKUP(CR195,'Dispensed Ink Rates'!C:C,'Dispensed Ink Rates'!CS:CS),VLOOKUP(CR195,'Jan-2026 rates'!$E:$F,2,0)))</f>
        <v>0</v>
      </c>
      <c r="DF195" s="409"/>
      <c r="DG195" s="398">
        <f>IF(DF195=0,0,IF(LEN(CS195)=11,_xlfn.XLOOKUP(CS195,'Dispensed Ink Rates'!C:C,'Dispensed Ink Rates'!CS:CS),VLOOKUP(CS195,'Jan-2026 rates'!$E:$F,2,0)))</f>
        <v>0</v>
      </c>
      <c r="DH195" s="409"/>
      <c r="DI195" s="398">
        <f>IF(DH195=0,0,IF(LEN(CT195)=11,_xlfn.XLOOKUP(CT195,'Dispensed Ink Rates'!C:C,'Dispensed Ink Rates'!CS:CS),VLOOKUP(CT195,'Jan-2026 rates'!$E:$F,2,0)))</f>
        <v>0</v>
      </c>
      <c r="DJ195" s="409"/>
      <c r="DK195" s="398">
        <f>IF(DJ195=0,0,IF(LEN(CU195)=11,_xlfn.XLOOKUP(CU195,'Dispensed Ink Rates'!C:C,'Dispensed Ink Rates'!CS:CS),VLOOKUP(CU195,'Jan-2026 rates'!$E:$F,2,0)))</f>
        <v>0</v>
      </c>
      <c r="DL195" s="409" t="s">
        <v>1881</v>
      </c>
      <c r="DM195" s="409">
        <v>20</v>
      </c>
      <c r="DN195" s="411">
        <f t="shared" si="112"/>
        <v>0</v>
      </c>
      <c r="DO195" s="411">
        <f t="shared" si="113"/>
        <v>15.666666666666664</v>
      </c>
      <c r="DP195" s="410">
        <f t="shared" si="114"/>
        <v>0</v>
      </c>
      <c r="DQ195" s="405" t="s">
        <v>855</v>
      </c>
      <c r="DR195" s="409" t="s">
        <v>3726</v>
      </c>
      <c r="DS195" s="420" t="str">
        <f t="shared" si="133"/>
        <v>ToyoLi - CYAN</v>
      </c>
      <c r="DT195" s="409">
        <f>15+13</f>
        <v>28</v>
      </c>
      <c r="DU195" s="411">
        <f>IF(DT195=0,0,IF($LB195=70%,VLOOKUP($DS195,'Jan-2026 rates'!$L:$R,4,0),IF($LB195=65%,VLOOKUP($DS195,'Jan-2026 rates'!$L:$R,4,0),IF($LB195=40%,VLOOKUP($DS195,'Jan-2026 rates'!$L:$R,5,0),IF($LB195=30%,VLOOKUP($DS195,'Jan-2026 rates'!$L:$R,6,0),IF($LB195=100%,VLOOKUP($DS195,'Jan-2026 rates'!$L:$R,7,0),IF($LB195=60%,VLOOKUP($DS195,'Jan-2026 rates'!$L:$S,8,0),IF($LB195=80%,VLOOKUP($DS195,'Jan-2026 rates'!L:T,9,0),0))))))))</f>
        <v>0</v>
      </c>
      <c r="DV195" s="412"/>
      <c r="DW195" s="409"/>
      <c r="DX195" s="411">
        <f>IF(DW195=0,0,IF($LB195=70%,VLOOKUP($DS195,'Jan-2026 rates'!$L:$R,4,0),IF($LB195=65%,VLOOKUP($DS195,'Jan-2026 rates'!$L:$R,4,0),IF($LB195=40%,VLOOKUP($DS195,'Jan-2026 rates'!$L:$R,5,0),IF($LB195=30%,VLOOKUP($DS195,'Jan-2026 rates'!$L:$R,6,0),IF($LB195=100%,VLOOKUP($DS195,'Jan-2026 rates'!$L:$R,7,0),IF($LB195=60%,VLOOKUP($DS195,'Jan-2026 rates'!$L:$S,8,0),IF($LB195=80%,VLOOKUP($DS195,'Jan-2026 rates'!L:T,9,0),0))))))))</f>
        <v>0</v>
      </c>
      <c r="DY195" s="413" t="s">
        <v>1250</v>
      </c>
      <c r="DZ195" s="413"/>
      <c r="EA195" s="412"/>
      <c r="EB195" s="412"/>
      <c r="EC195" s="412"/>
      <c r="ED195" s="412"/>
      <c r="EE195" s="412"/>
      <c r="EF195" s="412"/>
      <c r="EG195" s="409">
        <v>2</v>
      </c>
      <c r="EH195" s="398">
        <f>IF(EG195=0,0,IF(LEN(DY195)=11,_xlfn.XLOOKUP(DY195,'Dispensed Ink Rates'!C:C,'Dispensed Ink Rates'!CS:CS),VLOOKUP(DY195,'Jan-2026 rates'!$E:$F,2,0)))</f>
        <v>0</v>
      </c>
      <c r="EI195" s="409"/>
      <c r="EJ195" s="398">
        <f>IF(EI195=0,0,IF(LEN(DZ195)=11,_xlfn.XLOOKUP(DZ195,'Dispensed Ink Rates'!C:C,'Dispensed Ink Rates'!CS:CS),VLOOKUP(DZ195,'Jan-2026 rates'!$E:$F,2,0)))</f>
        <v>0</v>
      </c>
      <c r="EK195" s="409"/>
      <c r="EL195" s="398">
        <f>IF(EK195=0,0,IF(LEN(EA195)=11,_xlfn.XLOOKUP(EA195,'Dispensed Ink Rates'!C:C,'Dispensed Ink Rates'!CS:CS),VLOOKUP(EA195,'Jan-2026 rates'!$E:$F,2,0)))</f>
        <v>0</v>
      </c>
      <c r="EM195" s="409"/>
      <c r="EN195" s="398">
        <f>IF(EM195=0,0,IF(LEN(EB195)=11,_xlfn.XLOOKUP(EB195,'Dispensed Ink Rates'!C:C,'Dispensed Ink Rates'!CS:CS),VLOOKUP(EB195,'Jan-2026 rates'!$E:$F,2,0)))</f>
        <v>0</v>
      </c>
      <c r="EO195" s="409"/>
      <c r="EP195" s="398">
        <f>IF(EO195=0,0,IF(LEN(EC195)=11,_xlfn.XLOOKUP(EC195,'Dispensed Ink Rates'!C:C,'Dispensed Ink Rates'!CS:CS),VLOOKUP(EC195,'Jan-2026 rates'!$E:$F,2,0)))</f>
        <v>0</v>
      </c>
      <c r="EQ195" s="409"/>
      <c r="ER195" s="398">
        <f>IF(EQ195=0,0,IF(LEN(ED195)=11,_xlfn.XLOOKUP(ED195,'Dispensed Ink Rates'!C:C,'Dispensed Ink Rates'!CS:CS),VLOOKUP(ED195,'Jan-2026 rates'!$E:$F,2,0)))</f>
        <v>0</v>
      </c>
      <c r="ES195" s="409"/>
      <c r="ET195" s="398">
        <f>IF(ES195=0,0,IF(LEN(EE195)=11,_xlfn.XLOOKUP(EE195,'Dispensed Ink Rates'!C:C,'Dispensed Ink Rates'!CS:CS),VLOOKUP(EE195,'Jan-2026 rates'!$E:$F,2,0)))</f>
        <v>0</v>
      </c>
      <c r="EU195" s="409"/>
      <c r="EV195" s="398">
        <f>IF(EU195=0,0,IF(LEN(EF195)=11,_xlfn.XLOOKUP(EF195,'Dispensed Ink Rates'!C:C,'Dispensed Ink Rates'!CS:CS),VLOOKUP(EF195,'Jan-2026 rates'!$E:$F,2,0)))</f>
        <v>0</v>
      </c>
      <c r="EW195" s="409" t="s">
        <v>1881</v>
      </c>
      <c r="EX195" s="409">
        <v>30</v>
      </c>
      <c r="EY195" s="411">
        <f t="shared" si="115"/>
        <v>0</v>
      </c>
      <c r="EZ195" s="411">
        <f t="shared" si="116"/>
        <v>12.777777777777779</v>
      </c>
      <c r="FA195" s="410">
        <f t="shared" si="117"/>
        <v>0</v>
      </c>
      <c r="FB195" s="405" t="s">
        <v>544</v>
      </c>
      <c r="FC195" s="409" t="s">
        <v>3727</v>
      </c>
      <c r="FD195" s="420" t="str">
        <f t="shared" si="134"/>
        <v>ToyoLi - MAGENTA</v>
      </c>
      <c r="FE195" s="409">
        <f>20+20</f>
        <v>40</v>
      </c>
      <c r="FF195" s="411">
        <f>IF(FE195=0,0,IF($LB195=70%,VLOOKUP($FD195,'Jan-2026 rates'!$L:$R,4,0),IF($LB195=65%,VLOOKUP($FD195,'Jan-2026 rates'!$L:$R,4,0),IF($LB195=40%,VLOOKUP($FD195,'Jan-2026 rates'!$L:$R,5,0),IF($LB195=30%,VLOOKUP($FD195,'Jan-2026 rates'!$L:$R,6,0),IF($LB195=100%,VLOOKUP($FD195,'Jan-2026 rates'!$L:$R,7,0),IF($LB195=60%,VLOOKUP($FD195,'Jan-2026 rates'!$L:$S,8,0),IF($LB195=80%,VLOOKUP($FD195,'Jan-2026 rates'!L:T,9,0),0))))))))</f>
        <v>0</v>
      </c>
      <c r="FG195" s="412"/>
      <c r="FH195" s="409"/>
      <c r="FI195" s="411">
        <f>IF(FH195=0,0,IF($LB195=70%,VLOOKUP($FD195,'Jan-2026 rates'!$L:$R,4,0),IF($LB195=65%,VLOOKUP($FD195,'Jan-2026 rates'!$L:$R,4,0),IF($LB195=40%,VLOOKUP($FD195,'Jan-2026 rates'!$L:$R,5,0),IF($LB195=30%,VLOOKUP($FD195,'Jan-2026 rates'!$L:$R,6,0),IF($LB195=100%,VLOOKUP($FD195,'Jan-2026 rates'!$L:$R,7,0),IF($LB195=60%,VLOOKUP($FD195,'Jan-2026 rates'!$L:$S,8,0),IF($LB195=80%,VLOOKUP($FD195,'Jan-2026 rates'!L:T,9,0),0))))))))</f>
        <v>0</v>
      </c>
      <c r="FJ195" s="413"/>
      <c r="FK195" s="413"/>
      <c r="FL195" s="413"/>
      <c r="FM195" s="412"/>
      <c r="FN195" s="412"/>
      <c r="FO195" s="412"/>
      <c r="FP195" s="412"/>
      <c r="FQ195" s="412"/>
      <c r="FR195" s="409"/>
      <c r="FS195" s="398">
        <f>IF(FR195=0,0,IF(LEN(FJ195)=11,_xlfn.XLOOKUP(FJ195,'Dispensed Ink Rates'!C:C,'Dispensed Ink Rates'!CS:CS),VLOOKUP(FJ195,'Jan-2026 rates'!$E:$F,2,0)))</f>
        <v>0</v>
      </c>
      <c r="FT195" s="409"/>
      <c r="FU195" s="398">
        <f>IF(FT195=0,0,IF(LEN(FK195)=11,_xlfn.XLOOKUP(FK195,'Dispensed Ink Rates'!C:C,'Dispensed Ink Rates'!CS:CS),VLOOKUP(FK195,'Jan-2026 rates'!$E:$F,2,0)))</f>
        <v>0</v>
      </c>
      <c r="FV195" s="409"/>
      <c r="FW195" s="398">
        <f>IF(FV195=0,0,IF(LEN(FL195)=11,_xlfn.XLOOKUP(FL195,'Dispensed Ink Rates'!C:C,'Dispensed Ink Rates'!CS:CS),VLOOKUP(FL195,'Jan-2026 rates'!$E:$F,2,0)))</f>
        <v>0</v>
      </c>
      <c r="FX195" s="409"/>
      <c r="FY195" s="398">
        <f>IF(FX195=0,0,IF(LEN(FM195)=11,_xlfn.XLOOKUP(FM195,'Dispensed Ink Rates'!C:C,'Dispensed Ink Rates'!CS:CS),VLOOKUP(FM195,'Jan-2026 rates'!$E:$F,2,0)))</f>
        <v>0</v>
      </c>
      <c r="FZ195" s="409"/>
      <c r="GA195" s="398">
        <f>IF(FZ195=0,0,IF(LEN(FN195)=11,_xlfn.XLOOKUP(FN195,'Dispensed Ink Rates'!C:C,'Dispensed Ink Rates'!CS:CS),VLOOKUP(FN195,'Jan-2026 rates'!$E:$F,2,0)))</f>
        <v>0</v>
      </c>
      <c r="GB195" s="409"/>
      <c r="GC195" s="398">
        <f>IF(GB195=0,0,IF(LEN(FO195)=11,_xlfn.XLOOKUP(FO195,'Dispensed Ink Rates'!C:C,'Dispensed Ink Rates'!CS:CS),VLOOKUP(FO195,'Jan-2026 rates'!$E:$F,2,0)))</f>
        <v>0</v>
      </c>
      <c r="GD195" s="409"/>
      <c r="GE195" s="398">
        <f>IF(GD195=0,0,IF(LEN(FP195)=11,_xlfn.XLOOKUP(FP195,'Dispensed Ink Rates'!C:C,'Dispensed Ink Rates'!CS:CS),VLOOKUP(FP195,'Jan-2026 rates'!$E:$F,2,0)))</f>
        <v>0</v>
      </c>
      <c r="GF195" s="409"/>
      <c r="GG195" s="398">
        <f>IF(GF195=0,0,IF(LEN(FQ195)=11,_xlfn.XLOOKUP(FQ195,'Dispensed Ink Rates'!C:C,'Dispensed Ink Rates'!CS:CS),VLOOKUP(FQ195,'Jan-2026 rates'!$E:$F,2,0)))</f>
        <v>0</v>
      </c>
      <c r="GH195" s="409" t="s">
        <v>1881</v>
      </c>
      <c r="GI195" s="409">
        <v>33</v>
      </c>
      <c r="GJ195" s="411">
        <f t="shared" si="118"/>
        <v>0</v>
      </c>
      <c r="GK195" s="411">
        <f t="shared" si="119"/>
        <v>12.111111111111114</v>
      </c>
      <c r="GL195" s="410">
        <f t="shared" si="120"/>
        <v>0</v>
      </c>
      <c r="GM195" s="405" t="s">
        <v>545</v>
      </c>
      <c r="GN195" s="409" t="s">
        <v>3728</v>
      </c>
      <c r="GO195" s="420" t="str">
        <f t="shared" si="135"/>
        <v>ToyoLi - YELLOW</v>
      </c>
      <c r="GP195" s="409">
        <f>13+12</f>
        <v>25</v>
      </c>
      <c r="GQ195" s="411">
        <f>IF(GP195=0,0,IF($LB195=70%,VLOOKUP($GO195,'Jan-2026 rates'!$L:$R,4,0),IF($LB195=65%,VLOOKUP($GO195,'Jan-2026 rates'!$L:$R,4,0),IF($LB195=40%,VLOOKUP($GO195,'Jan-2026 rates'!$L:$R,5,0),IF($LB195=30%,VLOOKUP($GO195,'Jan-2026 rates'!$L:$R,6,0),IF($LB195=100%,VLOOKUP($GO195,'Jan-2026 rates'!$L:$R,7,0),IF($LB195=60%,VLOOKUP($GO195,'Jan-2026 rates'!$L:$S,8,0),IF($LB195=80%,VLOOKUP($GO195,'Jan-2026 rates'!L:T,9,0),0))))))))</f>
        <v>0</v>
      </c>
      <c r="GR195" s="412"/>
      <c r="GS195" s="409"/>
      <c r="GT195" s="411">
        <f>IF(GS195=0,0,IF($LB195=70%,VLOOKUP($GO195,'Jan-2026 rates'!$L:$R,4,0),IF($LB195=65%,VLOOKUP($GO195,'Jan-2026 rates'!$L:$R,4,0),IF($LB195=40%,VLOOKUP($GO195,'Jan-2026 rates'!$L:$R,5,0),IF($LB195=30%,VLOOKUP($GO195,'Jan-2026 rates'!$L:$R,6,0),IF($LB195=100%,VLOOKUP($GO195,'Jan-2026 rates'!$L:$R,7,0),IF($LB195=60%,VLOOKUP($GO195,'Jan-2026 rates'!$L:$S,8,0),IF($LB195=80%,VLOOKUP($GO195,'Jan-2026 rates'!L:T,9,0),0))))))))</f>
        <v>0</v>
      </c>
      <c r="GU195" s="413" t="s">
        <v>1247</v>
      </c>
      <c r="GV195" s="413"/>
      <c r="GW195" s="412"/>
      <c r="GX195" s="412"/>
      <c r="GY195" s="412"/>
      <c r="GZ195" s="412"/>
      <c r="HA195" s="412"/>
      <c r="HB195" s="412"/>
      <c r="HC195" s="409">
        <v>15</v>
      </c>
      <c r="HD195" s="398">
        <f>IF(HC195=0,0,IF(LEN(GU195)=11,_xlfn.XLOOKUP(GU195,'Dispensed Ink Rates'!C:C,'Dispensed Ink Rates'!CS:CS),VLOOKUP(GU195,'Jan-2026 rates'!$E:$F,2,0)))</f>
        <v>0</v>
      </c>
      <c r="HE195" s="409"/>
      <c r="HF195" s="398">
        <f>IF(HE195=0,0,IF(LEN(GV195)=11,_xlfn.XLOOKUP(GV195,'Dispensed Ink Rates'!C:C,'Dispensed Ink Rates'!CS:CS),VLOOKUP(GV195,'Jan-2026 rates'!$E:$F,2,0)))</f>
        <v>0</v>
      </c>
      <c r="HG195" s="409"/>
      <c r="HH195" s="398">
        <f>IF(HG195=0,0,IF(LEN(GW195)=11,_xlfn.XLOOKUP(GW195,'Dispensed Ink Rates'!C:C,'Dispensed Ink Rates'!CS:CS),VLOOKUP(GW195,'Jan-2026 rates'!$E:$F,2,0)))</f>
        <v>0</v>
      </c>
      <c r="HI195" s="409"/>
      <c r="HJ195" s="398">
        <f>IF(HI195=0,0,IF(LEN(GX195)=11,_xlfn.XLOOKUP(GX195,'Dispensed Ink Rates'!C:C,'Dispensed Ink Rates'!CS:CS),VLOOKUP(GX195,'Jan-2026 rates'!$E:$F,2,0)))</f>
        <v>0</v>
      </c>
      <c r="HK195" s="409"/>
      <c r="HL195" s="398">
        <f>IF(HK195=0,0,IF(LEN(GY195)=11,_xlfn.XLOOKUP(GY195,'Dispensed Ink Rates'!C:C,'Dispensed Ink Rates'!CS:CS),VLOOKUP(GY195,'Jan-2026 rates'!$E:$F,2,0)))</f>
        <v>0</v>
      </c>
      <c r="HM195" s="409"/>
      <c r="HN195" s="398">
        <f>IF(HM195=0,0,IF(LEN(GZ195)=11,_xlfn.XLOOKUP(GZ195,'Dispensed Ink Rates'!C:C,'Dispensed Ink Rates'!CS:CS),VLOOKUP(GZ195,'Jan-2026 rates'!$E:$F,2,0)))</f>
        <v>0</v>
      </c>
      <c r="HO195" s="409"/>
      <c r="HP195" s="398">
        <f>IF(HO195=0,0,IF(LEN(HA195)=11,_xlfn.XLOOKUP(HA195,'Dispensed Ink Rates'!C:C,'Dispensed Ink Rates'!CS:CS),VLOOKUP(HA195,'Jan-2026 rates'!$E:$F,2,0)))</f>
        <v>0</v>
      </c>
      <c r="HQ195" s="409"/>
      <c r="HR195" s="398">
        <f>IF(HQ195=0,0,IF(LEN(HB195)=11,_xlfn.XLOOKUP(HB195,'Dispensed Ink Rates'!C:C,'Dispensed Ink Rates'!CS:CS),VLOOKUP(HB195,'Jan-2026 rates'!$E:$F,2,0)))</f>
        <v>0</v>
      </c>
      <c r="HS195" s="409" t="s">
        <v>1881</v>
      </c>
      <c r="HT195" s="409">
        <v>28</v>
      </c>
      <c r="HU195" s="411">
        <f t="shared" si="121"/>
        <v>0</v>
      </c>
      <c r="HV195" s="411">
        <f t="shared" si="122"/>
        <v>24.777777777777779</v>
      </c>
      <c r="HW195" s="414">
        <f t="shared" si="123"/>
        <v>0</v>
      </c>
      <c r="HX195" s="405" t="s">
        <v>856</v>
      </c>
      <c r="HY195" s="409"/>
      <c r="HZ195" s="420" t="str">
        <f t="shared" si="136"/>
        <v>ToyoLi - WHITE</v>
      </c>
      <c r="IA195" s="409"/>
      <c r="IB195" s="411">
        <f>IF(IA195=0,0,IF($LB195=70%,VLOOKUP($HZ195,'Jan-2026 rates'!$L:$R,4,0),IF($LB195=65%,VLOOKUP($HZ195,'Jan-2026 rates'!$L:$R,4,0),IF($LB195=40%,VLOOKUP($HZ195,'Jan-2026 rates'!$L:$R,5,0),IF($LB195=30%,VLOOKUP($HZ195,'Jan-2026 rates'!$L:$R,6,0),IF($LB195=100%,VLOOKUP($HZ195,'Jan-2026 rates'!$L:$R,7,0),IF($LB195=60%,VLOOKUP($HZ195,'Jan-2026 rates'!$L:$S,8,0),IF($LB195=80%,VLOOKUP($HZ195,'Jan-2026 rates'!L:T,9,0),0))))))))</f>
        <v>0</v>
      </c>
      <c r="IC195" s="412"/>
      <c r="ID195" s="409"/>
      <c r="IE195" s="411">
        <f>IF(ID195=0,0,IF($LB195=70%,VLOOKUP($HZ195,'Jan-2026 rates'!$L:$R,4,0),IF($LB195=65%,VLOOKUP($HZ195,'Jan-2026 rates'!$L:$R,4,0),IF($LB195=40%,VLOOKUP($HZ195,'Jan-2026 rates'!$L:$R,5,0),IF($LB195=30%,VLOOKUP($HZ195,'Jan-2026 rates'!$L:$R,6,0),IF($LB195=100%,VLOOKUP($HZ195,'Jan-2026 rates'!$L:$R,7,0),IF($LB195=60%,VLOOKUP($HZ195,'Jan-2026 rates'!$L:$S,8,0),IF($LB195=80%,VLOOKUP($HZ195,'Jan-2026 rates'!L:T,9,0),0))))))))</f>
        <v>0</v>
      </c>
      <c r="IF195" s="412" t="s">
        <v>1249</v>
      </c>
      <c r="IG195" s="413"/>
      <c r="IH195" s="412"/>
      <c r="II195" s="412"/>
      <c r="IJ195" s="412"/>
      <c r="IK195" s="412"/>
      <c r="IL195" s="412"/>
      <c r="IM195" s="412"/>
      <c r="IN195" s="409">
        <v>100</v>
      </c>
      <c r="IO195" s="398">
        <f>IF(IN195=0,0,IF(LEN(IF195)=11,_xlfn.XLOOKUP(IF195,'Dispensed Ink Rates'!C:C,'Dispensed Ink Rates'!CS:CS),VLOOKUP(IF195,'Jan-2026 rates'!$E:$F,2,0)))</f>
        <v>0</v>
      </c>
      <c r="IP195" s="409"/>
      <c r="IQ195" s="398">
        <f>IF(IP195=0,0,IF(LEN(IG195)=11,_xlfn.XLOOKUP(IG195,'Dispensed Ink Rates'!C:C,'Dispensed Ink Rates'!CS:CS),VLOOKUP(IG195,'Jan-2026 rates'!$E:$F,2,0)))</f>
        <v>0</v>
      </c>
      <c r="IR195" s="409"/>
      <c r="IS195" s="398">
        <f>IF(IR195=0,0,IF(LEN(IH195)=11,_xlfn.XLOOKUP(IH195,'Dispensed Ink Rates'!C:C,'Dispensed Ink Rates'!CS:CS),VLOOKUP(IH195,'Jan-2026 rates'!$E:$F,2,0)))</f>
        <v>0</v>
      </c>
      <c r="IT195" s="409"/>
      <c r="IU195" s="398">
        <f>IF(IT195=0,0,IF(LEN(II195)=11,_xlfn.XLOOKUP(II195,'Dispensed Ink Rates'!C:C,'Dispensed Ink Rates'!CS:CS),VLOOKUP(II195,'Jan-2026 rates'!$E:$F,2,0)))</f>
        <v>0</v>
      </c>
      <c r="IV195" s="409"/>
      <c r="IW195" s="398">
        <f>IF(IV195=0,0,IF(LEN(IJ195)=11,_xlfn.XLOOKUP(IJ195,'Dispensed Ink Rates'!C:C,'Dispensed Ink Rates'!CS:CS),VLOOKUP(IJ195,'Jan-2026 rates'!$E:$F,2,0)))</f>
        <v>0</v>
      </c>
      <c r="IX195" s="409"/>
      <c r="IY195" s="398">
        <f>IF(IX195=0,0,IF(LEN(IK195)=11,_xlfn.XLOOKUP(IK195,'Dispensed Ink Rates'!C:C,'Dispensed Ink Rates'!CS:CS),VLOOKUP(IK195,'Jan-2026 rates'!$E:$F,2,0)))</f>
        <v>0</v>
      </c>
      <c r="IZ195" s="409"/>
      <c r="JA195" s="398">
        <f>IF(IZ195=0,0,IF(LEN(IL195)=11,_xlfn.XLOOKUP(IL195,'Dispensed Ink Rates'!C:C,'Dispensed Ink Rates'!CS:CS),VLOOKUP(IL195,'Jan-2026 rates'!$E:$F,2,0)))</f>
        <v>0</v>
      </c>
      <c r="JB195" s="409"/>
      <c r="JC195" s="398">
        <f>IF(JB195=0,0,IF(LEN(IM195)=11,_xlfn.XLOOKUP(IM195,'Dispensed Ink Rates'!C:C,'Dispensed Ink Rates'!CS:CS),VLOOKUP(IM195,'Jan-2026 rates'!$E:$F,2,0)))</f>
        <v>0</v>
      </c>
      <c r="JD195" s="409" t="s">
        <v>1881</v>
      </c>
      <c r="JE195" s="409">
        <v>30</v>
      </c>
      <c r="JF195" s="411">
        <f t="shared" si="124"/>
        <v>0</v>
      </c>
      <c r="JG195" s="411">
        <f t="shared" si="125"/>
        <v>197.77777777777777</v>
      </c>
      <c r="JH195" s="410">
        <f t="shared" si="126"/>
        <v>0</v>
      </c>
      <c r="JI195" s="405"/>
      <c r="JJ195" s="409"/>
      <c r="JK195" s="420" t="str">
        <f t="shared" si="137"/>
        <v xml:space="preserve"> - </v>
      </c>
      <c r="JL195" s="409"/>
      <c r="JM195" s="411">
        <f>IF(JL195=0,0,IF($LB195=70%,VLOOKUP($JK195,'Jan-2026 rates'!$L:$R,4,0),IF($LB195=65%,VLOOKUP($JK195,'Jan-2026 rates'!$L:$R,4,0),IF($LB195=40%,VLOOKUP($JK195,'Jan-2026 rates'!$L:$R,5,0),IF($LB195=30%,VLOOKUP($JK195,'Jan-2026 rates'!$L:$R,6,0),IF($LB195=100%,VLOOKUP($JK195,'Jan-2026 rates'!$L:$R,7,0),IF($LB195=60%,VLOOKUP($JK195,'Jan-2026 rates'!$L:$S,8,0),IF($LB195=80%,VLOOKUP($JK195,'Jan-2026 rates'!L:T,9,0),0))))))))</f>
        <v>0</v>
      </c>
      <c r="JN195" s="412"/>
      <c r="JO195" s="409"/>
      <c r="JP195" s="411">
        <f>IF(JO195=0,0,IF($LB195=70%,VLOOKUP($JK195,'Jan-2026 rates'!$L:$R,4,0),IF($LB195=65%,VLOOKUP($JK195,'Jan-2026 rates'!$L:$R,4,0),IF($LB195=40%,VLOOKUP($JK195,'Jan-2026 rates'!$L:$R,5,0),IF($LB195=30%,VLOOKUP($JK195,'Jan-2026 rates'!$L:$R,6,0),IF($LB195=100%,VLOOKUP($JK195,'Jan-2026 rates'!$L:$R,7,0),IF($LB195=60%,VLOOKUP($JK195,'Jan-2026 rates'!$L:$S,8,0),IF($LB195=80%,VLOOKUP($JK195,'Jan-2026 rates'!L:T,9,0),0))))))))</f>
        <v>0</v>
      </c>
      <c r="JQ195" s="413"/>
      <c r="JR195" s="412"/>
      <c r="JS195" s="413"/>
      <c r="JT195" s="413"/>
      <c r="JU195" s="412"/>
      <c r="JV195" s="412"/>
      <c r="JW195" s="412"/>
      <c r="JX195" s="412"/>
      <c r="JY195" s="409"/>
      <c r="JZ195" s="398">
        <f>IF(JY195=0,0,IF(LEN(JQ195)=11,_xlfn.XLOOKUP(JQ195,'Dispensed Ink Rates'!C:C,'Dispensed Ink Rates'!CS:CS),VLOOKUP(JQ195,'Jan-2026 rates'!$E:$F,2,0)))</f>
        <v>0</v>
      </c>
      <c r="KA195" s="409"/>
      <c r="KB195" s="398">
        <f>IF(KA195=0,0,IF(LEN(JR195)=11,_xlfn.XLOOKUP(JR195,'Dispensed Ink Rates'!C:C,'Dispensed Ink Rates'!CS:CS),VLOOKUP(JR195,'Jan-2026 rates'!$E:$F,2,0)))</f>
        <v>0</v>
      </c>
      <c r="KC195" s="409"/>
      <c r="KD195" s="398">
        <f>IF(KC195=0,0,IF(LEN(JS195)=11,_xlfn.XLOOKUP(JS195,'Dispensed Ink Rates'!C:C,'Dispensed Ink Rates'!CS:CS),VLOOKUP(JS195,'Jan-2026 rates'!$E:$F,2,0)))</f>
        <v>0</v>
      </c>
      <c r="KE195" s="409"/>
      <c r="KF195" s="398">
        <f>IF(KE195=0,0,IF(LEN(JT195)=11,_xlfn.XLOOKUP(JT195,'Dispensed Ink Rates'!C:C,'Dispensed Ink Rates'!CS:CS),VLOOKUP(JT195,'Jan-2026 rates'!$E:$F,2,0)))</f>
        <v>0</v>
      </c>
      <c r="KG195" s="409"/>
      <c r="KH195" s="398">
        <f>IF(KG195=0,0,IF(LEN(JU195)=11,_xlfn.XLOOKUP(JU195,'Dispensed Ink Rates'!C:C,'Dispensed Ink Rates'!CS:CS),VLOOKUP(JU195,'Jan-2026 rates'!$E:$F,2,0)))</f>
        <v>0</v>
      </c>
      <c r="KI195" s="409"/>
      <c r="KJ195" s="398">
        <f>IF(KI195=0,0,IF(LEN(JV195)=11,_xlfn.XLOOKUP(JV195,'Dispensed Ink Rates'!C:C,'Dispensed Ink Rates'!CS:CS),VLOOKUP(JV195,'Jan-2026 rates'!$E:$F,2,0)))</f>
        <v>0</v>
      </c>
      <c r="KK195" s="409"/>
      <c r="KL195" s="398">
        <f>IF(KK195=0,0,IF(LEN(JW195)=11,_xlfn.XLOOKUP(JW195,'Dispensed Ink Rates'!C:C,'Dispensed Ink Rates'!CS:CS),VLOOKUP(JW195,'Jan-2026 rates'!$E:$F,2,0)))</f>
        <v>0</v>
      </c>
      <c r="KM195" s="428"/>
      <c r="KN195" s="398">
        <f>IF(KM195=0,0,IF(LEN(JX195)=11,_xlfn.XLOOKUP(JX195,'Dispensed Ink Rates'!C:C,'Dispensed Ink Rates'!CS:CS),VLOOKUP(JX195,'Jan-2026 rates'!$E:$F,2,0)))</f>
        <v>0</v>
      </c>
      <c r="KO195" s="409"/>
      <c r="KP195" s="409"/>
      <c r="KQ195" s="411">
        <f t="shared" si="127"/>
        <v>0</v>
      </c>
      <c r="KR195" s="411">
        <f t="shared" si="128"/>
        <v>0</v>
      </c>
      <c r="KS195" s="410">
        <f t="shared" si="129"/>
        <v>0</v>
      </c>
      <c r="KT195" s="409">
        <v>2</v>
      </c>
      <c r="KU195" s="409">
        <v>5</v>
      </c>
      <c r="KV195" s="409">
        <v>3</v>
      </c>
      <c r="KW195" s="409">
        <v>5</v>
      </c>
      <c r="KX195" s="409">
        <v>2</v>
      </c>
      <c r="KY195" s="409">
        <v>5</v>
      </c>
      <c r="KZ195" s="409">
        <v>50</v>
      </c>
      <c r="LA195" s="409">
        <v>0</v>
      </c>
      <c r="LB195" s="415">
        <v>0.3</v>
      </c>
      <c r="LC195" s="415"/>
      <c r="LD195" s="415"/>
      <c r="LE195" s="415">
        <v>0.5</v>
      </c>
      <c r="LF195" s="415">
        <v>0.2</v>
      </c>
      <c r="LG195" s="409">
        <v>0</v>
      </c>
      <c r="LH195" s="409">
        <f>60+40+24+40+4+16</f>
        <v>184</v>
      </c>
      <c r="LI195" s="409">
        <v>0</v>
      </c>
      <c r="LJ195" s="409">
        <v>0</v>
      </c>
      <c r="LK195" s="416">
        <f t="shared" si="138"/>
        <v>184</v>
      </c>
      <c r="LL195" s="416">
        <f t="shared" si="139"/>
        <v>184</v>
      </c>
      <c r="LM195" s="417">
        <f t="shared" si="140"/>
        <v>55.199999999999996</v>
      </c>
      <c r="LN195" s="417">
        <f>VLOOKUP($LM$8,'Jan-2026 rates'!$H:$I,2,0)</f>
        <v>0</v>
      </c>
      <c r="LO195" s="417">
        <f t="shared" si="141"/>
        <v>0</v>
      </c>
      <c r="LP195" s="417">
        <f>VLOOKUP($LO$8,'Jan-2026 rates'!$H:$I,2,0)</f>
        <v>0</v>
      </c>
      <c r="LQ195" s="417">
        <f t="shared" si="142"/>
        <v>0</v>
      </c>
      <c r="LR195" s="417">
        <f>VLOOKUP($LQ$8,'Jan-2026 rates'!$H:$I,2,0)</f>
        <v>0</v>
      </c>
      <c r="LS195" s="417">
        <f t="shared" si="143"/>
        <v>92</v>
      </c>
      <c r="LT195" s="417">
        <f>VLOOKUP($LS$8,'Jan-2026 rates'!$H:$I,2,0)</f>
        <v>0</v>
      </c>
      <c r="LU195" s="417">
        <f t="shared" si="144"/>
        <v>36.800000000000004</v>
      </c>
      <c r="LV195" s="417">
        <f>VLOOKUP($LU$8,'Jan-2026 rates'!$H:$I,2,0)</f>
        <v>0</v>
      </c>
      <c r="LW195" s="417">
        <f t="shared" si="145"/>
        <v>0</v>
      </c>
      <c r="LX195" s="417">
        <f t="shared" si="146"/>
        <v>0</v>
      </c>
      <c r="LY195" s="418">
        <f t="shared" si="147"/>
        <v>0</v>
      </c>
      <c r="LZ195" s="417"/>
      <c r="MA195" s="435">
        <f t="shared" si="148"/>
        <v>139</v>
      </c>
      <c r="MB195" s="282">
        <f t="shared" si="149"/>
        <v>362</v>
      </c>
      <c r="MC195" s="283" t="s">
        <v>2030</v>
      </c>
      <c r="MD195" s="284" t="str">
        <f t="shared" si="150"/>
        <v>ToyoLiToyoLiToyoLiToyoLiToyoLiToyoLiToyoLi</v>
      </c>
      <c r="ME195" s="293" t="str">
        <f t="shared" si="151"/>
        <v>+</v>
      </c>
      <c r="MF195" s="293" t="str">
        <f t="shared" si="152"/>
        <v>+</v>
      </c>
      <c r="MG195" s="293" t="str">
        <f t="shared" si="153"/>
        <v>+</v>
      </c>
      <c r="MH195" s="293" t="str">
        <f t="shared" si="154"/>
        <v>+</v>
      </c>
      <c r="MI195" s="293" t="str">
        <f t="shared" si="155"/>
        <v>+</v>
      </c>
      <c r="MJ195" s="293" t="str">
        <f t="shared" si="156"/>
        <v>+</v>
      </c>
      <c r="MK195" s="293" t="str">
        <f t="shared" si="157"/>
        <v>+</v>
      </c>
      <c r="ML195" s="293" t="str">
        <f t="shared" si="158"/>
        <v>NIL</v>
      </c>
      <c r="MM195" s="3" t="b">
        <f t="array" ref="MM195">OR(ME195:ML195="-")</f>
        <v>0</v>
      </c>
      <c r="MN195" s="285"/>
      <c r="MO195" s="401"/>
      <c r="MP195" s="286"/>
      <c r="MQ195" s="286"/>
      <c r="MR195" s="402"/>
      <c r="MS195" s="400"/>
      <c r="NH195" s="422"/>
      <c r="NJ195" s="421"/>
    </row>
    <row r="196" spans="1:374" s="1" customFormat="1" ht="16.5">
      <c r="A196" s="403">
        <v>46038</v>
      </c>
      <c r="B196" s="404" t="s">
        <v>1018</v>
      </c>
      <c r="C196" s="405" t="s">
        <v>3729</v>
      </c>
      <c r="D196" s="406" t="s">
        <v>2031</v>
      </c>
      <c r="E196" s="404">
        <v>128</v>
      </c>
      <c r="F196" s="407">
        <v>8100</v>
      </c>
      <c r="G196" s="407" t="s">
        <v>1016</v>
      </c>
      <c r="H196" s="408" t="s">
        <v>1017</v>
      </c>
      <c r="I196" s="409">
        <v>2.23</v>
      </c>
      <c r="J196" s="405" t="s">
        <v>543</v>
      </c>
      <c r="K196" s="404" t="s">
        <v>3730</v>
      </c>
      <c r="L196" s="419" t="str">
        <f t="shared" si="131"/>
        <v>ToyoLi - BLACK</v>
      </c>
      <c r="M196" s="404">
        <v>30</v>
      </c>
      <c r="N196" s="410">
        <f>IF(M196=0,0,IF($LB196=70%,VLOOKUP($L196,'Jan-2026 rates'!$L:$R,4,0),IF($LB196=65%,VLOOKUP($L196,'Jan-2026 rates'!$L:$R,4,0),IF($LB196=40%,VLOOKUP($L196,'Jan-2026 rates'!$L:$R,5,0),IF($LB196=30%,VLOOKUP($L196,'Jan-2026 rates'!$L:$R,6,0),IF($LB196=100%,VLOOKUP($L196,'Jan-2026 rates'!$L:$R,7,0),IF($LB196=60%,VLOOKUP($L196,'Jan-2026 rates'!$L:$S,8,0),IF($LB196=80%,VLOOKUP($L196,'Jan-2026 rates'!L:T,9,0),0))))))))</f>
        <v>0</v>
      </c>
      <c r="O196" s="406"/>
      <c r="P196" s="404"/>
      <c r="Q196" s="410">
        <f>IF(P196=0,0,IF($LB196=70%,VLOOKUP($L196,'Jan-2026 rates'!$L:$R,4,0),IF($LB196=65%,VLOOKUP($L196,'Jan-2026 rates'!$L:$R,4,0),IF($LB196=40%,VLOOKUP($L196,'Jan-2026 rates'!$L:$R,5,0),IF($LB196=30%,VLOOKUP($L196,'Jan-2026 rates'!$L:$R,6,0),IF($LB196=100%,VLOOKUP($L196,'Jan-2026 rates'!$L:$R,7,0),IF($LB196=60%,VLOOKUP($L196,'Jan-2026 rates'!$L:$S,8,0),IF($LB196=80%,VLOOKUP($L196,'Jan-2026 rates'!L:T,9,0),0))))))))</f>
        <v>0</v>
      </c>
      <c r="R196" s="406"/>
      <c r="S196" s="406"/>
      <c r="T196" s="406"/>
      <c r="U196" s="406"/>
      <c r="V196" s="406"/>
      <c r="W196" s="406"/>
      <c r="X196" s="406"/>
      <c r="Y196" s="406"/>
      <c r="Z196" s="404"/>
      <c r="AA196" s="398">
        <f>IF(Z196=0,0,IF(LEN(R196)=11,_xlfn.XLOOKUP(R196,'Dispensed Ink Rates'!C:C,'Dispensed Ink Rates'!CS:CS),VLOOKUP(R196,'Jan-2026 rates'!$E:$F,2,0)))</f>
        <v>0</v>
      </c>
      <c r="AB196" s="404"/>
      <c r="AC196" s="398">
        <f>IF(AB196=0,0,IF(LEN(S196)=11,_xlfn.XLOOKUP(S196,'Dispensed Ink Rates'!C:C,'Dispensed Ink Rates'!CS:CS),VLOOKUP(S196,'Jan-2026 rates'!$E:$F,2,0)))</f>
        <v>0</v>
      </c>
      <c r="AD196" s="404"/>
      <c r="AE196" s="398">
        <f>IF(AD196=0,0,IF(LEN(T196)=11,_xlfn.XLOOKUP(T196,'Dispensed Ink Rates'!C:C,'Dispensed Ink Rates'!CS:CS),VLOOKUP(T196,'Jan-2026 rates'!$E:$F,2,0)))</f>
        <v>0</v>
      </c>
      <c r="AF196" s="404"/>
      <c r="AG196" s="398">
        <f>IF(AF196=0,0,IF(LEN(U196)=11,_xlfn.XLOOKUP(U196,'Dispensed Ink Rates'!C:C,'Dispensed Ink Rates'!CS:CS),VLOOKUP(U196,'Jan-2026 rates'!$E:$F,2,0)))</f>
        <v>0</v>
      </c>
      <c r="AH196" s="404"/>
      <c r="AI196" s="398">
        <f>IF(AH196=0,0,IF(LEN(V196)=11,_xlfn.XLOOKUP(V196,'Dispensed Ink Rates'!C:C,'Dispensed Ink Rates'!CS:CS),VLOOKUP(V196,'Jan-2026 rates'!$E:$F,2,0)))</f>
        <v>0</v>
      </c>
      <c r="AJ196" s="404"/>
      <c r="AK196" s="398">
        <f>IF(AJ196=0,0,IF(LEN(W196)=11,_xlfn.XLOOKUP(W196,'Dispensed Ink Rates'!C:C,'Dispensed Ink Rates'!CS:CS),VLOOKUP(W196,'Jan-2026 rates'!$E:$F,2,0)))</f>
        <v>0</v>
      </c>
      <c r="AL196" s="404"/>
      <c r="AM196" s="398">
        <f>IF(AL196=0,0,IF(LEN(X196)=11,_xlfn.XLOOKUP(X196,'Dispensed Ink Rates'!C:C,'Dispensed Ink Rates'!CS:CS),VLOOKUP(X196,'Jan-2026 rates'!$E:$F,2,0)))</f>
        <v>0</v>
      </c>
      <c r="AN196" s="404"/>
      <c r="AO196" s="398">
        <f>IF(AN196=0,0,IF(LEN(Y196)=11,_xlfn.XLOOKUP(Y196,'Dispensed Ink Rates'!C:C,'Dispensed Ink Rates'!CS:CS),VLOOKUP(Y196,'Jan-2026 rates'!$E:$F,2,0)))</f>
        <v>0</v>
      </c>
      <c r="AP196" s="409" t="s">
        <v>1881</v>
      </c>
      <c r="AQ196" s="409">
        <v>28</v>
      </c>
      <c r="AR196" s="410">
        <f t="shared" si="106"/>
        <v>0</v>
      </c>
      <c r="AS196" s="411">
        <f t="shared" si="107"/>
        <v>5.6428571428571459</v>
      </c>
      <c r="AT196" s="410">
        <f t="shared" si="108"/>
        <v>0</v>
      </c>
      <c r="AU196" s="405" t="s">
        <v>547</v>
      </c>
      <c r="AV196" s="409" t="s">
        <v>3731</v>
      </c>
      <c r="AW196" s="420" t="str">
        <f t="shared" si="130"/>
        <v>ToyoLi - GREEN</v>
      </c>
      <c r="AX196" s="409">
        <v>7</v>
      </c>
      <c r="AY196" s="411">
        <f>IF(AX196=0,0,IF($LB196=70%,VLOOKUP($AW196,'Jan-2026 rates'!$L:$R,4,0),IF($LB196=65%,VLOOKUP($AW196,'Jan-2026 rates'!$L:$R,4,0),IF($LB196=40%,VLOOKUP($AW196,'Jan-2026 rates'!$L:$R,5,0),IF($LB196=30%,VLOOKUP($AW196,'Jan-2026 rates'!$L:$R,6,0),IF($LB196=100%,VLOOKUP($AW196,'Jan-2026 rates'!$L:$R,7,0),IF($LB196=60%,VLOOKUP($AW196,'Jan-2026 rates'!$L:$S,8,0),IF($LB196=80%,VLOOKUP($AW196,'Jan-2026 rates'!L:T,9,0),0))))))))</f>
        <v>0</v>
      </c>
      <c r="AZ196" s="412"/>
      <c r="BA196" s="409"/>
      <c r="BB196" s="411">
        <f>IF(BA196=0,0,IF($LB196=70%,VLOOKUP($AW196,'Jan-2026 rates'!$L:$R,4,0),IF($LB196=65%,VLOOKUP($AW196,'Jan-2026 rates'!$L:$R,4,0),IF($LB196=40%,VLOOKUP($AW196,'Jan-2026 rates'!$L:$R,5,0),IF($LB196=30%,VLOOKUP($AW196,'Jan-2026 rates'!$L:$R,6,0),IF($LB196=100%,VLOOKUP($AW196,'Jan-2026 rates'!$L:$R,7,0),IF($LB196=60%,VLOOKUP($AW196,'Jan-2026 rates'!$L:$S,8,0),IF($LB196=80%,VLOOKUP($AW196,'Jan-2026 rates'!L:T,9,0),0))))))))</f>
        <v>0</v>
      </c>
      <c r="BC196" s="413" t="s">
        <v>1247</v>
      </c>
      <c r="BD196" s="412" t="s">
        <v>1251</v>
      </c>
      <c r="BE196" s="412" t="s">
        <v>1921</v>
      </c>
      <c r="BF196" s="413"/>
      <c r="BG196" s="412"/>
      <c r="BH196" s="412"/>
      <c r="BI196" s="412"/>
      <c r="BJ196" s="412"/>
      <c r="BK196" s="409">
        <v>5</v>
      </c>
      <c r="BL196" s="398">
        <f>IF(BK196=0,0,IF(LEN(BC196)=11,_xlfn.XLOOKUP(BC196,'Dispensed Ink Rates'!C:C,'Dispensed Ink Rates'!CS:CS),VLOOKUP(BC196,'Jan-2026 rates'!$E:$F,2,0)))</f>
        <v>0</v>
      </c>
      <c r="BM196" s="409">
        <v>8</v>
      </c>
      <c r="BN196" s="398">
        <f>IF(BM196=0,0,IF(LEN(BD196)=11,_xlfn.XLOOKUP(BD196,'Dispensed Ink Rates'!C:C,'Dispensed Ink Rates'!CS:CS),VLOOKUP(BD196,'Jan-2026 rates'!$E:$F,2,0)))</f>
        <v>0</v>
      </c>
      <c r="BO196" s="409">
        <v>8</v>
      </c>
      <c r="BP196" s="398">
        <f>IF(BO196=0,0,IF(LEN(BE196)=11,_xlfn.XLOOKUP(BE196,'Dispensed Ink Rates'!C:C,'Dispensed Ink Rates'!CS:CS),VLOOKUP(BE196,'Jan-2026 rates'!$E:$F,2,0)))</f>
        <v>0</v>
      </c>
      <c r="BQ196" s="409"/>
      <c r="BR196" s="398">
        <f>IF(BQ196=0,0,IF(LEN(BF196)=11,_xlfn.XLOOKUP(BF196,'Dispensed Ink Rates'!C:C,'Dispensed Ink Rates'!CS:CS),VLOOKUP(BF196,'Jan-2026 rates'!$E:$F,2,0)))</f>
        <v>0</v>
      </c>
      <c r="BS196" s="409"/>
      <c r="BT196" s="398">
        <f>IF(BS196=0,0,IF(LEN(BG196)=11,_xlfn.XLOOKUP(BG196,'Dispensed Ink Rates'!C:C,'Dispensed Ink Rates'!CS:CS),VLOOKUP(BG196,'Jan-2026 rates'!$E:$F,2,0)))</f>
        <v>0</v>
      </c>
      <c r="BU196" s="409"/>
      <c r="BV196" s="398">
        <f>IF(BU196=0,0,IF(LEN(BH196)=11,_xlfn.XLOOKUP(BH196,'Dispensed Ink Rates'!C:C,'Dispensed Ink Rates'!CS:CS),VLOOKUP(BH196,'Jan-2026 rates'!$E:$F,2,0)))</f>
        <v>0</v>
      </c>
      <c r="BW196" s="409"/>
      <c r="BX196" s="398">
        <f>IF(BW196=0,0,IF(LEN(BI196)=11,_xlfn.XLOOKUP(BI196,'Dispensed Ink Rates'!C:C,'Dispensed Ink Rates'!CS:CS),VLOOKUP(BI196,'Jan-2026 rates'!$E:$F,2,0)))</f>
        <v>0</v>
      </c>
      <c r="BY196" s="409"/>
      <c r="BZ196" s="398">
        <f>IF(BY196=0,0,IF(LEN(BJ196)=11,_xlfn.XLOOKUP(BJ196,'Dispensed Ink Rates'!C:C,'Dispensed Ink Rates'!CS:CS),VLOOKUP(BJ196,'Jan-2026 rates'!$E:$F,2,0)))</f>
        <v>0</v>
      </c>
      <c r="CA196" s="409" t="s">
        <v>1881</v>
      </c>
      <c r="CB196" s="409">
        <v>18</v>
      </c>
      <c r="CC196" s="411">
        <f t="shared" si="109"/>
        <v>0</v>
      </c>
      <c r="CD196" s="411">
        <f t="shared" si="110"/>
        <v>20.928571428571431</v>
      </c>
      <c r="CE196" s="410">
        <f t="shared" si="111"/>
        <v>0</v>
      </c>
      <c r="CF196" s="404" t="s">
        <v>545</v>
      </c>
      <c r="CG196" s="409" t="s">
        <v>3624</v>
      </c>
      <c r="CH196" s="420" t="str">
        <f t="shared" si="132"/>
        <v>ToyoLi - YELLOW</v>
      </c>
      <c r="CI196" s="409">
        <v>20</v>
      </c>
      <c r="CJ196" s="411">
        <f>IF(CI196=0,0,IF($LB196=70%,VLOOKUP($CH196,'Jan-2026 rates'!$L:$R,4,0),IF($LB196=65%,VLOOKUP($CH196,'Jan-2026 rates'!$L:$R,4,0),IF($LB196=40%,VLOOKUP($CH196,'Jan-2026 rates'!$L:$R,5,0),IF($LB196=30%,VLOOKUP($CH196,'Jan-2026 rates'!$L:$R,6,0),IF($LB196=100%,VLOOKUP($CH196,'Jan-2026 rates'!$L:$R,7,0),IF($LB196=60%,VLOOKUP($CH196,'Jan-2026 rates'!$L:$S,8,0),IF($LB196=80%,VLOOKUP($CH196,'Jan-2026 rates'!L:T,9,0),0))))))))</f>
        <v>0</v>
      </c>
      <c r="CK196" s="412" t="s">
        <v>3732</v>
      </c>
      <c r="CL196" s="409">
        <f>20+13</f>
        <v>33</v>
      </c>
      <c r="CM196" s="411">
        <f>IF(CL196=0,0,IF($LB196=70%,VLOOKUP($CH196,'Jan-2026 rates'!$L:$R,4,0),IF($LB196=65%,VLOOKUP($CH196,'Jan-2026 rates'!$L:$R,4,0),IF($LB196=40%,VLOOKUP($CH196,'Jan-2026 rates'!$L:$R,5,0),IF($LB196=30%,VLOOKUP($CH196,'Jan-2026 rates'!$L:$R,6,0),IF($LB196=100%,VLOOKUP($CH196,'Jan-2026 rates'!$L:$R,7,0),IF($LB196=60%,VLOOKUP($CH196,'Jan-2026 rates'!$L:$S,8,0),IF($LB196=80%,VLOOKUP($CH196,'Jan-2026 rates'!L:T,9,0),0))))))))</f>
        <v>0</v>
      </c>
      <c r="CN196" s="426" t="s">
        <v>1248</v>
      </c>
      <c r="CO196" s="427" t="s">
        <v>1921</v>
      </c>
      <c r="CP196" s="426"/>
      <c r="CQ196" s="426"/>
      <c r="CR196" s="428"/>
      <c r="CS196" s="428"/>
      <c r="CT196" s="428"/>
      <c r="CU196" s="428"/>
      <c r="CV196" s="409">
        <v>2</v>
      </c>
      <c r="CW196" s="398">
        <f>IF(CV196=0,0,IF(LEN(CN196)=11,_xlfn.XLOOKUP(CN196,'Dispensed Ink Rates'!C:C,'Dispensed Ink Rates'!CS:CS),VLOOKUP(CN196,'Jan-2026 rates'!$E:$F,2,0)))</f>
        <v>0</v>
      </c>
      <c r="CX196" s="409">
        <v>10</v>
      </c>
      <c r="CY196" s="398">
        <f>IF(CX196=0,0,IF(LEN(CO196)=11,_xlfn.XLOOKUP(CO196,'Dispensed Ink Rates'!C:C,'Dispensed Ink Rates'!CS:CS),VLOOKUP(CO196,'Jan-2026 rates'!$E:$F,2,0)))</f>
        <v>0</v>
      </c>
      <c r="CZ196" s="409"/>
      <c r="DA196" s="398">
        <f>IF(CZ196=0,0,IF(LEN(CP196)=11,_xlfn.XLOOKUP(CP196,'Dispensed Ink Rates'!C:C,'Dispensed Ink Rates'!CS:CS),VLOOKUP(CP196,'Jan-2026 rates'!$E:$F,2,0)))</f>
        <v>0</v>
      </c>
      <c r="DB196" s="409"/>
      <c r="DC196" s="398">
        <f>IF(DB196=0,0,IF(LEN(CQ196)=11,_xlfn.XLOOKUP(CQ196,'Dispensed Ink Rates'!C:C,'Dispensed Ink Rates'!CS:CS),VLOOKUP(CQ196,'Jan-2026 rates'!$E:$F,2,0)))</f>
        <v>0</v>
      </c>
      <c r="DD196" s="409"/>
      <c r="DE196" s="398">
        <f>IF(DD196=0,0,IF(LEN(CR196)=11,_xlfn.XLOOKUP(CR196,'Dispensed Ink Rates'!C:C,'Dispensed Ink Rates'!CS:CS),VLOOKUP(CR196,'Jan-2026 rates'!$E:$F,2,0)))</f>
        <v>0</v>
      </c>
      <c r="DF196" s="409"/>
      <c r="DG196" s="398">
        <f>IF(DF196=0,0,IF(LEN(CS196)=11,_xlfn.XLOOKUP(CS196,'Dispensed Ink Rates'!C:C,'Dispensed Ink Rates'!CS:CS),VLOOKUP(CS196,'Jan-2026 rates'!$E:$F,2,0)))</f>
        <v>0</v>
      </c>
      <c r="DH196" s="409"/>
      <c r="DI196" s="398">
        <f>IF(DH196=0,0,IF(LEN(CT196)=11,_xlfn.XLOOKUP(CT196,'Dispensed Ink Rates'!C:C,'Dispensed Ink Rates'!CS:CS),VLOOKUP(CT196,'Jan-2026 rates'!$E:$F,2,0)))</f>
        <v>0</v>
      </c>
      <c r="DJ196" s="409"/>
      <c r="DK196" s="398">
        <f>IF(DJ196=0,0,IF(LEN(CU196)=11,_xlfn.XLOOKUP(CU196,'Dispensed Ink Rates'!C:C,'Dispensed Ink Rates'!CS:CS),VLOOKUP(CU196,'Jan-2026 rates'!$E:$F,2,0)))</f>
        <v>0</v>
      </c>
      <c r="DL196" s="409" t="s">
        <v>1881</v>
      </c>
      <c r="DM196" s="409">
        <f>18+10</f>
        <v>28</v>
      </c>
      <c r="DN196" s="411">
        <f t="shared" si="112"/>
        <v>0</v>
      </c>
      <c r="DO196" s="411">
        <f t="shared" si="113"/>
        <v>46.107142857142861</v>
      </c>
      <c r="DP196" s="410">
        <f t="shared" si="114"/>
        <v>0</v>
      </c>
      <c r="DQ196" s="405" t="s">
        <v>856</v>
      </c>
      <c r="DR196" s="409" t="s">
        <v>3733</v>
      </c>
      <c r="DS196" s="420" t="str">
        <f t="shared" si="133"/>
        <v>ToyoLi - WHITE</v>
      </c>
      <c r="DT196" s="409">
        <v>30</v>
      </c>
      <c r="DU196" s="411">
        <f>IF(DT196=0,0,IF($LB196=70%,VLOOKUP($DS196,'Jan-2026 rates'!$L:$R,4,0),IF($LB196=65%,VLOOKUP($DS196,'Jan-2026 rates'!$L:$R,4,0),IF($LB196=40%,VLOOKUP($DS196,'Jan-2026 rates'!$L:$R,5,0),IF($LB196=30%,VLOOKUP($DS196,'Jan-2026 rates'!$L:$R,6,0),IF($LB196=100%,VLOOKUP($DS196,'Jan-2026 rates'!$L:$R,7,0),IF($LB196=60%,VLOOKUP($DS196,'Jan-2026 rates'!$L:$S,8,0),IF($LB196=80%,VLOOKUP($DS196,'Jan-2026 rates'!L:T,9,0),0))))))))</f>
        <v>0</v>
      </c>
      <c r="DV196" s="412"/>
      <c r="DW196" s="409"/>
      <c r="DX196" s="411">
        <f>IF(DW196=0,0,IF($LB196=70%,VLOOKUP($DS196,'Jan-2026 rates'!$L:$R,4,0),IF($LB196=65%,VLOOKUP($DS196,'Jan-2026 rates'!$L:$R,4,0),IF($LB196=40%,VLOOKUP($DS196,'Jan-2026 rates'!$L:$R,5,0),IF($LB196=30%,VLOOKUP($DS196,'Jan-2026 rates'!$L:$R,6,0),IF($LB196=100%,VLOOKUP($DS196,'Jan-2026 rates'!$L:$R,7,0),IF($LB196=60%,VLOOKUP($DS196,'Jan-2026 rates'!$L:$S,8,0),IF($LB196=80%,VLOOKUP($DS196,'Jan-2026 rates'!L:T,9,0),0))))))))</f>
        <v>0</v>
      </c>
      <c r="DY196" s="413" t="s">
        <v>1249</v>
      </c>
      <c r="DZ196" s="413"/>
      <c r="EA196" s="412"/>
      <c r="EB196" s="412"/>
      <c r="EC196" s="412"/>
      <c r="ED196" s="412"/>
      <c r="EE196" s="412"/>
      <c r="EF196" s="412"/>
      <c r="EG196" s="409">
        <v>30</v>
      </c>
      <c r="EH196" s="398">
        <f>IF(EG196=0,0,IF(LEN(DY196)=11,_xlfn.XLOOKUP(DY196,'Dispensed Ink Rates'!C:C,'Dispensed Ink Rates'!CS:CS),VLOOKUP(DY196,'Jan-2026 rates'!$E:$F,2,0)))</f>
        <v>0</v>
      </c>
      <c r="EI196" s="409"/>
      <c r="EJ196" s="398">
        <f>IF(EI196=0,0,IF(LEN(DZ196)=11,_xlfn.XLOOKUP(DZ196,'Dispensed Ink Rates'!C:C,'Dispensed Ink Rates'!CS:CS),VLOOKUP(DZ196,'Jan-2026 rates'!$E:$F,2,0)))</f>
        <v>0</v>
      </c>
      <c r="EK196" s="409"/>
      <c r="EL196" s="398">
        <f>IF(EK196=0,0,IF(LEN(EA196)=11,_xlfn.XLOOKUP(EA196,'Dispensed Ink Rates'!C:C,'Dispensed Ink Rates'!CS:CS),VLOOKUP(EA196,'Jan-2026 rates'!$E:$F,2,0)))</f>
        <v>0</v>
      </c>
      <c r="EM196" s="409"/>
      <c r="EN196" s="398">
        <f>IF(EM196=0,0,IF(LEN(EB196)=11,_xlfn.XLOOKUP(EB196,'Dispensed Ink Rates'!C:C,'Dispensed Ink Rates'!CS:CS),VLOOKUP(EB196,'Jan-2026 rates'!$E:$F,2,0)))</f>
        <v>0</v>
      </c>
      <c r="EO196" s="409"/>
      <c r="EP196" s="398">
        <f>IF(EO196=0,0,IF(LEN(EC196)=11,_xlfn.XLOOKUP(EC196,'Dispensed Ink Rates'!C:C,'Dispensed Ink Rates'!CS:CS),VLOOKUP(EC196,'Jan-2026 rates'!$E:$F,2,0)))</f>
        <v>0</v>
      </c>
      <c r="EQ196" s="409"/>
      <c r="ER196" s="398">
        <f>IF(EQ196=0,0,IF(LEN(ED196)=11,_xlfn.XLOOKUP(ED196,'Dispensed Ink Rates'!C:C,'Dispensed Ink Rates'!CS:CS),VLOOKUP(ED196,'Jan-2026 rates'!$E:$F,2,0)))</f>
        <v>0</v>
      </c>
      <c r="ES196" s="409"/>
      <c r="ET196" s="398">
        <f>IF(ES196=0,0,IF(LEN(EE196)=11,_xlfn.XLOOKUP(EE196,'Dispensed Ink Rates'!C:C,'Dispensed Ink Rates'!CS:CS),VLOOKUP(EE196,'Jan-2026 rates'!$E:$F,2,0)))</f>
        <v>0</v>
      </c>
      <c r="EU196" s="409"/>
      <c r="EV196" s="398">
        <f>IF(EU196=0,0,IF(LEN(EF196)=11,_xlfn.XLOOKUP(EF196,'Dispensed Ink Rates'!C:C,'Dispensed Ink Rates'!CS:CS),VLOOKUP(EF196,'Jan-2026 rates'!$E:$F,2,0)))</f>
        <v>0</v>
      </c>
      <c r="EW196" s="409" t="s">
        <v>1881</v>
      </c>
      <c r="EX196" s="409">
        <v>30</v>
      </c>
      <c r="EY196" s="411">
        <f t="shared" si="115"/>
        <v>0</v>
      </c>
      <c r="EZ196" s="411">
        <f t="shared" si="116"/>
        <v>57.321428571428569</v>
      </c>
      <c r="FA196" s="410">
        <f t="shared" si="117"/>
        <v>0</v>
      </c>
      <c r="FB196" s="405"/>
      <c r="FC196" s="409"/>
      <c r="FD196" s="420" t="str">
        <f t="shared" si="134"/>
        <v xml:space="preserve"> - </v>
      </c>
      <c r="FE196" s="409"/>
      <c r="FF196" s="411">
        <f>IF(FE196=0,0,IF($LB196=70%,VLOOKUP($FD196,'Jan-2026 rates'!$L:$R,4,0),IF($LB196=65%,VLOOKUP($FD196,'Jan-2026 rates'!$L:$R,4,0),IF($LB196=40%,VLOOKUP($FD196,'Jan-2026 rates'!$L:$R,5,0),IF($LB196=30%,VLOOKUP($FD196,'Jan-2026 rates'!$L:$R,6,0),IF($LB196=100%,VLOOKUP($FD196,'Jan-2026 rates'!$L:$R,7,0),IF($LB196=60%,VLOOKUP($FD196,'Jan-2026 rates'!$L:$S,8,0),IF($LB196=80%,VLOOKUP($FD196,'Jan-2026 rates'!L:T,9,0),0))))))))</f>
        <v>0</v>
      </c>
      <c r="FG196" s="412"/>
      <c r="FH196" s="409"/>
      <c r="FI196" s="411">
        <f>IF(FH196=0,0,IF($LB196=70%,VLOOKUP($FD196,'Jan-2026 rates'!$L:$R,4,0),IF($LB196=65%,VLOOKUP($FD196,'Jan-2026 rates'!$L:$R,4,0),IF($LB196=40%,VLOOKUP($FD196,'Jan-2026 rates'!$L:$R,5,0),IF($LB196=30%,VLOOKUP($FD196,'Jan-2026 rates'!$L:$R,6,0),IF($LB196=100%,VLOOKUP($FD196,'Jan-2026 rates'!$L:$R,7,0),IF($LB196=60%,VLOOKUP($FD196,'Jan-2026 rates'!$L:$S,8,0),IF($LB196=80%,VLOOKUP($FD196,'Jan-2026 rates'!L:T,9,0),0))))))))</f>
        <v>0</v>
      </c>
      <c r="FJ196" s="413"/>
      <c r="FK196" s="413"/>
      <c r="FL196" s="413"/>
      <c r="FM196" s="412"/>
      <c r="FN196" s="412"/>
      <c r="FO196" s="412"/>
      <c r="FP196" s="412"/>
      <c r="FQ196" s="412"/>
      <c r="FR196" s="409"/>
      <c r="FS196" s="398">
        <f>IF(FR196=0,0,IF(LEN(FJ196)=11,_xlfn.XLOOKUP(FJ196,'Dispensed Ink Rates'!C:C,'Dispensed Ink Rates'!CS:CS),VLOOKUP(FJ196,'Jan-2026 rates'!$E:$F,2,0)))</f>
        <v>0</v>
      </c>
      <c r="FT196" s="409"/>
      <c r="FU196" s="398">
        <f>IF(FT196=0,0,IF(LEN(FK196)=11,_xlfn.XLOOKUP(FK196,'Dispensed Ink Rates'!C:C,'Dispensed Ink Rates'!CS:CS),VLOOKUP(FK196,'Jan-2026 rates'!$E:$F,2,0)))</f>
        <v>0</v>
      </c>
      <c r="FV196" s="409"/>
      <c r="FW196" s="398">
        <f>IF(FV196=0,0,IF(LEN(FL196)=11,_xlfn.XLOOKUP(FL196,'Dispensed Ink Rates'!C:C,'Dispensed Ink Rates'!CS:CS),VLOOKUP(FL196,'Jan-2026 rates'!$E:$F,2,0)))</f>
        <v>0</v>
      </c>
      <c r="FX196" s="409"/>
      <c r="FY196" s="398">
        <f>IF(FX196=0,0,IF(LEN(FM196)=11,_xlfn.XLOOKUP(FM196,'Dispensed Ink Rates'!C:C,'Dispensed Ink Rates'!CS:CS),VLOOKUP(FM196,'Jan-2026 rates'!$E:$F,2,0)))</f>
        <v>0</v>
      </c>
      <c r="FZ196" s="409"/>
      <c r="GA196" s="398">
        <f>IF(FZ196=0,0,IF(LEN(FN196)=11,_xlfn.XLOOKUP(FN196,'Dispensed Ink Rates'!C:C,'Dispensed Ink Rates'!CS:CS),VLOOKUP(FN196,'Jan-2026 rates'!$E:$F,2,0)))</f>
        <v>0</v>
      </c>
      <c r="GB196" s="409"/>
      <c r="GC196" s="398">
        <f>IF(GB196=0,0,IF(LEN(FO196)=11,_xlfn.XLOOKUP(FO196,'Dispensed Ink Rates'!C:C,'Dispensed Ink Rates'!CS:CS),VLOOKUP(FO196,'Jan-2026 rates'!$E:$F,2,0)))</f>
        <v>0</v>
      </c>
      <c r="GD196" s="409"/>
      <c r="GE196" s="398">
        <f>IF(GD196=0,0,IF(LEN(FP196)=11,_xlfn.XLOOKUP(FP196,'Dispensed Ink Rates'!C:C,'Dispensed Ink Rates'!CS:CS),VLOOKUP(FP196,'Jan-2026 rates'!$E:$F,2,0)))</f>
        <v>0</v>
      </c>
      <c r="GF196" s="409"/>
      <c r="GG196" s="398">
        <f>IF(GF196=0,0,IF(LEN(FQ196)=11,_xlfn.XLOOKUP(FQ196,'Dispensed Ink Rates'!C:C,'Dispensed Ink Rates'!CS:CS),VLOOKUP(FQ196,'Jan-2026 rates'!$E:$F,2,0)))</f>
        <v>0</v>
      </c>
      <c r="GH196" s="409"/>
      <c r="GI196" s="409"/>
      <c r="GJ196" s="411">
        <f t="shared" si="118"/>
        <v>0</v>
      </c>
      <c r="GK196" s="411">
        <f t="shared" si="119"/>
        <v>0</v>
      </c>
      <c r="GL196" s="410">
        <f t="shared" si="120"/>
        <v>0</v>
      </c>
      <c r="GM196" s="405"/>
      <c r="GN196" s="409"/>
      <c r="GO196" s="420" t="str">
        <f t="shared" si="135"/>
        <v xml:space="preserve"> - </v>
      </c>
      <c r="GP196" s="409"/>
      <c r="GQ196" s="411">
        <f>IF(GP196=0,0,IF($LB196=70%,VLOOKUP($GO196,'Jan-2026 rates'!$L:$R,4,0),IF($LB196=65%,VLOOKUP($GO196,'Jan-2026 rates'!$L:$R,4,0),IF($LB196=40%,VLOOKUP($GO196,'Jan-2026 rates'!$L:$R,5,0),IF($LB196=30%,VLOOKUP($GO196,'Jan-2026 rates'!$L:$R,6,0),IF($LB196=100%,VLOOKUP($GO196,'Jan-2026 rates'!$L:$R,7,0),IF($LB196=60%,VLOOKUP($GO196,'Jan-2026 rates'!$L:$S,8,0),IF($LB196=80%,VLOOKUP($GO196,'Jan-2026 rates'!L:T,9,0),0))))))))</f>
        <v>0</v>
      </c>
      <c r="GR196" s="412"/>
      <c r="GS196" s="409"/>
      <c r="GT196" s="411">
        <f>IF(GS196=0,0,IF($LB196=70%,VLOOKUP($GO196,'Jan-2026 rates'!$L:$R,4,0),IF($LB196=65%,VLOOKUP($GO196,'Jan-2026 rates'!$L:$R,4,0),IF($LB196=40%,VLOOKUP($GO196,'Jan-2026 rates'!$L:$R,5,0),IF($LB196=30%,VLOOKUP($GO196,'Jan-2026 rates'!$L:$R,6,0),IF($LB196=100%,VLOOKUP($GO196,'Jan-2026 rates'!$L:$R,7,0),IF($LB196=60%,VLOOKUP($GO196,'Jan-2026 rates'!$L:$S,8,0),IF($LB196=80%,VLOOKUP($GO196,'Jan-2026 rates'!L:T,9,0),0))))))))</f>
        <v>0</v>
      </c>
      <c r="GU196" s="413"/>
      <c r="GV196" s="413"/>
      <c r="GW196" s="412"/>
      <c r="GX196" s="412"/>
      <c r="GY196" s="412"/>
      <c r="GZ196" s="412"/>
      <c r="HA196" s="412"/>
      <c r="HB196" s="412"/>
      <c r="HC196" s="409"/>
      <c r="HD196" s="398">
        <f>IF(HC196=0,0,IF(LEN(GU196)=11,_xlfn.XLOOKUP(GU196,'Dispensed Ink Rates'!C:C,'Dispensed Ink Rates'!CS:CS),VLOOKUP(GU196,'Jan-2026 rates'!$E:$F,2,0)))</f>
        <v>0</v>
      </c>
      <c r="HE196" s="409"/>
      <c r="HF196" s="398">
        <f>IF(HE196=0,0,IF(LEN(GV196)=11,_xlfn.XLOOKUP(GV196,'Dispensed Ink Rates'!C:C,'Dispensed Ink Rates'!CS:CS),VLOOKUP(GV196,'Jan-2026 rates'!$E:$F,2,0)))</f>
        <v>0</v>
      </c>
      <c r="HG196" s="409"/>
      <c r="HH196" s="398">
        <f>IF(HG196=0,0,IF(LEN(GW196)=11,_xlfn.XLOOKUP(GW196,'Dispensed Ink Rates'!C:C,'Dispensed Ink Rates'!CS:CS),VLOOKUP(GW196,'Jan-2026 rates'!$E:$F,2,0)))</f>
        <v>0</v>
      </c>
      <c r="HI196" s="409"/>
      <c r="HJ196" s="398">
        <f>IF(HI196=0,0,IF(LEN(GX196)=11,_xlfn.XLOOKUP(GX196,'Dispensed Ink Rates'!C:C,'Dispensed Ink Rates'!CS:CS),VLOOKUP(GX196,'Jan-2026 rates'!$E:$F,2,0)))</f>
        <v>0</v>
      </c>
      <c r="HK196" s="409"/>
      <c r="HL196" s="398">
        <f>IF(HK196=0,0,IF(LEN(GY196)=11,_xlfn.XLOOKUP(GY196,'Dispensed Ink Rates'!C:C,'Dispensed Ink Rates'!CS:CS),VLOOKUP(GY196,'Jan-2026 rates'!$E:$F,2,0)))</f>
        <v>0</v>
      </c>
      <c r="HM196" s="409"/>
      <c r="HN196" s="398">
        <f>IF(HM196=0,0,IF(LEN(GZ196)=11,_xlfn.XLOOKUP(GZ196,'Dispensed Ink Rates'!C:C,'Dispensed Ink Rates'!CS:CS),VLOOKUP(GZ196,'Jan-2026 rates'!$E:$F,2,0)))</f>
        <v>0</v>
      </c>
      <c r="HO196" s="409"/>
      <c r="HP196" s="398">
        <f>IF(HO196=0,0,IF(LEN(HA196)=11,_xlfn.XLOOKUP(HA196,'Dispensed Ink Rates'!C:C,'Dispensed Ink Rates'!CS:CS),VLOOKUP(HA196,'Jan-2026 rates'!$E:$F,2,0)))</f>
        <v>0</v>
      </c>
      <c r="HQ196" s="409"/>
      <c r="HR196" s="398">
        <f>IF(HQ196=0,0,IF(LEN(HB196)=11,_xlfn.XLOOKUP(HB196,'Dispensed Ink Rates'!C:C,'Dispensed Ink Rates'!CS:CS),VLOOKUP(HB196,'Jan-2026 rates'!$E:$F,2,0)))</f>
        <v>0</v>
      </c>
      <c r="HS196" s="409"/>
      <c r="HT196" s="409"/>
      <c r="HU196" s="411">
        <f t="shared" si="121"/>
        <v>0</v>
      </c>
      <c r="HV196" s="411">
        <f t="shared" si="122"/>
        <v>0</v>
      </c>
      <c r="HW196" s="414">
        <f t="shared" si="123"/>
        <v>0</v>
      </c>
      <c r="HX196" s="405"/>
      <c r="HY196" s="409"/>
      <c r="HZ196" s="420" t="str">
        <f t="shared" si="136"/>
        <v xml:space="preserve"> - </v>
      </c>
      <c r="IA196" s="409"/>
      <c r="IB196" s="411">
        <f>IF(IA196=0,0,IF($LB196=70%,VLOOKUP($HZ196,'Jan-2026 rates'!$L:$R,4,0),IF($LB196=65%,VLOOKUP($HZ196,'Jan-2026 rates'!$L:$R,4,0),IF($LB196=40%,VLOOKUP($HZ196,'Jan-2026 rates'!$L:$R,5,0),IF($LB196=30%,VLOOKUP($HZ196,'Jan-2026 rates'!$L:$R,6,0),IF($LB196=100%,VLOOKUP($HZ196,'Jan-2026 rates'!$L:$R,7,0),IF($LB196=60%,VLOOKUP($HZ196,'Jan-2026 rates'!$L:$S,8,0),IF($LB196=80%,VLOOKUP($HZ196,'Jan-2026 rates'!L:T,9,0),0))))))))</f>
        <v>0</v>
      </c>
      <c r="IC196" s="412"/>
      <c r="ID196" s="409"/>
      <c r="IE196" s="411">
        <f>IF(ID196=0,0,IF($LB196=70%,VLOOKUP($HZ196,'Jan-2026 rates'!$L:$R,4,0),IF($LB196=65%,VLOOKUP($HZ196,'Jan-2026 rates'!$L:$R,4,0),IF($LB196=40%,VLOOKUP($HZ196,'Jan-2026 rates'!$L:$R,5,0),IF($LB196=30%,VLOOKUP($HZ196,'Jan-2026 rates'!$L:$R,6,0),IF($LB196=100%,VLOOKUP($HZ196,'Jan-2026 rates'!$L:$R,7,0),IF($LB196=60%,VLOOKUP($HZ196,'Jan-2026 rates'!$L:$S,8,0),IF($LB196=80%,VLOOKUP($HZ196,'Jan-2026 rates'!L:T,9,0),0))))))))</f>
        <v>0</v>
      </c>
      <c r="IF196" s="412"/>
      <c r="IG196" s="413"/>
      <c r="IH196" s="412"/>
      <c r="II196" s="412"/>
      <c r="IJ196" s="412"/>
      <c r="IK196" s="412"/>
      <c r="IL196" s="412"/>
      <c r="IM196" s="412"/>
      <c r="IN196" s="409"/>
      <c r="IO196" s="398">
        <f>IF(IN196=0,0,IF(LEN(IF196)=11,_xlfn.XLOOKUP(IF196,'Dispensed Ink Rates'!C:C,'Dispensed Ink Rates'!CS:CS),VLOOKUP(IF196,'Jan-2026 rates'!$E:$F,2,0)))</f>
        <v>0</v>
      </c>
      <c r="IP196" s="409"/>
      <c r="IQ196" s="398">
        <f>IF(IP196=0,0,IF(LEN(IG196)=11,_xlfn.XLOOKUP(IG196,'Dispensed Ink Rates'!C:C,'Dispensed Ink Rates'!CS:CS),VLOOKUP(IG196,'Jan-2026 rates'!$E:$F,2,0)))</f>
        <v>0</v>
      </c>
      <c r="IR196" s="409"/>
      <c r="IS196" s="398">
        <f>IF(IR196=0,0,IF(LEN(IH196)=11,_xlfn.XLOOKUP(IH196,'Dispensed Ink Rates'!C:C,'Dispensed Ink Rates'!CS:CS),VLOOKUP(IH196,'Jan-2026 rates'!$E:$F,2,0)))</f>
        <v>0</v>
      </c>
      <c r="IT196" s="409"/>
      <c r="IU196" s="398">
        <f>IF(IT196=0,0,IF(LEN(II196)=11,_xlfn.XLOOKUP(II196,'Dispensed Ink Rates'!C:C,'Dispensed Ink Rates'!CS:CS),VLOOKUP(II196,'Jan-2026 rates'!$E:$F,2,0)))</f>
        <v>0</v>
      </c>
      <c r="IV196" s="409"/>
      <c r="IW196" s="398">
        <f>IF(IV196=0,0,IF(LEN(IJ196)=11,_xlfn.XLOOKUP(IJ196,'Dispensed Ink Rates'!C:C,'Dispensed Ink Rates'!CS:CS),VLOOKUP(IJ196,'Jan-2026 rates'!$E:$F,2,0)))</f>
        <v>0</v>
      </c>
      <c r="IX196" s="409"/>
      <c r="IY196" s="398">
        <f>IF(IX196=0,0,IF(LEN(IK196)=11,_xlfn.XLOOKUP(IK196,'Dispensed Ink Rates'!C:C,'Dispensed Ink Rates'!CS:CS),VLOOKUP(IK196,'Jan-2026 rates'!$E:$F,2,0)))</f>
        <v>0</v>
      </c>
      <c r="IZ196" s="409"/>
      <c r="JA196" s="398">
        <f>IF(IZ196=0,0,IF(LEN(IL196)=11,_xlfn.XLOOKUP(IL196,'Dispensed Ink Rates'!C:C,'Dispensed Ink Rates'!CS:CS),VLOOKUP(IL196,'Jan-2026 rates'!$E:$F,2,0)))</f>
        <v>0</v>
      </c>
      <c r="JB196" s="409"/>
      <c r="JC196" s="398">
        <f>IF(JB196=0,0,IF(LEN(IM196)=11,_xlfn.XLOOKUP(IM196,'Dispensed Ink Rates'!C:C,'Dispensed Ink Rates'!CS:CS),VLOOKUP(IM196,'Jan-2026 rates'!$E:$F,2,0)))</f>
        <v>0</v>
      </c>
      <c r="JD196" s="409"/>
      <c r="JE196" s="409"/>
      <c r="JF196" s="411">
        <f t="shared" si="124"/>
        <v>0</v>
      </c>
      <c r="JG196" s="411">
        <f t="shared" si="125"/>
        <v>0</v>
      </c>
      <c r="JH196" s="410">
        <f t="shared" si="126"/>
        <v>0</v>
      </c>
      <c r="JI196" s="405"/>
      <c r="JJ196" s="409"/>
      <c r="JK196" s="420" t="str">
        <f t="shared" si="137"/>
        <v xml:space="preserve"> - </v>
      </c>
      <c r="JL196" s="409"/>
      <c r="JM196" s="411">
        <f>IF(JL196=0,0,IF($LB196=70%,VLOOKUP($JK196,'Jan-2026 rates'!$L:$R,4,0),IF($LB196=65%,VLOOKUP($JK196,'Jan-2026 rates'!$L:$R,4,0),IF($LB196=40%,VLOOKUP($JK196,'Jan-2026 rates'!$L:$R,5,0),IF($LB196=30%,VLOOKUP($JK196,'Jan-2026 rates'!$L:$R,6,0),IF($LB196=100%,VLOOKUP($JK196,'Jan-2026 rates'!$L:$R,7,0),IF($LB196=60%,VLOOKUP($JK196,'Jan-2026 rates'!$L:$S,8,0),IF($LB196=80%,VLOOKUP($JK196,'Jan-2026 rates'!L:T,9,0),0))))))))</f>
        <v>0</v>
      </c>
      <c r="JN196" s="412"/>
      <c r="JO196" s="409"/>
      <c r="JP196" s="411">
        <f>IF(JO196=0,0,IF($LB196=70%,VLOOKUP($JK196,'Jan-2026 rates'!$L:$R,4,0),IF($LB196=65%,VLOOKUP($JK196,'Jan-2026 rates'!$L:$R,4,0),IF($LB196=40%,VLOOKUP($JK196,'Jan-2026 rates'!$L:$R,5,0),IF($LB196=30%,VLOOKUP($JK196,'Jan-2026 rates'!$L:$R,6,0),IF($LB196=100%,VLOOKUP($JK196,'Jan-2026 rates'!$L:$R,7,0),IF($LB196=60%,VLOOKUP($JK196,'Jan-2026 rates'!$L:$S,8,0),IF($LB196=80%,VLOOKUP($JK196,'Jan-2026 rates'!L:T,9,0),0))))))))</f>
        <v>0</v>
      </c>
      <c r="JQ196" s="413"/>
      <c r="JR196" s="412"/>
      <c r="JS196" s="413"/>
      <c r="JT196" s="413"/>
      <c r="JU196" s="412"/>
      <c r="JV196" s="412"/>
      <c r="JW196" s="412"/>
      <c r="JX196" s="412"/>
      <c r="JY196" s="409"/>
      <c r="JZ196" s="398">
        <f>IF(JY196=0,0,IF(LEN(JQ196)=11,_xlfn.XLOOKUP(JQ196,'Dispensed Ink Rates'!C:C,'Dispensed Ink Rates'!CS:CS),VLOOKUP(JQ196,'Jan-2026 rates'!$E:$F,2,0)))</f>
        <v>0</v>
      </c>
      <c r="KA196" s="409"/>
      <c r="KB196" s="398">
        <f>IF(KA196=0,0,IF(LEN(JR196)=11,_xlfn.XLOOKUP(JR196,'Dispensed Ink Rates'!C:C,'Dispensed Ink Rates'!CS:CS),VLOOKUP(JR196,'Jan-2026 rates'!$E:$F,2,0)))</f>
        <v>0</v>
      </c>
      <c r="KC196" s="409"/>
      <c r="KD196" s="398">
        <f>IF(KC196=0,0,IF(LEN(JS196)=11,_xlfn.XLOOKUP(JS196,'Dispensed Ink Rates'!C:C,'Dispensed Ink Rates'!CS:CS),VLOOKUP(JS196,'Jan-2026 rates'!$E:$F,2,0)))</f>
        <v>0</v>
      </c>
      <c r="KE196" s="409"/>
      <c r="KF196" s="398">
        <f>IF(KE196=0,0,IF(LEN(JT196)=11,_xlfn.XLOOKUP(JT196,'Dispensed Ink Rates'!C:C,'Dispensed Ink Rates'!CS:CS),VLOOKUP(JT196,'Jan-2026 rates'!$E:$F,2,0)))</f>
        <v>0</v>
      </c>
      <c r="KG196" s="409"/>
      <c r="KH196" s="398">
        <f>IF(KG196=0,0,IF(LEN(JU196)=11,_xlfn.XLOOKUP(JU196,'Dispensed Ink Rates'!C:C,'Dispensed Ink Rates'!CS:CS),VLOOKUP(JU196,'Jan-2026 rates'!$E:$F,2,0)))</f>
        <v>0</v>
      </c>
      <c r="KI196" s="409"/>
      <c r="KJ196" s="398">
        <f>IF(KI196=0,0,IF(LEN(JV196)=11,_xlfn.XLOOKUP(JV196,'Dispensed Ink Rates'!C:C,'Dispensed Ink Rates'!CS:CS),VLOOKUP(JV196,'Jan-2026 rates'!$E:$F,2,0)))</f>
        <v>0</v>
      </c>
      <c r="KK196" s="409"/>
      <c r="KL196" s="398">
        <f>IF(KK196=0,0,IF(LEN(JW196)=11,_xlfn.XLOOKUP(JW196,'Dispensed Ink Rates'!C:C,'Dispensed Ink Rates'!CS:CS),VLOOKUP(JW196,'Jan-2026 rates'!$E:$F,2,0)))</f>
        <v>0</v>
      </c>
      <c r="KM196" s="428"/>
      <c r="KN196" s="398">
        <f>IF(KM196=0,0,IF(LEN(JX196)=11,_xlfn.XLOOKUP(JX196,'Dispensed Ink Rates'!C:C,'Dispensed Ink Rates'!CS:CS),VLOOKUP(JX196,'Jan-2026 rates'!$E:$F,2,0)))</f>
        <v>0</v>
      </c>
      <c r="KO196" s="409"/>
      <c r="KP196" s="409"/>
      <c r="KQ196" s="411">
        <f t="shared" si="127"/>
        <v>0</v>
      </c>
      <c r="KR196" s="411">
        <f t="shared" si="128"/>
        <v>0</v>
      </c>
      <c r="KS196" s="410">
        <f t="shared" si="129"/>
        <v>0</v>
      </c>
      <c r="KT196" s="409">
        <v>2</v>
      </c>
      <c r="KU196" s="409">
        <v>6</v>
      </c>
      <c r="KV196" s="409">
        <v>5</v>
      </c>
      <c r="KW196" s="409">
        <v>15</v>
      </c>
      <c r="KX196" s="409">
        <v>0</v>
      </c>
      <c r="KY196" s="409">
        <v>0</v>
      </c>
      <c r="KZ196" s="409">
        <v>0</v>
      </c>
      <c r="LA196" s="409">
        <v>0</v>
      </c>
      <c r="LB196" s="415">
        <v>0.3</v>
      </c>
      <c r="LC196" s="415"/>
      <c r="LD196" s="415"/>
      <c r="LE196" s="415">
        <v>0.5</v>
      </c>
      <c r="LF196" s="415">
        <v>0.2</v>
      </c>
      <c r="LG196" s="409">
        <v>0</v>
      </c>
      <c r="LH196" s="409">
        <f>15+16+6+10+4</f>
        <v>51</v>
      </c>
      <c r="LI196" s="409">
        <v>0</v>
      </c>
      <c r="LJ196" s="409">
        <v>0</v>
      </c>
      <c r="LK196" s="416">
        <f t="shared" si="138"/>
        <v>51</v>
      </c>
      <c r="LL196" s="416">
        <f t="shared" si="139"/>
        <v>51</v>
      </c>
      <c r="LM196" s="417">
        <f t="shared" si="140"/>
        <v>15.299999999999999</v>
      </c>
      <c r="LN196" s="417">
        <f>VLOOKUP($LM$8,'Jan-2026 rates'!$H:$I,2,0)</f>
        <v>0</v>
      </c>
      <c r="LO196" s="417">
        <f t="shared" si="141"/>
        <v>0</v>
      </c>
      <c r="LP196" s="417">
        <f>VLOOKUP($LO$8,'Jan-2026 rates'!$H:$I,2,0)</f>
        <v>0</v>
      </c>
      <c r="LQ196" s="417">
        <f t="shared" si="142"/>
        <v>0</v>
      </c>
      <c r="LR196" s="417">
        <f>VLOOKUP($LQ$8,'Jan-2026 rates'!$H:$I,2,0)</f>
        <v>0</v>
      </c>
      <c r="LS196" s="417">
        <f t="shared" si="143"/>
        <v>25.5</v>
      </c>
      <c r="LT196" s="417">
        <f>VLOOKUP($LS$8,'Jan-2026 rates'!$H:$I,2,0)</f>
        <v>0</v>
      </c>
      <c r="LU196" s="417">
        <f t="shared" si="144"/>
        <v>10.200000000000001</v>
      </c>
      <c r="LV196" s="417">
        <f>VLOOKUP($LU$8,'Jan-2026 rates'!$H:$I,2,0)</f>
        <v>0</v>
      </c>
      <c r="LW196" s="417">
        <f t="shared" si="145"/>
        <v>0</v>
      </c>
      <c r="LX196" s="417">
        <f t="shared" si="146"/>
        <v>0</v>
      </c>
      <c r="LY196" s="418">
        <f t="shared" si="147"/>
        <v>0</v>
      </c>
      <c r="LZ196" s="417"/>
      <c r="MA196" s="435">
        <f t="shared" si="148"/>
        <v>63</v>
      </c>
      <c r="MB196" s="282">
        <f t="shared" si="149"/>
        <v>130</v>
      </c>
      <c r="MC196" s="283" t="s">
        <v>2031</v>
      </c>
      <c r="MD196" s="284" t="str">
        <f t="shared" si="150"/>
        <v>ToyoLiToyoLiToyoLiToyoLi</v>
      </c>
      <c r="ME196" s="293" t="str">
        <f t="shared" si="151"/>
        <v>+</v>
      </c>
      <c r="MF196" s="293" t="str">
        <f t="shared" si="152"/>
        <v>+</v>
      </c>
      <c r="MG196" s="293" t="str">
        <f t="shared" si="153"/>
        <v>+</v>
      </c>
      <c r="MH196" s="293" t="str">
        <f t="shared" si="154"/>
        <v>+</v>
      </c>
      <c r="MI196" s="293" t="str">
        <f t="shared" si="155"/>
        <v>NIL</v>
      </c>
      <c r="MJ196" s="293" t="str">
        <f t="shared" si="156"/>
        <v>NIL</v>
      </c>
      <c r="MK196" s="293" t="str">
        <f t="shared" si="157"/>
        <v>NIL</v>
      </c>
      <c r="ML196" s="293" t="str">
        <f t="shared" si="158"/>
        <v>NIL</v>
      </c>
      <c r="MM196" s="3" t="b">
        <f t="array" ref="MM196">OR(ME196:ML196="-")</f>
        <v>0</v>
      </c>
      <c r="MN196" s="285"/>
      <c r="MO196" s="401"/>
      <c r="MP196" s="286"/>
      <c r="MQ196" s="286"/>
      <c r="MR196" s="402"/>
      <c r="MS196" s="400"/>
      <c r="NH196" s="422"/>
      <c r="NJ196" s="421"/>
    </row>
    <row r="197" spans="1:374" s="1" customFormat="1" ht="16.5">
      <c r="A197" s="403">
        <v>46038</v>
      </c>
      <c r="B197" s="404" t="s">
        <v>1018</v>
      </c>
      <c r="C197" s="405" t="s">
        <v>3734</v>
      </c>
      <c r="D197" s="406" t="s">
        <v>2032</v>
      </c>
      <c r="E197" s="404">
        <v>968</v>
      </c>
      <c r="F197" s="407">
        <v>54200</v>
      </c>
      <c r="G197" s="407" t="s">
        <v>1016</v>
      </c>
      <c r="H197" s="408" t="s">
        <v>1017</v>
      </c>
      <c r="I197" s="409">
        <v>1.76</v>
      </c>
      <c r="J197" s="405" t="s">
        <v>546</v>
      </c>
      <c r="K197" s="404" t="s">
        <v>3730</v>
      </c>
      <c r="L197" s="419" t="str">
        <f t="shared" si="131"/>
        <v>ToyoLi - REFLEX BLUE</v>
      </c>
      <c r="M197" s="404">
        <v>30</v>
      </c>
      <c r="N197" s="410">
        <f>IF(M197=0,0,IF($LB197=70%,VLOOKUP($L197,'Jan-2026 rates'!$L:$R,4,0),IF($LB197=65%,VLOOKUP($L197,'Jan-2026 rates'!$L:$R,4,0),IF($LB197=40%,VLOOKUP($L197,'Jan-2026 rates'!$L:$R,5,0),IF($LB197=30%,VLOOKUP($L197,'Jan-2026 rates'!$L:$R,6,0),IF($LB197=100%,VLOOKUP($L197,'Jan-2026 rates'!$L:$R,7,0),IF($LB197=60%,VLOOKUP($L197,'Jan-2026 rates'!$L:$S,8,0),IF($LB197=80%,VLOOKUP($L197,'Jan-2026 rates'!L:T,9,0),0))))))))</f>
        <v>0</v>
      </c>
      <c r="O197" s="406"/>
      <c r="P197" s="404"/>
      <c r="Q197" s="410">
        <f>IF(P197=0,0,IF($LB197=70%,VLOOKUP($L197,'Jan-2026 rates'!$L:$R,4,0),IF($LB197=65%,VLOOKUP($L197,'Jan-2026 rates'!$L:$R,4,0),IF($LB197=40%,VLOOKUP($L197,'Jan-2026 rates'!$L:$R,5,0),IF($LB197=30%,VLOOKUP($L197,'Jan-2026 rates'!$L:$R,6,0),IF($LB197=100%,VLOOKUP($L197,'Jan-2026 rates'!$L:$R,7,0),IF($LB197=60%,VLOOKUP($L197,'Jan-2026 rates'!$L:$S,8,0),IF($LB197=80%,VLOOKUP($L197,'Jan-2026 rates'!L:T,9,0),0))))))))</f>
        <v>0</v>
      </c>
      <c r="R197" s="406" t="s">
        <v>1880</v>
      </c>
      <c r="S197" s="406" t="s">
        <v>1250</v>
      </c>
      <c r="T197" s="406" t="s">
        <v>1921</v>
      </c>
      <c r="U197" s="406"/>
      <c r="V197" s="406"/>
      <c r="W197" s="406"/>
      <c r="X197" s="406"/>
      <c r="Y197" s="406"/>
      <c r="Z197" s="404">
        <v>1</v>
      </c>
      <c r="AA197" s="398">
        <f>IF(Z197=0,0,IF(LEN(R197)=11,_xlfn.XLOOKUP(R197,'Dispensed Ink Rates'!C:C,'Dispensed Ink Rates'!CS:CS),VLOOKUP(R197,'Jan-2026 rates'!$E:$F,2,0)))</f>
        <v>0</v>
      </c>
      <c r="AB197" s="404">
        <v>5</v>
      </c>
      <c r="AC197" s="398">
        <f>IF(AB197=0,0,IF(LEN(S197)=11,_xlfn.XLOOKUP(S197,'Dispensed Ink Rates'!C:C,'Dispensed Ink Rates'!CS:CS),VLOOKUP(S197,'Jan-2026 rates'!$E:$F,2,0)))</f>
        <v>0</v>
      </c>
      <c r="AD197" s="404">
        <v>5</v>
      </c>
      <c r="AE197" s="398">
        <f>IF(AD197=0,0,IF(LEN(T197)=11,_xlfn.XLOOKUP(T197,'Dispensed Ink Rates'!C:C,'Dispensed Ink Rates'!CS:CS),VLOOKUP(T197,'Jan-2026 rates'!$E:$F,2,0)))</f>
        <v>0</v>
      </c>
      <c r="AF197" s="404"/>
      <c r="AG197" s="398">
        <f>IF(AF197=0,0,IF(LEN(U197)=11,_xlfn.XLOOKUP(U197,'Dispensed Ink Rates'!C:C,'Dispensed Ink Rates'!CS:CS),VLOOKUP(U197,'Jan-2026 rates'!$E:$F,2,0)))</f>
        <v>0</v>
      </c>
      <c r="AH197" s="404"/>
      <c r="AI197" s="398">
        <f>IF(AH197=0,0,IF(LEN(V197)=11,_xlfn.XLOOKUP(V197,'Dispensed Ink Rates'!C:C,'Dispensed Ink Rates'!CS:CS),VLOOKUP(V197,'Jan-2026 rates'!$E:$F,2,0)))</f>
        <v>0</v>
      </c>
      <c r="AJ197" s="404"/>
      <c r="AK197" s="398">
        <f>IF(AJ197=0,0,IF(LEN(W197)=11,_xlfn.XLOOKUP(W197,'Dispensed Ink Rates'!C:C,'Dispensed Ink Rates'!CS:CS),VLOOKUP(W197,'Jan-2026 rates'!$E:$F,2,0)))</f>
        <v>0</v>
      </c>
      <c r="AL197" s="404"/>
      <c r="AM197" s="398">
        <f>IF(AL197=0,0,IF(LEN(X197)=11,_xlfn.XLOOKUP(X197,'Dispensed Ink Rates'!C:C,'Dispensed Ink Rates'!CS:CS),VLOOKUP(X197,'Jan-2026 rates'!$E:$F,2,0)))</f>
        <v>0</v>
      </c>
      <c r="AN197" s="404"/>
      <c r="AO197" s="398">
        <f>IF(AN197=0,0,IF(LEN(Y197)=11,_xlfn.XLOOKUP(Y197,'Dispensed Ink Rates'!C:C,'Dispensed Ink Rates'!CS:CS),VLOOKUP(Y197,'Jan-2026 rates'!$E:$F,2,0)))</f>
        <v>0</v>
      </c>
      <c r="AP197" s="409" t="s">
        <v>1881</v>
      </c>
      <c r="AQ197" s="409">
        <v>20</v>
      </c>
      <c r="AR197" s="410">
        <f t="shared" si="106"/>
        <v>0</v>
      </c>
      <c r="AS197" s="411">
        <f t="shared" si="107"/>
        <v>30.416666666666664</v>
      </c>
      <c r="AT197" s="410">
        <f t="shared" si="108"/>
        <v>0</v>
      </c>
      <c r="AU197" s="405" t="s">
        <v>856</v>
      </c>
      <c r="AV197" s="409" t="s">
        <v>3735</v>
      </c>
      <c r="AW197" s="420" t="str">
        <f t="shared" si="130"/>
        <v>ToyoLi - WHITE</v>
      </c>
      <c r="AX197" s="409">
        <v>30</v>
      </c>
      <c r="AY197" s="411">
        <f>IF(AX197=0,0,IF($LB197=70%,VLOOKUP($AW197,'Jan-2026 rates'!$L:$R,4,0),IF($LB197=65%,VLOOKUP($AW197,'Jan-2026 rates'!$L:$R,4,0),IF($LB197=40%,VLOOKUP($AW197,'Jan-2026 rates'!$L:$R,5,0),IF($LB197=30%,VLOOKUP($AW197,'Jan-2026 rates'!$L:$R,6,0),IF($LB197=100%,VLOOKUP($AW197,'Jan-2026 rates'!$L:$R,7,0),IF($LB197=60%,VLOOKUP($AW197,'Jan-2026 rates'!$L:$S,8,0),IF($LB197=80%,VLOOKUP($AW197,'Jan-2026 rates'!L:T,9,0),0))))))))</f>
        <v>0</v>
      </c>
      <c r="AZ197" s="412"/>
      <c r="BA197" s="409"/>
      <c r="BB197" s="411">
        <f>IF(BA197=0,0,IF($LB197=70%,VLOOKUP($AW197,'Jan-2026 rates'!$L:$R,4,0),IF($LB197=65%,VLOOKUP($AW197,'Jan-2026 rates'!$L:$R,4,0),IF($LB197=40%,VLOOKUP($AW197,'Jan-2026 rates'!$L:$R,5,0),IF($LB197=30%,VLOOKUP($AW197,'Jan-2026 rates'!$L:$R,6,0),IF($LB197=100%,VLOOKUP($AW197,'Jan-2026 rates'!$L:$R,7,0),IF($LB197=60%,VLOOKUP($AW197,'Jan-2026 rates'!$L:$S,8,0),IF($LB197=80%,VLOOKUP($AW197,'Jan-2026 rates'!L:T,9,0),0))))))))</f>
        <v>0</v>
      </c>
      <c r="BC197" s="413" t="s">
        <v>1249</v>
      </c>
      <c r="BD197" s="412"/>
      <c r="BE197" s="412"/>
      <c r="BF197" s="413"/>
      <c r="BG197" s="412"/>
      <c r="BH197" s="412"/>
      <c r="BI197" s="412"/>
      <c r="BJ197" s="412"/>
      <c r="BK197" s="409">
        <f>160+100</f>
        <v>260</v>
      </c>
      <c r="BL197" s="398">
        <f>IF(BK197=0,0,IF(LEN(BC197)=11,_xlfn.XLOOKUP(BC197,'Dispensed Ink Rates'!C:C,'Dispensed Ink Rates'!CS:CS),VLOOKUP(BC197,'Jan-2026 rates'!$E:$F,2,0)))</f>
        <v>0</v>
      </c>
      <c r="BM197" s="409"/>
      <c r="BN197" s="398">
        <f>IF(BM197=0,0,IF(LEN(BD197)=11,_xlfn.XLOOKUP(BD197,'Dispensed Ink Rates'!C:C,'Dispensed Ink Rates'!CS:CS),VLOOKUP(BD197,'Jan-2026 rates'!$E:$F,2,0)))</f>
        <v>0</v>
      </c>
      <c r="BO197" s="409"/>
      <c r="BP197" s="398">
        <f>IF(BO197=0,0,IF(LEN(BE197)=11,_xlfn.XLOOKUP(BE197,'Dispensed Ink Rates'!C:C,'Dispensed Ink Rates'!CS:CS),VLOOKUP(BE197,'Jan-2026 rates'!$E:$F,2,0)))</f>
        <v>0</v>
      </c>
      <c r="BQ197" s="409"/>
      <c r="BR197" s="398">
        <f>IF(BQ197=0,0,IF(LEN(BF197)=11,_xlfn.XLOOKUP(BF197,'Dispensed Ink Rates'!C:C,'Dispensed Ink Rates'!CS:CS),VLOOKUP(BF197,'Jan-2026 rates'!$E:$F,2,0)))</f>
        <v>0</v>
      </c>
      <c r="BS197" s="409"/>
      <c r="BT197" s="398">
        <f>IF(BS197=0,0,IF(LEN(BG197)=11,_xlfn.XLOOKUP(BG197,'Dispensed Ink Rates'!C:C,'Dispensed Ink Rates'!CS:CS),VLOOKUP(BG197,'Jan-2026 rates'!$E:$F,2,0)))</f>
        <v>0</v>
      </c>
      <c r="BU197" s="409"/>
      <c r="BV197" s="398">
        <f>IF(BU197=0,0,IF(LEN(BH197)=11,_xlfn.XLOOKUP(BH197,'Dispensed Ink Rates'!C:C,'Dispensed Ink Rates'!CS:CS),VLOOKUP(BH197,'Jan-2026 rates'!$E:$F,2,0)))</f>
        <v>0</v>
      </c>
      <c r="BW197" s="409"/>
      <c r="BX197" s="398">
        <f>IF(BW197=0,0,IF(LEN(BI197)=11,_xlfn.XLOOKUP(BI197,'Dispensed Ink Rates'!C:C,'Dispensed Ink Rates'!CS:CS),VLOOKUP(BI197,'Jan-2026 rates'!$E:$F,2,0)))</f>
        <v>0</v>
      </c>
      <c r="BY197" s="409"/>
      <c r="BZ197" s="398">
        <f>IF(BY197=0,0,IF(LEN(BJ197)=11,_xlfn.XLOOKUP(BJ197,'Dispensed Ink Rates'!C:C,'Dispensed Ink Rates'!CS:CS),VLOOKUP(BJ197,'Jan-2026 rates'!$E:$F,2,0)))</f>
        <v>0</v>
      </c>
      <c r="CA197" s="409" t="s">
        <v>1881</v>
      </c>
      <c r="CB197" s="409">
        <v>30</v>
      </c>
      <c r="CC197" s="411">
        <f t="shared" si="109"/>
        <v>0</v>
      </c>
      <c r="CD197" s="411">
        <f t="shared" si="110"/>
        <v>589.58333333333326</v>
      </c>
      <c r="CE197" s="410">
        <f t="shared" si="111"/>
        <v>0</v>
      </c>
      <c r="CF197" s="404"/>
      <c r="CG197" s="409"/>
      <c r="CH197" s="420" t="str">
        <f t="shared" si="132"/>
        <v xml:space="preserve"> - </v>
      </c>
      <c r="CI197" s="409"/>
      <c r="CJ197" s="411">
        <f>IF(CI197=0,0,IF($LB197=70%,VLOOKUP($CH197,'Jan-2026 rates'!$L:$R,4,0),IF($LB197=65%,VLOOKUP($CH197,'Jan-2026 rates'!$L:$R,4,0),IF($LB197=40%,VLOOKUP($CH197,'Jan-2026 rates'!$L:$R,5,0),IF($LB197=30%,VLOOKUP($CH197,'Jan-2026 rates'!$L:$R,6,0),IF($LB197=100%,VLOOKUP($CH197,'Jan-2026 rates'!$L:$R,7,0),IF($LB197=60%,VLOOKUP($CH197,'Jan-2026 rates'!$L:$S,8,0),IF($LB197=80%,VLOOKUP($CH197,'Jan-2026 rates'!L:T,9,0),0))))))))</f>
        <v>0</v>
      </c>
      <c r="CK197" s="412"/>
      <c r="CL197" s="409"/>
      <c r="CM197" s="411">
        <f>IF(CL197=0,0,IF($LB197=70%,VLOOKUP($CH197,'Jan-2026 rates'!$L:$R,4,0),IF($LB197=65%,VLOOKUP($CH197,'Jan-2026 rates'!$L:$R,4,0),IF($LB197=40%,VLOOKUP($CH197,'Jan-2026 rates'!$L:$R,5,0),IF($LB197=30%,VLOOKUP($CH197,'Jan-2026 rates'!$L:$R,6,0),IF($LB197=100%,VLOOKUP($CH197,'Jan-2026 rates'!$L:$R,7,0),IF($LB197=60%,VLOOKUP($CH197,'Jan-2026 rates'!$L:$S,8,0),IF($LB197=80%,VLOOKUP($CH197,'Jan-2026 rates'!L:T,9,0),0))))))))</f>
        <v>0</v>
      </c>
      <c r="CN197" s="426"/>
      <c r="CO197" s="427"/>
      <c r="CP197" s="426"/>
      <c r="CQ197" s="426"/>
      <c r="CR197" s="428"/>
      <c r="CS197" s="428"/>
      <c r="CT197" s="428"/>
      <c r="CU197" s="428"/>
      <c r="CV197" s="409"/>
      <c r="CW197" s="398">
        <f>IF(CV197=0,0,IF(LEN(CN197)=11,_xlfn.XLOOKUP(CN197,'Dispensed Ink Rates'!C:C,'Dispensed Ink Rates'!CS:CS),VLOOKUP(CN197,'Jan-2026 rates'!$E:$F,2,0)))</f>
        <v>0</v>
      </c>
      <c r="CX197" s="409"/>
      <c r="CY197" s="398">
        <f>IF(CX197=0,0,IF(LEN(CO197)=11,_xlfn.XLOOKUP(CO197,'Dispensed Ink Rates'!C:C,'Dispensed Ink Rates'!CS:CS),VLOOKUP(CO197,'Jan-2026 rates'!$E:$F,2,0)))</f>
        <v>0</v>
      </c>
      <c r="CZ197" s="409"/>
      <c r="DA197" s="398">
        <f>IF(CZ197=0,0,IF(LEN(CP197)=11,_xlfn.XLOOKUP(CP197,'Dispensed Ink Rates'!C:C,'Dispensed Ink Rates'!CS:CS),VLOOKUP(CP197,'Jan-2026 rates'!$E:$F,2,0)))</f>
        <v>0</v>
      </c>
      <c r="DB197" s="409"/>
      <c r="DC197" s="398">
        <f>IF(DB197=0,0,IF(LEN(CQ197)=11,_xlfn.XLOOKUP(CQ197,'Dispensed Ink Rates'!C:C,'Dispensed Ink Rates'!CS:CS),VLOOKUP(CQ197,'Jan-2026 rates'!$E:$F,2,0)))</f>
        <v>0</v>
      </c>
      <c r="DD197" s="409"/>
      <c r="DE197" s="398">
        <f>IF(DD197=0,0,IF(LEN(CR197)=11,_xlfn.XLOOKUP(CR197,'Dispensed Ink Rates'!C:C,'Dispensed Ink Rates'!CS:CS),VLOOKUP(CR197,'Jan-2026 rates'!$E:$F,2,0)))</f>
        <v>0</v>
      </c>
      <c r="DF197" s="409"/>
      <c r="DG197" s="398">
        <f>IF(DF197=0,0,IF(LEN(CS197)=11,_xlfn.XLOOKUP(CS197,'Dispensed Ink Rates'!C:C,'Dispensed Ink Rates'!CS:CS),VLOOKUP(CS197,'Jan-2026 rates'!$E:$F,2,0)))</f>
        <v>0</v>
      </c>
      <c r="DH197" s="409"/>
      <c r="DI197" s="398">
        <f>IF(DH197=0,0,IF(LEN(CT197)=11,_xlfn.XLOOKUP(CT197,'Dispensed Ink Rates'!C:C,'Dispensed Ink Rates'!CS:CS),VLOOKUP(CT197,'Jan-2026 rates'!$E:$F,2,0)))</f>
        <v>0</v>
      </c>
      <c r="DJ197" s="409"/>
      <c r="DK197" s="398">
        <f>IF(DJ197=0,0,IF(LEN(CU197)=11,_xlfn.XLOOKUP(CU197,'Dispensed Ink Rates'!C:C,'Dispensed Ink Rates'!CS:CS),VLOOKUP(CU197,'Jan-2026 rates'!$E:$F,2,0)))</f>
        <v>0</v>
      </c>
      <c r="DL197" s="409"/>
      <c r="DM197" s="409"/>
      <c r="DN197" s="411">
        <f t="shared" si="112"/>
        <v>0</v>
      </c>
      <c r="DO197" s="411">
        <f t="shared" si="113"/>
        <v>0</v>
      </c>
      <c r="DP197" s="410">
        <f t="shared" si="114"/>
        <v>0</v>
      </c>
      <c r="DQ197" s="405"/>
      <c r="DR197" s="409"/>
      <c r="DS197" s="420" t="str">
        <f t="shared" si="133"/>
        <v xml:space="preserve"> - </v>
      </c>
      <c r="DT197" s="409"/>
      <c r="DU197" s="411">
        <f>IF(DT197=0,0,IF($LB197=70%,VLOOKUP($DS197,'Jan-2026 rates'!$L:$R,4,0),IF($LB197=65%,VLOOKUP($DS197,'Jan-2026 rates'!$L:$R,4,0),IF($LB197=40%,VLOOKUP($DS197,'Jan-2026 rates'!$L:$R,5,0),IF($LB197=30%,VLOOKUP($DS197,'Jan-2026 rates'!$L:$R,6,0),IF($LB197=100%,VLOOKUP($DS197,'Jan-2026 rates'!$L:$R,7,0),IF($LB197=60%,VLOOKUP($DS197,'Jan-2026 rates'!$L:$S,8,0),IF($LB197=80%,VLOOKUP($DS197,'Jan-2026 rates'!L:T,9,0),0))))))))</f>
        <v>0</v>
      </c>
      <c r="DV197" s="412"/>
      <c r="DW197" s="409"/>
      <c r="DX197" s="411">
        <f>IF(DW197=0,0,IF($LB197=70%,VLOOKUP($DS197,'Jan-2026 rates'!$L:$R,4,0),IF($LB197=65%,VLOOKUP($DS197,'Jan-2026 rates'!$L:$R,4,0),IF($LB197=40%,VLOOKUP($DS197,'Jan-2026 rates'!$L:$R,5,0),IF($LB197=30%,VLOOKUP($DS197,'Jan-2026 rates'!$L:$R,6,0),IF($LB197=100%,VLOOKUP($DS197,'Jan-2026 rates'!$L:$R,7,0),IF($LB197=60%,VLOOKUP($DS197,'Jan-2026 rates'!$L:$S,8,0),IF($LB197=80%,VLOOKUP($DS197,'Jan-2026 rates'!L:T,9,0),0))))))))</f>
        <v>0</v>
      </c>
      <c r="DY197" s="413"/>
      <c r="DZ197" s="413"/>
      <c r="EA197" s="412"/>
      <c r="EB197" s="412"/>
      <c r="EC197" s="412"/>
      <c r="ED197" s="412"/>
      <c r="EE197" s="412"/>
      <c r="EF197" s="412"/>
      <c r="EG197" s="409"/>
      <c r="EH197" s="398">
        <f>IF(EG197=0,0,IF(LEN(DY197)=11,_xlfn.XLOOKUP(DY197,'Dispensed Ink Rates'!C:C,'Dispensed Ink Rates'!CS:CS),VLOOKUP(DY197,'Jan-2026 rates'!$E:$F,2,0)))</f>
        <v>0</v>
      </c>
      <c r="EI197" s="409"/>
      <c r="EJ197" s="398">
        <f>IF(EI197=0,0,IF(LEN(DZ197)=11,_xlfn.XLOOKUP(DZ197,'Dispensed Ink Rates'!C:C,'Dispensed Ink Rates'!CS:CS),VLOOKUP(DZ197,'Jan-2026 rates'!$E:$F,2,0)))</f>
        <v>0</v>
      </c>
      <c r="EK197" s="409"/>
      <c r="EL197" s="398">
        <f>IF(EK197=0,0,IF(LEN(EA197)=11,_xlfn.XLOOKUP(EA197,'Dispensed Ink Rates'!C:C,'Dispensed Ink Rates'!CS:CS),VLOOKUP(EA197,'Jan-2026 rates'!$E:$F,2,0)))</f>
        <v>0</v>
      </c>
      <c r="EM197" s="409"/>
      <c r="EN197" s="398">
        <f>IF(EM197=0,0,IF(LEN(EB197)=11,_xlfn.XLOOKUP(EB197,'Dispensed Ink Rates'!C:C,'Dispensed Ink Rates'!CS:CS),VLOOKUP(EB197,'Jan-2026 rates'!$E:$F,2,0)))</f>
        <v>0</v>
      </c>
      <c r="EO197" s="409"/>
      <c r="EP197" s="398">
        <f>IF(EO197=0,0,IF(LEN(EC197)=11,_xlfn.XLOOKUP(EC197,'Dispensed Ink Rates'!C:C,'Dispensed Ink Rates'!CS:CS),VLOOKUP(EC197,'Jan-2026 rates'!$E:$F,2,0)))</f>
        <v>0</v>
      </c>
      <c r="EQ197" s="409"/>
      <c r="ER197" s="398">
        <f>IF(EQ197=0,0,IF(LEN(ED197)=11,_xlfn.XLOOKUP(ED197,'Dispensed Ink Rates'!C:C,'Dispensed Ink Rates'!CS:CS),VLOOKUP(ED197,'Jan-2026 rates'!$E:$F,2,0)))</f>
        <v>0</v>
      </c>
      <c r="ES197" s="409"/>
      <c r="ET197" s="398">
        <f>IF(ES197=0,0,IF(LEN(EE197)=11,_xlfn.XLOOKUP(EE197,'Dispensed Ink Rates'!C:C,'Dispensed Ink Rates'!CS:CS),VLOOKUP(EE197,'Jan-2026 rates'!$E:$F,2,0)))</f>
        <v>0</v>
      </c>
      <c r="EU197" s="409"/>
      <c r="EV197" s="398">
        <f>IF(EU197=0,0,IF(LEN(EF197)=11,_xlfn.XLOOKUP(EF197,'Dispensed Ink Rates'!C:C,'Dispensed Ink Rates'!CS:CS),VLOOKUP(EF197,'Jan-2026 rates'!$E:$F,2,0)))</f>
        <v>0</v>
      </c>
      <c r="EW197" s="409"/>
      <c r="EX197" s="409"/>
      <c r="EY197" s="411">
        <f t="shared" si="115"/>
        <v>0</v>
      </c>
      <c r="EZ197" s="411">
        <f t="shared" si="116"/>
        <v>0</v>
      </c>
      <c r="FA197" s="410">
        <f t="shared" si="117"/>
        <v>0</v>
      </c>
      <c r="FB197" s="405"/>
      <c r="FC197" s="409"/>
      <c r="FD197" s="420" t="str">
        <f t="shared" si="134"/>
        <v xml:space="preserve"> - </v>
      </c>
      <c r="FE197" s="409"/>
      <c r="FF197" s="411">
        <f>IF(FE197=0,0,IF($LB197=70%,VLOOKUP($FD197,'Jan-2026 rates'!$L:$R,4,0),IF($LB197=65%,VLOOKUP($FD197,'Jan-2026 rates'!$L:$R,4,0),IF($LB197=40%,VLOOKUP($FD197,'Jan-2026 rates'!$L:$R,5,0),IF($LB197=30%,VLOOKUP($FD197,'Jan-2026 rates'!$L:$R,6,0),IF($LB197=100%,VLOOKUP($FD197,'Jan-2026 rates'!$L:$R,7,0),IF($LB197=60%,VLOOKUP($FD197,'Jan-2026 rates'!$L:$S,8,0),IF($LB197=80%,VLOOKUP($FD197,'Jan-2026 rates'!L:T,9,0),0))))))))</f>
        <v>0</v>
      </c>
      <c r="FG197" s="412"/>
      <c r="FH197" s="409"/>
      <c r="FI197" s="411">
        <f>IF(FH197=0,0,IF($LB197=70%,VLOOKUP($FD197,'Jan-2026 rates'!$L:$R,4,0),IF($LB197=65%,VLOOKUP($FD197,'Jan-2026 rates'!$L:$R,4,0),IF($LB197=40%,VLOOKUP($FD197,'Jan-2026 rates'!$L:$R,5,0),IF($LB197=30%,VLOOKUP($FD197,'Jan-2026 rates'!$L:$R,6,0),IF($LB197=100%,VLOOKUP($FD197,'Jan-2026 rates'!$L:$R,7,0),IF($LB197=60%,VLOOKUP($FD197,'Jan-2026 rates'!$L:$S,8,0),IF($LB197=80%,VLOOKUP($FD197,'Jan-2026 rates'!L:T,9,0),0))))))))</f>
        <v>0</v>
      </c>
      <c r="FJ197" s="413"/>
      <c r="FK197" s="413"/>
      <c r="FL197" s="413"/>
      <c r="FM197" s="412"/>
      <c r="FN197" s="412"/>
      <c r="FO197" s="412"/>
      <c r="FP197" s="412"/>
      <c r="FQ197" s="412"/>
      <c r="FR197" s="409"/>
      <c r="FS197" s="398">
        <f>IF(FR197=0,0,IF(LEN(FJ197)=11,_xlfn.XLOOKUP(FJ197,'Dispensed Ink Rates'!C:C,'Dispensed Ink Rates'!CS:CS),VLOOKUP(FJ197,'Jan-2026 rates'!$E:$F,2,0)))</f>
        <v>0</v>
      </c>
      <c r="FT197" s="409"/>
      <c r="FU197" s="398">
        <f>IF(FT197=0,0,IF(LEN(FK197)=11,_xlfn.XLOOKUP(FK197,'Dispensed Ink Rates'!C:C,'Dispensed Ink Rates'!CS:CS),VLOOKUP(FK197,'Jan-2026 rates'!$E:$F,2,0)))</f>
        <v>0</v>
      </c>
      <c r="FV197" s="409"/>
      <c r="FW197" s="398">
        <f>IF(FV197=0,0,IF(LEN(FL197)=11,_xlfn.XLOOKUP(FL197,'Dispensed Ink Rates'!C:C,'Dispensed Ink Rates'!CS:CS),VLOOKUP(FL197,'Jan-2026 rates'!$E:$F,2,0)))</f>
        <v>0</v>
      </c>
      <c r="FX197" s="409"/>
      <c r="FY197" s="398">
        <f>IF(FX197=0,0,IF(LEN(FM197)=11,_xlfn.XLOOKUP(FM197,'Dispensed Ink Rates'!C:C,'Dispensed Ink Rates'!CS:CS),VLOOKUP(FM197,'Jan-2026 rates'!$E:$F,2,0)))</f>
        <v>0</v>
      </c>
      <c r="FZ197" s="409"/>
      <c r="GA197" s="398">
        <f>IF(FZ197=0,0,IF(LEN(FN197)=11,_xlfn.XLOOKUP(FN197,'Dispensed Ink Rates'!C:C,'Dispensed Ink Rates'!CS:CS),VLOOKUP(FN197,'Jan-2026 rates'!$E:$F,2,0)))</f>
        <v>0</v>
      </c>
      <c r="GB197" s="409"/>
      <c r="GC197" s="398">
        <f>IF(GB197=0,0,IF(LEN(FO197)=11,_xlfn.XLOOKUP(FO197,'Dispensed Ink Rates'!C:C,'Dispensed Ink Rates'!CS:CS),VLOOKUP(FO197,'Jan-2026 rates'!$E:$F,2,0)))</f>
        <v>0</v>
      </c>
      <c r="GD197" s="409"/>
      <c r="GE197" s="398">
        <f>IF(GD197=0,0,IF(LEN(FP197)=11,_xlfn.XLOOKUP(FP197,'Dispensed Ink Rates'!C:C,'Dispensed Ink Rates'!CS:CS),VLOOKUP(FP197,'Jan-2026 rates'!$E:$F,2,0)))</f>
        <v>0</v>
      </c>
      <c r="GF197" s="409"/>
      <c r="GG197" s="398">
        <f>IF(GF197=0,0,IF(LEN(FQ197)=11,_xlfn.XLOOKUP(FQ197,'Dispensed Ink Rates'!C:C,'Dispensed Ink Rates'!CS:CS),VLOOKUP(FQ197,'Jan-2026 rates'!$E:$F,2,0)))</f>
        <v>0</v>
      </c>
      <c r="GH197" s="409"/>
      <c r="GI197" s="409"/>
      <c r="GJ197" s="411">
        <f t="shared" si="118"/>
        <v>0</v>
      </c>
      <c r="GK197" s="411">
        <f t="shared" si="119"/>
        <v>0</v>
      </c>
      <c r="GL197" s="410">
        <f t="shared" si="120"/>
        <v>0</v>
      </c>
      <c r="GM197" s="405"/>
      <c r="GN197" s="409"/>
      <c r="GO197" s="420" t="str">
        <f t="shared" si="135"/>
        <v xml:space="preserve"> - </v>
      </c>
      <c r="GP197" s="409"/>
      <c r="GQ197" s="411">
        <f>IF(GP197=0,0,IF($LB197=70%,VLOOKUP($GO197,'Jan-2026 rates'!$L:$R,4,0),IF($LB197=65%,VLOOKUP($GO197,'Jan-2026 rates'!$L:$R,4,0),IF($LB197=40%,VLOOKUP($GO197,'Jan-2026 rates'!$L:$R,5,0),IF($LB197=30%,VLOOKUP($GO197,'Jan-2026 rates'!$L:$R,6,0),IF($LB197=100%,VLOOKUP($GO197,'Jan-2026 rates'!$L:$R,7,0),IF($LB197=60%,VLOOKUP($GO197,'Jan-2026 rates'!$L:$S,8,0),IF($LB197=80%,VLOOKUP($GO197,'Jan-2026 rates'!L:T,9,0),0))))))))</f>
        <v>0</v>
      </c>
      <c r="GR197" s="412"/>
      <c r="GS197" s="409"/>
      <c r="GT197" s="411">
        <f>IF(GS197=0,0,IF($LB197=70%,VLOOKUP($GO197,'Jan-2026 rates'!$L:$R,4,0),IF($LB197=65%,VLOOKUP($GO197,'Jan-2026 rates'!$L:$R,4,0),IF($LB197=40%,VLOOKUP($GO197,'Jan-2026 rates'!$L:$R,5,0),IF($LB197=30%,VLOOKUP($GO197,'Jan-2026 rates'!$L:$R,6,0),IF($LB197=100%,VLOOKUP($GO197,'Jan-2026 rates'!$L:$R,7,0),IF($LB197=60%,VLOOKUP($GO197,'Jan-2026 rates'!$L:$S,8,0),IF($LB197=80%,VLOOKUP($GO197,'Jan-2026 rates'!L:T,9,0),0))))))))</f>
        <v>0</v>
      </c>
      <c r="GU197" s="413"/>
      <c r="GV197" s="413"/>
      <c r="GW197" s="412"/>
      <c r="GX197" s="412"/>
      <c r="GY197" s="412"/>
      <c r="GZ197" s="412"/>
      <c r="HA197" s="412"/>
      <c r="HB197" s="412"/>
      <c r="HC197" s="409"/>
      <c r="HD197" s="398">
        <f>IF(HC197=0,0,IF(LEN(GU197)=11,_xlfn.XLOOKUP(GU197,'Dispensed Ink Rates'!C:C,'Dispensed Ink Rates'!CS:CS),VLOOKUP(GU197,'Jan-2026 rates'!$E:$F,2,0)))</f>
        <v>0</v>
      </c>
      <c r="HE197" s="409"/>
      <c r="HF197" s="398">
        <f>IF(HE197=0,0,IF(LEN(GV197)=11,_xlfn.XLOOKUP(GV197,'Dispensed Ink Rates'!C:C,'Dispensed Ink Rates'!CS:CS),VLOOKUP(GV197,'Jan-2026 rates'!$E:$F,2,0)))</f>
        <v>0</v>
      </c>
      <c r="HG197" s="409"/>
      <c r="HH197" s="398">
        <f>IF(HG197=0,0,IF(LEN(GW197)=11,_xlfn.XLOOKUP(GW197,'Dispensed Ink Rates'!C:C,'Dispensed Ink Rates'!CS:CS),VLOOKUP(GW197,'Jan-2026 rates'!$E:$F,2,0)))</f>
        <v>0</v>
      </c>
      <c r="HI197" s="409"/>
      <c r="HJ197" s="398">
        <f>IF(HI197=0,0,IF(LEN(GX197)=11,_xlfn.XLOOKUP(GX197,'Dispensed Ink Rates'!C:C,'Dispensed Ink Rates'!CS:CS),VLOOKUP(GX197,'Jan-2026 rates'!$E:$F,2,0)))</f>
        <v>0</v>
      </c>
      <c r="HK197" s="409"/>
      <c r="HL197" s="398">
        <f>IF(HK197=0,0,IF(LEN(GY197)=11,_xlfn.XLOOKUP(GY197,'Dispensed Ink Rates'!C:C,'Dispensed Ink Rates'!CS:CS),VLOOKUP(GY197,'Jan-2026 rates'!$E:$F,2,0)))</f>
        <v>0</v>
      </c>
      <c r="HM197" s="409"/>
      <c r="HN197" s="398">
        <f>IF(HM197=0,0,IF(LEN(GZ197)=11,_xlfn.XLOOKUP(GZ197,'Dispensed Ink Rates'!C:C,'Dispensed Ink Rates'!CS:CS),VLOOKUP(GZ197,'Jan-2026 rates'!$E:$F,2,0)))</f>
        <v>0</v>
      </c>
      <c r="HO197" s="409"/>
      <c r="HP197" s="398">
        <f>IF(HO197=0,0,IF(LEN(HA197)=11,_xlfn.XLOOKUP(HA197,'Dispensed Ink Rates'!C:C,'Dispensed Ink Rates'!CS:CS),VLOOKUP(HA197,'Jan-2026 rates'!$E:$F,2,0)))</f>
        <v>0</v>
      </c>
      <c r="HQ197" s="409"/>
      <c r="HR197" s="398">
        <f>IF(HQ197=0,0,IF(LEN(HB197)=11,_xlfn.XLOOKUP(HB197,'Dispensed Ink Rates'!C:C,'Dispensed Ink Rates'!CS:CS),VLOOKUP(HB197,'Jan-2026 rates'!$E:$F,2,0)))</f>
        <v>0</v>
      </c>
      <c r="HS197" s="409"/>
      <c r="HT197" s="409"/>
      <c r="HU197" s="411">
        <f t="shared" si="121"/>
        <v>0</v>
      </c>
      <c r="HV197" s="411">
        <f t="shared" si="122"/>
        <v>0</v>
      </c>
      <c r="HW197" s="414">
        <f t="shared" si="123"/>
        <v>0</v>
      </c>
      <c r="HX197" s="405"/>
      <c r="HY197" s="409"/>
      <c r="HZ197" s="420" t="str">
        <f t="shared" si="136"/>
        <v xml:space="preserve"> - </v>
      </c>
      <c r="IA197" s="409"/>
      <c r="IB197" s="411">
        <f>IF(IA197=0,0,IF($LB197=70%,VLOOKUP($HZ197,'Jan-2026 rates'!$L:$R,4,0),IF($LB197=65%,VLOOKUP($HZ197,'Jan-2026 rates'!$L:$R,4,0),IF($LB197=40%,VLOOKUP($HZ197,'Jan-2026 rates'!$L:$R,5,0),IF($LB197=30%,VLOOKUP($HZ197,'Jan-2026 rates'!$L:$R,6,0),IF($LB197=100%,VLOOKUP($HZ197,'Jan-2026 rates'!$L:$R,7,0),IF($LB197=60%,VLOOKUP($HZ197,'Jan-2026 rates'!$L:$S,8,0),IF($LB197=80%,VLOOKUP($HZ197,'Jan-2026 rates'!L:T,9,0),0))))))))</f>
        <v>0</v>
      </c>
      <c r="IC197" s="412"/>
      <c r="ID197" s="409"/>
      <c r="IE197" s="411">
        <f>IF(ID197=0,0,IF($LB197=70%,VLOOKUP($HZ197,'Jan-2026 rates'!$L:$R,4,0),IF($LB197=65%,VLOOKUP($HZ197,'Jan-2026 rates'!$L:$R,4,0),IF($LB197=40%,VLOOKUP($HZ197,'Jan-2026 rates'!$L:$R,5,0),IF($LB197=30%,VLOOKUP($HZ197,'Jan-2026 rates'!$L:$R,6,0),IF($LB197=100%,VLOOKUP($HZ197,'Jan-2026 rates'!$L:$R,7,0),IF($LB197=60%,VLOOKUP($HZ197,'Jan-2026 rates'!$L:$S,8,0),IF($LB197=80%,VLOOKUP($HZ197,'Jan-2026 rates'!L:T,9,0),0))))))))</f>
        <v>0</v>
      </c>
      <c r="IF197" s="412"/>
      <c r="IG197" s="413"/>
      <c r="IH197" s="412"/>
      <c r="II197" s="412"/>
      <c r="IJ197" s="412"/>
      <c r="IK197" s="412"/>
      <c r="IL197" s="412"/>
      <c r="IM197" s="412"/>
      <c r="IN197" s="409"/>
      <c r="IO197" s="398">
        <f>IF(IN197=0,0,IF(LEN(IF197)=11,_xlfn.XLOOKUP(IF197,'Dispensed Ink Rates'!C:C,'Dispensed Ink Rates'!CS:CS),VLOOKUP(IF197,'Jan-2026 rates'!$E:$F,2,0)))</f>
        <v>0</v>
      </c>
      <c r="IP197" s="409"/>
      <c r="IQ197" s="398">
        <f>IF(IP197=0,0,IF(LEN(IG197)=11,_xlfn.XLOOKUP(IG197,'Dispensed Ink Rates'!C:C,'Dispensed Ink Rates'!CS:CS),VLOOKUP(IG197,'Jan-2026 rates'!$E:$F,2,0)))</f>
        <v>0</v>
      </c>
      <c r="IR197" s="409"/>
      <c r="IS197" s="398">
        <f>IF(IR197=0,0,IF(LEN(IH197)=11,_xlfn.XLOOKUP(IH197,'Dispensed Ink Rates'!C:C,'Dispensed Ink Rates'!CS:CS),VLOOKUP(IH197,'Jan-2026 rates'!$E:$F,2,0)))</f>
        <v>0</v>
      </c>
      <c r="IT197" s="409"/>
      <c r="IU197" s="398">
        <f>IF(IT197=0,0,IF(LEN(II197)=11,_xlfn.XLOOKUP(II197,'Dispensed Ink Rates'!C:C,'Dispensed Ink Rates'!CS:CS),VLOOKUP(II197,'Jan-2026 rates'!$E:$F,2,0)))</f>
        <v>0</v>
      </c>
      <c r="IV197" s="409"/>
      <c r="IW197" s="398">
        <f>IF(IV197=0,0,IF(LEN(IJ197)=11,_xlfn.XLOOKUP(IJ197,'Dispensed Ink Rates'!C:C,'Dispensed Ink Rates'!CS:CS),VLOOKUP(IJ197,'Jan-2026 rates'!$E:$F,2,0)))</f>
        <v>0</v>
      </c>
      <c r="IX197" s="409"/>
      <c r="IY197" s="398">
        <f>IF(IX197=0,0,IF(LEN(IK197)=11,_xlfn.XLOOKUP(IK197,'Dispensed Ink Rates'!C:C,'Dispensed Ink Rates'!CS:CS),VLOOKUP(IK197,'Jan-2026 rates'!$E:$F,2,0)))</f>
        <v>0</v>
      </c>
      <c r="IZ197" s="409"/>
      <c r="JA197" s="398">
        <f>IF(IZ197=0,0,IF(LEN(IL197)=11,_xlfn.XLOOKUP(IL197,'Dispensed Ink Rates'!C:C,'Dispensed Ink Rates'!CS:CS),VLOOKUP(IL197,'Jan-2026 rates'!$E:$F,2,0)))</f>
        <v>0</v>
      </c>
      <c r="JB197" s="409"/>
      <c r="JC197" s="398">
        <f>IF(JB197=0,0,IF(LEN(IM197)=11,_xlfn.XLOOKUP(IM197,'Dispensed Ink Rates'!C:C,'Dispensed Ink Rates'!CS:CS),VLOOKUP(IM197,'Jan-2026 rates'!$E:$F,2,0)))</f>
        <v>0</v>
      </c>
      <c r="JD197" s="409"/>
      <c r="JE197" s="409"/>
      <c r="JF197" s="411">
        <f t="shared" si="124"/>
        <v>0</v>
      </c>
      <c r="JG197" s="411">
        <f t="shared" si="125"/>
        <v>0</v>
      </c>
      <c r="JH197" s="410">
        <f t="shared" si="126"/>
        <v>0</v>
      </c>
      <c r="JI197" s="405"/>
      <c r="JJ197" s="409"/>
      <c r="JK197" s="420" t="str">
        <f t="shared" si="137"/>
        <v xml:space="preserve"> - </v>
      </c>
      <c r="JL197" s="409"/>
      <c r="JM197" s="411">
        <f>IF(JL197=0,0,IF($LB197=70%,VLOOKUP($JK197,'Jan-2026 rates'!$L:$R,4,0),IF($LB197=65%,VLOOKUP($JK197,'Jan-2026 rates'!$L:$R,4,0),IF($LB197=40%,VLOOKUP($JK197,'Jan-2026 rates'!$L:$R,5,0),IF($LB197=30%,VLOOKUP($JK197,'Jan-2026 rates'!$L:$R,6,0),IF($LB197=100%,VLOOKUP($JK197,'Jan-2026 rates'!$L:$R,7,0),IF($LB197=60%,VLOOKUP($JK197,'Jan-2026 rates'!$L:$S,8,0),IF($LB197=80%,VLOOKUP($JK197,'Jan-2026 rates'!L:T,9,0),0))))))))</f>
        <v>0</v>
      </c>
      <c r="JN197" s="412"/>
      <c r="JO197" s="409"/>
      <c r="JP197" s="411">
        <f>IF(JO197=0,0,IF($LB197=70%,VLOOKUP($JK197,'Jan-2026 rates'!$L:$R,4,0),IF($LB197=65%,VLOOKUP($JK197,'Jan-2026 rates'!$L:$R,4,0),IF($LB197=40%,VLOOKUP($JK197,'Jan-2026 rates'!$L:$R,5,0),IF($LB197=30%,VLOOKUP($JK197,'Jan-2026 rates'!$L:$R,6,0),IF($LB197=100%,VLOOKUP($JK197,'Jan-2026 rates'!$L:$R,7,0),IF($LB197=60%,VLOOKUP($JK197,'Jan-2026 rates'!$L:$S,8,0),IF($LB197=80%,VLOOKUP($JK197,'Jan-2026 rates'!L:T,9,0),0))))))))</f>
        <v>0</v>
      </c>
      <c r="JQ197" s="413"/>
      <c r="JR197" s="412"/>
      <c r="JS197" s="413"/>
      <c r="JT197" s="413"/>
      <c r="JU197" s="412"/>
      <c r="JV197" s="412"/>
      <c r="JW197" s="412"/>
      <c r="JX197" s="412"/>
      <c r="JY197" s="409"/>
      <c r="JZ197" s="398">
        <f>IF(JY197=0,0,IF(LEN(JQ197)=11,_xlfn.XLOOKUP(JQ197,'Dispensed Ink Rates'!C:C,'Dispensed Ink Rates'!CS:CS),VLOOKUP(JQ197,'Jan-2026 rates'!$E:$F,2,0)))</f>
        <v>0</v>
      </c>
      <c r="KA197" s="409"/>
      <c r="KB197" s="398">
        <f>IF(KA197=0,0,IF(LEN(JR197)=11,_xlfn.XLOOKUP(JR197,'Dispensed Ink Rates'!C:C,'Dispensed Ink Rates'!CS:CS),VLOOKUP(JR197,'Jan-2026 rates'!$E:$F,2,0)))</f>
        <v>0</v>
      </c>
      <c r="KC197" s="409"/>
      <c r="KD197" s="398">
        <f>IF(KC197=0,0,IF(LEN(JS197)=11,_xlfn.XLOOKUP(JS197,'Dispensed Ink Rates'!C:C,'Dispensed Ink Rates'!CS:CS),VLOOKUP(JS197,'Jan-2026 rates'!$E:$F,2,0)))</f>
        <v>0</v>
      </c>
      <c r="KE197" s="409"/>
      <c r="KF197" s="398">
        <f>IF(KE197=0,0,IF(LEN(JT197)=11,_xlfn.XLOOKUP(JT197,'Dispensed Ink Rates'!C:C,'Dispensed Ink Rates'!CS:CS),VLOOKUP(JT197,'Jan-2026 rates'!$E:$F,2,0)))</f>
        <v>0</v>
      </c>
      <c r="KG197" s="409"/>
      <c r="KH197" s="398">
        <f>IF(KG197=0,0,IF(LEN(JU197)=11,_xlfn.XLOOKUP(JU197,'Dispensed Ink Rates'!C:C,'Dispensed Ink Rates'!CS:CS),VLOOKUP(JU197,'Jan-2026 rates'!$E:$F,2,0)))</f>
        <v>0</v>
      </c>
      <c r="KI197" s="409"/>
      <c r="KJ197" s="398">
        <f>IF(KI197=0,0,IF(LEN(JV197)=11,_xlfn.XLOOKUP(JV197,'Dispensed Ink Rates'!C:C,'Dispensed Ink Rates'!CS:CS),VLOOKUP(JV197,'Jan-2026 rates'!$E:$F,2,0)))</f>
        <v>0</v>
      </c>
      <c r="KK197" s="409"/>
      <c r="KL197" s="398">
        <f>IF(KK197=0,0,IF(LEN(JW197)=11,_xlfn.XLOOKUP(JW197,'Dispensed Ink Rates'!C:C,'Dispensed Ink Rates'!CS:CS),VLOOKUP(JW197,'Jan-2026 rates'!$E:$F,2,0)))</f>
        <v>0</v>
      </c>
      <c r="KM197" s="428"/>
      <c r="KN197" s="398">
        <f>IF(KM197=0,0,IF(LEN(JX197)=11,_xlfn.XLOOKUP(JX197,'Dispensed Ink Rates'!C:C,'Dispensed Ink Rates'!CS:CS),VLOOKUP(JX197,'Jan-2026 rates'!$E:$F,2,0)))</f>
        <v>0</v>
      </c>
      <c r="KO197" s="409"/>
      <c r="KP197" s="409"/>
      <c r="KQ197" s="411">
        <f t="shared" si="127"/>
        <v>0</v>
      </c>
      <c r="KR197" s="411">
        <f t="shared" si="128"/>
        <v>0</v>
      </c>
      <c r="KS197" s="410">
        <f t="shared" si="129"/>
        <v>0</v>
      </c>
      <c r="KT197" s="409">
        <v>4</v>
      </c>
      <c r="KU197" s="409">
        <f>80+60</f>
        <v>140</v>
      </c>
      <c r="KV197" s="409">
        <v>0</v>
      </c>
      <c r="KW197" s="409">
        <v>0</v>
      </c>
      <c r="KX197" s="409">
        <v>0</v>
      </c>
      <c r="KY197" s="409">
        <v>0</v>
      </c>
      <c r="KZ197" s="409">
        <v>0</v>
      </c>
      <c r="LA197" s="409">
        <v>0</v>
      </c>
      <c r="LB197" s="415">
        <v>0.3</v>
      </c>
      <c r="LC197" s="415"/>
      <c r="LD197" s="415"/>
      <c r="LE197" s="415">
        <v>0.5</v>
      </c>
      <c r="LF197" s="415">
        <v>0.2</v>
      </c>
      <c r="LG197" s="409">
        <v>0</v>
      </c>
      <c r="LH197" s="409">
        <f>140+70+36+5+4+60+24</f>
        <v>339</v>
      </c>
      <c r="LI197" s="409">
        <v>0</v>
      </c>
      <c r="LJ197" s="409">
        <v>0</v>
      </c>
      <c r="LK197" s="416">
        <f t="shared" si="138"/>
        <v>339</v>
      </c>
      <c r="LL197" s="416">
        <f t="shared" si="139"/>
        <v>339</v>
      </c>
      <c r="LM197" s="417">
        <f t="shared" si="140"/>
        <v>101.7</v>
      </c>
      <c r="LN197" s="417">
        <f>VLOOKUP($LM$8,'Jan-2026 rates'!$H:$I,2,0)</f>
        <v>0</v>
      </c>
      <c r="LO197" s="417">
        <f t="shared" si="141"/>
        <v>0</v>
      </c>
      <c r="LP197" s="417">
        <f>VLOOKUP($LO$8,'Jan-2026 rates'!$H:$I,2,0)</f>
        <v>0</v>
      </c>
      <c r="LQ197" s="417">
        <f t="shared" si="142"/>
        <v>0</v>
      </c>
      <c r="LR197" s="417">
        <f>VLOOKUP($LQ$8,'Jan-2026 rates'!$H:$I,2,0)</f>
        <v>0</v>
      </c>
      <c r="LS197" s="417">
        <f t="shared" si="143"/>
        <v>169.5</v>
      </c>
      <c r="LT197" s="417">
        <f>VLOOKUP($LS$8,'Jan-2026 rates'!$H:$I,2,0)</f>
        <v>0</v>
      </c>
      <c r="LU197" s="417">
        <f t="shared" si="144"/>
        <v>67.8</v>
      </c>
      <c r="LV197" s="417">
        <f>VLOOKUP($LU$8,'Jan-2026 rates'!$H:$I,2,0)</f>
        <v>0</v>
      </c>
      <c r="LW197" s="417">
        <f t="shared" si="145"/>
        <v>0</v>
      </c>
      <c r="LX197" s="417">
        <f t="shared" si="146"/>
        <v>0</v>
      </c>
      <c r="LY197" s="418">
        <f t="shared" si="147"/>
        <v>0</v>
      </c>
      <c r="LZ197" s="417"/>
      <c r="MA197" s="435">
        <f t="shared" si="148"/>
        <v>271</v>
      </c>
      <c r="MB197" s="282">
        <f t="shared" si="149"/>
        <v>619.99999999999989</v>
      </c>
      <c r="MC197" s="283" t="s">
        <v>2032</v>
      </c>
      <c r="MD197" s="284" t="str">
        <f t="shared" si="150"/>
        <v>ToyoLiToyoLi</v>
      </c>
      <c r="ME197" s="293" t="str">
        <f t="shared" si="151"/>
        <v>+</v>
      </c>
      <c r="MF197" s="293" t="str">
        <f t="shared" si="152"/>
        <v>+</v>
      </c>
      <c r="MG197" s="293" t="str">
        <f t="shared" si="153"/>
        <v>NIL</v>
      </c>
      <c r="MH197" s="293" t="str">
        <f t="shared" si="154"/>
        <v>NIL</v>
      </c>
      <c r="MI197" s="293" t="str">
        <f t="shared" si="155"/>
        <v>NIL</v>
      </c>
      <c r="MJ197" s="293" t="str">
        <f t="shared" si="156"/>
        <v>NIL</v>
      </c>
      <c r="MK197" s="293" t="str">
        <f t="shared" si="157"/>
        <v>NIL</v>
      </c>
      <c r="ML197" s="293" t="str">
        <f t="shared" si="158"/>
        <v>NIL</v>
      </c>
      <c r="MM197" s="3" t="b">
        <f t="array" ref="MM197">OR(ME197:ML197="-")</f>
        <v>0</v>
      </c>
      <c r="MN197" s="285"/>
      <c r="MO197" s="401"/>
      <c r="MP197" s="286"/>
      <c r="MQ197" s="286"/>
      <c r="MR197" s="402"/>
      <c r="MS197" s="400"/>
      <c r="NH197" s="422"/>
      <c r="NJ197" s="421"/>
    </row>
    <row r="198" spans="1:374" s="1" customFormat="1" ht="16.5">
      <c r="A198" s="403">
        <v>46038</v>
      </c>
      <c r="B198" s="404" t="s">
        <v>1018</v>
      </c>
      <c r="C198" s="405" t="s">
        <v>3736</v>
      </c>
      <c r="D198" s="406" t="s">
        <v>2033</v>
      </c>
      <c r="E198" s="404">
        <v>179</v>
      </c>
      <c r="F198" s="407">
        <v>8800</v>
      </c>
      <c r="G198" s="407" t="s">
        <v>1016</v>
      </c>
      <c r="H198" s="408" t="s">
        <v>1017</v>
      </c>
      <c r="I198" s="409">
        <v>1.96</v>
      </c>
      <c r="J198" s="405" t="s">
        <v>543</v>
      </c>
      <c r="K198" s="404" t="s">
        <v>3737</v>
      </c>
      <c r="L198" s="419" t="str">
        <f t="shared" si="131"/>
        <v>ToyoLi - BLACK</v>
      </c>
      <c r="M198" s="404">
        <v>28</v>
      </c>
      <c r="N198" s="410">
        <f>IF(M198=0,0,IF($LB198=70%,VLOOKUP($L198,'Jan-2026 rates'!$L:$R,4,0),IF($LB198=65%,VLOOKUP($L198,'Jan-2026 rates'!$L:$R,4,0),IF($LB198=40%,VLOOKUP($L198,'Jan-2026 rates'!$L:$R,5,0),IF($LB198=30%,VLOOKUP($L198,'Jan-2026 rates'!$L:$R,6,0),IF($LB198=100%,VLOOKUP($L198,'Jan-2026 rates'!$L:$R,7,0),IF($LB198=60%,VLOOKUP($L198,'Jan-2026 rates'!$L:$S,8,0),IF($LB198=80%,VLOOKUP($L198,'Jan-2026 rates'!L:T,9,0),0))))))))</f>
        <v>0</v>
      </c>
      <c r="O198" s="406"/>
      <c r="P198" s="404"/>
      <c r="Q198" s="410">
        <f>IF(P198=0,0,IF($LB198=70%,VLOOKUP($L198,'Jan-2026 rates'!$L:$R,4,0),IF($LB198=65%,VLOOKUP($L198,'Jan-2026 rates'!$L:$R,4,0),IF($LB198=40%,VLOOKUP($L198,'Jan-2026 rates'!$L:$R,5,0),IF($LB198=30%,VLOOKUP($L198,'Jan-2026 rates'!$L:$R,6,0),IF($LB198=100%,VLOOKUP($L198,'Jan-2026 rates'!$L:$R,7,0),IF($LB198=60%,VLOOKUP($L198,'Jan-2026 rates'!$L:$S,8,0),IF($LB198=80%,VLOOKUP($L198,'Jan-2026 rates'!L:T,9,0),0))))))))</f>
        <v>0</v>
      </c>
      <c r="R198" s="406" t="s">
        <v>1252</v>
      </c>
      <c r="S198" s="406"/>
      <c r="T198" s="406"/>
      <c r="U198" s="406"/>
      <c r="V198" s="406"/>
      <c r="W198" s="406"/>
      <c r="X198" s="406"/>
      <c r="Y198" s="406"/>
      <c r="Z198" s="404">
        <v>2</v>
      </c>
      <c r="AA198" s="398">
        <f>IF(Z198=0,0,IF(LEN(R198)=11,_xlfn.XLOOKUP(R198,'Dispensed Ink Rates'!C:C,'Dispensed Ink Rates'!CS:CS),VLOOKUP(R198,'Jan-2026 rates'!$E:$F,2,0)))</f>
        <v>0</v>
      </c>
      <c r="AB198" s="404"/>
      <c r="AC198" s="398">
        <f>IF(AB198=0,0,IF(LEN(S198)=11,_xlfn.XLOOKUP(S198,'Dispensed Ink Rates'!C:C,'Dispensed Ink Rates'!CS:CS),VLOOKUP(S198,'Jan-2026 rates'!$E:$F,2,0)))</f>
        <v>0</v>
      </c>
      <c r="AD198" s="404"/>
      <c r="AE198" s="398">
        <f>IF(AD198=0,0,IF(LEN(T198)=11,_xlfn.XLOOKUP(T198,'Dispensed Ink Rates'!C:C,'Dispensed Ink Rates'!CS:CS),VLOOKUP(T198,'Jan-2026 rates'!$E:$F,2,0)))</f>
        <v>0</v>
      </c>
      <c r="AF198" s="404"/>
      <c r="AG198" s="398">
        <f>IF(AF198=0,0,IF(LEN(U198)=11,_xlfn.XLOOKUP(U198,'Dispensed Ink Rates'!C:C,'Dispensed Ink Rates'!CS:CS),VLOOKUP(U198,'Jan-2026 rates'!$E:$F,2,0)))</f>
        <v>0</v>
      </c>
      <c r="AH198" s="404"/>
      <c r="AI198" s="398">
        <f>IF(AH198=0,0,IF(LEN(V198)=11,_xlfn.XLOOKUP(V198,'Dispensed Ink Rates'!C:C,'Dispensed Ink Rates'!CS:CS),VLOOKUP(V198,'Jan-2026 rates'!$E:$F,2,0)))</f>
        <v>0</v>
      </c>
      <c r="AJ198" s="404"/>
      <c r="AK198" s="398">
        <f>IF(AJ198=0,0,IF(LEN(W198)=11,_xlfn.XLOOKUP(W198,'Dispensed Ink Rates'!C:C,'Dispensed Ink Rates'!CS:CS),VLOOKUP(W198,'Jan-2026 rates'!$E:$F,2,0)))</f>
        <v>0</v>
      </c>
      <c r="AL198" s="404"/>
      <c r="AM198" s="398">
        <f>IF(AL198=0,0,IF(LEN(X198)=11,_xlfn.XLOOKUP(X198,'Dispensed Ink Rates'!C:C,'Dispensed Ink Rates'!CS:CS),VLOOKUP(X198,'Jan-2026 rates'!$E:$F,2,0)))</f>
        <v>0</v>
      </c>
      <c r="AN198" s="404"/>
      <c r="AO198" s="398">
        <f>IF(AN198=0,0,IF(LEN(Y198)=11,_xlfn.XLOOKUP(Y198,'Dispensed Ink Rates'!C:C,'Dispensed Ink Rates'!CS:CS),VLOOKUP(Y198,'Jan-2026 rates'!$E:$F,2,0)))</f>
        <v>0</v>
      </c>
      <c r="AP198" s="409" t="s">
        <v>1881</v>
      </c>
      <c r="AQ198" s="409">
        <v>29</v>
      </c>
      <c r="AR198" s="410">
        <f t="shared" si="106"/>
        <v>0</v>
      </c>
      <c r="AS198" s="411">
        <f t="shared" si="107"/>
        <v>4.3488372093023244</v>
      </c>
      <c r="AT198" s="410">
        <f t="shared" si="108"/>
        <v>0</v>
      </c>
      <c r="AU198" s="405" t="s">
        <v>547</v>
      </c>
      <c r="AV198" s="409" t="s">
        <v>2772</v>
      </c>
      <c r="AW198" s="420" t="str">
        <f t="shared" si="130"/>
        <v>ToyoLi - GREEN</v>
      </c>
      <c r="AX198" s="409">
        <v>20</v>
      </c>
      <c r="AY198" s="411">
        <f>IF(AX198=0,0,IF($LB198=70%,VLOOKUP($AW198,'Jan-2026 rates'!$L:$R,4,0),IF($LB198=65%,VLOOKUP($AW198,'Jan-2026 rates'!$L:$R,4,0),IF($LB198=40%,VLOOKUP($AW198,'Jan-2026 rates'!$L:$R,5,0),IF($LB198=30%,VLOOKUP($AW198,'Jan-2026 rates'!$L:$R,6,0),IF($LB198=100%,VLOOKUP($AW198,'Jan-2026 rates'!$L:$R,7,0),IF($LB198=60%,VLOOKUP($AW198,'Jan-2026 rates'!$L:$S,8,0),IF($LB198=80%,VLOOKUP($AW198,'Jan-2026 rates'!L:T,9,0),0))))))))</f>
        <v>0</v>
      </c>
      <c r="AZ198" s="412"/>
      <c r="BA198" s="409"/>
      <c r="BB198" s="411">
        <f>IF(BA198=0,0,IF($LB198=70%,VLOOKUP($AW198,'Jan-2026 rates'!$L:$R,4,0),IF($LB198=65%,VLOOKUP($AW198,'Jan-2026 rates'!$L:$R,4,0),IF($LB198=40%,VLOOKUP($AW198,'Jan-2026 rates'!$L:$R,5,0),IF($LB198=30%,VLOOKUP($AW198,'Jan-2026 rates'!$L:$R,6,0),IF($LB198=100%,VLOOKUP($AW198,'Jan-2026 rates'!$L:$R,7,0),IF($LB198=60%,VLOOKUP($AW198,'Jan-2026 rates'!$L:$S,8,0),IF($LB198=80%,VLOOKUP($AW198,'Jan-2026 rates'!L:T,9,0),0))))))))</f>
        <v>0</v>
      </c>
      <c r="BC198" s="413" t="s">
        <v>1247</v>
      </c>
      <c r="BD198" s="412" t="s">
        <v>1251</v>
      </c>
      <c r="BE198" s="412"/>
      <c r="BF198" s="413"/>
      <c r="BG198" s="412"/>
      <c r="BH198" s="412"/>
      <c r="BI198" s="412"/>
      <c r="BJ198" s="412"/>
      <c r="BK198" s="409">
        <v>5</v>
      </c>
      <c r="BL198" s="398">
        <f>IF(BK198=0,0,IF(LEN(BC198)=11,_xlfn.XLOOKUP(BC198,'Dispensed Ink Rates'!C:C,'Dispensed Ink Rates'!CS:CS),VLOOKUP(BC198,'Jan-2026 rates'!$E:$F,2,0)))</f>
        <v>0</v>
      </c>
      <c r="BM198" s="409">
        <v>4</v>
      </c>
      <c r="BN198" s="398">
        <f>IF(BM198=0,0,IF(LEN(BD198)=11,_xlfn.XLOOKUP(BD198,'Dispensed Ink Rates'!C:C,'Dispensed Ink Rates'!CS:CS),VLOOKUP(BD198,'Jan-2026 rates'!$E:$F,2,0)))</f>
        <v>0</v>
      </c>
      <c r="BO198" s="409"/>
      <c r="BP198" s="398">
        <f>IF(BO198=0,0,IF(LEN(BE198)=11,_xlfn.XLOOKUP(BE198,'Dispensed Ink Rates'!C:C,'Dispensed Ink Rates'!CS:CS),VLOOKUP(BE198,'Jan-2026 rates'!$E:$F,2,0)))</f>
        <v>0</v>
      </c>
      <c r="BQ198" s="409"/>
      <c r="BR198" s="398">
        <f>IF(BQ198=0,0,IF(LEN(BF198)=11,_xlfn.XLOOKUP(BF198,'Dispensed Ink Rates'!C:C,'Dispensed Ink Rates'!CS:CS),VLOOKUP(BF198,'Jan-2026 rates'!$E:$F,2,0)))</f>
        <v>0</v>
      </c>
      <c r="BS198" s="409"/>
      <c r="BT198" s="398">
        <f>IF(BS198=0,0,IF(LEN(BG198)=11,_xlfn.XLOOKUP(BG198,'Dispensed Ink Rates'!C:C,'Dispensed Ink Rates'!CS:CS),VLOOKUP(BG198,'Jan-2026 rates'!$E:$F,2,0)))</f>
        <v>0</v>
      </c>
      <c r="BU198" s="409"/>
      <c r="BV198" s="398">
        <f>IF(BU198=0,0,IF(LEN(BH198)=11,_xlfn.XLOOKUP(BH198,'Dispensed Ink Rates'!C:C,'Dispensed Ink Rates'!CS:CS),VLOOKUP(BH198,'Jan-2026 rates'!$E:$F,2,0)))</f>
        <v>0</v>
      </c>
      <c r="BW198" s="409"/>
      <c r="BX198" s="398">
        <f>IF(BW198=0,0,IF(LEN(BI198)=11,_xlfn.XLOOKUP(BI198,'Dispensed Ink Rates'!C:C,'Dispensed Ink Rates'!CS:CS),VLOOKUP(BI198,'Jan-2026 rates'!$E:$F,2,0)))</f>
        <v>0</v>
      </c>
      <c r="BY198" s="409"/>
      <c r="BZ198" s="398">
        <f>IF(BY198=0,0,IF(LEN(BJ198)=11,_xlfn.XLOOKUP(BJ198,'Dispensed Ink Rates'!C:C,'Dispensed Ink Rates'!CS:CS),VLOOKUP(BJ198,'Jan-2026 rates'!$E:$F,2,0)))</f>
        <v>0</v>
      </c>
      <c r="CA198" s="409" t="s">
        <v>1881</v>
      </c>
      <c r="CB198" s="409">
        <v>25</v>
      </c>
      <c r="CC198" s="411">
        <f t="shared" si="109"/>
        <v>0</v>
      </c>
      <c r="CD198" s="411">
        <f t="shared" si="110"/>
        <v>9.0232558139534902</v>
      </c>
      <c r="CE198" s="410">
        <f t="shared" si="111"/>
        <v>0</v>
      </c>
      <c r="CF198" s="404" t="s">
        <v>857</v>
      </c>
      <c r="CG198" s="409"/>
      <c r="CH198" s="420" t="str">
        <f t="shared" si="132"/>
        <v>ToyoLi - RED</v>
      </c>
      <c r="CI198" s="409"/>
      <c r="CJ198" s="411">
        <f>IF(CI198=0,0,IF($LB198=70%,VLOOKUP($CH198,'Jan-2026 rates'!$L:$R,4,0),IF($LB198=65%,VLOOKUP($CH198,'Jan-2026 rates'!$L:$R,4,0),IF($LB198=40%,VLOOKUP($CH198,'Jan-2026 rates'!$L:$R,5,0),IF($LB198=30%,VLOOKUP($CH198,'Jan-2026 rates'!$L:$R,6,0),IF($LB198=100%,VLOOKUP($CH198,'Jan-2026 rates'!$L:$R,7,0),IF($LB198=60%,VLOOKUP($CH198,'Jan-2026 rates'!$L:$S,8,0),IF($LB198=80%,VLOOKUP($CH198,'Jan-2026 rates'!L:T,9,0),0))))))))</f>
        <v>0</v>
      </c>
      <c r="CK198" s="412"/>
      <c r="CL198" s="409"/>
      <c r="CM198" s="411">
        <f>IF(CL198=0,0,IF($LB198=70%,VLOOKUP($CH198,'Jan-2026 rates'!$L:$R,4,0),IF($LB198=65%,VLOOKUP($CH198,'Jan-2026 rates'!$L:$R,4,0),IF($LB198=40%,VLOOKUP($CH198,'Jan-2026 rates'!$L:$R,5,0),IF($LB198=30%,VLOOKUP($CH198,'Jan-2026 rates'!$L:$R,6,0),IF($LB198=100%,VLOOKUP($CH198,'Jan-2026 rates'!$L:$R,7,0),IF($LB198=60%,VLOOKUP($CH198,'Jan-2026 rates'!$L:$S,8,0),IF($LB198=80%,VLOOKUP($CH198,'Jan-2026 rates'!L:T,9,0),0))))))))</f>
        <v>0</v>
      </c>
      <c r="CN198" s="426" t="s">
        <v>1246</v>
      </c>
      <c r="CO198" s="427" t="s">
        <v>1248</v>
      </c>
      <c r="CP198" s="426"/>
      <c r="CQ198" s="426"/>
      <c r="CR198" s="428"/>
      <c r="CS198" s="428"/>
      <c r="CT198" s="428"/>
      <c r="CU198" s="428"/>
      <c r="CV198" s="409">
        <v>10</v>
      </c>
      <c r="CW198" s="398">
        <f>IF(CV198=0,0,IF(LEN(CN198)=11,_xlfn.XLOOKUP(CN198,'Dispensed Ink Rates'!C:C,'Dispensed Ink Rates'!CS:CS),VLOOKUP(CN198,'Jan-2026 rates'!$E:$F,2,0)))</f>
        <v>0</v>
      </c>
      <c r="CX198" s="409">
        <v>7</v>
      </c>
      <c r="CY198" s="398">
        <f>IF(CX198=0,0,IF(LEN(CO198)=11,_xlfn.XLOOKUP(CO198,'Dispensed Ink Rates'!C:C,'Dispensed Ink Rates'!CS:CS),VLOOKUP(CO198,'Jan-2026 rates'!$E:$F,2,0)))</f>
        <v>0</v>
      </c>
      <c r="CZ198" s="409"/>
      <c r="DA198" s="398">
        <f>IF(CZ198=0,0,IF(LEN(CP198)=11,_xlfn.XLOOKUP(CP198,'Dispensed Ink Rates'!C:C,'Dispensed Ink Rates'!CS:CS),VLOOKUP(CP198,'Jan-2026 rates'!$E:$F,2,0)))</f>
        <v>0</v>
      </c>
      <c r="DB198" s="409"/>
      <c r="DC198" s="398">
        <f>IF(DB198=0,0,IF(LEN(CQ198)=11,_xlfn.XLOOKUP(CQ198,'Dispensed Ink Rates'!C:C,'Dispensed Ink Rates'!CS:CS),VLOOKUP(CQ198,'Jan-2026 rates'!$E:$F,2,0)))</f>
        <v>0</v>
      </c>
      <c r="DD198" s="409"/>
      <c r="DE198" s="398">
        <f>IF(DD198=0,0,IF(LEN(CR198)=11,_xlfn.XLOOKUP(CR198,'Dispensed Ink Rates'!C:C,'Dispensed Ink Rates'!CS:CS),VLOOKUP(CR198,'Jan-2026 rates'!$E:$F,2,0)))</f>
        <v>0</v>
      </c>
      <c r="DF198" s="409"/>
      <c r="DG198" s="398">
        <f>IF(DF198=0,0,IF(LEN(CS198)=11,_xlfn.XLOOKUP(CS198,'Dispensed Ink Rates'!C:C,'Dispensed Ink Rates'!CS:CS),VLOOKUP(CS198,'Jan-2026 rates'!$E:$F,2,0)))</f>
        <v>0</v>
      </c>
      <c r="DH198" s="409"/>
      <c r="DI198" s="398">
        <f>IF(DH198=0,0,IF(LEN(CT198)=11,_xlfn.XLOOKUP(CT198,'Dispensed Ink Rates'!C:C,'Dispensed Ink Rates'!CS:CS),VLOOKUP(CT198,'Jan-2026 rates'!$E:$F,2,0)))</f>
        <v>0</v>
      </c>
      <c r="DJ198" s="409"/>
      <c r="DK198" s="398">
        <f>IF(DJ198=0,0,IF(LEN(CU198)=11,_xlfn.XLOOKUP(CU198,'Dispensed Ink Rates'!C:C,'Dispensed Ink Rates'!CS:CS),VLOOKUP(CU198,'Jan-2026 rates'!$E:$F,2,0)))</f>
        <v>0</v>
      </c>
      <c r="DL198" s="409" t="s">
        <v>1881</v>
      </c>
      <c r="DM198" s="409">
        <v>22</v>
      </c>
      <c r="DN198" s="411">
        <f t="shared" si="112"/>
        <v>0</v>
      </c>
      <c r="DO198" s="411">
        <f t="shared" si="113"/>
        <v>8.3953488372093013</v>
      </c>
      <c r="DP198" s="410">
        <f t="shared" si="114"/>
        <v>0</v>
      </c>
      <c r="DQ198" s="405" t="s">
        <v>543</v>
      </c>
      <c r="DR198" s="409" t="s">
        <v>3401</v>
      </c>
      <c r="DS198" s="420" t="str">
        <f t="shared" si="133"/>
        <v>ToyoLi - BLACK</v>
      </c>
      <c r="DT198" s="409">
        <v>25</v>
      </c>
      <c r="DU198" s="411">
        <f>IF(DT198=0,0,IF($LB198=70%,VLOOKUP($DS198,'Jan-2026 rates'!$L:$R,4,0),IF($LB198=65%,VLOOKUP($DS198,'Jan-2026 rates'!$L:$R,4,0),IF($LB198=40%,VLOOKUP($DS198,'Jan-2026 rates'!$L:$R,5,0),IF($LB198=30%,VLOOKUP($DS198,'Jan-2026 rates'!$L:$R,6,0),IF($LB198=100%,VLOOKUP($DS198,'Jan-2026 rates'!$L:$R,7,0),IF($LB198=60%,VLOOKUP($DS198,'Jan-2026 rates'!$L:$S,8,0),IF($LB198=80%,VLOOKUP($DS198,'Jan-2026 rates'!L:T,9,0),0))))))))</f>
        <v>0</v>
      </c>
      <c r="DV198" s="412" t="s">
        <v>3645</v>
      </c>
      <c r="DW198" s="409">
        <v>5</v>
      </c>
      <c r="DX198" s="411">
        <f>IF(DW198=0,0,IF($LB198=70%,VLOOKUP($DS198,'Jan-2026 rates'!$L:$R,4,0),IF($LB198=65%,VLOOKUP($DS198,'Jan-2026 rates'!$L:$R,4,0),IF($LB198=40%,VLOOKUP($DS198,'Jan-2026 rates'!$L:$R,5,0),IF($LB198=30%,VLOOKUP($DS198,'Jan-2026 rates'!$L:$R,6,0),IF($LB198=100%,VLOOKUP($DS198,'Jan-2026 rates'!$L:$R,7,0),IF($LB198=60%,VLOOKUP($DS198,'Jan-2026 rates'!$L:$S,8,0),IF($LB198=80%,VLOOKUP($DS198,'Jan-2026 rates'!L:T,9,0),0))))))))</f>
        <v>0</v>
      </c>
      <c r="DY198" s="413" t="s">
        <v>1247</v>
      </c>
      <c r="DZ198" s="413" t="s">
        <v>1252</v>
      </c>
      <c r="EA198" s="412" t="s">
        <v>1921</v>
      </c>
      <c r="EB198" s="412"/>
      <c r="EC198" s="412"/>
      <c r="ED198" s="412"/>
      <c r="EE198" s="412"/>
      <c r="EF198" s="412"/>
      <c r="EG198" s="409">
        <v>2</v>
      </c>
      <c r="EH198" s="398">
        <f>IF(EG198=0,0,IF(LEN(DY198)=11,_xlfn.XLOOKUP(DY198,'Dispensed Ink Rates'!C:C,'Dispensed Ink Rates'!CS:CS),VLOOKUP(DY198,'Jan-2026 rates'!$E:$F,2,0)))</f>
        <v>0</v>
      </c>
      <c r="EI198" s="409">
        <v>3</v>
      </c>
      <c r="EJ198" s="398">
        <f>IF(EI198=0,0,IF(LEN(DZ198)=11,_xlfn.XLOOKUP(DZ198,'Dispensed Ink Rates'!C:C,'Dispensed Ink Rates'!CS:CS),VLOOKUP(DZ198,'Jan-2026 rates'!$E:$F,2,0)))</f>
        <v>0</v>
      </c>
      <c r="EK198" s="409">
        <v>5</v>
      </c>
      <c r="EL198" s="398">
        <f>IF(EK198=0,0,IF(LEN(EA198)=11,_xlfn.XLOOKUP(EA198,'Dispensed Ink Rates'!C:C,'Dispensed Ink Rates'!CS:CS),VLOOKUP(EA198,'Jan-2026 rates'!$E:$F,2,0)))</f>
        <v>0</v>
      </c>
      <c r="EM198" s="409"/>
      <c r="EN198" s="398">
        <f>IF(EM198=0,0,IF(LEN(EB198)=11,_xlfn.XLOOKUP(EB198,'Dispensed Ink Rates'!C:C,'Dispensed Ink Rates'!CS:CS),VLOOKUP(EB198,'Jan-2026 rates'!$E:$F,2,0)))</f>
        <v>0</v>
      </c>
      <c r="EO198" s="409"/>
      <c r="EP198" s="398">
        <f>IF(EO198=0,0,IF(LEN(EC198)=11,_xlfn.XLOOKUP(EC198,'Dispensed Ink Rates'!C:C,'Dispensed Ink Rates'!CS:CS),VLOOKUP(EC198,'Jan-2026 rates'!$E:$F,2,0)))</f>
        <v>0</v>
      </c>
      <c r="EQ198" s="409"/>
      <c r="ER198" s="398">
        <f>IF(EQ198=0,0,IF(LEN(ED198)=11,_xlfn.XLOOKUP(ED198,'Dispensed Ink Rates'!C:C,'Dispensed Ink Rates'!CS:CS),VLOOKUP(ED198,'Jan-2026 rates'!$E:$F,2,0)))</f>
        <v>0</v>
      </c>
      <c r="ES198" s="409"/>
      <c r="ET198" s="398">
        <f>IF(ES198=0,0,IF(LEN(EE198)=11,_xlfn.XLOOKUP(EE198,'Dispensed Ink Rates'!C:C,'Dispensed Ink Rates'!CS:CS),VLOOKUP(EE198,'Jan-2026 rates'!$E:$F,2,0)))</f>
        <v>0</v>
      </c>
      <c r="EU198" s="409"/>
      <c r="EV198" s="398">
        <f>IF(EU198=0,0,IF(LEN(EF198)=11,_xlfn.XLOOKUP(EF198,'Dispensed Ink Rates'!C:C,'Dispensed Ink Rates'!CS:CS),VLOOKUP(EF198,'Jan-2026 rates'!$E:$F,2,0)))</f>
        <v>0</v>
      </c>
      <c r="EW198" s="409" t="s">
        <v>1881</v>
      </c>
      <c r="EX198" s="409">
        <f>18+17</f>
        <v>35</v>
      </c>
      <c r="EY198" s="411">
        <f t="shared" si="115"/>
        <v>0</v>
      </c>
      <c r="EZ198" s="411">
        <f t="shared" si="116"/>
        <v>13.372093023255815</v>
      </c>
      <c r="FA198" s="410">
        <f t="shared" si="117"/>
        <v>0</v>
      </c>
      <c r="FB198" s="405" t="s">
        <v>855</v>
      </c>
      <c r="FC198" s="409" t="s">
        <v>3738</v>
      </c>
      <c r="FD198" s="420" t="str">
        <f t="shared" si="134"/>
        <v>ToyoLi - CYAN</v>
      </c>
      <c r="FE198" s="409">
        <v>20</v>
      </c>
      <c r="FF198" s="411">
        <f>IF(FE198=0,0,IF($LB198=70%,VLOOKUP($FD198,'Jan-2026 rates'!$L:$R,4,0),IF($LB198=65%,VLOOKUP($FD198,'Jan-2026 rates'!$L:$R,4,0),IF($LB198=40%,VLOOKUP($FD198,'Jan-2026 rates'!$L:$R,5,0),IF($LB198=30%,VLOOKUP($FD198,'Jan-2026 rates'!$L:$R,6,0),IF($LB198=100%,VLOOKUP($FD198,'Jan-2026 rates'!$L:$R,7,0),IF($LB198=60%,VLOOKUP($FD198,'Jan-2026 rates'!$L:$S,8,0),IF($LB198=80%,VLOOKUP($FD198,'Jan-2026 rates'!L:T,9,0),0))))))))</f>
        <v>0</v>
      </c>
      <c r="FG198" s="412"/>
      <c r="FH198" s="409"/>
      <c r="FI198" s="411">
        <f>IF(FH198=0,0,IF($LB198=70%,VLOOKUP($FD198,'Jan-2026 rates'!$L:$R,4,0),IF($LB198=65%,VLOOKUP($FD198,'Jan-2026 rates'!$L:$R,4,0),IF($LB198=40%,VLOOKUP($FD198,'Jan-2026 rates'!$L:$R,5,0),IF($LB198=30%,VLOOKUP($FD198,'Jan-2026 rates'!$L:$R,6,0),IF($LB198=100%,VLOOKUP($FD198,'Jan-2026 rates'!$L:$R,7,0),IF($LB198=60%,VLOOKUP($FD198,'Jan-2026 rates'!$L:$S,8,0),IF($LB198=80%,VLOOKUP($FD198,'Jan-2026 rates'!L:T,9,0),0))))))))</f>
        <v>0</v>
      </c>
      <c r="FJ198" s="413" t="s">
        <v>1250</v>
      </c>
      <c r="FK198" s="413" t="s">
        <v>1921</v>
      </c>
      <c r="FL198" s="413"/>
      <c r="FM198" s="412"/>
      <c r="FN198" s="412"/>
      <c r="FO198" s="412"/>
      <c r="FP198" s="412"/>
      <c r="FQ198" s="412"/>
      <c r="FR198" s="409">
        <v>5</v>
      </c>
      <c r="FS198" s="398">
        <f>IF(FR198=0,0,IF(LEN(FJ198)=11,_xlfn.XLOOKUP(FJ198,'Dispensed Ink Rates'!C:C,'Dispensed Ink Rates'!CS:CS),VLOOKUP(FJ198,'Jan-2026 rates'!$E:$F,2,0)))</f>
        <v>0</v>
      </c>
      <c r="FT198" s="409">
        <v>4</v>
      </c>
      <c r="FU198" s="398">
        <f>IF(FT198=0,0,IF(LEN(FK198)=11,_xlfn.XLOOKUP(FK198,'Dispensed Ink Rates'!C:C,'Dispensed Ink Rates'!CS:CS),VLOOKUP(FK198,'Jan-2026 rates'!$E:$F,2,0)))</f>
        <v>0</v>
      </c>
      <c r="FV198" s="409"/>
      <c r="FW198" s="398">
        <f>IF(FV198=0,0,IF(LEN(FL198)=11,_xlfn.XLOOKUP(FL198,'Dispensed Ink Rates'!C:C,'Dispensed Ink Rates'!CS:CS),VLOOKUP(FL198,'Jan-2026 rates'!$E:$F,2,0)))</f>
        <v>0</v>
      </c>
      <c r="FX198" s="409"/>
      <c r="FY198" s="398">
        <f>IF(FX198=0,0,IF(LEN(FM198)=11,_xlfn.XLOOKUP(FM198,'Dispensed Ink Rates'!C:C,'Dispensed Ink Rates'!CS:CS),VLOOKUP(FM198,'Jan-2026 rates'!$E:$F,2,0)))</f>
        <v>0</v>
      </c>
      <c r="FZ198" s="409"/>
      <c r="GA198" s="398">
        <f>IF(FZ198=0,0,IF(LEN(FN198)=11,_xlfn.XLOOKUP(FN198,'Dispensed Ink Rates'!C:C,'Dispensed Ink Rates'!CS:CS),VLOOKUP(FN198,'Jan-2026 rates'!$E:$F,2,0)))</f>
        <v>0</v>
      </c>
      <c r="GB198" s="409"/>
      <c r="GC198" s="398">
        <f>IF(GB198=0,0,IF(LEN(FO198)=11,_xlfn.XLOOKUP(FO198,'Dispensed Ink Rates'!C:C,'Dispensed Ink Rates'!CS:CS),VLOOKUP(FO198,'Jan-2026 rates'!$E:$F,2,0)))</f>
        <v>0</v>
      </c>
      <c r="GD198" s="409"/>
      <c r="GE198" s="398">
        <f>IF(GD198=0,0,IF(LEN(FP198)=11,_xlfn.XLOOKUP(FP198,'Dispensed Ink Rates'!C:C,'Dispensed Ink Rates'!CS:CS),VLOOKUP(FP198,'Jan-2026 rates'!$E:$F,2,0)))</f>
        <v>0</v>
      </c>
      <c r="GF198" s="409"/>
      <c r="GG198" s="398">
        <f>IF(GF198=0,0,IF(LEN(FQ198)=11,_xlfn.XLOOKUP(FQ198,'Dispensed Ink Rates'!C:C,'Dispensed Ink Rates'!CS:CS),VLOOKUP(FQ198,'Jan-2026 rates'!$E:$F,2,0)))</f>
        <v>0</v>
      </c>
      <c r="GH198" s="409" t="s">
        <v>1881</v>
      </c>
      <c r="GI198" s="409">
        <v>30</v>
      </c>
      <c r="GJ198" s="411">
        <f t="shared" si="118"/>
        <v>0</v>
      </c>
      <c r="GK198" s="411">
        <f t="shared" si="119"/>
        <v>9.0465116279069804</v>
      </c>
      <c r="GL198" s="410">
        <f t="shared" si="120"/>
        <v>0</v>
      </c>
      <c r="GM198" s="405" t="s">
        <v>544</v>
      </c>
      <c r="GN198" s="409" t="s">
        <v>3739</v>
      </c>
      <c r="GO198" s="420" t="str">
        <f t="shared" si="135"/>
        <v>ToyoLi - MAGENTA</v>
      </c>
      <c r="GP198" s="409">
        <v>33</v>
      </c>
      <c r="GQ198" s="411">
        <f>IF(GP198=0,0,IF($LB198=70%,VLOOKUP($GO198,'Jan-2026 rates'!$L:$R,4,0),IF($LB198=65%,VLOOKUP($GO198,'Jan-2026 rates'!$L:$R,4,0),IF($LB198=40%,VLOOKUP($GO198,'Jan-2026 rates'!$L:$R,5,0),IF($LB198=30%,VLOOKUP($GO198,'Jan-2026 rates'!$L:$R,6,0),IF($LB198=100%,VLOOKUP($GO198,'Jan-2026 rates'!$L:$R,7,0),IF($LB198=60%,VLOOKUP($GO198,'Jan-2026 rates'!$L:$S,8,0),IF($LB198=80%,VLOOKUP($GO198,'Jan-2026 rates'!L:T,9,0),0))))))))</f>
        <v>0</v>
      </c>
      <c r="GR198" s="412"/>
      <c r="GS198" s="409"/>
      <c r="GT198" s="411">
        <f>IF(GS198=0,0,IF($LB198=70%,VLOOKUP($GO198,'Jan-2026 rates'!$L:$R,4,0),IF($LB198=65%,VLOOKUP($GO198,'Jan-2026 rates'!$L:$R,4,0),IF($LB198=40%,VLOOKUP($GO198,'Jan-2026 rates'!$L:$R,5,0),IF($LB198=30%,VLOOKUP($GO198,'Jan-2026 rates'!$L:$R,6,0),IF($LB198=100%,VLOOKUP($GO198,'Jan-2026 rates'!$L:$R,7,0),IF($LB198=60%,VLOOKUP($GO198,'Jan-2026 rates'!$L:$S,8,0),IF($LB198=80%,VLOOKUP($GO198,'Jan-2026 rates'!L:T,9,0),0))))))))</f>
        <v>0</v>
      </c>
      <c r="GU198" s="413"/>
      <c r="GV198" s="413"/>
      <c r="GW198" s="412"/>
      <c r="GX198" s="412"/>
      <c r="GY198" s="412"/>
      <c r="GZ198" s="412"/>
      <c r="HA198" s="412"/>
      <c r="HB198" s="412"/>
      <c r="HC198" s="409"/>
      <c r="HD198" s="398">
        <f>IF(HC198=0,0,IF(LEN(GU198)=11,_xlfn.XLOOKUP(GU198,'Dispensed Ink Rates'!C:C,'Dispensed Ink Rates'!CS:CS),VLOOKUP(GU198,'Jan-2026 rates'!$E:$F,2,0)))</f>
        <v>0</v>
      </c>
      <c r="HE198" s="409"/>
      <c r="HF198" s="398">
        <f>IF(HE198=0,0,IF(LEN(GV198)=11,_xlfn.XLOOKUP(GV198,'Dispensed Ink Rates'!C:C,'Dispensed Ink Rates'!CS:CS),VLOOKUP(GV198,'Jan-2026 rates'!$E:$F,2,0)))</f>
        <v>0</v>
      </c>
      <c r="HG198" s="409"/>
      <c r="HH198" s="398">
        <f>IF(HG198=0,0,IF(LEN(GW198)=11,_xlfn.XLOOKUP(GW198,'Dispensed Ink Rates'!C:C,'Dispensed Ink Rates'!CS:CS),VLOOKUP(GW198,'Jan-2026 rates'!$E:$F,2,0)))</f>
        <v>0</v>
      </c>
      <c r="HI198" s="409"/>
      <c r="HJ198" s="398">
        <f>IF(HI198=0,0,IF(LEN(GX198)=11,_xlfn.XLOOKUP(GX198,'Dispensed Ink Rates'!C:C,'Dispensed Ink Rates'!CS:CS),VLOOKUP(GX198,'Jan-2026 rates'!$E:$F,2,0)))</f>
        <v>0</v>
      </c>
      <c r="HK198" s="409"/>
      <c r="HL198" s="398">
        <f>IF(HK198=0,0,IF(LEN(GY198)=11,_xlfn.XLOOKUP(GY198,'Dispensed Ink Rates'!C:C,'Dispensed Ink Rates'!CS:CS),VLOOKUP(GY198,'Jan-2026 rates'!$E:$F,2,0)))</f>
        <v>0</v>
      </c>
      <c r="HM198" s="409"/>
      <c r="HN198" s="398">
        <f>IF(HM198=0,0,IF(LEN(GZ198)=11,_xlfn.XLOOKUP(GZ198,'Dispensed Ink Rates'!C:C,'Dispensed Ink Rates'!CS:CS),VLOOKUP(GZ198,'Jan-2026 rates'!$E:$F,2,0)))</f>
        <v>0</v>
      </c>
      <c r="HO198" s="409"/>
      <c r="HP198" s="398">
        <f>IF(HO198=0,0,IF(LEN(HA198)=11,_xlfn.XLOOKUP(HA198,'Dispensed Ink Rates'!C:C,'Dispensed Ink Rates'!CS:CS),VLOOKUP(HA198,'Jan-2026 rates'!$E:$F,2,0)))</f>
        <v>0</v>
      </c>
      <c r="HQ198" s="409"/>
      <c r="HR198" s="398">
        <f>IF(HQ198=0,0,IF(LEN(HB198)=11,_xlfn.XLOOKUP(HB198,'Dispensed Ink Rates'!C:C,'Dispensed Ink Rates'!CS:CS),VLOOKUP(HB198,'Jan-2026 rates'!$E:$F,2,0)))</f>
        <v>0</v>
      </c>
      <c r="HS198" s="409" t="s">
        <v>1881</v>
      </c>
      <c r="HT198" s="409">
        <v>30</v>
      </c>
      <c r="HU198" s="411">
        <f t="shared" si="121"/>
        <v>0</v>
      </c>
      <c r="HV198" s="411">
        <f t="shared" si="122"/>
        <v>6.3488372093023244</v>
      </c>
      <c r="HW198" s="414">
        <f t="shared" si="123"/>
        <v>0</v>
      </c>
      <c r="HX198" s="405" t="s">
        <v>545</v>
      </c>
      <c r="HY198" s="409" t="s">
        <v>3740</v>
      </c>
      <c r="HZ198" s="420" t="str">
        <f t="shared" si="136"/>
        <v>ToyoLi - YELLOW</v>
      </c>
      <c r="IA198" s="409">
        <v>28</v>
      </c>
      <c r="IB198" s="411">
        <f>IF(IA198=0,0,IF($LB198=70%,VLOOKUP($HZ198,'Jan-2026 rates'!$L:$R,4,0),IF($LB198=65%,VLOOKUP($HZ198,'Jan-2026 rates'!$L:$R,4,0),IF($LB198=40%,VLOOKUP($HZ198,'Jan-2026 rates'!$L:$R,5,0),IF($LB198=30%,VLOOKUP($HZ198,'Jan-2026 rates'!$L:$R,6,0),IF($LB198=100%,VLOOKUP($HZ198,'Jan-2026 rates'!$L:$R,7,0),IF($LB198=60%,VLOOKUP($HZ198,'Jan-2026 rates'!$L:$S,8,0),IF($LB198=80%,VLOOKUP($HZ198,'Jan-2026 rates'!L:T,9,0),0))))))))</f>
        <v>0</v>
      </c>
      <c r="IC198" s="412"/>
      <c r="ID198" s="409"/>
      <c r="IE198" s="411">
        <f>IF(ID198=0,0,IF($LB198=70%,VLOOKUP($HZ198,'Jan-2026 rates'!$L:$R,4,0),IF($LB198=65%,VLOOKUP($HZ198,'Jan-2026 rates'!$L:$R,4,0),IF($LB198=40%,VLOOKUP($HZ198,'Jan-2026 rates'!$L:$R,5,0),IF($LB198=30%,VLOOKUP($HZ198,'Jan-2026 rates'!$L:$R,6,0),IF($LB198=100%,VLOOKUP($HZ198,'Jan-2026 rates'!$L:$R,7,0),IF($LB198=60%,VLOOKUP($HZ198,'Jan-2026 rates'!$L:$S,8,0),IF($LB198=80%,VLOOKUP($HZ198,'Jan-2026 rates'!L:T,9,0),0))))))))</f>
        <v>0</v>
      </c>
      <c r="IF198" s="412" t="s">
        <v>1247</v>
      </c>
      <c r="IG198" s="413"/>
      <c r="IH198" s="412"/>
      <c r="II198" s="412"/>
      <c r="IJ198" s="412"/>
      <c r="IK198" s="412"/>
      <c r="IL198" s="412"/>
      <c r="IM198" s="412"/>
      <c r="IN198" s="409">
        <v>2</v>
      </c>
      <c r="IO198" s="398">
        <f>IF(IN198=0,0,IF(LEN(IF198)=11,_xlfn.XLOOKUP(IF198,'Dispensed Ink Rates'!C:C,'Dispensed Ink Rates'!CS:CS),VLOOKUP(IF198,'Jan-2026 rates'!$E:$F,2,0)))</f>
        <v>0</v>
      </c>
      <c r="IP198" s="409"/>
      <c r="IQ198" s="398">
        <f>IF(IP198=0,0,IF(LEN(IG198)=11,_xlfn.XLOOKUP(IG198,'Dispensed Ink Rates'!C:C,'Dispensed Ink Rates'!CS:CS),VLOOKUP(IG198,'Jan-2026 rates'!$E:$F,2,0)))</f>
        <v>0</v>
      </c>
      <c r="IR198" s="409"/>
      <c r="IS198" s="398">
        <f>IF(IR198=0,0,IF(LEN(IH198)=11,_xlfn.XLOOKUP(IH198,'Dispensed Ink Rates'!C:C,'Dispensed Ink Rates'!CS:CS),VLOOKUP(IH198,'Jan-2026 rates'!$E:$F,2,0)))</f>
        <v>0</v>
      </c>
      <c r="IT198" s="409"/>
      <c r="IU198" s="398">
        <f>IF(IT198=0,0,IF(LEN(II198)=11,_xlfn.XLOOKUP(II198,'Dispensed Ink Rates'!C:C,'Dispensed Ink Rates'!CS:CS),VLOOKUP(II198,'Jan-2026 rates'!$E:$F,2,0)))</f>
        <v>0</v>
      </c>
      <c r="IV198" s="409"/>
      <c r="IW198" s="398">
        <f>IF(IV198=0,0,IF(LEN(IJ198)=11,_xlfn.XLOOKUP(IJ198,'Dispensed Ink Rates'!C:C,'Dispensed Ink Rates'!CS:CS),VLOOKUP(IJ198,'Jan-2026 rates'!$E:$F,2,0)))</f>
        <v>0</v>
      </c>
      <c r="IX198" s="409"/>
      <c r="IY198" s="398">
        <f>IF(IX198=0,0,IF(LEN(IK198)=11,_xlfn.XLOOKUP(IK198,'Dispensed Ink Rates'!C:C,'Dispensed Ink Rates'!CS:CS),VLOOKUP(IK198,'Jan-2026 rates'!$E:$F,2,0)))</f>
        <v>0</v>
      </c>
      <c r="IZ198" s="409"/>
      <c r="JA198" s="398">
        <f>IF(IZ198=0,0,IF(LEN(IL198)=11,_xlfn.XLOOKUP(IL198,'Dispensed Ink Rates'!C:C,'Dispensed Ink Rates'!CS:CS),VLOOKUP(IL198,'Jan-2026 rates'!$E:$F,2,0)))</f>
        <v>0</v>
      </c>
      <c r="JB198" s="409"/>
      <c r="JC198" s="398">
        <f>IF(JB198=0,0,IF(LEN(IM198)=11,_xlfn.XLOOKUP(IM198,'Dispensed Ink Rates'!C:C,'Dispensed Ink Rates'!CS:CS),VLOOKUP(IM198,'Jan-2026 rates'!$E:$F,2,0)))</f>
        <v>0</v>
      </c>
      <c r="JD198" s="409" t="s">
        <v>1881</v>
      </c>
      <c r="JE198" s="409">
        <v>30</v>
      </c>
      <c r="JF198" s="411">
        <f t="shared" si="124"/>
        <v>0</v>
      </c>
      <c r="JG198" s="411">
        <f t="shared" si="125"/>
        <v>3.3488372093023244</v>
      </c>
      <c r="JH198" s="410">
        <f t="shared" si="126"/>
        <v>0</v>
      </c>
      <c r="JI198" s="405" t="s">
        <v>856</v>
      </c>
      <c r="JJ198" s="409" t="s">
        <v>3741</v>
      </c>
      <c r="JK198" s="420" t="str">
        <f t="shared" si="137"/>
        <v>ToyoLi - WHITE</v>
      </c>
      <c r="JL198" s="409">
        <v>30</v>
      </c>
      <c r="JM198" s="411">
        <f>IF(JL198=0,0,IF($LB198=70%,VLOOKUP($JK198,'Jan-2026 rates'!$L:$R,4,0),IF($LB198=65%,VLOOKUP($JK198,'Jan-2026 rates'!$L:$R,4,0),IF($LB198=40%,VLOOKUP($JK198,'Jan-2026 rates'!$L:$R,5,0),IF($LB198=30%,VLOOKUP($JK198,'Jan-2026 rates'!$L:$R,6,0),IF($LB198=100%,VLOOKUP($JK198,'Jan-2026 rates'!$L:$R,7,0),IF($LB198=60%,VLOOKUP($JK198,'Jan-2026 rates'!$L:$S,8,0),IF($LB198=80%,VLOOKUP($JK198,'Jan-2026 rates'!L:T,9,0),0))))))))</f>
        <v>0</v>
      </c>
      <c r="JN198" s="412"/>
      <c r="JO198" s="409"/>
      <c r="JP198" s="411">
        <f>IF(JO198=0,0,IF($LB198=70%,VLOOKUP($JK198,'Jan-2026 rates'!$L:$R,4,0),IF($LB198=65%,VLOOKUP($JK198,'Jan-2026 rates'!$L:$R,4,0),IF($LB198=40%,VLOOKUP($JK198,'Jan-2026 rates'!$L:$R,5,0),IF($LB198=30%,VLOOKUP($JK198,'Jan-2026 rates'!$L:$R,6,0),IF($LB198=100%,VLOOKUP($JK198,'Jan-2026 rates'!$L:$R,7,0),IF($LB198=60%,VLOOKUP($JK198,'Jan-2026 rates'!$L:$S,8,0),IF($LB198=80%,VLOOKUP($JK198,'Jan-2026 rates'!L:T,9,0),0))))))))</f>
        <v>0</v>
      </c>
      <c r="JQ198" s="413" t="s">
        <v>1249</v>
      </c>
      <c r="JR198" s="412"/>
      <c r="JS198" s="413"/>
      <c r="JT198" s="413"/>
      <c r="JU198" s="412"/>
      <c r="JV198" s="412"/>
      <c r="JW198" s="412"/>
      <c r="JX198" s="412"/>
      <c r="JY198" s="409">
        <v>30</v>
      </c>
      <c r="JZ198" s="398">
        <f>IF(JY198=0,0,IF(LEN(JQ198)=11,_xlfn.XLOOKUP(JQ198,'Dispensed Ink Rates'!C:C,'Dispensed Ink Rates'!CS:CS),VLOOKUP(JQ198,'Jan-2026 rates'!$E:$F,2,0)))</f>
        <v>0</v>
      </c>
      <c r="KA198" s="409"/>
      <c r="KB198" s="398">
        <f>IF(KA198=0,0,IF(LEN(JR198)=11,_xlfn.XLOOKUP(JR198,'Dispensed Ink Rates'!C:C,'Dispensed Ink Rates'!CS:CS),VLOOKUP(JR198,'Jan-2026 rates'!$E:$F,2,0)))</f>
        <v>0</v>
      </c>
      <c r="KC198" s="409"/>
      <c r="KD198" s="398">
        <f>IF(KC198=0,0,IF(LEN(JS198)=11,_xlfn.XLOOKUP(JS198,'Dispensed Ink Rates'!C:C,'Dispensed Ink Rates'!CS:CS),VLOOKUP(JS198,'Jan-2026 rates'!$E:$F,2,0)))</f>
        <v>0</v>
      </c>
      <c r="KE198" s="409"/>
      <c r="KF198" s="398">
        <f>IF(KE198=0,0,IF(LEN(JT198)=11,_xlfn.XLOOKUP(JT198,'Dispensed Ink Rates'!C:C,'Dispensed Ink Rates'!CS:CS),VLOOKUP(JT198,'Jan-2026 rates'!$E:$F,2,0)))</f>
        <v>0</v>
      </c>
      <c r="KG198" s="409"/>
      <c r="KH198" s="398">
        <f>IF(KG198=0,0,IF(LEN(JU198)=11,_xlfn.XLOOKUP(JU198,'Dispensed Ink Rates'!C:C,'Dispensed Ink Rates'!CS:CS),VLOOKUP(JU198,'Jan-2026 rates'!$E:$F,2,0)))</f>
        <v>0</v>
      </c>
      <c r="KI198" s="409"/>
      <c r="KJ198" s="398">
        <f>IF(KI198=0,0,IF(LEN(JV198)=11,_xlfn.XLOOKUP(JV198,'Dispensed Ink Rates'!C:C,'Dispensed Ink Rates'!CS:CS),VLOOKUP(JV198,'Jan-2026 rates'!$E:$F,2,0)))</f>
        <v>0</v>
      </c>
      <c r="KK198" s="409"/>
      <c r="KL198" s="398">
        <f>IF(KK198=0,0,IF(LEN(JW198)=11,_xlfn.XLOOKUP(JW198,'Dispensed Ink Rates'!C:C,'Dispensed Ink Rates'!CS:CS),VLOOKUP(JW198,'Jan-2026 rates'!$E:$F,2,0)))</f>
        <v>0</v>
      </c>
      <c r="KM198" s="428"/>
      <c r="KN198" s="398">
        <f>IF(KM198=0,0,IF(LEN(JX198)=11,_xlfn.XLOOKUP(JX198,'Dispensed Ink Rates'!C:C,'Dispensed Ink Rates'!CS:CS),VLOOKUP(JX198,'Jan-2026 rates'!$E:$F,2,0)))</f>
        <v>0</v>
      </c>
      <c r="KO198" s="409" t="s">
        <v>1881</v>
      </c>
      <c r="KP198" s="409">
        <v>30</v>
      </c>
      <c r="KQ198" s="411">
        <f t="shared" si="127"/>
        <v>0</v>
      </c>
      <c r="KR198" s="411">
        <f t="shared" si="128"/>
        <v>55.116279069767444</v>
      </c>
      <c r="KS198" s="410">
        <f t="shared" si="129"/>
        <v>0</v>
      </c>
      <c r="KT198" s="409">
        <v>2</v>
      </c>
      <c r="KU198" s="409">
        <v>3</v>
      </c>
      <c r="KV198" s="409">
        <v>8</v>
      </c>
      <c r="KW198" s="409">
        <v>5</v>
      </c>
      <c r="KX198" s="409">
        <v>6</v>
      </c>
      <c r="KY198" s="409">
        <v>2</v>
      </c>
      <c r="KZ198" s="409">
        <v>2</v>
      </c>
      <c r="LA198" s="409">
        <v>15</v>
      </c>
      <c r="LB198" s="415">
        <v>0.3</v>
      </c>
      <c r="LC198" s="415"/>
      <c r="LD198" s="415"/>
      <c r="LE198" s="415">
        <v>0.5</v>
      </c>
      <c r="LF198" s="415">
        <v>0.2</v>
      </c>
      <c r="LG198" s="409">
        <v>0</v>
      </c>
      <c r="LH198" s="409">
        <f>17+15+12+20+8</f>
        <v>72</v>
      </c>
      <c r="LI198" s="409">
        <v>0</v>
      </c>
      <c r="LJ198" s="409">
        <v>0</v>
      </c>
      <c r="LK198" s="416">
        <f t="shared" si="138"/>
        <v>72</v>
      </c>
      <c r="LL198" s="416">
        <f t="shared" si="139"/>
        <v>72</v>
      </c>
      <c r="LM198" s="417">
        <f t="shared" si="140"/>
        <v>21.599999999999998</v>
      </c>
      <c r="LN198" s="417">
        <f>VLOOKUP($LM$8,'Jan-2026 rates'!$H:$I,2,0)</f>
        <v>0</v>
      </c>
      <c r="LO198" s="417">
        <f t="shared" si="141"/>
        <v>0</v>
      </c>
      <c r="LP198" s="417">
        <f>VLOOKUP($LO$8,'Jan-2026 rates'!$H:$I,2,0)</f>
        <v>0</v>
      </c>
      <c r="LQ198" s="417">
        <f t="shared" si="142"/>
        <v>0</v>
      </c>
      <c r="LR198" s="417">
        <f>VLOOKUP($LQ$8,'Jan-2026 rates'!$H:$I,2,0)</f>
        <v>0</v>
      </c>
      <c r="LS198" s="417">
        <f t="shared" si="143"/>
        <v>36</v>
      </c>
      <c r="LT198" s="417">
        <f>VLOOKUP($LS$8,'Jan-2026 rates'!$H:$I,2,0)</f>
        <v>0</v>
      </c>
      <c r="LU198" s="417">
        <f t="shared" si="144"/>
        <v>14.4</v>
      </c>
      <c r="LV198" s="417">
        <f>VLOOKUP($LU$8,'Jan-2026 rates'!$H:$I,2,0)</f>
        <v>0</v>
      </c>
      <c r="LW198" s="417">
        <f t="shared" si="145"/>
        <v>0</v>
      </c>
      <c r="LX198" s="417">
        <f t="shared" si="146"/>
        <v>0</v>
      </c>
      <c r="LY198" s="418">
        <f t="shared" si="147"/>
        <v>0</v>
      </c>
      <c r="LZ198" s="417"/>
      <c r="MA198" s="435">
        <f t="shared" si="148"/>
        <v>79</v>
      </c>
      <c r="MB198" s="282">
        <f t="shared" si="149"/>
        <v>109</v>
      </c>
      <c r="MC198" s="283" t="s">
        <v>2033</v>
      </c>
      <c r="MD198" s="284" t="str">
        <f t="shared" si="150"/>
        <v>ToyoLiToyoLiToyoLiToyoLiToyoLiToyoLiToyoLiToyoLi</v>
      </c>
      <c r="ME198" s="293" t="str">
        <f t="shared" si="151"/>
        <v>+</v>
      </c>
      <c r="MF198" s="293" t="str">
        <f t="shared" si="152"/>
        <v>+</v>
      </c>
      <c r="MG198" s="293" t="str">
        <f t="shared" si="153"/>
        <v>+</v>
      </c>
      <c r="MH198" s="293" t="str">
        <f t="shared" si="154"/>
        <v>+</v>
      </c>
      <c r="MI198" s="293" t="str">
        <f t="shared" si="155"/>
        <v>+</v>
      </c>
      <c r="MJ198" s="293" t="str">
        <f t="shared" si="156"/>
        <v>+</v>
      </c>
      <c r="MK198" s="293" t="str">
        <f t="shared" si="157"/>
        <v>+</v>
      </c>
      <c r="ML198" s="293" t="str">
        <f t="shared" si="158"/>
        <v>+</v>
      </c>
      <c r="MM198" s="3" t="b">
        <f t="array" ref="MM198">OR(ME198:ML198="-")</f>
        <v>0</v>
      </c>
      <c r="MN198" s="285"/>
      <c r="MO198" s="401"/>
      <c r="MP198" s="286"/>
      <c r="MQ198" s="286"/>
      <c r="MR198" s="402"/>
      <c r="MS198" s="400"/>
      <c r="NH198" s="422"/>
      <c r="NJ198" s="421"/>
    </row>
    <row r="199" spans="1:374" s="1" customFormat="1" ht="16.5">
      <c r="A199" s="403">
        <v>46038</v>
      </c>
      <c r="B199" s="404" t="s">
        <v>1018</v>
      </c>
      <c r="C199" s="405" t="s">
        <v>3742</v>
      </c>
      <c r="D199" s="406" t="s">
        <v>2031</v>
      </c>
      <c r="E199" s="404">
        <v>175</v>
      </c>
      <c r="F199" s="407">
        <v>8600</v>
      </c>
      <c r="G199" s="407" t="s">
        <v>1016</v>
      </c>
      <c r="H199" s="408" t="s">
        <v>1017</v>
      </c>
      <c r="I199" s="409">
        <v>1.96</v>
      </c>
      <c r="J199" s="405" t="s">
        <v>543</v>
      </c>
      <c r="K199" s="404" t="s">
        <v>3743</v>
      </c>
      <c r="L199" s="419" t="str">
        <f t="shared" si="131"/>
        <v>ToyoLi - BLACK</v>
      </c>
      <c r="M199" s="404">
        <v>29</v>
      </c>
      <c r="N199" s="410">
        <f>IF(M199=0,0,IF($LB199=70%,VLOOKUP($L199,'Jan-2026 rates'!$L:$R,4,0),IF($LB199=65%,VLOOKUP($L199,'Jan-2026 rates'!$L:$R,4,0),IF($LB199=40%,VLOOKUP($L199,'Jan-2026 rates'!$L:$R,5,0),IF($LB199=30%,VLOOKUP($L199,'Jan-2026 rates'!$L:$R,6,0),IF($LB199=100%,VLOOKUP($L199,'Jan-2026 rates'!$L:$R,7,0),IF($LB199=60%,VLOOKUP($L199,'Jan-2026 rates'!$L:$S,8,0),IF($LB199=80%,VLOOKUP($L199,'Jan-2026 rates'!L:T,9,0),0))))))))</f>
        <v>0</v>
      </c>
      <c r="O199" s="406"/>
      <c r="P199" s="404"/>
      <c r="Q199" s="410">
        <f>IF(P199=0,0,IF($LB199=70%,VLOOKUP($L199,'Jan-2026 rates'!$L:$R,4,0),IF($LB199=65%,VLOOKUP($L199,'Jan-2026 rates'!$L:$R,4,0),IF($LB199=40%,VLOOKUP($L199,'Jan-2026 rates'!$L:$R,5,0),IF($LB199=30%,VLOOKUP($L199,'Jan-2026 rates'!$L:$R,6,0),IF($LB199=100%,VLOOKUP($L199,'Jan-2026 rates'!$L:$R,7,0),IF($LB199=60%,VLOOKUP($L199,'Jan-2026 rates'!$L:$S,8,0),IF($LB199=80%,VLOOKUP($L199,'Jan-2026 rates'!L:T,9,0),0))))))))</f>
        <v>0</v>
      </c>
      <c r="R199" s="406" t="s">
        <v>1921</v>
      </c>
      <c r="S199" s="406"/>
      <c r="T199" s="406"/>
      <c r="U199" s="406"/>
      <c r="V199" s="406"/>
      <c r="W199" s="406"/>
      <c r="X199" s="406"/>
      <c r="Y199" s="406"/>
      <c r="Z199" s="404">
        <f>3+6</f>
        <v>9</v>
      </c>
      <c r="AA199" s="398">
        <f>IF(Z199=0,0,IF(LEN(R199)=11,_xlfn.XLOOKUP(R199,'Dispensed Ink Rates'!C:C,'Dispensed Ink Rates'!CS:CS),VLOOKUP(R199,'Jan-2026 rates'!$E:$F,2,0)))</f>
        <v>0</v>
      </c>
      <c r="AB199" s="404"/>
      <c r="AC199" s="398">
        <f>IF(AB199=0,0,IF(LEN(S199)=11,_xlfn.XLOOKUP(S199,'Dispensed Ink Rates'!C:C,'Dispensed Ink Rates'!CS:CS),VLOOKUP(S199,'Jan-2026 rates'!$E:$F,2,0)))</f>
        <v>0</v>
      </c>
      <c r="AD199" s="404"/>
      <c r="AE199" s="398">
        <f>IF(AD199=0,0,IF(LEN(T199)=11,_xlfn.XLOOKUP(T199,'Dispensed Ink Rates'!C:C,'Dispensed Ink Rates'!CS:CS),VLOOKUP(T199,'Jan-2026 rates'!$E:$F,2,0)))</f>
        <v>0</v>
      </c>
      <c r="AF199" s="404"/>
      <c r="AG199" s="398">
        <f>IF(AF199=0,0,IF(LEN(U199)=11,_xlfn.XLOOKUP(U199,'Dispensed Ink Rates'!C:C,'Dispensed Ink Rates'!CS:CS),VLOOKUP(U199,'Jan-2026 rates'!$E:$F,2,0)))</f>
        <v>0</v>
      </c>
      <c r="AH199" s="404"/>
      <c r="AI199" s="398">
        <f>IF(AH199=0,0,IF(LEN(V199)=11,_xlfn.XLOOKUP(V199,'Dispensed Ink Rates'!C:C,'Dispensed Ink Rates'!CS:CS),VLOOKUP(V199,'Jan-2026 rates'!$E:$F,2,0)))</f>
        <v>0</v>
      </c>
      <c r="AJ199" s="404"/>
      <c r="AK199" s="398">
        <f>IF(AJ199=0,0,IF(LEN(W199)=11,_xlfn.XLOOKUP(W199,'Dispensed Ink Rates'!C:C,'Dispensed Ink Rates'!CS:CS),VLOOKUP(W199,'Jan-2026 rates'!$E:$F,2,0)))</f>
        <v>0</v>
      </c>
      <c r="AL199" s="404"/>
      <c r="AM199" s="398">
        <f>IF(AL199=0,0,IF(LEN(X199)=11,_xlfn.XLOOKUP(X199,'Dispensed Ink Rates'!C:C,'Dispensed Ink Rates'!CS:CS),VLOOKUP(X199,'Jan-2026 rates'!$E:$F,2,0)))</f>
        <v>0</v>
      </c>
      <c r="AN199" s="404"/>
      <c r="AO199" s="398">
        <f>IF(AN199=0,0,IF(LEN(Y199)=11,_xlfn.XLOOKUP(Y199,'Dispensed Ink Rates'!C:C,'Dispensed Ink Rates'!CS:CS),VLOOKUP(Y199,'Jan-2026 rates'!$E:$F,2,0)))</f>
        <v>0</v>
      </c>
      <c r="AP199" s="409" t="s">
        <v>1881</v>
      </c>
      <c r="AQ199" s="409">
        <f>17+20</f>
        <v>37</v>
      </c>
      <c r="AR199" s="410">
        <f t="shared" si="106"/>
        <v>0</v>
      </c>
      <c r="AS199" s="411">
        <f t="shared" si="107"/>
        <v>5.5161290322580641</v>
      </c>
      <c r="AT199" s="410">
        <f t="shared" si="108"/>
        <v>0</v>
      </c>
      <c r="AU199" s="405" t="s">
        <v>547</v>
      </c>
      <c r="AV199" s="409" t="s">
        <v>3744</v>
      </c>
      <c r="AW199" s="420" t="str">
        <f t="shared" si="130"/>
        <v>ToyoLi - GREEN</v>
      </c>
      <c r="AX199" s="409">
        <v>25</v>
      </c>
      <c r="AY199" s="411">
        <f>IF(AX199=0,0,IF($LB199=70%,VLOOKUP($AW199,'Jan-2026 rates'!$L:$R,4,0),IF($LB199=65%,VLOOKUP($AW199,'Jan-2026 rates'!$L:$R,4,0),IF($LB199=40%,VLOOKUP($AW199,'Jan-2026 rates'!$L:$R,5,0),IF($LB199=30%,VLOOKUP($AW199,'Jan-2026 rates'!$L:$R,6,0),IF($LB199=100%,VLOOKUP($AW199,'Jan-2026 rates'!$L:$R,7,0),IF($LB199=60%,VLOOKUP($AW199,'Jan-2026 rates'!$L:$S,8,0),IF($LB199=80%,VLOOKUP($AW199,'Jan-2026 rates'!L:T,9,0),0))))))))</f>
        <v>0</v>
      </c>
      <c r="AZ199" s="412"/>
      <c r="BA199" s="409"/>
      <c r="BB199" s="411">
        <f>IF(BA199=0,0,IF($LB199=70%,VLOOKUP($AW199,'Jan-2026 rates'!$L:$R,4,0),IF($LB199=65%,VLOOKUP($AW199,'Jan-2026 rates'!$L:$R,4,0),IF($LB199=40%,VLOOKUP($AW199,'Jan-2026 rates'!$L:$R,5,0),IF($LB199=30%,VLOOKUP($AW199,'Jan-2026 rates'!$L:$R,6,0),IF($LB199=100%,VLOOKUP($AW199,'Jan-2026 rates'!$L:$R,7,0),IF($LB199=60%,VLOOKUP($AW199,'Jan-2026 rates'!$L:$S,8,0),IF($LB199=80%,VLOOKUP($AW199,'Jan-2026 rates'!L:T,9,0),0))))))))</f>
        <v>0</v>
      </c>
      <c r="BC199" s="413" t="s">
        <v>1921</v>
      </c>
      <c r="BD199" s="412"/>
      <c r="BE199" s="412"/>
      <c r="BF199" s="413"/>
      <c r="BG199" s="412"/>
      <c r="BH199" s="412"/>
      <c r="BI199" s="412"/>
      <c r="BJ199" s="412"/>
      <c r="BK199" s="409">
        <f>3+6</f>
        <v>9</v>
      </c>
      <c r="BL199" s="398">
        <f>IF(BK199=0,0,IF(LEN(BC199)=11,_xlfn.XLOOKUP(BC199,'Dispensed Ink Rates'!C:C,'Dispensed Ink Rates'!CS:CS),VLOOKUP(BC199,'Jan-2026 rates'!$E:$F,2,0)))</f>
        <v>0</v>
      </c>
      <c r="BM199" s="409"/>
      <c r="BN199" s="398">
        <f>IF(BM199=0,0,IF(LEN(BD199)=11,_xlfn.XLOOKUP(BD199,'Dispensed Ink Rates'!C:C,'Dispensed Ink Rates'!CS:CS),VLOOKUP(BD199,'Jan-2026 rates'!$E:$F,2,0)))</f>
        <v>0</v>
      </c>
      <c r="BO199" s="409"/>
      <c r="BP199" s="398">
        <f>IF(BO199=0,0,IF(LEN(BE199)=11,_xlfn.XLOOKUP(BE199,'Dispensed Ink Rates'!C:C,'Dispensed Ink Rates'!CS:CS),VLOOKUP(BE199,'Jan-2026 rates'!$E:$F,2,0)))</f>
        <v>0</v>
      </c>
      <c r="BQ199" s="409"/>
      <c r="BR199" s="398">
        <f>IF(BQ199=0,0,IF(LEN(BF199)=11,_xlfn.XLOOKUP(BF199,'Dispensed Ink Rates'!C:C,'Dispensed Ink Rates'!CS:CS),VLOOKUP(BF199,'Jan-2026 rates'!$E:$F,2,0)))</f>
        <v>0</v>
      </c>
      <c r="BS199" s="409"/>
      <c r="BT199" s="398">
        <f>IF(BS199=0,0,IF(LEN(BG199)=11,_xlfn.XLOOKUP(BG199,'Dispensed Ink Rates'!C:C,'Dispensed Ink Rates'!CS:CS),VLOOKUP(BG199,'Jan-2026 rates'!$E:$F,2,0)))</f>
        <v>0</v>
      </c>
      <c r="BU199" s="409"/>
      <c r="BV199" s="398">
        <f>IF(BU199=0,0,IF(LEN(BH199)=11,_xlfn.XLOOKUP(BH199,'Dispensed Ink Rates'!C:C,'Dispensed Ink Rates'!CS:CS),VLOOKUP(BH199,'Jan-2026 rates'!$E:$F,2,0)))</f>
        <v>0</v>
      </c>
      <c r="BW199" s="409"/>
      <c r="BX199" s="398">
        <f>IF(BW199=0,0,IF(LEN(BI199)=11,_xlfn.XLOOKUP(BI199,'Dispensed Ink Rates'!C:C,'Dispensed Ink Rates'!CS:CS),VLOOKUP(BI199,'Jan-2026 rates'!$E:$F,2,0)))</f>
        <v>0</v>
      </c>
      <c r="BY199" s="409"/>
      <c r="BZ199" s="398">
        <f>IF(BY199=0,0,IF(LEN(BJ199)=11,_xlfn.XLOOKUP(BJ199,'Dispensed Ink Rates'!C:C,'Dispensed Ink Rates'!CS:CS),VLOOKUP(BJ199,'Jan-2026 rates'!$E:$F,2,0)))</f>
        <v>0</v>
      </c>
      <c r="CA199" s="409" t="s">
        <v>1881</v>
      </c>
      <c r="CB199" s="409">
        <f>16+17</f>
        <v>33</v>
      </c>
      <c r="CC199" s="411">
        <f t="shared" si="109"/>
        <v>0</v>
      </c>
      <c r="CD199" s="411">
        <f t="shared" si="110"/>
        <v>5.5161290322580641</v>
      </c>
      <c r="CE199" s="410">
        <f t="shared" si="111"/>
        <v>0</v>
      </c>
      <c r="CF199" s="404" t="s">
        <v>857</v>
      </c>
      <c r="CG199" s="409" t="s">
        <v>3745</v>
      </c>
      <c r="CH199" s="420" t="str">
        <f t="shared" si="132"/>
        <v>ToyoLi - RED</v>
      </c>
      <c r="CI199" s="409">
        <v>22</v>
      </c>
      <c r="CJ199" s="411">
        <f>IF(CI199=0,0,IF($LB199=70%,VLOOKUP($CH199,'Jan-2026 rates'!$L:$R,4,0),IF($LB199=65%,VLOOKUP($CH199,'Jan-2026 rates'!$L:$R,4,0),IF($LB199=40%,VLOOKUP($CH199,'Jan-2026 rates'!$L:$R,5,0),IF($LB199=30%,VLOOKUP($CH199,'Jan-2026 rates'!$L:$R,6,0),IF($LB199=100%,VLOOKUP($CH199,'Jan-2026 rates'!$L:$R,7,0),IF($LB199=60%,VLOOKUP($CH199,'Jan-2026 rates'!$L:$S,8,0),IF($LB199=80%,VLOOKUP($CH199,'Jan-2026 rates'!L:T,9,0),0))))))))</f>
        <v>0</v>
      </c>
      <c r="CK199" s="412"/>
      <c r="CL199" s="409"/>
      <c r="CM199" s="411">
        <f>IF(CL199=0,0,IF($LB199=70%,VLOOKUP($CH199,'Jan-2026 rates'!$L:$R,4,0),IF($LB199=65%,VLOOKUP($CH199,'Jan-2026 rates'!$L:$R,4,0),IF($LB199=40%,VLOOKUP($CH199,'Jan-2026 rates'!$L:$R,5,0),IF($LB199=30%,VLOOKUP($CH199,'Jan-2026 rates'!$L:$R,6,0),IF($LB199=100%,VLOOKUP($CH199,'Jan-2026 rates'!$L:$R,7,0),IF($LB199=60%,VLOOKUP($CH199,'Jan-2026 rates'!$L:$S,8,0),IF($LB199=80%,VLOOKUP($CH199,'Jan-2026 rates'!L:T,9,0),0))))))))</f>
        <v>0</v>
      </c>
      <c r="CN199" s="426" t="s">
        <v>1248</v>
      </c>
      <c r="CO199" s="427"/>
      <c r="CP199" s="426"/>
      <c r="CQ199" s="426"/>
      <c r="CR199" s="428"/>
      <c r="CS199" s="428"/>
      <c r="CT199" s="428"/>
      <c r="CU199" s="428"/>
      <c r="CV199" s="409">
        <v>13</v>
      </c>
      <c r="CW199" s="398">
        <f>IF(CV199=0,0,IF(LEN(CN199)=11,_xlfn.XLOOKUP(CN199,'Dispensed Ink Rates'!C:C,'Dispensed Ink Rates'!CS:CS),VLOOKUP(CN199,'Jan-2026 rates'!$E:$F,2,0)))</f>
        <v>0</v>
      </c>
      <c r="CX199" s="409"/>
      <c r="CY199" s="398">
        <f>IF(CX199=0,0,IF(LEN(CO199)=11,_xlfn.XLOOKUP(CO199,'Dispensed Ink Rates'!C:C,'Dispensed Ink Rates'!CS:CS),VLOOKUP(CO199,'Jan-2026 rates'!$E:$F,2,0)))</f>
        <v>0</v>
      </c>
      <c r="CZ199" s="409"/>
      <c r="DA199" s="398">
        <f>IF(CZ199=0,0,IF(LEN(CP199)=11,_xlfn.XLOOKUP(CP199,'Dispensed Ink Rates'!C:C,'Dispensed Ink Rates'!CS:CS),VLOOKUP(CP199,'Jan-2026 rates'!$E:$F,2,0)))</f>
        <v>0</v>
      </c>
      <c r="DB199" s="409"/>
      <c r="DC199" s="398">
        <f>IF(DB199=0,0,IF(LEN(CQ199)=11,_xlfn.XLOOKUP(CQ199,'Dispensed Ink Rates'!C:C,'Dispensed Ink Rates'!CS:CS),VLOOKUP(CQ199,'Jan-2026 rates'!$E:$F,2,0)))</f>
        <v>0</v>
      </c>
      <c r="DD199" s="409"/>
      <c r="DE199" s="398">
        <f>IF(DD199=0,0,IF(LEN(CR199)=11,_xlfn.XLOOKUP(CR199,'Dispensed Ink Rates'!C:C,'Dispensed Ink Rates'!CS:CS),VLOOKUP(CR199,'Jan-2026 rates'!$E:$F,2,0)))</f>
        <v>0</v>
      </c>
      <c r="DF199" s="409"/>
      <c r="DG199" s="398">
        <f>IF(DF199=0,0,IF(LEN(CS199)=11,_xlfn.XLOOKUP(CS199,'Dispensed Ink Rates'!C:C,'Dispensed Ink Rates'!CS:CS),VLOOKUP(CS199,'Jan-2026 rates'!$E:$F,2,0)))</f>
        <v>0</v>
      </c>
      <c r="DH199" s="409"/>
      <c r="DI199" s="398">
        <f>IF(DH199=0,0,IF(LEN(CT199)=11,_xlfn.XLOOKUP(CT199,'Dispensed Ink Rates'!C:C,'Dispensed Ink Rates'!CS:CS),VLOOKUP(CT199,'Jan-2026 rates'!$E:$F,2,0)))</f>
        <v>0</v>
      </c>
      <c r="DJ199" s="409"/>
      <c r="DK199" s="398">
        <f>IF(DJ199=0,0,IF(LEN(CU199)=11,_xlfn.XLOOKUP(CU199,'Dispensed Ink Rates'!C:C,'Dispensed Ink Rates'!CS:CS),VLOOKUP(CU199,'Jan-2026 rates'!$E:$F,2,0)))</f>
        <v>0</v>
      </c>
      <c r="DL199" s="409" t="s">
        <v>1881</v>
      </c>
      <c r="DM199" s="409">
        <f>16+18</f>
        <v>34</v>
      </c>
      <c r="DN199" s="411">
        <f t="shared" si="112"/>
        <v>0</v>
      </c>
      <c r="DO199" s="411">
        <f t="shared" si="113"/>
        <v>5.5161290322580641</v>
      </c>
      <c r="DP199" s="410">
        <f t="shared" si="114"/>
        <v>0</v>
      </c>
      <c r="DQ199" s="405" t="s">
        <v>855</v>
      </c>
      <c r="DR199" s="409" t="s">
        <v>3746</v>
      </c>
      <c r="DS199" s="420" t="str">
        <f t="shared" si="133"/>
        <v>ToyoLi - CYAN</v>
      </c>
      <c r="DT199" s="409">
        <v>30</v>
      </c>
      <c r="DU199" s="411">
        <f>IF(DT199=0,0,IF($LB199=70%,VLOOKUP($DS199,'Jan-2026 rates'!$L:$R,4,0),IF($LB199=65%,VLOOKUP($DS199,'Jan-2026 rates'!$L:$R,4,0),IF($LB199=40%,VLOOKUP($DS199,'Jan-2026 rates'!$L:$R,5,0),IF($LB199=30%,VLOOKUP($DS199,'Jan-2026 rates'!$L:$R,6,0),IF($LB199=100%,VLOOKUP($DS199,'Jan-2026 rates'!$L:$R,7,0),IF($LB199=60%,VLOOKUP($DS199,'Jan-2026 rates'!$L:$S,8,0),IF($LB199=80%,VLOOKUP($DS199,'Jan-2026 rates'!L:T,9,0),0))))))))</f>
        <v>0</v>
      </c>
      <c r="DV199" s="412"/>
      <c r="DW199" s="409"/>
      <c r="DX199" s="411">
        <f>IF(DW199=0,0,IF($LB199=70%,VLOOKUP($DS199,'Jan-2026 rates'!$L:$R,4,0),IF($LB199=65%,VLOOKUP($DS199,'Jan-2026 rates'!$L:$R,4,0),IF($LB199=40%,VLOOKUP($DS199,'Jan-2026 rates'!$L:$R,5,0),IF($LB199=30%,VLOOKUP($DS199,'Jan-2026 rates'!$L:$R,6,0),IF($LB199=100%,VLOOKUP($DS199,'Jan-2026 rates'!$L:$R,7,0),IF($LB199=60%,VLOOKUP($DS199,'Jan-2026 rates'!$L:$S,8,0),IF($LB199=80%,VLOOKUP($DS199,'Jan-2026 rates'!L:T,9,0),0))))))))</f>
        <v>0</v>
      </c>
      <c r="DY199" s="413" t="s">
        <v>1250</v>
      </c>
      <c r="DZ199" s="413"/>
      <c r="EA199" s="412"/>
      <c r="EB199" s="412"/>
      <c r="EC199" s="412"/>
      <c r="ED199" s="412"/>
      <c r="EE199" s="412"/>
      <c r="EF199" s="412"/>
      <c r="EG199" s="409">
        <v>6</v>
      </c>
      <c r="EH199" s="398">
        <f>IF(EG199=0,0,IF(LEN(DY199)=11,_xlfn.XLOOKUP(DY199,'Dispensed Ink Rates'!C:C,'Dispensed Ink Rates'!CS:CS),VLOOKUP(DY199,'Jan-2026 rates'!$E:$F,2,0)))</f>
        <v>0</v>
      </c>
      <c r="EI199" s="409"/>
      <c r="EJ199" s="398">
        <f>IF(EI199=0,0,IF(LEN(DZ199)=11,_xlfn.XLOOKUP(DZ199,'Dispensed Ink Rates'!C:C,'Dispensed Ink Rates'!CS:CS),VLOOKUP(DZ199,'Jan-2026 rates'!$E:$F,2,0)))</f>
        <v>0</v>
      </c>
      <c r="EK199" s="409"/>
      <c r="EL199" s="398">
        <f>IF(EK199=0,0,IF(LEN(EA199)=11,_xlfn.XLOOKUP(EA199,'Dispensed Ink Rates'!C:C,'Dispensed Ink Rates'!CS:CS),VLOOKUP(EA199,'Jan-2026 rates'!$E:$F,2,0)))</f>
        <v>0</v>
      </c>
      <c r="EM199" s="409"/>
      <c r="EN199" s="398">
        <f>IF(EM199=0,0,IF(LEN(EB199)=11,_xlfn.XLOOKUP(EB199,'Dispensed Ink Rates'!C:C,'Dispensed Ink Rates'!CS:CS),VLOOKUP(EB199,'Jan-2026 rates'!$E:$F,2,0)))</f>
        <v>0</v>
      </c>
      <c r="EO199" s="409"/>
      <c r="EP199" s="398">
        <f>IF(EO199=0,0,IF(LEN(EC199)=11,_xlfn.XLOOKUP(EC199,'Dispensed Ink Rates'!C:C,'Dispensed Ink Rates'!CS:CS),VLOOKUP(EC199,'Jan-2026 rates'!$E:$F,2,0)))</f>
        <v>0</v>
      </c>
      <c r="EQ199" s="409"/>
      <c r="ER199" s="398">
        <f>IF(EQ199=0,0,IF(LEN(ED199)=11,_xlfn.XLOOKUP(ED199,'Dispensed Ink Rates'!C:C,'Dispensed Ink Rates'!CS:CS),VLOOKUP(ED199,'Jan-2026 rates'!$E:$F,2,0)))</f>
        <v>0</v>
      </c>
      <c r="ES199" s="409"/>
      <c r="ET199" s="398">
        <f>IF(ES199=0,0,IF(LEN(EE199)=11,_xlfn.XLOOKUP(EE199,'Dispensed Ink Rates'!C:C,'Dispensed Ink Rates'!CS:CS),VLOOKUP(EE199,'Jan-2026 rates'!$E:$F,2,0)))</f>
        <v>0</v>
      </c>
      <c r="EU199" s="409"/>
      <c r="EV199" s="398">
        <f>IF(EU199=0,0,IF(LEN(EF199)=11,_xlfn.XLOOKUP(EF199,'Dispensed Ink Rates'!C:C,'Dispensed Ink Rates'!CS:CS),VLOOKUP(EF199,'Jan-2026 rates'!$E:$F,2,0)))</f>
        <v>0</v>
      </c>
      <c r="EW199" s="409" t="s">
        <v>1881</v>
      </c>
      <c r="EX199" s="409">
        <f>19+18</f>
        <v>37</v>
      </c>
      <c r="EY199" s="411">
        <f t="shared" si="115"/>
        <v>0</v>
      </c>
      <c r="EZ199" s="411">
        <f t="shared" si="116"/>
        <v>12.548387096774192</v>
      </c>
      <c r="FA199" s="410">
        <f t="shared" si="117"/>
        <v>0</v>
      </c>
      <c r="FB199" s="405" t="s">
        <v>544</v>
      </c>
      <c r="FC199" s="409" t="s">
        <v>3747</v>
      </c>
      <c r="FD199" s="420" t="str">
        <f t="shared" si="134"/>
        <v>ToyoLi - MAGENTA</v>
      </c>
      <c r="FE199" s="409">
        <v>30</v>
      </c>
      <c r="FF199" s="411">
        <f>IF(FE199=0,0,IF($LB199=70%,VLOOKUP($FD199,'Jan-2026 rates'!$L:$R,4,0),IF($LB199=65%,VLOOKUP($FD199,'Jan-2026 rates'!$L:$R,4,0),IF($LB199=40%,VLOOKUP($FD199,'Jan-2026 rates'!$L:$R,5,0),IF($LB199=30%,VLOOKUP($FD199,'Jan-2026 rates'!$L:$R,6,0),IF($LB199=100%,VLOOKUP($FD199,'Jan-2026 rates'!$L:$R,7,0),IF($LB199=60%,VLOOKUP($FD199,'Jan-2026 rates'!$L:$S,8,0),IF($LB199=80%,VLOOKUP($FD199,'Jan-2026 rates'!L:T,9,0),0))))))))</f>
        <v>0</v>
      </c>
      <c r="FG199" s="412"/>
      <c r="FH199" s="409"/>
      <c r="FI199" s="411">
        <f>IF(FH199=0,0,IF($LB199=70%,VLOOKUP($FD199,'Jan-2026 rates'!$L:$R,4,0),IF($LB199=65%,VLOOKUP($FD199,'Jan-2026 rates'!$L:$R,4,0),IF($LB199=40%,VLOOKUP($FD199,'Jan-2026 rates'!$L:$R,5,0),IF($LB199=30%,VLOOKUP($FD199,'Jan-2026 rates'!$L:$R,6,0),IF($LB199=100%,VLOOKUP($FD199,'Jan-2026 rates'!$L:$R,7,0),IF($LB199=60%,VLOOKUP($FD199,'Jan-2026 rates'!$L:$S,8,0),IF($LB199=80%,VLOOKUP($FD199,'Jan-2026 rates'!L:T,9,0),0))))))))</f>
        <v>0</v>
      </c>
      <c r="FJ199" s="413"/>
      <c r="FK199" s="413"/>
      <c r="FL199" s="413"/>
      <c r="FM199" s="412"/>
      <c r="FN199" s="412"/>
      <c r="FO199" s="412"/>
      <c r="FP199" s="412"/>
      <c r="FQ199" s="412"/>
      <c r="FR199" s="409"/>
      <c r="FS199" s="398">
        <f>IF(FR199=0,0,IF(LEN(FJ199)=11,_xlfn.XLOOKUP(FJ199,'Dispensed Ink Rates'!C:C,'Dispensed Ink Rates'!CS:CS),VLOOKUP(FJ199,'Jan-2026 rates'!$E:$F,2,0)))</f>
        <v>0</v>
      </c>
      <c r="FT199" s="409"/>
      <c r="FU199" s="398">
        <f>IF(FT199=0,0,IF(LEN(FK199)=11,_xlfn.XLOOKUP(FK199,'Dispensed Ink Rates'!C:C,'Dispensed Ink Rates'!CS:CS),VLOOKUP(FK199,'Jan-2026 rates'!$E:$F,2,0)))</f>
        <v>0</v>
      </c>
      <c r="FV199" s="409"/>
      <c r="FW199" s="398">
        <f>IF(FV199=0,0,IF(LEN(FL199)=11,_xlfn.XLOOKUP(FL199,'Dispensed Ink Rates'!C:C,'Dispensed Ink Rates'!CS:CS),VLOOKUP(FL199,'Jan-2026 rates'!$E:$F,2,0)))</f>
        <v>0</v>
      </c>
      <c r="FX199" s="409"/>
      <c r="FY199" s="398">
        <f>IF(FX199=0,0,IF(LEN(FM199)=11,_xlfn.XLOOKUP(FM199,'Dispensed Ink Rates'!C:C,'Dispensed Ink Rates'!CS:CS),VLOOKUP(FM199,'Jan-2026 rates'!$E:$F,2,0)))</f>
        <v>0</v>
      </c>
      <c r="FZ199" s="409"/>
      <c r="GA199" s="398">
        <f>IF(FZ199=0,0,IF(LEN(FN199)=11,_xlfn.XLOOKUP(FN199,'Dispensed Ink Rates'!C:C,'Dispensed Ink Rates'!CS:CS),VLOOKUP(FN199,'Jan-2026 rates'!$E:$F,2,0)))</f>
        <v>0</v>
      </c>
      <c r="GB199" s="409"/>
      <c r="GC199" s="398">
        <f>IF(GB199=0,0,IF(LEN(FO199)=11,_xlfn.XLOOKUP(FO199,'Dispensed Ink Rates'!C:C,'Dispensed Ink Rates'!CS:CS),VLOOKUP(FO199,'Jan-2026 rates'!$E:$F,2,0)))</f>
        <v>0</v>
      </c>
      <c r="GD199" s="409"/>
      <c r="GE199" s="398">
        <f>IF(GD199=0,0,IF(LEN(FP199)=11,_xlfn.XLOOKUP(FP199,'Dispensed Ink Rates'!C:C,'Dispensed Ink Rates'!CS:CS),VLOOKUP(FP199,'Jan-2026 rates'!$E:$F,2,0)))</f>
        <v>0</v>
      </c>
      <c r="GF199" s="409"/>
      <c r="GG199" s="398">
        <f>IF(GF199=0,0,IF(LEN(FQ199)=11,_xlfn.XLOOKUP(FQ199,'Dispensed Ink Rates'!C:C,'Dispensed Ink Rates'!CS:CS),VLOOKUP(FQ199,'Jan-2026 rates'!$E:$F,2,0)))</f>
        <v>0</v>
      </c>
      <c r="GH199" s="409" t="s">
        <v>1881</v>
      </c>
      <c r="GI199" s="409">
        <f>15+15</f>
        <v>30</v>
      </c>
      <c r="GJ199" s="411">
        <f t="shared" si="118"/>
        <v>0</v>
      </c>
      <c r="GK199" s="411">
        <f t="shared" si="119"/>
        <v>4.5161290322580641</v>
      </c>
      <c r="GL199" s="410">
        <f t="shared" si="120"/>
        <v>0</v>
      </c>
      <c r="GM199" s="405" t="s">
        <v>545</v>
      </c>
      <c r="GN199" s="409" t="s">
        <v>3748</v>
      </c>
      <c r="GO199" s="420" t="str">
        <f t="shared" si="135"/>
        <v>ToyoLi - YELLOW</v>
      </c>
      <c r="GP199" s="409">
        <v>30</v>
      </c>
      <c r="GQ199" s="411">
        <f>IF(GP199=0,0,IF($LB199=70%,VLOOKUP($GO199,'Jan-2026 rates'!$L:$R,4,0),IF($LB199=65%,VLOOKUP($GO199,'Jan-2026 rates'!$L:$R,4,0),IF($LB199=40%,VLOOKUP($GO199,'Jan-2026 rates'!$L:$R,5,0),IF($LB199=30%,VLOOKUP($GO199,'Jan-2026 rates'!$L:$R,6,0),IF($LB199=100%,VLOOKUP($GO199,'Jan-2026 rates'!$L:$R,7,0),IF($LB199=60%,VLOOKUP($GO199,'Jan-2026 rates'!$L:$S,8,0),IF($LB199=80%,VLOOKUP($GO199,'Jan-2026 rates'!L:T,9,0),0))))))))</f>
        <v>0</v>
      </c>
      <c r="GR199" s="412"/>
      <c r="GS199" s="409"/>
      <c r="GT199" s="411">
        <f>IF(GS199=0,0,IF($LB199=70%,VLOOKUP($GO199,'Jan-2026 rates'!$L:$R,4,0),IF($LB199=65%,VLOOKUP($GO199,'Jan-2026 rates'!$L:$R,4,0),IF($LB199=40%,VLOOKUP($GO199,'Jan-2026 rates'!$L:$R,5,0),IF($LB199=30%,VLOOKUP($GO199,'Jan-2026 rates'!$L:$R,6,0),IF($LB199=100%,VLOOKUP($GO199,'Jan-2026 rates'!$L:$R,7,0),IF($LB199=60%,VLOOKUP($GO199,'Jan-2026 rates'!$L:$S,8,0),IF($LB199=80%,VLOOKUP($GO199,'Jan-2026 rates'!L:T,9,0),0))))))))</f>
        <v>0</v>
      </c>
      <c r="GU199" s="413"/>
      <c r="GV199" s="413"/>
      <c r="GW199" s="412"/>
      <c r="GX199" s="412"/>
      <c r="GY199" s="412"/>
      <c r="GZ199" s="412"/>
      <c r="HA199" s="412"/>
      <c r="HB199" s="412"/>
      <c r="HC199" s="409"/>
      <c r="HD199" s="398">
        <f>IF(HC199=0,0,IF(LEN(GU199)=11,_xlfn.XLOOKUP(GU199,'Dispensed Ink Rates'!C:C,'Dispensed Ink Rates'!CS:CS),VLOOKUP(GU199,'Jan-2026 rates'!$E:$F,2,0)))</f>
        <v>0</v>
      </c>
      <c r="HE199" s="409"/>
      <c r="HF199" s="398">
        <f>IF(HE199=0,0,IF(LEN(GV199)=11,_xlfn.XLOOKUP(GV199,'Dispensed Ink Rates'!C:C,'Dispensed Ink Rates'!CS:CS),VLOOKUP(GV199,'Jan-2026 rates'!$E:$F,2,0)))</f>
        <v>0</v>
      </c>
      <c r="HG199" s="409"/>
      <c r="HH199" s="398">
        <f>IF(HG199=0,0,IF(LEN(GW199)=11,_xlfn.XLOOKUP(GW199,'Dispensed Ink Rates'!C:C,'Dispensed Ink Rates'!CS:CS),VLOOKUP(GW199,'Jan-2026 rates'!$E:$F,2,0)))</f>
        <v>0</v>
      </c>
      <c r="HI199" s="409"/>
      <c r="HJ199" s="398">
        <f>IF(HI199=0,0,IF(LEN(GX199)=11,_xlfn.XLOOKUP(GX199,'Dispensed Ink Rates'!C:C,'Dispensed Ink Rates'!CS:CS),VLOOKUP(GX199,'Jan-2026 rates'!$E:$F,2,0)))</f>
        <v>0</v>
      </c>
      <c r="HK199" s="409"/>
      <c r="HL199" s="398">
        <f>IF(HK199=0,0,IF(LEN(GY199)=11,_xlfn.XLOOKUP(GY199,'Dispensed Ink Rates'!C:C,'Dispensed Ink Rates'!CS:CS),VLOOKUP(GY199,'Jan-2026 rates'!$E:$F,2,0)))</f>
        <v>0</v>
      </c>
      <c r="HM199" s="409"/>
      <c r="HN199" s="398">
        <f>IF(HM199=0,0,IF(LEN(GZ199)=11,_xlfn.XLOOKUP(GZ199,'Dispensed Ink Rates'!C:C,'Dispensed Ink Rates'!CS:CS),VLOOKUP(GZ199,'Jan-2026 rates'!$E:$F,2,0)))</f>
        <v>0</v>
      </c>
      <c r="HO199" s="409"/>
      <c r="HP199" s="398">
        <f>IF(HO199=0,0,IF(LEN(HA199)=11,_xlfn.XLOOKUP(HA199,'Dispensed Ink Rates'!C:C,'Dispensed Ink Rates'!CS:CS),VLOOKUP(HA199,'Jan-2026 rates'!$E:$F,2,0)))</f>
        <v>0</v>
      </c>
      <c r="HQ199" s="409"/>
      <c r="HR199" s="398">
        <f>IF(HQ199=0,0,IF(LEN(HB199)=11,_xlfn.XLOOKUP(HB199,'Dispensed Ink Rates'!C:C,'Dispensed Ink Rates'!CS:CS),VLOOKUP(HB199,'Jan-2026 rates'!$E:$F,2,0)))</f>
        <v>0</v>
      </c>
      <c r="HS199" s="409" t="s">
        <v>1881</v>
      </c>
      <c r="HT199" s="409">
        <f>10+17</f>
        <v>27</v>
      </c>
      <c r="HU199" s="411">
        <f t="shared" si="121"/>
        <v>0</v>
      </c>
      <c r="HV199" s="411">
        <f t="shared" si="122"/>
        <v>7.5161290322580641</v>
      </c>
      <c r="HW199" s="414">
        <f t="shared" si="123"/>
        <v>0</v>
      </c>
      <c r="HX199" s="405" t="s">
        <v>856</v>
      </c>
      <c r="HY199" s="409" t="s">
        <v>3749</v>
      </c>
      <c r="HZ199" s="420" t="str">
        <f t="shared" si="136"/>
        <v>ToyoLi - WHITE</v>
      </c>
      <c r="IA199" s="409">
        <v>30</v>
      </c>
      <c r="IB199" s="411">
        <f>IF(IA199=0,0,IF($LB199=70%,VLOOKUP($HZ199,'Jan-2026 rates'!$L:$R,4,0),IF($LB199=65%,VLOOKUP($HZ199,'Jan-2026 rates'!$L:$R,4,0),IF($LB199=40%,VLOOKUP($HZ199,'Jan-2026 rates'!$L:$R,5,0),IF($LB199=30%,VLOOKUP($HZ199,'Jan-2026 rates'!$L:$R,6,0),IF($LB199=100%,VLOOKUP($HZ199,'Jan-2026 rates'!$L:$R,7,0),IF($LB199=60%,VLOOKUP($HZ199,'Jan-2026 rates'!$L:$S,8,0),IF($LB199=80%,VLOOKUP($HZ199,'Jan-2026 rates'!L:T,9,0),0))))))))</f>
        <v>0</v>
      </c>
      <c r="IC199" s="412"/>
      <c r="ID199" s="409"/>
      <c r="IE199" s="411">
        <f>IF(ID199=0,0,IF($LB199=70%,VLOOKUP($HZ199,'Jan-2026 rates'!$L:$R,4,0),IF($LB199=65%,VLOOKUP($HZ199,'Jan-2026 rates'!$L:$R,4,0),IF($LB199=40%,VLOOKUP($HZ199,'Jan-2026 rates'!$L:$R,5,0),IF($LB199=30%,VLOOKUP($HZ199,'Jan-2026 rates'!$L:$R,6,0),IF($LB199=100%,VLOOKUP($HZ199,'Jan-2026 rates'!$L:$R,7,0),IF($LB199=60%,VLOOKUP($HZ199,'Jan-2026 rates'!$L:$S,8,0),IF($LB199=80%,VLOOKUP($HZ199,'Jan-2026 rates'!L:T,9,0),0))))))))</f>
        <v>0</v>
      </c>
      <c r="IF199" s="412" t="s">
        <v>1249</v>
      </c>
      <c r="IG199" s="413"/>
      <c r="IH199" s="412"/>
      <c r="II199" s="412"/>
      <c r="IJ199" s="412"/>
      <c r="IK199" s="412"/>
      <c r="IL199" s="412"/>
      <c r="IM199" s="412"/>
      <c r="IN199" s="409">
        <f>30+20</f>
        <v>50</v>
      </c>
      <c r="IO199" s="398">
        <f>IF(IN199=0,0,IF(LEN(IF199)=11,_xlfn.XLOOKUP(IF199,'Dispensed Ink Rates'!C:C,'Dispensed Ink Rates'!CS:CS),VLOOKUP(IF199,'Jan-2026 rates'!$E:$F,2,0)))</f>
        <v>0</v>
      </c>
      <c r="IP199" s="409"/>
      <c r="IQ199" s="398">
        <f>IF(IP199=0,0,IF(LEN(IG199)=11,_xlfn.XLOOKUP(IG199,'Dispensed Ink Rates'!C:C,'Dispensed Ink Rates'!CS:CS),VLOOKUP(IG199,'Jan-2026 rates'!$E:$F,2,0)))</f>
        <v>0</v>
      </c>
      <c r="IR199" s="409"/>
      <c r="IS199" s="398">
        <f>IF(IR199=0,0,IF(LEN(IH199)=11,_xlfn.XLOOKUP(IH199,'Dispensed Ink Rates'!C:C,'Dispensed Ink Rates'!CS:CS),VLOOKUP(IH199,'Jan-2026 rates'!$E:$F,2,0)))</f>
        <v>0</v>
      </c>
      <c r="IT199" s="409"/>
      <c r="IU199" s="398">
        <f>IF(IT199=0,0,IF(LEN(II199)=11,_xlfn.XLOOKUP(II199,'Dispensed Ink Rates'!C:C,'Dispensed Ink Rates'!CS:CS),VLOOKUP(II199,'Jan-2026 rates'!$E:$F,2,0)))</f>
        <v>0</v>
      </c>
      <c r="IV199" s="409"/>
      <c r="IW199" s="398">
        <f>IF(IV199=0,0,IF(LEN(IJ199)=11,_xlfn.XLOOKUP(IJ199,'Dispensed Ink Rates'!C:C,'Dispensed Ink Rates'!CS:CS),VLOOKUP(IJ199,'Jan-2026 rates'!$E:$F,2,0)))</f>
        <v>0</v>
      </c>
      <c r="IX199" s="409"/>
      <c r="IY199" s="398">
        <f>IF(IX199=0,0,IF(LEN(IK199)=11,_xlfn.XLOOKUP(IK199,'Dispensed Ink Rates'!C:C,'Dispensed Ink Rates'!CS:CS),VLOOKUP(IK199,'Jan-2026 rates'!$E:$F,2,0)))</f>
        <v>0</v>
      </c>
      <c r="IZ199" s="409"/>
      <c r="JA199" s="398">
        <f>IF(IZ199=0,0,IF(LEN(IL199)=11,_xlfn.XLOOKUP(IL199,'Dispensed Ink Rates'!C:C,'Dispensed Ink Rates'!CS:CS),VLOOKUP(IL199,'Jan-2026 rates'!$E:$F,2,0)))</f>
        <v>0</v>
      </c>
      <c r="JB199" s="409"/>
      <c r="JC199" s="398">
        <f>IF(JB199=0,0,IF(LEN(IM199)=11,_xlfn.XLOOKUP(IM199,'Dispensed Ink Rates'!C:C,'Dispensed Ink Rates'!CS:CS),VLOOKUP(IM199,'Jan-2026 rates'!$E:$F,2,0)))</f>
        <v>0</v>
      </c>
      <c r="JD199" s="409" t="s">
        <v>1881</v>
      </c>
      <c r="JE199" s="409">
        <v>30</v>
      </c>
      <c r="JF199" s="411">
        <f t="shared" si="124"/>
        <v>0</v>
      </c>
      <c r="JG199" s="411">
        <f t="shared" si="125"/>
        <v>83.870967741935488</v>
      </c>
      <c r="JH199" s="410">
        <f t="shared" si="126"/>
        <v>0</v>
      </c>
      <c r="JI199" s="405"/>
      <c r="JJ199" s="409"/>
      <c r="JK199" s="420" t="str">
        <f t="shared" si="137"/>
        <v xml:space="preserve"> - </v>
      </c>
      <c r="JL199" s="409"/>
      <c r="JM199" s="411">
        <f>IF(JL199=0,0,IF($LB199=70%,VLOOKUP($JK199,'Jan-2026 rates'!$L:$R,4,0),IF($LB199=65%,VLOOKUP($JK199,'Jan-2026 rates'!$L:$R,4,0),IF($LB199=40%,VLOOKUP($JK199,'Jan-2026 rates'!$L:$R,5,0),IF($LB199=30%,VLOOKUP($JK199,'Jan-2026 rates'!$L:$R,6,0),IF($LB199=100%,VLOOKUP($JK199,'Jan-2026 rates'!$L:$R,7,0),IF($LB199=60%,VLOOKUP($JK199,'Jan-2026 rates'!$L:$S,8,0),IF($LB199=80%,VLOOKUP($JK199,'Jan-2026 rates'!L:T,9,0),0))))))))</f>
        <v>0</v>
      </c>
      <c r="JN199" s="412"/>
      <c r="JO199" s="409"/>
      <c r="JP199" s="411">
        <f>IF(JO199=0,0,IF($LB199=70%,VLOOKUP($JK199,'Jan-2026 rates'!$L:$R,4,0),IF($LB199=65%,VLOOKUP($JK199,'Jan-2026 rates'!$L:$R,4,0),IF($LB199=40%,VLOOKUP($JK199,'Jan-2026 rates'!$L:$R,5,0),IF($LB199=30%,VLOOKUP($JK199,'Jan-2026 rates'!$L:$R,6,0),IF($LB199=100%,VLOOKUP($JK199,'Jan-2026 rates'!$L:$R,7,0),IF($LB199=60%,VLOOKUP($JK199,'Jan-2026 rates'!$L:$S,8,0),IF($LB199=80%,VLOOKUP($JK199,'Jan-2026 rates'!L:T,9,0),0))))))))</f>
        <v>0</v>
      </c>
      <c r="JQ199" s="413"/>
      <c r="JR199" s="412"/>
      <c r="JS199" s="413"/>
      <c r="JT199" s="413"/>
      <c r="JU199" s="412"/>
      <c r="JV199" s="412"/>
      <c r="JW199" s="412"/>
      <c r="JX199" s="412"/>
      <c r="JY199" s="409"/>
      <c r="JZ199" s="398">
        <f>IF(JY199=0,0,IF(LEN(JQ199)=11,_xlfn.XLOOKUP(JQ199,'Dispensed Ink Rates'!C:C,'Dispensed Ink Rates'!CS:CS),VLOOKUP(JQ199,'Jan-2026 rates'!$E:$F,2,0)))</f>
        <v>0</v>
      </c>
      <c r="KA199" s="409"/>
      <c r="KB199" s="398">
        <f>IF(KA199=0,0,IF(LEN(JR199)=11,_xlfn.XLOOKUP(JR199,'Dispensed Ink Rates'!C:C,'Dispensed Ink Rates'!CS:CS),VLOOKUP(JR199,'Jan-2026 rates'!$E:$F,2,0)))</f>
        <v>0</v>
      </c>
      <c r="KC199" s="409"/>
      <c r="KD199" s="398">
        <f>IF(KC199=0,0,IF(LEN(JS199)=11,_xlfn.XLOOKUP(JS199,'Dispensed Ink Rates'!C:C,'Dispensed Ink Rates'!CS:CS),VLOOKUP(JS199,'Jan-2026 rates'!$E:$F,2,0)))</f>
        <v>0</v>
      </c>
      <c r="KE199" s="409"/>
      <c r="KF199" s="398">
        <f>IF(KE199=0,0,IF(LEN(JT199)=11,_xlfn.XLOOKUP(JT199,'Dispensed Ink Rates'!C:C,'Dispensed Ink Rates'!CS:CS),VLOOKUP(JT199,'Jan-2026 rates'!$E:$F,2,0)))</f>
        <v>0</v>
      </c>
      <c r="KG199" s="409"/>
      <c r="KH199" s="398">
        <f>IF(KG199=0,0,IF(LEN(JU199)=11,_xlfn.XLOOKUP(JU199,'Dispensed Ink Rates'!C:C,'Dispensed Ink Rates'!CS:CS),VLOOKUP(JU199,'Jan-2026 rates'!$E:$F,2,0)))</f>
        <v>0</v>
      </c>
      <c r="KI199" s="409"/>
      <c r="KJ199" s="398">
        <f>IF(KI199=0,0,IF(LEN(JV199)=11,_xlfn.XLOOKUP(JV199,'Dispensed Ink Rates'!C:C,'Dispensed Ink Rates'!CS:CS),VLOOKUP(JV199,'Jan-2026 rates'!$E:$F,2,0)))</f>
        <v>0</v>
      </c>
      <c r="KK199" s="409"/>
      <c r="KL199" s="398">
        <f>IF(KK199=0,0,IF(LEN(JW199)=11,_xlfn.XLOOKUP(JW199,'Dispensed Ink Rates'!C:C,'Dispensed Ink Rates'!CS:CS),VLOOKUP(JW199,'Jan-2026 rates'!$E:$F,2,0)))</f>
        <v>0</v>
      </c>
      <c r="KM199" s="428"/>
      <c r="KN199" s="398">
        <f>IF(KM199=0,0,IF(LEN(JX199)=11,_xlfn.XLOOKUP(JX199,'Dispensed Ink Rates'!C:C,'Dispensed Ink Rates'!CS:CS),VLOOKUP(JX199,'Jan-2026 rates'!$E:$F,2,0)))</f>
        <v>0</v>
      </c>
      <c r="KO199" s="409"/>
      <c r="KP199" s="409"/>
      <c r="KQ199" s="411">
        <f t="shared" si="127"/>
        <v>0</v>
      </c>
      <c r="KR199" s="411">
        <f t="shared" si="128"/>
        <v>0</v>
      </c>
      <c r="KS199" s="410">
        <f t="shared" si="129"/>
        <v>0</v>
      </c>
      <c r="KT199" s="409">
        <v>2</v>
      </c>
      <c r="KU199" s="409">
        <v>2</v>
      </c>
      <c r="KV199" s="409">
        <v>2</v>
      </c>
      <c r="KW199" s="409">
        <v>6</v>
      </c>
      <c r="KX199" s="409">
        <v>2</v>
      </c>
      <c r="KY199" s="409">
        <v>2</v>
      </c>
      <c r="KZ199" s="409">
        <v>15</v>
      </c>
      <c r="LA199" s="409">
        <v>0</v>
      </c>
      <c r="LB199" s="415">
        <v>0.3</v>
      </c>
      <c r="LC199" s="415"/>
      <c r="LD199" s="415"/>
      <c r="LE199" s="415">
        <v>0.5</v>
      </c>
      <c r="LF199" s="415">
        <v>0.2</v>
      </c>
      <c r="LG199" s="409">
        <v>0</v>
      </c>
      <c r="LH199" s="409">
        <f>17+13+12+20+8</f>
        <v>70</v>
      </c>
      <c r="LI199" s="409">
        <v>0</v>
      </c>
      <c r="LJ199" s="409">
        <v>0</v>
      </c>
      <c r="LK199" s="416">
        <f t="shared" si="138"/>
        <v>70</v>
      </c>
      <c r="LL199" s="416">
        <f t="shared" si="139"/>
        <v>70</v>
      </c>
      <c r="LM199" s="417">
        <f t="shared" si="140"/>
        <v>21</v>
      </c>
      <c r="LN199" s="417">
        <f>VLOOKUP($LM$8,'Jan-2026 rates'!$H:$I,2,0)</f>
        <v>0</v>
      </c>
      <c r="LO199" s="417">
        <f t="shared" si="141"/>
        <v>0</v>
      </c>
      <c r="LP199" s="417">
        <f>VLOOKUP($LO$8,'Jan-2026 rates'!$H:$I,2,0)</f>
        <v>0</v>
      </c>
      <c r="LQ199" s="417">
        <f t="shared" si="142"/>
        <v>0</v>
      </c>
      <c r="LR199" s="417">
        <f>VLOOKUP($LQ$8,'Jan-2026 rates'!$H:$I,2,0)</f>
        <v>0</v>
      </c>
      <c r="LS199" s="417">
        <f t="shared" si="143"/>
        <v>35</v>
      </c>
      <c r="LT199" s="417">
        <f>VLOOKUP($LS$8,'Jan-2026 rates'!$H:$I,2,0)</f>
        <v>0</v>
      </c>
      <c r="LU199" s="417">
        <f t="shared" si="144"/>
        <v>14</v>
      </c>
      <c r="LV199" s="417">
        <f>VLOOKUP($LU$8,'Jan-2026 rates'!$H:$I,2,0)</f>
        <v>0</v>
      </c>
      <c r="LW199" s="417">
        <f t="shared" si="145"/>
        <v>0</v>
      </c>
      <c r="LX199" s="417">
        <f t="shared" si="146"/>
        <v>0</v>
      </c>
      <c r="LY199" s="418">
        <f t="shared" si="147"/>
        <v>0</v>
      </c>
      <c r="LZ199" s="417"/>
      <c r="MA199" s="435">
        <f t="shared" si="148"/>
        <v>87</v>
      </c>
      <c r="MB199" s="282">
        <f t="shared" si="149"/>
        <v>125</v>
      </c>
      <c r="MC199" s="283" t="s">
        <v>2031</v>
      </c>
      <c r="MD199" s="284" t="str">
        <f t="shared" si="150"/>
        <v>ToyoLiToyoLiToyoLiToyoLiToyoLiToyoLiToyoLi</v>
      </c>
      <c r="ME199" s="293" t="str">
        <f t="shared" si="151"/>
        <v>+</v>
      </c>
      <c r="MF199" s="293" t="str">
        <f t="shared" si="152"/>
        <v>+</v>
      </c>
      <c r="MG199" s="293" t="str">
        <f t="shared" si="153"/>
        <v>+</v>
      </c>
      <c r="MH199" s="293" t="str">
        <f t="shared" si="154"/>
        <v>+</v>
      </c>
      <c r="MI199" s="293" t="str">
        <f t="shared" si="155"/>
        <v>+</v>
      </c>
      <c r="MJ199" s="293" t="str">
        <f t="shared" si="156"/>
        <v>+</v>
      </c>
      <c r="MK199" s="293" t="str">
        <f t="shared" si="157"/>
        <v>+</v>
      </c>
      <c r="ML199" s="293" t="str">
        <f t="shared" si="158"/>
        <v>NIL</v>
      </c>
      <c r="MM199" s="3" t="b">
        <f t="array" ref="MM199">OR(ME199:ML199="-")</f>
        <v>0</v>
      </c>
      <c r="MN199" s="285"/>
      <c r="MO199" s="401"/>
      <c r="MP199" s="286"/>
      <c r="MQ199" s="286"/>
      <c r="MR199" s="402"/>
      <c r="MS199" s="400"/>
      <c r="NH199" s="422"/>
      <c r="NJ199" s="421"/>
    </row>
    <row r="200" spans="1:374" s="1" customFormat="1" ht="16.5">
      <c r="A200" s="403">
        <v>46039</v>
      </c>
      <c r="B200" s="404" t="s">
        <v>1018</v>
      </c>
      <c r="C200" s="405" t="s">
        <v>3750</v>
      </c>
      <c r="D200" s="406" t="s">
        <v>2032</v>
      </c>
      <c r="E200" s="404">
        <v>35</v>
      </c>
      <c r="F200" s="407">
        <v>1700</v>
      </c>
      <c r="G200" s="407" t="s">
        <v>1016</v>
      </c>
      <c r="H200" s="408" t="s">
        <v>1017</v>
      </c>
      <c r="I200" s="409">
        <v>0.76</v>
      </c>
      <c r="J200" s="405" t="s">
        <v>543</v>
      </c>
      <c r="K200" s="404" t="s">
        <v>3730</v>
      </c>
      <c r="L200" s="419" t="str">
        <f t="shared" si="131"/>
        <v>ToyoLi - BLACK</v>
      </c>
      <c r="M200" s="404">
        <v>18</v>
      </c>
      <c r="N200" s="410">
        <f>IF(M200=0,0,IF($LB200=70%,VLOOKUP($L200,'Jan-2026 rates'!$L:$R,4,0),IF($LB200=65%,VLOOKUP($L200,'Jan-2026 rates'!$L:$R,4,0),IF($LB200=40%,VLOOKUP($L200,'Jan-2026 rates'!$L:$R,5,0),IF($LB200=30%,VLOOKUP($L200,'Jan-2026 rates'!$L:$R,6,0),IF($LB200=100%,VLOOKUP($L200,'Jan-2026 rates'!$L:$R,7,0),IF($LB200=60%,VLOOKUP($L200,'Jan-2026 rates'!$L:$S,8,0),IF($LB200=80%,VLOOKUP($L200,'Jan-2026 rates'!L:T,9,0),0))))))))</f>
        <v>0</v>
      </c>
      <c r="O200" s="406"/>
      <c r="P200" s="404"/>
      <c r="Q200" s="410">
        <f>IF(P200=0,0,IF($LB200=70%,VLOOKUP($L200,'Jan-2026 rates'!$L:$R,4,0),IF($LB200=65%,VLOOKUP($L200,'Jan-2026 rates'!$L:$R,4,0),IF($LB200=40%,VLOOKUP($L200,'Jan-2026 rates'!$L:$R,5,0),IF($LB200=30%,VLOOKUP($L200,'Jan-2026 rates'!$L:$R,6,0),IF($LB200=100%,VLOOKUP($L200,'Jan-2026 rates'!$L:$R,7,0),IF($LB200=60%,VLOOKUP($L200,'Jan-2026 rates'!$L:$S,8,0),IF($LB200=80%,VLOOKUP($L200,'Jan-2026 rates'!L:T,9,0),0))))))))</f>
        <v>0</v>
      </c>
      <c r="R200" s="406" t="s">
        <v>1252</v>
      </c>
      <c r="S200" s="406"/>
      <c r="T200" s="406"/>
      <c r="U200" s="406"/>
      <c r="V200" s="406"/>
      <c r="W200" s="406"/>
      <c r="X200" s="406"/>
      <c r="Y200" s="406"/>
      <c r="Z200" s="404">
        <f>3+4</f>
        <v>7</v>
      </c>
      <c r="AA200" s="398">
        <f>IF(Z200=0,0,IF(LEN(R200)=11,_xlfn.XLOOKUP(R200,'Dispensed Ink Rates'!C:C,'Dispensed Ink Rates'!CS:CS),VLOOKUP(R200,'Jan-2026 rates'!$E:$F,2,0)))</f>
        <v>0</v>
      </c>
      <c r="AB200" s="404"/>
      <c r="AC200" s="398">
        <f>IF(AB200=0,0,IF(LEN(S200)=11,_xlfn.XLOOKUP(S200,'Dispensed Ink Rates'!C:C,'Dispensed Ink Rates'!CS:CS),VLOOKUP(S200,'Jan-2026 rates'!$E:$F,2,0)))</f>
        <v>0</v>
      </c>
      <c r="AD200" s="404"/>
      <c r="AE200" s="398">
        <f>IF(AD200=0,0,IF(LEN(T200)=11,_xlfn.XLOOKUP(T200,'Dispensed Ink Rates'!C:C,'Dispensed Ink Rates'!CS:CS),VLOOKUP(T200,'Jan-2026 rates'!$E:$F,2,0)))</f>
        <v>0</v>
      </c>
      <c r="AF200" s="404"/>
      <c r="AG200" s="398">
        <f>IF(AF200=0,0,IF(LEN(U200)=11,_xlfn.XLOOKUP(U200,'Dispensed Ink Rates'!C:C,'Dispensed Ink Rates'!CS:CS),VLOOKUP(U200,'Jan-2026 rates'!$E:$F,2,0)))</f>
        <v>0</v>
      </c>
      <c r="AH200" s="404"/>
      <c r="AI200" s="398">
        <f>IF(AH200=0,0,IF(LEN(V200)=11,_xlfn.XLOOKUP(V200,'Dispensed Ink Rates'!C:C,'Dispensed Ink Rates'!CS:CS),VLOOKUP(V200,'Jan-2026 rates'!$E:$F,2,0)))</f>
        <v>0</v>
      </c>
      <c r="AJ200" s="404"/>
      <c r="AK200" s="398">
        <f>IF(AJ200=0,0,IF(LEN(W200)=11,_xlfn.XLOOKUP(W200,'Dispensed Ink Rates'!C:C,'Dispensed Ink Rates'!CS:CS),VLOOKUP(W200,'Jan-2026 rates'!$E:$F,2,0)))</f>
        <v>0</v>
      </c>
      <c r="AL200" s="404"/>
      <c r="AM200" s="398">
        <f>IF(AL200=0,0,IF(LEN(X200)=11,_xlfn.XLOOKUP(X200,'Dispensed Ink Rates'!C:C,'Dispensed Ink Rates'!CS:CS),VLOOKUP(X200,'Jan-2026 rates'!$E:$F,2,0)))</f>
        <v>0</v>
      </c>
      <c r="AN200" s="404"/>
      <c r="AO200" s="398">
        <f>IF(AN200=0,0,IF(LEN(Y200)=11,_xlfn.XLOOKUP(Y200,'Dispensed Ink Rates'!C:C,'Dispensed Ink Rates'!CS:CS),VLOOKUP(Y200,'Jan-2026 rates'!$E:$F,2,0)))</f>
        <v>0</v>
      </c>
      <c r="AP200" s="409" t="s">
        <v>1881</v>
      </c>
      <c r="AQ200" s="409">
        <v>20</v>
      </c>
      <c r="AR200" s="410">
        <f t="shared" si="106"/>
        <v>0</v>
      </c>
      <c r="AS200" s="411">
        <f t="shared" si="107"/>
        <v>11.285714285714285</v>
      </c>
      <c r="AT200" s="410">
        <f t="shared" si="108"/>
        <v>0</v>
      </c>
      <c r="AU200" s="405" t="s">
        <v>857</v>
      </c>
      <c r="AV200" s="409"/>
      <c r="AW200" s="420" t="str">
        <f t="shared" si="130"/>
        <v>ToyoLi - RED</v>
      </c>
      <c r="AX200" s="409"/>
      <c r="AY200" s="411">
        <f>IF(AX200=0,0,IF($LB200=70%,VLOOKUP($AW200,'Jan-2026 rates'!$L:$R,4,0),IF($LB200=65%,VLOOKUP($AW200,'Jan-2026 rates'!$L:$R,4,0),IF($LB200=40%,VLOOKUP($AW200,'Jan-2026 rates'!$L:$R,5,0),IF($LB200=30%,VLOOKUP($AW200,'Jan-2026 rates'!$L:$R,6,0),IF($LB200=100%,VLOOKUP($AW200,'Jan-2026 rates'!$L:$R,7,0),IF($LB200=60%,VLOOKUP($AW200,'Jan-2026 rates'!$L:$S,8,0),IF($LB200=80%,VLOOKUP($AW200,'Jan-2026 rates'!L:T,9,0),0))))))))</f>
        <v>0</v>
      </c>
      <c r="AZ200" s="412"/>
      <c r="BA200" s="409"/>
      <c r="BB200" s="411">
        <f>IF(BA200=0,0,IF($LB200=70%,VLOOKUP($AW200,'Jan-2026 rates'!$L:$R,4,0),IF($LB200=65%,VLOOKUP($AW200,'Jan-2026 rates'!$L:$R,4,0),IF($LB200=40%,VLOOKUP($AW200,'Jan-2026 rates'!$L:$R,5,0),IF($LB200=30%,VLOOKUP($AW200,'Jan-2026 rates'!$L:$R,6,0),IF($LB200=100%,VLOOKUP($AW200,'Jan-2026 rates'!$L:$R,7,0),IF($LB200=60%,VLOOKUP($AW200,'Jan-2026 rates'!$L:$S,8,0),IF($LB200=80%,VLOOKUP($AW200,'Jan-2026 rates'!L:T,9,0),0))))))))</f>
        <v>0</v>
      </c>
      <c r="BC200" s="413" t="s">
        <v>1246</v>
      </c>
      <c r="BD200" s="412" t="s">
        <v>1248</v>
      </c>
      <c r="BE200" s="412"/>
      <c r="BF200" s="413"/>
      <c r="BG200" s="412"/>
      <c r="BH200" s="412"/>
      <c r="BI200" s="412"/>
      <c r="BJ200" s="412"/>
      <c r="BK200" s="409">
        <f>10+2</f>
        <v>12</v>
      </c>
      <c r="BL200" s="398">
        <f>IF(BK200=0,0,IF(LEN(BC200)=11,_xlfn.XLOOKUP(BC200,'Dispensed Ink Rates'!C:C,'Dispensed Ink Rates'!CS:CS),VLOOKUP(BC200,'Jan-2026 rates'!$E:$F,2,0)))</f>
        <v>0</v>
      </c>
      <c r="BM200" s="409">
        <f>8+3</f>
        <v>11</v>
      </c>
      <c r="BN200" s="398">
        <f>IF(BM200=0,0,IF(LEN(BD200)=11,_xlfn.XLOOKUP(BD200,'Dispensed Ink Rates'!C:C,'Dispensed Ink Rates'!CS:CS),VLOOKUP(BD200,'Jan-2026 rates'!$E:$F,2,0)))</f>
        <v>0</v>
      </c>
      <c r="BO200" s="409"/>
      <c r="BP200" s="398">
        <f>IF(BO200=0,0,IF(LEN(BE200)=11,_xlfn.XLOOKUP(BE200,'Dispensed Ink Rates'!C:C,'Dispensed Ink Rates'!CS:CS),VLOOKUP(BE200,'Jan-2026 rates'!$E:$F,2,0)))</f>
        <v>0</v>
      </c>
      <c r="BQ200" s="409"/>
      <c r="BR200" s="398">
        <f>IF(BQ200=0,0,IF(LEN(BF200)=11,_xlfn.XLOOKUP(BF200,'Dispensed Ink Rates'!C:C,'Dispensed Ink Rates'!CS:CS),VLOOKUP(BF200,'Jan-2026 rates'!$E:$F,2,0)))</f>
        <v>0</v>
      </c>
      <c r="BS200" s="409"/>
      <c r="BT200" s="398">
        <f>IF(BS200=0,0,IF(LEN(BG200)=11,_xlfn.XLOOKUP(BG200,'Dispensed Ink Rates'!C:C,'Dispensed Ink Rates'!CS:CS),VLOOKUP(BG200,'Jan-2026 rates'!$E:$F,2,0)))</f>
        <v>0</v>
      </c>
      <c r="BU200" s="409"/>
      <c r="BV200" s="398">
        <f>IF(BU200=0,0,IF(LEN(BH200)=11,_xlfn.XLOOKUP(BH200,'Dispensed Ink Rates'!C:C,'Dispensed Ink Rates'!CS:CS),VLOOKUP(BH200,'Jan-2026 rates'!$E:$F,2,0)))</f>
        <v>0</v>
      </c>
      <c r="BW200" s="409"/>
      <c r="BX200" s="398">
        <f>IF(BW200=0,0,IF(LEN(BI200)=11,_xlfn.XLOOKUP(BI200,'Dispensed Ink Rates'!C:C,'Dispensed Ink Rates'!CS:CS),VLOOKUP(BI200,'Jan-2026 rates'!$E:$F,2,0)))</f>
        <v>0</v>
      </c>
      <c r="BY200" s="409"/>
      <c r="BZ200" s="398">
        <f>IF(BY200=0,0,IF(LEN(BJ200)=11,_xlfn.XLOOKUP(BJ200,'Dispensed Ink Rates'!C:C,'Dispensed Ink Rates'!CS:CS),VLOOKUP(BJ200,'Jan-2026 rates'!$E:$F,2,0)))</f>
        <v>0</v>
      </c>
      <c r="CA200" s="409" t="s">
        <v>1881</v>
      </c>
      <c r="CB200" s="409">
        <v>20</v>
      </c>
      <c r="CC200" s="411">
        <f t="shared" si="109"/>
        <v>0</v>
      </c>
      <c r="CD200" s="411">
        <f t="shared" si="110"/>
        <v>18.714285714285715</v>
      </c>
      <c r="CE200" s="410">
        <f t="shared" si="111"/>
        <v>0</v>
      </c>
      <c r="CF200" s="404"/>
      <c r="CG200" s="409"/>
      <c r="CH200" s="420" t="str">
        <f t="shared" si="132"/>
        <v xml:space="preserve"> - </v>
      </c>
      <c r="CI200" s="409"/>
      <c r="CJ200" s="411">
        <f>IF(CI200=0,0,IF($LB200=70%,VLOOKUP($CH200,'Jan-2026 rates'!$L:$R,4,0),IF($LB200=65%,VLOOKUP($CH200,'Jan-2026 rates'!$L:$R,4,0),IF($LB200=40%,VLOOKUP($CH200,'Jan-2026 rates'!$L:$R,5,0),IF($LB200=30%,VLOOKUP($CH200,'Jan-2026 rates'!$L:$R,6,0),IF($LB200=100%,VLOOKUP($CH200,'Jan-2026 rates'!$L:$R,7,0),IF($LB200=60%,VLOOKUP($CH200,'Jan-2026 rates'!$L:$S,8,0),IF($LB200=80%,VLOOKUP($CH200,'Jan-2026 rates'!L:T,9,0),0))))))))</f>
        <v>0</v>
      </c>
      <c r="CK200" s="412"/>
      <c r="CL200" s="409"/>
      <c r="CM200" s="411">
        <f>IF(CL200=0,0,IF($LB200=70%,VLOOKUP($CH200,'Jan-2026 rates'!$L:$R,4,0),IF($LB200=65%,VLOOKUP($CH200,'Jan-2026 rates'!$L:$R,4,0),IF($LB200=40%,VLOOKUP($CH200,'Jan-2026 rates'!$L:$R,5,0),IF($LB200=30%,VLOOKUP($CH200,'Jan-2026 rates'!$L:$R,6,0),IF($LB200=100%,VLOOKUP($CH200,'Jan-2026 rates'!$L:$R,7,0),IF($LB200=60%,VLOOKUP($CH200,'Jan-2026 rates'!$L:$S,8,0),IF($LB200=80%,VLOOKUP($CH200,'Jan-2026 rates'!L:T,9,0),0))))))))</f>
        <v>0</v>
      </c>
      <c r="CN200" s="426"/>
      <c r="CO200" s="427"/>
      <c r="CP200" s="426"/>
      <c r="CQ200" s="426"/>
      <c r="CR200" s="428"/>
      <c r="CS200" s="428"/>
      <c r="CT200" s="428"/>
      <c r="CU200" s="428"/>
      <c r="CV200" s="409"/>
      <c r="CW200" s="398">
        <f>IF(CV200=0,0,IF(LEN(CN200)=11,_xlfn.XLOOKUP(CN200,'Dispensed Ink Rates'!C:C,'Dispensed Ink Rates'!CS:CS),VLOOKUP(CN200,'Jan-2026 rates'!$E:$F,2,0)))</f>
        <v>0</v>
      </c>
      <c r="CX200" s="409"/>
      <c r="CY200" s="398">
        <f>IF(CX200=0,0,IF(LEN(CO200)=11,_xlfn.XLOOKUP(CO200,'Dispensed Ink Rates'!C:C,'Dispensed Ink Rates'!CS:CS),VLOOKUP(CO200,'Jan-2026 rates'!$E:$F,2,0)))</f>
        <v>0</v>
      </c>
      <c r="CZ200" s="409"/>
      <c r="DA200" s="398">
        <f>IF(CZ200=0,0,IF(LEN(CP200)=11,_xlfn.XLOOKUP(CP200,'Dispensed Ink Rates'!C:C,'Dispensed Ink Rates'!CS:CS),VLOOKUP(CP200,'Jan-2026 rates'!$E:$F,2,0)))</f>
        <v>0</v>
      </c>
      <c r="DB200" s="409"/>
      <c r="DC200" s="398">
        <f>IF(DB200=0,0,IF(LEN(CQ200)=11,_xlfn.XLOOKUP(CQ200,'Dispensed Ink Rates'!C:C,'Dispensed Ink Rates'!CS:CS),VLOOKUP(CQ200,'Jan-2026 rates'!$E:$F,2,0)))</f>
        <v>0</v>
      </c>
      <c r="DD200" s="409"/>
      <c r="DE200" s="398">
        <f>IF(DD200=0,0,IF(LEN(CR200)=11,_xlfn.XLOOKUP(CR200,'Dispensed Ink Rates'!C:C,'Dispensed Ink Rates'!CS:CS),VLOOKUP(CR200,'Jan-2026 rates'!$E:$F,2,0)))</f>
        <v>0</v>
      </c>
      <c r="DF200" s="409"/>
      <c r="DG200" s="398">
        <f>IF(DF200=0,0,IF(LEN(CS200)=11,_xlfn.XLOOKUP(CS200,'Dispensed Ink Rates'!C:C,'Dispensed Ink Rates'!CS:CS),VLOOKUP(CS200,'Jan-2026 rates'!$E:$F,2,0)))</f>
        <v>0</v>
      </c>
      <c r="DH200" s="409"/>
      <c r="DI200" s="398">
        <f>IF(DH200=0,0,IF(LEN(CT200)=11,_xlfn.XLOOKUP(CT200,'Dispensed Ink Rates'!C:C,'Dispensed Ink Rates'!CS:CS),VLOOKUP(CT200,'Jan-2026 rates'!$E:$F,2,0)))</f>
        <v>0</v>
      </c>
      <c r="DJ200" s="409"/>
      <c r="DK200" s="398">
        <f>IF(DJ200=0,0,IF(LEN(CU200)=11,_xlfn.XLOOKUP(CU200,'Dispensed Ink Rates'!C:C,'Dispensed Ink Rates'!CS:CS),VLOOKUP(CU200,'Jan-2026 rates'!$E:$F,2,0)))</f>
        <v>0</v>
      </c>
      <c r="DL200" s="409"/>
      <c r="DM200" s="409"/>
      <c r="DN200" s="411">
        <f t="shared" si="112"/>
        <v>0</v>
      </c>
      <c r="DO200" s="411">
        <f t="shared" si="113"/>
        <v>0</v>
      </c>
      <c r="DP200" s="410">
        <f t="shared" si="114"/>
        <v>0</v>
      </c>
      <c r="DQ200" s="405"/>
      <c r="DR200" s="409"/>
      <c r="DS200" s="420" t="str">
        <f t="shared" si="133"/>
        <v xml:space="preserve"> - </v>
      </c>
      <c r="DT200" s="409"/>
      <c r="DU200" s="411">
        <f>IF(DT200=0,0,IF($LB200=70%,VLOOKUP($DS200,'Jan-2026 rates'!$L:$R,4,0),IF($LB200=65%,VLOOKUP($DS200,'Jan-2026 rates'!$L:$R,4,0),IF($LB200=40%,VLOOKUP($DS200,'Jan-2026 rates'!$L:$R,5,0),IF($LB200=30%,VLOOKUP($DS200,'Jan-2026 rates'!$L:$R,6,0),IF($LB200=100%,VLOOKUP($DS200,'Jan-2026 rates'!$L:$R,7,0),IF($LB200=60%,VLOOKUP($DS200,'Jan-2026 rates'!$L:$S,8,0),IF($LB200=80%,VLOOKUP($DS200,'Jan-2026 rates'!L:T,9,0),0))))))))</f>
        <v>0</v>
      </c>
      <c r="DV200" s="412"/>
      <c r="DW200" s="409"/>
      <c r="DX200" s="411">
        <f>IF(DW200=0,0,IF($LB200=70%,VLOOKUP($DS200,'Jan-2026 rates'!$L:$R,4,0),IF($LB200=65%,VLOOKUP($DS200,'Jan-2026 rates'!$L:$R,4,0),IF($LB200=40%,VLOOKUP($DS200,'Jan-2026 rates'!$L:$R,5,0),IF($LB200=30%,VLOOKUP($DS200,'Jan-2026 rates'!$L:$R,6,0),IF($LB200=100%,VLOOKUP($DS200,'Jan-2026 rates'!$L:$R,7,0),IF($LB200=60%,VLOOKUP($DS200,'Jan-2026 rates'!$L:$S,8,0),IF($LB200=80%,VLOOKUP($DS200,'Jan-2026 rates'!L:T,9,0),0))))))))</f>
        <v>0</v>
      </c>
      <c r="DY200" s="413"/>
      <c r="DZ200" s="413"/>
      <c r="EA200" s="412"/>
      <c r="EB200" s="412"/>
      <c r="EC200" s="412"/>
      <c r="ED200" s="412"/>
      <c r="EE200" s="412"/>
      <c r="EF200" s="412"/>
      <c r="EG200" s="409"/>
      <c r="EH200" s="398">
        <f>IF(EG200=0,0,IF(LEN(DY200)=11,_xlfn.XLOOKUP(DY200,'Dispensed Ink Rates'!C:C,'Dispensed Ink Rates'!CS:CS),VLOOKUP(DY200,'Jan-2026 rates'!$E:$F,2,0)))</f>
        <v>0</v>
      </c>
      <c r="EI200" s="409"/>
      <c r="EJ200" s="398">
        <f>IF(EI200=0,0,IF(LEN(DZ200)=11,_xlfn.XLOOKUP(DZ200,'Dispensed Ink Rates'!C:C,'Dispensed Ink Rates'!CS:CS),VLOOKUP(DZ200,'Jan-2026 rates'!$E:$F,2,0)))</f>
        <v>0</v>
      </c>
      <c r="EK200" s="409"/>
      <c r="EL200" s="398">
        <f>IF(EK200=0,0,IF(LEN(EA200)=11,_xlfn.XLOOKUP(EA200,'Dispensed Ink Rates'!C:C,'Dispensed Ink Rates'!CS:CS),VLOOKUP(EA200,'Jan-2026 rates'!$E:$F,2,0)))</f>
        <v>0</v>
      </c>
      <c r="EM200" s="409"/>
      <c r="EN200" s="398">
        <f>IF(EM200=0,0,IF(LEN(EB200)=11,_xlfn.XLOOKUP(EB200,'Dispensed Ink Rates'!C:C,'Dispensed Ink Rates'!CS:CS),VLOOKUP(EB200,'Jan-2026 rates'!$E:$F,2,0)))</f>
        <v>0</v>
      </c>
      <c r="EO200" s="409"/>
      <c r="EP200" s="398">
        <f>IF(EO200=0,0,IF(LEN(EC200)=11,_xlfn.XLOOKUP(EC200,'Dispensed Ink Rates'!C:C,'Dispensed Ink Rates'!CS:CS),VLOOKUP(EC200,'Jan-2026 rates'!$E:$F,2,0)))</f>
        <v>0</v>
      </c>
      <c r="EQ200" s="409"/>
      <c r="ER200" s="398">
        <f>IF(EQ200=0,0,IF(LEN(ED200)=11,_xlfn.XLOOKUP(ED200,'Dispensed Ink Rates'!C:C,'Dispensed Ink Rates'!CS:CS),VLOOKUP(ED200,'Jan-2026 rates'!$E:$F,2,0)))</f>
        <v>0</v>
      </c>
      <c r="ES200" s="409"/>
      <c r="ET200" s="398">
        <f>IF(ES200=0,0,IF(LEN(EE200)=11,_xlfn.XLOOKUP(EE200,'Dispensed Ink Rates'!C:C,'Dispensed Ink Rates'!CS:CS),VLOOKUP(EE200,'Jan-2026 rates'!$E:$F,2,0)))</f>
        <v>0</v>
      </c>
      <c r="EU200" s="409"/>
      <c r="EV200" s="398">
        <f>IF(EU200=0,0,IF(LEN(EF200)=11,_xlfn.XLOOKUP(EF200,'Dispensed Ink Rates'!C:C,'Dispensed Ink Rates'!CS:CS),VLOOKUP(EF200,'Jan-2026 rates'!$E:$F,2,0)))</f>
        <v>0</v>
      </c>
      <c r="EW200" s="409"/>
      <c r="EX200" s="409"/>
      <c r="EY200" s="411">
        <f t="shared" si="115"/>
        <v>0</v>
      </c>
      <c r="EZ200" s="411">
        <f t="shared" si="116"/>
        <v>0</v>
      </c>
      <c r="FA200" s="410">
        <f t="shared" si="117"/>
        <v>0</v>
      </c>
      <c r="FB200" s="405"/>
      <c r="FC200" s="409"/>
      <c r="FD200" s="420" t="str">
        <f t="shared" si="134"/>
        <v xml:space="preserve"> - </v>
      </c>
      <c r="FE200" s="409"/>
      <c r="FF200" s="411">
        <f>IF(FE200=0,0,IF($LB200=70%,VLOOKUP($FD200,'Jan-2026 rates'!$L:$R,4,0),IF($LB200=65%,VLOOKUP($FD200,'Jan-2026 rates'!$L:$R,4,0),IF($LB200=40%,VLOOKUP($FD200,'Jan-2026 rates'!$L:$R,5,0),IF($LB200=30%,VLOOKUP($FD200,'Jan-2026 rates'!$L:$R,6,0),IF($LB200=100%,VLOOKUP($FD200,'Jan-2026 rates'!$L:$R,7,0),IF($LB200=60%,VLOOKUP($FD200,'Jan-2026 rates'!$L:$S,8,0),IF($LB200=80%,VLOOKUP($FD200,'Jan-2026 rates'!L:T,9,0),0))))))))</f>
        <v>0</v>
      </c>
      <c r="FG200" s="412"/>
      <c r="FH200" s="409"/>
      <c r="FI200" s="411">
        <f>IF(FH200=0,0,IF($LB200=70%,VLOOKUP($FD200,'Jan-2026 rates'!$L:$R,4,0),IF($LB200=65%,VLOOKUP($FD200,'Jan-2026 rates'!$L:$R,4,0),IF($LB200=40%,VLOOKUP($FD200,'Jan-2026 rates'!$L:$R,5,0),IF($LB200=30%,VLOOKUP($FD200,'Jan-2026 rates'!$L:$R,6,0),IF($LB200=100%,VLOOKUP($FD200,'Jan-2026 rates'!$L:$R,7,0),IF($LB200=60%,VLOOKUP($FD200,'Jan-2026 rates'!$L:$S,8,0),IF($LB200=80%,VLOOKUP($FD200,'Jan-2026 rates'!L:T,9,0),0))))))))</f>
        <v>0</v>
      </c>
      <c r="FJ200" s="413"/>
      <c r="FK200" s="413"/>
      <c r="FL200" s="413"/>
      <c r="FM200" s="412"/>
      <c r="FN200" s="412"/>
      <c r="FO200" s="412"/>
      <c r="FP200" s="412"/>
      <c r="FQ200" s="412"/>
      <c r="FR200" s="409"/>
      <c r="FS200" s="398">
        <f>IF(FR200=0,0,IF(LEN(FJ200)=11,_xlfn.XLOOKUP(FJ200,'Dispensed Ink Rates'!C:C,'Dispensed Ink Rates'!CS:CS),VLOOKUP(FJ200,'Jan-2026 rates'!$E:$F,2,0)))</f>
        <v>0</v>
      </c>
      <c r="FT200" s="409"/>
      <c r="FU200" s="398">
        <f>IF(FT200=0,0,IF(LEN(FK200)=11,_xlfn.XLOOKUP(FK200,'Dispensed Ink Rates'!C:C,'Dispensed Ink Rates'!CS:CS),VLOOKUP(FK200,'Jan-2026 rates'!$E:$F,2,0)))</f>
        <v>0</v>
      </c>
      <c r="FV200" s="409"/>
      <c r="FW200" s="398">
        <f>IF(FV200=0,0,IF(LEN(FL200)=11,_xlfn.XLOOKUP(FL200,'Dispensed Ink Rates'!C:C,'Dispensed Ink Rates'!CS:CS),VLOOKUP(FL200,'Jan-2026 rates'!$E:$F,2,0)))</f>
        <v>0</v>
      </c>
      <c r="FX200" s="409"/>
      <c r="FY200" s="398">
        <f>IF(FX200=0,0,IF(LEN(FM200)=11,_xlfn.XLOOKUP(FM200,'Dispensed Ink Rates'!C:C,'Dispensed Ink Rates'!CS:CS),VLOOKUP(FM200,'Jan-2026 rates'!$E:$F,2,0)))</f>
        <v>0</v>
      </c>
      <c r="FZ200" s="409"/>
      <c r="GA200" s="398">
        <f>IF(FZ200=0,0,IF(LEN(FN200)=11,_xlfn.XLOOKUP(FN200,'Dispensed Ink Rates'!C:C,'Dispensed Ink Rates'!CS:CS),VLOOKUP(FN200,'Jan-2026 rates'!$E:$F,2,0)))</f>
        <v>0</v>
      </c>
      <c r="GB200" s="409"/>
      <c r="GC200" s="398">
        <f>IF(GB200=0,0,IF(LEN(FO200)=11,_xlfn.XLOOKUP(FO200,'Dispensed Ink Rates'!C:C,'Dispensed Ink Rates'!CS:CS),VLOOKUP(FO200,'Jan-2026 rates'!$E:$F,2,0)))</f>
        <v>0</v>
      </c>
      <c r="GD200" s="409"/>
      <c r="GE200" s="398">
        <f>IF(GD200=0,0,IF(LEN(FP200)=11,_xlfn.XLOOKUP(FP200,'Dispensed Ink Rates'!C:C,'Dispensed Ink Rates'!CS:CS),VLOOKUP(FP200,'Jan-2026 rates'!$E:$F,2,0)))</f>
        <v>0</v>
      </c>
      <c r="GF200" s="409"/>
      <c r="GG200" s="398">
        <f>IF(GF200=0,0,IF(LEN(FQ200)=11,_xlfn.XLOOKUP(FQ200,'Dispensed Ink Rates'!C:C,'Dispensed Ink Rates'!CS:CS),VLOOKUP(FQ200,'Jan-2026 rates'!$E:$F,2,0)))</f>
        <v>0</v>
      </c>
      <c r="GH200" s="409"/>
      <c r="GI200" s="409"/>
      <c r="GJ200" s="411">
        <f t="shared" si="118"/>
        <v>0</v>
      </c>
      <c r="GK200" s="411">
        <f t="shared" si="119"/>
        <v>0</v>
      </c>
      <c r="GL200" s="410">
        <f t="shared" si="120"/>
        <v>0</v>
      </c>
      <c r="GM200" s="405"/>
      <c r="GN200" s="409"/>
      <c r="GO200" s="420" t="str">
        <f t="shared" si="135"/>
        <v xml:space="preserve"> - </v>
      </c>
      <c r="GP200" s="409"/>
      <c r="GQ200" s="411">
        <f>IF(GP200=0,0,IF($LB200=70%,VLOOKUP($GO200,'Jan-2026 rates'!$L:$R,4,0),IF($LB200=65%,VLOOKUP($GO200,'Jan-2026 rates'!$L:$R,4,0),IF($LB200=40%,VLOOKUP($GO200,'Jan-2026 rates'!$L:$R,5,0),IF($LB200=30%,VLOOKUP($GO200,'Jan-2026 rates'!$L:$R,6,0),IF($LB200=100%,VLOOKUP($GO200,'Jan-2026 rates'!$L:$R,7,0),IF($LB200=60%,VLOOKUP($GO200,'Jan-2026 rates'!$L:$S,8,0),IF($LB200=80%,VLOOKUP($GO200,'Jan-2026 rates'!L:T,9,0),0))))))))</f>
        <v>0</v>
      </c>
      <c r="GR200" s="412"/>
      <c r="GS200" s="409"/>
      <c r="GT200" s="411">
        <f>IF(GS200=0,0,IF($LB200=70%,VLOOKUP($GO200,'Jan-2026 rates'!$L:$R,4,0),IF($LB200=65%,VLOOKUP($GO200,'Jan-2026 rates'!$L:$R,4,0),IF($LB200=40%,VLOOKUP($GO200,'Jan-2026 rates'!$L:$R,5,0),IF($LB200=30%,VLOOKUP($GO200,'Jan-2026 rates'!$L:$R,6,0),IF($LB200=100%,VLOOKUP($GO200,'Jan-2026 rates'!$L:$R,7,0),IF($LB200=60%,VLOOKUP($GO200,'Jan-2026 rates'!$L:$S,8,0),IF($LB200=80%,VLOOKUP($GO200,'Jan-2026 rates'!L:T,9,0),0))))))))</f>
        <v>0</v>
      </c>
      <c r="GU200" s="413"/>
      <c r="GV200" s="413"/>
      <c r="GW200" s="412"/>
      <c r="GX200" s="412"/>
      <c r="GY200" s="412"/>
      <c r="GZ200" s="412"/>
      <c r="HA200" s="412"/>
      <c r="HB200" s="412"/>
      <c r="HC200" s="409"/>
      <c r="HD200" s="398">
        <f>IF(HC200=0,0,IF(LEN(GU200)=11,_xlfn.XLOOKUP(GU200,'Dispensed Ink Rates'!C:C,'Dispensed Ink Rates'!CS:CS),VLOOKUP(GU200,'Jan-2026 rates'!$E:$F,2,0)))</f>
        <v>0</v>
      </c>
      <c r="HE200" s="409"/>
      <c r="HF200" s="398">
        <f>IF(HE200=0,0,IF(LEN(GV200)=11,_xlfn.XLOOKUP(GV200,'Dispensed Ink Rates'!C:C,'Dispensed Ink Rates'!CS:CS),VLOOKUP(GV200,'Jan-2026 rates'!$E:$F,2,0)))</f>
        <v>0</v>
      </c>
      <c r="HG200" s="409"/>
      <c r="HH200" s="398">
        <f>IF(HG200=0,0,IF(LEN(GW200)=11,_xlfn.XLOOKUP(GW200,'Dispensed Ink Rates'!C:C,'Dispensed Ink Rates'!CS:CS),VLOOKUP(GW200,'Jan-2026 rates'!$E:$F,2,0)))</f>
        <v>0</v>
      </c>
      <c r="HI200" s="409"/>
      <c r="HJ200" s="398">
        <f>IF(HI200=0,0,IF(LEN(GX200)=11,_xlfn.XLOOKUP(GX200,'Dispensed Ink Rates'!C:C,'Dispensed Ink Rates'!CS:CS),VLOOKUP(GX200,'Jan-2026 rates'!$E:$F,2,0)))</f>
        <v>0</v>
      </c>
      <c r="HK200" s="409"/>
      <c r="HL200" s="398">
        <f>IF(HK200=0,0,IF(LEN(GY200)=11,_xlfn.XLOOKUP(GY200,'Dispensed Ink Rates'!C:C,'Dispensed Ink Rates'!CS:CS),VLOOKUP(GY200,'Jan-2026 rates'!$E:$F,2,0)))</f>
        <v>0</v>
      </c>
      <c r="HM200" s="409"/>
      <c r="HN200" s="398">
        <f>IF(HM200=0,0,IF(LEN(GZ200)=11,_xlfn.XLOOKUP(GZ200,'Dispensed Ink Rates'!C:C,'Dispensed Ink Rates'!CS:CS),VLOOKUP(GZ200,'Jan-2026 rates'!$E:$F,2,0)))</f>
        <v>0</v>
      </c>
      <c r="HO200" s="409"/>
      <c r="HP200" s="398">
        <f>IF(HO200=0,0,IF(LEN(HA200)=11,_xlfn.XLOOKUP(HA200,'Dispensed Ink Rates'!C:C,'Dispensed Ink Rates'!CS:CS),VLOOKUP(HA200,'Jan-2026 rates'!$E:$F,2,0)))</f>
        <v>0</v>
      </c>
      <c r="HQ200" s="409"/>
      <c r="HR200" s="398">
        <f>IF(HQ200=0,0,IF(LEN(HB200)=11,_xlfn.XLOOKUP(HB200,'Dispensed Ink Rates'!C:C,'Dispensed Ink Rates'!CS:CS),VLOOKUP(HB200,'Jan-2026 rates'!$E:$F,2,0)))</f>
        <v>0</v>
      </c>
      <c r="HS200" s="409"/>
      <c r="HT200" s="409"/>
      <c r="HU200" s="411">
        <f t="shared" si="121"/>
        <v>0</v>
      </c>
      <c r="HV200" s="411">
        <f t="shared" si="122"/>
        <v>0</v>
      </c>
      <c r="HW200" s="414">
        <f t="shared" si="123"/>
        <v>0</v>
      </c>
      <c r="HX200" s="405"/>
      <c r="HY200" s="409"/>
      <c r="HZ200" s="420" t="str">
        <f t="shared" si="136"/>
        <v xml:space="preserve"> - </v>
      </c>
      <c r="IA200" s="409"/>
      <c r="IB200" s="411">
        <f>IF(IA200=0,0,IF($LB200=70%,VLOOKUP($HZ200,'Jan-2026 rates'!$L:$R,4,0),IF($LB200=65%,VLOOKUP($HZ200,'Jan-2026 rates'!$L:$R,4,0),IF($LB200=40%,VLOOKUP($HZ200,'Jan-2026 rates'!$L:$R,5,0),IF($LB200=30%,VLOOKUP($HZ200,'Jan-2026 rates'!$L:$R,6,0),IF($LB200=100%,VLOOKUP($HZ200,'Jan-2026 rates'!$L:$R,7,0),IF($LB200=60%,VLOOKUP($HZ200,'Jan-2026 rates'!$L:$S,8,0),IF($LB200=80%,VLOOKUP($HZ200,'Jan-2026 rates'!L:T,9,0),0))))))))</f>
        <v>0</v>
      </c>
      <c r="IC200" s="412"/>
      <c r="ID200" s="409"/>
      <c r="IE200" s="411">
        <f>IF(ID200=0,0,IF($LB200=70%,VLOOKUP($HZ200,'Jan-2026 rates'!$L:$R,4,0),IF($LB200=65%,VLOOKUP($HZ200,'Jan-2026 rates'!$L:$R,4,0),IF($LB200=40%,VLOOKUP($HZ200,'Jan-2026 rates'!$L:$R,5,0),IF($LB200=30%,VLOOKUP($HZ200,'Jan-2026 rates'!$L:$R,6,0),IF($LB200=100%,VLOOKUP($HZ200,'Jan-2026 rates'!$L:$R,7,0),IF($LB200=60%,VLOOKUP($HZ200,'Jan-2026 rates'!$L:$S,8,0),IF($LB200=80%,VLOOKUP($HZ200,'Jan-2026 rates'!L:T,9,0),0))))))))</f>
        <v>0</v>
      </c>
      <c r="IF200" s="412"/>
      <c r="IG200" s="413"/>
      <c r="IH200" s="412"/>
      <c r="II200" s="412"/>
      <c r="IJ200" s="412"/>
      <c r="IK200" s="412"/>
      <c r="IL200" s="412"/>
      <c r="IM200" s="412"/>
      <c r="IN200" s="409"/>
      <c r="IO200" s="398">
        <f>IF(IN200=0,0,IF(LEN(IF200)=11,_xlfn.XLOOKUP(IF200,'Dispensed Ink Rates'!C:C,'Dispensed Ink Rates'!CS:CS),VLOOKUP(IF200,'Jan-2026 rates'!$E:$F,2,0)))</f>
        <v>0</v>
      </c>
      <c r="IP200" s="409"/>
      <c r="IQ200" s="398">
        <f>IF(IP200=0,0,IF(LEN(IG200)=11,_xlfn.XLOOKUP(IG200,'Dispensed Ink Rates'!C:C,'Dispensed Ink Rates'!CS:CS),VLOOKUP(IG200,'Jan-2026 rates'!$E:$F,2,0)))</f>
        <v>0</v>
      </c>
      <c r="IR200" s="409"/>
      <c r="IS200" s="398">
        <f>IF(IR200=0,0,IF(LEN(IH200)=11,_xlfn.XLOOKUP(IH200,'Dispensed Ink Rates'!C:C,'Dispensed Ink Rates'!CS:CS),VLOOKUP(IH200,'Jan-2026 rates'!$E:$F,2,0)))</f>
        <v>0</v>
      </c>
      <c r="IT200" s="409"/>
      <c r="IU200" s="398">
        <f>IF(IT200=0,0,IF(LEN(II200)=11,_xlfn.XLOOKUP(II200,'Dispensed Ink Rates'!C:C,'Dispensed Ink Rates'!CS:CS),VLOOKUP(II200,'Jan-2026 rates'!$E:$F,2,0)))</f>
        <v>0</v>
      </c>
      <c r="IV200" s="409"/>
      <c r="IW200" s="398">
        <f>IF(IV200=0,0,IF(LEN(IJ200)=11,_xlfn.XLOOKUP(IJ200,'Dispensed Ink Rates'!C:C,'Dispensed Ink Rates'!CS:CS),VLOOKUP(IJ200,'Jan-2026 rates'!$E:$F,2,0)))</f>
        <v>0</v>
      </c>
      <c r="IX200" s="409"/>
      <c r="IY200" s="398">
        <f>IF(IX200=0,0,IF(LEN(IK200)=11,_xlfn.XLOOKUP(IK200,'Dispensed Ink Rates'!C:C,'Dispensed Ink Rates'!CS:CS),VLOOKUP(IK200,'Jan-2026 rates'!$E:$F,2,0)))</f>
        <v>0</v>
      </c>
      <c r="IZ200" s="409"/>
      <c r="JA200" s="398">
        <f>IF(IZ200=0,0,IF(LEN(IL200)=11,_xlfn.XLOOKUP(IL200,'Dispensed Ink Rates'!C:C,'Dispensed Ink Rates'!CS:CS),VLOOKUP(IL200,'Jan-2026 rates'!$E:$F,2,0)))</f>
        <v>0</v>
      </c>
      <c r="JB200" s="409"/>
      <c r="JC200" s="398">
        <f>IF(JB200=0,0,IF(LEN(IM200)=11,_xlfn.XLOOKUP(IM200,'Dispensed Ink Rates'!C:C,'Dispensed Ink Rates'!CS:CS),VLOOKUP(IM200,'Jan-2026 rates'!$E:$F,2,0)))</f>
        <v>0</v>
      </c>
      <c r="JD200" s="409"/>
      <c r="JE200" s="409"/>
      <c r="JF200" s="411">
        <f t="shared" si="124"/>
        <v>0</v>
      </c>
      <c r="JG200" s="411">
        <f t="shared" si="125"/>
        <v>0</v>
      </c>
      <c r="JH200" s="410">
        <f t="shared" si="126"/>
        <v>0</v>
      </c>
      <c r="JI200" s="405"/>
      <c r="JJ200" s="409"/>
      <c r="JK200" s="420" t="str">
        <f t="shared" si="137"/>
        <v xml:space="preserve"> - </v>
      </c>
      <c r="JL200" s="409"/>
      <c r="JM200" s="411">
        <f>IF(JL200=0,0,IF($LB200=70%,VLOOKUP($JK200,'Jan-2026 rates'!$L:$R,4,0),IF($LB200=65%,VLOOKUP($JK200,'Jan-2026 rates'!$L:$R,4,0),IF($LB200=40%,VLOOKUP($JK200,'Jan-2026 rates'!$L:$R,5,0),IF($LB200=30%,VLOOKUP($JK200,'Jan-2026 rates'!$L:$R,6,0),IF($LB200=100%,VLOOKUP($JK200,'Jan-2026 rates'!$L:$R,7,0),IF($LB200=60%,VLOOKUP($JK200,'Jan-2026 rates'!$L:$S,8,0),IF($LB200=80%,VLOOKUP($JK200,'Jan-2026 rates'!L:T,9,0),0))))))))</f>
        <v>0</v>
      </c>
      <c r="JN200" s="412"/>
      <c r="JO200" s="409"/>
      <c r="JP200" s="411">
        <f>IF(JO200=0,0,IF($LB200=70%,VLOOKUP($JK200,'Jan-2026 rates'!$L:$R,4,0),IF($LB200=65%,VLOOKUP($JK200,'Jan-2026 rates'!$L:$R,4,0),IF($LB200=40%,VLOOKUP($JK200,'Jan-2026 rates'!$L:$R,5,0),IF($LB200=30%,VLOOKUP($JK200,'Jan-2026 rates'!$L:$R,6,0),IF($LB200=100%,VLOOKUP($JK200,'Jan-2026 rates'!$L:$R,7,0),IF($LB200=60%,VLOOKUP($JK200,'Jan-2026 rates'!$L:$S,8,0),IF($LB200=80%,VLOOKUP($JK200,'Jan-2026 rates'!L:T,9,0),0))))))))</f>
        <v>0</v>
      </c>
      <c r="JQ200" s="413"/>
      <c r="JR200" s="412"/>
      <c r="JS200" s="413"/>
      <c r="JT200" s="413"/>
      <c r="JU200" s="412"/>
      <c r="JV200" s="412"/>
      <c r="JW200" s="412"/>
      <c r="JX200" s="412"/>
      <c r="JY200" s="409"/>
      <c r="JZ200" s="398">
        <f>IF(JY200=0,0,IF(LEN(JQ200)=11,_xlfn.XLOOKUP(JQ200,'Dispensed Ink Rates'!C:C,'Dispensed Ink Rates'!CS:CS),VLOOKUP(JQ200,'Jan-2026 rates'!$E:$F,2,0)))</f>
        <v>0</v>
      </c>
      <c r="KA200" s="409"/>
      <c r="KB200" s="398">
        <f>IF(KA200=0,0,IF(LEN(JR200)=11,_xlfn.XLOOKUP(JR200,'Dispensed Ink Rates'!C:C,'Dispensed Ink Rates'!CS:CS),VLOOKUP(JR200,'Jan-2026 rates'!$E:$F,2,0)))</f>
        <v>0</v>
      </c>
      <c r="KC200" s="409"/>
      <c r="KD200" s="398">
        <f>IF(KC200=0,0,IF(LEN(JS200)=11,_xlfn.XLOOKUP(JS200,'Dispensed Ink Rates'!C:C,'Dispensed Ink Rates'!CS:CS),VLOOKUP(JS200,'Jan-2026 rates'!$E:$F,2,0)))</f>
        <v>0</v>
      </c>
      <c r="KE200" s="409"/>
      <c r="KF200" s="398">
        <f>IF(KE200=0,0,IF(LEN(JT200)=11,_xlfn.XLOOKUP(JT200,'Dispensed Ink Rates'!C:C,'Dispensed Ink Rates'!CS:CS),VLOOKUP(JT200,'Jan-2026 rates'!$E:$F,2,0)))</f>
        <v>0</v>
      </c>
      <c r="KG200" s="409"/>
      <c r="KH200" s="398">
        <f>IF(KG200=0,0,IF(LEN(JU200)=11,_xlfn.XLOOKUP(JU200,'Dispensed Ink Rates'!C:C,'Dispensed Ink Rates'!CS:CS),VLOOKUP(JU200,'Jan-2026 rates'!$E:$F,2,0)))</f>
        <v>0</v>
      </c>
      <c r="KI200" s="409"/>
      <c r="KJ200" s="398">
        <f>IF(KI200=0,0,IF(LEN(JV200)=11,_xlfn.XLOOKUP(JV200,'Dispensed Ink Rates'!C:C,'Dispensed Ink Rates'!CS:CS),VLOOKUP(JV200,'Jan-2026 rates'!$E:$F,2,0)))</f>
        <v>0</v>
      </c>
      <c r="KK200" s="409"/>
      <c r="KL200" s="398">
        <f>IF(KK200=0,0,IF(LEN(JW200)=11,_xlfn.XLOOKUP(JW200,'Dispensed Ink Rates'!C:C,'Dispensed Ink Rates'!CS:CS),VLOOKUP(JW200,'Jan-2026 rates'!$E:$F,2,0)))</f>
        <v>0</v>
      </c>
      <c r="KM200" s="428"/>
      <c r="KN200" s="398">
        <f>IF(KM200=0,0,IF(LEN(JX200)=11,_xlfn.XLOOKUP(JX200,'Dispensed Ink Rates'!C:C,'Dispensed Ink Rates'!CS:CS),VLOOKUP(JX200,'Jan-2026 rates'!$E:$F,2,0)))</f>
        <v>0</v>
      </c>
      <c r="KO200" s="409"/>
      <c r="KP200" s="409"/>
      <c r="KQ200" s="411">
        <f t="shared" si="127"/>
        <v>0</v>
      </c>
      <c r="KR200" s="411">
        <f t="shared" si="128"/>
        <v>0</v>
      </c>
      <c r="KS200" s="410">
        <f t="shared" si="129"/>
        <v>0</v>
      </c>
      <c r="KT200" s="409">
        <v>2</v>
      </c>
      <c r="KU200" s="409">
        <v>5</v>
      </c>
      <c r="KV200" s="409">
        <v>0</v>
      </c>
      <c r="KW200" s="409">
        <v>0</v>
      </c>
      <c r="KX200" s="409">
        <v>0</v>
      </c>
      <c r="KY200" s="409">
        <v>0</v>
      </c>
      <c r="KZ200" s="409">
        <v>0</v>
      </c>
      <c r="LA200" s="409">
        <v>0</v>
      </c>
      <c r="LB200" s="415">
        <v>0.3</v>
      </c>
      <c r="LC200" s="415"/>
      <c r="LD200" s="415"/>
      <c r="LE200" s="415">
        <v>0.5</v>
      </c>
      <c r="LF200" s="415">
        <v>0.2</v>
      </c>
      <c r="LG200" s="409">
        <v>0</v>
      </c>
      <c r="LH200" s="409">
        <f>7+5+3+5+2</f>
        <v>22</v>
      </c>
      <c r="LI200" s="409">
        <v>0</v>
      </c>
      <c r="LJ200" s="409">
        <v>0</v>
      </c>
      <c r="LK200" s="416">
        <f t="shared" si="138"/>
        <v>22</v>
      </c>
      <c r="LL200" s="416">
        <f t="shared" si="139"/>
        <v>22</v>
      </c>
      <c r="LM200" s="417">
        <f t="shared" si="140"/>
        <v>6.6</v>
      </c>
      <c r="LN200" s="417">
        <f>VLOOKUP($LM$8,'Jan-2026 rates'!$H:$I,2,0)</f>
        <v>0</v>
      </c>
      <c r="LO200" s="417">
        <f t="shared" si="141"/>
        <v>0</v>
      </c>
      <c r="LP200" s="417">
        <f>VLOOKUP($LO$8,'Jan-2026 rates'!$H:$I,2,0)</f>
        <v>0</v>
      </c>
      <c r="LQ200" s="417">
        <f t="shared" si="142"/>
        <v>0</v>
      </c>
      <c r="LR200" s="417">
        <f>VLOOKUP($LQ$8,'Jan-2026 rates'!$H:$I,2,0)</f>
        <v>0</v>
      </c>
      <c r="LS200" s="417">
        <f t="shared" si="143"/>
        <v>11</v>
      </c>
      <c r="LT200" s="417">
        <f>VLOOKUP($LS$8,'Jan-2026 rates'!$H:$I,2,0)</f>
        <v>0</v>
      </c>
      <c r="LU200" s="417">
        <f t="shared" si="144"/>
        <v>4.4000000000000004</v>
      </c>
      <c r="LV200" s="417">
        <f>VLOOKUP($LU$8,'Jan-2026 rates'!$H:$I,2,0)</f>
        <v>0</v>
      </c>
      <c r="LW200" s="417">
        <f t="shared" si="145"/>
        <v>0</v>
      </c>
      <c r="LX200" s="417">
        <f t="shared" si="146"/>
        <v>0</v>
      </c>
      <c r="LY200" s="418">
        <f t="shared" si="147"/>
        <v>0</v>
      </c>
      <c r="LZ200" s="417"/>
      <c r="MA200" s="435">
        <f t="shared" si="148"/>
        <v>30</v>
      </c>
      <c r="MB200" s="282">
        <f t="shared" si="149"/>
        <v>30</v>
      </c>
      <c r="MC200" s="283" t="s">
        <v>2032</v>
      </c>
      <c r="MD200" s="284" t="str">
        <f t="shared" si="150"/>
        <v>ToyoLiToyoLi</v>
      </c>
      <c r="ME200" s="293" t="str">
        <f t="shared" si="151"/>
        <v>+</v>
      </c>
      <c r="MF200" s="293" t="str">
        <f t="shared" si="152"/>
        <v>+</v>
      </c>
      <c r="MG200" s="293" t="str">
        <f t="shared" si="153"/>
        <v>NIL</v>
      </c>
      <c r="MH200" s="293" t="str">
        <f t="shared" si="154"/>
        <v>NIL</v>
      </c>
      <c r="MI200" s="293" t="str">
        <f t="shared" si="155"/>
        <v>NIL</v>
      </c>
      <c r="MJ200" s="293" t="str">
        <f t="shared" si="156"/>
        <v>NIL</v>
      </c>
      <c r="MK200" s="293" t="str">
        <f t="shared" si="157"/>
        <v>NIL</v>
      </c>
      <c r="ML200" s="293" t="str">
        <f t="shared" si="158"/>
        <v>NIL</v>
      </c>
      <c r="MM200" s="3" t="b">
        <f t="array" ref="MM200">OR(ME200:ML200="-")</f>
        <v>0</v>
      </c>
      <c r="MN200" s="285"/>
      <c r="MO200" s="401"/>
      <c r="MP200" s="286"/>
      <c r="MQ200" s="286"/>
      <c r="MR200" s="402"/>
      <c r="MS200" s="400"/>
      <c r="NH200" s="422"/>
      <c r="NJ200" s="421"/>
    </row>
    <row r="201" spans="1:374" s="1" customFormat="1" ht="16.5">
      <c r="A201" s="403">
        <v>46036</v>
      </c>
      <c r="B201" s="404" t="s">
        <v>1015</v>
      </c>
      <c r="C201" s="405" t="s">
        <v>3751</v>
      </c>
      <c r="D201" s="406">
        <v>94</v>
      </c>
      <c r="E201" s="404">
        <v>515</v>
      </c>
      <c r="F201" s="407">
        <v>26500</v>
      </c>
      <c r="G201" s="407" t="s">
        <v>1019</v>
      </c>
      <c r="H201" s="408" t="s">
        <v>1017</v>
      </c>
      <c r="I201" s="409">
        <v>1.9</v>
      </c>
      <c r="J201" s="405" t="s">
        <v>543</v>
      </c>
      <c r="K201" s="404" t="s">
        <v>3752</v>
      </c>
      <c r="L201" s="419" t="str">
        <f t="shared" si="131"/>
        <v>FLINTSL - BLACK</v>
      </c>
      <c r="M201" s="404">
        <v>28</v>
      </c>
      <c r="N201" s="410">
        <f>IF(M201=0,0,IF($LB201=70%,VLOOKUP($L201,'Jan-2026 rates'!$L:$R,4,0),IF($LB201=65%,VLOOKUP($L201,'Jan-2026 rates'!$L:$R,4,0),IF($LB201=40%,VLOOKUP($L201,'Jan-2026 rates'!$L:$R,5,0),IF($LB201=30%,VLOOKUP($L201,'Jan-2026 rates'!$L:$R,6,0),IF($LB201=100%,VLOOKUP($L201,'Jan-2026 rates'!$L:$R,7,0),IF($LB201=60%,VLOOKUP($L201,'Jan-2026 rates'!$L:$S,8,0),IF($LB201=80%,VLOOKUP($L201,'Jan-2026 rates'!L:T,9,0),0))))))))</f>
        <v>0</v>
      </c>
      <c r="O201" s="406"/>
      <c r="P201" s="404"/>
      <c r="Q201" s="410">
        <f>IF(P201=0,0,IF($LB201=70%,VLOOKUP($L201,'Jan-2026 rates'!$L:$R,4,0),IF($LB201=65%,VLOOKUP($L201,'Jan-2026 rates'!$L:$R,4,0),IF($LB201=40%,VLOOKUP($L201,'Jan-2026 rates'!$L:$R,5,0),IF($LB201=30%,VLOOKUP($L201,'Jan-2026 rates'!$L:$R,6,0),IF($LB201=100%,VLOOKUP($L201,'Jan-2026 rates'!$L:$R,7,0),IF($LB201=60%,VLOOKUP($L201,'Jan-2026 rates'!$L:$S,8,0),IF($LB201=80%,VLOOKUP($L201,'Jan-2026 rates'!L:T,9,0),0))))))))</f>
        <v>0</v>
      </c>
      <c r="R201" s="406">
        <v>26517000031</v>
      </c>
      <c r="S201" s="406"/>
      <c r="T201" s="406"/>
      <c r="U201" s="406"/>
      <c r="V201" s="406"/>
      <c r="W201" s="406"/>
      <c r="X201" s="406"/>
      <c r="Y201" s="406"/>
      <c r="Z201" s="404">
        <v>2</v>
      </c>
      <c r="AA201" s="398" t="e">
        <f>IF(Z201=0,0,IF(LEN(R201)=11,_xlfn.XLOOKUP(R201,'Dispensed Ink Rates'!C:C,'Dispensed Ink Rates'!CS:CS),VLOOKUP(R201,'Jan-2026 rates'!$E:$F,2,0)))</f>
        <v>#N/A</v>
      </c>
      <c r="AB201" s="404"/>
      <c r="AC201" s="398">
        <f>IF(AB201=0,0,IF(LEN(S201)=11,_xlfn.XLOOKUP(S201,'Dispensed Ink Rates'!C:C,'Dispensed Ink Rates'!CS:CS),VLOOKUP(S201,'Jan-2026 rates'!$E:$F,2,0)))</f>
        <v>0</v>
      </c>
      <c r="AD201" s="404"/>
      <c r="AE201" s="398">
        <f>IF(AD201=0,0,IF(LEN(T201)=11,_xlfn.XLOOKUP(T201,'Dispensed Ink Rates'!C:C,'Dispensed Ink Rates'!CS:CS),VLOOKUP(T201,'Jan-2026 rates'!$E:$F,2,0)))</f>
        <v>0</v>
      </c>
      <c r="AF201" s="404"/>
      <c r="AG201" s="398">
        <f>IF(AF201=0,0,IF(LEN(U201)=11,_xlfn.XLOOKUP(U201,'Dispensed Ink Rates'!C:C,'Dispensed Ink Rates'!CS:CS),VLOOKUP(U201,'Jan-2026 rates'!$E:$F,2,0)))</f>
        <v>0</v>
      </c>
      <c r="AH201" s="404"/>
      <c r="AI201" s="398">
        <f>IF(AH201=0,0,IF(LEN(V201)=11,_xlfn.XLOOKUP(V201,'Dispensed Ink Rates'!C:C,'Dispensed Ink Rates'!CS:CS),VLOOKUP(V201,'Jan-2026 rates'!$E:$F,2,0)))</f>
        <v>0</v>
      </c>
      <c r="AJ201" s="404"/>
      <c r="AK201" s="398">
        <f>IF(AJ201=0,0,IF(LEN(W201)=11,_xlfn.XLOOKUP(W201,'Dispensed Ink Rates'!C:C,'Dispensed Ink Rates'!CS:CS),VLOOKUP(W201,'Jan-2026 rates'!$E:$F,2,0)))</f>
        <v>0</v>
      </c>
      <c r="AL201" s="404"/>
      <c r="AM201" s="398">
        <f>IF(AL201=0,0,IF(LEN(X201)=11,_xlfn.XLOOKUP(X201,'Dispensed Ink Rates'!C:C,'Dispensed Ink Rates'!CS:CS),VLOOKUP(X201,'Jan-2026 rates'!$E:$F,2,0)))</f>
        <v>0</v>
      </c>
      <c r="AN201" s="404"/>
      <c r="AO201" s="398">
        <f>IF(AN201=0,0,IF(LEN(Y201)=11,_xlfn.XLOOKUP(Y201,'Dispensed Ink Rates'!C:C,'Dispensed Ink Rates'!CS:CS),VLOOKUP(Y201,'Jan-2026 rates'!$E:$F,2,0)))</f>
        <v>0</v>
      </c>
      <c r="AP201" s="409" t="s">
        <v>1443</v>
      </c>
      <c r="AQ201" s="409">
        <v>28</v>
      </c>
      <c r="AR201" s="410">
        <f t="shared" si="106"/>
        <v>0</v>
      </c>
      <c r="AS201" s="411">
        <f t="shared" si="107"/>
        <v>6.5853658536585371</v>
      </c>
      <c r="AT201" s="410">
        <f t="shared" si="108"/>
        <v>0</v>
      </c>
      <c r="AU201" s="405" t="s">
        <v>857</v>
      </c>
      <c r="AV201" s="409" t="s">
        <v>3753</v>
      </c>
      <c r="AW201" s="420" t="str">
        <f t="shared" si="130"/>
        <v>FLINTSL - RED</v>
      </c>
      <c r="AX201" s="409">
        <v>30</v>
      </c>
      <c r="AY201" s="411">
        <f>IF(AX201=0,0,IF($LB201=70%,VLOOKUP($AW201,'Jan-2026 rates'!$L:$R,4,0),IF($LB201=65%,VLOOKUP($AW201,'Jan-2026 rates'!$L:$R,4,0),IF($LB201=40%,VLOOKUP($AW201,'Jan-2026 rates'!$L:$R,5,0),IF($LB201=30%,VLOOKUP($AW201,'Jan-2026 rates'!$L:$R,6,0),IF($LB201=100%,VLOOKUP($AW201,'Jan-2026 rates'!$L:$R,7,0),IF($LB201=60%,VLOOKUP($AW201,'Jan-2026 rates'!$L:$S,8,0),IF($LB201=80%,VLOOKUP($AW201,'Jan-2026 rates'!L:T,9,0),0))))))))</f>
        <v>0</v>
      </c>
      <c r="AZ201" s="412" t="s">
        <v>3754</v>
      </c>
      <c r="BA201" s="409">
        <v>24</v>
      </c>
      <c r="BB201" s="411">
        <f>IF(BA201=0,0,IF($LB201=70%,VLOOKUP($AW201,'Jan-2026 rates'!$L:$R,4,0),IF($LB201=65%,VLOOKUP($AW201,'Jan-2026 rates'!$L:$R,4,0),IF($LB201=40%,VLOOKUP($AW201,'Jan-2026 rates'!$L:$R,5,0),IF($LB201=30%,VLOOKUP($AW201,'Jan-2026 rates'!$L:$R,6,0),IF($LB201=100%,VLOOKUP($AW201,'Jan-2026 rates'!$L:$R,7,0),IF($LB201=60%,VLOOKUP($AW201,'Jan-2026 rates'!$L:$S,8,0),IF($LB201=80%,VLOOKUP($AW201,'Jan-2026 rates'!L:T,9,0),0))))))))</f>
        <v>0</v>
      </c>
      <c r="BC201" s="413">
        <v>26514000006</v>
      </c>
      <c r="BD201" s="412">
        <v>26508000010</v>
      </c>
      <c r="BE201" s="412"/>
      <c r="BF201" s="413"/>
      <c r="BG201" s="412"/>
      <c r="BH201" s="412"/>
      <c r="BI201" s="412"/>
      <c r="BJ201" s="412"/>
      <c r="BK201" s="409">
        <v>6</v>
      </c>
      <c r="BL201" s="398" t="e">
        <f>IF(BK201=0,0,IF(LEN(BC201)=11,_xlfn.XLOOKUP(BC201,'Dispensed Ink Rates'!C:C,'Dispensed Ink Rates'!CS:CS),VLOOKUP(BC201,'Jan-2026 rates'!$E:$F,2,0)))</f>
        <v>#N/A</v>
      </c>
      <c r="BM201" s="409">
        <v>4</v>
      </c>
      <c r="BN201" s="398" t="e">
        <f>IF(BM201=0,0,IF(LEN(BD201)=11,_xlfn.XLOOKUP(BD201,'Dispensed Ink Rates'!C:C,'Dispensed Ink Rates'!CS:CS),VLOOKUP(BD201,'Jan-2026 rates'!$E:$F,2,0)))</f>
        <v>#N/A</v>
      </c>
      <c r="BO201" s="409"/>
      <c r="BP201" s="398">
        <f>IF(BO201=0,0,IF(LEN(BE201)=11,_xlfn.XLOOKUP(BE201,'Dispensed Ink Rates'!C:C,'Dispensed Ink Rates'!CS:CS),VLOOKUP(BE201,'Jan-2026 rates'!$E:$F,2,0)))</f>
        <v>0</v>
      </c>
      <c r="BQ201" s="409"/>
      <c r="BR201" s="398">
        <f>IF(BQ201=0,0,IF(LEN(BF201)=11,_xlfn.XLOOKUP(BF201,'Dispensed Ink Rates'!C:C,'Dispensed Ink Rates'!CS:CS),VLOOKUP(BF201,'Jan-2026 rates'!$E:$F,2,0)))</f>
        <v>0</v>
      </c>
      <c r="BS201" s="409"/>
      <c r="BT201" s="398">
        <f>IF(BS201=0,0,IF(LEN(BG201)=11,_xlfn.XLOOKUP(BG201,'Dispensed Ink Rates'!C:C,'Dispensed Ink Rates'!CS:CS),VLOOKUP(BG201,'Jan-2026 rates'!$E:$F,2,0)))</f>
        <v>0</v>
      </c>
      <c r="BU201" s="409"/>
      <c r="BV201" s="398">
        <f>IF(BU201=0,0,IF(LEN(BH201)=11,_xlfn.XLOOKUP(BH201,'Dispensed Ink Rates'!C:C,'Dispensed Ink Rates'!CS:CS),VLOOKUP(BH201,'Jan-2026 rates'!$E:$F,2,0)))</f>
        <v>0</v>
      </c>
      <c r="BW201" s="409"/>
      <c r="BX201" s="398">
        <f>IF(BW201=0,0,IF(LEN(BI201)=11,_xlfn.XLOOKUP(BI201,'Dispensed Ink Rates'!C:C,'Dispensed Ink Rates'!CS:CS),VLOOKUP(BI201,'Jan-2026 rates'!$E:$F,2,0)))</f>
        <v>0</v>
      </c>
      <c r="BY201" s="409"/>
      <c r="BZ201" s="398">
        <f>IF(BY201=0,0,IF(LEN(BJ201)=11,_xlfn.XLOOKUP(BJ201,'Dispensed Ink Rates'!C:C,'Dispensed Ink Rates'!CS:CS),VLOOKUP(BJ201,'Jan-2026 rates'!$E:$F,2,0)))</f>
        <v>0</v>
      </c>
      <c r="CA201" s="409" t="s">
        <v>1443</v>
      </c>
      <c r="CB201" s="409">
        <v>28</v>
      </c>
      <c r="CC201" s="411">
        <f t="shared" si="109"/>
        <v>0</v>
      </c>
      <c r="CD201" s="411">
        <f t="shared" si="110"/>
        <v>49.756097560975604</v>
      </c>
      <c r="CE201" s="410">
        <f t="shared" si="111"/>
        <v>0</v>
      </c>
      <c r="CF201" s="404" t="s">
        <v>547</v>
      </c>
      <c r="CG201" s="409" t="s">
        <v>3300</v>
      </c>
      <c r="CH201" s="420" t="str">
        <f t="shared" si="132"/>
        <v>FLINTSL - GREEN</v>
      </c>
      <c r="CI201" s="409">
        <v>18</v>
      </c>
      <c r="CJ201" s="411">
        <f>IF(CI201=0,0,IF($LB201=70%,VLOOKUP($CH201,'Jan-2026 rates'!$L:$R,4,0),IF($LB201=65%,VLOOKUP($CH201,'Jan-2026 rates'!$L:$R,4,0),IF($LB201=40%,VLOOKUP($CH201,'Jan-2026 rates'!$L:$R,5,0),IF($LB201=30%,VLOOKUP($CH201,'Jan-2026 rates'!$L:$R,6,0),IF($LB201=100%,VLOOKUP($CH201,'Jan-2026 rates'!$L:$R,7,0),IF($LB201=60%,VLOOKUP($CH201,'Jan-2026 rates'!$L:$S,8,0),IF($LB201=80%,VLOOKUP($CH201,'Jan-2026 rates'!L:T,9,0),0))))))))</f>
        <v>0</v>
      </c>
      <c r="CK201" s="412" t="s">
        <v>3755</v>
      </c>
      <c r="CL201" s="409">
        <v>15</v>
      </c>
      <c r="CM201" s="411">
        <f>IF(CL201=0,0,IF($LB201=70%,VLOOKUP($CH201,'Jan-2026 rates'!$L:$R,4,0),IF($LB201=65%,VLOOKUP($CH201,'Jan-2026 rates'!$L:$R,4,0),IF($LB201=40%,VLOOKUP($CH201,'Jan-2026 rates'!$L:$R,5,0),IF($LB201=30%,VLOOKUP($CH201,'Jan-2026 rates'!$L:$R,6,0),IF($LB201=100%,VLOOKUP($CH201,'Jan-2026 rates'!$L:$R,7,0),IF($LB201=60%,VLOOKUP($CH201,'Jan-2026 rates'!$L:$S,8,0),IF($LB201=80%,VLOOKUP($CH201,'Jan-2026 rates'!L:T,9,0),0))))))))</f>
        <v>0</v>
      </c>
      <c r="CN201" s="426"/>
      <c r="CO201" s="427"/>
      <c r="CP201" s="426"/>
      <c r="CQ201" s="426"/>
      <c r="CR201" s="428"/>
      <c r="CS201" s="428"/>
      <c r="CT201" s="428"/>
      <c r="CU201" s="428"/>
      <c r="CV201" s="409"/>
      <c r="CW201" s="398">
        <f>IF(CV201=0,0,IF(LEN(CN201)=11,_xlfn.XLOOKUP(CN201,'Dispensed Ink Rates'!C:C,'Dispensed Ink Rates'!CS:CS),VLOOKUP(CN201,'Jan-2026 rates'!$E:$F,2,0)))</f>
        <v>0</v>
      </c>
      <c r="CX201" s="409"/>
      <c r="CY201" s="398">
        <f>IF(CX201=0,0,IF(LEN(CO201)=11,_xlfn.XLOOKUP(CO201,'Dispensed Ink Rates'!C:C,'Dispensed Ink Rates'!CS:CS),VLOOKUP(CO201,'Jan-2026 rates'!$E:$F,2,0)))</f>
        <v>0</v>
      </c>
      <c r="CZ201" s="409"/>
      <c r="DA201" s="398">
        <f>IF(CZ201=0,0,IF(LEN(CP201)=11,_xlfn.XLOOKUP(CP201,'Dispensed Ink Rates'!C:C,'Dispensed Ink Rates'!CS:CS),VLOOKUP(CP201,'Jan-2026 rates'!$E:$F,2,0)))</f>
        <v>0</v>
      </c>
      <c r="DB201" s="409"/>
      <c r="DC201" s="398">
        <f>IF(DB201=0,0,IF(LEN(CQ201)=11,_xlfn.XLOOKUP(CQ201,'Dispensed Ink Rates'!C:C,'Dispensed Ink Rates'!CS:CS),VLOOKUP(CQ201,'Jan-2026 rates'!$E:$F,2,0)))</f>
        <v>0</v>
      </c>
      <c r="DD201" s="409"/>
      <c r="DE201" s="398">
        <f>IF(DD201=0,0,IF(LEN(CR201)=11,_xlfn.XLOOKUP(CR201,'Dispensed Ink Rates'!C:C,'Dispensed Ink Rates'!CS:CS),VLOOKUP(CR201,'Jan-2026 rates'!$E:$F,2,0)))</f>
        <v>0</v>
      </c>
      <c r="DF201" s="409"/>
      <c r="DG201" s="398">
        <f>IF(DF201=0,0,IF(LEN(CS201)=11,_xlfn.XLOOKUP(CS201,'Dispensed Ink Rates'!C:C,'Dispensed Ink Rates'!CS:CS),VLOOKUP(CS201,'Jan-2026 rates'!$E:$F,2,0)))</f>
        <v>0</v>
      </c>
      <c r="DH201" s="409"/>
      <c r="DI201" s="398">
        <f>IF(DH201=0,0,IF(LEN(CT201)=11,_xlfn.XLOOKUP(CT201,'Dispensed Ink Rates'!C:C,'Dispensed Ink Rates'!CS:CS),VLOOKUP(CT201,'Jan-2026 rates'!$E:$F,2,0)))</f>
        <v>0</v>
      </c>
      <c r="DJ201" s="409"/>
      <c r="DK201" s="398">
        <f>IF(DJ201=0,0,IF(LEN(CU201)=11,_xlfn.XLOOKUP(CU201,'Dispensed Ink Rates'!C:C,'Dispensed Ink Rates'!CS:CS),VLOOKUP(CU201,'Jan-2026 rates'!$E:$F,2,0)))</f>
        <v>0</v>
      </c>
      <c r="DL201" s="409" t="s">
        <v>1443</v>
      </c>
      <c r="DM201" s="409">
        <v>32</v>
      </c>
      <c r="DN201" s="411">
        <f t="shared" si="112"/>
        <v>0</v>
      </c>
      <c r="DO201" s="411">
        <f t="shared" si="113"/>
        <v>5.5853658536585371</v>
      </c>
      <c r="DP201" s="410">
        <f t="shared" si="114"/>
        <v>0</v>
      </c>
      <c r="DQ201" s="405" t="s">
        <v>547</v>
      </c>
      <c r="DR201" s="409"/>
      <c r="DS201" s="420" t="str">
        <f t="shared" si="133"/>
        <v>FLINTSL - GREEN</v>
      </c>
      <c r="DT201" s="409"/>
      <c r="DU201" s="411">
        <f>IF(DT201=0,0,IF($LB201=70%,VLOOKUP($DS201,'Jan-2026 rates'!$L:$R,4,0),IF($LB201=65%,VLOOKUP($DS201,'Jan-2026 rates'!$L:$R,4,0),IF($LB201=40%,VLOOKUP($DS201,'Jan-2026 rates'!$L:$R,5,0),IF($LB201=30%,VLOOKUP($DS201,'Jan-2026 rates'!$L:$R,6,0),IF($LB201=100%,VLOOKUP($DS201,'Jan-2026 rates'!$L:$R,7,0),IF($LB201=60%,VLOOKUP($DS201,'Jan-2026 rates'!$L:$S,8,0),IF($LB201=80%,VLOOKUP($DS201,'Jan-2026 rates'!L:T,9,0),0))))))))</f>
        <v>0</v>
      </c>
      <c r="DV201" s="412"/>
      <c r="DW201" s="409"/>
      <c r="DX201" s="411">
        <f>IF(DW201=0,0,IF($LB201=70%,VLOOKUP($DS201,'Jan-2026 rates'!$L:$R,4,0),IF($LB201=65%,VLOOKUP($DS201,'Jan-2026 rates'!$L:$R,4,0),IF($LB201=40%,VLOOKUP($DS201,'Jan-2026 rates'!$L:$R,5,0),IF($LB201=30%,VLOOKUP($DS201,'Jan-2026 rates'!$L:$R,6,0),IF($LB201=100%,VLOOKUP($DS201,'Jan-2026 rates'!$L:$R,7,0),IF($LB201=60%,VLOOKUP($DS201,'Jan-2026 rates'!$L:$S,8,0),IF($LB201=80%,VLOOKUP($DS201,'Jan-2026 rates'!L:T,9,0),0))))))))</f>
        <v>0</v>
      </c>
      <c r="DY201" s="413">
        <v>26510000009</v>
      </c>
      <c r="DZ201" s="413">
        <v>26515000007</v>
      </c>
      <c r="EA201" s="412"/>
      <c r="EB201" s="412"/>
      <c r="EC201" s="412"/>
      <c r="ED201" s="412"/>
      <c r="EE201" s="412"/>
      <c r="EF201" s="412"/>
      <c r="EG201" s="409">
        <f>8+1</f>
        <v>9</v>
      </c>
      <c r="EH201" s="398" t="e">
        <f>IF(EG201=0,0,IF(LEN(DY201)=11,_xlfn.XLOOKUP(DY201,'Dispensed Ink Rates'!C:C,'Dispensed Ink Rates'!CS:CS),VLOOKUP(DY201,'Jan-2026 rates'!$E:$F,2,0)))</f>
        <v>#N/A</v>
      </c>
      <c r="EI201" s="409">
        <v>12</v>
      </c>
      <c r="EJ201" s="398" t="e">
        <f>IF(EI201=0,0,IF(LEN(DZ201)=11,_xlfn.XLOOKUP(DZ201,'Dispensed Ink Rates'!C:C,'Dispensed Ink Rates'!CS:CS),VLOOKUP(DZ201,'Jan-2026 rates'!$E:$F,2,0)))</f>
        <v>#N/A</v>
      </c>
      <c r="EK201" s="409"/>
      <c r="EL201" s="398">
        <f>IF(EK201=0,0,IF(LEN(EA201)=11,_xlfn.XLOOKUP(EA201,'Dispensed Ink Rates'!C:C,'Dispensed Ink Rates'!CS:CS),VLOOKUP(EA201,'Jan-2026 rates'!$E:$F,2,0)))</f>
        <v>0</v>
      </c>
      <c r="EM201" s="409"/>
      <c r="EN201" s="398">
        <f>IF(EM201=0,0,IF(LEN(EB201)=11,_xlfn.XLOOKUP(EB201,'Dispensed Ink Rates'!C:C,'Dispensed Ink Rates'!CS:CS),VLOOKUP(EB201,'Jan-2026 rates'!$E:$F,2,0)))</f>
        <v>0</v>
      </c>
      <c r="EO201" s="409"/>
      <c r="EP201" s="398">
        <f>IF(EO201=0,0,IF(LEN(EC201)=11,_xlfn.XLOOKUP(EC201,'Dispensed Ink Rates'!C:C,'Dispensed Ink Rates'!CS:CS),VLOOKUP(EC201,'Jan-2026 rates'!$E:$F,2,0)))</f>
        <v>0</v>
      </c>
      <c r="EQ201" s="409"/>
      <c r="ER201" s="398">
        <f>IF(EQ201=0,0,IF(LEN(ED201)=11,_xlfn.XLOOKUP(ED201,'Dispensed Ink Rates'!C:C,'Dispensed Ink Rates'!CS:CS),VLOOKUP(ED201,'Jan-2026 rates'!$E:$F,2,0)))</f>
        <v>0</v>
      </c>
      <c r="ES201" s="409"/>
      <c r="ET201" s="398">
        <f>IF(ES201=0,0,IF(LEN(EE201)=11,_xlfn.XLOOKUP(EE201,'Dispensed Ink Rates'!C:C,'Dispensed Ink Rates'!CS:CS),VLOOKUP(EE201,'Jan-2026 rates'!$E:$F,2,0)))</f>
        <v>0</v>
      </c>
      <c r="EU201" s="409"/>
      <c r="EV201" s="398">
        <f>IF(EU201=0,0,IF(LEN(EF201)=11,_xlfn.XLOOKUP(EF201,'Dispensed Ink Rates'!C:C,'Dispensed Ink Rates'!CS:CS),VLOOKUP(EF201,'Jan-2026 rates'!$E:$F,2,0)))</f>
        <v>0</v>
      </c>
      <c r="EW201" s="409" t="s">
        <v>1443</v>
      </c>
      <c r="EX201" s="409">
        <v>26</v>
      </c>
      <c r="EY201" s="411">
        <f t="shared" si="115"/>
        <v>0</v>
      </c>
      <c r="EZ201" s="411">
        <f t="shared" si="116"/>
        <v>1.8780487804878057</v>
      </c>
      <c r="FA201" s="410">
        <f t="shared" si="117"/>
        <v>0</v>
      </c>
      <c r="FB201" s="405" t="s">
        <v>855</v>
      </c>
      <c r="FC201" s="409" t="s">
        <v>3756</v>
      </c>
      <c r="FD201" s="420" t="str">
        <f t="shared" si="134"/>
        <v>FLINTSL - CYAN</v>
      </c>
      <c r="FE201" s="409">
        <v>32</v>
      </c>
      <c r="FF201" s="411">
        <f>IF(FE201=0,0,IF($LB201=70%,VLOOKUP($FD201,'Jan-2026 rates'!$L:$R,4,0),IF($LB201=65%,VLOOKUP($FD201,'Jan-2026 rates'!$L:$R,4,0),IF($LB201=40%,VLOOKUP($FD201,'Jan-2026 rates'!$L:$R,5,0),IF($LB201=30%,VLOOKUP($FD201,'Jan-2026 rates'!$L:$R,6,0),IF($LB201=100%,VLOOKUP($FD201,'Jan-2026 rates'!$L:$R,7,0),IF($LB201=60%,VLOOKUP($FD201,'Jan-2026 rates'!$L:$S,8,0),IF($LB201=80%,VLOOKUP($FD201,'Jan-2026 rates'!L:T,9,0),0))))))))</f>
        <v>0</v>
      </c>
      <c r="FG201" s="412"/>
      <c r="FH201" s="409"/>
      <c r="FI201" s="411">
        <f>IF(FH201=0,0,IF($LB201=70%,VLOOKUP($FD201,'Jan-2026 rates'!$L:$R,4,0),IF($LB201=65%,VLOOKUP($FD201,'Jan-2026 rates'!$L:$R,4,0),IF($LB201=40%,VLOOKUP($FD201,'Jan-2026 rates'!$L:$R,5,0),IF($LB201=30%,VLOOKUP($FD201,'Jan-2026 rates'!$L:$R,6,0),IF($LB201=100%,VLOOKUP($FD201,'Jan-2026 rates'!$L:$R,7,0),IF($LB201=60%,VLOOKUP($FD201,'Jan-2026 rates'!$L:$S,8,0),IF($LB201=80%,VLOOKUP($FD201,'Jan-2026 rates'!L:T,9,0),0))))))))</f>
        <v>0</v>
      </c>
      <c r="FJ201" s="413" t="s">
        <v>1266</v>
      </c>
      <c r="FK201" s="413"/>
      <c r="FL201" s="413"/>
      <c r="FM201" s="412"/>
      <c r="FN201" s="412"/>
      <c r="FO201" s="412"/>
      <c r="FP201" s="412"/>
      <c r="FQ201" s="412"/>
      <c r="FR201" s="409">
        <v>13</v>
      </c>
      <c r="FS201" s="398">
        <f>IF(FR201=0,0,IF(LEN(FJ201)=11,_xlfn.XLOOKUP(FJ201,'Dispensed Ink Rates'!C:C,'Dispensed Ink Rates'!CS:CS),VLOOKUP(FJ201,'Jan-2026 rates'!$E:$F,2,0)))</f>
        <v>0</v>
      </c>
      <c r="FT201" s="409"/>
      <c r="FU201" s="398">
        <f>IF(FT201=0,0,IF(LEN(FK201)=11,_xlfn.XLOOKUP(FK201,'Dispensed Ink Rates'!C:C,'Dispensed Ink Rates'!CS:CS),VLOOKUP(FK201,'Jan-2026 rates'!$E:$F,2,0)))</f>
        <v>0</v>
      </c>
      <c r="FV201" s="409"/>
      <c r="FW201" s="398">
        <f>IF(FV201=0,0,IF(LEN(FL201)=11,_xlfn.XLOOKUP(FL201,'Dispensed Ink Rates'!C:C,'Dispensed Ink Rates'!CS:CS),VLOOKUP(FL201,'Jan-2026 rates'!$E:$F,2,0)))</f>
        <v>0</v>
      </c>
      <c r="FX201" s="409"/>
      <c r="FY201" s="398">
        <f>IF(FX201=0,0,IF(LEN(FM201)=11,_xlfn.XLOOKUP(FM201,'Dispensed Ink Rates'!C:C,'Dispensed Ink Rates'!CS:CS),VLOOKUP(FM201,'Jan-2026 rates'!$E:$F,2,0)))</f>
        <v>0</v>
      </c>
      <c r="FZ201" s="409"/>
      <c r="GA201" s="398">
        <f>IF(FZ201=0,0,IF(LEN(FN201)=11,_xlfn.XLOOKUP(FN201,'Dispensed Ink Rates'!C:C,'Dispensed Ink Rates'!CS:CS),VLOOKUP(FN201,'Jan-2026 rates'!$E:$F,2,0)))</f>
        <v>0</v>
      </c>
      <c r="GB201" s="409"/>
      <c r="GC201" s="398">
        <f>IF(GB201=0,0,IF(LEN(FO201)=11,_xlfn.XLOOKUP(FO201,'Dispensed Ink Rates'!C:C,'Dispensed Ink Rates'!CS:CS),VLOOKUP(FO201,'Jan-2026 rates'!$E:$F,2,0)))</f>
        <v>0</v>
      </c>
      <c r="GD201" s="409"/>
      <c r="GE201" s="398">
        <f>IF(GD201=0,0,IF(LEN(FP201)=11,_xlfn.XLOOKUP(FP201,'Dispensed Ink Rates'!C:C,'Dispensed Ink Rates'!CS:CS),VLOOKUP(FP201,'Jan-2026 rates'!$E:$F,2,0)))</f>
        <v>0</v>
      </c>
      <c r="GF201" s="409"/>
      <c r="GG201" s="398">
        <f>IF(GF201=0,0,IF(LEN(FQ201)=11,_xlfn.XLOOKUP(FQ201,'Dispensed Ink Rates'!C:C,'Dispensed Ink Rates'!CS:CS),VLOOKUP(FQ201,'Jan-2026 rates'!$E:$F,2,0)))</f>
        <v>0</v>
      </c>
      <c r="GH201" s="409" t="s">
        <v>1443</v>
      </c>
      <c r="GI201" s="409">
        <v>33</v>
      </c>
      <c r="GJ201" s="411">
        <f t="shared" si="118"/>
        <v>0</v>
      </c>
      <c r="GK201" s="411">
        <f t="shared" si="119"/>
        <v>16.585365853658537</v>
      </c>
      <c r="GL201" s="410">
        <f t="shared" si="120"/>
        <v>0</v>
      </c>
      <c r="GM201" s="405" t="s">
        <v>544</v>
      </c>
      <c r="GN201" s="409" t="s">
        <v>3757</v>
      </c>
      <c r="GO201" s="420" t="str">
        <f t="shared" si="135"/>
        <v>FLINTSL - MAGENTA</v>
      </c>
      <c r="GP201" s="409">
        <v>30</v>
      </c>
      <c r="GQ201" s="411">
        <f>IF(GP201=0,0,IF($LB201=70%,VLOOKUP($GO201,'Jan-2026 rates'!$L:$R,4,0),IF($LB201=65%,VLOOKUP($GO201,'Jan-2026 rates'!$L:$R,4,0),IF($LB201=40%,VLOOKUP($GO201,'Jan-2026 rates'!$L:$R,5,0),IF($LB201=30%,VLOOKUP($GO201,'Jan-2026 rates'!$L:$R,6,0),IF($LB201=100%,VLOOKUP($GO201,'Jan-2026 rates'!$L:$R,7,0),IF($LB201=60%,VLOOKUP($GO201,'Jan-2026 rates'!$L:$S,8,0),IF($LB201=80%,VLOOKUP($GO201,'Jan-2026 rates'!L:T,9,0),0))))))))</f>
        <v>0</v>
      </c>
      <c r="GR201" s="412"/>
      <c r="GS201" s="409"/>
      <c r="GT201" s="411">
        <f>IF(GS201=0,0,IF($LB201=70%,VLOOKUP($GO201,'Jan-2026 rates'!$L:$R,4,0),IF($LB201=65%,VLOOKUP($GO201,'Jan-2026 rates'!$L:$R,4,0),IF($LB201=40%,VLOOKUP($GO201,'Jan-2026 rates'!$L:$R,5,0),IF($LB201=30%,VLOOKUP($GO201,'Jan-2026 rates'!$L:$R,6,0),IF($LB201=100%,VLOOKUP($GO201,'Jan-2026 rates'!$L:$R,7,0),IF($LB201=60%,VLOOKUP($GO201,'Jan-2026 rates'!$L:$S,8,0),IF($LB201=80%,VLOOKUP($GO201,'Jan-2026 rates'!L:T,9,0),0))))))))</f>
        <v>0</v>
      </c>
      <c r="GU201" s="413"/>
      <c r="GV201" s="413"/>
      <c r="GW201" s="412"/>
      <c r="GX201" s="412"/>
      <c r="GY201" s="412"/>
      <c r="GZ201" s="412"/>
      <c r="HA201" s="412"/>
      <c r="HB201" s="412"/>
      <c r="HC201" s="409"/>
      <c r="HD201" s="398">
        <f>IF(HC201=0,0,IF(LEN(GU201)=11,_xlfn.XLOOKUP(GU201,'Dispensed Ink Rates'!C:C,'Dispensed Ink Rates'!CS:CS),VLOOKUP(GU201,'Jan-2026 rates'!$E:$F,2,0)))</f>
        <v>0</v>
      </c>
      <c r="HE201" s="409"/>
      <c r="HF201" s="398">
        <f>IF(HE201=0,0,IF(LEN(GV201)=11,_xlfn.XLOOKUP(GV201,'Dispensed Ink Rates'!C:C,'Dispensed Ink Rates'!CS:CS),VLOOKUP(GV201,'Jan-2026 rates'!$E:$F,2,0)))</f>
        <v>0</v>
      </c>
      <c r="HG201" s="409"/>
      <c r="HH201" s="398">
        <f>IF(HG201=0,0,IF(LEN(GW201)=11,_xlfn.XLOOKUP(GW201,'Dispensed Ink Rates'!C:C,'Dispensed Ink Rates'!CS:CS),VLOOKUP(GW201,'Jan-2026 rates'!$E:$F,2,0)))</f>
        <v>0</v>
      </c>
      <c r="HI201" s="409"/>
      <c r="HJ201" s="398">
        <f>IF(HI201=0,0,IF(LEN(GX201)=11,_xlfn.XLOOKUP(GX201,'Dispensed Ink Rates'!C:C,'Dispensed Ink Rates'!CS:CS),VLOOKUP(GX201,'Jan-2026 rates'!$E:$F,2,0)))</f>
        <v>0</v>
      </c>
      <c r="HK201" s="409"/>
      <c r="HL201" s="398">
        <f>IF(HK201=0,0,IF(LEN(GY201)=11,_xlfn.XLOOKUP(GY201,'Dispensed Ink Rates'!C:C,'Dispensed Ink Rates'!CS:CS),VLOOKUP(GY201,'Jan-2026 rates'!$E:$F,2,0)))</f>
        <v>0</v>
      </c>
      <c r="HM201" s="409"/>
      <c r="HN201" s="398">
        <f>IF(HM201=0,0,IF(LEN(GZ201)=11,_xlfn.XLOOKUP(GZ201,'Dispensed Ink Rates'!C:C,'Dispensed Ink Rates'!CS:CS),VLOOKUP(GZ201,'Jan-2026 rates'!$E:$F,2,0)))</f>
        <v>0</v>
      </c>
      <c r="HO201" s="409"/>
      <c r="HP201" s="398">
        <f>IF(HO201=0,0,IF(LEN(HA201)=11,_xlfn.XLOOKUP(HA201,'Dispensed Ink Rates'!C:C,'Dispensed Ink Rates'!CS:CS),VLOOKUP(HA201,'Jan-2026 rates'!$E:$F,2,0)))</f>
        <v>0</v>
      </c>
      <c r="HQ201" s="409"/>
      <c r="HR201" s="398">
        <f>IF(HQ201=0,0,IF(LEN(HB201)=11,_xlfn.XLOOKUP(HB201,'Dispensed Ink Rates'!C:C,'Dispensed Ink Rates'!CS:CS),VLOOKUP(HB201,'Jan-2026 rates'!$E:$F,2,0)))</f>
        <v>0</v>
      </c>
      <c r="HS201" s="409" t="s">
        <v>1443</v>
      </c>
      <c r="HT201" s="409">
        <v>29</v>
      </c>
      <c r="HU201" s="411">
        <f t="shared" si="121"/>
        <v>0</v>
      </c>
      <c r="HV201" s="411">
        <f t="shared" si="122"/>
        <v>7.8780487804878021</v>
      </c>
      <c r="HW201" s="414">
        <f t="shared" si="123"/>
        <v>0</v>
      </c>
      <c r="HX201" s="405" t="s">
        <v>545</v>
      </c>
      <c r="HY201" s="409" t="s">
        <v>3758</v>
      </c>
      <c r="HZ201" s="420" t="str">
        <f t="shared" si="136"/>
        <v>FLINTSL - YELLOW</v>
      </c>
      <c r="IA201" s="409">
        <v>24</v>
      </c>
      <c r="IB201" s="411">
        <f>IF(IA201=0,0,IF($LB201=70%,VLOOKUP($HZ201,'Jan-2026 rates'!$L:$R,4,0),IF($LB201=65%,VLOOKUP($HZ201,'Jan-2026 rates'!$L:$R,4,0),IF($LB201=40%,VLOOKUP($HZ201,'Jan-2026 rates'!$L:$R,5,0),IF($LB201=30%,VLOOKUP($HZ201,'Jan-2026 rates'!$L:$R,6,0),IF($LB201=100%,VLOOKUP($HZ201,'Jan-2026 rates'!$L:$R,7,0),IF($LB201=60%,VLOOKUP($HZ201,'Jan-2026 rates'!$L:$S,8,0),IF($LB201=80%,VLOOKUP($HZ201,'Jan-2026 rates'!L:T,9,0),0))))))))</f>
        <v>0</v>
      </c>
      <c r="IC201" s="412" t="s">
        <v>3396</v>
      </c>
      <c r="ID201" s="409">
        <v>22</v>
      </c>
      <c r="IE201" s="411">
        <f>IF(ID201=0,0,IF($LB201=70%,VLOOKUP($HZ201,'Jan-2026 rates'!$L:$R,4,0),IF($LB201=65%,VLOOKUP($HZ201,'Jan-2026 rates'!$L:$R,4,0),IF($LB201=40%,VLOOKUP($HZ201,'Jan-2026 rates'!$L:$R,5,0),IF($LB201=30%,VLOOKUP($HZ201,'Jan-2026 rates'!$L:$R,6,0),IF($LB201=100%,VLOOKUP($HZ201,'Jan-2026 rates'!$L:$R,7,0),IF($LB201=60%,VLOOKUP($HZ201,'Jan-2026 rates'!$L:$S,8,0),IF($LB201=80%,VLOOKUP($HZ201,'Jan-2026 rates'!L:T,9,0),0))))))))</f>
        <v>0</v>
      </c>
      <c r="IF201" s="412">
        <v>26515000007</v>
      </c>
      <c r="IG201" s="413"/>
      <c r="IH201" s="412"/>
      <c r="II201" s="412"/>
      <c r="IJ201" s="412"/>
      <c r="IK201" s="412"/>
      <c r="IL201" s="412"/>
      <c r="IM201" s="412"/>
      <c r="IN201" s="409">
        <v>12</v>
      </c>
      <c r="IO201" s="398" t="e">
        <f>IF(IN201=0,0,IF(LEN(IF201)=11,_xlfn.XLOOKUP(IF201,'Dispensed Ink Rates'!C:C,'Dispensed Ink Rates'!CS:CS),VLOOKUP(IF201,'Jan-2026 rates'!$E:$F,2,0)))</f>
        <v>#N/A</v>
      </c>
      <c r="IP201" s="409"/>
      <c r="IQ201" s="398">
        <f>IF(IP201=0,0,IF(LEN(IG201)=11,_xlfn.XLOOKUP(IG201,'Dispensed Ink Rates'!C:C,'Dispensed Ink Rates'!CS:CS),VLOOKUP(IG201,'Jan-2026 rates'!$E:$F,2,0)))</f>
        <v>0</v>
      </c>
      <c r="IR201" s="409"/>
      <c r="IS201" s="398">
        <f>IF(IR201=0,0,IF(LEN(IH201)=11,_xlfn.XLOOKUP(IH201,'Dispensed Ink Rates'!C:C,'Dispensed Ink Rates'!CS:CS),VLOOKUP(IH201,'Jan-2026 rates'!$E:$F,2,0)))</f>
        <v>0</v>
      </c>
      <c r="IT201" s="409"/>
      <c r="IU201" s="398">
        <f>IF(IT201=0,0,IF(LEN(II201)=11,_xlfn.XLOOKUP(II201,'Dispensed Ink Rates'!C:C,'Dispensed Ink Rates'!CS:CS),VLOOKUP(II201,'Jan-2026 rates'!$E:$F,2,0)))</f>
        <v>0</v>
      </c>
      <c r="IV201" s="409"/>
      <c r="IW201" s="398">
        <f>IF(IV201=0,0,IF(LEN(IJ201)=11,_xlfn.XLOOKUP(IJ201,'Dispensed Ink Rates'!C:C,'Dispensed Ink Rates'!CS:CS),VLOOKUP(IJ201,'Jan-2026 rates'!$E:$F,2,0)))</f>
        <v>0</v>
      </c>
      <c r="IX201" s="409"/>
      <c r="IY201" s="398">
        <f>IF(IX201=0,0,IF(LEN(IK201)=11,_xlfn.XLOOKUP(IK201,'Dispensed Ink Rates'!C:C,'Dispensed Ink Rates'!CS:CS),VLOOKUP(IK201,'Jan-2026 rates'!$E:$F,2,0)))</f>
        <v>0</v>
      </c>
      <c r="IZ201" s="409"/>
      <c r="JA201" s="398">
        <f>IF(IZ201=0,0,IF(LEN(IL201)=11,_xlfn.XLOOKUP(IL201,'Dispensed Ink Rates'!C:C,'Dispensed Ink Rates'!CS:CS),VLOOKUP(IL201,'Jan-2026 rates'!$E:$F,2,0)))</f>
        <v>0</v>
      </c>
      <c r="JB201" s="409"/>
      <c r="JC201" s="398">
        <f>IF(JB201=0,0,IF(LEN(IM201)=11,_xlfn.XLOOKUP(IM201,'Dispensed Ink Rates'!C:C,'Dispensed Ink Rates'!CS:CS),VLOOKUP(IM201,'Jan-2026 rates'!$E:$F,2,0)))</f>
        <v>0</v>
      </c>
      <c r="JD201" s="409" t="s">
        <v>1443</v>
      </c>
      <c r="JE201" s="409">
        <v>30</v>
      </c>
      <c r="JF201" s="411">
        <f t="shared" si="124"/>
        <v>0</v>
      </c>
      <c r="JG201" s="411">
        <f t="shared" si="125"/>
        <v>37.170731707317074</v>
      </c>
      <c r="JH201" s="410">
        <f t="shared" si="126"/>
        <v>0</v>
      </c>
      <c r="JI201" s="405" t="s">
        <v>856</v>
      </c>
      <c r="JJ201" s="409" t="s">
        <v>3759</v>
      </c>
      <c r="JK201" s="420" t="str">
        <f t="shared" si="137"/>
        <v>FLINTSL - WHITE</v>
      </c>
      <c r="JL201" s="409">
        <v>30</v>
      </c>
      <c r="JM201" s="411">
        <f>IF(JL201=0,0,IF($LB201=70%,VLOOKUP($JK201,'Jan-2026 rates'!$L:$R,4,0),IF($LB201=65%,VLOOKUP($JK201,'Jan-2026 rates'!$L:$R,4,0),IF($LB201=40%,VLOOKUP($JK201,'Jan-2026 rates'!$L:$R,5,0),IF($LB201=30%,VLOOKUP($JK201,'Jan-2026 rates'!$L:$R,6,0),IF($LB201=100%,VLOOKUP($JK201,'Jan-2026 rates'!$L:$R,7,0),IF($LB201=60%,VLOOKUP($JK201,'Jan-2026 rates'!$L:$S,8,0),IF($LB201=80%,VLOOKUP($JK201,'Jan-2026 rates'!L:T,9,0),0))))))))</f>
        <v>0</v>
      </c>
      <c r="JN201" s="412"/>
      <c r="JO201" s="409"/>
      <c r="JP201" s="411">
        <f>IF(JO201=0,0,IF($LB201=70%,VLOOKUP($JK201,'Jan-2026 rates'!$L:$R,4,0),IF($LB201=65%,VLOOKUP($JK201,'Jan-2026 rates'!$L:$R,4,0),IF($LB201=40%,VLOOKUP($JK201,'Jan-2026 rates'!$L:$R,5,0),IF($LB201=30%,VLOOKUP($JK201,'Jan-2026 rates'!$L:$R,6,0),IF($LB201=100%,VLOOKUP($JK201,'Jan-2026 rates'!$L:$R,7,0),IF($LB201=60%,VLOOKUP($JK201,'Jan-2026 rates'!$L:$S,8,0),IF($LB201=80%,VLOOKUP($JK201,'Jan-2026 rates'!L:T,9,0),0))))))))</f>
        <v>0</v>
      </c>
      <c r="JQ201" s="413" t="s">
        <v>484</v>
      </c>
      <c r="JR201" s="412"/>
      <c r="JS201" s="413"/>
      <c r="JT201" s="413"/>
      <c r="JU201" s="412"/>
      <c r="JV201" s="412"/>
      <c r="JW201" s="412"/>
      <c r="JX201" s="412"/>
      <c r="JY201" s="409">
        <f>50+50</f>
        <v>100</v>
      </c>
      <c r="JZ201" s="398">
        <f>IF(JY201=0,0,IF(LEN(JQ201)=11,_xlfn.XLOOKUP(JQ201,'Dispensed Ink Rates'!C:C,'Dispensed Ink Rates'!CS:CS),VLOOKUP(JQ201,'Jan-2026 rates'!$E:$F,2,0)))</f>
        <v>0</v>
      </c>
      <c r="KA201" s="409"/>
      <c r="KB201" s="398">
        <f>IF(KA201=0,0,IF(LEN(JR201)=11,_xlfn.XLOOKUP(JR201,'Dispensed Ink Rates'!C:C,'Dispensed Ink Rates'!CS:CS),VLOOKUP(JR201,'Jan-2026 rates'!$E:$F,2,0)))</f>
        <v>0</v>
      </c>
      <c r="KC201" s="409"/>
      <c r="KD201" s="398">
        <f>IF(KC201=0,0,IF(LEN(JS201)=11,_xlfn.XLOOKUP(JS201,'Dispensed Ink Rates'!C:C,'Dispensed Ink Rates'!CS:CS),VLOOKUP(JS201,'Jan-2026 rates'!$E:$F,2,0)))</f>
        <v>0</v>
      </c>
      <c r="KE201" s="409"/>
      <c r="KF201" s="398">
        <f>IF(KE201=0,0,IF(LEN(JT201)=11,_xlfn.XLOOKUP(JT201,'Dispensed Ink Rates'!C:C,'Dispensed Ink Rates'!CS:CS),VLOOKUP(JT201,'Jan-2026 rates'!$E:$F,2,0)))</f>
        <v>0</v>
      </c>
      <c r="KG201" s="409"/>
      <c r="KH201" s="398">
        <f>IF(KG201=0,0,IF(LEN(JU201)=11,_xlfn.XLOOKUP(JU201,'Dispensed Ink Rates'!C:C,'Dispensed Ink Rates'!CS:CS),VLOOKUP(JU201,'Jan-2026 rates'!$E:$F,2,0)))</f>
        <v>0</v>
      </c>
      <c r="KI201" s="409"/>
      <c r="KJ201" s="398">
        <f>IF(KI201=0,0,IF(LEN(JV201)=11,_xlfn.XLOOKUP(JV201,'Dispensed Ink Rates'!C:C,'Dispensed Ink Rates'!CS:CS),VLOOKUP(JV201,'Jan-2026 rates'!$E:$F,2,0)))</f>
        <v>0</v>
      </c>
      <c r="KK201" s="409"/>
      <c r="KL201" s="398">
        <f>IF(KK201=0,0,IF(LEN(JW201)=11,_xlfn.XLOOKUP(JW201,'Dispensed Ink Rates'!C:C,'Dispensed Ink Rates'!CS:CS),VLOOKUP(JW201,'Jan-2026 rates'!$E:$F,2,0)))</f>
        <v>0</v>
      </c>
      <c r="KM201" s="428"/>
      <c r="KN201" s="398">
        <f>IF(KM201=0,0,IF(LEN(JX201)=11,_xlfn.XLOOKUP(JX201,'Dispensed Ink Rates'!C:C,'Dispensed Ink Rates'!CS:CS),VLOOKUP(JX201,'Jan-2026 rates'!$E:$F,2,0)))</f>
        <v>0</v>
      </c>
      <c r="KO201" s="409" t="s">
        <v>1443</v>
      </c>
      <c r="KP201" s="409">
        <v>30</v>
      </c>
      <c r="KQ201" s="411">
        <f t="shared" si="127"/>
        <v>0</v>
      </c>
      <c r="KR201" s="411">
        <f t="shared" si="128"/>
        <v>237.5609756097561</v>
      </c>
      <c r="KS201" s="410">
        <f t="shared" si="129"/>
        <v>0</v>
      </c>
      <c r="KT201" s="409">
        <v>2</v>
      </c>
      <c r="KU201" s="409">
        <v>6</v>
      </c>
      <c r="KV201" s="409">
        <v>2</v>
      </c>
      <c r="KW201" s="409">
        <v>3</v>
      </c>
      <c r="KX201" s="409">
        <v>2</v>
      </c>
      <c r="KY201" s="409">
        <v>3</v>
      </c>
      <c r="KZ201" s="409">
        <v>4</v>
      </c>
      <c r="LA201" s="409">
        <f>30+30</f>
        <v>60</v>
      </c>
      <c r="LB201" s="415">
        <v>0.3</v>
      </c>
      <c r="LC201" s="415"/>
      <c r="LD201" s="415"/>
      <c r="LE201" s="415">
        <v>0.5</v>
      </c>
      <c r="LF201" s="415">
        <v>0.2</v>
      </c>
      <c r="LG201" s="409">
        <v>0</v>
      </c>
      <c r="LH201" s="409">
        <f>60+40+64+16+4+4</f>
        <v>188</v>
      </c>
      <c r="LI201" s="409">
        <v>0</v>
      </c>
      <c r="LJ201" s="409">
        <v>0</v>
      </c>
      <c r="LK201" s="416">
        <f t="shared" si="138"/>
        <v>188</v>
      </c>
      <c r="LL201" s="416">
        <f t="shared" si="139"/>
        <v>188</v>
      </c>
      <c r="LM201" s="417">
        <f t="shared" si="140"/>
        <v>56.4</v>
      </c>
      <c r="LN201" s="417">
        <f>VLOOKUP($LM$8,'Jan-2026 rates'!$H:$I,2,0)</f>
        <v>0</v>
      </c>
      <c r="LO201" s="417">
        <f t="shared" si="141"/>
        <v>0</v>
      </c>
      <c r="LP201" s="417">
        <f>VLOOKUP($LO$8,'Jan-2026 rates'!$H:$I,2,0)</f>
        <v>0</v>
      </c>
      <c r="LQ201" s="417">
        <f t="shared" si="142"/>
        <v>0</v>
      </c>
      <c r="LR201" s="417">
        <f>VLOOKUP($LQ$8,'Jan-2026 rates'!$H:$I,2,0)</f>
        <v>0</v>
      </c>
      <c r="LS201" s="417">
        <f t="shared" si="143"/>
        <v>94</v>
      </c>
      <c r="LT201" s="417">
        <f>VLOOKUP($LS$8,'Jan-2026 rates'!$H:$I,2,0)</f>
        <v>0</v>
      </c>
      <c r="LU201" s="417">
        <f t="shared" si="144"/>
        <v>37.6</v>
      </c>
      <c r="LV201" s="417">
        <f>VLOOKUP($LU$8,'Jan-2026 rates'!$H:$I,2,0)</f>
        <v>0</v>
      </c>
      <c r="LW201" s="417">
        <f t="shared" si="145"/>
        <v>0</v>
      </c>
      <c r="LX201" s="417">
        <f t="shared" si="146"/>
        <v>0</v>
      </c>
      <c r="LY201" s="418">
        <f t="shared" si="147"/>
        <v>0</v>
      </c>
      <c r="LZ201" s="417"/>
      <c r="MA201" s="435">
        <f t="shared" si="148"/>
        <v>158</v>
      </c>
      <c r="MB201" s="282">
        <f t="shared" si="149"/>
        <v>363</v>
      </c>
      <c r="MC201" s="283">
        <v>94</v>
      </c>
      <c r="MD201" s="284" t="str">
        <f t="shared" si="150"/>
        <v>FLINTSLFLINTSLFLINTSLFLINTSLFLINTSLFLINTSLFLINTSLFLINTSL</v>
      </c>
      <c r="ME201" s="293" t="str">
        <f t="shared" si="151"/>
        <v>+</v>
      </c>
      <c r="MF201" s="293" t="str">
        <f t="shared" si="152"/>
        <v>+</v>
      </c>
      <c r="MG201" s="293" t="str">
        <f t="shared" si="153"/>
        <v>+</v>
      </c>
      <c r="MH201" s="293" t="str">
        <f t="shared" si="154"/>
        <v>+</v>
      </c>
      <c r="MI201" s="293" t="str">
        <f t="shared" si="155"/>
        <v>+</v>
      </c>
      <c r="MJ201" s="293" t="str">
        <f t="shared" si="156"/>
        <v>+</v>
      </c>
      <c r="MK201" s="293" t="str">
        <f t="shared" si="157"/>
        <v>+</v>
      </c>
      <c r="ML201" s="293" t="str">
        <f t="shared" si="158"/>
        <v>+</v>
      </c>
      <c r="MM201" s="3" t="b">
        <f t="array" ref="MM201">OR(ME201:ML201="-")</f>
        <v>0</v>
      </c>
      <c r="MN201" s="285"/>
      <c r="MO201" s="401"/>
      <c r="MP201" s="286"/>
      <c r="MQ201" s="286"/>
      <c r="MR201" s="402"/>
      <c r="MS201" s="400"/>
      <c r="NH201" s="422"/>
      <c r="NJ201" s="421"/>
    </row>
    <row r="202" spans="1:374" s="1" customFormat="1" ht="16.5">
      <c r="A202" s="403">
        <v>46036</v>
      </c>
      <c r="B202" s="404" t="s">
        <v>1015</v>
      </c>
      <c r="C202" s="405" t="s">
        <v>3760</v>
      </c>
      <c r="D202" s="406">
        <v>95</v>
      </c>
      <c r="E202" s="404">
        <v>509</v>
      </c>
      <c r="F202" s="407">
        <v>26200</v>
      </c>
      <c r="G202" s="407" t="s">
        <v>1019</v>
      </c>
      <c r="H202" s="408" t="s">
        <v>1017</v>
      </c>
      <c r="I202" s="409">
        <v>2</v>
      </c>
      <c r="J202" s="405" t="s">
        <v>543</v>
      </c>
      <c r="K202" s="404" t="s">
        <v>3761</v>
      </c>
      <c r="L202" s="419" t="str">
        <f t="shared" si="131"/>
        <v>FLINTSL - BLACK</v>
      </c>
      <c r="M202" s="404">
        <v>28</v>
      </c>
      <c r="N202" s="410">
        <f>IF(M202=0,0,IF($LB202=70%,VLOOKUP($L202,'Jan-2026 rates'!$L:$R,4,0),IF($LB202=65%,VLOOKUP($L202,'Jan-2026 rates'!$L:$R,4,0),IF($LB202=40%,VLOOKUP($L202,'Jan-2026 rates'!$L:$R,5,0),IF($LB202=30%,VLOOKUP($L202,'Jan-2026 rates'!$L:$R,6,0),IF($LB202=100%,VLOOKUP($L202,'Jan-2026 rates'!$L:$R,7,0),IF($LB202=60%,VLOOKUP($L202,'Jan-2026 rates'!$L:$S,8,0),IF($LB202=80%,VLOOKUP($L202,'Jan-2026 rates'!L:T,9,0),0))))))))</f>
        <v>0</v>
      </c>
      <c r="O202" s="406"/>
      <c r="P202" s="404"/>
      <c r="Q202" s="410">
        <f>IF(P202=0,0,IF($LB202=70%,VLOOKUP($L202,'Jan-2026 rates'!$L:$R,4,0),IF($LB202=65%,VLOOKUP($L202,'Jan-2026 rates'!$L:$R,4,0),IF($LB202=40%,VLOOKUP($L202,'Jan-2026 rates'!$L:$R,5,0),IF($LB202=30%,VLOOKUP($L202,'Jan-2026 rates'!$L:$R,6,0),IF($LB202=100%,VLOOKUP($L202,'Jan-2026 rates'!$L:$R,7,0),IF($LB202=60%,VLOOKUP($L202,'Jan-2026 rates'!$L:$S,8,0),IF($LB202=80%,VLOOKUP($L202,'Jan-2026 rates'!L:T,9,0),0))))))))</f>
        <v>0</v>
      </c>
      <c r="R202" s="406">
        <v>26517000031</v>
      </c>
      <c r="S202" s="406"/>
      <c r="T202" s="406"/>
      <c r="U202" s="406"/>
      <c r="V202" s="406"/>
      <c r="W202" s="406"/>
      <c r="X202" s="406"/>
      <c r="Y202" s="406"/>
      <c r="Z202" s="404">
        <v>2</v>
      </c>
      <c r="AA202" s="398" t="e">
        <f>IF(Z202=0,0,IF(LEN(R202)=11,_xlfn.XLOOKUP(R202,'Dispensed Ink Rates'!C:C,'Dispensed Ink Rates'!CS:CS),VLOOKUP(R202,'Jan-2026 rates'!$E:$F,2,0)))</f>
        <v>#N/A</v>
      </c>
      <c r="AB202" s="404"/>
      <c r="AC202" s="398">
        <f>IF(AB202=0,0,IF(LEN(S202)=11,_xlfn.XLOOKUP(S202,'Dispensed Ink Rates'!C:C,'Dispensed Ink Rates'!CS:CS),VLOOKUP(S202,'Jan-2026 rates'!$E:$F,2,0)))</f>
        <v>0</v>
      </c>
      <c r="AD202" s="404"/>
      <c r="AE202" s="398">
        <f>IF(AD202=0,0,IF(LEN(T202)=11,_xlfn.XLOOKUP(T202,'Dispensed Ink Rates'!C:C,'Dispensed Ink Rates'!CS:CS),VLOOKUP(T202,'Jan-2026 rates'!$E:$F,2,0)))</f>
        <v>0</v>
      </c>
      <c r="AF202" s="404"/>
      <c r="AG202" s="398">
        <f>IF(AF202=0,0,IF(LEN(U202)=11,_xlfn.XLOOKUP(U202,'Dispensed Ink Rates'!C:C,'Dispensed Ink Rates'!CS:CS),VLOOKUP(U202,'Jan-2026 rates'!$E:$F,2,0)))</f>
        <v>0</v>
      </c>
      <c r="AH202" s="404"/>
      <c r="AI202" s="398">
        <f>IF(AH202=0,0,IF(LEN(V202)=11,_xlfn.XLOOKUP(V202,'Dispensed Ink Rates'!C:C,'Dispensed Ink Rates'!CS:CS),VLOOKUP(V202,'Jan-2026 rates'!$E:$F,2,0)))</f>
        <v>0</v>
      </c>
      <c r="AJ202" s="404"/>
      <c r="AK202" s="398">
        <f>IF(AJ202=0,0,IF(LEN(W202)=11,_xlfn.XLOOKUP(W202,'Dispensed Ink Rates'!C:C,'Dispensed Ink Rates'!CS:CS),VLOOKUP(W202,'Jan-2026 rates'!$E:$F,2,0)))</f>
        <v>0</v>
      </c>
      <c r="AL202" s="404"/>
      <c r="AM202" s="398">
        <f>IF(AL202=0,0,IF(LEN(X202)=11,_xlfn.XLOOKUP(X202,'Dispensed Ink Rates'!C:C,'Dispensed Ink Rates'!CS:CS),VLOOKUP(X202,'Jan-2026 rates'!$E:$F,2,0)))</f>
        <v>0</v>
      </c>
      <c r="AN202" s="404"/>
      <c r="AO202" s="398">
        <f>IF(AN202=0,0,IF(LEN(Y202)=11,_xlfn.XLOOKUP(Y202,'Dispensed Ink Rates'!C:C,'Dispensed Ink Rates'!CS:CS),VLOOKUP(Y202,'Jan-2026 rates'!$E:$F,2,0)))</f>
        <v>0</v>
      </c>
      <c r="AP202" s="409" t="s">
        <v>1443</v>
      </c>
      <c r="AQ202" s="409">
        <v>29</v>
      </c>
      <c r="AR202" s="410">
        <f t="shared" ref="AR202:AR265" si="159">IFERROR(IF(AS202&lt;=0,0,(M202*N202+P202*Q202+Z202*AA202+AB202*AC202+AD202*AE202+AF202*AG202+AH202*AI202+AJ202*AK202+AL202*AM202+AN202*AO202+(KT202/SUM(KT202:LA202)*LL202)*LX202)/(M202+P202+Z202+AB202+AD202+AF202+AH202+AJ202+AL202+AN202+(KT202/SUM(KT202:LA202)*LL202))),0)</f>
        <v>0</v>
      </c>
      <c r="AS202" s="411">
        <f t="shared" ref="AS202:AS265" si="160">IFERROR((M202+P202+Z202+AB202+AD202+AF202+AH202+AJ202+AL202+AN202+(KT202/SUM(KT202:LA202)*LL202)-AQ202),0)</f>
        <v>5.6849315068493169</v>
      </c>
      <c r="AT202" s="410">
        <f t="shared" ref="AT202:AT265" si="161">IFERROR(IF(AS202&lt;=0,0,(M202*N202+P202*Q202+Z202*AA202+AB202*AC202+AD202*AE202+AF202*AG202+AH202*AI202+AJ202*AK202+AL202*AM202+AN202*AO202-AQ202*AR202+(KT202/SUM(KT202:LA202)*LL202)*LX202)),0)</f>
        <v>0</v>
      </c>
      <c r="AU202" s="405" t="s">
        <v>857</v>
      </c>
      <c r="AV202" s="409" t="s">
        <v>3354</v>
      </c>
      <c r="AW202" s="420" t="str">
        <f t="shared" si="130"/>
        <v>FLINTSL - RED</v>
      </c>
      <c r="AX202" s="409">
        <v>27</v>
      </c>
      <c r="AY202" s="411">
        <f>IF(AX202=0,0,IF($LB202=70%,VLOOKUP($AW202,'Jan-2026 rates'!$L:$R,4,0),IF($LB202=65%,VLOOKUP($AW202,'Jan-2026 rates'!$L:$R,4,0),IF($LB202=40%,VLOOKUP($AW202,'Jan-2026 rates'!$L:$R,5,0),IF($LB202=30%,VLOOKUP($AW202,'Jan-2026 rates'!$L:$R,6,0),IF($LB202=100%,VLOOKUP($AW202,'Jan-2026 rates'!$L:$R,7,0),IF($LB202=60%,VLOOKUP($AW202,'Jan-2026 rates'!$L:$S,8,0),IF($LB202=80%,VLOOKUP($AW202,'Jan-2026 rates'!L:T,9,0),0))))))))</f>
        <v>0</v>
      </c>
      <c r="AZ202" s="412"/>
      <c r="BA202" s="409"/>
      <c r="BB202" s="411">
        <f>IF(BA202=0,0,IF($LB202=70%,VLOOKUP($AW202,'Jan-2026 rates'!$L:$R,4,0),IF($LB202=65%,VLOOKUP($AW202,'Jan-2026 rates'!$L:$R,4,0),IF($LB202=40%,VLOOKUP($AW202,'Jan-2026 rates'!$L:$R,5,0),IF($LB202=30%,VLOOKUP($AW202,'Jan-2026 rates'!$L:$R,6,0),IF($LB202=100%,VLOOKUP($AW202,'Jan-2026 rates'!$L:$R,7,0),IF($LB202=60%,VLOOKUP($AW202,'Jan-2026 rates'!$L:$S,8,0),IF($LB202=80%,VLOOKUP($AW202,'Jan-2026 rates'!L:T,9,0),0))))))))</f>
        <v>0</v>
      </c>
      <c r="BC202" s="413">
        <v>26514000009</v>
      </c>
      <c r="BD202" s="412">
        <v>26514000006</v>
      </c>
      <c r="BE202" s="412">
        <v>26517000031</v>
      </c>
      <c r="BF202" s="413"/>
      <c r="BG202" s="412"/>
      <c r="BH202" s="412"/>
      <c r="BI202" s="412"/>
      <c r="BJ202" s="412"/>
      <c r="BK202" s="409">
        <v>40</v>
      </c>
      <c r="BL202" s="398" t="e">
        <f>IF(BK202=0,0,IF(LEN(BC202)=11,_xlfn.XLOOKUP(BC202,'Dispensed Ink Rates'!C:C,'Dispensed Ink Rates'!CS:CS),VLOOKUP(BC202,'Jan-2026 rates'!$E:$F,2,0)))</f>
        <v>#N/A</v>
      </c>
      <c r="BM202" s="409">
        <f>12+6</f>
        <v>18</v>
      </c>
      <c r="BN202" s="398" t="e">
        <f>IF(BM202=0,0,IF(LEN(BD202)=11,_xlfn.XLOOKUP(BD202,'Dispensed Ink Rates'!C:C,'Dispensed Ink Rates'!CS:CS),VLOOKUP(BD202,'Jan-2026 rates'!$E:$F,2,0)))</f>
        <v>#N/A</v>
      </c>
      <c r="BO202" s="409">
        <v>0.5</v>
      </c>
      <c r="BP202" s="398" t="e">
        <f>IF(BO202=0,0,IF(LEN(BE202)=11,_xlfn.XLOOKUP(BE202,'Dispensed Ink Rates'!C:C,'Dispensed Ink Rates'!CS:CS),VLOOKUP(BE202,'Jan-2026 rates'!$E:$F,2,0)))</f>
        <v>#N/A</v>
      </c>
      <c r="BQ202" s="409"/>
      <c r="BR202" s="398">
        <f>IF(BQ202=0,0,IF(LEN(BF202)=11,_xlfn.XLOOKUP(BF202,'Dispensed Ink Rates'!C:C,'Dispensed Ink Rates'!CS:CS),VLOOKUP(BF202,'Jan-2026 rates'!$E:$F,2,0)))</f>
        <v>0</v>
      </c>
      <c r="BS202" s="409"/>
      <c r="BT202" s="398">
        <f>IF(BS202=0,0,IF(LEN(BG202)=11,_xlfn.XLOOKUP(BG202,'Dispensed Ink Rates'!C:C,'Dispensed Ink Rates'!CS:CS),VLOOKUP(BG202,'Jan-2026 rates'!$E:$F,2,0)))</f>
        <v>0</v>
      </c>
      <c r="BU202" s="409"/>
      <c r="BV202" s="398">
        <f>IF(BU202=0,0,IF(LEN(BH202)=11,_xlfn.XLOOKUP(BH202,'Dispensed Ink Rates'!C:C,'Dispensed Ink Rates'!CS:CS),VLOOKUP(BH202,'Jan-2026 rates'!$E:$F,2,0)))</f>
        <v>0</v>
      </c>
      <c r="BW202" s="409"/>
      <c r="BX202" s="398">
        <f>IF(BW202=0,0,IF(LEN(BI202)=11,_xlfn.XLOOKUP(BI202,'Dispensed Ink Rates'!C:C,'Dispensed Ink Rates'!CS:CS),VLOOKUP(BI202,'Jan-2026 rates'!$E:$F,2,0)))</f>
        <v>0</v>
      </c>
      <c r="BY202" s="409"/>
      <c r="BZ202" s="398">
        <f>IF(BY202=0,0,IF(LEN(BJ202)=11,_xlfn.XLOOKUP(BJ202,'Dispensed Ink Rates'!C:C,'Dispensed Ink Rates'!CS:CS),VLOOKUP(BJ202,'Jan-2026 rates'!$E:$F,2,0)))</f>
        <v>0</v>
      </c>
      <c r="CA202" s="409" t="s">
        <v>1443</v>
      </c>
      <c r="CB202" s="409">
        <v>39</v>
      </c>
      <c r="CC202" s="411">
        <f t="shared" ref="CC202:CC265" si="162">IFERROR(IF(CD202&lt;=0,0,(AX202*AY202+BA202*BB202+BK202*BL202+BM202*BN202+BO202*BP202+BQ202*BR202+BS202*BT202+BU202*BV202+BW202*BX202+BY202*BZ202+(KU202/SUM(KT202:LA202)*LL202)*LX202)/(AX202+BA202+BK202+BM202+BO202+BQ202+BS202+BU202+BW202+BY202+(KU202/SUM(KT202:LA202)*LL202))),0)</f>
        <v>0</v>
      </c>
      <c r="CD202" s="411">
        <f t="shared" ref="CD202:CD265" si="163">IFERROR((AX202+BA202+BK202+BM202+BO202+BQ202+BS202+BU202+BW202+BY202+(KU202/SUM(KT202:LA202)*LL202)-CB202),0)</f>
        <v>58.212328767123282</v>
      </c>
      <c r="CE202" s="410">
        <f t="shared" ref="CE202:CE265" si="164">IFERROR(IF(CD202&lt;=0,0,(AX202*AY202+BA202*BB202+BK202*BL202+BM202*BN202+BO202*BP202+BQ202*BR202+BS202*BT202+BU202*BV202+BW202*BX202+BY202*BZ202-CB202*CC202+(KU202/SUM(KT202:LA202)*LL202)*LX202)),0)</f>
        <v>0</v>
      </c>
      <c r="CF202" s="404" t="s">
        <v>828</v>
      </c>
      <c r="CG202" s="409" t="s">
        <v>3762</v>
      </c>
      <c r="CH202" s="420" t="str">
        <f t="shared" si="132"/>
        <v>FLINTSL - ORANGE</v>
      </c>
      <c r="CI202" s="409">
        <v>24</v>
      </c>
      <c r="CJ202" s="411">
        <f>IF(CI202=0,0,IF($LB202=70%,VLOOKUP($CH202,'Jan-2026 rates'!$L:$R,4,0),IF($LB202=65%,VLOOKUP($CH202,'Jan-2026 rates'!$L:$R,4,0),IF($LB202=40%,VLOOKUP($CH202,'Jan-2026 rates'!$L:$R,5,0),IF($LB202=30%,VLOOKUP($CH202,'Jan-2026 rates'!$L:$R,6,0),IF($LB202=100%,VLOOKUP($CH202,'Jan-2026 rates'!$L:$R,7,0),IF($LB202=60%,VLOOKUP($CH202,'Jan-2026 rates'!$L:$S,8,0),IF($LB202=80%,VLOOKUP($CH202,'Jan-2026 rates'!L:T,9,0),0))))))))</f>
        <v>0</v>
      </c>
      <c r="CK202" s="412" t="s">
        <v>3763</v>
      </c>
      <c r="CL202" s="409">
        <v>22</v>
      </c>
      <c r="CM202" s="411">
        <f>IF(CL202=0,0,IF($LB202=70%,VLOOKUP($CH202,'Jan-2026 rates'!$L:$R,4,0),IF($LB202=65%,VLOOKUP($CH202,'Jan-2026 rates'!$L:$R,4,0),IF($LB202=40%,VLOOKUP($CH202,'Jan-2026 rates'!$L:$R,5,0),IF($LB202=30%,VLOOKUP($CH202,'Jan-2026 rates'!$L:$R,6,0),IF($LB202=100%,VLOOKUP($CH202,'Jan-2026 rates'!$L:$R,7,0),IF($LB202=60%,VLOOKUP($CH202,'Jan-2026 rates'!$L:$S,8,0),IF($LB202=80%,VLOOKUP($CH202,'Jan-2026 rates'!L:T,9,0),0))))))))</f>
        <v>0</v>
      </c>
      <c r="CN202" s="426">
        <v>26508000010</v>
      </c>
      <c r="CO202" s="427">
        <v>26515000007</v>
      </c>
      <c r="CP202" s="426">
        <v>26514000006</v>
      </c>
      <c r="CQ202" s="426"/>
      <c r="CR202" s="428"/>
      <c r="CS202" s="428"/>
      <c r="CT202" s="428"/>
      <c r="CU202" s="428"/>
      <c r="CV202" s="409">
        <v>1</v>
      </c>
      <c r="CW202" s="398" t="e">
        <f>IF(CV202=0,0,IF(LEN(CN202)=11,_xlfn.XLOOKUP(CN202,'Dispensed Ink Rates'!C:C,'Dispensed Ink Rates'!CS:CS),VLOOKUP(CN202,'Jan-2026 rates'!$E:$F,2,0)))</f>
        <v>#N/A</v>
      </c>
      <c r="CX202" s="409">
        <v>10</v>
      </c>
      <c r="CY202" s="398" t="e">
        <f>IF(CX202=0,0,IF(LEN(CO202)=11,_xlfn.XLOOKUP(CO202,'Dispensed Ink Rates'!C:C,'Dispensed Ink Rates'!CS:CS),VLOOKUP(CO202,'Jan-2026 rates'!$E:$F,2,0)))</f>
        <v>#N/A</v>
      </c>
      <c r="CZ202" s="409">
        <v>1</v>
      </c>
      <c r="DA202" s="398" t="e">
        <f>IF(CZ202=0,0,IF(LEN(CP202)=11,_xlfn.XLOOKUP(CP202,'Dispensed Ink Rates'!C:C,'Dispensed Ink Rates'!CS:CS),VLOOKUP(CP202,'Jan-2026 rates'!$E:$F,2,0)))</f>
        <v>#N/A</v>
      </c>
      <c r="DB202" s="409"/>
      <c r="DC202" s="398">
        <f>IF(DB202=0,0,IF(LEN(CQ202)=11,_xlfn.XLOOKUP(CQ202,'Dispensed Ink Rates'!C:C,'Dispensed Ink Rates'!CS:CS),VLOOKUP(CQ202,'Jan-2026 rates'!$E:$F,2,0)))</f>
        <v>0</v>
      </c>
      <c r="DD202" s="409"/>
      <c r="DE202" s="398">
        <f>IF(DD202=0,0,IF(LEN(CR202)=11,_xlfn.XLOOKUP(CR202,'Dispensed Ink Rates'!C:C,'Dispensed Ink Rates'!CS:CS),VLOOKUP(CR202,'Jan-2026 rates'!$E:$F,2,0)))</f>
        <v>0</v>
      </c>
      <c r="DF202" s="409"/>
      <c r="DG202" s="398">
        <f>IF(DF202=0,0,IF(LEN(CS202)=11,_xlfn.XLOOKUP(CS202,'Dispensed Ink Rates'!C:C,'Dispensed Ink Rates'!CS:CS),VLOOKUP(CS202,'Jan-2026 rates'!$E:$F,2,0)))</f>
        <v>0</v>
      </c>
      <c r="DH202" s="409"/>
      <c r="DI202" s="398">
        <f>IF(DH202=0,0,IF(LEN(CT202)=11,_xlfn.XLOOKUP(CT202,'Dispensed Ink Rates'!C:C,'Dispensed Ink Rates'!CS:CS),VLOOKUP(CT202,'Jan-2026 rates'!$E:$F,2,0)))</f>
        <v>0</v>
      </c>
      <c r="DJ202" s="409"/>
      <c r="DK202" s="398">
        <f>IF(DJ202=0,0,IF(LEN(CU202)=11,_xlfn.XLOOKUP(CU202,'Dispensed Ink Rates'!C:C,'Dispensed Ink Rates'!CS:CS),VLOOKUP(CU202,'Jan-2026 rates'!$E:$F,2,0)))</f>
        <v>0</v>
      </c>
      <c r="DL202" s="409" t="s">
        <v>1443</v>
      </c>
      <c r="DM202" s="409">
        <v>16</v>
      </c>
      <c r="DN202" s="411">
        <f t="shared" ref="DN202:DN265" si="165">IFERROR(IF(DO202&lt;=0,0,(CI202*CJ202+CL202*CM202+CV202*CW202+CX202*CY202+CZ202*DA202+DB202*DC202+DD202*DE202+DF202*DG202+DH202*DI202+DJ202*DK202+(KV202/SUM(KT202:LA202)*LL202)*LX202)/(CI202+CL202+CV202+CX202+CZ202+DB202+DD202+DF202+DH202+DJ202+(KV202/SUM(KT202:LA202)*LL202))),0)</f>
        <v>0</v>
      </c>
      <c r="DO202" s="411">
        <f t="shared" ref="DO202:DO265" si="166">IFERROR((CI202+CL202+CV202+CX202+CZ202+DB202+DD202+DF202+DH202+DJ202+(KV202/SUM(KT202:LA202)*LL202)-DM202),0)</f>
        <v>53.712328767123282</v>
      </c>
      <c r="DP202" s="410">
        <f t="shared" ref="DP202:DP265" si="167">IFERROR(IF(DO202&lt;=0,0,(CI202*CJ202+CL202*CM202+CV202*CW202+CX202*CY202+CZ202*DA202+DB202*DC202+DD202*DE202+DF202*DG202+DH202*DI202+DJ202*DK202-DM202*DN202+(KV202/SUM(KT202:LA202)*LL202)*LX202)),0)</f>
        <v>0</v>
      </c>
      <c r="DQ202" s="405" t="s">
        <v>855</v>
      </c>
      <c r="DR202" s="409" t="s">
        <v>3764</v>
      </c>
      <c r="DS202" s="420" t="str">
        <f t="shared" si="133"/>
        <v>FLINTSL - CYAN</v>
      </c>
      <c r="DT202" s="409">
        <v>33</v>
      </c>
      <c r="DU202" s="411">
        <f>IF(DT202=0,0,IF($LB202=70%,VLOOKUP($DS202,'Jan-2026 rates'!$L:$R,4,0),IF($LB202=65%,VLOOKUP($DS202,'Jan-2026 rates'!$L:$R,4,0),IF($LB202=40%,VLOOKUP($DS202,'Jan-2026 rates'!$L:$R,5,0),IF($LB202=30%,VLOOKUP($DS202,'Jan-2026 rates'!$L:$R,6,0),IF($LB202=100%,VLOOKUP($DS202,'Jan-2026 rates'!$L:$R,7,0),IF($LB202=60%,VLOOKUP($DS202,'Jan-2026 rates'!$L:$S,8,0),IF($LB202=80%,VLOOKUP($DS202,'Jan-2026 rates'!L:T,9,0),0))))))))</f>
        <v>0</v>
      </c>
      <c r="DV202" s="412"/>
      <c r="DW202" s="409"/>
      <c r="DX202" s="411">
        <f>IF(DW202=0,0,IF($LB202=70%,VLOOKUP($DS202,'Jan-2026 rates'!$L:$R,4,0),IF($LB202=65%,VLOOKUP($DS202,'Jan-2026 rates'!$L:$R,4,0),IF($LB202=40%,VLOOKUP($DS202,'Jan-2026 rates'!$L:$R,5,0),IF($LB202=30%,VLOOKUP($DS202,'Jan-2026 rates'!$L:$R,6,0),IF($LB202=100%,VLOOKUP($DS202,'Jan-2026 rates'!$L:$R,7,0),IF($LB202=60%,VLOOKUP($DS202,'Jan-2026 rates'!$L:$S,8,0),IF($LB202=80%,VLOOKUP($DS202,'Jan-2026 rates'!L:T,9,0),0))))))))</f>
        <v>0</v>
      </c>
      <c r="DY202" s="413">
        <v>26512000001</v>
      </c>
      <c r="DZ202" s="413">
        <v>26513000011</v>
      </c>
      <c r="EA202" s="412"/>
      <c r="EB202" s="412"/>
      <c r="EC202" s="412"/>
      <c r="ED202" s="412"/>
      <c r="EE202" s="412"/>
      <c r="EF202" s="412"/>
      <c r="EG202" s="409">
        <v>12</v>
      </c>
      <c r="EH202" s="398" t="e">
        <f>IF(EG202=0,0,IF(LEN(DY202)=11,_xlfn.XLOOKUP(DY202,'Dispensed Ink Rates'!C:C,'Dispensed Ink Rates'!CS:CS),VLOOKUP(DY202,'Jan-2026 rates'!$E:$F,2,0)))</f>
        <v>#N/A</v>
      </c>
      <c r="EI202" s="409">
        <v>1</v>
      </c>
      <c r="EJ202" s="398" t="e">
        <f>IF(EI202=0,0,IF(LEN(DZ202)=11,_xlfn.XLOOKUP(DZ202,'Dispensed Ink Rates'!C:C,'Dispensed Ink Rates'!CS:CS),VLOOKUP(DZ202,'Jan-2026 rates'!$E:$F,2,0)))</f>
        <v>#N/A</v>
      </c>
      <c r="EK202" s="409"/>
      <c r="EL202" s="398">
        <f>IF(EK202=0,0,IF(LEN(EA202)=11,_xlfn.XLOOKUP(EA202,'Dispensed Ink Rates'!C:C,'Dispensed Ink Rates'!CS:CS),VLOOKUP(EA202,'Jan-2026 rates'!$E:$F,2,0)))</f>
        <v>0</v>
      </c>
      <c r="EM202" s="409"/>
      <c r="EN202" s="398">
        <f>IF(EM202=0,0,IF(LEN(EB202)=11,_xlfn.XLOOKUP(EB202,'Dispensed Ink Rates'!C:C,'Dispensed Ink Rates'!CS:CS),VLOOKUP(EB202,'Jan-2026 rates'!$E:$F,2,0)))</f>
        <v>0</v>
      </c>
      <c r="EO202" s="409"/>
      <c r="EP202" s="398">
        <f>IF(EO202=0,0,IF(LEN(EC202)=11,_xlfn.XLOOKUP(EC202,'Dispensed Ink Rates'!C:C,'Dispensed Ink Rates'!CS:CS),VLOOKUP(EC202,'Jan-2026 rates'!$E:$F,2,0)))</f>
        <v>0</v>
      </c>
      <c r="EQ202" s="409"/>
      <c r="ER202" s="398">
        <f>IF(EQ202=0,0,IF(LEN(ED202)=11,_xlfn.XLOOKUP(ED202,'Dispensed Ink Rates'!C:C,'Dispensed Ink Rates'!CS:CS),VLOOKUP(ED202,'Jan-2026 rates'!$E:$F,2,0)))</f>
        <v>0</v>
      </c>
      <c r="ES202" s="409"/>
      <c r="ET202" s="398">
        <f>IF(ES202=0,0,IF(LEN(EE202)=11,_xlfn.XLOOKUP(EE202,'Dispensed Ink Rates'!C:C,'Dispensed Ink Rates'!CS:CS),VLOOKUP(EE202,'Jan-2026 rates'!$E:$F,2,0)))</f>
        <v>0</v>
      </c>
      <c r="EU202" s="409"/>
      <c r="EV202" s="398">
        <f>IF(EU202=0,0,IF(LEN(EF202)=11,_xlfn.XLOOKUP(EF202,'Dispensed Ink Rates'!C:C,'Dispensed Ink Rates'!CS:CS),VLOOKUP(EF202,'Jan-2026 rates'!$E:$F,2,0)))</f>
        <v>0</v>
      </c>
      <c r="EW202" s="409" t="s">
        <v>1443</v>
      </c>
      <c r="EX202" s="409">
        <v>28</v>
      </c>
      <c r="EY202" s="411">
        <f t="shared" ref="EY202:EY265" si="168">IFERROR(IF(EZ202&lt;=0,0,(DT202*DU202+DW202*DX202+EG202*EH202+EI202*EJ202+EK202*EL202+EM202*EN202+EO202*EP202+EQ202*ER202+ES202*ET202+EU202*EV202+(KW202/SUM(KT202:LA202)*LL202)*LX202)/(DT202+DW202+EG202+EI202+EK202+EM202+EO202+EQ202+ES202+EU202+(KW202/SUM(KT202:LA202)*LL202))),0)</f>
        <v>0</v>
      </c>
      <c r="EZ202" s="411">
        <f t="shared" ref="EZ202:EZ265" si="169">IFERROR((DT202+DW202+EG202+EI202+EK202+EM202+EO202+EQ202+ES202+EU202+(KW202/SUM(KT202:LA202)*LL202)-EX202),0)</f>
        <v>36.739726027397268</v>
      </c>
      <c r="FA202" s="410">
        <f t="shared" ref="FA202:FA265" si="170">IFERROR(IF(EZ202&lt;=0,0,(DT202*DU202+DW202*DX202+EG202*EH202+EI202*EJ202+EK202*EL202+EM202*EN202+EO202*EP202+EQ202*ER202+ES202*ET202+EU202*EV202-EX202*EY202+(KW202/SUM(KT202:LA202)*LL202)*LX202)),0)</f>
        <v>0</v>
      </c>
      <c r="FB202" s="405" t="s">
        <v>544</v>
      </c>
      <c r="FC202" s="409" t="s">
        <v>3765</v>
      </c>
      <c r="FD202" s="420" t="str">
        <f t="shared" si="134"/>
        <v>FLINTSL - MAGENTA</v>
      </c>
      <c r="FE202" s="409">
        <v>29</v>
      </c>
      <c r="FF202" s="411">
        <f>IF(FE202=0,0,IF($LB202=70%,VLOOKUP($FD202,'Jan-2026 rates'!$L:$R,4,0),IF($LB202=65%,VLOOKUP($FD202,'Jan-2026 rates'!$L:$R,4,0),IF($LB202=40%,VLOOKUP($FD202,'Jan-2026 rates'!$L:$R,5,0),IF($LB202=30%,VLOOKUP($FD202,'Jan-2026 rates'!$L:$R,6,0),IF($LB202=100%,VLOOKUP($FD202,'Jan-2026 rates'!$L:$R,7,0),IF($LB202=60%,VLOOKUP($FD202,'Jan-2026 rates'!$L:$S,8,0),IF($LB202=80%,VLOOKUP($FD202,'Jan-2026 rates'!L:T,9,0),0))))))))</f>
        <v>0</v>
      </c>
      <c r="FG202" s="412"/>
      <c r="FH202" s="409"/>
      <c r="FI202" s="411">
        <f>IF(FH202=0,0,IF($LB202=70%,VLOOKUP($FD202,'Jan-2026 rates'!$L:$R,4,0),IF($LB202=65%,VLOOKUP($FD202,'Jan-2026 rates'!$L:$R,4,0),IF($LB202=40%,VLOOKUP($FD202,'Jan-2026 rates'!$L:$R,5,0),IF($LB202=30%,VLOOKUP($FD202,'Jan-2026 rates'!$L:$R,6,0),IF($LB202=100%,VLOOKUP($FD202,'Jan-2026 rates'!$L:$R,7,0),IF($LB202=60%,VLOOKUP($FD202,'Jan-2026 rates'!$L:$S,8,0),IF($LB202=80%,VLOOKUP($FD202,'Jan-2026 rates'!L:T,9,0),0))))))))</f>
        <v>0</v>
      </c>
      <c r="FJ202" s="413"/>
      <c r="FK202" s="413"/>
      <c r="FL202" s="413"/>
      <c r="FM202" s="412"/>
      <c r="FN202" s="412"/>
      <c r="FO202" s="412"/>
      <c r="FP202" s="412"/>
      <c r="FQ202" s="412"/>
      <c r="FR202" s="409"/>
      <c r="FS202" s="398">
        <f>IF(FR202=0,0,IF(LEN(FJ202)=11,_xlfn.XLOOKUP(FJ202,'Dispensed Ink Rates'!C:C,'Dispensed Ink Rates'!CS:CS),VLOOKUP(FJ202,'Jan-2026 rates'!$E:$F,2,0)))</f>
        <v>0</v>
      </c>
      <c r="FT202" s="409"/>
      <c r="FU202" s="398">
        <f>IF(FT202=0,0,IF(LEN(FK202)=11,_xlfn.XLOOKUP(FK202,'Dispensed Ink Rates'!C:C,'Dispensed Ink Rates'!CS:CS),VLOOKUP(FK202,'Jan-2026 rates'!$E:$F,2,0)))</f>
        <v>0</v>
      </c>
      <c r="FV202" s="409"/>
      <c r="FW202" s="398">
        <f>IF(FV202=0,0,IF(LEN(FL202)=11,_xlfn.XLOOKUP(FL202,'Dispensed Ink Rates'!C:C,'Dispensed Ink Rates'!CS:CS),VLOOKUP(FL202,'Jan-2026 rates'!$E:$F,2,0)))</f>
        <v>0</v>
      </c>
      <c r="FX202" s="409"/>
      <c r="FY202" s="398">
        <f>IF(FX202=0,0,IF(LEN(FM202)=11,_xlfn.XLOOKUP(FM202,'Dispensed Ink Rates'!C:C,'Dispensed Ink Rates'!CS:CS),VLOOKUP(FM202,'Jan-2026 rates'!$E:$F,2,0)))</f>
        <v>0</v>
      </c>
      <c r="FZ202" s="409"/>
      <c r="GA202" s="398">
        <f>IF(FZ202=0,0,IF(LEN(FN202)=11,_xlfn.XLOOKUP(FN202,'Dispensed Ink Rates'!C:C,'Dispensed Ink Rates'!CS:CS),VLOOKUP(FN202,'Jan-2026 rates'!$E:$F,2,0)))</f>
        <v>0</v>
      </c>
      <c r="GB202" s="409"/>
      <c r="GC202" s="398">
        <f>IF(GB202=0,0,IF(LEN(FO202)=11,_xlfn.XLOOKUP(FO202,'Dispensed Ink Rates'!C:C,'Dispensed Ink Rates'!CS:CS),VLOOKUP(FO202,'Jan-2026 rates'!$E:$F,2,0)))</f>
        <v>0</v>
      </c>
      <c r="GD202" s="409"/>
      <c r="GE202" s="398">
        <f>IF(GD202=0,0,IF(LEN(FP202)=11,_xlfn.XLOOKUP(FP202,'Dispensed Ink Rates'!C:C,'Dispensed Ink Rates'!CS:CS),VLOOKUP(FP202,'Jan-2026 rates'!$E:$F,2,0)))</f>
        <v>0</v>
      </c>
      <c r="GF202" s="409"/>
      <c r="GG202" s="398">
        <f>IF(GF202=0,0,IF(LEN(FQ202)=11,_xlfn.XLOOKUP(FQ202,'Dispensed Ink Rates'!C:C,'Dispensed Ink Rates'!CS:CS),VLOOKUP(FQ202,'Jan-2026 rates'!$E:$F,2,0)))</f>
        <v>0</v>
      </c>
      <c r="GH202" s="409" t="s">
        <v>1443</v>
      </c>
      <c r="GI202" s="409">
        <v>30</v>
      </c>
      <c r="GJ202" s="411">
        <f t="shared" ref="GJ202:GJ265" si="171">IFERROR(IF(GK202&lt;=0,0,(FE202*FF202+FH202*FI202+FR202*FS202+FT202*FU202+FV202*FW202+FX202*FY202+FZ202*GA202+GB202*GC202+GD202*GE202+GF202*GG202+(KX202/SUM(KT202:LA202)*LL202)*LX202)/(FE202+FH202+FR202+FT202+FV202+FX202+FZ202+GB202+GD202+GF202+(KX202/SUM(KT202:LA202)*LL202))),0)</f>
        <v>0</v>
      </c>
      <c r="GK202" s="411">
        <f t="shared" ref="GK202:GK265" si="172">IFERROR((FE202+FH202+FR202+FT202+FV202+FX202+FZ202+GB202+GD202+GF202+(KX202/SUM(KT202:LA202)*LL202)-GI202),0)</f>
        <v>6.0273972602739718</v>
      </c>
      <c r="GL202" s="410">
        <f t="shared" ref="GL202:GL265" si="173">IFERROR(IF(GK202&lt;=0,0,(FE202*FF202+FH202*FI202+FR202*FS202+FT202*FU202+FV202*FW202+FX202*FY202+FZ202*GA202+GB202*GC202+GD202*GE202+GF202*GG202-GI202*GJ202+(KX202/SUM(KT202:LA202)*LL202)*LX202)),0)</f>
        <v>0</v>
      </c>
      <c r="GM202" s="405" t="s">
        <v>545</v>
      </c>
      <c r="GN202" s="409" t="s">
        <v>3766</v>
      </c>
      <c r="GO202" s="420" t="str">
        <f t="shared" si="135"/>
        <v>FLINTSL - YELLOW</v>
      </c>
      <c r="GP202" s="409">
        <v>30</v>
      </c>
      <c r="GQ202" s="411">
        <f>IF(GP202=0,0,IF($LB202=70%,VLOOKUP($GO202,'Jan-2026 rates'!$L:$R,4,0),IF($LB202=65%,VLOOKUP($GO202,'Jan-2026 rates'!$L:$R,4,0),IF($LB202=40%,VLOOKUP($GO202,'Jan-2026 rates'!$L:$R,5,0),IF($LB202=30%,VLOOKUP($GO202,'Jan-2026 rates'!$L:$R,6,0),IF($LB202=100%,VLOOKUP($GO202,'Jan-2026 rates'!$L:$R,7,0),IF($LB202=60%,VLOOKUP($GO202,'Jan-2026 rates'!$L:$S,8,0),IF($LB202=80%,VLOOKUP($GO202,'Jan-2026 rates'!L:T,9,0),0))))))))</f>
        <v>0</v>
      </c>
      <c r="GR202" s="412"/>
      <c r="GS202" s="409"/>
      <c r="GT202" s="411">
        <f>IF(GS202=0,0,IF($LB202=70%,VLOOKUP($GO202,'Jan-2026 rates'!$L:$R,4,0),IF($LB202=65%,VLOOKUP($GO202,'Jan-2026 rates'!$L:$R,4,0),IF($LB202=40%,VLOOKUP($GO202,'Jan-2026 rates'!$L:$R,5,0),IF($LB202=30%,VLOOKUP($GO202,'Jan-2026 rates'!$L:$R,6,0),IF($LB202=100%,VLOOKUP($GO202,'Jan-2026 rates'!$L:$R,7,0),IF($LB202=60%,VLOOKUP($GO202,'Jan-2026 rates'!$L:$S,8,0),IF($LB202=80%,VLOOKUP($GO202,'Jan-2026 rates'!L:T,9,0),0))))))))</f>
        <v>0</v>
      </c>
      <c r="GU202" s="413">
        <v>26515000009</v>
      </c>
      <c r="GV202" s="413" t="s">
        <v>1266</v>
      </c>
      <c r="GW202" s="412"/>
      <c r="GX202" s="412"/>
      <c r="GY202" s="412"/>
      <c r="GZ202" s="412"/>
      <c r="HA202" s="412"/>
      <c r="HB202" s="412"/>
      <c r="HC202" s="409">
        <v>25</v>
      </c>
      <c r="HD202" s="398" t="e">
        <f>IF(HC202=0,0,IF(LEN(GU202)=11,_xlfn.XLOOKUP(GU202,'Dispensed Ink Rates'!C:C,'Dispensed Ink Rates'!CS:CS),VLOOKUP(GU202,'Jan-2026 rates'!$E:$F,2,0)))</f>
        <v>#N/A</v>
      </c>
      <c r="HE202" s="409">
        <v>10</v>
      </c>
      <c r="HF202" s="398">
        <f>IF(HE202=0,0,IF(LEN(GV202)=11,_xlfn.XLOOKUP(GV202,'Dispensed Ink Rates'!C:C,'Dispensed Ink Rates'!CS:CS),VLOOKUP(GV202,'Jan-2026 rates'!$E:$F,2,0)))</f>
        <v>0</v>
      </c>
      <c r="HG202" s="409"/>
      <c r="HH202" s="398">
        <f>IF(HG202=0,0,IF(LEN(GW202)=11,_xlfn.XLOOKUP(GW202,'Dispensed Ink Rates'!C:C,'Dispensed Ink Rates'!CS:CS),VLOOKUP(GW202,'Jan-2026 rates'!$E:$F,2,0)))</f>
        <v>0</v>
      </c>
      <c r="HI202" s="409"/>
      <c r="HJ202" s="398">
        <f>IF(HI202=0,0,IF(LEN(GX202)=11,_xlfn.XLOOKUP(GX202,'Dispensed Ink Rates'!C:C,'Dispensed Ink Rates'!CS:CS),VLOOKUP(GX202,'Jan-2026 rates'!$E:$F,2,0)))</f>
        <v>0</v>
      </c>
      <c r="HK202" s="409"/>
      <c r="HL202" s="398">
        <f>IF(HK202=0,0,IF(LEN(GY202)=11,_xlfn.XLOOKUP(GY202,'Dispensed Ink Rates'!C:C,'Dispensed Ink Rates'!CS:CS),VLOOKUP(GY202,'Jan-2026 rates'!$E:$F,2,0)))</f>
        <v>0</v>
      </c>
      <c r="HM202" s="409"/>
      <c r="HN202" s="398">
        <f>IF(HM202=0,0,IF(LEN(GZ202)=11,_xlfn.XLOOKUP(GZ202,'Dispensed Ink Rates'!C:C,'Dispensed Ink Rates'!CS:CS),VLOOKUP(GZ202,'Jan-2026 rates'!$E:$F,2,0)))</f>
        <v>0</v>
      </c>
      <c r="HO202" s="409"/>
      <c r="HP202" s="398">
        <f>IF(HO202=0,0,IF(LEN(HA202)=11,_xlfn.XLOOKUP(HA202,'Dispensed Ink Rates'!C:C,'Dispensed Ink Rates'!CS:CS),VLOOKUP(HA202,'Jan-2026 rates'!$E:$F,2,0)))</f>
        <v>0</v>
      </c>
      <c r="HQ202" s="409"/>
      <c r="HR202" s="398">
        <f>IF(HQ202=0,0,IF(LEN(HB202)=11,_xlfn.XLOOKUP(HB202,'Dispensed Ink Rates'!C:C,'Dispensed Ink Rates'!CS:CS),VLOOKUP(HB202,'Jan-2026 rates'!$E:$F,2,0)))</f>
        <v>0</v>
      </c>
      <c r="HS202" s="409" t="s">
        <v>1443</v>
      </c>
      <c r="HT202" s="409">
        <v>30</v>
      </c>
      <c r="HU202" s="411">
        <f t="shared" ref="HU202:HU265" si="174">IFERROR(IF(HV202&lt;=0,0,(GP202*GQ202+GS202*GT202+HC202*HD202+HE202*HF202+HG202*HH202+HI202*HJ202+HK202*HL202+HM202*HN202+HO202*HP202+HQ202*HR202+(KY202/SUM(KT202:LA202)*LL202)*LX202)/(GP202+GS202+HC202+HE202+HG202+HI202+HK202+HM202+HO202+HQ202+(KY202/SUM(KT202:LA202)*LL202))),0)</f>
        <v>0</v>
      </c>
      <c r="HV202" s="411">
        <f t="shared" ref="HV202:HV265" si="175">IFERROR((GP202+GS202+HC202+HE202+HG202+HI202+HK202+HM202+HO202+HQ202+(KY202/SUM(KT202:LA202)*LL202)-HT202),0)</f>
        <v>81.849315068493155</v>
      </c>
      <c r="HW202" s="414">
        <f t="shared" ref="HW202:HW265" si="176">IFERROR(IF(HV202&lt;=0,0,(GP202*GQ202+GS202*GT202+HC202*HD202+HE202*HF202+HG202*HH202+HI202*HJ202+HK202*HL202+HM202*HN202+HO202*HP202+HQ202*HR202-HT202*HU202+(KY202/SUM(KT202:LA202)*LL202)*LX202)),0)</f>
        <v>0</v>
      </c>
      <c r="HX202" s="405" t="s">
        <v>856</v>
      </c>
      <c r="HY202" s="409" t="s">
        <v>3767</v>
      </c>
      <c r="HZ202" s="420" t="str">
        <f t="shared" si="136"/>
        <v>FLINTSL - WHITE</v>
      </c>
      <c r="IA202" s="409">
        <v>30</v>
      </c>
      <c r="IB202" s="411">
        <f>IF(IA202=0,0,IF($LB202=70%,VLOOKUP($HZ202,'Jan-2026 rates'!$L:$R,4,0),IF($LB202=65%,VLOOKUP($HZ202,'Jan-2026 rates'!$L:$R,4,0),IF($LB202=40%,VLOOKUP($HZ202,'Jan-2026 rates'!$L:$R,5,0),IF($LB202=30%,VLOOKUP($HZ202,'Jan-2026 rates'!$L:$R,6,0),IF($LB202=100%,VLOOKUP($HZ202,'Jan-2026 rates'!$L:$R,7,0),IF($LB202=60%,VLOOKUP($HZ202,'Jan-2026 rates'!$L:$S,8,0),IF($LB202=80%,VLOOKUP($HZ202,'Jan-2026 rates'!L:T,9,0),0))))))))</f>
        <v>0</v>
      </c>
      <c r="IC202" s="412"/>
      <c r="ID202" s="409"/>
      <c r="IE202" s="411">
        <f>IF(ID202=0,0,IF($LB202=70%,VLOOKUP($HZ202,'Jan-2026 rates'!$L:$R,4,0),IF($LB202=65%,VLOOKUP($HZ202,'Jan-2026 rates'!$L:$R,4,0),IF($LB202=40%,VLOOKUP($HZ202,'Jan-2026 rates'!$L:$R,5,0),IF($LB202=30%,VLOOKUP($HZ202,'Jan-2026 rates'!$L:$R,6,0),IF($LB202=100%,VLOOKUP($HZ202,'Jan-2026 rates'!$L:$R,7,0),IF($LB202=60%,VLOOKUP($HZ202,'Jan-2026 rates'!$L:$S,8,0),IF($LB202=80%,VLOOKUP($HZ202,'Jan-2026 rates'!L:T,9,0),0))))))))</f>
        <v>0</v>
      </c>
      <c r="IF202" s="412" t="s">
        <v>484</v>
      </c>
      <c r="IG202" s="413"/>
      <c r="IH202" s="412"/>
      <c r="II202" s="412"/>
      <c r="IJ202" s="412"/>
      <c r="IK202" s="412"/>
      <c r="IL202" s="412"/>
      <c r="IM202" s="412"/>
      <c r="IN202" s="409">
        <v>50</v>
      </c>
      <c r="IO202" s="398">
        <f>IF(IN202=0,0,IF(LEN(IF202)=11,_xlfn.XLOOKUP(IF202,'Dispensed Ink Rates'!C:C,'Dispensed Ink Rates'!CS:CS),VLOOKUP(IF202,'Jan-2026 rates'!$E:$F,2,0)))</f>
        <v>0</v>
      </c>
      <c r="IP202" s="409"/>
      <c r="IQ202" s="398">
        <f>IF(IP202=0,0,IF(LEN(IG202)=11,_xlfn.XLOOKUP(IG202,'Dispensed Ink Rates'!C:C,'Dispensed Ink Rates'!CS:CS),VLOOKUP(IG202,'Jan-2026 rates'!$E:$F,2,0)))</f>
        <v>0</v>
      </c>
      <c r="IR202" s="409"/>
      <c r="IS202" s="398">
        <f>IF(IR202=0,0,IF(LEN(IH202)=11,_xlfn.XLOOKUP(IH202,'Dispensed Ink Rates'!C:C,'Dispensed Ink Rates'!CS:CS),VLOOKUP(IH202,'Jan-2026 rates'!$E:$F,2,0)))</f>
        <v>0</v>
      </c>
      <c r="IT202" s="409"/>
      <c r="IU202" s="398">
        <f>IF(IT202=0,0,IF(LEN(II202)=11,_xlfn.XLOOKUP(II202,'Dispensed Ink Rates'!C:C,'Dispensed Ink Rates'!CS:CS),VLOOKUP(II202,'Jan-2026 rates'!$E:$F,2,0)))</f>
        <v>0</v>
      </c>
      <c r="IV202" s="409"/>
      <c r="IW202" s="398">
        <f>IF(IV202=0,0,IF(LEN(IJ202)=11,_xlfn.XLOOKUP(IJ202,'Dispensed Ink Rates'!C:C,'Dispensed Ink Rates'!CS:CS),VLOOKUP(IJ202,'Jan-2026 rates'!$E:$F,2,0)))</f>
        <v>0</v>
      </c>
      <c r="IX202" s="409"/>
      <c r="IY202" s="398">
        <f>IF(IX202=0,0,IF(LEN(IK202)=11,_xlfn.XLOOKUP(IK202,'Dispensed Ink Rates'!C:C,'Dispensed Ink Rates'!CS:CS),VLOOKUP(IK202,'Jan-2026 rates'!$E:$F,2,0)))</f>
        <v>0</v>
      </c>
      <c r="IZ202" s="409"/>
      <c r="JA202" s="398">
        <f>IF(IZ202=0,0,IF(LEN(IL202)=11,_xlfn.XLOOKUP(IL202,'Dispensed Ink Rates'!C:C,'Dispensed Ink Rates'!CS:CS),VLOOKUP(IL202,'Jan-2026 rates'!$E:$F,2,0)))</f>
        <v>0</v>
      </c>
      <c r="JB202" s="409"/>
      <c r="JC202" s="398">
        <f>IF(JB202=0,0,IF(LEN(IM202)=11,_xlfn.XLOOKUP(IM202,'Dispensed Ink Rates'!C:C,'Dispensed Ink Rates'!CS:CS),VLOOKUP(IM202,'Jan-2026 rates'!$E:$F,2,0)))</f>
        <v>0</v>
      </c>
      <c r="JD202" s="409" t="s">
        <v>1443</v>
      </c>
      <c r="JE202" s="409">
        <v>30</v>
      </c>
      <c r="JF202" s="411">
        <f t="shared" ref="JF202:JF265" si="177">IFERROR(IF(JG202&lt;=0,0,(IA202*IB202+ID202*IE202+IN202*IO202+IP202*IQ202+IR202*IS202+IT202*IU202+IV202*IW202+IX202*IY202+IZ202*JA202+JB202*JC202+(KZ202/SUM(KT202:LA202)*LL202)*LX202)/(IA202+ID202+IN202+IP202+IR202+IT202+IV202+IX202+IZ202+JB202+(KZ202/SUM(KT202:LA202)*LL202))),0)</f>
        <v>0</v>
      </c>
      <c r="JG202" s="411">
        <f t="shared" ref="JG202:JG265" si="178">IFERROR((IA202+ID202+IN202+IP202+IR202+IT202+IV202+IX202+IZ202+JB202+(KZ202/SUM(KT202:LA202)*LL202)-JE202),0)</f>
        <v>120.27397260273972</v>
      </c>
      <c r="JH202" s="410">
        <f t="shared" ref="JH202:JH265" si="179">IFERROR(IF(JG202&lt;=0,0,(IA202*IB202+ID202*IE202+IN202*IO202+IP202*IQ202+IR202*IS202+IT202*IU202+IV202*IW202+IX202*IY202+IZ202*JA202+JB202*JC202-JE202*JF202+(KZ202/SUM(KT202:LA202)*LL202)*LX202)),0)</f>
        <v>0</v>
      </c>
      <c r="JI202" s="405"/>
      <c r="JJ202" s="409"/>
      <c r="JK202" s="420" t="str">
        <f t="shared" si="137"/>
        <v xml:space="preserve"> - </v>
      </c>
      <c r="JL202" s="409"/>
      <c r="JM202" s="411">
        <f>IF(JL202=0,0,IF($LB202=70%,VLOOKUP($JK202,'Jan-2026 rates'!$L:$R,4,0),IF($LB202=65%,VLOOKUP($JK202,'Jan-2026 rates'!$L:$R,4,0),IF($LB202=40%,VLOOKUP($JK202,'Jan-2026 rates'!$L:$R,5,0),IF($LB202=30%,VLOOKUP($JK202,'Jan-2026 rates'!$L:$R,6,0),IF($LB202=100%,VLOOKUP($JK202,'Jan-2026 rates'!$L:$R,7,0),IF($LB202=60%,VLOOKUP($JK202,'Jan-2026 rates'!$L:$S,8,0),IF($LB202=80%,VLOOKUP($JK202,'Jan-2026 rates'!L:T,9,0),0))))))))</f>
        <v>0</v>
      </c>
      <c r="JN202" s="412"/>
      <c r="JO202" s="409"/>
      <c r="JP202" s="411">
        <f>IF(JO202=0,0,IF($LB202=70%,VLOOKUP($JK202,'Jan-2026 rates'!$L:$R,4,0),IF($LB202=65%,VLOOKUP($JK202,'Jan-2026 rates'!$L:$R,4,0),IF($LB202=40%,VLOOKUP($JK202,'Jan-2026 rates'!$L:$R,5,0),IF($LB202=30%,VLOOKUP($JK202,'Jan-2026 rates'!$L:$R,6,0),IF($LB202=100%,VLOOKUP($JK202,'Jan-2026 rates'!$L:$R,7,0),IF($LB202=60%,VLOOKUP($JK202,'Jan-2026 rates'!$L:$S,8,0),IF($LB202=80%,VLOOKUP($JK202,'Jan-2026 rates'!L:T,9,0),0))))))))</f>
        <v>0</v>
      </c>
      <c r="JQ202" s="413"/>
      <c r="JR202" s="412"/>
      <c r="JS202" s="413"/>
      <c r="JT202" s="413"/>
      <c r="JU202" s="412"/>
      <c r="JV202" s="412"/>
      <c r="JW202" s="412"/>
      <c r="JX202" s="412"/>
      <c r="JY202" s="409"/>
      <c r="JZ202" s="398">
        <f>IF(JY202=0,0,IF(LEN(JQ202)=11,_xlfn.XLOOKUP(JQ202,'Dispensed Ink Rates'!C:C,'Dispensed Ink Rates'!CS:CS),VLOOKUP(JQ202,'Jan-2026 rates'!$E:$F,2,0)))</f>
        <v>0</v>
      </c>
      <c r="KA202" s="409"/>
      <c r="KB202" s="398">
        <f>IF(KA202=0,0,IF(LEN(JR202)=11,_xlfn.XLOOKUP(JR202,'Dispensed Ink Rates'!C:C,'Dispensed Ink Rates'!CS:CS),VLOOKUP(JR202,'Jan-2026 rates'!$E:$F,2,0)))</f>
        <v>0</v>
      </c>
      <c r="KC202" s="409"/>
      <c r="KD202" s="398">
        <f>IF(KC202=0,0,IF(LEN(JS202)=11,_xlfn.XLOOKUP(JS202,'Dispensed Ink Rates'!C:C,'Dispensed Ink Rates'!CS:CS),VLOOKUP(JS202,'Jan-2026 rates'!$E:$F,2,0)))</f>
        <v>0</v>
      </c>
      <c r="KE202" s="409"/>
      <c r="KF202" s="398">
        <f>IF(KE202=0,0,IF(LEN(JT202)=11,_xlfn.XLOOKUP(JT202,'Dispensed Ink Rates'!C:C,'Dispensed Ink Rates'!CS:CS),VLOOKUP(JT202,'Jan-2026 rates'!$E:$F,2,0)))</f>
        <v>0</v>
      </c>
      <c r="KG202" s="409"/>
      <c r="KH202" s="398">
        <f>IF(KG202=0,0,IF(LEN(JU202)=11,_xlfn.XLOOKUP(JU202,'Dispensed Ink Rates'!C:C,'Dispensed Ink Rates'!CS:CS),VLOOKUP(JU202,'Jan-2026 rates'!$E:$F,2,0)))</f>
        <v>0</v>
      </c>
      <c r="KI202" s="409"/>
      <c r="KJ202" s="398">
        <f>IF(KI202=0,0,IF(LEN(JV202)=11,_xlfn.XLOOKUP(JV202,'Dispensed Ink Rates'!C:C,'Dispensed Ink Rates'!CS:CS),VLOOKUP(JV202,'Jan-2026 rates'!$E:$F,2,0)))</f>
        <v>0</v>
      </c>
      <c r="KK202" s="409"/>
      <c r="KL202" s="398">
        <f>IF(KK202=0,0,IF(LEN(JW202)=11,_xlfn.XLOOKUP(JW202,'Dispensed Ink Rates'!C:C,'Dispensed Ink Rates'!CS:CS),VLOOKUP(JW202,'Jan-2026 rates'!$E:$F,2,0)))</f>
        <v>0</v>
      </c>
      <c r="KM202" s="428"/>
      <c r="KN202" s="398">
        <f>IF(KM202=0,0,IF(LEN(JX202)=11,_xlfn.XLOOKUP(JX202,'Dispensed Ink Rates'!C:C,'Dispensed Ink Rates'!CS:CS),VLOOKUP(JX202,'Jan-2026 rates'!$E:$F,2,0)))</f>
        <v>0</v>
      </c>
      <c r="KO202" s="409"/>
      <c r="KP202" s="409"/>
      <c r="KQ202" s="411">
        <f t="shared" ref="KQ202:KQ265" si="180">IFERROR(IF(KR202&lt;=0,0,(JL202*JM202+JO202*JP202+JY202*JZ202+KA202*KB202+KC202*KD202+KE202*KF202+KG202*KH202+KI202*KJ202+KK202*KL202+KM202*KN202+(LA202/SUM(KT202:LA202)*LL202)*LX202)/(JL202+JO202+JY202+KA202+KC202+KE202+KG202+KI202+KK202+KM202+(LA202/SUM(KT202:LA202)*LL202))),0)</f>
        <v>0</v>
      </c>
      <c r="KR202" s="411">
        <f t="shared" ref="KR202:KR265" si="181">IFERROR((JL202+JO202+JY202+KA202+KC202+KE202+KG202+KI202+KK202+KM202+(LA202/SUM(KT202:LA202)*LL202)-KP202),0)</f>
        <v>0</v>
      </c>
      <c r="KS202" s="410">
        <f t="shared" ref="KS202:KS265" si="182">IFERROR(IF(KR202&lt;=0,0,(JL202*JM202+JO202*JP202+JY202*JZ202+KA202*KB202+KC202*KD202+KE202*KF202+KG202*KH202+KI202*KJ202+KK202*KL202+KM202*KN202-KP202*KQ202+(LA202/SUM(KT202:LA202)*LL202)*LX202)),0)</f>
        <v>0</v>
      </c>
      <c r="KT202" s="409">
        <v>2</v>
      </c>
      <c r="KU202" s="409">
        <v>5</v>
      </c>
      <c r="KV202" s="409">
        <v>5</v>
      </c>
      <c r="KW202" s="409">
        <v>8</v>
      </c>
      <c r="KX202" s="409">
        <v>3</v>
      </c>
      <c r="KY202" s="409">
        <v>20</v>
      </c>
      <c r="KZ202" s="409">
        <v>30</v>
      </c>
      <c r="LA202" s="409">
        <v>0</v>
      </c>
      <c r="LB202" s="415">
        <v>0.8</v>
      </c>
      <c r="LC202" s="415">
        <v>0.2</v>
      </c>
      <c r="LD202" s="415"/>
      <c r="LE202" s="415"/>
      <c r="LF202" s="415"/>
      <c r="LG202" s="409">
        <v>0</v>
      </c>
      <c r="LH202" s="409">
        <f>30+35+80+20+6</f>
        <v>171</v>
      </c>
      <c r="LI202" s="409">
        <v>0</v>
      </c>
      <c r="LJ202" s="409">
        <v>0</v>
      </c>
      <c r="LK202" s="416">
        <f t="shared" si="138"/>
        <v>171</v>
      </c>
      <c r="LL202" s="416">
        <f t="shared" si="139"/>
        <v>171</v>
      </c>
      <c r="LM202" s="417">
        <f t="shared" si="140"/>
        <v>136.80000000000001</v>
      </c>
      <c r="LN202" s="417">
        <f>VLOOKUP($LM$8,'Jan-2026 rates'!$H:$I,2,0)</f>
        <v>0</v>
      </c>
      <c r="LO202" s="417">
        <f t="shared" si="141"/>
        <v>34.200000000000003</v>
      </c>
      <c r="LP202" s="417">
        <f>VLOOKUP($LO$8,'Jan-2026 rates'!$H:$I,2,0)</f>
        <v>0</v>
      </c>
      <c r="LQ202" s="417">
        <f t="shared" si="142"/>
        <v>0</v>
      </c>
      <c r="LR202" s="417">
        <f>VLOOKUP($LQ$8,'Jan-2026 rates'!$H:$I,2,0)</f>
        <v>0</v>
      </c>
      <c r="LS202" s="417">
        <f t="shared" si="143"/>
        <v>0</v>
      </c>
      <c r="LT202" s="417">
        <f>VLOOKUP($LS$8,'Jan-2026 rates'!$H:$I,2,0)</f>
        <v>0</v>
      </c>
      <c r="LU202" s="417">
        <f t="shared" si="144"/>
        <v>0</v>
      </c>
      <c r="LV202" s="417">
        <f>VLOOKUP($LU$8,'Jan-2026 rates'!$H:$I,2,0)</f>
        <v>0</v>
      </c>
      <c r="LW202" s="417">
        <f t="shared" si="145"/>
        <v>0</v>
      </c>
      <c r="LX202" s="417">
        <f t="shared" si="146"/>
        <v>0</v>
      </c>
      <c r="LY202" s="418">
        <f t="shared" si="147"/>
        <v>0</v>
      </c>
      <c r="LZ202" s="417"/>
      <c r="MA202" s="435">
        <f t="shared" si="148"/>
        <v>170.5</v>
      </c>
      <c r="MB202" s="282">
        <f t="shared" si="149"/>
        <v>362.5</v>
      </c>
      <c r="MC202" s="283">
        <v>95</v>
      </c>
      <c r="MD202" s="284" t="str">
        <f t="shared" si="150"/>
        <v>FLINTSLFLINTSLFLINTSLFLINTSLFLINTSLFLINTSLFLINTSL</v>
      </c>
      <c r="ME202" s="293" t="str">
        <f t="shared" si="151"/>
        <v>+</v>
      </c>
      <c r="MF202" s="293" t="str">
        <f t="shared" si="152"/>
        <v>+</v>
      </c>
      <c r="MG202" s="293" t="str">
        <f t="shared" si="153"/>
        <v>+</v>
      </c>
      <c r="MH202" s="293" t="str">
        <f t="shared" si="154"/>
        <v>+</v>
      </c>
      <c r="MI202" s="293" t="str">
        <f t="shared" si="155"/>
        <v>+</v>
      </c>
      <c r="MJ202" s="293" t="str">
        <f t="shared" si="156"/>
        <v>+</v>
      </c>
      <c r="MK202" s="293" t="str">
        <f t="shared" si="157"/>
        <v>+</v>
      </c>
      <c r="ML202" s="293" t="str">
        <f t="shared" si="158"/>
        <v>NIL</v>
      </c>
      <c r="MM202" s="3" t="b">
        <f t="array" ref="MM202">OR(ME202:ML202="-")</f>
        <v>0</v>
      </c>
      <c r="MN202" s="285"/>
      <c r="MO202" s="401"/>
      <c r="MP202" s="286"/>
      <c r="MQ202" s="286"/>
      <c r="MR202" s="402"/>
      <c r="MS202" s="400"/>
      <c r="NH202" s="422"/>
      <c r="NJ202" s="421"/>
    </row>
    <row r="203" spans="1:374" s="1" customFormat="1" ht="16.5">
      <c r="A203" s="403">
        <v>46036</v>
      </c>
      <c r="B203" s="404" t="s">
        <v>1015</v>
      </c>
      <c r="C203" s="405" t="s">
        <v>3768</v>
      </c>
      <c r="D203" s="406">
        <v>96</v>
      </c>
      <c r="E203" s="404">
        <v>212</v>
      </c>
      <c r="F203" s="407">
        <v>15500</v>
      </c>
      <c r="G203" s="407" t="s">
        <v>1019</v>
      </c>
      <c r="H203" s="408" t="s">
        <v>1017</v>
      </c>
      <c r="I203" s="409">
        <v>0.6</v>
      </c>
      <c r="J203" s="405" t="s">
        <v>543</v>
      </c>
      <c r="K203" s="404" t="s">
        <v>3769</v>
      </c>
      <c r="L203" s="419" t="str">
        <f t="shared" si="131"/>
        <v>FLINTSL - BLACK</v>
      </c>
      <c r="M203" s="404">
        <v>28</v>
      </c>
      <c r="N203" s="410">
        <f>IF(M203=0,0,IF($LB203=70%,VLOOKUP($L203,'Jan-2026 rates'!$L:$R,4,0),IF($LB203=65%,VLOOKUP($L203,'Jan-2026 rates'!$L:$R,4,0),IF($LB203=40%,VLOOKUP($L203,'Jan-2026 rates'!$L:$R,5,0),IF($LB203=30%,VLOOKUP($L203,'Jan-2026 rates'!$L:$R,6,0),IF($LB203=100%,VLOOKUP($L203,'Jan-2026 rates'!$L:$R,7,0),IF($LB203=60%,VLOOKUP($L203,'Jan-2026 rates'!$L:$S,8,0),IF($LB203=80%,VLOOKUP($L203,'Jan-2026 rates'!L:T,9,0),0))))))))</f>
        <v>0</v>
      </c>
      <c r="O203" s="406"/>
      <c r="P203" s="404"/>
      <c r="Q203" s="410">
        <f>IF(P203=0,0,IF($LB203=70%,VLOOKUP($L203,'Jan-2026 rates'!$L:$R,4,0),IF($LB203=65%,VLOOKUP($L203,'Jan-2026 rates'!$L:$R,4,0),IF($LB203=40%,VLOOKUP($L203,'Jan-2026 rates'!$L:$R,5,0),IF($LB203=30%,VLOOKUP($L203,'Jan-2026 rates'!$L:$R,6,0),IF($LB203=100%,VLOOKUP($L203,'Jan-2026 rates'!$L:$R,7,0),IF($LB203=60%,VLOOKUP($L203,'Jan-2026 rates'!$L:$S,8,0),IF($LB203=80%,VLOOKUP($L203,'Jan-2026 rates'!L:T,9,0),0))))))))</f>
        <v>0</v>
      </c>
      <c r="R203" s="406">
        <v>26517000031</v>
      </c>
      <c r="S203" s="406"/>
      <c r="T203" s="406"/>
      <c r="U203" s="406"/>
      <c r="V203" s="406"/>
      <c r="W203" s="406"/>
      <c r="X203" s="406"/>
      <c r="Y203" s="406"/>
      <c r="Z203" s="404">
        <v>4</v>
      </c>
      <c r="AA203" s="398" t="e">
        <f>IF(Z203=0,0,IF(LEN(R203)=11,_xlfn.XLOOKUP(R203,'Dispensed Ink Rates'!C:C,'Dispensed Ink Rates'!CS:CS),VLOOKUP(R203,'Jan-2026 rates'!$E:$F,2,0)))</f>
        <v>#N/A</v>
      </c>
      <c r="AB203" s="404"/>
      <c r="AC203" s="398">
        <f>IF(AB203=0,0,IF(LEN(S203)=11,_xlfn.XLOOKUP(S203,'Dispensed Ink Rates'!C:C,'Dispensed Ink Rates'!CS:CS),VLOOKUP(S203,'Jan-2026 rates'!$E:$F,2,0)))</f>
        <v>0</v>
      </c>
      <c r="AD203" s="404"/>
      <c r="AE203" s="398">
        <f>IF(AD203=0,0,IF(LEN(T203)=11,_xlfn.XLOOKUP(T203,'Dispensed Ink Rates'!C:C,'Dispensed Ink Rates'!CS:CS),VLOOKUP(T203,'Jan-2026 rates'!$E:$F,2,0)))</f>
        <v>0</v>
      </c>
      <c r="AF203" s="404"/>
      <c r="AG203" s="398">
        <f>IF(AF203=0,0,IF(LEN(U203)=11,_xlfn.XLOOKUP(U203,'Dispensed Ink Rates'!C:C,'Dispensed Ink Rates'!CS:CS),VLOOKUP(U203,'Jan-2026 rates'!$E:$F,2,0)))</f>
        <v>0</v>
      </c>
      <c r="AH203" s="404"/>
      <c r="AI203" s="398">
        <f>IF(AH203=0,0,IF(LEN(V203)=11,_xlfn.XLOOKUP(V203,'Dispensed Ink Rates'!C:C,'Dispensed Ink Rates'!CS:CS),VLOOKUP(V203,'Jan-2026 rates'!$E:$F,2,0)))</f>
        <v>0</v>
      </c>
      <c r="AJ203" s="404"/>
      <c r="AK203" s="398">
        <f>IF(AJ203=0,0,IF(LEN(W203)=11,_xlfn.XLOOKUP(W203,'Dispensed Ink Rates'!C:C,'Dispensed Ink Rates'!CS:CS),VLOOKUP(W203,'Jan-2026 rates'!$E:$F,2,0)))</f>
        <v>0</v>
      </c>
      <c r="AL203" s="404"/>
      <c r="AM203" s="398">
        <f>IF(AL203=0,0,IF(LEN(X203)=11,_xlfn.XLOOKUP(X203,'Dispensed Ink Rates'!C:C,'Dispensed Ink Rates'!CS:CS),VLOOKUP(X203,'Jan-2026 rates'!$E:$F,2,0)))</f>
        <v>0</v>
      </c>
      <c r="AN203" s="404"/>
      <c r="AO203" s="398">
        <f>IF(AN203=0,0,IF(LEN(Y203)=11,_xlfn.XLOOKUP(Y203,'Dispensed Ink Rates'!C:C,'Dispensed Ink Rates'!CS:CS),VLOOKUP(Y203,'Jan-2026 rates'!$E:$F,2,0)))</f>
        <v>0</v>
      </c>
      <c r="AP203" s="409" t="s">
        <v>1443</v>
      </c>
      <c r="AQ203" s="409">
        <v>26</v>
      </c>
      <c r="AR203" s="410">
        <f t="shared" si="159"/>
        <v>0</v>
      </c>
      <c r="AS203" s="411">
        <f t="shared" si="160"/>
        <v>8</v>
      </c>
      <c r="AT203" s="410">
        <f t="shared" si="161"/>
        <v>0</v>
      </c>
      <c r="AU203" s="405" t="s">
        <v>547</v>
      </c>
      <c r="AV203" s="409" t="s">
        <v>3770</v>
      </c>
      <c r="AW203" s="420" t="str">
        <f t="shared" si="130"/>
        <v>FLINTSL - GREEN</v>
      </c>
      <c r="AX203" s="409">
        <v>26</v>
      </c>
      <c r="AY203" s="411">
        <f>IF(AX203=0,0,IF($LB203=70%,VLOOKUP($AW203,'Jan-2026 rates'!$L:$R,4,0),IF($LB203=65%,VLOOKUP($AW203,'Jan-2026 rates'!$L:$R,4,0),IF($LB203=40%,VLOOKUP($AW203,'Jan-2026 rates'!$L:$R,5,0),IF($LB203=30%,VLOOKUP($AW203,'Jan-2026 rates'!$L:$R,6,0),IF($LB203=100%,VLOOKUP($AW203,'Jan-2026 rates'!$L:$R,7,0),IF($LB203=60%,VLOOKUP($AW203,'Jan-2026 rates'!$L:$S,8,0),IF($LB203=80%,VLOOKUP($AW203,'Jan-2026 rates'!L:T,9,0),0))))))))</f>
        <v>0</v>
      </c>
      <c r="AZ203" s="412"/>
      <c r="BA203" s="409"/>
      <c r="BB203" s="411">
        <f>IF(BA203=0,0,IF($LB203=70%,VLOOKUP($AW203,'Jan-2026 rates'!$L:$R,4,0),IF($LB203=65%,VLOOKUP($AW203,'Jan-2026 rates'!$L:$R,4,0),IF($LB203=40%,VLOOKUP($AW203,'Jan-2026 rates'!$L:$R,5,0),IF($LB203=30%,VLOOKUP($AW203,'Jan-2026 rates'!$L:$R,6,0),IF($LB203=100%,VLOOKUP($AW203,'Jan-2026 rates'!$L:$R,7,0),IF($LB203=60%,VLOOKUP($AW203,'Jan-2026 rates'!$L:$S,8,0),IF($LB203=80%,VLOOKUP($AW203,'Jan-2026 rates'!L:T,9,0),0))))))))</f>
        <v>0</v>
      </c>
      <c r="BC203" s="413">
        <v>26512000001</v>
      </c>
      <c r="BD203" s="412"/>
      <c r="BE203" s="412"/>
      <c r="BF203" s="413"/>
      <c r="BG203" s="412"/>
      <c r="BH203" s="412"/>
      <c r="BI203" s="412"/>
      <c r="BJ203" s="412"/>
      <c r="BK203" s="409">
        <v>2</v>
      </c>
      <c r="BL203" s="398" t="e">
        <f>IF(BK203=0,0,IF(LEN(BC203)=11,_xlfn.XLOOKUP(BC203,'Dispensed Ink Rates'!C:C,'Dispensed Ink Rates'!CS:CS),VLOOKUP(BC203,'Jan-2026 rates'!$E:$F,2,0)))</f>
        <v>#N/A</v>
      </c>
      <c r="BM203" s="409"/>
      <c r="BN203" s="398">
        <f>IF(BM203=0,0,IF(LEN(BD203)=11,_xlfn.XLOOKUP(BD203,'Dispensed Ink Rates'!C:C,'Dispensed Ink Rates'!CS:CS),VLOOKUP(BD203,'Jan-2026 rates'!$E:$F,2,0)))</f>
        <v>0</v>
      </c>
      <c r="BO203" s="409"/>
      <c r="BP203" s="398">
        <f>IF(BO203=0,0,IF(LEN(BE203)=11,_xlfn.XLOOKUP(BE203,'Dispensed Ink Rates'!C:C,'Dispensed Ink Rates'!CS:CS),VLOOKUP(BE203,'Jan-2026 rates'!$E:$F,2,0)))</f>
        <v>0</v>
      </c>
      <c r="BQ203" s="409"/>
      <c r="BR203" s="398">
        <f>IF(BQ203=0,0,IF(LEN(BF203)=11,_xlfn.XLOOKUP(BF203,'Dispensed Ink Rates'!C:C,'Dispensed Ink Rates'!CS:CS),VLOOKUP(BF203,'Jan-2026 rates'!$E:$F,2,0)))</f>
        <v>0</v>
      </c>
      <c r="BS203" s="409"/>
      <c r="BT203" s="398">
        <f>IF(BS203=0,0,IF(LEN(BG203)=11,_xlfn.XLOOKUP(BG203,'Dispensed Ink Rates'!C:C,'Dispensed Ink Rates'!CS:CS),VLOOKUP(BG203,'Jan-2026 rates'!$E:$F,2,0)))</f>
        <v>0</v>
      </c>
      <c r="BU203" s="409"/>
      <c r="BV203" s="398">
        <f>IF(BU203=0,0,IF(LEN(BH203)=11,_xlfn.XLOOKUP(BH203,'Dispensed Ink Rates'!C:C,'Dispensed Ink Rates'!CS:CS),VLOOKUP(BH203,'Jan-2026 rates'!$E:$F,2,0)))</f>
        <v>0</v>
      </c>
      <c r="BW203" s="409"/>
      <c r="BX203" s="398">
        <f>IF(BW203=0,0,IF(LEN(BI203)=11,_xlfn.XLOOKUP(BI203,'Dispensed Ink Rates'!C:C,'Dispensed Ink Rates'!CS:CS),VLOOKUP(BI203,'Jan-2026 rates'!$E:$F,2,0)))</f>
        <v>0</v>
      </c>
      <c r="BY203" s="409"/>
      <c r="BZ203" s="398">
        <f>IF(BY203=0,0,IF(LEN(BJ203)=11,_xlfn.XLOOKUP(BJ203,'Dispensed Ink Rates'!C:C,'Dispensed Ink Rates'!CS:CS),VLOOKUP(BJ203,'Jan-2026 rates'!$E:$F,2,0)))</f>
        <v>0</v>
      </c>
      <c r="CA203" s="409" t="s">
        <v>1443</v>
      </c>
      <c r="CB203" s="409">
        <v>25</v>
      </c>
      <c r="CC203" s="411">
        <f t="shared" si="162"/>
        <v>0</v>
      </c>
      <c r="CD203" s="411">
        <f t="shared" si="163"/>
        <v>5</v>
      </c>
      <c r="CE203" s="410">
        <f t="shared" si="164"/>
        <v>0</v>
      </c>
      <c r="CF203" s="404" t="s">
        <v>857</v>
      </c>
      <c r="CG203" s="409" t="s">
        <v>3771</v>
      </c>
      <c r="CH203" s="420" t="str">
        <f t="shared" si="132"/>
        <v>FLINTSL - RED</v>
      </c>
      <c r="CI203" s="409">
        <v>28</v>
      </c>
      <c r="CJ203" s="411">
        <f>IF(CI203=0,0,IF($LB203=70%,VLOOKUP($CH203,'Jan-2026 rates'!$L:$R,4,0),IF($LB203=65%,VLOOKUP($CH203,'Jan-2026 rates'!$L:$R,4,0),IF($LB203=40%,VLOOKUP($CH203,'Jan-2026 rates'!$L:$R,5,0),IF($LB203=30%,VLOOKUP($CH203,'Jan-2026 rates'!$L:$R,6,0),IF($LB203=100%,VLOOKUP($CH203,'Jan-2026 rates'!$L:$R,7,0),IF($LB203=60%,VLOOKUP($CH203,'Jan-2026 rates'!$L:$S,8,0),IF($LB203=80%,VLOOKUP($CH203,'Jan-2026 rates'!L:T,9,0),0))))))))</f>
        <v>0</v>
      </c>
      <c r="CK203" s="412"/>
      <c r="CL203" s="409"/>
      <c r="CM203" s="411">
        <f>IF(CL203=0,0,IF($LB203=70%,VLOOKUP($CH203,'Jan-2026 rates'!$L:$R,4,0),IF($LB203=65%,VLOOKUP($CH203,'Jan-2026 rates'!$L:$R,4,0),IF($LB203=40%,VLOOKUP($CH203,'Jan-2026 rates'!$L:$R,5,0),IF($LB203=30%,VLOOKUP($CH203,'Jan-2026 rates'!$L:$R,6,0),IF($LB203=100%,VLOOKUP($CH203,'Jan-2026 rates'!$L:$R,7,0),IF($LB203=60%,VLOOKUP($CH203,'Jan-2026 rates'!$L:$S,8,0),IF($LB203=80%,VLOOKUP($CH203,'Jan-2026 rates'!L:T,9,0),0))))))))</f>
        <v>0</v>
      </c>
      <c r="CN203" s="426">
        <v>26508000010</v>
      </c>
      <c r="CO203" s="427"/>
      <c r="CP203" s="426"/>
      <c r="CQ203" s="426"/>
      <c r="CR203" s="428"/>
      <c r="CS203" s="428"/>
      <c r="CT203" s="428"/>
      <c r="CU203" s="428"/>
      <c r="CV203" s="409">
        <f>2+4.5</f>
        <v>6.5</v>
      </c>
      <c r="CW203" s="398" t="e">
        <f>IF(CV203=0,0,IF(LEN(CN203)=11,_xlfn.XLOOKUP(CN203,'Dispensed Ink Rates'!C:C,'Dispensed Ink Rates'!CS:CS),VLOOKUP(CN203,'Jan-2026 rates'!$E:$F,2,0)))</f>
        <v>#N/A</v>
      </c>
      <c r="CX203" s="409"/>
      <c r="CY203" s="398">
        <f>IF(CX203=0,0,IF(LEN(CO203)=11,_xlfn.XLOOKUP(CO203,'Dispensed Ink Rates'!C:C,'Dispensed Ink Rates'!CS:CS),VLOOKUP(CO203,'Jan-2026 rates'!$E:$F,2,0)))</f>
        <v>0</v>
      </c>
      <c r="CZ203" s="409"/>
      <c r="DA203" s="398">
        <f>IF(CZ203=0,0,IF(LEN(CP203)=11,_xlfn.XLOOKUP(CP203,'Dispensed Ink Rates'!C:C,'Dispensed Ink Rates'!CS:CS),VLOOKUP(CP203,'Jan-2026 rates'!$E:$F,2,0)))</f>
        <v>0</v>
      </c>
      <c r="DB203" s="409"/>
      <c r="DC203" s="398">
        <f>IF(DB203=0,0,IF(LEN(CQ203)=11,_xlfn.XLOOKUP(CQ203,'Dispensed Ink Rates'!C:C,'Dispensed Ink Rates'!CS:CS),VLOOKUP(CQ203,'Jan-2026 rates'!$E:$F,2,0)))</f>
        <v>0</v>
      </c>
      <c r="DD203" s="409"/>
      <c r="DE203" s="398">
        <f>IF(DD203=0,0,IF(LEN(CR203)=11,_xlfn.XLOOKUP(CR203,'Dispensed Ink Rates'!C:C,'Dispensed Ink Rates'!CS:CS),VLOOKUP(CR203,'Jan-2026 rates'!$E:$F,2,0)))</f>
        <v>0</v>
      </c>
      <c r="DF203" s="409"/>
      <c r="DG203" s="398">
        <f>IF(DF203=0,0,IF(LEN(CS203)=11,_xlfn.XLOOKUP(CS203,'Dispensed Ink Rates'!C:C,'Dispensed Ink Rates'!CS:CS),VLOOKUP(CS203,'Jan-2026 rates'!$E:$F,2,0)))</f>
        <v>0</v>
      </c>
      <c r="DH203" s="409"/>
      <c r="DI203" s="398">
        <f>IF(DH203=0,0,IF(LEN(CT203)=11,_xlfn.XLOOKUP(CT203,'Dispensed Ink Rates'!C:C,'Dispensed Ink Rates'!CS:CS),VLOOKUP(CT203,'Jan-2026 rates'!$E:$F,2,0)))</f>
        <v>0</v>
      </c>
      <c r="DJ203" s="409"/>
      <c r="DK203" s="398">
        <f>IF(DJ203=0,0,IF(LEN(CU203)=11,_xlfn.XLOOKUP(CU203,'Dispensed Ink Rates'!C:C,'Dispensed Ink Rates'!CS:CS),VLOOKUP(CU203,'Jan-2026 rates'!$E:$F,2,0)))</f>
        <v>0</v>
      </c>
      <c r="DL203" s="409" t="s">
        <v>1443</v>
      </c>
      <c r="DM203" s="409">
        <v>26</v>
      </c>
      <c r="DN203" s="411">
        <f t="shared" si="165"/>
        <v>0</v>
      </c>
      <c r="DO203" s="411">
        <f t="shared" si="166"/>
        <v>10.5</v>
      </c>
      <c r="DP203" s="410">
        <f t="shared" si="167"/>
        <v>0</v>
      </c>
      <c r="DQ203" s="405" t="s">
        <v>855</v>
      </c>
      <c r="DR203" s="409" t="s">
        <v>3772</v>
      </c>
      <c r="DS203" s="420" t="str">
        <f t="shared" si="133"/>
        <v>FLINTSL - CYAN</v>
      </c>
      <c r="DT203" s="409">
        <v>30</v>
      </c>
      <c r="DU203" s="411">
        <f>IF(DT203=0,0,IF($LB203=70%,VLOOKUP($DS203,'Jan-2026 rates'!$L:$R,4,0),IF($LB203=65%,VLOOKUP($DS203,'Jan-2026 rates'!$L:$R,4,0),IF($LB203=40%,VLOOKUP($DS203,'Jan-2026 rates'!$L:$R,5,0),IF($LB203=30%,VLOOKUP($DS203,'Jan-2026 rates'!$L:$R,6,0),IF($LB203=100%,VLOOKUP($DS203,'Jan-2026 rates'!$L:$R,7,0),IF($LB203=60%,VLOOKUP($DS203,'Jan-2026 rates'!$L:$S,8,0),IF($LB203=80%,VLOOKUP($DS203,'Jan-2026 rates'!L:T,9,0),0))))))))</f>
        <v>0</v>
      </c>
      <c r="DV203" s="412"/>
      <c r="DW203" s="409"/>
      <c r="DX203" s="411">
        <f>IF(DW203=0,0,IF($LB203=70%,VLOOKUP($DS203,'Jan-2026 rates'!$L:$R,4,0),IF($LB203=65%,VLOOKUP($DS203,'Jan-2026 rates'!$L:$R,4,0),IF($LB203=40%,VLOOKUP($DS203,'Jan-2026 rates'!$L:$R,5,0),IF($LB203=30%,VLOOKUP($DS203,'Jan-2026 rates'!$L:$R,6,0),IF($LB203=100%,VLOOKUP($DS203,'Jan-2026 rates'!$L:$R,7,0),IF($LB203=60%,VLOOKUP($DS203,'Jan-2026 rates'!$L:$S,8,0),IF($LB203=80%,VLOOKUP($DS203,'Jan-2026 rates'!L:T,9,0),0))))))))</f>
        <v>0</v>
      </c>
      <c r="DY203" s="413" t="s">
        <v>1266</v>
      </c>
      <c r="DZ203" s="413"/>
      <c r="EA203" s="412"/>
      <c r="EB203" s="412"/>
      <c r="EC203" s="412"/>
      <c r="ED203" s="412"/>
      <c r="EE203" s="412"/>
      <c r="EF203" s="412"/>
      <c r="EG203" s="409">
        <v>4</v>
      </c>
      <c r="EH203" s="398">
        <f>IF(EG203=0,0,IF(LEN(DY203)=11,_xlfn.XLOOKUP(DY203,'Dispensed Ink Rates'!C:C,'Dispensed Ink Rates'!CS:CS),VLOOKUP(DY203,'Jan-2026 rates'!$E:$F,2,0)))</f>
        <v>0</v>
      </c>
      <c r="EI203" s="409"/>
      <c r="EJ203" s="398">
        <f>IF(EI203=0,0,IF(LEN(DZ203)=11,_xlfn.XLOOKUP(DZ203,'Dispensed Ink Rates'!C:C,'Dispensed Ink Rates'!CS:CS),VLOOKUP(DZ203,'Jan-2026 rates'!$E:$F,2,0)))</f>
        <v>0</v>
      </c>
      <c r="EK203" s="409"/>
      <c r="EL203" s="398">
        <f>IF(EK203=0,0,IF(LEN(EA203)=11,_xlfn.XLOOKUP(EA203,'Dispensed Ink Rates'!C:C,'Dispensed Ink Rates'!CS:CS),VLOOKUP(EA203,'Jan-2026 rates'!$E:$F,2,0)))</f>
        <v>0</v>
      </c>
      <c r="EM203" s="409"/>
      <c r="EN203" s="398">
        <f>IF(EM203=0,0,IF(LEN(EB203)=11,_xlfn.XLOOKUP(EB203,'Dispensed Ink Rates'!C:C,'Dispensed Ink Rates'!CS:CS),VLOOKUP(EB203,'Jan-2026 rates'!$E:$F,2,0)))</f>
        <v>0</v>
      </c>
      <c r="EO203" s="409"/>
      <c r="EP203" s="398">
        <f>IF(EO203=0,0,IF(LEN(EC203)=11,_xlfn.XLOOKUP(EC203,'Dispensed Ink Rates'!C:C,'Dispensed Ink Rates'!CS:CS),VLOOKUP(EC203,'Jan-2026 rates'!$E:$F,2,0)))</f>
        <v>0</v>
      </c>
      <c r="EQ203" s="409"/>
      <c r="ER203" s="398">
        <f>IF(EQ203=0,0,IF(LEN(ED203)=11,_xlfn.XLOOKUP(ED203,'Dispensed Ink Rates'!C:C,'Dispensed Ink Rates'!CS:CS),VLOOKUP(ED203,'Jan-2026 rates'!$E:$F,2,0)))</f>
        <v>0</v>
      </c>
      <c r="ES203" s="409"/>
      <c r="ET203" s="398">
        <f>IF(ES203=0,0,IF(LEN(EE203)=11,_xlfn.XLOOKUP(EE203,'Dispensed Ink Rates'!C:C,'Dispensed Ink Rates'!CS:CS),VLOOKUP(EE203,'Jan-2026 rates'!$E:$F,2,0)))</f>
        <v>0</v>
      </c>
      <c r="EU203" s="409"/>
      <c r="EV203" s="398">
        <f>IF(EU203=0,0,IF(LEN(EF203)=11,_xlfn.XLOOKUP(EF203,'Dispensed Ink Rates'!C:C,'Dispensed Ink Rates'!CS:CS),VLOOKUP(EF203,'Jan-2026 rates'!$E:$F,2,0)))</f>
        <v>0</v>
      </c>
      <c r="EW203" s="409" t="s">
        <v>1443</v>
      </c>
      <c r="EX203" s="409">
        <v>31</v>
      </c>
      <c r="EY203" s="411">
        <f t="shared" si="168"/>
        <v>0</v>
      </c>
      <c r="EZ203" s="411">
        <f t="shared" si="169"/>
        <v>9</v>
      </c>
      <c r="FA203" s="410">
        <f t="shared" si="170"/>
        <v>0</v>
      </c>
      <c r="FB203" s="405" t="s">
        <v>544</v>
      </c>
      <c r="FC203" s="409" t="s">
        <v>3773</v>
      </c>
      <c r="FD203" s="420" t="str">
        <f t="shared" si="134"/>
        <v>FLINTSL - MAGENTA</v>
      </c>
      <c r="FE203" s="409">
        <v>30</v>
      </c>
      <c r="FF203" s="411">
        <f>IF(FE203=0,0,IF($LB203=70%,VLOOKUP($FD203,'Jan-2026 rates'!$L:$R,4,0),IF($LB203=65%,VLOOKUP($FD203,'Jan-2026 rates'!$L:$R,4,0),IF($LB203=40%,VLOOKUP($FD203,'Jan-2026 rates'!$L:$R,5,0),IF($LB203=30%,VLOOKUP($FD203,'Jan-2026 rates'!$L:$R,6,0),IF($LB203=100%,VLOOKUP($FD203,'Jan-2026 rates'!$L:$R,7,0),IF($LB203=60%,VLOOKUP($FD203,'Jan-2026 rates'!$L:$S,8,0),IF($LB203=80%,VLOOKUP($FD203,'Jan-2026 rates'!L:T,9,0),0))))))))</f>
        <v>0</v>
      </c>
      <c r="FG203" s="412"/>
      <c r="FH203" s="409"/>
      <c r="FI203" s="411">
        <f>IF(FH203=0,0,IF($LB203=70%,VLOOKUP($FD203,'Jan-2026 rates'!$L:$R,4,0),IF($LB203=65%,VLOOKUP($FD203,'Jan-2026 rates'!$L:$R,4,0),IF($LB203=40%,VLOOKUP($FD203,'Jan-2026 rates'!$L:$R,5,0),IF($LB203=30%,VLOOKUP($FD203,'Jan-2026 rates'!$L:$R,6,0),IF($LB203=100%,VLOOKUP($FD203,'Jan-2026 rates'!$L:$R,7,0),IF($LB203=60%,VLOOKUP($FD203,'Jan-2026 rates'!$L:$S,8,0),IF($LB203=80%,VLOOKUP($FD203,'Jan-2026 rates'!L:T,9,0),0))))))))</f>
        <v>0</v>
      </c>
      <c r="FJ203" s="413">
        <v>26514000006</v>
      </c>
      <c r="FK203" s="413"/>
      <c r="FL203" s="413"/>
      <c r="FM203" s="412"/>
      <c r="FN203" s="412"/>
      <c r="FO203" s="412"/>
      <c r="FP203" s="412"/>
      <c r="FQ203" s="412"/>
      <c r="FR203" s="409">
        <v>2</v>
      </c>
      <c r="FS203" s="398" t="e">
        <f>IF(FR203=0,0,IF(LEN(FJ203)=11,_xlfn.XLOOKUP(FJ203,'Dispensed Ink Rates'!C:C,'Dispensed Ink Rates'!CS:CS),VLOOKUP(FJ203,'Jan-2026 rates'!$E:$F,2,0)))</f>
        <v>#N/A</v>
      </c>
      <c r="FT203" s="409"/>
      <c r="FU203" s="398">
        <f>IF(FT203=0,0,IF(LEN(FK203)=11,_xlfn.XLOOKUP(FK203,'Dispensed Ink Rates'!C:C,'Dispensed Ink Rates'!CS:CS),VLOOKUP(FK203,'Jan-2026 rates'!$E:$F,2,0)))</f>
        <v>0</v>
      </c>
      <c r="FV203" s="409"/>
      <c r="FW203" s="398">
        <f>IF(FV203=0,0,IF(LEN(FL203)=11,_xlfn.XLOOKUP(FL203,'Dispensed Ink Rates'!C:C,'Dispensed Ink Rates'!CS:CS),VLOOKUP(FL203,'Jan-2026 rates'!$E:$F,2,0)))</f>
        <v>0</v>
      </c>
      <c r="FX203" s="409"/>
      <c r="FY203" s="398">
        <f>IF(FX203=0,0,IF(LEN(FM203)=11,_xlfn.XLOOKUP(FM203,'Dispensed Ink Rates'!C:C,'Dispensed Ink Rates'!CS:CS),VLOOKUP(FM203,'Jan-2026 rates'!$E:$F,2,0)))</f>
        <v>0</v>
      </c>
      <c r="FZ203" s="409"/>
      <c r="GA203" s="398">
        <f>IF(FZ203=0,0,IF(LEN(FN203)=11,_xlfn.XLOOKUP(FN203,'Dispensed Ink Rates'!C:C,'Dispensed Ink Rates'!CS:CS),VLOOKUP(FN203,'Jan-2026 rates'!$E:$F,2,0)))</f>
        <v>0</v>
      </c>
      <c r="GB203" s="409"/>
      <c r="GC203" s="398">
        <f>IF(GB203=0,0,IF(LEN(FO203)=11,_xlfn.XLOOKUP(FO203,'Dispensed Ink Rates'!C:C,'Dispensed Ink Rates'!CS:CS),VLOOKUP(FO203,'Jan-2026 rates'!$E:$F,2,0)))</f>
        <v>0</v>
      </c>
      <c r="GD203" s="409"/>
      <c r="GE203" s="398">
        <f>IF(GD203=0,0,IF(LEN(FP203)=11,_xlfn.XLOOKUP(FP203,'Dispensed Ink Rates'!C:C,'Dispensed Ink Rates'!CS:CS),VLOOKUP(FP203,'Jan-2026 rates'!$E:$F,2,0)))</f>
        <v>0</v>
      </c>
      <c r="GF203" s="409"/>
      <c r="GG203" s="398">
        <f>IF(GF203=0,0,IF(LEN(FQ203)=11,_xlfn.XLOOKUP(FQ203,'Dispensed Ink Rates'!C:C,'Dispensed Ink Rates'!CS:CS),VLOOKUP(FQ203,'Jan-2026 rates'!$E:$F,2,0)))</f>
        <v>0</v>
      </c>
      <c r="GH203" s="409" t="s">
        <v>1443</v>
      </c>
      <c r="GI203" s="409">
        <v>32</v>
      </c>
      <c r="GJ203" s="411">
        <f t="shared" si="171"/>
        <v>0</v>
      </c>
      <c r="GK203" s="411">
        <f t="shared" si="172"/>
        <v>4</v>
      </c>
      <c r="GL203" s="410">
        <f t="shared" si="173"/>
        <v>0</v>
      </c>
      <c r="GM203" s="405" t="s">
        <v>545</v>
      </c>
      <c r="GN203" s="409" t="s">
        <v>3774</v>
      </c>
      <c r="GO203" s="420" t="str">
        <f t="shared" si="135"/>
        <v>FLINTSL - YELLOW</v>
      </c>
      <c r="GP203" s="409">
        <v>30</v>
      </c>
      <c r="GQ203" s="411">
        <f>IF(GP203=0,0,IF($LB203=70%,VLOOKUP($GO203,'Jan-2026 rates'!$L:$R,4,0),IF($LB203=65%,VLOOKUP($GO203,'Jan-2026 rates'!$L:$R,4,0),IF($LB203=40%,VLOOKUP($GO203,'Jan-2026 rates'!$L:$R,5,0),IF($LB203=30%,VLOOKUP($GO203,'Jan-2026 rates'!$L:$R,6,0),IF($LB203=100%,VLOOKUP($GO203,'Jan-2026 rates'!$L:$R,7,0),IF($LB203=60%,VLOOKUP($GO203,'Jan-2026 rates'!$L:$S,8,0),IF($LB203=80%,VLOOKUP($GO203,'Jan-2026 rates'!L:T,9,0),0))))))))</f>
        <v>0</v>
      </c>
      <c r="GR203" s="412"/>
      <c r="GS203" s="409"/>
      <c r="GT203" s="411">
        <f>IF(GS203=0,0,IF($LB203=70%,VLOOKUP($GO203,'Jan-2026 rates'!$L:$R,4,0),IF($LB203=65%,VLOOKUP($GO203,'Jan-2026 rates'!$L:$R,4,0),IF($LB203=40%,VLOOKUP($GO203,'Jan-2026 rates'!$L:$R,5,0),IF($LB203=30%,VLOOKUP($GO203,'Jan-2026 rates'!$L:$R,6,0),IF($LB203=100%,VLOOKUP($GO203,'Jan-2026 rates'!$L:$R,7,0),IF($LB203=60%,VLOOKUP($GO203,'Jan-2026 rates'!$L:$S,8,0),IF($LB203=80%,VLOOKUP($GO203,'Jan-2026 rates'!L:T,9,0),0))))))))</f>
        <v>0</v>
      </c>
      <c r="GU203" s="413">
        <v>26514000011</v>
      </c>
      <c r="GV203" s="413"/>
      <c r="GW203" s="412"/>
      <c r="GX203" s="412"/>
      <c r="GY203" s="412"/>
      <c r="GZ203" s="412"/>
      <c r="HA203" s="412"/>
      <c r="HB203" s="412"/>
      <c r="HC203" s="409">
        <v>2</v>
      </c>
      <c r="HD203" s="398" t="e">
        <f>IF(HC203=0,0,IF(LEN(GU203)=11,_xlfn.XLOOKUP(GU203,'Dispensed Ink Rates'!C:C,'Dispensed Ink Rates'!CS:CS),VLOOKUP(GU203,'Jan-2026 rates'!$E:$F,2,0)))</f>
        <v>#N/A</v>
      </c>
      <c r="HE203" s="409"/>
      <c r="HF203" s="398">
        <f>IF(HE203=0,0,IF(LEN(GV203)=11,_xlfn.XLOOKUP(GV203,'Dispensed Ink Rates'!C:C,'Dispensed Ink Rates'!CS:CS),VLOOKUP(GV203,'Jan-2026 rates'!$E:$F,2,0)))</f>
        <v>0</v>
      </c>
      <c r="HG203" s="409"/>
      <c r="HH203" s="398">
        <f>IF(HG203=0,0,IF(LEN(GW203)=11,_xlfn.XLOOKUP(GW203,'Dispensed Ink Rates'!C:C,'Dispensed Ink Rates'!CS:CS),VLOOKUP(GW203,'Jan-2026 rates'!$E:$F,2,0)))</f>
        <v>0</v>
      </c>
      <c r="HI203" s="409"/>
      <c r="HJ203" s="398">
        <f>IF(HI203=0,0,IF(LEN(GX203)=11,_xlfn.XLOOKUP(GX203,'Dispensed Ink Rates'!C:C,'Dispensed Ink Rates'!CS:CS),VLOOKUP(GX203,'Jan-2026 rates'!$E:$F,2,0)))</f>
        <v>0</v>
      </c>
      <c r="HK203" s="409"/>
      <c r="HL203" s="398">
        <f>IF(HK203=0,0,IF(LEN(GY203)=11,_xlfn.XLOOKUP(GY203,'Dispensed Ink Rates'!C:C,'Dispensed Ink Rates'!CS:CS),VLOOKUP(GY203,'Jan-2026 rates'!$E:$F,2,0)))</f>
        <v>0</v>
      </c>
      <c r="HM203" s="409"/>
      <c r="HN203" s="398">
        <f>IF(HM203=0,0,IF(LEN(GZ203)=11,_xlfn.XLOOKUP(GZ203,'Dispensed Ink Rates'!C:C,'Dispensed Ink Rates'!CS:CS),VLOOKUP(GZ203,'Jan-2026 rates'!$E:$F,2,0)))</f>
        <v>0</v>
      </c>
      <c r="HO203" s="409"/>
      <c r="HP203" s="398">
        <f>IF(HO203=0,0,IF(LEN(HA203)=11,_xlfn.XLOOKUP(HA203,'Dispensed Ink Rates'!C:C,'Dispensed Ink Rates'!CS:CS),VLOOKUP(HA203,'Jan-2026 rates'!$E:$F,2,0)))</f>
        <v>0</v>
      </c>
      <c r="HQ203" s="409"/>
      <c r="HR203" s="398">
        <f>IF(HQ203=0,0,IF(LEN(HB203)=11,_xlfn.XLOOKUP(HB203,'Dispensed Ink Rates'!C:C,'Dispensed Ink Rates'!CS:CS),VLOOKUP(HB203,'Jan-2026 rates'!$E:$F,2,0)))</f>
        <v>0</v>
      </c>
      <c r="HS203" s="409" t="s">
        <v>1443</v>
      </c>
      <c r="HT203" s="409">
        <v>30</v>
      </c>
      <c r="HU203" s="411">
        <f t="shared" si="174"/>
        <v>0</v>
      </c>
      <c r="HV203" s="411">
        <f t="shared" si="175"/>
        <v>10</v>
      </c>
      <c r="HW203" s="414">
        <f t="shared" si="176"/>
        <v>0</v>
      </c>
      <c r="HX203" s="405" t="s">
        <v>545</v>
      </c>
      <c r="HY203" s="409"/>
      <c r="HZ203" s="420" t="str">
        <f t="shared" si="136"/>
        <v>FLINTSL - YELLOW</v>
      </c>
      <c r="IA203" s="409"/>
      <c r="IB203" s="411">
        <f>IF(IA203=0,0,IF($LB203=70%,VLOOKUP($HZ203,'Jan-2026 rates'!$L:$R,4,0),IF($LB203=65%,VLOOKUP($HZ203,'Jan-2026 rates'!$L:$R,4,0),IF($LB203=40%,VLOOKUP($HZ203,'Jan-2026 rates'!$L:$R,5,0),IF($LB203=30%,VLOOKUP($HZ203,'Jan-2026 rates'!$L:$R,6,0),IF($LB203=100%,VLOOKUP($HZ203,'Jan-2026 rates'!$L:$R,7,0),IF($LB203=60%,VLOOKUP($HZ203,'Jan-2026 rates'!$L:$S,8,0),IF($LB203=80%,VLOOKUP($HZ203,'Jan-2026 rates'!L:T,9,0),0))))))))</f>
        <v>0</v>
      </c>
      <c r="IC203" s="412"/>
      <c r="ID203" s="409"/>
      <c r="IE203" s="411">
        <f>IF(ID203=0,0,IF($LB203=70%,VLOOKUP($HZ203,'Jan-2026 rates'!$L:$R,4,0),IF($LB203=65%,VLOOKUP($HZ203,'Jan-2026 rates'!$L:$R,4,0),IF($LB203=40%,VLOOKUP($HZ203,'Jan-2026 rates'!$L:$R,5,0),IF($LB203=30%,VLOOKUP($HZ203,'Jan-2026 rates'!$L:$R,6,0),IF($LB203=100%,VLOOKUP($HZ203,'Jan-2026 rates'!$L:$R,7,0),IF($LB203=60%,VLOOKUP($HZ203,'Jan-2026 rates'!$L:$S,8,0),IF($LB203=80%,VLOOKUP($HZ203,'Jan-2026 rates'!L:T,9,0),0))))))))</f>
        <v>0</v>
      </c>
      <c r="IF203" s="412">
        <v>26515000009</v>
      </c>
      <c r="IG203" s="413">
        <v>26515000009</v>
      </c>
      <c r="IH203" s="412">
        <v>26514000006</v>
      </c>
      <c r="II203" s="412">
        <v>26517000031</v>
      </c>
      <c r="IJ203" s="412"/>
      <c r="IK203" s="412"/>
      <c r="IL203" s="412"/>
      <c r="IM203" s="412"/>
      <c r="IN203" s="409">
        <v>20</v>
      </c>
      <c r="IO203" s="398" t="e">
        <f>IF(IN203=0,0,IF(LEN(IF203)=11,_xlfn.XLOOKUP(IF203,'Dispensed Ink Rates'!C:C,'Dispensed Ink Rates'!CS:CS),VLOOKUP(IF203,'Jan-2026 rates'!$E:$F,2,0)))</f>
        <v>#N/A</v>
      </c>
      <c r="IP203" s="409">
        <v>20</v>
      </c>
      <c r="IQ203" s="398" t="e">
        <f>IF(IP203=0,0,IF(LEN(IG203)=11,_xlfn.XLOOKUP(IG203,'Dispensed Ink Rates'!C:C,'Dispensed Ink Rates'!CS:CS),VLOOKUP(IG203,'Jan-2026 rates'!$E:$F,2,0)))</f>
        <v>#N/A</v>
      </c>
      <c r="IR203" s="409">
        <v>0.5</v>
      </c>
      <c r="IS203" s="398" t="e">
        <f>IF(IR203=0,0,IF(LEN(IH203)=11,_xlfn.XLOOKUP(IH203,'Dispensed Ink Rates'!C:C,'Dispensed Ink Rates'!CS:CS),VLOOKUP(IH203,'Jan-2026 rates'!$E:$F,2,0)))</f>
        <v>#N/A</v>
      </c>
      <c r="IT203" s="409">
        <v>0.5</v>
      </c>
      <c r="IU203" s="398" t="e">
        <f>IF(IT203=0,0,IF(LEN(II203)=11,_xlfn.XLOOKUP(II203,'Dispensed Ink Rates'!C:C,'Dispensed Ink Rates'!CS:CS),VLOOKUP(II203,'Jan-2026 rates'!$E:$F,2,0)))</f>
        <v>#N/A</v>
      </c>
      <c r="IV203" s="409"/>
      <c r="IW203" s="398">
        <f>IF(IV203=0,0,IF(LEN(IJ203)=11,_xlfn.XLOOKUP(IJ203,'Dispensed Ink Rates'!C:C,'Dispensed Ink Rates'!CS:CS),VLOOKUP(IJ203,'Jan-2026 rates'!$E:$F,2,0)))</f>
        <v>0</v>
      </c>
      <c r="IX203" s="409"/>
      <c r="IY203" s="398">
        <f>IF(IX203=0,0,IF(LEN(IK203)=11,_xlfn.XLOOKUP(IK203,'Dispensed Ink Rates'!C:C,'Dispensed Ink Rates'!CS:CS),VLOOKUP(IK203,'Jan-2026 rates'!$E:$F,2,0)))</f>
        <v>0</v>
      </c>
      <c r="IZ203" s="409"/>
      <c r="JA203" s="398">
        <f>IF(IZ203=0,0,IF(LEN(IL203)=11,_xlfn.XLOOKUP(IL203,'Dispensed Ink Rates'!C:C,'Dispensed Ink Rates'!CS:CS),VLOOKUP(IL203,'Jan-2026 rates'!$E:$F,2,0)))</f>
        <v>0</v>
      </c>
      <c r="JB203" s="409"/>
      <c r="JC203" s="398">
        <f>IF(JB203=0,0,IF(LEN(IM203)=11,_xlfn.XLOOKUP(IM203,'Dispensed Ink Rates'!C:C,'Dispensed Ink Rates'!CS:CS),VLOOKUP(IM203,'Jan-2026 rates'!$E:$F,2,0)))</f>
        <v>0</v>
      </c>
      <c r="JD203" s="409" t="s">
        <v>1443</v>
      </c>
      <c r="JE203" s="409">
        <v>20</v>
      </c>
      <c r="JF203" s="411">
        <f t="shared" si="177"/>
        <v>0</v>
      </c>
      <c r="JG203" s="411">
        <f t="shared" si="178"/>
        <v>51</v>
      </c>
      <c r="JH203" s="410">
        <f t="shared" si="179"/>
        <v>0</v>
      </c>
      <c r="JI203" s="405"/>
      <c r="JJ203" s="409"/>
      <c r="JK203" s="420" t="str">
        <f t="shared" si="137"/>
        <v xml:space="preserve"> - </v>
      </c>
      <c r="JL203" s="409"/>
      <c r="JM203" s="411">
        <f>IF(JL203=0,0,IF($LB203=70%,VLOOKUP($JK203,'Jan-2026 rates'!$L:$R,4,0),IF($LB203=65%,VLOOKUP($JK203,'Jan-2026 rates'!$L:$R,4,0),IF($LB203=40%,VLOOKUP($JK203,'Jan-2026 rates'!$L:$R,5,0),IF($LB203=30%,VLOOKUP($JK203,'Jan-2026 rates'!$L:$R,6,0),IF($LB203=100%,VLOOKUP($JK203,'Jan-2026 rates'!$L:$R,7,0),IF($LB203=60%,VLOOKUP($JK203,'Jan-2026 rates'!$L:$S,8,0),IF($LB203=80%,VLOOKUP($JK203,'Jan-2026 rates'!L:T,9,0),0))))))))</f>
        <v>0</v>
      </c>
      <c r="JN203" s="412"/>
      <c r="JO203" s="409"/>
      <c r="JP203" s="411">
        <f>IF(JO203=0,0,IF($LB203=70%,VLOOKUP($JK203,'Jan-2026 rates'!$L:$R,4,0),IF($LB203=65%,VLOOKUP($JK203,'Jan-2026 rates'!$L:$R,4,0),IF($LB203=40%,VLOOKUP($JK203,'Jan-2026 rates'!$L:$R,5,0),IF($LB203=30%,VLOOKUP($JK203,'Jan-2026 rates'!$L:$R,6,0),IF($LB203=100%,VLOOKUP($JK203,'Jan-2026 rates'!$L:$R,7,0),IF($LB203=60%,VLOOKUP($JK203,'Jan-2026 rates'!$L:$S,8,0),IF($LB203=80%,VLOOKUP($JK203,'Jan-2026 rates'!L:T,9,0),0))))))))</f>
        <v>0</v>
      </c>
      <c r="JQ203" s="413"/>
      <c r="JR203" s="412"/>
      <c r="JS203" s="413"/>
      <c r="JT203" s="413"/>
      <c r="JU203" s="412"/>
      <c r="JV203" s="412"/>
      <c r="JW203" s="412"/>
      <c r="JX203" s="412"/>
      <c r="JY203" s="409"/>
      <c r="JZ203" s="398">
        <f>IF(JY203=0,0,IF(LEN(JQ203)=11,_xlfn.XLOOKUP(JQ203,'Dispensed Ink Rates'!C:C,'Dispensed Ink Rates'!CS:CS),VLOOKUP(JQ203,'Jan-2026 rates'!$E:$F,2,0)))</f>
        <v>0</v>
      </c>
      <c r="KA203" s="409"/>
      <c r="KB203" s="398">
        <f>IF(KA203=0,0,IF(LEN(JR203)=11,_xlfn.XLOOKUP(JR203,'Dispensed Ink Rates'!C:C,'Dispensed Ink Rates'!CS:CS),VLOOKUP(JR203,'Jan-2026 rates'!$E:$F,2,0)))</f>
        <v>0</v>
      </c>
      <c r="KC203" s="409"/>
      <c r="KD203" s="398">
        <f>IF(KC203=0,0,IF(LEN(JS203)=11,_xlfn.XLOOKUP(JS203,'Dispensed Ink Rates'!C:C,'Dispensed Ink Rates'!CS:CS),VLOOKUP(JS203,'Jan-2026 rates'!$E:$F,2,0)))</f>
        <v>0</v>
      </c>
      <c r="KE203" s="409"/>
      <c r="KF203" s="398">
        <f>IF(KE203=0,0,IF(LEN(JT203)=11,_xlfn.XLOOKUP(JT203,'Dispensed Ink Rates'!C:C,'Dispensed Ink Rates'!CS:CS),VLOOKUP(JT203,'Jan-2026 rates'!$E:$F,2,0)))</f>
        <v>0</v>
      </c>
      <c r="KG203" s="409"/>
      <c r="KH203" s="398">
        <f>IF(KG203=0,0,IF(LEN(JU203)=11,_xlfn.XLOOKUP(JU203,'Dispensed Ink Rates'!C:C,'Dispensed Ink Rates'!CS:CS),VLOOKUP(JU203,'Jan-2026 rates'!$E:$F,2,0)))</f>
        <v>0</v>
      </c>
      <c r="KI203" s="409"/>
      <c r="KJ203" s="398">
        <f>IF(KI203=0,0,IF(LEN(JV203)=11,_xlfn.XLOOKUP(JV203,'Dispensed Ink Rates'!C:C,'Dispensed Ink Rates'!CS:CS),VLOOKUP(JV203,'Jan-2026 rates'!$E:$F,2,0)))</f>
        <v>0</v>
      </c>
      <c r="KK203" s="409"/>
      <c r="KL203" s="398">
        <f>IF(KK203=0,0,IF(LEN(JW203)=11,_xlfn.XLOOKUP(JW203,'Dispensed Ink Rates'!C:C,'Dispensed Ink Rates'!CS:CS),VLOOKUP(JW203,'Jan-2026 rates'!$E:$F,2,0)))</f>
        <v>0</v>
      </c>
      <c r="KM203" s="428"/>
      <c r="KN203" s="398">
        <f>IF(KM203=0,0,IF(LEN(JX203)=11,_xlfn.XLOOKUP(JX203,'Dispensed Ink Rates'!C:C,'Dispensed Ink Rates'!CS:CS),VLOOKUP(JX203,'Jan-2026 rates'!$E:$F,2,0)))</f>
        <v>0</v>
      </c>
      <c r="KO203" s="409"/>
      <c r="KP203" s="409"/>
      <c r="KQ203" s="411">
        <f t="shared" si="180"/>
        <v>0</v>
      </c>
      <c r="KR203" s="411">
        <f t="shared" si="181"/>
        <v>0</v>
      </c>
      <c r="KS203" s="410">
        <f t="shared" si="182"/>
        <v>0</v>
      </c>
      <c r="KT203" s="409">
        <v>1</v>
      </c>
      <c r="KU203" s="409">
        <v>1</v>
      </c>
      <c r="KV203" s="409">
        <v>1</v>
      </c>
      <c r="KW203" s="409">
        <v>3</v>
      </c>
      <c r="KX203" s="409">
        <v>2</v>
      </c>
      <c r="KY203" s="409">
        <v>4</v>
      </c>
      <c r="KZ203" s="409">
        <v>15</v>
      </c>
      <c r="LA203" s="409">
        <v>0</v>
      </c>
      <c r="LB203" s="415">
        <v>0.8</v>
      </c>
      <c r="LC203" s="415">
        <v>0.2</v>
      </c>
      <c r="LD203" s="415"/>
      <c r="LE203" s="415"/>
      <c r="LF203" s="415"/>
      <c r="LG203" s="409">
        <v>0</v>
      </c>
      <c r="LH203" s="409">
        <f>15+15+16+4+3+1</f>
        <v>54</v>
      </c>
      <c r="LI203" s="409">
        <v>0</v>
      </c>
      <c r="LJ203" s="409">
        <v>0</v>
      </c>
      <c r="LK203" s="416">
        <f t="shared" si="138"/>
        <v>54</v>
      </c>
      <c r="LL203" s="416">
        <f t="shared" si="139"/>
        <v>54</v>
      </c>
      <c r="LM203" s="417">
        <f t="shared" si="140"/>
        <v>43.2</v>
      </c>
      <c r="LN203" s="417">
        <f>VLOOKUP($LM$8,'Jan-2026 rates'!$H:$I,2,0)</f>
        <v>0</v>
      </c>
      <c r="LO203" s="417">
        <f t="shared" si="141"/>
        <v>10.8</v>
      </c>
      <c r="LP203" s="417">
        <f>VLOOKUP($LO$8,'Jan-2026 rates'!$H:$I,2,0)</f>
        <v>0</v>
      </c>
      <c r="LQ203" s="417">
        <f t="shared" si="142"/>
        <v>0</v>
      </c>
      <c r="LR203" s="417">
        <f>VLOOKUP($LQ$8,'Jan-2026 rates'!$H:$I,2,0)</f>
        <v>0</v>
      </c>
      <c r="LS203" s="417">
        <f t="shared" si="143"/>
        <v>0</v>
      </c>
      <c r="LT203" s="417">
        <f>VLOOKUP($LS$8,'Jan-2026 rates'!$H:$I,2,0)</f>
        <v>0</v>
      </c>
      <c r="LU203" s="417">
        <f t="shared" si="144"/>
        <v>0</v>
      </c>
      <c r="LV203" s="417">
        <f>VLOOKUP($LU$8,'Jan-2026 rates'!$H:$I,2,0)</f>
        <v>0</v>
      </c>
      <c r="LW203" s="417">
        <f t="shared" si="145"/>
        <v>0</v>
      </c>
      <c r="LX203" s="417">
        <f t="shared" si="146"/>
        <v>0</v>
      </c>
      <c r="LY203" s="418">
        <f t="shared" si="147"/>
        <v>0</v>
      </c>
      <c r="LZ203" s="417"/>
      <c r="MA203" s="435">
        <f t="shared" si="148"/>
        <v>61.5</v>
      </c>
      <c r="MB203" s="282">
        <f t="shared" si="149"/>
        <v>97.5</v>
      </c>
      <c r="MC203" s="283">
        <v>96</v>
      </c>
      <c r="MD203" s="284" t="str">
        <f t="shared" si="150"/>
        <v>FLINTSLFLINTSLFLINTSLFLINTSLFLINTSLFLINTSLFLINTSL</v>
      </c>
      <c r="ME203" s="293" t="str">
        <f t="shared" si="151"/>
        <v>+</v>
      </c>
      <c r="MF203" s="293" t="str">
        <f t="shared" si="152"/>
        <v>+</v>
      </c>
      <c r="MG203" s="293" t="str">
        <f t="shared" si="153"/>
        <v>+</v>
      </c>
      <c r="MH203" s="293" t="str">
        <f t="shared" si="154"/>
        <v>+</v>
      </c>
      <c r="MI203" s="293" t="str">
        <f t="shared" si="155"/>
        <v>+</v>
      </c>
      <c r="MJ203" s="293" t="str">
        <f t="shared" si="156"/>
        <v>+</v>
      </c>
      <c r="MK203" s="293" t="str">
        <f t="shared" si="157"/>
        <v>+</v>
      </c>
      <c r="ML203" s="293" t="str">
        <f t="shared" si="158"/>
        <v>NIL</v>
      </c>
      <c r="MM203" s="3" t="b">
        <f t="array" ref="MM203">OR(ME203:ML203="-")</f>
        <v>0</v>
      </c>
      <c r="MN203" s="285"/>
      <c r="MO203" s="401"/>
      <c r="MP203" s="286"/>
      <c r="MQ203" s="286"/>
      <c r="MR203" s="402"/>
      <c r="MS203" s="400"/>
      <c r="NH203" s="422"/>
      <c r="NJ203" s="421"/>
    </row>
    <row r="204" spans="1:374" s="1" customFormat="1" ht="16.5">
      <c r="A204" s="403">
        <v>46036</v>
      </c>
      <c r="B204" s="404" t="s">
        <v>1015</v>
      </c>
      <c r="C204" s="405" t="s">
        <v>3775</v>
      </c>
      <c r="D204" s="406">
        <v>97</v>
      </c>
      <c r="E204" s="404">
        <v>213</v>
      </c>
      <c r="F204" s="407">
        <v>13600</v>
      </c>
      <c r="G204" s="407" t="s">
        <v>1019</v>
      </c>
      <c r="H204" s="408" t="s">
        <v>1017</v>
      </c>
      <c r="I204" s="409">
        <v>1.3</v>
      </c>
      <c r="J204" s="405" t="s">
        <v>543</v>
      </c>
      <c r="K204" s="404" t="s">
        <v>3776</v>
      </c>
      <c r="L204" s="419" t="str">
        <f t="shared" si="131"/>
        <v>FLINTSL - BLACK</v>
      </c>
      <c r="M204" s="404">
        <v>26</v>
      </c>
      <c r="N204" s="410">
        <f>IF(M204=0,0,IF($LB204=70%,VLOOKUP($L204,'Jan-2026 rates'!$L:$R,4,0),IF($LB204=65%,VLOOKUP($L204,'Jan-2026 rates'!$L:$R,4,0),IF($LB204=40%,VLOOKUP($L204,'Jan-2026 rates'!$L:$R,5,0),IF($LB204=30%,VLOOKUP($L204,'Jan-2026 rates'!$L:$R,6,0),IF($LB204=100%,VLOOKUP($L204,'Jan-2026 rates'!$L:$R,7,0),IF($LB204=60%,VLOOKUP($L204,'Jan-2026 rates'!$L:$S,8,0),IF($LB204=80%,VLOOKUP($L204,'Jan-2026 rates'!L:T,9,0),0))))))))</f>
        <v>0</v>
      </c>
      <c r="O204" s="406"/>
      <c r="P204" s="404"/>
      <c r="Q204" s="410">
        <f>IF(P204=0,0,IF($LB204=70%,VLOOKUP($L204,'Jan-2026 rates'!$L:$R,4,0),IF($LB204=65%,VLOOKUP($L204,'Jan-2026 rates'!$L:$R,4,0),IF($LB204=40%,VLOOKUP($L204,'Jan-2026 rates'!$L:$R,5,0),IF($LB204=30%,VLOOKUP($L204,'Jan-2026 rates'!$L:$R,6,0),IF($LB204=100%,VLOOKUP($L204,'Jan-2026 rates'!$L:$R,7,0),IF($LB204=60%,VLOOKUP($L204,'Jan-2026 rates'!$L:$S,8,0),IF($LB204=80%,VLOOKUP($L204,'Jan-2026 rates'!L:T,9,0),0))))))))</f>
        <v>0</v>
      </c>
      <c r="R204" s="406">
        <v>26517000031</v>
      </c>
      <c r="S204" s="406"/>
      <c r="T204" s="406"/>
      <c r="U204" s="406"/>
      <c r="V204" s="406"/>
      <c r="W204" s="406"/>
      <c r="X204" s="406"/>
      <c r="Y204" s="406"/>
      <c r="Z204" s="404">
        <v>1</v>
      </c>
      <c r="AA204" s="398" t="e">
        <f>IF(Z204=0,0,IF(LEN(R204)=11,_xlfn.XLOOKUP(R204,'Dispensed Ink Rates'!C:C,'Dispensed Ink Rates'!CS:CS),VLOOKUP(R204,'Jan-2026 rates'!$E:$F,2,0)))</f>
        <v>#N/A</v>
      </c>
      <c r="AB204" s="404"/>
      <c r="AC204" s="398">
        <f>IF(AB204=0,0,IF(LEN(S204)=11,_xlfn.XLOOKUP(S204,'Dispensed Ink Rates'!C:C,'Dispensed Ink Rates'!CS:CS),VLOOKUP(S204,'Jan-2026 rates'!$E:$F,2,0)))</f>
        <v>0</v>
      </c>
      <c r="AD204" s="404"/>
      <c r="AE204" s="398">
        <f>IF(AD204=0,0,IF(LEN(T204)=11,_xlfn.XLOOKUP(T204,'Dispensed Ink Rates'!C:C,'Dispensed Ink Rates'!CS:CS),VLOOKUP(T204,'Jan-2026 rates'!$E:$F,2,0)))</f>
        <v>0</v>
      </c>
      <c r="AF204" s="404"/>
      <c r="AG204" s="398">
        <f>IF(AF204=0,0,IF(LEN(U204)=11,_xlfn.XLOOKUP(U204,'Dispensed Ink Rates'!C:C,'Dispensed Ink Rates'!CS:CS),VLOOKUP(U204,'Jan-2026 rates'!$E:$F,2,0)))</f>
        <v>0</v>
      </c>
      <c r="AH204" s="404"/>
      <c r="AI204" s="398">
        <f>IF(AH204=0,0,IF(LEN(V204)=11,_xlfn.XLOOKUP(V204,'Dispensed Ink Rates'!C:C,'Dispensed Ink Rates'!CS:CS),VLOOKUP(V204,'Jan-2026 rates'!$E:$F,2,0)))</f>
        <v>0</v>
      </c>
      <c r="AJ204" s="404"/>
      <c r="AK204" s="398">
        <f>IF(AJ204=0,0,IF(LEN(W204)=11,_xlfn.XLOOKUP(W204,'Dispensed Ink Rates'!C:C,'Dispensed Ink Rates'!CS:CS),VLOOKUP(W204,'Jan-2026 rates'!$E:$F,2,0)))</f>
        <v>0</v>
      </c>
      <c r="AL204" s="404"/>
      <c r="AM204" s="398">
        <f>IF(AL204=0,0,IF(LEN(X204)=11,_xlfn.XLOOKUP(X204,'Dispensed Ink Rates'!C:C,'Dispensed Ink Rates'!CS:CS),VLOOKUP(X204,'Jan-2026 rates'!$E:$F,2,0)))</f>
        <v>0</v>
      </c>
      <c r="AN204" s="404"/>
      <c r="AO204" s="398">
        <f>IF(AN204=0,0,IF(LEN(Y204)=11,_xlfn.XLOOKUP(Y204,'Dispensed Ink Rates'!C:C,'Dispensed Ink Rates'!CS:CS),VLOOKUP(Y204,'Jan-2026 rates'!$E:$F,2,0)))</f>
        <v>0</v>
      </c>
      <c r="AP204" s="409" t="s">
        <v>1443</v>
      </c>
      <c r="AQ204" s="409">
        <v>26</v>
      </c>
      <c r="AR204" s="410">
        <f t="shared" si="159"/>
        <v>0</v>
      </c>
      <c r="AS204" s="411">
        <f t="shared" si="160"/>
        <v>6.1724137931034448</v>
      </c>
      <c r="AT204" s="410">
        <f t="shared" si="161"/>
        <v>0</v>
      </c>
      <c r="AU204" s="405" t="s">
        <v>1920</v>
      </c>
      <c r="AV204" s="409"/>
      <c r="AW204" s="420" t="str">
        <f t="shared" si="130"/>
        <v>ToyoLi - SILVER</v>
      </c>
      <c r="AX204" s="409"/>
      <c r="AY204" s="411">
        <f>IF(AX204=0,0,IF($LB204=70%,VLOOKUP($AW204,'Jan-2026 rates'!$L:$R,4,0),IF($LB204=65%,VLOOKUP($AW204,'Jan-2026 rates'!$L:$R,4,0),IF($LB204=40%,VLOOKUP($AW204,'Jan-2026 rates'!$L:$R,5,0),IF($LB204=30%,VLOOKUP($AW204,'Jan-2026 rates'!$L:$R,6,0),IF($LB204=100%,VLOOKUP($AW204,'Jan-2026 rates'!$L:$R,7,0),IF($LB204=60%,VLOOKUP($AW204,'Jan-2026 rates'!$L:$S,8,0),IF($LB204=80%,VLOOKUP($AW204,'Jan-2026 rates'!L:T,9,0),0))))))))</f>
        <v>0</v>
      </c>
      <c r="AZ204" s="412"/>
      <c r="BA204" s="409"/>
      <c r="BB204" s="411">
        <f>IF(BA204=0,0,IF($LB204=70%,VLOOKUP($AW204,'Jan-2026 rates'!$L:$R,4,0),IF($LB204=65%,VLOOKUP($AW204,'Jan-2026 rates'!$L:$R,4,0),IF($LB204=40%,VLOOKUP($AW204,'Jan-2026 rates'!$L:$R,5,0),IF($LB204=30%,VLOOKUP($AW204,'Jan-2026 rates'!$L:$R,6,0),IF($LB204=100%,VLOOKUP($AW204,'Jan-2026 rates'!$L:$R,7,0),IF($LB204=60%,VLOOKUP($AW204,'Jan-2026 rates'!$L:$S,8,0),IF($LB204=80%,VLOOKUP($AW204,'Jan-2026 rates'!L:T,9,0),0))))))))</f>
        <v>0</v>
      </c>
      <c r="BC204" s="413" t="s">
        <v>1891</v>
      </c>
      <c r="BD204" s="412" t="s">
        <v>1122</v>
      </c>
      <c r="BE204" s="412"/>
      <c r="BF204" s="413"/>
      <c r="BG204" s="412"/>
      <c r="BH204" s="412"/>
      <c r="BI204" s="412"/>
      <c r="BJ204" s="412"/>
      <c r="BK204" s="409">
        <v>28</v>
      </c>
      <c r="BL204" s="398">
        <f>IF(BK204=0,0,IF(LEN(BC204)=11,_xlfn.XLOOKUP(BC204,'Dispensed Ink Rates'!C:C,'Dispensed Ink Rates'!CS:CS),VLOOKUP(BC204,'Jan-2026 rates'!$E:$F,2,0)))</f>
        <v>0</v>
      </c>
      <c r="BM204" s="409">
        <v>0.84</v>
      </c>
      <c r="BN204" s="398">
        <f>IF(BM204=0,0,IF(LEN(BD204)=11,_xlfn.XLOOKUP(BD204,'Dispensed Ink Rates'!C:C,'Dispensed Ink Rates'!CS:CS),VLOOKUP(BD204,'Jan-2026 rates'!$E:$F,2,0)))</f>
        <v>0</v>
      </c>
      <c r="BO204" s="409"/>
      <c r="BP204" s="398">
        <f>IF(BO204=0,0,IF(LEN(BE204)=11,_xlfn.XLOOKUP(BE204,'Dispensed Ink Rates'!C:C,'Dispensed Ink Rates'!CS:CS),VLOOKUP(BE204,'Jan-2026 rates'!$E:$F,2,0)))</f>
        <v>0</v>
      </c>
      <c r="BQ204" s="409"/>
      <c r="BR204" s="398">
        <f>IF(BQ204=0,0,IF(LEN(BF204)=11,_xlfn.XLOOKUP(BF204,'Dispensed Ink Rates'!C:C,'Dispensed Ink Rates'!CS:CS),VLOOKUP(BF204,'Jan-2026 rates'!$E:$F,2,0)))</f>
        <v>0</v>
      </c>
      <c r="BS204" s="409"/>
      <c r="BT204" s="398">
        <f>IF(BS204=0,0,IF(LEN(BG204)=11,_xlfn.XLOOKUP(BG204,'Dispensed Ink Rates'!C:C,'Dispensed Ink Rates'!CS:CS),VLOOKUP(BG204,'Jan-2026 rates'!$E:$F,2,0)))</f>
        <v>0</v>
      </c>
      <c r="BU204" s="409"/>
      <c r="BV204" s="398">
        <f>IF(BU204=0,0,IF(LEN(BH204)=11,_xlfn.XLOOKUP(BH204,'Dispensed Ink Rates'!C:C,'Dispensed Ink Rates'!CS:CS),VLOOKUP(BH204,'Jan-2026 rates'!$E:$F,2,0)))</f>
        <v>0</v>
      </c>
      <c r="BW204" s="409"/>
      <c r="BX204" s="398">
        <f>IF(BW204=0,0,IF(LEN(BI204)=11,_xlfn.XLOOKUP(BI204,'Dispensed Ink Rates'!C:C,'Dispensed Ink Rates'!CS:CS),VLOOKUP(BI204,'Jan-2026 rates'!$E:$F,2,0)))</f>
        <v>0</v>
      </c>
      <c r="BY204" s="409"/>
      <c r="BZ204" s="398">
        <f>IF(BY204=0,0,IF(LEN(BJ204)=11,_xlfn.XLOOKUP(BJ204,'Dispensed Ink Rates'!C:C,'Dispensed Ink Rates'!CS:CS),VLOOKUP(BJ204,'Jan-2026 rates'!$E:$F,2,0)))</f>
        <v>0</v>
      </c>
      <c r="CA204" s="409" t="s">
        <v>1881</v>
      </c>
      <c r="CB204" s="409">
        <f>18+10</f>
        <v>28</v>
      </c>
      <c r="CC204" s="411">
        <f t="shared" si="162"/>
        <v>0</v>
      </c>
      <c r="CD204" s="411">
        <f t="shared" si="163"/>
        <v>26.702068965517242</v>
      </c>
      <c r="CE204" s="410">
        <f t="shared" si="164"/>
        <v>0</v>
      </c>
      <c r="CF204" s="404" t="s">
        <v>855</v>
      </c>
      <c r="CG204" s="409" t="s">
        <v>3777</v>
      </c>
      <c r="CH204" s="420" t="str">
        <f t="shared" si="132"/>
        <v>FLINTSL - CYAN</v>
      </c>
      <c r="CI204" s="409">
        <v>31</v>
      </c>
      <c r="CJ204" s="411">
        <f>IF(CI204=0,0,IF($LB204=70%,VLOOKUP($CH204,'Jan-2026 rates'!$L:$R,4,0),IF($LB204=65%,VLOOKUP($CH204,'Jan-2026 rates'!$L:$R,4,0),IF($LB204=40%,VLOOKUP($CH204,'Jan-2026 rates'!$L:$R,5,0),IF($LB204=30%,VLOOKUP($CH204,'Jan-2026 rates'!$L:$R,6,0),IF($LB204=100%,VLOOKUP($CH204,'Jan-2026 rates'!$L:$R,7,0),IF($LB204=60%,VLOOKUP($CH204,'Jan-2026 rates'!$L:$S,8,0),IF($LB204=80%,VLOOKUP($CH204,'Jan-2026 rates'!L:T,9,0),0))))))))</f>
        <v>0</v>
      </c>
      <c r="CK204" s="412"/>
      <c r="CL204" s="409"/>
      <c r="CM204" s="411">
        <f>IF(CL204=0,0,IF($LB204=70%,VLOOKUP($CH204,'Jan-2026 rates'!$L:$R,4,0),IF($LB204=65%,VLOOKUP($CH204,'Jan-2026 rates'!$L:$R,4,0),IF($LB204=40%,VLOOKUP($CH204,'Jan-2026 rates'!$L:$R,5,0),IF($LB204=30%,VLOOKUP($CH204,'Jan-2026 rates'!$L:$R,6,0),IF($LB204=100%,VLOOKUP($CH204,'Jan-2026 rates'!$L:$R,7,0),IF($LB204=60%,VLOOKUP($CH204,'Jan-2026 rates'!$L:$S,8,0),IF($LB204=80%,VLOOKUP($CH204,'Jan-2026 rates'!L:T,9,0),0))))))))</f>
        <v>0</v>
      </c>
      <c r="CN204" s="426">
        <v>26512000001</v>
      </c>
      <c r="CO204" s="427">
        <v>26507000025</v>
      </c>
      <c r="CP204" s="426"/>
      <c r="CQ204" s="426"/>
      <c r="CR204" s="428"/>
      <c r="CS204" s="428"/>
      <c r="CT204" s="428"/>
      <c r="CU204" s="428"/>
      <c r="CV204" s="409">
        <v>5</v>
      </c>
      <c r="CW204" s="398" t="e">
        <f>IF(CV204=0,0,IF(LEN(CN204)=11,_xlfn.XLOOKUP(CN204,'Dispensed Ink Rates'!C:C,'Dispensed Ink Rates'!CS:CS),VLOOKUP(CN204,'Jan-2026 rates'!$E:$F,2,0)))</f>
        <v>#N/A</v>
      </c>
      <c r="CX204" s="409">
        <v>1.5</v>
      </c>
      <c r="CY204" s="398" t="e">
        <f>IF(CX204=0,0,IF(LEN(CO204)=11,_xlfn.XLOOKUP(CO204,'Dispensed Ink Rates'!C:C,'Dispensed Ink Rates'!CS:CS),VLOOKUP(CO204,'Jan-2026 rates'!$E:$F,2,0)))</f>
        <v>#N/A</v>
      </c>
      <c r="CZ204" s="409"/>
      <c r="DA204" s="398">
        <f>IF(CZ204=0,0,IF(LEN(CP204)=11,_xlfn.XLOOKUP(CP204,'Dispensed Ink Rates'!C:C,'Dispensed Ink Rates'!CS:CS),VLOOKUP(CP204,'Jan-2026 rates'!$E:$F,2,0)))</f>
        <v>0</v>
      </c>
      <c r="DB204" s="409"/>
      <c r="DC204" s="398">
        <f>IF(DB204=0,0,IF(LEN(CQ204)=11,_xlfn.XLOOKUP(CQ204,'Dispensed Ink Rates'!C:C,'Dispensed Ink Rates'!CS:CS),VLOOKUP(CQ204,'Jan-2026 rates'!$E:$F,2,0)))</f>
        <v>0</v>
      </c>
      <c r="DD204" s="409"/>
      <c r="DE204" s="398">
        <f>IF(DD204=0,0,IF(LEN(CR204)=11,_xlfn.XLOOKUP(CR204,'Dispensed Ink Rates'!C:C,'Dispensed Ink Rates'!CS:CS),VLOOKUP(CR204,'Jan-2026 rates'!$E:$F,2,0)))</f>
        <v>0</v>
      </c>
      <c r="DF204" s="409"/>
      <c r="DG204" s="398">
        <f>IF(DF204=0,0,IF(LEN(CS204)=11,_xlfn.XLOOKUP(CS204,'Dispensed Ink Rates'!C:C,'Dispensed Ink Rates'!CS:CS),VLOOKUP(CS204,'Jan-2026 rates'!$E:$F,2,0)))</f>
        <v>0</v>
      </c>
      <c r="DH204" s="409"/>
      <c r="DI204" s="398">
        <f>IF(DH204=0,0,IF(LEN(CT204)=11,_xlfn.XLOOKUP(CT204,'Dispensed Ink Rates'!C:C,'Dispensed Ink Rates'!CS:CS),VLOOKUP(CT204,'Jan-2026 rates'!$E:$F,2,0)))</f>
        <v>0</v>
      </c>
      <c r="DJ204" s="409"/>
      <c r="DK204" s="398">
        <f>IF(DJ204=0,0,IF(LEN(CU204)=11,_xlfn.XLOOKUP(CU204,'Dispensed Ink Rates'!C:C,'Dispensed Ink Rates'!CS:CS),VLOOKUP(CU204,'Jan-2026 rates'!$E:$F,2,0)))</f>
        <v>0</v>
      </c>
      <c r="DL204" s="409" t="s">
        <v>1443</v>
      </c>
      <c r="DM204" s="409">
        <v>26</v>
      </c>
      <c r="DN204" s="411">
        <f t="shared" si="165"/>
        <v>0</v>
      </c>
      <c r="DO204" s="411">
        <f t="shared" si="166"/>
        <v>16.672413793103445</v>
      </c>
      <c r="DP204" s="410">
        <f t="shared" si="167"/>
        <v>0</v>
      </c>
      <c r="DQ204" s="405" t="s">
        <v>856</v>
      </c>
      <c r="DR204" s="409" t="s">
        <v>3778</v>
      </c>
      <c r="DS204" s="420" t="str">
        <f t="shared" si="133"/>
        <v>FLINTSL - WHITE</v>
      </c>
      <c r="DT204" s="409">
        <v>30</v>
      </c>
      <c r="DU204" s="411">
        <f>IF(DT204=0,0,IF($LB204=70%,VLOOKUP($DS204,'Jan-2026 rates'!$L:$R,4,0),IF($LB204=65%,VLOOKUP($DS204,'Jan-2026 rates'!$L:$R,4,0),IF($LB204=40%,VLOOKUP($DS204,'Jan-2026 rates'!$L:$R,5,0),IF($LB204=30%,VLOOKUP($DS204,'Jan-2026 rates'!$L:$R,6,0),IF($LB204=100%,VLOOKUP($DS204,'Jan-2026 rates'!$L:$R,7,0),IF($LB204=60%,VLOOKUP($DS204,'Jan-2026 rates'!$L:$S,8,0),IF($LB204=80%,VLOOKUP($DS204,'Jan-2026 rates'!L:T,9,0),0))))))))</f>
        <v>0</v>
      </c>
      <c r="DV204" s="412"/>
      <c r="DW204" s="409"/>
      <c r="DX204" s="411">
        <f>IF(DW204=0,0,IF($LB204=70%,VLOOKUP($DS204,'Jan-2026 rates'!$L:$R,4,0),IF($LB204=65%,VLOOKUP($DS204,'Jan-2026 rates'!$L:$R,4,0),IF($LB204=40%,VLOOKUP($DS204,'Jan-2026 rates'!$L:$R,5,0),IF($LB204=30%,VLOOKUP($DS204,'Jan-2026 rates'!$L:$R,6,0),IF($LB204=100%,VLOOKUP($DS204,'Jan-2026 rates'!$L:$R,7,0),IF($LB204=60%,VLOOKUP($DS204,'Jan-2026 rates'!$L:$S,8,0),IF($LB204=80%,VLOOKUP($DS204,'Jan-2026 rates'!L:T,9,0),0))))))))</f>
        <v>0</v>
      </c>
      <c r="DY204" s="413" t="s">
        <v>484</v>
      </c>
      <c r="DZ204" s="413"/>
      <c r="EA204" s="412"/>
      <c r="EB204" s="412"/>
      <c r="EC204" s="412"/>
      <c r="ED204" s="412"/>
      <c r="EE204" s="412"/>
      <c r="EF204" s="412"/>
      <c r="EG204" s="409">
        <f>30+10</f>
        <v>40</v>
      </c>
      <c r="EH204" s="398">
        <f>IF(EG204=0,0,IF(LEN(DY204)=11,_xlfn.XLOOKUP(DY204,'Dispensed Ink Rates'!C:C,'Dispensed Ink Rates'!CS:CS),VLOOKUP(DY204,'Jan-2026 rates'!$E:$F,2,0)))</f>
        <v>0</v>
      </c>
      <c r="EI204" s="409"/>
      <c r="EJ204" s="398">
        <f>IF(EI204=0,0,IF(LEN(DZ204)=11,_xlfn.XLOOKUP(DZ204,'Dispensed Ink Rates'!C:C,'Dispensed Ink Rates'!CS:CS),VLOOKUP(DZ204,'Jan-2026 rates'!$E:$F,2,0)))</f>
        <v>0</v>
      </c>
      <c r="EK204" s="409"/>
      <c r="EL204" s="398">
        <f>IF(EK204=0,0,IF(LEN(EA204)=11,_xlfn.XLOOKUP(EA204,'Dispensed Ink Rates'!C:C,'Dispensed Ink Rates'!CS:CS),VLOOKUP(EA204,'Jan-2026 rates'!$E:$F,2,0)))</f>
        <v>0</v>
      </c>
      <c r="EM204" s="409"/>
      <c r="EN204" s="398">
        <f>IF(EM204=0,0,IF(LEN(EB204)=11,_xlfn.XLOOKUP(EB204,'Dispensed Ink Rates'!C:C,'Dispensed Ink Rates'!CS:CS),VLOOKUP(EB204,'Jan-2026 rates'!$E:$F,2,0)))</f>
        <v>0</v>
      </c>
      <c r="EO204" s="409"/>
      <c r="EP204" s="398">
        <f>IF(EO204=0,0,IF(LEN(EC204)=11,_xlfn.XLOOKUP(EC204,'Dispensed Ink Rates'!C:C,'Dispensed Ink Rates'!CS:CS),VLOOKUP(EC204,'Jan-2026 rates'!$E:$F,2,0)))</f>
        <v>0</v>
      </c>
      <c r="EQ204" s="409"/>
      <c r="ER204" s="398">
        <f>IF(EQ204=0,0,IF(LEN(ED204)=11,_xlfn.XLOOKUP(ED204,'Dispensed Ink Rates'!C:C,'Dispensed Ink Rates'!CS:CS),VLOOKUP(ED204,'Jan-2026 rates'!$E:$F,2,0)))</f>
        <v>0</v>
      </c>
      <c r="ES204" s="409"/>
      <c r="ET204" s="398">
        <f>IF(ES204=0,0,IF(LEN(EE204)=11,_xlfn.XLOOKUP(EE204,'Dispensed Ink Rates'!C:C,'Dispensed Ink Rates'!CS:CS),VLOOKUP(EE204,'Jan-2026 rates'!$E:$F,2,0)))</f>
        <v>0</v>
      </c>
      <c r="EU204" s="409"/>
      <c r="EV204" s="398">
        <f>IF(EU204=0,0,IF(LEN(EF204)=11,_xlfn.XLOOKUP(EF204,'Dispensed Ink Rates'!C:C,'Dispensed Ink Rates'!CS:CS),VLOOKUP(EF204,'Jan-2026 rates'!$E:$F,2,0)))</f>
        <v>0</v>
      </c>
      <c r="EW204" s="409" t="s">
        <v>1443</v>
      </c>
      <c r="EX204" s="409">
        <v>30</v>
      </c>
      <c r="EY204" s="411">
        <f t="shared" si="168"/>
        <v>0</v>
      </c>
      <c r="EZ204" s="411">
        <f t="shared" si="169"/>
        <v>78.793103448275872</v>
      </c>
      <c r="FA204" s="410">
        <f t="shared" si="170"/>
        <v>0</v>
      </c>
      <c r="FB204" s="405"/>
      <c r="FC204" s="409"/>
      <c r="FD204" s="420" t="str">
        <f t="shared" si="134"/>
        <v xml:space="preserve"> - </v>
      </c>
      <c r="FE204" s="409"/>
      <c r="FF204" s="411">
        <f>IF(FE204=0,0,IF($LB204=70%,VLOOKUP($FD204,'Jan-2026 rates'!$L:$R,4,0),IF($LB204=65%,VLOOKUP($FD204,'Jan-2026 rates'!$L:$R,4,0),IF($LB204=40%,VLOOKUP($FD204,'Jan-2026 rates'!$L:$R,5,0),IF($LB204=30%,VLOOKUP($FD204,'Jan-2026 rates'!$L:$R,6,0),IF($LB204=100%,VLOOKUP($FD204,'Jan-2026 rates'!$L:$R,7,0),IF($LB204=60%,VLOOKUP($FD204,'Jan-2026 rates'!$L:$S,8,0),IF($LB204=80%,VLOOKUP($FD204,'Jan-2026 rates'!L:T,9,0),0))))))))</f>
        <v>0</v>
      </c>
      <c r="FG204" s="412"/>
      <c r="FH204" s="409"/>
      <c r="FI204" s="411">
        <f>IF(FH204=0,0,IF($LB204=70%,VLOOKUP($FD204,'Jan-2026 rates'!$L:$R,4,0),IF($LB204=65%,VLOOKUP($FD204,'Jan-2026 rates'!$L:$R,4,0),IF($LB204=40%,VLOOKUP($FD204,'Jan-2026 rates'!$L:$R,5,0),IF($LB204=30%,VLOOKUP($FD204,'Jan-2026 rates'!$L:$R,6,0),IF($LB204=100%,VLOOKUP($FD204,'Jan-2026 rates'!$L:$R,7,0),IF($LB204=60%,VLOOKUP($FD204,'Jan-2026 rates'!$L:$S,8,0),IF($LB204=80%,VLOOKUP($FD204,'Jan-2026 rates'!L:T,9,0),0))))))))</f>
        <v>0</v>
      </c>
      <c r="FJ204" s="413"/>
      <c r="FK204" s="413"/>
      <c r="FL204" s="413"/>
      <c r="FM204" s="412"/>
      <c r="FN204" s="412"/>
      <c r="FO204" s="412"/>
      <c r="FP204" s="412"/>
      <c r="FQ204" s="412"/>
      <c r="FR204" s="409"/>
      <c r="FS204" s="398">
        <f>IF(FR204=0,0,IF(LEN(FJ204)=11,_xlfn.XLOOKUP(FJ204,'Dispensed Ink Rates'!C:C,'Dispensed Ink Rates'!CS:CS),VLOOKUP(FJ204,'Jan-2026 rates'!$E:$F,2,0)))</f>
        <v>0</v>
      </c>
      <c r="FT204" s="409"/>
      <c r="FU204" s="398">
        <f>IF(FT204=0,0,IF(LEN(FK204)=11,_xlfn.XLOOKUP(FK204,'Dispensed Ink Rates'!C:C,'Dispensed Ink Rates'!CS:CS),VLOOKUP(FK204,'Jan-2026 rates'!$E:$F,2,0)))</f>
        <v>0</v>
      </c>
      <c r="FV204" s="409"/>
      <c r="FW204" s="398">
        <f>IF(FV204=0,0,IF(LEN(FL204)=11,_xlfn.XLOOKUP(FL204,'Dispensed Ink Rates'!C:C,'Dispensed Ink Rates'!CS:CS),VLOOKUP(FL204,'Jan-2026 rates'!$E:$F,2,0)))</f>
        <v>0</v>
      </c>
      <c r="FX204" s="409"/>
      <c r="FY204" s="398">
        <f>IF(FX204=0,0,IF(LEN(FM204)=11,_xlfn.XLOOKUP(FM204,'Dispensed Ink Rates'!C:C,'Dispensed Ink Rates'!CS:CS),VLOOKUP(FM204,'Jan-2026 rates'!$E:$F,2,0)))</f>
        <v>0</v>
      </c>
      <c r="FZ204" s="409"/>
      <c r="GA204" s="398">
        <f>IF(FZ204=0,0,IF(LEN(FN204)=11,_xlfn.XLOOKUP(FN204,'Dispensed Ink Rates'!C:C,'Dispensed Ink Rates'!CS:CS),VLOOKUP(FN204,'Jan-2026 rates'!$E:$F,2,0)))</f>
        <v>0</v>
      </c>
      <c r="GB204" s="409"/>
      <c r="GC204" s="398">
        <f>IF(GB204=0,0,IF(LEN(FO204)=11,_xlfn.XLOOKUP(FO204,'Dispensed Ink Rates'!C:C,'Dispensed Ink Rates'!CS:CS),VLOOKUP(FO204,'Jan-2026 rates'!$E:$F,2,0)))</f>
        <v>0</v>
      </c>
      <c r="GD204" s="409"/>
      <c r="GE204" s="398">
        <f>IF(GD204=0,0,IF(LEN(FP204)=11,_xlfn.XLOOKUP(FP204,'Dispensed Ink Rates'!C:C,'Dispensed Ink Rates'!CS:CS),VLOOKUP(FP204,'Jan-2026 rates'!$E:$F,2,0)))</f>
        <v>0</v>
      </c>
      <c r="GF204" s="409"/>
      <c r="GG204" s="398">
        <f>IF(GF204=0,0,IF(LEN(FQ204)=11,_xlfn.XLOOKUP(FQ204,'Dispensed Ink Rates'!C:C,'Dispensed Ink Rates'!CS:CS),VLOOKUP(FQ204,'Jan-2026 rates'!$E:$F,2,0)))</f>
        <v>0</v>
      </c>
      <c r="GH204" s="409"/>
      <c r="GI204" s="409"/>
      <c r="GJ204" s="411">
        <f t="shared" si="171"/>
        <v>0</v>
      </c>
      <c r="GK204" s="411">
        <f t="shared" si="172"/>
        <v>0</v>
      </c>
      <c r="GL204" s="410">
        <f t="shared" si="173"/>
        <v>0</v>
      </c>
      <c r="GM204" s="405"/>
      <c r="GN204" s="409"/>
      <c r="GO204" s="420" t="str">
        <f t="shared" si="135"/>
        <v xml:space="preserve"> - </v>
      </c>
      <c r="GP204" s="409"/>
      <c r="GQ204" s="411">
        <f>IF(GP204=0,0,IF($LB204=70%,VLOOKUP($GO204,'Jan-2026 rates'!$L:$R,4,0),IF($LB204=65%,VLOOKUP($GO204,'Jan-2026 rates'!$L:$R,4,0),IF($LB204=40%,VLOOKUP($GO204,'Jan-2026 rates'!$L:$R,5,0),IF($LB204=30%,VLOOKUP($GO204,'Jan-2026 rates'!$L:$R,6,0),IF($LB204=100%,VLOOKUP($GO204,'Jan-2026 rates'!$L:$R,7,0),IF($LB204=60%,VLOOKUP($GO204,'Jan-2026 rates'!$L:$S,8,0),IF($LB204=80%,VLOOKUP($GO204,'Jan-2026 rates'!L:T,9,0),0))))))))</f>
        <v>0</v>
      </c>
      <c r="GR204" s="412"/>
      <c r="GS204" s="409"/>
      <c r="GT204" s="411">
        <f>IF(GS204=0,0,IF($LB204=70%,VLOOKUP($GO204,'Jan-2026 rates'!$L:$R,4,0),IF($LB204=65%,VLOOKUP($GO204,'Jan-2026 rates'!$L:$R,4,0),IF($LB204=40%,VLOOKUP($GO204,'Jan-2026 rates'!$L:$R,5,0),IF($LB204=30%,VLOOKUP($GO204,'Jan-2026 rates'!$L:$R,6,0),IF($LB204=100%,VLOOKUP($GO204,'Jan-2026 rates'!$L:$R,7,0),IF($LB204=60%,VLOOKUP($GO204,'Jan-2026 rates'!$L:$S,8,0),IF($LB204=80%,VLOOKUP($GO204,'Jan-2026 rates'!L:T,9,0),0))))))))</f>
        <v>0</v>
      </c>
      <c r="GU204" s="413"/>
      <c r="GV204" s="413"/>
      <c r="GW204" s="412"/>
      <c r="GX204" s="412"/>
      <c r="GY204" s="412"/>
      <c r="GZ204" s="412"/>
      <c r="HA204" s="412"/>
      <c r="HB204" s="412"/>
      <c r="HC204" s="409"/>
      <c r="HD204" s="398">
        <f>IF(HC204=0,0,IF(LEN(GU204)=11,_xlfn.XLOOKUP(GU204,'Dispensed Ink Rates'!C:C,'Dispensed Ink Rates'!CS:CS),VLOOKUP(GU204,'Jan-2026 rates'!$E:$F,2,0)))</f>
        <v>0</v>
      </c>
      <c r="HE204" s="409"/>
      <c r="HF204" s="398">
        <f>IF(HE204=0,0,IF(LEN(GV204)=11,_xlfn.XLOOKUP(GV204,'Dispensed Ink Rates'!C:C,'Dispensed Ink Rates'!CS:CS),VLOOKUP(GV204,'Jan-2026 rates'!$E:$F,2,0)))</f>
        <v>0</v>
      </c>
      <c r="HG204" s="409"/>
      <c r="HH204" s="398">
        <f>IF(HG204=0,0,IF(LEN(GW204)=11,_xlfn.XLOOKUP(GW204,'Dispensed Ink Rates'!C:C,'Dispensed Ink Rates'!CS:CS),VLOOKUP(GW204,'Jan-2026 rates'!$E:$F,2,0)))</f>
        <v>0</v>
      </c>
      <c r="HI204" s="409"/>
      <c r="HJ204" s="398">
        <f>IF(HI204=0,0,IF(LEN(GX204)=11,_xlfn.XLOOKUP(GX204,'Dispensed Ink Rates'!C:C,'Dispensed Ink Rates'!CS:CS),VLOOKUP(GX204,'Jan-2026 rates'!$E:$F,2,0)))</f>
        <v>0</v>
      </c>
      <c r="HK204" s="409"/>
      <c r="HL204" s="398">
        <f>IF(HK204=0,0,IF(LEN(GY204)=11,_xlfn.XLOOKUP(GY204,'Dispensed Ink Rates'!C:C,'Dispensed Ink Rates'!CS:CS),VLOOKUP(GY204,'Jan-2026 rates'!$E:$F,2,0)))</f>
        <v>0</v>
      </c>
      <c r="HM204" s="409"/>
      <c r="HN204" s="398">
        <f>IF(HM204=0,0,IF(LEN(GZ204)=11,_xlfn.XLOOKUP(GZ204,'Dispensed Ink Rates'!C:C,'Dispensed Ink Rates'!CS:CS),VLOOKUP(GZ204,'Jan-2026 rates'!$E:$F,2,0)))</f>
        <v>0</v>
      </c>
      <c r="HO204" s="409"/>
      <c r="HP204" s="398">
        <f>IF(HO204=0,0,IF(LEN(HA204)=11,_xlfn.XLOOKUP(HA204,'Dispensed Ink Rates'!C:C,'Dispensed Ink Rates'!CS:CS),VLOOKUP(HA204,'Jan-2026 rates'!$E:$F,2,0)))</f>
        <v>0</v>
      </c>
      <c r="HQ204" s="409"/>
      <c r="HR204" s="398">
        <f>IF(HQ204=0,0,IF(LEN(HB204)=11,_xlfn.XLOOKUP(HB204,'Dispensed Ink Rates'!C:C,'Dispensed Ink Rates'!CS:CS),VLOOKUP(HB204,'Jan-2026 rates'!$E:$F,2,0)))</f>
        <v>0</v>
      </c>
      <c r="HS204" s="409"/>
      <c r="HT204" s="409"/>
      <c r="HU204" s="411">
        <f t="shared" si="174"/>
        <v>0</v>
      </c>
      <c r="HV204" s="411">
        <f t="shared" si="175"/>
        <v>0</v>
      </c>
      <c r="HW204" s="414">
        <f t="shared" si="176"/>
        <v>0</v>
      </c>
      <c r="HX204" s="405"/>
      <c r="HY204" s="409"/>
      <c r="HZ204" s="420" t="str">
        <f t="shared" si="136"/>
        <v xml:space="preserve"> - </v>
      </c>
      <c r="IA204" s="409"/>
      <c r="IB204" s="411">
        <f>IF(IA204=0,0,IF($LB204=70%,VLOOKUP($HZ204,'Jan-2026 rates'!$L:$R,4,0),IF($LB204=65%,VLOOKUP($HZ204,'Jan-2026 rates'!$L:$R,4,0),IF($LB204=40%,VLOOKUP($HZ204,'Jan-2026 rates'!$L:$R,5,0),IF($LB204=30%,VLOOKUP($HZ204,'Jan-2026 rates'!$L:$R,6,0),IF($LB204=100%,VLOOKUP($HZ204,'Jan-2026 rates'!$L:$R,7,0),IF($LB204=60%,VLOOKUP($HZ204,'Jan-2026 rates'!$L:$S,8,0),IF($LB204=80%,VLOOKUP($HZ204,'Jan-2026 rates'!L:T,9,0),0))))))))</f>
        <v>0</v>
      </c>
      <c r="IC204" s="412"/>
      <c r="ID204" s="409"/>
      <c r="IE204" s="411">
        <f>IF(ID204=0,0,IF($LB204=70%,VLOOKUP($HZ204,'Jan-2026 rates'!$L:$R,4,0),IF($LB204=65%,VLOOKUP($HZ204,'Jan-2026 rates'!$L:$R,4,0),IF($LB204=40%,VLOOKUP($HZ204,'Jan-2026 rates'!$L:$R,5,0),IF($LB204=30%,VLOOKUP($HZ204,'Jan-2026 rates'!$L:$R,6,0),IF($LB204=100%,VLOOKUP($HZ204,'Jan-2026 rates'!$L:$R,7,0),IF($LB204=60%,VLOOKUP($HZ204,'Jan-2026 rates'!$L:$S,8,0),IF($LB204=80%,VLOOKUP($HZ204,'Jan-2026 rates'!L:T,9,0),0))))))))</f>
        <v>0</v>
      </c>
      <c r="IF204" s="412"/>
      <c r="IG204" s="413"/>
      <c r="IH204" s="412"/>
      <c r="II204" s="412"/>
      <c r="IJ204" s="412"/>
      <c r="IK204" s="412"/>
      <c r="IL204" s="412"/>
      <c r="IM204" s="412"/>
      <c r="IN204" s="409"/>
      <c r="IO204" s="398">
        <f>IF(IN204=0,0,IF(LEN(IF204)=11,_xlfn.XLOOKUP(IF204,'Dispensed Ink Rates'!C:C,'Dispensed Ink Rates'!CS:CS),VLOOKUP(IF204,'Jan-2026 rates'!$E:$F,2,0)))</f>
        <v>0</v>
      </c>
      <c r="IP204" s="409"/>
      <c r="IQ204" s="398">
        <f>IF(IP204=0,0,IF(LEN(IG204)=11,_xlfn.XLOOKUP(IG204,'Dispensed Ink Rates'!C:C,'Dispensed Ink Rates'!CS:CS),VLOOKUP(IG204,'Jan-2026 rates'!$E:$F,2,0)))</f>
        <v>0</v>
      </c>
      <c r="IR204" s="409"/>
      <c r="IS204" s="398">
        <f>IF(IR204=0,0,IF(LEN(IH204)=11,_xlfn.XLOOKUP(IH204,'Dispensed Ink Rates'!C:C,'Dispensed Ink Rates'!CS:CS),VLOOKUP(IH204,'Jan-2026 rates'!$E:$F,2,0)))</f>
        <v>0</v>
      </c>
      <c r="IT204" s="409"/>
      <c r="IU204" s="398">
        <f>IF(IT204=0,0,IF(LEN(II204)=11,_xlfn.XLOOKUP(II204,'Dispensed Ink Rates'!C:C,'Dispensed Ink Rates'!CS:CS),VLOOKUP(II204,'Jan-2026 rates'!$E:$F,2,0)))</f>
        <v>0</v>
      </c>
      <c r="IV204" s="409"/>
      <c r="IW204" s="398">
        <f>IF(IV204=0,0,IF(LEN(IJ204)=11,_xlfn.XLOOKUP(IJ204,'Dispensed Ink Rates'!C:C,'Dispensed Ink Rates'!CS:CS),VLOOKUP(IJ204,'Jan-2026 rates'!$E:$F,2,0)))</f>
        <v>0</v>
      </c>
      <c r="IX204" s="409"/>
      <c r="IY204" s="398">
        <f>IF(IX204=0,0,IF(LEN(IK204)=11,_xlfn.XLOOKUP(IK204,'Dispensed Ink Rates'!C:C,'Dispensed Ink Rates'!CS:CS),VLOOKUP(IK204,'Jan-2026 rates'!$E:$F,2,0)))</f>
        <v>0</v>
      </c>
      <c r="IZ204" s="409"/>
      <c r="JA204" s="398">
        <f>IF(IZ204=0,0,IF(LEN(IL204)=11,_xlfn.XLOOKUP(IL204,'Dispensed Ink Rates'!C:C,'Dispensed Ink Rates'!CS:CS),VLOOKUP(IL204,'Jan-2026 rates'!$E:$F,2,0)))</f>
        <v>0</v>
      </c>
      <c r="JB204" s="409"/>
      <c r="JC204" s="398">
        <f>IF(JB204=0,0,IF(LEN(IM204)=11,_xlfn.XLOOKUP(IM204,'Dispensed Ink Rates'!C:C,'Dispensed Ink Rates'!CS:CS),VLOOKUP(IM204,'Jan-2026 rates'!$E:$F,2,0)))</f>
        <v>0</v>
      </c>
      <c r="JD204" s="409"/>
      <c r="JE204" s="409"/>
      <c r="JF204" s="411">
        <f t="shared" si="177"/>
        <v>0</v>
      </c>
      <c r="JG204" s="411">
        <f t="shared" si="178"/>
        <v>0</v>
      </c>
      <c r="JH204" s="410">
        <f t="shared" si="179"/>
        <v>0</v>
      </c>
      <c r="JI204" s="405"/>
      <c r="JJ204" s="409"/>
      <c r="JK204" s="420" t="str">
        <f t="shared" si="137"/>
        <v xml:space="preserve"> - </v>
      </c>
      <c r="JL204" s="409"/>
      <c r="JM204" s="411">
        <f>IF(JL204=0,0,IF($LB204=70%,VLOOKUP($JK204,'Jan-2026 rates'!$L:$R,4,0),IF($LB204=65%,VLOOKUP($JK204,'Jan-2026 rates'!$L:$R,4,0),IF($LB204=40%,VLOOKUP($JK204,'Jan-2026 rates'!$L:$R,5,0),IF($LB204=30%,VLOOKUP($JK204,'Jan-2026 rates'!$L:$R,6,0),IF($LB204=100%,VLOOKUP($JK204,'Jan-2026 rates'!$L:$R,7,0),IF($LB204=60%,VLOOKUP($JK204,'Jan-2026 rates'!$L:$S,8,0),IF($LB204=80%,VLOOKUP($JK204,'Jan-2026 rates'!L:T,9,0),0))))))))</f>
        <v>0</v>
      </c>
      <c r="JN204" s="412"/>
      <c r="JO204" s="409"/>
      <c r="JP204" s="411">
        <f>IF(JO204=0,0,IF($LB204=70%,VLOOKUP($JK204,'Jan-2026 rates'!$L:$R,4,0),IF($LB204=65%,VLOOKUP($JK204,'Jan-2026 rates'!$L:$R,4,0),IF($LB204=40%,VLOOKUP($JK204,'Jan-2026 rates'!$L:$R,5,0),IF($LB204=30%,VLOOKUP($JK204,'Jan-2026 rates'!$L:$R,6,0),IF($LB204=100%,VLOOKUP($JK204,'Jan-2026 rates'!$L:$R,7,0),IF($LB204=60%,VLOOKUP($JK204,'Jan-2026 rates'!$L:$S,8,0),IF($LB204=80%,VLOOKUP($JK204,'Jan-2026 rates'!L:T,9,0),0))))))))</f>
        <v>0</v>
      </c>
      <c r="JQ204" s="413"/>
      <c r="JR204" s="412"/>
      <c r="JS204" s="413"/>
      <c r="JT204" s="413"/>
      <c r="JU204" s="412"/>
      <c r="JV204" s="412"/>
      <c r="JW204" s="412"/>
      <c r="JX204" s="412"/>
      <c r="JY204" s="409"/>
      <c r="JZ204" s="398">
        <f>IF(JY204=0,0,IF(LEN(JQ204)=11,_xlfn.XLOOKUP(JQ204,'Dispensed Ink Rates'!C:C,'Dispensed Ink Rates'!CS:CS),VLOOKUP(JQ204,'Jan-2026 rates'!$E:$F,2,0)))</f>
        <v>0</v>
      </c>
      <c r="KA204" s="409"/>
      <c r="KB204" s="398">
        <f>IF(KA204=0,0,IF(LEN(JR204)=11,_xlfn.XLOOKUP(JR204,'Dispensed Ink Rates'!C:C,'Dispensed Ink Rates'!CS:CS),VLOOKUP(JR204,'Jan-2026 rates'!$E:$F,2,0)))</f>
        <v>0</v>
      </c>
      <c r="KC204" s="409"/>
      <c r="KD204" s="398">
        <f>IF(KC204=0,0,IF(LEN(JS204)=11,_xlfn.XLOOKUP(JS204,'Dispensed Ink Rates'!C:C,'Dispensed Ink Rates'!CS:CS),VLOOKUP(JS204,'Jan-2026 rates'!$E:$F,2,0)))</f>
        <v>0</v>
      </c>
      <c r="KE204" s="409"/>
      <c r="KF204" s="398">
        <f>IF(KE204=0,0,IF(LEN(JT204)=11,_xlfn.XLOOKUP(JT204,'Dispensed Ink Rates'!C:C,'Dispensed Ink Rates'!CS:CS),VLOOKUP(JT204,'Jan-2026 rates'!$E:$F,2,0)))</f>
        <v>0</v>
      </c>
      <c r="KG204" s="409"/>
      <c r="KH204" s="398">
        <f>IF(KG204=0,0,IF(LEN(JU204)=11,_xlfn.XLOOKUP(JU204,'Dispensed Ink Rates'!C:C,'Dispensed Ink Rates'!CS:CS),VLOOKUP(JU204,'Jan-2026 rates'!$E:$F,2,0)))</f>
        <v>0</v>
      </c>
      <c r="KI204" s="409"/>
      <c r="KJ204" s="398">
        <f>IF(KI204=0,0,IF(LEN(JV204)=11,_xlfn.XLOOKUP(JV204,'Dispensed Ink Rates'!C:C,'Dispensed Ink Rates'!CS:CS),VLOOKUP(JV204,'Jan-2026 rates'!$E:$F,2,0)))</f>
        <v>0</v>
      </c>
      <c r="KK204" s="409"/>
      <c r="KL204" s="398">
        <f>IF(KK204=0,0,IF(LEN(JW204)=11,_xlfn.XLOOKUP(JW204,'Dispensed Ink Rates'!C:C,'Dispensed Ink Rates'!CS:CS),VLOOKUP(JW204,'Jan-2026 rates'!$E:$F,2,0)))</f>
        <v>0</v>
      </c>
      <c r="KM204" s="428"/>
      <c r="KN204" s="398">
        <f>IF(KM204=0,0,IF(LEN(JX204)=11,_xlfn.XLOOKUP(JX204,'Dispensed Ink Rates'!C:C,'Dispensed Ink Rates'!CS:CS),VLOOKUP(JX204,'Jan-2026 rates'!$E:$F,2,0)))</f>
        <v>0</v>
      </c>
      <c r="KO204" s="409"/>
      <c r="KP204" s="409"/>
      <c r="KQ204" s="411">
        <f t="shared" si="180"/>
        <v>0</v>
      </c>
      <c r="KR204" s="411">
        <f t="shared" si="181"/>
        <v>0</v>
      </c>
      <c r="KS204" s="410">
        <f t="shared" si="182"/>
        <v>0</v>
      </c>
      <c r="KT204" s="409">
        <v>2</v>
      </c>
      <c r="KU204" s="409">
        <v>10</v>
      </c>
      <c r="KV204" s="409">
        <v>2</v>
      </c>
      <c r="KW204" s="409">
        <v>15</v>
      </c>
      <c r="KX204" s="409">
        <v>0</v>
      </c>
      <c r="KY204" s="409">
        <v>0</v>
      </c>
      <c r="KZ204" s="409">
        <v>0</v>
      </c>
      <c r="LA204" s="409">
        <v>0</v>
      </c>
      <c r="LB204" s="415">
        <v>0.8</v>
      </c>
      <c r="LC204" s="415">
        <v>0.2</v>
      </c>
      <c r="LD204" s="415"/>
      <c r="LE204" s="415"/>
      <c r="LF204" s="415"/>
      <c r="LG204" s="409">
        <v>0</v>
      </c>
      <c r="LH204" s="409">
        <f>25+10+32+8</f>
        <v>75</v>
      </c>
      <c r="LI204" s="409">
        <v>0</v>
      </c>
      <c r="LJ204" s="409">
        <v>0</v>
      </c>
      <c r="LK204" s="416">
        <f t="shared" si="138"/>
        <v>75</v>
      </c>
      <c r="LL204" s="416">
        <f t="shared" si="139"/>
        <v>75</v>
      </c>
      <c r="LM204" s="417">
        <f t="shared" si="140"/>
        <v>60</v>
      </c>
      <c r="LN204" s="417">
        <f>VLOOKUP($LM$8,'Jan-2026 rates'!$H:$I,2,0)</f>
        <v>0</v>
      </c>
      <c r="LO204" s="417">
        <f t="shared" si="141"/>
        <v>15</v>
      </c>
      <c r="LP204" s="417">
        <f>VLOOKUP($LO$8,'Jan-2026 rates'!$H:$I,2,0)</f>
        <v>0</v>
      </c>
      <c r="LQ204" s="417">
        <f t="shared" si="142"/>
        <v>0</v>
      </c>
      <c r="LR204" s="417">
        <f>VLOOKUP($LQ$8,'Jan-2026 rates'!$H:$I,2,0)</f>
        <v>0</v>
      </c>
      <c r="LS204" s="417">
        <f t="shared" si="143"/>
        <v>0</v>
      </c>
      <c r="LT204" s="417">
        <f>VLOOKUP($LS$8,'Jan-2026 rates'!$H:$I,2,0)</f>
        <v>0</v>
      </c>
      <c r="LU204" s="417">
        <f t="shared" si="144"/>
        <v>0</v>
      </c>
      <c r="LV204" s="417">
        <f>VLOOKUP($LU$8,'Jan-2026 rates'!$H:$I,2,0)</f>
        <v>0</v>
      </c>
      <c r="LW204" s="417">
        <f t="shared" si="145"/>
        <v>0</v>
      </c>
      <c r="LX204" s="417">
        <f t="shared" si="146"/>
        <v>0</v>
      </c>
      <c r="LY204" s="418">
        <f t="shared" si="147"/>
        <v>0</v>
      </c>
      <c r="LZ204" s="417"/>
      <c r="MA204" s="435">
        <f t="shared" si="148"/>
        <v>76.34</v>
      </c>
      <c r="MB204" s="282">
        <f t="shared" si="149"/>
        <v>128.34</v>
      </c>
      <c r="MC204" s="283">
        <v>97</v>
      </c>
      <c r="MD204" s="284" t="str">
        <f t="shared" si="150"/>
        <v>FLINTSLToyoLiFLINTSLFLINTSL</v>
      </c>
      <c r="ME204" s="293" t="str">
        <f t="shared" si="151"/>
        <v>+</v>
      </c>
      <c r="MF204" s="293" t="str">
        <f t="shared" si="152"/>
        <v>+</v>
      </c>
      <c r="MG204" s="293" t="str">
        <f t="shared" si="153"/>
        <v>+</v>
      </c>
      <c r="MH204" s="293" t="str">
        <f t="shared" si="154"/>
        <v>+</v>
      </c>
      <c r="MI204" s="293" t="str">
        <f t="shared" si="155"/>
        <v>NIL</v>
      </c>
      <c r="MJ204" s="293" t="str">
        <f t="shared" si="156"/>
        <v>NIL</v>
      </c>
      <c r="MK204" s="293" t="str">
        <f t="shared" si="157"/>
        <v>NIL</v>
      </c>
      <c r="ML204" s="293" t="str">
        <f t="shared" si="158"/>
        <v>NIL</v>
      </c>
      <c r="MM204" s="3" t="b">
        <f t="array" ref="MM204">OR(ME204:ML204="-")</f>
        <v>0</v>
      </c>
      <c r="MN204" s="285"/>
      <c r="MO204" s="401"/>
      <c r="MP204" s="286"/>
      <c r="MQ204" s="286"/>
      <c r="MR204" s="402"/>
      <c r="MS204" s="400"/>
      <c r="NH204" s="422"/>
      <c r="NJ204" s="421"/>
    </row>
    <row r="205" spans="1:374" s="1" customFormat="1" ht="16.5">
      <c r="A205" s="403">
        <v>46036</v>
      </c>
      <c r="B205" s="404" t="s">
        <v>1018</v>
      </c>
      <c r="C205" s="405" t="s">
        <v>3779</v>
      </c>
      <c r="D205" s="406">
        <v>98</v>
      </c>
      <c r="E205" s="404">
        <v>2521</v>
      </c>
      <c r="F205" s="407">
        <v>101700</v>
      </c>
      <c r="G205" s="407" t="s">
        <v>1019</v>
      </c>
      <c r="H205" s="408" t="s">
        <v>1017</v>
      </c>
      <c r="I205" s="409">
        <v>2</v>
      </c>
      <c r="J205" s="405" t="s">
        <v>543</v>
      </c>
      <c r="K205" s="404" t="s">
        <v>3769</v>
      </c>
      <c r="L205" s="419" t="str">
        <f t="shared" si="131"/>
        <v>FLINTSL - BLACK</v>
      </c>
      <c r="M205" s="404">
        <v>26</v>
      </c>
      <c r="N205" s="410">
        <f>IF(M205=0,0,IF($LB205=70%,VLOOKUP($L205,'Jan-2026 rates'!$L:$R,4,0),IF($LB205=65%,VLOOKUP($L205,'Jan-2026 rates'!$L:$R,4,0),IF($LB205=40%,VLOOKUP($L205,'Jan-2026 rates'!$L:$R,5,0),IF($LB205=30%,VLOOKUP($L205,'Jan-2026 rates'!$L:$R,6,0),IF($LB205=100%,VLOOKUP($L205,'Jan-2026 rates'!$L:$R,7,0),IF($LB205=60%,VLOOKUP($L205,'Jan-2026 rates'!$L:$S,8,0),IF($LB205=80%,VLOOKUP($L205,'Jan-2026 rates'!L:T,9,0),0))))))))</f>
        <v>0</v>
      </c>
      <c r="O205" s="406"/>
      <c r="P205" s="404"/>
      <c r="Q205" s="410">
        <f>IF(P205=0,0,IF($LB205=70%,VLOOKUP($L205,'Jan-2026 rates'!$L:$R,4,0),IF($LB205=65%,VLOOKUP($L205,'Jan-2026 rates'!$L:$R,4,0),IF($LB205=40%,VLOOKUP($L205,'Jan-2026 rates'!$L:$R,5,0),IF($LB205=30%,VLOOKUP($L205,'Jan-2026 rates'!$L:$R,6,0),IF($LB205=100%,VLOOKUP($L205,'Jan-2026 rates'!$L:$R,7,0),IF($LB205=60%,VLOOKUP($L205,'Jan-2026 rates'!$L:$S,8,0),IF($LB205=80%,VLOOKUP($L205,'Jan-2026 rates'!L:T,9,0),0))))))))</f>
        <v>0</v>
      </c>
      <c r="R205" s="406">
        <v>26517000042</v>
      </c>
      <c r="S205" s="406"/>
      <c r="T205" s="406"/>
      <c r="U205" s="406"/>
      <c r="V205" s="406"/>
      <c r="W205" s="406"/>
      <c r="X205" s="406"/>
      <c r="Y205" s="406"/>
      <c r="Z205" s="404">
        <v>5</v>
      </c>
      <c r="AA205" s="398" t="e">
        <f>IF(Z205=0,0,IF(LEN(R205)=11,_xlfn.XLOOKUP(R205,'Dispensed Ink Rates'!C:C,'Dispensed Ink Rates'!CS:CS),VLOOKUP(R205,'Jan-2026 rates'!$E:$F,2,0)))</f>
        <v>#N/A</v>
      </c>
      <c r="AB205" s="404"/>
      <c r="AC205" s="398">
        <f>IF(AB205=0,0,IF(LEN(S205)=11,_xlfn.XLOOKUP(S205,'Dispensed Ink Rates'!C:C,'Dispensed Ink Rates'!CS:CS),VLOOKUP(S205,'Jan-2026 rates'!$E:$F,2,0)))</f>
        <v>0</v>
      </c>
      <c r="AD205" s="404"/>
      <c r="AE205" s="398">
        <f>IF(AD205=0,0,IF(LEN(T205)=11,_xlfn.XLOOKUP(T205,'Dispensed Ink Rates'!C:C,'Dispensed Ink Rates'!CS:CS),VLOOKUP(T205,'Jan-2026 rates'!$E:$F,2,0)))</f>
        <v>0</v>
      </c>
      <c r="AF205" s="404"/>
      <c r="AG205" s="398">
        <f>IF(AF205=0,0,IF(LEN(U205)=11,_xlfn.XLOOKUP(U205,'Dispensed Ink Rates'!C:C,'Dispensed Ink Rates'!CS:CS),VLOOKUP(U205,'Jan-2026 rates'!$E:$F,2,0)))</f>
        <v>0</v>
      </c>
      <c r="AH205" s="404"/>
      <c r="AI205" s="398">
        <f>IF(AH205=0,0,IF(LEN(V205)=11,_xlfn.XLOOKUP(V205,'Dispensed Ink Rates'!C:C,'Dispensed Ink Rates'!CS:CS),VLOOKUP(V205,'Jan-2026 rates'!$E:$F,2,0)))</f>
        <v>0</v>
      </c>
      <c r="AJ205" s="404"/>
      <c r="AK205" s="398">
        <f>IF(AJ205=0,0,IF(LEN(W205)=11,_xlfn.XLOOKUP(W205,'Dispensed Ink Rates'!C:C,'Dispensed Ink Rates'!CS:CS),VLOOKUP(W205,'Jan-2026 rates'!$E:$F,2,0)))</f>
        <v>0</v>
      </c>
      <c r="AL205" s="404"/>
      <c r="AM205" s="398">
        <f>IF(AL205=0,0,IF(LEN(X205)=11,_xlfn.XLOOKUP(X205,'Dispensed Ink Rates'!C:C,'Dispensed Ink Rates'!CS:CS),VLOOKUP(X205,'Jan-2026 rates'!$E:$F,2,0)))</f>
        <v>0</v>
      </c>
      <c r="AN205" s="404"/>
      <c r="AO205" s="398">
        <f>IF(AN205=0,0,IF(LEN(Y205)=11,_xlfn.XLOOKUP(Y205,'Dispensed Ink Rates'!C:C,'Dispensed Ink Rates'!CS:CS),VLOOKUP(Y205,'Jan-2026 rates'!$E:$F,2,0)))</f>
        <v>0</v>
      </c>
      <c r="AP205" s="409" t="s">
        <v>1443</v>
      </c>
      <c r="AQ205" s="409">
        <v>24</v>
      </c>
      <c r="AR205" s="410">
        <f t="shared" si="159"/>
        <v>0</v>
      </c>
      <c r="AS205" s="411">
        <f t="shared" si="160"/>
        <v>18.101321585903086</v>
      </c>
      <c r="AT205" s="410">
        <f t="shared" si="161"/>
        <v>0</v>
      </c>
      <c r="AU205" s="405" t="s">
        <v>546</v>
      </c>
      <c r="AV205" s="409" t="s">
        <v>3323</v>
      </c>
      <c r="AW205" s="420" t="str">
        <f t="shared" ref="AW205:AW293" si="183">CONCATENATE(CA205," - ",AU205)</f>
        <v>FLINTSL - REFLEX BLUE</v>
      </c>
      <c r="AX205" s="409">
        <v>31</v>
      </c>
      <c r="AY205" s="411">
        <f>IF(AX205=0,0,IF($LB205=70%,VLOOKUP($AW205,'Jan-2026 rates'!$L:$R,4,0),IF($LB205=65%,VLOOKUP($AW205,'Jan-2026 rates'!$L:$R,4,0),IF($LB205=40%,VLOOKUP($AW205,'Jan-2026 rates'!$L:$R,5,0),IF($LB205=30%,VLOOKUP($AW205,'Jan-2026 rates'!$L:$R,6,0),IF($LB205=100%,VLOOKUP($AW205,'Jan-2026 rates'!$L:$R,7,0),IF($LB205=60%,VLOOKUP($AW205,'Jan-2026 rates'!$L:$S,8,0),IF($LB205=80%,VLOOKUP($AW205,'Jan-2026 rates'!L:T,9,0),0))))))))</f>
        <v>0</v>
      </c>
      <c r="AZ205" s="412" t="s">
        <v>3274</v>
      </c>
      <c r="BA205" s="409">
        <v>15</v>
      </c>
      <c r="BB205" s="411">
        <f>IF(BA205=0,0,IF($LB205=70%,VLOOKUP($AW205,'Jan-2026 rates'!$L:$R,4,0),IF($LB205=65%,VLOOKUP($AW205,'Jan-2026 rates'!$L:$R,4,0),IF($LB205=40%,VLOOKUP($AW205,'Jan-2026 rates'!$L:$R,5,0),IF($LB205=30%,VLOOKUP($AW205,'Jan-2026 rates'!$L:$R,6,0),IF($LB205=100%,VLOOKUP($AW205,'Jan-2026 rates'!$L:$R,7,0),IF($LB205=60%,VLOOKUP($AW205,'Jan-2026 rates'!$L:$S,8,0),IF($LB205=80%,VLOOKUP($AW205,'Jan-2026 rates'!L:T,9,0),0))))))))</f>
        <v>0</v>
      </c>
      <c r="BC205" s="413">
        <v>26514000006</v>
      </c>
      <c r="BD205" s="412">
        <v>26507000025</v>
      </c>
      <c r="BE205" s="412">
        <v>26512000001</v>
      </c>
      <c r="BF205" s="413">
        <v>26517000042</v>
      </c>
      <c r="BG205" s="412"/>
      <c r="BH205" s="412"/>
      <c r="BI205" s="412"/>
      <c r="BJ205" s="412"/>
      <c r="BK205" s="409">
        <v>5</v>
      </c>
      <c r="BL205" s="398" t="e">
        <f>IF(BK205=0,0,IF(LEN(BC205)=11,_xlfn.XLOOKUP(BC205,'Dispensed Ink Rates'!C:C,'Dispensed Ink Rates'!CS:CS),VLOOKUP(BC205,'Jan-2026 rates'!$E:$F,2,0)))</f>
        <v>#N/A</v>
      </c>
      <c r="BM205" s="409">
        <v>5</v>
      </c>
      <c r="BN205" s="398" t="e">
        <f>IF(BM205=0,0,IF(LEN(BD205)=11,_xlfn.XLOOKUP(BD205,'Dispensed Ink Rates'!C:C,'Dispensed Ink Rates'!CS:CS),VLOOKUP(BD205,'Jan-2026 rates'!$E:$F,2,0)))</f>
        <v>#N/A</v>
      </c>
      <c r="BO205" s="409">
        <v>7</v>
      </c>
      <c r="BP205" s="398" t="e">
        <f>IF(BO205=0,0,IF(LEN(BE205)=11,_xlfn.XLOOKUP(BE205,'Dispensed Ink Rates'!C:C,'Dispensed Ink Rates'!CS:CS),VLOOKUP(BE205,'Jan-2026 rates'!$E:$F,2,0)))</f>
        <v>#N/A</v>
      </c>
      <c r="BQ205" s="409">
        <v>1</v>
      </c>
      <c r="BR205" s="398" t="e">
        <f>IF(BQ205=0,0,IF(LEN(BF205)=11,_xlfn.XLOOKUP(BF205,'Dispensed Ink Rates'!C:C,'Dispensed Ink Rates'!CS:CS),VLOOKUP(BF205,'Jan-2026 rates'!$E:$F,2,0)))</f>
        <v>#N/A</v>
      </c>
      <c r="BS205" s="409"/>
      <c r="BT205" s="398">
        <f>IF(BS205=0,0,IF(LEN(BG205)=11,_xlfn.XLOOKUP(BG205,'Dispensed Ink Rates'!C:C,'Dispensed Ink Rates'!CS:CS),VLOOKUP(BG205,'Jan-2026 rates'!$E:$F,2,0)))</f>
        <v>0</v>
      </c>
      <c r="BU205" s="409"/>
      <c r="BV205" s="398">
        <f>IF(BU205=0,0,IF(LEN(BH205)=11,_xlfn.XLOOKUP(BH205,'Dispensed Ink Rates'!C:C,'Dispensed Ink Rates'!CS:CS),VLOOKUP(BH205,'Jan-2026 rates'!$E:$F,2,0)))</f>
        <v>0</v>
      </c>
      <c r="BW205" s="409"/>
      <c r="BX205" s="398">
        <f>IF(BW205=0,0,IF(LEN(BI205)=11,_xlfn.XLOOKUP(BI205,'Dispensed Ink Rates'!C:C,'Dispensed Ink Rates'!CS:CS),VLOOKUP(BI205,'Jan-2026 rates'!$E:$F,2,0)))</f>
        <v>0</v>
      </c>
      <c r="BY205" s="409"/>
      <c r="BZ205" s="398">
        <f>IF(BY205=0,0,IF(LEN(BJ205)=11,_xlfn.XLOOKUP(BJ205,'Dispensed Ink Rates'!C:C,'Dispensed Ink Rates'!CS:CS),VLOOKUP(BJ205,'Jan-2026 rates'!$E:$F,2,0)))</f>
        <v>0</v>
      </c>
      <c r="CA205" s="409" t="s">
        <v>1443</v>
      </c>
      <c r="CB205" s="409">
        <v>25</v>
      </c>
      <c r="CC205" s="411">
        <f t="shared" si="162"/>
        <v>0</v>
      </c>
      <c r="CD205" s="411">
        <f t="shared" si="163"/>
        <v>76.744493392070481</v>
      </c>
      <c r="CE205" s="410">
        <f t="shared" si="164"/>
        <v>0</v>
      </c>
      <c r="CF205" s="404" t="s">
        <v>547</v>
      </c>
      <c r="CG205" s="409" t="s">
        <v>3383</v>
      </c>
      <c r="CH205" s="420" t="str">
        <f t="shared" si="132"/>
        <v>FLINTSL - GREEN</v>
      </c>
      <c r="CI205" s="409">
        <v>16</v>
      </c>
      <c r="CJ205" s="411">
        <f>IF(CI205=0,0,IF($LB205=70%,VLOOKUP($CH205,'Jan-2026 rates'!$L:$R,4,0),IF($LB205=65%,VLOOKUP($CH205,'Jan-2026 rates'!$L:$R,4,0),IF($LB205=40%,VLOOKUP($CH205,'Jan-2026 rates'!$L:$R,5,0),IF($LB205=30%,VLOOKUP($CH205,'Jan-2026 rates'!$L:$R,6,0),IF($LB205=100%,VLOOKUP($CH205,'Jan-2026 rates'!$L:$R,7,0),IF($LB205=60%,VLOOKUP($CH205,'Jan-2026 rates'!$L:$S,8,0),IF($LB205=80%,VLOOKUP($CH205,'Jan-2026 rates'!L:T,9,0),0))))))))</f>
        <v>0</v>
      </c>
      <c r="CK205" s="412" t="s">
        <v>3780</v>
      </c>
      <c r="CL205" s="409">
        <v>26</v>
      </c>
      <c r="CM205" s="411">
        <f>IF(CL205=0,0,IF($LB205=70%,VLOOKUP($CH205,'Jan-2026 rates'!$L:$R,4,0),IF($LB205=65%,VLOOKUP($CH205,'Jan-2026 rates'!$L:$R,4,0),IF($LB205=40%,VLOOKUP($CH205,'Jan-2026 rates'!$L:$R,5,0),IF($LB205=30%,VLOOKUP($CH205,'Jan-2026 rates'!$L:$R,6,0),IF($LB205=100%,VLOOKUP($CH205,'Jan-2026 rates'!$L:$R,7,0),IF($LB205=60%,VLOOKUP($CH205,'Jan-2026 rates'!$L:$S,8,0),IF($LB205=80%,VLOOKUP($CH205,'Jan-2026 rates'!L:T,9,0),0))))))))</f>
        <v>0</v>
      </c>
      <c r="CN205" s="426">
        <v>26517000042</v>
      </c>
      <c r="CO205" s="427"/>
      <c r="CP205" s="426"/>
      <c r="CQ205" s="426"/>
      <c r="CR205" s="428"/>
      <c r="CS205" s="428"/>
      <c r="CT205" s="428"/>
      <c r="CU205" s="428"/>
      <c r="CV205" s="409">
        <v>1</v>
      </c>
      <c r="CW205" s="398" t="e">
        <f>IF(CV205=0,0,IF(LEN(CN205)=11,_xlfn.XLOOKUP(CN205,'Dispensed Ink Rates'!C:C,'Dispensed Ink Rates'!CS:CS),VLOOKUP(CN205,'Jan-2026 rates'!$E:$F,2,0)))</f>
        <v>#N/A</v>
      </c>
      <c r="CX205" s="409"/>
      <c r="CY205" s="398">
        <f>IF(CX205=0,0,IF(LEN(CO205)=11,_xlfn.XLOOKUP(CO205,'Dispensed Ink Rates'!C:C,'Dispensed Ink Rates'!CS:CS),VLOOKUP(CO205,'Jan-2026 rates'!$E:$F,2,0)))</f>
        <v>0</v>
      </c>
      <c r="CZ205" s="409"/>
      <c r="DA205" s="398">
        <f>IF(CZ205=0,0,IF(LEN(CP205)=11,_xlfn.XLOOKUP(CP205,'Dispensed Ink Rates'!C:C,'Dispensed Ink Rates'!CS:CS),VLOOKUP(CP205,'Jan-2026 rates'!$E:$F,2,0)))</f>
        <v>0</v>
      </c>
      <c r="DB205" s="409"/>
      <c r="DC205" s="398">
        <f>IF(DB205=0,0,IF(LEN(CQ205)=11,_xlfn.XLOOKUP(CQ205,'Dispensed Ink Rates'!C:C,'Dispensed Ink Rates'!CS:CS),VLOOKUP(CQ205,'Jan-2026 rates'!$E:$F,2,0)))</f>
        <v>0</v>
      </c>
      <c r="DD205" s="409"/>
      <c r="DE205" s="398">
        <f>IF(DD205=0,0,IF(LEN(CR205)=11,_xlfn.XLOOKUP(CR205,'Dispensed Ink Rates'!C:C,'Dispensed Ink Rates'!CS:CS),VLOOKUP(CR205,'Jan-2026 rates'!$E:$F,2,0)))</f>
        <v>0</v>
      </c>
      <c r="DF205" s="409"/>
      <c r="DG205" s="398">
        <f>IF(DF205=0,0,IF(LEN(CS205)=11,_xlfn.XLOOKUP(CS205,'Dispensed Ink Rates'!C:C,'Dispensed Ink Rates'!CS:CS),VLOOKUP(CS205,'Jan-2026 rates'!$E:$F,2,0)))</f>
        <v>0</v>
      </c>
      <c r="DH205" s="409"/>
      <c r="DI205" s="398">
        <f>IF(DH205=0,0,IF(LEN(CT205)=11,_xlfn.XLOOKUP(CT205,'Dispensed Ink Rates'!C:C,'Dispensed Ink Rates'!CS:CS),VLOOKUP(CT205,'Jan-2026 rates'!$E:$F,2,0)))</f>
        <v>0</v>
      </c>
      <c r="DJ205" s="409"/>
      <c r="DK205" s="398">
        <f>IF(DJ205=0,0,IF(LEN(CU205)=11,_xlfn.XLOOKUP(CU205,'Dispensed Ink Rates'!C:C,'Dispensed Ink Rates'!CS:CS),VLOOKUP(CU205,'Jan-2026 rates'!$E:$F,2,0)))</f>
        <v>0</v>
      </c>
      <c r="DL205" s="409" t="s">
        <v>1443</v>
      </c>
      <c r="DM205" s="409">
        <v>32</v>
      </c>
      <c r="DN205" s="411">
        <f t="shared" si="165"/>
        <v>0</v>
      </c>
      <c r="DO205" s="411">
        <f t="shared" si="166"/>
        <v>22.101321585903086</v>
      </c>
      <c r="DP205" s="410">
        <f t="shared" si="167"/>
        <v>0</v>
      </c>
      <c r="DQ205" s="405" t="s">
        <v>855</v>
      </c>
      <c r="DR205" s="409" t="s">
        <v>3772</v>
      </c>
      <c r="DS205" s="420" t="str">
        <f t="shared" si="133"/>
        <v>FLINTSL - CYAN</v>
      </c>
      <c r="DT205" s="409">
        <v>20</v>
      </c>
      <c r="DU205" s="411">
        <f>IF(DT205=0,0,IF($LB205=70%,VLOOKUP($DS205,'Jan-2026 rates'!$L:$R,4,0),IF($LB205=65%,VLOOKUP($DS205,'Jan-2026 rates'!$L:$R,4,0),IF($LB205=40%,VLOOKUP($DS205,'Jan-2026 rates'!$L:$R,5,0),IF($LB205=30%,VLOOKUP($DS205,'Jan-2026 rates'!$L:$R,6,0),IF($LB205=100%,VLOOKUP($DS205,'Jan-2026 rates'!$L:$R,7,0),IF($LB205=60%,VLOOKUP($DS205,'Jan-2026 rates'!$L:$S,8,0),IF($LB205=80%,VLOOKUP($DS205,'Jan-2026 rates'!L:T,9,0),0))))))))</f>
        <v>0</v>
      </c>
      <c r="DV205" s="412"/>
      <c r="DW205" s="409"/>
      <c r="DX205" s="411">
        <f>IF(DW205=0,0,IF($LB205=70%,VLOOKUP($DS205,'Jan-2026 rates'!$L:$R,4,0),IF($LB205=65%,VLOOKUP($DS205,'Jan-2026 rates'!$L:$R,4,0),IF($LB205=40%,VLOOKUP($DS205,'Jan-2026 rates'!$L:$R,5,0),IF($LB205=30%,VLOOKUP($DS205,'Jan-2026 rates'!$L:$R,6,0),IF($LB205=100%,VLOOKUP($DS205,'Jan-2026 rates'!$L:$R,7,0),IF($LB205=60%,VLOOKUP($DS205,'Jan-2026 rates'!$L:$S,8,0),IF($LB205=80%,VLOOKUP($DS205,'Jan-2026 rates'!L:T,9,0),0))))))))</f>
        <v>0</v>
      </c>
      <c r="DY205" s="413" t="s">
        <v>1266</v>
      </c>
      <c r="DZ205" s="413"/>
      <c r="EA205" s="412"/>
      <c r="EB205" s="412"/>
      <c r="EC205" s="412"/>
      <c r="ED205" s="412"/>
      <c r="EE205" s="412"/>
      <c r="EF205" s="412"/>
      <c r="EG205" s="409">
        <v>7</v>
      </c>
      <c r="EH205" s="398">
        <f>IF(EG205=0,0,IF(LEN(DY205)=11,_xlfn.XLOOKUP(DY205,'Dispensed Ink Rates'!C:C,'Dispensed Ink Rates'!CS:CS),VLOOKUP(DY205,'Jan-2026 rates'!$E:$F,2,0)))</f>
        <v>0</v>
      </c>
      <c r="EI205" s="409"/>
      <c r="EJ205" s="398">
        <f>IF(EI205=0,0,IF(LEN(DZ205)=11,_xlfn.XLOOKUP(DZ205,'Dispensed Ink Rates'!C:C,'Dispensed Ink Rates'!CS:CS),VLOOKUP(DZ205,'Jan-2026 rates'!$E:$F,2,0)))</f>
        <v>0</v>
      </c>
      <c r="EK205" s="409"/>
      <c r="EL205" s="398">
        <f>IF(EK205=0,0,IF(LEN(EA205)=11,_xlfn.XLOOKUP(EA205,'Dispensed Ink Rates'!C:C,'Dispensed Ink Rates'!CS:CS),VLOOKUP(EA205,'Jan-2026 rates'!$E:$F,2,0)))</f>
        <v>0</v>
      </c>
      <c r="EM205" s="409"/>
      <c r="EN205" s="398">
        <f>IF(EM205=0,0,IF(LEN(EB205)=11,_xlfn.XLOOKUP(EB205,'Dispensed Ink Rates'!C:C,'Dispensed Ink Rates'!CS:CS),VLOOKUP(EB205,'Jan-2026 rates'!$E:$F,2,0)))</f>
        <v>0</v>
      </c>
      <c r="EO205" s="409"/>
      <c r="EP205" s="398">
        <f>IF(EO205=0,0,IF(LEN(EC205)=11,_xlfn.XLOOKUP(EC205,'Dispensed Ink Rates'!C:C,'Dispensed Ink Rates'!CS:CS),VLOOKUP(EC205,'Jan-2026 rates'!$E:$F,2,0)))</f>
        <v>0</v>
      </c>
      <c r="EQ205" s="409"/>
      <c r="ER205" s="398">
        <f>IF(EQ205=0,0,IF(LEN(ED205)=11,_xlfn.XLOOKUP(ED205,'Dispensed Ink Rates'!C:C,'Dispensed Ink Rates'!CS:CS),VLOOKUP(ED205,'Jan-2026 rates'!$E:$F,2,0)))</f>
        <v>0</v>
      </c>
      <c r="ES205" s="409"/>
      <c r="ET205" s="398">
        <f>IF(ES205=0,0,IF(LEN(EE205)=11,_xlfn.XLOOKUP(EE205,'Dispensed Ink Rates'!C:C,'Dispensed Ink Rates'!CS:CS),VLOOKUP(EE205,'Jan-2026 rates'!$E:$F,2,0)))</f>
        <v>0</v>
      </c>
      <c r="EU205" s="409"/>
      <c r="EV205" s="398">
        <f>IF(EU205=0,0,IF(LEN(EF205)=11,_xlfn.XLOOKUP(EF205,'Dispensed Ink Rates'!C:C,'Dispensed Ink Rates'!CS:CS),VLOOKUP(EF205,'Jan-2026 rates'!$E:$F,2,0)))</f>
        <v>0</v>
      </c>
      <c r="EW205" s="409" t="s">
        <v>1443</v>
      </c>
      <c r="EX205" s="409">
        <v>26</v>
      </c>
      <c r="EY205" s="411">
        <f t="shared" si="168"/>
        <v>0</v>
      </c>
      <c r="EZ205" s="411">
        <f t="shared" si="169"/>
        <v>12.101321585903086</v>
      </c>
      <c r="FA205" s="410">
        <f t="shared" si="170"/>
        <v>0</v>
      </c>
      <c r="FB205" s="405" t="s">
        <v>544</v>
      </c>
      <c r="FC205" s="409" t="s">
        <v>3781</v>
      </c>
      <c r="FD205" s="420" t="str">
        <f t="shared" si="134"/>
        <v>FLINTSL - MAGENTA</v>
      </c>
      <c r="FE205" s="409">
        <v>32</v>
      </c>
      <c r="FF205" s="411">
        <f>IF(FE205=0,0,IF($LB205=70%,VLOOKUP($FD205,'Jan-2026 rates'!$L:$R,4,0),IF($LB205=65%,VLOOKUP($FD205,'Jan-2026 rates'!$L:$R,4,0),IF($LB205=40%,VLOOKUP($FD205,'Jan-2026 rates'!$L:$R,5,0),IF($LB205=30%,VLOOKUP($FD205,'Jan-2026 rates'!$L:$R,6,0),IF($LB205=100%,VLOOKUP($FD205,'Jan-2026 rates'!$L:$R,7,0),IF($LB205=60%,VLOOKUP($FD205,'Jan-2026 rates'!$L:$S,8,0),IF($LB205=80%,VLOOKUP($FD205,'Jan-2026 rates'!L:T,9,0),0))))))))</f>
        <v>0</v>
      </c>
      <c r="FG205" s="412"/>
      <c r="FH205" s="409"/>
      <c r="FI205" s="411">
        <f>IF(FH205=0,0,IF($LB205=70%,VLOOKUP($FD205,'Jan-2026 rates'!$L:$R,4,0),IF($LB205=65%,VLOOKUP($FD205,'Jan-2026 rates'!$L:$R,4,0),IF($LB205=40%,VLOOKUP($FD205,'Jan-2026 rates'!$L:$R,5,0),IF($LB205=30%,VLOOKUP($FD205,'Jan-2026 rates'!$L:$R,6,0),IF($LB205=100%,VLOOKUP($FD205,'Jan-2026 rates'!$L:$R,7,0),IF($LB205=60%,VLOOKUP($FD205,'Jan-2026 rates'!$L:$S,8,0),IF($LB205=80%,VLOOKUP($FD205,'Jan-2026 rates'!L:T,9,0),0))))))))</f>
        <v>0</v>
      </c>
      <c r="FJ205" s="413">
        <v>26514000008</v>
      </c>
      <c r="FK205" s="413"/>
      <c r="FL205" s="413"/>
      <c r="FM205" s="412"/>
      <c r="FN205" s="412"/>
      <c r="FO205" s="412"/>
      <c r="FP205" s="412"/>
      <c r="FQ205" s="412"/>
      <c r="FR205" s="409">
        <v>4</v>
      </c>
      <c r="FS205" s="398" t="e">
        <f>IF(FR205=0,0,IF(LEN(FJ205)=11,_xlfn.XLOOKUP(FJ205,'Dispensed Ink Rates'!C:C,'Dispensed Ink Rates'!CS:CS),VLOOKUP(FJ205,'Jan-2026 rates'!$E:$F,2,0)))</f>
        <v>#N/A</v>
      </c>
      <c r="FT205" s="409"/>
      <c r="FU205" s="398">
        <f>IF(FT205=0,0,IF(LEN(FK205)=11,_xlfn.XLOOKUP(FK205,'Dispensed Ink Rates'!C:C,'Dispensed Ink Rates'!CS:CS),VLOOKUP(FK205,'Jan-2026 rates'!$E:$F,2,0)))</f>
        <v>0</v>
      </c>
      <c r="FV205" s="409"/>
      <c r="FW205" s="398">
        <f>IF(FV205=0,0,IF(LEN(FL205)=11,_xlfn.XLOOKUP(FL205,'Dispensed Ink Rates'!C:C,'Dispensed Ink Rates'!CS:CS),VLOOKUP(FL205,'Jan-2026 rates'!$E:$F,2,0)))</f>
        <v>0</v>
      </c>
      <c r="FX205" s="409"/>
      <c r="FY205" s="398">
        <f>IF(FX205=0,0,IF(LEN(FM205)=11,_xlfn.XLOOKUP(FM205,'Dispensed Ink Rates'!C:C,'Dispensed Ink Rates'!CS:CS),VLOOKUP(FM205,'Jan-2026 rates'!$E:$F,2,0)))</f>
        <v>0</v>
      </c>
      <c r="FZ205" s="409"/>
      <c r="GA205" s="398">
        <f>IF(FZ205=0,0,IF(LEN(FN205)=11,_xlfn.XLOOKUP(FN205,'Dispensed Ink Rates'!C:C,'Dispensed Ink Rates'!CS:CS),VLOOKUP(FN205,'Jan-2026 rates'!$E:$F,2,0)))</f>
        <v>0</v>
      </c>
      <c r="GB205" s="409"/>
      <c r="GC205" s="398">
        <f>IF(GB205=0,0,IF(LEN(FO205)=11,_xlfn.XLOOKUP(FO205,'Dispensed Ink Rates'!C:C,'Dispensed Ink Rates'!CS:CS),VLOOKUP(FO205,'Jan-2026 rates'!$E:$F,2,0)))</f>
        <v>0</v>
      </c>
      <c r="GD205" s="409"/>
      <c r="GE205" s="398">
        <f>IF(GD205=0,0,IF(LEN(FP205)=11,_xlfn.XLOOKUP(FP205,'Dispensed Ink Rates'!C:C,'Dispensed Ink Rates'!CS:CS),VLOOKUP(FP205,'Jan-2026 rates'!$E:$F,2,0)))</f>
        <v>0</v>
      </c>
      <c r="GF205" s="409"/>
      <c r="GG205" s="398">
        <f>IF(GF205=0,0,IF(LEN(FQ205)=11,_xlfn.XLOOKUP(FQ205,'Dispensed Ink Rates'!C:C,'Dispensed Ink Rates'!CS:CS),VLOOKUP(FQ205,'Jan-2026 rates'!$E:$F,2,0)))</f>
        <v>0</v>
      </c>
      <c r="GH205" s="409" t="s">
        <v>1443</v>
      </c>
      <c r="GI205" s="409">
        <v>26</v>
      </c>
      <c r="GJ205" s="411">
        <f t="shared" si="171"/>
        <v>0</v>
      </c>
      <c r="GK205" s="411">
        <f t="shared" si="172"/>
        <v>21.101321585903086</v>
      </c>
      <c r="GL205" s="410">
        <f t="shared" si="173"/>
        <v>0</v>
      </c>
      <c r="GM205" s="405" t="s">
        <v>545</v>
      </c>
      <c r="GN205" s="409" t="s">
        <v>3782</v>
      </c>
      <c r="GO205" s="420" t="str">
        <f t="shared" si="135"/>
        <v>FLINTSL - YELLOW</v>
      </c>
      <c r="GP205" s="409">
        <v>30</v>
      </c>
      <c r="GQ205" s="411">
        <f>IF(GP205=0,0,IF($LB205=70%,VLOOKUP($GO205,'Jan-2026 rates'!$L:$R,4,0),IF($LB205=65%,VLOOKUP($GO205,'Jan-2026 rates'!$L:$R,4,0),IF($LB205=40%,VLOOKUP($GO205,'Jan-2026 rates'!$L:$R,5,0),IF($LB205=30%,VLOOKUP($GO205,'Jan-2026 rates'!$L:$R,6,0),IF($LB205=100%,VLOOKUP($GO205,'Jan-2026 rates'!$L:$R,7,0),IF($LB205=60%,VLOOKUP($GO205,'Jan-2026 rates'!$L:$S,8,0),IF($LB205=80%,VLOOKUP($GO205,'Jan-2026 rates'!L:T,9,0),0))))))))</f>
        <v>0</v>
      </c>
      <c r="GR205" s="412"/>
      <c r="GS205" s="409"/>
      <c r="GT205" s="411">
        <f>IF(GS205=0,0,IF($LB205=70%,VLOOKUP($GO205,'Jan-2026 rates'!$L:$R,4,0),IF($LB205=65%,VLOOKUP($GO205,'Jan-2026 rates'!$L:$R,4,0),IF($LB205=40%,VLOOKUP($GO205,'Jan-2026 rates'!$L:$R,5,0),IF($LB205=30%,VLOOKUP($GO205,'Jan-2026 rates'!$L:$R,6,0),IF($LB205=100%,VLOOKUP($GO205,'Jan-2026 rates'!$L:$R,7,0),IF($LB205=60%,VLOOKUP($GO205,'Jan-2026 rates'!$L:$S,8,0),IF($LB205=80%,VLOOKUP($GO205,'Jan-2026 rates'!L:T,9,0),0))))))))</f>
        <v>0</v>
      </c>
      <c r="GU205" s="413">
        <v>26515000009</v>
      </c>
      <c r="GV205" s="413" t="s">
        <v>1266</v>
      </c>
      <c r="GW205" s="412">
        <v>26514000015</v>
      </c>
      <c r="GX205" s="412"/>
      <c r="GY205" s="412"/>
      <c r="GZ205" s="412"/>
      <c r="HA205" s="412"/>
      <c r="HB205" s="412"/>
      <c r="HC205" s="409">
        <v>15</v>
      </c>
      <c r="HD205" s="398" t="e">
        <f>IF(HC205=0,0,IF(LEN(GU205)=11,_xlfn.XLOOKUP(GU205,'Dispensed Ink Rates'!C:C,'Dispensed Ink Rates'!CS:CS),VLOOKUP(GU205,'Jan-2026 rates'!$E:$F,2,0)))</f>
        <v>#N/A</v>
      </c>
      <c r="HE205" s="409">
        <v>10</v>
      </c>
      <c r="HF205" s="398">
        <f>IF(HE205=0,0,IF(LEN(GV205)=11,_xlfn.XLOOKUP(GV205,'Dispensed Ink Rates'!C:C,'Dispensed Ink Rates'!CS:CS),VLOOKUP(GV205,'Jan-2026 rates'!$E:$F,2,0)))</f>
        <v>0</v>
      </c>
      <c r="HG205" s="409">
        <v>39</v>
      </c>
      <c r="HH205" s="398" t="e">
        <f>IF(HG205=0,0,IF(LEN(GW205)=11,_xlfn.XLOOKUP(GW205,'Dispensed Ink Rates'!C:C,'Dispensed Ink Rates'!CS:CS),VLOOKUP(GW205,'Jan-2026 rates'!$E:$F,2,0)))</f>
        <v>#N/A</v>
      </c>
      <c r="HI205" s="409"/>
      <c r="HJ205" s="398">
        <f>IF(HI205=0,0,IF(LEN(GX205)=11,_xlfn.XLOOKUP(GX205,'Dispensed Ink Rates'!C:C,'Dispensed Ink Rates'!CS:CS),VLOOKUP(GX205,'Jan-2026 rates'!$E:$F,2,0)))</f>
        <v>0</v>
      </c>
      <c r="HK205" s="409"/>
      <c r="HL205" s="398">
        <f>IF(HK205=0,0,IF(LEN(GY205)=11,_xlfn.XLOOKUP(GY205,'Dispensed Ink Rates'!C:C,'Dispensed Ink Rates'!CS:CS),VLOOKUP(GY205,'Jan-2026 rates'!$E:$F,2,0)))</f>
        <v>0</v>
      </c>
      <c r="HM205" s="409"/>
      <c r="HN205" s="398">
        <f>IF(HM205=0,0,IF(LEN(GZ205)=11,_xlfn.XLOOKUP(GZ205,'Dispensed Ink Rates'!C:C,'Dispensed Ink Rates'!CS:CS),VLOOKUP(GZ205,'Jan-2026 rates'!$E:$F,2,0)))</f>
        <v>0</v>
      </c>
      <c r="HO205" s="409"/>
      <c r="HP205" s="398">
        <f>IF(HO205=0,0,IF(LEN(HA205)=11,_xlfn.XLOOKUP(HA205,'Dispensed Ink Rates'!C:C,'Dispensed Ink Rates'!CS:CS),VLOOKUP(HA205,'Jan-2026 rates'!$E:$F,2,0)))</f>
        <v>0</v>
      </c>
      <c r="HQ205" s="409"/>
      <c r="HR205" s="398">
        <f>IF(HQ205=0,0,IF(LEN(HB205)=11,_xlfn.XLOOKUP(HB205,'Dispensed Ink Rates'!C:C,'Dispensed Ink Rates'!CS:CS),VLOOKUP(HB205,'Jan-2026 rates'!$E:$F,2,0)))</f>
        <v>0</v>
      </c>
      <c r="HS205" s="409" t="s">
        <v>1443</v>
      </c>
      <c r="HT205" s="409">
        <v>29</v>
      </c>
      <c r="HU205" s="411">
        <f t="shared" si="174"/>
        <v>0</v>
      </c>
      <c r="HV205" s="411">
        <f t="shared" si="175"/>
        <v>87.202643171806173</v>
      </c>
      <c r="HW205" s="414">
        <f t="shared" si="176"/>
        <v>0</v>
      </c>
      <c r="HX205" s="405" t="s">
        <v>545</v>
      </c>
      <c r="HY205" s="409"/>
      <c r="HZ205" s="420" t="str">
        <f t="shared" si="136"/>
        <v>FLINTSL - YELLOW</v>
      </c>
      <c r="IA205" s="409"/>
      <c r="IB205" s="411">
        <f>IF(IA205=0,0,IF($LB205=70%,VLOOKUP($HZ205,'Jan-2026 rates'!$L:$R,4,0),IF($LB205=65%,VLOOKUP($HZ205,'Jan-2026 rates'!$L:$R,4,0),IF($LB205=40%,VLOOKUP($HZ205,'Jan-2026 rates'!$L:$R,5,0),IF($LB205=30%,VLOOKUP($HZ205,'Jan-2026 rates'!$L:$R,6,0),IF($LB205=100%,VLOOKUP($HZ205,'Jan-2026 rates'!$L:$R,7,0),IF($LB205=60%,VLOOKUP($HZ205,'Jan-2026 rates'!$L:$S,8,0),IF($LB205=80%,VLOOKUP($HZ205,'Jan-2026 rates'!L:T,9,0),0))))))))</f>
        <v>0</v>
      </c>
      <c r="IC205" s="412"/>
      <c r="ID205" s="409"/>
      <c r="IE205" s="411">
        <f>IF(ID205=0,0,IF($LB205=70%,VLOOKUP($HZ205,'Jan-2026 rates'!$L:$R,4,0),IF($LB205=65%,VLOOKUP($HZ205,'Jan-2026 rates'!$L:$R,4,0),IF($LB205=40%,VLOOKUP($HZ205,'Jan-2026 rates'!$L:$R,5,0),IF($LB205=30%,VLOOKUP($HZ205,'Jan-2026 rates'!$L:$R,6,0),IF($LB205=100%,VLOOKUP($HZ205,'Jan-2026 rates'!$L:$R,7,0),IF($LB205=60%,VLOOKUP($HZ205,'Jan-2026 rates'!$L:$S,8,0),IF($LB205=80%,VLOOKUP($HZ205,'Jan-2026 rates'!L:T,9,0),0))))))))</f>
        <v>0</v>
      </c>
      <c r="IF205" s="412">
        <v>26514000016</v>
      </c>
      <c r="IG205" s="413">
        <v>26514000014</v>
      </c>
      <c r="IH205" s="412">
        <v>26514000027</v>
      </c>
      <c r="II205" s="412">
        <v>26515000001</v>
      </c>
      <c r="IJ205" s="412">
        <v>26515000002</v>
      </c>
      <c r="IK205" s="412"/>
      <c r="IL205" s="412"/>
      <c r="IM205" s="412"/>
      <c r="IN205" s="409">
        <v>40</v>
      </c>
      <c r="IO205" s="398" t="e">
        <f>IF(IN205=0,0,IF(LEN(IF205)=11,_xlfn.XLOOKUP(IF205,'Dispensed Ink Rates'!C:C,'Dispensed Ink Rates'!CS:CS),VLOOKUP(IF205,'Jan-2026 rates'!$E:$F,2,0)))</f>
        <v>#N/A</v>
      </c>
      <c r="IP205" s="409">
        <v>40</v>
      </c>
      <c r="IQ205" s="398" t="e">
        <f>IF(IP205=0,0,IF(LEN(IG205)=11,_xlfn.XLOOKUP(IG205,'Dispensed Ink Rates'!C:C,'Dispensed Ink Rates'!CS:CS),VLOOKUP(IG205,'Jan-2026 rates'!$E:$F,2,0)))</f>
        <v>#N/A</v>
      </c>
      <c r="IR205" s="409">
        <v>140</v>
      </c>
      <c r="IS205" s="398" t="e">
        <f>IF(IR205=0,0,IF(LEN(IH205)=11,_xlfn.XLOOKUP(IH205,'Dispensed Ink Rates'!C:C,'Dispensed Ink Rates'!CS:CS),VLOOKUP(IH205,'Jan-2026 rates'!$E:$F,2,0)))</f>
        <v>#N/A</v>
      </c>
      <c r="IT205" s="409">
        <v>20</v>
      </c>
      <c r="IU205" s="398" t="e">
        <f>IF(IT205=0,0,IF(LEN(II205)=11,_xlfn.XLOOKUP(II205,'Dispensed Ink Rates'!C:C,'Dispensed Ink Rates'!CS:CS),VLOOKUP(II205,'Jan-2026 rates'!$E:$F,2,0)))</f>
        <v>#N/A</v>
      </c>
      <c r="IV205" s="409">
        <v>20</v>
      </c>
      <c r="IW205" s="398" t="e">
        <f>IF(IV205=0,0,IF(LEN(IJ205)=11,_xlfn.XLOOKUP(IJ205,'Dispensed Ink Rates'!C:C,'Dispensed Ink Rates'!CS:CS),VLOOKUP(IJ205,'Jan-2026 rates'!$E:$F,2,0)))</f>
        <v>#N/A</v>
      </c>
      <c r="IX205" s="409"/>
      <c r="IY205" s="398">
        <f>IF(IX205=0,0,IF(LEN(IK205)=11,_xlfn.XLOOKUP(IK205,'Dispensed Ink Rates'!C:C,'Dispensed Ink Rates'!CS:CS),VLOOKUP(IK205,'Jan-2026 rates'!$E:$F,2,0)))</f>
        <v>0</v>
      </c>
      <c r="IZ205" s="409"/>
      <c r="JA205" s="398">
        <f>IF(IZ205=0,0,IF(LEN(IL205)=11,_xlfn.XLOOKUP(IL205,'Dispensed Ink Rates'!C:C,'Dispensed Ink Rates'!CS:CS),VLOOKUP(IL205,'Jan-2026 rates'!$E:$F,2,0)))</f>
        <v>0</v>
      </c>
      <c r="JB205" s="409"/>
      <c r="JC205" s="398">
        <f>IF(JB205=0,0,IF(LEN(IM205)=11,_xlfn.XLOOKUP(IM205,'Dispensed Ink Rates'!C:C,'Dispensed Ink Rates'!CS:CS),VLOOKUP(IM205,'Jan-2026 rates'!$E:$F,2,0)))</f>
        <v>0</v>
      </c>
      <c r="JD205" s="409" t="s">
        <v>1443</v>
      </c>
      <c r="JE205" s="409">
        <v>15</v>
      </c>
      <c r="JF205" s="411">
        <f t="shared" si="177"/>
        <v>0</v>
      </c>
      <c r="JG205" s="411">
        <f t="shared" si="178"/>
        <v>245</v>
      </c>
      <c r="JH205" s="410">
        <f t="shared" si="179"/>
        <v>0</v>
      </c>
      <c r="JI205" s="405" t="s">
        <v>856</v>
      </c>
      <c r="JJ205" s="409" t="s">
        <v>3783</v>
      </c>
      <c r="JK205" s="420" t="str">
        <f t="shared" si="137"/>
        <v>FLINTSL - WHITE</v>
      </c>
      <c r="JL205" s="409">
        <v>30</v>
      </c>
      <c r="JM205" s="411">
        <f>IF(JL205=0,0,IF($LB205=70%,VLOOKUP($JK205,'Jan-2026 rates'!$L:$R,4,0),IF($LB205=65%,VLOOKUP($JK205,'Jan-2026 rates'!$L:$R,4,0),IF($LB205=40%,VLOOKUP($JK205,'Jan-2026 rates'!$L:$R,5,0),IF($LB205=30%,VLOOKUP($JK205,'Jan-2026 rates'!$L:$R,6,0),IF($LB205=100%,VLOOKUP($JK205,'Jan-2026 rates'!$L:$R,7,0),IF($LB205=60%,VLOOKUP($JK205,'Jan-2026 rates'!$L:$S,8,0),IF($LB205=80%,VLOOKUP($JK205,'Jan-2026 rates'!L:T,9,0),0))))))))</f>
        <v>0</v>
      </c>
      <c r="JN205" s="412"/>
      <c r="JO205" s="409"/>
      <c r="JP205" s="411">
        <f>IF(JO205=0,0,IF($LB205=70%,VLOOKUP($JK205,'Jan-2026 rates'!$L:$R,4,0),IF($LB205=65%,VLOOKUP($JK205,'Jan-2026 rates'!$L:$R,4,0),IF($LB205=40%,VLOOKUP($JK205,'Jan-2026 rates'!$L:$R,5,0),IF($LB205=30%,VLOOKUP($JK205,'Jan-2026 rates'!$L:$R,6,0),IF($LB205=100%,VLOOKUP($JK205,'Jan-2026 rates'!$L:$R,7,0),IF($LB205=60%,VLOOKUP($JK205,'Jan-2026 rates'!$L:$S,8,0),IF($LB205=80%,VLOOKUP($JK205,'Jan-2026 rates'!L:T,9,0),0))))))))</f>
        <v>0</v>
      </c>
      <c r="JQ205" s="413" t="s">
        <v>484</v>
      </c>
      <c r="JR205" s="412"/>
      <c r="JS205" s="413"/>
      <c r="JT205" s="413"/>
      <c r="JU205" s="412"/>
      <c r="JV205" s="412"/>
      <c r="JW205" s="412"/>
      <c r="JX205" s="412"/>
      <c r="JY205" s="409">
        <f>100+100+100</f>
        <v>300</v>
      </c>
      <c r="JZ205" s="398">
        <f>IF(JY205=0,0,IF(LEN(JQ205)=11,_xlfn.XLOOKUP(JQ205,'Dispensed Ink Rates'!C:C,'Dispensed Ink Rates'!CS:CS),VLOOKUP(JQ205,'Jan-2026 rates'!$E:$F,2,0)))</f>
        <v>0</v>
      </c>
      <c r="KA205" s="409"/>
      <c r="KB205" s="398">
        <f>IF(KA205=0,0,IF(LEN(JR205)=11,_xlfn.XLOOKUP(JR205,'Dispensed Ink Rates'!C:C,'Dispensed Ink Rates'!CS:CS),VLOOKUP(JR205,'Jan-2026 rates'!$E:$F,2,0)))</f>
        <v>0</v>
      </c>
      <c r="KC205" s="409"/>
      <c r="KD205" s="398">
        <f>IF(KC205=0,0,IF(LEN(JS205)=11,_xlfn.XLOOKUP(JS205,'Dispensed Ink Rates'!C:C,'Dispensed Ink Rates'!CS:CS),VLOOKUP(JS205,'Jan-2026 rates'!$E:$F,2,0)))</f>
        <v>0</v>
      </c>
      <c r="KE205" s="409"/>
      <c r="KF205" s="398">
        <f>IF(KE205=0,0,IF(LEN(JT205)=11,_xlfn.XLOOKUP(JT205,'Dispensed Ink Rates'!C:C,'Dispensed Ink Rates'!CS:CS),VLOOKUP(JT205,'Jan-2026 rates'!$E:$F,2,0)))</f>
        <v>0</v>
      </c>
      <c r="KG205" s="409"/>
      <c r="KH205" s="398">
        <f>IF(KG205=0,0,IF(LEN(JU205)=11,_xlfn.XLOOKUP(JU205,'Dispensed Ink Rates'!C:C,'Dispensed Ink Rates'!CS:CS),VLOOKUP(JU205,'Jan-2026 rates'!$E:$F,2,0)))</f>
        <v>0</v>
      </c>
      <c r="KI205" s="409"/>
      <c r="KJ205" s="398">
        <f>IF(KI205=0,0,IF(LEN(JV205)=11,_xlfn.XLOOKUP(JV205,'Dispensed Ink Rates'!C:C,'Dispensed Ink Rates'!CS:CS),VLOOKUP(JV205,'Jan-2026 rates'!$E:$F,2,0)))</f>
        <v>0</v>
      </c>
      <c r="KK205" s="409"/>
      <c r="KL205" s="398">
        <f>IF(KK205=0,0,IF(LEN(JW205)=11,_xlfn.XLOOKUP(JW205,'Dispensed Ink Rates'!C:C,'Dispensed Ink Rates'!CS:CS),VLOOKUP(JW205,'Jan-2026 rates'!$E:$F,2,0)))</f>
        <v>0</v>
      </c>
      <c r="KM205" s="428"/>
      <c r="KN205" s="398">
        <f>IF(KM205=0,0,IF(LEN(JX205)=11,_xlfn.XLOOKUP(JX205,'Dispensed Ink Rates'!C:C,'Dispensed Ink Rates'!CS:CS),VLOOKUP(JX205,'Jan-2026 rates'!$E:$F,2,0)))</f>
        <v>0</v>
      </c>
      <c r="KO205" s="409" t="s">
        <v>1443</v>
      </c>
      <c r="KP205" s="409">
        <v>20</v>
      </c>
      <c r="KQ205" s="411">
        <f t="shared" si="180"/>
        <v>0</v>
      </c>
      <c r="KR205" s="411">
        <f t="shared" si="181"/>
        <v>709.64757709251103</v>
      </c>
      <c r="KS205" s="410">
        <f t="shared" si="182"/>
        <v>0</v>
      </c>
      <c r="KT205" s="409">
        <v>5</v>
      </c>
      <c r="KU205" s="409">
        <f>10+7</f>
        <v>17</v>
      </c>
      <c r="KV205" s="409">
        <v>5</v>
      </c>
      <c r="KW205" s="409">
        <v>5</v>
      </c>
      <c r="KX205" s="409">
        <v>5</v>
      </c>
      <c r="KY205" s="409">
        <v>10</v>
      </c>
      <c r="KZ205" s="409">
        <v>0</v>
      </c>
      <c r="LA205" s="409">
        <f>60+60+60</f>
        <v>180</v>
      </c>
      <c r="LB205" s="415">
        <v>0.8</v>
      </c>
      <c r="LC205" s="415">
        <v>0.2</v>
      </c>
      <c r="LD205" s="415"/>
      <c r="LE205" s="415"/>
      <c r="LF205" s="415"/>
      <c r="LG205" s="409">
        <v>0</v>
      </c>
      <c r="LH205" s="409">
        <f>180+100+160+40+5+5+5+5+4</f>
        <v>504</v>
      </c>
      <c r="LI205" s="409">
        <v>0</v>
      </c>
      <c r="LJ205" s="409">
        <v>0</v>
      </c>
      <c r="LK205" s="416">
        <f t="shared" si="138"/>
        <v>504</v>
      </c>
      <c r="LL205" s="416">
        <f t="shared" si="139"/>
        <v>504</v>
      </c>
      <c r="LM205" s="417">
        <f t="shared" si="140"/>
        <v>403.20000000000005</v>
      </c>
      <c r="LN205" s="417">
        <f>VLOOKUP($LM$8,'Jan-2026 rates'!$H:$I,2,0)</f>
        <v>0</v>
      </c>
      <c r="LO205" s="417">
        <f t="shared" si="141"/>
        <v>100.80000000000001</v>
      </c>
      <c r="LP205" s="417">
        <f>VLOOKUP($LO$8,'Jan-2026 rates'!$H:$I,2,0)</f>
        <v>0</v>
      </c>
      <c r="LQ205" s="417">
        <f t="shared" si="142"/>
        <v>0</v>
      </c>
      <c r="LR205" s="417">
        <f>VLOOKUP($LQ$8,'Jan-2026 rates'!$H:$I,2,0)</f>
        <v>0</v>
      </c>
      <c r="LS205" s="417">
        <f t="shared" si="143"/>
        <v>0</v>
      </c>
      <c r="LT205" s="417">
        <f>VLOOKUP($LS$8,'Jan-2026 rates'!$H:$I,2,0)</f>
        <v>0</v>
      </c>
      <c r="LU205" s="417">
        <f t="shared" si="144"/>
        <v>0</v>
      </c>
      <c r="LV205" s="417">
        <f>VLOOKUP($LU$8,'Jan-2026 rates'!$H:$I,2,0)</f>
        <v>0</v>
      </c>
      <c r="LW205" s="417">
        <f t="shared" si="145"/>
        <v>0</v>
      </c>
      <c r="LX205" s="417">
        <f t="shared" si="146"/>
        <v>0</v>
      </c>
      <c r="LY205" s="418">
        <f t="shared" si="147"/>
        <v>0</v>
      </c>
      <c r="LZ205" s="417"/>
      <c r="MA205" s="435">
        <f t="shared" si="148"/>
        <v>659</v>
      </c>
      <c r="MB205" s="282">
        <f t="shared" si="149"/>
        <v>1192</v>
      </c>
      <c r="MC205" s="283">
        <v>98</v>
      </c>
      <c r="MD205" s="284" t="str">
        <f t="shared" si="150"/>
        <v>FLINTSLFLINTSLFLINTSLFLINTSLFLINTSLFLINTSLFLINTSLFLINTSL</v>
      </c>
      <c r="ME205" s="293" t="str">
        <f t="shared" si="151"/>
        <v>+</v>
      </c>
      <c r="MF205" s="293" t="str">
        <f t="shared" si="152"/>
        <v>+</v>
      </c>
      <c r="MG205" s="293" t="str">
        <f t="shared" si="153"/>
        <v>+</v>
      </c>
      <c r="MH205" s="293" t="str">
        <f t="shared" si="154"/>
        <v>+</v>
      </c>
      <c r="MI205" s="293" t="str">
        <f t="shared" si="155"/>
        <v>+</v>
      </c>
      <c r="MJ205" s="293" t="str">
        <f t="shared" si="156"/>
        <v>+</v>
      </c>
      <c r="MK205" s="293" t="str">
        <f t="shared" si="157"/>
        <v>+</v>
      </c>
      <c r="ML205" s="293" t="str">
        <f t="shared" si="158"/>
        <v>+</v>
      </c>
      <c r="MM205" s="3" t="b">
        <f t="array" ref="MM205">OR(ME205:ML205="-")</f>
        <v>0</v>
      </c>
      <c r="MN205" s="285"/>
      <c r="MO205" s="401"/>
      <c r="MP205" s="286"/>
      <c r="MQ205" s="286"/>
      <c r="MR205" s="402"/>
      <c r="MS205" s="400"/>
      <c r="NH205" s="422"/>
      <c r="NJ205" s="421"/>
    </row>
    <row r="206" spans="1:374" s="1" customFormat="1" ht="16.5">
      <c r="A206" s="403">
        <v>46036</v>
      </c>
      <c r="B206" s="404" t="s">
        <v>1018</v>
      </c>
      <c r="C206" s="405" t="s">
        <v>3784</v>
      </c>
      <c r="D206" s="406">
        <v>99</v>
      </c>
      <c r="E206" s="404">
        <v>2492</v>
      </c>
      <c r="F206" s="407">
        <v>101500</v>
      </c>
      <c r="G206" s="407" t="s">
        <v>1019</v>
      </c>
      <c r="H206" s="408" t="s">
        <v>1017</v>
      </c>
      <c r="I206" s="409">
        <v>2.06</v>
      </c>
      <c r="J206" s="405" t="s">
        <v>543</v>
      </c>
      <c r="K206" s="404" t="s">
        <v>3785</v>
      </c>
      <c r="L206" s="419" t="str">
        <f t="shared" si="131"/>
        <v>FLINTSL - BLACK</v>
      </c>
      <c r="M206" s="404">
        <v>24</v>
      </c>
      <c r="N206" s="410">
        <f>IF(M206=0,0,IF($LB206=70%,VLOOKUP($L206,'Jan-2026 rates'!$L:$R,4,0),IF($LB206=65%,VLOOKUP($L206,'Jan-2026 rates'!$L:$R,4,0),IF($LB206=40%,VLOOKUP($L206,'Jan-2026 rates'!$L:$R,5,0),IF($LB206=30%,VLOOKUP($L206,'Jan-2026 rates'!$L:$R,6,0),IF($LB206=100%,VLOOKUP($L206,'Jan-2026 rates'!$L:$R,7,0),IF($LB206=60%,VLOOKUP($L206,'Jan-2026 rates'!$L:$S,8,0),IF($LB206=80%,VLOOKUP($L206,'Jan-2026 rates'!L:T,9,0),0))))))))</f>
        <v>0</v>
      </c>
      <c r="O206" s="406"/>
      <c r="P206" s="404"/>
      <c r="Q206" s="410">
        <f>IF(P206=0,0,IF($LB206=70%,VLOOKUP($L206,'Jan-2026 rates'!$L:$R,4,0),IF($LB206=65%,VLOOKUP($L206,'Jan-2026 rates'!$L:$R,4,0),IF($LB206=40%,VLOOKUP($L206,'Jan-2026 rates'!$L:$R,5,0),IF($LB206=30%,VLOOKUP($L206,'Jan-2026 rates'!$L:$R,6,0),IF($LB206=100%,VLOOKUP($L206,'Jan-2026 rates'!$L:$R,7,0),IF($LB206=60%,VLOOKUP($L206,'Jan-2026 rates'!$L:$S,8,0),IF($LB206=80%,VLOOKUP($L206,'Jan-2026 rates'!L:T,9,0),0))))))))</f>
        <v>0</v>
      </c>
      <c r="R206" s="406">
        <v>26517000042</v>
      </c>
      <c r="S206" s="406"/>
      <c r="T206" s="406"/>
      <c r="U206" s="406"/>
      <c r="V206" s="406"/>
      <c r="W206" s="406"/>
      <c r="X206" s="406"/>
      <c r="Y206" s="406"/>
      <c r="Z206" s="404">
        <v>5</v>
      </c>
      <c r="AA206" s="398" t="e">
        <f>IF(Z206=0,0,IF(LEN(R206)=11,_xlfn.XLOOKUP(R206,'Dispensed Ink Rates'!C:C,'Dispensed Ink Rates'!CS:CS),VLOOKUP(R206,'Jan-2026 rates'!$E:$F,2,0)))</f>
        <v>#N/A</v>
      </c>
      <c r="AB206" s="404"/>
      <c r="AC206" s="398">
        <f>IF(AB206=0,0,IF(LEN(S206)=11,_xlfn.XLOOKUP(S206,'Dispensed Ink Rates'!C:C,'Dispensed Ink Rates'!CS:CS),VLOOKUP(S206,'Jan-2026 rates'!$E:$F,2,0)))</f>
        <v>0</v>
      </c>
      <c r="AD206" s="404"/>
      <c r="AE206" s="398">
        <f>IF(AD206=0,0,IF(LEN(T206)=11,_xlfn.XLOOKUP(T206,'Dispensed Ink Rates'!C:C,'Dispensed Ink Rates'!CS:CS),VLOOKUP(T206,'Jan-2026 rates'!$E:$F,2,0)))</f>
        <v>0</v>
      </c>
      <c r="AF206" s="404"/>
      <c r="AG206" s="398">
        <f>IF(AF206=0,0,IF(LEN(U206)=11,_xlfn.XLOOKUP(U206,'Dispensed Ink Rates'!C:C,'Dispensed Ink Rates'!CS:CS),VLOOKUP(U206,'Jan-2026 rates'!$E:$F,2,0)))</f>
        <v>0</v>
      </c>
      <c r="AH206" s="404"/>
      <c r="AI206" s="398">
        <f>IF(AH206=0,0,IF(LEN(V206)=11,_xlfn.XLOOKUP(V206,'Dispensed Ink Rates'!C:C,'Dispensed Ink Rates'!CS:CS),VLOOKUP(V206,'Jan-2026 rates'!$E:$F,2,0)))</f>
        <v>0</v>
      </c>
      <c r="AJ206" s="404"/>
      <c r="AK206" s="398">
        <f>IF(AJ206=0,0,IF(LEN(W206)=11,_xlfn.XLOOKUP(W206,'Dispensed Ink Rates'!C:C,'Dispensed Ink Rates'!CS:CS),VLOOKUP(W206,'Jan-2026 rates'!$E:$F,2,0)))</f>
        <v>0</v>
      </c>
      <c r="AL206" s="404"/>
      <c r="AM206" s="398">
        <f>IF(AL206=0,0,IF(LEN(X206)=11,_xlfn.XLOOKUP(X206,'Dispensed Ink Rates'!C:C,'Dispensed Ink Rates'!CS:CS),VLOOKUP(X206,'Jan-2026 rates'!$E:$F,2,0)))</f>
        <v>0</v>
      </c>
      <c r="AN206" s="404"/>
      <c r="AO206" s="398">
        <f>IF(AN206=0,0,IF(LEN(Y206)=11,_xlfn.XLOOKUP(Y206,'Dispensed Ink Rates'!C:C,'Dispensed Ink Rates'!CS:CS),VLOOKUP(Y206,'Jan-2026 rates'!$E:$F,2,0)))</f>
        <v>0</v>
      </c>
      <c r="AP206" s="409" t="s">
        <v>1443</v>
      </c>
      <c r="AQ206" s="409">
        <v>29</v>
      </c>
      <c r="AR206" s="410">
        <f t="shared" si="159"/>
        <v>0</v>
      </c>
      <c r="AS206" s="411">
        <f t="shared" si="160"/>
        <v>4.2564102564102555</v>
      </c>
      <c r="AT206" s="410">
        <f t="shared" si="161"/>
        <v>0</v>
      </c>
      <c r="AU206" s="405" t="s">
        <v>546</v>
      </c>
      <c r="AV206" s="409" t="s">
        <v>3785</v>
      </c>
      <c r="AW206" s="420" t="str">
        <f t="shared" si="183"/>
        <v>FLINTSL - REFLEX BLUE</v>
      </c>
      <c r="AX206" s="409">
        <v>25</v>
      </c>
      <c r="AY206" s="411">
        <f>IF(AX206=0,0,IF($LB206=70%,VLOOKUP($AW206,'Jan-2026 rates'!$L:$R,4,0),IF($LB206=65%,VLOOKUP($AW206,'Jan-2026 rates'!$L:$R,4,0),IF($LB206=40%,VLOOKUP($AW206,'Jan-2026 rates'!$L:$R,5,0),IF($LB206=30%,VLOOKUP($AW206,'Jan-2026 rates'!$L:$R,6,0),IF($LB206=100%,VLOOKUP($AW206,'Jan-2026 rates'!$L:$R,7,0),IF($LB206=60%,VLOOKUP($AW206,'Jan-2026 rates'!$L:$S,8,0),IF($LB206=80%,VLOOKUP($AW206,'Jan-2026 rates'!L:T,9,0),0))))))))</f>
        <v>0</v>
      </c>
      <c r="AZ206" s="412"/>
      <c r="BA206" s="409"/>
      <c r="BB206" s="411">
        <f>IF(BA206=0,0,IF($LB206=70%,VLOOKUP($AW206,'Jan-2026 rates'!$L:$R,4,0),IF($LB206=65%,VLOOKUP($AW206,'Jan-2026 rates'!$L:$R,4,0),IF($LB206=40%,VLOOKUP($AW206,'Jan-2026 rates'!$L:$R,5,0),IF($LB206=30%,VLOOKUP($AW206,'Jan-2026 rates'!$L:$R,6,0),IF($LB206=100%,VLOOKUP($AW206,'Jan-2026 rates'!$L:$R,7,0),IF($LB206=60%,VLOOKUP($AW206,'Jan-2026 rates'!$L:$S,8,0),IF($LB206=80%,VLOOKUP($AW206,'Jan-2026 rates'!L:T,9,0),0))))))))</f>
        <v>0</v>
      </c>
      <c r="BC206" s="413">
        <v>26512000001</v>
      </c>
      <c r="BD206" s="412">
        <v>26514000008</v>
      </c>
      <c r="BE206" s="412">
        <v>26517000042</v>
      </c>
      <c r="BF206" s="413">
        <v>26515000009</v>
      </c>
      <c r="BG206" s="412"/>
      <c r="BH206" s="412"/>
      <c r="BI206" s="412"/>
      <c r="BJ206" s="412"/>
      <c r="BK206" s="409">
        <v>10</v>
      </c>
      <c r="BL206" s="398" t="e">
        <f>IF(BK206=0,0,IF(LEN(BC206)=11,_xlfn.XLOOKUP(BC206,'Dispensed Ink Rates'!C:C,'Dispensed Ink Rates'!CS:CS),VLOOKUP(BC206,'Jan-2026 rates'!$E:$F,2,0)))</f>
        <v>#N/A</v>
      </c>
      <c r="BM206" s="409">
        <v>4</v>
      </c>
      <c r="BN206" s="398" t="e">
        <f>IF(BM206=0,0,IF(LEN(BD206)=11,_xlfn.XLOOKUP(BD206,'Dispensed Ink Rates'!C:C,'Dispensed Ink Rates'!CS:CS),VLOOKUP(BD206,'Jan-2026 rates'!$E:$F,2,0)))</f>
        <v>#N/A</v>
      </c>
      <c r="BO206" s="409">
        <v>1</v>
      </c>
      <c r="BP206" s="398" t="e">
        <f>IF(BO206=0,0,IF(LEN(BE206)=11,_xlfn.XLOOKUP(BE206,'Dispensed Ink Rates'!C:C,'Dispensed Ink Rates'!CS:CS),VLOOKUP(BE206,'Jan-2026 rates'!$E:$F,2,0)))</f>
        <v>#N/A</v>
      </c>
      <c r="BQ206" s="409">
        <v>1</v>
      </c>
      <c r="BR206" s="398" t="e">
        <f>IF(BQ206=0,0,IF(LEN(BF206)=11,_xlfn.XLOOKUP(BF206,'Dispensed Ink Rates'!C:C,'Dispensed Ink Rates'!CS:CS),VLOOKUP(BF206,'Jan-2026 rates'!$E:$F,2,0)))</f>
        <v>#N/A</v>
      </c>
      <c r="BS206" s="409"/>
      <c r="BT206" s="398">
        <f>IF(BS206=0,0,IF(LEN(BG206)=11,_xlfn.XLOOKUP(BG206,'Dispensed Ink Rates'!C:C,'Dispensed Ink Rates'!CS:CS),VLOOKUP(BG206,'Jan-2026 rates'!$E:$F,2,0)))</f>
        <v>0</v>
      </c>
      <c r="BU206" s="409"/>
      <c r="BV206" s="398">
        <f>IF(BU206=0,0,IF(LEN(BH206)=11,_xlfn.XLOOKUP(BH206,'Dispensed Ink Rates'!C:C,'Dispensed Ink Rates'!CS:CS),VLOOKUP(BH206,'Jan-2026 rates'!$E:$F,2,0)))</f>
        <v>0</v>
      </c>
      <c r="BW206" s="409"/>
      <c r="BX206" s="398">
        <f>IF(BW206=0,0,IF(LEN(BI206)=11,_xlfn.XLOOKUP(BI206,'Dispensed Ink Rates'!C:C,'Dispensed Ink Rates'!CS:CS),VLOOKUP(BI206,'Jan-2026 rates'!$E:$F,2,0)))</f>
        <v>0</v>
      </c>
      <c r="BY206" s="409"/>
      <c r="BZ206" s="398">
        <f>IF(BY206=0,0,IF(LEN(BJ206)=11,_xlfn.XLOOKUP(BJ206,'Dispensed Ink Rates'!C:C,'Dispensed Ink Rates'!CS:CS),VLOOKUP(BJ206,'Jan-2026 rates'!$E:$F,2,0)))</f>
        <v>0</v>
      </c>
      <c r="CA206" s="409" t="s">
        <v>1443</v>
      </c>
      <c r="CB206" s="409">
        <v>30</v>
      </c>
      <c r="CC206" s="411">
        <f t="shared" si="162"/>
        <v>0</v>
      </c>
      <c r="CD206" s="411">
        <f t="shared" si="163"/>
        <v>42.92307692307692</v>
      </c>
      <c r="CE206" s="410">
        <f t="shared" si="164"/>
        <v>0</v>
      </c>
      <c r="CF206" s="404" t="s">
        <v>547</v>
      </c>
      <c r="CG206" s="409" t="s">
        <v>3786</v>
      </c>
      <c r="CH206" s="420" t="str">
        <f t="shared" si="132"/>
        <v>FLINTSL - GREEN</v>
      </c>
      <c r="CI206" s="409">
        <v>32</v>
      </c>
      <c r="CJ206" s="411">
        <f>IF(CI206=0,0,IF($LB206=70%,VLOOKUP($CH206,'Jan-2026 rates'!$L:$R,4,0),IF($LB206=65%,VLOOKUP($CH206,'Jan-2026 rates'!$L:$R,4,0),IF($LB206=40%,VLOOKUP($CH206,'Jan-2026 rates'!$L:$R,5,0),IF($LB206=30%,VLOOKUP($CH206,'Jan-2026 rates'!$L:$R,6,0),IF($LB206=100%,VLOOKUP($CH206,'Jan-2026 rates'!$L:$R,7,0),IF($LB206=60%,VLOOKUP($CH206,'Jan-2026 rates'!$L:$S,8,0),IF($LB206=80%,VLOOKUP($CH206,'Jan-2026 rates'!L:T,9,0),0))))))))</f>
        <v>0</v>
      </c>
      <c r="CK206" s="412"/>
      <c r="CL206" s="409"/>
      <c r="CM206" s="411">
        <f>IF(CL206=0,0,IF($LB206=70%,VLOOKUP($CH206,'Jan-2026 rates'!$L:$R,4,0),IF($LB206=65%,VLOOKUP($CH206,'Jan-2026 rates'!$L:$R,4,0),IF($LB206=40%,VLOOKUP($CH206,'Jan-2026 rates'!$L:$R,5,0),IF($LB206=30%,VLOOKUP($CH206,'Jan-2026 rates'!$L:$R,6,0),IF($LB206=100%,VLOOKUP($CH206,'Jan-2026 rates'!$L:$R,7,0),IF($LB206=60%,VLOOKUP($CH206,'Jan-2026 rates'!$L:$S,8,0),IF($LB206=80%,VLOOKUP($CH206,'Jan-2026 rates'!L:T,9,0),0))))))))</f>
        <v>0</v>
      </c>
      <c r="CN206" s="426">
        <v>26515000009</v>
      </c>
      <c r="CO206" s="427">
        <v>26512000001</v>
      </c>
      <c r="CP206" s="426"/>
      <c r="CQ206" s="426"/>
      <c r="CR206" s="428"/>
      <c r="CS206" s="428"/>
      <c r="CT206" s="428"/>
      <c r="CU206" s="428"/>
      <c r="CV206" s="409">
        <v>2</v>
      </c>
      <c r="CW206" s="398" t="e">
        <f>IF(CV206=0,0,IF(LEN(CN206)=11,_xlfn.XLOOKUP(CN206,'Dispensed Ink Rates'!C:C,'Dispensed Ink Rates'!CS:CS),VLOOKUP(CN206,'Jan-2026 rates'!$E:$F,2,0)))</f>
        <v>#N/A</v>
      </c>
      <c r="CX206" s="409">
        <v>5</v>
      </c>
      <c r="CY206" s="398" t="e">
        <f>IF(CX206=0,0,IF(LEN(CO206)=11,_xlfn.XLOOKUP(CO206,'Dispensed Ink Rates'!C:C,'Dispensed Ink Rates'!CS:CS),VLOOKUP(CO206,'Jan-2026 rates'!$E:$F,2,0)))</f>
        <v>#N/A</v>
      </c>
      <c r="CZ206" s="409"/>
      <c r="DA206" s="398">
        <f>IF(CZ206=0,0,IF(LEN(CP206)=11,_xlfn.XLOOKUP(CP206,'Dispensed Ink Rates'!C:C,'Dispensed Ink Rates'!CS:CS),VLOOKUP(CP206,'Jan-2026 rates'!$E:$F,2,0)))</f>
        <v>0</v>
      </c>
      <c r="DB206" s="409"/>
      <c r="DC206" s="398">
        <f>IF(DB206=0,0,IF(LEN(CQ206)=11,_xlfn.XLOOKUP(CQ206,'Dispensed Ink Rates'!C:C,'Dispensed Ink Rates'!CS:CS),VLOOKUP(CQ206,'Jan-2026 rates'!$E:$F,2,0)))</f>
        <v>0</v>
      </c>
      <c r="DD206" s="409"/>
      <c r="DE206" s="398">
        <f>IF(DD206=0,0,IF(LEN(CR206)=11,_xlfn.XLOOKUP(CR206,'Dispensed Ink Rates'!C:C,'Dispensed Ink Rates'!CS:CS),VLOOKUP(CR206,'Jan-2026 rates'!$E:$F,2,0)))</f>
        <v>0</v>
      </c>
      <c r="DF206" s="409"/>
      <c r="DG206" s="398">
        <f>IF(DF206=0,0,IF(LEN(CS206)=11,_xlfn.XLOOKUP(CS206,'Dispensed Ink Rates'!C:C,'Dispensed Ink Rates'!CS:CS),VLOOKUP(CS206,'Jan-2026 rates'!$E:$F,2,0)))</f>
        <v>0</v>
      </c>
      <c r="DH206" s="409"/>
      <c r="DI206" s="398">
        <f>IF(DH206=0,0,IF(LEN(CT206)=11,_xlfn.XLOOKUP(CT206,'Dispensed Ink Rates'!C:C,'Dispensed Ink Rates'!CS:CS),VLOOKUP(CT206,'Jan-2026 rates'!$E:$F,2,0)))</f>
        <v>0</v>
      </c>
      <c r="DJ206" s="409"/>
      <c r="DK206" s="398">
        <f>IF(DJ206=0,0,IF(LEN(CU206)=11,_xlfn.XLOOKUP(CU206,'Dispensed Ink Rates'!C:C,'Dispensed Ink Rates'!CS:CS),VLOOKUP(CU206,'Jan-2026 rates'!$E:$F,2,0)))</f>
        <v>0</v>
      </c>
      <c r="DL206" s="409" t="s">
        <v>1443</v>
      </c>
      <c r="DM206" s="409">
        <v>40</v>
      </c>
      <c r="DN206" s="411">
        <f t="shared" si="165"/>
        <v>0</v>
      </c>
      <c r="DO206" s="411">
        <f t="shared" si="166"/>
        <v>3.2564102564102555</v>
      </c>
      <c r="DP206" s="410">
        <f t="shared" si="167"/>
        <v>0</v>
      </c>
      <c r="DQ206" s="405" t="s">
        <v>855</v>
      </c>
      <c r="DR206" s="409" t="s">
        <v>3787</v>
      </c>
      <c r="DS206" s="420" t="str">
        <f t="shared" si="133"/>
        <v>FLINTSL - CYAN</v>
      </c>
      <c r="DT206" s="409">
        <v>26</v>
      </c>
      <c r="DU206" s="411">
        <f>IF(DT206=0,0,IF($LB206=70%,VLOOKUP($DS206,'Jan-2026 rates'!$L:$R,4,0),IF($LB206=65%,VLOOKUP($DS206,'Jan-2026 rates'!$L:$R,4,0),IF($LB206=40%,VLOOKUP($DS206,'Jan-2026 rates'!$L:$R,5,0),IF($LB206=30%,VLOOKUP($DS206,'Jan-2026 rates'!$L:$R,6,0),IF($LB206=100%,VLOOKUP($DS206,'Jan-2026 rates'!$L:$R,7,0),IF($LB206=60%,VLOOKUP($DS206,'Jan-2026 rates'!$L:$S,8,0),IF($LB206=80%,VLOOKUP($DS206,'Jan-2026 rates'!L:T,9,0),0))))))))</f>
        <v>0</v>
      </c>
      <c r="DV206" s="412"/>
      <c r="DW206" s="409"/>
      <c r="DX206" s="411">
        <f>IF(DW206=0,0,IF($LB206=70%,VLOOKUP($DS206,'Jan-2026 rates'!$L:$R,4,0),IF($LB206=65%,VLOOKUP($DS206,'Jan-2026 rates'!$L:$R,4,0),IF($LB206=40%,VLOOKUP($DS206,'Jan-2026 rates'!$L:$R,5,0),IF($LB206=30%,VLOOKUP($DS206,'Jan-2026 rates'!$L:$R,6,0),IF($LB206=100%,VLOOKUP($DS206,'Jan-2026 rates'!$L:$R,7,0),IF($LB206=60%,VLOOKUP($DS206,'Jan-2026 rates'!$L:$S,8,0),IF($LB206=80%,VLOOKUP($DS206,'Jan-2026 rates'!L:T,9,0),0))))))))</f>
        <v>0</v>
      </c>
      <c r="DY206" s="413">
        <v>26512000001</v>
      </c>
      <c r="DZ206" s="413"/>
      <c r="EA206" s="412"/>
      <c r="EB206" s="412"/>
      <c r="EC206" s="412"/>
      <c r="ED206" s="412"/>
      <c r="EE206" s="412"/>
      <c r="EF206" s="412"/>
      <c r="EG206" s="409">
        <v>2</v>
      </c>
      <c r="EH206" s="398" t="e">
        <f>IF(EG206=0,0,IF(LEN(DY206)=11,_xlfn.XLOOKUP(DY206,'Dispensed Ink Rates'!C:C,'Dispensed Ink Rates'!CS:CS),VLOOKUP(DY206,'Jan-2026 rates'!$E:$F,2,0)))</f>
        <v>#N/A</v>
      </c>
      <c r="EI206" s="409"/>
      <c r="EJ206" s="398">
        <f>IF(EI206=0,0,IF(LEN(DZ206)=11,_xlfn.XLOOKUP(DZ206,'Dispensed Ink Rates'!C:C,'Dispensed Ink Rates'!CS:CS),VLOOKUP(DZ206,'Jan-2026 rates'!$E:$F,2,0)))</f>
        <v>0</v>
      </c>
      <c r="EK206" s="409"/>
      <c r="EL206" s="398">
        <f>IF(EK206=0,0,IF(LEN(EA206)=11,_xlfn.XLOOKUP(EA206,'Dispensed Ink Rates'!C:C,'Dispensed Ink Rates'!CS:CS),VLOOKUP(EA206,'Jan-2026 rates'!$E:$F,2,0)))</f>
        <v>0</v>
      </c>
      <c r="EM206" s="409"/>
      <c r="EN206" s="398">
        <f>IF(EM206=0,0,IF(LEN(EB206)=11,_xlfn.XLOOKUP(EB206,'Dispensed Ink Rates'!C:C,'Dispensed Ink Rates'!CS:CS),VLOOKUP(EB206,'Jan-2026 rates'!$E:$F,2,0)))</f>
        <v>0</v>
      </c>
      <c r="EO206" s="409"/>
      <c r="EP206" s="398">
        <f>IF(EO206=0,0,IF(LEN(EC206)=11,_xlfn.XLOOKUP(EC206,'Dispensed Ink Rates'!C:C,'Dispensed Ink Rates'!CS:CS),VLOOKUP(EC206,'Jan-2026 rates'!$E:$F,2,0)))</f>
        <v>0</v>
      </c>
      <c r="EQ206" s="409"/>
      <c r="ER206" s="398">
        <f>IF(EQ206=0,0,IF(LEN(ED206)=11,_xlfn.XLOOKUP(ED206,'Dispensed Ink Rates'!C:C,'Dispensed Ink Rates'!CS:CS),VLOOKUP(ED206,'Jan-2026 rates'!$E:$F,2,0)))</f>
        <v>0</v>
      </c>
      <c r="ES206" s="409"/>
      <c r="ET206" s="398">
        <f>IF(ES206=0,0,IF(LEN(EE206)=11,_xlfn.XLOOKUP(EE206,'Dispensed Ink Rates'!C:C,'Dispensed Ink Rates'!CS:CS),VLOOKUP(EE206,'Jan-2026 rates'!$E:$F,2,0)))</f>
        <v>0</v>
      </c>
      <c r="EU206" s="409"/>
      <c r="EV206" s="398">
        <f>IF(EU206=0,0,IF(LEN(EF206)=11,_xlfn.XLOOKUP(EF206,'Dispensed Ink Rates'!C:C,'Dispensed Ink Rates'!CS:CS),VLOOKUP(EF206,'Jan-2026 rates'!$E:$F,2,0)))</f>
        <v>0</v>
      </c>
      <c r="EW206" s="409" t="s">
        <v>1443</v>
      </c>
      <c r="EX206" s="409">
        <v>29</v>
      </c>
      <c r="EY206" s="411">
        <f t="shared" si="168"/>
        <v>0</v>
      </c>
      <c r="EZ206" s="411">
        <f t="shared" si="169"/>
        <v>5.3846153846153868</v>
      </c>
      <c r="FA206" s="410">
        <f t="shared" si="170"/>
        <v>0</v>
      </c>
      <c r="FB206" s="405" t="s">
        <v>544</v>
      </c>
      <c r="FC206" s="409" t="s">
        <v>3788</v>
      </c>
      <c r="FD206" s="420" t="str">
        <f t="shared" si="134"/>
        <v>FLINTSL - MAGENTA</v>
      </c>
      <c r="FE206" s="409">
        <v>26</v>
      </c>
      <c r="FF206" s="411">
        <f>IF(FE206=0,0,IF($LB206=70%,VLOOKUP($FD206,'Jan-2026 rates'!$L:$R,4,0),IF($LB206=65%,VLOOKUP($FD206,'Jan-2026 rates'!$L:$R,4,0),IF($LB206=40%,VLOOKUP($FD206,'Jan-2026 rates'!$L:$R,5,0),IF($LB206=30%,VLOOKUP($FD206,'Jan-2026 rates'!$L:$R,6,0),IF($LB206=100%,VLOOKUP($FD206,'Jan-2026 rates'!$L:$R,7,0),IF($LB206=60%,VLOOKUP($FD206,'Jan-2026 rates'!$L:$S,8,0),IF($LB206=80%,VLOOKUP($FD206,'Jan-2026 rates'!L:T,9,0),0))))))))</f>
        <v>0</v>
      </c>
      <c r="FG206" s="412"/>
      <c r="FH206" s="409"/>
      <c r="FI206" s="411">
        <f>IF(FH206=0,0,IF($LB206=70%,VLOOKUP($FD206,'Jan-2026 rates'!$L:$R,4,0),IF($LB206=65%,VLOOKUP($FD206,'Jan-2026 rates'!$L:$R,4,0),IF($LB206=40%,VLOOKUP($FD206,'Jan-2026 rates'!$L:$R,5,0),IF($LB206=30%,VLOOKUP($FD206,'Jan-2026 rates'!$L:$R,6,0),IF($LB206=100%,VLOOKUP($FD206,'Jan-2026 rates'!$L:$R,7,0),IF($LB206=60%,VLOOKUP($FD206,'Jan-2026 rates'!$L:$S,8,0),IF($LB206=80%,VLOOKUP($FD206,'Jan-2026 rates'!L:T,9,0),0))))))))</f>
        <v>0</v>
      </c>
      <c r="FJ206" s="413">
        <v>26514000008</v>
      </c>
      <c r="FK206" s="413"/>
      <c r="FL206" s="413"/>
      <c r="FM206" s="412"/>
      <c r="FN206" s="412"/>
      <c r="FO206" s="412"/>
      <c r="FP206" s="412"/>
      <c r="FQ206" s="412"/>
      <c r="FR206" s="409">
        <v>4</v>
      </c>
      <c r="FS206" s="398" t="e">
        <f>IF(FR206=0,0,IF(LEN(FJ206)=11,_xlfn.XLOOKUP(FJ206,'Dispensed Ink Rates'!C:C,'Dispensed Ink Rates'!CS:CS),VLOOKUP(FJ206,'Jan-2026 rates'!$E:$F,2,0)))</f>
        <v>#N/A</v>
      </c>
      <c r="FT206" s="409"/>
      <c r="FU206" s="398">
        <f>IF(FT206=0,0,IF(LEN(FK206)=11,_xlfn.XLOOKUP(FK206,'Dispensed Ink Rates'!C:C,'Dispensed Ink Rates'!CS:CS),VLOOKUP(FK206,'Jan-2026 rates'!$E:$F,2,0)))</f>
        <v>0</v>
      </c>
      <c r="FV206" s="409"/>
      <c r="FW206" s="398">
        <f>IF(FV206=0,0,IF(LEN(FL206)=11,_xlfn.XLOOKUP(FL206,'Dispensed Ink Rates'!C:C,'Dispensed Ink Rates'!CS:CS),VLOOKUP(FL206,'Jan-2026 rates'!$E:$F,2,0)))</f>
        <v>0</v>
      </c>
      <c r="FX206" s="409"/>
      <c r="FY206" s="398">
        <f>IF(FX206=0,0,IF(LEN(FM206)=11,_xlfn.XLOOKUP(FM206,'Dispensed Ink Rates'!C:C,'Dispensed Ink Rates'!CS:CS),VLOOKUP(FM206,'Jan-2026 rates'!$E:$F,2,0)))</f>
        <v>0</v>
      </c>
      <c r="FZ206" s="409"/>
      <c r="GA206" s="398">
        <f>IF(FZ206=0,0,IF(LEN(FN206)=11,_xlfn.XLOOKUP(FN206,'Dispensed Ink Rates'!C:C,'Dispensed Ink Rates'!CS:CS),VLOOKUP(FN206,'Jan-2026 rates'!$E:$F,2,0)))</f>
        <v>0</v>
      </c>
      <c r="GB206" s="409"/>
      <c r="GC206" s="398">
        <f>IF(GB206=0,0,IF(LEN(FO206)=11,_xlfn.XLOOKUP(FO206,'Dispensed Ink Rates'!C:C,'Dispensed Ink Rates'!CS:CS),VLOOKUP(FO206,'Jan-2026 rates'!$E:$F,2,0)))</f>
        <v>0</v>
      </c>
      <c r="GD206" s="409"/>
      <c r="GE206" s="398">
        <f>IF(GD206=0,0,IF(LEN(FP206)=11,_xlfn.XLOOKUP(FP206,'Dispensed Ink Rates'!C:C,'Dispensed Ink Rates'!CS:CS),VLOOKUP(FP206,'Jan-2026 rates'!$E:$F,2,0)))</f>
        <v>0</v>
      </c>
      <c r="GF206" s="409"/>
      <c r="GG206" s="398">
        <f>IF(GF206=0,0,IF(LEN(FQ206)=11,_xlfn.XLOOKUP(FQ206,'Dispensed Ink Rates'!C:C,'Dispensed Ink Rates'!CS:CS),VLOOKUP(FQ206,'Jan-2026 rates'!$E:$F,2,0)))</f>
        <v>0</v>
      </c>
      <c r="GH206" s="409" t="s">
        <v>1443</v>
      </c>
      <c r="GI206" s="409">
        <v>30</v>
      </c>
      <c r="GJ206" s="411">
        <f t="shared" si="171"/>
        <v>0</v>
      </c>
      <c r="GK206" s="411">
        <f t="shared" si="172"/>
        <v>10.641025641025642</v>
      </c>
      <c r="GL206" s="410">
        <f t="shared" si="173"/>
        <v>0</v>
      </c>
      <c r="GM206" s="405" t="s">
        <v>545</v>
      </c>
      <c r="GN206" s="409" t="s">
        <v>3789</v>
      </c>
      <c r="GO206" s="420" t="str">
        <f t="shared" si="135"/>
        <v>FLINTSL - YELLOW</v>
      </c>
      <c r="GP206" s="409">
        <v>29</v>
      </c>
      <c r="GQ206" s="411">
        <f>IF(GP206=0,0,IF($LB206=70%,VLOOKUP($GO206,'Jan-2026 rates'!$L:$R,4,0),IF($LB206=65%,VLOOKUP($GO206,'Jan-2026 rates'!$L:$R,4,0),IF($LB206=40%,VLOOKUP($GO206,'Jan-2026 rates'!$L:$R,5,0),IF($LB206=30%,VLOOKUP($GO206,'Jan-2026 rates'!$L:$R,6,0),IF($LB206=100%,VLOOKUP($GO206,'Jan-2026 rates'!$L:$R,7,0),IF($LB206=60%,VLOOKUP($GO206,'Jan-2026 rates'!$L:$S,8,0),IF($LB206=80%,VLOOKUP($GO206,'Jan-2026 rates'!L:T,9,0),0))))))))</f>
        <v>0</v>
      </c>
      <c r="GR206" s="412"/>
      <c r="GS206" s="409"/>
      <c r="GT206" s="411">
        <f>IF(GS206=0,0,IF($LB206=70%,VLOOKUP($GO206,'Jan-2026 rates'!$L:$R,4,0),IF($LB206=65%,VLOOKUP($GO206,'Jan-2026 rates'!$L:$R,4,0),IF($LB206=40%,VLOOKUP($GO206,'Jan-2026 rates'!$L:$R,5,0),IF($LB206=30%,VLOOKUP($GO206,'Jan-2026 rates'!$L:$R,6,0),IF($LB206=100%,VLOOKUP($GO206,'Jan-2026 rates'!$L:$R,7,0),IF($LB206=60%,VLOOKUP($GO206,'Jan-2026 rates'!$L:$S,8,0),IF($LB206=80%,VLOOKUP($GO206,'Jan-2026 rates'!L:T,9,0),0))))))))</f>
        <v>0</v>
      </c>
      <c r="GU206" s="413">
        <v>26515000009</v>
      </c>
      <c r="GV206" s="413" t="s">
        <v>1266</v>
      </c>
      <c r="GW206" s="412"/>
      <c r="GX206" s="412"/>
      <c r="GY206" s="412"/>
      <c r="GZ206" s="412"/>
      <c r="HA206" s="412"/>
      <c r="HB206" s="412"/>
      <c r="HC206" s="409">
        <v>10</v>
      </c>
      <c r="HD206" s="398" t="e">
        <f>IF(HC206=0,0,IF(LEN(GU206)=11,_xlfn.XLOOKUP(GU206,'Dispensed Ink Rates'!C:C,'Dispensed Ink Rates'!CS:CS),VLOOKUP(GU206,'Jan-2026 rates'!$E:$F,2,0)))</f>
        <v>#N/A</v>
      </c>
      <c r="HE206" s="409">
        <v>7</v>
      </c>
      <c r="HF206" s="398">
        <f>IF(HE206=0,0,IF(LEN(GV206)=11,_xlfn.XLOOKUP(GV206,'Dispensed Ink Rates'!C:C,'Dispensed Ink Rates'!CS:CS),VLOOKUP(GV206,'Jan-2026 rates'!$E:$F,2,0)))</f>
        <v>0</v>
      </c>
      <c r="HG206" s="409"/>
      <c r="HH206" s="398">
        <f>IF(HG206=0,0,IF(LEN(GW206)=11,_xlfn.XLOOKUP(GW206,'Dispensed Ink Rates'!C:C,'Dispensed Ink Rates'!CS:CS),VLOOKUP(GW206,'Jan-2026 rates'!$E:$F,2,0)))</f>
        <v>0</v>
      </c>
      <c r="HI206" s="409"/>
      <c r="HJ206" s="398">
        <f>IF(HI206=0,0,IF(LEN(GX206)=11,_xlfn.XLOOKUP(GX206,'Dispensed Ink Rates'!C:C,'Dispensed Ink Rates'!CS:CS),VLOOKUP(GX206,'Jan-2026 rates'!$E:$F,2,0)))</f>
        <v>0</v>
      </c>
      <c r="HK206" s="409"/>
      <c r="HL206" s="398">
        <f>IF(HK206=0,0,IF(LEN(GY206)=11,_xlfn.XLOOKUP(GY206,'Dispensed Ink Rates'!C:C,'Dispensed Ink Rates'!CS:CS),VLOOKUP(GY206,'Jan-2026 rates'!$E:$F,2,0)))</f>
        <v>0</v>
      </c>
      <c r="HM206" s="409"/>
      <c r="HN206" s="398">
        <f>IF(HM206=0,0,IF(LEN(GZ206)=11,_xlfn.XLOOKUP(GZ206,'Dispensed Ink Rates'!C:C,'Dispensed Ink Rates'!CS:CS),VLOOKUP(GZ206,'Jan-2026 rates'!$E:$F,2,0)))</f>
        <v>0</v>
      </c>
      <c r="HO206" s="409"/>
      <c r="HP206" s="398">
        <f>IF(HO206=0,0,IF(LEN(HA206)=11,_xlfn.XLOOKUP(HA206,'Dispensed Ink Rates'!C:C,'Dispensed Ink Rates'!CS:CS),VLOOKUP(HA206,'Jan-2026 rates'!$E:$F,2,0)))</f>
        <v>0</v>
      </c>
      <c r="HQ206" s="409"/>
      <c r="HR206" s="398">
        <f>IF(HQ206=0,0,IF(LEN(HB206)=11,_xlfn.XLOOKUP(HB206,'Dispensed Ink Rates'!C:C,'Dispensed Ink Rates'!CS:CS),VLOOKUP(HB206,'Jan-2026 rates'!$E:$F,2,0)))</f>
        <v>0</v>
      </c>
      <c r="HS206" s="409" t="s">
        <v>1443</v>
      </c>
      <c r="HT206" s="409">
        <v>30</v>
      </c>
      <c r="HU206" s="411">
        <f t="shared" si="174"/>
        <v>0</v>
      </c>
      <c r="HV206" s="411">
        <f t="shared" si="175"/>
        <v>41.538461538461533</v>
      </c>
      <c r="HW206" s="414">
        <f t="shared" si="176"/>
        <v>0</v>
      </c>
      <c r="HX206" s="405" t="s">
        <v>546</v>
      </c>
      <c r="HY206" s="409"/>
      <c r="HZ206" s="420" t="str">
        <f t="shared" si="136"/>
        <v>FLINTSL - REFLEX BLUE</v>
      </c>
      <c r="IA206" s="409"/>
      <c r="IB206" s="411">
        <f>IF(IA206=0,0,IF($LB206=70%,VLOOKUP($HZ206,'Jan-2026 rates'!$L:$R,4,0),IF($LB206=65%,VLOOKUP($HZ206,'Jan-2026 rates'!$L:$R,4,0),IF($LB206=40%,VLOOKUP($HZ206,'Jan-2026 rates'!$L:$R,5,0),IF($LB206=30%,VLOOKUP($HZ206,'Jan-2026 rates'!$L:$R,6,0),IF($LB206=100%,VLOOKUP($HZ206,'Jan-2026 rates'!$L:$R,7,0),IF($LB206=60%,VLOOKUP($HZ206,'Jan-2026 rates'!$L:$S,8,0),IF($LB206=80%,VLOOKUP($HZ206,'Jan-2026 rates'!L:T,9,0),0))))))))</f>
        <v>0</v>
      </c>
      <c r="IC206" s="412"/>
      <c r="ID206" s="409"/>
      <c r="IE206" s="411">
        <f>IF(ID206=0,0,IF($LB206=70%,VLOOKUP($HZ206,'Jan-2026 rates'!$L:$R,4,0),IF($LB206=65%,VLOOKUP($HZ206,'Jan-2026 rates'!$L:$R,4,0),IF($LB206=40%,VLOOKUP($HZ206,'Jan-2026 rates'!$L:$R,5,0),IF($LB206=30%,VLOOKUP($HZ206,'Jan-2026 rates'!$L:$R,6,0),IF($LB206=100%,VLOOKUP($HZ206,'Jan-2026 rates'!$L:$R,7,0),IF($LB206=60%,VLOOKUP($HZ206,'Jan-2026 rates'!$L:$S,8,0),IF($LB206=80%,VLOOKUP($HZ206,'Jan-2026 rates'!L:T,9,0),0))))))))</f>
        <v>0</v>
      </c>
      <c r="IF206" s="412">
        <v>26512000001</v>
      </c>
      <c r="IG206" s="413" t="s">
        <v>1266</v>
      </c>
      <c r="IH206" s="412">
        <v>26515000003</v>
      </c>
      <c r="II206" s="412">
        <v>26515000004</v>
      </c>
      <c r="IJ206" s="412">
        <v>26515000005</v>
      </c>
      <c r="IK206" s="412">
        <v>26515000006</v>
      </c>
      <c r="IL206" s="412"/>
      <c r="IM206" s="412"/>
      <c r="IN206" s="409">
        <v>4</v>
      </c>
      <c r="IO206" s="398" t="e">
        <f>IF(IN206=0,0,IF(LEN(IF206)=11,_xlfn.XLOOKUP(IF206,'Dispensed Ink Rates'!C:C,'Dispensed Ink Rates'!CS:CS),VLOOKUP(IF206,'Jan-2026 rates'!$E:$F,2,0)))</f>
        <v>#N/A</v>
      </c>
      <c r="IP206" s="409">
        <v>10</v>
      </c>
      <c r="IQ206" s="398">
        <f>IF(IP206=0,0,IF(LEN(IG206)=11,_xlfn.XLOOKUP(IG206,'Dispensed Ink Rates'!C:C,'Dispensed Ink Rates'!CS:CS),VLOOKUP(IG206,'Jan-2026 rates'!$E:$F,2,0)))</f>
        <v>0</v>
      </c>
      <c r="IR206" s="409">
        <v>40</v>
      </c>
      <c r="IS206" s="398" t="e">
        <f>IF(IR206=0,0,IF(LEN(IH206)=11,_xlfn.XLOOKUP(IH206,'Dispensed Ink Rates'!C:C,'Dispensed Ink Rates'!CS:CS),VLOOKUP(IH206,'Jan-2026 rates'!$E:$F,2,0)))</f>
        <v>#N/A</v>
      </c>
      <c r="IT206" s="409">
        <v>40</v>
      </c>
      <c r="IU206" s="398" t="e">
        <f>IF(IT206=0,0,IF(LEN(II206)=11,_xlfn.XLOOKUP(II206,'Dispensed Ink Rates'!C:C,'Dispensed Ink Rates'!CS:CS),VLOOKUP(II206,'Jan-2026 rates'!$E:$F,2,0)))</f>
        <v>#N/A</v>
      </c>
      <c r="IV206" s="409">
        <v>120</v>
      </c>
      <c r="IW206" s="398" t="e">
        <f>IF(IV206=0,0,IF(LEN(IJ206)=11,_xlfn.XLOOKUP(IJ206,'Dispensed Ink Rates'!C:C,'Dispensed Ink Rates'!CS:CS),VLOOKUP(IJ206,'Jan-2026 rates'!$E:$F,2,0)))</f>
        <v>#N/A</v>
      </c>
      <c r="IX206" s="409">
        <v>80</v>
      </c>
      <c r="IY206" s="398" t="e">
        <f>IF(IX206=0,0,IF(LEN(IK206)=11,_xlfn.XLOOKUP(IK206,'Dispensed Ink Rates'!C:C,'Dispensed Ink Rates'!CS:CS),VLOOKUP(IK206,'Jan-2026 rates'!$E:$F,2,0)))</f>
        <v>#N/A</v>
      </c>
      <c r="IZ206" s="409"/>
      <c r="JA206" s="398">
        <f>IF(IZ206=0,0,IF(LEN(IL206)=11,_xlfn.XLOOKUP(IL206,'Dispensed Ink Rates'!C:C,'Dispensed Ink Rates'!CS:CS),VLOOKUP(IL206,'Jan-2026 rates'!$E:$F,2,0)))</f>
        <v>0</v>
      </c>
      <c r="JB206" s="409"/>
      <c r="JC206" s="398">
        <f>IF(JB206=0,0,IF(LEN(IM206)=11,_xlfn.XLOOKUP(IM206,'Dispensed Ink Rates'!C:C,'Dispensed Ink Rates'!CS:CS),VLOOKUP(IM206,'Jan-2026 rates'!$E:$F,2,0)))</f>
        <v>0</v>
      </c>
      <c r="JD206" s="409" t="s">
        <v>1443</v>
      </c>
      <c r="JE206" s="409">
        <v>33</v>
      </c>
      <c r="JF206" s="411">
        <f t="shared" si="177"/>
        <v>0</v>
      </c>
      <c r="JG206" s="411">
        <f t="shared" si="178"/>
        <v>292.92307692307691</v>
      </c>
      <c r="JH206" s="410">
        <f t="shared" si="179"/>
        <v>0</v>
      </c>
      <c r="JI206" s="405" t="s">
        <v>856</v>
      </c>
      <c r="JJ206" s="409" t="s">
        <v>3790</v>
      </c>
      <c r="JK206" s="420" t="str">
        <f t="shared" si="137"/>
        <v>FLINTSL - WHITE</v>
      </c>
      <c r="JL206" s="409">
        <v>20</v>
      </c>
      <c r="JM206" s="411">
        <f>IF(JL206=0,0,IF($LB206=70%,VLOOKUP($JK206,'Jan-2026 rates'!$L:$R,4,0),IF($LB206=65%,VLOOKUP($JK206,'Jan-2026 rates'!$L:$R,4,0),IF($LB206=40%,VLOOKUP($JK206,'Jan-2026 rates'!$L:$R,5,0),IF($LB206=30%,VLOOKUP($JK206,'Jan-2026 rates'!$L:$R,6,0),IF($LB206=100%,VLOOKUP($JK206,'Jan-2026 rates'!$L:$R,7,0),IF($LB206=60%,VLOOKUP($JK206,'Jan-2026 rates'!$L:$S,8,0),IF($LB206=80%,VLOOKUP($JK206,'Jan-2026 rates'!L:T,9,0),0))))))))</f>
        <v>0</v>
      </c>
      <c r="JN206" s="412"/>
      <c r="JO206" s="409"/>
      <c r="JP206" s="411">
        <f>IF(JO206=0,0,IF($LB206=70%,VLOOKUP($JK206,'Jan-2026 rates'!$L:$R,4,0),IF($LB206=65%,VLOOKUP($JK206,'Jan-2026 rates'!$L:$R,4,0),IF($LB206=40%,VLOOKUP($JK206,'Jan-2026 rates'!$L:$R,5,0),IF($LB206=30%,VLOOKUP($JK206,'Jan-2026 rates'!$L:$R,6,0),IF($LB206=100%,VLOOKUP($JK206,'Jan-2026 rates'!$L:$R,7,0),IF($LB206=60%,VLOOKUP($JK206,'Jan-2026 rates'!$L:$S,8,0),IF($LB206=80%,VLOOKUP($JK206,'Jan-2026 rates'!L:T,9,0),0))))))))</f>
        <v>0</v>
      </c>
      <c r="JQ206" s="413" t="s">
        <v>484</v>
      </c>
      <c r="JR206" s="412"/>
      <c r="JS206" s="413"/>
      <c r="JT206" s="413"/>
      <c r="JU206" s="412"/>
      <c r="JV206" s="412"/>
      <c r="JW206" s="412"/>
      <c r="JX206" s="412"/>
      <c r="JY206" s="409">
        <f>100+100+100</f>
        <v>300</v>
      </c>
      <c r="JZ206" s="398">
        <f>IF(JY206=0,0,IF(LEN(JQ206)=11,_xlfn.XLOOKUP(JQ206,'Dispensed Ink Rates'!C:C,'Dispensed Ink Rates'!CS:CS),VLOOKUP(JQ206,'Jan-2026 rates'!$E:$F,2,0)))</f>
        <v>0</v>
      </c>
      <c r="KA206" s="409"/>
      <c r="KB206" s="398">
        <f>IF(KA206=0,0,IF(LEN(JR206)=11,_xlfn.XLOOKUP(JR206,'Dispensed Ink Rates'!C:C,'Dispensed Ink Rates'!CS:CS),VLOOKUP(JR206,'Jan-2026 rates'!$E:$F,2,0)))</f>
        <v>0</v>
      </c>
      <c r="KC206" s="409"/>
      <c r="KD206" s="398">
        <f>IF(KC206=0,0,IF(LEN(JS206)=11,_xlfn.XLOOKUP(JS206,'Dispensed Ink Rates'!C:C,'Dispensed Ink Rates'!CS:CS),VLOOKUP(JS206,'Jan-2026 rates'!$E:$F,2,0)))</f>
        <v>0</v>
      </c>
      <c r="KE206" s="409"/>
      <c r="KF206" s="398">
        <f>IF(KE206=0,0,IF(LEN(JT206)=11,_xlfn.XLOOKUP(JT206,'Dispensed Ink Rates'!C:C,'Dispensed Ink Rates'!CS:CS),VLOOKUP(JT206,'Jan-2026 rates'!$E:$F,2,0)))</f>
        <v>0</v>
      </c>
      <c r="KG206" s="409"/>
      <c r="KH206" s="398">
        <f>IF(KG206=0,0,IF(LEN(JU206)=11,_xlfn.XLOOKUP(JU206,'Dispensed Ink Rates'!C:C,'Dispensed Ink Rates'!CS:CS),VLOOKUP(JU206,'Jan-2026 rates'!$E:$F,2,0)))</f>
        <v>0</v>
      </c>
      <c r="KI206" s="409"/>
      <c r="KJ206" s="398">
        <f>IF(KI206=0,0,IF(LEN(JV206)=11,_xlfn.XLOOKUP(JV206,'Dispensed Ink Rates'!C:C,'Dispensed Ink Rates'!CS:CS),VLOOKUP(JV206,'Jan-2026 rates'!$E:$F,2,0)))</f>
        <v>0</v>
      </c>
      <c r="KK206" s="409"/>
      <c r="KL206" s="398">
        <f>IF(KK206=0,0,IF(LEN(JW206)=11,_xlfn.XLOOKUP(JW206,'Dispensed Ink Rates'!C:C,'Dispensed Ink Rates'!CS:CS),VLOOKUP(JW206,'Jan-2026 rates'!$E:$F,2,0)))</f>
        <v>0</v>
      </c>
      <c r="KM206" s="428"/>
      <c r="KN206" s="398">
        <f>IF(KM206=0,0,IF(LEN(JX206)=11,_xlfn.XLOOKUP(JX206,'Dispensed Ink Rates'!C:C,'Dispensed Ink Rates'!CS:CS),VLOOKUP(JX206,'Jan-2026 rates'!$E:$F,2,0)))</f>
        <v>0</v>
      </c>
      <c r="KO206" s="409" t="s">
        <v>1443</v>
      </c>
      <c r="KP206" s="409">
        <v>30</v>
      </c>
      <c r="KQ206" s="411">
        <f t="shared" si="180"/>
        <v>0</v>
      </c>
      <c r="KR206" s="411">
        <f t="shared" si="181"/>
        <v>673.07692307692309</v>
      </c>
      <c r="KS206" s="410">
        <f t="shared" si="182"/>
        <v>0</v>
      </c>
      <c r="KT206" s="409">
        <v>2</v>
      </c>
      <c r="KU206" s="409">
        <v>15</v>
      </c>
      <c r="KV206" s="409">
        <v>2</v>
      </c>
      <c r="KW206" s="409">
        <v>3</v>
      </c>
      <c r="KX206" s="409">
        <v>5</v>
      </c>
      <c r="KY206" s="409">
        <v>12</v>
      </c>
      <c r="KZ206" s="409">
        <v>15</v>
      </c>
      <c r="LA206" s="409">
        <f>60+60+60</f>
        <v>180</v>
      </c>
      <c r="LB206" s="415">
        <v>0.8</v>
      </c>
      <c r="LC206" s="415">
        <v>0.2</v>
      </c>
      <c r="LD206" s="415"/>
      <c r="LE206" s="415"/>
      <c r="LF206" s="415"/>
      <c r="LG206" s="409">
        <v>0</v>
      </c>
      <c r="LH206" s="409">
        <f>180+100+160+40+5+5+5+3</f>
        <v>498</v>
      </c>
      <c r="LI206" s="409">
        <v>0</v>
      </c>
      <c r="LJ206" s="409">
        <v>0</v>
      </c>
      <c r="LK206" s="416">
        <f t="shared" si="138"/>
        <v>498</v>
      </c>
      <c r="LL206" s="416">
        <f t="shared" si="139"/>
        <v>498</v>
      </c>
      <c r="LM206" s="417">
        <f t="shared" si="140"/>
        <v>398.40000000000003</v>
      </c>
      <c r="LN206" s="417">
        <f>VLOOKUP($LM$8,'Jan-2026 rates'!$H:$I,2,0)</f>
        <v>0</v>
      </c>
      <c r="LO206" s="417">
        <f t="shared" si="141"/>
        <v>99.600000000000009</v>
      </c>
      <c r="LP206" s="417">
        <f>VLOOKUP($LO$8,'Jan-2026 rates'!$H:$I,2,0)</f>
        <v>0</v>
      </c>
      <c r="LQ206" s="417">
        <f t="shared" si="142"/>
        <v>0</v>
      </c>
      <c r="LR206" s="417">
        <f>VLOOKUP($LQ$8,'Jan-2026 rates'!$H:$I,2,0)</f>
        <v>0</v>
      </c>
      <c r="LS206" s="417">
        <f t="shared" si="143"/>
        <v>0</v>
      </c>
      <c r="LT206" s="417">
        <f>VLOOKUP($LS$8,'Jan-2026 rates'!$H:$I,2,0)</f>
        <v>0</v>
      </c>
      <c r="LU206" s="417">
        <f t="shared" si="144"/>
        <v>0</v>
      </c>
      <c r="LV206" s="417">
        <f>VLOOKUP($LU$8,'Jan-2026 rates'!$H:$I,2,0)</f>
        <v>0</v>
      </c>
      <c r="LW206" s="417">
        <f t="shared" si="145"/>
        <v>0</v>
      </c>
      <c r="LX206" s="417">
        <f t="shared" si="146"/>
        <v>0</v>
      </c>
      <c r="LY206" s="418">
        <f t="shared" si="147"/>
        <v>0</v>
      </c>
      <c r="LZ206" s="417"/>
      <c r="MA206" s="435">
        <f t="shared" si="148"/>
        <v>645</v>
      </c>
      <c r="MB206" s="282">
        <f t="shared" si="149"/>
        <v>1074</v>
      </c>
      <c r="MC206" s="283">
        <v>99</v>
      </c>
      <c r="MD206" s="284" t="str">
        <f t="shared" si="150"/>
        <v>FLINTSLFLINTSLFLINTSLFLINTSLFLINTSLFLINTSLFLINTSLFLINTSL</v>
      </c>
      <c r="ME206" s="293" t="str">
        <f t="shared" si="151"/>
        <v>+</v>
      </c>
      <c r="MF206" s="293" t="str">
        <f t="shared" si="152"/>
        <v>+</v>
      </c>
      <c r="MG206" s="293" t="str">
        <f t="shared" si="153"/>
        <v>+</v>
      </c>
      <c r="MH206" s="293" t="str">
        <f t="shared" si="154"/>
        <v>+</v>
      </c>
      <c r="MI206" s="293" t="str">
        <f t="shared" si="155"/>
        <v>+</v>
      </c>
      <c r="MJ206" s="293" t="str">
        <f t="shared" si="156"/>
        <v>+</v>
      </c>
      <c r="MK206" s="293" t="str">
        <f t="shared" si="157"/>
        <v>+</v>
      </c>
      <c r="ML206" s="293" t="str">
        <f t="shared" si="158"/>
        <v>+</v>
      </c>
      <c r="MM206" s="3" t="b">
        <f t="array" ref="MM206">OR(ME206:ML206="-")</f>
        <v>0</v>
      </c>
      <c r="MN206" s="285"/>
      <c r="MO206" s="401"/>
      <c r="MP206" s="286"/>
      <c r="MQ206" s="286"/>
      <c r="MR206" s="402"/>
      <c r="MS206" s="400"/>
      <c r="NH206" s="422"/>
      <c r="NJ206" s="421"/>
    </row>
    <row r="207" spans="1:374" s="1" customFormat="1" ht="16.5">
      <c r="A207" s="403">
        <v>46037</v>
      </c>
      <c r="B207" s="404" t="s">
        <v>1015</v>
      </c>
      <c r="C207" s="405" t="s">
        <v>3791</v>
      </c>
      <c r="D207" s="406">
        <v>100</v>
      </c>
      <c r="E207" s="404">
        <v>519</v>
      </c>
      <c r="F207" s="407">
        <v>20400</v>
      </c>
      <c r="G207" s="407" t="s">
        <v>1019</v>
      </c>
      <c r="H207" s="408" t="s">
        <v>1017</v>
      </c>
      <c r="I207" s="409">
        <v>1.95</v>
      </c>
      <c r="J207" s="405" t="s">
        <v>543</v>
      </c>
      <c r="K207" s="404" t="s">
        <v>3792</v>
      </c>
      <c r="L207" s="419" t="str">
        <f t="shared" si="131"/>
        <v>FLINTSL - BLACK</v>
      </c>
      <c r="M207" s="404">
        <v>29</v>
      </c>
      <c r="N207" s="410">
        <f>IF(M207=0,0,IF($LB207=70%,VLOOKUP($L207,'Jan-2026 rates'!$L:$R,4,0),IF($LB207=65%,VLOOKUP($L207,'Jan-2026 rates'!$L:$R,4,0),IF($LB207=40%,VLOOKUP($L207,'Jan-2026 rates'!$L:$R,5,0),IF($LB207=30%,VLOOKUP($L207,'Jan-2026 rates'!$L:$R,6,0),IF($LB207=100%,VLOOKUP($L207,'Jan-2026 rates'!$L:$R,7,0),IF($LB207=60%,VLOOKUP($L207,'Jan-2026 rates'!$L:$S,8,0),IF($LB207=80%,VLOOKUP($L207,'Jan-2026 rates'!L:T,9,0),0))))))))</f>
        <v>0</v>
      </c>
      <c r="O207" s="406"/>
      <c r="P207" s="404"/>
      <c r="Q207" s="410">
        <f>IF(P207=0,0,IF($LB207=70%,VLOOKUP($L207,'Jan-2026 rates'!$L:$R,4,0),IF($LB207=65%,VLOOKUP($L207,'Jan-2026 rates'!$L:$R,4,0),IF($LB207=40%,VLOOKUP($L207,'Jan-2026 rates'!$L:$R,5,0),IF($LB207=30%,VLOOKUP($L207,'Jan-2026 rates'!$L:$R,6,0),IF($LB207=100%,VLOOKUP($L207,'Jan-2026 rates'!$L:$R,7,0),IF($LB207=60%,VLOOKUP($L207,'Jan-2026 rates'!$L:$S,8,0),IF($LB207=80%,VLOOKUP($L207,'Jan-2026 rates'!L:T,9,0),0))))))))</f>
        <v>0</v>
      </c>
      <c r="R207" s="406">
        <v>26517000042</v>
      </c>
      <c r="S207" s="406"/>
      <c r="T207" s="406"/>
      <c r="U207" s="406"/>
      <c r="V207" s="406"/>
      <c r="W207" s="406"/>
      <c r="X207" s="406"/>
      <c r="Y207" s="406"/>
      <c r="Z207" s="404">
        <v>2</v>
      </c>
      <c r="AA207" s="398" t="e">
        <f>IF(Z207=0,0,IF(LEN(R207)=11,_xlfn.XLOOKUP(R207,'Dispensed Ink Rates'!C:C,'Dispensed Ink Rates'!CS:CS),VLOOKUP(R207,'Jan-2026 rates'!$E:$F,2,0)))</f>
        <v>#N/A</v>
      </c>
      <c r="AB207" s="404"/>
      <c r="AC207" s="398">
        <f>IF(AB207=0,0,IF(LEN(S207)=11,_xlfn.XLOOKUP(S207,'Dispensed Ink Rates'!C:C,'Dispensed Ink Rates'!CS:CS),VLOOKUP(S207,'Jan-2026 rates'!$E:$F,2,0)))</f>
        <v>0</v>
      </c>
      <c r="AD207" s="404"/>
      <c r="AE207" s="398">
        <f>IF(AD207=0,0,IF(LEN(T207)=11,_xlfn.XLOOKUP(T207,'Dispensed Ink Rates'!C:C,'Dispensed Ink Rates'!CS:CS),VLOOKUP(T207,'Jan-2026 rates'!$E:$F,2,0)))</f>
        <v>0</v>
      </c>
      <c r="AF207" s="404"/>
      <c r="AG207" s="398">
        <f>IF(AF207=0,0,IF(LEN(U207)=11,_xlfn.XLOOKUP(U207,'Dispensed Ink Rates'!C:C,'Dispensed Ink Rates'!CS:CS),VLOOKUP(U207,'Jan-2026 rates'!$E:$F,2,0)))</f>
        <v>0</v>
      </c>
      <c r="AH207" s="404"/>
      <c r="AI207" s="398">
        <f>IF(AH207=0,0,IF(LEN(V207)=11,_xlfn.XLOOKUP(V207,'Dispensed Ink Rates'!C:C,'Dispensed Ink Rates'!CS:CS),VLOOKUP(V207,'Jan-2026 rates'!$E:$F,2,0)))</f>
        <v>0</v>
      </c>
      <c r="AJ207" s="404"/>
      <c r="AK207" s="398">
        <f>IF(AJ207=0,0,IF(LEN(W207)=11,_xlfn.XLOOKUP(W207,'Dispensed Ink Rates'!C:C,'Dispensed Ink Rates'!CS:CS),VLOOKUP(W207,'Jan-2026 rates'!$E:$F,2,0)))</f>
        <v>0</v>
      </c>
      <c r="AL207" s="404"/>
      <c r="AM207" s="398">
        <f>IF(AL207=0,0,IF(LEN(X207)=11,_xlfn.XLOOKUP(X207,'Dispensed Ink Rates'!C:C,'Dispensed Ink Rates'!CS:CS),VLOOKUP(X207,'Jan-2026 rates'!$E:$F,2,0)))</f>
        <v>0</v>
      </c>
      <c r="AN207" s="404"/>
      <c r="AO207" s="398">
        <f>IF(AN207=0,0,IF(LEN(Y207)=11,_xlfn.XLOOKUP(Y207,'Dispensed Ink Rates'!C:C,'Dispensed Ink Rates'!CS:CS),VLOOKUP(Y207,'Jan-2026 rates'!$E:$F,2,0)))</f>
        <v>0</v>
      </c>
      <c r="AP207" s="409" t="s">
        <v>1443</v>
      </c>
      <c r="AQ207" s="409">
        <v>28</v>
      </c>
      <c r="AR207" s="410">
        <f t="shared" si="159"/>
        <v>0</v>
      </c>
      <c r="AS207" s="411">
        <f t="shared" si="160"/>
        <v>6.5135135135135158</v>
      </c>
      <c r="AT207" s="410">
        <f t="shared" si="161"/>
        <v>0</v>
      </c>
      <c r="AU207" s="405" t="s">
        <v>546</v>
      </c>
      <c r="AV207" s="409" t="s">
        <v>3792</v>
      </c>
      <c r="AW207" s="420" t="str">
        <f t="shared" si="183"/>
        <v>FLINTSL - REFLEX BLUE</v>
      </c>
      <c r="AX207" s="409">
        <v>30</v>
      </c>
      <c r="AY207" s="411">
        <f>IF(AX207=0,0,IF($LB207=70%,VLOOKUP($AW207,'Jan-2026 rates'!$L:$R,4,0),IF($LB207=65%,VLOOKUP($AW207,'Jan-2026 rates'!$L:$R,4,0),IF($LB207=40%,VLOOKUP($AW207,'Jan-2026 rates'!$L:$R,5,0),IF($LB207=30%,VLOOKUP($AW207,'Jan-2026 rates'!$L:$R,6,0),IF($LB207=100%,VLOOKUP($AW207,'Jan-2026 rates'!$L:$R,7,0),IF($LB207=60%,VLOOKUP($AW207,'Jan-2026 rates'!$L:$S,8,0),IF($LB207=80%,VLOOKUP($AW207,'Jan-2026 rates'!L:T,9,0),0))))))))</f>
        <v>0</v>
      </c>
      <c r="AZ207" s="412"/>
      <c r="BA207" s="409"/>
      <c r="BB207" s="411">
        <f>IF(BA207=0,0,IF($LB207=70%,VLOOKUP($AW207,'Jan-2026 rates'!$L:$R,4,0),IF($LB207=65%,VLOOKUP($AW207,'Jan-2026 rates'!$L:$R,4,0),IF($LB207=40%,VLOOKUP($AW207,'Jan-2026 rates'!$L:$R,5,0),IF($LB207=30%,VLOOKUP($AW207,'Jan-2026 rates'!$L:$R,6,0),IF($LB207=100%,VLOOKUP($AW207,'Jan-2026 rates'!$L:$R,7,0),IF($LB207=60%,VLOOKUP($AW207,'Jan-2026 rates'!$L:$S,8,0),IF($LB207=80%,VLOOKUP($AW207,'Jan-2026 rates'!L:T,9,0),0))))))))</f>
        <v>0</v>
      </c>
      <c r="BC207" s="413">
        <v>26517000042</v>
      </c>
      <c r="BD207" s="412">
        <v>26507000025</v>
      </c>
      <c r="BE207" s="412">
        <v>26512000001</v>
      </c>
      <c r="BF207" s="413">
        <v>26514000011</v>
      </c>
      <c r="BG207" s="412"/>
      <c r="BH207" s="412"/>
      <c r="BI207" s="412"/>
      <c r="BJ207" s="412"/>
      <c r="BK207" s="409">
        <v>4</v>
      </c>
      <c r="BL207" s="398" t="e">
        <f>IF(BK207=0,0,IF(LEN(BC207)=11,_xlfn.XLOOKUP(BC207,'Dispensed Ink Rates'!C:C,'Dispensed Ink Rates'!CS:CS),VLOOKUP(BC207,'Jan-2026 rates'!$E:$F,2,0)))</f>
        <v>#N/A</v>
      </c>
      <c r="BM207" s="409">
        <v>5</v>
      </c>
      <c r="BN207" s="398" t="e">
        <f>IF(BM207=0,0,IF(LEN(BD207)=11,_xlfn.XLOOKUP(BD207,'Dispensed Ink Rates'!C:C,'Dispensed Ink Rates'!CS:CS),VLOOKUP(BD207,'Jan-2026 rates'!$E:$F,2,0)))</f>
        <v>#N/A</v>
      </c>
      <c r="BO207" s="409">
        <v>10</v>
      </c>
      <c r="BP207" s="398" t="e">
        <f>IF(BO207=0,0,IF(LEN(BE207)=11,_xlfn.XLOOKUP(BE207,'Dispensed Ink Rates'!C:C,'Dispensed Ink Rates'!CS:CS),VLOOKUP(BE207,'Jan-2026 rates'!$E:$F,2,0)))</f>
        <v>#N/A</v>
      </c>
      <c r="BQ207" s="409">
        <f>2+2</f>
        <v>4</v>
      </c>
      <c r="BR207" s="398" t="e">
        <f>IF(BQ207=0,0,IF(LEN(BF207)=11,_xlfn.XLOOKUP(BF207,'Dispensed Ink Rates'!C:C,'Dispensed Ink Rates'!CS:CS),VLOOKUP(BF207,'Jan-2026 rates'!$E:$F,2,0)))</f>
        <v>#N/A</v>
      </c>
      <c r="BS207" s="409"/>
      <c r="BT207" s="398">
        <f>IF(BS207=0,0,IF(LEN(BG207)=11,_xlfn.XLOOKUP(BG207,'Dispensed Ink Rates'!C:C,'Dispensed Ink Rates'!CS:CS),VLOOKUP(BG207,'Jan-2026 rates'!$E:$F,2,0)))</f>
        <v>0</v>
      </c>
      <c r="BU207" s="409"/>
      <c r="BV207" s="398">
        <f>IF(BU207=0,0,IF(LEN(BH207)=11,_xlfn.XLOOKUP(BH207,'Dispensed Ink Rates'!C:C,'Dispensed Ink Rates'!CS:CS),VLOOKUP(BH207,'Jan-2026 rates'!$E:$F,2,0)))</f>
        <v>0</v>
      </c>
      <c r="BW207" s="409"/>
      <c r="BX207" s="398">
        <f>IF(BW207=0,0,IF(LEN(BI207)=11,_xlfn.XLOOKUP(BI207,'Dispensed Ink Rates'!C:C,'Dispensed Ink Rates'!CS:CS),VLOOKUP(BI207,'Jan-2026 rates'!$E:$F,2,0)))</f>
        <v>0</v>
      </c>
      <c r="BY207" s="409"/>
      <c r="BZ207" s="398">
        <f>IF(BY207=0,0,IF(LEN(BJ207)=11,_xlfn.XLOOKUP(BJ207,'Dispensed Ink Rates'!C:C,'Dispensed Ink Rates'!CS:CS),VLOOKUP(BJ207,'Jan-2026 rates'!$E:$F,2,0)))</f>
        <v>0</v>
      </c>
      <c r="CA207" s="409" t="s">
        <v>1443</v>
      </c>
      <c r="CB207" s="409">
        <v>25</v>
      </c>
      <c r="CC207" s="411">
        <f t="shared" si="162"/>
        <v>0</v>
      </c>
      <c r="CD207" s="411">
        <f t="shared" si="163"/>
        <v>38.54054054054054</v>
      </c>
      <c r="CE207" s="410">
        <f t="shared" si="164"/>
        <v>0</v>
      </c>
      <c r="CF207" s="404" t="s">
        <v>855</v>
      </c>
      <c r="CG207" s="409"/>
      <c r="CH207" s="420" t="str">
        <f t="shared" si="132"/>
        <v>FLINTSL - CYAN</v>
      </c>
      <c r="CI207" s="409"/>
      <c r="CJ207" s="411">
        <f>IF(CI207=0,0,IF($LB207=70%,VLOOKUP($CH207,'Jan-2026 rates'!$L:$R,4,0),IF($LB207=65%,VLOOKUP($CH207,'Jan-2026 rates'!$L:$R,4,0),IF($LB207=40%,VLOOKUP($CH207,'Jan-2026 rates'!$L:$R,5,0),IF($LB207=30%,VLOOKUP($CH207,'Jan-2026 rates'!$L:$R,6,0),IF($LB207=100%,VLOOKUP($CH207,'Jan-2026 rates'!$L:$R,7,0),IF($LB207=60%,VLOOKUP($CH207,'Jan-2026 rates'!$L:$S,8,0),IF($LB207=80%,VLOOKUP($CH207,'Jan-2026 rates'!L:T,9,0),0))))))))</f>
        <v>0</v>
      </c>
      <c r="CK207" s="412"/>
      <c r="CL207" s="409"/>
      <c r="CM207" s="411">
        <f>IF(CL207=0,0,IF($LB207=70%,VLOOKUP($CH207,'Jan-2026 rates'!$L:$R,4,0),IF($LB207=65%,VLOOKUP($CH207,'Jan-2026 rates'!$L:$R,4,0),IF($LB207=40%,VLOOKUP($CH207,'Jan-2026 rates'!$L:$R,5,0),IF($LB207=30%,VLOOKUP($CH207,'Jan-2026 rates'!$L:$R,6,0),IF($LB207=100%,VLOOKUP($CH207,'Jan-2026 rates'!$L:$R,7,0),IF($LB207=60%,VLOOKUP($CH207,'Jan-2026 rates'!$L:$S,8,0),IF($LB207=80%,VLOOKUP($CH207,'Jan-2026 rates'!L:T,9,0),0))))))))</f>
        <v>0</v>
      </c>
      <c r="CN207" s="426">
        <v>26512000001</v>
      </c>
      <c r="CO207" s="427" t="s">
        <v>1266</v>
      </c>
      <c r="CP207" s="426"/>
      <c r="CQ207" s="426"/>
      <c r="CR207" s="428"/>
      <c r="CS207" s="428"/>
      <c r="CT207" s="428"/>
      <c r="CU207" s="428"/>
      <c r="CV207" s="409">
        <v>6</v>
      </c>
      <c r="CW207" s="398" t="e">
        <f>IF(CV207=0,0,IF(LEN(CN207)=11,_xlfn.XLOOKUP(CN207,'Dispensed Ink Rates'!C:C,'Dispensed Ink Rates'!CS:CS),VLOOKUP(CN207,'Jan-2026 rates'!$E:$F,2,0)))</f>
        <v>#N/A</v>
      </c>
      <c r="CX207" s="409">
        <v>20</v>
      </c>
      <c r="CY207" s="398">
        <f>IF(CX207=0,0,IF(LEN(CO207)=11,_xlfn.XLOOKUP(CO207,'Dispensed Ink Rates'!C:C,'Dispensed Ink Rates'!CS:CS),VLOOKUP(CO207,'Jan-2026 rates'!$E:$F,2,0)))</f>
        <v>0</v>
      </c>
      <c r="CZ207" s="409"/>
      <c r="DA207" s="398">
        <f>IF(CZ207=0,0,IF(LEN(CP207)=11,_xlfn.XLOOKUP(CP207,'Dispensed Ink Rates'!C:C,'Dispensed Ink Rates'!CS:CS),VLOOKUP(CP207,'Jan-2026 rates'!$E:$F,2,0)))</f>
        <v>0</v>
      </c>
      <c r="DB207" s="409"/>
      <c r="DC207" s="398">
        <f>IF(DB207=0,0,IF(LEN(CQ207)=11,_xlfn.XLOOKUP(CQ207,'Dispensed Ink Rates'!C:C,'Dispensed Ink Rates'!CS:CS),VLOOKUP(CQ207,'Jan-2026 rates'!$E:$F,2,0)))</f>
        <v>0</v>
      </c>
      <c r="DD207" s="409"/>
      <c r="DE207" s="398">
        <f>IF(DD207=0,0,IF(LEN(CR207)=11,_xlfn.XLOOKUP(CR207,'Dispensed Ink Rates'!C:C,'Dispensed Ink Rates'!CS:CS),VLOOKUP(CR207,'Jan-2026 rates'!$E:$F,2,0)))</f>
        <v>0</v>
      </c>
      <c r="DF207" s="409"/>
      <c r="DG207" s="398">
        <f>IF(DF207=0,0,IF(LEN(CS207)=11,_xlfn.XLOOKUP(CS207,'Dispensed Ink Rates'!C:C,'Dispensed Ink Rates'!CS:CS),VLOOKUP(CS207,'Jan-2026 rates'!$E:$F,2,0)))</f>
        <v>0</v>
      </c>
      <c r="DH207" s="409"/>
      <c r="DI207" s="398">
        <f>IF(DH207=0,0,IF(LEN(CT207)=11,_xlfn.XLOOKUP(CT207,'Dispensed Ink Rates'!C:C,'Dispensed Ink Rates'!CS:CS),VLOOKUP(CT207,'Jan-2026 rates'!$E:$F,2,0)))</f>
        <v>0</v>
      </c>
      <c r="DJ207" s="409"/>
      <c r="DK207" s="398">
        <f>IF(DJ207=0,0,IF(LEN(CU207)=11,_xlfn.XLOOKUP(CU207,'Dispensed Ink Rates'!C:C,'Dispensed Ink Rates'!CS:CS),VLOOKUP(CU207,'Jan-2026 rates'!$E:$F,2,0)))</f>
        <v>0</v>
      </c>
      <c r="DL207" s="409" t="s">
        <v>1443</v>
      </c>
      <c r="DM207" s="409">
        <v>23</v>
      </c>
      <c r="DN207" s="411">
        <f t="shared" si="165"/>
        <v>0</v>
      </c>
      <c r="DO207" s="411">
        <f t="shared" si="166"/>
        <v>11.783783783783782</v>
      </c>
      <c r="DP207" s="410">
        <f t="shared" si="167"/>
        <v>0</v>
      </c>
      <c r="DQ207" s="405" t="s">
        <v>855</v>
      </c>
      <c r="DR207" s="409" t="s">
        <v>3793</v>
      </c>
      <c r="DS207" s="420" t="str">
        <f t="shared" si="133"/>
        <v>FLINTSL - CYAN</v>
      </c>
      <c r="DT207" s="409">
        <v>29</v>
      </c>
      <c r="DU207" s="411">
        <f>IF(DT207=0,0,IF($LB207=70%,VLOOKUP($DS207,'Jan-2026 rates'!$L:$R,4,0),IF($LB207=65%,VLOOKUP($DS207,'Jan-2026 rates'!$L:$R,4,0),IF($LB207=40%,VLOOKUP($DS207,'Jan-2026 rates'!$L:$R,5,0),IF($LB207=30%,VLOOKUP($DS207,'Jan-2026 rates'!$L:$R,6,0),IF($LB207=100%,VLOOKUP($DS207,'Jan-2026 rates'!$L:$R,7,0),IF($LB207=60%,VLOOKUP($DS207,'Jan-2026 rates'!$L:$S,8,0),IF($LB207=80%,VLOOKUP($DS207,'Jan-2026 rates'!L:T,9,0),0))))))))</f>
        <v>0</v>
      </c>
      <c r="DV207" s="412"/>
      <c r="DW207" s="409"/>
      <c r="DX207" s="411">
        <f>IF(DW207=0,0,IF($LB207=70%,VLOOKUP($DS207,'Jan-2026 rates'!$L:$R,4,0),IF($LB207=65%,VLOOKUP($DS207,'Jan-2026 rates'!$L:$R,4,0),IF($LB207=40%,VLOOKUP($DS207,'Jan-2026 rates'!$L:$R,5,0),IF($LB207=30%,VLOOKUP($DS207,'Jan-2026 rates'!$L:$R,6,0),IF($LB207=100%,VLOOKUP($DS207,'Jan-2026 rates'!$L:$R,7,0),IF($LB207=60%,VLOOKUP($DS207,'Jan-2026 rates'!$L:$S,8,0),IF($LB207=80%,VLOOKUP($DS207,'Jan-2026 rates'!L:T,9,0),0))))))))</f>
        <v>0</v>
      </c>
      <c r="DY207" s="413">
        <v>26512000001</v>
      </c>
      <c r="DZ207" s="413"/>
      <c r="EA207" s="412"/>
      <c r="EB207" s="412"/>
      <c r="EC207" s="412"/>
      <c r="ED207" s="412"/>
      <c r="EE207" s="412"/>
      <c r="EF207" s="412"/>
      <c r="EG207" s="409">
        <v>2</v>
      </c>
      <c r="EH207" s="398" t="e">
        <f>IF(EG207=0,0,IF(LEN(DY207)=11,_xlfn.XLOOKUP(DY207,'Dispensed Ink Rates'!C:C,'Dispensed Ink Rates'!CS:CS),VLOOKUP(DY207,'Jan-2026 rates'!$E:$F,2,0)))</f>
        <v>#N/A</v>
      </c>
      <c r="EI207" s="409"/>
      <c r="EJ207" s="398">
        <f>IF(EI207=0,0,IF(LEN(DZ207)=11,_xlfn.XLOOKUP(DZ207,'Dispensed Ink Rates'!C:C,'Dispensed Ink Rates'!CS:CS),VLOOKUP(DZ207,'Jan-2026 rates'!$E:$F,2,0)))</f>
        <v>0</v>
      </c>
      <c r="EK207" s="409"/>
      <c r="EL207" s="398">
        <f>IF(EK207=0,0,IF(LEN(EA207)=11,_xlfn.XLOOKUP(EA207,'Dispensed Ink Rates'!C:C,'Dispensed Ink Rates'!CS:CS),VLOOKUP(EA207,'Jan-2026 rates'!$E:$F,2,0)))</f>
        <v>0</v>
      </c>
      <c r="EM207" s="409"/>
      <c r="EN207" s="398">
        <f>IF(EM207=0,0,IF(LEN(EB207)=11,_xlfn.XLOOKUP(EB207,'Dispensed Ink Rates'!C:C,'Dispensed Ink Rates'!CS:CS),VLOOKUP(EB207,'Jan-2026 rates'!$E:$F,2,0)))</f>
        <v>0</v>
      </c>
      <c r="EO207" s="409"/>
      <c r="EP207" s="398">
        <f>IF(EO207=0,0,IF(LEN(EC207)=11,_xlfn.XLOOKUP(EC207,'Dispensed Ink Rates'!C:C,'Dispensed Ink Rates'!CS:CS),VLOOKUP(EC207,'Jan-2026 rates'!$E:$F,2,0)))</f>
        <v>0</v>
      </c>
      <c r="EQ207" s="409"/>
      <c r="ER207" s="398">
        <f>IF(EQ207=0,0,IF(LEN(ED207)=11,_xlfn.XLOOKUP(ED207,'Dispensed Ink Rates'!C:C,'Dispensed Ink Rates'!CS:CS),VLOOKUP(ED207,'Jan-2026 rates'!$E:$F,2,0)))</f>
        <v>0</v>
      </c>
      <c r="ES207" s="409"/>
      <c r="ET207" s="398">
        <f>IF(ES207=0,0,IF(LEN(EE207)=11,_xlfn.XLOOKUP(EE207,'Dispensed Ink Rates'!C:C,'Dispensed Ink Rates'!CS:CS),VLOOKUP(EE207,'Jan-2026 rates'!$E:$F,2,0)))</f>
        <v>0</v>
      </c>
      <c r="EU207" s="409"/>
      <c r="EV207" s="398">
        <f>IF(EU207=0,0,IF(LEN(EF207)=11,_xlfn.XLOOKUP(EF207,'Dispensed Ink Rates'!C:C,'Dispensed Ink Rates'!CS:CS),VLOOKUP(EF207,'Jan-2026 rates'!$E:$F,2,0)))</f>
        <v>0</v>
      </c>
      <c r="EW207" s="409" t="s">
        <v>1443</v>
      </c>
      <c r="EX207" s="409">
        <v>28</v>
      </c>
      <c r="EY207" s="411">
        <f t="shared" si="168"/>
        <v>0</v>
      </c>
      <c r="EZ207" s="411">
        <f t="shared" si="169"/>
        <v>6.5135135135135158</v>
      </c>
      <c r="FA207" s="410">
        <f t="shared" si="170"/>
        <v>0</v>
      </c>
      <c r="FB207" s="405" t="s">
        <v>544</v>
      </c>
      <c r="FC207" s="409" t="s">
        <v>3794</v>
      </c>
      <c r="FD207" s="420" t="str">
        <f t="shared" si="134"/>
        <v>FLINTSL - MAGENTA</v>
      </c>
      <c r="FE207" s="409">
        <v>30</v>
      </c>
      <c r="FF207" s="411">
        <f>IF(FE207=0,0,IF($LB207=70%,VLOOKUP($FD207,'Jan-2026 rates'!$L:$R,4,0),IF($LB207=65%,VLOOKUP($FD207,'Jan-2026 rates'!$L:$R,4,0),IF($LB207=40%,VLOOKUP($FD207,'Jan-2026 rates'!$L:$R,5,0),IF($LB207=30%,VLOOKUP($FD207,'Jan-2026 rates'!$L:$R,6,0),IF($LB207=100%,VLOOKUP($FD207,'Jan-2026 rates'!$L:$R,7,0),IF($LB207=60%,VLOOKUP($FD207,'Jan-2026 rates'!$L:$S,8,0),IF($LB207=80%,VLOOKUP($FD207,'Jan-2026 rates'!L:T,9,0),0))))))))</f>
        <v>0</v>
      </c>
      <c r="FG207" s="412"/>
      <c r="FH207" s="409"/>
      <c r="FI207" s="411">
        <f>IF(FH207=0,0,IF($LB207=70%,VLOOKUP($FD207,'Jan-2026 rates'!$L:$R,4,0),IF($LB207=65%,VLOOKUP($FD207,'Jan-2026 rates'!$L:$R,4,0),IF($LB207=40%,VLOOKUP($FD207,'Jan-2026 rates'!$L:$R,5,0),IF($LB207=30%,VLOOKUP($FD207,'Jan-2026 rates'!$L:$R,6,0),IF($LB207=100%,VLOOKUP($FD207,'Jan-2026 rates'!$L:$R,7,0),IF($LB207=60%,VLOOKUP($FD207,'Jan-2026 rates'!$L:$S,8,0),IF($LB207=80%,VLOOKUP($FD207,'Jan-2026 rates'!L:T,9,0),0))))))))</f>
        <v>0</v>
      </c>
      <c r="FJ207" s="413"/>
      <c r="FK207" s="413"/>
      <c r="FL207" s="413"/>
      <c r="FM207" s="412"/>
      <c r="FN207" s="412"/>
      <c r="FO207" s="412"/>
      <c r="FP207" s="412"/>
      <c r="FQ207" s="412"/>
      <c r="FR207" s="409"/>
      <c r="FS207" s="398">
        <f>IF(FR207=0,0,IF(LEN(FJ207)=11,_xlfn.XLOOKUP(FJ207,'Dispensed Ink Rates'!C:C,'Dispensed Ink Rates'!CS:CS),VLOOKUP(FJ207,'Jan-2026 rates'!$E:$F,2,0)))</f>
        <v>0</v>
      </c>
      <c r="FT207" s="409"/>
      <c r="FU207" s="398">
        <f>IF(FT207=0,0,IF(LEN(FK207)=11,_xlfn.XLOOKUP(FK207,'Dispensed Ink Rates'!C:C,'Dispensed Ink Rates'!CS:CS),VLOOKUP(FK207,'Jan-2026 rates'!$E:$F,2,0)))</f>
        <v>0</v>
      </c>
      <c r="FV207" s="409"/>
      <c r="FW207" s="398">
        <f>IF(FV207=0,0,IF(LEN(FL207)=11,_xlfn.XLOOKUP(FL207,'Dispensed Ink Rates'!C:C,'Dispensed Ink Rates'!CS:CS),VLOOKUP(FL207,'Jan-2026 rates'!$E:$F,2,0)))</f>
        <v>0</v>
      </c>
      <c r="FX207" s="409"/>
      <c r="FY207" s="398">
        <f>IF(FX207=0,0,IF(LEN(FM207)=11,_xlfn.XLOOKUP(FM207,'Dispensed Ink Rates'!C:C,'Dispensed Ink Rates'!CS:CS),VLOOKUP(FM207,'Jan-2026 rates'!$E:$F,2,0)))</f>
        <v>0</v>
      </c>
      <c r="FZ207" s="409"/>
      <c r="GA207" s="398">
        <f>IF(FZ207=0,0,IF(LEN(FN207)=11,_xlfn.XLOOKUP(FN207,'Dispensed Ink Rates'!C:C,'Dispensed Ink Rates'!CS:CS),VLOOKUP(FN207,'Jan-2026 rates'!$E:$F,2,0)))</f>
        <v>0</v>
      </c>
      <c r="GB207" s="409"/>
      <c r="GC207" s="398">
        <f>IF(GB207=0,0,IF(LEN(FO207)=11,_xlfn.XLOOKUP(FO207,'Dispensed Ink Rates'!C:C,'Dispensed Ink Rates'!CS:CS),VLOOKUP(FO207,'Jan-2026 rates'!$E:$F,2,0)))</f>
        <v>0</v>
      </c>
      <c r="GD207" s="409"/>
      <c r="GE207" s="398">
        <f>IF(GD207=0,0,IF(LEN(FP207)=11,_xlfn.XLOOKUP(FP207,'Dispensed Ink Rates'!C:C,'Dispensed Ink Rates'!CS:CS),VLOOKUP(FP207,'Jan-2026 rates'!$E:$F,2,0)))</f>
        <v>0</v>
      </c>
      <c r="GF207" s="409"/>
      <c r="GG207" s="398">
        <f>IF(GF207=0,0,IF(LEN(FQ207)=11,_xlfn.XLOOKUP(FQ207,'Dispensed Ink Rates'!C:C,'Dispensed Ink Rates'!CS:CS),VLOOKUP(FQ207,'Jan-2026 rates'!$E:$F,2,0)))</f>
        <v>0</v>
      </c>
      <c r="GH207" s="409" t="s">
        <v>1443</v>
      </c>
      <c r="GI207" s="409">
        <v>29</v>
      </c>
      <c r="GJ207" s="411">
        <f t="shared" si="171"/>
        <v>0</v>
      </c>
      <c r="GK207" s="411">
        <f t="shared" si="172"/>
        <v>4.5135135135135158</v>
      </c>
      <c r="GL207" s="410">
        <f t="shared" si="173"/>
        <v>0</v>
      </c>
      <c r="GM207" s="405" t="s">
        <v>545</v>
      </c>
      <c r="GN207" s="409" t="s">
        <v>3795</v>
      </c>
      <c r="GO207" s="420" t="str">
        <f t="shared" si="135"/>
        <v>FLINTSL - YELLOW</v>
      </c>
      <c r="GP207" s="409">
        <v>30</v>
      </c>
      <c r="GQ207" s="411">
        <f>IF(GP207=0,0,IF($LB207=70%,VLOOKUP($GO207,'Jan-2026 rates'!$L:$R,4,0),IF($LB207=65%,VLOOKUP($GO207,'Jan-2026 rates'!$L:$R,4,0),IF($LB207=40%,VLOOKUP($GO207,'Jan-2026 rates'!$L:$R,5,0),IF($LB207=30%,VLOOKUP($GO207,'Jan-2026 rates'!$L:$R,6,0),IF($LB207=100%,VLOOKUP($GO207,'Jan-2026 rates'!$L:$R,7,0),IF($LB207=60%,VLOOKUP($GO207,'Jan-2026 rates'!$L:$S,8,0),IF($LB207=80%,VLOOKUP($GO207,'Jan-2026 rates'!L:T,9,0),0))))))))</f>
        <v>0</v>
      </c>
      <c r="GR207" s="412"/>
      <c r="GS207" s="409"/>
      <c r="GT207" s="411">
        <f>IF(GS207=0,0,IF($LB207=70%,VLOOKUP($GO207,'Jan-2026 rates'!$L:$R,4,0),IF($LB207=65%,VLOOKUP($GO207,'Jan-2026 rates'!$L:$R,4,0),IF($LB207=40%,VLOOKUP($GO207,'Jan-2026 rates'!$L:$R,5,0),IF($LB207=30%,VLOOKUP($GO207,'Jan-2026 rates'!$L:$R,6,0),IF($LB207=100%,VLOOKUP($GO207,'Jan-2026 rates'!$L:$R,7,0),IF($LB207=60%,VLOOKUP($GO207,'Jan-2026 rates'!$L:$S,8,0),IF($LB207=80%,VLOOKUP($GO207,'Jan-2026 rates'!L:T,9,0),0))))))))</f>
        <v>0</v>
      </c>
      <c r="GU207" s="413"/>
      <c r="GV207" s="413"/>
      <c r="GW207" s="412"/>
      <c r="GX207" s="412"/>
      <c r="GY207" s="412"/>
      <c r="GZ207" s="412"/>
      <c r="HA207" s="412"/>
      <c r="HB207" s="412"/>
      <c r="HC207" s="409"/>
      <c r="HD207" s="398">
        <f>IF(HC207=0,0,IF(LEN(GU207)=11,_xlfn.XLOOKUP(GU207,'Dispensed Ink Rates'!C:C,'Dispensed Ink Rates'!CS:CS),VLOOKUP(GU207,'Jan-2026 rates'!$E:$F,2,0)))</f>
        <v>0</v>
      </c>
      <c r="HE207" s="409"/>
      <c r="HF207" s="398">
        <f>IF(HE207=0,0,IF(LEN(GV207)=11,_xlfn.XLOOKUP(GV207,'Dispensed Ink Rates'!C:C,'Dispensed Ink Rates'!CS:CS),VLOOKUP(GV207,'Jan-2026 rates'!$E:$F,2,0)))</f>
        <v>0</v>
      </c>
      <c r="HG207" s="409"/>
      <c r="HH207" s="398">
        <f>IF(HG207=0,0,IF(LEN(GW207)=11,_xlfn.XLOOKUP(GW207,'Dispensed Ink Rates'!C:C,'Dispensed Ink Rates'!CS:CS),VLOOKUP(GW207,'Jan-2026 rates'!$E:$F,2,0)))</f>
        <v>0</v>
      </c>
      <c r="HI207" s="409"/>
      <c r="HJ207" s="398">
        <f>IF(HI207=0,0,IF(LEN(GX207)=11,_xlfn.XLOOKUP(GX207,'Dispensed Ink Rates'!C:C,'Dispensed Ink Rates'!CS:CS),VLOOKUP(GX207,'Jan-2026 rates'!$E:$F,2,0)))</f>
        <v>0</v>
      </c>
      <c r="HK207" s="409"/>
      <c r="HL207" s="398">
        <f>IF(HK207=0,0,IF(LEN(GY207)=11,_xlfn.XLOOKUP(GY207,'Dispensed Ink Rates'!C:C,'Dispensed Ink Rates'!CS:CS),VLOOKUP(GY207,'Jan-2026 rates'!$E:$F,2,0)))</f>
        <v>0</v>
      </c>
      <c r="HM207" s="409"/>
      <c r="HN207" s="398">
        <f>IF(HM207=0,0,IF(LEN(GZ207)=11,_xlfn.XLOOKUP(GZ207,'Dispensed Ink Rates'!C:C,'Dispensed Ink Rates'!CS:CS),VLOOKUP(GZ207,'Jan-2026 rates'!$E:$F,2,0)))</f>
        <v>0</v>
      </c>
      <c r="HO207" s="409"/>
      <c r="HP207" s="398">
        <f>IF(HO207=0,0,IF(LEN(HA207)=11,_xlfn.XLOOKUP(HA207,'Dispensed Ink Rates'!C:C,'Dispensed Ink Rates'!CS:CS),VLOOKUP(HA207,'Jan-2026 rates'!$E:$F,2,0)))</f>
        <v>0</v>
      </c>
      <c r="HQ207" s="409"/>
      <c r="HR207" s="398">
        <f>IF(HQ207=0,0,IF(LEN(HB207)=11,_xlfn.XLOOKUP(HB207,'Dispensed Ink Rates'!C:C,'Dispensed Ink Rates'!CS:CS),VLOOKUP(HB207,'Jan-2026 rates'!$E:$F,2,0)))</f>
        <v>0</v>
      </c>
      <c r="HS207" s="409" t="s">
        <v>1443</v>
      </c>
      <c r="HT207" s="409">
        <v>29</v>
      </c>
      <c r="HU207" s="411">
        <f t="shared" si="174"/>
        <v>0</v>
      </c>
      <c r="HV207" s="411">
        <f t="shared" si="175"/>
        <v>4.5135135135135158</v>
      </c>
      <c r="HW207" s="414">
        <f t="shared" si="176"/>
        <v>0</v>
      </c>
      <c r="HX207" s="405" t="s">
        <v>829</v>
      </c>
      <c r="HY207" s="409" t="s">
        <v>3344</v>
      </c>
      <c r="HZ207" s="420" t="str">
        <f t="shared" si="136"/>
        <v>FLINTSL - MEDIUM</v>
      </c>
      <c r="IA207" s="409">
        <v>27</v>
      </c>
      <c r="IB207" s="411">
        <f>IF(IA207=0,0,IF($LB207=70%,VLOOKUP($HZ207,'Jan-2026 rates'!$L:$R,4,0),IF($LB207=65%,VLOOKUP($HZ207,'Jan-2026 rates'!$L:$R,4,0),IF($LB207=40%,VLOOKUP($HZ207,'Jan-2026 rates'!$L:$R,5,0),IF($LB207=30%,VLOOKUP($HZ207,'Jan-2026 rates'!$L:$R,6,0),IF($LB207=100%,VLOOKUP($HZ207,'Jan-2026 rates'!$L:$R,7,0),IF($LB207=60%,VLOOKUP($HZ207,'Jan-2026 rates'!$L:$S,8,0),IF($LB207=80%,VLOOKUP($HZ207,'Jan-2026 rates'!L:T,9,0),0))))))))</f>
        <v>0</v>
      </c>
      <c r="IC207" s="412"/>
      <c r="ID207" s="409"/>
      <c r="IE207" s="411">
        <f>IF(ID207=0,0,IF($LB207=70%,VLOOKUP($HZ207,'Jan-2026 rates'!$L:$R,4,0),IF($LB207=65%,VLOOKUP($HZ207,'Jan-2026 rates'!$L:$R,4,0),IF($LB207=40%,VLOOKUP($HZ207,'Jan-2026 rates'!$L:$R,5,0),IF($LB207=30%,VLOOKUP($HZ207,'Jan-2026 rates'!$L:$R,6,0),IF($LB207=100%,VLOOKUP($HZ207,'Jan-2026 rates'!$L:$R,7,0),IF($LB207=60%,VLOOKUP($HZ207,'Jan-2026 rates'!$L:$S,8,0),IF($LB207=80%,VLOOKUP($HZ207,'Jan-2026 rates'!L:T,9,0),0))))))))</f>
        <v>0</v>
      </c>
      <c r="IF207" s="412" t="s">
        <v>484</v>
      </c>
      <c r="IG207" s="413">
        <v>26514000011</v>
      </c>
      <c r="IH207" s="412">
        <v>26513000020</v>
      </c>
      <c r="II207" s="412"/>
      <c r="IJ207" s="412"/>
      <c r="IK207" s="412"/>
      <c r="IL207" s="412"/>
      <c r="IM207" s="412"/>
      <c r="IN207" s="409">
        <f>35+15</f>
        <v>50</v>
      </c>
      <c r="IO207" s="398">
        <f>IF(IN207=0,0,IF(LEN(IF207)=11,_xlfn.XLOOKUP(IF207,'Dispensed Ink Rates'!C:C,'Dispensed Ink Rates'!CS:CS),VLOOKUP(IF207,'Jan-2026 rates'!$E:$F,2,0)))</f>
        <v>0</v>
      </c>
      <c r="IP207" s="409">
        <v>3</v>
      </c>
      <c r="IQ207" s="398" t="e">
        <f>IF(IP207=0,0,IF(LEN(IG207)=11,_xlfn.XLOOKUP(IG207,'Dispensed Ink Rates'!C:C,'Dispensed Ink Rates'!CS:CS),VLOOKUP(IG207,'Jan-2026 rates'!$E:$F,2,0)))</f>
        <v>#N/A</v>
      </c>
      <c r="IR207" s="409">
        <v>2</v>
      </c>
      <c r="IS207" s="398" t="e">
        <f>IF(IR207=0,0,IF(LEN(IH207)=11,_xlfn.XLOOKUP(IH207,'Dispensed Ink Rates'!C:C,'Dispensed Ink Rates'!CS:CS),VLOOKUP(IH207,'Jan-2026 rates'!$E:$F,2,0)))</f>
        <v>#N/A</v>
      </c>
      <c r="IT207" s="409"/>
      <c r="IU207" s="398">
        <f>IF(IT207=0,0,IF(LEN(II207)=11,_xlfn.XLOOKUP(II207,'Dispensed Ink Rates'!C:C,'Dispensed Ink Rates'!CS:CS),VLOOKUP(II207,'Jan-2026 rates'!$E:$F,2,0)))</f>
        <v>0</v>
      </c>
      <c r="IV207" s="409"/>
      <c r="IW207" s="398">
        <f>IF(IV207=0,0,IF(LEN(IJ207)=11,_xlfn.XLOOKUP(IJ207,'Dispensed Ink Rates'!C:C,'Dispensed Ink Rates'!CS:CS),VLOOKUP(IJ207,'Jan-2026 rates'!$E:$F,2,0)))</f>
        <v>0</v>
      </c>
      <c r="IX207" s="409"/>
      <c r="IY207" s="398">
        <f>IF(IX207=0,0,IF(LEN(IK207)=11,_xlfn.XLOOKUP(IK207,'Dispensed Ink Rates'!C:C,'Dispensed Ink Rates'!CS:CS),VLOOKUP(IK207,'Jan-2026 rates'!$E:$F,2,0)))</f>
        <v>0</v>
      </c>
      <c r="IZ207" s="409"/>
      <c r="JA207" s="398">
        <f>IF(IZ207=0,0,IF(LEN(IL207)=11,_xlfn.XLOOKUP(IL207,'Dispensed Ink Rates'!C:C,'Dispensed Ink Rates'!CS:CS),VLOOKUP(IL207,'Jan-2026 rates'!$E:$F,2,0)))</f>
        <v>0</v>
      </c>
      <c r="JB207" s="409"/>
      <c r="JC207" s="398">
        <f>IF(JB207=0,0,IF(LEN(IM207)=11,_xlfn.XLOOKUP(IM207,'Dispensed Ink Rates'!C:C,'Dispensed Ink Rates'!CS:CS),VLOOKUP(IM207,'Jan-2026 rates'!$E:$F,2,0)))</f>
        <v>0</v>
      </c>
      <c r="JD207" s="409" t="s">
        <v>1443</v>
      </c>
      <c r="JE207" s="409">
        <v>36</v>
      </c>
      <c r="JF207" s="411">
        <f t="shared" si="177"/>
        <v>0</v>
      </c>
      <c r="JG207" s="411">
        <f t="shared" si="178"/>
        <v>89.918918918918919</v>
      </c>
      <c r="JH207" s="410">
        <f t="shared" si="179"/>
        <v>0</v>
      </c>
      <c r="JI207" s="405" t="s">
        <v>856</v>
      </c>
      <c r="JJ207" s="409" t="s">
        <v>3796</v>
      </c>
      <c r="JK207" s="420" t="str">
        <f t="shared" si="137"/>
        <v>FLINTSL - WHITE</v>
      </c>
      <c r="JL207" s="409">
        <v>30</v>
      </c>
      <c r="JM207" s="411">
        <f>IF(JL207=0,0,IF($LB207=70%,VLOOKUP($JK207,'Jan-2026 rates'!$L:$R,4,0),IF($LB207=65%,VLOOKUP($JK207,'Jan-2026 rates'!$L:$R,4,0),IF($LB207=40%,VLOOKUP($JK207,'Jan-2026 rates'!$L:$R,5,0),IF($LB207=30%,VLOOKUP($JK207,'Jan-2026 rates'!$L:$R,6,0),IF($LB207=100%,VLOOKUP($JK207,'Jan-2026 rates'!$L:$R,7,0),IF($LB207=60%,VLOOKUP($JK207,'Jan-2026 rates'!$L:$S,8,0),IF($LB207=80%,VLOOKUP($JK207,'Jan-2026 rates'!L:T,9,0),0))))))))</f>
        <v>0</v>
      </c>
      <c r="JN207" s="412"/>
      <c r="JO207" s="409"/>
      <c r="JP207" s="411">
        <f>IF(JO207=0,0,IF($LB207=70%,VLOOKUP($JK207,'Jan-2026 rates'!$L:$R,4,0),IF($LB207=65%,VLOOKUP($JK207,'Jan-2026 rates'!$L:$R,4,0),IF($LB207=40%,VLOOKUP($JK207,'Jan-2026 rates'!$L:$R,5,0),IF($LB207=30%,VLOOKUP($JK207,'Jan-2026 rates'!$L:$R,6,0),IF($LB207=100%,VLOOKUP($JK207,'Jan-2026 rates'!$L:$R,7,0),IF($LB207=60%,VLOOKUP($JK207,'Jan-2026 rates'!$L:$S,8,0),IF($LB207=80%,VLOOKUP($JK207,'Jan-2026 rates'!L:T,9,0),0))))))))</f>
        <v>0</v>
      </c>
      <c r="JQ207" s="413" t="s">
        <v>484</v>
      </c>
      <c r="JR207" s="412"/>
      <c r="JS207" s="413"/>
      <c r="JT207" s="413"/>
      <c r="JU207" s="412"/>
      <c r="JV207" s="412"/>
      <c r="JW207" s="412"/>
      <c r="JX207" s="412"/>
      <c r="JY207" s="409">
        <v>50</v>
      </c>
      <c r="JZ207" s="398">
        <f>IF(JY207=0,0,IF(LEN(JQ207)=11,_xlfn.XLOOKUP(JQ207,'Dispensed Ink Rates'!C:C,'Dispensed Ink Rates'!CS:CS),VLOOKUP(JQ207,'Jan-2026 rates'!$E:$F,2,0)))</f>
        <v>0</v>
      </c>
      <c r="KA207" s="409"/>
      <c r="KB207" s="398">
        <f>IF(KA207=0,0,IF(LEN(JR207)=11,_xlfn.XLOOKUP(JR207,'Dispensed Ink Rates'!C:C,'Dispensed Ink Rates'!CS:CS),VLOOKUP(JR207,'Jan-2026 rates'!$E:$F,2,0)))</f>
        <v>0</v>
      </c>
      <c r="KC207" s="409"/>
      <c r="KD207" s="398">
        <f>IF(KC207=0,0,IF(LEN(JS207)=11,_xlfn.XLOOKUP(JS207,'Dispensed Ink Rates'!C:C,'Dispensed Ink Rates'!CS:CS),VLOOKUP(JS207,'Jan-2026 rates'!$E:$F,2,0)))</f>
        <v>0</v>
      </c>
      <c r="KE207" s="409"/>
      <c r="KF207" s="398">
        <f>IF(KE207=0,0,IF(LEN(JT207)=11,_xlfn.XLOOKUP(JT207,'Dispensed Ink Rates'!C:C,'Dispensed Ink Rates'!CS:CS),VLOOKUP(JT207,'Jan-2026 rates'!$E:$F,2,0)))</f>
        <v>0</v>
      </c>
      <c r="KG207" s="409"/>
      <c r="KH207" s="398">
        <f>IF(KG207=0,0,IF(LEN(JU207)=11,_xlfn.XLOOKUP(JU207,'Dispensed Ink Rates'!C:C,'Dispensed Ink Rates'!CS:CS),VLOOKUP(JU207,'Jan-2026 rates'!$E:$F,2,0)))</f>
        <v>0</v>
      </c>
      <c r="KI207" s="409"/>
      <c r="KJ207" s="398">
        <f>IF(KI207=0,0,IF(LEN(JV207)=11,_xlfn.XLOOKUP(JV207,'Dispensed Ink Rates'!C:C,'Dispensed Ink Rates'!CS:CS),VLOOKUP(JV207,'Jan-2026 rates'!$E:$F,2,0)))</f>
        <v>0</v>
      </c>
      <c r="KK207" s="409"/>
      <c r="KL207" s="398">
        <f>IF(KK207=0,0,IF(LEN(JW207)=11,_xlfn.XLOOKUP(JW207,'Dispensed Ink Rates'!C:C,'Dispensed Ink Rates'!CS:CS),VLOOKUP(JW207,'Jan-2026 rates'!$E:$F,2,0)))</f>
        <v>0</v>
      </c>
      <c r="KM207" s="428"/>
      <c r="KN207" s="398">
        <f>IF(KM207=0,0,IF(LEN(JX207)=11,_xlfn.XLOOKUP(JX207,'Dispensed Ink Rates'!C:C,'Dispensed Ink Rates'!CS:CS),VLOOKUP(JX207,'Jan-2026 rates'!$E:$F,2,0)))</f>
        <v>0</v>
      </c>
      <c r="KO207" s="409" t="s">
        <v>1443</v>
      </c>
      <c r="KP207" s="409">
        <v>30</v>
      </c>
      <c r="KQ207" s="411">
        <f t="shared" si="180"/>
        <v>0</v>
      </c>
      <c r="KR207" s="411">
        <f t="shared" si="181"/>
        <v>102.70270270270271</v>
      </c>
      <c r="KS207" s="410">
        <f t="shared" si="182"/>
        <v>0</v>
      </c>
      <c r="KT207" s="409">
        <v>2</v>
      </c>
      <c r="KU207" s="409">
        <v>6</v>
      </c>
      <c r="KV207" s="409">
        <v>5</v>
      </c>
      <c r="KW207" s="409">
        <v>2</v>
      </c>
      <c r="KX207" s="409">
        <v>2</v>
      </c>
      <c r="KY207" s="409">
        <v>2</v>
      </c>
      <c r="KZ207" s="409">
        <f>15+10</f>
        <v>25</v>
      </c>
      <c r="LA207" s="409">
        <v>30</v>
      </c>
      <c r="LB207" s="415">
        <v>0.8</v>
      </c>
      <c r="LC207" s="415">
        <v>0.2</v>
      </c>
      <c r="LD207" s="415"/>
      <c r="LE207" s="415"/>
      <c r="LF207" s="415"/>
      <c r="LG207" s="409">
        <v>0</v>
      </c>
      <c r="LH207" s="409">
        <f>30+20+64+16</f>
        <v>130</v>
      </c>
      <c r="LI207" s="409">
        <v>0</v>
      </c>
      <c r="LJ207" s="409">
        <v>0</v>
      </c>
      <c r="LK207" s="416">
        <f t="shared" si="138"/>
        <v>130</v>
      </c>
      <c r="LL207" s="416">
        <f t="shared" si="139"/>
        <v>130</v>
      </c>
      <c r="LM207" s="417">
        <f t="shared" si="140"/>
        <v>104</v>
      </c>
      <c r="LN207" s="417">
        <f>VLOOKUP($LM$8,'Jan-2026 rates'!$H:$I,2,0)</f>
        <v>0</v>
      </c>
      <c r="LO207" s="417">
        <f t="shared" si="141"/>
        <v>26</v>
      </c>
      <c r="LP207" s="417">
        <f>VLOOKUP($LO$8,'Jan-2026 rates'!$H:$I,2,0)</f>
        <v>0</v>
      </c>
      <c r="LQ207" s="417">
        <f t="shared" si="142"/>
        <v>0</v>
      </c>
      <c r="LR207" s="417">
        <f>VLOOKUP($LQ$8,'Jan-2026 rates'!$H:$I,2,0)</f>
        <v>0</v>
      </c>
      <c r="LS207" s="417">
        <f t="shared" si="143"/>
        <v>0</v>
      </c>
      <c r="LT207" s="417">
        <f>VLOOKUP($LS$8,'Jan-2026 rates'!$H:$I,2,0)</f>
        <v>0</v>
      </c>
      <c r="LU207" s="417">
        <f t="shared" si="144"/>
        <v>0</v>
      </c>
      <c r="LV207" s="417">
        <f>VLOOKUP($LU$8,'Jan-2026 rates'!$H:$I,2,0)</f>
        <v>0</v>
      </c>
      <c r="LW207" s="417">
        <f t="shared" si="145"/>
        <v>0</v>
      </c>
      <c r="LX207" s="417">
        <f t="shared" si="146"/>
        <v>0</v>
      </c>
      <c r="LY207" s="418">
        <f t="shared" si="147"/>
        <v>0</v>
      </c>
      <c r="LZ207" s="417"/>
      <c r="MA207" s="435">
        <f t="shared" si="148"/>
        <v>158</v>
      </c>
      <c r="MB207" s="282">
        <f t="shared" si="149"/>
        <v>265</v>
      </c>
      <c r="MC207" s="283">
        <v>100</v>
      </c>
      <c r="MD207" s="284" t="str">
        <f t="shared" si="150"/>
        <v>FLINTSLFLINTSLFLINTSLFLINTSLFLINTSLFLINTSLFLINTSLFLINTSL</v>
      </c>
      <c r="ME207" s="293" t="str">
        <f t="shared" si="151"/>
        <v>+</v>
      </c>
      <c r="MF207" s="293" t="str">
        <f t="shared" si="152"/>
        <v>+</v>
      </c>
      <c r="MG207" s="293" t="str">
        <f t="shared" si="153"/>
        <v>+</v>
      </c>
      <c r="MH207" s="293" t="str">
        <f t="shared" si="154"/>
        <v>+</v>
      </c>
      <c r="MI207" s="293" t="str">
        <f t="shared" si="155"/>
        <v>+</v>
      </c>
      <c r="MJ207" s="293" t="str">
        <f t="shared" si="156"/>
        <v>+</v>
      </c>
      <c r="MK207" s="293" t="str">
        <f t="shared" si="157"/>
        <v>+</v>
      </c>
      <c r="ML207" s="293" t="str">
        <f t="shared" si="158"/>
        <v>+</v>
      </c>
      <c r="MM207" s="3" t="b">
        <f t="array" ref="MM207">OR(ME207:ML207="-")</f>
        <v>0</v>
      </c>
      <c r="MN207" s="285"/>
      <c r="MO207" s="401"/>
      <c r="MP207" s="286"/>
      <c r="MQ207" s="286"/>
      <c r="MR207" s="402"/>
      <c r="MS207" s="400"/>
      <c r="NH207" s="422"/>
      <c r="NJ207" s="421"/>
    </row>
    <row r="208" spans="1:374" s="1" customFormat="1" ht="16.5">
      <c r="A208" s="403">
        <v>46037</v>
      </c>
      <c r="B208" s="404" t="s">
        <v>1015</v>
      </c>
      <c r="C208" s="405" t="s">
        <v>3797</v>
      </c>
      <c r="D208" s="406">
        <v>101</v>
      </c>
      <c r="E208" s="404">
        <v>748</v>
      </c>
      <c r="F208" s="407">
        <v>36300</v>
      </c>
      <c r="G208" s="407" t="s">
        <v>1019</v>
      </c>
      <c r="H208" s="408" t="s">
        <v>1017</v>
      </c>
      <c r="I208" s="409">
        <v>1.5</v>
      </c>
      <c r="J208" s="405" t="s">
        <v>543</v>
      </c>
      <c r="K208" s="404" t="s">
        <v>3798</v>
      </c>
      <c r="L208" s="419" t="str">
        <f t="shared" si="131"/>
        <v>FLINTSL - BLACK</v>
      </c>
      <c r="M208" s="404">
        <v>28</v>
      </c>
      <c r="N208" s="410">
        <f>IF(M208=0,0,IF($LB208=70%,VLOOKUP($L208,'Jan-2026 rates'!$L:$R,4,0),IF($LB208=65%,VLOOKUP($L208,'Jan-2026 rates'!$L:$R,4,0),IF($LB208=40%,VLOOKUP($L208,'Jan-2026 rates'!$L:$R,5,0),IF($LB208=30%,VLOOKUP($L208,'Jan-2026 rates'!$L:$R,6,0),IF($LB208=100%,VLOOKUP($L208,'Jan-2026 rates'!$L:$R,7,0),IF($LB208=60%,VLOOKUP($L208,'Jan-2026 rates'!$L:$S,8,0),IF($LB208=80%,VLOOKUP($L208,'Jan-2026 rates'!L:T,9,0),0))))))))</f>
        <v>0</v>
      </c>
      <c r="O208" s="406"/>
      <c r="P208" s="404"/>
      <c r="Q208" s="410">
        <f>IF(P208=0,0,IF($LB208=70%,VLOOKUP($L208,'Jan-2026 rates'!$L:$R,4,0),IF($LB208=65%,VLOOKUP($L208,'Jan-2026 rates'!$L:$R,4,0),IF($LB208=40%,VLOOKUP($L208,'Jan-2026 rates'!$L:$R,5,0),IF($LB208=30%,VLOOKUP($L208,'Jan-2026 rates'!$L:$R,6,0),IF($LB208=100%,VLOOKUP($L208,'Jan-2026 rates'!$L:$R,7,0),IF($LB208=60%,VLOOKUP($L208,'Jan-2026 rates'!$L:$S,8,0),IF($LB208=80%,VLOOKUP($L208,'Jan-2026 rates'!L:T,9,0),0))))))))</f>
        <v>0</v>
      </c>
      <c r="R208" s="406">
        <v>26517000042</v>
      </c>
      <c r="S208" s="406"/>
      <c r="T208" s="406"/>
      <c r="U208" s="406"/>
      <c r="V208" s="406"/>
      <c r="W208" s="406"/>
      <c r="X208" s="406"/>
      <c r="Y208" s="406"/>
      <c r="Z208" s="404">
        <v>4</v>
      </c>
      <c r="AA208" s="398" t="e">
        <f>IF(Z208=0,0,IF(LEN(R208)=11,_xlfn.XLOOKUP(R208,'Dispensed Ink Rates'!C:C,'Dispensed Ink Rates'!CS:CS),VLOOKUP(R208,'Jan-2026 rates'!$E:$F,2,0)))</f>
        <v>#N/A</v>
      </c>
      <c r="AB208" s="404"/>
      <c r="AC208" s="398">
        <f>IF(AB208=0,0,IF(LEN(S208)=11,_xlfn.XLOOKUP(S208,'Dispensed Ink Rates'!C:C,'Dispensed Ink Rates'!CS:CS),VLOOKUP(S208,'Jan-2026 rates'!$E:$F,2,0)))</f>
        <v>0</v>
      </c>
      <c r="AD208" s="404"/>
      <c r="AE208" s="398">
        <f>IF(AD208=0,0,IF(LEN(T208)=11,_xlfn.XLOOKUP(T208,'Dispensed Ink Rates'!C:C,'Dispensed Ink Rates'!CS:CS),VLOOKUP(T208,'Jan-2026 rates'!$E:$F,2,0)))</f>
        <v>0</v>
      </c>
      <c r="AF208" s="404"/>
      <c r="AG208" s="398">
        <f>IF(AF208=0,0,IF(LEN(U208)=11,_xlfn.XLOOKUP(U208,'Dispensed Ink Rates'!C:C,'Dispensed Ink Rates'!CS:CS),VLOOKUP(U208,'Jan-2026 rates'!$E:$F,2,0)))</f>
        <v>0</v>
      </c>
      <c r="AH208" s="404"/>
      <c r="AI208" s="398">
        <f>IF(AH208=0,0,IF(LEN(V208)=11,_xlfn.XLOOKUP(V208,'Dispensed Ink Rates'!C:C,'Dispensed Ink Rates'!CS:CS),VLOOKUP(V208,'Jan-2026 rates'!$E:$F,2,0)))</f>
        <v>0</v>
      </c>
      <c r="AJ208" s="404"/>
      <c r="AK208" s="398">
        <f>IF(AJ208=0,0,IF(LEN(W208)=11,_xlfn.XLOOKUP(W208,'Dispensed Ink Rates'!C:C,'Dispensed Ink Rates'!CS:CS),VLOOKUP(W208,'Jan-2026 rates'!$E:$F,2,0)))</f>
        <v>0</v>
      </c>
      <c r="AL208" s="404"/>
      <c r="AM208" s="398">
        <f>IF(AL208=0,0,IF(LEN(X208)=11,_xlfn.XLOOKUP(X208,'Dispensed Ink Rates'!C:C,'Dispensed Ink Rates'!CS:CS),VLOOKUP(X208,'Jan-2026 rates'!$E:$F,2,0)))</f>
        <v>0</v>
      </c>
      <c r="AN208" s="404"/>
      <c r="AO208" s="398">
        <f>IF(AN208=0,0,IF(LEN(Y208)=11,_xlfn.XLOOKUP(Y208,'Dispensed Ink Rates'!C:C,'Dispensed Ink Rates'!CS:CS),VLOOKUP(Y208,'Jan-2026 rates'!$E:$F,2,0)))</f>
        <v>0</v>
      </c>
      <c r="AP208" s="409" t="s">
        <v>1443</v>
      </c>
      <c r="AQ208" s="409">
        <v>25</v>
      </c>
      <c r="AR208" s="410">
        <f t="shared" si="159"/>
        <v>0</v>
      </c>
      <c r="AS208" s="411">
        <f t="shared" si="160"/>
        <v>12.89473684210526</v>
      </c>
      <c r="AT208" s="410">
        <f t="shared" si="161"/>
        <v>0</v>
      </c>
      <c r="AU208" s="405" t="s">
        <v>546</v>
      </c>
      <c r="AV208" s="409" t="s">
        <v>3792</v>
      </c>
      <c r="AW208" s="420" t="str">
        <f t="shared" si="183"/>
        <v>FLINTSL - REFLEX BLUE</v>
      </c>
      <c r="AX208" s="409">
        <v>33</v>
      </c>
      <c r="AY208" s="411">
        <f>IF(AX208=0,0,IF($LB208=70%,VLOOKUP($AW208,'Jan-2026 rates'!$L:$R,4,0),IF($LB208=65%,VLOOKUP($AW208,'Jan-2026 rates'!$L:$R,4,0),IF($LB208=40%,VLOOKUP($AW208,'Jan-2026 rates'!$L:$R,5,0),IF($LB208=30%,VLOOKUP($AW208,'Jan-2026 rates'!$L:$R,6,0),IF($LB208=100%,VLOOKUP($AW208,'Jan-2026 rates'!$L:$R,7,0),IF($LB208=60%,VLOOKUP($AW208,'Jan-2026 rates'!$L:$S,8,0),IF($LB208=80%,VLOOKUP($AW208,'Jan-2026 rates'!L:T,9,0),0))))))))</f>
        <v>0</v>
      </c>
      <c r="AZ208" s="412"/>
      <c r="BA208" s="409"/>
      <c r="BB208" s="411">
        <f>IF(BA208=0,0,IF($LB208=70%,VLOOKUP($AW208,'Jan-2026 rates'!$L:$R,4,0),IF($LB208=65%,VLOOKUP($AW208,'Jan-2026 rates'!$L:$R,4,0),IF($LB208=40%,VLOOKUP($AW208,'Jan-2026 rates'!$L:$R,5,0),IF($LB208=30%,VLOOKUP($AW208,'Jan-2026 rates'!$L:$R,6,0),IF($LB208=100%,VLOOKUP($AW208,'Jan-2026 rates'!$L:$R,7,0),IF($LB208=60%,VLOOKUP($AW208,'Jan-2026 rates'!$L:$S,8,0),IF($LB208=80%,VLOOKUP($AW208,'Jan-2026 rates'!L:T,9,0),0))))))))</f>
        <v>0</v>
      </c>
      <c r="BC208" s="413">
        <v>26513000011</v>
      </c>
      <c r="BD208" s="412" t="s">
        <v>477</v>
      </c>
      <c r="BE208" s="412"/>
      <c r="BF208" s="413"/>
      <c r="BG208" s="412"/>
      <c r="BH208" s="412"/>
      <c r="BI208" s="412"/>
      <c r="BJ208" s="412"/>
      <c r="BK208" s="409">
        <v>1</v>
      </c>
      <c r="BL208" s="398" t="e">
        <f>IF(BK208=0,0,IF(LEN(BC208)=11,_xlfn.XLOOKUP(BC208,'Dispensed Ink Rates'!C:C,'Dispensed Ink Rates'!CS:CS),VLOOKUP(BC208,'Jan-2026 rates'!$E:$F,2,0)))</f>
        <v>#N/A</v>
      </c>
      <c r="BM208" s="409">
        <v>10</v>
      </c>
      <c r="BN208" s="398">
        <f>IF(BM208=0,0,IF(LEN(BD208)=11,_xlfn.XLOOKUP(BD208,'Dispensed Ink Rates'!C:C,'Dispensed Ink Rates'!CS:CS),VLOOKUP(BD208,'Jan-2026 rates'!$E:$F,2,0)))</f>
        <v>0</v>
      </c>
      <c r="BO208" s="409"/>
      <c r="BP208" s="398">
        <f>IF(BO208=0,0,IF(LEN(BE208)=11,_xlfn.XLOOKUP(BE208,'Dispensed Ink Rates'!C:C,'Dispensed Ink Rates'!CS:CS),VLOOKUP(BE208,'Jan-2026 rates'!$E:$F,2,0)))</f>
        <v>0</v>
      </c>
      <c r="BQ208" s="409"/>
      <c r="BR208" s="398">
        <f>IF(BQ208=0,0,IF(LEN(BF208)=11,_xlfn.XLOOKUP(BF208,'Dispensed Ink Rates'!C:C,'Dispensed Ink Rates'!CS:CS),VLOOKUP(BF208,'Jan-2026 rates'!$E:$F,2,0)))</f>
        <v>0</v>
      </c>
      <c r="BS208" s="409"/>
      <c r="BT208" s="398">
        <f>IF(BS208=0,0,IF(LEN(BG208)=11,_xlfn.XLOOKUP(BG208,'Dispensed Ink Rates'!C:C,'Dispensed Ink Rates'!CS:CS),VLOOKUP(BG208,'Jan-2026 rates'!$E:$F,2,0)))</f>
        <v>0</v>
      </c>
      <c r="BU208" s="409"/>
      <c r="BV208" s="398">
        <f>IF(BU208=0,0,IF(LEN(BH208)=11,_xlfn.XLOOKUP(BH208,'Dispensed Ink Rates'!C:C,'Dispensed Ink Rates'!CS:CS),VLOOKUP(BH208,'Jan-2026 rates'!$E:$F,2,0)))</f>
        <v>0</v>
      </c>
      <c r="BW208" s="409"/>
      <c r="BX208" s="398">
        <f>IF(BW208=0,0,IF(LEN(BI208)=11,_xlfn.XLOOKUP(BI208,'Dispensed Ink Rates'!C:C,'Dispensed Ink Rates'!CS:CS),VLOOKUP(BI208,'Jan-2026 rates'!$E:$F,2,0)))</f>
        <v>0</v>
      </c>
      <c r="BY208" s="409"/>
      <c r="BZ208" s="398">
        <f>IF(BY208=0,0,IF(LEN(BJ208)=11,_xlfn.XLOOKUP(BJ208,'Dispensed Ink Rates'!C:C,'Dispensed Ink Rates'!CS:CS),VLOOKUP(BJ208,'Jan-2026 rates'!$E:$F,2,0)))</f>
        <v>0</v>
      </c>
      <c r="CA208" s="409" t="s">
        <v>1443</v>
      </c>
      <c r="CB208" s="409">
        <v>16</v>
      </c>
      <c r="CC208" s="411">
        <f t="shared" si="162"/>
        <v>0</v>
      </c>
      <c r="CD208" s="411">
        <f t="shared" si="163"/>
        <v>36.84210526315789</v>
      </c>
      <c r="CE208" s="410">
        <f t="shared" si="164"/>
        <v>0</v>
      </c>
      <c r="CF208" s="404" t="s">
        <v>828</v>
      </c>
      <c r="CG208" s="409"/>
      <c r="CH208" s="420" t="str">
        <f t="shared" si="132"/>
        <v>FLINTSL - ORANGE</v>
      </c>
      <c r="CI208" s="409"/>
      <c r="CJ208" s="411">
        <f>IF(CI208=0,0,IF($LB208=70%,VLOOKUP($CH208,'Jan-2026 rates'!$L:$R,4,0),IF($LB208=65%,VLOOKUP($CH208,'Jan-2026 rates'!$L:$R,4,0),IF($LB208=40%,VLOOKUP($CH208,'Jan-2026 rates'!$L:$R,5,0),IF($LB208=30%,VLOOKUP($CH208,'Jan-2026 rates'!$L:$R,6,0),IF($LB208=100%,VLOOKUP($CH208,'Jan-2026 rates'!$L:$R,7,0),IF($LB208=60%,VLOOKUP($CH208,'Jan-2026 rates'!$L:$S,8,0),IF($LB208=80%,VLOOKUP($CH208,'Jan-2026 rates'!L:T,9,0),0))))))))</f>
        <v>0</v>
      </c>
      <c r="CK208" s="412"/>
      <c r="CL208" s="409"/>
      <c r="CM208" s="411">
        <f>IF(CL208=0,0,IF($LB208=70%,VLOOKUP($CH208,'Jan-2026 rates'!$L:$R,4,0),IF($LB208=65%,VLOOKUP($CH208,'Jan-2026 rates'!$L:$R,4,0),IF($LB208=40%,VLOOKUP($CH208,'Jan-2026 rates'!$L:$R,5,0),IF($LB208=30%,VLOOKUP($CH208,'Jan-2026 rates'!$L:$R,6,0),IF($LB208=100%,VLOOKUP($CH208,'Jan-2026 rates'!$L:$R,7,0),IF($LB208=60%,VLOOKUP($CH208,'Jan-2026 rates'!$L:$S,8,0),IF($LB208=80%,VLOOKUP($CH208,'Jan-2026 rates'!L:T,9,0),0))))))))</f>
        <v>0</v>
      </c>
      <c r="CN208" s="426">
        <v>26515000010</v>
      </c>
      <c r="CO208" s="427">
        <v>26515000009</v>
      </c>
      <c r="CP208" s="426">
        <v>26514000008</v>
      </c>
      <c r="CQ208" s="426">
        <v>26515000016</v>
      </c>
      <c r="CR208" s="428"/>
      <c r="CS208" s="428"/>
      <c r="CT208" s="428"/>
      <c r="CU208" s="428"/>
      <c r="CV208" s="409">
        <v>40</v>
      </c>
      <c r="CW208" s="398" t="e">
        <f>IF(CV208=0,0,IF(LEN(CN208)=11,_xlfn.XLOOKUP(CN208,'Dispensed Ink Rates'!C:C,'Dispensed Ink Rates'!CS:CS),VLOOKUP(CN208,'Jan-2026 rates'!$E:$F,2,0)))</f>
        <v>#N/A</v>
      </c>
      <c r="CX208" s="409">
        <v>10</v>
      </c>
      <c r="CY208" s="398" t="e">
        <f>IF(CX208=0,0,IF(LEN(CO208)=11,_xlfn.XLOOKUP(CO208,'Dispensed Ink Rates'!C:C,'Dispensed Ink Rates'!CS:CS),VLOOKUP(CO208,'Jan-2026 rates'!$E:$F,2,0)))</f>
        <v>#N/A</v>
      </c>
      <c r="CZ208" s="409">
        <v>4</v>
      </c>
      <c r="DA208" s="398" t="e">
        <f>IF(CZ208=0,0,IF(LEN(CP208)=11,_xlfn.XLOOKUP(CP208,'Dispensed Ink Rates'!C:C,'Dispensed Ink Rates'!CS:CS),VLOOKUP(CP208,'Jan-2026 rates'!$E:$F,2,0)))</f>
        <v>#N/A</v>
      </c>
      <c r="DB208" s="409">
        <v>15</v>
      </c>
      <c r="DC208" s="398" t="e">
        <f>IF(DB208=0,0,IF(LEN(CQ208)=11,_xlfn.XLOOKUP(CQ208,'Dispensed Ink Rates'!C:C,'Dispensed Ink Rates'!CS:CS),VLOOKUP(CQ208,'Jan-2026 rates'!$E:$F,2,0)))</f>
        <v>#N/A</v>
      </c>
      <c r="DD208" s="409"/>
      <c r="DE208" s="398">
        <f>IF(DD208=0,0,IF(LEN(CR208)=11,_xlfn.XLOOKUP(CR208,'Dispensed Ink Rates'!C:C,'Dispensed Ink Rates'!CS:CS),VLOOKUP(CR208,'Jan-2026 rates'!$E:$F,2,0)))</f>
        <v>0</v>
      </c>
      <c r="DF208" s="409"/>
      <c r="DG208" s="398">
        <f>IF(DF208=0,0,IF(LEN(CS208)=11,_xlfn.XLOOKUP(CS208,'Dispensed Ink Rates'!C:C,'Dispensed Ink Rates'!CS:CS),VLOOKUP(CS208,'Jan-2026 rates'!$E:$F,2,0)))</f>
        <v>0</v>
      </c>
      <c r="DH208" s="409"/>
      <c r="DI208" s="398">
        <f>IF(DH208=0,0,IF(LEN(CT208)=11,_xlfn.XLOOKUP(CT208,'Dispensed Ink Rates'!C:C,'Dispensed Ink Rates'!CS:CS),VLOOKUP(CT208,'Jan-2026 rates'!$E:$F,2,0)))</f>
        <v>0</v>
      </c>
      <c r="DJ208" s="409"/>
      <c r="DK208" s="398">
        <f>IF(DJ208=0,0,IF(LEN(CU208)=11,_xlfn.XLOOKUP(CU208,'Dispensed Ink Rates'!C:C,'Dispensed Ink Rates'!CS:CS),VLOOKUP(CU208,'Jan-2026 rates'!$E:$F,2,0)))</f>
        <v>0</v>
      </c>
      <c r="DL208" s="409" t="s">
        <v>1443</v>
      </c>
      <c r="DM208" s="409">
        <v>20</v>
      </c>
      <c r="DN208" s="411">
        <f t="shared" si="165"/>
        <v>0</v>
      </c>
      <c r="DO208" s="411">
        <f t="shared" si="166"/>
        <v>57.84210526315789</v>
      </c>
      <c r="DP208" s="410">
        <f t="shared" si="167"/>
        <v>0</v>
      </c>
      <c r="DQ208" s="405" t="s">
        <v>547</v>
      </c>
      <c r="DR208" s="409"/>
      <c r="DS208" s="420" t="str">
        <f t="shared" si="133"/>
        <v>FLINTSL - GREEN</v>
      </c>
      <c r="DT208" s="409"/>
      <c r="DU208" s="411">
        <f>IF(DT208=0,0,IF($LB208=70%,VLOOKUP($DS208,'Jan-2026 rates'!$L:$R,4,0),IF($LB208=65%,VLOOKUP($DS208,'Jan-2026 rates'!$L:$R,4,0),IF($LB208=40%,VLOOKUP($DS208,'Jan-2026 rates'!$L:$R,5,0),IF($LB208=30%,VLOOKUP($DS208,'Jan-2026 rates'!$L:$R,6,0),IF($LB208=100%,VLOOKUP($DS208,'Jan-2026 rates'!$L:$R,7,0),IF($LB208=60%,VLOOKUP($DS208,'Jan-2026 rates'!$L:$S,8,0),IF($LB208=80%,VLOOKUP($DS208,'Jan-2026 rates'!L:T,9,0),0))))))))</f>
        <v>0</v>
      </c>
      <c r="DV208" s="412"/>
      <c r="DW208" s="409"/>
      <c r="DX208" s="411">
        <f>IF(DW208=0,0,IF($LB208=70%,VLOOKUP($DS208,'Jan-2026 rates'!$L:$R,4,0),IF($LB208=65%,VLOOKUP($DS208,'Jan-2026 rates'!$L:$R,4,0),IF($LB208=40%,VLOOKUP($DS208,'Jan-2026 rates'!$L:$R,5,0),IF($LB208=30%,VLOOKUP($DS208,'Jan-2026 rates'!$L:$R,6,0),IF($LB208=100%,VLOOKUP($DS208,'Jan-2026 rates'!$L:$R,7,0),IF($LB208=60%,VLOOKUP($DS208,'Jan-2026 rates'!$L:$S,8,0),IF($LB208=80%,VLOOKUP($DS208,'Jan-2026 rates'!L:T,9,0),0))))))))</f>
        <v>0</v>
      </c>
      <c r="DY208" s="413">
        <v>26515000011</v>
      </c>
      <c r="DZ208" s="413">
        <v>26515000009</v>
      </c>
      <c r="EA208" s="412" t="s">
        <v>477</v>
      </c>
      <c r="EB208" s="412"/>
      <c r="EC208" s="412"/>
      <c r="ED208" s="412"/>
      <c r="EE208" s="412"/>
      <c r="EF208" s="412"/>
      <c r="EG208" s="409">
        <v>40</v>
      </c>
      <c r="EH208" s="398" t="e">
        <f>IF(EG208=0,0,IF(LEN(DY208)=11,_xlfn.XLOOKUP(DY208,'Dispensed Ink Rates'!C:C,'Dispensed Ink Rates'!CS:CS),VLOOKUP(DY208,'Jan-2026 rates'!$E:$F,2,0)))</f>
        <v>#N/A</v>
      </c>
      <c r="EI208" s="409">
        <v>6</v>
      </c>
      <c r="EJ208" s="398" t="e">
        <f>IF(EI208=0,0,IF(LEN(DZ208)=11,_xlfn.XLOOKUP(DZ208,'Dispensed Ink Rates'!C:C,'Dispensed Ink Rates'!CS:CS),VLOOKUP(DZ208,'Jan-2026 rates'!$E:$F,2,0)))</f>
        <v>#N/A</v>
      </c>
      <c r="EK208" s="409">
        <v>6</v>
      </c>
      <c r="EL208" s="398">
        <f>IF(EK208=0,0,IF(LEN(EA208)=11,_xlfn.XLOOKUP(EA208,'Dispensed Ink Rates'!C:C,'Dispensed Ink Rates'!CS:CS),VLOOKUP(EA208,'Jan-2026 rates'!$E:$F,2,0)))</f>
        <v>0</v>
      </c>
      <c r="EM208" s="409"/>
      <c r="EN208" s="398">
        <f>IF(EM208=0,0,IF(LEN(EB208)=11,_xlfn.XLOOKUP(EB208,'Dispensed Ink Rates'!C:C,'Dispensed Ink Rates'!CS:CS),VLOOKUP(EB208,'Jan-2026 rates'!$E:$F,2,0)))</f>
        <v>0</v>
      </c>
      <c r="EO208" s="409"/>
      <c r="EP208" s="398">
        <f>IF(EO208=0,0,IF(LEN(EC208)=11,_xlfn.XLOOKUP(EC208,'Dispensed Ink Rates'!C:C,'Dispensed Ink Rates'!CS:CS),VLOOKUP(EC208,'Jan-2026 rates'!$E:$F,2,0)))</f>
        <v>0</v>
      </c>
      <c r="EQ208" s="409"/>
      <c r="ER208" s="398">
        <f>IF(EQ208=0,0,IF(LEN(ED208)=11,_xlfn.XLOOKUP(ED208,'Dispensed Ink Rates'!C:C,'Dispensed Ink Rates'!CS:CS),VLOOKUP(ED208,'Jan-2026 rates'!$E:$F,2,0)))</f>
        <v>0</v>
      </c>
      <c r="ES208" s="409"/>
      <c r="ET208" s="398">
        <f>IF(ES208=0,0,IF(LEN(EE208)=11,_xlfn.XLOOKUP(EE208,'Dispensed Ink Rates'!C:C,'Dispensed Ink Rates'!CS:CS),VLOOKUP(EE208,'Jan-2026 rates'!$E:$F,2,0)))</f>
        <v>0</v>
      </c>
      <c r="EU208" s="409"/>
      <c r="EV208" s="398">
        <f>IF(EU208=0,0,IF(LEN(EF208)=11,_xlfn.XLOOKUP(EF208,'Dispensed Ink Rates'!C:C,'Dispensed Ink Rates'!CS:CS),VLOOKUP(EF208,'Jan-2026 rates'!$E:$F,2,0)))</f>
        <v>0</v>
      </c>
      <c r="EW208" s="409" t="s">
        <v>1443</v>
      </c>
      <c r="EX208" s="409">
        <v>12</v>
      </c>
      <c r="EY208" s="411">
        <f t="shared" si="168"/>
        <v>0</v>
      </c>
      <c r="EZ208" s="411">
        <f t="shared" si="169"/>
        <v>48.84210526315789</v>
      </c>
      <c r="FA208" s="410">
        <f t="shared" si="170"/>
        <v>0</v>
      </c>
      <c r="FB208" s="405" t="s">
        <v>855</v>
      </c>
      <c r="FC208" s="409" t="s">
        <v>3799</v>
      </c>
      <c r="FD208" s="420" t="str">
        <f t="shared" si="134"/>
        <v>FLINTSL - CYAN</v>
      </c>
      <c r="FE208" s="409">
        <v>28</v>
      </c>
      <c r="FF208" s="411">
        <f>IF(FE208=0,0,IF($LB208=70%,VLOOKUP($FD208,'Jan-2026 rates'!$L:$R,4,0),IF($LB208=65%,VLOOKUP($FD208,'Jan-2026 rates'!$L:$R,4,0),IF($LB208=40%,VLOOKUP($FD208,'Jan-2026 rates'!$L:$R,5,0),IF($LB208=30%,VLOOKUP($FD208,'Jan-2026 rates'!$L:$R,6,0),IF($LB208=100%,VLOOKUP($FD208,'Jan-2026 rates'!$L:$R,7,0),IF($LB208=60%,VLOOKUP($FD208,'Jan-2026 rates'!$L:$S,8,0),IF($LB208=80%,VLOOKUP($FD208,'Jan-2026 rates'!L:T,9,0),0))))))))</f>
        <v>0</v>
      </c>
      <c r="FG208" s="412"/>
      <c r="FH208" s="409"/>
      <c r="FI208" s="411">
        <f>IF(FH208=0,0,IF($LB208=70%,VLOOKUP($FD208,'Jan-2026 rates'!$L:$R,4,0),IF($LB208=65%,VLOOKUP($FD208,'Jan-2026 rates'!$L:$R,4,0),IF($LB208=40%,VLOOKUP($FD208,'Jan-2026 rates'!$L:$R,5,0),IF($LB208=30%,VLOOKUP($FD208,'Jan-2026 rates'!$L:$R,6,0),IF($LB208=100%,VLOOKUP($FD208,'Jan-2026 rates'!$L:$R,7,0),IF($LB208=60%,VLOOKUP($FD208,'Jan-2026 rates'!$L:$S,8,0),IF($LB208=80%,VLOOKUP($FD208,'Jan-2026 rates'!L:T,9,0),0))))))))</f>
        <v>0</v>
      </c>
      <c r="FJ208" s="413"/>
      <c r="FK208" s="413"/>
      <c r="FL208" s="413"/>
      <c r="FM208" s="412"/>
      <c r="FN208" s="412"/>
      <c r="FO208" s="412"/>
      <c r="FP208" s="412"/>
      <c r="FQ208" s="412"/>
      <c r="FR208" s="409"/>
      <c r="FS208" s="398">
        <f>IF(FR208=0,0,IF(LEN(FJ208)=11,_xlfn.XLOOKUP(FJ208,'Dispensed Ink Rates'!C:C,'Dispensed Ink Rates'!CS:CS),VLOOKUP(FJ208,'Jan-2026 rates'!$E:$F,2,0)))</f>
        <v>0</v>
      </c>
      <c r="FT208" s="409"/>
      <c r="FU208" s="398">
        <f>IF(FT208=0,0,IF(LEN(FK208)=11,_xlfn.XLOOKUP(FK208,'Dispensed Ink Rates'!C:C,'Dispensed Ink Rates'!CS:CS),VLOOKUP(FK208,'Jan-2026 rates'!$E:$F,2,0)))</f>
        <v>0</v>
      </c>
      <c r="FV208" s="409"/>
      <c r="FW208" s="398">
        <f>IF(FV208=0,0,IF(LEN(FL208)=11,_xlfn.XLOOKUP(FL208,'Dispensed Ink Rates'!C:C,'Dispensed Ink Rates'!CS:CS),VLOOKUP(FL208,'Jan-2026 rates'!$E:$F,2,0)))</f>
        <v>0</v>
      </c>
      <c r="FX208" s="409"/>
      <c r="FY208" s="398">
        <f>IF(FX208=0,0,IF(LEN(FM208)=11,_xlfn.XLOOKUP(FM208,'Dispensed Ink Rates'!C:C,'Dispensed Ink Rates'!CS:CS),VLOOKUP(FM208,'Jan-2026 rates'!$E:$F,2,0)))</f>
        <v>0</v>
      </c>
      <c r="FZ208" s="409"/>
      <c r="GA208" s="398">
        <f>IF(FZ208=0,0,IF(LEN(FN208)=11,_xlfn.XLOOKUP(FN208,'Dispensed Ink Rates'!C:C,'Dispensed Ink Rates'!CS:CS),VLOOKUP(FN208,'Jan-2026 rates'!$E:$F,2,0)))</f>
        <v>0</v>
      </c>
      <c r="GB208" s="409"/>
      <c r="GC208" s="398">
        <f>IF(GB208=0,0,IF(LEN(FO208)=11,_xlfn.XLOOKUP(FO208,'Dispensed Ink Rates'!C:C,'Dispensed Ink Rates'!CS:CS),VLOOKUP(FO208,'Jan-2026 rates'!$E:$F,2,0)))</f>
        <v>0</v>
      </c>
      <c r="GD208" s="409"/>
      <c r="GE208" s="398">
        <f>IF(GD208=0,0,IF(LEN(FP208)=11,_xlfn.XLOOKUP(FP208,'Dispensed Ink Rates'!C:C,'Dispensed Ink Rates'!CS:CS),VLOOKUP(FP208,'Jan-2026 rates'!$E:$F,2,0)))</f>
        <v>0</v>
      </c>
      <c r="GF208" s="409"/>
      <c r="GG208" s="398">
        <f>IF(GF208=0,0,IF(LEN(FQ208)=11,_xlfn.XLOOKUP(FQ208,'Dispensed Ink Rates'!C:C,'Dispensed Ink Rates'!CS:CS),VLOOKUP(FQ208,'Jan-2026 rates'!$E:$F,2,0)))</f>
        <v>0</v>
      </c>
      <c r="GH208" s="409" t="s">
        <v>1443</v>
      </c>
      <c r="GI208" s="409">
        <v>25</v>
      </c>
      <c r="GJ208" s="411">
        <f t="shared" si="171"/>
        <v>0</v>
      </c>
      <c r="GK208" s="411">
        <f t="shared" si="172"/>
        <v>8.8947368421052602</v>
      </c>
      <c r="GL208" s="410">
        <f t="shared" si="173"/>
        <v>0</v>
      </c>
      <c r="GM208" s="405" t="s">
        <v>544</v>
      </c>
      <c r="GN208" s="409" t="s">
        <v>3800</v>
      </c>
      <c r="GO208" s="420" t="str">
        <f t="shared" si="135"/>
        <v>FLINTSL - MAGENTA</v>
      </c>
      <c r="GP208" s="409">
        <v>29</v>
      </c>
      <c r="GQ208" s="411">
        <f>IF(GP208=0,0,IF($LB208=70%,VLOOKUP($GO208,'Jan-2026 rates'!$L:$R,4,0),IF($LB208=65%,VLOOKUP($GO208,'Jan-2026 rates'!$L:$R,4,0),IF($LB208=40%,VLOOKUP($GO208,'Jan-2026 rates'!$L:$R,5,0),IF($LB208=30%,VLOOKUP($GO208,'Jan-2026 rates'!$L:$R,6,0),IF($LB208=100%,VLOOKUP($GO208,'Jan-2026 rates'!$L:$R,7,0),IF($LB208=60%,VLOOKUP($GO208,'Jan-2026 rates'!$L:$S,8,0),IF($LB208=80%,VLOOKUP($GO208,'Jan-2026 rates'!L:T,9,0),0))))))))</f>
        <v>0</v>
      </c>
      <c r="GR208" s="412"/>
      <c r="GS208" s="409"/>
      <c r="GT208" s="411">
        <f>IF(GS208=0,0,IF($LB208=70%,VLOOKUP($GO208,'Jan-2026 rates'!$L:$R,4,0),IF($LB208=65%,VLOOKUP($GO208,'Jan-2026 rates'!$L:$R,4,0),IF($LB208=40%,VLOOKUP($GO208,'Jan-2026 rates'!$L:$R,5,0),IF($LB208=30%,VLOOKUP($GO208,'Jan-2026 rates'!$L:$R,6,0),IF($LB208=100%,VLOOKUP($GO208,'Jan-2026 rates'!$L:$R,7,0),IF($LB208=60%,VLOOKUP($GO208,'Jan-2026 rates'!$L:$S,8,0),IF($LB208=80%,VLOOKUP($GO208,'Jan-2026 rates'!L:T,9,0),0))))))))</f>
        <v>0</v>
      </c>
      <c r="GU208" s="413">
        <v>26514000006</v>
      </c>
      <c r="GV208" s="413"/>
      <c r="GW208" s="412"/>
      <c r="GX208" s="412"/>
      <c r="GY208" s="412"/>
      <c r="GZ208" s="412"/>
      <c r="HA208" s="412"/>
      <c r="HB208" s="412"/>
      <c r="HC208" s="409">
        <v>2.5</v>
      </c>
      <c r="HD208" s="398" t="e">
        <f>IF(HC208=0,0,IF(LEN(GU208)=11,_xlfn.XLOOKUP(GU208,'Dispensed Ink Rates'!C:C,'Dispensed Ink Rates'!CS:CS),VLOOKUP(GU208,'Jan-2026 rates'!$E:$F,2,0)))</f>
        <v>#N/A</v>
      </c>
      <c r="HE208" s="409"/>
      <c r="HF208" s="398">
        <f>IF(HE208=0,0,IF(LEN(GV208)=11,_xlfn.XLOOKUP(GV208,'Dispensed Ink Rates'!C:C,'Dispensed Ink Rates'!CS:CS),VLOOKUP(GV208,'Jan-2026 rates'!$E:$F,2,0)))</f>
        <v>0</v>
      </c>
      <c r="HG208" s="409"/>
      <c r="HH208" s="398">
        <f>IF(HG208=0,0,IF(LEN(GW208)=11,_xlfn.XLOOKUP(GW208,'Dispensed Ink Rates'!C:C,'Dispensed Ink Rates'!CS:CS),VLOOKUP(GW208,'Jan-2026 rates'!$E:$F,2,0)))</f>
        <v>0</v>
      </c>
      <c r="HI208" s="409"/>
      <c r="HJ208" s="398">
        <f>IF(HI208=0,0,IF(LEN(GX208)=11,_xlfn.XLOOKUP(GX208,'Dispensed Ink Rates'!C:C,'Dispensed Ink Rates'!CS:CS),VLOOKUP(GX208,'Jan-2026 rates'!$E:$F,2,0)))</f>
        <v>0</v>
      </c>
      <c r="HK208" s="409"/>
      <c r="HL208" s="398">
        <f>IF(HK208=0,0,IF(LEN(GY208)=11,_xlfn.XLOOKUP(GY208,'Dispensed Ink Rates'!C:C,'Dispensed Ink Rates'!CS:CS),VLOOKUP(GY208,'Jan-2026 rates'!$E:$F,2,0)))</f>
        <v>0</v>
      </c>
      <c r="HM208" s="409"/>
      <c r="HN208" s="398">
        <f>IF(HM208=0,0,IF(LEN(GZ208)=11,_xlfn.XLOOKUP(GZ208,'Dispensed Ink Rates'!C:C,'Dispensed Ink Rates'!CS:CS),VLOOKUP(GZ208,'Jan-2026 rates'!$E:$F,2,0)))</f>
        <v>0</v>
      </c>
      <c r="HO208" s="409"/>
      <c r="HP208" s="398">
        <f>IF(HO208=0,0,IF(LEN(HA208)=11,_xlfn.XLOOKUP(HA208,'Dispensed Ink Rates'!C:C,'Dispensed Ink Rates'!CS:CS),VLOOKUP(HA208,'Jan-2026 rates'!$E:$F,2,0)))</f>
        <v>0</v>
      </c>
      <c r="HQ208" s="409"/>
      <c r="HR208" s="398">
        <f>IF(HQ208=0,0,IF(LEN(HB208)=11,_xlfn.XLOOKUP(HB208,'Dispensed Ink Rates'!C:C,'Dispensed Ink Rates'!CS:CS),VLOOKUP(HB208,'Jan-2026 rates'!$E:$F,2,0)))</f>
        <v>0</v>
      </c>
      <c r="HS208" s="409" t="s">
        <v>1443</v>
      </c>
      <c r="HT208" s="409">
        <v>28</v>
      </c>
      <c r="HU208" s="411">
        <f t="shared" si="174"/>
        <v>0</v>
      </c>
      <c r="HV208" s="411">
        <f t="shared" si="175"/>
        <v>6.4473684210526301</v>
      </c>
      <c r="HW208" s="414">
        <f t="shared" si="176"/>
        <v>0</v>
      </c>
      <c r="HX208" s="405" t="s">
        <v>545</v>
      </c>
      <c r="HY208" s="409" t="s">
        <v>3801</v>
      </c>
      <c r="HZ208" s="420" t="str">
        <f t="shared" si="136"/>
        <v>FLINTSL - YELLOW</v>
      </c>
      <c r="IA208" s="409">
        <v>29</v>
      </c>
      <c r="IB208" s="411">
        <f>IF(IA208=0,0,IF($LB208=70%,VLOOKUP($HZ208,'Jan-2026 rates'!$L:$R,4,0),IF($LB208=65%,VLOOKUP($HZ208,'Jan-2026 rates'!$L:$R,4,0),IF($LB208=40%,VLOOKUP($HZ208,'Jan-2026 rates'!$L:$R,5,0),IF($LB208=30%,VLOOKUP($HZ208,'Jan-2026 rates'!$L:$R,6,0),IF($LB208=100%,VLOOKUP($HZ208,'Jan-2026 rates'!$L:$R,7,0),IF($LB208=60%,VLOOKUP($HZ208,'Jan-2026 rates'!$L:$S,8,0),IF($LB208=80%,VLOOKUP($HZ208,'Jan-2026 rates'!L:T,9,0),0))))))))</f>
        <v>0</v>
      </c>
      <c r="IC208" s="412"/>
      <c r="ID208" s="409"/>
      <c r="IE208" s="411">
        <f>IF(ID208=0,0,IF($LB208=70%,VLOOKUP($HZ208,'Jan-2026 rates'!$L:$R,4,0),IF($LB208=65%,VLOOKUP($HZ208,'Jan-2026 rates'!$L:$R,4,0),IF($LB208=40%,VLOOKUP($HZ208,'Jan-2026 rates'!$L:$R,5,0),IF($LB208=30%,VLOOKUP($HZ208,'Jan-2026 rates'!$L:$R,6,0),IF($LB208=100%,VLOOKUP($HZ208,'Jan-2026 rates'!$L:$R,7,0),IF($LB208=60%,VLOOKUP($HZ208,'Jan-2026 rates'!$L:$S,8,0),IF($LB208=80%,VLOOKUP($HZ208,'Jan-2026 rates'!L:T,9,0),0))))))))</f>
        <v>0</v>
      </c>
      <c r="IF208" s="412" t="s">
        <v>1266</v>
      </c>
      <c r="IG208" s="413"/>
      <c r="IH208" s="412"/>
      <c r="II208" s="412"/>
      <c r="IJ208" s="412"/>
      <c r="IK208" s="412"/>
      <c r="IL208" s="412"/>
      <c r="IM208" s="412"/>
      <c r="IN208" s="409">
        <v>4</v>
      </c>
      <c r="IO208" s="398">
        <f>IF(IN208=0,0,IF(LEN(IF208)=11,_xlfn.XLOOKUP(IF208,'Dispensed Ink Rates'!C:C,'Dispensed Ink Rates'!CS:CS),VLOOKUP(IF208,'Jan-2026 rates'!$E:$F,2,0)))</f>
        <v>0</v>
      </c>
      <c r="IP208" s="409"/>
      <c r="IQ208" s="398">
        <f>IF(IP208=0,0,IF(LEN(IG208)=11,_xlfn.XLOOKUP(IG208,'Dispensed Ink Rates'!C:C,'Dispensed Ink Rates'!CS:CS),VLOOKUP(IG208,'Jan-2026 rates'!$E:$F,2,0)))</f>
        <v>0</v>
      </c>
      <c r="IR208" s="409"/>
      <c r="IS208" s="398">
        <f>IF(IR208=0,0,IF(LEN(IH208)=11,_xlfn.XLOOKUP(IH208,'Dispensed Ink Rates'!C:C,'Dispensed Ink Rates'!CS:CS),VLOOKUP(IH208,'Jan-2026 rates'!$E:$F,2,0)))</f>
        <v>0</v>
      </c>
      <c r="IT208" s="409"/>
      <c r="IU208" s="398">
        <f>IF(IT208=0,0,IF(LEN(II208)=11,_xlfn.XLOOKUP(II208,'Dispensed Ink Rates'!C:C,'Dispensed Ink Rates'!CS:CS),VLOOKUP(II208,'Jan-2026 rates'!$E:$F,2,0)))</f>
        <v>0</v>
      </c>
      <c r="IV208" s="409"/>
      <c r="IW208" s="398">
        <f>IF(IV208=0,0,IF(LEN(IJ208)=11,_xlfn.XLOOKUP(IJ208,'Dispensed Ink Rates'!C:C,'Dispensed Ink Rates'!CS:CS),VLOOKUP(IJ208,'Jan-2026 rates'!$E:$F,2,0)))</f>
        <v>0</v>
      </c>
      <c r="IX208" s="409"/>
      <c r="IY208" s="398">
        <f>IF(IX208=0,0,IF(LEN(IK208)=11,_xlfn.XLOOKUP(IK208,'Dispensed Ink Rates'!C:C,'Dispensed Ink Rates'!CS:CS),VLOOKUP(IK208,'Jan-2026 rates'!$E:$F,2,0)))</f>
        <v>0</v>
      </c>
      <c r="IZ208" s="409"/>
      <c r="JA208" s="398">
        <f>IF(IZ208=0,0,IF(LEN(IL208)=11,_xlfn.XLOOKUP(IL208,'Dispensed Ink Rates'!C:C,'Dispensed Ink Rates'!CS:CS),VLOOKUP(IL208,'Jan-2026 rates'!$E:$F,2,0)))</f>
        <v>0</v>
      </c>
      <c r="JB208" s="409"/>
      <c r="JC208" s="398">
        <f>IF(JB208=0,0,IF(LEN(IM208)=11,_xlfn.XLOOKUP(IM208,'Dispensed Ink Rates'!C:C,'Dispensed Ink Rates'!CS:CS),VLOOKUP(IM208,'Jan-2026 rates'!$E:$F,2,0)))</f>
        <v>0</v>
      </c>
      <c r="JD208" s="409" t="s">
        <v>1443</v>
      </c>
      <c r="JE208" s="409">
        <v>28</v>
      </c>
      <c r="JF208" s="411">
        <f t="shared" si="177"/>
        <v>0</v>
      </c>
      <c r="JG208" s="411">
        <f t="shared" si="178"/>
        <v>10.89473684210526</v>
      </c>
      <c r="JH208" s="410">
        <f t="shared" si="179"/>
        <v>0</v>
      </c>
      <c r="JI208" s="405" t="s">
        <v>856</v>
      </c>
      <c r="JJ208" s="409" t="s">
        <v>3802</v>
      </c>
      <c r="JK208" s="420" t="str">
        <f t="shared" si="137"/>
        <v>FLINTSL - WHITE</v>
      </c>
      <c r="JL208" s="409">
        <v>30</v>
      </c>
      <c r="JM208" s="411">
        <f>IF(JL208=0,0,IF($LB208=70%,VLOOKUP($JK208,'Jan-2026 rates'!$L:$R,4,0),IF($LB208=65%,VLOOKUP($JK208,'Jan-2026 rates'!$L:$R,4,0),IF($LB208=40%,VLOOKUP($JK208,'Jan-2026 rates'!$L:$R,5,0),IF($LB208=30%,VLOOKUP($JK208,'Jan-2026 rates'!$L:$R,6,0),IF($LB208=100%,VLOOKUP($JK208,'Jan-2026 rates'!$L:$R,7,0),IF($LB208=60%,VLOOKUP($JK208,'Jan-2026 rates'!$L:$S,8,0),IF($LB208=80%,VLOOKUP($JK208,'Jan-2026 rates'!L:T,9,0),0))))))))</f>
        <v>0</v>
      </c>
      <c r="JN208" s="412"/>
      <c r="JO208" s="409"/>
      <c r="JP208" s="411">
        <f>IF(JO208=0,0,IF($LB208=70%,VLOOKUP($JK208,'Jan-2026 rates'!$L:$R,4,0),IF($LB208=65%,VLOOKUP($JK208,'Jan-2026 rates'!$L:$R,4,0),IF($LB208=40%,VLOOKUP($JK208,'Jan-2026 rates'!$L:$R,5,0),IF($LB208=30%,VLOOKUP($JK208,'Jan-2026 rates'!$L:$R,6,0),IF($LB208=100%,VLOOKUP($JK208,'Jan-2026 rates'!$L:$R,7,0),IF($LB208=60%,VLOOKUP($JK208,'Jan-2026 rates'!$L:$S,8,0),IF($LB208=80%,VLOOKUP($JK208,'Jan-2026 rates'!L:T,9,0),0))))))))</f>
        <v>0</v>
      </c>
      <c r="JQ208" s="413" t="s">
        <v>484</v>
      </c>
      <c r="JR208" s="412"/>
      <c r="JS208" s="413"/>
      <c r="JT208" s="413"/>
      <c r="JU208" s="412"/>
      <c r="JV208" s="412"/>
      <c r="JW208" s="412"/>
      <c r="JX208" s="412"/>
      <c r="JY208" s="409">
        <f>50+50</f>
        <v>100</v>
      </c>
      <c r="JZ208" s="398">
        <f>IF(JY208=0,0,IF(LEN(JQ208)=11,_xlfn.XLOOKUP(JQ208,'Dispensed Ink Rates'!C:C,'Dispensed Ink Rates'!CS:CS),VLOOKUP(JQ208,'Jan-2026 rates'!$E:$F,2,0)))</f>
        <v>0</v>
      </c>
      <c r="KA208" s="409"/>
      <c r="KB208" s="398">
        <f>IF(KA208=0,0,IF(LEN(JR208)=11,_xlfn.XLOOKUP(JR208,'Dispensed Ink Rates'!C:C,'Dispensed Ink Rates'!CS:CS),VLOOKUP(JR208,'Jan-2026 rates'!$E:$F,2,0)))</f>
        <v>0</v>
      </c>
      <c r="KC208" s="409"/>
      <c r="KD208" s="398">
        <f>IF(KC208=0,0,IF(LEN(JS208)=11,_xlfn.XLOOKUP(JS208,'Dispensed Ink Rates'!C:C,'Dispensed Ink Rates'!CS:CS),VLOOKUP(JS208,'Jan-2026 rates'!$E:$F,2,0)))</f>
        <v>0</v>
      </c>
      <c r="KE208" s="409"/>
      <c r="KF208" s="398">
        <f>IF(KE208=0,0,IF(LEN(JT208)=11,_xlfn.XLOOKUP(JT208,'Dispensed Ink Rates'!C:C,'Dispensed Ink Rates'!CS:CS),VLOOKUP(JT208,'Jan-2026 rates'!$E:$F,2,0)))</f>
        <v>0</v>
      </c>
      <c r="KG208" s="409"/>
      <c r="KH208" s="398">
        <f>IF(KG208=0,0,IF(LEN(JU208)=11,_xlfn.XLOOKUP(JU208,'Dispensed Ink Rates'!C:C,'Dispensed Ink Rates'!CS:CS),VLOOKUP(JU208,'Jan-2026 rates'!$E:$F,2,0)))</f>
        <v>0</v>
      </c>
      <c r="KI208" s="409"/>
      <c r="KJ208" s="398">
        <f>IF(KI208=0,0,IF(LEN(JV208)=11,_xlfn.XLOOKUP(JV208,'Dispensed Ink Rates'!C:C,'Dispensed Ink Rates'!CS:CS),VLOOKUP(JV208,'Jan-2026 rates'!$E:$F,2,0)))</f>
        <v>0</v>
      </c>
      <c r="KK208" s="409"/>
      <c r="KL208" s="398">
        <f>IF(KK208=0,0,IF(LEN(JW208)=11,_xlfn.XLOOKUP(JW208,'Dispensed Ink Rates'!C:C,'Dispensed Ink Rates'!CS:CS),VLOOKUP(JW208,'Jan-2026 rates'!$E:$F,2,0)))</f>
        <v>0</v>
      </c>
      <c r="KM208" s="428"/>
      <c r="KN208" s="398">
        <f>IF(KM208=0,0,IF(LEN(JX208)=11,_xlfn.XLOOKUP(JX208,'Dispensed Ink Rates'!C:C,'Dispensed Ink Rates'!CS:CS),VLOOKUP(JX208,'Jan-2026 rates'!$E:$F,2,0)))</f>
        <v>0</v>
      </c>
      <c r="KO208" s="409" t="s">
        <v>1443</v>
      </c>
      <c r="KP208" s="409">
        <v>30</v>
      </c>
      <c r="KQ208" s="411">
        <f t="shared" si="180"/>
        <v>0</v>
      </c>
      <c r="KR208" s="411">
        <f t="shared" si="181"/>
        <v>276.84210526315792</v>
      </c>
      <c r="KS208" s="410">
        <f t="shared" si="182"/>
        <v>0</v>
      </c>
      <c r="KT208" s="409">
        <v>2</v>
      </c>
      <c r="KU208" s="409">
        <v>3</v>
      </c>
      <c r="KV208" s="409">
        <v>3</v>
      </c>
      <c r="KW208" s="409">
        <v>3</v>
      </c>
      <c r="KX208" s="409">
        <v>2</v>
      </c>
      <c r="KY208" s="409">
        <v>1</v>
      </c>
      <c r="KZ208" s="409">
        <v>2</v>
      </c>
      <c r="LA208" s="409">
        <f>30+30</f>
        <v>60</v>
      </c>
      <c r="LB208" s="415">
        <v>0.8</v>
      </c>
      <c r="LC208" s="415">
        <v>0.2</v>
      </c>
      <c r="LD208" s="415"/>
      <c r="LE208" s="415"/>
      <c r="LF208" s="415"/>
      <c r="LG208" s="409">
        <v>0</v>
      </c>
      <c r="LH208" s="409">
        <f>60+60+80+20+4</f>
        <v>224</v>
      </c>
      <c r="LI208" s="409">
        <v>0</v>
      </c>
      <c r="LJ208" s="409">
        <v>0</v>
      </c>
      <c r="LK208" s="416">
        <f t="shared" si="138"/>
        <v>224</v>
      </c>
      <c r="LL208" s="416">
        <f t="shared" si="139"/>
        <v>224</v>
      </c>
      <c r="LM208" s="417">
        <f t="shared" si="140"/>
        <v>179.20000000000002</v>
      </c>
      <c r="LN208" s="417">
        <f>VLOOKUP($LM$8,'Jan-2026 rates'!$H:$I,2,0)</f>
        <v>0</v>
      </c>
      <c r="LO208" s="417">
        <f t="shared" si="141"/>
        <v>44.800000000000004</v>
      </c>
      <c r="LP208" s="417">
        <f>VLOOKUP($LO$8,'Jan-2026 rates'!$H:$I,2,0)</f>
        <v>0</v>
      </c>
      <c r="LQ208" s="417">
        <f t="shared" si="142"/>
        <v>0</v>
      </c>
      <c r="LR208" s="417">
        <f>VLOOKUP($LQ$8,'Jan-2026 rates'!$H:$I,2,0)</f>
        <v>0</v>
      </c>
      <c r="LS208" s="417">
        <f t="shared" si="143"/>
        <v>0</v>
      </c>
      <c r="LT208" s="417">
        <f>VLOOKUP($LS$8,'Jan-2026 rates'!$H:$I,2,0)</f>
        <v>0</v>
      </c>
      <c r="LU208" s="417">
        <f t="shared" si="144"/>
        <v>0</v>
      </c>
      <c r="LV208" s="417">
        <f>VLOOKUP($LU$8,'Jan-2026 rates'!$H:$I,2,0)</f>
        <v>0</v>
      </c>
      <c r="LW208" s="417">
        <f t="shared" si="145"/>
        <v>0</v>
      </c>
      <c r="LX208" s="417">
        <f t="shared" si="146"/>
        <v>0</v>
      </c>
      <c r="LY208" s="418">
        <f t="shared" si="147"/>
        <v>0</v>
      </c>
      <c r="LZ208" s="417"/>
      <c r="MA208" s="435">
        <f t="shared" si="148"/>
        <v>242.5</v>
      </c>
      <c r="MB208" s="282">
        <f t="shared" si="149"/>
        <v>459.5</v>
      </c>
      <c r="MC208" s="283">
        <v>101</v>
      </c>
      <c r="MD208" s="284" t="str">
        <f t="shared" si="150"/>
        <v>FLINTSLFLINTSLFLINTSLFLINTSLFLINTSLFLINTSLFLINTSLFLINTSL</v>
      </c>
      <c r="ME208" s="293" t="str">
        <f t="shared" si="151"/>
        <v>+</v>
      </c>
      <c r="MF208" s="293" t="str">
        <f t="shared" si="152"/>
        <v>+</v>
      </c>
      <c r="MG208" s="293" t="str">
        <f t="shared" si="153"/>
        <v>+</v>
      </c>
      <c r="MH208" s="293" t="str">
        <f t="shared" si="154"/>
        <v>+</v>
      </c>
      <c r="MI208" s="293" t="str">
        <f t="shared" si="155"/>
        <v>+</v>
      </c>
      <c r="MJ208" s="293" t="str">
        <f t="shared" si="156"/>
        <v>+</v>
      </c>
      <c r="MK208" s="293" t="str">
        <f t="shared" si="157"/>
        <v>+</v>
      </c>
      <c r="ML208" s="293" t="str">
        <f t="shared" si="158"/>
        <v>+</v>
      </c>
      <c r="MM208" s="3" t="b">
        <f t="array" ref="MM208">OR(ME208:ML208="-")</f>
        <v>0</v>
      </c>
      <c r="MN208" s="285"/>
      <c r="MO208" s="401"/>
      <c r="MP208" s="286"/>
      <c r="MQ208" s="286"/>
      <c r="MR208" s="402"/>
      <c r="MS208" s="400"/>
      <c r="NH208" s="422"/>
      <c r="NJ208" s="421"/>
    </row>
    <row r="209" spans="1:374" s="1" customFormat="1" ht="16.5">
      <c r="A209" s="403">
        <v>46037</v>
      </c>
      <c r="B209" s="404" t="s">
        <v>1015</v>
      </c>
      <c r="C209" s="405" t="s">
        <v>3803</v>
      </c>
      <c r="D209" s="406">
        <v>102</v>
      </c>
      <c r="E209" s="404">
        <v>1952</v>
      </c>
      <c r="F209" s="407">
        <v>102900</v>
      </c>
      <c r="G209" s="407" t="s">
        <v>1016</v>
      </c>
      <c r="H209" s="408" t="s">
        <v>1017</v>
      </c>
      <c r="I209" s="409">
        <f>2+1.2</f>
        <v>3.2</v>
      </c>
      <c r="J209" s="405" t="s">
        <v>543</v>
      </c>
      <c r="K209" s="404"/>
      <c r="L209" s="419" t="str">
        <f t="shared" si="131"/>
        <v>FLINTSL - BLACK</v>
      </c>
      <c r="M209" s="404"/>
      <c r="N209" s="410">
        <f>IF(M209=0,0,IF($LB209=70%,VLOOKUP($L209,'Jan-2026 rates'!$L:$R,4,0),IF($LB209=65%,VLOOKUP($L209,'Jan-2026 rates'!$L:$R,4,0),IF($LB209=40%,VLOOKUP($L209,'Jan-2026 rates'!$L:$R,5,0),IF($LB209=30%,VLOOKUP($L209,'Jan-2026 rates'!$L:$R,6,0),IF($LB209=100%,VLOOKUP($L209,'Jan-2026 rates'!$L:$R,7,0),IF($LB209=60%,VLOOKUP($L209,'Jan-2026 rates'!$L:$S,8,0),IF($LB209=80%,VLOOKUP($L209,'Jan-2026 rates'!L:T,9,0),0))))))))</f>
        <v>0</v>
      </c>
      <c r="O209" s="406"/>
      <c r="P209" s="404"/>
      <c r="Q209" s="410">
        <f>IF(P209=0,0,IF($LB209=70%,VLOOKUP($L209,'Jan-2026 rates'!$L:$R,4,0),IF($LB209=65%,VLOOKUP($L209,'Jan-2026 rates'!$L:$R,4,0),IF($LB209=40%,VLOOKUP($L209,'Jan-2026 rates'!$L:$R,5,0),IF($LB209=30%,VLOOKUP($L209,'Jan-2026 rates'!$L:$R,6,0),IF($LB209=100%,VLOOKUP($L209,'Jan-2026 rates'!$L:$R,7,0),IF($LB209=60%,VLOOKUP($L209,'Jan-2026 rates'!$L:$S,8,0),IF($LB209=80%,VLOOKUP($L209,'Jan-2026 rates'!L:T,9,0),0))))))))</f>
        <v>0</v>
      </c>
      <c r="R209" s="406">
        <v>26519000013</v>
      </c>
      <c r="S209" s="406" t="s">
        <v>1266</v>
      </c>
      <c r="T209" s="406"/>
      <c r="U209" s="406"/>
      <c r="V209" s="406"/>
      <c r="W209" s="406"/>
      <c r="X209" s="406"/>
      <c r="Y209" s="406"/>
      <c r="Z209" s="404">
        <v>15</v>
      </c>
      <c r="AA209" s="398" t="e">
        <f>IF(Z209=0,0,IF(LEN(R209)=11,_xlfn.XLOOKUP(R209,'Dispensed Ink Rates'!C:C,'Dispensed Ink Rates'!CS:CS),VLOOKUP(R209,'Jan-2026 rates'!$E:$F,2,0)))</f>
        <v>#N/A</v>
      </c>
      <c r="AB209" s="404">
        <v>3</v>
      </c>
      <c r="AC209" s="398">
        <f>IF(AB209=0,0,IF(LEN(S209)=11,_xlfn.XLOOKUP(S209,'Dispensed Ink Rates'!C:C,'Dispensed Ink Rates'!CS:CS),VLOOKUP(S209,'Jan-2026 rates'!$E:$F,2,0)))</f>
        <v>0</v>
      </c>
      <c r="AD209" s="404"/>
      <c r="AE209" s="398">
        <f>IF(AD209=0,0,IF(LEN(T209)=11,_xlfn.XLOOKUP(T209,'Dispensed Ink Rates'!C:C,'Dispensed Ink Rates'!CS:CS),VLOOKUP(T209,'Jan-2026 rates'!$E:$F,2,0)))</f>
        <v>0</v>
      </c>
      <c r="AF209" s="404"/>
      <c r="AG209" s="398">
        <f>IF(AF209=0,0,IF(LEN(U209)=11,_xlfn.XLOOKUP(U209,'Dispensed Ink Rates'!C:C,'Dispensed Ink Rates'!CS:CS),VLOOKUP(U209,'Jan-2026 rates'!$E:$F,2,0)))</f>
        <v>0</v>
      </c>
      <c r="AH209" s="404"/>
      <c r="AI209" s="398">
        <f>IF(AH209=0,0,IF(LEN(V209)=11,_xlfn.XLOOKUP(V209,'Dispensed Ink Rates'!C:C,'Dispensed Ink Rates'!CS:CS),VLOOKUP(V209,'Jan-2026 rates'!$E:$F,2,0)))</f>
        <v>0</v>
      </c>
      <c r="AJ209" s="404"/>
      <c r="AK209" s="398">
        <f>IF(AJ209=0,0,IF(LEN(W209)=11,_xlfn.XLOOKUP(W209,'Dispensed Ink Rates'!C:C,'Dispensed Ink Rates'!CS:CS),VLOOKUP(W209,'Jan-2026 rates'!$E:$F,2,0)))</f>
        <v>0</v>
      </c>
      <c r="AL209" s="404"/>
      <c r="AM209" s="398">
        <f>IF(AL209=0,0,IF(LEN(X209)=11,_xlfn.XLOOKUP(X209,'Dispensed Ink Rates'!C:C,'Dispensed Ink Rates'!CS:CS),VLOOKUP(X209,'Jan-2026 rates'!$E:$F,2,0)))</f>
        <v>0</v>
      </c>
      <c r="AN209" s="404"/>
      <c r="AO209" s="398">
        <f>IF(AN209=0,0,IF(LEN(Y209)=11,_xlfn.XLOOKUP(Y209,'Dispensed Ink Rates'!C:C,'Dispensed Ink Rates'!CS:CS),VLOOKUP(Y209,'Jan-2026 rates'!$E:$F,2,0)))</f>
        <v>0</v>
      </c>
      <c r="AP209" s="409" t="s">
        <v>1443</v>
      </c>
      <c r="AQ209" s="409">
        <v>25</v>
      </c>
      <c r="AR209" s="410">
        <f t="shared" si="159"/>
        <v>0</v>
      </c>
      <c r="AS209" s="411">
        <f t="shared" si="160"/>
        <v>52.341216216216225</v>
      </c>
      <c r="AT209" s="410">
        <f t="shared" si="161"/>
        <v>0</v>
      </c>
      <c r="AU209" s="405" t="s">
        <v>547</v>
      </c>
      <c r="AV209" s="409" t="s">
        <v>3383</v>
      </c>
      <c r="AW209" s="420" t="str">
        <f t="shared" si="183"/>
        <v>FLINTSL - GREEN</v>
      </c>
      <c r="AX209" s="409">
        <v>24</v>
      </c>
      <c r="AY209" s="411">
        <f>IF(AX209=0,0,IF($LB209=70%,VLOOKUP($AW209,'Jan-2026 rates'!$L:$R,4,0),IF($LB209=65%,VLOOKUP($AW209,'Jan-2026 rates'!$L:$R,4,0),IF($LB209=40%,VLOOKUP($AW209,'Jan-2026 rates'!$L:$R,5,0),IF($LB209=30%,VLOOKUP($AW209,'Jan-2026 rates'!$L:$R,6,0),IF($LB209=100%,VLOOKUP($AW209,'Jan-2026 rates'!$L:$R,7,0),IF($LB209=60%,VLOOKUP($AW209,'Jan-2026 rates'!$L:$S,8,0),IF($LB209=80%,VLOOKUP($AW209,'Jan-2026 rates'!L:T,9,0),0))))))))</f>
        <v>0</v>
      </c>
      <c r="AZ209" s="412"/>
      <c r="BA209" s="409"/>
      <c r="BB209" s="411">
        <f>IF(BA209=0,0,IF($LB209=70%,VLOOKUP($AW209,'Jan-2026 rates'!$L:$R,4,0),IF($LB209=65%,VLOOKUP($AW209,'Jan-2026 rates'!$L:$R,4,0),IF($LB209=40%,VLOOKUP($AW209,'Jan-2026 rates'!$L:$R,5,0),IF($LB209=30%,VLOOKUP($AW209,'Jan-2026 rates'!$L:$R,6,0),IF($LB209=100%,VLOOKUP($AW209,'Jan-2026 rates'!$L:$R,7,0),IF($LB209=60%,VLOOKUP($AW209,'Jan-2026 rates'!$L:$S,8,0),IF($LB209=80%,VLOOKUP($AW209,'Jan-2026 rates'!L:T,9,0),0))))))))</f>
        <v>0</v>
      </c>
      <c r="BC209" s="413">
        <v>26519000013</v>
      </c>
      <c r="BD209" s="412"/>
      <c r="BE209" s="412"/>
      <c r="BF209" s="413"/>
      <c r="BG209" s="412"/>
      <c r="BH209" s="412"/>
      <c r="BI209" s="412"/>
      <c r="BJ209" s="412"/>
      <c r="BK209" s="409">
        <v>0.2</v>
      </c>
      <c r="BL209" s="398" t="e">
        <f>IF(BK209=0,0,IF(LEN(BC209)=11,_xlfn.XLOOKUP(BC209,'Dispensed Ink Rates'!C:C,'Dispensed Ink Rates'!CS:CS),VLOOKUP(BC209,'Jan-2026 rates'!$E:$F,2,0)))</f>
        <v>#N/A</v>
      </c>
      <c r="BM209" s="409"/>
      <c r="BN209" s="398">
        <f>IF(BM209=0,0,IF(LEN(BD209)=11,_xlfn.XLOOKUP(BD209,'Dispensed Ink Rates'!C:C,'Dispensed Ink Rates'!CS:CS),VLOOKUP(BD209,'Jan-2026 rates'!$E:$F,2,0)))</f>
        <v>0</v>
      </c>
      <c r="BO209" s="409"/>
      <c r="BP209" s="398">
        <f>IF(BO209=0,0,IF(LEN(BE209)=11,_xlfn.XLOOKUP(BE209,'Dispensed Ink Rates'!C:C,'Dispensed Ink Rates'!CS:CS),VLOOKUP(BE209,'Jan-2026 rates'!$E:$F,2,0)))</f>
        <v>0</v>
      </c>
      <c r="BQ209" s="409"/>
      <c r="BR209" s="398">
        <f>IF(BQ209=0,0,IF(LEN(BF209)=11,_xlfn.XLOOKUP(BF209,'Dispensed Ink Rates'!C:C,'Dispensed Ink Rates'!CS:CS),VLOOKUP(BF209,'Jan-2026 rates'!$E:$F,2,0)))</f>
        <v>0</v>
      </c>
      <c r="BS209" s="409"/>
      <c r="BT209" s="398">
        <f>IF(BS209=0,0,IF(LEN(BG209)=11,_xlfn.XLOOKUP(BG209,'Dispensed Ink Rates'!C:C,'Dispensed Ink Rates'!CS:CS),VLOOKUP(BG209,'Jan-2026 rates'!$E:$F,2,0)))</f>
        <v>0</v>
      </c>
      <c r="BU209" s="409"/>
      <c r="BV209" s="398">
        <f>IF(BU209=0,0,IF(LEN(BH209)=11,_xlfn.XLOOKUP(BH209,'Dispensed Ink Rates'!C:C,'Dispensed Ink Rates'!CS:CS),VLOOKUP(BH209,'Jan-2026 rates'!$E:$F,2,0)))</f>
        <v>0</v>
      </c>
      <c r="BW209" s="409"/>
      <c r="BX209" s="398">
        <f>IF(BW209=0,0,IF(LEN(BI209)=11,_xlfn.XLOOKUP(BI209,'Dispensed Ink Rates'!C:C,'Dispensed Ink Rates'!CS:CS),VLOOKUP(BI209,'Jan-2026 rates'!$E:$F,2,0)))</f>
        <v>0</v>
      </c>
      <c r="BY209" s="409"/>
      <c r="BZ209" s="398">
        <f>IF(BY209=0,0,IF(LEN(BJ209)=11,_xlfn.XLOOKUP(BJ209,'Dispensed Ink Rates'!C:C,'Dispensed Ink Rates'!CS:CS),VLOOKUP(BJ209,'Jan-2026 rates'!$E:$F,2,0)))</f>
        <v>0</v>
      </c>
      <c r="CA209" s="409" t="s">
        <v>1443</v>
      </c>
      <c r="CB209" s="409">
        <v>20</v>
      </c>
      <c r="CC209" s="411">
        <f t="shared" si="162"/>
        <v>0</v>
      </c>
      <c r="CD209" s="411">
        <f t="shared" si="163"/>
        <v>23.980405405405406</v>
      </c>
      <c r="CE209" s="410">
        <f t="shared" si="164"/>
        <v>0</v>
      </c>
      <c r="CF209" s="404" t="s">
        <v>857</v>
      </c>
      <c r="CG209" s="409"/>
      <c r="CH209" s="420" t="str">
        <f t="shared" si="132"/>
        <v>FLINTSL - RED</v>
      </c>
      <c r="CI209" s="409"/>
      <c r="CJ209" s="411">
        <f>IF(CI209=0,0,IF($LB209=70%,VLOOKUP($CH209,'Jan-2026 rates'!$L:$R,4,0),IF($LB209=65%,VLOOKUP($CH209,'Jan-2026 rates'!$L:$R,4,0),IF($LB209=40%,VLOOKUP($CH209,'Jan-2026 rates'!$L:$R,5,0),IF($LB209=30%,VLOOKUP($CH209,'Jan-2026 rates'!$L:$R,6,0),IF($LB209=100%,VLOOKUP($CH209,'Jan-2026 rates'!$L:$R,7,0),IF($LB209=60%,VLOOKUP($CH209,'Jan-2026 rates'!$L:$S,8,0),IF($LB209=80%,VLOOKUP($CH209,'Jan-2026 rates'!L:T,9,0),0))))))))</f>
        <v>0</v>
      </c>
      <c r="CK209" s="412"/>
      <c r="CL209" s="409"/>
      <c r="CM209" s="411">
        <f>IF(CL209=0,0,IF($LB209=70%,VLOOKUP($CH209,'Jan-2026 rates'!$L:$R,4,0),IF($LB209=65%,VLOOKUP($CH209,'Jan-2026 rates'!$L:$R,4,0),IF($LB209=40%,VLOOKUP($CH209,'Jan-2026 rates'!$L:$R,5,0),IF($LB209=30%,VLOOKUP($CH209,'Jan-2026 rates'!$L:$R,6,0),IF($LB209=100%,VLOOKUP($CH209,'Jan-2026 rates'!$L:$R,7,0),IF($LB209=60%,VLOOKUP($CH209,'Jan-2026 rates'!$L:$S,8,0),IF($LB209=80%,VLOOKUP($CH209,'Jan-2026 rates'!L:T,9,0),0))))))))</f>
        <v>0</v>
      </c>
      <c r="CN209" s="426">
        <v>26515000013</v>
      </c>
      <c r="CO209" s="427">
        <v>26519000013</v>
      </c>
      <c r="CP209" s="426">
        <v>26514000008</v>
      </c>
      <c r="CQ209" s="426">
        <v>26515000012</v>
      </c>
      <c r="CR209" s="428"/>
      <c r="CS209" s="428"/>
      <c r="CT209" s="428"/>
      <c r="CU209" s="428"/>
      <c r="CV209" s="409">
        <v>8</v>
      </c>
      <c r="CW209" s="398" t="e">
        <f>IF(CV209=0,0,IF(LEN(CN209)=11,_xlfn.XLOOKUP(CN209,'Dispensed Ink Rates'!C:C,'Dispensed Ink Rates'!CS:CS),VLOOKUP(CN209,'Jan-2026 rates'!$E:$F,2,0)))</f>
        <v>#N/A</v>
      </c>
      <c r="CX209" s="409">
        <v>0.5</v>
      </c>
      <c r="CY209" s="398" t="e">
        <f>IF(CX209=0,0,IF(LEN(CO209)=11,_xlfn.XLOOKUP(CO209,'Dispensed Ink Rates'!C:C,'Dispensed Ink Rates'!CS:CS),VLOOKUP(CO209,'Jan-2026 rates'!$E:$F,2,0)))</f>
        <v>#N/A</v>
      </c>
      <c r="CZ209" s="409">
        <v>4</v>
      </c>
      <c r="DA209" s="398" t="e">
        <f>IF(CZ209=0,0,IF(LEN(CP209)=11,_xlfn.XLOOKUP(CP209,'Dispensed Ink Rates'!C:C,'Dispensed Ink Rates'!CS:CS),VLOOKUP(CP209,'Jan-2026 rates'!$E:$F,2,0)))</f>
        <v>#N/A</v>
      </c>
      <c r="DB209" s="409">
        <v>24.8</v>
      </c>
      <c r="DC209" s="398" t="e">
        <f>IF(DB209=0,0,IF(LEN(CQ209)=11,_xlfn.XLOOKUP(CQ209,'Dispensed Ink Rates'!C:C,'Dispensed Ink Rates'!CS:CS),VLOOKUP(CQ209,'Jan-2026 rates'!$E:$F,2,0)))</f>
        <v>#N/A</v>
      </c>
      <c r="DD209" s="409"/>
      <c r="DE209" s="398">
        <f>IF(DD209=0,0,IF(LEN(CR209)=11,_xlfn.XLOOKUP(CR209,'Dispensed Ink Rates'!C:C,'Dispensed Ink Rates'!CS:CS),VLOOKUP(CR209,'Jan-2026 rates'!$E:$F,2,0)))</f>
        <v>0</v>
      </c>
      <c r="DF209" s="409"/>
      <c r="DG209" s="398">
        <f>IF(DF209=0,0,IF(LEN(CS209)=11,_xlfn.XLOOKUP(CS209,'Dispensed Ink Rates'!C:C,'Dispensed Ink Rates'!CS:CS),VLOOKUP(CS209,'Jan-2026 rates'!$E:$F,2,0)))</f>
        <v>0</v>
      </c>
      <c r="DH209" s="409"/>
      <c r="DI209" s="398">
        <f>IF(DH209=0,0,IF(LEN(CT209)=11,_xlfn.XLOOKUP(CT209,'Dispensed Ink Rates'!C:C,'Dispensed Ink Rates'!CS:CS),VLOOKUP(CT209,'Jan-2026 rates'!$E:$F,2,0)))</f>
        <v>0</v>
      </c>
      <c r="DJ209" s="409"/>
      <c r="DK209" s="398">
        <f>IF(DJ209=0,0,IF(LEN(CU209)=11,_xlfn.XLOOKUP(CU209,'Dispensed Ink Rates'!C:C,'Dispensed Ink Rates'!CS:CS),VLOOKUP(CU209,'Jan-2026 rates'!$E:$F,2,0)))</f>
        <v>0</v>
      </c>
      <c r="DL209" s="409" t="s">
        <v>1443</v>
      </c>
      <c r="DM209" s="409">
        <v>28</v>
      </c>
      <c r="DN209" s="411">
        <f t="shared" si="165"/>
        <v>0</v>
      </c>
      <c r="DO209" s="411">
        <f t="shared" si="166"/>
        <v>17.212162162162159</v>
      </c>
      <c r="DP209" s="410">
        <f t="shared" si="167"/>
        <v>0</v>
      </c>
      <c r="DQ209" s="405" t="s">
        <v>857</v>
      </c>
      <c r="DR209" s="409"/>
      <c r="DS209" s="420" t="str">
        <f t="shared" si="133"/>
        <v>FLINTSL - RED</v>
      </c>
      <c r="DT209" s="409"/>
      <c r="DU209" s="411">
        <f>IF(DT209=0,0,IF($LB209=70%,VLOOKUP($DS209,'Jan-2026 rates'!$L:$R,4,0),IF($LB209=65%,VLOOKUP($DS209,'Jan-2026 rates'!$L:$R,4,0),IF($LB209=40%,VLOOKUP($DS209,'Jan-2026 rates'!$L:$R,5,0),IF($LB209=30%,VLOOKUP($DS209,'Jan-2026 rates'!$L:$R,6,0),IF($LB209=100%,VLOOKUP($DS209,'Jan-2026 rates'!$L:$R,7,0),IF($LB209=60%,VLOOKUP($DS209,'Jan-2026 rates'!$L:$S,8,0),IF($LB209=80%,VLOOKUP($DS209,'Jan-2026 rates'!L:T,9,0),0))))))))</f>
        <v>0</v>
      </c>
      <c r="DV209" s="412"/>
      <c r="DW209" s="409"/>
      <c r="DX209" s="411">
        <f>IF(DW209=0,0,IF($LB209=70%,VLOOKUP($DS209,'Jan-2026 rates'!$L:$R,4,0),IF($LB209=65%,VLOOKUP($DS209,'Jan-2026 rates'!$L:$R,4,0),IF($LB209=40%,VLOOKUP($DS209,'Jan-2026 rates'!$L:$R,5,0),IF($LB209=30%,VLOOKUP($DS209,'Jan-2026 rates'!$L:$R,6,0),IF($LB209=100%,VLOOKUP($DS209,'Jan-2026 rates'!$L:$R,7,0),IF($LB209=60%,VLOOKUP($DS209,'Jan-2026 rates'!$L:$S,8,0),IF($LB209=80%,VLOOKUP($DS209,'Jan-2026 rates'!L:T,9,0),0))))))))</f>
        <v>0</v>
      </c>
      <c r="DY209" s="413">
        <v>26515000014</v>
      </c>
      <c r="DZ209" s="413">
        <v>26519000013</v>
      </c>
      <c r="EA209" s="413">
        <v>26514000008</v>
      </c>
      <c r="EB209" s="412"/>
      <c r="EC209" s="412"/>
      <c r="ED209" s="412"/>
      <c r="EE209" s="412"/>
      <c r="EF209" s="412"/>
      <c r="EG209" s="409">
        <v>25</v>
      </c>
      <c r="EH209" s="398" t="e">
        <f>IF(EG209=0,0,IF(LEN(DY209)=11,_xlfn.XLOOKUP(DY209,'Dispensed Ink Rates'!C:C,'Dispensed Ink Rates'!CS:CS),VLOOKUP(DY209,'Jan-2026 rates'!$E:$F,2,0)))</f>
        <v>#N/A</v>
      </c>
      <c r="EI209" s="409">
        <v>3</v>
      </c>
      <c r="EJ209" s="398" t="e">
        <f>IF(EI209=0,0,IF(LEN(DZ209)=11,_xlfn.XLOOKUP(DZ209,'Dispensed Ink Rates'!C:C,'Dispensed Ink Rates'!CS:CS),VLOOKUP(DZ209,'Jan-2026 rates'!$E:$F,2,0)))</f>
        <v>#N/A</v>
      </c>
      <c r="EK209" s="409"/>
      <c r="EL209" s="398">
        <f>IF(EK209=0,0,IF(LEN(EA209)=11,_xlfn.XLOOKUP(EA209,'Dispensed Ink Rates'!C:C,'Dispensed Ink Rates'!CS:CS),VLOOKUP(EA209,'Jan-2026 rates'!$E:$F,2,0)))</f>
        <v>0</v>
      </c>
      <c r="EM209" s="409"/>
      <c r="EN209" s="398">
        <f>IF(EM209=0,0,IF(LEN(EB209)=11,_xlfn.XLOOKUP(EB209,'Dispensed Ink Rates'!C:C,'Dispensed Ink Rates'!CS:CS),VLOOKUP(EB209,'Jan-2026 rates'!$E:$F,2,0)))</f>
        <v>0</v>
      </c>
      <c r="EO209" s="409"/>
      <c r="EP209" s="398">
        <f>IF(EO209=0,0,IF(LEN(EC209)=11,_xlfn.XLOOKUP(EC209,'Dispensed Ink Rates'!C:C,'Dispensed Ink Rates'!CS:CS),VLOOKUP(EC209,'Jan-2026 rates'!$E:$F,2,0)))</f>
        <v>0</v>
      </c>
      <c r="EQ209" s="409"/>
      <c r="ER209" s="398">
        <f>IF(EQ209=0,0,IF(LEN(ED209)=11,_xlfn.XLOOKUP(ED209,'Dispensed Ink Rates'!C:C,'Dispensed Ink Rates'!CS:CS),VLOOKUP(ED209,'Jan-2026 rates'!$E:$F,2,0)))</f>
        <v>0</v>
      </c>
      <c r="ES209" s="409"/>
      <c r="ET209" s="398">
        <f>IF(ES209=0,0,IF(LEN(EE209)=11,_xlfn.XLOOKUP(EE209,'Dispensed Ink Rates'!C:C,'Dispensed Ink Rates'!CS:CS),VLOOKUP(EE209,'Jan-2026 rates'!$E:$F,2,0)))</f>
        <v>0</v>
      </c>
      <c r="EU209" s="409"/>
      <c r="EV209" s="398">
        <f>IF(EU209=0,0,IF(LEN(EF209)=11,_xlfn.XLOOKUP(EF209,'Dispensed Ink Rates'!C:C,'Dispensed Ink Rates'!CS:CS),VLOOKUP(EF209,'Jan-2026 rates'!$E:$F,2,0)))</f>
        <v>0</v>
      </c>
      <c r="EW209" s="409" t="s">
        <v>1443</v>
      </c>
      <c r="EX209" s="409">
        <v>22</v>
      </c>
      <c r="EY209" s="411">
        <f t="shared" si="168"/>
        <v>0</v>
      </c>
      <c r="EZ209" s="411">
        <f t="shared" si="169"/>
        <v>13.912162162162161</v>
      </c>
      <c r="FA209" s="410">
        <f t="shared" si="170"/>
        <v>0</v>
      </c>
      <c r="FB209" s="405" t="s">
        <v>829</v>
      </c>
      <c r="FC209" s="409"/>
      <c r="FD209" s="420" t="str">
        <f t="shared" si="134"/>
        <v>FLINTSL - MEDIUM</v>
      </c>
      <c r="FE209" s="409"/>
      <c r="FF209" s="411">
        <f>IF(FE209=0,0,IF($LB209=70%,VLOOKUP($FD209,'Jan-2026 rates'!$L:$R,4,0),IF($LB209=65%,VLOOKUP($FD209,'Jan-2026 rates'!$L:$R,4,0),IF($LB209=40%,VLOOKUP($FD209,'Jan-2026 rates'!$L:$R,5,0),IF($LB209=30%,VLOOKUP($FD209,'Jan-2026 rates'!$L:$R,6,0),IF($LB209=100%,VLOOKUP($FD209,'Jan-2026 rates'!$L:$R,7,0),IF($LB209=60%,VLOOKUP($FD209,'Jan-2026 rates'!$L:$S,8,0),IF($LB209=80%,VLOOKUP($FD209,'Jan-2026 rates'!L:T,9,0),0))))))))</f>
        <v>0</v>
      </c>
      <c r="FG209" s="412"/>
      <c r="FH209" s="409"/>
      <c r="FI209" s="411">
        <f>IF(FH209=0,0,IF($LB209=70%,VLOOKUP($FD209,'Jan-2026 rates'!$L:$R,4,0),IF($LB209=65%,VLOOKUP($FD209,'Jan-2026 rates'!$L:$R,4,0),IF($LB209=40%,VLOOKUP($FD209,'Jan-2026 rates'!$L:$R,5,0),IF($LB209=30%,VLOOKUP($FD209,'Jan-2026 rates'!$L:$R,6,0),IF($LB209=100%,VLOOKUP($FD209,'Jan-2026 rates'!$L:$R,7,0),IF($LB209=60%,VLOOKUP($FD209,'Jan-2026 rates'!$L:$S,8,0),IF($LB209=80%,VLOOKUP($FD209,'Jan-2026 rates'!L:T,9,0),0))))))))</f>
        <v>0</v>
      </c>
      <c r="FJ209" s="413">
        <v>26515000008</v>
      </c>
      <c r="FK209" s="413">
        <v>26515000018</v>
      </c>
      <c r="FL209" s="413">
        <v>26515000024</v>
      </c>
      <c r="FM209" s="412">
        <v>26515000027</v>
      </c>
      <c r="FN209" s="412">
        <v>26514000012</v>
      </c>
      <c r="FO209" s="412"/>
      <c r="FP209" s="412"/>
      <c r="FQ209" s="412"/>
      <c r="FR209" s="409">
        <v>130</v>
      </c>
      <c r="FS209" s="398" t="e">
        <f>IF(FR209=0,0,IF(LEN(FJ209)=11,_xlfn.XLOOKUP(FJ209,'Dispensed Ink Rates'!C:C,'Dispensed Ink Rates'!CS:CS),VLOOKUP(FJ209,'Jan-2026 rates'!$E:$F,2,0)))</f>
        <v>#N/A</v>
      </c>
      <c r="FT209" s="409">
        <v>130</v>
      </c>
      <c r="FU209" s="398" t="e">
        <f>IF(FT209=0,0,IF(LEN(FK209)=11,_xlfn.XLOOKUP(FK209,'Dispensed Ink Rates'!C:C,'Dispensed Ink Rates'!CS:CS),VLOOKUP(FK209,'Jan-2026 rates'!$E:$F,2,0)))</f>
        <v>#N/A</v>
      </c>
      <c r="FV209" s="409">
        <v>60</v>
      </c>
      <c r="FW209" s="398" t="e">
        <f>IF(FV209=0,0,IF(LEN(FL209)=11,_xlfn.XLOOKUP(FL209,'Dispensed Ink Rates'!C:C,'Dispensed Ink Rates'!CS:CS),VLOOKUP(FL209,'Jan-2026 rates'!$E:$F,2,0)))</f>
        <v>#N/A</v>
      </c>
      <c r="FX209" s="409">
        <v>20</v>
      </c>
      <c r="FY209" s="398" t="e">
        <f>IF(FX209=0,0,IF(LEN(FM209)=11,_xlfn.XLOOKUP(FM209,'Dispensed Ink Rates'!C:C,'Dispensed Ink Rates'!CS:CS),VLOOKUP(FM209,'Jan-2026 rates'!$E:$F,2,0)))</f>
        <v>#N/A</v>
      </c>
      <c r="FZ209" s="409">
        <v>40</v>
      </c>
      <c r="GA209" s="398" t="e">
        <f>IF(FZ209=0,0,IF(LEN(FN209)=11,_xlfn.XLOOKUP(FN209,'Dispensed Ink Rates'!C:C,'Dispensed Ink Rates'!CS:CS),VLOOKUP(FN209,'Jan-2026 rates'!$E:$F,2,0)))</f>
        <v>#N/A</v>
      </c>
      <c r="GB209" s="409"/>
      <c r="GC209" s="398">
        <f>IF(GB209=0,0,IF(LEN(FO209)=11,_xlfn.XLOOKUP(FO209,'Dispensed Ink Rates'!C:C,'Dispensed Ink Rates'!CS:CS),VLOOKUP(FO209,'Jan-2026 rates'!$E:$F,2,0)))</f>
        <v>0</v>
      </c>
      <c r="GD209" s="409"/>
      <c r="GE209" s="398">
        <f>IF(GD209=0,0,IF(LEN(FP209)=11,_xlfn.XLOOKUP(FP209,'Dispensed Ink Rates'!C:C,'Dispensed Ink Rates'!CS:CS),VLOOKUP(FP209,'Jan-2026 rates'!$E:$F,2,0)))</f>
        <v>0</v>
      </c>
      <c r="GF209" s="409"/>
      <c r="GG209" s="398">
        <f>IF(GF209=0,0,IF(LEN(FQ209)=11,_xlfn.XLOOKUP(FQ209,'Dispensed Ink Rates'!C:C,'Dispensed Ink Rates'!CS:CS),VLOOKUP(FQ209,'Jan-2026 rates'!$E:$F,2,0)))</f>
        <v>0</v>
      </c>
      <c r="GH209" s="409" t="s">
        <v>1443</v>
      </c>
      <c r="GI209" s="409">
        <v>20</v>
      </c>
      <c r="GJ209" s="411">
        <f t="shared" si="171"/>
        <v>0</v>
      </c>
      <c r="GK209" s="411">
        <f t="shared" si="172"/>
        <v>367.91216216216219</v>
      </c>
      <c r="GL209" s="410">
        <f t="shared" si="173"/>
        <v>0</v>
      </c>
      <c r="GM209" s="405" t="s">
        <v>856</v>
      </c>
      <c r="GN209" s="409"/>
      <c r="GO209" s="420" t="str">
        <f t="shared" si="135"/>
        <v>FLINTSL - WHITE</v>
      </c>
      <c r="GP209" s="409"/>
      <c r="GQ209" s="411">
        <f>IF(GP209=0,0,IF($LB209=70%,VLOOKUP($GO209,'Jan-2026 rates'!$L:$R,4,0),IF($LB209=65%,VLOOKUP($GO209,'Jan-2026 rates'!$L:$R,4,0),IF($LB209=40%,VLOOKUP($GO209,'Jan-2026 rates'!$L:$R,5,0),IF($LB209=30%,VLOOKUP($GO209,'Jan-2026 rates'!$L:$R,6,0),IF($LB209=100%,VLOOKUP($GO209,'Jan-2026 rates'!$L:$R,7,0),IF($LB209=60%,VLOOKUP($GO209,'Jan-2026 rates'!$L:$S,8,0),IF($LB209=80%,VLOOKUP($GO209,'Jan-2026 rates'!L:T,9,0),0))))))))</f>
        <v>0</v>
      </c>
      <c r="GR209" s="412"/>
      <c r="GS209" s="409"/>
      <c r="GT209" s="411">
        <f>IF(GS209=0,0,IF($LB209=70%,VLOOKUP($GO209,'Jan-2026 rates'!$L:$R,4,0),IF($LB209=65%,VLOOKUP($GO209,'Jan-2026 rates'!$L:$R,4,0),IF($LB209=40%,VLOOKUP($GO209,'Jan-2026 rates'!$L:$R,5,0),IF($LB209=30%,VLOOKUP($GO209,'Jan-2026 rates'!$L:$R,6,0),IF($LB209=100%,VLOOKUP($GO209,'Jan-2026 rates'!$L:$R,7,0),IF($LB209=60%,VLOOKUP($GO209,'Jan-2026 rates'!$L:$S,8,0),IF($LB209=80%,VLOOKUP($GO209,'Jan-2026 rates'!L:T,9,0),0))))))))</f>
        <v>0</v>
      </c>
      <c r="GU209" s="413" t="s">
        <v>484</v>
      </c>
      <c r="GV209" s="413"/>
      <c r="GW209" s="412"/>
      <c r="GX209" s="412"/>
      <c r="GY209" s="412"/>
      <c r="GZ209" s="412"/>
      <c r="HA209" s="412"/>
      <c r="HB209" s="412"/>
      <c r="HC209" s="409">
        <f>120+140+100</f>
        <v>360</v>
      </c>
      <c r="HD209" s="398">
        <f>IF(HC209=0,0,IF(LEN(GU209)=11,_xlfn.XLOOKUP(GU209,'Dispensed Ink Rates'!C:C,'Dispensed Ink Rates'!CS:CS),VLOOKUP(GU209,'Jan-2026 rates'!$E:$F,2,0)))</f>
        <v>0</v>
      </c>
      <c r="HE209" s="409"/>
      <c r="HF209" s="398">
        <f>IF(HE209=0,0,IF(LEN(GV209)=11,_xlfn.XLOOKUP(GV209,'Dispensed Ink Rates'!C:C,'Dispensed Ink Rates'!CS:CS),VLOOKUP(GV209,'Jan-2026 rates'!$E:$F,2,0)))</f>
        <v>0</v>
      </c>
      <c r="HG209" s="409"/>
      <c r="HH209" s="398">
        <f>IF(HG209=0,0,IF(LEN(GW209)=11,_xlfn.XLOOKUP(GW209,'Dispensed Ink Rates'!C:C,'Dispensed Ink Rates'!CS:CS),VLOOKUP(GW209,'Jan-2026 rates'!$E:$F,2,0)))</f>
        <v>0</v>
      </c>
      <c r="HI209" s="409"/>
      <c r="HJ209" s="398">
        <f>IF(HI209=0,0,IF(LEN(GX209)=11,_xlfn.XLOOKUP(GX209,'Dispensed Ink Rates'!C:C,'Dispensed Ink Rates'!CS:CS),VLOOKUP(GX209,'Jan-2026 rates'!$E:$F,2,0)))</f>
        <v>0</v>
      </c>
      <c r="HK209" s="409"/>
      <c r="HL209" s="398">
        <f>IF(HK209=0,0,IF(LEN(GY209)=11,_xlfn.XLOOKUP(GY209,'Dispensed Ink Rates'!C:C,'Dispensed Ink Rates'!CS:CS),VLOOKUP(GY209,'Jan-2026 rates'!$E:$F,2,0)))</f>
        <v>0</v>
      </c>
      <c r="HM209" s="409"/>
      <c r="HN209" s="398">
        <f>IF(HM209=0,0,IF(LEN(GZ209)=11,_xlfn.XLOOKUP(GZ209,'Dispensed Ink Rates'!C:C,'Dispensed Ink Rates'!CS:CS),VLOOKUP(GZ209,'Jan-2026 rates'!$E:$F,2,0)))</f>
        <v>0</v>
      </c>
      <c r="HO209" s="409"/>
      <c r="HP209" s="398">
        <f>IF(HO209=0,0,IF(LEN(HA209)=11,_xlfn.XLOOKUP(HA209,'Dispensed Ink Rates'!C:C,'Dispensed Ink Rates'!CS:CS),VLOOKUP(HA209,'Jan-2026 rates'!$E:$F,2,0)))</f>
        <v>0</v>
      </c>
      <c r="HQ209" s="409"/>
      <c r="HR209" s="398">
        <f>IF(HQ209=0,0,IF(LEN(HB209)=11,_xlfn.XLOOKUP(HB209,'Dispensed Ink Rates'!C:C,'Dispensed Ink Rates'!CS:CS),VLOOKUP(HB209,'Jan-2026 rates'!$E:$F,2,0)))</f>
        <v>0</v>
      </c>
      <c r="HS209" s="409" t="s">
        <v>1443</v>
      </c>
      <c r="HT209" s="409">
        <v>30</v>
      </c>
      <c r="HU209" s="411">
        <f t="shared" si="174"/>
        <v>0</v>
      </c>
      <c r="HV209" s="411">
        <f t="shared" si="175"/>
        <v>1042.0945945945946</v>
      </c>
      <c r="HW209" s="414">
        <f t="shared" si="176"/>
        <v>0</v>
      </c>
      <c r="HX209" s="405" t="s">
        <v>605</v>
      </c>
      <c r="HY209" s="409" t="s">
        <v>3804</v>
      </c>
      <c r="HZ209" s="420" t="str">
        <f t="shared" si="136"/>
        <v>ToyoLi - MATT</v>
      </c>
      <c r="IA209" s="409">
        <f>18+5</f>
        <v>23</v>
      </c>
      <c r="IB209" s="411">
        <f>IF(IA209=0,0,IF($LB209=70%,VLOOKUP($HZ209,'Jan-2026 rates'!$L:$R,4,0),IF($LB209=65%,VLOOKUP($HZ209,'Jan-2026 rates'!$L:$R,4,0),IF($LB209=40%,VLOOKUP($HZ209,'Jan-2026 rates'!$L:$R,5,0),IF($LB209=30%,VLOOKUP($HZ209,'Jan-2026 rates'!$L:$R,6,0),IF($LB209=100%,VLOOKUP($HZ209,'Jan-2026 rates'!$L:$R,7,0),IF($LB209=60%,VLOOKUP($HZ209,'Jan-2026 rates'!$L:$S,8,0),IF($LB209=80%,VLOOKUP($HZ209,'Jan-2026 rates'!L:T,9,0),0))))))))</f>
        <v>0</v>
      </c>
      <c r="IC209" s="412"/>
      <c r="ID209" s="409"/>
      <c r="IE209" s="411">
        <f>IF(ID209=0,0,IF($LB209=70%,VLOOKUP($HZ209,'Jan-2026 rates'!$L:$R,4,0),IF($LB209=65%,VLOOKUP($HZ209,'Jan-2026 rates'!$L:$R,4,0),IF($LB209=40%,VLOOKUP($HZ209,'Jan-2026 rates'!$L:$R,5,0),IF($LB209=30%,VLOOKUP($HZ209,'Jan-2026 rates'!$L:$R,6,0),IF($LB209=100%,VLOOKUP($HZ209,'Jan-2026 rates'!$L:$R,7,0),IF($LB209=60%,VLOOKUP($HZ209,'Jan-2026 rates'!$L:$S,8,0),IF($LB209=80%,VLOOKUP($HZ209,'Jan-2026 rates'!L:T,9,0),0))))))))</f>
        <v>0</v>
      </c>
      <c r="IF209" s="412">
        <v>55</v>
      </c>
      <c r="IG209" s="413" t="s">
        <v>1902</v>
      </c>
      <c r="IH209" s="412"/>
      <c r="II209" s="412"/>
      <c r="IJ209" s="412"/>
      <c r="IK209" s="412"/>
      <c r="IL209" s="412"/>
      <c r="IM209" s="412"/>
      <c r="IN209" s="409">
        <v>340</v>
      </c>
      <c r="IO209" s="398">
        <f>IF(IN209=0,0,IF(LEN(IF209)=11,_xlfn.XLOOKUP(IF209,'Dispensed Ink Rates'!C:C,'Dispensed Ink Rates'!CS:CS),VLOOKUP(IF209,'Jan-2026 rates'!$E:$F,2,0)))</f>
        <v>0</v>
      </c>
      <c r="IP209" s="409">
        <v>87</v>
      </c>
      <c r="IQ209" s="398">
        <f>IF(IP209=0,0,IF(LEN(IG209)=11,_xlfn.XLOOKUP(IG209,'Dispensed Ink Rates'!C:C,'Dispensed Ink Rates'!CS:CS),VLOOKUP(IG209,'Jan-2026 rates'!$E:$F,2,0)))</f>
        <v>0</v>
      </c>
      <c r="IR209" s="409"/>
      <c r="IS209" s="398">
        <f>IF(IR209=0,0,IF(LEN(IH209)=11,_xlfn.XLOOKUP(IH209,'Dispensed Ink Rates'!C:C,'Dispensed Ink Rates'!CS:CS),VLOOKUP(IH209,'Jan-2026 rates'!$E:$F,2,0)))</f>
        <v>0</v>
      </c>
      <c r="IT209" s="409"/>
      <c r="IU209" s="398">
        <f>IF(IT209=0,0,IF(LEN(II209)=11,_xlfn.XLOOKUP(II209,'Dispensed Ink Rates'!C:C,'Dispensed Ink Rates'!CS:CS),VLOOKUP(II209,'Jan-2026 rates'!$E:$F,2,0)))</f>
        <v>0</v>
      </c>
      <c r="IV209" s="409"/>
      <c r="IW209" s="398">
        <f>IF(IV209=0,0,IF(LEN(IJ209)=11,_xlfn.XLOOKUP(IJ209,'Dispensed Ink Rates'!C:C,'Dispensed Ink Rates'!CS:CS),VLOOKUP(IJ209,'Jan-2026 rates'!$E:$F,2,0)))</f>
        <v>0</v>
      </c>
      <c r="IX209" s="409"/>
      <c r="IY209" s="398">
        <f>IF(IX209=0,0,IF(LEN(IK209)=11,_xlfn.XLOOKUP(IK209,'Dispensed Ink Rates'!C:C,'Dispensed Ink Rates'!CS:CS),VLOOKUP(IK209,'Jan-2026 rates'!$E:$F,2,0)))</f>
        <v>0</v>
      </c>
      <c r="IZ209" s="409"/>
      <c r="JA209" s="398">
        <f>IF(IZ209=0,0,IF(LEN(IL209)=11,_xlfn.XLOOKUP(IL209,'Dispensed Ink Rates'!C:C,'Dispensed Ink Rates'!CS:CS),VLOOKUP(IL209,'Jan-2026 rates'!$E:$F,2,0)))</f>
        <v>0</v>
      </c>
      <c r="JB209" s="409"/>
      <c r="JC209" s="398">
        <f>IF(JB209=0,0,IF(LEN(IM209)=11,_xlfn.XLOOKUP(IM209,'Dispensed Ink Rates'!C:C,'Dispensed Ink Rates'!CS:CS),VLOOKUP(IM209,'Jan-2026 rates'!$E:$F,2,0)))</f>
        <v>0</v>
      </c>
      <c r="JD209" s="409" t="s">
        <v>1881</v>
      </c>
      <c r="JE209" s="409">
        <v>30</v>
      </c>
      <c r="JF209" s="411">
        <f t="shared" si="177"/>
        <v>0</v>
      </c>
      <c r="JG209" s="411">
        <f t="shared" si="178"/>
        <v>776.04729729729729</v>
      </c>
      <c r="JH209" s="410">
        <f t="shared" si="179"/>
        <v>0</v>
      </c>
      <c r="JI209" s="405"/>
      <c r="JJ209" s="409"/>
      <c r="JK209" s="420" t="str">
        <f t="shared" si="137"/>
        <v xml:space="preserve"> - </v>
      </c>
      <c r="JL209" s="409"/>
      <c r="JM209" s="411">
        <f>IF(JL209=0,0,IF($LB209=70%,VLOOKUP($JK209,'Jan-2026 rates'!$L:$R,4,0),IF($LB209=65%,VLOOKUP($JK209,'Jan-2026 rates'!$L:$R,4,0),IF($LB209=40%,VLOOKUP($JK209,'Jan-2026 rates'!$L:$R,5,0),IF($LB209=30%,VLOOKUP($JK209,'Jan-2026 rates'!$L:$R,6,0),IF($LB209=100%,VLOOKUP($JK209,'Jan-2026 rates'!$L:$R,7,0),IF($LB209=60%,VLOOKUP($JK209,'Jan-2026 rates'!$L:$S,8,0),IF($LB209=80%,VLOOKUP($JK209,'Jan-2026 rates'!L:T,9,0),0))))))))</f>
        <v>0</v>
      </c>
      <c r="JN209" s="412"/>
      <c r="JO209" s="409"/>
      <c r="JP209" s="411">
        <f>IF(JO209=0,0,IF($LB209=70%,VLOOKUP($JK209,'Jan-2026 rates'!$L:$R,4,0),IF($LB209=65%,VLOOKUP($JK209,'Jan-2026 rates'!$L:$R,4,0),IF($LB209=40%,VLOOKUP($JK209,'Jan-2026 rates'!$L:$R,5,0),IF($LB209=30%,VLOOKUP($JK209,'Jan-2026 rates'!$L:$R,6,0),IF($LB209=100%,VLOOKUP($JK209,'Jan-2026 rates'!$L:$R,7,0),IF($LB209=60%,VLOOKUP($JK209,'Jan-2026 rates'!$L:$S,8,0),IF($LB209=80%,VLOOKUP($JK209,'Jan-2026 rates'!L:T,9,0),0))))))))</f>
        <v>0</v>
      </c>
      <c r="JQ209" s="413"/>
      <c r="JR209" s="412"/>
      <c r="JS209" s="413"/>
      <c r="JT209" s="413"/>
      <c r="JU209" s="412"/>
      <c r="JV209" s="412"/>
      <c r="JW209" s="412"/>
      <c r="JX209" s="412"/>
      <c r="JY209" s="409"/>
      <c r="JZ209" s="398">
        <f>IF(JY209=0,0,IF(LEN(JQ209)=11,_xlfn.XLOOKUP(JQ209,'Dispensed Ink Rates'!C:C,'Dispensed Ink Rates'!CS:CS),VLOOKUP(JQ209,'Jan-2026 rates'!$E:$F,2,0)))</f>
        <v>0</v>
      </c>
      <c r="KA209" s="409"/>
      <c r="KB209" s="398">
        <f>IF(KA209=0,0,IF(LEN(JR209)=11,_xlfn.XLOOKUP(JR209,'Dispensed Ink Rates'!C:C,'Dispensed Ink Rates'!CS:CS),VLOOKUP(JR209,'Jan-2026 rates'!$E:$F,2,0)))</f>
        <v>0</v>
      </c>
      <c r="KC209" s="409"/>
      <c r="KD209" s="398">
        <f>IF(KC209=0,0,IF(LEN(JS209)=11,_xlfn.XLOOKUP(JS209,'Dispensed Ink Rates'!C:C,'Dispensed Ink Rates'!CS:CS),VLOOKUP(JS209,'Jan-2026 rates'!$E:$F,2,0)))</f>
        <v>0</v>
      </c>
      <c r="KE209" s="409"/>
      <c r="KF209" s="398">
        <f>IF(KE209=0,0,IF(LEN(JT209)=11,_xlfn.XLOOKUP(JT209,'Dispensed Ink Rates'!C:C,'Dispensed Ink Rates'!CS:CS),VLOOKUP(JT209,'Jan-2026 rates'!$E:$F,2,0)))</f>
        <v>0</v>
      </c>
      <c r="KG209" s="409"/>
      <c r="KH209" s="398">
        <f>IF(KG209=0,0,IF(LEN(JU209)=11,_xlfn.XLOOKUP(JU209,'Dispensed Ink Rates'!C:C,'Dispensed Ink Rates'!CS:CS),VLOOKUP(JU209,'Jan-2026 rates'!$E:$F,2,0)))</f>
        <v>0</v>
      </c>
      <c r="KI209" s="409"/>
      <c r="KJ209" s="398">
        <f>IF(KI209=0,0,IF(LEN(JV209)=11,_xlfn.XLOOKUP(JV209,'Dispensed Ink Rates'!C:C,'Dispensed Ink Rates'!CS:CS),VLOOKUP(JV209,'Jan-2026 rates'!$E:$F,2,0)))</f>
        <v>0</v>
      </c>
      <c r="KK209" s="409"/>
      <c r="KL209" s="398">
        <f>IF(KK209=0,0,IF(LEN(JW209)=11,_xlfn.XLOOKUP(JW209,'Dispensed Ink Rates'!C:C,'Dispensed Ink Rates'!CS:CS),VLOOKUP(JW209,'Jan-2026 rates'!$E:$F,2,0)))</f>
        <v>0</v>
      </c>
      <c r="KM209" s="428"/>
      <c r="KN209" s="398">
        <f>IF(KM209=0,0,IF(LEN(JX209)=11,_xlfn.XLOOKUP(JX209,'Dispensed Ink Rates'!C:C,'Dispensed Ink Rates'!CS:CS),VLOOKUP(JX209,'Jan-2026 rates'!$E:$F,2,0)))</f>
        <v>0</v>
      </c>
      <c r="KO209" s="409"/>
      <c r="KP209" s="409"/>
      <c r="KQ209" s="411">
        <f t="shared" si="180"/>
        <v>0</v>
      </c>
      <c r="KR209" s="411">
        <f t="shared" si="181"/>
        <v>0</v>
      </c>
      <c r="KS209" s="410">
        <f t="shared" si="182"/>
        <v>0</v>
      </c>
      <c r="KT209" s="409">
        <v>15</v>
      </c>
      <c r="KU209" s="409">
        <v>5</v>
      </c>
      <c r="KV209" s="409">
        <v>2</v>
      </c>
      <c r="KW209" s="409">
        <v>2</v>
      </c>
      <c r="KX209" s="409">
        <v>2</v>
      </c>
      <c r="KY209" s="409">
        <f>60+60+60</f>
        <v>180</v>
      </c>
      <c r="KZ209" s="409">
        <v>90</v>
      </c>
      <c r="LA209" s="409">
        <v>0</v>
      </c>
      <c r="LB209" s="415">
        <v>0.8</v>
      </c>
      <c r="LC209" s="415">
        <v>0.2</v>
      </c>
      <c r="LD209" s="415"/>
      <c r="LE209" s="415"/>
      <c r="LF209" s="415"/>
      <c r="LG209" s="409">
        <v>0</v>
      </c>
      <c r="LH209" s="409">
        <f>276+270+480+120+5+5+5+5+5</f>
        <v>1171</v>
      </c>
      <c r="LI209" s="409">
        <v>0</v>
      </c>
      <c r="LJ209" s="409">
        <v>0</v>
      </c>
      <c r="LK209" s="416">
        <f t="shared" si="138"/>
        <v>1171</v>
      </c>
      <c r="LL209" s="416">
        <f t="shared" si="139"/>
        <v>1171</v>
      </c>
      <c r="LM209" s="417">
        <f t="shared" si="140"/>
        <v>936.80000000000007</v>
      </c>
      <c r="LN209" s="417">
        <f>VLOOKUP($LM$8,'Jan-2026 rates'!$H:$I,2,0)</f>
        <v>0</v>
      </c>
      <c r="LO209" s="417">
        <f t="shared" si="141"/>
        <v>234.20000000000002</v>
      </c>
      <c r="LP209" s="417">
        <f>VLOOKUP($LO$8,'Jan-2026 rates'!$H:$I,2,0)</f>
        <v>0</v>
      </c>
      <c r="LQ209" s="417">
        <f t="shared" si="142"/>
        <v>0</v>
      </c>
      <c r="LR209" s="417">
        <f>VLOOKUP($LQ$8,'Jan-2026 rates'!$H:$I,2,0)</f>
        <v>0</v>
      </c>
      <c r="LS209" s="417">
        <f t="shared" si="143"/>
        <v>0</v>
      </c>
      <c r="LT209" s="417">
        <f>VLOOKUP($LS$8,'Jan-2026 rates'!$H:$I,2,0)</f>
        <v>0</v>
      </c>
      <c r="LU209" s="417">
        <f t="shared" si="144"/>
        <v>0</v>
      </c>
      <c r="LV209" s="417">
        <f>VLOOKUP($LU$8,'Jan-2026 rates'!$H:$I,2,0)</f>
        <v>0</v>
      </c>
      <c r="LW209" s="417">
        <f t="shared" si="145"/>
        <v>0</v>
      </c>
      <c r="LX209" s="417">
        <f t="shared" si="146"/>
        <v>0</v>
      </c>
      <c r="LY209" s="418">
        <f t="shared" si="147"/>
        <v>0</v>
      </c>
      <c r="LZ209" s="417"/>
      <c r="MA209" s="435">
        <f t="shared" si="148"/>
        <v>1250.5</v>
      </c>
      <c r="MB209" s="282">
        <f t="shared" si="149"/>
        <v>2293.5</v>
      </c>
      <c r="MC209" s="283">
        <v>102</v>
      </c>
      <c r="MD209" s="284" t="str">
        <f t="shared" si="150"/>
        <v>FLINTSLFLINTSLFLINTSLFLINTSLFLINTSLFLINTSLToyoLi</v>
      </c>
      <c r="ME209" s="293" t="str">
        <f t="shared" si="151"/>
        <v>+</v>
      </c>
      <c r="MF209" s="293" t="str">
        <f t="shared" si="152"/>
        <v>+</v>
      </c>
      <c r="MG209" s="293" t="str">
        <f t="shared" si="153"/>
        <v>+</v>
      </c>
      <c r="MH209" s="293" t="str">
        <f t="shared" si="154"/>
        <v>+</v>
      </c>
      <c r="MI209" s="293" t="str">
        <f t="shared" si="155"/>
        <v>+</v>
      </c>
      <c r="MJ209" s="293" t="str">
        <f t="shared" si="156"/>
        <v>+</v>
      </c>
      <c r="MK209" s="293" t="str">
        <f t="shared" si="157"/>
        <v>+</v>
      </c>
      <c r="ML209" s="293" t="str">
        <f t="shared" si="158"/>
        <v>NIL</v>
      </c>
      <c r="MM209" s="3" t="b">
        <f t="array" ref="MM209">OR(ME209:ML209="-")</f>
        <v>0</v>
      </c>
      <c r="MN209" s="285"/>
      <c r="MO209" s="401"/>
      <c r="MP209" s="286"/>
      <c r="MQ209" s="286"/>
      <c r="MR209" s="402"/>
      <c r="MS209" s="400"/>
      <c r="NH209" s="422"/>
      <c r="NJ209" s="421"/>
    </row>
    <row r="210" spans="1:374" s="1" customFormat="1" ht="16.5">
      <c r="A210" s="403">
        <v>46037</v>
      </c>
      <c r="B210" s="404" t="s">
        <v>1015</v>
      </c>
      <c r="C210" s="405" t="s">
        <v>5140</v>
      </c>
      <c r="D210" s="406">
        <v>103</v>
      </c>
      <c r="E210" s="404">
        <v>1134</v>
      </c>
      <c r="F210" s="407">
        <v>63500</v>
      </c>
      <c r="G210" s="407" t="s">
        <v>1019</v>
      </c>
      <c r="H210" s="408" t="s">
        <v>1017</v>
      </c>
      <c r="I210" s="409">
        <v>1.2</v>
      </c>
      <c r="J210" s="405" t="s">
        <v>543</v>
      </c>
      <c r="K210" s="404" t="s">
        <v>3805</v>
      </c>
      <c r="L210" s="419" t="str">
        <f t="shared" si="131"/>
        <v>FLINTSL - BLACK</v>
      </c>
      <c r="M210" s="404">
        <v>25</v>
      </c>
      <c r="N210" s="410">
        <f>IF(M210=0,0,IF($LB210=70%,VLOOKUP($L210,'Jan-2026 rates'!$L:$R,4,0),IF($LB210=65%,VLOOKUP($L210,'Jan-2026 rates'!$L:$R,4,0),IF($LB210=40%,VLOOKUP($L210,'Jan-2026 rates'!$L:$R,5,0),IF($LB210=30%,VLOOKUP($L210,'Jan-2026 rates'!$L:$R,6,0),IF($LB210=100%,VLOOKUP($L210,'Jan-2026 rates'!$L:$R,7,0),IF($LB210=60%,VLOOKUP($L210,'Jan-2026 rates'!$L:$S,8,0),IF($LB210=80%,VLOOKUP($L210,'Jan-2026 rates'!L:T,9,0),0))))))))</f>
        <v>0</v>
      </c>
      <c r="O210" s="406"/>
      <c r="P210" s="404"/>
      <c r="Q210" s="410">
        <f>IF(P210=0,0,IF($LB210=70%,VLOOKUP($L210,'Jan-2026 rates'!$L:$R,4,0),IF($LB210=65%,VLOOKUP($L210,'Jan-2026 rates'!$L:$R,4,0),IF($LB210=40%,VLOOKUP($L210,'Jan-2026 rates'!$L:$R,5,0),IF($LB210=30%,VLOOKUP($L210,'Jan-2026 rates'!$L:$R,6,0),IF($LB210=100%,VLOOKUP($L210,'Jan-2026 rates'!$L:$R,7,0),IF($LB210=60%,VLOOKUP($L210,'Jan-2026 rates'!$L:$S,8,0),IF($LB210=80%,VLOOKUP($L210,'Jan-2026 rates'!L:T,9,0),0))))))))</f>
        <v>0</v>
      </c>
      <c r="R210" s="406">
        <v>26517000042</v>
      </c>
      <c r="S210" s="406"/>
      <c r="T210" s="406"/>
      <c r="U210" s="406"/>
      <c r="V210" s="406"/>
      <c r="W210" s="406"/>
      <c r="X210" s="406"/>
      <c r="Y210" s="406"/>
      <c r="Z210" s="404">
        <f>4+2</f>
        <v>6</v>
      </c>
      <c r="AA210" s="398" t="e">
        <f>IF(Z210=0,0,IF(LEN(R210)=11,_xlfn.XLOOKUP(R210,'Dispensed Ink Rates'!C:C,'Dispensed Ink Rates'!CS:CS),VLOOKUP(R210,'Jan-2026 rates'!$E:$F,2,0)))</f>
        <v>#N/A</v>
      </c>
      <c r="AB210" s="404"/>
      <c r="AC210" s="398">
        <f>IF(AB210=0,0,IF(LEN(S210)=11,_xlfn.XLOOKUP(S210,'Dispensed Ink Rates'!C:C,'Dispensed Ink Rates'!CS:CS),VLOOKUP(S210,'Jan-2026 rates'!$E:$F,2,0)))</f>
        <v>0</v>
      </c>
      <c r="AD210" s="404"/>
      <c r="AE210" s="398">
        <f>IF(AD210=0,0,IF(LEN(T210)=11,_xlfn.XLOOKUP(T210,'Dispensed Ink Rates'!C:C,'Dispensed Ink Rates'!CS:CS),VLOOKUP(T210,'Jan-2026 rates'!$E:$F,2,0)))</f>
        <v>0</v>
      </c>
      <c r="AF210" s="404"/>
      <c r="AG210" s="398">
        <f>IF(AF210=0,0,IF(LEN(U210)=11,_xlfn.XLOOKUP(U210,'Dispensed Ink Rates'!C:C,'Dispensed Ink Rates'!CS:CS),VLOOKUP(U210,'Jan-2026 rates'!$E:$F,2,0)))</f>
        <v>0</v>
      </c>
      <c r="AH210" s="404"/>
      <c r="AI210" s="398">
        <f>IF(AH210=0,0,IF(LEN(V210)=11,_xlfn.XLOOKUP(V210,'Dispensed Ink Rates'!C:C,'Dispensed Ink Rates'!CS:CS),VLOOKUP(V210,'Jan-2026 rates'!$E:$F,2,0)))</f>
        <v>0</v>
      </c>
      <c r="AJ210" s="404"/>
      <c r="AK210" s="398">
        <f>IF(AJ210=0,0,IF(LEN(W210)=11,_xlfn.XLOOKUP(W210,'Dispensed Ink Rates'!C:C,'Dispensed Ink Rates'!CS:CS),VLOOKUP(W210,'Jan-2026 rates'!$E:$F,2,0)))</f>
        <v>0</v>
      </c>
      <c r="AL210" s="404"/>
      <c r="AM210" s="398">
        <f>IF(AL210=0,0,IF(LEN(X210)=11,_xlfn.XLOOKUP(X210,'Dispensed Ink Rates'!C:C,'Dispensed Ink Rates'!CS:CS),VLOOKUP(X210,'Jan-2026 rates'!$E:$F,2,0)))</f>
        <v>0</v>
      </c>
      <c r="AN210" s="404"/>
      <c r="AO210" s="398">
        <f>IF(AN210=0,0,IF(LEN(Y210)=11,_xlfn.XLOOKUP(Y210,'Dispensed Ink Rates'!C:C,'Dispensed Ink Rates'!CS:CS),VLOOKUP(Y210,'Jan-2026 rates'!$E:$F,2,0)))</f>
        <v>0</v>
      </c>
      <c r="AP210" s="409" t="s">
        <v>1443</v>
      </c>
      <c r="AQ210" s="409">
        <v>25</v>
      </c>
      <c r="AR210" s="410">
        <f t="shared" si="159"/>
        <v>0</v>
      </c>
      <c r="AS210" s="411">
        <f t="shared" si="160"/>
        <v>12.107784431137723</v>
      </c>
      <c r="AT210" s="410">
        <f t="shared" si="161"/>
        <v>0</v>
      </c>
      <c r="AU210" s="405" t="s">
        <v>857</v>
      </c>
      <c r="AV210" s="409" t="s">
        <v>3371</v>
      </c>
      <c r="AW210" s="420" t="str">
        <f t="shared" si="183"/>
        <v>FLINTSL - RED</v>
      </c>
      <c r="AX210" s="409">
        <v>22</v>
      </c>
      <c r="AY210" s="411">
        <f>IF(AX210=0,0,IF($LB210=70%,VLOOKUP($AW210,'Jan-2026 rates'!$L:$R,4,0),IF($LB210=65%,VLOOKUP($AW210,'Jan-2026 rates'!$L:$R,4,0),IF($LB210=40%,VLOOKUP($AW210,'Jan-2026 rates'!$L:$R,5,0),IF($LB210=30%,VLOOKUP($AW210,'Jan-2026 rates'!$L:$R,6,0),IF($LB210=100%,VLOOKUP($AW210,'Jan-2026 rates'!$L:$R,7,0),IF($LB210=60%,VLOOKUP($AW210,'Jan-2026 rates'!$L:$S,8,0),IF($LB210=80%,VLOOKUP($AW210,'Jan-2026 rates'!L:T,9,0),0))))))))</f>
        <v>0</v>
      </c>
      <c r="AZ210" s="412"/>
      <c r="BA210" s="409"/>
      <c r="BB210" s="411">
        <f>IF(BA210=0,0,IF($LB210=70%,VLOOKUP($AW210,'Jan-2026 rates'!$L:$R,4,0),IF($LB210=65%,VLOOKUP($AW210,'Jan-2026 rates'!$L:$R,4,0),IF($LB210=40%,VLOOKUP($AW210,'Jan-2026 rates'!$L:$R,5,0),IF($LB210=30%,VLOOKUP($AW210,'Jan-2026 rates'!$L:$R,6,0),IF($LB210=100%,VLOOKUP($AW210,'Jan-2026 rates'!$L:$R,7,0),IF($LB210=60%,VLOOKUP($AW210,'Jan-2026 rates'!$L:$S,8,0),IF($LB210=80%,VLOOKUP($AW210,'Jan-2026 rates'!L:T,9,0),0))))))))</f>
        <v>0</v>
      </c>
      <c r="BC210" s="413">
        <v>26516000012</v>
      </c>
      <c r="BD210" s="412">
        <v>26513000020</v>
      </c>
      <c r="BE210" s="412"/>
      <c r="BF210" s="413"/>
      <c r="BG210" s="412"/>
      <c r="BH210" s="412"/>
      <c r="BI210" s="412"/>
      <c r="BJ210" s="412"/>
      <c r="BK210" s="409">
        <v>6</v>
      </c>
      <c r="BL210" s="398" t="e">
        <f>IF(BK210=0,0,IF(LEN(BC210)=11,_xlfn.XLOOKUP(BC210,'Dispensed Ink Rates'!C:C,'Dispensed Ink Rates'!CS:CS),VLOOKUP(BC210,'Jan-2026 rates'!$E:$F,2,0)))</f>
        <v>#N/A</v>
      </c>
      <c r="BM210" s="409"/>
      <c r="BN210" s="398">
        <f>IF(BM210=0,0,IF(LEN(BD210)=11,_xlfn.XLOOKUP(BD210,'Dispensed Ink Rates'!C:C,'Dispensed Ink Rates'!CS:CS),VLOOKUP(BD210,'Jan-2026 rates'!$E:$F,2,0)))</f>
        <v>0</v>
      </c>
      <c r="BO210" s="409"/>
      <c r="BP210" s="398">
        <f>IF(BO210=0,0,IF(LEN(BE210)=11,_xlfn.XLOOKUP(BE210,'Dispensed Ink Rates'!C:C,'Dispensed Ink Rates'!CS:CS),VLOOKUP(BE210,'Jan-2026 rates'!$E:$F,2,0)))</f>
        <v>0</v>
      </c>
      <c r="BQ210" s="409"/>
      <c r="BR210" s="398">
        <f>IF(BQ210=0,0,IF(LEN(BF210)=11,_xlfn.XLOOKUP(BF210,'Dispensed Ink Rates'!C:C,'Dispensed Ink Rates'!CS:CS),VLOOKUP(BF210,'Jan-2026 rates'!$E:$F,2,0)))</f>
        <v>0</v>
      </c>
      <c r="BS210" s="409"/>
      <c r="BT210" s="398">
        <f>IF(BS210=0,0,IF(LEN(BG210)=11,_xlfn.XLOOKUP(BG210,'Dispensed Ink Rates'!C:C,'Dispensed Ink Rates'!CS:CS),VLOOKUP(BG210,'Jan-2026 rates'!$E:$F,2,0)))</f>
        <v>0</v>
      </c>
      <c r="BU210" s="409"/>
      <c r="BV210" s="398">
        <f>IF(BU210=0,0,IF(LEN(BH210)=11,_xlfn.XLOOKUP(BH210,'Dispensed Ink Rates'!C:C,'Dispensed Ink Rates'!CS:CS),VLOOKUP(BH210,'Jan-2026 rates'!$E:$F,2,0)))</f>
        <v>0</v>
      </c>
      <c r="BW210" s="409"/>
      <c r="BX210" s="398">
        <f>IF(BW210=0,0,IF(LEN(BI210)=11,_xlfn.XLOOKUP(BI210,'Dispensed Ink Rates'!C:C,'Dispensed Ink Rates'!CS:CS),VLOOKUP(BI210,'Jan-2026 rates'!$E:$F,2,0)))</f>
        <v>0</v>
      </c>
      <c r="BY210" s="409"/>
      <c r="BZ210" s="398">
        <f>IF(BY210=0,0,IF(LEN(BJ210)=11,_xlfn.XLOOKUP(BJ210,'Dispensed Ink Rates'!C:C,'Dispensed Ink Rates'!CS:CS),VLOOKUP(BJ210,'Jan-2026 rates'!$E:$F,2,0)))</f>
        <v>0</v>
      </c>
      <c r="CA210" s="409" t="s">
        <v>1443</v>
      </c>
      <c r="CB210" s="409">
        <v>28</v>
      </c>
      <c r="CC210" s="411">
        <f t="shared" si="162"/>
        <v>0</v>
      </c>
      <c r="CD210" s="411">
        <f t="shared" si="163"/>
        <v>10.179640718562872</v>
      </c>
      <c r="CE210" s="410">
        <f t="shared" si="164"/>
        <v>0</v>
      </c>
      <c r="CF210" s="404" t="s">
        <v>855</v>
      </c>
      <c r="CG210" s="409" t="s">
        <v>3806</v>
      </c>
      <c r="CH210" s="420" t="str">
        <f t="shared" si="132"/>
        <v>FLINTSL - CYAN</v>
      </c>
      <c r="CI210" s="409">
        <v>25</v>
      </c>
      <c r="CJ210" s="411">
        <f>IF(CI210=0,0,IF($LB210=70%,VLOOKUP($CH210,'Jan-2026 rates'!$L:$R,4,0),IF($LB210=65%,VLOOKUP($CH210,'Jan-2026 rates'!$L:$R,4,0),IF($LB210=40%,VLOOKUP($CH210,'Jan-2026 rates'!$L:$R,5,0),IF($LB210=30%,VLOOKUP($CH210,'Jan-2026 rates'!$L:$R,6,0),IF($LB210=100%,VLOOKUP($CH210,'Jan-2026 rates'!$L:$R,7,0),IF($LB210=60%,VLOOKUP($CH210,'Jan-2026 rates'!$L:$S,8,0),IF($LB210=80%,VLOOKUP($CH210,'Jan-2026 rates'!L:T,9,0),0))))))))</f>
        <v>0</v>
      </c>
      <c r="CK210" s="412"/>
      <c r="CL210" s="409"/>
      <c r="CM210" s="411">
        <f>IF(CL210=0,0,IF($LB210=70%,VLOOKUP($CH210,'Jan-2026 rates'!$L:$R,4,0),IF($LB210=65%,VLOOKUP($CH210,'Jan-2026 rates'!$L:$R,4,0),IF($LB210=40%,VLOOKUP($CH210,'Jan-2026 rates'!$L:$R,5,0),IF($LB210=30%,VLOOKUP($CH210,'Jan-2026 rates'!$L:$R,6,0),IF($LB210=100%,VLOOKUP($CH210,'Jan-2026 rates'!$L:$R,7,0),IF($LB210=60%,VLOOKUP($CH210,'Jan-2026 rates'!$L:$S,8,0),IF($LB210=80%,VLOOKUP($CH210,'Jan-2026 rates'!L:T,9,0),0))))))))</f>
        <v>0</v>
      </c>
      <c r="CN210" s="426">
        <v>26512000001</v>
      </c>
      <c r="CO210" s="427" t="s">
        <v>1266</v>
      </c>
      <c r="CP210" s="426"/>
      <c r="CQ210" s="426"/>
      <c r="CR210" s="428"/>
      <c r="CS210" s="428"/>
      <c r="CT210" s="428"/>
      <c r="CU210" s="428"/>
      <c r="CV210" s="409">
        <v>10</v>
      </c>
      <c r="CW210" s="398" t="e">
        <f>IF(CV210=0,0,IF(LEN(CN210)=11,_xlfn.XLOOKUP(CN210,'Dispensed Ink Rates'!C:C,'Dispensed Ink Rates'!CS:CS),VLOOKUP(CN210,'Jan-2026 rates'!$E:$F,2,0)))</f>
        <v>#N/A</v>
      </c>
      <c r="CX210" s="409">
        <v>10</v>
      </c>
      <c r="CY210" s="398">
        <f>IF(CX210=0,0,IF(LEN(CO210)=11,_xlfn.XLOOKUP(CO210,'Dispensed Ink Rates'!C:C,'Dispensed Ink Rates'!CS:CS),VLOOKUP(CO210,'Jan-2026 rates'!$E:$F,2,0)))</f>
        <v>0</v>
      </c>
      <c r="CZ210" s="409"/>
      <c r="DA210" s="398">
        <f>IF(CZ210=0,0,IF(LEN(CP210)=11,_xlfn.XLOOKUP(CP210,'Dispensed Ink Rates'!C:C,'Dispensed Ink Rates'!CS:CS),VLOOKUP(CP210,'Jan-2026 rates'!$E:$F,2,0)))</f>
        <v>0</v>
      </c>
      <c r="DB210" s="409"/>
      <c r="DC210" s="398">
        <f>IF(DB210=0,0,IF(LEN(CQ210)=11,_xlfn.XLOOKUP(CQ210,'Dispensed Ink Rates'!C:C,'Dispensed Ink Rates'!CS:CS),VLOOKUP(CQ210,'Jan-2026 rates'!$E:$F,2,0)))</f>
        <v>0</v>
      </c>
      <c r="DD210" s="409"/>
      <c r="DE210" s="398">
        <f>IF(DD210=0,0,IF(LEN(CR210)=11,_xlfn.XLOOKUP(CR210,'Dispensed Ink Rates'!C:C,'Dispensed Ink Rates'!CS:CS),VLOOKUP(CR210,'Jan-2026 rates'!$E:$F,2,0)))</f>
        <v>0</v>
      </c>
      <c r="DF210" s="409"/>
      <c r="DG210" s="398">
        <f>IF(DF210=0,0,IF(LEN(CS210)=11,_xlfn.XLOOKUP(CS210,'Dispensed Ink Rates'!C:C,'Dispensed Ink Rates'!CS:CS),VLOOKUP(CS210,'Jan-2026 rates'!$E:$F,2,0)))</f>
        <v>0</v>
      </c>
      <c r="DH210" s="409"/>
      <c r="DI210" s="398">
        <f>IF(DH210=0,0,IF(LEN(CT210)=11,_xlfn.XLOOKUP(CT210,'Dispensed Ink Rates'!C:C,'Dispensed Ink Rates'!CS:CS),VLOOKUP(CT210,'Jan-2026 rates'!$E:$F,2,0)))</f>
        <v>0</v>
      </c>
      <c r="DJ210" s="409"/>
      <c r="DK210" s="398">
        <f>IF(DJ210=0,0,IF(LEN(CU210)=11,_xlfn.XLOOKUP(CU210,'Dispensed Ink Rates'!C:C,'Dispensed Ink Rates'!CS:CS),VLOOKUP(CU210,'Jan-2026 rates'!$E:$F,2,0)))</f>
        <v>0</v>
      </c>
      <c r="DL210" s="409" t="s">
        <v>1443</v>
      </c>
      <c r="DM210" s="409">
        <v>27</v>
      </c>
      <c r="DN210" s="411">
        <f t="shared" si="165"/>
        <v>0</v>
      </c>
      <c r="DO210" s="411">
        <f t="shared" si="166"/>
        <v>38.359281437125745</v>
      </c>
      <c r="DP210" s="410">
        <f t="shared" si="167"/>
        <v>0</v>
      </c>
      <c r="DQ210" s="405" t="s">
        <v>544</v>
      </c>
      <c r="DR210" s="409" t="s">
        <v>3807</v>
      </c>
      <c r="DS210" s="420" t="str">
        <f t="shared" si="133"/>
        <v>FLINTSL - MAGENTA</v>
      </c>
      <c r="DT210" s="409">
        <v>28</v>
      </c>
      <c r="DU210" s="411">
        <f>IF(DT210=0,0,IF($LB210=70%,VLOOKUP($DS210,'Jan-2026 rates'!$L:$R,4,0),IF($LB210=65%,VLOOKUP($DS210,'Jan-2026 rates'!$L:$R,4,0),IF($LB210=40%,VLOOKUP($DS210,'Jan-2026 rates'!$L:$R,5,0),IF($LB210=30%,VLOOKUP($DS210,'Jan-2026 rates'!$L:$R,6,0),IF($LB210=100%,VLOOKUP($DS210,'Jan-2026 rates'!$L:$R,7,0),IF($LB210=60%,VLOOKUP($DS210,'Jan-2026 rates'!$L:$S,8,0),IF($LB210=80%,VLOOKUP($DS210,'Jan-2026 rates'!L:T,9,0),0))))))))</f>
        <v>0</v>
      </c>
      <c r="DV210" s="412"/>
      <c r="DW210" s="409"/>
      <c r="DX210" s="411">
        <f>IF(DW210=0,0,IF($LB210=70%,VLOOKUP($DS210,'Jan-2026 rates'!$L:$R,4,0),IF($LB210=65%,VLOOKUP($DS210,'Jan-2026 rates'!$L:$R,4,0),IF($LB210=40%,VLOOKUP($DS210,'Jan-2026 rates'!$L:$R,5,0),IF($LB210=30%,VLOOKUP($DS210,'Jan-2026 rates'!$L:$R,6,0),IF($LB210=100%,VLOOKUP($DS210,'Jan-2026 rates'!$L:$R,7,0),IF($LB210=60%,VLOOKUP($DS210,'Jan-2026 rates'!$L:$S,8,0),IF($LB210=80%,VLOOKUP($DS210,'Jan-2026 rates'!L:T,9,0),0))))))))</f>
        <v>0</v>
      </c>
      <c r="DY210" s="413">
        <v>26514000008</v>
      </c>
      <c r="DZ210" s="413"/>
      <c r="EA210" s="412"/>
      <c r="EB210" s="412"/>
      <c r="EC210" s="412"/>
      <c r="ED210" s="412"/>
      <c r="EE210" s="412"/>
      <c r="EF210" s="412"/>
      <c r="EG210" s="409">
        <v>3</v>
      </c>
      <c r="EH210" s="398" t="e">
        <f>IF(EG210=0,0,IF(LEN(DY210)=11,_xlfn.XLOOKUP(DY210,'Dispensed Ink Rates'!C:C,'Dispensed Ink Rates'!CS:CS),VLOOKUP(DY210,'Jan-2026 rates'!$E:$F,2,0)))</f>
        <v>#N/A</v>
      </c>
      <c r="EI210" s="409"/>
      <c r="EJ210" s="398">
        <f>IF(EI210=0,0,IF(LEN(DZ210)=11,_xlfn.XLOOKUP(DZ210,'Dispensed Ink Rates'!C:C,'Dispensed Ink Rates'!CS:CS),VLOOKUP(DZ210,'Jan-2026 rates'!$E:$F,2,0)))</f>
        <v>0</v>
      </c>
      <c r="EK210" s="409"/>
      <c r="EL210" s="398">
        <f>IF(EK210=0,0,IF(LEN(EA210)=11,_xlfn.XLOOKUP(EA210,'Dispensed Ink Rates'!C:C,'Dispensed Ink Rates'!CS:CS),VLOOKUP(EA210,'Jan-2026 rates'!$E:$F,2,0)))</f>
        <v>0</v>
      </c>
      <c r="EM210" s="409"/>
      <c r="EN210" s="398">
        <f>IF(EM210=0,0,IF(LEN(EB210)=11,_xlfn.XLOOKUP(EB210,'Dispensed Ink Rates'!C:C,'Dispensed Ink Rates'!CS:CS),VLOOKUP(EB210,'Jan-2026 rates'!$E:$F,2,0)))</f>
        <v>0</v>
      </c>
      <c r="EO210" s="409"/>
      <c r="EP210" s="398">
        <f>IF(EO210=0,0,IF(LEN(EC210)=11,_xlfn.XLOOKUP(EC210,'Dispensed Ink Rates'!C:C,'Dispensed Ink Rates'!CS:CS),VLOOKUP(EC210,'Jan-2026 rates'!$E:$F,2,0)))</f>
        <v>0</v>
      </c>
      <c r="EQ210" s="409"/>
      <c r="ER210" s="398">
        <f>IF(EQ210=0,0,IF(LEN(ED210)=11,_xlfn.XLOOKUP(ED210,'Dispensed Ink Rates'!C:C,'Dispensed Ink Rates'!CS:CS),VLOOKUP(ED210,'Jan-2026 rates'!$E:$F,2,0)))</f>
        <v>0</v>
      </c>
      <c r="ES210" s="409"/>
      <c r="ET210" s="398">
        <f>IF(ES210=0,0,IF(LEN(EE210)=11,_xlfn.XLOOKUP(EE210,'Dispensed Ink Rates'!C:C,'Dispensed Ink Rates'!CS:CS),VLOOKUP(EE210,'Jan-2026 rates'!$E:$F,2,0)))</f>
        <v>0</v>
      </c>
      <c r="EU210" s="409"/>
      <c r="EV210" s="398">
        <f>IF(EU210=0,0,IF(LEN(EF210)=11,_xlfn.XLOOKUP(EF210,'Dispensed Ink Rates'!C:C,'Dispensed Ink Rates'!CS:CS),VLOOKUP(EF210,'Jan-2026 rates'!$E:$F,2,0)))</f>
        <v>0</v>
      </c>
      <c r="EW210" s="409" t="s">
        <v>1443</v>
      </c>
      <c r="EX210" s="409">
        <v>25</v>
      </c>
      <c r="EY210" s="411">
        <f t="shared" si="168"/>
        <v>0</v>
      </c>
      <c r="EZ210" s="411">
        <f t="shared" si="169"/>
        <v>10.071856287425149</v>
      </c>
      <c r="FA210" s="410">
        <f t="shared" si="170"/>
        <v>0</v>
      </c>
      <c r="FB210" s="405" t="s">
        <v>545</v>
      </c>
      <c r="FC210" s="409" t="s">
        <v>3808</v>
      </c>
      <c r="FD210" s="420" t="str">
        <f t="shared" si="134"/>
        <v>FLINTSL - YELLOW</v>
      </c>
      <c r="FE210" s="409">
        <v>28</v>
      </c>
      <c r="FF210" s="411">
        <f>IF(FE210=0,0,IF($LB210=70%,VLOOKUP($FD210,'Jan-2026 rates'!$L:$R,4,0),IF($LB210=65%,VLOOKUP($FD210,'Jan-2026 rates'!$L:$R,4,0),IF($LB210=40%,VLOOKUP($FD210,'Jan-2026 rates'!$L:$R,5,0),IF($LB210=30%,VLOOKUP($FD210,'Jan-2026 rates'!$L:$R,6,0),IF($LB210=100%,VLOOKUP($FD210,'Jan-2026 rates'!$L:$R,7,0),IF($LB210=60%,VLOOKUP($FD210,'Jan-2026 rates'!$L:$S,8,0),IF($LB210=80%,VLOOKUP($FD210,'Jan-2026 rates'!L:T,9,0),0))))))))</f>
        <v>0</v>
      </c>
      <c r="FG210" s="412"/>
      <c r="FH210" s="409"/>
      <c r="FI210" s="411">
        <f>IF(FH210=0,0,IF($LB210=70%,VLOOKUP($FD210,'Jan-2026 rates'!$L:$R,4,0),IF($LB210=65%,VLOOKUP($FD210,'Jan-2026 rates'!$L:$R,4,0),IF($LB210=40%,VLOOKUP($FD210,'Jan-2026 rates'!$L:$R,5,0),IF($LB210=30%,VLOOKUP($FD210,'Jan-2026 rates'!$L:$R,6,0),IF($LB210=100%,VLOOKUP($FD210,'Jan-2026 rates'!$L:$R,7,0),IF($LB210=60%,VLOOKUP($FD210,'Jan-2026 rates'!$L:$S,8,0),IF($LB210=80%,VLOOKUP($FD210,'Jan-2026 rates'!L:T,9,0),0))))))))</f>
        <v>0</v>
      </c>
      <c r="FJ210" s="413" t="s">
        <v>1266</v>
      </c>
      <c r="FK210" s="413">
        <v>26516000007</v>
      </c>
      <c r="FL210" s="413" t="s">
        <v>484</v>
      </c>
      <c r="FM210" s="412">
        <v>26512000001</v>
      </c>
      <c r="FN210" s="412"/>
      <c r="FO210" s="412"/>
      <c r="FP210" s="412"/>
      <c r="FQ210" s="412"/>
      <c r="FR210" s="409">
        <v>10</v>
      </c>
      <c r="FS210" s="398">
        <f>IF(FR210=0,0,IF(LEN(FJ210)=11,_xlfn.XLOOKUP(FJ210,'Dispensed Ink Rates'!C:C,'Dispensed Ink Rates'!CS:CS),VLOOKUP(FJ210,'Jan-2026 rates'!$E:$F,2,0)))</f>
        <v>0</v>
      </c>
      <c r="FT210" s="409">
        <f>3+40</f>
        <v>43</v>
      </c>
      <c r="FU210" s="398" t="e">
        <f>IF(FT210=0,0,IF(LEN(FK210)=11,_xlfn.XLOOKUP(FK210,'Dispensed Ink Rates'!C:C,'Dispensed Ink Rates'!CS:CS),VLOOKUP(FK210,'Jan-2026 rates'!$E:$F,2,0)))</f>
        <v>#N/A</v>
      </c>
      <c r="FV210" s="409">
        <v>10</v>
      </c>
      <c r="FW210" s="398">
        <f>IF(FV210=0,0,IF(LEN(FL210)=11,_xlfn.XLOOKUP(FL210,'Dispensed Ink Rates'!C:C,'Dispensed Ink Rates'!CS:CS),VLOOKUP(FL210,'Jan-2026 rates'!$E:$F,2,0)))</f>
        <v>0</v>
      </c>
      <c r="FX210" s="409">
        <v>0.4</v>
      </c>
      <c r="FY210" s="398" t="e">
        <f>IF(FX210=0,0,IF(LEN(FM210)=11,_xlfn.XLOOKUP(FM210,'Dispensed Ink Rates'!C:C,'Dispensed Ink Rates'!CS:CS),VLOOKUP(FM210,'Jan-2026 rates'!$E:$F,2,0)))</f>
        <v>#N/A</v>
      </c>
      <c r="FZ210" s="409"/>
      <c r="GA210" s="398">
        <f>IF(FZ210=0,0,IF(LEN(FN210)=11,_xlfn.XLOOKUP(FN210,'Dispensed Ink Rates'!C:C,'Dispensed Ink Rates'!CS:CS),VLOOKUP(FN210,'Jan-2026 rates'!$E:$F,2,0)))</f>
        <v>0</v>
      </c>
      <c r="GB210" s="409"/>
      <c r="GC210" s="398">
        <f>IF(GB210=0,0,IF(LEN(FO210)=11,_xlfn.XLOOKUP(FO210,'Dispensed Ink Rates'!C:C,'Dispensed Ink Rates'!CS:CS),VLOOKUP(FO210,'Jan-2026 rates'!$E:$F,2,0)))</f>
        <v>0</v>
      </c>
      <c r="GD210" s="409"/>
      <c r="GE210" s="398">
        <f>IF(GD210=0,0,IF(LEN(FP210)=11,_xlfn.XLOOKUP(FP210,'Dispensed Ink Rates'!C:C,'Dispensed Ink Rates'!CS:CS),VLOOKUP(FP210,'Jan-2026 rates'!$E:$F,2,0)))</f>
        <v>0</v>
      </c>
      <c r="GF210" s="409"/>
      <c r="GG210" s="398">
        <f>IF(GF210=0,0,IF(LEN(FQ210)=11,_xlfn.XLOOKUP(FQ210,'Dispensed Ink Rates'!C:C,'Dispensed Ink Rates'!CS:CS),VLOOKUP(FQ210,'Jan-2026 rates'!$E:$F,2,0)))</f>
        <v>0</v>
      </c>
      <c r="GH210" s="409" t="s">
        <v>1443</v>
      </c>
      <c r="GI210" s="409">
        <v>38</v>
      </c>
      <c r="GJ210" s="411">
        <f t="shared" si="171"/>
        <v>0</v>
      </c>
      <c r="GK210" s="411">
        <f t="shared" si="172"/>
        <v>108.37005988023952</v>
      </c>
      <c r="GL210" s="410">
        <f t="shared" si="173"/>
        <v>0</v>
      </c>
      <c r="GM210" s="405" t="s">
        <v>856</v>
      </c>
      <c r="GN210" s="409" t="s">
        <v>3809</v>
      </c>
      <c r="GO210" s="420" t="str">
        <f t="shared" si="135"/>
        <v>FLINTSL - WHITE</v>
      </c>
      <c r="GP210" s="409">
        <v>30</v>
      </c>
      <c r="GQ210" s="411">
        <f>IF(GP210=0,0,IF($LB210=70%,VLOOKUP($GO210,'Jan-2026 rates'!$L:$R,4,0),IF($LB210=65%,VLOOKUP($GO210,'Jan-2026 rates'!$L:$R,4,0),IF($LB210=40%,VLOOKUP($GO210,'Jan-2026 rates'!$L:$R,5,0),IF($LB210=30%,VLOOKUP($GO210,'Jan-2026 rates'!$L:$R,6,0),IF($LB210=100%,VLOOKUP($GO210,'Jan-2026 rates'!$L:$R,7,0),IF($LB210=60%,VLOOKUP($GO210,'Jan-2026 rates'!$L:$S,8,0),IF($LB210=80%,VLOOKUP($GO210,'Jan-2026 rates'!L:T,9,0),0))))))))</f>
        <v>0</v>
      </c>
      <c r="GR210" s="412"/>
      <c r="GS210" s="409"/>
      <c r="GT210" s="411">
        <f>IF(GS210=0,0,IF($LB210=70%,VLOOKUP($GO210,'Jan-2026 rates'!$L:$R,4,0),IF($LB210=65%,VLOOKUP($GO210,'Jan-2026 rates'!$L:$R,4,0),IF($LB210=40%,VLOOKUP($GO210,'Jan-2026 rates'!$L:$R,5,0),IF($LB210=30%,VLOOKUP($GO210,'Jan-2026 rates'!$L:$R,6,0),IF($LB210=100%,VLOOKUP($GO210,'Jan-2026 rates'!$L:$R,7,0),IF($LB210=60%,VLOOKUP($GO210,'Jan-2026 rates'!$L:$S,8,0),IF($LB210=80%,VLOOKUP($GO210,'Jan-2026 rates'!L:T,9,0),0))))))))</f>
        <v>0</v>
      </c>
      <c r="GU210" s="413" t="s">
        <v>484</v>
      </c>
      <c r="GV210" s="413"/>
      <c r="GW210" s="412"/>
      <c r="GX210" s="412"/>
      <c r="GY210" s="412"/>
      <c r="GZ210" s="412"/>
      <c r="HA210" s="412"/>
      <c r="HB210" s="412"/>
      <c r="HC210" s="409">
        <f>50+50+100</f>
        <v>200</v>
      </c>
      <c r="HD210" s="398">
        <f>IF(HC210=0,0,IF(LEN(GU210)=11,_xlfn.XLOOKUP(GU210,'Dispensed Ink Rates'!C:C,'Dispensed Ink Rates'!CS:CS),VLOOKUP(GU210,'Jan-2026 rates'!$E:$F,2,0)))</f>
        <v>0</v>
      </c>
      <c r="HE210" s="409"/>
      <c r="HF210" s="398">
        <f>IF(HE210=0,0,IF(LEN(GV210)=11,_xlfn.XLOOKUP(GV210,'Dispensed Ink Rates'!C:C,'Dispensed Ink Rates'!CS:CS),VLOOKUP(GV210,'Jan-2026 rates'!$E:$F,2,0)))</f>
        <v>0</v>
      </c>
      <c r="HG210" s="409"/>
      <c r="HH210" s="398">
        <f>IF(HG210=0,0,IF(LEN(GW210)=11,_xlfn.XLOOKUP(GW210,'Dispensed Ink Rates'!C:C,'Dispensed Ink Rates'!CS:CS),VLOOKUP(GW210,'Jan-2026 rates'!$E:$F,2,0)))</f>
        <v>0</v>
      </c>
      <c r="HI210" s="409"/>
      <c r="HJ210" s="398">
        <f>IF(HI210=0,0,IF(LEN(GX210)=11,_xlfn.XLOOKUP(GX210,'Dispensed Ink Rates'!C:C,'Dispensed Ink Rates'!CS:CS),VLOOKUP(GX210,'Jan-2026 rates'!$E:$F,2,0)))</f>
        <v>0</v>
      </c>
      <c r="HK210" s="409"/>
      <c r="HL210" s="398">
        <f>IF(HK210=0,0,IF(LEN(GY210)=11,_xlfn.XLOOKUP(GY210,'Dispensed Ink Rates'!C:C,'Dispensed Ink Rates'!CS:CS),VLOOKUP(GY210,'Jan-2026 rates'!$E:$F,2,0)))</f>
        <v>0</v>
      </c>
      <c r="HM210" s="409"/>
      <c r="HN210" s="398">
        <f>IF(HM210=0,0,IF(LEN(GZ210)=11,_xlfn.XLOOKUP(GZ210,'Dispensed Ink Rates'!C:C,'Dispensed Ink Rates'!CS:CS),VLOOKUP(GZ210,'Jan-2026 rates'!$E:$F,2,0)))</f>
        <v>0</v>
      </c>
      <c r="HO210" s="409"/>
      <c r="HP210" s="398">
        <f>IF(HO210=0,0,IF(LEN(HA210)=11,_xlfn.XLOOKUP(HA210,'Dispensed Ink Rates'!C:C,'Dispensed Ink Rates'!CS:CS),VLOOKUP(HA210,'Jan-2026 rates'!$E:$F,2,0)))</f>
        <v>0</v>
      </c>
      <c r="HQ210" s="409"/>
      <c r="HR210" s="398">
        <f>IF(HQ210=0,0,IF(LEN(HB210)=11,_xlfn.XLOOKUP(HB210,'Dispensed Ink Rates'!C:C,'Dispensed Ink Rates'!CS:CS),VLOOKUP(HB210,'Jan-2026 rates'!$E:$F,2,0)))</f>
        <v>0</v>
      </c>
      <c r="HS210" s="409" t="s">
        <v>1443</v>
      </c>
      <c r="HT210" s="409">
        <v>30</v>
      </c>
      <c r="HU210" s="411">
        <f t="shared" si="174"/>
        <v>0</v>
      </c>
      <c r="HV210" s="411">
        <f t="shared" si="175"/>
        <v>444.31137724550899</v>
      </c>
      <c r="HW210" s="414">
        <f t="shared" si="176"/>
        <v>0</v>
      </c>
      <c r="HX210" s="405"/>
      <c r="HY210" s="409"/>
      <c r="HZ210" s="420" t="str">
        <f t="shared" si="136"/>
        <v xml:space="preserve"> - </v>
      </c>
      <c r="IA210" s="409"/>
      <c r="IB210" s="411">
        <f>IF(IA210=0,0,IF($LB210=70%,VLOOKUP($HZ210,'Jan-2026 rates'!$L:$R,4,0),IF($LB210=65%,VLOOKUP($HZ210,'Jan-2026 rates'!$L:$R,4,0),IF($LB210=40%,VLOOKUP($HZ210,'Jan-2026 rates'!$L:$R,5,0),IF($LB210=30%,VLOOKUP($HZ210,'Jan-2026 rates'!$L:$R,6,0),IF($LB210=100%,VLOOKUP($HZ210,'Jan-2026 rates'!$L:$R,7,0),IF($LB210=60%,VLOOKUP($HZ210,'Jan-2026 rates'!$L:$S,8,0),IF($LB210=80%,VLOOKUP($HZ210,'Jan-2026 rates'!L:T,9,0),0))))))))</f>
        <v>0</v>
      </c>
      <c r="IC210" s="412"/>
      <c r="ID210" s="409"/>
      <c r="IE210" s="411">
        <f>IF(ID210=0,0,IF($LB210=70%,VLOOKUP($HZ210,'Jan-2026 rates'!$L:$R,4,0),IF($LB210=65%,VLOOKUP($HZ210,'Jan-2026 rates'!$L:$R,4,0),IF($LB210=40%,VLOOKUP($HZ210,'Jan-2026 rates'!$L:$R,5,0),IF($LB210=30%,VLOOKUP($HZ210,'Jan-2026 rates'!$L:$R,6,0),IF($LB210=100%,VLOOKUP($HZ210,'Jan-2026 rates'!$L:$R,7,0),IF($LB210=60%,VLOOKUP($HZ210,'Jan-2026 rates'!$L:$S,8,0),IF($LB210=80%,VLOOKUP($HZ210,'Jan-2026 rates'!L:T,9,0),0))))))))</f>
        <v>0</v>
      </c>
      <c r="IF210" s="412"/>
      <c r="IG210" s="413"/>
      <c r="IH210" s="412"/>
      <c r="II210" s="412"/>
      <c r="IJ210" s="412"/>
      <c r="IK210" s="412"/>
      <c r="IL210" s="412"/>
      <c r="IM210" s="412"/>
      <c r="IN210" s="409"/>
      <c r="IO210" s="398">
        <f>IF(IN210=0,0,IF(LEN(IF210)=11,_xlfn.XLOOKUP(IF210,'Dispensed Ink Rates'!C:C,'Dispensed Ink Rates'!CS:CS),VLOOKUP(IF210,'Jan-2026 rates'!$E:$F,2,0)))</f>
        <v>0</v>
      </c>
      <c r="IP210" s="409"/>
      <c r="IQ210" s="398">
        <f>IF(IP210=0,0,IF(LEN(IG210)=11,_xlfn.XLOOKUP(IG210,'Dispensed Ink Rates'!C:C,'Dispensed Ink Rates'!CS:CS),VLOOKUP(IG210,'Jan-2026 rates'!$E:$F,2,0)))</f>
        <v>0</v>
      </c>
      <c r="IR210" s="409"/>
      <c r="IS210" s="398">
        <f>IF(IR210=0,0,IF(LEN(IH210)=11,_xlfn.XLOOKUP(IH210,'Dispensed Ink Rates'!C:C,'Dispensed Ink Rates'!CS:CS),VLOOKUP(IH210,'Jan-2026 rates'!$E:$F,2,0)))</f>
        <v>0</v>
      </c>
      <c r="IT210" s="409"/>
      <c r="IU210" s="398">
        <f>IF(IT210=0,0,IF(LEN(II210)=11,_xlfn.XLOOKUP(II210,'Dispensed Ink Rates'!C:C,'Dispensed Ink Rates'!CS:CS),VLOOKUP(II210,'Jan-2026 rates'!$E:$F,2,0)))</f>
        <v>0</v>
      </c>
      <c r="IV210" s="409"/>
      <c r="IW210" s="398">
        <f>IF(IV210=0,0,IF(LEN(IJ210)=11,_xlfn.XLOOKUP(IJ210,'Dispensed Ink Rates'!C:C,'Dispensed Ink Rates'!CS:CS),VLOOKUP(IJ210,'Jan-2026 rates'!$E:$F,2,0)))</f>
        <v>0</v>
      </c>
      <c r="IX210" s="409"/>
      <c r="IY210" s="398">
        <f>IF(IX210=0,0,IF(LEN(IK210)=11,_xlfn.XLOOKUP(IK210,'Dispensed Ink Rates'!C:C,'Dispensed Ink Rates'!CS:CS),VLOOKUP(IK210,'Jan-2026 rates'!$E:$F,2,0)))</f>
        <v>0</v>
      </c>
      <c r="IZ210" s="409"/>
      <c r="JA210" s="398">
        <f>IF(IZ210=0,0,IF(LEN(IL210)=11,_xlfn.XLOOKUP(IL210,'Dispensed Ink Rates'!C:C,'Dispensed Ink Rates'!CS:CS),VLOOKUP(IL210,'Jan-2026 rates'!$E:$F,2,0)))</f>
        <v>0</v>
      </c>
      <c r="JB210" s="409"/>
      <c r="JC210" s="398">
        <f>IF(JB210=0,0,IF(LEN(IM210)=11,_xlfn.XLOOKUP(IM210,'Dispensed Ink Rates'!C:C,'Dispensed Ink Rates'!CS:CS),VLOOKUP(IM210,'Jan-2026 rates'!$E:$F,2,0)))</f>
        <v>0</v>
      </c>
      <c r="JD210" s="409"/>
      <c r="JE210" s="409"/>
      <c r="JF210" s="411">
        <f t="shared" si="177"/>
        <v>0</v>
      </c>
      <c r="JG210" s="411">
        <f t="shared" si="178"/>
        <v>0</v>
      </c>
      <c r="JH210" s="410">
        <f t="shared" si="179"/>
        <v>0</v>
      </c>
      <c r="JI210" s="405"/>
      <c r="JJ210" s="409"/>
      <c r="JK210" s="420" t="str">
        <f t="shared" si="137"/>
        <v xml:space="preserve"> - </v>
      </c>
      <c r="JL210" s="409"/>
      <c r="JM210" s="411">
        <f>IF(JL210=0,0,IF($LB210=70%,VLOOKUP($JK210,'Jan-2026 rates'!$L:$R,4,0),IF($LB210=65%,VLOOKUP($JK210,'Jan-2026 rates'!$L:$R,4,0),IF($LB210=40%,VLOOKUP($JK210,'Jan-2026 rates'!$L:$R,5,0),IF($LB210=30%,VLOOKUP($JK210,'Jan-2026 rates'!$L:$R,6,0),IF($LB210=100%,VLOOKUP($JK210,'Jan-2026 rates'!$L:$R,7,0),IF($LB210=60%,VLOOKUP($JK210,'Jan-2026 rates'!$L:$S,8,0),IF($LB210=80%,VLOOKUP($JK210,'Jan-2026 rates'!L:T,9,0),0))))))))</f>
        <v>0</v>
      </c>
      <c r="JN210" s="412"/>
      <c r="JO210" s="409"/>
      <c r="JP210" s="411">
        <f>IF(JO210=0,0,IF($LB210=70%,VLOOKUP($JK210,'Jan-2026 rates'!$L:$R,4,0),IF($LB210=65%,VLOOKUP($JK210,'Jan-2026 rates'!$L:$R,4,0),IF($LB210=40%,VLOOKUP($JK210,'Jan-2026 rates'!$L:$R,5,0),IF($LB210=30%,VLOOKUP($JK210,'Jan-2026 rates'!$L:$R,6,0),IF($LB210=100%,VLOOKUP($JK210,'Jan-2026 rates'!$L:$R,7,0),IF($LB210=60%,VLOOKUP($JK210,'Jan-2026 rates'!$L:$S,8,0),IF($LB210=80%,VLOOKUP($JK210,'Jan-2026 rates'!L:T,9,0),0))))))))</f>
        <v>0</v>
      </c>
      <c r="JQ210" s="413"/>
      <c r="JR210" s="412"/>
      <c r="JS210" s="413"/>
      <c r="JT210" s="413"/>
      <c r="JU210" s="412"/>
      <c r="JV210" s="412"/>
      <c r="JW210" s="412"/>
      <c r="JX210" s="412"/>
      <c r="JY210" s="409"/>
      <c r="JZ210" s="398">
        <f>IF(JY210=0,0,IF(LEN(JQ210)=11,_xlfn.XLOOKUP(JQ210,'Dispensed Ink Rates'!C:C,'Dispensed Ink Rates'!CS:CS),VLOOKUP(JQ210,'Jan-2026 rates'!$E:$F,2,0)))</f>
        <v>0</v>
      </c>
      <c r="KA210" s="409"/>
      <c r="KB210" s="398">
        <f>IF(KA210=0,0,IF(LEN(JR210)=11,_xlfn.XLOOKUP(JR210,'Dispensed Ink Rates'!C:C,'Dispensed Ink Rates'!CS:CS),VLOOKUP(JR210,'Jan-2026 rates'!$E:$F,2,0)))</f>
        <v>0</v>
      </c>
      <c r="KC210" s="409"/>
      <c r="KD210" s="398">
        <f>IF(KC210=0,0,IF(LEN(JS210)=11,_xlfn.XLOOKUP(JS210,'Dispensed Ink Rates'!C:C,'Dispensed Ink Rates'!CS:CS),VLOOKUP(JS210,'Jan-2026 rates'!$E:$F,2,0)))</f>
        <v>0</v>
      </c>
      <c r="KE210" s="409"/>
      <c r="KF210" s="398">
        <f>IF(KE210=0,0,IF(LEN(JT210)=11,_xlfn.XLOOKUP(JT210,'Dispensed Ink Rates'!C:C,'Dispensed Ink Rates'!CS:CS),VLOOKUP(JT210,'Jan-2026 rates'!$E:$F,2,0)))</f>
        <v>0</v>
      </c>
      <c r="KG210" s="409"/>
      <c r="KH210" s="398">
        <f>IF(KG210=0,0,IF(LEN(JU210)=11,_xlfn.XLOOKUP(JU210,'Dispensed Ink Rates'!C:C,'Dispensed Ink Rates'!CS:CS),VLOOKUP(JU210,'Jan-2026 rates'!$E:$F,2,0)))</f>
        <v>0</v>
      </c>
      <c r="KI210" s="409"/>
      <c r="KJ210" s="398">
        <f>IF(KI210=0,0,IF(LEN(JV210)=11,_xlfn.XLOOKUP(JV210,'Dispensed Ink Rates'!C:C,'Dispensed Ink Rates'!CS:CS),VLOOKUP(JV210,'Jan-2026 rates'!$E:$F,2,0)))</f>
        <v>0</v>
      </c>
      <c r="KK210" s="409"/>
      <c r="KL210" s="398">
        <f>IF(KK210=0,0,IF(LEN(JW210)=11,_xlfn.XLOOKUP(JW210,'Dispensed Ink Rates'!C:C,'Dispensed Ink Rates'!CS:CS),VLOOKUP(JW210,'Jan-2026 rates'!$E:$F,2,0)))</f>
        <v>0</v>
      </c>
      <c r="KM210" s="428"/>
      <c r="KN210" s="398">
        <f>IF(KM210=0,0,IF(LEN(JX210)=11,_xlfn.XLOOKUP(JX210,'Dispensed Ink Rates'!C:C,'Dispensed Ink Rates'!CS:CS),VLOOKUP(JX210,'Jan-2026 rates'!$E:$F,2,0)))</f>
        <v>0</v>
      </c>
      <c r="KO210" s="409"/>
      <c r="KP210" s="409"/>
      <c r="KQ210" s="411">
        <f t="shared" si="180"/>
        <v>0</v>
      </c>
      <c r="KR210" s="411">
        <f t="shared" si="181"/>
        <v>0</v>
      </c>
      <c r="KS210" s="410">
        <f t="shared" si="182"/>
        <v>0</v>
      </c>
      <c r="KT210" s="409">
        <v>3</v>
      </c>
      <c r="KU210" s="409">
        <v>5</v>
      </c>
      <c r="KV210" s="409">
        <v>10</v>
      </c>
      <c r="KW210" s="409">
        <v>2</v>
      </c>
      <c r="KX210" s="409">
        <f>2+25</f>
        <v>27</v>
      </c>
      <c r="KY210" s="409">
        <f>60+30+30</f>
        <v>120</v>
      </c>
      <c r="KZ210" s="409">
        <v>0</v>
      </c>
      <c r="LA210" s="409">
        <v>0</v>
      </c>
      <c r="LB210" s="415">
        <v>0.8</v>
      </c>
      <c r="LC210" s="415">
        <v>0.2</v>
      </c>
      <c r="LD210" s="415"/>
      <c r="LE210" s="415"/>
      <c r="LF210" s="415"/>
      <c r="LG210" s="409">
        <v>0</v>
      </c>
      <c r="LH210" s="409">
        <f>120+80+112+28</f>
        <v>340</v>
      </c>
      <c r="LI210" s="409">
        <v>0</v>
      </c>
      <c r="LJ210" s="409">
        <v>0</v>
      </c>
      <c r="LK210" s="416">
        <f t="shared" si="138"/>
        <v>340</v>
      </c>
      <c r="LL210" s="416">
        <f t="shared" si="139"/>
        <v>340</v>
      </c>
      <c r="LM210" s="417">
        <f t="shared" si="140"/>
        <v>272</v>
      </c>
      <c r="LN210" s="417">
        <f>VLOOKUP($LM$8,'Jan-2026 rates'!$H:$I,2,0)</f>
        <v>0</v>
      </c>
      <c r="LO210" s="417">
        <f t="shared" si="141"/>
        <v>68</v>
      </c>
      <c r="LP210" s="417">
        <f>VLOOKUP($LO$8,'Jan-2026 rates'!$H:$I,2,0)</f>
        <v>0</v>
      </c>
      <c r="LQ210" s="417">
        <f t="shared" si="142"/>
        <v>0</v>
      </c>
      <c r="LR210" s="417">
        <f>VLOOKUP($LQ$8,'Jan-2026 rates'!$H:$I,2,0)</f>
        <v>0</v>
      </c>
      <c r="LS210" s="417">
        <f t="shared" si="143"/>
        <v>0</v>
      </c>
      <c r="LT210" s="417">
        <f>VLOOKUP($LS$8,'Jan-2026 rates'!$H:$I,2,0)</f>
        <v>0</v>
      </c>
      <c r="LU210" s="417">
        <f t="shared" si="144"/>
        <v>0</v>
      </c>
      <c r="LV210" s="417">
        <f>VLOOKUP($LU$8,'Jan-2026 rates'!$H:$I,2,0)</f>
        <v>0</v>
      </c>
      <c r="LW210" s="417">
        <f t="shared" si="145"/>
        <v>0</v>
      </c>
      <c r="LX210" s="417">
        <f t="shared" si="146"/>
        <v>0</v>
      </c>
      <c r="LY210" s="418">
        <f t="shared" si="147"/>
        <v>0</v>
      </c>
      <c r="LZ210" s="417"/>
      <c r="MA210" s="435">
        <f t="shared" si="148"/>
        <v>298.39999999999998</v>
      </c>
      <c r="MB210" s="282">
        <f t="shared" si="149"/>
        <v>623.4</v>
      </c>
      <c r="MC210" s="283">
        <v>103</v>
      </c>
      <c r="MD210" s="284" t="str">
        <f t="shared" si="150"/>
        <v>FLINTSLFLINTSLFLINTSLFLINTSLFLINTSLFLINTSL</v>
      </c>
      <c r="ME210" s="293" t="str">
        <f t="shared" si="151"/>
        <v>+</v>
      </c>
      <c r="MF210" s="293" t="str">
        <f t="shared" si="152"/>
        <v>+</v>
      </c>
      <c r="MG210" s="293" t="str">
        <f t="shared" si="153"/>
        <v>+</v>
      </c>
      <c r="MH210" s="293" t="str">
        <f t="shared" si="154"/>
        <v>+</v>
      </c>
      <c r="MI210" s="293" t="str">
        <f t="shared" si="155"/>
        <v>+</v>
      </c>
      <c r="MJ210" s="293" t="str">
        <f t="shared" si="156"/>
        <v>+</v>
      </c>
      <c r="MK210" s="293" t="str">
        <f t="shared" si="157"/>
        <v>NIL</v>
      </c>
      <c r="ML210" s="293" t="str">
        <f t="shared" si="158"/>
        <v>NIL</v>
      </c>
      <c r="MM210" s="3" t="b">
        <f t="array" ref="MM210">OR(ME210:ML210="-")</f>
        <v>0</v>
      </c>
      <c r="MN210" s="285"/>
      <c r="MO210" s="401"/>
      <c r="MP210" s="286"/>
      <c r="MQ210" s="286"/>
      <c r="MR210" s="402"/>
      <c r="MS210" s="400"/>
      <c r="NH210" s="422"/>
      <c r="NJ210" s="421"/>
    </row>
    <row r="211" spans="1:374" s="1" customFormat="1" ht="16.5">
      <c r="A211" s="403">
        <v>46037</v>
      </c>
      <c r="B211" s="404" t="s">
        <v>1015</v>
      </c>
      <c r="C211" s="405" t="s">
        <v>3810</v>
      </c>
      <c r="D211" s="406">
        <v>104</v>
      </c>
      <c r="E211" s="404">
        <v>207</v>
      </c>
      <c r="F211" s="407">
        <v>11600</v>
      </c>
      <c r="G211" s="407" t="s">
        <v>1019</v>
      </c>
      <c r="H211" s="408" t="s">
        <v>1017</v>
      </c>
      <c r="I211" s="409">
        <v>1.81</v>
      </c>
      <c r="J211" s="405" t="s">
        <v>543</v>
      </c>
      <c r="K211" s="404" t="s">
        <v>3811</v>
      </c>
      <c r="L211" s="419" t="str">
        <f t="shared" si="131"/>
        <v>FLINTSL - BLACK</v>
      </c>
      <c r="M211" s="404">
        <v>25</v>
      </c>
      <c r="N211" s="410">
        <f>IF(M211=0,0,IF($LB211=70%,VLOOKUP($L211,'Jan-2026 rates'!$L:$R,4,0),IF($LB211=65%,VLOOKUP($L211,'Jan-2026 rates'!$L:$R,4,0),IF($LB211=40%,VLOOKUP($L211,'Jan-2026 rates'!$L:$R,5,0),IF($LB211=30%,VLOOKUP($L211,'Jan-2026 rates'!$L:$R,6,0),IF($LB211=100%,VLOOKUP($L211,'Jan-2026 rates'!$L:$R,7,0),IF($LB211=60%,VLOOKUP($L211,'Jan-2026 rates'!$L:$S,8,0),IF($LB211=80%,VLOOKUP($L211,'Jan-2026 rates'!L:T,9,0),0))))))))</f>
        <v>0</v>
      </c>
      <c r="O211" s="406"/>
      <c r="P211" s="404"/>
      <c r="Q211" s="410">
        <f>IF(P211=0,0,IF($LB211=70%,VLOOKUP($L211,'Jan-2026 rates'!$L:$R,4,0),IF($LB211=65%,VLOOKUP($L211,'Jan-2026 rates'!$L:$R,4,0),IF($LB211=40%,VLOOKUP($L211,'Jan-2026 rates'!$L:$R,5,0),IF($LB211=30%,VLOOKUP($L211,'Jan-2026 rates'!$L:$R,6,0),IF($LB211=100%,VLOOKUP($L211,'Jan-2026 rates'!$L:$R,7,0),IF($LB211=60%,VLOOKUP($L211,'Jan-2026 rates'!$L:$S,8,0),IF($LB211=80%,VLOOKUP($L211,'Jan-2026 rates'!L:T,9,0),0))))))))</f>
        <v>0</v>
      </c>
      <c r="R211" s="406"/>
      <c r="S211" s="406"/>
      <c r="T211" s="406"/>
      <c r="U211" s="406"/>
      <c r="V211" s="406"/>
      <c r="W211" s="406"/>
      <c r="X211" s="406"/>
      <c r="Y211" s="406"/>
      <c r="Z211" s="404"/>
      <c r="AA211" s="398">
        <f>IF(Z211=0,0,IF(LEN(R211)=11,_xlfn.XLOOKUP(R211,'Dispensed Ink Rates'!C:C,'Dispensed Ink Rates'!CS:CS),VLOOKUP(R211,'Jan-2026 rates'!$E:$F,2,0)))</f>
        <v>0</v>
      </c>
      <c r="AB211" s="404"/>
      <c r="AC211" s="398">
        <f>IF(AB211=0,0,IF(LEN(S211)=11,_xlfn.XLOOKUP(S211,'Dispensed Ink Rates'!C:C,'Dispensed Ink Rates'!CS:CS),VLOOKUP(S211,'Jan-2026 rates'!$E:$F,2,0)))</f>
        <v>0</v>
      </c>
      <c r="AD211" s="404"/>
      <c r="AE211" s="398">
        <f>IF(AD211=0,0,IF(LEN(T211)=11,_xlfn.XLOOKUP(T211,'Dispensed Ink Rates'!C:C,'Dispensed Ink Rates'!CS:CS),VLOOKUP(T211,'Jan-2026 rates'!$E:$F,2,0)))</f>
        <v>0</v>
      </c>
      <c r="AF211" s="404"/>
      <c r="AG211" s="398">
        <f>IF(AF211=0,0,IF(LEN(U211)=11,_xlfn.XLOOKUP(U211,'Dispensed Ink Rates'!C:C,'Dispensed Ink Rates'!CS:CS),VLOOKUP(U211,'Jan-2026 rates'!$E:$F,2,0)))</f>
        <v>0</v>
      </c>
      <c r="AH211" s="404"/>
      <c r="AI211" s="398">
        <f>IF(AH211=0,0,IF(LEN(V211)=11,_xlfn.XLOOKUP(V211,'Dispensed Ink Rates'!C:C,'Dispensed Ink Rates'!CS:CS),VLOOKUP(V211,'Jan-2026 rates'!$E:$F,2,0)))</f>
        <v>0</v>
      </c>
      <c r="AJ211" s="404"/>
      <c r="AK211" s="398">
        <f>IF(AJ211=0,0,IF(LEN(W211)=11,_xlfn.XLOOKUP(W211,'Dispensed Ink Rates'!C:C,'Dispensed Ink Rates'!CS:CS),VLOOKUP(W211,'Jan-2026 rates'!$E:$F,2,0)))</f>
        <v>0</v>
      </c>
      <c r="AL211" s="404"/>
      <c r="AM211" s="398">
        <f>IF(AL211=0,0,IF(LEN(X211)=11,_xlfn.XLOOKUP(X211,'Dispensed Ink Rates'!C:C,'Dispensed Ink Rates'!CS:CS),VLOOKUP(X211,'Jan-2026 rates'!$E:$F,2,0)))</f>
        <v>0</v>
      </c>
      <c r="AN211" s="404"/>
      <c r="AO211" s="398">
        <f>IF(AN211=0,0,IF(LEN(Y211)=11,_xlfn.XLOOKUP(Y211,'Dispensed Ink Rates'!C:C,'Dispensed Ink Rates'!CS:CS),VLOOKUP(Y211,'Jan-2026 rates'!$E:$F,2,0)))</f>
        <v>0</v>
      </c>
      <c r="AP211" s="409" t="s">
        <v>1443</v>
      </c>
      <c r="AQ211" s="409">
        <v>20</v>
      </c>
      <c r="AR211" s="410">
        <f t="shared" si="159"/>
        <v>0</v>
      </c>
      <c r="AS211" s="411">
        <f t="shared" si="160"/>
        <v>5</v>
      </c>
      <c r="AT211" s="410">
        <f t="shared" si="161"/>
        <v>0</v>
      </c>
      <c r="AU211" s="405" t="s">
        <v>546</v>
      </c>
      <c r="AV211" s="409"/>
      <c r="AW211" s="420" t="str">
        <f t="shared" si="183"/>
        <v>FLINTSL - REFLEX BLUE</v>
      </c>
      <c r="AX211" s="409"/>
      <c r="AY211" s="411">
        <f>IF(AX211=0,0,IF($LB211=70%,VLOOKUP($AW211,'Jan-2026 rates'!$L:$R,4,0),IF($LB211=65%,VLOOKUP($AW211,'Jan-2026 rates'!$L:$R,4,0),IF($LB211=40%,VLOOKUP($AW211,'Jan-2026 rates'!$L:$R,5,0),IF($LB211=30%,VLOOKUP($AW211,'Jan-2026 rates'!$L:$R,6,0),IF($LB211=100%,VLOOKUP($AW211,'Jan-2026 rates'!$L:$R,7,0),IF($LB211=60%,VLOOKUP($AW211,'Jan-2026 rates'!$L:$S,8,0),IF($LB211=80%,VLOOKUP($AW211,'Jan-2026 rates'!L:T,9,0),0))))))))</f>
        <v>0</v>
      </c>
      <c r="AZ211" s="412"/>
      <c r="BA211" s="409"/>
      <c r="BB211" s="411">
        <f>IF(BA211=0,0,IF($LB211=70%,VLOOKUP($AW211,'Jan-2026 rates'!$L:$R,4,0),IF($LB211=65%,VLOOKUP($AW211,'Jan-2026 rates'!$L:$R,4,0),IF($LB211=40%,VLOOKUP($AW211,'Jan-2026 rates'!$L:$R,5,0),IF($LB211=30%,VLOOKUP($AW211,'Jan-2026 rates'!$L:$R,6,0),IF($LB211=100%,VLOOKUP($AW211,'Jan-2026 rates'!$L:$R,7,0),IF($LB211=60%,VLOOKUP($AW211,'Jan-2026 rates'!$L:$S,8,0),IF($LB211=80%,VLOOKUP($AW211,'Jan-2026 rates'!L:T,9,0),0))))))))</f>
        <v>0</v>
      </c>
      <c r="BC211" s="413" t="s">
        <v>1266</v>
      </c>
      <c r="BD211" s="412">
        <v>26515000019</v>
      </c>
      <c r="BE211" s="412">
        <v>26515000021</v>
      </c>
      <c r="BF211" s="413"/>
      <c r="BG211" s="412"/>
      <c r="BH211" s="412"/>
      <c r="BI211" s="412"/>
      <c r="BJ211" s="412"/>
      <c r="BK211" s="409">
        <v>4</v>
      </c>
      <c r="BL211" s="398">
        <f>IF(BK211=0,0,IF(LEN(BC211)=11,_xlfn.XLOOKUP(BC211,'Dispensed Ink Rates'!C:C,'Dispensed Ink Rates'!CS:CS),VLOOKUP(BC211,'Jan-2026 rates'!$E:$F,2,0)))</f>
        <v>0</v>
      </c>
      <c r="BM211" s="409">
        <v>20</v>
      </c>
      <c r="BN211" s="398" t="e">
        <f>IF(BM211=0,0,IF(LEN(BD211)=11,_xlfn.XLOOKUP(BD211,'Dispensed Ink Rates'!C:C,'Dispensed Ink Rates'!CS:CS),VLOOKUP(BD211,'Jan-2026 rates'!$E:$F,2,0)))</f>
        <v>#N/A</v>
      </c>
      <c r="BO211" s="409">
        <v>15</v>
      </c>
      <c r="BP211" s="398" t="e">
        <f>IF(BO211=0,0,IF(LEN(BE211)=11,_xlfn.XLOOKUP(BE211,'Dispensed Ink Rates'!C:C,'Dispensed Ink Rates'!CS:CS),VLOOKUP(BE211,'Jan-2026 rates'!$E:$F,2,0)))</f>
        <v>#N/A</v>
      </c>
      <c r="BQ211" s="409"/>
      <c r="BR211" s="398">
        <f>IF(BQ211=0,0,IF(LEN(BF211)=11,_xlfn.XLOOKUP(BF211,'Dispensed Ink Rates'!C:C,'Dispensed Ink Rates'!CS:CS),VLOOKUP(BF211,'Jan-2026 rates'!$E:$F,2,0)))</f>
        <v>0</v>
      </c>
      <c r="BS211" s="409"/>
      <c r="BT211" s="398">
        <f>IF(BS211=0,0,IF(LEN(BG211)=11,_xlfn.XLOOKUP(BG211,'Dispensed Ink Rates'!C:C,'Dispensed Ink Rates'!CS:CS),VLOOKUP(BG211,'Jan-2026 rates'!$E:$F,2,0)))</f>
        <v>0</v>
      </c>
      <c r="BU211" s="409"/>
      <c r="BV211" s="398">
        <f>IF(BU211=0,0,IF(LEN(BH211)=11,_xlfn.XLOOKUP(BH211,'Dispensed Ink Rates'!C:C,'Dispensed Ink Rates'!CS:CS),VLOOKUP(BH211,'Jan-2026 rates'!$E:$F,2,0)))</f>
        <v>0</v>
      </c>
      <c r="BW211" s="409"/>
      <c r="BX211" s="398">
        <f>IF(BW211=0,0,IF(LEN(BI211)=11,_xlfn.XLOOKUP(BI211,'Dispensed Ink Rates'!C:C,'Dispensed Ink Rates'!CS:CS),VLOOKUP(BI211,'Jan-2026 rates'!$E:$F,2,0)))</f>
        <v>0</v>
      </c>
      <c r="BY211" s="409"/>
      <c r="BZ211" s="398">
        <f>IF(BY211=0,0,IF(LEN(BJ211)=11,_xlfn.XLOOKUP(BJ211,'Dispensed Ink Rates'!C:C,'Dispensed Ink Rates'!CS:CS),VLOOKUP(BJ211,'Jan-2026 rates'!$E:$F,2,0)))</f>
        <v>0</v>
      </c>
      <c r="CA211" s="409" t="s">
        <v>1443</v>
      </c>
      <c r="CB211" s="409">
        <v>24</v>
      </c>
      <c r="CC211" s="411">
        <f t="shared" si="162"/>
        <v>0</v>
      </c>
      <c r="CD211" s="411">
        <f t="shared" si="163"/>
        <v>28.090909090909093</v>
      </c>
      <c r="CE211" s="410">
        <f t="shared" si="164"/>
        <v>0</v>
      </c>
      <c r="CF211" s="404" t="s">
        <v>547</v>
      </c>
      <c r="CG211" s="409"/>
      <c r="CH211" s="420" t="str">
        <f t="shared" si="132"/>
        <v>FLINTSL - GREEN</v>
      </c>
      <c r="CI211" s="409"/>
      <c r="CJ211" s="411">
        <f>IF(CI211=0,0,IF($LB211=70%,VLOOKUP($CH211,'Jan-2026 rates'!$L:$R,4,0),IF($LB211=65%,VLOOKUP($CH211,'Jan-2026 rates'!$L:$R,4,0),IF($LB211=40%,VLOOKUP($CH211,'Jan-2026 rates'!$L:$R,5,0),IF($LB211=30%,VLOOKUP($CH211,'Jan-2026 rates'!$L:$R,6,0),IF($LB211=100%,VLOOKUP($CH211,'Jan-2026 rates'!$L:$R,7,0),IF($LB211=60%,VLOOKUP($CH211,'Jan-2026 rates'!$L:$S,8,0),IF($LB211=80%,VLOOKUP($CH211,'Jan-2026 rates'!L:T,9,0),0))))))))</f>
        <v>0</v>
      </c>
      <c r="CK211" s="412"/>
      <c r="CL211" s="409"/>
      <c r="CM211" s="411">
        <f>IF(CL211=0,0,IF($LB211=70%,VLOOKUP($CH211,'Jan-2026 rates'!$L:$R,4,0),IF($LB211=65%,VLOOKUP($CH211,'Jan-2026 rates'!$L:$R,4,0),IF($LB211=40%,VLOOKUP($CH211,'Jan-2026 rates'!$L:$R,5,0),IF($LB211=30%,VLOOKUP($CH211,'Jan-2026 rates'!$L:$R,6,0),IF($LB211=100%,VLOOKUP($CH211,'Jan-2026 rates'!$L:$R,7,0),IF($LB211=60%,VLOOKUP($CH211,'Jan-2026 rates'!$L:$S,8,0),IF($LB211=80%,VLOOKUP($CH211,'Jan-2026 rates'!L:T,9,0),0))))))))</f>
        <v>0</v>
      </c>
      <c r="CN211" s="426" t="s">
        <v>1266</v>
      </c>
      <c r="CO211" s="427">
        <v>26515000020</v>
      </c>
      <c r="CP211" s="426">
        <v>26515000022</v>
      </c>
      <c r="CQ211" s="426">
        <v>26513000020</v>
      </c>
      <c r="CR211" s="428"/>
      <c r="CS211" s="428"/>
      <c r="CT211" s="428"/>
      <c r="CU211" s="428"/>
      <c r="CV211" s="409">
        <v>3</v>
      </c>
      <c r="CW211" s="398">
        <f>IF(CV211=0,0,IF(LEN(CN211)=11,_xlfn.XLOOKUP(CN211,'Dispensed Ink Rates'!C:C,'Dispensed Ink Rates'!CS:CS),VLOOKUP(CN211,'Jan-2026 rates'!$E:$F,2,0)))</f>
        <v>0</v>
      </c>
      <c r="CX211" s="409">
        <v>20</v>
      </c>
      <c r="CY211" s="398" t="e">
        <f>IF(CX211=0,0,IF(LEN(CO211)=11,_xlfn.XLOOKUP(CO211,'Dispensed Ink Rates'!C:C,'Dispensed Ink Rates'!CS:CS),VLOOKUP(CO211,'Jan-2026 rates'!$E:$F,2,0)))</f>
        <v>#N/A</v>
      </c>
      <c r="CZ211" s="409">
        <v>15</v>
      </c>
      <c r="DA211" s="398" t="e">
        <f>IF(CZ211=0,0,IF(LEN(CP211)=11,_xlfn.XLOOKUP(CP211,'Dispensed Ink Rates'!C:C,'Dispensed Ink Rates'!CS:CS),VLOOKUP(CP211,'Jan-2026 rates'!$E:$F,2,0)))</f>
        <v>#N/A</v>
      </c>
      <c r="DB211" s="409">
        <v>0.5</v>
      </c>
      <c r="DC211" s="398" t="e">
        <f>IF(DB211=0,0,IF(LEN(CQ211)=11,_xlfn.XLOOKUP(CQ211,'Dispensed Ink Rates'!C:C,'Dispensed Ink Rates'!CS:CS),VLOOKUP(CQ211,'Jan-2026 rates'!$E:$F,2,0)))</f>
        <v>#N/A</v>
      </c>
      <c r="DD211" s="409"/>
      <c r="DE211" s="398">
        <f>IF(DD211=0,0,IF(LEN(CR211)=11,_xlfn.XLOOKUP(CR211,'Dispensed Ink Rates'!C:C,'Dispensed Ink Rates'!CS:CS),VLOOKUP(CR211,'Jan-2026 rates'!$E:$F,2,0)))</f>
        <v>0</v>
      </c>
      <c r="DF211" s="409"/>
      <c r="DG211" s="398">
        <f>IF(DF211=0,0,IF(LEN(CS211)=11,_xlfn.XLOOKUP(CS211,'Dispensed Ink Rates'!C:C,'Dispensed Ink Rates'!CS:CS),VLOOKUP(CS211,'Jan-2026 rates'!$E:$F,2,0)))</f>
        <v>0</v>
      </c>
      <c r="DH211" s="409"/>
      <c r="DI211" s="398">
        <f>IF(DH211=0,0,IF(LEN(CT211)=11,_xlfn.XLOOKUP(CT211,'Dispensed Ink Rates'!C:C,'Dispensed Ink Rates'!CS:CS),VLOOKUP(CT211,'Jan-2026 rates'!$E:$F,2,0)))</f>
        <v>0</v>
      </c>
      <c r="DJ211" s="409"/>
      <c r="DK211" s="398">
        <f>IF(DJ211=0,0,IF(LEN(CU211)=11,_xlfn.XLOOKUP(CU211,'Dispensed Ink Rates'!C:C,'Dispensed Ink Rates'!CS:CS),VLOOKUP(CU211,'Jan-2026 rates'!$E:$F,2,0)))</f>
        <v>0</v>
      </c>
      <c r="DL211" s="409" t="s">
        <v>1443</v>
      </c>
      <c r="DM211" s="409">
        <v>21</v>
      </c>
      <c r="DN211" s="411">
        <f t="shared" si="165"/>
        <v>0</v>
      </c>
      <c r="DO211" s="411">
        <f t="shared" si="166"/>
        <v>27.318181818181813</v>
      </c>
      <c r="DP211" s="410">
        <f t="shared" si="167"/>
        <v>0</v>
      </c>
      <c r="DQ211" s="405" t="s">
        <v>856</v>
      </c>
      <c r="DR211" s="409" t="s">
        <v>3812</v>
      </c>
      <c r="DS211" s="420" t="str">
        <f t="shared" si="133"/>
        <v>FLINTSL - WHITE</v>
      </c>
      <c r="DT211" s="409">
        <v>30</v>
      </c>
      <c r="DU211" s="411">
        <f>IF(DT211=0,0,IF($LB211=70%,VLOOKUP($DS211,'Jan-2026 rates'!$L:$R,4,0),IF($LB211=65%,VLOOKUP($DS211,'Jan-2026 rates'!$L:$R,4,0),IF($LB211=40%,VLOOKUP($DS211,'Jan-2026 rates'!$L:$R,5,0),IF($LB211=30%,VLOOKUP($DS211,'Jan-2026 rates'!$L:$R,6,0),IF($LB211=100%,VLOOKUP($DS211,'Jan-2026 rates'!$L:$R,7,0),IF($LB211=60%,VLOOKUP($DS211,'Jan-2026 rates'!$L:$S,8,0),IF($LB211=80%,VLOOKUP($DS211,'Jan-2026 rates'!L:T,9,0),0))))))))</f>
        <v>0</v>
      </c>
      <c r="DV211" s="412"/>
      <c r="DW211" s="409"/>
      <c r="DX211" s="411">
        <f>IF(DW211=0,0,IF($LB211=70%,VLOOKUP($DS211,'Jan-2026 rates'!$L:$R,4,0),IF($LB211=65%,VLOOKUP($DS211,'Jan-2026 rates'!$L:$R,4,0),IF($LB211=40%,VLOOKUP($DS211,'Jan-2026 rates'!$L:$R,5,0),IF($LB211=30%,VLOOKUP($DS211,'Jan-2026 rates'!$L:$R,6,0),IF($LB211=100%,VLOOKUP($DS211,'Jan-2026 rates'!$L:$R,7,0),IF($LB211=60%,VLOOKUP($DS211,'Jan-2026 rates'!$L:$S,8,0),IF($LB211=80%,VLOOKUP($DS211,'Jan-2026 rates'!L:T,9,0),0))))))))</f>
        <v>0</v>
      </c>
      <c r="DY211" s="413" t="s">
        <v>484</v>
      </c>
      <c r="DZ211" s="413"/>
      <c r="EA211" s="412"/>
      <c r="EB211" s="412"/>
      <c r="EC211" s="412"/>
      <c r="ED211" s="412"/>
      <c r="EE211" s="412"/>
      <c r="EF211" s="412"/>
      <c r="EG211" s="409">
        <v>40</v>
      </c>
      <c r="EH211" s="398">
        <f>IF(EG211=0,0,IF(LEN(DY211)=11,_xlfn.XLOOKUP(DY211,'Dispensed Ink Rates'!C:C,'Dispensed Ink Rates'!CS:CS),VLOOKUP(DY211,'Jan-2026 rates'!$E:$F,2,0)))</f>
        <v>0</v>
      </c>
      <c r="EI211" s="409"/>
      <c r="EJ211" s="398">
        <f>IF(EI211=0,0,IF(LEN(DZ211)=11,_xlfn.XLOOKUP(DZ211,'Dispensed Ink Rates'!C:C,'Dispensed Ink Rates'!CS:CS),VLOOKUP(DZ211,'Jan-2026 rates'!$E:$F,2,0)))</f>
        <v>0</v>
      </c>
      <c r="EK211" s="409"/>
      <c r="EL211" s="398">
        <f>IF(EK211=0,0,IF(LEN(EA211)=11,_xlfn.XLOOKUP(EA211,'Dispensed Ink Rates'!C:C,'Dispensed Ink Rates'!CS:CS),VLOOKUP(EA211,'Jan-2026 rates'!$E:$F,2,0)))</f>
        <v>0</v>
      </c>
      <c r="EM211" s="409"/>
      <c r="EN211" s="398">
        <f>IF(EM211=0,0,IF(LEN(EB211)=11,_xlfn.XLOOKUP(EB211,'Dispensed Ink Rates'!C:C,'Dispensed Ink Rates'!CS:CS),VLOOKUP(EB211,'Jan-2026 rates'!$E:$F,2,0)))</f>
        <v>0</v>
      </c>
      <c r="EO211" s="409"/>
      <c r="EP211" s="398">
        <f>IF(EO211=0,0,IF(LEN(EC211)=11,_xlfn.XLOOKUP(EC211,'Dispensed Ink Rates'!C:C,'Dispensed Ink Rates'!CS:CS),VLOOKUP(EC211,'Jan-2026 rates'!$E:$F,2,0)))</f>
        <v>0</v>
      </c>
      <c r="EQ211" s="409"/>
      <c r="ER211" s="398">
        <f>IF(EQ211=0,0,IF(LEN(ED211)=11,_xlfn.XLOOKUP(ED211,'Dispensed Ink Rates'!C:C,'Dispensed Ink Rates'!CS:CS),VLOOKUP(ED211,'Jan-2026 rates'!$E:$F,2,0)))</f>
        <v>0</v>
      </c>
      <c r="ES211" s="409"/>
      <c r="ET211" s="398">
        <f>IF(ES211=0,0,IF(LEN(EE211)=11,_xlfn.XLOOKUP(EE211,'Dispensed Ink Rates'!C:C,'Dispensed Ink Rates'!CS:CS),VLOOKUP(EE211,'Jan-2026 rates'!$E:$F,2,0)))</f>
        <v>0</v>
      </c>
      <c r="EU211" s="409"/>
      <c r="EV211" s="398">
        <f>IF(EU211=0,0,IF(LEN(EF211)=11,_xlfn.XLOOKUP(EF211,'Dispensed Ink Rates'!C:C,'Dispensed Ink Rates'!CS:CS),VLOOKUP(EF211,'Jan-2026 rates'!$E:$F,2,0)))</f>
        <v>0</v>
      </c>
      <c r="EW211" s="409" t="s">
        <v>1443</v>
      </c>
      <c r="EX211" s="409">
        <v>28</v>
      </c>
      <c r="EY211" s="411">
        <f t="shared" si="168"/>
        <v>0</v>
      </c>
      <c r="EZ211" s="411">
        <f t="shared" si="169"/>
        <v>91.090909090909093</v>
      </c>
      <c r="FA211" s="410">
        <f t="shared" si="170"/>
        <v>0</v>
      </c>
      <c r="FB211" s="405"/>
      <c r="FC211" s="409"/>
      <c r="FD211" s="420" t="str">
        <f t="shared" si="134"/>
        <v xml:space="preserve"> - </v>
      </c>
      <c r="FE211" s="409"/>
      <c r="FF211" s="411">
        <f>IF(FE211=0,0,IF($LB211=70%,VLOOKUP($FD211,'Jan-2026 rates'!$L:$R,4,0),IF($LB211=65%,VLOOKUP($FD211,'Jan-2026 rates'!$L:$R,4,0),IF($LB211=40%,VLOOKUP($FD211,'Jan-2026 rates'!$L:$R,5,0),IF($LB211=30%,VLOOKUP($FD211,'Jan-2026 rates'!$L:$R,6,0),IF($LB211=100%,VLOOKUP($FD211,'Jan-2026 rates'!$L:$R,7,0),IF($LB211=60%,VLOOKUP($FD211,'Jan-2026 rates'!$L:$S,8,0),IF($LB211=80%,VLOOKUP($FD211,'Jan-2026 rates'!L:T,9,0),0))))))))</f>
        <v>0</v>
      </c>
      <c r="FG211" s="412"/>
      <c r="FH211" s="409"/>
      <c r="FI211" s="411">
        <f>IF(FH211=0,0,IF($LB211=70%,VLOOKUP($FD211,'Jan-2026 rates'!$L:$R,4,0),IF($LB211=65%,VLOOKUP($FD211,'Jan-2026 rates'!$L:$R,4,0),IF($LB211=40%,VLOOKUP($FD211,'Jan-2026 rates'!$L:$R,5,0),IF($LB211=30%,VLOOKUP($FD211,'Jan-2026 rates'!$L:$R,6,0),IF($LB211=100%,VLOOKUP($FD211,'Jan-2026 rates'!$L:$R,7,0),IF($LB211=60%,VLOOKUP($FD211,'Jan-2026 rates'!$L:$S,8,0),IF($LB211=80%,VLOOKUP($FD211,'Jan-2026 rates'!L:T,9,0),0))))))))</f>
        <v>0</v>
      </c>
      <c r="FJ211" s="413"/>
      <c r="FK211" s="413"/>
      <c r="FL211" s="413"/>
      <c r="FM211" s="412"/>
      <c r="FN211" s="412"/>
      <c r="FO211" s="412"/>
      <c r="FP211" s="412"/>
      <c r="FQ211" s="412"/>
      <c r="FR211" s="409"/>
      <c r="FS211" s="398">
        <f>IF(FR211=0,0,IF(LEN(FJ211)=11,_xlfn.XLOOKUP(FJ211,'Dispensed Ink Rates'!C:C,'Dispensed Ink Rates'!CS:CS),VLOOKUP(FJ211,'Jan-2026 rates'!$E:$F,2,0)))</f>
        <v>0</v>
      </c>
      <c r="FT211" s="409"/>
      <c r="FU211" s="398">
        <f>IF(FT211=0,0,IF(LEN(FK211)=11,_xlfn.XLOOKUP(FK211,'Dispensed Ink Rates'!C:C,'Dispensed Ink Rates'!CS:CS),VLOOKUP(FK211,'Jan-2026 rates'!$E:$F,2,0)))</f>
        <v>0</v>
      </c>
      <c r="FV211" s="409"/>
      <c r="FW211" s="398">
        <f>IF(FV211=0,0,IF(LEN(FL211)=11,_xlfn.XLOOKUP(FL211,'Dispensed Ink Rates'!C:C,'Dispensed Ink Rates'!CS:CS),VLOOKUP(FL211,'Jan-2026 rates'!$E:$F,2,0)))</f>
        <v>0</v>
      </c>
      <c r="FX211" s="409"/>
      <c r="FY211" s="398">
        <f>IF(FX211=0,0,IF(LEN(FM211)=11,_xlfn.XLOOKUP(FM211,'Dispensed Ink Rates'!C:C,'Dispensed Ink Rates'!CS:CS),VLOOKUP(FM211,'Jan-2026 rates'!$E:$F,2,0)))</f>
        <v>0</v>
      </c>
      <c r="FZ211" s="409"/>
      <c r="GA211" s="398">
        <f>IF(FZ211=0,0,IF(LEN(FN211)=11,_xlfn.XLOOKUP(FN211,'Dispensed Ink Rates'!C:C,'Dispensed Ink Rates'!CS:CS),VLOOKUP(FN211,'Jan-2026 rates'!$E:$F,2,0)))</f>
        <v>0</v>
      </c>
      <c r="GB211" s="409"/>
      <c r="GC211" s="398">
        <f>IF(GB211=0,0,IF(LEN(FO211)=11,_xlfn.XLOOKUP(FO211,'Dispensed Ink Rates'!C:C,'Dispensed Ink Rates'!CS:CS),VLOOKUP(FO211,'Jan-2026 rates'!$E:$F,2,0)))</f>
        <v>0</v>
      </c>
      <c r="GD211" s="409"/>
      <c r="GE211" s="398">
        <f>IF(GD211=0,0,IF(LEN(FP211)=11,_xlfn.XLOOKUP(FP211,'Dispensed Ink Rates'!C:C,'Dispensed Ink Rates'!CS:CS),VLOOKUP(FP211,'Jan-2026 rates'!$E:$F,2,0)))</f>
        <v>0</v>
      </c>
      <c r="GF211" s="409"/>
      <c r="GG211" s="398">
        <f>IF(GF211=0,0,IF(LEN(FQ211)=11,_xlfn.XLOOKUP(FQ211,'Dispensed Ink Rates'!C:C,'Dispensed Ink Rates'!CS:CS),VLOOKUP(FQ211,'Jan-2026 rates'!$E:$F,2,0)))</f>
        <v>0</v>
      </c>
      <c r="GH211" s="409"/>
      <c r="GI211" s="409"/>
      <c r="GJ211" s="411">
        <f t="shared" si="171"/>
        <v>0</v>
      </c>
      <c r="GK211" s="411">
        <f t="shared" si="172"/>
        <v>0</v>
      </c>
      <c r="GL211" s="410">
        <f t="shared" si="173"/>
        <v>0</v>
      </c>
      <c r="GM211" s="405"/>
      <c r="GN211" s="409"/>
      <c r="GO211" s="420" t="str">
        <f t="shared" si="135"/>
        <v xml:space="preserve"> - </v>
      </c>
      <c r="GP211" s="409"/>
      <c r="GQ211" s="411">
        <f>IF(GP211=0,0,IF($LB211=70%,VLOOKUP($GO211,'Jan-2026 rates'!$L:$R,4,0),IF($LB211=65%,VLOOKUP($GO211,'Jan-2026 rates'!$L:$R,4,0),IF($LB211=40%,VLOOKUP($GO211,'Jan-2026 rates'!$L:$R,5,0),IF($LB211=30%,VLOOKUP($GO211,'Jan-2026 rates'!$L:$R,6,0),IF($LB211=100%,VLOOKUP($GO211,'Jan-2026 rates'!$L:$R,7,0),IF($LB211=60%,VLOOKUP($GO211,'Jan-2026 rates'!$L:$S,8,0),IF($LB211=80%,VLOOKUP($GO211,'Jan-2026 rates'!L:T,9,0),0))))))))</f>
        <v>0</v>
      </c>
      <c r="GR211" s="412"/>
      <c r="GS211" s="409"/>
      <c r="GT211" s="411">
        <f>IF(GS211=0,0,IF($LB211=70%,VLOOKUP($GO211,'Jan-2026 rates'!$L:$R,4,0),IF($LB211=65%,VLOOKUP($GO211,'Jan-2026 rates'!$L:$R,4,0),IF($LB211=40%,VLOOKUP($GO211,'Jan-2026 rates'!$L:$R,5,0),IF($LB211=30%,VLOOKUP($GO211,'Jan-2026 rates'!$L:$R,6,0),IF($LB211=100%,VLOOKUP($GO211,'Jan-2026 rates'!$L:$R,7,0),IF($LB211=60%,VLOOKUP($GO211,'Jan-2026 rates'!$L:$S,8,0),IF($LB211=80%,VLOOKUP($GO211,'Jan-2026 rates'!L:T,9,0),0))))))))</f>
        <v>0</v>
      </c>
      <c r="GU211" s="413"/>
      <c r="GV211" s="413"/>
      <c r="GW211" s="412"/>
      <c r="GX211" s="412"/>
      <c r="GY211" s="412"/>
      <c r="GZ211" s="412"/>
      <c r="HA211" s="412"/>
      <c r="HB211" s="412"/>
      <c r="HC211" s="409"/>
      <c r="HD211" s="398">
        <f>IF(HC211=0,0,IF(LEN(GU211)=11,_xlfn.XLOOKUP(GU211,'Dispensed Ink Rates'!C:C,'Dispensed Ink Rates'!CS:CS),VLOOKUP(GU211,'Jan-2026 rates'!$E:$F,2,0)))</f>
        <v>0</v>
      </c>
      <c r="HE211" s="409"/>
      <c r="HF211" s="398">
        <f>IF(HE211=0,0,IF(LEN(GV211)=11,_xlfn.XLOOKUP(GV211,'Dispensed Ink Rates'!C:C,'Dispensed Ink Rates'!CS:CS),VLOOKUP(GV211,'Jan-2026 rates'!$E:$F,2,0)))</f>
        <v>0</v>
      </c>
      <c r="HG211" s="409"/>
      <c r="HH211" s="398">
        <f>IF(HG211=0,0,IF(LEN(GW211)=11,_xlfn.XLOOKUP(GW211,'Dispensed Ink Rates'!C:C,'Dispensed Ink Rates'!CS:CS),VLOOKUP(GW211,'Jan-2026 rates'!$E:$F,2,0)))</f>
        <v>0</v>
      </c>
      <c r="HI211" s="409"/>
      <c r="HJ211" s="398">
        <f>IF(HI211=0,0,IF(LEN(GX211)=11,_xlfn.XLOOKUP(GX211,'Dispensed Ink Rates'!C:C,'Dispensed Ink Rates'!CS:CS),VLOOKUP(GX211,'Jan-2026 rates'!$E:$F,2,0)))</f>
        <v>0</v>
      </c>
      <c r="HK211" s="409"/>
      <c r="HL211" s="398">
        <f>IF(HK211=0,0,IF(LEN(GY211)=11,_xlfn.XLOOKUP(GY211,'Dispensed Ink Rates'!C:C,'Dispensed Ink Rates'!CS:CS),VLOOKUP(GY211,'Jan-2026 rates'!$E:$F,2,0)))</f>
        <v>0</v>
      </c>
      <c r="HM211" s="409"/>
      <c r="HN211" s="398">
        <f>IF(HM211=0,0,IF(LEN(GZ211)=11,_xlfn.XLOOKUP(GZ211,'Dispensed Ink Rates'!C:C,'Dispensed Ink Rates'!CS:CS),VLOOKUP(GZ211,'Jan-2026 rates'!$E:$F,2,0)))</f>
        <v>0</v>
      </c>
      <c r="HO211" s="409"/>
      <c r="HP211" s="398">
        <f>IF(HO211=0,0,IF(LEN(HA211)=11,_xlfn.XLOOKUP(HA211,'Dispensed Ink Rates'!C:C,'Dispensed Ink Rates'!CS:CS),VLOOKUP(HA211,'Jan-2026 rates'!$E:$F,2,0)))</f>
        <v>0</v>
      </c>
      <c r="HQ211" s="409"/>
      <c r="HR211" s="398">
        <f>IF(HQ211=0,0,IF(LEN(HB211)=11,_xlfn.XLOOKUP(HB211,'Dispensed Ink Rates'!C:C,'Dispensed Ink Rates'!CS:CS),VLOOKUP(HB211,'Jan-2026 rates'!$E:$F,2,0)))</f>
        <v>0</v>
      </c>
      <c r="HS211" s="409"/>
      <c r="HT211" s="409"/>
      <c r="HU211" s="411">
        <f t="shared" si="174"/>
        <v>0</v>
      </c>
      <c r="HV211" s="411">
        <f t="shared" si="175"/>
        <v>0</v>
      </c>
      <c r="HW211" s="414">
        <f t="shared" si="176"/>
        <v>0</v>
      </c>
      <c r="HX211" s="405"/>
      <c r="HY211" s="409"/>
      <c r="HZ211" s="420" t="str">
        <f t="shared" si="136"/>
        <v xml:space="preserve"> - </v>
      </c>
      <c r="IA211" s="409"/>
      <c r="IB211" s="411">
        <f>IF(IA211=0,0,IF($LB211=70%,VLOOKUP($HZ211,'Jan-2026 rates'!$L:$R,4,0),IF($LB211=65%,VLOOKUP($HZ211,'Jan-2026 rates'!$L:$R,4,0),IF($LB211=40%,VLOOKUP($HZ211,'Jan-2026 rates'!$L:$R,5,0),IF($LB211=30%,VLOOKUP($HZ211,'Jan-2026 rates'!$L:$R,6,0),IF($LB211=100%,VLOOKUP($HZ211,'Jan-2026 rates'!$L:$R,7,0),IF($LB211=60%,VLOOKUP($HZ211,'Jan-2026 rates'!$L:$S,8,0),IF($LB211=80%,VLOOKUP($HZ211,'Jan-2026 rates'!L:T,9,0),0))))))))</f>
        <v>0</v>
      </c>
      <c r="IC211" s="412"/>
      <c r="ID211" s="409"/>
      <c r="IE211" s="411">
        <f>IF(ID211=0,0,IF($LB211=70%,VLOOKUP($HZ211,'Jan-2026 rates'!$L:$R,4,0),IF($LB211=65%,VLOOKUP($HZ211,'Jan-2026 rates'!$L:$R,4,0),IF($LB211=40%,VLOOKUP($HZ211,'Jan-2026 rates'!$L:$R,5,0),IF($LB211=30%,VLOOKUP($HZ211,'Jan-2026 rates'!$L:$R,6,0),IF($LB211=100%,VLOOKUP($HZ211,'Jan-2026 rates'!$L:$R,7,0),IF($LB211=60%,VLOOKUP($HZ211,'Jan-2026 rates'!$L:$S,8,0),IF($LB211=80%,VLOOKUP($HZ211,'Jan-2026 rates'!L:T,9,0),0))))))))</f>
        <v>0</v>
      </c>
      <c r="IF211" s="412"/>
      <c r="IG211" s="413"/>
      <c r="IH211" s="412"/>
      <c r="II211" s="412"/>
      <c r="IJ211" s="412"/>
      <c r="IK211" s="412"/>
      <c r="IL211" s="412"/>
      <c r="IM211" s="412"/>
      <c r="IN211" s="409"/>
      <c r="IO211" s="398">
        <f>IF(IN211=0,0,IF(LEN(IF211)=11,_xlfn.XLOOKUP(IF211,'Dispensed Ink Rates'!C:C,'Dispensed Ink Rates'!CS:CS),VLOOKUP(IF211,'Jan-2026 rates'!$E:$F,2,0)))</f>
        <v>0</v>
      </c>
      <c r="IP211" s="409"/>
      <c r="IQ211" s="398">
        <f>IF(IP211=0,0,IF(LEN(IG211)=11,_xlfn.XLOOKUP(IG211,'Dispensed Ink Rates'!C:C,'Dispensed Ink Rates'!CS:CS),VLOOKUP(IG211,'Jan-2026 rates'!$E:$F,2,0)))</f>
        <v>0</v>
      </c>
      <c r="IR211" s="409"/>
      <c r="IS211" s="398">
        <f>IF(IR211=0,0,IF(LEN(IH211)=11,_xlfn.XLOOKUP(IH211,'Dispensed Ink Rates'!C:C,'Dispensed Ink Rates'!CS:CS),VLOOKUP(IH211,'Jan-2026 rates'!$E:$F,2,0)))</f>
        <v>0</v>
      </c>
      <c r="IT211" s="409"/>
      <c r="IU211" s="398">
        <f>IF(IT211=0,0,IF(LEN(II211)=11,_xlfn.XLOOKUP(II211,'Dispensed Ink Rates'!C:C,'Dispensed Ink Rates'!CS:CS),VLOOKUP(II211,'Jan-2026 rates'!$E:$F,2,0)))</f>
        <v>0</v>
      </c>
      <c r="IV211" s="409"/>
      <c r="IW211" s="398">
        <f>IF(IV211=0,0,IF(LEN(IJ211)=11,_xlfn.XLOOKUP(IJ211,'Dispensed Ink Rates'!C:C,'Dispensed Ink Rates'!CS:CS),VLOOKUP(IJ211,'Jan-2026 rates'!$E:$F,2,0)))</f>
        <v>0</v>
      </c>
      <c r="IX211" s="409"/>
      <c r="IY211" s="398">
        <f>IF(IX211=0,0,IF(LEN(IK211)=11,_xlfn.XLOOKUP(IK211,'Dispensed Ink Rates'!C:C,'Dispensed Ink Rates'!CS:CS),VLOOKUP(IK211,'Jan-2026 rates'!$E:$F,2,0)))</f>
        <v>0</v>
      </c>
      <c r="IZ211" s="409"/>
      <c r="JA211" s="398">
        <f>IF(IZ211=0,0,IF(LEN(IL211)=11,_xlfn.XLOOKUP(IL211,'Dispensed Ink Rates'!C:C,'Dispensed Ink Rates'!CS:CS),VLOOKUP(IL211,'Jan-2026 rates'!$E:$F,2,0)))</f>
        <v>0</v>
      </c>
      <c r="JB211" s="409"/>
      <c r="JC211" s="398">
        <f>IF(JB211=0,0,IF(LEN(IM211)=11,_xlfn.XLOOKUP(IM211,'Dispensed Ink Rates'!C:C,'Dispensed Ink Rates'!CS:CS),VLOOKUP(IM211,'Jan-2026 rates'!$E:$F,2,0)))</f>
        <v>0</v>
      </c>
      <c r="JD211" s="409"/>
      <c r="JE211" s="409"/>
      <c r="JF211" s="411">
        <f t="shared" si="177"/>
        <v>0</v>
      </c>
      <c r="JG211" s="411">
        <f t="shared" si="178"/>
        <v>0</v>
      </c>
      <c r="JH211" s="410">
        <f t="shared" si="179"/>
        <v>0</v>
      </c>
      <c r="JI211" s="405"/>
      <c r="JJ211" s="409"/>
      <c r="JK211" s="420" t="str">
        <f t="shared" si="137"/>
        <v xml:space="preserve"> - </v>
      </c>
      <c r="JL211" s="409"/>
      <c r="JM211" s="411">
        <f>IF(JL211=0,0,IF($LB211=70%,VLOOKUP($JK211,'Jan-2026 rates'!$L:$R,4,0),IF($LB211=65%,VLOOKUP($JK211,'Jan-2026 rates'!$L:$R,4,0),IF($LB211=40%,VLOOKUP($JK211,'Jan-2026 rates'!$L:$R,5,0),IF($LB211=30%,VLOOKUP($JK211,'Jan-2026 rates'!$L:$R,6,0),IF($LB211=100%,VLOOKUP($JK211,'Jan-2026 rates'!$L:$R,7,0),IF($LB211=60%,VLOOKUP($JK211,'Jan-2026 rates'!$L:$S,8,0),IF($LB211=80%,VLOOKUP($JK211,'Jan-2026 rates'!L:T,9,0),0))))))))</f>
        <v>0</v>
      </c>
      <c r="JN211" s="412"/>
      <c r="JO211" s="409"/>
      <c r="JP211" s="411">
        <f>IF(JO211=0,0,IF($LB211=70%,VLOOKUP($JK211,'Jan-2026 rates'!$L:$R,4,0),IF($LB211=65%,VLOOKUP($JK211,'Jan-2026 rates'!$L:$R,4,0),IF($LB211=40%,VLOOKUP($JK211,'Jan-2026 rates'!$L:$R,5,0),IF($LB211=30%,VLOOKUP($JK211,'Jan-2026 rates'!$L:$R,6,0),IF($LB211=100%,VLOOKUP($JK211,'Jan-2026 rates'!$L:$R,7,0),IF($LB211=60%,VLOOKUP($JK211,'Jan-2026 rates'!$L:$S,8,0),IF($LB211=80%,VLOOKUP($JK211,'Jan-2026 rates'!L:T,9,0),0))))))))</f>
        <v>0</v>
      </c>
      <c r="JQ211" s="413"/>
      <c r="JR211" s="412"/>
      <c r="JS211" s="413"/>
      <c r="JT211" s="413"/>
      <c r="JU211" s="412"/>
      <c r="JV211" s="412"/>
      <c r="JW211" s="412"/>
      <c r="JX211" s="412"/>
      <c r="JY211" s="409"/>
      <c r="JZ211" s="398">
        <f>IF(JY211=0,0,IF(LEN(JQ211)=11,_xlfn.XLOOKUP(JQ211,'Dispensed Ink Rates'!C:C,'Dispensed Ink Rates'!CS:CS),VLOOKUP(JQ211,'Jan-2026 rates'!$E:$F,2,0)))</f>
        <v>0</v>
      </c>
      <c r="KA211" s="409"/>
      <c r="KB211" s="398">
        <f>IF(KA211=0,0,IF(LEN(JR211)=11,_xlfn.XLOOKUP(JR211,'Dispensed Ink Rates'!C:C,'Dispensed Ink Rates'!CS:CS),VLOOKUP(JR211,'Jan-2026 rates'!$E:$F,2,0)))</f>
        <v>0</v>
      </c>
      <c r="KC211" s="409"/>
      <c r="KD211" s="398">
        <f>IF(KC211=0,0,IF(LEN(JS211)=11,_xlfn.XLOOKUP(JS211,'Dispensed Ink Rates'!C:C,'Dispensed Ink Rates'!CS:CS),VLOOKUP(JS211,'Jan-2026 rates'!$E:$F,2,0)))</f>
        <v>0</v>
      </c>
      <c r="KE211" s="409"/>
      <c r="KF211" s="398">
        <f>IF(KE211=0,0,IF(LEN(JT211)=11,_xlfn.XLOOKUP(JT211,'Dispensed Ink Rates'!C:C,'Dispensed Ink Rates'!CS:CS),VLOOKUP(JT211,'Jan-2026 rates'!$E:$F,2,0)))</f>
        <v>0</v>
      </c>
      <c r="KG211" s="409"/>
      <c r="KH211" s="398">
        <f>IF(KG211=0,0,IF(LEN(JU211)=11,_xlfn.XLOOKUP(JU211,'Dispensed Ink Rates'!C:C,'Dispensed Ink Rates'!CS:CS),VLOOKUP(JU211,'Jan-2026 rates'!$E:$F,2,0)))</f>
        <v>0</v>
      </c>
      <c r="KI211" s="409"/>
      <c r="KJ211" s="398">
        <f>IF(KI211=0,0,IF(LEN(JV211)=11,_xlfn.XLOOKUP(JV211,'Dispensed Ink Rates'!C:C,'Dispensed Ink Rates'!CS:CS),VLOOKUP(JV211,'Jan-2026 rates'!$E:$F,2,0)))</f>
        <v>0</v>
      </c>
      <c r="KK211" s="409"/>
      <c r="KL211" s="398">
        <f>IF(KK211=0,0,IF(LEN(JW211)=11,_xlfn.XLOOKUP(JW211,'Dispensed Ink Rates'!C:C,'Dispensed Ink Rates'!CS:CS),VLOOKUP(JW211,'Jan-2026 rates'!$E:$F,2,0)))</f>
        <v>0</v>
      </c>
      <c r="KM211" s="428"/>
      <c r="KN211" s="398">
        <f>IF(KM211=0,0,IF(LEN(JX211)=11,_xlfn.XLOOKUP(JX211,'Dispensed Ink Rates'!C:C,'Dispensed Ink Rates'!CS:CS),VLOOKUP(JX211,'Jan-2026 rates'!$E:$F,2,0)))</f>
        <v>0</v>
      </c>
      <c r="KO211" s="409"/>
      <c r="KP211" s="409"/>
      <c r="KQ211" s="411">
        <f t="shared" si="180"/>
        <v>0</v>
      </c>
      <c r="KR211" s="411">
        <f t="shared" si="181"/>
        <v>0</v>
      </c>
      <c r="KS211" s="410">
        <f t="shared" si="182"/>
        <v>0</v>
      </c>
      <c r="KT211" s="409">
        <v>0</v>
      </c>
      <c r="KU211" s="409">
        <v>4</v>
      </c>
      <c r="KV211" s="409">
        <v>3</v>
      </c>
      <c r="KW211" s="409">
        <v>15</v>
      </c>
      <c r="KX211" s="409">
        <v>0</v>
      </c>
      <c r="KY211" s="409">
        <v>0</v>
      </c>
      <c r="KZ211" s="409">
        <v>0</v>
      </c>
      <c r="LA211" s="409">
        <v>0</v>
      </c>
      <c r="LB211" s="415">
        <v>0.8</v>
      </c>
      <c r="LC211" s="415">
        <v>0.2</v>
      </c>
      <c r="LD211" s="415"/>
      <c r="LE211" s="415"/>
      <c r="LF211" s="415"/>
      <c r="LG211" s="409">
        <v>0</v>
      </c>
      <c r="LH211" s="409">
        <f>15+17+32+8</f>
        <v>72</v>
      </c>
      <c r="LI211" s="409">
        <v>0</v>
      </c>
      <c r="LJ211" s="409">
        <v>0</v>
      </c>
      <c r="LK211" s="416">
        <f t="shared" si="138"/>
        <v>72</v>
      </c>
      <c r="LL211" s="416">
        <f t="shared" si="139"/>
        <v>72</v>
      </c>
      <c r="LM211" s="417">
        <f t="shared" si="140"/>
        <v>57.6</v>
      </c>
      <c r="LN211" s="417">
        <f>VLOOKUP($LM$8,'Jan-2026 rates'!$H:$I,2,0)</f>
        <v>0</v>
      </c>
      <c r="LO211" s="417">
        <f t="shared" si="141"/>
        <v>14.4</v>
      </c>
      <c r="LP211" s="417">
        <f>VLOOKUP($LO$8,'Jan-2026 rates'!$H:$I,2,0)</f>
        <v>0</v>
      </c>
      <c r="LQ211" s="417">
        <f t="shared" si="142"/>
        <v>0</v>
      </c>
      <c r="LR211" s="417">
        <f>VLOOKUP($LQ$8,'Jan-2026 rates'!$H:$I,2,0)</f>
        <v>0</v>
      </c>
      <c r="LS211" s="417">
        <f t="shared" si="143"/>
        <v>0</v>
      </c>
      <c r="LT211" s="417">
        <f>VLOOKUP($LS$8,'Jan-2026 rates'!$H:$I,2,0)</f>
        <v>0</v>
      </c>
      <c r="LU211" s="417">
        <f t="shared" si="144"/>
        <v>0</v>
      </c>
      <c r="LV211" s="417">
        <f>VLOOKUP($LU$8,'Jan-2026 rates'!$H:$I,2,0)</f>
        <v>0</v>
      </c>
      <c r="LW211" s="417">
        <f t="shared" si="145"/>
        <v>0</v>
      </c>
      <c r="LX211" s="417">
        <f t="shared" si="146"/>
        <v>0</v>
      </c>
      <c r="LY211" s="418">
        <f t="shared" si="147"/>
        <v>0</v>
      </c>
      <c r="LZ211" s="417"/>
      <c r="MA211" s="435">
        <f t="shared" si="148"/>
        <v>117.5</v>
      </c>
      <c r="MB211" s="282">
        <f t="shared" si="149"/>
        <v>151.5</v>
      </c>
      <c r="MC211" s="283">
        <v>104</v>
      </c>
      <c r="MD211" s="284" t="str">
        <f t="shared" si="150"/>
        <v>FLINTSLFLINTSLFLINTSLFLINTSL</v>
      </c>
      <c r="ME211" s="293" t="str">
        <f t="shared" si="151"/>
        <v>+</v>
      </c>
      <c r="MF211" s="293" t="str">
        <f t="shared" si="152"/>
        <v>+</v>
      </c>
      <c r="MG211" s="293" t="str">
        <f t="shared" si="153"/>
        <v>+</v>
      </c>
      <c r="MH211" s="293" t="str">
        <f t="shared" si="154"/>
        <v>+</v>
      </c>
      <c r="MI211" s="293" t="str">
        <f t="shared" si="155"/>
        <v>NIL</v>
      </c>
      <c r="MJ211" s="293" t="str">
        <f t="shared" si="156"/>
        <v>NIL</v>
      </c>
      <c r="MK211" s="293" t="str">
        <f t="shared" si="157"/>
        <v>NIL</v>
      </c>
      <c r="ML211" s="293" t="str">
        <f t="shared" si="158"/>
        <v>NIL</v>
      </c>
      <c r="MM211" s="3" t="b">
        <f t="array" ref="MM211">OR(ME211:ML211="-")</f>
        <v>0</v>
      </c>
      <c r="MN211" s="285"/>
      <c r="MO211" s="401"/>
      <c r="MP211" s="286"/>
      <c r="MQ211" s="286"/>
      <c r="MR211" s="402"/>
      <c r="MS211" s="400"/>
      <c r="NH211" s="422"/>
      <c r="NJ211" s="421"/>
    </row>
    <row r="212" spans="1:374" s="1" customFormat="1" ht="16.5">
      <c r="A212" s="403">
        <v>46037</v>
      </c>
      <c r="B212" s="404" t="s">
        <v>1018</v>
      </c>
      <c r="C212" s="405" t="s">
        <v>3813</v>
      </c>
      <c r="D212" s="406">
        <v>105</v>
      </c>
      <c r="E212" s="404">
        <v>864</v>
      </c>
      <c r="F212" s="407">
        <v>61600</v>
      </c>
      <c r="G212" s="407" t="s">
        <v>1019</v>
      </c>
      <c r="H212" s="408" t="s">
        <v>1017</v>
      </c>
      <c r="I212" s="409">
        <v>0.67</v>
      </c>
      <c r="J212" s="405" t="s">
        <v>543</v>
      </c>
      <c r="K212" s="404" t="s">
        <v>3814</v>
      </c>
      <c r="L212" s="419" t="str">
        <f t="shared" si="131"/>
        <v>FLINTSL - BLACK</v>
      </c>
      <c r="M212" s="404">
        <v>20</v>
      </c>
      <c r="N212" s="410">
        <f>IF(M212=0,0,IF($LB212=70%,VLOOKUP($L212,'Jan-2026 rates'!$L:$R,4,0),IF($LB212=65%,VLOOKUP($L212,'Jan-2026 rates'!$L:$R,4,0),IF($LB212=40%,VLOOKUP($L212,'Jan-2026 rates'!$L:$R,5,0),IF($LB212=30%,VLOOKUP($L212,'Jan-2026 rates'!$L:$R,6,0),IF($LB212=100%,VLOOKUP($L212,'Jan-2026 rates'!$L:$R,7,0),IF($LB212=60%,VLOOKUP($L212,'Jan-2026 rates'!$L:$S,8,0),IF($LB212=80%,VLOOKUP($L212,'Jan-2026 rates'!L:T,9,0),0))))))))</f>
        <v>0</v>
      </c>
      <c r="O212" s="406"/>
      <c r="P212" s="404"/>
      <c r="Q212" s="410">
        <f>IF(P212=0,0,IF($LB212=70%,VLOOKUP($L212,'Jan-2026 rates'!$L:$R,4,0),IF($LB212=65%,VLOOKUP($L212,'Jan-2026 rates'!$L:$R,4,0),IF($LB212=40%,VLOOKUP($L212,'Jan-2026 rates'!$L:$R,5,0),IF($LB212=30%,VLOOKUP($L212,'Jan-2026 rates'!$L:$R,6,0),IF($LB212=100%,VLOOKUP($L212,'Jan-2026 rates'!$L:$R,7,0),IF($LB212=60%,VLOOKUP($L212,'Jan-2026 rates'!$L:$S,8,0),IF($LB212=80%,VLOOKUP($L212,'Jan-2026 rates'!L:T,9,0),0))))))))</f>
        <v>0</v>
      </c>
      <c r="R212" s="406">
        <v>26519000013</v>
      </c>
      <c r="S212" s="406"/>
      <c r="T212" s="406"/>
      <c r="U212" s="406"/>
      <c r="V212" s="406"/>
      <c r="W212" s="406"/>
      <c r="X212" s="406"/>
      <c r="Y212" s="406"/>
      <c r="Z212" s="404">
        <v>6</v>
      </c>
      <c r="AA212" s="398" t="e">
        <f>IF(Z212=0,0,IF(LEN(R212)=11,_xlfn.XLOOKUP(R212,'Dispensed Ink Rates'!C:C,'Dispensed Ink Rates'!CS:CS),VLOOKUP(R212,'Jan-2026 rates'!$E:$F,2,0)))</f>
        <v>#N/A</v>
      </c>
      <c r="AB212" s="404"/>
      <c r="AC212" s="398">
        <f>IF(AB212=0,0,IF(LEN(S212)=11,_xlfn.XLOOKUP(S212,'Dispensed Ink Rates'!C:C,'Dispensed Ink Rates'!CS:CS),VLOOKUP(S212,'Jan-2026 rates'!$E:$F,2,0)))</f>
        <v>0</v>
      </c>
      <c r="AD212" s="404"/>
      <c r="AE212" s="398">
        <f>IF(AD212=0,0,IF(LEN(T212)=11,_xlfn.XLOOKUP(T212,'Dispensed Ink Rates'!C:C,'Dispensed Ink Rates'!CS:CS),VLOOKUP(T212,'Jan-2026 rates'!$E:$F,2,0)))</f>
        <v>0</v>
      </c>
      <c r="AF212" s="404"/>
      <c r="AG212" s="398">
        <f>IF(AF212=0,0,IF(LEN(U212)=11,_xlfn.XLOOKUP(U212,'Dispensed Ink Rates'!C:C,'Dispensed Ink Rates'!CS:CS),VLOOKUP(U212,'Jan-2026 rates'!$E:$F,2,0)))</f>
        <v>0</v>
      </c>
      <c r="AH212" s="404"/>
      <c r="AI212" s="398">
        <f>IF(AH212=0,0,IF(LEN(V212)=11,_xlfn.XLOOKUP(V212,'Dispensed Ink Rates'!C:C,'Dispensed Ink Rates'!CS:CS),VLOOKUP(V212,'Jan-2026 rates'!$E:$F,2,0)))</f>
        <v>0</v>
      </c>
      <c r="AJ212" s="404"/>
      <c r="AK212" s="398">
        <f>IF(AJ212=0,0,IF(LEN(W212)=11,_xlfn.XLOOKUP(W212,'Dispensed Ink Rates'!C:C,'Dispensed Ink Rates'!CS:CS),VLOOKUP(W212,'Jan-2026 rates'!$E:$F,2,0)))</f>
        <v>0</v>
      </c>
      <c r="AL212" s="404"/>
      <c r="AM212" s="398">
        <f>IF(AL212=0,0,IF(LEN(X212)=11,_xlfn.XLOOKUP(X212,'Dispensed Ink Rates'!C:C,'Dispensed Ink Rates'!CS:CS),VLOOKUP(X212,'Jan-2026 rates'!$E:$F,2,0)))</f>
        <v>0</v>
      </c>
      <c r="AN212" s="404"/>
      <c r="AO212" s="398">
        <f>IF(AN212=0,0,IF(LEN(Y212)=11,_xlfn.XLOOKUP(Y212,'Dispensed Ink Rates'!C:C,'Dispensed Ink Rates'!CS:CS),VLOOKUP(Y212,'Jan-2026 rates'!$E:$F,2,0)))</f>
        <v>0</v>
      </c>
      <c r="AP212" s="409" t="s">
        <v>1443</v>
      </c>
      <c r="AQ212" s="409">
        <v>19</v>
      </c>
      <c r="AR212" s="410">
        <f t="shared" si="159"/>
        <v>0</v>
      </c>
      <c r="AS212" s="411">
        <f t="shared" si="160"/>
        <v>35</v>
      </c>
      <c r="AT212" s="410">
        <f t="shared" si="161"/>
        <v>0</v>
      </c>
      <c r="AU212" s="405" t="s">
        <v>546</v>
      </c>
      <c r="AV212" s="409" t="s">
        <v>3752</v>
      </c>
      <c r="AW212" s="420" t="str">
        <f t="shared" si="183"/>
        <v>FLINTSL - REFLEX BLUE</v>
      </c>
      <c r="AX212" s="409">
        <v>5</v>
      </c>
      <c r="AY212" s="411">
        <f>IF(AX212=0,0,IF($LB212=70%,VLOOKUP($AW212,'Jan-2026 rates'!$L:$R,4,0),IF($LB212=65%,VLOOKUP($AW212,'Jan-2026 rates'!$L:$R,4,0),IF($LB212=40%,VLOOKUP($AW212,'Jan-2026 rates'!$L:$R,5,0),IF($LB212=30%,VLOOKUP($AW212,'Jan-2026 rates'!$L:$R,6,0),IF($LB212=100%,VLOOKUP($AW212,'Jan-2026 rates'!$L:$R,7,0),IF($LB212=60%,VLOOKUP($AW212,'Jan-2026 rates'!$L:$S,8,0),IF($LB212=80%,VLOOKUP($AW212,'Jan-2026 rates'!L:T,9,0),0))))))))</f>
        <v>0</v>
      </c>
      <c r="AZ212" s="412"/>
      <c r="BA212" s="409"/>
      <c r="BB212" s="411">
        <f>IF(BA212=0,0,IF($LB212=70%,VLOOKUP($AW212,'Jan-2026 rates'!$L:$R,4,0),IF($LB212=65%,VLOOKUP($AW212,'Jan-2026 rates'!$L:$R,4,0),IF($LB212=40%,VLOOKUP($AW212,'Jan-2026 rates'!$L:$R,5,0),IF($LB212=30%,VLOOKUP($AW212,'Jan-2026 rates'!$L:$R,6,0),IF($LB212=100%,VLOOKUP($AW212,'Jan-2026 rates'!$L:$R,7,0),IF($LB212=60%,VLOOKUP($AW212,'Jan-2026 rates'!$L:$S,8,0),IF($LB212=80%,VLOOKUP($AW212,'Jan-2026 rates'!L:T,9,0),0))))))))</f>
        <v>0</v>
      </c>
      <c r="BC212" s="413">
        <v>26512000002</v>
      </c>
      <c r="BD212" s="412">
        <v>26513000011</v>
      </c>
      <c r="BE212" s="412">
        <v>26514000008</v>
      </c>
      <c r="BF212" s="413">
        <v>26512000001</v>
      </c>
      <c r="BG212" s="412"/>
      <c r="BH212" s="412"/>
      <c r="BI212" s="412"/>
      <c r="BJ212" s="412"/>
      <c r="BK212" s="409">
        <v>3</v>
      </c>
      <c r="BL212" s="398" t="e">
        <f>IF(BK212=0,0,IF(LEN(BC212)=11,_xlfn.XLOOKUP(BC212,'Dispensed Ink Rates'!C:C,'Dispensed Ink Rates'!CS:CS),VLOOKUP(BC212,'Jan-2026 rates'!$E:$F,2,0)))</f>
        <v>#N/A</v>
      </c>
      <c r="BM212" s="409">
        <v>6</v>
      </c>
      <c r="BN212" s="398" t="e">
        <f>IF(BM212=0,0,IF(LEN(BD212)=11,_xlfn.XLOOKUP(BD212,'Dispensed Ink Rates'!C:C,'Dispensed Ink Rates'!CS:CS),VLOOKUP(BD212,'Jan-2026 rates'!$E:$F,2,0)))</f>
        <v>#N/A</v>
      </c>
      <c r="BO212" s="409">
        <f>1+1</f>
        <v>2</v>
      </c>
      <c r="BP212" s="398" t="e">
        <f>IF(BO212=0,0,IF(LEN(BE212)=11,_xlfn.XLOOKUP(BE212,'Dispensed Ink Rates'!C:C,'Dispensed Ink Rates'!CS:CS),VLOOKUP(BE212,'Jan-2026 rates'!$E:$F,2,0)))</f>
        <v>#N/A</v>
      </c>
      <c r="BQ212" s="409">
        <v>4</v>
      </c>
      <c r="BR212" s="398" t="e">
        <f>IF(BQ212=0,0,IF(LEN(BF212)=11,_xlfn.XLOOKUP(BF212,'Dispensed Ink Rates'!C:C,'Dispensed Ink Rates'!CS:CS),VLOOKUP(BF212,'Jan-2026 rates'!$E:$F,2,0)))</f>
        <v>#N/A</v>
      </c>
      <c r="BS212" s="409"/>
      <c r="BT212" s="398">
        <f>IF(BS212=0,0,IF(LEN(BG212)=11,_xlfn.XLOOKUP(BG212,'Dispensed Ink Rates'!C:C,'Dispensed Ink Rates'!CS:CS),VLOOKUP(BG212,'Jan-2026 rates'!$E:$F,2,0)))</f>
        <v>0</v>
      </c>
      <c r="BU212" s="409"/>
      <c r="BV212" s="398">
        <f>IF(BU212=0,0,IF(LEN(BH212)=11,_xlfn.XLOOKUP(BH212,'Dispensed Ink Rates'!C:C,'Dispensed Ink Rates'!CS:CS),VLOOKUP(BH212,'Jan-2026 rates'!$E:$F,2,0)))</f>
        <v>0</v>
      </c>
      <c r="BW212" s="409"/>
      <c r="BX212" s="398">
        <f>IF(BW212=0,0,IF(LEN(BI212)=11,_xlfn.XLOOKUP(BI212,'Dispensed Ink Rates'!C:C,'Dispensed Ink Rates'!CS:CS),VLOOKUP(BI212,'Jan-2026 rates'!$E:$F,2,0)))</f>
        <v>0</v>
      </c>
      <c r="BY212" s="409"/>
      <c r="BZ212" s="398">
        <f>IF(BY212=0,0,IF(LEN(BJ212)=11,_xlfn.XLOOKUP(BJ212,'Dispensed Ink Rates'!C:C,'Dispensed Ink Rates'!CS:CS),VLOOKUP(BJ212,'Jan-2026 rates'!$E:$F,2,0)))</f>
        <v>0</v>
      </c>
      <c r="CA212" s="409" t="s">
        <v>1443</v>
      </c>
      <c r="CB212" s="409">
        <v>24</v>
      </c>
      <c r="CC212" s="411">
        <f t="shared" si="162"/>
        <v>0</v>
      </c>
      <c r="CD212" s="411">
        <f t="shared" si="163"/>
        <v>28</v>
      </c>
      <c r="CE212" s="410">
        <f t="shared" si="164"/>
        <v>0</v>
      </c>
      <c r="CF212" s="404" t="s">
        <v>543</v>
      </c>
      <c r="CG212" s="409" t="s">
        <v>3392</v>
      </c>
      <c r="CH212" s="420" t="str">
        <f t="shared" si="132"/>
        <v>FLINTSL - BLACK</v>
      </c>
      <c r="CI212" s="409">
        <v>10</v>
      </c>
      <c r="CJ212" s="411">
        <f>IF(CI212=0,0,IF($LB212=70%,VLOOKUP($CH212,'Jan-2026 rates'!$L:$R,4,0),IF($LB212=65%,VLOOKUP($CH212,'Jan-2026 rates'!$L:$R,4,0),IF($LB212=40%,VLOOKUP($CH212,'Jan-2026 rates'!$L:$R,5,0),IF($LB212=30%,VLOOKUP($CH212,'Jan-2026 rates'!$L:$R,6,0),IF($LB212=100%,VLOOKUP($CH212,'Jan-2026 rates'!$L:$R,7,0),IF($LB212=60%,VLOOKUP($CH212,'Jan-2026 rates'!$L:$S,8,0),IF($LB212=80%,VLOOKUP($CH212,'Jan-2026 rates'!L:T,9,0),0))))))))</f>
        <v>0</v>
      </c>
      <c r="CK212" s="412" t="s">
        <v>3815</v>
      </c>
      <c r="CL212" s="409">
        <f>20+15</f>
        <v>35</v>
      </c>
      <c r="CM212" s="411">
        <f>IF(CL212=0,0,IF($LB212=70%,VLOOKUP($CH212,'Jan-2026 rates'!$L:$R,4,0),IF($LB212=65%,VLOOKUP($CH212,'Jan-2026 rates'!$L:$R,4,0),IF($LB212=40%,VLOOKUP($CH212,'Jan-2026 rates'!$L:$R,5,0),IF($LB212=30%,VLOOKUP($CH212,'Jan-2026 rates'!$L:$R,6,0),IF($LB212=100%,VLOOKUP($CH212,'Jan-2026 rates'!$L:$R,7,0),IF($LB212=60%,VLOOKUP($CH212,'Jan-2026 rates'!$L:$S,8,0),IF($LB212=80%,VLOOKUP($CH212,'Jan-2026 rates'!L:T,9,0),0))))))))</f>
        <v>0</v>
      </c>
      <c r="CN212" s="426">
        <v>26515000023</v>
      </c>
      <c r="CO212" s="427">
        <v>26515000028</v>
      </c>
      <c r="CP212" s="426">
        <v>26515000026</v>
      </c>
      <c r="CQ212" s="426">
        <v>26514000008</v>
      </c>
      <c r="CR212" s="428">
        <v>26519000013</v>
      </c>
      <c r="CS212" s="428"/>
      <c r="CT212" s="428"/>
      <c r="CU212" s="428"/>
      <c r="CV212" s="409">
        <v>30</v>
      </c>
      <c r="CW212" s="398" t="e">
        <f>IF(CV212=0,0,IF(LEN(CN212)=11,_xlfn.XLOOKUP(CN212,'Dispensed Ink Rates'!C:C,'Dispensed Ink Rates'!CS:CS),VLOOKUP(CN212,'Jan-2026 rates'!$E:$F,2,0)))</f>
        <v>#N/A</v>
      </c>
      <c r="CX212" s="409">
        <v>80</v>
      </c>
      <c r="CY212" s="398" t="e">
        <f>IF(CX212=0,0,IF(LEN(CO212)=11,_xlfn.XLOOKUP(CO212,'Dispensed Ink Rates'!C:C,'Dispensed Ink Rates'!CS:CS),VLOOKUP(CO212,'Jan-2026 rates'!$E:$F,2,0)))</f>
        <v>#N/A</v>
      </c>
      <c r="CZ212" s="409">
        <v>40</v>
      </c>
      <c r="DA212" s="398" t="e">
        <f>IF(CZ212=0,0,IF(LEN(CP212)=11,_xlfn.XLOOKUP(CP212,'Dispensed Ink Rates'!C:C,'Dispensed Ink Rates'!CS:CS),VLOOKUP(CP212,'Jan-2026 rates'!$E:$F,2,0)))</f>
        <v>#N/A</v>
      </c>
      <c r="DB212" s="409">
        <v>7</v>
      </c>
      <c r="DC212" s="398" t="e">
        <f>IF(DB212=0,0,IF(LEN(CQ212)=11,_xlfn.XLOOKUP(CQ212,'Dispensed Ink Rates'!C:C,'Dispensed Ink Rates'!CS:CS),VLOOKUP(CQ212,'Jan-2026 rates'!$E:$F,2,0)))</f>
        <v>#N/A</v>
      </c>
      <c r="DD212" s="409">
        <v>2</v>
      </c>
      <c r="DE212" s="398" t="e">
        <f>IF(DD212=0,0,IF(LEN(CR212)=11,_xlfn.XLOOKUP(CR212,'Dispensed Ink Rates'!C:C,'Dispensed Ink Rates'!CS:CS),VLOOKUP(CR212,'Jan-2026 rates'!$E:$F,2,0)))</f>
        <v>#N/A</v>
      </c>
      <c r="DF212" s="409"/>
      <c r="DG212" s="398">
        <f>IF(DF212=0,0,IF(LEN(CS212)=11,_xlfn.XLOOKUP(CS212,'Dispensed Ink Rates'!C:C,'Dispensed Ink Rates'!CS:CS),VLOOKUP(CS212,'Jan-2026 rates'!$E:$F,2,0)))</f>
        <v>0</v>
      </c>
      <c r="DH212" s="409"/>
      <c r="DI212" s="398">
        <f>IF(DH212=0,0,IF(LEN(CT212)=11,_xlfn.XLOOKUP(CT212,'Dispensed Ink Rates'!C:C,'Dispensed Ink Rates'!CS:CS),VLOOKUP(CT212,'Jan-2026 rates'!$E:$F,2,0)))</f>
        <v>0</v>
      </c>
      <c r="DJ212" s="409"/>
      <c r="DK212" s="398">
        <f>IF(DJ212=0,0,IF(LEN(CU212)=11,_xlfn.XLOOKUP(CU212,'Dispensed Ink Rates'!C:C,'Dispensed Ink Rates'!CS:CS),VLOOKUP(CU212,'Jan-2026 rates'!$E:$F,2,0)))</f>
        <v>0</v>
      </c>
      <c r="DL212" s="409" t="s">
        <v>1443</v>
      </c>
      <c r="DM212" s="409">
        <v>27</v>
      </c>
      <c r="DN212" s="411">
        <f t="shared" si="165"/>
        <v>0</v>
      </c>
      <c r="DO212" s="411">
        <f t="shared" si="166"/>
        <v>217</v>
      </c>
      <c r="DP212" s="410">
        <f t="shared" si="167"/>
        <v>0</v>
      </c>
      <c r="DQ212" s="405" t="s">
        <v>855</v>
      </c>
      <c r="DR212" s="409" t="s">
        <v>3816</v>
      </c>
      <c r="DS212" s="420" t="str">
        <f t="shared" si="133"/>
        <v>FLINTSL - CYAN</v>
      </c>
      <c r="DT212" s="409">
        <v>27</v>
      </c>
      <c r="DU212" s="411">
        <f>IF(DT212=0,0,IF($LB212=70%,VLOOKUP($DS212,'Jan-2026 rates'!$L:$R,4,0),IF($LB212=65%,VLOOKUP($DS212,'Jan-2026 rates'!$L:$R,4,0),IF($LB212=40%,VLOOKUP($DS212,'Jan-2026 rates'!$L:$R,5,0),IF($LB212=30%,VLOOKUP($DS212,'Jan-2026 rates'!$L:$R,6,0),IF($LB212=100%,VLOOKUP($DS212,'Jan-2026 rates'!$L:$R,7,0),IF($LB212=60%,VLOOKUP($DS212,'Jan-2026 rates'!$L:$S,8,0),IF($LB212=80%,VLOOKUP($DS212,'Jan-2026 rates'!L:T,9,0),0))))))))</f>
        <v>0</v>
      </c>
      <c r="DV212" s="412"/>
      <c r="DW212" s="409"/>
      <c r="DX212" s="411">
        <f>IF(DW212=0,0,IF($LB212=70%,VLOOKUP($DS212,'Jan-2026 rates'!$L:$R,4,0),IF($LB212=65%,VLOOKUP($DS212,'Jan-2026 rates'!$L:$R,4,0),IF($LB212=40%,VLOOKUP($DS212,'Jan-2026 rates'!$L:$R,5,0),IF($LB212=30%,VLOOKUP($DS212,'Jan-2026 rates'!$L:$R,6,0),IF($LB212=100%,VLOOKUP($DS212,'Jan-2026 rates'!$L:$R,7,0),IF($LB212=60%,VLOOKUP($DS212,'Jan-2026 rates'!$L:$S,8,0),IF($LB212=80%,VLOOKUP($DS212,'Jan-2026 rates'!L:T,9,0),0))))))))</f>
        <v>0</v>
      </c>
      <c r="DY212" s="413">
        <v>26512000001</v>
      </c>
      <c r="DZ212" s="413"/>
      <c r="EA212" s="412"/>
      <c r="EB212" s="412"/>
      <c r="EC212" s="412"/>
      <c r="ED212" s="412"/>
      <c r="EE212" s="412"/>
      <c r="EF212" s="412"/>
      <c r="EG212" s="409">
        <v>2</v>
      </c>
      <c r="EH212" s="398" t="e">
        <f>IF(EG212=0,0,IF(LEN(DY212)=11,_xlfn.XLOOKUP(DY212,'Dispensed Ink Rates'!C:C,'Dispensed Ink Rates'!CS:CS),VLOOKUP(DY212,'Jan-2026 rates'!$E:$F,2,0)))</f>
        <v>#N/A</v>
      </c>
      <c r="EI212" s="409"/>
      <c r="EJ212" s="398">
        <f>IF(EI212=0,0,IF(LEN(DZ212)=11,_xlfn.XLOOKUP(DZ212,'Dispensed Ink Rates'!C:C,'Dispensed Ink Rates'!CS:CS),VLOOKUP(DZ212,'Jan-2026 rates'!$E:$F,2,0)))</f>
        <v>0</v>
      </c>
      <c r="EK212" s="409"/>
      <c r="EL212" s="398">
        <f>IF(EK212=0,0,IF(LEN(EA212)=11,_xlfn.XLOOKUP(EA212,'Dispensed Ink Rates'!C:C,'Dispensed Ink Rates'!CS:CS),VLOOKUP(EA212,'Jan-2026 rates'!$E:$F,2,0)))</f>
        <v>0</v>
      </c>
      <c r="EM212" s="409"/>
      <c r="EN212" s="398">
        <f>IF(EM212=0,0,IF(LEN(EB212)=11,_xlfn.XLOOKUP(EB212,'Dispensed Ink Rates'!C:C,'Dispensed Ink Rates'!CS:CS),VLOOKUP(EB212,'Jan-2026 rates'!$E:$F,2,0)))</f>
        <v>0</v>
      </c>
      <c r="EO212" s="409"/>
      <c r="EP212" s="398">
        <f>IF(EO212=0,0,IF(LEN(EC212)=11,_xlfn.XLOOKUP(EC212,'Dispensed Ink Rates'!C:C,'Dispensed Ink Rates'!CS:CS),VLOOKUP(EC212,'Jan-2026 rates'!$E:$F,2,0)))</f>
        <v>0</v>
      </c>
      <c r="EQ212" s="409"/>
      <c r="ER212" s="398">
        <f>IF(EQ212=0,0,IF(LEN(ED212)=11,_xlfn.XLOOKUP(ED212,'Dispensed Ink Rates'!C:C,'Dispensed Ink Rates'!CS:CS),VLOOKUP(ED212,'Jan-2026 rates'!$E:$F,2,0)))</f>
        <v>0</v>
      </c>
      <c r="ES212" s="409"/>
      <c r="ET212" s="398">
        <f>IF(ES212=0,0,IF(LEN(EE212)=11,_xlfn.XLOOKUP(EE212,'Dispensed Ink Rates'!C:C,'Dispensed Ink Rates'!CS:CS),VLOOKUP(EE212,'Jan-2026 rates'!$E:$F,2,0)))</f>
        <v>0</v>
      </c>
      <c r="EU212" s="409"/>
      <c r="EV212" s="398">
        <f>IF(EU212=0,0,IF(LEN(EF212)=11,_xlfn.XLOOKUP(EF212,'Dispensed Ink Rates'!C:C,'Dispensed Ink Rates'!CS:CS),VLOOKUP(EF212,'Jan-2026 rates'!$E:$F,2,0)))</f>
        <v>0</v>
      </c>
      <c r="EW212" s="409" t="s">
        <v>1443</v>
      </c>
      <c r="EX212" s="409">
        <v>24</v>
      </c>
      <c r="EY212" s="411">
        <f t="shared" si="168"/>
        <v>0</v>
      </c>
      <c r="EZ212" s="411">
        <f t="shared" si="169"/>
        <v>21</v>
      </c>
      <c r="FA212" s="410">
        <f t="shared" si="170"/>
        <v>0</v>
      </c>
      <c r="FB212" s="405" t="s">
        <v>544</v>
      </c>
      <c r="FC212" s="409" t="s">
        <v>3817</v>
      </c>
      <c r="FD212" s="420" t="str">
        <f t="shared" si="134"/>
        <v>FLINTSL - MAGENTA</v>
      </c>
      <c r="FE212" s="409">
        <v>25</v>
      </c>
      <c r="FF212" s="411">
        <f>IF(FE212=0,0,IF($LB212=70%,VLOOKUP($FD212,'Jan-2026 rates'!$L:$R,4,0),IF($LB212=65%,VLOOKUP($FD212,'Jan-2026 rates'!$L:$R,4,0),IF($LB212=40%,VLOOKUP($FD212,'Jan-2026 rates'!$L:$R,5,0),IF($LB212=30%,VLOOKUP($FD212,'Jan-2026 rates'!$L:$R,6,0),IF($LB212=100%,VLOOKUP($FD212,'Jan-2026 rates'!$L:$R,7,0),IF($LB212=60%,VLOOKUP($FD212,'Jan-2026 rates'!$L:$S,8,0),IF($LB212=80%,VLOOKUP($FD212,'Jan-2026 rates'!L:T,9,0),0))))))))</f>
        <v>0</v>
      </c>
      <c r="FG212" s="412" t="s">
        <v>3261</v>
      </c>
      <c r="FH212" s="409">
        <v>30</v>
      </c>
      <c r="FI212" s="411">
        <f>IF(FH212=0,0,IF($LB212=70%,VLOOKUP($FD212,'Jan-2026 rates'!$L:$R,4,0),IF($LB212=65%,VLOOKUP($FD212,'Jan-2026 rates'!$L:$R,4,0),IF($LB212=40%,VLOOKUP($FD212,'Jan-2026 rates'!$L:$R,5,0),IF($LB212=30%,VLOOKUP($FD212,'Jan-2026 rates'!$L:$R,6,0),IF($LB212=100%,VLOOKUP($FD212,'Jan-2026 rates'!$L:$R,7,0),IF($LB212=60%,VLOOKUP($FD212,'Jan-2026 rates'!$L:$S,8,0),IF($LB212=80%,VLOOKUP($FD212,'Jan-2026 rates'!L:T,9,0),0))))))))</f>
        <v>0</v>
      </c>
      <c r="FJ212" s="413">
        <v>26517000011</v>
      </c>
      <c r="FK212" s="413"/>
      <c r="FL212" s="413"/>
      <c r="FM212" s="412"/>
      <c r="FN212" s="412"/>
      <c r="FO212" s="412"/>
      <c r="FP212" s="412"/>
      <c r="FQ212" s="412"/>
      <c r="FR212" s="409">
        <v>5</v>
      </c>
      <c r="FS212" s="398" t="e">
        <f>IF(FR212=0,0,IF(LEN(FJ212)=11,_xlfn.XLOOKUP(FJ212,'Dispensed Ink Rates'!C:C,'Dispensed Ink Rates'!CS:CS),VLOOKUP(FJ212,'Jan-2026 rates'!$E:$F,2,0)))</f>
        <v>#N/A</v>
      </c>
      <c r="FT212" s="409"/>
      <c r="FU212" s="398">
        <f>IF(FT212=0,0,IF(LEN(FK212)=11,_xlfn.XLOOKUP(FK212,'Dispensed Ink Rates'!C:C,'Dispensed Ink Rates'!CS:CS),VLOOKUP(FK212,'Jan-2026 rates'!$E:$F,2,0)))</f>
        <v>0</v>
      </c>
      <c r="FV212" s="409"/>
      <c r="FW212" s="398">
        <f>IF(FV212=0,0,IF(LEN(FL212)=11,_xlfn.XLOOKUP(FL212,'Dispensed Ink Rates'!C:C,'Dispensed Ink Rates'!CS:CS),VLOOKUP(FL212,'Jan-2026 rates'!$E:$F,2,0)))</f>
        <v>0</v>
      </c>
      <c r="FX212" s="409"/>
      <c r="FY212" s="398">
        <f>IF(FX212=0,0,IF(LEN(FM212)=11,_xlfn.XLOOKUP(FM212,'Dispensed Ink Rates'!C:C,'Dispensed Ink Rates'!CS:CS),VLOOKUP(FM212,'Jan-2026 rates'!$E:$F,2,0)))</f>
        <v>0</v>
      </c>
      <c r="FZ212" s="409"/>
      <c r="GA212" s="398">
        <f>IF(FZ212=0,0,IF(LEN(FN212)=11,_xlfn.XLOOKUP(FN212,'Dispensed Ink Rates'!C:C,'Dispensed Ink Rates'!CS:CS),VLOOKUP(FN212,'Jan-2026 rates'!$E:$F,2,0)))</f>
        <v>0</v>
      </c>
      <c r="GB212" s="409"/>
      <c r="GC212" s="398">
        <f>IF(GB212=0,0,IF(LEN(FO212)=11,_xlfn.XLOOKUP(FO212,'Dispensed Ink Rates'!C:C,'Dispensed Ink Rates'!CS:CS),VLOOKUP(FO212,'Jan-2026 rates'!$E:$F,2,0)))</f>
        <v>0</v>
      </c>
      <c r="GD212" s="409"/>
      <c r="GE212" s="398">
        <f>IF(GD212=0,0,IF(LEN(FP212)=11,_xlfn.XLOOKUP(FP212,'Dispensed Ink Rates'!C:C,'Dispensed Ink Rates'!CS:CS),VLOOKUP(FP212,'Jan-2026 rates'!$E:$F,2,0)))</f>
        <v>0</v>
      </c>
      <c r="GF212" s="409"/>
      <c r="GG212" s="398">
        <f>IF(GF212=0,0,IF(LEN(FQ212)=11,_xlfn.XLOOKUP(FQ212,'Dispensed Ink Rates'!C:C,'Dispensed Ink Rates'!CS:CS),VLOOKUP(FQ212,'Jan-2026 rates'!$E:$F,2,0)))</f>
        <v>0</v>
      </c>
      <c r="GH212" s="409" t="s">
        <v>1443</v>
      </c>
      <c r="GI212" s="409">
        <v>29</v>
      </c>
      <c r="GJ212" s="411">
        <f t="shared" si="171"/>
        <v>0</v>
      </c>
      <c r="GK212" s="411">
        <f t="shared" si="172"/>
        <v>51</v>
      </c>
      <c r="GL212" s="410">
        <f t="shared" si="173"/>
        <v>0</v>
      </c>
      <c r="GM212" s="405" t="s">
        <v>545</v>
      </c>
      <c r="GN212" s="409" t="s">
        <v>3818</v>
      </c>
      <c r="GO212" s="420" t="str">
        <f t="shared" si="135"/>
        <v>FLINTSL - YELLOW</v>
      </c>
      <c r="GP212" s="409">
        <v>20</v>
      </c>
      <c r="GQ212" s="411">
        <f>IF(GP212=0,0,IF($LB212=70%,VLOOKUP($GO212,'Jan-2026 rates'!$L:$R,4,0),IF($LB212=65%,VLOOKUP($GO212,'Jan-2026 rates'!$L:$R,4,0),IF($LB212=40%,VLOOKUP($GO212,'Jan-2026 rates'!$L:$R,5,0),IF($LB212=30%,VLOOKUP($GO212,'Jan-2026 rates'!$L:$R,6,0),IF($LB212=100%,VLOOKUP($GO212,'Jan-2026 rates'!$L:$R,7,0),IF($LB212=60%,VLOOKUP($GO212,'Jan-2026 rates'!$L:$S,8,0),IF($LB212=80%,VLOOKUP($GO212,'Jan-2026 rates'!L:T,9,0),0))))))))</f>
        <v>0</v>
      </c>
      <c r="GR212" s="412"/>
      <c r="GS212" s="409"/>
      <c r="GT212" s="411">
        <f>IF(GS212=0,0,IF($LB212=70%,VLOOKUP($GO212,'Jan-2026 rates'!$L:$R,4,0),IF($LB212=65%,VLOOKUP($GO212,'Jan-2026 rates'!$L:$R,4,0),IF($LB212=40%,VLOOKUP($GO212,'Jan-2026 rates'!$L:$R,5,0),IF($LB212=30%,VLOOKUP($GO212,'Jan-2026 rates'!$L:$R,6,0),IF($LB212=100%,VLOOKUP($GO212,'Jan-2026 rates'!$L:$R,7,0),IF($LB212=60%,VLOOKUP($GO212,'Jan-2026 rates'!$L:$S,8,0),IF($LB212=80%,VLOOKUP($GO212,'Jan-2026 rates'!L:T,9,0),0))))))))</f>
        <v>0</v>
      </c>
      <c r="GU212" s="413">
        <v>26516000005</v>
      </c>
      <c r="GV212" s="413" t="s">
        <v>1266</v>
      </c>
      <c r="GW212" s="412"/>
      <c r="GX212" s="412"/>
      <c r="GY212" s="412"/>
      <c r="GZ212" s="412"/>
      <c r="HA212" s="412"/>
      <c r="HB212" s="412"/>
      <c r="HC212" s="409">
        <f>25+1+4</f>
        <v>30</v>
      </c>
      <c r="HD212" s="398" t="e">
        <f>IF(HC212=0,0,IF(LEN(GU212)=11,_xlfn.XLOOKUP(GU212,'Dispensed Ink Rates'!C:C,'Dispensed Ink Rates'!CS:CS),VLOOKUP(GU212,'Jan-2026 rates'!$E:$F,2,0)))</f>
        <v>#N/A</v>
      </c>
      <c r="HE212" s="409">
        <v>10</v>
      </c>
      <c r="HF212" s="398">
        <f>IF(HE212=0,0,IF(LEN(GV212)=11,_xlfn.XLOOKUP(GV212,'Dispensed Ink Rates'!C:C,'Dispensed Ink Rates'!CS:CS),VLOOKUP(GV212,'Jan-2026 rates'!$E:$F,2,0)))</f>
        <v>0</v>
      </c>
      <c r="HG212" s="409"/>
      <c r="HH212" s="398">
        <f>IF(HG212=0,0,IF(LEN(GW212)=11,_xlfn.XLOOKUP(GW212,'Dispensed Ink Rates'!C:C,'Dispensed Ink Rates'!CS:CS),VLOOKUP(GW212,'Jan-2026 rates'!$E:$F,2,0)))</f>
        <v>0</v>
      </c>
      <c r="HI212" s="409"/>
      <c r="HJ212" s="398">
        <f>IF(HI212=0,0,IF(LEN(GX212)=11,_xlfn.XLOOKUP(GX212,'Dispensed Ink Rates'!C:C,'Dispensed Ink Rates'!CS:CS),VLOOKUP(GX212,'Jan-2026 rates'!$E:$F,2,0)))</f>
        <v>0</v>
      </c>
      <c r="HK212" s="409"/>
      <c r="HL212" s="398">
        <f>IF(HK212=0,0,IF(LEN(GY212)=11,_xlfn.XLOOKUP(GY212,'Dispensed Ink Rates'!C:C,'Dispensed Ink Rates'!CS:CS),VLOOKUP(GY212,'Jan-2026 rates'!$E:$F,2,0)))</f>
        <v>0</v>
      </c>
      <c r="HM212" s="409"/>
      <c r="HN212" s="398">
        <f>IF(HM212=0,0,IF(LEN(GZ212)=11,_xlfn.XLOOKUP(GZ212,'Dispensed Ink Rates'!C:C,'Dispensed Ink Rates'!CS:CS),VLOOKUP(GZ212,'Jan-2026 rates'!$E:$F,2,0)))</f>
        <v>0</v>
      </c>
      <c r="HO212" s="409"/>
      <c r="HP212" s="398">
        <f>IF(HO212=0,0,IF(LEN(HA212)=11,_xlfn.XLOOKUP(HA212,'Dispensed Ink Rates'!C:C,'Dispensed Ink Rates'!CS:CS),VLOOKUP(HA212,'Jan-2026 rates'!$E:$F,2,0)))</f>
        <v>0</v>
      </c>
      <c r="HQ212" s="409"/>
      <c r="HR212" s="398">
        <f>IF(HQ212=0,0,IF(LEN(HB212)=11,_xlfn.XLOOKUP(HB212,'Dispensed Ink Rates'!C:C,'Dispensed Ink Rates'!CS:CS),VLOOKUP(HB212,'Jan-2026 rates'!$E:$F,2,0)))</f>
        <v>0</v>
      </c>
      <c r="HS212" s="409" t="s">
        <v>1443</v>
      </c>
      <c r="HT212" s="409">
        <v>19</v>
      </c>
      <c r="HU212" s="411">
        <f t="shared" si="174"/>
        <v>0</v>
      </c>
      <c r="HV212" s="411">
        <f t="shared" si="175"/>
        <v>121</v>
      </c>
      <c r="HW212" s="414">
        <f t="shared" si="176"/>
        <v>0</v>
      </c>
      <c r="HX212" s="405"/>
      <c r="HY212" s="409"/>
      <c r="HZ212" s="420" t="str">
        <f t="shared" si="136"/>
        <v xml:space="preserve"> - </v>
      </c>
      <c r="IA212" s="409"/>
      <c r="IB212" s="411">
        <f>IF(IA212=0,0,IF($LB212=70%,VLOOKUP($HZ212,'Jan-2026 rates'!$L:$R,4,0),IF($LB212=65%,VLOOKUP($HZ212,'Jan-2026 rates'!$L:$R,4,0),IF($LB212=40%,VLOOKUP($HZ212,'Jan-2026 rates'!$L:$R,5,0),IF($LB212=30%,VLOOKUP($HZ212,'Jan-2026 rates'!$L:$R,6,0),IF($LB212=100%,VLOOKUP($HZ212,'Jan-2026 rates'!$L:$R,7,0),IF($LB212=60%,VLOOKUP($HZ212,'Jan-2026 rates'!$L:$S,8,0),IF($LB212=80%,VLOOKUP($HZ212,'Jan-2026 rates'!L:T,9,0),0))))))))</f>
        <v>0</v>
      </c>
      <c r="IC212" s="412"/>
      <c r="ID212" s="409"/>
      <c r="IE212" s="411">
        <f>IF(ID212=0,0,IF($LB212=70%,VLOOKUP($HZ212,'Jan-2026 rates'!$L:$R,4,0),IF($LB212=65%,VLOOKUP($HZ212,'Jan-2026 rates'!$L:$R,4,0),IF($LB212=40%,VLOOKUP($HZ212,'Jan-2026 rates'!$L:$R,5,0),IF($LB212=30%,VLOOKUP($HZ212,'Jan-2026 rates'!$L:$R,6,0),IF($LB212=100%,VLOOKUP($HZ212,'Jan-2026 rates'!$L:$R,7,0),IF($LB212=60%,VLOOKUP($HZ212,'Jan-2026 rates'!$L:$S,8,0),IF($LB212=80%,VLOOKUP($HZ212,'Jan-2026 rates'!L:T,9,0),0))))))))</f>
        <v>0</v>
      </c>
      <c r="IF212" s="412"/>
      <c r="IG212" s="413"/>
      <c r="IH212" s="412"/>
      <c r="II212" s="412"/>
      <c r="IJ212" s="412"/>
      <c r="IK212" s="412"/>
      <c r="IL212" s="412"/>
      <c r="IM212" s="412"/>
      <c r="IN212" s="409"/>
      <c r="IO212" s="398">
        <f>IF(IN212=0,0,IF(LEN(IF212)=11,_xlfn.XLOOKUP(IF212,'Dispensed Ink Rates'!C:C,'Dispensed Ink Rates'!CS:CS),VLOOKUP(IF212,'Jan-2026 rates'!$E:$F,2,0)))</f>
        <v>0</v>
      </c>
      <c r="IP212" s="409"/>
      <c r="IQ212" s="398">
        <f>IF(IP212=0,0,IF(LEN(IG212)=11,_xlfn.XLOOKUP(IG212,'Dispensed Ink Rates'!C:C,'Dispensed Ink Rates'!CS:CS),VLOOKUP(IG212,'Jan-2026 rates'!$E:$F,2,0)))</f>
        <v>0</v>
      </c>
      <c r="IR212" s="409"/>
      <c r="IS212" s="398">
        <f>IF(IR212=0,0,IF(LEN(IH212)=11,_xlfn.XLOOKUP(IH212,'Dispensed Ink Rates'!C:C,'Dispensed Ink Rates'!CS:CS),VLOOKUP(IH212,'Jan-2026 rates'!$E:$F,2,0)))</f>
        <v>0</v>
      </c>
      <c r="IT212" s="409"/>
      <c r="IU212" s="398">
        <f>IF(IT212=0,0,IF(LEN(II212)=11,_xlfn.XLOOKUP(II212,'Dispensed Ink Rates'!C:C,'Dispensed Ink Rates'!CS:CS),VLOOKUP(II212,'Jan-2026 rates'!$E:$F,2,0)))</f>
        <v>0</v>
      </c>
      <c r="IV212" s="409"/>
      <c r="IW212" s="398">
        <f>IF(IV212=0,0,IF(LEN(IJ212)=11,_xlfn.XLOOKUP(IJ212,'Dispensed Ink Rates'!C:C,'Dispensed Ink Rates'!CS:CS),VLOOKUP(IJ212,'Jan-2026 rates'!$E:$F,2,0)))</f>
        <v>0</v>
      </c>
      <c r="IX212" s="409"/>
      <c r="IY212" s="398">
        <f>IF(IX212=0,0,IF(LEN(IK212)=11,_xlfn.XLOOKUP(IK212,'Dispensed Ink Rates'!C:C,'Dispensed Ink Rates'!CS:CS),VLOOKUP(IK212,'Jan-2026 rates'!$E:$F,2,0)))</f>
        <v>0</v>
      </c>
      <c r="IZ212" s="409"/>
      <c r="JA212" s="398">
        <f>IF(IZ212=0,0,IF(LEN(IL212)=11,_xlfn.XLOOKUP(IL212,'Dispensed Ink Rates'!C:C,'Dispensed Ink Rates'!CS:CS),VLOOKUP(IL212,'Jan-2026 rates'!$E:$F,2,0)))</f>
        <v>0</v>
      </c>
      <c r="JB212" s="409"/>
      <c r="JC212" s="398">
        <f>IF(JB212=0,0,IF(LEN(IM212)=11,_xlfn.XLOOKUP(IM212,'Dispensed Ink Rates'!C:C,'Dispensed Ink Rates'!CS:CS),VLOOKUP(IM212,'Jan-2026 rates'!$E:$F,2,0)))</f>
        <v>0</v>
      </c>
      <c r="JD212" s="409"/>
      <c r="JE212" s="409"/>
      <c r="JF212" s="411">
        <f t="shared" si="177"/>
        <v>0</v>
      </c>
      <c r="JG212" s="411">
        <f t="shared" si="178"/>
        <v>0</v>
      </c>
      <c r="JH212" s="410">
        <f t="shared" si="179"/>
        <v>0</v>
      </c>
      <c r="JI212" s="405"/>
      <c r="JJ212" s="409"/>
      <c r="JK212" s="420" t="str">
        <f t="shared" si="137"/>
        <v xml:space="preserve"> - </v>
      </c>
      <c r="JL212" s="409"/>
      <c r="JM212" s="411">
        <f>IF(JL212=0,0,IF($LB212=70%,VLOOKUP($JK212,'Jan-2026 rates'!$L:$R,4,0),IF($LB212=65%,VLOOKUP($JK212,'Jan-2026 rates'!$L:$R,4,0),IF($LB212=40%,VLOOKUP($JK212,'Jan-2026 rates'!$L:$R,5,0),IF($LB212=30%,VLOOKUP($JK212,'Jan-2026 rates'!$L:$R,6,0),IF($LB212=100%,VLOOKUP($JK212,'Jan-2026 rates'!$L:$R,7,0),IF($LB212=60%,VLOOKUP($JK212,'Jan-2026 rates'!$L:$S,8,0),IF($LB212=80%,VLOOKUP($JK212,'Jan-2026 rates'!L:T,9,0),0))))))))</f>
        <v>0</v>
      </c>
      <c r="JN212" s="412"/>
      <c r="JO212" s="409"/>
      <c r="JP212" s="411">
        <f>IF(JO212=0,0,IF($LB212=70%,VLOOKUP($JK212,'Jan-2026 rates'!$L:$R,4,0),IF($LB212=65%,VLOOKUP($JK212,'Jan-2026 rates'!$L:$R,4,0),IF($LB212=40%,VLOOKUP($JK212,'Jan-2026 rates'!$L:$R,5,0),IF($LB212=30%,VLOOKUP($JK212,'Jan-2026 rates'!$L:$R,6,0),IF($LB212=100%,VLOOKUP($JK212,'Jan-2026 rates'!$L:$R,7,0),IF($LB212=60%,VLOOKUP($JK212,'Jan-2026 rates'!$L:$S,8,0),IF($LB212=80%,VLOOKUP($JK212,'Jan-2026 rates'!L:T,9,0),0))))))))</f>
        <v>0</v>
      </c>
      <c r="JQ212" s="413"/>
      <c r="JR212" s="412"/>
      <c r="JS212" s="413"/>
      <c r="JT212" s="413"/>
      <c r="JU212" s="412"/>
      <c r="JV212" s="412"/>
      <c r="JW212" s="412"/>
      <c r="JX212" s="412"/>
      <c r="JY212" s="409"/>
      <c r="JZ212" s="398">
        <f>IF(JY212=0,0,IF(LEN(JQ212)=11,_xlfn.XLOOKUP(JQ212,'Dispensed Ink Rates'!C:C,'Dispensed Ink Rates'!CS:CS),VLOOKUP(JQ212,'Jan-2026 rates'!$E:$F,2,0)))</f>
        <v>0</v>
      </c>
      <c r="KA212" s="409"/>
      <c r="KB212" s="398">
        <f>IF(KA212=0,0,IF(LEN(JR212)=11,_xlfn.XLOOKUP(JR212,'Dispensed Ink Rates'!C:C,'Dispensed Ink Rates'!CS:CS),VLOOKUP(JR212,'Jan-2026 rates'!$E:$F,2,0)))</f>
        <v>0</v>
      </c>
      <c r="KC212" s="409"/>
      <c r="KD212" s="398">
        <f>IF(KC212=0,0,IF(LEN(JS212)=11,_xlfn.XLOOKUP(JS212,'Dispensed Ink Rates'!C:C,'Dispensed Ink Rates'!CS:CS),VLOOKUP(JS212,'Jan-2026 rates'!$E:$F,2,0)))</f>
        <v>0</v>
      </c>
      <c r="KE212" s="409"/>
      <c r="KF212" s="398">
        <f>IF(KE212=0,0,IF(LEN(JT212)=11,_xlfn.XLOOKUP(JT212,'Dispensed Ink Rates'!C:C,'Dispensed Ink Rates'!CS:CS),VLOOKUP(JT212,'Jan-2026 rates'!$E:$F,2,0)))</f>
        <v>0</v>
      </c>
      <c r="KG212" s="409"/>
      <c r="KH212" s="398">
        <f>IF(KG212=0,0,IF(LEN(JU212)=11,_xlfn.XLOOKUP(JU212,'Dispensed Ink Rates'!C:C,'Dispensed Ink Rates'!CS:CS),VLOOKUP(JU212,'Jan-2026 rates'!$E:$F,2,0)))</f>
        <v>0</v>
      </c>
      <c r="KI212" s="409"/>
      <c r="KJ212" s="398">
        <f>IF(KI212=0,0,IF(LEN(JV212)=11,_xlfn.XLOOKUP(JV212,'Dispensed Ink Rates'!C:C,'Dispensed Ink Rates'!CS:CS),VLOOKUP(JV212,'Jan-2026 rates'!$E:$F,2,0)))</f>
        <v>0</v>
      </c>
      <c r="KK212" s="409"/>
      <c r="KL212" s="398">
        <f>IF(KK212=0,0,IF(LEN(JW212)=11,_xlfn.XLOOKUP(JW212,'Dispensed Ink Rates'!C:C,'Dispensed Ink Rates'!CS:CS),VLOOKUP(JW212,'Jan-2026 rates'!$E:$F,2,0)))</f>
        <v>0</v>
      </c>
      <c r="KM212" s="428"/>
      <c r="KN212" s="398">
        <f>IF(KM212=0,0,IF(LEN(JX212)=11,_xlfn.XLOOKUP(JX212,'Dispensed Ink Rates'!C:C,'Dispensed Ink Rates'!CS:CS),VLOOKUP(JX212,'Jan-2026 rates'!$E:$F,2,0)))</f>
        <v>0</v>
      </c>
      <c r="KO212" s="409"/>
      <c r="KP212" s="409"/>
      <c r="KQ212" s="411">
        <f t="shared" si="180"/>
        <v>0</v>
      </c>
      <c r="KR212" s="411">
        <f t="shared" si="181"/>
        <v>0</v>
      </c>
      <c r="KS212" s="410">
        <f t="shared" si="182"/>
        <v>0</v>
      </c>
      <c r="KT212" s="409">
        <v>7</v>
      </c>
      <c r="KU212" s="409">
        <v>8</v>
      </c>
      <c r="KV212" s="409">
        <v>10</v>
      </c>
      <c r="KW212" s="409">
        <v>4</v>
      </c>
      <c r="KX212" s="409">
        <v>5</v>
      </c>
      <c r="KY212" s="409">
        <v>20</v>
      </c>
      <c r="KZ212" s="409">
        <v>0</v>
      </c>
      <c r="LA212" s="409">
        <v>0</v>
      </c>
      <c r="LB212" s="415">
        <v>0.8</v>
      </c>
      <c r="LC212" s="415">
        <v>0.2</v>
      </c>
      <c r="LD212" s="415"/>
      <c r="LE212" s="415"/>
      <c r="LF212" s="415"/>
      <c r="LG212" s="409">
        <v>0</v>
      </c>
      <c r="LH212" s="409">
        <f>35+30+112+28+6+5</f>
        <v>216</v>
      </c>
      <c r="LI212" s="409">
        <v>0</v>
      </c>
      <c r="LJ212" s="409">
        <v>0</v>
      </c>
      <c r="LK212" s="416">
        <f t="shared" si="138"/>
        <v>216</v>
      </c>
      <c r="LL212" s="416">
        <f t="shared" si="139"/>
        <v>216</v>
      </c>
      <c r="LM212" s="417">
        <f t="shared" si="140"/>
        <v>172.8</v>
      </c>
      <c r="LN212" s="417">
        <f>VLOOKUP($LM$8,'Jan-2026 rates'!$H:$I,2,0)</f>
        <v>0</v>
      </c>
      <c r="LO212" s="417">
        <f t="shared" si="141"/>
        <v>43.2</v>
      </c>
      <c r="LP212" s="417">
        <f>VLOOKUP($LO$8,'Jan-2026 rates'!$H:$I,2,0)</f>
        <v>0</v>
      </c>
      <c r="LQ212" s="417">
        <f t="shared" si="142"/>
        <v>0</v>
      </c>
      <c r="LR212" s="417">
        <f>VLOOKUP($LQ$8,'Jan-2026 rates'!$H:$I,2,0)</f>
        <v>0</v>
      </c>
      <c r="LS212" s="417">
        <f t="shared" si="143"/>
        <v>0</v>
      </c>
      <c r="LT212" s="417">
        <f>VLOOKUP($LS$8,'Jan-2026 rates'!$H:$I,2,0)</f>
        <v>0</v>
      </c>
      <c r="LU212" s="417">
        <f t="shared" si="144"/>
        <v>0</v>
      </c>
      <c r="LV212" s="417">
        <f>VLOOKUP($LU$8,'Jan-2026 rates'!$H:$I,2,0)</f>
        <v>0</v>
      </c>
      <c r="LW212" s="417">
        <f t="shared" si="145"/>
        <v>0</v>
      </c>
      <c r="LX212" s="417">
        <f t="shared" si="146"/>
        <v>0</v>
      </c>
      <c r="LY212" s="418">
        <f t="shared" si="147"/>
        <v>0</v>
      </c>
      <c r="LZ212" s="417"/>
      <c r="MA212" s="435">
        <f t="shared" si="148"/>
        <v>227</v>
      </c>
      <c r="MB212" s="282">
        <f t="shared" si="149"/>
        <v>473</v>
      </c>
      <c r="MC212" s="283">
        <v>105</v>
      </c>
      <c r="MD212" s="284" t="str">
        <f t="shared" si="150"/>
        <v>FLINTSLFLINTSLFLINTSLFLINTSLFLINTSLFLINTSL</v>
      </c>
      <c r="ME212" s="293" t="str">
        <f t="shared" si="151"/>
        <v>+</v>
      </c>
      <c r="MF212" s="293" t="str">
        <f t="shared" si="152"/>
        <v>+</v>
      </c>
      <c r="MG212" s="293" t="str">
        <f t="shared" si="153"/>
        <v>+</v>
      </c>
      <c r="MH212" s="293" t="str">
        <f t="shared" si="154"/>
        <v>+</v>
      </c>
      <c r="MI212" s="293" t="str">
        <f t="shared" si="155"/>
        <v>+</v>
      </c>
      <c r="MJ212" s="293" t="str">
        <f t="shared" si="156"/>
        <v>+</v>
      </c>
      <c r="MK212" s="293" t="str">
        <f t="shared" si="157"/>
        <v>NIL</v>
      </c>
      <c r="ML212" s="293" t="str">
        <f t="shared" si="158"/>
        <v>NIL</v>
      </c>
      <c r="MM212" s="3" t="b">
        <f t="array" ref="MM212">OR(ME212:ML212="-")</f>
        <v>0</v>
      </c>
      <c r="MN212" s="285"/>
      <c r="MO212" s="401"/>
      <c r="MP212" s="286"/>
      <c r="MQ212" s="286"/>
      <c r="MR212" s="402"/>
      <c r="MS212" s="400"/>
      <c r="NH212" s="422"/>
      <c r="NJ212" s="421"/>
    </row>
    <row r="213" spans="1:374" s="1" customFormat="1" ht="16.5">
      <c r="A213" s="403">
        <v>46037</v>
      </c>
      <c r="B213" s="404" t="s">
        <v>1018</v>
      </c>
      <c r="C213" s="405" t="s">
        <v>3819</v>
      </c>
      <c r="D213" s="406">
        <v>106</v>
      </c>
      <c r="E213" s="404">
        <v>384</v>
      </c>
      <c r="F213" s="407">
        <v>15200</v>
      </c>
      <c r="G213" s="407" t="s">
        <v>1016</v>
      </c>
      <c r="H213" s="408" t="s">
        <v>1017</v>
      </c>
      <c r="I213" s="409">
        <f>2+1.72</f>
        <v>3.7199999999999998</v>
      </c>
      <c r="J213" s="405" t="s">
        <v>543</v>
      </c>
      <c r="K213" s="404" t="s">
        <v>3820</v>
      </c>
      <c r="L213" s="419" t="str">
        <f t="shared" si="131"/>
        <v>FLINTSL - BLACK</v>
      </c>
      <c r="M213" s="404">
        <v>25</v>
      </c>
      <c r="N213" s="410">
        <f>IF(M213=0,0,IF($LB213=70%,VLOOKUP($L213,'Jan-2026 rates'!$L:$R,4,0),IF($LB213=65%,VLOOKUP($L213,'Jan-2026 rates'!$L:$R,4,0),IF($LB213=40%,VLOOKUP($L213,'Jan-2026 rates'!$L:$R,5,0),IF($LB213=30%,VLOOKUP($L213,'Jan-2026 rates'!$L:$R,6,0),IF($LB213=100%,VLOOKUP($L213,'Jan-2026 rates'!$L:$R,7,0),IF($LB213=60%,VLOOKUP($L213,'Jan-2026 rates'!$L:$S,8,0),IF($LB213=80%,VLOOKUP($L213,'Jan-2026 rates'!L:T,9,0),0))))))))</f>
        <v>0</v>
      </c>
      <c r="O213" s="406"/>
      <c r="P213" s="404"/>
      <c r="Q213" s="410">
        <f>IF(P213=0,0,IF($LB213=70%,VLOOKUP($L213,'Jan-2026 rates'!$L:$R,4,0),IF($LB213=65%,VLOOKUP($L213,'Jan-2026 rates'!$L:$R,4,0),IF($LB213=40%,VLOOKUP($L213,'Jan-2026 rates'!$L:$R,5,0),IF($LB213=30%,VLOOKUP($L213,'Jan-2026 rates'!$L:$R,6,0),IF($LB213=100%,VLOOKUP($L213,'Jan-2026 rates'!$L:$R,7,0),IF($LB213=60%,VLOOKUP($L213,'Jan-2026 rates'!$L:$S,8,0),IF($LB213=80%,VLOOKUP($L213,'Jan-2026 rates'!L:T,9,0),0))))))))</f>
        <v>0</v>
      </c>
      <c r="R213" s="406">
        <v>26519000013</v>
      </c>
      <c r="S213" s="406"/>
      <c r="T213" s="406"/>
      <c r="U213" s="406"/>
      <c r="V213" s="406"/>
      <c r="W213" s="406"/>
      <c r="X213" s="406"/>
      <c r="Y213" s="406"/>
      <c r="Z213" s="404">
        <v>3</v>
      </c>
      <c r="AA213" s="398" t="e">
        <f>IF(Z213=0,0,IF(LEN(R213)=11,_xlfn.XLOOKUP(R213,'Dispensed Ink Rates'!C:C,'Dispensed Ink Rates'!CS:CS),VLOOKUP(R213,'Jan-2026 rates'!$E:$F,2,0)))</f>
        <v>#N/A</v>
      </c>
      <c r="AB213" s="404"/>
      <c r="AC213" s="398">
        <f>IF(AB213=0,0,IF(LEN(S213)=11,_xlfn.XLOOKUP(S213,'Dispensed Ink Rates'!C:C,'Dispensed Ink Rates'!CS:CS),VLOOKUP(S213,'Jan-2026 rates'!$E:$F,2,0)))</f>
        <v>0</v>
      </c>
      <c r="AD213" s="404"/>
      <c r="AE213" s="398">
        <f>IF(AD213=0,0,IF(LEN(T213)=11,_xlfn.XLOOKUP(T213,'Dispensed Ink Rates'!C:C,'Dispensed Ink Rates'!CS:CS),VLOOKUP(T213,'Jan-2026 rates'!$E:$F,2,0)))</f>
        <v>0</v>
      </c>
      <c r="AF213" s="404"/>
      <c r="AG213" s="398">
        <f>IF(AF213=0,0,IF(LEN(U213)=11,_xlfn.XLOOKUP(U213,'Dispensed Ink Rates'!C:C,'Dispensed Ink Rates'!CS:CS),VLOOKUP(U213,'Jan-2026 rates'!$E:$F,2,0)))</f>
        <v>0</v>
      </c>
      <c r="AH213" s="404"/>
      <c r="AI213" s="398">
        <f>IF(AH213=0,0,IF(LEN(V213)=11,_xlfn.XLOOKUP(V213,'Dispensed Ink Rates'!C:C,'Dispensed Ink Rates'!CS:CS),VLOOKUP(V213,'Jan-2026 rates'!$E:$F,2,0)))</f>
        <v>0</v>
      </c>
      <c r="AJ213" s="404"/>
      <c r="AK213" s="398">
        <f>IF(AJ213=0,0,IF(LEN(W213)=11,_xlfn.XLOOKUP(W213,'Dispensed Ink Rates'!C:C,'Dispensed Ink Rates'!CS:CS),VLOOKUP(W213,'Jan-2026 rates'!$E:$F,2,0)))</f>
        <v>0</v>
      </c>
      <c r="AL213" s="404"/>
      <c r="AM213" s="398">
        <f>IF(AL213=0,0,IF(LEN(X213)=11,_xlfn.XLOOKUP(X213,'Dispensed Ink Rates'!C:C,'Dispensed Ink Rates'!CS:CS),VLOOKUP(X213,'Jan-2026 rates'!$E:$F,2,0)))</f>
        <v>0</v>
      </c>
      <c r="AN213" s="404"/>
      <c r="AO213" s="398">
        <f>IF(AN213=0,0,IF(LEN(Y213)=11,_xlfn.XLOOKUP(Y213,'Dispensed Ink Rates'!C:C,'Dispensed Ink Rates'!CS:CS),VLOOKUP(Y213,'Jan-2026 rates'!$E:$F,2,0)))</f>
        <v>0</v>
      </c>
      <c r="AP213" s="409" t="s">
        <v>1443</v>
      </c>
      <c r="AQ213" s="409">
        <v>27</v>
      </c>
      <c r="AR213" s="410">
        <f t="shared" si="159"/>
        <v>0</v>
      </c>
      <c r="AS213" s="411">
        <f t="shared" si="160"/>
        <v>6.8227848101265849</v>
      </c>
      <c r="AT213" s="410">
        <f t="shared" si="161"/>
        <v>0</v>
      </c>
      <c r="AU213" s="405" t="s">
        <v>857</v>
      </c>
      <c r="AV213" s="409"/>
      <c r="AW213" s="420" t="str">
        <f t="shared" si="183"/>
        <v>FLINTSL - RED</v>
      </c>
      <c r="AX213" s="409"/>
      <c r="AY213" s="411">
        <f>IF(AX213=0,0,IF($LB213=70%,VLOOKUP($AW213,'Jan-2026 rates'!$L:$R,4,0),IF($LB213=65%,VLOOKUP($AW213,'Jan-2026 rates'!$L:$R,4,0),IF($LB213=40%,VLOOKUP($AW213,'Jan-2026 rates'!$L:$R,5,0),IF($LB213=30%,VLOOKUP($AW213,'Jan-2026 rates'!$L:$R,6,0),IF($LB213=100%,VLOOKUP($AW213,'Jan-2026 rates'!$L:$R,7,0),IF($LB213=60%,VLOOKUP($AW213,'Jan-2026 rates'!$L:$S,8,0),IF($LB213=80%,VLOOKUP($AW213,'Jan-2026 rates'!L:T,9,0),0))))))))</f>
        <v>0</v>
      </c>
      <c r="AZ213" s="412"/>
      <c r="BA213" s="409"/>
      <c r="BB213" s="411">
        <f>IF(BA213=0,0,IF($LB213=70%,VLOOKUP($AW213,'Jan-2026 rates'!$L:$R,4,0),IF($LB213=65%,VLOOKUP($AW213,'Jan-2026 rates'!$L:$R,4,0),IF($LB213=40%,VLOOKUP($AW213,'Jan-2026 rates'!$L:$R,5,0),IF($LB213=30%,VLOOKUP($AW213,'Jan-2026 rates'!$L:$R,6,0),IF($LB213=100%,VLOOKUP($AW213,'Jan-2026 rates'!$L:$R,7,0),IF($LB213=60%,VLOOKUP($AW213,'Jan-2026 rates'!$L:$S,8,0),IF($LB213=80%,VLOOKUP($AW213,'Jan-2026 rates'!L:T,9,0),0))))))))</f>
        <v>0</v>
      </c>
      <c r="BC213" s="413">
        <v>26515000017</v>
      </c>
      <c r="BD213" s="412">
        <v>26515000030</v>
      </c>
      <c r="BE213" s="412">
        <v>26517000011</v>
      </c>
      <c r="BF213" s="413"/>
      <c r="BG213" s="412"/>
      <c r="BH213" s="412"/>
      <c r="BI213" s="412"/>
      <c r="BJ213" s="412"/>
      <c r="BK213" s="409">
        <v>20</v>
      </c>
      <c r="BL213" s="398" t="e">
        <f>IF(BK213=0,0,IF(LEN(BC213)=11,_xlfn.XLOOKUP(BC213,'Dispensed Ink Rates'!C:C,'Dispensed Ink Rates'!CS:CS),VLOOKUP(BC213,'Jan-2026 rates'!$E:$F,2,0)))</f>
        <v>#N/A</v>
      </c>
      <c r="BM213" s="409">
        <v>40</v>
      </c>
      <c r="BN213" s="398" t="e">
        <f>IF(BM213=0,0,IF(LEN(BD213)=11,_xlfn.XLOOKUP(BD213,'Dispensed Ink Rates'!C:C,'Dispensed Ink Rates'!CS:CS),VLOOKUP(BD213,'Jan-2026 rates'!$E:$F,2,0)))</f>
        <v>#N/A</v>
      </c>
      <c r="BO213" s="409">
        <v>6</v>
      </c>
      <c r="BP213" s="398" t="e">
        <f>IF(BO213=0,0,IF(LEN(BE213)=11,_xlfn.XLOOKUP(BE213,'Dispensed Ink Rates'!C:C,'Dispensed Ink Rates'!CS:CS),VLOOKUP(BE213,'Jan-2026 rates'!$E:$F,2,0)))</f>
        <v>#N/A</v>
      </c>
      <c r="BQ213" s="409"/>
      <c r="BR213" s="398">
        <f>IF(BQ213=0,0,IF(LEN(BF213)=11,_xlfn.XLOOKUP(BF213,'Dispensed Ink Rates'!C:C,'Dispensed Ink Rates'!CS:CS),VLOOKUP(BF213,'Jan-2026 rates'!$E:$F,2,0)))</f>
        <v>0</v>
      </c>
      <c r="BS213" s="409"/>
      <c r="BT213" s="398">
        <f>IF(BS213=0,0,IF(LEN(BG213)=11,_xlfn.XLOOKUP(BG213,'Dispensed Ink Rates'!C:C,'Dispensed Ink Rates'!CS:CS),VLOOKUP(BG213,'Jan-2026 rates'!$E:$F,2,0)))</f>
        <v>0</v>
      </c>
      <c r="BU213" s="409"/>
      <c r="BV213" s="398">
        <f>IF(BU213=0,0,IF(LEN(BH213)=11,_xlfn.XLOOKUP(BH213,'Dispensed Ink Rates'!C:C,'Dispensed Ink Rates'!CS:CS),VLOOKUP(BH213,'Jan-2026 rates'!$E:$F,2,0)))</f>
        <v>0</v>
      </c>
      <c r="BW213" s="409"/>
      <c r="BX213" s="398">
        <f>IF(BW213=0,0,IF(LEN(BI213)=11,_xlfn.XLOOKUP(BI213,'Dispensed Ink Rates'!C:C,'Dispensed Ink Rates'!CS:CS),VLOOKUP(BI213,'Jan-2026 rates'!$E:$F,2,0)))</f>
        <v>0</v>
      </c>
      <c r="BY213" s="409"/>
      <c r="BZ213" s="398">
        <f>IF(BY213=0,0,IF(LEN(BJ213)=11,_xlfn.XLOOKUP(BJ213,'Dispensed Ink Rates'!C:C,'Dispensed Ink Rates'!CS:CS),VLOOKUP(BJ213,'Jan-2026 rates'!$E:$F,2,0)))</f>
        <v>0</v>
      </c>
      <c r="CA213" s="409" t="s">
        <v>1443</v>
      </c>
      <c r="CB213" s="409">
        <v>25</v>
      </c>
      <c r="CC213" s="411">
        <f t="shared" si="162"/>
        <v>0</v>
      </c>
      <c r="CD213" s="411">
        <f t="shared" si="163"/>
        <v>64.291139240506325</v>
      </c>
      <c r="CE213" s="410">
        <f t="shared" si="164"/>
        <v>0</v>
      </c>
      <c r="CF213" s="404" t="s">
        <v>855</v>
      </c>
      <c r="CG213" s="409"/>
      <c r="CH213" s="420" t="str">
        <f t="shared" si="132"/>
        <v>FLINTSL - CYAN</v>
      </c>
      <c r="CI213" s="409"/>
      <c r="CJ213" s="411">
        <f>IF(CI213=0,0,IF($LB213=70%,VLOOKUP($CH213,'Jan-2026 rates'!$L:$R,4,0),IF($LB213=65%,VLOOKUP($CH213,'Jan-2026 rates'!$L:$R,4,0),IF($LB213=40%,VLOOKUP($CH213,'Jan-2026 rates'!$L:$R,5,0),IF($LB213=30%,VLOOKUP($CH213,'Jan-2026 rates'!$L:$R,6,0),IF($LB213=100%,VLOOKUP($CH213,'Jan-2026 rates'!$L:$R,7,0),IF($LB213=60%,VLOOKUP($CH213,'Jan-2026 rates'!$L:$S,8,0),IF($LB213=80%,VLOOKUP($CH213,'Jan-2026 rates'!L:T,9,0),0))))))))</f>
        <v>0</v>
      </c>
      <c r="CK213" s="412"/>
      <c r="CL213" s="409"/>
      <c r="CM213" s="411">
        <f>IF(CL213=0,0,IF($LB213=70%,VLOOKUP($CH213,'Jan-2026 rates'!$L:$R,4,0),IF($LB213=65%,VLOOKUP($CH213,'Jan-2026 rates'!$L:$R,4,0),IF($LB213=40%,VLOOKUP($CH213,'Jan-2026 rates'!$L:$R,5,0),IF($LB213=30%,VLOOKUP($CH213,'Jan-2026 rates'!$L:$R,6,0),IF($LB213=100%,VLOOKUP($CH213,'Jan-2026 rates'!$L:$R,7,0),IF($LB213=60%,VLOOKUP($CH213,'Jan-2026 rates'!$L:$S,8,0),IF($LB213=80%,VLOOKUP($CH213,'Jan-2026 rates'!L:T,9,0),0))))))))</f>
        <v>0</v>
      </c>
      <c r="CN213" s="426">
        <v>26512000001</v>
      </c>
      <c r="CO213" s="427" t="s">
        <v>1266</v>
      </c>
      <c r="CP213" s="426"/>
      <c r="CQ213" s="426"/>
      <c r="CR213" s="428"/>
      <c r="CS213" s="428"/>
      <c r="CT213" s="428"/>
      <c r="CU213" s="428"/>
      <c r="CV213" s="409">
        <v>15</v>
      </c>
      <c r="CW213" s="398" t="e">
        <f>IF(CV213=0,0,IF(LEN(CN213)=11,_xlfn.XLOOKUP(CN213,'Dispensed Ink Rates'!C:C,'Dispensed Ink Rates'!CS:CS),VLOOKUP(CN213,'Jan-2026 rates'!$E:$F,2,0)))</f>
        <v>#N/A</v>
      </c>
      <c r="CX213" s="409">
        <v>5</v>
      </c>
      <c r="CY213" s="398">
        <f>IF(CX213=0,0,IF(LEN(CO213)=11,_xlfn.XLOOKUP(CO213,'Dispensed Ink Rates'!C:C,'Dispensed Ink Rates'!CS:CS),VLOOKUP(CO213,'Jan-2026 rates'!$E:$F,2,0)))</f>
        <v>0</v>
      </c>
      <c r="CZ213" s="409"/>
      <c r="DA213" s="398">
        <f>IF(CZ213=0,0,IF(LEN(CP213)=11,_xlfn.XLOOKUP(CP213,'Dispensed Ink Rates'!C:C,'Dispensed Ink Rates'!CS:CS),VLOOKUP(CP213,'Jan-2026 rates'!$E:$F,2,0)))</f>
        <v>0</v>
      </c>
      <c r="DB213" s="409"/>
      <c r="DC213" s="398">
        <f>IF(DB213=0,0,IF(LEN(CQ213)=11,_xlfn.XLOOKUP(CQ213,'Dispensed Ink Rates'!C:C,'Dispensed Ink Rates'!CS:CS),VLOOKUP(CQ213,'Jan-2026 rates'!$E:$F,2,0)))</f>
        <v>0</v>
      </c>
      <c r="DD213" s="409"/>
      <c r="DE213" s="398">
        <f>IF(DD213=0,0,IF(LEN(CR213)=11,_xlfn.XLOOKUP(CR213,'Dispensed Ink Rates'!C:C,'Dispensed Ink Rates'!CS:CS),VLOOKUP(CR213,'Jan-2026 rates'!$E:$F,2,0)))</f>
        <v>0</v>
      </c>
      <c r="DF213" s="409"/>
      <c r="DG213" s="398">
        <f>IF(DF213=0,0,IF(LEN(CS213)=11,_xlfn.XLOOKUP(CS213,'Dispensed Ink Rates'!C:C,'Dispensed Ink Rates'!CS:CS),VLOOKUP(CS213,'Jan-2026 rates'!$E:$F,2,0)))</f>
        <v>0</v>
      </c>
      <c r="DH213" s="409"/>
      <c r="DI213" s="398">
        <f>IF(DH213=0,0,IF(LEN(CT213)=11,_xlfn.XLOOKUP(CT213,'Dispensed Ink Rates'!C:C,'Dispensed Ink Rates'!CS:CS),VLOOKUP(CT213,'Jan-2026 rates'!$E:$F,2,0)))</f>
        <v>0</v>
      </c>
      <c r="DJ213" s="409"/>
      <c r="DK213" s="398">
        <f>IF(DJ213=0,0,IF(LEN(CU213)=11,_xlfn.XLOOKUP(CU213,'Dispensed Ink Rates'!C:C,'Dispensed Ink Rates'!CS:CS),VLOOKUP(CU213,'Jan-2026 rates'!$E:$F,2,0)))</f>
        <v>0</v>
      </c>
      <c r="DL213" s="409" t="s">
        <v>1443</v>
      </c>
      <c r="DM213" s="409">
        <v>27</v>
      </c>
      <c r="DN213" s="411">
        <f t="shared" si="165"/>
        <v>0</v>
      </c>
      <c r="DO213" s="411">
        <f t="shared" si="166"/>
        <v>22.113924050632917</v>
      </c>
      <c r="DP213" s="410">
        <f t="shared" si="167"/>
        <v>0</v>
      </c>
      <c r="DQ213" s="405" t="s">
        <v>544</v>
      </c>
      <c r="DR213" s="409"/>
      <c r="DS213" s="420" t="str">
        <f t="shared" si="133"/>
        <v>FLINTSL - MAGENTA</v>
      </c>
      <c r="DT213" s="409"/>
      <c r="DU213" s="411">
        <f>IF(DT213=0,0,IF($LB213=70%,VLOOKUP($DS213,'Jan-2026 rates'!$L:$R,4,0),IF($LB213=65%,VLOOKUP($DS213,'Jan-2026 rates'!$L:$R,4,0),IF($LB213=40%,VLOOKUP($DS213,'Jan-2026 rates'!$L:$R,5,0),IF($LB213=30%,VLOOKUP($DS213,'Jan-2026 rates'!$L:$R,6,0),IF($LB213=100%,VLOOKUP($DS213,'Jan-2026 rates'!$L:$R,7,0),IF($LB213=60%,VLOOKUP($DS213,'Jan-2026 rates'!$L:$S,8,0),IF($LB213=80%,VLOOKUP($DS213,'Jan-2026 rates'!L:T,9,0),0))))))))</f>
        <v>0</v>
      </c>
      <c r="DV213" s="412"/>
      <c r="DW213" s="409"/>
      <c r="DX213" s="411">
        <f>IF(DW213=0,0,IF($LB213=70%,VLOOKUP($DS213,'Jan-2026 rates'!$L:$R,4,0),IF($LB213=65%,VLOOKUP($DS213,'Jan-2026 rates'!$L:$R,4,0),IF($LB213=40%,VLOOKUP($DS213,'Jan-2026 rates'!$L:$R,5,0),IF($LB213=30%,VLOOKUP($DS213,'Jan-2026 rates'!$L:$R,6,0),IF($LB213=100%,VLOOKUP($DS213,'Jan-2026 rates'!$L:$R,7,0),IF($LB213=60%,VLOOKUP($DS213,'Jan-2026 rates'!$L:$S,8,0),IF($LB213=80%,VLOOKUP($DS213,'Jan-2026 rates'!L:T,9,0),0))))))))</f>
        <v>0</v>
      </c>
      <c r="DY213" s="413">
        <v>26517000011</v>
      </c>
      <c r="DZ213" s="413" t="s">
        <v>1266</v>
      </c>
      <c r="EA213" s="412"/>
      <c r="EB213" s="412"/>
      <c r="EC213" s="412"/>
      <c r="ED213" s="412"/>
      <c r="EE213" s="412"/>
      <c r="EF213" s="412"/>
      <c r="EG213" s="409">
        <v>16</v>
      </c>
      <c r="EH213" s="398" t="e">
        <f>IF(EG213=0,0,IF(LEN(DY213)=11,_xlfn.XLOOKUP(DY213,'Dispensed Ink Rates'!C:C,'Dispensed Ink Rates'!CS:CS),VLOOKUP(DY213,'Jan-2026 rates'!$E:$F,2,0)))</f>
        <v>#N/A</v>
      </c>
      <c r="EI213" s="409">
        <v>4</v>
      </c>
      <c r="EJ213" s="398">
        <f>IF(EI213=0,0,IF(LEN(DZ213)=11,_xlfn.XLOOKUP(DZ213,'Dispensed Ink Rates'!C:C,'Dispensed Ink Rates'!CS:CS),VLOOKUP(DZ213,'Jan-2026 rates'!$E:$F,2,0)))</f>
        <v>0</v>
      </c>
      <c r="EK213" s="409"/>
      <c r="EL213" s="398">
        <f>IF(EK213=0,0,IF(LEN(EA213)=11,_xlfn.XLOOKUP(EA213,'Dispensed Ink Rates'!C:C,'Dispensed Ink Rates'!CS:CS),VLOOKUP(EA213,'Jan-2026 rates'!$E:$F,2,0)))</f>
        <v>0</v>
      </c>
      <c r="EM213" s="409"/>
      <c r="EN213" s="398">
        <f>IF(EM213=0,0,IF(LEN(EB213)=11,_xlfn.XLOOKUP(EB213,'Dispensed Ink Rates'!C:C,'Dispensed Ink Rates'!CS:CS),VLOOKUP(EB213,'Jan-2026 rates'!$E:$F,2,0)))</f>
        <v>0</v>
      </c>
      <c r="EO213" s="409"/>
      <c r="EP213" s="398">
        <f>IF(EO213=0,0,IF(LEN(EC213)=11,_xlfn.XLOOKUP(EC213,'Dispensed Ink Rates'!C:C,'Dispensed Ink Rates'!CS:CS),VLOOKUP(EC213,'Jan-2026 rates'!$E:$F,2,0)))</f>
        <v>0</v>
      </c>
      <c r="EQ213" s="409"/>
      <c r="ER213" s="398">
        <f>IF(EQ213=0,0,IF(LEN(ED213)=11,_xlfn.XLOOKUP(ED213,'Dispensed Ink Rates'!C:C,'Dispensed Ink Rates'!CS:CS),VLOOKUP(ED213,'Jan-2026 rates'!$E:$F,2,0)))</f>
        <v>0</v>
      </c>
      <c r="ES213" s="409"/>
      <c r="ET213" s="398">
        <f>IF(ES213=0,0,IF(LEN(EE213)=11,_xlfn.XLOOKUP(EE213,'Dispensed Ink Rates'!C:C,'Dispensed Ink Rates'!CS:CS),VLOOKUP(EE213,'Jan-2026 rates'!$E:$F,2,0)))</f>
        <v>0</v>
      </c>
      <c r="EU213" s="409"/>
      <c r="EV213" s="398">
        <f>IF(EU213=0,0,IF(LEN(EF213)=11,_xlfn.XLOOKUP(EF213,'Dispensed Ink Rates'!C:C,'Dispensed Ink Rates'!CS:CS),VLOOKUP(EF213,'Jan-2026 rates'!$E:$F,2,0)))</f>
        <v>0</v>
      </c>
      <c r="EW213" s="409" t="s">
        <v>1443</v>
      </c>
      <c r="EX213" s="409">
        <v>20</v>
      </c>
      <c r="EY213" s="411">
        <f t="shared" si="168"/>
        <v>0</v>
      </c>
      <c r="EZ213" s="411">
        <f t="shared" si="169"/>
        <v>23.291139240506325</v>
      </c>
      <c r="FA213" s="410">
        <f t="shared" si="170"/>
        <v>0</v>
      </c>
      <c r="FB213" s="405" t="s">
        <v>545</v>
      </c>
      <c r="FC213" s="409"/>
      <c r="FD213" s="420" t="str">
        <f t="shared" si="134"/>
        <v>FLINTSL - YELLOW</v>
      </c>
      <c r="FE213" s="409"/>
      <c r="FF213" s="411">
        <f>IF(FE213=0,0,IF($LB213=70%,VLOOKUP($FD213,'Jan-2026 rates'!$L:$R,4,0),IF($LB213=65%,VLOOKUP($FD213,'Jan-2026 rates'!$L:$R,4,0),IF($LB213=40%,VLOOKUP($FD213,'Jan-2026 rates'!$L:$R,5,0),IF($LB213=30%,VLOOKUP($FD213,'Jan-2026 rates'!$L:$R,6,0),IF($LB213=100%,VLOOKUP($FD213,'Jan-2026 rates'!$L:$R,7,0),IF($LB213=60%,VLOOKUP($FD213,'Jan-2026 rates'!$L:$S,8,0),IF($LB213=80%,VLOOKUP($FD213,'Jan-2026 rates'!L:T,9,0),0))))))))</f>
        <v>0</v>
      </c>
      <c r="FG213" s="412"/>
      <c r="FH213" s="409"/>
      <c r="FI213" s="411">
        <f>IF(FH213=0,0,IF($LB213=70%,VLOOKUP($FD213,'Jan-2026 rates'!$L:$R,4,0),IF($LB213=65%,VLOOKUP($FD213,'Jan-2026 rates'!$L:$R,4,0),IF($LB213=40%,VLOOKUP($FD213,'Jan-2026 rates'!$L:$R,5,0),IF($LB213=30%,VLOOKUP($FD213,'Jan-2026 rates'!$L:$R,6,0),IF($LB213=100%,VLOOKUP($FD213,'Jan-2026 rates'!$L:$R,7,0),IF($LB213=60%,VLOOKUP($FD213,'Jan-2026 rates'!$L:$S,8,0),IF($LB213=80%,VLOOKUP($FD213,'Jan-2026 rates'!L:T,9,0),0))))))))</f>
        <v>0</v>
      </c>
      <c r="FJ213" s="413">
        <v>26515000009</v>
      </c>
      <c r="FK213" s="413" t="s">
        <v>1266</v>
      </c>
      <c r="FL213" s="413"/>
      <c r="FM213" s="412"/>
      <c r="FN213" s="412"/>
      <c r="FO213" s="412"/>
      <c r="FP213" s="412"/>
      <c r="FQ213" s="412"/>
      <c r="FR213" s="409">
        <v>20</v>
      </c>
      <c r="FS213" s="398" t="e">
        <f>IF(FR213=0,0,IF(LEN(FJ213)=11,_xlfn.XLOOKUP(FJ213,'Dispensed Ink Rates'!C:C,'Dispensed Ink Rates'!CS:CS),VLOOKUP(FJ213,'Jan-2026 rates'!$E:$F,2,0)))</f>
        <v>#N/A</v>
      </c>
      <c r="FT213" s="409">
        <v>5</v>
      </c>
      <c r="FU213" s="398">
        <f>IF(FT213=0,0,IF(LEN(FK213)=11,_xlfn.XLOOKUP(FK213,'Dispensed Ink Rates'!C:C,'Dispensed Ink Rates'!CS:CS),VLOOKUP(FK213,'Jan-2026 rates'!$E:$F,2,0)))</f>
        <v>0</v>
      </c>
      <c r="FV213" s="409"/>
      <c r="FW213" s="398">
        <f>IF(FV213=0,0,IF(LEN(FL213)=11,_xlfn.XLOOKUP(FL213,'Dispensed Ink Rates'!C:C,'Dispensed Ink Rates'!CS:CS),VLOOKUP(FL213,'Jan-2026 rates'!$E:$F,2,0)))</f>
        <v>0</v>
      </c>
      <c r="FX213" s="409"/>
      <c r="FY213" s="398">
        <f>IF(FX213=0,0,IF(LEN(FM213)=11,_xlfn.XLOOKUP(FM213,'Dispensed Ink Rates'!C:C,'Dispensed Ink Rates'!CS:CS),VLOOKUP(FM213,'Jan-2026 rates'!$E:$F,2,0)))</f>
        <v>0</v>
      </c>
      <c r="FZ213" s="409"/>
      <c r="GA213" s="398">
        <f>IF(FZ213=0,0,IF(LEN(FN213)=11,_xlfn.XLOOKUP(FN213,'Dispensed Ink Rates'!C:C,'Dispensed Ink Rates'!CS:CS),VLOOKUP(FN213,'Jan-2026 rates'!$E:$F,2,0)))</f>
        <v>0</v>
      </c>
      <c r="GB213" s="409"/>
      <c r="GC213" s="398">
        <f>IF(GB213=0,0,IF(LEN(FO213)=11,_xlfn.XLOOKUP(FO213,'Dispensed Ink Rates'!C:C,'Dispensed Ink Rates'!CS:CS),VLOOKUP(FO213,'Jan-2026 rates'!$E:$F,2,0)))</f>
        <v>0</v>
      </c>
      <c r="GD213" s="409"/>
      <c r="GE213" s="398">
        <f>IF(GD213=0,0,IF(LEN(FP213)=11,_xlfn.XLOOKUP(FP213,'Dispensed Ink Rates'!C:C,'Dispensed Ink Rates'!CS:CS),VLOOKUP(FP213,'Jan-2026 rates'!$E:$F,2,0)))</f>
        <v>0</v>
      </c>
      <c r="GF213" s="409"/>
      <c r="GG213" s="398">
        <f>IF(GF213=0,0,IF(LEN(FQ213)=11,_xlfn.XLOOKUP(FQ213,'Dispensed Ink Rates'!C:C,'Dispensed Ink Rates'!CS:CS),VLOOKUP(FQ213,'Jan-2026 rates'!$E:$F,2,0)))</f>
        <v>0</v>
      </c>
      <c r="GH213" s="409" t="s">
        <v>1443</v>
      </c>
      <c r="GI213" s="409">
        <v>28</v>
      </c>
      <c r="GJ213" s="411">
        <f t="shared" si="171"/>
        <v>0</v>
      </c>
      <c r="GK213" s="411">
        <f t="shared" si="172"/>
        <v>26.113924050632917</v>
      </c>
      <c r="GL213" s="410">
        <f t="shared" si="173"/>
        <v>0</v>
      </c>
      <c r="GM213" s="405" t="s">
        <v>547</v>
      </c>
      <c r="GN213" s="409"/>
      <c r="GO213" s="420" t="str">
        <f t="shared" si="135"/>
        <v>FLINTSL - GREEN</v>
      </c>
      <c r="GP213" s="409"/>
      <c r="GQ213" s="411">
        <f>IF(GP213=0,0,IF($LB213=70%,VLOOKUP($GO213,'Jan-2026 rates'!$L:$R,4,0),IF($LB213=65%,VLOOKUP($GO213,'Jan-2026 rates'!$L:$R,4,0),IF($LB213=40%,VLOOKUP($GO213,'Jan-2026 rates'!$L:$R,5,0),IF($LB213=30%,VLOOKUP($GO213,'Jan-2026 rates'!$L:$R,6,0),IF($LB213=100%,VLOOKUP($GO213,'Jan-2026 rates'!$L:$R,7,0),IF($LB213=60%,VLOOKUP($GO213,'Jan-2026 rates'!$L:$S,8,0),IF($LB213=80%,VLOOKUP($GO213,'Jan-2026 rates'!L:T,9,0),0))))))))</f>
        <v>0</v>
      </c>
      <c r="GR213" s="412"/>
      <c r="GS213" s="409"/>
      <c r="GT213" s="411">
        <f>IF(GS213=0,0,IF($LB213=70%,VLOOKUP($GO213,'Jan-2026 rates'!$L:$R,4,0),IF($LB213=65%,VLOOKUP($GO213,'Jan-2026 rates'!$L:$R,4,0),IF($LB213=40%,VLOOKUP($GO213,'Jan-2026 rates'!$L:$R,5,0),IF($LB213=30%,VLOOKUP($GO213,'Jan-2026 rates'!$L:$R,6,0),IF($LB213=100%,VLOOKUP($GO213,'Jan-2026 rates'!$L:$R,7,0),IF($LB213=60%,VLOOKUP($GO213,'Jan-2026 rates'!$L:$S,8,0),IF($LB213=80%,VLOOKUP($GO213,'Jan-2026 rates'!L:T,9,0),0))))))))</f>
        <v>0</v>
      </c>
      <c r="GU213" s="413" t="s">
        <v>1266</v>
      </c>
      <c r="GV213" s="413">
        <v>26515000009</v>
      </c>
      <c r="GW213" s="412">
        <v>26512000001</v>
      </c>
      <c r="GX213" s="412"/>
      <c r="GY213" s="412"/>
      <c r="GZ213" s="412"/>
      <c r="HA213" s="412"/>
      <c r="HB213" s="412"/>
      <c r="HC213" s="409">
        <v>20</v>
      </c>
      <c r="HD213" s="398">
        <f>IF(HC213=0,0,IF(LEN(GU213)=11,_xlfn.XLOOKUP(GU213,'Dispensed Ink Rates'!C:C,'Dispensed Ink Rates'!CS:CS),VLOOKUP(GU213,'Jan-2026 rates'!$E:$F,2,0)))</f>
        <v>0</v>
      </c>
      <c r="HE213" s="409">
        <v>0.5</v>
      </c>
      <c r="HF213" s="398" t="e">
        <f>IF(HE213=0,0,IF(LEN(GV213)=11,_xlfn.XLOOKUP(GV213,'Dispensed Ink Rates'!C:C,'Dispensed Ink Rates'!CS:CS),VLOOKUP(GV213,'Jan-2026 rates'!$E:$F,2,0)))</f>
        <v>#N/A</v>
      </c>
      <c r="HG213" s="409">
        <v>0.3</v>
      </c>
      <c r="HH213" s="398" t="e">
        <f>IF(HG213=0,0,IF(LEN(GW213)=11,_xlfn.XLOOKUP(GW213,'Dispensed Ink Rates'!C:C,'Dispensed Ink Rates'!CS:CS),VLOOKUP(GW213,'Jan-2026 rates'!$E:$F,2,0)))</f>
        <v>#N/A</v>
      </c>
      <c r="HI213" s="409"/>
      <c r="HJ213" s="398">
        <f>IF(HI213=0,0,IF(LEN(GX213)=11,_xlfn.XLOOKUP(GX213,'Dispensed Ink Rates'!C:C,'Dispensed Ink Rates'!CS:CS),VLOOKUP(GX213,'Jan-2026 rates'!$E:$F,2,0)))</f>
        <v>0</v>
      </c>
      <c r="HK213" s="409"/>
      <c r="HL213" s="398">
        <f>IF(HK213=0,0,IF(LEN(GY213)=11,_xlfn.XLOOKUP(GY213,'Dispensed Ink Rates'!C:C,'Dispensed Ink Rates'!CS:CS),VLOOKUP(GY213,'Jan-2026 rates'!$E:$F,2,0)))</f>
        <v>0</v>
      </c>
      <c r="HM213" s="409"/>
      <c r="HN213" s="398">
        <f>IF(HM213=0,0,IF(LEN(GZ213)=11,_xlfn.XLOOKUP(GZ213,'Dispensed Ink Rates'!C:C,'Dispensed Ink Rates'!CS:CS),VLOOKUP(GZ213,'Jan-2026 rates'!$E:$F,2,0)))</f>
        <v>0</v>
      </c>
      <c r="HO213" s="409"/>
      <c r="HP213" s="398">
        <f>IF(HO213=0,0,IF(LEN(HA213)=11,_xlfn.XLOOKUP(HA213,'Dispensed Ink Rates'!C:C,'Dispensed Ink Rates'!CS:CS),VLOOKUP(HA213,'Jan-2026 rates'!$E:$F,2,0)))</f>
        <v>0</v>
      </c>
      <c r="HQ213" s="409"/>
      <c r="HR213" s="398">
        <f>IF(HQ213=0,0,IF(LEN(HB213)=11,_xlfn.XLOOKUP(HB213,'Dispensed Ink Rates'!C:C,'Dispensed Ink Rates'!CS:CS),VLOOKUP(HB213,'Jan-2026 rates'!$E:$F,2,0)))</f>
        <v>0</v>
      </c>
      <c r="HS213" s="409" t="s">
        <v>1443</v>
      </c>
      <c r="HT213" s="409">
        <v>20</v>
      </c>
      <c r="HU213" s="411">
        <f t="shared" si="174"/>
        <v>0</v>
      </c>
      <c r="HV213" s="411">
        <f t="shared" si="175"/>
        <v>18.268354430379745</v>
      </c>
      <c r="HW213" s="414">
        <f t="shared" si="176"/>
        <v>0</v>
      </c>
      <c r="HX213" s="405" t="s">
        <v>856</v>
      </c>
      <c r="HY213" s="409" t="s">
        <v>3821</v>
      </c>
      <c r="HZ213" s="420" t="str">
        <f t="shared" si="136"/>
        <v>FLINTSL - WHITE</v>
      </c>
      <c r="IA213" s="409">
        <v>30</v>
      </c>
      <c r="IB213" s="411">
        <f>IF(IA213=0,0,IF($LB213=70%,VLOOKUP($HZ213,'Jan-2026 rates'!$L:$R,4,0),IF($LB213=65%,VLOOKUP($HZ213,'Jan-2026 rates'!$L:$R,4,0),IF($LB213=40%,VLOOKUP($HZ213,'Jan-2026 rates'!$L:$R,5,0),IF($LB213=30%,VLOOKUP($HZ213,'Jan-2026 rates'!$L:$R,6,0),IF($LB213=100%,VLOOKUP($HZ213,'Jan-2026 rates'!$L:$R,7,0),IF($LB213=60%,VLOOKUP($HZ213,'Jan-2026 rates'!$L:$S,8,0),IF($LB213=80%,VLOOKUP($HZ213,'Jan-2026 rates'!L:T,9,0),0))))))))</f>
        <v>0</v>
      </c>
      <c r="IC213" s="412"/>
      <c r="ID213" s="409"/>
      <c r="IE213" s="411">
        <f>IF(ID213=0,0,IF($LB213=70%,VLOOKUP($HZ213,'Jan-2026 rates'!$L:$R,4,0),IF($LB213=65%,VLOOKUP($HZ213,'Jan-2026 rates'!$L:$R,4,0),IF($LB213=40%,VLOOKUP($HZ213,'Jan-2026 rates'!$L:$R,5,0),IF($LB213=30%,VLOOKUP($HZ213,'Jan-2026 rates'!$L:$R,6,0),IF($LB213=100%,VLOOKUP($HZ213,'Jan-2026 rates'!$L:$R,7,0),IF($LB213=60%,VLOOKUP($HZ213,'Jan-2026 rates'!$L:$S,8,0),IF($LB213=80%,VLOOKUP($HZ213,'Jan-2026 rates'!L:T,9,0),0))))))))</f>
        <v>0</v>
      </c>
      <c r="IF213" s="412" t="s">
        <v>484</v>
      </c>
      <c r="IG213" s="413"/>
      <c r="IH213" s="412"/>
      <c r="II213" s="412"/>
      <c r="IJ213" s="412"/>
      <c r="IK213" s="412"/>
      <c r="IL213" s="412"/>
      <c r="IM213" s="412"/>
      <c r="IN213" s="409">
        <v>40</v>
      </c>
      <c r="IO213" s="398">
        <f>IF(IN213=0,0,IF(LEN(IF213)=11,_xlfn.XLOOKUP(IF213,'Dispensed Ink Rates'!C:C,'Dispensed Ink Rates'!CS:CS),VLOOKUP(IF213,'Jan-2026 rates'!$E:$F,2,0)))</f>
        <v>0</v>
      </c>
      <c r="IP213" s="409"/>
      <c r="IQ213" s="398">
        <f>IF(IP213=0,0,IF(LEN(IG213)=11,_xlfn.XLOOKUP(IG213,'Dispensed Ink Rates'!C:C,'Dispensed Ink Rates'!CS:CS),VLOOKUP(IG213,'Jan-2026 rates'!$E:$F,2,0)))</f>
        <v>0</v>
      </c>
      <c r="IR213" s="409"/>
      <c r="IS213" s="398">
        <f>IF(IR213=0,0,IF(LEN(IH213)=11,_xlfn.XLOOKUP(IH213,'Dispensed Ink Rates'!C:C,'Dispensed Ink Rates'!CS:CS),VLOOKUP(IH213,'Jan-2026 rates'!$E:$F,2,0)))</f>
        <v>0</v>
      </c>
      <c r="IT213" s="409"/>
      <c r="IU213" s="398">
        <f>IF(IT213=0,0,IF(LEN(II213)=11,_xlfn.XLOOKUP(II213,'Dispensed Ink Rates'!C:C,'Dispensed Ink Rates'!CS:CS),VLOOKUP(II213,'Jan-2026 rates'!$E:$F,2,0)))</f>
        <v>0</v>
      </c>
      <c r="IV213" s="409"/>
      <c r="IW213" s="398">
        <f>IF(IV213=0,0,IF(LEN(IJ213)=11,_xlfn.XLOOKUP(IJ213,'Dispensed Ink Rates'!C:C,'Dispensed Ink Rates'!CS:CS),VLOOKUP(IJ213,'Jan-2026 rates'!$E:$F,2,0)))</f>
        <v>0</v>
      </c>
      <c r="IX213" s="409"/>
      <c r="IY213" s="398">
        <f>IF(IX213=0,0,IF(LEN(IK213)=11,_xlfn.XLOOKUP(IK213,'Dispensed Ink Rates'!C:C,'Dispensed Ink Rates'!CS:CS),VLOOKUP(IK213,'Jan-2026 rates'!$E:$F,2,0)))</f>
        <v>0</v>
      </c>
      <c r="IZ213" s="409"/>
      <c r="JA213" s="398">
        <f>IF(IZ213=0,0,IF(LEN(IL213)=11,_xlfn.XLOOKUP(IL213,'Dispensed Ink Rates'!C:C,'Dispensed Ink Rates'!CS:CS),VLOOKUP(IL213,'Jan-2026 rates'!$E:$F,2,0)))</f>
        <v>0</v>
      </c>
      <c r="JB213" s="409"/>
      <c r="JC213" s="398">
        <f>IF(JB213=0,0,IF(LEN(IM213)=11,_xlfn.XLOOKUP(IM213,'Dispensed Ink Rates'!C:C,'Dispensed Ink Rates'!CS:CS),VLOOKUP(IM213,'Jan-2026 rates'!$E:$F,2,0)))</f>
        <v>0</v>
      </c>
      <c r="JD213" s="409" t="s">
        <v>1443</v>
      </c>
      <c r="JE213" s="409">
        <v>25</v>
      </c>
      <c r="JF213" s="411">
        <f t="shared" si="177"/>
        <v>0</v>
      </c>
      <c r="JG213" s="411">
        <f t="shared" si="178"/>
        <v>103.22784810126583</v>
      </c>
      <c r="JH213" s="410">
        <f t="shared" si="179"/>
        <v>0</v>
      </c>
      <c r="JI213" s="405" t="s">
        <v>605</v>
      </c>
      <c r="JJ213" s="409" t="s">
        <v>3822</v>
      </c>
      <c r="JK213" s="420" t="str">
        <f t="shared" si="137"/>
        <v>ToyoLi - MATT</v>
      </c>
      <c r="JL213" s="409">
        <v>30</v>
      </c>
      <c r="JM213" s="411">
        <f>IF(JL213=0,0,IF($LB213=70%,VLOOKUP($JK213,'Jan-2026 rates'!$L:$R,4,0),IF($LB213=65%,VLOOKUP($JK213,'Jan-2026 rates'!$L:$R,4,0),IF($LB213=40%,VLOOKUP($JK213,'Jan-2026 rates'!$L:$R,5,0),IF($LB213=30%,VLOOKUP($JK213,'Jan-2026 rates'!$L:$R,6,0),IF($LB213=100%,VLOOKUP($JK213,'Jan-2026 rates'!$L:$R,7,0),IF($LB213=60%,VLOOKUP($JK213,'Jan-2026 rates'!$L:$S,8,0),IF($LB213=80%,VLOOKUP($JK213,'Jan-2026 rates'!L:T,9,0),0))))))))</f>
        <v>0</v>
      </c>
      <c r="JN213" s="412"/>
      <c r="JO213" s="409"/>
      <c r="JP213" s="411">
        <f>IF(JO213=0,0,IF($LB213=70%,VLOOKUP($JK213,'Jan-2026 rates'!$L:$R,4,0),IF($LB213=65%,VLOOKUP($JK213,'Jan-2026 rates'!$L:$R,4,0),IF($LB213=40%,VLOOKUP($JK213,'Jan-2026 rates'!$L:$R,5,0),IF($LB213=30%,VLOOKUP($JK213,'Jan-2026 rates'!$L:$R,6,0),IF($LB213=100%,VLOOKUP($JK213,'Jan-2026 rates'!$L:$R,7,0),IF($LB213=60%,VLOOKUP($JK213,'Jan-2026 rates'!$L:$S,8,0),IF($LB213=80%,VLOOKUP($JK213,'Jan-2026 rates'!L:T,9,0),0))))))))</f>
        <v>0</v>
      </c>
      <c r="JQ213" s="413">
        <v>55</v>
      </c>
      <c r="JR213" s="412" t="s">
        <v>1902</v>
      </c>
      <c r="JS213" s="413"/>
      <c r="JT213" s="413"/>
      <c r="JU213" s="412"/>
      <c r="JV213" s="412"/>
      <c r="JW213" s="412"/>
      <c r="JX213" s="412"/>
      <c r="JY213" s="409">
        <v>80</v>
      </c>
      <c r="JZ213" s="398">
        <f>IF(JY213=0,0,IF(LEN(JQ213)=11,_xlfn.XLOOKUP(JQ213,'Dispensed Ink Rates'!C:C,'Dispensed Ink Rates'!CS:CS),VLOOKUP(JQ213,'Jan-2026 rates'!$E:$F,2,0)))</f>
        <v>0</v>
      </c>
      <c r="KA213" s="409">
        <v>20</v>
      </c>
      <c r="KB213" s="398">
        <f>IF(KA213=0,0,IF(LEN(JR213)=11,_xlfn.XLOOKUP(JR213,'Dispensed Ink Rates'!C:C,'Dispensed Ink Rates'!CS:CS),VLOOKUP(JR213,'Jan-2026 rates'!$E:$F,2,0)))</f>
        <v>0</v>
      </c>
      <c r="KC213" s="409"/>
      <c r="KD213" s="398">
        <f>IF(KC213=0,0,IF(LEN(JS213)=11,_xlfn.XLOOKUP(JS213,'Dispensed Ink Rates'!C:C,'Dispensed Ink Rates'!CS:CS),VLOOKUP(JS213,'Jan-2026 rates'!$E:$F,2,0)))</f>
        <v>0</v>
      </c>
      <c r="KE213" s="409"/>
      <c r="KF213" s="398">
        <f>IF(KE213=0,0,IF(LEN(JT213)=11,_xlfn.XLOOKUP(JT213,'Dispensed Ink Rates'!C:C,'Dispensed Ink Rates'!CS:CS),VLOOKUP(JT213,'Jan-2026 rates'!$E:$F,2,0)))</f>
        <v>0</v>
      </c>
      <c r="KG213" s="409"/>
      <c r="KH213" s="398">
        <f>IF(KG213=0,0,IF(LEN(JU213)=11,_xlfn.XLOOKUP(JU213,'Dispensed Ink Rates'!C:C,'Dispensed Ink Rates'!CS:CS),VLOOKUP(JU213,'Jan-2026 rates'!$E:$F,2,0)))</f>
        <v>0</v>
      </c>
      <c r="KI213" s="409"/>
      <c r="KJ213" s="398">
        <f>IF(KI213=0,0,IF(LEN(JV213)=11,_xlfn.XLOOKUP(JV213,'Dispensed Ink Rates'!C:C,'Dispensed Ink Rates'!CS:CS),VLOOKUP(JV213,'Jan-2026 rates'!$E:$F,2,0)))</f>
        <v>0</v>
      </c>
      <c r="KK213" s="409"/>
      <c r="KL213" s="398">
        <f>IF(KK213=0,0,IF(LEN(JW213)=11,_xlfn.XLOOKUP(JW213,'Dispensed Ink Rates'!C:C,'Dispensed Ink Rates'!CS:CS),VLOOKUP(JW213,'Jan-2026 rates'!$E:$F,2,0)))</f>
        <v>0</v>
      </c>
      <c r="KM213" s="428"/>
      <c r="KN213" s="398">
        <f>IF(KM213=0,0,IF(LEN(JX213)=11,_xlfn.XLOOKUP(JX213,'Dispensed Ink Rates'!C:C,'Dispensed Ink Rates'!CS:CS),VLOOKUP(JX213,'Jan-2026 rates'!$E:$F,2,0)))</f>
        <v>0</v>
      </c>
      <c r="KO213" s="409" t="s">
        <v>1881</v>
      </c>
      <c r="KP213" s="409">
        <v>25</v>
      </c>
      <c r="KQ213" s="411">
        <f t="shared" si="180"/>
        <v>0</v>
      </c>
      <c r="KR213" s="411">
        <f t="shared" si="181"/>
        <v>148.67088607594937</v>
      </c>
      <c r="KS213" s="410">
        <f t="shared" si="182"/>
        <v>0</v>
      </c>
      <c r="KT213" s="409">
        <v>2</v>
      </c>
      <c r="KU213" s="409">
        <v>8</v>
      </c>
      <c r="KV213" s="409">
        <v>10</v>
      </c>
      <c r="KW213" s="409">
        <v>8</v>
      </c>
      <c r="KX213" s="409">
        <v>10</v>
      </c>
      <c r="KY213" s="409">
        <v>6</v>
      </c>
      <c r="KZ213" s="409">
        <v>20</v>
      </c>
      <c r="LA213" s="409">
        <v>15</v>
      </c>
      <c r="LB213" s="415">
        <v>0.8</v>
      </c>
      <c r="LC213" s="415">
        <v>0.2</v>
      </c>
      <c r="LD213" s="415"/>
      <c r="LE213" s="415"/>
      <c r="LF213" s="415"/>
      <c r="LG213" s="409">
        <v>0</v>
      </c>
      <c r="LH213" s="409">
        <f>42+40+112+28+4+4</f>
        <v>230</v>
      </c>
      <c r="LI213" s="409">
        <v>0</v>
      </c>
      <c r="LJ213" s="409">
        <v>0</v>
      </c>
      <c r="LK213" s="416">
        <f t="shared" si="138"/>
        <v>230</v>
      </c>
      <c r="LL213" s="416">
        <f t="shared" si="139"/>
        <v>230</v>
      </c>
      <c r="LM213" s="417">
        <f t="shared" si="140"/>
        <v>184</v>
      </c>
      <c r="LN213" s="417">
        <f>VLOOKUP($LM$8,'Jan-2026 rates'!$H:$I,2,0)</f>
        <v>0</v>
      </c>
      <c r="LO213" s="417">
        <f t="shared" si="141"/>
        <v>46</v>
      </c>
      <c r="LP213" s="417">
        <f>VLOOKUP($LO$8,'Jan-2026 rates'!$H:$I,2,0)</f>
        <v>0</v>
      </c>
      <c r="LQ213" s="417">
        <f t="shared" si="142"/>
        <v>0</v>
      </c>
      <c r="LR213" s="417">
        <f>VLOOKUP($LQ$8,'Jan-2026 rates'!$H:$I,2,0)</f>
        <v>0</v>
      </c>
      <c r="LS213" s="417">
        <f t="shared" si="143"/>
        <v>0</v>
      </c>
      <c r="LT213" s="417">
        <f>VLOOKUP($LS$8,'Jan-2026 rates'!$H:$I,2,0)</f>
        <v>0</v>
      </c>
      <c r="LU213" s="417">
        <f t="shared" si="144"/>
        <v>0</v>
      </c>
      <c r="LV213" s="417">
        <f>VLOOKUP($LU$8,'Jan-2026 rates'!$H:$I,2,0)</f>
        <v>0</v>
      </c>
      <c r="LW213" s="417">
        <f t="shared" si="145"/>
        <v>0</v>
      </c>
      <c r="LX213" s="417">
        <f t="shared" si="146"/>
        <v>0</v>
      </c>
      <c r="LY213" s="418">
        <f t="shared" si="147"/>
        <v>0</v>
      </c>
      <c r="LZ213" s="417"/>
      <c r="MA213" s="435">
        <f t="shared" si="148"/>
        <v>294.8</v>
      </c>
      <c r="MB213" s="282">
        <f t="shared" si="149"/>
        <v>412.80000000000007</v>
      </c>
      <c r="MC213" s="283">
        <v>106</v>
      </c>
      <c r="MD213" s="284" t="str">
        <f t="shared" si="150"/>
        <v>FLINTSLFLINTSLFLINTSLFLINTSLFLINTSLFLINTSLFLINTSLToyoLi</v>
      </c>
      <c r="ME213" s="293" t="str">
        <f t="shared" si="151"/>
        <v>+</v>
      </c>
      <c r="MF213" s="293" t="str">
        <f t="shared" si="152"/>
        <v>+</v>
      </c>
      <c r="MG213" s="293" t="str">
        <f t="shared" si="153"/>
        <v>+</v>
      </c>
      <c r="MH213" s="293" t="str">
        <f t="shared" si="154"/>
        <v>+</v>
      </c>
      <c r="MI213" s="293" t="str">
        <f t="shared" si="155"/>
        <v>+</v>
      </c>
      <c r="MJ213" s="293" t="str">
        <f t="shared" si="156"/>
        <v>+</v>
      </c>
      <c r="MK213" s="293" t="str">
        <f t="shared" si="157"/>
        <v>+</v>
      </c>
      <c r="ML213" s="293" t="str">
        <f t="shared" si="158"/>
        <v>+</v>
      </c>
      <c r="MM213" s="3" t="b">
        <f t="array" ref="MM213">OR(ME213:ML213="-")</f>
        <v>0</v>
      </c>
      <c r="MN213" s="285"/>
      <c r="MO213" s="401"/>
      <c r="MP213" s="286"/>
      <c r="MQ213" s="286"/>
      <c r="MR213" s="402"/>
      <c r="MS213" s="400"/>
      <c r="NH213" s="422"/>
      <c r="NJ213" s="421"/>
    </row>
    <row r="214" spans="1:374" s="1" customFormat="1" ht="16.5">
      <c r="A214" s="403">
        <v>46037</v>
      </c>
      <c r="B214" s="404" t="s">
        <v>1018</v>
      </c>
      <c r="C214" s="405" t="s">
        <v>3823</v>
      </c>
      <c r="D214" s="406">
        <v>107</v>
      </c>
      <c r="E214" s="404">
        <v>384</v>
      </c>
      <c r="F214" s="407">
        <v>15200</v>
      </c>
      <c r="G214" s="407" t="s">
        <v>1016</v>
      </c>
      <c r="H214" s="408" t="s">
        <v>1017</v>
      </c>
      <c r="I214" s="409">
        <f>2+1.67</f>
        <v>3.67</v>
      </c>
      <c r="J214" s="405" t="s">
        <v>543</v>
      </c>
      <c r="K214" s="404" t="s">
        <v>3824</v>
      </c>
      <c r="L214" s="419" t="str">
        <f t="shared" si="131"/>
        <v>FLINTSL - BLACK</v>
      </c>
      <c r="M214" s="404">
        <v>27</v>
      </c>
      <c r="N214" s="410">
        <f>IF(M214=0,0,IF($LB214=70%,VLOOKUP($L214,'Jan-2026 rates'!$L:$R,4,0),IF($LB214=65%,VLOOKUP($L214,'Jan-2026 rates'!$L:$R,4,0),IF($LB214=40%,VLOOKUP($L214,'Jan-2026 rates'!$L:$R,5,0),IF($LB214=30%,VLOOKUP($L214,'Jan-2026 rates'!$L:$R,6,0),IF($LB214=100%,VLOOKUP($L214,'Jan-2026 rates'!$L:$R,7,0),IF($LB214=60%,VLOOKUP($L214,'Jan-2026 rates'!$L:$S,8,0),IF($LB214=80%,VLOOKUP($L214,'Jan-2026 rates'!L:T,9,0),0))))))))</f>
        <v>0</v>
      </c>
      <c r="O214" s="406"/>
      <c r="P214" s="404"/>
      <c r="Q214" s="410">
        <f>IF(P214=0,0,IF($LB214=70%,VLOOKUP($L214,'Jan-2026 rates'!$L:$R,4,0),IF($LB214=65%,VLOOKUP($L214,'Jan-2026 rates'!$L:$R,4,0),IF($LB214=40%,VLOOKUP($L214,'Jan-2026 rates'!$L:$R,5,0),IF($LB214=30%,VLOOKUP($L214,'Jan-2026 rates'!$L:$R,6,0),IF($LB214=100%,VLOOKUP($L214,'Jan-2026 rates'!$L:$R,7,0),IF($LB214=60%,VLOOKUP($L214,'Jan-2026 rates'!$L:$S,8,0),IF($LB214=80%,VLOOKUP($L214,'Jan-2026 rates'!L:T,9,0),0))))))))</f>
        <v>0</v>
      </c>
      <c r="R214" s="406">
        <v>26519000013</v>
      </c>
      <c r="S214" s="406"/>
      <c r="T214" s="406"/>
      <c r="U214" s="406"/>
      <c r="V214" s="406"/>
      <c r="W214" s="406"/>
      <c r="X214" s="406"/>
      <c r="Y214" s="406"/>
      <c r="Z214" s="404">
        <v>4</v>
      </c>
      <c r="AA214" s="398" t="e">
        <f>IF(Z214=0,0,IF(LEN(R214)=11,_xlfn.XLOOKUP(R214,'Dispensed Ink Rates'!C:C,'Dispensed Ink Rates'!CS:CS),VLOOKUP(R214,'Jan-2026 rates'!$E:$F,2,0)))</f>
        <v>#N/A</v>
      </c>
      <c r="AB214" s="404"/>
      <c r="AC214" s="398">
        <f>IF(AB214=0,0,IF(LEN(S214)=11,_xlfn.XLOOKUP(S214,'Dispensed Ink Rates'!C:C,'Dispensed Ink Rates'!CS:CS),VLOOKUP(S214,'Jan-2026 rates'!$E:$F,2,0)))</f>
        <v>0</v>
      </c>
      <c r="AD214" s="404"/>
      <c r="AE214" s="398">
        <f>IF(AD214=0,0,IF(LEN(T214)=11,_xlfn.XLOOKUP(T214,'Dispensed Ink Rates'!C:C,'Dispensed Ink Rates'!CS:CS),VLOOKUP(T214,'Jan-2026 rates'!$E:$F,2,0)))</f>
        <v>0</v>
      </c>
      <c r="AF214" s="404"/>
      <c r="AG214" s="398">
        <f>IF(AF214=0,0,IF(LEN(U214)=11,_xlfn.XLOOKUP(U214,'Dispensed Ink Rates'!C:C,'Dispensed Ink Rates'!CS:CS),VLOOKUP(U214,'Jan-2026 rates'!$E:$F,2,0)))</f>
        <v>0</v>
      </c>
      <c r="AH214" s="404"/>
      <c r="AI214" s="398">
        <f>IF(AH214=0,0,IF(LEN(V214)=11,_xlfn.XLOOKUP(V214,'Dispensed Ink Rates'!C:C,'Dispensed Ink Rates'!CS:CS),VLOOKUP(V214,'Jan-2026 rates'!$E:$F,2,0)))</f>
        <v>0</v>
      </c>
      <c r="AJ214" s="404"/>
      <c r="AK214" s="398">
        <f>IF(AJ214=0,0,IF(LEN(W214)=11,_xlfn.XLOOKUP(W214,'Dispensed Ink Rates'!C:C,'Dispensed Ink Rates'!CS:CS),VLOOKUP(W214,'Jan-2026 rates'!$E:$F,2,0)))</f>
        <v>0</v>
      </c>
      <c r="AL214" s="404"/>
      <c r="AM214" s="398">
        <f>IF(AL214=0,0,IF(LEN(X214)=11,_xlfn.XLOOKUP(X214,'Dispensed Ink Rates'!C:C,'Dispensed Ink Rates'!CS:CS),VLOOKUP(X214,'Jan-2026 rates'!$E:$F,2,0)))</f>
        <v>0</v>
      </c>
      <c r="AN214" s="404"/>
      <c r="AO214" s="398">
        <f>IF(AN214=0,0,IF(LEN(Y214)=11,_xlfn.XLOOKUP(Y214,'Dispensed Ink Rates'!C:C,'Dispensed Ink Rates'!CS:CS),VLOOKUP(Y214,'Jan-2026 rates'!$E:$F,2,0)))</f>
        <v>0</v>
      </c>
      <c r="AP214" s="409" t="s">
        <v>1443</v>
      </c>
      <c r="AQ214" s="409">
        <v>28</v>
      </c>
      <c r="AR214" s="410">
        <f t="shared" si="159"/>
        <v>0</v>
      </c>
      <c r="AS214" s="411">
        <f t="shared" si="160"/>
        <v>11</v>
      </c>
      <c r="AT214" s="410">
        <f t="shared" si="161"/>
        <v>0</v>
      </c>
      <c r="AU214" s="405" t="s">
        <v>547</v>
      </c>
      <c r="AV214" s="409"/>
      <c r="AW214" s="420" t="str">
        <f t="shared" si="183"/>
        <v>FLINTSL - GREEN</v>
      </c>
      <c r="AX214" s="409"/>
      <c r="AY214" s="411">
        <f>IF(AX214=0,0,IF($LB214=70%,VLOOKUP($AW214,'Jan-2026 rates'!$L:$R,4,0),IF($LB214=65%,VLOOKUP($AW214,'Jan-2026 rates'!$L:$R,4,0),IF($LB214=40%,VLOOKUP($AW214,'Jan-2026 rates'!$L:$R,5,0),IF($LB214=30%,VLOOKUP($AW214,'Jan-2026 rates'!$L:$R,6,0),IF($LB214=100%,VLOOKUP($AW214,'Jan-2026 rates'!$L:$R,7,0),IF($LB214=60%,VLOOKUP($AW214,'Jan-2026 rates'!$L:$S,8,0),IF($LB214=80%,VLOOKUP($AW214,'Jan-2026 rates'!L:T,9,0),0))))))))</f>
        <v>0</v>
      </c>
      <c r="AZ214" s="412"/>
      <c r="BA214" s="409"/>
      <c r="BB214" s="411">
        <f>IF(BA214=0,0,IF($LB214=70%,VLOOKUP($AW214,'Jan-2026 rates'!$L:$R,4,0),IF($LB214=65%,VLOOKUP($AW214,'Jan-2026 rates'!$L:$R,4,0),IF($LB214=40%,VLOOKUP($AW214,'Jan-2026 rates'!$L:$R,5,0),IF($LB214=30%,VLOOKUP($AW214,'Jan-2026 rates'!$L:$R,6,0),IF($LB214=100%,VLOOKUP($AW214,'Jan-2026 rates'!$L:$R,7,0),IF($LB214=60%,VLOOKUP($AW214,'Jan-2026 rates'!$L:$S,8,0),IF($LB214=80%,VLOOKUP($AW214,'Jan-2026 rates'!L:T,9,0),0))))))))</f>
        <v>0</v>
      </c>
      <c r="BC214" s="413">
        <v>26515000031</v>
      </c>
      <c r="BD214" s="412">
        <v>26516000001</v>
      </c>
      <c r="BE214" s="412">
        <v>26512000001</v>
      </c>
      <c r="BF214" s="413"/>
      <c r="BG214" s="412"/>
      <c r="BH214" s="412"/>
      <c r="BI214" s="412"/>
      <c r="BJ214" s="412"/>
      <c r="BK214" s="409">
        <v>40</v>
      </c>
      <c r="BL214" s="398" t="e">
        <f>IF(BK214=0,0,IF(LEN(BC214)=11,_xlfn.XLOOKUP(BC214,'Dispensed Ink Rates'!C:C,'Dispensed Ink Rates'!CS:CS),VLOOKUP(BC214,'Jan-2026 rates'!$E:$F,2,0)))</f>
        <v>#N/A</v>
      </c>
      <c r="BM214" s="409">
        <v>40</v>
      </c>
      <c r="BN214" s="398" t="e">
        <f>IF(BM214=0,0,IF(LEN(BD214)=11,_xlfn.XLOOKUP(BD214,'Dispensed Ink Rates'!C:C,'Dispensed Ink Rates'!CS:CS),VLOOKUP(BD214,'Jan-2026 rates'!$E:$F,2,0)))</f>
        <v>#N/A</v>
      </c>
      <c r="BO214" s="409">
        <v>2</v>
      </c>
      <c r="BP214" s="398" t="e">
        <f>IF(BO214=0,0,IF(LEN(BE214)=11,_xlfn.XLOOKUP(BE214,'Dispensed Ink Rates'!C:C,'Dispensed Ink Rates'!CS:CS),VLOOKUP(BE214,'Jan-2026 rates'!$E:$F,2,0)))</f>
        <v>#N/A</v>
      </c>
      <c r="BQ214" s="409"/>
      <c r="BR214" s="398">
        <f>IF(BQ214=0,0,IF(LEN(BF214)=11,_xlfn.XLOOKUP(BF214,'Dispensed Ink Rates'!C:C,'Dispensed Ink Rates'!CS:CS),VLOOKUP(BF214,'Jan-2026 rates'!$E:$F,2,0)))</f>
        <v>0</v>
      </c>
      <c r="BS214" s="409"/>
      <c r="BT214" s="398">
        <f>IF(BS214=0,0,IF(LEN(BG214)=11,_xlfn.XLOOKUP(BG214,'Dispensed Ink Rates'!C:C,'Dispensed Ink Rates'!CS:CS),VLOOKUP(BG214,'Jan-2026 rates'!$E:$F,2,0)))</f>
        <v>0</v>
      </c>
      <c r="BU214" s="409"/>
      <c r="BV214" s="398">
        <f>IF(BU214=0,0,IF(LEN(BH214)=11,_xlfn.XLOOKUP(BH214,'Dispensed Ink Rates'!C:C,'Dispensed Ink Rates'!CS:CS),VLOOKUP(BH214,'Jan-2026 rates'!$E:$F,2,0)))</f>
        <v>0</v>
      </c>
      <c r="BW214" s="409"/>
      <c r="BX214" s="398">
        <f>IF(BW214=0,0,IF(LEN(BI214)=11,_xlfn.XLOOKUP(BI214,'Dispensed Ink Rates'!C:C,'Dispensed Ink Rates'!CS:CS),VLOOKUP(BI214,'Jan-2026 rates'!$E:$F,2,0)))</f>
        <v>0</v>
      </c>
      <c r="BY214" s="409"/>
      <c r="BZ214" s="398">
        <f>IF(BY214=0,0,IF(LEN(BJ214)=11,_xlfn.XLOOKUP(BJ214,'Dispensed Ink Rates'!C:C,'Dispensed Ink Rates'!CS:CS),VLOOKUP(BJ214,'Jan-2026 rates'!$E:$F,2,0)))</f>
        <v>0</v>
      </c>
      <c r="CA214" s="409" t="s">
        <v>1443</v>
      </c>
      <c r="CB214" s="409">
        <v>45</v>
      </c>
      <c r="CC214" s="411">
        <f t="shared" si="162"/>
        <v>0</v>
      </c>
      <c r="CD214" s="411">
        <f t="shared" si="163"/>
        <v>45</v>
      </c>
      <c r="CE214" s="410">
        <f t="shared" si="164"/>
        <v>0</v>
      </c>
      <c r="CF214" s="404" t="s">
        <v>855</v>
      </c>
      <c r="CG214" s="409" t="s">
        <v>3825</v>
      </c>
      <c r="CH214" s="420" t="str">
        <f t="shared" si="132"/>
        <v>FLINTSL - CYAN</v>
      </c>
      <c r="CI214" s="409">
        <v>27</v>
      </c>
      <c r="CJ214" s="411">
        <f>IF(CI214=0,0,IF($LB214=70%,VLOOKUP($CH214,'Jan-2026 rates'!$L:$R,4,0),IF($LB214=65%,VLOOKUP($CH214,'Jan-2026 rates'!$L:$R,4,0),IF($LB214=40%,VLOOKUP($CH214,'Jan-2026 rates'!$L:$R,5,0),IF($LB214=30%,VLOOKUP($CH214,'Jan-2026 rates'!$L:$R,6,0),IF($LB214=100%,VLOOKUP($CH214,'Jan-2026 rates'!$L:$R,7,0),IF($LB214=60%,VLOOKUP($CH214,'Jan-2026 rates'!$L:$S,8,0),IF($LB214=80%,VLOOKUP($CH214,'Jan-2026 rates'!L:T,9,0),0))))))))</f>
        <v>0</v>
      </c>
      <c r="CK214" s="412"/>
      <c r="CL214" s="409"/>
      <c r="CM214" s="411">
        <f>IF(CL214=0,0,IF($LB214=70%,VLOOKUP($CH214,'Jan-2026 rates'!$L:$R,4,0),IF($LB214=65%,VLOOKUP($CH214,'Jan-2026 rates'!$L:$R,4,0),IF($LB214=40%,VLOOKUP($CH214,'Jan-2026 rates'!$L:$R,5,0),IF($LB214=30%,VLOOKUP($CH214,'Jan-2026 rates'!$L:$R,6,0),IF($LB214=100%,VLOOKUP($CH214,'Jan-2026 rates'!$L:$R,7,0),IF($LB214=60%,VLOOKUP($CH214,'Jan-2026 rates'!$L:$S,8,0),IF($LB214=80%,VLOOKUP($CH214,'Jan-2026 rates'!L:T,9,0),0))))))))</f>
        <v>0</v>
      </c>
      <c r="CN214" s="426">
        <v>26512000001</v>
      </c>
      <c r="CO214" s="427"/>
      <c r="CP214" s="426"/>
      <c r="CQ214" s="426"/>
      <c r="CR214" s="428"/>
      <c r="CS214" s="428"/>
      <c r="CT214" s="428"/>
      <c r="CU214" s="428"/>
      <c r="CV214" s="409">
        <v>3</v>
      </c>
      <c r="CW214" s="398" t="e">
        <f>IF(CV214=0,0,IF(LEN(CN214)=11,_xlfn.XLOOKUP(CN214,'Dispensed Ink Rates'!C:C,'Dispensed Ink Rates'!CS:CS),VLOOKUP(CN214,'Jan-2026 rates'!$E:$F,2,0)))</f>
        <v>#N/A</v>
      </c>
      <c r="CX214" s="409"/>
      <c r="CY214" s="398">
        <f>IF(CX214=0,0,IF(LEN(CO214)=11,_xlfn.XLOOKUP(CO214,'Dispensed Ink Rates'!C:C,'Dispensed Ink Rates'!CS:CS),VLOOKUP(CO214,'Jan-2026 rates'!$E:$F,2,0)))</f>
        <v>0</v>
      </c>
      <c r="CZ214" s="409"/>
      <c r="DA214" s="398">
        <f>IF(CZ214=0,0,IF(LEN(CP214)=11,_xlfn.XLOOKUP(CP214,'Dispensed Ink Rates'!C:C,'Dispensed Ink Rates'!CS:CS),VLOOKUP(CP214,'Jan-2026 rates'!$E:$F,2,0)))</f>
        <v>0</v>
      </c>
      <c r="DB214" s="409"/>
      <c r="DC214" s="398">
        <f>IF(DB214=0,0,IF(LEN(CQ214)=11,_xlfn.XLOOKUP(CQ214,'Dispensed Ink Rates'!C:C,'Dispensed Ink Rates'!CS:CS),VLOOKUP(CQ214,'Jan-2026 rates'!$E:$F,2,0)))</f>
        <v>0</v>
      </c>
      <c r="DD214" s="409"/>
      <c r="DE214" s="398">
        <f>IF(DD214=0,0,IF(LEN(CR214)=11,_xlfn.XLOOKUP(CR214,'Dispensed Ink Rates'!C:C,'Dispensed Ink Rates'!CS:CS),VLOOKUP(CR214,'Jan-2026 rates'!$E:$F,2,0)))</f>
        <v>0</v>
      </c>
      <c r="DF214" s="409"/>
      <c r="DG214" s="398">
        <f>IF(DF214=0,0,IF(LEN(CS214)=11,_xlfn.XLOOKUP(CS214,'Dispensed Ink Rates'!C:C,'Dispensed Ink Rates'!CS:CS),VLOOKUP(CS214,'Jan-2026 rates'!$E:$F,2,0)))</f>
        <v>0</v>
      </c>
      <c r="DH214" s="409"/>
      <c r="DI214" s="398">
        <f>IF(DH214=0,0,IF(LEN(CT214)=11,_xlfn.XLOOKUP(CT214,'Dispensed Ink Rates'!C:C,'Dispensed Ink Rates'!CS:CS),VLOOKUP(CT214,'Jan-2026 rates'!$E:$F,2,0)))</f>
        <v>0</v>
      </c>
      <c r="DJ214" s="409"/>
      <c r="DK214" s="398">
        <f>IF(DJ214=0,0,IF(LEN(CU214)=11,_xlfn.XLOOKUP(CU214,'Dispensed Ink Rates'!C:C,'Dispensed Ink Rates'!CS:CS),VLOOKUP(CU214,'Jan-2026 rates'!$E:$F,2,0)))</f>
        <v>0</v>
      </c>
      <c r="DL214" s="409" t="s">
        <v>1443</v>
      </c>
      <c r="DM214" s="409">
        <v>28</v>
      </c>
      <c r="DN214" s="411">
        <f t="shared" si="165"/>
        <v>0</v>
      </c>
      <c r="DO214" s="411">
        <f t="shared" si="166"/>
        <v>10</v>
      </c>
      <c r="DP214" s="410">
        <f t="shared" si="167"/>
        <v>0</v>
      </c>
      <c r="DQ214" s="405" t="s">
        <v>544</v>
      </c>
      <c r="DR214" s="409" t="s">
        <v>3826</v>
      </c>
      <c r="DS214" s="420" t="str">
        <f t="shared" si="133"/>
        <v>FLINTSL - MAGENTA</v>
      </c>
      <c r="DT214" s="409">
        <v>20</v>
      </c>
      <c r="DU214" s="411">
        <f>IF(DT214=0,0,IF($LB214=70%,VLOOKUP($DS214,'Jan-2026 rates'!$L:$R,4,0),IF($LB214=65%,VLOOKUP($DS214,'Jan-2026 rates'!$L:$R,4,0),IF($LB214=40%,VLOOKUP($DS214,'Jan-2026 rates'!$L:$R,5,0),IF($LB214=30%,VLOOKUP($DS214,'Jan-2026 rates'!$L:$R,6,0),IF($LB214=100%,VLOOKUP($DS214,'Jan-2026 rates'!$L:$R,7,0),IF($LB214=60%,VLOOKUP($DS214,'Jan-2026 rates'!$L:$S,8,0),IF($LB214=80%,VLOOKUP($DS214,'Jan-2026 rates'!L:T,9,0),0))))))))</f>
        <v>0</v>
      </c>
      <c r="DV214" s="412"/>
      <c r="DW214" s="409"/>
      <c r="DX214" s="411">
        <f>IF(DW214=0,0,IF($LB214=70%,VLOOKUP($DS214,'Jan-2026 rates'!$L:$R,4,0),IF($LB214=65%,VLOOKUP($DS214,'Jan-2026 rates'!$L:$R,4,0),IF($LB214=40%,VLOOKUP($DS214,'Jan-2026 rates'!$L:$R,5,0),IF($LB214=30%,VLOOKUP($DS214,'Jan-2026 rates'!$L:$R,6,0),IF($LB214=100%,VLOOKUP($DS214,'Jan-2026 rates'!$L:$R,7,0),IF($LB214=60%,VLOOKUP($DS214,'Jan-2026 rates'!$L:$S,8,0),IF($LB214=80%,VLOOKUP($DS214,'Jan-2026 rates'!L:T,9,0),0))))))))</f>
        <v>0</v>
      </c>
      <c r="DY214" s="413">
        <v>26517000011</v>
      </c>
      <c r="DZ214" s="413"/>
      <c r="EA214" s="412"/>
      <c r="EB214" s="412"/>
      <c r="EC214" s="412"/>
      <c r="ED214" s="412"/>
      <c r="EE214" s="412"/>
      <c r="EF214" s="412"/>
      <c r="EG214" s="409">
        <v>5</v>
      </c>
      <c r="EH214" s="398" t="e">
        <f>IF(EG214=0,0,IF(LEN(DY214)=11,_xlfn.XLOOKUP(DY214,'Dispensed Ink Rates'!C:C,'Dispensed Ink Rates'!CS:CS),VLOOKUP(DY214,'Jan-2026 rates'!$E:$F,2,0)))</f>
        <v>#N/A</v>
      </c>
      <c r="EI214" s="409"/>
      <c r="EJ214" s="398">
        <f>IF(EI214=0,0,IF(LEN(DZ214)=11,_xlfn.XLOOKUP(DZ214,'Dispensed Ink Rates'!C:C,'Dispensed Ink Rates'!CS:CS),VLOOKUP(DZ214,'Jan-2026 rates'!$E:$F,2,0)))</f>
        <v>0</v>
      </c>
      <c r="EK214" s="409"/>
      <c r="EL214" s="398">
        <f>IF(EK214=0,0,IF(LEN(EA214)=11,_xlfn.XLOOKUP(EA214,'Dispensed Ink Rates'!C:C,'Dispensed Ink Rates'!CS:CS),VLOOKUP(EA214,'Jan-2026 rates'!$E:$F,2,0)))</f>
        <v>0</v>
      </c>
      <c r="EM214" s="409"/>
      <c r="EN214" s="398">
        <f>IF(EM214=0,0,IF(LEN(EB214)=11,_xlfn.XLOOKUP(EB214,'Dispensed Ink Rates'!C:C,'Dispensed Ink Rates'!CS:CS),VLOOKUP(EB214,'Jan-2026 rates'!$E:$F,2,0)))</f>
        <v>0</v>
      </c>
      <c r="EO214" s="409"/>
      <c r="EP214" s="398">
        <f>IF(EO214=0,0,IF(LEN(EC214)=11,_xlfn.XLOOKUP(EC214,'Dispensed Ink Rates'!C:C,'Dispensed Ink Rates'!CS:CS),VLOOKUP(EC214,'Jan-2026 rates'!$E:$F,2,0)))</f>
        <v>0</v>
      </c>
      <c r="EQ214" s="409"/>
      <c r="ER214" s="398">
        <f>IF(EQ214=0,0,IF(LEN(ED214)=11,_xlfn.XLOOKUP(ED214,'Dispensed Ink Rates'!C:C,'Dispensed Ink Rates'!CS:CS),VLOOKUP(ED214,'Jan-2026 rates'!$E:$F,2,0)))</f>
        <v>0</v>
      </c>
      <c r="ES214" s="409"/>
      <c r="ET214" s="398">
        <f>IF(ES214=0,0,IF(LEN(EE214)=11,_xlfn.XLOOKUP(EE214,'Dispensed Ink Rates'!C:C,'Dispensed Ink Rates'!CS:CS),VLOOKUP(EE214,'Jan-2026 rates'!$E:$F,2,0)))</f>
        <v>0</v>
      </c>
      <c r="EU214" s="409"/>
      <c r="EV214" s="398">
        <f>IF(EU214=0,0,IF(LEN(EF214)=11,_xlfn.XLOOKUP(EF214,'Dispensed Ink Rates'!C:C,'Dispensed Ink Rates'!CS:CS),VLOOKUP(EF214,'Jan-2026 rates'!$E:$F,2,0)))</f>
        <v>0</v>
      </c>
      <c r="EW214" s="409" t="s">
        <v>1443</v>
      </c>
      <c r="EX214" s="409">
        <v>26</v>
      </c>
      <c r="EY214" s="411">
        <f t="shared" si="168"/>
        <v>0</v>
      </c>
      <c r="EZ214" s="411">
        <f t="shared" si="169"/>
        <v>19</v>
      </c>
      <c r="FA214" s="410">
        <f t="shared" si="170"/>
        <v>0</v>
      </c>
      <c r="FB214" s="405" t="s">
        <v>545</v>
      </c>
      <c r="FC214" s="409" t="s">
        <v>3827</v>
      </c>
      <c r="FD214" s="420" t="str">
        <f t="shared" si="134"/>
        <v>FLINTSL - YELLOW</v>
      </c>
      <c r="FE214" s="409">
        <v>28</v>
      </c>
      <c r="FF214" s="411">
        <f>IF(FE214=0,0,IF($LB214=70%,VLOOKUP($FD214,'Jan-2026 rates'!$L:$R,4,0),IF($LB214=65%,VLOOKUP($FD214,'Jan-2026 rates'!$L:$R,4,0),IF($LB214=40%,VLOOKUP($FD214,'Jan-2026 rates'!$L:$R,5,0),IF($LB214=30%,VLOOKUP($FD214,'Jan-2026 rates'!$L:$R,6,0),IF($LB214=100%,VLOOKUP($FD214,'Jan-2026 rates'!$L:$R,7,0),IF($LB214=60%,VLOOKUP($FD214,'Jan-2026 rates'!$L:$S,8,0),IF($LB214=80%,VLOOKUP($FD214,'Jan-2026 rates'!L:T,9,0),0))))))))</f>
        <v>0</v>
      </c>
      <c r="FG214" s="412"/>
      <c r="FH214" s="409"/>
      <c r="FI214" s="411">
        <f>IF(FH214=0,0,IF($LB214=70%,VLOOKUP($FD214,'Jan-2026 rates'!$L:$R,4,0),IF($LB214=65%,VLOOKUP($FD214,'Jan-2026 rates'!$L:$R,4,0),IF($LB214=40%,VLOOKUP($FD214,'Jan-2026 rates'!$L:$R,5,0),IF($LB214=30%,VLOOKUP($FD214,'Jan-2026 rates'!$L:$R,6,0),IF($LB214=100%,VLOOKUP($FD214,'Jan-2026 rates'!$L:$R,7,0),IF($LB214=60%,VLOOKUP($FD214,'Jan-2026 rates'!$L:$S,8,0),IF($LB214=80%,VLOOKUP($FD214,'Jan-2026 rates'!L:T,9,0),0))))))))</f>
        <v>0</v>
      </c>
      <c r="FJ214" s="413">
        <v>26516000007</v>
      </c>
      <c r="FK214" s="413"/>
      <c r="FL214" s="413"/>
      <c r="FM214" s="412"/>
      <c r="FN214" s="412"/>
      <c r="FO214" s="412"/>
      <c r="FP214" s="412"/>
      <c r="FQ214" s="412"/>
      <c r="FR214" s="409">
        <v>10</v>
      </c>
      <c r="FS214" s="398" t="e">
        <f>IF(FR214=0,0,IF(LEN(FJ214)=11,_xlfn.XLOOKUP(FJ214,'Dispensed Ink Rates'!C:C,'Dispensed Ink Rates'!CS:CS),VLOOKUP(FJ214,'Jan-2026 rates'!$E:$F,2,0)))</f>
        <v>#N/A</v>
      </c>
      <c r="FT214" s="409"/>
      <c r="FU214" s="398">
        <f>IF(FT214=0,0,IF(LEN(FK214)=11,_xlfn.XLOOKUP(FK214,'Dispensed Ink Rates'!C:C,'Dispensed Ink Rates'!CS:CS),VLOOKUP(FK214,'Jan-2026 rates'!$E:$F,2,0)))</f>
        <v>0</v>
      </c>
      <c r="FV214" s="409"/>
      <c r="FW214" s="398">
        <f>IF(FV214=0,0,IF(LEN(FL214)=11,_xlfn.XLOOKUP(FL214,'Dispensed Ink Rates'!C:C,'Dispensed Ink Rates'!CS:CS),VLOOKUP(FL214,'Jan-2026 rates'!$E:$F,2,0)))</f>
        <v>0</v>
      </c>
      <c r="FX214" s="409"/>
      <c r="FY214" s="398">
        <f>IF(FX214=0,0,IF(LEN(FM214)=11,_xlfn.XLOOKUP(FM214,'Dispensed Ink Rates'!C:C,'Dispensed Ink Rates'!CS:CS),VLOOKUP(FM214,'Jan-2026 rates'!$E:$F,2,0)))</f>
        <v>0</v>
      </c>
      <c r="FZ214" s="409"/>
      <c r="GA214" s="398">
        <f>IF(FZ214=0,0,IF(LEN(FN214)=11,_xlfn.XLOOKUP(FN214,'Dispensed Ink Rates'!C:C,'Dispensed Ink Rates'!CS:CS),VLOOKUP(FN214,'Jan-2026 rates'!$E:$F,2,0)))</f>
        <v>0</v>
      </c>
      <c r="GB214" s="409"/>
      <c r="GC214" s="398">
        <f>IF(GB214=0,0,IF(LEN(FO214)=11,_xlfn.XLOOKUP(FO214,'Dispensed Ink Rates'!C:C,'Dispensed Ink Rates'!CS:CS),VLOOKUP(FO214,'Jan-2026 rates'!$E:$F,2,0)))</f>
        <v>0</v>
      </c>
      <c r="GD214" s="409"/>
      <c r="GE214" s="398">
        <f>IF(GD214=0,0,IF(LEN(FP214)=11,_xlfn.XLOOKUP(FP214,'Dispensed Ink Rates'!C:C,'Dispensed Ink Rates'!CS:CS),VLOOKUP(FP214,'Jan-2026 rates'!$E:$F,2,0)))</f>
        <v>0</v>
      </c>
      <c r="GF214" s="409"/>
      <c r="GG214" s="398">
        <f>IF(GF214=0,0,IF(LEN(FQ214)=11,_xlfn.XLOOKUP(FQ214,'Dispensed Ink Rates'!C:C,'Dispensed Ink Rates'!CS:CS),VLOOKUP(FQ214,'Jan-2026 rates'!$E:$F,2,0)))</f>
        <v>0</v>
      </c>
      <c r="GH214" s="409" t="s">
        <v>1443</v>
      </c>
      <c r="GI214" s="409">
        <v>22</v>
      </c>
      <c r="GJ214" s="411">
        <f t="shared" si="171"/>
        <v>0</v>
      </c>
      <c r="GK214" s="411">
        <f t="shared" si="172"/>
        <v>48</v>
      </c>
      <c r="GL214" s="410">
        <f t="shared" si="173"/>
        <v>0</v>
      </c>
      <c r="GM214" s="405" t="s">
        <v>857</v>
      </c>
      <c r="GN214" s="409"/>
      <c r="GO214" s="420" t="str">
        <f t="shared" si="135"/>
        <v>FLINTSL - RED</v>
      </c>
      <c r="GP214" s="409"/>
      <c r="GQ214" s="411">
        <f>IF(GP214=0,0,IF($LB214=70%,VLOOKUP($GO214,'Jan-2026 rates'!$L:$R,4,0),IF($LB214=65%,VLOOKUP($GO214,'Jan-2026 rates'!$L:$R,4,0),IF($LB214=40%,VLOOKUP($GO214,'Jan-2026 rates'!$L:$R,5,0),IF($LB214=30%,VLOOKUP($GO214,'Jan-2026 rates'!$L:$R,6,0),IF($LB214=100%,VLOOKUP($GO214,'Jan-2026 rates'!$L:$R,7,0),IF($LB214=60%,VLOOKUP($GO214,'Jan-2026 rates'!$L:$S,8,0),IF($LB214=80%,VLOOKUP($GO214,'Jan-2026 rates'!L:T,9,0),0))))))))</f>
        <v>0</v>
      </c>
      <c r="GR214" s="412"/>
      <c r="GS214" s="409"/>
      <c r="GT214" s="411">
        <f>IF(GS214=0,0,IF($LB214=70%,VLOOKUP($GO214,'Jan-2026 rates'!$L:$R,4,0),IF($LB214=65%,VLOOKUP($GO214,'Jan-2026 rates'!$L:$R,4,0),IF($LB214=40%,VLOOKUP($GO214,'Jan-2026 rates'!$L:$R,5,0),IF($LB214=30%,VLOOKUP($GO214,'Jan-2026 rates'!$L:$R,6,0),IF($LB214=100%,VLOOKUP($GO214,'Jan-2026 rates'!$L:$R,7,0),IF($LB214=60%,VLOOKUP($GO214,'Jan-2026 rates'!$L:$S,8,0),IF($LB214=80%,VLOOKUP($GO214,'Jan-2026 rates'!L:T,9,0),0))))))))</f>
        <v>0</v>
      </c>
      <c r="GU214" s="413" t="s">
        <v>1266</v>
      </c>
      <c r="GV214" s="413">
        <v>26517000011</v>
      </c>
      <c r="GW214" s="412">
        <v>26512000002</v>
      </c>
      <c r="GX214" s="412"/>
      <c r="GY214" s="412"/>
      <c r="GZ214" s="412"/>
      <c r="HA214" s="412"/>
      <c r="HB214" s="412"/>
      <c r="HC214" s="409">
        <v>20</v>
      </c>
      <c r="HD214" s="398">
        <f>IF(HC214=0,0,IF(LEN(GU214)=11,_xlfn.XLOOKUP(GU214,'Dispensed Ink Rates'!C:C,'Dispensed Ink Rates'!CS:CS),VLOOKUP(GU214,'Jan-2026 rates'!$E:$F,2,0)))</f>
        <v>0</v>
      </c>
      <c r="HE214" s="409">
        <v>1</v>
      </c>
      <c r="HF214" s="398" t="e">
        <f>IF(HE214=0,0,IF(LEN(GV214)=11,_xlfn.XLOOKUP(GV214,'Dispensed Ink Rates'!C:C,'Dispensed Ink Rates'!CS:CS),VLOOKUP(GV214,'Jan-2026 rates'!$E:$F,2,0)))</f>
        <v>#N/A</v>
      </c>
      <c r="HG214" s="409">
        <v>0.5</v>
      </c>
      <c r="HH214" s="398" t="e">
        <f>IF(HG214=0,0,IF(LEN(GW214)=11,_xlfn.XLOOKUP(GW214,'Dispensed Ink Rates'!C:C,'Dispensed Ink Rates'!CS:CS),VLOOKUP(GW214,'Jan-2026 rates'!$E:$F,2,0)))</f>
        <v>#N/A</v>
      </c>
      <c r="HI214" s="409"/>
      <c r="HJ214" s="398">
        <f>IF(HI214=0,0,IF(LEN(GX214)=11,_xlfn.XLOOKUP(GX214,'Dispensed Ink Rates'!C:C,'Dispensed Ink Rates'!CS:CS),VLOOKUP(GX214,'Jan-2026 rates'!$E:$F,2,0)))</f>
        <v>0</v>
      </c>
      <c r="HK214" s="409"/>
      <c r="HL214" s="398">
        <f>IF(HK214=0,0,IF(LEN(GY214)=11,_xlfn.XLOOKUP(GY214,'Dispensed Ink Rates'!C:C,'Dispensed Ink Rates'!CS:CS),VLOOKUP(GY214,'Jan-2026 rates'!$E:$F,2,0)))</f>
        <v>0</v>
      </c>
      <c r="HM214" s="409"/>
      <c r="HN214" s="398">
        <f>IF(HM214=0,0,IF(LEN(GZ214)=11,_xlfn.XLOOKUP(GZ214,'Dispensed Ink Rates'!C:C,'Dispensed Ink Rates'!CS:CS),VLOOKUP(GZ214,'Jan-2026 rates'!$E:$F,2,0)))</f>
        <v>0</v>
      </c>
      <c r="HO214" s="409"/>
      <c r="HP214" s="398">
        <f>IF(HO214=0,0,IF(LEN(HA214)=11,_xlfn.XLOOKUP(HA214,'Dispensed Ink Rates'!C:C,'Dispensed Ink Rates'!CS:CS),VLOOKUP(HA214,'Jan-2026 rates'!$E:$F,2,0)))</f>
        <v>0</v>
      </c>
      <c r="HQ214" s="409"/>
      <c r="HR214" s="398">
        <f>IF(HQ214=0,0,IF(LEN(HB214)=11,_xlfn.XLOOKUP(HB214,'Dispensed Ink Rates'!C:C,'Dispensed Ink Rates'!CS:CS),VLOOKUP(HB214,'Jan-2026 rates'!$E:$F,2,0)))</f>
        <v>0</v>
      </c>
      <c r="HS214" s="409" t="s">
        <v>1443</v>
      </c>
      <c r="HT214" s="409">
        <v>18</v>
      </c>
      <c r="HU214" s="411">
        <f t="shared" si="174"/>
        <v>0</v>
      </c>
      <c r="HV214" s="411">
        <f t="shared" si="175"/>
        <v>23.5</v>
      </c>
      <c r="HW214" s="414">
        <f t="shared" si="176"/>
        <v>0</v>
      </c>
      <c r="HX214" s="405" t="s">
        <v>856</v>
      </c>
      <c r="HY214" s="409" t="s">
        <v>3828</v>
      </c>
      <c r="HZ214" s="420" t="str">
        <f t="shared" si="136"/>
        <v>FLINTSL - WHITE</v>
      </c>
      <c r="IA214" s="409">
        <v>25</v>
      </c>
      <c r="IB214" s="411">
        <f>IF(IA214=0,0,IF($LB214=70%,VLOOKUP($HZ214,'Jan-2026 rates'!$L:$R,4,0),IF($LB214=65%,VLOOKUP($HZ214,'Jan-2026 rates'!$L:$R,4,0),IF($LB214=40%,VLOOKUP($HZ214,'Jan-2026 rates'!$L:$R,5,0),IF($LB214=30%,VLOOKUP($HZ214,'Jan-2026 rates'!$L:$R,6,0),IF($LB214=100%,VLOOKUP($HZ214,'Jan-2026 rates'!$L:$R,7,0),IF($LB214=60%,VLOOKUP($HZ214,'Jan-2026 rates'!$L:$S,8,0),IF($LB214=80%,VLOOKUP($HZ214,'Jan-2026 rates'!L:T,9,0),0))))))))</f>
        <v>0</v>
      </c>
      <c r="IC214" s="412"/>
      <c r="ID214" s="409"/>
      <c r="IE214" s="411">
        <f>IF(ID214=0,0,IF($LB214=70%,VLOOKUP($HZ214,'Jan-2026 rates'!$L:$R,4,0),IF($LB214=65%,VLOOKUP($HZ214,'Jan-2026 rates'!$L:$R,4,0),IF($LB214=40%,VLOOKUP($HZ214,'Jan-2026 rates'!$L:$R,5,0),IF($LB214=30%,VLOOKUP($HZ214,'Jan-2026 rates'!$L:$R,6,0),IF($LB214=100%,VLOOKUP($HZ214,'Jan-2026 rates'!$L:$R,7,0),IF($LB214=60%,VLOOKUP($HZ214,'Jan-2026 rates'!$L:$S,8,0),IF($LB214=80%,VLOOKUP($HZ214,'Jan-2026 rates'!L:T,9,0),0))))))))</f>
        <v>0</v>
      </c>
      <c r="IF214" s="412" t="s">
        <v>484</v>
      </c>
      <c r="IG214" s="413"/>
      <c r="IH214" s="412"/>
      <c r="II214" s="412"/>
      <c r="IJ214" s="412"/>
      <c r="IK214" s="412"/>
      <c r="IL214" s="412"/>
      <c r="IM214" s="412"/>
      <c r="IN214" s="409">
        <v>40</v>
      </c>
      <c r="IO214" s="398">
        <f>IF(IN214=0,0,IF(LEN(IF214)=11,_xlfn.XLOOKUP(IF214,'Dispensed Ink Rates'!C:C,'Dispensed Ink Rates'!CS:CS),VLOOKUP(IF214,'Jan-2026 rates'!$E:$F,2,0)))</f>
        <v>0</v>
      </c>
      <c r="IP214" s="409"/>
      <c r="IQ214" s="398">
        <f>IF(IP214=0,0,IF(LEN(IG214)=11,_xlfn.XLOOKUP(IG214,'Dispensed Ink Rates'!C:C,'Dispensed Ink Rates'!CS:CS),VLOOKUP(IG214,'Jan-2026 rates'!$E:$F,2,0)))</f>
        <v>0</v>
      </c>
      <c r="IR214" s="409"/>
      <c r="IS214" s="398">
        <f>IF(IR214=0,0,IF(LEN(IH214)=11,_xlfn.XLOOKUP(IH214,'Dispensed Ink Rates'!C:C,'Dispensed Ink Rates'!CS:CS),VLOOKUP(IH214,'Jan-2026 rates'!$E:$F,2,0)))</f>
        <v>0</v>
      </c>
      <c r="IT214" s="409"/>
      <c r="IU214" s="398">
        <f>IF(IT214=0,0,IF(LEN(II214)=11,_xlfn.XLOOKUP(II214,'Dispensed Ink Rates'!C:C,'Dispensed Ink Rates'!CS:CS),VLOOKUP(II214,'Jan-2026 rates'!$E:$F,2,0)))</f>
        <v>0</v>
      </c>
      <c r="IV214" s="409"/>
      <c r="IW214" s="398">
        <f>IF(IV214=0,0,IF(LEN(IJ214)=11,_xlfn.XLOOKUP(IJ214,'Dispensed Ink Rates'!C:C,'Dispensed Ink Rates'!CS:CS),VLOOKUP(IJ214,'Jan-2026 rates'!$E:$F,2,0)))</f>
        <v>0</v>
      </c>
      <c r="IX214" s="409"/>
      <c r="IY214" s="398">
        <f>IF(IX214=0,0,IF(LEN(IK214)=11,_xlfn.XLOOKUP(IK214,'Dispensed Ink Rates'!C:C,'Dispensed Ink Rates'!CS:CS),VLOOKUP(IK214,'Jan-2026 rates'!$E:$F,2,0)))</f>
        <v>0</v>
      </c>
      <c r="IZ214" s="409"/>
      <c r="JA214" s="398">
        <f>IF(IZ214=0,0,IF(LEN(IL214)=11,_xlfn.XLOOKUP(IL214,'Dispensed Ink Rates'!C:C,'Dispensed Ink Rates'!CS:CS),VLOOKUP(IL214,'Jan-2026 rates'!$E:$F,2,0)))</f>
        <v>0</v>
      </c>
      <c r="JB214" s="409"/>
      <c r="JC214" s="398">
        <f>IF(JB214=0,0,IF(LEN(IM214)=11,_xlfn.XLOOKUP(IM214,'Dispensed Ink Rates'!C:C,'Dispensed Ink Rates'!CS:CS),VLOOKUP(IM214,'Jan-2026 rates'!$E:$F,2,0)))</f>
        <v>0</v>
      </c>
      <c r="JD214" s="409" t="s">
        <v>1443</v>
      </c>
      <c r="JE214" s="409">
        <v>20</v>
      </c>
      <c r="JF214" s="411">
        <f t="shared" si="177"/>
        <v>0</v>
      </c>
      <c r="JG214" s="411">
        <f t="shared" si="178"/>
        <v>125</v>
      </c>
      <c r="JH214" s="410">
        <f t="shared" si="179"/>
        <v>0</v>
      </c>
      <c r="JI214" s="405" t="s">
        <v>605</v>
      </c>
      <c r="JJ214" s="409" t="s">
        <v>3826</v>
      </c>
      <c r="JK214" s="420" t="str">
        <f t="shared" si="137"/>
        <v>ToyoLi - MATT</v>
      </c>
      <c r="JL214" s="409">
        <v>25</v>
      </c>
      <c r="JM214" s="411">
        <f>IF(JL214=0,0,IF($LB214=70%,VLOOKUP($JK214,'Jan-2026 rates'!$L:$R,4,0),IF($LB214=65%,VLOOKUP($JK214,'Jan-2026 rates'!$L:$R,4,0),IF($LB214=40%,VLOOKUP($JK214,'Jan-2026 rates'!$L:$R,5,0),IF($LB214=30%,VLOOKUP($JK214,'Jan-2026 rates'!$L:$R,6,0),IF($LB214=100%,VLOOKUP($JK214,'Jan-2026 rates'!$L:$R,7,0),IF($LB214=60%,VLOOKUP($JK214,'Jan-2026 rates'!$L:$S,8,0),IF($LB214=80%,VLOOKUP($JK214,'Jan-2026 rates'!L:T,9,0),0))))))))</f>
        <v>0</v>
      </c>
      <c r="JN214" s="412"/>
      <c r="JO214" s="409"/>
      <c r="JP214" s="411">
        <f>IF(JO214=0,0,IF($LB214=70%,VLOOKUP($JK214,'Jan-2026 rates'!$L:$R,4,0),IF($LB214=65%,VLOOKUP($JK214,'Jan-2026 rates'!$L:$R,4,0),IF($LB214=40%,VLOOKUP($JK214,'Jan-2026 rates'!$L:$R,5,0),IF($LB214=30%,VLOOKUP($JK214,'Jan-2026 rates'!$L:$R,6,0),IF($LB214=100%,VLOOKUP($JK214,'Jan-2026 rates'!$L:$R,7,0),IF($LB214=60%,VLOOKUP($JK214,'Jan-2026 rates'!$L:$S,8,0),IF($LB214=80%,VLOOKUP($JK214,'Jan-2026 rates'!L:T,9,0),0))))))))</f>
        <v>0</v>
      </c>
      <c r="JQ214" s="413">
        <v>55</v>
      </c>
      <c r="JR214" s="412" t="s">
        <v>1902</v>
      </c>
      <c r="JS214" s="413"/>
      <c r="JT214" s="413"/>
      <c r="JU214" s="412"/>
      <c r="JV214" s="412"/>
      <c r="JW214" s="412"/>
      <c r="JX214" s="412"/>
      <c r="JY214" s="409">
        <v>80</v>
      </c>
      <c r="JZ214" s="398">
        <f>IF(JY214=0,0,IF(LEN(JQ214)=11,_xlfn.XLOOKUP(JQ214,'Dispensed Ink Rates'!C:C,'Dispensed Ink Rates'!CS:CS),VLOOKUP(JQ214,'Jan-2026 rates'!$E:$F,2,0)))</f>
        <v>0</v>
      </c>
      <c r="KA214" s="409">
        <v>20</v>
      </c>
      <c r="KB214" s="398">
        <f>IF(KA214=0,0,IF(LEN(JR214)=11,_xlfn.XLOOKUP(JR214,'Dispensed Ink Rates'!C:C,'Dispensed Ink Rates'!CS:CS),VLOOKUP(JR214,'Jan-2026 rates'!$E:$F,2,0)))</f>
        <v>0</v>
      </c>
      <c r="KC214" s="409"/>
      <c r="KD214" s="398">
        <f>IF(KC214=0,0,IF(LEN(JS214)=11,_xlfn.XLOOKUP(JS214,'Dispensed Ink Rates'!C:C,'Dispensed Ink Rates'!CS:CS),VLOOKUP(JS214,'Jan-2026 rates'!$E:$F,2,0)))</f>
        <v>0</v>
      </c>
      <c r="KE214" s="409"/>
      <c r="KF214" s="398">
        <f>IF(KE214=0,0,IF(LEN(JT214)=11,_xlfn.XLOOKUP(JT214,'Dispensed Ink Rates'!C:C,'Dispensed Ink Rates'!CS:CS),VLOOKUP(JT214,'Jan-2026 rates'!$E:$F,2,0)))</f>
        <v>0</v>
      </c>
      <c r="KG214" s="409"/>
      <c r="KH214" s="398">
        <f>IF(KG214=0,0,IF(LEN(JU214)=11,_xlfn.XLOOKUP(JU214,'Dispensed Ink Rates'!C:C,'Dispensed Ink Rates'!CS:CS),VLOOKUP(JU214,'Jan-2026 rates'!$E:$F,2,0)))</f>
        <v>0</v>
      </c>
      <c r="KI214" s="409"/>
      <c r="KJ214" s="398">
        <f>IF(KI214=0,0,IF(LEN(JV214)=11,_xlfn.XLOOKUP(JV214,'Dispensed Ink Rates'!C:C,'Dispensed Ink Rates'!CS:CS),VLOOKUP(JV214,'Jan-2026 rates'!$E:$F,2,0)))</f>
        <v>0</v>
      </c>
      <c r="KK214" s="409"/>
      <c r="KL214" s="398">
        <f>IF(KK214=0,0,IF(LEN(JW214)=11,_xlfn.XLOOKUP(JW214,'Dispensed Ink Rates'!C:C,'Dispensed Ink Rates'!CS:CS),VLOOKUP(JW214,'Jan-2026 rates'!$E:$F,2,0)))</f>
        <v>0</v>
      </c>
      <c r="KM214" s="428"/>
      <c r="KN214" s="398">
        <f>IF(KM214=0,0,IF(LEN(JX214)=11,_xlfn.XLOOKUP(JX214,'Dispensed Ink Rates'!C:C,'Dispensed Ink Rates'!CS:CS),VLOOKUP(JX214,'Jan-2026 rates'!$E:$F,2,0)))</f>
        <v>0</v>
      </c>
      <c r="KO214" s="409" t="s">
        <v>1881</v>
      </c>
      <c r="KP214" s="409">
        <v>20</v>
      </c>
      <c r="KQ214" s="411">
        <f t="shared" si="180"/>
        <v>0</v>
      </c>
      <c r="KR214" s="411">
        <f t="shared" si="181"/>
        <v>145</v>
      </c>
      <c r="KS214" s="410">
        <f t="shared" si="182"/>
        <v>0</v>
      </c>
      <c r="KT214" s="409">
        <v>2</v>
      </c>
      <c r="KU214" s="409">
        <v>2</v>
      </c>
      <c r="KV214" s="409">
        <v>2</v>
      </c>
      <c r="KW214" s="409">
        <v>5</v>
      </c>
      <c r="KX214" s="409">
        <v>8</v>
      </c>
      <c r="KY214" s="409">
        <v>5</v>
      </c>
      <c r="KZ214" s="409">
        <v>20</v>
      </c>
      <c r="LA214" s="409">
        <v>10</v>
      </c>
      <c r="LB214" s="415">
        <v>0.8</v>
      </c>
      <c r="LC214" s="415">
        <v>0.2</v>
      </c>
      <c r="LD214" s="415"/>
      <c r="LE214" s="415"/>
      <c r="LF214" s="415"/>
      <c r="LG214" s="409">
        <v>0</v>
      </c>
      <c r="LH214" s="409">
        <f>38+40+96+24+5+4+4+5</f>
        <v>216</v>
      </c>
      <c r="LI214" s="409">
        <v>0</v>
      </c>
      <c r="LJ214" s="409">
        <v>0</v>
      </c>
      <c r="LK214" s="416">
        <f t="shared" si="138"/>
        <v>216</v>
      </c>
      <c r="LL214" s="416">
        <f t="shared" si="139"/>
        <v>216</v>
      </c>
      <c r="LM214" s="417">
        <f t="shared" si="140"/>
        <v>172.8</v>
      </c>
      <c r="LN214" s="417">
        <f>VLOOKUP($LM$8,'Jan-2026 rates'!$H:$I,2,0)</f>
        <v>0</v>
      </c>
      <c r="LO214" s="417">
        <f t="shared" si="141"/>
        <v>43.2</v>
      </c>
      <c r="LP214" s="417">
        <f>VLOOKUP($LO$8,'Jan-2026 rates'!$H:$I,2,0)</f>
        <v>0</v>
      </c>
      <c r="LQ214" s="417">
        <f t="shared" si="142"/>
        <v>0</v>
      </c>
      <c r="LR214" s="417">
        <f>VLOOKUP($LQ$8,'Jan-2026 rates'!$H:$I,2,0)</f>
        <v>0</v>
      </c>
      <c r="LS214" s="417">
        <f t="shared" si="143"/>
        <v>0</v>
      </c>
      <c r="LT214" s="417">
        <f>VLOOKUP($LS$8,'Jan-2026 rates'!$H:$I,2,0)</f>
        <v>0</v>
      </c>
      <c r="LU214" s="417">
        <f t="shared" si="144"/>
        <v>0</v>
      </c>
      <c r="LV214" s="417">
        <f>VLOOKUP($LU$8,'Jan-2026 rates'!$H:$I,2,0)</f>
        <v>0</v>
      </c>
      <c r="LW214" s="417">
        <f t="shared" si="145"/>
        <v>0</v>
      </c>
      <c r="LX214" s="417">
        <f t="shared" si="146"/>
        <v>0</v>
      </c>
      <c r="LY214" s="418">
        <f t="shared" si="147"/>
        <v>0</v>
      </c>
      <c r="LZ214" s="417"/>
      <c r="MA214" s="435">
        <f t="shared" si="148"/>
        <v>265.5</v>
      </c>
      <c r="MB214" s="282">
        <f t="shared" si="149"/>
        <v>426.5</v>
      </c>
      <c r="MC214" s="283">
        <v>107</v>
      </c>
      <c r="MD214" s="284" t="str">
        <f t="shared" si="150"/>
        <v>FLINTSLFLINTSLFLINTSLFLINTSLFLINTSLFLINTSLFLINTSLToyoLi</v>
      </c>
      <c r="ME214" s="293" t="str">
        <f t="shared" si="151"/>
        <v>+</v>
      </c>
      <c r="MF214" s="293" t="str">
        <f t="shared" si="152"/>
        <v>+</v>
      </c>
      <c r="MG214" s="293" t="str">
        <f t="shared" si="153"/>
        <v>+</v>
      </c>
      <c r="MH214" s="293" t="str">
        <f t="shared" si="154"/>
        <v>+</v>
      </c>
      <c r="MI214" s="293" t="str">
        <f t="shared" si="155"/>
        <v>+</v>
      </c>
      <c r="MJ214" s="293" t="str">
        <f t="shared" si="156"/>
        <v>+</v>
      </c>
      <c r="MK214" s="293" t="str">
        <f t="shared" si="157"/>
        <v>+</v>
      </c>
      <c r="ML214" s="293" t="str">
        <f t="shared" si="158"/>
        <v>+</v>
      </c>
      <c r="MM214" s="3" t="b">
        <f t="array" ref="MM214">OR(ME214:ML214="-")</f>
        <v>0</v>
      </c>
      <c r="MN214" s="285"/>
      <c r="MO214" s="401"/>
      <c r="MP214" s="286"/>
      <c r="MQ214" s="286"/>
      <c r="MR214" s="402"/>
      <c r="MS214" s="400"/>
      <c r="NH214" s="422"/>
      <c r="NJ214" s="421"/>
    </row>
    <row r="215" spans="1:374" s="1" customFormat="1" ht="16.5">
      <c r="A215" s="403">
        <v>46037</v>
      </c>
      <c r="B215" s="404" t="s">
        <v>1018</v>
      </c>
      <c r="C215" s="405" t="s">
        <v>3829</v>
      </c>
      <c r="D215" s="406">
        <v>108</v>
      </c>
      <c r="E215" s="404">
        <v>379</v>
      </c>
      <c r="F215" s="407">
        <v>15000</v>
      </c>
      <c r="G215" s="407" t="s">
        <v>1016</v>
      </c>
      <c r="H215" s="408" t="s">
        <v>1017</v>
      </c>
      <c r="I215" s="409">
        <f>2.09+1.69</f>
        <v>3.78</v>
      </c>
      <c r="J215" s="405" t="s">
        <v>543</v>
      </c>
      <c r="K215" s="404" t="s">
        <v>3830</v>
      </c>
      <c r="L215" s="419" t="str">
        <f t="shared" si="131"/>
        <v>FLINTSL - BLACK</v>
      </c>
      <c r="M215" s="404">
        <v>28</v>
      </c>
      <c r="N215" s="410">
        <f>IF(M215=0,0,IF($LB215=70%,VLOOKUP($L215,'Jan-2026 rates'!$L:$R,4,0),IF($LB215=65%,VLOOKUP($L215,'Jan-2026 rates'!$L:$R,4,0),IF($LB215=40%,VLOOKUP($L215,'Jan-2026 rates'!$L:$R,5,0),IF($LB215=30%,VLOOKUP($L215,'Jan-2026 rates'!$L:$R,6,0),IF($LB215=100%,VLOOKUP($L215,'Jan-2026 rates'!$L:$R,7,0),IF($LB215=60%,VLOOKUP($L215,'Jan-2026 rates'!$L:$S,8,0),IF($LB215=80%,VLOOKUP($L215,'Jan-2026 rates'!L:T,9,0),0))))))))</f>
        <v>0</v>
      </c>
      <c r="O215" s="406"/>
      <c r="P215" s="404"/>
      <c r="Q215" s="410">
        <f>IF(P215=0,0,IF($LB215=70%,VLOOKUP($L215,'Jan-2026 rates'!$L:$R,4,0),IF($LB215=65%,VLOOKUP($L215,'Jan-2026 rates'!$L:$R,4,0),IF($LB215=40%,VLOOKUP($L215,'Jan-2026 rates'!$L:$R,5,0),IF($LB215=30%,VLOOKUP($L215,'Jan-2026 rates'!$L:$R,6,0),IF($LB215=100%,VLOOKUP($L215,'Jan-2026 rates'!$L:$R,7,0),IF($LB215=60%,VLOOKUP($L215,'Jan-2026 rates'!$L:$S,8,0),IF($LB215=80%,VLOOKUP($L215,'Jan-2026 rates'!L:T,9,0),0))))))))</f>
        <v>0</v>
      </c>
      <c r="R215" s="406">
        <v>26520000005</v>
      </c>
      <c r="S215" s="406"/>
      <c r="T215" s="406"/>
      <c r="U215" s="406"/>
      <c r="V215" s="406"/>
      <c r="W215" s="406"/>
      <c r="X215" s="406"/>
      <c r="Y215" s="406"/>
      <c r="Z215" s="404">
        <v>3</v>
      </c>
      <c r="AA215" s="398" t="e">
        <f>IF(Z215=0,0,IF(LEN(R215)=11,_xlfn.XLOOKUP(R215,'Dispensed Ink Rates'!C:C,'Dispensed Ink Rates'!CS:CS),VLOOKUP(R215,'Jan-2026 rates'!$E:$F,2,0)))</f>
        <v>#N/A</v>
      </c>
      <c r="AB215" s="404"/>
      <c r="AC215" s="398">
        <f>IF(AB215=0,0,IF(LEN(S215)=11,_xlfn.XLOOKUP(S215,'Dispensed Ink Rates'!C:C,'Dispensed Ink Rates'!CS:CS),VLOOKUP(S215,'Jan-2026 rates'!$E:$F,2,0)))</f>
        <v>0</v>
      </c>
      <c r="AD215" s="404"/>
      <c r="AE215" s="398">
        <f>IF(AD215=0,0,IF(LEN(T215)=11,_xlfn.XLOOKUP(T215,'Dispensed Ink Rates'!C:C,'Dispensed Ink Rates'!CS:CS),VLOOKUP(T215,'Jan-2026 rates'!$E:$F,2,0)))</f>
        <v>0</v>
      </c>
      <c r="AF215" s="404"/>
      <c r="AG215" s="398">
        <f>IF(AF215=0,0,IF(LEN(U215)=11,_xlfn.XLOOKUP(U215,'Dispensed Ink Rates'!C:C,'Dispensed Ink Rates'!CS:CS),VLOOKUP(U215,'Jan-2026 rates'!$E:$F,2,0)))</f>
        <v>0</v>
      </c>
      <c r="AH215" s="404"/>
      <c r="AI215" s="398">
        <f>IF(AH215=0,0,IF(LEN(V215)=11,_xlfn.XLOOKUP(V215,'Dispensed Ink Rates'!C:C,'Dispensed Ink Rates'!CS:CS),VLOOKUP(V215,'Jan-2026 rates'!$E:$F,2,0)))</f>
        <v>0</v>
      </c>
      <c r="AJ215" s="404"/>
      <c r="AK215" s="398">
        <f>IF(AJ215=0,0,IF(LEN(W215)=11,_xlfn.XLOOKUP(W215,'Dispensed Ink Rates'!C:C,'Dispensed Ink Rates'!CS:CS),VLOOKUP(W215,'Jan-2026 rates'!$E:$F,2,0)))</f>
        <v>0</v>
      </c>
      <c r="AL215" s="404"/>
      <c r="AM215" s="398">
        <f>IF(AL215=0,0,IF(LEN(X215)=11,_xlfn.XLOOKUP(X215,'Dispensed Ink Rates'!C:C,'Dispensed Ink Rates'!CS:CS),VLOOKUP(X215,'Jan-2026 rates'!$E:$F,2,0)))</f>
        <v>0</v>
      </c>
      <c r="AN215" s="404"/>
      <c r="AO215" s="398">
        <f>IF(AN215=0,0,IF(LEN(Y215)=11,_xlfn.XLOOKUP(Y215,'Dispensed Ink Rates'!C:C,'Dispensed Ink Rates'!CS:CS),VLOOKUP(Y215,'Jan-2026 rates'!$E:$F,2,0)))</f>
        <v>0</v>
      </c>
      <c r="AP215" s="409" t="s">
        <v>1443</v>
      </c>
      <c r="AQ215" s="409">
        <v>27</v>
      </c>
      <c r="AR215" s="410">
        <f t="shared" si="159"/>
        <v>0</v>
      </c>
      <c r="AS215" s="411">
        <f t="shared" si="160"/>
        <v>12.03846153846154</v>
      </c>
      <c r="AT215" s="410">
        <f t="shared" si="161"/>
        <v>0</v>
      </c>
      <c r="AU215" s="405"/>
      <c r="AV215" s="409"/>
      <c r="AW215" s="420" t="str">
        <f t="shared" si="183"/>
        <v xml:space="preserve">FLINTSL - </v>
      </c>
      <c r="AX215" s="409"/>
      <c r="AY215" s="411">
        <f>IF(AX215=0,0,IF($LB215=70%,VLOOKUP($AW215,'Jan-2026 rates'!$L:$R,4,0),IF($LB215=65%,VLOOKUP($AW215,'Jan-2026 rates'!$L:$R,4,0),IF($LB215=40%,VLOOKUP($AW215,'Jan-2026 rates'!$L:$R,5,0),IF($LB215=30%,VLOOKUP($AW215,'Jan-2026 rates'!$L:$R,6,0),IF($LB215=100%,VLOOKUP($AW215,'Jan-2026 rates'!$L:$R,7,0),IF($LB215=60%,VLOOKUP($AW215,'Jan-2026 rates'!$L:$S,8,0),IF($LB215=80%,VLOOKUP($AW215,'Jan-2026 rates'!L:T,9,0),0))))))))</f>
        <v>0</v>
      </c>
      <c r="AZ215" s="412"/>
      <c r="BA215" s="409"/>
      <c r="BB215" s="411">
        <f>IF(BA215=0,0,IF($LB215=70%,VLOOKUP($AW215,'Jan-2026 rates'!$L:$R,4,0),IF($LB215=65%,VLOOKUP($AW215,'Jan-2026 rates'!$L:$R,4,0),IF($LB215=40%,VLOOKUP($AW215,'Jan-2026 rates'!$L:$R,5,0),IF($LB215=30%,VLOOKUP($AW215,'Jan-2026 rates'!$L:$R,6,0),IF($LB215=100%,VLOOKUP($AW215,'Jan-2026 rates'!$L:$R,7,0),IF($LB215=60%,VLOOKUP($AW215,'Jan-2026 rates'!$L:$S,8,0),IF($LB215=80%,VLOOKUP($AW215,'Jan-2026 rates'!L:T,9,0),0))))))))</f>
        <v>0</v>
      </c>
      <c r="BC215" s="413">
        <v>26516000003</v>
      </c>
      <c r="BD215" s="412">
        <v>26516000004</v>
      </c>
      <c r="BE215" s="412"/>
      <c r="BF215" s="413"/>
      <c r="BG215" s="412"/>
      <c r="BH215" s="412"/>
      <c r="BI215" s="412"/>
      <c r="BJ215" s="412"/>
      <c r="BK215" s="409">
        <v>40</v>
      </c>
      <c r="BL215" s="398" t="e">
        <f>IF(BK215=0,0,IF(LEN(BC215)=11,_xlfn.XLOOKUP(BC215,'Dispensed Ink Rates'!C:C,'Dispensed Ink Rates'!CS:CS),VLOOKUP(BC215,'Jan-2026 rates'!$E:$F,2,0)))</f>
        <v>#N/A</v>
      </c>
      <c r="BM215" s="409">
        <v>30</v>
      </c>
      <c r="BN215" s="398" t="e">
        <f>IF(BM215=0,0,IF(LEN(BD215)=11,_xlfn.XLOOKUP(BD215,'Dispensed Ink Rates'!C:C,'Dispensed Ink Rates'!CS:CS),VLOOKUP(BD215,'Jan-2026 rates'!$E:$F,2,0)))</f>
        <v>#N/A</v>
      </c>
      <c r="BO215" s="409"/>
      <c r="BP215" s="398">
        <f>IF(BO215=0,0,IF(LEN(BE215)=11,_xlfn.XLOOKUP(BE215,'Dispensed Ink Rates'!C:C,'Dispensed Ink Rates'!CS:CS),VLOOKUP(BE215,'Jan-2026 rates'!$E:$F,2,0)))</f>
        <v>0</v>
      </c>
      <c r="BQ215" s="409"/>
      <c r="BR215" s="398">
        <f>IF(BQ215=0,0,IF(LEN(BF215)=11,_xlfn.XLOOKUP(BF215,'Dispensed Ink Rates'!C:C,'Dispensed Ink Rates'!CS:CS),VLOOKUP(BF215,'Jan-2026 rates'!$E:$F,2,0)))</f>
        <v>0</v>
      </c>
      <c r="BS215" s="409"/>
      <c r="BT215" s="398">
        <f>IF(BS215=0,0,IF(LEN(BG215)=11,_xlfn.XLOOKUP(BG215,'Dispensed Ink Rates'!C:C,'Dispensed Ink Rates'!CS:CS),VLOOKUP(BG215,'Jan-2026 rates'!$E:$F,2,0)))</f>
        <v>0</v>
      </c>
      <c r="BU215" s="409"/>
      <c r="BV215" s="398">
        <f>IF(BU215=0,0,IF(LEN(BH215)=11,_xlfn.XLOOKUP(BH215,'Dispensed Ink Rates'!C:C,'Dispensed Ink Rates'!CS:CS),VLOOKUP(BH215,'Jan-2026 rates'!$E:$F,2,0)))</f>
        <v>0</v>
      </c>
      <c r="BW215" s="409"/>
      <c r="BX215" s="398">
        <f>IF(BW215=0,0,IF(LEN(BI215)=11,_xlfn.XLOOKUP(BI215,'Dispensed Ink Rates'!C:C,'Dispensed Ink Rates'!CS:CS),VLOOKUP(BI215,'Jan-2026 rates'!$E:$F,2,0)))</f>
        <v>0</v>
      </c>
      <c r="BY215" s="409"/>
      <c r="BZ215" s="398">
        <f>IF(BY215=0,0,IF(LEN(BJ215)=11,_xlfn.XLOOKUP(BJ215,'Dispensed Ink Rates'!C:C,'Dispensed Ink Rates'!CS:CS),VLOOKUP(BJ215,'Jan-2026 rates'!$E:$F,2,0)))</f>
        <v>0</v>
      </c>
      <c r="CA215" s="409" t="s">
        <v>1443</v>
      </c>
      <c r="CB215" s="409">
        <v>40</v>
      </c>
      <c r="CC215" s="411">
        <f t="shared" si="162"/>
        <v>0</v>
      </c>
      <c r="CD215" s="411">
        <f t="shared" si="163"/>
        <v>38.038461538461533</v>
      </c>
      <c r="CE215" s="410">
        <f t="shared" si="164"/>
        <v>0</v>
      </c>
      <c r="CF215" s="404" t="s">
        <v>855</v>
      </c>
      <c r="CG215" s="409" t="s">
        <v>3831</v>
      </c>
      <c r="CH215" s="420" t="str">
        <f t="shared" si="132"/>
        <v>FLINTSL - CYAN</v>
      </c>
      <c r="CI215" s="409">
        <v>28</v>
      </c>
      <c r="CJ215" s="411">
        <f>IF(CI215=0,0,IF($LB215=70%,VLOOKUP($CH215,'Jan-2026 rates'!$L:$R,4,0),IF($LB215=65%,VLOOKUP($CH215,'Jan-2026 rates'!$L:$R,4,0),IF($LB215=40%,VLOOKUP($CH215,'Jan-2026 rates'!$L:$R,5,0),IF($LB215=30%,VLOOKUP($CH215,'Jan-2026 rates'!$L:$R,6,0),IF($LB215=100%,VLOOKUP($CH215,'Jan-2026 rates'!$L:$R,7,0),IF($LB215=60%,VLOOKUP($CH215,'Jan-2026 rates'!$L:$S,8,0),IF($LB215=80%,VLOOKUP($CH215,'Jan-2026 rates'!L:T,9,0),0))))))))</f>
        <v>0</v>
      </c>
      <c r="CK215" s="412"/>
      <c r="CL215" s="409"/>
      <c r="CM215" s="411">
        <f>IF(CL215=0,0,IF($LB215=70%,VLOOKUP($CH215,'Jan-2026 rates'!$L:$R,4,0),IF($LB215=65%,VLOOKUP($CH215,'Jan-2026 rates'!$L:$R,4,0),IF($LB215=40%,VLOOKUP($CH215,'Jan-2026 rates'!$L:$R,5,0),IF($LB215=30%,VLOOKUP($CH215,'Jan-2026 rates'!$L:$R,6,0),IF($LB215=100%,VLOOKUP($CH215,'Jan-2026 rates'!$L:$R,7,0),IF($LB215=60%,VLOOKUP($CH215,'Jan-2026 rates'!$L:$S,8,0),IF($LB215=80%,VLOOKUP($CH215,'Jan-2026 rates'!L:T,9,0),0))))))))</f>
        <v>0</v>
      </c>
      <c r="CN215" s="426">
        <v>26512000001</v>
      </c>
      <c r="CO215" s="427"/>
      <c r="CP215" s="426"/>
      <c r="CQ215" s="426"/>
      <c r="CR215" s="428"/>
      <c r="CS215" s="428"/>
      <c r="CT215" s="428"/>
      <c r="CU215" s="428"/>
      <c r="CV215" s="409">
        <v>2</v>
      </c>
      <c r="CW215" s="398" t="e">
        <f>IF(CV215=0,0,IF(LEN(CN215)=11,_xlfn.XLOOKUP(CN215,'Dispensed Ink Rates'!C:C,'Dispensed Ink Rates'!CS:CS),VLOOKUP(CN215,'Jan-2026 rates'!$E:$F,2,0)))</f>
        <v>#N/A</v>
      </c>
      <c r="CX215" s="409"/>
      <c r="CY215" s="398">
        <f>IF(CX215=0,0,IF(LEN(CO215)=11,_xlfn.XLOOKUP(CO215,'Dispensed Ink Rates'!C:C,'Dispensed Ink Rates'!CS:CS),VLOOKUP(CO215,'Jan-2026 rates'!$E:$F,2,0)))</f>
        <v>0</v>
      </c>
      <c r="CZ215" s="409"/>
      <c r="DA215" s="398">
        <f>IF(CZ215=0,0,IF(LEN(CP215)=11,_xlfn.XLOOKUP(CP215,'Dispensed Ink Rates'!C:C,'Dispensed Ink Rates'!CS:CS),VLOOKUP(CP215,'Jan-2026 rates'!$E:$F,2,0)))</f>
        <v>0</v>
      </c>
      <c r="DB215" s="409"/>
      <c r="DC215" s="398">
        <f>IF(DB215=0,0,IF(LEN(CQ215)=11,_xlfn.XLOOKUP(CQ215,'Dispensed Ink Rates'!C:C,'Dispensed Ink Rates'!CS:CS),VLOOKUP(CQ215,'Jan-2026 rates'!$E:$F,2,0)))</f>
        <v>0</v>
      </c>
      <c r="DD215" s="409"/>
      <c r="DE215" s="398">
        <f>IF(DD215=0,0,IF(LEN(CR215)=11,_xlfn.XLOOKUP(CR215,'Dispensed Ink Rates'!C:C,'Dispensed Ink Rates'!CS:CS),VLOOKUP(CR215,'Jan-2026 rates'!$E:$F,2,0)))</f>
        <v>0</v>
      </c>
      <c r="DF215" s="409"/>
      <c r="DG215" s="398">
        <f>IF(DF215=0,0,IF(LEN(CS215)=11,_xlfn.XLOOKUP(CS215,'Dispensed Ink Rates'!C:C,'Dispensed Ink Rates'!CS:CS),VLOOKUP(CS215,'Jan-2026 rates'!$E:$F,2,0)))</f>
        <v>0</v>
      </c>
      <c r="DH215" s="409"/>
      <c r="DI215" s="398">
        <f>IF(DH215=0,0,IF(LEN(CT215)=11,_xlfn.XLOOKUP(CT215,'Dispensed Ink Rates'!C:C,'Dispensed Ink Rates'!CS:CS),VLOOKUP(CT215,'Jan-2026 rates'!$E:$F,2,0)))</f>
        <v>0</v>
      </c>
      <c r="DJ215" s="409"/>
      <c r="DK215" s="398">
        <f>IF(DJ215=0,0,IF(LEN(CU215)=11,_xlfn.XLOOKUP(CU215,'Dispensed Ink Rates'!C:C,'Dispensed Ink Rates'!CS:CS),VLOOKUP(CU215,'Jan-2026 rates'!$E:$F,2,0)))</f>
        <v>0</v>
      </c>
      <c r="DL215" s="409" t="s">
        <v>1443</v>
      </c>
      <c r="DM215" s="409">
        <v>20</v>
      </c>
      <c r="DN215" s="411">
        <f t="shared" si="165"/>
        <v>0</v>
      </c>
      <c r="DO215" s="411">
        <f t="shared" si="166"/>
        <v>18.03846153846154</v>
      </c>
      <c r="DP215" s="410">
        <f t="shared" si="167"/>
        <v>0</v>
      </c>
      <c r="DQ215" s="405" t="s">
        <v>544</v>
      </c>
      <c r="DR215" s="409" t="s">
        <v>3832</v>
      </c>
      <c r="DS215" s="420" t="str">
        <f t="shared" si="133"/>
        <v>FLINTSL - MAGENTA</v>
      </c>
      <c r="DT215" s="409">
        <v>26</v>
      </c>
      <c r="DU215" s="411">
        <f>IF(DT215=0,0,IF($LB215=70%,VLOOKUP($DS215,'Jan-2026 rates'!$L:$R,4,0),IF($LB215=65%,VLOOKUP($DS215,'Jan-2026 rates'!$L:$R,4,0),IF($LB215=40%,VLOOKUP($DS215,'Jan-2026 rates'!$L:$R,5,0),IF($LB215=30%,VLOOKUP($DS215,'Jan-2026 rates'!$L:$R,6,0),IF($LB215=100%,VLOOKUP($DS215,'Jan-2026 rates'!$L:$R,7,0),IF($LB215=60%,VLOOKUP($DS215,'Jan-2026 rates'!$L:$S,8,0),IF($LB215=80%,VLOOKUP($DS215,'Jan-2026 rates'!L:T,9,0),0))))))))</f>
        <v>0</v>
      </c>
      <c r="DV215" s="412"/>
      <c r="DW215" s="409"/>
      <c r="DX215" s="411">
        <f>IF(DW215=0,0,IF($LB215=70%,VLOOKUP($DS215,'Jan-2026 rates'!$L:$R,4,0),IF($LB215=65%,VLOOKUP($DS215,'Jan-2026 rates'!$L:$R,4,0),IF($LB215=40%,VLOOKUP($DS215,'Jan-2026 rates'!$L:$R,5,0),IF($LB215=30%,VLOOKUP($DS215,'Jan-2026 rates'!$L:$R,6,0),IF($LB215=100%,VLOOKUP($DS215,'Jan-2026 rates'!$L:$R,7,0),IF($LB215=60%,VLOOKUP($DS215,'Jan-2026 rates'!$L:$S,8,0),IF($LB215=80%,VLOOKUP($DS215,'Jan-2026 rates'!L:T,9,0),0))))))))</f>
        <v>0</v>
      </c>
      <c r="DY215" s="413">
        <v>26517000011</v>
      </c>
      <c r="DZ215" s="413"/>
      <c r="EA215" s="412"/>
      <c r="EB215" s="412"/>
      <c r="EC215" s="412"/>
      <c r="ED215" s="412"/>
      <c r="EE215" s="412"/>
      <c r="EF215" s="412"/>
      <c r="EG215" s="409">
        <v>2</v>
      </c>
      <c r="EH215" s="398" t="e">
        <f>IF(EG215=0,0,IF(LEN(DY215)=11,_xlfn.XLOOKUP(DY215,'Dispensed Ink Rates'!C:C,'Dispensed Ink Rates'!CS:CS),VLOOKUP(DY215,'Jan-2026 rates'!$E:$F,2,0)))</f>
        <v>#N/A</v>
      </c>
      <c r="EI215" s="409"/>
      <c r="EJ215" s="398">
        <f>IF(EI215=0,0,IF(LEN(DZ215)=11,_xlfn.XLOOKUP(DZ215,'Dispensed Ink Rates'!C:C,'Dispensed Ink Rates'!CS:CS),VLOOKUP(DZ215,'Jan-2026 rates'!$E:$F,2,0)))</f>
        <v>0</v>
      </c>
      <c r="EK215" s="409"/>
      <c r="EL215" s="398">
        <f>IF(EK215=0,0,IF(LEN(EA215)=11,_xlfn.XLOOKUP(EA215,'Dispensed Ink Rates'!C:C,'Dispensed Ink Rates'!CS:CS),VLOOKUP(EA215,'Jan-2026 rates'!$E:$F,2,0)))</f>
        <v>0</v>
      </c>
      <c r="EM215" s="409"/>
      <c r="EN215" s="398">
        <f>IF(EM215=0,0,IF(LEN(EB215)=11,_xlfn.XLOOKUP(EB215,'Dispensed Ink Rates'!C:C,'Dispensed Ink Rates'!CS:CS),VLOOKUP(EB215,'Jan-2026 rates'!$E:$F,2,0)))</f>
        <v>0</v>
      </c>
      <c r="EO215" s="409"/>
      <c r="EP215" s="398">
        <f>IF(EO215=0,0,IF(LEN(EC215)=11,_xlfn.XLOOKUP(EC215,'Dispensed Ink Rates'!C:C,'Dispensed Ink Rates'!CS:CS),VLOOKUP(EC215,'Jan-2026 rates'!$E:$F,2,0)))</f>
        <v>0</v>
      </c>
      <c r="EQ215" s="409"/>
      <c r="ER215" s="398">
        <f>IF(EQ215=0,0,IF(LEN(ED215)=11,_xlfn.XLOOKUP(ED215,'Dispensed Ink Rates'!C:C,'Dispensed Ink Rates'!CS:CS),VLOOKUP(ED215,'Jan-2026 rates'!$E:$F,2,0)))</f>
        <v>0</v>
      </c>
      <c r="ES215" s="409"/>
      <c r="ET215" s="398">
        <f>IF(ES215=0,0,IF(LEN(EE215)=11,_xlfn.XLOOKUP(EE215,'Dispensed Ink Rates'!C:C,'Dispensed Ink Rates'!CS:CS),VLOOKUP(EE215,'Jan-2026 rates'!$E:$F,2,0)))</f>
        <v>0</v>
      </c>
      <c r="EU215" s="409"/>
      <c r="EV215" s="398">
        <f>IF(EU215=0,0,IF(LEN(EF215)=11,_xlfn.XLOOKUP(EF215,'Dispensed Ink Rates'!C:C,'Dispensed Ink Rates'!CS:CS),VLOOKUP(EF215,'Jan-2026 rates'!$E:$F,2,0)))</f>
        <v>0</v>
      </c>
      <c r="EW215" s="409" t="s">
        <v>1443</v>
      </c>
      <c r="EX215" s="409">
        <v>25</v>
      </c>
      <c r="EY215" s="411">
        <f t="shared" si="168"/>
        <v>0</v>
      </c>
      <c r="EZ215" s="411">
        <f t="shared" si="169"/>
        <v>11.03846153846154</v>
      </c>
      <c r="FA215" s="410">
        <f t="shared" si="170"/>
        <v>0</v>
      </c>
      <c r="FB215" s="405" t="s">
        <v>545</v>
      </c>
      <c r="FC215" s="409" t="s">
        <v>3833</v>
      </c>
      <c r="FD215" s="420" t="str">
        <f t="shared" si="134"/>
        <v>FLINTSL - YELLOW</v>
      </c>
      <c r="FE215" s="409">
        <v>22</v>
      </c>
      <c r="FF215" s="411">
        <f>IF(FE215=0,0,IF($LB215=70%,VLOOKUP($FD215,'Jan-2026 rates'!$L:$R,4,0),IF($LB215=65%,VLOOKUP($FD215,'Jan-2026 rates'!$L:$R,4,0),IF($LB215=40%,VLOOKUP($FD215,'Jan-2026 rates'!$L:$R,5,0),IF($LB215=30%,VLOOKUP($FD215,'Jan-2026 rates'!$L:$R,6,0),IF($LB215=100%,VLOOKUP($FD215,'Jan-2026 rates'!$L:$R,7,0),IF($LB215=60%,VLOOKUP($FD215,'Jan-2026 rates'!$L:$S,8,0),IF($LB215=80%,VLOOKUP($FD215,'Jan-2026 rates'!L:T,9,0),0))))))))</f>
        <v>0</v>
      </c>
      <c r="FG215" s="412"/>
      <c r="FH215" s="409"/>
      <c r="FI215" s="411">
        <f>IF(FH215=0,0,IF($LB215=70%,VLOOKUP($FD215,'Jan-2026 rates'!$L:$R,4,0),IF($LB215=65%,VLOOKUP($FD215,'Jan-2026 rates'!$L:$R,4,0),IF($LB215=40%,VLOOKUP($FD215,'Jan-2026 rates'!$L:$R,5,0),IF($LB215=30%,VLOOKUP($FD215,'Jan-2026 rates'!$L:$R,6,0),IF($LB215=100%,VLOOKUP($FD215,'Jan-2026 rates'!$L:$R,7,0),IF($LB215=60%,VLOOKUP($FD215,'Jan-2026 rates'!$L:$S,8,0),IF($LB215=80%,VLOOKUP($FD215,'Jan-2026 rates'!L:T,9,0),0))))))))</f>
        <v>0</v>
      </c>
      <c r="FJ215" s="413">
        <v>26516000007</v>
      </c>
      <c r="FK215" s="413"/>
      <c r="FL215" s="413"/>
      <c r="FM215" s="412"/>
      <c r="FN215" s="412"/>
      <c r="FO215" s="412"/>
      <c r="FP215" s="412"/>
      <c r="FQ215" s="412"/>
      <c r="FR215" s="409">
        <v>5</v>
      </c>
      <c r="FS215" s="398" t="e">
        <f>IF(FR215=0,0,IF(LEN(FJ215)=11,_xlfn.XLOOKUP(FJ215,'Dispensed Ink Rates'!C:C,'Dispensed Ink Rates'!CS:CS),VLOOKUP(FJ215,'Jan-2026 rates'!$E:$F,2,0)))</f>
        <v>#N/A</v>
      </c>
      <c r="FT215" s="409"/>
      <c r="FU215" s="398">
        <f>IF(FT215=0,0,IF(LEN(FK215)=11,_xlfn.XLOOKUP(FK215,'Dispensed Ink Rates'!C:C,'Dispensed Ink Rates'!CS:CS),VLOOKUP(FK215,'Jan-2026 rates'!$E:$F,2,0)))</f>
        <v>0</v>
      </c>
      <c r="FV215" s="409"/>
      <c r="FW215" s="398">
        <f>IF(FV215=0,0,IF(LEN(FL215)=11,_xlfn.XLOOKUP(FL215,'Dispensed Ink Rates'!C:C,'Dispensed Ink Rates'!CS:CS),VLOOKUP(FL215,'Jan-2026 rates'!$E:$F,2,0)))</f>
        <v>0</v>
      </c>
      <c r="FX215" s="409"/>
      <c r="FY215" s="398">
        <f>IF(FX215=0,0,IF(LEN(FM215)=11,_xlfn.XLOOKUP(FM215,'Dispensed Ink Rates'!C:C,'Dispensed Ink Rates'!CS:CS),VLOOKUP(FM215,'Jan-2026 rates'!$E:$F,2,0)))</f>
        <v>0</v>
      </c>
      <c r="FZ215" s="409"/>
      <c r="GA215" s="398">
        <f>IF(FZ215=0,0,IF(LEN(FN215)=11,_xlfn.XLOOKUP(FN215,'Dispensed Ink Rates'!C:C,'Dispensed Ink Rates'!CS:CS),VLOOKUP(FN215,'Jan-2026 rates'!$E:$F,2,0)))</f>
        <v>0</v>
      </c>
      <c r="GB215" s="409"/>
      <c r="GC215" s="398">
        <f>IF(GB215=0,0,IF(LEN(FO215)=11,_xlfn.XLOOKUP(FO215,'Dispensed Ink Rates'!C:C,'Dispensed Ink Rates'!CS:CS),VLOOKUP(FO215,'Jan-2026 rates'!$E:$F,2,0)))</f>
        <v>0</v>
      </c>
      <c r="GD215" s="409"/>
      <c r="GE215" s="398">
        <f>IF(GD215=0,0,IF(LEN(FP215)=11,_xlfn.XLOOKUP(FP215,'Dispensed Ink Rates'!C:C,'Dispensed Ink Rates'!CS:CS),VLOOKUP(FP215,'Jan-2026 rates'!$E:$F,2,0)))</f>
        <v>0</v>
      </c>
      <c r="GF215" s="409"/>
      <c r="GG215" s="398">
        <f>IF(GF215=0,0,IF(LEN(FQ215)=11,_xlfn.XLOOKUP(FQ215,'Dispensed Ink Rates'!C:C,'Dispensed Ink Rates'!CS:CS),VLOOKUP(FQ215,'Jan-2026 rates'!$E:$F,2,0)))</f>
        <v>0</v>
      </c>
      <c r="GH215" s="409" t="s">
        <v>1443</v>
      </c>
      <c r="GI215" s="409">
        <v>26</v>
      </c>
      <c r="GJ215" s="411">
        <f t="shared" si="171"/>
        <v>0</v>
      </c>
      <c r="GK215" s="411">
        <f t="shared" si="172"/>
        <v>17.07692307692308</v>
      </c>
      <c r="GL215" s="410">
        <f t="shared" si="173"/>
        <v>0</v>
      </c>
      <c r="GM215" s="405" t="s">
        <v>545</v>
      </c>
      <c r="GN215" s="409"/>
      <c r="GO215" s="420" t="str">
        <f t="shared" si="135"/>
        <v>FLINTSL - YELLOW</v>
      </c>
      <c r="GP215" s="409"/>
      <c r="GQ215" s="411">
        <f>IF(GP215=0,0,IF($LB215=70%,VLOOKUP($GO215,'Jan-2026 rates'!$L:$R,4,0),IF($LB215=65%,VLOOKUP($GO215,'Jan-2026 rates'!$L:$R,4,0),IF($LB215=40%,VLOOKUP($GO215,'Jan-2026 rates'!$L:$R,5,0),IF($LB215=30%,VLOOKUP($GO215,'Jan-2026 rates'!$L:$R,6,0),IF($LB215=100%,VLOOKUP($GO215,'Jan-2026 rates'!$L:$R,7,0),IF($LB215=60%,VLOOKUP($GO215,'Jan-2026 rates'!$L:$S,8,0),IF($LB215=80%,VLOOKUP($GO215,'Jan-2026 rates'!L:T,9,0),0))))))))</f>
        <v>0</v>
      </c>
      <c r="GR215" s="412"/>
      <c r="GS215" s="409"/>
      <c r="GT215" s="411">
        <f>IF(GS215=0,0,IF($LB215=70%,VLOOKUP($GO215,'Jan-2026 rates'!$L:$R,4,0),IF($LB215=65%,VLOOKUP($GO215,'Jan-2026 rates'!$L:$R,4,0),IF($LB215=40%,VLOOKUP($GO215,'Jan-2026 rates'!$L:$R,5,0),IF($LB215=30%,VLOOKUP($GO215,'Jan-2026 rates'!$L:$R,6,0),IF($LB215=100%,VLOOKUP($GO215,'Jan-2026 rates'!$L:$R,7,0),IF($LB215=60%,VLOOKUP($GO215,'Jan-2026 rates'!$L:$S,8,0),IF($LB215=80%,VLOOKUP($GO215,'Jan-2026 rates'!L:T,9,0),0))))))))</f>
        <v>0</v>
      </c>
      <c r="GU215" s="413" t="s">
        <v>1266</v>
      </c>
      <c r="GV215" s="413">
        <v>26516000007</v>
      </c>
      <c r="GW215" s="412"/>
      <c r="GX215" s="412"/>
      <c r="GY215" s="412"/>
      <c r="GZ215" s="412"/>
      <c r="HA215" s="412"/>
      <c r="HB215" s="412"/>
      <c r="HC215" s="409">
        <v>20</v>
      </c>
      <c r="HD215" s="398">
        <f>IF(HC215=0,0,IF(LEN(GU215)=11,_xlfn.XLOOKUP(GU215,'Dispensed Ink Rates'!C:C,'Dispensed Ink Rates'!CS:CS),VLOOKUP(GU215,'Jan-2026 rates'!$E:$F,2,0)))</f>
        <v>0</v>
      </c>
      <c r="HE215" s="409">
        <v>1</v>
      </c>
      <c r="HF215" s="398" t="e">
        <f>IF(HE215=0,0,IF(LEN(GV215)=11,_xlfn.XLOOKUP(GV215,'Dispensed Ink Rates'!C:C,'Dispensed Ink Rates'!CS:CS),VLOOKUP(GV215,'Jan-2026 rates'!$E:$F,2,0)))</f>
        <v>#N/A</v>
      </c>
      <c r="HG215" s="409"/>
      <c r="HH215" s="398">
        <f>IF(HG215=0,0,IF(LEN(GW215)=11,_xlfn.XLOOKUP(GW215,'Dispensed Ink Rates'!C:C,'Dispensed Ink Rates'!CS:CS),VLOOKUP(GW215,'Jan-2026 rates'!$E:$F,2,0)))</f>
        <v>0</v>
      </c>
      <c r="HI215" s="409"/>
      <c r="HJ215" s="398">
        <f>IF(HI215=0,0,IF(LEN(GX215)=11,_xlfn.XLOOKUP(GX215,'Dispensed Ink Rates'!C:C,'Dispensed Ink Rates'!CS:CS),VLOOKUP(GX215,'Jan-2026 rates'!$E:$F,2,0)))</f>
        <v>0</v>
      </c>
      <c r="HK215" s="409"/>
      <c r="HL215" s="398">
        <f>IF(HK215=0,0,IF(LEN(GY215)=11,_xlfn.XLOOKUP(GY215,'Dispensed Ink Rates'!C:C,'Dispensed Ink Rates'!CS:CS),VLOOKUP(GY215,'Jan-2026 rates'!$E:$F,2,0)))</f>
        <v>0</v>
      </c>
      <c r="HM215" s="409"/>
      <c r="HN215" s="398">
        <f>IF(HM215=0,0,IF(LEN(GZ215)=11,_xlfn.XLOOKUP(GZ215,'Dispensed Ink Rates'!C:C,'Dispensed Ink Rates'!CS:CS),VLOOKUP(GZ215,'Jan-2026 rates'!$E:$F,2,0)))</f>
        <v>0</v>
      </c>
      <c r="HO215" s="409"/>
      <c r="HP215" s="398">
        <f>IF(HO215=0,0,IF(LEN(HA215)=11,_xlfn.XLOOKUP(HA215,'Dispensed Ink Rates'!C:C,'Dispensed Ink Rates'!CS:CS),VLOOKUP(HA215,'Jan-2026 rates'!$E:$F,2,0)))</f>
        <v>0</v>
      </c>
      <c r="HQ215" s="409"/>
      <c r="HR215" s="398">
        <f>IF(HQ215=0,0,IF(LEN(HB215)=11,_xlfn.XLOOKUP(HB215,'Dispensed Ink Rates'!C:C,'Dispensed Ink Rates'!CS:CS),VLOOKUP(HB215,'Jan-2026 rates'!$E:$F,2,0)))</f>
        <v>0</v>
      </c>
      <c r="HS215" s="409" t="s">
        <v>1443</v>
      </c>
      <c r="HT215" s="409">
        <v>15</v>
      </c>
      <c r="HU215" s="411">
        <f t="shared" si="174"/>
        <v>0</v>
      </c>
      <c r="HV215" s="411">
        <f t="shared" si="175"/>
        <v>26.096153846153847</v>
      </c>
      <c r="HW215" s="414">
        <f t="shared" si="176"/>
        <v>0</v>
      </c>
      <c r="HX215" s="405" t="s">
        <v>856</v>
      </c>
      <c r="HY215" s="409" t="s">
        <v>3834</v>
      </c>
      <c r="HZ215" s="420" t="str">
        <f t="shared" si="136"/>
        <v>FLINTSL - WHITE</v>
      </c>
      <c r="IA215" s="409">
        <v>20</v>
      </c>
      <c r="IB215" s="411">
        <f>IF(IA215=0,0,IF($LB215=70%,VLOOKUP($HZ215,'Jan-2026 rates'!$L:$R,4,0),IF($LB215=65%,VLOOKUP($HZ215,'Jan-2026 rates'!$L:$R,4,0),IF($LB215=40%,VLOOKUP($HZ215,'Jan-2026 rates'!$L:$R,5,0),IF($LB215=30%,VLOOKUP($HZ215,'Jan-2026 rates'!$L:$R,6,0),IF($LB215=100%,VLOOKUP($HZ215,'Jan-2026 rates'!$L:$R,7,0),IF($LB215=60%,VLOOKUP($HZ215,'Jan-2026 rates'!$L:$S,8,0),IF($LB215=80%,VLOOKUP($HZ215,'Jan-2026 rates'!L:T,9,0),0))))))))</f>
        <v>0</v>
      </c>
      <c r="IC215" s="412"/>
      <c r="ID215" s="409"/>
      <c r="IE215" s="411">
        <f>IF(ID215=0,0,IF($LB215=70%,VLOOKUP($HZ215,'Jan-2026 rates'!$L:$R,4,0),IF($LB215=65%,VLOOKUP($HZ215,'Jan-2026 rates'!$L:$R,4,0),IF($LB215=40%,VLOOKUP($HZ215,'Jan-2026 rates'!$L:$R,5,0),IF($LB215=30%,VLOOKUP($HZ215,'Jan-2026 rates'!$L:$R,6,0),IF($LB215=100%,VLOOKUP($HZ215,'Jan-2026 rates'!$L:$R,7,0),IF($LB215=60%,VLOOKUP($HZ215,'Jan-2026 rates'!$L:$S,8,0),IF($LB215=80%,VLOOKUP($HZ215,'Jan-2026 rates'!L:T,9,0),0))))))))</f>
        <v>0</v>
      </c>
      <c r="IF215" s="412" t="s">
        <v>484</v>
      </c>
      <c r="IG215" s="413"/>
      <c r="IH215" s="412"/>
      <c r="II215" s="412"/>
      <c r="IJ215" s="412"/>
      <c r="IK215" s="412"/>
      <c r="IL215" s="412"/>
      <c r="IM215" s="412"/>
      <c r="IN215" s="409">
        <v>40</v>
      </c>
      <c r="IO215" s="398">
        <f>IF(IN215=0,0,IF(LEN(IF215)=11,_xlfn.XLOOKUP(IF215,'Dispensed Ink Rates'!C:C,'Dispensed Ink Rates'!CS:CS),VLOOKUP(IF215,'Jan-2026 rates'!$E:$F,2,0)))</f>
        <v>0</v>
      </c>
      <c r="IP215" s="409"/>
      <c r="IQ215" s="398">
        <f>IF(IP215=0,0,IF(LEN(IG215)=11,_xlfn.XLOOKUP(IG215,'Dispensed Ink Rates'!C:C,'Dispensed Ink Rates'!CS:CS),VLOOKUP(IG215,'Jan-2026 rates'!$E:$F,2,0)))</f>
        <v>0</v>
      </c>
      <c r="IR215" s="409"/>
      <c r="IS215" s="398">
        <f>IF(IR215=0,0,IF(LEN(IH215)=11,_xlfn.XLOOKUP(IH215,'Dispensed Ink Rates'!C:C,'Dispensed Ink Rates'!CS:CS),VLOOKUP(IH215,'Jan-2026 rates'!$E:$F,2,0)))</f>
        <v>0</v>
      </c>
      <c r="IT215" s="409"/>
      <c r="IU215" s="398">
        <f>IF(IT215=0,0,IF(LEN(II215)=11,_xlfn.XLOOKUP(II215,'Dispensed Ink Rates'!C:C,'Dispensed Ink Rates'!CS:CS),VLOOKUP(II215,'Jan-2026 rates'!$E:$F,2,0)))</f>
        <v>0</v>
      </c>
      <c r="IV215" s="409"/>
      <c r="IW215" s="398">
        <f>IF(IV215=0,0,IF(LEN(IJ215)=11,_xlfn.XLOOKUP(IJ215,'Dispensed Ink Rates'!C:C,'Dispensed Ink Rates'!CS:CS),VLOOKUP(IJ215,'Jan-2026 rates'!$E:$F,2,0)))</f>
        <v>0</v>
      </c>
      <c r="IX215" s="409"/>
      <c r="IY215" s="398">
        <f>IF(IX215=0,0,IF(LEN(IK215)=11,_xlfn.XLOOKUP(IK215,'Dispensed Ink Rates'!C:C,'Dispensed Ink Rates'!CS:CS),VLOOKUP(IK215,'Jan-2026 rates'!$E:$F,2,0)))</f>
        <v>0</v>
      </c>
      <c r="IZ215" s="409"/>
      <c r="JA215" s="398">
        <f>IF(IZ215=0,0,IF(LEN(IL215)=11,_xlfn.XLOOKUP(IL215,'Dispensed Ink Rates'!C:C,'Dispensed Ink Rates'!CS:CS),VLOOKUP(IL215,'Jan-2026 rates'!$E:$F,2,0)))</f>
        <v>0</v>
      </c>
      <c r="JB215" s="409"/>
      <c r="JC215" s="398">
        <f>IF(JB215=0,0,IF(LEN(IM215)=11,_xlfn.XLOOKUP(IM215,'Dispensed Ink Rates'!C:C,'Dispensed Ink Rates'!CS:CS),VLOOKUP(IM215,'Jan-2026 rates'!$E:$F,2,0)))</f>
        <v>0</v>
      </c>
      <c r="JD215" s="409" t="s">
        <v>1443</v>
      </c>
      <c r="JE215" s="409">
        <v>20</v>
      </c>
      <c r="JF215" s="411">
        <f t="shared" si="177"/>
        <v>0</v>
      </c>
      <c r="JG215" s="411">
        <f t="shared" si="178"/>
        <v>120.38461538461539</v>
      </c>
      <c r="JH215" s="410">
        <f t="shared" si="179"/>
        <v>0</v>
      </c>
      <c r="JI215" s="405" t="s">
        <v>605</v>
      </c>
      <c r="JJ215" s="409" t="s">
        <v>3832</v>
      </c>
      <c r="JK215" s="420" t="str">
        <f t="shared" si="137"/>
        <v>ToyoLi - MATT</v>
      </c>
      <c r="JL215" s="409">
        <v>20</v>
      </c>
      <c r="JM215" s="411">
        <f>IF(JL215=0,0,IF($LB215=70%,VLOOKUP($JK215,'Jan-2026 rates'!$L:$R,4,0),IF($LB215=65%,VLOOKUP($JK215,'Jan-2026 rates'!$L:$R,4,0),IF($LB215=40%,VLOOKUP($JK215,'Jan-2026 rates'!$L:$R,5,0),IF($LB215=30%,VLOOKUP($JK215,'Jan-2026 rates'!$L:$R,6,0),IF($LB215=100%,VLOOKUP($JK215,'Jan-2026 rates'!$L:$R,7,0),IF($LB215=60%,VLOOKUP($JK215,'Jan-2026 rates'!$L:$S,8,0),IF($LB215=80%,VLOOKUP($JK215,'Jan-2026 rates'!L:T,9,0),0))))))))</f>
        <v>0</v>
      </c>
      <c r="JN215" s="412"/>
      <c r="JO215" s="409"/>
      <c r="JP215" s="411">
        <f>IF(JO215=0,0,IF($LB215=70%,VLOOKUP($JK215,'Jan-2026 rates'!$L:$R,4,0),IF($LB215=65%,VLOOKUP($JK215,'Jan-2026 rates'!$L:$R,4,0),IF($LB215=40%,VLOOKUP($JK215,'Jan-2026 rates'!$L:$R,5,0),IF($LB215=30%,VLOOKUP($JK215,'Jan-2026 rates'!$L:$R,6,0),IF($LB215=100%,VLOOKUP($JK215,'Jan-2026 rates'!$L:$R,7,0),IF($LB215=60%,VLOOKUP($JK215,'Jan-2026 rates'!$L:$S,8,0),IF($LB215=80%,VLOOKUP($JK215,'Jan-2026 rates'!L:T,9,0),0))))))))</f>
        <v>0</v>
      </c>
      <c r="JQ215" s="413">
        <v>55</v>
      </c>
      <c r="JR215" s="412" t="s">
        <v>1902</v>
      </c>
      <c r="JS215" s="413"/>
      <c r="JT215" s="413"/>
      <c r="JU215" s="412"/>
      <c r="JV215" s="412"/>
      <c r="JW215" s="412"/>
      <c r="JX215" s="412"/>
      <c r="JY215" s="409">
        <v>80</v>
      </c>
      <c r="JZ215" s="398">
        <f>IF(JY215=0,0,IF(LEN(JQ215)=11,_xlfn.XLOOKUP(JQ215,'Dispensed Ink Rates'!C:C,'Dispensed Ink Rates'!CS:CS),VLOOKUP(JQ215,'Jan-2026 rates'!$E:$F,2,0)))</f>
        <v>0</v>
      </c>
      <c r="KA215" s="409">
        <v>20</v>
      </c>
      <c r="KB215" s="398">
        <f>IF(KA215=0,0,IF(LEN(JR215)=11,_xlfn.XLOOKUP(JR215,'Dispensed Ink Rates'!C:C,'Dispensed Ink Rates'!CS:CS),VLOOKUP(JR215,'Jan-2026 rates'!$E:$F,2,0)))</f>
        <v>0</v>
      </c>
      <c r="KC215" s="409"/>
      <c r="KD215" s="398">
        <f>IF(KC215=0,0,IF(LEN(JS215)=11,_xlfn.XLOOKUP(JS215,'Dispensed Ink Rates'!C:C,'Dispensed Ink Rates'!CS:CS),VLOOKUP(JS215,'Jan-2026 rates'!$E:$F,2,0)))</f>
        <v>0</v>
      </c>
      <c r="KE215" s="409"/>
      <c r="KF215" s="398">
        <f>IF(KE215=0,0,IF(LEN(JT215)=11,_xlfn.XLOOKUP(JT215,'Dispensed Ink Rates'!C:C,'Dispensed Ink Rates'!CS:CS),VLOOKUP(JT215,'Jan-2026 rates'!$E:$F,2,0)))</f>
        <v>0</v>
      </c>
      <c r="KG215" s="409"/>
      <c r="KH215" s="398">
        <f>IF(KG215=0,0,IF(LEN(JU215)=11,_xlfn.XLOOKUP(JU215,'Dispensed Ink Rates'!C:C,'Dispensed Ink Rates'!CS:CS),VLOOKUP(JU215,'Jan-2026 rates'!$E:$F,2,0)))</f>
        <v>0</v>
      </c>
      <c r="KI215" s="409"/>
      <c r="KJ215" s="398">
        <f>IF(KI215=0,0,IF(LEN(JV215)=11,_xlfn.XLOOKUP(JV215,'Dispensed Ink Rates'!C:C,'Dispensed Ink Rates'!CS:CS),VLOOKUP(JV215,'Jan-2026 rates'!$E:$F,2,0)))</f>
        <v>0</v>
      </c>
      <c r="KK215" s="409"/>
      <c r="KL215" s="398">
        <f>IF(KK215=0,0,IF(LEN(JW215)=11,_xlfn.XLOOKUP(JW215,'Dispensed Ink Rates'!C:C,'Dispensed Ink Rates'!CS:CS),VLOOKUP(JW215,'Jan-2026 rates'!$E:$F,2,0)))</f>
        <v>0</v>
      </c>
      <c r="KM215" s="428"/>
      <c r="KN215" s="398">
        <f>IF(KM215=0,0,IF(LEN(JX215)=11,_xlfn.XLOOKUP(JX215,'Dispensed Ink Rates'!C:C,'Dispensed Ink Rates'!CS:CS),VLOOKUP(JX215,'Jan-2026 rates'!$E:$F,2,0)))</f>
        <v>0</v>
      </c>
      <c r="KO215" s="409" t="s">
        <v>1881</v>
      </c>
      <c r="KP215" s="409">
        <f>17+15</f>
        <v>32</v>
      </c>
      <c r="KQ215" s="411">
        <f t="shared" si="180"/>
        <v>0</v>
      </c>
      <c r="KR215" s="411">
        <f t="shared" si="181"/>
        <v>148.28846153846155</v>
      </c>
      <c r="KS215" s="410">
        <f t="shared" si="182"/>
        <v>0</v>
      </c>
      <c r="KT215" s="409">
        <v>2</v>
      </c>
      <c r="KU215" s="409">
        <v>2</v>
      </c>
      <c r="KV215" s="409">
        <v>2</v>
      </c>
      <c r="KW215" s="409">
        <v>2</v>
      </c>
      <c r="KX215" s="409">
        <v>4</v>
      </c>
      <c r="KY215" s="409">
        <v>5</v>
      </c>
      <c r="KZ215" s="409">
        <v>20</v>
      </c>
      <c r="LA215" s="409">
        <v>15</v>
      </c>
      <c r="LB215" s="415">
        <v>0.8</v>
      </c>
      <c r="LC215" s="415">
        <v>0.2</v>
      </c>
      <c r="LD215" s="415"/>
      <c r="LE215" s="415"/>
      <c r="LF215" s="415"/>
      <c r="LG215" s="409">
        <v>0</v>
      </c>
      <c r="LH215" s="409">
        <f>37+40+96+24+6+6</f>
        <v>209</v>
      </c>
      <c r="LI215" s="409">
        <v>0</v>
      </c>
      <c r="LJ215" s="409">
        <v>0</v>
      </c>
      <c r="LK215" s="416">
        <f t="shared" si="138"/>
        <v>209</v>
      </c>
      <c r="LL215" s="416">
        <f t="shared" si="139"/>
        <v>209</v>
      </c>
      <c r="LM215" s="417">
        <f t="shared" si="140"/>
        <v>167.20000000000002</v>
      </c>
      <c r="LN215" s="417">
        <f>VLOOKUP($LM$8,'Jan-2026 rates'!$H:$I,2,0)</f>
        <v>0</v>
      </c>
      <c r="LO215" s="417">
        <f t="shared" si="141"/>
        <v>41.800000000000004</v>
      </c>
      <c r="LP215" s="417">
        <f>VLOOKUP($LO$8,'Jan-2026 rates'!$H:$I,2,0)</f>
        <v>0</v>
      </c>
      <c r="LQ215" s="417">
        <f t="shared" si="142"/>
        <v>0</v>
      </c>
      <c r="LR215" s="417">
        <f>VLOOKUP($LQ$8,'Jan-2026 rates'!$H:$I,2,0)</f>
        <v>0</v>
      </c>
      <c r="LS215" s="417">
        <f t="shared" si="143"/>
        <v>0</v>
      </c>
      <c r="LT215" s="417">
        <f>VLOOKUP($LS$8,'Jan-2026 rates'!$H:$I,2,0)</f>
        <v>0</v>
      </c>
      <c r="LU215" s="417">
        <f t="shared" si="144"/>
        <v>0</v>
      </c>
      <c r="LV215" s="417">
        <f>VLOOKUP($LU$8,'Jan-2026 rates'!$H:$I,2,0)</f>
        <v>0</v>
      </c>
      <c r="LW215" s="417">
        <f t="shared" si="145"/>
        <v>0</v>
      </c>
      <c r="LX215" s="417">
        <f t="shared" si="146"/>
        <v>0</v>
      </c>
      <c r="LY215" s="418">
        <f t="shared" si="147"/>
        <v>0</v>
      </c>
      <c r="LZ215" s="417"/>
      <c r="MA215" s="435">
        <f t="shared" si="148"/>
        <v>243</v>
      </c>
      <c r="MB215" s="282">
        <f t="shared" si="149"/>
        <v>391</v>
      </c>
      <c r="MC215" s="283">
        <v>108</v>
      </c>
      <c r="MD215" s="284" t="str">
        <f t="shared" si="150"/>
        <v>FLINTSLFLINTSLFLINTSLFLINTSLFLINTSLFLINTSLFLINTSLToyoLi</v>
      </c>
      <c r="ME215" s="293" t="str">
        <f t="shared" si="151"/>
        <v>+</v>
      </c>
      <c r="MF215" s="293" t="str">
        <f t="shared" si="152"/>
        <v>+</v>
      </c>
      <c r="MG215" s="293" t="str">
        <f t="shared" si="153"/>
        <v>+</v>
      </c>
      <c r="MH215" s="293" t="str">
        <f t="shared" si="154"/>
        <v>+</v>
      </c>
      <c r="MI215" s="293" t="str">
        <f t="shared" si="155"/>
        <v>+</v>
      </c>
      <c r="MJ215" s="293" t="str">
        <f t="shared" si="156"/>
        <v>+</v>
      </c>
      <c r="MK215" s="293" t="str">
        <f t="shared" si="157"/>
        <v>+</v>
      </c>
      <c r="ML215" s="293" t="str">
        <f t="shared" si="158"/>
        <v>+</v>
      </c>
      <c r="MM215" s="3" t="b">
        <f t="array" ref="MM215">OR(ME215:ML215="-")</f>
        <v>0</v>
      </c>
      <c r="MN215" s="285"/>
      <c r="MO215" s="401"/>
      <c r="MP215" s="286"/>
      <c r="MQ215" s="286"/>
      <c r="MR215" s="402"/>
      <c r="MS215" s="400"/>
      <c r="NH215" s="422"/>
      <c r="NJ215" s="421"/>
    </row>
    <row r="216" spans="1:374" s="1" customFormat="1" ht="16.5">
      <c r="A216" s="403">
        <v>46037</v>
      </c>
      <c r="B216" s="404" t="s">
        <v>1018</v>
      </c>
      <c r="C216" s="405" t="s">
        <v>3835</v>
      </c>
      <c r="D216" s="406">
        <v>109</v>
      </c>
      <c r="E216" s="404">
        <v>884</v>
      </c>
      <c r="F216" s="407">
        <v>63000</v>
      </c>
      <c r="G216" s="407" t="s">
        <v>1019</v>
      </c>
      <c r="H216" s="408" t="s">
        <v>1017</v>
      </c>
      <c r="I216" s="409">
        <v>0.16</v>
      </c>
      <c r="J216" s="405" t="s">
        <v>543</v>
      </c>
      <c r="K216" s="404" t="s">
        <v>3836</v>
      </c>
      <c r="L216" s="419" t="str">
        <f t="shared" si="131"/>
        <v>FLINTSL - BLACK</v>
      </c>
      <c r="M216" s="404">
        <v>19</v>
      </c>
      <c r="N216" s="410">
        <f>IF(M216=0,0,IF($LB216=70%,VLOOKUP($L216,'Jan-2026 rates'!$L:$R,4,0),IF($LB216=65%,VLOOKUP($L216,'Jan-2026 rates'!$L:$R,4,0),IF($LB216=40%,VLOOKUP($L216,'Jan-2026 rates'!$L:$R,5,0),IF($LB216=30%,VLOOKUP($L216,'Jan-2026 rates'!$L:$R,6,0),IF($LB216=100%,VLOOKUP($L216,'Jan-2026 rates'!$L:$R,7,0),IF($LB216=60%,VLOOKUP($L216,'Jan-2026 rates'!$L:$S,8,0),IF($LB216=80%,VLOOKUP($L216,'Jan-2026 rates'!L:T,9,0),0))))))))</f>
        <v>0</v>
      </c>
      <c r="O216" s="406" t="s">
        <v>3392</v>
      </c>
      <c r="P216" s="404">
        <v>14</v>
      </c>
      <c r="Q216" s="410">
        <f>IF(P216=0,0,IF($LB216=70%,VLOOKUP($L216,'Jan-2026 rates'!$L:$R,4,0),IF($LB216=65%,VLOOKUP($L216,'Jan-2026 rates'!$L:$R,4,0),IF($LB216=40%,VLOOKUP($L216,'Jan-2026 rates'!$L:$R,5,0),IF($LB216=30%,VLOOKUP($L216,'Jan-2026 rates'!$L:$R,6,0),IF($LB216=100%,VLOOKUP($L216,'Jan-2026 rates'!$L:$R,7,0),IF($LB216=60%,VLOOKUP($L216,'Jan-2026 rates'!$L:$S,8,0),IF($LB216=80%,VLOOKUP($L216,'Jan-2026 rates'!L:T,9,0),0))))))))</f>
        <v>0</v>
      </c>
      <c r="R216" s="406">
        <v>26520000005</v>
      </c>
      <c r="S216" s="406"/>
      <c r="T216" s="406"/>
      <c r="U216" s="406"/>
      <c r="V216" s="406"/>
      <c r="W216" s="406"/>
      <c r="X216" s="406"/>
      <c r="Y216" s="406"/>
      <c r="Z216" s="404">
        <v>4</v>
      </c>
      <c r="AA216" s="398" t="e">
        <f>IF(Z216=0,0,IF(LEN(R216)=11,_xlfn.XLOOKUP(R216,'Dispensed Ink Rates'!C:C,'Dispensed Ink Rates'!CS:CS),VLOOKUP(R216,'Jan-2026 rates'!$E:$F,2,0)))</f>
        <v>#N/A</v>
      </c>
      <c r="AB216" s="404"/>
      <c r="AC216" s="398">
        <f>IF(AB216=0,0,IF(LEN(S216)=11,_xlfn.XLOOKUP(S216,'Dispensed Ink Rates'!C:C,'Dispensed Ink Rates'!CS:CS),VLOOKUP(S216,'Jan-2026 rates'!$E:$F,2,0)))</f>
        <v>0</v>
      </c>
      <c r="AD216" s="404"/>
      <c r="AE216" s="398">
        <f>IF(AD216=0,0,IF(LEN(T216)=11,_xlfn.XLOOKUP(T216,'Dispensed Ink Rates'!C:C,'Dispensed Ink Rates'!CS:CS),VLOOKUP(T216,'Jan-2026 rates'!$E:$F,2,0)))</f>
        <v>0</v>
      </c>
      <c r="AF216" s="404"/>
      <c r="AG216" s="398">
        <f>IF(AF216=0,0,IF(LEN(U216)=11,_xlfn.XLOOKUP(U216,'Dispensed Ink Rates'!C:C,'Dispensed Ink Rates'!CS:CS),VLOOKUP(U216,'Jan-2026 rates'!$E:$F,2,0)))</f>
        <v>0</v>
      </c>
      <c r="AH216" s="404"/>
      <c r="AI216" s="398">
        <f>IF(AH216=0,0,IF(LEN(V216)=11,_xlfn.XLOOKUP(V216,'Dispensed Ink Rates'!C:C,'Dispensed Ink Rates'!CS:CS),VLOOKUP(V216,'Jan-2026 rates'!$E:$F,2,0)))</f>
        <v>0</v>
      </c>
      <c r="AJ216" s="404"/>
      <c r="AK216" s="398">
        <f>IF(AJ216=0,0,IF(LEN(W216)=11,_xlfn.XLOOKUP(W216,'Dispensed Ink Rates'!C:C,'Dispensed Ink Rates'!CS:CS),VLOOKUP(W216,'Jan-2026 rates'!$E:$F,2,0)))</f>
        <v>0</v>
      </c>
      <c r="AL216" s="404"/>
      <c r="AM216" s="398">
        <f>IF(AL216=0,0,IF(LEN(X216)=11,_xlfn.XLOOKUP(X216,'Dispensed Ink Rates'!C:C,'Dispensed Ink Rates'!CS:CS),VLOOKUP(X216,'Jan-2026 rates'!$E:$F,2,0)))</f>
        <v>0</v>
      </c>
      <c r="AN216" s="404"/>
      <c r="AO216" s="398">
        <f>IF(AN216=0,0,IF(LEN(Y216)=11,_xlfn.XLOOKUP(Y216,'Dispensed Ink Rates'!C:C,'Dispensed Ink Rates'!CS:CS),VLOOKUP(Y216,'Jan-2026 rates'!$E:$F,2,0)))</f>
        <v>0</v>
      </c>
      <c r="AP216" s="409" t="s">
        <v>1443</v>
      </c>
      <c r="AQ216" s="409">
        <v>24</v>
      </c>
      <c r="AR216" s="410">
        <f>IFERROR(IF(AS216&lt;=0,0,(M216*N216+P216*Q216+Z216*AA216+AB216*AC216+AD216*AE216+AF216*AG216+AH216*AI216+AJ216*AK216+AL216*AM216+AN216*AO216+(KT216/SUM(KT216:LA216)*LL216)*LX216)/(M216+P216+Z216+AB216+AD216+AF216+AH216+AJ216+AL216+AN216+(KT216/SUM(KT216:LA216)*LL216))),0)</f>
        <v>0</v>
      </c>
      <c r="AS216" s="411">
        <f t="shared" si="160"/>
        <v>36.157894736842103</v>
      </c>
      <c r="AT216" s="410">
        <f t="shared" si="161"/>
        <v>0</v>
      </c>
      <c r="AU216" s="405" t="s">
        <v>543</v>
      </c>
      <c r="AV216" s="409" t="s">
        <v>3837</v>
      </c>
      <c r="AW216" s="420" t="str">
        <f t="shared" si="183"/>
        <v>FLINTSL - BLACK</v>
      </c>
      <c r="AX216" s="409">
        <v>11</v>
      </c>
      <c r="AY216" s="411">
        <f>IF(AX216=0,0,IF($LB216=70%,VLOOKUP($AW216,'Jan-2026 rates'!$L:$R,4,0),IF($LB216=65%,VLOOKUP($AW216,'Jan-2026 rates'!$L:$R,4,0),IF($LB216=40%,VLOOKUP($AW216,'Jan-2026 rates'!$L:$R,5,0),IF($LB216=30%,VLOOKUP($AW216,'Jan-2026 rates'!$L:$R,6,0),IF($LB216=100%,VLOOKUP($AW216,'Jan-2026 rates'!$L:$R,7,0),IF($LB216=60%,VLOOKUP($AW216,'Jan-2026 rates'!$L:$S,8,0),IF($LB216=80%,VLOOKUP($AW216,'Jan-2026 rates'!L:T,9,0),0))))))))</f>
        <v>0</v>
      </c>
      <c r="AZ216" s="412" t="s">
        <v>3265</v>
      </c>
      <c r="BA216" s="409">
        <v>15</v>
      </c>
      <c r="BB216" s="411">
        <f>IF(BA216=0,0,IF($LB216=70%,VLOOKUP($AW216,'Jan-2026 rates'!$L:$R,4,0),IF($LB216=65%,VLOOKUP($AW216,'Jan-2026 rates'!$L:$R,4,0),IF($LB216=40%,VLOOKUP($AW216,'Jan-2026 rates'!$L:$R,5,0),IF($LB216=30%,VLOOKUP($AW216,'Jan-2026 rates'!$L:$R,6,0),IF($LB216=100%,VLOOKUP($AW216,'Jan-2026 rates'!$L:$R,7,0),IF($LB216=60%,VLOOKUP($AW216,'Jan-2026 rates'!$L:$S,8,0),IF($LB216=80%,VLOOKUP($AW216,'Jan-2026 rates'!L:T,9,0),0))))))))</f>
        <v>0</v>
      </c>
      <c r="BC216" s="413">
        <v>26517000011</v>
      </c>
      <c r="BD216" s="412">
        <v>26517000042</v>
      </c>
      <c r="BE216" s="412"/>
      <c r="BF216" s="413"/>
      <c r="BG216" s="412"/>
      <c r="BH216" s="412"/>
      <c r="BI216" s="412"/>
      <c r="BJ216" s="412"/>
      <c r="BK216" s="409">
        <v>2</v>
      </c>
      <c r="BL216" s="398" t="e">
        <f>IF(BK216=0,0,IF(LEN(BC216)=11,_xlfn.XLOOKUP(BC216,'Dispensed Ink Rates'!C:C,'Dispensed Ink Rates'!CS:CS),VLOOKUP(BC216,'Jan-2026 rates'!$E:$F,2,0)))</f>
        <v>#N/A</v>
      </c>
      <c r="BM216" s="409">
        <v>1</v>
      </c>
      <c r="BN216" s="398" t="e">
        <f>IF(BM216=0,0,IF(LEN(BD216)=11,_xlfn.XLOOKUP(BD216,'Dispensed Ink Rates'!C:C,'Dispensed Ink Rates'!CS:CS),VLOOKUP(BD216,'Jan-2026 rates'!$E:$F,2,0)))</f>
        <v>#N/A</v>
      </c>
      <c r="BO216" s="409"/>
      <c r="BP216" s="398">
        <f>IF(BO216=0,0,IF(LEN(BE216)=11,_xlfn.XLOOKUP(BE216,'Dispensed Ink Rates'!C:C,'Dispensed Ink Rates'!CS:CS),VLOOKUP(BE216,'Jan-2026 rates'!$E:$F,2,0)))</f>
        <v>0</v>
      </c>
      <c r="BQ216" s="409"/>
      <c r="BR216" s="398">
        <f>IF(BQ216=0,0,IF(LEN(BF216)=11,_xlfn.XLOOKUP(BF216,'Dispensed Ink Rates'!C:C,'Dispensed Ink Rates'!CS:CS),VLOOKUP(BF216,'Jan-2026 rates'!$E:$F,2,0)))</f>
        <v>0</v>
      </c>
      <c r="BS216" s="409"/>
      <c r="BT216" s="398">
        <f>IF(BS216=0,0,IF(LEN(BG216)=11,_xlfn.XLOOKUP(BG216,'Dispensed Ink Rates'!C:C,'Dispensed Ink Rates'!CS:CS),VLOOKUP(BG216,'Jan-2026 rates'!$E:$F,2,0)))</f>
        <v>0</v>
      </c>
      <c r="BU216" s="409"/>
      <c r="BV216" s="398">
        <f>IF(BU216=0,0,IF(LEN(BH216)=11,_xlfn.XLOOKUP(BH216,'Dispensed Ink Rates'!C:C,'Dispensed Ink Rates'!CS:CS),VLOOKUP(BH216,'Jan-2026 rates'!$E:$F,2,0)))</f>
        <v>0</v>
      </c>
      <c r="BW216" s="409"/>
      <c r="BX216" s="398">
        <f>IF(BW216=0,0,IF(LEN(BI216)=11,_xlfn.XLOOKUP(BI216,'Dispensed Ink Rates'!C:C,'Dispensed Ink Rates'!CS:CS),VLOOKUP(BI216,'Jan-2026 rates'!$E:$F,2,0)))</f>
        <v>0</v>
      </c>
      <c r="BY216" s="409"/>
      <c r="BZ216" s="398">
        <f>IF(BY216=0,0,IF(LEN(BJ216)=11,_xlfn.XLOOKUP(BJ216,'Dispensed Ink Rates'!C:C,'Dispensed Ink Rates'!CS:CS),VLOOKUP(BJ216,'Jan-2026 rates'!$E:$F,2,0)))</f>
        <v>0</v>
      </c>
      <c r="CA216" s="409" t="s">
        <v>1443</v>
      </c>
      <c r="CB216" s="409">
        <v>26</v>
      </c>
      <c r="CC216" s="411">
        <f t="shared" si="162"/>
        <v>0</v>
      </c>
      <c r="CD216" s="411">
        <f t="shared" si="163"/>
        <v>21.526315789473685</v>
      </c>
      <c r="CE216" s="410">
        <f t="shared" si="164"/>
        <v>0</v>
      </c>
      <c r="CF216" s="404" t="s">
        <v>548</v>
      </c>
      <c r="CG216" s="409" t="s">
        <v>3146</v>
      </c>
      <c r="CH216" s="420" t="str">
        <f t="shared" si="132"/>
        <v>FLINTSL - GOLD</v>
      </c>
      <c r="CI216" s="409">
        <v>10</v>
      </c>
      <c r="CJ216" s="411">
        <f>IF(CI216=0,0,IF($LB216=70%,VLOOKUP($CH216,'Jan-2026 rates'!$L:$R,4,0),IF($LB216=65%,VLOOKUP($CH216,'Jan-2026 rates'!$L:$R,4,0),IF($LB216=40%,VLOOKUP($CH216,'Jan-2026 rates'!$L:$R,5,0),IF($LB216=30%,VLOOKUP($CH216,'Jan-2026 rates'!$L:$R,6,0),IF($LB216=100%,VLOOKUP($CH216,'Jan-2026 rates'!$L:$R,7,0),IF($LB216=60%,VLOOKUP($CH216,'Jan-2026 rates'!$L:$S,8,0),IF($LB216=80%,VLOOKUP($CH216,'Jan-2026 rates'!L:T,9,0),0))))))))</f>
        <v>0</v>
      </c>
      <c r="CK216" s="412" t="s">
        <v>3838</v>
      </c>
      <c r="CL216" s="409">
        <v>28</v>
      </c>
      <c r="CM216" s="411">
        <f>IF(CL216=0,0,IF($LB216=70%,VLOOKUP($CH216,'Jan-2026 rates'!$L:$R,4,0),IF($LB216=65%,VLOOKUP($CH216,'Jan-2026 rates'!$L:$R,4,0),IF($LB216=40%,VLOOKUP($CH216,'Jan-2026 rates'!$L:$R,5,0),IF($LB216=30%,VLOOKUP($CH216,'Jan-2026 rates'!$L:$R,6,0),IF($LB216=100%,VLOOKUP($CH216,'Jan-2026 rates'!$L:$R,7,0),IF($LB216=60%,VLOOKUP($CH216,'Jan-2026 rates'!$L:$S,8,0),IF($LB216=80%,VLOOKUP($CH216,'Jan-2026 rates'!L:T,9,0),0))))))))</f>
        <v>0</v>
      </c>
      <c r="CN216" s="426">
        <v>26520000005</v>
      </c>
      <c r="CO216" s="427" t="s">
        <v>1341</v>
      </c>
      <c r="CP216" s="426" t="s">
        <v>1266</v>
      </c>
      <c r="CQ216" s="426"/>
      <c r="CR216" s="428"/>
      <c r="CS216" s="428"/>
      <c r="CT216" s="428"/>
      <c r="CU216" s="428"/>
      <c r="CV216" s="409">
        <v>0.2</v>
      </c>
      <c r="CW216" s="398" t="e">
        <f>IF(CV216=0,0,IF(LEN(CN216)=11,_xlfn.XLOOKUP(CN216,'Dispensed Ink Rates'!C:C,'Dispensed Ink Rates'!CS:CS),VLOOKUP(CN216,'Jan-2026 rates'!$E:$F,2,0)))</f>
        <v>#N/A</v>
      </c>
      <c r="CX216" s="409">
        <v>10</v>
      </c>
      <c r="CY216" s="398">
        <f>IF(CX216=0,0,IF(LEN(CO216)=11,_xlfn.XLOOKUP(CO216,'Dispensed Ink Rates'!C:C,'Dispensed Ink Rates'!CS:CS),VLOOKUP(CO216,'Jan-2026 rates'!$E:$F,2,0)))</f>
        <v>0</v>
      </c>
      <c r="CZ216" s="409">
        <v>5</v>
      </c>
      <c r="DA216" s="398">
        <f>IF(CZ216=0,0,IF(LEN(CP216)=11,_xlfn.XLOOKUP(CP216,'Dispensed Ink Rates'!C:C,'Dispensed Ink Rates'!CS:CS),VLOOKUP(CP216,'Jan-2026 rates'!$E:$F,2,0)))</f>
        <v>0</v>
      </c>
      <c r="DB216" s="409"/>
      <c r="DC216" s="398">
        <f>IF(DB216=0,0,IF(LEN(CQ216)=11,_xlfn.XLOOKUP(CQ216,'Dispensed Ink Rates'!C:C,'Dispensed Ink Rates'!CS:CS),VLOOKUP(CQ216,'Jan-2026 rates'!$E:$F,2,0)))</f>
        <v>0</v>
      </c>
      <c r="DD216" s="409"/>
      <c r="DE216" s="398">
        <f>IF(DD216=0,0,IF(LEN(CR216)=11,_xlfn.XLOOKUP(CR216,'Dispensed Ink Rates'!C:C,'Dispensed Ink Rates'!CS:CS),VLOOKUP(CR216,'Jan-2026 rates'!$E:$F,2,0)))</f>
        <v>0</v>
      </c>
      <c r="DF216" s="409"/>
      <c r="DG216" s="398">
        <f>IF(DF216=0,0,IF(LEN(CS216)=11,_xlfn.XLOOKUP(CS216,'Dispensed Ink Rates'!C:C,'Dispensed Ink Rates'!CS:CS),VLOOKUP(CS216,'Jan-2026 rates'!$E:$F,2,0)))</f>
        <v>0</v>
      </c>
      <c r="DH216" s="409"/>
      <c r="DI216" s="398">
        <f>IF(DH216=0,0,IF(LEN(CT216)=11,_xlfn.XLOOKUP(CT216,'Dispensed Ink Rates'!C:C,'Dispensed Ink Rates'!CS:CS),VLOOKUP(CT216,'Jan-2026 rates'!$E:$F,2,0)))</f>
        <v>0</v>
      </c>
      <c r="DJ216" s="409"/>
      <c r="DK216" s="398">
        <f>IF(DJ216=0,0,IF(LEN(CU216)=11,_xlfn.XLOOKUP(CU216,'Dispensed Ink Rates'!C:C,'Dispensed Ink Rates'!CS:CS),VLOOKUP(CU216,'Jan-2026 rates'!$E:$F,2,0)))</f>
        <v>0</v>
      </c>
      <c r="DL216" s="409" t="s">
        <v>1443</v>
      </c>
      <c r="DM216" s="409">
        <v>30</v>
      </c>
      <c r="DN216" s="411">
        <f t="shared" si="165"/>
        <v>0</v>
      </c>
      <c r="DO216" s="411">
        <f t="shared" si="166"/>
        <v>69.515789473684208</v>
      </c>
      <c r="DP216" s="410">
        <f t="shared" si="167"/>
        <v>0</v>
      </c>
      <c r="DQ216" s="405"/>
      <c r="DR216" s="409"/>
      <c r="DS216" s="420" t="str">
        <f t="shared" si="133"/>
        <v xml:space="preserve"> - </v>
      </c>
      <c r="DT216" s="409"/>
      <c r="DU216" s="411">
        <f>IF(DT216=0,0,IF($LB216=70%,VLOOKUP($DS216,'Jan-2026 rates'!$L:$R,4,0),IF($LB216=65%,VLOOKUP($DS216,'Jan-2026 rates'!$L:$R,4,0),IF($LB216=40%,VLOOKUP($DS216,'Jan-2026 rates'!$L:$R,5,0),IF($LB216=30%,VLOOKUP($DS216,'Jan-2026 rates'!$L:$R,6,0),IF($LB216=100%,VLOOKUP($DS216,'Jan-2026 rates'!$L:$R,7,0),IF($LB216=60%,VLOOKUP($DS216,'Jan-2026 rates'!$L:$S,8,0),IF($LB216=80%,VLOOKUP($DS216,'Jan-2026 rates'!L:T,9,0),0))))))))</f>
        <v>0</v>
      </c>
      <c r="DV216" s="412"/>
      <c r="DW216" s="409"/>
      <c r="DX216" s="411">
        <f>IF(DW216=0,0,IF($LB216=70%,VLOOKUP($DS216,'Jan-2026 rates'!$L:$R,4,0),IF($LB216=65%,VLOOKUP($DS216,'Jan-2026 rates'!$L:$R,4,0),IF($LB216=40%,VLOOKUP($DS216,'Jan-2026 rates'!$L:$R,5,0),IF($LB216=30%,VLOOKUP($DS216,'Jan-2026 rates'!$L:$R,6,0),IF($LB216=100%,VLOOKUP($DS216,'Jan-2026 rates'!$L:$R,7,0),IF($LB216=60%,VLOOKUP($DS216,'Jan-2026 rates'!$L:$S,8,0),IF($LB216=80%,VLOOKUP($DS216,'Jan-2026 rates'!L:T,9,0),0))))))))</f>
        <v>0</v>
      </c>
      <c r="DY216" s="413"/>
      <c r="DZ216" s="413"/>
      <c r="EA216" s="412"/>
      <c r="EB216" s="412"/>
      <c r="EC216" s="412"/>
      <c r="ED216" s="412"/>
      <c r="EE216" s="412"/>
      <c r="EF216" s="412"/>
      <c r="EG216" s="409"/>
      <c r="EH216" s="398">
        <f>IF(EG216=0,0,IF(LEN(DY216)=11,_xlfn.XLOOKUP(DY216,'Dispensed Ink Rates'!C:C,'Dispensed Ink Rates'!CS:CS),VLOOKUP(DY216,'Jan-2026 rates'!$E:$F,2,0)))</f>
        <v>0</v>
      </c>
      <c r="EI216" s="409"/>
      <c r="EJ216" s="398">
        <f>IF(EI216=0,0,IF(LEN(DZ216)=11,_xlfn.XLOOKUP(DZ216,'Dispensed Ink Rates'!C:C,'Dispensed Ink Rates'!CS:CS),VLOOKUP(DZ216,'Jan-2026 rates'!$E:$F,2,0)))</f>
        <v>0</v>
      </c>
      <c r="EK216" s="409"/>
      <c r="EL216" s="398">
        <f>IF(EK216=0,0,IF(LEN(EA216)=11,_xlfn.XLOOKUP(EA216,'Dispensed Ink Rates'!C:C,'Dispensed Ink Rates'!CS:CS),VLOOKUP(EA216,'Jan-2026 rates'!$E:$F,2,0)))</f>
        <v>0</v>
      </c>
      <c r="EM216" s="409"/>
      <c r="EN216" s="398">
        <f>IF(EM216=0,0,IF(LEN(EB216)=11,_xlfn.XLOOKUP(EB216,'Dispensed Ink Rates'!C:C,'Dispensed Ink Rates'!CS:CS),VLOOKUP(EB216,'Jan-2026 rates'!$E:$F,2,0)))</f>
        <v>0</v>
      </c>
      <c r="EO216" s="409"/>
      <c r="EP216" s="398">
        <f>IF(EO216=0,0,IF(LEN(EC216)=11,_xlfn.XLOOKUP(EC216,'Dispensed Ink Rates'!C:C,'Dispensed Ink Rates'!CS:CS),VLOOKUP(EC216,'Jan-2026 rates'!$E:$F,2,0)))</f>
        <v>0</v>
      </c>
      <c r="EQ216" s="409"/>
      <c r="ER216" s="398">
        <f>IF(EQ216=0,0,IF(LEN(ED216)=11,_xlfn.XLOOKUP(ED216,'Dispensed Ink Rates'!C:C,'Dispensed Ink Rates'!CS:CS),VLOOKUP(ED216,'Jan-2026 rates'!$E:$F,2,0)))</f>
        <v>0</v>
      </c>
      <c r="ES216" s="409"/>
      <c r="ET216" s="398">
        <f>IF(ES216=0,0,IF(LEN(EE216)=11,_xlfn.XLOOKUP(EE216,'Dispensed Ink Rates'!C:C,'Dispensed Ink Rates'!CS:CS),VLOOKUP(EE216,'Jan-2026 rates'!$E:$F,2,0)))</f>
        <v>0</v>
      </c>
      <c r="EU216" s="409"/>
      <c r="EV216" s="398">
        <f>IF(EU216=0,0,IF(LEN(EF216)=11,_xlfn.XLOOKUP(EF216,'Dispensed Ink Rates'!C:C,'Dispensed Ink Rates'!CS:CS),VLOOKUP(EF216,'Jan-2026 rates'!$E:$F,2,0)))</f>
        <v>0</v>
      </c>
      <c r="EW216" s="409"/>
      <c r="EX216" s="409"/>
      <c r="EY216" s="411">
        <f t="shared" si="168"/>
        <v>0</v>
      </c>
      <c r="EZ216" s="411">
        <f t="shared" si="169"/>
        <v>0</v>
      </c>
      <c r="FA216" s="410">
        <f t="shared" si="170"/>
        <v>0</v>
      </c>
      <c r="FB216" s="405"/>
      <c r="FC216" s="409"/>
      <c r="FD216" s="420" t="str">
        <f t="shared" si="134"/>
        <v xml:space="preserve"> - </v>
      </c>
      <c r="FE216" s="409"/>
      <c r="FF216" s="411">
        <f>IF(FE216=0,0,IF($LB216=70%,VLOOKUP($FD216,'Jan-2026 rates'!$L:$R,4,0),IF($LB216=65%,VLOOKUP($FD216,'Jan-2026 rates'!$L:$R,4,0),IF($LB216=40%,VLOOKUP($FD216,'Jan-2026 rates'!$L:$R,5,0),IF($LB216=30%,VLOOKUP($FD216,'Jan-2026 rates'!$L:$R,6,0),IF($LB216=100%,VLOOKUP($FD216,'Jan-2026 rates'!$L:$R,7,0),IF($LB216=60%,VLOOKUP($FD216,'Jan-2026 rates'!$L:$S,8,0),IF($LB216=80%,VLOOKUP($FD216,'Jan-2026 rates'!L:T,9,0),0))))))))</f>
        <v>0</v>
      </c>
      <c r="FG216" s="412"/>
      <c r="FH216" s="409"/>
      <c r="FI216" s="411">
        <f>IF(FH216=0,0,IF($LB216=70%,VLOOKUP($FD216,'Jan-2026 rates'!$L:$R,4,0),IF($LB216=65%,VLOOKUP($FD216,'Jan-2026 rates'!$L:$R,4,0),IF($LB216=40%,VLOOKUP($FD216,'Jan-2026 rates'!$L:$R,5,0),IF($LB216=30%,VLOOKUP($FD216,'Jan-2026 rates'!$L:$R,6,0),IF($LB216=100%,VLOOKUP($FD216,'Jan-2026 rates'!$L:$R,7,0),IF($LB216=60%,VLOOKUP($FD216,'Jan-2026 rates'!$L:$S,8,0),IF($LB216=80%,VLOOKUP($FD216,'Jan-2026 rates'!L:T,9,0),0))))))))</f>
        <v>0</v>
      </c>
      <c r="FJ216" s="413"/>
      <c r="FK216" s="413"/>
      <c r="FL216" s="413"/>
      <c r="FM216" s="412"/>
      <c r="FN216" s="412"/>
      <c r="FO216" s="412"/>
      <c r="FP216" s="412"/>
      <c r="FQ216" s="412"/>
      <c r="FR216" s="409"/>
      <c r="FS216" s="398">
        <f>IF(FR216=0,0,IF(LEN(FJ216)=11,_xlfn.XLOOKUP(FJ216,'Dispensed Ink Rates'!C:C,'Dispensed Ink Rates'!CS:CS),VLOOKUP(FJ216,'Jan-2026 rates'!$E:$F,2,0)))</f>
        <v>0</v>
      </c>
      <c r="FT216" s="409"/>
      <c r="FU216" s="398">
        <f>IF(FT216=0,0,IF(LEN(FK216)=11,_xlfn.XLOOKUP(FK216,'Dispensed Ink Rates'!C:C,'Dispensed Ink Rates'!CS:CS),VLOOKUP(FK216,'Jan-2026 rates'!$E:$F,2,0)))</f>
        <v>0</v>
      </c>
      <c r="FV216" s="409"/>
      <c r="FW216" s="398">
        <f>IF(FV216=0,0,IF(LEN(FL216)=11,_xlfn.XLOOKUP(FL216,'Dispensed Ink Rates'!C:C,'Dispensed Ink Rates'!CS:CS),VLOOKUP(FL216,'Jan-2026 rates'!$E:$F,2,0)))</f>
        <v>0</v>
      </c>
      <c r="FX216" s="409"/>
      <c r="FY216" s="398">
        <f>IF(FX216=0,0,IF(LEN(FM216)=11,_xlfn.XLOOKUP(FM216,'Dispensed Ink Rates'!C:C,'Dispensed Ink Rates'!CS:CS),VLOOKUP(FM216,'Jan-2026 rates'!$E:$F,2,0)))</f>
        <v>0</v>
      </c>
      <c r="FZ216" s="409"/>
      <c r="GA216" s="398">
        <f>IF(FZ216=0,0,IF(LEN(FN216)=11,_xlfn.XLOOKUP(FN216,'Dispensed Ink Rates'!C:C,'Dispensed Ink Rates'!CS:CS),VLOOKUP(FN216,'Jan-2026 rates'!$E:$F,2,0)))</f>
        <v>0</v>
      </c>
      <c r="GB216" s="409"/>
      <c r="GC216" s="398">
        <f>IF(GB216=0,0,IF(LEN(FO216)=11,_xlfn.XLOOKUP(FO216,'Dispensed Ink Rates'!C:C,'Dispensed Ink Rates'!CS:CS),VLOOKUP(FO216,'Jan-2026 rates'!$E:$F,2,0)))</f>
        <v>0</v>
      </c>
      <c r="GD216" s="409"/>
      <c r="GE216" s="398">
        <f>IF(GD216=0,0,IF(LEN(FP216)=11,_xlfn.XLOOKUP(FP216,'Dispensed Ink Rates'!C:C,'Dispensed Ink Rates'!CS:CS),VLOOKUP(FP216,'Jan-2026 rates'!$E:$F,2,0)))</f>
        <v>0</v>
      </c>
      <c r="GF216" s="409"/>
      <c r="GG216" s="398">
        <f>IF(GF216=0,0,IF(LEN(FQ216)=11,_xlfn.XLOOKUP(FQ216,'Dispensed Ink Rates'!C:C,'Dispensed Ink Rates'!CS:CS),VLOOKUP(FQ216,'Jan-2026 rates'!$E:$F,2,0)))</f>
        <v>0</v>
      </c>
      <c r="GH216" s="409"/>
      <c r="GI216" s="409"/>
      <c r="GJ216" s="411">
        <f t="shared" si="171"/>
        <v>0</v>
      </c>
      <c r="GK216" s="411">
        <f t="shared" si="172"/>
        <v>0</v>
      </c>
      <c r="GL216" s="410">
        <f t="shared" si="173"/>
        <v>0</v>
      </c>
      <c r="GM216" s="405"/>
      <c r="GN216" s="409"/>
      <c r="GO216" s="420" t="str">
        <f t="shared" si="135"/>
        <v xml:space="preserve"> - </v>
      </c>
      <c r="GP216" s="409"/>
      <c r="GQ216" s="411">
        <f>IF(GP216=0,0,IF($LB216=70%,VLOOKUP($GO216,'Jan-2026 rates'!$L:$R,4,0),IF($LB216=65%,VLOOKUP($GO216,'Jan-2026 rates'!$L:$R,4,0),IF($LB216=40%,VLOOKUP($GO216,'Jan-2026 rates'!$L:$R,5,0),IF($LB216=30%,VLOOKUP($GO216,'Jan-2026 rates'!$L:$R,6,0),IF($LB216=100%,VLOOKUP($GO216,'Jan-2026 rates'!$L:$R,7,0),IF($LB216=60%,VLOOKUP($GO216,'Jan-2026 rates'!$L:$S,8,0),IF($LB216=80%,VLOOKUP($GO216,'Jan-2026 rates'!L:T,9,0),0))))))))</f>
        <v>0</v>
      </c>
      <c r="GR216" s="412"/>
      <c r="GS216" s="409"/>
      <c r="GT216" s="411">
        <f>IF(GS216=0,0,IF($LB216=70%,VLOOKUP($GO216,'Jan-2026 rates'!$L:$R,4,0),IF($LB216=65%,VLOOKUP($GO216,'Jan-2026 rates'!$L:$R,4,0),IF($LB216=40%,VLOOKUP($GO216,'Jan-2026 rates'!$L:$R,5,0),IF($LB216=30%,VLOOKUP($GO216,'Jan-2026 rates'!$L:$R,6,0),IF($LB216=100%,VLOOKUP($GO216,'Jan-2026 rates'!$L:$R,7,0),IF($LB216=60%,VLOOKUP($GO216,'Jan-2026 rates'!$L:$S,8,0),IF($LB216=80%,VLOOKUP($GO216,'Jan-2026 rates'!L:T,9,0),0))))))))</f>
        <v>0</v>
      </c>
      <c r="GU216" s="413"/>
      <c r="GV216" s="413"/>
      <c r="GW216" s="412"/>
      <c r="GX216" s="412"/>
      <c r="GY216" s="412"/>
      <c r="GZ216" s="412"/>
      <c r="HA216" s="412"/>
      <c r="HB216" s="412"/>
      <c r="HC216" s="409"/>
      <c r="HD216" s="398">
        <f>IF(HC216=0,0,IF(LEN(GU216)=11,_xlfn.XLOOKUP(GU216,'Dispensed Ink Rates'!C:C,'Dispensed Ink Rates'!CS:CS),VLOOKUP(GU216,'Jan-2026 rates'!$E:$F,2,0)))</f>
        <v>0</v>
      </c>
      <c r="HE216" s="409"/>
      <c r="HF216" s="398">
        <f>IF(HE216=0,0,IF(LEN(GV216)=11,_xlfn.XLOOKUP(GV216,'Dispensed Ink Rates'!C:C,'Dispensed Ink Rates'!CS:CS),VLOOKUP(GV216,'Jan-2026 rates'!$E:$F,2,0)))</f>
        <v>0</v>
      </c>
      <c r="HG216" s="409"/>
      <c r="HH216" s="398">
        <f>IF(HG216=0,0,IF(LEN(GW216)=11,_xlfn.XLOOKUP(GW216,'Dispensed Ink Rates'!C:C,'Dispensed Ink Rates'!CS:CS),VLOOKUP(GW216,'Jan-2026 rates'!$E:$F,2,0)))</f>
        <v>0</v>
      </c>
      <c r="HI216" s="409"/>
      <c r="HJ216" s="398">
        <f>IF(HI216=0,0,IF(LEN(GX216)=11,_xlfn.XLOOKUP(GX216,'Dispensed Ink Rates'!C:C,'Dispensed Ink Rates'!CS:CS),VLOOKUP(GX216,'Jan-2026 rates'!$E:$F,2,0)))</f>
        <v>0</v>
      </c>
      <c r="HK216" s="409"/>
      <c r="HL216" s="398">
        <f>IF(HK216=0,0,IF(LEN(GY216)=11,_xlfn.XLOOKUP(GY216,'Dispensed Ink Rates'!C:C,'Dispensed Ink Rates'!CS:CS),VLOOKUP(GY216,'Jan-2026 rates'!$E:$F,2,0)))</f>
        <v>0</v>
      </c>
      <c r="HM216" s="409"/>
      <c r="HN216" s="398">
        <f>IF(HM216=0,0,IF(LEN(GZ216)=11,_xlfn.XLOOKUP(GZ216,'Dispensed Ink Rates'!C:C,'Dispensed Ink Rates'!CS:CS),VLOOKUP(GZ216,'Jan-2026 rates'!$E:$F,2,0)))</f>
        <v>0</v>
      </c>
      <c r="HO216" s="409"/>
      <c r="HP216" s="398">
        <f>IF(HO216=0,0,IF(LEN(HA216)=11,_xlfn.XLOOKUP(HA216,'Dispensed Ink Rates'!C:C,'Dispensed Ink Rates'!CS:CS),VLOOKUP(HA216,'Jan-2026 rates'!$E:$F,2,0)))</f>
        <v>0</v>
      </c>
      <c r="HQ216" s="409"/>
      <c r="HR216" s="398">
        <f>IF(HQ216=0,0,IF(LEN(HB216)=11,_xlfn.XLOOKUP(HB216,'Dispensed Ink Rates'!C:C,'Dispensed Ink Rates'!CS:CS),VLOOKUP(HB216,'Jan-2026 rates'!$E:$F,2,0)))</f>
        <v>0</v>
      </c>
      <c r="HS216" s="409"/>
      <c r="HT216" s="409"/>
      <c r="HU216" s="411">
        <f t="shared" si="174"/>
        <v>0</v>
      </c>
      <c r="HV216" s="411">
        <f t="shared" si="175"/>
        <v>0</v>
      </c>
      <c r="HW216" s="414">
        <f t="shared" si="176"/>
        <v>0</v>
      </c>
      <c r="HX216" s="405"/>
      <c r="HY216" s="409"/>
      <c r="HZ216" s="420" t="str">
        <f t="shared" si="136"/>
        <v xml:space="preserve"> - </v>
      </c>
      <c r="IA216" s="409"/>
      <c r="IB216" s="411">
        <f>IF(IA216=0,0,IF($LB216=70%,VLOOKUP($HZ216,'Jan-2026 rates'!$L:$R,4,0),IF($LB216=65%,VLOOKUP($HZ216,'Jan-2026 rates'!$L:$R,4,0),IF($LB216=40%,VLOOKUP($HZ216,'Jan-2026 rates'!$L:$R,5,0),IF($LB216=30%,VLOOKUP($HZ216,'Jan-2026 rates'!$L:$R,6,0),IF($LB216=100%,VLOOKUP($HZ216,'Jan-2026 rates'!$L:$R,7,0),IF($LB216=60%,VLOOKUP($HZ216,'Jan-2026 rates'!$L:$S,8,0),IF($LB216=80%,VLOOKUP($HZ216,'Jan-2026 rates'!L:T,9,0),0))))))))</f>
        <v>0</v>
      </c>
      <c r="IC216" s="412"/>
      <c r="ID216" s="409"/>
      <c r="IE216" s="411">
        <f>IF(ID216=0,0,IF($LB216=70%,VLOOKUP($HZ216,'Jan-2026 rates'!$L:$R,4,0),IF($LB216=65%,VLOOKUP($HZ216,'Jan-2026 rates'!$L:$R,4,0),IF($LB216=40%,VLOOKUP($HZ216,'Jan-2026 rates'!$L:$R,5,0),IF($LB216=30%,VLOOKUP($HZ216,'Jan-2026 rates'!$L:$R,6,0),IF($LB216=100%,VLOOKUP($HZ216,'Jan-2026 rates'!$L:$R,7,0),IF($LB216=60%,VLOOKUP($HZ216,'Jan-2026 rates'!$L:$S,8,0),IF($LB216=80%,VLOOKUP($HZ216,'Jan-2026 rates'!L:T,9,0),0))))))))</f>
        <v>0</v>
      </c>
      <c r="IF216" s="412"/>
      <c r="IG216" s="413"/>
      <c r="IH216" s="412"/>
      <c r="II216" s="412"/>
      <c r="IJ216" s="412"/>
      <c r="IK216" s="412"/>
      <c r="IL216" s="412"/>
      <c r="IM216" s="412"/>
      <c r="IN216" s="409"/>
      <c r="IO216" s="398">
        <f>IF(IN216=0,0,IF(LEN(IF216)=11,_xlfn.XLOOKUP(IF216,'Dispensed Ink Rates'!C:C,'Dispensed Ink Rates'!CS:CS),VLOOKUP(IF216,'Jan-2026 rates'!$E:$F,2,0)))</f>
        <v>0</v>
      </c>
      <c r="IP216" s="409"/>
      <c r="IQ216" s="398">
        <f>IF(IP216=0,0,IF(LEN(IG216)=11,_xlfn.XLOOKUP(IG216,'Dispensed Ink Rates'!C:C,'Dispensed Ink Rates'!CS:CS),VLOOKUP(IG216,'Jan-2026 rates'!$E:$F,2,0)))</f>
        <v>0</v>
      </c>
      <c r="IR216" s="409"/>
      <c r="IS216" s="398">
        <f>IF(IR216=0,0,IF(LEN(IH216)=11,_xlfn.XLOOKUP(IH216,'Dispensed Ink Rates'!C:C,'Dispensed Ink Rates'!CS:CS),VLOOKUP(IH216,'Jan-2026 rates'!$E:$F,2,0)))</f>
        <v>0</v>
      </c>
      <c r="IT216" s="409"/>
      <c r="IU216" s="398">
        <f>IF(IT216=0,0,IF(LEN(II216)=11,_xlfn.XLOOKUP(II216,'Dispensed Ink Rates'!C:C,'Dispensed Ink Rates'!CS:CS),VLOOKUP(II216,'Jan-2026 rates'!$E:$F,2,0)))</f>
        <v>0</v>
      </c>
      <c r="IV216" s="409"/>
      <c r="IW216" s="398">
        <f>IF(IV216=0,0,IF(LEN(IJ216)=11,_xlfn.XLOOKUP(IJ216,'Dispensed Ink Rates'!C:C,'Dispensed Ink Rates'!CS:CS),VLOOKUP(IJ216,'Jan-2026 rates'!$E:$F,2,0)))</f>
        <v>0</v>
      </c>
      <c r="IX216" s="409"/>
      <c r="IY216" s="398">
        <f>IF(IX216=0,0,IF(LEN(IK216)=11,_xlfn.XLOOKUP(IK216,'Dispensed Ink Rates'!C:C,'Dispensed Ink Rates'!CS:CS),VLOOKUP(IK216,'Jan-2026 rates'!$E:$F,2,0)))</f>
        <v>0</v>
      </c>
      <c r="IZ216" s="409"/>
      <c r="JA216" s="398">
        <f>IF(IZ216=0,0,IF(LEN(IL216)=11,_xlfn.XLOOKUP(IL216,'Dispensed Ink Rates'!C:C,'Dispensed Ink Rates'!CS:CS),VLOOKUP(IL216,'Jan-2026 rates'!$E:$F,2,0)))</f>
        <v>0</v>
      </c>
      <c r="JB216" s="409"/>
      <c r="JC216" s="398">
        <f>IF(JB216=0,0,IF(LEN(IM216)=11,_xlfn.XLOOKUP(IM216,'Dispensed Ink Rates'!C:C,'Dispensed Ink Rates'!CS:CS),VLOOKUP(IM216,'Jan-2026 rates'!$E:$F,2,0)))</f>
        <v>0</v>
      </c>
      <c r="JD216" s="409"/>
      <c r="JE216" s="409"/>
      <c r="JF216" s="411">
        <f t="shared" si="177"/>
        <v>0</v>
      </c>
      <c r="JG216" s="411">
        <f t="shared" si="178"/>
        <v>0</v>
      </c>
      <c r="JH216" s="410">
        <f t="shared" si="179"/>
        <v>0</v>
      </c>
      <c r="JI216" s="405"/>
      <c r="JJ216" s="409"/>
      <c r="JK216" s="420" t="str">
        <f t="shared" si="137"/>
        <v xml:space="preserve"> - </v>
      </c>
      <c r="JL216" s="409"/>
      <c r="JM216" s="411">
        <f>IF(JL216=0,0,IF($LB216=70%,VLOOKUP($JK216,'Jan-2026 rates'!$L:$R,4,0),IF($LB216=65%,VLOOKUP($JK216,'Jan-2026 rates'!$L:$R,4,0),IF($LB216=40%,VLOOKUP($JK216,'Jan-2026 rates'!$L:$R,5,0),IF($LB216=30%,VLOOKUP($JK216,'Jan-2026 rates'!$L:$R,6,0),IF($LB216=100%,VLOOKUP($JK216,'Jan-2026 rates'!$L:$R,7,0),IF($LB216=60%,VLOOKUP($JK216,'Jan-2026 rates'!$L:$S,8,0),IF($LB216=80%,VLOOKUP($JK216,'Jan-2026 rates'!L:T,9,0),0))))))))</f>
        <v>0</v>
      </c>
      <c r="JN216" s="412"/>
      <c r="JO216" s="409"/>
      <c r="JP216" s="411">
        <f>IF(JO216=0,0,IF($LB216=70%,VLOOKUP($JK216,'Jan-2026 rates'!$L:$R,4,0),IF($LB216=65%,VLOOKUP($JK216,'Jan-2026 rates'!$L:$R,4,0),IF($LB216=40%,VLOOKUP($JK216,'Jan-2026 rates'!$L:$R,5,0),IF($LB216=30%,VLOOKUP($JK216,'Jan-2026 rates'!$L:$R,6,0),IF($LB216=100%,VLOOKUP($JK216,'Jan-2026 rates'!$L:$R,7,0),IF($LB216=60%,VLOOKUP($JK216,'Jan-2026 rates'!$L:$S,8,0),IF($LB216=80%,VLOOKUP($JK216,'Jan-2026 rates'!L:T,9,0),0))))))))</f>
        <v>0</v>
      </c>
      <c r="JQ216" s="413"/>
      <c r="JR216" s="412"/>
      <c r="JS216" s="413"/>
      <c r="JT216" s="413"/>
      <c r="JU216" s="412"/>
      <c r="JV216" s="412"/>
      <c r="JW216" s="412"/>
      <c r="JX216" s="412"/>
      <c r="JY216" s="409"/>
      <c r="JZ216" s="398">
        <f>IF(JY216=0,0,IF(LEN(JQ216)=11,_xlfn.XLOOKUP(JQ216,'Dispensed Ink Rates'!C:C,'Dispensed Ink Rates'!CS:CS),VLOOKUP(JQ216,'Jan-2026 rates'!$E:$F,2,0)))</f>
        <v>0</v>
      </c>
      <c r="KA216" s="409"/>
      <c r="KB216" s="398">
        <f>IF(KA216=0,0,IF(LEN(JR216)=11,_xlfn.XLOOKUP(JR216,'Dispensed Ink Rates'!C:C,'Dispensed Ink Rates'!CS:CS),VLOOKUP(JR216,'Jan-2026 rates'!$E:$F,2,0)))</f>
        <v>0</v>
      </c>
      <c r="KC216" s="409"/>
      <c r="KD216" s="398">
        <f>IF(KC216=0,0,IF(LEN(JS216)=11,_xlfn.XLOOKUP(JS216,'Dispensed Ink Rates'!C:C,'Dispensed Ink Rates'!CS:CS),VLOOKUP(JS216,'Jan-2026 rates'!$E:$F,2,0)))</f>
        <v>0</v>
      </c>
      <c r="KE216" s="409"/>
      <c r="KF216" s="398">
        <f>IF(KE216=0,0,IF(LEN(JT216)=11,_xlfn.XLOOKUP(JT216,'Dispensed Ink Rates'!C:C,'Dispensed Ink Rates'!CS:CS),VLOOKUP(JT216,'Jan-2026 rates'!$E:$F,2,0)))</f>
        <v>0</v>
      </c>
      <c r="KG216" s="409"/>
      <c r="KH216" s="398">
        <f>IF(KG216=0,0,IF(LEN(JU216)=11,_xlfn.XLOOKUP(JU216,'Dispensed Ink Rates'!C:C,'Dispensed Ink Rates'!CS:CS),VLOOKUP(JU216,'Jan-2026 rates'!$E:$F,2,0)))</f>
        <v>0</v>
      </c>
      <c r="KI216" s="409"/>
      <c r="KJ216" s="398">
        <f>IF(KI216=0,0,IF(LEN(JV216)=11,_xlfn.XLOOKUP(JV216,'Dispensed Ink Rates'!C:C,'Dispensed Ink Rates'!CS:CS),VLOOKUP(JV216,'Jan-2026 rates'!$E:$F,2,0)))</f>
        <v>0</v>
      </c>
      <c r="KK216" s="409"/>
      <c r="KL216" s="398">
        <f>IF(KK216=0,0,IF(LEN(JW216)=11,_xlfn.XLOOKUP(JW216,'Dispensed Ink Rates'!C:C,'Dispensed Ink Rates'!CS:CS),VLOOKUP(JW216,'Jan-2026 rates'!$E:$F,2,0)))</f>
        <v>0</v>
      </c>
      <c r="KM216" s="428"/>
      <c r="KN216" s="398">
        <f>IF(KM216=0,0,IF(LEN(JX216)=11,_xlfn.XLOOKUP(JX216,'Dispensed Ink Rates'!C:C,'Dispensed Ink Rates'!CS:CS),VLOOKUP(JX216,'Jan-2026 rates'!$E:$F,2,0)))</f>
        <v>0</v>
      </c>
      <c r="KO216" s="409"/>
      <c r="KP216" s="409"/>
      <c r="KQ216" s="411">
        <f t="shared" si="180"/>
        <v>0</v>
      </c>
      <c r="KR216" s="411">
        <f t="shared" si="181"/>
        <v>0</v>
      </c>
      <c r="KS216" s="410">
        <f t="shared" si="182"/>
        <v>0</v>
      </c>
      <c r="KT216" s="409">
        <v>5</v>
      </c>
      <c r="KU216" s="409">
        <v>4</v>
      </c>
      <c r="KV216" s="409">
        <v>10</v>
      </c>
      <c r="KW216" s="409">
        <v>0</v>
      </c>
      <c r="KX216" s="409">
        <v>0</v>
      </c>
      <c r="KY216" s="409">
        <v>0</v>
      </c>
      <c r="KZ216" s="409">
        <v>0</v>
      </c>
      <c r="LA216" s="409">
        <v>0</v>
      </c>
      <c r="LB216" s="415">
        <v>0.8</v>
      </c>
      <c r="LC216" s="415">
        <v>0.2</v>
      </c>
      <c r="LD216" s="415"/>
      <c r="LE216" s="415"/>
      <c r="LF216" s="415"/>
      <c r="LG216" s="409">
        <v>0</v>
      </c>
      <c r="LH216" s="409">
        <f>19+19+40+10</f>
        <v>88</v>
      </c>
      <c r="LI216" s="409">
        <v>0</v>
      </c>
      <c r="LJ216" s="409">
        <v>0</v>
      </c>
      <c r="LK216" s="416">
        <f t="shared" si="138"/>
        <v>88</v>
      </c>
      <c r="LL216" s="416">
        <f t="shared" si="139"/>
        <v>88</v>
      </c>
      <c r="LM216" s="417">
        <f t="shared" si="140"/>
        <v>70.400000000000006</v>
      </c>
      <c r="LN216" s="417">
        <f>VLOOKUP($LM$8,'Jan-2026 rates'!$H:$I,2,0)</f>
        <v>0</v>
      </c>
      <c r="LO216" s="417">
        <f t="shared" si="141"/>
        <v>17.600000000000001</v>
      </c>
      <c r="LP216" s="417">
        <f>VLOOKUP($LO$8,'Jan-2026 rates'!$H:$I,2,0)</f>
        <v>0</v>
      </c>
      <c r="LQ216" s="417">
        <f t="shared" si="142"/>
        <v>0</v>
      </c>
      <c r="LR216" s="417">
        <f>VLOOKUP($LQ$8,'Jan-2026 rates'!$H:$I,2,0)</f>
        <v>0</v>
      </c>
      <c r="LS216" s="417">
        <f t="shared" si="143"/>
        <v>0</v>
      </c>
      <c r="LT216" s="417">
        <f>VLOOKUP($LS$8,'Jan-2026 rates'!$H:$I,2,0)</f>
        <v>0</v>
      </c>
      <c r="LU216" s="417">
        <f t="shared" si="144"/>
        <v>0</v>
      </c>
      <c r="LV216" s="417">
        <f>VLOOKUP($LU$8,'Jan-2026 rates'!$H:$I,2,0)</f>
        <v>0</v>
      </c>
      <c r="LW216" s="417">
        <f t="shared" si="145"/>
        <v>0</v>
      </c>
      <c r="LX216" s="417">
        <f t="shared" si="146"/>
        <v>0</v>
      </c>
      <c r="LY216" s="418">
        <f t="shared" si="147"/>
        <v>0</v>
      </c>
      <c r="LZ216" s="417"/>
      <c r="MA216" s="435">
        <f t="shared" si="148"/>
        <v>22.2</v>
      </c>
      <c r="MB216" s="282">
        <f t="shared" si="149"/>
        <v>127.19999999999999</v>
      </c>
      <c r="MC216" s="283">
        <v>109</v>
      </c>
      <c r="MD216" s="284" t="str">
        <f t="shared" si="150"/>
        <v>FLINTSLFLINTSLFLINTSL</v>
      </c>
      <c r="ME216" s="293" t="str">
        <f t="shared" si="151"/>
        <v>+</v>
      </c>
      <c r="MF216" s="293" t="str">
        <f t="shared" si="152"/>
        <v>+</v>
      </c>
      <c r="MG216" s="293" t="str">
        <f t="shared" si="153"/>
        <v>+</v>
      </c>
      <c r="MH216" s="293" t="str">
        <f t="shared" si="154"/>
        <v>NIL</v>
      </c>
      <c r="MI216" s="293" t="str">
        <f t="shared" si="155"/>
        <v>NIL</v>
      </c>
      <c r="MJ216" s="293" t="str">
        <f t="shared" si="156"/>
        <v>NIL</v>
      </c>
      <c r="MK216" s="293" t="str">
        <f t="shared" si="157"/>
        <v>NIL</v>
      </c>
      <c r="ML216" s="293" t="str">
        <f t="shared" si="158"/>
        <v>NIL</v>
      </c>
      <c r="MM216" s="3" t="b">
        <f t="array" ref="MM216">OR(ME216:ML216="-")</f>
        <v>0</v>
      </c>
      <c r="MN216" s="285"/>
      <c r="MO216" s="401"/>
      <c r="MP216" s="286"/>
      <c r="MQ216" s="286"/>
      <c r="MR216" s="402"/>
      <c r="MS216" s="400"/>
      <c r="NH216" s="422"/>
      <c r="NJ216" s="421"/>
    </row>
    <row r="217" spans="1:374" s="1" customFormat="1" ht="16.5">
      <c r="A217" s="403">
        <v>46037</v>
      </c>
      <c r="B217" s="404" t="s">
        <v>1018</v>
      </c>
      <c r="C217" s="405" t="s">
        <v>3356</v>
      </c>
      <c r="D217" s="406">
        <v>110</v>
      </c>
      <c r="E217" s="404">
        <v>852</v>
      </c>
      <c r="F217" s="407">
        <v>15700</v>
      </c>
      <c r="G217" s="407" t="s">
        <v>1019</v>
      </c>
      <c r="H217" s="408" t="s">
        <v>1017</v>
      </c>
      <c r="I217" s="409">
        <v>1.76</v>
      </c>
      <c r="J217" s="405" t="s">
        <v>543</v>
      </c>
      <c r="K217" s="404" t="s">
        <v>3839</v>
      </c>
      <c r="L217" s="419" t="str">
        <f t="shared" si="131"/>
        <v>FLINTSL - BLACK</v>
      </c>
      <c r="M217" s="404">
        <v>24</v>
      </c>
      <c r="N217" s="410">
        <f>IF(M217=0,0,IF($LB217=70%,VLOOKUP($L217,'Jan-2026 rates'!$L:$R,4,0),IF($LB217=65%,VLOOKUP($L217,'Jan-2026 rates'!$L:$R,4,0),IF($LB217=40%,VLOOKUP($L217,'Jan-2026 rates'!$L:$R,5,0),IF($LB217=30%,VLOOKUP($L217,'Jan-2026 rates'!$L:$R,6,0),IF($LB217=100%,VLOOKUP($L217,'Jan-2026 rates'!$L:$R,7,0),IF($LB217=60%,VLOOKUP($L217,'Jan-2026 rates'!$L:$S,8,0),IF($LB217=80%,VLOOKUP($L217,'Jan-2026 rates'!L:T,9,0),0))))))))</f>
        <v>0</v>
      </c>
      <c r="O217" s="406"/>
      <c r="P217" s="404"/>
      <c r="Q217" s="410">
        <f>IF(P217=0,0,IF($LB217=70%,VLOOKUP($L217,'Jan-2026 rates'!$L:$R,4,0),IF($LB217=65%,VLOOKUP($L217,'Jan-2026 rates'!$L:$R,4,0),IF($LB217=40%,VLOOKUP($L217,'Jan-2026 rates'!$L:$R,5,0),IF($LB217=30%,VLOOKUP($L217,'Jan-2026 rates'!$L:$R,6,0),IF($LB217=100%,VLOOKUP($L217,'Jan-2026 rates'!$L:$R,7,0),IF($LB217=60%,VLOOKUP($L217,'Jan-2026 rates'!$L:$S,8,0),IF($LB217=80%,VLOOKUP($L217,'Jan-2026 rates'!L:T,9,0),0))))))))</f>
        <v>0</v>
      </c>
      <c r="R217" s="406">
        <v>26520000005</v>
      </c>
      <c r="S217" s="406"/>
      <c r="T217" s="406"/>
      <c r="U217" s="406"/>
      <c r="V217" s="406"/>
      <c r="W217" s="406"/>
      <c r="X217" s="406"/>
      <c r="Y217" s="406"/>
      <c r="Z217" s="404">
        <v>5</v>
      </c>
      <c r="AA217" s="398" t="e">
        <f>IF(Z217=0,0,IF(LEN(R217)=11,_xlfn.XLOOKUP(R217,'Dispensed Ink Rates'!C:C,'Dispensed Ink Rates'!CS:CS),VLOOKUP(R217,'Jan-2026 rates'!$E:$F,2,0)))</f>
        <v>#N/A</v>
      </c>
      <c r="AB217" s="404"/>
      <c r="AC217" s="398">
        <f>IF(AB217=0,0,IF(LEN(S217)=11,_xlfn.XLOOKUP(S217,'Dispensed Ink Rates'!C:C,'Dispensed Ink Rates'!CS:CS),VLOOKUP(S217,'Jan-2026 rates'!$E:$F,2,0)))</f>
        <v>0</v>
      </c>
      <c r="AD217" s="404"/>
      <c r="AE217" s="398">
        <f>IF(AD217=0,0,IF(LEN(T217)=11,_xlfn.XLOOKUP(T217,'Dispensed Ink Rates'!C:C,'Dispensed Ink Rates'!CS:CS),VLOOKUP(T217,'Jan-2026 rates'!$E:$F,2,0)))</f>
        <v>0</v>
      </c>
      <c r="AF217" s="404"/>
      <c r="AG217" s="398">
        <f>IF(AF217=0,0,IF(LEN(U217)=11,_xlfn.XLOOKUP(U217,'Dispensed Ink Rates'!C:C,'Dispensed Ink Rates'!CS:CS),VLOOKUP(U217,'Jan-2026 rates'!$E:$F,2,0)))</f>
        <v>0</v>
      </c>
      <c r="AH217" s="404"/>
      <c r="AI217" s="398">
        <f>IF(AH217=0,0,IF(LEN(V217)=11,_xlfn.XLOOKUP(V217,'Dispensed Ink Rates'!C:C,'Dispensed Ink Rates'!CS:CS),VLOOKUP(V217,'Jan-2026 rates'!$E:$F,2,0)))</f>
        <v>0</v>
      </c>
      <c r="AJ217" s="404"/>
      <c r="AK217" s="398">
        <f>IF(AJ217=0,0,IF(LEN(W217)=11,_xlfn.XLOOKUP(W217,'Dispensed Ink Rates'!C:C,'Dispensed Ink Rates'!CS:CS),VLOOKUP(W217,'Jan-2026 rates'!$E:$F,2,0)))</f>
        <v>0</v>
      </c>
      <c r="AL217" s="404"/>
      <c r="AM217" s="398">
        <f>IF(AL217=0,0,IF(LEN(X217)=11,_xlfn.XLOOKUP(X217,'Dispensed Ink Rates'!C:C,'Dispensed Ink Rates'!CS:CS),VLOOKUP(X217,'Jan-2026 rates'!$E:$F,2,0)))</f>
        <v>0</v>
      </c>
      <c r="AN217" s="404"/>
      <c r="AO217" s="398">
        <f>IF(AN217=0,0,IF(LEN(Y217)=11,_xlfn.XLOOKUP(Y217,'Dispensed Ink Rates'!C:C,'Dispensed Ink Rates'!CS:CS),VLOOKUP(Y217,'Jan-2026 rates'!$E:$F,2,0)))</f>
        <v>0</v>
      </c>
      <c r="AP217" s="409" t="s">
        <v>1443</v>
      </c>
      <c r="AQ217" s="409">
        <v>30</v>
      </c>
      <c r="AR217" s="410">
        <f t="shared" si="159"/>
        <v>0</v>
      </c>
      <c r="AS217" s="411">
        <f t="shared" si="160"/>
        <v>4.7313432835820919</v>
      </c>
      <c r="AT217" s="410">
        <f t="shared" si="161"/>
        <v>0</v>
      </c>
      <c r="AU217" s="405" t="s">
        <v>546</v>
      </c>
      <c r="AV217" s="409" t="s">
        <v>3836</v>
      </c>
      <c r="AW217" s="420" t="str">
        <f t="shared" si="183"/>
        <v>FLINTSL - REFLEX BLUE</v>
      </c>
      <c r="AX217" s="409">
        <v>24</v>
      </c>
      <c r="AY217" s="411">
        <f>IF(AX217=0,0,IF($LB217=70%,VLOOKUP($AW217,'Jan-2026 rates'!$L:$R,4,0),IF($LB217=65%,VLOOKUP($AW217,'Jan-2026 rates'!$L:$R,4,0),IF($LB217=40%,VLOOKUP($AW217,'Jan-2026 rates'!$L:$R,5,0),IF($LB217=30%,VLOOKUP($AW217,'Jan-2026 rates'!$L:$R,6,0),IF($LB217=100%,VLOOKUP($AW217,'Jan-2026 rates'!$L:$R,7,0),IF($LB217=60%,VLOOKUP($AW217,'Jan-2026 rates'!$L:$S,8,0),IF($LB217=80%,VLOOKUP($AW217,'Jan-2026 rates'!L:T,9,0),0))))))))</f>
        <v>0</v>
      </c>
      <c r="AZ217" s="412"/>
      <c r="BA217" s="409"/>
      <c r="BB217" s="411">
        <f>IF(BA217=0,0,IF($LB217=70%,VLOOKUP($AW217,'Jan-2026 rates'!$L:$R,4,0),IF($LB217=65%,VLOOKUP($AW217,'Jan-2026 rates'!$L:$R,4,0),IF($LB217=40%,VLOOKUP($AW217,'Jan-2026 rates'!$L:$R,5,0),IF($LB217=30%,VLOOKUP($AW217,'Jan-2026 rates'!$L:$R,6,0),IF($LB217=100%,VLOOKUP($AW217,'Jan-2026 rates'!$L:$R,7,0),IF($LB217=60%,VLOOKUP($AW217,'Jan-2026 rates'!$L:$S,8,0),IF($LB217=80%,VLOOKUP($AW217,'Jan-2026 rates'!L:T,9,0),0))))))))</f>
        <v>0</v>
      </c>
      <c r="BC217" s="413">
        <v>26520000005</v>
      </c>
      <c r="BD217" s="412">
        <v>26513000011</v>
      </c>
      <c r="BE217" s="412">
        <v>26517000011</v>
      </c>
      <c r="BF217" s="413"/>
      <c r="BG217" s="412"/>
      <c r="BH217" s="412"/>
      <c r="BI217" s="412"/>
      <c r="BJ217" s="412"/>
      <c r="BK217" s="409">
        <v>0.3</v>
      </c>
      <c r="BL217" s="398" t="e">
        <f>IF(BK217=0,0,IF(LEN(BC217)=11,_xlfn.XLOOKUP(BC217,'Dispensed Ink Rates'!C:C,'Dispensed Ink Rates'!CS:CS),VLOOKUP(BC217,'Jan-2026 rates'!$E:$F,2,0)))</f>
        <v>#N/A</v>
      </c>
      <c r="BM217" s="409">
        <v>5</v>
      </c>
      <c r="BN217" s="398" t="e">
        <f>IF(BM217=0,0,IF(LEN(BD217)=11,_xlfn.XLOOKUP(BD217,'Dispensed Ink Rates'!C:C,'Dispensed Ink Rates'!CS:CS),VLOOKUP(BD217,'Jan-2026 rates'!$E:$F,2,0)))</f>
        <v>#N/A</v>
      </c>
      <c r="BO217" s="409">
        <v>2</v>
      </c>
      <c r="BP217" s="398" t="e">
        <f>IF(BO217=0,0,IF(LEN(BE217)=11,_xlfn.XLOOKUP(BE217,'Dispensed Ink Rates'!C:C,'Dispensed Ink Rates'!CS:CS),VLOOKUP(BE217,'Jan-2026 rates'!$E:$F,2,0)))</f>
        <v>#N/A</v>
      </c>
      <c r="BQ217" s="409"/>
      <c r="BR217" s="398">
        <f>IF(BQ217=0,0,IF(LEN(BF217)=11,_xlfn.XLOOKUP(BF217,'Dispensed Ink Rates'!C:C,'Dispensed Ink Rates'!CS:CS),VLOOKUP(BF217,'Jan-2026 rates'!$E:$F,2,0)))</f>
        <v>0</v>
      </c>
      <c r="BS217" s="409"/>
      <c r="BT217" s="398">
        <f>IF(BS217=0,0,IF(LEN(BG217)=11,_xlfn.XLOOKUP(BG217,'Dispensed Ink Rates'!C:C,'Dispensed Ink Rates'!CS:CS),VLOOKUP(BG217,'Jan-2026 rates'!$E:$F,2,0)))</f>
        <v>0</v>
      </c>
      <c r="BU217" s="409"/>
      <c r="BV217" s="398">
        <f>IF(BU217=0,0,IF(LEN(BH217)=11,_xlfn.XLOOKUP(BH217,'Dispensed Ink Rates'!C:C,'Dispensed Ink Rates'!CS:CS),VLOOKUP(BH217,'Jan-2026 rates'!$E:$F,2,0)))</f>
        <v>0</v>
      </c>
      <c r="BW217" s="409"/>
      <c r="BX217" s="398">
        <f>IF(BW217=0,0,IF(LEN(BI217)=11,_xlfn.XLOOKUP(BI217,'Dispensed Ink Rates'!C:C,'Dispensed Ink Rates'!CS:CS),VLOOKUP(BI217,'Jan-2026 rates'!$E:$F,2,0)))</f>
        <v>0</v>
      </c>
      <c r="BY217" s="409"/>
      <c r="BZ217" s="398">
        <f>IF(BY217=0,0,IF(LEN(BJ217)=11,_xlfn.XLOOKUP(BJ217,'Dispensed Ink Rates'!C:C,'Dispensed Ink Rates'!CS:CS),VLOOKUP(BJ217,'Jan-2026 rates'!$E:$F,2,0)))</f>
        <v>0</v>
      </c>
      <c r="CA217" s="409" t="s">
        <v>1443</v>
      </c>
      <c r="CB217" s="409">
        <v>35</v>
      </c>
      <c r="CC217" s="411">
        <f t="shared" si="162"/>
        <v>0</v>
      </c>
      <c r="CD217" s="411">
        <f t="shared" si="163"/>
        <v>5.8522388059701456</v>
      </c>
      <c r="CE217" s="410">
        <f t="shared" si="164"/>
        <v>0</v>
      </c>
      <c r="CF217" s="404" t="s">
        <v>545</v>
      </c>
      <c r="CG217" s="409" t="s">
        <v>3221</v>
      </c>
      <c r="CH217" s="420" t="str">
        <f t="shared" si="132"/>
        <v>FLINTSL - YELLOW</v>
      </c>
      <c r="CI217" s="409">
        <v>18</v>
      </c>
      <c r="CJ217" s="411">
        <f>IF(CI217=0,0,IF($LB217=70%,VLOOKUP($CH217,'Jan-2026 rates'!$L:$R,4,0),IF($LB217=65%,VLOOKUP($CH217,'Jan-2026 rates'!$L:$R,4,0),IF($LB217=40%,VLOOKUP($CH217,'Jan-2026 rates'!$L:$R,5,0),IF($LB217=30%,VLOOKUP($CH217,'Jan-2026 rates'!$L:$R,6,0),IF($LB217=100%,VLOOKUP($CH217,'Jan-2026 rates'!$L:$R,7,0),IF($LB217=60%,VLOOKUP($CH217,'Jan-2026 rates'!$L:$S,8,0),IF($LB217=80%,VLOOKUP($CH217,'Jan-2026 rates'!L:T,9,0),0))))))))</f>
        <v>0</v>
      </c>
      <c r="CK217" s="412"/>
      <c r="CL217" s="409"/>
      <c r="CM217" s="411">
        <f>IF(CL217=0,0,IF($LB217=70%,VLOOKUP($CH217,'Jan-2026 rates'!$L:$R,4,0),IF($LB217=65%,VLOOKUP($CH217,'Jan-2026 rates'!$L:$R,4,0),IF($LB217=40%,VLOOKUP($CH217,'Jan-2026 rates'!$L:$R,5,0),IF($LB217=30%,VLOOKUP($CH217,'Jan-2026 rates'!$L:$R,6,0),IF($LB217=100%,VLOOKUP($CH217,'Jan-2026 rates'!$L:$R,7,0),IF($LB217=60%,VLOOKUP($CH217,'Jan-2026 rates'!$L:$S,8,0),IF($LB217=80%,VLOOKUP($CH217,'Jan-2026 rates'!L:T,9,0),0))))))))</f>
        <v>0</v>
      </c>
      <c r="CN217" s="426">
        <v>26517000011</v>
      </c>
      <c r="CO217" s="427">
        <v>26516000007</v>
      </c>
      <c r="CP217" s="426" t="s">
        <v>1266</v>
      </c>
      <c r="CQ217" s="426"/>
      <c r="CR217" s="428"/>
      <c r="CS217" s="428"/>
      <c r="CT217" s="428"/>
      <c r="CU217" s="428"/>
      <c r="CV217" s="409">
        <v>0.2</v>
      </c>
      <c r="CW217" s="398" t="e">
        <f>IF(CV217=0,0,IF(LEN(CN217)=11,_xlfn.XLOOKUP(CN217,'Dispensed Ink Rates'!C:C,'Dispensed Ink Rates'!CS:CS),VLOOKUP(CN217,'Jan-2026 rates'!$E:$F,2,0)))</f>
        <v>#N/A</v>
      </c>
      <c r="CX217" s="409">
        <v>3</v>
      </c>
      <c r="CY217" s="398" t="e">
        <f>IF(CX217=0,0,IF(LEN(CO217)=11,_xlfn.XLOOKUP(CO217,'Dispensed Ink Rates'!C:C,'Dispensed Ink Rates'!CS:CS),VLOOKUP(CO217,'Jan-2026 rates'!$E:$F,2,0)))</f>
        <v>#N/A</v>
      </c>
      <c r="CZ217" s="409">
        <v>5</v>
      </c>
      <c r="DA217" s="398">
        <f>IF(CZ217=0,0,IF(LEN(CP217)=11,_xlfn.XLOOKUP(CP217,'Dispensed Ink Rates'!C:C,'Dispensed Ink Rates'!CS:CS),VLOOKUP(CP217,'Jan-2026 rates'!$E:$F,2,0)))</f>
        <v>0</v>
      </c>
      <c r="DB217" s="409"/>
      <c r="DC217" s="398">
        <f>IF(DB217=0,0,IF(LEN(CQ217)=11,_xlfn.XLOOKUP(CQ217,'Dispensed Ink Rates'!C:C,'Dispensed Ink Rates'!CS:CS),VLOOKUP(CQ217,'Jan-2026 rates'!$E:$F,2,0)))</f>
        <v>0</v>
      </c>
      <c r="DD217" s="409"/>
      <c r="DE217" s="398">
        <f>IF(DD217=0,0,IF(LEN(CR217)=11,_xlfn.XLOOKUP(CR217,'Dispensed Ink Rates'!C:C,'Dispensed Ink Rates'!CS:CS),VLOOKUP(CR217,'Jan-2026 rates'!$E:$F,2,0)))</f>
        <v>0</v>
      </c>
      <c r="DF217" s="409"/>
      <c r="DG217" s="398">
        <f>IF(DF217=0,0,IF(LEN(CS217)=11,_xlfn.XLOOKUP(CS217,'Dispensed Ink Rates'!C:C,'Dispensed Ink Rates'!CS:CS),VLOOKUP(CS217,'Jan-2026 rates'!$E:$F,2,0)))</f>
        <v>0</v>
      </c>
      <c r="DH217" s="409"/>
      <c r="DI217" s="398">
        <f>IF(DH217=0,0,IF(LEN(CT217)=11,_xlfn.XLOOKUP(CT217,'Dispensed Ink Rates'!C:C,'Dispensed Ink Rates'!CS:CS),VLOOKUP(CT217,'Jan-2026 rates'!$E:$F,2,0)))</f>
        <v>0</v>
      </c>
      <c r="DJ217" s="409"/>
      <c r="DK217" s="398">
        <f>IF(DJ217=0,0,IF(LEN(CU217)=11,_xlfn.XLOOKUP(CU217,'Dispensed Ink Rates'!C:C,'Dispensed Ink Rates'!CS:CS),VLOOKUP(CU217,'Jan-2026 rates'!$E:$F,2,0)))</f>
        <v>0</v>
      </c>
      <c r="DL217" s="409" t="s">
        <v>1443</v>
      </c>
      <c r="DM217" s="409">
        <v>23</v>
      </c>
      <c r="DN217" s="411">
        <f t="shared" si="165"/>
        <v>0</v>
      </c>
      <c r="DO217" s="411">
        <f t="shared" si="166"/>
        <v>12.752238805970151</v>
      </c>
      <c r="DP217" s="410">
        <f t="shared" si="167"/>
        <v>0</v>
      </c>
      <c r="DQ217" s="405" t="s">
        <v>828</v>
      </c>
      <c r="DR217" s="409" t="s">
        <v>3840</v>
      </c>
      <c r="DS217" s="420" t="str">
        <f t="shared" si="133"/>
        <v>FLINTSL - ORANGE</v>
      </c>
      <c r="DT217" s="409">
        <v>25</v>
      </c>
      <c r="DU217" s="411">
        <f>IF(DT217=0,0,IF($LB217=70%,VLOOKUP($DS217,'Jan-2026 rates'!$L:$R,4,0),IF($LB217=65%,VLOOKUP($DS217,'Jan-2026 rates'!$L:$R,4,0),IF($LB217=40%,VLOOKUP($DS217,'Jan-2026 rates'!$L:$R,5,0),IF($LB217=30%,VLOOKUP($DS217,'Jan-2026 rates'!$L:$R,6,0),IF($LB217=100%,VLOOKUP($DS217,'Jan-2026 rates'!$L:$R,7,0),IF($LB217=60%,VLOOKUP($DS217,'Jan-2026 rates'!$L:$S,8,0),IF($LB217=80%,VLOOKUP($DS217,'Jan-2026 rates'!L:T,9,0),0))))))))</f>
        <v>0</v>
      </c>
      <c r="DV217" s="412"/>
      <c r="DW217" s="409"/>
      <c r="DX217" s="411">
        <f>IF(DW217=0,0,IF($LB217=70%,VLOOKUP($DS217,'Jan-2026 rates'!$L:$R,4,0),IF($LB217=65%,VLOOKUP($DS217,'Jan-2026 rates'!$L:$R,4,0),IF($LB217=40%,VLOOKUP($DS217,'Jan-2026 rates'!$L:$R,5,0),IF($LB217=30%,VLOOKUP($DS217,'Jan-2026 rates'!$L:$R,6,0),IF($LB217=100%,VLOOKUP($DS217,'Jan-2026 rates'!$L:$R,7,0),IF($LB217=60%,VLOOKUP($DS217,'Jan-2026 rates'!$L:$S,8,0),IF($LB217=80%,VLOOKUP($DS217,'Jan-2026 rates'!L:T,9,0),0))))))))</f>
        <v>0</v>
      </c>
      <c r="DY217" s="413">
        <v>26516000002</v>
      </c>
      <c r="DZ217" s="413"/>
      <c r="EA217" s="412"/>
      <c r="EB217" s="412"/>
      <c r="EC217" s="412"/>
      <c r="ED217" s="412"/>
      <c r="EE217" s="412"/>
      <c r="EF217" s="412"/>
      <c r="EG217" s="409">
        <v>40</v>
      </c>
      <c r="EH217" s="398" t="e">
        <f>IF(EG217=0,0,IF(LEN(DY217)=11,_xlfn.XLOOKUP(DY217,'Dispensed Ink Rates'!C:C,'Dispensed Ink Rates'!CS:CS),VLOOKUP(DY217,'Jan-2026 rates'!$E:$F,2,0)))</f>
        <v>#N/A</v>
      </c>
      <c r="EI217" s="409"/>
      <c r="EJ217" s="398">
        <f>IF(EI217=0,0,IF(LEN(DZ217)=11,_xlfn.XLOOKUP(DZ217,'Dispensed Ink Rates'!C:C,'Dispensed Ink Rates'!CS:CS),VLOOKUP(DZ217,'Jan-2026 rates'!$E:$F,2,0)))</f>
        <v>0</v>
      </c>
      <c r="EK217" s="409"/>
      <c r="EL217" s="398">
        <f>IF(EK217=0,0,IF(LEN(EA217)=11,_xlfn.XLOOKUP(EA217,'Dispensed Ink Rates'!C:C,'Dispensed Ink Rates'!CS:CS),VLOOKUP(EA217,'Jan-2026 rates'!$E:$F,2,0)))</f>
        <v>0</v>
      </c>
      <c r="EM217" s="409"/>
      <c r="EN217" s="398">
        <f>IF(EM217=0,0,IF(LEN(EB217)=11,_xlfn.XLOOKUP(EB217,'Dispensed Ink Rates'!C:C,'Dispensed Ink Rates'!CS:CS),VLOOKUP(EB217,'Jan-2026 rates'!$E:$F,2,0)))</f>
        <v>0</v>
      </c>
      <c r="EO217" s="409"/>
      <c r="EP217" s="398">
        <f>IF(EO217=0,0,IF(LEN(EC217)=11,_xlfn.XLOOKUP(EC217,'Dispensed Ink Rates'!C:C,'Dispensed Ink Rates'!CS:CS),VLOOKUP(EC217,'Jan-2026 rates'!$E:$F,2,0)))</f>
        <v>0</v>
      </c>
      <c r="EQ217" s="409"/>
      <c r="ER217" s="398">
        <f>IF(EQ217=0,0,IF(LEN(ED217)=11,_xlfn.XLOOKUP(ED217,'Dispensed Ink Rates'!C:C,'Dispensed Ink Rates'!CS:CS),VLOOKUP(ED217,'Jan-2026 rates'!$E:$F,2,0)))</f>
        <v>0</v>
      </c>
      <c r="ES217" s="409"/>
      <c r="ET217" s="398">
        <f>IF(ES217=0,0,IF(LEN(EE217)=11,_xlfn.XLOOKUP(EE217,'Dispensed Ink Rates'!C:C,'Dispensed Ink Rates'!CS:CS),VLOOKUP(EE217,'Jan-2026 rates'!$E:$F,2,0)))</f>
        <v>0</v>
      </c>
      <c r="EU217" s="409"/>
      <c r="EV217" s="398">
        <f>IF(EU217=0,0,IF(LEN(EF217)=11,_xlfn.XLOOKUP(EF217,'Dispensed Ink Rates'!C:C,'Dispensed Ink Rates'!CS:CS),VLOOKUP(EF217,'Jan-2026 rates'!$E:$F,2,0)))</f>
        <v>0</v>
      </c>
      <c r="EW217" s="409" t="s">
        <v>1443</v>
      </c>
      <c r="EX217" s="409">
        <v>18</v>
      </c>
      <c r="EY217" s="411">
        <f t="shared" si="168"/>
        <v>0</v>
      </c>
      <c r="EZ217" s="411">
        <f t="shared" si="169"/>
        <v>66.104477611940297</v>
      </c>
      <c r="FA217" s="410">
        <f t="shared" si="170"/>
        <v>0</v>
      </c>
      <c r="FB217" s="405" t="s">
        <v>855</v>
      </c>
      <c r="FC217" s="409" t="s">
        <v>3841</v>
      </c>
      <c r="FD217" s="420" t="str">
        <f t="shared" si="134"/>
        <v>FLINTSL - CYAN</v>
      </c>
      <c r="FE217" s="409">
        <v>24</v>
      </c>
      <c r="FF217" s="411">
        <f>IF(FE217=0,0,IF($LB217=70%,VLOOKUP($FD217,'Jan-2026 rates'!$L:$R,4,0),IF($LB217=65%,VLOOKUP($FD217,'Jan-2026 rates'!$L:$R,4,0),IF($LB217=40%,VLOOKUP($FD217,'Jan-2026 rates'!$L:$R,5,0),IF($LB217=30%,VLOOKUP($FD217,'Jan-2026 rates'!$L:$R,6,0),IF($LB217=100%,VLOOKUP($FD217,'Jan-2026 rates'!$L:$R,7,0),IF($LB217=60%,VLOOKUP($FD217,'Jan-2026 rates'!$L:$S,8,0),IF($LB217=80%,VLOOKUP($FD217,'Jan-2026 rates'!L:T,9,0),0))))))))</f>
        <v>0</v>
      </c>
      <c r="FG217" s="412"/>
      <c r="FH217" s="409"/>
      <c r="FI217" s="411">
        <f>IF(FH217=0,0,IF($LB217=70%,VLOOKUP($FD217,'Jan-2026 rates'!$L:$R,4,0),IF($LB217=65%,VLOOKUP($FD217,'Jan-2026 rates'!$L:$R,4,0),IF($LB217=40%,VLOOKUP($FD217,'Jan-2026 rates'!$L:$R,5,0),IF($LB217=30%,VLOOKUP($FD217,'Jan-2026 rates'!$L:$R,6,0),IF($LB217=100%,VLOOKUP($FD217,'Jan-2026 rates'!$L:$R,7,0),IF($LB217=60%,VLOOKUP($FD217,'Jan-2026 rates'!$L:$S,8,0),IF($LB217=80%,VLOOKUP($FD217,'Jan-2026 rates'!L:T,9,0),0))))))))</f>
        <v>0</v>
      </c>
      <c r="FJ217" s="413">
        <v>26512000001</v>
      </c>
      <c r="FK217" s="413"/>
      <c r="FL217" s="413"/>
      <c r="FM217" s="412"/>
      <c r="FN217" s="412"/>
      <c r="FO217" s="412"/>
      <c r="FP217" s="412"/>
      <c r="FQ217" s="412"/>
      <c r="FR217" s="409">
        <v>5</v>
      </c>
      <c r="FS217" s="398" t="e">
        <f>IF(FR217=0,0,IF(LEN(FJ217)=11,_xlfn.XLOOKUP(FJ217,'Dispensed Ink Rates'!C:C,'Dispensed Ink Rates'!CS:CS),VLOOKUP(FJ217,'Jan-2026 rates'!$E:$F,2,0)))</f>
        <v>#N/A</v>
      </c>
      <c r="FT217" s="409"/>
      <c r="FU217" s="398">
        <f>IF(FT217=0,0,IF(LEN(FK217)=11,_xlfn.XLOOKUP(FK217,'Dispensed Ink Rates'!C:C,'Dispensed Ink Rates'!CS:CS),VLOOKUP(FK217,'Jan-2026 rates'!$E:$F,2,0)))</f>
        <v>0</v>
      </c>
      <c r="FV217" s="409"/>
      <c r="FW217" s="398">
        <f>IF(FV217=0,0,IF(LEN(FL217)=11,_xlfn.XLOOKUP(FL217,'Dispensed Ink Rates'!C:C,'Dispensed Ink Rates'!CS:CS),VLOOKUP(FL217,'Jan-2026 rates'!$E:$F,2,0)))</f>
        <v>0</v>
      </c>
      <c r="FX217" s="409"/>
      <c r="FY217" s="398">
        <f>IF(FX217=0,0,IF(LEN(FM217)=11,_xlfn.XLOOKUP(FM217,'Dispensed Ink Rates'!C:C,'Dispensed Ink Rates'!CS:CS),VLOOKUP(FM217,'Jan-2026 rates'!$E:$F,2,0)))</f>
        <v>0</v>
      </c>
      <c r="FZ217" s="409"/>
      <c r="GA217" s="398">
        <f>IF(FZ217=0,0,IF(LEN(FN217)=11,_xlfn.XLOOKUP(FN217,'Dispensed Ink Rates'!C:C,'Dispensed Ink Rates'!CS:CS),VLOOKUP(FN217,'Jan-2026 rates'!$E:$F,2,0)))</f>
        <v>0</v>
      </c>
      <c r="GB217" s="409"/>
      <c r="GC217" s="398">
        <f>IF(GB217=0,0,IF(LEN(FO217)=11,_xlfn.XLOOKUP(FO217,'Dispensed Ink Rates'!C:C,'Dispensed Ink Rates'!CS:CS),VLOOKUP(FO217,'Jan-2026 rates'!$E:$F,2,0)))</f>
        <v>0</v>
      </c>
      <c r="GD217" s="409"/>
      <c r="GE217" s="398">
        <f>IF(GD217=0,0,IF(LEN(FP217)=11,_xlfn.XLOOKUP(FP217,'Dispensed Ink Rates'!C:C,'Dispensed Ink Rates'!CS:CS),VLOOKUP(FP217,'Jan-2026 rates'!$E:$F,2,0)))</f>
        <v>0</v>
      </c>
      <c r="GF217" s="409"/>
      <c r="GG217" s="398">
        <f>IF(GF217=0,0,IF(LEN(FQ217)=11,_xlfn.XLOOKUP(FQ217,'Dispensed Ink Rates'!C:C,'Dispensed Ink Rates'!CS:CS),VLOOKUP(FQ217,'Jan-2026 rates'!$E:$F,2,0)))</f>
        <v>0</v>
      </c>
      <c r="GH217" s="409" t="s">
        <v>1443</v>
      </c>
      <c r="GI217" s="409">
        <v>30</v>
      </c>
      <c r="GJ217" s="411">
        <f t="shared" si="171"/>
        <v>0</v>
      </c>
      <c r="GK217" s="411">
        <f t="shared" si="172"/>
        <v>2.8208955223880565</v>
      </c>
      <c r="GL217" s="410">
        <f t="shared" si="173"/>
        <v>0</v>
      </c>
      <c r="GM217" s="405" t="s">
        <v>544</v>
      </c>
      <c r="GN217" s="409" t="s">
        <v>3842</v>
      </c>
      <c r="GO217" s="420" t="str">
        <f t="shared" si="135"/>
        <v>FLINTSL - MAGENTA</v>
      </c>
      <c r="GP217" s="409">
        <v>29</v>
      </c>
      <c r="GQ217" s="411">
        <f>IF(GP217=0,0,IF($LB217=70%,VLOOKUP($GO217,'Jan-2026 rates'!$L:$R,4,0),IF($LB217=65%,VLOOKUP($GO217,'Jan-2026 rates'!$L:$R,4,0),IF($LB217=40%,VLOOKUP($GO217,'Jan-2026 rates'!$L:$R,5,0),IF($LB217=30%,VLOOKUP($GO217,'Jan-2026 rates'!$L:$R,6,0),IF($LB217=100%,VLOOKUP($GO217,'Jan-2026 rates'!$L:$R,7,0),IF($LB217=60%,VLOOKUP($GO217,'Jan-2026 rates'!$L:$S,8,0),IF($LB217=80%,VLOOKUP($GO217,'Jan-2026 rates'!L:T,9,0),0))))))))</f>
        <v>0</v>
      </c>
      <c r="GR217" s="412"/>
      <c r="GS217" s="409"/>
      <c r="GT217" s="411">
        <f>IF(GS217=0,0,IF($LB217=70%,VLOOKUP($GO217,'Jan-2026 rates'!$L:$R,4,0),IF($LB217=65%,VLOOKUP($GO217,'Jan-2026 rates'!$L:$R,4,0),IF($LB217=40%,VLOOKUP($GO217,'Jan-2026 rates'!$L:$R,5,0),IF($LB217=30%,VLOOKUP($GO217,'Jan-2026 rates'!$L:$R,6,0),IF($LB217=100%,VLOOKUP($GO217,'Jan-2026 rates'!$L:$R,7,0),IF($LB217=60%,VLOOKUP($GO217,'Jan-2026 rates'!$L:$S,8,0),IF($LB217=80%,VLOOKUP($GO217,'Jan-2026 rates'!L:T,9,0),0))))))))</f>
        <v>0</v>
      </c>
      <c r="GU217" s="413">
        <v>26517000011</v>
      </c>
      <c r="GV217" s="413"/>
      <c r="GW217" s="412"/>
      <c r="GX217" s="412"/>
      <c r="GY217" s="412"/>
      <c r="GZ217" s="412"/>
      <c r="HA217" s="412"/>
      <c r="HB217" s="412"/>
      <c r="HC217" s="409">
        <v>2</v>
      </c>
      <c r="HD217" s="398" t="e">
        <f>IF(HC217=0,0,IF(LEN(GU217)=11,_xlfn.XLOOKUP(GU217,'Dispensed Ink Rates'!C:C,'Dispensed Ink Rates'!CS:CS),VLOOKUP(GU217,'Jan-2026 rates'!$E:$F,2,0)))</f>
        <v>#N/A</v>
      </c>
      <c r="HE217" s="409"/>
      <c r="HF217" s="398">
        <f>IF(HE217=0,0,IF(LEN(GV217)=11,_xlfn.XLOOKUP(GV217,'Dispensed Ink Rates'!C:C,'Dispensed Ink Rates'!CS:CS),VLOOKUP(GV217,'Jan-2026 rates'!$E:$F,2,0)))</f>
        <v>0</v>
      </c>
      <c r="HG217" s="409"/>
      <c r="HH217" s="398">
        <f>IF(HG217=0,0,IF(LEN(GW217)=11,_xlfn.XLOOKUP(GW217,'Dispensed Ink Rates'!C:C,'Dispensed Ink Rates'!CS:CS),VLOOKUP(GW217,'Jan-2026 rates'!$E:$F,2,0)))</f>
        <v>0</v>
      </c>
      <c r="HI217" s="409"/>
      <c r="HJ217" s="398">
        <f>IF(HI217=0,0,IF(LEN(GX217)=11,_xlfn.XLOOKUP(GX217,'Dispensed Ink Rates'!C:C,'Dispensed Ink Rates'!CS:CS),VLOOKUP(GX217,'Jan-2026 rates'!$E:$F,2,0)))</f>
        <v>0</v>
      </c>
      <c r="HK217" s="409"/>
      <c r="HL217" s="398">
        <f>IF(HK217=0,0,IF(LEN(GY217)=11,_xlfn.XLOOKUP(GY217,'Dispensed Ink Rates'!C:C,'Dispensed Ink Rates'!CS:CS),VLOOKUP(GY217,'Jan-2026 rates'!$E:$F,2,0)))</f>
        <v>0</v>
      </c>
      <c r="HM217" s="409"/>
      <c r="HN217" s="398">
        <f>IF(HM217=0,0,IF(LEN(GZ217)=11,_xlfn.XLOOKUP(GZ217,'Dispensed Ink Rates'!C:C,'Dispensed Ink Rates'!CS:CS),VLOOKUP(GZ217,'Jan-2026 rates'!$E:$F,2,0)))</f>
        <v>0</v>
      </c>
      <c r="HO217" s="409"/>
      <c r="HP217" s="398">
        <f>IF(HO217=0,0,IF(LEN(HA217)=11,_xlfn.XLOOKUP(HA217,'Dispensed Ink Rates'!C:C,'Dispensed Ink Rates'!CS:CS),VLOOKUP(HA217,'Jan-2026 rates'!$E:$F,2,0)))</f>
        <v>0</v>
      </c>
      <c r="HQ217" s="409"/>
      <c r="HR217" s="398">
        <f>IF(HQ217=0,0,IF(LEN(HB217)=11,_xlfn.XLOOKUP(HB217,'Dispensed Ink Rates'!C:C,'Dispensed Ink Rates'!CS:CS),VLOOKUP(HB217,'Jan-2026 rates'!$E:$F,2,0)))</f>
        <v>0</v>
      </c>
      <c r="HS217" s="409" t="s">
        <v>1443</v>
      </c>
      <c r="HT217" s="409">
        <v>31</v>
      </c>
      <c r="HU217" s="411">
        <f t="shared" si="174"/>
        <v>0</v>
      </c>
      <c r="HV217" s="411">
        <f t="shared" si="175"/>
        <v>3.8208955223880565</v>
      </c>
      <c r="HW217" s="414">
        <f t="shared" si="176"/>
        <v>0</v>
      </c>
      <c r="HX217" s="405" t="s">
        <v>545</v>
      </c>
      <c r="HY217" s="409" t="s">
        <v>3843</v>
      </c>
      <c r="HZ217" s="420" t="str">
        <f t="shared" si="136"/>
        <v>FLINTSL - YELLOW</v>
      </c>
      <c r="IA217" s="409">
        <v>19</v>
      </c>
      <c r="IB217" s="411">
        <f>IF(IA217=0,0,IF($LB217=70%,VLOOKUP($HZ217,'Jan-2026 rates'!$L:$R,4,0),IF($LB217=65%,VLOOKUP($HZ217,'Jan-2026 rates'!$L:$R,4,0),IF($LB217=40%,VLOOKUP($HZ217,'Jan-2026 rates'!$L:$R,5,0),IF($LB217=30%,VLOOKUP($HZ217,'Jan-2026 rates'!$L:$R,6,0),IF($LB217=100%,VLOOKUP($HZ217,'Jan-2026 rates'!$L:$R,7,0),IF($LB217=60%,VLOOKUP($HZ217,'Jan-2026 rates'!$L:$S,8,0),IF($LB217=80%,VLOOKUP($HZ217,'Jan-2026 rates'!L:T,9,0),0))))))))</f>
        <v>0</v>
      </c>
      <c r="IC217" s="412"/>
      <c r="ID217" s="409"/>
      <c r="IE217" s="411">
        <f>IF(ID217=0,0,IF($LB217=70%,VLOOKUP($HZ217,'Jan-2026 rates'!$L:$R,4,0),IF($LB217=65%,VLOOKUP($HZ217,'Jan-2026 rates'!$L:$R,4,0),IF($LB217=40%,VLOOKUP($HZ217,'Jan-2026 rates'!$L:$R,5,0),IF($LB217=30%,VLOOKUP($HZ217,'Jan-2026 rates'!$L:$R,6,0),IF($LB217=100%,VLOOKUP($HZ217,'Jan-2026 rates'!$L:$R,7,0),IF($LB217=60%,VLOOKUP($HZ217,'Jan-2026 rates'!$L:$S,8,0),IF($LB217=80%,VLOOKUP($HZ217,'Jan-2026 rates'!L:T,9,0),0))))))))</f>
        <v>0</v>
      </c>
      <c r="IF217" s="412">
        <v>26516000015</v>
      </c>
      <c r="IG217" s="413" t="s">
        <v>1266</v>
      </c>
      <c r="IH217" s="412"/>
      <c r="II217" s="412"/>
      <c r="IJ217" s="412"/>
      <c r="IK217" s="412"/>
      <c r="IL217" s="412"/>
      <c r="IM217" s="412"/>
      <c r="IN217" s="409">
        <v>15</v>
      </c>
      <c r="IO217" s="398" t="e">
        <f>IF(IN217=0,0,IF(LEN(IF217)=11,_xlfn.XLOOKUP(IF217,'Dispensed Ink Rates'!C:C,'Dispensed Ink Rates'!CS:CS),VLOOKUP(IF217,'Jan-2026 rates'!$E:$F,2,0)))</f>
        <v>#N/A</v>
      </c>
      <c r="IP217" s="409">
        <v>10</v>
      </c>
      <c r="IQ217" s="398">
        <f>IF(IP217=0,0,IF(LEN(IG217)=11,_xlfn.XLOOKUP(IG217,'Dispensed Ink Rates'!C:C,'Dispensed Ink Rates'!CS:CS),VLOOKUP(IG217,'Jan-2026 rates'!$E:$F,2,0)))</f>
        <v>0</v>
      </c>
      <c r="IR217" s="409"/>
      <c r="IS217" s="398">
        <f>IF(IR217=0,0,IF(LEN(IH217)=11,_xlfn.XLOOKUP(IH217,'Dispensed Ink Rates'!C:C,'Dispensed Ink Rates'!CS:CS),VLOOKUP(IH217,'Jan-2026 rates'!$E:$F,2,0)))</f>
        <v>0</v>
      </c>
      <c r="IT217" s="409"/>
      <c r="IU217" s="398">
        <f>IF(IT217=0,0,IF(LEN(II217)=11,_xlfn.XLOOKUP(II217,'Dispensed Ink Rates'!C:C,'Dispensed Ink Rates'!CS:CS),VLOOKUP(II217,'Jan-2026 rates'!$E:$F,2,0)))</f>
        <v>0</v>
      </c>
      <c r="IV217" s="409"/>
      <c r="IW217" s="398">
        <f>IF(IV217=0,0,IF(LEN(IJ217)=11,_xlfn.XLOOKUP(IJ217,'Dispensed Ink Rates'!C:C,'Dispensed Ink Rates'!CS:CS),VLOOKUP(IJ217,'Jan-2026 rates'!$E:$F,2,0)))</f>
        <v>0</v>
      </c>
      <c r="IX217" s="409"/>
      <c r="IY217" s="398">
        <f>IF(IX217=0,0,IF(LEN(IK217)=11,_xlfn.XLOOKUP(IK217,'Dispensed Ink Rates'!C:C,'Dispensed Ink Rates'!CS:CS),VLOOKUP(IK217,'Jan-2026 rates'!$E:$F,2,0)))</f>
        <v>0</v>
      </c>
      <c r="IZ217" s="409"/>
      <c r="JA217" s="398">
        <f>IF(IZ217=0,0,IF(LEN(IL217)=11,_xlfn.XLOOKUP(IL217,'Dispensed Ink Rates'!C:C,'Dispensed Ink Rates'!CS:CS),VLOOKUP(IL217,'Jan-2026 rates'!$E:$F,2,0)))</f>
        <v>0</v>
      </c>
      <c r="JB217" s="409"/>
      <c r="JC217" s="398">
        <f>IF(JB217=0,0,IF(LEN(IM217)=11,_xlfn.XLOOKUP(IM217,'Dispensed Ink Rates'!C:C,'Dispensed Ink Rates'!CS:CS),VLOOKUP(IM217,'Jan-2026 rates'!$E:$F,2,0)))</f>
        <v>0</v>
      </c>
      <c r="JD217" s="409" t="s">
        <v>1443</v>
      </c>
      <c r="JE217" s="409">
        <v>30</v>
      </c>
      <c r="JF217" s="411">
        <f t="shared" si="177"/>
        <v>0</v>
      </c>
      <c r="JG217" s="411">
        <f t="shared" si="178"/>
        <v>33.104477611940297</v>
      </c>
      <c r="JH217" s="410">
        <f t="shared" si="179"/>
        <v>0</v>
      </c>
      <c r="JI217" s="405" t="s">
        <v>856</v>
      </c>
      <c r="JJ217" s="409" t="s">
        <v>3844</v>
      </c>
      <c r="JK217" s="420" t="str">
        <f t="shared" si="137"/>
        <v>FLINTSL - WHITE</v>
      </c>
      <c r="JL217" s="409">
        <v>28</v>
      </c>
      <c r="JM217" s="411">
        <f>IF(JL217=0,0,IF($LB217=70%,VLOOKUP($JK217,'Jan-2026 rates'!$L:$R,4,0),IF($LB217=65%,VLOOKUP($JK217,'Jan-2026 rates'!$L:$R,4,0),IF($LB217=40%,VLOOKUP($JK217,'Jan-2026 rates'!$L:$R,5,0),IF($LB217=30%,VLOOKUP($JK217,'Jan-2026 rates'!$L:$R,6,0),IF($LB217=100%,VLOOKUP($JK217,'Jan-2026 rates'!$L:$R,7,0),IF($LB217=60%,VLOOKUP($JK217,'Jan-2026 rates'!$L:$S,8,0),IF($LB217=80%,VLOOKUP($JK217,'Jan-2026 rates'!L:T,9,0),0))))))))</f>
        <v>0</v>
      </c>
      <c r="JN217" s="412"/>
      <c r="JO217" s="409"/>
      <c r="JP217" s="411">
        <f>IF(JO217=0,0,IF($LB217=70%,VLOOKUP($JK217,'Jan-2026 rates'!$L:$R,4,0),IF($LB217=65%,VLOOKUP($JK217,'Jan-2026 rates'!$L:$R,4,0),IF($LB217=40%,VLOOKUP($JK217,'Jan-2026 rates'!$L:$R,5,0),IF($LB217=30%,VLOOKUP($JK217,'Jan-2026 rates'!$L:$R,6,0),IF($LB217=100%,VLOOKUP($JK217,'Jan-2026 rates'!$L:$R,7,0),IF($LB217=60%,VLOOKUP($JK217,'Jan-2026 rates'!$L:$S,8,0),IF($LB217=80%,VLOOKUP($JK217,'Jan-2026 rates'!L:T,9,0),0))))))))</f>
        <v>0</v>
      </c>
      <c r="JQ217" s="413" t="s">
        <v>484</v>
      </c>
      <c r="JR217" s="412"/>
      <c r="JS217" s="413"/>
      <c r="JT217" s="413"/>
      <c r="JU217" s="412"/>
      <c r="JV217" s="412"/>
      <c r="JW217" s="412"/>
      <c r="JX217" s="412"/>
      <c r="JY217" s="409">
        <v>60</v>
      </c>
      <c r="JZ217" s="398">
        <f>IF(JY217=0,0,IF(LEN(JQ217)=11,_xlfn.XLOOKUP(JQ217,'Dispensed Ink Rates'!C:C,'Dispensed Ink Rates'!CS:CS),VLOOKUP(JQ217,'Jan-2026 rates'!$E:$F,2,0)))</f>
        <v>0</v>
      </c>
      <c r="KA217" s="409"/>
      <c r="KB217" s="398">
        <f>IF(KA217=0,0,IF(LEN(JR217)=11,_xlfn.XLOOKUP(JR217,'Dispensed Ink Rates'!C:C,'Dispensed Ink Rates'!CS:CS),VLOOKUP(JR217,'Jan-2026 rates'!$E:$F,2,0)))</f>
        <v>0</v>
      </c>
      <c r="KC217" s="409"/>
      <c r="KD217" s="398">
        <f>IF(KC217=0,0,IF(LEN(JS217)=11,_xlfn.XLOOKUP(JS217,'Dispensed Ink Rates'!C:C,'Dispensed Ink Rates'!CS:CS),VLOOKUP(JS217,'Jan-2026 rates'!$E:$F,2,0)))</f>
        <v>0</v>
      </c>
      <c r="KE217" s="409"/>
      <c r="KF217" s="398">
        <f>IF(KE217=0,0,IF(LEN(JT217)=11,_xlfn.XLOOKUP(JT217,'Dispensed Ink Rates'!C:C,'Dispensed Ink Rates'!CS:CS),VLOOKUP(JT217,'Jan-2026 rates'!$E:$F,2,0)))</f>
        <v>0</v>
      </c>
      <c r="KG217" s="409"/>
      <c r="KH217" s="398">
        <f>IF(KG217=0,0,IF(LEN(JU217)=11,_xlfn.XLOOKUP(JU217,'Dispensed Ink Rates'!C:C,'Dispensed Ink Rates'!CS:CS),VLOOKUP(JU217,'Jan-2026 rates'!$E:$F,2,0)))</f>
        <v>0</v>
      </c>
      <c r="KI217" s="409"/>
      <c r="KJ217" s="398">
        <f>IF(KI217=0,0,IF(LEN(JV217)=11,_xlfn.XLOOKUP(JV217,'Dispensed Ink Rates'!C:C,'Dispensed Ink Rates'!CS:CS),VLOOKUP(JV217,'Jan-2026 rates'!$E:$F,2,0)))</f>
        <v>0</v>
      </c>
      <c r="KK217" s="409"/>
      <c r="KL217" s="398">
        <f>IF(KK217=0,0,IF(LEN(JW217)=11,_xlfn.XLOOKUP(JW217,'Dispensed Ink Rates'!C:C,'Dispensed Ink Rates'!CS:CS),VLOOKUP(JW217,'Jan-2026 rates'!$E:$F,2,0)))</f>
        <v>0</v>
      </c>
      <c r="KM217" s="428"/>
      <c r="KN217" s="398">
        <f>IF(KM217=0,0,IF(LEN(JX217)=11,_xlfn.XLOOKUP(JX217,'Dispensed Ink Rates'!C:C,'Dispensed Ink Rates'!CS:CS),VLOOKUP(JX217,'Jan-2026 rates'!$E:$F,2,0)))</f>
        <v>0</v>
      </c>
      <c r="KO217" s="409" t="s">
        <v>1443</v>
      </c>
      <c r="KP217" s="409">
        <v>30</v>
      </c>
      <c r="KQ217" s="411">
        <f t="shared" si="180"/>
        <v>0</v>
      </c>
      <c r="KR217" s="411">
        <f t="shared" si="181"/>
        <v>115.31343283582089</v>
      </c>
      <c r="KS217" s="410">
        <f t="shared" si="182"/>
        <v>0</v>
      </c>
      <c r="KT217" s="409">
        <v>3</v>
      </c>
      <c r="KU217" s="409">
        <v>5</v>
      </c>
      <c r="KV217" s="409">
        <v>5</v>
      </c>
      <c r="KW217" s="409">
        <v>10</v>
      </c>
      <c r="KX217" s="409">
        <v>2</v>
      </c>
      <c r="KY217" s="409">
        <v>2</v>
      </c>
      <c r="KZ217" s="409">
        <v>10</v>
      </c>
      <c r="LA217" s="409">
        <v>30</v>
      </c>
      <c r="LB217" s="415">
        <v>0.8</v>
      </c>
      <c r="LC217" s="415">
        <v>0.2</v>
      </c>
      <c r="LD217" s="415"/>
      <c r="LE217" s="415"/>
      <c r="LF217" s="415"/>
      <c r="LG217" s="409">
        <v>0</v>
      </c>
      <c r="LH217" s="409">
        <f>40+38+40+10</f>
        <v>128</v>
      </c>
      <c r="LI217" s="409">
        <v>0</v>
      </c>
      <c r="LJ217" s="409">
        <v>0</v>
      </c>
      <c r="LK217" s="416">
        <f t="shared" si="138"/>
        <v>128</v>
      </c>
      <c r="LL217" s="416">
        <f t="shared" si="139"/>
        <v>128</v>
      </c>
      <c r="LM217" s="417">
        <f t="shared" si="140"/>
        <v>102.4</v>
      </c>
      <c r="LN217" s="417">
        <f>VLOOKUP($LM$8,'Jan-2026 rates'!$H:$I,2,0)</f>
        <v>0</v>
      </c>
      <c r="LO217" s="417">
        <f t="shared" si="141"/>
        <v>25.6</v>
      </c>
      <c r="LP217" s="417">
        <f>VLOOKUP($LO$8,'Jan-2026 rates'!$H:$I,2,0)</f>
        <v>0</v>
      </c>
      <c r="LQ217" s="417">
        <f t="shared" si="142"/>
        <v>0</v>
      </c>
      <c r="LR217" s="417">
        <f>VLOOKUP($LQ$8,'Jan-2026 rates'!$H:$I,2,0)</f>
        <v>0</v>
      </c>
      <c r="LS217" s="417">
        <f t="shared" si="143"/>
        <v>0</v>
      </c>
      <c r="LT217" s="417">
        <f>VLOOKUP($LS$8,'Jan-2026 rates'!$H:$I,2,0)</f>
        <v>0</v>
      </c>
      <c r="LU217" s="417">
        <f t="shared" si="144"/>
        <v>0</v>
      </c>
      <c r="LV217" s="417">
        <f>VLOOKUP($LU$8,'Jan-2026 rates'!$H:$I,2,0)</f>
        <v>0</v>
      </c>
      <c r="LW217" s="417">
        <f t="shared" si="145"/>
        <v>0</v>
      </c>
      <c r="LX217" s="417">
        <f t="shared" si="146"/>
        <v>0</v>
      </c>
      <c r="LY217" s="418">
        <f t="shared" si="147"/>
        <v>0</v>
      </c>
      <c r="LZ217" s="417"/>
      <c r="MA217" s="435">
        <f t="shared" si="148"/>
        <v>152.5</v>
      </c>
      <c r="MB217" s="282">
        <f t="shared" si="149"/>
        <v>244.5</v>
      </c>
      <c r="MC217" s="283">
        <v>110</v>
      </c>
      <c r="MD217" s="284" t="str">
        <f t="shared" si="150"/>
        <v>FLINTSLFLINTSLFLINTSLFLINTSLFLINTSLFLINTSLFLINTSLFLINTSL</v>
      </c>
      <c r="ME217" s="293" t="str">
        <f t="shared" si="151"/>
        <v>+</v>
      </c>
      <c r="MF217" s="293" t="str">
        <f t="shared" si="152"/>
        <v>+</v>
      </c>
      <c r="MG217" s="293" t="str">
        <f t="shared" si="153"/>
        <v>+</v>
      </c>
      <c r="MH217" s="293" t="str">
        <f t="shared" si="154"/>
        <v>+</v>
      </c>
      <c r="MI217" s="293" t="str">
        <f t="shared" si="155"/>
        <v>+</v>
      </c>
      <c r="MJ217" s="293" t="str">
        <f t="shared" si="156"/>
        <v>+</v>
      </c>
      <c r="MK217" s="293" t="str">
        <f t="shared" si="157"/>
        <v>+</v>
      </c>
      <c r="ML217" s="293" t="str">
        <f t="shared" si="158"/>
        <v>+</v>
      </c>
      <c r="MM217" s="3" t="b">
        <f t="array" ref="MM217">OR(ME217:ML217="-")</f>
        <v>0</v>
      </c>
      <c r="MN217" s="285"/>
      <c r="MO217" s="401"/>
      <c r="MP217" s="286"/>
      <c r="MQ217" s="286"/>
      <c r="MR217" s="402"/>
      <c r="MS217" s="400"/>
      <c r="NH217" s="422"/>
      <c r="NJ217" s="421"/>
    </row>
    <row r="218" spans="1:374" s="1" customFormat="1" ht="16.5">
      <c r="A218" s="403">
        <v>46037</v>
      </c>
      <c r="B218" s="404" t="s">
        <v>1018</v>
      </c>
      <c r="C218" s="405" t="s">
        <v>3845</v>
      </c>
      <c r="D218" s="406">
        <v>111</v>
      </c>
      <c r="E218" s="404">
        <v>271</v>
      </c>
      <c r="F218" s="407">
        <v>13000</v>
      </c>
      <c r="G218" s="407" t="s">
        <v>1016</v>
      </c>
      <c r="H218" s="408" t="s">
        <v>1017</v>
      </c>
      <c r="I218" s="409">
        <v>1.66</v>
      </c>
      <c r="J218" s="405" t="s">
        <v>543</v>
      </c>
      <c r="K218" s="404" t="s">
        <v>3846</v>
      </c>
      <c r="L218" s="419" t="str">
        <f t="shared" si="131"/>
        <v>FLINTSL - BLACK</v>
      </c>
      <c r="M218" s="404">
        <v>27</v>
      </c>
      <c r="N218" s="410">
        <f>IF(M218=0,0,IF($LB218=70%,VLOOKUP($L218,'Jan-2026 rates'!$L:$R,4,0),IF($LB218=65%,VLOOKUP($L218,'Jan-2026 rates'!$L:$R,4,0),IF($LB218=40%,VLOOKUP($L218,'Jan-2026 rates'!$L:$R,5,0),IF($LB218=30%,VLOOKUP($L218,'Jan-2026 rates'!$L:$R,6,0),IF($LB218=100%,VLOOKUP($L218,'Jan-2026 rates'!$L:$R,7,0),IF($LB218=60%,VLOOKUP($L218,'Jan-2026 rates'!$L:$S,8,0),IF($LB218=80%,VLOOKUP($L218,'Jan-2026 rates'!L:T,9,0),0))))))))</f>
        <v>0</v>
      </c>
      <c r="O218" s="406"/>
      <c r="P218" s="404"/>
      <c r="Q218" s="410">
        <f>IF(P218=0,0,IF($LB218=70%,VLOOKUP($L218,'Jan-2026 rates'!$L:$R,4,0),IF($LB218=65%,VLOOKUP($L218,'Jan-2026 rates'!$L:$R,4,0),IF($LB218=40%,VLOOKUP($L218,'Jan-2026 rates'!$L:$R,5,0),IF($LB218=30%,VLOOKUP($L218,'Jan-2026 rates'!$L:$R,6,0),IF($LB218=100%,VLOOKUP($L218,'Jan-2026 rates'!$L:$R,7,0),IF($LB218=60%,VLOOKUP($L218,'Jan-2026 rates'!$L:$S,8,0),IF($LB218=80%,VLOOKUP($L218,'Jan-2026 rates'!L:T,9,0),0))))))))</f>
        <v>0</v>
      </c>
      <c r="R218" s="406"/>
      <c r="S218" s="406"/>
      <c r="T218" s="406"/>
      <c r="U218" s="406"/>
      <c r="V218" s="406"/>
      <c r="W218" s="406"/>
      <c r="X218" s="406"/>
      <c r="Y218" s="406"/>
      <c r="Z218" s="404"/>
      <c r="AA218" s="398">
        <f>IF(Z218=0,0,IF(LEN(R218)=11,_xlfn.XLOOKUP(R218,'Dispensed Ink Rates'!C:C,'Dispensed Ink Rates'!CS:CS),VLOOKUP(R218,'Jan-2026 rates'!$E:$F,2,0)))</f>
        <v>0</v>
      </c>
      <c r="AB218" s="404"/>
      <c r="AC218" s="398">
        <f>IF(AB218=0,0,IF(LEN(S218)=11,_xlfn.XLOOKUP(S218,'Dispensed Ink Rates'!C:C,'Dispensed Ink Rates'!CS:CS),VLOOKUP(S218,'Jan-2026 rates'!$E:$F,2,0)))</f>
        <v>0</v>
      </c>
      <c r="AD218" s="404"/>
      <c r="AE218" s="398">
        <f>IF(AD218=0,0,IF(LEN(T218)=11,_xlfn.XLOOKUP(T218,'Dispensed Ink Rates'!C:C,'Dispensed Ink Rates'!CS:CS),VLOOKUP(T218,'Jan-2026 rates'!$E:$F,2,0)))</f>
        <v>0</v>
      </c>
      <c r="AF218" s="404"/>
      <c r="AG218" s="398">
        <f>IF(AF218=0,0,IF(LEN(U218)=11,_xlfn.XLOOKUP(U218,'Dispensed Ink Rates'!C:C,'Dispensed Ink Rates'!CS:CS),VLOOKUP(U218,'Jan-2026 rates'!$E:$F,2,0)))</f>
        <v>0</v>
      </c>
      <c r="AH218" s="404"/>
      <c r="AI218" s="398">
        <f>IF(AH218=0,0,IF(LEN(V218)=11,_xlfn.XLOOKUP(V218,'Dispensed Ink Rates'!C:C,'Dispensed Ink Rates'!CS:CS),VLOOKUP(V218,'Jan-2026 rates'!$E:$F,2,0)))</f>
        <v>0</v>
      </c>
      <c r="AJ218" s="404"/>
      <c r="AK218" s="398">
        <f>IF(AJ218=0,0,IF(LEN(W218)=11,_xlfn.XLOOKUP(W218,'Dispensed Ink Rates'!C:C,'Dispensed Ink Rates'!CS:CS),VLOOKUP(W218,'Jan-2026 rates'!$E:$F,2,0)))</f>
        <v>0</v>
      </c>
      <c r="AL218" s="404"/>
      <c r="AM218" s="398">
        <f>IF(AL218=0,0,IF(LEN(X218)=11,_xlfn.XLOOKUP(X218,'Dispensed Ink Rates'!C:C,'Dispensed Ink Rates'!CS:CS),VLOOKUP(X218,'Jan-2026 rates'!$E:$F,2,0)))</f>
        <v>0</v>
      </c>
      <c r="AN218" s="404"/>
      <c r="AO218" s="398">
        <f>IF(AN218=0,0,IF(LEN(Y218)=11,_xlfn.XLOOKUP(Y218,'Dispensed Ink Rates'!C:C,'Dispensed Ink Rates'!CS:CS),VLOOKUP(Y218,'Jan-2026 rates'!$E:$F,2,0)))</f>
        <v>0</v>
      </c>
      <c r="AP218" s="409" t="s">
        <v>1443</v>
      </c>
      <c r="AQ218" s="409">
        <v>25</v>
      </c>
      <c r="AR218" s="410">
        <f t="shared" si="159"/>
        <v>0</v>
      </c>
      <c r="AS218" s="411">
        <f>IFERROR((M218+P218+Z218+AB218+AD218+AF218+AH218+AJ218+AL218+AN218+(KT218/SUM(KT218:LA218)*LL218)-AQ218),0)</f>
        <v>5.6610169491525433</v>
      </c>
      <c r="AT218" s="410">
        <f>IFERROR(IF(AS218&lt;=0,0,(M218*N218+P218*Q218+Z218*AA218+AB218*AC218+AD218*AE218+AF218*AG218+AH218*AI218+AJ218*AK218+AL218*AM218+AN218*AO218-AQ218*AR218+(KT218/SUM(KT218:LA218)*LL218)*LX218)),0)</f>
        <v>0</v>
      </c>
      <c r="AU218" s="405" t="s">
        <v>546</v>
      </c>
      <c r="AV218" s="409"/>
      <c r="AW218" s="420" t="str">
        <f t="shared" si="183"/>
        <v>FLINTSL - REFLEX BLUE</v>
      </c>
      <c r="AX218" s="409"/>
      <c r="AY218" s="411">
        <f>IF(AX218=0,0,IF($LB218=70%,VLOOKUP($AW218,'Jan-2026 rates'!$L:$R,4,0),IF($LB218=65%,VLOOKUP($AW218,'Jan-2026 rates'!$L:$R,4,0),IF($LB218=40%,VLOOKUP($AW218,'Jan-2026 rates'!$L:$R,5,0),IF($LB218=30%,VLOOKUP($AW218,'Jan-2026 rates'!$L:$R,6,0),IF($LB218=100%,VLOOKUP($AW218,'Jan-2026 rates'!$L:$R,7,0),IF($LB218=60%,VLOOKUP($AW218,'Jan-2026 rates'!$L:$S,8,0),IF($LB218=80%,VLOOKUP($AW218,'Jan-2026 rates'!L:T,9,0),0))))))))</f>
        <v>0</v>
      </c>
      <c r="AZ218" s="412"/>
      <c r="BA218" s="409"/>
      <c r="BB218" s="411">
        <f>IF(BA218=0,0,IF($LB218=70%,VLOOKUP($AW218,'Jan-2026 rates'!$L:$R,4,0),IF($LB218=65%,VLOOKUP($AW218,'Jan-2026 rates'!$L:$R,4,0),IF($LB218=40%,VLOOKUP($AW218,'Jan-2026 rates'!$L:$R,5,0),IF($LB218=30%,VLOOKUP($AW218,'Jan-2026 rates'!$L:$R,6,0),IF($LB218=100%,VLOOKUP($AW218,'Jan-2026 rates'!$L:$R,7,0),IF($LB218=60%,VLOOKUP($AW218,'Jan-2026 rates'!$L:$S,8,0),IF($LB218=80%,VLOOKUP($AW218,'Jan-2026 rates'!L:T,9,0),0))))))))</f>
        <v>0</v>
      </c>
      <c r="BC218" s="413">
        <v>26512000002</v>
      </c>
      <c r="BD218" s="412">
        <v>26513000011</v>
      </c>
      <c r="BE218" s="412">
        <v>26517000020</v>
      </c>
      <c r="BF218" s="413"/>
      <c r="BG218" s="412"/>
      <c r="BH218" s="412"/>
      <c r="BI218" s="412"/>
      <c r="BJ218" s="412"/>
      <c r="BK218" s="409">
        <v>15</v>
      </c>
      <c r="BL218" s="398" t="e">
        <f>IF(BK218=0,0,IF(LEN(BC218)=11,_xlfn.XLOOKUP(BC218,'Dispensed Ink Rates'!C:C,'Dispensed Ink Rates'!CS:CS),VLOOKUP(BC218,'Jan-2026 rates'!$E:$F,2,0)))</f>
        <v>#N/A</v>
      </c>
      <c r="BM218" s="409">
        <v>2</v>
      </c>
      <c r="BN218" s="398" t="e">
        <f>IF(BM218=0,0,IF(LEN(BD218)=11,_xlfn.XLOOKUP(BD218,'Dispensed Ink Rates'!C:C,'Dispensed Ink Rates'!CS:CS),VLOOKUP(BD218,'Jan-2026 rates'!$E:$F,2,0)))</f>
        <v>#N/A</v>
      </c>
      <c r="BO218" s="409">
        <v>2</v>
      </c>
      <c r="BP218" s="398" t="e">
        <f>IF(BO218=0,0,IF(LEN(BE218)=11,_xlfn.XLOOKUP(BE218,'Dispensed Ink Rates'!C:C,'Dispensed Ink Rates'!CS:CS),VLOOKUP(BE218,'Jan-2026 rates'!$E:$F,2,0)))</f>
        <v>#N/A</v>
      </c>
      <c r="BQ218" s="409"/>
      <c r="BR218" s="398">
        <f>IF(BQ218=0,0,IF(LEN(BF218)=11,_xlfn.XLOOKUP(BF218,'Dispensed Ink Rates'!C:C,'Dispensed Ink Rates'!CS:CS),VLOOKUP(BF218,'Jan-2026 rates'!$E:$F,2,0)))</f>
        <v>0</v>
      </c>
      <c r="BS218" s="409"/>
      <c r="BT218" s="398">
        <f>IF(BS218=0,0,IF(LEN(BG218)=11,_xlfn.XLOOKUP(BG218,'Dispensed Ink Rates'!C:C,'Dispensed Ink Rates'!CS:CS),VLOOKUP(BG218,'Jan-2026 rates'!$E:$F,2,0)))</f>
        <v>0</v>
      </c>
      <c r="BU218" s="409"/>
      <c r="BV218" s="398">
        <f>IF(BU218=0,0,IF(LEN(BH218)=11,_xlfn.XLOOKUP(BH218,'Dispensed Ink Rates'!C:C,'Dispensed Ink Rates'!CS:CS),VLOOKUP(BH218,'Jan-2026 rates'!$E:$F,2,0)))</f>
        <v>0</v>
      </c>
      <c r="BW218" s="409"/>
      <c r="BX218" s="398">
        <f>IF(BW218=0,0,IF(LEN(BI218)=11,_xlfn.XLOOKUP(BI218,'Dispensed Ink Rates'!C:C,'Dispensed Ink Rates'!CS:CS),VLOOKUP(BI218,'Jan-2026 rates'!$E:$F,2,0)))</f>
        <v>0</v>
      </c>
      <c r="BY218" s="409"/>
      <c r="BZ218" s="398">
        <f>IF(BY218=0,0,IF(LEN(BJ218)=11,_xlfn.XLOOKUP(BJ218,'Dispensed Ink Rates'!C:C,'Dispensed Ink Rates'!CS:CS),VLOOKUP(BJ218,'Jan-2026 rates'!$E:$F,2,0)))</f>
        <v>0</v>
      </c>
      <c r="CA218" s="409" t="s">
        <v>1443</v>
      </c>
      <c r="CB218" s="409">
        <v>26</v>
      </c>
      <c r="CC218" s="411">
        <f t="shared" si="162"/>
        <v>0</v>
      </c>
      <c r="CD218" s="411">
        <f t="shared" si="163"/>
        <v>7.6440677966101731</v>
      </c>
      <c r="CE218" s="410">
        <f t="shared" si="164"/>
        <v>0</v>
      </c>
      <c r="CF218" s="404" t="s">
        <v>857</v>
      </c>
      <c r="CG218" s="409" t="s">
        <v>3847</v>
      </c>
      <c r="CH218" s="420" t="str">
        <f t="shared" si="132"/>
        <v>FLINTSL - RED</v>
      </c>
      <c r="CI218" s="409">
        <v>25</v>
      </c>
      <c r="CJ218" s="411">
        <f>IF(CI218=0,0,IF($LB218=70%,VLOOKUP($CH218,'Jan-2026 rates'!$L:$R,4,0),IF($LB218=65%,VLOOKUP($CH218,'Jan-2026 rates'!$L:$R,4,0),IF($LB218=40%,VLOOKUP($CH218,'Jan-2026 rates'!$L:$R,5,0),IF($LB218=30%,VLOOKUP($CH218,'Jan-2026 rates'!$L:$R,6,0),IF($LB218=100%,VLOOKUP($CH218,'Jan-2026 rates'!$L:$R,7,0),IF($LB218=60%,VLOOKUP($CH218,'Jan-2026 rates'!$L:$S,8,0),IF($LB218=80%,VLOOKUP($CH218,'Jan-2026 rates'!L:T,9,0),0))))))))</f>
        <v>0</v>
      </c>
      <c r="CK218" s="412" t="s">
        <v>3848</v>
      </c>
      <c r="CL218" s="409">
        <v>22</v>
      </c>
      <c r="CM218" s="411">
        <f>IF(CL218=0,0,IF($LB218=70%,VLOOKUP($CH218,'Jan-2026 rates'!$L:$R,4,0),IF($LB218=65%,VLOOKUP($CH218,'Jan-2026 rates'!$L:$R,4,0),IF($LB218=40%,VLOOKUP($CH218,'Jan-2026 rates'!$L:$R,5,0),IF($LB218=30%,VLOOKUP($CH218,'Jan-2026 rates'!$L:$R,6,0),IF($LB218=100%,VLOOKUP($CH218,'Jan-2026 rates'!$L:$R,7,0),IF($LB218=60%,VLOOKUP($CH218,'Jan-2026 rates'!$L:$S,8,0),IF($LB218=80%,VLOOKUP($CH218,'Jan-2026 rates'!L:T,9,0),0))))))))</f>
        <v>0</v>
      </c>
      <c r="CN218" s="426">
        <v>26517000020</v>
      </c>
      <c r="CO218" s="427">
        <v>26513000020</v>
      </c>
      <c r="CP218" s="426"/>
      <c r="CQ218" s="426"/>
      <c r="CR218" s="428"/>
      <c r="CS218" s="428"/>
      <c r="CT218" s="428"/>
      <c r="CU218" s="428"/>
      <c r="CV218" s="409">
        <v>10</v>
      </c>
      <c r="CW218" s="398" t="e">
        <f>IF(CV218=0,0,IF(LEN(CN218)=11,_xlfn.XLOOKUP(CN218,'Dispensed Ink Rates'!C:C,'Dispensed Ink Rates'!CS:CS),VLOOKUP(CN218,'Jan-2026 rates'!$E:$F,2,0)))</f>
        <v>#N/A</v>
      </c>
      <c r="CX218" s="409">
        <v>8</v>
      </c>
      <c r="CY218" s="398" t="e">
        <f>IF(CX218=0,0,IF(LEN(CO218)=11,_xlfn.XLOOKUP(CO218,'Dispensed Ink Rates'!C:C,'Dispensed Ink Rates'!CS:CS),VLOOKUP(CO218,'Jan-2026 rates'!$E:$F,2,0)))</f>
        <v>#N/A</v>
      </c>
      <c r="CZ218" s="409"/>
      <c r="DA218" s="398">
        <f>IF(CZ218=0,0,IF(LEN(CP218)=11,_xlfn.XLOOKUP(CP218,'Dispensed Ink Rates'!C:C,'Dispensed Ink Rates'!CS:CS),VLOOKUP(CP218,'Jan-2026 rates'!$E:$F,2,0)))</f>
        <v>0</v>
      </c>
      <c r="DB218" s="409"/>
      <c r="DC218" s="398">
        <f>IF(DB218=0,0,IF(LEN(CQ218)=11,_xlfn.XLOOKUP(CQ218,'Dispensed Ink Rates'!C:C,'Dispensed Ink Rates'!CS:CS),VLOOKUP(CQ218,'Jan-2026 rates'!$E:$F,2,0)))</f>
        <v>0</v>
      </c>
      <c r="DD218" s="409"/>
      <c r="DE218" s="398">
        <f>IF(DD218=0,0,IF(LEN(CR218)=11,_xlfn.XLOOKUP(CR218,'Dispensed Ink Rates'!C:C,'Dispensed Ink Rates'!CS:CS),VLOOKUP(CR218,'Jan-2026 rates'!$E:$F,2,0)))</f>
        <v>0</v>
      </c>
      <c r="DF218" s="409"/>
      <c r="DG218" s="398">
        <f>IF(DF218=0,0,IF(LEN(CS218)=11,_xlfn.XLOOKUP(CS218,'Dispensed Ink Rates'!C:C,'Dispensed Ink Rates'!CS:CS),VLOOKUP(CS218,'Jan-2026 rates'!$E:$F,2,0)))</f>
        <v>0</v>
      </c>
      <c r="DH218" s="409"/>
      <c r="DI218" s="398">
        <f>IF(DH218=0,0,IF(LEN(CT218)=11,_xlfn.XLOOKUP(CT218,'Dispensed Ink Rates'!C:C,'Dispensed Ink Rates'!CS:CS),VLOOKUP(CT218,'Jan-2026 rates'!$E:$F,2,0)))</f>
        <v>0</v>
      </c>
      <c r="DJ218" s="409"/>
      <c r="DK218" s="398">
        <f>IF(DJ218=0,0,IF(LEN(CU218)=11,_xlfn.XLOOKUP(CU218,'Dispensed Ink Rates'!C:C,'Dispensed Ink Rates'!CS:CS),VLOOKUP(CU218,'Jan-2026 rates'!$E:$F,2,0)))</f>
        <v>0</v>
      </c>
      <c r="DL218" s="409" t="s">
        <v>1443</v>
      </c>
      <c r="DM218" s="409">
        <v>27</v>
      </c>
      <c r="DN218" s="411">
        <f t="shared" si="165"/>
        <v>0</v>
      </c>
      <c r="DO218" s="411">
        <f t="shared" si="166"/>
        <v>47.152542372881356</v>
      </c>
      <c r="DP218" s="410">
        <f t="shared" si="167"/>
        <v>0</v>
      </c>
      <c r="DQ218" s="405" t="s">
        <v>855</v>
      </c>
      <c r="DR218" s="409" t="s">
        <v>3849</v>
      </c>
      <c r="DS218" s="420" t="str">
        <f t="shared" si="133"/>
        <v>FLINTSL - CYAN</v>
      </c>
      <c r="DT218" s="409">
        <v>26</v>
      </c>
      <c r="DU218" s="411">
        <f>IF(DT218=0,0,IF($LB218=70%,VLOOKUP($DS218,'Jan-2026 rates'!$L:$R,4,0),IF($LB218=65%,VLOOKUP($DS218,'Jan-2026 rates'!$L:$R,4,0),IF($LB218=40%,VLOOKUP($DS218,'Jan-2026 rates'!$L:$R,5,0),IF($LB218=30%,VLOOKUP($DS218,'Jan-2026 rates'!$L:$R,6,0),IF($LB218=100%,VLOOKUP($DS218,'Jan-2026 rates'!$L:$R,7,0),IF($LB218=60%,VLOOKUP($DS218,'Jan-2026 rates'!$L:$S,8,0),IF($LB218=80%,VLOOKUP($DS218,'Jan-2026 rates'!L:T,9,0),0))))))))</f>
        <v>0</v>
      </c>
      <c r="DV218" s="412"/>
      <c r="DW218" s="409"/>
      <c r="DX218" s="411">
        <f>IF(DW218=0,0,IF($LB218=70%,VLOOKUP($DS218,'Jan-2026 rates'!$L:$R,4,0),IF($LB218=65%,VLOOKUP($DS218,'Jan-2026 rates'!$L:$R,4,0),IF($LB218=40%,VLOOKUP($DS218,'Jan-2026 rates'!$L:$R,5,0),IF($LB218=30%,VLOOKUP($DS218,'Jan-2026 rates'!$L:$R,6,0),IF($LB218=100%,VLOOKUP($DS218,'Jan-2026 rates'!$L:$R,7,0),IF($LB218=60%,VLOOKUP($DS218,'Jan-2026 rates'!$L:$S,8,0),IF($LB218=80%,VLOOKUP($DS218,'Jan-2026 rates'!L:T,9,0),0))))))))</f>
        <v>0</v>
      </c>
      <c r="DY218" s="413"/>
      <c r="DZ218" s="413"/>
      <c r="EA218" s="412"/>
      <c r="EB218" s="412"/>
      <c r="EC218" s="412"/>
      <c r="ED218" s="412"/>
      <c r="EE218" s="412"/>
      <c r="EF218" s="412"/>
      <c r="EG218" s="409"/>
      <c r="EH218" s="398">
        <f>IF(EG218=0,0,IF(LEN(DY218)=11,_xlfn.XLOOKUP(DY218,'Dispensed Ink Rates'!C:C,'Dispensed Ink Rates'!CS:CS),VLOOKUP(DY218,'Jan-2026 rates'!$E:$F,2,0)))</f>
        <v>0</v>
      </c>
      <c r="EI218" s="409"/>
      <c r="EJ218" s="398">
        <f>IF(EI218=0,0,IF(LEN(DZ218)=11,_xlfn.XLOOKUP(DZ218,'Dispensed Ink Rates'!C:C,'Dispensed Ink Rates'!CS:CS),VLOOKUP(DZ218,'Jan-2026 rates'!$E:$F,2,0)))</f>
        <v>0</v>
      </c>
      <c r="EK218" s="409"/>
      <c r="EL218" s="398">
        <f>IF(EK218=0,0,IF(LEN(EA218)=11,_xlfn.XLOOKUP(EA218,'Dispensed Ink Rates'!C:C,'Dispensed Ink Rates'!CS:CS),VLOOKUP(EA218,'Jan-2026 rates'!$E:$F,2,0)))</f>
        <v>0</v>
      </c>
      <c r="EM218" s="409"/>
      <c r="EN218" s="398">
        <f>IF(EM218=0,0,IF(LEN(EB218)=11,_xlfn.XLOOKUP(EB218,'Dispensed Ink Rates'!C:C,'Dispensed Ink Rates'!CS:CS),VLOOKUP(EB218,'Jan-2026 rates'!$E:$F,2,0)))</f>
        <v>0</v>
      </c>
      <c r="EO218" s="409"/>
      <c r="EP218" s="398">
        <f>IF(EO218=0,0,IF(LEN(EC218)=11,_xlfn.XLOOKUP(EC218,'Dispensed Ink Rates'!C:C,'Dispensed Ink Rates'!CS:CS),VLOOKUP(EC218,'Jan-2026 rates'!$E:$F,2,0)))</f>
        <v>0</v>
      </c>
      <c r="EQ218" s="409"/>
      <c r="ER218" s="398">
        <f>IF(EQ218=0,0,IF(LEN(ED218)=11,_xlfn.XLOOKUP(ED218,'Dispensed Ink Rates'!C:C,'Dispensed Ink Rates'!CS:CS),VLOOKUP(ED218,'Jan-2026 rates'!$E:$F,2,0)))</f>
        <v>0</v>
      </c>
      <c r="ES218" s="409"/>
      <c r="ET218" s="398">
        <f>IF(ES218=0,0,IF(LEN(EE218)=11,_xlfn.XLOOKUP(EE218,'Dispensed Ink Rates'!C:C,'Dispensed Ink Rates'!CS:CS),VLOOKUP(EE218,'Jan-2026 rates'!$E:$F,2,0)))</f>
        <v>0</v>
      </c>
      <c r="EU218" s="409"/>
      <c r="EV218" s="398">
        <f>IF(EU218=0,0,IF(LEN(EF218)=11,_xlfn.XLOOKUP(EF218,'Dispensed Ink Rates'!C:C,'Dispensed Ink Rates'!CS:CS),VLOOKUP(EF218,'Jan-2026 rates'!$E:$F,2,0)))</f>
        <v>0</v>
      </c>
      <c r="EW218" s="409" t="s">
        <v>1443</v>
      </c>
      <c r="EX218" s="409">
        <v>25</v>
      </c>
      <c r="EY218" s="411">
        <f t="shared" si="168"/>
        <v>0</v>
      </c>
      <c r="EZ218" s="411">
        <f t="shared" si="169"/>
        <v>4.6610169491525433</v>
      </c>
      <c r="FA218" s="410">
        <f t="shared" si="170"/>
        <v>0</v>
      </c>
      <c r="FB218" s="405" t="s">
        <v>544</v>
      </c>
      <c r="FC218" s="409" t="s">
        <v>3850</v>
      </c>
      <c r="FD218" s="420" t="str">
        <f t="shared" si="134"/>
        <v>FLINTSL - MAGENTA</v>
      </c>
      <c r="FE218" s="409">
        <v>25</v>
      </c>
      <c r="FF218" s="411">
        <f>IF(FE218=0,0,IF($LB218=70%,VLOOKUP($FD218,'Jan-2026 rates'!$L:$R,4,0),IF($LB218=65%,VLOOKUP($FD218,'Jan-2026 rates'!$L:$R,4,0),IF($LB218=40%,VLOOKUP($FD218,'Jan-2026 rates'!$L:$R,5,0),IF($LB218=30%,VLOOKUP($FD218,'Jan-2026 rates'!$L:$R,6,0),IF($LB218=100%,VLOOKUP($FD218,'Jan-2026 rates'!$L:$R,7,0),IF($LB218=60%,VLOOKUP($FD218,'Jan-2026 rates'!$L:$S,8,0),IF($LB218=80%,VLOOKUP($FD218,'Jan-2026 rates'!L:T,9,0),0))))))))</f>
        <v>0</v>
      </c>
      <c r="FG218" s="412"/>
      <c r="FH218" s="409"/>
      <c r="FI218" s="411">
        <f>IF(FH218=0,0,IF($LB218=70%,VLOOKUP($FD218,'Jan-2026 rates'!$L:$R,4,0),IF($LB218=65%,VLOOKUP($FD218,'Jan-2026 rates'!$L:$R,4,0),IF($LB218=40%,VLOOKUP($FD218,'Jan-2026 rates'!$L:$R,5,0),IF($LB218=30%,VLOOKUP($FD218,'Jan-2026 rates'!$L:$R,6,0),IF($LB218=100%,VLOOKUP($FD218,'Jan-2026 rates'!$L:$R,7,0),IF($LB218=60%,VLOOKUP($FD218,'Jan-2026 rates'!$L:$S,8,0),IF($LB218=80%,VLOOKUP($FD218,'Jan-2026 rates'!L:T,9,0),0))))))))</f>
        <v>0</v>
      </c>
      <c r="FJ218" s="413"/>
      <c r="FK218" s="413"/>
      <c r="FL218" s="413"/>
      <c r="FM218" s="412"/>
      <c r="FN218" s="412"/>
      <c r="FO218" s="412"/>
      <c r="FP218" s="412"/>
      <c r="FQ218" s="412"/>
      <c r="FR218" s="409"/>
      <c r="FS218" s="398">
        <f>IF(FR218=0,0,IF(LEN(FJ218)=11,_xlfn.XLOOKUP(FJ218,'Dispensed Ink Rates'!C:C,'Dispensed Ink Rates'!CS:CS),VLOOKUP(FJ218,'Jan-2026 rates'!$E:$F,2,0)))</f>
        <v>0</v>
      </c>
      <c r="FT218" s="409"/>
      <c r="FU218" s="398">
        <f>IF(FT218=0,0,IF(LEN(FK218)=11,_xlfn.XLOOKUP(FK218,'Dispensed Ink Rates'!C:C,'Dispensed Ink Rates'!CS:CS),VLOOKUP(FK218,'Jan-2026 rates'!$E:$F,2,0)))</f>
        <v>0</v>
      </c>
      <c r="FV218" s="409"/>
      <c r="FW218" s="398">
        <f>IF(FV218=0,0,IF(LEN(FL218)=11,_xlfn.XLOOKUP(FL218,'Dispensed Ink Rates'!C:C,'Dispensed Ink Rates'!CS:CS),VLOOKUP(FL218,'Jan-2026 rates'!$E:$F,2,0)))</f>
        <v>0</v>
      </c>
      <c r="FX218" s="409"/>
      <c r="FY218" s="398">
        <f>IF(FX218=0,0,IF(LEN(FM218)=11,_xlfn.XLOOKUP(FM218,'Dispensed Ink Rates'!C:C,'Dispensed Ink Rates'!CS:CS),VLOOKUP(FM218,'Jan-2026 rates'!$E:$F,2,0)))</f>
        <v>0</v>
      </c>
      <c r="FZ218" s="409"/>
      <c r="GA218" s="398">
        <f>IF(FZ218=0,0,IF(LEN(FN218)=11,_xlfn.XLOOKUP(FN218,'Dispensed Ink Rates'!C:C,'Dispensed Ink Rates'!CS:CS),VLOOKUP(FN218,'Jan-2026 rates'!$E:$F,2,0)))</f>
        <v>0</v>
      </c>
      <c r="GB218" s="409"/>
      <c r="GC218" s="398">
        <f>IF(GB218=0,0,IF(LEN(FO218)=11,_xlfn.XLOOKUP(FO218,'Dispensed Ink Rates'!C:C,'Dispensed Ink Rates'!CS:CS),VLOOKUP(FO218,'Jan-2026 rates'!$E:$F,2,0)))</f>
        <v>0</v>
      </c>
      <c r="GD218" s="409"/>
      <c r="GE218" s="398">
        <f>IF(GD218=0,0,IF(LEN(FP218)=11,_xlfn.XLOOKUP(FP218,'Dispensed Ink Rates'!C:C,'Dispensed Ink Rates'!CS:CS),VLOOKUP(FP218,'Jan-2026 rates'!$E:$F,2,0)))</f>
        <v>0</v>
      </c>
      <c r="GF218" s="409"/>
      <c r="GG218" s="398">
        <f>IF(GF218=0,0,IF(LEN(FQ218)=11,_xlfn.XLOOKUP(FQ218,'Dispensed Ink Rates'!C:C,'Dispensed Ink Rates'!CS:CS),VLOOKUP(FQ218,'Jan-2026 rates'!$E:$F,2,0)))</f>
        <v>0</v>
      </c>
      <c r="GH218" s="409" t="s">
        <v>1443</v>
      </c>
      <c r="GI218" s="409">
        <v>24</v>
      </c>
      <c r="GJ218" s="411">
        <f t="shared" si="171"/>
        <v>0</v>
      </c>
      <c r="GK218" s="411">
        <f t="shared" si="172"/>
        <v>4.6610169491525433</v>
      </c>
      <c r="GL218" s="410">
        <f t="shared" si="173"/>
        <v>0</v>
      </c>
      <c r="GM218" s="405" t="s">
        <v>545</v>
      </c>
      <c r="GN218" s="409" t="s">
        <v>3851</v>
      </c>
      <c r="GO218" s="420" t="str">
        <f t="shared" si="135"/>
        <v>FLINTSL - YELLOW</v>
      </c>
      <c r="GP218" s="409">
        <v>26</v>
      </c>
      <c r="GQ218" s="411">
        <f>IF(GP218=0,0,IF($LB218=70%,VLOOKUP($GO218,'Jan-2026 rates'!$L:$R,4,0),IF($LB218=65%,VLOOKUP($GO218,'Jan-2026 rates'!$L:$R,4,0),IF($LB218=40%,VLOOKUP($GO218,'Jan-2026 rates'!$L:$R,5,0),IF($LB218=30%,VLOOKUP($GO218,'Jan-2026 rates'!$L:$R,6,0),IF($LB218=100%,VLOOKUP($GO218,'Jan-2026 rates'!$L:$R,7,0),IF($LB218=60%,VLOOKUP($GO218,'Jan-2026 rates'!$L:$S,8,0),IF($LB218=80%,VLOOKUP($GO218,'Jan-2026 rates'!L:T,9,0),0))))))))</f>
        <v>0</v>
      </c>
      <c r="GR218" s="412"/>
      <c r="GS218" s="409"/>
      <c r="GT218" s="411">
        <f>IF(GS218=0,0,IF($LB218=70%,VLOOKUP($GO218,'Jan-2026 rates'!$L:$R,4,0),IF($LB218=65%,VLOOKUP($GO218,'Jan-2026 rates'!$L:$R,4,0),IF($LB218=40%,VLOOKUP($GO218,'Jan-2026 rates'!$L:$R,5,0),IF($LB218=30%,VLOOKUP($GO218,'Jan-2026 rates'!$L:$R,6,0),IF($LB218=100%,VLOOKUP($GO218,'Jan-2026 rates'!$L:$R,7,0),IF($LB218=60%,VLOOKUP($GO218,'Jan-2026 rates'!$L:$S,8,0),IF($LB218=80%,VLOOKUP($GO218,'Jan-2026 rates'!L:T,9,0),0))))))))</f>
        <v>0</v>
      </c>
      <c r="GU218" s="413">
        <v>26515000007</v>
      </c>
      <c r="GV218" s="413"/>
      <c r="GW218" s="412"/>
      <c r="GX218" s="412"/>
      <c r="GY218" s="412"/>
      <c r="GZ218" s="412"/>
      <c r="HA218" s="412"/>
      <c r="HB218" s="412"/>
      <c r="HC218" s="409">
        <v>6</v>
      </c>
      <c r="HD218" s="398" t="e">
        <f>IF(HC218=0,0,IF(LEN(GU218)=11,_xlfn.XLOOKUP(GU218,'Dispensed Ink Rates'!C:C,'Dispensed Ink Rates'!CS:CS),VLOOKUP(GU218,'Jan-2026 rates'!$E:$F,2,0)))</f>
        <v>#N/A</v>
      </c>
      <c r="HE218" s="409"/>
      <c r="HF218" s="398">
        <f>IF(HE218=0,0,IF(LEN(GV218)=11,_xlfn.XLOOKUP(GV218,'Dispensed Ink Rates'!C:C,'Dispensed Ink Rates'!CS:CS),VLOOKUP(GV218,'Jan-2026 rates'!$E:$F,2,0)))</f>
        <v>0</v>
      </c>
      <c r="HG218" s="409"/>
      <c r="HH218" s="398">
        <f>IF(HG218=0,0,IF(LEN(GW218)=11,_xlfn.XLOOKUP(GW218,'Dispensed Ink Rates'!C:C,'Dispensed Ink Rates'!CS:CS),VLOOKUP(GW218,'Jan-2026 rates'!$E:$F,2,0)))</f>
        <v>0</v>
      </c>
      <c r="HI218" s="409"/>
      <c r="HJ218" s="398">
        <f>IF(HI218=0,0,IF(LEN(GX218)=11,_xlfn.XLOOKUP(GX218,'Dispensed Ink Rates'!C:C,'Dispensed Ink Rates'!CS:CS),VLOOKUP(GX218,'Jan-2026 rates'!$E:$F,2,0)))</f>
        <v>0</v>
      </c>
      <c r="HK218" s="409"/>
      <c r="HL218" s="398">
        <f>IF(HK218=0,0,IF(LEN(GY218)=11,_xlfn.XLOOKUP(GY218,'Dispensed Ink Rates'!C:C,'Dispensed Ink Rates'!CS:CS),VLOOKUP(GY218,'Jan-2026 rates'!$E:$F,2,0)))</f>
        <v>0</v>
      </c>
      <c r="HM218" s="409"/>
      <c r="HN218" s="398">
        <f>IF(HM218=0,0,IF(LEN(GZ218)=11,_xlfn.XLOOKUP(GZ218,'Dispensed Ink Rates'!C:C,'Dispensed Ink Rates'!CS:CS),VLOOKUP(GZ218,'Jan-2026 rates'!$E:$F,2,0)))</f>
        <v>0</v>
      </c>
      <c r="HO218" s="409"/>
      <c r="HP218" s="398">
        <f>IF(HO218=0,0,IF(LEN(HA218)=11,_xlfn.XLOOKUP(HA218,'Dispensed Ink Rates'!C:C,'Dispensed Ink Rates'!CS:CS),VLOOKUP(HA218,'Jan-2026 rates'!$E:$F,2,0)))</f>
        <v>0</v>
      </c>
      <c r="HQ218" s="409"/>
      <c r="HR218" s="398">
        <f>IF(HQ218=0,0,IF(LEN(HB218)=11,_xlfn.XLOOKUP(HB218,'Dispensed Ink Rates'!C:C,'Dispensed Ink Rates'!CS:CS),VLOOKUP(HB218,'Jan-2026 rates'!$E:$F,2,0)))</f>
        <v>0</v>
      </c>
      <c r="HS218" s="409" t="s">
        <v>1443</v>
      </c>
      <c r="HT218" s="409">
        <v>27</v>
      </c>
      <c r="HU218" s="411">
        <f t="shared" si="174"/>
        <v>0</v>
      </c>
      <c r="HV218" s="411">
        <f t="shared" si="175"/>
        <v>14.152542372881356</v>
      </c>
      <c r="HW218" s="414">
        <f t="shared" si="176"/>
        <v>0</v>
      </c>
      <c r="HX218" s="405" t="s">
        <v>856</v>
      </c>
      <c r="HY218" s="409" t="s">
        <v>3852</v>
      </c>
      <c r="HZ218" s="420" t="str">
        <f t="shared" si="136"/>
        <v>FLINTSL - WHITE</v>
      </c>
      <c r="IA218" s="409">
        <v>20</v>
      </c>
      <c r="IB218" s="411">
        <f>IF(IA218=0,0,IF($LB218=70%,VLOOKUP($HZ218,'Jan-2026 rates'!$L:$R,4,0),IF($LB218=65%,VLOOKUP($HZ218,'Jan-2026 rates'!$L:$R,4,0),IF($LB218=40%,VLOOKUP($HZ218,'Jan-2026 rates'!$L:$R,5,0),IF($LB218=30%,VLOOKUP($HZ218,'Jan-2026 rates'!$L:$R,6,0),IF($LB218=100%,VLOOKUP($HZ218,'Jan-2026 rates'!$L:$R,7,0),IF($LB218=60%,VLOOKUP($HZ218,'Jan-2026 rates'!$L:$S,8,0),IF($LB218=80%,VLOOKUP($HZ218,'Jan-2026 rates'!L:T,9,0),0))))))))</f>
        <v>0</v>
      </c>
      <c r="IC218" s="412"/>
      <c r="ID218" s="409"/>
      <c r="IE218" s="411">
        <f>IF(ID218=0,0,IF($LB218=70%,VLOOKUP($HZ218,'Jan-2026 rates'!$L:$R,4,0),IF($LB218=65%,VLOOKUP($HZ218,'Jan-2026 rates'!$L:$R,4,0),IF($LB218=40%,VLOOKUP($HZ218,'Jan-2026 rates'!$L:$R,5,0),IF($LB218=30%,VLOOKUP($HZ218,'Jan-2026 rates'!$L:$R,6,0),IF($LB218=100%,VLOOKUP($HZ218,'Jan-2026 rates'!$L:$R,7,0),IF($LB218=60%,VLOOKUP($HZ218,'Jan-2026 rates'!$L:$S,8,0),IF($LB218=80%,VLOOKUP($HZ218,'Jan-2026 rates'!L:T,9,0),0))))))))</f>
        <v>0</v>
      </c>
      <c r="IF218" s="412" t="s">
        <v>484</v>
      </c>
      <c r="IG218" s="413"/>
      <c r="IH218" s="412"/>
      <c r="II218" s="412"/>
      <c r="IJ218" s="412"/>
      <c r="IK218" s="412"/>
      <c r="IL218" s="412"/>
      <c r="IM218" s="412"/>
      <c r="IN218" s="409">
        <v>50</v>
      </c>
      <c r="IO218" s="398">
        <f>IF(IN218=0,0,IF(LEN(IF218)=11,_xlfn.XLOOKUP(IF218,'Dispensed Ink Rates'!C:C,'Dispensed Ink Rates'!CS:CS),VLOOKUP(IF218,'Jan-2026 rates'!$E:$F,2,0)))</f>
        <v>0</v>
      </c>
      <c r="IP218" s="409"/>
      <c r="IQ218" s="398">
        <f>IF(IP218=0,0,IF(LEN(IG218)=11,_xlfn.XLOOKUP(IG218,'Dispensed Ink Rates'!C:C,'Dispensed Ink Rates'!CS:CS),VLOOKUP(IG218,'Jan-2026 rates'!$E:$F,2,0)))</f>
        <v>0</v>
      </c>
      <c r="IR218" s="409"/>
      <c r="IS218" s="398">
        <f>IF(IR218=0,0,IF(LEN(IH218)=11,_xlfn.XLOOKUP(IH218,'Dispensed Ink Rates'!C:C,'Dispensed Ink Rates'!CS:CS),VLOOKUP(IH218,'Jan-2026 rates'!$E:$F,2,0)))</f>
        <v>0</v>
      </c>
      <c r="IT218" s="409"/>
      <c r="IU218" s="398">
        <f>IF(IT218=0,0,IF(LEN(II218)=11,_xlfn.XLOOKUP(II218,'Dispensed Ink Rates'!C:C,'Dispensed Ink Rates'!CS:CS),VLOOKUP(II218,'Jan-2026 rates'!$E:$F,2,0)))</f>
        <v>0</v>
      </c>
      <c r="IV218" s="409"/>
      <c r="IW218" s="398">
        <f>IF(IV218=0,0,IF(LEN(IJ218)=11,_xlfn.XLOOKUP(IJ218,'Dispensed Ink Rates'!C:C,'Dispensed Ink Rates'!CS:CS),VLOOKUP(IJ218,'Jan-2026 rates'!$E:$F,2,0)))</f>
        <v>0</v>
      </c>
      <c r="IX218" s="409"/>
      <c r="IY218" s="398">
        <f>IF(IX218=0,0,IF(LEN(IK218)=11,_xlfn.XLOOKUP(IK218,'Dispensed Ink Rates'!C:C,'Dispensed Ink Rates'!CS:CS),VLOOKUP(IK218,'Jan-2026 rates'!$E:$F,2,0)))</f>
        <v>0</v>
      </c>
      <c r="IZ218" s="409"/>
      <c r="JA218" s="398">
        <f>IF(IZ218=0,0,IF(LEN(IL218)=11,_xlfn.XLOOKUP(IL218,'Dispensed Ink Rates'!C:C,'Dispensed Ink Rates'!CS:CS),VLOOKUP(IL218,'Jan-2026 rates'!$E:$F,2,0)))</f>
        <v>0</v>
      </c>
      <c r="JB218" s="409"/>
      <c r="JC218" s="398">
        <f>IF(JB218=0,0,IF(LEN(IM218)=11,_xlfn.XLOOKUP(IM218,'Dispensed Ink Rates'!C:C,'Dispensed Ink Rates'!CS:CS),VLOOKUP(IM218,'Jan-2026 rates'!$E:$F,2,0)))</f>
        <v>0</v>
      </c>
      <c r="JD218" s="409" t="s">
        <v>1443</v>
      </c>
      <c r="JE218" s="409">
        <v>25</v>
      </c>
      <c r="JF218" s="411">
        <f t="shared" si="177"/>
        <v>0</v>
      </c>
      <c r="JG218" s="411">
        <f t="shared" si="178"/>
        <v>109.06779661016949</v>
      </c>
      <c r="JH218" s="410">
        <f t="shared" si="179"/>
        <v>0</v>
      </c>
      <c r="JI218" s="405"/>
      <c r="JJ218" s="409"/>
      <c r="JK218" s="420" t="str">
        <f t="shared" si="137"/>
        <v xml:space="preserve"> - </v>
      </c>
      <c r="JL218" s="409"/>
      <c r="JM218" s="411">
        <f>IF(JL218=0,0,IF($LB218=70%,VLOOKUP($JK218,'Jan-2026 rates'!$L:$R,4,0),IF($LB218=65%,VLOOKUP($JK218,'Jan-2026 rates'!$L:$R,4,0),IF($LB218=40%,VLOOKUP($JK218,'Jan-2026 rates'!$L:$R,5,0),IF($LB218=30%,VLOOKUP($JK218,'Jan-2026 rates'!$L:$R,6,0),IF($LB218=100%,VLOOKUP($JK218,'Jan-2026 rates'!$L:$R,7,0),IF($LB218=60%,VLOOKUP($JK218,'Jan-2026 rates'!$L:$S,8,0),IF($LB218=80%,VLOOKUP($JK218,'Jan-2026 rates'!L:T,9,0),0))))))))</f>
        <v>0</v>
      </c>
      <c r="JN218" s="412"/>
      <c r="JO218" s="409"/>
      <c r="JP218" s="411">
        <f>IF(JO218=0,0,IF($LB218=70%,VLOOKUP($JK218,'Jan-2026 rates'!$L:$R,4,0),IF($LB218=65%,VLOOKUP($JK218,'Jan-2026 rates'!$L:$R,4,0),IF($LB218=40%,VLOOKUP($JK218,'Jan-2026 rates'!$L:$R,5,0),IF($LB218=30%,VLOOKUP($JK218,'Jan-2026 rates'!$L:$R,6,0),IF($LB218=100%,VLOOKUP($JK218,'Jan-2026 rates'!$L:$R,7,0),IF($LB218=60%,VLOOKUP($JK218,'Jan-2026 rates'!$L:$S,8,0),IF($LB218=80%,VLOOKUP($JK218,'Jan-2026 rates'!L:T,9,0),0))))))))</f>
        <v>0</v>
      </c>
      <c r="JQ218" s="413"/>
      <c r="JR218" s="412"/>
      <c r="JS218" s="413"/>
      <c r="JT218" s="413"/>
      <c r="JU218" s="412"/>
      <c r="JV218" s="412"/>
      <c r="JW218" s="412"/>
      <c r="JX218" s="412"/>
      <c r="JY218" s="409"/>
      <c r="JZ218" s="398">
        <f>IF(JY218=0,0,IF(LEN(JQ218)=11,_xlfn.XLOOKUP(JQ218,'Dispensed Ink Rates'!C:C,'Dispensed Ink Rates'!CS:CS),VLOOKUP(JQ218,'Jan-2026 rates'!$E:$F,2,0)))</f>
        <v>0</v>
      </c>
      <c r="KA218" s="409"/>
      <c r="KB218" s="398">
        <f>IF(KA218=0,0,IF(LEN(JR218)=11,_xlfn.XLOOKUP(JR218,'Dispensed Ink Rates'!C:C,'Dispensed Ink Rates'!CS:CS),VLOOKUP(JR218,'Jan-2026 rates'!$E:$F,2,0)))</f>
        <v>0</v>
      </c>
      <c r="KC218" s="409"/>
      <c r="KD218" s="398">
        <f>IF(KC218=0,0,IF(LEN(JS218)=11,_xlfn.XLOOKUP(JS218,'Dispensed Ink Rates'!C:C,'Dispensed Ink Rates'!CS:CS),VLOOKUP(JS218,'Jan-2026 rates'!$E:$F,2,0)))</f>
        <v>0</v>
      </c>
      <c r="KE218" s="409"/>
      <c r="KF218" s="398">
        <f>IF(KE218=0,0,IF(LEN(JT218)=11,_xlfn.XLOOKUP(JT218,'Dispensed Ink Rates'!C:C,'Dispensed Ink Rates'!CS:CS),VLOOKUP(JT218,'Jan-2026 rates'!$E:$F,2,0)))</f>
        <v>0</v>
      </c>
      <c r="KG218" s="409"/>
      <c r="KH218" s="398">
        <f>IF(KG218=0,0,IF(LEN(JU218)=11,_xlfn.XLOOKUP(JU218,'Dispensed Ink Rates'!C:C,'Dispensed Ink Rates'!CS:CS),VLOOKUP(JU218,'Jan-2026 rates'!$E:$F,2,0)))</f>
        <v>0</v>
      </c>
      <c r="KI218" s="409"/>
      <c r="KJ218" s="398">
        <f>IF(KI218=0,0,IF(LEN(JV218)=11,_xlfn.XLOOKUP(JV218,'Dispensed Ink Rates'!C:C,'Dispensed Ink Rates'!CS:CS),VLOOKUP(JV218,'Jan-2026 rates'!$E:$F,2,0)))</f>
        <v>0</v>
      </c>
      <c r="KK218" s="409"/>
      <c r="KL218" s="398">
        <f>IF(KK218=0,0,IF(LEN(JW218)=11,_xlfn.XLOOKUP(JW218,'Dispensed Ink Rates'!C:C,'Dispensed Ink Rates'!CS:CS),VLOOKUP(JW218,'Jan-2026 rates'!$E:$F,2,0)))</f>
        <v>0</v>
      </c>
      <c r="KM218" s="428"/>
      <c r="KN218" s="398">
        <f>IF(KM218=0,0,IF(LEN(JX218)=11,_xlfn.XLOOKUP(JX218,'Dispensed Ink Rates'!C:C,'Dispensed Ink Rates'!CS:CS),VLOOKUP(JX218,'Jan-2026 rates'!$E:$F,2,0)))</f>
        <v>0</v>
      </c>
      <c r="KO218" s="409"/>
      <c r="KP218" s="409"/>
      <c r="KQ218" s="411">
        <f t="shared" si="180"/>
        <v>0</v>
      </c>
      <c r="KR218" s="411">
        <f t="shared" si="181"/>
        <v>0</v>
      </c>
      <c r="KS218" s="410">
        <f t="shared" si="182"/>
        <v>0</v>
      </c>
      <c r="KT218" s="409">
        <v>2</v>
      </c>
      <c r="KU218" s="409">
        <v>8</v>
      </c>
      <c r="KV218" s="409">
        <v>5</v>
      </c>
      <c r="KW218" s="409">
        <v>2</v>
      </c>
      <c r="KX218" s="409">
        <v>2</v>
      </c>
      <c r="KY218" s="409">
        <v>5</v>
      </c>
      <c r="KZ218" s="409">
        <v>35</v>
      </c>
      <c r="LA218" s="409">
        <v>0</v>
      </c>
      <c r="LB218" s="415">
        <v>0.8</v>
      </c>
      <c r="LC218" s="415">
        <v>0.2</v>
      </c>
      <c r="LD218" s="415"/>
      <c r="LE218" s="415"/>
      <c r="LF218" s="415"/>
      <c r="LG218" s="409">
        <v>0</v>
      </c>
      <c r="LH218" s="409">
        <f>35+33+32+8</f>
        <v>108</v>
      </c>
      <c r="LI218" s="409">
        <v>0</v>
      </c>
      <c r="LJ218" s="409">
        <v>0</v>
      </c>
      <c r="LK218" s="416">
        <f t="shared" si="138"/>
        <v>108</v>
      </c>
      <c r="LL218" s="416">
        <f t="shared" si="139"/>
        <v>108</v>
      </c>
      <c r="LM218" s="417">
        <f t="shared" si="140"/>
        <v>86.4</v>
      </c>
      <c r="LN218" s="417">
        <f>VLOOKUP($LM$8,'Jan-2026 rates'!$H:$I,2,0)</f>
        <v>0</v>
      </c>
      <c r="LO218" s="417">
        <f t="shared" si="141"/>
        <v>21.6</v>
      </c>
      <c r="LP218" s="417">
        <f>VLOOKUP($LO$8,'Jan-2026 rates'!$H:$I,2,0)</f>
        <v>0</v>
      </c>
      <c r="LQ218" s="417">
        <f t="shared" si="142"/>
        <v>0</v>
      </c>
      <c r="LR218" s="417">
        <f>VLOOKUP($LQ$8,'Jan-2026 rates'!$H:$I,2,0)</f>
        <v>0</v>
      </c>
      <c r="LS218" s="417">
        <f t="shared" si="143"/>
        <v>0</v>
      </c>
      <c r="LT218" s="417">
        <f>VLOOKUP($LS$8,'Jan-2026 rates'!$H:$I,2,0)</f>
        <v>0</v>
      </c>
      <c r="LU218" s="417">
        <f t="shared" si="144"/>
        <v>0</v>
      </c>
      <c r="LV218" s="417">
        <f>VLOOKUP($LU$8,'Jan-2026 rates'!$H:$I,2,0)</f>
        <v>0</v>
      </c>
      <c r="LW218" s="417">
        <f t="shared" si="145"/>
        <v>0</v>
      </c>
      <c r="LX218" s="417">
        <f t="shared" si="146"/>
        <v>0</v>
      </c>
      <c r="LY218" s="418">
        <f t="shared" si="147"/>
        <v>0</v>
      </c>
      <c r="LZ218" s="417"/>
      <c r="MA218" s="435">
        <f t="shared" si="148"/>
        <v>93</v>
      </c>
      <c r="MB218" s="282">
        <f t="shared" si="149"/>
        <v>193</v>
      </c>
      <c r="MC218" s="283">
        <v>111</v>
      </c>
      <c r="MD218" s="284" t="str">
        <f t="shared" si="150"/>
        <v>FLINTSLFLINTSLFLINTSLFLINTSLFLINTSLFLINTSLFLINTSL</v>
      </c>
      <c r="ME218" s="293" t="str">
        <f t="shared" si="151"/>
        <v>+</v>
      </c>
      <c r="MF218" s="293" t="str">
        <f t="shared" si="152"/>
        <v>+</v>
      </c>
      <c r="MG218" s="293" t="str">
        <f t="shared" si="153"/>
        <v>+</v>
      </c>
      <c r="MH218" s="293" t="str">
        <f t="shared" si="154"/>
        <v>+</v>
      </c>
      <c r="MI218" s="293" t="str">
        <f t="shared" si="155"/>
        <v>+</v>
      </c>
      <c r="MJ218" s="293" t="str">
        <f t="shared" si="156"/>
        <v>+</v>
      </c>
      <c r="MK218" s="293" t="str">
        <f t="shared" si="157"/>
        <v>+</v>
      </c>
      <c r="ML218" s="293" t="str">
        <f t="shared" si="158"/>
        <v>NIL</v>
      </c>
      <c r="MM218" s="3" t="b">
        <f t="array" ref="MM218">OR(ME218:ML218="-")</f>
        <v>0</v>
      </c>
      <c r="MN218" s="285"/>
      <c r="MO218" s="401"/>
      <c r="MP218" s="286"/>
      <c r="MQ218" s="286"/>
      <c r="MR218" s="402"/>
      <c r="MS218" s="400"/>
      <c r="NH218" s="422"/>
      <c r="NJ218" s="421"/>
    </row>
    <row r="219" spans="1:374" s="1" customFormat="1" ht="16.5">
      <c r="A219" s="403">
        <v>46038</v>
      </c>
      <c r="B219" s="404" t="s">
        <v>1015</v>
      </c>
      <c r="C219" s="405" t="s">
        <v>3853</v>
      </c>
      <c r="D219" s="406">
        <v>112</v>
      </c>
      <c r="E219" s="404">
        <v>886</v>
      </c>
      <c r="F219" s="407">
        <v>55700</v>
      </c>
      <c r="G219" s="407" t="s">
        <v>1019</v>
      </c>
      <c r="H219" s="408" t="s">
        <v>1017</v>
      </c>
      <c r="I219" s="409">
        <v>1.9</v>
      </c>
      <c r="J219" s="405" t="s">
        <v>543</v>
      </c>
      <c r="K219" s="404" t="s">
        <v>3363</v>
      </c>
      <c r="L219" s="419" t="str">
        <f t="shared" si="131"/>
        <v>FLINTSL - BLACK</v>
      </c>
      <c r="M219" s="404">
        <v>30</v>
      </c>
      <c r="N219" s="410">
        <f>IF(M219=0,0,IF($LB219=70%,VLOOKUP($L219,'Jan-2026 rates'!$L:$R,4,0),IF($LB219=65%,VLOOKUP($L219,'Jan-2026 rates'!$L:$R,4,0),IF($LB219=40%,VLOOKUP($L219,'Jan-2026 rates'!$L:$R,5,0),IF($LB219=30%,VLOOKUP($L219,'Jan-2026 rates'!$L:$R,6,0),IF($LB219=100%,VLOOKUP($L219,'Jan-2026 rates'!$L:$R,7,0),IF($LB219=60%,VLOOKUP($L219,'Jan-2026 rates'!$L:$S,8,0),IF($LB219=80%,VLOOKUP($L219,'Jan-2026 rates'!L:T,9,0),0))))))))</f>
        <v>0</v>
      </c>
      <c r="O219" s="406"/>
      <c r="P219" s="404"/>
      <c r="Q219" s="410">
        <f>IF(P219=0,0,IF($LB219=70%,VLOOKUP($L219,'Jan-2026 rates'!$L:$R,4,0),IF($LB219=65%,VLOOKUP($L219,'Jan-2026 rates'!$L:$R,4,0),IF($LB219=40%,VLOOKUP($L219,'Jan-2026 rates'!$L:$R,5,0),IF($LB219=30%,VLOOKUP($L219,'Jan-2026 rates'!$L:$R,6,0),IF($LB219=100%,VLOOKUP($L219,'Jan-2026 rates'!$L:$R,7,0),IF($LB219=60%,VLOOKUP($L219,'Jan-2026 rates'!$L:$S,8,0),IF($LB219=80%,VLOOKUP($L219,'Jan-2026 rates'!L:T,9,0),0))))))))</f>
        <v>0</v>
      </c>
      <c r="R219" s="406">
        <v>26520000005</v>
      </c>
      <c r="S219" s="406"/>
      <c r="T219" s="406"/>
      <c r="U219" s="406"/>
      <c r="V219" s="406"/>
      <c r="W219" s="406"/>
      <c r="X219" s="406"/>
      <c r="Y219" s="406"/>
      <c r="Z219" s="404">
        <v>6</v>
      </c>
      <c r="AA219" s="398" t="e">
        <f>IF(Z219=0,0,IF(LEN(R219)=11,_xlfn.XLOOKUP(R219,'Dispensed Ink Rates'!C:C,'Dispensed Ink Rates'!CS:CS),VLOOKUP(R219,'Jan-2026 rates'!$E:$F,2,0)))</f>
        <v>#N/A</v>
      </c>
      <c r="AB219" s="404"/>
      <c r="AC219" s="398">
        <f>IF(AB219=0,0,IF(LEN(S219)=11,_xlfn.XLOOKUP(S219,'Dispensed Ink Rates'!C:C,'Dispensed Ink Rates'!CS:CS),VLOOKUP(S219,'Jan-2026 rates'!$E:$F,2,0)))</f>
        <v>0</v>
      </c>
      <c r="AD219" s="404"/>
      <c r="AE219" s="398">
        <f>IF(AD219=0,0,IF(LEN(T219)=11,_xlfn.XLOOKUP(T219,'Dispensed Ink Rates'!C:C,'Dispensed Ink Rates'!CS:CS),VLOOKUP(T219,'Jan-2026 rates'!$E:$F,2,0)))</f>
        <v>0</v>
      </c>
      <c r="AF219" s="404"/>
      <c r="AG219" s="398">
        <f>IF(AF219=0,0,IF(LEN(U219)=11,_xlfn.XLOOKUP(U219,'Dispensed Ink Rates'!C:C,'Dispensed Ink Rates'!CS:CS),VLOOKUP(U219,'Jan-2026 rates'!$E:$F,2,0)))</f>
        <v>0</v>
      </c>
      <c r="AH219" s="404"/>
      <c r="AI219" s="398">
        <f>IF(AH219=0,0,IF(LEN(V219)=11,_xlfn.XLOOKUP(V219,'Dispensed Ink Rates'!C:C,'Dispensed Ink Rates'!CS:CS),VLOOKUP(V219,'Jan-2026 rates'!$E:$F,2,0)))</f>
        <v>0</v>
      </c>
      <c r="AJ219" s="404"/>
      <c r="AK219" s="398">
        <f>IF(AJ219=0,0,IF(LEN(W219)=11,_xlfn.XLOOKUP(W219,'Dispensed Ink Rates'!C:C,'Dispensed Ink Rates'!CS:CS),VLOOKUP(W219,'Jan-2026 rates'!$E:$F,2,0)))</f>
        <v>0</v>
      </c>
      <c r="AL219" s="404"/>
      <c r="AM219" s="398">
        <f>IF(AL219=0,0,IF(LEN(X219)=11,_xlfn.XLOOKUP(X219,'Dispensed Ink Rates'!C:C,'Dispensed Ink Rates'!CS:CS),VLOOKUP(X219,'Jan-2026 rates'!$E:$F,2,0)))</f>
        <v>0</v>
      </c>
      <c r="AN219" s="404"/>
      <c r="AO219" s="398">
        <f>IF(AN219=0,0,IF(LEN(Y219)=11,_xlfn.XLOOKUP(Y219,'Dispensed Ink Rates'!C:C,'Dispensed Ink Rates'!CS:CS),VLOOKUP(Y219,'Jan-2026 rates'!$E:$F,2,0)))</f>
        <v>0</v>
      </c>
      <c r="AP219" s="409" t="s">
        <v>1443</v>
      </c>
      <c r="AQ219" s="409">
        <v>28</v>
      </c>
      <c r="AR219" s="410">
        <f t="shared" si="159"/>
        <v>0</v>
      </c>
      <c r="AS219" s="411">
        <f t="shared" si="160"/>
        <v>21.434343434343432</v>
      </c>
      <c r="AT219" s="410">
        <f t="shared" si="161"/>
        <v>0</v>
      </c>
      <c r="AU219" s="405" t="s">
        <v>546</v>
      </c>
      <c r="AV219" s="409" t="s">
        <v>3854</v>
      </c>
      <c r="AW219" s="420" t="str">
        <f t="shared" si="183"/>
        <v>FLINTSL - REFLEX BLUE</v>
      </c>
      <c r="AX219" s="409">
        <v>20</v>
      </c>
      <c r="AY219" s="411">
        <f>IF(AX219=0,0,IF($LB219=70%,VLOOKUP($AW219,'Jan-2026 rates'!$L:$R,4,0),IF($LB219=65%,VLOOKUP($AW219,'Jan-2026 rates'!$L:$R,4,0),IF($LB219=40%,VLOOKUP($AW219,'Jan-2026 rates'!$L:$R,5,0),IF($LB219=30%,VLOOKUP($AW219,'Jan-2026 rates'!$L:$R,6,0),IF($LB219=100%,VLOOKUP($AW219,'Jan-2026 rates'!$L:$R,7,0),IF($LB219=60%,VLOOKUP($AW219,'Jan-2026 rates'!$L:$S,8,0),IF($LB219=80%,VLOOKUP($AW219,'Jan-2026 rates'!L:T,9,0),0))))))))</f>
        <v>0</v>
      </c>
      <c r="AZ219" s="412"/>
      <c r="BA219" s="409"/>
      <c r="BB219" s="411">
        <f>IF(BA219=0,0,IF($LB219=70%,VLOOKUP($AW219,'Jan-2026 rates'!$L:$R,4,0),IF($LB219=65%,VLOOKUP($AW219,'Jan-2026 rates'!$L:$R,4,0),IF($LB219=40%,VLOOKUP($AW219,'Jan-2026 rates'!$L:$R,5,0),IF($LB219=30%,VLOOKUP($AW219,'Jan-2026 rates'!$L:$R,6,0),IF($LB219=100%,VLOOKUP($AW219,'Jan-2026 rates'!$L:$R,7,0),IF($LB219=60%,VLOOKUP($AW219,'Jan-2026 rates'!$L:$S,8,0),IF($LB219=80%,VLOOKUP($AW219,'Jan-2026 rates'!L:T,9,0),0))))))))</f>
        <v>0</v>
      </c>
      <c r="BC219" s="413">
        <v>26513000011</v>
      </c>
      <c r="BD219" s="412">
        <v>26512000001</v>
      </c>
      <c r="BE219" s="412"/>
      <c r="BF219" s="413"/>
      <c r="BG219" s="412"/>
      <c r="BH219" s="412"/>
      <c r="BI219" s="412"/>
      <c r="BJ219" s="412"/>
      <c r="BK219" s="409">
        <v>6</v>
      </c>
      <c r="BL219" s="398" t="e">
        <f>IF(BK219=0,0,IF(LEN(BC219)=11,_xlfn.XLOOKUP(BC219,'Dispensed Ink Rates'!C:C,'Dispensed Ink Rates'!CS:CS),VLOOKUP(BC219,'Jan-2026 rates'!$E:$F,2,0)))</f>
        <v>#N/A</v>
      </c>
      <c r="BM219" s="409">
        <v>6</v>
      </c>
      <c r="BN219" s="398" t="e">
        <f>IF(BM219=0,0,IF(LEN(BD219)=11,_xlfn.XLOOKUP(BD219,'Dispensed Ink Rates'!C:C,'Dispensed Ink Rates'!CS:CS),VLOOKUP(BD219,'Jan-2026 rates'!$E:$F,2,0)))</f>
        <v>#N/A</v>
      </c>
      <c r="BO219" s="409"/>
      <c r="BP219" s="398">
        <f>IF(BO219=0,0,IF(LEN(BE219)=11,_xlfn.XLOOKUP(BE219,'Dispensed Ink Rates'!C:C,'Dispensed Ink Rates'!CS:CS),VLOOKUP(BE219,'Jan-2026 rates'!$E:$F,2,0)))</f>
        <v>0</v>
      </c>
      <c r="BQ219" s="409"/>
      <c r="BR219" s="398">
        <f>IF(BQ219=0,0,IF(LEN(BF219)=11,_xlfn.XLOOKUP(BF219,'Dispensed Ink Rates'!C:C,'Dispensed Ink Rates'!CS:CS),VLOOKUP(BF219,'Jan-2026 rates'!$E:$F,2,0)))</f>
        <v>0</v>
      </c>
      <c r="BS219" s="409"/>
      <c r="BT219" s="398">
        <f>IF(BS219=0,0,IF(LEN(BG219)=11,_xlfn.XLOOKUP(BG219,'Dispensed Ink Rates'!C:C,'Dispensed Ink Rates'!CS:CS),VLOOKUP(BG219,'Jan-2026 rates'!$E:$F,2,0)))</f>
        <v>0</v>
      </c>
      <c r="BU219" s="409"/>
      <c r="BV219" s="398">
        <f>IF(BU219=0,0,IF(LEN(BH219)=11,_xlfn.XLOOKUP(BH219,'Dispensed Ink Rates'!C:C,'Dispensed Ink Rates'!CS:CS),VLOOKUP(BH219,'Jan-2026 rates'!$E:$F,2,0)))</f>
        <v>0</v>
      </c>
      <c r="BW219" s="409"/>
      <c r="BX219" s="398">
        <f>IF(BW219=0,0,IF(LEN(BI219)=11,_xlfn.XLOOKUP(BI219,'Dispensed Ink Rates'!C:C,'Dispensed Ink Rates'!CS:CS),VLOOKUP(BI219,'Jan-2026 rates'!$E:$F,2,0)))</f>
        <v>0</v>
      </c>
      <c r="BY219" s="409"/>
      <c r="BZ219" s="398">
        <f>IF(BY219=0,0,IF(LEN(BJ219)=11,_xlfn.XLOOKUP(BJ219,'Dispensed Ink Rates'!C:C,'Dispensed Ink Rates'!CS:CS),VLOOKUP(BJ219,'Jan-2026 rates'!$E:$F,2,0)))</f>
        <v>0</v>
      </c>
      <c r="CA219" s="409" t="s">
        <v>1443</v>
      </c>
      <c r="CB219" s="409">
        <v>25</v>
      </c>
      <c r="CC219" s="411">
        <f t="shared" si="162"/>
        <v>0</v>
      </c>
      <c r="CD219" s="411">
        <f t="shared" si="163"/>
        <v>20.434343434343432</v>
      </c>
      <c r="CE219" s="410">
        <f t="shared" si="164"/>
        <v>0</v>
      </c>
      <c r="CF219" s="404" t="s">
        <v>547</v>
      </c>
      <c r="CG219" s="409" t="s">
        <v>3855</v>
      </c>
      <c r="CH219" s="420" t="str">
        <f t="shared" si="132"/>
        <v>FLINTSL - GREEN</v>
      </c>
      <c r="CI219" s="409">
        <v>23</v>
      </c>
      <c r="CJ219" s="411">
        <f>IF(CI219=0,0,IF($LB219=70%,VLOOKUP($CH219,'Jan-2026 rates'!$L:$R,4,0),IF($LB219=65%,VLOOKUP($CH219,'Jan-2026 rates'!$L:$R,4,0),IF($LB219=40%,VLOOKUP($CH219,'Jan-2026 rates'!$L:$R,5,0),IF($LB219=30%,VLOOKUP($CH219,'Jan-2026 rates'!$L:$R,6,0),IF($LB219=100%,VLOOKUP($CH219,'Jan-2026 rates'!$L:$R,7,0),IF($LB219=60%,VLOOKUP($CH219,'Jan-2026 rates'!$L:$S,8,0),IF($LB219=80%,VLOOKUP($CH219,'Jan-2026 rates'!L:T,9,0),0))))))))</f>
        <v>0</v>
      </c>
      <c r="CK219" s="412"/>
      <c r="CL219" s="409"/>
      <c r="CM219" s="411">
        <f>IF(CL219=0,0,IF($LB219=70%,VLOOKUP($CH219,'Jan-2026 rates'!$L:$R,4,0),IF($LB219=65%,VLOOKUP($CH219,'Jan-2026 rates'!$L:$R,4,0),IF($LB219=40%,VLOOKUP($CH219,'Jan-2026 rates'!$L:$R,5,0),IF($LB219=30%,VLOOKUP($CH219,'Jan-2026 rates'!$L:$R,6,0),IF($LB219=100%,VLOOKUP($CH219,'Jan-2026 rates'!$L:$R,7,0),IF($LB219=60%,VLOOKUP($CH219,'Jan-2026 rates'!$L:$S,8,0),IF($LB219=80%,VLOOKUP($CH219,'Jan-2026 rates'!L:T,9,0),0))))))))</f>
        <v>0</v>
      </c>
      <c r="CN219" s="426">
        <v>26512000002</v>
      </c>
      <c r="CO219" s="427">
        <v>26516000015</v>
      </c>
      <c r="CP219" s="426"/>
      <c r="CQ219" s="426"/>
      <c r="CR219" s="428"/>
      <c r="CS219" s="428"/>
      <c r="CT219" s="428"/>
      <c r="CU219" s="428"/>
      <c r="CV219" s="409">
        <v>1</v>
      </c>
      <c r="CW219" s="398" t="e">
        <f>IF(CV219=0,0,IF(LEN(CN219)=11,_xlfn.XLOOKUP(CN219,'Dispensed Ink Rates'!C:C,'Dispensed Ink Rates'!CS:CS),VLOOKUP(CN219,'Jan-2026 rates'!$E:$F,2,0)))</f>
        <v>#N/A</v>
      </c>
      <c r="CX219" s="409">
        <f>6+2</f>
        <v>8</v>
      </c>
      <c r="CY219" s="398" t="e">
        <f>IF(CX219=0,0,IF(LEN(CO219)=11,_xlfn.XLOOKUP(CO219,'Dispensed Ink Rates'!C:C,'Dispensed Ink Rates'!CS:CS),VLOOKUP(CO219,'Jan-2026 rates'!$E:$F,2,0)))</f>
        <v>#N/A</v>
      </c>
      <c r="CZ219" s="409"/>
      <c r="DA219" s="398">
        <f>IF(CZ219=0,0,IF(LEN(CP219)=11,_xlfn.XLOOKUP(CP219,'Dispensed Ink Rates'!C:C,'Dispensed Ink Rates'!CS:CS),VLOOKUP(CP219,'Jan-2026 rates'!$E:$F,2,0)))</f>
        <v>0</v>
      </c>
      <c r="DB219" s="409"/>
      <c r="DC219" s="398">
        <f>IF(DB219=0,0,IF(LEN(CQ219)=11,_xlfn.XLOOKUP(CQ219,'Dispensed Ink Rates'!C:C,'Dispensed Ink Rates'!CS:CS),VLOOKUP(CQ219,'Jan-2026 rates'!$E:$F,2,0)))</f>
        <v>0</v>
      </c>
      <c r="DD219" s="409"/>
      <c r="DE219" s="398">
        <f>IF(DD219=0,0,IF(LEN(CR219)=11,_xlfn.XLOOKUP(CR219,'Dispensed Ink Rates'!C:C,'Dispensed Ink Rates'!CS:CS),VLOOKUP(CR219,'Jan-2026 rates'!$E:$F,2,0)))</f>
        <v>0</v>
      </c>
      <c r="DF219" s="409"/>
      <c r="DG219" s="398">
        <f>IF(DF219=0,0,IF(LEN(CS219)=11,_xlfn.XLOOKUP(CS219,'Dispensed Ink Rates'!C:C,'Dispensed Ink Rates'!CS:CS),VLOOKUP(CS219,'Jan-2026 rates'!$E:$F,2,0)))</f>
        <v>0</v>
      </c>
      <c r="DH219" s="409"/>
      <c r="DI219" s="398">
        <f>IF(DH219=0,0,IF(LEN(CT219)=11,_xlfn.XLOOKUP(CT219,'Dispensed Ink Rates'!C:C,'Dispensed Ink Rates'!CS:CS),VLOOKUP(CT219,'Jan-2026 rates'!$E:$F,2,0)))</f>
        <v>0</v>
      </c>
      <c r="DJ219" s="409"/>
      <c r="DK219" s="398">
        <f>IF(DJ219=0,0,IF(LEN(CU219)=11,_xlfn.XLOOKUP(CU219,'Dispensed Ink Rates'!C:C,'Dispensed Ink Rates'!CS:CS),VLOOKUP(CU219,'Jan-2026 rates'!$E:$F,2,0)))</f>
        <v>0</v>
      </c>
      <c r="DL219" s="409" t="s">
        <v>1443</v>
      </c>
      <c r="DM219" s="409">
        <v>29</v>
      </c>
      <c r="DN219" s="411">
        <f t="shared" si="165"/>
        <v>0</v>
      </c>
      <c r="DO219" s="411">
        <f t="shared" si="166"/>
        <v>16.434343434343432</v>
      </c>
      <c r="DP219" s="410">
        <f t="shared" si="167"/>
        <v>0</v>
      </c>
      <c r="DQ219" s="405" t="s">
        <v>857</v>
      </c>
      <c r="DR219" s="409" t="s">
        <v>3856</v>
      </c>
      <c r="DS219" s="420" t="str">
        <f t="shared" si="133"/>
        <v>FLINTSL - RED</v>
      </c>
      <c r="DT219" s="409">
        <v>23</v>
      </c>
      <c r="DU219" s="411">
        <f>IF(DT219=0,0,IF($LB219=70%,VLOOKUP($DS219,'Jan-2026 rates'!$L:$R,4,0),IF($LB219=65%,VLOOKUP($DS219,'Jan-2026 rates'!$L:$R,4,0),IF($LB219=40%,VLOOKUP($DS219,'Jan-2026 rates'!$L:$R,5,0),IF($LB219=30%,VLOOKUP($DS219,'Jan-2026 rates'!$L:$R,6,0),IF($LB219=100%,VLOOKUP($DS219,'Jan-2026 rates'!$L:$R,7,0),IF($LB219=60%,VLOOKUP($DS219,'Jan-2026 rates'!$L:$S,8,0),IF($LB219=80%,VLOOKUP($DS219,'Jan-2026 rates'!L:T,9,0),0))))))))</f>
        <v>0</v>
      </c>
      <c r="DV219" s="412" t="s">
        <v>3371</v>
      </c>
      <c r="DW219" s="409">
        <v>18</v>
      </c>
      <c r="DX219" s="411">
        <f>IF(DW219=0,0,IF($LB219=70%,VLOOKUP($DS219,'Jan-2026 rates'!$L:$R,4,0),IF($LB219=65%,VLOOKUP($DS219,'Jan-2026 rates'!$L:$R,4,0),IF($LB219=40%,VLOOKUP($DS219,'Jan-2026 rates'!$L:$R,5,0),IF($LB219=30%,VLOOKUP($DS219,'Jan-2026 rates'!$L:$R,6,0),IF($LB219=100%,VLOOKUP($DS219,'Jan-2026 rates'!$L:$R,7,0),IF($LB219=60%,VLOOKUP($DS219,'Jan-2026 rates'!$L:$S,8,0),IF($LB219=80%,VLOOKUP($DS219,'Jan-2026 rates'!L:T,9,0),0))))))))</f>
        <v>0</v>
      </c>
      <c r="DY219" s="413">
        <v>26517000020</v>
      </c>
      <c r="DZ219" s="413"/>
      <c r="EA219" s="412"/>
      <c r="EB219" s="412"/>
      <c r="EC219" s="412"/>
      <c r="ED219" s="412"/>
      <c r="EE219" s="412"/>
      <c r="EF219" s="412"/>
      <c r="EG219" s="409">
        <v>6</v>
      </c>
      <c r="EH219" s="398" t="e">
        <f>IF(EG219=0,0,IF(LEN(DY219)=11,_xlfn.XLOOKUP(DY219,'Dispensed Ink Rates'!C:C,'Dispensed Ink Rates'!CS:CS),VLOOKUP(DY219,'Jan-2026 rates'!$E:$F,2,0)))</f>
        <v>#N/A</v>
      </c>
      <c r="EI219" s="409"/>
      <c r="EJ219" s="398">
        <f>IF(EI219=0,0,IF(LEN(DZ219)=11,_xlfn.XLOOKUP(DZ219,'Dispensed Ink Rates'!C:C,'Dispensed Ink Rates'!CS:CS),VLOOKUP(DZ219,'Jan-2026 rates'!$E:$F,2,0)))</f>
        <v>0</v>
      </c>
      <c r="EK219" s="409"/>
      <c r="EL219" s="398">
        <f>IF(EK219=0,0,IF(LEN(EA219)=11,_xlfn.XLOOKUP(EA219,'Dispensed Ink Rates'!C:C,'Dispensed Ink Rates'!CS:CS),VLOOKUP(EA219,'Jan-2026 rates'!$E:$F,2,0)))</f>
        <v>0</v>
      </c>
      <c r="EM219" s="409"/>
      <c r="EN219" s="398">
        <f>IF(EM219=0,0,IF(LEN(EB219)=11,_xlfn.XLOOKUP(EB219,'Dispensed Ink Rates'!C:C,'Dispensed Ink Rates'!CS:CS),VLOOKUP(EB219,'Jan-2026 rates'!$E:$F,2,0)))</f>
        <v>0</v>
      </c>
      <c r="EO219" s="409"/>
      <c r="EP219" s="398">
        <f>IF(EO219=0,0,IF(LEN(EC219)=11,_xlfn.XLOOKUP(EC219,'Dispensed Ink Rates'!C:C,'Dispensed Ink Rates'!CS:CS),VLOOKUP(EC219,'Jan-2026 rates'!$E:$F,2,0)))</f>
        <v>0</v>
      </c>
      <c r="EQ219" s="409"/>
      <c r="ER219" s="398">
        <f>IF(EQ219=0,0,IF(LEN(ED219)=11,_xlfn.XLOOKUP(ED219,'Dispensed Ink Rates'!C:C,'Dispensed Ink Rates'!CS:CS),VLOOKUP(ED219,'Jan-2026 rates'!$E:$F,2,0)))</f>
        <v>0</v>
      </c>
      <c r="ES219" s="409"/>
      <c r="ET219" s="398">
        <f>IF(ES219=0,0,IF(LEN(EE219)=11,_xlfn.XLOOKUP(EE219,'Dispensed Ink Rates'!C:C,'Dispensed Ink Rates'!CS:CS),VLOOKUP(EE219,'Jan-2026 rates'!$E:$F,2,0)))</f>
        <v>0</v>
      </c>
      <c r="EU219" s="409"/>
      <c r="EV219" s="398">
        <f>IF(EU219=0,0,IF(LEN(EF219)=11,_xlfn.XLOOKUP(EF219,'Dispensed Ink Rates'!C:C,'Dispensed Ink Rates'!CS:CS),VLOOKUP(EF219,'Jan-2026 rates'!$E:$F,2,0)))</f>
        <v>0</v>
      </c>
      <c r="EW219" s="409" t="s">
        <v>1443</v>
      </c>
      <c r="EX219" s="409">
        <v>30</v>
      </c>
      <c r="EY219" s="411">
        <f t="shared" si="168"/>
        <v>0</v>
      </c>
      <c r="EZ219" s="411">
        <f t="shared" si="169"/>
        <v>30.434343434343432</v>
      </c>
      <c r="FA219" s="410">
        <f t="shared" si="170"/>
        <v>0</v>
      </c>
      <c r="FB219" s="405" t="s">
        <v>855</v>
      </c>
      <c r="FC219" s="409" t="s">
        <v>3365</v>
      </c>
      <c r="FD219" s="420" t="str">
        <f t="shared" si="134"/>
        <v>FLINTSL - CYAN</v>
      </c>
      <c r="FE219" s="409">
        <v>30</v>
      </c>
      <c r="FF219" s="411">
        <f>IF(FE219=0,0,IF($LB219=70%,VLOOKUP($FD219,'Jan-2026 rates'!$L:$R,4,0),IF($LB219=65%,VLOOKUP($FD219,'Jan-2026 rates'!$L:$R,4,0),IF($LB219=40%,VLOOKUP($FD219,'Jan-2026 rates'!$L:$R,5,0),IF($LB219=30%,VLOOKUP($FD219,'Jan-2026 rates'!$L:$R,6,0),IF($LB219=100%,VLOOKUP($FD219,'Jan-2026 rates'!$L:$R,7,0),IF($LB219=60%,VLOOKUP($FD219,'Jan-2026 rates'!$L:$S,8,0),IF($LB219=80%,VLOOKUP($FD219,'Jan-2026 rates'!L:T,9,0),0))))))))</f>
        <v>0</v>
      </c>
      <c r="FG219" s="412"/>
      <c r="FH219" s="409"/>
      <c r="FI219" s="411">
        <f>IF(FH219=0,0,IF($LB219=70%,VLOOKUP($FD219,'Jan-2026 rates'!$L:$R,4,0),IF($LB219=65%,VLOOKUP($FD219,'Jan-2026 rates'!$L:$R,4,0),IF($LB219=40%,VLOOKUP($FD219,'Jan-2026 rates'!$L:$R,5,0),IF($LB219=30%,VLOOKUP($FD219,'Jan-2026 rates'!$L:$R,6,0),IF($LB219=100%,VLOOKUP($FD219,'Jan-2026 rates'!$L:$R,7,0),IF($LB219=60%,VLOOKUP($FD219,'Jan-2026 rates'!$L:$S,8,0),IF($LB219=80%,VLOOKUP($FD219,'Jan-2026 rates'!L:T,9,0),0))))))))</f>
        <v>0</v>
      </c>
      <c r="FJ219" s="413">
        <v>26513000021</v>
      </c>
      <c r="FK219" s="413"/>
      <c r="FL219" s="413"/>
      <c r="FM219" s="412"/>
      <c r="FN219" s="412"/>
      <c r="FO219" s="412"/>
      <c r="FP219" s="412"/>
      <c r="FQ219" s="412"/>
      <c r="FR219" s="409">
        <v>2</v>
      </c>
      <c r="FS219" s="398" t="e">
        <f>IF(FR219=0,0,IF(LEN(FJ219)=11,_xlfn.XLOOKUP(FJ219,'Dispensed Ink Rates'!C:C,'Dispensed Ink Rates'!CS:CS),VLOOKUP(FJ219,'Jan-2026 rates'!$E:$F,2,0)))</f>
        <v>#N/A</v>
      </c>
      <c r="FT219" s="409"/>
      <c r="FU219" s="398">
        <f>IF(FT219=0,0,IF(LEN(FK219)=11,_xlfn.XLOOKUP(FK219,'Dispensed Ink Rates'!C:C,'Dispensed Ink Rates'!CS:CS),VLOOKUP(FK219,'Jan-2026 rates'!$E:$F,2,0)))</f>
        <v>0</v>
      </c>
      <c r="FV219" s="409"/>
      <c r="FW219" s="398">
        <f>IF(FV219=0,0,IF(LEN(FL219)=11,_xlfn.XLOOKUP(FL219,'Dispensed Ink Rates'!C:C,'Dispensed Ink Rates'!CS:CS),VLOOKUP(FL219,'Jan-2026 rates'!$E:$F,2,0)))</f>
        <v>0</v>
      </c>
      <c r="FX219" s="409"/>
      <c r="FY219" s="398">
        <f>IF(FX219=0,0,IF(LEN(FM219)=11,_xlfn.XLOOKUP(FM219,'Dispensed Ink Rates'!C:C,'Dispensed Ink Rates'!CS:CS),VLOOKUP(FM219,'Jan-2026 rates'!$E:$F,2,0)))</f>
        <v>0</v>
      </c>
      <c r="FZ219" s="409"/>
      <c r="GA219" s="398">
        <f>IF(FZ219=0,0,IF(LEN(FN219)=11,_xlfn.XLOOKUP(FN219,'Dispensed Ink Rates'!C:C,'Dispensed Ink Rates'!CS:CS),VLOOKUP(FN219,'Jan-2026 rates'!$E:$F,2,0)))</f>
        <v>0</v>
      </c>
      <c r="GB219" s="409"/>
      <c r="GC219" s="398">
        <f>IF(GB219=0,0,IF(LEN(FO219)=11,_xlfn.XLOOKUP(FO219,'Dispensed Ink Rates'!C:C,'Dispensed Ink Rates'!CS:CS),VLOOKUP(FO219,'Jan-2026 rates'!$E:$F,2,0)))</f>
        <v>0</v>
      </c>
      <c r="GD219" s="409"/>
      <c r="GE219" s="398">
        <f>IF(GD219=0,0,IF(LEN(FP219)=11,_xlfn.XLOOKUP(FP219,'Dispensed Ink Rates'!C:C,'Dispensed Ink Rates'!CS:CS),VLOOKUP(FP219,'Jan-2026 rates'!$E:$F,2,0)))</f>
        <v>0</v>
      </c>
      <c r="GF219" s="409"/>
      <c r="GG219" s="398">
        <f>IF(GF219=0,0,IF(LEN(FQ219)=11,_xlfn.XLOOKUP(FQ219,'Dispensed Ink Rates'!C:C,'Dispensed Ink Rates'!CS:CS),VLOOKUP(FQ219,'Jan-2026 rates'!$E:$F,2,0)))</f>
        <v>0</v>
      </c>
      <c r="GH219" s="409" t="s">
        <v>1443</v>
      </c>
      <c r="GI219" s="409">
        <v>29</v>
      </c>
      <c r="GJ219" s="411">
        <f t="shared" si="171"/>
        <v>0</v>
      </c>
      <c r="GK219" s="411">
        <f t="shared" si="172"/>
        <v>8.3737373737373773</v>
      </c>
      <c r="GL219" s="410">
        <f t="shared" si="173"/>
        <v>0</v>
      </c>
      <c r="GM219" s="405" t="s">
        <v>544</v>
      </c>
      <c r="GN219" s="409" t="s">
        <v>3366</v>
      </c>
      <c r="GO219" s="420" t="str">
        <f t="shared" si="135"/>
        <v>FLINTSL - MAGENTA</v>
      </c>
      <c r="GP219" s="409">
        <v>31</v>
      </c>
      <c r="GQ219" s="411">
        <f>IF(GP219=0,0,IF($LB219=70%,VLOOKUP($GO219,'Jan-2026 rates'!$L:$R,4,0),IF($LB219=65%,VLOOKUP($GO219,'Jan-2026 rates'!$L:$R,4,0),IF($LB219=40%,VLOOKUP($GO219,'Jan-2026 rates'!$L:$R,5,0),IF($LB219=30%,VLOOKUP($GO219,'Jan-2026 rates'!$L:$R,6,0),IF($LB219=100%,VLOOKUP($GO219,'Jan-2026 rates'!$L:$R,7,0),IF($LB219=60%,VLOOKUP($GO219,'Jan-2026 rates'!$L:$S,8,0),IF($LB219=80%,VLOOKUP($GO219,'Jan-2026 rates'!L:T,9,0),0))))))))</f>
        <v>0</v>
      </c>
      <c r="GR219" s="412"/>
      <c r="GS219" s="409"/>
      <c r="GT219" s="411">
        <f>IF(GS219=0,0,IF($LB219=70%,VLOOKUP($GO219,'Jan-2026 rates'!$L:$R,4,0),IF($LB219=65%,VLOOKUP($GO219,'Jan-2026 rates'!$L:$R,4,0),IF($LB219=40%,VLOOKUP($GO219,'Jan-2026 rates'!$L:$R,5,0),IF($LB219=30%,VLOOKUP($GO219,'Jan-2026 rates'!$L:$R,6,0),IF($LB219=100%,VLOOKUP($GO219,'Jan-2026 rates'!$L:$R,7,0),IF($LB219=60%,VLOOKUP($GO219,'Jan-2026 rates'!$L:$S,8,0),IF($LB219=80%,VLOOKUP($GO219,'Jan-2026 rates'!L:T,9,0),0))))))))</f>
        <v>0</v>
      </c>
      <c r="GU219" s="413">
        <v>26517000020</v>
      </c>
      <c r="GV219" s="413" t="s">
        <v>1266</v>
      </c>
      <c r="GW219" s="412"/>
      <c r="GX219" s="412"/>
      <c r="GY219" s="412"/>
      <c r="GZ219" s="412"/>
      <c r="HA219" s="412"/>
      <c r="HB219" s="412"/>
      <c r="HC219" s="409">
        <v>10</v>
      </c>
      <c r="HD219" s="398" t="e">
        <f>IF(HC219=0,0,IF(LEN(GU219)=11,_xlfn.XLOOKUP(GU219,'Dispensed Ink Rates'!C:C,'Dispensed Ink Rates'!CS:CS),VLOOKUP(GU219,'Jan-2026 rates'!$E:$F,2,0)))</f>
        <v>#N/A</v>
      </c>
      <c r="HE219" s="409">
        <v>6</v>
      </c>
      <c r="HF219" s="398">
        <f>IF(HE219=0,0,IF(LEN(GV219)=11,_xlfn.XLOOKUP(GV219,'Dispensed Ink Rates'!C:C,'Dispensed Ink Rates'!CS:CS),VLOOKUP(GV219,'Jan-2026 rates'!$E:$F,2,0)))</f>
        <v>0</v>
      </c>
      <c r="HG219" s="409"/>
      <c r="HH219" s="398">
        <f>IF(HG219=0,0,IF(LEN(GW219)=11,_xlfn.XLOOKUP(GW219,'Dispensed Ink Rates'!C:C,'Dispensed Ink Rates'!CS:CS),VLOOKUP(GW219,'Jan-2026 rates'!$E:$F,2,0)))</f>
        <v>0</v>
      </c>
      <c r="HI219" s="409"/>
      <c r="HJ219" s="398">
        <f>IF(HI219=0,0,IF(LEN(GX219)=11,_xlfn.XLOOKUP(GX219,'Dispensed Ink Rates'!C:C,'Dispensed Ink Rates'!CS:CS),VLOOKUP(GX219,'Jan-2026 rates'!$E:$F,2,0)))</f>
        <v>0</v>
      </c>
      <c r="HK219" s="409"/>
      <c r="HL219" s="398">
        <f>IF(HK219=0,0,IF(LEN(GY219)=11,_xlfn.XLOOKUP(GY219,'Dispensed Ink Rates'!C:C,'Dispensed Ink Rates'!CS:CS),VLOOKUP(GY219,'Jan-2026 rates'!$E:$F,2,0)))</f>
        <v>0</v>
      </c>
      <c r="HM219" s="409"/>
      <c r="HN219" s="398">
        <f>IF(HM219=0,0,IF(LEN(GZ219)=11,_xlfn.XLOOKUP(GZ219,'Dispensed Ink Rates'!C:C,'Dispensed Ink Rates'!CS:CS),VLOOKUP(GZ219,'Jan-2026 rates'!$E:$F,2,0)))</f>
        <v>0</v>
      </c>
      <c r="HO219" s="409"/>
      <c r="HP219" s="398">
        <f>IF(HO219=0,0,IF(LEN(HA219)=11,_xlfn.XLOOKUP(HA219,'Dispensed Ink Rates'!C:C,'Dispensed Ink Rates'!CS:CS),VLOOKUP(HA219,'Jan-2026 rates'!$E:$F,2,0)))</f>
        <v>0</v>
      </c>
      <c r="HQ219" s="409"/>
      <c r="HR219" s="398">
        <f>IF(HQ219=0,0,IF(LEN(HB219)=11,_xlfn.XLOOKUP(HB219,'Dispensed Ink Rates'!C:C,'Dispensed Ink Rates'!CS:CS),VLOOKUP(HB219,'Jan-2026 rates'!$E:$F,2,0)))</f>
        <v>0</v>
      </c>
      <c r="HS219" s="409" t="s">
        <v>1443</v>
      </c>
      <c r="HT219" s="409">
        <v>30</v>
      </c>
      <c r="HU219" s="411">
        <f t="shared" si="174"/>
        <v>0</v>
      </c>
      <c r="HV219" s="411">
        <f t="shared" si="175"/>
        <v>57.303030303030312</v>
      </c>
      <c r="HW219" s="414">
        <f t="shared" si="176"/>
        <v>0</v>
      </c>
      <c r="HX219" s="405" t="s">
        <v>545</v>
      </c>
      <c r="HY219" s="409" t="s">
        <v>3364</v>
      </c>
      <c r="HZ219" s="420" t="str">
        <f t="shared" si="136"/>
        <v>FLINTSL - YELLOW</v>
      </c>
      <c r="IA219" s="409">
        <v>30</v>
      </c>
      <c r="IB219" s="411">
        <f>IF(IA219=0,0,IF($LB219=70%,VLOOKUP($HZ219,'Jan-2026 rates'!$L:$R,4,0),IF($LB219=65%,VLOOKUP($HZ219,'Jan-2026 rates'!$L:$R,4,0),IF($LB219=40%,VLOOKUP($HZ219,'Jan-2026 rates'!$L:$R,5,0),IF($LB219=30%,VLOOKUP($HZ219,'Jan-2026 rates'!$L:$R,6,0),IF($LB219=100%,VLOOKUP($HZ219,'Jan-2026 rates'!$L:$R,7,0),IF($LB219=60%,VLOOKUP($HZ219,'Jan-2026 rates'!$L:$S,8,0),IF($LB219=80%,VLOOKUP($HZ219,'Jan-2026 rates'!L:T,9,0),0))))))))</f>
        <v>0</v>
      </c>
      <c r="IC219" s="412"/>
      <c r="ID219" s="409"/>
      <c r="IE219" s="411">
        <f>IF(ID219=0,0,IF($LB219=70%,VLOOKUP($HZ219,'Jan-2026 rates'!$L:$R,4,0),IF($LB219=65%,VLOOKUP($HZ219,'Jan-2026 rates'!$L:$R,4,0),IF($LB219=40%,VLOOKUP($HZ219,'Jan-2026 rates'!$L:$R,5,0),IF($LB219=30%,VLOOKUP($HZ219,'Jan-2026 rates'!$L:$R,6,0),IF($LB219=100%,VLOOKUP($HZ219,'Jan-2026 rates'!$L:$R,7,0),IF($LB219=60%,VLOOKUP($HZ219,'Jan-2026 rates'!$L:$S,8,0),IF($LB219=80%,VLOOKUP($HZ219,'Jan-2026 rates'!L:T,9,0),0))))))))</f>
        <v>0</v>
      </c>
      <c r="IF219" s="412">
        <v>26516000014</v>
      </c>
      <c r="IG219" s="413">
        <v>26516000020</v>
      </c>
      <c r="IH219" s="412"/>
      <c r="II219" s="412"/>
      <c r="IJ219" s="412"/>
      <c r="IK219" s="412"/>
      <c r="IL219" s="412"/>
      <c r="IM219" s="412"/>
      <c r="IN219" s="409">
        <v>40</v>
      </c>
      <c r="IO219" s="398" t="e">
        <f>IF(IN219=0,0,IF(LEN(IF219)=11,_xlfn.XLOOKUP(IF219,'Dispensed Ink Rates'!C:C,'Dispensed Ink Rates'!CS:CS),VLOOKUP(IF219,'Jan-2026 rates'!$E:$F,2,0)))</f>
        <v>#N/A</v>
      </c>
      <c r="IP219" s="409">
        <v>40</v>
      </c>
      <c r="IQ219" s="398" t="e">
        <f>IF(IP219=0,0,IF(LEN(IG219)=11,_xlfn.XLOOKUP(IG219,'Dispensed Ink Rates'!C:C,'Dispensed Ink Rates'!CS:CS),VLOOKUP(IG219,'Jan-2026 rates'!$E:$F,2,0)))</f>
        <v>#N/A</v>
      </c>
      <c r="IR219" s="409"/>
      <c r="IS219" s="398">
        <f>IF(IR219=0,0,IF(LEN(IH219)=11,_xlfn.XLOOKUP(IH219,'Dispensed Ink Rates'!C:C,'Dispensed Ink Rates'!CS:CS),VLOOKUP(IH219,'Jan-2026 rates'!$E:$F,2,0)))</f>
        <v>0</v>
      </c>
      <c r="IT219" s="409"/>
      <c r="IU219" s="398">
        <f>IF(IT219=0,0,IF(LEN(II219)=11,_xlfn.XLOOKUP(II219,'Dispensed Ink Rates'!C:C,'Dispensed Ink Rates'!CS:CS),VLOOKUP(II219,'Jan-2026 rates'!$E:$F,2,0)))</f>
        <v>0</v>
      </c>
      <c r="IV219" s="409"/>
      <c r="IW219" s="398">
        <f>IF(IV219=0,0,IF(LEN(IJ219)=11,_xlfn.XLOOKUP(IJ219,'Dispensed Ink Rates'!C:C,'Dispensed Ink Rates'!CS:CS),VLOOKUP(IJ219,'Jan-2026 rates'!$E:$F,2,0)))</f>
        <v>0</v>
      </c>
      <c r="IX219" s="409"/>
      <c r="IY219" s="398">
        <f>IF(IX219=0,0,IF(LEN(IK219)=11,_xlfn.XLOOKUP(IK219,'Dispensed Ink Rates'!C:C,'Dispensed Ink Rates'!CS:CS),VLOOKUP(IK219,'Jan-2026 rates'!$E:$F,2,0)))</f>
        <v>0</v>
      </c>
      <c r="IZ219" s="409"/>
      <c r="JA219" s="398">
        <f>IF(IZ219=0,0,IF(LEN(IL219)=11,_xlfn.XLOOKUP(IL219,'Dispensed Ink Rates'!C:C,'Dispensed Ink Rates'!CS:CS),VLOOKUP(IL219,'Jan-2026 rates'!$E:$F,2,0)))</f>
        <v>0</v>
      </c>
      <c r="JB219" s="409"/>
      <c r="JC219" s="398">
        <f>IF(JB219=0,0,IF(LEN(IM219)=11,_xlfn.XLOOKUP(IM219,'Dispensed Ink Rates'!C:C,'Dispensed Ink Rates'!CS:CS),VLOOKUP(IM219,'Jan-2026 rates'!$E:$F,2,0)))</f>
        <v>0</v>
      </c>
      <c r="JD219" s="409" t="s">
        <v>1443</v>
      </c>
      <c r="JE219" s="409">
        <v>24</v>
      </c>
      <c r="JF219" s="411">
        <f t="shared" si="177"/>
        <v>0</v>
      </c>
      <c r="JG219" s="411">
        <f t="shared" si="178"/>
        <v>91.37373737373737</v>
      </c>
      <c r="JH219" s="410">
        <f t="shared" si="179"/>
        <v>0</v>
      </c>
      <c r="JI219" s="405" t="s">
        <v>856</v>
      </c>
      <c r="JJ219" s="409" t="s">
        <v>3367</v>
      </c>
      <c r="JK219" s="420" t="str">
        <f t="shared" si="137"/>
        <v>FLINTSL - WHITE</v>
      </c>
      <c r="JL219" s="409">
        <v>30</v>
      </c>
      <c r="JM219" s="411">
        <f>IF(JL219=0,0,IF($LB219=70%,VLOOKUP($JK219,'Jan-2026 rates'!$L:$R,4,0),IF($LB219=65%,VLOOKUP($JK219,'Jan-2026 rates'!$L:$R,4,0),IF($LB219=40%,VLOOKUP($JK219,'Jan-2026 rates'!$L:$R,5,0),IF($LB219=30%,VLOOKUP($JK219,'Jan-2026 rates'!$L:$R,6,0),IF($LB219=100%,VLOOKUP($JK219,'Jan-2026 rates'!$L:$R,7,0),IF($LB219=60%,VLOOKUP($JK219,'Jan-2026 rates'!$L:$S,8,0),IF($LB219=80%,VLOOKUP($JK219,'Jan-2026 rates'!L:T,9,0),0))))))))</f>
        <v>0</v>
      </c>
      <c r="JN219" s="412"/>
      <c r="JO219" s="409"/>
      <c r="JP219" s="411">
        <f>IF(JO219=0,0,IF($LB219=70%,VLOOKUP($JK219,'Jan-2026 rates'!$L:$R,4,0),IF($LB219=65%,VLOOKUP($JK219,'Jan-2026 rates'!$L:$R,4,0),IF($LB219=40%,VLOOKUP($JK219,'Jan-2026 rates'!$L:$R,5,0),IF($LB219=30%,VLOOKUP($JK219,'Jan-2026 rates'!$L:$R,6,0),IF($LB219=100%,VLOOKUP($JK219,'Jan-2026 rates'!$L:$R,7,0),IF($LB219=60%,VLOOKUP($JK219,'Jan-2026 rates'!$L:$S,8,0),IF($LB219=80%,VLOOKUP($JK219,'Jan-2026 rates'!L:T,9,0),0))))))))</f>
        <v>0</v>
      </c>
      <c r="JQ219" s="413" t="s">
        <v>484</v>
      </c>
      <c r="JR219" s="412"/>
      <c r="JS219" s="413"/>
      <c r="JT219" s="413"/>
      <c r="JU219" s="412"/>
      <c r="JV219" s="412"/>
      <c r="JW219" s="412"/>
      <c r="JX219" s="412"/>
      <c r="JY219" s="409">
        <f>100+40</f>
        <v>140</v>
      </c>
      <c r="JZ219" s="398">
        <f>IF(JY219=0,0,IF(LEN(JQ219)=11,_xlfn.XLOOKUP(JQ219,'Dispensed Ink Rates'!C:C,'Dispensed Ink Rates'!CS:CS),VLOOKUP(JQ219,'Jan-2026 rates'!$E:$F,2,0)))</f>
        <v>0</v>
      </c>
      <c r="KA219" s="409"/>
      <c r="KB219" s="398">
        <f>IF(KA219=0,0,IF(LEN(JR219)=11,_xlfn.XLOOKUP(JR219,'Dispensed Ink Rates'!C:C,'Dispensed Ink Rates'!CS:CS),VLOOKUP(JR219,'Jan-2026 rates'!$E:$F,2,0)))</f>
        <v>0</v>
      </c>
      <c r="KC219" s="409"/>
      <c r="KD219" s="398">
        <f>IF(KC219=0,0,IF(LEN(JS219)=11,_xlfn.XLOOKUP(JS219,'Dispensed Ink Rates'!C:C,'Dispensed Ink Rates'!CS:CS),VLOOKUP(JS219,'Jan-2026 rates'!$E:$F,2,0)))</f>
        <v>0</v>
      </c>
      <c r="KE219" s="409"/>
      <c r="KF219" s="398">
        <f>IF(KE219=0,0,IF(LEN(JT219)=11,_xlfn.XLOOKUP(JT219,'Dispensed Ink Rates'!C:C,'Dispensed Ink Rates'!CS:CS),VLOOKUP(JT219,'Jan-2026 rates'!$E:$F,2,0)))</f>
        <v>0</v>
      </c>
      <c r="KG219" s="409"/>
      <c r="KH219" s="398">
        <f>IF(KG219=0,0,IF(LEN(JU219)=11,_xlfn.XLOOKUP(JU219,'Dispensed Ink Rates'!C:C,'Dispensed Ink Rates'!CS:CS),VLOOKUP(JU219,'Jan-2026 rates'!$E:$F,2,0)))</f>
        <v>0</v>
      </c>
      <c r="KI219" s="409"/>
      <c r="KJ219" s="398">
        <f>IF(KI219=0,0,IF(LEN(JV219)=11,_xlfn.XLOOKUP(JV219,'Dispensed Ink Rates'!C:C,'Dispensed Ink Rates'!CS:CS),VLOOKUP(JV219,'Jan-2026 rates'!$E:$F,2,0)))</f>
        <v>0</v>
      </c>
      <c r="KK219" s="409"/>
      <c r="KL219" s="398">
        <f>IF(KK219=0,0,IF(LEN(JW219)=11,_xlfn.XLOOKUP(JW219,'Dispensed Ink Rates'!C:C,'Dispensed Ink Rates'!CS:CS),VLOOKUP(JW219,'Jan-2026 rates'!$E:$F,2,0)))</f>
        <v>0</v>
      </c>
      <c r="KM219" s="428"/>
      <c r="KN219" s="398">
        <f>IF(KM219=0,0,IF(LEN(JX219)=11,_xlfn.XLOOKUP(JX219,'Dispensed Ink Rates'!C:C,'Dispensed Ink Rates'!CS:CS),VLOOKUP(JX219,'Jan-2026 rates'!$E:$F,2,0)))</f>
        <v>0</v>
      </c>
      <c r="KO219" s="409" t="s">
        <v>1443</v>
      </c>
      <c r="KP219" s="409">
        <v>24</v>
      </c>
      <c r="KQ219" s="411">
        <f t="shared" si="180"/>
        <v>0</v>
      </c>
      <c r="KR219" s="411">
        <f t="shared" si="181"/>
        <v>307.21212121212125</v>
      </c>
      <c r="KS219" s="410">
        <f t="shared" si="182"/>
        <v>0</v>
      </c>
      <c r="KT219" s="409">
        <v>5</v>
      </c>
      <c r="KU219" s="409">
        <v>5</v>
      </c>
      <c r="KV219" s="409">
        <v>5</v>
      </c>
      <c r="KW219" s="409">
        <v>5</v>
      </c>
      <c r="KX219" s="409">
        <v>2</v>
      </c>
      <c r="KY219" s="409">
        <v>15</v>
      </c>
      <c r="KZ219" s="409">
        <v>2</v>
      </c>
      <c r="LA219" s="409">
        <v>60</v>
      </c>
      <c r="LB219" s="415">
        <v>0.8</v>
      </c>
      <c r="LC219" s="415">
        <v>0.2</v>
      </c>
      <c r="LD219" s="415"/>
      <c r="LE219" s="415"/>
      <c r="LF219" s="415"/>
      <c r="LG219" s="409">
        <v>0</v>
      </c>
      <c r="LH219" s="409">
        <f>62+60+112+28+4</f>
        <v>266</v>
      </c>
      <c r="LI219" s="409">
        <v>0</v>
      </c>
      <c r="LJ219" s="409">
        <v>0</v>
      </c>
      <c r="LK219" s="416">
        <f t="shared" si="138"/>
        <v>266</v>
      </c>
      <c r="LL219" s="416">
        <f t="shared" si="139"/>
        <v>266</v>
      </c>
      <c r="LM219" s="417">
        <f t="shared" si="140"/>
        <v>212.8</v>
      </c>
      <c r="LN219" s="417">
        <f>VLOOKUP($LM$8,'Jan-2026 rates'!$H:$I,2,0)</f>
        <v>0</v>
      </c>
      <c r="LO219" s="417">
        <f t="shared" si="141"/>
        <v>53.2</v>
      </c>
      <c r="LP219" s="417">
        <f>VLOOKUP($LO$8,'Jan-2026 rates'!$H:$I,2,0)</f>
        <v>0</v>
      </c>
      <c r="LQ219" s="417">
        <f t="shared" si="142"/>
        <v>0</v>
      </c>
      <c r="LR219" s="417">
        <f>VLOOKUP($LQ$8,'Jan-2026 rates'!$H:$I,2,0)</f>
        <v>0</v>
      </c>
      <c r="LS219" s="417">
        <f t="shared" si="143"/>
        <v>0</v>
      </c>
      <c r="LT219" s="417">
        <f>VLOOKUP($LS$8,'Jan-2026 rates'!$H:$I,2,0)</f>
        <v>0</v>
      </c>
      <c r="LU219" s="417">
        <f t="shared" si="144"/>
        <v>0</v>
      </c>
      <c r="LV219" s="417">
        <f>VLOOKUP($LU$8,'Jan-2026 rates'!$H:$I,2,0)</f>
        <v>0</v>
      </c>
      <c r="LW219" s="417">
        <f t="shared" si="145"/>
        <v>0</v>
      </c>
      <c r="LX219" s="417">
        <f t="shared" si="146"/>
        <v>0</v>
      </c>
      <c r="LY219" s="418">
        <f t="shared" si="147"/>
        <v>0</v>
      </c>
      <c r="LZ219" s="417"/>
      <c r="MA219" s="435">
        <f t="shared" si="148"/>
        <v>271</v>
      </c>
      <c r="MB219" s="282">
        <f t="shared" si="149"/>
        <v>553</v>
      </c>
      <c r="MC219" s="283">
        <v>112</v>
      </c>
      <c r="MD219" s="284" t="str">
        <f t="shared" si="150"/>
        <v>FLINTSLFLINTSLFLINTSLFLINTSLFLINTSLFLINTSLFLINTSLFLINTSL</v>
      </c>
      <c r="ME219" s="293" t="str">
        <f t="shared" si="151"/>
        <v>+</v>
      </c>
      <c r="MF219" s="293" t="str">
        <f t="shared" si="152"/>
        <v>+</v>
      </c>
      <c r="MG219" s="293" t="str">
        <f t="shared" si="153"/>
        <v>+</v>
      </c>
      <c r="MH219" s="293" t="str">
        <f t="shared" si="154"/>
        <v>+</v>
      </c>
      <c r="MI219" s="293" t="str">
        <f t="shared" si="155"/>
        <v>+</v>
      </c>
      <c r="MJ219" s="293" t="str">
        <f t="shared" si="156"/>
        <v>+</v>
      </c>
      <c r="MK219" s="293" t="str">
        <f t="shared" si="157"/>
        <v>+</v>
      </c>
      <c r="ML219" s="293" t="str">
        <f t="shared" si="158"/>
        <v>+</v>
      </c>
      <c r="MM219" s="3" t="b">
        <f t="array" ref="MM219">OR(ME219:ML219="-")</f>
        <v>0</v>
      </c>
      <c r="MN219" s="285"/>
      <c r="MO219" s="401"/>
      <c r="MP219" s="286"/>
      <c r="MQ219" s="286"/>
      <c r="MR219" s="402"/>
      <c r="MS219" s="400"/>
      <c r="NH219" s="422"/>
      <c r="NJ219" s="421"/>
    </row>
    <row r="220" spans="1:374" s="1" customFormat="1" ht="16.5">
      <c r="A220" s="403">
        <v>46038</v>
      </c>
      <c r="B220" s="404" t="s">
        <v>1015</v>
      </c>
      <c r="C220" s="405" t="s">
        <v>3857</v>
      </c>
      <c r="D220" s="406">
        <v>113</v>
      </c>
      <c r="E220" s="404">
        <v>204</v>
      </c>
      <c r="F220" s="407">
        <v>10300</v>
      </c>
      <c r="G220" s="407" t="s">
        <v>1016</v>
      </c>
      <c r="H220" s="408" t="s">
        <v>1017</v>
      </c>
      <c r="I220" s="409">
        <v>2</v>
      </c>
      <c r="J220" s="405" t="s">
        <v>543</v>
      </c>
      <c r="K220" s="404" t="s">
        <v>3858</v>
      </c>
      <c r="L220" s="419" t="str">
        <f t="shared" si="131"/>
        <v>FLINTSL - BLACK</v>
      </c>
      <c r="M220" s="404">
        <v>25</v>
      </c>
      <c r="N220" s="410">
        <f>IF(M220=0,0,IF($LB220=70%,VLOOKUP($L220,'Jan-2026 rates'!$L:$R,4,0),IF($LB220=65%,VLOOKUP($L220,'Jan-2026 rates'!$L:$R,4,0),IF($LB220=40%,VLOOKUP($L220,'Jan-2026 rates'!$L:$R,5,0),IF($LB220=30%,VLOOKUP($L220,'Jan-2026 rates'!$L:$R,6,0),IF($LB220=100%,VLOOKUP($L220,'Jan-2026 rates'!$L:$R,7,0),IF($LB220=60%,VLOOKUP($L220,'Jan-2026 rates'!$L:$S,8,0),IF($LB220=80%,VLOOKUP($L220,'Jan-2026 rates'!L:T,9,0),0))))))))</f>
        <v>0</v>
      </c>
      <c r="O220" s="406"/>
      <c r="P220" s="404"/>
      <c r="Q220" s="410">
        <f>IF(P220=0,0,IF($LB220=70%,VLOOKUP($L220,'Jan-2026 rates'!$L:$R,4,0),IF($LB220=65%,VLOOKUP($L220,'Jan-2026 rates'!$L:$R,4,0),IF($LB220=40%,VLOOKUP($L220,'Jan-2026 rates'!$L:$R,5,0),IF($LB220=30%,VLOOKUP($L220,'Jan-2026 rates'!$L:$R,6,0),IF($LB220=100%,VLOOKUP($L220,'Jan-2026 rates'!$L:$R,7,0),IF($LB220=60%,VLOOKUP($L220,'Jan-2026 rates'!$L:$S,8,0),IF($LB220=80%,VLOOKUP($L220,'Jan-2026 rates'!L:T,9,0),0))))))))</f>
        <v>0</v>
      </c>
      <c r="R220" s="406"/>
      <c r="S220" s="406"/>
      <c r="T220" s="406"/>
      <c r="U220" s="406"/>
      <c r="V220" s="406"/>
      <c r="W220" s="406"/>
      <c r="X220" s="406"/>
      <c r="Y220" s="406"/>
      <c r="Z220" s="404"/>
      <c r="AA220" s="398">
        <f>IF(Z220=0,0,IF(LEN(R220)=11,_xlfn.XLOOKUP(R220,'Dispensed Ink Rates'!C:C,'Dispensed Ink Rates'!CS:CS),VLOOKUP(R220,'Jan-2026 rates'!$E:$F,2,0)))</f>
        <v>0</v>
      </c>
      <c r="AB220" s="404"/>
      <c r="AC220" s="398">
        <f>IF(AB220=0,0,IF(LEN(S220)=11,_xlfn.XLOOKUP(S220,'Dispensed Ink Rates'!C:C,'Dispensed Ink Rates'!CS:CS),VLOOKUP(S220,'Jan-2026 rates'!$E:$F,2,0)))</f>
        <v>0</v>
      </c>
      <c r="AD220" s="404"/>
      <c r="AE220" s="398">
        <f>IF(AD220=0,0,IF(LEN(T220)=11,_xlfn.XLOOKUP(T220,'Dispensed Ink Rates'!C:C,'Dispensed Ink Rates'!CS:CS),VLOOKUP(T220,'Jan-2026 rates'!$E:$F,2,0)))</f>
        <v>0</v>
      </c>
      <c r="AF220" s="404"/>
      <c r="AG220" s="398">
        <f>IF(AF220=0,0,IF(LEN(U220)=11,_xlfn.XLOOKUP(U220,'Dispensed Ink Rates'!C:C,'Dispensed Ink Rates'!CS:CS),VLOOKUP(U220,'Jan-2026 rates'!$E:$F,2,0)))</f>
        <v>0</v>
      </c>
      <c r="AH220" s="404"/>
      <c r="AI220" s="398">
        <f>IF(AH220=0,0,IF(LEN(V220)=11,_xlfn.XLOOKUP(V220,'Dispensed Ink Rates'!C:C,'Dispensed Ink Rates'!CS:CS),VLOOKUP(V220,'Jan-2026 rates'!$E:$F,2,0)))</f>
        <v>0</v>
      </c>
      <c r="AJ220" s="404"/>
      <c r="AK220" s="398">
        <f>IF(AJ220=0,0,IF(LEN(W220)=11,_xlfn.XLOOKUP(W220,'Dispensed Ink Rates'!C:C,'Dispensed Ink Rates'!CS:CS),VLOOKUP(W220,'Jan-2026 rates'!$E:$F,2,0)))</f>
        <v>0</v>
      </c>
      <c r="AL220" s="404"/>
      <c r="AM220" s="398">
        <f>IF(AL220=0,0,IF(LEN(X220)=11,_xlfn.XLOOKUP(X220,'Dispensed Ink Rates'!C:C,'Dispensed Ink Rates'!CS:CS),VLOOKUP(X220,'Jan-2026 rates'!$E:$F,2,0)))</f>
        <v>0</v>
      </c>
      <c r="AN220" s="404"/>
      <c r="AO220" s="398">
        <f>IF(AN220=0,0,IF(LEN(Y220)=11,_xlfn.XLOOKUP(Y220,'Dispensed Ink Rates'!C:C,'Dispensed Ink Rates'!CS:CS),VLOOKUP(Y220,'Jan-2026 rates'!$E:$F,2,0)))</f>
        <v>0</v>
      </c>
      <c r="AP220" s="409" t="s">
        <v>1443</v>
      </c>
      <c r="AQ220" s="409">
        <v>23</v>
      </c>
      <c r="AR220" s="410">
        <f t="shared" si="159"/>
        <v>0</v>
      </c>
      <c r="AS220" s="411">
        <f t="shared" si="160"/>
        <v>7.5454545454545467</v>
      </c>
      <c r="AT220" s="410">
        <f t="shared" si="161"/>
        <v>0</v>
      </c>
      <c r="AU220" s="405" t="s">
        <v>546</v>
      </c>
      <c r="AV220" s="409" t="s">
        <v>3859</v>
      </c>
      <c r="AW220" s="420" t="str">
        <f t="shared" si="183"/>
        <v>FLINTSL - REFLEX BLUE</v>
      </c>
      <c r="AX220" s="409">
        <v>18</v>
      </c>
      <c r="AY220" s="411">
        <f>IF(AX220=0,0,IF($LB220=70%,VLOOKUP($AW220,'Jan-2026 rates'!$L:$R,4,0),IF($LB220=65%,VLOOKUP($AW220,'Jan-2026 rates'!$L:$R,4,0),IF($LB220=40%,VLOOKUP($AW220,'Jan-2026 rates'!$L:$R,5,0),IF($LB220=30%,VLOOKUP($AW220,'Jan-2026 rates'!$L:$R,6,0),IF($LB220=100%,VLOOKUP($AW220,'Jan-2026 rates'!$L:$R,7,0),IF($LB220=60%,VLOOKUP($AW220,'Jan-2026 rates'!$L:$S,8,0),IF($LB220=80%,VLOOKUP($AW220,'Jan-2026 rates'!L:T,9,0),0))))))))</f>
        <v>0</v>
      </c>
      <c r="AZ220" s="412" t="s">
        <v>3860</v>
      </c>
      <c r="BA220" s="409">
        <v>24</v>
      </c>
      <c r="BB220" s="411">
        <f>IF(BA220=0,0,IF($LB220=70%,VLOOKUP($AW220,'Jan-2026 rates'!$L:$R,4,0),IF($LB220=65%,VLOOKUP($AW220,'Jan-2026 rates'!$L:$R,4,0),IF($LB220=40%,VLOOKUP($AW220,'Jan-2026 rates'!$L:$R,5,0),IF($LB220=30%,VLOOKUP($AW220,'Jan-2026 rates'!$L:$R,6,0),IF($LB220=100%,VLOOKUP($AW220,'Jan-2026 rates'!$L:$R,7,0),IF($LB220=60%,VLOOKUP($AW220,'Jan-2026 rates'!$L:$S,8,0),IF($LB220=80%,VLOOKUP($AW220,'Jan-2026 rates'!L:T,9,0),0))))))))</f>
        <v>0</v>
      </c>
      <c r="BC220" s="413">
        <v>26513000021</v>
      </c>
      <c r="BD220" s="412" t="s">
        <v>1266</v>
      </c>
      <c r="BE220" s="412">
        <v>26516000007</v>
      </c>
      <c r="BF220" s="413"/>
      <c r="BG220" s="412"/>
      <c r="BH220" s="412"/>
      <c r="BI220" s="412"/>
      <c r="BJ220" s="412"/>
      <c r="BK220" s="409">
        <v>1</v>
      </c>
      <c r="BL220" s="398" t="e">
        <f>IF(BK220=0,0,IF(LEN(BC220)=11,_xlfn.XLOOKUP(BC220,'Dispensed Ink Rates'!C:C,'Dispensed Ink Rates'!CS:CS),VLOOKUP(BC220,'Jan-2026 rates'!$E:$F,2,0)))</f>
        <v>#N/A</v>
      </c>
      <c r="BM220" s="409">
        <v>4</v>
      </c>
      <c r="BN220" s="398">
        <f>IF(BM220=0,0,IF(LEN(BD220)=11,_xlfn.XLOOKUP(BD220,'Dispensed Ink Rates'!C:C,'Dispensed Ink Rates'!CS:CS),VLOOKUP(BD220,'Jan-2026 rates'!$E:$F,2,0)))</f>
        <v>0</v>
      </c>
      <c r="BO220" s="409">
        <v>0.5</v>
      </c>
      <c r="BP220" s="398" t="e">
        <f>IF(BO220=0,0,IF(LEN(BE220)=11,_xlfn.XLOOKUP(BE220,'Dispensed Ink Rates'!C:C,'Dispensed Ink Rates'!CS:CS),VLOOKUP(BE220,'Jan-2026 rates'!$E:$F,2,0)))</f>
        <v>#N/A</v>
      </c>
      <c r="BQ220" s="409"/>
      <c r="BR220" s="398">
        <f>IF(BQ220=0,0,IF(LEN(BF220)=11,_xlfn.XLOOKUP(BF220,'Dispensed Ink Rates'!C:C,'Dispensed Ink Rates'!CS:CS),VLOOKUP(BF220,'Jan-2026 rates'!$E:$F,2,0)))</f>
        <v>0</v>
      </c>
      <c r="BS220" s="409"/>
      <c r="BT220" s="398">
        <f>IF(BS220=0,0,IF(LEN(BG220)=11,_xlfn.XLOOKUP(BG220,'Dispensed Ink Rates'!C:C,'Dispensed Ink Rates'!CS:CS),VLOOKUP(BG220,'Jan-2026 rates'!$E:$F,2,0)))</f>
        <v>0</v>
      </c>
      <c r="BU220" s="409"/>
      <c r="BV220" s="398">
        <f>IF(BU220=0,0,IF(LEN(BH220)=11,_xlfn.XLOOKUP(BH220,'Dispensed Ink Rates'!C:C,'Dispensed Ink Rates'!CS:CS),VLOOKUP(BH220,'Jan-2026 rates'!$E:$F,2,0)))</f>
        <v>0</v>
      </c>
      <c r="BW220" s="409"/>
      <c r="BX220" s="398">
        <f>IF(BW220=0,0,IF(LEN(BI220)=11,_xlfn.XLOOKUP(BI220,'Dispensed Ink Rates'!C:C,'Dispensed Ink Rates'!CS:CS),VLOOKUP(BI220,'Jan-2026 rates'!$E:$F,2,0)))</f>
        <v>0</v>
      </c>
      <c r="BY220" s="409"/>
      <c r="BZ220" s="398">
        <f>IF(BY220=0,0,IF(LEN(BJ220)=11,_xlfn.XLOOKUP(BJ220,'Dispensed Ink Rates'!C:C,'Dispensed Ink Rates'!CS:CS),VLOOKUP(BJ220,'Jan-2026 rates'!$E:$F,2,0)))</f>
        <v>0</v>
      </c>
      <c r="CA220" s="409" t="s">
        <v>1443</v>
      </c>
      <c r="CB220" s="409">
        <v>35</v>
      </c>
      <c r="CC220" s="411">
        <f t="shared" si="162"/>
        <v>0</v>
      </c>
      <c r="CD220" s="411">
        <f t="shared" si="163"/>
        <v>18.045454545454547</v>
      </c>
      <c r="CE220" s="410">
        <f t="shared" si="164"/>
        <v>0</v>
      </c>
      <c r="CF220" s="404" t="s">
        <v>855</v>
      </c>
      <c r="CG220" s="409" t="s">
        <v>3861</v>
      </c>
      <c r="CH220" s="420" t="str">
        <f t="shared" si="132"/>
        <v>FLINTSL - CYAN</v>
      </c>
      <c r="CI220" s="409">
        <v>25</v>
      </c>
      <c r="CJ220" s="411">
        <f>IF(CI220=0,0,IF($LB220=70%,VLOOKUP($CH220,'Jan-2026 rates'!$L:$R,4,0),IF($LB220=65%,VLOOKUP($CH220,'Jan-2026 rates'!$L:$R,4,0),IF($LB220=40%,VLOOKUP($CH220,'Jan-2026 rates'!$L:$R,5,0),IF($LB220=30%,VLOOKUP($CH220,'Jan-2026 rates'!$L:$R,6,0),IF($LB220=100%,VLOOKUP($CH220,'Jan-2026 rates'!$L:$R,7,0),IF($LB220=60%,VLOOKUP($CH220,'Jan-2026 rates'!$L:$S,8,0),IF($LB220=80%,VLOOKUP($CH220,'Jan-2026 rates'!L:T,9,0),0))))))))</f>
        <v>0</v>
      </c>
      <c r="CK220" s="412"/>
      <c r="CL220" s="409"/>
      <c r="CM220" s="411">
        <f>IF(CL220=0,0,IF($LB220=70%,VLOOKUP($CH220,'Jan-2026 rates'!$L:$R,4,0),IF($LB220=65%,VLOOKUP($CH220,'Jan-2026 rates'!$L:$R,4,0),IF($LB220=40%,VLOOKUP($CH220,'Jan-2026 rates'!$L:$R,5,0),IF($LB220=30%,VLOOKUP($CH220,'Jan-2026 rates'!$L:$R,6,0),IF($LB220=100%,VLOOKUP($CH220,'Jan-2026 rates'!$L:$R,7,0),IF($LB220=60%,VLOOKUP($CH220,'Jan-2026 rates'!$L:$S,8,0),IF($LB220=80%,VLOOKUP($CH220,'Jan-2026 rates'!L:T,9,0),0))))))))</f>
        <v>0</v>
      </c>
      <c r="CN220" s="426">
        <v>26513000021</v>
      </c>
      <c r="CO220" s="427"/>
      <c r="CP220" s="426"/>
      <c r="CQ220" s="426"/>
      <c r="CR220" s="428"/>
      <c r="CS220" s="428"/>
      <c r="CT220" s="428"/>
      <c r="CU220" s="428"/>
      <c r="CV220" s="409">
        <v>2</v>
      </c>
      <c r="CW220" s="398" t="e">
        <f>IF(CV220=0,0,IF(LEN(CN220)=11,_xlfn.XLOOKUP(CN220,'Dispensed Ink Rates'!C:C,'Dispensed Ink Rates'!CS:CS),VLOOKUP(CN220,'Jan-2026 rates'!$E:$F,2,0)))</f>
        <v>#N/A</v>
      </c>
      <c r="CX220" s="409"/>
      <c r="CY220" s="398">
        <f>IF(CX220=0,0,IF(LEN(CO220)=11,_xlfn.XLOOKUP(CO220,'Dispensed Ink Rates'!C:C,'Dispensed Ink Rates'!CS:CS),VLOOKUP(CO220,'Jan-2026 rates'!$E:$F,2,0)))</f>
        <v>0</v>
      </c>
      <c r="CZ220" s="409"/>
      <c r="DA220" s="398">
        <f>IF(CZ220=0,0,IF(LEN(CP220)=11,_xlfn.XLOOKUP(CP220,'Dispensed Ink Rates'!C:C,'Dispensed Ink Rates'!CS:CS),VLOOKUP(CP220,'Jan-2026 rates'!$E:$F,2,0)))</f>
        <v>0</v>
      </c>
      <c r="DB220" s="409"/>
      <c r="DC220" s="398">
        <f>IF(DB220=0,0,IF(LEN(CQ220)=11,_xlfn.XLOOKUP(CQ220,'Dispensed Ink Rates'!C:C,'Dispensed Ink Rates'!CS:CS),VLOOKUP(CQ220,'Jan-2026 rates'!$E:$F,2,0)))</f>
        <v>0</v>
      </c>
      <c r="DD220" s="409"/>
      <c r="DE220" s="398">
        <f>IF(DD220=0,0,IF(LEN(CR220)=11,_xlfn.XLOOKUP(CR220,'Dispensed Ink Rates'!C:C,'Dispensed Ink Rates'!CS:CS),VLOOKUP(CR220,'Jan-2026 rates'!$E:$F,2,0)))</f>
        <v>0</v>
      </c>
      <c r="DF220" s="409"/>
      <c r="DG220" s="398">
        <f>IF(DF220=0,0,IF(LEN(CS220)=11,_xlfn.XLOOKUP(CS220,'Dispensed Ink Rates'!C:C,'Dispensed Ink Rates'!CS:CS),VLOOKUP(CS220,'Jan-2026 rates'!$E:$F,2,0)))</f>
        <v>0</v>
      </c>
      <c r="DH220" s="409"/>
      <c r="DI220" s="398">
        <f>IF(DH220=0,0,IF(LEN(CT220)=11,_xlfn.XLOOKUP(CT220,'Dispensed Ink Rates'!C:C,'Dispensed Ink Rates'!CS:CS),VLOOKUP(CT220,'Jan-2026 rates'!$E:$F,2,0)))</f>
        <v>0</v>
      </c>
      <c r="DJ220" s="409"/>
      <c r="DK220" s="398">
        <f>IF(DJ220=0,0,IF(LEN(CU220)=11,_xlfn.XLOOKUP(CU220,'Dispensed Ink Rates'!C:C,'Dispensed Ink Rates'!CS:CS),VLOOKUP(CU220,'Jan-2026 rates'!$E:$F,2,0)))</f>
        <v>0</v>
      </c>
      <c r="DL220" s="409" t="s">
        <v>1443</v>
      </c>
      <c r="DM220" s="409">
        <v>24</v>
      </c>
      <c r="DN220" s="411">
        <f t="shared" si="165"/>
        <v>0</v>
      </c>
      <c r="DO220" s="411">
        <f t="shared" si="166"/>
        <v>6.6969696969696955</v>
      </c>
      <c r="DP220" s="410">
        <f t="shared" si="167"/>
        <v>0</v>
      </c>
      <c r="DQ220" s="405" t="s">
        <v>544</v>
      </c>
      <c r="DR220" s="409" t="s">
        <v>3862</v>
      </c>
      <c r="DS220" s="420" t="str">
        <f t="shared" si="133"/>
        <v>FLINTSL - MAGENTA</v>
      </c>
      <c r="DT220" s="409">
        <v>24</v>
      </c>
      <c r="DU220" s="411">
        <f>IF(DT220=0,0,IF($LB220=70%,VLOOKUP($DS220,'Jan-2026 rates'!$L:$R,4,0),IF($LB220=65%,VLOOKUP($DS220,'Jan-2026 rates'!$L:$R,4,0),IF($LB220=40%,VLOOKUP($DS220,'Jan-2026 rates'!$L:$R,5,0),IF($LB220=30%,VLOOKUP($DS220,'Jan-2026 rates'!$L:$R,6,0),IF($LB220=100%,VLOOKUP($DS220,'Jan-2026 rates'!$L:$R,7,0),IF($LB220=60%,VLOOKUP($DS220,'Jan-2026 rates'!$L:$S,8,0),IF($LB220=80%,VLOOKUP($DS220,'Jan-2026 rates'!L:T,9,0),0))))))))</f>
        <v>0</v>
      </c>
      <c r="DV220" s="412"/>
      <c r="DW220" s="409"/>
      <c r="DX220" s="411">
        <f>IF(DW220=0,0,IF($LB220=70%,VLOOKUP($DS220,'Jan-2026 rates'!$L:$R,4,0),IF($LB220=65%,VLOOKUP($DS220,'Jan-2026 rates'!$L:$R,4,0),IF($LB220=40%,VLOOKUP($DS220,'Jan-2026 rates'!$L:$R,5,0),IF($LB220=30%,VLOOKUP($DS220,'Jan-2026 rates'!$L:$R,6,0),IF($LB220=100%,VLOOKUP($DS220,'Jan-2026 rates'!$L:$R,7,0),IF($LB220=60%,VLOOKUP($DS220,'Jan-2026 rates'!$L:$S,8,0),IF($LB220=80%,VLOOKUP($DS220,'Jan-2026 rates'!L:T,9,0),0))))))))</f>
        <v>0</v>
      </c>
      <c r="DY220" s="413" t="s">
        <v>1266</v>
      </c>
      <c r="DZ220" s="413"/>
      <c r="EA220" s="412"/>
      <c r="EB220" s="412"/>
      <c r="EC220" s="412"/>
      <c r="ED220" s="412"/>
      <c r="EE220" s="412"/>
      <c r="EF220" s="412"/>
      <c r="EG220" s="409">
        <v>3</v>
      </c>
      <c r="EH220" s="398">
        <f>IF(EG220=0,0,IF(LEN(DY220)=11,_xlfn.XLOOKUP(DY220,'Dispensed Ink Rates'!C:C,'Dispensed Ink Rates'!CS:CS),VLOOKUP(DY220,'Jan-2026 rates'!$E:$F,2,0)))</f>
        <v>0</v>
      </c>
      <c r="EI220" s="409"/>
      <c r="EJ220" s="398">
        <f>IF(EI220=0,0,IF(LEN(DZ220)=11,_xlfn.XLOOKUP(DZ220,'Dispensed Ink Rates'!C:C,'Dispensed Ink Rates'!CS:CS),VLOOKUP(DZ220,'Jan-2026 rates'!$E:$F,2,0)))</f>
        <v>0</v>
      </c>
      <c r="EK220" s="409"/>
      <c r="EL220" s="398">
        <f>IF(EK220=0,0,IF(LEN(EA220)=11,_xlfn.XLOOKUP(EA220,'Dispensed Ink Rates'!C:C,'Dispensed Ink Rates'!CS:CS),VLOOKUP(EA220,'Jan-2026 rates'!$E:$F,2,0)))</f>
        <v>0</v>
      </c>
      <c r="EM220" s="409"/>
      <c r="EN220" s="398">
        <f>IF(EM220=0,0,IF(LEN(EB220)=11,_xlfn.XLOOKUP(EB220,'Dispensed Ink Rates'!C:C,'Dispensed Ink Rates'!CS:CS),VLOOKUP(EB220,'Jan-2026 rates'!$E:$F,2,0)))</f>
        <v>0</v>
      </c>
      <c r="EO220" s="409"/>
      <c r="EP220" s="398">
        <f>IF(EO220=0,0,IF(LEN(EC220)=11,_xlfn.XLOOKUP(EC220,'Dispensed Ink Rates'!C:C,'Dispensed Ink Rates'!CS:CS),VLOOKUP(EC220,'Jan-2026 rates'!$E:$F,2,0)))</f>
        <v>0</v>
      </c>
      <c r="EQ220" s="409"/>
      <c r="ER220" s="398">
        <f>IF(EQ220=0,0,IF(LEN(ED220)=11,_xlfn.XLOOKUP(ED220,'Dispensed Ink Rates'!C:C,'Dispensed Ink Rates'!CS:CS),VLOOKUP(ED220,'Jan-2026 rates'!$E:$F,2,0)))</f>
        <v>0</v>
      </c>
      <c r="ES220" s="409"/>
      <c r="ET220" s="398">
        <f>IF(ES220=0,0,IF(LEN(EE220)=11,_xlfn.XLOOKUP(EE220,'Dispensed Ink Rates'!C:C,'Dispensed Ink Rates'!CS:CS),VLOOKUP(EE220,'Jan-2026 rates'!$E:$F,2,0)))</f>
        <v>0</v>
      </c>
      <c r="EU220" s="409"/>
      <c r="EV220" s="398">
        <f>IF(EU220=0,0,IF(LEN(EF220)=11,_xlfn.XLOOKUP(EF220,'Dispensed Ink Rates'!C:C,'Dispensed Ink Rates'!CS:CS),VLOOKUP(EF220,'Jan-2026 rates'!$E:$F,2,0)))</f>
        <v>0</v>
      </c>
      <c r="EW220" s="409" t="s">
        <v>1443</v>
      </c>
      <c r="EX220" s="409">
        <v>25</v>
      </c>
      <c r="EY220" s="411">
        <f t="shared" si="168"/>
        <v>0</v>
      </c>
      <c r="EZ220" s="411">
        <f t="shared" si="169"/>
        <v>5.6969696969696955</v>
      </c>
      <c r="FA220" s="410">
        <f t="shared" si="170"/>
        <v>0</v>
      </c>
      <c r="FB220" s="405" t="s">
        <v>545</v>
      </c>
      <c r="FC220" s="409" t="s">
        <v>3863</v>
      </c>
      <c r="FD220" s="420" t="str">
        <f t="shared" si="134"/>
        <v>FLINTSL - YELLOW</v>
      </c>
      <c r="FE220" s="409">
        <v>27</v>
      </c>
      <c r="FF220" s="411">
        <f>IF(FE220=0,0,IF($LB220=70%,VLOOKUP($FD220,'Jan-2026 rates'!$L:$R,4,0),IF($LB220=65%,VLOOKUP($FD220,'Jan-2026 rates'!$L:$R,4,0),IF($LB220=40%,VLOOKUP($FD220,'Jan-2026 rates'!$L:$R,5,0),IF($LB220=30%,VLOOKUP($FD220,'Jan-2026 rates'!$L:$R,6,0),IF($LB220=100%,VLOOKUP($FD220,'Jan-2026 rates'!$L:$R,7,0),IF($LB220=60%,VLOOKUP($FD220,'Jan-2026 rates'!$L:$S,8,0),IF($LB220=80%,VLOOKUP($FD220,'Jan-2026 rates'!L:T,9,0),0))))))))</f>
        <v>0</v>
      </c>
      <c r="FG220" s="412"/>
      <c r="FH220" s="409"/>
      <c r="FI220" s="411">
        <f>IF(FH220=0,0,IF($LB220=70%,VLOOKUP($FD220,'Jan-2026 rates'!$L:$R,4,0),IF($LB220=65%,VLOOKUP($FD220,'Jan-2026 rates'!$L:$R,4,0),IF($LB220=40%,VLOOKUP($FD220,'Jan-2026 rates'!$L:$R,5,0),IF($LB220=30%,VLOOKUP($FD220,'Jan-2026 rates'!$L:$R,6,0),IF($LB220=100%,VLOOKUP($FD220,'Jan-2026 rates'!$L:$R,7,0),IF($LB220=60%,VLOOKUP($FD220,'Jan-2026 rates'!$L:$S,8,0),IF($LB220=80%,VLOOKUP($FD220,'Jan-2026 rates'!L:T,9,0),0))))))))</f>
        <v>0</v>
      </c>
      <c r="FJ220" s="413" t="s">
        <v>1266</v>
      </c>
      <c r="FK220" s="413"/>
      <c r="FL220" s="413"/>
      <c r="FM220" s="412"/>
      <c r="FN220" s="412"/>
      <c r="FO220" s="412"/>
      <c r="FP220" s="412"/>
      <c r="FQ220" s="412"/>
      <c r="FR220" s="409">
        <v>2</v>
      </c>
      <c r="FS220" s="398">
        <f>IF(FR220=0,0,IF(LEN(FJ220)=11,_xlfn.XLOOKUP(FJ220,'Dispensed Ink Rates'!C:C,'Dispensed Ink Rates'!CS:CS),VLOOKUP(FJ220,'Jan-2026 rates'!$E:$F,2,0)))</f>
        <v>0</v>
      </c>
      <c r="FT220" s="409"/>
      <c r="FU220" s="398">
        <f>IF(FT220=0,0,IF(LEN(FK220)=11,_xlfn.XLOOKUP(FK220,'Dispensed Ink Rates'!C:C,'Dispensed Ink Rates'!CS:CS),VLOOKUP(FK220,'Jan-2026 rates'!$E:$F,2,0)))</f>
        <v>0</v>
      </c>
      <c r="FV220" s="409"/>
      <c r="FW220" s="398">
        <f>IF(FV220=0,0,IF(LEN(FL220)=11,_xlfn.XLOOKUP(FL220,'Dispensed Ink Rates'!C:C,'Dispensed Ink Rates'!CS:CS),VLOOKUP(FL220,'Jan-2026 rates'!$E:$F,2,0)))</f>
        <v>0</v>
      </c>
      <c r="FX220" s="409"/>
      <c r="FY220" s="398">
        <f>IF(FX220=0,0,IF(LEN(FM220)=11,_xlfn.XLOOKUP(FM220,'Dispensed Ink Rates'!C:C,'Dispensed Ink Rates'!CS:CS),VLOOKUP(FM220,'Jan-2026 rates'!$E:$F,2,0)))</f>
        <v>0</v>
      </c>
      <c r="FZ220" s="409"/>
      <c r="GA220" s="398">
        <f>IF(FZ220=0,0,IF(LEN(FN220)=11,_xlfn.XLOOKUP(FN220,'Dispensed Ink Rates'!C:C,'Dispensed Ink Rates'!CS:CS),VLOOKUP(FN220,'Jan-2026 rates'!$E:$F,2,0)))</f>
        <v>0</v>
      </c>
      <c r="GB220" s="409"/>
      <c r="GC220" s="398">
        <f>IF(GB220=0,0,IF(LEN(FO220)=11,_xlfn.XLOOKUP(FO220,'Dispensed Ink Rates'!C:C,'Dispensed Ink Rates'!CS:CS),VLOOKUP(FO220,'Jan-2026 rates'!$E:$F,2,0)))</f>
        <v>0</v>
      </c>
      <c r="GD220" s="409"/>
      <c r="GE220" s="398">
        <f>IF(GD220=0,0,IF(LEN(FP220)=11,_xlfn.XLOOKUP(FP220,'Dispensed Ink Rates'!C:C,'Dispensed Ink Rates'!CS:CS),VLOOKUP(FP220,'Jan-2026 rates'!$E:$F,2,0)))</f>
        <v>0</v>
      </c>
      <c r="GF220" s="409"/>
      <c r="GG220" s="398">
        <f>IF(GF220=0,0,IF(LEN(FQ220)=11,_xlfn.XLOOKUP(FQ220,'Dispensed Ink Rates'!C:C,'Dispensed Ink Rates'!CS:CS),VLOOKUP(FQ220,'Jan-2026 rates'!$E:$F,2,0)))</f>
        <v>0</v>
      </c>
      <c r="GH220" s="409" t="s">
        <v>1443</v>
      </c>
      <c r="GI220" s="409">
        <v>20</v>
      </c>
      <c r="GJ220" s="411">
        <f t="shared" si="171"/>
        <v>0</v>
      </c>
      <c r="GK220" s="411">
        <f t="shared" si="172"/>
        <v>14.545454545454547</v>
      </c>
      <c r="GL220" s="410">
        <f t="shared" si="173"/>
        <v>0</v>
      </c>
      <c r="GM220" s="405" t="s">
        <v>829</v>
      </c>
      <c r="GN220" s="409" t="s">
        <v>3832</v>
      </c>
      <c r="GO220" s="420" t="str">
        <f t="shared" si="135"/>
        <v>FLINTSL - MEDIUM</v>
      </c>
      <c r="GP220" s="409">
        <v>18</v>
      </c>
      <c r="GQ220" s="411">
        <f>IF(GP220=0,0,IF($LB220=70%,VLOOKUP($GO220,'Jan-2026 rates'!$L:$R,4,0),IF($LB220=65%,VLOOKUP($GO220,'Jan-2026 rates'!$L:$R,4,0),IF($LB220=40%,VLOOKUP($GO220,'Jan-2026 rates'!$L:$R,5,0),IF($LB220=30%,VLOOKUP($GO220,'Jan-2026 rates'!$L:$R,6,0),IF($LB220=100%,VLOOKUP($GO220,'Jan-2026 rates'!$L:$R,7,0),IF($LB220=60%,VLOOKUP($GO220,'Jan-2026 rates'!$L:$S,8,0),IF($LB220=80%,VLOOKUP($GO220,'Jan-2026 rates'!L:T,9,0),0))))))))</f>
        <v>0</v>
      </c>
      <c r="GR220" s="412"/>
      <c r="GS220" s="409"/>
      <c r="GT220" s="411">
        <f>IF(GS220=0,0,IF($LB220=70%,VLOOKUP($GO220,'Jan-2026 rates'!$L:$R,4,0),IF($LB220=65%,VLOOKUP($GO220,'Jan-2026 rates'!$L:$R,4,0),IF($LB220=40%,VLOOKUP($GO220,'Jan-2026 rates'!$L:$R,5,0),IF($LB220=30%,VLOOKUP($GO220,'Jan-2026 rates'!$L:$R,6,0),IF($LB220=100%,VLOOKUP($GO220,'Jan-2026 rates'!$L:$R,7,0),IF($LB220=60%,VLOOKUP($GO220,'Jan-2026 rates'!$L:$S,8,0),IF($LB220=80%,VLOOKUP($GO220,'Jan-2026 rates'!L:T,9,0),0))))))))</f>
        <v>0</v>
      </c>
      <c r="GU220" s="413" t="s">
        <v>1266</v>
      </c>
      <c r="GV220" s="413">
        <v>26516000007</v>
      </c>
      <c r="GW220" s="412"/>
      <c r="GX220" s="412"/>
      <c r="GY220" s="412"/>
      <c r="GZ220" s="412"/>
      <c r="HA220" s="412"/>
      <c r="HB220" s="412"/>
      <c r="HC220" s="409">
        <f>7+2</f>
        <v>9</v>
      </c>
      <c r="HD220" s="398">
        <f>IF(HC220=0,0,IF(LEN(GU220)=11,_xlfn.XLOOKUP(GU220,'Dispensed Ink Rates'!C:C,'Dispensed Ink Rates'!CS:CS),VLOOKUP(GU220,'Jan-2026 rates'!$E:$F,2,0)))</f>
        <v>0</v>
      </c>
      <c r="HE220" s="409">
        <v>5</v>
      </c>
      <c r="HF220" s="398" t="e">
        <f>IF(HE220=0,0,IF(LEN(GV220)=11,_xlfn.XLOOKUP(GV220,'Dispensed Ink Rates'!C:C,'Dispensed Ink Rates'!CS:CS),VLOOKUP(GV220,'Jan-2026 rates'!$E:$F,2,0)))</f>
        <v>#N/A</v>
      </c>
      <c r="HG220" s="409"/>
      <c r="HH220" s="398">
        <f>IF(HG220=0,0,IF(LEN(GW220)=11,_xlfn.XLOOKUP(GW220,'Dispensed Ink Rates'!C:C,'Dispensed Ink Rates'!CS:CS),VLOOKUP(GW220,'Jan-2026 rates'!$E:$F,2,0)))</f>
        <v>0</v>
      </c>
      <c r="HI220" s="409"/>
      <c r="HJ220" s="398">
        <f>IF(HI220=0,0,IF(LEN(GX220)=11,_xlfn.XLOOKUP(GX220,'Dispensed Ink Rates'!C:C,'Dispensed Ink Rates'!CS:CS),VLOOKUP(GX220,'Jan-2026 rates'!$E:$F,2,0)))</f>
        <v>0</v>
      </c>
      <c r="HK220" s="409"/>
      <c r="HL220" s="398">
        <f>IF(HK220=0,0,IF(LEN(GY220)=11,_xlfn.XLOOKUP(GY220,'Dispensed Ink Rates'!C:C,'Dispensed Ink Rates'!CS:CS),VLOOKUP(GY220,'Jan-2026 rates'!$E:$F,2,0)))</f>
        <v>0</v>
      </c>
      <c r="HM220" s="409"/>
      <c r="HN220" s="398">
        <f>IF(HM220=0,0,IF(LEN(GZ220)=11,_xlfn.XLOOKUP(GZ220,'Dispensed Ink Rates'!C:C,'Dispensed Ink Rates'!CS:CS),VLOOKUP(GZ220,'Jan-2026 rates'!$E:$F,2,0)))</f>
        <v>0</v>
      </c>
      <c r="HO220" s="409"/>
      <c r="HP220" s="398">
        <f>IF(HO220=0,0,IF(LEN(HA220)=11,_xlfn.XLOOKUP(HA220,'Dispensed Ink Rates'!C:C,'Dispensed Ink Rates'!CS:CS),VLOOKUP(HA220,'Jan-2026 rates'!$E:$F,2,0)))</f>
        <v>0</v>
      </c>
      <c r="HQ220" s="409"/>
      <c r="HR220" s="398">
        <f>IF(HQ220=0,0,IF(LEN(HB220)=11,_xlfn.XLOOKUP(HB220,'Dispensed Ink Rates'!C:C,'Dispensed Ink Rates'!CS:CS),VLOOKUP(HB220,'Jan-2026 rates'!$E:$F,2,0)))</f>
        <v>0</v>
      </c>
      <c r="HS220" s="409" t="s">
        <v>1443</v>
      </c>
      <c r="HT220" s="409">
        <v>34</v>
      </c>
      <c r="HU220" s="411">
        <f t="shared" si="174"/>
        <v>0</v>
      </c>
      <c r="HV220" s="411">
        <f t="shared" si="175"/>
        <v>1.6969696969696955</v>
      </c>
      <c r="HW220" s="414">
        <f t="shared" si="176"/>
        <v>0</v>
      </c>
      <c r="HX220" s="405" t="s">
        <v>548</v>
      </c>
      <c r="HY220" s="409" t="s">
        <v>3864</v>
      </c>
      <c r="HZ220" s="420" t="str">
        <f t="shared" si="136"/>
        <v>FLINTSL - GOLD</v>
      </c>
      <c r="IA220" s="409">
        <v>20</v>
      </c>
      <c r="IB220" s="411">
        <f>IF(IA220=0,0,IF($LB220=70%,VLOOKUP($HZ220,'Jan-2026 rates'!$L:$R,4,0),IF($LB220=65%,VLOOKUP($HZ220,'Jan-2026 rates'!$L:$R,4,0),IF($LB220=40%,VLOOKUP($HZ220,'Jan-2026 rates'!$L:$R,5,0),IF($LB220=30%,VLOOKUP($HZ220,'Jan-2026 rates'!$L:$R,6,0),IF($LB220=100%,VLOOKUP($HZ220,'Jan-2026 rates'!$L:$R,7,0),IF($LB220=60%,VLOOKUP($HZ220,'Jan-2026 rates'!$L:$S,8,0),IF($LB220=80%,VLOOKUP($HZ220,'Jan-2026 rates'!L:T,9,0),0))))))))</f>
        <v>0</v>
      </c>
      <c r="IC220" s="412"/>
      <c r="ID220" s="409"/>
      <c r="IE220" s="411">
        <f>IF(ID220=0,0,IF($LB220=70%,VLOOKUP($HZ220,'Jan-2026 rates'!$L:$R,4,0),IF($LB220=65%,VLOOKUP($HZ220,'Jan-2026 rates'!$L:$R,4,0),IF($LB220=40%,VLOOKUP($HZ220,'Jan-2026 rates'!$L:$R,5,0),IF($LB220=30%,VLOOKUP($HZ220,'Jan-2026 rates'!$L:$R,6,0),IF($LB220=100%,VLOOKUP($HZ220,'Jan-2026 rates'!$L:$R,7,0),IF($LB220=60%,VLOOKUP($HZ220,'Jan-2026 rates'!$L:$S,8,0),IF($LB220=80%,VLOOKUP($HZ220,'Jan-2026 rates'!L:T,9,0),0))))))))</f>
        <v>0</v>
      </c>
      <c r="IF220" s="412" t="s">
        <v>1340</v>
      </c>
      <c r="IG220" s="413">
        <v>26516000007</v>
      </c>
      <c r="IH220" s="412">
        <v>26513000021</v>
      </c>
      <c r="II220" s="412"/>
      <c r="IJ220" s="412"/>
      <c r="IK220" s="412"/>
      <c r="IL220" s="412"/>
      <c r="IM220" s="412"/>
      <c r="IN220" s="409">
        <v>5</v>
      </c>
      <c r="IO220" s="398">
        <f>IF(IN220=0,0,IF(LEN(IF220)=11,_xlfn.XLOOKUP(IF220,'Dispensed Ink Rates'!C:C,'Dispensed Ink Rates'!CS:CS),VLOOKUP(IF220,'Jan-2026 rates'!$E:$F,2,0)))</f>
        <v>0</v>
      </c>
      <c r="IP220" s="409">
        <v>2</v>
      </c>
      <c r="IQ220" s="398" t="e">
        <f>IF(IP220=0,0,IF(LEN(IG220)=11,_xlfn.XLOOKUP(IG220,'Dispensed Ink Rates'!C:C,'Dispensed Ink Rates'!CS:CS),VLOOKUP(IG220,'Jan-2026 rates'!$E:$F,2,0)))</f>
        <v>#N/A</v>
      </c>
      <c r="IR220" s="409">
        <v>1</v>
      </c>
      <c r="IS220" s="398" t="e">
        <f>IF(IR220=0,0,IF(LEN(IH220)=11,_xlfn.XLOOKUP(IH220,'Dispensed Ink Rates'!C:C,'Dispensed Ink Rates'!CS:CS),VLOOKUP(IH220,'Jan-2026 rates'!$E:$F,2,0)))</f>
        <v>#N/A</v>
      </c>
      <c r="IT220" s="409"/>
      <c r="IU220" s="398">
        <f>IF(IT220=0,0,IF(LEN(II220)=11,_xlfn.XLOOKUP(II220,'Dispensed Ink Rates'!C:C,'Dispensed Ink Rates'!CS:CS),VLOOKUP(II220,'Jan-2026 rates'!$E:$F,2,0)))</f>
        <v>0</v>
      </c>
      <c r="IV220" s="409"/>
      <c r="IW220" s="398">
        <f>IF(IV220=0,0,IF(LEN(IJ220)=11,_xlfn.XLOOKUP(IJ220,'Dispensed Ink Rates'!C:C,'Dispensed Ink Rates'!CS:CS),VLOOKUP(IJ220,'Jan-2026 rates'!$E:$F,2,0)))</f>
        <v>0</v>
      </c>
      <c r="IX220" s="409"/>
      <c r="IY220" s="398">
        <f>IF(IX220=0,0,IF(LEN(IK220)=11,_xlfn.XLOOKUP(IK220,'Dispensed Ink Rates'!C:C,'Dispensed Ink Rates'!CS:CS),VLOOKUP(IK220,'Jan-2026 rates'!$E:$F,2,0)))</f>
        <v>0</v>
      </c>
      <c r="IZ220" s="409"/>
      <c r="JA220" s="398">
        <f>IF(IZ220=0,0,IF(LEN(IL220)=11,_xlfn.XLOOKUP(IL220,'Dispensed Ink Rates'!C:C,'Dispensed Ink Rates'!CS:CS),VLOOKUP(IL220,'Jan-2026 rates'!$E:$F,2,0)))</f>
        <v>0</v>
      </c>
      <c r="JB220" s="409"/>
      <c r="JC220" s="398">
        <f>IF(JB220=0,0,IF(LEN(IM220)=11,_xlfn.XLOOKUP(IM220,'Dispensed Ink Rates'!C:C,'Dispensed Ink Rates'!CS:CS),VLOOKUP(IM220,'Jan-2026 rates'!$E:$F,2,0)))</f>
        <v>0</v>
      </c>
      <c r="JD220" s="409" t="s">
        <v>1443</v>
      </c>
      <c r="JE220" s="409">
        <v>30</v>
      </c>
      <c r="JF220" s="411">
        <f t="shared" si="177"/>
        <v>0</v>
      </c>
      <c r="JG220" s="411">
        <f t="shared" si="178"/>
        <v>3.5454545454545467</v>
      </c>
      <c r="JH220" s="410">
        <f t="shared" si="179"/>
        <v>0</v>
      </c>
      <c r="JI220" s="405" t="s">
        <v>856</v>
      </c>
      <c r="JJ220" s="409" t="s">
        <v>3865</v>
      </c>
      <c r="JK220" s="420" t="str">
        <f t="shared" si="137"/>
        <v>FLINTSL - WHITE</v>
      </c>
      <c r="JL220" s="409">
        <v>25</v>
      </c>
      <c r="JM220" s="411">
        <f>IF(JL220=0,0,IF($LB220=70%,VLOOKUP($JK220,'Jan-2026 rates'!$L:$R,4,0),IF($LB220=65%,VLOOKUP($JK220,'Jan-2026 rates'!$L:$R,4,0),IF($LB220=40%,VLOOKUP($JK220,'Jan-2026 rates'!$L:$R,5,0),IF($LB220=30%,VLOOKUP($JK220,'Jan-2026 rates'!$L:$R,6,0),IF($LB220=100%,VLOOKUP($JK220,'Jan-2026 rates'!$L:$R,7,0),IF($LB220=60%,VLOOKUP($JK220,'Jan-2026 rates'!$L:$S,8,0),IF($LB220=80%,VLOOKUP($JK220,'Jan-2026 rates'!L:T,9,0),0))))))))</f>
        <v>0</v>
      </c>
      <c r="JN220" s="412"/>
      <c r="JO220" s="409"/>
      <c r="JP220" s="411">
        <f>IF(JO220=0,0,IF($LB220=70%,VLOOKUP($JK220,'Jan-2026 rates'!$L:$R,4,0),IF($LB220=65%,VLOOKUP($JK220,'Jan-2026 rates'!$L:$R,4,0),IF($LB220=40%,VLOOKUP($JK220,'Jan-2026 rates'!$L:$R,5,0),IF($LB220=30%,VLOOKUP($JK220,'Jan-2026 rates'!$L:$R,6,0),IF($LB220=100%,VLOOKUP($JK220,'Jan-2026 rates'!$L:$R,7,0),IF($LB220=60%,VLOOKUP($JK220,'Jan-2026 rates'!$L:$S,8,0),IF($LB220=80%,VLOOKUP($JK220,'Jan-2026 rates'!L:T,9,0),0))))))))</f>
        <v>0</v>
      </c>
      <c r="JQ220" s="413" t="s">
        <v>484</v>
      </c>
      <c r="JR220" s="412"/>
      <c r="JS220" s="413"/>
      <c r="JT220" s="413"/>
      <c r="JU220" s="412"/>
      <c r="JV220" s="412"/>
      <c r="JW220" s="412"/>
      <c r="JX220" s="412"/>
      <c r="JY220" s="409">
        <v>30</v>
      </c>
      <c r="JZ220" s="398">
        <f>IF(JY220=0,0,IF(LEN(JQ220)=11,_xlfn.XLOOKUP(JQ220,'Dispensed Ink Rates'!C:C,'Dispensed Ink Rates'!CS:CS),VLOOKUP(JQ220,'Jan-2026 rates'!$E:$F,2,0)))</f>
        <v>0</v>
      </c>
      <c r="KA220" s="409"/>
      <c r="KB220" s="398">
        <f>IF(KA220=0,0,IF(LEN(JR220)=11,_xlfn.XLOOKUP(JR220,'Dispensed Ink Rates'!C:C,'Dispensed Ink Rates'!CS:CS),VLOOKUP(JR220,'Jan-2026 rates'!$E:$F,2,0)))</f>
        <v>0</v>
      </c>
      <c r="KC220" s="409"/>
      <c r="KD220" s="398">
        <f>IF(KC220=0,0,IF(LEN(JS220)=11,_xlfn.XLOOKUP(JS220,'Dispensed Ink Rates'!C:C,'Dispensed Ink Rates'!CS:CS),VLOOKUP(JS220,'Jan-2026 rates'!$E:$F,2,0)))</f>
        <v>0</v>
      </c>
      <c r="KE220" s="409"/>
      <c r="KF220" s="398">
        <f>IF(KE220=0,0,IF(LEN(JT220)=11,_xlfn.XLOOKUP(JT220,'Dispensed Ink Rates'!C:C,'Dispensed Ink Rates'!CS:CS),VLOOKUP(JT220,'Jan-2026 rates'!$E:$F,2,0)))</f>
        <v>0</v>
      </c>
      <c r="KG220" s="409"/>
      <c r="KH220" s="398">
        <f>IF(KG220=0,0,IF(LEN(JU220)=11,_xlfn.XLOOKUP(JU220,'Dispensed Ink Rates'!C:C,'Dispensed Ink Rates'!CS:CS),VLOOKUP(JU220,'Jan-2026 rates'!$E:$F,2,0)))</f>
        <v>0</v>
      </c>
      <c r="KI220" s="409"/>
      <c r="KJ220" s="398">
        <f>IF(KI220=0,0,IF(LEN(JV220)=11,_xlfn.XLOOKUP(JV220,'Dispensed Ink Rates'!C:C,'Dispensed Ink Rates'!CS:CS),VLOOKUP(JV220,'Jan-2026 rates'!$E:$F,2,0)))</f>
        <v>0</v>
      </c>
      <c r="KK220" s="409"/>
      <c r="KL220" s="398">
        <f>IF(KK220=0,0,IF(LEN(JW220)=11,_xlfn.XLOOKUP(JW220,'Dispensed Ink Rates'!C:C,'Dispensed Ink Rates'!CS:CS),VLOOKUP(JW220,'Jan-2026 rates'!$E:$F,2,0)))</f>
        <v>0</v>
      </c>
      <c r="KM220" s="428"/>
      <c r="KN220" s="398">
        <f>IF(KM220=0,0,IF(LEN(JX220)=11,_xlfn.XLOOKUP(JX220,'Dispensed Ink Rates'!C:C,'Dispensed Ink Rates'!CS:CS),VLOOKUP(JX220,'Jan-2026 rates'!$E:$F,2,0)))</f>
        <v>0</v>
      </c>
      <c r="KO220" s="409" t="s">
        <v>1443</v>
      </c>
      <c r="KP220" s="409">
        <v>18</v>
      </c>
      <c r="KQ220" s="411">
        <f t="shared" si="180"/>
        <v>0</v>
      </c>
      <c r="KR220" s="411">
        <f t="shared" si="181"/>
        <v>64.72727272727272</v>
      </c>
      <c r="KS220" s="410">
        <f t="shared" si="182"/>
        <v>0</v>
      </c>
      <c r="KT220" s="409">
        <v>3</v>
      </c>
      <c r="KU220" s="409">
        <v>3</v>
      </c>
      <c r="KV220" s="409">
        <v>2</v>
      </c>
      <c r="KW220" s="409">
        <v>2</v>
      </c>
      <c r="KX220" s="409">
        <v>3</v>
      </c>
      <c r="KY220" s="409">
        <v>2</v>
      </c>
      <c r="KZ220" s="409">
        <v>3</v>
      </c>
      <c r="LA220" s="409">
        <v>15</v>
      </c>
      <c r="LB220" s="415">
        <v>0.8</v>
      </c>
      <c r="LC220" s="415">
        <v>0.2</v>
      </c>
      <c r="LD220" s="415"/>
      <c r="LE220" s="415"/>
      <c r="LF220" s="415"/>
      <c r="LG220" s="409">
        <v>0</v>
      </c>
      <c r="LH220" s="409">
        <f>18+13+24+6</f>
        <v>61</v>
      </c>
      <c r="LI220" s="409">
        <v>0</v>
      </c>
      <c r="LJ220" s="409">
        <v>0</v>
      </c>
      <c r="LK220" s="416">
        <f t="shared" si="138"/>
        <v>61</v>
      </c>
      <c r="LL220" s="416">
        <f t="shared" si="139"/>
        <v>61</v>
      </c>
      <c r="LM220" s="417">
        <f t="shared" si="140"/>
        <v>48.800000000000004</v>
      </c>
      <c r="LN220" s="417">
        <f>VLOOKUP($LM$8,'Jan-2026 rates'!$H:$I,2,0)</f>
        <v>0</v>
      </c>
      <c r="LO220" s="417">
        <f t="shared" si="141"/>
        <v>12.200000000000001</v>
      </c>
      <c r="LP220" s="417">
        <f>VLOOKUP($LO$8,'Jan-2026 rates'!$H:$I,2,0)</f>
        <v>0</v>
      </c>
      <c r="LQ220" s="417">
        <f t="shared" si="142"/>
        <v>0</v>
      </c>
      <c r="LR220" s="417">
        <f>VLOOKUP($LQ$8,'Jan-2026 rates'!$H:$I,2,0)</f>
        <v>0</v>
      </c>
      <c r="LS220" s="417">
        <f t="shared" si="143"/>
        <v>0</v>
      </c>
      <c r="LT220" s="417">
        <f>VLOOKUP($LS$8,'Jan-2026 rates'!$H:$I,2,0)</f>
        <v>0</v>
      </c>
      <c r="LU220" s="417">
        <f t="shared" si="144"/>
        <v>0</v>
      </c>
      <c r="LV220" s="417">
        <f>VLOOKUP($LU$8,'Jan-2026 rates'!$H:$I,2,0)</f>
        <v>0</v>
      </c>
      <c r="LW220" s="417">
        <f t="shared" si="145"/>
        <v>0</v>
      </c>
      <c r="LX220" s="417">
        <f t="shared" si="146"/>
        <v>0</v>
      </c>
      <c r="LY220" s="418">
        <f t="shared" si="147"/>
        <v>0</v>
      </c>
      <c r="LZ220" s="417"/>
      <c r="MA220" s="435">
        <f t="shared" si="148"/>
        <v>64.5</v>
      </c>
      <c r="MB220" s="282">
        <f t="shared" si="149"/>
        <v>122.5</v>
      </c>
      <c r="MC220" s="283">
        <v>113</v>
      </c>
      <c r="MD220" s="284" t="str">
        <f t="shared" si="150"/>
        <v>FLINTSLFLINTSLFLINTSLFLINTSLFLINTSLFLINTSLFLINTSLFLINTSL</v>
      </c>
      <c r="ME220" s="293" t="str">
        <f t="shared" si="151"/>
        <v>+</v>
      </c>
      <c r="MF220" s="293" t="str">
        <f t="shared" si="152"/>
        <v>+</v>
      </c>
      <c r="MG220" s="293" t="str">
        <f t="shared" si="153"/>
        <v>+</v>
      </c>
      <c r="MH220" s="293" t="str">
        <f t="shared" si="154"/>
        <v>+</v>
      </c>
      <c r="MI220" s="293" t="str">
        <f t="shared" si="155"/>
        <v>+</v>
      </c>
      <c r="MJ220" s="293" t="str">
        <f t="shared" si="156"/>
        <v>+</v>
      </c>
      <c r="MK220" s="293" t="str">
        <f t="shared" si="157"/>
        <v>+</v>
      </c>
      <c r="ML220" s="293" t="str">
        <f t="shared" si="158"/>
        <v>+</v>
      </c>
      <c r="MM220" s="3" t="b">
        <f t="array" ref="MM220">OR(ME220:ML220="-")</f>
        <v>0</v>
      </c>
      <c r="MN220" s="285"/>
      <c r="MO220" s="401"/>
      <c r="MP220" s="286"/>
      <c r="MQ220" s="286"/>
      <c r="MR220" s="402"/>
      <c r="MS220" s="400"/>
      <c r="NH220" s="422"/>
      <c r="NJ220" s="421"/>
    </row>
    <row r="221" spans="1:374" s="1" customFormat="1" ht="16.5">
      <c r="A221" s="403">
        <v>46038</v>
      </c>
      <c r="B221" s="404" t="s">
        <v>1015</v>
      </c>
      <c r="C221" s="405" t="s">
        <v>3866</v>
      </c>
      <c r="D221" s="406">
        <v>114</v>
      </c>
      <c r="E221" s="404">
        <v>510</v>
      </c>
      <c r="F221" s="407">
        <v>26000</v>
      </c>
      <c r="G221" s="407" t="s">
        <v>1016</v>
      </c>
      <c r="H221" s="408" t="s">
        <v>1017</v>
      </c>
      <c r="I221" s="409">
        <v>2</v>
      </c>
      <c r="J221" s="405" t="s">
        <v>543</v>
      </c>
      <c r="K221" s="404" t="s">
        <v>3867</v>
      </c>
      <c r="L221" s="419" t="str">
        <f t="shared" si="131"/>
        <v>FLINTSL - BLACK</v>
      </c>
      <c r="M221" s="404">
        <v>23</v>
      </c>
      <c r="N221" s="410">
        <f>IF(M221=0,0,IF($LB221=70%,VLOOKUP($L221,'Jan-2026 rates'!$L:$R,4,0),IF($LB221=65%,VLOOKUP($L221,'Jan-2026 rates'!$L:$R,4,0),IF($LB221=40%,VLOOKUP($L221,'Jan-2026 rates'!$L:$R,5,0),IF($LB221=30%,VLOOKUP($L221,'Jan-2026 rates'!$L:$R,6,0),IF($LB221=100%,VLOOKUP($L221,'Jan-2026 rates'!$L:$R,7,0),IF($LB221=60%,VLOOKUP($L221,'Jan-2026 rates'!$L:$S,8,0),IF($LB221=80%,VLOOKUP($L221,'Jan-2026 rates'!L:T,9,0),0))))))))</f>
        <v>0</v>
      </c>
      <c r="O221" s="406"/>
      <c r="P221" s="404"/>
      <c r="Q221" s="410">
        <f>IF(P221=0,0,IF($LB221=70%,VLOOKUP($L221,'Jan-2026 rates'!$L:$R,4,0),IF($LB221=65%,VLOOKUP($L221,'Jan-2026 rates'!$L:$R,4,0),IF($LB221=40%,VLOOKUP($L221,'Jan-2026 rates'!$L:$R,5,0),IF($LB221=30%,VLOOKUP($L221,'Jan-2026 rates'!$L:$R,6,0),IF($LB221=100%,VLOOKUP($L221,'Jan-2026 rates'!$L:$R,7,0),IF($LB221=60%,VLOOKUP($L221,'Jan-2026 rates'!$L:$S,8,0),IF($LB221=80%,VLOOKUP($L221,'Jan-2026 rates'!L:T,9,0),0))))))))</f>
        <v>0</v>
      </c>
      <c r="R221" s="406">
        <v>26520000005</v>
      </c>
      <c r="S221" s="406"/>
      <c r="T221" s="406"/>
      <c r="U221" s="406"/>
      <c r="V221" s="406"/>
      <c r="W221" s="406"/>
      <c r="X221" s="406"/>
      <c r="Y221" s="406"/>
      <c r="Z221" s="404">
        <v>5</v>
      </c>
      <c r="AA221" s="398" t="e">
        <f>IF(Z221=0,0,IF(LEN(R221)=11,_xlfn.XLOOKUP(R221,'Dispensed Ink Rates'!C:C,'Dispensed Ink Rates'!CS:CS),VLOOKUP(R221,'Jan-2026 rates'!$E:$F,2,0)))</f>
        <v>#N/A</v>
      </c>
      <c r="AB221" s="404"/>
      <c r="AC221" s="398">
        <f>IF(AB221=0,0,IF(LEN(S221)=11,_xlfn.XLOOKUP(S221,'Dispensed Ink Rates'!C:C,'Dispensed Ink Rates'!CS:CS),VLOOKUP(S221,'Jan-2026 rates'!$E:$F,2,0)))</f>
        <v>0</v>
      </c>
      <c r="AD221" s="404"/>
      <c r="AE221" s="398">
        <f>IF(AD221=0,0,IF(LEN(T221)=11,_xlfn.XLOOKUP(T221,'Dispensed Ink Rates'!C:C,'Dispensed Ink Rates'!CS:CS),VLOOKUP(T221,'Jan-2026 rates'!$E:$F,2,0)))</f>
        <v>0</v>
      </c>
      <c r="AF221" s="404"/>
      <c r="AG221" s="398">
        <f>IF(AF221=0,0,IF(LEN(U221)=11,_xlfn.XLOOKUP(U221,'Dispensed Ink Rates'!C:C,'Dispensed Ink Rates'!CS:CS),VLOOKUP(U221,'Jan-2026 rates'!$E:$F,2,0)))</f>
        <v>0</v>
      </c>
      <c r="AH221" s="404"/>
      <c r="AI221" s="398">
        <f>IF(AH221=0,0,IF(LEN(V221)=11,_xlfn.XLOOKUP(V221,'Dispensed Ink Rates'!C:C,'Dispensed Ink Rates'!CS:CS),VLOOKUP(V221,'Jan-2026 rates'!$E:$F,2,0)))</f>
        <v>0</v>
      </c>
      <c r="AJ221" s="404"/>
      <c r="AK221" s="398">
        <f>IF(AJ221=0,0,IF(LEN(W221)=11,_xlfn.XLOOKUP(W221,'Dispensed Ink Rates'!C:C,'Dispensed Ink Rates'!CS:CS),VLOOKUP(W221,'Jan-2026 rates'!$E:$F,2,0)))</f>
        <v>0</v>
      </c>
      <c r="AL221" s="404"/>
      <c r="AM221" s="398">
        <f>IF(AL221=0,0,IF(LEN(X221)=11,_xlfn.XLOOKUP(X221,'Dispensed Ink Rates'!C:C,'Dispensed Ink Rates'!CS:CS),VLOOKUP(X221,'Jan-2026 rates'!$E:$F,2,0)))</f>
        <v>0</v>
      </c>
      <c r="AN221" s="404"/>
      <c r="AO221" s="398">
        <f>IF(AN221=0,0,IF(LEN(Y221)=11,_xlfn.XLOOKUP(Y221,'Dispensed Ink Rates'!C:C,'Dispensed Ink Rates'!CS:CS),VLOOKUP(Y221,'Jan-2026 rates'!$E:$F,2,0)))</f>
        <v>0</v>
      </c>
      <c r="AP221" s="409" t="s">
        <v>1443</v>
      </c>
      <c r="AQ221" s="409">
        <v>24</v>
      </c>
      <c r="AR221" s="410">
        <f t="shared" si="159"/>
        <v>0</v>
      </c>
      <c r="AS221" s="411">
        <f t="shared" si="160"/>
        <v>12.267326732673268</v>
      </c>
      <c r="AT221" s="410">
        <f t="shared" si="161"/>
        <v>0</v>
      </c>
      <c r="AU221" s="405" t="s">
        <v>546</v>
      </c>
      <c r="AV221" s="409" t="s">
        <v>3858</v>
      </c>
      <c r="AW221" s="420" t="str">
        <f t="shared" si="183"/>
        <v>FLINTSL - REFLEX BLUE</v>
      </c>
      <c r="AX221" s="409">
        <v>26</v>
      </c>
      <c r="AY221" s="411">
        <f>IF(AX221=0,0,IF($LB221=70%,VLOOKUP($AW221,'Jan-2026 rates'!$L:$R,4,0),IF($LB221=65%,VLOOKUP($AW221,'Jan-2026 rates'!$L:$R,4,0),IF($LB221=40%,VLOOKUP($AW221,'Jan-2026 rates'!$L:$R,5,0),IF($LB221=30%,VLOOKUP($AW221,'Jan-2026 rates'!$L:$R,6,0),IF($LB221=100%,VLOOKUP($AW221,'Jan-2026 rates'!$L:$R,7,0),IF($LB221=60%,VLOOKUP($AW221,'Jan-2026 rates'!$L:$S,8,0),IF($LB221=80%,VLOOKUP($AW221,'Jan-2026 rates'!L:T,9,0),0))))))))</f>
        <v>0</v>
      </c>
      <c r="AZ221" s="412"/>
      <c r="BA221" s="409"/>
      <c r="BB221" s="411">
        <f>IF(BA221=0,0,IF($LB221=70%,VLOOKUP($AW221,'Jan-2026 rates'!$L:$R,4,0),IF($LB221=65%,VLOOKUP($AW221,'Jan-2026 rates'!$L:$R,4,0),IF($LB221=40%,VLOOKUP($AW221,'Jan-2026 rates'!$L:$R,5,0),IF($LB221=30%,VLOOKUP($AW221,'Jan-2026 rates'!$L:$R,6,0),IF($LB221=100%,VLOOKUP($AW221,'Jan-2026 rates'!$L:$R,7,0),IF($LB221=60%,VLOOKUP($AW221,'Jan-2026 rates'!$L:$S,8,0),IF($LB221=80%,VLOOKUP($AW221,'Jan-2026 rates'!L:T,9,0),0))))))))</f>
        <v>0</v>
      </c>
      <c r="BC221" s="413">
        <v>26512000002</v>
      </c>
      <c r="BD221" s="412">
        <v>26513000021</v>
      </c>
      <c r="BE221" s="412"/>
      <c r="BF221" s="413"/>
      <c r="BG221" s="412"/>
      <c r="BH221" s="412"/>
      <c r="BI221" s="412"/>
      <c r="BJ221" s="412"/>
      <c r="BK221" s="409">
        <f>3+4</f>
        <v>7</v>
      </c>
      <c r="BL221" s="398" t="e">
        <f>IF(BK221=0,0,IF(LEN(BC221)=11,_xlfn.XLOOKUP(BC221,'Dispensed Ink Rates'!C:C,'Dispensed Ink Rates'!CS:CS),VLOOKUP(BC221,'Jan-2026 rates'!$E:$F,2,0)))</f>
        <v>#N/A</v>
      </c>
      <c r="BM221" s="409">
        <v>2</v>
      </c>
      <c r="BN221" s="398" t="e">
        <f>IF(BM221=0,0,IF(LEN(BD221)=11,_xlfn.XLOOKUP(BD221,'Dispensed Ink Rates'!C:C,'Dispensed Ink Rates'!CS:CS),VLOOKUP(BD221,'Jan-2026 rates'!$E:$F,2,0)))</f>
        <v>#N/A</v>
      </c>
      <c r="BO221" s="409"/>
      <c r="BP221" s="398">
        <f>IF(BO221=0,0,IF(LEN(BE221)=11,_xlfn.XLOOKUP(BE221,'Dispensed Ink Rates'!C:C,'Dispensed Ink Rates'!CS:CS),VLOOKUP(BE221,'Jan-2026 rates'!$E:$F,2,0)))</f>
        <v>0</v>
      </c>
      <c r="BQ221" s="409"/>
      <c r="BR221" s="398">
        <f>IF(BQ221=0,0,IF(LEN(BF221)=11,_xlfn.XLOOKUP(BF221,'Dispensed Ink Rates'!C:C,'Dispensed Ink Rates'!CS:CS),VLOOKUP(BF221,'Jan-2026 rates'!$E:$F,2,0)))</f>
        <v>0</v>
      </c>
      <c r="BS221" s="409"/>
      <c r="BT221" s="398">
        <f>IF(BS221=0,0,IF(LEN(BG221)=11,_xlfn.XLOOKUP(BG221,'Dispensed Ink Rates'!C:C,'Dispensed Ink Rates'!CS:CS),VLOOKUP(BG221,'Jan-2026 rates'!$E:$F,2,0)))</f>
        <v>0</v>
      </c>
      <c r="BU221" s="409"/>
      <c r="BV221" s="398">
        <f>IF(BU221=0,0,IF(LEN(BH221)=11,_xlfn.XLOOKUP(BH221,'Dispensed Ink Rates'!C:C,'Dispensed Ink Rates'!CS:CS),VLOOKUP(BH221,'Jan-2026 rates'!$E:$F,2,0)))</f>
        <v>0</v>
      </c>
      <c r="BW221" s="409"/>
      <c r="BX221" s="398">
        <f>IF(BW221=0,0,IF(LEN(BI221)=11,_xlfn.XLOOKUP(BI221,'Dispensed Ink Rates'!C:C,'Dispensed Ink Rates'!CS:CS),VLOOKUP(BI221,'Jan-2026 rates'!$E:$F,2,0)))</f>
        <v>0</v>
      </c>
      <c r="BY221" s="409"/>
      <c r="BZ221" s="398">
        <f>IF(BY221=0,0,IF(LEN(BJ221)=11,_xlfn.XLOOKUP(BJ221,'Dispensed Ink Rates'!C:C,'Dispensed Ink Rates'!CS:CS),VLOOKUP(BJ221,'Jan-2026 rates'!$E:$F,2,0)))</f>
        <v>0</v>
      </c>
      <c r="CA221" s="409" t="s">
        <v>1443</v>
      </c>
      <c r="CB221" s="409">
        <v>23</v>
      </c>
      <c r="CC221" s="411">
        <f t="shared" si="162"/>
        <v>0</v>
      </c>
      <c r="CD221" s="411">
        <f t="shared" si="163"/>
        <v>15.306930693069305</v>
      </c>
      <c r="CE221" s="410">
        <f t="shared" si="164"/>
        <v>0</v>
      </c>
      <c r="CF221" s="404" t="s">
        <v>857</v>
      </c>
      <c r="CG221" s="409" t="s">
        <v>3868</v>
      </c>
      <c r="CH221" s="420" t="str">
        <f t="shared" si="132"/>
        <v>FLINTSL - RED</v>
      </c>
      <c r="CI221" s="409">
        <v>27</v>
      </c>
      <c r="CJ221" s="411">
        <f>IF(CI221=0,0,IF($LB221=70%,VLOOKUP($CH221,'Jan-2026 rates'!$L:$R,4,0),IF($LB221=65%,VLOOKUP($CH221,'Jan-2026 rates'!$L:$R,4,0),IF($LB221=40%,VLOOKUP($CH221,'Jan-2026 rates'!$L:$R,5,0),IF($LB221=30%,VLOOKUP($CH221,'Jan-2026 rates'!$L:$R,6,0),IF($LB221=100%,VLOOKUP($CH221,'Jan-2026 rates'!$L:$R,7,0),IF($LB221=60%,VLOOKUP($CH221,'Jan-2026 rates'!$L:$S,8,0),IF($LB221=80%,VLOOKUP($CH221,'Jan-2026 rates'!L:T,9,0),0))))))))</f>
        <v>0</v>
      </c>
      <c r="CK221" s="412"/>
      <c r="CL221" s="409"/>
      <c r="CM221" s="411">
        <f>IF(CL221=0,0,IF($LB221=70%,VLOOKUP($CH221,'Jan-2026 rates'!$L:$R,4,0),IF($LB221=65%,VLOOKUP($CH221,'Jan-2026 rates'!$L:$R,4,0),IF($LB221=40%,VLOOKUP($CH221,'Jan-2026 rates'!$L:$R,5,0),IF($LB221=30%,VLOOKUP($CH221,'Jan-2026 rates'!$L:$R,6,0),IF($LB221=100%,VLOOKUP($CH221,'Jan-2026 rates'!$L:$R,7,0),IF($LB221=60%,VLOOKUP($CH221,'Jan-2026 rates'!$L:$S,8,0),IF($LB221=80%,VLOOKUP($CH221,'Jan-2026 rates'!L:T,9,0),0))))))))</f>
        <v>0</v>
      </c>
      <c r="CN221" s="426">
        <v>26517000020</v>
      </c>
      <c r="CO221" s="427">
        <v>26514000026</v>
      </c>
      <c r="CP221" s="426">
        <v>26516000012</v>
      </c>
      <c r="CQ221" s="426"/>
      <c r="CR221" s="428"/>
      <c r="CS221" s="428"/>
      <c r="CT221" s="428"/>
      <c r="CU221" s="428"/>
      <c r="CV221" s="409">
        <v>10</v>
      </c>
      <c r="CW221" s="398" t="e">
        <f>IF(CV221=0,0,IF(LEN(CN221)=11,_xlfn.XLOOKUP(CN221,'Dispensed Ink Rates'!C:C,'Dispensed Ink Rates'!CS:CS),VLOOKUP(CN221,'Jan-2026 rates'!$E:$F,2,0)))</f>
        <v>#N/A</v>
      </c>
      <c r="CX221" s="409">
        <v>10</v>
      </c>
      <c r="CY221" s="398" t="e">
        <f>IF(CX221=0,0,IF(LEN(CO221)=11,_xlfn.XLOOKUP(CO221,'Dispensed Ink Rates'!C:C,'Dispensed Ink Rates'!CS:CS),VLOOKUP(CO221,'Jan-2026 rates'!$E:$F,2,0)))</f>
        <v>#N/A</v>
      </c>
      <c r="CZ221" s="409">
        <v>20</v>
      </c>
      <c r="DA221" s="398" t="e">
        <f>IF(CZ221=0,0,IF(LEN(CP221)=11,_xlfn.XLOOKUP(CP221,'Dispensed Ink Rates'!C:C,'Dispensed Ink Rates'!CS:CS),VLOOKUP(CP221,'Jan-2026 rates'!$E:$F,2,0)))</f>
        <v>#N/A</v>
      </c>
      <c r="DB221" s="409"/>
      <c r="DC221" s="398">
        <f>IF(DB221=0,0,IF(LEN(CQ221)=11,_xlfn.XLOOKUP(CQ221,'Dispensed Ink Rates'!C:C,'Dispensed Ink Rates'!CS:CS),VLOOKUP(CQ221,'Jan-2026 rates'!$E:$F,2,0)))</f>
        <v>0</v>
      </c>
      <c r="DD221" s="409"/>
      <c r="DE221" s="398">
        <f>IF(DD221=0,0,IF(LEN(CR221)=11,_xlfn.XLOOKUP(CR221,'Dispensed Ink Rates'!C:C,'Dispensed Ink Rates'!CS:CS),VLOOKUP(CR221,'Jan-2026 rates'!$E:$F,2,0)))</f>
        <v>0</v>
      </c>
      <c r="DF221" s="409"/>
      <c r="DG221" s="398">
        <f>IF(DF221=0,0,IF(LEN(CS221)=11,_xlfn.XLOOKUP(CS221,'Dispensed Ink Rates'!C:C,'Dispensed Ink Rates'!CS:CS),VLOOKUP(CS221,'Jan-2026 rates'!$E:$F,2,0)))</f>
        <v>0</v>
      </c>
      <c r="DH221" s="409"/>
      <c r="DI221" s="398">
        <f>IF(DH221=0,0,IF(LEN(CT221)=11,_xlfn.XLOOKUP(CT221,'Dispensed Ink Rates'!C:C,'Dispensed Ink Rates'!CS:CS),VLOOKUP(CT221,'Jan-2026 rates'!$E:$F,2,0)))</f>
        <v>0</v>
      </c>
      <c r="DJ221" s="409"/>
      <c r="DK221" s="398">
        <f>IF(DJ221=0,0,IF(LEN(CU221)=11,_xlfn.XLOOKUP(CU221,'Dispensed Ink Rates'!C:C,'Dispensed Ink Rates'!CS:CS),VLOOKUP(CU221,'Jan-2026 rates'!$E:$F,2,0)))</f>
        <v>0</v>
      </c>
      <c r="DL221" s="409" t="s">
        <v>1443</v>
      </c>
      <c r="DM221" s="409">
        <v>25</v>
      </c>
      <c r="DN221" s="411">
        <f t="shared" si="165"/>
        <v>0</v>
      </c>
      <c r="DO221" s="411">
        <f t="shared" si="166"/>
        <v>83.336633663366342</v>
      </c>
      <c r="DP221" s="410">
        <f t="shared" si="167"/>
        <v>0</v>
      </c>
      <c r="DQ221" s="405" t="s">
        <v>547</v>
      </c>
      <c r="DR221" s="409" t="s">
        <v>3770</v>
      </c>
      <c r="DS221" s="420" t="str">
        <f t="shared" si="133"/>
        <v>FLINTSL - GREEN</v>
      </c>
      <c r="DT221" s="409">
        <v>32</v>
      </c>
      <c r="DU221" s="411">
        <f>IF(DT221=0,0,IF($LB221=70%,VLOOKUP($DS221,'Jan-2026 rates'!$L:$R,4,0),IF($LB221=65%,VLOOKUP($DS221,'Jan-2026 rates'!$L:$R,4,0),IF($LB221=40%,VLOOKUP($DS221,'Jan-2026 rates'!$L:$R,5,0),IF($LB221=30%,VLOOKUP($DS221,'Jan-2026 rates'!$L:$R,6,0),IF($LB221=100%,VLOOKUP($DS221,'Jan-2026 rates'!$L:$R,7,0),IF($LB221=60%,VLOOKUP($DS221,'Jan-2026 rates'!$L:$S,8,0),IF($LB221=80%,VLOOKUP($DS221,'Jan-2026 rates'!L:T,9,0),0))))))))</f>
        <v>0</v>
      </c>
      <c r="DV221" s="412"/>
      <c r="DW221" s="409"/>
      <c r="DX221" s="411">
        <f>IF(DW221=0,0,IF($LB221=70%,VLOOKUP($DS221,'Jan-2026 rates'!$L:$R,4,0),IF($LB221=65%,VLOOKUP($DS221,'Jan-2026 rates'!$L:$R,4,0),IF($LB221=40%,VLOOKUP($DS221,'Jan-2026 rates'!$L:$R,5,0),IF($LB221=30%,VLOOKUP($DS221,'Jan-2026 rates'!$L:$R,6,0),IF($LB221=100%,VLOOKUP($DS221,'Jan-2026 rates'!$L:$R,7,0),IF($LB221=60%,VLOOKUP($DS221,'Jan-2026 rates'!$L:$S,8,0),IF($LB221=80%,VLOOKUP($DS221,'Jan-2026 rates'!L:T,9,0),0))))))))</f>
        <v>0</v>
      </c>
      <c r="DY221" s="413">
        <v>26513000021</v>
      </c>
      <c r="DZ221" s="413">
        <v>26516000015</v>
      </c>
      <c r="EA221" s="412"/>
      <c r="EB221" s="412"/>
      <c r="EC221" s="412"/>
      <c r="ED221" s="412"/>
      <c r="EE221" s="412"/>
      <c r="EF221" s="412"/>
      <c r="EG221" s="409">
        <v>2</v>
      </c>
      <c r="EH221" s="398" t="e">
        <f>IF(EG221=0,0,IF(LEN(DY221)=11,_xlfn.XLOOKUP(DY221,'Dispensed Ink Rates'!C:C,'Dispensed Ink Rates'!CS:CS),VLOOKUP(DY221,'Jan-2026 rates'!$E:$F,2,0)))</f>
        <v>#N/A</v>
      </c>
      <c r="EI221" s="409">
        <v>2</v>
      </c>
      <c r="EJ221" s="398" t="e">
        <f>IF(EI221=0,0,IF(LEN(DZ221)=11,_xlfn.XLOOKUP(DZ221,'Dispensed Ink Rates'!C:C,'Dispensed Ink Rates'!CS:CS),VLOOKUP(DZ221,'Jan-2026 rates'!$E:$F,2,0)))</f>
        <v>#N/A</v>
      </c>
      <c r="EK221" s="409"/>
      <c r="EL221" s="398">
        <f>IF(EK221=0,0,IF(LEN(EA221)=11,_xlfn.XLOOKUP(EA221,'Dispensed Ink Rates'!C:C,'Dispensed Ink Rates'!CS:CS),VLOOKUP(EA221,'Jan-2026 rates'!$E:$F,2,0)))</f>
        <v>0</v>
      </c>
      <c r="EM221" s="409"/>
      <c r="EN221" s="398">
        <f>IF(EM221=0,0,IF(LEN(EB221)=11,_xlfn.XLOOKUP(EB221,'Dispensed Ink Rates'!C:C,'Dispensed Ink Rates'!CS:CS),VLOOKUP(EB221,'Jan-2026 rates'!$E:$F,2,0)))</f>
        <v>0</v>
      </c>
      <c r="EO221" s="409"/>
      <c r="EP221" s="398">
        <f>IF(EO221=0,0,IF(LEN(EC221)=11,_xlfn.XLOOKUP(EC221,'Dispensed Ink Rates'!C:C,'Dispensed Ink Rates'!CS:CS),VLOOKUP(EC221,'Jan-2026 rates'!$E:$F,2,0)))</f>
        <v>0</v>
      </c>
      <c r="EQ221" s="409"/>
      <c r="ER221" s="398">
        <f>IF(EQ221=0,0,IF(LEN(ED221)=11,_xlfn.XLOOKUP(ED221,'Dispensed Ink Rates'!C:C,'Dispensed Ink Rates'!CS:CS),VLOOKUP(ED221,'Jan-2026 rates'!$E:$F,2,0)))</f>
        <v>0</v>
      </c>
      <c r="ES221" s="409"/>
      <c r="ET221" s="398">
        <f>IF(ES221=0,0,IF(LEN(EE221)=11,_xlfn.XLOOKUP(EE221,'Dispensed Ink Rates'!C:C,'Dispensed Ink Rates'!CS:CS),VLOOKUP(EE221,'Jan-2026 rates'!$E:$F,2,0)))</f>
        <v>0</v>
      </c>
      <c r="EU221" s="409"/>
      <c r="EV221" s="398">
        <f>IF(EU221=0,0,IF(LEN(EF221)=11,_xlfn.XLOOKUP(EF221,'Dispensed Ink Rates'!C:C,'Dispensed Ink Rates'!CS:CS),VLOOKUP(EF221,'Jan-2026 rates'!$E:$F,2,0)))</f>
        <v>0</v>
      </c>
      <c r="EW221" s="409" t="s">
        <v>1443</v>
      </c>
      <c r="EX221" s="409">
        <v>34</v>
      </c>
      <c r="EY221" s="411">
        <f t="shared" si="168"/>
        <v>0</v>
      </c>
      <c r="EZ221" s="411">
        <f t="shared" si="169"/>
        <v>5.3069306930693045</v>
      </c>
      <c r="FA221" s="410">
        <f t="shared" si="170"/>
        <v>0</v>
      </c>
      <c r="FB221" s="405" t="s">
        <v>855</v>
      </c>
      <c r="FC221" s="409" t="s">
        <v>3869</v>
      </c>
      <c r="FD221" s="420" t="str">
        <f t="shared" si="134"/>
        <v>FLINTSL - CYAN</v>
      </c>
      <c r="FE221" s="409">
        <v>24</v>
      </c>
      <c r="FF221" s="411">
        <f>IF(FE221=0,0,IF($LB221=70%,VLOOKUP($FD221,'Jan-2026 rates'!$L:$R,4,0),IF($LB221=65%,VLOOKUP($FD221,'Jan-2026 rates'!$L:$R,4,0),IF($LB221=40%,VLOOKUP($FD221,'Jan-2026 rates'!$L:$R,5,0),IF($LB221=30%,VLOOKUP($FD221,'Jan-2026 rates'!$L:$R,6,0),IF($LB221=100%,VLOOKUP($FD221,'Jan-2026 rates'!$L:$R,7,0),IF($LB221=60%,VLOOKUP($FD221,'Jan-2026 rates'!$L:$S,8,0),IF($LB221=80%,VLOOKUP($FD221,'Jan-2026 rates'!L:T,9,0),0))))))))</f>
        <v>0</v>
      </c>
      <c r="FG221" s="412"/>
      <c r="FH221" s="409"/>
      <c r="FI221" s="411">
        <f>IF(FH221=0,0,IF($LB221=70%,VLOOKUP($FD221,'Jan-2026 rates'!$L:$R,4,0),IF($LB221=65%,VLOOKUP($FD221,'Jan-2026 rates'!$L:$R,4,0),IF($LB221=40%,VLOOKUP($FD221,'Jan-2026 rates'!$L:$R,5,0),IF($LB221=30%,VLOOKUP($FD221,'Jan-2026 rates'!$L:$R,6,0),IF($LB221=100%,VLOOKUP($FD221,'Jan-2026 rates'!$L:$R,7,0),IF($LB221=60%,VLOOKUP($FD221,'Jan-2026 rates'!$L:$S,8,0),IF($LB221=80%,VLOOKUP($FD221,'Jan-2026 rates'!L:T,9,0),0))))))))</f>
        <v>0</v>
      </c>
      <c r="FJ221" s="413">
        <v>26513000021</v>
      </c>
      <c r="FK221" s="413"/>
      <c r="FL221" s="413"/>
      <c r="FM221" s="412"/>
      <c r="FN221" s="412"/>
      <c r="FO221" s="412"/>
      <c r="FP221" s="412"/>
      <c r="FQ221" s="412"/>
      <c r="FR221" s="409">
        <v>2</v>
      </c>
      <c r="FS221" s="398" t="e">
        <f>IF(FR221=0,0,IF(LEN(FJ221)=11,_xlfn.XLOOKUP(FJ221,'Dispensed Ink Rates'!C:C,'Dispensed Ink Rates'!CS:CS),VLOOKUP(FJ221,'Jan-2026 rates'!$E:$F,2,0)))</f>
        <v>#N/A</v>
      </c>
      <c r="FT221" s="409"/>
      <c r="FU221" s="398">
        <f>IF(FT221=0,0,IF(LEN(FK221)=11,_xlfn.XLOOKUP(FK221,'Dispensed Ink Rates'!C:C,'Dispensed Ink Rates'!CS:CS),VLOOKUP(FK221,'Jan-2026 rates'!$E:$F,2,0)))</f>
        <v>0</v>
      </c>
      <c r="FV221" s="409"/>
      <c r="FW221" s="398">
        <f>IF(FV221=0,0,IF(LEN(FL221)=11,_xlfn.XLOOKUP(FL221,'Dispensed Ink Rates'!C:C,'Dispensed Ink Rates'!CS:CS),VLOOKUP(FL221,'Jan-2026 rates'!$E:$F,2,0)))</f>
        <v>0</v>
      </c>
      <c r="FX221" s="409"/>
      <c r="FY221" s="398">
        <f>IF(FX221=0,0,IF(LEN(FM221)=11,_xlfn.XLOOKUP(FM221,'Dispensed Ink Rates'!C:C,'Dispensed Ink Rates'!CS:CS),VLOOKUP(FM221,'Jan-2026 rates'!$E:$F,2,0)))</f>
        <v>0</v>
      </c>
      <c r="FZ221" s="409"/>
      <c r="GA221" s="398">
        <f>IF(FZ221=0,0,IF(LEN(FN221)=11,_xlfn.XLOOKUP(FN221,'Dispensed Ink Rates'!C:C,'Dispensed Ink Rates'!CS:CS),VLOOKUP(FN221,'Jan-2026 rates'!$E:$F,2,0)))</f>
        <v>0</v>
      </c>
      <c r="GB221" s="409"/>
      <c r="GC221" s="398">
        <f>IF(GB221=0,0,IF(LEN(FO221)=11,_xlfn.XLOOKUP(FO221,'Dispensed Ink Rates'!C:C,'Dispensed Ink Rates'!CS:CS),VLOOKUP(FO221,'Jan-2026 rates'!$E:$F,2,0)))</f>
        <v>0</v>
      </c>
      <c r="GD221" s="409"/>
      <c r="GE221" s="398">
        <f>IF(GD221=0,0,IF(LEN(FP221)=11,_xlfn.XLOOKUP(FP221,'Dispensed Ink Rates'!C:C,'Dispensed Ink Rates'!CS:CS),VLOOKUP(FP221,'Jan-2026 rates'!$E:$F,2,0)))</f>
        <v>0</v>
      </c>
      <c r="GF221" s="409"/>
      <c r="GG221" s="398">
        <f>IF(GF221=0,0,IF(LEN(FQ221)=11,_xlfn.XLOOKUP(FQ221,'Dispensed Ink Rates'!C:C,'Dispensed Ink Rates'!CS:CS),VLOOKUP(FQ221,'Jan-2026 rates'!$E:$F,2,0)))</f>
        <v>0</v>
      </c>
      <c r="GH221" s="409" t="s">
        <v>1443</v>
      </c>
      <c r="GI221" s="409">
        <v>23</v>
      </c>
      <c r="GJ221" s="411">
        <f t="shared" si="171"/>
        <v>0</v>
      </c>
      <c r="GK221" s="411">
        <f t="shared" si="172"/>
        <v>6.3069306930693081</v>
      </c>
      <c r="GL221" s="410">
        <f t="shared" si="173"/>
        <v>0</v>
      </c>
      <c r="GM221" s="405" t="s">
        <v>544</v>
      </c>
      <c r="GN221" s="409" t="s">
        <v>3870</v>
      </c>
      <c r="GO221" s="420" t="str">
        <f t="shared" si="135"/>
        <v>FLINTSL - MAGENTA</v>
      </c>
      <c r="GP221" s="409">
        <v>25</v>
      </c>
      <c r="GQ221" s="411">
        <f>IF(GP221=0,0,IF($LB221=70%,VLOOKUP($GO221,'Jan-2026 rates'!$L:$R,4,0),IF($LB221=65%,VLOOKUP($GO221,'Jan-2026 rates'!$L:$R,4,0),IF($LB221=40%,VLOOKUP($GO221,'Jan-2026 rates'!$L:$R,5,0),IF($LB221=30%,VLOOKUP($GO221,'Jan-2026 rates'!$L:$R,6,0),IF($LB221=100%,VLOOKUP($GO221,'Jan-2026 rates'!$L:$R,7,0),IF($LB221=60%,VLOOKUP($GO221,'Jan-2026 rates'!$L:$S,8,0),IF($LB221=80%,VLOOKUP($GO221,'Jan-2026 rates'!L:T,9,0),0))))))))</f>
        <v>0</v>
      </c>
      <c r="GR221" s="412"/>
      <c r="GS221" s="409"/>
      <c r="GT221" s="411">
        <f>IF(GS221=0,0,IF($LB221=70%,VLOOKUP($GO221,'Jan-2026 rates'!$L:$R,4,0),IF($LB221=65%,VLOOKUP($GO221,'Jan-2026 rates'!$L:$R,4,0),IF($LB221=40%,VLOOKUP($GO221,'Jan-2026 rates'!$L:$R,5,0),IF($LB221=30%,VLOOKUP($GO221,'Jan-2026 rates'!$L:$R,6,0),IF($LB221=100%,VLOOKUP($GO221,'Jan-2026 rates'!$L:$R,7,0),IF($LB221=60%,VLOOKUP($GO221,'Jan-2026 rates'!$L:$S,8,0),IF($LB221=80%,VLOOKUP($GO221,'Jan-2026 rates'!L:T,9,0),0))))))))</f>
        <v>0</v>
      </c>
      <c r="GU221" s="413">
        <v>26517000020</v>
      </c>
      <c r="GV221" s="413"/>
      <c r="GW221" s="412"/>
      <c r="GX221" s="412"/>
      <c r="GY221" s="412"/>
      <c r="GZ221" s="412"/>
      <c r="HA221" s="412"/>
      <c r="HB221" s="412"/>
      <c r="HC221" s="409">
        <v>3</v>
      </c>
      <c r="HD221" s="398" t="e">
        <f>IF(HC221=0,0,IF(LEN(GU221)=11,_xlfn.XLOOKUP(GU221,'Dispensed Ink Rates'!C:C,'Dispensed Ink Rates'!CS:CS),VLOOKUP(GU221,'Jan-2026 rates'!$E:$F,2,0)))</f>
        <v>#N/A</v>
      </c>
      <c r="HE221" s="409"/>
      <c r="HF221" s="398">
        <f>IF(HE221=0,0,IF(LEN(GV221)=11,_xlfn.XLOOKUP(GV221,'Dispensed Ink Rates'!C:C,'Dispensed Ink Rates'!CS:CS),VLOOKUP(GV221,'Jan-2026 rates'!$E:$F,2,0)))</f>
        <v>0</v>
      </c>
      <c r="HG221" s="409"/>
      <c r="HH221" s="398">
        <f>IF(HG221=0,0,IF(LEN(GW221)=11,_xlfn.XLOOKUP(GW221,'Dispensed Ink Rates'!C:C,'Dispensed Ink Rates'!CS:CS),VLOOKUP(GW221,'Jan-2026 rates'!$E:$F,2,0)))</f>
        <v>0</v>
      </c>
      <c r="HI221" s="409"/>
      <c r="HJ221" s="398">
        <f>IF(HI221=0,0,IF(LEN(GX221)=11,_xlfn.XLOOKUP(GX221,'Dispensed Ink Rates'!C:C,'Dispensed Ink Rates'!CS:CS),VLOOKUP(GX221,'Jan-2026 rates'!$E:$F,2,0)))</f>
        <v>0</v>
      </c>
      <c r="HK221" s="409"/>
      <c r="HL221" s="398">
        <f>IF(HK221=0,0,IF(LEN(GY221)=11,_xlfn.XLOOKUP(GY221,'Dispensed Ink Rates'!C:C,'Dispensed Ink Rates'!CS:CS),VLOOKUP(GY221,'Jan-2026 rates'!$E:$F,2,0)))</f>
        <v>0</v>
      </c>
      <c r="HM221" s="409"/>
      <c r="HN221" s="398">
        <f>IF(HM221=0,0,IF(LEN(GZ221)=11,_xlfn.XLOOKUP(GZ221,'Dispensed Ink Rates'!C:C,'Dispensed Ink Rates'!CS:CS),VLOOKUP(GZ221,'Jan-2026 rates'!$E:$F,2,0)))</f>
        <v>0</v>
      </c>
      <c r="HO221" s="409"/>
      <c r="HP221" s="398">
        <f>IF(HO221=0,0,IF(LEN(HA221)=11,_xlfn.XLOOKUP(HA221,'Dispensed Ink Rates'!C:C,'Dispensed Ink Rates'!CS:CS),VLOOKUP(HA221,'Jan-2026 rates'!$E:$F,2,0)))</f>
        <v>0</v>
      </c>
      <c r="HQ221" s="409"/>
      <c r="HR221" s="398">
        <f>IF(HQ221=0,0,IF(LEN(HB221)=11,_xlfn.XLOOKUP(HB221,'Dispensed Ink Rates'!C:C,'Dispensed Ink Rates'!CS:CS),VLOOKUP(HB221,'Jan-2026 rates'!$E:$F,2,0)))</f>
        <v>0</v>
      </c>
      <c r="HS221" s="409" t="s">
        <v>1443</v>
      </c>
      <c r="HT221" s="409">
        <v>26</v>
      </c>
      <c r="HU221" s="411">
        <f t="shared" si="174"/>
        <v>0</v>
      </c>
      <c r="HV221" s="411">
        <f t="shared" si="175"/>
        <v>10.267326732673268</v>
      </c>
      <c r="HW221" s="414">
        <f t="shared" si="176"/>
        <v>0</v>
      </c>
      <c r="HX221" s="405" t="s">
        <v>545</v>
      </c>
      <c r="HY221" s="409" t="s">
        <v>3871</v>
      </c>
      <c r="HZ221" s="420" t="str">
        <f t="shared" si="136"/>
        <v>FLINTSL - YELLOW</v>
      </c>
      <c r="IA221" s="409">
        <v>20</v>
      </c>
      <c r="IB221" s="411">
        <f>IF(IA221=0,0,IF($LB221=70%,VLOOKUP($HZ221,'Jan-2026 rates'!$L:$R,4,0),IF($LB221=65%,VLOOKUP($HZ221,'Jan-2026 rates'!$L:$R,4,0),IF($LB221=40%,VLOOKUP($HZ221,'Jan-2026 rates'!$L:$R,5,0),IF($LB221=30%,VLOOKUP($HZ221,'Jan-2026 rates'!$L:$R,6,0),IF($LB221=100%,VLOOKUP($HZ221,'Jan-2026 rates'!$L:$R,7,0),IF($LB221=60%,VLOOKUP($HZ221,'Jan-2026 rates'!$L:$S,8,0),IF($LB221=80%,VLOOKUP($HZ221,'Jan-2026 rates'!L:T,9,0),0))))))))</f>
        <v>0</v>
      </c>
      <c r="IC221" s="412"/>
      <c r="ID221" s="409"/>
      <c r="IE221" s="411">
        <f>IF(ID221=0,0,IF($LB221=70%,VLOOKUP($HZ221,'Jan-2026 rates'!$L:$R,4,0),IF($LB221=65%,VLOOKUP($HZ221,'Jan-2026 rates'!$L:$R,4,0),IF($LB221=40%,VLOOKUP($HZ221,'Jan-2026 rates'!$L:$R,5,0),IF($LB221=30%,VLOOKUP($HZ221,'Jan-2026 rates'!$L:$R,6,0),IF($LB221=100%,VLOOKUP($HZ221,'Jan-2026 rates'!$L:$R,7,0),IF($LB221=60%,VLOOKUP($HZ221,'Jan-2026 rates'!$L:$S,8,0),IF($LB221=80%,VLOOKUP($HZ221,'Jan-2026 rates'!L:T,9,0),0))))))))</f>
        <v>0</v>
      </c>
      <c r="IF221" s="412">
        <v>26516000015</v>
      </c>
      <c r="IG221" s="413" t="s">
        <v>1266</v>
      </c>
      <c r="IH221" s="412"/>
      <c r="II221" s="412"/>
      <c r="IJ221" s="412"/>
      <c r="IK221" s="412"/>
      <c r="IL221" s="412"/>
      <c r="IM221" s="412"/>
      <c r="IN221" s="409">
        <v>8</v>
      </c>
      <c r="IO221" s="398" t="e">
        <f>IF(IN221=0,0,IF(LEN(IF221)=11,_xlfn.XLOOKUP(IF221,'Dispensed Ink Rates'!C:C,'Dispensed Ink Rates'!CS:CS),VLOOKUP(IF221,'Jan-2026 rates'!$E:$F,2,0)))</f>
        <v>#N/A</v>
      </c>
      <c r="IP221" s="409">
        <v>10</v>
      </c>
      <c r="IQ221" s="398">
        <f>IF(IP221=0,0,IF(LEN(IG221)=11,_xlfn.XLOOKUP(IG221,'Dispensed Ink Rates'!C:C,'Dispensed Ink Rates'!CS:CS),VLOOKUP(IG221,'Jan-2026 rates'!$E:$F,2,0)))</f>
        <v>0</v>
      </c>
      <c r="IR221" s="409"/>
      <c r="IS221" s="398">
        <f>IF(IR221=0,0,IF(LEN(IH221)=11,_xlfn.XLOOKUP(IH221,'Dispensed Ink Rates'!C:C,'Dispensed Ink Rates'!CS:CS),VLOOKUP(IH221,'Jan-2026 rates'!$E:$F,2,0)))</f>
        <v>0</v>
      </c>
      <c r="IT221" s="409"/>
      <c r="IU221" s="398">
        <f>IF(IT221=0,0,IF(LEN(II221)=11,_xlfn.XLOOKUP(II221,'Dispensed Ink Rates'!C:C,'Dispensed Ink Rates'!CS:CS),VLOOKUP(II221,'Jan-2026 rates'!$E:$F,2,0)))</f>
        <v>0</v>
      </c>
      <c r="IV221" s="409"/>
      <c r="IW221" s="398">
        <f>IF(IV221=0,0,IF(LEN(IJ221)=11,_xlfn.XLOOKUP(IJ221,'Dispensed Ink Rates'!C:C,'Dispensed Ink Rates'!CS:CS),VLOOKUP(IJ221,'Jan-2026 rates'!$E:$F,2,0)))</f>
        <v>0</v>
      </c>
      <c r="IX221" s="409"/>
      <c r="IY221" s="398">
        <f>IF(IX221=0,0,IF(LEN(IK221)=11,_xlfn.XLOOKUP(IK221,'Dispensed Ink Rates'!C:C,'Dispensed Ink Rates'!CS:CS),VLOOKUP(IK221,'Jan-2026 rates'!$E:$F,2,0)))</f>
        <v>0</v>
      </c>
      <c r="IZ221" s="409"/>
      <c r="JA221" s="398">
        <f>IF(IZ221=0,0,IF(LEN(IL221)=11,_xlfn.XLOOKUP(IL221,'Dispensed Ink Rates'!C:C,'Dispensed Ink Rates'!CS:CS),VLOOKUP(IL221,'Jan-2026 rates'!$E:$F,2,0)))</f>
        <v>0</v>
      </c>
      <c r="JB221" s="409"/>
      <c r="JC221" s="398">
        <f>IF(JB221=0,0,IF(LEN(IM221)=11,_xlfn.XLOOKUP(IM221,'Dispensed Ink Rates'!C:C,'Dispensed Ink Rates'!CS:CS),VLOOKUP(IM221,'Jan-2026 rates'!$E:$F,2,0)))</f>
        <v>0</v>
      </c>
      <c r="JD221" s="409" t="s">
        <v>1443</v>
      </c>
      <c r="JE221" s="409">
        <v>20</v>
      </c>
      <c r="JF221" s="411">
        <f t="shared" si="177"/>
        <v>0</v>
      </c>
      <c r="JG221" s="411">
        <f t="shared" si="178"/>
        <v>42.801980198019805</v>
      </c>
      <c r="JH221" s="410">
        <f t="shared" si="179"/>
        <v>0</v>
      </c>
      <c r="JI221" s="405" t="s">
        <v>856</v>
      </c>
      <c r="JJ221" s="409" t="s">
        <v>3872</v>
      </c>
      <c r="JK221" s="420" t="str">
        <f t="shared" si="137"/>
        <v>FLINTSL - WHITE</v>
      </c>
      <c r="JL221" s="409">
        <v>18</v>
      </c>
      <c r="JM221" s="411">
        <f>IF(JL221=0,0,IF($LB221=70%,VLOOKUP($JK221,'Jan-2026 rates'!$L:$R,4,0),IF($LB221=65%,VLOOKUP($JK221,'Jan-2026 rates'!$L:$R,4,0),IF($LB221=40%,VLOOKUP($JK221,'Jan-2026 rates'!$L:$R,5,0),IF($LB221=30%,VLOOKUP($JK221,'Jan-2026 rates'!$L:$R,6,0),IF($LB221=100%,VLOOKUP($JK221,'Jan-2026 rates'!$L:$R,7,0),IF($LB221=60%,VLOOKUP($JK221,'Jan-2026 rates'!$L:$S,8,0),IF($LB221=80%,VLOOKUP($JK221,'Jan-2026 rates'!L:T,9,0),0))))))))</f>
        <v>0</v>
      </c>
      <c r="JN221" s="412"/>
      <c r="JO221" s="409"/>
      <c r="JP221" s="411">
        <f>IF(JO221=0,0,IF($LB221=70%,VLOOKUP($JK221,'Jan-2026 rates'!$L:$R,4,0),IF($LB221=65%,VLOOKUP($JK221,'Jan-2026 rates'!$L:$R,4,0),IF($LB221=40%,VLOOKUP($JK221,'Jan-2026 rates'!$L:$R,5,0),IF($LB221=30%,VLOOKUP($JK221,'Jan-2026 rates'!$L:$R,6,0),IF($LB221=100%,VLOOKUP($JK221,'Jan-2026 rates'!$L:$R,7,0),IF($LB221=60%,VLOOKUP($JK221,'Jan-2026 rates'!$L:$S,8,0),IF($LB221=80%,VLOOKUP($JK221,'Jan-2026 rates'!L:T,9,0),0))))))))</f>
        <v>0</v>
      </c>
      <c r="JQ221" s="413" t="s">
        <v>484</v>
      </c>
      <c r="JR221" s="412"/>
      <c r="JS221" s="413"/>
      <c r="JT221" s="413"/>
      <c r="JU221" s="412"/>
      <c r="JV221" s="412"/>
      <c r="JW221" s="412"/>
      <c r="JX221" s="412"/>
      <c r="JY221" s="409">
        <v>90</v>
      </c>
      <c r="JZ221" s="398">
        <f>IF(JY221=0,0,IF(LEN(JQ221)=11,_xlfn.XLOOKUP(JQ221,'Dispensed Ink Rates'!C:C,'Dispensed Ink Rates'!CS:CS),VLOOKUP(JQ221,'Jan-2026 rates'!$E:$F,2,0)))</f>
        <v>0</v>
      </c>
      <c r="KA221" s="409"/>
      <c r="KB221" s="398">
        <f>IF(KA221=0,0,IF(LEN(JR221)=11,_xlfn.XLOOKUP(JR221,'Dispensed Ink Rates'!C:C,'Dispensed Ink Rates'!CS:CS),VLOOKUP(JR221,'Jan-2026 rates'!$E:$F,2,0)))</f>
        <v>0</v>
      </c>
      <c r="KC221" s="409"/>
      <c r="KD221" s="398">
        <f>IF(KC221=0,0,IF(LEN(JS221)=11,_xlfn.XLOOKUP(JS221,'Dispensed Ink Rates'!C:C,'Dispensed Ink Rates'!CS:CS),VLOOKUP(JS221,'Jan-2026 rates'!$E:$F,2,0)))</f>
        <v>0</v>
      </c>
      <c r="KE221" s="409"/>
      <c r="KF221" s="398">
        <f>IF(KE221=0,0,IF(LEN(JT221)=11,_xlfn.XLOOKUP(JT221,'Dispensed Ink Rates'!C:C,'Dispensed Ink Rates'!CS:CS),VLOOKUP(JT221,'Jan-2026 rates'!$E:$F,2,0)))</f>
        <v>0</v>
      </c>
      <c r="KG221" s="409"/>
      <c r="KH221" s="398">
        <f>IF(KG221=0,0,IF(LEN(JU221)=11,_xlfn.XLOOKUP(JU221,'Dispensed Ink Rates'!C:C,'Dispensed Ink Rates'!CS:CS),VLOOKUP(JU221,'Jan-2026 rates'!$E:$F,2,0)))</f>
        <v>0</v>
      </c>
      <c r="KI221" s="409"/>
      <c r="KJ221" s="398">
        <f>IF(KI221=0,0,IF(LEN(JV221)=11,_xlfn.XLOOKUP(JV221,'Dispensed Ink Rates'!C:C,'Dispensed Ink Rates'!CS:CS),VLOOKUP(JV221,'Jan-2026 rates'!$E:$F,2,0)))</f>
        <v>0</v>
      </c>
      <c r="KK221" s="409"/>
      <c r="KL221" s="398">
        <f>IF(KK221=0,0,IF(LEN(JW221)=11,_xlfn.XLOOKUP(JW221,'Dispensed Ink Rates'!C:C,'Dispensed Ink Rates'!CS:CS),VLOOKUP(JW221,'Jan-2026 rates'!$E:$F,2,0)))</f>
        <v>0</v>
      </c>
      <c r="KM221" s="428"/>
      <c r="KN221" s="398">
        <f>IF(KM221=0,0,IF(LEN(JX221)=11,_xlfn.XLOOKUP(JX221,'Dispensed Ink Rates'!C:C,'Dispensed Ink Rates'!CS:CS),VLOOKUP(JX221,'Jan-2026 rates'!$E:$F,2,0)))</f>
        <v>0</v>
      </c>
      <c r="KO221" s="409" t="s">
        <v>1443</v>
      </c>
      <c r="KP221" s="409">
        <v>22</v>
      </c>
      <c r="KQ221" s="411">
        <f t="shared" si="180"/>
        <v>0</v>
      </c>
      <c r="KR221" s="411">
        <f t="shared" si="181"/>
        <v>160.40594059405942</v>
      </c>
      <c r="KS221" s="410">
        <f t="shared" si="182"/>
        <v>0</v>
      </c>
      <c r="KT221" s="409">
        <v>5</v>
      </c>
      <c r="KU221" s="409">
        <v>2</v>
      </c>
      <c r="KV221" s="409">
        <v>25</v>
      </c>
      <c r="KW221" s="409">
        <v>2</v>
      </c>
      <c r="KX221" s="409">
        <v>2</v>
      </c>
      <c r="KY221" s="409">
        <v>5</v>
      </c>
      <c r="KZ221" s="409">
        <v>15</v>
      </c>
      <c r="LA221" s="409">
        <v>45</v>
      </c>
      <c r="LB221" s="415">
        <v>0.8</v>
      </c>
      <c r="LC221" s="415">
        <v>0.2</v>
      </c>
      <c r="LD221" s="415"/>
      <c r="LE221" s="415"/>
      <c r="LF221" s="415"/>
      <c r="LG221" s="409">
        <v>0</v>
      </c>
      <c r="LH221" s="409">
        <f>45+42+64+16</f>
        <v>167</v>
      </c>
      <c r="LI221" s="409">
        <v>0</v>
      </c>
      <c r="LJ221" s="409">
        <v>0</v>
      </c>
      <c r="LK221" s="416">
        <f t="shared" si="138"/>
        <v>167</v>
      </c>
      <c r="LL221" s="416">
        <f t="shared" si="139"/>
        <v>167</v>
      </c>
      <c r="LM221" s="417">
        <f t="shared" si="140"/>
        <v>133.6</v>
      </c>
      <c r="LN221" s="417">
        <f>VLOOKUP($LM$8,'Jan-2026 rates'!$H:$I,2,0)</f>
        <v>0</v>
      </c>
      <c r="LO221" s="417">
        <f t="shared" si="141"/>
        <v>33.4</v>
      </c>
      <c r="LP221" s="417">
        <f>VLOOKUP($LO$8,'Jan-2026 rates'!$H:$I,2,0)</f>
        <v>0</v>
      </c>
      <c r="LQ221" s="417">
        <f t="shared" si="142"/>
        <v>0</v>
      </c>
      <c r="LR221" s="417">
        <f>VLOOKUP($LQ$8,'Jan-2026 rates'!$H:$I,2,0)</f>
        <v>0</v>
      </c>
      <c r="LS221" s="417">
        <f t="shared" si="143"/>
        <v>0</v>
      </c>
      <c r="LT221" s="417">
        <f>VLOOKUP($LS$8,'Jan-2026 rates'!$H:$I,2,0)</f>
        <v>0</v>
      </c>
      <c r="LU221" s="417">
        <f t="shared" si="144"/>
        <v>0</v>
      </c>
      <c r="LV221" s="417">
        <f>VLOOKUP($LU$8,'Jan-2026 rates'!$H:$I,2,0)</f>
        <v>0</v>
      </c>
      <c r="LW221" s="417">
        <f t="shared" si="145"/>
        <v>0</v>
      </c>
      <c r="LX221" s="417">
        <f t="shared" si="146"/>
        <v>0</v>
      </c>
      <c r="LY221" s="418">
        <f t="shared" si="147"/>
        <v>0</v>
      </c>
      <c r="LZ221" s="417"/>
      <c r="MA221" s="435">
        <f t="shared" si="148"/>
        <v>171</v>
      </c>
      <c r="MB221" s="282">
        <f t="shared" si="149"/>
        <v>336</v>
      </c>
      <c r="MC221" s="283">
        <v>114</v>
      </c>
      <c r="MD221" s="284" t="str">
        <f t="shared" si="150"/>
        <v>FLINTSLFLINTSLFLINTSLFLINTSLFLINTSLFLINTSLFLINTSLFLINTSL</v>
      </c>
      <c r="ME221" s="293" t="str">
        <f t="shared" si="151"/>
        <v>+</v>
      </c>
      <c r="MF221" s="293" t="str">
        <f t="shared" si="152"/>
        <v>+</v>
      </c>
      <c r="MG221" s="293" t="str">
        <f t="shared" si="153"/>
        <v>+</v>
      </c>
      <c r="MH221" s="293" t="str">
        <f t="shared" si="154"/>
        <v>+</v>
      </c>
      <c r="MI221" s="293" t="str">
        <f t="shared" si="155"/>
        <v>+</v>
      </c>
      <c r="MJ221" s="293" t="str">
        <f t="shared" si="156"/>
        <v>+</v>
      </c>
      <c r="MK221" s="293" t="str">
        <f t="shared" si="157"/>
        <v>+</v>
      </c>
      <c r="ML221" s="293" t="str">
        <f t="shared" si="158"/>
        <v>+</v>
      </c>
      <c r="MM221" s="3" t="b">
        <f t="array" ref="MM221">OR(ME221:ML221="-")</f>
        <v>0</v>
      </c>
      <c r="MN221" s="285"/>
      <c r="MO221" s="401"/>
      <c r="MP221" s="286"/>
      <c r="MQ221" s="286"/>
      <c r="MR221" s="402"/>
      <c r="MS221" s="400"/>
      <c r="NH221" s="422"/>
      <c r="NJ221" s="421"/>
    </row>
    <row r="222" spans="1:374" s="1" customFormat="1" ht="16.5">
      <c r="A222" s="403">
        <v>46038</v>
      </c>
      <c r="B222" s="404" t="s">
        <v>1015</v>
      </c>
      <c r="C222" s="405" t="s">
        <v>3873</v>
      </c>
      <c r="D222" s="406">
        <v>115</v>
      </c>
      <c r="E222" s="404">
        <v>1471</v>
      </c>
      <c r="F222" s="407">
        <v>79300</v>
      </c>
      <c r="G222" s="407" t="s">
        <v>1016</v>
      </c>
      <c r="H222" s="408" t="s">
        <v>1017</v>
      </c>
      <c r="I222" s="409">
        <v>1.8</v>
      </c>
      <c r="J222" s="405" t="s">
        <v>543</v>
      </c>
      <c r="K222" s="404" t="s">
        <v>3874</v>
      </c>
      <c r="L222" s="419" t="str">
        <f t="shared" si="131"/>
        <v>FLINTSL - BLACK</v>
      </c>
      <c r="M222" s="404">
        <v>24</v>
      </c>
      <c r="N222" s="410">
        <f>IF(M222=0,0,IF($LB222=70%,VLOOKUP($L222,'Jan-2026 rates'!$L:$R,4,0),IF($LB222=65%,VLOOKUP($L222,'Jan-2026 rates'!$L:$R,4,0),IF($LB222=40%,VLOOKUP($L222,'Jan-2026 rates'!$L:$R,5,0),IF($LB222=30%,VLOOKUP($L222,'Jan-2026 rates'!$L:$R,6,0),IF($LB222=100%,VLOOKUP($L222,'Jan-2026 rates'!$L:$R,7,0),IF($LB222=60%,VLOOKUP($L222,'Jan-2026 rates'!$L:$S,8,0),IF($LB222=80%,VLOOKUP($L222,'Jan-2026 rates'!L:T,9,0),0))))))))</f>
        <v>0</v>
      </c>
      <c r="O222" s="406"/>
      <c r="P222" s="404"/>
      <c r="Q222" s="410">
        <f>IF(P222=0,0,IF($LB222=70%,VLOOKUP($L222,'Jan-2026 rates'!$L:$R,4,0),IF($LB222=65%,VLOOKUP($L222,'Jan-2026 rates'!$L:$R,4,0),IF($LB222=40%,VLOOKUP($L222,'Jan-2026 rates'!$L:$R,5,0),IF($LB222=30%,VLOOKUP($L222,'Jan-2026 rates'!$L:$R,6,0),IF($LB222=100%,VLOOKUP($L222,'Jan-2026 rates'!$L:$R,7,0),IF($LB222=60%,VLOOKUP($L222,'Jan-2026 rates'!$L:$S,8,0),IF($LB222=80%,VLOOKUP($L222,'Jan-2026 rates'!L:T,9,0),0))))))))</f>
        <v>0</v>
      </c>
      <c r="R222" s="406">
        <v>26520000005</v>
      </c>
      <c r="S222" s="406" t="s">
        <v>1266</v>
      </c>
      <c r="T222" s="406"/>
      <c r="U222" s="406"/>
      <c r="V222" s="406"/>
      <c r="W222" s="406"/>
      <c r="X222" s="406"/>
      <c r="Y222" s="406"/>
      <c r="Z222" s="404">
        <v>5</v>
      </c>
      <c r="AA222" s="398" t="e">
        <f>IF(Z222=0,0,IF(LEN(R222)=11,_xlfn.XLOOKUP(R222,'Dispensed Ink Rates'!C:C,'Dispensed Ink Rates'!CS:CS),VLOOKUP(R222,'Jan-2026 rates'!$E:$F,2,0)))</f>
        <v>#N/A</v>
      </c>
      <c r="AB222" s="404">
        <v>3</v>
      </c>
      <c r="AC222" s="398">
        <f>IF(AB222=0,0,IF(LEN(S222)=11,_xlfn.XLOOKUP(S222,'Dispensed Ink Rates'!C:C,'Dispensed Ink Rates'!CS:CS),VLOOKUP(S222,'Jan-2026 rates'!$E:$F,2,0)))</f>
        <v>0</v>
      </c>
      <c r="AD222" s="404"/>
      <c r="AE222" s="398">
        <f>IF(AD222=0,0,IF(LEN(T222)=11,_xlfn.XLOOKUP(T222,'Dispensed Ink Rates'!C:C,'Dispensed Ink Rates'!CS:CS),VLOOKUP(T222,'Jan-2026 rates'!$E:$F,2,0)))</f>
        <v>0</v>
      </c>
      <c r="AF222" s="404"/>
      <c r="AG222" s="398">
        <f>IF(AF222=0,0,IF(LEN(U222)=11,_xlfn.XLOOKUP(U222,'Dispensed Ink Rates'!C:C,'Dispensed Ink Rates'!CS:CS),VLOOKUP(U222,'Jan-2026 rates'!$E:$F,2,0)))</f>
        <v>0</v>
      </c>
      <c r="AH222" s="404"/>
      <c r="AI222" s="398">
        <f>IF(AH222=0,0,IF(LEN(V222)=11,_xlfn.XLOOKUP(V222,'Dispensed Ink Rates'!C:C,'Dispensed Ink Rates'!CS:CS),VLOOKUP(V222,'Jan-2026 rates'!$E:$F,2,0)))</f>
        <v>0</v>
      </c>
      <c r="AJ222" s="404"/>
      <c r="AK222" s="398">
        <f>IF(AJ222=0,0,IF(LEN(W222)=11,_xlfn.XLOOKUP(W222,'Dispensed Ink Rates'!C:C,'Dispensed Ink Rates'!CS:CS),VLOOKUP(W222,'Jan-2026 rates'!$E:$F,2,0)))</f>
        <v>0</v>
      </c>
      <c r="AL222" s="404"/>
      <c r="AM222" s="398">
        <f>IF(AL222=0,0,IF(LEN(X222)=11,_xlfn.XLOOKUP(X222,'Dispensed Ink Rates'!C:C,'Dispensed Ink Rates'!CS:CS),VLOOKUP(X222,'Jan-2026 rates'!$E:$F,2,0)))</f>
        <v>0</v>
      </c>
      <c r="AN222" s="404"/>
      <c r="AO222" s="398">
        <f>IF(AN222=0,0,IF(LEN(Y222)=11,_xlfn.XLOOKUP(Y222,'Dispensed Ink Rates'!C:C,'Dispensed Ink Rates'!CS:CS),VLOOKUP(Y222,'Jan-2026 rates'!$E:$F,2,0)))</f>
        <v>0</v>
      </c>
      <c r="AP222" s="409" t="s">
        <v>1443</v>
      </c>
      <c r="AQ222" s="409">
        <v>26</v>
      </c>
      <c r="AR222" s="410">
        <f t="shared" si="159"/>
        <v>0</v>
      </c>
      <c r="AS222" s="411">
        <f t="shared" si="160"/>
        <v>19.75954198473282</v>
      </c>
      <c r="AT222" s="410">
        <f t="shared" si="161"/>
        <v>0</v>
      </c>
      <c r="AU222" s="405" t="s">
        <v>546</v>
      </c>
      <c r="AV222" s="409" t="s">
        <v>3805</v>
      </c>
      <c r="AW222" s="420" t="str">
        <f t="shared" si="183"/>
        <v>FLINTSL - REFLEX BLUE</v>
      </c>
      <c r="AX222" s="409">
        <v>25</v>
      </c>
      <c r="AY222" s="411">
        <f>IF(AX222=0,0,IF($LB222=70%,VLOOKUP($AW222,'Jan-2026 rates'!$L:$R,4,0),IF($LB222=65%,VLOOKUP($AW222,'Jan-2026 rates'!$L:$R,4,0),IF($LB222=40%,VLOOKUP($AW222,'Jan-2026 rates'!$L:$R,5,0),IF($LB222=30%,VLOOKUP($AW222,'Jan-2026 rates'!$L:$R,6,0),IF($LB222=100%,VLOOKUP($AW222,'Jan-2026 rates'!$L:$R,7,0),IF($LB222=60%,VLOOKUP($AW222,'Jan-2026 rates'!$L:$S,8,0),IF($LB222=80%,VLOOKUP($AW222,'Jan-2026 rates'!L:T,9,0),0))))))))</f>
        <v>0</v>
      </c>
      <c r="AZ222" s="412" t="s">
        <v>3875</v>
      </c>
      <c r="BA222" s="409">
        <f>27+24+23</f>
        <v>74</v>
      </c>
      <c r="BB222" s="411">
        <f>IF(BA222=0,0,IF($LB222=70%,VLOOKUP($AW222,'Jan-2026 rates'!$L:$R,4,0),IF($LB222=65%,VLOOKUP($AW222,'Jan-2026 rates'!$L:$R,4,0),IF($LB222=40%,VLOOKUP($AW222,'Jan-2026 rates'!$L:$R,5,0),IF($LB222=30%,VLOOKUP($AW222,'Jan-2026 rates'!$L:$R,6,0),IF($LB222=100%,VLOOKUP($AW222,'Jan-2026 rates'!$L:$R,7,0),IF($LB222=60%,VLOOKUP($AW222,'Jan-2026 rates'!$L:$S,8,0),IF($LB222=80%,VLOOKUP($AW222,'Jan-2026 rates'!L:T,9,0),0))))))))</f>
        <v>0</v>
      </c>
      <c r="BC222" s="413">
        <v>26516000018</v>
      </c>
      <c r="BD222" s="412">
        <v>26516000021</v>
      </c>
      <c r="BE222" s="412">
        <v>26520000010</v>
      </c>
      <c r="BF222" s="413">
        <v>26516000015</v>
      </c>
      <c r="BG222" s="412"/>
      <c r="BH222" s="412"/>
      <c r="BI222" s="412"/>
      <c r="BJ222" s="412"/>
      <c r="BK222" s="409">
        <v>25</v>
      </c>
      <c r="BL222" s="398" t="e">
        <f>IF(BK222=0,0,IF(LEN(BC222)=11,_xlfn.XLOOKUP(BC222,'Dispensed Ink Rates'!C:C,'Dispensed Ink Rates'!CS:CS),VLOOKUP(BC222,'Jan-2026 rates'!$E:$F,2,0)))</f>
        <v>#N/A</v>
      </c>
      <c r="BM222" s="409">
        <v>10</v>
      </c>
      <c r="BN222" s="398" t="e">
        <f>IF(BM222=0,0,IF(LEN(BD222)=11,_xlfn.XLOOKUP(BD222,'Dispensed Ink Rates'!C:C,'Dispensed Ink Rates'!CS:CS),VLOOKUP(BD222,'Jan-2026 rates'!$E:$F,2,0)))</f>
        <v>#N/A</v>
      </c>
      <c r="BO222" s="409">
        <v>5</v>
      </c>
      <c r="BP222" s="398" t="e">
        <f>IF(BO222=0,0,IF(LEN(BE222)=11,_xlfn.XLOOKUP(BE222,'Dispensed Ink Rates'!C:C,'Dispensed Ink Rates'!CS:CS),VLOOKUP(BE222,'Jan-2026 rates'!$E:$F,2,0)))</f>
        <v>#N/A</v>
      </c>
      <c r="BQ222" s="409">
        <v>2</v>
      </c>
      <c r="BR222" s="398" t="e">
        <f>IF(BQ222=0,0,IF(LEN(BF222)=11,_xlfn.XLOOKUP(BF222,'Dispensed Ink Rates'!C:C,'Dispensed Ink Rates'!CS:CS),VLOOKUP(BF222,'Jan-2026 rates'!$E:$F,2,0)))</f>
        <v>#N/A</v>
      </c>
      <c r="BS222" s="409"/>
      <c r="BT222" s="398">
        <f>IF(BS222=0,0,IF(LEN(BG222)=11,_xlfn.XLOOKUP(BG222,'Dispensed Ink Rates'!C:C,'Dispensed Ink Rates'!CS:CS),VLOOKUP(BG222,'Jan-2026 rates'!$E:$F,2,0)))</f>
        <v>0</v>
      </c>
      <c r="BU222" s="409"/>
      <c r="BV222" s="398">
        <f>IF(BU222=0,0,IF(LEN(BH222)=11,_xlfn.XLOOKUP(BH222,'Dispensed Ink Rates'!C:C,'Dispensed Ink Rates'!CS:CS),VLOOKUP(BH222,'Jan-2026 rates'!$E:$F,2,0)))</f>
        <v>0</v>
      </c>
      <c r="BW222" s="409"/>
      <c r="BX222" s="398">
        <f>IF(BW222=0,0,IF(LEN(BI222)=11,_xlfn.XLOOKUP(BI222,'Dispensed Ink Rates'!C:C,'Dispensed Ink Rates'!CS:CS),VLOOKUP(BI222,'Jan-2026 rates'!$E:$F,2,0)))</f>
        <v>0</v>
      </c>
      <c r="BY222" s="409"/>
      <c r="BZ222" s="398">
        <f>IF(BY222=0,0,IF(LEN(BJ222)=11,_xlfn.XLOOKUP(BJ222,'Dispensed Ink Rates'!C:C,'Dispensed Ink Rates'!CS:CS),VLOOKUP(BJ222,'Jan-2026 rates'!$E:$F,2,0)))</f>
        <v>0</v>
      </c>
      <c r="CA222" s="409" t="s">
        <v>1443</v>
      </c>
      <c r="CB222" s="409">
        <v>35</v>
      </c>
      <c r="CC222" s="411">
        <f t="shared" si="162"/>
        <v>0</v>
      </c>
      <c r="CD222" s="411">
        <f t="shared" si="163"/>
        <v>145.31297709923663</v>
      </c>
      <c r="CE222" s="410">
        <f t="shared" si="164"/>
        <v>0</v>
      </c>
      <c r="CF222" s="404" t="s">
        <v>857</v>
      </c>
      <c r="CG222" s="409" t="s">
        <v>3330</v>
      </c>
      <c r="CH222" s="420" t="str">
        <f t="shared" si="132"/>
        <v>FLINTSL - RED</v>
      </c>
      <c r="CI222" s="409">
        <v>14</v>
      </c>
      <c r="CJ222" s="411">
        <f>IF(CI222=0,0,IF($LB222=70%,VLOOKUP($CH222,'Jan-2026 rates'!$L:$R,4,0),IF($LB222=65%,VLOOKUP($CH222,'Jan-2026 rates'!$L:$R,4,0),IF($LB222=40%,VLOOKUP($CH222,'Jan-2026 rates'!$L:$R,5,0),IF($LB222=30%,VLOOKUP($CH222,'Jan-2026 rates'!$L:$R,6,0),IF($LB222=100%,VLOOKUP($CH222,'Jan-2026 rates'!$L:$R,7,0),IF($LB222=60%,VLOOKUP($CH222,'Jan-2026 rates'!$L:$S,8,0),IF($LB222=80%,VLOOKUP($CH222,'Jan-2026 rates'!L:T,9,0),0))))))))</f>
        <v>0</v>
      </c>
      <c r="CK222" s="412"/>
      <c r="CL222" s="409"/>
      <c r="CM222" s="411">
        <f>IF(CL222=0,0,IF($LB222=70%,VLOOKUP($CH222,'Jan-2026 rates'!$L:$R,4,0),IF($LB222=65%,VLOOKUP($CH222,'Jan-2026 rates'!$L:$R,4,0),IF($LB222=40%,VLOOKUP($CH222,'Jan-2026 rates'!$L:$R,5,0),IF($LB222=30%,VLOOKUP($CH222,'Jan-2026 rates'!$L:$R,6,0),IF($LB222=100%,VLOOKUP($CH222,'Jan-2026 rates'!$L:$R,7,0),IF($LB222=60%,VLOOKUP($CH222,'Jan-2026 rates'!$L:$S,8,0),IF($LB222=80%,VLOOKUP($CH222,'Jan-2026 rates'!L:T,9,0),0))))))))</f>
        <v>0</v>
      </c>
      <c r="CN222" s="426">
        <v>26513000020</v>
      </c>
      <c r="CO222" s="427">
        <v>26517000020</v>
      </c>
      <c r="CP222" s="426">
        <v>26520000005</v>
      </c>
      <c r="CQ222" s="426"/>
      <c r="CR222" s="428"/>
      <c r="CS222" s="428"/>
      <c r="CT222" s="428"/>
      <c r="CU222" s="428"/>
      <c r="CV222" s="409">
        <v>5</v>
      </c>
      <c r="CW222" s="398" t="e">
        <f>IF(CV222=0,0,IF(LEN(CN222)=11,_xlfn.XLOOKUP(CN222,'Dispensed Ink Rates'!C:C,'Dispensed Ink Rates'!CS:CS),VLOOKUP(CN222,'Jan-2026 rates'!$E:$F,2,0)))</f>
        <v>#N/A</v>
      </c>
      <c r="CX222" s="409">
        <v>7</v>
      </c>
      <c r="CY222" s="398" t="e">
        <f>IF(CX222=0,0,IF(LEN(CO222)=11,_xlfn.XLOOKUP(CO222,'Dispensed Ink Rates'!C:C,'Dispensed Ink Rates'!CS:CS),VLOOKUP(CO222,'Jan-2026 rates'!$E:$F,2,0)))</f>
        <v>#N/A</v>
      </c>
      <c r="CZ222" s="409">
        <v>1</v>
      </c>
      <c r="DA222" s="398" t="e">
        <f>IF(CZ222=0,0,IF(LEN(CP222)=11,_xlfn.XLOOKUP(CP222,'Dispensed Ink Rates'!C:C,'Dispensed Ink Rates'!CS:CS),VLOOKUP(CP222,'Jan-2026 rates'!$E:$F,2,0)))</f>
        <v>#N/A</v>
      </c>
      <c r="DB222" s="409"/>
      <c r="DC222" s="398">
        <f>IF(DB222=0,0,IF(LEN(CQ222)=11,_xlfn.XLOOKUP(CQ222,'Dispensed Ink Rates'!C:C,'Dispensed Ink Rates'!CS:CS),VLOOKUP(CQ222,'Jan-2026 rates'!$E:$F,2,0)))</f>
        <v>0</v>
      </c>
      <c r="DD222" s="409"/>
      <c r="DE222" s="398">
        <f>IF(DD222=0,0,IF(LEN(CR222)=11,_xlfn.XLOOKUP(CR222,'Dispensed Ink Rates'!C:C,'Dispensed Ink Rates'!CS:CS),VLOOKUP(CR222,'Jan-2026 rates'!$E:$F,2,0)))</f>
        <v>0</v>
      </c>
      <c r="DF222" s="409"/>
      <c r="DG222" s="398">
        <f>IF(DF222=0,0,IF(LEN(CS222)=11,_xlfn.XLOOKUP(CS222,'Dispensed Ink Rates'!C:C,'Dispensed Ink Rates'!CS:CS),VLOOKUP(CS222,'Jan-2026 rates'!$E:$F,2,0)))</f>
        <v>0</v>
      </c>
      <c r="DH222" s="409"/>
      <c r="DI222" s="398">
        <f>IF(DH222=0,0,IF(LEN(CT222)=11,_xlfn.XLOOKUP(CT222,'Dispensed Ink Rates'!C:C,'Dispensed Ink Rates'!CS:CS),VLOOKUP(CT222,'Jan-2026 rates'!$E:$F,2,0)))</f>
        <v>0</v>
      </c>
      <c r="DJ222" s="409"/>
      <c r="DK222" s="398">
        <f>IF(DJ222=0,0,IF(LEN(CU222)=11,_xlfn.XLOOKUP(CU222,'Dispensed Ink Rates'!C:C,'Dispensed Ink Rates'!CS:CS),VLOOKUP(CU222,'Jan-2026 rates'!$E:$F,2,0)))</f>
        <v>0</v>
      </c>
      <c r="DL222" s="409" t="s">
        <v>1443</v>
      </c>
      <c r="DM222" s="409">
        <v>23</v>
      </c>
      <c r="DN222" s="411">
        <f t="shared" si="165"/>
        <v>0</v>
      </c>
      <c r="DO222" s="411">
        <f t="shared" si="166"/>
        <v>23.656488549618317</v>
      </c>
      <c r="DP222" s="410">
        <f t="shared" si="167"/>
        <v>0</v>
      </c>
      <c r="DQ222" s="405" t="s">
        <v>855</v>
      </c>
      <c r="DR222" s="409" t="s">
        <v>3876</v>
      </c>
      <c r="DS222" s="420" t="str">
        <f t="shared" si="133"/>
        <v>FLINTSL - CYAN</v>
      </c>
      <c r="DT222" s="409">
        <v>23</v>
      </c>
      <c r="DU222" s="411">
        <f>IF(DT222=0,0,IF($LB222=70%,VLOOKUP($DS222,'Jan-2026 rates'!$L:$R,4,0),IF($LB222=65%,VLOOKUP($DS222,'Jan-2026 rates'!$L:$R,4,0),IF($LB222=40%,VLOOKUP($DS222,'Jan-2026 rates'!$L:$R,5,0),IF($LB222=30%,VLOOKUP($DS222,'Jan-2026 rates'!$L:$R,6,0),IF($LB222=100%,VLOOKUP($DS222,'Jan-2026 rates'!$L:$R,7,0),IF($LB222=60%,VLOOKUP($DS222,'Jan-2026 rates'!$L:$S,8,0),IF($LB222=80%,VLOOKUP($DS222,'Jan-2026 rates'!L:T,9,0),0))))))))</f>
        <v>0</v>
      </c>
      <c r="DV222" s="412"/>
      <c r="DW222" s="409"/>
      <c r="DX222" s="411">
        <f>IF(DW222=0,0,IF($LB222=70%,VLOOKUP($DS222,'Jan-2026 rates'!$L:$R,4,0),IF($LB222=65%,VLOOKUP($DS222,'Jan-2026 rates'!$L:$R,4,0),IF($LB222=40%,VLOOKUP($DS222,'Jan-2026 rates'!$L:$R,5,0),IF($LB222=30%,VLOOKUP($DS222,'Jan-2026 rates'!$L:$R,6,0),IF($LB222=100%,VLOOKUP($DS222,'Jan-2026 rates'!$L:$R,7,0),IF($LB222=60%,VLOOKUP($DS222,'Jan-2026 rates'!$L:$S,8,0),IF($LB222=80%,VLOOKUP($DS222,'Jan-2026 rates'!L:T,9,0),0))))))))</f>
        <v>0</v>
      </c>
      <c r="DY222" s="413">
        <v>26513000021</v>
      </c>
      <c r="DZ222" s="413"/>
      <c r="EA222" s="412"/>
      <c r="EB222" s="412"/>
      <c r="EC222" s="412"/>
      <c r="ED222" s="412"/>
      <c r="EE222" s="412"/>
      <c r="EF222" s="412"/>
      <c r="EG222" s="409">
        <v>5</v>
      </c>
      <c r="EH222" s="398" t="e">
        <f>IF(EG222=0,0,IF(LEN(DY222)=11,_xlfn.XLOOKUP(DY222,'Dispensed Ink Rates'!C:C,'Dispensed Ink Rates'!CS:CS),VLOOKUP(DY222,'Jan-2026 rates'!$E:$F,2,0)))</f>
        <v>#N/A</v>
      </c>
      <c r="EI222" s="409"/>
      <c r="EJ222" s="398">
        <f>IF(EI222=0,0,IF(LEN(DZ222)=11,_xlfn.XLOOKUP(DZ222,'Dispensed Ink Rates'!C:C,'Dispensed Ink Rates'!CS:CS),VLOOKUP(DZ222,'Jan-2026 rates'!$E:$F,2,0)))</f>
        <v>0</v>
      </c>
      <c r="EK222" s="409"/>
      <c r="EL222" s="398">
        <f>IF(EK222=0,0,IF(LEN(EA222)=11,_xlfn.XLOOKUP(EA222,'Dispensed Ink Rates'!C:C,'Dispensed Ink Rates'!CS:CS),VLOOKUP(EA222,'Jan-2026 rates'!$E:$F,2,0)))</f>
        <v>0</v>
      </c>
      <c r="EM222" s="409"/>
      <c r="EN222" s="398">
        <f>IF(EM222=0,0,IF(LEN(EB222)=11,_xlfn.XLOOKUP(EB222,'Dispensed Ink Rates'!C:C,'Dispensed Ink Rates'!CS:CS),VLOOKUP(EB222,'Jan-2026 rates'!$E:$F,2,0)))</f>
        <v>0</v>
      </c>
      <c r="EO222" s="409"/>
      <c r="EP222" s="398">
        <f>IF(EO222=0,0,IF(LEN(EC222)=11,_xlfn.XLOOKUP(EC222,'Dispensed Ink Rates'!C:C,'Dispensed Ink Rates'!CS:CS),VLOOKUP(EC222,'Jan-2026 rates'!$E:$F,2,0)))</f>
        <v>0</v>
      </c>
      <c r="EQ222" s="409"/>
      <c r="ER222" s="398">
        <f>IF(EQ222=0,0,IF(LEN(ED222)=11,_xlfn.XLOOKUP(ED222,'Dispensed Ink Rates'!C:C,'Dispensed Ink Rates'!CS:CS),VLOOKUP(ED222,'Jan-2026 rates'!$E:$F,2,0)))</f>
        <v>0</v>
      </c>
      <c r="ES222" s="409"/>
      <c r="ET222" s="398">
        <f>IF(ES222=0,0,IF(LEN(EE222)=11,_xlfn.XLOOKUP(EE222,'Dispensed Ink Rates'!C:C,'Dispensed Ink Rates'!CS:CS),VLOOKUP(EE222,'Jan-2026 rates'!$E:$F,2,0)))</f>
        <v>0</v>
      </c>
      <c r="EU222" s="409"/>
      <c r="EV222" s="398">
        <f>IF(EU222=0,0,IF(LEN(EF222)=11,_xlfn.XLOOKUP(EF222,'Dispensed Ink Rates'!C:C,'Dispensed Ink Rates'!CS:CS),VLOOKUP(EF222,'Jan-2026 rates'!$E:$F,2,0)))</f>
        <v>0</v>
      </c>
      <c r="EW222" s="409" t="s">
        <v>1443</v>
      </c>
      <c r="EX222" s="409">
        <v>24</v>
      </c>
      <c r="EY222" s="411">
        <f t="shared" si="168"/>
        <v>0</v>
      </c>
      <c r="EZ222" s="411">
        <f t="shared" si="169"/>
        <v>13.828244274809158</v>
      </c>
      <c r="FA222" s="410">
        <f t="shared" si="170"/>
        <v>0</v>
      </c>
      <c r="FB222" s="405" t="s">
        <v>544</v>
      </c>
      <c r="FC222" s="409" t="s">
        <v>3877</v>
      </c>
      <c r="FD222" s="420" t="str">
        <f t="shared" si="134"/>
        <v>FLINTSL - MAGENTA</v>
      </c>
      <c r="FE222" s="409">
        <v>26</v>
      </c>
      <c r="FF222" s="411">
        <f>IF(FE222=0,0,IF($LB222=70%,VLOOKUP($FD222,'Jan-2026 rates'!$L:$R,4,0),IF($LB222=65%,VLOOKUP($FD222,'Jan-2026 rates'!$L:$R,4,0),IF($LB222=40%,VLOOKUP($FD222,'Jan-2026 rates'!$L:$R,5,0),IF($LB222=30%,VLOOKUP($FD222,'Jan-2026 rates'!$L:$R,6,0),IF($LB222=100%,VLOOKUP($FD222,'Jan-2026 rates'!$L:$R,7,0),IF($LB222=60%,VLOOKUP($FD222,'Jan-2026 rates'!$L:$S,8,0),IF($LB222=80%,VLOOKUP($FD222,'Jan-2026 rates'!L:T,9,0),0))))))))</f>
        <v>0</v>
      </c>
      <c r="FG222" s="412"/>
      <c r="FH222" s="409"/>
      <c r="FI222" s="411">
        <f>IF(FH222=0,0,IF($LB222=70%,VLOOKUP($FD222,'Jan-2026 rates'!$L:$R,4,0),IF($LB222=65%,VLOOKUP($FD222,'Jan-2026 rates'!$L:$R,4,0),IF($LB222=40%,VLOOKUP($FD222,'Jan-2026 rates'!$L:$R,5,0),IF($LB222=30%,VLOOKUP($FD222,'Jan-2026 rates'!$L:$R,6,0),IF($LB222=100%,VLOOKUP($FD222,'Jan-2026 rates'!$L:$R,7,0),IF($LB222=60%,VLOOKUP($FD222,'Jan-2026 rates'!$L:$S,8,0),IF($LB222=80%,VLOOKUP($FD222,'Jan-2026 rates'!L:T,9,0),0))))))))</f>
        <v>0</v>
      </c>
      <c r="FJ222" s="413">
        <v>26517000020</v>
      </c>
      <c r="FK222" s="413"/>
      <c r="FL222" s="413"/>
      <c r="FM222" s="412"/>
      <c r="FN222" s="412"/>
      <c r="FO222" s="412"/>
      <c r="FP222" s="412"/>
      <c r="FQ222" s="412"/>
      <c r="FR222" s="409">
        <v>6</v>
      </c>
      <c r="FS222" s="398" t="e">
        <f>IF(FR222=0,0,IF(LEN(FJ222)=11,_xlfn.XLOOKUP(FJ222,'Dispensed Ink Rates'!C:C,'Dispensed Ink Rates'!CS:CS),VLOOKUP(FJ222,'Jan-2026 rates'!$E:$F,2,0)))</f>
        <v>#N/A</v>
      </c>
      <c r="FT222" s="409"/>
      <c r="FU222" s="398">
        <f>IF(FT222=0,0,IF(LEN(FK222)=11,_xlfn.XLOOKUP(FK222,'Dispensed Ink Rates'!C:C,'Dispensed Ink Rates'!CS:CS),VLOOKUP(FK222,'Jan-2026 rates'!$E:$F,2,0)))</f>
        <v>0</v>
      </c>
      <c r="FV222" s="409"/>
      <c r="FW222" s="398">
        <f>IF(FV222=0,0,IF(LEN(FL222)=11,_xlfn.XLOOKUP(FL222,'Dispensed Ink Rates'!C:C,'Dispensed Ink Rates'!CS:CS),VLOOKUP(FL222,'Jan-2026 rates'!$E:$F,2,0)))</f>
        <v>0</v>
      </c>
      <c r="FX222" s="409"/>
      <c r="FY222" s="398">
        <f>IF(FX222=0,0,IF(LEN(FM222)=11,_xlfn.XLOOKUP(FM222,'Dispensed Ink Rates'!C:C,'Dispensed Ink Rates'!CS:CS),VLOOKUP(FM222,'Jan-2026 rates'!$E:$F,2,0)))</f>
        <v>0</v>
      </c>
      <c r="FZ222" s="409"/>
      <c r="GA222" s="398">
        <f>IF(FZ222=0,0,IF(LEN(FN222)=11,_xlfn.XLOOKUP(FN222,'Dispensed Ink Rates'!C:C,'Dispensed Ink Rates'!CS:CS),VLOOKUP(FN222,'Jan-2026 rates'!$E:$F,2,0)))</f>
        <v>0</v>
      </c>
      <c r="GB222" s="409"/>
      <c r="GC222" s="398">
        <f>IF(GB222=0,0,IF(LEN(FO222)=11,_xlfn.XLOOKUP(FO222,'Dispensed Ink Rates'!C:C,'Dispensed Ink Rates'!CS:CS),VLOOKUP(FO222,'Jan-2026 rates'!$E:$F,2,0)))</f>
        <v>0</v>
      </c>
      <c r="GD222" s="409"/>
      <c r="GE222" s="398">
        <f>IF(GD222=0,0,IF(LEN(FP222)=11,_xlfn.XLOOKUP(FP222,'Dispensed Ink Rates'!C:C,'Dispensed Ink Rates'!CS:CS),VLOOKUP(FP222,'Jan-2026 rates'!$E:$F,2,0)))</f>
        <v>0</v>
      </c>
      <c r="GF222" s="409"/>
      <c r="GG222" s="398">
        <f>IF(GF222=0,0,IF(LEN(FQ222)=11,_xlfn.XLOOKUP(FQ222,'Dispensed Ink Rates'!C:C,'Dispensed Ink Rates'!CS:CS),VLOOKUP(FQ222,'Jan-2026 rates'!$E:$F,2,0)))</f>
        <v>0</v>
      </c>
      <c r="GH222" s="409" t="s">
        <v>1443</v>
      </c>
      <c r="GI222" s="409">
        <v>25</v>
      </c>
      <c r="GJ222" s="411">
        <f t="shared" si="171"/>
        <v>0</v>
      </c>
      <c r="GK222" s="411">
        <f t="shared" si="172"/>
        <v>16.828244274809158</v>
      </c>
      <c r="GL222" s="410">
        <f t="shared" si="173"/>
        <v>0</v>
      </c>
      <c r="GM222" s="405" t="s">
        <v>545</v>
      </c>
      <c r="GN222" s="409" t="s">
        <v>3878</v>
      </c>
      <c r="GO222" s="420" t="str">
        <f t="shared" si="135"/>
        <v>FLINTSL - YELLOW</v>
      </c>
      <c r="GP222" s="409">
        <v>20</v>
      </c>
      <c r="GQ222" s="411">
        <f>IF(GP222=0,0,IF($LB222=70%,VLOOKUP($GO222,'Jan-2026 rates'!$L:$R,4,0),IF($LB222=65%,VLOOKUP($GO222,'Jan-2026 rates'!$L:$R,4,0),IF($LB222=40%,VLOOKUP($GO222,'Jan-2026 rates'!$L:$R,5,0),IF($LB222=30%,VLOOKUP($GO222,'Jan-2026 rates'!$L:$R,6,0),IF($LB222=100%,VLOOKUP($GO222,'Jan-2026 rates'!$L:$R,7,0),IF($LB222=60%,VLOOKUP($GO222,'Jan-2026 rates'!$L:$S,8,0),IF($LB222=80%,VLOOKUP($GO222,'Jan-2026 rates'!L:T,9,0),0))))))))</f>
        <v>0</v>
      </c>
      <c r="GR222" s="412"/>
      <c r="GS222" s="409"/>
      <c r="GT222" s="411">
        <f>IF(GS222=0,0,IF($LB222=70%,VLOOKUP($GO222,'Jan-2026 rates'!$L:$R,4,0),IF($LB222=65%,VLOOKUP($GO222,'Jan-2026 rates'!$L:$R,4,0),IF($LB222=40%,VLOOKUP($GO222,'Jan-2026 rates'!$L:$R,5,0),IF($LB222=30%,VLOOKUP($GO222,'Jan-2026 rates'!$L:$R,6,0),IF($LB222=100%,VLOOKUP($GO222,'Jan-2026 rates'!$L:$R,7,0),IF($LB222=60%,VLOOKUP($GO222,'Jan-2026 rates'!$L:$S,8,0),IF($LB222=80%,VLOOKUP($GO222,'Jan-2026 rates'!L:T,9,0),0))))))))</f>
        <v>0</v>
      </c>
      <c r="GU222" s="413">
        <v>26516000015</v>
      </c>
      <c r="GV222" s="413" t="s">
        <v>1266</v>
      </c>
      <c r="GW222" s="412"/>
      <c r="GX222" s="412"/>
      <c r="GY222" s="412"/>
      <c r="GZ222" s="412"/>
      <c r="HA222" s="412"/>
      <c r="HB222" s="412"/>
      <c r="HC222" s="409">
        <v>40</v>
      </c>
      <c r="HD222" s="398" t="e">
        <f>IF(HC222=0,0,IF(LEN(GU222)=11,_xlfn.XLOOKUP(GU222,'Dispensed Ink Rates'!C:C,'Dispensed Ink Rates'!CS:CS),VLOOKUP(GU222,'Jan-2026 rates'!$E:$F,2,0)))</f>
        <v>#N/A</v>
      </c>
      <c r="HE222" s="409">
        <v>15</v>
      </c>
      <c r="HF222" s="398">
        <f>IF(HE222=0,0,IF(LEN(GV222)=11,_xlfn.XLOOKUP(GV222,'Dispensed Ink Rates'!C:C,'Dispensed Ink Rates'!CS:CS),VLOOKUP(GV222,'Jan-2026 rates'!$E:$F,2,0)))</f>
        <v>0</v>
      </c>
      <c r="HG222" s="409"/>
      <c r="HH222" s="398">
        <f>IF(HG222=0,0,IF(LEN(GW222)=11,_xlfn.XLOOKUP(GW222,'Dispensed Ink Rates'!C:C,'Dispensed Ink Rates'!CS:CS),VLOOKUP(GW222,'Jan-2026 rates'!$E:$F,2,0)))</f>
        <v>0</v>
      </c>
      <c r="HI222" s="409"/>
      <c r="HJ222" s="398">
        <f>IF(HI222=0,0,IF(LEN(GX222)=11,_xlfn.XLOOKUP(GX222,'Dispensed Ink Rates'!C:C,'Dispensed Ink Rates'!CS:CS),VLOOKUP(GX222,'Jan-2026 rates'!$E:$F,2,0)))</f>
        <v>0</v>
      </c>
      <c r="HK222" s="409"/>
      <c r="HL222" s="398">
        <f>IF(HK222=0,0,IF(LEN(GY222)=11,_xlfn.XLOOKUP(GY222,'Dispensed Ink Rates'!C:C,'Dispensed Ink Rates'!CS:CS),VLOOKUP(GY222,'Jan-2026 rates'!$E:$F,2,0)))</f>
        <v>0</v>
      </c>
      <c r="HM222" s="409"/>
      <c r="HN222" s="398">
        <f>IF(HM222=0,0,IF(LEN(GZ222)=11,_xlfn.XLOOKUP(GZ222,'Dispensed Ink Rates'!C:C,'Dispensed Ink Rates'!CS:CS),VLOOKUP(GZ222,'Jan-2026 rates'!$E:$F,2,0)))</f>
        <v>0</v>
      </c>
      <c r="HO222" s="409"/>
      <c r="HP222" s="398">
        <f>IF(HO222=0,0,IF(LEN(HA222)=11,_xlfn.XLOOKUP(HA222,'Dispensed Ink Rates'!C:C,'Dispensed Ink Rates'!CS:CS),VLOOKUP(HA222,'Jan-2026 rates'!$E:$F,2,0)))</f>
        <v>0</v>
      </c>
      <c r="HQ222" s="409"/>
      <c r="HR222" s="398">
        <f>IF(HQ222=0,0,IF(LEN(HB222)=11,_xlfn.XLOOKUP(HB222,'Dispensed Ink Rates'!C:C,'Dispensed Ink Rates'!CS:CS),VLOOKUP(HB222,'Jan-2026 rates'!$E:$F,2,0)))</f>
        <v>0</v>
      </c>
      <c r="HS222" s="409" t="s">
        <v>1443</v>
      </c>
      <c r="HT222" s="409">
        <v>30</v>
      </c>
      <c r="HU222" s="411">
        <f t="shared" si="174"/>
        <v>0</v>
      </c>
      <c r="HV222" s="411">
        <f t="shared" si="175"/>
        <v>113.79770992366412</v>
      </c>
      <c r="HW222" s="414">
        <f t="shared" si="176"/>
        <v>0</v>
      </c>
      <c r="HX222" s="405" t="s">
        <v>856</v>
      </c>
      <c r="HY222" s="409" t="s">
        <v>3879</v>
      </c>
      <c r="HZ222" s="420" t="str">
        <f t="shared" si="136"/>
        <v>FLINTSL - WHITE</v>
      </c>
      <c r="IA222" s="409">
        <v>22</v>
      </c>
      <c r="IB222" s="411">
        <f>IF(IA222=0,0,IF($LB222=70%,VLOOKUP($HZ222,'Jan-2026 rates'!$L:$R,4,0),IF($LB222=65%,VLOOKUP($HZ222,'Jan-2026 rates'!$L:$R,4,0),IF($LB222=40%,VLOOKUP($HZ222,'Jan-2026 rates'!$L:$R,5,0),IF($LB222=30%,VLOOKUP($HZ222,'Jan-2026 rates'!$L:$R,6,0),IF($LB222=100%,VLOOKUP($HZ222,'Jan-2026 rates'!$L:$R,7,0),IF($LB222=60%,VLOOKUP($HZ222,'Jan-2026 rates'!$L:$S,8,0),IF($LB222=80%,VLOOKUP($HZ222,'Jan-2026 rates'!L:T,9,0),0))))))))</f>
        <v>0</v>
      </c>
      <c r="IC222" s="412"/>
      <c r="ID222" s="409"/>
      <c r="IE222" s="411">
        <f>IF(ID222=0,0,IF($LB222=70%,VLOOKUP($HZ222,'Jan-2026 rates'!$L:$R,4,0),IF($LB222=65%,VLOOKUP($HZ222,'Jan-2026 rates'!$L:$R,4,0),IF($LB222=40%,VLOOKUP($HZ222,'Jan-2026 rates'!$L:$R,5,0),IF($LB222=30%,VLOOKUP($HZ222,'Jan-2026 rates'!$L:$R,6,0),IF($LB222=100%,VLOOKUP($HZ222,'Jan-2026 rates'!$L:$R,7,0),IF($LB222=60%,VLOOKUP($HZ222,'Jan-2026 rates'!$L:$S,8,0),IF($LB222=80%,VLOOKUP($HZ222,'Jan-2026 rates'!L:T,9,0),0))))))))</f>
        <v>0</v>
      </c>
      <c r="IF222" s="412" t="s">
        <v>484</v>
      </c>
      <c r="IG222" s="413"/>
      <c r="IH222" s="412"/>
      <c r="II222" s="412"/>
      <c r="IJ222" s="412"/>
      <c r="IK222" s="412"/>
      <c r="IL222" s="412"/>
      <c r="IM222" s="412"/>
      <c r="IN222" s="409">
        <f>100+100+100</f>
        <v>300</v>
      </c>
      <c r="IO222" s="398">
        <f>IF(IN222=0,0,IF(LEN(IF222)=11,_xlfn.XLOOKUP(IF222,'Dispensed Ink Rates'!C:C,'Dispensed Ink Rates'!CS:CS),VLOOKUP(IF222,'Jan-2026 rates'!$E:$F,2,0)))</f>
        <v>0</v>
      </c>
      <c r="IP222" s="409"/>
      <c r="IQ222" s="398">
        <f>IF(IP222=0,0,IF(LEN(IG222)=11,_xlfn.XLOOKUP(IG222,'Dispensed Ink Rates'!C:C,'Dispensed Ink Rates'!CS:CS),VLOOKUP(IG222,'Jan-2026 rates'!$E:$F,2,0)))</f>
        <v>0</v>
      </c>
      <c r="IR222" s="409"/>
      <c r="IS222" s="398">
        <f>IF(IR222=0,0,IF(LEN(IH222)=11,_xlfn.XLOOKUP(IH222,'Dispensed Ink Rates'!C:C,'Dispensed Ink Rates'!CS:CS),VLOOKUP(IH222,'Jan-2026 rates'!$E:$F,2,0)))</f>
        <v>0</v>
      </c>
      <c r="IT222" s="409"/>
      <c r="IU222" s="398">
        <f>IF(IT222=0,0,IF(LEN(II222)=11,_xlfn.XLOOKUP(II222,'Dispensed Ink Rates'!C:C,'Dispensed Ink Rates'!CS:CS),VLOOKUP(II222,'Jan-2026 rates'!$E:$F,2,0)))</f>
        <v>0</v>
      </c>
      <c r="IV222" s="409"/>
      <c r="IW222" s="398">
        <f>IF(IV222=0,0,IF(LEN(IJ222)=11,_xlfn.XLOOKUP(IJ222,'Dispensed Ink Rates'!C:C,'Dispensed Ink Rates'!CS:CS),VLOOKUP(IJ222,'Jan-2026 rates'!$E:$F,2,0)))</f>
        <v>0</v>
      </c>
      <c r="IX222" s="409"/>
      <c r="IY222" s="398">
        <f>IF(IX222=0,0,IF(LEN(IK222)=11,_xlfn.XLOOKUP(IK222,'Dispensed Ink Rates'!C:C,'Dispensed Ink Rates'!CS:CS),VLOOKUP(IK222,'Jan-2026 rates'!$E:$F,2,0)))</f>
        <v>0</v>
      </c>
      <c r="IZ222" s="409"/>
      <c r="JA222" s="398">
        <f>IF(IZ222=0,0,IF(LEN(IL222)=11,_xlfn.XLOOKUP(IL222,'Dispensed Ink Rates'!C:C,'Dispensed Ink Rates'!CS:CS),VLOOKUP(IL222,'Jan-2026 rates'!$E:$F,2,0)))</f>
        <v>0</v>
      </c>
      <c r="JB222" s="409"/>
      <c r="JC222" s="398">
        <f>IF(JB222=0,0,IF(LEN(IM222)=11,_xlfn.XLOOKUP(IM222,'Dispensed Ink Rates'!C:C,'Dispensed Ink Rates'!CS:CS),VLOOKUP(IM222,'Jan-2026 rates'!$E:$F,2,0)))</f>
        <v>0</v>
      </c>
      <c r="JD222" s="409" t="s">
        <v>1443</v>
      </c>
      <c r="JE222" s="409">
        <v>25</v>
      </c>
      <c r="JF222" s="411">
        <f t="shared" si="177"/>
        <v>0</v>
      </c>
      <c r="JG222" s="411">
        <f t="shared" si="178"/>
        <v>650.81679389312978</v>
      </c>
      <c r="JH222" s="410">
        <f t="shared" si="179"/>
        <v>0</v>
      </c>
      <c r="JI222" s="405"/>
      <c r="JJ222" s="409"/>
      <c r="JK222" s="420" t="str">
        <f t="shared" si="137"/>
        <v xml:space="preserve"> - </v>
      </c>
      <c r="JL222" s="409"/>
      <c r="JM222" s="411">
        <f>IF(JL222=0,0,IF($LB222=70%,VLOOKUP($JK222,'Jan-2026 rates'!$L:$R,4,0),IF($LB222=65%,VLOOKUP($JK222,'Jan-2026 rates'!$L:$R,4,0),IF($LB222=40%,VLOOKUP($JK222,'Jan-2026 rates'!$L:$R,5,0),IF($LB222=30%,VLOOKUP($JK222,'Jan-2026 rates'!$L:$R,6,0),IF($LB222=100%,VLOOKUP($JK222,'Jan-2026 rates'!$L:$R,7,0),IF($LB222=60%,VLOOKUP($JK222,'Jan-2026 rates'!$L:$S,8,0),IF($LB222=80%,VLOOKUP($JK222,'Jan-2026 rates'!L:T,9,0),0))))))))</f>
        <v>0</v>
      </c>
      <c r="JN222" s="412"/>
      <c r="JO222" s="409"/>
      <c r="JP222" s="411">
        <f>IF(JO222=0,0,IF($LB222=70%,VLOOKUP($JK222,'Jan-2026 rates'!$L:$R,4,0),IF($LB222=65%,VLOOKUP($JK222,'Jan-2026 rates'!$L:$R,4,0),IF($LB222=40%,VLOOKUP($JK222,'Jan-2026 rates'!$L:$R,5,0),IF($LB222=30%,VLOOKUP($JK222,'Jan-2026 rates'!$L:$R,6,0),IF($LB222=100%,VLOOKUP($JK222,'Jan-2026 rates'!$L:$R,7,0),IF($LB222=60%,VLOOKUP($JK222,'Jan-2026 rates'!$L:$S,8,0),IF($LB222=80%,VLOOKUP($JK222,'Jan-2026 rates'!L:T,9,0),0))))))))</f>
        <v>0</v>
      </c>
      <c r="JQ222" s="413"/>
      <c r="JR222" s="412"/>
      <c r="JS222" s="413"/>
      <c r="JT222" s="413"/>
      <c r="JU222" s="412"/>
      <c r="JV222" s="412"/>
      <c r="JW222" s="412"/>
      <c r="JX222" s="412"/>
      <c r="JY222" s="409"/>
      <c r="JZ222" s="398">
        <f>IF(JY222=0,0,IF(LEN(JQ222)=11,_xlfn.XLOOKUP(JQ222,'Dispensed Ink Rates'!C:C,'Dispensed Ink Rates'!CS:CS),VLOOKUP(JQ222,'Jan-2026 rates'!$E:$F,2,0)))</f>
        <v>0</v>
      </c>
      <c r="KA222" s="409"/>
      <c r="KB222" s="398">
        <f>IF(KA222=0,0,IF(LEN(JR222)=11,_xlfn.XLOOKUP(JR222,'Dispensed Ink Rates'!C:C,'Dispensed Ink Rates'!CS:CS),VLOOKUP(JR222,'Jan-2026 rates'!$E:$F,2,0)))</f>
        <v>0</v>
      </c>
      <c r="KC222" s="409"/>
      <c r="KD222" s="398">
        <f>IF(KC222=0,0,IF(LEN(JS222)=11,_xlfn.XLOOKUP(JS222,'Dispensed Ink Rates'!C:C,'Dispensed Ink Rates'!CS:CS),VLOOKUP(JS222,'Jan-2026 rates'!$E:$F,2,0)))</f>
        <v>0</v>
      </c>
      <c r="KE222" s="409"/>
      <c r="KF222" s="398">
        <f>IF(KE222=0,0,IF(LEN(JT222)=11,_xlfn.XLOOKUP(JT222,'Dispensed Ink Rates'!C:C,'Dispensed Ink Rates'!CS:CS),VLOOKUP(JT222,'Jan-2026 rates'!$E:$F,2,0)))</f>
        <v>0</v>
      </c>
      <c r="KG222" s="409"/>
      <c r="KH222" s="398">
        <f>IF(KG222=0,0,IF(LEN(JU222)=11,_xlfn.XLOOKUP(JU222,'Dispensed Ink Rates'!C:C,'Dispensed Ink Rates'!CS:CS),VLOOKUP(JU222,'Jan-2026 rates'!$E:$F,2,0)))</f>
        <v>0</v>
      </c>
      <c r="KI222" s="409"/>
      <c r="KJ222" s="398">
        <f>IF(KI222=0,0,IF(LEN(JV222)=11,_xlfn.XLOOKUP(JV222,'Dispensed Ink Rates'!C:C,'Dispensed Ink Rates'!CS:CS),VLOOKUP(JV222,'Jan-2026 rates'!$E:$F,2,0)))</f>
        <v>0</v>
      </c>
      <c r="KK222" s="409"/>
      <c r="KL222" s="398">
        <f>IF(KK222=0,0,IF(LEN(JW222)=11,_xlfn.XLOOKUP(JW222,'Dispensed Ink Rates'!C:C,'Dispensed Ink Rates'!CS:CS),VLOOKUP(JW222,'Jan-2026 rates'!$E:$F,2,0)))</f>
        <v>0</v>
      </c>
      <c r="KM222" s="428"/>
      <c r="KN222" s="398">
        <f>IF(KM222=0,0,IF(LEN(JX222)=11,_xlfn.XLOOKUP(JX222,'Dispensed Ink Rates'!C:C,'Dispensed Ink Rates'!CS:CS),VLOOKUP(JX222,'Jan-2026 rates'!$E:$F,2,0)))</f>
        <v>0</v>
      </c>
      <c r="KO222" s="409"/>
      <c r="KP222" s="409"/>
      <c r="KQ222" s="411">
        <f t="shared" si="180"/>
        <v>0</v>
      </c>
      <c r="KR222" s="411">
        <f t="shared" si="181"/>
        <v>0</v>
      </c>
      <c r="KS222" s="410">
        <f t="shared" si="182"/>
        <v>0</v>
      </c>
      <c r="KT222" s="409">
        <v>7</v>
      </c>
      <c r="KU222" s="409">
        <v>20</v>
      </c>
      <c r="KV222" s="409">
        <v>10</v>
      </c>
      <c r="KW222" s="409">
        <v>5</v>
      </c>
      <c r="KX222" s="409">
        <v>5</v>
      </c>
      <c r="KY222" s="409">
        <v>35</v>
      </c>
      <c r="KZ222" s="409">
        <f>120+60</f>
        <v>180</v>
      </c>
      <c r="LA222" s="409">
        <v>0</v>
      </c>
      <c r="LB222" s="415">
        <v>0.8</v>
      </c>
      <c r="LC222" s="415">
        <v>0.2</v>
      </c>
      <c r="LD222" s="415"/>
      <c r="LE222" s="415"/>
      <c r="LF222" s="415"/>
      <c r="LG222" s="409">
        <v>0</v>
      </c>
      <c r="LH222" s="409">
        <f>180+135+160+40</f>
        <v>515</v>
      </c>
      <c r="LI222" s="409">
        <v>0</v>
      </c>
      <c r="LJ222" s="409">
        <v>0</v>
      </c>
      <c r="LK222" s="416">
        <f t="shared" si="138"/>
        <v>515</v>
      </c>
      <c r="LL222" s="416">
        <f t="shared" si="139"/>
        <v>515</v>
      </c>
      <c r="LM222" s="417">
        <f t="shared" si="140"/>
        <v>412</v>
      </c>
      <c r="LN222" s="417">
        <f>VLOOKUP($LM$8,'Jan-2026 rates'!$H:$I,2,0)</f>
        <v>0</v>
      </c>
      <c r="LO222" s="417">
        <f t="shared" si="141"/>
        <v>103</v>
      </c>
      <c r="LP222" s="417">
        <f>VLOOKUP($LO$8,'Jan-2026 rates'!$H:$I,2,0)</f>
        <v>0</v>
      </c>
      <c r="LQ222" s="417">
        <f t="shared" si="142"/>
        <v>0</v>
      </c>
      <c r="LR222" s="417">
        <f>VLOOKUP($LQ$8,'Jan-2026 rates'!$H:$I,2,0)</f>
        <v>0</v>
      </c>
      <c r="LS222" s="417">
        <f t="shared" si="143"/>
        <v>0</v>
      </c>
      <c r="LT222" s="417">
        <f>VLOOKUP($LS$8,'Jan-2026 rates'!$H:$I,2,0)</f>
        <v>0</v>
      </c>
      <c r="LU222" s="417">
        <f t="shared" si="144"/>
        <v>0</v>
      </c>
      <c r="LV222" s="417">
        <f>VLOOKUP($LU$8,'Jan-2026 rates'!$H:$I,2,0)</f>
        <v>0</v>
      </c>
      <c r="LW222" s="417">
        <f t="shared" si="145"/>
        <v>0</v>
      </c>
      <c r="LX222" s="417">
        <f t="shared" si="146"/>
        <v>0</v>
      </c>
      <c r="LY222" s="418">
        <f t="shared" si="147"/>
        <v>0</v>
      </c>
      <c r="LZ222" s="417"/>
      <c r="MA222" s="435">
        <f t="shared" si="148"/>
        <v>429</v>
      </c>
      <c r="MB222" s="282">
        <f t="shared" si="149"/>
        <v>984</v>
      </c>
      <c r="MC222" s="283">
        <v>115</v>
      </c>
      <c r="MD222" s="284" t="str">
        <f t="shared" si="150"/>
        <v>FLINTSLFLINTSLFLINTSLFLINTSLFLINTSLFLINTSLFLINTSL</v>
      </c>
      <c r="ME222" s="293" t="str">
        <f t="shared" si="151"/>
        <v>+</v>
      </c>
      <c r="MF222" s="293" t="str">
        <f t="shared" si="152"/>
        <v>+</v>
      </c>
      <c r="MG222" s="293" t="str">
        <f t="shared" si="153"/>
        <v>+</v>
      </c>
      <c r="MH222" s="293" t="str">
        <f t="shared" si="154"/>
        <v>+</v>
      </c>
      <c r="MI222" s="293" t="str">
        <f t="shared" si="155"/>
        <v>+</v>
      </c>
      <c r="MJ222" s="293" t="str">
        <f t="shared" si="156"/>
        <v>+</v>
      </c>
      <c r="MK222" s="293" t="str">
        <f t="shared" si="157"/>
        <v>+</v>
      </c>
      <c r="ML222" s="293" t="str">
        <f t="shared" si="158"/>
        <v>NIL</v>
      </c>
      <c r="MM222" s="3" t="b">
        <f t="array" ref="MM222">OR(ME222:ML222="-")</f>
        <v>0</v>
      </c>
      <c r="MN222" s="285"/>
      <c r="MO222" s="401"/>
      <c r="MP222" s="286"/>
      <c r="MQ222" s="286"/>
      <c r="MR222" s="402"/>
      <c r="MS222" s="400"/>
      <c r="NH222" s="422"/>
      <c r="NJ222" s="421"/>
    </row>
    <row r="223" spans="1:374" s="1" customFormat="1" ht="16.5">
      <c r="A223" s="403">
        <v>46038</v>
      </c>
      <c r="B223" s="404" t="s">
        <v>1015</v>
      </c>
      <c r="C223" s="405" t="s">
        <v>3880</v>
      </c>
      <c r="D223" s="406">
        <v>116</v>
      </c>
      <c r="E223" s="404">
        <v>644</v>
      </c>
      <c r="F223" s="407">
        <v>40500</v>
      </c>
      <c r="G223" s="407" t="s">
        <v>1019</v>
      </c>
      <c r="H223" s="408" t="s">
        <v>1017</v>
      </c>
      <c r="I223" s="409">
        <v>2</v>
      </c>
      <c r="J223" s="405" t="s">
        <v>543</v>
      </c>
      <c r="K223" s="404" t="s">
        <v>3881</v>
      </c>
      <c r="L223" s="419" t="str">
        <f t="shared" si="131"/>
        <v>FLINTSL - BLACK</v>
      </c>
      <c r="M223" s="404">
        <v>28</v>
      </c>
      <c r="N223" s="410">
        <f>IF(M223=0,0,IF($LB223=70%,VLOOKUP($L223,'Jan-2026 rates'!$L:$R,4,0),IF($LB223=65%,VLOOKUP($L223,'Jan-2026 rates'!$L:$R,4,0),IF($LB223=40%,VLOOKUP($L223,'Jan-2026 rates'!$L:$R,5,0),IF($LB223=30%,VLOOKUP($L223,'Jan-2026 rates'!$L:$R,6,0),IF($LB223=100%,VLOOKUP($L223,'Jan-2026 rates'!$L:$R,7,0),IF($LB223=60%,VLOOKUP($L223,'Jan-2026 rates'!$L:$S,8,0),IF($LB223=80%,VLOOKUP($L223,'Jan-2026 rates'!L:T,9,0),0))))))))</f>
        <v>0</v>
      </c>
      <c r="O223" s="406"/>
      <c r="P223" s="404"/>
      <c r="Q223" s="410">
        <f>IF(P223=0,0,IF($LB223=70%,VLOOKUP($L223,'Jan-2026 rates'!$L:$R,4,0),IF($LB223=65%,VLOOKUP($L223,'Jan-2026 rates'!$L:$R,4,0),IF($LB223=40%,VLOOKUP($L223,'Jan-2026 rates'!$L:$R,5,0),IF($LB223=30%,VLOOKUP($L223,'Jan-2026 rates'!$L:$R,6,0),IF($LB223=100%,VLOOKUP($L223,'Jan-2026 rates'!$L:$R,7,0),IF($LB223=60%,VLOOKUP($L223,'Jan-2026 rates'!$L:$S,8,0),IF($LB223=80%,VLOOKUP($L223,'Jan-2026 rates'!L:T,9,0),0))))))))</f>
        <v>0</v>
      </c>
      <c r="R223" s="406">
        <v>26520000010</v>
      </c>
      <c r="S223" s="406"/>
      <c r="T223" s="406"/>
      <c r="U223" s="406"/>
      <c r="V223" s="406"/>
      <c r="W223" s="406"/>
      <c r="X223" s="406"/>
      <c r="Y223" s="406"/>
      <c r="Z223" s="404">
        <v>6</v>
      </c>
      <c r="AA223" s="398" t="e">
        <f>IF(Z223=0,0,IF(LEN(R223)=11,_xlfn.XLOOKUP(R223,'Dispensed Ink Rates'!C:C,'Dispensed Ink Rates'!CS:CS),VLOOKUP(R223,'Jan-2026 rates'!$E:$F,2,0)))</f>
        <v>#N/A</v>
      </c>
      <c r="AB223" s="404"/>
      <c r="AC223" s="398">
        <f>IF(AB223=0,0,IF(LEN(S223)=11,_xlfn.XLOOKUP(S223,'Dispensed Ink Rates'!C:C,'Dispensed Ink Rates'!CS:CS),VLOOKUP(S223,'Jan-2026 rates'!$E:$F,2,0)))</f>
        <v>0</v>
      </c>
      <c r="AD223" s="404"/>
      <c r="AE223" s="398">
        <f>IF(AD223=0,0,IF(LEN(T223)=11,_xlfn.XLOOKUP(T223,'Dispensed Ink Rates'!C:C,'Dispensed Ink Rates'!CS:CS),VLOOKUP(T223,'Jan-2026 rates'!$E:$F,2,0)))</f>
        <v>0</v>
      </c>
      <c r="AF223" s="404"/>
      <c r="AG223" s="398">
        <f>IF(AF223=0,0,IF(LEN(U223)=11,_xlfn.XLOOKUP(U223,'Dispensed Ink Rates'!C:C,'Dispensed Ink Rates'!CS:CS),VLOOKUP(U223,'Jan-2026 rates'!$E:$F,2,0)))</f>
        <v>0</v>
      </c>
      <c r="AH223" s="404"/>
      <c r="AI223" s="398">
        <f>IF(AH223=0,0,IF(LEN(V223)=11,_xlfn.XLOOKUP(V223,'Dispensed Ink Rates'!C:C,'Dispensed Ink Rates'!CS:CS),VLOOKUP(V223,'Jan-2026 rates'!$E:$F,2,0)))</f>
        <v>0</v>
      </c>
      <c r="AJ223" s="404"/>
      <c r="AK223" s="398">
        <f>IF(AJ223=0,0,IF(LEN(W223)=11,_xlfn.XLOOKUP(W223,'Dispensed Ink Rates'!C:C,'Dispensed Ink Rates'!CS:CS),VLOOKUP(W223,'Jan-2026 rates'!$E:$F,2,0)))</f>
        <v>0</v>
      </c>
      <c r="AL223" s="404"/>
      <c r="AM223" s="398">
        <f>IF(AL223=0,0,IF(LEN(X223)=11,_xlfn.XLOOKUP(X223,'Dispensed Ink Rates'!C:C,'Dispensed Ink Rates'!CS:CS),VLOOKUP(X223,'Jan-2026 rates'!$E:$F,2,0)))</f>
        <v>0</v>
      </c>
      <c r="AN223" s="404"/>
      <c r="AO223" s="398">
        <f>IF(AN223=0,0,IF(LEN(Y223)=11,_xlfn.XLOOKUP(Y223,'Dispensed Ink Rates'!C:C,'Dispensed Ink Rates'!CS:CS),VLOOKUP(Y223,'Jan-2026 rates'!$E:$F,2,0)))</f>
        <v>0</v>
      </c>
      <c r="AP223" s="409" t="s">
        <v>1443</v>
      </c>
      <c r="AQ223" s="409">
        <v>25</v>
      </c>
      <c r="AR223" s="410">
        <f t="shared" si="159"/>
        <v>0</v>
      </c>
      <c r="AS223" s="411">
        <f t="shared" si="160"/>
        <v>17.333333333333329</v>
      </c>
      <c r="AT223" s="410">
        <f t="shared" si="161"/>
        <v>0</v>
      </c>
      <c r="AU223" s="405" t="s">
        <v>546</v>
      </c>
      <c r="AV223" s="409" t="s">
        <v>3881</v>
      </c>
      <c r="AW223" s="420" t="str">
        <f t="shared" si="183"/>
        <v>FLINTSL - REFLEX BLUE</v>
      </c>
      <c r="AX223" s="409">
        <v>25</v>
      </c>
      <c r="AY223" s="411">
        <f>IF(AX223=0,0,IF($LB223=70%,VLOOKUP($AW223,'Jan-2026 rates'!$L:$R,4,0),IF($LB223=65%,VLOOKUP($AW223,'Jan-2026 rates'!$L:$R,4,0),IF($LB223=40%,VLOOKUP($AW223,'Jan-2026 rates'!$L:$R,5,0),IF($LB223=30%,VLOOKUP($AW223,'Jan-2026 rates'!$L:$R,6,0),IF($LB223=100%,VLOOKUP($AW223,'Jan-2026 rates'!$L:$R,7,0),IF($LB223=60%,VLOOKUP($AW223,'Jan-2026 rates'!$L:$S,8,0),IF($LB223=80%,VLOOKUP($AW223,'Jan-2026 rates'!L:T,9,0),0))))))))</f>
        <v>0</v>
      </c>
      <c r="AZ223" s="412"/>
      <c r="BA223" s="409"/>
      <c r="BB223" s="411">
        <f>IF(BA223=0,0,IF($LB223=70%,VLOOKUP($AW223,'Jan-2026 rates'!$L:$R,4,0),IF($LB223=65%,VLOOKUP($AW223,'Jan-2026 rates'!$L:$R,4,0),IF($LB223=40%,VLOOKUP($AW223,'Jan-2026 rates'!$L:$R,5,0),IF($LB223=30%,VLOOKUP($AW223,'Jan-2026 rates'!$L:$R,6,0),IF($LB223=100%,VLOOKUP($AW223,'Jan-2026 rates'!$L:$R,7,0),IF($LB223=60%,VLOOKUP($AW223,'Jan-2026 rates'!$L:$S,8,0),IF($LB223=80%,VLOOKUP($AW223,'Jan-2026 rates'!L:T,9,0),0))))))))</f>
        <v>0</v>
      </c>
      <c r="BC223" s="413">
        <v>26516000018</v>
      </c>
      <c r="BD223" s="412"/>
      <c r="BE223" s="412"/>
      <c r="BF223" s="413"/>
      <c r="BG223" s="412"/>
      <c r="BH223" s="412"/>
      <c r="BI223" s="412"/>
      <c r="BJ223" s="412"/>
      <c r="BK223" s="409">
        <v>2</v>
      </c>
      <c r="BL223" s="398" t="e">
        <f>IF(BK223=0,0,IF(LEN(BC223)=11,_xlfn.XLOOKUP(BC223,'Dispensed Ink Rates'!C:C,'Dispensed Ink Rates'!CS:CS),VLOOKUP(BC223,'Jan-2026 rates'!$E:$F,2,0)))</f>
        <v>#N/A</v>
      </c>
      <c r="BM223" s="409"/>
      <c r="BN223" s="398">
        <f>IF(BM223=0,0,IF(LEN(BD223)=11,_xlfn.XLOOKUP(BD223,'Dispensed Ink Rates'!C:C,'Dispensed Ink Rates'!CS:CS),VLOOKUP(BD223,'Jan-2026 rates'!$E:$F,2,0)))</f>
        <v>0</v>
      </c>
      <c r="BO223" s="409"/>
      <c r="BP223" s="398">
        <f>IF(BO223=0,0,IF(LEN(BE223)=11,_xlfn.XLOOKUP(BE223,'Dispensed Ink Rates'!C:C,'Dispensed Ink Rates'!CS:CS),VLOOKUP(BE223,'Jan-2026 rates'!$E:$F,2,0)))</f>
        <v>0</v>
      </c>
      <c r="BQ223" s="409"/>
      <c r="BR223" s="398">
        <f>IF(BQ223=0,0,IF(LEN(BF223)=11,_xlfn.XLOOKUP(BF223,'Dispensed Ink Rates'!C:C,'Dispensed Ink Rates'!CS:CS),VLOOKUP(BF223,'Jan-2026 rates'!$E:$F,2,0)))</f>
        <v>0</v>
      </c>
      <c r="BS223" s="409"/>
      <c r="BT223" s="398">
        <f>IF(BS223=0,0,IF(LEN(BG223)=11,_xlfn.XLOOKUP(BG223,'Dispensed Ink Rates'!C:C,'Dispensed Ink Rates'!CS:CS),VLOOKUP(BG223,'Jan-2026 rates'!$E:$F,2,0)))</f>
        <v>0</v>
      </c>
      <c r="BU223" s="409"/>
      <c r="BV223" s="398">
        <f>IF(BU223=0,0,IF(LEN(BH223)=11,_xlfn.XLOOKUP(BH223,'Dispensed Ink Rates'!C:C,'Dispensed Ink Rates'!CS:CS),VLOOKUP(BH223,'Jan-2026 rates'!$E:$F,2,0)))</f>
        <v>0</v>
      </c>
      <c r="BW223" s="409"/>
      <c r="BX223" s="398">
        <f>IF(BW223=0,0,IF(LEN(BI223)=11,_xlfn.XLOOKUP(BI223,'Dispensed Ink Rates'!C:C,'Dispensed Ink Rates'!CS:CS),VLOOKUP(BI223,'Jan-2026 rates'!$E:$F,2,0)))</f>
        <v>0</v>
      </c>
      <c r="BY223" s="409"/>
      <c r="BZ223" s="398">
        <f>IF(BY223=0,0,IF(LEN(BJ223)=11,_xlfn.XLOOKUP(BJ223,'Dispensed Ink Rates'!C:C,'Dispensed Ink Rates'!CS:CS),VLOOKUP(BJ223,'Jan-2026 rates'!$E:$F,2,0)))</f>
        <v>0</v>
      </c>
      <c r="CA223" s="409" t="s">
        <v>1443</v>
      </c>
      <c r="CB223" s="409">
        <v>26</v>
      </c>
      <c r="CC223" s="411">
        <f t="shared" si="162"/>
        <v>0</v>
      </c>
      <c r="CD223" s="411">
        <f t="shared" si="163"/>
        <v>9.3333333333333286</v>
      </c>
      <c r="CE223" s="410">
        <f t="shared" si="164"/>
        <v>0</v>
      </c>
      <c r="CF223" s="404" t="s">
        <v>547</v>
      </c>
      <c r="CG223" s="409" t="s">
        <v>3882</v>
      </c>
      <c r="CH223" s="420" t="str">
        <f t="shared" si="132"/>
        <v>FLINTSL - GREEN</v>
      </c>
      <c r="CI223" s="409">
        <v>29</v>
      </c>
      <c r="CJ223" s="411">
        <f>IF(CI223=0,0,IF($LB223=70%,VLOOKUP($CH223,'Jan-2026 rates'!$L:$R,4,0),IF($LB223=65%,VLOOKUP($CH223,'Jan-2026 rates'!$L:$R,4,0),IF($LB223=40%,VLOOKUP($CH223,'Jan-2026 rates'!$L:$R,5,0),IF($LB223=30%,VLOOKUP($CH223,'Jan-2026 rates'!$L:$R,6,0),IF($LB223=100%,VLOOKUP($CH223,'Jan-2026 rates'!$L:$R,7,0),IF($LB223=60%,VLOOKUP($CH223,'Jan-2026 rates'!$L:$S,8,0),IF($LB223=80%,VLOOKUP($CH223,'Jan-2026 rates'!L:T,9,0),0))))))))</f>
        <v>0</v>
      </c>
      <c r="CK223" s="412"/>
      <c r="CL223" s="409"/>
      <c r="CM223" s="411">
        <f>IF(CL223=0,0,IF($LB223=70%,VLOOKUP($CH223,'Jan-2026 rates'!$L:$R,4,0),IF($LB223=65%,VLOOKUP($CH223,'Jan-2026 rates'!$L:$R,4,0),IF($LB223=40%,VLOOKUP($CH223,'Jan-2026 rates'!$L:$R,5,0),IF($LB223=30%,VLOOKUP($CH223,'Jan-2026 rates'!$L:$R,6,0),IF($LB223=100%,VLOOKUP($CH223,'Jan-2026 rates'!$L:$R,7,0),IF($LB223=60%,VLOOKUP($CH223,'Jan-2026 rates'!$L:$S,8,0),IF($LB223=80%,VLOOKUP($CH223,'Jan-2026 rates'!L:T,9,0),0))))))))</f>
        <v>0</v>
      </c>
      <c r="CN223" s="426">
        <v>26516000015</v>
      </c>
      <c r="CO223" s="427"/>
      <c r="CP223" s="426"/>
      <c r="CQ223" s="426"/>
      <c r="CR223" s="428"/>
      <c r="CS223" s="428"/>
      <c r="CT223" s="428"/>
      <c r="CU223" s="428"/>
      <c r="CV223" s="409">
        <v>6</v>
      </c>
      <c r="CW223" s="398" t="e">
        <f>IF(CV223=0,0,IF(LEN(CN223)=11,_xlfn.XLOOKUP(CN223,'Dispensed Ink Rates'!C:C,'Dispensed Ink Rates'!CS:CS),VLOOKUP(CN223,'Jan-2026 rates'!$E:$F,2,0)))</f>
        <v>#N/A</v>
      </c>
      <c r="CX223" s="409"/>
      <c r="CY223" s="398">
        <f>IF(CX223=0,0,IF(LEN(CO223)=11,_xlfn.XLOOKUP(CO223,'Dispensed Ink Rates'!C:C,'Dispensed Ink Rates'!CS:CS),VLOOKUP(CO223,'Jan-2026 rates'!$E:$F,2,0)))</f>
        <v>0</v>
      </c>
      <c r="CZ223" s="409"/>
      <c r="DA223" s="398">
        <f>IF(CZ223=0,0,IF(LEN(CP223)=11,_xlfn.XLOOKUP(CP223,'Dispensed Ink Rates'!C:C,'Dispensed Ink Rates'!CS:CS),VLOOKUP(CP223,'Jan-2026 rates'!$E:$F,2,0)))</f>
        <v>0</v>
      </c>
      <c r="DB223" s="409"/>
      <c r="DC223" s="398">
        <f>IF(DB223=0,0,IF(LEN(CQ223)=11,_xlfn.XLOOKUP(CQ223,'Dispensed Ink Rates'!C:C,'Dispensed Ink Rates'!CS:CS),VLOOKUP(CQ223,'Jan-2026 rates'!$E:$F,2,0)))</f>
        <v>0</v>
      </c>
      <c r="DD223" s="409"/>
      <c r="DE223" s="398">
        <f>IF(DD223=0,0,IF(LEN(CR223)=11,_xlfn.XLOOKUP(CR223,'Dispensed Ink Rates'!C:C,'Dispensed Ink Rates'!CS:CS),VLOOKUP(CR223,'Jan-2026 rates'!$E:$F,2,0)))</f>
        <v>0</v>
      </c>
      <c r="DF223" s="409"/>
      <c r="DG223" s="398">
        <f>IF(DF223=0,0,IF(LEN(CS223)=11,_xlfn.XLOOKUP(CS223,'Dispensed Ink Rates'!C:C,'Dispensed Ink Rates'!CS:CS),VLOOKUP(CS223,'Jan-2026 rates'!$E:$F,2,0)))</f>
        <v>0</v>
      </c>
      <c r="DH223" s="409"/>
      <c r="DI223" s="398">
        <f>IF(DH223=0,0,IF(LEN(CT223)=11,_xlfn.XLOOKUP(CT223,'Dispensed Ink Rates'!C:C,'Dispensed Ink Rates'!CS:CS),VLOOKUP(CT223,'Jan-2026 rates'!$E:$F,2,0)))</f>
        <v>0</v>
      </c>
      <c r="DJ223" s="409"/>
      <c r="DK223" s="398">
        <f>IF(DJ223=0,0,IF(LEN(CU223)=11,_xlfn.XLOOKUP(CU223,'Dispensed Ink Rates'!C:C,'Dispensed Ink Rates'!CS:CS),VLOOKUP(CU223,'Jan-2026 rates'!$E:$F,2,0)))</f>
        <v>0</v>
      </c>
      <c r="DL223" s="409" t="s">
        <v>1443</v>
      </c>
      <c r="DM223" s="409">
        <v>28</v>
      </c>
      <c r="DN223" s="411">
        <f t="shared" si="165"/>
        <v>0</v>
      </c>
      <c r="DO223" s="411">
        <f t="shared" si="166"/>
        <v>15.333333333333329</v>
      </c>
      <c r="DP223" s="410">
        <f t="shared" si="167"/>
        <v>0</v>
      </c>
      <c r="DQ223" s="405" t="s">
        <v>857</v>
      </c>
      <c r="DR223" s="409" t="s">
        <v>3883</v>
      </c>
      <c r="DS223" s="420" t="str">
        <f t="shared" si="133"/>
        <v>FLINTSL - RED</v>
      </c>
      <c r="DT223" s="409">
        <v>30</v>
      </c>
      <c r="DU223" s="411">
        <f>IF(DT223=0,0,IF($LB223=70%,VLOOKUP($DS223,'Jan-2026 rates'!$L:$R,4,0),IF($LB223=65%,VLOOKUP($DS223,'Jan-2026 rates'!$L:$R,4,0),IF($LB223=40%,VLOOKUP($DS223,'Jan-2026 rates'!$L:$R,5,0),IF($LB223=30%,VLOOKUP($DS223,'Jan-2026 rates'!$L:$R,6,0),IF($LB223=100%,VLOOKUP($DS223,'Jan-2026 rates'!$L:$R,7,0),IF($LB223=60%,VLOOKUP($DS223,'Jan-2026 rates'!$L:$S,8,0),IF($LB223=80%,VLOOKUP($DS223,'Jan-2026 rates'!L:T,9,0),0))))))))</f>
        <v>0</v>
      </c>
      <c r="DV223" s="412"/>
      <c r="DW223" s="409"/>
      <c r="DX223" s="411">
        <f>IF(DW223=0,0,IF($LB223=70%,VLOOKUP($DS223,'Jan-2026 rates'!$L:$R,4,0),IF($LB223=65%,VLOOKUP($DS223,'Jan-2026 rates'!$L:$R,4,0),IF($LB223=40%,VLOOKUP($DS223,'Jan-2026 rates'!$L:$R,5,0),IF($LB223=30%,VLOOKUP($DS223,'Jan-2026 rates'!$L:$R,6,0),IF($LB223=100%,VLOOKUP($DS223,'Jan-2026 rates'!$L:$R,7,0),IF($LB223=60%,VLOOKUP($DS223,'Jan-2026 rates'!$L:$S,8,0),IF($LB223=80%,VLOOKUP($DS223,'Jan-2026 rates'!L:T,9,0),0))))))))</f>
        <v>0</v>
      </c>
      <c r="DY223" s="413">
        <v>26516000011</v>
      </c>
      <c r="DZ223" s="413">
        <v>26517000020</v>
      </c>
      <c r="EA223" s="412"/>
      <c r="EB223" s="412"/>
      <c r="EC223" s="412"/>
      <c r="ED223" s="412"/>
      <c r="EE223" s="412"/>
      <c r="EF223" s="412"/>
      <c r="EG223" s="409">
        <v>8</v>
      </c>
      <c r="EH223" s="398" t="e">
        <f>IF(EG223=0,0,IF(LEN(DY223)=11,_xlfn.XLOOKUP(DY223,'Dispensed Ink Rates'!C:C,'Dispensed Ink Rates'!CS:CS),VLOOKUP(DY223,'Jan-2026 rates'!$E:$F,2,0)))</f>
        <v>#N/A</v>
      </c>
      <c r="EI223" s="409">
        <v>4</v>
      </c>
      <c r="EJ223" s="398" t="e">
        <f>IF(EI223=0,0,IF(LEN(DZ223)=11,_xlfn.XLOOKUP(DZ223,'Dispensed Ink Rates'!C:C,'Dispensed Ink Rates'!CS:CS),VLOOKUP(DZ223,'Jan-2026 rates'!$E:$F,2,0)))</f>
        <v>#N/A</v>
      </c>
      <c r="EK223" s="409"/>
      <c r="EL223" s="398">
        <f>IF(EK223=0,0,IF(LEN(EA223)=11,_xlfn.XLOOKUP(EA223,'Dispensed Ink Rates'!C:C,'Dispensed Ink Rates'!CS:CS),VLOOKUP(EA223,'Jan-2026 rates'!$E:$F,2,0)))</f>
        <v>0</v>
      </c>
      <c r="EM223" s="409"/>
      <c r="EN223" s="398">
        <f>IF(EM223=0,0,IF(LEN(EB223)=11,_xlfn.XLOOKUP(EB223,'Dispensed Ink Rates'!C:C,'Dispensed Ink Rates'!CS:CS),VLOOKUP(EB223,'Jan-2026 rates'!$E:$F,2,0)))</f>
        <v>0</v>
      </c>
      <c r="EO223" s="409"/>
      <c r="EP223" s="398">
        <f>IF(EO223=0,0,IF(LEN(EC223)=11,_xlfn.XLOOKUP(EC223,'Dispensed Ink Rates'!C:C,'Dispensed Ink Rates'!CS:CS),VLOOKUP(EC223,'Jan-2026 rates'!$E:$F,2,0)))</f>
        <v>0</v>
      </c>
      <c r="EQ223" s="409"/>
      <c r="ER223" s="398">
        <f>IF(EQ223=0,0,IF(LEN(ED223)=11,_xlfn.XLOOKUP(ED223,'Dispensed Ink Rates'!C:C,'Dispensed Ink Rates'!CS:CS),VLOOKUP(ED223,'Jan-2026 rates'!$E:$F,2,0)))</f>
        <v>0</v>
      </c>
      <c r="ES223" s="409"/>
      <c r="ET223" s="398">
        <f>IF(ES223=0,0,IF(LEN(EE223)=11,_xlfn.XLOOKUP(EE223,'Dispensed Ink Rates'!C:C,'Dispensed Ink Rates'!CS:CS),VLOOKUP(EE223,'Jan-2026 rates'!$E:$F,2,0)))</f>
        <v>0</v>
      </c>
      <c r="EU223" s="409"/>
      <c r="EV223" s="398">
        <f>IF(EU223=0,0,IF(LEN(EF223)=11,_xlfn.XLOOKUP(EF223,'Dispensed Ink Rates'!C:C,'Dispensed Ink Rates'!CS:CS),VLOOKUP(EF223,'Jan-2026 rates'!$E:$F,2,0)))</f>
        <v>0</v>
      </c>
      <c r="EW223" s="409" t="s">
        <v>1443</v>
      </c>
      <c r="EX223" s="409">
        <v>29</v>
      </c>
      <c r="EY223" s="411">
        <f t="shared" si="168"/>
        <v>0</v>
      </c>
      <c r="EZ223" s="411">
        <f t="shared" si="169"/>
        <v>21.333333333333329</v>
      </c>
      <c r="FA223" s="410">
        <f t="shared" si="170"/>
        <v>0</v>
      </c>
      <c r="FB223" s="405" t="s">
        <v>855</v>
      </c>
      <c r="FC223" s="409" t="s">
        <v>3884</v>
      </c>
      <c r="FD223" s="420" t="str">
        <f t="shared" si="134"/>
        <v>FLINTSL - CYAN</v>
      </c>
      <c r="FE223" s="409">
        <v>29</v>
      </c>
      <c r="FF223" s="411">
        <f>IF(FE223=0,0,IF($LB223=70%,VLOOKUP($FD223,'Jan-2026 rates'!$L:$R,4,0),IF($LB223=65%,VLOOKUP($FD223,'Jan-2026 rates'!$L:$R,4,0),IF($LB223=40%,VLOOKUP($FD223,'Jan-2026 rates'!$L:$R,5,0),IF($LB223=30%,VLOOKUP($FD223,'Jan-2026 rates'!$L:$R,6,0),IF($LB223=100%,VLOOKUP($FD223,'Jan-2026 rates'!$L:$R,7,0),IF($LB223=60%,VLOOKUP($FD223,'Jan-2026 rates'!$L:$S,8,0),IF($LB223=80%,VLOOKUP($FD223,'Jan-2026 rates'!L:T,9,0),0))))))))</f>
        <v>0</v>
      </c>
      <c r="FG223" s="412"/>
      <c r="FH223" s="409"/>
      <c r="FI223" s="411">
        <f>IF(FH223=0,0,IF($LB223=70%,VLOOKUP($FD223,'Jan-2026 rates'!$L:$R,4,0),IF($LB223=65%,VLOOKUP($FD223,'Jan-2026 rates'!$L:$R,4,0),IF($LB223=40%,VLOOKUP($FD223,'Jan-2026 rates'!$L:$R,5,0),IF($LB223=30%,VLOOKUP($FD223,'Jan-2026 rates'!$L:$R,6,0),IF($LB223=100%,VLOOKUP($FD223,'Jan-2026 rates'!$L:$R,7,0),IF($LB223=60%,VLOOKUP($FD223,'Jan-2026 rates'!$L:$S,8,0),IF($LB223=80%,VLOOKUP($FD223,'Jan-2026 rates'!L:T,9,0),0))))))))</f>
        <v>0</v>
      </c>
      <c r="FJ223" s="413">
        <v>26515000029</v>
      </c>
      <c r="FK223" s="413" t="s">
        <v>1266</v>
      </c>
      <c r="FL223" s="413"/>
      <c r="FM223" s="412"/>
      <c r="FN223" s="412"/>
      <c r="FO223" s="412"/>
      <c r="FP223" s="412"/>
      <c r="FQ223" s="412"/>
      <c r="FR223" s="409">
        <v>25</v>
      </c>
      <c r="FS223" s="398" t="e">
        <f>IF(FR223=0,0,IF(LEN(FJ223)=11,_xlfn.XLOOKUP(FJ223,'Dispensed Ink Rates'!C:C,'Dispensed Ink Rates'!CS:CS),VLOOKUP(FJ223,'Jan-2026 rates'!$E:$F,2,0)))</f>
        <v>#N/A</v>
      </c>
      <c r="FT223" s="409">
        <v>7</v>
      </c>
      <c r="FU223" s="398">
        <f>IF(FT223=0,0,IF(LEN(FK223)=11,_xlfn.XLOOKUP(FK223,'Dispensed Ink Rates'!C:C,'Dispensed Ink Rates'!CS:CS),VLOOKUP(FK223,'Jan-2026 rates'!$E:$F,2,0)))</f>
        <v>0</v>
      </c>
      <c r="FV223" s="409"/>
      <c r="FW223" s="398">
        <f>IF(FV223=0,0,IF(LEN(FL223)=11,_xlfn.XLOOKUP(FL223,'Dispensed Ink Rates'!C:C,'Dispensed Ink Rates'!CS:CS),VLOOKUP(FL223,'Jan-2026 rates'!$E:$F,2,0)))</f>
        <v>0</v>
      </c>
      <c r="FX223" s="409"/>
      <c r="FY223" s="398">
        <f>IF(FX223=0,0,IF(LEN(FM223)=11,_xlfn.XLOOKUP(FM223,'Dispensed Ink Rates'!C:C,'Dispensed Ink Rates'!CS:CS),VLOOKUP(FM223,'Jan-2026 rates'!$E:$F,2,0)))</f>
        <v>0</v>
      </c>
      <c r="FZ223" s="409"/>
      <c r="GA223" s="398">
        <f>IF(FZ223=0,0,IF(LEN(FN223)=11,_xlfn.XLOOKUP(FN223,'Dispensed Ink Rates'!C:C,'Dispensed Ink Rates'!CS:CS),VLOOKUP(FN223,'Jan-2026 rates'!$E:$F,2,0)))</f>
        <v>0</v>
      </c>
      <c r="GB223" s="409"/>
      <c r="GC223" s="398">
        <f>IF(GB223=0,0,IF(LEN(FO223)=11,_xlfn.XLOOKUP(FO223,'Dispensed Ink Rates'!C:C,'Dispensed Ink Rates'!CS:CS),VLOOKUP(FO223,'Jan-2026 rates'!$E:$F,2,0)))</f>
        <v>0</v>
      </c>
      <c r="GD223" s="409"/>
      <c r="GE223" s="398">
        <f>IF(GD223=0,0,IF(LEN(FP223)=11,_xlfn.XLOOKUP(FP223,'Dispensed Ink Rates'!C:C,'Dispensed Ink Rates'!CS:CS),VLOOKUP(FP223,'Jan-2026 rates'!$E:$F,2,0)))</f>
        <v>0</v>
      </c>
      <c r="GF223" s="409"/>
      <c r="GG223" s="398">
        <f>IF(GF223=0,0,IF(LEN(FQ223)=11,_xlfn.XLOOKUP(FQ223,'Dispensed Ink Rates'!C:C,'Dispensed Ink Rates'!CS:CS),VLOOKUP(FQ223,'Jan-2026 rates'!$E:$F,2,0)))</f>
        <v>0</v>
      </c>
      <c r="GH223" s="409" t="s">
        <v>1443</v>
      </c>
      <c r="GI223" s="409">
        <v>33</v>
      </c>
      <c r="GJ223" s="411">
        <f t="shared" si="171"/>
        <v>0</v>
      </c>
      <c r="GK223" s="411">
        <f t="shared" si="172"/>
        <v>61.333333333333329</v>
      </c>
      <c r="GL223" s="410">
        <f t="shared" si="173"/>
        <v>0</v>
      </c>
      <c r="GM223" s="405" t="s">
        <v>544</v>
      </c>
      <c r="GN223" s="409" t="s">
        <v>3885</v>
      </c>
      <c r="GO223" s="420" t="str">
        <f t="shared" si="135"/>
        <v>FLINTSL - MAGENTA</v>
      </c>
      <c r="GP223" s="409">
        <v>30</v>
      </c>
      <c r="GQ223" s="411">
        <f>IF(GP223=0,0,IF($LB223=70%,VLOOKUP($GO223,'Jan-2026 rates'!$L:$R,4,0),IF($LB223=65%,VLOOKUP($GO223,'Jan-2026 rates'!$L:$R,4,0),IF($LB223=40%,VLOOKUP($GO223,'Jan-2026 rates'!$L:$R,5,0),IF($LB223=30%,VLOOKUP($GO223,'Jan-2026 rates'!$L:$R,6,0),IF($LB223=100%,VLOOKUP($GO223,'Jan-2026 rates'!$L:$R,7,0),IF($LB223=60%,VLOOKUP($GO223,'Jan-2026 rates'!$L:$S,8,0),IF($LB223=80%,VLOOKUP($GO223,'Jan-2026 rates'!L:T,9,0),0))))))))</f>
        <v>0</v>
      </c>
      <c r="GR223" s="412"/>
      <c r="GS223" s="409"/>
      <c r="GT223" s="411">
        <f>IF(GS223=0,0,IF($LB223=70%,VLOOKUP($GO223,'Jan-2026 rates'!$L:$R,4,0),IF($LB223=65%,VLOOKUP($GO223,'Jan-2026 rates'!$L:$R,4,0),IF($LB223=40%,VLOOKUP($GO223,'Jan-2026 rates'!$L:$R,5,0),IF($LB223=30%,VLOOKUP($GO223,'Jan-2026 rates'!$L:$R,6,0),IF($LB223=100%,VLOOKUP($GO223,'Jan-2026 rates'!$L:$R,7,0),IF($LB223=60%,VLOOKUP($GO223,'Jan-2026 rates'!$L:$S,8,0),IF($LB223=80%,VLOOKUP($GO223,'Jan-2026 rates'!L:T,9,0),0))))))))</f>
        <v>0</v>
      </c>
      <c r="GU223" s="413">
        <v>26517000020</v>
      </c>
      <c r="GV223" s="413"/>
      <c r="GW223" s="412"/>
      <c r="GX223" s="412"/>
      <c r="GY223" s="412"/>
      <c r="GZ223" s="412"/>
      <c r="HA223" s="412"/>
      <c r="HB223" s="412"/>
      <c r="HC223" s="409">
        <v>7</v>
      </c>
      <c r="HD223" s="398" t="e">
        <f>IF(HC223=0,0,IF(LEN(GU223)=11,_xlfn.XLOOKUP(GU223,'Dispensed Ink Rates'!C:C,'Dispensed Ink Rates'!CS:CS),VLOOKUP(GU223,'Jan-2026 rates'!$E:$F,2,0)))</f>
        <v>#N/A</v>
      </c>
      <c r="HE223" s="409"/>
      <c r="HF223" s="398">
        <f>IF(HE223=0,0,IF(LEN(GV223)=11,_xlfn.XLOOKUP(GV223,'Dispensed Ink Rates'!C:C,'Dispensed Ink Rates'!CS:CS),VLOOKUP(GV223,'Jan-2026 rates'!$E:$F,2,0)))</f>
        <v>0</v>
      </c>
      <c r="HG223" s="409"/>
      <c r="HH223" s="398">
        <f>IF(HG223=0,0,IF(LEN(GW223)=11,_xlfn.XLOOKUP(GW223,'Dispensed Ink Rates'!C:C,'Dispensed Ink Rates'!CS:CS),VLOOKUP(GW223,'Jan-2026 rates'!$E:$F,2,0)))</f>
        <v>0</v>
      </c>
      <c r="HI223" s="409"/>
      <c r="HJ223" s="398">
        <f>IF(HI223=0,0,IF(LEN(GX223)=11,_xlfn.XLOOKUP(GX223,'Dispensed Ink Rates'!C:C,'Dispensed Ink Rates'!CS:CS),VLOOKUP(GX223,'Jan-2026 rates'!$E:$F,2,0)))</f>
        <v>0</v>
      </c>
      <c r="HK223" s="409"/>
      <c r="HL223" s="398">
        <f>IF(HK223=0,0,IF(LEN(GY223)=11,_xlfn.XLOOKUP(GY223,'Dispensed Ink Rates'!C:C,'Dispensed Ink Rates'!CS:CS),VLOOKUP(GY223,'Jan-2026 rates'!$E:$F,2,0)))</f>
        <v>0</v>
      </c>
      <c r="HM223" s="409"/>
      <c r="HN223" s="398">
        <f>IF(HM223=0,0,IF(LEN(GZ223)=11,_xlfn.XLOOKUP(GZ223,'Dispensed Ink Rates'!C:C,'Dispensed Ink Rates'!CS:CS),VLOOKUP(GZ223,'Jan-2026 rates'!$E:$F,2,0)))</f>
        <v>0</v>
      </c>
      <c r="HO223" s="409"/>
      <c r="HP223" s="398">
        <f>IF(HO223=0,0,IF(LEN(HA223)=11,_xlfn.XLOOKUP(HA223,'Dispensed Ink Rates'!C:C,'Dispensed Ink Rates'!CS:CS),VLOOKUP(HA223,'Jan-2026 rates'!$E:$F,2,0)))</f>
        <v>0</v>
      </c>
      <c r="HQ223" s="409"/>
      <c r="HR223" s="398">
        <f>IF(HQ223=0,0,IF(LEN(HB223)=11,_xlfn.XLOOKUP(HB223,'Dispensed Ink Rates'!C:C,'Dispensed Ink Rates'!CS:CS),VLOOKUP(HB223,'Jan-2026 rates'!$E:$F,2,0)))</f>
        <v>0</v>
      </c>
      <c r="HS223" s="409" t="s">
        <v>1443</v>
      </c>
      <c r="HT223" s="409">
        <v>33</v>
      </c>
      <c r="HU223" s="411">
        <f t="shared" si="174"/>
        <v>0</v>
      </c>
      <c r="HV223" s="411">
        <f t="shared" si="175"/>
        <v>12.333333333333329</v>
      </c>
      <c r="HW223" s="414">
        <f t="shared" si="176"/>
        <v>0</v>
      </c>
      <c r="HX223" s="405" t="s">
        <v>545</v>
      </c>
      <c r="HY223" s="409" t="s">
        <v>3886</v>
      </c>
      <c r="HZ223" s="420" t="str">
        <f t="shared" si="136"/>
        <v>FLINTSL - YELLOW</v>
      </c>
      <c r="IA223" s="409">
        <v>24</v>
      </c>
      <c r="IB223" s="411">
        <f>IF(IA223=0,0,IF($LB223=70%,VLOOKUP($HZ223,'Jan-2026 rates'!$L:$R,4,0),IF($LB223=65%,VLOOKUP($HZ223,'Jan-2026 rates'!$L:$R,4,0),IF($LB223=40%,VLOOKUP($HZ223,'Jan-2026 rates'!$L:$R,5,0),IF($LB223=30%,VLOOKUP($HZ223,'Jan-2026 rates'!$L:$R,6,0),IF($LB223=100%,VLOOKUP($HZ223,'Jan-2026 rates'!$L:$R,7,0),IF($LB223=60%,VLOOKUP($HZ223,'Jan-2026 rates'!$L:$S,8,0),IF($LB223=80%,VLOOKUP($HZ223,'Jan-2026 rates'!L:T,9,0),0))))))))</f>
        <v>0</v>
      </c>
      <c r="IC223" s="412"/>
      <c r="ID223" s="409"/>
      <c r="IE223" s="411">
        <f>IF(ID223=0,0,IF($LB223=70%,VLOOKUP($HZ223,'Jan-2026 rates'!$L:$R,4,0),IF($LB223=65%,VLOOKUP($HZ223,'Jan-2026 rates'!$L:$R,4,0),IF($LB223=40%,VLOOKUP($HZ223,'Jan-2026 rates'!$L:$R,5,0),IF($LB223=30%,VLOOKUP($HZ223,'Jan-2026 rates'!$L:$R,6,0),IF($LB223=100%,VLOOKUP($HZ223,'Jan-2026 rates'!$L:$R,7,0),IF($LB223=60%,VLOOKUP($HZ223,'Jan-2026 rates'!$L:$S,8,0),IF($LB223=80%,VLOOKUP($HZ223,'Jan-2026 rates'!L:T,9,0),0))))))))</f>
        <v>0</v>
      </c>
      <c r="IF223" s="412">
        <v>26516000022</v>
      </c>
      <c r="IG223" s="413">
        <v>26516000023</v>
      </c>
      <c r="IH223" s="412">
        <v>26516000015</v>
      </c>
      <c r="II223" s="412" t="s">
        <v>1266</v>
      </c>
      <c r="IJ223" s="412"/>
      <c r="IK223" s="412"/>
      <c r="IL223" s="412"/>
      <c r="IM223" s="412"/>
      <c r="IN223" s="409">
        <v>40</v>
      </c>
      <c r="IO223" s="433" t="e">
        <f>IF(IN223=0,0,IF(LEN(IF223)=11,_xlfn.XLOOKUP(IF223,'Dispensed Ink Rates'!C:C,'Dispensed Ink Rates'!CS:CS),VLOOKUP(IF223,'Jan-2026 rates'!$E:$F,2,0)))</f>
        <v>#N/A</v>
      </c>
      <c r="IP223" s="409">
        <v>35</v>
      </c>
      <c r="IQ223" s="433" t="e">
        <f>IF(IP223=0,0,IF(LEN(IG223)=11,_xlfn.XLOOKUP(IG223,'Dispensed Ink Rates'!C:C,'Dispensed Ink Rates'!CS:CS),VLOOKUP(IG223,'Jan-2026 rates'!$E:$F,2,0)))</f>
        <v>#N/A</v>
      </c>
      <c r="IR223" s="409">
        <f>10+6</f>
        <v>16</v>
      </c>
      <c r="IS223" s="398" t="e">
        <f>IF(IR223=0,0,IF(LEN(IH223)=11,_xlfn.XLOOKUP(IH223,'Dispensed Ink Rates'!C:C,'Dispensed Ink Rates'!CS:CS),VLOOKUP(IH223,'Jan-2026 rates'!$E:$F,2,0)))</f>
        <v>#N/A</v>
      </c>
      <c r="IT223" s="409">
        <v>7</v>
      </c>
      <c r="IU223" s="398">
        <f>IF(IT223=0,0,IF(LEN(II223)=11,_xlfn.XLOOKUP(II223,'Dispensed Ink Rates'!C:C,'Dispensed Ink Rates'!CS:CS),VLOOKUP(II223,'Jan-2026 rates'!$E:$F,2,0)))</f>
        <v>0</v>
      </c>
      <c r="IV223" s="409"/>
      <c r="IW223" s="398">
        <f>IF(IV223=0,0,IF(LEN(IJ223)=11,_xlfn.XLOOKUP(IJ223,'Dispensed Ink Rates'!C:C,'Dispensed Ink Rates'!CS:CS),VLOOKUP(IJ223,'Jan-2026 rates'!$E:$F,2,0)))</f>
        <v>0</v>
      </c>
      <c r="IX223" s="409"/>
      <c r="IY223" s="398">
        <f>IF(IX223=0,0,IF(LEN(IK223)=11,_xlfn.XLOOKUP(IK223,'Dispensed Ink Rates'!C:C,'Dispensed Ink Rates'!CS:CS),VLOOKUP(IK223,'Jan-2026 rates'!$E:$F,2,0)))</f>
        <v>0</v>
      </c>
      <c r="IZ223" s="409"/>
      <c r="JA223" s="398">
        <f>IF(IZ223=0,0,IF(LEN(IL223)=11,_xlfn.XLOOKUP(IL223,'Dispensed Ink Rates'!C:C,'Dispensed Ink Rates'!CS:CS),VLOOKUP(IL223,'Jan-2026 rates'!$E:$F,2,0)))</f>
        <v>0</v>
      </c>
      <c r="JB223" s="409"/>
      <c r="JC223" s="398">
        <f>IF(JB223=0,0,IF(LEN(IM223)=11,_xlfn.XLOOKUP(IM223,'Dispensed Ink Rates'!C:C,'Dispensed Ink Rates'!CS:CS),VLOOKUP(IM223,'Jan-2026 rates'!$E:$F,2,0)))</f>
        <v>0</v>
      </c>
      <c r="JD223" s="409" t="s">
        <v>1443</v>
      </c>
      <c r="JE223" s="409">
        <v>24</v>
      </c>
      <c r="JF223" s="411">
        <f t="shared" si="177"/>
        <v>0</v>
      </c>
      <c r="JG223" s="411">
        <f t="shared" si="178"/>
        <v>123</v>
      </c>
      <c r="JH223" s="410">
        <f t="shared" si="179"/>
        <v>0</v>
      </c>
      <c r="JI223" s="405" t="s">
        <v>856</v>
      </c>
      <c r="JJ223" s="409" t="s">
        <v>2385</v>
      </c>
      <c r="JK223" s="420" t="str">
        <f t="shared" si="137"/>
        <v>FLINTSL - WHITE</v>
      </c>
      <c r="JL223" s="409">
        <v>29</v>
      </c>
      <c r="JM223" s="411">
        <f>IF(JL223=0,0,IF($LB223=70%,VLOOKUP($JK223,'Jan-2026 rates'!$L:$R,4,0),IF($LB223=65%,VLOOKUP($JK223,'Jan-2026 rates'!$L:$R,4,0),IF($LB223=40%,VLOOKUP($JK223,'Jan-2026 rates'!$L:$R,5,0),IF($LB223=30%,VLOOKUP($JK223,'Jan-2026 rates'!$L:$R,6,0),IF($LB223=100%,VLOOKUP($JK223,'Jan-2026 rates'!$L:$R,7,0),IF($LB223=60%,VLOOKUP($JK223,'Jan-2026 rates'!$L:$S,8,0),IF($LB223=80%,VLOOKUP($JK223,'Jan-2026 rates'!L:T,9,0),0))))))))</f>
        <v>0</v>
      </c>
      <c r="JN223" s="412"/>
      <c r="JO223" s="409"/>
      <c r="JP223" s="411">
        <f>IF(JO223=0,0,IF($LB223=70%,VLOOKUP($JK223,'Jan-2026 rates'!$L:$R,4,0),IF($LB223=65%,VLOOKUP($JK223,'Jan-2026 rates'!$L:$R,4,0),IF($LB223=40%,VLOOKUP($JK223,'Jan-2026 rates'!$L:$R,5,0),IF($LB223=30%,VLOOKUP($JK223,'Jan-2026 rates'!$L:$R,6,0),IF($LB223=100%,VLOOKUP($JK223,'Jan-2026 rates'!$L:$R,7,0),IF($LB223=60%,VLOOKUP($JK223,'Jan-2026 rates'!$L:$S,8,0),IF($LB223=80%,VLOOKUP($JK223,'Jan-2026 rates'!L:T,9,0),0))))))))</f>
        <v>0</v>
      </c>
      <c r="JQ223" s="413" t="s">
        <v>484</v>
      </c>
      <c r="JR223" s="412"/>
      <c r="JS223" s="413"/>
      <c r="JT223" s="413"/>
      <c r="JU223" s="412"/>
      <c r="JV223" s="412"/>
      <c r="JW223" s="412"/>
      <c r="JX223" s="412"/>
      <c r="JY223" s="409">
        <f>100+25</f>
        <v>125</v>
      </c>
      <c r="JZ223" s="398">
        <f>IF(JY223=0,0,IF(LEN(JQ223)=11,_xlfn.XLOOKUP(JQ223,'Dispensed Ink Rates'!C:C,'Dispensed Ink Rates'!CS:CS),VLOOKUP(JQ223,'Jan-2026 rates'!$E:$F,2,0)))</f>
        <v>0</v>
      </c>
      <c r="KA223" s="409"/>
      <c r="KB223" s="398">
        <f>IF(KA223=0,0,IF(LEN(JR223)=11,_xlfn.XLOOKUP(JR223,'Dispensed Ink Rates'!C:C,'Dispensed Ink Rates'!CS:CS),VLOOKUP(JR223,'Jan-2026 rates'!$E:$F,2,0)))</f>
        <v>0</v>
      </c>
      <c r="KC223" s="409"/>
      <c r="KD223" s="398">
        <f>IF(KC223=0,0,IF(LEN(JS223)=11,_xlfn.XLOOKUP(JS223,'Dispensed Ink Rates'!C:C,'Dispensed Ink Rates'!CS:CS),VLOOKUP(JS223,'Jan-2026 rates'!$E:$F,2,0)))</f>
        <v>0</v>
      </c>
      <c r="KE223" s="409"/>
      <c r="KF223" s="398">
        <f>IF(KE223=0,0,IF(LEN(JT223)=11,_xlfn.XLOOKUP(JT223,'Dispensed Ink Rates'!C:C,'Dispensed Ink Rates'!CS:CS),VLOOKUP(JT223,'Jan-2026 rates'!$E:$F,2,0)))</f>
        <v>0</v>
      </c>
      <c r="KG223" s="409"/>
      <c r="KH223" s="398">
        <f>IF(KG223=0,0,IF(LEN(JU223)=11,_xlfn.XLOOKUP(JU223,'Dispensed Ink Rates'!C:C,'Dispensed Ink Rates'!CS:CS),VLOOKUP(JU223,'Jan-2026 rates'!$E:$F,2,0)))</f>
        <v>0</v>
      </c>
      <c r="KI223" s="409"/>
      <c r="KJ223" s="398">
        <f>IF(KI223=0,0,IF(LEN(JV223)=11,_xlfn.XLOOKUP(JV223,'Dispensed Ink Rates'!C:C,'Dispensed Ink Rates'!CS:CS),VLOOKUP(JV223,'Jan-2026 rates'!$E:$F,2,0)))</f>
        <v>0</v>
      </c>
      <c r="KK223" s="409"/>
      <c r="KL223" s="398">
        <f>IF(KK223=0,0,IF(LEN(JW223)=11,_xlfn.XLOOKUP(JW223,'Dispensed Ink Rates'!C:C,'Dispensed Ink Rates'!CS:CS),VLOOKUP(JW223,'Jan-2026 rates'!$E:$F,2,0)))</f>
        <v>0</v>
      </c>
      <c r="KM223" s="428"/>
      <c r="KN223" s="398">
        <f>IF(KM223=0,0,IF(LEN(JX223)=11,_xlfn.XLOOKUP(JX223,'Dispensed Ink Rates'!C:C,'Dispensed Ink Rates'!CS:CS),VLOOKUP(JX223,'Jan-2026 rates'!$E:$F,2,0)))</f>
        <v>0</v>
      </c>
      <c r="KO223" s="409" t="s">
        <v>1443</v>
      </c>
      <c r="KP223" s="409">
        <v>24</v>
      </c>
      <c r="KQ223" s="411">
        <f t="shared" si="180"/>
        <v>0</v>
      </c>
      <c r="KR223" s="411">
        <f t="shared" si="181"/>
        <v>255</v>
      </c>
      <c r="KS223" s="410">
        <f t="shared" si="182"/>
        <v>0</v>
      </c>
      <c r="KT223" s="409">
        <v>5</v>
      </c>
      <c r="KU223" s="409">
        <v>5</v>
      </c>
      <c r="KV223" s="409">
        <v>5</v>
      </c>
      <c r="KW223" s="409">
        <v>5</v>
      </c>
      <c r="KX223" s="409">
        <v>20</v>
      </c>
      <c r="KY223" s="409">
        <v>5</v>
      </c>
      <c r="KZ223" s="409">
        <f>5+10</f>
        <v>15</v>
      </c>
      <c r="LA223" s="409">
        <f>60+15</f>
        <v>75</v>
      </c>
      <c r="LB223" s="415">
        <v>0.8</v>
      </c>
      <c r="LC223" s="415">
        <v>0.2</v>
      </c>
      <c r="LD223" s="415"/>
      <c r="LE223" s="415"/>
      <c r="LF223" s="415"/>
      <c r="LG223" s="409">
        <v>0</v>
      </c>
      <c r="LH223" s="409">
        <f>75+50+80+20</f>
        <v>225</v>
      </c>
      <c r="LI223" s="409">
        <v>0</v>
      </c>
      <c r="LJ223" s="409">
        <v>0</v>
      </c>
      <c r="LK223" s="416">
        <f t="shared" si="138"/>
        <v>225</v>
      </c>
      <c r="LL223" s="416">
        <f t="shared" si="139"/>
        <v>225</v>
      </c>
      <c r="LM223" s="417">
        <f t="shared" si="140"/>
        <v>180</v>
      </c>
      <c r="LN223" s="417">
        <f>VLOOKUP($LM$8,'Jan-2026 rates'!$H:$I,2,0)</f>
        <v>0</v>
      </c>
      <c r="LO223" s="417">
        <f t="shared" si="141"/>
        <v>45</v>
      </c>
      <c r="LP223" s="417">
        <f>VLOOKUP($LO$8,'Jan-2026 rates'!$H:$I,2,0)</f>
        <v>0</v>
      </c>
      <c r="LQ223" s="417">
        <f t="shared" si="142"/>
        <v>0</v>
      </c>
      <c r="LR223" s="417">
        <f>VLOOKUP($LQ$8,'Jan-2026 rates'!$H:$I,2,0)</f>
        <v>0</v>
      </c>
      <c r="LS223" s="417">
        <f t="shared" si="143"/>
        <v>0</v>
      </c>
      <c r="LT223" s="417">
        <f>VLOOKUP($LS$8,'Jan-2026 rates'!$H:$I,2,0)</f>
        <v>0</v>
      </c>
      <c r="LU223" s="417">
        <f t="shared" si="144"/>
        <v>0</v>
      </c>
      <c r="LV223" s="417">
        <f>VLOOKUP($LU$8,'Jan-2026 rates'!$H:$I,2,0)</f>
        <v>0</v>
      </c>
      <c r="LW223" s="417">
        <f t="shared" si="145"/>
        <v>0</v>
      </c>
      <c r="LX223" s="417">
        <f t="shared" si="146"/>
        <v>0</v>
      </c>
      <c r="LY223" s="418">
        <f t="shared" si="147"/>
        <v>0</v>
      </c>
      <c r="LZ223" s="417"/>
      <c r="MA223" s="435">
        <f t="shared" si="148"/>
        <v>288</v>
      </c>
      <c r="MB223" s="282">
        <f t="shared" si="149"/>
        <v>515</v>
      </c>
      <c r="MC223" s="283">
        <v>116</v>
      </c>
      <c r="MD223" s="284" t="str">
        <f t="shared" si="150"/>
        <v>FLINTSLFLINTSLFLINTSLFLINTSLFLINTSLFLINTSLFLINTSLFLINTSL</v>
      </c>
      <c r="ME223" s="293" t="str">
        <f t="shared" si="151"/>
        <v>+</v>
      </c>
      <c r="MF223" s="293" t="str">
        <f t="shared" si="152"/>
        <v>+</v>
      </c>
      <c r="MG223" s="293" t="str">
        <f t="shared" si="153"/>
        <v>+</v>
      </c>
      <c r="MH223" s="293" t="str">
        <f t="shared" si="154"/>
        <v>+</v>
      </c>
      <c r="MI223" s="293" t="str">
        <f t="shared" si="155"/>
        <v>+</v>
      </c>
      <c r="MJ223" s="293" t="str">
        <f t="shared" si="156"/>
        <v>+</v>
      </c>
      <c r="MK223" s="293" t="str">
        <f t="shared" si="157"/>
        <v>+</v>
      </c>
      <c r="ML223" s="293" t="str">
        <f t="shared" si="158"/>
        <v>+</v>
      </c>
      <c r="MM223" s="3" t="b">
        <f t="array" ref="MM223">OR(ME223:ML223="-")</f>
        <v>0</v>
      </c>
      <c r="MN223" s="285"/>
      <c r="MO223" s="401"/>
      <c r="MP223" s="286"/>
      <c r="MQ223" s="286"/>
      <c r="MR223" s="402"/>
      <c r="MS223" s="400"/>
      <c r="NH223" s="422"/>
      <c r="NJ223" s="421"/>
    </row>
    <row r="224" spans="1:374" s="1" customFormat="1" ht="16.5">
      <c r="A224" s="403">
        <v>46038</v>
      </c>
      <c r="B224" s="404" t="s">
        <v>1015</v>
      </c>
      <c r="C224" s="405" t="s">
        <v>3887</v>
      </c>
      <c r="D224" s="406">
        <v>117</v>
      </c>
      <c r="E224" s="404">
        <v>339</v>
      </c>
      <c r="F224" s="407">
        <v>21300</v>
      </c>
      <c r="G224" s="407" t="s">
        <v>1019</v>
      </c>
      <c r="H224" s="408" t="s">
        <v>1017</v>
      </c>
      <c r="I224" s="409">
        <v>2</v>
      </c>
      <c r="J224" s="405" t="s">
        <v>543</v>
      </c>
      <c r="K224" s="404" t="s">
        <v>3888</v>
      </c>
      <c r="L224" s="419" t="str">
        <f t="shared" si="131"/>
        <v>FLINTSL - BLACK</v>
      </c>
      <c r="M224" s="404">
        <v>25</v>
      </c>
      <c r="N224" s="410">
        <f>IF(M224=0,0,IF($LB224=70%,VLOOKUP($L224,'Jan-2026 rates'!$L:$R,4,0),IF($LB224=65%,VLOOKUP($L224,'Jan-2026 rates'!$L:$R,4,0),IF($LB224=40%,VLOOKUP($L224,'Jan-2026 rates'!$L:$R,5,0),IF($LB224=30%,VLOOKUP($L224,'Jan-2026 rates'!$L:$R,6,0),IF($LB224=100%,VLOOKUP($L224,'Jan-2026 rates'!$L:$R,7,0),IF($LB224=60%,VLOOKUP($L224,'Jan-2026 rates'!$L:$S,8,0),IF($LB224=80%,VLOOKUP($L224,'Jan-2026 rates'!L:T,9,0),0))))))))</f>
        <v>0</v>
      </c>
      <c r="O224" s="406"/>
      <c r="P224" s="404"/>
      <c r="Q224" s="410">
        <f>IF(P224=0,0,IF($LB224=70%,VLOOKUP($L224,'Jan-2026 rates'!$L:$R,4,0),IF($LB224=65%,VLOOKUP($L224,'Jan-2026 rates'!$L:$R,4,0),IF($LB224=40%,VLOOKUP($L224,'Jan-2026 rates'!$L:$R,5,0),IF($LB224=30%,VLOOKUP($L224,'Jan-2026 rates'!$L:$R,6,0),IF($LB224=100%,VLOOKUP($L224,'Jan-2026 rates'!$L:$R,7,0),IF($LB224=60%,VLOOKUP($L224,'Jan-2026 rates'!$L:$S,8,0),IF($LB224=80%,VLOOKUP($L224,'Jan-2026 rates'!L:T,9,0),0))))))))</f>
        <v>0</v>
      </c>
      <c r="R224" s="406">
        <v>26520000010</v>
      </c>
      <c r="S224" s="406"/>
      <c r="T224" s="406"/>
      <c r="U224" s="406"/>
      <c r="V224" s="406"/>
      <c r="W224" s="406"/>
      <c r="X224" s="406"/>
      <c r="Y224" s="406"/>
      <c r="Z224" s="404">
        <v>6</v>
      </c>
      <c r="AA224" s="398" t="e">
        <f>IF(Z224=0,0,IF(LEN(R224)=11,_xlfn.XLOOKUP(R224,'Dispensed Ink Rates'!C:C,'Dispensed Ink Rates'!CS:CS),VLOOKUP(R224,'Jan-2026 rates'!$E:$F,2,0)))</f>
        <v>#N/A</v>
      </c>
      <c r="AB224" s="404"/>
      <c r="AC224" s="398">
        <f>IF(AB224=0,0,IF(LEN(S224)=11,_xlfn.XLOOKUP(S224,'Dispensed Ink Rates'!C:C,'Dispensed Ink Rates'!CS:CS),VLOOKUP(S224,'Jan-2026 rates'!$E:$F,2,0)))</f>
        <v>0</v>
      </c>
      <c r="AD224" s="404"/>
      <c r="AE224" s="398">
        <f>IF(AD224=0,0,IF(LEN(T224)=11,_xlfn.XLOOKUP(T224,'Dispensed Ink Rates'!C:C,'Dispensed Ink Rates'!CS:CS),VLOOKUP(T224,'Jan-2026 rates'!$E:$F,2,0)))</f>
        <v>0</v>
      </c>
      <c r="AF224" s="404"/>
      <c r="AG224" s="398">
        <f>IF(AF224=0,0,IF(LEN(U224)=11,_xlfn.XLOOKUP(U224,'Dispensed Ink Rates'!C:C,'Dispensed Ink Rates'!CS:CS),VLOOKUP(U224,'Jan-2026 rates'!$E:$F,2,0)))</f>
        <v>0</v>
      </c>
      <c r="AH224" s="404"/>
      <c r="AI224" s="398">
        <f>IF(AH224=0,0,IF(LEN(V224)=11,_xlfn.XLOOKUP(V224,'Dispensed Ink Rates'!C:C,'Dispensed Ink Rates'!CS:CS),VLOOKUP(V224,'Jan-2026 rates'!$E:$F,2,0)))</f>
        <v>0</v>
      </c>
      <c r="AJ224" s="404"/>
      <c r="AK224" s="398">
        <f>IF(AJ224=0,0,IF(LEN(W224)=11,_xlfn.XLOOKUP(W224,'Dispensed Ink Rates'!C:C,'Dispensed Ink Rates'!CS:CS),VLOOKUP(W224,'Jan-2026 rates'!$E:$F,2,0)))</f>
        <v>0</v>
      </c>
      <c r="AL224" s="404"/>
      <c r="AM224" s="398">
        <f>IF(AL224=0,0,IF(LEN(X224)=11,_xlfn.XLOOKUP(X224,'Dispensed Ink Rates'!C:C,'Dispensed Ink Rates'!CS:CS),VLOOKUP(X224,'Jan-2026 rates'!$E:$F,2,0)))</f>
        <v>0</v>
      </c>
      <c r="AN224" s="404"/>
      <c r="AO224" s="398">
        <f>IF(AN224=0,0,IF(LEN(Y224)=11,_xlfn.XLOOKUP(Y224,'Dispensed Ink Rates'!C:C,'Dispensed Ink Rates'!CS:CS),VLOOKUP(Y224,'Jan-2026 rates'!$E:$F,2,0)))</f>
        <v>0</v>
      </c>
      <c r="AP224" s="409" t="s">
        <v>1443</v>
      </c>
      <c r="AQ224" s="409">
        <v>30</v>
      </c>
      <c r="AR224" s="410">
        <f t="shared" si="159"/>
        <v>0</v>
      </c>
      <c r="AS224" s="411">
        <f t="shared" si="160"/>
        <v>16.866666666666667</v>
      </c>
      <c r="AT224" s="410">
        <f t="shared" si="161"/>
        <v>0</v>
      </c>
      <c r="AU224" s="405" t="s">
        <v>546</v>
      </c>
      <c r="AV224" s="409" t="s">
        <v>3888</v>
      </c>
      <c r="AW224" s="420" t="str">
        <f t="shared" si="183"/>
        <v>FLINTSL - REFLEX BLUE</v>
      </c>
      <c r="AX224" s="409">
        <v>26</v>
      </c>
      <c r="AY224" s="411">
        <f>IF(AX224=0,0,IF($LB224=70%,VLOOKUP($AW224,'Jan-2026 rates'!$L:$R,4,0),IF($LB224=65%,VLOOKUP($AW224,'Jan-2026 rates'!$L:$R,4,0),IF($LB224=40%,VLOOKUP($AW224,'Jan-2026 rates'!$L:$R,5,0),IF($LB224=30%,VLOOKUP($AW224,'Jan-2026 rates'!$L:$R,6,0),IF($LB224=100%,VLOOKUP($AW224,'Jan-2026 rates'!$L:$R,7,0),IF($LB224=60%,VLOOKUP($AW224,'Jan-2026 rates'!$L:$S,8,0),IF($LB224=80%,VLOOKUP($AW224,'Jan-2026 rates'!L:T,9,0),0))))))))</f>
        <v>0</v>
      </c>
      <c r="AZ224" s="412"/>
      <c r="BA224" s="409"/>
      <c r="BB224" s="411">
        <f>IF(BA224=0,0,IF($LB224=70%,VLOOKUP($AW224,'Jan-2026 rates'!$L:$R,4,0),IF($LB224=65%,VLOOKUP($AW224,'Jan-2026 rates'!$L:$R,4,0),IF($LB224=40%,VLOOKUP($AW224,'Jan-2026 rates'!$L:$R,5,0),IF($LB224=30%,VLOOKUP($AW224,'Jan-2026 rates'!$L:$R,6,0),IF($LB224=100%,VLOOKUP($AW224,'Jan-2026 rates'!$L:$R,7,0),IF($LB224=60%,VLOOKUP($AW224,'Jan-2026 rates'!$L:$S,8,0),IF($LB224=80%,VLOOKUP($AW224,'Jan-2026 rates'!L:T,9,0),0))))))))</f>
        <v>0</v>
      </c>
      <c r="BC224" s="413">
        <v>26516000018</v>
      </c>
      <c r="BD224" s="412"/>
      <c r="BE224" s="412"/>
      <c r="BF224" s="413"/>
      <c r="BG224" s="412"/>
      <c r="BH224" s="412"/>
      <c r="BI224" s="412"/>
      <c r="BJ224" s="412"/>
      <c r="BK224" s="409">
        <v>2</v>
      </c>
      <c r="BL224" s="398" t="e">
        <f>IF(BK224=0,0,IF(LEN(BC224)=11,_xlfn.XLOOKUP(BC224,'Dispensed Ink Rates'!C:C,'Dispensed Ink Rates'!CS:CS),VLOOKUP(BC224,'Jan-2026 rates'!$E:$F,2,0)))</f>
        <v>#N/A</v>
      </c>
      <c r="BM224" s="409"/>
      <c r="BN224" s="398">
        <f>IF(BM224=0,0,IF(LEN(BD224)=11,_xlfn.XLOOKUP(BD224,'Dispensed Ink Rates'!C:C,'Dispensed Ink Rates'!CS:CS),VLOOKUP(BD224,'Jan-2026 rates'!$E:$F,2,0)))</f>
        <v>0</v>
      </c>
      <c r="BO224" s="409"/>
      <c r="BP224" s="398">
        <f>IF(BO224=0,0,IF(LEN(BE224)=11,_xlfn.XLOOKUP(BE224,'Dispensed Ink Rates'!C:C,'Dispensed Ink Rates'!CS:CS),VLOOKUP(BE224,'Jan-2026 rates'!$E:$F,2,0)))</f>
        <v>0</v>
      </c>
      <c r="BQ224" s="409"/>
      <c r="BR224" s="398">
        <f>IF(BQ224=0,0,IF(LEN(BF224)=11,_xlfn.XLOOKUP(BF224,'Dispensed Ink Rates'!C:C,'Dispensed Ink Rates'!CS:CS),VLOOKUP(BF224,'Jan-2026 rates'!$E:$F,2,0)))</f>
        <v>0</v>
      </c>
      <c r="BS224" s="409"/>
      <c r="BT224" s="398">
        <f>IF(BS224=0,0,IF(LEN(BG224)=11,_xlfn.XLOOKUP(BG224,'Dispensed Ink Rates'!C:C,'Dispensed Ink Rates'!CS:CS),VLOOKUP(BG224,'Jan-2026 rates'!$E:$F,2,0)))</f>
        <v>0</v>
      </c>
      <c r="BU224" s="409"/>
      <c r="BV224" s="398">
        <f>IF(BU224=0,0,IF(LEN(BH224)=11,_xlfn.XLOOKUP(BH224,'Dispensed Ink Rates'!C:C,'Dispensed Ink Rates'!CS:CS),VLOOKUP(BH224,'Jan-2026 rates'!$E:$F,2,0)))</f>
        <v>0</v>
      </c>
      <c r="BW224" s="409"/>
      <c r="BX224" s="398">
        <f>IF(BW224=0,0,IF(LEN(BI224)=11,_xlfn.XLOOKUP(BI224,'Dispensed Ink Rates'!C:C,'Dispensed Ink Rates'!CS:CS),VLOOKUP(BI224,'Jan-2026 rates'!$E:$F,2,0)))</f>
        <v>0</v>
      </c>
      <c r="BY224" s="409"/>
      <c r="BZ224" s="398">
        <f>IF(BY224=0,0,IF(LEN(BJ224)=11,_xlfn.XLOOKUP(BJ224,'Dispensed Ink Rates'!C:C,'Dispensed Ink Rates'!CS:CS),VLOOKUP(BJ224,'Jan-2026 rates'!$E:$F,2,0)))</f>
        <v>0</v>
      </c>
      <c r="CA224" s="409" t="s">
        <v>1443</v>
      </c>
      <c r="CB224" s="409">
        <v>29</v>
      </c>
      <c r="CC224" s="411">
        <f t="shared" si="162"/>
        <v>0</v>
      </c>
      <c r="CD224" s="411">
        <f t="shared" si="163"/>
        <v>6.9333333333333371</v>
      </c>
      <c r="CE224" s="410">
        <f t="shared" si="164"/>
        <v>0</v>
      </c>
      <c r="CF224" s="404" t="s">
        <v>547</v>
      </c>
      <c r="CG224" s="409" t="s">
        <v>3889</v>
      </c>
      <c r="CH224" s="420" t="str">
        <f t="shared" si="132"/>
        <v>FLINTSL - GREEN</v>
      </c>
      <c r="CI224" s="409">
        <v>28</v>
      </c>
      <c r="CJ224" s="411">
        <f>IF(CI224=0,0,IF($LB224=70%,VLOOKUP($CH224,'Jan-2026 rates'!$L:$R,4,0),IF($LB224=65%,VLOOKUP($CH224,'Jan-2026 rates'!$L:$R,4,0),IF($LB224=40%,VLOOKUP($CH224,'Jan-2026 rates'!$L:$R,5,0),IF($LB224=30%,VLOOKUP($CH224,'Jan-2026 rates'!$L:$R,6,0),IF($LB224=100%,VLOOKUP($CH224,'Jan-2026 rates'!$L:$R,7,0),IF($LB224=60%,VLOOKUP($CH224,'Jan-2026 rates'!$L:$S,8,0),IF($LB224=80%,VLOOKUP($CH224,'Jan-2026 rates'!L:T,9,0),0))))))))</f>
        <v>0</v>
      </c>
      <c r="CK224" s="412"/>
      <c r="CL224" s="409"/>
      <c r="CM224" s="411">
        <f>IF(CL224=0,0,IF($LB224=70%,VLOOKUP($CH224,'Jan-2026 rates'!$L:$R,4,0),IF($LB224=65%,VLOOKUP($CH224,'Jan-2026 rates'!$L:$R,4,0),IF($LB224=40%,VLOOKUP($CH224,'Jan-2026 rates'!$L:$R,5,0),IF($LB224=30%,VLOOKUP($CH224,'Jan-2026 rates'!$L:$R,6,0),IF($LB224=100%,VLOOKUP($CH224,'Jan-2026 rates'!$L:$R,7,0),IF($LB224=60%,VLOOKUP($CH224,'Jan-2026 rates'!$L:$S,8,0),IF($LB224=80%,VLOOKUP($CH224,'Jan-2026 rates'!L:T,9,0),0))))))))</f>
        <v>0</v>
      </c>
      <c r="CN224" s="426">
        <v>26516000015</v>
      </c>
      <c r="CO224" s="427"/>
      <c r="CP224" s="426"/>
      <c r="CQ224" s="426"/>
      <c r="CR224" s="428"/>
      <c r="CS224" s="428"/>
      <c r="CT224" s="428"/>
      <c r="CU224" s="428"/>
      <c r="CV224" s="409">
        <v>2</v>
      </c>
      <c r="CW224" s="398" t="e">
        <f>IF(CV224=0,0,IF(LEN(CN224)=11,_xlfn.XLOOKUP(CN224,'Dispensed Ink Rates'!C:C,'Dispensed Ink Rates'!CS:CS),VLOOKUP(CN224,'Jan-2026 rates'!$E:$F,2,0)))</f>
        <v>#N/A</v>
      </c>
      <c r="CX224" s="409"/>
      <c r="CY224" s="398">
        <f>IF(CX224=0,0,IF(LEN(CO224)=11,_xlfn.XLOOKUP(CO224,'Dispensed Ink Rates'!C:C,'Dispensed Ink Rates'!CS:CS),VLOOKUP(CO224,'Jan-2026 rates'!$E:$F,2,0)))</f>
        <v>0</v>
      </c>
      <c r="CZ224" s="409"/>
      <c r="DA224" s="398">
        <f>IF(CZ224=0,0,IF(LEN(CP224)=11,_xlfn.XLOOKUP(CP224,'Dispensed Ink Rates'!C:C,'Dispensed Ink Rates'!CS:CS),VLOOKUP(CP224,'Jan-2026 rates'!$E:$F,2,0)))</f>
        <v>0</v>
      </c>
      <c r="DB224" s="409"/>
      <c r="DC224" s="398">
        <f>IF(DB224=0,0,IF(LEN(CQ224)=11,_xlfn.XLOOKUP(CQ224,'Dispensed Ink Rates'!C:C,'Dispensed Ink Rates'!CS:CS),VLOOKUP(CQ224,'Jan-2026 rates'!$E:$F,2,0)))</f>
        <v>0</v>
      </c>
      <c r="DD224" s="409"/>
      <c r="DE224" s="398">
        <f>IF(DD224=0,0,IF(LEN(CR224)=11,_xlfn.XLOOKUP(CR224,'Dispensed Ink Rates'!C:C,'Dispensed Ink Rates'!CS:CS),VLOOKUP(CR224,'Jan-2026 rates'!$E:$F,2,0)))</f>
        <v>0</v>
      </c>
      <c r="DF224" s="409"/>
      <c r="DG224" s="398">
        <f>IF(DF224=0,0,IF(LEN(CS224)=11,_xlfn.XLOOKUP(CS224,'Dispensed Ink Rates'!C:C,'Dispensed Ink Rates'!CS:CS),VLOOKUP(CS224,'Jan-2026 rates'!$E:$F,2,0)))</f>
        <v>0</v>
      </c>
      <c r="DH224" s="409"/>
      <c r="DI224" s="398">
        <f>IF(DH224=0,0,IF(LEN(CT224)=11,_xlfn.XLOOKUP(CT224,'Dispensed Ink Rates'!C:C,'Dispensed Ink Rates'!CS:CS),VLOOKUP(CT224,'Jan-2026 rates'!$E:$F,2,0)))</f>
        <v>0</v>
      </c>
      <c r="DJ224" s="409"/>
      <c r="DK224" s="398">
        <f>IF(DJ224=0,0,IF(LEN(CU224)=11,_xlfn.XLOOKUP(CU224,'Dispensed Ink Rates'!C:C,'Dispensed Ink Rates'!CS:CS),VLOOKUP(CU224,'Jan-2026 rates'!$E:$F,2,0)))</f>
        <v>0</v>
      </c>
      <c r="DL224" s="409" t="s">
        <v>1443</v>
      </c>
      <c r="DM224" s="409">
        <v>27</v>
      </c>
      <c r="DN224" s="411">
        <f t="shared" si="165"/>
        <v>0</v>
      </c>
      <c r="DO224" s="411">
        <f t="shared" si="166"/>
        <v>10.933333333333337</v>
      </c>
      <c r="DP224" s="410">
        <f t="shared" si="167"/>
        <v>0</v>
      </c>
      <c r="DQ224" s="405" t="s">
        <v>857</v>
      </c>
      <c r="DR224" s="409" t="s">
        <v>3890</v>
      </c>
      <c r="DS224" s="420" t="str">
        <f t="shared" si="133"/>
        <v>FLINTSL - RED</v>
      </c>
      <c r="DT224" s="409">
        <v>29</v>
      </c>
      <c r="DU224" s="411">
        <f>IF(DT224=0,0,IF($LB224=70%,VLOOKUP($DS224,'Jan-2026 rates'!$L:$R,4,0),IF($LB224=65%,VLOOKUP($DS224,'Jan-2026 rates'!$L:$R,4,0),IF($LB224=40%,VLOOKUP($DS224,'Jan-2026 rates'!$L:$R,5,0),IF($LB224=30%,VLOOKUP($DS224,'Jan-2026 rates'!$L:$R,6,0),IF($LB224=100%,VLOOKUP($DS224,'Jan-2026 rates'!$L:$R,7,0),IF($LB224=60%,VLOOKUP($DS224,'Jan-2026 rates'!$L:$S,8,0),IF($LB224=80%,VLOOKUP($DS224,'Jan-2026 rates'!L:T,9,0),0))))))))</f>
        <v>0</v>
      </c>
      <c r="DV224" s="412"/>
      <c r="DW224" s="409"/>
      <c r="DX224" s="411">
        <f>IF(DW224=0,0,IF($LB224=70%,VLOOKUP($DS224,'Jan-2026 rates'!$L:$R,4,0),IF($LB224=65%,VLOOKUP($DS224,'Jan-2026 rates'!$L:$R,4,0),IF($LB224=40%,VLOOKUP($DS224,'Jan-2026 rates'!$L:$R,5,0),IF($LB224=30%,VLOOKUP($DS224,'Jan-2026 rates'!$L:$R,6,0),IF($LB224=100%,VLOOKUP($DS224,'Jan-2026 rates'!$L:$R,7,0),IF($LB224=60%,VLOOKUP($DS224,'Jan-2026 rates'!$L:$S,8,0),IF($LB224=80%,VLOOKUP($DS224,'Jan-2026 rates'!L:T,9,0),0))))))))</f>
        <v>0</v>
      </c>
      <c r="DY224" s="413">
        <v>26516000011</v>
      </c>
      <c r="DZ224" s="413">
        <v>26517000020</v>
      </c>
      <c r="EA224" s="412"/>
      <c r="EB224" s="412"/>
      <c r="EC224" s="412"/>
      <c r="ED224" s="412"/>
      <c r="EE224" s="412"/>
      <c r="EF224" s="412"/>
      <c r="EG224" s="409">
        <v>4</v>
      </c>
      <c r="EH224" s="398" t="e">
        <f>IF(EG224=0,0,IF(LEN(DY224)=11,_xlfn.XLOOKUP(DY224,'Dispensed Ink Rates'!C:C,'Dispensed Ink Rates'!CS:CS),VLOOKUP(DY224,'Jan-2026 rates'!$E:$F,2,0)))</f>
        <v>#N/A</v>
      </c>
      <c r="EI224" s="409">
        <v>2</v>
      </c>
      <c r="EJ224" s="398" t="e">
        <f>IF(EI224=0,0,IF(LEN(DZ224)=11,_xlfn.XLOOKUP(DZ224,'Dispensed Ink Rates'!C:C,'Dispensed Ink Rates'!CS:CS),VLOOKUP(DZ224,'Jan-2026 rates'!$E:$F,2,0)))</f>
        <v>#N/A</v>
      </c>
      <c r="EK224" s="409"/>
      <c r="EL224" s="398">
        <f>IF(EK224=0,0,IF(LEN(EA224)=11,_xlfn.XLOOKUP(EA224,'Dispensed Ink Rates'!C:C,'Dispensed Ink Rates'!CS:CS),VLOOKUP(EA224,'Jan-2026 rates'!$E:$F,2,0)))</f>
        <v>0</v>
      </c>
      <c r="EM224" s="409"/>
      <c r="EN224" s="398">
        <f>IF(EM224=0,0,IF(LEN(EB224)=11,_xlfn.XLOOKUP(EB224,'Dispensed Ink Rates'!C:C,'Dispensed Ink Rates'!CS:CS),VLOOKUP(EB224,'Jan-2026 rates'!$E:$F,2,0)))</f>
        <v>0</v>
      </c>
      <c r="EO224" s="409"/>
      <c r="EP224" s="398">
        <f>IF(EO224=0,0,IF(LEN(EC224)=11,_xlfn.XLOOKUP(EC224,'Dispensed Ink Rates'!C:C,'Dispensed Ink Rates'!CS:CS),VLOOKUP(EC224,'Jan-2026 rates'!$E:$F,2,0)))</f>
        <v>0</v>
      </c>
      <c r="EQ224" s="409"/>
      <c r="ER224" s="398">
        <f>IF(EQ224=0,0,IF(LEN(ED224)=11,_xlfn.XLOOKUP(ED224,'Dispensed Ink Rates'!C:C,'Dispensed Ink Rates'!CS:CS),VLOOKUP(ED224,'Jan-2026 rates'!$E:$F,2,0)))</f>
        <v>0</v>
      </c>
      <c r="ES224" s="409"/>
      <c r="ET224" s="398">
        <f>IF(ES224=0,0,IF(LEN(EE224)=11,_xlfn.XLOOKUP(EE224,'Dispensed Ink Rates'!C:C,'Dispensed Ink Rates'!CS:CS),VLOOKUP(EE224,'Jan-2026 rates'!$E:$F,2,0)))</f>
        <v>0</v>
      </c>
      <c r="EU224" s="409"/>
      <c r="EV224" s="398">
        <f>IF(EU224=0,0,IF(LEN(EF224)=11,_xlfn.XLOOKUP(EF224,'Dispensed Ink Rates'!C:C,'Dispensed Ink Rates'!CS:CS),VLOOKUP(EF224,'Jan-2026 rates'!$E:$F,2,0)))</f>
        <v>0</v>
      </c>
      <c r="EW224" s="409" t="s">
        <v>1443</v>
      </c>
      <c r="EX224" s="409">
        <v>30</v>
      </c>
      <c r="EY224" s="411">
        <f t="shared" si="168"/>
        <v>0</v>
      </c>
      <c r="EZ224" s="411">
        <f t="shared" si="169"/>
        <v>12.933333333333337</v>
      </c>
      <c r="FA224" s="410">
        <f t="shared" si="170"/>
        <v>0</v>
      </c>
      <c r="FB224" s="405" t="s">
        <v>855</v>
      </c>
      <c r="FC224" s="409" t="s">
        <v>3891</v>
      </c>
      <c r="FD224" s="420" t="str">
        <f t="shared" si="134"/>
        <v>FLINTSL - CYAN</v>
      </c>
      <c r="FE224" s="409">
        <v>33</v>
      </c>
      <c r="FF224" s="411">
        <f>IF(FE224=0,0,IF($LB224=70%,VLOOKUP($FD224,'Jan-2026 rates'!$L:$R,4,0),IF($LB224=65%,VLOOKUP($FD224,'Jan-2026 rates'!$L:$R,4,0),IF($LB224=40%,VLOOKUP($FD224,'Jan-2026 rates'!$L:$R,5,0),IF($LB224=30%,VLOOKUP($FD224,'Jan-2026 rates'!$L:$R,6,0),IF($LB224=100%,VLOOKUP($FD224,'Jan-2026 rates'!$L:$R,7,0),IF($LB224=60%,VLOOKUP($FD224,'Jan-2026 rates'!$L:$S,8,0),IF($LB224=80%,VLOOKUP($FD224,'Jan-2026 rates'!L:T,9,0),0))))))))</f>
        <v>0</v>
      </c>
      <c r="FG224" s="412"/>
      <c r="FH224" s="409"/>
      <c r="FI224" s="411">
        <f>IF(FH224=0,0,IF($LB224=70%,VLOOKUP($FD224,'Jan-2026 rates'!$L:$R,4,0),IF($LB224=65%,VLOOKUP($FD224,'Jan-2026 rates'!$L:$R,4,0),IF($LB224=40%,VLOOKUP($FD224,'Jan-2026 rates'!$L:$R,5,0),IF($LB224=30%,VLOOKUP($FD224,'Jan-2026 rates'!$L:$R,6,0),IF($LB224=100%,VLOOKUP($FD224,'Jan-2026 rates'!$L:$R,7,0),IF($LB224=60%,VLOOKUP($FD224,'Jan-2026 rates'!$L:$S,8,0),IF($LB224=80%,VLOOKUP($FD224,'Jan-2026 rates'!L:T,9,0),0))))))))</f>
        <v>0</v>
      </c>
      <c r="FJ224" s="413" t="s">
        <v>1266</v>
      </c>
      <c r="FK224" s="413">
        <v>26513000021</v>
      </c>
      <c r="FL224" s="413"/>
      <c r="FM224" s="412"/>
      <c r="FN224" s="412"/>
      <c r="FO224" s="412"/>
      <c r="FP224" s="412"/>
      <c r="FQ224" s="412"/>
      <c r="FR224" s="409">
        <f>6+3</f>
        <v>9</v>
      </c>
      <c r="FS224" s="398">
        <f>IF(FR224=0,0,IF(LEN(FJ224)=11,_xlfn.XLOOKUP(FJ224,'Dispensed Ink Rates'!C:C,'Dispensed Ink Rates'!CS:CS),VLOOKUP(FJ224,'Jan-2026 rates'!$E:$F,2,0)))</f>
        <v>0</v>
      </c>
      <c r="FT224" s="409">
        <v>4</v>
      </c>
      <c r="FU224" s="398" t="e">
        <f>IF(FT224=0,0,IF(LEN(FK224)=11,_xlfn.XLOOKUP(FK224,'Dispensed Ink Rates'!C:C,'Dispensed Ink Rates'!CS:CS),VLOOKUP(FK224,'Jan-2026 rates'!$E:$F,2,0)))</f>
        <v>#N/A</v>
      </c>
      <c r="FV224" s="409"/>
      <c r="FW224" s="398">
        <f>IF(FV224=0,0,IF(LEN(FL224)=11,_xlfn.XLOOKUP(FL224,'Dispensed Ink Rates'!C:C,'Dispensed Ink Rates'!CS:CS),VLOOKUP(FL224,'Jan-2026 rates'!$E:$F,2,0)))</f>
        <v>0</v>
      </c>
      <c r="FX224" s="409"/>
      <c r="FY224" s="398">
        <f>IF(FX224=0,0,IF(LEN(FM224)=11,_xlfn.XLOOKUP(FM224,'Dispensed Ink Rates'!C:C,'Dispensed Ink Rates'!CS:CS),VLOOKUP(FM224,'Jan-2026 rates'!$E:$F,2,0)))</f>
        <v>0</v>
      </c>
      <c r="FZ224" s="409"/>
      <c r="GA224" s="398">
        <f>IF(FZ224=0,0,IF(LEN(FN224)=11,_xlfn.XLOOKUP(FN224,'Dispensed Ink Rates'!C:C,'Dispensed Ink Rates'!CS:CS),VLOOKUP(FN224,'Jan-2026 rates'!$E:$F,2,0)))</f>
        <v>0</v>
      </c>
      <c r="GB224" s="409"/>
      <c r="GC224" s="398">
        <f>IF(GB224=0,0,IF(LEN(FO224)=11,_xlfn.XLOOKUP(FO224,'Dispensed Ink Rates'!C:C,'Dispensed Ink Rates'!CS:CS),VLOOKUP(FO224,'Jan-2026 rates'!$E:$F,2,0)))</f>
        <v>0</v>
      </c>
      <c r="GD224" s="409"/>
      <c r="GE224" s="398">
        <f>IF(GD224=0,0,IF(LEN(FP224)=11,_xlfn.XLOOKUP(FP224,'Dispensed Ink Rates'!C:C,'Dispensed Ink Rates'!CS:CS),VLOOKUP(FP224,'Jan-2026 rates'!$E:$F,2,0)))</f>
        <v>0</v>
      </c>
      <c r="GF224" s="409"/>
      <c r="GG224" s="398">
        <f>IF(GF224=0,0,IF(LEN(FQ224)=11,_xlfn.XLOOKUP(FQ224,'Dispensed Ink Rates'!C:C,'Dispensed Ink Rates'!CS:CS),VLOOKUP(FQ224,'Jan-2026 rates'!$E:$F,2,0)))</f>
        <v>0</v>
      </c>
      <c r="GH224" s="409" t="s">
        <v>1443</v>
      </c>
      <c r="GI224" s="409">
        <v>33</v>
      </c>
      <c r="GJ224" s="411">
        <f t="shared" si="171"/>
        <v>0</v>
      </c>
      <c r="GK224" s="411">
        <f t="shared" si="172"/>
        <v>20.933333333333337</v>
      </c>
      <c r="GL224" s="410">
        <f t="shared" si="173"/>
        <v>0</v>
      </c>
      <c r="GM224" s="405" t="s">
        <v>544</v>
      </c>
      <c r="GN224" s="409" t="s">
        <v>3892</v>
      </c>
      <c r="GO224" s="420" t="str">
        <f t="shared" si="135"/>
        <v>FLINTSL - MAGENTA</v>
      </c>
      <c r="GP224" s="409">
        <v>33</v>
      </c>
      <c r="GQ224" s="411">
        <f>IF(GP224=0,0,IF($LB224=70%,VLOOKUP($GO224,'Jan-2026 rates'!$L:$R,4,0),IF($LB224=65%,VLOOKUP($GO224,'Jan-2026 rates'!$L:$R,4,0),IF($LB224=40%,VLOOKUP($GO224,'Jan-2026 rates'!$L:$R,5,0),IF($LB224=30%,VLOOKUP($GO224,'Jan-2026 rates'!$L:$R,6,0),IF($LB224=100%,VLOOKUP($GO224,'Jan-2026 rates'!$L:$R,7,0),IF($LB224=60%,VLOOKUP($GO224,'Jan-2026 rates'!$L:$S,8,0),IF($LB224=80%,VLOOKUP($GO224,'Jan-2026 rates'!L:T,9,0),0))))))))</f>
        <v>0</v>
      </c>
      <c r="GR224" s="412"/>
      <c r="GS224" s="409"/>
      <c r="GT224" s="411">
        <f>IF(GS224=0,0,IF($LB224=70%,VLOOKUP($GO224,'Jan-2026 rates'!$L:$R,4,0),IF($LB224=65%,VLOOKUP($GO224,'Jan-2026 rates'!$L:$R,4,0),IF($LB224=40%,VLOOKUP($GO224,'Jan-2026 rates'!$L:$R,5,0),IF($LB224=30%,VLOOKUP($GO224,'Jan-2026 rates'!$L:$R,6,0),IF($LB224=100%,VLOOKUP($GO224,'Jan-2026 rates'!$L:$R,7,0),IF($LB224=60%,VLOOKUP($GO224,'Jan-2026 rates'!$L:$S,8,0),IF($LB224=80%,VLOOKUP($GO224,'Jan-2026 rates'!L:T,9,0),0))))))))</f>
        <v>0</v>
      </c>
      <c r="GU224" s="413" t="s">
        <v>1266</v>
      </c>
      <c r="GV224" s="413">
        <v>26517000020</v>
      </c>
      <c r="GW224" s="412"/>
      <c r="GX224" s="412"/>
      <c r="GY224" s="412"/>
      <c r="GZ224" s="412"/>
      <c r="HA224" s="412"/>
      <c r="HB224" s="412"/>
      <c r="HC224" s="409">
        <f>6+3</f>
        <v>9</v>
      </c>
      <c r="HD224" s="398">
        <f>IF(HC224=0,0,IF(LEN(GU224)=11,_xlfn.XLOOKUP(GU224,'Dispensed Ink Rates'!C:C,'Dispensed Ink Rates'!CS:CS),VLOOKUP(GU224,'Jan-2026 rates'!$E:$F,2,0)))</f>
        <v>0</v>
      </c>
      <c r="HE224" s="409">
        <v>6</v>
      </c>
      <c r="HF224" s="398" t="e">
        <f>IF(HE224=0,0,IF(LEN(GV224)=11,_xlfn.XLOOKUP(GV224,'Dispensed Ink Rates'!C:C,'Dispensed Ink Rates'!CS:CS),VLOOKUP(GV224,'Jan-2026 rates'!$E:$F,2,0)))</f>
        <v>#N/A</v>
      </c>
      <c r="HG224" s="409"/>
      <c r="HH224" s="398">
        <f>IF(HG224=0,0,IF(LEN(GW224)=11,_xlfn.XLOOKUP(GW224,'Dispensed Ink Rates'!C:C,'Dispensed Ink Rates'!CS:CS),VLOOKUP(GW224,'Jan-2026 rates'!$E:$F,2,0)))</f>
        <v>0</v>
      </c>
      <c r="HI224" s="409"/>
      <c r="HJ224" s="398">
        <f>IF(HI224=0,0,IF(LEN(GX224)=11,_xlfn.XLOOKUP(GX224,'Dispensed Ink Rates'!C:C,'Dispensed Ink Rates'!CS:CS),VLOOKUP(GX224,'Jan-2026 rates'!$E:$F,2,0)))</f>
        <v>0</v>
      </c>
      <c r="HK224" s="409"/>
      <c r="HL224" s="398">
        <f>IF(HK224=0,0,IF(LEN(GY224)=11,_xlfn.XLOOKUP(GY224,'Dispensed Ink Rates'!C:C,'Dispensed Ink Rates'!CS:CS),VLOOKUP(GY224,'Jan-2026 rates'!$E:$F,2,0)))</f>
        <v>0</v>
      </c>
      <c r="HM224" s="409"/>
      <c r="HN224" s="398">
        <f>IF(HM224=0,0,IF(LEN(GZ224)=11,_xlfn.XLOOKUP(GZ224,'Dispensed Ink Rates'!C:C,'Dispensed Ink Rates'!CS:CS),VLOOKUP(GZ224,'Jan-2026 rates'!$E:$F,2,0)))</f>
        <v>0</v>
      </c>
      <c r="HO224" s="409"/>
      <c r="HP224" s="398">
        <f>IF(HO224=0,0,IF(LEN(HA224)=11,_xlfn.XLOOKUP(HA224,'Dispensed Ink Rates'!C:C,'Dispensed Ink Rates'!CS:CS),VLOOKUP(HA224,'Jan-2026 rates'!$E:$F,2,0)))</f>
        <v>0</v>
      </c>
      <c r="HQ224" s="409"/>
      <c r="HR224" s="398">
        <f>IF(HQ224=0,0,IF(LEN(HB224)=11,_xlfn.XLOOKUP(HB224,'Dispensed Ink Rates'!C:C,'Dispensed Ink Rates'!CS:CS),VLOOKUP(HB224,'Jan-2026 rates'!$E:$F,2,0)))</f>
        <v>0</v>
      </c>
      <c r="HS224" s="409" t="s">
        <v>1443</v>
      </c>
      <c r="HT224" s="409">
        <v>30</v>
      </c>
      <c r="HU224" s="411">
        <f t="shared" si="174"/>
        <v>0</v>
      </c>
      <c r="HV224" s="411">
        <f t="shared" si="175"/>
        <v>33.866666666666667</v>
      </c>
      <c r="HW224" s="414">
        <f t="shared" si="176"/>
        <v>0</v>
      </c>
      <c r="HX224" s="405" t="s">
        <v>545</v>
      </c>
      <c r="HY224" s="409" t="s">
        <v>3893</v>
      </c>
      <c r="HZ224" s="420" t="str">
        <f t="shared" si="136"/>
        <v>FLINTSL - YELLOW</v>
      </c>
      <c r="IA224" s="409">
        <v>24</v>
      </c>
      <c r="IB224" s="411">
        <f>IF(IA224=0,0,IF($LB224=70%,VLOOKUP($HZ224,'Jan-2026 rates'!$L:$R,4,0),IF($LB224=65%,VLOOKUP($HZ224,'Jan-2026 rates'!$L:$R,4,0),IF($LB224=40%,VLOOKUP($HZ224,'Jan-2026 rates'!$L:$R,5,0),IF($LB224=30%,VLOOKUP($HZ224,'Jan-2026 rates'!$L:$R,6,0),IF($LB224=100%,VLOOKUP($HZ224,'Jan-2026 rates'!$L:$R,7,0),IF($LB224=60%,VLOOKUP($HZ224,'Jan-2026 rates'!$L:$S,8,0),IF($LB224=80%,VLOOKUP($HZ224,'Jan-2026 rates'!L:T,9,0),0))))))))</f>
        <v>0</v>
      </c>
      <c r="IC224" s="412"/>
      <c r="ID224" s="409"/>
      <c r="IE224" s="411">
        <f>IF(ID224=0,0,IF($LB224=70%,VLOOKUP($HZ224,'Jan-2026 rates'!$L:$R,4,0),IF($LB224=65%,VLOOKUP($HZ224,'Jan-2026 rates'!$L:$R,4,0),IF($LB224=40%,VLOOKUP($HZ224,'Jan-2026 rates'!$L:$R,5,0),IF($LB224=30%,VLOOKUP($HZ224,'Jan-2026 rates'!$L:$R,6,0),IF($LB224=100%,VLOOKUP($HZ224,'Jan-2026 rates'!$L:$R,7,0),IF($LB224=60%,VLOOKUP($HZ224,'Jan-2026 rates'!$L:$S,8,0),IF($LB224=80%,VLOOKUP($HZ224,'Jan-2026 rates'!L:T,9,0),0))))))))</f>
        <v>0</v>
      </c>
      <c r="IF224" s="412">
        <v>26516000025</v>
      </c>
      <c r="IG224" s="413" t="s">
        <v>1266</v>
      </c>
      <c r="IH224" s="412"/>
      <c r="II224" s="412"/>
      <c r="IJ224" s="412"/>
      <c r="IK224" s="412"/>
      <c r="IL224" s="412"/>
      <c r="IM224" s="412"/>
      <c r="IN224" s="409">
        <v>35</v>
      </c>
      <c r="IO224" s="398" t="e">
        <f>IF(IN224=0,0,IF(LEN(IF224)=11,_xlfn.XLOOKUP(IF224,'Dispensed Ink Rates'!C:C,'Dispensed Ink Rates'!CS:CS),VLOOKUP(IF224,'Jan-2026 rates'!$E:$F,2,0)))</f>
        <v>#N/A</v>
      </c>
      <c r="IP224" s="409">
        <v>7</v>
      </c>
      <c r="IQ224" s="398">
        <f>IF(IP224=0,0,IF(LEN(IG224)=11,_xlfn.XLOOKUP(IG224,'Dispensed Ink Rates'!C:C,'Dispensed Ink Rates'!CS:CS),VLOOKUP(IG224,'Jan-2026 rates'!$E:$F,2,0)))</f>
        <v>0</v>
      </c>
      <c r="IR224" s="409"/>
      <c r="IS224" s="398">
        <f>IF(IR224=0,0,IF(LEN(IH224)=11,_xlfn.XLOOKUP(IH224,'Dispensed Ink Rates'!C:C,'Dispensed Ink Rates'!CS:CS),VLOOKUP(IH224,'Jan-2026 rates'!$E:$F,2,0)))</f>
        <v>0</v>
      </c>
      <c r="IT224" s="409"/>
      <c r="IU224" s="398">
        <f>IF(IT224=0,0,IF(LEN(II224)=11,_xlfn.XLOOKUP(II224,'Dispensed Ink Rates'!C:C,'Dispensed Ink Rates'!CS:CS),VLOOKUP(II224,'Jan-2026 rates'!$E:$F,2,0)))</f>
        <v>0</v>
      </c>
      <c r="IV224" s="409"/>
      <c r="IW224" s="398">
        <f>IF(IV224=0,0,IF(LEN(IJ224)=11,_xlfn.XLOOKUP(IJ224,'Dispensed Ink Rates'!C:C,'Dispensed Ink Rates'!CS:CS),VLOOKUP(IJ224,'Jan-2026 rates'!$E:$F,2,0)))</f>
        <v>0</v>
      </c>
      <c r="IX224" s="409"/>
      <c r="IY224" s="398">
        <f>IF(IX224=0,0,IF(LEN(IK224)=11,_xlfn.XLOOKUP(IK224,'Dispensed Ink Rates'!C:C,'Dispensed Ink Rates'!CS:CS),VLOOKUP(IK224,'Jan-2026 rates'!$E:$F,2,0)))</f>
        <v>0</v>
      </c>
      <c r="IZ224" s="409"/>
      <c r="JA224" s="398">
        <f>IF(IZ224=0,0,IF(LEN(IL224)=11,_xlfn.XLOOKUP(IL224,'Dispensed Ink Rates'!C:C,'Dispensed Ink Rates'!CS:CS),VLOOKUP(IL224,'Jan-2026 rates'!$E:$F,2,0)))</f>
        <v>0</v>
      </c>
      <c r="JB224" s="409"/>
      <c r="JC224" s="398">
        <f>IF(JB224=0,0,IF(LEN(IM224)=11,_xlfn.XLOOKUP(IM224,'Dispensed Ink Rates'!C:C,'Dispensed Ink Rates'!CS:CS),VLOOKUP(IM224,'Jan-2026 rates'!$E:$F,2,0)))</f>
        <v>0</v>
      </c>
      <c r="JD224" s="409" t="s">
        <v>1443</v>
      </c>
      <c r="JE224" s="409">
        <v>29</v>
      </c>
      <c r="JF224" s="411">
        <f t="shared" si="177"/>
        <v>0</v>
      </c>
      <c r="JG224" s="411">
        <f t="shared" si="178"/>
        <v>44.933333333333337</v>
      </c>
      <c r="JH224" s="410">
        <f t="shared" si="179"/>
        <v>0</v>
      </c>
      <c r="JI224" s="405" t="s">
        <v>856</v>
      </c>
      <c r="JJ224" s="409" t="s">
        <v>3894</v>
      </c>
      <c r="JK224" s="420" t="str">
        <f t="shared" si="137"/>
        <v>FLINTSL - WHITE</v>
      </c>
      <c r="JL224" s="409">
        <v>24</v>
      </c>
      <c r="JM224" s="411">
        <f>IF(JL224=0,0,IF($LB224=70%,VLOOKUP($JK224,'Jan-2026 rates'!$L:$R,4,0),IF($LB224=65%,VLOOKUP($JK224,'Jan-2026 rates'!$L:$R,4,0),IF($LB224=40%,VLOOKUP($JK224,'Jan-2026 rates'!$L:$R,5,0),IF($LB224=30%,VLOOKUP($JK224,'Jan-2026 rates'!$L:$R,6,0),IF($LB224=100%,VLOOKUP($JK224,'Jan-2026 rates'!$L:$R,7,0),IF($LB224=60%,VLOOKUP($JK224,'Jan-2026 rates'!$L:$S,8,0),IF($LB224=80%,VLOOKUP($JK224,'Jan-2026 rates'!L:T,9,0),0))))))))</f>
        <v>0</v>
      </c>
      <c r="JN224" s="412"/>
      <c r="JO224" s="409"/>
      <c r="JP224" s="411">
        <f>IF(JO224=0,0,IF($LB224=70%,VLOOKUP($JK224,'Jan-2026 rates'!$L:$R,4,0),IF($LB224=65%,VLOOKUP($JK224,'Jan-2026 rates'!$L:$R,4,0),IF($LB224=40%,VLOOKUP($JK224,'Jan-2026 rates'!$L:$R,5,0),IF($LB224=30%,VLOOKUP($JK224,'Jan-2026 rates'!$L:$R,6,0),IF($LB224=100%,VLOOKUP($JK224,'Jan-2026 rates'!$L:$R,7,0),IF($LB224=60%,VLOOKUP($JK224,'Jan-2026 rates'!$L:$S,8,0),IF($LB224=80%,VLOOKUP($JK224,'Jan-2026 rates'!L:T,9,0),0))))))))</f>
        <v>0</v>
      </c>
      <c r="JQ224" s="413" t="s">
        <v>484</v>
      </c>
      <c r="JR224" s="412"/>
      <c r="JS224" s="413"/>
      <c r="JT224" s="413"/>
      <c r="JU224" s="412"/>
      <c r="JV224" s="412"/>
      <c r="JW224" s="412"/>
      <c r="JX224" s="412"/>
      <c r="JY224" s="409">
        <f>50+25</f>
        <v>75</v>
      </c>
      <c r="JZ224" s="398">
        <f>IF(JY224=0,0,IF(LEN(JQ224)=11,_xlfn.XLOOKUP(JQ224,'Dispensed Ink Rates'!C:C,'Dispensed Ink Rates'!CS:CS),VLOOKUP(JQ224,'Jan-2026 rates'!$E:$F,2,0)))</f>
        <v>0</v>
      </c>
      <c r="KA224" s="409"/>
      <c r="KB224" s="398">
        <f>IF(KA224=0,0,IF(LEN(JR224)=11,_xlfn.XLOOKUP(JR224,'Dispensed Ink Rates'!C:C,'Dispensed Ink Rates'!CS:CS),VLOOKUP(JR224,'Jan-2026 rates'!$E:$F,2,0)))</f>
        <v>0</v>
      </c>
      <c r="KC224" s="409"/>
      <c r="KD224" s="398">
        <f>IF(KC224=0,0,IF(LEN(JS224)=11,_xlfn.XLOOKUP(JS224,'Dispensed Ink Rates'!C:C,'Dispensed Ink Rates'!CS:CS),VLOOKUP(JS224,'Jan-2026 rates'!$E:$F,2,0)))</f>
        <v>0</v>
      </c>
      <c r="KE224" s="409"/>
      <c r="KF224" s="398">
        <f>IF(KE224=0,0,IF(LEN(JT224)=11,_xlfn.XLOOKUP(JT224,'Dispensed Ink Rates'!C:C,'Dispensed Ink Rates'!CS:CS),VLOOKUP(JT224,'Jan-2026 rates'!$E:$F,2,0)))</f>
        <v>0</v>
      </c>
      <c r="KG224" s="409"/>
      <c r="KH224" s="398">
        <f>IF(KG224=0,0,IF(LEN(JU224)=11,_xlfn.XLOOKUP(JU224,'Dispensed Ink Rates'!C:C,'Dispensed Ink Rates'!CS:CS),VLOOKUP(JU224,'Jan-2026 rates'!$E:$F,2,0)))</f>
        <v>0</v>
      </c>
      <c r="KI224" s="409"/>
      <c r="KJ224" s="398">
        <f>IF(KI224=0,0,IF(LEN(JV224)=11,_xlfn.XLOOKUP(JV224,'Dispensed Ink Rates'!C:C,'Dispensed Ink Rates'!CS:CS),VLOOKUP(JV224,'Jan-2026 rates'!$E:$F,2,0)))</f>
        <v>0</v>
      </c>
      <c r="KK224" s="409"/>
      <c r="KL224" s="398">
        <f>IF(KK224=0,0,IF(LEN(JW224)=11,_xlfn.XLOOKUP(JW224,'Dispensed Ink Rates'!C:C,'Dispensed Ink Rates'!CS:CS),VLOOKUP(JW224,'Jan-2026 rates'!$E:$F,2,0)))</f>
        <v>0</v>
      </c>
      <c r="KM224" s="428"/>
      <c r="KN224" s="398">
        <f>IF(KM224=0,0,IF(LEN(JX224)=11,_xlfn.XLOOKUP(JX224,'Dispensed Ink Rates'!C:C,'Dispensed Ink Rates'!CS:CS),VLOOKUP(JX224,'Jan-2026 rates'!$E:$F,2,0)))</f>
        <v>0</v>
      </c>
      <c r="KO224" s="409" t="s">
        <v>1443</v>
      </c>
      <c r="KP224" s="409">
        <v>24</v>
      </c>
      <c r="KQ224" s="411">
        <f t="shared" si="180"/>
        <v>0</v>
      </c>
      <c r="KR224" s="411">
        <f t="shared" si="181"/>
        <v>122.6</v>
      </c>
      <c r="KS224" s="410">
        <f t="shared" si="182"/>
        <v>0</v>
      </c>
      <c r="KT224" s="409">
        <f>5+5</f>
        <v>10</v>
      </c>
      <c r="KU224" s="409">
        <v>5</v>
      </c>
      <c r="KV224" s="409">
        <v>5</v>
      </c>
      <c r="KW224" s="409">
        <v>5</v>
      </c>
      <c r="KX224" s="409">
        <v>5</v>
      </c>
      <c r="KY224" s="409">
        <f>5+5</f>
        <v>10</v>
      </c>
      <c r="KZ224" s="409">
        <v>5</v>
      </c>
      <c r="LA224" s="409">
        <v>30</v>
      </c>
      <c r="LB224" s="415">
        <v>0.8</v>
      </c>
      <c r="LC224" s="415">
        <v>0.2</v>
      </c>
      <c r="LD224" s="415"/>
      <c r="LE224" s="415"/>
      <c r="LF224" s="415"/>
      <c r="LG224" s="409">
        <v>0</v>
      </c>
      <c r="LH224" s="409">
        <f>30+29+48+12</f>
        <v>119</v>
      </c>
      <c r="LI224" s="409">
        <v>0</v>
      </c>
      <c r="LJ224" s="409">
        <v>0</v>
      </c>
      <c r="LK224" s="416">
        <f t="shared" si="138"/>
        <v>119</v>
      </c>
      <c r="LL224" s="416">
        <f t="shared" si="139"/>
        <v>119</v>
      </c>
      <c r="LM224" s="417">
        <f t="shared" si="140"/>
        <v>95.2</v>
      </c>
      <c r="LN224" s="417">
        <f>VLOOKUP($LM$8,'Jan-2026 rates'!$H:$I,2,0)</f>
        <v>0</v>
      </c>
      <c r="LO224" s="417">
        <f t="shared" si="141"/>
        <v>23.8</v>
      </c>
      <c r="LP224" s="417">
        <f>VLOOKUP($LO$8,'Jan-2026 rates'!$H:$I,2,0)</f>
        <v>0</v>
      </c>
      <c r="LQ224" s="417">
        <f t="shared" si="142"/>
        <v>0</v>
      </c>
      <c r="LR224" s="417">
        <f>VLOOKUP($LQ$8,'Jan-2026 rates'!$H:$I,2,0)</f>
        <v>0</v>
      </c>
      <c r="LS224" s="417">
        <f t="shared" si="143"/>
        <v>0</v>
      </c>
      <c r="LT224" s="417">
        <f>VLOOKUP($LS$8,'Jan-2026 rates'!$H:$I,2,0)</f>
        <v>0</v>
      </c>
      <c r="LU224" s="417">
        <f t="shared" si="144"/>
        <v>0</v>
      </c>
      <c r="LV224" s="417">
        <f>VLOOKUP($LU$8,'Jan-2026 rates'!$H:$I,2,0)</f>
        <v>0</v>
      </c>
      <c r="LW224" s="417">
        <f t="shared" si="145"/>
        <v>0</v>
      </c>
      <c r="LX224" s="417">
        <f t="shared" si="146"/>
        <v>0</v>
      </c>
      <c r="LY224" s="418">
        <f t="shared" si="147"/>
        <v>0</v>
      </c>
      <c r="LZ224" s="417"/>
      <c r="MA224" s="435">
        <f t="shared" si="148"/>
        <v>161</v>
      </c>
      <c r="MB224" s="282">
        <f t="shared" si="149"/>
        <v>270</v>
      </c>
      <c r="MC224" s="283">
        <v>117</v>
      </c>
      <c r="MD224" s="284" t="str">
        <f t="shared" si="150"/>
        <v>FLINTSLFLINTSLFLINTSLFLINTSLFLINTSLFLINTSLFLINTSLFLINTSL</v>
      </c>
      <c r="ME224" s="293" t="str">
        <f t="shared" si="151"/>
        <v>+</v>
      </c>
      <c r="MF224" s="293" t="str">
        <f t="shared" si="152"/>
        <v>+</v>
      </c>
      <c r="MG224" s="293" t="str">
        <f t="shared" si="153"/>
        <v>+</v>
      </c>
      <c r="MH224" s="293" t="str">
        <f t="shared" si="154"/>
        <v>+</v>
      </c>
      <c r="MI224" s="293" t="str">
        <f t="shared" si="155"/>
        <v>+</v>
      </c>
      <c r="MJ224" s="293" t="str">
        <f t="shared" si="156"/>
        <v>+</v>
      </c>
      <c r="MK224" s="293" t="str">
        <f t="shared" si="157"/>
        <v>+</v>
      </c>
      <c r="ML224" s="293" t="str">
        <f t="shared" si="158"/>
        <v>+</v>
      </c>
      <c r="MM224" s="3" t="b">
        <f t="array" ref="MM224">OR(ME224:ML224="-")</f>
        <v>0</v>
      </c>
      <c r="MN224" s="285"/>
      <c r="MO224" s="401"/>
      <c r="MP224" s="286"/>
      <c r="MQ224" s="286"/>
      <c r="MR224" s="402"/>
      <c r="MS224" s="400"/>
      <c r="NH224" s="422"/>
      <c r="NJ224" s="421"/>
    </row>
    <row r="225" spans="1:374" s="1" customFormat="1" ht="16.5">
      <c r="A225" s="403">
        <v>46038</v>
      </c>
      <c r="B225" s="404" t="s">
        <v>1015</v>
      </c>
      <c r="C225" s="405" t="s">
        <v>3895</v>
      </c>
      <c r="D225" s="406">
        <v>118</v>
      </c>
      <c r="E225" s="404">
        <v>301</v>
      </c>
      <c r="F225" s="407">
        <v>18900</v>
      </c>
      <c r="G225" s="407" t="s">
        <v>1019</v>
      </c>
      <c r="H225" s="408" t="s">
        <v>1017</v>
      </c>
      <c r="I225" s="409">
        <v>2</v>
      </c>
      <c r="J225" s="405" t="s">
        <v>543</v>
      </c>
      <c r="K225" s="404" t="s">
        <v>3896</v>
      </c>
      <c r="L225" s="419" t="str">
        <f t="shared" si="131"/>
        <v>FLINTSL - BLACK</v>
      </c>
      <c r="M225" s="404">
        <v>30</v>
      </c>
      <c r="N225" s="410">
        <f>IF(M225=0,0,IF($LB225=70%,VLOOKUP($L225,'Jan-2026 rates'!$L:$R,4,0),IF($LB225=65%,VLOOKUP($L225,'Jan-2026 rates'!$L:$R,4,0),IF($LB225=40%,VLOOKUP($L225,'Jan-2026 rates'!$L:$R,5,0),IF($LB225=30%,VLOOKUP($L225,'Jan-2026 rates'!$L:$R,6,0),IF($LB225=100%,VLOOKUP($L225,'Jan-2026 rates'!$L:$R,7,0),IF($LB225=60%,VLOOKUP($L225,'Jan-2026 rates'!$L:$S,8,0),IF($LB225=80%,VLOOKUP($L225,'Jan-2026 rates'!L:T,9,0),0))))))))</f>
        <v>0</v>
      </c>
      <c r="O225" s="406"/>
      <c r="P225" s="404"/>
      <c r="Q225" s="410">
        <f>IF(P225=0,0,IF($LB225=70%,VLOOKUP($L225,'Jan-2026 rates'!$L:$R,4,0),IF($LB225=65%,VLOOKUP($L225,'Jan-2026 rates'!$L:$R,4,0),IF($LB225=40%,VLOOKUP($L225,'Jan-2026 rates'!$L:$R,5,0),IF($LB225=30%,VLOOKUP($L225,'Jan-2026 rates'!$L:$R,6,0),IF($LB225=100%,VLOOKUP($L225,'Jan-2026 rates'!$L:$R,7,0),IF($LB225=60%,VLOOKUP($L225,'Jan-2026 rates'!$L:$S,8,0),IF($LB225=80%,VLOOKUP($L225,'Jan-2026 rates'!L:T,9,0),0))))))))</f>
        <v>0</v>
      </c>
      <c r="R225" s="406">
        <v>26520000005</v>
      </c>
      <c r="S225" s="406"/>
      <c r="T225" s="406"/>
      <c r="U225" s="406"/>
      <c r="V225" s="406"/>
      <c r="W225" s="406"/>
      <c r="X225" s="406"/>
      <c r="Y225" s="406"/>
      <c r="Z225" s="404">
        <v>1</v>
      </c>
      <c r="AA225" s="398" t="e">
        <f>IF(Z225=0,0,IF(LEN(R225)=11,_xlfn.XLOOKUP(R225,'Dispensed Ink Rates'!C:C,'Dispensed Ink Rates'!CS:CS),VLOOKUP(R225,'Jan-2026 rates'!$E:$F,2,0)))</f>
        <v>#N/A</v>
      </c>
      <c r="AB225" s="404"/>
      <c r="AC225" s="398">
        <f>IF(AB225=0,0,IF(LEN(S225)=11,_xlfn.XLOOKUP(S225,'Dispensed Ink Rates'!C:C,'Dispensed Ink Rates'!CS:CS),VLOOKUP(S225,'Jan-2026 rates'!$E:$F,2,0)))</f>
        <v>0</v>
      </c>
      <c r="AD225" s="404"/>
      <c r="AE225" s="398">
        <f>IF(AD225=0,0,IF(LEN(T225)=11,_xlfn.XLOOKUP(T225,'Dispensed Ink Rates'!C:C,'Dispensed Ink Rates'!CS:CS),VLOOKUP(T225,'Jan-2026 rates'!$E:$F,2,0)))</f>
        <v>0</v>
      </c>
      <c r="AF225" s="404"/>
      <c r="AG225" s="398">
        <f>IF(AF225=0,0,IF(LEN(U225)=11,_xlfn.XLOOKUP(U225,'Dispensed Ink Rates'!C:C,'Dispensed Ink Rates'!CS:CS),VLOOKUP(U225,'Jan-2026 rates'!$E:$F,2,0)))</f>
        <v>0</v>
      </c>
      <c r="AH225" s="404"/>
      <c r="AI225" s="398">
        <f>IF(AH225=0,0,IF(LEN(V225)=11,_xlfn.XLOOKUP(V225,'Dispensed Ink Rates'!C:C,'Dispensed Ink Rates'!CS:CS),VLOOKUP(V225,'Jan-2026 rates'!$E:$F,2,0)))</f>
        <v>0</v>
      </c>
      <c r="AJ225" s="404"/>
      <c r="AK225" s="398">
        <f>IF(AJ225=0,0,IF(LEN(W225)=11,_xlfn.XLOOKUP(W225,'Dispensed Ink Rates'!C:C,'Dispensed Ink Rates'!CS:CS),VLOOKUP(W225,'Jan-2026 rates'!$E:$F,2,0)))</f>
        <v>0</v>
      </c>
      <c r="AL225" s="404"/>
      <c r="AM225" s="398">
        <f>IF(AL225=0,0,IF(LEN(X225)=11,_xlfn.XLOOKUP(X225,'Dispensed Ink Rates'!C:C,'Dispensed Ink Rates'!CS:CS),VLOOKUP(X225,'Jan-2026 rates'!$E:$F,2,0)))</f>
        <v>0</v>
      </c>
      <c r="AN225" s="404"/>
      <c r="AO225" s="398">
        <f>IF(AN225=0,0,IF(LEN(Y225)=11,_xlfn.XLOOKUP(Y225,'Dispensed Ink Rates'!C:C,'Dispensed Ink Rates'!CS:CS),VLOOKUP(Y225,'Jan-2026 rates'!$E:$F,2,0)))</f>
        <v>0</v>
      </c>
      <c r="AP225" s="409" t="s">
        <v>1443</v>
      </c>
      <c r="AQ225" s="409">
        <v>26</v>
      </c>
      <c r="AR225" s="410">
        <f t="shared" si="159"/>
        <v>0</v>
      </c>
      <c r="AS225" s="411">
        <f t="shared" si="160"/>
        <v>7.625</v>
      </c>
      <c r="AT225" s="410">
        <f t="shared" si="161"/>
        <v>0</v>
      </c>
      <c r="AU225" s="405" t="s">
        <v>546</v>
      </c>
      <c r="AV225" s="409" t="s">
        <v>3897</v>
      </c>
      <c r="AW225" s="420" t="str">
        <f t="shared" si="183"/>
        <v>FLINTSL - REFLEX BLUE</v>
      </c>
      <c r="AX225" s="409">
        <v>29</v>
      </c>
      <c r="AY225" s="411">
        <f>IF(AX225=0,0,IF($LB225=70%,VLOOKUP($AW225,'Jan-2026 rates'!$L:$R,4,0),IF($LB225=65%,VLOOKUP($AW225,'Jan-2026 rates'!$L:$R,4,0),IF($LB225=40%,VLOOKUP($AW225,'Jan-2026 rates'!$L:$R,5,0),IF($LB225=30%,VLOOKUP($AW225,'Jan-2026 rates'!$L:$R,6,0),IF($LB225=100%,VLOOKUP($AW225,'Jan-2026 rates'!$L:$R,7,0),IF($LB225=60%,VLOOKUP($AW225,'Jan-2026 rates'!$L:$S,8,0),IF($LB225=80%,VLOOKUP($AW225,'Jan-2026 rates'!L:T,9,0),0))))))))</f>
        <v>0</v>
      </c>
      <c r="AZ225" s="412"/>
      <c r="BA225" s="409"/>
      <c r="BB225" s="411">
        <f>IF(BA225=0,0,IF($LB225=70%,VLOOKUP($AW225,'Jan-2026 rates'!$L:$R,4,0),IF($LB225=65%,VLOOKUP($AW225,'Jan-2026 rates'!$L:$R,4,0),IF($LB225=40%,VLOOKUP($AW225,'Jan-2026 rates'!$L:$R,5,0),IF($LB225=30%,VLOOKUP($AW225,'Jan-2026 rates'!$L:$R,6,0),IF($LB225=100%,VLOOKUP($AW225,'Jan-2026 rates'!$L:$R,7,0),IF($LB225=60%,VLOOKUP($AW225,'Jan-2026 rates'!$L:$S,8,0),IF($LB225=80%,VLOOKUP($AW225,'Jan-2026 rates'!L:T,9,0),0))))))))</f>
        <v>0</v>
      </c>
      <c r="BC225" s="413">
        <v>26513000021</v>
      </c>
      <c r="BD225" s="412"/>
      <c r="BE225" s="412"/>
      <c r="BF225" s="413"/>
      <c r="BG225" s="412"/>
      <c r="BH225" s="412"/>
      <c r="BI225" s="412"/>
      <c r="BJ225" s="412"/>
      <c r="BK225" s="409">
        <v>1</v>
      </c>
      <c r="BL225" s="398" t="e">
        <f>IF(BK225=0,0,IF(LEN(BC225)=11,_xlfn.XLOOKUP(BC225,'Dispensed Ink Rates'!C:C,'Dispensed Ink Rates'!CS:CS),VLOOKUP(BC225,'Jan-2026 rates'!$E:$F,2,0)))</f>
        <v>#N/A</v>
      </c>
      <c r="BM225" s="409"/>
      <c r="BN225" s="398">
        <f>IF(BM225=0,0,IF(LEN(BD225)=11,_xlfn.XLOOKUP(BD225,'Dispensed Ink Rates'!C:C,'Dispensed Ink Rates'!CS:CS),VLOOKUP(BD225,'Jan-2026 rates'!$E:$F,2,0)))</f>
        <v>0</v>
      </c>
      <c r="BO225" s="409"/>
      <c r="BP225" s="398">
        <f>IF(BO225=0,0,IF(LEN(BE225)=11,_xlfn.XLOOKUP(BE225,'Dispensed Ink Rates'!C:C,'Dispensed Ink Rates'!CS:CS),VLOOKUP(BE225,'Jan-2026 rates'!$E:$F,2,0)))</f>
        <v>0</v>
      </c>
      <c r="BQ225" s="409"/>
      <c r="BR225" s="398">
        <f>IF(BQ225=0,0,IF(LEN(BF225)=11,_xlfn.XLOOKUP(BF225,'Dispensed Ink Rates'!C:C,'Dispensed Ink Rates'!CS:CS),VLOOKUP(BF225,'Jan-2026 rates'!$E:$F,2,0)))</f>
        <v>0</v>
      </c>
      <c r="BS225" s="409"/>
      <c r="BT225" s="398">
        <f>IF(BS225=0,0,IF(LEN(BG225)=11,_xlfn.XLOOKUP(BG225,'Dispensed Ink Rates'!C:C,'Dispensed Ink Rates'!CS:CS),VLOOKUP(BG225,'Jan-2026 rates'!$E:$F,2,0)))</f>
        <v>0</v>
      </c>
      <c r="BU225" s="409"/>
      <c r="BV225" s="398">
        <f>IF(BU225=0,0,IF(LEN(BH225)=11,_xlfn.XLOOKUP(BH225,'Dispensed Ink Rates'!C:C,'Dispensed Ink Rates'!CS:CS),VLOOKUP(BH225,'Jan-2026 rates'!$E:$F,2,0)))</f>
        <v>0</v>
      </c>
      <c r="BW225" s="409"/>
      <c r="BX225" s="398">
        <f>IF(BW225=0,0,IF(LEN(BI225)=11,_xlfn.XLOOKUP(BI225,'Dispensed Ink Rates'!C:C,'Dispensed Ink Rates'!CS:CS),VLOOKUP(BI225,'Jan-2026 rates'!$E:$F,2,0)))</f>
        <v>0</v>
      </c>
      <c r="BY225" s="409"/>
      <c r="BZ225" s="398">
        <f>IF(BY225=0,0,IF(LEN(BJ225)=11,_xlfn.XLOOKUP(BJ225,'Dispensed Ink Rates'!C:C,'Dispensed Ink Rates'!CS:CS),VLOOKUP(BJ225,'Jan-2026 rates'!$E:$F,2,0)))</f>
        <v>0</v>
      </c>
      <c r="CA225" s="409" t="s">
        <v>1443</v>
      </c>
      <c r="CB225" s="409">
        <v>26</v>
      </c>
      <c r="CC225" s="411">
        <f t="shared" si="162"/>
        <v>0</v>
      </c>
      <c r="CD225" s="411">
        <f t="shared" si="163"/>
        <v>7.9375</v>
      </c>
      <c r="CE225" s="410">
        <f t="shared" si="164"/>
        <v>0</v>
      </c>
      <c r="CF225" s="404" t="s">
        <v>547</v>
      </c>
      <c r="CG225" s="409" t="s">
        <v>3898</v>
      </c>
      <c r="CH225" s="420" t="str">
        <f t="shared" si="132"/>
        <v>FLINTSL - GREEN</v>
      </c>
      <c r="CI225" s="409">
        <v>27</v>
      </c>
      <c r="CJ225" s="411">
        <f>IF(CI225=0,0,IF($LB225=70%,VLOOKUP($CH225,'Jan-2026 rates'!$L:$R,4,0),IF($LB225=65%,VLOOKUP($CH225,'Jan-2026 rates'!$L:$R,4,0),IF($LB225=40%,VLOOKUP($CH225,'Jan-2026 rates'!$L:$R,5,0),IF($LB225=30%,VLOOKUP($CH225,'Jan-2026 rates'!$L:$R,6,0),IF($LB225=100%,VLOOKUP($CH225,'Jan-2026 rates'!$L:$R,7,0),IF($LB225=60%,VLOOKUP($CH225,'Jan-2026 rates'!$L:$S,8,0),IF($LB225=80%,VLOOKUP($CH225,'Jan-2026 rates'!L:T,9,0),0))))))))</f>
        <v>0</v>
      </c>
      <c r="CK225" s="412"/>
      <c r="CL225" s="409"/>
      <c r="CM225" s="411">
        <f>IF(CL225=0,0,IF($LB225=70%,VLOOKUP($CH225,'Jan-2026 rates'!$L:$R,4,0),IF($LB225=65%,VLOOKUP($CH225,'Jan-2026 rates'!$L:$R,4,0),IF($LB225=40%,VLOOKUP($CH225,'Jan-2026 rates'!$L:$R,5,0),IF($LB225=30%,VLOOKUP($CH225,'Jan-2026 rates'!$L:$R,6,0),IF($LB225=100%,VLOOKUP($CH225,'Jan-2026 rates'!$L:$R,7,0),IF($LB225=60%,VLOOKUP($CH225,'Jan-2026 rates'!$L:$S,8,0),IF($LB225=80%,VLOOKUP($CH225,'Jan-2026 rates'!L:T,9,0),0))))))))</f>
        <v>0</v>
      </c>
      <c r="CN225" s="426">
        <v>26516000015</v>
      </c>
      <c r="CO225" s="427">
        <v>26513000021</v>
      </c>
      <c r="CP225" s="426"/>
      <c r="CQ225" s="426"/>
      <c r="CR225" s="428"/>
      <c r="CS225" s="428"/>
      <c r="CT225" s="428"/>
      <c r="CU225" s="428"/>
      <c r="CV225" s="409">
        <v>2</v>
      </c>
      <c r="CW225" s="398" t="e">
        <f>IF(CV225=0,0,IF(LEN(CN225)=11,_xlfn.XLOOKUP(CN225,'Dispensed Ink Rates'!C:C,'Dispensed Ink Rates'!CS:CS),VLOOKUP(CN225,'Jan-2026 rates'!$E:$F,2,0)))</f>
        <v>#N/A</v>
      </c>
      <c r="CX225" s="409">
        <f>1+2</f>
        <v>3</v>
      </c>
      <c r="CY225" s="398" t="e">
        <f>IF(CX225=0,0,IF(LEN(CO225)=11,_xlfn.XLOOKUP(CO225,'Dispensed Ink Rates'!C:C,'Dispensed Ink Rates'!CS:CS),VLOOKUP(CO225,'Jan-2026 rates'!$E:$F,2,0)))</f>
        <v>#N/A</v>
      </c>
      <c r="CZ225" s="409"/>
      <c r="DA225" s="398">
        <f>IF(CZ225=0,0,IF(LEN(CP225)=11,_xlfn.XLOOKUP(CP225,'Dispensed Ink Rates'!C:C,'Dispensed Ink Rates'!CS:CS),VLOOKUP(CP225,'Jan-2026 rates'!$E:$F,2,0)))</f>
        <v>0</v>
      </c>
      <c r="DB225" s="409"/>
      <c r="DC225" s="398">
        <f>IF(DB225=0,0,IF(LEN(CQ225)=11,_xlfn.XLOOKUP(CQ225,'Dispensed Ink Rates'!C:C,'Dispensed Ink Rates'!CS:CS),VLOOKUP(CQ225,'Jan-2026 rates'!$E:$F,2,0)))</f>
        <v>0</v>
      </c>
      <c r="DD225" s="409"/>
      <c r="DE225" s="398">
        <f>IF(DD225=0,0,IF(LEN(CR225)=11,_xlfn.XLOOKUP(CR225,'Dispensed Ink Rates'!C:C,'Dispensed Ink Rates'!CS:CS),VLOOKUP(CR225,'Jan-2026 rates'!$E:$F,2,0)))</f>
        <v>0</v>
      </c>
      <c r="DF225" s="409"/>
      <c r="DG225" s="398">
        <f>IF(DF225=0,0,IF(LEN(CS225)=11,_xlfn.XLOOKUP(CS225,'Dispensed Ink Rates'!C:C,'Dispensed Ink Rates'!CS:CS),VLOOKUP(CS225,'Jan-2026 rates'!$E:$F,2,0)))</f>
        <v>0</v>
      </c>
      <c r="DH225" s="409"/>
      <c r="DI225" s="398">
        <f>IF(DH225=0,0,IF(LEN(CT225)=11,_xlfn.XLOOKUP(CT225,'Dispensed Ink Rates'!C:C,'Dispensed Ink Rates'!CS:CS),VLOOKUP(CT225,'Jan-2026 rates'!$E:$F,2,0)))</f>
        <v>0</v>
      </c>
      <c r="DJ225" s="409"/>
      <c r="DK225" s="398">
        <f>IF(DJ225=0,0,IF(LEN(CU225)=11,_xlfn.XLOOKUP(CU225,'Dispensed Ink Rates'!C:C,'Dispensed Ink Rates'!CS:CS),VLOOKUP(CU225,'Jan-2026 rates'!$E:$F,2,0)))</f>
        <v>0</v>
      </c>
      <c r="DL225" s="409" t="s">
        <v>1443</v>
      </c>
      <c r="DM225" s="409">
        <v>28</v>
      </c>
      <c r="DN225" s="411">
        <f t="shared" si="165"/>
        <v>0</v>
      </c>
      <c r="DO225" s="411">
        <f t="shared" si="166"/>
        <v>7.9375</v>
      </c>
      <c r="DP225" s="410">
        <f t="shared" si="167"/>
        <v>0</v>
      </c>
      <c r="DQ225" s="405" t="s">
        <v>857</v>
      </c>
      <c r="DR225" s="409" t="s">
        <v>3899</v>
      </c>
      <c r="DS225" s="420" t="str">
        <f t="shared" si="133"/>
        <v>FLINTSL - RED</v>
      </c>
      <c r="DT225" s="409">
        <v>30</v>
      </c>
      <c r="DU225" s="411">
        <f>IF(DT225=0,0,IF($LB225=70%,VLOOKUP($DS225,'Jan-2026 rates'!$L:$R,4,0),IF($LB225=65%,VLOOKUP($DS225,'Jan-2026 rates'!$L:$R,4,0),IF($LB225=40%,VLOOKUP($DS225,'Jan-2026 rates'!$L:$R,5,0),IF($LB225=30%,VLOOKUP($DS225,'Jan-2026 rates'!$L:$R,6,0),IF($LB225=100%,VLOOKUP($DS225,'Jan-2026 rates'!$L:$R,7,0),IF($LB225=60%,VLOOKUP($DS225,'Jan-2026 rates'!$L:$S,8,0),IF($LB225=80%,VLOOKUP($DS225,'Jan-2026 rates'!L:T,9,0),0))))))))</f>
        <v>0</v>
      </c>
      <c r="DV225" s="412"/>
      <c r="DW225" s="409"/>
      <c r="DX225" s="411">
        <f>IF(DW225=0,0,IF($LB225=70%,VLOOKUP($DS225,'Jan-2026 rates'!$L:$R,4,0),IF($LB225=65%,VLOOKUP($DS225,'Jan-2026 rates'!$L:$R,4,0),IF($LB225=40%,VLOOKUP($DS225,'Jan-2026 rates'!$L:$R,5,0),IF($LB225=30%,VLOOKUP($DS225,'Jan-2026 rates'!$L:$R,6,0),IF($LB225=100%,VLOOKUP($DS225,'Jan-2026 rates'!$L:$R,7,0),IF($LB225=60%,VLOOKUP($DS225,'Jan-2026 rates'!$L:$S,8,0),IF($LB225=80%,VLOOKUP($DS225,'Jan-2026 rates'!L:T,9,0),0))))))))</f>
        <v>0</v>
      </c>
      <c r="DY225" s="413">
        <v>26516000011</v>
      </c>
      <c r="DZ225" s="413"/>
      <c r="EA225" s="412"/>
      <c r="EB225" s="412"/>
      <c r="EC225" s="412"/>
      <c r="ED225" s="412"/>
      <c r="EE225" s="412"/>
      <c r="EF225" s="412"/>
      <c r="EG225" s="409">
        <v>1</v>
      </c>
      <c r="EH225" s="398" t="e">
        <f>IF(EG225=0,0,IF(LEN(DY225)=11,_xlfn.XLOOKUP(DY225,'Dispensed Ink Rates'!C:C,'Dispensed Ink Rates'!CS:CS),VLOOKUP(DY225,'Jan-2026 rates'!$E:$F,2,0)))</f>
        <v>#N/A</v>
      </c>
      <c r="EI225" s="409"/>
      <c r="EJ225" s="398">
        <f>IF(EI225=0,0,IF(LEN(DZ225)=11,_xlfn.XLOOKUP(DZ225,'Dispensed Ink Rates'!C:C,'Dispensed Ink Rates'!CS:CS),VLOOKUP(DZ225,'Jan-2026 rates'!$E:$F,2,0)))</f>
        <v>0</v>
      </c>
      <c r="EK225" s="409"/>
      <c r="EL225" s="398">
        <f>IF(EK225=0,0,IF(LEN(EA225)=11,_xlfn.XLOOKUP(EA225,'Dispensed Ink Rates'!C:C,'Dispensed Ink Rates'!CS:CS),VLOOKUP(EA225,'Jan-2026 rates'!$E:$F,2,0)))</f>
        <v>0</v>
      </c>
      <c r="EM225" s="409"/>
      <c r="EN225" s="398">
        <f>IF(EM225=0,0,IF(LEN(EB225)=11,_xlfn.XLOOKUP(EB225,'Dispensed Ink Rates'!C:C,'Dispensed Ink Rates'!CS:CS),VLOOKUP(EB225,'Jan-2026 rates'!$E:$F,2,0)))</f>
        <v>0</v>
      </c>
      <c r="EO225" s="409"/>
      <c r="EP225" s="398">
        <f>IF(EO225=0,0,IF(LEN(EC225)=11,_xlfn.XLOOKUP(EC225,'Dispensed Ink Rates'!C:C,'Dispensed Ink Rates'!CS:CS),VLOOKUP(EC225,'Jan-2026 rates'!$E:$F,2,0)))</f>
        <v>0</v>
      </c>
      <c r="EQ225" s="409"/>
      <c r="ER225" s="398">
        <f>IF(EQ225=0,0,IF(LEN(ED225)=11,_xlfn.XLOOKUP(ED225,'Dispensed Ink Rates'!C:C,'Dispensed Ink Rates'!CS:CS),VLOOKUP(ED225,'Jan-2026 rates'!$E:$F,2,0)))</f>
        <v>0</v>
      </c>
      <c r="ES225" s="409"/>
      <c r="ET225" s="398">
        <f>IF(ES225=0,0,IF(LEN(EE225)=11,_xlfn.XLOOKUP(EE225,'Dispensed Ink Rates'!C:C,'Dispensed Ink Rates'!CS:CS),VLOOKUP(EE225,'Jan-2026 rates'!$E:$F,2,0)))</f>
        <v>0</v>
      </c>
      <c r="EU225" s="409"/>
      <c r="EV225" s="398">
        <f>IF(EU225=0,0,IF(LEN(EF225)=11,_xlfn.XLOOKUP(EF225,'Dispensed Ink Rates'!C:C,'Dispensed Ink Rates'!CS:CS),VLOOKUP(EF225,'Jan-2026 rates'!$E:$F,2,0)))</f>
        <v>0</v>
      </c>
      <c r="EW225" s="409" t="s">
        <v>1443</v>
      </c>
      <c r="EX225" s="409">
        <v>27</v>
      </c>
      <c r="EY225" s="411">
        <f t="shared" si="168"/>
        <v>0</v>
      </c>
      <c r="EZ225" s="411">
        <f t="shared" si="169"/>
        <v>6.625</v>
      </c>
      <c r="FA225" s="410">
        <f t="shared" si="170"/>
        <v>0</v>
      </c>
      <c r="FB225" s="405" t="s">
        <v>855</v>
      </c>
      <c r="FC225" s="409" t="s">
        <v>3900</v>
      </c>
      <c r="FD225" s="420" t="str">
        <f t="shared" si="134"/>
        <v>FLINTSL - CYAN</v>
      </c>
      <c r="FE225" s="409">
        <v>33</v>
      </c>
      <c r="FF225" s="411">
        <f>IF(FE225=0,0,IF($LB225=70%,VLOOKUP($FD225,'Jan-2026 rates'!$L:$R,4,0),IF($LB225=65%,VLOOKUP($FD225,'Jan-2026 rates'!$L:$R,4,0),IF($LB225=40%,VLOOKUP($FD225,'Jan-2026 rates'!$L:$R,5,0),IF($LB225=30%,VLOOKUP($FD225,'Jan-2026 rates'!$L:$R,6,0),IF($LB225=100%,VLOOKUP($FD225,'Jan-2026 rates'!$L:$R,7,0),IF($LB225=60%,VLOOKUP($FD225,'Jan-2026 rates'!$L:$S,8,0),IF($LB225=80%,VLOOKUP($FD225,'Jan-2026 rates'!L:T,9,0),0))))))))</f>
        <v>0</v>
      </c>
      <c r="FG225" s="412"/>
      <c r="FH225" s="409"/>
      <c r="FI225" s="411">
        <f>IF(FH225=0,0,IF($LB225=70%,VLOOKUP($FD225,'Jan-2026 rates'!$L:$R,4,0),IF($LB225=65%,VLOOKUP($FD225,'Jan-2026 rates'!$L:$R,4,0),IF($LB225=40%,VLOOKUP($FD225,'Jan-2026 rates'!$L:$R,5,0),IF($LB225=30%,VLOOKUP($FD225,'Jan-2026 rates'!$L:$R,6,0),IF($LB225=100%,VLOOKUP($FD225,'Jan-2026 rates'!$L:$R,7,0),IF($LB225=60%,VLOOKUP($FD225,'Jan-2026 rates'!$L:$S,8,0),IF($LB225=80%,VLOOKUP($FD225,'Jan-2026 rates'!L:T,9,0),0))))))))</f>
        <v>0</v>
      </c>
      <c r="FJ225" s="413">
        <v>26513000021</v>
      </c>
      <c r="FK225" s="413" t="s">
        <v>1266</v>
      </c>
      <c r="FL225" s="413"/>
      <c r="FM225" s="412"/>
      <c r="FN225" s="412"/>
      <c r="FO225" s="412"/>
      <c r="FP225" s="412"/>
      <c r="FQ225" s="412"/>
      <c r="FR225" s="409">
        <f>7+4</f>
        <v>11</v>
      </c>
      <c r="FS225" s="398" t="e">
        <f>IF(FR225=0,0,IF(LEN(FJ225)=11,_xlfn.XLOOKUP(FJ225,'Dispensed Ink Rates'!C:C,'Dispensed Ink Rates'!CS:CS),VLOOKUP(FJ225,'Jan-2026 rates'!$E:$F,2,0)))</f>
        <v>#N/A</v>
      </c>
      <c r="FT225" s="409">
        <v>5</v>
      </c>
      <c r="FU225" s="398">
        <f>IF(FT225=0,0,IF(LEN(FK225)=11,_xlfn.XLOOKUP(FK225,'Dispensed Ink Rates'!C:C,'Dispensed Ink Rates'!CS:CS),VLOOKUP(FK225,'Jan-2026 rates'!$E:$F,2,0)))</f>
        <v>0</v>
      </c>
      <c r="FV225" s="409"/>
      <c r="FW225" s="398">
        <f>IF(FV225=0,0,IF(LEN(FL225)=11,_xlfn.XLOOKUP(FL225,'Dispensed Ink Rates'!C:C,'Dispensed Ink Rates'!CS:CS),VLOOKUP(FL225,'Jan-2026 rates'!$E:$F,2,0)))</f>
        <v>0</v>
      </c>
      <c r="FX225" s="409"/>
      <c r="FY225" s="398">
        <f>IF(FX225=0,0,IF(LEN(FM225)=11,_xlfn.XLOOKUP(FM225,'Dispensed Ink Rates'!C:C,'Dispensed Ink Rates'!CS:CS),VLOOKUP(FM225,'Jan-2026 rates'!$E:$F,2,0)))</f>
        <v>0</v>
      </c>
      <c r="FZ225" s="409"/>
      <c r="GA225" s="398">
        <f>IF(FZ225=0,0,IF(LEN(FN225)=11,_xlfn.XLOOKUP(FN225,'Dispensed Ink Rates'!C:C,'Dispensed Ink Rates'!CS:CS),VLOOKUP(FN225,'Jan-2026 rates'!$E:$F,2,0)))</f>
        <v>0</v>
      </c>
      <c r="GB225" s="409"/>
      <c r="GC225" s="398">
        <f>IF(GB225=0,0,IF(LEN(FO225)=11,_xlfn.XLOOKUP(FO225,'Dispensed Ink Rates'!C:C,'Dispensed Ink Rates'!CS:CS),VLOOKUP(FO225,'Jan-2026 rates'!$E:$F,2,0)))</f>
        <v>0</v>
      </c>
      <c r="GD225" s="409"/>
      <c r="GE225" s="398">
        <f>IF(GD225=0,0,IF(LEN(FP225)=11,_xlfn.XLOOKUP(FP225,'Dispensed Ink Rates'!C:C,'Dispensed Ink Rates'!CS:CS),VLOOKUP(FP225,'Jan-2026 rates'!$E:$F,2,0)))</f>
        <v>0</v>
      </c>
      <c r="GF225" s="409"/>
      <c r="GG225" s="398">
        <f>IF(GF225=0,0,IF(LEN(FQ225)=11,_xlfn.XLOOKUP(FQ225,'Dispensed Ink Rates'!C:C,'Dispensed Ink Rates'!CS:CS),VLOOKUP(FQ225,'Jan-2026 rates'!$E:$F,2,0)))</f>
        <v>0</v>
      </c>
      <c r="GH225" s="409" t="s">
        <v>1443</v>
      </c>
      <c r="GI225" s="409">
        <v>30</v>
      </c>
      <c r="GJ225" s="411">
        <f t="shared" si="171"/>
        <v>0</v>
      </c>
      <c r="GK225" s="411">
        <f t="shared" si="172"/>
        <v>32.125</v>
      </c>
      <c r="GL225" s="410">
        <f t="shared" si="173"/>
        <v>0</v>
      </c>
      <c r="GM225" s="405" t="s">
        <v>544</v>
      </c>
      <c r="GN225" s="409" t="s">
        <v>3901</v>
      </c>
      <c r="GO225" s="420" t="str">
        <f t="shared" si="135"/>
        <v>FLINTSL - MAGENTA</v>
      </c>
      <c r="GP225" s="409">
        <v>30</v>
      </c>
      <c r="GQ225" s="411">
        <f>IF(GP225=0,0,IF($LB225=70%,VLOOKUP($GO225,'Jan-2026 rates'!$L:$R,4,0),IF($LB225=65%,VLOOKUP($GO225,'Jan-2026 rates'!$L:$R,4,0),IF($LB225=40%,VLOOKUP($GO225,'Jan-2026 rates'!$L:$R,5,0),IF($LB225=30%,VLOOKUP($GO225,'Jan-2026 rates'!$L:$R,6,0),IF($LB225=100%,VLOOKUP($GO225,'Jan-2026 rates'!$L:$R,7,0),IF($LB225=60%,VLOOKUP($GO225,'Jan-2026 rates'!$L:$S,8,0),IF($LB225=80%,VLOOKUP($GO225,'Jan-2026 rates'!L:T,9,0),0))))))))</f>
        <v>0</v>
      </c>
      <c r="GR225" s="412"/>
      <c r="GS225" s="409"/>
      <c r="GT225" s="411">
        <f>IF(GS225=0,0,IF($LB225=70%,VLOOKUP($GO225,'Jan-2026 rates'!$L:$R,4,0),IF($LB225=65%,VLOOKUP($GO225,'Jan-2026 rates'!$L:$R,4,0),IF($LB225=40%,VLOOKUP($GO225,'Jan-2026 rates'!$L:$R,5,0),IF($LB225=30%,VLOOKUP($GO225,'Jan-2026 rates'!$L:$R,6,0),IF($LB225=100%,VLOOKUP($GO225,'Jan-2026 rates'!$L:$R,7,0),IF($LB225=60%,VLOOKUP($GO225,'Jan-2026 rates'!$L:$S,8,0),IF($LB225=80%,VLOOKUP($GO225,'Jan-2026 rates'!L:T,9,0),0))))))))</f>
        <v>0</v>
      </c>
      <c r="GU225" s="413" t="s">
        <v>1266</v>
      </c>
      <c r="GV225" s="413"/>
      <c r="GW225" s="412"/>
      <c r="GX225" s="412"/>
      <c r="GY225" s="412"/>
      <c r="GZ225" s="412"/>
      <c r="HA225" s="412"/>
      <c r="HB225" s="412"/>
      <c r="HC225" s="409">
        <v>4</v>
      </c>
      <c r="HD225" s="398">
        <f>IF(HC225=0,0,IF(LEN(GU225)=11,_xlfn.XLOOKUP(GU225,'Dispensed Ink Rates'!C:C,'Dispensed Ink Rates'!CS:CS),VLOOKUP(GU225,'Jan-2026 rates'!$E:$F,2,0)))</f>
        <v>0</v>
      </c>
      <c r="HE225" s="409"/>
      <c r="HF225" s="398">
        <f>IF(HE225=0,0,IF(LEN(GV225)=11,_xlfn.XLOOKUP(GV225,'Dispensed Ink Rates'!C:C,'Dispensed Ink Rates'!CS:CS),VLOOKUP(GV225,'Jan-2026 rates'!$E:$F,2,0)))</f>
        <v>0</v>
      </c>
      <c r="HG225" s="409"/>
      <c r="HH225" s="398">
        <f>IF(HG225=0,0,IF(LEN(GW225)=11,_xlfn.XLOOKUP(GW225,'Dispensed Ink Rates'!C:C,'Dispensed Ink Rates'!CS:CS),VLOOKUP(GW225,'Jan-2026 rates'!$E:$F,2,0)))</f>
        <v>0</v>
      </c>
      <c r="HI225" s="409"/>
      <c r="HJ225" s="398">
        <f>IF(HI225=0,0,IF(LEN(GX225)=11,_xlfn.XLOOKUP(GX225,'Dispensed Ink Rates'!C:C,'Dispensed Ink Rates'!CS:CS),VLOOKUP(GX225,'Jan-2026 rates'!$E:$F,2,0)))</f>
        <v>0</v>
      </c>
      <c r="HK225" s="409"/>
      <c r="HL225" s="398">
        <f>IF(HK225=0,0,IF(LEN(GY225)=11,_xlfn.XLOOKUP(GY225,'Dispensed Ink Rates'!C:C,'Dispensed Ink Rates'!CS:CS),VLOOKUP(GY225,'Jan-2026 rates'!$E:$F,2,0)))</f>
        <v>0</v>
      </c>
      <c r="HM225" s="409"/>
      <c r="HN225" s="398">
        <f>IF(HM225=0,0,IF(LEN(GZ225)=11,_xlfn.XLOOKUP(GZ225,'Dispensed Ink Rates'!C:C,'Dispensed Ink Rates'!CS:CS),VLOOKUP(GZ225,'Jan-2026 rates'!$E:$F,2,0)))</f>
        <v>0</v>
      </c>
      <c r="HO225" s="409"/>
      <c r="HP225" s="398">
        <f>IF(HO225=0,0,IF(LEN(HA225)=11,_xlfn.XLOOKUP(HA225,'Dispensed Ink Rates'!C:C,'Dispensed Ink Rates'!CS:CS),VLOOKUP(HA225,'Jan-2026 rates'!$E:$F,2,0)))</f>
        <v>0</v>
      </c>
      <c r="HQ225" s="409"/>
      <c r="HR225" s="398">
        <f>IF(HQ225=0,0,IF(LEN(HB225)=11,_xlfn.XLOOKUP(HB225,'Dispensed Ink Rates'!C:C,'Dispensed Ink Rates'!CS:CS),VLOOKUP(HB225,'Jan-2026 rates'!$E:$F,2,0)))</f>
        <v>0</v>
      </c>
      <c r="HS225" s="409" t="s">
        <v>1443</v>
      </c>
      <c r="HT225" s="409">
        <v>26</v>
      </c>
      <c r="HU225" s="411">
        <f t="shared" si="174"/>
        <v>0</v>
      </c>
      <c r="HV225" s="411">
        <f t="shared" si="175"/>
        <v>14.5625</v>
      </c>
      <c r="HW225" s="414">
        <f t="shared" si="176"/>
        <v>0</v>
      </c>
      <c r="HX225" s="405" t="s">
        <v>545</v>
      </c>
      <c r="HY225" s="409" t="s">
        <v>3902</v>
      </c>
      <c r="HZ225" s="420" t="str">
        <f t="shared" si="136"/>
        <v>FLINTSL - YELLOW</v>
      </c>
      <c r="IA225" s="409">
        <v>29</v>
      </c>
      <c r="IB225" s="411">
        <f>IF(IA225=0,0,IF($LB225=70%,VLOOKUP($HZ225,'Jan-2026 rates'!$L:$R,4,0),IF($LB225=65%,VLOOKUP($HZ225,'Jan-2026 rates'!$L:$R,4,0),IF($LB225=40%,VLOOKUP($HZ225,'Jan-2026 rates'!$L:$R,5,0),IF($LB225=30%,VLOOKUP($HZ225,'Jan-2026 rates'!$L:$R,6,0),IF($LB225=100%,VLOOKUP($HZ225,'Jan-2026 rates'!$L:$R,7,0),IF($LB225=60%,VLOOKUP($HZ225,'Jan-2026 rates'!$L:$S,8,0),IF($LB225=80%,VLOOKUP($HZ225,'Jan-2026 rates'!L:T,9,0),0))))))))</f>
        <v>0</v>
      </c>
      <c r="IC225" s="412"/>
      <c r="ID225" s="409"/>
      <c r="IE225" s="411">
        <f>IF(ID225=0,0,IF($LB225=70%,VLOOKUP($HZ225,'Jan-2026 rates'!$L:$R,4,0),IF($LB225=65%,VLOOKUP($HZ225,'Jan-2026 rates'!$L:$R,4,0),IF($LB225=40%,VLOOKUP($HZ225,'Jan-2026 rates'!$L:$R,5,0),IF($LB225=30%,VLOOKUP($HZ225,'Jan-2026 rates'!$L:$R,6,0),IF($LB225=100%,VLOOKUP($HZ225,'Jan-2026 rates'!$L:$R,7,0),IF($LB225=60%,VLOOKUP($HZ225,'Jan-2026 rates'!$L:$S,8,0),IF($LB225=80%,VLOOKUP($HZ225,'Jan-2026 rates'!L:T,9,0),0))))))))</f>
        <v>0</v>
      </c>
      <c r="IF225" s="412">
        <v>26516000015</v>
      </c>
      <c r="IG225" s="413" t="s">
        <v>1266</v>
      </c>
      <c r="IH225" s="412"/>
      <c r="II225" s="412"/>
      <c r="IJ225" s="412"/>
      <c r="IK225" s="412"/>
      <c r="IL225" s="412"/>
      <c r="IM225" s="412"/>
      <c r="IN225" s="409">
        <v>10</v>
      </c>
      <c r="IO225" s="398" t="e">
        <f>IF(IN225=0,0,IF(LEN(IF225)=11,_xlfn.XLOOKUP(IF225,'Dispensed Ink Rates'!C:C,'Dispensed Ink Rates'!CS:CS),VLOOKUP(IF225,'Jan-2026 rates'!$E:$F,2,0)))</f>
        <v>#N/A</v>
      </c>
      <c r="IP225" s="409">
        <v>5</v>
      </c>
      <c r="IQ225" s="398">
        <f>IF(IP225=0,0,IF(LEN(IG225)=11,_xlfn.XLOOKUP(IG225,'Dispensed Ink Rates'!C:C,'Dispensed Ink Rates'!CS:CS),VLOOKUP(IG225,'Jan-2026 rates'!$E:$F,2,0)))</f>
        <v>0</v>
      </c>
      <c r="IR225" s="409"/>
      <c r="IS225" s="398">
        <f>IF(IR225=0,0,IF(LEN(IH225)=11,_xlfn.XLOOKUP(IH225,'Dispensed Ink Rates'!C:C,'Dispensed Ink Rates'!CS:CS),VLOOKUP(IH225,'Jan-2026 rates'!$E:$F,2,0)))</f>
        <v>0</v>
      </c>
      <c r="IT225" s="409"/>
      <c r="IU225" s="398">
        <f>IF(IT225=0,0,IF(LEN(II225)=11,_xlfn.XLOOKUP(II225,'Dispensed Ink Rates'!C:C,'Dispensed Ink Rates'!CS:CS),VLOOKUP(II225,'Jan-2026 rates'!$E:$F,2,0)))</f>
        <v>0</v>
      </c>
      <c r="IV225" s="409"/>
      <c r="IW225" s="398">
        <f>IF(IV225=0,0,IF(LEN(IJ225)=11,_xlfn.XLOOKUP(IJ225,'Dispensed Ink Rates'!C:C,'Dispensed Ink Rates'!CS:CS),VLOOKUP(IJ225,'Jan-2026 rates'!$E:$F,2,0)))</f>
        <v>0</v>
      </c>
      <c r="IX225" s="409"/>
      <c r="IY225" s="398">
        <f>IF(IX225=0,0,IF(LEN(IK225)=11,_xlfn.XLOOKUP(IK225,'Dispensed Ink Rates'!C:C,'Dispensed Ink Rates'!CS:CS),VLOOKUP(IK225,'Jan-2026 rates'!$E:$F,2,0)))</f>
        <v>0</v>
      </c>
      <c r="IZ225" s="409"/>
      <c r="JA225" s="398">
        <f>IF(IZ225=0,0,IF(LEN(IL225)=11,_xlfn.XLOOKUP(IL225,'Dispensed Ink Rates'!C:C,'Dispensed Ink Rates'!CS:CS),VLOOKUP(IL225,'Jan-2026 rates'!$E:$F,2,0)))</f>
        <v>0</v>
      </c>
      <c r="JB225" s="409"/>
      <c r="JC225" s="398">
        <f>IF(JB225=0,0,IF(LEN(IM225)=11,_xlfn.XLOOKUP(IM225,'Dispensed Ink Rates'!C:C,'Dispensed Ink Rates'!CS:CS),VLOOKUP(IM225,'Jan-2026 rates'!$E:$F,2,0)))</f>
        <v>0</v>
      </c>
      <c r="JD225" s="409" t="s">
        <v>1443</v>
      </c>
      <c r="JE225" s="409">
        <v>32</v>
      </c>
      <c r="JF225" s="411">
        <f t="shared" si="177"/>
        <v>0</v>
      </c>
      <c r="JG225" s="411">
        <f t="shared" si="178"/>
        <v>25.125</v>
      </c>
      <c r="JH225" s="410">
        <f t="shared" si="179"/>
        <v>0</v>
      </c>
      <c r="JI225" s="405" t="s">
        <v>856</v>
      </c>
      <c r="JJ225" s="409" t="s">
        <v>3903</v>
      </c>
      <c r="JK225" s="420" t="str">
        <f t="shared" si="137"/>
        <v>FLINTSL - WHITE</v>
      </c>
      <c r="JL225" s="409">
        <v>24</v>
      </c>
      <c r="JM225" s="411">
        <f>IF(JL225=0,0,IF($LB225=70%,VLOOKUP($JK225,'Jan-2026 rates'!$L:$R,4,0),IF($LB225=65%,VLOOKUP($JK225,'Jan-2026 rates'!$L:$R,4,0),IF($LB225=40%,VLOOKUP($JK225,'Jan-2026 rates'!$L:$R,5,0),IF($LB225=30%,VLOOKUP($JK225,'Jan-2026 rates'!$L:$R,6,0),IF($LB225=100%,VLOOKUP($JK225,'Jan-2026 rates'!$L:$R,7,0),IF($LB225=60%,VLOOKUP($JK225,'Jan-2026 rates'!$L:$S,8,0),IF($LB225=80%,VLOOKUP($JK225,'Jan-2026 rates'!L:T,9,0),0))))))))</f>
        <v>0</v>
      </c>
      <c r="JN225" s="412"/>
      <c r="JO225" s="409"/>
      <c r="JP225" s="411">
        <f>IF(JO225=0,0,IF($LB225=70%,VLOOKUP($JK225,'Jan-2026 rates'!$L:$R,4,0),IF($LB225=65%,VLOOKUP($JK225,'Jan-2026 rates'!$L:$R,4,0),IF($LB225=40%,VLOOKUP($JK225,'Jan-2026 rates'!$L:$R,5,0),IF($LB225=30%,VLOOKUP($JK225,'Jan-2026 rates'!$L:$R,6,0),IF($LB225=100%,VLOOKUP($JK225,'Jan-2026 rates'!$L:$R,7,0),IF($LB225=60%,VLOOKUP($JK225,'Jan-2026 rates'!$L:$S,8,0),IF($LB225=80%,VLOOKUP($JK225,'Jan-2026 rates'!L:T,9,0),0))))))))</f>
        <v>0</v>
      </c>
      <c r="JQ225" s="413" t="s">
        <v>484</v>
      </c>
      <c r="JR225" s="412"/>
      <c r="JS225" s="413"/>
      <c r="JT225" s="413"/>
      <c r="JU225" s="412"/>
      <c r="JV225" s="412"/>
      <c r="JW225" s="412"/>
      <c r="JX225" s="412"/>
      <c r="JY225" s="409">
        <f>50+10</f>
        <v>60</v>
      </c>
      <c r="JZ225" s="398">
        <f>IF(JY225=0,0,IF(LEN(JQ225)=11,_xlfn.XLOOKUP(JQ225,'Dispensed Ink Rates'!C:C,'Dispensed Ink Rates'!CS:CS),VLOOKUP(JQ225,'Jan-2026 rates'!$E:$F,2,0)))</f>
        <v>0</v>
      </c>
      <c r="KA225" s="409"/>
      <c r="KB225" s="398">
        <f>IF(KA225=0,0,IF(LEN(JR225)=11,_xlfn.XLOOKUP(JR225,'Dispensed Ink Rates'!C:C,'Dispensed Ink Rates'!CS:CS),VLOOKUP(JR225,'Jan-2026 rates'!$E:$F,2,0)))</f>
        <v>0</v>
      </c>
      <c r="KC225" s="409"/>
      <c r="KD225" s="398">
        <f>IF(KC225=0,0,IF(LEN(JS225)=11,_xlfn.XLOOKUP(JS225,'Dispensed Ink Rates'!C:C,'Dispensed Ink Rates'!CS:CS),VLOOKUP(JS225,'Jan-2026 rates'!$E:$F,2,0)))</f>
        <v>0</v>
      </c>
      <c r="KE225" s="409"/>
      <c r="KF225" s="398">
        <f>IF(KE225=0,0,IF(LEN(JT225)=11,_xlfn.XLOOKUP(JT225,'Dispensed Ink Rates'!C:C,'Dispensed Ink Rates'!CS:CS),VLOOKUP(JT225,'Jan-2026 rates'!$E:$F,2,0)))</f>
        <v>0</v>
      </c>
      <c r="KG225" s="409"/>
      <c r="KH225" s="398">
        <f>IF(KG225=0,0,IF(LEN(JU225)=11,_xlfn.XLOOKUP(JU225,'Dispensed Ink Rates'!C:C,'Dispensed Ink Rates'!CS:CS),VLOOKUP(JU225,'Jan-2026 rates'!$E:$F,2,0)))</f>
        <v>0</v>
      </c>
      <c r="KI225" s="409"/>
      <c r="KJ225" s="398">
        <f>IF(KI225=0,0,IF(LEN(JV225)=11,_xlfn.XLOOKUP(JV225,'Dispensed Ink Rates'!C:C,'Dispensed Ink Rates'!CS:CS),VLOOKUP(JV225,'Jan-2026 rates'!$E:$F,2,0)))</f>
        <v>0</v>
      </c>
      <c r="KK225" s="409"/>
      <c r="KL225" s="398">
        <f>IF(KK225=0,0,IF(LEN(JW225)=11,_xlfn.XLOOKUP(JW225,'Dispensed Ink Rates'!C:C,'Dispensed Ink Rates'!CS:CS),VLOOKUP(JW225,'Jan-2026 rates'!$E:$F,2,0)))</f>
        <v>0</v>
      </c>
      <c r="KM225" s="428"/>
      <c r="KN225" s="398">
        <f>IF(KM225=0,0,IF(LEN(JX225)=11,_xlfn.XLOOKUP(JX225,'Dispensed Ink Rates'!C:C,'Dispensed Ink Rates'!CS:CS),VLOOKUP(JX225,'Jan-2026 rates'!$E:$F,2,0)))</f>
        <v>0</v>
      </c>
      <c r="KO225" s="409" t="s">
        <v>1443</v>
      </c>
      <c r="KP225" s="409">
        <v>30</v>
      </c>
      <c r="KQ225" s="411">
        <f t="shared" si="180"/>
        <v>0</v>
      </c>
      <c r="KR225" s="411">
        <f t="shared" si="181"/>
        <v>113.0625</v>
      </c>
      <c r="KS225" s="410">
        <f t="shared" si="182"/>
        <v>0</v>
      </c>
      <c r="KT225" s="409">
        <v>2</v>
      </c>
      <c r="KU225" s="409">
        <v>3</v>
      </c>
      <c r="KV225" s="409">
        <v>3</v>
      </c>
      <c r="KW225" s="409">
        <v>2</v>
      </c>
      <c r="KX225" s="409">
        <v>10</v>
      </c>
      <c r="KY225" s="409">
        <v>5</v>
      </c>
      <c r="KZ225" s="409">
        <v>10</v>
      </c>
      <c r="LA225" s="409">
        <f>30+15</f>
        <v>45</v>
      </c>
      <c r="LB225" s="415">
        <v>0.8</v>
      </c>
      <c r="LC225" s="415">
        <v>0.2</v>
      </c>
      <c r="LD225" s="415"/>
      <c r="LE225" s="415"/>
      <c r="LF225" s="415"/>
      <c r="LG225" s="409">
        <v>0</v>
      </c>
      <c r="LH225" s="409">
        <f>45+20+32+8</f>
        <v>105</v>
      </c>
      <c r="LI225" s="409">
        <v>0</v>
      </c>
      <c r="LJ225" s="409">
        <v>0</v>
      </c>
      <c r="LK225" s="416">
        <f t="shared" si="138"/>
        <v>105</v>
      </c>
      <c r="LL225" s="416">
        <f t="shared" si="139"/>
        <v>105</v>
      </c>
      <c r="LM225" s="417">
        <f t="shared" si="140"/>
        <v>84</v>
      </c>
      <c r="LN225" s="417">
        <f>VLOOKUP($LM$8,'Jan-2026 rates'!$H:$I,2,0)</f>
        <v>0</v>
      </c>
      <c r="LO225" s="417">
        <f t="shared" si="141"/>
        <v>21</v>
      </c>
      <c r="LP225" s="417">
        <f>VLOOKUP($LO$8,'Jan-2026 rates'!$H:$I,2,0)</f>
        <v>0</v>
      </c>
      <c r="LQ225" s="417">
        <f t="shared" si="142"/>
        <v>0</v>
      </c>
      <c r="LR225" s="417">
        <f>VLOOKUP($LQ$8,'Jan-2026 rates'!$H:$I,2,0)</f>
        <v>0</v>
      </c>
      <c r="LS225" s="417">
        <f t="shared" si="143"/>
        <v>0</v>
      </c>
      <c r="LT225" s="417">
        <f>VLOOKUP($LS$8,'Jan-2026 rates'!$H:$I,2,0)</f>
        <v>0</v>
      </c>
      <c r="LU225" s="417">
        <f t="shared" si="144"/>
        <v>0</v>
      </c>
      <c r="LV225" s="417">
        <f>VLOOKUP($LU$8,'Jan-2026 rates'!$H:$I,2,0)</f>
        <v>0</v>
      </c>
      <c r="LW225" s="417">
        <f t="shared" si="145"/>
        <v>0</v>
      </c>
      <c r="LX225" s="417">
        <f t="shared" si="146"/>
        <v>0</v>
      </c>
      <c r="LY225" s="418">
        <f t="shared" si="147"/>
        <v>0</v>
      </c>
      <c r="LZ225" s="417"/>
      <c r="MA225" s="435">
        <f t="shared" si="148"/>
        <v>103</v>
      </c>
      <c r="MB225" s="282">
        <f t="shared" si="149"/>
        <v>215</v>
      </c>
      <c r="MC225" s="283">
        <v>118</v>
      </c>
      <c r="MD225" s="284" t="str">
        <f t="shared" si="150"/>
        <v>FLINTSLFLINTSLFLINTSLFLINTSLFLINTSLFLINTSLFLINTSLFLINTSL</v>
      </c>
      <c r="ME225" s="293" t="str">
        <f t="shared" si="151"/>
        <v>+</v>
      </c>
      <c r="MF225" s="293" t="str">
        <f t="shared" si="152"/>
        <v>+</v>
      </c>
      <c r="MG225" s="293" t="str">
        <f t="shared" si="153"/>
        <v>+</v>
      </c>
      <c r="MH225" s="293" t="str">
        <f t="shared" si="154"/>
        <v>+</v>
      </c>
      <c r="MI225" s="293" t="str">
        <f t="shared" si="155"/>
        <v>+</v>
      </c>
      <c r="MJ225" s="293" t="str">
        <f t="shared" si="156"/>
        <v>+</v>
      </c>
      <c r="MK225" s="293" t="str">
        <f t="shared" si="157"/>
        <v>+</v>
      </c>
      <c r="ML225" s="293" t="str">
        <f t="shared" si="158"/>
        <v>+</v>
      </c>
      <c r="MM225" s="3" t="b">
        <f t="array" ref="MM225">OR(ME225:ML225="-")</f>
        <v>0</v>
      </c>
      <c r="MN225" s="285"/>
      <c r="MO225" s="401"/>
      <c r="MP225" s="286"/>
      <c r="MQ225" s="286"/>
      <c r="MR225" s="402"/>
      <c r="MS225" s="400"/>
      <c r="NH225" s="422"/>
      <c r="NJ225" s="421"/>
    </row>
    <row r="226" spans="1:374" s="1" customFormat="1" ht="16.5">
      <c r="A226" s="403">
        <v>46038</v>
      </c>
      <c r="B226" s="404" t="s">
        <v>1015</v>
      </c>
      <c r="C226" s="405" t="s">
        <v>3904</v>
      </c>
      <c r="D226" s="406">
        <v>119</v>
      </c>
      <c r="E226" s="404">
        <v>681</v>
      </c>
      <c r="F226" s="407">
        <v>21300</v>
      </c>
      <c r="G226" s="407" t="s">
        <v>1016</v>
      </c>
      <c r="H226" s="408" t="s">
        <v>1017</v>
      </c>
      <c r="I226" s="409">
        <v>1.9</v>
      </c>
      <c r="J226" s="405" t="s">
        <v>543</v>
      </c>
      <c r="K226" s="404" t="s">
        <v>3905</v>
      </c>
      <c r="L226" s="419" t="str">
        <f t="shared" si="131"/>
        <v>FLINTSL - BLACK</v>
      </c>
      <c r="M226" s="404">
        <v>26</v>
      </c>
      <c r="N226" s="410">
        <f>IF(M226=0,0,IF($LB226=70%,VLOOKUP($L226,'Jan-2026 rates'!$L:$R,4,0),IF($LB226=65%,VLOOKUP($L226,'Jan-2026 rates'!$L:$R,4,0),IF($LB226=40%,VLOOKUP($L226,'Jan-2026 rates'!$L:$R,5,0),IF($LB226=30%,VLOOKUP($L226,'Jan-2026 rates'!$L:$R,6,0),IF($LB226=100%,VLOOKUP($L226,'Jan-2026 rates'!$L:$R,7,0),IF($LB226=60%,VLOOKUP($L226,'Jan-2026 rates'!$L:$S,8,0),IF($LB226=80%,VLOOKUP($L226,'Jan-2026 rates'!L:T,9,0),0))))))))</f>
        <v>0</v>
      </c>
      <c r="O226" s="406"/>
      <c r="P226" s="404"/>
      <c r="Q226" s="410">
        <f>IF(P226=0,0,IF($LB226=70%,VLOOKUP($L226,'Jan-2026 rates'!$L:$R,4,0),IF($LB226=65%,VLOOKUP($L226,'Jan-2026 rates'!$L:$R,4,0),IF($LB226=40%,VLOOKUP($L226,'Jan-2026 rates'!$L:$R,5,0),IF($LB226=30%,VLOOKUP($L226,'Jan-2026 rates'!$L:$R,6,0),IF($LB226=100%,VLOOKUP($L226,'Jan-2026 rates'!$L:$R,7,0),IF($LB226=60%,VLOOKUP($L226,'Jan-2026 rates'!$L:$S,8,0),IF($LB226=80%,VLOOKUP($L226,'Jan-2026 rates'!L:T,9,0),0))))))))</f>
        <v>0</v>
      </c>
      <c r="R226" s="406" t="s">
        <v>1266</v>
      </c>
      <c r="S226" s="406">
        <v>26520000010</v>
      </c>
      <c r="T226" s="406"/>
      <c r="U226" s="406"/>
      <c r="V226" s="406"/>
      <c r="W226" s="406"/>
      <c r="X226" s="406"/>
      <c r="Y226" s="406"/>
      <c r="Z226" s="404">
        <v>2</v>
      </c>
      <c r="AA226" s="398">
        <f>IF(Z226=0,0,IF(LEN(R226)=11,_xlfn.XLOOKUP(R226,'Dispensed Ink Rates'!C:C,'Dispensed Ink Rates'!CS:CS),VLOOKUP(R226,'Jan-2026 rates'!$E:$F,2,0)))</f>
        <v>0</v>
      </c>
      <c r="AB226" s="404">
        <v>3</v>
      </c>
      <c r="AC226" s="398" t="e">
        <f>IF(AB226=0,0,IF(LEN(S226)=11,_xlfn.XLOOKUP(S226,'Dispensed Ink Rates'!C:C,'Dispensed Ink Rates'!CS:CS),VLOOKUP(S226,'Jan-2026 rates'!$E:$F,2,0)))</f>
        <v>#N/A</v>
      </c>
      <c r="AD226" s="404"/>
      <c r="AE226" s="398">
        <f>IF(AD226=0,0,IF(LEN(T226)=11,_xlfn.XLOOKUP(T226,'Dispensed Ink Rates'!C:C,'Dispensed Ink Rates'!CS:CS),VLOOKUP(T226,'Jan-2026 rates'!$E:$F,2,0)))</f>
        <v>0</v>
      </c>
      <c r="AF226" s="404"/>
      <c r="AG226" s="398">
        <f>IF(AF226=0,0,IF(LEN(U226)=11,_xlfn.XLOOKUP(U226,'Dispensed Ink Rates'!C:C,'Dispensed Ink Rates'!CS:CS),VLOOKUP(U226,'Jan-2026 rates'!$E:$F,2,0)))</f>
        <v>0</v>
      </c>
      <c r="AH226" s="404"/>
      <c r="AI226" s="398">
        <f>IF(AH226=0,0,IF(LEN(V226)=11,_xlfn.XLOOKUP(V226,'Dispensed Ink Rates'!C:C,'Dispensed Ink Rates'!CS:CS),VLOOKUP(V226,'Jan-2026 rates'!$E:$F,2,0)))</f>
        <v>0</v>
      </c>
      <c r="AJ226" s="404"/>
      <c r="AK226" s="398">
        <f>IF(AJ226=0,0,IF(LEN(W226)=11,_xlfn.XLOOKUP(W226,'Dispensed Ink Rates'!C:C,'Dispensed Ink Rates'!CS:CS),VLOOKUP(W226,'Jan-2026 rates'!$E:$F,2,0)))</f>
        <v>0</v>
      </c>
      <c r="AL226" s="404"/>
      <c r="AM226" s="398">
        <f>IF(AL226=0,0,IF(LEN(X226)=11,_xlfn.XLOOKUP(X226,'Dispensed Ink Rates'!C:C,'Dispensed Ink Rates'!CS:CS),VLOOKUP(X226,'Jan-2026 rates'!$E:$F,2,0)))</f>
        <v>0</v>
      </c>
      <c r="AN226" s="404"/>
      <c r="AO226" s="398">
        <f>IF(AN226=0,0,IF(LEN(Y226)=11,_xlfn.XLOOKUP(Y226,'Dispensed Ink Rates'!C:C,'Dispensed Ink Rates'!CS:CS),VLOOKUP(Y226,'Jan-2026 rates'!$E:$F,2,0)))</f>
        <v>0</v>
      </c>
      <c r="AP226" s="409" t="s">
        <v>1443</v>
      </c>
      <c r="AQ226" s="409">
        <v>28</v>
      </c>
      <c r="AR226" s="410">
        <f t="shared" si="159"/>
        <v>0</v>
      </c>
      <c r="AS226" s="411">
        <f t="shared" si="160"/>
        <v>9.974358974358978</v>
      </c>
      <c r="AT226" s="410">
        <f t="shared" si="161"/>
        <v>0</v>
      </c>
      <c r="AU226" s="405" t="s">
        <v>546</v>
      </c>
      <c r="AV226" s="409"/>
      <c r="AW226" s="420" t="str">
        <f t="shared" si="183"/>
        <v>FLINTSL - REFLEX BLUE</v>
      </c>
      <c r="AX226" s="409"/>
      <c r="AY226" s="411">
        <f>IF(AX226=0,0,IF($LB226=70%,VLOOKUP($AW226,'Jan-2026 rates'!$L:$R,4,0),IF($LB226=65%,VLOOKUP($AW226,'Jan-2026 rates'!$L:$R,4,0),IF($LB226=40%,VLOOKUP($AW226,'Jan-2026 rates'!$L:$R,5,0),IF($LB226=30%,VLOOKUP($AW226,'Jan-2026 rates'!$L:$R,6,0),IF($LB226=100%,VLOOKUP($AW226,'Jan-2026 rates'!$L:$R,7,0),IF($LB226=60%,VLOOKUP($AW226,'Jan-2026 rates'!$L:$S,8,0),IF($LB226=80%,VLOOKUP($AW226,'Jan-2026 rates'!L:T,9,0),0))))))))</f>
        <v>0</v>
      </c>
      <c r="AZ226" s="412"/>
      <c r="BA226" s="409"/>
      <c r="BB226" s="411">
        <f>IF(BA226=0,0,IF($LB226=70%,VLOOKUP($AW226,'Jan-2026 rates'!$L:$R,4,0),IF($LB226=65%,VLOOKUP($AW226,'Jan-2026 rates'!$L:$R,4,0),IF($LB226=40%,VLOOKUP($AW226,'Jan-2026 rates'!$L:$R,5,0),IF($LB226=30%,VLOOKUP($AW226,'Jan-2026 rates'!$L:$R,6,0),IF($LB226=100%,VLOOKUP($AW226,'Jan-2026 rates'!$L:$R,7,0),IF($LB226=60%,VLOOKUP($AW226,'Jan-2026 rates'!$L:$S,8,0),IF($LB226=80%,VLOOKUP($AW226,'Jan-2026 rates'!L:T,9,0),0))))))))</f>
        <v>0</v>
      </c>
      <c r="BC226" s="413">
        <v>26516000019</v>
      </c>
      <c r="BD226" s="412">
        <v>26517000041</v>
      </c>
      <c r="BE226" s="412">
        <v>26520000010</v>
      </c>
      <c r="BF226" s="413"/>
      <c r="BG226" s="412"/>
      <c r="BH226" s="412"/>
      <c r="BI226" s="412"/>
      <c r="BJ226" s="412"/>
      <c r="BK226" s="409">
        <v>10</v>
      </c>
      <c r="BL226" s="398" t="e">
        <f>IF(BK226=0,0,IF(LEN(BC226)=11,_xlfn.XLOOKUP(BC226,'Dispensed Ink Rates'!C:C,'Dispensed Ink Rates'!CS:CS),VLOOKUP(BC226,'Jan-2026 rates'!$E:$F,2,0)))</f>
        <v>#N/A</v>
      </c>
      <c r="BM226" s="409">
        <v>10</v>
      </c>
      <c r="BN226" s="398" t="e">
        <f>IF(BM226=0,0,IF(LEN(BD226)=11,_xlfn.XLOOKUP(BD226,'Dispensed Ink Rates'!C:C,'Dispensed Ink Rates'!CS:CS),VLOOKUP(BD226,'Jan-2026 rates'!$E:$F,2,0)))</f>
        <v>#N/A</v>
      </c>
      <c r="BO226" s="409">
        <v>0.2</v>
      </c>
      <c r="BP226" s="398" t="e">
        <f>IF(BO226=0,0,IF(LEN(BE226)=11,_xlfn.XLOOKUP(BE226,'Dispensed Ink Rates'!C:C,'Dispensed Ink Rates'!CS:CS),VLOOKUP(BE226,'Jan-2026 rates'!$E:$F,2,0)))</f>
        <v>#N/A</v>
      </c>
      <c r="BQ226" s="409"/>
      <c r="BR226" s="398">
        <f>IF(BQ226=0,0,IF(LEN(BF226)=11,_xlfn.XLOOKUP(BF226,'Dispensed Ink Rates'!C:C,'Dispensed Ink Rates'!CS:CS),VLOOKUP(BF226,'Jan-2026 rates'!$E:$F,2,0)))</f>
        <v>0</v>
      </c>
      <c r="BS226" s="409"/>
      <c r="BT226" s="398">
        <f>IF(BS226=0,0,IF(LEN(BG226)=11,_xlfn.XLOOKUP(BG226,'Dispensed Ink Rates'!C:C,'Dispensed Ink Rates'!CS:CS),VLOOKUP(BG226,'Jan-2026 rates'!$E:$F,2,0)))</f>
        <v>0</v>
      </c>
      <c r="BU226" s="409"/>
      <c r="BV226" s="398">
        <f>IF(BU226=0,0,IF(LEN(BH226)=11,_xlfn.XLOOKUP(BH226,'Dispensed Ink Rates'!C:C,'Dispensed Ink Rates'!CS:CS),VLOOKUP(BH226,'Jan-2026 rates'!$E:$F,2,0)))</f>
        <v>0</v>
      </c>
      <c r="BW226" s="409"/>
      <c r="BX226" s="398">
        <f>IF(BW226=0,0,IF(LEN(BI226)=11,_xlfn.XLOOKUP(BI226,'Dispensed Ink Rates'!C:C,'Dispensed Ink Rates'!CS:CS),VLOOKUP(BI226,'Jan-2026 rates'!$E:$F,2,0)))</f>
        <v>0</v>
      </c>
      <c r="BY226" s="409"/>
      <c r="BZ226" s="398">
        <f>IF(BY226=0,0,IF(LEN(BJ226)=11,_xlfn.XLOOKUP(BJ226,'Dispensed Ink Rates'!C:C,'Dispensed Ink Rates'!CS:CS),VLOOKUP(BJ226,'Jan-2026 rates'!$E:$F,2,0)))</f>
        <v>0</v>
      </c>
      <c r="CA226" s="409" t="s">
        <v>1443</v>
      </c>
      <c r="CB226" s="409">
        <v>32</v>
      </c>
      <c r="CC226" s="411">
        <f t="shared" si="162"/>
        <v>0</v>
      </c>
      <c r="CD226" s="411">
        <f t="shared" si="163"/>
        <v>14.353846153846156</v>
      </c>
      <c r="CE226" s="410">
        <f t="shared" si="164"/>
        <v>0</v>
      </c>
      <c r="CF226" s="404" t="s">
        <v>828</v>
      </c>
      <c r="CG226" s="409" t="s">
        <v>3906</v>
      </c>
      <c r="CH226" s="420" t="str">
        <f t="shared" si="132"/>
        <v>FLINTSL - ORANGE</v>
      </c>
      <c r="CI226" s="409">
        <v>5</v>
      </c>
      <c r="CJ226" s="411">
        <f>IF(CI226=0,0,IF($LB226=70%,VLOOKUP($CH226,'Jan-2026 rates'!$L:$R,4,0),IF($LB226=65%,VLOOKUP($CH226,'Jan-2026 rates'!$L:$R,4,0),IF($LB226=40%,VLOOKUP($CH226,'Jan-2026 rates'!$L:$R,5,0),IF($LB226=30%,VLOOKUP($CH226,'Jan-2026 rates'!$L:$R,6,0),IF($LB226=100%,VLOOKUP($CH226,'Jan-2026 rates'!$L:$R,7,0),IF($LB226=60%,VLOOKUP($CH226,'Jan-2026 rates'!$L:$S,8,0),IF($LB226=80%,VLOOKUP($CH226,'Jan-2026 rates'!L:T,9,0),0))))))))</f>
        <v>0</v>
      </c>
      <c r="CK226" s="412" t="s">
        <v>3907</v>
      </c>
      <c r="CL226" s="409">
        <v>24</v>
      </c>
      <c r="CM226" s="411">
        <f>IF(CL226=0,0,IF($LB226=70%,VLOOKUP($CH226,'Jan-2026 rates'!$L:$R,4,0),IF($LB226=65%,VLOOKUP($CH226,'Jan-2026 rates'!$L:$R,4,0),IF($LB226=40%,VLOOKUP($CH226,'Jan-2026 rates'!$L:$R,5,0),IF($LB226=30%,VLOOKUP($CH226,'Jan-2026 rates'!$L:$R,6,0),IF($LB226=100%,VLOOKUP($CH226,'Jan-2026 rates'!$L:$R,7,0),IF($LB226=60%,VLOOKUP($CH226,'Jan-2026 rates'!$L:$S,8,0),IF($LB226=80%,VLOOKUP($CH226,'Jan-2026 rates'!L:T,9,0),0))))))))</f>
        <v>0</v>
      </c>
      <c r="CN226" s="426">
        <v>26516000012</v>
      </c>
      <c r="CO226" s="427"/>
      <c r="CP226" s="426"/>
      <c r="CQ226" s="426"/>
      <c r="CR226" s="428"/>
      <c r="CS226" s="428"/>
      <c r="CT226" s="428"/>
      <c r="CU226" s="428"/>
      <c r="CV226" s="409">
        <v>1</v>
      </c>
      <c r="CW226" s="398" t="e">
        <f>IF(CV226=0,0,IF(LEN(CN226)=11,_xlfn.XLOOKUP(CN226,'Dispensed Ink Rates'!C:C,'Dispensed Ink Rates'!CS:CS),VLOOKUP(CN226,'Jan-2026 rates'!$E:$F,2,0)))</f>
        <v>#N/A</v>
      </c>
      <c r="CX226" s="409"/>
      <c r="CY226" s="398">
        <f>IF(CX226=0,0,IF(LEN(CO226)=11,_xlfn.XLOOKUP(CO226,'Dispensed Ink Rates'!C:C,'Dispensed Ink Rates'!CS:CS),VLOOKUP(CO226,'Jan-2026 rates'!$E:$F,2,0)))</f>
        <v>0</v>
      </c>
      <c r="CZ226" s="409"/>
      <c r="DA226" s="398">
        <f>IF(CZ226=0,0,IF(LEN(CP226)=11,_xlfn.XLOOKUP(CP226,'Dispensed Ink Rates'!C:C,'Dispensed Ink Rates'!CS:CS),VLOOKUP(CP226,'Jan-2026 rates'!$E:$F,2,0)))</f>
        <v>0</v>
      </c>
      <c r="DB226" s="409"/>
      <c r="DC226" s="398">
        <f>IF(DB226=0,0,IF(LEN(CQ226)=11,_xlfn.XLOOKUP(CQ226,'Dispensed Ink Rates'!C:C,'Dispensed Ink Rates'!CS:CS),VLOOKUP(CQ226,'Jan-2026 rates'!$E:$F,2,0)))</f>
        <v>0</v>
      </c>
      <c r="DD226" s="409"/>
      <c r="DE226" s="398">
        <f>IF(DD226=0,0,IF(LEN(CR226)=11,_xlfn.XLOOKUP(CR226,'Dispensed Ink Rates'!C:C,'Dispensed Ink Rates'!CS:CS),VLOOKUP(CR226,'Jan-2026 rates'!$E:$F,2,0)))</f>
        <v>0</v>
      </c>
      <c r="DF226" s="409"/>
      <c r="DG226" s="398">
        <f>IF(DF226=0,0,IF(LEN(CS226)=11,_xlfn.XLOOKUP(CS226,'Dispensed Ink Rates'!C:C,'Dispensed Ink Rates'!CS:CS),VLOOKUP(CS226,'Jan-2026 rates'!$E:$F,2,0)))</f>
        <v>0</v>
      </c>
      <c r="DH226" s="409"/>
      <c r="DI226" s="398">
        <f>IF(DH226=0,0,IF(LEN(CT226)=11,_xlfn.XLOOKUP(CT226,'Dispensed Ink Rates'!C:C,'Dispensed Ink Rates'!CS:CS),VLOOKUP(CT226,'Jan-2026 rates'!$E:$F,2,0)))</f>
        <v>0</v>
      </c>
      <c r="DJ226" s="409"/>
      <c r="DK226" s="398">
        <f>IF(DJ226=0,0,IF(LEN(CU226)=11,_xlfn.XLOOKUP(CU226,'Dispensed Ink Rates'!C:C,'Dispensed Ink Rates'!CS:CS),VLOOKUP(CU226,'Jan-2026 rates'!$E:$F,2,0)))</f>
        <v>0</v>
      </c>
      <c r="DL226" s="409" t="s">
        <v>1443</v>
      </c>
      <c r="DM226" s="409">
        <v>20</v>
      </c>
      <c r="DN226" s="411">
        <f t="shared" si="165"/>
        <v>0</v>
      </c>
      <c r="DO226" s="411">
        <f t="shared" si="166"/>
        <v>13.487179487179489</v>
      </c>
      <c r="DP226" s="410">
        <f t="shared" si="167"/>
        <v>0</v>
      </c>
      <c r="DQ226" s="405" t="s">
        <v>855</v>
      </c>
      <c r="DR226" s="409" t="s">
        <v>3908</v>
      </c>
      <c r="DS226" s="420" t="str">
        <f t="shared" si="133"/>
        <v>FLINTSL - CYAN</v>
      </c>
      <c r="DT226" s="409">
        <v>24</v>
      </c>
      <c r="DU226" s="411">
        <f>IF(DT226=0,0,IF($LB226=70%,VLOOKUP($DS226,'Jan-2026 rates'!$L:$R,4,0),IF($LB226=65%,VLOOKUP($DS226,'Jan-2026 rates'!$L:$R,4,0),IF($LB226=40%,VLOOKUP($DS226,'Jan-2026 rates'!$L:$R,5,0),IF($LB226=30%,VLOOKUP($DS226,'Jan-2026 rates'!$L:$R,6,0),IF($LB226=100%,VLOOKUP($DS226,'Jan-2026 rates'!$L:$R,7,0),IF($LB226=60%,VLOOKUP($DS226,'Jan-2026 rates'!$L:$S,8,0),IF($LB226=80%,VLOOKUP($DS226,'Jan-2026 rates'!L:T,9,0),0))))))))</f>
        <v>0</v>
      </c>
      <c r="DV226" s="412"/>
      <c r="DW226" s="409"/>
      <c r="DX226" s="411">
        <f>IF(DW226=0,0,IF($LB226=70%,VLOOKUP($DS226,'Jan-2026 rates'!$L:$R,4,0),IF($LB226=65%,VLOOKUP($DS226,'Jan-2026 rates'!$L:$R,4,0),IF($LB226=40%,VLOOKUP($DS226,'Jan-2026 rates'!$L:$R,5,0),IF($LB226=30%,VLOOKUP($DS226,'Jan-2026 rates'!$L:$R,6,0),IF($LB226=100%,VLOOKUP($DS226,'Jan-2026 rates'!$L:$R,7,0),IF($LB226=60%,VLOOKUP($DS226,'Jan-2026 rates'!$L:$S,8,0),IF($LB226=80%,VLOOKUP($DS226,'Jan-2026 rates'!L:T,9,0),0))))))))</f>
        <v>0</v>
      </c>
      <c r="DY226" s="413">
        <v>26515000029</v>
      </c>
      <c r="DZ226" s="413"/>
      <c r="EA226" s="412"/>
      <c r="EB226" s="412"/>
      <c r="EC226" s="412"/>
      <c r="ED226" s="412"/>
      <c r="EE226" s="412"/>
      <c r="EF226" s="412"/>
      <c r="EG226" s="409">
        <v>6</v>
      </c>
      <c r="EH226" s="398" t="e">
        <f>IF(EG226=0,0,IF(LEN(DY226)=11,_xlfn.XLOOKUP(DY226,'Dispensed Ink Rates'!C:C,'Dispensed Ink Rates'!CS:CS),VLOOKUP(DY226,'Jan-2026 rates'!$E:$F,2,0)))</f>
        <v>#N/A</v>
      </c>
      <c r="EI226" s="409"/>
      <c r="EJ226" s="398">
        <f>IF(EI226=0,0,IF(LEN(DZ226)=11,_xlfn.XLOOKUP(DZ226,'Dispensed Ink Rates'!C:C,'Dispensed Ink Rates'!CS:CS),VLOOKUP(DZ226,'Jan-2026 rates'!$E:$F,2,0)))</f>
        <v>0</v>
      </c>
      <c r="EK226" s="409"/>
      <c r="EL226" s="398">
        <f>IF(EK226=0,0,IF(LEN(EA226)=11,_xlfn.XLOOKUP(EA226,'Dispensed Ink Rates'!C:C,'Dispensed Ink Rates'!CS:CS),VLOOKUP(EA226,'Jan-2026 rates'!$E:$F,2,0)))</f>
        <v>0</v>
      </c>
      <c r="EM226" s="409"/>
      <c r="EN226" s="398">
        <f>IF(EM226=0,0,IF(LEN(EB226)=11,_xlfn.XLOOKUP(EB226,'Dispensed Ink Rates'!C:C,'Dispensed Ink Rates'!CS:CS),VLOOKUP(EB226,'Jan-2026 rates'!$E:$F,2,0)))</f>
        <v>0</v>
      </c>
      <c r="EO226" s="409"/>
      <c r="EP226" s="398">
        <f>IF(EO226=0,0,IF(LEN(EC226)=11,_xlfn.XLOOKUP(EC226,'Dispensed Ink Rates'!C:C,'Dispensed Ink Rates'!CS:CS),VLOOKUP(EC226,'Jan-2026 rates'!$E:$F,2,0)))</f>
        <v>0</v>
      </c>
      <c r="EQ226" s="409"/>
      <c r="ER226" s="398">
        <f>IF(EQ226=0,0,IF(LEN(ED226)=11,_xlfn.XLOOKUP(ED226,'Dispensed Ink Rates'!C:C,'Dispensed Ink Rates'!CS:CS),VLOOKUP(ED226,'Jan-2026 rates'!$E:$F,2,0)))</f>
        <v>0</v>
      </c>
      <c r="ES226" s="409"/>
      <c r="ET226" s="398">
        <f>IF(ES226=0,0,IF(LEN(EE226)=11,_xlfn.XLOOKUP(EE226,'Dispensed Ink Rates'!C:C,'Dispensed Ink Rates'!CS:CS),VLOOKUP(EE226,'Jan-2026 rates'!$E:$F,2,0)))</f>
        <v>0</v>
      </c>
      <c r="EU226" s="409"/>
      <c r="EV226" s="398">
        <f>IF(EU226=0,0,IF(LEN(EF226)=11,_xlfn.XLOOKUP(EF226,'Dispensed Ink Rates'!C:C,'Dispensed Ink Rates'!CS:CS),VLOOKUP(EF226,'Jan-2026 rates'!$E:$F,2,0)))</f>
        <v>0</v>
      </c>
      <c r="EW226" s="409" t="s">
        <v>1443</v>
      </c>
      <c r="EX226" s="409">
        <v>28</v>
      </c>
      <c r="EY226" s="411">
        <f t="shared" si="168"/>
        <v>0</v>
      </c>
      <c r="EZ226" s="411">
        <f t="shared" si="169"/>
        <v>10.717948717948715</v>
      </c>
      <c r="FA226" s="410">
        <f t="shared" si="170"/>
        <v>0</v>
      </c>
      <c r="FB226" s="405" t="s">
        <v>544</v>
      </c>
      <c r="FC226" s="409" t="s">
        <v>3909</v>
      </c>
      <c r="FD226" s="420" t="str">
        <f t="shared" si="134"/>
        <v>FLINTSL - MAGENTA</v>
      </c>
      <c r="FE226" s="409">
        <v>25</v>
      </c>
      <c r="FF226" s="411">
        <f>IF(FE226=0,0,IF($LB226=70%,VLOOKUP($FD226,'Jan-2026 rates'!$L:$R,4,0),IF($LB226=65%,VLOOKUP($FD226,'Jan-2026 rates'!$L:$R,4,0),IF($LB226=40%,VLOOKUP($FD226,'Jan-2026 rates'!$L:$R,5,0),IF($LB226=30%,VLOOKUP($FD226,'Jan-2026 rates'!$L:$R,6,0),IF($LB226=100%,VLOOKUP($FD226,'Jan-2026 rates'!$L:$R,7,0),IF($LB226=60%,VLOOKUP($FD226,'Jan-2026 rates'!$L:$S,8,0),IF($LB226=80%,VLOOKUP($FD226,'Jan-2026 rates'!L:T,9,0),0))))))))</f>
        <v>0</v>
      </c>
      <c r="FG226" s="412"/>
      <c r="FH226" s="409"/>
      <c r="FI226" s="411">
        <f>IF(FH226=0,0,IF($LB226=70%,VLOOKUP($FD226,'Jan-2026 rates'!$L:$R,4,0),IF($LB226=65%,VLOOKUP($FD226,'Jan-2026 rates'!$L:$R,4,0),IF($LB226=40%,VLOOKUP($FD226,'Jan-2026 rates'!$L:$R,5,0),IF($LB226=30%,VLOOKUP($FD226,'Jan-2026 rates'!$L:$R,6,0),IF($LB226=100%,VLOOKUP($FD226,'Jan-2026 rates'!$L:$R,7,0),IF($LB226=60%,VLOOKUP($FD226,'Jan-2026 rates'!$L:$S,8,0),IF($LB226=80%,VLOOKUP($FD226,'Jan-2026 rates'!L:T,9,0),0))))))))</f>
        <v>0</v>
      </c>
      <c r="FJ226" s="413" t="s">
        <v>1266</v>
      </c>
      <c r="FK226" s="413"/>
      <c r="FL226" s="413"/>
      <c r="FM226" s="412"/>
      <c r="FN226" s="412"/>
      <c r="FO226" s="412"/>
      <c r="FP226" s="412"/>
      <c r="FQ226" s="412"/>
      <c r="FR226" s="409">
        <v>5</v>
      </c>
      <c r="FS226" s="398">
        <f>IF(FR226=0,0,IF(LEN(FJ226)=11,_xlfn.XLOOKUP(FJ226,'Dispensed Ink Rates'!C:C,'Dispensed Ink Rates'!CS:CS),VLOOKUP(FJ226,'Jan-2026 rates'!$E:$F,2,0)))</f>
        <v>0</v>
      </c>
      <c r="FT226" s="409"/>
      <c r="FU226" s="398">
        <f>IF(FT226=0,0,IF(LEN(FK226)=11,_xlfn.XLOOKUP(FK226,'Dispensed Ink Rates'!C:C,'Dispensed Ink Rates'!CS:CS),VLOOKUP(FK226,'Jan-2026 rates'!$E:$F,2,0)))</f>
        <v>0</v>
      </c>
      <c r="FV226" s="409"/>
      <c r="FW226" s="398">
        <f>IF(FV226=0,0,IF(LEN(FL226)=11,_xlfn.XLOOKUP(FL226,'Dispensed Ink Rates'!C:C,'Dispensed Ink Rates'!CS:CS),VLOOKUP(FL226,'Jan-2026 rates'!$E:$F,2,0)))</f>
        <v>0</v>
      </c>
      <c r="FX226" s="409"/>
      <c r="FY226" s="398">
        <f>IF(FX226=0,0,IF(LEN(FM226)=11,_xlfn.XLOOKUP(FM226,'Dispensed Ink Rates'!C:C,'Dispensed Ink Rates'!CS:CS),VLOOKUP(FM226,'Jan-2026 rates'!$E:$F,2,0)))</f>
        <v>0</v>
      </c>
      <c r="FZ226" s="409"/>
      <c r="GA226" s="398">
        <f>IF(FZ226=0,0,IF(LEN(FN226)=11,_xlfn.XLOOKUP(FN226,'Dispensed Ink Rates'!C:C,'Dispensed Ink Rates'!CS:CS),VLOOKUP(FN226,'Jan-2026 rates'!$E:$F,2,0)))</f>
        <v>0</v>
      </c>
      <c r="GB226" s="409"/>
      <c r="GC226" s="398">
        <f>IF(GB226=0,0,IF(LEN(FO226)=11,_xlfn.XLOOKUP(FO226,'Dispensed Ink Rates'!C:C,'Dispensed Ink Rates'!CS:CS),VLOOKUP(FO226,'Jan-2026 rates'!$E:$F,2,0)))</f>
        <v>0</v>
      </c>
      <c r="GD226" s="409"/>
      <c r="GE226" s="398">
        <f>IF(GD226=0,0,IF(LEN(FP226)=11,_xlfn.XLOOKUP(FP226,'Dispensed Ink Rates'!C:C,'Dispensed Ink Rates'!CS:CS),VLOOKUP(FP226,'Jan-2026 rates'!$E:$F,2,0)))</f>
        <v>0</v>
      </c>
      <c r="GF226" s="409"/>
      <c r="GG226" s="398">
        <f>IF(GF226=0,0,IF(LEN(FQ226)=11,_xlfn.XLOOKUP(FQ226,'Dispensed Ink Rates'!C:C,'Dispensed Ink Rates'!CS:CS),VLOOKUP(FQ226,'Jan-2026 rates'!$E:$F,2,0)))</f>
        <v>0</v>
      </c>
      <c r="GH226" s="409" t="s">
        <v>1443</v>
      </c>
      <c r="GI226" s="409">
        <v>25</v>
      </c>
      <c r="GJ226" s="411">
        <f t="shared" si="171"/>
        <v>0</v>
      </c>
      <c r="GK226" s="411">
        <f t="shared" si="172"/>
        <v>11.974358974358978</v>
      </c>
      <c r="GL226" s="410">
        <f t="shared" si="173"/>
        <v>0</v>
      </c>
      <c r="GM226" s="405" t="s">
        <v>545</v>
      </c>
      <c r="GN226" s="409" t="s">
        <v>3910</v>
      </c>
      <c r="GO226" s="420" t="str">
        <f t="shared" si="135"/>
        <v>FLINTSL - YELLOW</v>
      </c>
      <c r="GP226" s="409">
        <v>30</v>
      </c>
      <c r="GQ226" s="411">
        <f>IF(GP226=0,0,IF($LB226=70%,VLOOKUP($GO226,'Jan-2026 rates'!$L:$R,4,0),IF($LB226=65%,VLOOKUP($GO226,'Jan-2026 rates'!$L:$R,4,0),IF($LB226=40%,VLOOKUP($GO226,'Jan-2026 rates'!$L:$R,5,0),IF($LB226=30%,VLOOKUP($GO226,'Jan-2026 rates'!$L:$R,6,0),IF($LB226=100%,VLOOKUP($GO226,'Jan-2026 rates'!$L:$R,7,0),IF($LB226=60%,VLOOKUP($GO226,'Jan-2026 rates'!$L:$S,8,0),IF($LB226=80%,VLOOKUP($GO226,'Jan-2026 rates'!L:T,9,0),0))))))))</f>
        <v>0</v>
      </c>
      <c r="GR226" s="412"/>
      <c r="GS226" s="409"/>
      <c r="GT226" s="411">
        <f>IF(GS226=0,0,IF($LB226=70%,VLOOKUP($GO226,'Jan-2026 rates'!$L:$R,4,0),IF($LB226=65%,VLOOKUP($GO226,'Jan-2026 rates'!$L:$R,4,0),IF($LB226=40%,VLOOKUP($GO226,'Jan-2026 rates'!$L:$R,5,0),IF($LB226=30%,VLOOKUP($GO226,'Jan-2026 rates'!$L:$R,6,0),IF($LB226=100%,VLOOKUP($GO226,'Jan-2026 rates'!$L:$R,7,0),IF($LB226=60%,VLOOKUP($GO226,'Jan-2026 rates'!$L:$S,8,0),IF($LB226=80%,VLOOKUP($GO226,'Jan-2026 rates'!L:T,9,0),0))))))))</f>
        <v>0</v>
      </c>
      <c r="GU226" s="413">
        <v>26516000015</v>
      </c>
      <c r="GV226" s="413" t="s">
        <v>1266</v>
      </c>
      <c r="GW226" s="412"/>
      <c r="GX226" s="412"/>
      <c r="GY226" s="412"/>
      <c r="GZ226" s="412"/>
      <c r="HA226" s="412"/>
      <c r="HB226" s="412"/>
      <c r="HC226" s="409">
        <v>7</v>
      </c>
      <c r="HD226" s="398" t="e">
        <f>IF(HC226=0,0,IF(LEN(GU226)=11,_xlfn.XLOOKUP(GU226,'Dispensed Ink Rates'!C:C,'Dispensed Ink Rates'!CS:CS),VLOOKUP(GU226,'Jan-2026 rates'!$E:$F,2,0)))</f>
        <v>#N/A</v>
      </c>
      <c r="HE226" s="409">
        <v>3</v>
      </c>
      <c r="HF226" s="398">
        <f>IF(HE226=0,0,IF(LEN(GV226)=11,_xlfn.XLOOKUP(GV226,'Dispensed Ink Rates'!C:C,'Dispensed Ink Rates'!CS:CS),VLOOKUP(GV226,'Jan-2026 rates'!$E:$F,2,0)))</f>
        <v>0</v>
      </c>
      <c r="HG226" s="409"/>
      <c r="HH226" s="398">
        <f>IF(HG226=0,0,IF(LEN(GW226)=11,_xlfn.XLOOKUP(GW226,'Dispensed Ink Rates'!C:C,'Dispensed Ink Rates'!CS:CS),VLOOKUP(GW226,'Jan-2026 rates'!$E:$F,2,0)))</f>
        <v>0</v>
      </c>
      <c r="HI226" s="409"/>
      <c r="HJ226" s="398">
        <f>IF(HI226=0,0,IF(LEN(GX226)=11,_xlfn.XLOOKUP(GX226,'Dispensed Ink Rates'!C:C,'Dispensed Ink Rates'!CS:CS),VLOOKUP(GX226,'Jan-2026 rates'!$E:$F,2,0)))</f>
        <v>0</v>
      </c>
      <c r="HK226" s="409"/>
      <c r="HL226" s="398">
        <f>IF(HK226=0,0,IF(LEN(GY226)=11,_xlfn.XLOOKUP(GY226,'Dispensed Ink Rates'!C:C,'Dispensed Ink Rates'!CS:CS),VLOOKUP(GY226,'Jan-2026 rates'!$E:$F,2,0)))</f>
        <v>0</v>
      </c>
      <c r="HM226" s="409"/>
      <c r="HN226" s="398">
        <f>IF(HM226=0,0,IF(LEN(GZ226)=11,_xlfn.XLOOKUP(GZ226,'Dispensed Ink Rates'!C:C,'Dispensed Ink Rates'!CS:CS),VLOOKUP(GZ226,'Jan-2026 rates'!$E:$F,2,0)))</f>
        <v>0</v>
      </c>
      <c r="HO226" s="409"/>
      <c r="HP226" s="398">
        <f>IF(HO226=0,0,IF(LEN(HA226)=11,_xlfn.XLOOKUP(HA226,'Dispensed Ink Rates'!C:C,'Dispensed Ink Rates'!CS:CS),VLOOKUP(HA226,'Jan-2026 rates'!$E:$F,2,0)))</f>
        <v>0</v>
      </c>
      <c r="HQ226" s="409"/>
      <c r="HR226" s="398">
        <f>IF(HQ226=0,0,IF(LEN(HB226)=11,_xlfn.XLOOKUP(HB226,'Dispensed Ink Rates'!C:C,'Dispensed Ink Rates'!CS:CS),VLOOKUP(HB226,'Jan-2026 rates'!$E:$F,2,0)))</f>
        <v>0</v>
      </c>
      <c r="HS226" s="409" t="s">
        <v>1443</v>
      </c>
      <c r="HT226" s="409">
        <v>20</v>
      </c>
      <c r="HU226" s="411">
        <f t="shared" si="174"/>
        <v>0</v>
      </c>
      <c r="HV226" s="411">
        <f t="shared" si="175"/>
        <v>33.948717948717949</v>
      </c>
      <c r="HW226" s="414">
        <f t="shared" si="176"/>
        <v>0</v>
      </c>
      <c r="HX226" s="405" t="s">
        <v>546</v>
      </c>
      <c r="HY226" s="409"/>
      <c r="HZ226" s="420" t="str">
        <f t="shared" si="136"/>
        <v>FLINTSL - REFLEX BLUE</v>
      </c>
      <c r="IA226" s="409"/>
      <c r="IB226" s="411">
        <f>IF(IA226=0,0,IF($LB226=70%,VLOOKUP($HZ226,'Jan-2026 rates'!$L:$R,4,0),IF($LB226=65%,VLOOKUP($HZ226,'Jan-2026 rates'!$L:$R,4,0),IF($LB226=40%,VLOOKUP($HZ226,'Jan-2026 rates'!$L:$R,5,0),IF($LB226=30%,VLOOKUP($HZ226,'Jan-2026 rates'!$L:$R,6,0),IF($LB226=100%,VLOOKUP($HZ226,'Jan-2026 rates'!$L:$R,7,0),IF($LB226=60%,VLOOKUP($HZ226,'Jan-2026 rates'!$L:$S,8,0),IF($LB226=80%,VLOOKUP($HZ226,'Jan-2026 rates'!L:T,9,0),0))))))))</f>
        <v>0</v>
      </c>
      <c r="IC226" s="412"/>
      <c r="ID226" s="409"/>
      <c r="IE226" s="411">
        <f>IF(ID226=0,0,IF($LB226=70%,VLOOKUP($HZ226,'Jan-2026 rates'!$L:$R,4,0),IF($LB226=65%,VLOOKUP($HZ226,'Jan-2026 rates'!$L:$R,4,0),IF($LB226=40%,VLOOKUP($HZ226,'Jan-2026 rates'!$L:$R,5,0),IF($LB226=30%,VLOOKUP($HZ226,'Jan-2026 rates'!$L:$R,6,0),IF($LB226=100%,VLOOKUP($HZ226,'Jan-2026 rates'!$L:$R,7,0),IF($LB226=60%,VLOOKUP($HZ226,'Jan-2026 rates'!$L:$S,8,0),IF($LB226=80%,VLOOKUP($HZ226,'Jan-2026 rates'!L:T,9,0),0))))))))</f>
        <v>0</v>
      </c>
      <c r="IF226" s="412">
        <v>26516000024</v>
      </c>
      <c r="IG226" s="413">
        <v>26516000026</v>
      </c>
      <c r="IH226" s="412">
        <v>26516000027</v>
      </c>
      <c r="II226" s="412">
        <v>26516000019</v>
      </c>
      <c r="IJ226" s="412"/>
      <c r="IK226" s="412"/>
      <c r="IL226" s="412"/>
      <c r="IM226" s="412"/>
      <c r="IN226" s="409">
        <v>30</v>
      </c>
      <c r="IO226" s="398" t="e">
        <f>IF(IN226=0,0,IF(LEN(IF226)=11,_xlfn.XLOOKUP(IF226,'Dispensed Ink Rates'!C:C,'Dispensed Ink Rates'!CS:CS),VLOOKUP(IF226,'Jan-2026 rates'!$E:$F,2,0)))</f>
        <v>#N/A</v>
      </c>
      <c r="IP226" s="409">
        <v>40</v>
      </c>
      <c r="IQ226" s="398" t="e">
        <f>IF(IP226=0,0,IF(LEN(IG226)=11,_xlfn.XLOOKUP(IG226,'Dispensed Ink Rates'!C:C,'Dispensed Ink Rates'!CS:CS),VLOOKUP(IG226,'Jan-2026 rates'!$E:$F,2,0)))</f>
        <v>#N/A</v>
      </c>
      <c r="IR226" s="409">
        <v>5</v>
      </c>
      <c r="IS226" s="398" t="e">
        <f>IF(IR226=0,0,IF(LEN(IH226)=11,_xlfn.XLOOKUP(IH226,'Dispensed Ink Rates'!C:C,'Dispensed Ink Rates'!CS:CS),VLOOKUP(IH226,'Jan-2026 rates'!$E:$F,2,0)))</f>
        <v>#N/A</v>
      </c>
      <c r="IT226" s="409">
        <v>0.3</v>
      </c>
      <c r="IU226" s="398" t="e">
        <f>IF(IT226=0,0,IF(LEN(II226)=11,_xlfn.XLOOKUP(II226,'Dispensed Ink Rates'!C:C,'Dispensed Ink Rates'!CS:CS),VLOOKUP(II226,'Jan-2026 rates'!$E:$F,2,0)))</f>
        <v>#N/A</v>
      </c>
      <c r="IV226" s="409"/>
      <c r="IW226" s="398">
        <f>IF(IV226=0,0,IF(LEN(IJ226)=11,_xlfn.XLOOKUP(IJ226,'Dispensed Ink Rates'!C:C,'Dispensed Ink Rates'!CS:CS),VLOOKUP(IJ226,'Jan-2026 rates'!$E:$F,2,0)))</f>
        <v>0</v>
      </c>
      <c r="IX226" s="409"/>
      <c r="IY226" s="398">
        <f>IF(IX226=0,0,IF(LEN(IK226)=11,_xlfn.XLOOKUP(IK226,'Dispensed Ink Rates'!C:C,'Dispensed Ink Rates'!CS:CS),VLOOKUP(IK226,'Jan-2026 rates'!$E:$F,2,0)))</f>
        <v>0</v>
      </c>
      <c r="IZ226" s="409"/>
      <c r="JA226" s="398">
        <f>IF(IZ226=0,0,IF(LEN(IL226)=11,_xlfn.XLOOKUP(IL226,'Dispensed Ink Rates'!C:C,'Dispensed Ink Rates'!CS:CS),VLOOKUP(IL226,'Jan-2026 rates'!$E:$F,2,0)))</f>
        <v>0</v>
      </c>
      <c r="JB226" s="409"/>
      <c r="JC226" s="398">
        <f>IF(JB226=0,0,IF(LEN(IM226)=11,_xlfn.XLOOKUP(IM226,'Dispensed Ink Rates'!C:C,'Dispensed Ink Rates'!CS:CS),VLOOKUP(IM226,'Jan-2026 rates'!$E:$F,2,0)))</f>
        <v>0</v>
      </c>
      <c r="JD226" s="409" t="s">
        <v>1443</v>
      </c>
      <c r="JE226" s="409">
        <v>15</v>
      </c>
      <c r="JF226" s="411">
        <f t="shared" si="177"/>
        <v>0</v>
      </c>
      <c r="JG226" s="411">
        <f t="shared" si="178"/>
        <v>77.735897435897428</v>
      </c>
      <c r="JH226" s="410">
        <f t="shared" si="179"/>
        <v>0</v>
      </c>
      <c r="JI226" s="405" t="s">
        <v>856</v>
      </c>
      <c r="JJ226" s="409" t="s">
        <v>3911</v>
      </c>
      <c r="JK226" s="420" t="str">
        <f t="shared" si="137"/>
        <v>FLINTSL - WHITE</v>
      </c>
      <c r="JL226" s="409">
        <v>25</v>
      </c>
      <c r="JM226" s="411">
        <f>IF(JL226=0,0,IF($LB226=70%,VLOOKUP($JK226,'Jan-2026 rates'!$L:$R,4,0),IF($LB226=65%,VLOOKUP($JK226,'Jan-2026 rates'!$L:$R,4,0),IF($LB226=40%,VLOOKUP($JK226,'Jan-2026 rates'!$L:$R,5,0),IF($LB226=30%,VLOOKUP($JK226,'Jan-2026 rates'!$L:$R,6,0),IF($LB226=100%,VLOOKUP($JK226,'Jan-2026 rates'!$L:$R,7,0),IF($LB226=60%,VLOOKUP($JK226,'Jan-2026 rates'!$L:$S,8,0),IF($LB226=80%,VLOOKUP($JK226,'Jan-2026 rates'!L:T,9,0),0))))))))</f>
        <v>0</v>
      </c>
      <c r="JN226" s="412"/>
      <c r="JO226" s="409"/>
      <c r="JP226" s="411">
        <f>IF(JO226=0,0,IF($LB226=70%,VLOOKUP($JK226,'Jan-2026 rates'!$L:$R,4,0),IF($LB226=65%,VLOOKUP($JK226,'Jan-2026 rates'!$L:$R,4,0),IF($LB226=40%,VLOOKUP($JK226,'Jan-2026 rates'!$L:$R,5,0),IF($LB226=30%,VLOOKUP($JK226,'Jan-2026 rates'!$L:$R,6,0),IF($LB226=100%,VLOOKUP($JK226,'Jan-2026 rates'!$L:$R,7,0),IF($LB226=60%,VLOOKUP($JK226,'Jan-2026 rates'!$L:$S,8,0),IF($LB226=80%,VLOOKUP($JK226,'Jan-2026 rates'!L:T,9,0),0))))))))</f>
        <v>0</v>
      </c>
      <c r="JQ226" s="413" t="s">
        <v>484</v>
      </c>
      <c r="JR226" s="412"/>
      <c r="JS226" s="413"/>
      <c r="JT226" s="413"/>
      <c r="JU226" s="412"/>
      <c r="JV226" s="412"/>
      <c r="JW226" s="412"/>
      <c r="JX226" s="412"/>
      <c r="JY226" s="409">
        <v>60</v>
      </c>
      <c r="JZ226" s="398">
        <f>IF(JY226=0,0,IF(LEN(JQ226)=11,_xlfn.XLOOKUP(JQ226,'Dispensed Ink Rates'!C:C,'Dispensed Ink Rates'!CS:CS),VLOOKUP(JQ226,'Jan-2026 rates'!$E:$F,2,0)))</f>
        <v>0</v>
      </c>
      <c r="KA226" s="409"/>
      <c r="KB226" s="398">
        <f>IF(KA226=0,0,IF(LEN(JR226)=11,_xlfn.XLOOKUP(JR226,'Dispensed Ink Rates'!C:C,'Dispensed Ink Rates'!CS:CS),VLOOKUP(JR226,'Jan-2026 rates'!$E:$F,2,0)))</f>
        <v>0</v>
      </c>
      <c r="KC226" s="409"/>
      <c r="KD226" s="398">
        <f>IF(KC226=0,0,IF(LEN(JS226)=11,_xlfn.XLOOKUP(JS226,'Dispensed Ink Rates'!C:C,'Dispensed Ink Rates'!CS:CS),VLOOKUP(JS226,'Jan-2026 rates'!$E:$F,2,0)))</f>
        <v>0</v>
      </c>
      <c r="KE226" s="409"/>
      <c r="KF226" s="398">
        <f>IF(KE226=0,0,IF(LEN(JT226)=11,_xlfn.XLOOKUP(JT226,'Dispensed Ink Rates'!C:C,'Dispensed Ink Rates'!CS:CS),VLOOKUP(JT226,'Jan-2026 rates'!$E:$F,2,0)))</f>
        <v>0</v>
      </c>
      <c r="KG226" s="409"/>
      <c r="KH226" s="398">
        <f>IF(KG226=0,0,IF(LEN(JU226)=11,_xlfn.XLOOKUP(JU226,'Dispensed Ink Rates'!C:C,'Dispensed Ink Rates'!CS:CS),VLOOKUP(JU226,'Jan-2026 rates'!$E:$F,2,0)))</f>
        <v>0</v>
      </c>
      <c r="KI226" s="409"/>
      <c r="KJ226" s="398">
        <f>IF(KI226=0,0,IF(LEN(JV226)=11,_xlfn.XLOOKUP(JV226,'Dispensed Ink Rates'!C:C,'Dispensed Ink Rates'!CS:CS),VLOOKUP(JV226,'Jan-2026 rates'!$E:$F,2,0)))</f>
        <v>0</v>
      </c>
      <c r="KK226" s="409"/>
      <c r="KL226" s="398">
        <f>IF(KK226=0,0,IF(LEN(JW226)=11,_xlfn.XLOOKUP(JW226,'Dispensed Ink Rates'!C:C,'Dispensed Ink Rates'!CS:CS),VLOOKUP(JW226,'Jan-2026 rates'!$E:$F,2,0)))</f>
        <v>0</v>
      </c>
      <c r="KM226" s="428"/>
      <c r="KN226" s="398">
        <f>IF(KM226=0,0,IF(LEN(JX226)=11,_xlfn.XLOOKUP(JX226,'Dispensed Ink Rates'!C:C,'Dispensed Ink Rates'!CS:CS),VLOOKUP(JX226,'Jan-2026 rates'!$E:$F,2,0)))</f>
        <v>0</v>
      </c>
      <c r="KO226" s="409" t="s">
        <v>1443</v>
      </c>
      <c r="KP226" s="409">
        <v>25</v>
      </c>
      <c r="KQ226" s="411">
        <f t="shared" si="180"/>
        <v>0</v>
      </c>
      <c r="KR226" s="411">
        <f t="shared" si="181"/>
        <v>112.30769230769232</v>
      </c>
      <c r="KS226" s="410">
        <f t="shared" si="182"/>
        <v>0</v>
      </c>
      <c r="KT226" s="409">
        <v>4</v>
      </c>
      <c r="KU226" s="409">
        <v>15</v>
      </c>
      <c r="KV226" s="409">
        <v>2</v>
      </c>
      <c r="KW226" s="409">
        <v>5</v>
      </c>
      <c r="KX226" s="409">
        <v>4</v>
      </c>
      <c r="KY226" s="409">
        <v>8</v>
      </c>
      <c r="KZ226" s="409">
        <v>10</v>
      </c>
      <c r="LA226" s="409">
        <v>30</v>
      </c>
      <c r="LB226" s="415">
        <v>0.8</v>
      </c>
      <c r="LC226" s="415">
        <v>0.2</v>
      </c>
      <c r="LD226" s="415"/>
      <c r="LE226" s="415"/>
      <c r="LF226" s="415"/>
      <c r="LG226" s="409">
        <v>0</v>
      </c>
      <c r="LH226" s="409">
        <f>40+36+48+12</f>
        <v>136</v>
      </c>
      <c r="LI226" s="409">
        <v>0</v>
      </c>
      <c r="LJ226" s="409">
        <v>0</v>
      </c>
      <c r="LK226" s="416">
        <f t="shared" si="138"/>
        <v>136</v>
      </c>
      <c r="LL226" s="416">
        <f t="shared" si="139"/>
        <v>136</v>
      </c>
      <c r="LM226" s="417">
        <f t="shared" si="140"/>
        <v>108.80000000000001</v>
      </c>
      <c r="LN226" s="417">
        <f>VLOOKUP($LM$8,'Jan-2026 rates'!$H:$I,2,0)</f>
        <v>0</v>
      </c>
      <c r="LO226" s="417">
        <f t="shared" si="141"/>
        <v>27.200000000000003</v>
      </c>
      <c r="LP226" s="417">
        <f>VLOOKUP($LO$8,'Jan-2026 rates'!$H:$I,2,0)</f>
        <v>0</v>
      </c>
      <c r="LQ226" s="417">
        <f t="shared" si="142"/>
        <v>0</v>
      </c>
      <c r="LR226" s="417">
        <f>VLOOKUP($LQ$8,'Jan-2026 rates'!$H:$I,2,0)</f>
        <v>0</v>
      </c>
      <c r="LS226" s="417">
        <f t="shared" si="143"/>
        <v>0</v>
      </c>
      <c r="LT226" s="417">
        <f>VLOOKUP($LS$8,'Jan-2026 rates'!$H:$I,2,0)</f>
        <v>0</v>
      </c>
      <c r="LU226" s="417">
        <f t="shared" si="144"/>
        <v>0</v>
      </c>
      <c r="LV226" s="417">
        <f>VLOOKUP($LU$8,'Jan-2026 rates'!$H:$I,2,0)</f>
        <v>0</v>
      </c>
      <c r="LW226" s="417">
        <f t="shared" si="145"/>
        <v>0</v>
      </c>
      <c r="LX226" s="417">
        <f t="shared" si="146"/>
        <v>0</v>
      </c>
      <c r="LY226" s="418">
        <f t="shared" si="147"/>
        <v>0</v>
      </c>
      <c r="LZ226" s="417"/>
      <c r="MA226" s="435">
        <f t="shared" si="148"/>
        <v>182.5</v>
      </c>
      <c r="MB226" s="282">
        <f t="shared" si="149"/>
        <v>284.5</v>
      </c>
      <c r="MC226" s="283">
        <v>119</v>
      </c>
      <c r="MD226" s="284" t="str">
        <f t="shared" si="150"/>
        <v>FLINTSLFLINTSLFLINTSLFLINTSLFLINTSLFLINTSLFLINTSLFLINTSL</v>
      </c>
      <c r="ME226" s="293" t="str">
        <f t="shared" si="151"/>
        <v>+</v>
      </c>
      <c r="MF226" s="293" t="str">
        <f t="shared" si="152"/>
        <v>+</v>
      </c>
      <c r="MG226" s="293" t="str">
        <f t="shared" si="153"/>
        <v>+</v>
      </c>
      <c r="MH226" s="293" t="str">
        <f t="shared" si="154"/>
        <v>+</v>
      </c>
      <c r="MI226" s="293" t="str">
        <f t="shared" si="155"/>
        <v>+</v>
      </c>
      <c r="MJ226" s="293" t="str">
        <f t="shared" si="156"/>
        <v>+</v>
      </c>
      <c r="MK226" s="293" t="str">
        <f t="shared" si="157"/>
        <v>+</v>
      </c>
      <c r="ML226" s="293" t="str">
        <f t="shared" si="158"/>
        <v>+</v>
      </c>
      <c r="MM226" s="3" t="b">
        <f t="array" ref="MM226">OR(ME226:ML226="-")</f>
        <v>0</v>
      </c>
      <c r="MN226" s="285"/>
      <c r="MO226" s="401"/>
      <c r="MP226" s="286"/>
      <c r="MQ226" s="286"/>
      <c r="MR226" s="402"/>
      <c r="MS226" s="400"/>
      <c r="NH226" s="422"/>
      <c r="NJ226" s="421"/>
    </row>
    <row r="227" spans="1:374" s="1" customFormat="1" ht="16.5">
      <c r="A227" s="403">
        <v>46038</v>
      </c>
      <c r="B227" s="404" t="s">
        <v>1018</v>
      </c>
      <c r="C227" s="405" t="s">
        <v>3912</v>
      </c>
      <c r="D227" s="406">
        <v>120</v>
      </c>
      <c r="E227" s="404">
        <v>895</v>
      </c>
      <c r="F227" s="407">
        <v>58200</v>
      </c>
      <c r="G227" s="407" t="s">
        <v>1019</v>
      </c>
      <c r="H227" s="408" t="s">
        <v>1017</v>
      </c>
      <c r="I227" s="409">
        <v>0.63</v>
      </c>
      <c r="J227" s="405" t="s">
        <v>543</v>
      </c>
      <c r="K227" s="404" t="s">
        <v>3913</v>
      </c>
      <c r="L227" s="419" t="str">
        <f t="shared" si="131"/>
        <v>FLINTSL - BLACK</v>
      </c>
      <c r="M227" s="404">
        <v>26</v>
      </c>
      <c r="N227" s="410">
        <f>IF(M227=0,0,IF($LB227=70%,VLOOKUP($L227,'Jan-2026 rates'!$L:$R,4,0),IF($LB227=65%,VLOOKUP($L227,'Jan-2026 rates'!$L:$R,4,0),IF($LB227=40%,VLOOKUP($L227,'Jan-2026 rates'!$L:$R,5,0),IF($LB227=30%,VLOOKUP($L227,'Jan-2026 rates'!$L:$R,6,0),IF($LB227=100%,VLOOKUP($L227,'Jan-2026 rates'!$L:$R,7,0),IF($LB227=60%,VLOOKUP($L227,'Jan-2026 rates'!$L:$S,8,0),IF($LB227=80%,VLOOKUP($L227,'Jan-2026 rates'!L:T,9,0),0))))))))</f>
        <v>0</v>
      </c>
      <c r="O227" s="406"/>
      <c r="P227" s="404"/>
      <c r="Q227" s="410">
        <f>IF(P227=0,0,IF($LB227=70%,VLOOKUP($L227,'Jan-2026 rates'!$L:$R,4,0),IF($LB227=65%,VLOOKUP($L227,'Jan-2026 rates'!$L:$R,4,0),IF($LB227=40%,VLOOKUP($L227,'Jan-2026 rates'!$L:$R,5,0),IF($LB227=30%,VLOOKUP($L227,'Jan-2026 rates'!$L:$R,6,0),IF($LB227=100%,VLOOKUP($L227,'Jan-2026 rates'!$L:$R,7,0),IF($LB227=60%,VLOOKUP($L227,'Jan-2026 rates'!$L:$S,8,0),IF($LB227=80%,VLOOKUP($L227,'Jan-2026 rates'!L:T,9,0),0))))))))</f>
        <v>0</v>
      </c>
      <c r="R227" s="406">
        <v>26520000010</v>
      </c>
      <c r="S227" s="406"/>
      <c r="T227" s="406"/>
      <c r="U227" s="406"/>
      <c r="V227" s="406"/>
      <c r="W227" s="406"/>
      <c r="X227" s="406"/>
      <c r="Y227" s="406"/>
      <c r="Z227" s="404">
        <v>4</v>
      </c>
      <c r="AA227" s="398" t="e">
        <f>IF(Z227=0,0,IF(LEN(R227)=11,_xlfn.XLOOKUP(R227,'Dispensed Ink Rates'!C:C,'Dispensed Ink Rates'!CS:CS),VLOOKUP(R227,'Jan-2026 rates'!$E:$F,2,0)))</f>
        <v>#N/A</v>
      </c>
      <c r="AB227" s="404"/>
      <c r="AC227" s="398">
        <f>IF(AB227=0,0,IF(LEN(S227)=11,_xlfn.XLOOKUP(S227,'Dispensed Ink Rates'!C:C,'Dispensed Ink Rates'!CS:CS),VLOOKUP(S227,'Jan-2026 rates'!$E:$F,2,0)))</f>
        <v>0</v>
      </c>
      <c r="AD227" s="404"/>
      <c r="AE227" s="398">
        <f>IF(AD227=0,0,IF(LEN(T227)=11,_xlfn.XLOOKUP(T227,'Dispensed Ink Rates'!C:C,'Dispensed Ink Rates'!CS:CS),VLOOKUP(T227,'Jan-2026 rates'!$E:$F,2,0)))</f>
        <v>0</v>
      </c>
      <c r="AF227" s="404"/>
      <c r="AG227" s="398">
        <f>IF(AF227=0,0,IF(LEN(U227)=11,_xlfn.XLOOKUP(U227,'Dispensed Ink Rates'!C:C,'Dispensed Ink Rates'!CS:CS),VLOOKUP(U227,'Jan-2026 rates'!$E:$F,2,0)))</f>
        <v>0</v>
      </c>
      <c r="AH227" s="404"/>
      <c r="AI227" s="398">
        <f>IF(AH227=0,0,IF(LEN(V227)=11,_xlfn.XLOOKUP(V227,'Dispensed Ink Rates'!C:C,'Dispensed Ink Rates'!CS:CS),VLOOKUP(V227,'Jan-2026 rates'!$E:$F,2,0)))</f>
        <v>0</v>
      </c>
      <c r="AJ227" s="404"/>
      <c r="AK227" s="398">
        <f>IF(AJ227=0,0,IF(LEN(W227)=11,_xlfn.XLOOKUP(W227,'Dispensed Ink Rates'!C:C,'Dispensed Ink Rates'!CS:CS),VLOOKUP(W227,'Jan-2026 rates'!$E:$F,2,0)))</f>
        <v>0</v>
      </c>
      <c r="AL227" s="404"/>
      <c r="AM227" s="398">
        <f>IF(AL227=0,0,IF(LEN(X227)=11,_xlfn.XLOOKUP(X227,'Dispensed Ink Rates'!C:C,'Dispensed Ink Rates'!CS:CS),VLOOKUP(X227,'Jan-2026 rates'!$E:$F,2,0)))</f>
        <v>0</v>
      </c>
      <c r="AN227" s="404"/>
      <c r="AO227" s="398">
        <f>IF(AN227=0,0,IF(LEN(Y227)=11,_xlfn.XLOOKUP(Y227,'Dispensed Ink Rates'!C:C,'Dispensed Ink Rates'!CS:CS),VLOOKUP(Y227,'Jan-2026 rates'!$E:$F,2,0)))</f>
        <v>0</v>
      </c>
      <c r="AP227" s="409" t="s">
        <v>1443</v>
      </c>
      <c r="AQ227" s="409">
        <v>24</v>
      </c>
      <c r="AR227" s="410">
        <f t="shared" si="159"/>
        <v>0</v>
      </c>
      <c r="AS227" s="411">
        <f t="shared" si="160"/>
        <v>22.592592592592595</v>
      </c>
      <c r="AT227" s="410">
        <f t="shared" si="161"/>
        <v>0</v>
      </c>
      <c r="AU227" s="405" t="s">
        <v>546</v>
      </c>
      <c r="AV227" s="409" t="s">
        <v>3913</v>
      </c>
      <c r="AW227" s="420" t="str">
        <f t="shared" si="183"/>
        <v>FLINTSL - REFLEX BLUE</v>
      </c>
      <c r="AX227" s="409">
        <v>26</v>
      </c>
      <c r="AY227" s="411">
        <f>IF(AX227=0,0,IF($LB227=70%,VLOOKUP($AW227,'Jan-2026 rates'!$L:$R,4,0),IF($LB227=65%,VLOOKUP($AW227,'Jan-2026 rates'!$L:$R,4,0),IF($LB227=40%,VLOOKUP($AW227,'Jan-2026 rates'!$L:$R,5,0),IF($LB227=30%,VLOOKUP($AW227,'Jan-2026 rates'!$L:$R,6,0),IF($LB227=100%,VLOOKUP($AW227,'Jan-2026 rates'!$L:$R,7,0),IF($LB227=60%,VLOOKUP($AW227,'Jan-2026 rates'!$L:$S,8,0),IF($LB227=80%,VLOOKUP($AW227,'Jan-2026 rates'!L:T,9,0),0))))))))</f>
        <v>0</v>
      </c>
      <c r="AZ227" s="412"/>
      <c r="BA227" s="409"/>
      <c r="BB227" s="411">
        <f>IF(BA227=0,0,IF($LB227=70%,VLOOKUP($AW227,'Jan-2026 rates'!$L:$R,4,0),IF($LB227=65%,VLOOKUP($AW227,'Jan-2026 rates'!$L:$R,4,0),IF($LB227=40%,VLOOKUP($AW227,'Jan-2026 rates'!$L:$R,5,0),IF($LB227=30%,VLOOKUP($AW227,'Jan-2026 rates'!$L:$R,6,0),IF($LB227=100%,VLOOKUP($AW227,'Jan-2026 rates'!$L:$R,7,0),IF($LB227=60%,VLOOKUP($AW227,'Jan-2026 rates'!$L:$S,8,0),IF($LB227=80%,VLOOKUP($AW227,'Jan-2026 rates'!L:T,9,0),0))))))))</f>
        <v>0</v>
      </c>
      <c r="BC227" s="413">
        <v>26516000021</v>
      </c>
      <c r="BD227" s="412">
        <v>26517000020</v>
      </c>
      <c r="BE227" s="412"/>
      <c r="BF227" s="413"/>
      <c r="BG227" s="412"/>
      <c r="BH227" s="412"/>
      <c r="BI227" s="412"/>
      <c r="BJ227" s="412"/>
      <c r="BK227" s="409">
        <v>4</v>
      </c>
      <c r="BL227" s="398" t="e">
        <f>IF(BK227=0,0,IF(LEN(BC227)=11,_xlfn.XLOOKUP(BC227,'Dispensed Ink Rates'!C:C,'Dispensed Ink Rates'!CS:CS),VLOOKUP(BC227,'Jan-2026 rates'!$E:$F,2,0)))</f>
        <v>#N/A</v>
      </c>
      <c r="BM227" s="409">
        <v>1</v>
      </c>
      <c r="BN227" s="398" t="e">
        <f>IF(BM227=0,0,IF(LEN(BD227)=11,_xlfn.XLOOKUP(BD227,'Dispensed Ink Rates'!C:C,'Dispensed Ink Rates'!CS:CS),VLOOKUP(BD227,'Jan-2026 rates'!$E:$F,2,0)))</f>
        <v>#N/A</v>
      </c>
      <c r="BO227" s="409"/>
      <c r="BP227" s="398">
        <f>IF(BO227=0,0,IF(LEN(BE227)=11,_xlfn.XLOOKUP(BE227,'Dispensed Ink Rates'!C:C,'Dispensed Ink Rates'!CS:CS),VLOOKUP(BE227,'Jan-2026 rates'!$E:$F,2,0)))</f>
        <v>0</v>
      </c>
      <c r="BQ227" s="409"/>
      <c r="BR227" s="398">
        <f>IF(BQ227=0,0,IF(LEN(BF227)=11,_xlfn.XLOOKUP(BF227,'Dispensed Ink Rates'!C:C,'Dispensed Ink Rates'!CS:CS),VLOOKUP(BF227,'Jan-2026 rates'!$E:$F,2,0)))</f>
        <v>0</v>
      </c>
      <c r="BS227" s="409"/>
      <c r="BT227" s="398">
        <f>IF(BS227=0,0,IF(LEN(BG227)=11,_xlfn.XLOOKUP(BG227,'Dispensed Ink Rates'!C:C,'Dispensed Ink Rates'!CS:CS),VLOOKUP(BG227,'Jan-2026 rates'!$E:$F,2,0)))</f>
        <v>0</v>
      </c>
      <c r="BU227" s="409"/>
      <c r="BV227" s="398">
        <f>IF(BU227=0,0,IF(LEN(BH227)=11,_xlfn.XLOOKUP(BH227,'Dispensed Ink Rates'!C:C,'Dispensed Ink Rates'!CS:CS),VLOOKUP(BH227,'Jan-2026 rates'!$E:$F,2,0)))</f>
        <v>0</v>
      </c>
      <c r="BW227" s="409"/>
      <c r="BX227" s="398">
        <f>IF(BW227=0,0,IF(LEN(BI227)=11,_xlfn.XLOOKUP(BI227,'Dispensed Ink Rates'!C:C,'Dispensed Ink Rates'!CS:CS),VLOOKUP(BI227,'Jan-2026 rates'!$E:$F,2,0)))</f>
        <v>0</v>
      </c>
      <c r="BY227" s="409"/>
      <c r="BZ227" s="398">
        <f>IF(BY227=0,0,IF(LEN(BJ227)=11,_xlfn.XLOOKUP(BJ227,'Dispensed Ink Rates'!C:C,'Dispensed Ink Rates'!CS:CS),VLOOKUP(BJ227,'Jan-2026 rates'!$E:$F,2,0)))</f>
        <v>0</v>
      </c>
      <c r="CA227" s="409" t="s">
        <v>1443</v>
      </c>
      <c r="CB227" s="409">
        <v>24</v>
      </c>
      <c r="CC227" s="411">
        <f t="shared" si="162"/>
        <v>0</v>
      </c>
      <c r="CD227" s="411">
        <f t="shared" si="163"/>
        <v>23.592592592592595</v>
      </c>
      <c r="CE227" s="410">
        <f t="shared" si="164"/>
        <v>0</v>
      </c>
      <c r="CF227" s="404" t="s">
        <v>857</v>
      </c>
      <c r="CG227" s="409" t="s">
        <v>3914</v>
      </c>
      <c r="CH227" s="420" t="str">
        <f t="shared" si="132"/>
        <v>FLINTSL - RED</v>
      </c>
      <c r="CI227" s="409">
        <v>27</v>
      </c>
      <c r="CJ227" s="411">
        <f>IF(CI227=0,0,IF($LB227=70%,VLOOKUP($CH227,'Jan-2026 rates'!$L:$R,4,0),IF($LB227=65%,VLOOKUP($CH227,'Jan-2026 rates'!$L:$R,4,0),IF($LB227=40%,VLOOKUP($CH227,'Jan-2026 rates'!$L:$R,5,0),IF($LB227=30%,VLOOKUP($CH227,'Jan-2026 rates'!$L:$R,6,0),IF($LB227=100%,VLOOKUP($CH227,'Jan-2026 rates'!$L:$R,7,0),IF($LB227=60%,VLOOKUP($CH227,'Jan-2026 rates'!$L:$S,8,0),IF($LB227=80%,VLOOKUP($CH227,'Jan-2026 rates'!L:T,9,0),0))))))))</f>
        <v>0</v>
      </c>
      <c r="CK227" s="412"/>
      <c r="CL227" s="409"/>
      <c r="CM227" s="411">
        <f>IF(CL227=0,0,IF($LB227=70%,VLOOKUP($CH227,'Jan-2026 rates'!$L:$R,4,0),IF($LB227=65%,VLOOKUP($CH227,'Jan-2026 rates'!$L:$R,4,0),IF($LB227=40%,VLOOKUP($CH227,'Jan-2026 rates'!$L:$R,5,0),IF($LB227=30%,VLOOKUP($CH227,'Jan-2026 rates'!$L:$R,6,0),IF($LB227=100%,VLOOKUP($CH227,'Jan-2026 rates'!$L:$R,7,0),IF($LB227=60%,VLOOKUP($CH227,'Jan-2026 rates'!$L:$S,8,0),IF($LB227=80%,VLOOKUP($CH227,'Jan-2026 rates'!L:T,9,0),0))))))))</f>
        <v>0</v>
      </c>
      <c r="CN227" s="426">
        <v>26516000011</v>
      </c>
      <c r="CO227" s="427"/>
      <c r="CP227" s="426"/>
      <c r="CQ227" s="426"/>
      <c r="CR227" s="428"/>
      <c r="CS227" s="428"/>
      <c r="CT227" s="428"/>
      <c r="CU227" s="428"/>
      <c r="CV227" s="409">
        <v>4</v>
      </c>
      <c r="CW227" s="398" t="e">
        <f>IF(CV227=0,0,IF(LEN(CN227)=11,_xlfn.XLOOKUP(CN227,'Dispensed Ink Rates'!C:C,'Dispensed Ink Rates'!CS:CS),VLOOKUP(CN227,'Jan-2026 rates'!$E:$F,2,0)))</f>
        <v>#N/A</v>
      </c>
      <c r="CX227" s="409"/>
      <c r="CY227" s="398">
        <f>IF(CX227=0,0,IF(LEN(CO227)=11,_xlfn.XLOOKUP(CO227,'Dispensed Ink Rates'!C:C,'Dispensed Ink Rates'!CS:CS),VLOOKUP(CO227,'Jan-2026 rates'!$E:$F,2,0)))</f>
        <v>0</v>
      </c>
      <c r="CZ227" s="409"/>
      <c r="DA227" s="398">
        <f>IF(CZ227=0,0,IF(LEN(CP227)=11,_xlfn.XLOOKUP(CP227,'Dispensed Ink Rates'!C:C,'Dispensed Ink Rates'!CS:CS),VLOOKUP(CP227,'Jan-2026 rates'!$E:$F,2,0)))</f>
        <v>0</v>
      </c>
      <c r="DB227" s="409"/>
      <c r="DC227" s="398">
        <f>IF(DB227=0,0,IF(LEN(CQ227)=11,_xlfn.XLOOKUP(CQ227,'Dispensed Ink Rates'!C:C,'Dispensed Ink Rates'!CS:CS),VLOOKUP(CQ227,'Jan-2026 rates'!$E:$F,2,0)))</f>
        <v>0</v>
      </c>
      <c r="DD227" s="409"/>
      <c r="DE227" s="398">
        <f>IF(DD227=0,0,IF(LEN(CR227)=11,_xlfn.XLOOKUP(CR227,'Dispensed Ink Rates'!C:C,'Dispensed Ink Rates'!CS:CS),VLOOKUP(CR227,'Jan-2026 rates'!$E:$F,2,0)))</f>
        <v>0</v>
      </c>
      <c r="DF227" s="409"/>
      <c r="DG227" s="398">
        <f>IF(DF227=0,0,IF(LEN(CS227)=11,_xlfn.XLOOKUP(CS227,'Dispensed Ink Rates'!C:C,'Dispensed Ink Rates'!CS:CS),VLOOKUP(CS227,'Jan-2026 rates'!$E:$F,2,0)))</f>
        <v>0</v>
      </c>
      <c r="DH227" s="409"/>
      <c r="DI227" s="398">
        <f>IF(DH227=0,0,IF(LEN(CT227)=11,_xlfn.XLOOKUP(CT227,'Dispensed Ink Rates'!C:C,'Dispensed Ink Rates'!CS:CS),VLOOKUP(CT227,'Jan-2026 rates'!$E:$F,2,0)))</f>
        <v>0</v>
      </c>
      <c r="DJ227" s="409"/>
      <c r="DK227" s="398">
        <f>IF(DJ227=0,0,IF(LEN(CU227)=11,_xlfn.XLOOKUP(CU227,'Dispensed Ink Rates'!C:C,'Dispensed Ink Rates'!CS:CS),VLOOKUP(CU227,'Jan-2026 rates'!$E:$F,2,0)))</f>
        <v>0</v>
      </c>
      <c r="DL227" s="409" t="s">
        <v>1443</v>
      </c>
      <c r="DM227" s="409">
        <v>25</v>
      </c>
      <c r="DN227" s="411">
        <f t="shared" si="165"/>
        <v>0</v>
      </c>
      <c r="DO227" s="411">
        <f t="shared" si="166"/>
        <v>30.888888888888886</v>
      </c>
      <c r="DP227" s="410">
        <f t="shared" si="167"/>
        <v>0</v>
      </c>
      <c r="DQ227" s="405" t="s">
        <v>855</v>
      </c>
      <c r="DR227" s="409" t="s">
        <v>3915</v>
      </c>
      <c r="DS227" s="420" t="str">
        <f t="shared" si="133"/>
        <v>FLINTSL - CYAN</v>
      </c>
      <c r="DT227" s="409">
        <v>30</v>
      </c>
      <c r="DU227" s="411">
        <f>IF(DT227=0,0,IF($LB227=70%,VLOOKUP($DS227,'Jan-2026 rates'!$L:$R,4,0),IF($LB227=65%,VLOOKUP($DS227,'Jan-2026 rates'!$L:$R,4,0),IF($LB227=40%,VLOOKUP($DS227,'Jan-2026 rates'!$L:$R,5,0),IF($LB227=30%,VLOOKUP($DS227,'Jan-2026 rates'!$L:$R,6,0),IF($LB227=100%,VLOOKUP($DS227,'Jan-2026 rates'!$L:$R,7,0),IF($LB227=60%,VLOOKUP($DS227,'Jan-2026 rates'!$L:$S,8,0),IF($LB227=80%,VLOOKUP($DS227,'Jan-2026 rates'!L:T,9,0),0))))))))</f>
        <v>0</v>
      </c>
      <c r="DV227" s="412"/>
      <c r="DW227" s="409"/>
      <c r="DX227" s="411">
        <f>IF(DW227=0,0,IF($LB227=70%,VLOOKUP($DS227,'Jan-2026 rates'!$L:$R,4,0),IF($LB227=65%,VLOOKUP($DS227,'Jan-2026 rates'!$L:$R,4,0),IF($LB227=40%,VLOOKUP($DS227,'Jan-2026 rates'!$L:$R,5,0),IF($LB227=30%,VLOOKUP($DS227,'Jan-2026 rates'!$L:$R,6,0),IF($LB227=100%,VLOOKUP($DS227,'Jan-2026 rates'!$L:$R,7,0),IF($LB227=60%,VLOOKUP($DS227,'Jan-2026 rates'!$L:$S,8,0),IF($LB227=80%,VLOOKUP($DS227,'Jan-2026 rates'!L:T,9,0),0))))))))</f>
        <v>0</v>
      </c>
      <c r="DY227" s="413">
        <v>26515000029</v>
      </c>
      <c r="DZ227" s="413"/>
      <c r="EA227" s="412"/>
      <c r="EB227" s="412"/>
      <c r="EC227" s="412"/>
      <c r="ED227" s="412"/>
      <c r="EE227" s="412"/>
      <c r="EF227" s="412"/>
      <c r="EG227" s="409">
        <v>3</v>
      </c>
      <c r="EH227" s="398" t="e">
        <f>IF(EG227=0,0,IF(LEN(DY227)=11,_xlfn.XLOOKUP(DY227,'Dispensed Ink Rates'!C:C,'Dispensed Ink Rates'!CS:CS),VLOOKUP(DY227,'Jan-2026 rates'!$E:$F,2,0)))</f>
        <v>#N/A</v>
      </c>
      <c r="EI227" s="409"/>
      <c r="EJ227" s="398">
        <f>IF(EI227=0,0,IF(LEN(DZ227)=11,_xlfn.XLOOKUP(DZ227,'Dispensed Ink Rates'!C:C,'Dispensed Ink Rates'!CS:CS),VLOOKUP(DZ227,'Jan-2026 rates'!$E:$F,2,0)))</f>
        <v>0</v>
      </c>
      <c r="EK227" s="409"/>
      <c r="EL227" s="398">
        <f>IF(EK227=0,0,IF(LEN(EA227)=11,_xlfn.XLOOKUP(EA227,'Dispensed Ink Rates'!C:C,'Dispensed Ink Rates'!CS:CS),VLOOKUP(EA227,'Jan-2026 rates'!$E:$F,2,0)))</f>
        <v>0</v>
      </c>
      <c r="EM227" s="409"/>
      <c r="EN227" s="398">
        <f>IF(EM227=0,0,IF(LEN(EB227)=11,_xlfn.XLOOKUP(EB227,'Dispensed Ink Rates'!C:C,'Dispensed Ink Rates'!CS:CS),VLOOKUP(EB227,'Jan-2026 rates'!$E:$F,2,0)))</f>
        <v>0</v>
      </c>
      <c r="EO227" s="409"/>
      <c r="EP227" s="398">
        <f>IF(EO227=0,0,IF(LEN(EC227)=11,_xlfn.XLOOKUP(EC227,'Dispensed Ink Rates'!C:C,'Dispensed Ink Rates'!CS:CS),VLOOKUP(EC227,'Jan-2026 rates'!$E:$F,2,0)))</f>
        <v>0</v>
      </c>
      <c r="EQ227" s="409"/>
      <c r="ER227" s="398">
        <f>IF(EQ227=0,0,IF(LEN(ED227)=11,_xlfn.XLOOKUP(ED227,'Dispensed Ink Rates'!C:C,'Dispensed Ink Rates'!CS:CS),VLOOKUP(ED227,'Jan-2026 rates'!$E:$F,2,0)))</f>
        <v>0</v>
      </c>
      <c r="ES227" s="409"/>
      <c r="ET227" s="398">
        <f>IF(ES227=0,0,IF(LEN(EE227)=11,_xlfn.XLOOKUP(EE227,'Dispensed Ink Rates'!C:C,'Dispensed Ink Rates'!CS:CS),VLOOKUP(EE227,'Jan-2026 rates'!$E:$F,2,0)))</f>
        <v>0</v>
      </c>
      <c r="EU227" s="409"/>
      <c r="EV227" s="398">
        <f>IF(EU227=0,0,IF(LEN(EF227)=11,_xlfn.XLOOKUP(EF227,'Dispensed Ink Rates'!C:C,'Dispensed Ink Rates'!CS:CS),VLOOKUP(EF227,'Jan-2026 rates'!$E:$F,2,0)))</f>
        <v>0</v>
      </c>
      <c r="EW227" s="409" t="s">
        <v>1443</v>
      </c>
      <c r="EX227" s="409">
        <v>29</v>
      </c>
      <c r="EY227" s="411">
        <f t="shared" si="168"/>
        <v>0</v>
      </c>
      <c r="EZ227" s="411">
        <f t="shared" si="169"/>
        <v>20.592592592592595</v>
      </c>
      <c r="FA227" s="410">
        <f t="shared" si="170"/>
        <v>0</v>
      </c>
      <c r="FB227" s="405" t="s">
        <v>544</v>
      </c>
      <c r="FC227" s="409" t="s">
        <v>3916</v>
      </c>
      <c r="FD227" s="420" t="str">
        <f t="shared" si="134"/>
        <v>FLINTSL - MAGENTA</v>
      </c>
      <c r="FE227" s="409">
        <v>26</v>
      </c>
      <c r="FF227" s="411">
        <f>IF(FE227=0,0,IF($LB227=70%,VLOOKUP($FD227,'Jan-2026 rates'!$L:$R,4,0),IF($LB227=65%,VLOOKUP($FD227,'Jan-2026 rates'!$L:$R,4,0),IF($LB227=40%,VLOOKUP($FD227,'Jan-2026 rates'!$L:$R,5,0),IF($LB227=30%,VLOOKUP($FD227,'Jan-2026 rates'!$L:$R,6,0),IF($LB227=100%,VLOOKUP($FD227,'Jan-2026 rates'!$L:$R,7,0),IF($LB227=60%,VLOOKUP($FD227,'Jan-2026 rates'!$L:$S,8,0),IF($LB227=80%,VLOOKUP($FD227,'Jan-2026 rates'!L:T,9,0),0))))))))</f>
        <v>0</v>
      </c>
      <c r="FG227" s="412"/>
      <c r="FH227" s="409"/>
      <c r="FI227" s="411">
        <f>IF(FH227=0,0,IF($LB227=70%,VLOOKUP($FD227,'Jan-2026 rates'!$L:$R,4,0),IF($LB227=65%,VLOOKUP($FD227,'Jan-2026 rates'!$L:$R,4,0),IF($LB227=40%,VLOOKUP($FD227,'Jan-2026 rates'!$L:$R,5,0),IF($LB227=30%,VLOOKUP($FD227,'Jan-2026 rates'!$L:$R,6,0),IF($LB227=100%,VLOOKUP($FD227,'Jan-2026 rates'!$L:$R,7,0),IF($LB227=60%,VLOOKUP($FD227,'Jan-2026 rates'!$L:$S,8,0),IF($LB227=80%,VLOOKUP($FD227,'Jan-2026 rates'!L:T,9,0),0))))))))</f>
        <v>0</v>
      </c>
      <c r="FJ227" s="413">
        <v>26517000020</v>
      </c>
      <c r="FK227" s="413"/>
      <c r="FL227" s="413"/>
      <c r="FM227" s="412"/>
      <c r="FN227" s="412"/>
      <c r="FO227" s="412"/>
      <c r="FP227" s="412"/>
      <c r="FQ227" s="412"/>
      <c r="FR227" s="409">
        <v>4</v>
      </c>
      <c r="FS227" s="398" t="e">
        <f>IF(FR227=0,0,IF(LEN(FJ227)=11,_xlfn.XLOOKUP(FJ227,'Dispensed Ink Rates'!C:C,'Dispensed Ink Rates'!CS:CS),VLOOKUP(FJ227,'Jan-2026 rates'!$E:$F,2,0)))</f>
        <v>#N/A</v>
      </c>
      <c r="FT227" s="409"/>
      <c r="FU227" s="398">
        <f>IF(FT227=0,0,IF(LEN(FK227)=11,_xlfn.XLOOKUP(FK227,'Dispensed Ink Rates'!C:C,'Dispensed Ink Rates'!CS:CS),VLOOKUP(FK227,'Jan-2026 rates'!$E:$F,2,0)))</f>
        <v>0</v>
      </c>
      <c r="FV227" s="409"/>
      <c r="FW227" s="398">
        <f>IF(FV227=0,0,IF(LEN(FL227)=11,_xlfn.XLOOKUP(FL227,'Dispensed Ink Rates'!C:C,'Dispensed Ink Rates'!CS:CS),VLOOKUP(FL227,'Jan-2026 rates'!$E:$F,2,0)))</f>
        <v>0</v>
      </c>
      <c r="FX227" s="409"/>
      <c r="FY227" s="398">
        <f>IF(FX227=0,0,IF(LEN(FM227)=11,_xlfn.XLOOKUP(FM227,'Dispensed Ink Rates'!C:C,'Dispensed Ink Rates'!CS:CS),VLOOKUP(FM227,'Jan-2026 rates'!$E:$F,2,0)))</f>
        <v>0</v>
      </c>
      <c r="FZ227" s="409"/>
      <c r="GA227" s="398">
        <f>IF(FZ227=0,0,IF(LEN(FN227)=11,_xlfn.XLOOKUP(FN227,'Dispensed Ink Rates'!C:C,'Dispensed Ink Rates'!CS:CS),VLOOKUP(FN227,'Jan-2026 rates'!$E:$F,2,0)))</f>
        <v>0</v>
      </c>
      <c r="GB227" s="409"/>
      <c r="GC227" s="398">
        <f>IF(GB227=0,0,IF(LEN(FO227)=11,_xlfn.XLOOKUP(FO227,'Dispensed Ink Rates'!C:C,'Dispensed Ink Rates'!CS:CS),VLOOKUP(FO227,'Jan-2026 rates'!$E:$F,2,0)))</f>
        <v>0</v>
      </c>
      <c r="GD227" s="409"/>
      <c r="GE227" s="398">
        <f>IF(GD227=0,0,IF(LEN(FP227)=11,_xlfn.XLOOKUP(FP227,'Dispensed Ink Rates'!C:C,'Dispensed Ink Rates'!CS:CS),VLOOKUP(FP227,'Jan-2026 rates'!$E:$F,2,0)))</f>
        <v>0</v>
      </c>
      <c r="GF227" s="409"/>
      <c r="GG227" s="398">
        <f>IF(GF227=0,0,IF(LEN(FQ227)=11,_xlfn.XLOOKUP(FQ227,'Dispensed Ink Rates'!C:C,'Dispensed Ink Rates'!CS:CS),VLOOKUP(FQ227,'Jan-2026 rates'!$E:$F,2,0)))</f>
        <v>0</v>
      </c>
      <c r="GH227" s="409" t="s">
        <v>1443</v>
      </c>
      <c r="GI227" s="409">
        <v>27</v>
      </c>
      <c r="GJ227" s="411">
        <f t="shared" si="171"/>
        <v>0</v>
      </c>
      <c r="GK227" s="411">
        <f t="shared" si="172"/>
        <v>27.888888888888886</v>
      </c>
      <c r="GL227" s="410">
        <f t="shared" si="173"/>
        <v>0</v>
      </c>
      <c r="GM227" s="405" t="s">
        <v>545</v>
      </c>
      <c r="GN227" s="409" t="s">
        <v>3917</v>
      </c>
      <c r="GO227" s="420" t="str">
        <f t="shared" si="135"/>
        <v>FLINTSL - YELLOW</v>
      </c>
      <c r="GP227" s="409">
        <v>32</v>
      </c>
      <c r="GQ227" s="411">
        <f>IF(GP227=0,0,IF($LB227=70%,VLOOKUP($GO227,'Jan-2026 rates'!$L:$R,4,0),IF($LB227=65%,VLOOKUP($GO227,'Jan-2026 rates'!$L:$R,4,0),IF($LB227=40%,VLOOKUP($GO227,'Jan-2026 rates'!$L:$R,5,0),IF($LB227=30%,VLOOKUP($GO227,'Jan-2026 rates'!$L:$R,6,0),IF($LB227=100%,VLOOKUP($GO227,'Jan-2026 rates'!$L:$R,7,0),IF($LB227=60%,VLOOKUP($GO227,'Jan-2026 rates'!$L:$S,8,0),IF($LB227=80%,VLOOKUP($GO227,'Jan-2026 rates'!L:T,9,0),0))))))))</f>
        <v>0</v>
      </c>
      <c r="GR227" s="412"/>
      <c r="GS227" s="409"/>
      <c r="GT227" s="411">
        <f>IF(GS227=0,0,IF($LB227=70%,VLOOKUP($GO227,'Jan-2026 rates'!$L:$R,4,0),IF($LB227=65%,VLOOKUP($GO227,'Jan-2026 rates'!$L:$R,4,0),IF($LB227=40%,VLOOKUP($GO227,'Jan-2026 rates'!$L:$R,5,0),IF($LB227=30%,VLOOKUP($GO227,'Jan-2026 rates'!$L:$R,6,0),IF($LB227=100%,VLOOKUP($GO227,'Jan-2026 rates'!$L:$R,7,0),IF($LB227=60%,VLOOKUP($GO227,'Jan-2026 rates'!$L:$S,8,0),IF($LB227=80%,VLOOKUP($GO227,'Jan-2026 rates'!L:T,9,0),0))))))))</f>
        <v>0</v>
      </c>
      <c r="GU227" s="413" t="s">
        <v>1266</v>
      </c>
      <c r="GV227" s="413"/>
      <c r="GW227" s="412"/>
      <c r="GX227" s="412"/>
      <c r="GY227" s="412"/>
      <c r="GZ227" s="412"/>
      <c r="HA227" s="412"/>
      <c r="HB227" s="412"/>
      <c r="HC227" s="409">
        <v>5</v>
      </c>
      <c r="HD227" s="398">
        <f>IF(HC227=0,0,IF(LEN(GU227)=11,_xlfn.XLOOKUP(GU227,'Dispensed Ink Rates'!C:C,'Dispensed Ink Rates'!CS:CS),VLOOKUP(GU227,'Jan-2026 rates'!$E:$F,2,0)))</f>
        <v>0</v>
      </c>
      <c r="HE227" s="409"/>
      <c r="HF227" s="398">
        <f>IF(HE227=0,0,IF(LEN(GV227)=11,_xlfn.XLOOKUP(GV227,'Dispensed Ink Rates'!C:C,'Dispensed Ink Rates'!CS:CS),VLOOKUP(GV227,'Jan-2026 rates'!$E:$F,2,0)))</f>
        <v>0</v>
      </c>
      <c r="HG227" s="409"/>
      <c r="HH227" s="398">
        <f>IF(HG227=0,0,IF(LEN(GW227)=11,_xlfn.XLOOKUP(GW227,'Dispensed Ink Rates'!C:C,'Dispensed Ink Rates'!CS:CS),VLOOKUP(GW227,'Jan-2026 rates'!$E:$F,2,0)))</f>
        <v>0</v>
      </c>
      <c r="HI227" s="409"/>
      <c r="HJ227" s="398">
        <f>IF(HI227=0,0,IF(LEN(GX227)=11,_xlfn.XLOOKUP(GX227,'Dispensed Ink Rates'!C:C,'Dispensed Ink Rates'!CS:CS),VLOOKUP(GX227,'Jan-2026 rates'!$E:$F,2,0)))</f>
        <v>0</v>
      </c>
      <c r="HK227" s="409"/>
      <c r="HL227" s="398">
        <f>IF(HK227=0,0,IF(LEN(GY227)=11,_xlfn.XLOOKUP(GY227,'Dispensed Ink Rates'!C:C,'Dispensed Ink Rates'!CS:CS),VLOOKUP(GY227,'Jan-2026 rates'!$E:$F,2,0)))</f>
        <v>0</v>
      </c>
      <c r="HM227" s="409"/>
      <c r="HN227" s="398">
        <f>IF(HM227=0,0,IF(LEN(GZ227)=11,_xlfn.XLOOKUP(GZ227,'Dispensed Ink Rates'!C:C,'Dispensed Ink Rates'!CS:CS),VLOOKUP(GZ227,'Jan-2026 rates'!$E:$F,2,0)))</f>
        <v>0</v>
      </c>
      <c r="HO227" s="409"/>
      <c r="HP227" s="398">
        <f>IF(HO227=0,0,IF(LEN(HA227)=11,_xlfn.XLOOKUP(HA227,'Dispensed Ink Rates'!C:C,'Dispensed Ink Rates'!CS:CS),VLOOKUP(HA227,'Jan-2026 rates'!$E:$F,2,0)))</f>
        <v>0</v>
      </c>
      <c r="HQ227" s="409"/>
      <c r="HR227" s="398">
        <f>IF(HQ227=0,0,IF(LEN(HB227)=11,_xlfn.XLOOKUP(HB227,'Dispensed Ink Rates'!C:C,'Dispensed Ink Rates'!CS:CS),VLOOKUP(HB227,'Jan-2026 rates'!$E:$F,2,0)))</f>
        <v>0</v>
      </c>
      <c r="HS227" s="409" t="s">
        <v>1443</v>
      </c>
      <c r="HT227" s="409">
        <v>30</v>
      </c>
      <c r="HU227" s="411">
        <f t="shared" si="174"/>
        <v>0</v>
      </c>
      <c r="HV227" s="411">
        <f t="shared" si="175"/>
        <v>48.481481481481481</v>
      </c>
      <c r="HW227" s="414">
        <f t="shared" si="176"/>
        <v>0</v>
      </c>
      <c r="HX227" s="405" t="s">
        <v>546</v>
      </c>
      <c r="HY227" s="409" t="s">
        <v>3874</v>
      </c>
      <c r="HZ227" s="420" t="str">
        <f t="shared" si="136"/>
        <v>FLINTSL - REFLEX BLUE</v>
      </c>
      <c r="IA227" s="409">
        <v>23</v>
      </c>
      <c r="IB227" s="411">
        <f>IF(IA227=0,0,IF($LB227=70%,VLOOKUP($HZ227,'Jan-2026 rates'!$L:$R,4,0),IF($LB227=65%,VLOOKUP($HZ227,'Jan-2026 rates'!$L:$R,4,0),IF($LB227=40%,VLOOKUP($HZ227,'Jan-2026 rates'!$L:$R,5,0),IF($LB227=30%,VLOOKUP($HZ227,'Jan-2026 rates'!$L:$R,6,0),IF($LB227=100%,VLOOKUP($HZ227,'Jan-2026 rates'!$L:$R,7,0),IF($LB227=60%,VLOOKUP($HZ227,'Jan-2026 rates'!$L:$S,8,0),IF($LB227=80%,VLOOKUP($HZ227,'Jan-2026 rates'!L:T,9,0),0))))))))</f>
        <v>0</v>
      </c>
      <c r="IC227" s="412" t="s">
        <v>3918</v>
      </c>
      <c r="ID227" s="409">
        <f>28+40</f>
        <v>68</v>
      </c>
      <c r="IE227" s="411">
        <f>IF(ID227=0,0,IF($LB227=70%,VLOOKUP($HZ227,'Jan-2026 rates'!$L:$R,4,0),IF($LB227=65%,VLOOKUP($HZ227,'Jan-2026 rates'!$L:$R,4,0),IF($LB227=40%,VLOOKUP($HZ227,'Jan-2026 rates'!$L:$R,5,0),IF($LB227=30%,VLOOKUP($HZ227,'Jan-2026 rates'!$L:$R,6,0),IF($LB227=100%,VLOOKUP($HZ227,'Jan-2026 rates'!$L:$R,7,0),IF($LB227=60%,VLOOKUP($HZ227,'Jan-2026 rates'!$L:$S,8,0),IF($LB227=80%,VLOOKUP($HZ227,'Jan-2026 rates'!L:T,9,0),0))))))))</f>
        <v>0</v>
      </c>
      <c r="IF227" s="412">
        <v>26516000006</v>
      </c>
      <c r="IG227" s="413">
        <v>26516000018</v>
      </c>
      <c r="IH227" s="412">
        <v>26516000015</v>
      </c>
      <c r="II227" s="412" t="s">
        <v>1266</v>
      </c>
      <c r="IJ227" s="412">
        <v>26516000031</v>
      </c>
      <c r="IK227" s="412"/>
      <c r="IL227" s="412"/>
      <c r="IM227" s="412"/>
      <c r="IN227" s="409">
        <v>40</v>
      </c>
      <c r="IO227" s="398" t="e">
        <f>IF(IN227=0,0,IF(LEN(IF227)=11,_xlfn.XLOOKUP(IF227,'Dispensed Ink Rates'!C:C,'Dispensed Ink Rates'!CS:CS),VLOOKUP(IF227,'Jan-2026 rates'!$E:$F,2,0)))</f>
        <v>#N/A</v>
      </c>
      <c r="IP227" s="409">
        <v>5</v>
      </c>
      <c r="IQ227" s="398" t="e">
        <f>IF(IP227=0,0,IF(LEN(IG227)=11,_xlfn.XLOOKUP(IG227,'Dispensed Ink Rates'!C:C,'Dispensed Ink Rates'!CS:CS),VLOOKUP(IG227,'Jan-2026 rates'!$E:$F,2,0)))</f>
        <v>#N/A</v>
      </c>
      <c r="IR227" s="409">
        <v>2</v>
      </c>
      <c r="IS227" s="398" t="e">
        <f>IF(IR227=0,0,IF(LEN(IH227)=11,_xlfn.XLOOKUP(IH227,'Dispensed Ink Rates'!C:C,'Dispensed Ink Rates'!CS:CS),VLOOKUP(IH227,'Jan-2026 rates'!$E:$F,2,0)))</f>
        <v>#N/A</v>
      </c>
      <c r="IT227" s="409">
        <v>10</v>
      </c>
      <c r="IU227" s="398">
        <f>IF(IT227=0,0,IF(LEN(II227)=11,_xlfn.XLOOKUP(II227,'Dispensed Ink Rates'!C:C,'Dispensed Ink Rates'!CS:CS),VLOOKUP(II227,'Jan-2026 rates'!$E:$F,2,0)))</f>
        <v>0</v>
      </c>
      <c r="IV227" s="409">
        <v>20</v>
      </c>
      <c r="IW227" s="398" t="e">
        <f>IF(IV227=0,0,IF(LEN(IJ227)=11,_xlfn.XLOOKUP(IJ227,'Dispensed Ink Rates'!C:C,'Dispensed Ink Rates'!CS:CS),VLOOKUP(IJ227,'Jan-2026 rates'!$E:$F,2,0)))</f>
        <v>#N/A</v>
      </c>
      <c r="IX227" s="409"/>
      <c r="IY227" s="398">
        <f>IF(IX227=0,0,IF(LEN(IK227)=11,_xlfn.XLOOKUP(IK227,'Dispensed Ink Rates'!C:C,'Dispensed Ink Rates'!CS:CS),VLOOKUP(IK227,'Jan-2026 rates'!$E:$F,2,0)))</f>
        <v>0</v>
      </c>
      <c r="IZ227" s="409"/>
      <c r="JA227" s="398">
        <f>IF(IZ227=0,0,IF(LEN(IL227)=11,_xlfn.XLOOKUP(IL227,'Dispensed Ink Rates'!C:C,'Dispensed Ink Rates'!CS:CS),VLOOKUP(IL227,'Jan-2026 rates'!$E:$F,2,0)))</f>
        <v>0</v>
      </c>
      <c r="JB227" s="409"/>
      <c r="JC227" s="398">
        <f>IF(JB227=0,0,IF(LEN(IM227)=11,_xlfn.XLOOKUP(IM227,'Dispensed Ink Rates'!C:C,'Dispensed Ink Rates'!CS:CS),VLOOKUP(IM227,'Jan-2026 rates'!$E:$F,2,0)))</f>
        <v>0</v>
      </c>
      <c r="JD227" s="409" t="s">
        <v>1443</v>
      </c>
      <c r="JE227" s="409">
        <v>20</v>
      </c>
      <c r="JF227" s="411">
        <f t="shared" si="177"/>
        <v>0</v>
      </c>
      <c r="JG227" s="411">
        <f t="shared" si="178"/>
        <v>230.96296296296296</v>
      </c>
      <c r="JH227" s="410">
        <f t="shared" si="179"/>
        <v>0</v>
      </c>
      <c r="JI227" s="405"/>
      <c r="JJ227" s="409"/>
      <c r="JK227" s="420" t="str">
        <f t="shared" si="137"/>
        <v xml:space="preserve"> - </v>
      </c>
      <c r="JL227" s="409"/>
      <c r="JM227" s="411">
        <f>IF(JL227=0,0,IF($LB227=70%,VLOOKUP($JK227,'Jan-2026 rates'!$L:$R,4,0),IF($LB227=65%,VLOOKUP($JK227,'Jan-2026 rates'!$L:$R,4,0),IF($LB227=40%,VLOOKUP($JK227,'Jan-2026 rates'!$L:$R,5,0),IF($LB227=30%,VLOOKUP($JK227,'Jan-2026 rates'!$L:$R,6,0),IF($LB227=100%,VLOOKUP($JK227,'Jan-2026 rates'!$L:$R,7,0),IF($LB227=60%,VLOOKUP($JK227,'Jan-2026 rates'!$L:$S,8,0),IF($LB227=80%,VLOOKUP($JK227,'Jan-2026 rates'!L:T,9,0),0))))))))</f>
        <v>0</v>
      </c>
      <c r="JN227" s="412"/>
      <c r="JO227" s="409"/>
      <c r="JP227" s="411">
        <f>IF(JO227=0,0,IF($LB227=70%,VLOOKUP($JK227,'Jan-2026 rates'!$L:$R,4,0),IF($LB227=65%,VLOOKUP($JK227,'Jan-2026 rates'!$L:$R,4,0),IF($LB227=40%,VLOOKUP($JK227,'Jan-2026 rates'!$L:$R,5,0),IF($LB227=30%,VLOOKUP($JK227,'Jan-2026 rates'!$L:$R,6,0),IF($LB227=100%,VLOOKUP($JK227,'Jan-2026 rates'!$L:$R,7,0),IF($LB227=60%,VLOOKUP($JK227,'Jan-2026 rates'!$L:$S,8,0),IF($LB227=80%,VLOOKUP($JK227,'Jan-2026 rates'!L:T,9,0),0))))))))</f>
        <v>0</v>
      </c>
      <c r="JQ227" s="413"/>
      <c r="JR227" s="412"/>
      <c r="JS227" s="413"/>
      <c r="JT227" s="413"/>
      <c r="JU227" s="412"/>
      <c r="JV227" s="412"/>
      <c r="JW227" s="412"/>
      <c r="JX227" s="412"/>
      <c r="JY227" s="409"/>
      <c r="JZ227" s="398">
        <f>IF(JY227=0,0,IF(LEN(JQ227)=11,_xlfn.XLOOKUP(JQ227,'Dispensed Ink Rates'!C:C,'Dispensed Ink Rates'!CS:CS),VLOOKUP(JQ227,'Jan-2026 rates'!$E:$F,2,0)))</f>
        <v>0</v>
      </c>
      <c r="KA227" s="409"/>
      <c r="KB227" s="398">
        <f>IF(KA227=0,0,IF(LEN(JR227)=11,_xlfn.XLOOKUP(JR227,'Dispensed Ink Rates'!C:C,'Dispensed Ink Rates'!CS:CS),VLOOKUP(JR227,'Jan-2026 rates'!$E:$F,2,0)))</f>
        <v>0</v>
      </c>
      <c r="KC227" s="409"/>
      <c r="KD227" s="398">
        <f>IF(KC227=0,0,IF(LEN(JS227)=11,_xlfn.XLOOKUP(JS227,'Dispensed Ink Rates'!C:C,'Dispensed Ink Rates'!CS:CS),VLOOKUP(JS227,'Jan-2026 rates'!$E:$F,2,0)))</f>
        <v>0</v>
      </c>
      <c r="KE227" s="409"/>
      <c r="KF227" s="398">
        <f>IF(KE227=0,0,IF(LEN(JT227)=11,_xlfn.XLOOKUP(JT227,'Dispensed Ink Rates'!C:C,'Dispensed Ink Rates'!CS:CS),VLOOKUP(JT227,'Jan-2026 rates'!$E:$F,2,0)))</f>
        <v>0</v>
      </c>
      <c r="KG227" s="409"/>
      <c r="KH227" s="398">
        <f>IF(KG227=0,0,IF(LEN(JU227)=11,_xlfn.XLOOKUP(JU227,'Dispensed Ink Rates'!C:C,'Dispensed Ink Rates'!CS:CS),VLOOKUP(JU227,'Jan-2026 rates'!$E:$F,2,0)))</f>
        <v>0</v>
      </c>
      <c r="KI227" s="409"/>
      <c r="KJ227" s="398">
        <f>IF(KI227=0,0,IF(LEN(JV227)=11,_xlfn.XLOOKUP(JV227,'Dispensed Ink Rates'!C:C,'Dispensed Ink Rates'!CS:CS),VLOOKUP(JV227,'Jan-2026 rates'!$E:$F,2,0)))</f>
        <v>0</v>
      </c>
      <c r="KK227" s="409"/>
      <c r="KL227" s="398">
        <f>IF(KK227=0,0,IF(LEN(JW227)=11,_xlfn.XLOOKUP(JW227,'Dispensed Ink Rates'!C:C,'Dispensed Ink Rates'!CS:CS),VLOOKUP(JW227,'Jan-2026 rates'!$E:$F,2,0)))</f>
        <v>0</v>
      </c>
      <c r="KM227" s="428"/>
      <c r="KN227" s="398">
        <f>IF(KM227=0,0,IF(LEN(JX227)=11,_xlfn.XLOOKUP(JX227,'Dispensed Ink Rates'!C:C,'Dispensed Ink Rates'!CS:CS),VLOOKUP(JX227,'Jan-2026 rates'!$E:$F,2,0)))</f>
        <v>0</v>
      </c>
      <c r="KO227" s="409"/>
      <c r="KP227" s="409"/>
      <c r="KQ227" s="411">
        <f t="shared" si="180"/>
        <v>0</v>
      </c>
      <c r="KR227" s="411">
        <f t="shared" si="181"/>
        <v>0</v>
      </c>
      <c r="KS227" s="410">
        <f t="shared" si="182"/>
        <v>0</v>
      </c>
      <c r="KT227" s="409">
        <v>2</v>
      </c>
      <c r="KU227" s="409">
        <v>2</v>
      </c>
      <c r="KV227" s="409">
        <v>3</v>
      </c>
      <c r="KW227" s="409">
        <v>2</v>
      </c>
      <c r="KX227" s="409">
        <v>3</v>
      </c>
      <c r="KY227" s="409">
        <v>5</v>
      </c>
      <c r="KZ227" s="409">
        <v>10</v>
      </c>
      <c r="LA227" s="409">
        <v>0</v>
      </c>
      <c r="LB227" s="415">
        <v>0.8</v>
      </c>
      <c r="LC227" s="415">
        <v>0.2</v>
      </c>
      <c r="LD227" s="415"/>
      <c r="LE227" s="415"/>
      <c r="LF227" s="415"/>
      <c r="LG227" s="409">
        <v>0</v>
      </c>
      <c r="LH227" s="409">
        <f>27+30+120+30+5+5+7</f>
        <v>224</v>
      </c>
      <c r="LI227" s="409">
        <v>0</v>
      </c>
      <c r="LJ227" s="409">
        <v>0</v>
      </c>
      <c r="LK227" s="416">
        <f t="shared" si="138"/>
        <v>224</v>
      </c>
      <c r="LL227" s="416">
        <f t="shared" si="139"/>
        <v>224</v>
      </c>
      <c r="LM227" s="417">
        <f t="shared" si="140"/>
        <v>179.20000000000002</v>
      </c>
      <c r="LN227" s="417">
        <f>VLOOKUP($LM$8,'Jan-2026 rates'!$H:$I,2,0)</f>
        <v>0</v>
      </c>
      <c r="LO227" s="417">
        <f t="shared" si="141"/>
        <v>44.800000000000004</v>
      </c>
      <c r="LP227" s="417">
        <f>VLOOKUP($LO$8,'Jan-2026 rates'!$H:$I,2,0)</f>
        <v>0</v>
      </c>
      <c r="LQ227" s="417">
        <f t="shared" si="142"/>
        <v>0</v>
      </c>
      <c r="LR227" s="417">
        <f>VLOOKUP($LQ$8,'Jan-2026 rates'!$H:$I,2,0)</f>
        <v>0</v>
      </c>
      <c r="LS227" s="417">
        <f t="shared" si="143"/>
        <v>0</v>
      </c>
      <c r="LT227" s="417">
        <f>VLOOKUP($LS$8,'Jan-2026 rates'!$H:$I,2,0)</f>
        <v>0</v>
      </c>
      <c r="LU227" s="417">
        <f t="shared" si="144"/>
        <v>0</v>
      </c>
      <c r="LV227" s="417">
        <f>VLOOKUP($LU$8,'Jan-2026 rates'!$H:$I,2,0)</f>
        <v>0</v>
      </c>
      <c r="LW227" s="417">
        <f t="shared" si="145"/>
        <v>0</v>
      </c>
      <c r="LX227" s="417">
        <f t="shared" si="146"/>
        <v>0</v>
      </c>
      <c r="LY227" s="418">
        <f t="shared" si="147"/>
        <v>0</v>
      </c>
      <c r="LZ227" s="417"/>
      <c r="MA227" s="435">
        <f t="shared" si="148"/>
        <v>102</v>
      </c>
      <c r="MB227" s="282">
        <f t="shared" si="149"/>
        <v>405</v>
      </c>
      <c r="MC227" s="283">
        <v>120</v>
      </c>
      <c r="MD227" s="284" t="str">
        <f t="shared" si="150"/>
        <v>FLINTSLFLINTSLFLINTSLFLINTSLFLINTSLFLINTSLFLINTSL</v>
      </c>
      <c r="ME227" s="293" t="str">
        <f t="shared" si="151"/>
        <v>+</v>
      </c>
      <c r="MF227" s="293" t="str">
        <f t="shared" si="152"/>
        <v>+</v>
      </c>
      <c r="MG227" s="293" t="str">
        <f t="shared" si="153"/>
        <v>+</v>
      </c>
      <c r="MH227" s="293" t="str">
        <f t="shared" si="154"/>
        <v>+</v>
      </c>
      <c r="MI227" s="293" t="str">
        <f t="shared" si="155"/>
        <v>+</v>
      </c>
      <c r="MJ227" s="293" t="str">
        <f t="shared" si="156"/>
        <v>+</v>
      </c>
      <c r="MK227" s="293" t="str">
        <f t="shared" si="157"/>
        <v>+</v>
      </c>
      <c r="ML227" s="293" t="str">
        <f t="shared" si="158"/>
        <v>NIL</v>
      </c>
      <c r="MM227" s="3" t="b">
        <f t="array" ref="MM227">OR(ME227:ML227="-")</f>
        <v>0</v>
      </c>
      <c r="MN227" s="285"/>
      <c r="MO227" s="401"/>
      <c r="MP227" s="286"/>
      <c r="MQ227" s="286"/>
      <c r="MR227" s="402"/>
      <c r="MS227" s="400"/>
      <c r="NH227" s="422"/>
      <c r="NJ227" s="421"/>
    </row>
    <row r="228" spans="1:374" s="1" customFormat="1" ht="16.5">
      <c r="A228" s="403">
        <v>46038</v>
      </c>
      <c r="B228" s="404" t="s">
        <v>1018</v>
      </c>
      <c r="C228" s="405" t="s">
        <v>3919</v>
      </c>
      <c r="D228" s="406">
        <v>121</v>
      </c>
      <c r="E228" s="404">
        <v>479</v>
      </c>
      <c r="F228" s="407">
        <v>27500</v>
      </c>
      <c r="G228" s="407" t="s">
        <v>1019</v>
      </c>
      <c r="H228" s="408" t="s">
        <v>1017</v>
      </c>
      <c r="I228" s="409">
        <v>2.1</v>
      </c>
      <c r="J228" s="405" t="s">
        <v>543</v>
      </c>
      <c r="K228" s="404" t="s">
        <v>3920</v>
      </c>
      <c r="L228" s="419" t="str">
        <f t="shared" si="131"/>
        <v>FLINTSL - BLACK</v>
      </c>
      <c r="M228" s="404">
        <v>24</v>
      </c>
      <c r="N228" s="410">
        <f>IF(M228=0,0,IF($LB228=70%,VLOOKUP($L228,'Jan-2026 rates'!$L:$R,4,0),IF($LB228=65%,VLOOKUP($L228,'Jan-2026 rates'!$L:$R,4,0),IF($LB228=40%,VLOOKUP($L228,'Jan-2026 rates'!$L:$R,5,0),IF($LB228=30%,VLOOKUP($L228,'Jan-2026 rates'!$L:$R,6,0),IF($LB228=100%,VLOOKUP($L228,'Jan-2026 rates'!$L:$R,7,0),IF($LB228=60%,VLOOKUP($L228,'Jan-2026 rates'!$L:$S,8,0),IF($LB228=80%,VLOOKUP($L228,'Jan-2026 rates'!L:T,9,0),0))))))))</f>
        <v>0</v>
      </c>
      <c r="O228" s="406"/>
      <c r="P228" s="404"/>
      <c r="Q228" s="410">
        <f>IF(P228=0,0,IF($LB228=70%,VLOOKUP($L228,'Jan-2026 rates'!$L:$R,4,0),IF($LB228=65%,VLOOKUP($L228,'Jan-2026 rates'!$L:$R,4,0),IF($LB228=40%,VLOOKUP($L228,'Jan-2026 rates'!$L:$R,5,0),IF($LB228=30%,VLOOKUP($L228,'Jan-2026 rates'!$L:$R,6,0),IF($LB228=100%,VLOOKUP($L228,'Jan-2026 rates'!$L:$R,7,0),IF($LB228=60%,VLOOKUP($L228,'Jan-2026 rates'!$L:$S,8,0),IF($LB228=80%,VLOOKUP($L228,'Jan-2026 rates'!L:T,9,0),0))))))))</f>
        <v>0</v>
      </c>
      <c r="R228" s="406">
        <v>26520000010</v>
      </c>
      <c r="S228" s="406"/>
      <c r="T228" s="406"/>
      <c r="U228" s="406"/>
      <c r="V228" s="406"/>
      <c r="W228" s="406"/>
      <c r="X228" s="406"/>
      <c r="Y228" s="406"/>
      <c r="Z228" s="404">
        <v>3</v>
      </c>
      <c r="AA228" s="398" t="e">
        <f>IF(Z228=0,0,IF(LEN(R228)=11,_xlfn.XLOOKUP(R228,'Dispensed Ink Rates'!C:C,'Dispensed Ink Rates'!CS:CS),VLOOKUP(R228,'Jan-2026 rates'!$E:$F,2,0)))</f>
        <v>#N/A</v>
      </c>
      <c r="AB228" s="404"/>
      <c r="AC228" s="398">
        <f>IF(AB228=0,0,IF(LEN(S228)=11,_xlfn.XLOOKUP(S228,'Dispensed Ink Rates'!C:C,'Dispensed Ink Rates'!CS:CS),VLOOKUP(S228,'Jan-2026 rates'!$E:$F,2,0)))</f>
        <v>0</v>
      </c>
      <c r="AD228" s="404"/>
      <c r="AE228" s="398">
        <f>IF(AD228=0,0,IF(LEN(T228)=11,_xlfn.XLOOKUP(T228,'Dispensed Ink Rates'!C:C,'Dispensed Ink Rates'!CS:CS),VLOOKUP(T228,'Jan-2026 rates'!$E:$F,2,0)))</f>
        <v>0</v>
      </c>
      <c r="AF228" s="404"/>
      <c r="AG228" s="398">
        <f>IF(AF228=0,0,IF(LEN(U228)=11,_xlfn.XLOOKUP(U228,'Dispensed Ink Rates'!C:C,'Dispensed Ink Rates'!CS:CS),VLOOKUP(U228,'Jan-2026 rates'!$E:$F,2,0)))</f>
        <v>0</v>
      </c>
      <c r="AH228" s="404"/>
      <c r="AI228" s="398">
        <f>IF(AH228=0,0,IF(LEN(V228)=11,_xlfn.XLOOKUP(V228,'Dispensed Ink Rates'!C:C,'Dispensed Ink Rates'!CS:CS),VLOOKUP(V228,'Jan-2026 rates'!$E:$F,2,0)))</f>
        <v>0</v>
      </c>
      <c r="AJ228" s="404"/>
      <c r="AK228" s="398">
        <f>IF(AJ228=0,0,IF(LEN(W228)=11,_xlfn.XLOOKUP(W228,'Dispensed Ink Rates'!C:C,'Dispensed Ink Rates'!CS:CS),VLOOKUP(W228,'Jan-2026 rates'!$E:$F,2,0)))</f>
        <v>0</v>
      </c>
      <c r="AL228" s="404"/>
      <c r="AM228" s="398">
        <f>IF(AL228=0,0,IF(LEN(X228)=11,_xlfn.XLOOKUP(X228,'Dispensed Ink Rates'!C:C,'Dispensed Ink Rates'!CS:CS),VLOOKUP(X228,'Jan-2026 rates'!$E:$F,2,0)))</f>
        <v>0</v>
      </c>
      <c r="AN228" s="404"/>
      <c r="AO228" s="398">
        <f>IF(AN228=0,0,IF(LEN(Y228)=11,_xlfn.XLOOKUP(Y228,'Dispensed Ink Rates'!C:C,'Dispensed Ink Rates'!CS:CS),VLOOKUP(Y228,'Jan-2026 rates'!$E:$F,2,0)))</f>
        <v>0</v>
      </c>
      <c r="AP228" s="409" t="s">
        <v>1443</v>
      </c>
      <c r="AQ228" s="409">
        <v>22</v>
      </c>
      <c r="AR228" s="410">
        <f t="shared" si="159"/>
        <v>0</v>
      </c>
      <c r="AS228" s="411">
        <f t="shared" si="160"/>
        <v>9.0481927710843379</v>
      </c>
      <c r="AT228" s="410">
        <f t="shared" si="161"/>
        <v>0</v>
      </c>
      <c r="AU228" s="405" t="s">
        <v>543</v>
      </c>
      <c r="AV228" s="409" t="s">
        <v>3343</v>
      </c>
      <c r="AW228" s="420" t="str">
        <f t="shared" si="183"/>
        <v>FLINTSL - BLACK</v>
      </c>
      <c r="AX228" s="409">
        <v>14</v>
      </c>
      <c r="AY228" s="411">
        <f>IF(AX228=0,0,IF($LB228=70%,VLOOKUP($AW228,'Jan-2026 rates'!$L:$R,4,0),IF($LB228=65%,VLOOKUP($AW228,'Jan-2026 rates'!$L:$R,4,0),IF($LB228=40%,VLOOKUP($AW228,'Jan-2026 rates'!$L:$R,5,0),IF($LB228=30%,VLOOKUP($AW228,'Jan-2026 rates'!$L:$R,6,0),IF($LB228=100%,VLOOKUP($AW228,'Jan-2026 rates'!$L:$R,7,0),IF($LB228=60%,VLOOKUP($AW228,'Jan-2026 rates'!$L:$S,8,0),IF($LB228=80%,VLOOKUP($AW228,'Jan-2026 rates'!L:T,9,0),0))))))))</f>
        <v>0</v>
      </c>
      <c r="AZ228" s="412"/>
      <c r="BA228" s="409"/>
      <c r="BB228" s="411">
        <f>IF(BA228=0,0,IF($LB228=70%,VLOOKUP($AW228,'Jan-2026 rates'!$L:$R,4,0),IF($LB228=65%,VLOOKUP($AW228,'Jan-2026 rates'!$L:$R,4,0),IF($LB228=40%,VLOOKUP($AW228,'Jan-2026 rates'!$L:$R,5,0),IF($LB228=30%,VLOOKUP($AW228,'Jan-2026 rates'!$L:$R,6,0),IF($LB228=100%,VLOOKUP($AW228,'Jan-2026 rates'!$L:$R,7,0),IF($LB228=60%,VLOOKUP($AW228,'Jan-2026 rates'!$L:$S,8,0),IF($LB228=80%,VLOOKUP($AW228,'Jan-2026 rates'!L:T,9,0),0))))))))</f>
        <v>0</v>
      </c>
      <c r="BC228" s="413">
        <v>26516000015</v>
      </c>
      <c r="BD228" s="412">
        <v>26517000020</v>
      </c>
      <c r="BE228" s="412">
        <v>26520000010</v>
      </c>
      <c r="BF228" s="413"/>
      <c r="BG228" s="412"/>
      <c r="BH228" s="412"/>
      <c r="BI228" s="412"/>
      <c r="BJ228" s="412"/>
      <c r="BK228" s="409">
        <v>4</v>
      </c>
      <c r="BL228" s="398" t="e">
        <f>IF(BK228=0,0,IF(LEN(BC228)=11,_xlfn.XLOOKUP(BC228,'Dispensed Ink Rates'!C:C,'Dispensed Ink Rates'!CS:CS),VLOOKUP(BC228,'Jan-2026 rates'!$E:$F,2,0)))</f>
        <v>#N/A</v>
      </c>
      <c r="BM228" s="409">
        <v>3</v>
      </c>
      <c r="BN228" s="398" t="e">
        <f>IF(BM228=0,0,IF(LEN(BD228)=11,_xlfn.XLOOKUP(BD228,'Dispensed Ink Rates'!C:C,'Dispensed Ink Rates'!CS:CS),VLOOKUP(BD228,'Jan-2026 rates'!$E:$F,2,0)))</f>
        <v>#N/A</v>
      </c>
      <c r="BO228" s="409">
        <v>3</v>
      </c>
      <c r="BP228" s="398" t="e">
        <f>IF(BO228=0,0,IF(LEN(BE228)=11,_xlfn.XLOOKUP(BE228,'Dispensed Ink Rates'!C:C,'Dispensed Ink Rates'!CS:CS),VLOOKUP(BE228,'Jan-2026 rates'!$E:$F,2,0)))</f>
        <v>#N/A</v>
      </c>
      <c r="BQ228" s="409"/>
      <c r="BR228" s="398">
        <f>IF(BQ228=0,0,IF(LEN(BF228)=11,_xlfn.XLOOKUP(BF228,'Dispensed Ink Rates'!C:C,'Dispensed Ink Rates'!CS:CS),VLOOKUP(BF228,'Jan-2026 rates'!$E:$F,2,0)))</f>
        <v>0</v>
      </c>
      <c r="BS228" s="409"/>
      <c r="BT228" s="398">
        <f>IF(BS228=0,0,IF(LEN(BG228)=11,_xlfn.XLOOKUP(BG228,'Dispensed Ink Rates'!C:C,'Dispensed Ink Rates'!CS:CS),VLOOKUP(BG228,'Jan-2026 rates'!$E:$F,2,0)))</f>
        <v>0</v>
      </c>
      <c r="BU228" s="409"/>
      <c r="BV228" s="398">
        <f>IF(BU228=0,0,IF(LEN(BH228)=11,_xlfn.XLOOKUP(BH228,'Dispensed Ink Rates'!C:C,'Dispensed Ink Rates'!CS:CS),VLOOKUP(BH228,'Jan-2026 rates'!$E:$F,2,0)))</f>
        <v>0</v>
      </c>
      <c r="BW228" s="409"/>
      <c r="BX228" s="398">
        <f>IF(BW228=0,0,IF(LEN(BI228)=11,_xlfn.XLOOKUP(BI228,'Dispensed Ink Rates'!C:C,'Dispensed Ink Rates'!CS:CS),VLOOKUP(BI228,'Jan-2026 rates'!$E:$F,2,0)))</f>
        <v>0</v>
      </c>
      <c r="BY228" s="409"/>
      <c r="BZ228" s="398">
        <f>IF(BY228=0,0,IF(LEN(BJ228)=11,_xlfn.XLOOKUP(BJ228,'Dispensed Ink Rates'!C:C,'Dispensed Ink Rates'!CS:CS),VLOOKUP(BJ228,'Jan-2026 rates'!$E:$F,2,0)))</f>
        <v>0</v>
      </c>
      <c r="CA228" s="409" t="s">
        <v>1443</v>
      </c>
      <c r="CB228" s="409">
        <v>19</v>
      </c>
      <c r="CC228" s="411">
        <f t="shared" si="162"/>
        <v>0</v>
      </c>
      <c r="CD228" s="411">
        <f t="shared" si="163"/>
        <v>15.120481927710841</v>
      </c>
      <c r="CE228" s="410">
        <f t="shared" si="164"/>
        <v>0</v>
      </c>
      <c r="CF228" s="404" t="s">
        <v>855</v>
      </c>
      <c r="CG228" s="409" t="s">
        <v>3921</v>
      </c>
      <c r="CH228" s="420" t="str">
        <f t="shared" si="132"/>
        <v>FLINTSL - CYAN</v>
      </c>
      <c r="CI228" s="409">
        <v>29</v>
      </c>
      <c r="CJ228" s="411">
        <f>IF(CI228=0,0,IF($LB228=70%,VLOOKUP($CH228,'Jan-2026 rates'!$L:$R,4,0),IF($LB228=65%,VLOOKUP($CH228,'Jan-2026 rates'!$L:$R,4,0),IF($LB228=40%,VLOOKUP($CH228,'Jan-2026 rates'!$L:$R,5,0),IF($LB228=30%,VLOOKUP($CH228,'Jan-2026 rates'!$L:$R,6,0),IF($LB228=100%,VLOOKUP($CH228,'Jan-2026 rates'!$L:$R,7,0),IF($LB228=60%,VLOOKUP($CH228,'Jan-2026 rates'!$L:$S,8,0),IF($LB228=80%,VLOOKUP($CH228,'Jan-2026 rates'!L:T,9,0),0))))))))</f>
        <v>0</v>
      </c>
      <c r="CK228" s="412"/>
      <c r="CL228" s="409"/>
      <c r="CM228" s="411">
        <f>IF(CL228=0,0,IF($LB228=70%,VLOOKUP($CH228,'Jan-2026 rates'!$L:$R,4,0),IF($LB228=65%,VLOOKUP($CH228,'Jan-2026 rates'!$L:$R,4,0),IF($LB228=40%,VLOOKUP($CH228,'Jan-2026 rates'!$L:$R,5,0),IF($LB228=30%,VLOOKUP($CH228,'Jan-2026 rates'!$L:$R,6,0),IF($LB228=100%,VLOOKUP($CH228,'Jan-2026 rates'!$L:$R,7,0),IF($LB228=60%,VLOOKUP($CH228,'Jan-2026 rates'!$L:$S,8,0),IF($LB228=80%,VLOOKUP($CH228,'Jan-2026 rates'!L:T,9,0),0))))))))</f>
        <v>0</v>
      </c>
      <c r="CN228" s="426" t="s">
        <v>1266</v>
      </c>
      <c r="CO228" s="427"/>
      <c r="CP228" s="426"/>
      <c r="CQ228" s="426"/>
      <c r="CR228" s="428"/>
      <c r="CS228" s="428"/>
      <c r="CT228" s="428"/>
      <c r="CU228" s="428"/>
      <c r="CV228" s="409">
        <v>5</v>
      </c>
      <c r="CW228" s="398">
        <f>IF(CV228=0,0,IF(LEN(CN228)=11,_xlfn.XLOOKUP(CN228,'Dispensed Ink Rates'!C:C,'Dispensed Ink Rates'!CS:CS),VLOOKUP(CN228,'Jan-2026 rates'!$E:$F,2,0)))</f>
        <v>0</v>
      </c>
      <c r="CX228" s="409"/>
      <c r="CY228" s="398">
        <f>IF(CX228=0,0,IF(LEN(CO228)=11,_xlfn.XLOOKUP(CO228,'Dispensed Ink Rates'!C:C,'Dispensed Ink Rates'!CS:CS),VLOOKUP(CO228,'Jan-2026 rates'!$E:$F,2,0)))</f>
        <v>0</v>
      </c>
      <c r="CZ228" s="409"/>
      <c r="DA228" s="398">
        <f>IF(CZ228=0,0,IF(LEN(CP228)=11,_xlfn.XLOOKUP(CP228,'Dispensed Ink Rates'!C:C,'Dispensed Ink Rates'!CS:CS),VLOOKUP(CP228,'Jan-2026 rates'!$E:$F,2,0)))</f>
        <v>0</v>
      </c>
      <c r="DB228" s="409"/>
      <c r="DC228" s="398">
        <f>IF(DB228=0,0,IF(LEN(CQ228)=11,_xlfn.XLOOKUP(CQ228,'Dispensed Ink Rates'!C:C,'Dispensed Ink Rates'!CS:CS),VLOOKUP(CQ228,'Jan-2026 rates'!$E:$F,2,0)))</f>
        <v>0</v>
      </c>
      <c r="DD228" s="409"/>
      <c r="DE228" s="398">
        <f>IF(DD228=0,0,IF(LEN(CR228)=11,_xlfn.XLOOKUP(CR228,'Dispensed Ink Rates'!C:C,'Dispensed Ink Rates'!CS:CS),VLOOKUP(CR228,'Jan-2026 rates'!$E:$F,2,0)))</f>
        <v>0</v>
      </c>
      <c r="DF228" s="409"/>
      <c r="DG228" s="398">
        <f>IF(DF228=0,0,IF(LEN(CS228)=11,_xlfn.XLOOKUP(CS228,'Dispensed Ink Rates'!C:C,'Dispensed Ink Rates'!CS:CS),VLOOKUP(CS228,'Jan-2026 rates'!$E:$F,2,0)))</f>
        <v>0</v>
      </c>
      <c r="DH228" s="409"/>
      <c r="DI228" s="398">
        <f>IF(DH228=0,0,IF(LEN(CT228)=11,_xlfn.XLOOKUP(CT228,'Dispensed Ink Rates'!C:C,'Dispensed Ink Rates'!CS:CS),VLOOKUP(CT228,'Jan-2026 rates'!$E:$F,2,0)))</f>
        <v>0</v>
      </c>
      <c r="DJ228" s="409"/>
      <c r="DK228" s="398">
        <f>IF(DJ228=0,0,IF(LEN(CU228)=11,_xlfn.XLOOKUP(CU228,'Dispensed Ink Rates'!C:C,'Dispensed Ink Rates'!CS:CS),VLOOKUP(CU228,'Jan-2026 rates'!$E:$F,2,0)))</f>
        <v>0</v>
      </c>
      <c r="DL228" s="409" t="s">
        <v>1443</v>
      </c>
      <c r="DM228" s="409">
        <v>28</v>
      </c>
      <c r="DN228" s="411">
        <f t="shared" si="165"/>
        <v>0</v>
      </c>
      <c r="DO228" s="411">
        <f t="shared" si="166"/>
        <v>10.048192771084338</v>
      </c>
      <c r="DP228" s="410">
        <f t="shared" si="167"/>
        <v>0</v>
      </c>
      <c r="DQ228" s="405" t="s">
        <v>544</v>
      </c>
      <c r="DR228" s="409" t="s">
        <v>3922</v>
      </c>
      <c r="DS228" s="420" t="str">
        <f t="shared" si="133"/>
        <v>FLINTSL - MAGENTA</v>
      </c>
      <c r="DT228" s="409">
        <v>27</v>
      </c>
      <c r="DU228" s="411">
        <f>IF(DT228=0,0,IF($LB228=70%,VLOOKUP($DS228,'Jan-2026 rates'!$L:$R,4,0),IF($LB228=65%,VLOOKUP($DS228,'Jan-2026 rates'!$L:$R,4,0),IF($LB228=40%,VLOOKUP($DS228,'Jan-2026 rates'!$L:$R,5,0),IF($LB228=30%,VLOOKUP($DS228,'Jan-2026 rates'!$L:$R,6,0),IF($LB228=100%,VLOOKUP($DS228,'Jan-2026 rates'!$L:$R,7,0),IF($LB228=60%,VLOOKUP($DS228,'Jan-2026 rates'!$L:$S,8,0),IF($LB228=80%,VLOOKUP($DS228,'Jan-2026 rates'!L:T,9,0),0))))))))</f>
        <v>0</v>
      </c>
      <c r="DV228" s="412"/>
      <c r="DW228" s="409"/>
      <c r="DX228" s="411">
        <f>IF(DW228=0,0,IF($LB228=70%,VLOOKUP($DS228,'Jan-2026 rates'!$L:$R,4,0),IF($LB228=65%,VLOOKUP($DS228,'Jan-2026 rates'!$L:$R,4,0),IF($LB228=40%,VLOOKUP($DS228,'Jan-2026 rates'!$L:$R,5,0),IF($LB228=30%,VLOOKUP($DS228,'Jan-2026 rates'!$L:$R,6,0),IF($LB228=100%,VLOOKUP($DS228,'Jan-2026 rates'!$L:$R,7,0),IF($LB228=60%,VLOOKUP($DS228,'Jan-2026 rates'!$L:$S,8,0),IF($LB228=80%,VLOOKUP($DS228,'Jan-2026 rates'!L:T,9,0),0))))))))</f>
        <v>0</v>
      </c>
      <c r="DY228" s="413">
        <v>26517000020</v>
      </c>
      <c r="DZ228" s="413"/>
      <c r="EA228" s="412"/>
      <c r="EB228" s="412"/>
      <c r="EC228" s="412"/>
      <c r="ED228" s="412"/>
      <c r="EE228" s="412"/>
      <c r="EF228" s="412"/>
      <c r="EG228" s="409">
        <v>2</v>
      </c>
      <c r="EH228" s="398" t="e">
        <f>IF(EG228=0,0,IF(LEN(DY228)=11,_xlfn.XLOOKUP(DY228,'Dispensed Ink Rates'!C:C,'Dispensed Ink Rates'!CS:CS),VLOOKUP(DY228,'Jan-2026 rates'!$E:$F,2,0)))</f>
        <v>#N/A</v>
      </c>
      <c r="EI228" s="409"/>
      <c r="EJ228" s="398">
        <f>IF(EI228=0,0,IF(LEN(DZ228)=11,_xlfn.XLOOKUP(DZ228,'Dispensed Ink Rates'!C:C,'Dispensed Ink Rates'!CS:CS),VLOOKUP(DZ228,'Jan-2026 rates'!$E:$F,2,0)))</f>
        <v>0</v>
      </c>
      <c r="EK228" s="409"/>
      <c r="EL228" s="398">
        <f>IF(EK228=0,0,IF(LEN(EA228)=11,_xlfn.XLOOKUP(EA228,'Dispensed Ink Rates'!C:C,'Dispensed Ink Rates'!CS:CS),VLOOKUP(EA228,'Jan-2026 rates'!$E:$F,2,0)))</f>
        <v>0</v>
      </c>
      <c r="EM228" s="409"/>
      <c r="EN228" s="398">
        <f>IF(EM228=0,0,IF(LEN(EB228)=11,_xlfn.XLOOKUP(EB228,'Dispensed Ink Rates'!C:C,'Dispensed Ink Rates'!CS:CS),VLOOKUP(EB228,'Jan-2026 rates'!$E:$F,2,0)))</f>
        <v>0</v>
      </c>
      <c r="EO228" s="409"/>
      <c r="EP228" s="398">
        <f>IF(EO228=0,0,IF(LEN(EC228)=11,_xlfn.XLOOKUP(EC228,'Dispensed Ink Rates'!C:C,'Dispensed Ink Rates'!CS:CS),VLOOKUP(EC228,'Jan-2026 rates'!$E:$F,2,0)))</f>
        <v>0</v>
      </c>
      <c r="EQ228" s="409"/>
      <c r="ER228" s="398">
        <f>IF(EQ228=0,0,IF(LEN(ED228)=11,_xlfn.XLOOKUP(ED228,'Dispensed Ink Rates'!C:C,'Dispensed Ink Rates'!CS:CS),VLOOKUP(ED228,'Jan-2026 rates'!$E:$F,2,0)))</f>
        <v>0</v>
      </c>
      <c r="ES228" s="409"/>
      <c r="ET228" s="398">
        <f>IF(ES228=0,0,IF(LEN(EE228)=11,_xlfn.XLOOKUP(EE228,'Dispensed Ink Rates'!C:C,'Dispensed Ink Rates'!CS:CS),VLOOKUP(EE228,'Jan-2026 rates'!$E:$F,2,0)))</f>
        <v>0</v>
      </c>
      <c r="EU228" s="409"/>
      <c r="EV228" s="398">
        <f>IF(EU228=0,0,IF(LEN(EF228)=11,_xlfn.XLOOKUP(EF228,'Dispensed Ink Rates'!C:C,'Dispensed Ink Rates'!CS:CS),VLOOKUP(EF228,'Jan-2026 rates'!$E:$F,2,0)))</f>
        <v>0</v>
      </c>
      <c r="EW228" s="409" t="s">
        <v>1443</v>
      </c>
      <c r="EX228" s="409">
        <v>23</v>
      </c>
      <c r="EY228" s="411">
        <f t="shared" si="168"/>
        <v>0</v>
      </c>
      <c r="EZ228" s="411">
        <f t="shared" si="169"/>
        <v>8.024096385542169</v>
      </c>
      <c r="FA228" s="410">
        <f t="shared" si="170"/>
        <v>0</v>
      </c>
      <c r="FB228" s="405" t="s">
        <v>545</v>
      </c>
      <c r="FC228" s="409" t="s">
        <v>3923</v>
      </c>
      <c r="FD228" s="420" t="str">
        <f t="shared" si="134"/>
        <v>FLINTSL - YELLOW</v>
      </c>
      <c r="FE228" s="409">
        <v>30</v>
      </c>
      <c r="FF228" s="411">
        <f>IF(FE228=0,0,IF($LB228=70%,VLOOKUP($FD228,'Jan-2026 rates'!$L:$R,4,0),IF($LB228=65%,VLOOKUP($FD228,'Jan-2026 rates'!$L:$R,4,0),IF($LB228=40%,VLOOKUP($FD228,'Jan-2026 rates'!$L:$R,5,0),IF($LB228=30%,VLOOKUP($FD228,'Jan-2026 rates'!$L:$R,6,0),IF($LB228=100%,VLOOKUP($FD228,'Jan-2026 rates'!$L:$R,7,0),IF($LB228=60%,VLOOKUP($FD228,'Jan-2026 rates'!$L:$S,8,0),IF($LB228=80%,VLOOKUP($FD228,'Jan-2026 rates'!L:T,9,0),0))))))))</f>
        <v>0</v>
      </c>
      <c r="FG228" s="412"/>
      <c r="FH228" s="409"/>
      <c r="FI228" s="411">
        <f>IF(FH228=0,0,IF($LB228=70%,VLOOKUP($FD228,'Jan-2026 rates'!$L:$R,4,0),IF($LB228=65%,VLOOKUP($FD228,'Jan-2026 rates'!$L:$R,4,0),IF($LB228=40%,VLOOKUP($FD228,'Jan-2026 rates'!$L:$R,5,0),IF($LB228=30%,VLOOKUP($FD228,'Jan-2026 rates'!$L:$R,6,0),IF($LB228=100%,VLOOKUP($FD228,'Jan-2026 rates'!$L:$R,7,0),IF($LB228=60%,VLOOKUP($FD228,'Jan-2026 rates'!$L:$S,8,0),IF($LB228=80%,VLOOKUP($FD228,'Jan-2026 rates'!L:T,9,0),0))))))))</f>
        <v>0</v>
      </c>
      <c r="FJ228" s="413">
        <v>26516000015</v>
      </c>
      <c r="FK228" s="413"/>
      <c r="FL228" s="413"/>
      <c r="FM228" s="412"/>
      <c r="FN228" s="412"/>
      <c r="FO228" s="412"/>
      <c r="FP228" s="412"/>
      <c r="FQ228" s="412"/>
      <c r="FR228" s="409">
        <v>3</v>
      </c>
      <c r="FS228" s="398" t="e">
        <f>IF(FR228=0,0,IF(LEN(FJ228)=11,_xlfn.XLOOKUP(FJ228,'Dispensed Ink Rates'!C:C,'Dispensed Ink Rates'!CS:CS),VLOOKUP(FJ228,'Jan-2026 rates'!$E:$F,2,0)))</f>
        <v>#N/A</v>
      </c>
      <c r="FT228" s="409"/>
      <c r="FU228" s="398">
        <f>IF(FT228=0,0,IF(LEN(FK228)=11,_xlfn.XLOOKUP(FK228,'Dispensed Ink Rates'!C:C,'Dispensed Ink Rates'!CS:CS),VLOOKUP(FK228,'Jan-2026 rates'!$E:$F,2,0)))</f>
        <v>0</v>
      </c>
      <c r="FV228" s="409"/>
      <c r="FW228" s="398">
        <f>IF(FV228=0,0,IF(LEN(FL228)=11,_xlfn.XLOOKUP(FL228,'Dispensed Ink Rates'!C:C,'Dispensed Ink Rates'!CS:CS),VLOOKUP(FL228,'Jan-2026 rates'!$E:$F,2,0)))</f>
        <v>0</v>
      </c>
      <c r="FX228" s="409"/>
      <c r="FY228" s="398">
        <f>IF(FX228=0,0,IF(LEN(FM228)=11,_xlfn.XLOOKUP(FM228,'Dispensed Ink Rates'!C:C,'Dispensed Ink Rates'!CS:CS),VLOOKUP(FM228,'Jan-2026 rates'!$E:$F,2,0)))</f>
        <v>0</v>
      </c>
      <c r="FZ228" s="409"/>
      <c r="GA228" s="398">
        <f>IF(FZ228=0,0,IF(LEN(FN228)=11,_xlfn.XLOOKUP(FN228,'Dispensed Ink Rates'!C:C,'Dispensed Ink Rates'!CS:CS),VLOOKUP(FN228,'Jan-2026 rates'!$E:$F,2,0)))</f>
        <v>0</v>
      </c>
      <c r="GB228" s="409"/>
      <c r="GC228" s="398">
        <f>IF(GB228=0,0,IF(LEN(FO228)=11,_xlfn.XLOOKUP(FO228,'Dispensed Ink Rates'!C:C,'Dispensed Ink Rates'!CS:CS),VLOOKUP(FO228,'Jan-2026 rates'!$E:$F,2,0)))</f>
        <v>0</v>
      </c>
      <c r="GD228" s="409"/>
      <c r="GE228" s="398">
        <f>IF(GD228=0,0,IF(LEN(FP228)=11,_xlfn.XLOOKUP(FP228,'Dispensed Ink Rates'!C:C,'Dispensed Ink Rates'!CS:CS),VLOOKUP(FP228,'Jan-2026 rates'!$E:$F,2,0)))</f>
        <v>0</v>
      </c>
      <c r="GF228" s="409"/>
      <c r="GG228" s="398">
        <f>IF(GF228=0,0,IF(LEN(FQ228)=11,_xlfn.XLOOKUP(FQ228,'Dispensed Ink Rates'!C:C,'Dispensed Ink Rates'!CS:CS),VLOOKUP(FQ228,'Jan-2026 rates'!$E:$F,2,0)))</f>
        <v>0</v>
      </c>
      <c r="GH228" s="409" t="s">
        <v>1443</v>
      </c>
      <c r="GI228" s="409">
        <v>26</v>
      </c>
      <c r="GJ228" s="411">
        <f t="shared" si="171"/>
        <v>0</v>
      </c>
      <c r="GK228" s="411">
        <f t="shared" si="172"/>
        <v>9.0240963855421654</v>
      </c>
      <c r="GL228" s="410">
        <f t="shared" si="173"/>
        <v>0</v>
      </c>
      <c r="GM228" s="405" t="s">
        <v>828</v>
      </c>
      <c r="GN228" s="409"/>
      <c r="GO228" s="420" t="str">
        <f t="shared" si="135"/>
        <v>FLINTSL - ORANGE</v>
      </c>
      <c r="GP228" s="409"/>
      <c r="GQ228" s="411">
        <f>IF(GP228=0,0,IF($LB228=70%,VLOOKUP($GO228,'Jan-2026 rates'!$L:$R,4,0),IF($LB228=65%,VLOOKUP($GO228,'Jan-2026 rates'!$L:$R,4,0),IF($LB228=40%,VLOOKUP($GO228,'Jan-2026 rates'!$L:$R,5,0),IF($LB228=30%,VLOOKUP($GO228,'Jan-2026 rates'!$L:$R,6,0),IF($LB228=100%,VLOOKUP($GO228,'Jan-2026 rates'!$L:$R,7,0),IF($LB228=60%,VLOOKUP($GO228,'Jan-2026 rates'!$L:$S,8,0),IF($LB228=80%,VLOOKUP($GO228,'Jan-2026 rates'!L:T,9,0),0))))))))</f>
        <v>0</v>
      </c>
      <c r="GR228" s="412"/>
      <c r="GS228" s="409"/>
      <c r="GT228" s="411">
        <f>IF(GS228=0,0,IF($LB228=70%,VLOOKUP($GO228,'Jan-2026 rates'!$L:$R,4,0),IF($LB228=65%,VLOOKUP($GO228,'Jan-2026 rates'!$L:$R,4,0),IF($LB228=40%,VLOOKUP($GO228,'Jan-2026 rates'!$L:$R,5,0),IF($LB228=30%,VLOOKUP($GO228,'Jan-2026 rates'!$L:$R,6,0),IF($LB228=100%,VLOOKUP($GO228,'Jan-2026 rates'!$L:$R,7,0),IF($LB228=60%,VLOOKUP($GO228,'Jan-2026 rates'!$L:$S,8,0),IF($LB228=80%,VLOOKUP($GO228,'Jan-2026 rates'!L:T,9,0),0))))))))</f>
        <v>0</v>
      </c>
      <c r="GU228" s="413">
        <v>26517000006</v>
      </c>
      <c r="GV228" s="413">
        <v>26517000020</v>
      </c>
      <c r="GW228" s="412">
        <v>26517000007</v>
      </c>
      <c r="GX228" s="412">
        <v>26516000030</v>
      </c>
      <c r="GY228" s="412"/>
      <c r="GZ228" s="412"/>
      <c r="HA228" s="412"/>
      <c r="HB228" s="412"/>
      <c r="HC228" s="409">
        <v>40</v>
      </c>
      <c r="HD228" s="398" t="e">
        <f>IF(HC228=0,0,IF(LEN(GU228)=11,_xlfn.XLOOKUP(GU228,'Dispensed Ink Rates'!C:C,'Dispensed Ink Rates'!CS:CS),VLOOKUP(GU228,'Jan-2026 rates'!$E:$F,2,0)))</f>
        <v>#N/A</v>
      </c>
      <c r="HE228" s="409">
        <v>1</v>
      </c>
      <c r="HF228" s="398" t="e">
        <f>IF(HE228=0,0,IF(LEN(GV228)=11,_xlfn.XLOOKUP(GV228,'Dispensed Ink Rates'!C:C,'Dispensed Ink Rates'!CS:CS),VLOOKUP(GV228,'Jan-2026 rates'!$E:$F,2,0)))</f>
        <v>#N/A</v>
      </c>
      <c r="HG228" s="409">
        <v>40</v>
      </c>
      <c r="HH228" s="398" t="e">
        <f>IF(HG228=0,0,IF(LEN(GW228)=11,_xlfn.XLOOKUP(GW228,'Dispensed Ink Rates'!C:C,'Dispensed Ink Rates'!CS:CS),VLOOKUP(GW228,'Jan-2026 rates'!$E:$F,2,0)))</f>
        <v>#N/A</v>
      </c>
      <c r="HI228" s="409">
        <v>20</v>
      </c>
      <c r="HJ228" s="398" t="e">
        <f>IF(HI228=0,0,IF(LEN(GX228)=11,_xlfn.XLOOKUP(GX228,'Dispensed Ink Rates'!C:C,'Dispensed Ink Rates'!CS:CS),VLOOKUP(GX228,'Jan-2026 rates'!$E:$F,2,0)))</f>
        <v>#N/A</v>
      </c>
      <c r="HK228" s="409"/>
      <c r="HL228" s="398">
        <f>IF(HK228=0,0,IF(LEN(GY228)=11,_xlfn.XLOOKUP(GY228,'Dispensed Ink Rates'!C:C,'Dispensed Ink Rates'!CS:CS),VLOOKUP(GY228,'Jan-2026 rates'!$E:$F,2,0)))</f>
        <v>0</v>
      </c>
      <c r="HM228" s="409"/>
      <c r="HN228" s="398">
        <f>IF(HM228=0,0,IF(LEN(GZ228)=11,_xlfn.XLOOKUP(GZ228,'Dispensed Ink Rates'!C:C,'Dispensed Ink Rates'!CS:CS),VLOOKUP(GZ228,'Jan-2026 rates'!$E:$F,2,0)))</f>
        <v>0</v>
      </c>
      <c r="HO228" s="409"/>
      <c r="HP228" s="398">
        <f>IF(HO228=0,0,IF(LEN(HA228)=11,_xlfn.XLOOKUP(HA228,'Dispensed Ink Rates'!C:C,'Dispensed Ink Rates'!CS:CS),VLOOKUP(HA228,'Jan-2026 rates'!$E:$F,2,0)))</f>
        <v>0</v>
      </c>
      <c r="HQ228" s="409"/>
      <c r="HR228" s="398">
        <f>IF(HQ228=0,0,IF(LEN(HB228)=11,_xlfn.XLOOKUP(HB228,'Dispensed Ink Rates'!C:C,'Dispensed Ink Rates'!CS:CS),VLOOKUP(HB228,'Jan-2026 rates'!$E:$F,2,0)))</f>
        <v>0</v>
      </c>
      <c r="HS228" s="409" t="s">
        <v>1443</v>
      </c>
      <c r="HT228" s="409">
        <v>15</v>
      </c>
      <c r="HU228" s="411">
        <f t="shared" si="174"/>
        <v>0</v>
      </c>
      <c r="HV228" s="411">
        <f t="shared" si="175"/>
        <v>100.16867469879517</v>
      </c>
      <c r="HW228" s="414">
        <f t="shared" si="176"/>
        <v>0</v>
      </c>
      <c r="HX228" s="405" t="s">
        <v>548</v>
      </c>
      <c r="HY228" s="409"/>
      <c r="HZ228" s="420" t="str">
        <f t="shared" si="136"/>
        <v>FLINTSL - GOLD</v>
      </c>
      <c r="IA228" s="409"/>
      <c r="IB228" s="411">
        <f>IF(IA228=0,0,IF($LB228=70%,VLOOKUP($HZ228,'Jan-2026 rates'!$L:$R,4,0),IF($LB228=65%,VLOOKUP($HZ228,'Jan-2026 rates'!$L:$R,4,0),IF($LB228=40%,VLOOKUP($HZ228,'Jan-2026 rates'!$L:$R,5,0),IF($LB228=30%,VLOOKUP($HZ228,'Jan-2026 rates'!$L:$R,6,0),IF($LB228=100%,VLOOKUP($HZ228,'Jan-2026 rates'!$L:$R,7,0),IF($LB228=60%,VLOOKUP($HZ228,'Jan-2026 rates'!$L:$S,8,0),IF($LB228=80%,VLOOKUP($HZ228,'Jan-2026 rates'!L:T,9,0),0))))))))</f>
        <v>0</v>
      </c>
      <c r="IC228" s="412"/>
      <c r="ID228" s="409"/>
      <c r="IE228" s="411">
        <f>IF(ID228=0,0,IF($LB228=70%,VLOOKUP($HZ228,'Jan-2026 rates'!$L:$R,4,0),IF($LB228=65%,VLOOKUP($HZ228,'Jan-2026 rates'!$L:$R,4,0),IF($LB228=40%,VLOOKUP($HZ228,'Jan-2026 rates'!$L:$R,5,0),IF($LB228=30%,VLOOKUP($HZ228,'Jan-2026 rates'!$L:$R,6,0),IF($LB228=100%,VLOOKUP($HZ228,'Jan-2026 rates'!$L:$R,7,0),IF($LB228=60%,VLOOKUP($HZ228,'Jan-2026 rates'!$L:$S,8,0),IF($LB228=80%,VLOOKUP($HZ228,'Jan-2026 rates'!L:T,9,0),0))))))))</f>
        <v>0</v>
      </c>
      <c r="IF228" s="412">
        <v>26516000015</v>
      </c>
      <c r="IG228" s="413" t="s">
        <v>1340</v>
      </c>
      <c r="IH228" s="412" t="s">
        <v>1646</v>
      </c>
      <c r="II228" s="412"/>
      <c r="IJ228" s="412"/>
      <c r="IK228" s="412"/>
      <c r="IL228" s="412"/>
      <c r="IM228" s="412"/>
      <c r="IN228" s="409">
        <v>2</v>
      </c>
      <c r="IO228" s="398" t="e">
        <f>IF(IN228=0,0,IF(LEN(IF228)=11,_xlfn.XLOOKUP(IF228,'Dispensed Ink Rates'!C:C,'Dispensed Ink Rates'!CS:CS),VLOOKUP(IF228,'Jan-2026 rates'!$E:$F,2,0)))</f>
        <v>#N/A</v>
      </c>
      <c r="IP228" s="409">
        <f>15+5</f>
        <v>20</v>
      </c>
      <c r="IQ228" s="398">
        <f>IF(IP228=0,0,IF(LEN(IG228)=11,_xlfn.XLOOKUP(IG228,'Dispensed Ink Rates'!C:C,'Dispensed Ink Rates'!CS:CS),VLOOKUP(IG228,'Jan-2026 rates'!$E:$F,2,0)))</f>
        <v>0</v>
      </c>
      <c r="IR228" s="409">
        <v>5</v>
      </c>
      <c r="IS228" s="398">
        <f>IF(IR228=0,0,IF(LEN(IH228)=11,_xlfn.XLOOKUP(IH228,'Dispensed Ink Rates'!C:C,'Dispensed Ink Rates'!CS:CS),VLOOKUP(IH228,'Jan-2026 rates'!$E:$F,2,0)))</f>
        <v>0</v>
      </c>
      <c r="IT228" s="409"/>
      <c r="IU228" s="398">
        <f>IF(IT228=0,0,IF(LEN(II228)=11,_xlfn.XLOOKUP(II228,'Dispensed Ink Rates'!C:C,'Dispensed Ink Rates'!CS:CS),VLOOKUP(II228,'Jan-2026 rates'!$E:$F,2,0)))</f>
        <v>0</v>
      </c>
      <c r="IV228" s="409"/>
      <c r="IW228" s="398">
        <f>IF(IV228=0,0,IF(LEN(IJ228)=11,_xlfn.XLOOKUP(IJ228,'Dispensed Ink Rates'!C:C,'Dispensed Ink Rates'!CS:CS),VLOOKUP(IJ228,'Jan-2026 rates'!$E:$F,2,0)))</f>
        <v>0</v>
      </c>
      <c r="IX228" s="409"/>
      <c r="IY228" s="398">
        <f>IF(IX228=0,0,IF(LEN(IK228)=11,_xlfn.XLOOKUP(IK228,'Dispensed Ink Rates'!C:C,'Dispensed Ink Rates'!CS:CS),VLOOKUP(IK228,'Jan-2026 rates'!$E:$F,2,0)))</f>
        <v>0</v>
      </c>
      <c r="IZ228" s="409"/>
      <c r="JA228" s="398">
        <f>IF(IZ228=0,0,IF(LEN(IL228)=11,_xlfn.XLOOKUP(IL228,'Dispensed Ink Rates'!C:C,'Dispensed Ink Rates'!CS:CS),VLOOKUP(IL228,'Jan-2026 rates'!$E:$F,2,0)))</f>
        <v>0</v>
      </c>
      <c r="JB228" s="409"/>
      <c r="JC228" s="398">
        <f>IF(JB228=0,0,IF(LEN(IM228)=11,_xlfn.XLOOKUP(IM228,'Dispensed Ink Rates'!C:C,'Dispensed Ink Rates'!CS:CS),VLOOKUP(IM228,'Jan-2026 rates'!$E:$F,2,0)))</f>
        <v>0</v>
      </c>
      <c r="JD228" s="409" t="s">
        <v>1443</v>
      </c>
      <c r="JE228" s="409">
        <v>29</v>
      </c>
      <c r="JF228" s="411">
        <f t="shared" si="177"/>
        <v>0</v>
      </c>
      <c r="JG228" s="411">
        <f t="shared" si="178"/>
        <v>8.1204819277108413</v>
      </c>
      <c r="JH228" s="410">
        <f t="shared" si="179"/>
        <v>0</v>
      </c>
      <c r="JI228" s="405" t="s">
        <v>856</v>
      </c>
      <c r="JJ228" s="409" t="s">
        <v>3924</v>
      </c>
      <c r="JK228" s="420" t="str">
        <f t="shared" si="137"/>
        <v>FLINTSL - WHITE</v>
      </c>
      <c r="JL228" s="409">
        <v>30</v>
      </c>
      <c r="JM228" s="411">
        <f>IF(JL228=0,0,IF($LB228=70%,VLOOKUP($JK228,'Jan-2026 rates'!$L:$R,4,0),IF($LB228=65%,VLOOKUP($JK228,'Jan-2026 rates'!$L:$R,4,0),IF($LB228=40%,VLOOKUP($JK228,'Jan-2026 rates'!$L:$R,5,0),IF($LB228=30%,VLOOKUP($JK228,'Jan-2026 rates'!$L:$R,6,0),IF($LB228=100%,VLOOKUP($JK228,'Jan-2026 rates'!$L:$R,7,0),IF($LB228=60%,VLOOKUP($JK228,'Jan-2026 rates'!$L:$S,8,0),IF($LB228=80%,VLOOKUP($JK228,'Jan-2026 rates'!L:T,9,0),0))))))))</f>
        <v>0</v>
      </c>
      <c r="JN228" s="412"/>
      <c r="JO228" s="409"/>
      <c r="JP228" s="411">
        <f>IF(JO228=0,0,IF($LB228=70%,VLOOKUP($JK228,'Jan-2026 rates'!$L:$R,4,0),IF($LB228=65%,VLOOKUP($JK228,'Jan-2026 rates'!$L:$R,4,0),IF($LB228=40%,VLOOKUP($JK228,'Jan-2026 rates'!$L:$R,5,0),IF($LB228=30%,VLOOKUP($JK228,'Jan-2026 rates'!$L:$R,6,0),IF($LB228=100%,VLOOKUP($JK228,'Jan-2026 rates'!$L:$R,7,0),IF($LB228=60%,VLOOKUP($JK228,'Jan-2026 rates'!$L:$S,8,0),IF($LB228=80%,VLOOKUP($JK228,'Jan-2026 rates'!L:T,9,0),0))))))))</f>
        <v>0</v>
      </c>
      <c r="JQ228" s="413" t="s">
        <v>484</v>
      </c>
      <c r="JR228" s="412"/>
      <c r="JS228" s="413"/>
      <c r="JT228" s="413"/>
      <c r="JU228" s="412"/>
      <c r="JV228" s="412"/>
      <c r="JW228" s="412"/>
      <c r="JX228" s="412"/>
      <c r="JY228" s="409">
        <v>100</v>
      </c>
      <c r="JZ228" s="398">
        <f>IF(JY228=0,0,IF(LEN(JQ228)=11,_xlfn.XLOOKUP(JQ228,'Dispensed Ink Rates'!C:C,'Dispensed Ink Rates'!CS:CS),VLOOKUP(JQ228,'Jan-2026 rates'!$E:$F,2,0)))</f>
        <v>0</v>
      </c>
      <c r="KA228" s="409"/>
      <c r="KB228" s="398">
        <f>IF(KA228=0,0,IF(LEN(JR228)=11,_xlfn.XLOOKUP(JR228,'Dispensed Ink Rates'!C:C,'Dispensed Ink Rates'!CS:CS),VLOOKUP(JR228,'Jan-2026 rates'!$E:$F,2,0)))</f>
        <v>0</v>
      </c>
      <c r="KC228" s="409"/>
      <c r="KD228" s="398">
        <f>IF(KC228=0,0,IF(LEN(JS228)=11,_xlfn.XLOOKUP(JS228,'Dispensed Ink Rates'!C:C,'Dispensed Ink Rates'!CS:CS),VLOOKUP(JS228,'Jan-2026 rates'!$E:$F,2,0)))</f>
        <v>0</v>
      </c>
      <c r="KE228" s="409"/>
      <c r="KF228" s="398">
        <f>IF(KE228=0,0,IF(LEN(JT228)=11,_xlfn.XLOOKUP(JT228,'Dispensed Ink Rates'!C:C,'Dispensed Ink Rates'!CS:CS),VLOOKUP(JT228,'Jan-2026 rates'!$E:$F,2,0)))</f>
        <v>0</v>
      </c>
      <c r="KG228" s="409"/>
      <c r="KH228" s="398">
        <f>IF(KG228=0,0,IF(LEN(JU228)=11,_xlfn.XLOOKUP(JU228,'Dispensed Ink Rates'!C:C,'Dispensed Ink Rates'!CS:CS),VLOOKUP(JU228,'Jan-2026 rates'!$E:$F,2,0)))</f>
        <v>0</v>
      </c>
      <c r="KI228" s="409"/>
      <c r="KJ228" s="398">
        <f>IF(KI228=0,0,IF(LEN(JV228)=11,_xlfn.XLOOKUP(JV228,'Dispensed Ink Rates'!C:C,'Dispensed Ink Rates'!CS:CS),VLOOKUP(JV228,'Jan-2026 rates'!$E:$F,2,0)))</f>
        <v>0</v>
      </c>
      <c r="KK228" s="409"/>
      <c r="KL228" s="398">
        <f>IF(KK228=0,0,IF(LEN(JW228)=11,_xlfn.XLOOKUP(JW228,'Dispensed Ink Rates'!C:C,'Dispensed Ink Rates'!CS:CS),VLOOKUP(JW228,'Jan-2026 rates'!$E:$F,2,0)))</f>
        <v>0</v>
      </c>
      <c r="KM228" s="428"/>
      <c r="KN228" s="398">
        <f>IF(KM228=0,0,IF(LEN(JX228)=11,_xlfn.XLOOKUP(JX228,'Dispensed Ink Rates'!C:C,'Dispensed Ink Rates'!CS:CS),VLOOKUP(JX228,'Jan-2026 rates'!$E:$F,2,0)))</f>
        <v>0</v>
      </c>
      <c r="KO228" s="409" t="s">
        <v>1443</v>
      </c>
      <c r="KP228" s="409">
        <v>27</v>
      </c>
      <c r="KQ228" s="411">
        <f t="shared" si="180"/>
        <v>0</v>
      </c>
      <c r="KR228" s="411">
        <f t="shared" si="181"/>
        <v>224.44578313253012</v>
      </c>
      <c r="KS228" s="410">
        <f t="shared" si="182"/>
        <v>0</v>
      </c>
      <c r="KT228" s="409">
        <v>2</v>
      </c>
      <c r="KU228" s="409">
        <v>5</v>
      </c>
      <c r="KV228" s="409">
        <v>2</v>
      </c>
      <c r="KW228" s="409">
        <v>1</v>
      </c>
      <c r="KX228" s="409">
        <v>1</v>
      </c>
      <c r="KY228" s="409">
        <v>7</v>
      </c>
      <c r="KZ228" s="409">
        <v>5</v>
      </c>
      <c r="LA228" s="409">
        <v>60</v>
      </c>
      <c r="LB228" s="415">
        <v>0.8</v>
      </c>
      <c r="LC228" s="415">
        <v>0.2</v>
      </c>
      <c r="LD228" s="415"/>
      <c r="LE228" s="415"/>
      <c r="LF228" s="415"/>
      <c r="LG228" s="409">
        <v>0</v>
      </c>
      <c r="LH228" s="409">
        <f>60+38+56+14</f>
        <v>168</v>
      </c>
      <c r="LI228" s="409">
        <v>0</v>
      </c>
      <c r="LJ228" s="409">
        <v>0</v>
      </c>
      <c r="LK228" s="416">
        <f t="shared" si="138"/>
        <v>168</v>
      </c>
      <c r="LL228" s="416">
        <f t="shared" si="139"/>
        <v>168</v>
      </c>
      <c r="LM228" s="417">
        <f t="shared" si="140"/>
        <v>134.4</v>
      </c>
      <c r="LN228" s="417">
        <f>VLOOKUP($LM$8,'Jan-2026 rates'!$H:$I,2,0)</f>
        <v>0</v>
      </c>
      <c r="LO228" s="417">
        <f t="shared" si="141"/>
        <v>33.6</v>
      </c>
      <c r="LP228" s="417">
        <f>VLOOKUP($LO$8,'Jan-2026 rates'!$H:$I,2,0)</f>
        <v>0</v>
      </c>
      <c r="LQ228" s="417">
        <f t="shared" si="142"/>
        <v>0</v>
      </c>
      <c r="LR228" s="417">
        <f>VLOOKUP($LQ$8,'Jan-2026 rates'!$H:$I,2,0)</f>
        <v>0</v>
      </c>
      <c r="LS228" s="417">
        <f t="shared" si="143"/>
        <v>0</v>
      </c>
      <c r="LT228" s="417">
        <f>VLOOKUP($LS$8,'Jan-2026 rates'!$H:$I,2,0)</f>
        <v>0</v>
      </c>
      <c r="LU228" s="417">
        <f t="shared" si="144"/>
        <v>0</v>
      </c>
      <c r="LV228" s="417">
        <f>VLOOKUP($LU$8,'Jan-2026 rates'!$H:$I,2,0)</f>
        <v>0</v>
      </c>
      <c r="LW228" s="417">
        <f t="shared" si="145"/>
        <v>0</v>
      </c>
      <c r="LX228" s="417">
        <f t="shared" si="146"/>
        <v>0</v>
      </c>
      <c r="LY228" s="418">
        <f t="shared" si="147"/>
        <v>0</v>
      </c>
      <c r="LZ228" s="417"/>
      <c r="MA228" s="435">
        <f t="shared" si="148"/>
        <v>251</v>
      </c>
      <c r="MB228" s="282">
        <f t="shared" si="149"/>
        <v>384</v>
      </c>
      <c r="MC228" s="283">
        <v>121</v>
      </c>
      <c r="MD228" s="284" t="str">
        <f t="shared" si="150"/>
        <v>FLINTSLFLINTSLFLINTSLFLINTSLFLINTSLFLINTSLFLINTSLFLINTSL</v>
      </c>
      <c r="ME228" s="293" t="str">
        <f t="shared" si="151"/>
        <v>+</v>
      </c>
      <c r="MF228" s="293" t="str">
        <f t="shared" si="152"/>
        <v>+</v>
      </c>
      <c r="MG228" s="293" t="str">
        <f t="shared" si="153"/>
        <v>+</v>
      </c>
      <c r="MH228" s="293" t="str">
        <f t="shared" si="154"/>
        <v>+</v>
      </c>
      <c r="MI228" s="293" t="str">
        <f t="shared" si="155"/>
        <v>+</v>
      </c>
      <c r="MJ228" s="293" t="str">
        <f t="shared" si="156"/>
        <v>+</v>
      </c>
      <c r="MK228" s="293" t="str">
        <f t="shared" si="157"/>
        <v>+</v>
      </c>
      <c r="ML228" s="293" t="str">
        <f t="shared" si="158"/>
        <v>+</v>
      </c>
      <c r="MM228" s="3" t="b">
        <f t="array" ref="MM228">OR(ME228:ML228="-")</f>
        <v>0</v>
      </c>
      <c r="MN228" s="285"/>
      <c r="MO228" s="401"/>
      <c r="MP228" s="286"/>
      <c r="MQ228" s="286"/>
      <c r="MR228" s="402"/>
      <c r="MS228" s="400"/>
      <c r="NH228" s="422"/>
      <c r="NJ228" s="421"/>
    </row>
    <row r="229" spans="1:374" s="1" customFormat="1" ht="16.5">
      <c r="A229" s="403">
        <v>46038</v>
      </c>
      <c r="B229" s="404" t="s">
        <v>1018</v>
      </c>
      <c r="C229" s="405" t="s">
        <v>3925</v>
      </c>
      <c r="D229" s="406">
        <v>122</v>
      </c>
      <c r="E229" s="404">
        <v>494</v>
      </c>
      <c r="F229" s="407">
        <v>24300</v>
      </c>
      <c r="G229" s="407" t="s">
        <v>1019</v>
      </c>
      <c r="H229" s="408" t="s">
        <v>1017</v>
      </c>
      <c r="I229" s="409">
        <v>2.34</v>
      </c>
      <c r="J229" s="405" t="s">
        <v>543</v>
      </c>
      <c r="K229" s="404" t="s">
        <v>3926</v>
      </c>
      <c r="L229" s="419" t="str">
        <f t="shared" si="131"/>
        <v>FLINTSL - BLACK</v>
      </c>
      <c r="M229" s="404">
        <v>22</v>
      </c>
      <c r="N229" s="410">
        <f>IF(M229=0,0,IF($LB229=70%,VLOOKUP($L229,'Jan-2026 rates'!$L:$R,4,0),IF($LB229=65%,VLOOKUP($L229,'Jan-2026 rates'!$L:$R,4,0),IF($LB229=40%,VLOOKUP($L229,'Jan-2026 rates'!$L:$R,5,0),IF($LB229=30%,VLOOKUP($L229,'Jan-2026 rates'!$L:$R,6,0),IF($LB229=100%,VLOOKUP($L229,'Jan-2026 rates'!$L:$R,7,0),IF($LB229=60%,VLOOKUP($L229,'Jan-2026 rates'!$L:$S,8,0),IF($LB229=80%,VLOOKUP($L229,'Jan-2026 rates'!L:T,9,0),0))))))))</f>
        <v>0</v>
      </c>
      <c r="O229" s="406"/>
      <c r="P229" s="404"/>
      <c r="Q229" s="410">
        <f>IF(P229=0,0,IF($LB229=70%,VLOOKUP($L229,'Jan-2026 rates'!$L:$R,4,0),IF($LB229=65%,VLOOKUP($L229,'Jan-2026 rates'!$L:$R,4,0),IF($LB229=40%,VLOOKUP($L229,'Jan-2026 rates'!$L:$R,5,0),IF($LB229=30%,VLOOKUP($L229,'Jan-2026 rates'!$L:$R,6,0),IF($LB229=100%,VLOOKUP($L229,'Jan-2026 rates'!$L:$R,7,0),IF($LB229=60%,VLOOKUP($L229,'Jan-2026 rates'!$L:$S,8,0),IF($LB229=80%,VLOOKUP($L229,'Jan-2026 rates'!L:T,9,0),0))))))))</f>
        <v>0</v>
      </c>
      <c r="R229" s="406">
        <v>26522000008</v>
      </c>
      <c r="S229" s="406"/>
      <c r="T229" s="406"/>
      <c r="U229" s="406"/>
      <c r="V229" s="406"/>
      <c r="W229" s="406"/>
      <c r="X229" s="406"/>
      <c r="Y229" s="406"/>
      <c r="Z229" s="404">
        <f>4+4</f>
        <v>8</v>
      </c>
      <c r="AA229" s="398" t="e">
        <f>IF(Z229=0,0,IF(LEN(R229)=11,_xlfn.XLOOKUP(R229,'Dispensed Ink Rates'!C:C,'Dispensed Ink Rates'!CS:CS),VLOOKUP(R229,'Jan-2026 rates'!$E:$F,2,0)))</f>
        <v>#N/A</v>
      </c>
      <c r="AB229" s="404"/>
      <c r="AC229" s="398">
        <f>IF(AB229=0,0,IF(LEN(S229)=11,_xlfn.XLOOKUP(S229,'Dispensed Ink Rates'!C:C,'Dispensed Ink Rates'!CS:CS),VLOOKUP(S229,'Jan-2026 rates'!$E:$F,2,0)))</f>
        <v>0</v>
      </c>
      <c r="AD229" s="404"/>
      <c r="AE229" s="398">
        <f>IF(AD229=0,0,IF(LEN(T229)=11,_xlfn.XLOOKUP(T229,'Dispensed Ink Rates'!C:C,'Dispensed Ink Rates'!CS:CS),VLOOKUP(T229,'Jan-2026 rates'!$E:$F,2,0)))</f>
        <v>0</v>
      </c>
      <c r="AF229" s="404"/>
      <c r="AG229" s="398">
        <f>IF(AF229=0,0,IF(LEN(U229)=11,_xlfn.XLOOKUP(U229,'Dispensed Ink Rates'!C:C,'Dispensed Ink Rates'!CS:CS),VLOOKUP(U229,'Jan-2026 rates'!$E:$F,2,0)))</f>
        <v>0</v>
      </c>
      <c r="AH229" s="404"/>
      <c r="AI229" s="398">
        <f>IF(AH229=0,0,IF(LEN(V229)=11,_xlfn.XLOOKUP(V229,'Dispensed Ink Rates'!C:C,'Dispensed Ink Rates'!CS:CS),VLOOKUP(V229,'Jan-2026 rates'!$E:$F,2,0)))</f>
        <v>0</v>
      </c>
      <c r="AJ229" s="404"/>
      <c r="AK229" s="398">
        <f>IF(AJ229=0,0,IF(LEN(W229)=11,_xlfn.XLOOKUP(W229,'Dispensed Ink Rates'!C:C,'Dispensed Ink Rates'!CS:CS),VLOOKUP(W229,'Jan-2026 rates'!$E:$F,2,0)))</f>
        <v>0</v>
      </c>
      <c r="AL229" s="404"/>
      <c r="AM229" s="398">
        <f>IF(AL229=0,0,IF(LEN(X229)=11,_xlfn.XLOOKUP(X229,'Dispensed Ink Rates'!C:C,'Dispensed Ink Rates'!CS:CS),VLOOKUP(X229,'Jan-2026 rates'!$E:$F,2,0)))</f>
        <v>0</v>
      </c>
      <c r="AN229" s="404"/>
      <c r="AO229" s="398">
        <f>IF(AN229=0,0,IF(LEN(Y229)=11,_xlfn.XLOOKUP(Y229,'Dispensed Ink Rates'!C:C,'Dispensed Ink Rates'!CS:CS),VLOOKUP(Y229,'Jan-2026 rates'!$E:$F,2,0)))</f>
        <v>0</v>
      </c>
      <c r="AP229" s="409" t="s">
        <v>1443</v>
      </c>
      <c r="AQ229" s="409">
        <v>30</v>
      </c>
      <c r="AR229" s="410">
        <f t="shared" si="159"/>
        <v>0</v>
      </c>
      <c r="AS229" s="411">
        <f t="shared" si="160"/>
        <v>5.1386138613861405</v>
      </c>
      <c r="AT229" s="410">
        <f t="shared" si="161"/>
        <v>0</v>
      </c>
      <c r="AU229" s="405" t="s">
        <v>857</v>
      </c>
      <c r="AV229" s="409"/>
      <c r="AW229" s="420" t="str">
        <f t="shared" si="183"/>
        <v>FLINTSL - RED</v>
      </c>
      <c r="AX229" s="409"/>
      <c r="AY229" s="411">
        <f>IF(AX229=0,0,IF($LB229=70%,VLOOKUP($AW229,'Jan-2026 rates'!$L:$R,4,0),IF($LB229=65%,VLOOKUP($AW229,'Jan-2026 rates'!$L:$R,4,0),IF($LB229=40%,VLOOKUP($AW229,'Jan-2026 rates'!$L:$R,5,0),IF($LB229=30%,VLOOKUP($AW229,'Jan-2026 rates'!$L:$R,6,0),IF($LB229=100%,VLOOKUP($AW229,'Jan-2026 rates'!$L:$R,7,0),IF($LB229=60%,VLOOKUP($AW229,'Jan-2026 rates'!$L:$S,8,0),IF($LB229=80%,VLOOKUP($AW229,'Jan-2026 rates'!L:T,9,0),0))))))))</f>
        <v>0</v>
      </c>
      <c r="AZ229" s="412"/>
      <c r="BA229" s="409"/>
      <c r="BB229" s="411">
        <f>IF(BA229=0,0,IF($LB229=70%,VLOOKUP($AW229,'Jan-2026 rates'!$L:$R,4,0),IF($LB229=65%,VLOOKUP($AW229,'Jan-2026 rates'!$L:$R,4,0),IF($LB229=40%,VLOOKUP($AW229,'Jan-2026 rates'!$L:$R,5,0),IF($LB229=30%,VLOOKUP($AW229,'Jan-2026 rates'!$L:$R,6,0),IF($LB229=100%,VLOOKUP($AW229,'Jan-2026 rates'!$L:$R,7,0),IF($LB229=60%,VLOOKUP($AW229,'Jan-2026 rates'!$L:$S,8,0),IF($LB229=80%,VLOOKUP($AW229,'Jan-2026 rates'!L:T,9,0),0))))))))</f>
        <v>0</v>
      </c>
      <c r="BC229" s="413">
        <v>26516000013</v>
      </c>
      <c r="BD229" s="412">
        <v>26516000011</v>
      </c>
      <c r="BE229" s="412"/>
      <c r="BF229" s="413"/>
      <c r="BG229" s="412"/>
      <c r="BH229" s="412"/>
      <c r="BI229" s="412"/>
      <c r="BJ229" s="412"/>
      <c r="BK229" s="409">
        <f>10+10+10</f>
        <v>30</v>
      </c>
      <c r="BL229" s="398" t="e">
        <f>IF(BK229=0,0,IF(LEN(BC229)=11,_xlfn.XLOOKUP(BC229,'Dispensed Ink Rates'!C:C,'Dispensed Ink Rates'!CS:CS),VLOOKUP(BC229,'Jan-2026 rates'!$E:$F,2,0)))</f>
        <v>#N/A</v>
      </c>
      <c r="BM229" s="409">
        <f>5+5</f>
        <v>10</v>
      </c>
      <c r="BN229" s="398" t="e">
        <f>IF(BM229=0,0,IF(LEN(BD229)=11,_xlfn.XLOOKUP(BD229,'Dispensed Ink Rates'!C:C,'Dispensed Ink Rates'!CS:CS),VLOOKUP(BD229,'Jan-2026 rates'!$E:$F,2,0)))</f>
        <v>#N/A</v>
      </c>
      <c r="BO229" s="409"/>
      <c r="BP229" s="398">
        <f>IF(BO229=0,0,IF(LEN(BE229)=11,_xlfn.XLOOKUP(BE229,'Dispensed Ink Rates'!C:C,'Dispensed Ink Rates'!CS:CS),VLOOKUP(BE229,'Jan-2026 rates'!$E:$F,2,0)))</f>
        <v>0</v>
      </c>
      <c r="BQ229" s="409"/>
      <c r="BR229" s="398">
        <f>IF(BQ229=0,0,IF(LEN(BF229)=11,_xlfn.XLOOKUP(BF229,'Dispensed Ink Rates'!C:C,'Dispensed Ink Rates'!CS:CS),VLOOKUP(BF229,'Jan-2026 rates'!$E:$F,2,0)))</f>
        <v>0</v>
      </c>
      <c r="BS229" s="409"/>
      <c r="BT229" s="398">
        <f>IF(BS229=0,0,IF(LEN(BG229)=11,_xlfn.XLOOKUP(BG229,'Dispensed Ink Rates'!C:C,'Dispensed Ink Rates'!CS:CS),VLOOKUP(BG229,'Jan-2026 rates'!$E:$F,2,0)))</f>
        <v>0</v>
      </c>
      <c r="BU229" s="409"/>
      <c r="BV229" s="398">
        <f>IF(BU229=0,0,IF(LEN(BH229)=11,_xlfn.XLOOKUP(BH229,'Dispensed Ink Rates'!C:C,'Dispensed Ink Rates'!CS:CS),VLOOKUP(BH229,'Jan-2026 rates'!$E:$F,2,0)))</f>
        <v>0</v>
      </c>
      <c r="BW229" s="409"/>
      <c r="BX229" s="398">
        <f>IF(BW229=0,0,IF(LEN(BI229)=11,_xlfn.XLOOKUP(BI229,'Dispensed Ink Rates'!C:C,'Dispensed Ink Rates'!CS:CS),VLOOKUP(BI229,'Jan-2026 rates'!$E:$F,2,0)))</f>
        <v>0</v>
      </c>
      <c r="BY229" s="409"/>
      <c r="BZ229" s="398">
        <f>IF(BY229=0,0,IF(LEN(BJ229)=11,_xlfn.XLOOKUP(BJ229,'Dispensed Ink Rates'!C:C,'Dispensed Ink Rates'!CS:CS),VLOOKUP(BJ229,'Jan-2026 rates'!$E:$F,2,0)))</f>
        <v>0</v>
      </c>
      <c r="CA229" s="409" t="s">
        <v>1443</v>
      </c>
      <c r="CB229" s="409">
        <v>35</v>
      </c>
      <c r="CC229" s="411">
        <f t="shared" si="162"/>
        <v>0</v>
      </c>
      <c r="CD229" s="411">
        <f t="shared" si="163"/>
        <v>22.128712871287128</v>
      </c>
      <c r="CE229" s="410">
        <f t="shared" si="164"/>
        <v>0</v>
      </c>
      <c r="CF229" s="404" t="s">
        <v>855</v>
      </c>
      <c r="CG229" s="409" t="s">
        <v>3927</v>
      </c>
      <c r="CH229" s="420" t="str">
        <f t="shared" si="132"/>
        <v>FLINTSL - CYAN</v>
      </c>
      <c r="CI229" s="409">
        <v>28</v>
      </c>
      <c r="CJ229" s="411">
        <f>IF(CI229=0,0,IF($LB229=70%,VLOOKUP($CH229,'Jan-2026 rates'!$L:$R,4,0),IF($LB229=65%,VLOOKUP($CH229,'Jan-2026 rates'!$L:$R,4,0),IF($LB229=40%,VLOOKUP($CH229,'Jan-2026 rates'!$L:$R,5,0),IF($LB229=30%,VLOOKUP($CH229,'Jan-2026 rates'!$L:$R,6,0),IF($LB229=100%,VLOOKUP($CH229,'Jan-2026 rates'!$L:$R,7,0),IF($LB229=60%,VLOOKUP($CH229,'Jan-2026 rates'!$L:$S,8,0),IF($LB229=80%,VLOOKUP($CH229,'Jan-2026 rates'!L:T,9,0),0))))))))</f>
        <v>0</v>
      </c>
      <c r="CK229" s="412"/>
      <c r="CL229" s="409"/>
      <c r="CM229" s="411">
        <f>IF(CL229=0,0,IF($LB229=70%,VLOOKUP($CH229,'Jan-2026 rates'!$L:$R,4,0),IF($LB229=65%,VLOOKUP($CH229,'Jan-2026 rates'!$L:$R,4,0),IF($LB229=40%,VLOOKUP($CH229,'Jan-2026 rates'!$L:$R,5,0),IF($LB229=30%,VLOOKUP($CH229,'Jan-2026 rates'!$L:$R,6,0),IF($LB229=100%,VLOOKUP($CH229,'Jan-2026 rates'!$L:$R,7,0),IF($LB229=60%,VLOOKUP($CH229,'Jan-2026 rates'!$L:$S,8,0),IF($LB229=80%,VLOOKUP($CH229,'Jan-2026 rates'!L:T,9,0),0))))))))</f>
        <v>0</v>
      </c>
      <c r="CN229" s="426" t="s">
        <v>1266</v>
      </c>
      <c r="CO229" s="427"/>
      <c r="CP229" s="426"/>
      <c r="CQ229" s="426"/>
      <c r="CR229" s="428"/>
      <c r="CS229" s="428"/>
      <c r="CT229" s="428"/>
      <c r="CU229" s="428"/>
      <c r="CV229" s="409">
        <f>4+4</f>
        <v>8</v>
      </c>
      <c r="CW229" s="398">
        <f>IF(CV229=0,0,IF(LEN(CN229)=11,_xlfn.XLOOKUP(CN229,'Dispensed Ink Rates'!C:C,'Dispensed Ink Rates'!CS:CS),VLOOKUP(CN229,'Jan-2026 rates'!$E:$F,2,0)))</f>
        <v>0</v>
      </c>
      <c r="CX229" s="409"/>
      <c r="CY229" s="398">
        <f>IF(CX229=0,0,IF(LEN(CO229)=11,_xlfn.XLOOKUP(CO229,'Dispensed Ink Rates'!C:C,'Dispensed Ink Rates'!CS:CS),VLOOKUP(CO229,'Jan-2026 rates'!$E:$F,2,0)))</f>
        <v>0</v>
      </c>
      <c r="CZ229" s="409"/>
      <c r="DA229" s="398">
        <f>IF(CZ229=0,0,IF(LEN(CP229)=11,_xlfn.XLOOKUP(CP229,'Dispensed Ink Rates'!C:C,'Dispensed Ink Rates'!CS:CS),VLOOKUP(CP229,'Jan-2026 rates'!$E:$F,2,0)))</f>
        <v>0</v>
      </c>
      <c r="DB229" s="409"/>
      <c r="DC229" s="398">
        <f>IF(DB229=0,0,IF(LEN(CQ229)=11,_xlfn.XLOOKUP(CQ229,'Dispensed Ink Rates'!C:C,'Dispensed Ink Rates'!CS:CS),VLOOKUP(CQ229,'Jan-2026 rates'!$E:$F,2,0)))</f>
        <v>0</v>
      </c>
      <c r="DD229" s="409"/>
      <c r="DE229" s="398">
        <f>IF(DD229=0,0,IF(LEN(CR229)=11,_xlfn.XLOOKUP(CR229,'Dispensed Ink Rates'!C:C,'Dispensed Ink Rates'!CS:CS),VLOOKUP(CR229,'Jan-2026 rates'!$E:$F,2,0)))</f>
        <v>0</v>
      </c>
      <c r="DF229" s="409"/>
      <c r="DG229" s="398">
        <f>IF(DF229=0,0,IF(LEN(CS229)=11,_xlfn.XLOOKUP(CS229,'Dispensed Ink Rates'!C:C,'Dispensed Ink Rates'!CS:CS),VLOOKUP(CS229,'Jan-2026 rates'!$E:$F,2,0)))</f>
        <v>0</v>
      </c>
      <c r="DH229" s="409"/>
      <c r="DI229" s="398">
        <f>IF(DH229=0,0,IF(LEN(CT229)=11,_xlfn.XLOOKUP(CT229,'Dispensed Ink Rates'!C:C,'Dispensed Ink Rates'!CS:CS),VLOOKUP(CT229,'Jan-2026 rates'!$E:$F,2,0)))</f>
        <v>0</v>
      </c>
      <c r="DJ229" s="409"/>
      <c r="DK229" s="398">
        <f>IF(DJ229=0,0,IF(LEN(CU229)=11,_xlfn.XLOOKUP(CU229,'Dispensed Ink Rates'!C:C,'Dispensed Ink Rates'!CS:CS),VLOOKUP(CU229,'Jan-2026 rates'!$E:$F,2,0)))</f>
        <v>0</v>
      </c>
      <c r="DL229" s="409" t="s">
        <v>1443</v>
      </c>
      <c r="DM229" s="409">
        <f>25+10</f>
        <v>35</v>
      </c>
      <c r="DN229" s="411">
        <f t="shared" si="165"/>
        <v>0</v>
      </c>
      <c r="DO229" s="411">
        <f t="shared" si="166"/>
        <v>6.1386138613861405</v>
      </c>
      <c r="DP229" s="410">
        <f t="shared" si="167"/>
        <v>0</v>
      </c>
      <c r="DQ229" s="405" t="s">
        <v>544</v>
      </c>
      <c r="DR229" s="409" t="s">
        <v>3928</v>
      </c>
      <c r="DS229" s="420" t="str">
        <f t="shared" si="133"/>
        <v>FLINTSL - MAGENTA</v>
      </c>
      <c r="DT229" s="409">
        <v>23</v>
      </c>
      <c r="DU229" s="411">
        <f>IF(DT229=0,0,IF($LB229=70%,VLOOKUP($DS229,'Jan-2026 rates'!$L:$R,4,0),IF($LB229=65%,VLOOKUP($DS229,'Jan-2026 rates'!$L:$R,4,0),IF($LB229=40%,VLOOKUP($DS229,'Jan-2026 rates'!$L:$R,5,0),IF($LB229=30%,VLOOKUP($DS229,'Jan-2026 rates'!$L:$R,6,0),IF($LB229=100%,VLOOKUP($DS229,'Jan-2026 rates'!$L:$R,7,0),IF($LB229=60%,VLOOKUP($DS229,'Jan-2026 rates'!$L:$S,8,0),IF($LB229=80%,VLOOKUP($DS229,'Jan-2026 rates'!L:T,9,0),0))))))))</f>
        <v>0</v>
      </c>
      <c r="DV229" s="412"/>
      <c r="DW229" s="409"/>
      <c r="DX229" s="411">
        <f>IF(DW229=0,0,IF($LB229=70%,VLOOKUP($DS229,'Jan-2026 rates'!$L:$R,4,0),IF($LB229=65%,VLOOKUP($DS229,'Jan-2026 rates'!$L:$R,4,0),IF($LB229=40%,VLOOKUP($DS229,'Jan-2026 rates'!$L:$R,5,0),IF($LB229=30%,VLOOKUP($DS229,'Jan-2026 rates'!$L:$R,6,0),IF($LB229=100%,VLOOKUP($DS229,'Jan-2026 rates'!$L:$R,7,0),IF($LB229=60%,VLOOKUP($DS229,'Jan-2026 rates'!$L:$S,8,0),IF($LB229=80%,VLOOKUP($DS229,'Jan-2026 rates'!L:T,9,0),0))))))))</f>
        <v>0</v>
      </c>
      <c r="DY229" s="413">
        <v>26517000020</v>
      </c>
      <c r="DZ229" s="413" t="s">
        <v>1266</v>
      </c>
      <c r="EA229" s="412"/>
      <c r="EB229" s="412"/>
      <c r="EC229" s="412"/>
      <c r="ED229" s="412"/>
      <c r="EE229" s="412"/>
      <c r="EF229" s="412"/>
      <c r="EG229" s="409">
        <v>2</v>
      </c>
      <c r="EH229" s="398" t="e">
        <f>IF(EG229=0,0,IF(LEN(DY229)=11,_xlfn.XLOOKUP(DY229,'Dispensed Ink Rates'!C:C,'Dispensed Ink Rates'!CS:CS),VLOOKUP(DY229,'Jan-2026 rates'!$E:$F,2,0)))</f>
        <v>#N/A</v>
      </c>
      <c r="EI229" s="409">
        <v>5</v>
      </c>
      <c r="EJ229" s="398">
        <f>IF(EI229=0,0,IF(LEN(DZ229)=11,_xlfn.XLOOKUP(DZ229,'Dispensed Ink Rates'!C:C,'Dispensed Ink Rates'!CS:CS),VLOOKUP(DZ229,'Jan-2026 rates'!$E:$F,2,0)))</f>
        <v>0</v>
      </c>
      <c r="EK229" s="409"/>
      <c r="EL229" s="398">
        <f>IF(EK229=0,0,IF(LEN(EA229)=11,_xlfn.XLOOKUP(EA229,'Dispensed Ink Rates'!C:C,'Dispensed Ink Rates'!CS:CS),VLOOKUP(EA229,'Jan-2026 rates'!$E:$F,2,0)))</f>
        <v>0</v>
      </c>
      <c r="EM229" s="409"/>
      <c r="EN229" s="398">
        <f>IF(EM229=0,0,IF(LEN(EB229)=11,_xlfn.XLOOKUP(EB229,'Dispensed Ink Rates'!C:C,'Dispensed Ink Rates'!CS:CS),VLOOKUP(EB229,'Jan-2026 rates'!$E:$F,2,0)))</f>
        <v>0</v>
      </c>
      <c r="EO229" s="409"/>
      <c r="EP229" s="398">
        <f>IF(EO229=0,0,IF(LEN(EC229)=11,_xlfn.XLOOKUP(EC229,'Dispensed Ink Rates'!C:C,'Dispensed Ink Rates'!CS:CS),VLOOKUP(EC229,'Jan-2026 rates'!$E:$F,2,0)))</f>
        <v>0</v>
      </c>
      <c r="EQ229" s="409"/>
      <c r="ER229" s="398">
        <f>IF(EQ229=0,0,IF(LEN(ED229)=11,_xlfn.XLOOKUP(ED229,'Dispensed Ink Rates'!C:C,'Dispensed Ink Rates'!CS:CS),VLOOKUP(ED229,'Jan-2026 rates'!$E:$F,2,0)))</f>
        <v>0</v>
      </c>
      <c r="ES229" s="409"/>
      <c r="ET229" s="398">
        <f>IF(ES229=0,0,IF(LEN(EE229)=11,_xlfn.XLOOKUP(EE229,'Dispensed Ink Rates'!C:C,'Dispensed Ink Rates'!CS:CS),VLOOKUP(EE229,'Jan-2026 rates'!$E:$F,2,0)))</f>
        <v>0</v>
      </c>
      <c r="EU229" s="409"/>
      <c r="EV229" s="398">
        <f>IF(EU229=0,0,IF(LEN(EF229)=11,_xlfn.XLOOKUP(EF229,'Dispensed Ink Rates'!C:C,'Dispensed Ink Rates'!CS:CS),VLOOKUP(EF229,'Jan-2026 rates'!$E:$F,2,0)))</f>
        <v>0</v>
      </c>
      <c r="EW229" s="409" t="s">
        <v>1443</v>
      </c>
      <c r="EX229" s="409">
        <v>31</v>
      </c>
      <c r="EY229" s="411">
        <f t="shared" si="168"/>
        <v>0</v>
      </c>
      <c r="EZ229" s="411">
        <f t="shared" si="169"/>
        <v>10.990099009900987</v>
      </c>
      <c r="FA229" s="410">
        <f t="shared" si="170"/>
        <v>0</v>
      </c>
      <c r="FB229" s="405" t="s">
        <v>545</v>
      </c>
      <c r="FC229" s="409" t="s">
        <v>3929</v>
      </c>
      <c r="FD229" s="420" t="str">
        <f t="shared" si="134"/>
        <v>FLINTSL - YELLOW</v>
      </c>
      <c r="FE229" s="409">
        <v>26</v>
      </c>
      <c r="FF229" s="411">
        <f>IF(FE229=0,0,IF($LB229=70%,VLOOKUP($FD229,'Jan-2026 rates'!$L:$R,4,0),IF($LB229=65%,VLOOKUP($FD229,'Jan-2026 rates'!$L:$R,4,0),IF($LB229=40%,VLOOKUP($FD229,'Jan-2026 rates'!$L:$R,5,0),IF($LB229=30%,VLOOKUP($FD229,'Jan-2026 rates'!$L:$R,6,0),IF($LB229=100%,VLOOKUP($FD229,'Jan-2026 rates'!$L:$R,7,0),IF($LB229=60%,VLOOKUP($FD229,'Jan-2026 rates'!$L:$S,8,0),IF($LB229=80%,VLOOKUP($FD229,'Jan-2026 rates'!L:T,9,0),0))))))))</f>
        <v>0</v>
      </c>
      <c r="FG229" s="412"/>
      <c r="FH229" s="409"/>
      <c r="FI229" s="411">
        <f>IF(FH229=0,0,IF($LB229=70%,VLOOKUP($FD229,'Jan-2026 rates'!$L:$R,4,0),IF($LB229=65%,VLOOKUP($FD229,'Jan-2026 rates'!$L:$R,4,0),IF($LB229=40%,VLOOKUP($FD229,'Jan-2026 rates'!$L:$R,5,0),IF($LB229=30%,VLOOKUP($FD229,'Jan-2026 rates'!$L:$R,6,0),IF($LB229=100%,VLOOKUP($FD229,'Jan-2026 rates'!$L:$R,7,0),IF($LB229=60%,VLOOKUP($FD229,'Jan-2026 rates'!$L:$S,8,0),IF($LB229=80%,VLOOKUP($FD229,'Jan-2026 rates'!L:T,9,0),0))))))))</f>
        <v>0</v>
      </c>
      <c r="FJ229" s="413">
        <v>26516000015</v>
      </c>
      <c r="FK229" s="413"/>
      <c r="FL229" s="413"/>
      <c r="FM229" s="412"/>
      <c r="FN229" s="412"/>
      <c r="FO229" s="412"/>
      <c r="FP229" s="412"/>
      <c r="FQ229" s="412"/>
      <c r="FR229" s="409">
        <v>2</v>
      </c>
      <c r="FS229" s="398" t="e">
        <f>IF(FR229=0,0,IF(LEN(FJ229)=11,_xlfn.XLOOKUP(FJ229,'Dispensed Ink Rates'!C:C,'Dispensed Ink Rates'!CS:CS),VLOOKUP(FJ229,'Jan-2026 rates'!$E:$F,2,0)))</f>
        <v>#N/A</v>
      </c>
      <c r="FT229" s="409"/>
      <c r="FU229" s="398">
        <f>IF(FT229=0,0,IF(LEN(FK229)=11,_xlfn.XLOOKUP(FK229,'Dispensed Ink Rates'!C:C,'Dispensed Ink Rates'!CS:CS),VLOOKUP(FK229,'Jan-2026 rates'!$E:$F,2,0)))</f>
        <v>0</v>
      </c>
      <c r="FV229" s="409"/>
      <c r="FW229" s="398">
        <f>IF(FV229=0,0,IF(LEN(FL229)=11,_xlfn.XLOOKUP(FL229,'Dispensed Ink Rates'!C:C,'Dispensed Ink Rates'!CS:CS),VLOOKUP(FL229,'Jan-2026 rates'!$E:$F,2,0)))</f>
        <v>0</v>
      </c>
      <c r="FX229" s="409"/>
      <c r="FY229" s="398">
        <f>IF(FX229=0,0,IF(LEN(FM229)=11,_xlfn.XLOOKUP(FM229,'Dispensed Ink Rates'!C:C,'Dispensed Ink Rates'!CS:CS),VLOOKUP(FM229,'Jan-2026 rates'!$E:$F,2,0)))</f>
        <v>0</v>
      </c>
      <c r="FZ229" s="409"/>
      <c r="GA229" s="398">
        <f>IF(FZ229=0,0,IF(LEN(FN229)=11,_xlfn.XLOOKUP(FN229,'Dispensed Ink Rates'!C:C,'Dispensed Ink Rates'!CS:CS),VLOOKUP(FN229,'Jan-2026 rates'!$E:$F,2,0)))</f>
        <v>0</v>
      </c>
      <c r="GB229" s="409"/>
      <c r="GC229" s="398">
        <f>IF(GB229=0,0,IF(LEN(FO229)=11,_xlfn.XLOOKUP(FO229,'Dispensed Ink Rates'!C:C,'Dispensed Ink Rates'!CS:CS),VLOOKUP(FO229,'Jan-2026 rates'!$E:$F,2,0)))</f>
        <v>0</v>
      </c>
      <c r="GD229" s="409"/>
      <c r="GE229" s="398">
        <f>IF(GD229=0,0,IF(LEN(FP229)=11,_xlfn.XLOOKUP(FP229,'Dispensed Ink Rates'!C:C,'Dispensed Ink Rates'!CS:CS),VLOOKUP(FP229,'Jan-2026 rates'!$E:$F,2,0)))</f>
        <v>0</v>
      </c>
      <c r="GF229" s="409"/>
      <c r="GG229" s="398">
        <f>IF(GF229=0,0,IF(LEN(FQ229)=11,_xlfn.XLOOKUP(FQ229,'Dispensed Ink Rates'!C:C,'Dispensed Ink Rates'!CS:CS),VLOOKUP(FQ229,'Jan-2026 rates'!$E:$F,2,0)))</f>
        <v>0</v>
      </c>
      <c r="GH229" s="409" t="s">
        <v>1443</v>
      </c>
      <c r="GI229" s="409">
        <v>30</v>
      </c>
      <c r="GJ229" s="411">
        <f t="shared" si="171"/>
        <v>0</v>
      </c>
      <c r="GK229" s="411">
        <f t="shared" si="172"/>
        <v>6.5643564356435604</v>
      </c>
      <c r="GL229" s="410">
        <f t="shared" si="173"/>
        <v>0</v>
      </c>
      <c r="GM229" s="405" t="s">
        <v>829</v>
      </c>
      <c r="GN229" s="409" t="s">
        <v>3826</v>
      </c>
      <c r="GO229" s="420" t="str">
        <f t="shared" si="135"/>
        <v>FLINTSL - MEDIUM</v>
      </c>
      <c r="GP229" s="409">
        <v>20</v>
      </c>
      <c r="GQ229" s="411">
        <f>IF(GP229=0,0,IF($LB229=70%,VLOOKUP($GO229,'Jan-2026 rates'!$L:$R,4,0),IF($LB229=65%,VLOOKUP($GO229,'Jan-2026 rates'!$L:$R,4,0),IF($LB229=40%,VLOOKUP($GO229,'Jan-2026 rates'!$L:$R,5,0),IF($LB229=30%,VLOOKUP($GO229,'Jan-2026 rates'!$L:$R,6,0),IF($LB229=100%,VLOOKUP($GO229,'Jan-2026 rates'!$L:$R,7,0),IF($LB229=60%,VLOOKUP($GO229,'Jan-2026 rates'!$L:$S,8,0),IF($LB229=80%,VLOOKUP($GO229,'Jan-2026 rates'!L:T,9,0),0))))))))</f>
        <v>0</v>
      </c>
      <c r="GR229" s="412" t="s">
        <v>3817</v>
      </c>
      <c r="GS229" s="409">
        <v>13</v>
      </c>
      <c r="GT229" s="411">
        <f>IF(GS229=0,0,IF($LB229=70%,VLOOKUP($GO229,'Jan-2026 rates'!$L:$R,4,0),IF($LB229=65%,VLOOKUP($GO229,'Jan-2026 rates'!$L:$R,4,0),IF($LB229=40%,VLOOKUP($GO229,'Jan-2026 rates'!$L:$R,5,0),IF($LB229=30%,VLOOKUP($GO229,'Jan-2026 rates'!$L:$R,6,0),IF($LB229=100%,VLOOKUP($GO229,'Jan-2026 rates'!$L:$R,7,0),IF($LB229=60%,VLOOKUP($GO229,'Jan-2026 rates'!$L:$S,8,0),IF($LB229=80%,VLOOKUP($GO229,'Jan-2026 rates'!L:T,9,0),0))))))))</f>
        <v>0</v>
      </c>
      <c r="GU229" s="413" t="s">
        <v>484</v>
      </c>
      <c r="GV229" s="413">
        <v>26516000015</v>
      </c>
      <c r="GW229" s="412"/>
      <c r="GX229" s="412"/>
      <c r="GY229" s="412"/>
      <c r="GZ229" s="412"/>
      <c r="HA229" s="412"/>
      <c r="HB229" s="412"/>
      <c r="HC229" s="409">
        <f>40+10</f>
        <v>50</v>
      </c>
      <c r="HD229" s="398">
        <f>IF(HC229=0,0,IF(LEN(GU229)=11,_xlfn.XLOOKUP(GU229,'Dispensed Ink Rates'!C:C,'Dispensed Ink Rates'!CS:CS),VLOOKUP(GU229,'Jan-2026 rates'!$E:$F,2,0)))</f>
        <v>0</v>
      </c>
      <c r="HE229" s="409">
        <v>5</v>
      </c>
      <c r="HF229" s="398" t="e">
        <f>IF(HE229=0,0,IF(LEN(GV229)=11,_xlfn.XLOOKUP(GV229,'Dispensed Ink Rates'!C:C,'Dispensed Ink Rates'!CS:CS),VLOOKUP(GV229,'Jan-2026 rates'!$E:$F,2,0)))</f>
        <v>#N/A</v>
      </c>
      <c r="HG229" s="409"/>
      <c r="HH229" s="398">
        <f>IF(HG229=0,0,IF(LEN(GW229)=11,_xlfn.XLOOKUP(GW229,'Dispensed Ink Rates'!C:C,'Dispensed Ink Rates'!CS:CS),VLOOKUP(GW229,'Jan-2026 rates'!$E:$F,2,0)))</f>
        <v>0</v>
      </c>
      <c r="HI229" s="409"/>
      <c r="HJ229" s="398">
        <f>IF(HI229=0,0,IF(LEN(GX229)=11,_xlfn.XLOOKUP(GX229,'Dispensed Ink Rates'!C:C,'Dispensed Ink Rates'!CS:CS),VLOOKUP(GX229,'Jan-2026 rates'!$E:$F,2,0)))</f>
        <v>0</v>
      </c>
      <c r="HK229" s="409"/>
      <c r="HL229" s="398">
        <f>IF(HK229=0,0,IF(LEN(GY229)=11,_xlfn.XLOOKUP(GY229,'Dispensed Ink Rates'!C:C,'Dispensed Ink Rates'!CS:CS),VLOOKUP(GY229,'Jan-2026 rates'!$E:$F,2,0)))</f>
        <v>0</v>
      </c>
      <c r="HM229" s="409"/>
      <c r="HN229" s="398">
        <f>IF(HM229=0,0,IF(LEN(GZ229)=11,_xlfn.XLOOKUP(GZ229,'Dispensed Ink Rates'!C:C,'Dispensed Ink Rates'!CS:CS),VLOOKUP(GZ229,'Jan-2026 rates'!$E:$F,2,0)))</f>
        <v>0</v>
      </c>
      <c r="HO229" s="409"/>
      <c r="HP229" s="398">
        <f>IF(HO229=0,0,IF(LEN(HA229)=11,_xlfn.XLOOKUP(HA229,'Dispensed Ink Rates'!C:C,'Dispensed Ink Rates'!CS:CS),VLOOKUP(HA229,'Jan-2026 rates'!$E:$F,2,0)))</f>
        <v>0</v>
      </c>
      <c r="HQ229" s="409"/>
      <c r="HR229" s="398">
        <f>IF(HQ229=0,0,IF(LEN(HB229)=11,_xlfn.XLOOKUP(HB229,'Dispensed Ink Rates'!C:C,'Dispensed Ink Rates'!CS:CS),VLOOKUP(HB229,'Jan-2026 rates'!$E:$F,2,0)))</f>
        <v>0</v>
      </c>
      <c r="HS229" s="409" t="s">
        <v>1443</v>
      </c>
      <c r="HT229" s="409">
        <v>15</v>
      </c>
      <c r="HU229" s="411">
        <f t="shared" si="174"/>
        <v>0</v>
      </c>
      <c r="HV229" s="411">
        <f t="shared" si="175"/>
        <v>90.128712871287121</v>
      </c>
      <c r="HW229" s="414">
        <f t="shared" si="176"/>
        <v>0</v>
      </c>
      <c r="HX229" s="405" t="s">
        <v>548</v>
      </c>
      <c r="HY229" s="409" t="s">
        <v>3930</v>
      </c>
      <c r="HZ229" s="420" t="str">
        <f t="shared" si="136"/>
        <v>FLINTSL - GOLD</v>
      </c>
      <c r="IA229" s="409">
        <v>29</v>
      </c>
      <c r="IB229" s="411">
        <f>IF(IA229=0,0,IF($LB229=70%,VLOOKUP($HZ229,'Jan-2026 rates'!$L:$R,4,0),IF($LB229=65%,VLOOKUP($HZ229,'Jan-2026 rates'!$L:$R,4,0),IF($LB229=40%,VLOOKUP($HZ229,'Jan-2026 rates'!$L:$R,5,0),IF($LB229=30%,VLOOKUP($HZ229,'Jan-2026 rates'!$L:$R,6,0),IF($LB229=100%,VLOOKUP($HZ229,'Jan-2026 rates'!$L:$R,7,0),IF($LB229=60%,VLOOKUP($HZ229,'Jan-2026 rates'!$L:$S,8,0),IF($LB229=80%,VLOOKUP($HZ229,'Jan-2026 rates'!L:T,9,0),0))))))))</f>
        <v>0</v>
      </c>
      <c r="IC229" s="412"/>
      <c r="ID229" s="409"/>
      <c r="IE229" s="411">
        <f>IF(ID229=0,0,IF($LB229=70%,VLOOKUP($HZ229,'Jan-2026 rates'!$L:$R,4,0),IF($LB229=65%,VLOOKUP($HZ229,'Jan-2026 rates'!$L:$R,4,0),IF($LB229=40%,VLOOKUP($HZ229,'Jan-2026 rates'!$L:$R,5,0),IF($LB229=30%,VLOOKUP($HZ229,'Jan-2026 rates'!$L:$R,6,0),IF($LB229=100%,VLOOKUP($HZ229,'Jan-2026 rates'!$L:$R,7,0),IF($LB229=60%,VLOOKUP($HZ229,'Jan-2026 rates'!$L:$S,8,0),IF($LB229=80%,VLOOKUP($HZ229,'Jan-2026 rates'!L:T,9,0),0))))))))</f>
        <v>0</v>
      </c>
      <c r="IF229" s="412">
        <v>26516000015</v>
      </c>
      <c r="IG229" s="413"/>
      <c r="IH229" s="412"/>
      <c r="II229" s="412"/>
      <c r="IJ229" s="412"/>
      <c r="IK229" s="412"/>
      <c r="IL229" s="412"/>
      <c r="IM229" s="412"/>
      <c r="IN229" s="409">
        <v>14</v>
      </c>
      <c r="IO229" s="398" t="e">
        <f>IF(IN229=0,0,IF(LEN(IF229)=11,_xlfn.XLOOKUP(IF229,'Dispensed Ink Rates'!C:C,'Dispensed Ink Rates'!CS:CS),VLOOKUP(IF229,'Jan-2026 rates'!$E:$F,2,0)))</f>
        <v>#N/A</v>
      </c>
      <c r="IP229" s="409"/>
      <c r="IQ229" s="398">
        <f>IF(IP229=0,0,IF(LEN(IG229)=11,_xlfn.XLOOKUP(IG229,'Dispensed Ink Rates'!C:C,'Dispensed Ink Rates'!CS:CS),VLOOKUP(IG229,'Jan-2026 rates'!$E:$F,2,0)))</f>
        <v>0</v>
      </c>
      <c r="IR229" s="409"/>
      <c r="IS229" s="398">
        <f>IF(IR229=0,0,IF(LEN(IH229)=11,_xlfn.XLOOKUP(IH229,'Dispensed Ink Rates'!C:C,'Dispensed Ink Rates'!CS:CS),VLOOKUP(IH229,'Jan-2026 rates'!$E:$F,2,0)))</f>
        <v>0</v>
      </c>
      <c r="IT229" s="409"/>
      <c r="IU229" s="398">
        <f>IF(IT229=0,0,IF(LEN(II229)=11,_xlfn.XLOOKUP(II229,'Dispensed Ink Rates'!C:C,'Dispensed Ink Rates'!CS:CS),VLOOKUP(II229,'Jan-2026 rates'!$E:$F,2,0)))</f>
        <v>0</v>
      </c>
      <c r="IV229" s="409"/>
      <c r="IW229" s="398">
        <f>IF(IV229=0,0,IF(LEN(IJ229)=11,_xlfn.XLOOKUP(IJ229,'Dispensed Ink Rates'!C:C,'Dispensed Ink Rates'!CS:CS),VLOOKUP(IJ229,'Jan-2026 rates'!$E:$F,2,0)))</f>
        <v>0</v>
      </c>
      <c r="IX229" s="409"/>
      <c r="IY229" s="398">
        <f>IF(IX229=0,0,IF(LEN(IK229)=11,_xlfn.XLOOKUP(IK229,'Dispensed Ink Rates'!C:C,'Dispensed Ink Rates'!CS:CS),VLOOKUP(IK229,'Jan-2026 rates'!$E:$F,2,0)))</f>
        <v>0</v>
      </c>
      <c r="IZ229" s="409"/>
      <c r="JA229" s="398">
        <f>IF(IZ229=0,0,IF(LEN(IL229)=11,_xlfn.XLOOKUP(IL229,'Dispensed Ink Rates'!C:C,'Dispensed Ink Rates'!CS:CS),VLOOKUP(IL229,'Jan-2026 rates'!$E:$F,2,0)))</f>
        <v>0</v>
      </c>
      <c r="JB229" s="409"/>
      <c r="JC229" s="398">
        <f>IF(JB229=0,0,IF(LEN(IM229)=11,_xlfn.XLOOKUP(IM229,'Dispensed Ink Rates'!C:C,'Dispensed Ink Rates'!CS:CS),VLOOKUP(IM229,'Jan-2026 rates'!$E:$F,2,0)))</f>
        <v>0</v>
      </c>
      <c r="JD229" s="409" t="s">
        <v>1443</v>
      </c>
      <c r="JE229" s="409">
        <v>40</v>
      </c>
      <c r="JF229" s="411">
        <f t="shared" si="177"/>
        <v>0</v>
      </c>
      <c r="JG229" s="411">
        <f t="shared" si="178"/>
        <v>8.1386138613861405</v>
      </c>
      <c r="JH229" s="410">
        <f t="shared" si="179"/>
        <v>0</v>
      </c>
      <c r="JI229" s="405" t="s">
        <v>856</v>
      </c>
      <c r="JJ229" s="409" t="s">
        <v>3931</v>
      </c>
      <c r="JK229" s="420" t="str">
        <f t="shared" si="137"/>
        <v>FLINTSL - WHITE</v>
      </c>
      <c r="JL229" s="409">
        <v>27</v>
      </c>
      <c r="JM229" s="411">
        <f>IF(JL229=0,0,IF($LB229=70%,VLOOKUP($JK229,'Jan-2026 rates'!$L:$R,4,0),IF($LB229=65%,VLOOKUP($JK229,'Jan-2026 rates'!$L:$R,4,0),IF($LB229=40%,VLOOKUP($JK229,'Jan-2026 rates'!$L:$R,5,0),IF($LB229=30%,VLOOKUP($JK229,'Jan-2026 rates'!$L:$R,6,0),IF($LB229=100%,VLOOKUP($JK229,'Jan-2026 rates'!$L:$R,7,0),IF($LB229=60%,VLOOKUP($JK229,'Jan-2026 rates'!$L:$S,8,0),IF($LB229=80%,VLOOKUP($JK229,'Jan-2026 rates'!L:T,9,0),0))))))))</f>
        <v>0</v>
      </c>
      <c r="JN229" s="412"/>
      <c r="JO229" s="409"/>
      <c r="JP229" s="411">
        <f>IF(JO229=0,0,IF($LB229=70%,VLOOKUP($JK229,'Jan-2026 rates'!$L:$R,4,0),IF($LB229=65%,VLOOKUP($JK229,'Jan-2026 rates'!$L:$R,4,0),IF($LB229=40%,VLOOKUP($JK229,'Jan-2026 rates'!$L:$R,5,0),IF($LB229=30%,VLOOKUP($JK229,'Jan-2026 rates'!$L:$R,6,0),IF($LB229=100%,VLOOKUP($JK229,'Jan-2026 rates'!$L:$R,7,0),IF($LB229=60%,VLOOKUP($JK229,'Jan-2026 rates'!$L:$S,8,0),IF($LB229=80%,VLOOKUP($JK229,'Jan-2026 rates'!L:T,9,0),0))))))))</f>
        <v>0</v>
      </c>
      <c r="JQ229" s="413" t="s">
        <v>484</v>
      </c>
      <c r="JR229" s="412"/>
      <c r="JS229" s="413"/>
      <c r="JT229" s="413"/>
      <c r="JU229" s="412"/>
      <c r="JV229" s="412"/>
      <c r="JW229" s="412"/>
      <c r="JX229" s="412"/>
      <c r="JY229" s="409">
        <f>60+40</f>
        <v>100</v>
      </c>
      <c r="JZ229" s="398">
        <f>IF(JY229=0,0,IF(LEN(JQ229)=11,_xlfn.XLOOKUP(JQ229,'Dispensed Ink Rates'!C:C,'Dispensed Ink Rates'!CS:CS),VLOOKUP(JQ229,'Jan-2026 rates'!$E:$F,2,0)))</f>
        <v>0</v>
      </c>
      <c r="KA229" s="409"/>
      <c r="KB229" s="398">
        <f>IF(KA229=0,0,IF(LEN(JR229)=11,_xlfn.XLOOKUP(JR229,'Dispensed Ink Rates'!C:C,'Dispensed Ink Rates'!CS:CS),VLOOKUP(JR229,'Jan-2026 rates'!$E:$F,2,0)))</f>
        <v>0</v>
      </c>
      <c r="KC229" s="409"/>
      <c r="KD229" s="398">
        <f>IF(KC229=0,0,IF(LEN(JS229)=11,_xlfn.XLOOKUP(JS229,'Dispensed Ink Rates'!C:C,'Dispensed Ink Rates'!CS:CS),VLOOKUP(JS229,'Jan-2026 rates'!$E:$F,2,0)))</f>
        <v>0</v>
      </c>
      <c r="KE229" s="409"/>
      <c r="KF229" s="398">
        <f>IF(KE229=0,0,IF(LEN(JT229)=11,_xlfn.XLOOKUP(JT229,'Dispensed Ink Rates'!C:C,'Dispensed Ink Rates'!CS:CS),VLOOKUP(JT229,'Jan-2026 rates'!$E:$F,2,0)))</f>
        <v>0</v>
      </c>
      <c r="KG229" s="409"/>
      <c r="KH229" s="398">
        <f>IF(KG229=0,0,IF(LEN(JU229)=11,_xlfn.XLOOKUP(JU229,'Dispensed Ink Rates'!C:C,'Dispensed Ink Rates'!CS:CS),VLOOKUP(JU229,'Jan-2026 rates'!$E:$F,2,0)))</f>
        <v>0</v>
      </c>
      <c r="KI229" s="409"/>
      <c r="KJ229" s="398">
        <f>IF(KI229=0,0,IF(LEN(JV229)=11,_xlfn.XLOOKUP(JV229,'Dispensed Ink Rates'!C:C,'Dispensed Ink Rates'!CS:CS),VLOOKUP(JV229,'Jan-2026 rates'!$E:$F,2,0)))</f>
        <v>0</v>
      </c>
      <c r="KK229" s="409"/>
      <c r="KL229" s="398">
        <f>IF(KK229=0,0,IF(LEN(JW229)=11,_xlfn.XLOOKUP(JW229,'Dispensed Ink Rates'!C:C,'Dispensed Ink Rates'!CS:CS),VLOOKUP(JW229,'Jan-2026 rates'!$E:$F,2,0)))</f>
        <v>0</v>
      </c>
      <c r="KM229" s="428"/>
      <c r="KN229" s="398">
        <f>IF(KM229=0,0,IF(LEN(JX229)=11,_xlfn.XLOOKUP(JX229,'Dispensed Ink Rates'!C:C,'Dispensed Ink Rates'!CS:CS),VLOOKUP(JX229,'Jan-2026 rates'!$E:$F,2,0)))</f>
        <v>0</v>
      </c>
      <c r="KO229" s="409" t="s">
        <v>1443</v>
      </c>
      <c r="KP229" s="409">
        <v>30</v>
      </c>
      <c r="KQ229" s="411">
        <f t="shared" si="180"/>
        <v>0</v>
      </c>
      <c r="KR229" s="411">
        <f t="shared" si="181"/>
        <v>199.77227722772278</v>
      </c>
      <c r="KS229" s="410">
        <f t="shared" si="182"/>
        <v>0</v>
      </c>
      <c r="KT229" s="409">
        <v>3</v>
      </c>
      <c r="KU229" s="409">
        <v>10</v>
      </c>
      <c r="KV229" s="409">
        <v>3</v>
      </c>
      <c r="KW229" s="409">
        <v>7</v>
      </c>
      <c r="KX229" s="409">
        <v>5</v>
      </c>
      <c r="KY229" s="409">
        <v>10</v>
      </c>
      <c r="KZ229" s="409">
        <v>3</v>
      </c>
      <c r="LA229" s="409">
        <f>30+30</f>
        <v>60</v>
      </c>
      <c r="LB229" s="415">
        <v>0.8</v>
      </c>
      <c r="LC229" s="415">
        <v>0.2</v>
      </c>
      <c r="LD229" s="415"/>
      <c r="LE229" s="415"/>
      <c r="LF229" s="415"/>
      <c r="LG229" s="409">
        <v>0</v>
      </c>
      <c r="LH229" s="409">
        <f>60+33+64+16</f>
        <v>173</v>
      </c>
      <c r="LI229" s="409">
        <v>0</v>
      </c>
      <c r="LJ229" s="409">
        <v>0</v>
      </c>
      <c r="LK229" s="416">
        <f t="shared" si="138"/>
        <v>173</v>
      </c>
      <c r="LL229" s="416">
        <f t="shared" si="139"/>
        <v>173</v>
      </c>
      <c r="LM229" s="417">
        <f t="shared" si="140"/>
        <v>138.4</v>
      </c>
      <c r="LN229" s="417">
        <f>VLOOKUP($LM$8,'Jan-2026 rates'!$H:$I,2,0)</f>
        <v>0</v>
      </c>
      <c r="LO229" s="417">
        <f t="shared" si="141"/>
        <v>34.6</v>
      </c>
      <c r="LP229" s="417">
        <f>VLOOKUP($LO$8,'Jan-2026 rates'!$H:$I,2,0)</f>
        <v>0</v>
      </c>
      <c r="LQ229" s="417">
        <f t="shared" si="142"/>
        <v>0</v>
      </c>
      <c r="LR229" s="417">
        <f>VLOOKUP($LQ$8,'Jan-2026 rates'!$H:$I,2,0)</f>
        <v>0</v>
      </c>
      <c r="LS229" s="417">
        <f t="shared" si="143"/>
        <v>0</v>
      </c>
      <c r="LT229" s="417">
        <f>VLOOKUP($LS$8,'Jan-2026 rates'!$H:$I,2,0)</f>
        <v>0</v>
      </c>
      <c r="LU229" s="417">
        <f t="shared" si="144"/>
        <v>0</v>
      </c>
      <c r="LV229" s="417">
        <f>VLOOKUP($LU$8,'Jan-2026 rates'!$H:$I,2,0)</f>
        <v>0</v>
      </c>
      <c r="LW229" s="417">
        <f t="shared" si="145"/>
        <v>0</v>
      </c>
      <c r="LX229" s="417">
        <f t="shared" si="146"/>
        <v>0</v>
      </c>
      <c r="LY229" s="418">
        <f t="shared" si="147"/>
        <v>0</v>
      </c>
      <c r="LZ229" s="417"/>
      <c r="MA229" s="435">
        <f t="shared" si="148"/>
        <v>234</v>
      </c>
      <c r="MB229" s="282">
        <f t="shared" si="149"/>
        <v>349</v>
      </c>
      <c r="MC229" s="283">
        <v>122</v>
      </c>
      <c r="MD229" s="284" t="str">
        <f t="shared" si="150"/>
        <v>FLINTSLFLINTSLFLINTSLFLINTSLFLINTSLFLINTSLFLINTSLFLINTSL</v>
      </c>
      <c r="ME229" s="293" t="str">
        <f t="shared" si="151"/>
        <v>+</v>
      </c>
      <c r="MF229" s="293" t="str">
        <f t="shared" si="152"/>
        <v>+</v>
      </c>
      <c r="MG229" s="293" t="str">
        <f t="shared" si="153"/>
        <v>+</v>
      </c>
      <c r="MH229" s="293" t="str">
        <f t="shared" si="154"/>
        <v>+</v>
      </c>
      <c r="MI229" s="293" t="str">
        <f t="shared" si="155"/>
        <v>+</v>
      </c>
      <c r="MJ229" s="293" t="str">
        <f t="shared" si="156"/>
        <v>+</v>
      </c>
      <c r="MK229" s="293" t="str">
        <f t="shared" si="157"/>
        <v>+</v>
      </c>
      <c r="ML229" s="293" t="str">
        <f t="shared" si="158"/>
        <v>+</v>
      </c>
      <c r="MM229" s="3" t="b">
        <f t="array" ref="MM229">OR(ME229:ML229="-")</f>
        <v>0</v>
      </c>
      <c r="MN229" s="285"/>
      <c r="MO229" s="401"/>
      <c r="MP229" s="286"/>
      <c r="MQ229" s="286"/>
      <c r="MR229" s="402"/>
      <c r="MS229" s="400"/>
      <c r="NH229" s="422"/>
      <c r="NJ229" s="421"/>
    </row>
    <row r="230" spans="1:374" s="1" customFormat="1" ht="16.5">
      <c r="A230" s="403">
        <v>46039</v>
      </c>
      <c r="B230" s="404" t="s">
        <v>1018</v>
      </c>
      <c r="C230" s="405" t="s">
        <v>3932</v>
      </c>
      <c r="D230" s="406">
        <v>123</v>
      </c>
      <c r="E230" s="404">
        <v>966</v>
      </c>
      <c r="F230" s="407">
        <v>47300</v>
      </c>
      <c r="G230" s="407" t="s">
        <v>1019</v>
      </c>
      <c r="H230" s="408" t="s">
        <v>1017</v>
      </c>
      <c r="I230" s="409">
        <v>1.8</v>
      </c>
      <c r="J230" s="405" t="s">
        <v>543</v>
      </c>
      <c r="K230" s="404" t="s">
        <v>3933</v>
      </c>
      <c r="L230" s="419" t="str">
        <f t="shared" si="131"/>
        <v>FLINTSL - BLACK</v>
      </c>
      <c r="M230" s="404">
        <v>30</v>
      </c>
      <c r="N230" s="410">
        <f>IF(M230=0,0,IF($LB230=70%,VLOOKUP($L230,'Jan-2026 rates'!$L:$R,4,0),IF($LB230=65%,VLOOKUP($L230,'Jan-2026 rates'!$L:$R,4,0),IF($LB230=40%,VLOOKUP($L230,'Jan-2026 rates'!$L:$R,5,0),IF($LB230=30%,VLOOKUP($L230,'Jan-2026 rates'!$L:$R,6,0),IF($LB230=100%,VLOOKUP($L230,'Jan-2026 rates'!$L:$R,7,0),IF($LB230=60%,VLOOKUP($L230,'Jan-2026 rates'!$L:$S,8,0),IF($LB230=80%,VLOOKUP($L230,'Jan-2026 rates'!L:T,9,0),0))))))))</f>
        <v>0</v>
      </c>
      <c r="O230" s="406"/>
      <c r="P230" s="404"/>
      <c r="Q230" s="410">
        <f>IF(P230=0,0,IF($LB230=70%,VLOOKUP($L230,'Jan-2026 rates'!$L:$R,4,0),IF($LB230=65%,VLOOKUP($L230,'Jan-2026 rates'!$L:$R,4,0),IF($LB230=40%,VLOOKUP($L230,'Jan-2026 rates'!$L:$R,5,0),IF($LB230=30%,VLOOKUP($L230,'Jan-2026 rates'!$L:$R,6,0),IF($LB230=100%,VLOOKUP($L230,'Jan-2026 rates'!$L:$R,7,0),IF($LB230=60%,VLOOKUP($L230,'Jan-2026 rates'!$L:$S,8,0),IF($LB230=80%,VLOOKUP($L230,'Jan-2026 rates'!L:T,9,0),0))))))))</f>
        <v>0</v>
      </c>
      <c r="R230" s="406">
        <v>26522000008</v>
      </c>
      <c r="S230" s="406"/>
      <c r="T230" s="406"/>
      <c r="U230" s="406"/>
      <c r="V230" s="406"/>
      <c r="W230" s="406"/>
      <c r="X230" s="406"/>
      <c r="Y230" s="406"/>
      <c r="Z230" s="404">
        <v>6</v>
      </c>
      <c r="AA230" s="398" t="e">
        <f>IF(Z230=0,0,IF(LEN(R230)=11,_xlfn.XLOOKUP(R230,'Dispensed Ink Rates'!C:C,'Dispensed Ink Rates'!CS:CS),VLOOKUP(R230,'Jan-2026 rates'!$E:$F,2,0)))</f>
        <v>#N/A</v>
      </c>
      <c r="AB230" s="404"/>
      <c r="AC230" s="398">
        <f>IF(AB230=0,0,IF(LEN(S230)=11,_xlfn.XLOOKUP(S230,'Dispensed Ink Rates'!C:C,'Dispensed Ink Rates'!CS:CS),VLOOKUP(S230,'Jan-2026 rates'!$E:$F,2,0)))</f>
        <v>0</v>
      </c>
      <c r="AD230" s="404"/>
      <c r="AE230" s="398">
        <f>IF(AD230=0,0,IF(LEN(T230)=11,_xlfn.XLOOKUP(T230,'Dispensed Ink Rates'!C:C,'Dispensed Ink Rates'!CS:CS),VLOOKUP(T230,'Jan-2026 rates'!$E:$F,2,0)))</f>
        <v>0</v>
      </c>
      <c r="AF230" s="404"/>
      <c r="AG230" s="398">
        <f>IF(AF230=0,0,IF(LEN(U230)=11,_xlfn.XLOOKUP(U230,'Dispensed Ink Rates'!C:C,'Dispensed Ink Rates'!CS:CS),VLOOKUP(U230,'Jan-2026 rates'!$E:$F,2,0)))</f>
        <v>0</v>
      </c>
      <c r="AH230" s="404"/>
      <c r="AI230" s="398">
        <f>IF(AH230=0,0,IF(LEN(V230)=11,_xlfn.XLOOKUP(V230,'Dispensed Ink Rates'!C:C,'Dispensed Ink Rates'!CS:CS),VLOOKUP(V230,'Jan-2026 rates'!$E:$F,2,0)))</f>
        <v>0</v>
      </c>
      <c r="AJ230" s="404"/>
      <c r="AK230" s="398">
        <f>IF(AJ230=0,0,IF(LEN(W230)=11,_xlfn.XLOOKUP(W230,'Dispensed Ink Rates'!C:C,'Dispensed Ink Rates'!CS:CS),VLOOKUP(W230,'Jan-2026 rates'!$E:$F,2,0)))</f>
        <v>0</v>
      </c>
      <c r="AL230" s="404"/>
      <c r="AM230" s="398">
        <f>IF(AL230=0,0,IF(LEN(X230)=11,_xlfn.XLOOKUP(X230,'Dispensed Ink Rates'!C:C,'Dispensed Ink Rates'!CS:CS),VLOOKUP(X230,'Jan-2026 rates'!$E:$F,2,0)))</f>
        <v>0</v>
      </c>
      <c r="AN230" s="404"/>
      <c r="AO230" s="398">
        <f>IF(AN230=0,0,IF(LEN(Y230)=11,_xlfn.XLOOKUP(Y230,'Dispensed Ink Rates'!C:C,'Dispensed Ink Rates'!CS:CS),VLOOKUP(Y230,'Jan-2026 rates'!$E:$F,2,0)))</f>
        <v>0</v>
      </c>
      <c r="AP230" s="409" t="s">
        <v>1443</v>
      </c>
      <c r="AQ230" s="409">
        <v>24</v>
      </c>
      <c r="AR230" s="410">
        <f t="shared" si="159"/>
        <v>0</v>
      </c>
      <c r="AS230" s="411">
        <f t="shared" si="160"/>
        <v>26.695652173913047</v>
      </c>
      <c r="AT230" s="410">
        <f t="shared" si="161"/>
        <v>0</v>
      </c>
      <c r="AU230" s="405" t="s">
        <v>547</v>
      </c>
      <c r="AV230" s="409" t="s">
        <v>3934</v>
      </c>
      <c r="AW230" s="420" t="str">
        <f t="shared" si="183"/>
        <v>FLINTSL - GREEN</v>
      </c>
      <c r="AX230" s="409">
        <v>26</v>
      </c>
      <c r="AY230" s="411">
        <f>IF(AX230=0,0,IF($LB230=70%,VLOOKUP($AW230,'Jan-2026 rates'!$L:$R,4,0),IF($LB230=65%,VLOOKUP($AW230,'Jan-2026 rates'!$L:$R,4,0),IF($LB230=40%,VLOOKUP($AW230,'Jan-2026 rates'!$L:$R,5,0),IF($LB230=30%,VLOOKUP($AW230,'Jan-2026 rates'!$L:$R,6,0),IF($LB230=100%,VLOOKUP($AW230,'Jan-2026 rates'!$L:$R,7,0),IF($LB230=60%,VLOOKUP($AW230,'Jan-2026 rates'!$L:$S,8,0),IF($LB230=80%,VLOOKUP($AW230,'Jan-2026 rates'!L:T,9,0),0))))))))</f>
        <v>0</v>
      </c>
      <c r="AZ230" s="412"/>
      <c r="BA230" s="409"/>
      <c r="BB230" s="411">
        <f>IF(BA230=0,0,IF($LB230=70%,VLOOKUP($AW230,'Jan-2026 rates'!$L:$R,4,0),IF($LB230=65%,VLOOKUP($AW230,'Jan-2026 rates'!$L:$R,4,0),IF($LB230=40%,VLOOKUP($AW230,'Jan-2026 rates'!$L:$R,5,0),IF($LB230=30%,VLOOKUP($AW230,'Jan-2026 rates'!$L:$R,6,0),IF($LB230=100%,VLOOKUP($AW230,'Jan-2026 rates'!$L:$R,7,0),IF($LB230=60%,VLOOKUP($AW230,'Jan-2026 rates'!$L:$S,8,0),IF($LB230=80%,VLOOKUP($AW230,'Jan-2026 rates'!L:T,9,0),0))))))))</f>
        <v>0</v>
      </c>
      <c r="BC230" s="413">
        <v>26516000015</v>
      </c>
      <c r="BD230" s="412">
        <v>26515000029</v>
      </c>
      <c r="BE230" s="412">
        <v>26517000021</v>
      </c>
      <c r="BF230" s="413"/>
      <c r="BG230" s="412"/>
      <c r="BH230" s="412"/>
      <c r="BI230" s="412"/>
      <c r="BJ230" s="412"/>
      <c r="BK230" s="409">
        <v>6</v>
      </c>
      <c r="BL230" s="398" t="e">
        <f>IF(BK230=0,0,IF(LEN(BC230)=11,_xlfn.XLOOKUP(BC230,'Dispensed Ink Rates'!C:C,'Dispensed Ink Rates'!CS:CS),VLOOKUP(BC230,'Jan-2026 rates'!$E:$F,2,0)))</f>
        <v>#N/A</v>
      </c>
      <c r="BM230" s="409">
        <v>1</v>
      </c>
      <c r="BN230" s="398" t="e">
        <f>IF(BM230=0,0,IF(LEN(BD230)=11,_xlfn.XLOOKUP(BD230,'Dispensed Ink Rates'!C:C,'Dispensed Ink Rates'!CS:CS),VLOOKUP(BD230,'Jan-2026 rates'!$E:$F,2,0)))</f>
        <v>#N/A</v>
      </c>
      <c r="BO230" s="409">
        <v>40</v>
      </c>
      <c r="BP230" s="398" t="e">
        <f>IF(BO230=0,0,IF(LEN(BE230)=11,_xlfn.XLOOKUP(BE230,'Dispensed Ink Rates'!C:C,'Dispensed Ink Rates'!CS:CS),VLOOKUP(BE230,'Jan-2026 rates'!$E:$F,2,0)))</f>
        <v>#N/A</v>
      </c>
      <c r="BQ230" s="409"/>
      <c r="BR230" s="398">
        <f>IF(BQ230=0,0,IF(LEN(BF230)=11,_xlfn.XLOOKUP(BF230,'Dispensed Ink Rates'!C:C,'Dispensed Ink Rates'!CS:CS),VLOOKUP(BF230,'Jan-2026 rates'!$E:$F,2,0)))</f>
        <v>0</v>
      </c>
      <c r="BS230" s="409"/>
      <c r="BT230" s="398">
        <f>IF(BS230=0,0,IF(LEN(BG230)=11,_xlfn.XLOOKUP(BG230,'Dispensed Ink Rates'!C:C,'Dispensed Ink Rates'!CS:CS),VLOOKUP(BG230,'Jan-2026 rates'!$E:$F,2,0)))</f>
        <v>0</v>
      </c>
      <c r="BU230" s="409"/>
      <c r="BV230" s="398">
        <f>IF(BU230=0,0,IF(LEN(BH230)=11,_xlfn.XLOOKUP(BH230,'Dispensed Ink Rates'!C:C,'Dispensed Ink Rates'!CS:CS),VLOOKUP(BH230,'Jan-2026 rates'!$E:$F,2,0)))</f>
        <v>0</v>
      </c>
      <c r="BW230" s="409"/>
      <c r="BX230" s="398">
        <f>IF(BW230=0,0,IF(LEN(BI230)=11,_xlfn.XLOOKUP(BI230,'Dispensed Ink Rates'!C:C,'Dispensed Ink Rates'!CS:CS),VLOOKUP(BI230,'Jan-2026 rates'!$E:$F,2,0)))</f>
        <v>0</v>
      </c>
      <c r="BY230" s="409"/>
      <c r="BZ230" s="398">
        <f>IF(BY230=0,0,IF(LEN(BJ230)=11,_xlfn.XLOOKUP(BJ230,'Dispensed Ink Rates'!C:C,'Dispensed Ink Rates'!CS:CS),VLOOKUP(BJ230,'Jan-2026 rates'!$E:$F,2,0)))</f>
        <v>0</v>
      </c>
      <c r="CA230" s="409" t="s">
        <v>1443</v>
      </c>
      <c r="CB230" s="409">
        <v>30</v>
      </c>
      <c r="CC230" s="411">
        <f t="shared" si="162"/>
        <v>0</v>
      </c>
      <c r="CD230" s="411">
        <f t="shared" si="163"/>
        <v>57.695652173913047</v>
      </c>
      <c r="CE230" s="410">
        <f t="shared" si="164"/>
        <v>0</v>
      </c>
      <c r="CF230" s="404" t="s">
        <v>547</v>
      </c>
      <c r="CG230" s="409" t="s">
        <v>3935</v>
      </c>
      <c r="CH230" s="420" t="str">
        <f t="shared" si="132"/>
        <v>FLINTSL - GREEN</v>
      </c>
      <c r="CI230" s="409">
        <v>30</v>
      </c>
      <c r="CJ230" s="411">
        <f>IF(CI230=0,0,IF($LB230=70%,VLOOKUP($CH230,'Jan-2026 rates'!$L:$R,4,0),IF($LB230=65%,VLOOKUP($CH230,'Jan-2026 rates'!$L:$R,4,0),IF($LB230=40%,VLOOKUP($CH230,'Jan-2026 rates'!$L:$R,5,0),IF($LB230=30%,VLOOKUP($CH230,'Jan-2026 rates'!$L:$R,6,0),IF($LB230=100%,VLOOKUP($CH230,'Jan-2026 rates'!$L:$R,7,0),IF($LB230=60%,VLOOKUP($CH230,'Jan-2026 rates'!$L:$S,8,0),IF($LB230=80%,VLOOKUP($CH230,'Jan-2026 rates'!L:T,9,0),0))))))))</f>
        <v>0</v>
      </c>
      <c r="CK230" s="412"/>
      <c r="CL230" s="409"/>
      <c r="CM230" s="411">
        <f>IF(CL230=0,0,IF($LB230=70%,VLOOKUP($CH230,'Jan-2026 rates'!$L:$R,4,0),IF($LB230=65%,VLOOKUP($CH230,'Jan-2026 rates'!$L:$R,4,0),IF($LB230=40%,VLOOKUP($CH230,'Jan-2026 rates'!$L:$R,5,0),IF($LB230=30%,VLOOKUP($CH230,'Jan-2026 rates'!$L:$R,6,0),IF($LB230=100%,VLOOKUP($CH230,'Jan-2026 rates'!$L:$R,7,0),IF($LB230=60%,VLOOKUP($CH230,'Jan-2026 rates'!$L:$S,8,0),IF($LB230=80%,VLOOKUP($CH230,'Jan-2026 rates'!L:T,9,0),0))))))))</f>
        <v>0</v>
      </c>
      <c r="CN230" s="426">
        <v>26517000032</v>
      </c>
      <c r="CO230" s="427">
        <v>26515000029</v>
      </c>
      <c r="CP230" s="426">
        <v>26516000006</v>
      </c>
      <c r="CQ230" s="426">
        <v>26516000022</v>
      </c>
      <c r="CR230" s="428"/>
      <c r="CS230" s="428"/>
      <c r="CT230" s="428"/>
      <c r="CU230" s="428"/>
      <c r="CV230" s="409">
        <f>50+25</f>
        <v>75</v>
      </c>
      <c r="CW230" s="398" t="e">
        <f>IF(CV230=0,0,IF(LEN(CN230)=11,_xlfn.XLOOKUP(CN230,'Dispensed Ink Rates'!C:C,'Dispensed Ink Rates'!CS:CS),VLOOKUP(CN230,'Jan-2026 rates'!$E:$F,2,0)))</f>
        <v>#N/A</v>
      </c>
      <c r="CX230" s="409">
        <v>1</v>
      </c>
      <c r="CY230" s="398" t="e">
        <f>IF(CX230=0,0,IF(LEN(CO230)=11,_xlfn.XLOOKUP(CO230,'Dispensed Ink Rates'!C:C,'Dispensed Ink Rates'!CS:CS),VLOOKUP(CO230,'Jan-2026 rates'!$E:$F,2,0)))</f>
        <v>#N/A</v>
      </c>
      <c r="CZ230" s="409">
        <v>0.2</v>
      </c>
      <c r="DA230" s="398" t="e">
        <f>IF(CZ230=0,0,IF(LEN(CP230)=11,_xlfn.XLOOKUP(CP230,'Dispensed Ink Rates'!C:C,'Dispensed Ink Rates'!CS:CS),VLOOKUP(CP230,'Jan-2026 rates'!$E:$F,2,0)))</f>
        <v>#N/A</v>
      </c>
      <c r="DB230" s="409">
        <v>35</v>
      </c>
      <c r="DC230" s="398" t="e">
        <f>IF(DB230=0,0,IF(LEN(CQ230)=11,_xlfn.XLOOKUP(CQ230,'Dispensed Ink Rates'!C:C,'Dispensed Ink Rates'!CS:CS),VLOOKUP(CQ230,'Jan-2026 rates'!$E:$F,2,0)))</f>
        <v>#N/A</v>
      </c>
      <c r="DD230" s="409"/>
      <c r="DE230" s="398">
        <f>IF(DD230=0,0,IF(LEN(CR230)=11,_xlfn.XLOOKUP(CR230,'Dispensed Ink Rates'!C:C,'Dispensed Ink Rates'!CS:CS),VLOOKUP(CR230,'Jan-2026 rates'!$E:$F,2,0)))</f>
        <v>0</v>
      </c>
      <c r="DF230" s="409"/>
      <c r="DG230" s="398">
        <f>IF(DF230=0,0,IF(LEN(CS230)=11,_xlfn.XLOOKUP(CS230,'Dispensed Ink Rates'!C:C,'Dispensed Ink Rates'!CS:CS),VLOOKUP(CS230,'Jan-2026 rates'!$E:$F,2,0)))</f>
        <v>0</v>
      </c>
      <c r="DH230" s="409"/>
      <c r="DI230" s="398">
        <f>IF(DH230=0,0,IF(LEN(CT230)=11,_xlfn.XLOOKUP(CT230,'Dispensed Ink Rates'!C:C,'Dispensed Ink Rates'!CS:CS),VLOOKUP(CT230,'Jan-2026 rates'!$E:$F,2,0)))</f>
        <v>0</v>
      </c>
      <c r="DJ230" s="409"/>
      <c r="DK230" s="398">
        <f>IF(DJ230=0,0,IF(LEN(CU230)=11,_xlfn.XLOOKUP(CU230,'Dispensed Ink Rates'!C:C,'Dispensed Ink Rates'!CS:CS),VLOOKUP(CU230,'Jan-2026 rates'!$E:$F,2,0)))</f>
        <v>0</v>
      </c>
      <c r="DL230" s="409" t="s">
        <v>1443</v>
      </c>
      <c r="DM230" s="409">
        <v>30</v>
      </c>
      <c r="DN230" s="411">
        <f t="shared" si="165"/>
        <v>0</v>
      </c>
      <c r="DO230" s="411">
        <f t="shared" si="166"/>
        <v>184.67826086956521</v>
      </c>
      <c r="DP230" s="410">
        <f t="shared" si="167"/>
        <v>0</v>
      </c>
      <c r="DQ230" s="405" t="s">
        <v>547</v>
      </c>
      <c r="DR230" s="409" t="s">
        <v>3786</v>
      </c>
      <c r="DS230" s="420" t="str">
        <f t="shared" si="133"/>
        <v>FLINTSL - GREEN</v>
      </c>
      <c r="DT230" s="409">
        <v>15</v>
      </c>
      <c r="DU230" s="411">
        <f>IF(DT230=0,0,IF($LB230=70%,VLOOKUP($DS230,'Jan-2026 rates'!$L:$R,4,0),IF($LB230=65%,VLOOKUP($DS230,'Jan-2026 rates'!$L:$R,4,0),IF($LB230=40%,VLOOKUP($DS230,'Jan-2026 rates'!$L:$R,5,0),IF($LB230=30%,VLOOKUP($DS230,'Jan-2026 rates'!$L:$R,6,0),IF($LB230=100%,VLOOKUP($DS230,'Jan-2026 rates'!$L:$R,7,0),IF($LB230=60%,VLOOKUP($DS230,'Jan-2026 rates'!$L:$S,8,0),IF($LB230=80%,VLOOKUP($DS230,'Jan-2026 rates'!L:T,9,0),0))))))))</f>
        <v>0</v>
      </c>
      <c r="DV230" s="412"/>
      <c r="DW230" s="409"/>
      <c r="DX230" s="411">
        <f>IF(DW230=0,0,IF($LB230=70%,VLOOKUP($DS230,'Jan-2026 rates'!$L:$R,4,0),IF($LB230=65%,VLOOKUP($DS230,'Jan-2026 rates'!$L:$R,4,0),IF($LB230=40%,VLOOKUP($DS230,'Jan-2026 rates'!$L:$R,5,0),IF($LB230=30%,VLOOKUP($DS230,'Jan-2026 rates'!$L:$R,6,0),IF($LB230=100%,VLOOKUP($DS230,'Jan-2026 rates'!$L:$R,7,0),IF($LB230=60%,VLOOKUP($DS230,'Jan-2026 rates'!$L:$S,8,0),IF($LB230=80%,VLOOKUP($DS230,'Jan-2026 rates'!L:T,9,0),0))))))))</f>
        <v>0</v>
      </c>
      <c r="DY230" s="413" t="s">
        <v>1266</v>
      </c>
      <c r="DZ230" s="413">
        <v>26516000015</v>
      </c>
      <c r="EA230" s="412">
        <v>26515000029</v>
      </c>
      <c r="EB230" s="412">
        <v>26522000008</v>
      </c>
      <c r="EC230" s="412"/>
      <c r="ED230" s="412"/>
      <c r="EE230" s="412"/>
      <c r="EF230" s="412"/>
      <c r="EG230" s="409">
        <f>7+2</f>
        <v>9</v>
      </c>
      <c r="EH230" s="398">
        <f>IF(EG230=0,0,IF(LEN(DY230)=11,_xlfn.XLOOKUP(DY230,'Dispensed Ink Rates'!C:C,'Dispensed Ink Rates'!CS:CS),VLOOKUP(DY230,'Jan-2026 rates'!$E:$F,2,0)))</f>
        <v>0</v>
      </c>
      <c r="EI230" s="409">
        <f>10+10</f>
        <v>20</v>
      </c>
      <c r="EJ230" s="398" t="e">
        <f>IF(EI230=0,0,IF(LEN(DZ230)=11,_xlfn.XLOOKUP(DZ230,'Dispensed Ink Rates'!C:C,'Dispensed Ink Rates'!CS:CS),VLOOKUP(DZ230,'Jan-2026 rates'!$E:$F,2,0)))</f>
        <v>#N/A</v>
      </c>
      <c r="EK230" s="409">
        <v>4</v>
      </c>
      <c r="EL230" s="398" t="e">
        <f>IF(EK230=0,0,IF(LEN(EA230)=11,_xlfn.XLOOKUP(EA230,'Dispensed Ink Rates'!C:C,'Dispensed Ink Rates'!CS:CS),VLOOKUP(EA230,'Jan-2026 rates'!$E:$F,2,0)))</f>
        <v>#N/A</v>
      </c>
      <c r="EM230" s="409">
        <v>0.2</v>
      </c>
      <c r="EN230" s="398" t="e">
        <f>IF(EM230=0,0,IF(LEN(EB230)=11,_xlfn.XLOOKUP(EB230,'Dispensed Ink Rates'!C:C,'Dispensed Ink Rates'!CS:CS),VLOOKUP(EB230,'Jan-2026 rates'!$E:$F,2,0)))</f>
        <v>#N/A</v>
      </c>
      <c r="EO230" s="409"/>
      <c r="EP230" s="398">
        <f>IF(EO230=0,0,IF(LEN(EC230)=11,_xlfn.XLOOKUP(EC230,'Dispensed Ink Rates'!C:C,'Dispensed Ink Rates'!CS:CS),VLOOKUP(EC230,'Jan-2026 rates'!$E:$F,2,0)))</f>
        <v>0</v>
      </c>
      <c r="EQ230" s="409"/>
      <c r="ER230" s="398">
        <f>IF(EQ230=0,0,IF(LEN(ED230)=11,_xlfn.XLOOKUP(ED230,'Dispensed Ink Rates'!C:C,'Dispensed Ink Rates'!CS:CS),VLOOKUP(ED230,'Jan-2026 rates'!$E:$F,2,0)))</f>
        <v>0</v>
      </c>
      <c r="ES230" s="409"/>
      <c r="ET230" s="398">
        <f>IF(ES230=0,0,IF(LEN(EE230)=11,_xlfn.XLOOKUP(EE230,'Dispensed Ink Rates'!C:C,'Dispensed Ink Rates'!CS:CS),VLOOKUP(EE230,'Jan-2026 rates'!$E:$F,2,0)))</f>
        <v>0</v>
      </c>
      <c r="EU230" s="409"/>
      <c r="EV230" s="398">
        <f>IF(EU230=0,0,IF(LEN(EF230)=11,_xlfn.XLOOKUP(EF230,'Dispensed Ink Rates'!C:C,'Dispensed Ink Rates'!CS:CS),VLOOKUP(EF230,'Jan-2026 rates'!$E:$F,2,0)))</f>
        <v>0</v>
      </c>
      <c r="EW230" s="409" t="s">
        <v>1443</v>
      </c>
      <c r="EX230" s="409">
        <v>25</v>
      </c>
      <c r="EY230" s="411">
        <f t="shared" si="168"/>
        <v>0</v>
      </c>
      <c r="EZ230" s="411">
        <f t="shared" si="169"/>
        <v>37.895652173913049</v>
      </c>
      <c r="FA230" s="410">
        <f t="shared" si="170"/>
        <v>0</v>
      </c>
      <c r="FB230" s="405" t="s">
        <v>547</v>
      </c>
      <c r="FC230" s="409" t="s">
        <v>3855</v>
      </c>
      <c r="FD230" s="420" t="str">
        <f t="shared" si="134"/>
        <v>FLINTSL - GREEN</v>
      </c>
      <c r="FE230" s="409">
        <v>23</v>
      </c>
      <c r="FF230" s="411">
        <f>IF(FE230=0,0,IF($LB230=70%,VLOOKUP($FD230,'Jan-2026 rates'!$L:$R,4,0),IF($LB230=65%,VLOOKUP($FD230,'Jan-2026 rates'!$L:$R,4,0),IF($LB230=40%,VLOOKUP($FD230,'Jan-2026 rates'!$L:$R,5,0),IF($LB230=30%,VLOOKUP($FD230,'Jan-2026 rates'!$L:$R,6,0),IF($LB230=100%,VLOOKUP($FD230,'Jan-2026 rates'!$L:$R,7,0),IF($LB230=60%,VLOOKUP($FD230,'Jan-2026 rates'!$L:$S,8,0),IF($LB230=80%,VLOOKUP($FD230,'Jan-2026 rates'!L:T,9,0),0))))))))</f>
        <v>0</v>
      </c>
      <c r="FG230" s="412"/>
      <c r="FH230" s="409"/>
      <c r="FI230" s="411">
        <f>IF(FH230=0,0,IF($LB230=70%,VLOOKUP($FD230,'Jan-2026 rates'!$L:$R,4,0),IF($LB230=65%,VLOOKUP($FD230,'Jan-2026 rates'!$L:$R,4,0),IF($LB230=40%,VLOOKUP($FD230,'Jan-2026 rates'!$L:$R,5,0),IF($LB230=30%,VLOOKUP($FD230,'Jan-2026 rates'!$L:$R,6,0),IF($LB230=100%,VLOOKUP($FD230,'Jan-2026 rates'!$L:$R,7,0),IF($LB230=60%,VLOOKUP($FD230,'Jan-2026 rates'!$L:$S,8,0),IF($LB230=80%,VLOOKUP($FD230,'Jan-2026 rates'!L:T,9,0),0))))))))</f>
        <v>0</v>
      </c>
      <c r="FJ230" s="413" t="s">
        <v>1266</v>
      </c>
      <c r="FK230" s="413">
        <v>26516000015</v>
      </c>
      <c r="FL230" s="413">
        <v>26515000029</v>
      </c>
      <c r="FM230" s="412">
        <v>26522000008</v>
      </c>
      <c r="FN230" s="412"/>
      <c r="FO230" s="412"/>
      <c r="FP230" s="412"/>
      <c r="FQ230" s="412"/>
      <c r="FR230" s="409">
        <v>10</v>
      </c>
      <c r="FS230" s="398">
        <f>IF(FR230=0,0,IF(LEN(FJ230)=11,_xlfn.XLOOKUP(FJ230,'Dispensed Ink Rates'!C:C,'Dispensed Ink Rates'!CS:CS),VLOOKUP(FJ230,'Jan-2026 rates'!$E:$F,2,0)))</f>
        <v>0</v>
      </c>
      <c r="FT230" s="409">
        <v>7</v>
      </c>
      <c r="FU230" s="398" t="e">
        <f>IF(FT230=0,0,IF(LEN(FK230)=11,_xlfn.XLOOKUP(FK230,'Dispensed Ink Rates'!C:C,'Dispensed Ink Rates'!CS:CS),VLOOKUP(FK230,'Jan-2026 rates'!$E:$F,2,0)))</f>
        <v>#N/A</v>
      </c>
      <c r="FV230" s="409">
        <v>2</v>
      </c>
      <c r="FW230" s="398" t="e">
        <f>IF(FV230=0,0,IF(LEN(FL230)=11,_xlfn.XLOOKUP(FL230,'Dispensed Ink Rates'!C:C,'Dispensed Ink Rates'!CS:CS),VLOOKUP(FL230,'Jan-2026 rates'!$E:$F,2,0)))</f>
        <v>#N/A</v>
      </c>
      <c r="FX230" s="409">
        <v>0.2</v>
      </c>
      <c r="FY230" s="398" t="e">
        <f>IF(FX230=0,0,IF(LEN(FM230)=11,_xlfn.XLOOKUP(FM230,'Dispensed Ink Rates'!C:C,'Dispensed Ink Rates'!CS:CS),VLOOKUP(FM230,'Jan-2026 rates'!$E:$F,2,0)))</f>
        <v>#N/A</v>
      </c>
      <c r="FZ230" s="409"/>
      <c r="GA230" s="398">
        <f>IF(FZ230=0,0,IF(LEN(FN230)=11,_xlfn.XLOOKUP(FN230,'Dispensed Ink Rates'!C:C,'Dispensed Ink Rates'!CS:CS),VLOOKUP(FN230,'Jan-2026 rates'!$E:$F,2,0)))</f>
        <v>0</v>
      </c>
      <c r="GB230" s="409"/>
      <c r="GC230" s="398">
        <f>IF(GB230=0,0,IF(LEN(FO230)=11,_xlfn.XLOOKUP(FO230,'Dispensed Ink Rates'!C:C,'Dispensed Ink Rates'!CS:CS),VLOOKUP(FO230,'Jan-2026 rates'!$E:$F,2,0)))</f>
        <v>0</v>
      </c>
      <c r="GD230" s="409"/>
      <c r="GE230" s="398">
        <f>IF(GD230=0,0,IF(LEN(FP230)=11,_xlfn.XLOOKUP(FP230,'Dispensed Ink Rates'!C:C,'Dispensed Ink Rates'!CS:CS),VLOOKUP(FP230,'Jan-2026 rates'!$E:$F,2,0)))</f>
        <v>0</v>
      </c>
      <c r="GF230" s="409"/>
      <c r="GG230" s="398">
        <f>IF(GF230=0,0,IF(LEN(FQ230)=11,_xlfn.XLOOKUP(FQ230,'Dispensed Ink Rates'!C:C,'Dispensed Ink Rates'!CS:CS),VLOOKUP(FQ230,'Jan-2026 rates'!$E:$F,2,0)))</f>
        <v>0</v>
      </c>
      <c r="GH230" s="409" t="s">
        <v>1443</v>
      </c>
      <c r="GI230" s="409">
        <v>30</v>
      </c>
      <c r="GJ230" s="411">
        <f t="shared" si="171"/>
        <v>0</v>
      </c>
      <c r="GK230" s="411">
        <f t="shared" si="172"/>
        <v>26.895652173913049</v>
      </c>
      <c r="GL230" s="410">
        <f t="shared" si="173"/>
        <v>0</v>
      </c>
      <c r="GM230" s="405" t="s">
        <v>857</v>
      </c>
      <c r="GN230" s="409" t="s">
        <v>3936</v>
      </c>
      <c r="GO230" s="420" t="str">
        <f t="shared" si="135"/>
        <v>FLINTSL - RED</v>
      </c>
      <c r="GP230" s="409">
        <v>15</v>
      </c>
      <c r="GQ230" s="411">
        <f>IF(GP230=0,0,IF($LB230=70%,VLOOKUP($GO230,'Jan-2026 rates'!$L:$R,4,0),IF($LB230=65%,VLOOKUP($GO230,'Jan-2026 rates'!$L:$R,4,0),IF($LB230=40%,VLOOKUP($GO230,'Jan-2026 rates'!$L:$R,5,0),IF($LB230=30%,VLOOKUP($GO230,'Jan-2026 rates'!$L:$R,6,0),IF($LB230=100%,VLOOKUP($GO230,'Jan-2026 rates'!$L:$R,7,0),IF($LB230=60%,VLOOKUP($GO230,'Jan-2026 rates'!$L:$S,8,0),IF($LB230=80%,VLOOKUP($GO230,'Jan-2026 rates'!L:T,9,0),0))))))))</f>
        <v>0</v>
      </c>
      <c r="GR230" s="412"/>
      <c r="GS230" s="409"/>
      <c r="GT230" s="411">
        <f>IF(GS230=0,0,IF($LB230=70%,VLOOKUP($GO230,'Jan-2026 rates'!$L:$R,4,0),IF($LB230=65%,VLOOKUP($GO230,'Jan-2026 rates'!$L:$R,4,0),IF($LB230=40%,VLOOKUP($GO230,'Jan-2026 rates'!$L:$R,5,0),IF($LB230=30%,VLOOKUP($GO230,'Jan-2026 rates'!$L:$R,6,0),IF($LB230=100%,VLOOKUP($GO230,'Jan-2026 rates'!$L:$R,7,0),IF($LB230=60%,VLOOKUP($GO230,'Jan-2026 rates'!$L:$S,8,0),IF($LB230=80%,VLOOKUP($GO230,'Jan-2026 rates'!L:T,9,0),0))))))))</f>
        <v>0</v>
      </c>
      <c r="GU230" s="413" t="s">
        <v>1266</v>
      </c>
      <c r="GV230" s="413">
        <v>26517000020</v>
      </c>
      <c r="GW230" s="412"/>
      <c r="GX230" s="412"/>
      <c r="GY230" s="412"/>
      <c r="GZ230" s="412"/>
      <c r="HA230" s="412"/>
      <c r="HB230" s="412"/>
      <c r="HC230" s="409">
        <f>6+2</f>
        <v>8</v>
      </c>
      <c r="HD230" s="398">
        <f>IF(HC230=0,0,IF(LEN(GU230)=11,_xlfn.XLOOKUP(GU230,'Dispensed Ink Rates'!C:C,'Dispensed Ink Rates'!CS:CS),VLOOKUP(GU230,'Jan-2026 rates'!$E:$F,2,0)))</f>
        <v>0</v>
      </c>
      <c r="HE230" s="409">
        <v>2</v>
      </c>
      <c r="HF230" s="398" t="e">
        <f>IF(HE230=0,0,IF(LEN(GV230)=11,_xlfn.XLOOKUP(GV230,'Dispensed Ink Rates'!C:C,'Dispensed Ink Rates'!CS:CS),VLOOKUP(GV230,'Jan-2026 rates'!$E:$F,2,0)))</f>
        <v>#N/A</v>
      </c>
      <c r="HG230" s="409"/>
      <c r="HH230" s="398">
        <f>IF(HG230=0,0,IF(LEN(GW230)=11,_xlfn.XLOOKUP(GW230,'Dispensed Ink Rates'!C:C,'Dispensed Ink Rates'!CS:CS),VLOOKUP(GW230,'Jan-2026 rates'!$E:$F,2,0)))</f>
        <v>0</v>
      </c>
      <c r="HI230" s="409"/>
      <c r="HJ230" s="398">
        <f>IF(HI230=0,0,IF(LEN(GX230)=11,_xlfn.XLOOKUP(GX230,'Dispensed Ink Rates'!C:C,'Dispensed Ink Rates'!CS:CS),VLOOKUP(GX230,'Jan-2026 rates'!$E:$F,2,0)))</f>
        <v>0</v>
      </c>
      <c r="HK230" s="409"/>
      <c r="HL230" s="398">
        <f>IF(HK230=0,0,IF(LEN(GY230)=11,_xlfn.XLOOKUP(GY230,'Dispensed Ink Rates'!C:C,'Dispensed Ink Rates'!CS:CS),VLOOKUP(GY230,'Jan-2026 rates'!$E:$F,2,0)))</f>
        <v>0</v>
      </c>
      <c r="HM230" s="409"/>
      <c r="HN230" s="398">
        <f>IF(HM230=0,0,IF(LEN(GZ230)=11,_xlfn.XLOOKUP(GZ230,'Dispensed Ink Rates'!C:C,'Dispensed Ink Rates'!CS:CS),VLOOKUP(GZ230,'Jan-2026 rates'!$E:$F,2,0)))</f>
        <v>0</v>
      </c>
      <c r="HO230" s="409"/>
      <c r="HP230" s="398">
        <f>IF(HO230=0,0,IF(LEN(HA230)=11,_xlfn.XLOOKUP(HA230,'Dispensed Ink Rates'!C:C,'Dispensed Ink Rates'!CS:CS),VLOOKUP(HA230,'Jan-2026 rates'!$E:$F,2,0)))</f>
        <v>0</v>
      </c>
      <c r="HQ230" s="409"/>
      <c r="HR230" s="398">
        <f>IF(HQ230=0,0,IF(LEN(HB230)=11,_xlfn.XLOOKUP(HB230,'Dispensed Ink Rates'!C:C,'Dispensed Ink Rates'!CS:CS),VLOOKUP(HB230,'Jan-2026 rates'!$E:$F,2,0)))</f>
        <v>0</v>
      </c>
      <c r="HS230" s="409" t="s">
        <v>1443</v>
      </c>
      <c r="HT230" s="409">
        <v>33</v>
      </c>
      <c r="HU230" s="411">
        <f t="shared" si="174"/>
        <v>0</v>
      </c>
      <c r="HV230" s="411">
        <f t="shared" si="175"/>
        <v>6.6956521739130466</v>
      </c>
      <c r="HW230" s="414">
        <f t="shared" si="176"/>
        <v>0</v>
      </c>
      <c r="HX230" s="405" t="s">
        <v>545</v>
      </c>
      <c r="HY230" s="409" t="s">
        <v>3937</v>
      </c>
      <c r="HZ230" s="420" t="str">
        <f t="shared" si="136"/>
        <v>FLINTSL - YELLOW</v>
      </c>
      <c r="IA230" s="409">
        <v>30</v>
      </c>
      <c r="IB230" s="411">
        <f>IF(IA230=0,0,IF($LB230=70%,VLOOKUP($HZ230,'Jan-2026 rates'!$L:$R,4,0),IF($LB230=65%,VLOOKUP($HZ230,'Jan-2026 rates'!$L:$R,4,0),IF($LB230=40%,VLOOKUP($HZ230,'Jan-2026 rates'!$L:$R,5,0),IF($LB230=30%,VLOOKUP($HZ230,'Jan-2026 rates'!$L:$R,6,0),IF($LB230=100%,VLOOKUP($HZ230,'Jan-2026 rates'!$L:$R,7,0),IF($LB230=60%,VLOOKUP($HZ230,'Jan-2026 rates'!$L:$S,8,0),IF($LB230=80%,VLOOKUP($HZ230,'Jan-2026 rates'!L:T,9,0),0))))))))</f>
        <v>0</v>
      </c>
      <c r="IC230" s="412"/>
      <c r="ID230" s="409"/>
      <c r="IE230" s="411">
        <f>IF(ID230=0,0,IF($LB230=70%,VLOOKUP($HZ230,'Jan-2026 rates'!$L:$R,4,0),IF($LB230=65%,VLOOKUP($HZ230,'Jan-2026 rates'!$L:$R,4,0),IF($LB230=40%,VLOOKUP($HZ230,'Jan-2026 rates'!$L:$R,5,0),IF($LB230=30%,VLOOKUP($HZ230,'Jan-2026 rates'!$L:$R,6,0),IF($LB230=100%,VLOOKUP($HZ230,'Jan-2026 rates'!$L:$R,7,0),IF($LB230=60%,VLOOKUP($HZ230,'Jan-2026 rates'!$L:$S,8,0),IF($LB230=80%,VLOOKUP($HZ230,'Jan-2026 rates'!L:T,9,0),0))))))))</f>
        <v>0</v>
      </c>
      <c r="IF230" s="412" t="s">
        <v>1266</v>
      </c>
      <c r="IG230" s="413"/>
      <c r="IH230" s="412"/>
      <c r="II230" s="412"/>
      <c r="IJ230" s="412"/>
      <c r="IK230" s="412"/>
      <c r="IL230" s="412"/>
      <c r="IM230" s="412"/>
      <c r="IN230" s="409">
        <v>4</v>
      </c>
      <c r="IO230" s="398">
        <f>IF(IN230=0,0,IF(LEN(IF230)=11,_xlfn.XLOOKUP(IF230,'Dispensed Ink Rates'!C:C,'Dispensed Ink Rates'!CS:CS),VLOOKUP(IF230,'Jan-2026 rates'!$E:$F,2,0)))</f>
        <v>0</v>
      </c>
      <c r="IP230" s="409"/>
      <c r="IQ230" s="398">
        <f>IF(IP230=0,0,IF(LEN(IG230)=11,_xlfn.XLOOKUP(IG230,'Dispensed Ink Rates'!C:C,'Dispensed Ink Rates'!CS:CS),VLOOKUP(IG230,'Jan-2026 rates'!$E:$F,2,0)))</f>
        <v>0</v>
      </c>
      <c r="IR230" s="409"/>
      <c r="IS230" s="398">
        <f>IF(IR230=0,0,IF(LEN(IH230)=11,_xlfn.XLOOKUP(IH230,'Dispensed Ink Rates'!C:C,'Dispensed Ink Rates'!CS:CS),VLOOKUP(IH230,'Jan-2026 rates'!$E:$F,2,0)))</f>
        <v>0</v>
      </c>
      <c r="IT230" s="409"/>
      <c r="IU230" s="398">
        <f>IF(IT230=0,0,IF(LEN(II230)=11,_xlfn.XLOOKUP(II230,'Dispensed Ink Rates'!C:C,'Dispensed Ink Rates'!CS:CS),VLOOKUP(II230,'Jan-2026 rates'!$E:$F,2,0)))</f>
        <v>0</v>
      </c>
      <c r="IV230" s="409"/>
      <c r="IW230" s="398">
        <f>IF(IV230=0,0,IF(LEN(IJ230)=11,_xlfn.XLOOKUP(IJ230,'Dispensed Ink Rates'!C:C,'Dispensed Ink Rates'!CS:CS),VLOOKUP(IJ230,'Jan-2026 rates'!$E:$F,2,0)))</f>
        <v>0</v>
      </c>
      <c r="IX230" s="409"/>
      <c r="IY230" s="398">
        <f>IF(IX230=0,0,IF(LEN(IK230)=11,_xlfn.XLOOKUP(IK230,'Dispensed Ink Rates'!C:C,'Dispensed Ink Rates'!CS:CS),VLOOKUP(IK230,'Jan-2026 rates'!$E:$F,2,0)))</f>
        <v>0</v>
      </c>
      <c r="IZ230" s="409"/>
      <c r="JA230" s="398">
        <f>IF(IZ230=0,0,IF(LEN(IL230)=11,_xlfn.XLOOKUP(IL230,'Dispensed Ink Rates'!C:C,'Dispensed Ink Rates'!CS:CS),VLOOKUP(IL230,'Jan-2026 rates'!$E:$F,2,0)))</f>
        <v>0</v>
      </c>
      <c r="JB230" s="409"/>
      <c r="JC230" s="398">
        <f>IF(JB230=0,0,IF(LEN(IM230)=11,_xlfn.XLOOKUP(IM230,'Dispensed Ink Rates'!C:C,'Dispensed Ink Rates'!CS:CS),VLOOKUP(IM230,'Jan-2026 rates'!$E:$F,2,0)))</f>
        <v>0</v>
      </c>
      <c r="JD230" s="409" t="s">
        <v>1443</v>
      </c>
      <c r="JE230" s="409">
        <v>24</v>
      </c>
      <c r="JF230" s="411">
        <f t="shared" si="177"/>
        <v>0</v>
      </c>
      <c r="JG230" s="411">
        <f t="shared" si="178"/>
        <v>24.695652173913047</v>
      </c>
      <c r="JH230" s="410">
        <f t="shared" si="179"/>
        <v>0</v>
      </c>
      <c r="JI230" s="405" t="s">
        <v>856</v>
      </c>
      <c r="JJ230" s="409" t="s">
        <v>3938</v>
      </c>
      <c r="JK230" s="420" t="str">
        <f t="shared" si="137"/>
        <v>FLINTSL - WHITE</v>
      </c>
      <c r="JL230" s="409">
        <v>30</v>
      </c>
      <c r="JM230" s="411">
        <f>IF(JL230=0,0,IF($LB230=70%,VLOOKUP($JK230,'Jan-2026 rates'!$L:$R,4,0),IF($LB230=65%,VLOOKUP($JK230,'Jan-2026 rates'!$L:$R,4,0),IF($LB230=40%,VLOOKUP($JK230,'Jan-2026 rates'!$L:$R,5,0),IF($LB230=30%,VLOOKUP($JK230,'Jan-2026 rates'!$L:$R,6,0),IF($LB230=100%,VLOOKUP($JK230,'Jan-2026 rates'!$L:$R,7,0),IF($LB230=60%,VLOOKUP($JK230,'Jan-2026 rates'!$L:$S,8,0),IF($LB230=80%,VLOOKUP($JK230,'Jan-2026 rates'!L:T,9,0),0))))))))</f>
        <v>0</v>
      </c>
      <c r="JN230" s="412"/>
      <c r="JO230" s="409"/>
      <c r="JP230" s="411">
        <f>IF(JO230=0,0,IF($LB230=70%,VLOOKUP($JK230,'Jan-2026 rates'!$L:$R,4,0),IF($LB230=65%,VLOOKUP($JK230,'Jan-2026 rates'!$L:$R,4,0),IF($LB230=40%,VLOOKUP($JK230,'Jan-2026 rates'!$L:$R,5,0),IF($LB230=30%,VLOOKUP($JK230,'Jan-2026 rates'!$L:$R,6,0),IF($LB230=100%,VLOOKUP($JK230,'Jan-2026 rates'!$L:$R,7,0),IF($LB230=60%,VLOOKUP($JK230,'Jan-2026 rates'!$L:$S,8,0),IF($LB230=80%,VLOOKUP($JK230,'Jan-2026 rates'!L:T,9,0),0))))))))</f>
        <v>0</v>
      </c>
      <c r="JQ230" s="413" t="s">
        <v>484</v>
      </c>
      <c r="JR230" s="412"/>
      <c r="JS230" s="413"/>
      <c r="JT230" s="413"/>
      <c r="JU230" s="412"/>
      <c r="JV230" s="412"/>
      <c r="JW230" s="412"/>
      <c r="JX230" s="412"/>
      <c r="JY230" s="409">
        <v>100</v>
      </c>
      <c r="JZ230" s="398">
        <f>IF(JY230=0,0,IF(LEN(JQ230)=11,_xlfn.XLOOKUP(JQ230,'Dispensed Ink Rates'!C:C,'Dispensed Ink Rates'!CS:CS),VLOOKUP(JQ230,'Jan-2026 rates'!$E:$F,2,0)))</f>
        <v>0</v>
      </c>
      <c r="KA230" s="409"/>
      <c r="KB230" s="398">
        <f>IF(KA230=0,0,IF(LEN(JR230)=11,_xlfn.XLOOKUP(JR230,'Dispensed Ink Rates'!C:C,'Dispensed Ink Rates'!CS:CS),VLOOKUP(JR230,'Jan-2026 rates'!$E:$F,2,0)))</f>
        <v>0</v>
      </c>
      <c r="KC230" s="409"/>
      <c r="KD230" s="398">
        <f>IF(KC230=0,0,IF(LEN(JS230)=11,_xlfn.XLOOKUP(JS230,'Dispensed Ink Rates'!C:C,'Dispensed Ink Rates'!CS:CS),VLOOKUP(JS230,'Jan-2026 rates'!$E:$F,2,0)))</f>
        <v>0</v>
      </c>
      <c r="KE230" s="409"/>
      <c r="KF230" s="398">
        <f>IF(KE230=0,0,IF(LEN(JT230)=11,_xlfn.XLOOKUP(JT230,'Dispensed Ink Rates'!C:C,'Dispensed Ink Rates'!CS:CS),VLOOKUP(JT230,'Jan-2026 rates'!$E:$F,2,0)))</f>
        <v>0</v>
      </c>
      <c r="KG230" s="409"/>
      <c r="KH230" s="398">
        <f>IF(KG230=0,0,IF(LEN(JU230)=11,_xlfn.XLOOKUP(JU230,'Dispensed Ink Rates'!C:C,'Dispensed Ink Rates'!CS:CS),VLOOKUP(JU230,'Jan-2026 rates'!$E:$F,2,0)))</f>
        <v>0</v>
      </c>
      <c r="KI230" s="409"/>
      <c r="KJ230" s="398">
        <f>IF(KI230=0,0,IF(LEN(JV230)=11,_xlfn.XLOOKUP(JV230,'Dispensed Ink Rates'!C:C,'Dispensed Ink Rates'!CS:CS),VLOOKUP(JV230,'Jan-2026 rates'!$E:$F,2,0)))</f>
        <v>0</v>
      </c>
      <c r="KK230" s="409"/>
      <c r="KL230" s="398">
        <f>IF(KK230=0,0,IF(LEN(JW230)=11,_xlfn.XLOOKUP(JW230,'Dispensed Ink Rates'!C:C,'Dispensed Ink Rates'!CS:CS),VLOOKUP(JW230,'Jan-2026 rates'!$E:$F,2,0)))</f>
        <v>0</v>
      </c>
      <c r="KM230" s="428"/>
      <c r="KN230" s="398">
        <f>IF(KM230=0,0,IF(LEN(JX230)=11,_xlfn.XLOOKUP(JX230,'Dispensed Ink Rates'!C:C,'Dispensed Ink Rates'!CS:CS),VLOOKUP(JX230,'Jan-2026 rates'!$E:$F,2,0)))</f>
        <v>0</v>
      </c>
      <c r="KO230" s="409" t="s">
        <v>1443</v>
      </c>
      <c r="KP230" s="409">
        <v>30</v>
      </c>
      <c r="KQ230" s="411">
        <f t="shared" si="180"/>
        <v>0</v>
      </c>
      <c r="KR230" s="411">
        <f t="shared" si="181"/>
        <v>276.3478260869565</v>
      </c>
      <c r="KS230" s="410">
        <f t="shared" si="182"/>
        <v>0</v>
      </c>
      <c r="KT230" s="409">
        <v>5</v>
      </c>
      <c r="KU230" s="409">
        <v>5</v>
      </c>
      <c r="KV230" s="409">
        <v>25</v>
      </c>
      <c r="KW230" s="409">
        <v>5</v>
      </c>
      <c r="KX230" s="409">
        <v>5</v>
      </c>
      <c r="KY230" s="409">
        <v>5</v>
      </c>
      <c r="KZ230" s="409">
        <v>5</v>
      </c>
      <c r="LA230" s="409">
        <v>60</v>
      </c>
      <c r="LB230" s="415">
        <v>0.8</v>
      </c>
      <c r="LC230" s="415">
        <v>0.2</v>
      </c>
      <c r="LD230" s="415"/>
      <c r="LE230" s="415"/>
      <c r="LF230" s="415"/>
      <c r="LG230" s="409">
        <v>0</v>
      </c>
      <c r="LH230" s="409">
        <f>60+78+160+40</f>
        <v>338</v>
      </c>
      <c r="LI230" s="409">
        <v>0</v>
      </c>
      <c r="LJ230" s="409">
        <v>0</v>
      </c>
      <c r="LK230" s="416">
        <f t="shared" si="138"/>
        <v>338</v>
      </c>
      <c r="LL230" s="416">
        <f t="shared" si="139"/>
        <v>338</v>
      </c>
      <c r="LM230" s="417">
        <f t="shared" si="140"/>
        <v>270.40000000000003</v>
      </c>
      <c r="LN230" s="417">
        <f>VLOOKUP($LM$8,'Jan-2026 rates'!$H:$I,2,0)</f>
        <v>0</v>
      </c>
      <c r="LO230" s="417">
        <f t="shared" si="141"/>
        <v>67.600000000000009</v>
      </c>
      <c r="LP230" s="417">
        <f>VLOOKUP($LO$8,'Jan-2026 rates'!$H:$I,2,0)</f>
        <v>0</v>
      </c>
      <c r="LQ230" s="417">
        <f t="shared" si="142"/>
        <v>0</v>
      </c>
      <c r="LR230" s="417">
        <f>VLOOKUP($LQ$8,'Jan-2026 rates'!$H:$I,2,0)</f>
        <v>0</v>
      </c>
      <c r="LS230" s="417">
        <f t="shared" si="143"/>
        <v>0</v>
      </c>
      <c r="LT230" s="417">
        <f>VLOOKUP($LS$8,'Jan-2026 rates'!$H:$I,2,0)</f>
        <v>0</v>
      </c>
      <c r="LU230" s="417">
        <f t="shared" si="144"/>
        <v>0</v>
      </c>
      <c r="LV230" s="417">
        <f>VLOOKUP($LU$8,'Jan-2026 rates'!$H:$I,2,0)</f>
        <v>0</v>
      </c>
      <c r="LW230" s="417">
        <f t="shared" si="145"/>
        <v>0</v>
      </c>
      <c r="LX230" s="417">
        <f t="shared" si="146"/>
        <v>0</v>
      </c>
      <c r="LY230" s="418">
        <f t="shared" si="147"/>
        <v>0</v>
      </c>
      <c r="LZ230" s="417"/>
      <c r="MA230" s="435">
        <f t="shared" si="148"/>
        <v>330.59999999999997</v>
      </c>
      <c r="MB230" s="282">
        <f t="shared" si="149"/>
        <v>641.6</v>
      </c>
      <c r="MC230" s="283">
        <v>123</v>
      </c>
      <c r="MD230" s="284" t="str">
        <f t="shared" si="150"/>
        <v>FLINTSLFLINTSLFLINTSLFLINTSLFLINTSLFLINTSLFLINTSLFLINTSL</v>
      </c>
      <c r="ME230" s="293" t="str">
        <f t="shared" si="151"/>
        <v>+</v>
      </c>
      <c r="MF230" s="293" t="str">
        <f t="shared" si="152"/>
        <v>+</v>
      </c>
      <c r="MG230" s="293" t="str">
        <f t="shared" si="153"/>
        <v>+</v>
      </c>
      <c r="MH230" s="293" t="str">
        <f t="shared" si="154"/>
        <v>+</v>
      </c>
      <c r="MI230" s="293" t="str">
        <f t="shared" si="155"/>
        <v>+</v>
      </c>
      <c r="MJ230" s="293" t="str">
        <f t="shared" si="156"/>
        <v>+</v>
      </c>
      <c r="MK230" s="293" t="str">
        <f t="shared" si="157"/>
        <v>+</v>
      </c>
      <c r="ML230" s="293" t="str">
        <f t="shared" si="158"/>
        <v>+</v>
      </c>
      <c r="MM230" s="3" t="b">
        <f t="array" ref="MM230">OR(ME230:ML230="-")</f>
        <v>0</v>
      </c>
      <c r="MN230" s="285"/>
      <c r="MO230" s="401"/>
      <c r="MP230" s="286"/>
      <c r="MQ230" s="286"/>
      <c r="MR230" s="402"/>
      <c r="MS230" s="400"/>
      <c r="NH230" s="422"/>
      <c r="NJ230" s="421"/>
    </row>
    <row r="231" spans="1:374" s="1" customFormat="1" ht="16.5">
      <c r="A231" s="403">
        <v>46039</v>
      </c>
      <c r="B231" s="404" t="s">
        <v>1015</v>
      </c>
      <c r="C231" s="405" t="s">
        <v>3939</v>
      </c>
      <c r="D231" s="406">
        <v>124</v>
      </c>
      <c r="E231" s="404">
        <v>1896</v>
      </c>
      <c r="F231" s="407">
        <v>111400</v>
      </c>
      <c r="G231" s="407" t="s">
        <v>1016</v>
      </c>
      <c r="H231" s="408" t="s">
        <v>1017</v>
      </c>
      <c r="I231" s="409">
        <v>2</v>
      </c>
      <c r="J231" s="405" t="s">
        <v>543</v>
      </c>
      <c r="K231" s="404" t="s">
        <v>3940</v>
      </c>
      <c r="L231" s="419" t="str">
        <f t="shared" si="131"/>
        <v>FLINTSL - BLACK</v>
      </c>
      <c r="M231" s="404">
        <v>28</v>
      </c>
      <c r="N231" s="410">
        <f>IF(M231=0,0,IF($LB231=70%,VLOOKUP($L231,'Jan-2026 rates'!$L:$R,4,0),IF($LB231=65%,VLOOKUP($L231,'Jan-2026 rates'!$L:$R,4,0),IF($LB231=40%,VLOOKUP($L231,'Jan-2026 rates'!$L:$R,5,0),IF($LB231=30%,VLOOKUP($L231,'Jan-2026 rates'!$L:$R,6,0),IF($LB231=100%,VLOOKUP($L231,'Jan-2026 rates'!$L:$R,7,0),IF($LB231=60%,VLOOKUP($L231,'Jan-2026 rates'!$L:$S,8,0),IF($LB231=80%,VLOOKUP($L231,'Jan-2026 rates'!L:T,9,0),0))))))))</f>
        <v>0</v>
      </c>
      <c r="O231" s="406"/>
      <c r="P231" s="404"/>
      <c r="Q231" s="410">
        <f>IF(P231=0,0,IF($LB231=70%,VLOOKUP($L231,'Jan-2026 rates'!$L:$R,4,0),IF($LB231=65%,VLOOKUP($L231,'Jan-2026 rates'!$L:$R,4,0),IF($LB231=40%,VLOOKUP($L231,'Jan-2026 rates'!$L:$R,5,0),IF($LB231=30%,VLOOKUP($L231,'Jan-2026 rates'!$L:$R,6,0),IF($LB231=100%,VLOOKUP($L231,'Jan-2026 rates'!$L:$R,7,0),IF($LB231=60%,VLOOKUP($L231,'Jan-2026 rates'!$L:$S,8,0),IF($LB231=80%,VLOOKUP($L231,'Jan-2026 rates'!L:T,9,0),0))))))))</f>
        <v>0</v>
      </c>
      <c r="R231" s="406">
        <v>26522000008</v>
      </c>
      <c r="S231" s="406"/>
      <c r="T231" s="406"/>
      <c r="U231" s="406"/>
      <c r="V231" s="406"/>
      <c r="W231" s="406"/>
      <c r="X231" s="406"/>
      <c r="Y231" s="406"/>
      <c r="Z231" s="404">
        <v>2</v>
      </c>
      <c r="AA231" s="398" t="e">
        <f>IF(Z231=0,0,IF(LEN(R231)=11,_xlfn.XLOOKUP(R231,'Dispensed Ink Rates'!C:C,'Dispensed Ink Rates'!CS:CS),VLOOKUP(R231,'Jan-2026 rates'!$E:$F,2,0)))</f>
        <v>#N/A</v>
      </c>
      <c r="AB231" s="404"/>
      <c r="AC231" s="398">
        <f>IF(AB231=0,0,IF(LEN(S231)=11,_xlfn.XLOOKUP(S231,'Dispensed Ink Rates'!C:C,'Dispensed Ink Rates'!CS:CS),VLOOKUP(S231,'Jan-2026 rates'!$E:$F,2,0)))</f>
        <v>0</v>
      </c>
      <c r="AD231" s="404"/>
      <c r="AE231" s="398">
        <f>IF(AD231=0,0,IF(LEN(T231)=11,_xlfn.XLOOKUP(T231,'Dispensed Ink Rates'!C:C,'Dispensed Ink Rates'!CS:CS),VLOOKUP(T231,'Jan-2026 rates'!$E:$F,2,0)))</f>
        <v>0</v>
      </c>
      <c r="AF231" s="404"/>
      <c r="AG231" s="398">
        <f>IF(AF231=0,0,IF(LEN(U231)=11,_xlfn.XLOOKUP(U231,'Dispensed Ink Rates'!C:C,'Dispensed Ink Rates'!CS:CS),VLOOKUP(U231,'Jan-2026 rates'!$E:$F,2,0)))</f>
        <v>0</v>
      </c>
      <c r="AH231" s="404"/>
      <c r="AI231" s="398">
        <f>IF(AH231=0,0,IF(LEN(V231)=11,_xlfn.XLOOKUP(V231,'Dispensed Ink Rates'!C:C,'Dispensed Ink Rates'!CS:CS),VLOOKUP(V231,'Jan-2026 rates'!$E:$F,2,0)))</f>
        <v>0</v>
      </c>
      <c r="AJ231" s="404"/>
      <c r="AK231" s="398">
        <f>IF(AJ231=0,0,IF(LEN(W231)=11,_xlfn.XLOOKUP(W231,'Dispensed Ink Rates'!C:C,'Dispensed Ink Rates'!CS:CS),VLOOKUP(W231,'Jan-2026 rates'!$E:$F,2,0)))</f>
        <v>0</v>
      </c>
      <c r="AL231" s="404"/>
      <c r="AM231" s="398">
        <f>IF(AL231=0,0,IF(LEN(X231)=11,_xlfn.XLOOKUP(X231,'Dispensed Ink Rates'!C:C,'Dispensed Ink Rates'!CS:CS),VLOOKUP(X231,'Jan-2026 rates'!$E:$F,2,0)))</f>
        <v>0</v>
      </c>
      <c r="AN231" s="404"/>
      <c r="AO231" s="398">
        <f>IF(AN231=0,0,IF(LEN(Y231)=11,_xlfn.XLOOKUP(Y231,'Dispensed Ink Rates'!C:C,'Dispensed Ink Rates'!CS:CS),VLOOKUP(Y231,'Jan-2026 rates'!$E:$F,2,0)))</f>
        <v>0</v>
      </c>
      <c r="AP231" s="409" t="s">
        <v>1443</v>
      </c>
      <c r="AQ231" s="409">
        <v>24</v>
      </c>
      <c r="AR231" s="410">
        <f t="shared" si="159"/>
        <v>0</v>
      </c>
      <c r="AS231" s="411">
        <f t="shared" si="160"/>
        <v>11.011320754716984</v>
      </c>
      <c r="AT231" s="410">
        <f t="shared" si="161"/>
        <v>0</v>
      </c>
      <c r="AU231" s="405" t="s">
        <v>857</v>
      </c>
      <c r="AV231" s="409"/>
      <c r="AW231" s="420" t="str">
        <f t="shared" si="183"/>
        <v>FLINTSL - RED</v>
      </c>
      <c r="AX231" s="409"/>
      <c r="AY231" s="411">
        <f>IF(AX231=0,0,IF($LB231=70%,VLOOKUP($AW231,'Jan-2026 rates'!$L:$R,4,0),IF($LB231=65%,VLOOKUP($AW231,'Jan-2026 rates'!$L:$R,4,0),IF($LB231=40%,VLOOKUP($AW231,'Jan-2026 rates'!$L:$R,5,0),IF($LB231=30%,VLOOKUP($AW231,'Jan-2026 rates'!$L:$R,6,0),IF($LB231=100%,VLOOKUP($AW231,'Jan-2026 rates'!$L:$R,7,0),IF($LB231=60%,VLOOKUP($AW231,'Jan-2026 rates'!$L:$S,8,0),IF($LB231=80%,VLOOKUP($AW231,'Jan-2026 rates'!L:T,9,0),0))))))))</f>
        <v>0</v>
      </c>
      <c r="AZ231" s="412"/>
      <c r="BA231" s="409"/>
      <c r="BB231" s="411">
        <f>IF(BA231=0,0,IF($LB231=70%,VLOOKUP($AW231,'Jan-2026 rates'!$L:$R,4,0),IF($LB231=65%,VLOOKUP($AW231,'Jan-2026 rates'!$L:$R,4,0),IF($LB231=40%,VLOOKUP($AW231,'Jan-2026 rates'!$L:$R,5,0),IF($LB231=30%,VLOOKUP($AW231,'Jan-2026 rates'!$L:$R,6,0),IF($LB231=100%,VLOOKUP($AW231,'Jan-2026 rates'!$L:$R,7,0),IF($LB231=60%,VLOOKUP($AW231,'Jan-2026 rates'!$L:$S,8,0),IF($LB231=80%,VLOOKUP($AW231,'Jan-2026 rates'!L:T,9,0),0))))))))</f>
        <v>0</v>
      </c>
      <c r="BC231" s="413">
        <v>26517000020</v>
      </c>
      <c r="BD231" s="412">
        <v>26516000011</v>
      </c>
      <c r="BE231" s="412">
        <v>26522000008</v>
      </c>
      <c r="BF231" s="413"/>
      <c r="BG231" s="412"/>
      <c r="BH231" s="412"/>
      <c r="BI231" s="412"/>
      <c r="BJ231" s="412"/>
      <c r="BK231" s="409">
        <v>15</v>
      </c>
      <c r="BL231" s="398" t="e">
        <f>IF(BK231=0,0,IF(LEN(BC231)=11,_xlfn.XLOOKUP(BC231,'Dispensed Ink Rates'!C:C,'Dispensed Ink Rates'!CS:CS),VLOOKUP(BC231,'Jan-2026 rates'!$E:$F,2,0)))</f>
        <v>#N/A</v>
      </c>
      <c r="BM231" s="409">
        <v>8</v>
      </c>
      <c r="BN231" s="398" t="e">
        <f>IF(BM231=0,0,IF(LEN(BD231)=11,_xlfn.XLOOKUP(BD231,'Dispensed Ink Rates'!C:C,'Dispensed Ink Rates'!CS:CS),VLOOKUP(BD231,'Jan-2026 rates'!$E:$F,2,0)))</f>
        <v>#N/A</v>
      </c>
      <c r="BO231" s="409">
        <v>2</v>
      </c>
      <c r="BP231" s="398" t="e">
        <f>IF(BO231=0,0,IF(LEN(BE231)=11,_xlfn.XLOOKUP(BE231,'Dispensed Ink Rates'!C:C,'Dispensed Ink Rates'!CS:CS),VLOOKUP(BE231,'Jan-2026 rates'!$E:$F,2,0)))</f>
        <v>#N/A</v>
      </c>
      <c r="BQ231" s="409"/>
      <c r="BR231" s="398">
        <f>IF(BQ231=0,0,IF(LEN(BF231)=11,_xlfn.XLOOKUP(BF231,'Dispensed Ink Rates'!C:C,'Dispensed Ink Rates'!CS:CS),VLOOKUP(BF231,'Jan-2026 rates'!$E:$F,2,0)))</f>
        <v>0</v>
      </c>
      <c r="BS231" s="409"/>
      <c r="BT231" s="398">
        <f>IF(BS231=0,0,IF(LEN(BG231)=11,_xlfn.XLOOKUP(BG231,'Dispensed Ink Rates'!C:C,'Dispensed Ink Rates'!CS:CS),VLOOKUP(BG231,'Jan-2026 rates'!$E:$F,2,0)))</f>
        <v>0</v>
      </c>
      <c r="BU231" s="409"/>
      <c r="BV231" s="398">
        <f>IF(BU231=0,0,IF(LEN(BH231)=11,_xlfn.XLOOKUP(BH231,'Dispensed Ink Rates'!C:C,'Dispensed Ink Rates'!CS:CS),VLOOKUP(BH231,'Jan-2026 rates'!$E:$F,2,0)))</f>
        <v>0</v>
      </c>
      <c r="BW231" s="409"/>
      <c r="BX231" s="398">
        <f>IF(BW231=0,0,IF(LEN(BI231)=11,_xlfn.XLOOKUP(BI231,'Dispensed Ink Rates'!C:C,'Dispensed Ink Rates'!CS:CS),VLOOKUP(BI231,'Jan-2026 rates'!$E:$F,2,0)))</f>
        <v>0</v>
      </c>
      <c r="BY231" s="409"/>
      <c r="BZ231" s="398">
        <f>IF(BY231=0,0,IF(LEN(BJ231)=11,_xlfn.XLOOKUP(BJ231,'Dispensed Ink Rates'!C:C,'Dispensed Ink Rates'!CS:CS),VLOOKUP(BJ231,'Jan-2026 rates'!$E:$F,2,0)))</f>
        <v>0</v>
      </c>
      <c r="CA231" s="409" t="s">
        <v>1443</v>
      </c>
      <c r="CB231" s="409">
        <v>22</v>
      </c>
      <c r="CC231" s="411">
        <f t="shared" si="162"/>
        <v>0</v>
      </c>
      <c r="CD231" s="411">
        <f t="shared" si="163"/>
        <v>40.584905660377359</v>
      </c>
      <c r="CE231" s="410">
        <f t="shared" si="164"/>
        <v>0</v>
      </c>
      <c r="CF231" s="404" t="s">
        <v>543</v>
      </c>
      <c r="CG231" s="409" t="s">
        <v>3926</v>
      </c>
      <c r="CH231" s="420" t="str">
        <f t="shared" si="132"/>
        <v>FLINTSL - BLACK</v>
      </c>
      <c r="CI231" s="409">
        <v>19</v>
      </c>
      <c r="CJ231" s="411">
        <f>IF(CI231=0,0,IF($LB231=70%,VLOOKUP($CH231,'Jan-2026 rates'!$L:$R,4,0),IF($LB231=65%,VLOOKUP($CH231,'Jan-2026 rates'!$L:$R,4,0),IF($LB231=40%,VLOOKUP($CH231,'Jan-2026 rates'!$L:$R,5,0),IF($LB231=30%,VLOOKUP($CH231,'Jan-2026 rates'!$L:$R,6,0),IF($LB231=100%,VLOOKUP($CH231,'Jan-2026 rates'!$L:$R,7,0),IF($LB231=60%,VLOOKUP($CH231,'Jan-2026 rates'!$L:$S,8,0),IF($LB231=80%,VLOOKUP($CH231,'Jan-2026 rates'!L:T,9,0),0))))))))</f>
        <v>0</v>
      </c>
      <c r="CK231" s="412" t="s">
        <v>3941</v>
      </c>
      <c r="CL231" s="409">
        <f>15+39+20+23+13</f>
        <v>110</v>
      </c>
      <c r="CM231" s="411">
        <f>IF(CL231=0,0,IF($LB231=70%,VLOOKUP($CH231,'Jan-2026 rates'!$L:$R,4,0),IF($LB231=65%,VLOOKUP($CH231,'Jan-2026 rates'!$L:$R,4,0),IF($LB231=40%,VLOOKUP($CH231,'Jan-2026 rates'!$L:$R,5,0),IF($LB231=30%,VLOOKUP($CH231,'Jan-2026 rates'!$L:$R,6,0),IF($LB231=100%,VLOOKUP($CH231,'Jan-2026 rates'!$L:$R,7,0),IF($LB231=60%,VLOOKUP($CH231,'Jan-2026 rates'!$L:$S,8,0),IF($LB231=80%,VLOOKUP($CH231,'Jan-2026 rates'!L:T,9,0),0))))))))</f>
        <v>0</v>
      </c>
      <c r="CN231" s="426">
        <v>26517000032</v>
      </c>
      <c r="CO231" s="427">
        <v>26517000020</v>
      </c>
      <c r="CP231" s="426">
        <v>26522000008</v>
      </c>
      <c r="CQ231" s="426">
        <v>26517000024</v>
      </c>
      <c r="CR231" s="428">
        <v>26517000028</v>
      </c>
      <c r="CS231" s="428"/>
      <c r="CT231" s="428"/>
      <c r="CU231" s="428"/>
      <c r="CV231" s="409">
        <v>30</v>
      </c>
      <c r="CW231" s="398" t="e">
        <f>IF(CV231=0,0,IF(LEN(CN231)=11,_xlfn.XLOOKUP(CN231,'Dispensed Ink Rates'!C:C,'Dispensed Ink Rates'!CS:CS),VLOOKUP(CN231,'Jan-2026 rates'!$E:$F,2,0)))</f>
        <v>#N/A</v>
      </c>
      <c r="CX231" s="409">
        <v>15</v>
      </c>
      <c r="CY231" s="398" t="e">
        <f>IF(CX231=0,0,IF(LEN(CO231)=11,_xlfn.XLOOKUP(CO231,'Dispensed Ink Rates'!C:C,'Dispensed Ink Rates'!CS:CS),VLOOKUP(CO231,'Jan-2026 rates'!$E:$F,2,0)))</f>
        <v>#N/A</v>
      </c>
      <c r="CZ231" s="409">
        <v>5</v>
      </c>
      <c r="DA231" s="398" t="e">
        <f>IF(CZ231=0,0,IF(LEN(CP231)=11,_xlfn.XLOOKUP(CP231,'Dispensed Ink Rates'!C:C,'Dispensed Ink Rates'!CS:CS),VLOOKUP(CP231,'Jan-2026 rates'!$E:$F,2,0)))</f>
        <v>#N/A</v>
      </c>
      <c r="DB231" s="409">
        <v>30</v>
      </c>
      <c r="DC231" s="398" t="e">
        <f>IF(DB231=0,0,IF(LEN(CQ231)=11,_xlfn.XLOOKUP(CQ231,'Dispensed Ink Rates'!C:C,'Dispensed Ink Rates'!CS:CS),VLOOKUP(CQ231,'Jan-2026 rates'!$E:$F,2,0)))</f>
        <v>#N/A</v>
      </c>
      <c r="DD231" s="409">
        <v>10</v>
      </c>
      <c r="DE231" s="398" t="e">
        <f>IF(DD231=0,0,IF(LEN(CR231)=11,_xlfn.XLOOKUP(CR231,'Dispensed Ink Rates'!C:C,'Dispensed Ink Rates'!CS:CS),VLOOKUP(CR231,'Jan-2026 rates'!$E:$F,2,0)))</f>
        <v>#N/A</v>
      </c>
      <c r="DF231" s="409"/>
      <c r="DG231" s="398">
        <f>IF(DF231=0,0,IF(LEN(CS231)=11,_xlfn.XLOOKUP(CS231,'Dispensed Ink Rates'!C:C,'Dispensed Ink Rates'!CS:CS),VLOOKUP(CS231,'Jan-2026 rates'!$E:$F,2,0)))</f>
        <v>0</v>
      </c>
      <c r="DH231" s="409"/>
      <c r="DI231" s="398">
        <f>IF(DH231=0,0,IF(LEN(CT231)=11,_xlfn.XLOOKUP(CT231,'Dispensed Ink Rates'!C:C,'Dispensed Ink Rates'!CS:CS),VLOOKUP(CT231,'Jan-2026 rates'!$E:$F,2,0)))</f>
        <v>0</v>
      </c>
      <c r="DJ231" s="409"/>
      <c r="DK231" s="398">
        <f>IF(DJ231=0,0,IF(LEN(CU231)=11,_xlfn.XLOOKUP(CU231,'Dispensed Ink Rates'!C:C,'Dispensed Ink Rates'!CS:CS),VLOOKUP(CU231,'Jan-2026 rates'!$E:$F,2,0)))</f>
        <v>0</v>
      </c>
      <c r="DL231" s="409" t="s">
        <v>1443</v>
      </c>
      <c r="DM231" s="409">
        <v>30</v>
      </c>
      <c r="DN231" s="411">
        <f t="shared" si="165"/>
        <v>0</v>
      </c>
      <c r="DO231" s="411">
        <f t="shared" si="166"/>
        <v>264.16981132075472</v>
      </c>
      <c r="DP231" s="410">
        <f t="shared" si="167"/>
        <v>0</v>
      </c>
      <c r="DQ231" s="405" t="s">
        <v>547</v>
      </c>
      <c r="DR231" s="409" t="s">
        <v>3942</v>
      </c>
      <c r="DS231" s="420" t="str">
        <f t="shared" si="133"/>
        <v>FLINTSL - GREEN</v>
      </c>
      <c r="DT231" s="409">
        <v>20</v>
      </c>
      <c r="DU231" s="411">
        <f>IF(DT231=0,0,IF($LB231=70%,VLOOKUP($DS231,'Jan-2026 rates'!$L:$R,4,0),IF($LB231=65%,VLOOKUP($DS231,'Jan-2026 rates'!$L:$R,4,0),IF($LB231=40%,VLOOKUP($DS231,'Jan-2026 rates'!$L:$R,5,0),IF($LB231=30%,VLOOKUP($DS231,'Jan-2026 rates'!$L:$R,6,0),IF($LB231=100%,VLOOKUP($DS231,'Jan-2026 rates'!$L:$R,7,0),IF($LB231=60%,VLOOKUP($DS231,'Jan-2026 rates'!$L:$S,8,0),IF($LB231=80%,VLOOKUP($DS231,'Jan-2026 rates'!L:T,9,0),0))))))))</f>
        <v>0</v>
      </c>
      <c r="DV231" s="412"/>
      <c r="DW231" s="409"/>
      <c r="DX231" s="411">
        <f>IF(DW231=0,0,IF($LB231=70%,VLOOKUP($DS231,'Jan-2026 rates'!$L:$R,4,0),IF($LB231=65%,VLOOKUP($DS231,'Jan-2026 rates'!$L:$R,4,0),IF($LB231=40%,VLOOKUP($DS231,'Jan-2026 rates'!$L:$R,5,0),IF($LB231=30%,VLOOKUP($DS231,'Jan-2026 rates'!$L:$R,6,0),IF($LB231=100%,VLOOKUP($DS231,'Jan-2026 rates'!$L:$R,7,0),IF($LB231=60%,VLOOKUP($DS231,'Jan-2026 rates'!$L:$S,8,0),IF($LB231=80%,VLOOKUP($DS231,'Jan-2026 rates'!L:T,9,0),0))))))))</f>
        <v>0</v>
      </c>
      <c r="DY231" s="413">
        <v>26516000006</v>
      </c>
      <c r="DZ231" s="413">
        <v>26517000032</v>
      </c>
      <c r="EA231" s="412"/>
      <c r="EB231" s="412"/>
      <c r="EC231" s="412"/>
      <c r="ED231" s="412"/>
      <c r="EE231" s="412"/>
      <c r="EF231" s="412"/>
      <c r="EG231" s="409">
        <v>1</v>
      </c>
      <c r="EH231" s="398" t="e">
        <f>IF(EG231=0,0,IF(LEN(DY231)=11,_xlfn.XLOOKUP(DY231,'Dispensed Ink Rates'!C:C,'Dispensed Ink Rates'!CS:CS),VLOOKUP(DY231,'Jan-2026 rates'!$E:$F,2,0)))</f>
        <v>#N/A</v>
      </c>
      <c r="EI231" s="409">
        <v>2</v>
      </c>
      <c r="EJ231" s="398" t="e">
        <f>IF(EI231=0,0,IF(LEN(DZ231)=11,_xlfn.XLOOKUP(DZ231,'Dispensed Ink Rates'!C:C,'Dispensed Ink Rates'!CS:CS),VLOOKUP(DZ231,'Jan-2026 rates'!$E:$F,2,0)))</f>
        <v>#N/A</v>
      </c>
      <c r="EK231" s="409"/>
      <c r="EL231" s="398">
        <f>IF(EK231=0,0,IF(LEN(EA231)=11,_xlfn.XLOOKUP(EA231,'Dispensed Ink Rates'!C:C,'Dispensed Ink Rates'!CS:CS),VLOOKUP(EA231,'Jan-2026 rates'!$E:$F,2,0)))</f>
        <v>0</v>
      </c>
      <c r="EM231" s="409"/>
      <c r="EN231" s="398">
        <f>IF(EM231=0,0,IF(LEN(EB231)=11,_xlfn.XLOOKUP(EB231,'Dispensed Ink Rates'!C:C,'Dispensed Ink Rates'!CS:CS),VLOOKUP(EB231,'Jan-2026 rates'!$E:$F,2,0)))</f>
        <v>0</v>
      </c>
      <c r="EO231" s="409"/>
      <c r="EP231" s="398">
        <f>IF(EO231=0,0,IF(LEN(EC231)=11,_xlfn.XLOOKUP(EC231,'Dispensed Ink Rates'!C:C,'Dispensed Ink Rates'!CS:CS),VLOOKUP(EC231,'Jan-2026 rates'!$E:$F,2,0)))</f>
        <v>0</v>
      </c>
      <c r="EQ231" s="409"/>
      <c r="ER231" s="398">
        <f>IF(EQ231=0,0,IF(LEN(ED231)=11,_xlfn.XLOOKUP(ED231,'Dispensed Ink Rates'!C:C,'Dispensed Ink Rates'!CS:CS),VLOOKUP(ED231,'Jan-2026 rates'!$E:$F,2,0)))</f>
        <v>0</v>
      </c>
      <c r="ES231" s="409"/>
      <c r="ET231" s="398">
        <f>IF(ES231=0,0,IF(LEN(EE231)=11,_xlfn.XLOOKUP(EE231,'Dispensed Ink Rates'!C:C,'Dispensed Ink Rates'!CS:CS),VLOOKUP(EE231,'Jan-2026 rates'!$E:$F,2,0)))</f>
        <v>0</v>
      </c>
      <c r="EU231" s="409"/>
      <c r="EV231" s="398">
        <f>IF(EU231=0,0,IF(LEN(EF231)=11,_xlfn.XLOOKUP(EF231,'Dispensed Ink Rates'!C:C,'Dispensed Ink Rates'!CS:CS),VLOOKUP(EF231,'Jan-2026 rates'!$E:$F,2,0)))</f>
        <v>0</v>
      </c>
      <c r="EW231" s="409" t="s">
        <v>1443</v>
      </c>
      <c r="EX231" s="409">
        <v>20</v>
      </c>
      <c r="EY231" s="411">
        <f t="shared" si="168"/>
        <v>0</v>
      </c>
      <c r="EZ231" s="411">
        <f t="shared" si="169"/>
        <v>10.516981132075472</v>
      </c>
      <c r="FA231" s="410">
        <f t="shared" si="170"/>
        <v>0</v>
      </c>
      <c r="FB231" s="405" t="s">
        <v>544</v>
      </c>
      <c r="FC231" s="409" t="s">
        <v>3943</v>
      </c>
      <c r="FD231" s="420" t="str">
        <f t="shared" si="134"/>
        <v>FLINTSL - MAGENTA</v>
      </c>
      <c r="FE231" s="409">
        <v>25</v>
      </c>
      <c r="FF231" s="411">
        <f>IF(FE231=0,0,IF($LB231=70%,VLOOKUP($FD231,'Jan-2026 rates'!$L:$R,4,0),IF($LB231=65%,VLOOKUP($FD231,'Jan-2026 rates'!$L:$R,4,0),IF($LB231=40%,VLOOKUP($FD231,'Jan-2026 rates'!$L:$R,5,0),IF($LB231=30%,VLOOKUP($FD231,'Jan-2026 rates'!$L:$R,6,0),IF($LB231=100%,VLOOKUP($FD231,'Jan-2026 rates'!$L:$R,7,0),IF($LB231=60%,VLOOKUP($FD231,'Jan-2026 rates'!$L:$S,8,0),IF($LB231=80%,VLOOKUP($FD231,'Jan-2026 rates'!L:T,9,0),0))))))))</f>
        <v>0</v>
      </c>
      <c r="FG231" s="412"/>
      <c r="FH231" s="409"/>
      <c r="FI231" s="411">
        <f>IF(FH231=0,0,IF($LB231=70%,VLOOKUP($FD231,'Jan-2026 rates'!$L:$R,4,0),IF($LB231=65%,VLOOKUP($FD231,'Jan-2026 rates'!$L:$R,4,0),IF($LB231=40%,VLOOKUP($FD231,'Jan-2026 rates'!$L:$R,5,0),IF($LB231=30%,VLOOKUP($FD231,'Jan-2026 rates'!$L:$R,6,0),IF($LB231=100%,VLOOKUP($FD231,'Jan-2026 rates'!$L:$R,7,0),IF($LB231=60%,VLOOKUP($FD231,'Jan-2026 rates'!$L:$S,8,0),IF($LB231=80%,VLOOKUP($FD231,'Jan-2026 rates'!L:T,9,0),0))))))))</f>
        <v>0</v>
      </c>
      <c r="FJ231" s="413">
        <v>26517000020</v>
      </c>
      <c r="FK231" s="413"/>
      <c r="FL231" s="413"/>
      <c r="FM231" s="412"/>
      <c r="FN231" s="412"/>
      <c r="FO231" s="412"/>
      <c r="FP231" s="412"/>
      <c r="FQ231" s="412"/>
      <c r="FR231" s="409">
        <v>5</v>
      </c>
      <c r="FS231" s="398" t="e">
        <f>IF(FR231=0,0,IF(LEN(FJ231)=11,_xlfn.XLOOKUP(FJ231,'Dispensed Ink Rates'!C:C,'Dispensed Ink Rates'!CS:CS),VLOOKUP(FJ231,'Jan-2026 rates'!$E:$F,2,0)))</f>
        <v>#N/A</v>
      </c>
      <c r="FT231" s="409"/>
      <c r="FU231" s="398">
        <f>IF(FT231=0,0,IF(LEN(FK231)=11,_xlfn.XLOOKUP(FK231,'Dispensed Ink Rates'!C:C,'Dispensed Ink Rates'!CS:CS),VLOOKUP(FK231,'Jan-2026 rates'!$E:$F,2,0)))</f>
        <v>0</v>
      </c>
      <c r="FV231" s="409"/>
      <c r="FW231" s="398">
        <f>IF(FV231=0,0,IF(LEN(FL231)=11,_xlfn.XLOOKUP(FL231,'Dispensed Ink Rates'!C:C,'Dispensed Ink Rates'!CS:CS),VLOOKUP(FL231,'Jan-2026 rates'!$E:$F,2,0)))</f>
        <v>0</v>
      </c>
      <c r="FX231" s="409"/>
      <c r="FY231" s="398">
        <f>IF(FX231=0,0,IF(LEN(FM231)=11,_xlfn.XLOOKUP(FM231,'Dispensed Ink Rates'!C:C,'Dispensed Ink Rates'!CS:CS),VLOOKUP(FM231,'Jan-2026 rates'!$E:$F,2,0)))</f>
        <v>0</v>
      </c>
      <c r="FZ231" s="409"/>
      <c r="GA231" s="398">
        <f>IF(FZ231=0,0,IF(LEN(FN231)=11,_xlfn.XLOOKUP(FN231,'Dispensed Ink Rates'!C:C,'Dispensed Ink Rates'!CS:CS),VLOOKUP(FN231,'Jan-2026 rates'!$E:$F,2,0)))</f>
        <v>0</v>
      </c>
      <c r="GB231" s="409"/>
      <c r="GC231" s="398">
        <f>IF(GB231=0,0,IF(LEN(FO231)=11,_xlfn.XLOOKUP(FO231,'Dispensed Ink Rates'!C:C,'Dispensed Ink Rates'!CS:CS),VLOOKUP(FO231,'Jan-2026 rates'!$E:$F,2,0)))</f>
        <v>0</v>
      </c>
      <c r="GD231" s="409"/>
      <c r="GE231" s="398">
        <f>IF(GD231=0,0,IF(LEN(FP231)=11,_xlfn.XLOOKUP(FP231,'Dispensed Ink Rates'!C:C,'Dispensed Ink Rates'!CS:CS),VLOOKUP(FP231,'Jan-2026 rates'!$E:$F,2,0)))</f>
        <v>0</v>
      </c>
      <c r="GF231" s="409"/>
      <c r="GG231" s="398">
        <f>IF(GF231=0,0,IF(LEN(FQ231)=11,_xlfn.XLOOKUP(FQ231,'Dispensed Ink Rates'!C:C,'Dispensed Ink Rates'!CS:CS),VLOOKUP(FQ231,'Jan-2026 rates'!$E:$F,2,0)))</f>
        <v>0</v>
      </c>
      <c r="GH231" s="409" t="s">
        <v>1443</v>
      </c>
      <c r="GI231" s="409">
        <v>26</v>
      </c>
      <c r="GJ231" s="411">
        <f t="shared" si="171"/>
        <v>0</v>
      </c>
      <c r="GK231" s="411">
        <f t="shared" si="172"/>
        <v>16.528301886792448</v>
      </c>
      <c r="GL231" s="410">
        <f t="shared" si="173"/>
        <v>0</v>
      </c>
      <c r="GM231" s="405" t="s">
        <v>545</v>
      </c>
      <c r="GN231" s="409" t="s">
        <v>3944</v>
      </c>
      <c r="GO231" s="420" t="str">
        <f t="shared" si="135"/>
        <v>FLINTSL - YELLOW</v>
      </c>
      <c r="GP231" s="409">
        <v>20</v>
      </c>
      <c r="GQ231" s="411">
        <f>IF(GP231=0,0,IF($LB231=70%,VLOOKUP($GO231,'Jan-2026 rates'!$L:$R,4,0),IF($LB231=65%,VLOOKUP($GO231,'Jan-2026 rates'!$L:$R,4,0),IF($LB231=40%,VLOOKUP($GO231,'Jan-2026 rates'!$L:$R,5,0),IF($LB231=30%,VLOOKUP($GO231,'Jan-2026 rates'!$L:$R,6,0),IF($LB231=100%,VLOOKUP($GO231,'Jan-2026 rates'!$L:$R,7,0),IF($LB231=60%,VLOOKUP($GO231,'Jan-2026 rates'!$L:$S,8,0),IF($LB231=80%,VLOOKUP($GO231,'Jan-2026 rates'!L:T,9,0),0))))))))</f>
        <v>0</v>
      </c>
      <c r="GR231" s="412"/>
      <c r="GS231" s="409"/>
      <c r="GT231" s="411">
        <f>IF(GS231=0,0,IF($LB231=70%,VLOOKUP($GO231,'Jan-2026 rates'!$L:$R,4,0),IF($LB231=65%,VLOOKUP($GO231,'Jan-2026 rates'!$L:$R,4,0),IF($LB231=40%,VLOOKUP($GO231,'Jan-2026 rates'!$L:$R,5,0),IF($LB231=30%,VLOOKUP($GO231,'Jan-2026 rates'!$L:$R,6,0),IF($LB231=100%,VLOOKUP($GO231,'Jan-2026 rates'!$L:$R,7,0),IF($LB231=60%,VLOOKUP($GO231,'Jan-2026 rates'!$L:$S,8,0),IF($LB231=80%,VLOOKUP($GO231,'Jan-2026 rates'!L:T,9,0),0))))))))</f>
        <v>0</v>
      </c>
      <c r="GU231" s="413">
        <v>26517000032</v>
      </c>
      <c r="GV231" s="413" t="s">
        <v>1266</v>
      </c>
      <c r="GW231" s="412"/>
      <c r="GX231" s="412"/>
      <c r="GY231" s="412"/>
      <c r="GZ231" s="412"/>
      <c r="HA231" s="412"/>
      <c r="HB231" s="412"/>
      <c r="HC231" s="409">
        <v>5</v>
      </c>
      <c r="HD231" s="398" t="e">
        <f>IF(HC231=0,0,IF(LEN(GU231)=11,_xlfn.XLOOKUP(GU231,'Dispensed Ink Rates'!C:C,'Dispensed Ink Rates'!CS:CS),VLOOKUP(GU231,'Jan-2026 rates'!$E:$F,2,0)))</f>
        <v>#N/A</v>
      </c>
      <c r="HE231" s="409">
        <v>5</v>
      </c>
      <c r="HF231" s="398">
        <f>IF(HE231=0,0,IF(LEN(GV231)=11,_xlfn.XLOOKUP(GV231,'Dispensed Ink Rates'!C:C,'Dispensed Ink Rates'!CS:CS),VLOOKUP(GV231,'Jan-2026 rates'!$E:$F,2,0)))</f>
        <v>0</v>
      </c>
      <c r="HG231" s="409"/>
      <c r="HH231" s="398">
        <f>IF(HG231=0,0,IF(LEN(GW231)=11,_xlfn.XLOOKUP(GW231,'Dispensed Ink Rates'!C:C,'Dispensed Ink Rates'!CS:CS),VLOOKUP(GW231,'Jan-2026 rates'!$E:$F,2,0)))</f>
        <v>0</v>
      </c>
      <c r="HI231" s="409"/>
      <c r="HJ231" s="398">
        <f>IF(HI231=0,0,IF(LEN(GX231)=11,_xlfn.XLOOKUP(GX231,'Dispensed Ink Rates'!C:C,'Dispensed Ink Rates'!CS:CS),VLOOKUP(GX231,'Jan-2026 rates'!$E:$F,2,0)))</f>
        <v>0</v>
      </c>
      <c r="HK231" s="409"/>
      <c r="HL231" s="398">
        <f>IF(HK231=0,0,IF(LEN(GY231)=11,_xlfn.XLOOKUP(GY231,'Dispensed Ink Rates'!C:C,'Dispensed Ink Rates'!CS:CS),VLOOKUP(GY231,'Jan-2026 rates'!$E:$F,2,0)))</f>
        <v>0</v>
      </c>
      <c r="HM231" s="409"/>
      <c r="HN231" s="398">
        <f>IF(HM231=0,0,IF(LEN(GZ231)=11,_xlfn.XLOOKUP(GZ231,'Dispensed Ink Rates'!C:C,'Dispensed Ink Rates'!CS:CS),VLOOKUP(GZ231,'Jan-2026 rates'!$E:$F,2,0)))</f>
        <v>0</v>
      </c>
      <c r="HO231" s="409"/>
      <c r="HP231" s="398">
        <f>IF(HO231=0,0,IF(LEN(HA231)=11,_xlfn.XLOOKUP(HA231,'Dispensed Ink Rates'!C:C,'Dispensed Ink Rates'!CS:CS),VLOOKUP(HA231,'Jan-2026 rates'!$E:$F,2,0)))</f>
        <v>0</v>
      </c>
      <c r="HQ231" s="409"/>
      <c r="HR231" s="398">
        <f>IF(HQ231=0,0,IF(LEN(HB231)=11,_xlfn.XLOOKUP(HB231,'Dispensed Ink Rates'!C:C,'Dispensed Ink Rates'!CS:CS),VLOOKUP(HB231,'Jan-2026 rates'!$E:$F,2,0)))</f>
        <v>0</v>
      </c>
      <c r="HS231" s="409" t="s">
        <v>1443</v>
      </c>
      <c r="HT231" s="409">
        <v>27</v>
      </c>
      <c r="HU231" s="411">
        <f t="shared" si="174"/>
        <v>0</v>
      </c>
      <c r="HV231" s="411">
        <f t="shared" si="175"/>
        <v>28.056603773584904</v>
      </c>
      <c r="HW231" s="414">
        <f t="shared" si="176"/>
        <v>0</v>
      </c>
      <c r="HX231" s="405" t="s">
        <v>829</v>
      </c>
      <c r="HY231" s="409"/>
      <c r="HZ231" s="420" t="str">
        <f t="shared" si="136"/>
        <v>FLINTSL - MEDIUM</v>
      </c>
      <c r="IA231" s="409"/>
      <c r="IB231" s="411">
        <f>IF(IA231=0,0,IF($LB231=70%,VLOOKUP($HZ231,'Jan-2026 rates'!$L:$R,4,0),IF($LB231=65%,VLOOKUP($HZ231,'Jan-2026 rates'!$L:$R,4,0),IF($LB231=40%,VLOOKUP($HZ231,'Jan-2026 rates'!$L:$R,5,0),IF($LB231=30%,VLOOKUP($HZ231,'Jan-2026 rates'!$L:$R,6,0),IF($LB231=100%,VLOOKUP($HZ231,'Jan-2026 rates'!$L:$R,7,0),IF($LB231=60%,VLOOKUP($HZ231,'Jan-2026 rates'!$L:$S,8,0),IF($LB231=80%,VLOOKUP($HZ231,'Jan-2026 rates'!L:T,9,0),0))))))))</f>
        <v>0</v>
      </c>
      <c r="IC231" s="412"/>
      <c r="ID231" s="409"/>
      <c r="IE231" s="411">
        <f>IF(ID231=0,0,IF($LB231=70%,VLOOKUP($HZ231,'Jan-2026 rates'!$L:$R,4,0),IF($LB231=65%,VLOOKUP($HZ231,'Jan-2026 rates'!$L:$R,4,0),IF($LB231=40%,VLOOKUP($HZ231,'Jan-2026 rates'!$L:$R,5,0),IF($LB231=30%,VLOOKUP($HZ231,'Jan-2026 rates'!$L:$R,6,0),IF($LB231=100%,VLOOKUP($HZ231,'Jan-2026 rates'!$L:$R,7,0),IF($LB231=60%,VLOOKUP($HZ231,'Jan-2026 rates'!$L:$S,8,0),IF($LB231=80%,VLOOKUP($HZ231,'Jan-2026 rates'!L:T,9,0),0))))))))</f>
        <v>0</v>
      </c>
      <c r="IF231" s="412">
        <v>26517000008</v>
      </c>
      <c r="IG231" s="413">
        <v>26517000014</v>
      </c>
      <c r="IH231" s="412">
        <v>26517000015</v>
      </c>
      <c r="II231" s="412">
        <v>26517000023</v>
      </c>
      <c r="IJ231" s="412">
        <v>26517000020</v>
      </c>
      <c r="IK231" s="412">
        <v>26516000012</v>
      </c>
      <c r="IL231" s="412"/>
      <c r="IM231" s="412"/>
      <c r="IN231" s="409">
        <v>25</v>
      </c>
      <c r="IO231" s="398" t="e">
        <f>IF(IN231=0,0,IF(LEN(IF231)=11,_xlfn.XLOOKUP(IF231,'Dispensed Ink Rates'!C:C,'Dispensed Ink Rates'!CS:CS),VLOOKUP(IF231,'Jan-2026 rates'!$E:$F,2,0)))</f>
        <v>#N/A</v>
      </c>
      <c r="IP231" s="409">
        <v>40</v>
      </c>
      <c r="IQ231" s="398" t="e">
        <f>IF(IP231=0,0,IF(LEN(IG231)=11,_xlfn.XLOOKUP(IG231,'Dispensed Ink Rates'!C:C,'Dispensed Ink Rates'!CS:CS),VLOOKUP(IG231,'Jan-2026 rates'!$E:$F,2,0)))</f>
        <v>#N/A</v>
      </c>
      <c r="IR231" s="409">
        <v>30</v>
      </c>
      <c r="IS231" s="398" t="e">
        <f>IF(IR231=0,0,IF(LEN(IH231)=11,_xlfn.XLOOKUP(IH231,'Dispensed Ink Rates'!C:C,'Dispensed Ink Rates'!CS:CS),VLOOKUP(IH231,'Jan-2026 rates'!$E:$F,2,0)))</f>
        <v>#N/A</v>
      </c>
      <c r="IT231" s="409">
        <v>30</v>
      </c>
      <c r="IU231" s="398" t="e">
        <f>IF(IT231=0,0,IF(LEN(II231)=11,_xlfn.XLOOKUP(II231,'Dispensed Ink Rates'!C:C,'Dispensed Ink Rates'!CS:CS),VLOOKUP(II231,'Jan-2026 rates'!$E:$F,2,0)))</f>
        <v>#N/A</v>
      </c>
      <c r="IV231" s="409">
        <v>2</v>
      </c>
      <c r="IW231" s="398" t="e">
        <f>IF(IV231=0,0,IF(LEN(IJ231)=11,_xlfn.XLOOKUP(IJ231,'Dispensed Ink Rates'!C:C,'Dispensed Ink Rates'!CS:CS),VLOOKUP(IJ231,'Jan-2026 rates'!$E:$F,2,0)))</f>
        <v>#N/A</v>
      </c>
      <c r="IX231" s="409">
        <v>1</v>
      </c>
      <c r="IY231" s="398" t="e">
        <f>IF(IX231=0,0,IF(LEN(IK231)=11,_xlfn.XLOOKUP(IK231,'Dispensed Ink Rates'!C:C,'Dispensed Ink Rates'!CS:CS),VLOOKUP(IK231,'Jan-2026 rates'!$E:$F,2,0)))</f>
        <v>#N/A</v>
      </c>
      <c r="IZ231" s="409"/>
      <c r="JA231" s="398">
        <f>IF(IZ231=0,0,IF(LEN(IL231)=11,_xlfn.XLOOKUP(IL231,'Dispensed Ink Rates'!C:C,'Dispensed Ink Rates'!CS:CS),VLOOKUP(IL231,'Jan-2026 rates'!$E:$F,2,0)))</f>
        <v>0</v>
      </c>
      <c r="JB231" s="409"/>
      <c r="JC231" s="398">
        <f>IF(JB231=0,0,IF(LEN(IM231)=11,_xlfn.XLOOKUP(IM231,'Dispensed Ink Rates'!C:C,'Dispensed Ink Rates'!CS:CS),VLOOKUP(IM231,'Jan-2026 rates'!$E:$F,2,0)))</f>
        <v>0</v>
      </c>
      <c r="JD231" s="409" t="s">
        <v>1443</v>
      </c>
      <c r="JE231" s="409">
        <v>40</v>
      </c>
      <c r="JF231" s="411">
        <f t="shared" si="177"/>
        <v>0</v>
      </c>
      <c r="JG231" s="411">
        <f t="shared" si="178"/>
        <v>88</v>
      </c>
      <c r="JH231" s="410">
        <f t="shared" si="179"/>
        <v>0</v>
      </c>
      <c r="JI231" s="405" t="s">
        <v>856</v>
      </c>
      <c r="JJ231" s="409" t="s">
        <v>3945</v>
      </c>
      <c r="JK231" s="420" t="str">
        <f t="shared" si="137"/>
        <v>FLINTSL - WHITE</v>
      </c>
      <c r="JL231" s="409">
        <v>25</v>
      </c>
      <c r="JM231" s="411">
        <f>IF(JL231=0,0,IF($LB231=70%,VLOOKUP($JK231,'Jan-2026 rates'!$L:$R,4,0),IF($LB231=65%,VLOOKUP($JK231,'Jan-2026 rates'!$L:$R,4,0),IF($LB231=40%,VLOOKUP($JK231,'Jan-2026 rates'!$L:$R,5,0),IF($LB231=30%,VLOOKUP($JK231,'Jan-2026 rates'!$L:$R,6,0),IF($LB231=100%,VLOOKUP($JK231,'Jan-2026 rates'!$L:$R,7,0),IF($LB231=60%,VLOOKUP($JK231,'Jan-2026 rates'!$L:$S,8,0),IF($LB231=80%,VLOOKUP($JK231,'Jan-2026 rates'!L:T,9,0),0))))))))</f>
        <v>0</v>
      </c>
      <c r="JN231" s="412"/>
      <c r="JO231" s="409"/>
      <c r="JP231" s="411">
        <f>IF(JO231=0,0,IF($LB231=70%,VLOOKUP($JK231,'Jan-2026 rates'!$L:$R,4,0),IF($LB231=65%,VLOOKUP($JK231,'Jan-2026 rates'!$L:$R,4,0),IF($LB231=40%,VLOOKUP($JK231,'Jan-2026 rates'!$L:$R,5,0),IF($LB231=30%,VLOOKUP($JK231,'Jan-2026 rates'!$L:$R,6,0),IF($LB231=100%,VLOOKUP($JK231,'Jan-2026 rates'!$L:$R,7,0),IF($LB231=60%,VLOOKUP($JK231,'Jan-2026 rates'!$L:$S,8,0),IF($LB231=80%,VLOOKUP($JK231,'Jan-2026 rates'!L:T,9,0),0))))))))</f>
        <v>0</v>
      </c>
      <c r="JQ231" s="413" t="s">
        <v>484</v>
      </c>
      <c r="JR231" s="412" t="s">
        <v>1924</v>
      </c>
      <c r="JS231" s="413"/>
      <c r="JT231" s="413"/>
      <c r="JU231" s="412"/>
      <c r="JV231" s="412"/>
      <c r="JW231" s="412"/>
      <c r="JX231" s="412"/>
      <c r="JY231" s="409">
        <f>160+100+100</f>
        <v>360</v>
      </c>
      <c r="JZ231" s="398">
        <f>IF(JY231=0,0,IF(LEN(JQ231)=11,_xlfn.XLOOKUP(JQ231,'Dispensed Ink Rates'!C:C,'Dispensed Ink Rates'!CS:CS),VLOOKUP(JQ231,'Jan-2026 rates'!$E:$F,2,0)))</f>
        <v>0</v>
      </c>
      <c r="KA231" s="409">
        <v>10.8</v>
      </c>
      <c r="KB231" s="398">
        <f>IF(KA231=0,0,IF(LEN(JR231)=11,_xlfn.XLOOKUP(JR231,'Dispensed Ink Rates'!C:C,'Dispensed Ink Rates'!CS:CS),VLOOKUP(JR231,'Jan-2026 rates'!$E:$F,2,0)))</f>
        <v>0</v>
      </c>
      <c r="KC231" s="409"/>
      <c r="KD231" s="398">
        <f>IF(KC231=0,0,IF(LEN(JS231)=11,_xlfn.XLOOKUP(JS231,'Dispensed Ink Rates'!C:C,'Dispensed Ink Rates'!CS:CS),VLOOKUP(JS231,'Jan-2026 rates'!$E:$F,2,0)))</f>
        <v>0</v>
      </c>
      <c r="KE231" s="409"/>
      <c r="KF231" s="398">
        <f>IF(KE231=0,0,IF(LEN(JT231)=11,_xlfn.XLOOKUP(JT231,'Dispensed Ink Rates'!C:C,'Dispensed Ink Rates'!CS:CS),VLOOKUP(JT231,'Jan-2026 rates'!$E:$F,2,0)))</f>
        <v>0</v>
      </c>
      <c r="KG231" s="409"/>
      <c r="KH231" s="398">
        <f>IF(KG231=0,0,IF(LEN(JU231)=11,_xlfn.XLOOKUP(JU231,'Dispensed Ink Rates'!C:C,'Dispensed Ink Rates'!CS:CS),VLOOKUP(JU231,'Jan-2026 rates'!$E:$F,2,0)))</f>
        <v>0</v>
      </c>
      <c r="KI231" s="409"/>
      <c r="KJ231" s="398">
        <f>IF(KI231=0,0,IF(LEN(JV231)=11,_xlfn.XLOOKUP(JV231,'Dispensed Ink Rates'!C:C,'Dispensed Ink Rates'!CS:CS),VLOOKUP(JV231,'Jan-2026 rates'!$E:$F,2,0)))</f>
        <v>0</v>
      </c>
      <c r="KK231" s="409"/>
      <c r="KL231" s="398">
        <f>IF(KK231=0,0,IF(LEN(JW231)=11,_xlfn.XLOOKUP(JW231,'Dispensed Ink Rates'!C:C,'Dispensed Ink Rates'!CS:CS),VLOOKUP(JW231,'Jan-2026 rates'!$E:$F,2,0)))</f>
        <v>0</v>
      </c>
      <c r="KM231" s="428"/>
      <c r="KN231" s="398">
        <f>IF(KM231=0,0,IF(LEN(JX231)=11,_xlfn.XLOOKUP(JX231,'Dispensed Ink Rates'!C:C,'Dispensed Ink Rates'!CS:CS),VLOOKUP(JX231,'Jan-2026 rates'!$E:$F,2,0)))</f>
        <v>0</v>
      </c>
      <c r="KO231" s="409" t="s">
        <v>1443</v>
      </c>
      <c r="KP231" s="409">
        <v>20</v>
      </c>
      <c r="KQ231" s="411">
        <f t="shared" si="180"/>
        <v>0</v>
      </c>
      <c r="KR231" s="411">
        <f t="shared" si="181"/>
        <v>876.93207547169823</v>
      </c>
      <c r="KS231" s="410">
        <f t="shared" si="182"/>
        <v>0</v>
      </c>
      <c r="KT231" s="409">
        <v>2</v>
      </c>
      <c r="KU231" s="409">
        <v>15</v>
      </c>
      <c r="KV231" s="409">
        <v>30</v>
      </c>
      <c r="KW231" s="409">
        <v>3</v>
      </c>
      <c r="KX231" s="409">
        <v>5</v>
      </c>
      <c r="KY231" s="409">
        <v>10</v>
      </c>
      <c r="KZ231" s="409">
        <v>0</v>
      </c>
      <c r="LA231" s="409">
        <f>80+60+60</f>
        <v>200</v>
      </c>
      <c r="LB231" s="415">
        <v>0.8</v>
      </c>
      <c r="LC231" s="415">
        <v>0.2</v>
      </c>
      <c r="LD231" s="415"/>
      <c r="LE231" s="415"/>
      <c r="LF231" s="415"/>
      <c r="LG231" s="409">
        <v>0</v>
      </c>
      <c r="LH231" s="409">
        <f>200+150+240+60+5+5+4</f>
        <v>664</v>
      </c>
      <c r="LI231" s="409">
        <v>0</v>
      </c>
      <c r="LJ231" s="409">
        <v>0</v>
      </c>
      <c r="LK231" s="416">
        <f t="shared" si="138"/>
        <v>664</v>
      </c>
      <c r="LL231" s="416">
        <f t="shared" si="139"/>
        <v>664</v>
      </c>
      <c r="LM231" s="417">
        <f t="shared" si="140"/>
        <v>531.20000000000005</v>
      </c>
      <c r="LN231" s="417">
        <f>VLOOKUP($LM$8,'Jan-2026 rates'!$H:$I,2,0)</f>
        <v>0</v>
      </c>
      <c r="LO231" s="417">
        <f t="shared" si="141"/>
        <v>132.80000000000001</v>
      </c>
      <c r="LP231" s="417">
        <f>VLOOKUP($LO$8,'Jan-2026 rates'!$H:$I,2,0)</f>
        <v>0</v>
      </c>
      <c r="LQ231" s="417">
        <f t="shared" si="142"/>
        <v>0</v>
      </c>
      <c r="LR231" s="417">
        <f>VLOOKUP($LQ$8,'Jan-2026 rates'!$H:$I,2,0)</f>
        <v>0</v>
      </c>
      <c r="LS231" s="417">
        <f t="shared" si="143"/>
        <v>0</v>
      </c>
      <c r="LT231" s="417">
        <f>VLOOKUP($LS$8,'Jan-2026 rates'!$H:$I,2,0)</f>
        <v>0</v>
      </c>
      <c r="LU231" s="417">
        <f t="shared" si="144"/>
        <v>0</v>
      </c>
      <c r="LV231" s="417">
        <f>VLOOKUP($LU$8,'Jan-2026 rates'!$H:$I,2,0)</f>
        <v>0</v>
      </c>
      <c r="LW231" s="417">
        <f t="shared" si="145"/>
        <v>0</v>
      </c>
      <c r="LX231" s="417">
        <f t="shared" si="146"/>
        <v>0</v>
      </c>
      <c r="LY231" s="418">
        <f t="shared" si="147"/>
        <v>0</v>
      </c>
      <c r="LZ231" s="417"/>
      <c r="MA231" s="435">
        <f t="shared" si="148"/>
        <v>633.79999999999995</v>
      </c>
      <c r="MB231" s="282">
        <f t="shared" si="149"/>
        <v>1335.8000000000002</v>
      </c>
      <c r="MC231" s="283">
        <v>124</v>
      </c>
      <c r="MD231" s="284" t="str">
        <f t="shared" si="150"/>
        <v>FLINTSLFLINTSLFLINTSLFLINTSLFLINTSLFLINTSLFLINTSLFLINTSL</v>
      </c>
      <c r="ME231" s="293" t="str">
        <f t="shared" si="151"/>
        <v>+</v>
      </c>
      <c r="MF231" s="293" t="str">
        <f t="shared" si="152"/>
        <v>+</v>
      </c>
      <c r="MG231" s="293" t="str">
        <f t="shared" si="153"/>
        <v>+</v>
      </c>
      <c r="MH231" s="293" t="str">
        <f t="shared" si="154"/>
        <v>+</v>
      </c>
      <c r="MI231" s="293" t="str">
        <f t="shared" si="155"/>
        <v>+</v>
      </c>
      <c r="MJ231" s="293" t="str">
        <f t="shared" si="156"/>
        <v>+</v>
      </c>
      <c r="MK231" s="293" t="str">
        <f t="shared" si="157"/>
        <v>+</v>
      </c>
      <c r="ML231" s="293" t="str">
        <f t="shared" si="158"/>
        <v>+</v>
      </c>
      <c r="MM231" s="3" t="b">
        <f t="array" ref="MM231">OR(ME231:ML231="-")</f>
        <v>0</v>
      </c>
      <c r="MN231" s="285"/>
      <c r="MO231" s="401"/>
      <c r="MP231" s="286"/>
      <c r="MQ231" s="286"/>
      <c r="MR231" s="402"/>
      <c r="MS231" s="400"/>
      <c r="NH231" s="422"/>
      <c r="NJ231" s="421"/>
    </row>
    <row r="232" spans="1:374" s="1" customFormat="1" ht="16.5">
      <c r="A232" s="403">
        <v>46039</v>
      </c>
      <c r="B232" s="404" t="s">
        <v>1015</v>
      </c>
      <c r="C232" s="405" t="s">
        <v>3946</v>
      </c>
      <c r="D232" s="406">
        <v>125</v>
      </c>
      <c r="E232" s="404">
        <v>575</v>
      </c>
      <c r="F232" s="407">
        <v>17700</v>
      </c>
      <c r="G232" s="407" t="s">
        <v>1019</v>
      </c>
      <c r="H232" s="408" t="s">
        <v>1017</v>
      </c>
      <c r="I232" s="409">
        <v>1.4</v>
      </c>
      <c r="J232" s="405" t="s">
        <v>543</v>
      </c>
      <c r="K232" s="404" t="s">
        <v>3947</v>
      </c>
      <c r="L232" s="419" t="str">
        <f t="shared" si="131"/>
        <v>FLINTSL - BLACK</v>
      </c>
      <c r="M232" s="404">
        <v>24</v>
      </c>
      <c r="N232" s="410">
        <f>IF(M232=0,0,IF($LB232=70%,VLOOKUP($L232,'Jan-2026 rates'!$L:$R,4,0),IF($LB232=65%,VLOOKUP($L232,'Jan-2026 rates'!$L:$R,4,0),IF($LB232=40%,VLOOKUP($L232,'Jan-2026 rates'!$L:$R,5,0),IF($LB232=30%,VLOOKUP($L232,'Jan-2026 rates'!$L:$R,6,0),IF($LB232=100%,VLOOKUP($L232,'Jan-2026 rates'!$L:$R,7,0),IF($LB232=60%,VLOOKUP($L232,'Jan-2026 rates'!$L:$S,8,0),IF($LB232=80%,VLOOKUP($L232,'Jan-2026 rates'!L:T,9,0),0))))))))</f>
        <v>0</v>
      </c>
      <c r="O232" s="406"/>
      <c r="P232" s="404"/>
      <c r="Q232" s="410">
        <f>IF(P232=0,0,IF($LB232=70%,VLOOKUP($L232,'Jan-2026 rates'!$L:$R,4,0),IF($LB232=65%,VLOOKUP($L232,'Jan-2026 rates'!$L:$R,4,0),IF($LB232=40%,VLOOKUP($L232,'Jan-2026 rates'!$L:$R,5,0),IF($LB232=30%,VLOOKUP($L232,'Jan-2026 rates'!$L:$R,6,0),IF($LB232=100%,VLOOKUP($L232,'Jan-2026 rates'!$L:$R,7,0),IF($LB232=60%,VLOOKUP($L232,'Jan-2026 rates'!$L:$S,8,0),IF($LB232=80%,VLOOKUP($L232,'Jan-2026 rates'!L:T,9,0),0))))))))</f>
        <v>0</v>
      </c>
      <c r="R232" s="406">
        <v>26522000008</v>
      </c>
      <c r="S232" s="406"/>
      <c r="T232" s="406"/>
      <c r="U232" s="406"/>
      <c r="V232" s="406"/>
      <c r="W232" s="406"/>
      <c r="X232" s="406"/>
      <c r="Y232" s="406"/>
      <c r="Z232" s="404">
        <f>2+4</f>
        <v>6</v>
      </c>
      <c r="AA232" s="398" t="e">
        <f>IF(Z232=0,0,IF(LEN(R232)=11,_xlfn.XLOOKUP(R232,'Dispensed Ink Rates'!C:C,'Dispensed Ink Rates'!CS:CS),VLOOKUP(R232,'Jan-2026 rates'!$E:$F,2,0)))</f>
        <v>#N/A</v>
      </c>
      <c r="AB232" s="404"/>
      <c r="AC232" s="398">
        <f>IF(AB232=0,0,IF(LEN(S232)=11,_xlfn.XLOOKUP(S232,'Dispensed Ink Rates'!C:C,'Dispensed Ink Rates'!CS:CS),VLOOKUP(S232,'Jan-2026 rates'!$E:$F,2,0)))</f>
        <v>0</v>
      </c>
      <c r="AD232" s="404"/>
      <c r="AE232" s="398">
        <f>IF(AD232=0,0,IF(LEN(T232)=11,_xlfn.XLOOKUP(T232,'Dispensed Ink Rates'!C:C,'Dispensed Ink Rates'!CS:CS),VLOOKUP(T232,'Jan-2026 rates'!$E:$F,2,0)))</f>
        <v>0</v>
      </c>
      <c r="AF232" s="404"/>
      <c r="AG232" s="398">
        <f>IF(AF232=0,0,IF(LEN(U232)=11,_xlfn.XLOOKUP(U232,'Dispensed Ink Rates'!C:C,'Dispensed Ink Rates'!CS:CS),VLOOKUP(U232,'Jan-2026 rates'!$E:$F,2,0)))</f>
        <v>0</v>
      </c>
      <c r="AH232" s="404"/>
      <c r="AI232" s="398">
        <f>IF(AH232=0,0,IF(LEN(V232)=11,_xlfn.XLOOKUP(V232,'Dispensed Ink Rates'!C:C,'Dispensed Ink Rates'!CS:CS),VLOOKUP(V232,'Jan-2026 rates'!$E:$F,2,0)))</f>
        <v>0</v>
      </c>
      <c r="AJ232" s="404"/>
      <c r="AK232" s="398">
        <f>IF(AJ232=0,0,IF(LEN(W232)=11,_xlfn.XLOOKUP(W232,'Dispensed Ink Rates'!C:C,'Dispensed Ink Rates'!CS:CS),VLOOKUP(W232,'Jan-2026 rates'!$E:$F,2,0)))</f>
        <v>0</v>
      </c>
      <c r="AL232" s="404"/>
      <c r="AM232" s="398">
        <f>IF(AL232=0,0,IF(LEN(X232)=11,_xlfn.XLOOKUP(X232,'Dispensed Ink Rates'!C:C,'Dispensed Ink Rates'!CS:CS),VLOOKUP(X232,'Jan-2026 rates'!$E:$F,2,0)))</f>
        <v>0</v>
      </c>
      <c r="AN232" s="404"/>
      <c r="AO232" s="398">
        <f>IF(AN232=0,0,IF(LEN(Y232)=11,_xlfn.XLOOKUP(Y232,'Dispensed Ink Rates'!C:C,'Dispensed Ink Rates'!CS:CS),VLOOKUP(Y232,'Jan-2026 rates'!$E:$F,2,0)))</f>
        <v>0</v>
      </c>
      <c r="AP232" s="409" t="s">
        <v>1443</v>
      </c>
      <c r="AQ232" s="409">
        <v>30</v>
      </c>
      <c r="AR232" s="410">
        <f t="shared" si="159"/>
        <v>0</v>
      </c>
      <c r="AS232" s="411">
        <f t="shared" si="160"/>
        <v>12</v>
      </c>
      <c r="AT232" s="410">
        <f t="shared" si="161"/>
        <v>0</v>
      </c>
      <c r="AU232" s="405" t="s">
        <v>544</v>
      </c>
      <c r="AV232" s="409"/>
      <c r="AW232" s="420" t="str">
        <f t="shared" si="183"/>
        <v>FLINTSL - MAGENTA</v>
      </c>
      <c r="AX232" s="409"/>
      <c r="AY232" s="411">
        <f>IF(AX232=0,0,IF($LB232=70%,VLOOKUP($AW232,'Jan-2026 rates'!$L:$R,4,0),IF($LB232=65%,VLOOKUP($AW232,'Jan-2026 rates'!$L:$R,4,0),IF($LB232=40%,VLOOKUP($AW232,'Jan-2026 rates'!$L:$R,5,0),IF($LB232=30%,VLOOKUP($AW232,'Jan-2026 rates'!$L:$R,6,0),IF($LB232=100%,VLOOKUP($AW232,'Jan-2026 rates'!$L:$R,7,0),IF($LB232=60%,VLOOKUP($AW232,'Jan-2026 rates'!$L:$S,8,0),IF($LB232=80%,VLOOKUP($AW232,'Jan-2026 rates'!L:T,9,0),0))))))))</f>
        <v>0</v>
      </c>
      <c r="AZ232" s="412"/>
      <c r="BA232" s="409"/>
      <c r="BB232" s="411">
        <f>IF(BA232=0,0,IF($LB232=70%,VLOOKUP($AW232,'Jan-2026 rates'!$L:$R,4,0),IF($LB232=65%,VLOOKUP($AW232,'Jan-2026 rates'!$L:$R,4,0),IF($LB232=40%,VLOOKUP($AW232,'Jan-2026 rates'!$L:$R,5,0),IF($LB232=30%,VLOOKUP($AW232,'Jan-2026 rates'!$L:$R,6,0),IF($LB232=100%,VLOOKUP($AW232,'Jan-2026 rates'!$L:$R,7,0),IF($LB232=60%,VLOOKUP($AW232,'Jan-2026 rates'!$L:$S,8,0),IF($LB232=80%,VLOOKUP($AW232,'Jan-2026 rates'!L:T,9,0),0))))))))</f>
        <v>0</v>
      </c>
      <c r="BC232" s="413">
        <v>26517000045</v>
      </c>
      <c r="BD232" s="412" t="s">
        <v>1266</v>
      </c>
      <c r="BE232" s="412"/>
      <c r="BF232" s="413"/>
      <c r="BG232" s="412"/>
      <c r="BH232" s="412"/>
      <c r="BI232" s="412"/>
      <c r="BJ232" s="412"/>
      <c r="BK232" s="409">
        <v>10</v>
      </c>
      <c r="BL232" s="398" t="e">
        <f>IF(BK232=0,0,IF(LEN(BC232)=11,_xlfn.XLOOKUP(BC232,'Dispensed Ink Rates'!C:C,'Dispensed Ink Rates'!CS:CS),VLOOKUP(BC232,'Jan-2026 rates'!$E:$F,2,0)))</f>
        <v>#N/A</v>
      </c>
      <c r="BM232" s="409">
        <v>7</v>
      </c>
      <c r="BN232" s="398">
        <f>IF(BM232=0,0,IF(LEN(BD232)=11,_xlfn.XLOOKUP(BD232,'Dispensed Ink Rates'!C:C,'Dispensed Ink Rates'!CS:CS),VLOOKUP(BD232,'Jan-2026 rates'!$E:$F,2,0)))</f>
        <v>0</v>
      </c>
      <c r="BO232" s="409"/>
      <c r="BP232" s="398">
        <f>IF(BO232=0,0,IF(LEN(BE232)=11,_xlfn.XLOOKUP(BE232,'Dispensed Ink Rates'!C:C,'Dispensed Ink Rates'!CS:CS),VLOOKUP(BE232,'Jan-2026 rates'!$E:$F,2,0)))</f>
        <v>0</v>
      </c>
      <c r="BQ232" s="409"/>
      <c r="BR232" s="398">
        <f>IF(BQ232=0,0,IF(LEN(BF232)=11,_xlfn.XLOOKUP(BF232,'Dispensed Ink Rates'!C:C,'Dispensed Ink Rates'!CS:CS),VLOOKUP(BF232,'Jan-2026 rates'!$E:$F,2,0)))</f>
        <v>0</v>
      </c>
      <c r="BS232" s="409"/>
      <c r="BT232" s="398">
        <f>IF(BS232=0,0,IF(LEN(BG232)=11,_xlfn.XLOOKUP(BG232,'Dispensed Ink Rates'!C:C,'Dispensed Ink Rates'!CS:CS),VLOOKUP(BG232,'Jan-2026 rates'!$E:$F,2,0)))</f>
        <v>0</v>
      </c>
      <c r="BU232" s="409"/>
      <c r="BV232" s="398">
        <f>IF(BU232=0,0,IF(LEN(BH232)=11,_xlfn.XLOOKUP(BH232,'Dispensed Ink Rates'!C:C,'Dispensed Ink Rates'!CS:CS),VLOOKUP(BH232,'Jan-2026 rates'!$E:$F,2,0)))</f>
        <v>0</v>
      </c>
      <c r="BW232" s="409"/>
      <c r="BX232" s="398">
        <f>IF(BW232=0,0,IF(LEN(BI232)=11,_xlfn.XLOOKUP(BI232,'Dispensed Ink Rates'!C:C,'Dispensed Ink Rates'!CS:CS),VLOOKUP(BI232,'Jan-2026 rates'!$E:$F,2,0)))</f>
        <v>0</v>
      </c>
      <c r="BY232" s="409"/>
      <c r="BZ232" s="398">
        <f>IF(BY232=0,0,IF(LEN(BJ232)=11,_xlfn.XLOOKUP(BJ232,'Dispensed Ink Rates'!C:C,'Dispensed Ink Rates'!CS:CS),VLOOKUP(BJ232,'Jan-2026 rates'!$E:$F,2,0)))</f>
        <v>0</v>
      </c>
      <c r="CA232" s="409" t="s">
        <v>1443</v>
      </c>
      <c r="CB232" s="409">
        <v>30</v>
      </c>
      <c r="CC232" s="411">
        <f t="shared" si="162"/>
        <v>0</v>
      </c>
      <c r="CD232" s="411">
        <f t="shared" si="163"/>
        <v>11</v>
      </c>
      <c r="CE232" s="410">
        <f t="shared" si="164"/>
        <v>0</v>
      </c>
      <c r="CF232" s="404" t="s">
        <v>855</v>
      </c>
      <c r="CG232" s="409" t="s">
        <v>3948</v>
      </c>
      <c r="CH232" s="420" t="str">
        <f t="shared" si="132"/>
        <v>FLINTSL - CYAN</v>
      </c>
      <c r="CI232" s="409">
        <v>10</v>
      </c>
      <c r="CJ232" s="411">
        <f>IF(CI232=0,0,IF($LB232=70%,VLOOKUP($CH232,'Jan-2026 rates'!$L:$R,4,0),IF($LB232=65%,VLOOKUP($CH232,'Jan-2026 rates'!$L:$R,4,0),IF($LB232=40%,VLOOKUP($CH232,'Jan-2026 rates'!$L:$R,5,0),IF($LB232=30%,VLOOKUP($CH232,'Jan-2026 rates'!$L:$R,6,0),IF($LB232=100%,VLOOKUP($CH232,'Jan-2026 rates'!$L:$R,7,0),IF($LB232=60%,VLOOKUP($CH232,'Jan-2026 rates'!$L:$S,8,0),IF($LB232=80%,VLOOKUP($CH232,'Jan-2026 rates'!L:T,9,0),0))))))))</f>
        <v>0</v>
      </c>
      <c r="CK232" s="412"/>
      <c r="CL232" s="409"/>
      <c r="CM232" s="411">
        <f>IF(CL232=0,0,IF($LB232=70%,VLOOKUP($CH232,'Jan-2026 rates'!$L:$R,4,0),IF($LB232=65%,VLOOKUP($CH232,'Jan-2026 rates'!$L:$R,4,0),IF($LB232=40%,VLOOKUP($CH232,'Jan-2026 rates'!$L:$R,5,0),IF($LB232=30%,VLOOKUP($CH232,'Jan-2026 rates'!$L:$R,6,0),IF($LB232=100%,VLOOKUP($CH232,'Jan-2026 rates'!$L:$R,7,0),IF($LB232=60%,VLOOKUP($CH232,'Jan-2026 rates'!$L:$S,8,0),IF($LB232=80%,VLOOKUP($CH232,'Jan-2026 rates'!L:T,9,0),0))))))))</f>
        <v>0</v>
      </c>
      <c r="CN232" s="426">
        <v>26516000006</v>
      </c>
      <c r="CO232" s="427" t="s">
        <v>1266</v>
      </c>
      <c r="CP232" s="426"/>
      <c r="CQ232" s="426"/>
      <c r="CR232" s="428"/>
      <c r="CS232" s="428"/>
      <c r="CT232" s="428"/>
      <c r="CU232" s="428"/>
      <c r="CV232" s="409">
        <f>4+3</f>
        <v>7</v>
      </c>
      <c r="CW232" s="398" t="e">
        <f>IF(CV232=0,0,IF(LEN(CN232)=11,_xlfn.XLOOKUP(CN232,'Dispensed Ink Rates'!C:C,'Dispensed Ink Rates'!CS:CS),VLOOKUP(CN232,'Jan-2026 rates'!$E:$F,2,0)))</f>
        <v>#N/A</v>
      </c>
      <c r="CX232" s="409">
        <f>6+6</f>
        <v>12</v>
      </c>
      <c r="CY232" s="398">
        <f>IF(CX232=0,0,IF(LEN(CO232)=11,_xlfn.XLOOKUP(CO232,'Dispensed Ink Rates'!C:C,'Dispensed Ink Rates'!CS:CS),VLOOKUP(CO232,'Jan-2026 rates'!$E:$F,2,0)))</f>
        <v>0</v>
      </c>
      <c r="CZ232" s="409"/>
      <c r="DA232" s="398">
        <f>IF(CZ232=0,0,IF(LEN(CP232)=11,_xlfn.XLOOKUP(CP232,'Dispensed Ink Rates'!C:C,'Dispensed Ink Rates'!CS:CS),VLOOKUP(CP232,'Jan-2026 rates'!$E:$F,2,0)))</f>
        <v>0</v>
      </c>
      <c r="DB232" s="409"/>
      <c r="DC232" s="398">
        <f>IF(DB232=0,0,IF(LEN(CQ232)=11,_xlfn.XLOOKUP(CQ232,'Dispensed Ink Rates'!C:C,'Dispensed Ink Rates'!CS:CS),VLOOKUP(CQ232,'Jan-2026 rates'!$E:$F,2,0)))</f>
        <v>0</v>
      </c>
      <c r="DD232" s="409"/>
      <c r="DE232" s="398">
        <f>IF(DD232=0,0,IF(LEN(CR232)=11,_xlfn.XLOOKUP(CR232,'Dispensed Ink Rates'!C:C,'Dispensed Ink Rates'!CS:CS),VLOOKUP(CR232,'Jan-2026 rates'!$E:$F,2,0)))</f>
        <v>0</v>
      </c>
      <c r="DF232" s="409"/>
      <c r="DG232" s="398">
        <f>IF(DF232=0,0,IF(LEN(CS232)=11,_xlfn.XLOOKUP(CS232,'Dispensed Ink Rates'!C:C,'Dispensed Ink Rates'!CS:CS),VLOOKUP(CS232,'Jan-2026 rates'!$E:$F,2,0)))</f>
        <v>0</v>
      </c>
      <c r="DH232" s="409"/>
      <c r="DI232" s="398">
        <f>IF(DH232=0,0,IF(LEN(CT232)=11,_xlfn.XLOOKUP(CT232,'Dispensed Ink Rates'!C:C,'Dispensed Ink Rates'!CS:CS),VLOOKUP(CT232,'Jan-2026 rates'!$E:$F,2,0)))</f>
        <v>0</v>
      </c>
      <c r="DJ232" s="409"/>
      <c r="DK232" s="398">
        <f>IF(DJ232=0,0,IF(LEN(CU232)=11,_xlfn.XLOOKUP(CU232,'Dispensed Ink Rates'!C:C,'Dispensed Ink Rates'!CS:CS),VLOOKUP(CU232,'Jan-2026 rates'!$E:$F,2,0)))</f>
        <v>0</v>
      </c>
      <c r="DL232" s="409" t="s">
        <v>1443</v>
      </c>
      <c r="DM232" s="409">
        <v>26</v>
      </c>
      <c r="DN232" s="411">
        <f t="shared" si="165"/>
        <v>0</v>
      </c>
      <c r="DO232" s="411">
        <f t="shared" si="166"/>
        <v>27</v>
      </c>
      <c r="DP232" s="410">
        <f t="shared" si="167"/>
        <v>0</v>
      </c>
      <c r="DQ232" s="405" t="s">
        <v>855</v>
      </c>
      <c r="DR232" s="409"/>
      <c r="DS232" s="420" t="str">
        <f t="shared" si="133"/>
        <v>FLINTSL - CYAN</v>
      </c>
      <c r="DT232" s="409"/>
      <c r="DU232" s="411">
        <f>IF(DT232=0,0,IF($LB232=70%,VLOOKUP($DS232,'Jan-2026 rates'!$L:$R,4,0),IF($LB232=65%,VLOOKUP($DS232,'Jan-2026 rates'!$L:$R,4,0),IF($LB232=40%,VLOOKUP($DS232,'Jan-2026 rates'!$L:$R,5,0),IF($LB232=30%,VLOOKUP($DS232,'Jan-2026 rates'!$L:$R,6,0),IF($LB232=100%,VLOOKUP($DS232,'Jan-2026 rates'!$L:$R,7,0),IF($LB232=60%,VLOOKUP($DS232,'Jan-2026 rates'!$L:$S,8,0),IF($LB232=80%,VLOOKUP($DS232,'Jan-2026 rates'!L:T,9,0),0))))))))</f>
        <v>0</v>
      </c>
      <c r="DV232" s="412"/>
      <c r="DW232" s="409"/>
      <c r="DX232" s="411">
        <f>IF(DW232=0,0,IF($LB232=70%,VLOOKUP($DS232,'Jan-2026 rates'!$L:$R,4,0),IF($LB232=65%,VLOOKUP($DS232,'Jan-2026 rates'!$L:$R,4,0),IF($LB232=40%,VLOOKUP($DS232,'Jan-2026 rates'!$L:$R,5,0),IF($LB232=30%,VLOOKUP($DS232,'Jan-2026 rates'!$L:$R,6,0),IF($LB232=100%,VLOOKUP($DS232,'Jan-2026 rates'!$L:$R,7,0),IF($LB232=60%,VLOOKUP($DS232,'Jan-2026 rates'!$L:$S,8,0),IF($LB232=80%,VLOOKUP($DS232,'Jan-2026 rates'!L:T,9,0),0))))))))</f>
        <v>0</v>
      </c>
      <c r="DY232" s="413">
        <v>26517000025</v>
      </c>
      <c r="DZ232" s="413">
        <v>26516000006</v>
      </c>
      <c r="EA232" s="412" t="s">
        <v>1266</v>
      </c>
      <c r="EB232" s="412"/>
      <c r="EC232" s="412"/>
      <c r="ED232" s="412"/>
      <c r="EE232" s="412"/>
      <c r="EF232" s="412"/>
      <c r="EG232" s="409">
        <v>30</v>
      </c>
      <c r="EH232" s="398" t="e">
        <f>IF(EG232=0,0,IF(LEN(DY232)=11,_xlfn.XLOOKUP(DY232,'Dispensed Ink Rates'!C:C,'Dispensed Ink Rates'!CS:CS),VLOOKUP(DY232,'Jan-2026 rates'!$E:$F,2,0)))</f>
        <v>#N/A</v>
      </c>
      <c r="EI232" s="409">
        <f>2+3</f>
        <v>5</v>
      </c>
      <c r="EJ232" s="398" t="e">
        <f>IF(EI232=0,0,IF(LEN(DZ232)=11,_xlfn.XLOOKUP(DZ232,'Dispensed Ink Rates'!C:C,'Dispensed Ink Rates'!CS:CS),VLOOKUP(DZ232,'Jan-2026 rates'!$E:$F,2,0)))</f>
        <v>#N/A</v>
      </c>
      <c r="EK232" s="409">
        <v>10</v>
      </c>
      <c r="EL232" s="398">
        <f>IF(EK232=0,0,IF(LEN(EA232)=11,_xlfn.XLOOKUP(EA232,'Dispensed Ink Rates'!C:C,'Dispensed Ink Rates'!CS:CS),VLOOKUP(EA232,'Jan-2026 rates'!$E:$F,2,0)))</f>
        <v>0</v>
      </c>
      <c r="EM232" s="409"/>
      <c r="EN232" s="398">
        <f>IF(EM232=0,0,IF(LEN(EB232)=11,_xlfn.XLOOKUP(EB232,'Dispensed Ink Rates'!C:C,'Dispensed Ink Rates'!CS:CS),VLOOKUP(EB232,'Jan-2026 rates'!$E:$F,2,0)))</f>
        <v>0</v>
      </c>
      <c r="EO232" s="409"/>
      <c r="EP232" s="398">
        <f>IF(EO232=0,0,IF(LEN(EC232)=11,_xlfn.XLOOKUP(EC232,'Dispensed Ink Rates'!C:C,'Dispensed Ink Rates'!CS:CS),VLOOKUP(EC232,'Jan-2026 rates'!$E:$F,2,0)))</f>
        <v>0</v>
      </c>
      <c r="EQ232" s="409"/>
      <c r="ER232" s="398">
        <f>IF(EQ232=0,0,IF(LEN(ED232)=11,_xlfn.XLOOKUP(ED232,'Dispensed Ink Rates'!C:C,'Dispensed Ink Rates'!CS:CS),VLOOKUP(ED232,'Jan-2026 rates'!$E:$F,2,0)))</f>
        <v>0</v>
      </c>
      <c r="ES232" s="409"/>
      <c r="ET232" s="398">
        <f>IF(ES232=0,0,IF(LEN(EE232)=11,_xlfn.XLOOKUP(EE232,'Dispensed Ink Rates'!C:C,'Dispensed Ink Rates'!CS:CS),VLOOKUP(EE232,'Jan-2026 rates'!$E:$F,2,0)))</f>
        <v>0</v>
      </c>
      <c r="EU232" s="409"/>
      <c r="EV232" s="398">
        <f>IF(EU232=0,0,IF(LEN(EF232)=11,_xlfn.XLOOKUP(EF232,'Dispensed Ink Rates'!C:C,'Dispensed Ink Rates'!CS:CS),VLOOKUP(EF232,'Jan-2026 rates'!$E:$F,2,0)))</f>
        <v>0</v>
      </c>
      <c r="EW232" s="409" t="s">
        <v>1443</v>
      </c>
      <c r="EX232" s="409">
        <v>30</v>
      </c>
      <c r="EY232" s="411">
        <f t="shared" si="168"/>
        <v>0</v>
      </c>
      <c r="EZ232" s="411">
        <f t="shared" si="169"/>
        <v>27</v>
      </c>
      <c r="FA232" s="410">
        <f t="shared" si="170"/>
        <v>0</v>
      </c>
      <c r="FB232" s="405" t="s">
        <v>544</v>
      </c>
      <c r="FC232" s="409" t="s">
        <v>3949</v>
      </c>
      <c r="FD232" s="420" t="str">
        <f t="shared" si="134"/>
        <v>FLINTSL - MAGENTA</v>
      </c>
      <c r="FE232" s="409">
        <v>31</v>
      </c>
      <c r="FF232" s="411">
        <f>IF(FE232=0,0,IF($LB232=70%,VLOOKUP($FD232,'Jan-2026 rates'!$L:$R,4,0),IF($LB232=65%,VLOOKUP($FD232,'Jan-2026 rates'!$L:$R,4,0),IF($LB232=40%,VLOOKUP($FD232,'Jan-2026 rates'!$L:$R,5,0),IF($LB232=30%,VLOOKUP($FD232,'Jan-2026 rates'!$L:$R,6,0),IF($LB232=100%,VLOOKUP($FD232,'Jan-2026 rates'!$L:$R,7,0),IF($LB232=60%,VLOOKUP($FD232,'Jan-2026 rates'!$L:$S,8,0),IF($LB232=80%,VLOOKUP($FD232,'Jan-2026 rates'!L:T,9,0),0))))))))</f>
        <v>0</v>
      </c>
      <c r="FG232" s="412"/>
      <c r="FH232" s="409"/>
      <c r="FI232" s="411">
        <f>IF(FH232=0,0,IF($LB232=70%,VLOOKUP($FD232,'Jan-2026 rates'!$L:$R,4,0),IF($LB232=65%,VLOOKUP($FD232,'Jan-2026 rates'!$L:$R,4,0),IF($LB232=40%,VLOOKUP($FD232,'Jan-2026 rates'!$L:$R,5,0),IF($LB232=30%,VLOOKUP($FD232,'Jan-2026 rates'!$L:$R,6,0),IF($LB232=100%,VLOOKUP($FD232,'Jan-2026 rates'!$L:$R,7,0),IF($LB232=60%,VLOOKUP($FD232,'Jan-2026 rates'!$L:$S,8,0),IF($LB232=80%,VLOOKUP($FD232,'Jan-2026 rates'!L:T,9,0),0))))))))</f>
        <v>0</v>
      </c>
      <c r="FJ232" s="413">
        <v>26517000020</v>
      </c>
      <c r="FK232" s="413"/>
      <c r="FL232" s="413"/>
      <c r="FM232" s="412"/>
      <c r="FN232" s="412"/>
      <c r="FO232" s="412"/>
      <c r="FP232" s="412"/>
      <c r="FQ232" s="412"/>
      <c r="FR232" s="409">
        <f>6+1</f>
        <v>7</v>
      </c>
      <c r="FS232" s="398" t="e">
        <f>IF(FR232=0,0,IF(LEN(FJ232)=11,_xlfn.XLOOKUP(FJ232,'Dispensed Ink Rates'!C:C,'Dispensed Ink Rates'!CS:CS),VLOOKUP(FJ232,'Jan-2026 rates'!$E:$F,2,0)))</f>
        <v>#N/A</v>
      </c>
      <c r="FT232" s="409"/>
      <c r="FU232" s="398">
        <f>IF(FT232=0,0,IF(LEN(FK232)=11,_xlfn.XLOOKUP(FK232,'Dispensed Ink Rates'!C:C,'Dispensed Ink Rates'!CS:CS),VLOOKUP(FK232,'Jan-2026 rates'!$E:$F,2,0)))</f>
        <v>0</v>
      </c>
      <c r="FV232" s="409"/>
      <c r="FW232" s="398">
        <f>IF(FV232=0,0,IF(LEN(FL232)=11,_xlfn.XLOOKUP(FL232,'Dispensed Ink Rates'!C:C,'Dispensed Ink Rates'!CS:CS),VLOOKUP(FL232,'Jan-2026 rates'!$E:$F,2,0)))</f>
        <v>0</v>
      </c>
      <c r="FX232" s="409"/>
      <c r="FY232" s="398">
        <f>IF(FX232=0,0,IF(LEN(FM232)=11,_xlfn.XLOOKUP(FM232,'Dispensed Ink Rates'!C:C,'Dispensed Ink Rates'!CS:CS),VLOOKUP(FM232,'Jan-2026 rates'!$E:$F,2,0)))</f>
        <v>0</v>
      </c>
      <c r="FZ232" s="409"/>
      <c r="GA232" s="398">
        <f>IF(FZ232=0,0,IF(LEN(FN232)=11,_xlfn.XLOOKUP(FN232,'Dispensed Ink Rates'!C:C,'Dispensed Ink Rates'!CS:CS),VLOOKUP(FN232,'Jan-2026 rates'!$E:$F,2,0)))</f>
        <v>0</v>
      </c>
      <c r="GB232" s="409"/>
      <c r="GC232" s="398">
        <f>IF(GB232=0,0,IF(LEN(FO232)=11,_xlfn.XLOOKUP(FO232,'Dispensed Ink Rates'!C:C,'Dispensed Ink Rates'!CS:CS),VLOOKUP(FO232,'Jan-2026 rates'!$E:$F,2,0)))</f>
        <v>0</v>
      </c>
      <c r="GD232" s="409"/>
      <c r="GE232" s="398">
        <f>IF(GD232=0,0,IF(LEN(FP232)=11,_xlfn.XLOOKUP(FP232,'Dispensed Ink Rates'!C:C,'Dispensed Ink Rates'!CS:CS),VLOOKUP(FP232,'Jan-2026 rates'!$E:$F,2,0)))</f>
        <v>0</v>
      </c>
      <c r="GF232" s="409"/>
      <c r="GG232" s="398">
        <f>IF(GF232=0,0,IF(LEN(FQ232)=11,_xlfn.XLOOKUP(FQ232,'Dispensed Ink Rates'!C:C,'Dispensed Ink Rates'!CS:CS),VLOOKUP(FQ232,'Jan-2026 rates'!$E:$F,2,0)))</f>
        <v>0</v>
      </c>
      <c r="GH232" s="409" t="s">
        <v>1443</v>
      </c>
      <c r="GI232" s="409">
        <v>29</v>
      </c>
      <c r="GJ232" s="411">
        <f t="shared" si="171"/>
        <v>0</v>
      </c>
      <c r="GK232" s="411">
        <f t="shared" si="172"/>
        <v>21</v>
      </c>
      <c r="GL232" s="410">
        <f t="shared" si="173"/>
        <v>0</v>
      </c>
      <c r="GM232" s="405" t="s">
        <v>545</v>
      </c>
      <c r="GN232" s="409" t="s">
        <v>3950</v>
      </c>
      <c r="GO232" s="420" t="str">
        <f t="shared" si="135"/>
        <v>FLINTSL - YELLOW</v>
      </c>
      <c r="GP232" s="409">
        <v>24</v>
      </c>
      <c r="GQ232" s="411">
        <f>IF(GP232=0,0,IF($LB232=70%,VLOOKUP($GO232,'Jan-2026 rates'!$L:$R,4,0),IF($LB232=65%,VLOOKUP($GO232,'Jan-2026 rates'!$L:$R,4,0),IF($LB232=40%,VLOOKUP($GO232,'Jan-2026 rates'!$L:$R,5,0),IF($LB232=30%,VLOOKUP($GO232,'Jan-2026 rates'!$L:$R,6,0),IF($LB232=100%,VLOOKUP($GO232,'Jan-2026 rates'!$L:$R,7,0),IF($LB232=60%,VLOOKUP($GO232,'Jan-2026 rates'!$L:$S,8,0),IF($LB232=80%,VLOOKUP($GO232,'Jan-2026 rates'!L:T,9,0),0))))))))</f>
        <v>0</v>
      </c>
      <c r="GR232" s="412"/>
      <c r="GS232" s="409"/>
      <c r="GT232" s="411">
        <f>IF(GS232=0,0,IF($LB232=70%,VLOOKUP($GO232,'Jan-2026 rates'!$L:$R,4,0),IF($LB232=65%,VLOOKUP($GO232,'Jan-2026 rates'!$L:$R,4,0),IF($LB232=40%,VLOOKUP($GO232,'Jan-2026 rates'!$L:$R,5,0),IF($LB232=30%,VLOOKUP($GO232,'Jan-2026 rates'!$L:$R,6,0),IF($LB232=100%,VLOOKUP($GO232,'Jan-2026 rates'!$L:$R,7,0),IF($LB232=60%,VLOOKUP($GO232,'Jan-2026 rates'!$L:$S,8,0),IF($LB232=80%,VLOOKUP($GO232,'Jan-2026 rates'!L:T,9,0),0))))))))</f>
        <v>0</v>
      </c>
      <c r="GU232" s="413">
        <v>26517000013</v>
      </c>
      <c r="GV232" s="413" t="s">
        <v>1266</v>
      </c>
      <c r="GW232" s="412"/>
      <c r="GX232" s="412"/>
      <c r="GY232" s="412"/>
      <c r="GZ232" s="412"/>
      <c r="HA232" s="412"/>
      <c r="HB232" s="412"/>
      <c r="HC232" s="409">
        <f>15+10</f>
        <v>25</v>
      </c>
      <c r="HD232" s="398" t="e">
        <f>IF(HC232=0,0,IF(LEN(GU232)=11,_xlfn.XLOOKUP(GU232,'Dispensed Ink Rates'!C:C,'Dispensed Ink Rates'!CS:CS),VLOOKUP(GU232,'Jan-2026 rates'!$E:$F,2,0)))</f>
        <v>#N/A</v>
      </c>
      <c r="HE232" s="409">
        <v>10</v>
      </c>
      <c r="HF232" s="398">
        <f>IF(HE232=0,0,IF(LEN(GV232)=11,_xlfn.XLOOKUP(GV232,'Dispensed Ink Rates'!C:C,'Dispensed Ink Rates'!CS:CS),VLOOKUP(GV232,'Jan-2026 rates'!$E:$F,2,0)))</f>
        <v>0</v>
      </c>
      <c r="HG232" s="409"/>
      <c r="HH232" s="398">
        <f>IF(HG232=0,0,IF(LEN(GW232)=11,_xlfn.XLOOKUP(GW232,'Dispensed Ink Rates'!C:C,'Dispensed Ink Rates'!CS:CS),VLOOKUP(GW232,'Jan-2026 rates'!$E:$F,2,0)))</f>
        <v>0</v>
      </c>
      <c r="HI232" s="409"/>
      <c r="HJ232" s="398">
        <f>IF(HI232=0,0,IF(LEN(GX232)=11,_xlfn.XLOOKUP(GX232,'Dispensed Ink Rates'!C:C,'Dispensed Ink Rates'!CS:CS),VLOOKUP(GX232,'Jan-2026 rates'!$E:$F,2,0)))</f>
        <v>0</v>
      </c>
      <c r="HK232" s="409"/>
      <c r="HL232" s="398">
        <f>IF(HK232=0,0,IF(LEN(GY232)=11,_xlfn.XLOOKUP(GY232,'Dispensed Ink Rates'!C:C,'Dispensed Ink Rates'!CS:CS),VLOOKUP(GY232,'Jan-2026 rates'!$E:$F,2,0)))</f>
        <v>0</v>
      </c>
      <c r="HM232" s="409"/>
      <c r="HN232" s="398">
        <f>IF(HM232=0,0,IF(LEN(GZ232)=11,_xlfn.XLOOKUP(GZ232,'Dispensed Ink Rates'!C:C,'Dispensed Ink Rates'!CS:CS),VLOOKUP(GZ232,'Jan-2026 rates'!$E:$F,2,0)))</f>
        <v>0</v>
      </c>
      <c r="HO232" s="409"/>
      <c r="HP232" s="398">
        <f>IF(HO232=0,0,IF(LEN(HA232)=11,_xlfn.XLOOKUP(HA232,'Dispensed Ink Rates'!C:C,'Dispensed Ink Rates'!CS:CS),VLOOKUP(HA232,'Jan-2026 rates'!$E:$F,2,0)))</f>
        <v>0</v>
      </c>
      <c r="HQ232" s="409"/>
      <c r="HR232" s="398">
        <f>IF(HQ232=0,0,IF(LEN(HB232)=11,_xlfn.XLOOKUP(HB232,'Dispensed Ink Rates'!C:C,'Dispensed Ink Rates'!CS:CS),VLOOKUP(HB232,'Jan-2026 rates'!$E:$F,2,0)))</f>
        <v>0</v>
      </c>
      <c r="HS232" s="409" t="s">
        <v>1443</v>
      </c>
      <c r="HT232" s="409">
        <v>24</v>
      </c>
      <c r="HU232" s="411">
        <f t="shared" si="174"/>
        <v>0</v>
      </c>
      <c r="HV232" s="411">
        <f t="shared" si="175"/>
        <v>59</v>
      </c>
      <c r="HW232" s="414">
        <f t="shared" si="176"/>
        <v>0</v>
      </c>
      <c r="HX232" s="405" t="s">
        <v>856</v>
      </c>
      <c r="HY232" s="409" t="s">
        <v>3951</v>
      </c>
      <c r="HZ232" s="420" t="str">
        <f t="shared" si="136"/>
        <v>FLINTSL - WHITE</v>
      </c>
      <c r="IA232" s="409">
        <v>30</v>
      </c>
      <c r="IB232" s="411">
        <f>IF(IA232=0,0,IF($LB232=70%,VLOOKUP($HZ232,'Jan-2026 rates'!$L:$R,4,0),IF($LB232=65%,VLOOKUP($HZ232,'Jan-2026 rates'!$L:$R,4,0),IF($LB232=40%,VLOOKUP($HZ232,'Jan-2026 rates'!$L:$R,5,0),IF($LB232=30%,VLOOKUP($HZ232,'Jan-2026 rates'!$L:$R,6,0),IF($LB232=100%,VLOOKUP($HZ232,'Jan-2026 rates'!$L:$R,7,0),IF($LB232=60%,VLOOKUP($HZ232,'Jan-2026 rates'!$L:$S,8,0),IF($LB232=80%,VLOOKUP($HZ232,'Jan-2026 rates'!L:T,9,0),0))))))))</f>
        <v>0</v>
      </c>
      <c r="IC232" s="412"/>
      <c r="ID232" s="409"/>
      <c r="IE232" s="411">
        <f>IF(ID232=0,0,IF($LB232=70%,VLOOKUP($HZ232,'Jan-2026 rates'!$L:$R,4,0),IF($LB232=65%,VLOOKUP($HZ232,'Jan-2026 rates'!$L:$R,4,0),IF($LB232=40%,VLOOKUP($HZ232,'Jan-2026 rates'!$L:$R,5,0),IF($LB232=30%,VLOOKUP($HZ232,'Jan-2026 rates'!$L:$R,6,0),IF($LB232=100%,VLOOKUP($HZ232,'Jan-2026 rates'!$L:$R,7,0),IF($LB232=60%,VLOOKUP($HZ232,'Jan-2026 rates'!$L:$S,8,0),IF($LB232=80%,VLOOKUP($HZ232,'Jan-2026 rates'!L:T,9,0),0))))))))</f>
        <v>0</v>
      </c>
      <c r="IF232" s="412" t="s">
        <v>484</v>
      </c>
      <c r="IG232" s="413"/>
      <c r="IH232" s="412"/>
      <c r="II232" s="412"/>
      <c r="IJ232" s="412"/>
      <c r="IK232" s="412"/>
      <c r="IL232" s="412"/>
      <c r="IM232" s="412"/>
      <c r="IN232" s="409">
        <v>25</v>
      </c>
      <c r="IO232" s="398">
        <f>IF(IN232=0,0,IF(LEN(IF232)=11,_xlfn.XLOOKUP(IF232,'Dispensed Ink Rates'!C:C,'Dispensed Ink Rates'!CS:CS),VLOOKUP(IF232,'Jan-2026 rates'!$E:$F,2,0)))</f>
        <v>0</v>
      </c>
      <c r="IP232" s="409"/>
      <c r="IQ232" s="398">
        <f>IF(IP232=0,0,IF(LEN(IG232)=11,_xlfn.XLOOKUP(IG232,'Dispensed Ink Rates'!C:C,'Dispensed Ink Rates'!CS:CS),VLOOKUP(IG232,'Jan-2026 rates'!$E:$F,2,0)))</f>
        <v>0</v>
      </c>
      <c r="IR232" s="409"/>
      <c r="IS232" s="398">
        <f>IF(IR232=0,0,IF(LEN(IH232)=11,_xlfn.XLOOKUP(IH232,'Dispensed Ink Rates'!C:C,'Dispensed Ink Rates'!CS:CS),VLOOKUP(IH232,'Jan-2026 rates'!$E:$F,2,0)))</f>
        <v>0</v>
      </c>
      <c r="IT232" s="409"/>
      <c r="IU232" s="398">
        <f>IF(IT232=0,0,IF(LEN(II232)=11,_xlfn.XLOOKUP(II232,'Dispensed Ink Rates'!C:C,'Dispensed Ink Rates'!CS:CS),VLOOKUP(II232,'Jan-2026 rates'!$E:$F,2,0)))</f>
        <v>0</v>
      </c>
      <c r="IV232" s="409"/>
      <c r="IW232" s="398">
        <f>IF(IV232=0,0,IF(LEN(IJ232)=11,_xlfn.XLOOKUP(IJ232,'Dispensed Ink Rates'!C:C,'Dispensed Ink Rates'!CS:CS),VLOOKUP(IJ232,'Jan-2026 rates'!$E:$F,2,0)))</f>
        <v>0</v>
      </c>
      <c r="IX232" s="409"/>
      <c r="IY232" s="398">
        <f>IF(IX232=0,0,IF(LEN(IK232)=11,_xlfn.XLOOKUP(IK232,'Dispensed Ink Rates'!C:C,'Dispensed Ink Rates'!CS:CS),VLOOKUP(IK232,'Jan-2026 rates'!$E:$F,2,0)))</f>
        <v>0</v>
      </c>
      <c r="IZ232" s="409"/>
      <c r="JA232" s="398">
        <f>IF(IZ232=0,0,IF(LEN(IL232)=11,_xlfn.XLOOKUP(IL232,'Dispensed Ink Rates'!C:C,'Dispensed Ink Rates'!CS:CS),VLOOKUP(IL232,'Jan-2026 rates'!$E:$F,2,0)))</f>
        <v>0</v>
      </c>
      <c r="JB232" s="409"/>
      <c r="JC232" s="398">
        <f>IF(JB232=0,0,IF(LEN(IM232)=11,_xlfn.XLOOKUP(IM232,'Dispensed Ink Rates'!C:C,'Dispensed Ink Rates'!CS:CS),VLOOKUP(IM232,'Jan-2026 rates'!$E:$F,2,0)))</f>
        <v>0</v>
      </c>
      <c r="JD232" s="409" t="s">
        <v>1443</v>
      </c>
      <c r="JE232" s="409">
        <v>24</v>
      </c>
      <c r="JF232" s="411">
        <f t="shared" si="177"/>
        <v>0</v>
      </c>
      <c r="JG232" s="411">
        <f t="shared" si="178"/>
        <v>67</v>
      </c>
      <c r="JH232" s="410">
        <f t="shared" si="179"/>
        <v>0</v>
      </c>
      <c r="JI232" s="405"/>
      <c r="JJ232" s="409"/>
      <c r="JK232" s="420" t="str">
        <f t="shared" si="137"/>
        <v xml:space="preserve"> - </v>
      </c>
      <c r="JL232" s="409"/>
      <c r="JM232" s="411">
        <f>IF(JL232=0,0,IF($LB232=70%,VLOOKUP($JK232,'Jan-2026 rates'!$L:$R,4,0),IF($LB232=65%,VLOOKUP($JK232,'Jan-2026 rates'!$L:$R,4,0),IF($LB232=40%,VLOOKUP($JK232,'Jan-2026 rates'!$L:$R,5,0),IF($LB232=30%,VLOOKUP($JK232,'Jan-2026 rates'!$L:$R,6,0),IF($LB232=100%,VLOOKUP($JK232,'Jan-2026 rates'!$L:$R,7,0),IF($LB232=60%,VLOOKUP($JK232,'Jan-2026 rates'!$L:$S,8,0),IF($LB232=80%,VLOOKUP($JK232,'Jan-2026 rates'!L:T,9,0),0))))))))</f>
        <v>0</v>
      </c>
      <c r="JN232" s="412"/>
      <c r="JO232" s="409"/>
      <c r="JP232" s="411">
        <f>IF(JO232=0,0,IF($LB232=70%,VLOOKUP($JK232,'Jan-2026 rates'!$L:$R,4,0),IF($LB232=65%,VLOOKUP($JK232,'Jan-2026 rates'!$L:$R,4,0),IF($LB232=40%,VLOOKUP($JK232,'Jan-2026 rates'!$L:$R,5,0),IF($LB232=30%,VLOOKUP($JK232,'Jan-2026 rates'!$L:$R,6,0),IF($LB232=100%,VLOOKUP($JK232,'Jan-2026 rates'!$L:$R,7,0),IF($LB232=60%,VLOOKUP($JK232,'Jan-2026 rates'!$L:$S,8,0),IF($LB232=80%,VLOOKUP($JK232,'Jan-2026 rates'!L:T,9,0),0))))))))</f>
        <v>0</v>
      </c>
      <c r="JQ232" s="413"/>
      <c r="JR232" s="412"/>
      <c r="JS232" s="413"/>
      <c r="JT232" s="413"/>
      <c r="JU232" s="412"/>
      <c r="JV232" s="412"/>
      <c r="JW232" s="412"/>
      <c r="JX232" s="412"/>
      <c r="JY232" s="409"/>
      <c r="JZ232" s="398">
        <f>IF(JY232=0,0,IF(LEN(JQ232)=11,_xlfn.XLOOKUP(JQ232,'Dispensed Ink Rates'!C:C,'Dispensed Ink Rates'!CS:CS),VLOOKUP(JQ232,'Jan-2026 rates'!$E:$F,2,0)))</f>
        <v>0</v>
      </c>
      <c r="KA232" s="409"/>
      <c r="KB232" s="398">
        <f>IF(KA232=0,0,IF(LEN(JR232)=11,_xlfn.XLOOKUP(JR232,'Dispensed Ink Rates'!C:C,'Dispensed Ink Rates'!CS:CS),VLOOKUP(JR232,'Jan-2026 rates'!$E:$F,2,0)))</f>
        <v>0</v>
      </c>
      <c r="KC232" s="409"/>
      <c r="KD232" s="398">
        <f>IF(KC232=0,0,IF(LEN(JS232)=11,_xlfn.XLOOKUP(JS232,'Dispensed Ink Rates'!C:C,'Dispensed Ink Rates'!CS:CS),VLOOKUP(JS232,'Jan-2026 rates'!$E:$F,2,0)))</f>
        <v>0</v>
      </c>
      <c r="KE232" s="409"/>
      <c r="KF232" s="398">
        <f>IF(KE232=0,0,IF(LEN(JT232)=11,_xlfn.XLOOKUP(JT232,'Dispensed Ink Rates'!C:C,'Dispensed Ink Rates'!CS:CS),VLOOKUP(JT232,'Jan-2026 rates'!$E:$F,2,0)))</f>
        <v>0</v>
      </c>
      <c r="KG232" s="409"/>
      <c r="KH232" s="398">
        <f>IF(KG232=0,0,IF(LEN(JU232)=11,_xlfn.XLOOKUP(JU232,'Dispensed Ink Rates'!C:C,'Dispensed Ink Rates'!CS:CS),VLOOKUP(JU232,'Jan-2026 rates'!$E:$F,2,0)))</f>
        <v>0</v>
      </c>
      <c r="KI232" s="409"/>
      <c r="KJ232" s="398">
        <f>IF(KI232=0,0,IF(LEN(JV232)=11,_xlfn.XLOOKUP(JV232,'Dispensed Ink Rates'!C:C,'Dispensed Ink Rates'!CS:CS),VLOOKUP(JV232,'Jan-2026 rates'!$E:$F,2,0)))</f>
        <v>0</v>
      </c>
      <c r="KK232" s="409"/>
      <c r="KL232" s="398">
        <f>IF(KK232=0,0,IF(LEN(JW232)=11,_xlfn.XLOOKUP(JW232,'Dispensed Ink Rates'!C:C,'Dispensed Ink Rates'!CS:CS),VLOOKUP(JW232,'Jan-2026 rates'!$E:$F,2,0)))</f>
        <v>0</v>
      </c>
      <c r="KM232" s="428"/>
      <c r="KN232" s="398">
        <f>IF(KM232=0,0,IF(LEN(JX232)=11,_xlfn.XLOOKUP(JX232,'Dispensed Ink Rates'!C:C,'Dispensed Ink Rates'!CS:CS),VLOOKUP(JX232,'Jan-2026 rates'!$E:$F,2,0)))</f>
        <v>0</v>
      </c>
      <c r="KO232" s="409"/>
      <c r="KP232" s="409"/>
      <c r="KQ232" s="411">
        <f t="shared" si="180"/>
        <v>0</v>
      </c>
      <c r="KR232" s="411">
        <f t="shared" si="181"/>
        <v>0</v>
      </c>
      <c r="KS232" s="410">
        <f t="shared" si="182"/>
        <v>0</v>
      </c>
      <c r="KT232" s="409">
        <v>5</v>
      </c>
      <c r="KU232" s="409">
        <v>10</v>
      </c>
      <c r="KV232" s="409">
        <f>5+5</f>
        <v>10</v>
      </c>
      <c r="KW232" s="409">
        <v>5</v>
      </c>
      <c r="KX232" s="409">
        <v>5</v>
      </c>
      <c r="KY232" s="409">
        <v>10</v>
      </c>
      <c r="KZ232" s="409">
        <v>15</v>
      </c>
      <c r="LA232" s="409">
        <v>0</v>
      </c>
      <c r="LB232" s="415">
        <v>0.8</v>
      </c>
      <c r="LC232" s="415">
        <v>0.2</v>
      </c>
      <c r="LD232" s="415"/>
      <c r="LE232" s="415"/>
      <c r="LF232" s="415"/>
      <c r="LG232" s="409">
        <v>0</v>
      </c>
      <c r="LH232" s="409">
        <f>15+40+64+16+5+4</f>
        <v>144</v>
      </c>
      <c r="LI232" s="409">
        <v>0</v>
      </c>
      <c r="LJ232" s="409">
        <v>0</v>
      </c>
      <c r="LK232" s="416">
        <f t="shared" si="138"/>
        <v>144</v>
      </c>
      <c r="LL232" s="416">
        <f t="shared" si="139"/>
        <v>144</v>
      </c>
      <c r="LM232" s="417">
        <f t="shared" si="140"/>
        <v>115.2</v>
      </c>
      <c r="LN232" s="417">
        <f>VLOOKUP($LM$8,'Jan-2026 rates'!$H:$I,2,0)</f>
        <v>0</v>
      </c>
      <c r="LO232" s="417">
        <f t="shared" si="141"/>
        <v>28.8</v>
      </c>
      <c r="LP232" s="417">
        <f>VLOOKUP($LO$8,'Jan-2026 rates'!$H:$I,2,0)</f>
        <v>0</v>
      </c>
      <c r="LQ232" s="417">
        <f t="shared" si="142"/>
        <v>0</v>
      </c>
      <c r="LR232" s="417">
        <f>VLOOKUP($LQ$8,'Jan-2026 rates'!$H:$I,2,0)</f>
        <v>0</v>
      </c>
      <c r="LS232" s="417">
        <f t="shared" si="143"/>
        <v>0</v>
      </c>
      <c r="LT232" s="417">
        <f>VLOOKUP($LS$8,'Jan-2026 rates'!$H:$I,2,0)</f>
        <v>0</v>
      </c>
      <c r="LU232" s="417">
        <f t="shared" si="144"/>
        <v>0</v>
      </c>
      <c r="LV232" s="417">
        <f>VLOOKUP($LU$8,'Jan-2026 rates'!$H:$I,2,0)</f>
        <v>0</v>
      </c>
      <c r="LW232" s="417">
        <f t="shared" si="145"/>
        <v>0</v>
      </c>
      <c r="LX232" s="417">
        <f t="shared" si="146"/>
        <v>0</v>
      </c>
      <c r="LY232" s="418">
        <f t="shared" si="147"/>
        <v>0</v>
      </c>
      <c r="LZ232" s="417"/>
      <c r="MA232" s="435">
        <f t="shared" si="148"/>
        <v>154</v>
      </c>
      <c r="MB232" s="282">
        <f t="shared" si="149"/>
        <v>224</v>
      </c>
      <c r="MC232" s="283">
        <v>125</v>
      </c>
      <c r="MD232" s="284" t="str">
        <f t="shared" si="150"/>
        <v>FLINTSLFLINTSLFLINTSLFLINTSLFLINTSLFLINTSLFLINTSL</v>
      </c>
      <c r="ME232" s="293" t="str">
        <f t="shared" si="151"/>
        <v>+</v>
      </c>
      <c r="MF232" s="293" t="str">
        <f t="shared" si="152"/>
        <v>+</v>
      </c>
      <c r="MG232" s="293" t="str">
        <f t="shared" si="153"/>
        <v>+</v>
      </c>
      <c r="MH232" s="293" t="str">
        <f t="shared" si="154"/>
        <v>+</v>
      </c>
      <c r="MI232" s="293" t="str">
        <f t="shared" si="155"/>
        <v>+</v>
      </c>
      <c r="MJ232" s="293" t="str">
        <f t="shared" si="156"/>
        <v>+</v>
      </c>
      <c r="MK232" s="293" t="str">
        <f t="shared" si="157"/>
        <v>+</v>
      </c>
      <c r="ML232" s="293" t="str">
        <f t="shared" si="158"/>
        <v>NIL</v>
      </c>
      <c r="MM232" s="3" t="b">
        <f t="array" ref="MM232">OR(ME232:ML232="-")</f>
        <v>0</v>
      </c>
      <c r="MN232" s="285"/>
      <c r="MO232" s="401"/>
      <c r="MP232" s="286"/>
      <c r="MQ232" s="286"/>
      <c r="MR232" s="402"/>
      <c r="MS232" s="400"/>
      <c r="NH232" s="422"/>
      <c r="NJ232" s="421"/>
    </row>
    <row r="233" spans="1:374" s="1" customFormat="1" ht="16.5">
      <c r="A233" s="403">
        <v>46039</v>
      </c>
      <c r="B233" s="404" t="s">
        <v>1015</v>
      </c>
      <c r="C233" s="405" t="s">
        <v>3952</v>
      </c>
      <c r="D233" s="406">
        <v>126</v>
      </c>
      <c r="E233" s="404">
        <v>424</v>
      </c>
      <c r="F233" s="407">
        <v>24900</v>
      </c>
      <c r="G233" s="407" t="s">
        <v>1019</v>
      </c>
      <c r="H233" s="408" t="s">
        <v>1017</v>
      </c>
      <c r="I233" s="409">
        <v>1.8</v>
      </c>
      <c r="J233" s="405" t="s">
        <v>548</v>
      </c>
      <c r="K233" s="404"/>
      <c r="L233" s="419" t="str">
        <f t="shared" si="131"/>
        <v>FLINTSL - GOLD</v>
      </c>
      <c r="M233" s="404"/>
      <c r="N233" s="410">
        <f>IF(M233=0,0,IF($LB233=70%,VLOOKUP($L233,'Jan-2026 rates'!$L:$R,4,0),IF($LB233=65%,VLOOKUP($L233,'Jan-2026 rates'!$L:$R,4,0),IF($LB233=40%,VLOOKUP($L233,'Jan-2026 rates'!$L:$R,5,0),IF($LB233=30%,VLOOKUP($L233,'Jan-2026 rates'!$L:$R,6,0),IF($LB233=100%,VLOOKUP($L233,'Jan-2026 rates'!$L:$R,7,0),IF($LB233=60%,VLOOKUP($L233,'Jan-2026 rates'!$L:$S,8,0),IF($LB233=80%,VLOOKUP($L233,'Jan-2026 rates'!L:T,9,0),0))))))))</f>
        <v>0</v>
      </c>
      <c r="O233" s="406"/>
      <c r="P233" s="404"/>
      <c r="Q233" s="410">
        <f>IF(P233=0,0,IF($LB233=70%,VLOOKUP($L233,'Jan-2026 rates'!$L:$R,4,0),IF($LB233=65%,VLOOKUP($L233,'Jan-2026 rates'!$L:$R,4,0),IF($LB233=40%,VLOOKUP($L233,'Jan-2026 rates'!$L:$R,5,0),IF($LB233=30%,VLOOKUP($L233,'Jan-2026 rates'!$L:$R,6,0),IF($LB233=100%,VLOOKUP($L233,'Jan-2026 rates'!$L:$R,7,0),IF($LB233=60%,VLOOKUP($L233,'Jan-2026 rates'!$L:$S,8,0),IF($LB233=80%,VLOOKUP($L233,'Jan-2026 rates'!L:T,9,0),0))))))))</f>
        <v>0</v>
      </c>
      <c r="R233" s="406" t="s">
        <v>1340</v>
      </c>
      <c r="S233" s="406">
        <v>26516000011</v>
      </c>
      <c r="T233" s="406"/>
      <c r="U233" s="406"/>
      <c r="V233" s="406"/>
      <c r="W233" s="406"/>
      <c r="X233" s="406"/>
      <c r="Y233" s="406"/>
      <c r="Z233" s="404">
        <v>18</v>
      </c>
      <c r="AA233" s="398">
        <f>IF(Z233=0,0,IF(LEN(R233)=11,_xlfn.XLOOKUP(R233,'Dispensed Ink Rates'!C:C,'Dispensed Ink Rates'!CS:CS),VLOOKUP(R233,'Jan-2026 rates'!$E:$F,2,0)))</f>
        <v>0</v>
      </c>
      <c r="AB233" s="404">
        <v>0.2</v>
      </c>
      <c r="AC233" s="398" t="e">
        <f>IF(AB233=0,0,IF(LEN(S233)=11,_xlfn.XLOOKUP(S233,'Dispensed Ink Rates'!C:C,'Dispensed Ink Rates'!CS:CS),VLOOKUP(S233,'Jan-2026 rates'!$E:$F,2,0)))</f>
        <v>#N/A</v>
      </c>
      <c r="AD233" s="404"/>
      <c r="AE233" s="398">
        <f>IF(AD233=0,0,IF(LEN(T233)=11,_xlfn.XLOOKUP(T233,'Dispensed Ink Rates'!C:C,'Dispensed Ink Rates'!CS:CS),VLOOKUP(T233,'Jan-2026 rates'!$E:$F,2,0)))</f>
        <v>0</v>
      </c>
      <c r="AF233" s="404"/>
      <c r="AG233" s="398">
        <f>IF(AF233=0,0,IF(LEN(U233)=11,_xlfn.XLOOKUP(U233,'Dispensed Ink Rates'!C:C,'Dispensed Ink Rates'!CS:CS),VLOOKUP(U233,'Jan-2026 rates'!$E:$F,2,0)))</f>
        <v>0</v>
      </c>
      <c r="AH233" s="404"/>
      <c r="AI233" s="398">
        <f>IF(AH233=0,0,IF(LEN(V233)=11,_xlfn.XLOOKUP(V233,'Dispensed Ink Rates'!C:C,'Dispensed Ink Rates'!CS:CS),VLOOKUP(V233,'Jan-2026 rates'!$E:$F,2,0)))</f>
        <v>0</v>
      </c>
      <c r="AJ233" s="404"/>
      <c r="AK233" s="398">
        <f>IF(AJ233=0,0,IF(LEN(W233)=11,_xlfn.XLOOKUP(W233,'Dispensed Ink Rates'!C:C,'Dispensed Ink Rates'!CS:CS),VLOOKUP(W233,'Jan-2026 rates'!$E:$F,2,0)))</f>
        <v>0</v>
      </c>
      <c r="AL233" s="404"/>
      <c r="AM233" s="398">
        <f>IF(AL233=0,0,IF(LEN(X233)=11,_xlfn.XLOOKUP(X233,'Dispensed Ink Rates'!C:C,'Dispensed Ink Rates'!CS:CS),VLOOKUP(X233,'Jan-2026 rates'!$E:$F,2,0)))</f>
        <v>0</v>
      </c>
      <c r="AN233" s="404"/>
      <c r="AO233" s="398">
        <f>IF(AN233=0,0,IF(LEN(Y233)=11,_xlfn.XLOOKUP(Y233,'Dispensed Ink Rates'!C:C,'Dispensed Ink Rates'!CS:CS),VLOOKUP(Y233,'Jan-2026 rates'!$E:$F,2,0)))</f>
        <v>0</v>
      </c>
      <c r="AP233" s="409" t="s">
        <v>1443</v>
      </c>
      <c r="AQ233" s="409">
        <v>25</v>
      </c>
      <c r="AR233" s="410">
        <f t="shared" si="159"/>
        <v>0</v>
      </c>
      <c r="AS233" s="411">
        <f t="shared" si="160"/>
        <v>11.700000000000003</v>
      </c>
      <c r="AT233" s="410">
        <f t="shared" si="161"/>
        <v>0</v>
      </c>
      <c r="AU233" s="405" t="s">
        <v>543</v>
      </c>
      <c r="AV233" s="409" t="s">
        <v>3953</v>
      </c>
      <c r="AW233" s="420" t="str">
        <f t="shared" si="183"/>
        <v>FLINTSL - BLACK</v>
      </c>
      <c r="AX233" s="409">
        <v>24</v>
      </c>
      <c r="AY233" s="411">
        <f>IF(AX233=0,0,IF($LB233=70%,VLOOKUP($AW233,'Jan-2026 rates'!$L:$R,4,0),IF($LB233=65%,VLOOKUP($AW233,'Jan-2026 rates'!$L:$R,4,0),IF($LB233=40%,VLOOKUP($AW233,'Jan-2026 rates'!$L:$R,5,0),IF($LB233=30%,VLOOKUP($AW233,'Jan-2026 rates'!$L:$R,6,0),IF($LB233=100%,VLOOKUP($AW233,'Jan-2026 rates'!$L:$R,7,0),IF($LB233=60%,VLOOKUP($AW233,'Jan-2026 rates'!$L:$S,8,0),IF($LB233=80%,VLOOKUP($AW233,'Jan-2026 rates'!L:T,9,0),0))))))))</f>
        <v>0</v>
      </c>
      <c r="AZ233" s="412"/>
      <c r="BA233" s="409"/>
      <c r="BB233" s="411">
        <f>IF(BA233=0,0,IF($LB233=70%,VLOOKUP($AW233,'Jan-2026 rates'!$L:$R,4,0),IF($LB233=65%,VLOOKUP($AW233,'Jan-2026 rates'!$L:$R,4,0),IF($LB233=40%,VLOOKUP($AW233,'Jan-2026 rates'!$L:$R,5,0),IF($LB233=30%,VLOOKUP($AW233,'Jan-2026 rates'!$L:$R,6,0),IF($LB233=100%,VLOOKUP($AW233,'Jan-2026 rates'!$L:$R,7,0),IF($LB233=60%,VLOOKUP($AW233,'Jan-2026 rates'!$L:$S,8,0),IF($LB233=80%,VLOOKUP($AW233,'Jan-2026 rates'!L:T,9,0),0))))))))</f>
        <v>0</v>
      </c>
      <c r="BC233" s="413" t="s">
        <v>1266</v>
      </c>
      <c r="BD233" s="412"/>
      <c r="BE233" s="412"/>
      <c r="BF233" s="413"/>
      <c r="BG233" s="412"/>
      <c r="BH233" s="412"/>
      <c r="BI233" s="412"/>
      <c r="BJ233" s="412"/>
      <c r="BK233" s="409">
        <v>5</v>
      </c>
      <c r="BL233" s="398">
        <f>IF(BK233=0,0,IF(LEN(BC233)=11,_xlfn.XLOOKUP(BC233,'Dispensed Ink Rates'!C:C,'Dispensed Ink Rates'!CS:CS),VLOOKUP(BC233,'Jan-2026 rates'!$E:$F,2,0)))</f>
        <v>0</v>
      </c>
      <c r="BM233" s="409"/>
      <c r="BN233" s="398">
        <f>IF(BM233=0,0,IF(LEN(BD233)=11,_xlfn.XLOOKUP(BD233,'Dispensed Ink Rates'!C:C,'Dispensed Ink Rates'!CS:CS),VLOOKUP(BD233,'Jan-2026 rates'!$E:$F,2,0)))</f>
        <v>0</v>
      </c>
      <c r="BO233" s="409"/>
      <c r="BP233" s="398">
        <f>IF(BO233=0,0,IF(LEN(BE233)=11,_xlfn.XLOOKUP(BE233,'Dispensed Ink Rates'!C:C,'Dispensed Ink Rates'!CS:CS),VLOOKUP(BE233,'Jan-2026 rates'!$E:$F,2,0)))</f>
        <v>0</v>
      </c>
      <c r="BQ233" s="409"/>
      <c r="BR233" s="398">
        <f>IF(BQ233=0,0,IF(LEN(BF233)=11,_xlfn.XLOOKUP(BF233,'Dispensed Ink Rates'!C:C,'Dispensed Ink Rates'!CS:CS),VLOOKUP(BF233,'Jan-2026 rates'!$E:$F,2,0)))</f>
        <v>0</v>
      </c>
      <c r="BS233" s="409"/>
      <c r="BT233" s="398">
        <f>IF(BS233=0,0,IF(LEN(BG233)=11,_xlfn.XLOOKUP(BG233,'Dispensed Ink Rates'!C:C,'Dispensed Ink Rates'!CS:CS),VLOOKUP(BG233,'Jan-2026 rates'!$E:$F,2,0)))</f>
        <v>0</v>
      </c>
      <c r="BU233" s="409"/>
      <c r="BV233" s="398">
        <f>IF(BU233=0,0,IF(LEN(BH233)=11,_xlfn.XLOOKUP(BH233,'Dispensed Ink Rates'!C:C,'Dispensed Ink Rates'!CS:CS),VLOOKUP(BH233,'Jan-2026 rates'!$E:$F,2,0)))</f>
        <v>0</v>
      </c>
      <c r="BW233" s="409"/>
      <c r="BX233" s="398">
        <f>IF(BW233=0,0,IF(LEN(BI233)=11,_xlfn.XLOOKUP(BI233,'Dispensed Ink Rates'!C:C,'Dispensed Ink Rates'!CS:CS),VLOOKUP(BI233,'Jan-2026 rates'!$E:$F,2,0)))</f>
        <v>0</v>
      </c>
      <c r="BY233" s="409"/>
      <c r="BZ233" s="398">
        <f>IF(BY233=0,0,IF(LEN(BJ233)=11,_xlfn.XLOOKUP(BJ233,'Dispensed Ink Rates'!C:C,'Dispensed Ink Rates'!CS:CS),VLOOKUP(BJ233,'Jan-2026 rates'!$E:$F,2,0)))</f>
        <v>0</v>
      </c>
      <c r="CA233" s="409" t="s">
        <v>1443</v>
      </c>
      <c r="CB233" s="409">
        <v>25</v>
      </c>
      <c r="CC233" s="411">
        <f t="shared" si="162"/>
        <v>0</v>
      </c>
      <c r="CD233" s="411">
        <f t="shared" si="163"/>
        <v>11.399999999999999</v>
      </c>
      <c r="CE233" s="410">
        <f t="shared" si="164"/>
        <v>0</v>
      </c>
      <c r="CF233" s="404" t="s">
        <v>857</v>
      </c>
      <c r="CG233" s="409" t="s">
        <v>3936</v>
      </c>
      <c r="CH233" s="420" t="str">
        <f t="shared" si="132"/>
        <v>FLINTSL - RED</v>
      </c>
      <c r="CI233" s="409">
        <v>25</v>
      </c>
      <c r="CJ233" s="411">
        <f>IF(CI233=0,0,IF($LB233=70%,VLOOKUP($CH233,'Jan-2026 rates'!$L:$R,4,0),IF($LB233=65%,VLOOKUP($CH233,'Jan-2026 rates'!$L:$R,4,0),IF($LB233=40%,VLOOKUP($CH233,'Jan-2026 rates'!$L:$R,5,0),IF($LB233=30%,VLOOKUP($CH233,'Jan-2026 rates'!$L:$R,6,0),IF($LB233=100%,VLOOKUP($CH233,'Jan-2026 rates'!$L:$R,7,0),IF($LB233=60%,VLOOKUP($CH233,'Jan-2026 rates'!$L:$S,8,0),IF($LB233=80%,VLOOKUP($CH233,'Jan-2026 rates'!L:T,9,0),0))))))))</f>
        <v>0</v>
      </c>
      <c r="CK233" s="412"/>
      <c r="CL233" s="409"/>
      <c r="CM233" s="411">
        <f>IF(CL233=0,0,IF($LB233=70%,VLOOKUP($CH233,'Jan-2026 rates'!$L:$R,4,0),IF($LB233=65%,VLOOKUP($CH233,'Jan-2026 rates'!$L:$R,4,0),IF($LB233=40%,VLOOKUP($CH233,'Jan-2026 rates'!$L:$R,5,0),IF($LB233=30%,VLOOKUP($CH233,'Jan-2026 rates'!$L:$R,6,0),IF($LB233=100%,VLOOKUP($CH233,'Jan-2026 rates'!$L:$R,7,0),IF($LB233=60%,VLOOKUP($CH233,'Jan-2026 rates'!$L:$S,8,0),IF($LB233=80%,VLOOKUP($CH233,'Jan-2026 rates'!L:T,9,0),0))))))))</f>
        <v>0</v>
      </c>
      <c r="CN233" s="426">
        <v>26517000026</v>
      </c>
      <c r="CO233" s="427">
        <v>26517000033</v>
      </c>
      <c r="CP233" s="426">
        <v>26517000045</v>
      </c>
      <c r="CQ233" s="426">
        <v>26522000008</v>
      </c>
      <c r="CR233" s="428">
        <v>26516000011</v>
      </c>
      <c r="CS233" s="428"/>
      <c r="CT233" s="428"/>
      <c r="CU233" s="428"/>
      <c r="CV233" s="409">
        <v>40</v>
      </c>
      <c r="CW233" s="398" t="e">
        <f>IF(CV233=0,0,IF(LEN(CN233)=11,_xlfn.XLOOKUP(CN233,'Dispensed Ink Rates'!C:C,'Dispensed Ink Rates'!CS:CS),VLOOKUP(CN233,'Jan-2026 rates'!$E:$F,2,0)))</f>
        <v>#N/A</v>
      </c>
      <c r="CX233" s="409">
        <v>40</v>
      </c>
      <c r="CY233" s="398" t="e">
        <f>IF(CX233=0,0,IF(LEN(CO233)=11,_xlfn.XLOOKUP(CO233,'Dispensed Ink Rates'!C:C,'Dispensed Ink Rates'!CS:CS),VLOOKUP(CO233,'Jan-2026 rates'!$E:$F,2,0)))</f>
        <v>#N/A</v>
      </c>
      <c r="CZ233" s="409">
        <v>10</v>
      </c>
      <c r="DA233" s="398" t="e">
        <f>IF(CZ233=0,0,IF(LEN(CP233)=11,_xlfn.XLOOKUP(CP233,'Dispensed Ink Rates'!C:C,'Dispensed Ink Rates'!CS:CS),VLOOKUP(CP233,'Jan-2026 rates'!$E:$F,2,0)))</f>
        <v>#N/A</v>
      </c>
      <c r="DB233" s="409">
        <v>1</v>
      </c>
      <c r="DC233" s="398" t="e">
        <f>IF(DB233=0,0,IF(LEN(CQ233)=11,_xlfn.XLOOKUP(CQ233,'Dispensed Ink Rates'!C:C,'Dispensed Ink Rates'!CS:CS),VLOOKUP(CQ233,'Jan-2026 rates'!$E:$F,2,0)))</f>
        <v>#N/A</v>
      </c>
      <c r="DD233" s="409">
        <v>5</v>
      </c>
      <c r="DE233" s="398" t="e">
        <f>IF(DD233=0,0,IF(LEN(CR233)=11,_xlfn.XLOOKUP(CR233,'Dispensed Ink Rates'!C:C,'Dispensed Ink Rates'!CS:CS),VLOOKUP(CR233,'Jan-2026 rates'!$E:$F,2,0)))</f>
        <v>#N/A</v>
      </c>
      <c r="DF233" s="409"/>
      <c r="DG233" s="398">
        <f>IF(DF233=0,0,IF(LEN(CS233)=11,_xlfn.XLOOKUP(CS233,'Dispensed Ink Rates'!C:C,'Dispensed Ink Rates'!CS:CS),VLOOKUP(CS233,'Jan-2026 rates'!$E:$F,2,0)))</f>
        <v>0</v>
      </c>
      <c r="DH233" s="409"/>
      <c r="DI233" s="398">
        <f>IF(DH233=0,0,IF(LEN(CT233)=11,_xlfn.XLOOKUP(CT233,'Dispensed Ink Rates'!C:C,'Dispensed Ink Rates'!CS:CS),VLOOKUP(CT233,'Jan-2026 rates'!$E:$F,2,0)))</f>
        <v>0</v>
      </c>
      <c r="DJ233" s="409"/>
      <c r="DK233" s="398">
        <f>IF(DJ233=0,0,IF(LEN(CU233)=11,_xlfn.XLOOKUP(CU233,'Dispensed Ink Rates'!C:C,'Dispensed Ink Rates'!CS:CS),VLOOKUP(CU233,'Jan-2026 rates'!$E:$F,2,0)))</f>
        <v>0</v>
      </c>
      <c r="DL233" s="409" t="s">
        <v>1443</v>
      </c>
      <c r="DM233" s="409">
        <v>27</v>
      </c>
      <c r="DN233" s="411">
        <f t="shared" si="165"/>
        <v>0</v>
      </c>
      <c r="DO233" s="411">
        <f t="shared" si="166"/>
        <v>106.94999999999999</v>
      </c>
      <c r="DP233" s="410">
        <f t="shared" si="167"/>
        <v>0</v>
      </c>
      <c r="DQ233" s="405" t="s">
        <v>543</v>
      </c>
      <c r="DR233" s="409" t="s">
        <v>3954</v>
      </c>
      <c r="DS233" s="420" t="str">
        <f t="shared" si="133"/>
        <v>FLINTSL - BLACK</v>
      </c>
      <c r="DT233" s="409">
        <v>30</v>
      </c>
      <c r="DU233" s="411">
        <f>IF(DT233=0,0,IF($LB233=70%,VLOOKUP($DS233,'Jan-2026 rates'!$L:$R,4,0),IF($LB233=65%,VLOOKUP($DS233,'Jan-2026 rates'!$L:$R,4,0),IF($LB233=40%,VLOOKUP($DS233,'Jan-2026 rates'!$L:$R,5,0),IF($LB233=30%,VLOOKUP($DS233,'Jan-2026 rates'!$L:$R,6,0),IF($LB233=100%,VLOOKUP($DS233,'Jan-2026 rates'!$L:$R,7,0),IF($LB233=60%,VLOOKUP($DS233,'Jan-2026 rates'!$L:$S,8,0),IF($LB233=80%,VLOOKUP($DS233,'Jan-2026 rates'!L:T,9,0),0))))))))</f>
        <v>0</v>
      </c>
      <c r="DV233" s="412"/>
      <c r="DW233" s="409"/>
      <c r="DX233" s="411">
        <f>IF(DW233=0,0,IF($LB233=70%,VLOOKUP($DS233,'Jan-2026 rates'!$L:$R,4,0),IF($LB233=65%,VLOOKUP($DS233,'Jan-2026 rates'!$L:$R,4,0),IF($LB233=40%,VLOOKUP($DS233,'Jan-2026 rates'!$L:$R,5,0),IF($LB233=30%,VLOOKUP($DS233,'Jan-2026 rates'!$L:$R,6,0),IF($LB233=100%,VLOOKUP($DS233,'Jan-2026 rates'!$L:$R,7,0),IF($LB233=60%,VLOOKUP($DS233,'Jan-2026 rates'!$L:$S,8,0),IF($LB233=80%,VLOOKUP($DS233,'Jan-2026 rates'!L:T,9,0),0))))))))</f>
        <v>0</v>
      </c>
      <c r="DY233" s="413">
        <v>26518000009</v>
      </c>
      <c r="DZ233" s="413">
        <v>26522000008</v>
      </c>
      <c r="EA233" s="412">
        <v>26519000027</v>
      </c>
      <c r="EB233" s="412"/>
      <c r="EC233" s="412"/>
      <c r="ED233" s="412"/>
      <c r="EE233" s="412"/>
      <c r="EF233" s="412"/>
      <c r="EG233" s="409">
        <v>5</v>
      </c>
      <c r="EH233" s="398" t="e">
        <f>IF(EG233=0,0,IF(LEN(DY233)=11,_xlfn.XLOOKUP(DY233,'Dispensed Ink Rates'!C:C,'Dispensed Ink Rates'!CS:CS),VLOOKUP(DY233,'Jan-2026 rates'!$E:$F,2,0)))</f>
        <v>#N/A</v>
      </c>
      <c r="EI233" s="409">
        <v>5</v>
      </c>
      <c r="EJ233" s="398" t="e">
        <f>IF(EI233=0,0,IF(LEN(DZ233)=11,_xlfn.XLOOKUP(DZ233,'Dispensed Ink Rates'!C:C,'Dispensed Ink Rates'!CS:CS),VLOOKUP(DZ233,'Jan-2026 rates'!$E:$F,2,0)))</f>
        <v>#N/A</v>
      </c>
      <c r="EK233" s="409">
        <v>6</v>
      </c>
      <c r="EL233" s="398" t="e">
        <f>IF(EK233=0,0,IF(LEN(EA233)=11,_xlfn.XLOOKUP(EA233,'Dispensed Ink Rates'!C:C,'Dispensed Ink Rates'!CS:CS),VLOOKUP(EA233,'Jan-2026 rates'!$E:$F,2,0)))</f>
        <v>#N/A</v>
      </c>
      <c r="EM233" s="409"/>
      <c r="EN233" s="398">
        <f>IF(EM233=0,0,IF(LEN(EB233)=11,_xlfn.XLOOKUP(EB233,'Dispensed Ink Rates'!C:C,'Dispensed Ink Rates'!CS:CS),VLOOKUP(EB233,'Jan-2026 rates'!$E:$F,2,0)))</f>
        <v>0</v>
      </c>
      <c r="EO233" s="409"/>
      <c r="EP233" s="398">
        <f>IF(EO233=0,0,IF(LEN(EC233)=11,_xlfn.XLOOKUP(EC233,'Dispensed Ink Rates'!C:C,'Dispensed Ink Rates'!CS:CS),VLOOKUP(EC233,'Jan-2026 rates'!$E:$F,2,0)))</f>
        <v>0</v>
      </c>
      <c r="EQ233" s="409"/>
      <c r="ER233" s="398">
        <f>IF(EQ233=0,0,IF(LEN(ED233)=11,_xlfn.XLOOKUP(ED233,'Dispensed Ink Rates'!C:C,'Dispensed Ink Rates'!CS:CS),VLOOKUP(ED233,'Jan-2026 rates'!$E:$F,2,0)))</f>
        <v>0</v>
      </c>
      <c r="ES233" s="409"/>
      <c r="ET233" s="398">
        <f>IF(ES233=0,0,IF(LEN(EE233)=11,_xlfn.XLOOKUP(EE233,'Dispensed Ink Rates'!C:C,'Dispensed Ink Rates'!CS:CS),VLOOKUP(EE233,'Jan-2026 rates'!$E:$F,2,0)))</f>
        <v>0</v>
      </c>
      <c r="EU233" s="409"/>
      <c r="EV233" s="398">
        <f>IF(EU233=0,0,IF(LEN(EF233)=11,_xlfn.XLOOKUP(EF233,'Dispensed Ink Rates'!C:C,'Dispensed Ink Rates'!CS:CS),VLOOKUP(EF233,'Jan-2026 rates'!$E:$F,2,0)))</f>
        <v>0</v>
      </c>
      <c r="EW233" s="409" t="s">
        <v>1443</v>
      </c>
      <c r="EX233" s="409">
        <v>26</v>
      </c>
      <c r="EY233" s="411">
        <f t="shared" si="168"/>
        <v>0</v>
      </c>
      <c r="EZ233" s="411">
        <f t="shared" si="169"/>
        <v>29.25</v>
      </c>
      <c r="FA233" s="410">
        <f t="shared" si="170"/>
        <v>0</v>
      </c>
      <c r="FB233" s="405" t="s">
        <v>855</v>
      </c>
      <c r="FC233" s="409" t="s">
        <v>3955</v>
      </c>
      <c r="FD233" s="420" t="str">
        <f t="shared" si="134"/>
        <v>FLINTSL - CYAN</v>
      </c>
      <c r="FE233" s="409">
        <v>25</v>
      </c>
      <c r="FF233" s="411">
        <f>IF(FE233=0,0,IF($LB233=70%,VLOOKUP($FD233,'Jan-2026 rates'!$L:$R,4,0),IF($LB233=65%,VLOOKUP($FD233,'Jan-2026 rates'!$L:$R,4,0),IF($LB233=40%,VLOOKUP($FD233,'Jan-2026 rates'!$L:$R,5,0),IF($LB233=30%,VLOOKUP($FD233,'Jan-2026 rates'!$L:$R,6,0),IF($LB233=100%,VLOOKUP($FD233,'Jan-2026 rates'!$L:$R,7,0),IF($LB233=60%,VLOOKUP($FD233,'Jan-2026 rates'!$L:$S,8,0),IF($LB233=80%,VLOOKUP($FD233,'Jan-2026 rates'!L:T,9,0),0))))))))</f>
        <v>0</v>
      </c>
      <c r="FG233" s="412"/>
      <c r="FH233" s="409"/>
      <c r="FI233" s="411">
        <f>IF(FH233=0,0,IF($LB233=70%,VLOOKUP($FD233,'Jan-2026 rates'!$L:$R,4,0),IF($LB233=65%,VLOOKUP($FD233,'Jan-2026 rates'!$L:$R,4,0),IF($LB233=40%,VLOOKUP($FD233,'Jan-2026 rates'!$L:$R,5,0),IF($LB233=30%,VLOOKUP($FD233,'Jan-2026 rates'!$L:$R,6,0),IF($LB233=100%,VLOOKUP($FD233,'Jan-2026 rates'!$L:$R,7,0),IF($LB233=60%,VLOOKUP($FD233,'Jan-2026 rates'!$L:$S,8,0),IF($LB233=80%,VLOOKUP($FD233,'Jan-2026 rates'!L:T,9,0),0))))))))</f>
        <v>0</v>
      </c>
      <c r="FJ233" s="413" t="s">
        <v>1266</v>
      </c>
      <c r="FK233" s="413"/>
      <c r="FL233" s="413"/>
      <c r="FM233" s="412"/>
      <c r="FN233" s="412"/>
      <c r="FO233" s="412"/>
      <c r="FP233" s="412"/>
      <c r="FQ233" s="412"/>
      <c r="FR233" s="409">
        <v>6</v>
      </c>
      <c r="FS233" s="398">
        <f>IF(FR233=0,0,IF(LEN(FJ233)=11,_xlfn.XLOOKUP(FJ233,'Dispensed Ink Rates'!C:C,'Dispensed Ink Rates'!CS:CS),VLOOKUP(FJ233,'Jan-2026 rates'!$E:$F,2,0)))</f>
        <v>0</v>
      </c>
      <c r="FT233" s="409"/>
      <c r="FU233" s="398">
        <f>IF(FT233=0,0,IF(LEN(FK233)=11,_xlfn.XLOOKUP(FK233,'Dispensed Ink Rates'!C:C,'Dispensed Ink Rates'!CS:CS),VLOOKUP(FK233,'Jan-2026 rates'!$E:$F,2,0)))</f>
        <v>0</v>
      </c>
      <c r="FV233" s="409"/>
      <c r="FW233" s="398">
        <f>IF(FV233=0,0,IF(LEN(FL233)=11,_xlfn.XLOOKUP(FL233,'Dispensed Ink Rates'!C:C,'Dispensed Ink Rates'!CS:CS),VLOOKUP(FL233,'Jan-2026 rates'!$E:$F,2,0)))</f>
        <v>0</v>
      </c>
      <c r="FX233" s="409"/>
      <c r="FY233" s="398">
        <f>IF(FX233=0,0,IF(LEN(FM233)=11,_xlfn.XLOOKUP(FM233,'Dispensed Ink Rates'!C:C,'Dispensed Ink Rates'!CS:CS),VLOOKUP(FM233,'Jan-2026 rates'!$E:$F,2,0)))</f>
        <v>0</v>
      </c>
      <c r="FZ233" s="409"/>
      <c r="GA233" s="398">
        <f>IF(FZ233=0,0,IF(LEN(FN233)=11,_xlfn.XLOOKUP(FN233,'Dispensed Ink Rates'!C:C,'Dispensed Ink Rates'!CS:CS),VLOOKUP(FN233,'Jan-2026 rates'!$E:$F,2,0)))</f>
        <v>0</v>
      </c>
      <c r="GB233" s="409"/>
      <c r="GC233" s="398">
        <f>IF(GB233=0,0,IF(LEN(FO233)=11,_xlfn.XLOOKUP(FO233,'Dispensed Ink Rates'!C:C,'Dispensed Ink Rates'!CS:CS),VLOOKUP(FO233,'Jan-2026 rates'!$E:$F,2,0)))</f>
        <v>0</v>
      </c>
      <c r="GD233" s="409"/>
      <c r="GE233" s="398">
        <f>IF(GD233=0,0,IF(LEN(FP233)=11,_xlfn.XLOOKUP(FP233,'Dispensed Ink Rates'!C:C,'Dispensed Ink Rates'!CS:CS),VLOOKUP(FP233,'Jan-2026 rates'!$E:$F,2,0)))</f>
        <v>0</v>
      </c>
      <c r="GF233" s="409"/>
      <c r="GG233" s="398">
        <f>IF(GF233=0,0,IF(LEN(FQ233)=11,_xlfn.XLOOKUP(FQ233,'Dispensed Ink Rates'!C:C,'Dispensed Ink Rates'!CS:CS),VLOOKUP(FQ233,'Jan-2026 rates'!$E:$F,2,0)))</f>
        <v>0</v>
      </c>
      <c r="GH233" s="409" t="s">
        <v>1443</v>
      </c>
      <c r="GI233" s="409">
        <v>25</v>
      </c>
      <c r="GJ233" s="411">
        <f t="shared" si="171"/>
        <v>0</v>
      </c>
      <c r="GK233" s="411">
        <f t="shared" si="172"/>
        <v>13.399999999999999</v>
      </c>
      <c r="GL233" s="410">
        <f t="shared" si="173"/>
        <v>0</v>
      </c>
      <c r="GM233" s="405" t="s">
        <v>544</v>
      </c>
      <c r="GN233" s="409" t="s">
        <v>3956</v>
      </c>
      <c r="GO233" s="420" t="str">
        <f t="shared" si="135"/>
        <v>FLINTSL - MAGENTA</v>
      </c>
      <c r="GP233" s="409">
        <v>26</v>
      </c>
      <c r="GQ233" s="411">
        <f>IF(GP233=0,0,IF($LB233=70%,VLOOKUP($GO233,'Jan-2026 rates'!$L:$R,4,0),IF($LB233=65%,VLOOKUP($GO233,'Jan-2026 rates'!$L:$R,4,0),IF($LB233=40%,VLOOKUP($GO233,'Jan-2026 rates'!$L:$R,5,0),IF($LB233=30%,VLOOKUP($GO233,'Jan-2026 rates'!$L:$R,6,0),IF($LB233=100%,VLOOKUP($GO233,'Jan-2026 rates'!$L:$R,7,0),IF($LB233=60%,VLOOKUP($GO233,'Jan-2026 rates'!$L:$S,8,0),IF($LB233=80%,VLOOKUP($GO233,'Jan-2026 rates'!L:T,9,0),0))))))))</f>
        <v>0</v>
      </c>
      <c r="GR233" s="412"/>
      <c r="GS233" s="409"/>
      <c r="GT233" s="411">
        <f>IF(GS233=0,0,IF($LB233=70%,VLOOKUP($GO233,'Jan-2026 rates'!$L:$R,4,0),IF($LB233=65%,VLOOKUP($GO233,'Jan-2026 rates'!$L:$R,4,0),IF($LB233=40%,VLOOKUP($GO233,'Jan-2026 rates'!$L:$R,5,0),IF($LB233=30%,VLOOKUP($GO233,'Jan-2026 rates'!$L:$R,6,0),IF($LB233=100%,VLOOKUP($GO233,'Jan-2026 rates'!$L:$R,7,0),IF($LB233=60%,VLOOKUP($GO233,'Jan-2026 rates'!$L:$S,8,0),IF($LB233=80%,VLOOKUP($GO233,'Jan-2026 rates'!L:T,9,0),0))))))))</f>
        <v>0</v>
      </c>
      <c r="GU233" s="413" t="s">
        <v>1266</v>
      </c>
      <c r="GV233" s="413"/>
      <c r="GW233" s="412"/>
      <c r="GX233" s="412"/>
      <c r="GY233" s="412"/>
      <c r="GZ233" s="412"/>
      <c r="HA233" s="412"/>
      <c r="HB233" s="412"/>
      <c r="HC233" s="409">
        <v>4</v>
      </c>
      <c r="HD233" s="398">
        <f>IF(HC233=0,0,IF(LEN(GU233)=11,_xlfn.XLOOKUP(GU233,'Dispensed Ink Rates'!C:C,'Dispensed Ink Rates'!CS:CS),VLOOKUP(GU233,'Jan-2026 rates'!$E:$F,2,0)))</f>
        <v>0</v>
      </c>
      <c r="HE233" s="409"/>
      <c r="HF233" s="398">
        <f>IF(HE233=0,0,IF(LEN(GV233)=11,_xlfn.XLOOKUP(GV233,'Dispensed Ink Rates'!C:C,'Dispensed Ink Rates'!CS:CS),VLOOKUP(GV233,'Jan-2026 rates'!$E:$F,2,0)))</f>
        <v>0</v>
      </c>
      <c r="HG233" s="409"/>
      <c r="HH233" s="398">
        <f>IF(HG233=0,0,IF(LEN(GW233)=11,_xlfn.XLOOKUP(GW233,'Dispensed Ink Rates'!C:C,'Dispensed Ink Rates'!CS:CS),VLOOKUP(GW233,'Jan-2026 rates'!$E:$F,2,0)))</f>
        <v>0</v>
      </c>
      <c r="HI233" s="409"/>
      <c r="HJ233" s="398">
        <f>IF(HI233=0,0,IF(LEN(GX233)=11,_xlfn.XLOOKUP(GX233,'Dispensed Ink Rates'!C:C,'Dispensed Ink Rates'!CS:CS),VLOOKUP(GX233,'Jan-2026 rates'!$E:$F,2,0)))</f>
        <v>0</v>
      </c>
      <c r="HK233" s="409"/>
      <c r="HL233" s="398">
        <f>IF(HK233=0,0,IF(LEN(GY233)=11,_xlfn.XLOOKUP(GY233,'Dispensed Ink Rates'!C:C,'Dispensed Ink Rates'!CS:CS),VLOOKUP(GY233,'Jan-2026 rates'!$E:$F,2,0)))</f>
        <v>0</v>
      </c>
      <c r="HM233" s="409"/>
      <c r="HN233" s="398">
        <f>IF(HM233=0,0,IF(LEN(GZ233)=11,_xlfn.XLOOKUP(GZ233,'Dispensed Ink Rates'!C:C,'Dispensed Ink Rates'!CS:CS),VLOOKUP(GZ233,'Jan-2026 rates'!$E:$F,2,0)))</f>
        <v>0</v>
      </c>
      <c r="HO233" s="409"/>
      <c r="HP233" s="398">
        <f>IF(HO233=0,0,IF(LEN(HA233)=11,_xlfn.XLOOKUP(HA233,'Dispensed Ink Rates'!C:C,'Dispensed Ink Rates'!CS:CS),VLOOKUP(HA233,'Jan-2026 rates'!$E:$F,2,0)))</f>
        <v>0</v>
      </c>
      <c r="HQ233" s="409"/>
      <c r="HR233" s="398">
        <f>IF(HQ233=0,0,IF(LEN(HB233)=11,_xlfn.XLOOKUP(HB233,'Dispensed Ink Rates'!C:C,'Dispensed Ink Rates'!CS:CS),VLOOKUP(HB233,'Jan-2026 rates'!$E:$F,2,0)))</f>
        <v>0</v>
      </c>
      <c r="HS233" s="409" t="s">
        <v>1443</v>
      </c>
      <c r="HT233" s="409">
        <v>24</v>
      </c>
      <c r="HU233" s="411">
        <f t="shared" si="174"/>
        <v>0</v>
      </c>
      <c r="HV233" s="411">
        <f t="shared" si="175"/>
        <v>15.25</v>
      </c>
      <c r="HW233" s="414">
        <f t="shared" si="176"/>
        <v>0</v>
      </c>
      <c r="HX233" s="405" t="s">
        <v>545</v>
      </c>
      <c r="HY233" s="409" t="s">
        <v>3957</v>
      </c>
      <c r="HZ233" s="420" t="str">
        <f t="shared" si="136"/>
        <v>FLINTSL - YELLOW</v>
      </c>
      <c r="IA233" s="409">
        <v>27</v>
      </c>
      <c r="IB233" s="411">
        <f>IF(IA233=0,0,IF($LB233=70%,VLOOKUP($HZ233,'Jan-2026 rates'!$L:$R,4,0),IF($LB233=65%,VLOOKUP($HZ233,'Jan-2026 rates'!$L:$R,4,0),IF($LB233=40%,VLOOKUP($HZ233,'Jan-2026 rates'!$L:$R,5,0),IF($LB233=30%,VLOOKUP($HZ233,'Jan-2026 rates'!$L:$R,6,0),IF($LB233=100%,VLOOKUP($HZ233,'Jan-2026 rates'!$L:$R,7,0),IF($LB233=60%,VLOOKUP($HZ233,'Jan-2026 rates'!$L:$S,8,0),IF($LB233=80%,VLOOKUP($HZ233,'Jan-2026 rates'!L:T,9,0),0))))))))</f>
        <v>0</v>
      </c>
      <c r="IC233" s="412"/>
      <c r="ID233" s="409"/>
      <c r="IE233" s="411">
        <f>IF(ID233=0,0,IF($LB233=70%,VLOOKUP($HZ233,'Jan-2026 rates'!$L:$R,4,0),IF($LB233=65%,VLOOKUP($HZ233,'Jan-2026 rates'!$L:$R,4,0),IF($LB233=40%,VLOOKUP($HZ233,'Jan-2026 rates'!$L:$R,5,0),IF($LB233=30%,VLOOKUP($HZ233,'Jan-2026 rates'!$L:$R,6,0),IF($LB233=100%,VLOOKUP($HZ233,'Jan-2026 rates'!$L:$R,7,0),IF($LB233=60%,VLOOKUP($HZ233,'Jan-2026 rates'!$L:$S,8,0),IF($LB233=80%,VLOOKUP($HZ233,'Jan-2026 rates'!L:T,9,0),0))))))))</f>
        <v>0</v>
      </c>
      <c r="IF233" s="412" t="s">
        <v>1266</v>
      </c>
      <c r="IG233" s="413">
        <v>26516000015</v>
      </c>
      <c r="IH233" s="412"/>
      <c r="II233" s="412"/>
      <c r="IJ233" s="412"/>
      <c r="IK233" s="412"/>
      <c r="IL233" s="412"/>
      <c r="IM233" s="412"/>
      <c r="IN233" s="409">
        <v>5</v>
      </c>
      <c r="IO233" s="398">
        <f>IF(IN233=0,0,IF(LEN(IF233)=11,_xlfn.XLOOKUP(IF233,'Dispensed Ink Rates'!C:C,'Dispensed Ink Rates'!CS:CS),VLOOKUP(IF233,'Jan-2026 rates'!$E:$F,2,0)))</f>
        <v>0</v>
      </c>
      <c r="IP233" s="409">
        <v>2</v>
      </c>
      <c r="IQ233" s="398" t="e">
        <f>IF(IP233=0,0,IF(LEN(IG233)=11,_xlfn.XLOOKUP(IG233,'Dispensed Ink Rates'!C:C,'Dispensed Ink Rates'!CS:CS),VLOOKUP(IG233,'Jan-2026 rates'!$E:$F,2,0)))</f>
        <v>#N/A</v>
      </c>
      <c r="IR233" s="409"/>
      <c r="IS233" s="398">
        <f>IF(IR233=0,0,IF(LEN(IH233)=11,_xlfn.XLOOKUP(IH233,'Dispensed Ink Rates'!C:C,'Dispensed Ink Rates'!CS:CS),VLOOKUP(IH233,'Jan-2026 rates'!$E:$F,2,0)))</f>
        <v>0</v>
      </c>
      <c r="IT233" s="409"/>
      <c r="IU233" s="398">
        <f>IF(IT233=0,0,IF(LEN(II233)=11,_xlfn.XLOOKUP(II233,'Dispensed Ink Rates'!C:C,'Dispensed Ink Rates'!CS:CS),VLOOKUP(II233,'Jan-2026 rates'!$E:$F,2,0)))</f>
        <v>0</v>
      </c>
      <c r="IV233" s="409"/>
      <c r="IW233" s="398">
        <f>IF(IV233=0,0,IF(LEN(IJ233)=11,_xlfn.XLOOKUP(IJ233,'Dispensed Ink Rates'!C:C,'Dispensed Ink Rates'!CS:CS),VLOOKUP(IJ233,'Jan-2026 rates'!$E:$F,2,0)))</f>
        <v>0</v>
      </c>
      <c r="IX233" s="409"/>
      <c r="IY233" s="398">
        <f>IF(IX233=0,0,IF(LEN(IK233)=11,_xlfn.XLOOKUP(IK233,'Dispensed Ink Rates'!C:C,'Dispensed Ink Rates'!CS:CS),VLOOKUP(IK233,'Jan-2026 rates'!$E:$F,2,0)))</f>
        <v>0</v>
      </c>
      <c r="IZ233" s="409"/>
      <c r="JA233" s="398">
        <f>IF(IZ233=0,0,IF(LEN(IL233)=11,_xlfn.XLOOKUP(IL233,'Dispensed Ink Rates'!C:C,'Dispensed Ink Rates'!CS:CS),VLOOKUP(IL233,'Jan-2026 rates'!$E:$F,2,0)))</f>
        <v>0</v>
      </c>
      <c r="JB233" s="409"/>
      <c r="JC233" s="398">
        <f>IF(JB233=0,0,IF(LEN(IM233)=11,_xlfn.XLOOKUP(IM233,'Dispensed Ink Rates'!C:C,'Dispensed Ink Rates'!CS:CS),VLOOKUP(IM233,'Jan-2026 rates'!$E:$F,2,0)))</f>
        <v>0</v>
      </c>
      <c r="JD233" s="409" t="s">
        <v>1443</v>
      </c>
      <c r="JE233" s="409">
        <v>22</v>
      </c>
      <c r="JF233" s="411">
        <f t="shared" si="177"/>
        <v>0</v>
      </c>
      <c r="JG233" s="411">
        <f t="shared" si="178"/>
        <v>21.25</v>
      </c>
      <c r="JH233" s="410">
        <f t="shared" si="179"/>
        <v>0</v>
      </c>
      <c r="JI233" s="405" t="s">
        <v>856</v>
      </c>
      <c r="JJ233" s="409" t="s">
        <v>3958</v>
      </c>
      <c r="JK233" s="420" t="str">
        <f t="shared" si="137"/>
        <v>FLINTSL - WHITE</v>
      </c>
      <c r="JL233" s="409">
        <v>20</v>
      </c>
      <c r="JM233" s="411">
        <f>IF(JL233=0,0,IF($LB233=70%,VLOOKUP($JK233,'Jan-2026 rates'!$L:$R,4,0),IF($LB233=65%,VLOOKUP($JK233,'Jan-2026 rates'!$L:$R,4,0),IF($LB233=40%,VLOOKUP($JK233,'Jan-2026 rates'!$L:$R,5,0),IF($LB233=30%,VLOOKUP($JK233,'Jan-2026 rates'!$L:$R,6,0),IF($LB233=100%,VLOOKUP($JK233,'Jan-2026 rates'!$L:$R,7,0),IF($LB233=60%,VLOOKUP($JK233,'Jan-2026 rates'!$L:$S,8,0),IF($LB233=80%,VLOOKUP($JK233,'Jan-2026 rates'!L:T,9,0),0))))))))</f>
        <v>0</v>
      </c>
      <c r="JN233" s="412"/>
      <c r="JO233" s="409"/>
      <c r="JP233" s="411">
        <f>IF(JO233=0,0,IF($LB233=70%,VLOOKUP($JK233,'Jan-2026 rates'!$L:$R,4,0),IF($LB233=65%,VLOOKUP($JK233,'Jan-2026 rates'!$L:$R,4,0),IF($LB233=40%,VLOOKUP($JK233,'Jan-2026 rates'!$L:$R,5,0),IF($LB233=30%,VLOOKUP($JK233,'Jan-2026 rates'!$L:$R,6,0),IF($LB233=100%,VLOOKUP($JK233,'Jan-2026 rates'!$L:$R,7,0),IF($LB233=60%,VLOOKUP($JK233,'Jan-2026 rates'!$L:$S,8,0),IF($LB233=80%,VLOOKUP($JK233,'Jan-2026 rates'!L:T,9,0),0))))))))</f>
        <v>0</v>
      </c>
      <c r="JQ233" s="413" t="s">
        <v>484</v>
      </c>
      <c r="JR233" s="412" t="s">
        <v>1924</v>
      </c>
      <c r="JS233" s="413"/>
      <c r="JT233" s="413"/>
      <c r="JU233" s="412"/>
      <c r="JV233" s="412"/>
      <c r="JW233" s="412"/>
      <c r="JX233" s="412"/>
      <c r="JY233" s="409">
        <v>80</v>
      </c>
      <c r="JZ233" s="398">
        <f>IF(JY233=0,0,IF(LEN(JQ233)=11,_xlfn.XLOOKUP(JQ233,'Dispensed Ink Rates'!C:C,'Dispensed Ink Rates'!CS:CS),VLOOKUP(JQ233,'Jan-2026 rates'!$E:$F,2,0)))</f>
        <v>0</v>
      </c>
      <c r="KA233" s="409">
        <v>9.61</v>
      </c>
      <c r="KB233" s="398">
        <f>IF(KA233=0,0,IF(LEN(JR233)=11,_xlfn.XLOOKUP(JR233,'Dispensed Ink Rates'!C:C,'Dispensed Ink Rates'!CS:CS),VLOOKUP(JR233,'Jan-2026 rates'!$E:$F,2,0)))</f>
        <v>0</v>
      </c>
      <c r="KC233" s="409"/>
      <c r="KD233" s="398">
        <f>IF(KC233=0,0,IF(LEN(JS233)=11,_xlfn.XLOOKUP(JS233,'Dispensed Ink Rates'!C:C,'Dispensed Ink Rates'!CS:CS),VLOOKUP(JS233,'Jan-2026 rates'!$E:$F,2,0)))</f>
        <v>0</v>
      </c>
      <c r="KE233" s="409"/>
      <c r="KF233" s="398">
        <f>IF(KE233=0,0,IF(LEN(JT233)=11,_xlfn.XLOOKUP(JT233,'Dispensed Ink Rates'!C:C,'Dispensed Ink Rates'!CS:CS),VLOOKUP(JT233,'Jan-2026 rates'!$E:$F,2,0)))</f>
        <v>0</v>
      </c>
      <c r="KG233" s="409"/>
      <c r="KH233" s="398">
        <f>IF(KG233=0,0,IF(LEN(JU233)=11,_xlfn.XLOOKUP(JU233,'Dispensed Ink Rates'!C:C,'Dispensed Ink Rates'!CS:CS),VLOOKUP(JU233,'Jan-2026 rates'!$E:$F,2,0)))</f>
        <v>0</v>
      </c>
      <c r="KI233" s="409"/>
      <c r="KJ233" s="398">
        <f>IF(KI233=0,0,IF(LEN(JV233)=11,_xlfn.XLOOKUP(JV233,'Dispensed Ink Rates'!C:C,'Dispensed Ink Rates'!CS:CS),VLOOKUP(JV233,'Jan-2026 rates'!$E:$F,2,0)))</f>
        <v>0</v>
      </c>
      <c r="KK233" s="409"/>
      <c r="KL233" s="398">
        <f>IF(KK233=0,0,IF(LEN(JW233)=11,_xlfn.XLOOKUP(JW233,'Dispensed Ink Rates'!C:C,'Dispensed Ink Rates'!CS:CS),VLOOKUP(JW233,'Jan-2026 rates'!$E:$F,2,0)))</f>
        <v>0</v>
      </c>
      <c r="KM233" s="428"/>
      <c r="KN233" s="398">
        <f>IF(KM233=0,0,IF(LEN(JX233)=11,_xlfn.XLOOKUP(JX233,'Dispensed Ink Rates'!C:C,'Dispensed Ink Rates'!CS:CS),VLOOKUP(JX233,'Jan-2026 rates'!$E:$F,2,0)))</f>
        <v>0</v>
      </c>
      <c r="KO233" s="409" t="s">
        <v>1443</v>
      </c>
      <c r="KP233" s="409">
        <v>30</v>
      </c>
      <c r="KQ233" s="411">
        <f t="shared" si="180"/>
        <v>0</v>
      </c>
      <c r="KR233" s="411">
        <f t="shared" si="181"/>
        <v>153.61000000000001</v>
      </c>
      <c r="KS233" s="410">
        <f t="shared" si="182"/>
        <v>0</v>
      </c>
      <c r="KT233" s="409">
        <v>10</v>
      </c>
      <c r="KU233" s="409">
        <v>4</v>
      </c>
      <c r="KV233" s="409">
        <v>7</v>
      </c>
      <c r="KW233" s="409">
        <v>5</v>
      </c>
      <c r="KX233" s="409">
        <v>4</v>
      </c>
      <c r="KY233" s="409">
        <v>5</v>
      </c>
      <c r="KZ233" s="409">
        <v>5</v>
      </c>
      <c r="LA233" s="409">
        <v>40</v>
      </c>
      <c r="LB233" s="415">
        <v>0.8</v>
      </c>
      <c r="LC233" s="415">
        <v>0.2</v>
      </c>
      <c r="LD233" s="415"/>
      <c r="LE233" s="415"/>
      <c r="LF233" s="415"/>
      <c r="LG233" s="409">
        <v>0</v>
      </c>
      <c r="LH233" s="409">
        <f>47+41+48+12</f>
        <v>148</v>
      </c>
      <c r="LI233" s="409">
        <v>0</v>
      </c>
      <c r="LJ233" s="409">
        <v>0</v>
      </c>
      <c r="LK233" s="416">
        <f t="shared" si="138"/>
        <v>148</v>
      </c>
      <c r="LL233" s="416">
        <f t="shared" si="139"/>
        <v>148</v>
      </c>
      <c r="LM233" s="417">
        <f t="shared" si="140"/>
        <v>118.4</v>
      </c>
      <c r="LN233" s="417">
        <f>VLOOKUP($LM$8,'Jan-2026 rates'!$H:$I,2,0)</f>
        <v>0</v>
      </c>
      <c r="LO233" s="417">
        <f t="shared" si="141"/>
        <v>29.6</v>
      </c>
      <c r="LP233" s="417">
        <f>VLOOKUP($LO$8,'Jan-2026 rates'!$H:$I,2,0)</f>
        <v>0</v>
      </c>
      <c r="LQ233" s="417">
        <f t="shared" si="142"/>
        <v>0</v>
      </c>
      <c r="LR233" s="417">
        <f>VLOOKUP($LQ$8,'Jan-2026 rates'!$H:$I,2,0)</f>
        <v>0</v>
      </c>
      <c r="LS233" s="417">
        <f t="shared" si="143"/>
        <v>0</v>
      </c>
      <c r="LT233" s="417">
        <f>VLOOKUP($LS$8,'Jan-2026 rates'!$H:$I,2,0)</f>
        <v>0</v>
      </c>
      <c r="LU233" s="417">
        <f t="shared" si="144"/>
        <v>0</v>
      </c>
      <c r="LV233" s="417">
        <f>VLOOKUP($LU$8,'Jan-2026 rates'!$H:$I,2,0)</f>
        <v>0</v>
      </c>
      <c r="LW233" s="417">
        <f t="shared" si="145"/>
        <v>0</v>
      </c>
      <c r="LX233" s="417">
        <f t="shared" si="146"/>
        <v>0</v>
      </c>
      <c r="LY233" s="418">
        <f t="shared" si="147"/>
        <v>0</v>
      </c>
      <c r="LZ233" s="417"/>
      <c r="MA233" s="435">
        <f t="shared" si="148"/>
        <v>241.81</v>
      </c>
      <c r="MB233" s="282">
        <f t="shared" si="149"/>
        <v>362.81</v>
      </c>
      <c r="MC233" s="283">
        <v>126</v>
      </c>
      <c r="MD233" s="284" t="str">
        <f t="shared" si="150"/>
        <v>FLINTSLFLINTSLFLINTSLFLINTSLFLINTSLFLINTSLFLINTSLFLINTSL</v>
      </c>
      <c r="ME233" s="293" t="str">
        <f t="shared" si="151"/>
        <v>+</v>
      </c>
      <c r="MF233" s="293" t="str">
        <f t="shared" si="152"/>
        <v>+</v>
      </c>
      <c r="MG233" s="293" t="str">
        <f t="shared" si="153"/>
        <v>+</v>
      </c>
      <c r="MH233" s="293" t="str">
        <f t="shared" si="154"/>
        <v>+</v>
      </c>
      <c r="MI233" s="293" t="str">
        <f t="shared" si="155"/>
        <v>+</v>
      </c>
      <c r="MJ233" s="293" t="str">
        <f t="shared" si="156"/>
        <v>+</v>
      </c>
      <c r="MK233" s="293" t="str">
        <f t="shared" si="157"/>
        <v>+</v>
      </c>
      <c r="ML233" s="293" t="str">
        <f t="shared" si="158"/>
        <v>+</v>
      </c>
      <c r="MM233" s="3" t="b">
        <f t="array" ref="MM233">OR(ME233:ML233="-")</f>
        <v>0</v>
      </c>
      <c r="MN233" s="285"/>
      <c r="MO233" s="401"/>
      <c r="MP233" s="286"/>
      <c r="MQ233" s="286"/>
      <c r="MR233" s="402"/>
      <c r="MS233" s="400"/>
      <c r="NH233" s="422"/>
      <c r="NJ233" s="421"/>
    </row>
    <row r="234" spans="1:374" s="1" customFormat="1" ht="16.5">
      <c r="A234" s="403">
        <v>46039</v>
      </c>
      <c r="B234" s="404" t="s">
        <v>1015</v>
      </c>
      <c r="C234" s="405" t="s">
        <v>3959</v>
      </c>
      <c r="D234" s="406">
        <v>127</v>
      </c>
      <c r="E234" s="404">
        <v>517</v>
      </c>
      <c r="F234" s="407">
        <v>44700</v>
      </c>
      <c r="G234" s="407" t="s">
        <v>1019</v>
      </c>
      <c r="H234" s="408" t="s">
        <v>1017</v>
      </c>
      <c r="I234" s="409">
        <v>1.4</v>
      </c>
      <c r="J234" s="405" t="s">
        <v>543</v>
      </c>
      <c r="K234" s="404" t="s">
        <v>3960</v>
      </c>
      <c r="L234" s="419" t="str">
        <f t="shared" ref="L234:L403" si="184">CONCATENATE(AP234," - ",J234)</f>
        <v>FLINTSL - BLACK</v>
      </c>
      <c r="M234" s="404">
        <v>30</v>
      </c>
      <c r="N234" s="410">
        <f>IF(M234=0,0,IF($LB234=70%,VLOOKUP($L234,'Jan-2026 rates'!$L:$R,4,0),IF($LB234=65%,VLOOKUP($L234,'Jan-2026 rates'!$L:$R,4,0),IF($LB234=40%,VLOOKUP($L234,'Jan-2026 rates'!$L:$R,5,0),IF($LB234=30%,VLOOKUP($L234,'Jan-2026 rates'!$L:$R,6,0),IF($LB234=100%,VLOOKUP($L234,'Jan-2026 rates'!$L:$R,7,0),IF($LB234=60%,VLOOKUP($L234,'Jan-2026 rates'!$L:$S,8,0),IF($LB234=80%,VLOOKUP($L234,'Jan-2026 rates'!L:T,9,0),0))))))))</f>
        <v>0</v>
      </c>
      <c r="O234" s="406"/>
      <c r="P234" s="404"/>
      <c r="Q234" s="410">
        <f>IF(P234=0,0,IF($LB234=70%,VLOOKUP($L234,'Jan-2026 rates'!$L:$R,4,0),IF($LB234=65%,VLOOKUP($L234,'Jan-2026 rates'!$L:$R,4,0),IF($LB234=40%,VLOOKUP($L234,'Jan-2026 rates'!$L:$R,5,0),IF($LB234=30%,VLOOKUP($L234,'Jan-2026 rates'!$L:$R,6,0),IF($LB234=100%,VLOOKUP($L234,'Jan-2026 rates'!$L:$R,7,0),IF($LB234=60%,VLOOKUP($L234,'Jan-2026 rates'!$L:$S,8,0),IF($LB234=80%,VLOOKUP($L234,'Jan-2026 rates'!L:T,9,0),0))))))))</f>
        <v>0</v>
      </c>
      <c r="R234" s="406">
        <v>26522000008</v>
      </c>
      <c r="S234" s="406" t="s">
        <v>1266</v>
      </c>
      <c r="T234" s="406"/>
      <c r="U234" s="406"/>
      <c r="V234" s="406"/>
      <c r="W234" s="406"/>
      <c r="X234" s="406"/>
      <c r="Y234" s="406"/>
      <c r="Z234" s="404">
        <v>2</v>
      </c>
      <c r="AA234" s="398" t="e">
        <f>IF(Z234=0,0,IF(LEN(R234)=11,_xlfn.XLOOKUP(R234,'Dispensed Ink Rates'!C:C,'Dispensed Ink Rates'!CS:CS),VLOOKUP(R234,'Jan-2026 rates'!$E:$F,2,0)))</f>
        <v>#N/A</v>
      </c>
      <c r="AB234" s="404">
        <f>3+2</f>
        <v>5</v>
      </c>
      <c r="AC234" s="398">
        <f>IF(AB234=0,0,IF(LEN(S234)=11,_xlfn.XLOOKUP(S234,'Dispensed Ink Rates'!C:C,'Dispensed Ink Rates'!CS:CS),VLOOKUP(S234,'Jan-2026 rates'!$E:$F,2,0)))</f>
        <v>0</v>
      </c>
      <c r="AD234" s="404"/>
      <c r="AE234" s="398">
        <f>IF(AD234=0,0,IF(LEN(T234)=11,_xlfn.XLOOKUP(T234,'Dispensed Ink Rates'!C:C,'Dispensed Ink Rates'!CS:CS),VLOOKUP(T234,'Jan-2026 rates'!$E:$F,2,0)))</f>
        <v>0</v>
      </c>
      <c r="AF234" s="404"/>
      <c r="AG234" s="398">
        <f>IF(AF234=0,0,IF(LEN(U234)=11,_xlfn.XLOOKUP(U234,'Dispensed Ink Rates'!C:C,'Dispensed Ink Rates'!CS:CS),VLOOKUP(U234,'Jan-2026 rates'!$E:$F,2,0)))</f>
        <v>0</v>
      </c>
      <c r="AH234" s="404"/>
      <c r="AI234" s="398">
        <f>IF(AH234=0,0,IF(LEN(V234)=11,_xlfn.XLOOKUP(V234,'Dispensed Ink Rates'!C:C,'Dispensed Ink Rates'!CS:CS),VLOOKUP(V234,'Jan-2026 rates'!$E:$F,2,0)))</f>
        <v>0</v>
      </c>
      <c r="AJ234" s="404"/>
      <c r="AK234" s="398">
        <f>IF(AJ234=0,0,IF(LEN(W234)=11,_xlfn.XLOOKUP(W234,'Dispensed Ink Rates'!C:C,'Dispensed Ink Rates'!CS:CS),VLOOKUP(W234,'Jan-2026 rates'!$E:$F,2,0)))</f>
        <v>0</v>
      </c>
      <c r="AL234" s="404"/>
      <c r="AM234" s="398">
        <f>IF(AL234=0,0,IF(LEN(X234)=11,_xlfn.XLOOKUP(X234,'Dispensed Ink Rates'!C:C,'Dispensed Ink Rates'!CS:CS),VLOOKUP(X234,'Jan-2026 rates'!$E:$F,2,0)))</f>
        <v>0</v>
      </c>
      <c r="AN234" s="404"/>
      <c r="AO234" s="398">
        <f>IF(AN234=0,0,IF(LEN(Y234)=11,_xlfn.XLOOKUP(Y234,'Dispensed Ink Rates'!C:C,'Dispensed Ink Rates'!CS:CS),VLOOKUP(Y234,'Jan-2026 rates'!$E:$F,2,0)))</f>
        <v>0</v>
      </c>
      <c r="AP234" s="409" t="s">
        <v>1443</v>
      </c>
      <c r="AQ234" s="409">
        <v>28</v>
      </c>
      <c r="AR234" s="410">
        <f t="shared" si="159"/>
        <v>0</v>
      </c>
      <c r="AS234" s="411">
        <f t="shared" si="160"/>
        <v>21.397260273972606</v>
      </c>
      <c r="AT234" s="410">
        <f t="shared" si="161"/>
        <v>0</v>
      </c>
      <c r="AU234" s="405" t="s">
        <v>548</v>
      </c>
      <c r="AV234" s="409" t="s">
        <v>3961</v>
      </c>
      <c r="AW234" s="420" t="str">
        <f t="shared" si="183"/>
        <v>FLINTSL - GOLD</v>
      </c>
      <c r="AX234" s="409">
        <v>23</v>
      </c>
      <c r="AY234" s="411">
        <f>IF(AX234=0,0,IF($LB234=70%,VLOOKUP($AW234,'Jan-2026 rates'!$L:$R,4,0),IF($LB234=65%,VLOOKUP($AW234,'Jan-2026 rates'!$L:$R,4,0),IF($LB234=40%,VLOOKUP($AW234,'Jan-2026 rates'!$L:$R,5,0),IF($LB234=30%,VLOOKUP($AW234,'Jan-2026 rates'!$L:$R,6,0),IF($LB234=100%,VLOOKUP($AW234,'Jan-2026 rates'!$L:$R,7,0),IF($LB234=60%,VLOOKUP($AW234,'Jan-2026 rates'!$L:$S,8,0),IF($LB234=80%,VLOOKUP($AW234,'Jan-2026 rates'!L:T,9,0),0))))))))</f>
        <v>0</v>
      </c>
      <c r="AZ234" s="412"/>
      <c r="BA234" s="409"/>
      <c r="BB234" s="411">
        <f>IF(BA234=0,0,IF($LB234=70%,VLOOKUP($AW234,'Jan-2026 rates'!$L:$R,4,0),IF($LB234=65%,VLOOKUP($AW234,'Jan-2026 rates'!$L:$R,4,0),IF($LB234=40%,VLOOKUP($AW234,'Jan-2026 rates'!$L:$R,5,0),IF($LB234=30%,VLOOKUP($AW234,'Jan-2026 rates'!$L:$R,6,0),IF($LB234=100%,VLOOKUP($AW234,'Jan-2026 rates'!$L:$R,7,0),IF($LB234=60%,VLOOKUP($AW234,'Jan-2026 rates'!$L:$S,8,0),IF($LB234=80%,VLOOKUP($AW234,'Jan-2026 rates'!L:T,9,0),0))))))))</f>
        <v>0</v>
      </c>
      <c r="BC234" s="413">
        <v>26516000015</v>
      </c>
      <c r="BD234" s="412" t="s">
        <v>1341</v>
      </c>
      <c r="BE234" s="412"/>
      <c r="BF234" s="413"/>
      <c r="BG234" s="412"/>
      <c r="BH234" s="412"/>
      <c r="BI234" s="412"/>
      <c r="BJ234" s="412"/>
      <c r="BK234" s="409">
        <v>2</v>
      </c>
      <c r="BL234" s="398" t="e">
        <f>IF(BK234=0,0,IF(LEN(BC234)=11,_xlfn.XLOOKUP(BC234,'Dispensed Ink Rates'!C:C,'Dispensed Ink Rates'!CS:CS),VLOOKUP(BC234,'Jan-2026 rates'!$E:$F,2,0)))</f>
        <v>#N/A</v>
      </c>
      <c r="BM234" s="409">
        <v>8</v>
      </c>
      <c r="BN234" s="398">
        <f>IF(BM234=0,0,IF(LEN(BD234)=11,_xlfn.XLOOKUP(BD234,'Dispensed Ink Rates'!C:C,'Dispensed Ink Rates'!CS:CS),VLOOKUP(BD234,'Jan-2026 rates'!$E:$F,2,0)))</f>
        <v>0</v>
      </c>
      <c r="BO234" s="409"/>
      <c r="BP234" s="398">
        <f>IF(BO234=0,0,IF(LEN(BE234)=11,_xlfn.XLOOKUP(BE234,'Dispensed Ink Rates'!C:C,'Dispensed Ink Rates'!CS:CS),VLOOKUP(BE234,'Jan-2026 rates'!$E:$F,2,0)))</f>
        <v>0</v>
      </c>
      <c r="BQ234" s="409"/>
      <c r="BR234" s="398">
        <f>IF(BQ234=0,0,IF(LEN(BF234)=11,_xlfn.XLOOKUP(BF234,'Dispensed Ink Rates'!C:C,'Dispensed Ink Rates'!CS:CS),VLOOKUP(BF234,'Jan-2026 rates'!$E:$F,2,0)))</f>
        <v>0</v>
      </c>
      <c r="BS234" s="409"/>
      <c r="BT234" s="398">
        <f>IF(BS234=0,0,IF(LEN(BG234)=11,_xlfn.XLOOKUP(BG234,'Dispensed Ink Rates'!C:C,'Dispensed Ink Rates'!CS:CS),VLOOKUP(BG234,'Jan-2026 rates'!$E:$F,2,0)))</f>
        <v>0</v>
      </c>
      <c r="BU234" s="409"/>
      <c r="BV234" s="398">
        <f>IF(BU234=0,0,IF(LEN(BH234)=11,_xlfn.XLOOKUP(BH234,'Dispensed Ink Rates'!C:C,'Dispensed Ink Rates'!CS:CS),VLOOKUP(BH234,'Jan-2026 rates'!$E:$F,2,0)))</f>
        <v>0</v>
      </c>
      <c r="BW234" s="409"/>
      <c r="BX234" s="398">
        <f>IF(BW234=0,0,IF(LEN(BI234)=11,_xlfn.XLOOKUP(BI234,'Dispensed Ink Rates'!C:C,'Dispensed Ink Rates'!CS:CS),VLOOKUP(BI234,'Jan-2026 rates'!$E:$F,2,0)))</f>
        <v>0</v>
      </c>
      <c r="BY234" s="409"/>
      <c r="BZ234" s="398">
        <f>IF(BY234=0,0,IF(LEN(BJ234)=11,_xlfn.XLOOKUP(BJ234,'Dispensed Ink Rates'!C:C,'Dispensed Ink Rates'!CS:CS),VLOOKUP(BJ234,'Jan-2026 rates'!$E:$F,2,0)))</f>
        <v>0</v>
      </c>
      <c r="CA234" s="409" t="s">
        <v>1443</v>
      </c>
      <c r="CB234" s="409">
        <v>29</v>
      </c>
      <c r="CC234" s="411">
        <f t="shared" si="162"/>
        <v>0</v>
      </c>
      <c r="CD234" s="411">
        <f t="shared" si="163"/>
        <v>16.397260273972606</v>
      </c>
      <c r="CE234" s="410">
        <f t="shared" si="164"/>
        <v>0</v>
      </c>
      <c r="CF234" s="404" t="s">
        <v>857</v>
      </c>
      <c r="CG234" s="409" t="s">
        <v>3962</v>
      </c>
      <c r="CH234" s="420" t="str">
        <f t="shared" ref="CH234:CH403" si="185">CONCATENATE(DL234," - ",CF234)</f>
        <v>FLINTSL - RED</v>
      </c>
      <c r="CI234" s="409">
        <v>23</v>
      </c>
      <c r="CJ234" s="411">
        <f>IF(CI234=0,0,IF($LB234=70%,VLOOKUP($CH234,'Jan-2026 rates'!$L:$R,4,0),IF($LB234=65%,VLOOKUP($CH234,'Jan-2026 rates'!$L:$R,4,0),IF($LB234=40%,VLOOKUP($CH234,'Jan-2026 rates'!$L:$R,5,0),IF($LB234=30%,VLOOKUP($CH234,'Jan-2026 rates'!$L:$R,6,0),IF($LB234=100%,VLOOKUP($CH234,'Jan-2026 rates'!$L:$R,7,0),IF($LB234=60%,VLOOKUP($CH234,'Jan-2026 rates'!$L:$S,8,0),IF($LB234=80%,VLOOKUP($CH234,'Jan-2026 rates'!L:T,9,0),0))))))))</f>
        <v>0</v>
      </c>
      <c r="CK234" s="412"/>
      <c r="CL234" s="409"/>
      <c r="CM234" s="411">
        <f>IF(CL234=0,0,IF($LB234=70%,VLOOKUP($CH234,'Jan-2026 rates'!$L:$R,4,0),IF($LB234=65%,VLOOKUP($CH234,'Jan-2026 rates'!$L:$R,4,0),IF($LB234=40%,VLOOKUP($CH234,'Jan-2026 rates'!$L:$R,5,0),IF($LB234=30%,VLOOKUP($CH234,'Jan-2026 rates'!$L:$R,6,0),IF($LB234=100%,VLOOKUP($CH234,'Jan-2026 rates'!$L:$R,7,0),IF($LB234=60%,VLOOKUP($CH234,'Jan-2026 rates'!$L:$S,8,0),IF($LB234=80%,VLOOKUP($CH234,'Jan-2026 rates'!L:T,9,0),0))))))))</f>
        <v>0</v>
      </c>
      <c r="CN234" s="426">
        <v>26519000029</v>
      </c>
      <c r="CO234" s="427">
        <v>26516000012</v>
      </c>
      <c r="CP234" s="426">
        <v>26518000009</v>
      </c>
      <c r="CQ234" s="426"/>
      <c r="CR234" s="428"/>
      <c r="CS234" s="428"/>
      <c r="CT234" s="428"/>
      <c r="CU234" s="428"/>
      <c r="CV234" s="409">
        <v>10</v>
      </c>
      <c r="CW234" s="398" t="e">
        <f>IF(CV234=0,0,IF(LEN(CN234)=11,_xlfn.XLOOKUP(CN234,'Dispensed Ink Rates'!C:C,'Dispensed Ink Rates'!CS:CS),VLOOKUP(CN234,'Jan-2026 rates'!$E:$F,2,0)))</f>
        <v>#N/A</v>
      </c>
      <c r="CX234" s="409">
        <v>2</v>
      </c>
      <c r="CY234" s="398" t="e">
        <f>IF(CX234=0,0,IF(LEN(CO234)=11,_xlfn.XLOOKUP(CO234,'Dispensed Ink Rates'!C:C,'Dispensed Ink Rates'!CS:CS),VLOOKUP(CO234,'Jan-2026 rates'!$E:$F,2,0)))</f>
        <v>#N/A</v>
      </c>
      <c r="CZ234" s="409">
        <v>4</v>
      </c>
      <c r="DA234" s="398" t="e">
        <f>IF(CZ234=0,0,IF(LEN(CP234)=11,_xlfn.XLOOKUP(CP234,'Dispensed Ink Rates'!C:C,'Dispensed Ink Rates'!CS:CS),VLOOKUP(CP234,'Jan-2026 rates'!$E:$F,2,0)))</f>
        <v>#N/A</v>
      </c>
      <c r="DB234" s="409"/>
      <c r="DC234" s="398">
        <f>IF(DB234=0,0,IF(LEN(CQ234)=11,_xlfn.XLOOKUP(CQ234,'Dispensed Ink Rates'!C:C,'Dispensed Ink Rates'!CS:CS),VLOOKUP(CQ234,'Jan-2026 rates'!$E:$F,2,0)))</f>
        <v>0</v>
      </c>
      <c r="DD234" s="409"/>
      <c r="DE234" s="398">
        <f>IF(DD234=0,0,IF(LEN(CR234)=11,_xlfn.XLOOKUP(CR234,'Dispensed Ink Rates'!C:C,'Dispensed Ink Rates'!CS:CS),VLOOKUP(CR234,'Jan-2026 rates'!$E:$F,2,0)))</f>
        <v>0</v>
      </c>
      <c r="DF234" s="409"/>
      <c r="DG234" s="398">
        <f>IF(DF234=0,0,IF(LEN(CS234)=11,_xlfn.XLOOKUP(CS234,'Dispensed Ink Rates'!C:C,'Dispensed Ink Rates'!CS:CS),VLOOKUP(CS234,'Jan-2026 rates'!$E:$F,2,0)))</f>
        <v>0</v>
      </c>
      <c r="DH234" s="409"/>
      <c r="DI234" s="398">
        <f>IF(DH234=0,0,IF(LEN(CT234)=11,_xlfn.XLOOKUP(CT234,'Dispensed Ink Rates'!C:C,'Dispensed Ink Rates'!CS:CS),VLOOKUP(CT234,'Jan-2026 rates'!$E:$F,2,0)))</f>
        <v>0</v>
      </c>
      <c r="DJ234" s="409"/>
      <c r="DK234" s="398">
        <f>IF(DJ234=0,0,IF(LEN(CU234)=11,_xlfn.XLOOKUP(CU234,'Dispensed Ink Rates'!C:C,'Dispensed Ink Rates'!CS:CS),VLOOKUP(CU234,'Jan-2026 rates'!$E:$F,2,0)))</f>
        <v>0</v>
      </c>
      <c r="DL234" s="409" t="s">
        <v>1443</v>
      </c>
      <c r="DM234" s="409">
        <v>27</v>
      </c>
      <c r="DN234" s="411">
        <f t="shared" si="165"/>
        <v>0</v>
      </c>
      <c r="DO234" s="411">
        <f t="shared" si="166"/>
        <v>31.835616438356162</v>
      </c>
      <c r="DP234" s="410">
        <f t="shared" si="167"/>
        <v>0</v>
      </c>
      <c r="DQ234" s="405" t="s">
        <v>855</v>
      </c>
      <c r="DR234" s="409" t="s">
        <v>3963</v>
      </c>
      <c r="DS234" s="420" t="str">
        <f t="shared" ref="DS234:DS403" si="186">CONCATENATE(EW234," - ",DQ234)</f>
        <v>FLINTSL - CYAN</v>
      </c>
      <c r="DT234" s="409">
        <v>26</v>
      </c>
      <c r="DU234" s="411">
        <f>IF(DT234=0,0,IF($LB234=70%,VLOOKUP($DS234,'Jan-2026 rates'!$L:$R,4,0),IF($LB234=65%,VLOOKUP($DS234,'Jan-2026 rates'!$L:$R,4,0),IF($LB234=40%,VLOOKUP($DS234,'Jan-2026 rates'!$L:$R,5,0),IF($LB234=30%,VLOOKUP($DS234,'Jan-2026 rates'!$L:$R,6,0),IF($LB234=100%,VLOOKUP($DS234,'Jan-2026 rates'!$L:$R,7,0),IF($LB234=60%,VLOOKUP($DS234,'Jan-2026 rates'!$L:$S,8,0),IF($LB234=80%,VLOOKUP($DS234,'Jan-2026 rates'!L:T,9,0),0))))))))</f>
        <v>0</v>
      </c>
      <c r="DV234" s="412"/>
      <c r="DW234" s="409"/>
      <c r="DX234" s="411">
        <f>IF(DW234=0,0,IF($LB234=70%,VLOOKUP($DS234,'Jan-2026 rates'!$L:$R,4,0),IF($LB234=65%,VLOOKUP($DS234,'Jan-2026 rates'!$L:$R,4,0),IF($LB234=40%,VLOOKUP($DS234,'Jan-2026 rates'!$L:$R,5,0),IF($LB234=30%,VLOOKUP($DS234,'Jan-2026 rates'!$L:$R,6,0),IF($LB234=100%,VLOOKUP($DS234,'Jan-2026 rates'!$L:$R,7,0),IF($LB234=60%,VLOOKUP($DS234,'Jan-2026 rates'!$L:$S,8,0),IF($LB234=80%,VLOOKUP($DS234,'Jan-2026 rates'!L:T,9,0),0))))))))</f>
        <v>0</v>
      </c>
      <c r="DY234" s="413">
        <v>26516000006</v>
      </c>
      <c r="DZ234" s="413"/>
      <c r="EA234" s="412"/>
      <c r="EB234" s="412"/>
      <c r="EC234" s="412"/>
      <c r="ED234" s="412"/>
      <c r="EE234" s="412"/>
      <c r="EF234" s="412"/>
      <c r="EG234" s="409">
        <f>6+2</f>
        <v>8</v>
      </c>
      <c r="EH234" s="398" t="e">
        <f>IF(EG234=0,0,IF(LEN(DY234)=11,_xlfn.XLOOKUP(DY234,'Dispensed Ink Rates'!C:C,'Dispensed Ink Rates'!CS:CS),VLOOKUP(DY234,'Jan-2026 rates'!$E:$F,2,0)))</f>
        <v>#N/A</v>
      </c>
      <c r="EI234" s="409"/>
      <c r="EJ234" s="398">
        <f>IF(EI234=0,0,IF(LEN(DZ234)=11,_xlfn.XLOOKUP(DZ234,'Dispensed Ink Rates'!C:C,'Dispensed Ink Rates'!CS:CS),VLOOKUP(DZ234,'Jan-2026 rates'!$E:$F,2,0)))</f>
        <v>0</v>
      </c>
      <c r="EK234" s="409"/>
      <c r="EL234" s="398">
        <f>IF(EK234=0,0,IF(LEN(EA234)=11,_xlfn.XLOOKUP(EA234,'Dispensed Ink Rates'!C:C,'Dispensed Ink Rates'!CS:CS),VLOOKUP(EA234,'Jan-2026 rates'!$E:$F,2,0)))</f>
        <v>0</v>
      </c>
      <c r="EM234" s="409"/>
      <c r="EN234" s="398">
        <f>IF(EM234=0,0,IF(LEN(EB234)=11,_xlfn.XLOOKUP(EB234,'Dispensed Ink Rates'!C:C,'Dispensed Ink Rates'!CS:CS),VLOOKUP(EB234,'Jan-2026 rates'!$E:$F,2,0)))</f>
        <v>0</v>
      </c>
      <c r="EO234" s="409"/>
      <c r="EP234" s="398">
        <f>IF(EO234=0,0,IF(LEN(EC234)=11,_xlfn.XLOOKUP(EC234,'Dispensed Ink Rates'!C:C,'Dispensed Ink Rates'!CS:CS),VLOOKUP(EC234,'Jan-2026 rates'!$E:$F,2,0)))</f>
        <v>0</v>
      </c>
      <c r="EQ234" s="409"/>
      <c r="ER234" s="398">
        <f>IF(EQ234=0,0,IF(LEN(ED234)=11,_xlfn.XLOOKUP(ED234,'Dispensed Ink Rates'!C:C,'Dispensed Ink Rates'!CS:CS),VLOOKUP(ED234,'Jan-2026 rates'!$E:$F,2,0)))</f>
        <v>0</v>
      </c>
      <c r="ES234" s="409"/>
      <c r="ET234" s="398">
        <f>IF(ES234=0,0,IF(LEN(EE234)=11,_xlfn.XLOOKUP(EE234,'Dispensed Ink Rates'!C:C,'Dispensed Ink Rates'!CS:CS),VLOOKUP(EE234,'Jan-2026 rates'!$E:$F,2,0)))</f>
        <v>0</v>
      </c>
      <c r="EU234" s="409"/>
      <c r="EV234" s="398">
        <f>IF(EU234=0,0,IF(LEN(EF234)=11,_xlfn.XLOOKUP(EF234,'Dispensed Ink Rates'!C:C,'Dispensed Ink Rates'!CS:CS),VLOOKUP(EF234,'Jan-2026 rates'!$E:$F,2,0)))</f>
        <v>0</v>
      </c>
      <c r="EW234" s="409" t="s">
        <v>1443</v>
      </c>
      <c r="EX234" s="409">
        <v>30</v>
      </c>
      <c r="EY234" s="411">
        <f t="shared" si="168"/>
        <v>0</v>
      </c>
      <c r="EZ234" s="411">
        <f t="shared" si="169"/>
        <v>16.397260273972606</v>
      </c>
      <c r="FA234" s="410">
        <f t="shared" si="170"/>
        <v>0</v>
      </c>
      <c r="FB234" s="405" t="s">
        <v>544</v>
      </c>
      <c r="FC234" s="409" t="s">
        <v>3964</v>
      </c>
      <c r="FD234" s="420" t="str">
        <f t="shared" ref="FD234:FD403" si="187">CONCATENATE(GH234," - ",FB234)</f>
        <v>FLINTSL - MAGENTA</v>
      </c>
      <c r="FE234" s="409">
        <v>29</v>
      </c>
      <c r="FF234" s="411">
        <f>IF(FE234=0,0,IF($LB234=70%,VLOOKUP($FD234,'Jan-2026 rates'!$L:$R,4,0),IF($LB234=65%,VLOOKUP($FD234,'Jan-2026 rates'!$L:$R,4,0),IF($LB234=40%,VLOOKUP($FD234,'Jan-2026 rates'!$L:$R,5,0),IF($LB234=30%,VLOOKUP($FD234,'Jan-2026 rates'!$L:$R,6,0),IF($LB234=100%,VLOOKUP($FD234,'Jan-2026 rates'!$L:$R,7,0),IF($LB234=60%,VLOOKUP($FD234,'Jan-2026 rates'!$L:$S,8,0),IF($LB234=80%,VLOOKUP($FD234,'Jan-2026 rates'!L:T,9,0),0))))))))</f>
        <v>0</v>
      </c>
      <c r="FG234" s="412"/>
      <c r="FH234" s="409"/>
      <c r="FI234" s="411">
        <f>IF(FH234=0,0,IF($LB234=70%,VLOOKUP($FD234,'Jan-2026 rates'!$L:$R,4,0),IF($LB234=65%,VLOOKUP($FD234,'Jan-2026 rates'!$L:$R,4,0),IF($LB234=40%,VLOOKUP($FD234,'Jan-2026 rates'!$L:$R,5,0),IF($LB234=30%,VLOOKUP($FD234,'Jan-2026 rates'!$L:$R,6,0),IF($LB234=100%,VLOOKUP($FD234,'Jan-2026 rates'!$L:$R,7,0),IF($LB234=60%,VLOOKUP($FD234,'Jan-2026 rates'!$L:$S,8,0),IF($LB234=80%,VLOOKUP($FD234,'Jan-2026 rates'!L:T,9,0),0))))))))</f>
        <v>0</v>
      </c>
      <c r="FJ234" s="413" t="s">
        <v>1266</v>
      </c>
      <c r="FK234" s="413"/>
      <c r="FL234" s="413"/>
      <c r="FM234" s="412"/>
      <c r="FN234" s="412"/>
      <c r="FO234" s="412"/>
      <c r="FP234" s="412"/>
      <c r="FQ234" s="412"/>
      <c r="FR234" s="409">
        <v>6</v>
      </c>
      <c r="FS234" s="398">
        <f>IF(FR234=0,0,IF(LEN(FJ234)=11,_xlfn.XLOOKUP(FJ234,'Dispensed Ink Rates'!C:C,'Dispensed Ink Rates'!CS:CS),VLOOKUP(FJ234,'Jan-2026 rates'!$E:$F,2,0)))</f>
        <v>0</v>
      </c>
      <c r="FT234" s="409"/>
      <c r="FU234" s="398">
        <f>IF(FT234=0,0,IF(LEN(FK234)=11,_xlfn.XLOOKUP(FK234,'Dispensed Ink Rates'!C:C,'Dispensed Ink Rates'!CS:CS),VLOOKUP(FK234,'Jan-2026 rates'!$E:$F,2,0)))</f>
        <v>0</v>
      </c>
      <c r="FV234" s="409"/>
      <c r="FW234" s="398">
        <f>IF(FV234=0,0,IF(LEN(FL234)=11,_xlfn.XLOOKUP(FL234,'Dispensed Ink Rates'!C:C,'Dispensed Ink Rates'!CS:CS),VLOOKUP(FL234,'Jan-2026 rates'!$E:$F,2,0)))</f>
        <v>0</v>
      </c>
      <c r="FX234" s="409"/>
      <c r="FY234" s="398">
        <f>IF(FX234=0,0,IF(LEN(FM234)=11,_xlfn.XLOOKUP(FM234,'Dispensed Ink Rates'!C:C,'Dispensed Ink Rates'!CS:CS),VLOOKUP(FM234,'Jan-2026 rates'!$E:$F,2,0)))</f>
        <v>0</v>
      </c>
      <c r="FZ234" s="409"/>
      <c r="GA234" s="398">
        <f>IF(FZ234=0,0,IF(LEN(FN234)=11,_xlfn.XLOOKUP(FN234,'Dispensed Ink Rates'!C:C,'Dispensed Ink Rates'!CS:CS),VLOOKUP(FN234,'Jan-2026 rates'!$E:$F,2,0)))</f>
        <v>0</v>
      </c>
      <c r="GB234" s="409"/>
      <c r="GC234" s="398">
        <f>IF(GB234=0,0,IF(LEN(FO234)=11,_xlfn.XLOOKUP(FO234,'Dispensed Ink Rates'!C:C,'Dispensed Ink Rates'!CS:CS),VLOOKUP(FO234,'Jan-2026 rates'!$E:$F,2,0)))</f>
        <v>0</v>
      </c>
      <c r="GD234" s="409"/>
      <c r="GE234" s="398">
        <f>IF(GD234=0,0,IF(LEN(FP234)=11,_xlfn.XLOOKUP(FP234,'Dispensed Ink Rates'!C:C,'Dispensed Ink Rates'!CS:CS),VLOOKUP(FP234,'Jan-2026 rates'!$E:$F,2,0)))</f>
        <v>0</v>
      </c>
      <c r="GF234" s="409"/>
      <c r="GG234" s="398">
        <f>IF(GF234=0,0,IF(LEN(FQ234)=11,_xlfn.XLOOKUP(FQ234,'Dispensed Ink Rates'!C:C,'Dispensed Ink Rates'!CS:CS),VLOOKUP(FQ234,'Jan-2026 rates'!$E:$F,2,0)))</f>
        <v>0</v>
      </c>
      <c r="GH234" s="409" t="s">
        <v>1443</v>
      </c>
      <c r="GI234" s="409">
        <v>28</v>
      </c>
      <c r="GJ234" s="411">
        <f t="shared" si="171"/>
        <v>0</v>
      </c>
      <c r="GK234" s="411">
        <f t="shared" si="172"/>
        <v>19.397260273972606</v>
      </c>
      <c r="GL234" s="410">
        <f t="shared" si="173"/>
        <v>0</v>
      </c>
      <c r="GM234" s="405" t="s">
        <v>545</v>
      </c>
      <c r="GN234" s="409" t="s">
        <v>3965</v>
      </c>
      <c r="GO234" s="420" t="str">
        <f t="shared" ref="GO234:GO403" si="188">CONCATENATE(HS234," - ",GM234)</f>
        <v>FLINTSL - YELLOW</v>
      </c>
      <c r="GP234" s="409">
        <v>24</v>
      </c>
      <c r="GQ234" s="411">
        <f>IF(GP234=0,0,IF($LB234=70%,VLOOKUP($GO234,'Jan-2026 rates'!$L:$R,4,0),IF($LB234=65%,VLOOKUP($GO234,'Jan-2026 rates'!$L:$R,4,0),IF($LB234=40%,VLOOKUP($GO234,'Jan-2026 rates'!$L:$R,5,0),IF($LB234=30%,VLOOKUP($GO234,'Jan-2026 rates'!$L:$R,6,0),IF($LB234=100%,VLOOKUP($GO234,'Jan-2026 rates'!$L:$R,7,0),IF($LB234=60%,VLOOKUP($GO234,'Jan-2026 rates'!$L:$S,8,0),IF($LB234=80%,VLOOKUP($GO234,'Jan-2026 rates'!L:T,9,0),0))))))))</f>
        <v>0</v>
      </c>
      <c r="GR234" s="412"/>
      <c r="GS234" s="409"/>
      <c r="GT234" s="411">
        <f>IF(GS234=0,0,IF($LB234=70%,VLOOKUP($GO234,'Jan-2026 rates'!$L:$R,4,0),IF($LB234=65%,VLOOKUP($GO234,'Jan-2026 rates'!$L:$R,4,0),IF($LB234=40%,VLOOKUP($GO234,'Jan-2026 rates'!$L:$R,5,0),IF($LB234=30%,VLOOKUP($GO234,'Jan-2026 rates'!$L:$R,6,0),IF($LB234=100%,VLOOKUP($GO234,'Jan-2026 rates'!$L:$R,7,0),IF($LB234=60%,VLOOKUP($GO234,'Jan-2026 rates'!$L:$S,8,0),IF($LB234=80%,VLOOKUP($GO234,'Jan-2026 rates'!L:T,9,0),0))))))))</f>
        <v>0</v>
      </c>
      <c r="GU234" s="413">
        <v>26516000015</v>
      </c>
      <c r="GV234" s="413" t="s">
        <v>1266</v>
      </c>
      <c r="GW234" s="412"/>
      <c r="GX234" s="412"/>
      <c r="GY234" s="412"/>
      <c r="GZ234" s="412"/>
      <c r="HA234" s="412"/>
      <c r="HB234" s="412"/>
      <c r="HC234" s="409">
        <v>6</v>
      </c>
      <c r="HD234" s="398" t="e">
        <f>IF(HC234=0,0,IF(LEN(GU234)=11,_xlfn.XLOOKUP(GU234,'Dispensed Ink Rates'!C:C,'Dispensed Ink Rates'!CS:CS),VLOOKUP(GU234,'Jan-2026 rates'!$E:$F,2,0)))</f>
        <v>#N/A</v>
      </c>
      <c r="HE234" s="409">
        <v>6</v>
      </c>
      <c r="HF234" s="398">
        <f>IF(HE234=0,0,IF(LEN(GV234)=11,_xlfn.XLOOKUP(GV234,'Dispensed Ink Rates'!C:C,'Dispensed Ink Rates'!CS:CS),VLOOKUP(GV234,'Jan-2026 rates'!$E:$F,2,0)))</f>
        <v>0</v>
      </c>
      <c r="HG234" s="409"/>
      <c r="HH234" s="398">
        <f>IF(HG234=0,0,IF(LEN(GW234)=11,_xlfn.XLOOKUP(GW234,'Dispensed Ink Rates'!C:C,'Dispensed Ink Rates'!CS:CS),VLOOKUP(GW234,'Jan-2026 rates'!$E:$F,2,0)))</f>
        <v>0</v>
      </c>
      <c r="HI234" s="409"/>
      <c r="HJ234" s="398">
        <f>IF(HI234=0,0,IF(LEN(GX234)=11,_xlfn.XLOOKUP(GX234,'Dispensed Ink Rates'!C:C,'Dispensed Ink Rates'!CS:CS),VLOOKUP(GX234,'Jan-2026 rates'!$E:$F,2,0)))</f>
        <v>0</v>
      </c>
      <c r="HK234" s="409"/>
      <c r="HL234" s="398">
        <f>IF(HK234=0,0,IF(LEN(GY234)=11,_xlfn.XLOOKUP(GY234,'Dispensed Ink Rates'!C:C,'Dispensed Ink Rates'!CS:CS),VLOOKUP(GY234,'Jan-2026 rates'!$E:$F,2,0)))</f>
        <v>0</v>
      </c>
      <c r="HM234" s="409"/>
      <c r="HN234" s="398">
        <f>IF(HM234=0,0,IF(LEN(GZ234)=11,_xlfn.XLOOKUP(GZ234,'Dispensed Ink Rates'!C:C,'Dispensed Ink Rates'!CS:CS),VLOOKUP(GZ234,'Jan-2026 rates'!$E:$F,2,0)))</f>
        <v>0</v>
      </c>
      <c r="HO234" s="409"/>
      <c r="HP234" s="398">
        <f>IF(HO234=0,0,IF(LEN(HA234)=11,_xlfn.XLOOKUP(HA234,'Dispensed Ink Rates'!C:C,'Dispensed Ink Rates'!CS:CS),VLOOKUP(HA234,'Jan-2026 rates'!$E:$F,2,0)))</f>
        <v>0</v>
      </c>
      <c r="HQ234" s="409"/>
      <c r="HR234" s="398">
        <f>IF(HQ234=0,0,IF(LEN(HB234)=11,_xlfn.XLOOKUP(HB234,'Dispensed Ink Rates'!C:C,'Dispensed Ink Rates'!CS:CS),VLOOKUP(HB234,'Jan-2026 rates'!$E:$F,2,0)))</f>
        <v>0</v>
      </c>
      <c r="HS234" s="409" t="s">
        <v>1443</v>
      </c>
      <c r="HT234" s="409">
        <v>27</v>
      </c>
      <c r="HU234" s="411">
        <f t="shared" si="174"/>
        <v>0</v>
      </c>
      <c r="HV234" s="411">
        <f t="shared" si="175"/>
        <v>21.397260273972606</v>
      </c>
      <c r="HW234" s="414">
        <f t="shared" si="176"/>
        <v>0</v>
      </c>
      <c r="HX234" s="405" t="s">
        <v>545</v>
      </c>
      <c r="HY234" s="409"/>
      <c r="HZ234" s="420" t="str">
        <f t="shared" ref="HZ234:HZ403" si="189">CONCATENATE(JD234," - ",HX234)</f>
        <v>FLINTSL - YELLOW</v>
      </c>
      <c r="IA234" s="409"/>
      <c r="IB234" s="411">
        <f>IF(IA234=0,0,IF($LB234=70%,VLOOKUP($HZ234,'Jan-2026 rates'!$L:$R,4,0),IF($LB234=65%,VLOOKUP($HZ234,'Jan-2026 rates'!$L:$R,4,0),IF($LB234=40%,VLOOKUP($HZ234,'Jan-2026 rates'!$L:$R,5,0),IF($LB234=30%,VLOOKUP($HZ234,'Jan-2026 rates'!$L:$R,6,0),IF($LB234=100%,VLOOKUP($HZ234,'Jan-2026 rates'!$L:$R,7,0),IF($LB234=60%,VLOOKUP($HZ234,'Jan-2026 rates'!$L:$S,8,0),IF($LB234=80%,VLOOKUP($HZ234,'Jan-2026 rates'!L:T,9,0),0))))))))</f>
        <v>0</v>
      </c>
      <c r="IC234" s="412"/>
      <c r="ID234" s="409"/>
      <c r="IE234" s="411">
        <f>IF(ID234=0,0,IF($LB234=70%,VLOOKUP($HZ234,'Jan-2026 rates'!$L:$R,4,0),IF($LB234=65%,VLOOKUP($HZ234,'Jan-2026 rates'!$L:$R,4,0),IF($LB234=40%,VLOOKUP($HZ234,'Jan-2026 rates'!$L:$R,5,0),IF($LB234=30%,VLOOKUP($HZ234,'Jan-2026 rates'!$L:$R,6,0),IF($LB234=100%,VLOOKUP($HZ234,'Jan-2026 rates'!$L:$R,7,0),IF($LB234=60%,VLOOKUP($HZ234,'Jan-2026 rates'!$L:$S,8,0),IF($LB234=80%,VLOOKUP($HZ234,'Jan-2026 rates'!L:T,9,0),0))))))))</f>
        <v>0</v>
      </c>
      <c r="IF234" s="412">
        <v>26517000040</v>
      </c>
      <c r="IG234" s="413">
        <v>26517000035</v>
      </c>
      <c r="IH234" s="412">
        <v>26517000034</v>
      </c>
      <c r="II234" s="412">
        <v>26516000017</v>
      </c>
      <c r="IJ234" s="412"/>
      <c r="IK234" s="412"/>
      <c r="IL234" s="412"/>
      <c r="IM234" s="412"/>
      <c r="IN234" s="409">
        <f>35+5</f>
        <v>40</v>
      </c>
      <c r="IO234" s="398" t="e">
        <f>IF(IN234=0,0,IF(LEN(IF234)=11,_xlfn.XLOOKUP(IF234,'Dispensed Ink Rates'!C:C,'Dispensed Ink Rates'!CS:CS),VLOOKUP(IF234,'Jan-2026 rates'!$E:$F,2,0)))</f>
        <v>#N/A</v>
      </c>
      <c r="IP234" s="409">
        <v>40</v>
      </c>
      <c r="IQ234" s="398" t="e">
        <f>IF(IP234=0,0,IF(LEN(IG234)=11,_xlfn.XLOOKUP(IG234,'Dispensed Ink Rates'!C:C,'Dispensed Ink Rates'!CS:CS),VLOOKUP(IG234,'Jan-2026 rates'!$E:$F,2,0)))</f>
        <v>#N/A</v>
      </c>
      <c r="IR234" s="409">
        <v>40</v>
      </c>
      <c r="IS234" s="398" t="e">
        <f>IF(IR234=0,0,IF(LEN(IH234)=11,_xlfn.XLOOKUP(IH234,'Dispensed Ink Rates'!C:C,'Dispensed Ink Rates'!CS:CS),VLOOKUP(IH234,'Jan-2026 rates'!$E:$F,2,0)))</f>
        <v>#N/A</v>
      </c>
      <c r="IT234" s="409">
        <v>30</v>
      </c>
      <c r="IU234" s="398" t="e">
        <f>IF(IT234=0,0,IF(LEN(II234)=11,_xlfn.XLOOKUP(II234,'Dispensed Ink Rates'!C:C,'Dispensed Ink Rates'!CS:CS),VLOOKUP(II234,'Jan-2026 rates'!$E:$F,2,0)))</f>
        <v>#N/A</v>
      </c>
      <c r="IV234" s="409"/>
      <c r="IW234" s="398">
        <f>IF(IV234=0,0,IF(LEN(IJ234)=11,_xlfn.XLOOKUP(IJ234,'Dispensed Ink Rates'!C:C,'Dispensed Ink Rates'!CS:CS),VLOOKUP(IJ234,'Jan-2026 rates'!$E:$F,2,0)))</f>
        <v>0</v>
      </c>
      <c r="IX234" s="409"/>
      <c r="IY234" s="398">
        <f>IF(IX234=0,0,IF(LEN(IK234)=11,_xlfn.XLOOKUP(IK234,'Dispensed Ink Rates'!C:C,'Dispensed Ink Rates'!CS:CS),VLOOKUP(IK234,'Jan-2026 rates'!$E:$F,2,0)))</f>
        <v>0</v>
      </c>
      <c r="IZ234" s="409"/>
      <c r="JA234" s="398">
        <f>IF(IZ234=0,0,IF(LEN(IL234)=11,_xlfn.XLOOKUP(IL234,'Dispensed Ink Rates'!C:C,'Dispensed Ink Rates'!CS:CS),VLOOKUP(IL234,'Jan-2026 rates'!$E:$F,2,0)))</f>
        <v>0</v>
      </c>
      <c r="JB234" s="409"/>
      <c r="JC234" s="398">
        <f>IF(JB234=0,0,IF(LEN(IM234)=11,_xlfn.XLOOKUP(IM234,'Dispensed Ink Rates'!C:C,'Dispensed Ink Rates'!CS:CS),VLOOKUP(IM234,'Jan-2026 rates'!$E:$F,2,0)))</f>
        <v>0</v>
      </c>
      <c r="JD234" s="409" t="s">
        <v>1443</v>
      </c>
      <c r="JE234" s="409">
        <v>29</v>
      </c>
      <c r="JF234" s="411">
        <f t="shared" si="177"/>
        <v>0</v>
      </c>
      <c r="JG234" s="411">
        <f t="shared" si="178"/>
        <v>145.79452054794521</v>
      </c>
      <c r="JH234" s="410">
        <f t="shared" si="179"/>
        <v>0</v>
      </c>
      <c r="JI234" s="405" t="s">
        <v>856</v>
      </c>
      <c r="JJ234" s="409" t="s">
        <v>3966</v>
      </c>
      <c r="JK234" s="420" t="str">
        <f t="shared" ref="JK234:JK403" si="190">CONCATENATE(KO234," - ",JI234)</f>
        <v>FLINTSL - WHITE</v>
      </c>
      <c r="JL234" s="409">
        <v>24</v>
      </c>
      <c r="JM234" s="411">
        <f>IF(JL234=0,0,IF($LB234=70%,VLOOKUP($JK234,'Jan-2026 rates'!$L:$R,4,0),IF($LB234=65%,VLOOKUP($JK234,'Jan-2026 rates'!$L:$R,4,0),IF($LB234=40%,VLOOKUP($JK234,'Jan-2026 rates'!$L:$R,5,0),IF($LB234=30%,VLOOKUP($JK234,'Jan-2026 rates'!$L:$R,6,0),IF($LB234=100%,VLOOKUP($JK234,'Jan-2026 rates'!$L:$R,7,0),IF($LB234=60%,VLOOKUP($JK234,'Jan-2026 rates'!$L:$S,8,0),IF($LB234=80%,VLOOKUP($JK234,'Jan-2026 rates'!L:T,9,0),0))))))))</f>
        <v>0</v>
      </c>
      <c r="JN234" s="412"/>
      <c r="JO234" s="409"/>
      <c r="JP234" s="411">
        <f>IF(JO234=0,0,IF($LB234=70%,VLOOKUP($JK234,'Jan-2026 rates'!$L:$R,4,0),IF($LB234=65%,VLOOKUP($JK234,'Jan-2026 rates'!$L:$R,4,0),IF($LB234=40%,VLOOKUP($JK234,'Jan-2026 rates'!$L:$R,5,0),IF($LB234=30%,VLOOKUP($JK234,'Jan-2026 rates'!$L:$R,6,0),IF($LB234=100%,VLOOKUP($JK234,'Jan-2026 rates'!$L:$R,7,0),IF($LB234=60%,VLOOKUP($JK234,'Jan-2026 rates'!$L:$S,8,0),IF($LB234=80%,VLOOKUP($JK234,'Jan-2026 rates'!L:T,9,0),0))))))))</f>
        <v>0</v>
      </c>
      <c r="JQ234" s="413" t="s">
        <v>484</v>
      </c>
      <c r="JR234" s="412"/>
      <c r="JS234" s="413"/>
      <c r="JT234" s="413"/>
      <c r="JU234" s="412"/>
      <c r="JV234" s="412"/>
      <c r="JW234" s="412"/>
      <c r="JX234" s="412"/>
      <c r="JY234" s="409">
        <v>50</v>
      </c>
      <c r="JZ234" s="398">
        <f>IF(JY234=0,0,IF(LEN(JQ234)=11,_xlfn.XLOOKUP(JQ234,'Dispensed Ink Rates'!C:C,'Dispensed Ink Rates'!CS:CS),VLOOKUP(JQ234,'Jan-2026 rates'!$E:$F,2,0)))</f>
        <v>0</v>
      </c>
      <c r="KA234" s="409"/>
      <c r="KB234" s="398">
        <f>IF(KA234=0,0,IF(LEN(JR234)=11,_xlfn.XLOOKUP(JR234,'Dispensed Ink Rates'!C:C,'Dispensed Ink Rates'!CS:CS),VLOOKUP(JR234,'Jan-2026 rates'!$E:$F,2,0)))</f>
        <v>0</v>
      </c>
      <c r="KC234" s="409"/>
      <c r="KD234" s="398">
        <f>IF(KC234=0,0,IF(LEN(JS234)=11,_xlfn.XLOOKUP(JS234,'Dispensed Ink Rates'!C:C,'Dispensed Ink Rates'!CS:CS),VLOOKUP(JS234,'Jan-2026 rates'!$E:$F,2,0)))</f>
        <v>0</v>
      </c>
      <c r="KE234" s="409"/>
      <c r="KF234" s="398">
        <f>IF(KE234=0,0,IF(LEN(JT234)=11,_xlfn.XLOOKUP(JT234,'Dispensed Ink Rates'!C:C,'Dispensed Ink Rates'!CS:CS),VLOOKUP(JT234,'Jan-2026 rates'!$E:$F,2,0)))</f>
        <v>0</v>
      </c>
      <c r="KG234" s="409"/>
      <c r="KH234" s="398">
        <f>IF(KG234=0,0,IF(LEN(JU234)=11,_xlfn.XLOOKUP(JU234,'Dispensed Ink Rates'!C:C,'Dispensed Ink Rates'!CS:CS),VLOOKUP(JU234,'Jan-2026 rates'!$E:$F,2,0)))</f>
        <v>0</v>
      </c>
      <c r="KI234" s="409"/>
      <c r="KJ234" s="398">
        <f>IF(KI234=0,0,IF(LEN(JV234)=11,_xlfn.XLOOKUP(JV234,'Dispensed Ink Rates'!C:C,'Dispensed Ink Rates'!CS:CS),VLOOKUP(JV234,'Jan-2026 rates'!$E:$F,2,0)))</f>
        <v>0</v>
      </c>
      <c r="KK234" s="409"/>
      <c r="KL234" s="398">
        <f>IF(KK234=0,0,IF(LEN(JW234)=11,_xlfn.XLOOKUP(JW234,'Dispensed Ink Rates'!C:C,'Dispensed Ink Rates'!CS:CS),VLOOKUP(JW234,'Jan-2026 rates'!$E:$F,2,0)))</f>
        <v>0</v>
      </c>
      <c r="KM234" s="428"/>
      <c r="KN234" s="398">
        <f>IF(KM234=0,0,IF(LEN(JX234)=11,_xlfn.XLOOKUP(JX234,'Dispensed Ink Rates'!C:C,'Dispensed Ink Rates'!CS:CS),VLOOKUP(JX234,'Jan-2026 rates'!$E:$F,2,0)))</f>
        <v>0</v>
      </c>
      <c r="KO234" s="409" t="s">
        <v>1443</v>
      </c>
      <c r="KP234" s="409">
        <v>30</v>
      </c>
      <c r="KQ234" s="411">
        <f t="shared" si="180"/>
        <v>0</v>
      </c>
      <c r="KR234" s="411">
        <f t="shared" si="181"/>
        <v>118.38356164383561</v>
      </c>
      <c r="KS234" s="410">
        <f t="shared" si="182"/>
        <v>0</v>
      </c>
      <c r="KT234" s="409">
        <v>5</v>
      </c>
      <c r="KU234" s="409">
        <v>5</v>
      </c>
      <c r="KV234" s="409">
        <v>8</v>
      </c>
      <c r="KW234" s="409">
        <v>5</v>
      </c>
      <c r="KX234" s="409">
        <v>5</v>
      </c>
      <c r="KY234" s="409">
        <v>5</v>
      </c>
      <c r="KZ234" s="409">
        <v>10</v>
      </c>
      <c r="LA234" s="409">
        <v>30</v>
      </c>
      <c r="LB234" s="415">
        <v>0.8</v>
      </c>
      <c r="LC234" s="415">
        <v>0.2</v>
      </c>
      <c r="LD234" s="415"/>
      <c r="LE234" s="415"/>
      <c r="LF234" s="415"/>
      <c r="LG234" s="409">
        <v>0</v>
      </c>
      <c r="LH234" s="409">
        <f>45+36+80+20</f>
        <v>181</v>
      </c>
      <c r="LI234" s="409">
        <v>0</v>
      </c>
      <c r="LJ234" s="409">
        <v>0</v>
      </c>
      <c r="LK234" s="416">
        <f t="shared" ref="LK234:LK403" si="191">LG234+LH234+LI234-LJ234</f>
        <v>181</v>
      </c>
      <c r="LL234" s="416">
        <f t="shared" ref="LL234:LL293" si="192">IF(LK234&lt;=0,SUM(KT234:LA234),LK234)</f>
        <v>181</v>
      </c>
      <c r="LM234" s="417">
        <f t="shared" ref="LM234:LM403" si="193">IFERROR($LL234*LB234,0)</f>
        <v>144.80000000000001</v>
      </c>
      <c r="LN234" s="417">
        <f>VLOOKUP($LM$8,'Jan-2026 rates'!$H:$I,2,0)</f>
        <v>0</v>
      </c>
      <c r="LO234" s="417">
        <f t="shared" ref="LO234:LO403" si="194">IFERROR(LL234*LC234,0)</f>
        <v>36.200000000000003</v>
      </c>
      <c r="LP234" s="417">
        <f>VLOOKUP($LO$8,'Jan-2026 rates'!$H:$I,2,0)</f>
        <v>0</v>
      </c>
      <c r="LQ234" s="417">
        <f t="shared" ref="LQ234:LQ403" si="195">IFERROR(LL234*LD234,0)</f>
        <v>0</v>
      </c>
      <c r="LR234" s="417">
        <f>VLOOKUP($LQ$8,'Jan-2026 rates'!$H:$I,2,0)</f>
        <v>0</v>
      </c>
      <c r="LS234" s="417">
        <f t="shared" ref="LS234:LS403" si="196">IFERROR(LL234*LE234,0)</f>
        <v>0</v>
      </c>
      <c r="LT234" s="417">
        <f>VLOOKUP($LS$8,'Jan-2026 rates'!$H:$I,2,0)</f>
        <v>0</v>
      </c>
      <c r="LU234" s="417">
        <f t="shared" ref="LU234:LU403" si="197">IFERROR(LL234*LF234,0)</f>
        <v>0</v>
      </c>
      <c r="LV234" s="417">
        <f>VLOOKUP($LU$8,'Jan-2026 rates'!$H:$I,2,0)</f>
        <v>0</v>
      </c>
      <c r="LW234" s="417">
        <f t="shared" ref="LW234:LW403" si="198">(LM234*LN234+LO234*LP234+LQ234*LR234+LS234*LT234+LU234*LV234)</f>
        <v>0</v>
      </c>
      <c r="LX234" s="417">
        <f t="shared" ref="LX234:LX403" si="199">IFERROR(LW234/LL234,0)</f>
        <v>0</v>
      </c>
      <c r="LY234" s="418">
        <f t="shared" ref="LY234:LY403" si="200">AT234+CE234+DP234+FA234+GL234+HW234+JH234+KS234</f>
        <v>0</v>
      </c>
      <c r="LZ234" s="417"/>
      <c r="MA234" s="435">
        <f t="shared" ref="MA234:MA403" si="201">Z234+AB234+AD234+AF234+AH234+AJ234+AL234+AN234+BK234+BM234+BO234+BQ234+BS234+BU234+BW234+BY234+CV234+CX234+CZ234+DB234+DD234+DF234+DH234+DJ234+EG234+EI234+EK234+EM234+EO234+EQ234+ES234+EU234+FR234+FT234+FV234+FX234+FZ234+GB234+GD234+GF234+HC234+HE234+HG234+HI234+HK234+HM234+HO234+HQ234+IN234+IP234+IR234+IT234+IV234+IX234+IZ234+JB234+JY234+KA234+KC234+KE234+KG234+KI234+KK234+KM234</f>
        <v>259</v>
      </c>
      <c r="MB234" s="282">
        <f t="shared" ref="MB234:MB403" si="202">AS234+CD234+DO234+EZ234+GK234+HV234+JG234+KR234</f>
        <v>391</v>
      </c>
      <c r="MC234" s="283">
        <v>127</v>
      </c>
      <c r="MD234" s="284" t="str">
        <f t="shared" ref="MD234:MD403" si="203">CONCATENATE(AP234,CA234,DL234,EW234,GH234,HS234,JD234,KO234)</f>
        <v>FLINTSLFLINTSLFLINTSLFLINTSLFLINTSLFLINTSLFLINTSLFLINTSL</v>
      </c>
      <c r="ME234" s="293" t="str">
        <f t="shared" ref="ME234:ME403" si="204">IF(AQ234&lt;&gt;"",IF(AS234&gt;0,"+","-"),"NIL")</f>
        <v>+</v>
      </c>
      <c r="MF234" s="293" t="str">
        <f t="shared" ref="MF234:MF403" si="205">IF(CB234&lt;&gt;"",IF(CD234&gt;0,"+","-"),"NIL")</f>
        <v>+</v>
      </c>
      <c r="MG234" s="293" t="str">
        <f t="shared" ref="MG234:MG403" si="206">IF(DM234&lt;&gt;"",IF(DO234&gt;0,"+","-"),"NIL")</f>
        <v>+</v>
      </c>
      <c r="MH234" s="293" t="str">
        <f t="shared" ref="MH234:MH403" si="207">IF(EX234&lt;&gt;"",IF(EZ234&gt;0,"+","-"),"NIL")</f>
        <v>+</v>
      </c>
      <c r="MI234" s="293" t="str">
        <f t="shared" ref="MI234:MI403" si="208">IF(GI234&lt;&gt;"",IF(GK234&gt;0,"+","-"),"NIL")</f>
        <v>+</v>
      </c>
      <c r="MJ234" s="293" t="str">
        <f t="shared" ref="MJ234:MJ403" si="209">IF(HT234&lt;&gt;"",IF(HV234&gt;0,"+","-"),"NIL")</f>
        <v>+</v>
      </c>
      <c r="MK234" s="293" t="str">
        <f t="shared" ref="MK234:MK403" si="210">IF(JE234&lt;&gt;"",IF(JG234&gt;0,"+","-"),"NIL")</f>
        <v>+</v>
      </c>
      <c r="ML234" s="293" t="str">
        <f t="shared" ref="ML234:ML403" si="211">IF(KP234&lt;&gt;"",IF(KR234&gt;0,"+","-"),"NIL")</f>
        <v>+</v>
      </c>
      <c r="MM234" s="3" t="b">
        <f t="array" ref="MM234">OR(ME234:ML234="-")</f>
        <v>0</v>
      </c>
      <c r="MN234" s="285"/>
      <c r="MO234" s="401"/>
      <c r="MP234" s="286"/>
      <c r="MQ234" s="286"/>
      <c r="MR234" s="402"/>
      <c r="MS234" s="400"/>
      <c r="NH234" s="422"/>
      <c r="NJ234" s="421"/>
    </row>
    <row r="235" spans="1:374" s="1" customFormat="1" ht="16.5">
      <c r="A235" s="403">
        <v>46039</v>
      </c>
      <c r="B235" s="404" t="s">
        <v>1015</v>
      </c>
      <c r="C235" s="405" t="s">
        <v>3967</v>
      </c>
      <c r="D235" s="406">
        <v>128</v>
      </c>
      <c r="E235" s="404">
        <v>1898</v>
      </c>
      <c r="F235" s="407">
        <v>111500</v>
      </c>
      <c r="G235" s="407" t="s">
        <v>1016</v>
      </c>
      <c r="H235" s="408" t="s">
        <v>1017</v>
      </c>
      <c r="I235" s="409">
        <v>1.8</v>
      </c>
      <c r="J235" s="405" t="s">
        <v>548</v>
      </c>
      <c r="K235" s="404" t="s">
        <v>3968</v>
      </c>
      <c r="L235" s="419" t="str">
        <f t="shared" si="184"/>
        <v>FLINTSL - GOLD</v>
      </c>
      <c r="M235" s="404">
        <v>25</v>
      </c>
      <c r="N235" s="410">
        <f>IF(M235=0,0,IF($LB235=70%,VLOOKUP($L235,'Jan-2026 rates'!$L:$R,4,0),IF($LB235=65%,VLOOKUP($L235,'Jan-2026 rates'!$L:$R,4,0),IF($LB235=40%,VLOOKUP($L235,'Jan-2026 rates'!$L:$R,5,0),IF($LB235=30%,VLOOKUP($L235,'Jan-2026 rates'!$L:$R,6,0),IF($LB235=100%,VLOOKUP($L235,'Jan-2026 rates'!$L:$R,7,0),IF($LB235=60%,VLOOKUP($L235,'Jan-2026 rates'!$L:$S,8,0),IF($LB235=80%,VLOOKUP($L235,'Jan-2026 rates'!L:T,9,0),0))))))))</f>
        <v>0</v>
      </c>
      <c r="O235" s="406"/>
      <c r="P235" s="404"/>
      <c r="Q235" s="410">
        <f>IF(P235=0,0,IF($LB235=70%,VLOOKUP($L235,'Jan-2026 rates'!$L:$R,4,0),IF($LB235=65%,VLOOKUP($L235,'Jan-2026 rates'!$L:$R,4,0),IF($LB235=40%,VLOOKUP($L235,'Jan-2026 rates'!$L:$R,5,0),IF($LB235=30%,VLOOKUP($L235,'Jan-2026 rates'!$L:$R,6,0),IF($LB235=100%,VLOOKUP($L235,'Jan-2026 rates'!$L:$R,7,0),IF($LB235=60%,VLOOKUP($L235,'Jan-2026 rates'!$L:$S,8,0),IF($LB235=80%,VLOOKUP($L235,'Jan-2026 rates'!L:T,9,0),0))))))))</f>
        <v>0</v>
      </c>
      <c r="R235" s="406"/>
      <c r="S235" s="406"/>
      <c r="T235" s="406"/>
      <c r="U235" s="406"/>
      <c r="V235" s="406"/>
      <c r="W235" s="406"/>
      <c r="X235" s="406"/>
      <c r="Y235" s="406"/>
      <c r="Z235" s="404"/>
      <c r="AA235" s="398">
        <f>IF(Z235=0,0,IF(LEN(R235)=11,_xlfn.XLOOKUP(R235,'Dispensed Ink Rates'!C:C,'Dispensed Ink Rates'!CS:CS),VLOOKUP(R235,'Jan-2026 rates'!$E:$F,2,0)))</f>
        <v>0</v>
      </c>
      <c r="AB235" s="404"/>
      <c r="AC235" s="398">
        <f>IF(AB235=0,0,IF(LEN(S235)=11,_xlfn.XLOOKUP(S235,'Dispensed Ink Rates'!C:C,'Dispensed Ink Rates'!CS:CS),VLOOKUP(S235,'Jan-2026 rates'!$E:$F,2,0)))</f>
        <v>0</v>
      </c>
      <c r="AD235" s="404"/>
      <c r="AE235" s="398">
        <f>IF(AD235=0,0,IF(LEN(T235)=11,_xlfn.XLOOKUP(T235,'Dispensed Ink Rates'!C:C,'Dispensed Ink Rates'!CS:CS),VLOOKUP(T235,'Jan-2026 rates'!$E:$F,2,0)))</f>
        <v>0</v>
      </c>
      <c r="AF235" s="404"/>
      <c r="AG235" s="398">
        <f>IF(AF235=0,0,IF(LEN(U235)=11,_xlfn.XLOOKUP(U235,'Dispensed Ink Rates'!C:C,'Dispensed Ink Rates'!CS:CS),VLOOKUP(U235,'Jan-2026 rates'!$E:$F,2,0)))</f>
        <v>0</v>
      </c>
      <c r="AH235" s="404"/>
      <c r="AI235" s="398">
        <f>IF(AH235=0,0,IF(LEN(V235)=11,_xlfn.XLOOKUP(V235,'Dispensed Ink Rates'!C:C,'Dispensed Ink Rates'!CS:CS),VLOOKUP(V235,'Jan-2026 rates'!$E:$F,2,0)))</f>
        <v>0</v>
      </c>
      <c r="AJ235" s="404"/>
      <c r="AK235" s="398">
        <f>IF(AJ235=0,0,IF(LEN(W235)=11,_xlfn.XLOOKUP(W235,'Dispensed Ink Rates'!C:C,'Dispensed Ink Rates'!CS:CS),VLOOKUP(W235,'Jan-2026 rates'!$E:$F,2,0)))</f>
        <v>0</v>
      </c>
      <c r="AL235" s="404"/>
      <c r="AM235" s="398">
        <f>IF(AL235=0,0,IF(LEN(X235)=11,_xlfn.XLOOKUP(X235,'Dispensed Ink Rates'!C:C,'Dispensed Ink Rates'!CS:CS),VLOOKUP(X235,'Jan-2026 rates'!$E:$F,2,0)))</f>
        <v>0</v>
      </c>
      <c r="AN235" s="404"/>
      <c r="AO235" s="398">
        <f>IF(AN235=0,0,IF(LEN(Y235)=11,_xlfn.XLOOKUP(Y235,'Dispensed Ink Rates'!C:C,'Dispensed Ink Rates'!CS:CS),VLOOKUP(Y235,'Jan-2026 rates'!$E:$F,2,0)))</f>
        <v>0</v>
      </c>
      <c r="AP235" s="409" t="s">
        <v>1443</v>
      </c>
      <c r="AQ235" s="409">
        <v>25</v>
      </c>
      <c r="AR235" s="410">
        <f t="shared" si="159"/>
        <v>0</v>
      </c>
      <c r="AS235" s="411">
        <f t="shared" si="160"/>
        <v>4.3116883116883109</v>
      </c>
      <c r="AT235" s="410">
        <f t="shared" si="161"/>
        <v>0</v>
      </c>
      <c r="AU235" s="405" t="s">
        <v>543</v>
      </c>
      <c r="AV235" s="409" t="s">
        <v>3953</v>
      </c>
      <c r="AW235" s="420" t="str">
        <f t="shared" si="183"/>
        <v>FLINTSL - BLACK</v>
      </c>
      <c r="AX235" s="409">
        <v>25</v>
      </c>
      <c r="AY235" s="411">
        <f>IF(AX235=0,0,IF($LB235=70%,VLOOKUP($AW235,'Jan-2026 rates'!$L:$R,4,0),IF($LB235=65%,VLOOKUP($AW235,'Jan-2026 rates'!$L:$R,4,0),IF($LB235=40%,VLOOKUP($AW235,'Jan-2026 rates'!$L:$R,5,0),IF($LB235=30%,VLOOKUP($AW235,'Jan-2026 rates'!$L:$R,6,0),IF($LB235=100%,VLOOKUP($AW235,'Jan-2026 rates'!$L:$R,7,0),IF($LB235=60%,VLOOKUP($AW235,'Jan-2026 rates'!$L:$S,8,0),IF($LB235=80%,VLOOKUP($AW235,'Jan-2026 rates'!L:T,9,0),0))))))))</f>
        <v>0</v>
      </c>
      <c r="AZ235" s="412"/>
      <c r="BA235" s="409"/>
      <c r="BB235" s="411">
        <f>IF(BA235=0,0,IF($LB235=70%,VLOOKUP($AW235,'Jan-2026 rates'!$L:$R,4,0),IF($LB235=65%,VLOOKUP($AW235,'Jan-2026 rates'!$L:$R,4,0),IF($LB235=40%,VLOOKUP($AW235,'Jan-2026 rates'!$L:$R,5,0),IF($LB235=30%,VLOOKUP($AW235,'Jan-2026 rates'!$L:$R,6,0),IF($LB235=100%,VLOOKUP($AW235,'Jan-2026 rates'!$L:$R,7,0),IF($LB235=60%,VLOOKUP($AW235,'Jan-2026 rates'!$L:$S,8,0),IF($LB235=80%,VLOOKUP($AW235,'Jan-2026 rates'!L:T,9,0),0))))))))</f>
        <v>0</v>
      </c>
      <c r="BC235" s="413">
        <v>26523000021</v>
      </c>
      <c r="BD235" s="412"/>
      <c r="BE235" s="412"/>
      <c r="BF235" s="413"/>
      <c r="BG235" s="412"/>
      <c r="BH235" s="412"/>
      <c r="BI235" s="412"/>
      <c r="BJ235" s="412"/>
      <c r="BK235" s="409">
        <v>4</v>
      </c>
      <c r="BL235" s="398" t="e">
        <f>IF(BK235=0,0,IF(LEN(BC235)=11,_xlfn.XLOOKUP(BC235,'Dispensed Ink Rates'!C:C,'Dispensed Ink Rates'!CS:CS),VLOOKUP(BC235,'Jan-2026 rates'!$E:$F,2,0)))</f>
        <v>#N/A</v>
      </c>
      <c r="BM235" s="409"/>
      <c r="BN235" s="398">
        <f>IF(BM235=0,0,IF(LEN(BD235)=11,_xlfn.XLOOKUP(BD235,'Dispensed Ink Rates'!C:C,'Dispensed Ink Rates'!CS:CS),VLOOKUP(BD235,'Jan-2026 rates'!$E:$F,2,0)))</f>
        <v>0</v>
      </c>
      <c r="BO235" s="409"/>
      <c r="BP235" s="398">
        <f>IF(BO235=0,0,IF(LEN(BE235)=11,_xlfn.XLOOKUP(BE235,'Dispensed Ink Rates'!C:C,'Dispensed Ink Rates'!CS:CS),VLOOKUP(BE235,'Jan-2026 rates'!$E:$F,2,0)))</f>
        <v>0</v>
      </c>
      <c r="BQ235" s="409"/>
      <c r="BR235" s="398">
        <f>IF(BQ235=0,0,IF(LEN(BF235)=11,_xlfn.XLOOKUP(BF235,'Dispensed Ink Rates'!C:C,'Dispensed Ink Rates'!CS:CS),VLOOKUP(BF235,'Jan-2026 rates'!$E:$F,2,0)))</f>
        <v>0</v>
      </c>
      <c r="BS235" s="409"/>
      <c r="BT235" s="398">
        <f>IF(BS235=0,0,IF(LEN(BG235)=11,_xlfn.XLOOKUP(BG235,'Dispensed Ink Rates'!C:C,'Dispensed Ink Rates'!CS:CS),VLOOKUP(BG235,'Jan-2026 rates'!$E:$F,2,0)))</f>
        <v>0</v>
      </c>
      <c r="BU235" s="409"/>
      <c r="BV235" s="398">
        <f>IF(BU235=0,0,IF(LEN(BH235)=11,_xlfn.XLOOKUP(BH235,'Dispensed Ink Rates'!C:C,'Dispensed Ink Rates'!CS:CS),VLOOKUP(BH235,'Jan-2026 rates'!$E:$F,2,0)))</f>
        <v>0</v>
      </c>
      <c r="BW235" s="409"/>
      <c r="BX235" s="398">
        <f>IF(BW235=0,0,IF(LEN(BI235)=11,_xlfn.XLOOKUP(BI235,'Dispensed Ink Rates'!C:C,'Dispensed Ink Rates'!CS:CS),VLOOKUP(BI235,'Jan-2026 rates'!$E:$F,2,0)))</f>
        <v>0</v>
      </c>
      <c r="BY235" s="409"/>
      <c r="BZ235" s="398">
        <f>IF(BY235=0,0,IF(LEN(BJ235)=11,_xlfn.XLOOKUP(BJ235,'Dispensed Ink Rates'!C:C,'Dispensed Ink Rates'!CS:CS),VLOOKUP(BJ235,'Jan-2026 rates'!$E:$F,2,0)))</f>
        <v>0</v>
      </c>
      <c r="CA235" s="409" t="s">
        <v>1443</v>
      </c>
      <c r="CB235" s="409">
        <v>24</v>
      </c>
      <c r="CC235" s="411">
        <f t="shared" si="162"/>
        <v>0</v>
      </c>
      <c r="CD235" s="411">
        <f t="shared" si="163"/>
        <v>11.467532467532465</v>
      </c>
      <c r="CE235" s="410">
        <f t="shared" si="164"/>
        <v>0</v>
      </c>
      <c r="CF235" s="404" t="s">
        <v>543</v>
      </c>
      <c r="CG235" s="409" t="s">
        <v>3953</v>
      </c>
      <c r="CH235" s="420" t="str">
        <f t="shared" si="185"/>
        <v>FLINTSL - BLACK</v>
      </c>
      <c r="CI235" s="409">
        <v>26</v>
      </c>
      <c r="CJ235" s="411">
        <f>IF(CI235=0,0,IF($LB235=70%,VLOOKUP($CH235,'Jan-2026 rates'!$L:$R,4,0),IF($LB235=65%,VLOOKUP($CH235,'Jan-2026 rates'!$L:$R,4,0),IF($LB235=40%,VLOOKUP($CH235,'Jan-2026 rates'!$L:$R,5,0),IF($LB235=30%,VLOOKUP($CH235,'Jan-2026 rates'!$L:$R,6,0),IF($LB235=100%,VLOOKUP($CH235,'Jan-2026 rates'!$L:$R,7,0),IF($LB235=60%,VLOOKUP($CH235,'Jan-2026 rates'!$L:$S,8,0),IF($LB235=80%,VLOOKUP($CH235,'Jan-2026 rates'!L:T,9,0),0))))))))</f>
        <v>0</v>
      </c>
      <c r="CK235" s="412"/>
      <c r="CL235" s="409"/>
      <c r="CM235" s="411">
        <f>IF(CL235=0,0,IF($LB235=70%,VLOOKUP($CH235,'Jan-2026 rates'!$L:$R,4,0),IF($LB235=65%,VLOOKUP($CH235,'Jan-2026 rates'!$L:$R,4,0),IF($LB235=40%,VLOOKUP($CH235,'Jan-2026 rates'!$L:$R,5,0),IF($LB235=30%,VLOOKUP($CH235,'Jan-2026 rates'!$L:$R,6,0),IF($LB235=100%,VLOOKUP($CH235,'Jan-2026 rates'!$L:$R,7,0),IF($LB235=60%,VLOOKUP($CH235,'Jan-2026 rates'!$L:$S,8,0),IF($LB235=80%,VLOOKUP($CH235,'Jan-2026 rates'!L:T,9,0),0))))))))</f>
        <v>0</v>
      </c>
      <c r="CN235" s="426">
        <v>26523000021</v>
      </c>
      <c r="CO235" s="427">
        <v>26516000015</v>
      </c>
      <c r="CP235" s="426">
        <v>26519000027</v>
      </c>
      <c r="CQ235" s="426"/>
      <c r="CR235" s="428"/>
      <c r="CS235" s="428"/>
      <c r="CT235" s="428"/>
      <c r="CU235" s="428"/>
      <c r="CV235" s="409">
        <v>7</v>
      </c>
      <c r="CW235" s="398" t="e">
        <f>IF(CV235=0,0,IF(LEN(CN235)=11,_xlfn.XLOOKUP(CN235,'Dispensed Ink Rates'!C:C,'Dispensed Ink Rates'!CS:CS),VLOOKUP(CN235,'Jan-2026 rates'!$E:$F,2,0)))</f>
        <v>#N/A</v>
      </c>
      <c r="CX235" s="409">
        <v>2</v>
      </c>
      <c r="CY235" s="398" t="e">
        <f>IF(CX235=0,0,IF(LEN(CO235)=11,_xlfn.XLOOKUP(CO235,'Dispensed Ink Rates'!C:C,'Dispensed Ink Rates'!CS:CS),VLOOKUP(CO235,'Jan-2026 rates'!$E:$F,2,0)))</f>
        <v>#N/A</v>
      </c>
      <c r="CZ235" s="409">
        <v>5</v>
      </c>
      <c r="DA235" s="398" t="e">
        <f>IF(CZ235=0,0,IF(LEN(CP235)=11,_xlfn.XLOOKUP(CP235,'Dispensed Ink Rates'!C:C,'Dispensed Ink Rates'!CS:CS),VLOOKUP(CP235,'Jan-2026 rates'!$E:$F,2,0)))</f>
        <v>#N/A</v>
      </c>
      <c r="DB235" s="409"/>
      <c r="DC235" s="398">
        <f>IF(DB235=0,0,IF(LEN(CQ235)=11,_xlfn.XLOOKUP(CQ235,'Dispensed Ink Rates'!C:C,'Dispensed Ink Rates'!CS:CS),VLOOKUP(CQ235,'Jan-2026 rates'!$E:$F,2,0)))</f>
        <v>0</v>
      </c>
      <c r="DD235" s="409"/>
      <c r="DE235" s="398">
        <f>IF(DD235=0,0,IF(LEN(CR235)=11,_xlfn.XLOOKUP(CR235,'Dispensed Ink Rates'!C:C,'Dispensed Ink Rates'!CS:CS),VLOOKUP(CR235,'Jan-2026 rates'!$E:$F,2,0)))</f>
        <v>0</v>
      </c>
      <c r="DF235" s="409"/>
      <c r="DG235" s="398">
        <f>IF(DF235=0,0,IF(LEN(CS235)=11,_xlfn.XLOOKUP(CS235,'Dispensed Ink Rates'!C:C,'Dispensed Ink Rates'!CS:CS),VLOOKUP(CS235,'Jan-2026 rates'!$E:$F,2,0)))</f>
        <v>0</v>
      </c>
      <c r="DH235" s="409"/>
      <c r="DI235" s="398">
        <f>IF(DH235=0,0,IF(LEN(CT235)=11,_xlfn.XLOOKUP(CT235,'Dispensed Ink Rates'!C:C,'Dispensed Ink Rates'!CS:CS),VLOOKUP(CT235,'Jan-2026 rates'!$E:$F,2,0)))</f>
        <v>0</v>
      </c>
      <c r="DJ235" s="409"/>
      <c r="DK235" s="398">
        <f>IF(DJ235=0,0,IF(LEN(CU235)=11,_xlfn.XLOOKUP(CU235,'Dispensed Ink Rates'!C:C,'Dispensed Ink Rates'!CS:CS),VLOOKUP(CU235,'Jan-2026 rates'!$E:$F,2,0)))</f>
        <v>0</v>
      </c>
      <c r="DL235" s="409" t="s">
        <v>1443</v>
      </c>
      <c r="DM235" s="409">
        <v>30</v>
      </c>
      <c r="DN235" s="411">
        <f t="shared" si="165"/>
        <v>0</v>
      </c>
      <c r="DO235" s="411">
        <f t="shared" si="166"/>
        <v>31.558441558441558</v>
      </c>
      <c r="DP235" s="410">
        <f t="shared" si="167"/>
        <v>0</v>
      </c>
      <c r="DQ235" s="405" t="s">
        <v>546</v>
      </c>
      <c r="DR235" s="409"/>
      <c r="DS235" s="420" t="str">
        <f t="shared" si="186"/>
        <v>FLINTSL - REFLEX BLUE</v>
      </c>
      <c r="DT235" s="409"/>
      <c r="DU235" s="411">
        <f>IF(DT235=0,0,IF($LB235=70%,VLOOKUP($DS235,'Jan-2026 rates'!$L:$R,4,0),IF($LB235=65%,VLOOKUP($DS235,'Jan-2026 rates'!$L:$R,4,0),IF($LB235=40%,VLOOKUP($DS235,'Jan-2026 rates'!$L:$R,5,0),IF($LB235=30%,VLOOKUP($DS235,'Jan-2026 rates'!$L:$R,6,0),IF($LB235=100%,VLOOKUP($DS235,'Jan-2026 rates'!$L:$R,7,0),IF($LB235=60%,VLOOKUP($DS235,'Jan-2026 rates'!$L:$S,8,0),IF($LB235=80%,VLOOKUP($DS235,'Jan-2026 rates'!L:T,9,0),0))))))))</f>
        <v>0</v>
      </c>
      <c r="DV235" s="412"/>
      <c r="DW235" s="409"/>
      <c r="DX235" s="411">
        <f>IF(DW235=0,0,IF($LB235=70%,VLOOKUP($DS235,'Jan-2026 rates'!$L:$R,4,0),IF($LB235=65%,VLOOKUP($DS235,'Jan-2026 rates'!$L:$R,4,0),IF($LB235=40%,VLOOKUP($DS235,'Jan-2026 rates'!$L:$R,5,0),IF($LB235=30%,VLOOKUP($DS235,'Jan-2026 rates'!$L:$R,6,0),IF($LB235=100%,VLOOKUP($DS235,'Jan-2026 rates'!$L:$R,7,0),IF($LB235=60%,VLOOKUP($DS235,'Jan-2026 rates'!$L:$S,8,0),IF($LB235=80%,VLOOKUP($DS235,'Jan-2026 rates'!L:T,9,0),0))))))))</f>
        <v>0</v>
      </c>
      <c r="DY235" s="413">
        <v>26517000039</v>
      </c>
      <c r="DZ235" s="413">
        <v>26521000005</v>
      </c>
      <c r="EA235" s="412">
        <v>66701</v>
      </c>
      <c r="EB235" s="412">
        <v>26516000028</v>
      </c>
      <c r="EC235" s="412"/>
      <c r="ED235" s="412"/>
      <c r="EE235" s="412"/>
      <c r="EF235" s="412"/>
      <c r="EG235" s="409">
        <v>130</v>
      </c>
      <c r="EH235" s="398" t="e">
        <f>IF(EG235=0,0,IF(LEN(DY235)=11,_xlfn.XLOOKUP(DY235,'Dispensed Ink Rates'!C:C,'Dispensed Ink Rates'!CS:CS),VLOOKUP(DY235,'Jan-2026 rates'!$E:$F,2,0)))</f>
        <v>#N/A</v>
      </c>
      <c r="EI235" s="409">
        <f>10+40</f>
        <v>50</v>
      </c>
      <c r="EJ235" s="398" t="e">
        <f>IF(EI235=0,0,IF(LEN(DZ235)=11,_xlfn.XLOOKUP(DZ235,'Dispensed Ink Rates'!C:C,'Dispensed Ink Rates'!CS:CS),VLOOKUP(DZ235,'Jan-2026 rates'!$E:$F,2,0)))</f>
        <v>#N/A</v>
      </c>
      <c r="EK235" s="409">
        <f>20+30</f>
        <v>50</v>
      </c>
      <c r="EL235" s="398">
        <f>IF(EK235=0,0,IF(LEN(EA235)=11,_xlfn.XLOOKUP(EA235,'Dispensed Ink Rates'!C:C,'Dispensed Ink Rates'!CS:CS),VLOOKUP(EA235,'Jan-2026 rates'!$E:$F,2,0)))</f>
        <v>0</v>
      </c>
      <c r="EM235" s="409">
        <f>5+12</f>
        <v>17</v>
      </c>
      <c r="EN235" s="398" t="e">
        <f>IF(EM235=0,0,IF(LEN(EB235)=11,_xlfn.XLOOKUP(EB235,'Dispensed Ink Rates'!C:C,'Dispensed Ink Rates'!CS:CS),VLOOKUP(EB235,'Jan-2026 rates'!$E:$F,2,0)))</f>
        <v>#N/A</v>
      </c>
      <c r="EO235" s="409"/>
      <c r="EP235" s="398">
        <f>IF(EO235=0,0,IF(LEN(EC235)=11,_xlfn.XLOOKUP(EC235,'Dispensed Ink Rates'!C:C,'Dispensed Ink Rates'!CS:CS),VLOOKUP(EC235,'Jan-2026 rates'!$E:$F,2,0)))</f>
        <v>0</v>
      </c>
      <c r="EQ235" s="409"/>
      <c r="ER235" s="398">
        <f>IF(EQ235=0,0,IF(LEN(ED235)=11,_xlfn.XLOOKUP(ED235,'Dispensed Ink Rates'!C:C,'Dispensed Ink Rates'!CS:CS),VLOOKUP(ED235,'Jan-2026 rates'!$E:$F,2,0)))</f>
        <v>0</v>
      </c>
      <c r="ES235" s="409"/>
      <c r="ET235" s="398">
        <f>IF(ES235=0,0,IF(LEN(EE235)=11,_xlfn.XLOOKUP(EE235,'Dispensed Ink Rates'!C:C,'Dispensed Ink Rates'!CS:CS),VLOOKUP(EE235,'Jan-2026 rates'!$E:$F,2,0)))</f>
        <v>0</v>
      </c>
      <c r="EU235" s="409"/>
      <c r="EV235" s="398">
        <f>IF(EU235=0,0,IF(LEN(EF235)=11,_xlfn.XLOOKUP(EF235,'Dispensed Ink Rates'!C:C,'Dispensed Ink Rates'!CS:CS),VLOOKUP(EF235,'Jan-2026 rates'!$E:$F,2,0)))</f>
        <v>0</v>
      </c>
      <c r="EW235" s="409" t="s">
        <v>1443</v>
      </c>
      <c r="EX235" s="409">
        <v>32</v>
      </c>
      <c r="EY235" s="411">
        <f t="shared" si="168"/>
        <v>0</v>
      </c>
      <c r="EZ235" s="411">
        <f t="shared" si="169"/>
        <v>290.45454545454544</v>
      </c>
      <c r="FA235" s="410">
        <f t="shared" si="170"/>
        <v>0</v>
      </c>
      <c r="FB235" s="405" t="s">
        <v>855</v>
      </c>
      <c r="FC235" s="409" t="s">
        <v>3969</v>
      </c>
      <c r="FD235" s="420" t="str">
        <f t="shared" si="187"/>
        <v>FLINTSL - CYAN</v>
      </c>
      <c r="FE235" s="409">
        <v>25</v>
      </c>
      <c r="FF235" s="411">
        <f>IF(FE235=0,0,IF($LB235=70%,VLOOKUP($FD235,'Jan-2026 rates'!$L:$R,4,0),IF($LB235=65%,VLOOKUP($FD235,'Jan-2026 rates'!$L:$R,4,0),IF($LB235=40%,VLOOKUP($FD235,'Jan-2026 rates'!$L:$R,5,0),IF($LB235=30%,VLOOKUP($FD235,'Jan-2026 rates'!$L:$R,6,0),IF($LB235=100%,VLOOKUP($FD235,'Jan-2026 rates'!$L:$R,7,0),IF($LB235=60%,VLOOKUP($FD235,'Jan-2026 rates'!$L:$S,8,0),IF($LB235=80%,VLOOKUP($FD235,'Jan-2026 rates'!L:T,9,0),0))))))))</f>
        <v>0</v>
      </c>
      <c r="FG235" s="412"/>
      <c r="FH235" s="409"/>
      <c r="FI235" s="411">
        <f>IF(FH235=0,0,IF($LB235=70%,VLOOKUP($FD235,'Jan-2026 rates'!$L:$R,4,0),IF($LB235=65%,VLOOKUP($FD235,'Jan-2026 rates'!$L:$R,4,0),IF($LB235=40%,VLOOKUP($FD235,'Jan-2026 rates'!$L:$R,5,0),IF($LB235=30%,VLOOKUP($FD235,'Jan-2026 rates'!$L:$R,6,0),IF($LB235=100%,VLOOKUP($FD235,'Jan-2026 rates'!$L:$R,7,0),IF($LB235=60%,VLOOKUP($FD235,'Jan-2026 rates'!$L:$S,8,0),IF($LB235=80%,VLOOKUP($FD235,'Jan-2026 rates'!L:T,9,0),0))))))))</f>
        <v>0</v>
      </c>
      <c r="FJ235" s="413">
        <v>26517000036</v>
      </c>
      <c r="FK235" s="413">
        <v>26517000037</v>
      </c>
      <c r="FL235" s="413">
        <v>26516000006</v>
      </c>
      <c r="FM235" s="412"/>
      <c r="FN235" s="412"/>
      <c r="FO235" s="412"/>
      <c r="FP235" s="412"/>
      <c r="FQ235" s="412"/>
      <c r="FR235" s="409">
        <v>20</v>
      </c>
      <c r="FS235" s="398" t="e">
        <f>IF(FR235=0,0,IF(LEN(FJ235)=11,_xlfn.XLOOKUP(FJ235,'Dispensed Ink Rates'!C:C,'Dispensed Ink Rates'!CS:CS),VLOOKUP(FJ235,'Jan-2026 rates'!$E:$F,2,0)))</f>
        <v>#N/A</v>
      </c>
      <c r="FT235" s="409">
        <v>20</v>
      </c>
      <c r="FU235" s="398" t="e">
        <f>IF(FT235=0,0,IF(LEN(FK235)=11,_xlfn.XLOOKUP(FK235,'Dispensed Ink Rates'!C:C,'Dispensed Ink Rates'!CS:CS),VLOOKUP(FK235,'Jan-2026 rates'!$E:$F,2,0)))</f>
        <v>#N/A</v>
      </c>
      <c r="FV235" s="409">
        <v>6</v>
      </c>
      <c r="FW235" s="398" t="e">
        <f>IF(FV235=0,0,IF(LEN(FL235)=11,_xlfn.XLOOKUP(FL235,'Dispensed Ink Rates'!C:C,'Dispensed Ink Rates'!CS:CS),VLOOKUP(FL235,'Jan-2026 rates'!$E:$F,2,0)))</f>
        <v>#N/A</v>
      </c>
      <c r="FX235" s="409"/>
      <c r="FY235" s="398">
        <f>IF(FX235=0,0,IF(LEN(FM235)=11,_xlfn.XLOOKUP(FM235,'Dispensed Ink Rates'!C:C,'Dispensed Ink Rates'!CS:CS),VLOOKUP(FM235,'Jan-2026 rates'!$E:$F,2,0)))</f>
        <v>0</v>
      </c>
      <c r="FZ235" s="409"/>
      <c r="GA235" s="398">
        <f>IF(FZ235=0,0,IF(LEN(FN235)=11,_xlfn.XLOOKUP(FN235,'Dispensed Ink Rates'!C:C,'Dispensed Ink Rates'!CS:CS),VLOOKUP(FN235,'Jan-2026 rates'!$E:$F,2,0)))</f>
        <v>0</v>
      </c>
      <c r="GB235" s="409"/>
      <c r="GC235" s="398">
        <f>IF(GB235=0,0,IF(LEN(FO235)=11,_xlfn.XLOOKUP(FO235,'Dispensed Ink Rates'!C:C,'Dispensed Ink Rates'!CS:CS),VLOOKUP(FO235,'Jan-2026 rates'!$E:$F,2,0)))</f>
        <v>0</v>
      </c>
      <c r="GD235" s="409"/>
      <c r="GE235" s="398">
        <f>IF(GD235=0,0,IF(LEN(FP235)=11,_xlfn.XLOOKUP(FP235,'Dispensed Ink Rates'!C:C,'Dispensed Ink Rates'!CS:CS),VLOOKUP(FP235,'Jan-2026 rates'!$E:$F,2,0)))</f>
        <v>0</v>
      </c>
      <c r="GF235" s="409"/>
      <c r="GG235" s="398">
        <f>IF(GF235=0,0,IF(LEN(FQ235)=11,_xlfn.XLOOKUP(FQ235,'Dispensed Ink Rates'!C:C,'Dispensed Ink Rates'!CS:CS),VLOOKUP(FQ235,'Jan-2026 rates'!$E:$F,2,0)))</f>
        <v>0</v>
      </c>
      <c r="GH235" s="409" t="s">
        <v>1443</v>
      </c>
      <c r="GI235" s="409">
        <v>28</v>
      </c>
      <c r="GJ235" s="411">
        <f t="shared" si="171"/>
        <v>0</v>
      </c>
      <c r="GK235" s="411">
        <f t="shared" si="172"/>
        <v>49.467532467532465</v>
      </c>
      <c r="GL235" s="410">
        <f t="shared" si="173"/>
        <v>0</v>
      </c>
      <c r="GM235" s="405" t="s">
        <v>544</v>
      </c>
      <c r="GN235" s="409" t="s">
        <v>3970</v>
      </c>
      <c r="GO235" s="420" t="str">
        <f t="shared" si="188"/>
        <v>FLINTSL - MAGENTA</v>
      </c>
      <c r="GP235" s="409">
        <v>24</v>
      </c>
      <c r="GQ235" s="411">
        <f>IF(GP235=0,0,IF($LB235=70%,VLOOKUP($GO235,'Jan-2026 rates'!$L:$R,4,0),IF($LB235=65%,VLOOKUP($GO235,'Jan-2026 rates'!$L:$R,4,0),IF($LB235=40%,VLOOKUP($GO235,'Jan-2026 rates'!$L:$R,5,0),IF($LB235=30%,VLOOKUP($GO235,'Jan-2026 rates'!$L:$R,6,0),IF($LB235=100%,VLOOKUP($GO235,'Jan-2026 rates'!$L:$R,7,0),IF($LB235=60%,VLOOKUP($GO235,'Jan-2026 rates'!$L:$S,8,0),IF($LB235=80%,VLOOKUP($GO235,'Jan-2026 rates'!L:T,9,0),0))))))))</f>
        <v>0</v>
      </c>
      <c r="GR235" s="412"/>
      <c r="GS235" s="409"/>
      <c r="GT235" s="411">
        <f>IF(GS235=0,0,IF($LB235=70%,VLOOKUP($GO235,'Jan-2026 rates'!$L:$R,4,0),IF($LB235=65%,VLOOKUP($GO235,'Jan-2026 rates'!$L:$R,4,0),IF($LB235=40%,VLOOKUP($GO235,'Jan-2026 rates'!$L:$R,5,0),IF($LB235=30%,VLOOKUP($GO235,'Jan-2026 rates'!$L:$R,6,0),IF($LB235=100%,VLOOKUP($GO235,'Jan-2026 rates'!$L:$R,7,0),IF($LB235=60%,VLOOKUP($GO235,'Jan-2026 rates'!$L:$S,8,0),IF($LB235=80%,VLOOKUP($GO235,'Jan-2026 rates'!L:T,9,0),0))))))))</f>
        <v>0</v>
      </c>
      <c r="GU235" s="413" t="s">
        <v>1266</v>
      </c>
      <c r="GV235" s="413"/>
      <c r="GW235" s="412"/>
      <c r="GX235" s="412"/>
      <c r="GY235" s="412"/>
      <c r="GZ235" s="412"/>
      <c r="HA235" s="412"/>
      <c r="HB235" s="412"/>
      <c r="HC235" s="409">
        <v>5</v>
      </c>
      <c r="HD235" s="398">
        <f>IF(HC235=0,0,IF(LEN(GU235)=11,_xlfn.XLOOKUP(GU235,'Dispensed Ink Rates'!C:C,'Dispensed Ink Rates'!CS:CS),VLOOKUP(GU235,'Jan-2026 rates'!$E:$F,2,0)))</f>
        <v>0</v>
      </c>
      <c r="HE235" s="409"/>
      <c r="HF235" s="398">
        <f>IF(HE235=0,0,IF(LEN(GV235)=11,_xlfn.XLOOKUP(GV235,'Dispensed Ink Rates'!C:C,'Dispensed Ink Rates'!CS:CS),VLOOKUP(GV235,'Jan-2026 rates'!$E:$F,2,0)))</f>
        <v>0</v>
      </c>
      <c r="HG235" s="409"/>
      <c r="HH235" s="398">
        <f>IF(HG235=0,0,IF(LEN(GW235)=11,_xlfn.XLOOKUP(GW235,'Dispensed Ink Rates'!C:C,'Dispensed Ink Rates'!CS:CS),VLOOKUP(GW235,'Jan-2026 rates'!$E:$F,2,0)))</f>
        <v>0</v>
      </c>
      <c r="HI235" s="409"/>
      <c r="HJ235" s="398">
        <f>IF(HI235=0,0,IF(LEN(GX235)=11,_xlfn.XLOOKUP(GX235,'Dispensed Ink Rates'!C:C,'Dispensed Ink Rates'!CS:CS),VLOOKUP(GX235,'Jan-2026 rates'!$E:$F,2,0)))</f>
        <v>0</v>
      </c>
      <c r="HK235" s="409"/>
      <c r="HL235" s="398">
        <f>IF(HK235=0,0,IF(LEN(GY235)=11,_xlfn.XLOOKUP(GY235,'Dispensed Ink Rates'!C:C,'Dispensed Ink Rates'!CS:CS),VLOOKUP(GY235,'Jan-2026 rates'!$E:$F,2,0)))</f>
        <v>0</v>
      </c>
      <c r="HM235" s="409"/>
      <c r="HN235" s="398">
        <f>IF(HM235=0,0,IF(LEN(GZ235)=11,_xlfn.XLOOKUP(GZ235,'Dispensed Ink Rates'!C:C,'Dispensed Ink Rates'!CS:CS),VLOOKUP(GZ235,'Jan-2026 rates'!$E:$F,2,0)))</f>
        <v>0</v>
      </c>
      <c r="HO235" s="409"/>
      <c r="HP235" s="398">
        <f>IF(HO235=0,0,IF(LEN(HA235)=11,_xlfn.XLOOKUP(HA235,'Dispensed Ink Rates'!C:C,'Dispensed Ink Rates'!CS:CS),VLOOKUP(HA235,'Jan-2026 rates'!$E:$F,2,0)))</f>
        <v>0</v>
      </c>
      <c r="HQ235" s="409"/>
      <c r="HR235" s="398">
        <f>IF(HQ235=0,0,IF(LEN(HB235)=11,_xlfn.XLOOKUP(HB235,'Dispensed Ink Rates'!C:C,'Dispensed Ink Rates'!CS:CS),VLOOKUP(HB235,'Jan-2026 rates'!$E:$F,2,0)))</f>
        <v>0</v>
      </c>
      <c r="HS235" s="409" t="s">
        <v>1443</v>
      </c>
      <c r="HT235" s="409">
        <v>28</v>
      </c>
      <c r="HU235" s="411">
        <f t="shared" si="174"/>
        <v>0</v>
      </c>
      <c r="HV235" s="411">
        <f t="shared" si="175"/>
        <v>11.779220779220779</v>
      </c>
      <c r="HW235" s="414">
        <f t="shared" si="176"/>
        <v>0</v>
      </c>
      <c r="HX235" s="405" t="s">
        <v>545</v>
      </c>
      <c r="HY235" s="409" t="s">
        <v>3957</v>
      </c>
      <c r="HZ235" s="420" t="str">
        <f t="shared" si="189"/>
        <v>FLINTSL - YELLOW</v>
      </c>
      <c r="IA235" s="409">
        <v>22</v>
      </c>
      <c r="IB235" s="411">
        <f>IF(IA235=0,0,IF($LB235=70%,VLOOKUP($HZ235,'Jan-2026 rates'!$L:$R,4,0),IF($LB235=65%,VLOOKUP($HZ235,'Jan-2026 rates'!$L:$R,4,0),IF($LB235=40%,VLOOKUP($HZ235,'Jan-2026 rates'!$L:$R,5,0),IF($LB235=30%,VLOOKUP($HZ235,'Jan-2026 rates'!$L:$R,6,0),IF($LB235=100%,VLOOKUP($HZ235,'Jan-2026 rates'!$L:$R,7,0),IF($LB235=60%,VLOOKUP($HZ235,'Jan-2026 rates'!$L:$S,8,0),IF($LB235=80%,VLOOKUP($HZ235,'Jan-2026 rates'!L:T,9,0),0))))))))</f>
        <v>0</v>
      </c>
      <c r="IC235" s="412"/>
      <c r="ID235" s="409"/>
      <c r="IE235" s="411">
        <f>IF(ID235=0,0,IF($LB235=70%,VLOOKUP($HZ235,'Jan-2026 rates'!$L:$R,4,0),IF($LB235=65%,VLOOKUP($HZ235,'Jan-2026 rates'!$L:$R,4,0),IF($LB235=40%,VLOOKUP($HZ235,'Jan-2026 rates'!$L:$R,5,0),IF($LB235=30%,VLOOKUP($HZ235,'Jan-2026 rates'!$L:$R,6,0),IF($LB235=100%,VLOOKUP($HZ235,'Jan-2026 rates'!$L:$R,7,0),IF($LB235=60%,VLOOKUP($HZ235,'Jan-2026 rates'!$L:$S,8,0),IF($LB235=80%,VLOOKUP($HZ235,'Jan-2026 rates'!L:T,9,0),0))))))))</f>
        <v>0</v>
      </c>
      <c r="IF235" s="412">
        <v>26516000015</v>
      </c>
      <c r="IG235" s="413" t="s">
        <v>1266</v>
      </c>
      <c r="IH235" s="412"/>
      <c r="II235" s="412"/>
      <c r="IJ235" s="412"/>
      <c r="IK235" s="412"/>
      <c r="IL235" s="412"/>
      <c r="IM235" s="412"/>
      <c r="IN235" s="409">
        <v>6</v>
      </c>
      <c r="IO235" s="398" t="e">
        <f>IF(IN235=0,0,IF(LEN(IF235)=11,_xlfn.XLOOKUP(IF235,'Dispensed Ink Rates'!C:C,'Dispensed Ink Rates'!CS:CS),VLOOKUP(IF235,'Jan-2026 rates'!$E:$F,2,0)))</f>
        <v>#N/A</v>
      </c>
      <c r="IP235" s="409">
        <v>4</v>
      </c>
      <c r="IQ235" s="398">
        <f>IF(IP235=0,0,IF(LEN(IG235)=11,_xlfn.XLOOKUP(IG235,'Dispensed Ink Rates'!C:C,'Dispensed Ink Rates'!CS:CS),VLOOKUP(IG235,'Jan-2026 rates'!$E:$F,2,0)))</f>
        <v>0</v>
      </c>
      <c r="IR235" s="409"/>
      <c r="IS235" s="398">
        <f>IF(IR235=0,0,IF(LEN(IH235)=11,_xlfn.XLOOKUP(IH235,'Dispensed Ink Rates'!C:C,'Dispensed Ink Rates'!CS:CS),VLOOKUP(IH235,'Jan-2026 rates'!$E:$F,2,0)))</f>
        <v>0</v>
      </c>
      <c r="IT235" s="409"/>
      <c r="IU235" s="398">
        <f>IF(IT235=0,0,IF(LEN(II235)=11,_xlfn.XLOOKUP(II235,'Dispensed Ink Rates'!C:C,'Dispensed Ink Rates'!CS:CS),VLOOKUP(II235,'Jan-2026 rates'!$E:$F,2,0)))</f>
        <v>0</v>
      </c>
      <c r="IV235" s="409"/>
      <c r="IW235" s="398">
        <f>IF(IV235=0,0,IF(LEN(IJ235)=11,_xlfn.XLOOKUP(IJ235,'Dispensed Ink Rates'!C:C,'Dispensed Ink Rates'!CS:CS),VLOOKUP(IJ235,'Jan-2026 rates'!$E:$F,2,0)))</f>
        <v>0</v>
      </c>
      <c r="IX235" s="409"/>
      <c r="IY235" s="398">
        <f>IF(IX235=0,0,IF(LEN(IK235)=11,_xlfn.XLOOKUP(IK235,'Dispensed Ink Rates'!C:C,'Dispensed Ink Rates'!CS:CS),VLOOKUP(IK235,'Jan-2026 rates'!$E:$F,2,0)))</f>
        <v>0</v>
      </c>
      <c r="IZ235" s="409"/>
      <c r="JA235" s="398">
        <f>IF(IZ235=0,0,IF(LEN(IL235)=11,_xlfn.XLOOKUP(IL235,'Dispensed Ink Rates'!C:C,'Dispensed Ink Rates'!CS:CS),VLOOKUP(IL235,'Jan-2026 rates'!$E:$F,2,0)))</f>
        <v>0</v>
      </c>
      <c r="JB235" s="409"/>
      <c r="JC235" s="398">
        <f>IF(JB235=0,0,IF(LEN(IM235)=11,_xlfn.XLOOKUP(IM235,'Dispensed Ink Rates'!C:C,'Dispensed Ink Rates'!CS:CS),VLOOKUP(IM235,'Jan-2026 rates'!$E:$F,2,0)))</f>
        <v>0</v>
      </c>
      <c r="JD235" s="409" t="s">
        <v>1443</v>
      </c>
      <c r="JE235" s="409">
        <v>25</v>
      </c>
      <c r="JF235" s="411">
        <f t="shared" si="177"/>
        <v>0</v>
      </c>
      <c r="JG235" s="411">
        <f t="shared" si="178"/>
        <v>28.558441558441558</v>
      </c>
      <c r="JH235" s="410">
        <f t="shared" si="179"/>
        <v>0</v>
      </c>
      <c r="JI235" s="405" t="s">
        <v>856</v>
      </c>
      <c r="JJ235" s="409" t="s">
        <v>3971</v>
      </c>
      <c r="JK235" s="420" t="str">
        <f t="shared" si="190"/>
        <v>FLINTSL - WHITE</v>
      </c>
      <c r="JL235" s="409">
        <v>30</v>
      </c>
      <c r="JM235" s="411">
        <f>IF(JL235=0,0,IF($LB235=70%,VLOOKUP($JK235,'Jan-2026 rates'!$L:$R,4,0),IF($LB235=65%,VLOOKUP($JK235,'Jan-2026 rates'!$L:$R,4,0),IF($LB235=40%,VLOOKUP($JK235,'Jan-2026 rates'!$L:$R,5,0),IF($LB235=30%,VLOOKUP($JK235,'Jan-2026 rates'!$L:$R,6,0),IF($LB235=100%,VLOOKUP($JK235,'Jan-2026 rates'!$L:$R,7,0),IF($LB235=60%,VLOOKUP($JK235,'Jan-2026 rates'!$L:$S,8,0),IF($LB235=80%,VLOOKUP($JK235,'Jan-2026 rates'!L:T,9,0),0))))))))</f>
        <v>0</v>
      </c>
      <c r="JN235" s="412"/>
      <c r="JO235" s="409"/>
      <c r="JP235" s="411">
        <f>IF(JO235=0,0,IF($LB235=70%,VLOOKUP($JK235,'Jan-2026 rates'!$L:$R,4,0),IF($LB235=65%,VLOOKUP($JK235,'Jan-2026 rates'!$L:$R,4,0),IF($LB235=40%,VLOOKUP($JK235,'Jan-2026 rates'!$L:$R,5,0),IF($LB235=30%,VLOOKUP($JK235,'Jan-2026 rates'!$L:$R,6,0),IF($LB235=100%,VLOOKUP($JK235,'Jan-2026 rates'!$L:$R,7,0),IF($LB235=60%,VLOOKUP($JK235,'Jan-2026 rates'!$L:$S,8,0),IF($LB235=80%,VLOOKUP($JK235,'Jan-2026 rates'!L:T,9,0),0))))))))</f>
        <v>0</v>
      </c>
      <c r="JQ235" s="413" t="s">
        <v>484</v>
      </c>
      <c r="JR235" s="412" t="s">
        <v>1924</v>
      </c>
      <c r="JS235" s="413"/>
      <c r="JT235" s="413"/>
      <c r="JU235" s="412"/>
      <c r="JV235" s="412"/>
      <c r="JW235" s="412"/>
      <c r="JX235" s="412"/>
      <c r="JY235" s="409">
        <f>100+100+100</f>
        <v>300</v>
      </c>
      <c r="JZ235" s="398">
        <f>IF(JY235=0,0,IF(LEN(JQ235)=11,_xlfn.XLOOKUP(JQ235,'Dispensed Ink Rates'!C:C,'Dispensed Ink Rates'!CS:CS),VLOOKUP(JQ235,'Jan-2026 rates'!$E:$F,2,0)))</f>
        <v>0</v>
      </c>
      <c r="KA235" s="409">
        <v>12.45</v>
      </c>
      <c r="KB235" s="398">
        <f>IF(KA235=0,0,IF(LEN(JR235)=11,_xlfn.XLOOKUP(JR235,'Dispensed Ink Rates'!C:C,'Dispensed Ink Rates'!CS:CS),VLOOKUP(JR235,'Jan-2026 rates'!$E:$F,2,0)))</f>
        <v>0</v>
      </c>
      <c r="KC235" s="409"/>
      <c r="KD235" s="398">
        <f>IF(KC235=0,0,IF(LEN(JS235)=11,_xlfn.XLOOKUP(JS235,'Dispensed Ink Rates'!C:C,'Dispensed Ink Rates'!CS:CS),VLOOKUP(JS235,'Jan-2026 rates'!$E:$F,2,0)))</f>
        <v>0</v>
      </c>
      <c r="KE235" s="409"/>
      <c r="KF235" s="398">
        <f>IF(KE235=0,0,IF(LEN(JT235)=11,_xlfn.XLOOKUP(JT235,'Dispensed Ink Rates'!C:C,'Dispensed Ink Rates'!CS:CS),VLOOKUP(JT235,'Jan-2026 rates'!$E:$F,2,0)))</f>
        <v>0</v>
      </c>
      <c r="KG235" s="409"/>
      <c r="KH235" s="398">
        <f>IF(KG235=0,0,IF(LEN(JU235)=11,_xlfn.XLOOKUP(JU235,'Dispensed Ink Rates'!C:C,'Dispensed Ink Rates'!CS:CS),VLOOKUP(JU235,'Jan-2026 rates'!$E:$F,2,0)))</f>
        <v>0</v>
      </c>
      <c r="KI235" s="409"/>
      <c r="KJ235" s="398">
        <f>IF(KI235=0,0,IF(LEN(JV235)=11,_xlfn.XLOOKUP(JV235,'Dispensed Ink Rates'!C:C,'Dispensed Ink Rates'!CS:CS),VLOOKUP(JV235,'Jan-2026 rates'!$E:$F,2,0)))</f>
        <v>0</v>
      </c>
      <c r="KK235" s="409"/>
      <c r="KL235" s="398">
        <f>IF(KK235=0,0,IF(LEN(JW235)=11,_xlfn.XLOOKUP(JW235,'Dispensed Ink Rates'!C:C,'Dispensed Ink Rates'!CS:CS),VLOOKUP(JW235,'Jan-2026 rates'!$E:$F,2,0)))</f>
        <v>0</v>
      </c>
      <c r="KM235" s="428"/>
      <c r="KN235" s="398">
        <f>IF(KM235=0,0,IF(LEN(JX235)=11,_xlfn.XLOOKUP(JX235,'Dispensed Ink Rates'!C:C,'Dispensed Ink Rates'!CS:CS),VLOOKUP(JX235,'Jan-2026 rates'!$E:$F,2,0)))</f>
        <v>0</v>
      </c>
      <c r="KO235" s="409" t="s">
        <v>1443</v>
      </c>
      <c r="KP235" s="409">
        <v>30</v>
      </c>
      <c r="KQ235" s="411">
        <f t="shared" si="180"/>
        <v>0</v>
      </c>
      <c r="KR235" s="411">
        <f t="shared" si="181"/>
        <v>829.85259740259744</v>
      </c>
      <c r="KS235" s="410">
        <f t="shared" si="182"/>
        <v>0</v>
      </c>
      <c r="KT235" s="409">
        <v>2</v>
      </c>
      <c r="KU235" s="409">
        <v>3</v>
      </c>
      <c r="KV235" s="409">
        <v>10</v>
      </c>
      <c r="KW235" s="409">
        <f>10+25</f>
        <v>35</v>
      </c>
      <c r="KX235" s="409">
        <v>3</v>
      </c>
      <c r="KY235" s="409">
        <v>5</v>
      </c>
      <c r="KZ235" s="409">
        <v>10</v>
      </c>
      <c r="LA235" s="409">
        <f>40+20+60+60+60</f>
        <v>240</v>
      </c>
      <c r="LB235" s="415">
        <v>0.8</v>
      </c>
      <c r="LC235" s="415">
        <v>0.2</v>
      </c>
      <c r="LD235" s="415"/>
      <c r="LE235" s="415"/>
      <c r="LF235" s="415"/>
      <c r="LG235" s="409">
        <v>0</v>
      </c>
      <c r="LH235" s="409">
        <f>275+189+160+40</f>
        <v>664</v>
      </c>
      <c r="LI235" s="409">
        <v>0</v>
      </c>
      <c r="LJ235" s="409">
        <v>0</v>
      </c>
      <c r="LK235" s="416">
        <f t="shared" si="191"/>
        <v>664</v>
      </c>
      <c r="LL235" s="416">
        <f t="shared" si="192"/>
        <v>664</v>
      </c>
      <c r="LM235" s="417">
        <f t="shared" si="193"/>
        <v>531.20000000000005</v>
      </c>
      <c r="LN235" s="417">
        <f>VLOOKUP($LM$8,'Jan-2026 rates'!$H:$I,2,0)</f>
        <v>0</v>
      </c>
      <c r="LO235" s="417">
        <f t="shared" si="194"/>
        <v>132.80000000000001</v>
      </c>
      <c r="LP235" s="417">
        <f>VLOOKUP($LO$8,'Jan-2026 rates'!$H:$I,2,0)</f>
        <v>0</v>
      </c>
      <c r="LQ235" s="417">
        <f t="shared" si="195"/>
        <v>0</v>
      </c>
      <c r="LR235" s="417">
        <f>VLOOKUP($LQ$8,'Jan-2026 rates'!$H:$I,2,0)</f>
        <v>0</v>
      </c>
      <c r="LS235" s="417">
        <f t="shared" si="196"/>
        <v>0</v>
      </c>
      <c r="LT235" s="417">
        <f>VLOOKUP($LS$8,'Jan-2026 rates'!$H:$I,2,0)</f>
        <v>0</v>
      </c>
      <c r="LU235" s="417">
        <f t="shared" si="197"/>
        <v>0</v>
      </c>
      <c r="LV235" s="417">
        <f>VLOOKUP($LU$8,'Jan-2026 rates'!$H:$I,2,0)</f>
        <v>0</v>
      </c>
      <c r="LW235" s="417">
        <f t="shared" si="198"/>
        <v>0</v>
      </c>
      <c r="LX235" s="417">
        <f t="shared" si="199"/>
        <v>0</v>
      </c>
      <c r="LY235" s="418">
        <f t="shared" si="200"/>
        <v>0</v>
      </c>
      <c r="LZ235" s="417"/>
      <c r="MA235" s="435">
        <f t="shared" si="201"/>
        <v>638.45000000000005</v>
      </c>
      <c r="MB235" s="282">
        <f t="shared" si="202"/>
        <v>1257.45</v>
      </c>
      <c r="MC235" s="283">
        <v>128</v>
      </c>
      <c r="MD235" s="284" t="str">
        <f t="shared" si="203"/>
        <v>FLINTSLFLINTSLFLINTSLFLINTSLFLINTSLFLINTSLFLINTSLFLINTSL</v>
      </c>
      <c r="ME235" s="293" t="str">
        <f t="shared" si="204"/>
        <v>+</v>
      </c>
      <c r="MF235" s="293" t="str">
        <f t="shared" si="205"/>
        <v>+</v>
      </c>
      <c r="MG235" s="293" t="str">
        <f t="shared" si="206"/>
        <v>+</v>
      </c>
      <c r="MH235" s="293" t="str">
        <f t="shared" si="207"/>
        <v>+</v>
      </c>
      <c r="MI235" s="293" t="str">
        <f t="shared" si="208"/>
        <v>+</v>
      </c>
      <c r="MJ235" s="293" t="str">
        <f t="shared" si="209"/>
        <v>+</v>
      </c>
      <c r="MK235" s="293" t="str">
        <f t="shared" si="210"/>
        <v>+</v>
      </c>
      <c r="ML235" s="293" t="str">
        <f t="shared" si="211"/>
        <v>+</v>
      </c>
      <c r="MM235" s="3" t="b">
        <f t="array" ref="MM235">OR(ME235:ML235="-")</f>
        <v>0</v>
      </c>
      <c r="MN235" s="285"/>
      <c r="MO235" s="401"/>
      <c r="MP235" s="286"/>
      <c r="MQ235" s="286"/>
      <c r="MR235" s="402"/>
      <c r="MS235" s="400"/>
      <c r="NH235" s="422"/>
      <c r="NJ235" s="421"/>
    </row>
    <row r="236" spans="1:374" s="1" customFormat="1" ht="16.5">
      <c r="A236" s="403">
        <v>46039</v>
      </c>
      <c r="B236" s="404" t="s">
        <v>1015</v>
      </c>
      <c r="C236" s="405" t="s">
        <v>3972</v>
      </c>
      <c r="D236" s="406">
        <v>129</v>
      </c>
      <c r="E236" s="404">
        <v>407</v>
      </c>
      <c r="F236" s="407">
        <v>35200</v>
      </c>
      <c r="G236" s="407" t="s">
        <v>1019</v>
      </c>
      <c r="H236" s="408" t="s">
        <v>1017</v>
      </c>
      <c r="I236" s="409">
        <v>1.5</v>
      </c>
      <c r="J236" s="405" t="s">
        <v>543</v>
      </c>
      <c r="K236" s="404"/>
      <c r="L236" s="419" t="str">
        <f t="shared" si="184"/>
        <v>ToyoLi - BLACK</v>
      </c>
      <c r="M236" s="404"/>
      <c r="N236" s="410">
        <f>IF(M236=0,0,IF($LB236=70%,VLOOKUP($L236,'Jan-2026 rates'!$L:$R,4,0),IF($LB236=65%,VLOOKUP($L236,'Jan-2026 rates'!$L:$R,4,0),IF($LB236=40%,VLOOKUP($L236,'Jan-2026 rates'!$L:$R,5,0),IF($LB236=30%,VLOOKUP($L236,'Jan-2026 rates'!$L:$R,6,0),IF($LB236=100%,VLOOKUP($L236,'Jan-2026 rates'!$L:$R,7,0),IF($LB236=60%,VLOOKUP($L236,'Jan-2026 rates'!$L:$S,8,0),IF($LB236=80%,VLOOKUP($L236,'Jan-2026 rates'!L:T,9,0),0))))))))</f>
        <v>0</v>
      </c>
      <c r="O236" s="406"/>
      <c r="P236" s="404"/>
      <c r="Q236" s="410">
        <f>IF(P236=0,0,IF($LB236=70%,VLOOKUP($L236,'Jan-2026 rates'!$L:$R,4,0),IF($LB236=65%,VLOOKUP($L236,'Jan-2026 rates'!$L:$R,4,0),IF($LB236=40%,VLOOKUP($L236,'Jan-2026 rates'!$L:$R,5,0),IF($LB236=30%,VLOOKUP($L236,'Jan-2026 rates'!$L:$R,6,0),IF($LB236=100%,VLOOKUP($L236,'Jan-2026 rates'!$L:$R,7,0),IF($LB236=60%,VLOOKUP($L236,'Jan-2026 rates'!$L:$S,8,0),IF($LB236=80%,VLOOKUP($L236,'Jan-2026 rates'!L:T,9,0),0))))))))</f>
        <v>0</v>
      </c>
      <c r="R236" s="406" t="s">
        <v>1252</v>
      </c>
      <c r="S236" s="406" t="s">
        <v>1921</v>
      </c>
      <c r="T236" s="406"/>
      <c r="U236" s="406"/>
      <c r="V236" s="406"/>
      <c r="W236" s="406"/>
      <c r="X236" s="406"/>
      <c r="Y236" s="406"/>
      <c r="Z236" s="404">
        <v>10</v>
      </c>
      <c r="AA236" s="398">
        <f>IF(Z236=0,0,IF(LEN(R236)=11,_xlfn.XLOOKUP(R236,'Dispensed Ink Rates'!C:C,'Dispensed Ink Rates'!CS:CS),VLOOKUP(R236,'Jan-2026 rates'!$E:$F,2,0)))</f>
        <v>0</v>
      </c>
      <c r="AB236" s="404">
        <v>5</v>
      </c>
      <c r="AC236" s="398">
        <f>IF(AB236=0,0,IF(LEN(S236)=11,_xlfn.XLOOKUP(S236,'Dispensed Ink Rates'!C:C,'Dispensed Ink Rates'!CS:CS),VLOOKUP(S236,'Jan-2026 rates'!$E:$F,2,0)))</f>
        <v>0</v>
      </c>
      <c r="AD236" s="404"/>
      <c r="AE236" s="398">
        <f>IF(AD236=0,0,IF(LEN(T236)=11,_xlfn.XLOOKUP(T236,'Dispensed Ink Rates'!C:C,'Dispensed Ink Rates'!CS:CS),VLOOKUP(T236,'Jan-2026 rates'!$E:$F,2,0)))</f>
        <v>0</v>
      </c>
      <c r="AF236" s="404"/>
      <c r="AG236" s="398">
        <f>IF(AF236=0,0,IF(LEN(U236)=11,_xlfn.XLOOKUP(U236,'Dispensed Ink Rates'!C:C,'Dispensed Ink Rates'!CS:CS),VLOOKUP(U236,'Jan-2026 rates'!$E:$F,2,0)))</f>
        <v>0</v>
      </c>
      <c r="AH236" s="404"/>
      <c r="AI236" s="398">
        <f>IF(AH236=0,0,IF(LEN(V236)=11,_xlfn.XLOOKUP(V236,'Dispensed Ink Rates'!C:C,'Dispensed Ink Rates'!CS:CS),VLOOKUP(V236,'Jan-2026 rates'!$E:$F,2,0)))</f>
        <v>0</v>
      </c>
      <c r="AJ236" s="404"/>
      <c r="AK236" s="398">
        <f>IF(AJ236=0,0,IF(LEN(W236)=11,_xlfn.XLOOKUP(W236,'Dispensed Ink Rates'!C:C,'Dispensed Ink Rates'!CS:CS),VLOOKUP(W236,'Jan-2026 rates'!$E:$F,2,0)))</f>
        <v>0</v>
      </c>
      <c r="AL236" s="404"/>
      <c r="AM236" s="398">
        <f>IF(AL236=0,0,IF(LEN(X236)=11,_xlfn.XLOOKUP(X236,'Dispensed Ink Rates'!C:C,'Dispensed Ink Rates'!CS:CS),VLOOKUP(X236,'Jan-2026 rates'!$E:$F,2,0)))</f>
        <v>0</v>
      </c>
      <c r="AN236" s="404"/>
      <c r="AO236" s="398">
        <f>IF(AN236=0,0,IF(LEN(Y236)=11,_xlfn.XLOOKUP(Y236,'Dispensed Ink Rates'!C:C,'Dispensed Ink Rates'!CS:CS),VLOOKUP(Y236,'Jan-2026 rates'!$E:$F,2,0)))</f>
        <v>0</v>
      </c>
      <c r="AP236" s="409" t="s">
        <v>1881</v>
      </c>
      <c r="AQ236" s="409">
        <f>18+12</f>
        <v>30</v>
      </c>
      <c r="AR236" s="410">
        <f t="shared" si="159"/>
        <v>0</v>
      </c>
      <c r="AS236" s="411">
        <f t="shared" si="160"/>
        <v>7.328767123287669</v>
      </c>
      <c r="AT236" s="410">
        <f t="shared" si="161"/>
        <v>0</v>
      </c>
      <c r="AU236" s="405" t="s">
        <v>857</v>
      </c>
      <c r="AV236" s="409"/>
      <c r="AW236" s="420" t="str">
        <f t="shared" si="183"/>
        <v>FLINTSL - RED</v>
      </c>
      <c r="AX236" s="409"/>
      <c r="AY236" s="411">
        <f>IF(AX236=0,0,IF($LB236=70%,VLOOKUP($AW236,'Jan-2026 rates'!$L:$R,4,0),IF($LB236=65%,VLOOKUP($AW236,'Jan-2026 rates'!$L:$R,4,0),IF($LB236=40%,VLOOKUP($AW236,'Jan-2026 rates'!$L:$R,5,0),IF($LB236=30%,VLOOKUP($AW236,'Jan-2026 rates'!$L:$R,6,0),IF($LB236=100%,VLOOKUP($AW236,'Jan-2026 rates'!$L:$R,7,0),IF($LB236=60%,VLOOKUP($AW236,'Jan-2026 rates'!$L:$S,8,0),IF($LB236=80%,VLOOKUP($AW236,'Jan-2026 rates'!L:T,9,0),0))))))))</f>
        <v>0</v>
      </c>
      <c r="AZ236" s="412"/>
      <c r="BA236" s="409"/>
      <c r="BB236" s="411">
        <f>IF(BA236=0,0,IF($LB236=70%,VLOOKUP($AW236,'Jan-2026 rates'!$L:$R,4,0),IF($LB236=65%,VLOOKUP($AW236,'Jan-2026 rates'!$L:$R,4,0),IF($LB236=40%,VLOOKUP($AW236,'Jan-2026 rates'!$L:$R,5,0),IF($LB236=30%,VLOOKUP($AW236,'Jan-2026 rates'!$L:$R,6,0),IF($LB236=100%,VLOOKUP($AW236,'Jan-2026 rates'!$L:$R,7,0),IF($LB236=60%,VLOOKUP($AW236,'Jan-2026 rates'!$L:$S,8,0),IF($LB236=80%,VLOOKUP($AW236,'Jan-2026 rates'!L:T,9,0),0))))))))</f>
        <v>0</v>
      </c>
      <c r="BC236" s="413">
        <v>26517000046</v>
      </c>
      <c r="BD236" s="412">
        <v>26518000009</v>
      </c>
      <c r="BE236" s="412">
        <v>26517000047</v>
      </c>
      <c r="BF236" s="413">
        <v>26517000043</v>
      </c>
      <c r="BG236" s="412">
        <v>26519000027</v>
      </c>
      <c r="BH236" s="412"/>
      <c r="BI236" s="412"/>
      <c r="BJ236" s="412"/>
      <c r="BK236" s="409">
        <v>40</v>
      </c>
      <c r="BL236" s="398" t="e">
        <f>IF(BK236=0,0,IF(LEN(BC236)=11,_xlfn.XLOOKUP(BC236,'Dispensed Ink Rates'!C:C,'Dispensed Ink Rates'!CS:CS),VLOOKUP(BC236,'Jan-2026 rates'!$E:$F,2,0)))</f>
        <v>#N/A</v>
      </c>
      <c r="BM236" s="409">
        <v>2</v>
      </c>
      <c r="BN236" s="398" t="e">
        <f>IF(BM236=0,0,IF(LEN(BD236)=11,_xlfn.XLOOKUP(BD236,'Dispensed Ink Rates'!C:C,'Dispensed Ink Rates'!CS:CS),VLOOKUP(BD236,'Jan-2026 rates'!$E:$F,2,0)))</f>
        <v>#N/A</v>
      </c>
      <c r="BO236" s="409">
        <v>30</v>
      </c>
      <c r="BP236" s="398" t="e">
        <f>IF(BO236=0,0,IF(LEN(BE236)=11,_xlfn.XLOOKUP(BE236,'Dispensed Ink Rates'!C:C,'Dispensed Ink Rates'!CS:CS),VLOOKUP(BE236,'Jan-2026 rates'!$E:$F,2,0)))</f>
        <v>#N/A</v>
      </c>
      <c r="BQ236" s="409">
        <v>40</v>
      </c>
      <c r="BR236" s="398" t="e">
        <f>IF(BQ236=0,0,IF(LEN(BF236)=11,_xlfn.XLOOKUP(BF236,'Dispensed Ink Rates'!C:C,'Dispensed Ink Rates'!CS:CS),VLOOKUP(BF236,'Jan-2026 rates'!$E:$F,2,0)))</f>
        <v>#N/A</v>
      </c>
      <c r="BS236" s="409">
        <v>5</v>
      </c>
      <c r="BT236" s="398" t="e">
        <f>IF(BS236=0,0,IF(LEN(BG236)=11,_xlfn.XLOOKUP(BG236,'Dispensed Ink Rates'!C:C,'Dispensed Ink Rates'!CS:CS),VLOOKUP(BG236,'Jan-2026 rates'!$E:$F,2,0)))</f>
        <v>#N/A</v>
      </c>
      <c r="BU236" s="409"/>
      <c r="BV236" s="398">
        <f>IF(BU236=0,0,IF(LEN(BH236)=11,_xlfn.XLOOKUP(BH236,'Dispensed Ink Rates'!C:C,'Dispensed Ink Rates'!CS:CS),VLOOKUP(BH236,'Jan-2026 rates'!$E:$F,2,0)))</f>
        <v>0</v>
      </c>
      <c r="BW236" s="409"/>
      <c r="BX236" s="398">
        <f>IF(BW236=0,0,IF(LEN(BI236)=11,_xlfn.XLOOKUP(BI236,'Dispensed Ink Rates'!C:C,'Dispensed Ink Rates'!CS:CS),VLOOKUP(BI236,'Jan-2026 rates'!$E:$F,2,0)))</f>
        <v>0</v>
      </c>
      <c r="BY236" s="409"/>
      <c r="BZ236" s="398">
        <f>IF(BY236=0,0,IF(LEN(BJ236)=11,_xlfn.XLOOKUP(BJ236,'Dispensed Ink Rates'!C:C,'Dispensed Ink Rates'!CS:CS),VLOOKUP(BJ236,'Jan-2026 rates'!$E:$F,2,0)))</f>
        <v>0</v>
      </c>
      <c r="CA236" s="409" t="s">
        <v>1443</v>
      </c>
      <c r="CB236" s="409">
        <v>30</v>
      </c>
      <c r="CC236" s="411">
        <f t="shared" si="162"/>
        <v>0</v>
      </c>
      <c r="CD236" s="411">
        <f t="shared" si="163"/>
        <v>109.32876712328766</v>
      </c>
      <c r="CE236" s="410">
        <f t="shared" si="164"/>
        <v>0</v>
      </c>
      <c r="CF236" s="404" t="s">
        <v>545</v>
      </c>
      <c r="CG236" s="409" t="s">
        <v>3973</v>
      </c>
      <c r="CH236" s="420" t="str">
        <f t="shared" si="185"/>
        <v>FLINTSL - YELLOW</v>
      </c>
      <c r="CI236" s="409">
        <v>29</v>
      </c>
      <c r="CJ236" s="411">
        <f>IF(CI236=0,0,IF($LB236=70%,VLOOKUP($CH236,'Jan-2026 rates'!$L:$R,4,0),IF($LB236=65%,VLOOKUP($CH236,'Jan-2026 rates'!$L:$R,4,0),IF($LB236=40%,VLOOKUP($CH236,'Jan-2026 rates'!$L:$R,5,0),IF($LB236=30%,VLOOKUP($CH236,'Jan-2026 rates'!$L:$R,6,0),IF($LB236=100%,VLOOKUP($CH236,'Jan-2026 rates'!$L:$R,7,0),IF($LB236=60%,VLOOKUP($CH236,'Jan-2026 rates'!$L:$S,8,0),IF($LB236=80%,VLOOKUP($CH236,'Jan-2026 rates'!L:T,9,0),0))))))))</f>
        <v>0</v>
      </c>
      <c r="CK236" s="412"/>
      <c r="CL236" s="409"/>
      <c r="CM236" s="411">
        <f>IF(CL236=0,0,IF($LB236=70%,VLOOKUP($CH236,'Jan-2026 rates'!$L:$R,4,0),IF($LB236=65%,VLOOKUP($CH236,'Jan-2026 rates'!$L:$R,4,0),IF($LB236=40%,VLOOKUP($CH236,'Jan-2026 rates'!$L:$R,5,0),IF($LB236=30%,VLOOKUP($CH236,'Jan-2026 rates'!$L:$R,6,0),IF($LB236=100%,VLOOKUP($CH236,'Jan-2026 rates'!$L:$R,7,0),IF($LB236=60%,VLOOKUP($CH236,'Jan-2026 rates'!$L:$S,8,0),IF($LB236=80%,VLOOKUP($CH236,'Jan-2026 rates'!L:T,9,0),0))))))))</f>
        <v>0</v>
      </c>
      <c r="CN236" s="426">
        <v>26517000013</v>
      </c>
      <c r="CO236" s="427"/>
      <c r="CP236" s="426"/>
      <c r="CQ236" s="426"/>
      <c r="CR236" s="428"/>
      <c r="CS236" s="428"/>
      <c r="CT236" s="428"/>
      <c r="CU236" s="428"/>
      <c r="CV236" s="409">
        <v>3</v>
      </c>
      <c r="CW236" s="398" t="e">
        <f>IF(CV236=0,0,IF(LEN(CN236)=11,_xlfn.XLOOKUP(CN236,'Dispensed Ink Rates'!C:C,'Dispensed Ink Rates'!CS:CS),VLOOKUP(CN236,'Jan-2026 rates'!$E:$F,2,0)))</f>
        <v>#N/A</v>
      </c>
      <c r="CX236" s="409"/>
      <c r="CY236" s="398">
        <f>IF(CX236=0,0,IF(LEN(CO236)=11,_xlfn.XLOOKUP(CO236,'Dispensed Ink Rates'!C:C,'Dispensed Ink Rates'!CS:CS),VLOOKUP(CO236,'Jan-2026 rates'!$E:$F,2,0)))</f>
        <v>0</v>
      </c>
      <c r="CZ236" s="409"/>
      <c r="DA236" s="398">
        <f>IF(CZ236=0,0,IF(LEN(CP236)=11,_xlfn.XLOOKUP(CP236,'Dispensed Ink Rates'!C:C,'Dispensed Ink Rates'!CS:CS),VLOOKUP(CP236,'Jan-2026 rates'!$E:$F,2,0)))</f>
        <v>0</v>
      </c>
      <c r="DB236" s="409"/>
      <c r="DC236" s="398">
        <f>IF(DB236=0,0,IF(LEN(CQ236)=11,_xlfn.XLOOKUP(CQ236,'Dispensed Ink Rates'!C:C,'Dispensed Ink Rates'!CS:CS),VLOOKUP(CQ236,'Jan-2026 rates'!$E:$F,2,0)))</f>
        <v>0</v>
      </c>
      <c r="DD236" s="409"/>
      <c r="DE236" s="398">
        <f>IF(DD236=0,0,IF(LEN(CR236)=11,_xlfn.XLOOKUP(CR236,'Dispensed Ink Rates'!C:C,'Dispensed Ink Rates'!CS:CS),VLOOKUP(CR236,'Jan-2026 rates'!$E:$F,2,0)))</f>
        <v>0</v>
      </c>
      <c r="DF236" s="409"/>
      <c r="DG236" s="398">
        <f>IF(DF236=0,0,IF(LEN(CS236)=11,_xlfn.XLOOKUP(CS236,'Dispensed Ink Rates'!C:C,'Dispensed Ink Rates'!CS:CS),VLOOKUP(CS236,'Jan-2026 rates'!$E:$F,2,0)))</f>
        <v>0</v>
      </c>
      <c r="DH236" s="409"/>
      <c r="DI236" s="398">
        <f>IF(DH236=0,0,IF(LEN(CT236)=11,_xlfn.XLOOKUP(CT236,'Dispensed Ink Rates'!C:C,'Dispensed Ink Rates'!CS:CS),VLOOKUP(CT236,'Jan-2026 rates'!$E:$F,2,0)))</f>
        <v>0</v>
      </c>
      <c r="DJ236" s="409"/>
      <c r="DK236" s="398">
        <f>IF(DJ236=0,0,IF(LEN(CU236)=11,_xlfn.XLOOKUP(CU236,'Dispensed Ink Rates'!C:C,'Dispensed Ink Rates'!CS:CS),VLOOKUP(CU236,'Jan-2026 rates'!$E:$F,2,0)))</f>
        <v>0</v>
      </c>
      <c r="DL236" s="409" t="s">
        <v>1443</v>
      </c>
      <c r="DM236" s="409">
        <v>25</v>
      </c>
      <c r="DN236" s="411">
        <f t="shared" si="165"/>
        <v>0</v>
      </c>
      <c r="DO236" s="411">
        <f t="shared" si="166"/>
        <v>15.93150684931507</v>
      </c>
      <c r="DP236" s="410">
        <f t="shared" si="167"/>
        <v>0</v>
      </c>
      <c r="DQ236" s="405" t="s">
        <v>855</v>
      </c>
      <c r="DR236" s="409" t="s">
        <v>3974</v>
      </c>
      <c r="DS236" s="420" t="str">
        <f t="shared" si="186"/>
        <v>FLINTSL - CYAN</v>
      </c>
      <c r="DT236" s="409">
        <v>30</v>
      </c>
      <c r="DU236" s="411">
        <f>IF(DT236=0,0,IF($LB236=70%,VLOOKUP($DS236,'Jan-2026 rates'!$L:$R,4,0),IF($LB236=65%,VLOOKUP($DS236,'Jan-2026 rates'!$L:$R,4,0),IF($LB236=40%,VLOOKUP($DS236,'Jan-2026 rates'!$L:$R,5,0),IF($LB236=30%,VLOOKUP($DS236,'Jan-2026 rates'!$L:$R,6,0),IF($LB236=100%,VLOOKUP($DS236,'Jan-2026 rates'!$L:$R,7,0),IF($LB236=60%,VLOOKUP($DS236,'Jan-2026 rates'!$L:$S,8,0),IF($LB236=80%,VLOOKUP($DS236,'Jan-2026 rates'!L:T,9,0),0))))))))</f>
        <v>0</v>
      </c>
      <c r="DV236" s="412"/>
      <c r="DW236" s="409"/>
      <c r="DX236" s="411">
        <f>IF(DW236=0,0,IF($LB236=70%,VLOOKUP($DS236,'Jan-2026 rates'!$L:$R,4,0),IF($LB236=65%,VLOOKUP($DS236,'Jan-2026 rates'!$L:$R,4,0),IF($LB236=40%,VLOOKUP($DS236,'Jan-2026 rates'!$L:$R,5,0),IF($LB236=30%,VLOOKUP($DS236,'Jan-2026 rates'!$L:$R,6,0),IF($LB236=100%,VLOOKUP($DS236,'Jan-2026 rates'!$L:$R,7,0),IF($LB236=60%,VLOOKUP($DS236,'Jan-2026 rates'!$L:$S,8,0),IF($LB236=80%,VLOOKUP($DS236,'Jan-2026 rates'!L:T,9,0),0))))))))</f>
        <v>0</v>
      </c>
      <c r="DY236" s="413" t="s">
        <v>1266</v>
      </c>
      <c r="DZ236" s="413">
        <v>26516000006</v>
      </c>
      <c r="EA236" s="412"/>
      <c r="EB236" s="412"/>
      <c r="EC236" s="412"/>
      <c r="ED236" s="412"/>
      <c r="EE236" s="412"/>
      <c r="EF236" s="412"/>
      <c r="EG236" s="409">
        <v>3</v>
      </c>
      <c r="EH236" s="398">
        <f>IF(EG236=0,0,IF(LEN(DY236)=11,_xlfn.XLOOKUP(DY236,'Dispensed Ink Rates'!C:C,'Dispensed Ink Rates'!CS:CS),VLOOKUP(DY236,'Jan-2026 rates'!$E:$F,2,0)))</f>
        <v>0</v>
      </c>
      <c r="EI236" s="409">
        <v>2</v>
      </c>
      <c r="EJ236" s="398" t="e">
        <f>IF(EI236=0,0,IF(LEN(DZ236)=11,_xlfn.XLOOKUP(DZ236,'Dispensed Ink Rates'!C:C,'Dispensed Ink Rates'!CS:CS),VLOOKUP(DZ236,'Jan-2026 rates'!$E:$F,2,0)))</f>
        <v>#N/A</v>
      </c>
      <c r="EK236" s="409"/>
      <c r="EL236" s="398">
        <f>IF(EK236=0,0,IF(LEN(EA236)=11,_xlfn.XLOOKUP(EA236,'Dispensed Ink Rates'!C:C,'Dispensed Ink Rates'!CS:CS),VLOOKUP(EA236,'Jan-2026 rates'!$E:$F,2,0)))</f>
        <v>0</v>
      </c>
      <c r="EM236" s="409"/>
      <c r="EN236" s="398">
        <f>IF(EM236=0,0,IF(LEN(EB236)=11,_xlfn.XLOOKUP(EB236,'Dispensed Ink Rates'!C:C,'Dispensed Ink Rates'!CS:CS),VLOOKUP(EB236,'Jan-2026 rates'!$E:$F,2,0)))</f>
        <v>0</v>
      </c>
      <c r="EO236" s="409"/>
      <c r="EP236" s="398">
        <f>IF(EO236=0,0,IF(LEN(EC236)=11,_xlfn.XLOOKUP(EC236,'Dispensed Ink Rates'!C:C,'Dispensed Ink Rates'!CS:CS),VLOOKUP(EC236,'Jan-2026 rates'!$E:$F,2,0)))</f>
        <v>0</v>
      </c>
      <c r="EQ236" s="409"/>
      <c r="ER236" s="398">
        <f>IF(EQ236=0,0,IF(LEN(ED236)=11,_xlfn.XLOOKUP(ED236,'Dispensed Ink Rates'!C:C,'Dispensed Ink Rates'!CS:CS),VLOOKUP(ED236,'Jan-2026 rates'!$E:$F,2,0)))</f>
        <v>0</v>
      </c>
      <c r="ES236" s="409"/>
      <c r="ET236" s="398">
        <f>IF(ES236=0,0,IF(LEN(EE236)=11,_xlfn.XLOOKUP(EE236,'Dispensed Ink Rates'!C:C,'Dispensed Ink Rates'!CS:CS),VLOOKUP(EE236,'Jan-2026 rates'!$E:$F,2,0)))</f>
        <v>0</v>
      </c>
      <c r="EU236" s="409"/>
      <c r="EV236" s="398">
        <f>IF(EU236=0,0,IF(LEN(EF236)=11,_xlfn.XLOOKUP(EF236,'Dispensed Ink Rates'!C:C,'Dispensed Ink Rates'!CS:CS),VLOOKUP(EF236,'Jan-2026 rates'!$E:$F,2,0)))</f>
        <v>0</v>
      </c>
      <c r="EW236" s="409" t="s">
        <v>1443</v>
      </c>
      <c r="EX236" s="409">
        <v>27</v>
      </c>
      <c r="EY236" s="411">
        <f t="shared" si="168"/>
        <v>0</v>
      </c>
      <c r="EZ236" s="411">
        <f t="shared" si="169"/>
        <v>14.698630136986303</v>
      </c>
      <c r="FA236" s="410">
        <f t="shared" si="170"/>
        <v>0</v>
      </c>
      <c r="FB236" s="405" t="s">
        <v>544</v>
      </c>
      <c r="FC236" s="409" t="s">
        <v>3975</v>
      </c>
      <c r="FD236" s="420" t="str">
        <f t="shared" si="187"/>
        <v>FLINTSL - MAGENTA</v>
      </c>
      <c r="FE236" s="409">
        <v>28</v>
      </c>
      <c r="FF236" s="411">
        <f>IF(FE236=0,0,IF($LB236=70%,VLOOKUP($FD236,'Jan-2026 rates'!$L:$R,4,0),IF($LB236=65%,VLOOKUP($FD236,'Jan-2026 rates'!$L:$R,4,0),IF($LB236=40%,VLOOKUP($FD236,'Jan-2026 rates'!$L:$R,5,0),IF($LB236=30%,VLOOKUP($FD236,'Jan-2026 rates'!$L:$R,6,0),IF($LB236=100%,VLOOKUP($FD236,'Jan-2026 rates'!$L:$R,7,0),IF($LB236=60%,VLOOKUP($FD236,'Jan-2026 rates'!$L:$S,8,0),IF($LB236=80%,VLOOKUP($FD236,'Jan-2026 rates'!L:T,9,0),0))))))))</f>
        <v>0</v>
      </c>
      <c r="FG236" s="412"/>
      <c r="FH236" s="409"/>
      <c r="FI236" s="411">
        <f>IF(FH236=0,0,IF($LB236=70%,VLOOKUP($FD236,'Jan-2026 rates'!$L:$R,4,0),IF($LB236=65%,VLOOKUP($FD236,'Jan-2026 rates'!$L:$R,4,0),IF($LB236=40%,VLOOKUP($FD236,'Jan-2026 rates'!$L:$R,5,0),IF($LB236=30%,VLOOKUP($FD236,'Jan-2026 rates'!$L:$R,6,0),IF($LB236=100%,VLOOKUP($FD236,'Jan-2026 rates'!$L:$R,7,0),IF($LB236=60%,VLOOKUP($FD236,'Jan-2026 rates'!$L:$S,8,0),IF($LB236=80%,VLOOKUP($FD236,'Jan-2026 rates'!L:T,9,0),0))))))))</f>
        <v>0</v>
      </c>
      <c r="FJ236" s="413">
        <v>26518000009</v>
      </c>
      <c r="FK236" s="413" t="s">
        <v>1266</v>
      </c>
      <c r="FL236" s="413"/>
      <c r="FM236" s="412"/>
      <c r="FN236" s="412"/>
      <c r="FO236" s="412"/>
      <c r="FP236" s="412"/>
      <c r="FQ236" s="412"/>
      <c r="FR236" s="409">
        <v>1</v>
      </c>
      <c r="FS236" s="398" t="e">
        <f>IF(FR236=0,0,IF(LEN(FJ236)=11,_xlfn.XLOOKUP(FJ236,'Dispensed Ink Rates'!C:C,'Dispensed Ink Rates'!CS:CS),VLOOKUP(FJ236,'Jan-2026 rates'!$E:$F,2,0)))</f>
        <v>#N/A</v>
      </c>
      <c r="FT236" s="409">
        <v>2</v>
      </c>
      <c r="FU236" s="398">
        <f>IF(FT236=0,0,IF(LEN(FK236)=11,_xlfn.XLOOKUP(FK236,'Dispensed Ink Rates'!C:C,'Dispensed Ink Rates'!CS:CS),VLOOKUP(FK236,'Jan-2026 rates'!$E:$F,2,0)))</f>
        <v>0</v>
      </c>
      <c r="FV236" s="409"/>
      <c r="FW236" s="398">
        <f>IF(FV236=0,0,IF(LEN(FL236)=11,_xlfn.XLOOKUP(FL236,'Dispensed Ink Rates'!C:C,'Dispensed Ink Rates'!CS:CS),VLOOKUP(FL236,'Jan-2026 rates'!$E:$F,2,0)))</f>
        <v>0</v>
      </c>
      <c r="FX236" s="409"/>
      <c r="FY236" s="398">
        <f>IF(FX236=0,0,IF(LEN(FM236)=11,_xlfn.XLOOKUP(FM236,'Dispensed Ink Rates'!C:C,'Dispensed Ink Rates'!CS:CS),VLOOKUP(FM236,'Jan-2026 rates'!$E:$F,2,0)))</f>
        <v>0</v>
      </c>
      <c r="FZ236" s="409"/>
      <c r="GA236" s="398">
        <f>IF(FZ236=0,0,IF(LEN(FN236)=11,_xlfn.XLOOKUP(FN236,'Dispensed Ink Rates'!C:C,'Dispensed Ink Rates'!CS:CS),VLOOKUP(FN236,'Jan-2026 rates'!$E:$F,2,0)))</f>
        <v>0</v>
      </c>
      <c r="GB236" s="409"/>
      <c r="GC236" s="398">
        <f>IF(GB236=0,0,IF(LEN(FO236)=11,_xlfn.XLOOKUP(FO236,'Dispensed Ink Rates'!C:C,'Dispensed Ink Rates'!CS:CS),VLOOKUP(FO236,'Jan-2026 rates'!$E:$F,2,0)))</f>
        <v>0</v>
      </c>
      <c r="GD236" s="409"/>
      <c r="GE236" s="398">
        <f>IF(GD236=0,0,IF(LEN(FP236)=11,_xlfn.XLOOKUP(FP236,'Dispensed Ink Rates'!C:C,'Dispensed Ink Rates'!CS:CS),VLOOKUP(FP236,'Jan-2026 rates'!$E:$F,2,0)))</f>
        <v>0</v>
      </c>
      <c r="GF236" s="409"/>
      <c r="GG236" s="398">
        <f>IF(GF236=0,0,IF(LEN(FQ236)=11,_xlfn.XLOOKUP(FQ236,'Dispensed Ink Rates'!C:C,'Dispensed Ink Rates'!CS:CS),VLOOKUP(FQ236,'Jan-2026 rates'!$E:$F,2,0)))</f>
        <v>0</v>
      </c>
      <c r="GH236" s="409" t="s">
        <v>1443</v>
      </c>
      <c r="GI236" s="409">
        <v>26</v>
      </c>
      <c r="GJ236" s="411">
        <f t="shared" si="171"/>
        <v>0</v>
      </c>
      <c r="GK236" s="411">
        <f t="shared" si="172"/>
        <v>11.698630136986303</v>
      </c>
      <c r="GL236" s="410">
        <f t="shared" si="173"/>
        <v>0</v>
      </c>
      <c r="GM236" s="405" t="s">
        <v>857</v>
      </c>
      <c r="GN236" s="409" t="s">
        <v>3976</v>
      </c>
      <c r="GO236" s="420" t="str">
        <f t="shared" si="188"/>
        <v>FLINTSL - RED</v>
      </c>
      <c r="GP236" s="409">
        <v>27</v>
      </c>
      <c r="GQ236" s="411">
        <f>IF(GP236=0,0,IF($LB236=70%,VLOOKUP($GO236,'Jan-2026 rates'!$L:$R,4,0),IF($LB236=65%,VLOOKUP($GO236,'Jan-2026 rates'!$L:$R,4,0),IF($LB236=40%,VLOOKUP($GO236,'Jan-2026 rates'!$L:$R,5,0),IF($LB236=30%,VLOOKUP($GO236,'Jan-2026 rates'!$L:$R,6,0),IF($LB236=100%,VLOOKUP($GO236,'Jan-2026 rates'!$L:$R,7,0),IF($LB236=60%,VLOOKUP($GO236,'Jan-2026 rates'!$L:$S,8,0),IF($LB236=80%,VLOOKUP($GO236,'Jan-2026 rates'!L:T,9,0),0))))))))</f>
        <v>0</v>
      </c>
      <c r="GR236" s="412"/>
      <c r="GS236" s="409"/>
      <c r="GT236" s="411">
        <f>IF(GS236=0,0,IF($LB236=70%,VLOOKUP($GO236,'Jan-2026 rates'!$L:$R,4,0),IF($LB236=65%,VLOOKUP($GO236,'Jan-2026 rates'!$L:$R,4,0),IF($LB236=40%,VLOOKUP($GO236,'Jan-2026 rates'!$L:$R,5,0),IF($LB236=30%,VLOOKUP($GO236,'Jan-2026 rates'!$L:$R,6,0),IF($LB236=100%,VLOOKUP($GO236,'Jan-2026 rates'!$L:$R,7,0),IF($LB236=60%,VLOOKUP($GO236,'Jan-2026 rates'!$L:$S,8,0),IF($LB236=80%,VLOOKUP($GO236,'Jan-2026 rates'!L:T,9,0),0))))))))</f>
        <v>0</v>
      </c>
      <c r="GU236" s="413">
        <v>26518000009</v>
      </c>
      <c r="GV236" s="413">
        <v>26519000027</v>
      </c>
      <c r="GW236" s="412">
        <v>26518000001</v>
      </c>
      <c r="GX236" s="412"/>
      <c r="GY236" s="412"/>
      <c r="GZ236" s="412"/>
      <c r="HA236" s="412"/>
      <c r="HB236" s="412"/>
      <c r="HC236" s="409">
        <v>4</v>
      </c>
      <c r="HD236" s="398" t="e">
        <f>IF(HC236=0,0,IF(LEN(GU236)=11,_xlfn.XLOOKUP(GU236,'Dispensed Ink Rates'!C:C,'Dispensed Ink Rates'!CS:CS),VLOOKUP(GU236,'Jan-2026 rates'!$E:$F,2,0)))</f>
        <v>#N/A</v>
      </c>
      <c r="HE236" s="409">
        <f>3+4</f>
        <v>7</v>
      </c>
      <c r="HF236" s="398" t="e">
        <f>IF(HE236=0,0,IF(LEN(GV236)=11,_xlfn.XLOOKUP(GV236,'Dispensed Ink Rates'!C:C,'Dispensed Ink Rates'!CS:CS),VLOOKUP(GV236,'Jan-2026 rates'!$E:$F,2,0)))</f>
        <v>#N/A</v>
      </c>
      <c r="HG236" s="409">
        <v>0.5</v>
      </c>
      <c r="HH236" s="398" t="e">
        <f>IF(HG236=0,0,IF(LEN(GW236)=11,_xlfn.XLOOKUP(GW236,'Dispensed Ink Rates'!C:C,'Dispensed Ink Rates'!CS:CS),VLOOKUP(GW236,'Jan-2026 rates'!$E:$F,2,0)))</f>
        <v>#N/A</v>
      </c>
      <c r="HI236" s="409"/>
      <c r="HJ236" s="398">
        <f>IF(HI236=0,0,IF(LEN(GX236)=11,_xlfn.XLOOKUP(GX236,'Dispensed Ink Rates'!C:C,'Dispensed Ink Rates'!CS:CS),VLOOKUP(GX236,'Jan-2026 rates'!$E:$F,2,0)))</f>
        <v>0</v>
      </c>
      <c r="HK236" s="409"/>
      <c r="HL236" s="398">
        <f>IF(HK236=0,0,IF(LEN(GY236)=11,_xlfn.XLOOKUP(GY236,'Dispensed Ink Rates'!C:C,'Dispensed Ink Rates'!CS:CS),VLOOKUP(GY236,'Jan-2026 rates'!$E:$F,2,0)))</f>
        <v>0</v>
      </c>
      <c r="HM236" s="409"/>
      <c r="HN236" s="398">
        <f>IF(HM236=0,0,IF(LEN(GZ236)=11,_xlfn.XLOOKUP(GZ236,'Dispensed Ink Rates'!C:C,'Dispensed Ink Rates'!CS:CS),VLOOKUP(GZ236,'Jan-2026 rates'!$E:$F,2,0)))</f>
        <v>0</v>
      </c>
      <c r="HO236" s="409"/>
      <c r="HP236" s="398">
        <f>IF(HO236=0,0,IF(LEN(HA236)=11,_xlfn.XLOOKUP(HA236,'Dispensed Ink Rates'!C:C,'Dispensed Ink Rates'!CS:CS),VLOOKUP(HA236,'Jan-2026 rates'!$E:$F,2,0)))</f>
        <v>0</v>
      </c>
      <c r="HQ236" s="409"/>
      <c r="HR236" s="398">
        <f>IF(HQ236=0,0,IF(LEN(HB236)=11,_xlfn.XLOOKUP(HB236,'Dispensed Ink Rates'!C:C,'Dispensed Ink Rates'!CS:CS),VLOOKUP(HB236,'Jan-2026 rates'!$E:$F,2,0)))</f>
        <v>0</v>
      </c>
      <c r="HS236" s="409" t="s">
        <v>1443</v>
      </c>
      <c r="HT236" s="409">
        <v>36</v>
      </c>
      <c r="HU236" s="411">
        <f t="shared" si="174"/>
        <v>0</v>
      </c>
      <c r="HV236" s="411">
        <f t="shared" si="175"/>
        <v>11.43150684931507</v>
      </c>
      <c r="HW236" s="414">
        <f t="shared" si="176"/>
        <v>0</v>
      </c>
      <c r="HX236" s="405" t="s">
        <v>545</v>
      </c>
      <c r="HY236" s="409" t="s">
        <v>3973</v>
      </c>
      <c r="HZ236" s="420" t="str">
        <f t="shared" si="189"/>
        <v>FLINTSL - YELLOW</v>
      </c>
      <c r="IA236" s="409">
        <v>27</v>
      </c>
      <c r="IB236" s="411">
        <f>IF(IA236=0,0,IF($LB236=70%,VLOOKUP($HZ236,'Jan-2026 rates'!$L:$R,4,0),IF($LB236=65%,VLOOKUP($HZ236,'Jan-2026 rates'!$L:$R,4,0),IF($LB236=40%,VLOOKUP($HZ236,'Jan-2026 rates'!$L:$R,5,0),IF($LB236=30%,VLOOKUP($HZ236,'Jan-2026 rates'!$L:$R,6,0),IF($LB236=100%,VLOOKUP($HZ236,'Jan-2026 rates'!$L:$R,7,0),IF($LB236=60%,VLOOKUP($HZ236,'Jan-2026 rates'!$L:$S,8,0),IF($LB236=80%,VLOOKUP($HZ236,'Jan-2026 rates'!L:T,9,0),0))))))))</f>
        <v>0</v>
      </c>
      <c r="IC236" s="412"/>
      <c r="ID236" s="409"/>
      <c r="IE236" s="411">
        <f>IF(ID236=0,0,IF($LB236=70%,VLOOKUP($HZ236,'Jan-2026 rates'!$L:$R,4,0),IF($LB236=65%,VLOOKUP($HZ236,'Jan-2026 rates'!$L:$R,4,0),IF($LB236=40%,VLOOKUP($HZ236,'Jan-2026 rates'!$L:$R,5,0),IF($LB236=30%,VLOOKUP($HZ236,'Jan-2026 rates'!$L:$R,6,0),IF($LB236=100%,VLOOKUP($HZ236,'Jan-2026 rates'!$L:$R,7,0),IF($LB236=60%,VLOOKUP($HZ236,'Jan-2026 rates'!$L:$S,8,0),IF($LB236=80%,VLOOKUP($HZ236,'Jan-2026 rates'!L:T,9,0),0))))))))</f>
        <v>0</v>
      </c>
      <c r="IF236" s="412">
        <v>26517000013</v>
      </c>
      <c r="IG236" s="413"/>
      <c r="IH236" s="412"/>
      <c r="II236" s="412"/>
      <c r="IJ236" s="412"/>
      <c r="IK236" s="412"/>
      <c r="IL236" s="412"/>
      <c r="IM236" s="412"/>
      <c r="IN236" s="409">
        <v>3</v>
      </c>
      <c r="IO236" s="398" t="e">
        <f>IF(IN236=0,0,IF(LEN(IF236)=11,_xlfn.XLOOKUP(IF236,'Dispensed Ink Rates'!C:C,'Dispensed Ink Rates'!CS:CS),VLOOKUP(IF236,'Jan-2026 rates'!$E:$F,2,0)))</f>
        <v>#N/A</v>
      </c>
      <c r="IP236" s="409"/>
      <c r="IQ236" s="398">
        <f>IF(IP236=0,0,IF(LEN(IG236)=11,_xlfn.XLOOKUP(IG236,'Dispensed Ink Rates'!C:C,'Dispensed Ink Rates'!CS:CS),VLOOKUP(IG236,'Jan-2026 rates'!$E:$F,2,0)))</f>
        <v>0</v>
      </c>
      <c r="IR236" s="409"/>
      <c r="IS236" s="398">
        <f>IF(IR236=0,0,IF(LEN(IH236)=11,_xlfn.XLOOKUP(IH236,'Dispensed Ink Rates'!C:C,'Dispensed Ink Rates'!CS:CS),VLOOKUP(IH236,'Jan-2026 rates'!$E:$F,2,0)))</f>
        <v>0</v>
      </c>
      <c r="IT236" s="409"/>
      <c r="IU236" s="398">
        <f>IF(IT236=0,0,IF(LEN(II236)=11,_xlfn.XLOOKUP(II236,'Dispensed Ink Rates'!C:C,'Dispensed Ink Rates'!CS:CS),VLOOKUP(II236,'Jan-2026 rates'!$E:$F,2,0)))</f>
        <v>0</v>
      </c>
      <c r="IV236" s="409"/>
      <c r="IW236" s="398">
        <f>IF(IV236=0,0,IF(LEN(IJ236)=11,_xlfn.XLOOKUP(IJ236,'Dispensed Ink Rates'!C:C,'Dispensed Ink Rates'!CS:CS),VLOOKUP(IJ236,'Jan-2026 rates'!$E:$F,2,0)))</f>
        <v>0</v>
      </c>
      <c r="IX236" s="409"/>
      <c r="IY236" s="398">
        <f>IF(IX236=0,0,IF(LEN(IK236)=11,_xlfn.XLOOKUP(IK236,'Dispensed Ink Rates'!C:C,'Dispensed Ink Rates'!CS:CS),VLOOKUP(IK236,'Jan-2026 rates'!$E:$F,2,0)))</f>
        <v>0</v>
      </c>
      <c r="IZ236" s="409"/>
      <c r="JA236" s="398">
        <f>IF(IZ236=0,0,IF(LEN(IL236)=11,_xlfn.XLOOKUP(IL236,'Dispensed Ink Rates'!C:C,'Dispensed Ink Rates'!CS:CS),VLOOKUP(IL236,'Jan-2026 rates'!$E:$F,2,0)))</f>
        <v>0</v>
      </c>
      <c r="JB236" s="409"/>
      <c r="JC236" s="398">
        <f>IF(JB236=0,0,IF(LEN(IM236)=11,_xlfn.XLOOKUP(IM236,'Dispensed Ink Rates'!C:C,'Dispensed Ink Rates'!CS:CS),VLOOKUP(IM236,'Jan-2026 rates'!$E:$F,2,0)))</f>
        <v>0</v>
      </c>
      <c r="JD236" s="409" t="s">
        <v>1443</v>
      </c>
      <c r="JE236" s="409">
        <v>24</v>
      </c>
      <c r="JF236" s="411">
        <f t="shared" si="177"/>
        <v>0</v>
      </c>
      <c r="JG236" s="411">
        <f t="shared" si="178"/>
        <v>14.93150684931507</v>
      </c>
      <c r="JH236" s="410">
        <f t="shared" si="179"/>
        <v>0</v>
      </c>
      <c r="JI236" s="405" t="s">
        <v>856</v>
      </c>
      <c r="JJ236" s="409" t="s">
        <v>3977</v>
      </c>
      <c r="JK236" s="420" t="str">
        <f t="shared" si="190"/>
        <v>FLINTSL - WHITE</v>
      </c>
      <c r="JL236" s="409">
        <v>30</v>
      </c>
      <c r="JM236" s="411">
        <f>IF(JL236=0,0,IF($LB236=70%,VLOOKUP($JK236,'Jan-2026 rates'!$L:$R,4,0),IF($LB236=65%,VLOOKUP($JK236,'Jan-2026 rates'!$L:$R,4,0),IF($LB236=40%,VLOOKUP($JK236,'Jan-2026 rates'!$L:$R,5,0),IF($LB236=30%,VLOOKUP($JK236,'Jan-2026 rates'!$L:$R,6,0),IF($LB236=100%,VLOOKUP($JK236,'Jan-2026 rates'!$L:$R,7,0),IF($LB236=60%,VLOOKUP($JK236,'Jan-2026 rates'!$L:$S,8,0),IF($LB236=80%,VLOOKUP($JK236,'Jan-2026 rates'!L:T,9,0),0))))))))</f>
        <v>0</v>
      </c>
      <c r="JN236" s="412"/>
      <c r="JO236" s="409"/>
      <c r="JP236" s="411">
        <f>IF(JO236=0,0,IF($LB236=70%,VLOOKUP($JK236,'Jan-2026 rates'!$L:$R,4,0),IF($LB236=65%,VLOOKUP($JK236,'Jan-2026 rates'!$L:$R,4,0),IF($LB236=40%,VLOOKUP($JK236,'Jan-2026 rates'!$L:$R,5,0),IF($LB236=30%,VLOOKUP($JK236,'Jan-2026 rates'!$L:$R,6,0),IF($LB236=100%,VLOOKUP($JK236,'Jan-2026 rates'!$L:$R,7,0),IF($LB236=60%,VLOOKUP($JK236,'Jan-2026 rates'!$L:$S,8,0),IF($LB236=80%,VLOOKUP($JK236,'Jan-2026 rates'!L:T,9,0),0))))))))</f>
        <v>0</v>
      </c>
      <c r="JQ236" s="413" t="s">
        <v>484</v>
      </c>
      <c r="JR236" s="412"/>
      <c r="JS236" s="413"/>
      <c r="JT236" s="413"/>
      <c r="JU236" s="412"/>
      <c r="JV236" s="412"/>
      <c r="JW236" s="412"/>
      <c r="JX236" s="412"/>
      <c r="JY236" s="409">
        <v>70</v>
      </c>
      <c r="JZ236" s="398">
        <f>IF(JY236=0,0,IF(LEN(JQ236)=11,_xlfn.XLOOKUP(JQ236,'Dispensed Ink Rates'!C:C,'Dispensed Ink Rates'!CS:CS),VLOOKUP(JQ236,'Jan-2026 rates'!$E:$F,2,0)))</f>
        <v>0</v>
      </c>
      <c r="KA236" s="409"/>
      <c r="KB236" s="398">
        <f>IF(KA236=0,0,IF(LEN(JR236)=11,_xlfn.XLOOKUP(JR236,'Dispensed Ink Rates'!C:C,'Dispensed Ink Rates'!CS:CS),VLOOKUP(JR236,'Jan-2026 rates'!$E:$F,2,0)))</f>
        <v>0</v>
      </c>
      <c r="KC236" s="409"/>
      <c r="KD236" s="398">
        <f>IF(KC236=0,0,IF(LEN(JS236)=11,_xlfn.XLOOKUP(JS236,'Dispensed Ink Rates'!C:C,'Dispensed Ink Rates'!CS:CS),VLOOKUP(JS236,'Jan-2026 rates'!$E:$F,2,0)))</f>
        <v>0</v>
      </c>
      <c r="KE236" s="409"/>
      <c r="KF236" s="398">
        <f>IF(KE236=0,0,IF(LEN(JT236)=11,_xlfn.XLOOKUP(JT236,'Dispensed Ink Rates'!C:C,'Dispensed Ink Rates'!CS:CS),VLOOKUP(JT236,'Jan-2026 rates'!$E:$F,2,0)))</f>
        <v>0</v>
      </c>
      <c r="KG236" s="409"/>
      <c r="KH236" s="398">
        <f>IF(KG236=0,0,IF(LEN(JU236)=11,_xlfn.XLOOKUP(JU236,'Dispensed Ink Rates'!C:C,'Dispensed Ink Rates'!CS:CS),VLOOKUP(JU236,'Jan-2026 rates'!$E:$F,2,0)))</f>
        <v>0</v>
      </c>
      <c r="KI236" s="409"/>
      <c r="KJ236" s="398">
        <f>IF(KI236=0,0,IF(LEN(JV236)=11,_xlfn.XLOOKUP(JV236,'Dispensed Ink Rates'!C:C,'Dispensed Ink Rates'!CS:CS),VLOOKUP(JV236,'Jan-2026 rates'!$E:$F,2,0)))</f>
        <v>0</v>
      </c>
      <c r="KK236" s="409"/>
      <c r="KL236" s="398">
        <f>IF(KK236=0,0,IF(LEN(JW236)=11,_xlfn.XLOOKUP(JW236,'Dispensed Ink Rates'!C:C,'Dispensed Ink Rates'!CS:CS),VLOOKUP(JW236,'Jan-2026 rates'!$E:$F,2,0)))</f>
        <v>0</v>
      </c>
      <c r="KM236" s="428"/>
      <c r="KN236" s="398">
        <f>IF(KM236=0,0,IF(LEN(JX236)=11,_xlfn.XLOOKUP(JX236,'Dispensed Ink Rates'!C:C,'Dispensed Ink Rates'!CS:CS),VLOOKUP(JX236,'Jan-2026 rates'!$E:$F,2,0)))</f>
        <v>0</v>
      </c>
      <c r="KO236" s="409" t="s">
        <v>1443</v>
      </c>
      <c r="KP236" s="409">
        <v>27</v>
      </c>
      <c r="KQ236" s="411">
        <f t="shared" si="180"/>
        <v>0</v>
      </c>
      <c r="KR236" s="411">
        <f t="shared" si="181"/>
        <v>151.15068493150685</v>
      </c>
      <c r="KS236" s="410">
        <f t="shared" si="182"/>
        <v>0</v>
      </c>
      <c r="KT236" s="409">
        <v>10</v>
      </c>
      <c r="KU236" s="409">
        <v>10</v>
      </c>
      <c r="KV236" s="409">
        <v>4</v>
      </c>
      <c r="KW236" s="409">
        <v>3</v>
      </c>
      <c r="KX236" s="409">
        <v>3</v>
      </c>
      <c r="KY236" s="409">
        <v>4</v>
      </c>
      <c r="KZ236" s="409">
        <v>4</v>
      </c>
      <c r="LA236" s="409">
        <v>35</v>
      </c>
      <c r="LB236" s="415">
        <v>0.8</v>
      </c>
      <c r="LC236" s="415">
        <v>0.2</v>
      </c>
      <c r="LD236" s="415"/>
      <c r="LE236" s="415"/>
      <c r="LF236" s="415"/>
      <c r="LG236" s="409">
        <v>0</v>
      </c>
      <c r="LH236" s="409">
        <f>45+38+64+16</f>
        <v>163</v>
      </c>
      <c r="LI236" s="409">
        <v>0</v>
      </c>
      <c r="LJ236" s="409">
        <v>0</v>
      </c>
      <c r="LK236" s="416">
        <f t="shared" si="191"/>
        <v>163</v>
      </c>
      <c r="LL236" s="416">
        <f t="shared" si="192"/>
        <v>163</v>
      </c>
      <c r="LM236" s="417">
        <f t="shared" si="193"/>
        <v>130.4</v>
      </c>
      <c r="LN236" s="417">
        <f>VLOOKUP($LM$8,'Jan-2026 rates'!$H:$I,2,0)</f>
        <v>0</v>
      </c>
      <c r="LO236" s="417">
        <f t="shared" si="194"/>
        <v>32.6</v>
      </c>
      <c r="LP236" s="417">
        <f>VLOOKUP($LO$8,'Jan-2026 rates'!$H:$I,2,0)</f>
        <v>0</v>
      </c>
      <c r="LQ236" s="417">
        <f t="shared" si="195"/>
        <v>0</v>
      </c>
      <c r="LR236" s="417">
        <f>VLOOKUP($LQ$8,'Jan-2026 rates'!$H:$I,2,0)</f>
        <v>0</v>
      </c>
      <c r="LS236" s="417">
        <f t="shared" si="196"/>
        <v>0</v>
      </c>
      <c r="LT236" s="417">
        <f>VLOOKUP($LS$8,'Jan-2026 rates'!$H:$I,2,0)</f>
        <v>0</v>
      </c>
      <c r="LU236" s="417">
        <f t="shared" si="197"/>
        <v>0</v>
      </c>
      <c r="LV236" s="417">
        <f>VLOOKUP($LU$8,'Jan-2026 rates'!$H:$I,2,0)</f>
        <v>0</v>
      </c>
      <c r="LW236" s="417">
        <f t="shared" si="198"/>
        <v>0</v>
      </c>
      <c r="LX236" s="417">
        <f t="shared" si="199"/>
        <v>0</v>
      </c>
      <c r="LY236" s="418">
        <f t="shared" si="200"/>
        <v>0</v>
      </c>
      <c r="LZ236" s="417"/>
      <c r="MA236" s="435">
        <f t="shared" si="201"/>
        <v>227.5</v>
      </c>
      <c r="MB236" s="282">
        <f t="shared" si="202"/>
        <v>336.5</v>
      </c>
      <c r="MC236" s="283">
        <v>129</v>
      </c>
      <c r="MD236" s="284" t="str">
        <f t="shared" si="203"/>
        <v>ToyoLiFLINTSLFLINTSLFLINTSLFLINTSLFLINTSLFLINTSLFLINTSL</v>
      </c>
      <c r="ME236" s="293" t="str">
        <f t="shared" si="204"/>
        <v>+</v>
      </c>
      <c r="MF236" s="293" t="str">
        <f t="shared" si="205"/>
        <v>+</v>
      </c>
      <c r="MG236" s="293" t="str">
        <f t="shared" si="206"/>
        <v>+</v>
      </c>
      <c r="MH236" s="293" t="str">
        <f t="shared" si="207"/>
        <v>+</v>
      </c>
      <c r="MI236" s="293" t="str">
        <f t="shared" si="208"/>
        <v>+</v>
      </c>
      <c r="MJ236" s="293" t="str">
        <f t="shared" si="209"/>
        <v>+</v>
      </c>
      <c r="MK236" s="293" t="str">
        <f t="shared" si="210"/>
        <v>+</v>
      </c>
      <c r="ML236" s="293" t="str">
        <f t="shared" si="211"/>
        <v>+</v>
      </c>
      <c r="MM236" s="3" t="b">
        <f t="array" ref="MM236">OR(ME236:ML236="-")</f>
        <v>0</v>
      </c>
      <c r="MN236" s="285"/>
      <c r="MO236" s="401"/>
      <c r="MP236" s="286"/>
      <c r="MQ236" s="286"/>
      <c r="MR236" s="402"/>
      <c r="MS236" s="400"/>
      <c r="NH236" s="422"/>
      <c r="NJ236" s="421"/>
    </row>
    <row r="237" spans="1:374" s="1" customFormat="1" ht="16.5">
      <c r="A237" s="403">
        <v>46039</v>
      </c>
      <c r="B237" s="404" t="s">
        <v>1018</v>
      </c>
      <c r="C237" s="405" t="s">
        <v>3978</v>
      </c>
      <c r="D237" s="406">
        <v>130</v>
      </c>
      <c r="E237" s="404">
        <v>555</v>
      </c>
      <c r="F237" s="407">
        <v>26200</v>
      </c>
      <c r="G237" s="407" t="s">
        <v>1019</v>
      </c>
      <c r="H237" s="408" t="s">
        <v>1017</v>
      </c>
      <c r="I237" s="409">
        <v>2.1800000000000002</v>
      </c>
      <c r="J237" s="405" t="s">
        <v>543</v>
      </c>
      <c r="K237" s="404" t="s">
        <v>3979</v>
      </c>
      <c r="L237" s="419" t="str">
        <f t="shared" si="184"/>
        <v>FLINTSL - BLACK</v>
      </c>
      <c r="M237" s="404">
        <v>28</v>
      </c>
      <c r="N237" s="410">
        <f>IF(M237=0,0,IF($LB237=70%,VLOOKUP($L237,'Jan-2026 rates'!$L:$R,4,0),IF($LB237=65%,VLOOKUP($L237,'Jan-2026 rates'!$L:$R,4,0),IF($LB237=40%,VLOOKUP($L237,'Jan-2026 rates'!$L:$R,5,0),IF($LB237=30%,VLOOKUP($L237,'Jan-2026 rates'!$L:$R,6,0),IF($LB237=100%,VLOOKUP($L237,'Jan-2026 rates'!$L:$R,7,0),IF($LB237=60%,VLOOKUP($L237,'Jan-2026 rates'!$L:$S,8,0),IF($LB237=80%,VLOOKUP($L237,'Jan-2026 rates'!L:T,9,0),0))))))))</f>
        <v>0</v>
      </c>
      <c r="O237" s="406"/>
      <c r="P237" s="404"/>
      <c r="Q237" s="410">
        <f>IF(P237=0,0,IF($LB237=70%,VLOOKUP($L237,'Jan-2026 rates'!$L:$R,4,0),IF($LB237=65%,VLOOKUP($L237,'Jan-2026 rates'!$L:$R,4,0),IF($LB237=40%,VLOOKUP($L237,'Jan-2026 rates'!$L:$R,5,0),IF($LB237=30%,VLOOKUP($L237,'Jan-2026 rates'!$L:$R,6,0),IF($LB237=100%,VLOOKUP($L237,'Jan-2026 rates'!$L:$R,7,0),IF($LB237=60%,VLOOKUP($L237,'Jan-2026 rates'!$L:$S,8,0),IF($LB237=80%,VLOOKUP($L237,'Jan-2026 rates'!L:T,9,0),0))))))))</f>
        <v>0</v>
      </c>
      <c r="R237" s="406" t="s">
        <v>1266</v>
      </c>
      <c r="S237" s="406"/>
      <c r="T237" s="406"/>
      <c r="U237" s="406"/>
      <c r="V237" s="406"/>
      <c r="W237" s="406"/>
      <c r="X237" s="406"/>
      <c r="Y237" s="406"/>
      <c r="Z237" s="404">
        <v>5</v>
      </c>
      <c r="AA237" s="398">
        <f>IF(Z237=0,0,IF(LEN(R237)=11,_xlfn.XLOOKUP(R237,'Dispensed Ink Rates'!C:C,'Dispensed Ink Rates'!CS:CS),VLOOKUP(R237,'Jan-2026 rates'!$E:$F,2,0)))</f>
        <v>0</v>
      </c>
      <c r="AB237" s="404"/>
      <c r="AC237" s="398">
        <f>IF(AB237=0,0,IF(LEN(S237)=11,_xlfn.XLOOKUP(S237,'Dispensed Ink Rates'!C:C,'Dispensed Ink Rates'!CS:CS),VLOOKUP(S237,'Jan-2026 rates'!$E:$F,2,0)))</f>
        <v>0</v>
      </c>
      <c r="AD237" s="404"/>
      <c r="AE237" s="398">
        <f>IF(AD237=0,0,IF(LEN(T237)=11,_xlfn.XLOOKUP(T237,'Dispensed Ink Rates'!C:C,'Dispensed Ink Rates'!CS:CS),VLOOKUP(T237,'Jan-2026 rates'!$E:$F,2,0)))</f>
        <v>0</v>
      </c>
      <c r="AF237" s="404"/>
      <c r="AG237" s="398">
        <f>IF(AF237=0,0,IF(LEN(U237)=11,_xlfn.XLOOKUP(U237,'Dispensed Ink Rates'!C:C,'Dispensed Ink Rates'!CS:CS),VLOOKUP(U237,'Jan-2026 rates'!$E:$F,2,0)))</f>
        <v>0</v>
      </c>
      <c r="AH237" s="404"/>
      <c r="AI237" s="398">
        <f>IF(AH237=0,0,IF(LEN(V237)=11,_xlfn.XLOOKUP(V237,'Dispensed Ink Rates'!C:C,'Dispensed Ink Rates'!CS:CS),VLOOKUP(V237,'Jan-2026 rates'!$E:$F,2,0)))</f>
        <v>0</v>
      </c>
      <c r="AJ237" s="404"/>
      <c r="AK237" s="398">
        <f>IF(AJ237=0,0,IF(LEN(W237)=11,_xlfn.XLOOKUP(W237,'Dispensed Ink Rates'!C:C,'Dispensed Ink Rates'!CS:CS),VLOOKUP(W237,'Jan-2026 rates'!$E:$F,2,0)))</f>
        <v>0</v>
      </c>
      <c r="AL237" s="404"/>
      <c r="AM237" s="398">
        <f>IF(AL237=0,0,IF(LEN(X237)=11,_xlfn.XLOOKUP(X237,'Dispensed Ink Rates'!C:C,'Dispensed Ink Rates'!CS:CS),VLOOKUP(X237,'Jan-2026 rates'!$E:$F,2,0)))</f>
        <v>0</v>
      </c>
      <c r="AN237" s="404"/>
      <c r="AO237" s="398">
        <f>IF(AN237=0,0,IF(LEN(Y237)=11,_xlfn.XLOOKUP(Y237,'Dispensed Ink Rates'!C:C,'Dispensed Ink Rates'!CS:CS),VLOOKUP(Y237,'Jan-2026 rates'!$E:$F,2,0)))</f>
        <v>0</v>
      </c>
      <c r="AP237" s="409" t="s">
        <v>1443</v>
      </c>
      <c r="AQ237" s="409">
        <v>30</v>
      </c>
      <c r="AR237" s="410">
        <f t="shared" si="159"/>
        <v>0</v>
      </c>
      <c r="AS237" s="411">
        <f t="shared" si="160"/>
        <v>14.829268292682926</v>
      </c>
      <c r="AT237" s="410">
        <f t="shared" si="161"/>
        <v>0</v>
      </c>
      <c r="AU237" s="405" t="s">
        <v>857</v>
      </c>
      <c r="AV237" s="409" t="s">
        <v>3980</v>
      </c>
      <c r="AW237" s="420" t="str">
        <f t="shared" si="183"/>
        <v>FLINTSL - RED</v>
      </c>
      <c r="AX237" s="409">
        <v>15</v>
      </c>
      <c r="AY237" s="411">
        <f>IF(AX237=0,0,IF($LB237=70%,VLOOKUP($AW237,'Jan-2026 rates'!$L:$R,4,0),IF($LB237=65%,VLOOKUP($AW237,'Jan-2026 rates'!$L:$R,4,0),IF($LB237=40%,VLOOKUP($AW237,'Jan-2026 rates'!$L:$R,5,0),IF($LB237=30%,VLOOKUP($AW237,'Jan-2026 rates'!$L:$R,6,0),IF($LB237=100%,VLOOKUP($AW237,'Jan-2026 rates'!$L:$R,7,0),IF($LB237=60%,VLOOKUP($AW237,'Jan-2026 rates'!$L:$S,8,0),IF($LB237=80%,VLOOKUP($AW237,'Jan-2026 rates'!L:T,9,0),0))))))))</f>
        <v>0</v>
      </c>
      <c r="AZ237" s="412"/>
      <c r="BA237" s="409"/>
      <c r="BB237" s="411">
        <f>IF(BA237=0,0,IF($LB237=70%,VLOOKUP($AW237,'Jan-2026 rates'!$L:$R,4,0),IF($LB237=65%,VLOOKUP($AW237,'Jan-2026 rates'!$L:$R,4,0),IF($LB237=40%,VLOOKUP($AW237,'Jan-2026 rates'!$L:$R,5,0),IF($LB237=30%,VLOOKUP($AW237,'Jan-2026 rates'!$L:$R,6,0),IF($LB237=100%,VLOOKUP($AW237,'Jan-2026 rates'!$L:$R,7,0),IF($LB237=60%,VLOOKUP($AW237,'Jan-2026 rates'!$L:$S,8,0),IF($LB237=80%,VLOOKUP($AW237,'Jan-2026 rates'!L:T,9,0),0))))))))</f>
        <v>0</v>
      </c>
      <c r="BC237" s="413" t="s">
        <v>1266</v>
      </c>
      <c r="BD237" s="412">
        <v>26520000008</v>
      </c>
      <c r="BE237" s="412">
        <v>26519000029</v>
      </c>
      <c r="BF237" s="413"/>
      <c r="BG237" s="412"/>
      <c r="BH237" s="412"/>
      <c r="BI237" s="412"/>
      <c r="BJ237" s="412"/>
      <c r="BK237" s="409">
        <v>7</v>
      </c>
      <c r="BL237" s="398">
        <f>IF(BK237=0,0,IF(LEN(BC237)=11,_xlfn.XLOOKUP(BC237,'Dispensed Ink Rates'!C:C,'Dispensed Ink Rates'!CS:CS),VLOOKUP(BC237,'Jan-2026 rates'!$E:$F,2,0)))</f>
        <v>0</v>
      </c>
      <c r="BM237" s="409">
        <v>2</v>
      </c>
      <c r="BN237" s="398" t="e">
        <f>IF(BM237=0,0,IF(LEN(BD237)=11,_xlfn.XLOOKUP(BD237,'Dispensed Ink Rates'!C:C,'Dispensed Ink Rates'!CS:CS),VLOOKUP(BD237,'Jan-2026 rates'!$E:$F,2,0)))</f>
        <v>#N/A</v>
      </c>
      <c r="BO237" s="409"/>
      <c r="BP237" s="398">
        <f>IF(BO237=0,0,IF(LEN(BE237)=11,_xlfn.XLOOKUP(BE237,'Dispensed Ink Rates'!C:C,'Dispensed Ink Rates'!CS:CS),VLOOKUP(BE237,'Jan-2026 rates'!$E:$F,2,0)))</f>
        <v>0</v>
      </c>
      <c r="BQ237" s="409"/>
      <c r="BR237" s="398">
        <f>IF(BQ237=0,0,IF(LEN(BF237)=11,_xlfn.XLOOKUP(BF237,'Dispensed Ink Rates'!C:C,'Dispensed Ink Rates'!CS:CS),VLOOKUP(BF237,'Jan-2026 rates'!$E:$F,2,0)))</f>
        <v>0</v>
      </c>
      <c r="BS237" s="409"/>
      <c r="BT237" s="398">
        <f>IF(BS237=0,0,IF(LEN(BG237)=11,_xlfn.XLOOKUP(BG237,'Dispensed Ink Rates'!C:C,'Dispensed Ink Rates'!CS:CS),VLOOKUP(BG237,'Jan-2026 rates'!$E:$F,2,0)))</f>
        <v>0</v>
      </c>
      <c r="BU237" s="409"/>
      <c r="BV237" s="398">
        <f>IF(BU237=0,0,IF(LEN(BH237)=11,_xlfn.XLOOKUP(BH237,'Dispensed Ink Rates'!C:C,'Dispensed Ink Rates'!CS:CS),VLOOKUP(BH237,'Jan-2026 rates'!$E:$F,2,0)))</f>
        <v>0</v>
      </c>
      <c r="BW237" s="409"/>
      <c r="BX237" s="398">
        <f>IF(BW237=0,0,IF(LEN(BI237)=11,_xlfn.XLOOKUP(BI237,'Dispensed Ink Rates'!C:C,'Dispensed Ink Rates'!CS:CS),VLOOKUP(BI237,'Jan-2026 rates'!$E:$F,2,0)))</f>
        <v>0</v>
      </c>
      <c r="BY237" s="409"/>
      <c r="BZ237" s="398">
        <f>IF(BY237=0,0,IF(LEN(BJ237)=11,_xlfn.XLOOKUP(BJ237,'Dispensed Ink Rates'!C:C,'Dispensed Ink Rates'!CS:CS),VLOOKUP(BJ237,'Jan-2026 rates'!$E:$F,2,0)))</f>
        <v>0</v>
      </c>
      <c r="CA237" s="409" t="s">
        <v>1443</v>
      </c>
      <c r="CB237" s="409">
        <v>27</v>
      </c>
      <c r="CC237" s="411">
        <f t="shared" si="162"/>
        <v>0</v>
      </c>
      <c r="CD237" s="411">
        <f t="shared" si="163"/>
        <v>20.658536585365852</v>
      </c>
      <c r="CE237" s="410">
        <f t="shared" si="164"/>
        <v>0</v>
      </c>
      <c r="CF237" s="404" t="s">
        <v>855</v>
      </c>
      <c r="CG237" s="409" t="s">
        <v>3981</v>
      </c>
      <c r="CH237" s="420" t="str">
        <f t="shared" si="185"/>
        <v>FLINTSL - CYAN</v>
      </c>
      <c r="CI237" s="409">
        <v>27</v>
      </c>
      <c r="CJ237" s="411">
        <f>IF(CI237=0,0,IF($LB237=70%,VLOOKUP($CH237,'Jan-2026 rates'!$L:$R,4,0),IF($LB237=65%,VLOOKUP($CH237,'Jan-2026 rates'!$L:$R,4,0),IF($LB237=40%,VLOOKUP($CH237,'Jan-2026 rates'!$L:$R,5,0),IF($LB237=30%,VLOOKUP($CH237,'Jan-2026 rates'!$L:$R,6,0),IF($LB237=100%,VLOOKUP($CH237,'Jan-2026 rates'!$L:$R,7,0),IF($LB237=60%,VLOOKUP($CH237,'Jan-2026 rates'!$L:$S,8,0),IF($LB237=80%,VLOOKUP($CH237,'Jan-2026 rates'!L:T,9,0),0))))))))</f>
        <v>0</v>
      </c>
      <c r="CK237" s="412"/>
      <c r="CL237" s="409"/>
      <c r="CM237" s="411">
        <f>IF(CL237=0,0,IF($LB237=70%,VLOOKUP($CH237,'Jan-2026 rates'!$L:$R,4,0),IF($LB237=65%,VLOOKUP($CH237,'Jan-2026 rates'!$L:$R,4,0),IF($LB237=40%,VLOOKUP($CH237,'Jan-2026 rates'!$L:$R,5,0),IF($LB237=30%,VLOOKUP($CH237,'Jan-2026 rates'!$L:$R,6,0),IF($LB237=100%,VLOOKUP($CH237,'Jan-2026 rates'!$L:$R,7,0),IF($LB237=60%,VLOOKUP($CH237,'Jan-2026 rates'!$L:$S,8,0),IF($LB237=80%,VLOOKUP($CH237,'Jan-2026 rates'!L:T,9,0),0))))))))</f>
        <v>0</v>
      </c>
      <c r="CN237" s="426" t="s">
        <v>1266</v>
      </c>
      <c r="CO237" s="427">
        <v>26516000006</v>
      </c>
      <c r="CP237" s="426"/>
      <c r="CQ237" s="426"/>
      <c r="CR237" s="428"/>
      <c r="CS237" s="428"/>
      <c r="CT237" s="428"/>
      <c r="CU237" s="428"/>
      <c r="CV237" s="409">
        <v>7</v>
      </c>
      <c r="CW237" s="398">
        <f>IF(CV237=0,0,IF(LEN(CN237)=11,_xlfn.XLOOKUP(CN237,'Dispensed Ink Rates'!C:C,'Dispensed Ink Rates'!CS:CS),VLOOKUP(CN237,'Jan-2026 rates'!$E:$F,2,0)))</f>
        <v>0</v>
      </c>
      <c r="CX237" s="409">
        <v>2</v>
      </c>
      <c r="CY237" s="398" t="e">
        <f>IF(CX237=0,0,IF(LEN(CO237)=11,_xlfn.XLOOKUP(CO237,'Dispensed Ink Rates'!C:C,'Dispensed Ink Rates'!CS:CS),VLOOKUP(CO237,'Jan-2026 rates'!$E:$F,2,0)))</f>
        <v>#N/A</v>
      </c>
      <c r="CZ237" s="409"/>
      <c r="DA237" s="398">
        <f>IF(CZ237=0,0,IF(LEN(CP237)=11,_xlfn.XLOOKUP(CP237,'Dispensed Ink Rates'!C:C,'Dispensed Ink Rates'!CS:CS),VLOOKUP(CP237,'Jan-2026 rates'!$E:$F,2,0)))</f>
        <v>0</v>
      </c>
      <c r="DB237" s="409"/>
      <c r="DC237" s="398">
        <f>IF(DB237=0,0,IF(LEN(CQ237)=11,_xlfn.XLOOKUP(CQ237,'Dispensed Ink Rates'!C:C,'Dispensed Ink Rates'!CS:CS),VLOOKUP(CQ237,'Jan-2026 rates'!$E:$F,2,0)))</f>
        <v>0</v>
      </c>
      <c r="DD237" s="409"/>
      <c r="DE237" s="398">
        <f>IF(DD237=0,0,IF(LEN(CR237)=11,_xlfn.XLOOKUP(CR237,'Dispensed Ink Rates'!C:C,'Dispensed Ink Rates'!CS:CS),VLOOKUP(CR237,'Jan-2026 rates'!$E:$F,2,0)))</f>
        <v>0</v>
      </c>
      <c r="DF237" s="409"/>
      <c r="DG237" s="398">
        <f>IF(DF237=0,0,IF(LEN(CS237)=11,_xlfn.XLOOKUP(CS237,'Dispensed Ink Rates'!C:C,'Dispensed Ink Rates'!CS:CS),VLOOKUP(CS237,'Jan-2026 rates'!$E:$F,2,0)))</f>
        <v>0</v>
      </c>
      <c r="DH237" s="409"/>
      <c r="DI237" s="398">
        <f>IF(DH237=0,0,IF(LEN(CT237)=11,_xlfn.XLOOKUP(CT237,'Dispensed Ink Rates'!C:C,'Dispensed Ink Rates'!CS:CS),VLOOKUP(CT237,'Jan-2026 rates'!$E:$F,2,0)))</f>
        <v>0</v>
      </c>
      <c r="DJ237" s="409"/>
      <c r="DK237" s="398">
        <f>IF(DJ237=0,0,IF(LEN(CU237)=11,_xlfn.XLOOKUP(CU237,'Dispensed Ink Rates'!C:C,'Dispensed Ink Rates'!CS:CS),VLOOKUP(CU237,'Jan-2026 rates'!$E:$F,2,0)))</f>
        <v>0</v>
      </c>
      <c r="DL237" s="409" t="s">
        <v>1443</v>
      </c>
      <c r="DM237" s="409">
        <v>34</v>
      </c>
      <c r="DN237" s="411">
        <f t="shared" si="165"/>
        <v>0</v>
      </c>
      <c r="DO237" s="411">
        <f t="shared" si="166"/>
        <v>13.829268292682926</v>
      </c>
      <c r="DP237" s="410">
        <f t="shared" si="167"/>
        <v>0</v>
      </c>
      <c r="DQ237" s="405" t="s">
        <v>544</v>
      </c>
      <c r="DR237" s="409" t="s">
        <v>3982</v>
      </c>
      <c r="DS237" s="420" t="str">
        <f t="shared" si="186"/>
        <v>FLINTSL - MAGENTA</v>
      </c>
      <c r="DT237" s="409">
        <v>26</v>
      </c>
      <c r="DU237" s="411">
        <f>IF(DT237=0,0,IF($LB237=70%,VLOOKUP($DS237,'Jan-2026 rates'!$L:$R,4,0),IF($LB237=65%,VLOOKUP($DS237,'Jan-2026 rates'!$L:$R,4,0),IF($LB237=40%,VLOOKUP($DS237,'Jan-2026 rates'!$L:$R,5,0),IF($LB237=30%,VLOOKUP($DS237,'Jan-2026 rates'!$L:$R,6,0),IF($LB237=100%,VLOOKUP($DS237,'Jan-2026 rates'!$L:$R,7,0),IF($LB237=60%,VLOOKUP($DS237,'Jan-2026 rates'!$L:$S,8,0),IF($LB237=80%,VLOOKUP($DS237,'Jan-2026 rates'!L:T,9,0),0))))))))</f>
        <v>0</v>
      </c>
      <c r="DV237" s="412"/>
      <c r="DW237" s="409"/>
      <c r="DX237" s="411">
        <f>IF(DW237=0,0,IF($LB237=70%,VLOOKUP($DS237,'Jan-2026 rates'!$L:$R,4,0),IF($LB237=65%,VLOOKUP($DS237,'Jan-2026 rates'!$L:$R,4,0),IF($LB237=40%,VLOOKUP($DS237,'Jan-2026 rates'!$L:$R,5,0),IF($LB237=30%,VLOOKUP($DS237,'Jan-2026 rates'!$L:$R,6,0),IF($LB237=100%,VLOOKUP($DS237,'Jan-2026 rates'!$L:$R,7,0),IF($LB237=60%,VLOOKUP($DS237,'Jan-2026 rates'!$L:$S,8,0),IF($LB237=80%,VLOOKUP($DS237,'Jan-2026 rates'!L:T,9,0),0))))))))</f>
        <v>0</v>
      </c>
      <c r="DY237" s="413">
        <v>26518000009</v>
      </c>
      <c r="DZ237" s="413" t="s">
        <v>1266</v>
      </c>
      <c r="EA237" s="412"/>
      <c r="EB237" s="412"/>
      <c r="EC237" s="412"/>
      <c r="ED237" s="412"/>
      <c r="EE237" s="412"/>
      <c r="EF237" s="412"/>
      <c r="EG237" s="409">
        <v>4</v>
      </c>
      <c r="EH237" s="398" t="e">
        <f>IF(EG237=0,0,IF(LEN(DY237)=11,_xlfn.XLOOKUP(DY237,'Dispensed Ink Rates'!C:C,'Dispensed Ink Rates'!CS:CS),VLOOKUP(DY237,'Jan-2026 rates'!$E:$F,2,0)))</f>
        <v>#N/A</v>
      </c>
      <c r="EI237" s="409">
        <v>10</v>
      </c>
      <c r="EJ237" s="398">
        <f>IF(EI237=0,0,IF(LEN(DZ237)=11,_xlfn.XLOOKUP(DZ237,'Dispensed Ink Rates'!C:C,'Dispensed Ink Rates'!CS:CS),VLOOKUP(DZ237,'Jan-2026 rates'!$E:$F,2,0)))</f>
        <v>0</v>
      </c>
      <c r="EK237" s="409"/>
      <c r="EL237" s="398">
        <f>IF(EK237=0,0,IF(LEN(EA237)=11,_xlfn.XLOOKUP(EA237,'Dispensed Ink Rates'!C:C,'Dispensed Ink Rates'!CS:CS),VLOOKUP(EA237,'Jan-2026 rates'!$E:$F,2,0)))</f>
        <v>0</v>
      </c>
      <c r="EM237" s="409"/>
      <c r="EN237" s="398">
        <f>IF(EM237=0,0,IF(LEN(EB237)=11,_xlfn.XLOOKUP(EB237,'Dispensed Ink Rates'!C:C,'Dispensed Ink Rates'!CS:CS),VLOOKUP(EB237,'Jan-2026 rates'!$E:$F,2,0)))</f>
        <v>0</v>
      </c>
      <c r="EO237" s="409"/>
      <c r="EP237" s="398">
        <f>IF(EO237=0,0,IF(LEN(EC237)=11,_xlfn.XLOOKUP(EC237,'Dispensed Ink Rates'!C:C,'Dispensed Ink Rates'!CS:CS),VLOOKUP(EC237,'Jan-2026 rates'!$E:$F,2,0)))</f>
        <v>0</v>
      </c>
      <c r="EQ237" s="409"/>
      <c r="ER237" s="398">
        <f>IF(EQ237=0,0,IF(LEN(ED237)=11,_xlfn.XLOOKUP(ED237,'Dispensed Ink Rates'!C:C,'Dispensed Ink Rates'!CS:CS),VLOOKUP(ED237,'Jan-2026 rates'!$E:$F,2,0)))</f>
        <v>0</v>
      </c>
      <c r="ES237" s="409"/>
      <c r="ET237" s="398">
        <f>IF(ES237=0,0,IF(LEN(EE237)=11,_xlfn.XLOOKUP(EE237,'Dispensed Ink Rates'!C:C,'Dispensed Ink Rates'!CS:CS),VLOOKUP(EE237,'Jan-2026 rates'!$E:$F,2,0)))</f>
        <v>0</v>
      </c>
      <c r="EU237" s="409"/>
      <c r="EV237" s="398">
        <f>IF(EU237=0,0,IF(LEN(EF237)=11,_xlfn.XLOOKUP(EF237,'Dispensed Ink Rates'!C:C,'Dispensed Ink Rates'!CS:CS),VLOOKUP(EF237,'Jan-2026 rates'!$E:$F,2,0)))</f>
        <v>0</v>
      </c>
      <c r="EW237" s="409" t="s">
        <v>1443</v>
      </c>
      <c r="EX237" s="409">
        <v>35</v>
      </c>
      <c r="EY237" s="411">
        <f t="shared" si="168"/>
        <v>0</v>
      </c>
      <c r="EZ237" s="411">
        <f t="shared" si="169"/>
        <v>28.658536585365852</v>
      </c>
      <c r="FA237" s="410">
        <f t="shared" si="170"/>
        <v>0</v>
      </c>
      <c r="FB237" s="405" t="s">
        <v>545</v>
      </c>
      <c r="FC237" s="409" t="s">
        <v>3983</v>
      </c>
      <c r="FD237" s="420" t="str">
        <f t="shared" si="187"/>
        <v>FLINTSL - YELLOW</v>
      </c>
      <c r="FE237" s="409">
        <v>24</v>
      </c>
      <c r="FF237" s="411">
        <f>IF(FE237=0,0,IF($LB237=70%,VLOOKUP($FD237,'Jan-2026 rates'!$L:$R,4,0),IF($LB237=65%,VLOOKUP($FD237,'Jan-2026 rates'!$L:$R,4,0),IF($LB237=40%,VLOOKUP($FD237,'Jan-2026 rates'!$L:$R,5,0),IF($LB237=30%,VLOOKUP($FD237,'Jan-2026 rates'!$L:$R,6,0),IF($LB237=100%,VLOOKUP($FD237,'Jan-2026 rates'!$L:$R,7,0),IF($LB237=60%,VLOOKUP($FD237,'Jan-2026 rates'!$L:$S,8,0),IF($LB237=80%,VLOOKUP($FD237,'Jan-2026 rates'!L:T,9,0),0))))))))</f>
        <v>0</v>
      </c>
      <c r="FG237" s="412"/>
      <c r="FH237" s="409"/>
      <c r="FI237" s="411">
        <f>IF(FH237=0,0,IF($LB237=70%,VLOOKUP($FD237,'Jan-2026 rates'!$L:$R,4,0),IF($LB237=65%,VLOOKUP($FD237,'Jan-2026 rates'!$L:$R,4,0),IF($LB237=40%,VLOOKUP($FD237,'Jan-2026 rates'!$L:$R,5,0),IF($LB237=30%,VLOOKUP($FD237,'Jan-2026 rates'!$L:$R,6,0),IF($LB237=100%,VLOOKUP($FD237,'Jan-2026 rates'!$L:$R,7,0),IF($LB237=60%,VLOOKUP($FD237,'Jan-2026 rates'!$L:$S,8,0),IF($LB237=80%,VLOOKUP($FD237,'Jan-2026 rates'!L:T,9,0),0))))))))</f>
        <v>0</v>
      </c>
      <c r="FJ237" s="413">
        <v>26517000032</v>
      </c>
      <c r="FK237" s="413" t="s">
        <v>1266</v>
      </c>
      <c r="FL237" s="413"/>
      <c r="FM237" s="412"/>
      <c r="FN237" s="412"/>
      <c r="FO237" s="412"/>
      <c r="FP237" s="412"/>
      <c r="FQ237" s="412"/>
      <c r="FR237" s="409">
        <v>10</v>
      </c>
      <c r="FS237" s="398" t="e">
        <f>IF(FR237=0,0,IF(LEN(FJ237)=11,_xlfn.XLOOKUP(FJ237,'Dispensed Ink Rates'!C:C,'Dispensed Ink Rates'!CS:CS),VLOOKUP(FJ237,'Jan-2026 rates'!$E:$F,2,0)))</f>
        <v>#N/A</v>
      </c>
      <c r="FT237" s="409">
        <v>5</v>
      </c>
      <c r="FU237" s="398">
        <f>IF(FT237=0,0,IF(LEN(FK237)=11,_xlfn.XLOOKUP(FK237,'Dispensed Ink Rates'!C:C,'Dispensed Ink Rates'!CS:CS),VLOOKUP(FK237,'Jan-2026 rates'!$E:$F,2,0)))</f>
        <v>0</v>
      </c>
      <c r="FV237" s="409"/>
      <c r="FW237" s="398">
        <f>IF(FV237=0,0,IF(LEN(FL237)=11,_xlfn.XLOOKUP(FL237,'Dispensed Ink Rates'!C:C,'Dispensed Ink Rates'!CS:CS),VLOOKUP(FL237,'Jan-2026 rates'!$E:$F,2,0)))</f>
        <v>0</v>
      </c>
      <c r="FX237" s="409"/>
      <c r="FY237" s="398">
        <f>IF(FX237=0,0,IF(LEN(FM237)=11,_xlfn.XLOOKUP(FM237,'Dispensed Ink Rates'!C:C,'Dispensed Ink Rates'!CS:CS),VLOOKUP(FM237,'Jan-2026 rates'!$E:$F,2,0)))</f>
        <v>0</v>
      </c>
      <c r="FZ237" s="409"/>
      <c r="GA237" s="398">
        <f>IF(FZ237=0,0,IF(LEN(FN237)=11,_xlfn.XLOOKUP(FN237,'Dispensed Ink Rates'!C:C,'Dispensed Ink Rates'!CS:CS),VLOOKUP(FN237,'Jan-2026 rates'!$E:$F,2,0)))</f>
        <v>0</v>
      </c>
      <c r="GB237" s="409"/>
      <c r="GC237" s="398">
        <f>IF(GB237=0,0,IF(LEN(FO237)=11,_xlfn.XLOOKUP(FO237,'Dispensed Ink Rates'!C:C,'Dispensed Ink Rates'!CS:CS),VLOOKUP(FO237,'Jan-2026 rates'!$E:$F,2,0)))</f>
        <v>0</v>
      </c>
      <c r="GD237" s="409"/>
      <c r="GE237" s="398">
        <f>IF(GD237=0,0,IF(LEN(FP237)=11,_xlfn.XLOOKUP(FP237,'Dispensed Ink Rates'!C:C,'Dispensed Ink Rates'!CS:CS),VLOOKUP(FP237,'Jan-2026 rates'!$E:$F,2,0)))</f>
        <v>0</v>
      </c>
      <c r="GF237" s="409"/>
      <c r="GG237" s="398">
        <f>IF(GF237=0,0,IF(LEN(FQ237)=11,_xlfn.XLOOKUP(FQ237,'Dispensed Ink Rates'!C:C,'Dispensed Ink Rates'!CS:CS),VLOOKUP(FQ237,'Jan-2026 rates'!$E:$F,2,0)))</f>
        <v>0</v>
      </c>
      <c r="GH237" s="409" t="s">
        <v>1443</v>
      </c>
      <c r="GI237" s="409">
        <v>25</v>
      </c>
      <c r="GJ237" s="411">
        <f t="shared" si="171"/>
        <v>0</v>
      </c>
      <c r="GK237" s="411">
        <f t="shared" si="172"/>
        <v>30.560975609756099</v>
      </c>
      <c r="GL237" s="410">
        <f t="shared" si="173"/>
        <v>0</v>
      </c>
      <c r="GM237" s="405" t="s">
        <v>545</v>
      </c>
      <c r="GN237" s="409" t="s">
        <v>3984</v>
      </c>
      <c r="GO237" s="420" t="str">
        <f t="shared" si="188"/>
        <v>FLINTSL - YELLOW</v>
      </c>
      <c r="GP237" s="409">
        <v>27</v>
      </c>
      <c r="GQ237" s="411">
        <f>IF(GP237=0,0,IF($LB237=70%,VLOOKUP($GO237,'Jan-2026 rates'!$L:$R,4,0),IF($LB237=65%,VLOOKUP($GO237,'Jan-2026 rates'!$L:$R,4,0),IF($LB237=40%,VLOOKUP($GO237,'Jan-2026 rates'!$L:$R,5,0),IF($LB237=30%,VLOOKUP($GO237,'Jan-2026 rates'!$L:$R,6,0),IF($LB237=100%,VLOOKUP($GO237,'Jan-2026 rates'!$L:$R,7,0),IF($LB237=60%,VLOOKUP($GO237,'Jan-2026 rates'!$L:$S,8,0),IF($LB237=80%,VLOOKUP($GO237,'Jan-2026 rates'!L:T,9,0),0))))))))</f>
        <v>0</v>
      </c>
      <c r="GR237" s="412"/>
      <c r="GS237" s="409"/>
      <c r="GT237" s="411">
        <f>IF(GS237=0,0,IF($LB237=70%,VLOOKUP($GO237,'Jan-2026 rates'!$L:$R,4,0),IF($LB237=65%,VLOOKUP($GO237,'Jan-2026 rates'!$L:$R,4,0),IF($LB237=40%,VLOOKUP($GO237,'Jan-2026 rates'!$L:$R,5,0),IF($LB237=30%,VLOOKUP($GO237,'Jan-2026 rates'!$L:$R,6,0),IF($LB237=100%,VLOOKUP($GO237,'Jan-2026 rates'!$L:$R,7,0),IF($LB237=60%,VLOOKUP($GO237,'Jan-2026 rates'!$L:$S,8,0),IF($LB237=80%,VLOOKUP($GO237,'Jan-2026 rates'!L:T,9,0),0))))))))</f>
        <v>0</v>
      </c>
      <c r="GU237" s="413">
        <v>26519000012</v>
      </c>
      <c r="GV237" s="413">
        <v>26519000027</v>
      </c>
      <c r="GW237" s="412"/>
      <c r="GX237" s="412"/>
      <c r="GY237" s="412"/>
      <c r="GZ237" s="412"/>
      <c r="HA237" s="412"/>
      <c r="HB237" s="412"/>
      <c r="HC237" s="409">
        <v>80</v>
      </c>
      <c r="HD237" s="398" t="e">
        <f>IF(HC237=0,0,IF(LEN(GU237)=11,_xlfn.XLOOKUP(GU237,'Dispensed Ink Rates'!C:C,'Dispensed Ink Rates'!CS:CS),VLOOKUP(GU237,'Jan-2026 rates'!$E:$F,2,0)))</f>
        <v>#N/A</v>
      </c>
      <c r="HE237" s="409">
        <v>5</v>
      </c>
      <c r="HF237" s="398" t="e">
        <f>IF(HE237=0,0,IF(LEN(GV237)=11,_xlfn.XLOOKUP(GV237,'Dispensed Ink Rates'!C:C,'Dispensed Ink Rates'!CS:CS),VLOOKUP(GV237,'Jan-2026 rates'!$E:$F,2,0)))</f>
        <v>#N/A</v>
      </c>
      <c r="HG237" s="409"/>
      <c r="HH237" s="398">
        <f>IF(HG237=0,0,IF(LEN(GW237)=11,_xlfn.XLOOKUP(GW237,'Dispensed Ink Rates'!C:C,'Dispensed Ink Rates'!CS:CS),VLOOKUP(GW237,'Jan-2026 rates'!$E:$F,2,0)))</f>
        <v>0</v>
      </c>
      <c r="HI237" s="409"/>
      <c r="HJ237" s="398">
        <f>IF(HI237=0,0,IF(LEN(GX237)=11,_xlfn.XLOOKUP(GX237,'Dispensed Ink Rates'!C:C,'Dispensed Ink Rates'!CS:CS),VLOOKUP(GX237,'Jan-2026 rates'!$E:$F,2,0)))</f>
        <v>0</v>
      </c>
      <c r="HK237" s="409"/>
      <c r="HL237" s="398">
        <f>IF(HK237=0,0,IF(LEN(GY237)=11,_xlfn.XLOOKUP(GY237,'Dispensed Ink Rates'!C:C,'Dispensed Ink Rates'!CS:CS),VLOOKUP(GY237,'Jan-2026 rates'!$E:$F,2,0)))</f>
        <v>0</v>
      </c>
      <c r="HM237" s="409"/>
      <c r="HN237" s="398">
        <f>IF(HM237=0,0,IF(LEN(GZ237)=11,_xlfn.XLOOKUP(GZ237,'Dispensed Ink Rates'!C:C,'Dispensed Ink Rates'!CS:CS),VLOOKUP(GZ237,'Jan-2026 rates'!$E:$F,2,0)))</f>
        <v>0</v>
      </c>
      <c r="HO237" s="409"/>
      <c r="HP237" s="398">
        <f>IF(HO237=0,0,IF(LEN(HA237)=11,_xlfn.XLOOKUP(HA237,'Dispensed Ink Rates'!C:C,'Dispensed Ink Rates'!CS:CS),VLOOKUP(HA237,'Jan-2026 rates'!$E:$F,2,0)))</f>
        <v>0</v>
      </c>
      <c r="HQ237" s="409"/>
      <c r="HR237" s="398">
        <f>IF(HQ237=0,0,IF(LEN(HB237)=11,_xlfn.XLOOKUP(HB237,'Dispensed Ink Rates'!C:C,'Dispensed Ink Rates'!CS:CS),VLOOKUP(HB237,'Jan-2026 rates'!$E:$F,2,0)))</f>
        <v>0</v>
      </c>
      <c r="HS237" s="409" t="s">
        <v>1443</v>
      </c>
      <c r="HT237" s="409">
        <v>24</v>
      </c>
      <c r="HU237" s="411">
        <f t="shared" si="174"/>
        <v>0</v>
      </c>
      <c r="HV237" s="411">
        <f t="shared" si="175"/>
        <v>111.65853658536585</v>
      </c>
      <c r="HW237" s="414">
        <f t="shared" si="176"/>
        <v>0</v>
      </c>
      <c r="HX237" s="405" t="s">
        <v>856</v>
      </c>
      <c r="HY237" s="409" t="s">
        <v>3984</v>
      </c>
      <c r="HZ237" s="420" t="str">
        <f t="shared" si="189"/>
        <v>FLINTSL - WHITE</v>
      </c>
      <c r="IA237" s="409">
        <v>27</v>
      </c>
      <c r="IB237" s="411">
        <f>IF(IA237=0,0,IF($LB237=70%,VLOOKUP($HZ237,'Jan-2026 rates'!$L:$R,4,0),IF($LB237=65%,VLOOKUP($HZ237,'Jan-2026 rates'!$L:$R,4,0),IF($LB237=40%,VLOOKUP($HZ237,'Jan-2026 rates'!$L:$R,5,0),IF($LB237=30%,VLOOKUP($HZ237,'Jan-2026 rates'!$L:$R,6,0),IF($LB237=100%,VLOOKUP($HZ237,'Jan-2026 rates'!$L:$R,7,0),IF($LB237=60%,VLOOKUP($HZ237,'Jan-2026 rates'!$L:$S,8,0),IF($LB237=80%,VLOOKUP($HZ237,'Jan-2026 rates'!L:T,9,0),0))))))))</f>
        <v>0</v>
      </c>
      <c r="IC237" s="412"/>
      <c r="ID237" s="409"/>
      <c r="IE237" s="411">
        <f>IF(ID237=0,0,IF($LB237=70%,VLOOKUP($HZ237,'Jan-2026 rates'!$L:$R,4,0),IF($LB237=65%,VLOOKUP($HZ237,'Jan-2026 rates'!$L:$R,4,0),IF($LB237=40%,VLOOKUP($HZ237,'Jan-2026 rates'!$L:$R,5,0),IF($LB237=30%,VLOOKUP($HZ237,'Jan-2026 rates'!$L:$R,6,0),IF($LB237=100%,VLOOKUP($HZ237,'Jan-2026 rates'!$L:$R,7,0),IF($LB237=60%,VLOOKUP($HZ237,'Jan-2026 rates'!$L:$S,8,0),IF($LB237=80%,VLOOKUP($HZ237,'Jan-2026 rates'!L:T,9,0),0))))))))</f>
        <v>0</v>
      </c>
      <c r="IF237" s="412" t="s">
        <v>484</v>
      </c>
      <c r="IG237" s="413"/>
      <c r="IH237" s="412"/>
      <c r="II237" s="412"/>
      <c r="IJ237" s="412"/>
      <c r="IK237" s="412"/>
      <c r="IL237" s="412"/>
      <c r="IM237" s="412"/>
      <c r="IN237" s="409">
        <v>70</v>
      </c>
      <c r="IO237" s="398">
        <f>IF(IN237=0,0,IF(LEN(IF237)=11,_xlfn.XLOOKUP(IF237,'Dispensed Ink Rates'!C:C,'Dispensed Ink Rates'!CS:CS),VLOOKUP(IF237,'Jan-2026 rates'!$E:$F,2,0)))</f>
        <v>0</v>
      </c>
      <c r="IP237" s="409"/>
      <c r="IQ237" s="398">
        <f>IF(IP237=0,0,IF(LEN(IG237)=11,_xlfn.XLOOKUP(IG237,'Dispensed Ink Rates'!C:C,'Dispensed Ink Rates'!CS:CS),VLOOKUP(IG237,'Jan-2026 rates'!$E:$F,2,0)))</f>
        <v>0</v>
      </c>
      <c r="IR237" s="409"/>
      <c r="IS237" s="398">
        <f>IF(IR237=0,0,IF(LEN(IH237)=11,_xlfn.XLOOKUP(IH237,'Dispensed Ink Rates'!C:C,'Dispensed Ink Rates'!CS:CS),VLOOKUP(IH237,'Jan-2026 rates'!$E:$F,2,0)))</f>
        <v>0</v>
      </c>
      <c r="IT237" s="409"/>
      <c r="IU237" s="398">
        <f>IF(IT237=0,0,IF(LEN(II237)=11,_xlfn.XLOOKUP(II237,'Dispensed Ink Rates'!C:C,'Dispensed Ink Rates'!CS:CS),VLOOKUP(II237,'Jan-2026 rates'!$E:$F,2,0)))</f>
        <v>0</v>
      </c>
      <c r="IV237" s="409"/>
      <c r="IW237" s="398">
        <f>IF(IV237=0,0,IF(LEN(IJ237)=11,_xlfn.XLOOKUP(IJ237,'Dispensed Ink Rates'!C:C,'Dispensed Ink Rates'!CS:CS),VLOOKUP(IJ237,'Jan-2026 rates'!$E:$F,2,0)))</f>
        <v>0</v>
      </c>
      <c r="IX237" s="409"/>
      <c r="IY237" s="398">
        <f>IF(IX237=0,0,IF(LEN(IK237)=11,_xlfn.XLOOKUP(IK237,'Dispensed Ink Rates'!C:C,'Dispensed Ink Rates'!CS:CS),VLOOKUP(IK237,'Jan-2026 rates'!$E:$F,2,0)))</f>
        <v>0</v>
      </c>
      <c r="IZ237" s="409"/>
      <c r="JA237" s="398">
        <f>IF(IZ237=0,0,IF(LEN(IL237)=11,_xlfn.XLOOKUP(IL237,'Dispensed Ink Rates'!C:C,'Dispensed Ink Rates'!CS:CS),VLOOKUP(IL237,'Jan-2026 rates'!$E:$F,2,0)))</f>
        <v>0</v>
      </c>
      <c r="JB237" s="409"/>
      <c r="JC237" s="398">
        <f>IF(JB237=0,0,IF(LEN(IM237)=11,_xlfn.XLOOKUP(IM237,'Dispensed Ink Rates'!C:C,'Dispensed Ink Rates'!CS:CS),VLOOKUP(IM237,'Jan-2026 rates'!$E:$F,2,0)))</f>
        <v>0</v>
      </c>
      <c r="JD237" s="409" t="s">
        <v>1443</v>
      </c>
      <c r="JE237" s="409">
        <v>30</v>
      </c>
      <c r="JF237" s="411">
        <f t="shared" si="177"/>
        <v>0</v>
      </c>
      <c r="JG237" s="411">
        <f t="shared" si="178"/>
        <v>149.80487804878049</v>
      </c>
      <c r="JH237" s="410">
        <f t="shared" si="179"/>
        <v>0</v>
      </c>
      <c r="JI237" s="405"/>
      <c r="JJ237" s="409"/>
      <c r="JK237" s="420" t="str">
        <f t="shared" si="190"/>
        <v xml:space="preserve"> - </v>
      </c>
      <c r="JL237" s="409"/>
      <c r="JM237" s="411">
        <f>IF(JL237=0,0,IF($LB237=70%,VLOOKUP($JK237,'Jan-2026 rates'!$L:$R,4,0),IF($LB237=65%,VLOOKUP($JK237,'Jan-2026 rates'!$L:$R,4,0),IF($LB237=40%,VLOOKUP($JK237,'Jan-2026 rates'!$L:$R,5,0),IF($LB237=30%,VLOOKUP($JK237,'Jan-2026 rates'!$L:$R,6,0),IF($LB237=100%,VLOOKUP($JK237,'Jan-2026 rates'!$L:$R,7,0),IF($LB237=60%,VLOOKUP($JK237,'Jan-2026 rates'!$L:$S,8,0),IF($LB237=80%,VLOOKUP($JK237,'Jan-2026 rates'!L:T,9,0),0))))))))</f>
        <v>0</v>
      </c>
      <c r="JN237" s="412"/>
      <c r="JO237" s="409"/>
      <c r="JP237" s="411">
        <f>IF(JO237=0,0,IF($LB237=70%,VLOOKUP($JK237,'Jan-2026 rates'!$L:$R,4,0),IF($LB237=65%,VLOOKUP($JK237,'Jan-2026 rates'!$L:$R,4,0),IF($LB237=40%,VLOOKUP($JK237,'Jan-2026 rates'!$L:$R,5,0),IF($LB237=30%,VLOOKUP($JK237,'Jan-2026 rates'!$L:$R,6,0),IF($LB237=100%,VLOOKUP($JK237,'Jan-2026 rates'!$L:$R,7,0),IF($LB237=60%,VLOOKUP($JK237,'Jan-2026 rates'!$L:$S,8,0),IF($LB237=80%,VLOOKUP($JK237,'Jan-2026 rates'!L:T,9,0),0))))))))</f>
        <v>0</v>
      </c>
      <c r="JQ237" s="413"/>
      <c r="JR237" s="412"/>
      <c r="JS237" s="413"/>
      <c r="JT237" s="413"/>
      <c r="JU237" s="412"/>
      <c r="JV237" s="412"/>
      <c r="JW237" s="412"/>
      <c r="JX237" s="412"/>
      <c r="JY237" s="409"/>
      <c r="JZ237" s="398">
        <f>IF(JY237=0,0,IF(LEN(JQ237)=11,_xlfn.XLOOKUP(JQ237,'Dispensed Ink Rates'!C:C,'Dispensed Ink Rates'!CS:CS),VLOOKUP(JQ237,'Jan-2026 rates'!$E:$F,2,0)))</f>
        <v>0</v>
      </c>
      <c r="KA237" s="409"/>
      <c r="KB237" s="398">
        <f>IF(KA237=0,0,IF(LEN(JR237)=11,_xlfn.XLOOKUP(JR237,'Dispensed Ink Rates'!C:C,'Dispensed Ink Rates'!CS:CS),VLOOKUP(JR237,'Jan-2026 rates'!$E:$F,2,0)))</f>
        <v>0</v>
      </c>
      <c r="KC237" s="409"/>
      <c r="KD237" s="398">
        <f>IF(KC237=0,0,IF(LEN(JS237)=11,_xlfn.XLOOKUP(JS237,'Dispensed Ink Rates'!C:C,'Dispensed Ink Rates'!CS:CS),VLOOKUP(JS237,'Jan-2026 rates'!$E:$F,2,0)))</f>
        <v>0</v>
      </c>
      <c r="KE237" s="409"/>
      <c r="KF237" s="398">
        <f>IF(KE237=0,0,IF(LEN(JT237)=11,_xlfn.XLOOKUP(JT237,'Dispensed Ink Rates'!C:C,'Dispensed Ink Rates'!CS:CS),VLOOKUP(JT237,'Jan-2026 rates'!$E:$F,2,0)))</f>
        <v>0</v>
      </c>
      <c r="KG237" s="409"/>
      <c r="KH237" s="398">
        <f>IF(KG237=0,0,IF(LEN(JU237)=11,_xlfn.XLOOKUP(JU237,'Dispensed Ink Rates'!C:C,'Dispensed Ink Rates'!CS:CS),VLOOKUP(JU237,'Jan-2026 rates'!$E:$F,2,0)))</f>
        <v>0</v>
      </c>
      <c r="KI237" s="409"/>
      <c r="KJ237" s="398">
        <f>IF(KI237=0,0,IF(LEN(JV237)=11,_xlfn.XLOOKUP(JV237,'Dispensed Ink Rates'!C:C,'Dispensed Ink Rates'!CS:CS),VLOOKUP(JV237,'Jan-2026 rates'!$E:$F,2,0)))</f>
        <v>0</v>
      </c>
      <c r="KK237" s="409"/>
      <c r="KL237" s="398">
        <f>IF(KK237=0,0,IF(LEN(JW237)=11,_xlfn.XLOOKUP(JW237,'Dispensed Ink Rates'!C:C,'Dispensed Ink Rates'!CS:CS),VLOOKUP(JW237,'Jan-2026 rates'!$E:$F,2,0)))</f>
        <v>0</v>
      </c>
      <c r="KM237" s="428"/>
      <c r="KN237" s="398">
        <f>IF(KM237=0,0,IF(LEN(JX237)=11,_xlfn.XLOOKUP(JX237,'Dispensed Ink Rates'!C:C,'Dispensed Ink Rates'!CS:CS),VLOOKUP(JX237,'Jan-2026 rates'!$E:$F,2,0)))</f>
        <v>0</v>
      </c>
      <c r="KO237" s="409"/>
      <c r="KP237" s="409"/>
      <c r="KQ237" s="411">
        <f t="shared" si="180"/>
        <v>0</v>
      </c>
      <c r="KR237" s="411">
        <f t="shared" si="181"/>
        <v>0</v>
      </c>
      <c r="KS237" s="410">
        <f t="shared" si="182"/>
        <v>0</v>
      </c>
      <c r="KT237" s="409">
        <v>5</v>
      </c>
      <c r="KU237" s="409">
        <v>10</v>
      </c>
      <c r="KV237" s="409">
        <v>5</v>
      </c>
      <c r="KW237" s="409">
        <v>10</v>
      </c>
      <c r="KX237" s="409">
        <v>7</v>
      </c>
      <c r="KY237" s="409">
        <v>10</v>
      </c>
      <c r="KZ237" s="409">
        <v>35</v>
      </c>
      <c r="LA237" s="409">
        <v>0</v>
      </c>
      <c r="LB237" s="415">
        <v>0.8</v>
      </c>
      <c r="LC237" s="415">
        <v>0.2</v>
      </c>
      <c r="LD237" s="415"/>
      <c r="LE237" s="415"/>
      <c r="LF237" s="415"/>
      <c r="LG237" s="409">
        <v>0</v>
      </c>
      <c r="LH237" s="409">
        <f>35+50+80+20+5+4</f>
        <v>194</v>
      </c>
      <c r="LI237" s="409">
        <v>0</v>
      </c>
      <c r="LJ237" s="409">
        <v>0</v>
      </c>
      <c r="LK237" s="416">
        <f t="shared" si="191"/>
        <v>194</v>
      </c>
      <c r="LL237" s="416">
        <f t="shared" si="192"/>
        <v>194</v>
      </c>
      <c r="LM237" s="417">
        <f t="shared" si="193"/>
        <v>155.20000000000002</v>
      </c>
      <c r="LN237" s="417">
        <f>VLOOKUP($LM$8,'Jan-2026 rates'!$H:$I,2,0)</f>
        <v>0</v>
      </c>
      <c r="LO237" s="417">
        <f t="shared" si="194"/>
        <v>38.800000000000004</v>
      </c>
      <c r="LP237" s="417">
        <f>VLOOKUP($LO$8,'Jan-2026 rates'!$H:$I,2,0)</f>
        <v>0</v>
      </c>
      <c r="LQ237" s="417">
        <f t="shared" si="195"/>
        <v>0</v>
      </c>
      <c r="LR237" s="417">
        <f>VLOOKUP($LQ$8,'Jan-2026 rates'!$H:$I,2,0)</f>
        <v>0</v>
      </c>
      <c r="LS237" s="417">
        <f t="shared" si="196"/>
        <v>0</v>
      </c>
      <c r="LT237" s="417">
        <f>VLOOKUP($LS$8,'Jan-2026 rates'!$H:$I,2,0)</f>
        <v>0</v>
      </c>
      <c r="LU237" s="417">
        <f t="shared" si="197"/>
        <v>0</v>
      </c>
      <c r="LV237" s="417">
        <f>VLOOKUP($LU$8,'Jan-2026 rates'!$H:$I,2,0)</f>
        <v>0</v>
      </c>
      <c r="LW237" s="417">
        <f t="shared" si="198"/>
        <v>0</v>
      </c>
      <c r="LX237" s="417">
        <f t="shared" si="199"/>
        <v>0</v>
      </c>
      <c r="LY237" s="418">
        <f t="shared" si="200"/>
        <v>0</v>
      </c>
      <c r="LZ237" s="417"/>
      <c r="MA237" s="435">
        <f t="shared" si="201"/>
        <v>207</v>
      </c>
      <c r="MB237" s="282">
        <f t="shared" si="202"/>
        <v>370</v>
      </c>
      <c r="MC237" s="283">
        <v>130</v>
      </c>
      <c r="MD237" s="284" t="str">
        <f t="shared" si="203"/>
        <v>FLINTSLFLINTSLFLINTSLFLINTSLFLINTSLFLINTSLFLINTSL</v>
      </c>
      <c r="ME237" s="293" t="str">
        <f t="shared" si="204"/>
        <v>+</v>
      </c>
      <c r="MF237" s="293" t="str">
        <f t="shared" si="205"/>
        <v>+</v>
      </c>
      <c r="MG237" s="293" t="str">
        <f t="shared" si="206"/>
        <v>+</v>
      </c>
      <c r="MH237" s="293" t="str">
        <f t="shared" si="207"/>
        <v>+</v>
      </c>
      <c r="MI237" s="293" t="str">
        <f t="shared" si="208"/>
        <v>+</v>
      </c>
      <c r="MJ237" s="293" t="str">
        <f t="shared" si="209"/>
        <v>+</v>
      </c>
      <c r="MK237" s="293" t="str">
        <f t="shared" si="210"/>
        <v>+</v>
      </c>
      <c r="ML237" s="293" t="str">
        <f t="shared" si="211"/>
        <v>NIL</v>
      </c>
      <c r="MM237" s="3" t="b">
        <f t="array" ref="MM237">OR(ME237:ML237="-")</f>
        <v>0</v>
      </c>
      <c r="MN237" s="285"/>
      <c r="MO237" s="401"/>
      <c r="MP237" s="286"/>
      <c r="MQ237" s="286"/>
      <c r="MR237" s="402"/>
      <c r="MS237" s="400"/>
      <c r="NH237" s="422"/>
      <c r="NJ237" s="421"/>
    </row>
    <row r="238" spans="1:374" s="1" customFormat="1" ht="16.5">
      <c r="A238" s="403">
        <v>46039</v>
      </c>
      <c r="B238" s="404" t="s">
        <v>1018</v>
      </c>
      <c r="C238" s="405" t="s">
        <v>3985</v>
      </c>
      <c r="D238" s="406">
        <v>131</v>
      </c>
      <c r="E238" s="404">
        <v>848</v>
      </c>
      <c r="F238" s="407">
        <v>43300</v>
      </c>
      <c r="G238" s="407" t="s">
        <v>1016</v>
      </c>
      <c r="H238" s="408" t="s">
        <v>1017</v>
      </c>
      <c r="I238" s="409">
        <v>1.82</v>
      </c>
      <c r="J238" s="405" t="s">
        <v>543</v>
      </c>
      <c r="K238" s="404" t="s">
        <v>3986</v>
      </c>
      <c r="L238" s="419" t="str">
        <f t="shared" si="184"/>
        <v>FLINTSL - BLACK</v>
      </c>
      <c r="M238" s="404">
        <v>24</v>
      </c>
      <c r="N238" s="410">
        <f>IF(M238=0,0,IF($LB238=70%,VLOOKUP($L238,'Jan-2026 rates'!$L:$R,4,0),IF($LB238=65%,VLOOKUP($L238,'Jan-2026 rates'!$L:$R,4,0),IF($LB238=40%,VLOOKUP($L238,'Jan-2026 rates'!$L:$R,5,0),IF($LB238=30%,VLOOKUP($L238,'Jan-2026 rates'!$L:$R,6,0),IF($LB238=100%,VLOOKUP($L238,'Jan-2026 rates'!$L:$R,7,0),IF($LB238=60%,VLOOKUP($L238,'Jan-2026 rates'!$L:$S,8,0),IF($LB238=80%,VLOOKUP($L238,'Jan-2026 rates'!L:T,9,0),0))))))))</f>
        <v>0</v>
      </c>
      <c r="O238" s="406"/>
      <c r="P238" s="404"/>
      <c r="Q238" s="410">
        <f>IF(P238=0,0,IF($LB238=70%,VLOOKUP($L238,'Jan-2026 rates'!$L:$R,4,0),IF($LB238=65%,VLOOKUP($L238,'Jan-2026 rates'!$L:$R,4,0),IF($LB238=40%,VLOOKUP($L238,'Jan-2026 rates'!$L:$R,5,0),IF($LB238=30%,VLOOKUP($L238,'Jan-2026 rates'!$L:$R,6,0),IF($LB238=100%,VLOOKUP($L238,'Jan-2026 rates'!$L:$R,7,0),IF($LB238=60%,VLOOKUP($L238,'Jan-2026 rates'!$L:$S,8,0),IF($LB238=80%,VLOOKUP($L238,'Jan-2026 rates'!L:T,9,0),0))))))))</f>
        <v>0</v>
      </c>
      <c r="R238" s="406">
        <v>26518000001</v>
      </c>
      <c r="S238" s="406"/>
      <c r="T238" s="406"/>
      <c r="U238" s="406"/>
      <c r="V238" s="406"/>
      <c r="W238" s="406"/>
      <c r="X238" s="406"/>
      <c r="Y238" s="406"/>
      <c r="Z238" s="404">
        <v>3</v>
      </c>
      <c r="AA238" s="398" t="e">
        <f>IF(Z238=0,0,IF(LEN(R238)=11,_xlfn.XLOOKUP(R238,'Dispensed Ink Rates'!C:C,'Dispensed Ink Rates'!CS:CS),VLOOKUP(R238,'Jan-2026 rates'!$E:$F,2,0)))</f>
        <v>#N/A</v>
      </c>
      <c r="AB238" s="404"/>
      <c r="AC238" s="398">
        <f>IF(AB238=0,0,IF(LEN(S238)=11,_xlfn.XLOOKUP(S238,'Dispensed Ink Rates'!C:C,'Dispensed Ink Rates'!CS:CS),VLOOKUP(S238,'Jan-2026 rates'!$E:$F,2,0)))</f>
        <v>0</v>
      </c>
      <c r="AD238" s="404"/>
      <c r="AE238" s="398">
        <f>IF(AD238=0,0,IF(LEN(T238)=11,_xlfn.XLOOKUP(T238,'Dispensed Ink Rates'!C:C,'Dispensed Ink Rates'!CS:CS),VLOOKUP(T238,'Jan-2026 rates'!$E:$F,2,0)))</f>
        <v>0</v>
      </c>
      <c r="AF238" s="404"/>
      <c r="AG238" s="398">
        <f>IF(AF238=0,0,IF(LEN(U238)=11,_xlfn.XLOOKUP(U238,'Dispensed Ink Rates'!C:C,'Dispensed Ink Rates'!CS:CS),VLOOKUP(U238,'Jan-2026 rates'!$E:$F,2,0)))</f>
        <v>0</v>
      </c>
      <c r="AH238" s="404"/>
      <c r="AI238" s="398">
        <f>IF(AH238=0,0,IF(LEN(V238)=11,_xlfn.XLOOKUP(V238,'Dispensed Ink Rates'!C:C,'Dispensed Ink Rates'!CS:CS),VLOOKUP(V238,'Jan-2026 rates'!$E:$F,2,0)))</f>
        <v>0</v>
      </c>
      <c r="AJ238" s="404"/>
      <c r="AK238" s="398">
        <f>IF(AJ238=0,0,IF(LEN(W238)=11,_xlfn.XLOOKUP(W238,'Dispensed Ink Rates'!C:C,'Dispensed Ink Rates'!CS:CS),VLOOKUP(W238,'Jan-2026 rates'!$E:$F,2,0)))</f>
        <v>0</v>
      </c>
      <c r="AL238" s="404"/>
      <c r="AM238" s="398">
        <f>IF(AL238=0,0,IF(LEN(X238)=11,_xlfn.XLOOKUP(X238,'Dispensed Ink Rates'!C:C,'Dispensed Ink Rates'!CS:CS),VLOOKUP(X238,'Jan-2026 rates'!$E:$F,2,0)))</f>
        <v>0</v>
      </c>
      <c r="AN238" s="404"/>
      <c r="AO238" s="398">
        <f>IF(AN238=0,0,IF(LEN(Y238)=11,_xlfn.XLOOKUP(Y238,'Dispensed Ink Rates'!C:C,'Dispensed Ink Rates'!CS:CS),VLOOKUP(Y238,'Jan-2026 rates'!$E:$F,2,0)))</f>
        <v>0</v>
      </c>
      <c r="AP238" s="409" t="s">
        <v>1443</v>
      </c>
      <c r="AQ238" s="409">
        <v>27</v>
      </c>
      <c r="AR238" s="410">
        <f t="shared" si="159"/>
        <v>0</v>
      </c>
      <c r="AS238" s="411">
        <f t="shared" si="160"/>
        <v>5.3999999999999986</v>
      </c>
      <c r="AT238" s="410">
        <f t="shared" si="161"/>
        <v>0</v>
      </c>
      <c r="AU238" s="405" t="s">
        <v>543</v>
      </c>
      <c r="AV238" s="409" t="s">
        <v>3986</v>
      </c>
      <c r="AW238" s="420" t="str">
        <f t="shared" si="183"/>
        <v>FLINTSL - BLACK</v>
      </c>
      <c r="AX238" s="409">
        <v>30</v>
      </c>
      <c r="AY238" s="411">
        <f>IF(AX238=0,0,IF($LB238=70%,VLOOKUP($AW238,'Jan-2026 rates'!$L:$R,4,0),IF($LB238=65%,VLOOKUP($AW238,'Jan-2026 rates'!$L:$R,4,0),IF($LB238=40%,VLOOKUP($AW238,'Jan-2026 rates'!$L:$R,5,0),IF($LB238=30%,VLOOKUP($AW238,'Jan-2026 rates'!$L:$R,6,0),IF($LB238=100%,VLOOKUP($AW238,'Jan-2026 rates'!$L:$R,7,0),IF($LB238=60%,VLOOKUP($AW238,'Jan-2026 rates'!$L:$S,8,0),IF($LB238=80%,VLOOKUP($AW238,'Jan-2026 rates'!L:T,9,0),0))))))))</f>
        <v>0</v>
      </c>
      <c r="AZ238" s="412"/>
      <c r="BA238" s="409"/>
      <c r="BB238" s="411">
        <f>IF(BA238=0,0,IF($LB238=70%,VLOOKUP($AW238,'Jan-2026 rates'!$L:$R,4,0),IF($LB238=65%,VLOOKUP($AW238,'Jan-2026 rates'!$L:$R,4,0),IF($LB238=40%,VLOOKUP($AW238,'Jan-2026 rates'!$L:$R,5,0),IF($LB238=30%,VLOOKUP($AW238,'Jan-2026 rates'!$L:$R,6,0),IF($LB238=100%,VLOOKUP($AW238,'Jan-2026 rates'!$L:$R,7,0),IF($LB238=60%,VLOOKUP($AW238,'Jan-2026 rates'!$L:$S,8,0),IF($LB238=80%,VLOOKUP($AW238,'Jan-2026 rates'!L:T,9,0),0))))))))</f>
        <v>0</v>
      </c>
      <c r="BC238" s="413">
        <v>26518000009</v>
      </c>
      <c r="BD238" s="412"/>
      <c r="BE238" s="412"/>
      <c r="BF238" s="413"/>
      <c r="BG238" s="412"/>
      <c r="BH238" s="412"/>
      <c r="BI238" s="412"/>
      <c r="BJ238" s="412"/>
      <c r="BK238" s="409">
        <v>2</v>
      </c>
      <c r="BL238" s="398" t="e">
        <f>IF(BK238=0,0,IF(LEN(BC238)=11,_xlfn.XLOOKUP(BC238,'Dispensed Ink Rates'!C:C,'Dispensed Ink Rates'!CS:CS),VLOOKUP(BC238,'Jan-2026 rates'!$E:$F,2,0)))</f>
        <v>#N/A</v>
      </c>
      <c r="BM238" s="409"/>
      <c r="BN238" s="398">
        <f>IF(BM238=0,0,IF(LEN(BD238)=11,_xlfn.XLOOKUP(BD238,'Dispensed Ink Rates'!C:C,'Dispensed Ink Rates'!CS:CS),VLOOKUP(BD238,'Jan-2026 rates'!$E:$F,2,0)))</f>
        <v>0</v>
      </c>
      <c r="BO238" s="409"/>
      <c r="BP238" s="398">
        <f>IF(BO238=0,0,IF(LEN(BE238)=11,_xlfn.XLOOKUP(BE238,'Dispensed Ink Rates'!C:C,'Dispensed Ink Rates'!CS:CS),VLOOKUP(BE238,'Jan-2026 rates'!$E:$F,2,0)))</f>
        <v>0</v>
      </c>
      <c r="BQ238" s="409"/>
      <c r="BR238" s="398">
        <f>IF(BQ238=0,0,IF(LEN(BF238)=11,_xlfn.XLOOKUP(BF238,'Dispensed Ink Rates'!C:C,'Dispensed Ink Rates'!CS:CS),VLOOKUP(BF238,'Jan-2026 rates'!$E:$F,2,0)))</f>
        <v>0</v>
      </c>
      <c r="BS238" s="409"/>
      <c r="BT238" s="398">
        <f>IF(BS238=0,0,IF(LEN(BG238)=11,_xlfn.XLOOKUP(BG238,'Dispensed Ink Rates'!C:C,'Dispensed Ink Rates'!CS:CS),VLOOKUP(BG238,'Jan-2026 rates'!$E:$F,2,0)))</f>
        <v>0</v>
      </c>
      <c r="BU238" s="409"/>
      <c r="BV238" s="398">
        <f>IF(BU238=0,0,IF(LEN(BH238)=11,_xlfn.XLOOKUP(BH238,'Dispensed Ink Rates'!C:C,'Dispensed Ink Rates'!CS:CS),VLOOKUP(BH238,'Jan-2026 rates'!$E:$F,2,0)))</f>
        <v>0</v>
      </c>
      <c r="BW238" s="409"/>
      <c r="BX238" s="398">
        <f>IF(BW238=0,0,IF(LEN(BI238)=11,_xlfn.XLOOKUP(BI238,'Dispensed Ink Rates'!C:C,'Dispensed Ink Rates'!CS:CS),VLOOKUP(BI238,'Jan-2026 rates'!$E:$F,2,0)))</f>
        <v>0</v>
      </c>
      <c r="BY238" s="409"/>
      <c r="BZ238" s="398">
        <f>IF(BY238=0,0,IF(LEN(BJ238)=11,_xlfn.XLOOKUP(BJ238,'Dispensed Ink Rates'!C:C,'Dispensed Ink Rates'!CS:CS),VLOOKUP(BJ238,'Jan-2026 rates'!$E:$F,2,0)))</f>
        <v>0</v>
      </c>
      <c r="CA238" s="409" t="s">
        <v>1443</v>
      </c>
      <c r="CB238" s="409">
        <v>32</v>
      </c>
      <c r="CC238" s="411">
        <f t="shared" si="162"/>
        <v>0</v>
      </c>
      <c r="CD238" s="411">
        <f t="shared" si="163"/>
        <v>13.5</v>
      </c>
      <c r="CE238" s="410">
        <f t="shared" si="164"/>
        <v>0</v>
      </c>
      <c r="CF238" s="404" t="s">
        <v>543</v>
      </c>
      <c r="CG238" s="409"/>
      <c r="CH238" s="420" t="str">
        <f t="shared" si="185"/>
        <v>FLINTSL - BLACK</v>
      </c>
      <c r="CI238" s="409"/>
      <c r="CJ238" s="411">
        <f>IF(CI238=0,0,IF($LB238=70%,VLOOKUP($CH238,'Jan-2026 rates'!$L:$R,4,0),IF($LB238=65%,VLOOKUP($CH238,'Jan-2026 rates'!$L:$R,4,0),IF($LB238=40%,VLOOKUP($CH238,'Jan-2026 rates'!$L:$R,5,0),IF($LB238=30%,VLOOKUP($CH238,'Jan-2026 rates'!$L:$R,6,0),IF($LB238=100%,VLOOKUP($CH238,'Jan-2026 rates'!$L:$R,7,0),IF($LB238=60%,VLOOKUP($CH238,'Jan-2026 rates'!$L:$S,8,0),IF($LB238=80%,VLOOKUP($CH238,'Jan-2026 rates'!L:T,9,0),0))))))))</f>
        <v>0</v>
      </c>
      <c r="CK238" s="412"/>
      <c r="CL238" s="409"/>
      <c r="CM238" s="411">
        <f>IF(CL238=0,0,IF($LB238=70%,VLOOKUP($CH238,'Jan-2026 rates'!$L:$R,4,0),IF($LB238=65%,VLOOKUP($CH238,'Jan-2026 rates'!$L:$R,4,0),IF($LB238=40%,VLOOKUP($CH238,'Jan-2026 rates'!$L:$R,5,0),IF($LB238=30%,VLOOKUP($CH238,'Jan-2026 rates'!$L:$R,6,0),IF($LB238=100%,VLOOKUP($CH238,'Jan-2026 rates'!$L:$R,7,0),IF($LB238=60%,VLOOKUP($CH238,'Jan-2026 rates'!$L:$S,8,0),IF($LB238=80%,VLOOKUP($CH238,'Jan-2026 rates'!L:T,9,0),0))))))))</f>
        <v>0</v>
      </c>
      <c r="CN238" s="426">
        <v>26517000027</v>
      </c>
      <c r="CO238" s="427">
        <v>26517000030</v>
      </c>
      <c r="CP238" s="426">
        <v>26518000009</v>
      </c>
      <c r="CQ238" s="426">
        <v>26518000001</v>
      </c>
      <c r="CR238" s="428"/>
      <c r="CS238" s="428"/>
      <c r="CT238" s="428"/>
      <c r="CU238" s="428"/>
      <c r="CV238" s="409">
        <f>78+15</f>
        <v>93</v>
      </c>
      <c r="CW238" s="398" t="e">
        <f>IF(CV238=0,0,IF(LEN(CN238)=11,_xlfn.XLOOKUP(CN238,'Dispensed Ink Rates'!C:C,'Dispensed Ink Rates'!CS:CS),VLOOKUP(CN238,'Jan-2026 rates'!$E:$F,2,0)))</f>
        <v>#N/A</v>
      </c>
      <c r="CX238" s="409">
        <v>50</v>
      </c>
      <c r="CY238" s="398" t="e">
        <f>IF(CX238=0,0,IF(LEN(CO238)=11,_xlfn.XLOOKUP(CO238,'Dispensed Ink Rates'!C:C,'Dispensed Ink Rates'!CS:CS),VLOOKUP(CO238,'Jan-2026 rates'!$E:$F,2,0)))</f>
        <v>#N/A</v>
      </c>
      <c r="CZ238" s="409">
        <v>5</v>
      </c>
      <c r="DA238" s="398" t="e">
        <f>IF(CZ238=0,0,IF(LEN(CP238)=11,_xlfn.XLOOKUP(CP238,'Dispensed Ink Rates'!C:C,'Dispensed Ink Rates'!CS:CS),VLOOKUP(CP238,'Jan-2026 rates'!$E:$F,2,0)))</f>
        <v>#N/A</v>
      </c>
      <c r="DB238" s="409">
        <v>3</v>
      </c>
      <c r="DC238" s="398" t="e">
        <f>IF(DB238=0,0,IF(LEN(CQ238)=11,_xlfn.XLOOKUP(CQ238,'Dispensed Ink Rates'!C:C,'Dispensed Ink Rates'!CS:CS),VLOOKUP(CQ238,'Jan-2026 rates'!$E:$F,2,0)))</f>
        <v>#N/A</v>
      </c>
      <c r="DD238" s="409"/>
      <c r="DE238" s="398">
        <f>IF(DD238=0,0,IF(LEN(CR238)=11,_xlfn.XLOOKUP(CR238,'Dispensed Ink Rates'!C:C,'Dispensed Ink Rates'!CS:CS),VLOOKUP(CR238,'Jan-2026 rates'!$E:$F,2,0)))</f>
        <v>0</v>
      </c>
      <c r="DF238" s="409"/>
      <c r="DG238" s="398">
        <f>IF(DF238=0,0,IF(LEN(CS238)=11,_xlfn.XLOOKUP(CS238,'Dispensed Ink Rates'!C:C,'Dispensed Ink Rates'!CS:CS),VLOOKUP(CS238,'Jan-2026 rates'!$E:$F,2,0)))</f>
        <v>0</v>
      </c>
      <c r="DH238" s="409"/>
      <c r="DI238" s="398">
        <f>IF(DH238=0,0,IF(LEN(CT238)=11,_xlfn.XLOOKUP(CT238,'Dispensed Ink Rates'!C:C,'Dispensed Ink Rates'!CS:CS),VLOOKUP(CT238,'Jan-2026 rates'!$E:$F,2,0)))</f>
        <v>0</v>
      </c>
      <c r="DJ238" s="409"/>
      <c r="DK238" s="398">
        <f>IF(DJ238=0,0,IF(LEN(CU238)=11,_xlfn.XLOOKUP(CU238,'Dispensed Ink Rates'!C:C,'Dispensed Ink Rates'!CS:CS),VLOOKUP(CU238,'Jan-2026 rates'!$E:$F,2,0)))</f>
        <v>0</v>
      </c>
      <c r="DL238" s="409" t="s">
        <v>1443</v>
      </c>
      <c r="DM238" s="409">
        <v>36</v>
      </c>
      <c r="DN238" s="411">
        <f t="shared" si="165"/>
        <v>0</v>
      </c>
      <c r="DO238" s="411">
        <f t="shared" si="166"/>
        <v>120.4</v>
      </c>
      <c r="DP238" s="410">
        <f t="shared" si="167"/>
        <v>0</v>
      </c>
      <c r="DQ238" s="405" t="s">
        <v>857</v>
      </c>
      <c r="DR238" s="409" t="s">
        <v>3936</v>
      </c>
      <c r="DS238" s="420" t="str">
        <f t="shared" si="186"/>
        <v>FLINTSL - RED</v>
      </c>
      <c r="DT238" s="409">
        <v>35</v>
      </c>
      <c r="DU238" s="411">
        <f>IF(DT238=0,0,IF($LB238=70%,VLOOKUP($DS238,'Jan-2026 rates'!$L:$R,4,0),IF($LB238=65%,VLOOKUP($DS238,'Jan-2026 rates'!$L:$R,4,0),IF($LB238=40%,VLOOKUP($DS238,'Jan-2026 rates'!$L:$R,5,0),IF($LB238=30%,VLOOKUP($DS238,'Jan-2026 rates'!$L:$R,6,0),IF($LB238=100%,VLOOKUP($DS238,'Jan-2026 rates'!$L:$R,7,0),IF($LB238=60%,VLOOKUP($DS238,'Jan-2026 rates'!$L:$S,8,0),IF($LB238=80%,VLOOKUP($DS238,'Jan-2026 rates'!L:T,9,0),0))))))))</f>
        <v>0</v>
      </c>
      <c r="DV238" s="412"/>
      <c r="DW238" s="409"/>
      <c r="DX238" s="411">
        <f>IF(DW238=0,0,IF($LB238=70%,VLOOKUP($DS238,'Jan-2026 rates'!$L:$R,4,0),IF($LB238=65%,VLOOKUP($DS238,'Jan-2026 rates'!$L:$R,4,0),IF($LB238=40%,VLOOKUP($DS238,'Jan-2026 rates'!$L:$R,5,0),IF($LB238=30%,VLOOKUP($DS238,'Jan-2026 rates'!$L:$R,6,0),IF($LB238=100%,VLOOKUP($DS238,'Jan-2026 rates'!$L:$R,7,0),IF($LB238=60%,VLOOKUP($DS238,'Jan-2026 rates'!$L:$S,8,0),IF($LB238=80%,VLOOKUP($DS238,'Jan-2026 rates'!L:T,9,0),0))))))))</f>
        <v>0</v>
      </c>
      <c r="DY238" s="413">
        <v>26518000009</v>
      </c>
      <c r="DZ238" s="413">
        <v>26519000027</v>
      </c>
      <c r="EA238" s="412"/>
      <c r="EB238" s="412"/>
      <c r="EC238" s="412"/>
      <c r="ED238" s="412"/>
      <c r="EE238" s="412"/>
      <c r="EF238" s="412"/>
      <c r="EG238" s="409">
        <v>2</v>
      </c>
      <c r="EH238" s="398" t="e">
        <f>IF(EG238=0,0,IF(LEN(DY238)=11,_xlfn.XLOOKUP(DY238,'Dispensed Ink Rates'!C:C,'Dispensed Ink Rates'!CS:CS),VLOOKUP(DY238,'Jan-2026 rates'!$E:$F,2,0)))</f>
        <v>#N/A</v>
      </c>
      <c r="EI238" s="409">
        <v>2</v>
      </c>
      <c r="EJ238" s="398" t="e">
        <f>IF(EI238=0,0,IF(LEN(DZ238)=11,_xlfn.XLOOKUP(DZ238,'Dispensed Ink Rates'!C:C,'Dispensed Ink Rates'!CS:CS),VLOOKUP(DZ238,'Jan-2026 rates'!$E:$F,2,0)))</f>
        <v>#N/A</v>
      </c>
      <c r="EK238" s="409"/>
      <c r="EL238" s="398">
        <f>IF(EK238=0,0,IF(LEN(EA238)=11,_xlfn.XLOOKUP(EA238,'Dispensed Ink Rates'!C:C,'Dispensed Ink Rates'!CS:CS),VLOOKUP(EA238,'Jan-2026 rates'!$E:$F,2,0)))</f>
        <v>0</v>
      </c>
      <c r="EM238" s="409"/>
      <c r="EN238" s="398">
        <f>IF(EM238=0,0,IF(LEN(EB238)=11,_xlfn.XLOOKUP(EB238,'Dispensed Ink Rates'!C:C,'Dispensed Ink Rates'!CS:CS),VLOOKUP(EB238,'Jan-2026 rates'!$E:$F,2,0)))</f>
        <v>0</v>
      </c>
      <c r="EO238" s="409"/>
      <c r="EP238" s="398">
        <f>IF(EO238=0,0,IF(LEN(EC238)=11,_xlfn.XLOOKUP(EC238,'Dispensed Ink Rates'!C:C,'Dispensed Ink Rates'!CS:CS),VLOOKUP(EC238,'Jan-2026 rates'!$E:$F,2,0)))</f>
        <v>0</v>
      </c>
      <c r="EQ238" s="409"/>
      <c r="ER238" s="398">
        <f>IF(EQ238=0,0,IF(LEN(ED238)=11,_xlfn.XLOOKUP(ED238,'Dispensed Ink Rates'!C:C,'Dispensed Ink Rates'!CS:CS),VLOOKUP(ED238,'Jan-2026 rates'!$E:$F,2,0)))</f>
        <v>0</v>
      </c>
      <c r="ES238" s="409"/>
      <c r="ET238" s="398">
        <f>IF(ES238=0,0,IF(LEN(EE238)=11,_xlfn.XLOOKUP(EE238,'Dispensed Ink Rates'!C:C,'Dispensed Ink Rates'!CS:CS),VLOOKUP(EE238,'Jan-2026 rates'!$E:$F,2,0)))</f>
        <v>0</v>
      </c>
      <c r="EU238" s="409"/>
      <c r="EV238" s="398">
        <f>IF(EU238=0,0,IF(LEN(EF238)=11,_xlfn.XLOOKUP(EF238,'Dispensed Ink Rates'!C:C,'Dispensed Ink Rates'!CS:CS),VLOOKUP(EF238,'Jan-2026 rates'!$E:$F,2,0)))</f>
        <v>0</v>
      </c>
      <c r="EW238" s="409" t="s">
        <v>1443</v>
      </c>
      <c r="EX238" s="409">
        <v>35</v>
      </c>
      <c r="EY238" s="411">
        <f t="shared" si="168"/>
        <v>0</v>
      </c>
      <c r="EZ238" s="411">
        <f t="shared" si="169"/>
        <v>9.3999999999999986</v>
      </c>
      <c r="FA238" s="410">
        <f t="shared" si="170"/>
        <v>0</v>
      </c>
      <c r="FB238" s="405" t="s">
        <v>855</v>
      </c>
      <c r="FC238" s="409" t="s">
        <v>3987</v>
      </c>
      <c r="FD238" s="420" t="str">
        <f t="shared" si="187"/>
        <v>FLINTSL - CYAN</v>
      </c>
      <c r="FE238" s="409">
        <v>28</v>
      </c>
      <c r="FF238" s="411">
        <f>IF(FE238=0,0,IF($LB238=70%,VLOOKUP($FD238,'Jan-2026 rates'!$L:$R,4,0),IF($LB238=65%,VLOOKUP($FD238,'Jan-2026 rates'!$L:$R,4,0),IF($LB238=40%,VLOOKUP($FD238,'Jan-2026 rates'!$L:$R,5,0),IF($LB238=30%,VLOOKUP($FD238,'Jan-2026 rates'!$L:$R,6,0),IF($LB238=100%,VLOOKUP($FD238,'Jan-2026 rates'!$L:$R,7,0),IF($LB238=60%,VLOOKUP($FD238,'Jan-2026 rates'!$L:$S,8,0),IF($LB238=80%,VLOOKUP($FD238,'Jan-2026 rates'!L:T,9,0),0))))))))</f>
        <v>0</v>
      </c>
      <c r="FG238" s="412"/>
      <c r="FH238" s="409"/>
      <c r="FI238" s="411">
        <f>IF(FH238=0,0,IF($LB238=70%,VLOOKUP($FD238,'Jan-2026 rates'!$L:$R,4,0),IF($LB238=65%,VLOOKUP($FD238,'Jan-2026 rates'!$L:$R,4,0),IF($LB238=40%,VLOOKUP($FD238,'Jan-2026 rates'!$L:$R,5,0),IF($LB238=30%,VLOOKUP($FD238,'Jan-2026 rates'!$L:$R,6,0),IF($LB238=100%,VLOOKUP($FD238,'Jan-2026 rates'!$L:$R,7,0),IF($LB238=60%,VLOOKUP($FD238,'Jan-2026 rates'!$L:$S,8,0),IF($LB238=80%,VLOOKUP($FD238,'Jan-2026 rates'!L:T,9,0),0))))))))</f>
        <v>0</v>
      </c>
      <c r="FJ238" s="413">
        <v>26516000006</v>
      </c>
      <c r="FK238" s="413"/>
      <c r="FL238" s="413"/>
      <c r="FM238" s="412"/>
      <c r="FN238" s="412"/>
      <c r="FO238" s="412"/>
      <c r="FP238" s="412"/>
      <c r="FQ238" s="412"/>
      <c r="FR238" s="409">
        <v>2</v>
      </c>
      <c r="FS238" s="398" t="e">
        <f>IF(FR238=0,0,IF(LEN(FJ238)=11,_xlfn.XLOOKUP(FJ238,'Dispensed Ink Rates'!C:C,'Dispensed Ink Rates'!CS:CS),VLOOKUP(FJ238,'Jan-2026 rates'!$E:$F,2,0)))</f>
        <v>#N/A</v>
      </c>
      <c r="FT238" s="409"/>
      <c r="FU238" s="398">
        <f>IF(FT238=0,0,IF(LEN(FK238)=11,_xlfn.XLOOKUP(FK238,'Dispensed Ink Rates'!C:C,'Dispensed Ink Rates'!CS:CS),VLOOKUP(FK238,'Jan-2026 rates'!$E:$F,2,0)))</f>
        <v>0</v>
      </c>
      <c r="FV238" s="409"/>
      <c r="FW238" s="398">
        <f>IF(FV238=0,0,IF(LEN(FL238)=11,_xlfn.XLOOKUP(FL238,'Dispensed Ink Rates'!C:C,'Dispensed Ink Rates'!CS:CS),VLOOKUP(FL238,'Jan-2026 rates'!$E:$F,2,0)))</f>
        <v>0</v>
      </c>
      <c r="FX238" s="409"/>
      <c r="FY238" s="398">
        <f>IF(FX238=0,0,IF(LEN(FM238)=11,_xlfn.XLOOKUP(FM238,'Dispensed Ink Rates'!C:C,'Dispensed Ink Rates'!CS:CS),VLOOKUP(FM238,'Jan-2026 rates'!$E:$F,2,0)))</f>
        <v>0</v>
      </c>
      <c r="FZ238" s="409"/>
      <c r="GA238" s="398">
        <f>IF(FZ238=0,0,IF(LEN(FN238)=11,_xlfn.XLOOKUP(FN238,'Dispensed Ink Rates'!C:C,'Dispensed Ink Rates'!CS:CS),VLOOKUP(FN238,'Jan-2026 rates'!$E:$F,2,0)))</f>
        <v>0</v>
      </c>
      <c r="GB238" s="409"/>
      <c r="GC238" s="398">
        <f>IF(GB238=0,0,IF(LEN(FO238)=11,_xlfn.XLOOKUP(FO238,'Dispensed Ink Rates'!C:C,'Dispensed Ink Rates'!CS:CS),VLOOKUP(FO238,'Jan-2026 rates'!$E:$F,2,0)))</f>
        <v>0</v>
      </c>
      <c r="GD238" s="409"/>
      <c r="GE238" s="398">
        <f>IF(GD238=0,0,IF(LEN(FP238)=11,_xlfn.XLOOKUP(FP238,'Dispensed Ink Rates'!C:C,'Dispensed Ink Rates'!CS:CS),VLOOKUP(FP238,'Jan-2026 rates'!$E:$F,2,0)))</f>
        <v>0</v>
      </c>
      <c r="GF238" s="409"/>
      <c r="GG238" s="398">
        <f>IF(GF238=0,0,IF(LEN(FQ238)=11,_xlfn.XLOOKUP(FQ238,'Dispensed Ink Rates'!C:C,'Dispensed Ink Rates'!CS:CS),VLOOKUP(FQ238,'Jan-2026 rates'!$E:$F,2,0)))</f>
        <v>0</v>
      </c>
      <c r="GH238" s="409" t="s">
        <v>1443</v>
      </c>
      <c r="GI238" s="409">
        <v>28</v>
      </c>
      <c r="GJ238" s="411">
        <f t="shared" si="171"/>
        <v>0</v>
      </c>
      <c r="GK238" s="411">
        <f t="shared" si="172"/>
        <v>7.3999999999999986</v>
      </c>
      <c r="GL238" s="410">
        <f t="shared" si="173"/>
        <v>0</v>
      </c>
      <c r="GM238" s="405" t="s">
        <v>544</v>
      </c>
      <c r="GN238" s="409" t="s">
        <v>3956</v>
      </c>
      <c r="GO238" s="420" t="str">
        <f t="shared" si="188"/>
        <v>FLINTSL - MAGENTA</v>
      </c>
      <c r="GP238" s="409">
        <v>28</v>
      </c>
      <c r="GQ238" s="411">
        <f>IF(GP238=0,0,IF($LB238=70%,VLOOKUP($GO238,'Jan-2026 rates'!$L:$R,4,0),IF($LB238=65%,VLOOKUP($GO238,'Jan-2026 rates'!$L:$R,4,0),IF($LB238=40%,VLOOKUP($GO238,'Jan-2026 rates'!$L:$R,5,0),IF($LB238=30%,VLOOKUP($GO238,'Jan-2026 rates'!$L:$R,6,0),IF($LB238=100%,VLOOKUP($GO238,'Jan-2026 rates'!$L:$R,7,0),IF($LB238=60%,VLOOKUP($GO238,'Jan-2026 rates'!$L:$S,8,0),IF($LB238=80%,VLOOKUP($GO238,'Jan-2026 rates'!L:T,9,0),0))))))))</f>
        <v>0</v>
      </c>
      <c r="GR238" s="412"/>
      <c r="GS238" s="409"/>
      <c r="GT238" s="411">
        <f>IF(GS238=0,0,IF($LB238=70%,VLOOKUP($GO238,'Jan-2026 rates'!$L:$R,4,0),IF($LB238=65%,VLOOKUP($GO238,'Jan-2026 rates'!$L:$R,4,0),IF($LB238=40%,VLOOKUP($GO238,'Jan-2026 rates'!$L:$R,5,0),IF($LB238=30%,VLOOKUP($GO238,'Jan-2026 rates'!$L:$R,6,0),IF($LB238=100%,VLOOKUP($GO238,'Jan-2026 rates'!$L:$R,7,0),IF($LB238=60%,VLOOKUP($GO238,'Jan-2026 rates'!$L:$S,8,0),IF($LB238=80%,VLOOKUP($GO238,'Jan-2026 rates'!L:T,9,0),0))))))))</f>
        <v>0</v>
      </c>
      <c r="GU238" s="413">
        <v>26518000009</v>
      </c>
      <c r="GV238" s="413"/>
      <c r="GW238" s="412"/>
      <c r="GX238" s="412"/>
      <c r="GY238" s="412"/>
      <c r="GZ238" s="412"/>
      <c r="HA238" s="412"/>
      <c r="HB238" s="412"/>
      <c r="HC238" s="409">
        <v>3</v>
      </c>
      <c r="HD238" s="398" t="e">
        <f>IF(HC238=0,0,IF(LEN(GU238)=11,_xlfn.XLOOKUP(GU238,'Dispensed Ink Rates'!C:C,'Dispensed Ink Rates'!CS:CS),VLOOKUP(GU238,'Jan-2026 rates'!$E:$F,2,0)))</f>
        <v>#N/A</v>
      </c>
      <c r="HE238" s="409"/>
      <c r="HF238" s="398">
        <f>IF(HE238=0,0,IF(LEN(GV238)=11,_xlfn.XLOOKUP(GV238,'Dispensed Ink Rates'!C:C,'Dispensed Ink Rates'!CS:CS),VLOOKUP(GV238,'Jan-2026 rates'!$E:$F,2,0)))</f>
        <v>0</v>
      </c>
      <c r="HG238" s="409"/>
      <c r="HH238" s="398">
        <f>IF(HG238=0,0,IF(LEN(GW238)=11,_xlfn.XLOOKUP(GW238,'Dispensed Ink Rates'!C:C,'Dispensed Ink Rates'!CS:CS),VLOOKUP(GW238,'Jan-2026 rates'!$E:$F,2,0)))</f>
        <v>0</v>
      </c>
      <c r="HI238" s="409"/>
      <c r="HJ238" s="398">
        <f>IF(HI238=0,0,IF(LEN(GX238)=11,_xlfn.XLOOKUP(GX238,'Dispensed Ink Rates'!C:C,'Dispensed Ink Rates'!CS:CS),VLOOKUP(GX238,'Jan-2026 rates'!$E:$F,2,0)))</f>
        <v>0</v>
      </c>
      <c r="HK238" s="409"/>
      <c r="HL238" s="398">
        <f>IF(HK238=0,0,IF(LEN(GY238)=11,_xlfn.XLOOKUP(GY238,'Dispensed Ink Rates'!C:C,'Dispensed Ink Rates'!CS:CS),VLOOKUP(GY238,'Jan-2026 rates'!$E:$F,2,0)))</f>
        <v>0</v>
      </c>
      <c r="HM238" s="409"/>
      <c r="HN238" s="398">
        <f>IF(HM238=0,0,IF(LEN(GZ238)=11,_xlfn.XLOOKUP(GZ238,'Dispensed Ink Rates'!C:C,'Dispensed Ink Rates'!CS:CS),VLOOKUP(GZ238,'Jan-2026 rates'!$E:$F,2,0)))</f>
        <v>0</v>
      </c>
      <c r="HO238" s="409"/>
      <c r="HP238" s="398">
        <f>IF(HO238=0,0,IF(LEN(HA238)=11,_xlfn.XLOOKUP(HA238,'Dispensed Ink Rates'!C:C,'Dispensed Ink Rates'!CS:CS),VLOOKUP(HA238,'Jan-2026 rates'!$E:$F,2,0)))</f>
        <v>0</v>
      </c>
      <c r="HQ238" s="409"/>
      <c r="HR238" s="398">
        <f>IF(HQ238=0,0,IF(LEN(HB238)=11,_xlfn.XLOOKUP(HB238,'Dispensed Ink Rates'!C:C,'Dispensed Ink Rates'!CS:CS),VLOOKUP(HB238,'Jan-2026 rates'!$E:$F,2,0)))</f>
        <v>0</v>
      </c>
      <c r="HS238" s="409" t="s">
        <v>1443</v>
      </c>
      <c r="HT238" s="409">
        <v>27</v>
      </c>
      <c r="HU238" s="411">
        <f t="shared" si="174"/>
        <v>0</v>
      </c>
      <c r="HV238" s="411">
        <f t="shared" si="175"/>
        <v>9.3999999999999986</v>
      </c>
      <c r="HW238" s="414">
        <f t="shared" si="176"/>
        <v>0</v>
      </c>
      <c r="HX238" s="405" t="s">
        <v>545</v>
      </c>
      <c r="HY238" s="409" t="s">
        <v>3988</v>
      </c>
      <c r="HZ238" s="420" t="str">
        <f t="shared" si="189"/>
        <v>FLINTSL - YELLOW</v>
      </c>
      <c r="IA238" s="409">
        <v>25</v>
      </c>
      <c r="IB238" s="411">
        <f>IF(IA238=0,0,IF($LB238=70%,VLOOKUP($HZ238,'Jan-2026 rates'!$L:$R,4,0),IF($LB238=65%,VLOOKUP($HZ238,'Jan-2026 rates'!$L:$R,4,0),IF($LB238=40%,VLOOKUP($HZ238,'Jan-2026 rates'!$L:$R,5,0),IF($LB238=30%,VLOOKUP($HZ238,'Jan-2026 rates'!$L:$R,6,0),IF($LB238=100%,VLOOKUP($HZ238,'Jan-2026 rates'!$L:$R,7,0),IF($LB238=60%,VLOOKUP($HZ238,'Jan-2026 rates'!$L:$S,8,0),IF($LB238=80%,VLOOKUP($HZ238,'Jan-2026 rates'!L:T,9,0),0))))))))</f>
        <v>0</v>
      </c>
      <c r="IC238" s="412"/>
      <c r="ID238" s="409"/>
      <c r="IE238" s="411">
        <f>IF(ID238=0,0,IF($LB238=70%,VLOOKUP($HZ238,'Jan-2026 rates'!$L:$R,4,0),IF($LB238=65%,VLOOKUP($HZ238,'Jan-2026 rates'!$L:$R,4,0),IF($LB238=40%,VLOOKUP($HZ238,'Jan-2026 rates'!$L:$R,5,0),IF($LB238=30%,VLOOKUP($HZ238,'Jan-2026 rates'!$L:$R,6,0),IF($LB238=100%,VLOOKUP($HZ238,'Jan-2026 rates'!$L:$R,7,0),IF($LB238=60%,VLOOKUP($HZ238,'Jan-2026 rates'!$L:$S,8,0),IF($LB238=80%,VLOOKUP($HZ238,'Jan-2026 rates'!L:T,9,0),0))))))))</f>
        <v>0</v>
      </c>
      <c r="IF238" s="412">
        <v>26517000013</v>
      </c>
      <c r="IG238" s="413"/>
      <c r="IH238" s="412"/>
      <c r="II238" s="412"/>
      <c r="IJ238" s="412"/>
      <c r="IK238" s="412"/>
      <c r="IL238" s="412"/>
      <c r="IM238" s="412"/>
      <c r="IN238" s="409">
        <v>6</v>
      </c>
      <c r="IO238" s="398" t="e">
        <f>IF(IN238=0,0,IF(LEN(IF238)=11,_xlfn.XLOOKUP(IF238,'Dispensed Ink Rates'!C:C,'Dispensed Ink Rates'!CS:CS),VLOOKUP(IF238,'Jan-2026 rates'!$E:$F,2,0)))</f>
        <v>#N/A</v>
      </c>
      <c r="IP238" s="409"/>
      <c r="IQ238" s="398">
        <f>IF(IP238=0,0,IF(LEN(IG238)=11,_xlfn.XLOOKUP(IG238,'Dispensed Ink Rates'!C:C,'Dispensed Ink Rates'!CS:CS),VLOOKUP(IG238,'Jan-2026 rates'!$E:$F,2,0)))</f>
        <v>0</v>
      </c>
      <c r="IR238" s="409"/>
      <c r="IS238" s="398">
        <f>IF(IR238=0,0,IF(LEN(IH238)=11,_xlfn.XLOOKUP(IH238,'Dispensed Ink Rates'!C:C,'Dispensed Ink Rates'!CS:CS),VLOOKUP(IH238,'Jan-2026 rates'!$E:$F,2,0)))</f>
        <v>0</v>
      </c>
      <c r="IT238" s="409"/>
      <c r="IU238" s="398">
        <f>IF(IT238=0,0,IF(LEN(II238)=11,_xlfn.XLOOKUP(II238,'Dispensed Ink Rates'!C:C,'Dispensed Ink Rates'!CS:CS),VLOOKUP(II238,'Jan-2026 rates'!$E:$F,2,0)))</f>
        <v>0</v>
      </c>
      <c r="IV238" s="409"/>
      <c r="IW238" s="398">
        <f>IF(IV238=0,0,IF(LEN(IJ238)=11,_xlfn.XLOOKUP(IJ238,'Dispensed Ink Rates'!C:C,'Dispensed Ink Rates'!CS:CS),VLOOKUP(IJ238,'Jan-2026 rates'!$E:$F,2,0)))</f>
        <v>0</v>
      </c>
      <c r="IX238" s="409"/>
      <c r="IY238" s="398">
        <f>IF(IX238=0,0,IF(LEN(IK238)=11,_xlfn.XLOOKUP(IK238,'Dispensed Ink Rates'!C:C,'Dispensed Ink Rates'!CS:CS),VLOOKUP(IK238,'Jan-2026 rates'!$E:$F,2,0)))</f>
        <v>0</v>
      </c>
      <c r="IZ238" s="409"/>
      <c r="JA238" s="398">
        <f>IF(IZ238=0,0,IF(LEN(IL238)=11,_xlfn.XLOOKUP(IL238,'Dispensed Ink Rates'!C:C,'Dispensed Ink Rates'!CS:CS),VLOOKUP(IL238,'Jan-2026 rates'!$E:$F,2,0)))</f>
        <v>0</v>
      </c>
      <c r="JB238" s="409"/>
      <c r="JC238" s="398">
        <f>IF(JB238=0,0,IF(LEN(IM238)=11,_xlfn.XLOOKUP(IM238,'Dispensed Ink Rates'!C:C,'Dispensed Ink Rates'!CS:CS),VLOOKUP(IM238,'Jan-2026 rates'!$E:$F,2,0)))</f>
        <v>0</v>
      </c>
      <c r="JD238" s="409" t="s">
        <v>1443</v>
      </c>
      <c r="JE238" s="409">
        <v>25</v>
      </c>
      <c r="JF238" s="411">
        <f t="shared" si="177"/>
        <v>0</v>
      </c>
      <c r="JG238" s="411">
        <f t="shared" si="178"/>
        <v>19.5</v>
      </c>
      <c r="JH238" s="410">
        <f t="shared" si="179"/>
        <v>0</v>
      </c>
      <c r="JI238" s="405" t="s">
        <v>856</v>
      </c>
      <c r="JJ238" s="409" t="s">
        <v>3989</v>
      </c>
      <c r="JK238" s="420" t="str">
        <f t="shared" si="190"/>
        <v>FLINTSL - WHITE</v>
      </c>
      <c r="JL238" s="409">
        <v>30</v>
      </c>
      <c r="JM238" s="411">
        <f>IF(JL238=0,0,IF($LB238=70%,VLOOKUP($JK238,'Jan-2026 rates'!$L:$R,4,0),IF($LB238=65%,VLOOKUP($JK238,'Jan-2026 rates'!$L:$R,4,0),IF($LB238=40%,VLOOKUP($JK238,'Jan-2026 rates'!$L:$R,5,0),IF($LB238=30%,VLOOKUP($JK238,'Jan-2026 rates'!$L:$R,6,0),IF($LB238=100%,VLOOKUP($JK238,'Jan-2026 rates'!$L:$R,7,0),IF($LB238=60%,VLOOKUP($JK238,'Jan-2026 rates'!$L:$S,8,0),IF($LB238=80%,VLOOKUP($JK238,'Jan-2026 rates'!L:T,9,0),0))))))))</f>
        <v>0</v>
      </c>
      <c r="JN238" s="412"/>
      <c r="JO238" s="409"/>
      <c r="JP238" s="411">
        <f>IF(JO238=0,0,IF($LB238=70%,VLOOKUP($JK238,'Jan-2026 rates'!$L:$R,4,0),IF($LB238=65%,VLOOKUP($JK238,'Jan-2026 rates'!$L:$R,4,0),IF($LB238=40%,VLOOKUP($JK238,'Jan-2026 rates'!$L:$R,5,0),IF($LB238=30%,VLOOKUP($JK238,'Jan-2026 rates'!$L:$R,6,0),IF($LB238=100%,VLOOKUP($JK238,'Jan-2026 rates'!$L:$R,7,0),IF($LB238=60%,VLOOKUP($JK238,'Jan-2026 rates'!$L:$S,8,0),IF($LB238=80%,VLOOKUP($JK238,'Jan-2026 rates'!L:T,9,0),0))))))))</f>
        <v>0</v>
      </c>
      <c r="JQ238" s="413" t="s">
        <v>484</v>
      </c>
      <c r="JR238" s="412"/>
      <c r="JS238" s="413"/>
      <c r="JT238" s="413"/>
      <c r="JU238" s="412"/>
      <c r="JV238" s="412"/>
      <c r="JW238" s="412"/>
      <c r="JX238" s="412"/>
      <c r="JY238" s="409">
        <f>100+60</f>
        <v>160</v>
      </c>
      <c r="JZ238" s="398">
        <f>IF(JY238=0,0,IF(LEN(JQ238)=11,_xlfn.XLOOKUP(JQ238,'Dispensed Ink Rates'!C:C,'Dispensed Ink Rates'!CS:CS),VLOOKUP(JQ238,'Jan-2026 rates'!$E:$F,2,0)))</f>
        <v>0</v>
      </c>
      <c r="KA238" s="409"/>
      <c r="KB238" s="398">
        <f>IF(KA238=0,0,IF(LEN(JR238)=11,_xlfn.XLOOKUP(JR238,'Dispensed Ink Rates'!C:C,'Dispensed Ink Rates'!CS:CS),VLOOKUP(JR238,'Jan-2026 rates'!$E:$F,2,0)))</f>
        <v>0</v>
      </c>
      <c r="KC238" s="409"/>
      <c r="KD238" s="398">
        <f>IF(KC238=0,0,IF(LEN(JS238)=11,_xlfn.XLOOKUP(JS238,'Dispensed Ink Rates'!C:C,'Dispensed Ink Rates'!CS:CS),VLOOKUP(JS238,'Jan-2026 rates'!$E:$F,2,0)))</f>
        <v>0</v>
      </c>
      <c r="KE238" s="409"/>
      <c r="KF238" s="398">
        <f>IF(KE238=0,0,IF(LEN(JT238)=11,_xlfn.XLOOKUP(JT238,'Dispensed Ink Rates'!C:C,'Dispensed Ink Rates'!CS:CS),VLOOKUP(JT238,'Jan-2026 rates'!$E:$F,2,0)))</f>
        <v>0</v>
      </c>
      <c r="KG238" s="409"/>
      <c r="KH238" s="398">
        <f>IF(KG238=0,0,IF(LEN(JU238)=11,_xlfn.XLOOKUP(JU238,'Dispensed Ink Rates'!C:C,'Dispensed Ink Rates'!CS:CS),VLOOKUP(JU238,'Jan-2026 rates'!$E:$F,2,0)))</f>
        <v>0</v>
      </c>
      <c r="KI238" s="409"/>
      <c r="KJ238" s="398">
        <f>IF(KI238=0,0,IF(LEN(JV238)=11,_xlfn.XLOOKUP(JV238,'Dispensed Ink Rates'!C:C,'Dispensed Ink Rates'!CS:CS),VLOOKUP(JV238,'Jan-2026 rates'!$E:$F,2,0)))</f>
        <v>0</v>
      </c>
      <c r="KK238" s="409"/>
      <c r="KL238" s="398">
        <f>IF(KK238=0,0,IF(LEN(JW238)=11,_xlfn.XLOOKUP(JW238,'Dispensed Ink Rates'!C:C,'Dispensed Ink Rates'!CS:CS),VLOOKUP(JW238,'Jan-2026 rates'!$E:$F,2,0)))</f>
        <v>0</v>
      </c>
      <c r="KM238" s="428"/>
      <c r="KN238" s="398">
        <f>IF(KM238=0,0,IF(LEN(JX238)=11,_xlfn.XLOOKUP(JX238,'Dispensed Ink Rates'!C:C,'Dispensed Ink Rates'!CS:CS),VLOOKUP(JX238,'Jan-2026 rates'!$E:$F,2,0)))</f>
        <v>0</v>
      </c>
      <c r="KO238" s="409" t="s">
        <v>1443</v>
      </c>
      <c r="KP238" s="409">
        <v>30</v>
      </c>
      <c r="KQ238" s="411">
        <f t="shared" si="180"/>
        <v>0</v>
      </c>
      <c r="KR238" s="411">
        <f t="shared" si="181"/>
        <v>403</v>
      </c>
      <c r="KS238" s="410">
        <f t="shared" si="182"/>
        <v>0</v>
      </c>
      <c r="KT238" s="409">
        <v>2</v>
      </c>
      <c r="KU238" s="409">
        <v>5</v>
      </c>
      <c r="KV238" s="409">
        <v>2</v>
      </c>
      <c r="KW238" s="409">
        <v>2</v>
      </c>
      <c r="KX238" s="409">
        <v>2</v>
      </c>
      <c r="KY238" s="409">
        <v>2</v>
      </c>
      <c r="KZ238" s="409">
        <v>5</v>
      </c>
      <c r="LA238" s="409">
        <f>60+30</f>
        <v>90</v>
      </c>
      <c r="LB238" s="415">
        <v>0.8</v>
      </c>
      <c r="LC238" s="415">
        <v>0.2</v>
      </c>
      <c r="LD238" s="415"/>
      <c r="LE238" s="415"/>
      <c r="LF238" s="415"/>
      <c r="LG238" s="409">
        <v>0</v>
      </c>
      <c r="LH238" s="409">
        <f>92+65+112+28</f>
        <v>297</v>
      </c>
      <c r="LI238" s="409">
        <v>0</v>
      </c>
      <c r="LJ238" s="409">
        <v>0</v>
      </c>
      <c r="LK238" s="416">
        <f t="shared" si="191"/>
        <v>297</v>
      </c>
      <c r="LL238" s="416">
        <f t="shared" si="192"/>
        <v>297</v>
      </c>
      <c r="LM238" s="417">
        <f t="shared" si="193"/>
        <v>237.60000000000002</v>
      </c>
      <c r="LN238" s="417">
        <f>VLOOKUP($LM$8,'Jan-2026 rates'!$H:$I,2,0)</f>
        <v>0</v>
      </c>
      <c r="LO238" s="417">
        <f t="shared" si="194"/>
        <v>59.400000000000006</v>
      </c>
      <c r="LP238" s="417">
        <f>VLOOKUP($LO$8,'Jan-2026 rates'!$H:$I,2,0)</f>
        <v>0</v>
      </c>
      <c r="LQ238" s="417">
        <f t="shared" si="195"/>
        <v>0</v>
      </c>
      <c r="LR238" s="417">
        <f>VLOOKUP($LQ$8,'Jan-2026 rates'!$H:$I,2,0)</f>
        <v>0</v>
      </c>
      <c r="LS238" s="417">
        <f t="shared" si="196"/>
        <v>0</v>
      </c>
      <c r="LT238" s="417">
        <f>VLOOKUP($LS$8,'Jan-2026 rates'!$H:$I,2,0)</f>
        <v>0</v>
      </c>
      <c r="LU238" s="417">
        <f t="shared" si="197"/>
        <v>0</v>
      </c>
      <c r="LV238" s="417">
        <f>VLOOKUP($LU$8,'Jan-2026 rates'!$H:$I,2,0)</f>
        <v>0</v>
      </c>
      <c r="LW238" s="417">
        <f t="shared" si="198"/>
        <v>0</v>
      </c>
      <c r="LX238" s="417">
        <f t="shared" si="199"/>
        <v>0</v>
      </c>
      <c r="LY238" s="418">
        <f t="shared" si="200"/>
        <v>0</v>
      </c>
      <c r="LZ238" s="417"/>
      <c r="MA238" s="435">
        <f t="shared" si="201"/>
        <v>331</v>
      </c>
      <c r="MB238" s="282">
        <f t="shared" si="202"/>
        <v>588</v>
      </c>
      <c r="MC238" s="283">
        <v>131</v>
      </c>
      <c r="MD238" s="284" t="str">
        <f t="shared" si="203"/>
        <v>FLINTSLFLINTSLFLINTSLFLINTSLFLINTSLFLINTSLFLINTSLFLINTSL</v>
      </c>
      <c r="ME238" s="293" t="str">
        <f t="shared" si="204"/>
        <v>+</v>
      </c>
      <c r="MF238" s="293" t="str">
        <f t="shared" si="205"/>
        <v>+</v>
      </c>
      <c r="MG238" s="293" t="str">
        <f t="shared" si="206"/>
        <v>+</v>
      </c>
      <c r="MH238" s="293" t="str">
        <f t="shared" si="207"/>
        <v>+</v>
      </c>
      <c r="MI238" s="293" t="str">
        <f t="shared" si="208"/>
        <v>+</v>
      </c>
      <c r="MJ238" s="293" t="str">
        <f t="shared" si="209"/>
        <v>+</v>
      </c>
      <c r="MK238" s="293" t="str">
        <f t="shared" si="210"/>
        <v>+</v>
      </c>
      <c r="ML238" s="293" t="str">
        <f t="shared" si="211"/>
        <v>+</v>
      </c>
      <c r="MM238" s="3" t="b">
        <f t="array" ref="MM238">OR(ME238:ML238="-")</f>
        <v>0</v>
      </c>
      <c r="MN238" s="285"/>
      <c r="MO238" s="401"/>
      <c r="MP238" s="286"/>
      <c r="MQ238" s="286"/>
      <c r="MR238" s="402"/>
      <c r="MS238" s="400"/>
      <c r="NH238" s="422"/>
      <c r="NJ238" s="421"/>
    </row>
    <row r="239" spans="1:374" s="1" customFormat="1" ht="16.5">
      <c r="A239" s="403">
        <v>46039</v>
      </c>
      <c r="B239" s="404" t="s">
        <v>1018</v>
      </c>
      <c r="C239" s="405" t="s">
        <v>3990</v>
      </c>
      <c r="D239" s="406">
        <v>132</v>
      </c>
      <c r="E239" s="404">
        <v>501</v>
      </c>
      <c r="F239" s="407">
        <v>24600</v>
      </c>
      <c r="G239" s="407" t="s">
        <v>1019</v>
      </c>
      <c r="H239" s="408" t="s">
        <v>1017</v>
      </c>
      <c r="I239" s="409">
        <v>1.8</v>
      </c>
      <c r="J239" s="405" t="s">
        <v>543</v>
      </c>
      <c r="K239" s="404" t="s">
        <v>3991</v>
      </c>
      <c r="L239" s="419" t="str">
        <f t="shared" si="184"/>
        <v>FLINTSL - BLACK</v>
      </c>
      <c r="M239" s="404">
        <v>30</v>
      </c>
      <c r="N239" s="410">
        <f>IF(M239=0,0,IF($LB239=70%,VLOOKUP($L239,'Jan-2026 rates'!$L:$R,4,0),IF($LB239=65%,VLOOKUP($L239,'Jan-2026 rates'!$L:$R,4,0),IF($LB239=40%,VLOOKUP($L239,'Jan-2026 rates'!$L:$R,5,0),IF($LB239=30%,VLOOKUP($L239,'Jan-2026 rates'!$L:$R,6,0),IF($LB239=100%,VLOOKUP($L239,'Jan-2026 rates'!$L:$R,7,0),IF($LB239=60%,VLOOKUP($L239,'Jan-2026 rates'!$L:$S,8,0),IF($LB239=80%,VLOOKUP($L239,'Jan-2026 rates'!L:T,9,0),0))))))))</f>
        <v>0</v>
      </c>
      <c r="O239" s="406"/>
      <c r="P239" s="404"/>
      <c r="Q239" s="410">
        <f>IF(P239=0,0,IF($LB239=70%,VLOOKUP($L239,'Jan-2026 rates'!$L:$R,4,0),IF($LB239=65%,VLOOKUP($L239,'Jan-2026 rates'!$L:$R,4,0),IF($LB239=40%,VLOOKUP($L239,'Jan-2026 rates'!$L:$R,5,0),IF($LB239=30%,VLOOKUP($L239,'Jan-2026 rates'!$L:$R,6,0),IF($LB239=100%,VLOOKUP($L239,'Jan-2026 rates'!$L:$R,7,0),IF($LB239=60%,VLOOKUP($L239,'Jan-2026 rates'!$L:$S,8,0),IF($LB239=80%,VLOOKUP($L239,'Jan-2026 rates'!L:T,9,0),0))))))))</f>
        <v>0</v>
      </c>
      <c r="R239" s="406">
        <v>26522000008</v>
      </c>
      <c r="S239" s="406"/>
      <c r="T239" s="406"/>
      <c r="U239" s="406"/>
      <c r="V239" s="406"/>
      <c r="W239" s="406"/>
      <c r="X239" s="406"/>
      <c r="Y239" s="406"/>
      <c r="Z239" s="404">
        <f>2+0.5</f>
        <v>2.5</v>
      </c>
      <c r="AA239" s="398" t="e">
        <f>IF(Z239=0,0,IF(LEN(R239)=11,_xlfn.XLOOKUP(R239,'Dispensed Ink Rates'!C:C,'Dispensed Ink Rates'!CS:CS),VLOOKUP(R239,'Jan-2026 rates'!$E:$F,2,0)))</f>
        <v>#N/A</v>
      </c>
      <c r="AB239" s="404"/>
      <c r="AC239" s="398">
        <f>IF(AB239=0,0,IF(LEN(S239)=11,_xlfn.XLOOKUP(S239,'Dispensed Ink Rates'!C:C,'Dispensed Ink Rates'!CS:CS),VLOOKUP(S239,'Jan-2026 rates'!$E:$F,2,0)))</f>
        <v>0</v>
      </c>
      <c r="AD239" s="404"/>
      <c r="AE239" s="398">
        <f>IF(AD239=0,0,IF(LEN(T239)=11,_xlfn.XLOOKUP(T239,'Dispensed Ink Rates'!C:C,'Dispensed Ink Rates'!CS:CS),VLOOKUP(T239,'Jan-2026 rates'!$E:$F,2,0)))</f>
        <v>0</v>
      </c>
      <c r="AF239" s="404"/>
      <c r="AG239" s="398">
        <f>IF(AF239=0,0,IF(LEN(U239)=11,_xlfn.XLOOKUP(U239,'Dispensed Ink Rates'!C:C,'Dispensed Ink Rates'!CS:CS),VLOOKUP(U239,'Jan-2026 rates'!$E:$F,2,0)))</f>
        <v>0</v>
      </c>
      <c r="AH239" s="404"/>
      <c r="AI239" s="398">
        <f>IF(AH239=0,0,IF(LEN(V239)=11,_xlfn.XLOOKUP(V239,'Dispensed Ink Rates'!C:C,'Dispensed Ink Rates'!CS:CS),VLOOKUP(V239,'Jan-2026 rates'!$E:$F,2,0)))</f>
        <v>0</v>
      </c>
      <c r="AJ239" s="404"/>
      <c r="AK239" s="398">
        <f>IF(AJ239=0,0,IF(LEN(W239)=11,_xlfn.XLOOKUP(W239,'Dispensed Ink Rates'!C:C,'Dispensed Ink Rates'!CS:CS),VLOOKUP(W239,'Jan-2026 rates'!$E:$F,2,0)))</f>
        <v>0</v>
      </c>
      <c r="AL239" s="404"/>
      <c r="AM239" s="398">
        <f>IF(AL239=0,0,IF(LEN(X239)=11,_xlfn.XLOOKUP(X239,'Dispensed Ink Rates'!C:C,'Dispensed Ink Rates'!CS:CS),VLOOKUP(X239,'Jan-2026 rates'!$E:$F,2,0)))</f>
        <v>0</v>
      </c>
      <c r="AN239" s="404"/>
      <c r="AO239" s="398">
        <f>IF(AN239=0,0,IF(LEN(Y239)=11,_xlfn.XLOOKUP(Y239,'Dispensed Ink Rates'!C:C,'Dispensed Ink Rates'!CS:CS),VLOOKUP(Y239,'Jan-2026 rates'!$E:$F,2,0)))</f>
        <v>0</v>
      </c>
      <c r="AP239" s="409" t="s">
        <v>1443</v>
      </c>
      <c r="AQ239" s="409">
        <v>28</v>
      </c>
      <c r="AR239" s="410">
        <f t="shared" si="159"/>
        <v>0</v>
      </c>
      <c r="AS239" s="411">
        <f t="shared" si="160"/>
        <v>11.69178082191781</v>
      </c>
      <c r="AT239" s="410">
        <f t="shared" si="161"/>
        <v>0</v>
      </c>
      <c r="AU239" s="405" t="s">
        <v>546</v>
      </c>
      <c r="AV239" s="409"/>
      <c r="AW239" s="420" t="str">
        <f t="shared" si="183"/>
        <v>FLINTSL - REFLEX BLUE</v>
      </c>
      <c r="AX239" s="409"/>
      <c r="AY239" s="411">
        <f>IF(AX239=0,0,IF($LB239=70%,VLOOKUP($AW239,'Jan-2026 rates'!$L:$R,4,0),IF($LB239=65%,VLOOKUP($AW239,'Jan-2026 rates'!$L:$R,4,0),IF($LB239=40%,VLOOKUP($AW239,'Jan-2026 rates'!$L:$R,5,0),IF($LB239=30%,VLOOKUP($AW239,'Jan-2026 rates'!$L:$R,6,0),IF($LB239=100%,VLOOKUP($AW239,'Jan-2026 rates'!$L:$R,7,0),IF($LB239=60%,VLOOKUP($AW239,'Jan-2026 rates'!$L:$S,8,0),IF($LB239=80%,VLOOKUP($AW239,'Jan-2026 rates'!L:T,9,0),0))))))))</f>
        <v>0</v>
      </c>
      <c r="AZ239" s="412"/>
      <c r="BA239" s="409"/>
      <c r="BB239" s="411">
        <f>IF(BA239=0,0,IF($LB239=70%,VLOOKUP($AW239,'Jan-2026 rates'!$L:$R,4,0),IF($LB239=65%,VLOOKUP($AW239,'Jan-2026 rates'!$L:$R,4,0),IF($LB239=40%,VLOOKUP($AW239,'Jan-2026 rates'!$L:$R,5,0),IF($LB239=30%,VLOOKUP($AW239,'Jan-2026 rates'!$L:$R,6,0),IF($LB239=100%,VLOOKUP($AW239,'Jan-2026 rates'!$L:$R,7,0),IF($LB239=60%,VLOOKUP($AW239,'Jan-2026 rates'!$L:$S,8,0),IF($LB239=80%,VLOOKUP($AW239,'Jan-2026 rates'!L:T,9,0),0))))))))</f>
        <v>0</v>
      </c>
      <c r="BC239" s="413">
        <v>26516000006</v>
      </c>
      <c r="BD239" s="412">
        <v>26517000041</v>
      </c>
      <c r="BE239" s="412">
        <v>26517000044</v>
      </c>
      <c r="BF239" s="413"/>
      <c r="BG239" s="412"/>
      <c r="BH239" s="412"/>
      <c r="BI239" s="412"/>
      <c r="BJ239" s="412"/>
      <c r="BK239" s="409">
        <f>2+3</f>
        <v>5</v>
      </c>
      <c r="BL239" s="398" t="e">
        <f>IF(BK239=0,0,IF(LEN(BC239)=11,_xlfn.XLOOKUP(BC239,'Dispensed Ink Rates'!C:C,'Dispensed Ink Rates'!CS:CS),VLOOKUP(BC239,'Jan-2026 rates'!$E:$F,2,0)))</f>
        <v>#N/A</v>
      </c>
      <c r="BM239" s="409">
        <f>3+5</f>
        <v>8</v>
      </c>
      <c r="BN239" s="398" t="e">
        <f>IF(BM239=0,0,IF(LEN(BD239)=11,_xlfn.XLOOKUP(BD239,'Dispensed Ink Rates'!C:C,'Dispensed Ink Rates'!CS:CS),VLOOKUP(BD239,'Jan-2026 rates'!$E:$F,2,0)))</f>
        <v>#N/A</v>
      </c>
      <c r="BO239" s="409">
        <f>3+10</f>
        <v>13</v>
      </c>
      <c r="BP239" s="398" t="e">
        <f>IF(BO239=0,0,IF(LEN(BE239)=11,_xlfn.XLOOKUP(BE239,'Dispensed Ink Rates'!C:C,'Dispensed Ink Rates'!CS:CS),VLOOKUP(BE239,'Jan-2026 rates'!$E:$F,2,0)))</f>
        <v>#N/A</v>
      </c>
      <c r="BQ239" s="409"/>
      <c r="BR239" s="398">
        <f>IF(BQ239=0,0,IF(LEN(BF239)=11,_xlfn.XLOOKUP(BF239,'Dispensed Ink Rates'!C:C,'Dispensed Ink Rates'!CS:CS),VLOOKUP(BF239,'Jan-2026 rates'!$E:$F,2,0)))</f>
        <v>0</v>
      </c>
      <c r="BS239" s="409"/>
      <c r="BT239" s="398">
        <f>IF(BS239=0,0,IF(LEN(BG239)=11,_xlfn.XLOOKUP(BG239,'Dispensed Ink Rates'!C:C,'Dispensed Ink Rates'!CS:CS),VLOOKUP(BG239,'Jan-2026 rates'!$E:$F,2,0)))</f>
        <v>0</v>
      </c>
      <c r="BU239" s="409"/>
      <c r="BV239" s="398">
        <f>IF(BU239=0,0,IF(LEN(BH239)=11,_xlfn.XLOOKUP(BH239,'Dispensed Ink Rates'!C:C,'Dispensed Ink Rates'!CS:CS),VLOOKUP(BH239,'Jan-2026 rates'!$E:$F,2,0)))</f>
        <v>0</v>
      </c>
      <c r="BW239" s="409"/>
      <c r="BX239" s="398">
        <f>IF(BW239=0,0,IF(LEN(BI239)=11,_xlfn.XLOOKUP(BI239,'Dispensed Ink Rates'!C:C,'Dispensed Ink Rates'!CS:CS),VLOOKUP(BI239,'Jan-2026 rates'!$E:$F,2,0)))</f>
        <v>0</v>
      </c>
      <c r="BY239" s="409"/>
      <c r="BZ239" s="398">
        <f>IF(BY239=0,0,IF(LEN(BJ239)=11,_xlfn.XLOOKUP(BJ239,'Dispensed Ink Rates'!C:C,'Dispensed Ink Rates'!CS:CS),VLOOKUP(BJ239,'Jan-2026 rates'!$E:$F,2,0)))</f>
        <v>0</v>
      </c>
      <c r="CA239" s="409" t="s">
        <v>1443</v>
      </c>
      <c r="CB239" s="409">
        <v>27</v>
      </c>
      <c r="CC239" s="411">
        <f t="shared" si="162"/>
        <v>0</v>
      </c>
      <c r="CD239" s="411">
        <f t="shared" si="163"/>
        <v>10.986301369863014</v>
      </c>
      <c r="CE239" s="410">
        <f t="shared" si="164"/>
        <v>0</v>
      </c>
      <c r="CF239" s="404" t="s">
        <v>857</v>
      </c>
      <c r="CG239" s="409" t="s">
        <v>3992</v>
      </c>
      <c r="CH239" s="420" t="str">
        <f t="shared" si="185"/>
        <v>FLINTSL - RED</v>
      </c>
      <c r="CI239" s="409">
        <v>27</v>
      </c>
      <c r="CJ239" s="411">
        <f>IF(CI239=0,0,IF($LB239=70%,VLOOKUP($CH239,'Jan-2026 rates'!$L:$R,4,0),IF($LB239=65%,VLOOKUP($CH239,'Jan-2026 rates'!$L:$R,4,0),IF($LB239=40%,VLOOKUP($CH239,'Jan-2026 rates'!$L:$R,5,0),IF($LB239=30%,VLOOKUP($CH239,'Jan-2026 rates'!$L:$R,6,0),IF($LB239=100%,VLOOKUP($CH239,'Jan-2026 rates'!$L:$R,7,0),IF($LB239=60%,VLOOKUP($CH239,'Jan-2026 rates'!$L:$S,8,0),IF($LB239=80%,VLOOKUP($CH239,'Jan-2026 rates'!L:T,9,0),0))))))))</f>
        <v>0</v>
      </c>
      <c r="CK239" s="412"/>
      <c r="CL239" s="409"/>
      <c r="CM239" s="411">
        <f>IF(CL239=0,0,IF($LB239=70%,VLOOKUP($CH239,'Jan-2026 rates'!$L:$R,4,0),IF($LB239=65%,VLOOKUP($CH239,'Jan-2026 rates'!$L:$R,4,0),IF($LB239=40%,VLOOKUP($CH239,'Jan-2026 rates'!$L:$R,5,0),IF($LB239=30%,VLOOKUP($CH239,'Jan-2026 rates'!$L:$R,6,0),IF($LB239=100%,VLOOKUP($CH239,'Jan-2026 rates'!$L:$R,7,0),IF($LB239=60%,VLOOKUP($CH239,'Jan-2026 rates'!$L:$S,8,0),IF($LB239=80%,VLOOKUP($CH239,'Jan-2026 rates'!L:T,9,0),0))))))))</f>
        <v>0</v>
      </c>
      <c r="CN239" s="426">
        <v>26520000008</v>
      </c>
      <c r="CO239" s="427">
        <v>26518000009</v>
      </c>
      <c r="CP239" s="426"/>
      <c r="CQ239" s="426"/>
      <c r="CR239" s="428"/>
      <c r="CS239" s="428"/>
      <c r="CT239" s="428"/>
      <c r="CU239" s="428"/>
      <c r="CV239" s="409">
        <v>1</v>
      </c>
      <c r="CW239" s="398" t="e">
        <f>IF(CV239=0,0,IF(LEN(CN239)=11,_xlfn.XLOOKUP(CN239,'Dispensed Ink Rates'!C:C,'Dispensed Ink Rates'!CS:CS),VLOOKUP(CN239,'Jan-2026 rates'!$E:$F,2,0)))</f>
        <v>#N/A</v>
      </c>
      <c r="CX239" s="409">
        <v>3</v>
      </c>
      <c r="CY239" s="398" t="e">
        <f>IF(CX239=0,0,IF(LEN(CO239)=11,_xlfn.XLOOKUP(CO239,'Dispensed Ink Rates'!C:C,'Dispensed Ink Rates'!CS:CS),VLOOKUP(CO239,'Jan-2026 rates'!$E:$F,2,0)))</f>
        <v>#N/A</v>
      </c>
      <c r="CZ239" s="409"/>
      <c r="DA239" s="398">
        <f>IF(CZ239=0,0,IF(LEN(CP239)=11,_xlfn.XLOOKUP(CP239,'Dispensed Ink Rates'!C:C,'Dispensed Ink Rates'!CS:CS),VLOOKUP(CP239,'Jan-2026 rates'!$E:$F,2,0)))</f>
        <v>0</v>
      </c>
      <c r="DB239" s="409"/>
      <c r="DC239" s="398">
        <f>IF(DB239=0,0,IF(LEN(CQ239)=11,_xlfn.XLOOKUP(CQ239,'Dispensed Ink Rates'!C:C,'Dispensed Ink Rates'!CS:CS),VLOOKUP(CQ239,'Jan-2026 rates'!$E:$F,2,0)))</f>
        <v>0</v>
      </c>
      <c r="DD239" s="409"/>
      <c r="DE239" s="398">
        <f>IF(DD239=0,0,IF(LEN(CR239)=11,_xlfn.XLOOKUP(CR239,'Dispensed Ink Rates'!C:C,'Dispensed Ink Rates'!CS:CS),VLOOKUP(CR239,'Jan-2026 rates'!$E:$F,2,0)))</f>
        <v>0</v>
      </c>
      <c r="DF239" s="409"/>
      <c r="DG239" s="398">
        <f>IF(DF239=0,0,IF(LEN(CS239)=11,_xlfn.XLOOKUP(CS239,'Dispensed Ink Rates'!C:C,'Dispensed Ink Rates'!CS:CS),VLOOKUP(CS239,'Jan-2026 rates'!$E:$F,2,0)))</f>
        <v>0</v>
      </c>
      <c r="DH239" s="409"/>
      <c r="DI239" s="398">
        <f>IF(DH239=0,0,IF(LEN(CT239)=11,_xlfn.XLOOKUP(CT239,'Dispensed Ink Rates'!C:C,'Dispensed Ink Rates'!CS:CS),VLOOKUP(CT239,'Jan-2026 rates'!$E:$F,2,0)))</f>
        <v>0</v>
      </c>
      <c r="DJ239" s="409"/>
      <c r="DK239" s="398">
        <f>IF(DJ239=0,0,IF(LEN(CU239)=11,_xlfn.XLOOKUP(CU239,'Dispensed Ink Rates'!C:C,'Dispensed Ink Rates'!CS:CS),VLOOKUP(CU239,'Jan-2026 rates'!$E:$F,2,0)))</f>
        <v>0</v>
      </c>
      <c r="DL239" s="409" t="s">
        <v>1443</v>
      </c>
      <c r="DM239" s="409">
        <v>26</v>
      </c>
      <c r="DN239" s="411">
        <f t="shared" si="165"/>
        <v>0</v>
      </c>
      <c r="DO239" s="411">
        <f t="shared" si="166"/>
        <v>14.589041095890408</v>
      </c>
      <c r="DP239" s="410">
        <f t="shared" si="167"/>
        <v>0</v>
      </c>
      <c r="DQ239" s="405" t="s">
        <v>828</v>
      </c>
      <c r="DR239" s="409" t="s">
        <v>3993</v>
      </c>
      <c r="DS239" s="420" t="str">
        <f t="shared" si="186"/>
        <v>FLINTSL - ORANGE</v>
      </c>
      <c r="DT239" s="409">
        <v>10</v>
      </c>
      <c r="DU239" s="411">
        <f>IF(DT239=0,0,IF($LB239=70%,VLOOKUP($DS239,'Jan-2026 rates'!$L:$R,4,0),IF($LB239=65%,VLOOKUP($DS239,'Jan-2026 rates'!$L:$R,4,0),IF($LB239=40%,VLOOKUP($DS239,'Jan-2026 rates'!$L:$R,5,0),IF($LB239=30%,VLOOKUP($DS239,'Jan-2026 rates'!$L:$R,6,0),IF($LB239=100%,VLOOKUP($DS239,'Jan-2026 rates'!$L:$R,7,0),IF($LB239=60%,VLOOKUP($DS239,'Jan-2026 rates'!$L:$S,8,0),IF($LB239=80%,VLOOKUP($DS239,'Jan-2026 rates'!L:T,9,0),0))))))))</f>
        <v>0</v>
      </c>
      <c r="DV239" s="412"/>
      <c r="DW239" s="409"/>
      <c r="DX239" s="411">
        <f>IF(DW239=0,0,IF($LB239=70%,VLOOKUP($DS239,'Jan-2026 rates'!$L:$R,4,0),IF($LB239=65%,VLOOKUP($DS239,'Jan-2026 rates'!$L:$R,4,0),IF($LB239=40%,VLOOKUP($DS239,'Jan-2026 rates'!$L:$R,5,0),IF($LB239=30%,VLOOKUP($DS239,'Jan-2026 rates'!$L:$R,6,0),IF($LB239=100%,VLOOKUP($DS239,'Jan-2026 rates'!$L:$R,7,0),IF($LB239=60%,VLOOKUP($DS239,'Jan-2026 rates'!$L:$S,8,0),IF($LB239=80%,VLOOKUP($DS239,'Jan-2026 rates'!L:T,9,0),0))))))))</f>
        <v>0</v>
      </c>
      <c r="DY239" s="413">
        <v>26518000008</v>
      </c>
      <c r="DZ239" s="413">
        <v>26518000007</v>
      </c>
      <c r="EA239" s="412">
        <v>26517000032</v>
      </c>
      <c r="EB239" s="412">
        <v>26518000010</v>
      </c>
      <c r="EC239" s="412">
        <v>26518000009</v>
      </c>
      <c r="ED239" s="412"/>
      <c r="EE239" s="412"/>
      <c r="EF239" s="412"/>
      <c r="EG239" s="409">
        <v>25</v>
      </c>
      <c r="EH239" s="398" t="e">
        <f>IF(EG239=0,0,IF(LEN(DY239)=11,_xlfn.XLOOKUP(DY239,'Dispensed Ink Rates'!C:C,'Dispensed Ink Rates'!CS:CS),VLOOKUP(DY239,'Jan-2026 rates'!$E:$F,2,0)))</f>
        <v>#N/A</v>
      </c>
      <c r="EI239" s="409">
        <v>40</v>
      </c>
      <c r="EJ239" s="398" t="e">
        <f>IF(EI239=0,0,IF(LEN(DZ239)=11,_xlfn.XLOOKUP(DZ239,'Dispensed Ink Rates'!C:C,'Dispensed Ink Rates'!CS:CS),VLOOKUP(DZ239,'Jan-2026 rates'!$E:$F,2,0)))</f>
        <v>#N/A</v>
      </c>
      <c r="EK239" s="409">
        <v>2</v>
      </c>
      <c r="EL239" s="398" t="e">
        <f>IF(EK239=0,0,IF(LEN(EA239)=11,_xlfn.XLOOKUP(EA239,'Dispensed Ink Rates'!C:C,'Dispensed Ink Rates'!CS:CS),VLOOKUP(EA239,'Jan-2026 rates'!$E:$F,2,0)))</f>
        <v>#N/A</v>
      </c>
      <c r="EM239" s="409">
        <v>10</v>
      </c>
      <c r="EN239" s="398" t="e">
        <f>IF(EM239=0,0,IF(LEN(EB239)=11,_xlfn.XLOOKUP(EB239,'Dispensed Ink Rates'!C:C,'Dispensed Ink Rates'!CS:CS),VLOOKUP(EB239,'Jan-2026 rates'!$E:$F,2,0)))</f>
        <v>#N/A</v>
      </c>
      <c r="EO239" s="409">
        <v>1</v>
      </c>
      <c r="EP239" s="398" t="e">
        <f>IF(EO239=0,0,IF(LEN(EC239)=11,_xlfn.XLOOKUP(EC239,'Dispensed Ink Rates'!C:C,'Dispensed Ink Rates'!CS:CS),VLOOKUP(EC239,'Jan-2026 rates'!$E:$F,2,0)))</f>
        <v>#N/A</v>
      </c>
      <c r="EQ239" s="409"/>
      <c r="ER239" s="398">
        <f>IF(EQ239=0,0,IF(LEN(ED239)=11,_xlfn.XLOOKUP(ED239,'Dispensed Ink Rates'!C:C,'Dispensed Ink Rates'!CS:CS),VLOOKUP(ED239,'Jan-2026 rates'!$E:$F,2,0)))</f>
        <v>0</v>
      </c>
      <c r="ES239" s="409"/>
      <c r="ET239" s="398">
        <f>IF(ES239=0,0,IF(LEN(EE239)=11,_xlfn.XLOOKUP(EE239,'Dispensed Ink Rates'!C:C,'Dispensed Ink Rates'!CS:CS),VLOOKUP(EE239,'Jan-2026 rates'!$E:$F,2,0)))</f>
        <v>0</v>
      </c>
      <c r="EU239" s="409"/>
      <c r="EV239" s="398">
        <f>IF(EU239=0,0,IF(LEN(EF239)=11,_xlfn.XLOOKUP(EF239,'Dispensed Ink Rates'!C:C,'Dispensed Ink Rates'!CS:CS),VLOOKUP(EF239,'Jan-2026 rates'!$E:$F,2,0)))</f>
        <v>0</v>
      </c>
      <c r="EW239" s="409" t="s">
        <v>1443</v>
      </c>
      <c r="EX239" s="409">
        <v>19</v>
      </c>
      <c r="EY239" s="411">
        <f t="shared" si="168"/>
        <v>0</v>
      </c>
      <c r="EZ239" s="411">
        <f t="shared" si="169"/>
        <v>104.95890410958904</v>
      </c>
      <c r="FA239" s="410">
        <f t="shared" si="170"/>
        <v>0</v>
      </c>
      <c r="FB239" s="405" t="s">
        <v>855</v>
      </c>
      <c r="FC239" s="409" t="s">
        <v>3994</v>
      </c>
      <c r="FD239" s="420" t="str">
        <f t="shared" si="187"/>
        <v>FLINTSL - CYAN</v>
      </c>
      <c r="FE239" s="409">
        <v>30</v>
      </c>
      <c r="FF239" s="411">
        <f>IF(FE239=0,0,IF($LB239=70%,VLOOKUP($FD239,'Jan-2026 rates'!$L:$R,4,0),IF($LB239=65%,VLOOKUP($FD239,'Jan-2026 rates'!$L:$R,4,0),IF($LB239=40%,VLOOKUP($FD239,'Jan-2026 rates'!$L:$R,5,0),IF($LB239=30%,VLOOKUP($FD239,'Jan-2026 rates'!$L:$R,6,0),IF($LB239=100%,VLOOKUP($FD239,'Jan-2026 rates'!$L:$R,7,0),IF($LB239=60%,VLOOKUP($FD239,'Jan-2026 rates'!$L:$S,8,0),IF($LB239=80%,VLOOKUP($FD239,'Jan-2026 rates'!L:T,9,0),0))))))))</f>
        <v>0</v>
      </c>
      <c r="FG239" s="412"/>
      <c r="FH239" s="409"/>
      <c r="FI239" s="411">
        <f>IF(FH239=0,0,IF($LB239=70%,VLOOKUP($FD239,'Jan-2026 rates'!$L:$R,4,0),IF($LB239=65%,VLOOKUP($FD239,'Jan-2026 rates'!$L:$R,4,0),IF($LB239=40%,VLOOKUP($FD239,'Jan-2026 rates'!$L:$R,5,0),IF($LB239=30%,VLOOKUP($FD239,'Jan-2026 rates'!$L:$R,6,0),IF($LB239=100%,VLOOKUP($FD239,'Jan-2026 rates'!$L:$R,7,0),IF($LB239=60%,VLOOKUP($FD239,'Jan-2026 rates'!$L:$S,8,0),IF($LB239=80%,VLOOKUP($FD239,'Jan-2026 rates'!L:T,9,0),0))))))))</f>
        <v>0</v>
      </c>
      <c r="FJ239" s="413" t="s">
        <v>1266</v>
      </c>
      <c r="FK239" s="413"/>
      <c r="FL239" s="413"/>
      <c r="FM239" s="412"/>
      <c r="FN239" s="412"/>
      <c r="FO239" s="412"/>
      <c r="FP239" s="412"/>
      <c r="FQ239" s="412"/>
      <c r="FR239" s="409">
        <v>3</v>
      </c>
      <c r="FS239" s="398">
        <f>IF(FR239=0,0,IF(LEN(FJ239)=11,_xlfn.XLOOKUP(FJ239,'Dispensed Ink Rates'!C:C,'Dispensed Ink Rates'!CS:CS),VLOOKUP(FJ239,'Jan-2026 rates'!$E:$F,2,0)))</f>
        <v>0</v>
      </c>
      <c r="FT239" s="409"/>
      <c r="FU239" s="398">
        <f>IF(FT239=0,0,IF(LEN(FK239)=11,_xlfn.XLOOKUP(FK239,'Dispensed Ink Rates'!C:C,'Dispensed Ink Rates'!CS:CS),VLOOKUP(FK239,'Jan-2026 rates'!$E:$F,2,0)))</f>
        <v>0</v>
      </c>
      <c r="FV239" s="409"/>
      <c r="FW239" s="398">
        <f>IF(FV239=0,0,IF(LEN(FL239)=11,_xlfn.XLOOKUP(FL239,'Dispensed Ink Rates'!C:C,'Dispensed Ink Rates'!CS:CS),VLOOKUP(FL239,'Jan-2026 rates'!$E:$F,2,0)))</f>
        <v>0</v>
      </c>
      <c r="FX239" s="409"/>
      <c r="FY239" s="398">
        <f>IF(FX239=0,0,IF(LEN(FM239)=11,_xlfn.XLOOKUP(FM239,'Dispensed Ink Rates'!C:C,'Dispensed Ink Rates'!CS:CS),VLOOKUP(FM239,'Jan-2026 rates'!$E:$F,2,0)))</f>
        <v>0</v>
      </c>
      <c r="FZ239" s="409"/>
      <c r="GA239" s="398">
        <f>IF(FZ239=0,0,IF(LEN(FN239)=11,_xlfn.XLOOKUP(FN239,'Dispensed Ink Rates'!C:C,'Dispensed Ink Rates'!CS:CS),VLOOKUP(FN239,'Jan-2026 rates'!$E:$F,2,0)))</f>
        <v>0</v>
      </c>
      <c r="GB239" s="409"/>
      <c r="GC239" s="398">
        <f>IF(GB239=0,0,IF(LEN(FO239)=11,_xlfn.XLOOKUP(FO239,'Dispensed Ink Rates'!C:C,'Dispensed Ink Rates'!CS:CS),VLOOKUP(FO239,'Jan-2026 rates'!$E:$F,2,0)))</f>
        <v>0</v>
      </c>
      <c r="GD239" s="409"/>
      <c r="GE239" s="398">
        <f>IF(GD239=0,0,IF(LEN(FP239)=11,_xlfn.XLOOKUP(FP239,'Dispensed Ink Rates'!C:C,'Dispensed Ink Rates'!CS:CS),VLOOKUP(FP239,'Jan-2026 rates'!$E:$F,2,0)))</f>
        <v>0</v>
      </c>
      <c r="GF239" s="409"/>
      <c r="GG239" s="398">
        <f>IF(GF239=0,0,IF(LEN(FQ239)=11,_xlfn.XLOOKUP(FQ239,'Dispensed Ink Rates'!C:C,'Dispensed Ink Rates'!CS:CS),VLOOKUP(FQ239,'Jan-2026 rates'!$E:$F,2,0)))</f>
        <v>0</v>
      </c>
      <c r="GH239" s="409" t="s">
        <v>1443</v>
      </c>
      <c r="GI239" s="409">
        <v>29</v>
      </c>
      <c r="GJ239" s="411">
        <f t="shared" si="171"/>
        <v>0</v>
      </c>
      <c r="GK239" s="411">
        <f t="shared" si="172"/>
        <v>11.19178082191781</v>
      </c>
      <c r="GL239" s="410">
        <f t="shared" si="173"/>
        <v>0</v>
      </c>
      <c r="GM239" s="405" t="s">
        <v>544</v>
      </c>
      <c r="GN239" s="409" t="s">
        <v>3995</v>
      </c>
      <c r="GO239" s="420" t="str">
        <f t="shared" si="188"/>
        <v>FLINTSL - MAGENTA</v>
      </c>
      <c r="GP239" s="409">
        <v>28</v>
      </c>
      <c r="GQ239" s="411">
        <f>IF(GP239=0,0,IF($LB239=70%,VLOOKUP($GO239,'Jan-2026 rates'!$L:$R,4,0),IF($LB239=65%,VLOOKUP($GO239,'Jan-2026 rates'!$L:$R,4,0),IF($LB239=40%,VLOOKUP($GO239,'Jan-2026 rates'!$L:$R,5,0),IF($LB239=30%,VLOOKUP($GO239,'Jan-2026 rates'!$L:$R,6,0),IF($LB239=100%,VLOOKUP($GO239,'Jan-2026 rates'!$L:$R,7,0),IF($LB239=60%,VLOOKUP($GO239,'Jan-2026 rates'!$L:$S,8,0),IF($LB239=80%,VLOOKUP($GO239,'Jan-2026 rates'!L:T,9,0),0))))))))</f>
        <v>0</v>
      </c>
      <c r="GR239" s="412"/>
      <c r="GS239" s="409"/>
      <c r="GT239" s="411">
        <f>IF(GS239=0,0,IF($LB239=70%,VLOOKUP($GO239,'Jan-2026 rates'!$L:$R,4,0),IF($LB239=65%,VLOOKUP($GO239,'Jan-2026 rates'!$L:$R,4,0),IF($LB239=40%,VLOOKUP($GO239,'Jan-2026 rates'!$L:$R,5,0),IF($LB239=30%,VLOOKUP($GO239,'Jan-2026 rates'!$L:$R,6,0),IF($LB239=100%,VLOOKUP($GO239,'Jan-2026 rates'!$L:$R,7,0),IF($LB239=60%,VLOOKUP($GO239,'Jan-2026 rates'!$L:$S,8,0),IF($LB239=80%,VLOOKUP($GO239,'Jan-2026 rates'!L:T,9,0),0))))))))</f>
        <v>0</v>
      </c>
      <c r="GU239" s="413">
        <v>26518000009</v>
      </c>
      <c r="GV239" s="413" t="s">
        <v>1266</v>
      </c>
      <c r="GW239" s="412"/>
      <c r="GX239" s="412"/>
      <c r="GY239" s="412"/>
      <c r="GZ239" s="412"/>
      <c r="HA239" s="412"/>
      <c r="HB239" s="412"/>
      <c r="HC239" s="409">
        <f>3+1</f>
        <v>4</v>
      </c>
      <c r="HD239" s="398" t="e">
        <f>IF(HC239=0,0,IF(LEN(GU239)=11,_xlfn.XLOOKUP(GU239,'Dispensed Ink Rates'!C:C,'Dispensed Ink Rates'!CS:CS),VLOOKUP(GU239,'Jan-2026 rates'!$E:$F,2,0)))</f>
        <v>#N/A</v>
      </c>
      <c r="HE239" s="409">
        <v>2</v>
      </c>
      <c r="HF239" s="398">
        <f>IF(HE239=0,0,IF(LEN(GV239)=11,_xlfn.XLOOKUP(GV239,'Dispensed Ink Rates'!C:C,'Dispensed Ink Rates'!CS:CS),VLOOKUP(GV239,'Jan-2026 rates'!$E:$F,2,0)))</f>
        <v>0</v>
      </c>
      <c r="HG239" s="409"/>
      <c r="HH239" s="398">
        <f>IF(HG239=0,0,IF(LEN(GW239)=11,_xlfn.XLOOKUP(GW239,'Dispensed Ink Rates'!C:C,'Dispensed Ink Rates'!CS:CS),VLOOKUP(GW239,'Jan-2026 rates'!$E:$F,2,0)))</f>
        <v>0</v>
      </c>
      <c r="HI239" s="409"/>
      <c r="HJ239" s="398">
        <f>IF(HI239=0,0,IF(LEN(GX239)=11,_xlfn.XLOOKUP(GX239,'Dispensed Ink Rates'!C:C,'Dispensed Ink Rates'!CS:CS),VLOOKUP(GX239,'Jan-2026 rates'!$E:$F,2,0)))</f>
        <v>0</v>
      </c>
      <c r="HK239" s="409"/>
      <c r="HL239" s="398">
        <f>IF(HK239=0,0,IF(LEN(GY239)=11,_xlfn.XLOOKUP(GY239,'Dispensed Ink Rates'!C:C,'Dispensed Ink Rates'!CS:CS),VLOOKUP(GY239,'Jan-2026 rates'!$E:$F,2,0)))</f>
        <v>0</v>
      </c>
      <c r="HM239" s="409"/>
      <c r="HN239" s="398">
        <f>IF(HM239=0,0,IF(LEN(GZ239)=11,_xlfn.XLOOKUP(GZ239,'Dispensed Ink Rates'!C:C,'Dispensed Ink Rates'!CS:CS),VLOOKUP(GZ239,'Jan-2026 rates'!$E:$F,2,0)))</f>
        <v>0</v>
      </c>
      <c r="HO239" s="409"/>
      <c r="HP239" s="398">
        <f>IF(HO239=0,0,IF(LEN(HA239)=11,_xlfn.XLOOKUP(HA239,'Dispensed Ink Rates'!C:C,'Dispensed Ink Rates'!CS:CS),VLOOKUP(HA239,'Jan-2026 rates'!$E:$F,2,0)))</f>
        <v>0</v>
      </c>
      <c r="HQ239" s="409"/>
      <c r="HR239" s="398">
        <f>IF(HQ239=0,0,IF(LEN(HB239)=11,_xlfn.XLOOKUP(HB239,'Dispensed Ink Rates'!C:C,'Dispensed Ink Rates'!CS:CS),VLOOKUP(HB239,'Jan-2026 rates'!$E:$F,2,0)))</f>
        <v>0</v>
      </c>
      <c r="HS239" s="409" t="s">
        <v>1443</v>
      </c>
      <c r="HT239" s="409">
        <v>27</v>
      </c>
      <c r="HU239" s="411">
        <f t="shared" si="174"/>
        <v>0</v>
      </c>
      <c r="HV239" s="411">
        <f t="shared" si="175"/>
        <v>16.589041095890408</v>
      </c>
      <c r="HW239" s="414">
        <f t="shared" si="176"/>
        <v>0</v>
      </c>
      <c r="HX239" s="405" t="s">
        <v>545</v>
      </c>
      <c r="HY239" s="409" t="s">
        <v>3996</v>
      </c>
      <c r="HZ239" s="420" t="str">
        <f t="shared" si="189"/>
        <v>FLINTSL - YELLOW</v>
      </c>
      <c r="IA239" s="409">
        <v>25</v>
      </c>
      <c r="IB239" s="411">
        <f>IF(IA239=0,0,IF($LB239=70%,VLOOKUP($HZ239,'Jan-2026 rates'!$L:$R,4,0),IF($LB239=65%,VLOOKUP($HZ239,'Jan-2026 rates'!$L:$R,4,0),IF($LB239=40%,VLOOKUP($HZ239,'Jan-2026 rates'!$L:$R,5,0),IF($LB239=30%,VLOOKUP($HZ239,'Jan-2026 rates'!$L:$R,6,0),IF($LB239=100%,VLOOKUP($HZ239,'Jan-2026 rates'!$L:$R,7,0),IF($LB239=60%,VLOOKUP($HZ239,'Jan-2026 rates'!$L:$S,8,0),IF($LB239=80%,VLOOKUP($HZ239,'Jan-2026 rates'!L:T,9,0),0))))))))</f>
        <v>0</v>
      </c>
      <c r="IC239" s="412"/>
      <c r="ID239" s="409"/>
      <c r="IE239" s="411">
        <f>IF(ID239=0,0,IF($LB239=70%,VLOOKUP($HZ239,'Jan-2026 rates'!$L:$R,4,0),IF($LB239=65%,VLOOKUP($HZ239,'Jan-2026 rates'!$L:$R,4,0),IF($LB239=40%,VLOOKUP($HZ239,'Jan-2026 rates'!$L:$R,5,0),IF($LB239=30%,VLOOKUP($HZ239,'Jan-2026 rates'!$L:$R,6,0),IF($LB239=100%,VLOOKUP($HZ239,'Jan-2026 rates'!$L:$R,7,0),IF($LB239=60%,VLOOKUP($HZ239,'Jan-2026 rates'!$L:$S,8,0),IF($LB239=80%,VLOOKUP($HZ239,'Jan-2026 rates'!L:T,9,0),0))))))))</f>
        <v>0</v>
      </c>
      <c r="IF239" s="412">
        <v>26517000032</v>
      </c>
      <c r="IG239" s="413" t="s">
        <v>1266</v>
      </c>
      <c r="IH239" s="412"/>
      <c r="II239" s="412"/>
      <c r="IJ239" s="412"/>
      <c r="IK239" s="412"/>
      <c r="IL239" s="412"/>
      <c r="IM239" s="412"/>
      <c r="IN239" s="409">
        <f>3+1</f>
        <v>4</v>
      </c>
      <c r="IO239" s="398" t="e">
        <f>IF(IN239=0,0,IF(LEN(IF239)=11,_xlfn.XLOOKUP(IF239,'Dispensed Ink Rates'!C:C,'Dispensed Ink Rates'!CS:CS),VLOOKUP(IF239,'Jan-2026 rates'!$E:$F,2,0)))</f>
        <v>#N/A</v>
      </c>
      <c r="IP239" s="409">
        <v>2</v>
      </c>
      <c r="IQ239" s="398">
        <f>IF(IP239=0,0,IF(LEN(IG239)=11,_xlfn.XLOOKUP(IG239,'Dispensed Ink Rates'!C:C,'Dispensed Ink Rates'!CS:CS),VLOOKUP(IG239,'Jan-2026 rates'!$E:$F,2,0)))</f>
        <v>0</v>
      </c>
      <c r="IR239" s="409"/>
      <c r="IS239" s="398">
        <f>IF(IR239=0,0,IF(LEN(IH239)=11,_xlfn.XLOOKUP(IH239,'Dispensed Ink Rates'!C:C,'Dispensed Ink Rates'!CS:CS),VLOOKUP(IH239,'Jan-2026 rates'!$E:$F,2,0)))</f>
        <v>0</v>
      </c>
      <c r="IT239" s="409"/>
      <c r="IU239" s="398">
        <f>IF(IT239=0,0,IF(LEN(II239)=11,_xlfn.XLOOKUP(II239,'Dispensed Ink Rates'!C:C,'Dispensed Ink Rates'!CS:CS),VLOOKUP(II239,'Jan-2026 rates'!$E:$F,2,0)))</f>
        <v>0</v>
      </c>
      <c r="IV239" s="409"/>
      <c r="IW239" s="398">
        <f>IF(IV239=0,0,IF(LEN(IJ239)=11,_xlfn.XLOOKUP(IJ239,'Dispensed Ink Rates'!C:C,'Dispensed Ink Rates'!CS:CS),VLOOKUP(IJ239,'Jan-2026 rates'!$E:$F,2,0)))</f>
        <v>0</v>
      </c>
      <c r="IX239" s="409"/>
      <c r="IY239" s="398">
        <f>IF(IX239=0,0,IF(LEN(IK239)=11,_xlfn.XLOOKUP(IK239,'Dispensed Ink Rates'!C:C,'Dispensed Ink Rates'!CS:CS),VLOOKUP(IK239,'Jan-2026 rates'!$E:$F,2,0)))</f>
        <v>0</v>
      </c>
      <c r="IZ239" s="409"/>
      <c r="JA239" s="398">
        <f>IF(IZ239=0,0,IF(LEN(IL239)=11,_xlfn.XLOOKUP(IL239,'Dispensed Ink Rates'!C:C,'Dispensed Ink Rates'!CS:CS),VLOOKUP(IL239,'Jan-2026 rates'!$E:$F,2,0)))</f>
        <v>0</v>
      </c>
      <c r="JB239" s="409"/>
      <c r="JC239" s="398">
        <f>IF(JB239=0,0,IF(LEN(IM239)=11,_xlfn.XLOOKUP(IM239,'Dispensed Ink Rates'!C:C,'Dispensed Ink Rates'!CS:CS),VLOOKUP(IM239,'Jan-2026 rates'!$E:$F,2,0)))</f>
        <v>0</v>
      </c>
      <c r="JD239" s="409" t="s">
        <v>1443</v>
      </c>
      <c r="JE239" s="409">
        <v>26</v>
      </c>
      <c r="JF239" s="411">
        <f t="shared" si="177"/>
        <v>0</v>
      </c>
      <c r="JG239" s="411">
        <f t="shared" si="178"/>
        <v>14.589041095890408</v>
      </c>
      <c r="JH239" s="410">
        <f t="shared" si="179"/>
        <v>0</v>
      </c>
      <c r="JI239" s="405" t="s">
        <v>856</v>
      </c>
      <c r="JJ239" s="409" t="s">
        <v>3997</v>
      </c>
      <c r="JK239" s="420" t="str">
        <f t="shared" si="190"/>
        <v>FLINTSL - WHITE</v>
      </c>
      <c r="JL239" s="409">
        <v>30</v>
      </c>
      <c r="JM239" s="411">
        <f>IF(JL239=0,0,IF($LB239=70%,VLOOKUP($JK239,'Jan-2026 rates'!$L:$R,4,0),IF($LB239=65%,VLOOKUP($JK239,'Jan-2026 rates'!$L:$R,4,0),IF($LB239=40%,VLOOKUP($JK239,'Jan-2026 rates'!$L:$R,5,0),IF($LB239=30%,VLOOKUP($JK239,'Jan-2026 rates'!$L:$R,6,0),IF($LB239=100%,VLOOKUP($JK239,'Jan-2026 rates'!$L:$R,7,0),IF($LB239=60%,VLOOKUP($JK239,'Jan-2026 rates'!$L:$S,8,0),IF($LB239=80%,VLOOKUP($JK239,'Jan-2026 rates'!L:T,9,0),0))))))))</f>
        <v>0</v>
      </c>
      <c r="JN239" s="412"/>
      <c r="JO239" s="409"/>
      <c r="JP239" s="411">
        <f>IF(JO239=0,0,IF($LB239=70%,VLOOKUP($JK239,'Jan-2026 rates'!$L:$R,4,0),IF($LB239=65%,VLOOKUP($JK239,'Jan-2026 rates'!$L:$R,4,0),IF($LB239=40%,VLOOKUP($JK239,'Jan-2026 rates'!$L:$R,5,0),IF($LB239=30%,VLOOKUP($JK239,'Jan-2026 rates'!$L:$R,6,0),IF($LB239=100%,VLOOKUP($JK239,'Jan-2026 rates'!$L:$R,7,0),IF($LB239=60%,VLOOKUP($JK239,'Jan-2026 rates'!$L:$S,8,0),IF($LB239=80%,VLOOKUP($JK239,'Jan-2026 rates'!L:T,9,0),0))))))))</f>
        <v>0</v>
      </c>
      <c r="JQ239" s="413" t="s">
        <v>484</v>
      </c>
      <c r="JR239" s="412"/>
      <c r="JS239" s="413"/>
      <c r="JT239" s="413"/>
      <c r="JU239" s="412"/>
      <c r="JV239" s="412"/>
      <c r="JW239" s="412"/>
      <c r="JX239" s="412"/>
      <c r="JY239" s="409">
        <v>60</v>
      </c>
      <c r="JZ239" s="398">
        <f>IF(JY239=0,0,IF(LEN(JQ239)=11,_xlfn.XLOOKUP(JQ239,'Dispensed Ink Rates'!C:C,'Dispensed Ink Rates'!CS:CS),VLOOKUP(JQ239,'Jan-2026 rates'!$E:$F,2,0)))</f>
        <v>0</v>
      </c>
      <c r="KA239" s="409"/>
      <c r="KB239" s="398">
        <f>IF(KA239=0,0,IF(LEN(JR239)=11,_xlfn.XLOOKUP(JR239,'Dispensed Ink Rates'!C:C,'Dispensed Ink Rates'!CS:CS),VLOOKUP(JR239,'Jan-2026 rates'!$E:$F,2,0)))</f>
        <v>0</v>
      </c>
      <c r="KC239" s="409"/>
      <c r="KD239" s="398">
        <f>IF(KC239=0,0,IF(LEN(JS239)=11,_xlfn.XLOOKUP(JS239,'Dispensed Ink Rates'!C:C,'Dispensed Ink Rates'!CS:CS),VLOOKUP(JS239,'Jan-2026 rates'!$E:$F,2,0)))</f>
        <v>0</v>
      </c>
      <c r="KE239" s="409"/>
      <c r="KF239" s="398">
        <f>IF(KE239=0,0,IF(LEN(JT239)=11,_xlfn.XLOOKUP(JT239,'Dispensed Ink Rates'!C:C,'Dispensed Ink Rates'!CS:CS),VLOOKUP(JT239,'Jan-2026 rates'!$E:$F,2,0)))</f>
        <v>0</v>
      </c>
      <c r="KG239" s="409"/>
      <c r="KH239" s="398">
        <f>IF(KG239=0,0,IF(LEN(JU239)=11,_xlfn.XLOOKUP(JU239,'Dispensed Ink Rates'!C:C,'Dispensed Ink Rates'!CS:CS),VLOOKUP(JU239,'Jan-2026 rates'!$E:$F,2,0)))</f>
        <v>0</v>
      </c>
      <c r="KI239" s="409"/>
      <c r="KJ239" s="398">
        <f>IF(KI239=0,0,IF(LEN(JV239)=11,_xlfn.XLOOKUP(JV239,'Dispensed Ink Rates'!C:C,'Dispensed Ink Rates'!CS:CS),VLOOKUP(JV239,'Jan-2026 rates'!$E:$F,2,0)))</f>
        <v>0</v>
      </c>
      <c r="KK239" s="409"/>
      <c r="KL239" s="398">
        <f>IF(KK239=0,0,IF(LEN(JW239)=11,_xlfn.XLOOKUP(JW239,'Dispensed Ink Rates'!C:C,'Dispensed Ink Rates'!CS:CS),VLOOKUP(JW239,'Jan-2026 rates'!$E:$F,2,0)))</f>
        <v>0</v>
      </c>
      <c r="KM239" s="428"/>
      <c r="KN239" s="398">
        <f>IF(KM239=0,0,IF(LEN(JX239)=11,_xlfn.XLOOKUP(JX239,'Dispensed Ink Rates'!C:C,'Dispensed Ink Rates'!CS:CS),VLOOKUP(JX239,'Jan-2026 rates'!$E:$F,2,0)))</f>
        <v>0</v>
      </c>
      <c r="KO239" s="409" t="s">
        <v>1443</v>
      </c>
      <c r="KP239" s="409">
        <v>25</v>
      </c>
      <c r="KQ239" s="411">
        <f t="shared" si="180"/>
        <v>0</v>
      </c>
      <c r="KR239" s="411">
        <f t="shared" si="181"/>
        <v>148.90410958904107</v>
      </c>
      <c r="KS239" s="410">
        <f t="shared" si="182"/>
        <v>0</v>
      </c>
      <c r="KT239" s="409">
        <v>3</v>
      </c>
      <c r="KU239" s="409">
        <v>5</v>
      </c>
      <c r="KV239" s="409">
        <v>4</v>
      </c>
      <c r="KW239" s="409">
        <v>15</v>
      </c>
      <c r="KX239" s="409">
        <v>3</v>
      </c>
      <c r="KY239" s="409">
        <v>4</v>
      </c>
      <c r="KZ239" s="409">
        <v>4</v>
      </c>
      <c r="LA239" s="409">
        <v>35</v>
      </c>
      <c r="LB239" s="415">
        <v>0.8</v>
      </c>
      <c r="LC239" s="415">
        <v>0.2</v>
      </c>
      <c r="LD239" s="415"/>
      <c r="LE239" s="415"/>
      <c r="LF239" s="415"/>
      <c r="LG239" s="409">
        <v>0</v>
      </c>
      <c r="LH239" s="409">
        <f>35+40+80+20</f>
        <v>175</v>
      </c>
      <c r="LI239" s="409">
        <v>0</v>
      </c>
      <c r="LJ239" s="409">
        <v>0</v>
      </c>
      <c r="LK239" s="416">
        <f t="shared" si="191"/>
        <v>175</v>
      </c>
      <c r="LL239" s="416">
        <f t="shared" si="192"/>
        <v>175</v>
      </c>
      <c r="LM239" s="417">
        <f t="shared" si="193"/>
        <v>140</v>
      </c>
      <c r="LN239" s="417">
        <f>VLOOKUP($LM$8,'Jan-2026 rates'!$H:$I,2,0)</f>
        <v>0</v>
      </c>
      <c r="LO239" s="417">
        <f t="shared" si="194"/>
        <v>35</v>
      </c>
      <c r="LP239" s="417">
        <f>VLOOKUP($LO$8,'Jan-2026 rates'!$H:$I,2,0)</f>
        <v>0</v>
      </c>
      <c r="LQ239" s="417">
        <f t="shared" si="195"/>
        <v>0</v>
      </c>
      <c r="LR239" s="417">
        <f>VLOOKUP($LQ$8,'Jan-2026 rates'!$H:$I,2,0)</f>
        <v>0</v>
      </c>
      <c r="LS239" s="417">
        <f t="shared" si="196"/>
        <v>0</v>
      </c>
      <c r="LT239" s="417">
        <f>VLOOKUP($LS$8,'Jan-2026 rates'!$H:$I,2,0)</f>
        <v>0</v>
      </c>
      <c r="LU239" s="417">
        <f t="shared" si="197"/>
        <v>0</v>
      </c>
      <c r="LV239" s="417">
        <f>VLOOKUP($LU$8,'Jan-2026 rates'!$H:$I,2,0)</f>
        <v>0</v>
      </c>
      <c r="LW239" s="417">
        <f t="shared" si="198"/>
        <v>0</v>
      </c>
      <c r="LX239" s="417">
        <f t="shared" si="199"/>
        <v>0</v>
      </c>
      <c r="LY239" s="418">
        <f t="shared" si="200"/>
        <v>0</v>
      </c>
      <c r="LZ239" s="417"/>
      <c r="MA239" s="435">
        <f t="shared" si="201"/>
        <v>185.5</v>
      </c>
      <c r="MB239" s="282">
        <f t="shared" si="202"/>
        <v>333.5</v>
      </c>
      <c r="MC239" s="283">
        <v>132</v>
      </c>
      <c r="MD239" s="284" t="str">
        <f t="shared" si="203"/>
        <v>FLINTSLFLINTSLFLINTSLFLINTSLFLINTSLFLINTSLFLINTSLFLINTSL</v>
      </c>
      <c r="ME239" s="293" t="str">
        <f t="shared" si="204"/>
        <v>+</v>
      </c>
      <c r="MF239" s="293" t="str">
        <f t="shared" si="205"/>
        <v>+</v>
      </c>
      <c r="MG239" s="293" t="str">
        <f t="shared" si="206"/>
        <v>+</v>
      </c>
      <c r="MH239" s="293" t="str">
        <f t="shared" si="207"/>
        <v>+</v>
      </c>
      <c r="MI239" s="293" t="str">
        <f t="shared" si="208"/>
        <v>+</v>
      </c>
      <c r="MJ239" s="293" t="str">
        <f t="shared" si="209"/>
        <v>+</v>
      </c>
      <c r="MK239" s="293" t="str">
        <f t="shared" si="210"/>
        <v>+</v>
      </c>
      <c r="ML239" s="293" t="str">
        <f t="shared" si="211"/>
        <v>+</v>
      </c>
      <c r="MM239" s="3" t="b">
        <f t="array" ref="MM239">OR(ME239:ML239="-")</f>
        <v>0</v>
      </c>
      <c r="MN239" s="285"/>
      <c r="MO239" s="401"/>
      <c r="MP239" s="286"/>
      <c r="MQ239" s="286"/>
      <c r="MR239" s="402"/>
      <c r="MS239" s="400"/>
      <c r="NH239" s="422"/>
      <c r="NJ239" s="421"/>
    </row>
    <row r="240" spans="1:374" s="1" customFormat="1" ht="16.5">
      <c r="A240" s="403">
        <v>46039</v>
      </c>
      <c r="B240" s="404" t="s">
        <v>1018</v>
      </c>
      <c r="C240" s="405" t="s">
        <v>3998</v>
      </c>
      <c r="D240" s="406">
        <v>133</v>
      </c>
      <c r="E240" s="404">
        <v>381</v>
      </c>
      <c r="F240" s="407">
        <v>19300</v>
      </c>
      <c r="G240" s="407" t="s">
        <v>1016</v>
      </c>
      <c r="H240" s="408" t="s">
        <v>1017</v>
      </c>
      <c r="I240" s="409">
        <v>1.2</v>
      </c>
      <c r="J240" s="405" t="s">
        <v>543</v>
      </c>
      <c r="K240" s="404" t="s">
        <v>3999</v>
      </c>
      <c r="L240" s="419" t="str">
        <f t="shared" si="184"/>
        <v>FLINTSL - BLACK</v>
      </c>
      <c r="M240" s="404">
        <v>27</v>
      </c>
      <c r="N240" s="410">
        <f>IF(M240=0,0,IF($LB240=70%,VLOOKUP($L240,'Jan-2026 rates'!$L:$R,4,0),IF($LB240=65%,VLOOKUP($L240,'Jan-2026 rates'!$L:$R,4,0),IF($LB240=40%,VLOOKUP($L240,'Jan-2026 rates'!$L:$R,5,0),IF($LB240=30%,VLOOKUP($L240,'Jan-2026 rates'!$L:$R,6,0),IF($LB240=100%,VLOOKUP($L240,'Jan-2026 rates'!$L:$R,7,0),IF($LB240=60%,VLOOKUP($L240,'Jan-2026 rates'!$L:$S,8,0),IF($LB240=80%,VLOOKUP($L240,'Jan-2026 rates'!L:T,9,0),0))))))))</f>
        <v>0</v>
      </c>
      <c r="O240" s="406"/>
      <c r="P240" s="404"/>
      <c r="Q240" s="410">
        <f>IF(P240=0,0,IF($LB240=70%,VLOOKUP($L240,'Jan-2026 rates'!$L:$R,4,0),IF($LB240=65%,VLOOKUP($L240,'Jan-2026 rates'!$L:$R,4,0),IF($LB240=40%,VLOOKUP($L240,'Jan-2026 rates'!$L:$R,5,0),IF($LB240=30%,VLOOKUP($L240,'Jan-2026 rates'!$L:$R,6,0),IF($LB240=100%,VLOOKUP($L240,'Jan-2026 rates'!$L:$R,7,0),IF($LB240=60%,VLOOKUP($L240,'Jan-2026 rates'!$L:$S,8,0),IF($LB240=80%,VLOOKUP($L240,'Jan-2026 rates'!L:T,9,0),0))))))))</f>
        <v>0</v>
      </c>
      <c r="R240" s="406">
        <v>26523000021</v>
      </c>
      <c r="S240" s="406"/>
      <c r="T240" s="406"/>
      <c r="U240" s="406"/>
      <c r="V240" s="406"/>
      <c r="W240" s="406"/>
      <c r="X240" s="406"/>
      <c r="Y240" s="406"/>
      <c r="Z240" s="404">
        <v>5</v>
      </c>
      <c r="AA240" s="398" t="e">
        <f>IF(Z240=0,0,IF(LEN(R240)=11,_xlfn.XLOOKUP(R240,'Dispensed Ink Rates'!C:C,'Dispensed Ink Rates'!CS:CS),VLOOKUP(R240,'Jan-2026 rates'!$E:$F,2,0)))</f>
        <v>#N/A</v>
      </c>
      <c r="AB240" s="404"/>
      <c r="AC240" s="398">
        <f>IF(AB240=0,0,IF(LEN(S240)=11,_xlfn.XLOOKUP(S240,'Dispensed Ink Rates'!C:C,'Dispensed Ink Rates'!CS:CS),VLOOKUP(S240,'Jan-2026 rates'!$E:$F,2,0)))</f>
        <v>0</v>
      </c>
      <c r="AD240" s="404"/>
      <c r="AE240" s="398">
        <f>IF(AD240=0,0,IF(LEN(T240)=11,_xlfn.XLOOKUP(T240,'Dispensed Ink Rates'!C:C,'Dispensed Ink Rates'!CS:CS),VLOOKUP(T240,'Jan-2026 rates'!$E:$F,2,0)))</f>
        <v>0</v>
      </c>
      <c r="AF240" s="404"/>
      <c r="AG240" s="398">
        <f>IF(AF240=0,0,IF(LEN(U240)=11,_xlfn.XLOOKUP(U240,'Dispensed Ink Rates'!C:C,'Dispensed Ink Rates'!CS:CS),VLOOKUP(U240,'Jan-2026 rates'!$E:$F,2,0)))</f>
        <v>0</v>
      </c>
      <c r="AH240" s="404"/>
      <c r="AI240" s="398">
        <f>IF(AH240=0,0,IF(LEN(V240)=11,_xlfn.XLOOKUP(V240,'Dispensed Ink Rates'!C:C,'Dispensed Ink Rates'!CS:CS),VLOOKUP(V240,'Jan-2026 rates'!$E:$F,2,0)))</f>
        <v>0</v>
      </c>
      <c r="AJ240" s="404"/>
      <c r="AK240" s="398">
        <f>IF(AJ240=0,0,IF(LEN(W240)=11,_xlfn.XLOOKUP(W240,'Dispensed Ink Rates'!C:C,'Dispensed Ink Rates'!CS:CS),VLOOKUP(W240,'Jan-2026 rates'!$E:$F,2,0)))</f>
        <v>0</v>
      </c>
      <c r="AL240" s="404"/>
      <c r="AM240" s="398">
        <f>IF(AL240=0,0,IF(LEN(X240)=11,_xlfn.XLOOKUP(X240,'Dispensed Ink Rates'!C:C,'Dispensed Ink Rates'!CS:CS),VLOOKUP(X240,'Jan-2026 rates'!$E:$F,2,0)))</f>
        <v>0</v>
      </c>
      <c r="AN240" s="404"/>
      <c r="AO240" s="398">
        <f>IF(AN240=0,0,IF(LEN(Y240)=11,_xlfn.XLOOKUP(Y240,'Dispensed Ink Rates'!C:C,'Dispensed Ink Rates'!CS:CS),VLOOKUP(Y240,'Jan-2026 rates'!$E:$F,2,0)))</f>
        <v>0</v>
      </c>
      <c r="AP240" s="409" t="s">
        <v>1443</v>
      </c>
      <c r="AQ240" s="409">
        <v>30</v>
      </c>
      <c r="AR240" s="410">
        <f t="shared" si="159"/>
        <v>0</v>
      </c>
      <c r="AS240" s="411">
        <f t="shared" si="160"/>
        <v>10.3125</v>
      </c>
      <c r="AT240" s="410">
        <f t="shared" si="161"/>
        <v>0</v>
      </c>
      <c r="AU240" s="405" t="s">
        <v>547</v>
      </c>
      <c r="AV240" s="409"/>
      <c r="AW240" s="420" t="str">
        <f t="shared" si="183"/>
        <v>FLINTSL - GREEN</v>
      </c>
      <c r="AX240" s="409"/>
      <c r="AY240" s="411">
        <f>IF(AX240=0,0,IF($LB240=70%,VLOOKUP($AW240,'Jan-2026 rates'!$L:$R,4,0),IF($LB240=65%,VLOOKUP($AW240,'Jan-2026 rates'!$L:$R,4,0),IF($LB240=40%,VLOOKUP($AW240,'Jan-2026 rates'!$L:$R,5,0),IF($LB240=30%,VLOOKUP($AW240,'Jan-2026 rates'!$L:$R,6,0),IF($LB240=100%,VLOOKUP($AW240,'Jan-2026 rates'!$L:$R,7,0),IF($LB240=60%,VLOOKUP($AW240,'Jan-2026 rates'!$L:$S,8,0),IF($LB240=80%,VLOOKUP($AW240,'Jan-2026 rates'!L:T,9,0),0))))))))</f>
        <v>0</v>
      </c>
      <c r="AZ240" s="412"/>
      <c r="BA240" s="409"/>
      <c r="BB240" s="411">
        <f>IF(BA240=0,0,IF($LB240=70%,VLOOKUP($AW240,'Jan-2026 rates'!$L:$R,4,0),IF($LB240=65%,VLOOKUP($AW240,'Jan-2026 rates'!$L:$R,4,0),IF($LB240=40%,VLOOKUP($AW240,'Jan-2026 rates'!$L:$R,5,0),IF($LB240=30%,VLOOKUP($AW240,'Jan-2026 rates'!$L:$R,6,0),IF($LB240=100%,VLOOKUP($AW240,'Jan-2026 rates'!$L:$R,7,0),IF($LB240=60%,VLOOKUP($AW240,'Jan-2026 rates'!$L:$S,8,0),IF($LB240=80%,VLOOKUP($AW240,'Jan-2026 rates'!L:T,9,0),0))))))))</f>
        <v>0</v>
      </c>
      <c r="BC240" s="413">
        <v>26518000002</v>
      </c>
      <c r="BD240" s="412">
        <v>26516000006</v>
      </c>
      <c r="BE240" s="412"/>
      <c r="BF240" s="413"/>
      <c r="BG240" s="412"/>
      <c r="BH240" s="412"/>
      <c r="BI240" s="412"/>
      <c r="BJ240" s="412"/>
      <c r="BK240" s="409">
        <f>20+5+10</f>
        <v>35</v>
      </c>
      <c r="BL240" s="398" t="e">
        <f>IF(BK240=0,0,IF(LEN(BC240)=11,_xlfn.XLOOKUP(BC240,'Dispensed Ink Rates'!C:C,'Dispensed Ink Rates'!CS:CS),VLOOKUP(BC240,'Jan-2026 rates'!$E:$F,2,0)))</f>
        <v>#N/A</v>
      </c>
      <c r="BM240" s="409">
        <v>20</v>
      </c>
      <c r="BN240" s="398" t="e">
        <f>IF(BM240=0,0,IF(LEN(BD240)=11,_xlfn.XLOOKUP(BD240,'Dispensed Ink Rates'!C:C,'Dispensed Ink Rates'!CS:CS),VLOOKUP(BD240,'Jan-2026 rates'!$E:$F,2,0)))</f>
        <v>#N/A</v>
      </c>
      <c r="BO240" s="409"/>
      <c r="BP240" s="398">
        <f>IF(BO240=0,0,IF(LEN(BE240)=11,_xlfn.XLOOKUP(BE240,'Dispensed Ink Rates'!C:C,'Dispensed Ink Rates'!CS:CS),VLOOKUP(BE240,'Jan-2026 rates'!$E:$F,2,0)))</f>
        <v>0</v>
      </c>
      <c r="BQ240" s="409"/>
      <c r="BR240" s="398">
        <f>IF(BQ240=0,0,IF(LEN(BF240)=11,_xlfn.XLOOKUP(BF240,'Dispensed Ink Rates'!C:C,'Dispensed Ink Rates'!CS:CS),VLOOKUP(BF240,'Jan-2026 rates'!$E:$F,2,0)))</f>
        <v>0</v>
      </c>
      <c r="BS240" s="409"/>
      <c r="BT240" s="398">
        <f>IF(BS240=0,0,IF(LEN(BG240)=11,_xlfn.XLOOKUP(BG240,'Dispensed Ink Rates'!C:C,'Dispensed Ink Rates'!CS:CS),VLOOKUP(BG240,'Jan-2026 rates'!$E:$F,2,0)))</f>
        <v>0</v>
      </c>
      <c r="BU240" s="409"/>
      <c r="BV240" s="398">
        <f>IF(BU240=0,0,IF(LEN(BH240)=11,_xlfn.XLOOKUP(BH240,'Dispensed Ink Rates'!C:C,'Dispensed Ink Rates'!CS:CS),VLOOKUP(BH240,'Jan-2026 rates'!$E:$F,2,0)))</f>
        <v>0</v>
      </c>
      <c r="BW240" s="409"/>
      <c r="BX240" s="398">
        <f>IF(BW240=0,0,IF(LEN(BI240)=11,_xlfn.XLOOKUP(BI240,'Dispensed Ink Rates'!C:C,'Dispensed Ink Rates'!CS:CS),VLOOKUP(BI240,'Jan-2026 rates'!$E:$F,2,0)))</f>
        <v>0</v>
      </c>
      <c r="BY240" s="409"/>
      <c r="BZ240" s="398">
        <f>IF(BY240=0,0,IF(LEN(BJ240)=11,_xlfn.XLOOKUP(BJ240,'Dispensed Ink Rates'!C:C,'Dispensed Ink Rates'!CS:CS),VLOOKUP(BJ240,'Jan-2026 rates'!$E:$F,2,0)))</f>
        <v>0</v>
      </c>
      <c r="CA240" s="409" t="s">
        <v>1443</v>
      </c>
      <c r="CB240" s="409">
        <v>30</v>
      </c>
      <c r="CC240" s="411">
        <f t="shared" si="162"/>
        <v>0</v>
      </c>
      <c r="CD240" s="411">
        <f t="shared" si="163"/>
        <v>66.5625</v>
      </c>
      <c r="CE240" s="410">
        <f t="shared" si="164"/>
        <v>0</v>
      </c>
      <c r="CF240" s="404" t="s">
        <v>857</v>
      </c>
      <c r="CG240" s="409" t="s">
        <v>4000</v>
      </c>
      <c r="CH240" s="420" t="str">
        <f t="shared" si="185"/>
        <v>FLINTSL - RED</v>
      </c>
      <c r="CI240" s="409">
        <v>35</v>
      </c>
      <c r="CJ240" s="411">
        <f>IF(CI240=0,0,IF($LB240=70%,VLOOKUP($CH240,'Jan-2026 rates'!$L:$R,4,0),IF($LB240=65%,VLOOKUP($CH240,'Jan-2026 rates'!$L:$R,4,0),IF($LB240=40%,VLOOKUP($CH240,'Jan-2026 rates'!$L:$R,5,0),IF($LB240=30%,VLOOKUP($CH240,'Jan-2026 rates'!$L:$R,6,0),IF($LB240=100%,VLOOKUP($CH240,'Jan-2026 rates'!$L:$R,7,0),IF($LB240=60%,VLOOKUP($CH240,'Jan-2026 rates'!$L:$S,8,0),IF($LB240=80%,VLOOKUP($CH240,'Jan-2026 rates'!L:T,9,0),0))))))))</f>
        <v>0</v>
      </c>
      <c r="CK240" s="412"/>
      <c r="CL240" s="409"/>
      <c r="CM240" s="411">
        <f>IF(CL240=0,0,IF($LB240=70%,VLOOKUP($CH240,'Jan-2026 rates'!$L:$R,4,0),IF($LB240=65%,VLOOKUP($CH240,'Jan-2026 rates'!$L:$R,4,0),IF($LB240=40%,VLOOKUP($CH240,'Jan-2026 rates'!$L:$R,5,0),IF($LB240=30%,VLOOKUP($CH240,'Jan-2026 rates'!$L:$R,6,0),IF($LB240=100%,VLOOKUP($CH240,'Jan-2026 rates'!$L:$R,7,0),IF($LB240=60%,VLOOKUP($CH240,'Jan-2026 rates'!$L:$S,8,0),IF($LB240=80%,VLOOKUP($CH240,'Jan-2026 rates'!L:T,9,0),0))))))))</f>
        <v>0</v>
      </c>
      <c r="CN240" s="426"/>
      <c r="CO240" s="427"/>
      <c r="CP240" s="426"/>
      <c r="CQ240" s="426"/>
      <c r="CR240" s="428"/>
      <c r="CS240" s="428"/>
      <c r="CT240" s="428"/>
      <c r="CU240" s="428"/>
      <c r="CV240" s="409"/>
      <c r="CW240" s="398">
        <f>IF(CV240=0,0,IF(LEN(CN240)=11,_xlfn.XLOOKUP(CN240,'Dispensed Ink Rates'!C:C,'Dispensed Ink Rates'!CS:CS),VLOOKUP(CN240,'Jan-2026 rates'!$E:$F,2,0)))</f>
        <v>0</v>
      </c>
      <c r="CX240" s="409"/>
      <c r="CY240" s="398">
        <f>IF(CX240=0,0,IF(LEN(CO240)=11,_xlfn.XLOOKUP(CO240,'Dispensed Ink Rates'!C:C,'Dispensed Ink Rates'!CS:CS),VLOOKUP(CO240,'Jan-2026 rates'!$E:$F,2,0)))</f>
        <v>0</v>
      </c>
      <c r="CZ240" s="409"/>
      <c r="DA240" s="398">
        <f>IF(CZ240=0,0,IF(LEN(CP240)=11,_xlfn.XLOOKUP(CP240,'Dispensed Ink Rates'!C:C,'Dispensed Ink Rates'!CS:CS),VLOOKUP(CP240,'Jan-2026 rates'!$E:$F,2,0)))</f>
        <v>0</v>
      </c>
      <c r="DB240" s="409"/>
      <c r="DC240" s="398">
        <f>IF(DB240=0,0,IF(LEN(CQ240)=11,_xlfn.XLOOKUP(CQ240,'Dispensed Ink Rates'!C:C,'Dispensed Ink Rates'!CS:CS),VLOOKUP(CQ240,'Jan-2026 rates'!$E:$F,2,0)))</f>
        <v>0</v>
      </c>
      <c r="DD240" s="409"/>
      <c r="DE240" s="398">
        <f>IF(DD240=0,0,IF(LEN(CR240)=11,_xlfn.XLOOKUP(CR240,'Dispensed Ink Rates'!C:C,'Dispensed Ink Rates'!CS:CS),VLOOKUP(CR240,'Jan-2026 rates'!$E:$F,2,0)))</f>
        <v>0</v>
      </c>
      <c r="DF240" s="409"/>
      <c r="DG240" s="398">
        <f>IF(DF240=0,0,IF(LEN(CS240)=11,_xlfn.XLOOKUP(CS240,'Dispensed Ink Rates'!C:C,'Dispensed Ink Rates'!CS:CS),VLOOKUP(CS240,'Jan-2026 rates'!$E:$F,2,0)))</f>
        <v>0</v>
      </c>
      <c r="DH240" s="409"/>
      <c r="DI240" s="398">
        <f>IF(DH240=0,0,IF(LEN(CT240)=11,_xlfn.XLOOKUP(CT240,'Dispensed Ink Rates'!C:C,'Dispensed Ink Rates'!CS:CS),VLOOKUP(CT240,'Jan-2026 rates'!$E:$F,2,0)))</f>
        <v>0</v>
      </c>
      <c r="DJ240" s="409"/>
      <c r="DK240" s="398">
        <f>IF(DJ240=0,0,IF(LEN(CU240)=11,_xlfn.XLOOKUP(CU240,'Dispensed Ink Rates'!C:C,'Dispensed Ink Rates'!CS:CS),VLOOKUP(CU240,'Jan-2026 rates'!$E:$F,2,0)))</f>
        <v>0</v>
      </c>
      <c r="DL240" s="409" t="s">
        <v>1443</v>
      </c>
      <c r="DM240" s="409">
        <v>32</v>
      </c>
      <c r="DN240" s="411">
        <f t="shared" si="165"/>
        <v>0</v>
      </c>
      <c r="DO240" s="411">
        <f t="shared" si="166"/>
        <v>3</v>
      </c>
      <c r="DP240" s="410">
        <f t="shared" si="167"/>
        <v>0</v>
      </c>
      <c r="DQ240" s="405" t="s">
        <v>855</v>
      </c>
      <c r="DR240" s="409" t="s">
        <v>4001</v>
      </c>
      <c r="DS240" s="420" t="str">
        <f t="shared" si="186"/>
        <v>FLINTSL - CYAN</v>
      </c>
      <c r="DT240" s="409">
        <v>28</v>
      </c>
      <c r="DU240" s="411">
        <f>IF(DT240=0,0,IF($LB240=70%,VLOOKUP($DS240,'Jan-2026 rates'!$L:$R,4,0),IF($LB240=65%,VLOOKUP($DS240,'Jan-2026 rates'!$L:$R,4,0),IF($LB240=40%,VLOOKUP($DS240,'Jan-2026 rates'!$L:$R,5,0),IF($LB240=30%,VLOOKUP($DS240,'Jan-2026 rates'!$L:$R,6,0),IF($LB240=100%,VLOOKUP($DS240,'Jan-2026 rates'!$L:$R,7,0),IF($LB240=60%,VLOOKUP($DS240,'Jan-2026 rates'!$L:$S,8,0),IF($LB240=80%,VLOOKUP($DS240,'Jan-2026 rates'!L:T,9,0),0))))))))</f>
        <v>0</v>
      </c>
      <c r="DV240" s="412"/>
      <c r="DW240" s="409"/>
      <c r="DX240" s="411">
        <f>IF(DW240=0,0,IF($LB240=70%,VLOOKUP($DS240,'Jan-2026 rates'!$L:$R,4,0),IF($LB240=65%,VLOOKUP($DS240,'Jan-2026 rates'!$L:$R,4,0),IF($LB240=40%,VLOOKUP($DS240,'Jan-2026 rates'!$L:$R,5,0),IF($LB240=30%,VLOOKUP($DS240,'Jan-2026 rates'!$L:$R,6,0),IF($LB240=100%,VLOOKUP($DS240,'Jan-2026 rates'!$L:$R,7,0),IF($LB240=60%,VLOOKUP($DS240,'Jan-2026 rates'!$L:$S,8,0),IF($LB240=80%,VLOOKUP($DS240,'Jan-2026 rates'!L:T,9,0),0))))))))</f>
        <v>0</v>
      </c>
      <c r="DY240" s="413"/>
      <c r="DZ240" s="413"/>
      <c r="EA240" s="412"/>
      <c r="EB240" s="412"/>
      <c r="EC240" s="412"/>
      <c r="ED240" s="412"/>
      <c r="EE240" s="412"/>
      <c r="EF240" s="412"/>
      <c r="EG240" s="409"/>
      <c r="EH240" s="398">
        <f>IF(EG240=0,0,IF(LEN(DY240)=11,_xlfn.XLOOKUP(DY240,'Dispensed Ink Rates'!C:C,'Dispensed Ink Rates'!CS:CS),VLOOKUP(DY240,'Jan-2026 rates'!$E:$F,2,0)))</f>
        <v>0</v>
      </c>
      <c r="EI240" s="409"/>
      <c r="EJ240" s="398">
        <f>IF(EI240=0,0,IF(LEN(DZ240)=11,_xlfn.XLOOKUP(DZ240,'Dispensed Ink Rates'!C:C,'Dispensed Ink Rates'!CS:CS),VLOOKUP(DZ240,'Jan-2026 rates'!$E:$F,2,0)))</f>
        <v>0</v>
      </c>
      <c r="EK240" s="409"/>
      <c r="EL240" s="398">
        <f>IF(EK240=0,0,IF(LEN(EA240)=11,_xlfn.XLOOKUP(EA240,'Dispensed Ink Rates'!C:C,'Dispensed Ink Rates'!CS:CS),VLOOKUP(EA240,'Jan-2026 rates'!$E:$F,2,0)))</f>
        <v>0</v>
      </c>
      <c r="EM240" s="409"/>
      <c r="EN240" s="398">
        <f>IF(EM240=0,0,IF(LEN(EB240)=11,_xlfn.XLOOKUP(EB240,'Dispensed Ink Rates'!C:C,'Dispensed Ink Rates'!CS:CS),VLOOKUP(EB240,'Jan-2026 rates'!$E:$F,2,0)))</f>
        <v>0</v>
      </c>
      <c r="EO240" s="409"/>
      <c r="EP240" s="398">
        <f>IF(EO240=0,0,IF(LEN(EC240)=11,_xlfn.XLOOKUP(EC240,'Dispensed Ink Rates'!C:C,'Dispensed Ink Rates'!CS:CS),VLOOKUP(EC240,'Jan-2026 rates'!$E:$F,2,0)))</f>
        <v>0</v>
      </c>
      <c r="EQ240" s="409"/>
      <c r="ER240" s="398">
        <f>IF(EQ240=0,0,IF(LEN(ED240)=11,_xlfn.XLOOKUP(ED240,'Dispensed Ink Rates'!C:C,'Dispensed Ink Rates'!CS:CS),VLOOKUP(ED240,'Jan-2026 rates'!$E:$F,2,0)))</f>
        <v>0</v>
      </c>
      <c r="ES240" s="409"/>
      <c r="ET240" s="398">
        <f>IF(ES240=0,0,IF(LEN(EE240)=11,_xlfn.XLOOKUP(EE240,'Dispensed Ink Rates'!C:C,'Dispensed Ink Rates'!CS:CS),VLOOKUP(EE240,'Jan-2026 rates'!$E:$F,2,0)))</f>
        <v>0</v>
      </c>
      <c r="EU240" s="409"/>
      <c r="EV240" s="398">
        <f>IF(EU240=0,0,IF(LEN(EF240)=11,_xlfn.XLOOKUP(EF240,'Dispensed Ink Rates'!C:C,'Dispensed Ink Rates'!CS:CS),VLOOKUP(EF240,'Jan-2026 rates'!$E:$F,2,0)))</f>
        <v>0</v>
      </c>
      <c r="EW240" s="409" t="s">
        <v>1443</v>
      </c>
      <c r="EX240" s="409">
        <v>26</v>
      </c>
      <c r="EY240" s="411">
        <f t="shared" si="168"/>
        <v>0</v>
      </c>
      <c r="EZ240" s="411">
        <f t="shared" si="169"/>
        <v>2</v>
      </c>
      <c r="FA240" s="410">
        <f t="shared" si="170"/>
        <v>0</v>
      </c>
      <c r="FB240" s="405" t="s">
        <v>544</v>
      </c>
      <c r="FC240" s="409" t="s">
        <v>4002</v>
      </c>
      <c r="FD240" s="420" t="str">
        <f t="shared" si="187"/>
        <v>FLINTSL - MAGENTA</v>
      </c>
      <c r="FE240" s="409">
        <v>27</v>
      </c>
      <c r="FF240" s="411">
        <f>IF(FE240=0,0,IF($LB240=70%,VLOOKUP($FD240,'Jan-2026 rates'!$L:$R,4,0),IF($LB240=65%,VLOOKUP($FD240,'Jan-2026 rates'!$L:$R,4,0),IF($LB240=40%,VLOOKUP($FD240,'Jan-2026 rates'!$L:$R,5,0),IF($LB240=30%,VLOOKUP($FD240,'Jan-2026 rates'!$L:$R,6,0),IF($LB240=100%,VLOOKUP($FD240,'Jan-2026 rates'!$L:$R,7,0),IF($LB240=60%,VLOOKUP($FD240,'Jan-2026 rates'!$L:$S,8,0),IF($LB240=80%,VLOOKUP($FD240,'Jan-2026 rates'!L:T,9,0),0))))))))</f>
        <v>0</v>
      </c>
      <c r="FG240" s="412"/>
      <c r="FH240" s="409"/>
      <c r="FI240" s="411">
        <f>IF(FH240=0,0,IF($LB240=70%,VLOOKUP($FD240,'Jan-2026 rates'!$L:$R,4,0),IF($LB240=65%,VLOOKUP($FD240,'Jan-2026 rates'!$L:$R,4,0),IF($LB240=40%,VLOOKUP($FD240,'Jan-2026 rates'!$L:$R,5,0),IF($LB240=30%,VLOOKUP($FD240,'Jan-2026 rates'!$L:$R,6,0),IF($LB240=100%,VLOOKUP($FD240,'Jan-2026 rates'!$L:$R,7,0),IF($LB240=60%,VLOOKUP($FD240,'Jan-2026 rates'!$L:$S,8,0),IF($LB240=80%,VLOOKUP($FD240,'Jan-2026 rates'!L:T,9,0),0))))))))</f>
        <v>0</v>
      </c>
      <c r="FJ240" s="413"/>
      <c r="FK240" s="413"/>
      <c r="FL240" s="413"/>
      <c r="FM240" s="412"/>
      <c r="FN240" s="412"/>
      <c r="FO240" s="412"/>
      <c r="FP240" s="412"/>
      <c r="FQ240" s="412"/>
      <c r="FR240" s="409"/>
      <c r="FS240" s="398">
        <f>IF(FR240=0,0,IF(LEN(FJ240)=11,_xlfn.XLOOKUP(FJ240,'Dispensed Ink Rates'!C:C,'Dispensed Ink Rates'!CS:CS),VLOOKUP(FJ240,'Jan-2026 rates'!$E:$F,2,0)))</f>
        <v>0</v>
      </c>
      <c r="FT240" s="409"/>
      <c r="FU240" s="398">
        <f>IF(FT240=0,0,IF(LEN(FK240)=11,_xlfn.XLOOKUP(FK240,'Dispensed Ink Rates'!C:C,'Dispensed Ink Rates'!CS:CS),VLOOKUP(FK240,'Jan-2026 rates'!$E:$F,2,0)))</f>
        <v>0</v>
      </c>
      <c r="FV240" s="409"/>
      <c r="FW240" s="398">
        <f>IF(FV240=0,0,IF(LEN(FL240)=11,_xlfn.XLOOKUP(FL240,'Dispensed Ink Rates'!C:C,'Dispensed Ink Rates'!CS:CS),VLOOKUP(FL240,'Jan-2026 rates'!$E:$F,2,0)))</f>
        <v>0</v>
      </c>
      <c r="FX240" s="409"/>
      <c r="FY240" s="398">
        <f>IF(FX240=0,0,IF(LEN(FM240)=11,_xlfn.XLOOKUP(FM240,'Dispensed Ink Rates'!C:C,'Dispensed Ink Rates'!CS:CS),VLOOKUP(FM240,'Jan-2026 rates'!$E:$F,2,0)))</f>
        <v>0</v>
      </c>
      <c r="FZ240" s="409"/>
      <c r="GA240" s="398">
        <f>IF(FZ240=0,0,IF(LEN(FN240)=11,_xlfn.XLOOKUP(FN240,'Dispensed Ink Rates'!C:C,'Dispensed Ink Rates'!CS:CS),VLOOKUP(FN240,'Jan-2026 rates'!$E:$F,2,0)))</f>
        <v>0</v>
      </c>
      <c r="GB240" s="409"/>
      <c r="GC240" s="398">
        <f>IF(GB240=0,0,IF(LEN(FO240)=11,_xlfn.XLOOKUP(FO240,'Dispensed Ink Rates'!C:C,'Dispensed Ink Rates'!CS:CS),VLOOKUP(FO240,'Jan-2026 rates'!$E:$F,2,0)))</f>
        <v>0</v>
      </c>
      <c r="GD240" s="409"/>
      <c r="GE240" s="398">
        <f>IF(GD240=0,0,IF(LEN(FP240)=11,_xlfn.XLOOKUP(FP240,'Dispensed Ink Rates'!C:C,'Dispensed Ink Rates'!CS:CS),VLOOKUP(FP240,'Jan-2026 rates'!$E:$F,2,0)))</f>
        <v>0</v>
      </c>
      <c r="GF240" s="409"/>
      <c r="GG240" s="398">
        <f>IF(GF240=0,0,IF(LEN(FQ240)=11,_xlfn.XLOOKUP(FQ240,'Dispensed Ink Rates'!C:C,'Dispensed Ink Rates'!CS:CS),VLOOKUP(FQ240,'Jan-2026 rates'!$E:$F,2,0)))</f>
        <v>0</v>
      </c>
      <c r="GH240" s="409" t="s">
        <v>1443</v>
      </c>
      <c r="GI240" s="409">
        <v>26</v>
      </c>
      <c r="GJ240" s="411">
        <f t="shared" si="171"/>
        <v>0</v>
      </c>
      <c r="GK240" s="411">
        <f t="shared" si="172"/>
        <v>1</v>
      </c>
      <c r="GL240" s="410">
        <f t="shared" si="173"/>
        <v>0</v>
      </c>
      <c r="GM240" s="405" t="s">
        <v>545</v>
      </c>
      <c r="GN240" s="409" t="s">
        <v>4003</v>
      </c>
      <c r="GO240" s="420" t="str">
        <f t="shared" si="188"/>
        <v>FLINTSL - YELLOW</v>
      </c>
      <c r="GP240" s="409">
        <v>25</v>
      </c>
      <c r="GQ240" s="411">
        <f>IF(GP240=0,0,IF($LB240=70%,VLOOKUP($GO240,'Jan-2026 rates'!$L:$R,4,0),IF($LB240=65%,VLOOKUP($GO240,'Jan-2026 rates'!$L:$R,4,0),IF($LB240=40%,VLOOKUP($GO240,'Jan-2026 rates'!$L:$R,5,0),IF($LB240=30%,VLOOKUP($GO240,'Jan-2026 rates'!$L:$R,6,0),IF($LB240=100%,VLOOKUP($GO240,'Jan-2026 rates'!$L:$R,7,0),IF($LB240=60%,VLOOKUP($GO240,'Jan-2026 rates'!$L:$S,8,0),IF($LB240=80%,VLOOKUP($GO240,'Jan-2026 rates'!L:T,9,0),0))))))))</f>
        <v>0</v>
      </c>
      <c r="GR240" s="412"/>
      <c r="GS240" s="409"/>
      <c r="GT240" s="411">
        <f>IF(GS240=0,0,IF($LB240=70%,VLOOKUP($GO240,'Jan-2026 rates'!$L:$R,4,0),IF($LB240=65%,VLOOKUP($GO240,'Jan-2026 rates'!$L:$R,4,0),IF($LB240=40%,VLOOKUP($GO240,'Jan-2026 rates'!$L:$R,5,0),IF($LB240=30%,VLOOKUP($GO240,'Jan-2026 rates'!$L:$R,6,0),IF($LB240=100%,VLOOKUP($GO240,'Jan-2026 rates'!$L:$R,7,0),IF($LB240=60%,VLOOKUP($GO240,'Jan-2026 rates'!$L:$S,8,0),IF($LB240=80%,VLOOKUP($GO240,'Jan-2026 rates'!L:T,9,0),0))))))))</f>
        <v>0</v>
      </c>
      <c r="GU240" s="413"/>
      <c r="GV240" s="413"/>
      <c r="GW240" s="412"/>
      <c r="GX240" s="412"/>
      <c r="GY240" s="412"/>
      <c r="GZ240" s="412"/>
      <c r="HA240" s="412"/>
      <c r="HB240" s="412"/>
      <c r="HC240" s="409"/>
      <c r="HD240" s="398">
        <f>IF(HC240=0,0,IF(LEN(GU240)=11,_xlfn.XLOOKUP(GU240,'Dispensed Ink Rates'!C:C,'Dispensed Ink Rates'!CS:CS),VLOOKUP(GU240,'Jan-2026 rates'!$E:$F,2,0)))</f>
        <v>0</v>
      </c>
      <c r="HE240" s="409"/>
      <c r="HF240" s="398">
        <f>IF(HE240=0,0,IF(LEN(GV240)=11,_xlfn.XLOOKUP(GV240,'Dispensed Ink Rates'!C:C,'Dispensed Ink Rates'!CS:CS),VLOOKUP(GV240,'Jan-2026 rates'!$E:$F,2,0)))</f>
        <v>0</v>
      </c>
      <c r="HG240" s="409"/>
      <c r="HH240" s="398">
        <f>IF(HG240=0,0,IF(LEN(GW240)=11,_xlfn.XLOOKUP(GW240,'Dispensed Ink Rates'!C:C,'Dispensed Ink Rates'!CS:CS),VLOOKUP(GW240,'Jan-2026 rates'!$E:$F,2,0)))</f>
        <v>0</v>
      </c>
      <c r="HI240" s="409"/>
      <c r="HJ240" s="398">
        <f>IF(HI240=0,0,IF(LEN(GX240)=11,_xlfn.XLOOKUP(GX240,'Dispensed Ink Rates'!C:C,'Dispensed Ink Rates'!CS:CS),VLOOKUP(GX240,'Jan-2026 rates'!$E:$F,2,0)))</f>
        <v>0</v>
      </c>
      <c r="HK240" s="409"/>
      <c r="HL240" s="398">
        <f>IF(HK240=0,0,IF(LEN(GY240)=11,_xlfn.XLOOKUP(GY240,'Dispensed Ink Rates'!C:C,'Dispensed Ink Rates'!CS:CS),VLOOKUP(GY240,'Jan-2026 rates'!$E:$F,2,0)))</f>
        <v>0</v>
      </c>
      <c r="HM240" s="409"/>
      <c r="HN240" s="398">
        <f>IF(HM240=0,0,IF(LEN(GZ240)=11,_xlfn.XLOOKUP(GZ240,'Dispensed Ink Rates'!C:C,'Dispensed Ink Rates'!CS:CS),VLOOKUP(GZ240,'Jan-2026 rates'!$E:$F,2,0)))</f>
        <v>0</v>
      </c>
      <c r="HO240" s="409"/>
      <c r="HP240" s="398">
        <f>IF(HO240=0,0,IF(LEN(HA240)=11,_xlfn.XLOOKUP(HA240,'Dispensed Ink Rates'!C:C,'Dispensed Ink Rates'!CS:CS),VLOOKUP(HA240,'Jan-2026 rates'!$E:$F,2,0)))</f>
        <v>0</v>
      </c>
      <c r="HQ240" s="409"/>
      <c r="HR240" s="398">
        <f>IF(HQ240=0,0,IF(LEN(HB240)=11,_xlfn.XLOOKUP(HB240,'Dispensed Ink Rates'!C:C,'Dispensed Ink Rates'!CS:CS),VLOOKUP(HB240,'Jan-2026 rates'!$E:$F,2,0)))</f>
        <v>0</v>
      </c>
      <c r="HS240" s="409" t="s">
        <v>1443</v>
      </c>
      <c r="HT240" s="409">
        <v>24</v>
      </c>
      <c r="HU240" s="411">
        <f t="shared" si="174"/>
        <v>0</v>
      </c>
      <c r="HV240" s="411">
        <f t="shared" si="175"/>
        <v>1</v>
      </c>
      <c r="HW240" s="414">
        <f t="shared" si="176"/>
        <v>0</v>
      </c>
      <c r="HX240" s="405" t="s">
        <v>856</v>
      </c>
      <c r="HY240" s="409" t="s">
        <v>4004</v>
      </c>
      <c r="HZ240" s="420" t="str">
        <f t="shared" si="189"/>
        <v>FLINTSL - WHITE</v>
      </c>
      <c r="IA240" s="409">
        <v>30</v>
      </c>
      <c r="IB240" s="411">
        <f>IF(IA240=0,0,IF($LB240=70%,VLOOKUP($HZ240,'Jan-2026 rates'!$L:$R,4,0),IF($LB240=65%,VLOOKUP($HZ240,'Jan-2026 rates'!$L:$R,4,0),IF($LB240=40%,VLOOKUP($HZ240,'Jan-2026 rates'!$L:$R,5,0),IF($LB240=30%,VLOOKUP($HZ240,'Jan-2026 rates'!$L:$R,6,0),IF($LB240=100%,VLOOKUP($HZ240,'Jan-2026 rates'!$L:$R,7,0),IF($LB240=60%,VLOOKUP($HZ240,'Jan-2026 rates'!$L:$S,8,0),IF($LB240=80%,VLOOKUP($HZ240,'Jan-2026 rates'!L:T,9,0),0))))))))</f>
        <v>0</v>
      </c>
      <c r="IC240" s="412"/>
      <c r="ID240" s="409"/>
      <c r="IE240" s="411">
        <f>IF(ID240=0,0,IF($LB240=70%,VLOOKUP($HZ240,'Jan-2026 rates'!$L:$R,4,0),IF($LB240=65%,VLOOKUP($HZ240,'Jan-2026 rates'!$L:$R,4,0),IF($LB240=40%,VLOOKUP($HZ240,'Jan-2026 rates'!$L:$R,5,0),IF($LB240=30%,VLOOKUP($HZ240,'Jan-2026 rates'!$L:$R,6,0),IF($LB240=100%,VLOOKUP($HZ240,'Jan-2026 rates'!$L:$R,7,0),IF($LB240=60%,VLOOKUP($HZ240,'Jan-2026 rates'!$L:$S,8,0),IF($LB240=80%,VLOOKUP($HZ240,'Jan-2026 rates'!L:T,9,0),0))))))))</f>
        <v>0</v>
      </c>
      <c r="IF240" s="412" t="s">
        <v>484</v>
      </c>
      <c r="IG240" s="413"/>
      <c r="IH240" s="412"/>
      <c r="II240" s="412"/>
      <c r="IJ240" s="412"/>
      <c r="IK240" s="412"/>
      <c r="IL240" s="412"/>
      <c r="IM240" s="412"/>
      <c r="IN240" s="409">
        <f>40+40</f>
        <v>80</v>
      </c>
      <c r="IO240" s="398">
        <f>IF(IN240=0,0,IF(LEN(IF240)=11,_xlfn.XLOOKUP(IF240,'Dispensed Ink Rates'!C:C,'Dispensed Ink Rates'!CS:CS),VLOOKUP(IF240,'Jan-2026 rates'!$E:$F,2,0)))</f>
        <v>0</v>
      </c>
      <c r="IP240" s="409"/>
      <c r="IQ240" s="398">
        <f>IF(IP240=0,0,IF(LEN(IG240)=11,_xlfn.XLOOKUP(IG240,'Dispensed Ink Rates'!C:C,'Dispensed Ink Rates'!CS:CS),VLOOKUP(IG240,'Jan-2026 rates'!$E:$F,2,0)))</f>
        <v>0</v>
      </c>
      <c r="IR240" s="409"/>
      <c r="IS240" s="398">
        <f>IF(IR240=0,0,IF(LEN(IH240)=11,_xlfn.XLOOKUP(IH240,'Dispensed Ink Rates'!C:C,'Dispensed Ink Rates'!CS:CS),VLOOKUP(IH240,'Jan-2026 rates'!$E:$F,2,0)))</f>
        <v>0</v>
      </c>
      <c r="IT240" s="409"/>
      <c r="IU240" s="398">
        <f>IF(IT240=0,0,IF(LEN(II240)=11,_xlfn.XLOOKUP(II240,'Dispensed Ink Rates'!C:C,'Dispensed Ink Rates'!CS:CS),VLOOKUP(II240,'Jan-2026 rates'!$E:$F,2,0)))</f>
        <v>0</v>
      </c>
      <c r="IV240" s="409"/>
      <c r="IW240" s="398">
        <f>IF(IV240=0,0,IF(LEN(IJ240)=11,_xlfn.XLOOKUP(IJ240,'Dispensed Ink Rates'!C:C,'Dispensed Ink Rates'!CS:CS),VLOOKUP(IJ240,'Jan-2026 rates'!$E:$F,2,0)))</f>
        <v>0</v>
      </c>
      <c r="IX240" s="409"/>
      <c r="IY240" s="398">
        <f>IF(IX240=0,0,IF(LEN(IK240)=11,_xlfn.XLOOKUP(IK240,'Dispensed Ink Rates'!C:C,'Dispensed Ink Rates'!CS:CS),VLOOKUP(IK240,'Jan-2026 rates'!$E:$F,2,0)))</f>
        <v>0</v>
      </c>
      <c r="IZ240" s="409"/>
      <c r="JA240" s="398">
        <f>IF(IZ240=0,0,IF(LEN(IL240)=11,_xlfn.XLOOKUP(IL240,'Dispensed Ink Rates'!C:C,'Dispensed Ink Rates'!CS:CS),VLOOKUP(IL240,'Jan-2026 rates'!$E:$F,2,0)))</f>
        <v>0</v>
      </c>
      <c r="JB240" s="409"/>
      <c r="JC240" s="398">
        <f>IF(JB240=0,0,IF(LEN(IM240)=11,_xlfn.XLOOKUP(IM240,'Dispensed Ink Rates'!C:C,'Dispensed Ink Rates'!CS:CS),VLOOKUP(IM240,'Jan-2026 rates'!$E:$F,2,0)))</f>
        <v>0</v>
      </c>
      <c r="JD240" s="409" t="s">
        <v>1443</v>
      </c>
      <c r="JE240" s="409">
        <v>30</v>
      </c>
      <c r="JF240" s="411">
        <f t="shared" si="177"/>
        <v>0</v>
      </c>
      <c r="JG240" s="411">
        <f t="shared" si="178"/>
        <v>163.125</v>
      </c>
      <c r="JH240" s="410">
        <f t="shared" si="179"/>
        <v>0</v>
      </c>
      <c r="JI240" s="405"/>
      <c r="JJ240" s="409"/>
      <c r="JK240" s="420" t="str">
        <f t="shared" si="190"/>
        <v xml:space="preserve"> - </v>
      </c>
      <c r="JL240" s="409"/>
      <c r="JM240" s="411">
        <f>IF(JL240=0,0,IF($LB240=70%,VLOOKUP($JK240,'Jan-2026 rates'!$L:$R,4,0),IF($LB240=65%,VLOOKUP($JK240,'Jan-2026 rates'!$L:$R,4,0),IF($LB240=40%,VLOOKUP($JK240,'Jan-2026 rates'!$L:$R,5,0),IF($LB240=30%,VLOOKUP($JK240,'Jan-2026 rates'!$L:$R,6,0),IF($LB240=100%,VLOOKUP($JK240,'Jan-2026 rates'!$L:$R,7,0),IF($LB240=60%,VLOOKUP($JK240,'Jan-2026 rates'!$L:$S,8,0),IF($LB240=80%,VLOOKUP($JK240,'Jan-2026 rates'!L:T,9,0),0))))))))</f>
        <v>0</v>
      </c>
      <c r="JN240" s="412"/>
      <c r="JO240" s="409"/>
      <c r="JP240" s="411">
        <f>IF(JO240=0,0,IF($LB240=70%,VLOOKUP($JK240,'Jan-2026 rates'!$L:$R,4,0),IF($LB240=65%,VLOOKUP($JK240,'Jan-2026 rates'!$L:$R,4,0),IF($LB240=40%,VLOOKUP($JK240,'Jan-2026 rates'!$L:$R,5,0),IF($LB240=30%,VLOOKUP($JK240,'Jan-2026 rates'!$L:$R,6,0),IF($LB240=100%,VLOOKUP($JK240,'Jan-2026 rates'!$L:$R,7,0),IF($LB240=60%,VLOOKUP($JK240,'Jan-2026 rates'!$L:$S,8,0),IF($LB240=80%,VLOOKUP($JK240,'Jan-2026 rates'!L:T,9,0),0))))))))</f>
        <v>0</v>
      </c>
      <c r="JQ240" s="413"/>
      <c r="JR240" s="412"/>
      <c r="JS240" s="413"/>
      <c r="JT240" s="413"/>
      <c r="JU240" s="412"/>
      <c r="JV240" s="412"/>
      <c r="JW240" s="412"/>
      <c r="JX240" s="412"/>
      <c r="JY240" s="409"/>
      <c r="JZ240" s="398">
        <f>IF(JY240=0,0,IF(LEN(JQ240)=11,_xlfn.XLOOKUP(JQ240,'Dispensed Ink Rates'!C:C,'Dispensed Ink Rates'!CS:CS),VLOOKUP(JQ240,'Jan-2026 rates'!$E:$F,2,0)))</f>
        <v>0</v>
      </c>
      <c r="KA240" s="409"/>
      <c r="KB240" s="398">
        <f>IF(KA240=0,0,IF(LEN(JR240)=11,_xlfn.XLOOKUP(JR240,'Dispensed Ink Rates'!C:C,'Dispensed Ink Rates'!CS:CS),VLOOKUP(JR240,'Jan-2026 rates'!$E:$F,2,0)))</f>
        <v>0</v>
      </c>
      <c r="KC240" s="409"/>
      <c r="KD240" s="398">
        <f>IF(KC240=0,0,IF(LEN(JS240)=11,_xlfn.XLOOKUP(JS240,'Dispensed Ink Rates'!C:C,'Dispensed Ink Rates'!CS:CS),VLOOKUP(JS240,'Jan-2026 rates'!$E:$F,2,0)))</f>
        <v>0</v>
      </c>
      <c r="KE240" s="409"/>
      <c r="KF240" s="398">
        <f>IF(KE240=0,0,IF(LEN(JT240)=11,_xlfn.XLOOKUP(JT240,'Dispensed Ink Rates'!C:C,'Dispensed Ink Rates'!CS:CS),VLOOKUP(JT240,'Jan-2026 rates'!$E:$F,2,0)))</f>
        <v>0</v>
      </c>
      <c r="KG240" s="409"/>
      <c r="KH240" s="398">
        <f>IF(KG240=0,0,IF(LEN(JU240)=11,_xlfn.XLOOKUP(JU240,'Dispensed Ink Rates'!C:C,'Dispensed Ink Rates'!CS:CS),VLOOKUP(JU240,'Jan-2026 rates'!$E:$F,2,0)))</f>
        <v>0</v>
      </c>
      <c r="KI240" s="409"/>
      <c r="KJ240" s="398">
        <f>IF(KI240=0,0,IF(LEN(JV240)=11,_xlfn.XLOOKUP(JV240,'Dispensed Ink Rates'!C:C,'Dispensed Ink Rates'!CS:CS),VLOOKUP(JV240,'Jan-2026 rates'!$E:$F,2,0)))</f>
        <v>0</v>
      </c>
      <c r="KK240" s="409"/>
      <c r="KL240" s="398">
        <f>IF(KK240=0,0,IF(LEN(JW240)=11,_xlfn.XLOOKUP(JW240,'Dispensed Ink Rates'!C:C,'Dispensed Ink Rates'!CS:CS),VLOOKUP(JW240,'Jan-2026 rates'!$E:$F,2,0)))</f>
        <v>0</v>
      </c>
      <c r="KM240" s="428"/>
      <c r="KN240" s="398">
        <f>IF(KM240=0,0,IF(LEN(JX240)=11,_xlfn.XLOOKUP(JX240,'Dispensed Ink Rates'!C:C,'Dispensed Ink Rates'!CS:CS),VLOOKUP(JX240,'Jan-2026 rates'!$E:$F,2,0)))</f>
        <v>0</v>
      </c>
      <c r="KO240" s="409"/>
      <c r="KP240" s="409"/>
      <c r="KQ240" s="411">
        <f t="shared" si="180"/>
        <v>0</v>
      </c>
      <c r="KR240" s="411">
        <f t="shared" si="181"/>
        <v>0</v>
      </c>
      <c r="KS240" s="410">
        <f t="shared" si="182"/>
        <v>0</v>
      </c>
      <c r="KT240" s="409">
        <v>4</v>
      </c>
      <c r="KU240" s="409">
        <v>20</v>
      </c>
      <c r="KV240" s="409">
        <v>0</v>
      </c>
      <c r="KW240" s="409">
        <v>0</v>
      </c>
      <c r="KX240" s="409">
        <v>0</v>
      </c>
      <c r="KY240" s="409">
        <v>0</v>
      </c>
      <c r="KZ240" s="409">
        <f>20+20</f>
        <v>40</v>
      </c>
      <c r="LA240" s="409">
        <v>0</v>
      </c>
      <c r="LB240" s="415">
        <v>0.8</v>
      </c>
      <c r="LC240" s="415">
        <v>0.2</v>
      </c>
      <c r="LD240" s="415"/>
      <c r="LE240" s="415"/>
      <c r="LF240" s="415"/>
      <c r="LG240" s="409">
        <v>0</v>
      </c>
      <c r="LH240" s="409">
        <f>40+33+48+12</f>
        <v>133</v>
      </c>
      <c r="LI240" s="409">
        <v>0</v>
      </c>
      <c r="LJ240" s="409">
        <v>0</v>
      </c>
      <c r="LK240" s="416">
        <f t="shared" si="191"/>
        <v>133</v>
      </c>
      <c r="LL240" s="416">
        <f t="shared" si="192"/>
        <v>133</v>
      </c>
      <c r="LM240" s="417">
        <f t="shared" si="193"/>
        <v>106.4</v>
      </c>
      <c r="LN240" s="417">
        <f>VLOOKUP($LM$8,'Jan-2026 rates'!$H:$I,2,0)</f>
        <v>0</v>
      </c>
      <c r="LO240" s="417">
        <f t="shared" si="194"/>
        <v>26.6</v>
      </c>
      <c r="LP240" s="417">
        <f>VLOOKUP($LO$8,'Jan-2026 rates'!$H:$I,2,0)</f>
        <v>0</v>
      </c>
      <c r="LQ240" s="417">
        <f t="shared" si="195"/>
        <v>0</v>
      </c>
      <c r="LR240" s="417">
        <f>VLOOKUP($LQ$8,'Jan-2026 rates'!$H:$I,2,0)</f>
        <v>0</v>
      </c>
      <c r="LS240" s="417">
        <f t="shared" si="196"/>
        <v>0</v>
      </c>
      <c r="LT240" s="417">
        <f>VLOOKUP($LS$8,'Jan-2026 rates'!$H:$I,2,0)</f>
        <v>0</v>
      </c>
      <c r="LU240" s="417">
        <f t="shared" si="197"/>
        <v>0</v>
      </c>
      <c r="LV240" s="417">
        <f>VLOOKUP($LU$8,'Jan-2026 rates'!$H:$I,2,0)</f>
        <v>0</v>
      </c>
      <c r="LW240" s="417">
        <f t="shared" si="198"/>
        <v>0</v>
      </c>
      <c r="LX240" s="417">
        <f t="shared" si="199"/>
        <v>0</v>
      </c>
      <c r="LY240" s="418">
        <f t="shared" si="200"/>
        <v>0</v>
      </c>
      <c r="LZ240" s="417"/>
      <c r="MA240" s="435">
        <f t="shared" si="201"/>
        <v>140</v>
      </c>
      <c r="MB240" s="282">
        <f t="shared" si="202"/>
        <v>247</v>
      </c>
      <c r="MC240" s="283">
        <v>133</v>
      </c>
      <c r="MD240" s="284" t="str">
        <f t="shared" si="203"/>
        <v>FLINTSLFLINTSLFLINTSLFLINTSLFLINTSLFLINTSLFLINTSL</v>
      </c>
      <c r="ME240" s="293" t="str">
        <f t="shared" si="204"/>
        <v>+</v>
      </c>
      <c r="MF240" s="293" t="str">
        <f t="shared" si="205"/>
        <v>+</v>
      </c>
      <c r="MG240" s="293" t="str">
        <f t="shared" si="206"/>
        <v>+</v>
      </c>
      <c r="MH240" s="293" t="str">
        <f t="shared" si="207"/>
        <v>+</v>
      </c>
      <c r="MI240" s="293" t="str">
        <f t="shared" si="208"/>
        <v>+</v>
      </c>
      <c r="MJ240" s="293" t="str">
        <f t="shared" si="209"/>
        <v>+</v>
      </c>
      <c r="MK240" s="293" t="str">
        <f t="shared" si="210"/>
        <v>+</v>
      </c>
      <c r="ML240" s="293" t="str">
        <f t="shared" si="211"/>
        <v>NIL</v>
      </c>
      <c r="MM240" s="3" t="b">
        <f t="array" ref="MM240">OR(ME240:ML240="-")</f>
        <v>0</v>
      </c>
      <c r="MN240" s="285"/>
      <c r="MO240" s="401"/>
      <c r="MP240" s="286"/>
      <c r="MQ240" s="286"/>
      <c r="MR240" s="402"/>
      <c r="MS240" s="400"/>
      <c r="NH240" s="422"/>
      <c r="NJ240" s="421"/>
    </row>
    <row r="241" spans="1:374" s="1" customFormat="1" ht="16.5">
      <c r="A241" s="403">
        <v>46039</v>
      </c>
      <c r="B241" s="404" t="s">
        <v>1018</v>
      </c>
      <c r="C241" s="405" t="s">
        <v>4005</v>
      </c>
      <c r="D241" s="406">
        <v>134</v>
      </c>
      <c r="E241" s="404">
        <v>252</v>
      </c>
      <c r="F241" s="407">
        <v>12400</v>
      </c>
      <c r="G241" s="407" t="s">
        <v>1019</v>
      </c>
      <c r="H241" s="408" t="s">
        <v>1017</v>
      </c>
      <c r="I241" s="409">
        <v>1.75</v>
      </c>
      <c r="J241" s="405" t="s">
        <v>543</v>
      </c>
      <c r="K241" s="404" t="s">
        <v>4006</v>
      </c>
      <c r="L241" s="419" t="str">
        <f t="shared" si="184"/>
        <v>FLINTSL - BLACK</v>
      </c>
      <c r="M241" s="404">
        <v>28</v>
      </c>
      <c r="N241" s="410">
        <f>IF(M241=0,0,IF($LB241=70%,VLOOKUP($L241,'Jan-2026 rates'!$L:$R,4,0),IF($LB241=65%,VLOOKUP($L241,'Jan-2026 rates'!$L:$R,4,0),IF($LB241=40%,VLOOKUP($L241,'Jan-2026 rates'!$L:$R,5,0),IF($LB241=30%,VLOOKUP($L241,'Jan-2026 rates'!$L:$R,6,0),IF($LB241=100%,VLOOKUP($L241,'Jan-2026 rates'!$L:$R,7,0),IF($LB241=60%,VLOOKUP($L241,'Jan-2026 rates'!$L:$S,8,0),IF($LB241=80%,VLOOKUP($L241,'Jan-2026 rates'!L:T,9,0),0))))))))</f>
        <v>0</v>
      </c>
      <c r="O241" s="406"/>
      <c r="P241" s="404"/>
      <c r="Q241" s="410">
        <f>IF(P241=0,0,IF($LB241=70%,VLOOKUP($L241,'Jan-2026 rates'!$L:$R,4,0),IF($LB241=65%,VLOOKUP($L241,'Jan-2026 rates'!$L:$R,4,0),IF($LB241=40%,VLOOKUP($L241,'Jan-2026 rates'!$L:$R,5,0),IF($LB241=30%,VLOOKUP($L241,'Jan-2026 rates'!$L:$R,6,0),IF($LB241=100%,VLOOKUP($L241,'Jan-2026 rates'!$L:$R,7,0),IF($LB241=60%,VLOOKUP($L241,'Jan-2026 rates'!$L:$S,8,0),IF($LB241=80%,VLOOKUP($L241,'Jan-2026 rates'!L:T,9,0),0))))))))</f>
        <v>0</v>
      </c>
      <c r="R241" s="406">
        <v>26523000021</v>
      </c>
      <c r="S241" s="406"/>
      <c r="T241" s="406"/>
      <c r="U241" s="406"/>
      <c r="V241" s="406"/>
      <c r="W241" s="406"/>
      <c r="X241" s="406"/>
      <c r="Y241" s="406"/>
      <c r="Z241" s="404">
        <f>2+1</f>
        <v>3</v>
      </c>
      <c r="AA241" s="398" t="e">
        <f>IF(Z241=0,0,IF(LEN(R241)=11,_xlfn.XLOOKUP(R241,'Dispensed Ink Rates'!C:C,'Dispensed Ink Rates'!CS:CS),VLOOKUP(R241,'Jan-2026 rates'!$E:$F,2,0)))</f>
        <v>#N/A</v>
      </c>
      <c r="AB241" s="404"/>
      <c r="AC241" s="398">
        <f>IF(AB241=0,0,IF(LEN(S241)=11,_xlfn.XLOOKUP(S241,'Dispensed Ink Rates'!C:C,'Dispensed Ink Rates'!CS:CS),VLOOKUP(S241,'Jan-2026 rates'!$E:$F,2,0)))</f>
        <v>0</v>
      </c>
      <c r="AD241" s="404"/>
      <c r="AE241" s="398">
        <f>IF(AD241=0,0,IF(LEN(T241)=11,_xlfn.XLOOKUP(T241,'Dispensed Ink Rates'!C:C,'Dispensed Ink Rates'!CS:CS),VLOOKUP(T241,'Jan-2026 rates'!$E:$F,2,0)))</f>
        <v>0</v>
      </c>
      <c r="AF241" s="404"/>
      <c r="AG241" s="398">
        <f>IF(AF241=0,0,IF(LEN(U241)=11,_xlfn.XLOOKUP(U241,'Dispensed Ink Rates'!C:C,'Dispensed Ink Rates'!CS:CS),VLOOKUP(U241,'Jan-2026 rates'!$E:$F,2,0)))</f>
        <v>0</v>
      </c>
      <c r="AH241" s="404"/>
      <c r="AI241" s="398">
        <f>IF(AH241=0,0,IF(LEN(V241)=11,_xlfn.XLOOKUP(V241,'Dispensed Ink Rates'!C:C,'Dispensed Ink Rates'!CS:CS),VLOOKUP(V241,'Jan-2026 rates'!$E:$F,2,0)))</f>
        <v>0</v>
      </c>
      <c r="AJ241" s="404"/>
      <c r="AK241" s="398">
        <f>IF(AJ241=0,0,IF(LEN(W241)=11,_xlfn.XLOOKUP(W241,'Dispensed Ink Rates'!C:C,'Dispensed Ink Rates'!CS:CS),VLOOKUP(W241,'Jan-2026 rates'!$E:$F,2,0)))</f>
        <v>0</v>
      </c>
      <c r="AL241" s="404"/>
      <c r="AM241" s="398">
        <f>IF(AL241=0,0,IF(LEN(X241)=11,_xlfn.XLOOKUP(X241,'Dispensed Ink Rates'!C:C,'Dispensed Ink Rates'!CS:CS),VLOOKUP(X241,'Jan-2026 rates'!$E:$F,2,0)))</f>
        <v>0</v>
      </c>
      <c r="AN241" s="404"/>
      <c r="AO241" s="398">
        <f>IF(AN241=0,0,IF(LEN(Y241)=11,_xlfn.XLOOKUP(Y241,'Dispensed Ink Rates'!C:C,'Dispensed Ink Rates'!CS:CS),VLOOKUP(Y241,'Jan-2026 rates'!$E:$F,2,0)))</f>
        <v>0</v>
      </c>
      <c r="AP241" s="409" t="s">
        <v>1443</v>
      </c>
      <c r="AQ241" s="409">
        <v>25</v>
      </c>
      <c r="AR241" s="410">
        <f t="shared" si="159"/>
        <v>0</v>
      </c>
      <c r="AS241" s="411">
        <f t="shared" si="160"/>
        <v>11.280000000000001</v>
      </c>
      <c r="AT241" s="410">
        <f t="shared" si="161"/>
        <v>0</v>
      </c>
      <c r="AU241" s="405" t="s">
        <v>546</v>
      </c>
      <c r="AV241" s="409" t="s">
        <v>4006</v>
      </c>
      <c r="AW241" s="420" t="str">
        <f t="shared" si="183"/>
        <v>FLINTSL - REFLEX BLUE</v>
      </c>
      <c r="AX241" s="409">
        <v>27</v>
      </c>
      <c r="AY241" s="411">
        <f>IF(AX241=0,0,IF($LB241=70%,VLOOKUP($AW241,'Jan-2026 rates'!$L:$R,4,0),IF($LB241=65%,VLOOKUP($AW241,'Jan-2026 rates'!$L:$R,4,0),IF($LB241=40%,VLOOKUP($AW241,'Jan-2026 rates'!$L:$R,5,0),IF($LB241=30%,VLOOKUP($AW241,'Jan-2026 rates'!$L:$R,6,0),IF($LB241=100%,VLOOKUP($AW241,'Jan-2026 rates'!$L:$R,7,0),IF($LB241=60%,VLOOKUP($AW241,'Jan-2026 rates'!$L:$S,8,0),IF($LB241=80%,VLOOKUP($AW241,'Jan-2026 rates'!L:T,9,0),0))))))))</f>
        <v>0</v>
      </c>
      <c r="AZ241" s="412"/>
      <c r="BA241" s="409"/>
      <c r="BB241" s="411">
        <f>IF(BA241=0,0,IF($LB241=70%,VLOOKUP($AW241,'Jan-2026 rates'!$L:$R,4,0),IF($LB241=65%,VLOOKUP($AW241,'Jan-2026 rates'!$L:$R,4,0),IF($LB241=40%,VLOOKUP($AW241,'Jan-2026 rates'!$L:$R,5,0),IF($LB241=30%,VLOOKUP($AW241,'Jan-2026 rates'!$L:$R,6,0),IF($LB241=100%,VLOOKUP($AW241,'Jan-2026 rates'!$L:$R,7,0),IF($LB241=60%,VLOOKUP($AW241,'Jan-2026 rates'!$L:$S,8,0),IF($LB241=80%,VLOOKUP($AW241,'Jan-2026 rates'!L:T,9,0),0))))))))</f>
        <v>0</v>
      </c>
      <c r="BC241" s="413">
        <v>26516000019</v>
      </c>
      <c r="BD241" s="412"/>
      <c r="BE241" s="412"/>
      <c r="BF241" s="413"/>
      <c r="BG241" s="412"/>
      <c r="BH241" s="412"/>
      <c r="BI241" s="412"/>
      <c r="BJ241" s="412"/>
      <c r="BK241" s="409">
        <v>2</v>
      </c>
      <c r="BL241" s="398" t="e">
        <f>IF(BK241=0,0,IF(LEN(BC241)=11,_xlfn.XLOOKUP(BC241,'Dispensed Ink Rates'!C:C,'Dispensed Ink Rates'!CS:CS),VLOOKUP(BC241,'Jan-2026 rates'!$E:$F,2,0)))</f>
        <v>#N/A</v>
      </c>
      <c r="BM241" s="409"/>
      <c r="BN241" s="398">
        <f>IF(BM241=0,0,IF(LEN(BD241)=11,_xlfn.XLOOKUP(BD241,'Dispensed Ink Rates'!C:C,'Dispensed Ink Rates'!CS:CS),VLOOKUP(BD241,'Jan-2026 rates'!$E:$F,2,0)))</f>
        <v>0</v>
      </c>
      <c r="BO241" s="409"/>
      <c r="BP241" s="398">
        <f>IF(BO241=0,0,IF(LEN(BE241)=11,_xlfn.XLOOKUP(BE241,'Dispensed Ink Rates'!C:C,'Dispensed Ink Rates'!CS:CS),VLOOKUP(BE241,'Jan-2026 rates'!$E:$F,2,0)))</f>
        <v>0</v>
      </c>
      <c r="BQ241" s="409"/>
      <c r="BR241" s="398">
        <f>IF(BQ241=0,0,IF(LEN(BF241)=11,_xlfn.XLOOKUP(BF241,'Dispensed Ink Rates'!C:C,'Dispensed Ink Rates'!CS:CS),VLOOKUP(BF241,'Jan-2026 rates'!$E:$F,2,0)))</f>
        <v>0</v>
      </c>
      <c r="BS241" s="409"/>
      <c r="BT241" s="398">
        <f>IF(BS241=0,0,IF(LEN(BG241)=11,_xlfn.XLOOKUP(BG241,'Dispensed Ink Rates'!C:C,'Dispensed Ink Rates'!CS:CS),VLOOKUP(BG241,'Jan-2026 rates'!$E:$F,2,0)))</f>
        <v>0</v>
      </c>
      <c r="BU241" s="409"/>
      <c r="BV241" s="398">
        <f>IF(BU241=0,0,IF(LEN(BH241)=11,_xlfn.XLOOKUP(BH241,'Dispensed Ink Rates'!C:C,'Dispensed Ink Rates'!CS:CS),VLOOKUP(BH241,'Jan-2026 rates'!$E:$F,2,0)))</f>
        <v>0</v>
      </c>
      <c r="BW241" s="409"/>
      <c r="BX241" s="398">
        <f>IF(BW241=0,0,IF(LEN(BI241)=11,_xlfn.XLOOKUP(BI241,'Dispensed Ink Rates'!C:C,'Dispensed Ink Rates'!CS:CS),VLOOKUP(BI241,'Jan-2026 rates'!$E:$F,2,0)))</f>
        <v>0</v>
      </c>
      <c r="BY241" s="409"/>
      <c r="BZ241" s="398">
        <f>IF(BY241=0,0,IF(LEN(BJ241)=11,_xlfn.XLOOKUP(BJ241,'Dispensed Ink Rates'!C:C,'Dispensed Ink Rates'!CS:CS),VLOOKUP(BJ241,'Jan-2026 rates'!$E:$F,2,0)))</f>
        <v>0</v>
      </c>
      <c r="CA241" s="409" t="s">
        <v>1443</v>
      </c>
      <c r="CB241" s="409">
        <v>26</v>
      </c>
      <c r="CC241" s="411">
        <f t="shared" si="162"/>
        <v>0</v>
      </c>
      <c r="CD241" s="411">
        <f t="shared" si="163"/>
        <v>10.039999999999999</v>
      </c>
      <c r="CE241" s="410">
        <f t="shared" si="164"/>
        <v>0</v>
      </c>
      <c r="CF241" s="404" t="s">
        <v>857</v>
      </c>
      <c r="CG241" s="409" t="s">
        <v>4007</v>
      </c>
      <c r="CH241" s="420" t="str">
        <f t="shared" si="185"/>
        <v>FLINTSL - RED</v>
      </c>
      <c r="CI241" s="409">
        <v>26</v>
      </c>
      <c r="CJ241" s="411">
        <f>IF(CI241=0,0,IF($LB241=70%,VLOOKUP($CH241,'Jan-2026 rates'!$L:$R,4,0),IF($LB241=65%,VLOOKUP($CH241,'Jan-2026 rates'!$L:$R,4,0),IF($LB241=40%,VLOOKUP($CH241,'Jan-2026 rates'!$L:$R,5,0),IF($LB241=30%,VLOOKUP($CH241,'Jan-2026 rates'!$L:$R,6,0),IF($LB241=100%,VLOOKUP($CH241,'Jan-2026 rates'!$L:$R,7,0),IF($LB241=60%,VLOOKUP($CH241,'Jan-2026 rates'!$L:$S,8,0),IF($LB241=80%,VLOOKUP($CH241,'Jan-2026 rates'!L:T,9,0),0))))))))</f>
        <v>0</v>
      </c>
      <c r="CK241" s="412"/>
      <c r="CL241" s="409"/>
      <c r="CM241" s="411">
        <f>IF(CL241=0,0,IF($LB241=70%,VLOOKUP($CH241,'Jan-2026 rates'!$L:$R,4,0),IF($LB241=65%,VLOOKUP($CH241,'Jan-2026 rates'!$L:$R,4,0),IF($LB241=40%,VLOOKUP($CH241,'Jan-2026 rates'!$L:$R,5,0),IF($LB241=30%,VLOOKUP($CH241,'Jan-2026 rates'!$L:$R,6,0),IF($LB241=100%,VLOOKUP($CH241,'Jan-2026 rates'!$L:$R,7,0),IF($LB241=60%,VLOOKUP($CH241,'Jan-2026 rates'!$L:$S,8,0),IF($LB241=80%,VLOOKUP($CH241,'Jan-2026 rates'!L:T,9,0),0))))))))</f>
        <v>0</v>
      </c>
      <c r="CN241" s="426" t="s">
        <v>1266</v>
      </c>
      <c r="CO241" s="427"/>
      <c r="CP241" s="426"/>
      <c r="CQ241" s="426"/>
      <c r="CR241" s="428"/>
      <c r="CS241" s="428"/>
      <c r="CT241" s="428"/>
      <c r="CU241" s="428"/>
      <c r="CV241" s="409">
        <v>2</v>
      </c>
      <c r="CW241" s="398">
        <f>IF(CV241=0,0,IF(LEN(CN241)=11,_xlfn.XLOOKUP(CN241,'Dispensed Ink Rates'!C:C,'Dispensed Ink Rates'!CS:CS),VLOOKUP(CN241,'Jan-2026 rates'!$E:$F,2,0)))</f>
        <v>0</v>
      </c>
      <c r="CX241" s="409"/>
      <c r="CY241" s="398">
        <f>IF(CX241=0,0,IF(LEN(CO241)=11,_xlfn.XLOOKUP(CO241,'Dispensed Ink Rates'!C:C,'Dispensed Ink Rates'!CS:CS),VLOOKUP(CO241,'Jan-2026 rates'!$E:$F,2,0)))</f>
        <v>0</v>
      </c>
      <c r="CZ241" s="409"/>
      <c r="DA241" s="398">
        <f>IF(CZ241=0,0,IF(LEN(CP241)=11,_xlfn.XLOOKUP(CP241,'Dispensed Ink Rates'!C:C,'Dispensed Ink Rates'!CS:CS),VLOOKUP(CP241,'Jan-2026 rates'!$E:$F,2,0)))</f>
        <v>0</v>
      </c>
      <c r="DB241" s="409"/>
      <c r="DC241" s="398">
        <f>IF(DB241=0,0,IF(LEN(CQ241)=11,_xlfn.XLOOKUP(CQ241,'Dispensed Ink Rates'!C:C,'Dispensed Ink Rates'!CS:CS),VLOOKUP(CQ241,'Jan-2026 rates'!$E:$F,2,0)))</f>
        <v>0</v>
      </c>
      <c r="DD241" s="409"/>
      <c r="DE241" s="398">
        <f>IF(DD241=0,0,IF(LEN(CR241)=11,_xlfn.XLOOKUP(CR241,'Dispensed Ink Rates'!C:C,'Dispensed Ink Rates'!CS:CS),VLOOKUP(CR241,'Jan-2026 rates'!$E:$F,2,0)))</f>
        <v>0</v>
      </c>
      <c r="DF241" s="409"/>
      <c r="DG241" s="398">
        <f>IF(DF241=0,0,IF(LEN(CS241)=11,_xlfn.XLOOKUP(CS241,'Dispensed Ink Rates'!C:C,'Dispensed Ink Rates'!CS:CS),VLOOKUP(CS241,'Jan-2026 rates'!$E:$F,2,0)))</f>
        <v>0</v>
      </c>
      <c r="DH241" s="409"/>
      <c r="DI241" s="398">
        <f>IF(DH241=0,0,IF(LEN(CT241)=11,_xlfn.XLOOKUP(CT241,'Dispensed Ink Rates'!C:C,'Dispensed Ink Rates'!CS:CS),VLOOKUP(CT241,'Jan-2026 rates'!$E:$F,2,0)))</f>
        <v>0</v>
      </c>
      <c r="DJ241" s="409"/>
      <c r="DK241" s="398">
        <f>IF(DJ241=0,0,IF(LEN(CU241)=11,_xlfn.XLOOKUP(CU241,'Dispensed Ink Rates'!C:C,'Dispensed Ink Rates'!CS:CS),VLOOKUP(CU241,'Jan-2026 rates'!$E:$F,2,0)))</f>
        <v>0</v>
      </c>
      <c r="DL241" s="409" t="s">
        <v>1443</v>
      </c>
      <c r="DM241" s="409">
        <v>25</v>
      </c>
      <c r="DN241" s="411">
        <f t="shared" si="165"/>
        <v>0</v>
      </c>
      <c r="DO241" s="411">
        <f t="shared" si="166"/>
        <v>6.52</v>
      </c>
      <c r="DP241" s="410">
        <f t="shared" si="167"/>
        <v>0</v>
      </c>
      <c r="DQ241" s="405" t="s">
        <v>855</v>
      </c>
      <c r="DR241" s="409"/>
      <c r="DS241" s="420" t="str">
        <f t="shared" si="186"/>
        <v>FLINTSL - CYAN</v>
      </c>
      <c r="DT241" s="409"/>
      <c r="DU241" s="411">
        <f>IF(DT241=0,0,IF($LB241=70%,VLOOKUP($DS241,'Jan-2026 rates'!$L:$R,4,0),IF($LB241=65%,VLOOKUP($DS241,'Jan-2026 rates'!$L:$R,4,0),IF($LB241=40%,VLOOKUP($DS241,'Jan-2026 rates'!$L:$R,5,0),IF($LB241=30%,VLOOKUP($DS241,'Jan-2026 rates'!$L:$R,6,0),IF($LB241=100%,VLOOKUP($DS241,'Jan-2026 rates'!$L:$R,7,0),IF($LB241=60%,VLOOKUP($DS241,'Jan-2026 rates'!$L:$S,8,0),IF($LB241=80%,VLOOKUP($DS241,'Jan-2026 rates'!L:T,9,0),0))))))))</f>
        <v>0</v>
      </c>
      <c r="DV241" s="412"/>
      <c r="DW241" s="409"/>
      <c r="DX241" s="411">
        <f>IF(DW241=0,0,IF($LB241=70%,VLOOKUP($DS241,'Jan-2026 rates'!$L:$R,4,0),IF($LB241=65%,VLOOKUP($DS241,'Jan-2026 rates'!$L:$R,4,0),IF($LB241=40%,VLOOKUP($DS241,'Jan-2026 rates'!$L:$R,5,0),IF($LB241=30%,VLOOKUP($DS241,'Jan-2026 rates'!$L:$R,6,0),IF($LB241=100%,VLOOKUP($DS241,'Jan-2026 rates'!$L:$R,7,0),IF($LB241=60%,VLOOKUP($DS241,'Jan-2026 rates'!$L:$S,8,0),IF($LB241=80%,VLOOKUP($DS241,'Jan-2026 rates'!L:T,9,0),0))))))))</f>
        <v>0</v>
      </c>
      <c r="DY241" s="413">
        <v>26516000032</v>
      </c>
      <c r="DZ241" s="413" t="s">
        <v>1266</v>
      </c>
      <c r="EA241" s="412">
        <v>26516000021</v>
      </c>
      <c r="EB241" s="412"/>
      <c r="EC241" s="412"/>
      <c r="ED241" s="412"/>
      <c r="EE241" s="412"/>
      <c r="EF241" s="412"/>
      <c r="EG241" s="409">
        <v>20</v>
      </c>
      <c r="EH241" s="398" t="e">
        <f>IF(EG241=0,0,IF(LEN(DY241)=11,_xlfn.XLOOKUP(DY241,'Dispensed Ink Rates'!C:C,'Dispensed Ink Rates'!CS:CS),VLOOKUP(DY241,'Jan-2026 rates'!$E:$F,2,0)))</f>
        <v>#N/A</v>
      </c>
      <c r="EI241" s="409">
        <f>15+5</f>
        <v>20</v>
      </c>
      <c r="EJ241" s="398">
        <f>IF(EI241=0,0,IF(LEN(DZ241)=11,_xlfn.XLOOKUP(DZ241,'Dispensed Ink Rates'!C:C,'Dispensed Ink Rates'!CS:CS),VLOOKUP(DZ241,'Jan-2026 rates'!$E:$F,2,0)))</f>
        <v>0</v>
      </c>
      <c r="EK241" s="409">
        <v>0.4</v>
      </c>
      <c r="EL241" s="398" t="e">
        <f>IF(EK241=0,0,IF(LEN(EA241)=11,_xlfn.XLOOKUP(EA241,'Dispensed Ink Rates'!C:C,'Dispensed Ink Rates'!CS:CS),VLOOKUP(EA241,'Jan-2026 rates'!$E:$F,2,0)))</f>
        <v>#N/A</v>
      </c>
      <c r="EM241" s="409"/>
      <c r="EN241" s="398">
        <f>IF(EM241=0,0,IF(LEN(EB241)=11,_xlfn.XLOOKUP(EB241,'Dispensed Ink Rates'!C:C,'Dispensed Ink Rates'!CS:CS),VLOOKUP(EB241,'Jan-2026 rates'!$E:$F,2,0)))</f>
        <v>0</v>
      </c>
      <c r="EO241" s="409"/>
      <c r="EP241" s="398">
        <f>IF(EO241=0,0,IF(LEN(EC241)=11,_xlfn.XLOOKUP(EC241,'Dispensed Ink Rates'!C:C,'Dispensed Ink Rates'!CS:CS),VLOOKUP(EC241,'Jan-2026 rates'!$E:$F,2,0)))</f>
        <v>0</v>
      </c>
      <c r="EQ241" s="409"/>
      <c r="ER241" s="398">
        <f>IF(EQ241=0,0,IF(LEN(ED241)=11,_xlfn.XLOOKUP(ED241,'Dispensed Ink Rates'!C:C,'Dispensed Ink Rates'!CS:CS),VLOOKUP(ED241,'Jan-2026 rates'!$E:$F,2,0)))</f>
        <v>0</v>
      </c>
      <c r="ES241" s="409"/>
      <c r="ET241" s="398">
        <f>IF(ES241=0,0,IF(LEN(EE241)=11,_xlfn.XLOOKUP(EE241,'Dispensed Ink Rates'!C:C,'Dispensed Ink Rates'!CS:CS),VLOOKUP(EE241,'Jan-2026 rates'!$E:$F,2,0)))</f>
        <v>0</v>
      </c>
      <c r="EU241" s="409"/>
      <c r="EV241" s="398">
        <f>IF(EU241=0,0,IF(LEN(EF241)=11,_xlfn.XLOOKUP(EF241,'Dispensed Ink Rates'!C:C,'Dispensed Ink Rates'!CS:CS),VLOOKUP(EF241,'Jan-2026 rates'!$E:$F,2,0)))</f>
        <v>0</v>
      </c>
      <c r="EW241" s="409" t="s">
        <v>1443</v>
      </c>
      <c r="EX241" s="409">
        <v>26</v>
      </c>
      <c r="EY241" s="411">
        <f t="shared" si="168"/>
        <v>0</v>
      </c>
      <c r="EZ241" s="411">
        <f t="shared" si="169"/>
        <v>37.28</v>
      </c>
      <c r="FA241" s="410">
        <f t="shared" si="170"/>
        <v>0</v>
      </c>
      <c r="FB241" s="405" t="s">
        <v>855</v>
      </c>
      <c r="FC241" s="409" t="s">
        <v>4008</v>
      </c>
      <c r="FD241" s="420" t="str">
        <f t="shared" si="187"/>
        <v>FLINTSL - CYAN</v>
      </c>
      <c r="FE241" s="409">
        <v>29</v>
      </c>
      <c r="FF241" s="411">
        <f>IF(FE241=0,0,IF($LB241=70%,VLOOKUP($FD241,'Jan-2026 rates'!$L:$R,4,0),IF($LB241=65%,VLOOKUP($FD241,'Jan-2026 rates'!$L:$R,4,0),IF($LB241=40%,VLOOKUP($FD241,'Jan-2026 rates'!$L:$R,5,0),IF($LB241=30%,VLOOKUP($FD241,'Jan-2026 rates'!$L:$R,6,0),IF($LB241=100%,VLOOKUP($FD241,'Jan-2026 rates'!$L:$R,7,0),IF($LB241=60%,VLOOKUP($FD241,'Jan-2026 rates'!$L:$S,8,0),IF($LB241=80%,VLOOKUP($FD241,'Jan-2026 rates'!L:T,9,0),0))))))))</f>
        <v>0</v>
      </c>
      <c r="FG241" s="412"/>
      <c r="FH241" s="409"/>
      <c r="FI241" s="411">
        <f>IF(FH241=0,0,IF($LB241=70%,VLOOKUP($FD241,'Jan-2026 rates'!$L:$R,4,0),IF($LB241=65%,VLOOKUP($FD241,'Jan-2026 rates'!$L:$R,4,0),IF($LB241=40%,VLOOKUP($FD241,'Jan-2026 rates'!$L:$R,5,0),IF($LB241=30%,VLOOKUP($FD241,'Jan-2026 rates'!$L:$R,6,0),IF($LB241=100%,VLOOKUP($FD241,'Jan-2026 rates'!$L:$R,7,0),IF($LB241=60%,VLOOKUP($FD241,'Jan-2026 rates'!$L:$S,8,0),IF($LB241=80%,VLOOKUP($FD241,'Jan-2026 rates'!L:T,9,0),0))))))))</f>
        <v>0</v>
      </c>
      <c r="FJ241" s="413">
        <v>26516000032</v>
      </c>
      <c r="FK241" s="413"/>
      <c r="FL241" s="413"/>
      <c r="FM241" s="412"/>
      <c r="FN241" s="412"/>
      <c r="FO241" s="412"/>
      <c r="FP241" s="412"/>
      <c r="FQ241" s="412"/>
      <c r="FR241" s="409">
        <v>4</v>
      </c>
      <c r="FS241" s="398" t="e">
        <f>IF(FR241=0,0,IF(LEN(FJ241)=11,_xlfn.XLOOKUP(FJ241,'Dispensed Ink Rates'!C:C,'Dispensed Ink Rates'!CS:CS),VLOOKUP(FJ241,'Jan-2026 rates'!$E:$F,2,0)))</f>
        <v>#N/A</v>
      </c>
      <c r="FT241" s="409"/>
      <c r="FU241" s="398">
        <f>IF(FT241=0,0,IF(LEN(FK241)=11,_xlfn.XLOOKUP(FK241,'Dispensed Ink Rates'!C:C,'Dispensed Ink Rates'!CS:CS),VLOOKUP(FK241,'Jan-2026 rates'!$E:$F,2,0)))</f>
        <v>0</v>
      </c>
      <c r="FV241" s="409"/>
      <c r="FW241" s="398">
        <f>IF(FV241=0,0,IF(LEN(FL241)=11,_xlfn.XLOOKUP(FL241,'Dispensed Ink Rates'!C:C,'Dispensed Ink Rates'!CS:CS),VLOOKUP(FL241,'Jan-2026 rates'!$E:$F,2,0)))</f>
        <v>0</v>
      </c>
      <c r="FX241" s="409"/>
      <c r="FY241" s="398">
        <f>IF(FX241=0,0,IF(LEN(FM241)=11,_xlfn.XLOOKUP(FM241,'Dispensed Ink Rates'!C:C,'Dispensed Ink Rates'!CS:CS),VLOOKUP(FM241,'Jan-2026 rates'!$E:$F,2,0)))</f>
        <v>0</v>
      </c>
      <c r="FZ241" s="409"/>
      <c r="GA241" s="398">
        <f>IF(FZ241=0,0,IF(LEN(FN241)=11,_xlfn.XLOOKUP(FN241,'Dispensed Ink Rates'!C:C,'Dispensed Ink Rates'!CS:CS),VLOOKUP(FN241,'Jan-2026 rates'!$E:$F,2,0)))</f>
        <v>0</v>
      </c>
      <c r="GB241" s="409"/>
      <c r="GC241" s="398">
        <f>IF(GB241=0,0,IF(LEN(FO241)=11,_xlfn.XLOOKUP(FO241,'Dispensed Ink Rates'!C:C,'Dispensed Ink Rates'!CS:CS),VLOOKUP(FO241,'Jan-2026 rates'!$E:$F,2,0)))</f>
        <v>0</v>
      </c>
      <c r="GD241" s="409"/>
      <c r="GE241" s="398">
        <f>IF(GD241=0,0,IF(LEN(FP241)=11,_xlfn.XLOOKUP(FP241,'Dispensed Ink Rates'!C:C,'Dispensed Ink Rates'!CS:CS),VLOOKUP(FP241,'Jan-2026 rates'!$E:$F,2,0)))</f>
        <v>0</v>
      </c>
      <c r="GF241" s="409"/>
      <c r="GG241" s="398">
        <f>IF(GF241=0,0,IF(LEN(FQ241)=11,_xlfn.XLOOKUP(FQ241,'Dispensed Ink Rates'!C:C,'Dispensed Ink Rates'!CS:CS),VLOOKUP(FQ241,'Jan-2026 rates'!$E:$F,2,0)))</f>
        <v>0</v>
      </c>
      <c r="GH241" s="409" t="s">
        <v>1443</v>
      </c>
      <c r="GI241" s="409">
        <v>30</v>
      </c>
      <c r="GJ241" s="411">
        <f t="shared" si="171"/>
        <v>0</v>
      </c>
      <c r="GK241" s="411">
        <f t="shared" si="172"/>
        <v>6.5200000000000031</v>
      </c>
      <c r="GL241" s="410">
        <f t="shared" si="173"/>
        <v>0</v>
      </c>
      <c r="GM241" s="405" t="s">
        <v>544</v>
      </c>
      <c r="GN241" s="409" t="s">
        <v>4009</v>
      </c>
      <c r="GO241" s="420" t="str">
        <f t="shared" si="188"/>
        <v>FLINTSL - MAGENTA</v>
      </c>
      <c r="GP241" s="409">
        <v>27</v>
      </c>
      <c r="GQ241" s="411">
        <f>IF(GP241=0,0,IF($LB241=70%,VLOOKUP($GO241,'Jan-2026 rates'!$L:$R,4,0),IF($LB241=65%,VLOOKUP($GO241,'Jan-2026 rates'!$L:$R,4,0),IF($LB241=40%,VLOOKUP($GO241,'Jan-2026 rates'!$L:$R,5,0),IF($LB241=30%,VLOOKUP($GO241,'Jan-2026 rates'!$L:$R,6,0),IF($LB241=100%,VLOOKUP($GO241,'Jan-2026 rates'!$L:$R,7,0),IF($LB241=60%,VLOOKUP($GO241,'Jan-2026 rates'!$L:$S,8,0),IF($LB241=80%,VLOOKUP($GO241,'Jan-2026 rates'!L:T,9,0),0))))))))</f>
        <v>0</v>
      </c>
      <c r="GR241" s="412"/>
      <c r="GS241" s="409"/>
      <c r="GT241" s="411">
        <f>IF(GS241=0,0,IF($LB241=70%,VLOOKUP($GO241,'Jan-2026 rates'!$L:$R,4,0),IF($LB241=65%,VLOOKUP($GO241,'Jan-2026 rates'!$L:$R,4,0),IF($LB241=40%,VLOOKUP($GO241,'Jan-2026 rates'!$L:$R,5,0),IF($LB241=30%,VLOOKUP($GO241,'Jan-2026 rates'!$L:$R,6,0),IF($LB241=100%,VLOOKUP($GO241,'Jan-2026 rates'!$L:$R,7,0),IF($LB241=60%,VLOOKUP($GO241,'Jan-2026 rates'!$L:$S,8,0),IF($LB241=80%,VLOOKUP($GO241,'Jan-2026 rates'!L:T,9,0),0))))))))</f>
        <v>0</v>
      </c>
      <c r="GU241" s="413" t="s">
        <v>1266</v>
      </c>
      <c r="GV241" s="413"/>
      <c r="GW241" s="412"/>
      <c r="GX241" s="412"/>
      <c r="GY241" s="412"/>
      <c r="GZ241" s="412"/>
      <c r="HA241" s="412"/>
      <c r="HB241" s="412"/>
      <c r="HC241" s="409">
        <v>3</v>
      </c>
      <c r="HD241" s="398">
        <f>IF(HC241=0,0,IF(LEN(GU241)=11,_xlfn.XLOOKUP(GU241,'Dispensed Ink Rates'!C:C,'Dispensed Ink Rates'!CS:CS),VLOOKUP(GU241,'Jan-2026 rates'!$E:$F,2,0)))</f>
        <v>0</v>
      </c>
      <c r="HE241" s="409"/>
      <c r="HF241" s="398">
        <f>IF(HE241=0,0,IF(LEN(GV241)=11,_xlfn.XLOOKUP(GV241,'Dispensed Ink Rates'!C:C,'Dispensed Ink Rates'!CS:CS),VLOOKUP(GV241,'Jan-2026 rates'!$E:$F,2,0)))</f>
        <v>0</v>
      </c>
      <c r="HG241" s="409"/>
      <c r="HH241" s="398">
        <f>IF(HG241=0,0,IF(LEN(GW241)=11,_xlfn.XLOOKUP(GW241,'Dispensed Ink Rates'!C:C,'Dispensed Ink Rates'!CS:CS),VLOOKUP(GW241,'Jan-2026 rates'!$E:$F,2,0)))</f>
        <v>0</v>
      </c>
      <c r="HI241" s="409"/>
      <c r="HJ241" s="398">
        <f>IF(HI241=0,0,IF(LEN(GX241)=11,_xlfn.XLOOKUP(GX241,'Dispensed Ink Rates'!C:C,'Dispensed Ink Rates'!CS:CS),VLOOKUP(GX241,'Jan-2026 rates'!$E:$F,2,0)))</f>
        <v>0</v>
      </c>
      <c r="HK241" s="409"/>
      <c r="HL241" s="398">
        <f>IF(HK241=0,0,IF(LEN(GY241)=11,_xlfn.XLOOKUP(GY241,'Dispensed Ink Rates'!C:C,'Dispensed Ink Rates'!CS:CS),VLOOKUP(GY241,'Jan-2026 rates'!$E:$F,2,0)))</f>
        <v>0</v>
      </c>
      <c r="HM241" s="409"/>
      <c r="HN241" s="398">
        <f>IF(HM241=0,0,IF(LEN(GZ241)=11,_xlfn.XLOOKUP(GZ241,'Dispensed Ink Rates'!C:C,'Dispensed Ink Rates'!CS:CS),VLOOKUP(GZ241,'Jan-2026 rates'!$E:$F,2,0)))</f>
        <v>0</v>
      </c>
      <c r="HO241" s="409"/>
      <c r="HP241" s="398">
        <f>IF(HO241=0,0,IF(LEN(HA241)=11,_xlfn.XLOOKUP(HA241,'Dispensed Ink Rates'!C:C,'Dispensed Ink Rates'!CS:CS),VLOOKUP(HA241,'Jan-2026 rates'!$E:$F,2,0)))</f>
        <v>0</v>
      </c>
      <c r="HQ241" s="409"/>
      <c r="HR241" s="398">
        <f>IF(HQ241=0,0,IF(LEN(HB241)=11,_xlfn.XLOOKUP(HB241,'Dispensed Ink Rates'!C:C,'Dispensed Ink Rates'!CS:CS),VLOOKUP(HB241,'Jan-2026 rates'!$E:$F,2,0)))</f>
        <v>0</v>
      </c>
      <c r="HS241" s="409" t="s">
        <v>1443</v>
      </c>
      <c r="HT241" s="409">
        <v>29</v>
      </c>
      <c r="HU241" s="411">
        <f t="shared" si="174"/>
        <v>0</v>
      </c>
      <c r="HV241" s="411">
        <f t="shared" si="175"/>
        <v>8.0399999999999991</v>
      </c>
      <c r="HW241" s="414">
        <f t="shared" si="176"/>
        <v>0</v>
      </c>
      <c r="HX241" s="405" t="s">
        <v>545</v>
      </c>
      <c r="HY241" s="409" t="s">
        <v>4010</v>
      </c>
      <c r="HZ241" s="420" t="str">
        <f t="shared" si="189"/>
        <v>FLINTSL - YELLOW</v>
      </c>
      <c r="IA241" s="409">
        <v>26</v>
      </c>
      <c r="IB241" s="411">
        <f>IF(IA241=0,0,IF($LB241=70%,VLOOKUP($HZ241,'Jan-2026 rates'!$L:$R,4,0),IF($LB241=65%,VLOOKUP($HZ241,'Jan-2026 rates'!$L:$R,4,0),IF($LB241=40%,VLOOKUP($HZ241,'Jan-2026 rates'!$L:$R,5,0),IF($LB241=30%,VLOOKUP($HZ241,'Jan-2026 rates'!$L:$R,6,0),IF($LB241=100%,VLOOKUP($HZ241,'Jan-2026 rates'!$L:$R,7,0),IF($LB241=60%,VLOOKUP($HZ241,'Jan-2026 rates'!$L:$S,8,0),IF($LB241=80%,VLOOKUP($HZ241,'Jan-2026 rates'!L:T,9,0),0))))))))</f>
        <v>0</v>
      </c>
      <c r="IC241" s="412"/>
      <c r="ID241" s="409"/>
      <c r="IE241" s="411">
        <f>IF(ID241=0,0,IF($LB241=70%,VLOOKUP($HZ241,'Jan-2026 rates'!$L:$R,4,0),IF($LB241=65%,VLOOKUP($HZ241,'Jan-2026 rates'!$L:$R,4,0),IF($LB241=40%,VLOOKUP($HZ241,'Jan-2026 rates'!$L:$R,5,0),IF($LB241=30%,VLOOKUP($HZ241,'Jan-2026 rates'!$L:$R,6,0),IF($LB241=100%,VLOOKUP($HZ241,'Jan-2026 rates'!$L:$R,7,0),IF($LB241=60%,VLOOKUP($HZ241,'Jan-2026 rates'!$L:$S,8,0),IF($LB241=80%,VLOOKUP($HZ241,'Jan-2026 rates'!L:T,9,0),0))))))))</f>
        <v>0</v>
      </c>
      <c r="IF241" s="412" t="s">
        <v>1266</v>
      </c>
      <c r="IG241" s="413">
        <v>26518000001</v>
      </c>
      <c r="IH241" s="412"/>
      <c r="II241" s="412"/>
      <c r="IJ241" s="412"/>
      <c r="IK241" s="412"/>
      <c r="IL241" s="412"/>
      <c r="IM241" s="412"/>
      <c r="IN241" s="409">
        <v>3</v>
      </c>
      <c r="IO241" s="398">
        <f>IF(IN241=0,0,IF(LEN(IF241)=11,_xlfn.XLOOKUP(IF241,'Dispensed Ink Rates'!C:C,'Dispensed Ink Rates'!CS:CS),VLOOKUP(IF241,'Jan-2026 rates'!$E:$F,2,0)))</f>
        <v>0</v>
      </c>
      <c r="IP241" s="409">
        <v>4</v>
      </c>
      <c r="IQ241" s="398" t="e">
        <f>IF(IP241=0,0,IF(LEN(IG241)=11,_xlfn.XLOOKUP(IG241,'Dispensed Ink Rates'!C:C,'Dispensed Ink Rates'!CS:CS),VLOOKUP(IG241,'Jan-2026 rates'!$E:$F,2,0)))</f>
        <v>#N/A</v>
      </c>
      <c r="IR241" s="409"/>
      <c r="IS241" s="398">
        <f>IF(IR241=0,0,IF(LEN(IH241)=11,_xlfn.XLOOKUP(IH241,'Dispensed Ink Rates'!C:C,'Dispensed Ink Rates'!CS:CS),VLOOKUP(IH241,'Jan-2026 rates'!$E:$F,2,0)))</f>
        <v>0</v>
      </c>
      <c r="IT241" s="409"/>
      <c r="IU241" s="398">
        <f>IF(IT241=0,0,IF(LEN(II241)=11,_xlfn.XLOOKUP(II241,'Dispensed Ink Rates'!C:C,'Dispensed Ink Rates'!CS:CS),VLOOKUP(II241,'Jan-2026 rates'!$E:$F,2,0)))</f>
        <v>0</v>
      </c>
      <c r="IV241" s="409"/>
      <c r="IW241" s="398">
        <f>IF(IV241=0,0,IF(LEN(IJ241)=11,_xlfn.XLOOKUP(IJ241,'Dispensed Ink Rates'!C:C,'Dispensed Ink Rates'!CS:CS),VLOOKUP(IJ241,'Jan-2026 rates'!$E:$F,2,0)))</f>
        <v>0</v>
      </c>
      <c r="IX241" s="409"/>
      <c r="IY241" s="398">
        <f>IF(IX241=0,0,IF(LEN(IK241)=11,_xlfn.XLOOKUP(IK241,'Dispensed Ink Rates'!C:C,'Dispensed Ink Rates'!CS:CS),VLOOKUP(IK241,'Jan-2026 rates'!$E:$F,2,0)))</f>
        <v>0</v>
      </c>
      <c r="IZ241" s="409"/>
      <c r="JA241" s="398">
        <f>IF(IZ241=0,0,IF(LEN(IL241)=11,_xlfn.XLOOKUP(IL241,'Dispensed Ink Rates'!C:C,'Dispensed Ink Rates'!CS:CS),VLOOKUP(IL241,'Jan-2026 rates'!$E:$F,2,0)))</f>
        <v>0</v>
      </c>
      <c r="JB241" s="409"/>
      <c r="JC241" s="398">
        <f>IF(JB241=0,0,IF(LEN(IM241)=11,_xlfn.XLOOKUP(IM241,'Dispensed Ink Rates'!C:C,'Dispensed Ink Rates'!CS:CS),VLOOKUP(IM241,'Jan-2026 rates'!$E:$F,2,0)))</f>
        <v>0</v>
      </c>
      <c r="JD241" s="409" t="s">
        <v>1443</v>
      </c>
      <c r="JE241" s="409">
        <v>27</v>
      </c>
      <c r="JF241" s="411">
        <f t="shared" si="177"/>
        <v>0</v>
      </c>
      <c r="JG241" s="411">
        <f t="shared" si="178"/>
        <v>9.5200000000000031</v>
      </c>
      <c r="JH241" s="410">
        <f t="shared" si="179"/>
        <v>0</v>
      </c>
      <c r="JI241" s="405" t="s">
        <v>856</v>
      </c>
      <c r="JJ241" s="409" t="s">
        <v>4011</v>
      </c>
      <c r="JK241" s="420" t="str">
        <f t="shared" si="190"/>
        <v>FLINTSL - WHITE</v>
      </c>
      <c r="JL241" s="409">
        <v>25</v>
      </c>
      <c r="JM241" s="411">
        <f>IF(JL241=0,0,IF($LB241=70%,VLOOKUP($JK241,'Jan-2026 rates'!$L:$R,4,0),IF($LB241=65%,VLOOKUP($JK241,'Jan-2026 rates'!$L:$R,4,0),IF($LB241=40%,VLOOKUP($JK241,'Jan-2026 rates'!$L:$R,5,0),IF($LB241=30%,VLOOKUP($JK241,'Jan-2026 rates'!$L:$R,6,0),IF($LB241=100%,VLOOKUP($JK241,'Jan-2026 rates'!$L:$R,7,0),IF($LB241=60%,VLOOKUP($JK241,'Jan-2026 rates'!$L:$S,8,0),IF($LB241=80%,VLOOKUP($JK241,'Jan-2026 rates'!L:T,9,0),0))))))))</f>
        <v>0</v>
      </c>
      <c r="JN241" s="412"/>
      <c r="JO241" s="409"/>
      <c r="JP241" s="411">
        <f>IF(JO241=0,0,IF($LB241=70%,VLOOKUP($JK241,'Jan-2026 rates'!$L:$R,4,0),IF($LB241=65%,VLOOKUP($JK241,'Jan-2026 rates'!$L:$R,4,0),IF($LB241=40%,VLOOKUP($JK241,'Jan-2026 rates'!$L:$R,5,0),IF($LB241=30%,VLOOKUP($JK241,'Jan-2026 rates'!$L:$R,6,0),IF($LB241=100%,VLOOKUP($JK241,'Jan-2026 rates'!$L:$R,7,0),IF($LB241=60%,VLOOKUP($JK241,'Jan-2026 rates'!$L:$S,8,0),IF($LB241=80%,VLOOKUP($JK241,'Jan-2026 rates'!L:T,9,0),0))))))))</f>
        <v>0</v>
      </c>
      <c r="JQ241" s="413" t="s">
        <v>484</v>
      </c>
      <c r="JR241" s="412"/>
      <c r="JS241" s="413"/>
      <c r="JT241" s="413"/>
      <c r="JU241" s="412"/>
      <c r="JV241" s="412"/>
      <c r="JW241" s="412"/>
      <c r="JX241" s="412"/>
      <c r="JY241" s="409">
        <v>40</v>
      </c>
      <c r="JZ241" s="398">
        <f>IF(JY241=0,0,IF(LEN(JQ241)=11,_xlfn.XLOOKUP(JQ241,'Dispensed Ink Rates'!C:C,'Dispensed Ink Rates'!CS:CS),VLOOKUP(JQ241,'Jan-2026 rates'!$E:$F,2,0)))</f>
        <v>0</v>
      </c>
      <c r="KA241" s="409"/>
      <c r="KB241" s="398">
        <f>IF(KA241=0,0,IF(LEN(JR241)=11,_xlfn.XLOOKUP(JR241,'Dispensed Ink Rates'!C:C,'Dispensed Ink Rates'!CS:CS),VLOOKUP(JR241,'Jan-2026 rates'!$E:$F,2,0)))</f>
        <v>0</v>
      </c>
      <c r="KC241" s="409"/>
      <c r="KD241" s="398">
        <f>IF(KC241=0,0,IF(LEN(JS241)=11,_xlfn.XLOOKUP(JS241,'Dispensed Ink Rates'!C:C,'Dispensed Ink Rates'!CS:CS),VLOOKUP(JS241,'Jan-2026 rates'!$E:$F,2,0)))</f>
        <v>0</v>
      </c>
      <c r="KE241" s="409"/>
      <c r="KF241" s="398">
        <f>IF(KE241=0,0,IF(LEN(JT241)=11,_xlfn.XLOOKUP(JT241,'Dispensed Ink Rates'!C:C,'Dispensed Ink Rates'!CS:CS),VLOOKUP(JT241,'Jan-2026 rates'!$E:$F,2,0)))</f>
        <v>0</v>
      </c>
      <c r="KG241" s="409"/>
      <c r="KH241" s="398">
        <f>IF(KG241=0,0,IF(LEN(JU241)=11,_xlfn.XLOOKUP(JU241,'Dispensed Ink Rates'!C:C,'Dispensed Ink Rates'!CS:CS),VLOOKUP(JU241,'Jan-2026 rates'!$E:$F,2,0)))</f>
        <v>0</v>
      </c>
      <c r="KI241" s="409"/>
      <c r="KJ241" s="398">
        <f>IF(KI241=0,0,IF(LEN(JV241)=11,_xlfn.XLOOKUP(JV241,'Dispensed Ink Rates'!C:C,'Dispensed Ink Rates'!CS:CS),VLOOKUP(JV241,'Jan-2026 rates'!$E:$F,2,0)))</f>
        <v>0</v>
      </c>
      <c r="KK241" s="409"/>
      <c r="KL241" s="398">
        <f>IF(KK241=0,0,IF(LEN(JW241)=11,_xlfn.XLOOKUP(JW241,'Dispensed Ink Rates'!C:C,'Dispensed Ink Rates'!CS:CS),VLOOKUP(JW241,'Jan-2026 rates'!$E:$F,2,0)))</f>
        <v>0</v>
      </c>
      <c r="KM241" s="428"/>
      <c r="KN241" s="398">
        <f>IF(KM241=0,0,IF(LEN(JX241)=11,_xlfn.XLOOKUP(JX241,'Dispensed Ink Rates'!C:C,'Dispensed Ink Rates'!CS:CS),VLOOKUP(JX241,'Jan-2026 rates'!$E:$F,2,0)))</f>
        <v>0</v>
      </c>
      <c r="KO241" s="409" t="s">
        <v>1443</v>
      </c>
      <c r="KP241" s="409">
        <v>28</v>
      </c>
      <c r="KQ241" s="411">
        <f t="shared" si="180"/>
        <v>0</v>
      </c>
      <c r="KR241" s="411">
        <f t="shared" si="181"/>
        <v>72.2</v>
      </c>
      <c r="KS241" s="410">
        <f t="shared" si="182"/>
        <v>0</v>
      </c>
      <c r="KT241" s="409">
        <v>3</v>
      </c>
      <c r="KU241" s="409">
        <v>4</v>
      </c>
      <c r="KV241" s="409">
        <v>2</v>
      </c>
      <c r="KW241" s="409">
        <f>8+5</f>
        <v>13</v>
      </c>
      <c r="KX241" s="409">
        <v>2</v>
      </c>
      <c r="KY241" s="409">
        <v>4</v>
      </c>
      <c r="KZ241" s="409">
        <v>2</v>
      </c>
      <c r="LA241" s="409">
        <v>20</v>
      </c>
      <c r="LB241" s="415">
        <v>0.8</v>
      </c>
      <c r="LC241" s="415">
        <v>0.2</v>
      </c>
      <c r="LD241" s="415"/>
      <c r="LE241" s="415"/>
      <c r="LF241" s="415"/>
      <c r="LG241" s="409">
        <v>0</v>
      </c>
      <c r="LH241" s="409">
        <f>20+28+32+8</f>
        <v>88</v>
      </c>
      <c r="LI241" s="409">
        <v>0</v>
      </c>
      <c r="LJ241" s="409">
        <v>0</v>
      </c>
      <c r="LK241" s="416">
        <f t="shared" si="191"/>
        <v>88</v>
      </c>
      <c r="LL241" s="416">
        <f t="shared" si="192"/>
        <v>88</v>
      </c>
      <c r="LM241" s="417">
        <f t="shared" si="193"/>
        <v>70.400000000000006</v>
      </c>
      <c r="LN241" s="417">
        <f>VLOOKUP($LM$8,'Jan-2026 rates'!$H:$I,2,0)</f>
        <v>0</v>
      </c>
      <c r="LO241" s="417">
        <f t="shared" si="194"/>
        <v>17.600000000000001</v>
      </c>
      <c r="LP241" s="417">
        <f>VLOOKUP($LO$8,'Jan-2026 rates'!$H:$I,2,0)</f>
        <v>0</v>
      </c>
      <c r="LQ241" s="417">
        <f t="shared" si="195"/>
        <v>0</v>
      </c>
      <c r="LR241" s="417">
        <f>VLOOKUP($LQ$8,'Jan-2026 rates'!$H:$I,2,0)</f>
        <v>0</v>
      </c>
      <c r="LS241" s="417">
        <f t="shared" si="196"/>
        <v>0</v>
      </c>
      <c r="LT241" s="417">
        <f>VLOOKUP($LS$8,'Jan-2026 rates'!$H:$I,2,0)</f>
        <v>0</v>
      </c>
      <c r="LU241" s="417">
        <f t="shared" si="197"/>
        <v>0</v>
      </c>
      <c r="LV241" s="417">
        <f>VLOOKUP($LU$8,'Jan-2026 rates'!$H:$I,2,0)</f>
        <v>0</v>
      </c>
      <c r="LW241" s="417">
        <f t="shared" si="198"/>
        <v>0</v>
      </c>
      <c r="LX241" s="417">
        <f t="shared" si="199"/>
        <v>0</v>
      </c>
      <c r="LY241" s="418">
        <f t="shared" si="200"/>
        <v>0</v>
      </c>
      <c r="LZ241" s="417"/>
      <c r="MA241" s="435">
        <f t="shared" si="201"/>
        <v>101.4</v>
      </c>
      <c r="MB241" s="282">
        <f t="shared" si="202"/>
        <v>161.40000000000003</v>
      </c>
      <c r="MC241" s="283">
        <v>134</v>
      </c>
      <c r="MD241" s="284" t="str">
        <f t="shared" si="203"/>
        <v>FLINTSLFLINTSLFLINTSLFLINTSLFLINTSLFLINTSLFLINTSLFLINTSL</v>
      </c>
      <c r="ME241" s="293" t="str">
        <f t="shared" si="204"/>
        <v>+</v>
      </c>
      <c r="MF241" s="293" t="str">
        <f t="shared" si="205"/>
        <v>+</v>
      </c>
      <c r="MG241" s="293" t="str">
        <f t="shared" si="206"/>
        <v>+</v>
      </c>
      <c r="MH241" s="293" t="str">
        <f t="shared" si="207"/>
        <v>+</v>
      </c>
      <c r="MI241" s="293" t="str">
        <f t="shared" si="208"/>
        <v>+</v>
      </c>
      <c r="MJ241" s="293" t="str">
        <f t="shared" si="209"/>
        <v>+</v>
      </c>
      <c r="MK241" s="293" t="str">
        <f t="shared" si="210"/>
        <v>+</v>
      </c>
      <c r="ML241" s="293" t="str">
        <f t="shared" si="211"/>
        <v>+</v>
      </c>
      <c r="MM241" s="3" t="b">
        <f t="array" ref="MM241">OR(ME241:ML241="-")</f>
        <v>0</v>
      </c>
      <c r="MN241" s="285"/>
      <c r="MO241" s="401"/>
      <c r="MP241" s="286"/>
      <c r="MQ241" s="286"/>
      <c r="MR241" s="402"/>
      <c r="MS241" s="400"/>
      <c r="NH241" s="422"/>
      <c r="NJ241" s="421"/>
    </row>
    <row r="242" spans="1:374" s="1" customFormat="1" ht="16.5">
      <c r="A242" s="403">
        <v>46039</v>
      </c>
      <c r="B242" s="404" t="s">
        <v>1015</v>
      </c>
      <c r="C242" s="405" t="s">
        <v>4012</v>
      </c>
      <c r="D242" s="406">
        <v>135</v>
      </c>
      <c r="E242" s="404">
        <v>248</v>
      </c>
      <c r="F242" s="407">
        <v>12200</v>
      </c>
      <c r="G242" s="407" t="s">
        <v>1019</v>
      </c>
      <c r="H242" s="408" t="s">
        <v>1017</v>
      </c>
      <c r="I242" s="409">
        <v>1.9</v>
      </c>
      <c r="J242" s="405" t="s">
        <v>543</v>
      </c>
      <c r="K242" s="404" t="s">
        <v>4013</v>
      </c>
      <c r="L242" s="419" t="str">
        <f t="shared" si="184"/>
        <v>FLINTSL - BLACK</v>
      </c>
      <c r="M242" s="404">
        <v>25</v>
      </c>
      <c r="N242" s="410">
        <f>IF(M242=0,0,IF($LB242=70%,VLOOKUP($L242,'Jan-2026 rates'!$L:$R,4,0),IF($LB242=65%,VLOOKUP($L242,'Jan-2026 rates'!$L:$R,4,0),IF($LB242=40%,VLOOKUP($L242,'Jan-2026 rates'!$L:$R,5,0),IF($LB242=30%,VLOOKUP($L242,'Jan-2026 rates'!$L:$R,6,0),IF($LB242=100%,VLOOKUP($L242,'Jan-2026 rates'!$L:$R,7,0),IF($LB242=60%,VLOOKUP($L242,'Jan-2026 rates'!$L:$S,8,0),IF($LB242=80%,VLOOKUP($L242,'Jan-2026 rates'!L:T,9,0),0))))))))</f>
        <v>0</v>
      </c>
      <c r="O242" s="406"/>
      <c r="P242" s="404"/>
      <c r="Q242" s="410">
        <f>IF(P242=0,0,IF($LB242=70%,VLOOKUP($L242,'Jan-2026 rates'!$L:$R,4,0),IF($LB242=65%,VLOOKUP($L242,'Jan-2026 rates'!$L:$R,4,0),IF($LB242=40%,VLOOKUP($L242,'Jan-2026 rates'!$L:$R,5,0),IF($LB242=30%,VLOOKUP($L242,'Jan-2026 rates'!$L:$R,6,0),IF($LB242=100%,VLOOKUP($L242,'Jan-2026 rates'!$L:$R,7,0),IF($LB242=60%,VLOOKUP($L242,'Jan-2026 rates'!$L:$S,8,0),IF($LB242=80%,VLOOKUP($L242,'Jan-2026 rates'!L:T,9,0),0))))))))</f>
        <v>0</v>
      </c>
      <c r="R242" s="406">
        <v>26516000033</v>
      </c>
      <c r="S242" s="406"/>
      <c r="T242" s="406"/>
      <c r="U242" s="406"/>
      <c r="V242" s="406"/>
      <c r="W242" s="406"/>
      <c r="X242" s="406"/>
      <c r="Y242" s="406"/>
      <c r="Z242" s="404">
        <v>2</v>
      </c>
      <c r="AA242" s="398" t="e">
        <f>IF(Z242=0,0,IF(LEN(R242)=11,_xlfn.XLOOKUP(R242,'Dispensed Ink Rates'!C:C,'Dispensed Ink Rates'!CS:CS),VLOOKUP(R242,'Jan-2026 rates'!$E:$F,2,0)))</f>
        <v>#N/A</v>
      </c>
      <c r="AB242" s="404"/>
      <c r="AC242" s="398">
        <f>IF(AB242=0,0,IF(LEN(S242)=11,_xlfn.XLOOKUP(S242,'Dispensed Ink Rates'!C:C,'Dispensed Ink Rates'!CS:CS),VLOOKUP(S242,'Jan-2026 rates'!$E:$F,2,0)))</f>
        <v>0</v>
      </c>
      <c r="AD242" s="404"/>
      <c r="AE242" s="398">
        <f>IF(AD242=0,0,IF(LEN(T242)=11,_xlfn.XLOOKUP(T242,'Dispensed Ink Rates'!C:C,'Dispensed Ink Rates'!CS:CS),VLOOKUP(T242,'Jan-2026 rates'!$E:$F,2,0)))</f>
        <v>0</v>
      </c>
      <c r="AF242" s="404"/>
      <c r="AG242" s="398">
        <f>IF(AF242=0,0,IF(LEN(U242)=11,_xlfn.XLOOKUP(U242,'Dispensed Ink Rates'!C:C,'Dispensed Ink Rates'!CS:CS),VLOOKUP(U242,'Jan-2026 rates'!$E:$F,2,0)))</f>
        <v>0</v>
      </c>
      <c r="AH242" s="404"/>
      <c r="AI242" s="398">
        <f>IF(AH242=0,0,IF(LEN(V242)=11,_xlfn.XLOOKUP(V242,'Dispensed Ink Rates'!C:C,'Dispensed Ink Rates'!CS:CS),VLOOKUP(V242,'Jan-2026 rates'!$E:$F,2,0)))</f>
        <v>0</v>
      </c>
      <c r="AJ242" s="404"/>
      <c r="AK242" s="398">
        <f>IF(AJ242=0,0,IF(LEN(W242)=11,_xlfn.XLOOKUP(W242,'Dispensed Ink Rates'!C:C,'Dispensed Ink Rates'!CS:CS),VLOOKUP(W242,'Jan-2026 rates'!$E:$F,2,0)))</f>
        <v>0</v>
      </c>
      <c r="AL242" s="404"/>
      <c r="AM242" s="398">
        <f>IF(AL242=0,0,IF(LEN(X242)=11,_xlfn.XLOOKUP(X242,'Dispensed Ink Rates'!C:C,'Dispensed Ink Rates'!CS:CS),VLOOKUP(X242,'Jan-2026 rates'!$E:$F,2,0)))</f>
        <v>0</v>
      </c>
      <c r="AN242" s="404"/>
      <c r="AO242" s="398">
        <f>IF(AN242=0,0,IF(LEN(Y242)=11,_xlfn.XLOOKUP(Y242,'Dispensed Ink Rates'!C:C,'Dispensed Ink Rates'!CS:CS),VLOOKUP(Y242,'Jan-2026 rates'!$E:$F,2,0)))</f>
        <v>0</v>
      </c>
      <c r="AP242" s="409" t="s">
        <v>1443</v>
      </c>
      <c r="AQ242" s="409">
        <v>26</v>
      </c>
      <c r="AR242" s="410">
        <f t="shared" si="159"/>
        <v>0</v>
      </c>
      <c r="AS242" s="411">
        <f t="shared" si="160"/>
        <v>7.9600000000000009</v>
      </c>
      <c r="AT242" s="410">
        <f t="shared" si="161"/>
        <v>0</v>
      </c>
      <c r="AU242" s="405" t="s">
        <v>546</v>
      </c>
      <c r="AV242" s="409" t="s">
        <v>4013</v>
      </c>
      <c r="AW242" s="420" t="str">
        <f t="shared" si="183"/>
        <v>FLINTSL - REFLEX BLUE</v>
      </c>
      <c r="AX242" s="409">
        <v>26</v>
      </c>
      <c r="AY242" s="411">
        <f>IF(AX242=0,0,IF($LB242=70%,VLOOKUP($AW242,'Jan-2026 rates'!$L:$R,4,0),IF($LB242=65%,VLOOKUP($AW242,'Jan-2026 rates'!$L:$R,4,0),IF($LB242=40%,VLOOKUP($AW242,'Jan-2026 rates'!$L:$R,5,0),IF($LB242=30%,VLOOKUP($AW242,'Jan-2026 rates'!$L:$R,6,0),IF($LB242=100%,VLOOKUP($AW242,'Jan-2026 rates'!$L:$R,7,0),IF($LB242=60%,VLOOKUP($AW242,'Jan-2026 rates'!$L:$S,8,0),IF($LB242=80%,VLOOKUP($AW242,'Jan-2026 rates'!L:T,9,0),0))))))))</f>
        <v>0</v>
      </c>
      <c r="AZ242" s="412"/>
      <c r="BA242" s="409"/>
      <c r="BB242" s="411">
        <f>IF(BA242=0,0,IF($LB242=70%,VLOOKUP($AW242,'Jan-2026 rates'!$L:$R,4,0),IF($LB242=65%,VLOOKUP($AW242,'Jan-2026 rates'!$L:$R,4,0),IF($LB242=40%,VLOOKUP($AW242,'Jan-2026 rates'!$L:$R,5,0),IF($LB242=30%,VLOOKUP($AW242,'Jan-2026 rates'!$L:$R,6,0),IF($LB242=100%,VLOOKUP($AW242,'Jan-2026 rates'!$L:$R,7,0),IF($LB242=60%,VLOOKUP($AW242,'Jan-2026 rates'!$L:$S,8,0),IF($LB242=80%,VLOOKUP($AW242,'Jan-2026 rates'!L:T,9,0),0))))))))</f>
        <v>0</v>
      </c>
      <c r="BC242" s="413">
        <v>26516000032</v>
      </c>
      <c r="BD242" s="412"/>
      <c r="BE242" s="412"/>
      <c r="BF242" s="413"/>
      <c r="BG242" s="412"/>
      <c r="BH242" s="412"/>
      <c r="BI242" s="412"/>
      <c r="BJ242" s="412"/>
      <c r="BK242" s="409">
        <f>1+1</f>
        <v>2</v>
      </c>
      <c r="BL242" s="398" t="e">
        <f>IF(BK242=0,0,IF(LEN(BC242)=11,_xlfn.XLOOKUP(BC242,'Dispensed Ink Rates'!C:C,'Dispensed Ink Rates'!CS:CS),VLOOKUP(BC242,'Jan-2026 rates'!$E:$F,2,0)))</f>
        <v>#N/A</v>
      </c>
      <c r="BM242" s="409"/>
      <c r="BN242" s="398">
        <f>IF(BM242=0,0,IF(LEN(BD242)=11,_xlfn.XLOOKUP(BD242,'Dispensed Ink Rates'!C:C,'Dispensed Ink Rates'!CS:CS),VLOOKUP(BD242,'Jan-2026 rates'!$E:$F,2,0)))</f>
        <v>0</v>
      </c>
      <c r="BO242" s="409"/>
      <c r="BP242" s="398">
        <f>IF(BO242=0,0,IF(LEN(BE242)=11,_xlfn.XLOOKUP(BE242,'Dispensed Ink Rates'!C:C,'Dispensed Ink Rates'!CS:CS),VLOOKUP(BE242,'Jan-2026 rates'!$E:$F,2,0)))</f>
        <v>0</v>
      </c>
      <c r="BQ242" s="409"/>
      <c r="BR242" s="398">
        <f>IF(BQ242=0,0,IF(LEN(BF242)=11,_xlfn.XLOOKUP(BF242,'Dispensed Ink Rates'!C:C,'Dispensed Ink Rates'!CS:CS),VLOOKUP(BF242,'Jan-2026 rates'!$E:$F,2,0)))</f>
        <v>0</v>
      </c>
      <c r="BS242" s="409"/>
      <c r="BT242" s="398">
        <f>IF(BS242=0,0,IF(LEN(BG242)=11,_xlfn.XLOOKUP(BG242,'Dispensed Ink Rates'!C:C,'Dispensed Ink Rates'!CS:CS),VLOOKUP(BG242,'Jan-2026 rates'!$E:$F,2,0)))</f>
        <v>0</v>
      </c>
      <c r="BU242" s="409"/>
      <c r="BV242" s="398">
        <f>IF(BU242=0,0,IF(LEN(BH242)=11,_xlfn.XLOOKUP(BH242,'Dispensed Ink Rates'!C:C,'Dispensed Ink Rates'!CS:CS),VLOOKUP(BH242,'Jan-2026 rates'!$E:$F,2,0)))</f>
        <v>0</v>
      </c>
      <c r="BW242" s="409"/>
      <c r="BX242" s="398">
        <f>IF(BW242=0,0,IF(LEN(BI242)=11,_xlfn.XLOOKUP(BI242,'Dispensed Ink Rates'!C:C,'Dispensed Ink Rates'!CS:CS),VLOOKUP(BI242,'Jan-2026 rates'!$E:$F,2,0)))</f>
        <v>0</v>
      </c>
      <c r="BY242" s="409"/>
      <c r="BZ242" s="398">
        <f>IF(BY242=0,0,IF(LEN(BJ242)=11,_xlfn.XLOOKUP(BJ242,'Dispensed Ink Rates'!C:C,'Dispensed Ink Rates'!CS:CS),VLOOKUP(BJ242,'Jan-2026 rates'!$E:$F,2,0)))</f>
        <v>0</v>
      </c>
      <c r="CA242" s="409" t="s">
        <v>1443</v>
      </c>
      <c r="CB242" s="409">
        <v>25</v>
      </c>
      <c r="CC242" s="411">
        <f t="shared" si="162"/>
        <v>0</v>
      </c>
      <c r="CD242" s="411">
        <f t="shared" si="163"/>
        <v>8.2199999999999989</v>
      </c>
      <c r="CE242" s="410">
        <f t="shared" si="164"/>
        <v>0</v>
      </c>
      <c r="CF242" s="404" t="s">
        <v>857</v>
      </c>
      <c r="CG242" s="409" t="s">
        <v>4014</v>
      </c>
      <c r="CH242" s="420" t="str">
        <f t="shared" si="185"/>
        <v>FLINTSL - RED</v>
      </c>
      <c r="CI242" s="409">
        <v>25</v>
      </c>
      <c r="CJ242" s="411">
        <f>IF(CI242=0,0,IF($LB242=70%,VLOOKUP($CH242,'Jan-2026 rates'!$L:$R,4,0),IF($LB242=65%,VLOOKUP($CH242,'Jan-2026 rates'!$L:$R,4,0),IF($LB242=40%,VLOOKUP($CH242,'Jan-2026 rates'!$L:$R,5,0),IF($LB242=30%,VLOOKUP($CH242,'Jan-2026 rates'!$L:$R,6,0),IF($LB242=100%,VLOOKUP($CH242,'Jan-2026 rates'!$L:$R,7,0),IF($LB242=60%,VLOOKUP($CH242,'Jan-2026 rates'!$L:$S,8,0),IF($LB242=80%,VLOOKUP($CH242,'Jan-2026 rates'!L:T,9,0),0))))))))</f>
        <v>0</v>
      </c>
      <c r="CK242" s="412"/>
      <c r="CL242" s="409"/>
      <c r="CM242" s="411">
        <f>IF(CL242=0,0,IF($LB242=70%,VLOOKUP($CH242,'Jan-2026 rates'!$L:$R,4,0),IF($LB242=65%,VLOOKUP($CH242,'Jan-2026 rates'!$L:$R,4,0),IF($LB242=40%,VLOOKUP($CH242,'Jan-2026 rates'!$L:$R,5,0),IF($LB242=30%,VLOOKUP($CH242,'Jan-2026 rates'!$L:$R,6,0),IF($LB242=100%,VLOOKUP($CH242,'Jan-2026 rates'!$L:$R,7,0),IF($LB242=60%,VLOOKUP($CH242,'Jan-2026 rates'!$L:$S,8,0),IF($LB242=80%,VLOOKUP($CH242,'Jan-2026 rates'!L:T,9,0),0))))))))</f>
        <v>0</v>
      </c>
      <c r="CN242" s="426">
        <v>26519000029</v>
      </c>
      <c r="CO242" s="427"/>
      <c r="CP242" s="426"/>
      <c r="CQ242" s="426"/>
      <c r="CR242" s="428"/>
      <c r="CS242" s="428"/>
      <c r="CT242" s="428"/>
      <c r="CU242" s="428"/>
      <c r="CV242" s="409">
        <v>2</v>
      </c>
      <c r="CW242" s="398" t="e">
        <f>IF(CV242=0,0,IF(LEN(CN242)=11,_xlfn.XLOOKUP(CN242,'Dispensed Ink Rates'!C:C,'Dispensed Ink Rates'!CS:CS),VLOOKUP(CN242,'Jan-2026 rates'!$E:$F,2,0)))</f>
        <v>#N/A</v>
      </c>
      <c r="CX242" s="409"/>
      <c r="CY242" s="398">
        <f>IF(CX242=0,0,IF(LEN(CO242)=11,_xlfn.XLOOKUP(CO242,'Dispensed Ink Rates'!C:C,'Dispensed Ink Rates'!CS:CS),VLOOKUP(CO242,'Jan-2026 rates'!$E:$F,2,0)))</f>
        <v>0</v>
      </c>
      <c r="CZ242" s="409"/>
      <c r="DA242" s="398">
        <f>IF(CZ242=0,0,IF(LEN(CP242)=11,_xlfn.XLOOKUP(CP242,'Dispensed Ink Rates'!C:C,'Dispensed Ink Rates'!CS:CS),VLOOKUP(CP242,'Jan-2026 rates'!$E:$F,2,0)))</f>
        <v>0</v>
      </c>
      <c r="DB242" s="409"/>
      <c r="DC242" s="398">
        <f>IF(DB242=0,0,IF(LEN(CQ242)=11,_xlfn.XLOOKUP(CQ242,'Dispensed Ink Rates'!C:C,'Dispensed Ink Rates'!CS:CS),VLOOKUP(CQ242,'Jan-2026 rates'!$E:$F,2,0)))</f>
        <v>0</v>
      </c>
      <c r="DD242" s="409"/>
      <c r="DE242" s="398">
        <f>IF(DD242=0,0,IF(LEN(CR242)=11,_xlfn.XLOOKUP(CR242,'Dispensed Ink Rates'!C:C,'Dispensed Ink Rates'!CS:CS),VLOOKUP(CR242,'Jan-2026 rates'!$E:$F,2,0)))</f>
        <v>0</v>
      </c>
      <c r="DF242" s="409"/>
      <c r="DG242" s="398">
        <f>IF(DF242=0,0,IF(LEN(CS242)=11,_xlfn.XLOOKUP(CS242,'Dispensed Ink Rates'!C:C,'Dispensed Ink Rates'!CS:CS),VLOOKUP(CS242,'Jan-2026 rates'!$E:$F,2,0)))</f>
        <v>0</v>
      </c>
      <c r="DH242" s="409"/>
      <c r="DI242" s="398">
        <f>IF(DH242=0,0,IF(LEN(CT242)=11,_xlfn.XLOOKUP(CT242,'Dispensed Ink Rates'!C:C,'Dispensed Ink Rates'!CS:CS),VLOOKUP(CT242,'Jan-2026 rates'!$E:$F,2,0)))</f>
        <v>0</v>
      </c>
      <c r="DJ242" s="409"/>
      <c r="DK242" s="398">
        <f>IF(DJ242=0,0,IF(LEN(CU242)=11,_xlfn.XLOOKUP(CU242,'Dispensed Ink Rates'!C:C,'Dispensed Ink Rates'!CS:CS),VLOOKUP(CU242,'Jan-2026 rates'!$E:$F,2,0)))</f>
        <v>0</v>
      </c>
      <c r="DL242" s="409" t="s">
        <v>1443</v>
      </c>
      <c r="DM242" s="409">
        <v>26</v>
      </c>
      <c r="DN242" s="411">
        <f t="shared" si="165"/>
        <v>0</v>
      </c>
      <c r="DO242" s="411">
        <f t="shared" si="166"/>
        <v>7.9600000000000009</v>
      </c>
      <c r="DP242" s="410">
        <f t="shared" si="167"/>
        <v>0</v>
      </c>
      <c r="DQ242" s="405" t="s">
        <v>547</v>
      </c>
      <c r="DR242" s="409" t="s">
        <v>4015</v>
      </c>
      <c r="DS242" s="420" t="str">
        <f t="shared" si="186"/>
        <v>FLINTSL - GREEN</v>
      </c>
      <c r="DT242" s="409">
        <v>22</v>
      </c>
      <c r="DU242" s="411">
        <f>IF(DT242=0,0,IF($LB242=70%,VLOOKUP($DS242,'Jan-2026 rates'!$L:$R,4,0),IF($LB242=65%,VLOOKUP($DS242,'Jan-2026 rates'!$L:$R,4,0),IF($LB242=40%,VLOOKUP($DS242,'Jan-2026 rates'!$L:$R,5,0),IF($LB242=30%,VLOOKUP($DS242,'Jan-2026 rates'!$L:$R,6,0),IF($LB242=100%,VLOOKUP($DS242,'Jan-2026 rates'!$L:$R,7,0),IF($LB242=60%,VLOOKUP($DS242,'Jan-2026 rates'!$L:$S,8,0),IF($LB242=80%,VLOOKUP($DS242,'Jan-2026 rates'!L:T,9,0),0))))))))</f>
        <v>0</v>
      </c>
      <c r="DV242" s="412" t="s">
        <v>4016</v>
      </c>
      <c r="DW242" s="409">
        <v>12</v>
      </c>
      <c r="DX242" s="411">
        <f>IF(DW242=0,0,IF($LB242=70%,VLOOKUP($DS242,'Jan-2026 rates'!$L:$R,4,0),IF($LB242=65%,VLOOKUP($DS242,'Jan-2026 rates'!$L:$R,4,0),IF($LB242=40%,VLOOKUP($DS242,'Jan-2026 rates'!$L:$R,5,0),IF($LB242=30%,VLOOKUP($DS242,'Jan-2026 rates'!$L:$R,6,0),IF($LB242=100%,VLOOKUP($DS242,'Jan-2026 rates'!$L:$R,7,0),IF($LB242=60%,VLOOKUP($DS242,'Jan-2026 rates'!$L:$S,8,0),IF($LB242=80%,VLOOKUP($DS242,'Jan-2026 rates'!L:T,9,0),0))))))))</f>
        <v>0</v>
      </c>
      <c r="DY242" s="413">
        <v>26516000032</v>
      </c>
      <c r="DZ242" s="413">
        <v>26518000001</v>
      </c>
      <c r="EA242" s="412">
        <v>26516000028</v>
      </c>
      <c r="EB242" s="412"/>
      <c r="EC242" s="412"/>
      <c r="ED242" s="412"/>
      <c r="EE242" s="412"/>
      <c r="EF242" s="412"/>
      <c r="EG242" s="409">
        <v>4</v>
      </c>
      <c r="EH242" s="398" t="e">
        <f>IF(EG242=0,0,IF(LEN(DY242)=11,_xlfn.XLOOKUP(DY242,'Dispensed Ink Rates'!C:C,'Dispensed Ink Rates'!CS:CS),VLOOKUP(DY242,'Jan-2026 rates'!$E:$F,2,0)))</f>
        <v>#N/A</v>
      </c>
      <c r="EI242" s="409">
        <v>7</v>
      </c>
      <c r="EJ242" s="398" t="e">
        <f>IF(EI242=0,0,IF(LEN(DZ242)=11,_xlfn.XLOOKUP(DZ242,'Dispensed Ink Rates'!C:C,'Dispensed Ink Rates'!CS:CS),VLOOKUP(DZ242,'Jan-2026 rates'!$E:$F,2,0)))</f>
        <v>#N/A</v>
      </c>
      <c r="EK242" s="409">
        <f>2+1</f>
        <v>3</v>
      </c>
      <c r="EL242" s="398" t="e">
        <f>IF(EK242=0,0,IF(LEN(EA242)=11,_xlfn.XLOOKUP(EA242,'Dispensed Ink Rates'!C:C,'Dispensed Ink Rates'!CS:CS),VLOOKUP(EA242,'Jan-2026 rates'!$E:$F,2,0)))</f>
        <v>#N/A</v>
      </c>
      <c r="EM242" s="409"/>
      <c r="EN242" s="398">
        <f>IF(EM242=0,0,IF(LEN(EB242)=11,_xlfn.XLOOKUP(EB242,'Dispensed Ink Rates'!C:C,'Dispensed Ink Rates'!CS:CS),VLOOKUP(EB242,'Jan-2026 rates'!$E:$F,2,0)))</f>
        <v>0</v>
      </c>
      <c r="EO242" s="409"/>
      <c r="EP242" s="398">
        <f>IF(EO242=0,0,IF(LEN(EC242)=11,_xlfn.XLOOKUP(EC242,'Dispensed Ink Rates'!C:C,'Dispensed Ink Rates'!CS:CS),VLOOKUP(EC242,'Jan-2026 rates'!$E:$F,2,0)))</f>
        <v>0</v>
      </c>
      <c r="EQ242" s="409"/>
      <c r="ER242" s="398">
        <f>IF(EQ242=0,0,IF(LEN(ED242)=11,_xlfn.XLOOKUP(ED242,'Dispensed Ink Rates'!C:C,'Dispensed Ink Rates'!CS:CS),VLOOKUP(ED242,'Jan-2026 rates'!$E:$F,2,0)))</f>
        <v>0</v>
      </c>
      <c r="ES242" s="409"/>
      <c r="ET242" s="398">
        <f>IF(ES242=0,0,IF(LEN(EE242)=11,_xlfn.XLOOKUP(EE242,'Dispensed Ink Rates'!C:C,'Dispensed Ink Rates'!CS:CS),VLOOKUP(EE242,'Jan-2026 rates'!$E:$F,2,0)))</f>
        <v>0</v>
      </c>
      <c r="EU242" s="409"/>
      <c r="EV242" s="398">
        <f>IF(EU242=0,0,IF(LEN(EF242)=11,_xlfn.XLOOKUP(EF242,'Dispensed Ink Rates'!C:C,'Dispensed Ink Rates'!CS:CS),VLOOKUP(EF242,'Jan-2026 rates'!$E:$F,2,0)))</f>
        <v>0</v>
      </c>
      <c r="EW242" s="409" t="s">
        <v>1443</v>
      </c>
      <c r="EX242" s="409">
        <v>20</v>
      </c>
      <c r="EY242" s="411">
        <f t="shared" si="168"/>
        <v>0</v>
      </c>
      <c r="EZ242" s="411">
        <f t="shared" si="169"/>
        <v>45.400000000000006</v>
      </c>
      <c r="FA242" s="410">
        <f t="shared" si="170"/>
        <v>0</v>
      </c>
      <c r="FB242" s="405" t="s">
        <v>855</v>
      </c>
      <c r="FC242" s="409" t="s">
        <v>4017</v>
      </c>
      <c r="FD242" s="420" t="str">
        <f t="shared" si="187"/>
        <v>FLINTSL - CYAN</v>
      </c>
      <c r="FE242" s="409">
        <v>30</v>
      </c>
      <c r="FF242" s="411">
        <f>IF(FE242=0,0,IF($LB242=70%,VLOOKUP($FD242,'Jan-2026 rates'!$L:$R,4,0),IF($LB242=65%,VLOOKUP($FD242,'Jan-2026 rates'!$L:$R,4,0),IF($LB242=40%,VLOOKUP($FD242,'Jan-2026 rates'!$L:$R,5,0),IF($LB242=30%,VLOOKUP($FD242,'Jan-2026 rates'!$L:$R,6,0),IF($LB242=100%,VLOOKUP($FD242,'Jan-2026 rates'!$L:$R,7,0),IF($LB242=60%,VLOOKUP($FD242,'Jan-2026 rates'!$L:$S,8,0),IF($LB242=80%,VLOOKUP($FD242,'Jan-2026 rates'!L:T,9,0),0))))))))</f>
        <v>0</v>
      </c>
      <c r="FG242" s="412"/>
      <c r="FH242" s="409"/>
      <c r="FI242" s="411">
        <f>IF(FH242=0,0,IF($LB242=70%,VLOOKUP($FD242,'Jan-2026 rates'!$L:$R,4,0),IF($LB242=65%,VLOOKUP($FD242,'Jan-2026 rates'!$L:$R,4,0),IF($LB242=40%,VLOOKUP($FD242,'Jan-2026 rates'!$L:$R,5,0),IF($LB242=30%,VLOOKUP($FD242,'Jan-2026 rates'!$L:$R,6,0),IF($LB242=100%,VLOOKUP($FD242,'Jan-2026 rates'!$L:$R,7,0),IF($LB242=60%,VLOOKUP($FD242,'Jan-2026 rates'!$L:$S,8,0),IF($LB242=80%,VLOOKUP($FD242,'Jan-2026 rates'!L:T,9,0),0))))))))</f>
        <v>0</v>
      </c>
      <c r="FJ242" s="413" t="s">
        <v>1266</v>
      </c>
      <c r="FK242" s="413"/>
      <c r="FL242" s="413"/>
      <c r="FM242" s="412"/>
      <c r="FN242" s="412"/>
      <c r="FO242" s="412"/>
      <c r="FP242" s="412"/>
      <c r="FQ242" s="412"/>
      <c r="FR242" s="409">
        <v>2</v>
      </c>
      <c r="FS242" s="398">
        <f>IF(FR242=0,0,IF(LEN(FJ242)=11,_xlfn.XLOOKUP(FJ242,'Dispensed Ink Rates'!C:C,'Dispensed Ink Rates'!CS:CS),VLOOKUP(FJ242,'Jan-2026 rates'!$E:$F,2,0)))</f>
        <v>0</v>
      </c>
      <c r="FT242" s="409"/>
      <c r="FU242" s="398">
        <f>IF(FT242=0,0,IF(LEN(FK242)=11,_xlfn.XLOOKUP(FK242,'Dispensed Ink Rates'!C:C,'Dispensed Ink Rates'!CS:CS),VLOOKUP(FK242,'Jan-2026 rates'!$E:$F,2,0)))</f>
        <v>0</v>
      </c>
      <c r="FV242" s="409"/>
      <c r="FW242" s="398">
        <f>IF(FV242=0,0,IF(LEN(FL242)=11,_xlfn.XLOOKUP(FL242,'Dispensed Ink Rates'!C:C,'Dispensed Ink Rates'!CS:CS),VLOOKUP(FL242,'Jan-2026 rates'!$E:$F,2,0)))</f>
        <v>0</v>
      </c>
      <c r="FX242" s="409"/>
      <c r="FY242" s="398">
        <f>IF(FX242=0,0,IF(LEN(FM242)=11,_xlfn.XLOOKUP(FM242,'Dispensed Ink Rates'!C:C,'Dispensed Ink Rates'!CS:CS),VLOOKUP(FM242,'Jan-2026 rates'!$E:$F,2,0)))</f>
        <v>0</v>
      </c>
      <c r="FZ242" s="409"/>
      <c r="GA242" s="398">
        <f>IF(FZ242=0,0,IF(LEN(FN242)=11,_xlfn.XLOOKUP(FN242,'Dispensed Ink Rates'!C:C,'Dispensed Ink Rates'!CS:CS),VLOOKUP(FN242,'Jan-2026 rates'!$E:$F,2,0)))</f>
        <v>0</v>
      </c>
      <c r="GB242" s="409"/>
      <c r="GC242" s="398">
        <f>IF(GB242=0,0,IF(LEN(FO242)=11,_xlfn.XLOOKUP(FO242,'Dispensed Ink Rates'!C:C,'Dispensed Ink Rates'!CS:CS),VLOOKUP(FO242,'Jan-2026 rates'!$E:$F,2,0)))</f>
        <v>0</v>
      </c>
      <c r="GD242" s="409"/>
      <c r="GE242" s="398">
        <f>IF(GD242=0,0,IF(LEN(FP242)=11,_xlfn.XLOOKUP(FP242,'Dispensed Ink Rates'!C:C,'Dispensed Ink Rates'!CS:CS),VLOOKUP(FP242,'Jan-2026 rates'!$E:$F,2,0)))</f>
        <v>0</v>
      </c>
      <c r="GF242" s="409"/>
      <c r="GG242" s="398">
        <f>IF(GF242=0,0,IF(LEN(FQ242)=11,_xlfn.XLOOKUP(FQ242,'Dispensed Ink Rates'!C:C,'Dispensed Ink Rates'!CS:CS),VLOOKUP(FQ242,'Jan-2026 rates'!$E:$F,2,0)))</f>
        <v>0</v>
      </c>
      <c r="GH242" s="409" t="s">
        <v>1443</v>
      </c>
      <c r="GI242" s="409">
        <v>29</v>
      </c>
      <c r="GJ242" s="411">
        <f t="shared" si="171"/>
        <v>0</v>
      </c>
      <c r="GK242" s="411">
        <f t="shared" si="172"/>
        <v>6.4799999999999969</v>
      </c>
      <c r="GL242" s="410">
        <f t="shared" si="173"/>
        <v>0</v>
      </c>
      <c r="GM242" s="405" t="s">
        <v>544</v>
      </c>
      <c r="GN242" s="409" t="s">
        <v>4018</v>
      </c>
      <c r="GO242" s="420" t="str">
        <f t="shared" si="188"/>
        <v>FLINTSL - MAGENTA</v>
      </c>
      <c r="GP242" s="409">
        <v>29</v>
      </c>
      <c r="GQ242" s="411">
        <f>IF(GP242=0,0,IF($LB242=70%,VLOOKUP($GO242,'Jan-2026 rates'!$L:$R,4,0),IF($LB242=65%,VLOOKUP($GO242,'Jan-2026 rates'!$L:$R,4,0),IF($LB242=40%,VLOOKUP($GO242,'Jan-2026 rates'!$L:$R,5,0),IF($LB242=30%,VLOOKUP($GO242,'Jan-2026 rates'!$L:$R,6,0),IF($LB242=100%,VLOOKUP($GO242,'Jan-2026 rates'!$L:$R,7,0),IF($LB242=60%,VLOOKUP($GO242,'Jan-2026 rates'!$L:$S,8,0),IF($LB242=80%,VLOOKUP($GO242,'Jan-2026 rates'!L:T,9,0),0))))))))</f>
        <v>0</v>
      </c>
      <c r="GR242" s="412"/>
      <c r="GS242" s="409"/>
      <c r="GT242" s="411">
        <f>IF(GS242=0,0,IF($LB242=70%,VLOOKUP($GO242,'Jan-2026 rates'!$L:$R,4,0),IF($LB242=65%,VLOOKUP($GO242,'Jan-2026 rates'!$L:$R,4,0),IF($LB242=40%,VLOOKUP($GO242,'Jan-2026 rates'!$L:$R,5,0),IF($LB242=30%,VLOOKUP($GO242,'Jan-2026 rates'!$L:$R,6,0),IF($LB242=100%,VLOOKUP($GO242,'Jan-2026 rates'!$L:$R,7,0),IF($LB242=60%,VLOOKUP($GO242,'Jan-2026 rates'!$L:$S,8,0),IF($LB242=80%,VLOOKUP($GO242,'Jan-2026 rates'!L:T,9,0),0))))))))</f>
        <v>0</v>
      </c>
      <c r="GU242" s="413">
        <v>26519000004</v>
      </c>
      <c r="GV242" s="413"/>
      <c r="GW242" s="412"/>
      <c r="GX242" s="412"/>
      <c r="GY242" s="412"/>
      <c r="GZ242" s="412"/>
      <c r="HA242" s="412"/>
      <c r="HB242" s="412"/>
      <c r="HC242" s="409">
        <v>1</v>
      </c>
      <c r="HD242" s="398" t="e">
        <f>IF(HC242=0,0,IF(LEN(GU242)=11,_xlfn.XLOOKUP(GU242,'Dispensed Ink Rates'!C:C,'Dispensed Ink Rates'!CS:CS),VLOOKUP(GU242,'Jan-2026 rates'!$E:$F,2,0)))</f>
        <v>#N/A</v>
      </c>
      <c r="HE242" s="409"/>
      <c r="HF242" s="398">
        <f>IF(HE242=0,0,IF(LEN(GV242)=11,_xlfn.XLOOKUP(GV242,'Dispensed Ink Rates'!C:C,'Dispensed Ink Rates'!CS:CS),VLOOKUP(GV242,'Jan-2026 rates'!$E:$F,2,0)))</f>
        <v>0</v>
      </c>
      <c r="HG242" s="409"/>
      <c r="HH242" s="398">
        <f>IF(HG242=0,0,IF(LEN(GW242)=11,_xlfn.XLOOKUP(GW242,'Dispensed Ink Rates'!C:C,'Dispensed Ink Rates'!CS:CS),VLOOKUP(GW242,'Jan-2026 rates'!$E:$F,2,0)))</f>
        <v>0</v>
      </c>
      <c r="HI242" s="409"/>
      <c r="HJ242" s="398">
        <f>IF(HI242=0,0,IF(LEN(GX242)=11,_xlfn.XLOOKUP(GX242,'Dispensed Ink Rates'!C:C,'Dispensed Ink Rates'!CS:CS),VLOOKUP(GX242,'Jan-2026 rates'!$E:$F,2,0)))</f>
        <v>0</v>
      </c>
      <c r="HK242" s="409"/>
      <c r="HL242" s="398">
        <f>IF(HK242=0,0,IF(LEN(GY242)=11,_xlfn.XLOOKUP(GY242,'Dispensed Ink Rates'!C:C,'Dispensed Ink Rates'!CS:CS),VLOOKUP(GY242,'Jan-2026 rates'!$E:$F,2,0)))</f>
        <v>0</v>
      </c>
      <c r="HM242" s="409"/>
      <c r="HN242" s="398">
        <f>IF(HM242=0,0,IF(LEN(GZ242)=11,_xlfn.XLOOKUP(GZ242,'Dispensed Ink Rates'!C:C,'Dispensed Ink Rates'!CS:CS),VLOOKUP(GZ242,'Jan-2026 rates'!$E:$F,2,0)))</f>
        <v>0</v>
      </c>
      <c r="HO242" s="409"/>
      <c r="HP242" s="398">
        <f>IF(HO242=0,0,IF(LEN(HA242)=11,_xlfn.XLOOKUP(HA242,'Dispensed Ink Rates'!C:C,'Dispensed Ink Rates'!CS:CS),VLOOKUP(HA242,'Jan-2026 rates'!$E:$F,2,0)))</f>
        <v>0</v>
      </c>
      <c r="HQ242" s="409"/>
      <c r="HR242" s="398">
        <f>IF(HQ242=0,0,IF(LEN(HB242)=11,_xlfn.XLOOKUP(HB242,'Dispensed Ink Rates'!C:C,'Dispensed Ink Rates'!CS:CS),VLOOKUP(HB242,'Jan-2026 rates'!$E:$F,2,0)))</f>
        <v>0</v>
      </c>
      <c r="HS242" s="409" t="s">
        <v>1443</v>
      </c>
      <c r="HT242" s="409">
        <v>28</v>
      </c>
      <c r="HU242" s="411">
        <f t="shared" si="174"/>
        <v>0</v>
      </c>
      <c r="HV242" s="411">
        <f t="shared" si="175"/>
        <v>7.2199999999999989</v>
      </c>
      <c r="HW242" s="414">
        <f t="shared" si="176"/>
        <v>0</v>
      </c>
      <c r="HX242" s="405" t="s">
        <v>545</v>
      </c>
      <c r="HY242" s="409" t="s">
        <v>4019</v>
      </c>
      <c r="HZ242" s="420" t="str">
        <f t="shared" si="189"/>
        <v>FLINTSL - YELLOW</v>
      </c>
      <c r="IA242" s="409">
        <v>27</v>
      </c>
      <c r="IB242" s="411">
        <f>IF(IA242=0,0,IF($LB242=70%,VLOOKUP($HZ242,'Jan-2026 rates'!$L:$R,4,0),IF($LB242=65%,VLOOKUP($HZ242,'Jan-2026 rates'!$L:$R,4,0),IF($LB242=40%,VLOOKUP($HZ242,'Jan-2026 rates'!$L:$R,5,0),IF($LB242=30%,VLOOKUP($HZ242,'Jan-2026 rates'!$L:$R,6,0),IF($LB242=100%,VLOOKUP($HZ242,'Jan-2026 rates'!$L:$R,7,0),IF($LB242=60%,VLOOKUP($HZ242,'Jan-2026 rates'!$L:$S,8,0),IF($LB242=80%,VLOOKUP($HZ242,'Jan-2026 rates'!L:T,9,0),0))))))))</f>
        <v>0</v>
      </c>
      <c r="IC242" s="412"/>
      <c r="ID242" s="409"/>
      <c r="IE242" s="411">
        <f>IF(ID242=0,0,IF($LB242=70%,VLOOKUP($HZ242,'Jan-2026 rates'!$L:$R,4,0),IF($LB242=65%,VLOOKUP($HZ242,'Jan-2026 rates'!$L:$R,4,0),IF($LB242=40%,VLOOKUP($HZ242,'Jan-2026 rates'!$L:$R,5,0),IF($LB242=30%,VLOOKUP($HZ242,'Jan-2026 rates'!$L:$R,6,0),IF($LB242=100%,VLOOKUP($HZ242,'Jan-2026 rates'!$L:$R,7,0),IF($LB242=60%,VLOOKUP($HZ242,'Jan-2026 rates'!$L:$S,8,0),IF($LB242=80%,VLOOKUP($HZ242,'Jan-2026 rates'!L:T,9,0),0))))))))</f>
        <v>0</v>
      </c>
      <c r="IF242" s="412">
        <v>26518000001</v>
      </c>
      <c r="IG242" s="413"/>
      <c r="IH242" s="412"/>
      <c r="II242" s="412"/>
      <c r="IJ242" s="412"/>
      <c r="IK242" s="412"/>
      <c r="IL242" s="412"/>
      <c r="IM242" s="412"/>
      <c r="IN242" s="409">
        <v>5</v>
      </c>
      <c r="IO242" s="398" t="e">
        <f>IF(IN242=0,0,IF(LEN(IF242)=11,_xlfn.XLOOKUP(IF242,'Dispensed Ink Rates'!C:C,'Dispensed Ink Rates'!CS:CS),VLOOKUP(IF242,'Jan-2026 rates'!$E:$F,2,0)))</f>
        <v>#N/A</v>
      </c>
      <c r="IP242" s="409"/>
      <c r="IQ242" s="398">
        <f>IF(IP242=0,0,IF(LEN(IG242)=11,_xlfn.XLOOKUP(IG242,'Dispensed Ink Rates'!C:C,'Dispensed Ink Rates'!CS:CS),VLOOKUP(IG242,'Jan-2026 rates'!$E:$F,2,0)))</f>
        <v>0</v>
      </c>
      <c r="IR242" s="409"/>
      <c r="IS242" s="398">
        <f>IF(IR242=0,0,IF(LEN(IH242)=11,_xlfn.XLOOKUP(IH242,'Dispensed Ink Rates'!C:C,'Dispensed Ink Rates'!CS:CS),VLOOKUP(IH242,'Jan-2026 rates'!$E:$F,2,0)))</f>
        <v>0</v>
      </c>
      <c r="IT242" s="409"/>
      <c r="IU242" s="398">
        <f>IF(IT242=0,0,IF(LEN(II242)=11,_xlfn.XLOOKUP(II242,'Dispensed Ink Rates'!C:C,'Dispensed Ink Rates'!CS:CS),VLOOKUP(II242,'Jan-2026 rates'!$E:$F,2,0)))</f>
        <v>0</v>
      </c>
      <c r="IV242" s="409"/>
      <c r="IW242" s="398">
        <f>IF(IV242=0,0,IF(LEN(IJ242)=11,_xlfn.XLOOKUP(IJ242,'Dispensed Ink Rates'!C:C,'Dispensed Ink Rates'!CS:CS),VLOOKUP(IJ242,'Jan-2026 rates'!$E:$F,2,0)))</f>
        <v>0</v>
      </c>
      <c r="IX242" s="409"/>
      <c r="IY242" s="398">
        <f>IF(IX242=0,0,IF(LEN(IK242)=11,_xlfn.XLOOKUP(IK242,'Dispensed Ink Rates'!C:C,'Dispensed Ink Rates'!CS:CS),VLOOKUP(IK242,'Jan-2026 rates'!$E:$F,2,0)))</f>
        <v>0</v>
      </c>
      <c r="IZ242" s="409"/>
      <c r="JA242" s="398">
        <f>IF(IZ242=0,0,IF(LEN(IL242)=11,_xlfn.XLOOKUP(IL242,'Dispensed Ink Rates'!C:C,'Dispensed Ink Rates'!CS:CS),VLOOKUP(IL242,'Jan-2026 rates'!$E:$F,2,0)))</f>
        <v>0</v>
      </c>
      <c r="JB242" s="409"/>
      <c r="JC242" s="398">
        <f>IF(JB242=0,0,IF(LEN(IM242)=11,_xlfn.XLOOKUP(IM242,'Dispensed Ink Rates'!C:C,'Dispensed Ink Rates'!CS:CS),VLOOKUP(IM242,'Jan-2026 rates'!$E:$F,2,0)))</f>
        <v>0</v>
      </c>
      <c r="JD242" s="409" t="s">
        <v>1443</v>
      </c>
      <c r="JE242" s="409">
        <v>29</v>
      </c>
      <c r="JF242" s="411">
        <f t="shared" si="177"/>
        <v>0</v>
      </c>
      <c r="JG242" s="411">
        <f t="shared" si="178"/>
        <v>9.9600000000000009</v>
      </c>
      <c r="JH242" s="410">
        <f t="shared" si="179"/>
        <v>0</v>
      </c>
      <c r="JI242" s="405" t="s">
        <v>856</v>
      </c>
      <c r="JJ242" s="409" t="s">
        <v>4020</v>
      </c>
      <c r="JK242" s="420" t="str">
        <f t="shared" si="190"/>
        <v>FLINTSL - WHITE</v>
      </c>
      <c r="JL242" s="409">
        <v>28</v>
      </c>
      <c r="JM242" s="411">
        <f>IF(JL242=0,0,IF($LB242=70%,VLOOKUP($JK242,'Jan-2026 rates'!$L:$R,4,0),IF($LB242=65%,VLOOKUP($JK242,'Jan-2026 rates'!$L:$R,4,0),IF($LB242=40%,VLOOKUP($JK242,'Jan-2026 rates'!$L:$R,5,0),IF($LB242=30%,VLOOKUP($JK242,'Jan-2026 rates'!$L:$R,6,0),IF($LB242=100%,VLOOKUP($JK242,'Jan-2026 rates'!$L:$R,7,0),IF($LB242=60%,VLOOKUP($JK242,'Jan-2026 rates'!$L:$S,8,0),IF($LB242=80%,VLOOKUP($JK242,'Jan-2026 rates'!L:T,9,0),0))))))))</f>
        <v>0</v>
      </c>
      <c r="JN242" s="412"/>
      <c r="JO242" s="409"/>
      <c r="JP242" s="411">
        <f>IF(JO242=0,0,IF($LB242=70%,VLOOKUP($JK242,'Jan-2026 rates'!$L:$R,4,0),IF($LB242=65%,VLOOKUP($JK242,'Jan-2026 rates'!$L:$R,4,0),IF($LB242=40%,VLOOKUP($JK242,'Jan-2026 rates'!$L:$R,5,0),IF($LB242=30%,VLOOKUP($JK242,'Jan-2026 rates'!$L:$R,6,0),IF($LB242=100%,VLOOKUP($JK242,'Jan-2026 rates'!$L:$R,7,0),IF($LB242=60%,VLOOKUP($JK242,'Jan-2026 rates'!$L:$S,8,0),IF($LB242=80%,VLOOKUP($JK242,'Jan-2026 rates'!L:T,9,0),0))))))))</f>
        <v>0</v>
      </c>
      <c r="JQ242" s="413" t="s">
        <v>484</v>
      </c>
      <c r="JR242" s="412"/>
      <c r="JS242" s="413"/>
      <c r="JT242" s="413"/>
      <c r="JU242" s="412"/>
      <c r="JV242" s="412"/>
      <c r="JW242" s="412"/>
      <c r="JX242" s="412"/>
      <c r="JY242" s="409">
        <v>40</v>
      </c>
      <c r="JZ242" s="398">
        <f>IF(JY242=0,0,IF(LEN(JQ242)=11,_xlfn.XLOOKUP(JQ242,'Dispensed Ink Rates'!C:C,'Dispensed Ink Rates'!CS:CS),VLOOKUP(JQ242,'Jan-2026 rates'!$E:$F,2,0)))</f>
        <v>0</v>
      </c>
      <c r="KA242" s="409"/>
      <c r="KB242" s="398">
        <f>IF(KA242=0,0,IF(LEN(JR242)=11,_xlfn.XLOOKUP(JR242,'Dispensed Ink Rates'!C:C,'Dispensed Ink Rates'!CS:CS),VLOOKUP(JR242,'Jan-2026 rates'!$E:$F,2,0)))</f>
        <v>0</v>
      </c>
      <c r="KC242" s="409"/>
      <c r="KD242" s="398">
        <f>IF(KC242=0,0,IF(LEN(JS242)=11,_xlfn.XLOOKUP(JS242,'Dispensed Ink Rates'!C:C,'Dispensed Ink Rates'!CS:CS),VLOOKUP(JS242,'Jan-2026 rates'!$E:$F,2,0)))</f>
        <v>0</v>
      </c>
      <c r="KE242" s="409"/>
      <c r="KF242" s="398">
        <f>IF(KE242=0,0,IF(LEN(JT242)=11,_xlfn.XLOOKUP(JT242,'Dispensed Ink Rates'!C:C,'Dispensed Ink Rates'!CS:CS),VLOOKUP(JT242,'Jan-2026 rates'!$E:$F,2,0)))</f>
        <v>0</v>
      </c>
      <c r="KG242" s="409"/>
      <c r="KH242" s="398">
        <f>IF(KG242=0,0,IF(LEN(JU242)=11,_xlfn.XLOOKUP(JU242,'Dispensed Ink Rates'!C:C,'Dispensed Ink Rates'!CS:CS),VLOOKUP(JU242,'Jan-2026 rates'!$E:$F,2,0)))</f>
        <v>0</v>
      </c>
      <c r="KI242" s="409"/>
      <c r="KJ242" s="398">
        <f>IF(KI242=0,0,IF(LEN(JV242)=11,_xlfn.XLOOKUP(JV242,'Dispensed Ink Rates'!C:C,'Dispensed Ink Rates'!CS:CS),VLOOKUP(JV242,'Jan-2026 rates'!$E:$F,2,0)))</f>
        <v>0</v>
      </c>
      <c r="KK242" s="409"/>
      <c r="KL242" s="398">
        <f>IF(KK242=0,0,IF(LEN(JW242)=11,_xlfn.XLOOKUP(JW242,'Dispensed Ink Rates'!C:C,'Dispensed Ink Rates'!CS:CS),VLOOKUP(JW242,'Jan-2026 rates'!$E:$F,2,0)))</f>
        <v>0</v>
      </c>
      <c r="KM242" s="428"/>
      <c r="KN242" s="398">
        <f>IF(KM242=0,0,IF(LEN(JX242)=11,_xlfn.XLOOKUP(JX242,'Dispensed Ink Rates'!C:C,'Dispensed Ink Rates'!CS:CS),VLOOKUP(JX242,'Jan-2026 rates'!$E:$F,2,0)))</f>
        <v>0</v>
      </c>
      <c r="KO242" s="409" t="s">
        <v>1443</v>
      </c>
      <c r="KP242" s="409">
        <v>30</v>
      </c>
      <c r="KQ242" s="411">
        <f t="shared" si="180"/>
        <v>0</v>
      </c>
      <c r="KR242" s="411">
        <f t="shared" si="181"/>
        <v>72.800000000000011</v>
      </c>
      <c r="KS242" s="410">
        <f t="shared" si="182"/>
        <v>0</v>
      </c>
      <c r="KT242" s="409">
        <v>4</v>
      </c>
      <c r="KU242" s="409">
        <v>3</v>
      </c>
      <c r="KV242" s="409">
        <v>4</v>
      </c>
      <c r="KW242" s="409">
        <v>10</v>
      </c>
      <c r="KX242" s="409">
        <v>2</v>
      </c>
      <c r="KY242" s="409">
        <v>3</v>
      </c>
      <c r="KZ242" s="409">
        <v>4</v>
      </c>
      <c r="LA242" s="409">
        <v>20</v>
      </c>
      <c r="LB242" s="415">
        <v>0.8</v>
      </c>
      <c r="LC242" s="415">
        <v>0.2</v>
      </c>
      <c r="LD242" s="415"/>
      <c r="LE242" s="415"/>
      <c r="LF242" s="415"/>
      <c r="LG242" s="409">
        <v>0</v>
      </c>
      <c r="LH242" s="409">
        <f>20+17+40+10</f>
        <v>87</v>
      </c>
      <c r="LI242" s="409">
        <v>0</v>
      </c>
      <c r="LJ242" s="409">
        <v>0</v>
      </c>
      <c r="LK242" s="416">
        <f t="shared" si="191"/>
        <v>87</v>
      </c>
      <c r="LL242" s="416">
        <f t="shared" si="192"/>
        <v>87</v>
      </c>
      <c r="LM242" s="417">
        <f t="shared" si="193"/>
        <v>69.600000000000009</v>
      </c>
      <c r="LN242" s="417">
        <f>VLOOKUP($LM$8,'Jan-2026 rates'!$H:$I,2,0)</f>
        <v>0</v>
      </c>
      <c r="LO242" s="417">
        <f t="shared" si="194"/>
        <v>17.400000000000002</v>
      </c>
      <c r="LP242" s="417">
        <f>VLOOKUP($LO$8,'Jan-2026 rates'!$H:$I,2,0)</f>
        <v>0</v>
      </c>
      <c r="LQ242" s="417">
        <f t="shared" si="195"/>
        <v>0</v>
      </c>
      <c r="LR242" s="417">
        <f>VLOOKUP($LQ$8,'Jan-2026 rates'!$H:$I,2,0)</f>
        <v>0</v>
      </c>
      <c r="LS242" s="417">
        <f t="shared" si="196"/>
        <v>0</v>
      </c>
      <c r="LT242" s="417">
        <f>VLOOKUP($LS$8,'Jan-2026 rates'!$H:$I,2,0)</f>
        <v>0</v>
      </c>
      <c r="LU242" s="417">
        <f t="shared" si="197"/>
        <v>0</v>
      </c>
      <c r="LV242" s="417">
        <f>VLOOKUP($LU$8,'Jan-2026 rates'!$H:$I,2,0)</f>
        <v>0</v>
      </c>
      <c r="LW242" s="417">
        <f t="shared" si="198"/>
        <v>0</v>
      </c>
      <c r="LX242" s="417">
        <f t="shared" si="199"/>
        <v>0</v>
      </c>
      <c r="LY242" s="418">
        <f t="shared" si="200"/>
        <v>0</v>
      </c>
      <c r="LZ242" s="417"/>
      <c r="MA242" s="435">
        <f t="shared" si="201"/>
        <v>68</v>
      </c>
      <c r="MB242" s="282">
        <f t="shared" si="202"/>
        <v>166.00000000000003</v>
      </c>
      <c r="MC242" s="283">
        <v>135</v>
      </c>
      <c r="MD242" s="284" t="str">
        <f t="shared" si="203"/>
        <v>FLINTSLFLINTSLFLINTSLFLINTSLFLINTSLFLINTSLFLINTSLFLINTSL</v>
      </c>
      <c r="ME242" s="293" t="str">
        <f t="shared" si="204"/>
        <v>+</v>
      </c>
      <c r="MF242" s="293" t="str">
        <f t="shared" si="205"/>
        <v>+</v>
      </c>
      <c r="MG242" s="293" t="str">
        <f t="shared" si="206"/>
        <v>+</v>
      </c>
      <c r="MH242" s="293" t="str">
        <f t="shared" si="207"/>
        <v>+</v>
      </c>
      <c r="MI242" s="293" t="str">
        <f t="shared" si="208"/>
        <v>+</v>
      </c>
      <c r="MJ242" s="293" t="str">
        <f t="shared" si="209"/>
        <v>+</v>
      </c>
      <c r="MK242" s="293" t="str">
        <f t="shared" si="210"/>
        <v>+</v>
      </c>
      <c r="ML242" s="293" t="str">
        <f t="shared" si="211"/>
        <v>+</v>
      </c>
      <c r="MM242" s="3" t="b">
        <f t="array" ref="MM242">OR(ME242:ML242="-")</f>
        <v>0</v>
      </c>
      <c r="MN242" s="285"/>
      <c r="MO242" s="401"/>
      <c r="MP242" s="286"/>
      <c r="MQ242" s="286"/>
      <c r="MR242" s="402"/>
      <c r="MS242" s="400"/>
      <c r="NH242" s="422"/>
      <c r="NJ242" s="421"/>
    </row>
    <row r="243" spans="1:374" s="1" customFormat="1" ht="16.5">
      <c r="A243" s="403">
        <v>46041</v>
      </c>
      <c r="B243" s="404" t="s">
        <v>1015</v>
      </c>
      <c r="C243" s="405" t="s">
        <v>4021</v>
      </c>
      <c r="D243" s="406">
        <v>136</v>
      </c>
      <c r="E243" s="404">
        <v>249</v>
      </c>
      <c r="F243" s="407">
        <v>12800</v>
      </c>
      <c r="G243" s="407" t="s">
        <v>1019</v>
      </c>
      <c r="H243" s="408" t="s">
        <v>1017</v>
      </c>
      <c r="I243" s="409">
        <v>1.9</v>
      </c>
      <c r="J243" s="405" t="s">
        <v>543</v>
      </c>
      <c r="K243" s="404" t="s">
        <v>4022</v>
      </c>
      <c r="L243" s="419" t="str">
        <f t="shared" si="184"/>
        <v>FLINTSL - BLACK</v>
      </c>
      <c r="M243" s="404">
        <v>26</v>
      </c>
      <c r="N243" s="410">
        <f>IF(M243=0,0,IF($LB243=70%,VLOOKUP($L243,'Jan-2026 rates'!$L:$R,4,0),IF($LB243=65%,VLOOKUP($L243,'Jan-2026 rates'!$L:$R,4,0),IF($LB243=40%,VLOOKUP($L243,'Jan-2026 rates'!$L:$R,5,0),IF($LB243=30%,VLOOKUP($L243,'Jan-2026 rates'!$L:$R,6,0),IF($LB243=100%,VLOOKUP($L243,'Jan-2026 rates'!$L:$R,7,0),IF($LB243=60%,VLOOKUP($L243,'Jan-2026 rates'!$L:$S,8,0),IF($LB243=80%,VLOOKUP($L243,'Jan-2026 rates'!L:T,9,0),0))))))))</f>
        <v>0</v>
      </c>
      <c r="O243" s="406"/>
      <c r="P243" s="404"/>
      <c r="Q243" s="410">
        <f>IF(P243=0,0,IF($LB243=70%,VLOOKUP($L243,'Jan-2026 rates'!$L:$R,4,0),IF($LB243=65%,VLOOKUP($L243,'Jan-2026 rates'!$L:$R,4,0),IF($LB243=40%,VLOOKUP($L243,'Jan-2026 rates'!$L:$R,5,0),IF($LB243=30%,VLOOKUP($L243,'Jan-2026 rates'!$L:$R,6,0),IF($LB243=100%,VLOOKUP($L243,'Jan-2026 rates'!$L:$R,7,0),IF($LB243=60%,VLOOKUP($L243,'Jan-2026 rates'!$L:$S,8,0),IF($LB243=80%,VLOOKUP($L243,'Jan-2026 rates'!L:T,9,0),0))))))))</f>
        <v>0</v>
      </c>
      <c r="R243" s="406">
        <v>26516000033</v>
      </c>
      <c r="S243" s="406"/>
      <c r="T243" s="406"/>
      <c r="U243" s="406"/>
      <c r="V243" s="406"/>
      <c r="W243" s="406"/>
      <c r="X243" s="406"/>
      <c r="Y243" s="406"/>
      <c r="Z243" s="404">
        <v>25</v>
      </c>
      <c r="AA243" s="398" t="e">
        <f>IF(Z243=0,0,IF(LEN(R243)=11,_xlfn.XLOOKUP(R243,'Dispensed Ink Rates'!C:C,'Dispensed Ink Rates'!CS:CS),VLOOKUP(R243,'Jan-2026 rates'!$E:$F,2,0)))</f>
        <v>#N/A</v>
      </c>
      <c r="AB243" s="404"/>
      <c r="AC243" s="398">
        <f>IF(AB243=0,0,IF(LEN(S243)=11,_xlfn.XLOOKUP(S243,'Dispensed Ink Rates'!C:C,'Dispensed Ink Rates'!CS:CS),VLOOKUP(S243,'Jan-2026 rates'!$E:$F,2,0)))</f>
        <v>0</v>
      </c>
      <c r="AD243" s="404"/>
      <c r="AE243" s="398">
        <f>IF(AD243=0,0,IF(LEN(T243)=11,_xlfn.XLOOKUP(T243,'Dispensed Ink Rates'!C:C,'Dispensed Ink Rates'!CS:CS),VLOOKUP(T243,'Jan-2026 rates'!$E:$F,2,0)))</f>
        <v>0</v>
      </c>
      <c r="AF243" s="404"/>
      <c r="AG243" s="398">
        <f>IF(AF243=0,0,IF(LEN(U243)=11,_xlfn.XLOOKUP(U243,'Dispensed Ink Rates'!C:C,'Dispensed Ink Rates'!CS:CS),VLOOKUP(U243,'Jan-2026 rates'!$E:$F,2,0)))</f>
        <v>0</v>
      </c>
      <c r="AH243" s="404"/>
      <c r="AI243" s="398">
        <f>IF(AH243=0,0,IF(LEN(V243)=11,_xlfn.XLOOKUP(V243,'Dispensed Ink Rates'!C:C,'Dispensed Ink Rates'!CS:CS),VLOOKUP(V243,'Jan-2026 rates'!$E:$F,2,0)))</f>
        <v>0</v>
      </c>
      <c r="AJ243" s="404"/>
      <c r="AK243" s="398">
        <f>IF(AJ243=0,0,IF(LEN(W243)=11,_xlfn.XLOOKUP(W243,'Dispensed Ink Rates'!C:C,'Dispensed Ink Rates'!CS:CS),VLOOKUP(W243,'Jan-2026 rates'!$E:$F,2,0)))</f>
        <v>0</v>
      </c>
      <c r="AL243" s="404"/>
      <c r="AM243" s="398">
        <f>IF(AL243=0,0,IF(LEN(X243)=11,_xlfn.XLOOKUP(X243,'Dispensed Ink Rates'!C:C,'Dispensed Ink Rates'!CS:CS),VLOOKUP(X243,'Jan-2026 rates'!$E:$F,2,0)))</f>
        <v>0</v>
      </c>
      <c r="AN243" s="404"/>
      <c r="AO243" s="398">
        <f>IF(AN243=0,0,IF(LEN(Y243)=11,_xlfn.XLOOKUP(Y243,'Dispensed Ink Rates'!C:C,'Dispensed Ink Rates'!CS:CS),VLOOKUP(Y243,'Jan-2026 rates'!$E:$F,2,0)))</f>
        <v>0</v>
      </c>
      <c r="AP243" s="409" t="s">
        <v>1443</v>
      </c>
      <c r="AQ243" s="409">
        <v>26</v>
      </c>
      <c r="AR243" s="410">
        <f t="shared" si="159"/>
        <v>0</v>
      </c>
      <c r="AS243" s="411">
        <f t="shared" si="160"/>
        <v>46.393442622950815</v>
      </c>
      <c r="AT243" s="410">
        <f t="shared" si="161"/>
        <v>0</v>
      </c>
      <c r="AU243" s="405" t="s">
        <v>546</v>
      </c>
      <c r="AV243" s="409" t="s">
        <v>4022</v>
      </c>
      <c r="AW243" s="420" t="str">
        <f t="shared" si="183"/>
        <v>FLINTSL - REFLEX BLUE</v>
      </c>
      <c r="AX243" s="409">
        <v>25</v>
      </c>
      <c r="AY243" s="411">
        <f>IF(AX243=0,0,IF($LB243=70%,VLOOKUP($AW243,'Jan-2026 rates'!$L:$R,4,0),IF($LB243=65%,VLOOKUP($AW243,'Jan-2026 rates'!$L:$R,4,0),IF($LB243=40%,VLOOKUP($AW243,'Jan-2026 rates'!$L:$R,5,0),IF($LB243=30%,VLOOKUP($AW243,'Jan-2026 rates'!$L:$R,6,0),IF($LB243=100%,VLOOKUP($AW243,'Jan-2026 rates'!$L:$R,7,0),IF($LB243=60%,VLOOKUP($AW243,'Jan-2026 rates'!$L:$S,8,0),IF($LB243=80%,VLOOKUP($AW243,'Jan-2026 rates'!L:T,9,0),0))))))))</f>
        <v>0</v>
      </c>
      <c r="AZ243" s="412"/>
      <c r="BA243" s="409"/>
      <c r="BB243" s="411">
        <f>IF(BA243=0,0,IF($LB243=70%,VLOOKUP($AW243,'Jan-2026 rates'!$L:$R,4,0),IF($LB243=65%,VLOOKUP($AW243,'Jan-2026 rates'!$L:$R,4,0),IF($LB243=40%,VLOOKUP($AW243,'Jan-2026 rates'!$L:$R,5,0),IF($LB243=30%,VLOOKUP($AW243,'Jan-2026 rates'!$L:$R,6,0),IF($LB243=100%,VLOOKUP($AW243,'Jan-2026 rates'!$L:$R,7,0),IF($LB243=60%,VLOOKUP($AW243,'Jan-2026 rates'!$L:$S,8,0),IF($LB243=80%,VLOOKUP($AW243,'Jan-2026 rates'!L:T,9,0),0))))))))</f>
        <v>0</v>
      </c>
      <c r="BC243" s="413">
        <v>26516000019</v>
      </c>
      <c r="BD243" s="412"/>
      <c r="BE243" s="412"/>
      <c r="BF243" s="413"/>
      <c r="BG243" s="412"/>
      <c r="BH243" s="412"/>
      <c r="BI243" s="412"/>
      <c r="BJ243" s="412"/>
      <c r="BK243" s="409">
        <v>4</v>
      </c>
      <c r="BL243" s="398" t="e">
        <f>IF(BK243=0,0,IF(LEN(BC243)=11,_xlfn.XLOOKUP(BC243,'Dispensed Ink Rates'!C:C,'Dispensed Ink Rates'!CS:CS),VLOOKUP(BC243,'Jan-2026 rates'!$E:$F,2,0)))</f>
        <v>#N/A</v>
      </c>
      <c r="BM243" s="409"/>
      <c r="BN243" s="398">
        <f>IF(BM243=0,0,IF(LEN(BD243)=11,_xlfn.XLOOKUP(BD243,'Dispensed Ink Rates'!C:C,'Dispensed Ink Rates'!CS:CS),VLOOKUP(BD243,'Jan-2026 rates'!$E:$F,2,0)))</f>
        <v>0</v>
      </c>
      <c r="BO243" s="409"/>
      <c r="BP243" s="398">
        <f>IF(BO243=0,0,IF(LEN(BE243)=11,_xlfn.XLOOKUP(BE243,'Dispensed Ink Rates'!C:C,'Dispensed Ink Rates'!CS:CS),VLOOKUP(BE243,'Jan-2026 rates'!$E:$F,2,0)))</f>
        <v>0</v>
      </c>
      <c r="BQ243" s="409"/>
      <c r="BR243" s="398">
        <f>IF(BQ243=0,0,IF(LEN(BF243)=11,_xlfn.XLOOKUP(BF243,'Dispensed Ink Rates'!C:C,'Dispensed Ink Rates'!CS:CS),VLOOKUP(BF243,'Jan-2026 rates'!$E:$F,2,0)))</f>
        <v>0</v>
      </c>
      <c r="BS243" s="409"/>
      <c r="BT243" s="398">
        <f>IF(BS243=0,0,IF(LEN(BG243)=11,_xlfn.XLOOKUP(BG243,'Dispensed Ink Rates'!C:C,'Dispensed Ink Rates'!CS:CS),VLOOKUP(BG243,'Jan-2026 rates'!$E:$F,2,0)))</f>
        <v>0</v>
      </c>
      <c r="BU243" s="409"/>
      <c r="BV243" s="398">
        <f>IF(BU243=0,0,IF(LEN(BH243)=11,_xlfn.XLOOKUP(BH243,'Dispensed Ink Rates'!C:C,'Dispensed Ink Rates'!CS:CS),VLOOKUP(BH243,'Jan-2026 rates'!$E:$F,2,0)))</f>
        <v>0</v>
      </c>
      <c r="BW243" s="409"/>
      <c r="BX243" s="398">
        <f>IF(BW243=0,0,IF(LEN(BI243)=11,_xlfn.XLOOKUP(BI243,'Dispensed Ink Rates'!C:C,'Dispensed Ink Rates'!CS:CS),VLOOKUP(BI243,'Jan-2026 rates'!$E:$F,2,0)))</f>
        <v>0</v>
      </c>
      <c r="BY243" s="409"/>
      <c r="BZ243" s="398">
        <f>IF(BY243=0,0,IF(LEN(BJ243)=11,_xlfn.XLOOKUP(BJ243,'Dispensed Ink Rates'!C:C,'Dispensed Ink Rates'!CS:CS),VLOOKUP(BJ243,'Jan-2026 rates'!$E:$F,2,0)))</f>
        <v>0</v>
      </c>
      <c r="CA243" s="409" t="s">
        <v>1443</v>
      </c>
      <c r="CB243" s="409">
        <v>28</v>
      </c>
      <c r="CC243" s="411">
        <f t="shared" si="162"/>
        <v>0</v>
      </c>
      <c r="CD243" s="411">
        <f t="shared" si="163"/>
        <v>8.1311475409836049</v>
      </c>
      <c r="CE243" s="410">
        <f t="shared" si="164"/>
        <v>0</v>
      </c>
      <c r="CF243" s="404" t="s">
        <v>857</v>
      </c>
      <c r="CG243" s="409" t="s">
        <v>4023</v>
      </c>
      <c r="CH243" s="420" t="str">
        <f t="shared" si="185"/>
        <v>FLINTSL - RED</v>
      </c>
      <c r="CI243" s="409">
        <v>26</v>
      </c>
      <c r="CJ243" s="411">
        <f>IF(CI243=0,0,IF($LB243=70%,VLOOKUP($CH243,'Jan-2026 rates'!$L:$R,4,0),IF($LB243=65%,VLOOKUP($CH243,'Jan-2026 rates'!$L:$R,4,0),IF($LB243=40%,VLOOKUP($CH243,'Jan-2026 rates'!$L:$R,5,0),IF($LB243=30%,VLOOKUP($CH243,'Jan-2026 rates'!$L:$R,6,0),IF($LB243=100%,VLOOKUP($CH243,'Jan-2026 rates'!$L:$R,7,0),IF($LB243=60%,VLOOKUP($CH243,'Jan-2026 rates'!$L:$S,8,0),IF($LB243=80%,VLOOKUP($CH243,'Jan-2026 rates'!L:T,9,0),0))))))))</f>
        <v>0</v>
      </c>
      <c r="CK243" s="412"/>
      <c r="CL243" s="409"/>
      <c r="CM243" s="411">
        <f>IF(CL243=0,0,IF($LB243=70%,VLOOKUP($CH243,'Jan-2026 rates'!$L:$R,4,0),IF($LB243=65%,VLOOKUP($CH243,'Jan-2026 rates'!$L:$R,4,0),IF($LB243=40%,VLOOKUP($CH243,'Jan-2026 rates'!$L:$R,5,0),IF($LB243=30%,VLOOKUP($CH243,'Jan-2026 rates'!$L:$R,6,0),IF($LB243=100%,VLOOKUP($CH243,'Jan-2026 rates'!$L:$R,7,0),IF($LB243=60%,VLOOKUP($CH243,'Jan-2026 rates'!$L:$S,8,0),IF($LB243=80%,VLOOKUP($CH243,'Jan-2026 rates'!L:T,9,0),0))))))))</f>
        <v>0</v>
      </c>
      <c r="CN243" s="426">
        <v>26519000029</v>
      </c>
      <c r="CO243" s="427"/>
      <c r="CP243" s="426"/>
      <c r="CQ243" s="426"/>
      <c r="CR243" s="428"/>
      <c r="CS243" s="428"/>
      <c r="CT243" s="428"/>
      <c r="CU243" s="428"/>
      <c r="CV243" s="409">
        <v>4</v>
      </c>
      <c r="CW243" s="398" t="e">
        <f>IF(CV243=0,0,IF(LEN(CN243)=11,_xlfn.XLOOKUP(CN243,'Dispensed Ink Rates'!C:C,'Dispensed Ink Rates'!CS:CS),VLOOKUP(CN243,'Jan-2026 rates'!$E:$F,2,0)))</f>
        <v>#N/A</v>
      </c>
      <c r="CX243" s="409"/>
      <c r="CY243" s="398">
        <f>IF(CX243=0,0,IF(LEN(CO243)=11,_xlfn.XLOOKUP(CO243,'Dispensed Ink Rates'!C:C,'Dispensed Ink Rates'!CS:CS),VLOOKUP(CO243,'Jan-2026 rates'!$E:$F,2,0)))</f>
        <v>0</v>
      </c>
      <c r="CZ243" s="409"/>
      <c r="DA243" s="398">
        <f>IF(CZ243=0,0,IF(LEN(CP243)=11,_xlfn.XLOOKUP(CP243,'Dispensed Ink Rates'!C:C,'Dispensed Ink Rates'!CS:CS),VLOOKUP(CP243,'Jan-2026 rates'!$E:$F,2,0)))</f>
        <v>0</v>
      </c>
      <c r="DB243" s="409"/>
      <c r="DC243" s="398">
        <f>IF(DB243=0,0,IF(LEN(CQ243)=11,_xlfn.XLOOKUP(CQ243,'Dispensed Ink Rates'!C:C,'Dispensed Ink Rates'!CS:CS),VLOOKUP(CQ243,'Jan-2026 rates'!$E:$F,2,0)))</f>
        <v>0</v>
      </c>
      <c r="DD243" s="409"/>
      <c r="DE243" s="398">
        <f>IF(DD243=0,0,IF(LEN(CR243)=11,_xlfn.XLOOKUP(CR243,'Dispensed Ink Rates'!C:C,'Dispensed Ink Rates'!CS:CS),VLOOKUP(CR243,'Jan-2026 rates'!$E:$F,2,0)))</f>
        <v>0</v>
      </c>
      <c r="DF243" s="409"/>
      <c r="DG243" s="398">
        <f>IF(DF243=0,0,IF(LEN(CS243)=11,_xlfn.XLOOKUP(CS243,'Dispensed Ink Rates'!C:C,'Dispensed Ink Rates'!CS:CS),VLOOKUP(CS243,'Jan-2026 rates'!$E:$F,2,0)))</f>
        <v>0</v>
      </c>
      <c r="DH243" s="409"/>
      <c r="DI243" s="398">
        <f>IF(DH243=0,0,IF(LEN(CT243)=11,_xlfn.XLOOKUP(CT243,'Dispensed Ink Rates'!C:C,'Dispensed Ink Rates'!CS:CS),VLOOKUP(CT243,'Jan-2026 rates'!$E:$F,2,0)))</f>
        <v>0</v>
      </c>
      <c r="DJ243" s="409"/>
      <c r="DK243" s="398">
        <f>IF(DJ243=0,0,IF(LEN(CU243)=11,_xlfn.XLOOKUP(CU243,'Dispensed Ink Rates'!C:C,'Dispensed Ink Rates'!CS:CS),VLOOKUP(CU243,'Jan-2026 rates'!$E:$F,2,0)))</f>
        <v>0</v>
      </c>
      <c r="DL243" s="409" t="s">
        <v>1443</v>
      </c>
      <c r="DM243" s="409">
        <v>27</v>
      </c>
      <c r="DN243" s="411">
        <f t="shared" si="165"/>
        <v>0</v>
      </c>
      <c r="DO243" s="411">
        <f t="shared" si="166"/>
        <v>10.131147540983605</v>
      </c>
      <c r="DP243" s="410">
        <f t="shared" si="167"/>
        <v>0</v>
      </c>
      <c r="DQ243" s="405" t="s">
        <v>828</v>
      </c>
      <c r="DR243" s="409" t="s">
        <v>4024</v>
      </c>
      <c r="DS243" s="420" t="str">
        <f t="shared" si="186"/>
        <v>FLINTSL - ORANGE</v>
      </c>
      <c r="DT243" s="409">
        <v>23</v>
      </c>
      <c r="DU243" s="411">
        <f>IF(DT243=0,0,IF($LB243=70%,VLOOKUP($DS243,'Jan-2026 rates'!$L:$R,4,0),IF($LB243=65%,VLOOKUP($DS243,'Jan-2026 rates'!$L:$R,4,0),IF($LB243=40%,VLOOKUP($DS243,'Jan-2026 rates'!$L:$R,5,0),IF($LB243=30%,VLOOKUP($DS243,'Jan-2026 rates'!$L:$R,6,0),IF($LB243=100%,VLOOKUP($DS243,'Jan-2026 rates'!$L:$R,7,0),IF($LB243=60%,VLOOKUP($DS243,'Jan-2026 rates'!$L:$S,8,0),IF($LB243=80%,VLOOKUP($DS243,'Jan-2026 rates'!L:T,9,0),0))))))))</f>
        <v>0</v>
      </c>
      <c r="DV243" s="412"/>
      <c r="DW243" s="409"/>
      <c r="DX243" s="411">
        <f>IF(DW243=0,0,IF($LB243=70%,VLOOKUP($DS243,'Jan-2026 rates'!$L:$R,4,0),IF($LB243=65%,VLOOKUP($DS243,'Jan-2026 rates'!$L:$R,4,0),IF($LB243=40%,VLOOKUP($DS243,'Jan-2026 rates'!$L:$R,5,0),IF($LB243=30%,VLOOKUP($DS243,'Jan-2026 rates'!$L:$R,6,0),IF($LB243=100%,VLOOKUP($DS243,'Jan-2026 rates'!$L:$R,7,0),IF($LB243=60%,VLOOKUP($DS243,'Jan-2026 rates'!$L:$S,8,0),IF($LB243=80%,VLOOKUP($DS243,'Jan-2026 rates'!L:T,9,0),0))))))))</f>
        <v>0</v>
      </c>
      <c r="DY243" s="413">
        <v>26518000001</v>
      </c>
      <c r="DZ243" s="413"/>
      <c r="EA243" s="412"/>
      <c r="EB243" s="412"/>
      <c r="EC243" s="412"/>
      <c r="ED243" s="412"/>
      <c r="EE243" s="412"/>
      <c r="EF243" s="412"/>
      <c r="EG243" s="409">
        <v>5</v>
      </c>
      <c r="EH243" s="398" t="e">
        <f>IF(EG243=0,0,IF(LEN(DY243)=11,_xlfn.XLOOKUP(DY243,'Dispensed Ink Rates'!C:C,'Dispensed Ink Rates'!CS:CS),VLOOKUP(DY243,'Jan-2026 rates'!$E:$F,2,0)))</f>
        <v>#N/A</v>
      </c>
      <c r="EI243" s="409"/>
      <c r="EJ243" s="398">
        <f>IF(EI243=0,0,IF(LEN(DZ243)=11,_xlfn.XLOOKUP(DZ243,'Dispensed Ink Rates'!C:C,'Dispensed Ink Rates'!CS:CS),VLOOKUP(DZ243,'Jan-2026 rates'!$E:$F,2,0)))</f>
        <v>0</v>
      </c>
      <c r="EK243" s="409"/>
      <c r="EL243" s="398">
        <f>IF(EK243=0,0,IF(LEN(EA243)=11,_xlfn.XLOOKUP(EA243,'Dispensed Ink Rates'!C:C,'Dispensed Ink Rates'!CS:CS),VLOOKUP(EA243,'Jan-2026 rates'!$E:$F,2,0)))</f>
        <v>0</v>
      </c>
      <c r="EM243" s="409"/>
      <c r="EN243" s="398">
        <f>IF(EM243=0,0,IF(LEN(EB243)=11,_xlfn.XLOOKUP(EB243,'Dispensed Ink Rates'!C:C,'Dispensed Ink Rates'!CS:CS),VLOOKUP(EB243,'Jan-2026 rates'!$E:$F,2,0)))</f>
        <v>0</v>
      </c>
      <c r="EO243" s="409"/>
      <c r="EP243" s="398">
        <f>IF(EO243=0,0,IF(LEN(EC243)=11,_xlfn.XLOOKUP(EC243,'Dispensed Ink Rates'!C:C,'Dispensed Ink Rates'!CS:CS),VLOOKUP(EC243,'Jan-2026 rates'!$E:$F,2,0)))</f>
        <v>0</v>
      </c>
      <c r="EQ243" s="409"/>
      <c r="ER243" s="398">
        <f>IF(EQ243=0,0,IF(LEN(ED243)=11,_xlfn.XLOOKUP(ED243,'Dispensed Ink Rates'!C:C,'Dispensed Ink Rates'!CS:CS),VLOOKUP(ED243,'Jan-2026 rates'!$E:$F,2,0)))</f>
        <v>0</v>
      </c>
      <c r="ES243" s="409"/>
      <c r="ET243" s="398">
        <f>IF(ES243=0,0,IF(LEN(EE243)=11,_xlfn.XLOOKUP(EE243,'Dispensed Ink Rates'!C:C,'Dispensed Ink Rates'!CS:CS),VLOOKUP(EE243,'Jan-2026 rates'!$E:$F,2,0)))</f>
        <v>0</v>
      </c>
      <c r="EU243" s="409"/>
      <c r="EV243" s="398">
        <f>IF(EU243=0,0,IF(LEN(EF243)=11,_xlfn.XLOOKUP(EF243,'Dispensed Ink Rates'!C:C,'Dispensed Ink Rates'!CS:CS),VLOOKUP(EF243,'Jan-2026 rates'!$E:$F,2,0)))</f>
        <v>0</v>
      </c>
      <c r="EW243" s="409" t="s">
        <v>1443</v>
      </c>
      <c r="EX243" s="409">
        <v>26</v>
      </c>
      <c r="EY243" s="411">
        <f t="shared" si="168"/>
        <v>0</v>
      </c>
      <c r="EZ243" s="411">
        <f t="shared" si="169"/>
        <v>7.7049180327868854</v>
      </c>
      <c r="FA243" s="410">
        <f t="shared" si="170"/>
        <v>0</v>
      </c>
      <c r="FB243" s="405" t="s">
        <v>855</v>
      </c>
      <c r="FC243" s="409" t="s">
        <v>4025</v>
      </c>
      <c r="FD243" s="420" t="str">
        <f t="shared" si="187"/>
        <v>FLINTSL - CYAN</v>
      </c>
      <c r="FE243" s="409">
        <v>29</v>
      </c>
      <c r="FF243" s="411">
        <f>IF(FE243=0,0,IF($LB243=70%,VLOOKUP($FD243,'Jan-2026 rates'!$L:$R,4,0),IF($LB243=65%,VLOOKUP($FD243,'Jan-2026 rates'!$L:$R,4,0),IF($LB243=40%,VLOOKUP($FD243,'Jan-2026 rates'!$L:$R,5,0),IF($LB243=30%,VLOOKUP($FD243,'Jan-2026 rates'!$L:$R,6,0),IF($LB243=100%,VLOOKUP($FD243,'Jan-2026 rates'!$L:$R,7,0),IF($LB243=60%,VLOOKUP($FD243,'Jan-2026 rates'!$L:$S,8,0),IF($LB243=80%,VLOOKUP($FD243,'Jan-2026 rates'!L:T,9,0),0))))))))</f>
        <v>0</v>
      </c>
      <c r="FG243" s="412"/>
      <c r="FH243" s="409"/>
      <c r="FI243" s="411">
        <f>IF(FH243=0,0,IF($LB243=70%,VLOOKUP($FD243,'Jan-2026 rates'!$L:$R,4,0),IF($LB243=65%,VLOOKUP($FD243,'Jan-2026 rates'!$L:$R,4,0),IF($LB243=40%,VLOOKUP($FD243,'Jan-2026 rates'!$L:$R,5,0),IF($LB243=30%,VLOOKUP($FD243,'Jan-2026 rates'!$L:$R,6,0),IF($LB243=100%,VLOOKUP($FD243,'Jan-2026 rates'!$L:$R,7,0),IF($LB243=60%,VLOOKUP($FD243,'Jan-2026 rates'!$L:$S,8,0),IF($LB243=80%,VLOOKUP($FD243,'Jan-2026 rates'!L:T,9,0),0))))))))</f>
        <v>0</v>
      </c>
      <c r="FJ243" s="413">
        <v>26519000006</v>
      </c>
      <c r="FK243" s="413"/>
      <c r="FL243" s="413"/>
      <c r="FM243" s="412"/>
      <c r="FN243" s="412"/>
      <c r="FO243" s="412"/>
      <c r="FP243" s="412"/>
      <c r="FQ243" s="412"/>
      <c r="FR243" s="409">
        <v>4</v>
      </c>
      <c r="FS243" s="398" t="e">
        <f>IF(FR243=0,0,IF(LEN(FJ243)=11,_xlfn.XLOOKUP(FJ243,'Dispensed Ink Rates'!C:C,'Dispensed Ink Rates'!CS:CS),VLOOKUP(FJ243,'Jan-2026 rates'!$E:$F,2,0)))</f>
        <v>#N/A</v>
      </c>
      <c r="FT243" s="409"/>
      <c r="FU243" s="398">
        <f>IF(FT243=0,0,IF(LEN(FK243)=11,_xlfn.XLOOKUP(FK243,'Dispensed Ink Rates'!C:C,'Dispensed Ink Rates'!CS:CS),VLOOKUP(FK243,'Jan-2026 rates'!$E:$F,2,0)))</f>
        <v>0</v>
      </c>
      <c r="FV243" s="409"/>
      <c r="FW243" s="398">
        <f>IF(FV243=0,0,IF(LEN(FL243)=11,_xlfn.XLOOKUP(FL243,'Dispensed Ink Rates'!C:C,'Dispensed Ink Rates'!CS:CS),VLOOKUP(FL243,'Jan-2026 rates'!$E:$F,2,0)))</f>
        <v>0</v>
      </c>
      <c r="FX243" s="409"/>
      <c r="FY243" s="398">
        <f>IF(FX243=0,0,IF(LEN(FM243)=11,_xlfn.XLOOKUP(FM243,'Dispensed Ink Rates'!C:C,'Dispensed Ink Rates'!CS:CS),VLOOKUP(FM243,'Jan-2026 rates'!$E:$F,2,0)))</f>
        <v>0</v>
      </c>
      <c r="FZ243" s="409"/>
      <c r="GA243" s="398">
        <f>IF(FZ243=0,0,IF(LEN(FN243)=11,_xlfn.XLOOKUP(FN243,'Dispensed Ink Rates'!C:C,'Dispensed Ink Rates'!CS:CS),VLOOKUP(FN243,'Jan-2026 rates'!$E:$F,2,0)))</f>
        <v>0</v>
      </c>
      <c r="GB243" s="409"/>
      <c r="GC243" s="398">
        <f>IF(GB243=0,0,IF(LEN(FO243)=11,_xlfn.XLOOKUP(FO243,'Dispensed Ink Rates'!C:C,'Dispensed Ink Rates'!CS:CS),VLOOKUP(FO243,'Jan-2026 rates'!$E:$F,2,0)))</f>
        <v>0</v>
      </c>
      <c r="GD243" s="409"/>
      <c r="GE243" s="398">
        <f>IF(GD243=0,0,IF(LEN(FP243)=11,_xlfn.XLOOKUP(FP243,'Dispensed Ink Rates'!C:C,'Dispensed Ink Rates'!CS:CS),VLOOKUP(FP243,'Jan-2026 rates'!$E:$F,2,0)))</f>
        <v>0</v>
      </c>
      <c r="GF243" s="409"/>
      <c r="GG243" s="398">
        <f>IF(GF243=0,0,IF(LEN(FQ243)=11,_xlfn.XLOOKUP(FQ243,'Dispensed Ink Rates'!C:C,'Dispensed Ink Rates'!CS:CS),VLOOKUP(FQ243,'Jan-2026 rates'!$E:$F,2,0)))</f>
        <v>0</v>
      </c>
      <c r="GH243" s="409" t="s">
        <v>1443</v>
      </c>
      <c r="GI243" s="409">
        <v>28</v>
      </c>
      <c r="GJ243" s="411">
        <f t="shared" si="171"/>
        <v>0</v>
      </c>
      <c r="GK243" s="411">
        <f t="shared" si="172"/>
        <v>12.131147540983605</v>
      </c>
      <c r="GL243" s="410">
        <f t="shared" si="173"/>
        <v>0</v>
      </c>
      <c r="GM243" s="405" t="s">
        <v>544</v>
      </c>
      <c r="GN243" s="409" t="s">
        <v>4026</v>
      </c>
      <c r="GO243" s="420" t="str">
        <f t="shared" si="188"/>
        <v>FLINTSL - MAGENTA</v>
      </c>
      <c r="GP243" s="409">
        <v>28</v>
      </c>
      <c r="GQ243" s="411">
        <f>IF(GP243=0,0,IF($LB243=70%,VLOOKUP($GO243,'Jan-2026 rates'!$L:$R,4,0),IF($LB243=65%,VLOOKUP($GO243,'Jan-2026 rates'!$L:$R,4,0),IF($LB243=40%,VLOOKUP($GO243,'Jan-2026 rates'!$L:$R,5,0),IF($LB243=30%,VLOOKUP($GO243,'Jan-2026 rates'!$L:$R,6,0),IF($LB243=100%,VLOOKUP($GO243,'Jan-2026 rates'!$L:$R,7,0),IF($LB243=60%,VLOOKUP($GO243,'Jan-2026 rates'!$L:$S,8,0),IF($LB243=80%,VLOOKUP($GO243,'Jan-2026 rates'!L:T,9,0),0))))))))</f>
        <v>0</v>
      </c>
      <c r="GR243" s="412"/>
      <c r="GS243" s="409"/>
      <c r="GT243" s="411">
        <f>IF(GS243=0,0,IF($LB243=70%,VLOOKUP($GO243,'Jan-2026 rates'!$L:$R,4,0),IF($LB243=65%,VLOOKUP($GO243,'Jan-2026 rates'!$L:$R,4,0),IF($LB243=40%,VLOOKUP($GO243,'Jan-2026 rates'!$L:$R,5,0),IF($LB243=30%,VLOOKUP($GO243,'Jan-2026 rates'!$L:$R,6,0),IF($LB243=100%,VLOOKUP($GO243,'Jan-2026 rates'!$L:$R,7,0),IF($LB243=60%,VLOOKUP($GO243,'Jan-2026 rates'!$L:$S,8,0),IF($LB243=80%,VLOOKUP($GO243,'Jan-2026 rates'!L:T,9,0),0))))))))</f>
        <v>0</v>
      </c>
      <c r="GU243" s="413">
        <v>26519000004</v>
      </c>
      <c r="GV243" s="413" t="s">
        <v>1266</v>
      </c>
      <c r="GW243" s="412"/>
      <c r="GX243" s="412"/>
      <c r="GY243" s="412"/>
      <c r="GZ243" s="412"/>
      <c r="HA243" s="412"/>
      <c r="HB243" s="412"/>
      <c r="HC243" s="409">
        <v>2</v>
      </c>
      <c r="HD243" s="398" t="e">
        <f>IF(HC243=0,0,IF(LEN(GU243)=11,_xlfn.XLOOKUP(GU243,'Dispensed Ink Rates'!C:C,'Dispensed Ink Rates'!CS:CS),VLOOKUP(GU243,'Jan-2026 rates'!$E:$F,2,0)))</f>
        <v>#N/A</v>
      </c>
      <c r="HE243" s="409">
        <v>4</v>
      </c>
      <c r="HF243" s="398">
        <f>IF(HE243=0,0,IF(LEN(GV243)=11,_xlfn.XLOOKUP(GV243,'Dispensed Ink Rates'!C:C,'Dispensed Ink Rates'!CS:CS),VLOOKUP(GV243,'Jan-2026 rates'!$E:$F,2,0)))</f>
        <v>0</v>
      </c>
      <c r="HG243" s="409"/>
      <c r="HH243" s="398">
        <f>IF(HG243=0,0,IF(LEN(GW243)=11,_xlfn.XLOOKUP(GW243,'Dispensed Ink Rates'!C:C,'Dispensed Ink Rates'!CS:CS),VLOOKUP(GW243,'Jan-2026 rates'!$E:$F,2,0)))</f>
        <v>0</v>
      </c>
      <c r="HI243" s="409"/>
      <c r="HJ243" s="398">
        <f>IF(HI243=0,0,IF(LEN(GX243)=11,_xlfn.XLOOKUP(GX243,'Dispensed Ink Rates'!C:C,'Dispensed Ink Rates'!CS:CS),VLOOKUP(GX243,'Jan-2026 rates'!$E:$F,2,0)))</f>
        <v>0</v>
      </c>
      <c r="HK243" s="409"/>
      <c r="HL243" s="398">
        <f>IF(HK243=0,0,IF(LEN(GY243)=11,_xlfn.XLOOKUP(GY243,'Dispensed Ink Rates'!C:C,'Dispensed Ink Rates'!CS:CS),VLOOKUP(GY243,'Jan-2026 rates'!$E:$F,2,0)))</f>
        <v>0</v>
      </c>
      <c r="HM243" s="409"/>
      <c r="HN243" s="398">
        <f>IF(HM243=0,0,IF(LEN(GZ243)=11,_xlfn.XLOOKUP(GZ243,'Dispensed Ink Rates'!C:C,'Dispensed Ink Rates'!CS:CS),VLOOKUP(GZ243,'Jan-2026 rates'!$E:$F,2,0)))</f>
        <v>0</v>
      </c>
      <c r="HO243" s="409"/>
      <c r="HP243" s="398">
        <f>IF(HO243=0,0,IF(LEN(HA243)=11,_xlfn.XLOOKUP(HA243,'Dispensed Ink Rates'!C:C,'Dispensed Ink Rates'!CS:CS),VLOOKUP(HA243,'Jan-2026 rates'!$E:$F,2,0)))</f>
        <v>0</v>
      </c>
      <c r="HQ243" s="409"/>
      <c r="HR243" s="398">
        <f>IF(HQ243=0,0,IF(LEN(HB243)=11,_xlfn.XLOOKUP(HB243,'Dispensed Ink Rates'!C:C,'Dispensed Ink Rates'!CS:CS),VLOOKUP(HB243,'Jan-2026 rates'!$E:$F,2,0)))</f>
        <v>0</v>
      </c>
      <c r="HS243" s="409" t="s">
        <v>1443</v>
      </c>
      <c r="HT243" s="409">
        <v>29</v>
      </c>
      <c r="HU243" s="411">
        <f t="shared" si="174"/>
        <v>0</v>
      </c>
      <c r="HV243" s="411">
        <f t="shared" si="175"/>
        <v>12.131147540983605</v>
      </c>
      <c r="HW243" s="414">
        <f t="shared" si="176"/>
        <v>0</v>
      </c>
      <c r="HX243" s="405" t="s">
        <v>545</v>
      </c>
      <c r="HY243" s="409" t="s">
        <v>4027</v>
      </c>
      <c r="HZ243" s="420" t="str">
        <f t="shared" si="189"/>
        <v>FLINTSL - YELLOW</v>
      </c>
      <c r="IA243" s="409">
        <v>29</v>
      </c>
      <c r="IB243" s="411">
        <f>IF(IA243=0,0,IF($LB243=70%,VLOOKUP($HZ243,'Jan-2026 rates'!$L:$R,4,0),IF($LB243=65%,VLOOKUP($HZ243,'Jan-2026 rates'!$L:$R,4,0),IF($LB243=40%,VLOOKUP($HZ243,'Jan-2026 rates'!$L:$R,5,0),IF($LB243=30%,VLOOKUP($HZ243,'Jan-2026 rates'!$L:$R,6,0),IF($LB243=100%,VLOOKUP($HZ243,'Jan-2026 rates'!$L:$R,7,0),IF($LB243=60%,VLOOKUP($HZ243,'Jan-2026 rates'!$L:$S,8,0),IF($LB243=80%,VLOOKUP($HZ243,'Jan-2026 rates'!L:T,9,0),0))))))))</f>
        <v>0</v>
      </c>
      <c r="IC243" s="412"/>
      <c r="ID243" s="409"/>
      <c r="IE243" s="411">
        <f>IF(ID243=0,0,IF($LB243=70%,VLOOKUP($HZ243,'Jan-2026 rates'!$L:$R,4,0),IF($LB243=65%,VLOOKUP($HZ243,'Jan-2026 rates'!$L:$R,4,0),IF($LB243=40%,VLOOKUP($HZ243,'Jan-2026 rates'!$L:$R,5,0),IF($LB243=30%,VLOOKUP($HZ243,'Jan-2026 rates'!$L:$R,6,0),IF($LB243=100%,VLOOKUP($HZ243,'Jan-2026 rates'!$L:$R,7,0),IF($LB243=60%,VLOOKUP($HZ243,'Jan-2026 rates'!$L:$S,8,0),IF($LB243=80%,VLOOKUP($HZ243,'Jan-2026 rates'!L:T,9,0),0))))))))</f>
        <v>0</v>
      </c>
      <c r="IF243" s="412">
        <v>26518000001</v>
      </c>
      <c r="IG243" s="413" t="s">
        <v>1266</v>
      </c>
      <c r="IH243" s="412"/>
      <c r="II243" s="412"/>
      <c r="IJ243" s="412"/>
      <c r="IK243" s="412"/>
      <c r="IL243" s="412"/>
      <c r="IM243" s="412"/>
      <c r="IN243" s="409">
        <v>6</v>
      </c>
      <c r="IO243" s="398" t="e">
        <f>IF(IN243=0,0,IF(LEN(IF243)=11,_xlfn.XLOOKUP(IF243,'Dispensed Ink Rates'!C:C,'Dispensed Ink Rates'!CS:CS),VLOOKUP(IF243,'Jan-2026 rates'!$E:$F,2,0)))</f>
        <v>#N/A</v>
      </c>
      <c r="IP243" s="409">
        <v>4</v>
      </c>
      <c r="IQ243" s="398">
        <f>IF(IP243=0,0,IF(LEN(IG243)=11,_xlfn.XLOOKUP(IG243,'Dispensed Ink Rates'!C:C,'Dispensed Ink Rates'!CS:CS),VLOOKUP(IG243,'Jan-2026 rates'!$E:$F,2,0)))</f>
        <v>0</v>
      </c>
      <c r="IR243" s="409"/>
      <c r="IS243" s="398">
        <f>IF(IR243=0,0,IF(LEN(IH243)=11,_xlfn.XLOOKUP(IH243,'Dispensed Ink Rates'!C:C,'Dispensed Ink Rates'!CS:CS),VLOOKUP(IH243,'Jan-2026 rates'!$E:$F,2,0)))</f>
        <v>0</v>
      </c>
      <c r="IT243" s="409"/>
      <c r="IU243" s="398">
        <f>IF(IT243=0,0,IF(LEN(II243)=11,_xlfn.XLOOKUP(II243,'Dispensed Ink Rates'!C:C,'Dispensed Ink Rates'!CS:CS),VLOOKUP(II243,'Jan-2026 rates'!$E:$F,2,0)))</f>
        <v>0</v>
      </c>
      <c r="IV243" s="409"/>
      <c r="IW243" s="398">
        <f>IF(IV243=0,0,IF(LEN(IJ243)=11,_xlfn.XLOOKUP(IJ243,'Dispensed Ink Rates'!C:C,'Dispensed Ink Rates'!CS:CS),VLOOKUP(IJ243,'Jan-2026 rates'!$E:$F,2,0)))</f>
        <v>0</v>
      </c>
      <c r="IX243" s="409"/>
      <c r="IY243" s="398">
        <f>IF(IX243=0,0,IF(LEN(IK243)=11,_xlfn.XLOOKUP(IK243,'Dispensed Ink Rates'!C:C,'Dispensed Ink Rates'!CS:CS),VLOOKUP(IK243,'Jan-2026 rates'!$E:$F,2,0)))</f>
        <v>0</v>
      </c>
      <c r="IZ243" s="409"/>
      <c r="JA243" s="398">
        <f>IF(IZ243=0,0,IF(LEN(IL243)=11,_xlfn.XLOOKUP(IL243,'Dispensed Ink Rates'!C:C,'Dispensed Ink Rates'!CS:CS),VLOOKUP(IL243,'Jan-2026 rates'!$E:$F,2,0)))</f>
        <v>0</v>
      </c>
      <c r="JB243" s="409"/>
      <c r="JC243" s="398">
        <f>IF(JB243=0,0,IF(LEN(IM243)=11,_xlfn.XLOOKUP(IM243,'Dispensed Ink Rates'!C:C,'Dispensed Ink Rates'!CS:CS),VLOOKUP(IM243,'Jan-2026 rates'!$E:$F,2,0)))</f>
        <v>0</v>
      </c>
      <c r="JD243" s="409" t="s">
        <v>1443</v>
      </c>
      <c r="JE243" s="409">
        <v>30</v>
      </c>
      <c r="JF243" s="411">
        <f t="shared" si="177"/>
        <v>0</v>
      </c>
      <c r="JG243" s="411">
        <f t="shared" si="178"/>
        <v>18.983606557377051</v>
      </c>
      <c r="JH243" s="410">
        <f t="shared" si="179"/>
        <v>0</v>
      </c>
      <c r="JI243" s="405" t="s">
        <v>856</v>
      </c>
      <c r="JJ243" s="409" t="s">
        <v>4028</v>
      </c>
      <c r="JK243" s="420" t="str">
        <f t="shared" si="190"/>
        <v>FLINTSL - WHITE</v>
      </c>
      <c r="JL243" s="409">
        <v>30</v>
      </c>
      <c r="JM243" s="411">
        <f>IF(JL243=0,0,IF($LB243=70%,VLOOKUP($JK243,'Jan-2026 rates'!$L:$R,4,0),IF($LB243=65%,VLOOKUP($JK243,'Jan-2026 rates'!$L:$R,4,0),IF($LB243=40%,VLOOKUP($JK243,'Jan-2026 rates'!$L:$R,5,0),IF($LB243=30%,VLOOKUP($JK243,'Jan-2026 rates'!$L:$R,6,0),IF($LB243=100%,VLOOKUP($JK243,'Jan-2026 rates'!$L:$R,7,0),IF($LB243=60%,VLOOKUP($JK243,'Jan-2026 rates'!$L:$S,8,0),IF($LB243=80%,VLOOKUP($JK243,'Jan-2026 rates'!L:T,9,0),0))))))))</f>
        <v>0</v>
      </c>
      <c r="JN243" s="412"/>
      <c r="JO243" s="409"/>
      <c r="JP243" s="411">
        <f>IF(JO243=0,0,IF($LB243=70%,VLOOKUP($JK243,'Jan-2026 rates'!$L:$R,4,0),IF($LB243=65%,VLOOKUP($JK243,'Jan-2026 rates'!$L:$R,4,0),IF($LB243=40%,VLOOKUP($JK243,'Jan-2026 rates'!$L:$R,5,0),IF($LB243=30%,VLOOKUP($JK243,'Jan-2026 rates'!$L:$R,6,0),IF($LB243=100%,VLOOKUP($JK243,'Jan-2026 rates'!$L:$R,7,0),IF($LB243=60%,VLOOKUP($JK243,'Jan-2026 rates'!$L:$S,8,0),IF($LB243=80%,VLOOKUP($JK243,'Jan-2026 rates'!L:T,9,0),0))))))))</f>
        <v>0</v>
      </c>
      <c r="JQ243" s="413" t="s">
        <v>484</v>
      </c>
      <c r="JR243" s="412"/>
      <c r="JS243" s="413"/>
      <c r="JT243" s="413"/>
      <c r="JU243" s="412"/>
      <c r="JV243" s="412"/>
      <c r="JW243" s="412"/>
      <c r="JX243" s="412"/>
      <c r="JY243" s="409">
        <v>25</v>
      </c>
      <c r="JZ243" s="398">
        <f>IF(JY243=0,0,IF(LEN(JQ243)=11,_xlfn.XLOOKUP(JQ243,'Dispensed Ink Rates'!C:C,'Dispensed Ink Rates'!CS:CS),VLOOKUP(JQ243,'Jan-2026 rates'!$E:$F,2,0)))</f>
        <v>0</v>
      </c>
      <c r="KA243" s="409"/>
      <c r="KB243" s="398">
        <f>IF(KA243=0,0,IF(LEN(JR243)=11,_xlfn.XLOOKUP(JR243,'Dispensed Ink Rates'!C:C,'Dispensed Ink Rates'!CS:CS),VLOOKUP(JR243,'Jan-2026 rates'!$E:$F,2,0)))</f>
        <v>0</v>
      </c>
      <c r="KC243" s="409"/>
      <c r="KD243" s="398">
        <f>IF(KC243=0,0,IF(LEN(JS243)=11,_xlfn.XLOOKUP(JS243,'Dispensed Ink Rates'!C:C,'Dispensed Ink Rates'!CS:CS),VLOOKUP(JS243,'Jan-2026 rates'!$E:$F,2,0)))</f>
        <v>0</v>
      </c>
      <c r="KE243" s="409"/>
      <c r="KF243" s="398">
        <f>IF(KE243=0,0,IF(LEN(JT243)=11,_xlfn.XLOOKUP(JT243,'Dispensed Ink Rates'!C:C,'Dispensed Ink Rates'!CS:CS),VLOOKUP(JT243,'Jan-2026 rates'!$E:$F,2,0)))</f>
        <v>0</v>
      </c>
      <c r="KG243" s="409"/>
      <c r="KH243" s="398">
        <f>IF(KG243=0,0,IF(LEN(JU243)=11,_xlfn.XLOOKUP(JU243,'Dispensed Ink Rates'!C:C,'Dispensed Ink Rates'!CS:CS),VLOOKUP(JU243,'Jan-2026 rates'!$E:$F,2,0)))</f>
        <v>0</v>
      </c>
      <c r="KI243" s="409"/>
      <c r="KJ243" s="398">
        <f>IF(KI243=0,0,IF(LEN(JV243)=11,_xlfn.XLOOKUP(JV243,'Dispensed Ink Rates'!C:C,'Dispensed Ink Rates'!CS:CS),VLOOKUP(JV243,'Jan-2026 rates'!$E:$F,2,0)))</f>
        <v>0</v>
      </c>
      <c r="KK243" s="409"/>
      <c r="KL243" s="398">
        <f>IF(KK243=0,0,IF(LEN(JW243)=11,_xlfn.XLOOKUP(JW243,'Dispensed Ink Rates'!C:C,'Dispensed Ink Rates'!CS:CS),VLOOKUP(JW243,'Jan-2026 rates'!$E:$F,2,0)))</f>
        <v>0</v>
      </c>
      <c r="KM243" s="428"/>
      <c r="KN243" s="398">
        <f>IF(KM243=0,0,IF(LEN(JX243)=11,_xlfn.XLOOKUP(JX243,'Dispensed Ink Rates'!C:C,'Dispensed Ink Rates'!CS:CS),VLOOKUP(JX243,'Jan-2026 rates'!$E:$F,2,0)))</f>
        <v>0</v>
      </c>
      <c r="KO243" s="409" t="s">
        <v>1443</v>
      </c>
      <c r="KP243" s="409">
        <v>25</v>
      </c>
      <c r="KQ243" s="411">
        <f t="shared" si="180"/>
        <v>0</v>
      </c>
      <c r="KR243" s="411">
        <f t="shared" si="181"/>
        <v>51.393442622950815</v>
      </c>
      <c r="KS243" s="410">
        <f t="shared" si="182"/>
        <v>0</v>
      </c>
      <c r="KT243" s="409">
        <v>15</v>
      </c>
      <c r="KU243" s="409">
        <v>5</v>
      </c>
      <c r="KV243" s="409">
        <v>5</v>
      </c>
      <c r="KW243" s="409">
        <v>4</v>
      </c>
      <c r="KX243" s="409">
        <v>5</v>
      </c>
      <c r="KY243" s="409">
        <v>5</v>
      </c>
      <c r="KZ243" s="409">
        <v>7</v>
      </c>
      <c r="LA243" s="409">
        <v>15</v>
      </c>
      <c r="LB243" s="415">
        <v>0.8</v>
      </c>
      <c r="LC243" s="415">
        <v>0.2</v>
      </c>
      <c r="LD243" s="415"/>
      <c r="LE243" s="415"/>
      <c r="LF243" s="415"/>
      <c r="LG243" s="409">
        <v>0</v>
      </c>
      <c r="LH243" s="409">
        <f>15+12+48+12</f>
        <v>87</v>
      </c>
      <c r="LI243" s="409">
        <v>0</v>
      </c>
      <c r="LJ243" s="409">
        <v>0</v>
      </c>
      <c r="LK243" s="416">
        <f t="shared" si="191"/>
        <v>87</v>
      </c>
      <c r="LL243" s="416">
        <f t="shared" si="192"/>
        <v>87</v>
      </c>
      <c r="LM243" s="417">
        <f t="shared" si="193"/>
        <v>69.600000000000009</v>
      </c>
      <c r="LN243" s="417">
        <f>VLOOKUP($LM$8,'Jan-2026 rates'!$H:$I,2,0)</f>
        <v>0</v>
      </c>
      <c r="LO243" s="417">
        <f t="shared" si="194"/>
        <v>17.400000000000002</v>
      </c>
      <c r="LP243" s="417">
        <f>VLOOKUP($LO$8,'Jan-2026 rates'!$H:$I,2,0)</f>
        <v>0</v>
      </c>
      <c r="LQ243" s="417">
        <f t="shared" si="195"/>
        <v>0</v>
      </c>
      <c r="LR243" s="417">
        <f>VLOOKUP($LQ$8,'Jan-2026 rates'!$H:$I,2,0)</f>
        <v>0</v>
      </c>
      <c r="LS243" s="417">
        <f t="shared" si="196"/>
        <v>0</v>
      </c>
      <c r="LT243" s="417">
        <f>VLOOKUP($LS$8,'Jan-2026 rates'!$H:$I,2,0)</f>
        <v>0</v>
      </c>
      <c r="LU243" s="417">
        <f t="shared" si="197"/>
        <v>0</v>
      </c>
      <c r="LV243" s="417">
        <f>VLOOKUP($LU$8,'Jan-2026 rates'!$H:$I,2,0)</f>
        <v>0</v>
      </c>
      <c r="LW243" s="417">
        <f t="shared" si="198"/>
        <v>0</v>
      </c>
      <c r="LX243" s="417">
        <f t="shared" si="199"/>
        <v>0</v>
      </c>
      <c r="LY243" s="418">
        <f t="shared" si="200"/>
        <v>0</v>
      </c>
      <c r="LZ243" s="417"/>
      <c r="MA243" s="435">
        <f t="shared" si="201"/>
        <v>83</v>
      </c>
      <c r="MB243" s="282">
        <f t="shared" si="202"/>
        <v>167</v>
      </c>
      <c r="MC243" s="283">
        <v>136</v>
      </c>
      <c r="MD243" s="284" t="str">
        <f t="shared" si="203"/>
        <v>FLINTSLFLINTSLFLINTSLFLINTSLFLINTSLFLINTSLFLINTSLFLINTSL</v>
      </c>
      <c r="ME243" s="293" t="str">
        <f t="shared" si="204"/>
        <v>+</v>
      </c>
      <c r="MF243" s="293" t="str">
        <f t="shared" si="205"/>
        <v>+</v>
      </c>
      <c r="MG243" s="293" t="str">
        <f t="shared" si="206"/>
        <v>+</v>
      </c>
      <c r="MH243" s="293" t="str">
        <f t="shared" si="207"/>
        <v>+</v>
      </c>
      <c r="MI243" s="293" t="str">
        <f t="shared" si="208"/>
        <v>+</v>
      </c>
      <c r="MJ243" s="293" t="str">
        <f t="shared" si="209"/>
        <v>+</v>
      </c>
      <c r="MK243" s="293" t="str">
        <f t="shared" si="210"/>
        <v>+</v>
      </c>
      <c r="ML243" s="293" t="str">
        <f t="shared" si="211"/>
        <v>+</v>
      </c>
      <c r="MM243" s="3" t="b">
        <f t="array" ref="MM243">OR(ME243:ML243="-")</f>
        <v>0</v>
      </c>
      <c r="MN243" s="285"/>
      <c r="MO243" s="401"/>
      <c r="MP243" s="286"/>
      <c r="MQ243" s="286"/>
      <c r="MR243" s="402"/>
      <c r="MS243" s="400"/>
      <c r="NH243" s="422"/>
      <c r="NJ243" s="421"/>
    </row>
    <row r="244" spans="1:374" s="1" customFormat="1" ht="16.5">
      <c r="A244" s="403">
        <v>46041</v>
      </c>
      <c r="B244" s="404" t="s">
        <v>1015</v>
      </c>
      <c r="C244" s="405" t="s">
        <v>4029</v>
      </c>
      <c r="D244" s="406">
        <v>137</v>
      </c>
      <c r="E244" s="404">
        <v>487</v>
      </c>
      <c r="F244" s="407">
        <v>24000</v>
      </c>
      <c r="G244" s="407" t="s">
        <v>1019</v>
      </c>
      <c r="H244" s="408" t="s">
        <v>1017</v>
      </c>
      <c r="I244" s="409">
        <v>2.2400000000000002</v>
      </c>
      <c r="J244" s="405" t="s">
        <v>543</v>
      </c>
      <c r="K244" s="404" t="s">
        <v>4030</v>
      </c>
      <c r="L244" s="419" t="str">
        <f t="shared" si="184"/>
        <v>FLINTSL - BLACK</v>
      </c>
      <c r="M244" s="404">
        <v>26</v>
      </c>
      <c r="N244" s="410">
        <f>IF(M244=0,0,IF($LB244=70%,VLOOKUP($L244,'Jan-2026 rates'!$L:$R,4,0),IF($LB244=65%,VLOOKUP($L244,'Jan-2026 rates'!$L:$R,4,0),IF($LB244=40%,VLOOKUP($L244,'Jan-2026 rates'!$L:$R,5,0),IF($LB244=30%,VLOOKUP($L244,'Jan-2026 rates'!$L:$R,6,0),IF($LB244=100%,VLOOKUP($L244,'Jan-2026 rates'!$L:$R,7,0),IF($LB244=60%,VLOOKUP($L244,'Jan-2026 rates'!$L:$S,8,0),IF($LB244=80%,VLOOKUP($L244,'Jan-2026 rates'!L:T,9,0),0))))))))</f>
        <v>0</v>
      </c>
      <c r="O244" s="406"/>
      <c r="P244" s="404"/>
      <c r="Q244" s="410">
        <f>IF(P244=0,0,IF($LB244=70%,VLOOKUP($L244,'Jan-2026 rates'!$L:$R,4,0),IF($LB244=65%,VLOOKUP($L244,'Jan-2026 rates'!$L:$R,4,0),IF($LB244=40%,VLOOKUP($L244,'Jan-2026 rates'!$L:$R,5,0),IF($LB244=30%,VLOOKUP($L244,'Jan-2026 rates'!$L:$R,6,0),IF($LB244=100%,VLOOKUP($L244,'Jan-2026 rates'!$L:$R,7,0),IF($LB244=60%,VLOOKUP($L244,'Jan-2026 rates'!$L:$S,8,0),IF($LB244=80%,VLOOKUP($L244,'Jan-2026 rates'!L:T,9,0),0))))))))</f>
        <v>0</v>
      </c>
      <c r="R244" s="406" t="s">
        <v>1266</v>
      </c>
      <c r="S244" s="406"/>
      <c r="T244" s="406"/>
      <c r="U244" s="406"/>
      <c r="V244" s="406"/>
      <c r="W244" s="406"/>
      <c r="X244" s="406"/>
      <c r="Y244" s="406"/>
      <c r="Z244" s="404">
        <v>5</v>
      </c>
      <c r="AA244" s="398">
        <f>IF(Z244=0,0,IF(LEN(R244)=11,_xlfn.XLOOKUP(R244,'Dispensed Ink Rates'!C:C,'Dispensed Ink Rates'!CS:CS),VLOOKUP(R244,'Jan-2026 rates'!$E:$F,2,0)))</f>
        <v>0</v>
      </c>
      <c r="AB244" s="404"/>
      <c r="AC244" s="398">
        <f>IF(AB244=0,0,IF(LEN(S244)=11,_xlfn.XLOOKUP(S244,'Dispensed Ink Rates'!C:C,'Dispensed Ink Rates'!CS:CS),VLOOKUP(S244,'Jan-2026 rates'!$E:$F,2,0)))</f>
        <v>0</v>
      </c>
      <c r="AD244" s="404"/>
      <c r="AE244" s="398">
        <f>IF(AD244=0,0,IF(LEN(T244)=11,_xlfn.XLOOKUP(T244,'Dispensed Ink Rates'!C:C,'Dispensed Ink Rates'!CS:CS),VLOOKUP(T244,'Jan-2026 rates'!$E:$F,2,0)))</f>
        <v>0</v>
      </c>
      <c r="AF244" s="404"/>
      <c r="AG244" s="398">
        <f>IF(AF244=0,0,IF(LEN(U244)=11,_xlfn.XLOOKUP(U244,'Dispensed Ink Rates'!C:C,'Dispensed Ink Rates'!CS:CS),VLOOKUP(U244,'Jan-2026 rates'!$E:$F,2,0)))</f>
        <v>0</v>
      </c>
      <c r="AH244" s="404"/>
      <c r="AI244" s="398">
        <f>IF(AH244=0,0,IF(LEN(V244)=11,_xlfn.XLOOKUP(V244,'Dispensed Ink Rates'!C:C,'Dispensed Ink Rates'!CS:CS),VLOOKUP(V244,'Jan-2026 rates'!$E:$F,2,0)))</f>
        <v>0</v>
      </c>
      <c r="AJ244" s="404"/>
      <c r="AK244" s="398">
        <f>IF(AJ244=0,0,IF(LEN(W244)=11,_xlfn.XLOOKUP(W244,'Dispensed Ink Rates'!C:C,'Dispensed Ink Rates'!CS:CS),VLOOKUP(W244,'Jan-2026 rates'!$E:$F,2,0)))</f>
        <v>0</v>
      </c>
      <c r="AL244" s="404"/>
      <c r="AM244" s="398">
        <f>IF(AL244=0,0,IF(LEN(X244)=11,_xlfn.XLOOKUP(X244,'Dispensed Ink Rates'!C:C,'Dispensed Ink Rates'!CS:CS),VLOOKUP(X244,'Jan-2026 rates'!$E:$F,2,0)))</f>
        <v>0</v>
      </c>
      <c r="AN244" s="404"/>
      <c r="AO244" s="398">
        <f>IF(AN244=0,0,IF(LEN(Y244)=11,_xlfn.XLOOKUP(Y244,'Dispensed Ink Rates'!C:C,'Dispensed Ink Rates'!CS:CS),VLOOKUP(Y244,'Jan-2026 rates'!$E:$F,2,0)))</f>
        <v>0</v>
      </c>
      <c r="AP244" s="409" t="s">
        <v>1443</v>
      </c>
      <c r="AQ244" s="409">
        <v>27</v>
      </c>
      <c r="AR244" s="410">
        <f t="shared" si="159"/>
        <v>0</v>
      </c>
      <c r="AS244" s="411">
        <f t="shared" si="160"/>
        <v>11.950000000000003</v>
      </c>
      <c r="AT244" s="410">
        <f t="shared" si="161"/>
        <v>0</v>
      </c>
      <c r="AU244" s="405" t="s">
        <v>857</v>
      </c>
      <c r="AV244" s="409" t="s">
        <v>4031</v>
      </c>
      <c r="AW244" s="420" t="str">
        <f t="shared" si="183"/>
        <v>FLINTSL - RED</v>
      </c>
      <c r="AX244" s="409">
        <v>27</v>
      </c>
      <c r="AY244" s="411">
        <f>IF(AX244=0,0,IF($LB244=70%,VLOOKUP($AW244,'Jan-2026 rates'!$L:$R,4,0),IF($LB244=65%,VLOOKUP($AW244,'Jan-2026 rates'!$L:$R,4,0),IF($LB244=40%,VLOOKUP($AW244,'Jan-2026 rates'!$L:$R,5,0),IF($LB244=30%,VLOOKUP($AW244,'Jan-2026 rates'!$L:$R,6,0),IF($LB244=100%,VLOOKUP($AW244,'Jan-2026 rates'!$L:$R,7,0),IF($LB244=60%,VLOOKUP($AW244,'Jan-2026 rates'!$L:$S,8,0),IF($LB244=80%,VLOOKUP($AW244,'Jan-2026 rates'!L:T,9,0),0))))))))</f>
        <v>0</v>
      </c>
      <c r="AZ244" s="412"/>
      <c r="BA244" s="409"/>
      <c r="BB244" s="411">
        <f>IF(BA244=0,0,IF($LB244=70%,VLOOKUP($AW244,'Jan-2026 rates'!$L:$R,4,0),IF($LB244=65%,VLOOKUP($AW244,'Jan-2026 rates'!$L:$R,4,0),IF($LB244=40%,VLOOKUP($AW244,'Jan-2026 rates'!$L:$R,5,0),IF($LB244=30%,VLOOKUP($AW244,'Jan-2026 rates'!$L:$R,6,0),IF($LB244=100%,VLOOKUP($AW244,'Jan-2026 rates'!$L:$R,7,0),IF($LB244=60%,VLOOKUP($AW244,'Jan-2026 rates'!$L:$S,8,0),IF($LB244=80%,VLOOKUP($AW244,'Jan-2026 rates'!L:T,9,0),0))))))))</f>
        <v>0</v>
      </c>
      <c r="BC244" s="413">
        <v>26519000004</v>
      </c>
      <c r="BD244" s="412"/>
      <c r="BE244" s="412"/>
      <c r="BF244" s="413"/>
      <c r="BG244" s="412"/>
      <c r="BH244" s="412"/>
      <c r="BI244" s="412"/>
      <c r="BJ244" s="412"/>
      <c r="BK244" s="409">
        <v>2</v>
      </c>
      <c r="BL244" s="398" t="e">
        <f>IF(BK244=0,0,IF(LEN(BC244)=11,_xlfn.XLOOKUP(BC244,'Dispensed Ink Rates'!C:C,'Dispensed Ink Rates'!CS:CS),VLOOKUP(BC244,'Jan-2026 rates'!$E:$F,2,0)))</f>
        <v>#N/A</v>
      </c>
      <c r="BM244" s="409"/>
      <c r="BN244" s="398">
        <f>IF(BM244=0,0,IF(LEN(BD244)=11,_xlfn.XLOOKUP(BD244,'Dispensed Ink Rates'!C:C,'Dispensed Ink Rates'!CS:CS),VLOOKUP(BD244,'Jan-2026 rates'!$E:$F,2,0)))</f>
        <v>0</v>
      </c>
      <c r="BO244" s="409"/>
      <c r="BP244" s="398">
        <f>IF(BO244=0,0,IF(LEN(BE244)=11,_xlfn.XLOOKUP(BE244,'Dispensed Ink Rates'!C:C,'Dispensed Ink Rates'!CS:CS),VLOOKUP(BE244,'Jan-2026 rates'!$E:$F,2,0)))</f>
        <v>0</v>
      </c>
      <c r="BQ244" s="409"/>
      <c r="BR244" s="398">
        <f>IF(BQ244=0,0,IF(LEN(BF244)=11,_xlfn.XLOOKUP(BF244,'Dispensed Ink Rates'!C:C,'Dispensed Ink Rates'!CS:CS),VLOOKUP(BF244,'Jan-2026 rates'!$E:$F,2,0)))</f>
        <v>0</v>
      </c>
      <c r="BS244" s="409"/>
      <c r="BT244" s="398">
        <f>IF(BS244=0,0,IF(LEN(BG244)=11,_xlfn.XLOOKUP(BG244,'Dispensed Ink Rates'!C:C,'Dispensed Ink Rates'!CS:CS),VLOOKUP(BG244,'Jan-2026 rates'!$E:$F,2,0)))</f>
        <v>0</v>
      </c>
      <c r="BU244" s="409"/>
      <c r="BV244" s="398">
        <f>IF(BU244=0,0,IF(LEN(BH244)=11,_xlfn.XLOOKUP(BH244,'Dispensed Ink Rates'!C:C,'Dispensed Ink Rates'!CS:CS),VLOOKUP(BH244,'Jan-2026 rates'!$E:$F,2,0)))</f>
        <v>0</v>
      </c>
      <c r="BW244" s="409"/>
      <c r="BX244" s="398">
        <f>IF(BW244=0,0,IF(LEN(BI244)=11,_xlfn.XLOOKUP(BI244,'Dispensed Ink Rates'!C:C,'Dispensed Ink Rates'!CS:CS),VLOOKUP(BI244,'Jan-2026 rates'!$E:$F,2,0)))</f>
        <v>0</v>
      </c>
      <c r="BY244" s="409"/>
      <c r="BZ244" s="398">
        <f>IF(BY244=0,0,IF(LEN(BJ244)=11,_xlfn.XLOOKUP(BJ244,'Dispensed Ink Rates'!C:C,'Dispensed Ink Rates'!CS:CS),VLOOKUP(BJ244,'Jan-2026 rates'!$E:$F,2,0)))</f>
        <v>0</v>
      </c>
      <c r="CA244" s="409" t="s">
        <v>1443</v>
      </c>
      <c r="CB244" s="409">
        <v>26</v>
      </c>
      <c r="CC244" s="411">
        <f t="shared" si="162"/>
        <v>0</v>
      </c>
      <c r="CD244" s="411">
        <f t="shared" si="163"/>
        <v>4.59</v>
      </c>
      <c r="CE244" s="410">
        <f t="shared" si="164"/>
        <v>0</v>
      </c>
      <c r="CF244" s="404" t="s">
        <v>546</v>
      </c>
      <c r="CG244" s="409" t="s">
        <v>4032</v>
      </c>
      <c r="CH244" s="420" t="str">
        <f t="shared" si="185"/>
        <v>FLINTSL - REFLEX BLUE</v>
      </c>
      <c r="CI244" s="409">
        <v>30</v>
      </c>
      <c r="CJ244" s="411">
        <f>IF(CI244=0,0,IF($LB244=70%,VLOOKUP($CH244,'Jan-2026 rates'!$L:$R,4,0),IF($LB244=65%,VLOOKUP($CH244,'Jan-2026 rates'!$L:$R,4,0),IF($LB244=40%,VLOOKUP($CH244,'Jan-2026 rates'!$L:$R,5,0),IF($LB244=30%,VLOOKUP($CH244,'Jan-2026 rates'!$L:$R,6,0),IF($LB244=100%,VLOOKUP($CH244,'Jan-2026 rates'!$L:$R,7,0),IF($LB244=60%,VLOOKUP($CH244,'Jan-2026 rates'!$L:$S,8,0),IF($LB244=80%,VLOOKUP($CH244,'Jan-2026 rates'!L:T,9,0),0))))))))</f>
        <v>0</v>
      </c>
      <c r="CK244" s="412" t="s">
        <v>3933</v>
      </c>
      <c r="CL244" s="409">
        <v>10</v>
      </c>
      <c r="CM244" s="411">
        <f>IF(CL244=0,0,IF($LB244=70%,VLOOKUP($CH244,'Jan-2026 rates'!$L:$R,4,0),IF($LB244=65%,VLOOKUP($CH244,'Jan-2026 rates'!$L:$R,4,0),IF($LB244=40%,VLOOKUP($CH244,'Jan-2026 rates'!$L:$R,5,0),IF($LB244=30%,VLOOKUP($CH244,'Jan-2026 rates'!$L:$R,6,0),IF($LB244=100%,VLOOKUP($CH244,'Jan-2026 rates'!$L:$R,7,0),IF($LB244=60%,VLOOKUP($CH244,'Jan-2026 rates'!$L:$S,8,0),IF($LB244=80%,VLOOKUP($CH244,'Jan-2026 rates'!L:T,9,0),0))))))))</f>
        <v>0</v>
      </c>
      <c r="CN244" s="426">
        <v>26517000044</v>
      </c>
      <c r="CO244" s="427">
        <v>26519000006</v>
      </c>
      <c r="CP244" s="426"/>
      <c r="CQ244" s="426"/>
      <c r="CR244" s="428"/>
      <c r="CS244" s="428"/>
      <c r="CT244" s="428"/>
      <c r="CU244" s="428"/>
      <c r="CV244" s="409">
        <v>10</v>
      </c>
      <c r="CW244" s="398" t="e">
        <f>IF(CV244=0,0,IF(LEN(CN244)=11,_xlfn.XLOOKUP(CN244,'Dispensed Ink Rates'!C:C,'Dispensed Ink Rates'!CS:CS),VLOOKUP(CN244,'Jan-2026 rates'!$E:$F,2,0)))</f>
        <v>#N/A</v>
      </c>
      <c r="CX244" s="409">
        <v>20</v>
      </c>
      <c r="CY244" s="398" t="e">
        <f>IF(CX244=0,0,IF(LEN(CO244)=11,_xlfn.XLOOKUP(CO244,'Dispensed Ink Rates'!C:C,'Dispensed Ink Rates'!CS:CS),VLOOKUP(CO244,'Jan-2026 rates'!$E:$F,2,0)))</f>
        <v>#N/A</v>
      </c>
      <c r="CZ244" s="409"/>
      <c r="DA244" s="398">
        <f>IF(CZ244=0,0,IF(LEN(CP244)=11,_xlfn.XLOOKUP(CP244,'Dispensed Ink Rates'!C:C,'Dispensed Ink Rates'!CS:CS),VLOOKUP(CP244,'Jan-2026 rates'!$E:$F,2,0)))</f>
        <v>0</v>
      </c>
      <c r="DB244" s="409"/>
      <c r="DC244" s="398">
        <f>IF(DB244=0,0,IF(LEN(CQ244)=11,_xlfn.XLOOKUP(CQ244,'Dispensed Ink Rates'!C:C,'Dispensed Ink Rates'!CS:CS),VLOOKUP(CQ244,'Jan-2026 rates'!$E:$F,2,0)))</f>
        <v>0</v>
      </c>
      <c r="DD244" s="409"/>
      <c r="DE244" s="398">
        <f>IF(DD244=0,0,IF(LEN(CR244)=11,_xlfn.XLOOKUP(CR244,'Dispensed Ink Rates'!C:C,'Dispensed Ink Rates'!CS:CS),VLOOKUP(CR244,'Jan-2026 rates'!$E:$F,2,0)))</f>
        <v>0</v>
      </c>
      <c r="DF244" s="409"/>
      <c r="DG244" s="398">
        <f>IF(DF244=0,0,IF(LEN(CS244)=11,_xlfn.XLOOKUP(CS244,'Dispensed Ink Rates'!C:C,'Dispensed Ink Rates'!CS:CS),VLOOKUP(CS244,'Jan-2026 rates'!$E:$F,2,0)))</f>
        <v>0</v>
      </c>
      <c r="DH244" s="409"/>
      <c r="DI244" s="398">
        <f>IF(DH244=0,0,IF(LEN(CT244)=11,_xlfn.XLOOKUP(CT244,'Dispensed Ink Rates'!C:C,'Dispensed Ink Rates'!CS:CS),VLOOKUP(CT244,'Jan-2026 rates'!$E:$F,2,0)))</f>
        <v>0</v>
      </c>
      <c r="DJ244" s="409"/>
      <c r="DK244" s="398">
        <f>IF(DJ244=0,0,IF(LEN(CU244)=11,_xlfn.XLOOKUP(CU244,'Dispensed Ink Rates'!C:C,'Dispensed Ink Rates'!CS:CS),VLOOKUP(CU244,'Jan-2026 rates'!$E:$F,2,0)))</f>
        <v>0</v>
      </c>
      <c r="DL244" s="409" t="s">
        <v>1443</v>
      </c>
      <c r="DM244" s="409">
        <v>18</v>
      </c>
      <c r="DN244" s="411">
        <f t="shared" si="165"/>
        <v>0</v>
      </c>
      <c r="DO244" s="411">
        <f t="shared" si="166"/>
        <v>83.8</v>
      </c>
      <c r="DP244" s="410">
        <f t="shared" si="167"/>
        <v>0</v>
      </c>
      <c r="DQ244" s="405" t="s">
        <v>828</v>
      </c>
      <c r="DR244" s="409" t="s">
        <v>4033</v>
      </c>
      <c r="DS244" s="420" t="str">
        <f t="shared" si="186"/>
        <v>FLINTSL - ORANGE</v>
      </c>
      <c r="DT244" s="409">
        <v>26</v>
      </c>
      <c r="DU244" s="411">
        <f>IF(DT244=0,0,IF($LB244=70%,VLOOKUP($DS244,'Jan-2026 rates'!$L:$R,4,0),IF($LB244=65%,VLOOKUP($DS244,'Jan-2026 rates'!$L:$R,4,0),IF($LB244=40%,VLOOKUP($DS244,'Jan-2026 rates'!$L:$R,5,0),IF($LB244=30%,VLOOKUP($DS244,'Jan-2026 rates'!$L:$R,6,0),IF($LB244=100%,VLOOKUP($DS244,'Jan-2026 rates'!$L:$R,7,0),IF($LB244=60%,VLOOKUP($DS244,'Jan-2026 rates'!$L:$S,8,0),IF($LB244=80%,VLOOKUP($DS244,'Jan-2026 rates'!L:T,9,0),0))))))))</f>
        <v>0</v>
      </c>
      <c r="DV244" s="412"/>
      <c r="DW244" s="409"/>
      <c r="DX244" s="411">
        <f>IF(DW244=0,0,IF($LB244=70%,VLOOKUP($DS244,'Jan-2026 rates'!$L:$R,4,0),IF($LB244=65%,VLOOKUP($DS244,'Jan-2026 rates'!$L:$R,4,0),IF($LB244=40%,VLOOKUP($DS244,'Jan-2026 rates'!$L:$R,5,0),IF($LB244=30%,VLOOKUP($DS244,'Jan-2026 rates'!$L:$R,6,0),IF($LB244=100%,VLOOKUP($DS244,'Jan-2026 rates'!$L:$R,7,0),IF($LB244=60%,VLOOKUP($DS244,'Jan-2026 rates'!$L:$S,8,0),IF($LB244=80%,VLOOKUP($DS244,'Jan-2026 rates'!L:T,9,0),0))))))))</f>
        <v>0</v>
      </c>
      <c r="DY244" s="413">
        <v>26517000013</v>
      </c>
      <c r="DZ244" s="413"/>
      <c r="EA244" s="412"/>
      <c r="EB244" s="412"/>
      <c r="EC244" s="412"/>
      <c r="ED244" s="412"/>
      <c r="EE244" s="412"/>
      <c r="EF244" s="412"/>
      <c r="EG244" s="409">
        <f>2+1</f>
        <v>3</v>
      </c>
      <c r="EH244" s="398" t="e">
        <f>IF(EG244=0,0,IF(LEN(DY244)=11,_xlfn.XLOOKUP(DY244,'Dispensed Ink Rates'!C:C,'Dispensed Ink Rates'!CS:CS),VLOOKUP(DY244,'Jan-2026 rates'!$E:$F,2,0)))</f>
        <v>#N/A</v>
      </c>
      <c r="EI244" s="409"/>
      <c r="EJ244" s="398">
        <f>IF(EI244=0,0,IF(LEN(DZ244)=11,_xlfn.XLOOKUP(DZ244,'Dispensed Ink Rates'!C:C,'Dispensed Ink Rates'!CS:CS),VLOOKUP(DZ244,'Jan-2026 rates'!$E:$F,2,0)))</f>
        <v>0</v>
      </c>
      <c r="EK244" s="409"/>
      <c r="EL244" s="398">
        <f>IF(EK244=0,0,IF(LEN(EA244)=11,_xlfn.XLOOKUP(EA244,'Dispensed Ink Rates'!C:C,'Dispensed Ink Rates'!CS:CS),VLOOKUP(EA244,'Jan-2026 rates'!$E:$F,2,0)))</f>
        <v>0</v>
      </c>
      <c r="EM244" s="409"/>
      <c r="EN244" s="398">
        <f>IF(EM244=0,0,IF(LEN(EB244)=11,_xlfn.XLOOKUP(EB244,'Dispensed Ink Rates'!C:C,'Dispensed Ink Rates'!CS:CS),VLOOKUP(EB244,'Jan-2026 rates'!$E:$F,2,0)))</f>
        <v>0</v>
      </c>
      <c r="EO244" s="409"/>
      <c r="EP244" s="398">
        <f>IF(EO244=0,0,IF(LEN(EC244)=11,_xlfn.XLOOKUP(EC244,'Dispensed Ink Rates'!C:C,'Dispensed Ink Rates'!CS:CS),VLOOKUP(EC244,'Jan-2026 rates'!$E:$F,2,0)))</f>
        <v>0</v>
      </c>
      <c r="EQ244" s="409"/>
      <c r="ER244" s="398">
        <f>IF(EQ244=0,0,IF(LEN(ED244)=11,_xlfn.XLOOKUP(ED244,'Dispensed Ink Rates'!C:C,'Dispensed Ink Rates'!CS:CS),VLOOKUP(ED244,'Jan-2026 rates'!$E:$F,2,0)))</f>
        <v>0</v>
      </c>
      <c r="ES244" s="409"/>
      <c r="ET244" s="398">
        <f>IF(ES244=0,0,IF(LEN(EE244)=11,_xlfn.XLOOKUP(EE244,'Dispensed Ink Rates'!C:C,'Dispensed Ink Rates'!CS:CS),VLOOKUP(EE244,'Jan-2026 rates'!$E:$F,2,0)))</f>
        <v>0</v>
      </c>
      <c r="EU244" s="409"/>
      <c r="EV244" s="398">
        <f>IF(EU244=0,0,IF(LEN(EF244)=11,_xlfn.XLOOKUP(EF244,'Dispensed Ink Rates'!C:C,'Dispensed Ink Rates'!CS:CS),VLOOKUP(EF244,'Jan-2026 rates'!$E:$F,2,0)))</f>
        <v>0</v>
      </c>
      <c r="EW244" s="409" t="s">
        <v>1443</v>
      </c>
      <c r="EX244" s="409">
        <v>24</v>
      </c>
      <c r="EY244" s="411">
        <f t="shared" si="168"/>
        <v>0</v>
      </c>
      <c r="EZ244" s="411">
        <f t="shared" si="169"/>
        <v>16.130000000000003</v>
      </c>
      <c r="FA244" s="410">
        <f t="shared" si="170"/>
        <v>0</v>
      </c>
      <c r="FB244" s="405" t="s">
        <v>855</v>
      </c>
      <c r="FC244" s="409" t="s">
        <v>4034</v>
      </c>
      <c r="FD244" s="420" t="str">
        <f t="shared" si="187"/>
        <v>FLINTSL - CYAN</v>
      </c>
      <c r="FE244" s="409">
        <v>28</v>
      </c>
      <c r="FF244" s="411">
        <f>IF(FE244=0,0,IF($LB244=70%,VLOOKUP($FD244,'Jan-2026 rates'!$L:$R,4,0),IF($LB244=65%,VLOOKUP($FD244,'Jan-2026 rates'!$L:$R,4,0),IF($LB244=40%,VLOOKUP($FD244,'Jan-2026 rates'!$L:$R,5,0),IF($LB244=30%,VLOOKUP($FD244,'Jan-2026 rates'!$L:$R,6,0),IF($LB244=100%,VLOOKUP($FD244,'Jan-2026 rates'!$L:$R,7,0),IF($LB244=60%,VLOOKUP($FD244,'Jan-2026 rates'!$L:$S,8,0),IF($LB244=80%,VLOOKUP($FD244,'Jan-2026 rates'!L:T,9,0),0))))))))</f>
        <v>0</v>
      </c>
      <c r="FG244" s="412"/>
      <c r="FH244" s="409"/>
      <c r="FI244" s="411">
        <f>IF(FH244=0,0,IF($LB244=70%,VLOOKUP($FD244,'Jan-2026 rates'!$L:$R,4,0),IF($LB244=65%,VLOOKUP($FD244,'Jan-2026 rates'!$L:$R,4,0),IF($LB244=40%,VLOOKUP($FD244,'Jan-2026 rates'!$L:$R,5,0),IF($LB244=30%,VLOOKUP($FD244,'Jan-2026 rates'!$L:$R,6,0),IF($LB244=100%,VLOOKUP($FD244,'Jan-2026 rates'!$L:$R,7,0),IF($LB244=60%,VLOOKUP($FD244,'Jan-2026 rates'!$L:$S,8,0),IF($LB244=80%,VLOOKUP($FD244,'Jan-2026 rates'!L:T,9,0),0))))))))</f>
        <v>0</v>
      </c>
      <c r="FJ244" s="413">
        <v>26519000006</v>
      </c>
      <c r="FK244" s="413"/>
      <c r="FL244" s="413"/>
      <c r="FM244" s="412"/>
      <c r="FN244" s="412"/>
      <c r="FO244" s="412"/>
      <c r="FP244" s="412"/>
      <c r="FQ244" s="412"/>
      <c r="FR244" s="409">
        <f>3+2</f>
        <v>5</v>
      </c>
      <c r="FS244" s="398" t="e">
        <f>IF(FR244=0,0,IF(LEN(FJ244)=11,_xlfn.XLOOKUP(FJ244,'Dispensed Ink Rates'!C:C,'Dispensed Ink Rates'!CS:CS),VLOOKUP(FJ244,'Jan-2026 rates'!$E:$F,2,0)))</f>
        <v>#N/A</v>
      </c>
      <c r="FT244" s="409"/>
      <c r="FU244" s="398">
        <f>IF(FT244=0,0,IF(LEN(FK244)=11,_xlfn.XLOOKUP(FK244,'Dispensed Ink Rates'!C:C,'Dispensed Ink Rates'!CS:CS),VLOOKUP(FK244,'Jan-2026 rates'!$E:$F,2,0)))</f>
        <v>0</v>
      </c>
      <c r="FV244" s="409"/>
      <c r="FW244" s="398">
        <f>IF(FV244=0,0,IF(LEN(FL244)=11,_xlfn.XLOOKUP(FL244,'Dispensed Ink Rates'!C:C,'Dispensed Ink Rates'!CS:CS),VLOOKUP(FL244,'Jan-2026 rates'!$E:$F,2,0)))</f>
        <v>0</v>
      </c>
      <c r="FX244" s="409"/>
      <c r="FY244" s="398">
        <f>IF(FX244=0,0,IF(LEN(FM244)=11,_xlfn.XLOOKUP(FM244,'Dispensed Ink Rates'!C:C,'Dispensed Ink Rates'!CS:CS),VLOOKUP(FM244,'Jan-2026 rates'!$E:$F,2,0)))</f>
        <v>0</v>
      </c>
      <c r="FZ244" s="409"/>
      <c r="GA244" s="398">
        <f>IF(FZ244=0,0,IF(LEN(FN244)=11,_xlfn.XLOOKUP(FN244,'Dispensed Ink Rates'!C:C,'Dispensed Ink Rates'!CS:CS),VLOOKUP(FN244,'Jan-2026 rates'!$E:$F,2,0)))</f>
        <v>0</v>
      </c>
      <c r="GB244" s="409"/>
      <c r="GC244" s="398">
        <f>IF(GB244=0,0,IF(LEN(FO244)=11,_xlfn.XLOOKUP(FO244,'Dispensed Ink Rates'!C:C,'Dispensed Ink Rates'!CS:CS),VLOOKUP(FO244,'Jan-2026 rates'!$E:$F,2,0)))</f>
        <v>0</v>
      </c>
      <c r="GD244" s="409"/>
      <c r="GE244" s="398">
        <f>IF(GD244=0,0,IF(LEN(FP244)=11,_xlfn.XLOOKUP(FP244,'Dispensed Ink Rates'!C:C,'Dispensed Ink Rates'!CS:CS),VLOOKUP(FP244,'Jan-2026 rates'!$E:$F,2,0)))</f>
        <v>0</v>
      </c>
      <c r="GF244" s="409"/>
      <c r="GG244" s="398">
        <f>IF(GF244=0,0,IF(LEN(FQ244)=11,_xlfn.XLOOKUP(FQ244,'Dispensed Ink Rates'!C:C,'Dispensed Ink Rates'!CS:CS),VLOOKUP(FQ244,'Jan-2026 rates'!$E:$F,2,0)))</f>
        <v>0</v>
      </c>
      <c r="GH244" s="409" t="s">
        <v>1443</v>
      </c>
      <c r="GI244" s="409">
        <v>27</v>
      </c>
      <c r="GJ244" s="411">
        <f t="shared" si="171"/>
        <v>0</v>
      </c>
      <c r="GK244" s="411">
        <f t="shared" si="172"/>
        <v>9.18</v>
      </c>
      <c r="GL244" s="410">
        <f t="shared" si="173"/>
        <v>0</v>
      </c>
      <c r="GM244" s="405" t="s">
        <v>544</v>
      </c>
      <c r="GN244" s="409" t="s">
        <v>4035</v>
      </c>
      <c r="GO244" s="420" t="str">
        <f t="shared" si="188"/>
        <v>FLINTSL - MAGENTA</v>
      </c>
      <c r="GP244" s="409">
        <v>29</v>
      </c>
      <c r="GQ244" s="411">
        <f>IF(GP244=0,0,IF($LB244=70%,VLOOKUP($GO244,'Jan-2026 rates'!$L:$R,4,0),IF($LB244=65%,VLOOKUP($GO244,'Jan-2026 rates'!$L:$R,4,0),IF($LB244=40%,VLOOKUP($GO244,'Jan-2026 rates'!$L:$R,5,0),IF($LB244=30%,VLOOKUP($GO244,'Jan-2026 rates'!$L:$R,6,0),IF($LB244=100%,VLOOKUP($GO244,'Jan-2026 rates'!$L:$R,7,0),IF($LB244=60%,VLOOKUP($GO244,'Jan-2026 rates'!$L:$S,8,0),IF($LB244=80%,VLOOKUP($GO244,'Jan-2026 rates'!L:T,9,0),0))))))))</f>
        <v>0</v>
      </c>
      <c r="GR244" s="412"/>
      <c r="GS244" s="409"/>
      <c r="GT244" s="411">
        <f>IF(GS244=0,0,IF($LB244=70%,VLOOKUP($GO244,'Jan-2026 rates'!$L:$R,4,0),IF($LB244=65%,VLOOKUP($GO244,'Jan-2026 rates'!$L:$R,4,0),IF($LB244=40%,VLOOKUP($GO244,'Jan-2026 rates'!$L:$R,5,0),IF($LB244=30%,VLOOKUP($GO244,'Jan-2026 rates'!$L:$R,6,0),IF($LB244=100%,VLOOKUP($GO244,'Jan-2026 rates'!$L:$R,7,0),IF($LB244=60%,VLOOKUP($GO244,'Jan-2026 rates'!$L:$S,8,0),IF($LB244=80%,VLOOKUP($GO244,'Jan-2026 rates'!L:T,9,0),0))))))))</f>
        <v>0</v>
      </c>
      <c r="GU244" s="413">
        <v>26519000004</v>
      </c>
      <c r="GV244" s="413"/>
      <c r="GW244" s="412"/>
      <c r="GX244" s="412"/>
      <c r="GY244" s="412"/>
      <c r="GZ244" s="412"/>
      <c r="HA244" s="412"/>
      <c r="HB244" s="412"/>
      <c r="HC244" s="409">
        <v>3</v>
      </c>
      <c r="HD244" s="398" t="e">
        <f>IF(HC244=0,0,IF(LEN(GU244)=11,_xlfn.XLOOKUP(GU244,'Dispensed Ink Rates'!C:C,'Dispensed Ink Rates'!CS:CS),VLOOKUP(GU244,'Jan-2026 rates'!$E:$F,2,0)))</f>
        <v>#N/A</v>
      </c>
      <c r="HE244" s="409"/>
      <c r="HF244" s="398">
        <f>IF(HE244=0,0,IF(LEN(GV244)=11,_xlfn.XLOOKUP(GV244,'Dispensed Ink Rates'!C:C,'Dispensed Ink Rates'!CS:CS),VLOOKUP(GV244,'Jan-2026 rates'!$E:$F,2,0)))</f>
        <v>0</v>
      </c>
      <c r="HG244" s="409"/>
      <c r="HH244" s="398">
        <f>IF(HG244=0,0,IF(LEN(GW244)=11,_xlfn.XLOOKUP(GW244,'Dispensed Ink Rates'!C:C,'Dispensed Ink Rates'!CS:CS),VLOOKUP(GW244,'Jan-2026 rates'!$E:$F,2,0)))</f>
        <v>0</v>
      </c>
      <c r="HI244" s="409"/>
      <c r="HJ244" s="398">
        <f>IF(HI244=0,0,IF(LEN(GX244)=11,_xlfn.XLOOKUP(GX244,'Dispensed Ink Rates'!C:C,'Dispensed Ink Rates'!CS:CS),VLOOKUP(GX244,'Jan-2026 rates'!$E:$F,2,0)))</f>
        <v>0</v>
      </c>
      <c r="HK244" s="409"/>
      <c r="HL244" s="398">
        <f>IF(HK244=0,0,IF(LEN(GY244)=11,_xlfn.XLOOKUP(GY244,'Dispensed Ink Rates'!C:C,'Dispensed Ink Rates'!CS:CS),VLOOKUP(GY244,'Jan-2026 rates'!$E:$F,2,0)))</f>
        <v>0</v>
      </c>
      <c r="HM244" s="409"/>
      <c r="HN244" s="398">
        <f>IF(HM244=0,0,IF(LEN(GZ244)=11,_xlfn.XLOOKUP(GZ244,'Dispensed Ink Rates'!C:C,'Dispensed Ink Rates'!CS:CS),VLOOKUP(GZ244,'Jan-2026 rates'!$E:$F,2,0)))</f>
        <v>0</v>
      </c>
      <c r="HO244" s="409"/>
      <c r="HP244" s="398">
        <f>IF(HO244=0,0,IF(LEN(HA244)=11,_xlfn.XLOOKUP(HA244,'Dispensed Ink Rates'!C:C,'Dispensed Ink Rates'!CS:CS),VLOOKUP(HA244,'Jan-2026 rates'!$E:$F,2,0)))</f>
        <v>0</v>
      </c>
      <c r="HQ244" s="409"/>
      <c r="HR244" s="398">
        <f>IF(HQ244=0,0,IF(LEN(HB244)=11,_xlfn.XLOOKUP(HB244,'Dispensed Ink Rates'!C:C,'Dispensed Ink Rates'!CS:CS),VLOOKUP(HB244,'Jan-2026 rates'!$E:$F,2,0)))</f>
        <v>0</v>
      </c>
      <c r="HS244" s="409" t="s">
        <v>1443</v>
      </c>
      <c r="HT244" s="409">
        <v>27</v>
      </c>
      <c r="HU244" s="411">
        <f t="shared" si="174"/>
        <v>0</v>
      </c>
      <c r="HV244" s="411">
        <f t="shared" si="175"/>
        <v>8.18</v>
      </c>
      <c r="HW244" s="414">
        <f t="shared" si="176"/>
        <v>0</v>
      </c>
      <c r="HX244" s="405" t="s">
        <v>545</v>
      </c>
      <c r="HY244" s="409" t="s">
        <v>4036</v>
      </c>
      <c r="HZ244" s="420" t="str">
        <f t="shared" si="189"/>
        <v>FLINTSL - YELLOW</v>
      </c>
      <c r="IA244" s="409">
        <v>30</v>
      </c>
      <c r="IB244" s="411">
        <f>IF(IA244=0,0,IF($LB244=70%,VLOOKUP($HZ244,'Jan-2026 rates'!$L:$R,4,0),IF($LB244=65%,VLOOKUP($HZ244,'Jan-2026 rates'!$L:$R,4,0),IF($LB244=40%,VLOOKUP($HZ244,'Jan-2026 rates'!$L:$R,5,0),IF($LB244=30%,VLOOKUP($HZ244,'Jan-2026 rates'!$L:$R,6,0),IF($LB244=100%,VLOOKUP($HZ244,'Jan-2026 rates'!$L:$R,7,0),IF($LB244=60%,VLOOKUP($HZ244,'Jan-2026 rates'!$L:$S,8,0),IF($LB244=80%,VLOOKUP($HZ244,'Jan-2026 rates'!L:T,9,0),0))))))))</f>
        <v>0</v>
      </c>
      <c r="IC244" s="412"/>
      <c r="ID244" s="409"/>
      <c r="IE244" s="411">
        <f>IF(ID244=0,0,IF($LB244=70%,VLOOKUP($HZ244,'Jan-2026 rates'!$L:$R,4,0),IF($LB244=65%,VLOOKUP($HZ244,'Jan-2026 rates'!$L:$R,4,0),IF($LB244=40%,VLOOKUP($HZ244,'Jan-2026 rates'!$L:$R,5,0),IF($LB244=30%,VLOOKUP($HZ244,'Jan-2026 rates'!$L:$R,6,0),IF($LB244=100%,VLOOKUP($HZ244,'Jan-2026 rates'!$L:$R,7,0),IF($LB244=60%,VLOOKUP($HZ244,'Jan-2026 rates'!$L:$S,8,0),IF($LB244=80%,VLOOKUP($HZ244,'Jan-2026 rates'!L:T,9,0),0))))))))</f>
        <v>0</v>
      </c>
      <c r="IF244" s="412" t="s">
        <v>1266</v>
      </c>
      <c r="IG244" s="413"/>
      <c r="IH244" s="412"/>
      <c r="II244" s="412"/>
      <c r="IJ244" s="412"/>
      <c r="IK244" s="412"/>
      <c r="IL244" s="412"/>
      <c r="IM244" s="412"/>
      <c r="IN244" s="409">
        <v>2</v>
      </c>
      <c r="IO244" s="398">
        <f>IF(IN244=0,0,IF(LEN(IF244)=11,_xlfn.XLOOKUP(IF244,'Dispensed Ink Rates'!C:C,'Dispensed Ink Rates'!CS:CS),VLOOKUP(IF244,'Jan-2026 rates'!$E:$F,2,0)))</f>
        <v>0</v>
      </c>
      <c r="IP244" s="409"/>
      <c r="IQ244" s="398">
        <f>IF(IP244=0,0,IF(LEN(IG244)=11,_xlfn.XLOOKUP(IG244,'Dispensed Ink Rates'!C:C,'Dispensed Ink Rates'!CS:CS),VLOOKUP(IG244,'Jan-2026 rates'!$E:$F,2,0)))</f>
        <v>0</v>
      </c>
      <c r="IR244" s="409"/>
      <c r="IS244" s="398">
        <f>IF(IR244=0,0,IF(LEN(IH244)=11,_xlfn.XLOOKUP(IH244,'Dispensed Ink Rates'!C:C,'Dispensed Ink Rates'!CS:CS),VLOOKUP(IH244,'Jan-2026 rates'!$E:$F,2,0)))</f>
        <v>0</v>
      </c>
      <c r="IT244" s="409"/>
      <c r="IU244" s="398">
        <f>IF(IT244=0,0,IF(LEN(II244)=11,_xlfn.XLOOKUP(II244,'Dispensed Ink Rates'!C:C,'Dispensed Ink Rates'!CS:CS),VLOOKUP(II244,'Jan-2026 rates'!$E:$F,2,0)))</f>
        <v>0</v>
      </c>
      <c r="IV244" s="409"/>
      <c r="IW244" s="398">
        <f>IF(IV244=0,0,IF(LEN(IJ244)=11,_xlfn.XLOOKUP(IJ244,'Dispensed Ink Rates'!C:C,'Dispensed Ink Rates'!CS:CS),VLOOKUP(IJ244,'Jan-2026 rates'!$E:$F,2,0)))</f>
        <v>0</v>
      </c>
      <c r="IX244" s="409"/>
      <c r="IY244" s="398">
        <f>IF(IX244=0,0,IF(LEN(IK244)=11,_xlfn.XLOOKUP(IK244,'Dispensed Ink Rates'!C:C,'Dispensed Ink Rates'!CS:CS),VLOOKUP(IK244,'Jan-2026 rates'!$E:$F,2,0)))</f>
        <v>0</v>
      </c>
      <c r="IZ244" s="409"/>
      <c r="JA244" s="398">
        <f>IF(IZ244=0,0,IF(LEN(IL244)=11,_xlfn.XLOOKUP(IL244,'Dispensed Ink Rates'!C:C,'Dispensed Ink Rates'!CS:CS),VLOOKUP(IL244,'Jan-2026 rates'!$E:$F,2,0)))</f>
        <v>0</v>
      </c>
      <c r="JB244" s="409"/>
      <c r="JC244" s="398">
        <f>IF(JB244=0,0,IF(LEN(IM244)=11,_xlfn.XLOOKUP(IM244,'Dispensed Ink Rates'!C:C,'Dispensed Ink Rates'!CS:CS),VLOOKUP(IM244,'Jan-2026 rates'!$E:$F,2,0)))</f>
        <v>0</v>
      </c>
      <c r="JD244" s="409" t="s">
        <v>1443</v>
      </c>
      <c r="JE244" s="409">
        <v>24</v>
      </c>
      <c r="JF244" s="411">
        <f t="shared" si="177"/>
        <v>0</v>
      </c>
      <c r="JG244" s="411">
        <f t="shared" si="178"/>
        <v>12.769999999999996</v>
      </c>
      <c r="JH244" s="410">
        <f t="shared" si="179"/>
        <v>0</v>
      </c>
      <c r="JI244" s="405" t="s">
        <v>856</v>
      </c>
      <c r="JJ244" s="409" t="s">
        <v>4037</v>
      </c>
      <c r="JK244" s="420" t="str">
        <f t="shared" si="190"/>
        <v>FLINTSL - WHITE</v>
      </c>
      <c r="JL244" s="409">
        <v>25</v>
      </c>
      <c r="JM244" s="411">
        <f>IF(JL244=0,0,IF($LB244=70%,VLOOKUP($JK244,'Jan-2026 rates'!$L:$R,4,0),IF($LB244=65%,VLOOKUP($JK244,'Jan-2026 rates'!$L:$R,4,0),IF($LB244=40%,VLOOKUP($JK244,'Jan-2026 rates'!$L:$R,5,0),IF($LB244=30%,VLOOKUP($JK244,'Jan-2026 rates'!$L:$R,6,0),IF($LB244=100%,VLOOKUP($JK244,'Jan-2026 rates'!$L:$R,7,0),IF($LB244=60%,VLOOKUP($JK244,'Jan-2026 rates'!$L:$S,8,0),IF($LB244=80%,VLOOKUP($JK244,'Jan-2026 rates'!L:T,9,0),0))))))))</f>
        <v>0</v>
      </c>
      <c r="JN244" s="412"/>
      <c r="JO244" s="409"/>
      <c r="JP244" s="411">
        <f>IF(JO244=0,0,IF($LB244=70%,VLOOKUP($JK244,'Jan-2026 rates'!$L:$R,4,0),IF($LB244=65%,VLOOKUP($JK244,'Jan-2026 rates'!$L:$R,4,0),IF($LB244=40%,VLOOKUP($JK244,'Jan-2026 rates'!$L:$R,5,0),IF($LB244=30%,VLOOKUP($JK244,'Jan-2026 rates'!$L:$R,6,0),IF($LB244=100%,VLOOKUP($JK244,'Jan-2026 rates'!$L:$R,7,0),IF($LB244=60%,VLOOKUP($JK244,'Jan-2026 rates'!$L:$S,8,0),IF($LB244=80%,VLOOKUP($JK244,'Jan-2026 rates'!L:T,9,0),0))))))))</f>
        <v>0</v>
      </c>
      <c r="JQ244" s="413" t="s">
        <v>484</v>
      </c>
      <c r="JR244" s="412"/>
      <c r="JS244" s="413"/>
      <c r="JT244" s="413"/>
      <c r="JU244" s="412"/>
      <c r="JV244" s="412"/>
      <c r="JW244" s="412"/>
      <c r="JX244" s="412"/>
      <c r="JY244" s="409">
        <f>70+40</f>
        <v>110</v>
      </c>
      <c r="JZ244" s="398">
        <f>IF(JY244=0,0,IF(LEN(JQ244)=11,_xlfn.XLOOKUP(JQ244,'Dispensed Ink Rates'!C:C,'Dispensed Ink Rates'!CS:CS),VLOOKUP(JQ244,'Jan-2026 rates'!$E:$F,2,0)))</f>
        <v>0</v>
      </c>
      <c r="KA244" s="409"/>
      <c r="KB244" s="398">
        <f>IF(KA244=0,0,IF(LEN(JR244)=11,_xlfn.XLOOKUP(JR244,'Dispensed Ink Rates'!C:C,'Dispensed Ink Rates'!CS:CS),VLOOKUP(JR244,'Jan-2026 rates'!$E:$F,2,0)))</f>
        <v>0</v>
      </c>
      <c r="KC244" s="409"/>
      <c r="KD244" s="398">
        <f>IF(KC244=0,0,IF(LEN(JS244)=11,_xlfn.XLOOKUP(JS244,'Dispensed Ink Rates'!C:C,'Dispensed Ink Rates'!CS:CS),VLOOKUP(JS244,'Jan-2026 rates'!$E:$F,2,0)))</f>
        <v>0</v>
      </c>
      <c r="KE244" s="409"/>
      <c r="KF244" s="398">
        <f>IF(KE244=0,0,IF(LEN(JT244)=11,_xlfn.XLOOKUP(JT244,'Dispensed Ink Rates'!C:C,'Dispensed Ink Rates'!CS:CS),VLOOKUP(JT244,'Jan-2026 rates'!$E:$F,2,0)))</f>
        <v>0</v>
      </c>
      <c r="KG244" s="409"/>
      <c r="KH244" s="398">
        <f>IF(KG244=0,0,IF(LEN(JU244)=11,_xlfn.XLOOKUP(JU244,'Dispensed Ink Rates'!C:C,'Dispensed Ink Rates'!CS:CS),VLOOKUP(JU244,'Jan-2026 rates'!$E:$F,2,0)))</f>
        <v>0</v>
      </c>
      <c r="KI244" s="409"/>
      <c r="KJ244" s="398">
        <f>IF(KI244=0,0,IF(LEN(JV244)=11,_xlfn.XLOOKUP(JV244,'Dispensed Ink Rates'!C:C,'Dispensed Ink Rates'!CS:CS),VLOOKUP(JV244,'Jan-2026 rates'!$E:$F,2,0)))</f>
        <v>0</v>
      </c>
      <c r="KK244" s="409"/>
      <c r="KL244" s="398">
        <f>IF(KK244=0,0,IF(LEN(JW244)=11,_xlfn.XLOOKUP(JW244,'Dispensed Ink Rates'!C:C,'Dispensed Ink Rates'!CS:CS),VLOOKUP(JW244,'Jan-2026 rates'!$E:$F,2,0)))</f>
        <v>0</v>
      </c>
      <c r="KM244" s="428"/>
      <c r="KN244" s="398">
        <f>IF(KM244=0,0,IF(LEN(JX244)=11,_xlfn.XLOOKUP(JX244,'Dispensed Ink Rates'!C:C,'Dispensed Ink Rates'!CS:CS),VLOOKUP(JX244,'Jan-2026 rates'!$E:$F,2,0)))</f>
        <v>0</v>
      </c>
      <c r="KO244" s="409" t="s">
        <v>1443</v>
      </c>
      <c r="KP244" s="409">
        <v>30</v>
      </c>
      <c r="KQ244" s="411">
        <f t="shared" si="180"/>
        <v>0</v>
      </c>
      <c r="KR244" s="411">
        <f t="shared" si="181"/>
        <v>200.39999999999998</v>
      </c>
      <c r="KS244" s="410">
        <f t="shared" si="182"/>
        <v>0</v>
      </c>
      <c r="KT244" s="409">
        <v>5</v>
      </c>
      <c r="KU244" s="409">
        <v>1</v>
      </c>
      <c r="KV244" s="409">
        <v>20</v>
      </c>
      <c r="KW244" s="409">
        <v>7</v>
      </c>
      <c r="KX244" s="409">
        <v>2</v>
      </c>
      <c r="KY244" s="409">
        <v>2</v>
      </c>
      <c r="KZ244" s="409">
        <v>3</v>
      </c>
      <c r="LA244" s="409">
        <f>30+30</f>
        <v>60</v>
      </c>
      <c r="LB244" s="415">
        <v>0.8</v>
      </c>
      <c r="LC244" s="415">
        <v>0.2</v>
      </c>
      <c r="LD244" s="415"/>
      <c r="LE244" s="415"/>
      <c r="LF244" s="415"/>
      <c r="LG244" s="409">
        <v>0</v>
      </c>
      <c r="LH244" s="409">
        <f>60+29+56+14</f>
        <v>159</v>
      </c>
      <c r="LI244" s="409">
        <v>0</v>
      </c>
      <c r="LJ244" s="409">
        <v>0</v>
      </c>
      <c r="LK244" s="416">
        <f t="shared" si="191"/>
        <v>159</v>
      </c>
      <c r="LL244" s="416">
        <f t="shared" si="192"/>
        <v>159</v>
      </c>
      <c r="LM244" s="417">
        <f t="shared" si="193"/>
        <v>127.2</v>
      </c>
      <c r="LN244" s="417">
        <f>VLOOKUP($LM$8,'Jan-2026 rates'!$H:$I,2,0)</f>
        <v>0</v>
      </c>
      <c r="LO244" s="417">
        <f t="shared" si="194"/>
        <v>31.8</v>
      </c>
      <c r="LP244" s="417">
        <f>VLOOKUP($LO$8,'Jan-2026 rates'!$H:$I,2,0)</f>
        <v>0</v>
      </c>
      <c r="LQ244" s="417">
        <f t="shared" si="195"/>
        <v>0</v>
      </c>
      <c r="LR244" s="417">
        <f>VLOOKUP($LQ$8,'Jan-2026 rates'!$H:$I,2,0)</f>
        <v>0</v>
      </c>
      <c r="LS244" s="417">
        <f t="shared" si="196"/>
        <v>0</v>
      </c>
      <c r="LT244" s="417">
        <f>VLOOKUP($LS$8,'Jan-2026 rates'!$H:$I,2,0)</f>
        <v>0</v>
      </c>
      <c r="LU244" s="417">
        <f t="shared" si="197"/>
        <v>0</v>
      </c>
      <c r="LV244" s="417">
        <f>VLOOKUP($LU$8,'Jan-2026 rates'!$H:$I,2,0)</f>
        <v>0</v>
      </c>
      <c r="LW244" s="417">
        <f t="shared" si="198"/>
        <v>0</v>
      </c>
      <c r="LX244" s="417">
        <f t="shared" si="199"/>
        <v>0</v>
      </c>
      <c r="LY244" s="418">
        <f t="shared" si="200"/>
        <v>0</v>
      </c>
      <c r="LZ244" s="417"/>
      <c r="MA244" s="435">
        <f t="shared" si="201"/>
        <v>160</v>
      </c>
      <c r="MB244" s="282">
        <f t="shared" si="202"/>
        <v>347</v>
      </c>
      <c r="MC244" s="283">
        <v>137</v>
      </c>
      <c r="MD244" s="284" t="str">
        <f t="shared" si="203"/>
        <v>FLINTSLFLINTSLFLINTSLFLINTSLFLINTSLFLINTSLFLINTSLFLINTSL</v>
      </c>
      <c r="ME244" s="293" t="str">
        <f t="shared" si="204"/>
        <v>+</v>
      </c>
      <c r="MF244" s="293" t="str">
        <f t="shared" si="205"/>
        <v>+</v>
      </c>
      <c r="MG244" s="293" t="str">
        <f t="shared" si="206"/>
        <v>+</v>
      </c>
      <c r="MH244" s="293" t="str">
        <f t="shared" si="207"/>
        <v>+</v>
      </c>
      <c r="MI244" s="293" t="str">
        <f t="shared" si="208"/>
        <v>+</v>
      </c>
      <c r="MJ244" s="293" t="str">
        <f t="shared" si="209"/>
        <v>+</v>
      </c>
      <c r="MK244" s="293" t="str">
        <f t="shared" si="210"/>
        <v>+</v>
      </c>
      <c r="ML244" s="293" t="str">
        <f t="shared" si="211"/>
        <v>+</v>
      </c>
      <c r="MM244" s="3" t="b">
        <f t="array" ref="MM244">OR(ME244:ML244="-")</f>
        <v>0</v>
      </c>
      <c r="MN244" s="285"/>
      <c r="MO244" s="401"/>
      <c r="MP244" s="286"/>
      <c r="MQ244" s="286"/>
      <c r="MR244" s="402"/>
      <c r="MS244" s="400"/>
      <c r="NH244" s="422"/>
      <c r="NJ244" s="421"/>
    </row>
    <row r="245" spans="1:374" s="1" customFormat="1" ht="16.5">
      <c r="A245" s="403">
        <v>46041</v>
      </c>
      <c r="B245" s="404" t="s">
        <v>1015</v>
      </c>
      <c r="C245" s="405" t="s">
        <v>4038</v>
      </c>
      <c r="D245" s="406">
        <v>138</v>
      </c>
      <c r="E245" s="404">
        <v>379</v>
      </c>
      <c r="F245" s="407">
        <v>19200</v>
      </c>
      <c r="G245" s="407" t="s">
        <v>1016</v>
      </c>
      <c r="H245" s="408" t="s">
        <v>1017</v>
      </c>
      <c r="I245" s="409">
        <v>0.92</v>
      </c>
      <c r="J245" s="405" t="s">
        <v>543</v>
      </c>
      <c r="K245" s="404" t="s">
        <v>4039</v>
      </c>
      <c r="L245" s="419" t="str">
        <f t="shared" si="184"/>
        <v>FLINTSL - BLACK</v>
      </c>
      <c r="M245" s="404">
        <v>30</v>
      </c>
      <c r="N245" s="410">
        <f>IF(M245=0,0,IF($LB245=70%,VLOOKUP($L245,'Jan-2026 rates'!$L:$R,4,0),IF($LB245=65%,VLOOKUP($L245,'Jan-2026 rates'!$L:$R,4,0),IF($LB245=40%,VLOOKUP($L245,'Jan-2026 rates'!$L:$R,5,0),IF($LB245=30%,VLOOKUP($L245,'Jan-2026 rates'!$L:$R,6,0),IF($LB245=100%,VLOOKUP($L245,'Jan-2026 rates'!$L:$R,7,0),IF($LB245=60%,VLOOKUP($L245,'Jan-2026 rates'!$L:$S,8,0),IF($LB245=80%,VLOOKUP($L245,'Jan-2026 rates'!L:T,9,0),0))))))))</f>
        <v>0</v>
      </c>
      <c r="O245" s="406"/>
      <c r="P245" s="404"/>
      <c r="Q245" s="410">
        <f>IF(P245=0,0,IF($LB245=70%,VLOOKUP($L245,'Jan-2026 rates'!$L:$R,4,0),IF($LB245=65%,VLOOKUP($L245,'Jan-2026 rates'!$L:$R,4,0),IF($LB245=40%,VLOOKUP($L245,'Jan-2026 rates'!$L:$R,5,0),IF($LB245=30%,VLOOKUP($L245,'Jan-2026 rates'!$L:$R,6,0),IF($LB245=100%,VLOOKUP($L245,'Jan-2026 rates'!$L:$R,7,0),IF($LB245=60%,VLOOKUP($L245,'Jan-2026 rates'!$L:$S,8,0),IF($LB245=80%,VLOOKUP($L245,'Jan-2026 rates'!L:T,9,0),0))))))))</f>
        <v>0</v>
      </c>
      <c r="R245" s="406">
        <v>26516000033</v>
      </c>
      <c r="S245" s="406"/>
      <c r="T245" s="406"/>
      <c r="U245" s="406"/>
      <c r="V245" s="406"/>
      <c r="W245" s="406"/>
      <c r="X245" s="406"/>
      <c r="Y245" s="406"/>
      <c r="Z245" s="404">
        <v>3</v>
      </c>
      <c r="AA245" s="398" t="e">
        <f>IF(Z245=0,0,IF(LEN(R245)=11,_xlfn.XLOOKUP(R245,'Dispensed Ink Rates'!C:C,'Dispensed Ink Rates'!CS:CS),VLOOKUP(R245,'Jan-2026 rates'!$E:$F,2,0)))</f>
        <v>#N/A</v>
      </c>
      <c r="AB245" s="404"/>
      <c r="AC245" s="398">
        <f>IF(AB245=0,0,IF(LEN(S245)=11,_xlfn.XLOOKUP(S245,'Dispensed Ink Rates'!C:C,'Dispensed Ink Rates'!CS:CS),VLOOKUP(S245,'Jan-2026 rates'!$E:$F,2,0)))</f>
        <v>0</v>
      </c>
      <c r="AD245" s="404"/>
      <c r="AE245" s="398">
        <f>IF(AD245=0,0,IF(LEN(T245)=11,_xlfn.XLOOKUP(T245,'Dispensed Ink Rates'!C:C,'Dispensed Ink Rates'!CS:CS),VLOOKUP(T245,'Jan-2026 rates'!$E:$F,2,0)))</f>
        <v>0</v>
      </c>
      <c r="AF245" s="404"/>
      <c r="AG245" s="398">
        <f>IF(AF245=0,0,IF(LEN(U245)=11,_xlfn.XLOOKUP(U245,'Dispensed Ink Rates'!C:C,'Dispensed Ink Rates'!CS:CS),VLOOKUP(U245,'Jan-2026 rates'!$E:$F,2,0)))</f>
        <v>0</v>
      </c>
      <c r="AH245" s="404"/>
      <c r="AI245" s="398">
        <f>IF(AH245=0,0,IF(LEN(V245)=11,_xlfn.XLOOKUP(V245,'Dispensed Ink Rates'!C:C,'Dispensed Ink Rates'!CS:CS),VLOOKUP(V245,'Jan-2026 rates'!$E:$F,2,0)))</f>
        <v>0</v>
      </c>
      <c r="AJ245" s="404"/>
      <c r="AK245" s="398">
        <f>IF(AJ245=0,0,IF(LEN(W245)=11,_xlfn.XLOOKUP(W245,'Dispensed Ink Rates'!C:C,'Dispensed Ink Rates'!CS:CS),VLOOKUP(W245,'Jan-2026 rates'!$E:$F,2,0)))</f>
        <v>0</v>
      </c>
      <c r="AL245" s="404"/>
      <c r="AM245" s="398">
        <f>IF(AL245=0,0,IF(LEN(X245)=11,_xlfn.XLOOKUP(X245,'Dispensed Ink Rates'!C:C,'Dispensed Ink Rates'!CS:CS),VLOOKUP(X245,'Jan-2026 rates'!$E:$F,2,0)))</f>
        <v>0</v>
      </c>
      <c r="AN245" s="404"/>
      <c r="AO245" s="398">
        <f>IF(AN245=0,0,IF(LEN(Y245)=11,_xlfn.XLOOKUP(Y245,'Dispensed Ink Rates'!C:C,'Dispensed Ink Rates'!CS:CS),VLOOKUP(Y245,'Jan-2026 rates'!$E:$F,2,0)))</f>
        <v>0</v>
      </c>
      <c r="AP245" s="409" t="s">
        <v>1443</v>
      </c>
      <c r="AQ245" s="409">
        <v>30</v>
      </c>
      <c r="AR245" s="410">
        <f t="shared" si="159"/>
        <v>0</v>
      </c>
      <c r="AS245" s="411">
        <f t="shared" si="160"/>
        <v>8.7000000000000028</v>
      </c>
      <c r="AT245" s="410">
        <f t="shared" si="161"/>
        <v>0</v>
      </c>
      <c r="AU245" s="405" t="s">
        <v>548</v>
      </c>
      <c r="AV245" s="409" t="s">
        <v>4040</v>
      </c>
      <c r="AW245" s="420" t="str">
        <f t="shared" si="183"/>
        <v>FLINTSL - GOLD</v>
      </c>
      <c r="AX245" s="409">
        <v>29</v>
      </c>
      <c r="AY245" s="411">
        <f>IF(AX245=0,0,IF($LB245=70%,VLOOKUP($AW245,'Jan-2026 rates'!$L:$R,4,0),IF($LB245=65%,VLOOKUP($AW245,'Jan-2026 rates'!$L:$R,4,0),IF($LB245=40%,VLOOKUP($AW245,'Jan-2026 rates'!$L:$R,5,0),IF($LB245=30%,VLOOKUP($AW245,'Jan-2026 rates'!$L:$R,6,0),IF($LB245=100%,VLOOKUP($AW245,'Jan-2026 rates'!$L:$R,7,0),IF($LB245=60%,VLOOKUP($AW245,'Jan-2026 rates'!$L:$S,8,0),IF($LB245=80%,VLOOKUP($AW245,'Jan-2026 rates'!L:T,9,0),0))))))))</f>
        <v>0</v>
      </c>
      <c r="AZ245" s="412"/>
      <c r="BA245" s="409"/>
      <c r="BB245" s="411">
        <f>IF(BA245=0,0,IF($LB245=70%,VLOOKUP($AW245,'Jan-2026 rates'!$L:$R,4,0),IF($LB245=65%,VLOOKUP($AW245,'Jan-2026 rates'!$L:$R,4,0),IF($LB245=40%,VLOOKUP($AW245,'Jan-2026 rates'!$L:$R,5,0),IF($LB245=30%,VLOOKUP($AW245,'Jan-2026 rates'!$L:$R,6,0),IF($LB245=100%,VLOOKUP($AW245,'Jan-2026 rates'!$L:$R,7,0),IF($LB245=60%,VLOOKUP($AW245,'Jan-2026 rates'!$L:$S,8,0),IF($LB245=80%,VLOOKUP($AW245,'Jan-2026 rates'!L:T,9,0),0))))))))</f>
        <v>0</v>
      </c>
      <c r="BC245" s="413"/>
      <c r="BD245" s="412"/>
      <c r="BE245" s="412"/>
      <c r="BF245" s="413"/>
      <c r="BG245" s="412"/>
      <c r="BH245" s="412"/>
      <c r="BI245" s="412"/>
      <c r="BJ245" s="412"/>
      <c r="BK245" s="409"/>
      <c r="BL245" s="398">
        <f>IF(BK245=0,0,IF(LEN(BC245)=11,_xlfn.XLOOKUP(BC245,'Dispensed Ink Rates'!C:C,'Dispensed Ink Rates'!CS:CS),VLOOKUP(BC245,'Jan-2026 rates'!$E:$F,2,0)))</f>
        <v>0</v>
      </c>
      <c r="BM245" s="409"/>
      <c r="BN245" s="398">
        <f>IF(BM245=0,0,IF(LEN(BD245)=11,_xlfn.XLOOKUP(BD245,'Dispensed Ink Rates'!C:C,'Dispensed Ink Rates'!CS:CS),VLOOKUP(BD245,'Jan-2026 rates'!$E:$F,2,0)))</f>
        <v>0</v>
      </c>
      <c r="BO245" s="409"/>
      <c r="BP245" s="398">
        <f>IF(BO245=0,0,IF(LEN(BE245)=11,_xlfn.XLOOKUP(BE245,'Dispensed Ink Rates'!C:C,'Dispensed Ink Rates'!CS:CS),VLOOKUP(BE245,'Jan-2026 rates'!$E:$F,2,0)))</f>
        <v>0</v>
      </c>
      <c r="BQ245" s="409"/>
      <c r="BR245" s="398">
        <f>IF(BQ245=0,0,IF(LEN(BF245)=11,_xlfn.XLOOKUP(BF245,'Dispensed Ink Rates'!C:C,'Dispensed Ink Rates'!CS:CS),VLOOKUP(BF245,'Jan-2026 rates'!$E:$F,2,0)))</f>
        <v>0</v>
      </c>
      <c r="BS245" s="409"/>
      <c r="BT245" s="398">
        <f>IF(BS245=0,0,IF(LEN(BG245)=11,_xlfn.XLOOKUP(BG245,'Dispensed Ink Rates'!C:C,'Dispensed Ink Rates'!CS:CS),VLOOKUP(BG245,'Jan-2026 rates'!$E:$F,2,0)))</f>
        <v>0</v>
      </c>
      <c r="BU245" s="409"/>
      <c r="BV245" s="398">
        <f>IF(BU245=0,0,IF(LEN(BH245)=11,_xlfn.XLOOKUP(BH245,'Dispensed Ink Rates'!C:C,'Dispensed Ink Rates'!CS:CS),VLOOKUP(BH245,'Jan-2026 rates'!$E:$F,2,0)))</f>
        <v>0</v>
      </c>
      <c r="BW245" s="409"/>
      <c r="BX245" s="398">
        <f>IF(BW245=0,0,IF(LEN(BI245)=11,_xlfn.XLOOKUP(BI245,'Dispensed Ink Rates'!C:C,'Dispensed Ink Rates'!CS:CS),VLOOKUP(BI245,'Jan-2026 rates'!$E:$F,2,0)))</f>
        <v>0</v>
      </c>
      <c r="BY245" s="409"/>
      <c r="BZ245" s="398">
        <f>IF(BY245=0,0,IF(LEN(BJ245)=11,_xlfn.XLOOKUP(BJ245,'Dispensed Ink Rates'!C:C,'Dispensed Ink Rates'!CS:CS),VLOOKUP(BJ245,'Jan-2026 rates'!$E:$F,2,0)))</f>
        <v>0</v>
      </c>
      <c r="CA245" s="409" t="s">
        <v>1443</v>
      </c>
      <c r="CB245" s="409">
        <v>25</v>
      </c>
      <c r="CC245" s="411">
        <f t="shared" si="162"/>
        <v>0</v>
      </c>
      <c r="CD245" s="411">
        <f t="shared" si="163"/>
        <v>9.7000000000000028</v>
      </c>
      <c r="CE245" s="410">
        <f t="shared" si="164"/>
        <v>0</v>
      </c>
      <c r="CF245" s="404" t="s">
        <v>857</v>
      </c>
      <c r="CG245" s="409" t="s">
        <v>4041</v>
      </c>
      <c r="CH245" s="420" t="str">
        <f t="shared" si="185"/>
        <v>FLINTSL - RED</v>
      </c>
      <c r="CI245" s="409">
        <v>32</v>
      </c>
      <c r="CJ245" s="411">
        <f>IF(CI245=0,0,IF($LB245=70%,VLOOKUP($CH245,'Jan-2026 rates'!$L:$R,4,0),IF($LB245=65%,VLOOKUP($CH245,'Jan-2026 rates'!$L:$R,4,0),IF($LB245=40%,VLOOKUP($CH245,'Jan-2026 rates'!$L:$R,5,0),IF($LB245=30%,VLOOKUP($CH245,'Jan-2026 rates'!$L:$R,6,0),IF($LB245=100%,VLOOKUP($CH245,'Jan-2026 rates'!$L:$R,7,0),IF($LB245=60%,VLOOKUP($CH245,'Jan-2026 rates'!$L:$S,8,0),IF($LB245=80%,VLOOKUP($CH245,'Jan-2026 rates'!L:T,9,0),0))))))))</f>
        <v>0</v>
      </c>
      <c r="CK245" s="412"/>
      <c r="CL245" s="409"/>
      <c r="CM245" s="411">
        <f>IF(CL245=0,0,IF($LB245=70%,VLOOKUP($CH245,'Jan-2026 rates'!$L:$R,4,0),IF($LB245=65%,VLOOKUP($CH245,'Jan-2026 rates'!$L:$R,4,0),IF($LB245=40%,VLOOKUP($CH245,'Jan-2026 rates'!$L:$R,5,0),IF($LB245=30%,VLOOKUP($CH245,'Jan-2026 rates'!$L:$R,6,0),IF($LB245=100%,VLOOKUP($CH245,'Jan-2026 rates'!$L:$R,7,0),IF($LB245=60%,VLOOKUP($CH245,'Jan-2026 rates'!$L:$S,8,0),IF($LB245=80%,VLOOKUP($CH245,'Jan-2026 rates'!L:T,9,0),0))))))))</f>
        <v>0</v>
      </c>
      <c r="CN245" s="426"/>
      <c r="CO245" s="427"/>
      <c r="CP245" s="426"/>
      <c r="CQ245" s="426"/>
      <c r="CR245" s="428"/>
      <c r="CS245" s="428"/>
      <c r="CT245" s="428"/>
      <c r="CU245" s="428"/>
      <c r="CV245" s="409"/>
      <c r="CW245" s="398">
        <f>IF(CV245=0,0,IF(LEN(CN245)=11,_xlfn.XLOOKUP(CN245,'Dispensed Ink Rates'!C:C,'Dispensed Ink Rates'!CS:CS),VLOOKUP(CN245,'Jan-2026 rates'!$E:$F,2,0)))</f>
        <v>0</v>
      </c>
      <c r="CX245" s="409"/>
      <c r="CY245" s="398">
        <f>IF(CX245=0,0,IF(LEN(CO245)=11,_xlfn.XLOOKUP(CO245,'Dispensed Ink Rates'!C:C,'Dispensed Ink Rates'!CS:CS),VLOOKUP(CO245,'Jan-2026 rates'!$E:$F,2,0)))</f>
        <v>0</v>
      </c>
      <c r="CZ245" s="409"/>
      <c r="DA245" s="398">
        <f>IF(CZ245=0,0,IF(LEN(CP245)=11,_xlfn.XLOOKUP(CP245,'Dispensed Ink Rates'!C:C,'Dispensed Ink Rates'!CS:CS),VLOOKUP(CP245,'Jan-2026 rates'!$E:$F,2,0)))</f>
        <v>0</v>
      </c>
      <c r="DB245" s="409"/>
      <c r="DC245" s="398">
        <f>IF(DB245=0,0,IF(LEN(CQ245)=11,_xlfn.XLOOKUP(CQ245,'Dispensed Ink Rates'!C:C,'Dispensed Ink Rates'!CS:CS),VLOOKUP(CQ245,'Jan-2026 rates'!$E:$F,2,0)))</f>
        <v>0</v>
      </c>
      <c r="DD245" s="409"/>
      <c r="DE245" s="398">
        <f>IF(DD245=0,0,IF(LEN(CR245)=11,_xlfn.XLOOKUP(CR245,'Dispensed Ink Rates'!C:C,'Dispensed Ink Rates'!CS:CS),VLOOKUP(CR245,'Jan-2026 rates'!$E:$F,2,0)))</f>
        <v>0</v>
      </c>
      <c r="DF245" s="409"/>
      <c r="DG245" s="398">
        <f>IF(DF245=0,0,IF(LEN(CS245)=11,_xlfn.XLOOKUP(CS245,'Dispensed Ink Rates'!C:C,'Dispensed Ink Rates'!CS:CS),VLOOKUP(CS245,'Jan-2026 rates'!$E:$F,2,0)))</f>
        <v>0</v>
      </c>
      <c r="DH245" s="409"/>
      <c r="DI245" s="398">
        <f>IF(DH245=0,0,IF(LEN(CT245)=11,_xlfn.XLOOKUP(CT245,'Dispensed Ink Rates'!C:C,'Dispensed Ink Rates'!CS:CS),VLOOKUP(CT245,'Jan-2026 rates'!$E:$F,2,0)))</f>
        <v>0</v>
      </c>
      <c r="DJ245" s="409"/>
      <c r="DK245" s="398">
        <f>IF(DJ245=0,0,IF(LEN(CU245)=11,_xlfn.XLOOKUP(CU245,'Dispensed Ink Rates'!C:C,'Dispensed Ink Rates'!CS:CS),VLOOKUP(CU245,'Jan-2026 rates'!$E:$F,2,0)))</f>
        <v>0</v>
      </c>
      <c r="DL245" s="409" t="s">
        <v>1443</v>
      </c>
      <c r="DM245" s="409">
        <v>30</v>
      </c>
      <c r="DN245" s="411">
        <f t="shared" si="165"/>
        <v>0</v>
      </c>
      <c r="DO245" s="411">
        <f t="shared" si="166"/>
        <v>7.7000000000000028</v>
      </c>
      <c r="DP245" s="410">
        <f t="shared" si="167"/>
        <v>0</v>
      </c>
      <c r="DQ245" s="405" t="s">
        <v>546</v>
      </c>
      <c r="DR245" s="409"/>
      <c r="DS245" s="420" t="str">
        <f t="shared" si="186"/>
        <v>FLINTSL - REFLEX BLUE</v>
      </c>
      <c r="DT245" s="409"/>
      <c r="DU245" s="411">
        <f>IF(DT245=0,0,IF($LB245=70%,VLOOKUP($DS245,'Jan-2026 rates'!$L:$R,4,0),IF($LB245=65%,VLOOKUP($DS245,'Jan-2026 rates'!$L:$R,4,0),IF($LB245=40%,VLOOKUP($DS245,'Jan-2026 rates'!$L:$R,5,0),IF($LB245=30%,VLOOKUP($DS245,'Jan-2026 rates'!$L:$R,6,0),IF($LB245=100%,VLOOKUP($DS245,'Jan-2026 rates'!$L:$R,7,0),IF($LB245=60%,VLOOKUP($DS245,'Jan-2026 rates'!$L:$S,8,0),IF($LB245=80%,VLOOKUP($DS245,'Jan-2026 rates'!L:T,9,0),0))))))))</f>
        <v>0</v>
      </c>
      <c r="DV245" s="412"/>
      <c r="DW245" s="409"/>
      <c r="DX245" s="411">
        <f>IF(DW245=0,0,IF($LB245=70%,VLOOKUP($DS245,'Jan-2026 rates'!$L:$R,4,0),IF($LB245=65%,VLOOKUP($DS245,'Jan-2026 rates'!$L:$R,4,0),IF($LB245=40%,VLOOKUP($DS245,'Jan-2026 rates'!$L:$R,5,0),IF($LB245=30%,VLOOKUP($DS245,'Jan-2026 rates'!$L:$R,6,0),IF($LB245=100%,VLOOKUP($DS245,'Jan-2026 rates'!$L:$R,7,0),IF($LB245=60%,VLOOKUP($DS245,'Jan-2026 rates'!$L:$S,8,0),IF($LB245=80%,VLOOKUP($DS245,'Jan-2026 rates'!L:T,9,0),0))))))))</f>
        <v>0</v>
      </c>
      <c r="DY245" s="413">
        <v>26519000001</v>
      </c>
      <c r="DZ245" s="413">
        <v>26519000003</v>
      </c>
      <c r="EA245" s="412">
        <v>26519000015</v>
      </c>
      <c r="EB245" s="412"/>
      <c r="EC245" s="412"/>
      <c r="ED245" s="412"/>
      <c r="EE245" s="412"/>
      <c r="EF245" s="412"/>
      <c r="EG245" s="409">
        <v>40</v>
      </c>
      <c r="EH245" s="398" t="e">
        <f>IF(EG245=0,0,IF(LEN(DY245)=11,_xlfn.XLOOKUP(DY245,'Dispensed Ink Rates'!C:C,'Dispensed Ink Rates'!CS:CS),VLOOKUP(DY245,'Jan-2026 rates'!$E:$F,2,0)))</f>
        <v>#N/A</v>
      </c>
      <c r="EI245" s="409">
        <v>40</v>
      </c>
      <c r="EJ245" s="398" t="e">
        <f>IF(EI245=0,0,IF(LEN(DZ245)=11,_xlfn.XLOOKUP(DZ245,'Dispensed Ink Rates'!C:C,'Dispensed Ink Rates'!CS:CS),VLOOKUP(DZ245,'Jan-2026 rates'!$E:$F,2,0)))</f>
        <v>#N/A</v>
      </c>
      <c r="EK245" s="409">
        <v>6</v>
      </c>
      <c r="EL245" s="398" t="e">
        <f>IF(EK245=0,0,IF(LEN(EA245)=11,_xlfn.XLOOKUP(EA245,'Dispensed Ink Rates'!C:C,'Dispensed Ink Rates'!CS:CS),VLOOKUP(EA245,'Jan-2026 rates'!$E:$F,2,0)))</f>
        <v>#N/A</v>
      </c>
      <c r="EM245" s="409"/>
      <c r="EN245" s="398">
        <f>IF(EM245=0,0,IF(LEN(EB245)=11,_xlfn.XLOOKUP(EB245,'Dispensed Ink Rates'!C:C,'Dispensed Ink Rates'!CS:CS),VLOOKUP(EB245,'Jan-2026 rates'!$E:$F,2,0)))</f>
        <v>0</v>
      </c>
      <c r="EO245" s="409"/>
      <c r="EP245" s="398">
        <f>IF(EO245=0,0,IF(LEN(EC245)=11,_xlfn.XLOOKUP(EC245,'Dispensed Ink Rates'!C:C,'Dispensed Ink Rates'!CS:CS),VLOOKUP(EC245,'Jan-2026 rates'!$E:$F,2,0)))</f>
        <v>0</v>
      </c>
      <c r="EQ245" s="409"/>
      <c r="ER245" s="398">
        <f>IF(EQ245=0,0,IF(LEN(ED245)=11,_xlfn.XLOOKUP(ED245,'Dispensed Ink Rates'!C:C,'Dispensed Ink Rates'!CS:CS),VLOOKUP(ED245,'Jan-2026 rates'!$E:$F,2,0)))</f>
        <v>0</v>
      </c>
      <c r="ES245" s="409"/>
      <c r="ET245" s="398">
        <f>IF(ES245=0,0,IF(LEN(EE245)=11,_xlfn.XLOOKUP(EE245,'Dispensed Ink Rates'!C:C,'Dispensed Ink Rates'!CS:CS),VLOOKUP(EE245,'Jan-2026 rates'!$E:$F,2,0)))</f>
        <v>0</v>
      </c>
      <c r="EU245" s="409"/>
      <c r="EV245" s="398">
        <f>IF(EU245=0,0,IF(LEN(EF245)=11,_xlfn.XLOOKUP(EF245,'Dispensed Ink Rates'!C:C,'Dispensed Ink Rates'!CS:CS),VLOOKUP(EF245,'Jan-2026 rates'!$E:$F,2,0)))</f>
        <v>0</v>
      </c>
      <c r="EW245" s="409" t="s">
        <v>1443</v>
      </c>
      <c r="EX245" s="409">
        <v>25</v>
      </c>
      <c r="EY245" s="411">
        <f t="shared" si="168"/>
        <v>0</v>
      </c>
      <c r="EZ245" s="411">
        <f t="shared" si="169"/>
        <v>69.55</v>
      </c>
      <c r="FA245" s="410">
        <f t="shared" si="170"/>
        <v>0</v>
      </c>
      <c r="FB245" s="405" t="s">
        <v>855</v>
      </c>
      <c r="FC245" s="409" t="s">
        <v>4042</v>
      </c>
      <c r="FD245" s="420" t="str">
        <f t="shared" si="187"/>
        <v>FLINTSL - CYAN</v>
      </c>
      <c r="FE245" s="409">
        <v>26</v>
      </c>
      <c r="FF245" s="411">
        <f>IF(FE245=0,0,IF($LB245=70%,VLOOKUP($FD245,'Jan-2026 rates'!$L:$R,4,0),IF($LB245=65%,VLOOKUP($FD245,'Jan-2026 rates'!$L:$R,4,0),IF($LB245=40%,VLOOKUP($FD245,'Jan-2026 rates'!$L:$R,5,0),IF($LB245=30%,VLOOKUP($FD245,'Jan-2026 rates'!$L:$R,6,0),IF($LB245=100%,VLOOKUP($FD245,'Jan-2026 rates'!$L:$R,7,0),IF($LB245=60%,VLOOKUP($FD245,'Jan-2026 rates'!$L:$S,8,0),IF($LB245=80%,VLOOKUP($FD245,'Jan-2026 rates'!L:T,9,0),0))))))))</f>
        <v>0</v>
      </c>
      <c r="FG245" s="412"/>
      <c r="FH245" s="409"/>
      <c r="FI245" s="411">
        <f>IF(FH245=0,0,IF($LB245=70%,VLOOKUP($FD245,'Jan-2026 rates'!$L:$R,4,0),IF($LB245=65%,VLOOKUP($FD245,'Jan-2026 rates'!$L:$R,4,0),IF($LB245=40%,VLOOKUP($FD245,'Jan-2026 rates'!$L:$R,5,0),IF($LB245=30%,VLOOKUP($FD245,'Jan-2026 rates'!$L:$R,6,0),IF($LB245=100%,VLOOKUP($FD245,'Jan-2026 rates'!$L:$R,7,0),IF($LB245=60%,VLOOKUP($FD245,'Jan-2026 rates'!$L:$S,8,0),IF($LB245=80%,VLOOKUP($FD245,'Jan-2026 rates'!L:T,9,0),0))))))))</f>
        <v>0</v>
      </c>
      <c r="FJ245" s="413">
        <v>26519000015</v>
      </c>
      <c r="FK245" s="413"/>
      <c r="FL245" s="413"/>
      <c r="FM245" s="412"/>
      <c r="FN245" s="412"/>
      <c r="FO245" s="412"/>
      <c r="FP245" s="412"/>
      <c r="FQ245" s="412"/>
      <c r="FR245" s="409">
        <v>3</v>
      </c>
      <c r="FS245" s="398" t="e">
        <f>IF(FR245=0,0,IF(LEN(FJ245)=11,_xlfn.XLOOKUP(FJ245,'Dispensed Ink Rates'!C:C,'Dispensed Ink Rates'!CS:CS),VLOOKUP(FJ245,'Jan-2026 rates'!$E:$F,2,0)))</f>
        <v>#N/A</v>
      </c>
      <c r="FT245" s="409"/>
      <c r="FU245" s="398">
        <f>IF(FT245=0,0,IF(LEN(FK245)=11,_xlfn.XLOOKUP(FK245,'Dispensed Ink Rates'!C:C,'Dispensed Ink Rates'!CS:CS),VLOOKUP(FK245,'Jan-2026 rates'!$E:$F,2,0)))</f>
        <v>0</v>
      </c>
      <c r="FV245" s="409"/>
      <c r="FW245" s="398">
        <f>IF(FV245=0,0,IF(LEN(FL245)=11,_xlfn.XLOOKUP(FL245,'Dispensed Ink Rates'!C:C,'Dispensed Ink Rates'!CS:CS),VLOOKUP(FL245,'Jan-2026 rates'!$E:$F,2,0)))</f>
        <v>0</v>
      </c>
      <c r="FX245" s="409"/>
      <c r="FY245" s="398">
        <f>IF(FX245=0,0,IF(LEN(FM245)=11,_xlfn.XLOOKUP(FM245,'Dispensed Ink Rates'!C:C,'Dispensed Ink Rates'!CS:CS),VLOOKUP(FM245,'Jan-2026 rates'!$E:$F,2,0)))</f>
        <v>0</v>
      </c>
      <c r="FZ245" s="409"/>
      <c r="GA245" s="398">
        <f>IF(FZ245=0,0,IF(LEN(FN245)=11,_xlfn.XLOOKUP(FN245,'Dispensed Ink Rates'!C:C,'Dispensed Ink Rates'!CS:CS),VLOOKUP(FN245,'Jan-2026 rates'!$E:$F,2,0)))</f>
        <v>0</v>
      </c>
      <c r="GB245" s="409"/>
      <c r="GC245" s="398">
        <f>IF(GB245=0,0,IF(LEN(FO245)=11,_xlfn.XLOOKUP(FO245,'Dispensed Ink Rates'!C:C,'Dispensed Ink Rates'!CS:CS),VLOOKUP(FO245,'Jan-2026 rates'!$E:$F,2,0)))</f>
        <v>0</v>
      </c>
      <c r="GD245" s="409"/>
      <c r="GE245" s="398">
        <f>IF(GD245=0,0,IF(LEN(FP245)=11,_xlfn.XLOOKUP(FP245,'Dispensed Ink Rates'!C:C,'Dispensed Ink Rates'!CS:CS),VLOOKUP(FP245,'Jan-2026 rates'!$E:$F,2,0)))</f>
        <v>0</v>
      </c>
      <c r="GF245" s="409"/>
      <c r="GG245" s="398">
        <f>IF(GF245=0,0,IF(LEN(FQ245)=11,_xlfn.XLOOKUP(FQ245,'Dispensed Ink Rates'!C:C,'Dispensed Ink Rates'!CS:CS),VLOOKUP(FQ245,'Jan-2026 rates'!$E:$F,2,0)))</f>
        <v>0</v>
      </c>
      <c r="GH245" s="409" t="s">
        <v>1443</v>
      </c>
      <c r="GI245" s="409">
        <v>26</v>
      </c>
      <c r="GJ245" s="411">
        <f t="shared" si="171"/>
        <v>0</v>
      </c>
      <c r="GK245" s="411">
        <f t="shared" si="172"/>
        <v>8.7000000000000028</v>
      </c>
      <c r="GL245" s="410">
        <f t="shared" si="173"/>
        <v>0</v>
      </c>
      <c r="GM245" s="405" t="s">
        <v>544</v>
      </c>
      <c r="GN245" s="409" t="s">
        <v>4043</v>
      </c>
      <c r="GO245" s="420" t="str">
        <f t="shared" si="188"/>
        <v>FLINTSL - MAGENTA</v>
      </c>
      <c r="GP245" s="409">
        <v>26</v>
      </c>
      <c r="GQ245" s="411">
        <f>IF(GP245=0,0,IF($LB245=70%,VLOOKUP($GO245,'Jan-2026 rates'!$L:$R,4,0),IF($LB245=65%,VLOOKUP($GO245,'Jan-2026 rates'!$L:$R,4,0),IF($LB245=40%,VLOOKUP($GO245,'Jan-2026 rates'!$L:$R,5,0),IF($LB245=30%,VLOOKUP($GO245,'Jan-2026 rates'!$L:$R,6,0),IF($LB245=100%,VLOOKUP($GO245,'Jan-2026 rates'!$L:$R,7,0),IF($LB245=60%,VLOOKUP($GO245,'Jan-2026 rates'!$L:$S,8,0),IF($LB245=80%,VLOOKUP($GO245,'Jan-2026 rates'!L:T,9,0),0))))))))</f>
        <v>0</v>
      </c>
      <c r="GR245" s="412"/>
      <c r="GS245" s="409"/>
      <c r="GT245" s="411">
        <f>IF(GS245=0,0,IF($LB245=70%,VLOOKUP($GO245,'Jan-2026 rates'!$L:$R,4,0),IF($LB245=65%,VLOOKUP($GO245,'Jan-2026 rates'!$L:$R,4,0),IF($LB245=40%,VLOOKUP($GO245,'Jan-2026 rates'!$L:$R,5,0),IF($LB245=30%,VLOOKUP($GO245,'Jan-2026 rates'!$L:$R,6,0),IF($LB245=100%,VLOOKUP($GO245,'Jan-2026 rates'!$L:$R,7,0),IF($LB245=60%,VLOOKUP($GO245,'Jan-2026 rates'!$L:$S,8,0),IF($LB245=80%,VLOOKUP($GO245,'Jan-2026 rates'!L:T,9,0),0))))))))</f>
        <v>0</v>
      </c>
      <c r="GU245" s="413">
        <v>26519000004</v>
      </c>
      <c r="GV245" s="413"/>
      <c r="GW245" s="412"/>
      <c r="GX245" s="412"/>
      <c r="GY245" s="412"/>
      <c r="GZ245" s="412"/>
      <c r="HA245" s="412"/>
      <c r="HB245" s="412"/>
      <c r="HC245" s="409">
        <v>4</v>
      </c>
      <c r="HD245" s="398" t="e">
        <f>IF(HC245=0,0,IF(LEN(GU245)=11,_xlfn.XLOOKUP(GU245,'Dispensed Ink Rates'!C:C,'Dispensed Ink Rates'!CS:CS),VLOOKUP(GU245,'Jan-2026 rates'!$E:$F,2,0)))</f>
        <v>#N/A</v>
      </c>
      <c r="HE245" s="409"/>
      <c r="HF245" s="398">
        <f>IF(HE245=0,0,IF(LEN(GV245)=11,_xlfn.XLOOKUP(GV245,'Dispensed Ink Rates'!C:C,'Dispensed Ink Rates'!CS:CS),VLOOKUP(GV245,'Jan-2026 rates'!$E:$F,2,0)))</f>
        <v>0</v>
      </c>
      <c r="HG245" s="409"/>
      <c r="HH245" s="398">
        <f>IF(HG245=0,0,IF(LEN(GW245)=11,_xlfn.XLOOKUP(GW245,'Dispensed Ink Rates'!C:C,'Dispensed Ink Rates'!CS:CS),VLOOKUP(GW245,'Jan-2026 rates'!$E:$F,2,0)))</f>
        <v>0</v>
      </c>
      <c r="HI245" s="409"/>
      <c r="HJ245" s="398">
        <f>IF(HI245=0,0,IF(LEN(GX245)=11,_xlfn.XLOOKUP(GX245,'Dispensed Ink Rates'!C:C,'Dispensed Ink Rates'!CS:CS),VLOOKUP(GX245,'Jan-2026 rates'!$E:$F,2,0)))</f>
        <v>0</v>
      </c>
      <c r="HK245" s="409"/>
      <c r="HL245" s="398">
        <f>IF(HK245=0,0,IF(LEN(GY245)=11,_xlfn.XLOOKUP(GY245,'Dispensed Ink Rates'!C:C,'Dispensed Ink Rates'!CS:CS),VLOOKUP(GY245,'Jan-2026 rates'!$E:$F,2,0)))</f>
        <v>0</v>
      </c>
      <c r="HM245" s="409"/>
      <c r="HN245" s="398">
        <f>IF(HM245=0,0,IF(LEN(GZ245)=11,_xlfn.XLOOKUP(GZ245,'Dispensed Ink Rates'!C:C,'Dispensed Ink Rates'!CS:CS),VLOOKUP(GZ245,'Jan-2026 rates'!$E:$F,2,0)))</f>
        <v>0</v>
      </c>
      <c r="HO245" s="409"/>
      <c r="HP245" s="398">
        <f>IF(HO245=0,0,IF(LEN(HA245)=11,_xlfn.XLOOKUP(HA245,'Dispensed Ink Rates'!C:C,'Dispensed Ink Rates'!CS:CS),VLOOKUP(HA245,'Jan-2026 rates'!$E:$F,2,0)))</f>
        <v>0</v>
      </c>
      <c r="HQ245" s="409"/>
      <c r="HR245" s="398">
        <f>IF(HQ245=0,0,IF(LEN(HB245)=11,_xlfn.XLOOKUP(HB245,'Dispensed Ink Rates'!C:C,'Dispensed Ink Rates'!CS:CS),VLOOKUP(HB245,'Jan-2026 rates'!$E:$F,2,0)))</f>
        <v>0</v>
      </c>
      <c r="HS245" s="409" t="s">
        <v>1443</v>
      </c>
      <c r="HT245" s="409">
        <v>30</v>
      </c>
      <c r="HU245" s="411">
        <f t="shared" si="174"/>
        <v>0</v>
      </c>
      <c r="HV245" s="411">
        <f t="shared" si="175"/>
        <v>8.5499999999999972</v>
      </c>
      <c r="HW245" s="414">
        <f t="shared" si="176"/>
        <v>0</v>
      </c>
      <c r="HX245" s="405" t="s">
        <v>545</v>
      </c>
      <c r="HY245" s="409" t="s">
        <v>4044</v>
      </c>
      <c r="HZ245" s="420" t="str">
        <f t="shared" si="189"/>
        <v>FLINTSL - YELLOW</v>
      </c>
      <c r="IA245" s="409">
        <v>24</v>
      </c>
      <c r="IB245" s="411">
        <f>IF(IA245=0,0,IF($LB245=70%,VLOOKUP($HZ245,'Jan-2026 rates'!$L:$R,4,0),IF($LB245=65%,VLOOKUP($HZ245,'Jan-2026 rates'!$L:$R,4,0),IF($LB245=40%,VLOOKUP($HZ245,'Jan-2026 rates'!$L:$R,5,0),IF($LB245=30%,VLOOKUP($HZ245,'Jan-2026 rates'!$L:$R,6,0),IF($LB245=100%,VLOOKUP($HZ245,'Jan-2026 rates'!$L:$R,7,0),IF($LB245=60%,VLOOKUP($HZ245,'Jan-2026 rates'!$L:$S,8,0),IF($LB245=80%,VLOOKUP($HZ245,'Jan-2026 rates'!L:T,9,0),0))))))))</f>
        <v>0</v>
      </c>
      <c r="IC245" s="412"/>
      <c r="ID245" s="409"/>
      <c r="IE245" s="411">
        <f>IF(ID245=0,0,IF($LB245=70%,VLOOKUP($HZ245,'Jan-2026 rates'!$L:$R,4,0),IF($LB245=65%,VLOOKUP($HZ245,'Jan-2026 rates'!$L:$R,4,0),IF($LB245=40%,VLOOKUP($HZ245,'Jan-2026 rates'!$L:$R,5,0),IF($LB245=30%,VLOOKUP($HZ245,'Jan-2026 rates'!$L:$R,6,0),IF($LB245=100%,VLOOKUP($HZ245,'Jan-2026 rates'!$L:$R,7,0),IF($LB245=60%,VLOOKUP($HZ245,'Jan-2026 rates'!$L:$S,8,0),IF($LB245=80%,VLOOKUP($HZ245,'Jan-2026 rates'!L:T,9,0),0))))))))</f>
        <v>0</v>
      </c>
      <c r="IF245" s="412">
        <v>26518000002</v>
      </c>
      <c r="IG245" s="413"/>
      <c r="IH245" s="412"/>
      <c r="II245" s="412"/>
      <c r="IJ245" s="412"/>
      <c r="IK245" s="412"/>
      <c r="IL245" s="412"/>
      <c r="IM245" s="412"/>
      <c r="IN245" s="409">
        <v>5</v>
      </c>
      <c r="IO245" s="398" t="e">
        <f>IF(IN245=0,0,IF(LEN(IF245)=11,_xlfn.XLOOKUP(IF245,'Dispensed Ink Rates'!C:C,'Dispensed Ink Rates'!CS:CS),VLOOKUP(IF245,'Jan-2026 rates'!$E:$F,2,0)))</f>
        <v>#N/A</v>
      </c>
      <c r="IP245" s="409"/>
      <c r="IQ245" s="398">
        <f>IF(IP245=0,0,IF(LEN(IG245)=11,_xlfn.XLOOKUP(IG245,'Dispensed Ink Rates'!C:C,'Dispensed Ink Rates'!CS:CS),VLOOKUP(IG245,'Jan-2026 rates'!$E:$F,2,0)))</f>
        <v>0</v>
      </c>
      <c r="IR245" s="409"/>
      <c r="IS245" s="398">
        <f>IF(IR245=0,0,IF(LEN(IH245)=11,_xlfn.XLOOKUP(IH245,'Dispensed Ink Rates'!C:C,'Dispensed Ink Rates'!CS:CS),VLOOKUP(IH245,'Jan-2026 rates'!$E:$F,2,0)))</f>
        <v>0</v>
      </c>
      <c r="IT245" s="409"/>
      <c r="IU245" s="398">
        <f>IF(IT245=0,0,IF(LEN(II245)=11,_xlfn.XLOOKUP(II245,'Dispensed Ink Rates'!C:C,'Dispensed Ink Rates'!CS:CS),VLOOKUP(II245,'Jan-2026 rates'!$E:$F,2,0)))</f>
        <v>0</v>
      </c>
      <c r="IV245" s="409"/>
      <c r="IW245" s="398">
        <f>IF(IV245=0,0,IF(LEN(IJ245)=11,_xlfn.XLOOKUP(IJ245,'Dispensed Ink Rates'!C:C,'Dispensed Ink Rates'!CS:CS),VLOOKUP(IJ245,'Jan-2026 rates'!$E:$F,2,0)))</f>
        <v>0</v>
      </c>
      <c r="IX245" s="409"/>
      <c r="IY245" s="398">
        <f>IF(IX245=0,0,IF(LEN(IK245)=11,_xlfn.XLOOKUP(IK245,'Dispensed Ink Rates'!C:C,'Dispensed Ink Rates'!CS:CS),VLOOKUP(IK245,'Jan-2026 rates'!$E:$F,2,0)))</f>
        <v>0</v>
      </c>
      <c r="IZ245" s="409"/>
      <c r="JA245" s="398">
        <f>IF(IZ245=0,0,IF(LEN(IL245)=11,_xlfn.XLOOKUP(IL245,'Dispensed Ink Rates'!C:C,'Dispensed Ink Rates'!CS:CS),VLOOKUP(IL245,'Jan-2026 rates'!$E:$F,2,0)))</f>
        <v>0</v>
      </c>
      <c r="JB245" s="409"/>
      <c r="JC245" s="398">
        <f>IF(JB245=0,0,IF(LEN(IM245)=11,_xlfn.XLOOKUP(IM245,'Dispensed Ink Rates'!C:C,'Dispensed Ink Rates'!CS:CS),VLOOKUP(IM245,'Jan-2026 rates'!$E:$F,2,0)))</f>
        <v>0</v>
      </c>
      <c r="JD245" s="409" t="s">
        <v>1443</v>
      </c>
      <c r="JE245" s="409">
        <v>26</v>
      </c>
      <c r="JF245" s="411">
        <f t="shared" si="177"/>
        <v>0</v>
      </c>
      <c r="JG245" s="411">
        <f t="shared" si="178"/>
        <v>20.099999999999994</v>
      </c>
      <c r="JH245" s="410">
        <f t="shared" si="179"/>
        <v>0</v>
      </c>
      <c r="JI245" s="405" t="s">
        <v>856</v>
      </c>
      <c r="JJ245" s="409" t="s">
        <v>4045</v>
      </c>
      <c r="JK245" s="420" t="str">
        <f t="shared" si="190"/>
        <v>FLINTSL - WHITE</v>
      </c>
      <c r="JL245" s="409">
        <v>30</v>
      </c>
      <c r="JM245" s="411">
        <f>IF(JL245=0,0,IF($LB245=70%,VLOOKUP($JK245,'Jan-2026 rates'!$L:$R,4,0),IF($LB245=65%,VLOOKUP($JK245,'Jan-2026 rates'!$L:$R,4,0),IF($LB245=40%,VLOOKUP($JK245,'Jan-2026 rates'!$L:$R,5,0),IF($LB245=30%,VLOOKUP($JK245,'Jan-2026 rates'!$L:$R,6,0),IF($LB245=100%,VLOOKUP($JK245,'Jan-2026 rates'!$L:$R,7,0),IF($LB245=60%,VLOOKUP($JK245,'Jan-2026 rates'!$L:$S,8,0),IF($LB245=80%,VLOOKUP($JK245,'Jan-2026 rates'!L:T,9,0),0))))))))</f>
        <v>0</v>
      </c>
      <c r="JN245" s="412"/>
      <c r="JO245" s="409"/>
      <c r="JP245" s="411">
        <f>IF(JO245=0,0,IF($LB245=70%,VLOOKUP($JK245,'Jan-2026 rates'!$L:$R,4,0),IF($LB245=65%,VLOOKUP($JK245,'Jan-2026 rates'!$L:$R,4,0),IF($LB245=40%,VLOOKUP($JK245,'Jan-2026 rates'!$L:$R,5,0),IF($LB245=30%,VLOOKUP($JK245,'Jan-2026 rates'!$L:$R,6,0),IF($LB245=100%,VLOOKUP($JK245,'Jan-2026 rates'!$L:$R,7,0),IF($LB245=60%,VLOOKUP($JK245,'Jan-2026 rates'!$L:$S,8,0),IF($LB245=80%,VLOOKUP($JK245,'Jan-2026 rates'!L:T,9,0),0))))))))</f>
        <v>0</v>
      </c>
      <c r="JQ245" s="413" t="s">
        <v>484</v>
      </c>
      <c r="JR245" s="412"/>
      <c r="JS245" s="413"/>
      <c r="JT245" s="413"/>
      <c r="JU245" s="412"/>
      <c r="JV245" s="412"/>
      <c r="JW245" s="412"/>
      <c r="JX245" s="412"/>
      <c r="JY245" s="409">
        <v>40</v>
      </c>
      <c r="JZ245" s="398">
        <f>IF(JY245=0,0,IF(LEN(JQ245)=11,_xlfn.XLOOKUP(JQ245,'Dispensed Ink Rates'!C:C,'Dispensed Ink Rates'!CS:CS),VLOOKUP(JQ245,'Jan-2026 rates'!$E:$F,2,0)))</f>
        <v>0</v>
      </c>
      <c r="KA245" s="409"/>
      <c r="KB245" s="398">
        <f>IF(KA245=0,0,IF(LEN(JR245)=11,_xlfn.XLOOKUP(JR245,'Dispensed Ink Rates'!C:C,'Dispensed Ink Rates'!CS:CS),VLOOKUP(JR245,'Jan-2026 rates'!$E:$F,2,0)))</f>
        <v>0</v>
      </c>
      <c r="KC245" s="409"/>
      <c r="KD245" s="398">
        <f>IF(KC245=0,0,IF(LEN(JS245)=11,_xlfn.XLOOKUP(JS245,'Dispensed Ink Rates'!C:C,'Dispensed Ink Rates'!CS:CS),VLOOKUP(JS245,'Jan-2026 rates'!$E:$F,2,0)))</f>
        <v>0</v>
      </c>
      <c r="KE245" s="409"/>
      <c r="KF245" s="398">
        <f>IF(KE245=0,0,IF(LEN(JT245)=11,_xlfn.XLOOKUP(JT245,'Dispensed Ink Rates'!C:C,'Dispensed Ink Rates'!CS:CS),VLOOKUP(JT245,'Jan-2026 rates'!$E:$F,2,0)))</f>
        <v>0</v>
      </c>
      <c r="KG245" s="409"/>
      <c r="KH245" s="398">
        <f>IF(KG245=0,0,IF(LEN(JU245)=11,_xlfn.XLOOKUP(JU245,'Dispensed Ink Rates'!C:C,'Dispensed Ink Rates'!CS:CS),VLOOKUP(JU245,'Jan-2026 rates'!$E:$F,2,0)))</f>
        <v>0</v>
      </c>
      <c r="KI245" s="409"/>
      <c r="KJ245" s="398">
        <f>IF(KI245=0,0,IF(LEN(JV245)=11,_xlfn.XLOOKUP(JV245,'Dispensed Ink Rates'!C:C,'Dispensed Ink Rates'!CS:CS),VLOOKUP(JV245,'Jan-2026 rates'!$E:$F,2,0)))</f>
        <v>0</v>
      </c>
      <c r="KK245" s="409"/>
      <c r="KL245" s="398">
        <f>IF(KK245=0,0,IF(LEN(JW245)=11,_xlfn.XLOOKUP(JW245,'Dispensed Ink Rates'!C:C,'Dispensed Ink Rates'!CS:CS),VLOOKUP(JW245,'Jan-2026 rates'!$E:$F,2,0)))</f>
        <v>0</v>
      </c>
      <c r="KM245" s="428"/>
      <c r="KN245" s="398">
        <f>IF(KM245=0,0,IF(LEN(JX245)=11,_xlfn.XLOOKUP(JX245,'Dispensed Ink Rates'!C:C,'Dispensed Ink Rates'!CS:CS),VLOOKUP(JX245,'Jan-2026 rates'!$E:$F,2,0)))</f>
        <v>0</v>
      </c>
      <c r="KO245" s="409" t="s">
        <v>1443</v>
      </c>
      <c r="KP245" s="409">
        <v>30</v>
      </c>
      <c r="KQ245" s="411">
        <f t="shared" si="180"/>
        <v>0</v>
      </c>
      <c r="KR245" s="411">
        <f t="shared" si="181"/>
        <v>97</v>
      </c>
      <c r="KS245" s="410">
        <f t="shared" si="182"/>
        <v>0</v>
      </c>
      <c r="KT245" s="409">
        <v>2</v>
      </c>
      <c r="KU245" s="409">
        <v>2</v>
      </c>
      <c r="KV245" s="409">
        <v>2</v>
      </c>
      <c r="KW245" s="409">
        <v>3</v>
      </c>
      <c r="KX245" s="409">
        <v>2</v>
      </c>
      <c r="KY245" s="409">
        <v>3</v>
      </c>
      <c r="KZ245" s="409">
        <v>6</v>
      </c>
      <c r="LA245" s="409">
        <v>20</v>
      </c>
      <c r="LB245" s="415">
        <v>0.8</v>
      </c>
      <c r="LC245" s="415">
        <v>0.2</v>
      </c>
      <c r="LD245" s="415"/>
      <c r="LE245" s="415"/>
      <c r="LF245" s="415"/>
      <c r="LG245" s="409">
        <v>0</v>
      </c>
      <c r="LH245" s="409">
        <f>20+24+56+14</f>
        <v>114</v>
      </c>
      <c r="LI245" s="409">
        <v>0</v>
      </c>
      <c r="LJ245" s="409">
        <v>0</v>
      </c>
      <c r="LK245" s="416">
        <f t="shared" si="191"/>
        <v>114</v>
      </c>
      <c r="LL245" s="416">
        <f t="shared" si="192"/>
        <v>114</v>
      </c>
      <c r="LM245" s="417">
        <f t="shared" si="193"/>
        <v>91.2</v>
      </c>
      <c r="LN245" s="417">
        <f>VLOOKUP($LM$8,'Jan-2026 rates'!$H:$I,2,0)</f>
        <v>0</v>
      </c>
      <c r="LO245" s="417">
        <f t="shared" si="194"/>
        <v>22.8</v>
      </c>
      <c r="LP245" s="417">
        <f>VLOOKUP($LO$8,'Jan-2026 rates'!$H:$I,2,0)</f>
        <v>0</v>
      </c>
      <c r="LQ245" s="417">
        <f t="shared" si="195"/>
        <v>0</v>
      </c>
      <c r="LR245" s="417">
        <f>VLOOKUP($LQ$8,'Jan-2026 rates'!$H:$I,2,0)</f>
        <v>0</v>
      </c>
      <c r="LS245" s="417">
        <f t="shared" si="196"/>
        <v>0</v>
      </c>
      <c r="LT245" s="417">
        <f>VLOOKUP($LS$8,'Jan-2026 rates'!$H:$I,2,0)</f>
        <v>0</v>
      </c>
      <c r="LU245" s="417">
        <f t="shared" si="197"/>
        <v>0</v>
      </c>
      <c r="LV245" s="417">
        <f>VLOOKUP($LU$8,'Jan-2026 rates'!$H:$I,2,0)</f>
        <v>0</v>
      </c>
      <c r="LW245" s="417">
        <f t="shared" si="198"/>
        <v>0</v>
      </c>
      <c r="LX245" s="417">
        <f t="shared" si="199"/>
        <v>0</v>
      </c>
      <c r="LY245" s="418">
        <f t="shared" si="200"/>
        <v>0</v>
      </c>
      <c r="LZ245" s="417"/>
      <c r="MA245" s="435">
        <f t="shared" si="201"/>
        <v>141</v>
      </c>
      <c r="MB245" s="282">
        <f t="shared" si="202"/>
        <v>230</v>
      </c>
      <c r="MC245" s="283">
        <v>138</v>
      </c>
      <c r="MD245" s="284" t="str">
        <f t="shared" si="203"/>
        <v>FLINTSLFLINTSLFLINTSLFLINTSLFLINTSLFLINTSLFLINTSLFLINTSL</v>
      </c>
      <c r="ME245" s="293" t="str">
        <f t="shared" si="204"/>
        <v>+</v>
      </c>
      <c r="MF245" s="293" t="str">
        <f t="shared" si="205"/>
        <v>+</v>
      </c>
      <c r="MG245" s="293" t="str">
        <f t="shared" si="206"/>
        <v>+</v>
      </c>
      <c r="MH245" s="293" t="str">
        <f t="shared" si="207"/>
        <v>+</v>
      </c>
      <c r="MI245" s="293" t="str">
        <f t="shared" si="208"/>
        <v>+</v>
      </c>
      <c r="MJ245" s="293" t="str">
        <f t="shared" si="209"/>
        <v>+</v>
      </c>
      <c r="MK245" s="293" t="str">
        <f t="shared" si="210"/>
        <v>+</v>
      </c>
      <c r="ML245" s="293" t="str">
        <f t="shared" si="211"/>
        <v>+</v>
      </c>
      <c r="MM245" s="3" t="b">
        <f t="array" ref="MM245">OR(ME245:ML245="-")</f>
        <v>0</v>
      </c>
      <c r="MN245" s="285"/>
      <c r="MO245" s="401"/>
      <c r="MP245" s="286"/>
      <c r="MQ245" s="286"/>
      <c r="MR245" s="402"/>
      <c r="MS245" s="400"/>
      <c r="NH245" s="422"/>
      <c r="NJ245" s="421"/>
    </row>
    <row r="246" spans="1:374" s="1" customFormat="1" ht="16.5">
      <c r="A246" s="403">
        <v>46041</v>
      </c>
      <c r="B246" s="404" t="s">
        <v>1015</v>
      </c>
      <c r="C246" s="405" t="s">
        <v>4046</v>
      </c>
      <c r="D246" s="406">
        <v>139</v>
      </c>
      <c r="E246" s="404">
        <v>461</v>
      </c>
      <c r="F246" s="407">
        <v>25900</v>
      </c>
      <c r="G246" s="407" t="s">
        <v>1016</v>
      </c>
      <c r="H246" s="408" t="s">
        <v>1017</v>
      </c>
      <c r="I246" s="409">
        <v>0.92</v>
      </c>
      <c r="J246" s="405" t="s">
        <v>543</v>
      </c>
      <c r="K246" s="404" t="s">
        <v>4047</v>
      </c>
      <c r="L246" s="419" t="str">
        <f t="shared" si="184"/>
        <v>FLINTSL - BLACK</v>
      </c>
      <c r="M246" s="404">
        <v>30</v>
      </c>
      <c r="N246" s="410">
        <f>IF(M246=0,0,IF($LB246=70%,VLOOKUP($L246,'Jan-2026 rates'!$L:$R,4,0),IF($LB246=65%,VLOOKUP($L246,'Jan-2026 rates'!$L:$R,4,0),IF($LB246=40%,VLOOKUP($L246,'Jan-2026 rates'!$L:$R,5,0),IF($LB246=30%,VLOOKUP($L246,'Jan-2026 rates'!$L:$R,6,0),IF($LB246=100%,VLOOKUP($L246,'Jan-2026 rates'!$L:$R,7,0),IF($LB246=60%,VLOOKUP($L246,'Jan-2026 rates'!$L:$S,8,0),IF($LB246=80%,VLOOKUP($L246,'Jan-2026 rates'!L:T,9,0),0))))))))</f>
        <v>0</v>
      </c>
      <c r="O246" s="406"/>
      <c r="P246" s="404"/>
      <c r="Q246" s="410">
        <f>IF(P246=0,0,IF($LB246=70%,VLOOKUP($L246,'Jan-2026 rates'!$L:$R,4,0),IF($LB246=65%,VLOOKUP($L246,'Jan-2026 rates'!$L:$R,4,0),IF($LB246=40%,VLOOKUP($L246,'Jan-2026 rates'!$L:$R,5,0),IF($LB246=30%,VLOOKUP($L246,'Jan-2026 rates'!$L:$R,6,0),IF($LB246=100%,VLOOKUP($L246,'Jan-2026 rates'!$L:$R,7,0),IF($LB246=60%,VLOOKUP($L246,'Jan-2026 rates'!$L:$S,8,0),IF($LB246=80%,VLOOKUP($L246,'Jan-2026 rates'!L:T,9,0),0))))))))</f>
        <v>0</v>
      </c>
      <c r="R246" s="406">
        <v>26516000033</v>
      </c>
      <c r="S246" s="406"/>
      <c r="T246" s="406"/>
      <c r="U246" s="406"/>
      <c r="V246" s="406"/>
      <c r="W246" s="406"/>
      <c r="X246" s="406"/>
      <c r="Y246" s="406"/>
      <c r="Z246" s="404">
        <v>2</v>
      </c>
      <c r="AA246" s="398" t="e">
        <f>IF(Z246=0,0,IF(LEN(R246)=11,_xlfn.XLOOKUP(R246,'Dispensed Ink Rates'!C:C,'Dispensed Ink Rates'!CS:CS),VLOOKUP(R246,'Jan-2026 rates'!$E:$F,2,0)))</f>
        <v>#N/A</v>
      </c>
      <c r="AB246" s="404"/>
      <c r="AC246" s="398">
        <f>IF(AB246=0,0,IF(LEN(S246)=11,_xlfn.XLOOKUP(S246,'Dispensed Ink Rates'!C:C,'Dispensed Ink Rates'!CS:CS),VLOOKUP(S246,'Jan-2026 rates'!$E:$F,2,0)))</f>
        <v>0</v>
      </c>
      <c r="AD246" s="404"/>
      <c r="AE246" s="398">
        <f>IF(AD246=0,0,IF(LEN(T246)=11,_xlfn.XLOOKUP(T246,'Dispensed Ink Rates'!C:C,'Dispensed Ink Rates'!CS:CS),VLOOKUP(T246,'Jan-2026 rates'!$E:$F,2,0)))</f>
        <v>0</v>
      </c>
      <c r="AF246" s="404"/>
      <c r="AG246" s="398">
        <f>IF(AF246=0,0,IF(LEN(U246)=11,_xlfn.XLOOKUP(U246,'Dispensed Ink Rates'!C:C,'Dispensed Ink Rates'!CS:CS),VLOOKUP(U246,'Jan-2026 rates'!$E:$F,2,0)))</f>
        <v>0</v>
      </c>
      <c r="AH246" s="404"/>
      <c r="AI246" s="398">
        <f>IF(AH246=0,0,IF(LEN(V246)=11,_xlfn.XLOOKUP(V246,'Dispensed Ink Rates'!C:C,'Dispensed Ink Rates'!CS:CS),VLOOKUP(V246,'Jan-2026 rates'!$E:$F,2,0)))</f>
        <v>0</v>
      </c>
      <c r="AJ246" s="404"/>
      <c r="AK246" s="398">
        <f>IF(AJ246=0,0,IF(LEN(W246)=11,_xlfn.XLOOKUP(W246,'Dispensed Ink Rates'!C:C,'Dispensed Ink Rates'!CS:CS),VLOOKUP(W246,'Jan-2026 rates'!$E:$F,2,0)))</f>
        <v>0</v>
      </c>
      <c r="AL246" s="404"/>
      <c r="AM246" s="398">
        <f>IF(AL246=0,0,IF(LEN(X246)=11,_xlfn.XLOOKUP(X246,'Dispensed Ink Rates'!C:C,'Dispensed Ink Rates'!CS:CS),VLOOKUP(X246,'Jan-2026 rates'!$E:$F,2,0)))</f>
        <v>0</v>
      </c>
      <c r="AN246" s="404"/>
      <c r="AO246" s="398">
        <f>IF(AN246=0,0,IF(LEN(Y246)=11,_xlfn.XLOOKUP(Y246,'Dispensed Ink Rates'!C:C,'Dispensed Ink Rates'!CS:CS),VLOOKUP(Y246,'Jan-2026 rates'!$E:$F,2,0)))</f>
        <v>0</v>
      </c>
      <c r="AP246" s="409" t="s">
        <v>1443</v>
      </c>
      <c r="AQ246" s="409">
        <v>30</v>
      </c>
      <c r="AR246" s="410">
        <f t="shared" si="159"/>
        <v>0</v>
      </c>
      <c r="AS246" s="411">
        <f t="shared" si="160"/>
        <v>7.4761904761904745</v>
      </c>
      <c r="AT246" s="410">
        <f t="shared" si="161"/>
        <v>0</v>
      </c>
      <c r="AU246" s="405" t="s">
        <v>548</v>
      </c>
      <c r="AV246" s="409" t="s">
        <v>4048</v>
      </c>
      <c r="AW246" s="420" t="str">
        <f t="shared" si="183"/>
        <v>FLINTSL - GOLD</v>
      </c>
      <c r="AX246" s="409">
        <v>25</v>
      </c>
      <c r="AY246" s="411">
        <f>IF(AX246=0,0,IF($LB246=70%,VLOOKUP($AW246,'Jan-2026 rates'!$L:$R,4,0),IF($LB246=65%,VLOOKUP($AW246,'Jan-2026 rates'!$L:$R,4,0),IF($LB246=40%,VLOOKUP($AW246,'Jan-2026 rates'!$L:$R,5,0),IF($LB246=30%,VLOOKUP($AW246,'Jan-2026 rates'!$L:$R,6,0),IF($LB246=100%,VLOOKUP($AW246,'Jan-2026 rates'!$L:$R,7,0),IF($LB246=60%,VLOOKUP($AW246,'Jan-2026 rates'!$L:$S,8,0),IF($LB246=80%,VLOOKUP($AW246,'Jan-2026 rates'!L:T,9,0),0))))))))</f>
        <v>0</v>
      </c>
      <c r="AZ246" s="412"/>
      <c r="BA246" s="409"/>
      <c r="BB246" s="411">
        <f>IF(BA246=0,0,IF($LB246=70%,VLOOKUP($AW246,'Jan-2026 rates'!$L:$R,4,0),IF($LB246=65%,VLOOKUP($AW246,'Jan-2026 rates'!$L:$R,4,0),IF($LB246=40%,VLOOKUP($AW246,'Jan-2026 rates'!$L:$R,5,0),IF($LB246=30%,VLOOKUP($AW246,'Jan-2026 rates'!$L:$R,6,0),IF($LB246=100%,VLOOKUP($AW246,'Jan-2026 rates'!$L:$R,7,0),IF($LB246=60%,VLOOKUP($AW246,'Jan-2026 rates'!$L:$S,8,0),IF($LB246=80%,VLOOKUP($AW246,'Jan-2026 rates'!L:T,9,0),0))))))))</f>
        <v>0</v>
      </c>
      <c r="BC246" s="413" t="s">
        <v>1341</v>
      </c>
      <c r="BD246" s="412"/>
      <c r="BE246" s="412"/>
      <c r="BF246" s="413"/>
      <c r="BG246" s="412"/>
      <c r="BH246" s="412"/>
      <c r="BI246" s="412"/>
      <c r="BJ246" s="412"/>
      <c r="BK246" s="409">
        <v>5</v>
      </c>
      <c r="BL246" s="398">
        <f>IF(BK246=0,0,IF(LEN(BC246)=11,_xlfn.XLOOKUP(BC246,'Dispensed Ink Rates'!C:C,'Dispensed Ink Rates'!CS:CS),VLOOKUP(BC246,'Jan-2026 rates'!$E:$F,2,0)))</f>
        <v>0</v>
      </c>
      <c r="BM246" s="409"/>
      <c r="BN246" s="398">
        <f>IF(BM246=0,0,IF(LEN(BD246)=11,_xlfn.XLOOKUP(BD246,'Dispensed Ink Rates'!C:C,'Dispensed Ink Rates'!CS:CS),VLOOKUP(BD246,'Jan-2026 rates'!$E:$F,2,0)))</f>
        <v>0</v>
      </c>
      <c r="BO246" s="409"/>
      <c r="BP246" s="398">
        <f>IF(BO246=0,0,IF(LEN(BE246)=11,_xlfn.XLOOKUP(BE246,'Dispensed Ink Rates'!C:C,'Dispensed Ink Rates'!CS:CS),VLOOKUP(BE246,'Jan-2026 rates'!$E:$F,2,0)))</f>
        <v>0</v>
      </c>
      <c r="BQ246" s="409"/>
      <c r="BR246" s="398">
        <f>IF(BQ246=0,0,IF(LEN(BF246)=11,_xlfn.XLOOKUP(BF246,'Dispensed Ink Rates'!C:C,'Dispensed Ink Rates'!CS:CS),VLOOKUP(BF246,'Jan-2026 rates'!$E:$F,2,0)))</f>
        <v>0</v>
      </c>
      <c r="BS246" s="409"/>
      <c r="BT246" s="398">
        <f>IF(BS246=0,0,IF(LEN(BG246)=11,_xlfn.XLOOKUP(BG246,'Dispensed Ink Rates'!C:C,'Dispensed Ink Rates'!CS:CS),VLOOKUP(BG246,'Jan-2026 rates'!$E:$F,2,0)))</f>
        <v>0</v>
      </c>
      <c r="BU246" s="409"/>
      <c r="BV246" s="398">
        <f>IF(BU246=0,0,IF(LEN(BH246)=11,_xlfn.XLOOKUP(BH246,'Dispensed Ink Rates'!C:C,'Dispensed Ink Rates'!CS:CS),VLOOKUP(BH246,'Jan-2026 rates'!$E:$F,2,0)))</f>
        <v>0</v>
      </c>
      <c r="BW246" s="409"/>
      <c r="BX246" s="398">
        <f>IF(BW246=0,0,IF(LEN(BI246)=11,_xlfn.XLOOKUP(BI246,'Dispensed Ink Rates'!C:C,'Dispensed Ink Rates'!CS:CS),VLOOKUP(BI246,'Jan-2026 rates'!$E:$F,2,0)))</f>
        <v>0</v>
      </c>
      <c r="BY246" s="409"/>
      <c r="BZ246" s="398">
        <f>IF(BY246=0,0,IF(LEN(BJ246)=11,_xlfn.XLOOKUP(BJ246,'Dispensed Ink Rates'!C:C,'Dispensed Ink Rates'!CS:CS),VLOOKUP(BJ246,'Jan-2026 rates'!$E:$F,2,0)))</f>
        <v>0</v>
      </c>
      <c r="CA246" s="409" t="s">
        <v>1443</v>
      </c>
      <c r="CB246" s="409">
        <v>30</v>
      </c>
      <c r="CC246" s="411">
        <f t="shared" si="162"/>
        <v>0</v>
      </c>
      <c r="CD246" s="411">
        <f t="shared" si="163"/>
        <v>10.952380952380949</v>
      </c>
      <c r="CE246" s="410">
        <f t="shared" si="164"/>
        <v>0</v>
      </c>
      <c r="CF246" s="404" t="s">
        <v>546</v>
      </c>
      <c r="CG246" s="409" t="s">
        <v>4047</v>
      </c>
      <c r="CH246" s="420" t="str">
        <f t="shared" si="185"/>
        <v>FLINTSL - REFLEX BLUE</v>
      </c>
      <c r="CI246" s="409">
        <v>25</v>
      </c>
      <c r="CJ246" s="411">
        <f>IF(CI246=0,0,IF($LB246=70%,VLOOKUP($CH246,'Jan-2026 rates'!$L:$R,4,0),IF($LB246=65%,VLOOKUP($CH246,'Jan-2026 rates'!$L:$R,4,0),IF($LB246=40%,VLOOKUP($CH246,'Jan-2026 rates'!$L:$R,5,0),IF($LB246=30%,VLOOKUP($CH246,'Jan-2026 rates'!$L:$R,6,0),IF($LB246=100%,VLOOKUP($CH246,'Jan-2026 rates'!$L:$R,7,0),IF($LB246=60%,VLOOKUP($CH246,'Jan-2026 rates'!$L:$S,8,0),IF($LB246=80%,VLOOKUP($CH246,'Jan-2026 rates'!L:T,9,0),0))))))))</f>
        <v>0</v>
      </c>
      <c r="CK246" s="412"/>
      <c r="CL246" s="409"/>
      <c r="CM246" s="411">
        <f>IF(CL246=0,0,IF($LB246=70%,VLOOKUP($CH246,'Jan-2026 rates'!$L:$R,4,0),IF($LB246=65%,VLOOKUP($CH246,'Jan-2026 rates'!$L:$R,4,0),IF($LB246=40%,VLOOKUP($CH246,'Jan-2026 rates'!$L:$R,5,0),IF($LB246=30%,VLOOKUP($CH246,'Jan-2026 rates'!$L:$R,6,0),IF($LB246=100%,VLOOKUP($CH246,'Jan-2026 rates'!$L:$R,7,0),IF($LB246=60%,VLOOKUP($CH246,'Jan-2026 rates'!$L:$S,8,0),IF($LB246=80%,VLOOKUP($CH246,'Jan-2026 rates'!L:T,9,0),0))))))))</f>
        <v>0</v>
      </c>
      <c r="CN246" s="426">
        <v>26519000007</v>
      </c>
      <c r="CO246" s="427"/>
      <c r="CP246" s="426"/>
      <c r="CQ246" s="426"/>
      <c r="CR246" s="428"/>
      <c r="CS246" s="428"/>
      <c r="CT246" s="428"/>
      <c r="CU246" s="428"/>
      <c r="CV246" s="409">
        <v>15</v>
      </c>
      <c r="CW246" s="398" t="e">
        <f>IF(CV246=0,0,IF(LEN(CN246)=11,_xlfn.XLOOKUP(CN246,'Dispensed Ink Rates'!C:C,'Dispensed Ink Rates'!CS:CS),VLOOKUP(CN246,'Jan-2026 rates'!$E:$F,2,0)))</f>
        <v>#N/A</v>
      </c>
      <c r="CX246" s="409"/>
      <c r="CY246" s="398">
        <f>IF(CX246=0,0,IF(LEN(CO246)=11,_xlfn.XLOOKUP(CO246,'Dispensed Ink Rates'!C:C,'Dispensed Ink Rates'!CS:CS),VLOOKUP(CO246,'Jan-2026 rates'!$E:$F,2,0)))</f>
        <v>0</v>
      </c>
      <c r="CZ246" s="409"/>
      <c r="DA246" s="398">
        <f>IF(CZ246=0,0,IF(LEN(CP246)=11,_xlfn.XLOOKUP(CP246,'Dispensed Ink Rates'!C:C,'Dispensed Ink Rates'!CS:CS),VLOOKUP(CP246,'Jan-2026 rates'!$E:$F,2,0)))</f>
        <v>0</v>
      </c>
      <c r="DB246" s="409"/>
      <c r="DC246" s="398">
        <f>IF(DB246=0,0,IF(LEN(CQ246)=11,_xlfn.XLOOKUP(CQ246,'Dispensed Ink Rates'!C:C,'Dispensed Ink Rates'!CS:CS),VLOOKUP(CQ246,'Jan-2026 rates'!$E:$F,2,0)))</f>
        <v>0</v>
      </c>
      <c r="DD246" s="409"/>
      <c r="DE246" s="398">
        <f>IF(DD246=0,0,IF(LEN(CR246)=11,_xlfn.XLOOKUP(CR246,'Dispensed Ink Rates'!C:C,'Dispensed Ink Rates'!CS:CS),VLOOKUP(CR246,'Jan-2026 rates'!$E:$F,2,0)))</f>
        <v>0</v>
      </c>
      <c r="DF246" s="409"/>
      <c r="DG246" s="398">
        <f>IF(DF246=0,0,IF(LEN(CS246)=11,_xlfn.XLOOKUP(CS246,'Dispensed Ink Rates'!C:C,'Dispensed Ink Rates'!CS:CS),VLOOKUP(CS246,'Jan-2026 rates'!$E:$F,2,0)))</f>
        <v>0</v>
      </c>
      <c r="DH246" s="409"/>
      <c r="DI246" s="398">
        <f>IF(DH246=0,0,IF(LEN(CT246)=11,_xlfn.XLOOKUP(CT246,'Dispensed Ink Rates'!C:C,'Dispensed Ink Rates'!CS:CS),VLOOKUP(CT246,'Jan-2026 rates'!$E:$F,2,0)))</f>
        <v>0</v>
      </c>
      <c r="DJ246" s="409"/>
      <c r="DK246" s="398">
        <f>IF(DJ246=0,0,IF(LEN(CU246)=11,_xlfn.XLOOKUP(CU246,'Dispensed Ink Rates'!C:C,'Dispensed Ink Rates'!CS:CS),VLOOKUP(CU246,'Jan-2026 rates'!$E:$F,2,0)))</f>
        <v>0</v>
      </c>
      <c r="DL246" s="409" t="s">
        <v>1443</v>
      </c>
      <c r="DM246" s="409">
        <v>25</v>
      </c>
      <c r="DN246" s="411">
        <f t="shared" si="165"/>
        <v>0</v>
      </c>
      <c r="DO246" s="411">
        <f t="shared" si="166"/>
        <v>28.69047619047619</v>
      </c>
      <c r="DP246" s="410">
        <f t="shared" si="167"/>
        <v>0</v>
      </c>
      <c r="DQ246" s="405" t="s">
        <v>857</v>
      </c>
      <c r="DR246" s="409" t="s">
        <v>4049</v>
      </c>
      <c r="DS246" s="420" t="str">
        <f t="shared" si="186"/>
        <v>FLINTSL - RED</v>
      </c>
      <c r="DT246" s="409">
        <v>30</v>
      </c>
      <c r="DU246" s="411">
        <f>IF(DT246=0,0,IF($LB246=70%,VLOOKUP($DS246,'Jan-2026 rates'!$L:$R,4,0),IF($LB246=65%,VLOOKUP($DS246,'Jan-2026 rates'!$L:$R,4,0),IF($LB246=40%,VLOOKUP($DS246,'Jan-2026 rates'!$L:$R,5,0),IF($LB246=30%,VLOOKUP($DS246,'Jan-2026 rates'!$L:$R,6,0),IF($LB246=100%,VLOOKUP($DS246,'Jan-2026 rates'!$L:$R,7,0),IF($LB246=60%,VLOOKUP($DS246,'Jan-2026 rates'!$L:$S,8,0),IF($LB246=80%,VLOOKUP($DS246,'Jan-2026 rates'!L:T,9,0),0))))))))</f>
        <v>0</v>
      </c>
      <c r="DV246" s="412"/>
      <c r="DW246" s="409"/>
      <c r="DX246" s="411">
        <f>IF(DW246=0,0,IF($LB246=70%,VLOOKUP($DS246,'Jan-2026 rates'!$L:$R,4,0),IF($LB246=65%,VLOOKUP($DS246,'Jan-2026 rates'!$L:$R,4,0),IF($LB246=40%,VLOOKUP($DS246,'Jan-2026 rates'!$L:$R,5,0),IF($LB246=30%,VLOOKUP($DS246,'Jan-2026 rates'!$L:$R,6,0),IF($LB246=100%,VLOOKUP($DS246,'Jan-2026 rates'!$L:$R,7,0),IF($LB246=60%,VLOOKUP($DS246,'Jan-2026 rates'!$L:$S,8,0),IF($LB246=80%,VLOOKUP($DS246,'Jan-2026 rates'!L:T,9,0),0))))))))</f>
        <v>0</v>
      </c>
      <c r="DY246" s="413">
        <v>26519000004</v>
      </c>
      <c r="DZ246" s="413">
        <v>26520000008</v>
      </c>
      <c r="EA246" s="412"/>
      <c r="EB246" s="412"/>
      <c r="EC246" s="412"/>
      <c r="ED246" s="412"/>
      <c r="EE246" s="412"/>
      <c r="EF246" s="412"/>
      <c r="EG246" s="409">
        <v>5</v>
      </c>
      <c r="EH246" s="398" t="e">
        <f>IF(EG246=0,0,IF(LEN(DY246)=11,_xlfn.XLOOKUP(DY246,'Dispensed Ink Rates'!C:C,'Dispensed Ink Rates'!CS:CS),VLOOKUP(DY246,'Jan-2026 rates'!$E:$F,2,0)))</f>
        <v>#N/A</v>
      </c>
      <c r="EI246" s="409">
        <v>3</v>
      </c>
      <c r="EJ246" s="398" t="e">
        <f>IF(EI246=0,0,IF(LEN(DZ246)=11,_xlfn.XLOOKUP(DZ246,'Dispensed Ink Rates'!C:C,'Dispensed Ink Rates'!CS:CS),VLOOKUP(DZ246,'Jan-2026 rates'!$E:$F,2,0)))</f>
        <v>#N/A</v>
      </c>
      <c r="EK246" s="409"/>
      <c r="EL246" s="398">
        <f>IF(EK246=0,0,IF(LEN(EA246)=11,_xlfn.XLOOKUP(EA246,'Dispensed Ink Rates'!C:C,'Dispensed Ink Rates'!CS:CS),VLOOKUP(EA246,'Jan-2026 rates'!$E:$F,2,0)))</f>
        <v>0</v>
      </c>
      <c r="EM246" s="409"/>
      <c r="EN246" s="398">
        <f>IF(EM246=0,0,IF(LEN(EB246)=11,_xlfn.XLOOKUP(EB246,'Dispensed Ink Rates'!C:C,'Dispensed Ink Rates'!CS:CS),VLOOKUP(EB246,'Jan-2026 rates'!$E:$F,2,0)))</f>
        <v>0</v>
      </c>
      <c r="EO246" s="409"/>
      <c r="EP246" s="398">
        <f>IF(EO246=0,0,IF(LEN(EC246)=11,_xlfn.XLOOKUP(EC246,'Dispensed Ink Rates'!C:C,'Dispensed Ink Rates'!CS:CS),VLOOKUP(EC246,'Jan-2026 rates'!$E:$F,2,0)))</f>
        <v>0</v>
      </c>
      <c r="EQ246" s="409"/>
      <c r="ER246" s="398">
        <f>IF(EQ246=0,0,IF(LEN(ED246)=11,_xlfn.XLOOKUP(ED246,'Dispensed Ink Rates'!C:C,'Dispensed Ink Rates'!CS:CS),VLOOKUP(ED246,'Jan-2026 rates'!$E:$F,2,0)))</f>
        <v>0</v>
      </c>
      <c r="ES246" s="409"/>
      <c r="ET246" s="398">
        <f>IF(ES246=0,0,IF(LEN(EE246)=11,_xlfn.XLOOKUP(EE246,'Dispensed Ink Rates'!C:C,'Dispensed Ink Rates'!CS:CS),VLOOKUP(EE246,'Jan-2026 rates'!$E:$F,2,0)))</f>
        <v>0</v>
      </c>
      <c r="EU246" s="409"/>
      <c r="EV246" s="398">
        <f>IF(EU246=0,0,IF(LEN(EF246)=11,_xlfn.XLOOKUP(EF246,'Dispensed Ink Rates'!C:C,'Dispensed Ink Rates'!CS:CS),VLOOKUP(EF246,'Jan-2026 rates'!$E:$F,2,0)))</f>
        <v>0</v>
      </c>
      <c r="EW246" s="409" t="s">
        <v>1443</v>
      </c>
      <c r="EX246" s="409">
        <v>28</v>
      </c>
      <c r="EY246" s="411">
        <f t="shared" si="168"/>
        <v>0</v>
      </c>
      <c r="EZ246" s="411">
        <f t="shared" si="169"/>
        <v>15.476190476190474</v>
      </c>
      <c r="FA246" s="410">
        <f t="shared" si="170"/>
        <v>0</v>
      </c>
      <c r="FB246" s="405" t="s">
        <v>855</v>
      </c>
      <c r="FC246" s="409" t="s">
        <v>4050</v>
      </c>
      <c r="FD246" s="420" t="str">
        <f t="shared" si="187"/>
        <v>FLINTSL - CYAN</v>
      </c>
      <c r="FE246" s="409">
        <v>28</v>
      </c>
      <c r="FF246" s="411">
        <f>IF(FE246=0,0,IF($LB246=70%,VLOOKUP($FD246,'Jan-2026 rates'!$L:$R,4,0),IF($LB246=65%,VLOOKUP($FD246,'Jan-2026 rates'!$L:$R,4,0),IF($LB246=40%,VLOOKUP($FD246,'Jan-2026 rates'!$L:$R,5,0),IF($LB246=30%,VLOOKUP($FD246,'Jan-2026 rates'!$L:$R,6,0),IF($LB246=100%,VLOOKUP($FD246,'Jan-2026 rates'!$L:$R,7,0),IF($LB246=60%,VLOOKUP($FD246,'Jan-2026 rates'!$L:$S,8,0),IF($LB246=80%,VLOOKUP($FD246,'Jan-2026 rates'!L:T,9,0),0))))))))</f>
        <v>0</v>
      </c>
      <c r="FG246" s="412"/>
      <c r="FH246" s="409"/>
      <c r="FI246" s="411">
        <f>IF(FH246=0,0,IF($LB246=70%,VLOOKUP($FD246,'Jan-2026 rates'!$L:$R,4,0),IF($LB246=65%,VLOOKUP($FD246,'Jan-2026 rates'!$L:$R,4,0),IF($LB246=40%,VLOOKUP($FD246,'Jan-2026 rates'!$L:$R,5,0),IF($LB246=30%,VLOOKUP($FD246,'Jan-2026 rates'!$L:$R,6,0),IF($LB246=100%,VLOOKUP($FD246,'Jan-2026 rates'!$L:$R,7,0),IF($LB246=60%,VLOOKUP($FD246,'Jan-2026 rates'!$L:$S,8,0),IF($LB246=80%,VLOOKUP($FD246,'Jan-2026 rates'!L:T,9,0),0))))))))</f>
        <v>0</v>
      </c>
      <c r="FJ246" s="413">
        <v>26519000015</v>
      </c>
      <c r="FK246" s="413"/>
      <c r="FL246" s="413"/>
      <c r="FM246" s="412"/>
      <c r="FN246" s="412"/>
      <c r="FO246" s="412"/>
      <c r="FP246" s="412"/>
      <c r="FQ246" s="412"/>
      <c r="FR246" s="409">
        <v>5</v>
      </c>
      <c r="FS246" s="398" t="e">
        <f>IF(FR246=0,0,IF(LEN(FJ246)=11,_xlfn.XLOOKUP(FJ246,'Dispensed Ink Rates'!C:C,'Dispensed Ink Rates'!CS:CS),VLOOKUP(FJ246,'Jan-2026 rates'!$E:$F,2,0)))</f>
        <v>#N/A</v>
      </c>
      <c r="FT246" s="409"/>
      <c r="FU246" s="398">
        <f>IF(FT246=0,0,IF(LEN(FK246)=11,_xlfn.XLOOKUP(FK246,'Dispensed Ink Rates'!C:C,'Dispensed Ink Rates'!CS:CS),VLOOKUP(FK246,'Jan-2026 rates'!$E:$F,2,0)))</f>
        <v>0</v>
      </c>
      <c r="FV246" s="409"/>
      <c r="FW246" s="398">
        <f>IF(FV246=0,0,IF(LEN(FL246)=11,_xlfn.XLOOKUP(FL246,'Dispensed Ink Rates'!C:C,'Dispensed Ink Rates'!CS:CS),VLOOKUP(FL246,'Jan-2026 rates'!$E:$F,2,0)))</f>
        <v>0</v>
      </c>
      <c r="FX246" s="409"/>
      <c r="FY246" s="398">
        <f>IF(FX246=0,0,IF(LEN(FM246)=11,_xlfn.XLOOKUP(FM246,'Dispensed Ink Rates'!C:C,'Dispensed Ink Rates'!CS:CS),VLOOKUP(FM246,'Jan-2026 rates'!$E:$F,2,0)))</f>
        <v>0</v>
      </c>
      <c r="FZ246" s="409"/>
      <c r="GA246" s="398">
        <f>IF(FZ246=0,0,IF(LEN(FN246)=11,_xlfn.XLOOKUP(FN246,'Dispensed Ink Rates'!C:C,'Dispensed Ink Rates'!CS:CS),VLOOKUP(FN246,'Jan-2026 rates'!$E:$F,2,0)))</f>
        <v>0</v>
      </c>
      <c r="GB246" s="409"/>
      <c r="GC246" s="398">
        <f>IF(GB246=0,0,IF(LEN(FO246)=11,_xlfn.XLOOKUP(FO246,'Dispensed Ink Rates'!C:C,'Dispensed Ink Rates'!CS:CS),VLOOKUP(FO246,'Jan-2026 rates'!$E:$F,2,0)))</f>
        <v>0</v>
      </c>
      <c r="GD246" s="409"/>
      <c r="GE246" s="398">
        <f>IF(GD246=0,0,IF(LEN(FP246)=11,_xlfn.XLOOKUP(FP246,'Dispensed Ink Rates'!C:C,'Dispensed Ink Rates'!CS:CS),VLOOKUP(FP246,'Jan-2026 rates'!$E:$F,2,0)))</f>
        <v>0</v>
      </c>
      <c r="GF246" s="409"/>
      <c r="GG246" s="398">
        <f>IF(GF246=0,0,IF(LEN(FQ246)=11,_xlfn.XLOOKUP(FQ246,'Dispensed Ink Rates'!C:C,'Dispensed Ink Rates'!CS:CS),VLOOKUP(FQ246,'Jan-2026 rates'!$E:$F,2,0)))</f>
        <v>0</v>
      </c>
      <c r="GH246" s="409" t="s">
        <v>1443</v>
      </c>
      <c r="GI246" s="409">
        <v>29</v>
      </c>
      <c r="GJ246" s="411">
        <f t="shared" si="171"/>
        <v>0</v>
      </c>
      <c r="GK246" s="411">
        <f t="shared" si="172"/>
        <v>9.4761904761904745</v>
      </c>
      <c r="GL246" s="410">
        <f t="shared" si="173"/>
        <v>0</v>
      </c>
      <c r="GM246" s="405" t="s">
        <v>544</v>
      </c>
      <c r="GN246" s="409" t="s">
        <v>4051</v>
      </c>
      <c r="GO246" s="420" t="str">
        <f t="shared" si="188"/>
        <v>FLINTSL - MAGENTA</v>
      </c>
      <c r="GP246" s="409">
        <v>30</v>
      </c>
      <c r="GQ246" s="411">
        <f>IF(GP246=0,0,IF($LB246=70%,VLOOKUP($GO246,'Jan-2026 rates'!$L:$R,4,0),IF($LB246=65%,VLOOKUP($GO246,'Jan-2026 rates'!$L:$R,4,0),IF($LB246=40%,VLOOKUP($GO246,'Jan-2026 rates'!$L:$R,5,0),IF($LB246=30%,VLOOKUP($GO246,'Jan-2026 rates'!$L:$R,6,0),IF($LB246=100%,VLOOKUP($GO246,'Jan-2026 rates'!$L:$R,7,0),IF($LB246=60%,VLOOKUP($GO246,'Jan-2026 rates'!$L:$S,8,0),IF($LB246=80%,VLOOKUP($GO246,'Jan-2026 rates'!L:T,9,0),0))))))))</f>
        <v>0</v>
      </c>
      <c r="GR246" s="412"/>
      <c r="GS246" s="409"/>
      <c r="GT246" s="411">
        <f>IF(GS246=0,0,IF($LB246=70%,VLOOKUP($GO246,'Jan-2026 rates'!$L:$R,4,0),IF($LB246=65%,VLOOKUP($GO246,'Jan-2026 rates'!$L:$R,4,0),IF($LB246=40%,VLOOKUP($GO246,'Jan-2026 rates'!$L:$R,5,0),IF($LB246=30%,VLOOKUP($GO246,'Jan-2026 rates'!$L:$R,6,0),IF($LB246=100%,VLOOKUP($GO246,'Jan-2026 rates'!$L:$R,7,0),IF($LB246=60%,VLOOKUP($GO246,'Jan-2026 rates'!$L:$S,8,0),IF($LB246=80%,VLOOKUP($GO246,'Jan-2026 rates'!L:T,9,0),0))))))))</f>
        <v>0</v>
      </c>
      <c r="GU246" s="413">
        <v>26519000004</v>
      </c>
      <c r="GV246" s="413"/>
      <c r="GW246" s="412"/>
      <c r="GX246" s="412"/>
      <c r="GY246" s="412"/>
      <c r="GZ246" s="412"/>
      <c r="HA246" s="412"/>
      <c r="HB246" s="412"/>
      <c r="HC246" s="409">
        <v>2</v>
      </c>
      <c r="HD246" s="398" t="e">
        <f>IF(HC246=0,0,IF(LEN(GU246)=11,_xlfn.XLOOKUP(GU246,'Dispensed Ink Rates'!C:C,'Dispensed Ink Rates'!CS:CS),VLOOKUP(GU246,'Jan-2026 rates'!$E:$F,2,0)))</f>
        <v>#N/A</v>
      </c>
      <c r="HE246" s="409"/>
      <c r="HF246" s="398">
        <f>IF(HE246=0,0,IF(LEN(GV246)=11,_xlfn.XLOOKUP(GV246,'Dispensed Ink Rates'!C:C,'Dispensed Ink Rates'!CS:CS),VLOOKUP(GV246,'Jan-2026 rates'!$E:$F,2,0)))</f>
        <v>0</v>
      </c>
      <c r="HG246" s="409"/>
      <c r="HH246" s="398">
        <f>IF(HG246=0,0,IF(LEN(GW246)=11,_xlfn.XLOOKUP(GW246,'Dispensed Ink Rates'!C:C,'Dispensed Ink Rates'!CS:CS),VLOOKUP(GW246,'Jan-2026 rates'!$E:$F,2,0)))</f>
        <v>0</v>
      </c>
      <c r="HI246" s="409"/>
      <c r="HJ246" s="398">
        <f>IF(HI246=0,0,IF(LEN(GX246)=11,_xlfn.XLOOKUP(GX246,'Dispensed Ink Rates'!C:C,'Dispensed Ink Rates'!CS:CS),VLOOKUP(GX246,'Jan-2026 rates'!$E:$F,2,0)))</f>
        <v>0</v>
      </c>
      <c r="HK246" s="409"/>
      <c r="HL246" s="398">
        <f>IF(HK246=0,0,IF(LEN(GY246)=11,_xlfn.XLOOKUP(GY246,'Dispensed Ink Rates'!C:C,'Dispensed Ink Rates'!CS:CS),VLOOKUP(GY246,'Jan-2026 rates'!$E:$F,2,0)))</f>
        <v>0</v>
      </c>
      <c r="HM246" s="409"/>
      <c r="HN246" s="398">
        <f>IF(HM246=0,0,IF(LEN(GZ246)=11,_xlfn.XLOOKUP(GZ246,'Dispensed Ink Rates'!C:C,'Dispensed Ink Rates'!CS:CS),VLOOKUP(GZ246,'Jan-2026 rates'!$E:$F,2,0)))</f>
        <v>0</v>
      </c>
      <c r="HO246" s="409"/>
      <c r="HP246" s="398">
        <f>IF(HO246=0,0,IF(LEN(HA246)=11,_xlfn.XLOOKUP(HA246,'Dispensed Ink Rates'!C:C,'Dispensed Ink Rates'!CS:CS),VLOOKUP(HA246,'Jan-2026 rates'!$E:$F,2,0)))</f>
        <v>0</v>
      </c>
      <c r="HQ246" s="409"/>
      <c r="HR246" s="398">
        <f>IF(HQ246=0,0,IF(LEN(HB246)=11,_xlfn.XLOOKUP(HB246,'Dispensed Ink Rates'!C:C,'Dispensed Ink Rates'!CS:CS),VLOOKUP(HB246,'Jan-2026 rates'!$E:$F,2,0)))</f>
        <v>0</v>
      </c>
      <c r="HS246" s="409" t="s">
        <v>1443</v>
      </c>
      <c r="HT246" s="409">
        <v>28</v>
      </c>
      <c r="HU246" s="411">
        <f t="shared" si="174"/>
        <v>0</v>
      </c>
      <c r="HV246" s="411">
        <f t="shared" si="175"/>
        <v>9.4761904761904745</v>
      </c>
      <c r="HW246" s="414">
        <f t="shared" si="176"/>
        <v>0</v>
      </c>
      <c r="HX246" s="405" t="s">
        <v>545</v>
      </c>
      <c r="HY246" s="409" t="s">
        <v>4052</v>
      </c>
      <c r="HZ246" s="420" t="str">
        <f t="shared" si="189"/>
        <v>FLINTSL - YELLOW</v>
      </c>
      <c r="IA246" s="409">
        <v>26</v>
      </c>
      <c r="IB246" s="411">
        <f>IF(IA246=0,0,IF($LB246=70%,VLOOKUP($HZ246,'Jan-2026 rates'!$L:$R,4,0),IF($LB246=65%,VLOOKUP($HZ246,'Jan-2026 rates'!$L:$R,4,0),IF($LB246=40%,VLOOKUP($HZ246,'Jan-2026 rates'!$L:$R,5,0),IF($LB246=30%,VLOOKUP($HZ246,'Jan-2026 rates'!$L:$R,6,0),IF($LB246=100%,VLOOKUP($HZ246,'Jan-2026 rates'!$L:$R,7,0),IF($LB246=60%,VLOOKUP($HZ246,'Jan-2026 rates'!$L:$S,8,0),IF($LB246=80%,VLOOKUP($HZ246,'Jan-2026 rates'!L:T,9,0),0))))))))</f>
        <v>0</v>
      </c>
      <c r="IC246" s="412"/>
      <c r="ID246" s="409"/>
      <c r="IE246" s="411">
        <f>IF(ID246=0,0,IF($LB246=70%,VLOOKUP($HZ246,'Jan-2026 rates'!$L:$R,4,0),IF($LB246=65%,VLOOKUP($HZ246,'Jan-2026 rates'!$L:$R,4,0),IF($LB246=40%,VLOOKUP($HZ246,'Jan-2026 rates'!$L:$R,5,0),IF($LB246=30%,VLOOKUP($HZ246,'Jan-2026 rates'!$L:$R,6,0),IF($LB246=100%,VLOOKUP($HZ246,'Jan-2026 rates'!$L:$R,7,0),IF($LB246=60%,VLOOKUP($HZ246,'Jan-2026 rates'!$L:$S,8,0),IF($LB246=80%,VLOOKUP($HZ246,'Jan-2026 rates'!L:T,9,0),0))))))))</f>
        <v>0</v>
      </c>
      <c r="IF246" s="412">
        <v>26519000002</v>
      </c>
      <c r="IG246" s="413" t="s">
        <v>1266</v>
      </c>
      <c r="IH246" s="412"/>
      <c r="II246" s="412"/>
      <c r="IJ246" s="412"/>
      <c r="IK246" s="412"/>
      <c r="IL246" s="412"/>
      <c r="IM246" s="412"/>
      <c r="IN246" s="409">
        <v>8</v>
      </c>
      <c r="IO246" s="398" t="e">
        <f>IF(IN246=0,0,IF(LEN(IF246)=11,_xlfn.XLOOKUP(IF246,'Dispensed Ink Rates'!C:C,'Dispensed Ink Rates'!CS:CS),VLOOKUP(IF246,'Jan-2026 rates'!$E:$F,2,0)))</f>
        <v>#N/A</v>
      </c>
      <c r="IP246" s="409">
        <v>3</v>
      </c>
      <c r="IQ246" s="398">
        <f>IF(IP246=0,0,IF(LEN(IG246)=11,_xlfn.XLOOKUP(IG246,'Dispensed Ink Rates'!C:C,'Dispensed Ink Rates'!CS:CS),VLOOKUP(IG246,'Jan-2026 rates'!$E:$F,2,0)))</f>
        <v>0</v>
      </c>
      <c r="IR246" s="409"/>
      <c r="IS246" s="398">
        <f>IF(IR246=0,0,IF(LEN(IH246)=11,_xlfn.XLOOKUP(IH246,'Dispensed Ink Rates'!C:C,'Dispensed Ink Rates'!CS:CS),VLOOKUP(IH246,'Jan-2026 rates'!$E:$F,2,0)))</f>
        <v>0</v>
      </c>
      <c r="IT246" s="409"/>
      <c r="IU246" s="398">
        <f>IF(IT246=0,0,IF(LEN(II246)=11,_xlfn.XLOOKUP(II246,'Dispensed Ink Rates'!C:C,'Dispensed Ink Rates'!CS:CS),VLOOKUP(II246,'Jan-2026 rates'!$E:$F,2,0)))</f>
        <v>0</v>
      </c>
      <c r="IV246" s="409"/>
      <c r="IW246" s="398">
        <f>IF(IV246=0,0,IF(LEN(IJ246)=11,_xlfn.XLOOKUP(IJ246,'Dispensed Ink Rates'!C:C,'Dispensed Ink Rates'!CS:CS),VLOOKUP(IJ246,'Jan-2026 rates'!$E:$F,2,0)))</f>
        <v>0</v>
      </c>
      <c r="IX246" s="409"/>
      <c r="IY246" s="398">
        <f>IF(IX246=0,0,IF(LEN(IK246)=11,_xlfn.XLOOKUP(IK246,'Dispensed Ink Rates'!C:C,'Dispensed Ink Rates'!CS:CS),VLOOKUP(IK246,'Jan-2026 rates'!$E:$F,2,0)))</f>
        <v>0</v>
      </c>
      <c r="IZ246" s="409"/>
      <c r="JA246" s="398">
        <f>IF(IZ246=0,0,IF(LEN(IL246)=11,_xlfn.XLOOKUP(IL246,'Dispensed Ink Rates'!C:C,'Dispensed Ink Rates'!CS:CS),VLOOKUP(IL246,'Jan-2026 rates'!$E:$F,2,0)))</f>
        <v>0</v>
      </c>
      <c r="JB246" s="409"/>
      <c r="JC246" s="398">
        <f>IF(JB246=0,0,IF(LEN(IM246)=11,_xlfn.XLOOKUP(IM246,'Dispensed Ink Rates'!C:C,'Dispensed Ink Rates'!CS:CS),VLOOKUP(IM246,'Jan-2026 rates'!$E:$F,2,0)))</f>
        <v>0</v>
      </c>
      <c r="JD246" s="409" t="s">
        <v>1443</v>
      </c>
      <c r="JE246" s="409">
        <v>27</v>
      </c>
      <c r="JF246" s="411">
        <f t="shared" si="177"/>
        <v>0</v>
      </c>
      <c r="JG246" s="411">
        <f t="shared" si="178"/>
        <v>23.69047619047619</v>
      </c>
      <c r="JH246" s="410">
        <f t="shared" si="179"/>
        <v>0</v>
      </c>
      <c r="JI246" s="405" t="s">
        <v>856</v>
      </c>
      <c r="JJ246" s="409" t="s">
        <v>4053</v>
      </c>
      <c r="JK246" s="420" t="str">
        <f t="shared" si="190"/>
        <v>FLINTSL - WHITE</v>
      </c>
      <c r="JL246" s="409">
        <v>30</v>
      </c>
      <c r="JM246" s="411">
        <f>IF(JL246=0,0,IF($LB246=70%,VLOOKUP($JK246,'Jan-2026 rates'!$L:$R,4,0),IF($LB246=65%,VLOOKUP($JK246,'Jan-2026 rates'!$L:$R,4,0),IF($LB246=40%,VLOOKUP($JK246,'Jan-2026 rates'!$L:$R,5,0),IF($LB246=30%,VLOOKUP($JK246,'Jan-2026 rates'!$L:$R,6,0),IF($LB246=100%,VLOOKUP($JK246,'Jan-2026 rates'!$L:$R,7,0),IF($LB246=60%,VLOOKUP($JK246,'Jan-2026 rates'!$L:$S,8,0),IF($LB246=80%,VLOOKUP($JK246,'Jan-2026 rates'!L:T,9,0),0))))))))</f>
        <v>0</v>
      </c>
      <c r="JN246" s="412"/>
      <c r="JO246" s="409"/>
      <c r="JP246" s="411">
        <f>IF(JO246=0,0,IF($LB246=70%,VLOOKUP($JK246,'Jan-2026 rates'!$L:$R,4,0),IF($LB246=65%,VLOOKUP($JK246,'Jan-2026 rates'!$L:$R,4,0),IF($LB246=40%,VLOOKUP($JK246,'Jan-2026 rates'!$L:$R,5,0),IF($LB246=30%,VLOOKUP($JK246,'Jan-2026 rates'!$L:$R,6,0),IF($LB246=100%,VLOOKUP($JK246,'Jan-2026 rates'!$L:$R,7,0),IF($LB246=60%,VLOOKUP($JK246,'Jan-2026 rates'!$L:$S,8,0),IF($LB246=80%,VLOOKUP($JK246,'Jan-2026 rates'!L:T,9,0),0))))))))</f>
        <v>0</v>
      </c>
      <c r="JQ246" s="413" t="s">
        <v>484</v>
      </c>
      <c r="JR246" s="412"/>
      <c r="JS246" s="413"/>
      <c r="JT246" s="413"/>
      <c r="JU246" s="412"/>
      <c r="JV246" s="412"/>
      <c r="JW246" s="412"/>
      <c r="JX246" s="412"/>
      <c r="JY246" s="409">
        <v>40</v>
      </c>
      <c r="JZ246" s="398">
        <f>IF(JY246=0,0,IF(LEN(JQ246)=11,_xlfn.XLOOKUP(JQ246,'Dispensed Ink Rates'!C:C,'Dispensed Ink Rates'!CS:CS),VLOOKUP(JQ246,'Jan-2026 rates'!$E:$F,2,0)))</f>
        <v>0</v>
      </c>
      <c r="KA246" s="409"/>
      <c r="KB246" s="398">
        <f>IF(KA246=0,0,IF(LEN(JR246)=11,_xlfn.XLOOKUP(JR246,'Dispensed Ink Rates'!C:C,'Dispensed Ink Rates'!CS:CS),VLOOKUP(JR246,'Jan-2026 rates'!$E:$F,2,0)))</f>
        <v>0</v>
      </c>
      <c r="KC246" s="409"/>
      <c r="KD246" s="398">
        <f>IF(KC246=0,0,IF(LEN(JS246)=11,_xlfn.XLOOKUP(JS246,'Dispensed Ink Rates'!C:C,'Dispensed Ink Rates'!CS:CS),VLOOKUP(JS246,'Jan-2026 rates'!$E:$F,2,0)))</f>
        <v>0</v>
      </c>
      <c r="KE246" s="409"/>
      <c r="KF246" s="398">
        <f>IF(KE246=0,0,IF(LEN(JT246)=11,_xlfn.XLOOKUP(JT246,'Dispensed Ink Rates'!C:C,'Dispensed Ink Rates'!CS:CS),VLOOKUP(JT246,'Jan-2026 rates'!$E:$F,2,0)))</f>
        <v>0</v>
      </c>
      <c r="KG246" s="409"/>
      <c r="KH246" s="398">
        <f>IF(KG246=0,0,IF(LEN(JU246)=11,_xlfn.XLOOKUP(JU246,'Dispensed Ink Rates'!C:C,'Dispensed Ink Rates'!CS:CS),VLOOKUP(JU246,'Jan-2026 rates'!$E:$F,2,0)))</f>
        <v>0</v>
      </c>
      <c r="KI246" s="409"/>
      <c r="KJ246" s="398">
        <f>IF(KI246=0,0,IF(LEN(JV246)=11,_xlfn.XLOOKUP(JV246,'Dispensed Ink Rates'!C:C,'Dispensed Ink Rates'!CS:CS),VLOOKUP(JV246,'Jan-2026 rates'!$E:$F,2,0)))</f>
        <v>0</v>
      </c>
      <c r="KK246" s="409"/>
      <c r="KL246" s="398">
        <f>IF(KK246=0,0,IF(LEN(JW246)=11,_xlfn.XLOOKUP(JW246,'Dispensed Ink Rates'!C:C,'Dispensed Ink Rates'!CS:CS),VLOOKUP(JW246,'Jan-2026 rates'!$E:$F,2,0)))</f>
        <v>0</v>
      </c>
      <c r="KM246" s="428"/>
      <c r="KN246" s="398">
        <f>IF(KM246=0,0,IF(LEN(JX246)=11,_xlfn.XLOOKUP(JX246,'Dispensed Ink Rates'!C:C,'Dispensed Ink Rates'!CS:CS),VLOOKUP(JX246,'Jan-2026 rates'!$E:$F,2,0)))</f>
        <v>0</v>
      </c>
      <c r="KO246" s="409" t="s">
        <v>1443</v>
      </c>
      <c r="KP246" s="409">
        <v>30</v>
      </c>
      <c r="KQ246" s="411">
        <f t="shared" si="180"/>
        <v>0</v>
      </c>
      <c r="KR246" s="411">
        <f t="shared" si="181"/>
        <v>94.761904761904759</v>
      </c>
      <c r="KS246" s="410">
        <f t="shared" si="182"/>
        <v>0</v>
      </c>
      <c r="KT246" s="409">
        <v>2</v>
      </c>
      <c r="KU246" s="409">
        <v>4</v>
      </c>
      <c r="KV246" s="409">
        <v>5</v>
      </c>
      <c r="KW246" s="409">
        <v>2</v>
      </c>
      <c r="KX246" s="409">
        <v>2</v>
      </c>
      <c r="KY246" s="409">
        <v>2</v>
      </c>
      <c r="KZ246" s="409">
        <v>5</v>
      </c>
      <c r="LA246" s="409">
        <v>20</v>
      </c>
      <c r="LB246" s="415">
        <v>0.8</v>
      </c>
      <c r="LC246" s="415">
        <v>0.2</v>
      </c>
      <c r="LD246" s="415"/>
      <c r="LE246" s="415"/>
      <c r="LF246" s="415"/>
      <c r="LG246" s="409">
        <v>0</v>
      </c>
      <c r="LH246" s="409">
        <f>20+25+56+14</f>
        <v>115</v>
      </c>
      <c r="LI246" s="409">
        <v>0</v>
      </c>
      <c r="LJ246" s="409">
        <v>0</v>
      </c>
      <c r="LK246" s="416">
        <f t="shared" si="191"/>
        <v>115</v>
      </c>
      <c r="LL246" s="416">
        <f t="shared" si="192"/>
        <v>115</v>
      </c>
      <c r="LM246" s="417">
        <f t="shared" si="193"/>
        <v>92</v>
      </c>
      <c r="LN246" s="417">
        <f>VLOOKUP($LM$8,'Jan-2026 rates'!$H:$I,2,0)</f>
        <v>0</v>
      </c>
      <c r="LO246" s="417">
        <f t="shared" si="194"/>
        <v>23</v>
      </c>
      <c r="LP246" s="417">
        <f>VLOOKUP($LO$8,'Jan-2026 rates'!$H:$I,2,0)</f>
        <v>0</v>
      </c>
      <c r="LQ246" s="417">
        <f t="shared" si="195"/>
        <v>0</v>
      </c>
      <c r="LR246" s="417">
        <f>VLOOKUP($LQ$8,'Jan-2026 rates'!$H:$I,2,0)</f>
        <v>0</v>
      </c>
      <c r="LS246" s="417">
        <f t="shared" si="196"/>
        <v>0</v>
      </c>
      <c r="LT246" s="417">
        <f>VLOOKUP($LS$8,'Jan-2026 rates'!$H:$I,2,0)</f>
        <v>0</v>
      </c>
      <c r="LU246" s="417">
        <f t="shared" si="197"/>
        <v>0</v>
      </c>
      <c r="LV246" s="417">
        <f>VLOOKUP($LU$8,'Jan-2026 rates'!$H:$I,2,0)</f>
        <v>0</v>
      </c>
      <c r="LW246" s="417">
        <f t="shared" si="198"/>
        <v>0</v>
      </c>
      <c r="LX246" s="417">
        <f t="shared" si="199"/>
        <v>0</v>
      </c>
      <c r="LY246" s="418">
        <f t="shared" si="200"/>
        <v>0</v>
      </c>
      <c r="LZ246" s="417"/>
      <c r="MA246" s="435">
        <f t="shared" si="201"/>
        <v>88</v>
      </c>
      <c r="MB246" s="282">
        <f t="shared" si="202"/>
        <v>200</v>
      </c>
      <c r="MC246" s="283">
        <v>139</v>
      </c>
      <c r="MD246" s="284" t="str">
        <f t="shared" si="203"/>
        <v>FLINTSLFLINTSLFLINTSLFLINTSLFLINTSLFLINTSLFLINTSLFLINTSL</v>
      </c>
      <c r="ME246" s="293" t="str">
        <f t="shared" si="204"/>
        <v>+</v>
      </c>
      <c r="MF246" s="293" t="str">
        <f t="shared" si="205"/>
        <v>+</v>
      </c>
      <c r="MG246" s="293" t="str">
        <f t="shared" si="206"/>
        <v>+</v>
      </c>
      <c r="MH246" s="293" t="str">
        <f t="shared" si="207"/>
        <v>+</v>
      </c>
      <c r="MI246" s="293" t="str">
        <f t="shared" si="208"/>
        <v>+</v>
      </c>
      <c r="MJ246" s="293" t="str">
        <f t="shared" si="209"/>
        <v>+</v>
      </c>
      <c r="MK246" s="293" t="str">
        <f t="shared" si="210"/>
        <v>+</v>
      </c>
      <c r="ML246" s="293" t="str">
        <f t="shared" si="211"/>
        <v>+</v>
      </c>
      <c r="MM246" s="3" t="b">
        <f t="array" ref="MM246">OR(ME246:ML246="-")</f>
        <v>0</v>
      </c>
      <c r="MN246" s="285"/>
      <c r="MO246" s="401"/>
      <c r="MP246" s="286"/>
      <c r="MQ246" s="286"/>
      <c r="MR246" s="402"/>
      <c r="MS246" s="400"/>
      <c r="NH246" s="422"/>
      <c r="NJ246" s="421"/>
    </row>
    <row r="247" spans="1:374" s="1" customFormat="1" ht="16.5">
      <c r="A247" s="403">
        <v>46041</v>
      </c>
      <c r="B247" s="404" t="s">
        <v>1015</v>
      </c>
      <c r="C247" s="405" t="s">
        <v>4054</v>
      </c>
      <c r="D247" s="406">
        <v>140</v>
      </c>
      <c r="E247" s="404">
        <v>316</v>
      </c>
      <c r="F247" s="407">
        <v>14400</v>
      </c>
      <c r="G247" s="407" t="s">
        <v>1019</v>
      </c>
      <c r="H247" s="408" t="s">
        <v>1017</v>
      </c>
      <c r="I247" s="409">
        <v>1.2</v>
      </c>
      <c r="J247" s="405" t="s">
        <v>543</v>
      </c>
      <c r="K247" s="404" t="s">
        <v>4055</v>
      </c>
      <c r="L247" s="419" t="str">
        <f t="shared" si="184"/>
        <v>FLINTSL - BLACK</v>
      </c>
      <c r="M247" s="404">
        <v>27</v>
      </c>
      <c r="N247" s="410">
        <f>IF(M247=0,0,IF($LB247=70%,VLOOKUP($L247,'Jan-2026 rates'!$L:$R,4,0),IF($LB247=65%,VLOOKUP($L247,'Jan-2026 rates'!$L:$R,4,0),IF($LB247=40%,VLOOKUP($L247,'Jan-2026 rates'!$L:$R,5,0),IF($LB247=30%,VLOOKUP($L247,'Jan-2026 rates'!$L:$R,6,0),IF($LB247=100%,VLOOKUP($L247,'Jan-2026 rates'!$L:$R,7,0),IF($LB247=60%,VLOOKUP($L247,'Jan-2026 rates'!$L:$S,8,0),IF($LB247=80%,VLOOKUP($L247,'Jan-2026 rates'!L:T,9,0),0))))))))</f>
        <v>0</v>
      </c>
      <c r="O247" s="406"/>
      <c r="P247" s="404"/>
      <c r="Q247" s="410">
        <f>IF(P247=0,0,IF($LB247=70%,VLOOKUP($L247,'Jan-2026 rates'!$L:$R,4,0),IF($LB247=65%,VLOOKUP($L247,'Jan-2026 rates'!$L:$R,4,0),IF($LB247=40%,VLOOKUP($L247,'Jan-2026 rates'!$L:$R,5,0),IF($LB247=30%,VLOOKUP($L247,'Jan-2026 rates'!$L:$R,6,0),IF($LB247=100%,VLOOKUP($L247,'Jan-2026 rates'!$L:$R,7,0),IF($LB247=60%,VLOOKUP($L247,'Jan-2026 rates'!$L:$S,8,0),IF($LB247=80%,VLOOKUP($L247,'Jan-2026 rates'!L:T,9,0),0))))))))</f>
        <v>0</v>
      </c>
      <c r="R247" s="406">
        <v>26516000033</v>
      </c>
      <c r="S247" s="406" t="s">
        <v>1266</v>
      </c>
      <c r="T247" s="406"/>
      <c r="U247" s="406"/>
      <c r="V247" s="406"/>
      <c r="W247" s="406"/>
      <c r="X247" s="406"/>
      <c r="Y247" s="406"/>
      <c r="Z247" s="404">
        <f>2+1</f>
        <v>3</v>
      </c>
      <c r="AA247" s="398" t="e">
        <f>IF(Z247=0,0,IF(LEN(R247)=11,_xlfn.XLOOKUP(R247,'Dispensed Ink Rates'!C:C,'Dispensed Ink Rates'!CS:CS),VLOOKUP(R247,'Jan-2026 rates'!$E:$F,2,0)))</f>
        <v>#N/A</v>
      </c>
      <c r="AB247" s="404">
        <v>2</v>
      </c>
      <c r="AC247" s="398">
        <f>IF(AB247=0,0,IF(LEN(S247)=11,_xlfn.XLOOKUP(S247,'Dispensed Ink Rates'!C:C,'Dispensed Ink Rates'!CS:CS),VLOOKUP(S247,'Jan-2026 rates'!$E:$F,2,0)))</f>
        <v>0</v>
      </c>
      <c r="AD247" s="404"/>
      <c r="AE247" s="398">
        <f>IF(AD247=0,0,IF(LEN(T247)=11,_xlfn.XLOOKUP(T247,'Dispensed Ink Rates'!C:C,'Dispensed Ink Rates'!CS:CS),VLOOKUP(T247,'Jan-2026 rates'!$E:$F,2,0)))</f>
        <v>0</v>
      </c>
      <c r="AF247" s="404"/>
      <c r="AG247" s="398">
        <f>IF(AF247=0,0,IF(LEN(U247)=11,_xlfn.XLOOKUP(U247,'Dispensed Ink Rates'!C:C,'Dispensed Ink Rates'!CS:CS),VLOOKUP(U247,'Jan-2026 rates'!$E:$F,2,0)))</f>
        <v>0</v>
      </c>
      <c r="AH247" s="404"/>
      <c r="AI247" s="398">
        <f>IF(AH247=0,0,IF(LEN(V247)=11,_xlfn.XLOOKUP(V247,'Dispensed Ink Rates'!C:C,'Dispensed Ink Rates'!CS:CS),VLOOKUP(V247,'Jan-2026 rates'!$E:$F,2,0)))</f>
        <v>0</v>
      </c>
      <c r="AJ247" s="404"/>
      <c r="AK247" s="398">
        <f>IF(AJ247=0,0,IF(LEN(W247)=11,_xlfn.XLOOKUP(W247,'Dispensed Ink Rates'!C:C,'Dispensed Ink Rates'!CS:CS),VLOOKUP(W247,'Jan-2026 rates'!$E:$F,2,0)))</f>
        <v>0</v>
      </c>
      <c r="AL247" s="404"/>
      <c r="AM247" s="398">
        <f>IF(AL247=0,0,IF(LEN(X247)=11,_xlfn.XLOOKUP(X247,'Dispensed Ink Rates'!C:C,'Dispensed Ink Rates'!CS:CS),VLOOKUP(X247,'Jan-2026 rates'!$E:$F,2,0)))</f>
        <v>0</v>
      </c>
      <c r="AN247" s="404"/>
      <c r="AO247" s="398">
        <f>IF(AN247=0,0,IF(LEN(Y247)=11,_xlfn.XLOOKUP(Y247,'Dispensed Ink Rates'!C:C,'Dispensed Ink Rates'!CS:CS),VLOOKUP(Y247,'Jan-2026 rates'!$E:$F,2,0)))</f>
        <v>0</v>
      </c>
      <c r="AP247" s="409" t="s">
        <v>1443</v>
      </c>
      <c r="AQ247" s="409">
        <v>26</v>
      </c>
      <c r="AR247" s="410">
        <f t="shared" si="159"/>
        <v>0</v>
      </c>
      <c r="AS247" s="411">
        <f t="shared" si="160"/>
        <v>8.794117647058826</v>
      </c>
      <c r="AT247" s="410">
        <f t="shared" si="161"/>
        <v>0</v>
      </c>
      <c r="AU247" s="405" t="s">
        <v>857</v>
      </c>
      <c r="AV247" s="409" t="s">
        <v>4056</v>
      </c>
      <c r="AW247" s="420" t="str">
        <f t="shared" si="183"/>
        <v>FLINTSL - RED</v>
      </c>
      <c r="AX247" s="409">
        <v>26</v>
      </c>
      <c r="AY247" s="411">
        <f>IF(AX247=0,0,IF($LB247=70%,VLOOKUP($AW247,'Jan-2026 rates'!$L:$R,4,0),IF($LB247=65%,VLOOKUP($AW247,'Jan-2026 rates'!$L:$R,4,0),IF($LB247=40%,VLOOKUP($AW247,'Jan-2026 rates'!$L:$R,5,0),IF($LB247=30%,VLOOKUP($AW247,'Jan-2026 rates'!$L:$R,6,0),IF($LB247=100%,VLOOKUP($AW247,'Jan-2026 rates'!$L:$R,7,0),IF($LB247=60%,VLOOKUP($AW247,'Jan-2026 rates'!$L:$S,8,0),IF($LB247=80%,VLOOKUP($AW247,'Jan-2026 rates'!L:T,9,0),0))))))))</f>
        <v>0</v>
      </c>
      <c r="AZ247" s="412"/>
      <c r="BA247" s="409"/>
      <c r="BB247" s="411">
        <f>IF(BA247=0,0,IF($LB247=70%,VLOOKUP($AW247,'Jan-2026 rates'!$L:$R,4,0),IF($LB247=65%,VLOOKUP($AW247,'Jan-2026 rates'!$L:$R,4,0),IF($LB247=40%,VLOOKUP($AW247,'Jan-2026 rates'!$L:$R,5,0),IF($LB247=30%,VLOOKUP($AW247,'Jan-2026 rates'!$L:$R,6,0),IF($LB247=100%,VLOOKUP($AW247,'Jan-2026 rates'!$L:$R,7,0),IF($LB247=60%,VLOOKUP($AW247,'Jan-2026 rates'!$L:$S,8,0),IF($LB247=80%,VLOOKUP($AW247,'Jan-2026 rates'!L:T,9,0),0))))))))</f>
        <v>0</v>
      </c>
      <c r="BC247" s="413">
        <v>26520000008</v>
      </c>
      <c r="BD247" s="412">
        <v>26519000029</v>
      </c>
      <c r="BE247" s="412">
        <v>26519000004</v>
      </c>
      <c r="BF247" s="413"/>
      <c r="BG247" s="412"/>
      <c r="BH247" s="412"/>
      <c r="BI247" s="412"/>
      <c r="BJ247" s="412"/>
      <c r="BK247" s="409">
        <v>2</v>
      </c>
      <c r="BL247" s="398" t="e">
        <f>IF(BK247=0,0,IF(LEN(BC247)=11,_xlfn.XLOOKUP(BC247,'Dispensed Ink Rates'!C:C,'Dispensed Ink Rates'!CS:CS),VLOOKUP(BC247,'Jan-2026 rates'!$E:$F,2,0)))</f>
        <v>#N/A</v>
      </c>
      <c r="BM247" s="409">
        <f>6+1</f>
        <v>7</v>
      </c>
      <c r="BN247" s="398" t="e">
        <f>IF(BM247=0,0,IF(LEN(BD247)=11,_xlfn.XLOOKUP(BD247,'Dispensed Ink Rates'!C:C,'Dispensed Ink Rates'!CS:CS),VLOOKUP(BD247,'Jan-2026 rates'!$E:$F,2,0)))</f>
        <v>#N/A</v>
      </c>
      <c r="BO247" s="409">
        <v>2</v>
      </c>
      <c r="BP247" s="398" t="e">
        <f>IF(BO247=0,0,IF(LEN(BE247)=11,_xlfn.XLOOKUP(BE247,'Dispensed Ink Rates'!C:C,'Dispensed Ink Rates'!CS:CS),VLOOKUP(BE247,'Jan-2026 rates'!$E:$F,2,0)))</f>
        <v>#N/A</v>
      </c>
      <c r="BQ247" s="409"/>
      <c r="BR247" s="398">
        <f>IF(BQ247=0,0,IF(LEN(BF247)=11,_xlfn.XLOOKUP(BF247,'Dispensed Ink Rates'!C:C,'Dispensed Ink Rates'!CS:CS),VLOOKUP(BF247,'Jan-2026 rates'!$E:$F,2,0)))</f>
        <v>0</v>
      </c>
      <c r="BS247" s="409"/>
      <c r="BT247" s="398">
        <f>IF(BS247=0,0,IF(LEN(BG247)=11,_xlfn.XLOOKUP(BG247,'Dispensed Ink Rates'!C:C,'Dispensed Ink Rates'!CS:CS),VLOOKUP(BG247,'Jan-2026 rates'!$E:$F,2,0)))</f>
        <v>0</v>
      </c>
      <c r="BU247" s="409"/>
      <c r="BV247" s="398">
        <f>IF(BU247=0,0,IF(LEN(BH247)=11,_xlfn.XLOOKUP(BH247,'Dispensed Ink Rates'!C:C,'Dispensed Ink Rates'!CS:CS),VLOOKUP(BH247,'Jan-2026 rates'!$E:$F,2,0)))</f>
        <v>0</v>
      </c>
      <c r="BW247" s="409"/>
      <c r="BX247" s="398">
        <f>IF(BW247=0,0,IF(LEN(BI247)=11,_xlfn.XLOOKUP(BI247,'Dispensed Ink Rates'!C:C,'Dispensed Ink Rates'!CS:CS),VLOOKUP(BI247,'Jan-2026 rates'!$E:$F,2,0)))</f>
        <v>0</v>
      </c>
      <c r="BY247" s="409"/>
      <c r="BZ247" s="398">
        <f>IF(BY247=0,0,IF(LEN(BJ247)=11,_xlfn.XLOOKUP(BJ247,'Dispensed Ink Rates'!C:C,'Dispensed Ink Rates'!CS:CS),VLOOKUP(BJ247,'Jan-2026 rates'!$E:$F,2,0)))</f>
        <v>0</v>
      </c>
      <c r="CA247" s="409" t="s">
        <v>1443</v>
      </c>
      <c r="CB247" s="409">
        <v>30</v>
      </c>
      <c r="CC247" s="411">
        <f t="shared" si="162"/>
        <v>0</v>
      </c>
      <c r="CD247" s="411">
        <f t="shared" si="163"/>
        <v>13.985294117647058</v>
      </c>
      <c r="CE247" s="410">
        <f t="shared" si="164"/>
        <v>0</v>
      </c>
      <c r="CF247" s="404" t="s">
        <v>547</v>
      </c>
      <c r="CG247" s="409" t="s">
        <v>4057</v>
      </c>
      <c r="CH247" s="420" t="str">
        <f t="shared" si="185"/>
        <v>FLINTSL - GREEN</v>
      </c>
      <c r="CI247" s="409">
        <v>20</v>
      </c>
      <c r="CJ247" s="411">
        <f>IF(CI247=0,0,IF($LB247=70%,VLOOKUP($CH247,'Jan-2026 rates'!$L:$R,4,0),IF($LB247=65%,VLOOKUP($CH247,'Jan-2026 rates'!$L:$R,4,0),IF($LB247=40%,VLOOKUP($CH247,'Jan-2026 rates'!$L:$R,5,0),IF($LB247=30%,VLOOKUP($CH247,'Jan-2026 rates'!$L:$R,6,0),IF($LB247=100%,VLOOKUP($CH247,'Jan-2026 rates'!$L:$R,7,0),IF($LB247=60%,VLOOKUP($CH247,'Jan-2026 rates'!$L:$S,8,0),IF($LB247=80%,VLOOKUP($CH247,'Jan-2026 rates'!L:T,9,0),0))))))))</f>
        <v>0</v>
      </c>
      <c r="CK247" s="412"/>
      <c r="CL247" s="409"/>
      <c r="CM247" s="411">
        <f>IF(CL247=0,0,IF($LB247=70%,VLOOKUP($CH247,'Jan-2026 rates'!$L:$R,4,0),IF($LB247=65%,VLOOKUP($CH247,'Jan-2026 rates'!$L:$R,4,0),IF($LB247=40%,VLOOKUP($CH247,'Jan-2026 rates'!$L:$R,5,0),IF($LB247=30%,VLOOKUP($CH247,'Jan-2026 rates'!$L:$R,6,0),IF($LB247=100%,VLOOKUP($CH247,'Jan-2026 rates'!$L:$R,7,0),IF($LB247=60%,VLOOKUP($CH247,'Jan-2026 rates'!$L:$S,8,0),IF($LB247=80%,VLOOKUP($CH247,'Jan-2026 rates'!L:T,9,0),0))))))))</f>
        <v>0</v>
      </c>
      <c r="CN247" s="426">
        <v>26518000001</v>
      </c>
      <c r="CO247" s="427">
        <v>26519000006</v>
      </c>
      <c r="CP247" s="426"/>
      <c r="CQ247" s="426"/>
      <c r="CR247" s="428"/>
      <c r="CS247" s="428"/>
      <c r="CT247" s="428"/>
      <c r="CU247" s="428"/>
      <c r="CV247" s="409">
        <v>6</v>
      </c>
      <c r="CW247" s="398" t="e">
        <f>IF(CV247=0,0,IF(LEN(CN247)=11,_xlfn.XLOOKUP(CN247,'Dispensed Ink Rates'!C:C,'Dispensed Ink Rates'!CS:CS),VLOOKUP(CN247,'Jan-2026 rates'!$E:$F,2,0)))</f>
        <v>#N/A</v>
      </c>
      <c r="CX247" s="409">
        <f>1+1</f>
        <v>2</v>
      </c>
      <c r="CY247" s="398" t="e">
        <f>IF(CX247=0,0,IF(LEN(CO247)=11,_xlfn.XLOOKUP(CO247,'Dispensed Ink Rates'!C:C,'Dispensed Ink Rates'!CS:CS),VLOOKUP(CO247,'Jan-2026 rates'!$E:$F,2,0)))</f>
        <v>#N/A</v>
      </c>
      <c r="CZ247" s="409"/>
      <c r="DA247" s="398">
        <f>IF(CZ247=0,0,IF(LEN(CP247)=11,_xlfn.XLOOKUP(CP247,'Dispensed Ink Rates'!C:C,'Dispensed Ink Rates'!CS:CS),VLOOKUP(CP247,'Jan-2026 rates'!$E:$F,2,0)))</f>
        <v>0</v>
      </c>
      <c r="DB247" s="409"/>
      <c r="DC247" s="398">
        <f>IF(DB247=0,0,IF(LEN(CQ247)=11,_xlfn.XLOOKUP(CQ247,'Dispensed Ink Rates'!C:C,'Dispensed Ink Rates'!CS:CS),VLOOKUP(CQ247,'Jan-2026 rates'!$E:$F,2,0)))</f>
        <v>0</v>
      </c>
      <c r="DD247" s="409"/>
      <c r="DE247" s="398">
        <f>IF(DD247=0,0,IF(LEN(CR247)=11,_xlfn.XLOOKUP(CR247,'Dispensed Ink Rates'!C:C,'Dispensed Ink Rates'!CS:CS),VLOOKUP(CR247,'Jan-2026 rates'!$E:$F,2,0)))</f>
        <v>0</v>
      </c>
      <c r="DF247" s="409"/>
      <c r="DG247" s="398">
        <f>IF(DF247=0,0,IF(LEN(CS247)=11,_xlfn.XLOOKUP(CS247,'Dispensed Ink Rates'!C:C,'Dispensed Ink Rates'!CS:CS),VLOOKUP(CS247,'Jan-2026 rates'!$E:$F,2,0)))</f>
        <v>0</v>
      </c>
      <c r="DH247" s="409"/>
      <c r="DI247" s="398">
        <f>IF(DH247=0,0,IF(LEN(CT247)=11,_xlfn.XLOOKUP(CT247,'Dispensed Ink Rates'!C:C,'Dispensed Ink Rates'!CS:CS),VLOOKUP(CT247,'Jan-2026 rates'!$E:$F,2,0)))</f>
        <v>0</v>
      </c>
      <c r="DJ247" s="409"/>
      <c r="DK247" s="398">
        <f>IF(DJ247=0,0,IF(LEN(CU247)=11,_xlfn.XLOOKUP(CU247,'Dispensed Ink Rates'!C:C,'Dispensed Ink Rates'!CS:CS),VLOOKUP(CU247,'Jan-2026 rates'!$E:$F,2,0)))</f>
        <v>0</v>
      </c>
      <c r="DL247" s="409" t="s">
        <v>1443</v>
      </c>
      <c r="DM247" s="409">
        <v>18</v>
      </c>
      <c r="DN247" s="411">
        <f t="shared" si="165"/>
        <v>0</v>
      </c>
      <c r="DO247" s="411">
        <f t="shared" si="166"/>
        <v>16.985294117647058</v>
      </c>
      <c r="DP247" s="410">
        <f t="shared" si="167"/>
        <v>0</v>
      </c>
      <c r="DQ247" s="405" t="s">
        <v>547</v>
      </c>
      <c r="DR247" s="409" t="s">
        <v>4058</v>
      </c>
      <c r="DS247" s="420" t="str">
        <f t="shared" si="186"/>
        <v>FLINTSL - GREEN</v>
      </c>
      <c r="DT247" s="409">
        <v>20</v>
      </c>
      <c r="DU247" s="411">
        <f>IF(DT247=0,0,IF($LB247=70%,VLOOKUP($DS247,'Jan-2026 rates'!$L:$R,4,0),IF($LB247=65%,VLOOKUP($DS247,'Jan-2026 rates'!$L:$R,4,0),IF($LB247=40%,VLOOKUP($DS247,'Jan-2026 rates'!$L:$R,5,0),IF($LB247=30%,VLOOKUP($DS247,'Jan-2026 rates'!$L:$R,6,0),IF($LB247=100%,VLOOKUP($DS247,'Jan-2026 rates'!$L:$R,7,0),IF($LB247=60%,VLOOKUP($DS247,'Jan-2026 rates'!$L:$S,8,0),IF($LB247=80%,VLOOKUP($DS247,'Jan-2026 rates'!L:T,9,0),0))))))))</f>
        <v>0</v>
      </c>
      <c r="DV247" s="412"/>
      <c r="DW247" s="409"/>
      <c r="DX247" s="411">
        <f>IF(DW247=0,0,IF($LB247=70%,VLOOKUP($DS247,'Jan-2026 rates'!$L:$R,4,0),IF($LB247=65%,VLOOKUP($DS247,'Jan-2026 rates'!$L:$R,4,0),IF($LB247=40%,VLOOKUP($DS247,'Jan-2026 rates'!$L:$R,5,0),IF($LB247=30%,VLOOKUP($DS247,'Jan-2026 rates'!$L:$R,6,0),IF($LB247=100%,VLOOKUP($DS247,'Jan-2026 rates'!$L:$R,7,0),IF($LB247=60%,VLOOKUP($DS247,'Jan-2026 rates'!$L:$S,8,0),IF($LB247=80%,VLOOKUP($DS247,'Jan-2026 rates'!L:T,9,0),0))))))))</f>
        <v>0</v>
      </c>
      <c r="DY247" s="413">
        <v>26519000002</v>
      </c>
      <c r="DZ247" s="413">
        <v>26516000021</v>
      </c>
      <c r="EA247" s="412"/>
      <c r="EB247" s="412"/>
      <c r="EC247" s="412"/>
      <c r="ED247" s="412"/>
      <c r="EE247" s="412"/>
      <c r="EF247" s="412"/>
      <c r="EG247" s="409">
        <v>2</v>
      </c>
      <c r="EH247" s="398" t="e">
        <f>IF(EG247=0,0,IF(LEN(DY247)=11,_xlfn.XLOOKUP(DY247,'Dispensed Ink Rates'!C:C,'Dispensed Ink Rates'!CS:CS),VLOOKUP(DY247,'Jan-2026 rates'!$E:$F,2,0)))</f>
        <v>#N/A</v>
      </c>
      <c r="EI247" s="409">
        <f>2+2</f>
        <v>4</v>
      </c>
      <c r="EJ247" s="398" t="e">
        <f>IF(EI247=0,0,IF(LEN(DZ247)=11,_xlfn.XLOOKUP(DZ247,'Dispensed Ink Rates'!C:C,'Dispensed Ink Rates'!CS:CS),VLOOKUP(DZ247,'Jan-2026 rates'!$E:$F,2,0)))</f>
        <v>#N/A</v>
      </c>
      <c r="EK247" s="409"/>
      <c r="EL247" s="398">
        <f>IF(EK247=0,0,IF(LEN(EA247)=11,_xlfn.XLOOKUP(EA247,'Dispensed Ink Rates'!C:C,'Dispensed Ink Rates'!CS:CS),VLOOKUP(EA247,'Jan-2026 rates'!$E:$F,2,0)))</f>
        <v>0</v>
      </c>
      <c r="EM247" s="409"/>
      <c r="EN247" s="398">
        <f>IF(EM247=0,0,IF(LEN(EB247)=11,_xlfn.XLOOKUP(EB247,'Dispensed Ink Rates'!C:C,'Dispensed Ink Rates'!CS:CS),VLOOKUP(EB247,'Jan-2026 rates'!$E:$F,2,0)))</f>
        <v>0</v>
      </c>
      <c r="EO247" s="409"/>
      <c r="EP247" s="398">
        <f>IF(EO247=0,0,IF(LEN(EC247)=11,_xlfn.XLOOKUP(EC247,'Dispensed Ink Rates'!C:C,'Dispensed Ink Rates'!CS:CS),VLOOKUP(EC247,'Jan-2026 rates'!$E:$F,2,0)))</f>
        <v>0</v>
      </c>
      <c r="EQ247" s="409"/>
      <c r="ER247" s="398">
        <f>IF(EQ247=0,0,IF(LEN(ED247)=11,_xlfn.XLOOKUP(ED247,'Dispensed Ink Rates'!C:C,'Dispensed Ink Rates'!CS:CS),VLOOKUP(ED247,'Jan-2026 rates'!$E:$F,2,0)))</f>
        <v>0</v>
      </c>
      <c r="ES247" s="409"/>
      <c r="ET247" s="398">
        <f>IF(ES247=0,0,IF(LEN(EE247)=11,_xlfn.XLOOKUP(EE247,'Dispensed Ink Rates'!C:C,'Dispensed Ink Rates'!CS:CS),VLOOKUP(EE247,'Jan-2026 rates'!$E:$F,2,0)))</f>
        <v>0</v>
      </c>
      <c r="EU247" s="409"/>
      <c r="EV247" s="398">
        <f>IF(EU247=0,0,IF(LEN(EF247)=11,_xlfn.XLOOKUP(EF247,'Dispensed Ink Rates'!C:C,'Dispensed Ink Rates'!CS:CS),VLOOKUP(EF247,'Jan-2026 rates'!$E:$F,2,0)))</f>
        <v>0</v>
      </c>
      <c r="EW247" s="409" t="s">
        <v>1443</v>
      </c>
      <c r="EX247" s="409">
        <v>19</v>
      </c>
      <c r="EY247" s="411">
        <f t="shared" si="168"/>
        <v>0</v>
      </c>
      <c r="EZ247" s="411">
        <f t="shared" si="169"/>
        <v>13.985294117647058</v>
      </c>
      <c r="FA247" s="410">
        <f t="shared" si="170"/>
        <v>0</v>
      </c>
      <c r="FB247" s="405" t="s">
        <v>855</v>
      </c>
      <c r="FC247" s="409" t="s">
        <v>4059</v>
      </c>
      <c r="FD247" s="420" t="str">
        <f t="shared" si="187"/>
        <v>FLINTSL - CYAN</v>
      </c>
      <c r="FE247" s="409">
        <v>27</v>
      </c>
      <c r="FF247" s="411">
        <f>IF(FE247=0,0,IF($LB247=70%,VLOOKUP($FD247,'Jan-2026 rates'!$L:$R,4,0),IF($LB247=65%,VLOOKUP($FD247,'Jan-2026 rates'!$L:$R,4,0),IF($LB247=40%,VLOOKUP($FD247,'Jan-2026 rates'!$L:$R,5,0),IF($LB247=30%,VLOOKUP($FD247,'Jan-2026 rates'!$L:$R,6,0),IF($LB247=100%,VLOOKUP($FD247,'Jan-2026 rates'!$L:$R,7,0),IF($LB247=60%,VLOOKUP($FD247,'Jan-2026 rates'!$L:$S,8,0),IF($LB247=80%,VLOOKUP($FD247,'Jan-2026 rates'!L:T,9,0),0))))))))</f>
        <v>0</v>
      </c>
      <c r="FG247" s="412"/>
      <c r="FH247" s="409"/>
      <c r="FI247" s="411">
        <f>IF(FH247=0,0,IF($LB247=70%,VLOOKUP($FD247,'Jan-2026 rates'!$L:$R,4,0),IF($LB247=65%,VLOOKUP($FD247,'Jan-2026 rates'!$L:$R,4,0),IF($LB247=40%,VLOOKUP($FD247,'Jan-2026 rates'!$L:$R,5,0),IF($LB247=30%,VLOOKUP($FD247,'Jan-2026 rates'!$L:$R,6,0),IF($LB247=100%,VLOOKUP($FD247,'Jan-2026 rates'!$L:$R,7,0),IF($LB247=60%,VLOOKUP($FD247,'Jan-2026 rates'!$L:$S,8,0),IF($LB247=80%,VLOOKUP($FD247,'Jan-2026 rates'!L:T,9,0),0))))))))</f>
        <v>0</v>
      </c>
      <c r="FJ247" s="413">
        <v>26519000015</v>
      </c>
      <c r="FK247" s="413"/>
      <c r="FL247" s="413"/>
      <c r="FM247" s="412"/>
      <c r="FN247" s="412"/>
      <c r="FO247" s="412"/>
      <c r="FP247" s="412"/>
      <c r="FQ247" s="412"/>
      <c r="FR247" s="409">
        <v>2</v>
      </c>
      <c r="FS247" s="398" t="e">
        <f>IF(FR247=0,0,IF(LEN(FJ247)=11,_xlfn.XLOOKUP(FJ247,'Dispensed Ink Rates'!C:C,'Dispensed Ink Rates'!CS:CS),VLOOKUP(FJ247,'Jan-2026 rates'!$E:$F,2,0)))</f>
        <v>#N/A</v>
      </c>
      <c r="FT247" s="409"/>
      <c r="FU247" s="398">
        <f>IF(FT247=0,0,IF(LEN(FK247)=11,_xlfn.XLOOKUP(FK247,'Dispensed Ink Rates'!C:C,'Dispensed Ink Rates'!CS:CS),VLOOKUP(FK247,'Jan-2026 rates'!$E:$F,2,0)))</f>
        <v>0</v>
      </c>
      <c r="FV247" s="409"/>
      <c r="FW247" s="398">
        <f>IF(FV247=0,0,IF(LEN(FL247)=11,_xlfn.XLOOKUP(FL247,'Dispensed Ink Rates'!C:C,'Dispensed Ink Rates'!CS:CS),VLOOKUP(FL247,'Jan-2026 rates'!$E:$F,2,0)))</f>
        <v>0</v>
      </c>
      <c r="FX247" s="409"/>
      <c r="FY247" s="398">
        <f>IF(FX247=0,0,IF(LEN(FM247)=11,_xlfn.XLOOKUP(FM247,'Dispensed Ink Rates'!C:C,'Dispensed Ink Rates'!CS:CS),VLOOKUP(FM247,'Jan-2026 rates'!$E:$F,2,0)))</f>
        <v>0</v>
      </c>
      <c r="FZ247" s="409"/>
      <c r="GA247" s="398">
        <f>IF(FZ247=0,0,IF(LEN(FN247)=11,_xlfn.XLOOKUP(FN247,'Dispensed Ink Rates'!C:C,'Dispensed Ink Rates'!CS:CS),VLOOKUP(FN247,'Jan-2026 rates'!$E:$F,2,0)))</f>
        <v>0</v>
      </c>
      <c r="GB247" s="409"/>
      <c r="GC247" s="398">
        <f>IF(GB247=0,0,IF(LEN(FO247)=11,_xlfn.XLOOKUP(FO247,'Dispensed Ink Rates'!C:C,'Dispensed Ink Rates'!CS:CS),VLOOKUP(FO247,'Jan-2026 rates'!$E:$F,2,0)))</f>
        <v>0</v>
      </c>
      <c r="GD247" s="409"/>
      <c r="GE247" s="398">
        <f>IF(GD247=0,0,IF(LEN(FP247)=11,_xlfn.XLOOKUP(FP247,'Dispensed Ink Rates'!C:C,'Dispensed Ink Rates'!CS:CS),VLOOKUP(FP247,'Jan-2026 rates'!$E:$F,2,0)))</f>
        <v>0</v>
      </c>
      <c r="GF247" s="409"/>
      <c r="GG247" s="398">
        <f>IF(GF247=0,0,IF(LEN(FQ247)=11,_xlfn.XLOOKUP(FQ247,'Dispensed Ink Rates'!C:C,'Dispensed Ink Rates'!CS:CS),VLOOKUP(FQ247,'Jan-2026 rates'!$E:$F,2,0)))</f>
        <v>0</v>
      </c>
      <c r="GH247" s="409" t="s">
        <v>1443</v>
      </c>
      <c r="GI247" s="409">
        <v>30</v>
      </c>
      <c r="GJ247" s="411">
        <f t="shared" si="171"/>
        <v>0</v>
      </c>
      <c r="GK247" s="411">
        <f t="shared" si="172"/>
        <v>1.7941176470588225</v>
      </c>
      <c r="GL247" s="410">
        <f t="shared" si="173"/>
        <v>0</v>
      </c>
      <c r="GM247" s="405" t="s">
        <v>544</v>
      </c>
      <c r="GN247" s="409" t="s">
        <v>4060</v>
      </c>
      <c r="GO247" s="420" t="str">
        <f t="shared" si="188"/>
        <v>FLINTSL - MAGENTA</v>
      </c>
      <c r="GP247" s="409">
        <v>27</v>
      </c>
      <c r="GQ247" s="411">
        <f>IF(GP247=0,0,IF($LB247=70%,VLOOKUP($GO247,'Jan-2026 rates'!$L:$R,4,0),IF($LB247=65%,VLOOKUP($GO247,'Jan-2026 rates'!$L:$R,4,0),IF($LB247=40%,VLOOKUP($GO247,'Jan-2026 rates'!$L:$R,5,0),IF($LB247=30%,VLOOKUP($GO247,'Jan-2026 rates'!$L:$R,6,0),IF($LB247=100%,VLOOKUP($GO247,'Jan-2026 rates'!$L:$R,7,0),IF($LB247=60%,VLOOKUP($GO247,'Jan-2026 rates'!$L:$S,8,0),IF($LB247=80%,VLOOKUP($GO247,'Jan-2026 rates'!L:T,9,0),0))))))))</f>
        <v>0</v>
      </c>
      <c r="GR247" s="412"/>
      <c r="GS247" s="409"/>
      <c r="GT247" s="411">
        <f>IF(GS247=0,0,IF($LB247=70%,VLOOKUP($GO247,'Jan-2026 rates'!$L:$R,4,0),IF($LB247=65%,VLOOKUP($GO247,'Jan-2026 rates'!$L:$R,4,0),IF($LB247=40%,VLOOKUP($GO247,'Jan-2026 rates'!$L:$R,5,0),IF($LB247=30%,VLOOKUP($GO247,'Jan-2026 rates'!$L:$R,6,0),IF($LB247=100%,VLOOKUP($GO247,'Jan-2026 rates'!$L:$R,7,0),IF($LB247=60%,VLOOKUP($GO247,'Jan-2026 rates'!$L:$S,8,0),IF($LB247=80%,VLOOKUP($GO247,'Jan-2026 rates'!L:T,9,0),0))))))))</f>
        <v>0</v>
      </c>
      <c r="GU247" s="413">
        <v>26519000004</v>
      </c>
      <c r="GV247" s="413"/>
      <c r="GW247" s="412"/>
      <c r="GX247" s="412"/>
      <c r="GY247" s="412"/>
      <c r="GZ247" s="412"/>
      <c r="HA247" s="412"/>
      <c r="HB247" s="412"/>
      <c r="HC247" s="409">
        <v>2</v>
      </c>
      <c r="HD247" s="398" t="e">
        <f>IF(HC247=0,0,IF(LEN(GU247)=11,_xlfn.XLOOKUP(GU247,'Dispensed Ink Rates'!C:C,'Dispensed Ink Rates'!CS:CS),VLOOKUP(GU247,'Jan-2026 rates'!$E:$F,2,0)))</f>
        <v>#N/A</v>
      </c>
      <c r="HE247" s="409"/>
      <c r="HF247" s="398">
        <f>IF(HE247=0,0,IF(LEN(GV247)=11,_xlfn.XLOOKUP(GV247,'Dispensed Ink Rates'!C:C,'Dispensed Ink Rates'!CS:CS),VLOOKUP(GV247,'Jan-2026 rates'!$E:$F,2,0)))</f>
        <v>0</v>
      </c>
      <c r="HG247" s="409"/>
      <c r="HH247" s="398">
        <f>IF(HG247=0,0,IF(LEN(GW247)=11,_xlfn.XLOOKUP(GW247,'Dispensed Ink Rates'!C:C,'Dispensed Ink Rates'!CS:CS),VLOOKUP(GW247,'Jan-2026 rates'!$E:$F,2,0)))</f>
        <v>0</v>
      </c>
      <c r="HI247" s="409"/>
      <c r="HJ247" s="398">
        <f>IF(HI247=0,0,IF(LEN(GX247)=11,_xlfn.XLOOKUP(GX247,'Dispensed Ink Rates'!C:C,'Dispensed Ink Rates'!CS:CS),VLOOKUP(GX247,'Jan-2026 rates'!$E:$F,2,0)))</f>
        <v>0</v>
      </c>
      <c r="HK247" s="409"/>
      <c r="HL247" s="398">
        <f>IF(HK247=0,0,IF(LEN(GY247)=11,_xlfn.XLOOKUP(GY247,'Dispensed Ink Rates'!C:C,'Dispensed Ink Rates'!CS:CS),VLOOKUP(GY247,'Jan-2026 rates'!$E:$F,2,0)))</f>
        <v>0</v>
      </c>
      <c r="HM247" s="409"/>
      <c r="HN247" s="398">
        <f>IF(HM247=0,0,IF(LEN(GZ247)=11,_xlfn.XLOOKUP(GZ247,'Dispensed Ink Rates'!C:C,'Dispensed Ink Rates'!CS:CS),VLOOKUP(GZ247,'Jan-2026 rates'!$E:$F,2,0)))</f>
        <v>0</v>
      </c>
      <c r="HO247" s="409"/>
      <c r="HP247" s="398">
        <f>IF(HO247=0,0,IF(LEN(HA247)=11,_xlfn.XLOOKUP(HA247,'Dispensed Ink Rates'!C:C,'Dispensed Ink Rates'!CS:CS),VLOOKUP(HA247,'Jan-2026 rates'!$E:$F,2,0)))</f>
        <v>0</v>
      </c>
      <c r="HQ247" s="409"/>
      <c r="HR247" s="398">
        <f>IF(HQ247=0,0,IF(LEN(HB247)=11,_xlfn.XLOOKUP(HB247,'Dispensed Ink Rates'!C:C,'Dispensed Ink Rates'!CS:CS),VLOOKUP(HB247,'Jan-2026 rates'!$E:$F,2,0)))</f>
        <v>0</v>
      </c>
      <c r="HS247" s="409" t="s">
        <v>1443</v>
      </c>
      <c r="HT247" s="409">
        <v>28</v>
      </c>
      <c r="HU247" s="411">
        <f t="shared" si="174"/>
        <v>0</v>
      </c>
      <c r="HV247" s="411">
        <f t="shared" si="175"/>
        <v>3.7941176470588225</v>
      </c>
      <c r="HW247" s="414">
        <f t="shared" si="176"/>
        <v>0</v>
      </c>
      <c r="HX247" s="405" t="s">
        <v>545</v>
      </c>
      <c r="HY247" s="409" t="s">
        <v>4061</v>
      </c>
      <c r="HZ247" s="420" t="str">
        <f t="shared" si="189"/>
        <v>FLINTSL - YELLOW</v>
      </c>
      <c r="IA247" s="409">
        <v>24</v>
      </c>
      <c r="IB247" s="411">
        <f>IF(IA247=0,0,IF($LB247=70%,VLOOKUP($HZ247,'Jan-2026 rates'!$L:$R,4,0),IF($LB247=65%,VLOOKUP($HZ247,'Jan-2026 rates'!$L:$R,4,0),IF($LB247=40%,VLOOKUP($HZ247,'Jan-2026 rates'!$L:$R,5,0),IF($LB247=30%,VLOOKUP($HZ247,'Jan-2026 rates'!$L:$R,6,0),IF($LB247=100%,VLOOKUP($HZ247,'Jan-2026 rates'!$L:$R,7,0),IF($LB247=60%,VLOOKUP($HZ247,'Jan-2026 rates'!$L:$S,8,0),IF($LB247=80%,VLOOKUP($HZ247,'Jan-2026 rates'!L:T,9,0),0))))))))</f>
        <v>0</v>
      </c>
      <c r="IC247" s="412"/>
      <c r="ID247" s="409"/>
      <c r="IE247" s="411">
        <f>IF(ID247=0,0,IF($LB247=70%,VLOOKUP($HZ247,'Jan-2026 rates'!$L:$R,4,0),IF($LB247=65%,VLOOKUP($HZ247,'Jan-2026 rates'!$L:$R,4,0),IF($LB247=40%,VLOOKUP($HZ247,'Jan-2026 rates'!$L:$R,5,0),IF($LB247=30%,VLOOKUP($HZ247,'Jan-2026 rates'!$L:$R,6,0),IF($LB247=100%,VLOOKUP($HZ247,'Jan-2026 rates'!$L:$R,7,0),IF($LB247=60%,VLOOKUP($HZ247,'Jan-2026 rates'!$L:$S,8,0),IF($LB247=80%,VLOOKUP($HZ247,'Jan-2026 rates'!L:T,9,0),0))))))))</f>
        <v>0</v>
      </c>
      <c r="IF247" s="412">
        <v>26519000002</v>
      </c>
      <c r="IG247" s="413"/>
      <c r="IH247" s="412"/>
      <c r="II247" s="412"/>
      <c r="IJ247" s="412"/>
      <c r="IK247" s="412"/>
      <c r="IL247" s="412"/>
      <c r="IM247" s="412"/>
      <c r="IN247" s="409">
        <v>6</v>
      </c>
      <c r="IO247" s="398" t="e">
        <f>IF(IN247=0,0,IF(LEN(IF247)=11,_xlfn.XLOOKUP(IF247,'Dispensed Ink Rates'!C:C,'Dispensed Ink Rates'!CS:CS),VLOOKUP(IF247,'Jan-2026 rates'!$E:$F,2,0)))</f>
        <v>#N/A</v>
      </c>
      <c r="IP247" s="409"/>
      <c r="IQ247" s="398">
        <f>IF(IP247=0,0,IF(LEN(IG247)=11,_xlfn.XLOOKUP(IG247,'Dispensed Ink Rates'!C:C,'Dispensed Ink Rates'!CS:CS),VLOOKUP(IG247,'Jan-2026 rates'!$E:$F,2,0)))</f>
        <v>0</v>
      </c>
      <c r="IR247" s="409"/>
      <c r="IS247" s="398">
        <f>IF(IR247=0,0,IF(LEN(IH247)=11,_xlfn.XLOOKUP(IH247,'Dispensed Ink Rates'!C:C,'Dispensed Ink Rates'!CS:CS),VLOOKUP(IH247,'Jan-2026 rates'!$E:$F,2,0)))</f>
        <v>0</v>
      </c>
      <c r="IT247" s="409"/>
      <c r="IU247" s="398">
        <f>IF(IT247=0,0,IF(LEN(II247)=11,_xlfn.XLOOKUP(II247,'Dispensed Ink Rates'!C:C,'Dispensed Ink Rates'!CS:CS),VLOOKUP(II247,'Jan-2026 rates'!$E:$F,2,0)))</f>
        <v>0</v>
      </c>
      <c r="IV247" s="409"/>
      <c r="IW247" s="398">
        <f>IF(IV247=0,0,IF(LEN(IJ247)=11,_xlfn.XLOOKUP(IJ247,'Dispensed Ink Rates'!C:C,'Dispensed Ink Rates'!CS:CS),VLOOKUP(IJ247,'Jan-2026 rates'!$E:$F,2,0)))</f>
        <v>0</v>
      </c>
      <c r="IX247" s="409"/>
      <c r="IY247" s="398">
        <f>IF(IX247=0,0,IF(LEN(IK247)=11,_xlfn.XLOOKUP(IK247,'Dispensed Ink Rates'!C:C,'Dispensed Ink Rates'!CS:CS),VLOOKUP(IK247,'Jan-2026 rates'!$E:$F,2,0)))</f>
        <v>0</v>
      </c>
      <c r="IZ247" s="409"/>
      <c r="JA247" s="398">
        <f>IF(IZ247=0,0,IF(LEN(IL247)=11,_xlfn.XLOOKUP(IL247,'Dispensed Ink Rates'!C:C,'Dispensed Ink Rates'!CS:CS),VLOOKUP(IL247,'Jan-2026 rates'!$E:$F,2,0)))</f>
        <v>0</v>
      </c>
      <c r="JB247" s="409"/>
      <c r="JC247" s="398">
        <f>IF(JB247=0,0,IF(LEN(IM247)=11,_xlfn.XLOOKUP(IM247,'Dispensed Ink Rates'!C:C,'Dispensed Ink Rates'!CS:CS),VLOOKUP(IM247,'Jan-2026 rates'!$E:$F,2,0)))</f>
        <v>0</v>
      </c>
      <c r="JD247" s="409" t="s">
        <v>1443</v>
      </c>
      <c r="JE247" s="409">
        <v>29</v>
      </c>
      <c r="JF247" s="411">
        <f t="shared" si="177"/>
        <v>0</v>
      </c>
      <c r="JG247" s="411">
        <f t="shared" si="178"/>
        <v>10.779411764705884</v>
      </c>
      <c r="JH247" s="410">
        <f t="shared" si="179"/>
        <v>0</v>
      </c>
      <c r="JI247" s="405" t="s">
        <v>856</v>
      </c>
      <c r="JJ247" s="409" t="s">
        <v>4062</v>
      </c>
      <c r="JK247" s="420" t="str">
        <f t="shared" si="190"/>
        <v>FLINTSL - WHITE</v>
      </c>
      <c r="JL247" s="409">
        <v>30</v>
      </c>
      <c r="JM247" s="411">
        <f>IF(JL247=0,0,IF($LB247=70%,VLOOKUP($JK247,'Jan-2026 rates'!$L:$R,4,0),IF($LB247=65%,VLOOKUP($JK247,'Jan-2026 rates'!$L:$R,4,0),IF($LB247=40%,VLOOKUP($JK247,'Jan-2026 rates'!$L:$R,5,0),IF($LB247=30%,VLOOKUP($JK247,'Jan-2026 rates'!$L:$R,6,0),IF($LB247=100%,VLOOKUP($JK247,'Jan-2026 rates'!$L:$R,7,0),IF($LB247=60%,VLOOKUP($JK247,'Jan-2026 rates'!$L:$S,8,0),IF($LB247=80%,VLOOKUP($JK247,'Jan-2026 rates'!L:T,9,0),0))))))))</f>
        <v>0</v>
      </c>
      <c r="JN247" s="412"/>
      <c r="JO247" s="409"/>
      <c r="JP247" s="411">
        <f>IF(JO247=0,0,IF($LB247=70%,VLOOKUP($JK247,'Jan-2026 rates'!$L:$R,4,0),IF($LB247=65%,VLOOKUP($JK247,'Jan-2026 rates'!$L:$R,4,0),IF($LB247=40%,VLOOKUP($JK247,'Jan-2026 rates'!$L:$R,5,0),IF($LB247=30%,VLOOKUP($JK247,'Jan-2026 rates'!$L:$R,6,0),IF($LB247=100%,VLOOKUP($JK247,'Jan-2026 rates'!$L:$R,7,0),IF($LB247=60%,VLOOKUP($JK247,'Jan-2026 rates'!$L:$S,8,0),IF($LB247=80%,VLOOKUP($JK247,'Jan-2026 rates'!L:T,9,0),0))))))))</f>
        <v>0</v>
      </c>
      <c r="JQ247" s="413" t="s">
        <v>484</v>
      </c>
      <c r="JR247" s="412"/>
      <c r="JS247" s="413"/>
      <c r="JT247" s="413"/>
      <c r="JU247" s="412"/>
      <c r="JV247" s="412"/>
      <c r="JW247" s="412"/>
      <c r="JX247" s="412"/>
      <c r="JY247" s="409">
        <f>25+50</f>
        <v>75</v>
      </c>
      <c r="JZ247" s="398">
        <f>IF(JY247=0,0,IF(LEN(JQ247)=11,_xlfn.XLOOKUP(JQ247,'Dispensed Ink Rates'!C:C,'Dispensed Ink Rates'!CS:CS),VLOOKUP(JQ247,'Jan-2026 rates'!$E:$F,2,0)))</f>
        <v>0</v>
      </c>
      <c r="KA247" s="409"/>
      <c r="KB247" s="398">
        <f>IF(KA247=0,0,IF(LEN(JR247)=11,_xlfn.XLOOKUP(JR247,'Dispensed Ink Rates'!C:C,'Dispensed Ink Rates'!CS:CS),VLOOKUP(JR247,'Jan-2026 rates'!$E:$F,2,0)))</f>
        <v>0</v>
      </c>
      <c r="KC247" s="409"/>
      <c r="KD247" s="398">
        <f>IF(KC247=0,0,IF(LEN(JS247)=11,_xlfn.XLOOKUP(JS247,'Dispensed Ink Rates'!C:C,'Dispensed Ink Rates'!CS:CS),VLOOKUP(JS247,'Jan-2026 rates'!$E:$F,2,0)))</f>
        <v>0</v>
      </c>
      <c r="KE247" s="409"/>
      <c r="KF247" s="398">
        <f>IF(KE247=0,0,IF(LEN(JT247)=11,_xlfn.XLOOKUP(JT247,'Dispensed Ink Rates'!C:C,'Dispensed Ink Rates'!CS:CS),VLOOKUP(JT247,'Jan-2026 rates'!$E:$F,2,0)))</f>
        <v>0</v>
      </c>
      <c r="KG247" s="409"/>
      <c r="KH247" s="398">
        <f>IF(KG247=0,0,IF(LEN(JU247)=11,_xlfn.XLOOKUP(JU247,'Dispensed Ink Rates'!C:C,'Dispensed Ink Rates'!CS:CS),VLOOKUP(JU247,'Jan-2026 rates'!$E:$F,2,0)))</f>
        <v>0</v>
      </c>
      <c r="KI247" s="409"/>
      <c r="KJ247" s="398">
        <f>IF(KI247=0,0,IF(LEN(JV247)=11,_xlfn.XLOOKUP(JV247,'Dispensed Ink Rates'!C:C,'Dispensed Ink Rates'!CS:CS),VLOOKUP(JV247,'Jan-2026 rates'!$E:$F,2,0)))</f>
        <v>0</v>
      </c>
      <c r="KK247" s="409"/>
      <c r="KL247" s="398">
        <f>IF(KK247=0,0,IF(LEN(JW247)=11,_xlfn.XLOOKUP(JW247,'Dispensed Ink Rates'!C:C,'Dispensed Ink Rates'!CS:CS),VLOOKUP(JW247,'Jan-2026 rates'!$E:$F,2,0)))</f>
        <v>0</v>
      </c>
      <c r="KM247" s="428"/>
      <c r="KN247" s="398">
        <f>IF(KM247=0,0,IF(LEN(JX247)=11,_xlfn.XLOOKUP(JX247,'Dispensed Ink Rates'!C:C,'Dispensed Ink Rates'!CS:CS),VLOOKUP(JX247,'Jan-2026 rates'!$E:$F,2,0)))</f>
        <v>0</v>
      </c>
      <c r="KO247" s="409" t="s">
        <v>1443</v>
      </c>
      <c r="KP247" s="409">
        <v>24</v>
      </c>
      <c r="KQ247" s="411">
        <f t="shared" si="180"/>
        <v>0</v>
      </c>
      <c r="KR247" s="411">
        <f t="shared" si="181"/>
        <v>136.88235294117646</v>
      </c>
      <c r="KS247" s="410">
        <f t="shared" si="182"/>
        <v>0</v>
      </c>
      <c r="KT247" s="409">
        <v>2</v>
      </c>
      <c r="KU247" s="409">
        <v>5</v>
      </c>
      <c r="KV247" s="409">
        <v>5</v>
      </c>
      <c r="KW247" s="409">
        <v>5</v>
      </c>
      <c r="KX247" s="409">
        <v>2</v>
      </c>
      <c r="KY247" s="409">
        <v>2</v>
      </c>
      <c r="KZ247" s="409">
        <f>5+2</f>
        <v>7</v>
      </c>
      <c r="LA247" s="409">
        <f>10+30</f>
        <v>40</v>
      </c>
      <c r="LB247" s="415">
        <v>0.8</v>
      </c>
      <c r="LC247" s="415">
        <v>0.2</v>
      </c>
      <c r="LD247" s="415"/>
      <c r="LE247" s="415"/>
      <c r="LF247" s="415"/>
      <c r="LG247" s="409">
        <v>0</v>
      </c>
      <c r="LH247" s="409">
        <f>40+15+32+8</f>
        <v>95</v>
      </c>
      <c r="LI247" s="409">
        <v>0</v>
      </c>
      <c r="LJ247" s="409">
        <v>0</v>
      </c>
      <c r="LK247" s="416">
        <f t="shared" si="191"/>
        <v>95</v>
      </c>
      <c r="LL247" s="416">
        <f t="shared" si="192"/>
        <v>95</v>
      </c>
      <c r="LM247" s="417">
        <f t="shared" si="193"/>
        <v>76</v>
      </c>
      <c r="LN247" s="417">
        <f>VLOOKUP($LM$8,'Jan-2026 rates'!$H:$I,2,0)</f>
        <v>0</v>
      </c>
      <c r="LO247" s="417">
        <f t="shared" si="194"/>
        <v>19</v>
      </c>
      <c r="LP247" s="417">
        <f>VLOOKUP($LO$8,'Jan-2026 rates'!$H:$I,2,0)</f>
        <v>0</v>
      </c>
      <c r="LQ247" s="417">
        <f t="shared" si="195"/>
        <v>0</v>
      </c>
      <c r="LR247" s="417">
        <f>VLOOKUP($LQ$8,'Jan-2026 rates'!$H:$I,2,0)</f>
        <v>0</v>
      </c>
      <c r="LS247" s="417">
        <f t="shared" si="196"/>
        <v>0</v>
      </c>
      <c r="LT247" s="417">
        <f>VLOOKUP($LS$8,'Jan-2026 rates'!$H:$I,2,0)</f>
        <v>0</v>
      </c>
      <c r="LU247" s="417">
        <f t="shared" si="197"/>
        <v>0</v>
      </c>
      <c r="LV247" s="417">
        <f>VLOOKUP($LU$8,'Jan-2026 rates'!$H:$I,2,0)</f>
        <v>0</v>
      </c>
      <c r="LW247" s="417">
        <f t="shared" si="198"/>
        <v>0</v>
      </c>
      <c r="LX247" s="417">
        <f t="shared" si="199"/>
        <v>0</v>
      </c>
      <c r="LY247" s="418">
        <f t="shared" si="200"/>
        <v>0</v>
      </c>
      <c r="LZ247" s="417"/>
      <c r="MA247" s="435">
        <f t="shared" si="201"/>
        <v>115</v>
      </c>
      <c r="MB247" s="282">
        <f t="shared" si="202"/>
        <v>207</v>
      </c>
      <c r="MC247" s="283">
        <v>140</v>
      </c>
      <c r="MD247" s="284" t="str">
        <f t="shared" si="203"/>
        <v>FLINTSLFLINTSLFLINTSLFLINTSLFLINTSLFLINTSLFLINTSLFLINTSL</v>
      </c>
      <c r="ME247" s="293" t="str">
        <f t="shared" si="204"/>
        <v>+</v>
      </c>
      <c r="MF247" s="293" t="str">
        <f t="shared" si="205"/>
        <v>+</v>
      </c>
      <c r="MG247" s="293" t="str">
        <f t="shared" si="206"/>
        <v>+</v>
      </c>
      <c r="MH247" s="293" t="str">
        <f t="shared" si="207"/>
        <v>+</v>
      </c>
      <c r="MI247" s="293" t="str">
        <f t="shared" si="208"/>
        <v>+</v>
      </c>
      <c r="MJ247" s="293" t="str">
        <f t="shared" si="209"/>
        <v>+</v>
      </c>
      <c r="MK247" s="293" t="str">
        <f t="shared" si="210"/>
        <v>+</v>
      </c>
      <c r="ML247" s="293" t="str">
        <f t="shared" si="211"/>
        <v>+</v>
      </c>
      <c r="MM247" s="3" t="b">
        <f t="array" ref="MM247">OR(ME247:ML247="-")</f>
        <v>0</v>
      </c>
      <c r="MN247" s="285"/>
      <c r="MO247" s="401"/>
      <c r="MP247" s="286"/>
      <c r="MQ247" s="286"/>
      <c r="MR247" s="402"/>
      <c r="MS247" s="400"/>
      <c r="NH247" s="422"/>
      <c r="NJ247" s="421"/>
    </row>
    <row r="248" spans="1:374" s="1" customFormat="1" ht="16.5">
      <c r="A248" s="403">
        <v>46041</v>
      </c>
      <c r="B248" s="404" t="s">
        <v>1015</v>
      </c>
      <c r="C248" s="405" t="s">
        <v>4063</v>
      </c>
      <c r="D248" s="406">
        <v>141</v>
      </c>
      <c r="E248" s="404">
        <v>541</v>
      </c>
      <c r="F248" s="407">
        <v>31600</v>
      </c>
      <c r="G248" s="407" t="s">
        <v>1016</v>
      </c>
      <c r="H248" s="408" t="s">
        <v>1017</v>
      </c>
      <c r="I248" s="409">
        <v>1.7</v>
      </c>
      <c r="J248" s="405" t="s">
        <v>543</v>
      </c>
      <c r="K248" s="404" t="s">
        <v>2801</v>
      </c>
      <c r="L248" s="419" t="str">
        <f t="shared" si="184"/>
        <v>FLINTSL - BLACK</v>
      </c>
      <c r="M248" s="404">
        <v>30</v>
      </c>
      <c r="N248" s="410">
        <f>IF(M248=0,0,IF($LB248=70%,VLOOKUP($L248,'Jan-2026 rates'!$L:$R,4,0),IF($LB248=65%,VLOOKUP($L248,'Jan-2026 rates'!$L:$R,4,0),IF($LB248=40%,VLOOKUP($L248,'Jan-2026 rates'!$L:$R,5,0),IF($LB248=30%,VLOOKUP($L248,'Jan-2026 rates'!$L:$R,6,0),IF($LB248=100%,VLOOKUP($L248,'Jan-2026 rates'!$L:$R,7,0),IF($LB248=60%,VLOOKUP($L248,'Jan-2026 rates'!$L:$S,8,0),IF($LB248=80%,VLOOKUP($L248,'Jan-2026 rates'!L:T,9,0),0))))))))</f>
        <v>0</v>
      </c>
      <c r="O248" s="406"/>
      <c r="P248" s="404"/>
      <c r="Q248" s="410">
        <f>IF(P248=0,0,IF($LB248=70%,VLOOKUP($L248,'Jan-2026 rates'!$L:$R,4,0),IF($LB248=65%,VLOOKUP($L248,'Jan-2026 rates'!$L:$R,4,0),IF($LB248=40%,VLOOKUP($L248,'Jan-2026 rates'!$L:$R,5,0),IF($LB248=30%,VLOOKUP($L248,'Jan-2026 rates'!$L:$R,6,0),IF($LB248=100%,VLOOKUP($L248,'Jan-2026 rates'!$L:$R,7,0),IF($LB248=60%,VLOOKUP($L248,'Jan-2026 rates'!$L:$S,8,0),IF($LB248=80%,VLOOKUP($L248,'Jan-2026 rates'!L:T,9,0),0))))))))</f>
        <v>0</v>
      </c>
      <c r="R248" s="406">
        <v>26517000041</v>
      </c>
      <c r="S248" s="406"/>
      <c r="T248" s="406"/>
      <c r="U248" s="406"/>
      <c r="V248" s="406"/>
      <c r="W248" s="406"/>
      <c r="X248" s="406"/>
      <c r="Y248" s="406"/>
      <c r="Z248" s="404">
        <v>2</v>
      </c>
      <c r="AA248" s="398" t="e">
        <f>IF(Z248=0,0,IF(LEN(R248)=11,_xlfn.XLOOKUP(R248,'Dispensed Ink Rates'!C:C,'Dispensed Ink Rates'!CS:CS),VLOOKUP(R248,'Jan-2026 rates'!$E:$F,2,0)))</f>
        <v>#N/A</v>
      </c>
      <c r="AB248" s="404"/>
      <c r="AC248" s="398">
        <f>IF(AB248=0,0,IF(LEN(S248)=11,_xlfn.XLOOKUP(S248,'Dispensed Ink Rates'!C:C,'Dispensed Ink Rates'!CS:CS),VLOOKUP(S248,'Jan-2026 rates'!$E:$F,2,0)))</f>
        <v>0</v>
      </c>
      <c r="AD248" s="404"/>
      <c r="AE248" s="398">
        <f>IF(AD248=0,0,IF(LEN(T248)=11,_xlfn.XLOOKUP(T248,'Dispensed Ink Rates'!C:C,'Dispensed Ink Rates'!CS:CS),VLOOKUP(T248,'Jan-2026 rates'!$E:$F,2,0)))</f>
        <v>0</v>
      </c>
      <c r="AF248" s="404"/>
      <c r="AG248" s="398">
        <f>IF(AF248=0,0,IF(LEN(U248)=11,_xlfn.XLOOKUP(U248,'Dispensed Ink Rates'!C:C,'Dispensed Ink Rates'!CS:CS),VLOOKUP(U248,'Jan-2026 rates'!$E:$F,2,0)))</f>
        <v>0</v>
      </c>
      <c r="AH248" s="404"/>
      <c r="AI248" s="398">
        <f>IF(AH248=0,0,IF(LEN(V248)=11,_xlfn.XLOOKUP(V248,'Dispensed Ink Rates'!C:C,'Dispensed Ink Rates'!CS:CS),VLOOKUP(V248,'Jan-2026 rates'!$E:$F,2,0)))</f>
        <v>0</v>
      </c>
      <c r="AJ248" s="404"/>
      <c r="AK248" s="398">
        <f>IF(AJ248=0,0,IF(LEN(W248)=11,_xlfn.XLOOKUP(W248,'Dispensed Ink Rates'!C:C,'Dispensed Ink Rates'!CS:CS),VLOOKUP(W248,'Jan-2026 rates'!$E:$F,2,0)))</f>
        <v>0</v>
      </c>
      <c r="AL248" s="404"/>
      <c r="AM248" s="398">
        <f>IF(AL248=0,0,IF(LEN(X248)=11,_xlfn.XLOOKUP(X248,'Dispensed Ink Rates'!C:C,'Dispensed Ink Rates'!CS:CS),VLOOKUP(X248,'Jan-2026 rates'!$E:$F,2,0)))</f>
        <v>0</v>
      </c>
      <c r="AN248" s="404"/>
      <c r="AO248" s="398">
        <f>IF(AN248=0,0,IF(LEN(Y248)=11,_xlfn.XLOOKUP(Y248,'Dispensed Ink Rates'!C:C,'Dispensed Ink Rates'!CS:CS),VLOOKUP(Y248,'Jan-2026 rates'!$E:$F,2,0)))</f>
        <v>0</v>
      </c>
      <c r="AP248" s="409" t="s">
        <v>1443</v>
      </c>
      <c r="AQ248" s="409">
        <v>28</v>
      </c>
      <c r="AR248" s="410">
        <f t="shared" si="159"/>
        <v>0</v>
      </c>
      <c r="AS248" s="411">
        <f t="shared" si="160"/>
        <v>13.918367346938773</v>
      </c>
      <c r="AT248" s="410">
        <f t="shared" si="161"/>
        <v>0</v>
      </c>
      <c r="AU248" s="405" t="s">
        <v>857</v>
      </c>
      <c r="AV248" s="409" t="s">
        <v>2805</v>
      </c>
      <c r="AW248" s="420" t="str">
        <f t="shared" si="183"/>
        <v>FLINTSL - RED</v>
      </c>
      <c r="AX248" s="409">
        <v>28</v>
      </c>
      <c r="AY248" s="411">
        <f>IF(AX248=0,0,IF($LB248=70%,VLOOKUP($AW248,'Jan-2026 rates'!$L:$R,4,0),IF($LB248=65%,VLOOKUP($AW248,'Jan-2026 rates'!$L:$R,4,0),IF($LB248=40%,VLOOKUP($AW248,'Jan-2026 rates'!$L:$R,5,0),IF($LB248=30%,VLOOKUP($AW248,'Jan-2026 rates'!$L:$R,6,0),IF($LB248=100%,VLOOKUP($AW248,'Jan-2026 rates'!$L:$R,7,0),IF($LB248=60%,VLOOKUP($AW248,'Jan-2026 rates'!$L:$S,8,0),IF($LB248=80%,VLOOKUP($AW248,'Jan-2026 rates'!L:T,9,0),0))))))))</f>
        <v>0</v>
      </c>
      <c r="AZ248" s="412"/>
      <c r="BA248" s="409"/>
      <c r="BB248" s="411">
        <f>IF(BA248=0,0,IF($LB248=70%,VLOOKUP($AW248,'Jan-2026 rates'!$L:$R,4,0),IF($LB248=65%,VLOOKUP($AW248,'Jan-2026 rates'!$L:$R,4,0),IF($LB248=40%,VLOOKUP($AW248,'Jan-2026 rates'!$L:$R,5,0),IF($LB248=30%,VLOOKUP($AW248,'Jan-2026 rates'!$L:$R,6,0),IF($LB248=100%,VLOOKUP($AW248,'Jan-2026 rates'!$L:$R,7,0),IF($LB248=60%,VLOOKUP($AW248,'Jan-2026 rates'!$L:$S,8,0),IF($LB248=80%,VLOOKUP($AW248,'Jan-2026 rates'!L:T,9,0),0))))))))</f>
        <v>0</v>
      </c>
      <c r="BC248" s="413">
        <v>26520000011</v>
      </c>
      <c r="BD248" s="412">
        <v>26520000008</v>
      </c>
      <c r="BE248" s="412"/>
      <c r="BF248" s="413"/>
      <c r="BG248" s="412"/>
      <c r="BH248" s="412"/>
      <c r="BI248" s="412"/>
      <c r="BJ248" s="412"/>
      <c r="BK248" s="409">
        <v>1</v>
      </c>
      <c r="BL248" s="398" t="e">
        <f>IF(BK248=0,0,IF(LEN(BC248)=11,_xlfn.XLOOKUP(BC248,'Dispensed Ink Rates'!C:C,'Dispensed Ink Rates'!CS:CS),VLOOKUP(BC248,'Jan-2026 rates'!$E:$F,2,0)))</f>
        <v>#N/A</v>
      </c>
      <c r="BM248" s="409">
        <v>1</v>
      </c>
      <c r="BN248" s="398" t="e">
        <f>IF(BM248=0,0,IF(LEN(BD248)=11,_xlfn.XLOOKUP(BD248,'Dispensed Ink Rates'!C:C,'Dispensed Ink Rates'!CS:CS),VLOOKUP(BD248,'Jan-2026 rates'!$E:$F,2,0)))</f>
        <v>#N/A</v>
      </c>
      <c r="BO248" s="409"/>
      <c r="BP248" s="398">
        <f>IF(BO248=0,0,IF(LEN(BE248)=11,_xlfn.XLOOKUP(BE248,'Dispensed Ink Rates'!C:C,'Dispensed Ink Rates'!CS:CS),VLOOKUP(BE248,'Jan-2026 rates'!$E:$F,2,0)))</f>
        <v>0</v>
      </c>
      <c r="BQ248" s="409"/>
      <c r="BR248" s="398">
        <f>IF(BQ248=0,0,IF(LEN(BF248)=11,_xlfn.XLOOKUP(BF248,'Dispensed Ink Rates'!C:C,'Dispensed Ink Rates'!CS:CS),VLOOKUP(BF248,'Jan-2026 rates'!$E:$F,2,0)))</f>
        <v>0</v>
      </c>
      <c r="BS248" s="409"/>
      <c r="BT248" s="398">
        <f>IF(BS248=0,0,IF(LEN(BG248)=11,_xlfn.XLOOKUP(BG248,'Dispensed Ink Rates'!C:C,'Dispensed Ink Rates'!CS:CS),VLOOKUP(BG248,'Jan-2026 rates'!$E:$F,2,0)))</f>
        <v>0</v>
      </c>
      <c r="BU248" s="409"/>
      <c r="BV248" s="398">
        <f>IF(BU248=0,0,IF(LEN(BH248)=11,_xlfn.XLOOKUP(BH248,'Dispensed Ink Rates'!C:C,'Dispensed Ink Rates'!CS:CS),VLOOKUP(BH248,'Jan-2026 rates'!$E:$F,2,0)))</f>
        <v>0</v>
      </c>
      <c r="BW248" s="409"/>
      <c r="BX248" s="398">
        <f>IF(BW248=0,0,IF(LEN(BI248)=11,_xlfn.XLOOKUP(BI248,'Dispensed Ink Rates'!C:C,'Dispensed Ink Rates'!CS:CS),VLOOKUP(BI248,'Jan-2026 rates'!$E:$F,2,0)))</f>
        <v>0</v>
      </c>
      <c r="BY248" s="409"/>
      <c r="BZ248" s="398">
        <f>IF(BY248=0,0,IF(LEN(BJ248)=11,_xlfn.XLOOKUP(BJ248,'Dispensed Ink Rates'!C:C,'Dispensed Ink Rates'!CS:CS),VLOOKUP(BJ248,'Jan-2026 rates'!$E:$F,2,0)))</f>
        <v>0</v>
      </c>
      <c r="CA248" s="409" t="s">
        <v>1443</v>
      </c>
      <c r="CB248" s="409">
        <v>27</v>
      </c>
      <c r="CC248" s="411">
        <f t="shared" si="162"/>
        <v>0</v>
      </c>
      <c r="CD248" s="411">
        <f t="shared" si="163"/>
        <v>3</v>
      </c>
      <c r="CE248" s="410">
        <f t="shared" si="164"/>
        <v>0</v>
      </c>
      <c r="CF248" s="404" t="s">
        <v>546</v>
      </c>
      <c r="CG248" s="409"/>
      <c r="CH248" s="420" t="str">
        <f t="shared" si="185"/>
        <v>FLINTSL - REFLEX BLUE</v>
      </c>
      <c r="CI248" s="409"/>
      <c r="CJ248" s="411">
        <f>IF(CI248=0,0,IF($LB248=70%,VLOOKUP($CH248,'Jan-2026 rates'!$L:$R,4,0),IF($LB248=65%,VLOOKUP($CH248,'Jan-2026 rates'!$L:$R,4,0),IF($LB248=40%,VLOOKUP($CH248,'Jan-2026 rates'!$L:$R,5,0),IF($LB248=30%,VLOOKUP($CH248,'Jan-2026 rates'!$L:$R,6,0),IF($LB248=100%,VLOOKUP($CH248,'Jan-2026 rates'!$L:$R,7,0),IF($LB248=60%,VLOOKUP($CH248,'Jan-2026 rates'!$L:$S,8,0),IF($LB248=80%,VLOOKUP($CH248,'Jan-2026 rates'!L:T,9,0),0))))))))</f>
        <v>0</v>
      </c>
      <c r="CK248" s="412"/>
      <c r="CL248" s="409"/>
      <c r="CM248" s="411">
        <f>IF(CL248=0,0,IF($LB248=70%,VLOOKUP($CH248,'Jan-2026 rates'!$L:$R,4,0),IF($LB248=65%,VLOOKUP($CH248,'Jan-2026 rates'!$L:$R,4,0),IF($LB248=40%,VLOOKUP($CH248,'Jan-2026 rates'!$L:$R,5,0),IF($LB248=30%,VLOOKUP($CH248,'Jan-2026 rates'!$L:$R,6,0),IF($LB248=100%,VLOOKUP($CH248,'Jan-2026 rates'!$L:$R,7,0),IF($LB248=60%,VLOOKUP($CH248,'Jan-2026 rates'!$L:$S,8,0),IF($LB248=80%,VLOOKUP($CH248,'Jan-2026 rates'!L:T,9,0),0))))))))</f>
        <v>0</v>
      </c>
      <c r="CN248" s="426">
        <v>26519000022</v>
      </c>
      <c r="CO248" s="427">
        <v>26519000023</v>
      </c>
      <c r="CP248" s="426">
        <v>26519000020</v>
      </c>
      <c r="CQ248" s="426">
        <v>26519000019</v>
      </c>
      <c r="CR248" s="428"/>
      <c r="CS248" s="428"/>
      <c r="CT248" s="428"/>
      <c r="CU248" s="428"/>
      <c r="CV248" s="409">
        <v>30</v>
      </c>
      <c r="CW248" s="398" t="e">
        <f>IF(CV248=0,0,IF(LEN(CN248)=11,_xlfn.XLOOKUP(CN248,'Dispensed Ink Rates'!C:C,'Dispensed Ink Rates'!CS:CS),VLOOKUP(CN248,'Jan-2026 rates'!$E:$F,2,0)))</f>
        <v>#N/A</v>
      </c>
      <c r="CX248" s="409">
        <v>40</v>
      </c>
      <c r="CY248" s="398" t="e">
        <f>IF(CX248=0,0,IF(LEN(CO248)=11,_xlfn.XLOOKUP(CO248,'Dispensed Ink Rates'!C:C,'Dispensed Ink Rates'!CS:CS),VLOOKUP(CO248,'Jan-2026 rates'!$E:$F,2,0)))</f>
        <v>#N/A</v>
      </c>
      <c r="CZ248" s="409">
        <v>20</v>
      </c>
      <c r="DA248" s="398" t="e">
        <f>IF(CZ248=0,0,IF(LEN(CP248)=11,_xlfn.XLOOKUP(CP248,'Dispensed Ink Rates'!C:C,'Dispensed Ink Rates'!CS:CS),VLOOKUP(CP248,'Jan-2026 rates'!$E:$F,2,0)))</f>
        <v>#N/A</v>
      </c>
      <c r="DB248" s="409">
        <v>20</v>
      </c>
      <c r="DC248" s="398" t="e">
        <f>IF(DB248=0,0,IF(LEN(CQ248)=11,_xlfn.XLOOKUP(CQ248,'Dispensed Ink Rates'!C:C,'Dispensed Ink Rates'!CS:CS),VLOOKUP(CQ248,'Jan-2026 rates'!$E:$F,2,0)))</f>
        <v>#N/A</v>
      </c>
      <c r="DD248" s="409"/>
      <c r="DE248" s="398">
        <f>IF(DD248=0,0,IF(LEN(CR248)=11,_xlfn.XLOOKUP(CR248,'Dispensed Ink Rates'!C:C,'Dispensed Ink Rates'!CS:CS),VLOOKUP(CR248,'Jan-2026 rates'!$E:$F,2,0)))</f>
        <v>0</v>
      </c>
      <c r="DF248" s="409"/>
      <c r="DG248" s="398">
        <f>IF(DF248=0,0,IF(LEN(CS248)=11,_xlfn.XLOOKUP(CS248,'Dispensed Ink Rates'!C:C,'Dispensed Ink Rates'!CS:CS),VLOOKUP(CS248,'Jan-2026 rates'!$E:$F,2,0)))</f>
        <v>0</v>
      </c>
      <c r="DH248" s="409"/>
      <c r="DI248" s="398">
        <f>IF(DH248=0,0,IF(LEN(CT248)=11,_xlfn.XLOOKUP(CT248,'Dispensed Ink Rates'!C:C,'Dispensed Ink Rates'!CS:CS),VLOOKUP(CT248,'Jan-2026 rates'!$E:$F,2,0)))</f>
        <v>0</v>
      </c>
      <c r="DJ248" s="409"/>
      <c r="DK248" s="398">
        <f>IF(DJ248=0,0,IF(LEN(CU248)=11,_xlfn.XLOOKUP(CU248,'Dispensed Ink Rates'!C:C,'Dispensed Ink Rates'!CS:CS),VLOOKUP(CU248,'Jan-2026 rates'!$E:$F,2,0)))</f>
        <v>0</v>
      </c>
      <c r="DL248" s="409" t="s">
        <v>1443</v>
      </c>
      <c r="DM248" s="409">
        <v>15</v>
      </c>
      <c r="DN248" s="411">
        <f t="shared" si="165"/>
        <v>0</v>
      </c>
      <c r="DO248" s="411">
        <f t="shared" si="166"/>
        <v>128.0612244897959</v>
      </c>
      <c r="DP248" s="410">
        <f t="shared" si="167"/>
        <v>0</v>
      </c>
      <c r="DQ248" s="405" t="s">
        <v>855</v>
      </c>
      <c r="DR248" s="409" t="s">
        <v>4064</v>
      </c>
      <c r="DS248" s="420" t="str">
        <f t="shared" si="186"/>
        <v>FLINTSL - CYAN</v>
      </c>
      <c r="DT248" s="409">
        <v>29</v>
      </c>
      <c r="DU248" s="411">
        <f>IF(DT248=0,0,IF($LB248=70%,VLOOKUP($DS248,'Jan-2026 rates'!$L:$R,4,0),IF($LB248=65%,VLOOKUP($DS248,'Jan-2026 rates'!$L:$R,4,0),IF($LB248=40%,VLOOKUP($DS248,'Jan-2026 rates'!$L:$R,5,0),IF($LB248=30%,VLOOKUP($DS248,'Jan-2026 rates'!$L:$R,6,0),IF($LB248=100%,VLOOKUP($DS248,'Jan-2026 rates'!$L:$R,7,0),IF($LB248=60%,VLOOKUP($DS248,'Jan-2026 rates'!$L:$S,8,0),IF($LB248=80%,VLOOKUP($DS248,'Jan-2026 rates'!L:T,9,0),0))))))))</f>
        <v>0</v>
      </c>
      <c r="DV248" s="412"/>
      <c r="DW248" s="409"/>
      <c r="DX248" s="411">
        <f>IF(DW248=0,0,IF($LB248=70%,VLOOKUP($DS248,'Jan-2026 rates'!$L:$R,4,0),IF($LB248=65%,VLOOKUP($DS248,'Jan-2026 rates'!$L:$R,4,0),IF($LB248=40%,VLOOKUP($DS248,'Jan-2026 rates'!$L:$R,5,0),IF($LB248=30%,VLOOKUP($DS248,'Jan-2026 rates'!$L:$R,6,0),IF($LB248=100%,VLOOKUP($DS248,'Jan-2026 rates'!$L:$R,7,0),IF($LB248=60%,VLOOKUP($DS248,'Jan-2026 rates'!$L:$S,8,0),IF($LB248=80%,VLOOKUP($DS248,'Jan-2026 rates'!L:T,9,0),0))))))))</f>
        <v>0</v>
      </c>
      <c r="DY248" s="413" t="s">
        <v>1266</v>
      </c>
      <c r="DZ248" s="413"/>
      <c r="EA248" s="412"/>
      <c r="EB248" s="412"/>
      <c r="EC248" s="412"/>
      <c r="ED248" s="412"/>
      <c r="EE248" s="412"/>
      <c r="EF248" s="412"/>
      <c r="EG248" s="409">
        <v>5</v>
      </c>
      <c r="EH248" s="398">
        <f>IF(EG248=0,0,IF(LEN(DY248)=11,_xlfn.XLOOKUP(DY248,'Dispensed Ink Rates'!C:C,'Dispensed Ink Rates'!CS:CS),VLOOKUP(DY248,'Jan-2026 rates'!$E:$F,2,0)))</f>
        <v>0</v>
      </c>
      <c r="EI248" s="409"/>
      <c r="EJ248" s="398">
        <f>IF(EI248=0,0,IF(LEN(DZ248)=11,_xlfn.XLOOKUP(DZ248,'Dispensed Ink Rates'!C:C,'Dispensed Ink Rates'!CS:CS),VLOOKUP(DZ248,'Jan-2026 rates'!$E:$F,2,0)))</f>
        <v>0</v>
      </c>
      <c r="EK248" s="409"/>
      <c r="EL248" s="398">
        <f>IF(EK248=0,0,IF(LEN(EA248)=11,_xlfn.XLOOKUP(EA248,'Dispensed Ink Rates'!C:C,'Dispensed Ink Rates'!CS:CS),VLOOKUP(EA248,'Jan-2026 rates'!$E:$F,2,0)))</f>
        <v>0</v>
      </c>
      <c r="EM248" s="409"/>
      <c r="EN248" s="398">
        <f>IF(EM248=0,0,IF(LEN(EB248)=11,_xlfn.XLOOKUP(EB248,'Dispensed Ink Rates'!C:C,'Dispensed Ink Rates'!CS:CS),VLOOKUP(EB248,'Jan-2026 rates'!$E:$F,2,0)))</f>
        <v>0</v>
      </c>
      <c r="EO248" s="409"/>
      <c r="EP248" s="398">
        <f>IF(EO248=0,0,IF(LEN(EC248)=11,_xlfn.XLOOKUP(EC248,'Dispensed Ink Rates'!C:C,'Dispensed Ink Rates'!CS:CS),VLOOKUP(EC248,'Jan-2026 rates'!$E:$F,2,0)))</f>
        <v>0</v>
      </c>
      <c r="EQ248" s="409"/>
      <c r="ER248" s="398">
        <f>IF(EQ248=0,0,IF(LEN(ED248)=11,_xlfn.XLOOKUP(ED248,'Dispensed Ink Rates'!C:C,'Dispensed Ink Rates'!CS:CS),VLOOKUP(ED248,'Jan-2026 rates'!$E:$F,2,0)))</f>
        <v>0</v>
      </c>
      <c r="ES248" s="409"/>
      <c r="ET248" s="398">
        <f>IF(ES248=0,0,IF(LEN(EE248)=11,_xlfn.XLOOKUP(EE248,'Dispensed Ink Rates'!C:C,'Dispensed Ink Rates'!CS:CS),VLOOKUP(EE248,'Jan-2026 rates'!$E:$F,2,0)))</f>
        <v>0</v>
      </c>
      <c r="EU248" s="409"/>
      <c r="EV248" s="398">
        <f>IF(EU248=0,0,IF(LEN(EF248)=11,_xlfn.XLOOKUP(EF248,'Dispensed Ink Rates'!C:C,'Dispensed Ink Rates'!CS:CS),VLOOKUP(EF248,'Jan-2026 rates'!$E:$F,2,0)))</f>
        <v>0</v>
      </c>
      <c r="EW248" s="409" t="s">
        <v>1443</v>
      </c>
      <c r="EX248" s="409">
        <v>28</v>
      </c>
      <c r="EY248" s="411">
        <f t="shared" si="168"/>
        <v>0</v>
      </c>
      <c r="EZ248" s="411">
        <f t="shared" si="169"/>
        <v>12.612244897959187</v>
      </c>
      <c r="FA248" s="410">
        <f t="shared" si="170"/>
        <v>0</v>
      </c>
      <c r="FB248" s="405" t="s">
        <v>544</v>
      </c>
      <c r="FC248" s="409" t="s">
        <v>2810</v>
      </c>
      <c r="FD248" s="420" t="str">
        <f t="shared" si="187"/>
        <v>FLINTSL - MAGENTA</v>
      </c>
      <c r="FE248" s="409">
        <v>28</v>
      </c>
      <c r="FF248" s="411">
        <f>IF(FE248=0,0,IF($LB248=70%,VLOOKUP($FD248,'Jan-2026 rates'!$L:$R,4,0),IF($LB248=65%,VLOOKUP($FD248,'Jan-2026 rates'!$L:$R,4,0),IF($LB248=40%,VLOOKUP($FD248,'Jan-2026 rates'!$L:$R,5,0),IF($LB248=30%,VLOOKUP($FD248,'Jan-2026 rates'!$L:$R,6,0),IF($LB248=100%,VLOOKUP($FD248,'Jan-2026 rates'!$L:$R,7,0),IF($LB248=60%,VLOOKUP($FD248,'Jan-2026 rates'!$L:$S,8,0),IF($LB248=80%,VLOOKUP($FD248,'Jan-2026 rates'!L:T,9,0),0))))))))</f>
        <v>0</v>
      </c>
      <c r="FG248" s="412"/>
      <c r="FH248" s="409"/>
      <c r="FI248" s="411">
        <f>IF(FH248=0,0,IF($LB248=70%,VLOOKUP($FD248,'Jan-2026 rates'!$L:$R,4,0),IF($LB248=65%,VLOOKUP($FD248,'Jan-2026 rates'!$L:$R,4,0),IF($LB248=40%,VLOOKUP($FD248,'Jan-2026 rates'!$L:$R,5,0),IF($LB248=30%,VLOOKUP($FD248,'Jan-2026 rates'!$L:$R,6,0),IF($LB248=100%,VLOOKUP($FD248,'Jan-2026 rates'!$L:$R,7,0),IF($LB248=60%,VLOOKUP($FD248,'Jan-2026 rates'!$L:$S,8,0),IF($LB248=80%,VLOOKUP($FD248,'Jan-2026 rates'!L:T,9,0),0))))))))</f>
        <v>0</v>
      </c>
      <c r="FJ248" s="413">
        <v>26519000021</v>
      </c>
      <c r="FK248" s="413"/>
      <c r="FL248" s="413"/>
      <c r="FM248" s="412"/>
      <c r="FN248" s="412"/>
      <c r="FO248" s="412"/>
      <c r="FP248" s="412"/>
      <c r="FQ248" s="412"/>
      <c r="FR248" s="409">
        <v>2</v>
      </c>
      <c r="FS248" s="398" t="e">
        <f>IF(FR248=0,0,IF(LEN(FJ248)=11,_xlfn.XLOOKUP(FJ248,'Dispensed Ink Rates'!C:C,'Dispensed Ink Rates'!CS:CS),VLOOKUP(FJ248,'Jan-2026 rates'!$E:$F,2,0)))</f>
        <v>#N/A</v>
      </c>
      <c r="FT248" s="409"/>
      <c r="FU248" s="398">
        <f>IF(FT248=0,0,IF(LEN(FK248)=11,_xlfn.XLOOKUP(FK248,'Dispensed Ink Rates'!C:C,'Dispensed Ink Rates'!CS:CS),VLOOKUP(FK248,'Jan-2026 rates'!$E:$F,2,0)))</f>
        <v>0</v>
      </c>
      <c r="FV248" s="409"/>
      <c r="FW248" s="398">
        <f>IF(FV248=0,0,IF(LEN(FL248)=11,_xlfn.XLOOKUP(FL248,'Dispensed Ink Rates'!C:C,'Dispensed Ink Rates'!CS:CS),VLOOKUP(FL248,'Jan-2026 rates'!$E:$F,2,0)))</f>
        <v>0</v>
      </c>
      <c r="FX248" s="409"/>
      <c r="FY248" s="398">
        <f>IF(FX248=0,0,IF(LEN(FM248)=11,_xlfn.XLOOKUP(FM248,'Dispensed Ink Rates'!C:C,'Dispensed Ink Rates'!CS:CS),VLOOKUP(FM248,'Jan-2026 rates'!$E:$F,2,0)))</f>
        <v>0</v>
      </c>
      <c r="FZ248" s="409"/>
      <c r="GA248" s="398">
        <f>IF(FZ248=0,0,IF(LEN(FN248)=11,_xlfn.XLOOKUP(FN248,'Dispensed Ink Rates'!C:C,'Dispensed Ink Rates'!CS:CS),VLOOKUP(FN248,'Jan-2026 rates'!$E:$F,2,0)))</f>
        <v>0</v>
      </c>
      <c r="GB248" s="409"/>
      <c r="GC248" s="398">
        <f>IF(GB248=0,0,IF(LEN(FO248)=11,_xlfn.XLOOKUP(FO248,'Dispensed Ink Rates'!C:C,'Dispensed Ink Rates'!CS:CS),VLOOKUP(FO248,'Jan-2026 rates'!$E:$F,2,0)))</f>
        <v>0</v>
      </c>
      <c r="GD248" s="409"/>
      <c r="GE248" s="398">
        <f>IF(GD248=0,0,IF(LEN(FP248)=11,_xlfn.XLOOKUP(FP248,'Dispensed Ink Rates'!C:C,'Dispensed Ink Rates'!CS:CS),VLOOKUP(FP248,'Jan-2026 rates'!$E:$F,2,0)))</f>
        <v>0</v>
      </c>
      <c r="GF248" s="409"/>
      <c r="GG248" s="398">
        <f>IF(GF248=0,0,IF(LEN(FQ248)=11,_xlfn.XLOOKUP(FQ248,'Dispensed Ink Rates'!C:C,'Dispensed Ink Rates'!CS:CS),VLOOKUP(FQ248,'Jan-2026 rates'!$E:$F,2,0)))</f>
        <v>0</v>
      </c>
      <c r="GH248" s="409" t="s">
        <v>1443</v>
      </c>
      <c r="GI248" s="409">
        <v>27</v>
      </c>
      <c r="GJ248" s="411">
        <f t="shared" si="171"/>
        <v>0</v>
      </c>
      <c r="GK248" s="411">
        <f t="shared" si="172"/>
        <v>9.6122448979591866</v>
      </c>
      <c r="GL248" s="410">
        <f t="shared" si="173"/>
        <v>0</v>
      </c>
      <c r="GM248" s="405" t="s">
        <v>545</v>
      </c>
      <c r="GN248" s="409" t="s">
        <v>2811</v>
      </c>
      <c r="GO248" s="420" t="str">
        <f t="shared" si="188"/>
        <v>FLINTSL - YELLOW</v>
      </c>
      <c r="GP248" s="409">
        <v>27</v>
      </c>
      <c r="GQ248" s="411">
        <f>IF(GP248=0,0,IF($LB248=70%,VLOOKUP($GO248,'Jan-2026 rates'!$L:$R,4,0),IF($LB248=65%,VLOOKUP($GO248,'Jan-2026 rates'!$L:$R,4,0),IF($LB248=40%,VLOOKUP($GO248,'Jan-2026 rates'!$L:$R,5,0),IF($LB248=30%,VLOOKUP($GO248,'Jan-2026 rates'!$L:$R,6,0),IF($LB248=100%,VLOOKUP($GO248,'Jan-2026 rates'!$L:$R,7,0),IF($LB248=60%,VLOOKUP($GO248,'Jan-2026 rates'!$L:$S,8,0),IF($LB248=80%,VLOOKUP($GO248,'Jan-2026 rates'!L:T,9,0),0))))))))</f>
        <v>0</v>
      </c>
      <c r="GR248" s="412"/>
      <c r="GS248" s="409"/>
      <c r="GT248" s="411">
        <f>IF(GS248=0,0,IF($LB248=70%,VLOOKUP($GO248,'Jan-2026 rates'!$L:$R,4,0),IF($LB248=65%,VLOOKUP($GO248,'Jan-2026 rates'!$L:$R,4,0),IF($LB248=40%,VLOOKUP($GO248,'Jan-2026 rates'!$L:$R,5,0),IF($LB248=30%,VLOOKUP($GO248,'Jan-2026 rates'!$L:$R,6,0),IF($LB248=100%,VLOOKUP($GO248,'Jan-2026 rates'!$L:$R,7,0),IF($LB248=60%,VLOOKUP($GO248,'Jan-2026 rates'!$L:$S,8,0),IF($LB248=80%,VLOOKUP($GO248,'Jan-2026 rates'!L:T,9,0),0))))))))</f>
        <v>0</v>
      </c>
      <c r="GU248" s="413">
        <v>26519000002</v>
      </c>
      <c r="GV248" s="413"/>
      <c r="GW248" s="412"/>
      <c r="GX248" s="412"/>
      <c r="GY248" s="412"/>
      <c r="GZ248" s="412"/>
      <c r="HA248" s="412"/>
      <c r="HB248" s="412"/>
      <c r="HC248" s="409">
        <v>5</v>
      </c>
      <c r="HD248" s="398" t="e">
        <f>IF(HC248=0,0,IF(LEN(GU248)=11,_xlfn.XLOOKUP(GU248,'Dispensed Ink Rates'!C:C,'Dispensed Ink Rates'!CS:CS),VLOOKUP(GU248,'Jan-2026 rates'!$E:$F,2,0)))</f>
        <v>#N/A</v>
      </c>
      <c r="HE248" s="409"/>
      <c r="HF248" s="398">
        <f>IF(HE248=0,0,IF(LEN(GV248)=11,_xlfn.XLOOKUP(GV248,'Dispensed Ink Rates'!C:C,'Dispensed Ink Rates'!CS:CS),VLOOKUP(GV248,'Jan-2026 rates'!$E:$F,2,0)))</f>
        <v>0</v>
      </c>
      <c r="HG248" s="409"/>
      <c r="HH248" s="398">
        <f>IF(HG248=0,0,IF(LEN(GW248)=11,_xlfn.XLOOKUP(GW248,'Dispensed Ink Rates'!C:C,'Dispensed Ink Rates'!CS:CS),VLOOKUP(GW248,'Jan-2026 rates'!$E:$F,2,0)))</f>
        <v>0</v>
      </c>
      <c r="HI248" s="409"/>
      <c r="HJ248" s="398">
        <f>IF(HI248=0,0,IF(LEN(GX248)=11,_xlfn.XLOOKUP(GX248,'Dispensed Ink Rates'!C:C,'Dispensed Ink Rates'!CS:CS),VLOOKUP(GX248,'Jan-2026 rates'!$E:$F,2,0)))</f>
        <v>0</v>
      </c>
      <c r="HK248" s="409"/>
      <c r="HL248" s="398">
        <f>IF(HK248=0,0,IF(LEN(GY248)=11,_xlfn.XLOOKUP(GY248,'Dispensed Ink Rates'!C:C,'Dispensed Ink Rates'!CS:CS),VLOOKUP(GY248,'Jan-2026 rates'!$E:$F,2,0)))</f>
        <v>0</v>
      </c>
      <c r="HM248" s="409"/>
      <c r="HN248" s="398">
        <f>IF(HM248=0,0,IF(LEN(GZ248)=11,_xlfn.XLOOKUP(GZ248,'Dispensed Ink Rates'!C:C,'Dispensed Ink Rates'!CS:CS),VLOOKUP(GZ248,'Jan-2026 rates'!$E:$F,2,0)))</f>
        <v>0</v>
      </c>
      <c r="HO248" s="409"/>
      <c r="HP248" s="398">
        <f>IF(HO248=0,0,IF(LEN(HA248)=11,_xlfn.XLOOKUP(HA248,'Dispensed Ink Rates'!C:C,'Dispensed Ink Rates'!CS:CS),VLOOKUP(HA248,'Jan-2026 rates'!$E:$F,2,0)))</f>
        <v>0</v>
      </c>
      <c r="HQ248" s="409"/>
      <c r="HR248" s="398">
        <f>IF(HQ248=0,0,IF(LEN(HB248)=11,_xlfn.XLOOKUP(HB248,'Dispensed Ink Rates'!C:C,'Dispensed Ink Rates'!CS:CS),VLOOKUP(HB248,'Jan-2026 rates'!$E:$F,2,0)))</f>
        <v>0</v>
      </c>
      <c r="HS248" s="409" t="s">
        <v>1443</v>
      </c>
      <c r="HT248" s="409">
        <v>26</v>
      </c>
      <c r="HU248" s="411">
        <f t="shared" si="174"/>
        <v>0</v>
      </c>
      <c r="HV248" s="411">
        <f t="shared" si="175"/>
        <v>12.612244897959187</v>
      </c>
      <c r="HW248" s="414">
        <f t="shared" si="176"/>
        <v>0</v>
      </c>
      <c r="HX248" s="405" t="s">
        <v>856</v>
      </c>
      <c r="HY248" s="409" t="s">
        <v>4065</v>
      </c>
      <c r="HZ248" s="420" t="str">
        <f t="shared" si="189"/>
        <v>FLINTSL - WHITE</v>
      </c>
      <c r="IA248" s="409">
        <v>30</v>
      </c>
      <c r="IB248" s="411">
        <f>IF(IA248=0,0,IF($LB248=70%,VLOOKUP($HZ248,'Jan-2026 rates'!$L:$R,4,0),IF($LB248=65%,VLOOKUP($HZ248,'Jan-2026 rates'!$L:$R,4,0),IF($LB248=40%,VLOOKUP($HZ248,'Jan-2026 rates'!$L:$R,5,0),IF($LB248=30%,VLOOKUP($HZ248,'Jan-2026 rates'!$L:$R,6,0),IF($LB248=100%,VLOOKUP($HZ248,'Jan-2026 rates'!$L:$R,7,0),IF($LB248=60%,VLOOKUP($HZ248,'Jan-2026 rates'!$L:$S,8,0),IF($LB248=80%,VLOOKUP($HZ248,'Jan-2026 rates'!L:T,9,0),0))))))))</f>
        <v>0</v>
      </c>
      <c r="IC248" s="412"/>
      <c r="ID248" s="409"/>
      <c r="IE248" s="411">
        <f>IF(ID248=0,0,IF($LB248=70%,VLOOKUP($HZ248,'Jan-2026 rates'!$L:$R,4,0),IF($LB248=65%,VLOOKUP($HZ248,'Jan-2026 rates'!$L:$R,4,0),IF($LB248=40%,VLOOKUP($HZ248,'Jan-2026 rates'!$L:$R,5,0),IF($LB248=30%,VLOOKUP($HZ248,'Jan-2026 rates'!$L:$R,6,0),IF($LB248=100%,VLOOKUP($HZ248,'Jan-2026 rates'!$L:$R,7,0),IF($LB248=60%,VLOOKUP($HZ248,'Jan-2026 rates'!$L:$S,8,0),IF($LB248=80%,VLOOKUP($HZ248,'Jan-2026 rates'!L:T,9,0),0))))))))</f>
        <v>0</v>
      </c>
      <c r="IF248" s="412" t="s">
        <v>484</v>
      </c>
      <c r="IG248" s="413"/>
      <c r="IH248" s="412"/>
      <c r="II248" s="412"/>
      <c r="IJ248" s="412"/>
      <c r="IK248" s="412"/>
      <c r="IL248" s="412"/>
      <c r="IM248" s="412"/>
      <c r="IN248" s="409">
        <v>60</v>
      </c>
      <c r="IO248" s="398">
        <f>IF(IN248=0,0,IF(LEN(IF248)=11,_xlfn.XLOOKUP(IF248,'Dispensed Ink Rates'!C:C,'Dispensed Ink Rates'!CS:CS),VLOOKUP(IF248,'Jan-2026 rates'!$E:$F,2,0)))</f>
        <v>0</v>
      </c>
      <c r="IP248" s="409"/>
      <c r="IQ248" s="398">
        <f>IF(IP248=0,0,IF(LEN(IG248)=11,_xlfn.XLOOKUP(IG248,'Dispensed Ink Rates'!C:C,'Dispensed Ink Rates'!CS:CS),VLOOKUP(IG248,'Jan-2026 rates'!$E:$F,2,0)))</f>
        <v>0</v>
      </c>
      <c r="IR248" s="409"/>
      <c r="IS248" s="398">
        <f>IF(IR248=0,0,IF(LEN(IH248)=11,_xlfn.XLOOKUP(IH248,'Dispensed Ink Rates'!C:C,'Dispensed Ink Rates'!CS:CS),VLOOKUP(IH248,'Jan-2026 rates'!$E:$F,2,0)))</f>
        <v>0</v>
      </c>
      <c r="IT248" s="409"/>
      <c r="IU248" s="398">
        <f>IF(IT248=0,0,IF(LEN(II248)=11,_xlfn.XLOOKUP(II248,'Dispensed Ink Rates'!C:C,'Dispensed Ink Rates'!CS:CS),VLOOKUP(II248,'Jan-2026 rates'!$E:$F,2,0)))</f>
        <v>0</v>
      </c>
      <c r="IV248" s="409"/>
      <c r="IW248" s="398">
        <f>IF(IV248=0,0,IF(LEN(IJ248)=11,_xlfn.XLOOKUP(IJ248,'Dispensed Ink Rates'!C:C,'Dispensed Ink Rates'!CS:CS),VLOOKUP(IJ248,'Jan-2026 rates'!$E:$F,2,0)))</f>
        <v>0</v>
      </c>
      <c r="IX248" s="409"/>
      <c r="IY248" s="398">
        <f>IF(IX248=0,0,IF(LEN(IK248)=11,_xlfn.XLOOKUP(IK248,'Dispensed Ink Rates'!C:C,'Dispensed Ink Rates'!CS:CS),VLOOKUP(IK248,'Jan-2026 rates'!$E:$F,2,0)))</f>
        <v>0</v>
      </c>
      <c r="IZ248" s="409"/>
      <c r="JA248" s="398">
        <f>IF(IZ248=0,0,IF(LEN(IL248)=11,_xlfn.XLOOKUP(IL248,'Dispensed Ink Rates'!C:C,'Dispensed Ink Rates'!CS:CS),VLOOKUP(IL248,'Jan-2026 rates'!$E:$F,2,0)))</f>
        <v>0</v>
      </c>
      <c r="JB248" s="409"/>
      <c r="JC248" s="398">
        <f>IF(JB248=0,0,IF(LEN(IM248)=11,_xlfn.XLOOKUP(IM248,'Dispensed Ink Rates'!C:C,'Dispensed Ink Rates'!CS:CS),VLOOKUP(IM248,'Jan-2026 rates'!$E:$F,2,0)))</f>
        <v>0</v>
      </c>
      <c r="JD248" s="409" t="s">
        <v>1443</v>
      </c>
      <c r="JE248" s="409">
        <v>30</v>
      </c>
      <c r="JF248" s="411">
        <f t="shared" si="177"/>
        <v>0</v>
      </c>
      <c r="JG248" s="411">
        <f t="shared" si="178"/>
        <v>159.18367346938777</v>
      </c>
      <c r="JH248" s="410">
        <f t="shared" si="179"/>
        <v>0</v>
      </c>
      <c r="JI248" s="405"/>
      <c r="JJ248" s="409"/>
      <c r="JK248" s="420" t="str">
        <f t="shared" si="190"/>
        <v xml:space="preserve"> - </v>
      </c>
      <c r="JL248" s="409"/>
      <c r="JM248" s="411">
        <f>IF(JL248=0,0,IF($LB248=70%,VLOOKUP($JK248,'Jan-2026 rates'!$L:$R,4,0),IF($LB248=65%,VLOOKUP($JK248,'Jan-2026 rates'!$L:$R,4,0),IF($LB248=40%,VLOOKUP($JK248,'Jan-2026 rates'!$L:$R,5,0),IF($LB248=30%,VLOOKUP($JK248,'Jan-2026 rates'!$L:$R,6,0),IF($LB248=100%,VLOOKUP($JK248,'Jan-2026 rates'!$L:$R,7,0),IF($LB248=60%,VLOOKUP($JK248,'Jan-2026 rates'!$L:$S,8,0),IF($LB248=80%,VLOOKUP($JK248,'Jan-2026 rates'!L:T,9,0),0))))))))</f>
        <v>0</v>
      </c>
      <c r="JN248" s="412"/>
      <c r="JO248" s="409"/>
      <c r="JP248" s="411">
        <f>IF(JO248=0,0,IF($LB248=70%,VLOOKUP($JK248,'Jan-2026 rates'!$L:$R,4,0),IF($LB248=65%,VLOOKUP($JK248,'Jan-2026 rates'!$L:$R,4,0),IF($LB248=40%,VLOOKUP($JK248,'Jan-2026 rates'!$L:$R,5,0),IF($LB248=30%,VLOOKUP($JK248,'Jan-2026 rates'!$L:$R,6,0),IF($LB248=100%,VLOOKUP($JK248,'Jan-2026 rates'!$L:$R,7,0),IF($LB248=60%,VLOOKUP($JK248,'Jan-2026 rates'!$L:$S,8,0),IF($LB248=80%,VLOOKUP($JK248,'Jan-2026 rates'!L:T,9,0),0))))))))</f>
        <v>0</v>
      </c>
      <c r="JQ248" s="413"/>
      <c r="JR248" s="412"/>
      <c r="JS248" s="413"/>
      <c r="JT248" s="413"/>
      <c r="JU248" s="412"/>
      <c r="JV248" s="412"/>
      <c r="JW248" s="412"/>
      <c r="JX248" s="412"/>
      <c r="JY248" s="409"/>
      <c r="JZ248" s="398">
        <f>IF(JY248=0,0,IF(LEN(JQ248)=11,_xlfn.XLOOKUP(JQ248,'Dispensed Ink Rates'!C:C,'Dispensed Ink Rates'!CS:CS),VLOOKUP(JQ248,'Jan-2026 rates'!$E:$F,2,0)))</f>
        <v>0</v>
      </c>
      <c r="KA248" s="409"/>
      <c r="KB248" s="398">
        <f>IF(KA248=0,0,IF(LEN(JR248)=11,_xlfn.XLOOKUP(JR248,'Dispensed Ink Rates'!C:C,'Dispensed Ink Rates'!CS:CS),VLOOKUP(JR248,'Jan-2026 rates'!$E:$F,2,0)))</f>
        <v>0</v>
      </c>
      <c r="KC248" s="409"/>
      <c r="KD248" s="398">
        <f>IF(KC248=0,0,IF(LEN(JS248)=11,_xlfn.XLOOKUP(JS248,'Dispensed Ink Rates'!C:C,'Dispensed Ink Rates'!CS:CS),VLOOKUP(JS248,'Jan-2026 rates'!$E:$F,2,0)))</f>
        <v>0</v>
      </c>
      <c r="KE248" s="409"/>
      <c r="KF248" s="398">
        <f>IF(KE248=0,0,IF(LEN(JT248)=11,_xlfn.XLOOKUP(JT248,'Dispensed Ink Rates'!C:C,'Dispensed Ink Rates'!CS:CS),VLOOKUP(JT248,'Jan-2026 rates'!$E:$F,2,0)))</f>
        <v>0</v>
      </c>
      <c r="KG248" s="409"/>
      <c r="KH248" s="398">
        <f>IF(KG248=0,0,IF(LEN(JU248)=11,_xlfn.XLOOKUP(JU248,'Dispensed Ink Rates'!C:C,'Dispensed Ink Rates'!CS:CS),VLOOKUP(JU248,'Jan-2026 rates'!$E:$F,2,0)))</f>
        <v>0</v>
      </c>
      <c r="KI248" s="409"/>
      <c r="KJ248" s="398">
        <f>IF(KI248=0,0,IF(LEN(JV248)=11,_xlfn.XLOOKUP(JV248,'Dispensed Ink Rates'!C:C,'Dispensed Ink Rates'!CS:CS),VLOOKUP(JV248,'Jan-2026 rates'!$E:$F,2,0)))</f>
        <v>0</v>
      </c>
      <c r="KK248" s="409"/>
      <c r="KL248" s="398">
        <f>IF(KK248=0,0,IF(LEN(JW248)=11,_xlfn.XLOOKUP(JW248,'Dispensed Ink Rates'!C:C,'Dispensed Ink Rates'!CS:CS),VLOOKUP(JW248,'Jan-2026 rates'!$E:$F,2,0)))</f>
        <v>0</v>
      </c>
      <c r="KM248" s="428"/>
      <c r="KN248" s="398">
        <f>IF(KM248=0,0,IF(LEN(JX248)=11,_xlfn.XLOOKUP(JX248,'Dispensed Ink Rates'!C:C,'Dispensed Ink Rates'!CS:CS),VLOOKUP(JX248,'Jan-2026 rates'!$E:$F,2,0)))</f>
        <v>0</v>
      </c>
      <c r="KO248" s="409"/>
      <c r="KP248" s="409"/>
      <c r="KQ248" s="411">
        <f t="shared" si="180"/>
        <v>0</v>
      </c>
      <c r="KR248" s="411">
        <f t="shared" si="181"/>
        <v>0</v>
      </c>
      <c r="KS248" s="410">
        <f t="shared" si="182"/>
        <v>0</v>
      </c>
      <c r="KT248" s="409">
        <v>3</v>
      </c>
      <c r="KU248" s="409">
        <v>0</v>
      </c>
      <c r="KV248" s="409">
        <v>10</v>
      </c>
      <c r="KW248" s="409">
        <v>2</v>
      </c>
      <c r="KX248" s="409">
        <v>2</v>
      </c>
      <c r="KY248" s="409">
        <v>2</v>
      </c>
      <c r="KZ248" s="409">
        <v>30</v>
      </c>
      <c r="LA248" s="409">
        <v>0</v>
      </c>
      <c r="LB248" s="415">
        <v>0.8</v>
      </c>
      <c r="LC248" s="415">
        <v>0.2</v>
      </c>
      <c r="LD248" s="415"/>
      <c r="LE248" s="415"/>
      <c r="LF248" s="415"/>
      <c r="LG248" s="409">
        <v>0</v>
      </c>
      <c r="LH248" s="409">
        <f>30+32+80+20</f>
        <v>162</v>
      </c>
      <c r="LI248" s="409">
        <v>0</v>
      </c>
      <c r="LJ248" s="409">
        <v>0</v>
      </c>
      <c r="LK248" s="416">
        <f t="shared" si="191"/>
        <v>162</v>
      </c>
      <c r="LL248" s="416">
        <f t="shared" si="192"/>
        <v>162</v>
      </c>
      <c r="LM248" s="417">
        <f t="shared" si="193"/>
        <v>129.6</v>
      </c>
      <c r="LN248" s="417">
        <f>VLOOKUP($LM$8,'Jan-2026 rates'!$H:$I,2,0)</f>
        <v>0</v>
      </c>
      <c r="LO248" s="417">
        <f t="shared" si="194"/>
        <v>32.4</v>
      </c>
      <c r="LP248" s="417">
        <f>VLOOKUP($LO$8,'Jan-2026 rates'!$H:$I,2,0)</f>
        <v>0</v>
      </c>
      <c r="LQ248" s="417">
        <f t="shared" si="195"/>
        <v>0</v>
      </c>
      <c r="LR248" s="417">
        <f>VLOOKUP($LQ$8,'Jan-2026 rates'!$H:$I,2,0)</f>
        <v>0</v>
      </c>
      <c r="LS248" s="417">
        <f t="shared" si="196"/>
        <v>0</v>
      </c>
      <c r="LT248" s="417">
        <f>VLOOKUP($LS$8,'Jan-2026 rates'!$H:$I,2,0)</f>
        <v>0</v>
      </c>
      <c r="LU248" s="417">
        <f t="shared" si="197"/>
        <v>0</v>
      </c>
      <c r="LV248" s="417">
        <f>VLOOKUP($LU$8,'Jan-2026 rates'!$H:$I,2,0)</f>
        <v>0</v>
      </c>
      <c r="LW248" s="417">
        <f t="shared" si="198"/>
        <v>0</v>
      </c>
      <c r="LX248" s="417">
        <f t="shared" si="199"/>
        <v>0</v>
      </c>
      <c r="LY248" s="418">
        <f t="shared" si="200"/>
        <v>0</v>
      </c>
      <c r="LZ248" s="417"/>
      <c r="MA248" s="435">
        <f t="shared" si="201"/>
        <v>186</v>
      </c>
      <c r="MB248" s="282">
        <f t="shared" si="202"/>
        <v>339</v>
      </c>
      <c r="MC248" s="283">
        <v>141</v>
      </c>
      <c r="MD248" s="284" t="str">
        <f t="shared" si="203"/>
        <v>FLINTSLFLINTSLFLINTSLFLINTSLFLINTSLFLINTSLFLINTSL</v>
      </c>
      <c r="ME248" s="293" t="str">
        <f t="shared" si="204"/>
        <v>+</v>
      </c>
      <c r="MF248" s="293" t="str">
        <f t="shared" si="205"/>
        <v>+</v>
      </c>
      <c r="MG248" s="293" t="str">
        <f t="shared" si="206"/>
        <v>+</v>
      </c>
      <c r="MH248" s="293" t="str">
        <f t="shared" si="207"/>
        <v>+</v>
      </c>
      <c r="MI248" s="293" t="str">
        <f t="shared" si="208"/>
        <v>+</v>
      </c>
      <c r="MJ248" s="293" t="str">
        <f t="shared" si="209"/>
        <v>+</v>
      </c>
      <c r="MK248" s="293" t="str">
        <f t="shared" si="210"/>
        <v>+</v>
      </c>
      <c r="ML248" s="293" t="str">
        <f t="shared" si="211"/>
        <v>NIL</v>
      </c>
      <c r="MM248" s="3" t="b">
        <f t="array" ref="MM248">OR(ME248:ML248="-")</f>
        <v>0</v>
      </c>
      <c r="MN248" s="285"/>
      <c r="MO248" s="401"/>
      <c r="MP248" s="286"/>
      <c r="MQ248" s="286"/>
      <c r="MR248" s="402"/>
      <c r="MS248" s="400"/>
      <c r="NH248" s="422"/>
      <c r="NJ248" s="421"/>
    </row>
    <row r="249" spans="1:374" s="1" customFormat="1" ht="16.5">
      <c r="A249" s="403">
        <v>46041</v>
      </c>
      <c r="B249" s="404" t="s">
        <v>1015</v>
      </c>
      <c r="C249" s="405" t="s">
        <v>4066</v>
      </c>
      <c r="D249" s="406">
        <v>142</v>
      </c>
      <c r="E249" s="404">
        <v>531</v>
      </c>
      <c r="F249" s="407">
        <v>25100</v>
      </c>
      <c r="G249" s="407" t="s">
        <v>1019</v>
      </c>
      <c r="H249" s="408" t="s">
        <v>1017</v>
      </c>
      <c r="I249" s="409">
        <v>2.1800000000000002</v>
      </c>
      <c r="J249" s="405" t="s">
        <v>543</v>
      </c>
      <c r="K249" s="404" t="s">
        <v>4067</v>
      </c>
      <c r="L249" s="419" t="str">
        <f t="shared" si="184"/>
        <v>FLINTSL - BLACK</v>
      </c>
      <c r="M249" s="404">
        <v>26</v>
      </c>
      <c r="N249" s="410">
        <f>IF(M249=0,0,IF($LB249=70%,VLOOKUP($L249,'Jan-2026 rates'!$L:$R,4,0),IF($LB249=65%,VLOOKUP($L249,'Jan-2026 rates'!$L:$R,4,0),IF($LB249=40%,VLOOKUP($L249,'Jan-2026 rates'!$L:$R,5,0),IF($LB249=30%,VLOOKUP($L249,'Jan-2026 rates'!$L:$R,6,0),IF($LB249=100%,VLOOKUP($L249,'Jan-2026 rates'!$L:$R,7,0),IF($LB249=60%,VLOOKUP($L249,'Jan-2026 rates'!$L:$S,8,0),IF($LB249=80%,VLOOKUP($L249,'Jan-2026 rates'!L:T,9,0),0))))))))</f>
        <v>0</v>
      </c>
      <c r="O249" s="406"/>
      <c r="P249" s="404"/>
      <c r="Q249" s="410">
        <f>IF(P249=0,0,IF($LB249=70%,VLOOKUP($L249,'Jan-2026 rates'!$L:$R,4,0),IF($LB249=65%,VLOOKUP($L249,'Jan-2026 rates'!$L:$R,4,0),IF($LB249=40%,VLOOKUP($L249,'Jan-2026 rates'!$L:$R,5,0),IF($LB249=30%,VLOOKUP($L249,'Jan-2026 rates'!$L:$R,6,0),IF($LB249=100%,VLOOKUP($L249,'Jan-2026 rates'!$L:$R,7,0),IF($LB249=60%,VLOOKUP($L249,'Jan-2026 rates'!$L:$S,8,0),IF($LB249=80%,VLOOKUP($L249,'Jan-2026 rates'!L:T,9,0),0))))))))</f>
        <v>0</v>
      </c>
      <c r="R249" s="406">
        <v>26516000019</v>
      </c>
      <c r="S249" s="406"/>
      <c r="T249" s="406"/>
      <c r="U249" s="406"/>
      <c r="V249" s="406"/>
      <c r="W249" s="406"/>
      <c r="X249" s="406"/>
      <c r="Y249" s="406"/>
      <c r="Z249" s="404">
        <v>4</v>
      </c>
      <c r="AA249" s="398" t="e">
        <f>IF(Z249=0,0,IF(LEN(R249)=11,_xlfn.XLOOKUP(R249,'Dispensed Ink Rates'!C:C,'Dispensed Ink Rates'!CS:CS),VLOOKUP(R249,'Jan-2026 rates'!$E:$F,2,0)))</f>
        <v>#N/A</v>
      </c>
      <c r="AB249" s="404"/>
      <c r="AC249" s="398">
        <f>IF(AB249=0,0,IF(LEN(S249)=11,_xlfn.XLOOKUP(S249,'Dispensed Ink Rates'!C:C,'Dispensed Ink Rates'!CS:CS),VLOOKUP(S249,'Jan-2026 rates'!$E:$F,2,0)))</f>
        <v>0</v>
      </c>
      <c r="AD249" s="404"/>
      <c r="AE249" s="398">
        <f>IF(AD249=0,0,IF(LEN(T249)=11,_xlfn.XLOOKUP(T249,'Dispensed Ink Rates'!C:C,'Dispensed Ink Rates'!CS:CS),VLOOKUP(T249,'Jan-2026 rates'!$E:$F,2,0)))</f>
        <v>0</v>
      </c>
      <c r="AF249" s="404"/>
      <c r="AG249" s="398">
        <f>IF(AF249=0,0,IF(LEN(U249)=11,_xlfn.XLOOKUP(U249,'Dispensed Ink Rates'!C:C,'Dispensed Ink Rates'!CS:CS),VLOOKUP(U249,'Jan-2026 rates'!$E:$F,2,0)))</f>
        <v>0</v>
      </c>
      <c r="AH249" s="404"/>
      <c r="AI249" s="398">
        <f>IF(AH249=0,0,IF(LEN(V249)=11,_xlfn.XLOOKUP(V249,'Dispensed Ink Rates'!C:C,'Dispensed Ink Rates'!CS:CS),VLOOKUP(V249,'Jan-2026 rates'!$E:$F,2,0)))</f>
        <v>0</v>
      </c>
      <c r="AJ249" s="404"/>
      <c r="AK249" s="398">
        <f>IF(AJ249=0,0,IF(LEN(W249)=11,_xlfn.XLOOKUP(W249,'Dispensed Ink Rates'!C:C,'Dispensed Ink Rates'!CS:CS),VLOOKUP(W249,'Jan-2026 rates'!$E:$F,2,0)))</f>
        <v>0</v>
      </c>
      <c r="AL249" s="404"/>
      <c r="AM249" s="398">
        <f>IF(AL249=0,0,IF(LEN(X249)=11,_xlfn.XLOOKUP(X249,'Dispensed Ink Rates'!C:C,'Dispensed Ink Rates'!CS:CS),VLOOKUP(X249,'Jan-2026 rates'!$E:$F,2,0)))</f>
        <v>0</v>
      </c>
      <c r="AN249" s="404"/>
      <c r="AO249" s="398">
        <f>IF(AN249=0,0,IF(LEN(Y249)=11,_xlfn.XLOOKUP(Y249,'Dispensed Ink Rates'!C:C,'Dispensed Ink Rates'!CS:CS),VLOOKUP(Y249,'Jan-2026 rates'!$E:$F,2,0)))</f>
        <v>0</v>
      </c>
      <c r="AP249" s="409" t="s">
        <v>1443</v>
      </c>
      <c r="AQ249" s="409">
        <v>29</v>
      </c>
      <c r="AR249" s="410">
        <f t="shared" si="159"/>
        <v>0</v>
      </c>
      <c r="AS249" s="411">
        <f t="shared" si="160"/>
        <v>10.117647058823529</v>
      </c>
      <c r="AT249" s="410">
        <f t="shared" si="161"/>
        <v>0</v>
      </c>
      <c r="AU249" s="405" t="s">
        <v>857</v>
      </c>
      <c r="AV249" s="409" t="s">
        <v>4068</v>
      </c>
      <c r="AW249" s="420" t="str">
        <f t="shared" si="183"/>
        <v>FLINTSL - RED</v>
      </c>
      <c r="AX249" s="409">
        <v>30</v>
      </c>
      <c r="AY249" s="411">
        <f>IF(AX249=0,0,IF($LB249=70%,VLOOKUP($AW249,'Jan-2026 rates'!$L:$R,4,0),IF($LB249=65%,VLOOKUP($AW249,'Jan-2026 rates'!$L:$R,4,0),IF($LB249=40%,VLOOKUP($AW249,'Jan-2026 rates'!$L:$R,5,0),IF($LB249=30%,VLOOKUP($AW249,'Jan-2026 rates'!$L:$R,6,0),IF($LB249=100%,VLOOKUP($AW249,'Jan-2026 rates'!$L:$R,7,0),IF($LB249=60%,VLOOKUP($AW249,'Jan-2026 rates'!$L:$S,8,0),IF($LB249=80%,VLOOKUP($AW249,'Jan-2026 rates'!L:T,9,0),0))))))))</f>
        <v>0</v>
      </c>
      <c r="AZ249" s="412"/>
      <c r="BA249" s="409"/>
      <c r="BB249" s="411">
        <f>IF(BA249=0,0,IF($LB249=70%,VLOOKUP($AW249,'Jan-2026 rates'!$L:$R,4,0),IF($LB249=65%,VLOOKUP($AW249,'Jan-2026 rates'!$L:$R,4,0),IF($LB249=40%,VLOOKUP($AW249,'Jan-2026 rates'!$L:$R,5,0),IF($LB249=30%,VLOOKUP($AW249,'Jan-2026 rates'!$L:$R,6,0),IF($LB249=100%,VLOOKUP($AW249,'Jan-2026 rates'!$L:$R,7,0),IF($LB249=60%,VLOOKUP($AW249,'Jan-2026 rates'!$L:$S,8,0),IF($LB249=80%,VLOOKUP($AW249,'Jan-2026 rates'!L:T,9,0),0))))))))</f>
        <v>0</v>
      </c>
      <c r="BC249" s="413">
        <v>26520000008</v>
      </c>
      <c r="BD249" s="412">
        <v>26519000021</v>
      </c>
      <c r="BE249" s="412">
        <v>26519000002</v>
      </c>
      <c r="BF249" s="413"/>
      <c r="BG249" s="412"/>
      <c r="BH249" s="412"/>
      <c r="BI249" s="412"/>
      <c r="BJ249" s="412"/>
      <c r="BK249" s="409">
        <v>6</v>
      </c>
      <c r="BL249" s="398" t="e">
        <f>IF(BK249=0,0,IF(LEN(BC249)=11,_xlfn.XLOOKUP(BC249,'Dispensed Ink Rates'!C:C,'Dispensed Ink Rates'!CS:CS),VLOOKUP(BC249,'Jan-2026 rates'!$E:$F,2,0)))</f>
        <v>#N/A</v>
      </c>
      <c r="BM249" s="409">
        <v>6</v>
      </c>
      <c r="BN249" s="398" t="e">
        <f>IF(BM249=0,0,IF(LEN(BD249)=11,_xlfn.XLOOKUP(BD249,'Dispensed Ink Rates'!C:C,'Dispensed Ink Rates'!CS:CS),VLOOKUP(BD249,'Jan-2026 rates'!$E:$F,2,0)))</f>
        <v>#N/A</v>
      </c>
      <c r="BO249" s="409">
        <v>10</v>
      </c>
      <c r="BP249" s="398" t="e">
        <f>IF(BO249=0,0,IF(LEN(BE249)=11,_xlfn.XLOOKUP(BE249,'Dispensed Ink Rates'!C:C,'Dispensed Ink Rates'!CS:CS),VLOOKUP(BE249,'Jan-2026 rates'!$E:$F,2,0)))</f>
        <v>#N/A</v>
      </c>
      <c r="BQ249" s="409"/>
      <c r="BR249" s="398">
        <f>IF(BQ249=0,0,IF(LEN(BF249)=11,_xlfn.XLOOKUP(BF249,'Dispensed Ink Rates'!C:C,'Dispensed Ink Rates'!CS:CS),VLOOKUP(BF249,'Jan-2026 rates'!$E:$F,2,0)))</f>
        <v>0</v>
      </c>
      <c r="BS249" s="409"/>
      <c r="BT249" s="398">
        <f>IF(BS249=0,0,IF(LEN(BG249)=11,_xlfn.XLOOKUP(BG249,'Dispensed Ink Rates'!C:C,'Dispensed Ink Rates'!CS:CS),VLOOKUP(BG249,'Jan-2026 rates'!$E:$F,2,0)))</f>
        <v>0</v>
      </c>
      <c r="BU249" s="409"/>
      <c r="BV249" s="398">
        <f>IF(BU249=0,0,IF(LEN(BH249)=11,_xlfn.XLOOKUP(BH249,'Dispensed Ink Rates'!C:C,'Dispensed Ink Rates'!CS:CS),VLOOKUP(BH249,'Jan-2026 rates'!$E:$F,2,0)))</f>
        <v>0</v>
      </c>
      <c r="BW249" s="409"/>
      <c r="BX249" s="398">
        <f>IF(BW249=0,0,IF(LEN(BI249)=11,_xlfn.XLOOKUP(BI249,'Dispensed Ink Rates'!C:C,'Dispensed Ink Rates'!CS:CS),VLOOKUP(BI249,'Jan-2026 rates'!$E:$F,2,0)))</f>
        <v>0</v>
      </c>
      <c r="BY249" s="409"/>
      <c r="BZ249" s="398">
        <f>IF(BY249=0,0,IF(LEN(BJ249)=11,_xlfn.XLOOKUP(BJ249,'Dispensed Ink Rates'!C:C,'Dispensed Ink Rates'!CS:CS),VLOOKUP(BJ249,'Jan-2026 rates'!$E:$F,2,0)))</f>
        <v>0</v>
      </c>
      <c r="CA249" s="409" t="s">
        <v>1443</v>
      </c>
      <c r="CB249" s="409">
        <v>26</v>
      </c>
      <c r="CC249" s="411">
        <f t="shared" si="162"/>
        <v>0</v>
      </c>
      <c r="CD249" s="411">
        <f t="shared" si="163"/>
        <v>35.117647058823529</v>
      </c>
      <c r="CE249" s="410">
        <f t="shared" si="164"/>
        <v>0</v>
      </c>
      <c r="CF249" s="404" t="s">
        <v>547</v>
      </c>
      <c r="CG249" s="409" t="s">
        <v>4069</v>
      </c>
      <c r="CH249" s="420" t="str">
        <f t="shared" si="185"/>
        <v>FLINTSL - GREEN</v>
      </c>
      <c r="CI249" s="409">
        <v>30</v>
      </c>
      <c r="CJ249" s="411">
        <f>IF(CI249=0,0,IF($LB249=70%,VLOOKUP($CH249,'Jan-2026 rates'!$L:$R,4,0),IF($LB249=65%,VLOOKUP($CH249,'Jan-2026 rates'!$L:$R,4,0),IF($LB249=40%,VLOOKUP($CH249,'Jan-2026 rates'!$L:$R,5,0),IF($LB249=30%,VLOOKUP($CH249,'Jan-2026 rates'!$L:$R,6,0),IF($LB249=100%,VLOOKUP($CH249,'Jan-2026 rates'!$L:$R,7,0),IF($LB249=60%,VLOOKUP($CH249,'Jan-2026 rates'!$L:$S,8,0),IF($LB249=80%,VLOOKUP($CH249,'Jan-2026 rates'!L:T,9,0),0))))))))</f>
        <v>0</v>
      </c>
      <c r="CK249" s="412"/>
      <c r="CL249" s="409"/>
      <c r="CM249" s="411">
        <f>IF(CL249=0,0,IF($LB249=70%,VLOOKUP($CH249,'Jan-2026 rates'!$L:$R,4,0),IF($LB249=65%,VLOOKUP($CH249,'Jan-2026 rates'!$L:$R,4,0),IF($LB249=40%,VLOOKUP($CH249,'Jan-2026 rates'!$L:$R,5,0),IF($LB249=30%,VLOOKUP($CH249,'Jan-2026 rates'!$L:$R,6,0),IF($LB249=100%,VLOOKUP($CH249,'Jan-2026 rates'!$L:$R,7,0),IF($LB249=60%,VLOOKUP($CH249,'Jan-2026 rates'!$L:$S,8,0),IF($LB249=80%,VLOOKUP($CH249,'Jan-2026 rates'!L:T,9,0),0))))))))</f>
        <v>0</v>
      </c>
      <c r="CN249" s="426">
        <v>26519000012</v>
      </c>
      <c r="CO249" s="427">
        <v>26517000041</v>
      </c>
      <c r="CP249" s="426"/>
      <c r="CQ249" s="426"/>
      <c r="CR249" s="428"/>
      <c r="CS249" s="428"/>
      <c r="CT249" s="428"/>
      <c r="CU249" s="428"/>
      <c r="CV249" s="409">
        <f>40+20</f>
        <v>60</v>
      </c>
      <c r="CW249" s="398" t="e">
        <f>IF(CV249=0,0,IF(LEN(CN249)=11,_xlfn.XLOOKUP(CN249,'Dispensed Ink Rates'!C:C,'Dispensed Ink Rates'!CS:CS),VLOOKUP(CN249,'Jan-2026 rates'!$E:$F,2,0)))</f>
        <v>#N/A</v>
      </c>
      <c r="CX249" s="409">
        <v>4</v>
      </c>
      <c r="CY249" s="398" t="e">
        <f>IF(CX249=0,0,IF(LEN(CO249)=11,_xlfn.XLOOKUP(CO249,'Dispensed Ink Rates'!C:C,'Dispensed Ink Rates'!CS:CS),VLOOKUP(CO249,'Jan-2026 rates'!$E:$F,2,0)))</f>
        <v>#N/A</v>
      </c>
      <c r="CZ249" s="409"/>
      <c r="DA249" s="398">
        <f>IF(CZ249=0,0,IF(LEN(CP249)=11,_xlfn.XLOOKUP(CP249,'Dispensed Ink Rates'!C:C,'Dispensed Ink Rates'!CS:CS),VLOOKUP(CP249,'Jan-2026 rates'!$E:$F,2,0)))</f>
        <v>0</v>
      </c>
      <c r="DB249" s="409"/>
      <c r="DC249" s="398">
        <f>IF(DB249=0,0,IF(LEN(CQ249)=11,_xlfn.XLOOKUP(CQ249,'Dispensed Ink Rates'!C:C,'Dispensed Ink Rates'!CS:CS),VLOOKUP(CQ249,'Jan-2026 rates'!$E:$F,2,0)))</f>
        <v>0</v>
      </c>
      <c r="DD249" s="409"/>
      <c r="DE249" s="398">
        <f>IF(DD249=0,0,IF(LEN(CR249)=11,_xlfn.XLOOKUP(CR249,'Dispensed Ink Rates'!C:C,'Dispensed Ink Rates'!CS:CS),VLOOKUP(CR249,'Jan-2026 rates'!$E:$F,2,0)))</f>
        <v>0</v>
      </c>
      <c r="DF249" s="409"/>
      <c r="DG249" s="398">
        <f>IF(DF249=0,0,IF(LEN(CS249)=11,_xlfn.XLOOKUP(CS249,'Dispensed Ink Rates'!C:C,'Dispensed Ink Rates'!CS:CS),VLOOKUP(CS249,'Jan-2026 rates'!$E:$F,2,0)))</f>
        <v>0</v>
      </c>
      <c r="DH249" s="409"/>
      <c r="DI249" s="398">
        <f>IF(DH249=0,0,IF(LEN(CT249)=11,_xlfn.XLOOKUP(CT249,'Dispensed Ink Rates'!C:C,'Dispensed Ink Rates'!CS:CS),VLOOKUP(CT249,'Jan-2026 rates'!$E:$F,2,0)))</f>
        <v>0</v>
      </c>
      <c r="DJ249" s="409"/>
      <c r="DK249" s="398">
        <f>IF(DJ249=0,0,IF(LEN(CU249)=11,_xlfn.XLOOKUP(CU249,'Dispensed Ink Rates'!C:C,'Dispensed Ink Rates'!CS:CS),VLOOKUP(CU249,'Jan-2026 rates'!$E:$F,2,0)))</f>
        <v>0</v>
      </c>
      <c r="DL249" s="409" t="s">
        <v>1443</v>
      </c>
      <c r="DM249" s="409">
        <v>34</v>
      </c>
      <c r="DN249" s="411">
        <f t="shared" si="165"/>
        <v>0</v>
      </c>
      <c r="DO249" s="411">
        <f t="shared" si="166"/>
        <v>96.470588235294116</v>
      </c>
      <c r="DP249" s="410">
        <f t="shared" si="167"/>
        <v>0</v>
      </c>
      <c r="DQ249" s="405" t="s">
        <v>855</v>
      </c>
      <c r="DR249" s="409" t="s">
        <v>4070</v>
      </c>
      <c r="DS249" s="420" t="str">
        <f t="shared" si="186"/>
        <v>FLINTSL - CYAN</v>
      </c>
      <c r="DT249" s="409">
        <v>30</v>
      </c>
      <c r="DU249" s="411">
        <f>IF(DT249=0,0,IF($LB249=70%,VLOOKUP($DS249,'Jan-2026 rates'!$L:$R,4,0),IF($LB249=65%,VLOOKUP($DS249,'Jan-2026 rates'!$L:$R,4,0),IF($LB249=40%,VLOOKUP($DS249,'Jan-2026 rates'!$L:$R,5,0),IF($LB249=30%,VLOOKUP($DS249,'Jan-2026 rates'!$L:$R,6,0),IF($LB249=100%,VLOOKUP($DS249,'Jan-2026 rates'!$L:$R,7,0),IF($LB249=60%,VLOOKUP($DS249,'Jan-2026 rates'!$L:$S,8,0),IF($LB249=80%,VLOOKUP($DS249,'Jan-2026 rates'!L:T,9,0),0))))))))</f>
        <v>0</v>
      </c>
      <c r="DV249" s="412"/>
      <c r="DW249" s="409"/>
      <c r="DX249" s="411">
        <f>IF(DW249=0,0,IF($LB249=70%,VLOOKUP($DS249,'Jan-2026 rates'!$L:$R,4,0),IF($LB249=65%,VLOOKUP($DS249,'Jan-2026 rates'!$L:$R,4,0),IF($LB249=40%,VLOOKUP($DS249,'Jan-2026 rates'!$L:$R,5,0),IF($LB249=30%,VLOOKUP($DS249,'Jan-2026 rates'!$L:$R,6,0),IF($LB249=100%,VLOOKUP($DS249,'Jan-2026 rates'!$L:$R,7,0),IF($LB249=60%,VLOOKUP($DS249,'Jan-2026 rates'!$L:$S,8,0),IF($LB249=80%,VLOOKUP($DS249,'Jan-2026 rates'!L:T,9,0),0))))))))</f>
        <v>0</v>
      </c>
      <c r="DY249" s="413" t="s">
        <v>1266</v>
      </c>
      <c r="DZ249" s="413"/>
      <c r="EA249" s="412"/>
      <c r="EB249" s="412"/>
      <c r="EC249" s="412"/>
      <c r="ED249" s="412"/>
      <c r="EE249" s="412"/>
      <c r="EF249" s="412"/>
      <c r="EG249" s="409">
        <v>6</v>
      </c>
      <c r="EH249" s="398">
        <f>IF(EG249=0,0,IF(LEN(DY249)=11,_xlfn.XLOOKUP(DY249,'Dispensed Ink Rates'!C:C,'Dispensed Ink Rates'!CS:CS),VLOOKUP(DY249,'Jan-2026 rates'!$E:$F,2,0)))</f>
        <v>0</v>
      </c>
      <c r="EI249" s="409"/>
      <c r="EJ249" s="398">
        <f>IF(EI249=0,0,IF(LEN(DZ249)=11,_xlfn.XLOOKUP(DZ249,'Dispensed Ink Rates'!C:C,'Dispensed Ink Rates'!CS:CS),VLOOKUP(DZ249,'Jan-2026 rates'!$E:$F,2,0)))</f>
        <v>0</v>
      </c>
      <c r="EK249" s="409"/>
      <c r="EL249" s="398">
        <f>IF(EK249=0,0,IF(LEN(EA249)=11,_xlfn.XLOOKUP(EA249,'Dispensed Ink Rates'!C:C,'Dispensed Ink Rates'!CS:CS),VLOOKUP(EA249,'Jan-2026 rates'!$E:$F,2,0)))</f>
        <v>0</v>
      </c>
      <c r="EM249" s="409"/>
      <c r="EN249" s="398">
        <f>IF(EM249=0,0,IF(LEN(EB249)=11,_xlfn.XLOOKUP(EB249,'Dispensed Ink Rates'!C:C,'Dispensed Ink Rates'!CS:CS),VLOOKUP(EB249,'Jan-2026 rates'!$E:$F,2,0)))</f>
        <v>0</v>
      </c>
      <c r="EO249" s="409"/>
      <c r="EP249" s="398">
        <f>IF(EO249=0,0,IF(LEN(EC249)=11,_xlfn.XLOOKUP(EC249,'Dispensed Ink Rates'!C:C,'Dispensed Ink Rates'!CS:CS),VLOOKUP(EC249,'Jan-2026 rates'!$E:$F,2,0)))</f>
        <v>0</v>
      </c>
      <c r="EQ249" s="409"/>
      <c r="ER249" s="398">
        <f>IF(EQ249=0,0,IF(LEN(ED249)=11,_xlfn.XLOOKUP(ED249,'Dispensed Ink Rates'!C:C,'Dispensed Ink Rates'!CS:CS),VLOOKUP(ED249,'Jan-2026 rates'!$E:$F,2,0)))</f>
        <v>0</v>
      </c>
      <c r="ES249" s="409"/>
      <c r="ET249" s="398">
        <f>IF(ES249=0,0,IF(LEN(EE249)=11,_xlfn.XLOOKUP(EE249,'Dispensed Ink Rates'!C:C,'Dispensed Ink Rates'!CS:CS),VLOOKUP(EE249,'Jan-2026 rates'!$E:$F,2,0)))</f>
        <v>0</v>
      </c>
      <c r="EU249" s="409"/>
      <c r="EV249" s="398">
        <f>IF(EU249=0,0,IF(LEN(EF249)=11,_xlfn.XLOOKUP(EF249,'Dispensed Ink Rates'!C:C,'Dispensed Ink Rates'!CS:CS),VLOOKUP(EF249,'Jan-2026 rates'!$E:$F,2,0)))</f>
        <v>0</v>
      </c>
      <c r="EW249" s="409" t="s">
        <v>1443</v>
      </c>
      <c r="EX249" s="409">
        <v>30</v>
      </c>
      <c r="EY249" s="411">
        <f t="shared" si="168"/>
        <v>0</v>
      </c>
      <c r="EZ249" s="411">
        <f t="shared" si="169"/>
        <v>15.117647058823529</v>
      </c>
      <c r="FA249" s="410">
        <f t="shared" si="170"/>
        <v>0</v>
      </c>
      <c r="FB249" s="405" t="s">
        <v>544</v>
      </c>
      <c r="FC249" s="409" t="s">
        <v>4071</v>
      </c>
      <c r="FD249" s="420" t="str">
        <f t="shared" si="187"/>
        <v>FLINTSL - MAGENTA</v>
      </c>
      <c r="FE249" s="409">
        <v>28</v>
      </c>
      <c r="FF249" s="411">
        <f>IF(FE249=0,0,IF($LB249=70%,VLOOKUP($FD249,'Jan-2026 rates'!$L:$R,4,0),IF($LB249=65%,VLOOKUP($FD249,'Jan-2026 rates'!$L:$R,4,0),IF($LB249=40%,VLOOKUP($FD249,'Jan-2026 rates'!$L:$R,5,0),IF($LB249=30%,VLOOKUP($FD249,'Jan-2026 rates'!$L:$R,6,0),IF($LB249=100%,VLOOKUP($FD249,'Jan-2026 rates'!$L:$R,7,0),IF($LB249=60%,VLOOKUP($FD249,'Jan-2026 rates'!$L:$S,8,0),IF($LB249=80%,VLOOKUP($FD249,'Jan-2026 rates'!L:T,9,0),0))))))))</f>
        <v>0</v>
      </c>
      <c r="FG249" s="412"/>
      <c r="FH249" s="409"/>
      <c r="FI249" s="411">
        <f>IF(FH249=0,0,IF($LB249=70%,VLOOKUP($FD249,'Jan-2026 rates'!$L:$R,4,0),IF($LB249=65%,VLOOKUP($FD249,'Jan-2026 rates'!$L:$R,4,0),IF($LB249=40%,VLOOKUP($FD249,'Jan-2026 rates'!$L:$R,5,0),IF($LB249=30%,VLOOKUP($FD249,'Jan-2026 rates'!$L:$R,6,0),IF($LB249=100%,VLOOKUP($FD249,'Jan-2026 rates'!$L:$R,7,0),IF($LB249=60%,VLOOKUP($FD249,'Jan-2026 rates'!$L:$S,8,0),IF($LB249=80%,VLOOKUP($FD249,'Jan-2026 rates'!L:T,9,0),0))))))))</f>
        <v>0</v>
      </c>
      <c r="FJ249" s="413">
        <v>26519000021</v>
      </c>
      <c r="FK249" s="413"/>
      <c r="FL249" s="413"/>
      <c r="FM249" s="412"/>
      <c r="FN249" s="412"/>
      <c r="FO249" s="412"/>
      <c r="FP249" s="412"/>
      <c r="FQ249" s="412"/>
      <c r="FR249" s="409">
        <v>4</v>
      </c>
      <c r="FS249" s="398" t="e">
        <f>IF(FR249=0,0,IF(LEN(FJ249)=11,_xlfn.XLOOKUP(FJ249,'Dispensed Ink Rates'!C:C,'Dispensed Ink Rates'!CS:CS),VLOOKUP(FJ249,'Jan-2026 rates'!$E:$F,2,0)))</f>
        <v>#N/A</v>
      </c>
      <c r="FT249" s="409"/>
      <c r="FU249" s="398">
        <f>IF(FT249=0,0,IF(LEN(FK249)=11,_xlfn.XLOOKUP(FK249,'Dispensed Ink Rates'!C:C,'Dispensed Ink Rates'!CS:CS),VLOOKUP(FK249,'Jan-2026 rates'!$E:$F,2,0)))</f>
        <v>0</v>
      </c>
      <c r="FV249" s="409"/>
      <c r="FW249" s="398">
        <f>IF(FV249=0,0,IF(LEN(FL249)=11,_xlfn.XLOOKUP(FL249,'Dispensed Ink Rates'!C:C,'Dispensed Ink Rates'!CS:CS),VLOOKUP(FL249,'Jan-2026 rates'!$E:$F,2,0)))</f>
        <v>0</v>
      </c>
      <c r="FX249" s="409"/>
      <c r="FY249" s="398">
        <f>IF(FX249=0,0,IF(LEN(FM249)=11,_xlfn.XLOOKUP(FM249,'Dispensed Ink Rates'!C:C,'Dispensed Ink Rates'!CS:CS),VLOOKUP(FM249,'Jan-2026 rates'!$E:$F,2,0)))</f>
        <v>0</v>
      </c>
      <c r="FZ249" s="409"/>
      <c r="GA249" s="398">
        <f>IF(FZ249=0,0,IF(LEN(FN249)=11,_xlfn.XLOOKUP(FN249,'Dispensed Ink Rates'!C:C,'Dispensed Ink Rates'!CS:CS),VLOOKUP(FN249,'Jan-2026 rates'!$E:$F,2,0)))</f>
        <v>0</v>
      </c>
      <c r="GB249" s="409"/>
      <c r="GC249" s="398">
        <f>IF(GB249=0,0,IF(LEN(FO249)=11,_xlfn.XLOOKUP(FO249,'Dispensed Ink Rates'!C:C,'Dispensed Ink Rates'!CS:CS),VLOOKUP(FO249,'Jan-2026 rates'!$E:$F,2,0)))</f>
        <v>0</v>
      </c>
      <c r="GD249" s="409"/>
      <c r="GE249" s="398">
        <f>IF(GD249=0,0,IF(LEN(FP249)=11,_xlfn.XLOOKUP(FP249,'Dispensed Ink Rates'!C:C,'Dispensed Ink Rates'!CS:CS),VLOOKUP(FP249,'Jan-2026 rates'!$E:$F,2,0)))</f>
        <v>0</v>
      </c>
      <c r="GF249" s="409"/>
      <c r="GG249" s="398">
        <f>IF(GF249=0,0,IF(LEN(FQ249)=11,_xlfn.XLOOKUP(FQ249,'Dispensed Ink Rates'!C:C,'Dispensed Ink Rates'!CS:CS),VLOOKUP(FQ249,'Jan-2026 rates'!$E:$F,2,0)))</f>
        <v>0</v>
      </c>
      <c r="GH249" s="409" t="s">
        <v>1443</v>
      </c>
      <c r="GI249" s="409">
        <v>31</v>
      </c>
      <c r="GJ249" s="411">
        <f t="shared" si="171"/>
        <v>0</v>
      </c>
      <c r="GK249" s="411">
        <f t="shared" si="172"/>
        <v>10.117647058823529</v>
      </c>
      <c r="GL249" s="410">
        <f t="shared" si="173"/>
        <v>0</v>
      </c>
      <c r="GM249" s="405" t="s">
        <v>545</v>
      </c>
      <c r="GN249" s="409" t="s">
        <v>4072</v>
      </c>
      <c r="GO249" s="420" t="str">
        <f t="shared" si="188"/>
        <v>FLINTSL - YELLOW</v>
      </c>
      <c r="GP249" s="409">
        <v>29</v>
      </c>
      <c r="GQ249" s="411">
        <f>IF(GP249=0,0,IF($LB249=70%,VLOOKUP($GO249,'Jan-2026 rates'!$L:$R,4,0),IF($LB249=65%,VLOOKUP($GO249,'Jan-2026 rates'!$L:$R,4,0),IF($LB249=40%,VLOOKUP($GO249,'Jan-2026 rates'!$L:$R,5,0),IF($LB249=30%,VLOOKUP($GO249,'Jan-2026 rates'!$L:$R,6,0),IF($LB249=100%,VLOOKUP($GO249,'Jan-2026 rates'!$L:$R,7,0),IF($LB249=60%,VLOOKUP($GO249,'Jan-2026 rates'!$L:$S,8,0),IF($LB249=80%,VLOOKUP($GO249,'Jan-2026 rates'!L:T,9,0),0))))))))</f>
        <v>0</v>
      </c>
      <c r="GR249" s="412"/>
      <c r="GS249" s="409"/>
      <c r="GT249" s="411">
        <f>IF(GS249=0,0,IF($LB249=70%,VLOOKUP($GO249,'Jan-2026 rates'!$L:$R,4,0),IF($LB249=65%,VLOOKUP($GO249,'Jan-2026 rates'!$L:$R,4,0),IF($LB249=40%,VLOOKUP($GO249,'Jan-2026 rates'!$L:$R,5,0),IF($LB249=30%,VLOOKUP($GO249,'Jan-2026 rates'!$L:$R,6,0),IF($LB249=100%,VLOOKUP($GO249,'Jan-2026 rates'!$L:$R,7,0),IF($LB249=60%,VLOOKUP($GO249,'Jan-2026 rates'!$L:$S,8,0),IF($LB249=80%,VLOOKUP($GO249,'Jan-2026 rates'!L:T,9,0),0))))))))</f>
        <v>0</v>
      </c>
      <c r="GU249" s="413">
        <v>26519000002</v>
      </c>
      <c r="GV249" s="413" t="s">
        <v>1266</v>
      </c>
      <c r="GW249" s="412"/>
      <c r="GX249" s="412"/>
      <c r="GY249" s="412"/>
      <c r="GZ249" s="412"/>
      <c r="HA249" s="412"/>
      <c r="HB249" s="412"/>
      <c r="HC249" s="409">
        <f>8+1</f>
        <v>9</v>
      </c>
      <c r="HD249" s="398" t="e">
        <f>IF(HC249=0,0,IF(LEN(GU249)=11,_xlfn.XLOOKUP(GU249,'Dispensed Ink Rates'!C:C,'Dispensed Ink Rates'!CS:CS),VLOOKUP(GU249,'Jan-2026 rates'!$E:$F,2,0)))</f>
        <v>#N/A</v>
      </c>
      <c r="HE249" s="409">
        <v>6</v>
      </c>
      <c r="HF249" s="398">
        <f>IF(HE249=0,0,IF(LEN(GV249)=11,_xlfn.XLOOKUP(GV249,'Dispensed Ink Rates'!C:C,'Dispensed Ink Rates'!CS:CS),VLOOKUP(GV249,'Jan-2026 rates'!$E:$F,2,0)))</f>
        <v>0</v>
      </c>
      <c r="HG249" s="409"/>
      <c r="HH249" s="398">
        <f>IF(HG249=0,0,IF(LEN(GW249)=11,_xlfn.XLOOKUP(GW249,'Dispensed Ink Rates'!C:C,'Dispensed Ink Rates'!CS:CS),VLOOKUP(GW249,'Jan-2026 rates'!$E:$F,2,0)))</f>
        <v>0</v>
      </c>
      <c r="HI249" s="409"/>
      <c r="HJ249" s="398">
        <f>IF(HI249=0,0,IF(LEN(GX249)=11,_xlfn.XLOOKUP(GX249,'Dispensed Ink Rates'!C:C,'Dispensed Ink Rates'!CS:CS),VLOOKUP(GX249,'Jan-2026 rates'!$E:$F,2,0)))</f>
        <v>0</v>
      </c>
      <c r="HK249" s="409"/>
      <c r="HL249" s="398">
        <f>IF(HK249=0,0,IF(LEN(GY249)=11,_xlfn.XLOOKUP(GY249,'Dispensed Ink Rates'!C:C,'Dispensed Ink Rates'!CS:CS),VLOOKUP(GY249,'Jan-2026 rates'!$E:$F,2,0)))</f>
        <v>0</v>
      </c>
      <c r="HM249" s="409"/>
      <c r="HN249" s="398">
        <f>IF(HM249=0,0,IF(LEN(GZ249)=11,_xlfn.XLOOKUP(GZ249,'Dispensed Ink Rates'!C:C,'Dispensed Ink Rates'!CS:CS),VLOOKUP(GZ249,'Jan-2026 rates'!$E:$F,2,0)))</f>
        <v>0</v>
      </c>
      <c r="HO249" s="409"/>
      <c r="HP249" s="398">
        <f>IF(HO249=0,0,IF(LEN(HA249)=11,_xlfn.XLOOKUP(HA249,'Dispensed Ink Rates'!C:C,'Dispensed Ink Rates'!CS:CS),VLOOKUP(HA249,'Jan-2026 rates'!$E:$F,2,0)))</f>
        <v>0</v>
      </c>
      <c r="HQ249" s="409"/>
      <c r="HR249" s="398">
        <f>IF(HQ249=0,0,IF(LEN(HB249)=11,_xlfn.XLOOKUP(HB249,'Dispensed Ink Rates'!C:C,'Dispensed Ink Rates'!CS:CS),VLOOKUP(HB249,'Jan-2026 rates'!$E:$F,2,0)))</f>
        <v>0</v>
      </c>
      <c r="HS249" s="409" t="s">
        <v>1443</v>
      </c>
      <c r="HT249" s="409">
        <v>30</v>
      </c>
      <c r="HU249" s="411">
        <f t="shared" si="174"/>
        <v>0</v>
      </c>
      <c r="HV249" s="411">
        <f t="shared" si="175"/>
        <v>17.647058823529413</v>
      </c>
      <c r="HW249" s="414">
        <f t="shared" si="176"/>
        <v>0</v>
      </c>
      <c r="HX249" s="405" t="s">
        <v>856</v>
      </c>
      <c r="HY249" s="409" t="s">
        <v>4073</v>
      </c>
      <c r="HZ249" s="420" t="str">
        <f t="shared" si="189"/>
        <v>FLINTSL - WHITE</v>
      </c>
      <c r="IA249" s="409">
        <v>24</v>
      </c>
      <c r="IB249" s="411">
        <f>IF(IA249=0,0,IF($LB249=70%,VLOOKUP($HZ249,'Jan-2026 rates'!$L:$R,4,0),IF($LB249=65%,VLOOKUP($HZ249,'Jan-2026 rates'!$L:$R,4,0),IF($LB249=40%,VLOOKUP($HZ249,'Jan-2026 rates'!$L:$R,5,0),IF($LB249=30%,VLOOKUP($HZ249,'Jan-2026 rates'!$L:$R,6,0),IF($LB249=100%,VLOOKUP($HZ249,'Jan-2026 rates'!$L:$R,7,0),IF($LB249=60%,VLOOKUP($HZ249,'Jan-2026 rates'!$L:$S,8,0),IF($LB249=80%,VLOOKUP($HZ249,'Jan-2026 rates'!L:T,9,0),0))))))))</f>
        <v>0</v>
      </c>
      <c r="IC249" s="412"/>
      <c r="ID249" s="409"/>
      <c r="IE249" s="411">
        <f>IF(ID249=0,0,IF($LB249=70%,VLOOKUP($HZ249,'Jan-2026 rates'!$L:$R,4,0),IF($LB249=65%,VLOOKUP($HZ249,'Jan-2026 rates'!$L:$R,4,0),IF($LB249=40%,VLOOKUP($HZ249,'Jan-2026 rates'!$L:$R,5,0),IF($LB249=30%,VLOOKUP($HZ249,'Jan-2026 rates'!$L:$R,6,0),IF($LB249=100%,VLOOKUP($HZ249,'Jan-2026 rates'!$L:$R,7,0),IF($LB249=60%,VLOOKUP($HZ249,'Jan-2026 rates'!$L:$S,8,0),IF($LB249=80%,VLOOKUP($HZ249,'Jan-2026 rates'!L:T,9,0),0))))))))</f>
        <v>0</v>
      </c>
      <c r="IF249" s="412" t="s">
        <v>484</v>
      </c>
      <c r="IG249" s="413"/>
      <c r="IH249" s="412"/>
      <c r="II249" s="412"/>
      <c r="IJ249" s="412"/>
      <c r="IK249" s="412"/>
      <c r="IL249" s="412"/>
      <c r="IM249" s="412"/>
      <c r="IN249" s="409">
        <v>100</v>
      </c>
      <c r="IO249" s="398">
        <f>IF(IN249=0,0,IF(LEN(IF249)=11,_xlfn.XLOOKUP(IF249,'Dispensed Ink Rates'!C:C,'Dispensed Ink Rates'!CS:CS),VLOOKUP(IF249,'Jan-2026 rates'!$E:$F,2,0)))</f>
        <v>0</v>
      </c>
      <c r="IP249" s="409"/>
      <c r="IQ249" s="398">
        <f>IF(IP249=0,0,IF(LEN(IG249)=11,_xlfn.XLOOKUP(IG249,'Dispensed Ink Rates'!C:C,'Dispensed Ink Rates'!CS:CS),VLOOKUP(IG249,'Jan-2026 rates'!$E:$F,2,0)))</f>
        <v>0</v>
      </c>
      <c r="IR249" s="409"/>
      <c r="IS249" s="398">
        <f>IF(IR249=0,0,IF(LEN(IH249)=11,_xlfn.XLOOKUP(IH249,'Dispensed Ink Rates'!C:C,'Dispensed Ink Rates'!CS:CS),VLOOKUP(IH249,'Jan-2026 rates'!$E:$F,2,0)))</f>
        <v>0</v>
      </c>
      <c r="IT249" s="409"/>
      <c r="IU249" s="398">
        <f>IF(IT249=0,0,IF(LEN(II249)=11,_xlfn.XLOOKUP(II249,'Dispensed Ink Rates'!C:C,'Dispensed Ink Rates'!CS:CS),VLOOKUP(II249,'Jan-2026 rates'!$E:$F,2,0)))</f>
        <v>0</v>
      </c>
      <c r="IV249" s="409"/>
      <c r="IW249" s="398">
        <f>IF(IV249=0,0,IF(LEN(IJ249)=11,_xlfn.XLOOKUP(IJ249,'Dispensed Ink Rates'!C:C,'Dispensed Ink Rates'!CS:CS),VLOOKUP(IJ249,'Jan-2026 rates'!$E:$F,2,0)))</f>
        <v>0</v>
      </c>
      <c r="IX249" s="409"/>
      <c r="IY249" s="398">
        <f>IF(IX249=0,0,IF(LEN(IK249)=11,_xlfn.XLOOKUP(IK249,'Dispensed Ink Rates'!C:C,'Dispensed Ink Rates'!CS:CS),VLOOKUP(IK249,'Jan-2026 rates'!$E:$F,2,0)))</f>
        <v>0</v>
      </c>
      <c r="IZ249" s="409"/>
      <c r="JA249" s="398">
        <f>IF(IZ249=0,0,IF(LEN(IL249)=11,_xlfn.XLOOKUP(IL249,'Dispensed Ink Rates'!C:C,'Dispensed Ink Rates'!CS:CS),VLOOKUP(IL249,'Jan-2026 rates'!$E:$F,2,0)))</f>
        <v>0</v>
      </c>
      <c r="JB249" s="409"/>
      <c r="JC249" s="398">
        <f>IF(JB249=0,0,IF(LEN(IM249)=11,_xlfn.XLOOKUP(IM249,'Dispensed Ink Rates'!C:C,'Dispensed Ink Rates'!CS:CS),VLOOKUP(IM249,'Jan-2026 rates'!$E:$F,2,0)))</f>
        <v>0</v>
      </c>
      <c r="JD249" s="409" t="s">
        <v>1443</v>
      </c>
      <c r="JE249" s="409">
        <v>24</v>
      </c>
      <c r="JF249" s="411">
        <f t="shared" si="177"/>
        <v>0</v>
      </c>
      <c r="JG249" s="411">
        <f t="shared" si="178"/>
        <v>209.41176470588238</v>
      </c>
      <c r="JH249" s="410">
        <f t="shared" si="179"/>
        <v>0</v>
      </c>
      <c r="JI249" s="405"/>
      <c r="JJ249" s="409"/>
      <c r="JK249" s="420" t="str">
        <f t="shared" si="190"/>
        <v xml:space="preserve"> - </v>
      </c>
      <c r="JL249" s="409"/>
      <c r="JM249" s="411">
        <f>IF(JL249=0,0,IF($LB249=70%,VLOOKUP($JK249,'Jan-2026 rates'!$L:$R,4,0),IF($LB249=65%,VLOOKUP($JK249,'Jan-2026 rates'!$L:$R,4,0),IF($LB249=40%,VLOOKUP($JK249,'Jan-2026 rates'!$L:$R,5,0),IF($LB249=30%,VLOOKUP($JK249,'Jan-2026 rates'!$L:$R,6,0),IF($LB249=100%,VLOOKUP($JK249,'Jan-2026 rates'!$L:$R,7,0),IF($LB249=60%,VLOOKUP($JK249,'Jan-2026 rates'!$L:$S,8,0),IF($LB249=80%,VLOOKUP($JK249,'Jan-2026 rates'!L:T,9,0),0))))))))</f>
        <v>0</v>
      </c>
      <c r="JN249" s="412"/>
      <c r="JO249" s="409"/>
      <c r="JP249" s="411">
        <f>IF(JO249=0,0,IF($LB249=70%,VLOOKUP($JK249,'Jan-2026 rates'!$L:$R,4,0),IF($LB249=65%,VLOOKUP($JK249,'Jan-2026 rates'!$L:$R,4,0),IF($LB249=40%,VLOOKUP($JK249,'Jan-2026 rates'!$L:$R,5,0),IF($LB249=30%,VLOOKUP($JK249,'Jan-2026 rates'!$L:$R,6,0),IF($LB249=100%,VLOOKUP($JK249,'Jan-2026 rates'!$L:$R,7,0),IF($LB249=60%,VLOOKUP($JK249,'Jan-2026 rates'!$L:$S,8,0),IF($LB249=80%,VLOOKUP($JK249,'Jan-2026 rates'!L:T,9,0),0))))))))</f>
        <v>0</v>
      </c>
      <c r="JQ249" s="413"/>
      <c r="JR249" s="412"/>
      <c r="JS249" s="413"/>
      <c r="JT249" s="413"/>
      <c r="JU249" s="412"/>
      <c r="JV249" s="412"/>
      <c r="JW249" s="412"/>
      <c r="JX249" s="412"/>
      <c r="JY249" s="409"/>
      <c r="JZ249" s="398">
        <f>IF(JY249=0,0,IF(LEN(JQ249)=11,_xlfn.XLOOKUP(JQ249,'Dispensed Ink Rates'!C:C,'Dispensed Ink Rates'!CS:CS),VLOOKUP(JQ249,'Jan-2026 rates'!$E:$F,2,0)))</f>
        <v>0</v>
      </c>
      <c r="KA249" s="409"/>
      <c r="KB249" s="398">
        <f>IF(KA249=0,0,IF(LEN(JR249)=11,_xlfn.XLOOKUP(JR249,'Dispensed Ink Rates'!C:C,'Dispensed Ink Rates'!CS:CS),VLOOKUP(JR249,'Jan-2026 rates'!$E:$F,2,0)))</f>
        <v>0</v>
      </c>
      <c r="KC249" s="409"/>
      <c r="KD249" s="398">
        <f>IF(KC249=0,0,IF(LEN(JS249)=11,_xlfn.XLOOKUP(JS249,'Dispensed Ink Rates'!C:C,'Dispensed Ink Rates'!CS:CS),VLOOKUP(JS249,'Jan-2026 rates'!$E:$F,2,0)))</f>
        <v>0</v>
      </c>
      <c r="KE249" s="409"/>
      <c r="KF249" s="398">
        <f>IF(KE249=0,0,IF(LEN(JT249)=11,_xlfn.XLOOKUP(JT249,'Dispensed Ink Rates'!C:C,'Dispensed Ink Rates'!CS:CS),VLOOKUP(JT249,'Jan-2026 rates'!$E:$F,2,0)))</f>
        <v>0</v>
      </c>
      <c r="KG249" s="409"/>
      <c r="KH249" s="398">
        <f>IF(KG249=0,0,IF(LEN(JU249)=11,_xlfn.XLOOKUP(JU249,'Dispensed Ink Rates'!C:C,'Dispensed Ink Rates'!CS:CS),VLOOKUP(JU249,'Jan-2026 rates'!$E:$F,2,0)))</f>
        <v>0</v>
      </c>
      <c r="KI249" s="409"/>
      <c r="KJ249" s="398">
        <f>IF(KI249=0,0,IF(LEN(JV249)=11,_xlfn.XLOOKUP(JV249,'Dispensed Ink Rates'!C:C,'Dispensed Ink Rates'!CS:CS),VLOOKUP(JV249,'Jan-2026 rates'!$E:$F,2,0)))</f>
        <v>0</v>
      </c>
      <c r="KK249" s="409"/>
      <c r="KL249" s="398">
        <f>IF(KK249=0,0,IF(LEN(JW249)=11,_xlfn.XLOOKUP(JW249,'Dispensed Ink Rates'!C:C,'Dispensed Ink Rates'!CS:CS),VLOOKUP(JW249,'Jan-2026 rates'!$E:$F,2,0)))</f>
        <v>0</v>
      </c>
      <c r="KM249" s="428"/>
      <c r="KN249" s="398">
        <f>IF(KM249=0,0,IF(LEN(JX249)=11,_xlfn.XLOOKUP(JX249,'Dispensed Ink Rates'!C:C,'Dispensed Ink Rates'!CS:CS),VLOOKUP(JX249,'Jan-2026 rates'!$E:$F,2,0)))</f>
        <v>0</v>
      </c>
      <c r="KO249" s="409"/>
      <c r="KP249" s="409"/>
      <c r="KQ249" s="411">
        <f t="shared" si="180"/>
        <v>0</v>
      </c>
      <c r="KR249" s="411">
        <f t="shared" si="181"/>
        <v>0</v>
      </c>
      <c r="KS249" s="410">
        <f t="shared" si="182"/>
        <v>0</v>
      </c>
      <c r="KT249" s="409">
        <v>5</v>
      </c>
      <c r="KU249" s="409">
        <v>5</v>
      </c>
      <c r="KV249" s="409">
        <v>20</v>
      </c>
      <c r="KW249" s="409">
        <v>5</v>
      </c>
      <c r="KX249" s="409">
        <v>5</v>
      </c>
      <c r="KY249" s="409">
        <v>2</v>
      </c>
      <c r="KZ249" s="409">
        <v>60</v>
      </c>
      <c r="LA249" s="409">
        <v>0</v>
      </c>
      <c r="LB249" s="415">
        <v>0.8</v>
      </c>
      <c r="LC249" s="415">
        <v>0.2</v>
      </c>
      <c r="LD249" s="415"/>
      <c r="LE249" s="415"/>
      <c r="LF249" s="415"/>
      <c r="LG249" s="409">
        <v>0</v>
      </c>
      <c r="LH249" s="409">
        <f>60+46+64+16</f>
        <v>186</v>
      </c>
      <c r="LI249" s="409">
        <v>0</v>
      </c>
      <c r="LJ249" s="409">
        <v>0</v>
      </c>
      <c r="LK249" s="416">
        <f t="shared" si="191"/>
        <v>186</v>
      </c>
      <c r="LL249" s="416">
        <f t="shared" si="192"/>
        <v>186</v>
      </c>
      <c r="LM249" s="417">
        <f t="shared" si="193"/>
        <v>148.80000000000001</v>
      </c>
      <c r="LN249" s="417">
        <f>VLOOKUP($LM$8,'Jan-2026 rates'!$H:$I,2,0)</f>
        <v>0</v>
      </c>
      <c r="LO249" s="417">
        <f t="shared" si="194"/>
        <v>37.200000000000003</v>
      </c>
      <c r="LP249" s="417">
        <f>VLOOKUP($LO$8,'Jan-2026 rates'!$H:$I,2,0)</f>
        <v>0</v>
      </c>
      <c r="LQ249" s="417">
        <f t="shared" si="195"/>
        <v>0</v>
      </c>
      <c r="LR249" s="417">
        <f>VLOOKUP($LQ$8,'Jan-2026 rates'!$H:$I,2,0)</f>
        <v>0</v>
      </c>
      <c r="LS249" s="417">
        <f t="shared" si="196"/>
        <v>0</v>
      </c>
      <c r="LT249" s="417">
        <f>VLOOKUP($LS$8,'Jan-2026 rates'!$H:$I,2,0)</f>
        <v>0</v>
      </c>
      <c r="LU249" s="417">
        <f t="shared" si="197"/>
        <v>0</v>
      </c>
      <c r="LV249" s="417">
        <f>VLOOKUP($LU$8,'Jan-2026 rates'!$H:$I,2,0)</f>
        <v>0</v>
      </c>
      <c r="LW249" s="417">
        <f t="shared" si="198"/>
        <v>0</v>
      </c>
      <c r="LX249" s="417">
        <f t="shared" si="199"/>
        <v>0</v>
      </c>
      <c r="LY249" s="418">
        <f t="shared" si="200"/>
        <v>0</v>
      </c>
      <c r="LZ249" s="417"/>
      <c r="MA249" s="435">
        <f t="shared" si="201"/>
        <v>215</v>
      </c>
      <c r="MB249" s="282">
        <f t="shared" si="202"/>
        <v>394</v>
      </c>
      <c r="MC249" s="283">
        <v>142</v>
      </c>
      <c r="MD249" s="284" t="str">
        <f t="shared" si="203"/>
        <v>FLINTSLFLINTSLFLINTSLFLINTSLFLINTSLFLINTSLFLINTSL</v>
      </c>
      <c r="ME249" s="293" t="str">
        <f t="shared" si="204"/>
        <v>+</v>
      </c>
      <c r="MF249" s="293" t="str">
        <f t="shared" si="205"/>
        <v>+</v>
      </c>
      <c r="MG249" s="293" t="str">
        <f t="shared" si="206"/>
        <v>+</v>
      </c>
      <c r="MH249" s="293" t="str">
        <f t="shared" si="207"/>
        <v>+</v>
      </c>
      <c r="MI249" s="293" t="str">
        <f t="shared" si="208"/>
        <v>+</v>
      </c>
      <c r="MJ249" s="293" t="str">
        <f t="shared" si="209"/>
        <v>+</v>
      </c>
      <c r="MK249" s="293" t="str">
        <f t="shared" si="210"/>
        <v>+</v>
      </c>
      <c r="ML249" s="293" t="str">
        <f t="shared" si="211"/>
        <v>NIL</v>
      </c>
      <c r="MM249" s="3" t="b">
        <f t="array" ref="MM249">OR(ME249:ML249="-")</f>
        <v>0</v>
      </c>
      <c r="MN249" s="285"/>
      <c r="MO249" s="401"/>
      <c r="MP249" s="286"/>
      <c r="MQ249" s="286"/>
      <c r="MR249" s="402"/>
      <c r="MS249" s="400"/>
      <c r="NH249" s="422"/>
      <c r="NJ249" s="421"/>
    </row>
    <row r="250" spans="1:374" s="1" customFormat="1" ht="16.5">
      <c r="A250" s="403">
        <v>46041</v>
      </c>
      <c r="B250" s="404" t="s">
        <v>1015</v>
      </c>
      <c r="C250" s="405" t="s">
        <v>4074</v>
      </c>
      <c r="D250" s="406">
        <v>143</v>
      </c>
      <c r="E250" s="404">
        <v>539</v>
      </c>
      <c r="F250" s="407">
        <v>31500</v>
      </c>
      <c r="G250" s="407" t="s">
        <v>1016</v>
      </c>
      <c r="H250" s="408" t="s">
        <v>1017</v>
      </c>
      <c r="I250" s="409">
        <v>1.84</v>
      </c>
      <c r="J250" s="405" t="s">
        <v>543</v>
      </c>
      <c r="K250" s="404" t="s">
        <v>4075</v>
      </c>
      <c r="L250" s="419" t="str">
        <f t="shared" si="184"/>
        <v>FLINTSL - BLACK</v>
      </c>
      <c r="M250" s="404">
        <v>28</v>
      </c>
      <c r="N250" s="410">
        <f>IF(M250=0,0,IF($LB250=70%,VLOOKUP($L250,'Jan-2026 rates'!$L:$R,4,0),IF($LB250=65%,VLOOKUP($L250,'Jan-2026 rates'!$L:$R,4,0),IF($LB250=40%,VLOOKUP($L250,'Jan-2026 rates'!$L:$R,5,0),IF($LB250=30%,VLOOKUP($L250,'Jan-2026 rates'!$L:$R,6,0),IF($LB250=100%,VLOOKUP($L250,'Jan-2026 rates'!$L:$R,7,0),IF($LB250=60%,VLOOKUP($L250,'Jan-2026 rates'!$L:$S,8,0),IF($LB250=80%,VLOOKUP($L250,'Jan-2026 rates'!L:T,9,0),0))))))))</f>
        <v>0</v>
      </c>
      <c r="O250" s="406"/>
      <c r="P250" s="404"/>
      <c r="Q250" s="410">
        <f>IF(P250=0,0,IF($LB250=70%,VLOOKUP($L250,'Jan-2026 rates'!$L:$R,4,0),IF($LB250=65%,VLOOKUP($L250,'Jan-2026 rates'!$L:$R,4,0),IF($LB250=40%,VLOOKUP($L250,'Jan-2026 rates'!$L:$R,5,0),IF($LB250=30%,VLOOKUP($L250,'Jan-2026 rates'!$L:$R,6,0),IF($LB250=100%,VLOOKUP($L250,'Jan-2026 rates'!$L:$R,7,0),IF($LB250=60%,VLOOKUP($L250,'Jan-2026 rates'!$L:$S,8,0),IF($LB250=80%,VLOOKUP($L250,'Jan-2026 rates'!L:T,9,0),0))))))))</f>
        <v>0</v>
      </c>
      <c r="R250" s="406">
        <v>26517000044</v>
      </c>
      <c r="S250" s="406"/>
      <c r="T250" s="406"/>
      <c r="U250" s="406"/>
      <c r="V250" s="406"/>
      <c r="W250" s="406"/>
      <c r="X250" s="406"/>
      <c r="Y250" s="406"/>
      <c r="Z250" s="404">
        <v>3</v>
      </c>
      <c r="AA250" s="398" t="e">
        <f>IF(Z250=0,0,IF(LEN(R250)=11,_xlfn.XLOOKUP(R250,'Dispensed Ink Rates'!C:C,'Dispensed Ink Rates'!CS:CS),VLOOKUP(R250,'Jan-2026 rates'!$E:$F,2,0)))</f>
        <v>#N/A</v>
      </c>
      <c r="AB250" s="404"/>
      <c r="AC250" s="398">
        <f>IF(AB250=0,0,IF(LEN(S250)=11,_xlfn.XLOOKUP(S250,'Dispensed Ink Rates'!C:C,'Dispensed Ink Rates'!CS:CS),VLOOKUP(S250,'Jan-2026 rates'!$E:$F,2,0)))</f>
        <v>0</v>
      </c>
      <c r="AD250" s="404"/>
      <c r="AE250" s="398">
        <f>IF(AD250=0,0,IF(LEN(T250)=11,_xlfn.XLOOKUP(T250,'Dispensed Ink Rates'!C:C,'Dispensed Ink Rates'!CS:CS),VLOOKUP(T250,'Jan-2026 rates'!$E:$F,2,0)))</f>
        <v>0</v>
      </c>
      <c r="AF250" s="404"/>
      <c r="AG250" s="398">
        <f>IF(AF250=0,0,IF(LEN(U250)=11,_xlfn.XLOOKUP(U250,'Dispensed Ink Rates'!C:C,'Dispensed Ink Rates'!CS:CS),VLOOKUP(U250,'Jan-2026 rates'!$E:$F,2,0)))</f>
        <v>0</v>
      </c>
      <c r="AH250" s="404"/>
      <c r="AI250" s="398">
        <f>IF(AH250=0,0,IF(LEN(V250)=11,_xlfn.XLOOKUP(V250,'Dispensed Ink Rates'!C:C,'Dispensed Ink Rates'!CS:CS),VLOOKUP(V250,'Jan-2026 rates'!$E:$F,2,0)))</f>
        <v>0</v>
      </c>
      <c r="AJ250" s="404"/>
      <c r="AK250" s="398">
        <f>IF(AJ250=0,0,IF(LEN(W250)=11,_xlfn.XLOOKUP(W250,'Dispensed Ink Rates'!C:C,'Dispensed Ink Rates'!CS:CS),VLOOKUP(W250,'Jan-2026 rates'!$E:$F,2,0)))</f>
        <v>0</v>
      </c>
      <c r="AL250" s="404"/>
      <c r="AM250" s="398">
        <f>IF(AL250=0,0,IF(LEN(X250)=11,_xlfn.XLOOKUP(X250,'Dispensed Ink Rates'!C:C,'Dispensed Ink Rates'!CS:CS),VLOOKUP(X250,'Jan-2026 rates'!$E:$F,2,0)))</f>
        <v>0</v>
      </c>
      <c r="AN250" s="404"/>
      <c r="AO250" s="398">
        <f>IF(AN250=0,0,IF(LEN(Y250)=11,_xlfn.XLOOKUP(Y250,'Dispensed Ink Rates'!C:C,'Dispensed Ink Rates'!CS:CS),VLOOKUP(Y250,'Jan-2026 rates'!$E:$F,2,0)))</f>
        <v>0</v>
      </c>
      <c r="AP250" s="409" t="s">
        <v>1443</v>
      </c>
      <c r="AQ250" s="409">
        <v>27</v>
      </c>
      <c r="AR250" s="410">
        <f t="shared" si="159"/>
        <v>0</v>
      </c>
      <c r="AS250" s="411">
        <f t="shared" si="160"/>
        <v>9.178082191780824</v>
      </c>
      <c r="AT250" s="410">
        <f t="shared" si="161"/>
        <v>0</v>
      </c>
      <c r="AU250" s="405" t="s">
        <v>547</v>
      </c>
      <c r="AV250" s="409" t="s">
        <v>4076</v>
      </c>
      <c r="AW250" s="420" t="str">
        <f t="shared" si="183"/>
        <v>FLINTSL - GREEN</v>
      </c>
      <c r="AX250" s="409">
        <v>30</v>
      </c>
      <c r="AY250" s="411">
        <f>IF(AX250=0,0,IF($LB250=70%,VLOOKUP($AW250,'Jan-2026 rates'!$L:$R,4,0),IF($LB250=65%,VLOOKUP($AW250,'Jan-2026 rates'!$L:$R,4,0),IF($LB250=40%,VLOOKUP($AW250,'Jan-2026 rates'!$L:$R,5,0),IF($LB250=30%,VLOOKUP($AW250,'Jan-2026 rates'!$L:$R,6,0),IF($LB250=100%,VLOOKUP($AW250,'Jan-2026 rates'!$L:$R,7,0),IF($LB250=60%,VLOOKUP($AW250,'Jan-2026 rates'!$L:$S,8,0),IF($LB250=80%,VLOOKUP($AW250,'Jan-2026 rates'!L:T,9,0),0))))))))</f>
        <v>0</v>
      </c>
      <c r="AZ250" s="412" t="s">
        <v>4077</v>
      </c>
      <c r="BA250" s="409">
        <f>24+35</f>
        <v>59</v>
      </c>
      <c r="BB250" s="411">
        <f>IF(BA250=0,0,IF($LB250=70%,VLOOKUP($AW250,'Jan-2026 rates'!$L:$R,4,0),IF($LB250=65%,VLOOKUP($AW250,'Jan-2026 rates'!$L:$R,4,0),IF($LB250=40%,VLOOKUP($AW250,'Jan-2026 rates'!$L:$R,5,0),IF($LB250=30%,VLOOKUP($AW250,'Jan-2026 rates'!$L:$R,6,0),IF($LB250=100%,VLOOKUP($AW250,'Jan-2026 rates'!$L:$R,7,0),IF($LB250=60%,VLOOKUP($AW250,'Jan-2026 rates'!$L:$S,8,0),IF($LB250=80%,VLOOKUP($AW250,'Jan-2026 rates'!L:T,9,0),0))))))))</f>
        <v>0</v>
      </c>
      <c r="BC250" s="413">
        <v>26519000017</v>
      </c>
      <c r="BD250" s="412">
        <v>26517000044</v>
      </c>
      <c r="BE250" s="412">
        <v>26519000032</v>
      </c>
      <c r="BF250" s="413"/>
      <c r="BG250" s="412"/>
      <c r="BH250" s="412"/>
      <c r="BI250" s="412"/>
      <c r="BJ250" s="412"/>
      <c r="BK250" s="409">
        <v>2</v>
      </c>
      <c r="BL250" s="398" t="e">
        <f>IF(BK250=0,0,IF(LEN(BC250)=11,_xlfn.XLOOKUP(BC250,'Dispensed Ink Rates'!C:C,'Dispensed Ink Rates'!CS:CS),VLOOKUP(BC250,'Jan-2026 rates'!$E:$F,2,0)))</f>
        <v>#N/A</v>
      </c>
      <c r="BM250" s="409">
        <v>1</v>
      </c>
      <c r="BN250" s="398" t="e">
        <f>IF(BM250=0,0,IF(LEN(BD250)=11,_xlfn.XLOOKUP(BD250,'Dispensed Ink Rates'!C:C,'Dispensed Ink Rates'!CS:CS),VLOOKUP(BD250,'Jan-2026 rates'!$E:$F,2,0)))</f>
        <v>#N/A</v>
      </c>
      <c r="BO250" s="409">
        <v>40</v>
      </c>
      <c r="BP250" s="398" t="e">
        <f>IF(BO250=0,0,IF(LEN(BE250)=11,_xlfn.XLOOKUP(BE250,'Dispensed Ink Rates'!C:C,'Dispensed Ink Rates'!CS:CS),VLOOKUP(BE250,'Jan-2026 rates'!$E:$F,2,0)))</f>
        <v>#N/A</v>
      </c>
      <c r="BQ250" s="409"/>
      <c r="BR250" s="398">
        <f>IF(BQ250=0,0,IF(LEN(BF250)=11,_xlfn.XLOOKUP(BF250,'Dispensed Ink Rates'!C:C,'Dispensed Ink Rates'!CS:CS),VLOOKUP(BF250,'Jan-2026 rates'!$E:$F,2,0)))</f>
        <v>0</v>
      </c>
      <c r="BS250" s="409"/>
      <c r="BT250" s="398">
        <f>IF(BS250=0,0,IF(LEN(BG250)=11,_xlfn.XLOOKUP(BG250,'Dispensed Ink Rates'!C:C,'Dispensed Ink Rates'!CS:CS),VLOOKUP(BG250,'Jan-2026 rates'!$E:$F,2,0)))</f>
        <v>0</v>
      </c>
      <c r="BU250" s="409"/>
      <c r="BV250" s="398">
        <f>IF(BU250=0,0,IF(LEN(BH250)=11,_xlfn.XLOOKUP(BH250,'Dispensed Ink Rates'!C:C,'Dispensed Ink Rates'!CS:CS),VLOOKUP(BH250,'Jan-2026 rates'!$E:$F,2,0)))</f>
        <v>0</v>
      </c>
      <c r="BW250" s="409"/>
      <c r="BX250" s="398">
        <f>IF(BW250=0,0,IF(LEN(BI250)=11,_xlfn.XLOOKUP(BI250,'Dispensed Ink Rates'!C:C,'Dispensed Ink Rates'!CS:CS),VLOOKUP(BI250,'Jan-2026 rates'!$E:$F,2,0)))</f>
        <v>0</v>
      </c>
      <c r="BY250" s="409"/>
      <c r="BZ250" s="398">
        <f>IF(BY250=0,0,IF(LEN(BJ250)=11,_xlfn.XLOOKUP(BJ250,'Dispensed Ink Rates'!C:C,'Dispensed Ink Rates'!CS:CS),VLOOKUP(BJ250,'Jan-2026 rates'!$E:$F,2,0)))</f>
        <v>0</v>
      </c>
      <c r="CA250" s="409" t="s">
        <v>1443</v>
      </c>
      <c r="CB250" s="409">
        <v>32</v>
      </c>
      <c r="CC250" s="411">
        <f t="shared" si="162"/>
        <v>0</v>
      </c>
      <c r="CD250" s="411">
        <f t="shared" si="163"/>
        <v>105.17808219178082</v>
      </c>
      <c r="CE250" s="410">
        <f t="shared" si="164"/>
        <v>0</v>
      </c>
      <c r="CF250" s="404" t="s">
        <v>857</v>
      </c>
      <c r="CG250" s="409" t="s">
        <v>4078</v>
      </c>
      <c r="CH250" s="420" t="str">
        <f t="shared" si="185"/>
        <v>FLINTSL - RED</v>
      </c>
      <c r="CI250" s="409">
        <v>27</v>
      </c>
      <c r="CJ250" s="411">
        <f>IF(CI250=0,0,IF($LB250=70%,VLOOKUP($CH250,'Jan-2026 rates'!$L:$R,4,0),IF($LB250=65%,VLOOKUP($CH250,'Jan-2026 rates'!$L:$R,4,0),IF($LB250=40%,VLOOKUP($CH250,'Jan-2026 rates'!$L:$R,5,0),IF($LB250=30%,VLOOKUP($CH250,'Jan-2026 rates'!$L:$R,6,0),IF($LB250=100%,VLOOKUP($CH250,'Jan-2026 rates'!$L:$R,7,0),IF($LB250=60%,VLOOKUP($CH250,'Jan-2026 rates'!$L:$S,8,0),IF($LB250=80%,VLOOKUP($CH250,'Jan-2026 rates'!L:T,9,0),0))))))))</f>
        <v>0</v>
      </c>
      <c r="CK250" s="412"/>
      <c r="CL250" s="409"/>
      <c r="CM250" s="411">
        <f>IF(CL250=0,0,IF($LB250=70%,VLOOKUP($CH250,'Jan-2026 rates'!$L:$R,4,0),IF($LB250=65%,VLOOKUP($CH250,'Jan-2026 rates'!$L:$R,4,0),IF($LB250=40%,VLOOKUP($CH250,'Jan-2026 rates'!$L:$R,5,0),IF($LB250=30%,VLOOKUP($CH250,'Jan-2026 rates'!$L:$R,6,0),IF($LB250=100%,VLOOKUP($CH250,'Jan-2026 rates'!$L:$R,7,0),IF($LB250=60%,VLOOKUP($CH250,'Jan-2026 rates'!$L:$S,8,0),IF($LB250=80%,VLOOKUP($CH250,'Jan-2026 rates'!L:T,9,0),0))))))))</f>
        <v>0</v>
      </c>
      <c r="CN250" s="426">
        <v>26519000021</v>
      </c>
      <c r="CO250" s="427"/>
      <c r="CP250" s="426"/>
      <c r="CQ250" s="426"/>
      <c r="CR250" s="428"/>
      <c r="CS250" s="428"/>
      <c r="CT250" s="428"/>
      <c r="CU250" s="428"/>
      <c r="CV250" s="409">
        <v>2</v>
      </c>
      <c r="CW250" s="398" t="e">
        <f>IF(CV250=0,0,IF(LEN(CN250)=11,_xlfn.XLOOKUP(CN250,'Dispensed Ink Rates'!C:C,'Dispensed Ink Rates'!CS:CS),VLOOKUP(CN250,'Jan-2026 rates'!$E:$F,2,0)))</f>
        <v>#N/A</v>
      </c>
      <c r="CX250" s="409"/>
      <c r="CY250" s="398">
        <f>IF(CX250=0,0,IF(LEN(CO250)=11,_xlfn.XLOOKUP(CO250,'Dispensed Ink Rates'!C:C,'Dispensed Ink Rates'!CS:CS),VLOOKUP(CO250,'Jan-2026 rates'!$E:$F,2,0)))</f>
        <v>0</v>
      </c>
      <c r="CZ250" s="409"/>
      <c r="DA250" s="398">
        <f>IF(CZ250=0,0,IF(LEN(CP250)=11,_xlfn.XLOOKUP(CP250,'Dispensed Ink Rates'!C:C,'Dispensed Ink Rates'!CS:CS),VLOOKUP(CP250,'Jan-2026 rates'!$E:$F,2,0)))</f>
        <v>0</v>
      </c>
      <c r="DB250" s="409"/>
      <c r="DC250" s="398">
        <f>IF(DB250=0,0,IF(LEN(CQ250)=11,_xlfn.XLOOKUP(CQ250,'Dispensed Ink Rates'!C:C,'Dispensed Ink Rates'!CS:CS),VLOOKUP(CQ250,'Jan-2026 rates'!$E:$F,2,0)))</f>
        <v>0</v>
      </c>
      <c r="DD250" s="409"/>
      <c r="DE250" s="398">
        <f>IF(DD250=0,0,IF(LEN(CR250)=11,_xlfn.XLOOKUP(CR250,'Dispensed Ink Rates'!C:C,'Dispensed Ink Rates'!CS:CS),VLOOKUP(CR250,'Jan-2026 rates'!$E:$F,2,0)))</f>
        <v>0</v>
      </c>
      <c r="DF250" s="409"/>
      <c r="DG250" s="398">
        <f>IF(DF250=0,0,IF(LEN(CS250)=11,_xlfn.XLOOKUP(CS250,'Dispensed Ink Rates'!C:C,'Dispensed Ink Rates'!CS:CS),VLOOKUP(CS250,'Jan-2026 rates'!$E:$F,2,0)))</f>
        <v>0</v>
      </c>
      <c r="DH250" s="409"/>
      <c r="DI250" s="398">
        <f>IF(DH250=0,0,IF(LEN(CT250)=11,_xlfn.XLOOKUP(CT250,'Dispensed Ink Rates'!C:C,'Dispensed Ink Rates'!CS:CS),VLOOKUP(CT250,'Jan-2026 rates'!$E:$F,2,0)))</f>
        <v>0</v>
      </c>
      <c r="DJ250" s="409"/>
      <c r="DK250" s="398">
        <f>IF(DJ250=0,0,IF(LEN(CU250)=11,_xlfn.XLOOKUP(CU250,'Dispensed Ink Rates'!C:C,'Dispensed Ink Rates'!CS:CS),VLOOKUP(CU250,'Jan-2026 rates'!$E:$F,2,0)))</f>
        <v>0</v>
      </c>
      <c r="DL250" s="409" t="s">
        <v>1443</v>
      </c>
      <c r="DM250" s="409">
        <v>25</v>
      </c>
      <c r="DN250" s="411">
        <f t="shared" si="165"/>
        <v>0</v>
      </c>
      <c r="DO250" s="411">
        <f t="shared" si="166"/>
        <v>9.178082191780824</v>
      </c>
      <c r="DP250" s="410">
        <f t="shared" si="167"/>
        <v>0</v>
      </c>
      <c r="DQ250" s="405" t="s">
        <v>855</v>
      </c>
      <c r="DR250" s="409" t="s">
        <v>4079</v>
      </c>
      <c r="DS250" s="420" t="str">
        <f t="shared" si="186"/>
        <v>FLINTSL - CYAN</v>
      </c>
      <c r="DT250" s="409">
        <v>28</v>
      </c>
      <c r="DU250" s="411">
        <f>IF(DT250=0,0,IF($LB250=70%,VLOOKUP($DS250,'Jan-2026 rates'!$L:$R,4,0),IF($LB250=65%,VLOOKUP($DS250,'Jan-2026 rates'!$L:$R,4,0),IF($LB250=40%,VLOOKUP($DS250,'Jan-2026 rates'!$L:$R,5,0),IF($LB250=30%,VLOOKUP($DS250,'Jan-2026 rates'!$L:$R,6,0),IF($LB250=100%,VLOOKUP($DS250,'Jan-2026 rates'!$L:$R,7,0),IF($LB250=60%,VLOOKUP($DS250,'Jan-2026 rates'!$L:$S,8,0),IF($LB250=80%,VLOOKUP($DS250,'Jan-2026 rates'!L:T,9,0),0))))))))</f>
        <v>0</v>
      </c>
      <c r="DV250" s="412"/>
      <c r="DW250" s="409"/>
      <c r="DX250" s="411">
        <f>IF(DW250=0,0,IF($LB250=70%,VLOOKUP($DS250,'Jan-2026 rates'!$L:$R,4,0),IF($LB250=65%,VLOOKUP($DS250,'Jan-2026 rates'!$L:$R,4,0),IF($LB250=40%,VLOOKUP($DS250,'Jan-2026 rates'!$L:$R,5,0),IF($LB250=30%,VLOOKUP($DS250,'Jan-2026 rates'!$L:$R,6,0),IF($LB250=100%,VLOOKUP($DS250,'Jan-2026 rates'!$L:$R,7,0),IF($LB250=60%,VLOOKUP($DS250,'Jan-2026 rates'!$L:$S,8,0),IF($LB250=80%,VLOOKUP($DS250,'Jan-2026 rates'!L:T,9,0),0))))))))</f>
        <v>0</v>
      </c>
      <c r="DY250" s="413">
        <v>26519000015</v>
      </c>
      <c r="DZ250" s="413"/>
      <c r="EA250" s="412"/>
      <c r="EB250" s="412"/>
      <c r="EC250" s="412"/>
      <c r="ED250" s="412"/>
      <c r="EE250" s="412"/>
      <c r="EF250" s="412"/>
      <c r="EG250" s="409">
        <v>2</v>
      </c>
      <c r="EH250" s="398" t="e">
        <f>IF(EG250=0,0,IF(LEN(DY250)=11,_xlfn.XLOOKUP(DY250,'Dispensed Ink Rates'!C:C,'Dispensed Ink Rates'!CS:CS),VLOOKUP(DY250,'Jan-2026 rates'!$E:$F,2,0)))</f>
        <v>#N/A</v>
      </c>
      <c r="EI250" s="409"/>
      <c r="EJ250" s="398">
        <f>IF(EI250=0,0,IF(LEN(DZ250)=11,_xlfn.XLOOKUP(DZ250,'Dispensed Ink Rates'!C:C,'Dispensed Ink Rates'!CS:CS),VLOOKUP(DZ250,'Jan-2026 rates'!$E:$F,2,0)))</f>
        <v>0</v>
      </c>
      <c r="EK250" s="409"/>
      <c r="EL250" s="398">
        <f>IF(EK250=0,0,IF(LEN(EA250)=11,_xlfn.XLOOKUP(EA250,'Dispensed Ink Rates'!C:C,'Dispensed Ink Rates'!CS:CS),VLOOKUP(EA250,'Jan-2026 rates'!$E:$F,2,0)))</f>
        <v>0</v>
      </c>
      <c r="EM250" s="409"/>
      <c r="EN250" s="398">
        <f>IF(EM250=0,0,IF(LEN(EB250)=11,_xlfn.XLOOKUP(EB250,'Dispensed Ink Rates'!C:C,'Dispensed Ink Rates'!CS:CS),VLOOKUP(EB250,'Jan-2026 rates'!$E:$F,2,0)))</f>
        <v>0</v>
      </c>
      <c r="EO250" s="409"/>
      <c r="EP250" s="398">
        <f>IF(EO250=0,0,IF(LEN(EC250)=11,_xlfn.XLOOKUP(EC250,'Dispensed Ink Rates'!C:C,'Dispensed Ink Rates'!CS:CS),VLOOKUP(EC250,'Jan-2026 rates'!$E:$F,2,0)))</f>
        <v>0</v>
      </c>
      <c r="EQ250" s="409"/>
      <c r="ER250" s="398">
        <f>IF(EQ250=0,0,IF(LEN(ED250)=11,_xlfn.XLOOKUP(ED250,'Dispensed Ink Rates'!C:C,'Dispensed Ink Rates'!CS:CS),VLOOKUP(ED250,'Jan-2026 rates'!$E:$F,2,0)))</f>
        <v>0</v>
      </c>
      <c r="ES250" s="409"/>
      <c r="ET250" s="398">
        <f>IF(ES250=0,0,IF(LEN(EE250)=11,_xlfn.XLOOKUP(EE250,'Dispensed Ink Rates'!C:C,'Dispensed Ink Rates'!CS:CS),VLOOKUP(EE250,'Jan-2026 rates'!$E:$F,2,0)))</f>
        <v>0</v>
      </c>
      <c r="EU250" s="409"/>
      <c r="EV250" s="398">
        <f>IF(EU250=0,0,IF(LEN(EF250)=11,_xlfn.XLOOKUP(EF250,'Dispensed Ink Rates'!C:C,'Dispensed Ink Rates'!CS:CS),VLOOKUP(EF250,'Jan-2026 rates'!$E:$F,2,0)))</f>
        <v>0</v>
      </c>
      <c r="EW250" s="409" t="s">
        <v>1443</v>
      </c>
      <c r="EX250" s="409">
        <v>28</v>
      </c>
      <c r="EY250" s="411">
        <f t="shared" si="168"/>
        <v>0</v>
      </c>
      <c r="EZ250" s="411">
        <f t="shared" si="169"/>
        <v>7.178082191780824</v>
      </c>
      <c r="FA250" s="410">
        <f t="shared" si="170"/>
        <v>0</v>
      </c>
      <c r="FB250" s="405" t="s">
        <v>544</v>
      </c>
      <c r="FC250" s="409" t="s">
        <v>4080</v>
      </c>
      <c r="FD250" s="420" t="str">
        <f t="shared" si="187"/>
        <v>FLINTSL - MAGENTA</v>
      </c>
      <c r="FE250" s="409">
        <v>27</v>
      </c>
      <c r="FF250" s="411">
        <f>IF(FE250=0,0,IF($LB250=70%,VLOOKUP($FD250,'Jan-2026 rates'!$L:$R,4,0),IF($LB250=65%,VLOOKUP($FD250,'Jan-2026 rates'!$L:$R,4,0),IF($LB250=40%,VLOOKUP($FD250,'Jan-2026 rates'!$L:$R,5,0),IF($LB250=30%,VLOOKUP($FD250,'Jan-2026 rates'!$L:$R,6,0),IF($LB250=100%,VLOOKUP($FD250,'Jan-2026 rates'!$L:$R,7,0),IF($LB250=60%,VLOOKUP($FD250,'Jan-2026 rates'!$L:$S,8,0),IF($LB250=80%,VLOOKUP($FD250,'Jan-2026 rates'!L:T,9,0),0))))))))</f>
        <v>0</v>
      </c>
      <c r="FG250" s="412"/>
      <c r="FH250" s="409"/>
      <c r="FI250" s="411">
        <f>IF(FH250=0,0,IF($LB250=70%,VLOOKUP($FD250,'Jan-2026 rates'!$L:$R,4,0),IF($LB250=65%,VLOOKUP($FD250,'Jan-2026 rates'!$L:$R,4,0),IF($LB250=40%,VLOOKUP($FD250,'Jan-2026 rates'!$L:$R,5,0),IF($LB250=30%,VLOOKUP($FD250,'Jan-2026 rates'!$L:$R,6,0),IF($LB250=100%,VLOOKUP($FD250,'Jan-2026 rates'!$L:$R,7,0),IF($LB250=60%,VLOOKUP($FD250,'Jan-2026 rates'!$L:$S,8,0),IF($LB250=80%,VLOOKUP($FD250,'Jan-2026 rates'!L:T,9,0),0))))))))</f>
        <v>0</v>
      </c>
      <c r="FJ250" s="413" t="s">
        <v>1266</v>
      </c>
      <c r="FK250" s="413"/>
      <c r="FL250" s="413"/>
      <c r="FM250" s="412"/>
      <c r="FN250" s="412"/>
      <c r="FO250" s="412"/>
      <c r="FP250" s="412"/>
      <c r="FQ250" s="412"/>
      <c r="FR250" s="409">
        <v>4</v>
      </c>
      <c r="FS250" s="398">
        <f>IF(FR250=0,0,IF(LEN(FJ250)=11,_xlfn.XLOOKUP(FJ250,'Dispensed Ink Rates'!C:C,'Dispensed Ink Rates'!CS:CS),VLOOKUP(FJ250,'Jan-2026 rates'!$E:$F,2,0)))</f>
        <v>0</v>
      </c>
      <c r="FT250" s="409"/>
      <c r="FU250" s="398">
        <f>IF(FT250=0,0,IF(LEN(FK250)=11,_xlfn.XLOOKUP(FK250,'Dispensed Ink Rates'!C:C,'Dispensed Ink Rates'!CS:CS),VLOOKUP(FK250,'Jan-2026 rates'!$E:$F,2,0)))</f>
        <v>0</v>
      </c>
      <c r="FV250" s="409"/>
      <c r="FW250" s="398">
        <f>IF(FV250=0,0,IF(LEN(FL250)=11,_xlfn.XLOOKUP(FL250,'Dispensed Ink Rates'!C:C,'Dispensed Ink Rates'!CS:CS),VLOOKUP(FL250,'Jan-2026 rates'!$E:$F,2,0)))</f>
        <v>0</v>
      </c>
      <c r="FX250" s="409"/>
      <c r="FY250" s="398">
        <f>IF(FX250=0,0,IF(LEN(FM250)=11,_xlfn.XLOOKUP(FM250,'Dispensed Ink Rates'!C:C,'Dispensed Ink Rates'!CS:CS),VLOOKUP(FM250,'Jan-2026 rates'!$E:$F,2,0)))</f>
        <v>0</v>
      </c>
      <c r="FZ250" s="409"/>
      <c r="GA250" s="398">
        <f>IF(FZ250=0,0,IF(LEN(FN250)=11,_xlfn.XLOOKUP(FN250,'Dispensed Ink Rates'!C:C,'Dispensed Ink Rates'!CS:CS),VLOOKUP(FN250,'Jan-2026 rates'!$E:$F,2,0)))</f>
        <v>0</v>
      </c>
      <c r="GB250" s="409"/>
      <c r="GC250" s="398">
        <f>IF(GB250=0,0,IF(LEN(FO250)=11,_xlfn.XLOOKUP(FO250,'Dispensed Ink Rates'!C:C,'Dispensed Ink Rates'!CS:CS),VLOOKUP(FO250,'Jan-2026 rates'!$E:$F,2,0)))</f>
        <v>0</v>
      </c>
      <c r="GD250" s="409"/>
      <c r="GE250" s="398">
        <f>IF(GD250=0,0,IF(LEN(FP250)=11,_xlfn.XLOOKUP(FP250,'Dispensed Ink Rates'!C:C,'Dispensed Ink Rates'!CS:CS),VLOOKUP(FP250,'Jan-2026 rates'!$E:$F,2,0)))</f>
        <v>0</v>
      </c>
      <c r="GF250" s="409"/>
      <c r="GG250" s="398">
        <f>IF(GF250=0,0,IF(LEN(FQ250)=11,_xlfn.XLOOKUP(FQ250,'Dispensed Ink Rates'!C:C,'Dispensed Ink Rates'!CS:CS),VLOOKUP(FQ250,'Jan-2026 rates'!$E:$F,2,0)))</f>
        <v>0</v>
      </c>
      <c r="GH250" s="409" t="s">
        <v>1443</v>
      </c>
      <c r="GI250" s="409">
        <v>28</v>
      </c>
      <c r="GJ250" s="411">
        <f t="shared" si="171"/>
        <v>0</v>
      </c>
      <c r="GK250" s="411">
        <f t="shared" si="172"/>
        <v>10.767123287671232</v>
      </c>
      <c r="GL250" s="410">
        <f t="shared" si="173"/>
        <v>0</v>
      </c>
      <c r="GM250" s="405" t="s">
        <v>545</v>
      </c>
      <c r="GN250" s="409" t="s">
        <v>4081</v>
      </c>
      <c r="GO250" s="420" t="str">
        <f t="shared" si="188"/>
        <v>FLINTSL - YELLOW</v>
      </c>
      <c r="GP250" s="409">
        <v>26</v>
      </c>
      <c r="GQ250" s="411">
        <f>IF(GP250=0,0,IF($LB250=70%,VLOOKUP($GO250,'Jan-2026 rates'!$L:$R,4,0),IF($LB250=65%,VLOOKUP($GO250,'Jan-2026 rates'!$L:$R,4,0),IF($LB250=40%,VLOOKUP($GO250,'Jan-2026 rates'!$L:$R,5,0),IF($LB250=30%,VLOOKUP($GO250,'Jan-2026 rates'!$L:$R,6,0),IF($LB250=100%,VLOOKUP($GO250,'Jan-2026 rates'!$L:$R,7,0),IF($LB250=60%,VLOOKUP($GO250,'Jan-2026 rates'!$L:$S,8,0),IF($LB250=80%,VLOOKUP($GO250,'Jan-2026 rates'!L:T,9,0),0))))))))</f>
        <v>0</v>
      </c>
      <c r="GR250" s="412"/>
      <c r="GS250" s="409"/>
      <c r="GT250" s="411">
        <f>IF(GS250=0,0,IF($LB250=70%,VLOOKUP($GO250,'Jan-2026 rates'!$L:$R,4,0),IF($LB250=65%,VLOOKUP($GO250,'Jan-2026 rates'!$L:$R,4,0),IF($LB250=40%,VLOOKUP($GO250,'Jan-2026 rates'!$L:$R,5,0),IF($LB250=30%,VLOOKUP($GO250,'Jan-2026 rates'!$L:$R,6,0),IF($LB250=100%,VLOOKUP($GO250,'Jan-2026 rates'!$L:$R,7,0),IF($LB250=60%,VLOOKUP($GO250,'Jan-2026 rates'!$L:$S,8,0),IF($LB250=80%,VLOOKUP($GO250,'Jan-2026 rates'!L:T,9,0),0))))))))</f>
        <v>0</v>
      </c>
      <c r="GU250" s="413" t="s">
        <v>1266</v>
      </c>
      <c r="GV250" s="413"/>
      <c r="GW250" s="412"/>
      <c r="GX250" s="412"/>
      <c r="GY250" s="412"/>
      <c r="GZ250" s="412"/>
      <c r="HA250" s="412"/>
      <c r="HB250" s="412"/>
      <c r="HC250" s="409">
        <v>3</v>
      </c>
      <c r="HD250" s="398">
        <f>IF(HC250=0,0,IF(LEN(GU250)=11,_xlfn.XLOOKUP(GU250,'Dispensed Ink Rates'!C:C,'Dispensed Ink Rates'!CS:CS),VLOOKUP(GU250,'Jan-2026 rates'!$E:$F,2,0)))</f>
        <v>0</v>
      </c>
      <c r="HE250" s="409"/>
      <c r="HF250" s="398">
        <f>IF(HE250=0,0,IF(LEN(GV250)=11,_xlfn.XLOOKUP(GV250,'Dispensed Ink Rates'!C:C,'Dispensed Ink Rates'!CS:CS),VLOOKUP(GV250,'Jan-2026 rates'!$E:$F,2,0)))</f>
        <v>0</v>
      </c>
      <c r="HG250" s="409"/>
      <c r="HH250" s="398">
        <f>IF(HG250=0,0,IF(LEN(GW250)=11,_xlfn.XLOOKUP(GW250,'Dispensed Ink Rates'!C:C,'Dispensed Ink Rates'!CS:CS),VLOOKUP(GW250,'Jan-2026 rates'!$E:$F,2,0)))</f>
        <v>0</v>
      </c>
      <c r="HI250" s="409"/>
      <c r="HJ250" s="398">
        <f>IF(HI250=0,0,IF(LEN(GX250)=11,_xlfn.XLOOKUP(GX250,'Dispensed Ink Rates'!C:C,'Dispensed Ink Rates'!CS:CS),VLOOKUP(GX250,'Jan-2026 rates'!$E:$F,2,0)))</f>
        <v>0</v>
      </c>
      <c r="HK250" s="409"/>
      <c r="HL250" s="398">
        <f>IF(HK250=0,0,IF(LEN(GY250)=11,_xlfn.XLOOKUP(GY250,'Dispensed Ink Rates'!C:C,'Dispensed Ink Rates'!CS:CS),VLOOKUP(GY250,'Jan-2026 rates'!$E:$F,2,0)))</f>
        <v>0</v>
      </c>
      <c r="HM250" s="409"/>
      <c r="HN250" s="398">
        <f>IF(HM250=0,0,IF(LEN(GZ250)=11,_xlfn.XLOOKUP(GZ250,'Dispensed Ink Rates'!C:C,'Dispensed Ink Rates'!CS:CS),VLOOKUP(GZ250,'Jan-2026 rates'!$E:$F,2,0)))</f>
        <v>0</v>
      </c>
      <c r="HO250" s="409"/>
      <c r="HP250" s="398">
        <f>IF(HO250=0,0,IF(LEN(HA250)=11,_xlfn.XLOOKUP(HA250,'Dispensed Ink Rates'!C:C,'Dispensed Ink Rates'!CS:CS),VLOOKUP(HA250,'Jan-2026 rates'!$E:$F,2,0)))</f>
        <v>0</v>
      </c>
      <c r="HQ250" s="409"/>
      <c r="HR250" s="398">
        <f>IF(HQ250=0,0,IF(LEN(HB250)=11,_xlfn.XLOOKUP(HB250,'Dispensed Ink Rates'!C:C,'Dispensed Ink Rates'!CS:CS),VLOOKUP(HB250,'Jan-2026 rates'!$E:$F,2,0)))</f>
        <v>0</v>
      </c>
      <c r="HS250" s="409" t="s">
        <v>1443</v>
      </c>
      <c r="HT250" s="409">
        <v>28</v>
      </c>
      <c r="HU250" s="411">
        <f t="shared" si="174"/>
        <v>0</v>
      </c>
      <c r="HV250" s="411">
        <f t="shared" si="175"/>
        <v>6.178082191780824</v>
      </c>
      <c r="HW250" s="414">
        <f t="shared" si="176"/>
        <v>0</v>
      </c>
      <c r="HX250" s="405" t="s">
        <v>856</v>
      </c>
      <c r="HY250" s="409" t="s">
        <v>4082</v>
      </c>
      <c r="HZ250" s="420" t="str">
        <f t="shared" si="189"/>
        <v>FLINTSL - WHITE</v>
      </c>
      <c r="IA250" s="409">
        <v>30</v>
      </c>
      <c r="IB250" s="411">
        <f>IF(IA250=0,0,IF($LB250=70%,VLOOKUP($HZ250,'Jan-2026 rates'!$L:$R,4,0),IF($LB250=65%,VLOOKUP($HZ250,'Jan-2026 rates'!$L:$R,4,0),IF($LB250=40%,VLOOKUP($HZ250,'Jan-2026 rates'!$L:$R,5,0),IF($LB250=30%,VLOOKUP($HZ250,'Jan-2026 rates'!$L:$R,6,0),IF($LB250=100%,VLOOKUP($HZ250,'Jan-2026 rates'!$L:$R,7,0),IF($LB250=60%,VLOOKUP($HZ250,'Jan-2026 rates'!$L:$S,8,0),IF($LB250=80%,VLOOKUP($HZ250,'Jan-2026 rates'!L:T,9,0),0))))))))</f>
        <v>0</v>
      </c>
      <c r="IC250" s="412"/>
      <c r="ID250" s="409"/>
      <c r="IE250" s="411">
        <f>IF(ID250=0,0,IF($LB250=70%,VLOOKUP($HZ250,'Jan-2026 rates'!$L:$R,4,0),IF($LB250=65%,VLOOKUP($HZ250,'Jan-2026 rates'!$L:$R,4,0),IF($LB250=40%,VLOOKUP($HZ250,'Jan-2026 rates'!$L:$R,5,0),IF($LB250=30%,VLOOKUP($HZ250,'Jan-2026 rates'!$L:$R,6,0),IF($LB250=100%,VLOOKUP($HZ250,'Jan-2026 rates'!$L:$R,7,0),IF($LB250=60%,VLOOKUP($HZ250,'Jan-2026 rates'!$L:$S,8,0),IF($LB250=80%,VLOOKUP($HZ250,'Jan-2026 rates'!L:T,9,0),0))))))))</f>
        <v>0</v>
      </c>
      <c r="IF250" s="412" t="s">
        <v>484</v>
      </c>
      <c r="IG250" s="413"/>
      <c r="IH250" s="412"/>
      <c r="II250" s="412"/>
      <c r="IJ250" s="412"/>
      <c r="IK250" s="412"/>
      <c r="IL250" s="412"/>
      <c r="IM250" s="412"/>
      <c r="IN250" s="409">
        <f>60+60</f>
        <v>120</v>
      </c>
      <c r="IO250" s="398">
        <f>IF(IN250=0,0,IF(LEN(IF250)=11,_xlfn.XLOOKUP(IF250,'Dispensed Ink Rates'!C:C,'Dispensed Ink Rates'!CS:CS),VLOOKUP(IF250,'Jan-2026 rates'!$E:$F,2,0)))</f>
        <v>0</v>
      </c>
      <c r="IP250" s="409"/>
      <c r="IQ250" s="398">
        <f>IF(IP250=0,0,IF(LEN(IG250)=11,_xlfn.XLOOKUP(IG250,'Dispensed Ink Rates'!C:C,'Dispensed Ink Rates'!CS:CS),VLOOKUP(IG250,'Jan-2026 rates'!$E:$F,2,0)))</f>
        <v>0</v>
      </c>
      <c r="IR250" s="409"/>
      <c r="IS250" s="398">
        <f>IF(IR250=0,0,IF(LEN(IH250)=11,_xlfn.XLOOKUP(IH250,'Dispensed Ink Rates'!C:C,'Dispensed Ink Rates'!CS:CS),VLOOKUP(IH250,'Jan-2026 rates'!$E:$F,2,0)))</f>
        <v>0</v>
      </c>
      <c r="IT250" s="409"/>
      <c r="IU250" s="398">
        <f>IF(IT250=0,0,IF(LEN(II250)=11,_xlfn.XLOOKUP(II250,'Dispensed Ink Rates'!C:C,'Dispensed Ink Rates'!CS:CS),VLOOKUP(II250,'Jan-2026 rates'!$E:$F,2,0)))</f>
        <v>0</v>
      </c>
      <c r="IV250" s="409"/>
      <c r="IW250" s="398">
        <f>IF(IV250=0,0,IF(LEN(IJ250)=11,_xlfn.XLOOKUP(IJ250,'Dispensed Ink Rates'!C:C,'Dispensed Ink Rates'!CS:CS),VLOOKUP(IJ250,'Jan-2026 rates'!$E:$F,2,0)))</f>
        <v>0</v>
      </c>
      <c r="IX250" s="409"/>
      <c r="IY250" s="398">
        <f>IF(IX250=0,0,IF(LEN(IK250)=11,_xlfn.XLOOKUP(IK250,'Dispensed Ink Rates'!C:C,'Dispensed Ink Rates'!CS:CS),VLOOKUP(IK250,'Jan-2026 rates'!$E:$F,2,0)))</f>
        <v>0</v>
      </c>
      <c r="IZ250" s="409"/>
      <c r="JA250" s="398">
        <f>IF(IZ250=0,0,IF(LEN(IL250)=11,_xlfn.XLOOKUP(IL250,'Dispensed Ink Rates'!C:C,'Dispensed Ink Rates'!CS:CS),VLOOKUP(IL250,'Jan-2026 rates'!$E:$F,2,0)))</f>
        <v>0</v>
      </c>
      <c r="JB250" s="409"/>
      <c r="JC250" s="398">
        <f>IF(JB250=0,0,IF(LEN(IM250)=11,_xlfn.XLOOKUP(IM250,'Dispensed Ink Rates'!C:C,'Dispensed Ink Rates'!CS:CS),VLOOKUP(IM250,'Jan-2026 rates'!$E:$F,2,0)))</f>
        <v>0</v>
      </c>
      <c r="JD250" s="409" t="s">
        <v>1443</v>
      </c>
      <c r="JE250" s="409">
        <v>30</v>
      </c>
      <c r="JF250" s="411">
        <f t="shared" si="177"/>
        <v>0</v>
      </c>
      <c r="JG250" s="411">
        <f t="shared" si="178"/>
        <v>275.34246575342468</v>
      </c>
      <c r="JH250" s="410">
        <f t="shared" si="179"/>
        <v>0</v>
      </c>
      <c r="JI250" s="405"/>
      <c r="JJ250" s="409"/>
      <c r="JK250" s="420" t="str">
        <f t="shared" si="190"/>
        <v xml:space="preserve"> - </v>
      </c>
      <c r="JL250" s="409"/>
      <c r="JM250" s="411">
        <f>IF(JL250=0,0,IF($LB250=70%,VLOOKUP($JK250,'Jan-2026 rates'!$L:$R,4,0),IF($LB250=65%,VLOOKUP($JK250,'Jan-2026 rates'!$L:$R,4,0),IF($LB250=40%,VLOOKUP($JK250,'Jan-2026 rates'!$L:$R,5,0),IF($LB250=30%,VLOOKUP($JK250,'Jan-2026 rates'!$L:$R,6,0),IF($LB250=100%,VLOOKUP($JK250,'Jan-2026 rates'!$L:$R,7,0),IF($LB250=60%,VLOOKUP($JK250,'Jan-2026 rates'!$L:$S,8,0),IF($LB250=80%,VLOOKUP($JK250,'Jan-2026 rates'!L:T,9,0),0))))))))</f>
        <v>0</v>
      </c>
      <c r="JN250" s="412"/>
      <c r="JO250" s="409"/>
      <c r="JP250" s="411">
        <f>IF(JO250=0,0,IF($LB250=70%,VLOOKUP($JK250,'Jan-2026 rates'!$L:$R,4,0),IF($LB250=65%,VLOOKUP($JK250,'Jan-2026 rates'!$L:$R,4,0),IF($LB250=40%,VLOOKUP($JK250,'Jan-2026 rates'!$L:$R,5,0),IF($LB250=30%,VLOOKUP($JK250,'Jan-2026 rates'!$L:$R,6,0),IF($LB250=100%,VLOOKUP($JK250,'Jan-2026 rates'!$L:$R,7,0),IF($LB250=60%,VLOOKUP($JK250,'Jan-2026 rates'!$L:$S,8,0),IF($LB250=80%,VLOOKUP($JK250,'Jan-2026 rates'!L:T,9,0),0))))))))</f>
        <v>0</v>
      </c>
      <c r="JQ250" s="413"/>
      <c r="JR250" s="412"/>
      <c r="JS250" s="413"/>
      <c r="JT250" s="413"/>
      <c r="JU250" s="412"/>
      <c r="JV250" s="412"/>
      <c r="JW250" s="412"/>
      <c r="JX250" s="412"/>
      <c r="JY250" s="409"/>
      <c r="JZ250" s="398">
        <f>IF(JY250=0,0,IF(LEN(JQ250)=11,_xlfn.XLOOKUP(JQ250,'Dispensed Ink Rates'!C:C,'Dispensed Ink Rates'!CS:CS),VLOOKUP(JQ250,'Jan-2026 rates'!$E:$F,2,0)))</f>
        <v>0</v>
      </c>
      <c r="KA250" s="409"/>
      <c r="KB250" s="398">
        <f>IF(KA250=0,0,IF(LEN(JR250)=11,_xlfn.XLOOKUP(JR250,'Dispensed Ink Rates'!C:C,'Dispensed Ink Rates'!CS:CS),VLOOKUP(JR250,'Jan-2026 rates'!$E:$F,2,0)))</f>
        <v>0</v>
      </c>
      <c r="KC250" s="409"/>
      <c r="KD250" s="398">
        <f>IF(KC250=0,0,IF(LEN(JS250)=11,_xlfn.XLOOKUP(JS250,'Dispensed Ink Rates'!C:C,'Dispensed Ink Rates'!CS:CS),VLOOKUP(JS250,'Jan-2026 rates'!$E:$F,2,0)))</f>
        <v>0</v>
      </c>
      <c r="KE250" s="409"/>
      <c r="KF250" s="398">
        <f>IF(KE250=0,0,IF(LEN(JT250)=11,_xlfn.XLOOKUP(JT250,'Dispensed Ink Rates'!C:C,'Dispensed Ink Rates'!CS:CS),VLOOKUP(JT250,'Jan-2026 rates'!$E:$F,2,0)))</f>
        <v>0</v>
      </c>
      <c r="KG250" s="409"/>
      <c r="KH250" s="398">
        <f>IF(KG250=0,0,IF(LEN(JU250)=11,_xlfn.XLOOKUP(JU250,'Dispensed Ink Rates'!C:C,'Dispensed Ink Rates'!CS:CS),VLOOKUP(JU250,'Jan-2026 rates'!$E:$F,2,0)))</f>
        <v>0</v>
      </c>
      <c r="KI250" s="409"/>
      <c r="KJ250" s="398">
        <f>IF(KI250=0,0,IF(LEN(JV250)=11,_xlfn.XLOOKUP(JV250,'Dispensed Ink Rates'!C:C,'Dispensed Ink Rates'!CS:CS),VLOOKUP(JV250,'Jan-2026 rates'!$E:$F,2,0)))</f>
        <v>0</v>
      </c>
      <c r="KK250" s="409"/>
      <c r="KL250" s="398">
        <f>IF(KK250=0,0,IF(LEN(JW250)=11,_xlfn.XLOOKUP(JW250,'Dispensed Ink Rates'!C:C,'Dispensed Ink Rates'!CS:CS),VLOOKUP(JW250,'Jan-2026 rates'!$E:$F,2,0)))</f>
        <v>0</v>
      </c>
      <c r="KM250" s="428"/>
      <c r="KN250" s="398">
        <f>IF(KM250=0,0,IF(LEN(JX250)=11,_xlfn.XLOOKUP(JX250,'Dispensed Ink Rates'!C:C,'Dispensed Ink Rates'!CS:CS),VLOOKUP(JX250,'Jan-2026 rates'!$E:$F,2,0)))</f>
        <v>0</v>
      </c>
      <c r="KO250" s="409"/>
      <c r="KP250" s="409"/>
      <c r="KQ250" s="411">
        <f t="shared" si="180"/>
        <v>0</v>
      </c>
      <c r="KR250" s="411">
        <f t="shared" si="181"/>
        <v>0</v>
      </c>
      <c r="KS250" s="410">
        <f t="shared" si="182"/>
        <v>0</v>
      </c>
      <c r="KT250" s="409">
        <v>2</v>
      </c>
      <c r="KU250" s="409">
        <v>2</v>
      </c>
      <c r="KV250" s="409">
        <v>2</v>
      </c>
      <c r="KW250" s="409">
        <v>2</v>
      </c>
      <c r="KX250" s="409">
        <v>3</v>
      </c>
      <c r="KY250" s="409">
        <v>2</v>
      </c>
      <c r="KZ250" s="409">
        <f>30+30</f>
        <v>60</v>
      </c>
      <c r="LA250" s="409">
        <v>0</v>
      </c>
      <c r="LB250" s="415">
        <v>0.8</v>
      </c>
      <c r="LC250" s="415">
        <v>0.2</v>
      </c>
      <c r="LD250" s="415"/>
      <c r="LE250" s="415"/>
      <c r="LF250" s="415"/>
      <c r="LG250" s="409">
        <v>0</v>
      </c>
      <c r="LH250" s="409">
        <f>60+59+56+14</f>
        <v>189</v>
      </c>
      <c r="LI250" s="409">
        <v>0</v>
      </c>
      <c r="LJ250" s="409">
        <v>0</v>
      </c>
      <c r="LK250" s="416">
        <f t="shared" si="191"/>
        <v>189</v>
      </c>
      <c r="LL250" s="416">
        <f t="shared" si="192"/>
        <v>189</v>
      </c>
      <c r="LM250" s="417">
        <f t="shared" si="193"/>
        <v>151.20000000000002</v>
      </c>
      <c r="LN250" s="417">
        <f>VLOOKUP($LM$8,'Jan-2026 rates'!$H:$I,2,0)</f>
        <v>0</v>
      </c>
      <c r="LO250" s="417">
        <f t="shared" si="194"/>
        <v>37.800000000000004</v>
      </c>
      <c r="LP250" s="417">
        <f>VLOOKUP($LO$8,'Jan-2026 rates'!$H:$I,2,0)</f>
        <v>0</v>
      </c>
      <c r="LQ250" s="417">
        <f t="shared" si="195"/>
        <v>0</v>
      </c>
      <c r="LR250" s="417">
        <f>VLOOKUP($LQ$8,'Jan-2026 rates'!$H:$I,2,0)</f>
        <v>0</v>
      </c>
      <c r="LS250" s="417">
        <f t="shared" si="196"/>
        <v>0</v>
      </c>
      <c r="LT250" s="417">
        <f>VLOOKUP($LS$8,'Jan-2026 rates'!$H:$I,2,0)</f>
        <v>0</v>
      </c>
      <c r="LU250" s="417">
        <f t="shared" si="197"/>
        <v>0</v>
      </c>
      <c r="LV250" s="417">
        <f>VLOOKUP($LU$8,'Jan-2026 rates'!$H:$I,2,0)</f>
        <v>0</v>
      </c>
      <c r="LW250" s="417">
        <f t="shared" si="198"/>
        <v>0</v>
      </c>
      <c r="LX250" s="417">
        <f t="shared" si="199"/>
        <v>0</v>
      </c>
      <c r="LY250" s="418">
        <f t="shared" si="200"/>
        <v>0</v>
      </c>
      <c r="LZ250" s="417"/>
      <c r="MA250" s="435">
        <f t="shared" si="201"/>
        <v>177</v>
      </c>
      <c r="MB250" s="282">
        <f t="shared" si="202"/>
        <v>423</v>
      </c>
      <c r="MC250" s="283">
        <v>143</v>
      </c>
      <c r="MD250" s="284" t="str">
        <f t="shared" si="203"/>
        <v>FLINTSLFLINTSLFLINTSLFLINTSLFLINTSLFLINTSLFLINTSL</v>
      </c>
      <c r="ME250" s="293" t="str">
        <f t="shared" si="204"/>
        <v>+</v>
      </c>
      <c r="MF250" s="293" t="str">
        <f t="shared" si="205"/>
        <v>+</v>
      </c>
      <c r="MG250" s="293" t="str">
        <f t="shared" si="206"/>
        <v>+</v>
      </c>
      <c r="MH250" s="293" t="str">
        <f t="shared" si="207"/>
        <v>+</v>
      </c>
      <c r="MI250" s="293" t="str">
        <f t="shared" si="208"/>
        <v>+</v>
      </c>
      <c r="MJ250" s="293" t="str">
        <f t="shared" si="209"/>
        <v>+</v>
      </c>
      <c r="MK250" s="293" t="str">
        <f t="shared" si="210"/>
        <v>+</v>
      </c>
      <c r="ML250" s="293" t="str">
        <f t="shared" si="211"/>
        <v>NIL</v>
      </c>
      <c r="MM250" s="3" t="b">
        <f t="array" ref="MM250">OR(ME250:ML250="-")</f>
        <v>0</v>
      </c>
      <c r="MN250" s="285"/>
      <c r="MO250" s="401"/>
      <c r="MP250" s="286"/>
      <c r="MQ250" s="286"/>
      <c r="MR250" s="402"/>
      <c r="MS250" s="400"/>
      <c r="NH250" s="422"/>
      <c r="NJ250" s="421"/>
    </row>
    <row r="251" spans="1:374" s="1" customFormat="1" ht="16.5">
      <c r="A251" s="403">
        <v>46041</v>
      </c>
      <c r="B251" s="404" t="s">
        <v>1015</v>
      </c>
      <c r="C251" s="405" t="s">
        <v>4083</v>
      </c>
      <c r="D251" s="406">
        <v>144</v>
      </c>
      <c r="E251" s="404">
        <v>687</v>
      </c>
      <c r="F251" s="407">
        <v>16200</v>
      </c>
      <c r="G251" s="407" t="s">
        <v>1019</v>
      </c>
      <c r="H251" s="408" t="s">
        <v>1017</v>
      </c>
      <c r="I251" s="409">
        <v>1.9</v>
      </c>
      <c r="J251" s="405" t="s">
        <v>543</v>
      </c>
      <c r="K251" s="404" t="s">
        <v>4084</v>
      </c>
      <c r="L251" s="419" t="str">
        <f t="shared" si="184"/>
        <v>FLINTSL - BLACK</v>
      </c>
      <c r="M251" s="404">
        <v>29</v>
      </c>
      <c r="N251" s="410">
        <f>IF(M251=0,0,IF($LB251=70%,VLOOKUP($L251,'Jan-2026 rates'!$L:$R,4,0),IF($LB251=65%,VLOOKUP($L251,'Jan-2026 rates'!$L:$R,4,0),IF($LB251=40%,VLOOKUP($L251,'Jan-2026 rates'!$L:$R,5,0),IF($LB251=30%,VLOOKUP($L251,'Jan-2026 rates'!$L:$R,6,0),IF($LB251=100%,VLOOKUP($L251,'Jan-2026 rates'!$L:$R,7,0),IF($LB251=60%,VLOOKUP($L251,'Jan-2026 rates'!$L:$S,8,0),IF($LB251=80%,VLOOKUP($L251,'Jan-2026 rates'!L:T,9,0),0))))))))</f>
        <v>0</v>
      </c>
      <c r="O251" s="406"/>
      <c r="P251" s="404"/>
      <c r="Q251" s="410">
        <f>IF(P251=0,0,IF($LB251=70%,VLOOKUP($L251,'Jan-2026 rates'!$L:$R,4,0),IF($LB251=65%,VLOOKUP($L251,'Jan-2026 rates'!$L:$R,4,0),IF($LB251=40%,VLOOKUP($L251,'Jan-2026 rates'!$L:$R,5,0),IF($LB251=30%,VLOOKUP($L251,'Jan-2026 rates'!$L:$R,6,0),IF($LB251=100%,VLOOKUP($L251,'Jan-2026 rates'!$L:$R,7,0),IF($LB251=60%,VLOOKUP($L251,'Jan-2026 rates'!$L:$S,8,0),IF($LB251=80%,VLOOKUP($L251,'Jan-2026 rates'!L:T,9,0),0))))))))</f>
        <v>0</v>
      </c>
      <c r="R251" s="406">
        <v>26517000041</v>
      </c>
      <c r="S251" s="406"/>
      <c r="T251" s="406"/>
      <c r="U251" s="406"/>
      <c r="V251" s="406"/>
      <c r="W251" s="406"/>
      <c r="X251" s="406"/>
      <c r="Y251" s="406"/>
      <c r="Z251" s="404">
        <v>4</v>
      </c>
      <c r="AA251" s="398" t="e">
        <f>IF(Z251=0,0,IF(LEN(R251)=11,_xlfn.XLOOKUP(R251,'Dispensed Ink Rates'!C:C,'Dispensed Ink Rates'!CS:CS),VLOOKUP(R251,'Jan-2026 rates'!$E:$F,2,0)))</f>
        <v>#N/A</v>
      </c>
      <c r="AB251" s="404"/>
      <c r="AC251" s="398">
        <f>IF(AB251=0,0,IF(LEN(S251)=11,_xlfn.XLOOKUP(S251,'Dispensed Ink Rates'!C:C,'Dispensed Ink Rates'!CS:CS),VLOOKUP(S251,'Jan-2026 rates'!$E:$F,2,0)))</f>
        <v>0</v>
      </c>
      <c r="AD251" s="404"/>
      <c r="AE251" s="398">
        <f>IF(AD251=0,0,IF(LEN(T251)=11,_xlfn.XLOOKUP(T251,'Dispensed Ink Rates'!C:C,'Dispensed Ink Rates'!CS:CS),VLOOKUP(T251,'Jan-2026 rates'!$E:$F,2,0)))</f>
        <v>0</v>
      </c>
      <c r="AF251" s="404"/>
      <c r="AG251" s="398">
        <f>IF(AF251=0,0,IF(LEN(U251)=11,_xlfn.XLOOKUP(U251,'Dispensed Ink Rates'!C:C,'Dispensed Ink Rates'!CS:CS),VLOOKUP(U251,'Jan-2026 rates'!$E:$F,2,0)))</f>
        <v>0</v>
      </c>
      <c r="AH251" s="404"/>
      <c r="AI251" s="398">
        <f>IF(AH251=0,0,IF(LEN(V251)=11,_xlfn.XLOOKUP(V251,'Dispensed Ink Rates'!C:C,'Dispensed Ink Rates'!CS:CS),VLOOKUP(V251,'Jan-2026 rates'!$E:$F,2,0)))</f>
        <v>0</v>
      </c>
      <c r="AJ251" s="404"/>
      <c r="AK251" s="398">
        <f>IF(AJ251=0,0,IF(LEN(W251)=11,_xlfn.XLOOKUP(W251,'Dispensed Ink Rates'!C:C,'Dispensed Ink Rates'!CS:CS),VLOOKUP(W251,'Jan-2026 rates'!$E:$F,2,0)))</f>
        <v>0</v>
      </c>
      <c r="AL251" s="404"/>
      <c r="AM251" s="398">
        <f>IF(AL251=0,0,IF(LEN(X251)=11,_xlfn.XLOOKUP(X251,'Dispensed Ink Rates'!C:C,'Dispensed Ink Rates'!CS:CS),VLOOKUP(X251,'Jan-2026 rates'!$E:$F,2,0)))</f>
        <v>0</v>
      </c>
      <c r="AN251" s="404"/>
      <c r="AO251" s="398">
        <f>IF(AN251=0,0,IF(LEN(Y251)=11,_xlfn.XLOOKUP(Y251,'Dispensed Ink Rates'!C:C,'Dispensed Ink Rates'!CS:CS),VLOOKUP(Y251,'Jan-2026 rates'!$E:$F,2,0)))</f>
        <v>0</v>
      </c>
      <c r="AP251" s="409" t="s">
        <v>1443</v>
      </c>
      <c r="AQ251" s="409">
        <v>28</v>
      </c>
      <c r="AR251" s="410">
        <f t="shared" si="159"/>
        <v>0</v>
      </c>
      <c r="AS251" s="411">
        <f t="shared" si="160"/>
        <v>18.700000000000003</v>
      </c>
      <c r="AT251" s="410">
        <f t="shared" si="161"/>
        <v>0</v>
      </c>
      <c r="AU251" s="405" t="s">
        <v>546</v>
      </c>
      <c r="AV251" s="409"/>
      <c r="AW251" s="420" t="str">
        <f t="shared" si="183"/>
        <v>FLINTSL - REFLEX BLUE</v>
      </c>
      <c r="AX251" s="409"/>
      <c r="AY251" s="411">
        <f>IF(AX251=0,0,IF($LB251=70%,VLOOKUP($AW251,'Jan-2026 rates'!$L:$R,4,0),IF($LB251=65%,VLOOKUP($AW251,'Jan-2026 rates'!$L:$R,4,0),IF($LB251=40%,VLOOKUP($AW251,'Jan-2026 rates'!$L:$R,5,0),IF($LB251=30%,VLOOKUP($AW251,'Jan-2026 rates'!$L:$R,6,0),IF($LB251=100%,VLOOKUP($AW251,'Jan-2026 rates'!$L:$R,7,0),IF($LB251=60%,VLOOKUP($AW251,'Jan-2026 rates'!$L:$S,8,0),IF($LB251=80%,VLOOKUP($AW251,'Jan-2026 rates'!L:T,9,0),0))))))))</f>
        <v>0</v>
      </c>
      <c r="AZ251" s="412"/>
      <c r="BA251" s="409"/>
      <c r="BB251" s="411">
        <f>IF(BA251=0,0,IF($LB251=70%,VLOOKUP($AW251,'Jan-2026 rates'!$L:$R,4,0),IF($LB251=65%,VLOOKUP($AW251,'Jan-2026 rates'!$L:$R,4,0),IF($LB251=40%,VLOOKUP($AW251,'Jan-2026 rates'!$L:$R,5,0),IF($LB251=30%,VLOOKUP($AW251,'Jan-2026 rates'!$L:$R,6,0),IF($LB251=100%,VLOOKUP($AW251,'Jan-2026 rates'!$L:$R,7,0),IF($LB251=60%,VLOOKUP($AW251,'Jan-2026 rates'!$L:$S,8,0),IF($LB251=80%,VLOOKUP($AW251,'Jan-2026 rates'!L:T,9,0),0))))))))</f>
        <v>0</v>
      </c>
      <c r="BC251" s="413">
        <v>26519000014</v>
      </c>
      <c r="BD251" s="412">
        <v>26519000033</v>
      </c>
      <c r="BE251" s="412"/>
      <c r="BF251" s="413"/>
      <c r="BG251" s="412"/>
      <c r="BH251" s="412"/>
      <c r="BI251" s="412"/>
      <c r="BJ251" s="412"/>
      <c r="BK251" s="409">
        <v>7</v>
      </c>
      <c r="BL251" s="398" t="e">
        <f>IF(BK251=0,0,IF(LEN(BC251)=11,_xlfn.XLOOKUP(BC251,'Dispensed Ink Rates'!C:C,'Dispensed Ink Rates'!CS:CS),VLOOKUP(BC251,'Jan-2026 rates'!$E:$F,2,0)))</f>
        <v>#N/A</v>
      </c>
      <c r="BM251" s="409">
        <f>6+5</f>
        <v>11</v>
      </c>
      <c r="BN251" s="398" t="e">
        <f>IF(BM251=0,0,IF(LEN(BD251)=11,_xlfn.XLOOKUP(BD251,'Dispensed Ink Rates'!C:C,'Dispensed Ink Rates'!CS:CS),VLOOKUP(BD251,'Jan-2026 rates'!$E:$F,2,0)))</f>
        <v>#N/A</v>
      </c>
      <c r="BO251" s="409"/>
      <c r="BP251" s="398">
        <f>IF(BO251=0,0,IF(LEN(BE251)=11,_xlfn.XLOOKUP(BE251,'Dispensed Ink Rates'!C:C,'Dispensed Ink Rates'!CS:CS),VLOOKUP(BE251,'Jan-2026 rates'!$E:$F,2,0)))</f>
        <v>0</v>
      </c>
      <c r="BQ251" s="409"/>
      <c r="BR251" s="398">
        <f>IF(BQ251=0,0,IF(LEN(BF251)=11,_xlfn.XLOOKUP(BF251,'Dispensed Ink Rates'!C:C,'Dispensed Ink Rates'!CS:CS),VLOOKUP(BF251,'Jan-2026 rates'!$E:$F,2,0)))</f>
        <v>0</v>
      </c>
      <c r="BS251" s="409"/>
      <c r="BT251" s="398">
        <f>IF(BS251=0,0,IF(LEN(BG251)=11,_xlfn.XLOOKUP(BG251,'Dispensed Ink Rates'!C:C,'Dispensed Ink Rates'!CS:CS),VLOOKUP(BG251,'Jan-2026 rates'!$E:$F,2,0)))</f>
        <v>0</v>
      </c>
      <c r="BU251" s="409"/>
      <c r="BV251" s="398">
        <f>IF(BU251=0,0,IF(LEN(BH251)=11,_xlfn.XLOOKUP(BH251,'Dispensed Ink Rates'!C:C,'Dispensed Ink Rates'!CS:CS),VLOOKUP(BH251,'Jan-2026 rates'!$E:$F,2,0)))</f>
        <v>0</v>
      </c>
      <c r="BW251" s="409"/>
      <c r="BX251" s="398">
        <f>IF(BW251=0,0,IF(LEN(BI251)=11,_xlfn.XLOOKUP(BI251,'Dispensed Ink Rates'!C:C,'Dispensed Ink Rates'!CS:CS),VLOOKUP(BI251,'Jan-2026 rates'!$E:$F,2,0)))</f>
        <v>0</v>
      </c>
      <c r="BY251" s="409"/>
      <c r="BZ251" s="398">
        <f>IF(BY251=0,0,IF(LEN(BJ251)=11,_xlfn.XLOOKUP(BJ251,'Dispensed Ink Rates'!C:C,'Dispensed Ink Rates'!CS:CS),VLOOKUP(BJ251,'Jan-2026 rates'!$E:$F,2,0)))</f>
        <v>0</v>
      </c>
      <c r="CA251" s="409" t="s">
        <v>1443</v>
      </c>
      <c r="CB251" s="409">
        <v>21</v>
      </c>
      <c r="CC251" s="411">
        <f t="shared" si="162"/>
        <v>0</v>
      </c>
      <c r="CD251" s="411">
        <f t="shared" si="163"/>
        <v>18.920000000000002</v>
      </c>
      <c r="CE251" s="410">
        <f t="shared" si="164"/>
        <v>0</v>
      </c>
      <c r="CF251" s="404" t="s">
        <v>828</v>
      </c>
      <c r="CG251" s="409"/>
      <c r="CH251" s="420" t="str">
        <f t="shared" si="185"/>
        <v>FLINTSL - ORANGE</v>
      </c>
      <c r="CI251" s="409"/>
      <c r="CJ251" s="411">
        <f>IF(CI251=0,0,IF($LB251=70%,VLOOKUP($CH251,'Jan-2026 rates'!$L:$R,4,0),IF($LB251=65%,VLOOKUP($CH251,'Jan-2026 rates'!$L:$R,4,0),IF($LB251=40%,VLOOKUP($CH251,'Jan-2026 rates'!$L:$R,5,0),IF($LB251=30%,VLOOKUP($CH251,'Jan-2026 rates'!$L:$R,6,0),IF($LB251=100%,VLOOKUP($CH251,'Jan-2026 rates'!$L:$R,7,0),IF($LB251=60%,VLOOKUP($CH251,'Jan-2026 rates'!$L:$S,8,0),IF($LB251=80%,VLOOKUP($CH251,'Jan-2026 rates'!L:T,9,0),0))))))))</f>
        <v>0</v>
      </c>
      <c r="CK251" s="412"/>
      <c r="CL251" s="409"/>
      <c r="CM251" s="411">
        <f>IF(CL251=0,0,IF($LB251=70%,VLOOKUP($CH251,'Jan-2026 rates'!$L:$R,4,0),IF($LB251=65%,VLOOKUP($CH251,'Jan-2026 rates'!$L:$R,4,0),IF($LB251=40%,VLOOKUP($CH251,'Jan-2026 rates'!$L:$R,5,0),IF($LB251=30%,VLOOKUP($CH251,'Jan-2026 rates'!$L:$R,6,0),IF($LB251=100%,VLOOKUP($CH251,'Jan-2026 rates'!$L:$R,7,0),IF($LB251=60%,VLOOKUP($CH251,'Jan-2026 rates'!$L:$S,8,0),IF($LB251=80%,VLOOKUP($CH251,'Jan-2026 rates'!L:T,9,0),0))))))))</f>
        <v>0</v>
      </c>
      <c r="CN251" s="426">
        <v>26519000031</v>
      </c>
      <c r="CO251" s="427">
        <v>26519000030</v>
      </c>
      <c r="CP251" s="426" t="s">
        <v>1266</v>
      </c>
      <c r="CQ251" s="426">
        <v>26519000021</v>
      </c>
      <c r="CR251" s="428"/>
      <c r="CS251" s="428"/>
      <c r="CT251" s="428"/>
      <c r="CU251" s="428"/>
      <c r="CV251" s="409">
        <v>18</v>
      </c>
      <c r="CW251" s="398" t="e">
        <f>IF(CV251=0,0,IF(LEN(CN251)=11,_xlfn.XLOOKUP(CN251,'Dispensed Ink Rates'!C:C,'Dispensed Ink Rates'!CS:CS),VLOOKUP(CN251,'Jan-2026 rates'!$E:$F,2,0)))</f>
        <v>#N/A</v>
      </c>
      <c r="CX251" s="409">
        <v>35</v>
      </c>
      <c r="CY251" s="398" t="e">
        <f>IF(CX251=0,0,IF(LEN(CO251)=11,_xlfn.XLOOKUP(CO251,'Dispensed Ink Rates'!C:C,'Dispensed Ink Rates'!CS:CS),VLOOKUP(CO251,'Jan-2026 rates'!$E:$F,2,0)))</f>
        <v>#N/A</v>
      </c>
      <c r="CZ251" s="409">
        <v>10</v>
      </c>
      <c r="DA251" s="398">
        <f>IF(CZ251=0,0,IF(LEN(CP251)=11,_xlfn.XLOOKUP(CP251,'Dispensed Ink Rates'!C:C,'Dispensed Ink Rates'!CS:CS),VLOOKUP(CP251,'Jan-2026 rates'!$E:$F,2,0)))</f>
        <v>0</v>
      </c>
      <c r="DB251" s="409">
        <v>2</v>
      </c>
      <c r="DC251" s="398" t="e">
        <f>IF(DB251=0,0,IF(LEN(CQ251)=11,_xlfn.XLOOKUP(CQ251,'Dispensed Ink Rates'!C:C,'Dispensed Ink Rates'!CS:CS),VLOOKUP(CQ251,'Jan-2026 rates'!$E:$F,2,0)))</f>
        <v>#N/A</v>
      </c>
      <c r="DD251" s="409"/>
      <c r="DE251" s="398">
        <f>IF(DD251=0,0,IF(LEN(CR251)=11,_xlfn.XLOOKUP(CR251,'Dispensed Ink Rates'!C:C,'Dispensed Ink Rates'!CS:CS),VLOOKUP(CR251,'Jan-2026 rates'!$E:$F,2,0)))</f>
        <v>0</v>
      </c>
      <c r="DF251" s="409"/>
      <c r="DG251" s="398">
        <f>IF(DF251=0,0,IF(LEN(CS251)=11,_xlfn.XLOOKUP(CS251,'Dispensed Ink Rates'!C:C,'Dispensed Ink Rates'!CS:CS),VLOOKUP(CS251,'Jan-2026 rates'!$E:$F,2,0)))</f>
        <v>0</v>
      </c>
      <c r="DH251" s="409"/>
      <c r="DI251" s="398">
        <f>IF(DH251=0,0,IF(LEN(CT251)=11,_xlfn.XLOOKUP(CT251,'Dispensed Ink Rates'!C:C,'Dispensed Ink Rates'!CS:CS),VLOOKUP(CT251,'Jan-2026 rates'!$E:$F,2,0)))</f>
        <v>0</v>
      </c>
      <c r="DJ251" s="409"/>
      <c r="DK251" s="398">
        <f>IF(DJ251=0,0,IF(LEN(CU251)=11,_xlfn.XLOOKUP(CU251,'Dispensed Ink Rates'!C:C,'Dispensed Ink Rates'!CS:CS),VLOOKUP(CU251,'Jan-2026 rates'!$E:$F,2,0)))</f>
        <v>0</v>
      </c>
      <c r="DL251" s="409" t="s">
        <v>1443</v>
      </c>
      <c r="DM251" s="409">
        <v>25</v>
      </c>
      <c r="DN251" s="411">
        <f t="shared" si="165"/>
        <v>0</v>
      </c>
      <c r="DO251" s="411">
        <f t="shared" si="166"/>
        <v>67.400000000000006</v>
      </c>
      <c r="DP251" s="410">
        <f t="shared" si="167"/>
        <v>0</v>
      </c>
      <c r="DQ251" s="405" t="s">
        <v>855</v>
      </c>
      <c r="DR251" s="409" t="s">
        <v>4085</v>
      </c>
      <c r="DS251" s="420" t="str">
        <f t="shared" si="186"/>
        <v>FLINTSL - CYAN</v>
      </c>
      <c r="DT251" s="409">
        <v>30</v>
      </c>
      <c r="DU251" s="411">
        <f>IF(DT251=0,0,IF($LB251=70%,VLOOKUP($DS251,'Jan-2026 rates'!$L:$R,4,0),IF($LB251=65%,VLOOKUP($DS251,'Jan-2026 rates'!$L:$R,4,0),IF($LB251=40%,VLOOKUP($DS251,'Jan-2026 rates'!$L:$R,5,0),IF($LB251=30%,VLOOKUP($DS251,'Jan-2026 rates'!$L:$R,6,0),IF($LB251=100%,VLOOKUP($DS251,'Jan-2026 rates'!$L:$R,7,0),IF($LB251=60%,VLOOKUP($DS251,'Jan-2026 rates'!$L:$S,8,0),IF($LB251=80%,VLOOKUP($DS251,'Jan-2026 rates'!L:T,9,0),0))))))))</f>
        <v>0</v>
      </c>
      <c r="DV251" s="412"/>
      <c r="DW251" s="409"/>
      <c r="DX251" s="411">
        <f>IF(DW251=0,0,IF($LB251=70%,VLOOKUP($DS251,'Jan-2026 rates'!$L:$R,4,0),IF($LB251=65%,VLOOKUP($DS251,'Jan-2026 rates'!$L:$R,4,0),IF($LB251=40%,VLOOKUP($DS251,'Jan-2026 rates'!$L:$R,5,0),IF($LB251=30%,VLOOKUP($DS251,'Jan-2026 rates'!$L:$R,6,0),IF($LB251=100%,VLOOKUP($DS251,'Jan-2026 rates'!$L:$R,7,0),IF($LB251=60%,VLOOKUP($DS251,'Jan-2026 rates'!$L:$S,8,0),IF($LB251=80%,VLOOKUP($DS251,'Jan-2026 rates'!L:T,9,0),0))))))))</f>
        <v>0</v>
      </c>
      <c r="DY251" s="413"/>
      <c r="DZ251" s="413"/>
      <c r="EA251" s="412"/>
      <c r="EB251" s="412"/>
      <c r="EC251" s="412"/>
      <c r="ED251" s="412"/>
      <c r="EE251" s="412"/>
      <c r="EF251" s="412"/>
      <c r="EG251" s="409"/>
      <c r="EH251" s="398">
        <f>IF(EG251=0,0,IF(LEN(DY251)=11,_xlfn.XLOOKUP(DY251,'Dispensed Ink Rates'!C:C,'Dispensed Ink Rates'!CS:CS),VLOOKUP(DY251,'Jan-2026 rates'!$E:$F,2,0)))</f>
        <v>0</v>
      </c>
      <c r="EI251" s="409"/>
      <c r="EJ251" s="398">
        <f>IF(EI251=0,0,IF(LEN(DZ251)=11,_xlfn.XLOOKUP(DZ251,'Dispensed Ink Rates'!C:C,'Dispensed Ink Rates'!CS:CS),VLOOKUP(DZ251,'Jan-2026 rates'!$E:$F,2,0)))</f>
        <v>0</v>
      </c>
      <c r="EK251" s="409"/>
      <c r="EL251" s="398">
        <f>IF(EK251=0,0,IF(LEN(EA251)=11,_xlfn.XLOOKUP(EA251,'Dispensed Ink Rates'!C:C,'Dispensed Ink Rates'!CS:CS),VLOOKUP(EA251,'Jan-2026 rates'!$E:$F,2,0)))</f>
        <v>0</v>
      </c>
      <c r="EM251" s="409"/>
      <c r="EN251" s="398">
        <f>IF(EM251=0,0,IF(LEN(EB251)=11,_xlfn.XLOOKUP(EB251,'Dispensed Ink Rates'!C:C,'Dispensed Ink Rates'!CS:CS),VLOOKUP(EB251,'Jan-2026 rates'!$E:$F,2,0)))</f>
        <v>0</v>
      </c>
      <c r="EO251" s="409"/>
      <c r="EP251" s="398">
        <f>IF(EO251=0,0,IF(LEN(EC251)=11,_xlfn.XLOOKUP(EC251,'Dispensed Ink Rates'!C:C,'Dispensed Ink Rates'!CS:CS),VLOOKUP(EC251,'Jan-2026 rates'!$E:$F,2,0)))</f>
        <v>0</v>
      </c>
      <c r="EQ251" s="409"/>
      <c r="ER251" s="398">
        <f>IF(EQ251=0,0,IF(LEN(ED251)=11,_xlfn.XLOOKUP(ED251,'Dispensed Ink Rates'!C:C,'Dispensed Ink Rates'!CS:CS),VLOOKUP(ED251,'Jan-2026 rates'!$E:$F,2,0)))</f>
        <v>0</v>
      </c>
      <c r="ES251" s="409"/>
      <c r="ET251" s="398">
        <f>IF(ES251=0,0,IF(LEN(EE251)=11,_xlfn.XLOOKUP(EE251,'Dispensed Ink Rates'!C:C,'Dispensed Ink Rates'!CS:CS),VLOOKUP(EE251,'Jan-2026 rates'!$E:$F,2,0)))</f>
        <v>0</v>
      </c>
      <c r="EU251" s="409"/>
      <c r="EV251" s="398">
        <f>IF(EU251=0,0,IF(LEN(EF251)=11,_xlfn.XLOOKUP(EF251,'Dispensed Ink Rates'!C:C,'Dispensed Ink Rates'!CS:CS),VLOOKUP(EF251,'Jan-2026 rates'!$E:$F,2,0)))</f>
        <v>0</v>
      </c>
      <c r="EW251" s="409" t="s">
        <v>1443</v>
      </c>
      <c r="EX251" s="409">
        <v>28</v>
      </c>
      <c r="EY251" s="411">
        <f t="shared" si="168"/>
        <v>0</v>
      </c>
      <c r="EZ251" s="411">
        <f t="shared" si="169"/>
        <v>7.480000000000004</v>
      </c>
      <c r="FA251" s="410">
        <f t="shared" si="170"/>
        <v>0</v>
      </c>
      <c r="FB251" s="405" t="s">
        <v>544</v>
      </c>
      <c r="FC251" s="409" t="s">
        <v>4086</v>
      </c>
      <c r="FD251" s="420" t="str">
        <f t="shared" si="187"/>
        <v>FLINTSL - MAGENTA</v>
      </c>
      <c r="FE251" s="409">
        <v>31</v>
      </c>
      <c r="FF251" s="411">
        <f>IF(FE251=0,0,IF($LB251=70%,VLOOKUP($FD251,'Jan-2026 rates'!$L:$R,4,0),IF($LB251=65%,VLOOKUP($FD251,'Jan-2026 rates'!$L:$R,4,0),IF($LB251=40%,VLOOKUP($FD251,'Jan-2026 rates'!$L:$R,5,0),IF($LB251=30%,VLOOKUP($FD251,'Jan-2026 rates'!$L:$R,6,0),IF($LB251=100%,VLOOKUP($FD251,'Jan-2026 rates'!$L:$R,7,0),IF($LB251=60%,VLOOKUP($FD251,'Jan-2026 rates'!$L:$S,8,0),IF($LB251=80%,VLOOKUP($FD251,'Jan-2026 rates'!L:T,9,0),0))))))))</f>
        <v>0</v>
      </c>
      <c r="FG251" s="412"/>
      <c r="FH251" s="409"/>
      <c r="FI251" s="411">
        <f>IF(FH251=0,0,IF($LB251=70%,VLOOKUP($FD251,'Jan-2026 rates'!$L:$R,4,0),IF($LB251=65%,VLOOKUP($FD251,'Jan-2026 rates'!$L:$R,4,0),IF($LB251=40%,VLOOKUP($FD251,'Jan-2026 rates'!$L:$R,5,0),IF($LB251=30%,VLOOKUP($FD251,'Jan-2026 rates'!$L:$R,6,0),IF($LB251=100%,VLOOKUP($FD251,'Jan-2026 rates'!$L:$R,7,0),IF($LB251=60%,VLOOKUP($FD251,'Jan-2026 rates'!$L:$S,8,0),IF($LB251=80%,VLOOKUP($FD251,'Jan-2026 rates'!L:T,9,0),0))))))))</f>
        <v>0</v>
      </c>
      <c r="FJ251" s="413">
        <v>26519000021</v>
      </c>
      <c r="FK251" s="413"/>
      <c r="FL251" s="413"/>
      <c r="FM251" s="412"/>
      <c r="FN251" s="412"/>
      <c r="FO251" s="412"/>
      <c r="FP251" s="412"/>
      <c r="FQ251" s="412"/>
      <c r="FR251" s="409">
        <v>3</v>
      </c>
      <c r="FS251" s="398" t="e">
        <f>IF(FR251=0,0,IF(LEN(FJ251)=11,_xlfn.XLOOKUP(FJ251,'Dispensed Ink Rates'!C:C,'Dispensed Ink Rates'!CS:CS),VLOOKUP(FJ251,'Jan-2026 rates'!$E:$F,2,0)))</f>
        <v>#N/A</v>
      </c>
      <c r="FT251" s="409"/>
      <c r="FU251" s="398">
        <f>IF(FT251=0,0,IF(LEN(FK251)=11,_xlfn.XLOOKUP(FK251,'Dispensed Ink Rates'!C:C,'Dispensed Ink Rates'!CS:CS),VLOOKUP(FK251,'Jan-2026 rates'!$E:$F,2,0)))</f>
        <v>0</v>
      </c>
      <c r="FV251" s="409"/>
      <c r="FW251" s="398">
        <f>IF(FV251=0,0,IF(LEN(FL251)=11,_xlfn.XLOOKUP(FL251,'Dispensed Ink Rates'!C:C,'Dispensed Ink Rates'!CS:CS),VLOOKUP(FL251,'Jan-2026 rates'!$E:$F,2,0)))</f>
        <v>0</v>
      </c>
      <c r="FX251" s="409"/>
      <c r="FY251" s="398">
        <f>IF(FX251=0,0,IF(LEN(FM251)=11,_xlfn.XLOOKUP(FM251,'Dispensed Ink Rates'!C:C,'Dispensed Ink Rates'!CS:CS),VLOOKUP(FM251,'Jan-2026 rates'!$E:$F,2,0)))</f>
        <v>0</v>
      </c>
      <c r="FZ251" s="409"/>
      <c r="GA251" s="398">
        <f>IF(FZ251=0,0,IF(LEN(FN251)=11,_xlfn.XLOOKUP(FN251,'Dispensed Ink Rates'!C:C,'Dispensed Ink Rates'!CS:CS),VLOOKUP(FN251,'Jan-2026 rates'!$E:$F,2,0)))</f>
        <v>0</v>
      </c>
      <c r="GB251" s="409"/>
      <c r="GC251" s="398">
        <f>IF(GB251=0,0,IF(LEN(FO251)=11,_xlfn.XLOOKUP(FO251,'Dispensed Ink Rates'!C:C,'Dispensed Ink Rates'!CS:CS),VLOOKUP(FO251,'Jan-2026 rates'!$E:$F,2,0)))</f>
        <v>0</v>
      </c>
      <c r="GD251" s="409"/>
      <c r="GE251" s="398">
        <f>IF(GD251=0,0,IF(LEN(FP251)=11,_xlfn.XLOOKUP(FP251,'Dispensed Ink Rates'!C:C,'Dispensed Ink Rates'!CS:CS),VLOOKUP(FP251,'Jan-2026 rates'!$E:$F,2,0)))</f>
        <v>0</v>
      </c>
      <c r="GF251" s="409"/>
      <c r="GG251" s="398">
        <f>IF(GF251=0,0,IF(LEN(FQ251)=11,_xlfn.XLOOKUP(FQ251,'Dispensed Ink Rates'!C:C,'Dispensed Ink Rates'!CS:CS),VLOOKUP(FQ251,'Jan-2026 rates'!$E:$F,2,0)))</f>
        <v>0</v>
      </c>
      <c r="GH251" s="409" t="s">
        <v>1443</v>
      </c>
      <c r="GI251" s="409">
        <v>30</v>
      </c>
      <c r="GJ251" s="411">
        <f t="shared" si="171"/>
        <v>0</v>
      </c>
      <c r="GK251" s="411">
        <f t="shared" si="172"/>
        <v>9.480000000000004</v>
      </c>
      <c r="GL251" s="410">
        <f t="shared" si="173"/>
        <v>0</v>
      </c>
      <c r="GM251" s="405" t="s">
        <v>545</v>
      </c>
      <c r="GN251" s="409" t="s">
        <v>4087</v>
      </c>
      <c r="GO251" s="420" t="str">
        <f t="shared" si="188"/>
        <v>FLINTSL - YELLOW</v>
      </c>
      <c r="GP251" s="409">
        <v>30</v>
      </c>
      <c r="GQ251" s="411">
        <f>IF(GP251=0,0,IF($LB251=70%,VLOOKUP($GO251,'Jan-2026 rates'!$L:$R,4,0),IF($LB251=65%,VLOOKUP($GO251,'Jan-2026 rates'!$L:$R,4,0),IF($LB251=40%,VLOOKUP($GO251,'Jan-2026 rates'!$L:$R,5,0),IF($LB251=30%,VLOOKUP($GO251,'Jan-2026 rates'!$L:$R,6,0),IF($LB251=100%,VLOOKUP($GO251,'Jan-2026 rates'!$L:$R,7,0),IF($LB251=60%,VLOOKUP($GO251,'Jan-2026 rates'!$L:$S,8,0),IF($LB251=80%,VLOOKUP($GO251,'Jan-2026 rates'!L:T,9,0),0))))))))</f>
        <v>0</v>
      </c>
      <c r="GR251" s="412"/>
      <c r="GS251" s="409"/>
      <c r="GT251" s="411">
        <f>IF(GS251=0,0,IF($LB251=70%,VLOOKUP($GO251,'Jan-2026 rates'!$L:$R,4,0),IF($LB251=65%,VLOOKUP($GO251,'Jan-2026 rates'!$L:$R,4,0),IF($LB251=40%,VLOOKUP($GO251,'Jan-2026 rates'!$L:$R,5,0),IF($LB251=30%,VLOOKUP($GO251,'Jan-2026 rates'!$L:$R,6,0),IF($LB251=100%,VLOOKUP($GO251,'Jan-2026 rates'!$L:$R,7,0),IF($LB251=60%,VLOOKUP($GO251,'Jan-2026 rates'!$L:$S,8,0),IF($LB251=80%,VLOOKUP($GO251,'Jan-2026 rates'!L:T,9,0),0))))))))</f>
        <v>0</v>
      </c>
      <c r="GU251" s="413"/>
      <c r="GV251" s="413"/>
      <c r="GW251" s="412"/>
      <c r="GX251" s="412"/>
      <c r="GY251" s="412"/>
      <c r="GZ251" s="412"/>
      <c r="HA251" s="412"/>
      <c r="HB251" s="412"/>
      <c r="HC251" s="409"/>
      <c r="HD251" s="398">
        <f>IF(HC251=0,0,IF(LEN(GU251)=11,_xlfn.XLOOKUP(GU251,'Dispensed Ink Rates'!C:C,'Dispensed Ink Rates'!CS:CS),VLOOKUP(GU251,'Jan-2026 rates'!$E:$F,2,0)))</f>
        <v>0</v>
      </c>
      <c r="HE251" s="409"/>
      <c r="HF251" s="398">
        <f>IF(HE251=0,0,IF(LEN(GV251)=11,_xlfn.XLOOKUP(GV251,'Dispensed Ink Rates'!C:C,'Dispensed Ink Rates'!CS:CS),VLOOKUP(GV251,'Jan-2026 rates'!$E:$F,2,0)))</f>
        <v>0</v>
      </c>
      <c r="HG251" s="409"/>
      <c r="HH251" s="398">
        <f>IF(HG251=0,0,IF(LEN(GW251)=11,_xlfn.XLOOKUP(GW251,'Dispensed Ink Rates'!C:C,'Dispensed Ink Rates'!CS:CS),VLOOKUP(GW251,'Jan-2026 rates'!$E:$F,2,0)))</f>
        <v>0</v>
      </c>
      <c r="HI251" s="409"/>
      <c r="HJ251" s="398">
        <f>IF(HI251=0,0,IF(LEN(GX251)=11,_xlfn.XLOOKUP(GX251,'Dispensed Ink Rates'!C:C,'Dispensed Ink Rates'!CS:CS),VLOOKUP(GX251,'Jan-2026 rates'!$E:$F,2,0)))</f>
        <v>0</v>
      </c>
      <c r="HK251" s="409"/>
      <c r="HL251" s="398">
        <f>IF(HK251=0,0,IF(LEN(GY251)=11,_xlfn.XLOOKUP(GY251,'Dispensed Ink Rates'!C:C,'Dispensed Ink Rates'!CS:CS),VLOOKUP(GY251,'Jan-2026 rates'!$E:$F,2,0)))</f>
        <v>0</v>
      </c>
      <c r="HM251" s="409"/>
      <c r="HN251" s="398">
        <f>IF(HM251=0,0,IF(LEN(GZ251)=11,_xlfn.XLOOKUP(GZ251,'Dispensed Ink Rates'!C:C,'Dispensed Ink Rates'!CS:CS),VLOOKUP(GZ251,'Jan-2026 rates'!$E:$F,2,0)))</f>
        <v>0</v>
      </c>
      <c r="HO251" s="409"/>
      <c r="HP251" s="398">
        <f>IF(HO251=0,0,IF(LEN(HA251)=11,_xlfn.XLOOKUP(HA251,'Dispensed Ink Rates'!C:C,'Dispensed Ink Rates'!CS:CS),VLOOKUP(HA251,'Jan-2026 rates'!$E:$F,2,0)))</f>
        <v>0</v>
      </c>
      <c r="HQ251" s="409"/>
      <c r="HR251" s="398">
        <f>IF(HQ251=0,0,IF(LEN(HB251)=11,_xlfn.XLOOKUP(HB251,'Dispensed Ink Rates'!C:C,'Dispensed Ink Rates'!CS:CS),VLOOKUP(HB251,'Jan-2026 rates'!$E:$F,2,0)))</f>
        <v>0</v>
      </c>
      <c r="HS251" s="409" t="s">
        <v>1443</v>
      </c>
      <c r="HT251" s="409">
        <v>25</v>
      </c>
      <c r="HU251" s="411">
        <f t="shared" si="174"/>
        <v>0</v>
      </c>
      <c r="HV251" s="411">
        <f t="shared" si="175"/>
        <v>10.480000000000004</v>
      </c>
      <c r="HW251" s="414">
        <f t="shared" si="176"/>
        <v>0</v>
      </c>
      <c r="HX251" s="405" t="s">
        <v>856</v>
      </c>
      <c r="HY251" s="409" t="s">
        <v>4088</v>
      </c>
      <c r="HZ251" s="420" t="str">
        <f t="shared" si="189"/>
        <v>FLINTSL - WHITE</v>
      </c>
      <c r="IA251" s="409">
        <v>24</v>
      </c>
      <c r="IB251" s="411">
        <f>IF(IA251=0,0,IF($LB251=70%,VLOOKUP($HZ251,'Jan-2026 rates'!$L:$R,4,0),IF($LB251=65%,VLOOKUP($HZ251,'Jan-2026 rates'!$L:$R,4,0),IF($LB251=40%,VLOOKUP($HZ251,'Jan-2026 rates'!$L:$R,5,0),IF($LB251=30%,VLOOKUP($HZ251,'Jan-2026 rates'!$L:$R,6,0),IF($LB251=100%,VLOOKUP($HZ251,'Jan-2026 rates'!$L:$R,7,0),IF($LB251=60%,VLOOKUP($HZ251,'Jan-2026 rates'!$L:$S,8,0),IF($LB251=80%,VLOOKUP($HZ251,'Jan-2026 rates'!L:T,9,0),0))))))))</f>
        <v>0</v>
      </c>
      <c r="IC251" s="412"/>
      <c r="ID251" s="409"/>
      <c r="IE251" s="411">
        <f>IF(ID251=0,0,IF($LB251=70%,VLOOKUP($HZ251,'Jan-2026 rates'!$L:$R,4,0),IF($LB251=65%,VLOOKUP($HZ251,'Jan-2026 rates'!$L:$R,4,0),IF($LB251=40%,VLOOKUP($HZ251,'Jan-2026 rates'!$L:$R,5,0),IF($LB251=30%,VLOOKUP($HZ251,'Jan-2026 rates'!$L:$R,6,0),IF($LB251=100%,VLOOKUP($HZ251,'Jan-2026 rates'!$L:$R,7,0),IF($LB251=60%,VLOOKUP($HZ251,'Jan-2026 rates'!$L:$S,8,0),IF($LB251=80%,VLOOKUP($HZ251,'Jan-2026 rates'!L:T,9,0),0))))))))</f>
        <v>0</v>
      </c>
      <c r="IF251" s="412" t="s">
        <v>484</v>
      </c>
      <c r="IG251" s="413"/>
      <c r="IH251" s="412"/>
      <c r="II251" s="412"/>
      <c r="IJ251" s="412"/>
      <c r="IK251" s="412"/>
      <c r="IL251" s="412"/>
      <c r="IM251" s="412"/>
      <c r="IN251" s="409">
        <f>15+30</f>
        <v>45</v>
      </c>
      <c r="IO251" s="398">
        <f>IF(IN251=0,0,IF(LEN(IF251)=11,_xlfn.XLOOKUP(IF251,'Dispensed Ink Rates'!C:C,'Dispensed Ink Rates'!CS:CS),VLOOKUP(IF251,'Jan-2026 rates'!$E:$F,2,0)))</f>
        <v>0</v>
      </c>
      <c r="IP251" s="409"/>
      <c r="IQ251" s="398">
        <f>IF(IP251=0,0,IF(LEN(IG251)=11,_xlfn.XLOOKUP(IG251,'Dispensed Ink Rates'!C:C,'Dispensed Ink Rates'!CS:CS),VLOOKUP(IG251,'Jan-2026 rates'!$E:$F,2,0)))</f>
        <v>0</v>
      </c>
      <c r="IR251" s="409"/>
      <c r="IS251" s="398">
        <f>IF(IR251=0,0,IF(LEN(IH251)=11,_xlfn.XLOOKUP(IH251,'Dispensed Ink Rates'!C:C,'Dispensed Ink Rates'!CS:CS),VLOOKUP(IH251,'Jan-2026 rates'!$E:$F,2,0)))</f>
        <v>0</v>
      </c>
      <c r="IT251" s="409"/>
      <c r="IU251" s="398">
        <f>IF(IT251=0,0,IF(LEN(II251)=11,_xlfn.XLOOKUP(II251,'Dispensed Ink Rates'!C:C,'Dispensed Ink Rates'!CS:CS),VLOOKUP(II251,'Jan-2026 rates'!$E:$F,2,0)))</f>
        <v>0</v>
      </c>
      <c r="IV251" s="409"/>
      <c r="IW251" s="398">
        <f>IF(IV251=0,0,IF(LEN(IJ251)=11,_xlfn.XLOOKUP(IJ251,'Dispensed Ink Rates'!C:C,'Dispensed Ink Rates'!CS:CS),VLOOKUP(IJ251,'Jan-2026 rates'!$E:$F,2,0)))</f>
        <v>0</v>
      </c>
      <c r="IX251" s="409"/>
      <c r="IY251" s="398">
        <f>IF(IX251=0,0,IF(LEN(IK251)=11,_xlfn.XLOOKUP(IK251,'Dispensed Ink Rates'!C:C,'Dispensed Ink Rates'!CS:CS),VLOOKUP(IK251,'Jan-2026 rates'!$E:$F,2,0)))</f>
        <v>0</v>
      </c>
      <c r="IZ251" s="409"/>
      <c r="JA251" s="398">
        <f>IF(IZ251=0,0,IF(LEN(IL251)=11,_xlfn.XLOOKUP(IL251,'Dispensed Ink Rates'!C:C,'Dispensed Ink Rates'!CS:CS),VLOOKUP(IL251,'Jan-2026 rates'!$E:$F,2,0)))</f>
        <v>0</v>
      </c>
      <c r="JB251" s="409"/>
      <c r="JC251" s="398">
        <f>IF(JB251=0,0,IF(LEN(IM251)=11,_xlfn.XLOOKUP(IM251,'Dispensed Ink Rates'!C:C,'Dispensed Ink Rates'!CS:CS),VLOOKUP(IM251,'Jan-2026 rates'!$E:$F,2,0)))</f>
        <v>0</v>
      </c>
      <c r="JD251" s="409" t="s">
        <v>1443</v>
      </c>
      <c r="JE251" s="409">
        <v>30</v>
      </c>
      <c r="JF251" s="411">
        <f t="shared" si="177"/>
        <v>0</v>
      </c>
      <c r="JG251" s="411">
        <f t="shared" si="178"/>
        <v>88.32</v>
      </c>
      <c r="JH251" s="410">
        <f t="shared" si="179"/>
        <v>0</v>
      </c>
      <c r="JI251" s="405" t="s">
        <v>547</v>
      </c>
      <c r="JJ251" s="409" t="s">
        <v>4089</v>
      </c>
      <c r="JK251" s="420" t="str">
        <f t="shared" si="190"/>
        <v>FLINTSL - GREEN</v>
      </c>
      <c r="JL251" s="409">
        <v>18</v>
      </c>
      <c r="JM251" s="411">
        <f>IF(JL251=0,0,IF($LB251=70%,VLOOKUP($JK251,'Jan-2026 rates'!$L:$R,4,0),IF($LB251=65%,VLOOKUP($JK251,'Jan-2026 rates'!$L:$R,4,0),IF($LB251=40%,VLOOKUP($JK251,'Jan-2026 rates'!$L:$R,5,0),IF($LB251=30%,VLOOKUP($JK251,'Jan-2026 rates'!$L:$R,6,0),IF($LB251=100%,VLOOKUP($JK251,'Jan-2026 rates'!$L:$R,7,0),IF($LB251=60%,VLOOKUP($JK251,'Jan-2026 rates'!$L:$S,8,0),IF($LB251=80%,VLOOKUP($JK251,'Jan-2026 rates'!L:T,9,0),0))))))))</f>
        <v>0</v>
      </c>
      <c r="JN251" s="412"/>
      <c r="JO251" s="409"/>
      <c r="JP251" s="411">
        <f>IF(JO251=0,0,IF($LB251=70%,VLOOKUP($JK251,'Jan-2026 rates'!$L:$R,4,0),IF($LB251=65%,VLOOKUP($JK251,'Jan-2026 rates'!$L:$R,4,0),IF($LB251=40%,VLOOKUP($JK251,'Jan-2026 rates'!$L:$R,5,0),IF($LB251=30%,VLOOKUP($JK251,'Jan-2026 rates'!$L:$R,6,0),IF($LB251=100%,VLOOKUP($JK251,'Jan-2026 rates'!$L:$R,7,0),IF($LB251=60%,VLOOKUP($JK251,'Jan-2026 rates'!$L:$S,8,0),IF($LB251=80%,VLOOKUP($JK251,'Jan-2026 rates'!L:T,9,0),0))))))))</f>
        <v>0</v>
      </c>
      <c r="JQ251" s="413">
        <v>26519000015</v>
      </c>
      <c r="JR251" s="412"/>
      <c r="JS251" s="413"/>
      <c r="JT251" s="413"/>
      <c r="JU251" s="412"/>
      <c r="JV251" s="412"/>
      <c r="JW251" s="412"/>
      <c r="JX251" s="412"/>
      <c r="JY251" s="409">
        <v>4</v>
      </c>
      <c r="JZ251" s="398" t="e">
        <f>IF(JY251=0,0,IF(LEN(JQ251)=11,_xlfn.XLOOKUP(JQ251,'Dispensed Ink Rates'!C:C,'Dispensed Ink Rates'!CS:CS),VLOOKUP(JQ251,'Jan-2026 rates'!$E:$F,2,0)))</f>
        <v>#N/A</v>
      </c>
      <c r="KA251" s="409"/>
      <c r="KB251" s="398">
        <f>IF(KA251=0,0,IF(LEN(JR251)=11,_xlfn.XLOOKUP(JR251,'Dispensed Ink Rates'!C:C,'Dispensed Ink Rates'!CS:CS),VLOOKUP(JR251,'Jan-2026 rates'!$E:$F,2,0)))</f>
        <v>0</v>
      </c>
      <c r="KC251" s="409"/>
      <c r="KD251" s="398">
        <f>IF(KC251=0,0,IF(LEN(JS251)=11,_xlfn.XLOOKUP(JS251,'Dispensed Ink Rates'!C:C,'Dispensed Ink Rates'!CS:CS),VLOOKUP(JS251,'Jan-2026 rates'!$E:$F,2,0)))</f>
        <v>0</v>
      </c>
      <c r="KE251" s="409"/>
      <c r="KF251" s="398">
        <f>IF(KE251=0,0,IF(LEN(JT251)=11,_xlfn.XLOOKUP(JT251,'Dispensed Ink Rates'!C:C,'Dispensed Ink Rates'!CS:CS),VLOOKUP(JT251,'Jan-2026 rates'!$E:$F,2,0)))</f>
        <v>0</v>
      </c>
      <c r="KG251" s="409"/>
      <c r="KH251" s="398">
        <f>IF(KG251=0,0,IF(LEN(JU251)=11,_xlfn.XLOOKUP(JU251,'Dispensed Ink Rates'!C:C,'Dispensed Ink Rates'!CS:CS),VLOOKUP(JU251,'Jan-2026 rates'!$E:$F,2,0)))</f>
        <v>0</v>
      </c>
      <c r="KI251" s="409"/>
      <c r="KJ251" s="398">
        <f>IF(KI251=0,0,IF(LEN(JV251)=11,_xlfn.XLOOKUP(JV251,'Dispensed Ink Rates'!C:C,'Dispensed Ink Rates'!CS:CS),VLOOKUP(JV251,'Jan-2026 rates'!$E:$F,2,0)))</f>
        <v>0</v>
      </c>
      <c r="KK251" s="409"/>
      <c r="KL251" s="398">
        <f>IF(KK251=0,0,IF(LEN(JW251)=11,_xlfn.XLOOKUP(JW251,'Dispensed Ink Rates'!C:C,'Dispensed Ink Rates'!CS:CS),VLOOKUP(JW251,'Jan-2026 rates'!$E:$F,2,0)))</f>
        <v>0</v>
      </c>
      <c r="KM251" s="428"/>
      <c r="KN251" s="398">
        <f>IF(KM251=0,0,IF(LEN(JX251)=11,_xlfn.XLOOKUP(JX251,'Dispensed Ink Rates'!C:C,'Dispensed Ink Rates'!CS:CS),VLOOKUP(JX251,'Jan-2026 rates'!$E:$F,2,0)))</f>
        <v>0</v>
      </c>
      <c r="KO251" s="409" t="s">
        <v>1443</v>
      </c>
      <c r="KP251" s="409">
        <v>16</v>
      </c>
      <c r="KQ251" s="411">
        <f t="shared" si="180"/>
        <v>0</v>
      </c>
      <c r="KR251" s="411">
        <f t="shared" si="181"/>
        <v>14.219999999999999</v>
      </c>
      <c r="KS251" s="410">
        <f t="shared" si="182"/>
        <v>0</v>
      </c>
      <c r="KT251" s="409">
        <v>5</v>
      </c>
      <c r="KU251" s="409">
        <v>8</v>
      </c>
      <c r="KV251" s="409">
        <v>10</v>
      </c>
      <c r="KW251" s="409">
        <v>2</v>
      </c>
      <c r="KX251" s="409">
        <v>2</v>
      </c>
      <c r="KY251" s="409">
        <v>2</v>
      </c>
      <c r="KZ251" s="409">
        <v>18</v>
      </c>
      <c r="LA251" s="409">
        <v>3</v>
      </c>
      <c r="LB251" s="415">
        <v>0.8</v>
      </c>
      <c r="LC251" s="415">
        <v>0.2</v>
      </c>
      <c r="LD251" s="415"/>
      <c r="LE251" s="415"/>
      <c r="LF251" s="415"/>
      <c r="LG251" s="409">
        <v>0</v>
      </c>
      <c r="LH251" s="409">
        <f>28+29+64+16</f>
        <v>137</v>
      </c>
      <c r="LI251" s="409">
        <v>0</v>
      </c>
      <c r="LJ251" s="409">
        <v>0</v>
      </c>
      <c r="LK251" s="416">
        <f t="shared" si="191"/>
        <v>137</v>
      </c>
      <c r="LL251" s="416">
        <f t="shared" si="192"/>
        <v>137</v>
      </c>
      <c r="LM251" s="417">
        <f t="shared" si="193"/>
        <v>109.60000000000001</v>
      </c>
      <c r="LN251" s="417">
        <f>VLOOKUP($LM$8,'Jan-2026 rates'!$H:$I,2,0)</f>
        <v>0</v>
      </c>
      <c r="LO251" s="417">
        <f t="shared" si="194"/>
        <v>27.400000000000002</v>
      </c>
      <c r="LP251" s="417">
        <f>VLOOKUP($LO$8,'Jan-2026 rates'!$H:$I,2,0)</f>
        <v>0</v>
      </c>
      <c r="LQ251" s="417">
        <f t="shared" si="195"/>
        <v>0</v>
      </c>
      <c r="LR251" s="417">
        <f>VLOOKUP($LQ$8,'Jan-2026 rates'!$H:$I,2,0)</f>
        <v>0</v>
      </c>
      <c r="LS251" s="417">
        <f t="shared" si="196"/>
        <v>0</v>
      </c>
      <c r="LT251" s="417">
        <f>VLOOKUP($LS$8,'Jan-2026 rates'!$H:$I,2,0)</f>
        <v>0</v>
      </c>
      <c r="LU251" s="417">
        <f t="shared" si="197"/>
        <v>0</v>
      </c>
      <c r="LV251" s="417">
        <f>VLOOKUP($LU$8,'Jan-2026 rates'!$H:$I,2,0)</f>
        <v>0</v>
      </c>
      <c r="LW251" s="417">
        <f t="shared" si="198"/>
        <v>0</v>
      </c>
      <c r="LX251" s="417">
        <f t="shared" si="199"/>
        <v>0</v>
      </c>
      <c r="LY251" s="418">
        <f t="shared" si="200"/>
        <v>0</v>
      </c>
      <c r="LZ251" s="417"/>
      <c r="MA251" s="435">
        <f t="shared" si="201"/>
        <v>139</v>
      </c>
      <c r="MB251" s="282">
        <f t="shared" si="202"/>
        <v>235.00000000000003</v>
      </c>
      <c r="MC251" s="283">
        <v>144</v>
      </c>
      <c r="MD251" s="284" t="str">
        <f t="shared" si="203"/>
        <v>FLINTSLFLINTSLFLINTSLFLINTSLFLINTSLFLINTSLFLINTSLFLINTSL</v>
      </c>
      <c r="ME251" s="293" t="str">
        <f t="shared" si="204"/>
        <v>+</v>
      </c>
      <c r="MF251" s="293" t="str">
        <f t="shared" si="205"/>
        <v>+</v>
      </c>
      <c r="MG251" s="293" t="str">
        <f t="shared" si="206"/>
        <v>+</v>
      </c>
      <c r="MH251" s="293" t="str">
        <f t="shared" si="207"/>
        <v>+</v>
      </c>
      <c r="MI251" s="293" t="str">
        <f t="shared" si="208"/>
        <v>+</v>
      </c>
      <c r="MJ251" s="293" t="str">
        <f t="shared" si="209"/>
        <v>+</v>
      </c>
      <c r="MK251" s="293" t="str">
        <f t="shared" si="210"/>
        <v>+</v>
      </c>
      <c r="ML251" s="293" t="str">
        <f t="shared" si="211"/>
        <v>+</v>
      </c>
      <c r="MM251" s="3" t="b">
        <f t="array" ref="MM251">OR(ME251:ML251="-")</f>
        <v>0</v>
      </c>
      <c r="MN251" s="285"/>
      <c r="MO251" s="401"/>
      <c r="MP251" s="286"/>
      <c r="MQ251" s="286"/>
      <c r="MR251" s="402"/>
      <c r="MS251" s="400"/>
      <c r="NH251" s="422"/>
      <c r="NJ251" s="421"/>
    </row>
    <row r="252" spans="1:374" s="1" customFormat="1" ht="16.5">
      <c r="A252" s="403">
        <v>46041</v>
      </c>
      <c r="B252" s="404" t="s">
        <v>1018</v>
      </c>
      <c r="C252" s="405" t="s">
        <v>4090</v>
      </c>
      <c r="D252" s="406">
        <v>145</v>
      </c>
      <c r="E252" s="404">
        <v>473</v>
      </c>
      <c r="F252" s="407">
        <v>23300</v>
      </c>
      <c r="G252" s="407" t="s">
        <v>1019</v>
      </c>
      <c r="H252" s="408" t="s">
        <v>1017</v>
      </c>
      <c r="I252" s="409">
        <v>1.2</v>
      </c>
      <c r="J252" s="405" t="s">
        <v>543</v>
      </c>
      <c r="K252" s="404" t="s">
        <v>4091</v>
      </c>
      <c r="L252" s="419" t="str">
        <f t="shared" si="184"/>
        <v>FLINTSL - BLACK</v>
      </c>
      <c r="M252" s="404">
        <v>28</v>
      </c>
      <c r="N252" s="410">
        <f>IF(M252=0,0,IF($LB252=70%,VLOOKUP($L252,'Jan-2026 rates'!$L:$R,4,0),IF($LB252=65%,VLOOKUP($L252,'Jan-2026 rates'!$L:$R,4,0),IF($LB252=40%,VLOOKUP($L252,'Jan-2026 rates'!$L:$R,5,0),IF($LB252=30%,VLOOKUP($L252,'Jan-2026 rates'!$L:$R,6,0),IF($LB252=100%,VLOOKUP($L252,'Jan-2026 rates'!$L:$R,7,0),IF($LB252=60%,VLOOKUP($L252,'Jan-2026 rates'!$L:$S,8,0),IF($LB252=80%,VLOOKUP($L252,'Jan-2026 rates'!L:T,9,0),0))))))))</f>
        <v>0</v>
      </c>
      <c r="O252" s="406"/>
      <c r="P252" s="404"/>
      <c r="Q252" s="410">
        <f>IF(P252=0,0,IF($LB252=70%,VLOOKUP($L252,'Jan-2026 rates'!$L:$R,4,0),IF($LB252=65%,VLOOKUP($L252,'Jan-2026 rates'!$L:$R,4,0),IF($LB252=40%,VLOOKUP($L252,'Jan-2026 rates'!$L:$R,5,0),IF($LB252=30%,VLOOKUP($L252,'Jan-2026 rates'!$L:$R,6,0),IF($LB252=100%,VLOOKUP($L252,'Jan-2026 rates'!$L:$R,7,0),IF($LB252=60%,VLOOKUP($L252,'Jan-2026 rates'!$L:$S,8,0),IF($LB252=80%,VLOOKUP($L252,'Jan-2026 rates'!L:T,9,0),0))))))))</f>
        <v>0</v>
      </c>
      <c r="R252" s="406" t="s">
        <v>1266</v>
      </c>
      <c r="S252" s="406"/>
      <c r="T252" s="406"/>
      <c r="U252" s="406"/>
      <c r="V252" s="406"/>
      <c r="W252" s="406"/>
      <c r="X252" s="406"/>
      <c r="Y252" s="406"/>
      <c r="Z252" s="404">
        <v>4</v>
      </c>
      <c r="AA252" s="398">
        <f>IF(Z252=0,0,IF(LEN(R252)=11,_xlfn.XLOOKUP(R252,'Dispensed Ink Rates'!C:C,'Dispensed Ink Rates'!CS:CS),VLOOKUP(R252,'Jan-2026 rates'!$E:$F,2,0)))</f>
        <v>0</v>
      </c>
      <c r="AB252" s="404"/>
      <c r="AC252" s="398">
        <f>IF(AB252=0,0,IF(LEN(S252)=11,_xlfn.XLOOKUP(S252,'Dispensed Ink Rates'!C:C,'Dispensed Ink Rates'!CS:CS),VLOOKUP(S252,'Jan-2026 rates'!$E:$F,2,0)))</f>
        <v>0</v>
      </c>
      <c r="AD252" s="404"/>
      <c r="AE252" s="398">
        <f>IF(AD252=0,0,IF(LEN(T252)=11,_xlfn.XLOOKUP(T252,'Dispensed Ink Rates'!C:C,'Dispensed Ink Rates'!CS:CS),VLOOKUP(T252,'Jan-2026 rates'!$E:$F,2,0)))</f>
        <v>0</v>
      </c>
      <c r="AF252" s="404"/>
      <c r="AG252" s="398">
        <f>IF(AF252=0,0,IF(LEN(U252)=11,_xlfn.XLOOKUP(U252,'Dispensed Ink Rates'!C:C,'Dispensed Ink Rates'!CS:CS),VLOOKUP(U252,'Jan-2026 rates'!$E:$F,2,0)))</f>
        <v>0</v>
      </c>
      <c r="AH252" s="404"/>
      <c r="AI252" s="398">
        <f>IF(AH252=0,0,IF(LEN(V252)=11,_xlfn.XLOOKUP(V252,'Dispensed Ink Rates'!C:C,'Dispensed Ink Rates'!CS:CS),VLOOKUP(V252,'Jan-2026 rates'!$E:$F,2,0)))</f>
        <v>0</v>
      </c>
      <c r="AJ252" s="404"/>
      <c r="AK252" s="398">
        <f>IF(AJ252=0,0,IF(LEN(W252)=11,_xlfn.XLOOKUP(W252,'Dispensed Ink Rates'!C:C,'Dispensed Ink Rates'!CS:CS),VLOOKUP(W252,'Jan-2026 rates'!$E:$F,2,0)))</f>
        <v>0</v>
      </c>
      <c r="AL252" s="404"/>
      <c r="AM252" s="398">
        <f>IF(AL252=0,0,IF(LEN(X252)=11,_xlfn.XLOOKUP(X252,'Dispensed Ink Rates'!C:C,'Dispensed Ink Rates'!CS:CS),VLOOKUP(X252,'Jan-2026 rates'!$E:$F,2,0)))</f>
        <v>0</v>
      </c>
      <c r="AN252" s="404"/>
      <c r="AO252" s="398">
        <f>IF(AN252=0,0,IF(LEN(Y252)=11,_xlfn.XLOOKUP(Y252,'Dispensed Ink Rates'!C:C,'Dispensed Ink Rates'!CS:CS),VLOOKUP(Y252,'Jan-2026 rates'!$E:$F,2,0)))</f>
        <v>0</v>
      </c>
      <c r="AP252" s="409" t="s">
        <v>1443</v>
      </c>
      <c r="AQ252" s="409">
        <v>29</v>
      </c>
      <c r="AR252" s="410">
        <f t="shared" si="159"/>
        <v>0</v>
      </c>
      <c r="AS252" s="411">
        <f t="shared" si="160"/>
        <v>10.344827586206897</v>
      </c>
      <c r="AT252" s="410">
        <f t="shared" si="161"/>
        <v>0</v>
      </c>
      <c r="AU252" s="405" t="s">
        <v>543</v>
      </c>
      <c r="AV252" s="409" t="s">
        <v>3999</v>
      </c>
      <c r="AW252" s="420" t="str">
        <f t="shared" si="183"/>
        <v>FLINTSL - BLACK</v>
      </c>
      <c r="AX252" s="409">
        <v>16</v>
      </c>
      <c r="AY252" s="411">
        <f>IF(AX252=0,0,IF($LB252=70%,VLOOKUP($AW252,'Jan-2026 rates'!$L:$R,4,0),IF($LB252=65%,VLOOKUP($AW252,'Jan-2026 rates'!$L:$R,4,0),IF($LB252=40%,VLOOKUP($AW252,'Jan-2026 rates'!$L:$R,5,0),IF($LB252=30%,VLOOKUP($AW252,'Jan-2026 rates'!$L:$R,6,0),IF($LB252=100%,VLOOKUP($AW252,'Jan-2026 rates'!$L:$R,7,0),IF($LB252=60%,VLOOKUP($AW252,'Jan-2026 rates'!$L:$S,8,0),IF($LB252=80%,VLOOKUP($AW252,'Jan-2026 rates'!L:T,9,0),0))))))))</f>
        <v>0</v>
      </c>
      <c r="AZ252" s="412" t="s">
        <v>3940</v>
      </c>
      <c r="BA252" s="409">
        <v>15</v>
      </c>
      <c r="BB252" s="411">
        <f>IF(BA252=0,0,IF($LB252=70%,VLOOKUP($AW252,'Jan-2026 rates'!$L:$R,4,0),IF($LB252=65%,VLOOKUP($AW252,'Jan-2026 rates'!$L:$R,4,0),IF($LB252=40%,VLOOKUP($AW252,'Jan-2026 rates'!$L:$R,5,0),IF($LB252=30%,VLOOKUP($AW252,'Jan-2026 rates'!$L:$R,6,0),IF($LB252=100%,VLOOKUP($AW252,'Jan-2026 rates'!$L:$R,7,0),IF($LB252=60%,VLOOKUP($AW252,'Jan-2026 rates'!$L:$S,8,0),IF($LB252=80%,VLOOKUP($AW252,'Jan-2026 rates'!L:T,9,0),0))))))))</f>
        <v>0</v>
      </c>
      <c r="BC252" s="413">
        <v>26517000044</v>
      </c>
      <c r="BD252" s="412">
        <v>26519000021</v>
      </c>
      <c r="BE252" s="412">
        <v>26519000017</v>
      </c>
      <c r="BF252" s="413"/>
      <c r="BG252" s="412"/>
      <c r="BH252" s="412"/>
      <c r="BI252" s="412"/>
      <c r="BJ252" s="412"/>
      <c r="BK252" s="409">
        <v>3</v>
      </c>
      <c r="BL252" s="398" t="e">
        <f>IF(BK252=0,0,IF(LEN(BC252)=11,_xlfn.XLOOKUP(BC252,'Dispensed Ink Rates'!C:C,'Dispensed Ink Rates'!CS:CS),VLOOKUP(BC252,'Jan-2026 rates'!$E:$F,2,0)))</f>
        <v>#N/A</v>
      </c>
      <c r="BM252" s="409">
        <v>2</v>
      </c>
      <c r="BN252" s="398" t="e">
        <f>IF(BM252=0,0,IF(LEN(BD252)=11,_xlfn.XLOOKUP(BD252,'Dispensed Ink Rates'!C:C,'Dispensed Ink Rates'!CS:CS),VLOOKUP(BD252,'Jan-2026 rates'!$E:$F,2,0)))</f>
        <v>#N/A</v>
      </c>
      <c r="BO252" s="409">
        <f>2+5</f>
        <v>7</v>
      </c>
      <c r="BP252" s="398" t="e">
        <f>IF(BO252=0,0,IF(LEN(BE252)=11,_xlfn.XLOOKUP(BE252,'Dispensed Ink Rates'!C:C,'Dispensed Ink Rates'!CS:CS),VLOOKUP(BE252,'Jan-2026 rates'!$E:$F,2,0)))</f>
        <v>#N/A</v>
      </c>
      <c r="BQ252" s="409"/>
      <c r="BR252" s="398">
        <f>IF(BQ252=0,0,IF(LEN(BF252)=11,_xlfn.XLOOKUP(BF252,'Dispensed Ink Rates'!C:C,'Dispensed Ink Rates'!CS:CS),VLOOKUP(BF252,'Jan-2026 rates'!$E:$F,2,0)))</f>
        <v>0</v>
      </c>
      <c r="BS252" s="409"/>
      <c r="BT252" s="398">
        <f>IF(BS252=0,0,IF(LEN(BG252)=11,_xlfn.XLOOKUP(BG252,'Dispensed Ink Rates'!C:C,'Dispensed Ink Rates'!CS:CS),VLOOKUP(BG252,'Jan-2026 rates'!$E:$F,2,0)))</f>
        <v>0</v>
      </c>
      <c r="BU252" s="409"/>
      <c r="BV252" s="398">
        <f>IF(BU252=0,0,IF(LEN(BH252)=11,_xlfn.XLOOKUP(BH252,'Dispensed Ink Rates'!C:C,'Dispensed Ink Rates'!CS:CS),VLOOKUP(BH252,'Jan-2026 rates'!$E:$F,2,0)))</f>
        <v>0</v>
      </c>
      <c r="BW252" s="409"/>
      <c r="BX252" s="398">
        <f>IF(BW252=0,0,IF(LEN(BI252)=11,_xlfn.XLOOKUP(BI252,'Dispensed Ink Rates'!C:C,'Dispensed Ink Rates'!CS:CS),VLOOKUP(BI252,'Jan-2026 rates'!$E:$F,2,0)))</f>
        <v>0</v>
      </c>
      <c r="BY252" s="409"/>
      <c r="BZ252" s="398">
        <f>IF(BY252=0,0,IF(LEN(BJ252)=11,_xlfn.XLOOKUP(BJ252,'Dispensed Ink Rates'!C:C,'Dispensed Ink Rates'!CS:CS),VLOOKUP(BJ252,'Jan-2026 rates'!$E:$F,2,0)))</f>
        <v>0</v>
      </c>
      <c r="CA252" s="409" t="s">
        <v>1443</v>
      </c>
      <c r="CB252" s="409">
        <v>28</v>
      </c>
      <c r="CC252" s="411">
        <f t="shared" si="162"/>
        <v>0</v>
      </c>
      <c r="CD252" s="411">
        <f t="shared" si="163"/>
        <v>24.793103448275858</v>
      </c>
      <c r="CE252" s="410">
        <f t="shared" si="164"/>
        <v>0</v>
      </c>
      <c r="CF252" s="404" t="s">
        <v>546</v>
      </c>
      <c r="CG252" s="409" t="s">
        <v>4092</v>
      </c>
      <c r="CH252" s="420" t="str">
        <f t="shared" si="185"/>
        <v>FLINTSL - REFLEX BLUE</v>
      </c>
      <c r="CI252" s="409">
        <v>35</v>
      </c>
      <c r="CJ252" s="411">
        <f>IF(CI252=0,0,IF($LB252=70%,VLOOKUP($CH252,'Jan-2026 rates'!$L:$R,4,0),IF($LB252=65%,VLOOKUP($CH252,'Jan-2026 rates'!$L:$R,4,0),IF($LB252=40%,VLOOKUP($CH252,'Jan-2026 rates'!$L:$R,5,0),IF($LB252=30%,VLOOKUP($CH252,'Jan-2026 rates'!$L:$R,6,0),IF($LB252=100%,VLOOKUP($CH252,'Jan-2026 rates'!$L:$R,7,0),IF($LB252=60%,VLOOKUP($CH252,'Jan-2026 rates'!$L:$S,8,0),IF($LB252=80%,VLOOKUP($CH252,'Jan-2026 rates'!L:T,9,0),0))))))))</f>
        <v>0</v>
      </c>
      <c r="CK252" s="412" t="s">
        <v>4093</v>
      </c>
      <c r="CL252" s="409">
        <v>15</v>
      </c>
      <c r="CM252" s="411">
        <f>IF(CL252=0,0,IF($LB252=70%,VLOOKUP($CH252,'Jan-2026 rates'!$L:$R,4,0),IF($LB252=65%,VLOOKUP($CH252,'Jan-2026 rates'!$L:$R,4,0),IF($LB252=40%,VLOOKUP($CH252,'Jan-2026 rates'!$L:$R,5,0),IF($LB252=30%,VLOOKUP($CH252,'Jan-2026 rates'!$L:$R,6,0),IF($LB252=100%,VLOOKUP($CH252,'Jan-2026 rates'!$L:$R,7,0),IF($LB252=60%,VLOOKUP($CH252,'Jan-2026 rates'!$L:$S,8,0),IF($LB252=80%,VLOOKUP($CH252,'Jan-2026 rates'!L:T,9,0),0))))))))</f>
        <v>0</v>
      </c>
      <c r="CN252" s="426">
        <v>26519000033</v>
      </c>
      <c r="CO252" s="427">
        <v>26519000021</v>
      </c>
      <c r="CP252" s="426">
        <v>26519000021</v>
      </c>
      <c r="CQ252" s="426">
        <v>26519000007</v>
      </c>
      <c r="CR252" s="428"/>
      <c r="CS252" s="428"/>
      <c r="CT252" s="428"/>
      <c r="CU252" s="428"/>
      <c r="CV252" s="409">
        <v>10</v>
      </c>
      <c r="CW252" s="398" t="e">
        <f>IF(CV252=0,0,IF(LEN(CN252)=11,_xlfn.XLOOKUP(CN252,'Dispensed Ink Rates'!C:C,'Dispensed Ink Rates'!CS:CS),VLOOKUP(CN252,'Jan-2026 rates'!$E:$F,2,0)))</f>
        <v>#N/A</v>
      </c>
      <c r="CX252" s="409">
        <v>6</v>
      </c>
      <c r="CY252" s="398" t="e">
        <f>IF(CX252=0,0,IF(LEN(CO252)=11,_xlfn.XLOOKUP(CO252,'Dispensed Ink Rates'!C:C,'Dispensed Ink Rates'!CS:CS),VLOOKUP(CO252,'Jan-2026 rates'!$E:$F,2,0)))</f>
        <v>#N/A</v>
      </c>
      <c r="CZ252" s="409">
        <v>5</v>
      </c>
      <c r="DA252" s="398" t="e">
        <f>IF(CZ252=0,0,IF(LEN(CP252)=11,_xlfn.XLOOKUP(CP252,'Dispensed Ink Rates'!C:C,'Dispensed Ink Rates'!CS:CS),VLOOKUP(CP252,'Jan-2026 rates'!$E:$F,2,0)))</f>
        <v>#N/A</v>
      </c>
      <c r="DB252" s="409">
        <f>4+1</f>
        <v>5</v>
      </c>
      <c r="DC252" s="398" t="e">
        <f>IF(DB252=0,0,IF(LEN(CQ252)=11,_xlfn.XLOOKUP(CQ252,'Dispensed Ink Rates'!C:C,'Dispensed Ink Rates'!CS:CS),VLOOKUP(CQ252,'Jan-2026 rates'!$E:$F,2,0)))</f>
        <v>#N/A</v>
      </c>
      <c r="DD252" s="409"/>
      <c r="DE252" s="398">
        <f>IF(DD252=0,0,IF(LEN(CR252)=11,_xlfn.XLOOKUP(CR252,'Dispensed Ink Rates'!C:C,'Dispensed Ink Rates'!CS:CS),VLOOKUP(CR252,'Jan-2026 rates'!$E:$F,2,0)))</f>
        <v>0</v>
      </c>
      <c r="DF252" s="409"/>
      <c r="DG252" s="398">
        <f>IF(DF252=0,0,IF(LEN(CS252)=11,_xlfn.XLOOKUP(CS252,'Dispensed Ink Rates'!C:C,'Dispensed Ink Rates'!CS:CS),VLOOKUP(CS252,'Jan-2026 rates'!$E:$F,2,0)))</f>
        <v>0</v>
      </c>
      <c r="DH252" s="409"/>
      <c r="DI252" s="398">
        <f>IF(DH252=0,0,IF(LEN(CT252)=11,_xlfn.XLOOKUP(CT252,'Dispensed Ink Rates'!C:C,'Dispensed Ink Rates'!CS:CS),VLOOKUP(CT252,'Jan-2026 rates'!$E:$F,2,0)))</f>
        <v>0</v>
      </c>
      <c r="DJ252" s="409"/>
      <c r="DK252" s="398">
        <f>IF(DJ252=0,0,IF(LEN(CU252)=11,_xlfn.XLOOKUP(CU252,'Dispensed Ink Rates'!C:C,'Dispensed Ink Rates'!CS:CS),VLOOKUP(CU252,'Jan-2026 rates'!$E:$F,2,0)))</f>
        <v>0</v>
      </c>
      <c r="DL252" s="409" t="s">
        <v>1443</v>
      </c>
      <c r="DM252" s="409">
        <v>27</v>
      </c>
      <c r="DN252" s="411">
        <f t="shared" si="165"/>
        <v>0</v>
      </c>
      <c r="DO252" s="411">
        <f t="shared" si="166"/>
        <v>61.241379310344826</v>
      </c>
      <c r="DP252" s="410">
        <f t="shared" si="167"/>
        <v>0</v>
      </c>
      <c r="DQ252" s="405" t="s">
        <v>855</v>
      </c>
      <c r="DR252" s="409" t="s">
        <v>4094</v>
      </c>
      <c r="DS252" s="420" t="str">
        <f t="shared" si="186"/>
        <v>FLINTSL - CYAN</v>
      </c>
      <c r="DT252" s="409">
        <v>28</v>
      </c>
      <c r="DU252" s="411">
        <f>IF(DT252=0,0,IF($LB252=70%,VLOOKUP($DS252,'Jan-2026 rates'!$L:$R,4,0),IF($LB252=65%,VLOOKUP($DS252,'Jan-2026 rates'!$L:$R,4,0),IF($LB252=40%,VLOOKUP($DS252,'Jan-2026 rates'!$L:$R,5,0),IF($LB252=30%,VLOOKUP($DS252,'Jan-2026 rates'!$L:$R,6,0),IF($LB252=100%,VLOOKUP($DS252,'Jan-2026 rates'!$L:$R,7,0),IF($LB252=60%,VLOOKUP($DS252,'Jan-2026 rates'!$L:$S,8,0),IF($LB252=80%,VLOOKUP($DS252,'Jan-2026 rates'!L:T,9,0),0))))))))</f>
        <v>0</v>
      </c>
      <c r="DV252" s="412"/>
      <c r="DW252" s="409"/>
      <c r="DX252" s="411">
        <f>IF(DW252=0,0,IF($LB252=70%,VLOOKUP($DS252,'Jan-2026 rates'!$L:$R,4,0),IF($LB252=65%,VLOOKUP($DS252,'Jan-2026 rates'!$L:$R,4,0),IF($LB252=40%,VLOOKUP($DS252,'Jan-2026 rates'!$L:$R,5,0),IF($LB252=30%,VLOOKUP($DS252,'Jan-2026 rates'!$L:$R,6,0),IF($LB252=100%,VLOOKUP($DS252,'Jan-2026 rates'!$L:$R,7,0),IF($LB252=60%,VLOOKUP($DS252,'Jan-2026 rates'!$L:$S,8,0),IF($LB252=80%,VLOOKUP($DS252,'Jan-2026 rates'!L:T,9,0),0))))))))</f>
        <v>0</v>
      </c>
      <c r="DY252" s="413" t="s">
        <v>1266</v>
      </c>
      <c r="DZ252" s="413"/>
      <c r="EA252" s="412"/>
      <c r="EB252" s="412"/>
      <c r="EC252" s="412"/>
      <c r="ED252" s="412"/>
      <c r="EE252" s="412"/>
      <c r="EF252" s="412"/>
      <c r="EG252" s="409">
        <v>4</v>
      </c>
      <c r="EH252" s="398">
        <f>IF(EG252=0,0,IF(LEN(DY252)=11,_xlfn.XLOOKUP(DY252,'Dispensed Ink Rates'!C:C,'Dispensed Ink Rates'!CS:CS),VLOOKUP(DY252,'Jan-2026 rates'!$E:$F,2,0)))</f>
        <v>0</v>
      </c>
      <c r="EI252" s="409"/>
      <c r="EJ252" s="398">
        <f>IF(EI252=0,0,IF(LEN(DZ252)=11,_xlfn.XLOOKUP(DZ252,'Dispensed Ink Rates'!C:C,'Dispensed Ink Rates'!CS:CS),VLOOKUP(DZ252,'Jan-2026 rates'!$E:$F,2,0)))</f>
        <v>0</v>
      </c>
      <c r="EK252" s="409"/>
      <c r="EL252" s="398">
        <f>IF(EK252=0,0,IF(LEN(EA252)=11,_xlfn.XLOOKUP(EA252,'Dispensed Ink Rates'!C:C,'Dispensed Ink Rates'!CS:CS),VLOOKUP(EA252,'Jan-2026 rates'!$E:$F,2,0)))</f>
        <v>0</v>
      </c>
      <c r="EM252" s="409"/>
      <c r="EN252" s="398">
        <f>IF(EM252=0,0,IF(LEN(EB252)=11,_xlfn.XLOOKUP(EB252,'Dispensed Ink Rates'!C:C,'Dispensed Ink Rates'!CS:CS),VLOOKUP(EB252,'Jan-2026 rates'!$E:$F,2,0)))</f>
        <v>0</v>
      </c>
      <c r="EO252" s="409"/>
      <c r="EP252" s="398">
        <f>IF(EO252=0,0,IF(LEN(EC252)=11,_xlfn.XLOOKUP(EC252,'Dispensed Ink Rates'!C:C,'Dispensed Ink Rates'!CS:CS),VLOOKUP(EC252,'Jan-2026 rates'!$E:$F,2,0)))</f>
        <v>0</v>
      </c>
      <c r="EQ252" s="409"/>
      <c r="ER252" s="398">
        <f>IF(EQ252=0,0,IF(LEN(ED252)=11,_xlfn.XLOOKUP(ED252,'Dispensed Ink Rates'!C:C,'Dispensed Ink Rates'!CS:CS),VLOOKUP(ED252,'Jan-2026 rates'!$E:$F,2,0)))</f>
        <v>0</v>
      </c>
      <c r="ES252" s="409"/>
      <c r="ET252" s="398">
        <f>IF(ES252=0,0,IF(LEN(EE252)=11,_xlfn.XLOOKUP(EE252,'Dispensed Ink Rates'!C:C,'Dispensed Ink Rates'!CS:CS),VLOOKUP(EE252,'Jan-2026 rates'!$E:$F,2,0)))</f>
        <v>0</v>
      </c>
      <c r="EU252" s="409"/>
      <c r="EV252" s="398">
        <f>IF(EU252=0,0,IF(LEN(EF252)=11,_xlfn.XLOOKUP(EF252,'Dispensed Ink Rates'!C:C,'Dispensed Ink Rates'!CS:CS),VLOOKUP(EF252,'Jan-2026 rates'!$E:$F,2,0)))</f>
        <v>0</v>
      </c>
      <c r="EW252" s="409" t="s">
        <v>1443</v>
      </c>
      <c r="EX252" s="409">
        <v>29</v>
      </c>
      <c r="EY252" s="411">
        <f t="shared" si="168"/>
        <v>0</v>
      </c>
      <c r="EZ252" s="411">
        <f t="shared" si="169"/>
        <v>12.793103448275858</v>
      </c>
      <c r="FA252" s="410">
        <f t="shared" si="170"/>
        <v>0</v>
      </c>
      <c r="FB252" s="405" t="s">
        <v>544</v>
      </c>
      <c r="FC252" s="409" t="s">
        <v>4095</v>
      </c>
      <c r="FD252" s="420" t="str">
        <f t="shared" si="187"/>
        <v>FLINTSL - MAGENTA</v>
      </c>
      <c r="FE252" s="409">
        <v>30</v>
      </c>
      <c r="FF252" s="411">
        <f>IF(FE252=0,0,IF($LB252=70%,VLOOKUP($FD252,'Jan-2026 rates'!$L:$R,4,0),IF($LB252=65%,VLOOKUP($FD252,'Jan-2026 rates'!$L:$R,4,0),IF($LB252=40%,VLOOKUP($FD252,'Jan-2026 rates'!$L:$R,5,0),IF($LB252=30%,VLOOKUP($FD252,'Jan-2026 rates'!$L:$R,6,0),IF($LB252=100%,VLOOKUP($FD252,'Jan-2026 rates'!$L:$R,7,0),IF($LB252=60%,VLOOKUP($FD252,'Jan-2026 rates'!$L:$S,8,0),IF($LB252=80%,VLOOKUP($FD252,'Jan-2026 rates'!L:T,9,0),0))))))))</f>
        <v>0</v>
      </c>
      <c r="FG252" s="412"/>
      <c r="FH252" s="409"/>
      <c r="FI252" s="411">
        <f>IF(FH252=0,0,IF($LB252=70%,VLOOKUP($FD252,'Jan-2026 rates'!$L:$R,4,0),IF($LB252=65%,VLOOKUP($FD252,'Jan-2026 rates'!$L:$R,4,0),IF($LB252=40%,VLOOKUP($FD252,'Jan-2026 rates'!$L:$R,5,0),IF($LB252=30%,VLOOKUP($FD252,'Jan-2026 rates'!$L:$R,6,0),IF($LB252=100%,VLOOKUP($FD252,'Jan-2026 rates'!$L:$R,7,0),IF($LB252=60%,VLOOKUP($FD252,'Jan-2026 rates'!$L:$S,8,0),IF($LB252=80%,VLOOKUP($FD252,'Jan-2026 rates'!L:T,9,0),0))))))))</f>
        <v>0</v>
      </c>
      <c r="FJ252" s="413">
        <v>26519000021</v>
      </c>
      <c r="FK252" s="413"/>
      <c r="FL252" s="413"/>
      <c r="FM252" s="412"/>
      <c r="FN252" s="412"/>
      <c r="FO252" s="412"/>
      <c r="FP252" s="412"/>
      <c r="FQ252" s="412"/>
      <c r="FR252" s="409">
        <v>5</v>
      </c>
      <c r="FS252" s="398" t="e">
        <f>IF(FR252=0,0,IF(LEN(FJ252)=11,_xlfn.XLOOKUP(FJ252,'Dispensed Ink Rates'!C:C,'Dispensed Ink Rates'!CS:CS),VLOOKUP(FJ252,'Jan-2026 rates'!$E:$F,2,0)))</f>
        <v>#N/A</v>
      </c>
      <c r="FT252" s="409"/>
      <c r="FU252" s="398">
        <f>IF(FT252=0,0,IF(LEN(FK252)=11,_xlfn.XLOOKUP(FK252,'Dispensed Ink Rates'!C:C,'Dispensed Ink Rates'!CS:CS),VLOOKUP(FK252,'Jan-2026 rates'!$E:$F,2,0)))</f>
        <v>0</v>
      </c>
      <c r="FV252" s="409"/>
      <c r="FW252" s="398">
        <f>IF(FV252=0,0,IF(LEN(FL252)=11,_xlfn.XLOOKUP(FL252,'Dispensed Ink Rates'!C:C,'Dispensed Ink Rates'!CS:CS),VLOOKUP(FL252,'Jan-2026 rates'!$E:$F,2,0)))</f>
        <v>0</v>
      </c>
      <c r="FX252" s="409"/>
      <c r="FY252" s="398">
        <f>IF(FX252=0,0,IF(LEN(FM252)=11,_xlfn.XLOOKUP(FM252,'Dispensed Ink Rates'!C:C,'Dispensed Ink Rates'!CS:CS),VLOOKUP(FM252,'Jan-2026 rates'!$E:$F,2,0)))</f>
        <v>0</v>
      </c>
      <c r="FZ252" s="409"/>
      <c r="GA252" s="398">
        <f>IF(FZ252=0,0,IF(LEN(FN252)=11,_xlfn.XLOOKUP(FN252,'Dispensed Ink Rates'!C:C,'Dispensed Ink Rates'!CS:CS),VLOOKUP(FN252,'Jan-2026 rates'!$E:$F,2,0)))</f>
        <v>0</v>
      </c>
      <c r="GB252" s="409"/>
      <c r="GC252" s="398">
        <f>IF(GB252=0,0,IF(LEN(FO252)=11,_xlfn.XLOOKUP(FO252,'Dispensed Ink Rates'!C:C,'Dispensed Ink Rates'!CS:CS),VLOOKUP(FO252,'Jan-2026 rates'!$E:$F,2,0)))</f>
        <v>0</v>
      </c>
      <c r="GD252" s="409"/>
      <c r="GE252" s="398">
        <f>IF(GD252=0,0,IF(LEN(FP252)=11,_xlfn.XLOOKUP(FP252,'Dispensed Ink Rates'!C:C,'Dispensed Ink Rates'!CS:CS),VLOOKUP(FP252,'Jan-2026 rates'!$E:$F,2,0)))</f>
        <v>0</v>
      </c>
      <c r="GF252" s="409"/>
      <c r="GG252" s="398">
        <f>IF(GF252=0,0,IF(LEN(FQ252)=11,_xlfn.XLOOKUP(FQ252,'Dispensed Ink Rates'!C:C,'Dispensed Ink Rates'!CS:CS),VLOOKUP(FQ252,'Jan-2026 rates'!$E:$F,2,0)))</f>
        <v>0</v>
      </c>
      <c r="GH252" s="409" t="s">
        <v>1443</v>
      </c>
      <c r="GI252" s="409">
        <v>30</v>
      </c>
      <c r="GJ252" s="411">
        <f t="shared" si="171"/>
        <v>0</v>
      </c>
      <c r="GK252" s="411">
        <f t="shared" si="172"/>
        <v>9.8965517241379288</v>
      </c>
      <c r="GL252" s="410">
        <f t="shared" si="173"/>
        <v>0</v>
      </c>
      <c r="GM252" s="405" t="s">
        <v>545</v>
      </c>
      <c r="GN252" s="409" t="s">
        <v>4096</v>
      </c>
      <c r="GO252" s="420" t="str">
        <f t="shared" si="188"/>
        <v>FLINTSL - YELLOW</v>
      </c>
      <c r="GP252" s="409">
        <v>25</v>
      </c>
      <c r="GQ252" s="411">
        <f>IF(GP252=0,0,IF($LB252=70%,VLOOKUP($GO252,'Jan-2026 rates'!$L:$R,4,0),IF($LB252=65%,VLOOKUP($GO252,'Jan-2026 rates'!$L:$R,4,0),IF($LB252=40%,VLOOKUP($GO252,'Jan-2026 rates'!$L:$R,5,0),IF($LB252=30%,VLOOKUP($GO252,'Jan-2026 rates'!$L:$R,6,0),IF($LB252=100%,VLOOKUP($GO252,'Jan-2026 rates'!$L:$R,7,0),IF($LB252=60%,VLOOKUP($GO252,'Jan-2026 rates'!$L:$S,8,0),IF($LB252=80%,VLOOKUP($GO252,'Jan-2026 rates'!L:T,9,0),0))))))))</f>
        <v>0</v>
      </c>
      <c r="GR252" s="412"/>
      <c r="GS252" s="409"/>
      <c r="GT252" s="411">
        <f>IF(GS252=0,0,IF($LB252=70%,VLOOKUP($GO252,'Jan-2026 rates'!$L:$R,4,0),IF($LB252=65%,VLOOKUP($GO252,'Jan-2026 rates'!$L:$R,4,0),IF($LB252=40%,VLOOKUP($GO252,'Jan-2026 rates'!$L:$R,5,0),IF($LB252=30%,VLOOKUP($GO252,'Jan-2026 rates'!$L:$R,6,0),IF($LB252=100%,VLOOKUP($GO252,'Jan-2026 rates'!$L:$R,7,0),IF($LB252=60%,VLOOKUP($GO252,'Jan-2026 rates'!$L:$S,8,0),IF($LB252=80%,VLOOKUP($GO252,'Jan-2026 rates'!L:T,9,0),0))))))))</f>
        <v>0</v>
      </c>
      <c r="GU252" s="413">
        <v>26519000017</v>
      </c>
      <c r="GV252" s="413" t="s">
        <v>1266</v>
      </c>
      <c r="GW252" s="412"/>
      <c r="GX252" s="412"/>
      <c r="GY252" s="412"/>
      <c r="GZ252" s="412"/>
      <c r="HA252" s="412"/>
      <c r="HB252" s="412"/>
      <c r="HC252" s="409">
        <v>7</v>
      </c>
      <c r="HD252" s="398" t="e">
        <f>IF(HC252=0,0,IF(LEN(GU252)=11,_xlfn.XLOOKUP(GU252,'Dispensed Ink Rates'!C:C,'Dispensed Ink Rates'!CS:CS),VLOOKUP(GU252,'Jan-2026 rates'!$E:$F,2,0)))</f>
        <v>#N/A</v>
      </c>
      <c r="HE252" s="409">
        <v>4</v>
      </c>
      <c r="HF252" s="398">
        <f>IF(HE252=0,0,IF(LEN(GV252)=11,_xlfn.XLOOKUP(GV252,'Dispensed Ink Rates'!C:C,'Dispensed Ink Rates'!CS:CS),VLOOKUP(GV252,'Jan-2026 rates'!$E:$F,2,0)))</f>
        <v>0</v>
      </c>
      <c r="HG252" s="409"/>
      <c r="HH252" s="398">
        <f>IF(HG252=0,0,IF(LEN(GW252)=11,_xlfn.XLOOKUP(GW252,'Dispensed Ink Rates'!C:C,'Dispensed Ink Rates'!CS:CS),VLOOKUP(GW252,'Jan-2026 rates'!$E:$F,2,0)))</f>
        <v>0</v>
      </c>
      <c r="HI252" s="409"/>
      <c r="HJ252" s="398">
        <f>IF(HI252=0,0,IF(LEN(GX252)=11,_xlfn.XLOOKUP(GX252,'Dispensed Ink Rates'!C:C,'Dispensed Ink Rates'!CS:CS),VLOOKUP(GX252,'Jan-2026 rates'!$E:$F,2,0)))</f>
        <v>0</v>
      </c>
      <c r="HK252" s="409"/>
      <c r="HL252" s="398">
        <f>IF(HK252=0,0,IF(LEN(GY252)=11,_xlfn.XLOOKUP(GY252,'Dispensed Ink Rates'!C:C,'Dispensed Ink Rates'!CS:CS),VLOOKUP(GY252,'Jan-2026 rates'!$E:$F,2,0)))</f>
        <v>0</v>
      </c>
      <c r="HM252" s="409"/>
      <c r="HN252" s="398">
        <f>IF(HM252=0,0,IF(LEN(GZ252)=11,_xlfn.XLOOKUP(GZ252,'Dispensed Ink Rates'!C:C,'Dispensed Ink Rates'!CS:CS),VLOOKUP(GZ252,'Jan-2026 rates'!$E:$F,2,0)))</f>
        <v>0</v>
      </c>
      <c r="HO252" s="409"/>
      <c r="HP252" s="398">
        <f>IF(HO252=0,0,IF(LEN(HA252)=11,_xlfn.XLOOKUP(HA252,'Dispensed Ink Rates'!C:C,'Dispensed Ink Rates'!CS:CS),VLOOKUP(HA252,'Jan-2026 rates'!$E:$F,2,0)))</f>
        <v>0</v>
      </c>
      <c r="HQ252" s="409"/>
      <c r="HR252" s="398">
        <f>IF(HQ252=0,0,IF(LEN(HB252)=11,_xlfn.XLOOKUP(HB252,'Dispensed Ink Rates'!C:C,'Dispensed Ink Rates'!CS:CS),VLOOKUP(HB252,'Jan-2026 rates'!$E:$F,2,0)))</f>
        <v>0</v>
      </c>
      <c r="HS252" s="409" t="s">
        <v>1443</v>
      </c>
      <c r="HT252" s="409">
        <v>30</v>
      </c>
      <c r="HU252" s="411">
        <f t="shared" si="174"/>
        <v>0</v>
      </c>
      <c r="HV252" s="411">
        <f t="shared" si="175"/>
        <v>18.241379310344826</v>
      </c>
      <c r="HW252" s="414">
        <f t="shared" si="176"/>
        <v>0</v>
      </c>
      <c r="HX252" s="405" t="s">
        <v>828</v>
      </c>
      <c r="HY252" s="409" t="s">
        <v>4097</v>
      </c>
      <c r="HZ252" s="420" t="str">
        <f t="shared" si="189"/>
        <v>FLINTSL - ORANGE</v>
      </c>
      <c r="IA252" s="409">
        <v>25</v>
      </c>
      <c r="IB252" s="411">
        <f>IF(IA252=0,0,IF($LB252=70%,VLOOKUP($HZ252,'Jan-2026 rates'!$L:$R,4,0),IF($LB252=65%,VLOOKUP($HZ252,'Jan-2026 rates'!$L:$R,4,0),IF($LB252=40%,VLOOKUP($HZ252,'Jan-2026 rates'!$L:$R,5,0),IF($LB252=30%,VLOOKUP($HZ252,'Jan-2026 rates'!$L:$R,6,0),IF($LB252=100%,VLOOKUP($HZ252,'Jan-2026 rates'!$L:$R,7,0),IF($LB252=60%,VLOOKUP($HZ252,'Jan-2026 rates'!$L:$S,8,0),IF($LB252=80%,VLOOKUP($HZ252,'Jan-2026 rates'!L:T,9,0),0))))))))</f>
        <v>0</v>
      </c>
      <c r="IC252" s="412"/>
      <c r="ID252" s="409"/>
      <c r="IE252" s="411">
        <f>IF(ID252=0,0,IF($LB252=70%,VLOOKUP($HZ252,'Jan-2026 rates'!$L:$R,4,0),IF($LB252=65%,VLOOKUP($HZ252,'Jan-2026 rates'!$L:$R,4,0),IF($LB252=40%,VLOOKUP($HZ252,'Jan-2026 rates'!$L:$R,5,0),IF($LB252=30%,VLOOKUP($HZ252,'Jan-2026 rates'!$L:$R,6,0),IF($LB252=100%,VLOOKUP($HZ252,'Jan-2026 rates'!$L:$R,7,0),IF($LB252=60%,VLOOKUP($HZ252,'Jan-2026 rates'!$L:$S,8,0),IF($LB252=80%,VLOOKUP($HZ252,'Jan-2026 rates'!L:T,9,0),0))))))))</f>
        <v>0</v>
      </c>
      <c r="IF252" s="412">
        <v>26520000008</v>
      </c>
      <c r="IG252" s="413">
        <v>26519000021</v>
      </c>
      <c r="IH252" s="412"/>
      <c r="II252" s="412"/>
      <c r="IJ252" s="412"/>
      <c r="IK252" s="412"/>
      <c r="IL252" s="412"/>
      <c r="IM252" s="412"/>
      <c r="IN252" s="409">
        <v>5</v>
      </c>
      <c r="IO252" s="398" t="e">
        <f>IF(IN252=0,0,IF(LEN(IF252)=11,_xlfn.XLOOKUP(IF252,'Dispensed Ink Rates'!C:C,'Dispensed Ink Rates'!CS:CS),VLOOKUP(IF252,'Jan-2026 rates'!$E:$F,2,0)))</f>
        <v>#N/A</v>
      </c>
      <c r="IP252" s="409">
        <v>3</v>
      </c>
      <c r="IQ252" s="398" t="e">
        <f>IF(IP252=0,0,IF(LEN(IG252)=11,_xlfn.XLOOKUP(IG252,'Dispensed Ink Rates'!C:C,'Dispensed Ink Rates'!CS:CS),VLOOKUP(IG252,'Jan-2026 rates'!$E:$F,2,0)))</f>
        <v>#N/A</v>
      </c>
      <c r="IR252" s="409"/>
      <c r="IS252" s="398">
        <f>IF(IR252=0,0,IF(LEN(IH252)=11,_xlfn.XLOOKUP(IH252,'Dispensed Ink Rates'!C:C,'Dispensed Ink Rates'!CS:CS),VLOOKUP(IH252,'Jan-2026 rates'!$E:$F,2,0)))</f>
        <v>0</v>
      </c>
      <c r="IT252" s="409"/>
      <c r="IU252" s="398">
        <f>IF(IT252=0,0,IF(LEN(II252)=11,_xlfn.XLOOKUP(II252,'Dispensed Ink Rates'!C:C,'Dispensed Ink Rates'!CS:CS),VLOOKUP(II252,'Jan-2026 rates'!$E:$F,2,0)))</f>
        <v>0</v>
      </c>
      <c r="IV252" s="409"/>
      <c r="IW252" s="398">
        <f>IF(IV252=0,0,IF(LEN(IJ252)=11,_xlfn.XLOOKUP(IJ252,'Dispensed Ink Rates'!C:C,'Dispensed Ink Rates'!CS:CS),VLOOKUP(IJ252,'Jan-2026 rates'!$E:$F,2,0)))</f>
        <v>0</v>
      </c>
      <c r="IX252" s="409"/>
      <c r="IY252" s="398">
        <f>IF(IX252=0,0,IF(LEN(IK252)=11,_xlfn.XLOOKUP(IK252,'Dispensed Ink Rates'!C:C,'Dispensed Ink Rates'!CS:CS),VLOOKUP(IK252,'Jan-2026 rates'!$E:$F,2,0)))</f>
        <v>0</v>
      </c>
      <c r="IZ252" s="409"/>
      <c r="JA252" s="398">
        <f>IF(IZ252=0,0,IF(LEN(IL252)=11,_xlfn.XLOOKUP(IL252,'Dispensed Ink Rates'!C:C,'Dispensed Ink Rates'!CS:CS),VLOOKUP(IL252,'Jan-2026 rates'!$E:$F,2,0)))</f>
        <v>0</v>
      </c>
      <c r="JB252" s="409"/>
      <c r="JC252" s="398">
        <f>IF(JB252=0,0,IF(LEN(IM252)=11,_xlfn.XLOOKUP(IM252,'Dispensed Ink Rates'!C:C,'Dispensed Ink Rates'!CS:CS),VLOOKUP(IM252,'Jan-2026 rates'!$E:$F,2,0)))</f>
        <v>0</v>
      </c>
      <c r="JD252" s="409" t="s">
        <v>1443</v>
      </c>
      <c r="JE252" s="409">
        <v>25</v>
      </c>
      <c r="JF252" s="411">
        <f t="shared" si="177"/>
        <v>0</v>
      </c>
      <c r="JG252" s="411">
        <f t="shared" si="178"/>
        <v>20.241379310344826</v>
      </c>
      <c r="JH252" s="410">
        <f t="shared" si="179"/>
        <v>0</v>
      </c>
      <c r="JI252" s="405" t="s">
        <v>856</v>
      </c>
      <c r="JJ252" s="409" t="s">
        <v>4098</v>
      </c>
      <c r="JK252" s="420" t="str">
        <f t="shared" si="190"/>
        <v>FLINTSL - WHITE</v>
      </c>
      <c r="JL252" s="409">
        <v>30</v>
      </c>
      <c r="JM252" s="411">
        <f>IF(JL252=0,0,IF($LB252=70%,VLOOKUP($JK252,'Jan-2026 rates'!$L:$R,4,0),IF($LB252=65%,VLOOKUP($JK252,'Jan-2026 rates'!$L:$R,4,0),IF($LB252=40%,VLOOKUP($JK252,'Jan-2026 rates'!$L:$R,5,0),IF($LB252=30%,VLOOKUP($JK252,'Jan-2026 rates'!$L:$R,6,0),IF($LB252=100%,VLOOKUP($JK252,'Jan-2026 rates'!$L:$R,7,0),IF($LB252=60%,VLOOKUP($JK252,'Jan-2026 rates'!$L:$S,8,0),IF($LB252=80%,VLOOKUP($JK252,'Jan-2026 rates'!L:T,9,0),0))))))))</f>
        <v>0</v>
      </c>
      <c r="JN252" s="412"/>
      <c r="JO252" s="409"/>
      <c r="JP252" s="411">
        <f>IF(JO252=0,0,IF($LB252=70%,VLOOKUP($JK252,'Jan-2026 rates'!$L:$R,4,0),IF($LB252=65%,VLOOKUP($JK252,'Jan-2026 rates'!$L:$R,4,0),IF($LB252=40%,VLOOKUP($JK252,'Jan-2026 rates'!$L:$R,5,0),IF($LB252=30%,VLOOKUP($JK252,'Jan-2026 rates'!$L:$R,6,0),IF($LB252=100%,VLOOKUP($JK252,'Jan-2026 rates'!$L:$R,7,0),IF($LB252=60%,VLOOKUP($JK252,'Jan-2026 rates'!$L:$S,8,0),IF($LB252=80%,VLOOKUP($JK252,'Jan-2026 rates'!L:T,9,0),0))))))))</f>
        <v>0</v>
      </c>
      <c r="JQ252" s="413" t="s">
        <v>484</v>
      </c>
      <c r="JR252" s="412"/>
      <c r="JS252" s="413"/>
      <c r="JT252" s="413"/>
      <c r="JU252" s="412"/>
      <c r="JV252" s="412"/>
      <c r="JW252" s="412"/>
      <c r="JX252" s="412"/>
      <c r="JY252" s="409">
        <f>30+20</f>
        <v>50</v>
      </c>
      <c r="JZ252" s="398">
        <f>IF(JY252=0,0,IF(LEN(JQ252)=11,_xlfn.XLOOKUP(JQ252,'Dispensed Ink Rates'!C:C,'Dispensed Ink Rates'!CS:CS),VLOOKUP(JQ252,'Jan-2026 rates'!$E:$F,2,0)))</f>
        <v>0</v>
      </c>
      <c r="KA252" s="409"/>
      <c r="KB252" s="398">
        <f>IF(KA252=0,0,IF(LEN(JR252)=11,_xlfn.XLOOKUP(JR252,'Dispensed Ink Rates'!C:C,'Dispensed Ink Rates'!CS:CS),VLOOKUP(JR252,'Jan-2026 rates'!$E:$F,2,0)))</f>
        <v>0</v>
      </c>
      <c r="KC252" s="409"/>
      <c r="KD252" s="398">
        <f>IF(KC252=0,0,IF(LEN(JS252)=11,_xlfn.XLOOKUP(JS252,'Dispensed Ink Rates'!C:C,'Dispensed Ink Rates'!CS:CS),VLOOKUP(JS252,'Jan-2026 rates'!$E:$F,2,0)))</f>
        <v>0</v>
      </c>
      <c r="KE252" s="409"/>
      <c r="KF252" s="398">
        <f>IF(KE252=0,0,IF(LEN(JT252)=11,_xlfn.XLOOKUP(JT252,'Dispensed Ink Rates'!C:C,'Dispensed Ink Rates'!CS:CS),VLOOKUP(JT252,'Jan-2026 rates'!$E:$F,2,0)))</f>
        <v>0</v>
      </c>
      <c r="KG252" s="409"/>
      <c r="KH252" s="398">
        <f>IF(KG252=0,0,IF(LEN(JU252)=11,_xlfn.XLOOKUP(JU252,'Dispensed Ink Rates'!C:C,'Dispensed Ink Rates'!CS:CS),VLOOKUP(JU252,'Jan-2026 rates'!$E:$F,2,0)))</f>
        <v>0</v>
      </c>
      <c r="KI252" s="409"/>
      <c r="KJ252" s="398">
        <f>IF(KI252=0,0,IF(LEN(JV252)=11,_xlfn.XLOOKUP(JV252,'Dispensed Ink Rates'!C:C,'Dispensed Ink Rates'!CS:CS),VLOOKUP(JV252,'Jan-2026 rates'!$E:$F,2,0)))</f>
        <v>0</v>
      </c>
      <c r="KK252" s="409"/>
      <c r="KL252" s="398">
        <f>IF(KK252=0,0,IF(LEN(JW252)=11,_xlfn.XLOOKUP(JW252,'Dispensed Ink Rates'!C:C,'Dispensed Ink Rates'!CS:CS),VLOOKUP(JW252,'Jan-2026 rates'!$E:$F,2,0)))</f>
        <v>0</v>
      </c>
      <c r="KM252" s="428"/>
      <c r="KN252" s="398">
        <f>IF(KM252=0,0,IF(LEN(JX252)=11,_xlfn.XLOOKUP(JX252,'Dispensed Ink Rates'!C:C,'Dispensed Ink Rates'!CS:CS),VLOOKUP(JX252,'Jan-2026 rates'!$E:$F,2,0)))</f>
        <v>0</v>
      </c>
      <c r="KO252" s="409" t="s">
        <v>1443</v>
      </c>
      <c r="KP252" s="409">
        <v>30</v>
      </c>
      <c r="KQ252" s="411">
        <f t="shared" si="180"/>
        <v>0</v>
      </c>
      <c r="KR252" s="411">
        <f t="shared" si="181"/>
        <v>123.44827586206895</v>
      </c>
      <c r="KS252" s="410">
        <f t="shared" si="182"/>
        <v>0</v>
      </c>
      <c r="KT252" s="409">
        <v>3</v>
      </c>
      <c r="KU252" s="409">
        <v>4</v>
      </c>
      <c r="KV252" s="409">
        <v>5</v>
      </c>
      <c r="KW252" s="409">
        <v>4</v>
      </c>
      <c r="KX252" s="409">
        <v>2</v>
      </c>
      <c r="KY252" s="409">
        <v>5</v>
      </c>
      <c r="KZ252" s="409">
        <v>5</v>
      </c>
      <c r="LA252" s="409">
        <f>20+10</f>
        <v>30</v>
      </c>
      <c r="LB252" s="415">
        <v>0.8</v>
      </c>
      <c r="LC252" s="415">
        <v>0.2</v>
      </c>
      <c r="LD252" s="415"/>
      <c r="LE252" s="415"/>
      <c r="LF252" s="415"/>
      <c r="LG252" s="409">
        <v>0</v>
      </c>
      <c r="LH252" s="409">
        <f>30+32+64+16</f>
        <v>142</v>
      </c>
      <c r="LI252" s="409">
        <v>0</v>
      </c>
      <c r="LJ252" s="409">
        <v>0</v>
      </c>
      <c r="LK252" s="416">
        <f t="shared" si="191"/>
        <v>142</v>
      </c>
      <c r="LL252" s="416">
        <f t="shared" si="192"/>
        <v>142</v>
      </c>
      <c r="LM252" s="417">
        <f t="shared" si="193"/>
        <v>113.60000000000001</v>
      </c>
      <c r="LN252" s="417">
        <f>VLOOKUP($LM$8,'Jan-2026 rates'!$H:$I,2,0)</f>
        <v>0</v>
      </c>
      <c r="LO252" s="417">
        <f t="shared" si="194"/>
        <v>28.400000000000002</v>
      </c>
      <c r="LP252" s="417">
        <f>VLOOKUP($LO$8,'Jan-2026 rates'!$H:$I,2,0)</f>
        <v>0</v>
      </c>
      <c r="LQ252" s="417">
        <f t="shared" si="195"/>
        <v>0</v>
      </c>
      <c r="LR252" s="417">
        <f>VLOOKUP($LQ$8,'Jan-2026 rates'!$H:$I,2,0)</f>
        <v>0</v>
      </c>
      <c r="LS252" s="417">
        <f t="shared" si="196"/>
        <v>0</v>
      </c>
      <c r="LT252" s="417">
        <f>VLOOKUP($LS$8,'Jan-2026 rates'!$H:$I,2,0)</f>
        <v>0</v>
      </c>
      <c r="LU252" s="417">
        <f t="shared" si="197"/>
        <v>0</v>
      </c>
      <c r="LV252" s="417">
        <f>VLOOKUP($LU$8,'Jan-2026 rates'!$H:$I,2,0)</f>
        <v>0</v>
      </c>
      <c r="LW252" s="417">
        <f t="shared" si="198"/>
        <v>0</v>
      </c>
      <c r="LX252" s="417">
        <f t="shared" si="199"/>
        <v>0</v>
      </c>
      <c r="LY252" s="418">
        <f t="shared" si="200"/>
        <v>0</v>
      </c>
      <c r="LZ252" s="417"/>
      <c r="MA252" s="435">
        <f t="shared" si="201"/>
        <v>120</v>
      </c>
      <c r="MB252" s="282">
        <f t="shared" si="202"/>
        <v>281</v>
      </c>
      <c r="MC252" s="283">
        <v>145</v>
      </c>
      <c r="MD252" s="284" t="str">
        <f t="shared" si="203"/>
        <v>FLINTSLFLINTSLFLINTSLFLINTSLFLINTSLFLINTSLFLINTSLFLINTSL</v>
      </c>
      <c r="ME252" s="293" t="str">
        <f t="shared" si="204"/>
        <v>+</v>
      </c>
      <c r="MF252" s="293" t="str">
        <f t="shared" si="205"/>
        <v>+</v>
      </c>
      <c r="MG252" s="293" t="str">
        <f t="shared" si="206"/>
        <v>+</v>
      </c>
      <c r="MH252" s="293" t="str">
        <f t="shared" si="207"/>
        <v>+</v>
      </c>
      <c r="MI252" s="293" t="str">
        <f t="shared" si="208"/>
        <v>+</v>
      </c>
      <c r="MJ252" s="293" t="str">
        <f t="shared" si="209"/>
        <v>+</v>
      </c>
      <c r="MK252" s="293" t="str">
        <f t="shared" si="210"/>
        <v>+</v>
      </c>
      <c r="ML252" s="293" t="str">
        <f t="shared" si="211"/>
        <v>+</v>
      </c>
      <c r="MM252" s="3" t="b">
        <f t="array" ref="MM252">OR(ME252:ML252="-")</f>
        <v>0</v>
      </c>
      <c r="MN252" s="285"/>
      <c r="MO252" s="401"/>
      <c r="MP252" s="286"/>
      <c r="MQ252" s="286"/>
      <c r="MR252" s="402"/>
      <c r="MS252" s="400"/>
      <c r="NH252" s="422"/>
      <c r="NJ252" s="421"/>
    </row>
    <row r="253" spans="1:374" s="1" customFormat="1" ht="16.5">
      <c r="A253" s="403">
        <v>46041</v>
      </c>
      <c r="B253" s="404" t="s">
        <v>1018</v>
      </c>
      <c r="C253" s="405" t="s">
        <v>4099</v>
      </c>
      <c r="D253" s="406">
        <v>146</v>
      </c>
      <c r="E253" s="404">
        <v>538</v>
      </c>
      <c r="F253" s="407">
        <v>31400</v>
      </c>
      <c r="G253" s="407" t="s">
        <v>1016</v>
      </c>
      <c r="H253" s="408" t="s">
        <v>1017</v>
      </c>
      <c r="I253" s="409">
        <v>1.95</v>
      </c>
      <c r="J253" s="405" t="s">
        <v>543</v>
      </c>
      <c r="K253" s="404" t="s">
        <v>4100</v>
      </c>
      <c r="L253" s="419" t="str">
        <f t="shared" si="184"/>
        <v>FLINTSL - BLACK</v>
      </c>
      <c r="M253" s="404">
        <v>27</v>
      </c>
      <c r="N253" s="410">
        <f>IF(M253=0,0,IF($LB253=70%,VLOOKUP($L253,'Jan-2026 rates'!$L:$R,4,0),IF($LB253=65%,VLOOKUP($L253,'Jan-2026 rates'!$L:$R,4,0),IF($LB253=40%,VLOOKUP($L253,'Jan-2026 rates'!$L:$R,5,0),IF($LB253=30%,VLOOKUP($L253,'Jan-2026 rates'!$L:$R,6,0),IF($LB253=100%,VLOOKUP($L253,'Jan-2026 rates'!$L:$R,7,0),IF($LB253=60%,VLOOKUP($L253,'Jan-2026 rates'!$L:$S,8,0),IF($LB253=80%,VLOOKUP($L253,'Jan-2026 rates'!L:T,9,0),0))))))))</f>
        <v>0</v>
      </c>
      <c r="O253" s="406"/>
      <c r="P253" s="404"/>
      <c r="Q253" s="410">
        <f>IF(P253=0,0,IF($LB253=70%,VLOOKUP($L253,'Jan-2026 rates'!$L:$R,4,0),IF($LB253=65%,VLOOKUP($L253,'Jan-2026 rates'!$L:$R,4,0),IF($LB253=40%,VLOOKUP($L253,'Jan-2026 rates'!$L:$R,5,0),IF($LB253=30%,VLOOKUP($L253,'Jan-2026 rates'!$L:$R,6,0),IF($LB253=100%,VLOOKUP($L253,'Jan-2026 rates'!$L:$R,7,0),IF($LB253=60%,VLOOKUP($L253,'Jan-2026 rates'!$L:$S,8,0),IF($LB253=80%,VLOOKUP($L253,'Jan-2026 rates'!L:T,9,0),0))))))))</f>
        <v>0</v>
      </c>
      <c r="R253" s="406">
        <v>26519000016</v>
      </c>
      <c r="S253" s="406"/>
      <c r="T253" s="406"/>
      <c r="U253" s="406"/>
      <c r="V253" s="406"/>
      <c r="W253" s="406"/>
      <c r="X253" s="406"/>
      <c r="Y253" s="406"/>
      <c r="Z253" s="404">
        <v>10</v>
      </c>
      <c r="AA253" s="398" t="e">
        <f>IF(Z253=0,0,IF(LEN(R253)=11,_xlfn.XLOOKUP(R253,'Dispensed Ink Rates'!C:C,'Dispensed Ink Rates'!CS:CS),VLOOKUP(R253,'Jan-2026 rates'!$E:$F,2,0)))</f>
        <v>#N/A</v>
      </c>
      <c r="AB253" s="404"/>
      <c r="AC253" s="398">
        <f>IF(AB253=0,0,IF(LEN(S253)=11,_xlfn.XLOOKUP(S253,'Dispensed Ink Rates'!C:C,'Dispensed Ink Rates'!CS:CS),VLOOKUP(S253,'Jan-2026 rates'!$E:$F,2,0)))</f>
        <v>0</v>
      </c>
      <c r="AD253" s="404"/>
      <c r="AE253" s="398">
        <f>IF(AD253=0,0,IF(LEN(T253)=11,_xlfn.XLOOKUP(T253,'Dispensed Ink Rates'!C:C,'Dispensed Ink Rates'!CS:CS),VLOOKUP(T253,'Jan-2026 rates'!$E:$F,2,0)))</f>
        <v>0</v>
      </c>
      <c r="AF253" s="404"/>
      <c r="AG253" s="398">
        <f>IF(AF253=0,0,IF(LEN(U253)=11,_xlfn.XLOOKUP(U253,'Dispensed Ink Rates'!C:C,'Dispensed Ink Rates'!CS:CS),VLOOKUP(U253,'Jan-2026 rates'!$E:$F,2,0)))</f>
        <v>0</v>
      </c>
      <c r="AH253" s="404"/>
      <c r="AI253" s="398">
        <f>IF(AH253=0,0,IF(LEN(V253)=11,_xlfn.XLOOKUP(V253,'Dispensed Ink Rates'!C:C,'Dispensed Ink Rates'!CS:CS),VLOOKUP(V253,'Jan-2026 rates'!$E:$F,2,0)))</f>
        <v>0</v>
      </c>
      <c r="AJ253" s="404"/>
      <c r="AK253" s="398">
        <f>IF(AJ253=0,0,IF(LEN(W253)=11,_xlfn.XLOOKUP(W253,'Dispensed Ink Rates'!C:C,'Dispensed Ink Rates'!CS:CS),VLOOKUP(W253,'Jan-2026 rates'!$E:$F,2,0)))</f>
        <v>0</v>
      </c>
      <c r="AL253" s="404"/>
      <c r="AM253" s="398">
        <f>IF(AL253=0,0,IF(LEN(X253)=11,_xlfn.XLOOKUP(X253,'Dispensed Ink Rates'!C:C,'Dispensed Ink Rates'!CS:CS),VLOOKUP(X253,'Jan-2026 rates'!$E:$F,2,0)))</f>
        <v>0</v>
      </c>
      <c r="AN253" s="404"/>
      <c r="AO253" s="398">
        <f>IF(AN253=0,0,IF(LEN(Y253)=11,_xlfn.XLOOKUP(Y253,'Dispensed Ink Rates'!C:C,'Dispensed Ink Rates'!CS:CS),VLOOKUP(Y253,'Jan-2026 rates'!$E:$F,2,0)))</f>
        <v>0</v>
      </c>
      <c r="AP253" s="409" t="s">
        <v>1443</v>
      </c>
      <c r="AQ253" s="409">
        <v>30</v>
      </c>
      <c r="AR253" s="410">
        <f t="shared" si="159"/>
        <v>0</v>
      </c>
      <c r="AS253" s="411">
        <f t="shared" si="160"/>
        <v>32.405405405405403</v>
      </c>
      <c r="AT253" s="410">
        <f t="shared" si="161"/>
        <v>0</v>
      </c>
      <c r="AU253" s="405" t="s">
        <v>857</v>
      </c>
      <c r="AV253" s="409" t="s">
        <v>4101</v>
      </c>
      <c r="AW253" s="420" t="str">
        <f t="shared" si="183"/>
        <v>FLINTSL - RED</v>
      </c>
      <c r="AX253" s="409">
        <v>10</v>
      </c>
      <c r="AY253" s="411">
        <f>IF(AX253=0,0,IF($LB253=70%,VLOOKUP($AW253,'Jan-2026 rates'!$L:$R,4,0),IF($LB253=65%,VLOOKUP($AW253,'Jan-2026 rates'!$L:$R,4,0),IF($LB253=40%,VLOOKUP($AW253,'Jan-2026 rates'!$L:$R,5,0),IF($LB253=30%,VLOOKUP($AW253,'Jan-2026 rates'!$L:$R,6,0),IF($LB253=100%,VLOOKUP($AW253,'Jan-2026 rates'!$L:$R,7,0),IF($LB253=60%,VLOOKUP($AW253,'Jan-2026 rates'!$L:$S,8,0),IF($LB253=80%,VLOOKUP($AW253,'Jan-2026 rates'!L:T,9,0),0))))))))</f>
        <v>0</v>
      </c>
      <c r="AZ253" s="412"/>
      <c r="BA253" s="409"/>
      <c r="BB253" s="411">
        <f>IF(BA253=0,0,IF($LB253=70%,VLOOKUP($AW253,'Jan-2026 rates'!$L:$R,4,0),IF($LB253=65%,VLOOKUP($AW253,'Jan-2026 rates'!$L:$R,4,0),IF($LB253=40%,VLOOKUP($AW253,'Jan-2026 rates'!$L:$R,5,0),IF($LB253=30%,VLOOKUP($AW253,'Jan-2026 rates'!$L:$R,6,0),IF($LB253=100%,VLOOKUP($AW253,'Jan-2026 rates'!$L:$R,7,0),IF($LB253=60%,VLOOKUP($AW253,'Jan-2026 rates'!$L:$S,8,0),IF($LB253=80%,VLOOKUP($AW253,'Jan-2026 rates'!L:T,9,0),0))))))))</f>
        <v>0</v>
      </c>
      <c r="BC253" s="413">
        <v>26520000008</v>
      </c>
      <c r="BD253" s="412">
        <v>26520000011</v>
      </c>
      <c r="BE253" s="412"/>
      <c r="BF253" s="413"/>
      <c r="BG253" s="412"/>
      <c r="BH253" s="412"/>
      <c r="BI253" s="412"/>
      <c r="BJ253" s="412"/>
      <c r="BK253" s="409">
        <v>3</v>
      </c>
      <c r="BL253" s="398" t="e">
        <f>IF(BK253=0,0,IF(LEN(BC253)=11,_xlfn.XLOOKUP(BC253,'Dispensed Ink Rates'!C:C,'Dispensed Ink Rates'!CS:CS),VLOOKUP(BC253,'Jan-2026 rates'!$E:$F,2,0)))</f>
        <v>#N/A</v>
      </c>
      <c r="BM253" s="409">
        <v>8</v>
      </c>
      <c r="BN253" s="398" t="e">
        <f>IF(BM253=0,0,IF(LEN(BD253)=11,_xlfn.XLOOKUP(BD253,'Dispensed Ink Rates'!C:C,'Dispensed Ink Rates'!CS:CS),VLOOKUP(BD253,'Jan-2026 rates'!$E:$F,2,0)))</f>
        <v>#N/A</v>
      </c>
      <c r="BO253" s="409"/>
      <c r="BP253" s="398">
        <f>IF(BO253=0,0,IF(LEN(BE253)=11,_xlfn.XLOOKUP(BE253,'Dispensed Ink Rates'!C:C,'Dispensed Ink Rates'!CS:CS),VLOOKUP(BE253,'Jan-2026 rates'!$E:$F,2,0)))</f>
        <v>0</v>
      </c>
      <c r="BQ253" s="409"/>
      <c r="BR253" s="398">
        <f>IF(BQ253=0,0,IF(LEN(BF253)=11,_xlfn.XLOOKUP(BF253,'Dispensed Ink Rates'!C:C,'Dispensed Ink Rates'!CS:CS),VLOOKUP(BF253,'Jan-2026 rates'!$E:$F,2,0)))</f>
        <v>0</v>
      </c>
      <c r="BS253" s="409"/>
      <c r="BT253" s="398">
        <f>IF(BS253=0,0,IF(LEN(BG253)=11,_xlfn.XLOOKUP(BG253,'Dispensed Ink Rates'!C:C,'Dispensed Ink Rates'!CS:CS),VLOOKUP(BG253,'Jan-2026 rates'!$E:$F,2,0)))</f>
        <v>0</v>
      </c>
      <c r="BU253" s="409"/>
      <c r="BV253" s="398">
        <f>IF(BU253=0,0,IF(LEN(BH253)=11,_xlfn.XLOOKUP(BH253,'Dispensed Ink Rates'!C:C,'Dispensed Ink Rates'!CS:CS),VLOOKUP(BH253,'Jan-2026 rates'!$E:$F,2,0)))</f>
        <v>0</v>
      </c>
      <c r="BW253" s="409"/>
      <c r="BX253" s="398">
        <f>IF(BW253=0,0,IF(LEN(BI253)=11,_xlfn.XLOOKUP(BI253,'Dispensed Ink Rates'!C:C,'Dispensed Ink Rates'!CS:CS),VLOOKUP(BI253,'Jan-2026 rates'!$E:$F,2,0)))</f>
        <v>0</v>
      </c>
      <c r="BY253" s="409"/>
      <c r="BZ253" s="398">
        <f>IF(BY253=0,0,IF(LEN(BJ253)=11,_xlfn.XLOOKUP(BJ253,'Dispensed Ink Rates'!C:C,'Dispensed Ink Rates'!CS:CS),VLOOKUP(BJ253,'Jan-2026 rates'!$E:$F,2,0)))</f>
        <v>0</v>
      </c>
      <c r="CA253" s="409" t="s">
        <v>1443</v>
      </c>
      <c r="CB253" s="409">
        <v>25</v>
      </c>
      <c r="CC253" s="411">
        <f t="shared" si="162"/>
        <v>0</v>
      </c>
      <c r="CD253" s="411">
        <f t="shared" si="163"/>
        <v>13.78378378378379</v>
      </c>
      <c r="CE253" s="410">
        <f t="shared" si="164"/>
        <v>0</v>
      </c>
      <c r="CF253" s="404" t="s">
        <v>547</v>
      </c>
      <c r="CG253" s="409"/>
      <c r="CH253" s="420" t="str">
        <f t="shared" si="185"/>
        <v>FLINTSL - GREEN</v>
      </c>
      <c r="CI253" s="409"/>
      <c r="CJ253" s="411">
        <f>IF(CI253=0,0,IF($LB253=70%,VLOOKUP($CH253,'Jan-2026 rates'!$L:$R,4,0),IF($LB253=65%,VLOOKUP($CH253,'Jan-2026 rates'!$L:$R,4,0),IF($LB253=40%,VLOOKUP($CH253,'Jan-2026 rates'!$L:$R,5,0),IF($LB253=30%,VLOOKUP($CH253,'Jan-2026 rates'!$L:$R,6,0),IF($LB253=100%,VLOOKUP($CH253,'Jan-2026 rates'!$L:$R,7,0),IF($LB253=60%,VLOOKUP($CH253,'Jan-2026 rates'!$L:$S,8,0),IF($LB253=80%,VLOOKUP($CH253,'Jan-2026 rates'!L:T,9,0),0))))))))</f>
        <v>0</v>
      </c>
      <c r="CK253" s="412"/>
      <c r="CL253" s="409"/>
      <c r="CM253" s="411">
        <f>IF(CL253=0,0,IF($LB253=70%,VLOOKUP($CH253,'Jan-2026 rates'!$L:$R,4,0),IF($LB253=65%,VLOOKUP($CH253,'Jan-2026 rates'!$L:$R,4,0),IF($LB253=40%,VLOOKUP($CH253,'Jan-2026 rates'!$L:$R,5,0),IF($LB253=30%,VLOOKUP($CH253,'Jan-2026 rates'!$L:$R,6,0),IF($LB253=100%,VLOOKUP($CH253,'Jan-2026 rates'!$L:$R,7,0),IF($LB253=60%,VLOOKUP($CH253,'Jan-2026 rates'!$L:$S,8,0),IF($LB253=80%,VLOOKUP($CH253,'Jan-2026 rates'!L:T,9,0),0))))))))</f>
        <v>0</v>
      </c>
      <c r="CN253" s="426">
        <v>26519000035</v>
      </c>
      <c r="CO253" s="427">
        <v>26519000037</v>
      </c>
      <c r="CP253" s="426">
        <v>26520000002</v>
      </c>
      <c r="CQ253" s="426">
        <v>26519000017</v>
      </c>
      <c r="CR253" s="428"/>
      <c r="CS253" s="428"/>
      <c r="CT253" s="428"/>
      <c r="CU253" s="428"/>
      <c r="CV253" s="409">
        <v>40</v>
      </c>
      <c r="CW253" s="398" t="e">
        <f>IF(CV253=0,0,IF(LEN(CN253)=11,_xlfn.XLOOKUP(CN253,'Dispensed Ink Rates'!C:C,'Dispensed Ink Rates'!CS:CS),VLOOKUP(CN253,'Jan-2026 rates'!$E:$F,2,0)))</f>
        <v>#N/A</v>
      </c>
      <c r="CX253" s="409">
        <v>40</v>
      </c>
      <c r="CY253" s="398" t="e">
        <f>IF(CX253=0,0,IF(LEN(CO253)=11,_xlfn.XLOOKUP(CO253,'Dispensed Ink Rates'!C:C,'Dispensed Ink Rates'!CS:CS),VLOOKUP(CO253,'Jan-2026 rates'!$E:$F,2,0)))</f>
        <v>#N/A</v>
      </c>
      <c r="CZ253" s="409">
        <v>20</v>
      </c>
      <c r="DA253" s="398" t="e">
        <f>IF(CZ253=0,0,IF(LEN(CP253)=11,_xlfn.XLOOKUP(CP253,'Dispensed Ink Rates'!C:C,'Dispensed Ink Rates'!CS:CS),VLOOKUP(CP253,'Jan-2026 rates'!$E:$F,2,0)))</f>
        <v>#N/A</v>
      </c>
      <c r="DB253" s="409">
        <v>20</v>
      </c>
      <c r="DC253" s="398" t="e">
        <f>IF(DB253=0,0,IF(LEN(CQ253)=11,_xlfn.XLOOKUP(CQ253,'Dispensed Ink Rates'!C:C,'Dispensed Ink Rates'!CS:CS),VLOOKUP(CQ253,'Jan-2026 rates'!$E:$F,2,0)))</f>
        <v>#N/A</v>
      </c>
      <c r="DD253" s="409"/>
      <c r="DE253" s="398">
        <f>IF(DD253=0,0,IF(LEN(CR253)=11,_xlfn.XLOOKUP(CR253,'Dispensed Ink Rates'!C:C,'Dispensed Ink Rates'!CS:CS),VLOOKUP(CR253,'Jan-2026 rates'!$E:$F,2,0)))</f>
        <v>0</v>
      </c>
      <c r="DF253" s="409"/>
      <c r="DG253" s="398">
        <f>IF(DF253=0,0,IF(LEN(CS253)=11,_xlfn.XLOOKUP(CS253,'Dispensed Ink Rates'!C:C,'Dispensed Ink Rates'!CS:CS),VLOOKUP(CS253,'Jan-2026 rates'!$E:$F,2,0)))</f>
        <v>0</v>
      </c>
      <c r="DH253" s="409"/>
      <c r="DI253" s="398">
        <f>IF(DH253=0,0,IF(LEN(CT253)=11,_xlfn.XLOOKUP(CT253,'Dispensed Ink Rates'!C:C,'Dispensed Ink Rates'!CS:CS),VLOOKUP(CT253,'Jan-2026 rates'!$E:$F,2,0)))</f>
        <v>0</v>
      </c>
      <c r="DJ253" s="409"/>
      <c r="DK253" s="398">
        <f>IF(DJ253=0,0,IF(LEN(CU253)=11,_xlfn.XLOOKUP(CU253,'Dispensed Ink Rates'!C:C,'Dispensed Ink Rates'!CS:CS),VLOOKUP(CU253,'Jan-2026 rates'!$E:$F,2,0)))</f>
        <v>0</v>
      </c>
      <c r="DL253" s="409" t="s">
        <v>1443</v>
      </c>
      <c r="DM253" s="409">
        <v>20</v>
      </c>
      <c r="DN253" s="411">
        <f t="shared" si="165"/>
        <v>0</v>
      </c>
      <c r="DO253" s="411">
        <f t="shared" si="166"/>
        <v>112.70270270270271</v>
      </c>
      <c r="DP253" s="410">
        <f t="shared" si="167"/>
        <v>0</v>
      </c>
      <c r="DQ253" s="405" t="s">
        <v>855</v>
      </c>
      <c r="DR253" s="409" t="s">
        <v>4102</v>
      </c>
      <c r="DS253" s="420" t="str">
        <f t="shared" si="186"/>
        <v>FLINTSL - CYAN</v>
      </c>
      <c r="DT253" s="409">
        <v>28</v>
      </c>
      <c r="DU253" s="411">
        <f>IF(DT253=0,0,IF($LB253=70%,VLOOKUP($DS253,'Jan-2026 rates'!$L:$R,4,0),IF($LB253=65%,VLOOKUP($DS253,'Jan-2026 rates'!$L:$R,4,0),IF($LB253=40%,VLOOKUP($DS253,'Jan-2026 rates'!$L:$R,5,0),IF($LB253=30%,VLOOKUP($DS253,'Jan-2026 rates'!$L:$R,6,0),IF($LB253=100%,VLOOKUP($DS253,'Jan-2026 rates'!$L:$R,7,0),IF($LB253=60%,VLOOKUP($DS253,'Jan-2026 rates'!$L:$S,8,0),IF($LB253=80%,VLOOKUP($DS253,'Jan-2026 rates'!L:T,9,0),0))))))))</f>
        <v>0</v>
      </c>
      <c r="DV253" s="412"/>
      <c r="DW253" s="409"/>
      <c r="DX253" s="411">
        <f>IF(DW253=0,0,IF($LB253=70%,VLOOKUP($DS253,'Jan-2026 rates'!$L:$R,4,0),IF($LB253=65%,VLOOKUP($DS253,'Jan-2026 rates'!$L:$R,4,0),IF($LB253=40%,VLOOKUP($DS253,'Jan-2026 rates'!$L:$R,5,0),IF($LB253=30%,VLOOKUP($DS253,'Jan-2026 rates'!$L:$R,6,0),IF($LB253=100%,VLOOKUP($DS253,'Jan-2026 rates'!$L:$R,7,0),IF($LB253=60%,VLOOKUP($DS253,'Jan-2026 rates'!$L:$S,8,0),IF($LB253=80%,VLOOKUP($DS253,'Jan-2026 rates'!L:T,9,0),0))))))))</f>
        <v>0</v>
      </c>
      <c r="DY253" s="413">
        <v>26520000003</v>
      </c>
      <c r="DZ253" s="413"/>
      <c r="EA253" s="412"/>
      <c r="EB253" s="412"/>
      <c r="EC253" s="412"/>
      <c r="ED253" s="412"/>
      <c r="EE253" s="412"/>
      <c r="EF253" s="412"/>
      <c r="EG253" s="409">
        <v>15</v>
      </c>
      <c r="EH253" s="398" t="e">
        <f>IF(EG253=0,0,IF(LEN(DY253)=11,_xlfn.XLOOKUP(DY253,'Dispensed Ink Rates'!C:C,'Dispensed Ink Rates'!CS:CS),VLOOKUP(DY253,'Jan-2026 rates'!$E:$F,2,0)))</f>
        <v>#N/A</v>
      </c>
      <c r="EI253" s="409"/>
      <c r="EJ253" s="398">
        <f>IF(EI253=0,0,IF(LEN(DZ253)=11,_xlfn.XLOOKUP(DZ253,'Dispensed Ink Rates'!C:C,'Dispensed Ink Rates'!CS:CS),VLOOKUP(DZ253,'Jan-2026 rates'!$E:$F,2,0)))</f>
        <v>0</v>
      </c>
      <c r="EK253" s="409"/>
      <c r="EL253" s="398">
        <f>IF(EK253=0,0,IF(LEN(EA253)=11,_xlfn.XLOOKUP(EA253,'Dispensed Ink Rates'!C:C,'Dispensed Ink Rates'!CS:CS),VLOOKUP(EA253,'Jan-2026 rates'!$E:$F,2,0)))</f>
        <v>0</v>
      </c>
      <c r="EM253" s="409"/>
      <c r="EN253" s="398">
        <f>IF(EM253=0,0,IF(LEN(EB253)=11,_xlfn.XLOOKUP(EB253,'Dispensed Ink Rates'!C:C,'Dispensed Ink Rates'!CS:CS),VLOOKUP(EB253,'Jan-2026 rates'!$E:$F,2,0)))</f>
        <v>0</v>
      </c>
      <c r="EO253" s="409"/>
      <c r="EP253" s="398">
        <f>IF(EO253=0,0,IF(LEN(EC253)=11,_xlfn.XLOOKUP(EC253,'Dispensed Ink Rates'!C:C,'Dispensed Ink Rates'!CS:CS),VLOOKUP(EC253,'Jan-2026 rates'!$E:$F,2,0)))</f>
        <v>0</v>
      </c>
      <c r="EQ253" s="409"/>
      <c r="ER253" s="398">
        <f>IF(EQ253=0,0,IF(LEN(ED253)=11,_xlfn.XLOOKUP(ED253,'Dispensed Ink Rates'!C:C,'Dispensed Ink Rates'!CS:CS),VLOOKUP(ED253,'Jan-2026 rates'!$E:$F,2,0)))</f>
        <v>0</v>
      </c>
      <c r="ES253" s="409"/>
      <c r="ET253" s="398">
        <f>IF(ES253=0,0,IF(LEN(EE253)=11,_xlfn.XLOOKUP(EE253,'Dispensed Ink Rates'!C:C,'Dispensed Ink Rates'!CS:CS),VLOOKUP(EE253,'Jan-2026 rates'!$E:$F,2,0)))</f>
        <v>0</v>
      </c>
      <c r="EU253" s="409"/>
      <c r="EV253" s="398">
        <f>IF(EU253=0,0,IF(LEN(EF253)=11,_xlfn.XLOOKUP(EF253,'Dispensed Ink Rates'!C:C,'Dispensed Ink Rates'!CS:CS),VLOOKUP(EF253,'Jan-2026 rates'!$E:$F,2,0)))</f>
        <v>0</v>
      </c>
      <c r="EW253" s="409" t="s">
        <v>1443</v>
      </c>
      <c r="EX253" s="409">
        <v>25</v>
      </c>
      <c r="EY253" s="411">
        <f t="shared" si="168"/>
        <v>0</v>
      </c>
      <c r="EZ253" s="411">
        <f t="shared" si="169"/>
        <v>23.081081081081081</v>
      </c>
      <c r="FA253" s="410">
        <f t="shared" si="170"/>
        <v>0</v>
      </c>
      <c r="FB253" s="405" t="s">
        <v>544</v>
      </c>
      <c r="FC253" s="409" t="s">
        <v>4103</v>
      </c>
      <c r="FD253" s="420" t="str">
        <f t="shared" si="187"/>
        <v>FLINTSL - MAGENTA</v>
      </c>
      <c r="FE253" s="409">
        <v>28</v>
      </c>
      <c r="FF253" s="411">
        <f>IF(FE253=0,0,IF($LB253=70%,VLOOKUP($FD253,'Jan-2026 rates'!$L:$R,4,0),IF($LB253=65%,VLOOKUP($FD253,'Jan-2026 rates'!$L:$R,4,0),IF($LB253=40%,VLOOKUP($FD253,'Jan-2026 rates'!$L:$R,5,0),IF($LB253=30%,VLOOKUP($FD253,'Jan-2026 rates'!$L:$R,6,0),IF($LB253=100%,VLOOKUP($FD253,'Jan-2026 rates'!$L:$R,7,0),IF($LB253=60%,VLOOKUP($FD253,'Jan-2026 rates'!$L:$S,8,0),IF($LB253=80%,VLOOKUP($FD253,'Jan-2026 rates'!L:T,9,0),0))))))))</f>
        <v>0</v>
      </c>
      <c r="FG253" s="412"/>
      <c r="FH253" s="409"/>
      <c r="FI253" s="411">
        <f>IF(FH253=0,0,IF($LB253=70%,VLOOKUP($FD253,'Jan-2026 rates'!$L:$R,4,0),IF($LB253=65%,VLOOKUP($FD253,'Jan-2026 rates'!$L:$R,4,0),IF($LB253=40%,VLOOKUP($FD253,'Jan-2026 rates'!$L:$R,5,0),IF($LB253=30%,VLOOKUP($FD253,'Jan-2026 rates'!$L:$R,6,0),IF($LB253=100%,VLOOKUP($FD253,'Jan-2026 rates'!$L:$R,7,0),IF($LB253=60%,VLOOKUP($FD253,'Jan-2026 rates'!$L:$S,8,0),IF($LB253=80%,VLOOKUP($FD253,'Jan-2026 rates'!L:T,9,0),0))))))))</f>
        <v>0</v>
      </c>
      <c r="FJ253" s="413"/>
      <c r="FK253" s="413"/>
      <c r="FL253" s="413"/>
      <c r="FM253" s="412"/>
      <c r="FN253" s="412"/>
      <c r="FO253" s="412"/>
      <c r="FP253" s="412"/>
      <c r="FQ253" s="412"/>
      <c r="FR253" s="409"/>
      <c r="FS253" s="398">
        <f>IF(FR253=0,0,IF(LEN(FJ253)=11,_xlfn.XLOOKUP(FJ253,'Dispensed Ink Rates'!C:C,'Dispensed Ink Rates'!CS:CS),VLOOKUP(FJ253,'Jan-2026 rates'!$E:$F,2,0)))</f>
        <v>0</v>
      </c>
      <c r="FT253" s="409"/>
      <c r="FU253" s="398">
        <f>IF(FT253=0,0,IF(LEN(FK253)=11,_xlfn.XLOOKUP(FK253,'Dispensed Ink Rates'!C:C,'Dispensed Ink Rates'!CS:CS),VLOOKUP(FK253,'Jan-2026 rates'!$E:$F,2,0)))</f>
        <v>0</v>
      </c>
      <c r="FV253" s="409"/>
      <c r="FW253" s="398">
        <f>IF(FV253=0,0,IF(LEN(FL253)=11,_xlfn.XLOOKUP(FL253,'Dispensed Ink Rates'!C:C,'Dispensed Ink Rates'!CS:CS),VLOOKUP(FL253,'Jan-2026 rates'!$E:$F,2,0)))</f>
        <v>0</v>
      </c>
      <c r="FX253" s="409"/>
      <c r="FY253" s="398">
        <f>IF(FX253=0,0,IF(LEN(FM253)=11,_xlfn.XLOOKUP(FM253,'Dispensed Ink Rates'!C:C,'Dispensed Ink Rates'!CS:CS),VLOOKUP(FM253,'Jan-2026 rates'!$E:$F,2,0)))</f>
        <v>0</v>
      </c>
      <c r="FZ253" s="409"/>
      <c r="GA253" s="398">
        <f>IF(FZ253=0,0,IF(LEN(FN253)=11,_xlfn.XLOOKUP(FN253,'Dispensed Ink Rates'!C:C,'Dispensed Ink Rates'!CS:CS),VLOOKUP(FN253,'Jan-2026 rates'!$E:$F,2,0)))</f>
        <v>0</v>
      </c>
      <c r="GB253" s="409"/>
      <c r="GC253" s="398">
        <f>IF(GB253=0,0,IF(LEN(FO253)=11,_xlfn.XLOOKUP(FO253,'Dispensed Ink Rates'!C:C,'Dispensed Ink Rates'!CS:CS),VLOOKUP(FO253,'Jan-2026 rates'!$E:$F,2,0)))</f>
        <v>0</v>
      </c>
      <c r="GD253" s="409"/>
      <c r="GE253" s="398">
        <f>IF(GD253=0,0,IF(LEN(FP253)=11,_xlfn.XLOOKUP(FP253,'Dispensed Ink Rates'!C:C,'Dispensed Ink Rates'!CS:CS),VLOOKUP(FP253,'Jan-2026 rates'!$E:$F,2,0)))</f>
        <v>0</v>
      </c>
      <c r="GF253" s="409"/>
      <c r="GG253" s="398">
        <f>IF(GF253=0,0,IF(LEN(FQ253)=11,_xlfn.XLOOKUP(FQ253,'Dispensed Ink Rates'!C:C,'Dispensed Ink Rates'!CS:CS),VLOOKUP(FQ253,'Jan-2026 rates'!$E:$F,2,0)))</f>
        <v>0</v>
      </c>
      <c r="GH253" s="409" t="s">
        <v>1443</v>
      </c>
      <c r="GI253" s="409">
        <v>25</v>
      </c>
      <c r="GJ253" s="411">
        <f t="shared" si="171"/>
        <v>0</v>
      </c>
      <c r="GK253" s="411">
        <f t="shared" si="172"/>
        <v>8.0810810810810807</v>
      </c>
      <c r="GL253" s="410">
        <f t="shared" si="173"/>
        <v>0</v>
      </c>
      <c r="GM253" s="405" t="s">
        <v>545</v>
      </c>
      <c r="GN253" s="409" t="s">
        <v>4104</v>
      </c>
      <c r="GO253" s="420" t="str">
        <f t="shared" si="188"/>
        <v>FLINTSL - YELLOW</v>
      </c>
      <c r="GP253" s="409">
        <v>28</v>
      </c>
      <c r="GQ253" s="411">
        <f>IF(GP253=0,0,IF($LB253=70%,VLOOKUP($GO253,'Jan-2026 rates'!$L:$R,4,0),IF($LB253=65%,VLOOKUP($GO253,'Jan-2026 rates'!$L:$R,4,0),IF($LB253=40%,VLOOKUP($GO253,'Jan-2026 rates'!$L:$R,5,0),IF($LB253=30%,VLOOKUP($GO253,'Jan-2026 rates'!$L:$R,6,0),IF($LB253=100%,VLOOKUP($GO253,'Jan-2026 rates'!$L:$R,7,0),IF($LB253=60%,VLOOKUP($GO253,'Jan-2026 rates'!$L:$S,8,0),IF($LB253=80%,VLOOKUP($GO253,'Jan-2026 rates'!L:T,9,0),0))))))))</f>
        <v>0</v>
      </c>
      <c r="GR253" s="412"/>
      <c r="GS253" s="409"/>
      <c r="GT253" s="411">
        <f>IF(GS253=0,0,IF($LB253=70%,VLOOKUP($GO253,'Jan-2026 rates'!$L:$R,4,0),IF($LB253=65%,VLOOKUP($GO253,'Jan-2026 rates'!$L:$R,4,0),IF($LB253=40%,VLOOKUP($GO253,'Jan-2026 rates'!$L:$R,5,0),IF($LB253=30%,VLOOKUP($GO253,'Jan-2026 rates'!$L:$R,6,0),IF($LB253=100%,VLOOKUP($GO253,'Jan-2026 rates'!$L:$R,7,0),IF($LB253=60%,VLOOKUP($GO253,'Jan-2026 rates'!$L:$S,8,0),IF($LB253=80%,VLOOKUP($GO253,'Jan-2026 rates'!L:T,9,0),0))))))))</f>
        <v>0</v>
      </c>
      <c r="GU253" s="413">
        <v>26519000024</v>
      </c>
      <c r="GV253" s="413"/>
      <c r="GW253" s="412"/>
      <c r="GX253" s="412"/>
      <c r="GY253" s="412"/>
      <c r="GZ253" s="412"/>
      <c r="HA253" s="412"/>
      <c r="HB253" s="412"/>
      <c r="HC253" s="409">
        <v>7</v>
      </c>
      <c r="HD253" s="398" t="e">
        <f>IF(HC253=0,0,IF(LEN(GU253)=11,_xlfn.XLOOKUP(GU253,'Dispensed Ink Rates'!C:C,'Dispensed Ink Rates'!CS:CS),VLOOKUP(GU253,'Jan-2026 rates'!$E:$F,2,0)))</f>
        <v>#N/A</v>
      </c>
      <c r="HE253" s="409"/>
      <c r="HF253" s="398">
        <f>IF(HE253=0,0,IF(LEN(GV253)=11,_xlfn.XLOOKUP(GV253,'Dispensed Ink Rates'!C:C,'Dispensed Ink Rates'!CS:CS),VLOOKUP(GV253,'Jan-2026 rates'!$E:$F,2,0)))</f>
        <v>0</v>
      </c>
      <c r="HG253" s="409"/>
      <c r="HH253" s="398">
        <f>IF(HG253=0,0,IF(LEN(GW253)=11,_xlfn.XLOOKUP(GW253,'Dispensed Ink Rates'!C:C,'Dispensed Ink Rates'!CS:CS),VLOOKUP(GW253,'Jan-2026 rates'!$E:$F,2,0)))</f>
        <v>0</v>
      </c>
      <c r="HI253" s="409"/>
      <c r="HJ253" s="398">
        <f>IF(HI253=0,0,IF(LEN(GX253)=11,_xlfn.XLOOKUP(GX253,'Dispensed Ink Rates'!C:C,'Dispensed Ink Rates'!CS:CS),VLOOKUP(GX253,'Jan-2026 rates'!$E:$F,2,0)))</f>
        <v>0</v>
      </c>
      <c r="HK253" s="409"/>
      <c r="HL253" s="398">
        <f>IF(HK253=0,0,IF(LEN(GY253)=11,_xlfn.XLOOKUP(GY253,'Dispensed Ink Rates'!C:C,'Dispensed Ink Rates'!CS:CS),VLOOKUP(GY253,'Jan-2026 rates'!$E:$F,2,0)))</f>
        <v>0</v>
      </c>
      <c r="HM253" s="409"/>
      <c r="HN253" s="398">
        <f>IF(HM253=0,0,IF(LEN(GZ253)=11,_xlfn.XLOOKUP(GZ253,'Dispensed Ink Rates'!C:C,'Dispensed Ink Rates'!CS:CS),VLOOKUP(GZ253,'Jan-2026 rates'!$E:$F,2,0)))</f>
        <v>0</v>
      </c>
      <c r="HO253" s="409"/>
      <c r="HP253" s="398">
        <f>IF(HO253=0,0,IF(LEN(HA253)=11,_xlfn.XLOOKUP(HA253,'Dispensed Ink Rates'!C:C,'Dispensed Ink Rates'!CS:CS),VLOOKUP(HA253,'Jan-2026 rates'!$E:$F,2,0)))</f>
        <v>0</v>
      </c>
      <c r="HQ253" s="409"/>
      <c r="HR253" s="398">
        <f>IF(HQ253=0,0,IF(LEN(HB253)=11,_xlfn.XLOOKUP(HB253,'Dispensed Ink Rates'!C:C,'Dispensed Ink Rates'!CS:CS),VLOOKUP(HB253,'Jan-2026 rates'!$E:$F,2,0)))</f>
        <v>0</v>
      </c>
      <c r="HS253" s="409" t="s">
        <v>1443</v>
      </c>
      <c r="HT253" s="409">
        <v>30</v>
      </c>
      <c r="HU253" s="411">
        <f t="shared" si="174"/>
        <v>0</v>
      </c>
      <c r="HV253" s="411">
        <f t="shared" si="175"/>
        <v>12.621621621621621</v>
      </c>
      <c r="HW253" s="414">
        <f t="shared" si="176"/>
        <v>0</v>
      </c>
      <c r="HX253" s="405" t="s">
        <v>856</v>
      </c>
      <c r="HY253" s="409" t="s">
        <v>4105</v>
      </c>
      <c r="HZ253" s="420" t="str">
        <f t="shared" si="189"/>
        <v>FLINTSL - WHITE</v>
      </c>
      <c r="IA253" s="409">
        <v>30</v>
      </c>
      <c r="IB253" s="411">
        <f>IF(IA253=0,0,IF($LB253=70%,VLOOKUP($HZ253,'Jan-2026 rates'!$L:$R,4,0),IF($LB253=65%,VLOOKUP($HZ253,'Jan-2026 rates'!$L:$R,4,0),IF($LB253=40%,VLOOKUP($HZ253,'Jan-2026 rates'!$L:$R,5,0),IF($LB253=30%,VLOOKUP($HZ253,'Jan-2026 rates'!$L:$R,6,0),IF($LB253=100%,VLOOKUP($HZ253,'Jan-2026 rates'!$L:$R,7,0),IF($LB253=60%,VLOOKUP($HZ253,'Jan-2026 rates'!$L:$S,8,0),IF($LB253=80%,VLOOKUP($HZ253,'Jan-2026 rates'!L:T,9,0),0))))))))</f>
        <v>0</v>
      </c>
      <c r="IC253" s="412"/>
      <c r="ID253" s="409"/>
      <c r="IE253" s="411">
        <f>IF(ID253=0,0,IF($LB253=70%,VLOOKUP($HZ253,'Jan-2026 rates'!$L:$R,4,0),IF($LB253=65%,VLOOKUP($HZ253,'Jan-2026 rates'!$L:$R,4,0),IF($LB253=40%,VLOOKUP($HZ253,'Jan-2026 rates'!$L:$R,5,0),IF($LB253=30%,VLOOKUP($HZ253,'Jan-2026 rates'!$L:$R,6,0),IF($LB253=100%,VLOOKUP($HZ253,'Jan-2026 rates'!$L:$R,7,0),IF($LB253=60%,VLOOKUP($HZ253,'Jan-2026 rates'!$L:$S,8,0),IF($LB253=80%,VLOOKUP($HZ253,'Jan-2026 rates'!L:T,9,0),0))))))))</f>
        <v>0</v>
      </c>
      <c r="IF253" s="412" t="s">
        <v>484</v>
      </c>
      <c r="IG253" s="413"/>
      <c r="IH253" s="412"/>
      <c r="II253" s="412"/>
      <c r="IJ253" s="412"/>
      <c r="IK253" s="412"/>
      <c r="IL253" s="412"/>
      <c r="IM253" s="412"/>
      <c r="IN253" s="409">
        <v>90</v>
      </c>
      <c r="IO253" s="398">
        <f>IF(IN253=0,0,IF(LEN(IF253)=11,_xlfn.XLOOKUP(IF253,'Dispensed Ink Rates'!C:C,'Dispensed Ink Rates'!CS:CS),VLOOKUP(IF253,'Jan-2026 rates'!$E:$F,2,0)))</f>
        <v>0</v>
      </c>
      <c r="IP253" s="409"/>
      <c r="IQ253" s="398">
        <f>IF(IP253=0,0,IF(LEN(IG253)=11,_xlfn.XLOOKUP(IG253,'Dispensed Ink Rates'!C:C,'Dispensed Ink Rates'!CS:CS),VLOOKUP(IG253,'Jan-2026 rates'!$E:$F,2,0)))</f>
        <v>0</v>
      </c>
      <c r="IR253" s="409"/>
      <c r="IS253" s="398">
        <f>IF(IR253=0,0,IF(LEN(IH253)=11,_xlfn.XLOOKUP(IH253,'Dispensed Ink Rates'!C:C,'Dispensed Ink Rates'!CS:CS),VLOOKUP(IH253,'Jan-2026 rates'!$E:$F,2,0)))</f>
        <v>0</v>
      </c>
      <c r="IT253" s="409"/>
      <c r="IU253" s="398">
        <f>IF(IT253=0,0,IF(LEN(II253)=11,_xlfn.XLOOKUP(II253,'Dispensed Ink Rates'!C:C,'Dispensed Ink Rates'!CS:CS),VLOOKUP(II253,'Jan-2026 rates'!$E:$F,2,0)))</f>
        <v>0</v>
      </c>
      <c r="IV253" s="409"/>
      <c r="IW253" s="398">
        <f>IF(IV253=0,0,IF(LEN(IJ253)=11,_xlfn.XLOOKUP(IJ253,'Dispensed Ink Rates'!C:C,'Dispensed Ink Rates'!CS:CS),VLOOKUP(IJ253,'Jan-2026 rates'!$E:$F,2,0)))</f>
        <v>0</v>
      </c>
      <c r="IX253" s="409"/>
      <c r="IY253" s="398">
        <f>IF(IX253=0,0,IF(LEN(IK253)=11,_xlfn.XLOOKUP(IK253,'Dispensed Ink Rates'!C:C,'Dispensed Ink Rates'!CS:CS),VLOOKUP(IK253,'Jan-2026 rates'!$E:$F,2,0)))</f>
        <v>0</v>
      </c>
      <c r="IZ253" s="409"/>
      <c r="JA253" s="398">
        <f>IF(IZ253=0,0,IF(LEN(IL253)=11,_xlfn.XLOOKUP(IL253,'Dispensed Ink Rates'!C:C,'Dispensed Ink Rates'!CS:CS),VLOOKUP(IL253,'Jan-2026 rates'!$E:$F,2,0)))</f>
        <v>0</v>
      </c>
      <c r="JB253" s="409"/>
      <c r="JC253" s="398">
        <f>IF(JB253=0,0,IF(LEN(IM253)=11,_xlfn.XLOOKUP(IM253,'Dispensed Ink Rates'!C:C,'Dispensed Ink Rates'!CS:CS),VLOOKUP(IM253,'Jan-2026 rates'!$E:$F,2,0)))</f>
        <v>0</v>
      </c>
      <c r="JD253" s="409" t="s">
        <v>1443</v>
      </c>
      <c r="JE253" s="409">
        <v>20</v>
      </c>
      <c r="JF253" s="411">
        <f t="shared" si="177"/>
        <v>0</v>
      </c>
      <c r="JG253" s="411">
        <f t="shared" si="178"/>
        <v>214.32432432432432</v>
      </c>
      <c r="JH253" s="410">
        <f t="shared" si="179"/>
        <v>0</v>
      </c>
      <c r="JI253" s="405"/>
      <c r="JJ253" s="409"/>
      <c r="JK253" s="420" t="str">
        <f t="shared" si="190"/>
        <v xml:space="preserve"> - </v>
      </c>
      <c r="JL253" s="409"/>
      <c r="JM253" s="411">
        <f>IF(JL253=0,0,IF($LB253=70%,VLOOKUP($JK253,'Jan-2026 rates'!$L:$R,4,0),IF($LB253=65%,VLOOKUP($JK253,'Jan-2026 rates'!$L:$R,4,0),IF($LB253=40%,VLOOKUP($JK253,'Jan-2026 rates'!$L:$R,5,0),IF($LB253=30%,VLOOKUP($JK253,'Jan-2026 rates'!$L:$R,6,0),IF($LB253=100%,VLOOKUP($JK253,'Jan-2026 rates'!$L:$R,7,0),IF($LB253=60%,VLOOKUP($JK253,'Jan-2026 rates'!$L:$S,8,0),IF($LB253=80%,VLOOKUP($JK253,'Jan-2026 rates'!L:T,9,0),0))))))))</f>
        <v>0</v>
      </c>
      <c r="JN253" s="412"/>
      <c r="JO253" s="409"/>
      <c r="JP253" s="411">
        <f>IF(JO253=0,0,IF($LB253=70%,VLOOKUP($JK253,'Jan-2026 rates'!$L:$R,4,0),IF($LB253=65%,VLOOKUP($JK253,'Jan-2026 rates'!$L:$R,4,0),IF($LB253=40%,VLOOKUP($JK253,'Jan-2026 rates'!$L:$R,5,0),IF($LB253=30%,VLOOKUP($JK253,'Jan-2026 rates'!$L:$R,6,0),IF($LB253=100%,VLOOKUP($JK253,'Jan-2026 rates'!$L:$R,7,0),IF($LB253=60%,VLOOKUP($JK253,'Jan-2026 rates'!$L:$S,8,0),IF($LB253=80%,VLOOKUP($JK253,'Jan-2026 rates'!L:T,9,0),0))))))))</f>
        <v>0</v>
      </c>
      <c r="JQ253" s="413"/>
      <c r="JR253" s="412"/>
      <c r="JS253" s="413"/>
      <c r="JT253" s="413"/>
      <c r="JU253" s="412"/>
      <c r="JV253" s="412"/>
      <c r="JW253" s="412"/>
      <c r="JX253" s="412"/>
      <c r="JY253" s="409"/>
      <c r="JZ253" s="398">
        <f>IF(JY253=0,0,IF(LEN(JQ253)=11,_xlfn.XLOOKUP(JQ253,'Dispensed Ink Rates'!C:C,'Dispensed Ink Rates'!CS:CS),VLOOKUP(JQ253,'Jan-2026 rates'!$E:$F,2,0)))</f>
        <v>0</v>
      </c>
      <c r="KA253" s="409"/>
      <c r="KB253" s="398">
        <f>IF(KA253=0,0,IF(LEN(JR253)=11,_xlfn.XLOOKUP(JR253,'Dispensed Ink Rates'!C:C,'Dispensed Ink Rates'!CS:CS),VLOOKUP(JR253,'Jan-2026 rates'!$E:$F,2,0)))</f>
        <v>0</v>
      </c>
      <c r="KC253" s="409"/>
      <c r="KD253" s="398">
        <f>IF(KC253=0,0,IF(LEN(JS253)=11,_xlfn.XLOOKUP(JS253,'Dispensed Ink Rates'!C:C,'Dispensed Ink Rates'!CS:CS),VLOOKUP(JS253,'Jan-2026 rates'!$E:$F,2,0)))</f>
        <v>0</v>
      </c>
      <c r="KE253" s="409"/>
      <c r="KF253" s="398">
        <f>IF(KE253=0,0,IF(LEN(JT253)=11,_xlfn.XLOOKUP(JT253,'Dispensed Ink Rates'!C:C,'Dispensed Ink Rates'!CS:CS),VLOOKUP(JT253,'Jan-2026 rates'!$E:$F,2,0)))</f>
        <v>0</v>
      </c>
      <c r="KG253" s="409"/>
      <c r="KH253" s="398">
        <f>IF(KG253=0,0,IF(LEN(JU253)=11,_xlfn.XLOOKUP(JU253,'Dispensed Ink Rates'!C:C,'Dispensed Ink Rates'!CS:CS),VLOOKUP(JU253,'Jan-2026 rates'!$E:$F,2,0)))</f>
        <v>0</v>
      </c>
      <c r="KI253" s="409"/>
      <c r="KJ253" s="398">
        <f>IF(KI253=0,0,IF(LEN(JV253)=11,_xlfn.XLOOKUP(JV253,'Dispensed Ink Rates'!C:C,'Dispensed Ink Rates'!CS:CS),VLOOKUP(JV253,'Jan-2026 rates'!$E:$F,2,0)))</f>
        <v>0</v>
      </c>
      <c r="KK253" s="409"/>
      <c r="KL253" s="398">
        <f>IF(KK253=0,0,IF(LEN(JW253)=11,_xlfn.XLOOKUP(JW253,'Dispensed Ink Rates'!C:C,'Dispensed Ink Rates'!CS:CS),VLOOKUP(JW253,'Jan-2026 rates'!$E:$F,2,0)))</f>
        <v>0</v>
      </c>
      <c r="KM253" s="428"/>
      <c r="KN253" s="398">
        <f>IF(KM253=0,0,IF(LEN(JX253)=11,_xlfn.XLOOKUP(JX253,'Dispensed Ink Rates'!C:C,'Dispensed Ink Rates'!CS:CS),VLOOKUP(JX253,'Jan-2026 rates'!$E:$F,2,0)))</f>
        <v>0</v>
      </c>
      <c r="KO253" s="409"/>
      <c r="KP253" s="409"/>
      <c r="KQ253" s="411">
        <f t="shared" si="180"/>
        <v>0</v>
      </c>
      <c r="KR253" s="411">
        <f t="shared" si="181"/>
        <v>0</v>
      </c>
      <c r="KS253" s="410">
        <f t="shared" si="182"/>
        <v>0</v>
      </c>
      <c r="KT253" s="409">
        <v>10</v>
      </c>
      <c r="KU253" s="409">
        <v>7</v>
      </c>
      <c r="KV253" s="409">
        <v>5</v>
      </c>
      <c r="KW253" s="409">
        <v>2</v>
      </c>
      <c r="KX253" s="409">
        <v>2</v>
      </c>
      <c r="KY253" s="409">
        <v>3</v>
      </c>
      <c r="KZ253" s="409">
        <v>45</v>
      </c>
      <c r="LA253" s="409">
        <v>0</v>
      </c>
      <c r="LB253" s="415">
        <v>0.8</v>
      </c>
      <c r="LC253" s="415">
        <v>0.2</v>
      </c>
      <c r="LD253" s="415"/>
      <c r="LE253" s="415"/>
      <c r="LF253" s="415"/>
      <c r="LG253" s="409">
        <v>0</v>
      </c>
      <c r="LH253" s="409">
        <f>50+40+72+18+5+3</f>
        <v>188</v>
      </c>
      <c r="LI253" s="409">
        <v>0</v>
      </c>
      <c r="LJ253" s="409">
        <v>0</v>
      </c>
      <c r="LK253" s="416">
        <f t="shared" si="191"/>
        <v>188</v>
      </c>
      <c r="LL253" s="416">
        <f t="shared" si="192"/>
        <v>188</v>
      </c>
      <c r="LM253" s="417">
        <f t="shared" si="193"/>
        <v>150.4</v>
      </c>
      <c r="LN253" s="417">
        <f>VLOOKUP($LM$8,'Jan-2026 rates'!$H:$I,2,0)</f>
        <v>0</v>
      </c>
      <c r="LO253" s="417">
        <f t="shared" si="194"/>
        <v>37.6</v>
      </c>
      <c r="LP253" s="417">
        <f>VLOOKUP($LO$8,'Jan-2026 rates'!$H:$I,2,0)</f>
        <v>0</v>
      </c>
      <c r="LQ253" s="417">
        <f t="shared" si="195"/>
        <v>0</v>
      </c>
      <c r="LR253" s="417">
        <f>VLOOKUP($LQ$8,'Jan-2026 rates'!$H:$I,2,0)</f>
        <v>0</v>
      </c>
      <c r="LS253" s="417">
        <f t="shared" si="196"/>
        <v>0</v>
      </c>
      <c r="LT253" s="417">
        <f>VLOOKUP($LS$8,'Jan-2026 rates'!$H:$I,2,0)</f>
        <v>0</v>
      </c>
      <c r="LU253" s="417">
        <f t="shared" si="197"/>
        <v>0</v>
      </c>
      <c r="LV253" s="417">
        <f>VLOOKUP($LU$8,'Jan-2026 rates'!$H:$I,2,0)</f>
        <v>0</v>
      </c>
      <c r="LW253" s="417">
        <f t="shared" si="198"/>
        <v>0</v>
      </c>
      <c r="LX253" s="417">
        <f t="shared" si="199"/>
        <v>0</v>
      </c>
      <c r="LY253" s="418">
        <f t="shared" si="200"/>
        <v>0</v>
      </c>
      <c r="LZ253" s="417"/>
      <c r="MA253" s="435">
        <f t="shared" si="201"/>
        <v>253</v>
      </c>
      <c r="MB253" s="282">
        <f t="shared" si="202"/>
        <v>417</v>
      </c>
      <c r="MC253" s="283">
        <v>146</v>
      </c>
      <c r="MD253" s="284" t="str">
        <f t="shared" si="203"/>
        <v>FLINTSLFLINTSLFLINTSLFLINTSLFLINTSLFLINTSLFLINTSL</v>
      </c>
      <c r="ME253" s="293" t="str">
        <f t="shared" si="204"/>
        <v>+</v>
      </c>
      <c r="MF253" s="293" t="str">
        <f t="shared" si="205"/>
        <v>+</v>
      </c>
      <c r="MG253" s="293" t="str">
        <f t="shared" si="206"/>
        <v>+</v>
      </c>
      <c r="MH253" s="293" t="str">
        <f t="shared" si="207"/>
        <v>+</v>
      </c>
      <c r="MI253" s="293" t="str">
        <f t="shared" si="208"/>
        <v>+</v>
      </c>
      <c r="MJ253" s="293" t="str">
        <f t="shared" si="209"/>
        <v>+</v>
      </c>
      <c r="MK253" s="293" t="str">
        <f t="shared" si="210"/>
        <v>+</v>
      </c>
      <c r="ML253" s="293" t="str">
        <f t="shared" si="211"/>
        <v>NIL</v>
      </c>
      <c r="MM253" s="3" t="b">
        <f t="array" ref="MM253">OR(ME253:ML253="-")</f>
        <v>0</v>
      </c>
      <c r="MN253" s="285"/>
      <c r="MO253" s="401"/>
      <c r="MP253" s="286"/>
      <c r="MQ253" s="286"/>
      <c r="MR253" s="402"/>
      <c r="MS253" s="400"/>
      <c r="NH253" s="422"/>
      <c r="NJ253" s="421"/>
    </row>
    <row r="254" spans="1:374" s="1" customFormat="1" ht="16.5">
      <c r="A254" s="403">
        <v>46041</v>
      </c>
      <c r="B254" s="404" t="s">
        <v>1018</v>
      </c>
      <c r="C254" s="405" t="s">
        <v>4106</v>
      </c>
      <c r="D254" s="406">
        <v>147</v>
      </c>
      <c r="E254" s="404">
        <v>474</v>
      </c>
      <c r="F254" s="407">
        <v>22900</v>
      </c>
      <c r="G254" s="407" t="s">
        <v>1019</v>
      </c>
      <c r="H254" s="408" t="s">
        <v>1017</v>
      </c>
      <c r="I254" s="409">
        <v>1.9</v>
      </c>
      <c r="J254" s="405" t="s">
        <v>543</v>
      </c>
      <c r="K254" s="404" t="s">
        <v>4107</v>
      </c>
      <c r="L254" s="419" t="str">
        <f t="shared" si="184"/>
        <v>FLINTSL - BLACK</v>
      </c>
      <c r="M254" s="404">
        <v>29</v>
      </c>
      <c r="N254" s="410">
        <f>IF(M254=0,0,IF($LB254=70%,VLOOKUP($L254,'Jan-2026 rates'!$L:$R,4,0),IF($LB254=65%,VLOOKUP($L254,'Jan-2026 rates'!$L:$R,4,0),IF($LB254=40%,VLOOKUP($L254,'Jan-2026 rates'!$L:$R,5,0),IF($LB254=30%,VLOOKUP($L254,'Jan-2026 rates'!$L:$R,6,0),IF($LB254=100%,VLOOKUP($L254,'Jan-2026 rates'!$L:$R,7,0),IF($LB254=60%,VLOOKUP($L254,'Jan-2026 rates'!$L:$S,8,0),IF($LB254=80%,VLOOKUP($L254,'Jan-2026 rates'!L:T,9,0),0))))))))</f>
        <v>0</v>
      </c>
      <c r="O254" s="406"/>
      <c r="P254" s="404"/>
      <c r="Q254" s="410">
        <f>IF(P254=0,0,IF($LB254=70%,VLOOKUP($L254,'Jan-2026 rates'!$L:$R,4,0),IF($LB254=65%,VLOOKUP($L254,'Jan-2026 rates'!$L:$R,4,0),IF($LB254=40%,VLOOKUP($L254,'Jan-2026 rates'!$L:$R,5,0),IF($LB254=30%,VLOOKUP($L254,'Jan-2026 rates'!$L:$R,6,0),IF($LB254=100%,VLOOKUP($L254,'Jan-2026 rates'!$L:$R,7,0),IF($LB254=60%,VLOOKUP($L254,'Jan-2026 rates'!$L:$S,8,0),IF($LB254=80%,VLOOKUP($L254,'Jan-2026 rates'!L:T,9,0),0))))))))</f>
        <v>0</v>
      </c>
      <c r="R254" s="406">
        <v>26517000041</v>
      </c>
      <c r="S254" s="406"/>
      <c r="T254" s="406"/>
      <c r="U254" s="406"/>
      <c r="V254" s="406"/>
      <c r="W254" s="406"/>
      <c r="X254" s="406"/>
      <c r="Y254" s="406"/>
      <c r="Z254" s="404">
        <v>2</v>
      </c>
      <c r="AA254" s="398" t="e">
        <f>IF(Z254=0,0,IF(LEN(R254)=11,_xlfn.XLOOKUP(R254,'Dispensed Ink Rates'!C:C,'Dispensed Ink Rates'!CS:CS),VLOOKUP(R254,'Jan-2026 rates'!$E:$F,2,0)))</f>
        <v>#N/A</v>
      </c>
      <c r="AB254" s="404"/>
      <c r="AC254" s="398">
        <f>IF(AB254=0,0,IF(LEN(S254)=11,_xlfn.XLOOKUP(S254,'Dispensed Ink Rates'!C:C,'Dispensed Ink Rates'!CS:CS),VLOOKUP(S254,'Jan-2026 rates'!$E:$F,2,0)))</f>
        <v>0</v>
      </c>
      <c r="AD254" s="404"/>
      <c r="AE254" s="398">
        <f>IF(AD254=0,0,IF(LEN(T254)=11,_xlfn.XLOOKUP(T254,'Dispensed Ink Rates'!C:C,'Dispensed Ink Rates'!CS:CS),VLOOKUP(T254,'Jan-2026 rates'!$E:$F,2,0)))</f>
        <v>0</v>
      </c>
      <c r="AF254" s="404"/>
      <c r="AG254" s="398">
        <f>IF(AF254=0,0,IF(LEN(U254)=11,_xlfn.XLOOKUP(U254,'Dispensed Ink Rates'!C:C,'Dispensed Ink Rates'!CS:CS),VLOOKUP(U254,'Jan-2026 rates'!$E:$F,2,0)))</f>
        <v>0</v>
      </c>
      <c r="AH254" s="404"/>
      <c r="AI254" s="398">
        <f>IF(AH254=0,0,IF(LEN(V254)=11,_xlfn.XLOOKUP(V254,'Dispensed Ink Rates'!C:C,'Dispensed Ink Rates'!CS:CS),VLOOKUP(V254,'Jan-2026 rates'!$E:$F,2,0)))</f>
        <v>0</v>
      </c>
      <c r="AJ254" s="404"/>
      <c r="AK254" s="398">
        <f>IF(AJ254=0,0,IF(LEN(W254)=11,_xlfn.XLOOKUP(W254,'Dispensed Ink Rates'!C:C,'Dispensed Ink Rates'!CS:CS),VLOOKUP(W254,'Jan-2026 rates'!$E:$F,2,0)))</f>
        <v>0</v>
      </c>
      <c r="AL254" s="404"/>
      <c r="AM254" s="398">
        <f>IF(AL254=0,0,IF(LEN(X254)=11,_xlfn.XLOOKUP(X254,'Dispensed Ink Rates'!C:C,'Dispensed Ink Rates'!CS:CS),VLOOKUP(X254,'Jan-2026 rates'!$E:$F,2,0)))</f>
        <v>0</v>
      </c>
      <c r="AN254" s="404"/>
      <c r="AO254" s="398">
        <f>IF(AN254=0,0,IF(LEN(Y254)=11,_xlfn.XLOOKUP(Y254,'Dispensed Ink Rates'!C:C,'Dispensed Ink Rates'!CS:CS),VLOOKUP(Y254,'Jan-2026 rates'!$E:$F,2,0)))</f>
        <v>0</v>
      </c>
      <c r="AP254" s="409" t="s">
        <v>1443</v>
      </c>
      <c r="AQ254" s="409">
        <v>30</v>
      </c>
      <c r="AR254" s="410">
        <f t="shared" si="159"/>
        <v>0</v>
      </c>
      <c r="AS254" s="411">
        <f t="shared" si="160"/>
        <v>9.7368421052631575</v>
      </c>
      <c r="AT254" s="410">
        <f t="shared" si="161"/>
        <v>0</v>
      </c>
      <c r="AU254" s="405" t="s">
        <v>547</v>
      </c>
      <c r="AV254" s="409" t="s">
        <v>3377</v>
      </c>
      <c r="AW254" s="420" t="str">
        <f t="shared" si="183"/>
        <v>FLINTSL - GREEN</v>
      </c>
      <c r="AX254" s="409">
        <v>5</v>
      </c>
      <c r="AY254" s="411">
        <f>IF(AX254=0,0,IF($LB254=70%,VLOOKUP($AW254,'Jan-2026 rates'!$L:$R,4,0),IF($LB254=65%,VLOOKUP($AW254,'Jan-2026 rates'!$L:$R,4,0),IF($LB254=40%,VLOOKUP($AW254,'Jan-2026 rates'!$L:$R,5,0),IF($LB254=30%,VLOOKUP($AW254,'Jan-2026 rates'!$L:$R,6,0),IF($LB254=100%,VLOOKUP($AW254,'Jan-2026 rates'!$L:$R,7,0),IF($LB254=60%,VLOOKUP($AW254,'Jan-2026 rates'!$L:$S,8,0),IF($LB254=80%,VLOOKUP($AW254,'Jan-2026 rates'!L:T,9,0),0))))))))</f>
        <v>0</v>
      </c>
      <c r="AZ254" s="412"/>
      <c r="BA254" s="409"/>
      <c r="BB254" s="411">
        <f>IF(BA254=0,0,IF($LB254=70%,VLOOKUP($AW254,'Jan-2026 rates'!$L:$R,4,0),IF($LB254=65%,VLOOKUP($AW254,'Jan-2026 rates'!$L:$R,4,0),IF($LB254=40%,VLOOKUP($AW254,'Jan-2026 rates'!$L:$R,5,0),IF($LB254=30%,VLOOKUP($AW254,'Jan-2026 rates'!$L:$R,6,0),IF($LB254=100%,VLOOKUP($AW254,'Jan-2026 rates'!$L:$R,7,0),IF($LB254=60%,VLOOKUP($AW254,'Jan-2026 rates'!$L:$S,8,0),IF($LB254=80%,VLOOKUP($AW254,'Jan-2026 rates'!L:T,9,0),0))))))))</f>
        <v>0</v>
      </c>
      <c r="BC254" s="413">
        <v>26519000024</v>
      </c>
      <c r="BD254" s="412">
        <v>26519000015</v>
      </c>
      <c r="BE254" s="412" t="s">
        <v>1266</v>
      </c>
      <c r="BF254" s="413"/>
      <c r="BG254" s="412"/>
      <c r="BH254" s="412"/>
      <c r="BI254" s="412"/>
      <c r="BJ254" s="412"/>
      <c r="BK254" s="409">
        <f>3+2</f>
        <v>5</v>
      </c>
      <c r="BL254" s="398" t="e">
        <f>IF(BK254=0,0,IF(LEN(BC254)=11,_xlfn.XLOOKUP(BC254,'Dispensed Ink Rates'!C:C,'Dispensed Ink Rates'!CS:CS),VLOOKUP(BC254,'Jan-2026 rates'!$E:$F,2,0)))</f>
        <v>#N/A</v>
      </c>
      <c r="BM254" s="409">
        <f>6+3</f>
        <v>9</v>
      </c>
      <c r="BN254" s="398" t="e">
        <f>IF(BM254=0,0,IF(LEN(BD254)=11,_xlfn.XLOOKUP(BD254,'Dispensed Ink Rates'!C:C,'Dispensed Ink Rates'!CS:CS),VLOOKUP(BD254,'Jan-2026 rates'!$E:$F,2,0)))</f>
        <v>#N/A</v>
      </c>
      <c r="BO254" s="409">
        <v>3</v>
      </c>
      <c r="BP254" s="398">
        <f>IF(BO254=0,0,IF(LEN(BE254)=11,_xlfn.XLOOKUP(BE254,'Dispensed Ink Rates'!C:C,'Dispensed Ink Rates'!CS:CS),VLOOKUP(BE254,'Jan-2026 rates'!$E:$F,2,0)))</f>
        <v>0</v>
      </c>
      <c r="BQ254" s="409"/>
      <c r="BR254" s="398">
        <f>IF(BQ254=0,0,IF(LEN(BF254)=11,_xlfn.XLOOKUP(BF254,'Dispensed Ink Rates'!C:C,'Dispensed Ink Rates'!CS:CS),VLOOKUP(BF254,'Jan-2026 rates'!$E:$F,2,0)))</f>
        <v>0</v>
      </c>
      <c r="BS254" s="409"/>
      <c r="BT254" s="398">
        <f>IF(BS254=0,0,IF(LEN(BG254)=11,_xlfn.XLOOKUP(BG254,'Dispensed Ink Rates'!C:C,'Dispensed Ink Rates'!CS:CS),VLOOKUP(BG254,'Jan-2026 rates'!$E:$F,2,0)))</f>
        <v>0</v>
      </c>
      <c r="BU254" s="409"/>
      <c r="BV254" s="398">
        <f>IF(BU254=0,0,IF(LEN(BH254)=11,_xlfn.XLOOKUP(BH254,'Dispensed Ink Rates'!C:C,'Dispensed Ink Rates'!CS:CS),VLOOKUP(BH254,'Jan-2026 rates'!$E:$F,2,0)))</f>
        <v>0</v>
      </c>
      <c r="BW254" s="409"/>
      <c r="BX254" s="398">
        <f>IF(BW254=0,0,IF(LEN(BI254)=11,_xlfn.XLOOKUP(BI254,'Dispensed Ink Rates'!C:C,'Dispensed Ink Rates'!CS:CS),VLOOKUP(BI254,'Jan-2026 rates'!$E:$F,2,0)))</f>
        <v>0</v>
      </c>
      <c r="BY254" s="409"/>
      <c r="BZ254" s="398">
        <f>IF(BY254=0,0,IF(LEN(BJ254)=11,_xlfn.XLOOKUP(BJ254,'Dispensed Ink Rates'!C:C,'Dispensed Ink Rates'!CS:CS),VLOOKUP(BJ254,'Jan-2026 rates'!$E:$F,2,0)))</f>
        <v>0</v>
      </c>
      <c r="CA254" s="409" t="s">
        <v>1443</v>
      </c>
      <c r="CB254" s="409">
        <v>26</v>
      </c>
      <c r="CC254" s="411">
        <f t="shared" si="162"/>
        <v>0</v>
      </c>
      <c r="CD254" s="411">
        <f t="shared" si="163"/>
        <v>10.561403508771932</v>
      </c>
      <c r="CE254" s="410">
        <f t="shared" si="164"/>
        <v>0</v>
      </c>
      <c r="CF254" s="404" t="s">
        <v>547</v>
      </c>
      <c r="CG254" s="409" t="s">
        <v>4069</v>
      </c>
      <c r="CH254" s="420" t="str">
        <f t="shared" si="185"/>
        <v>FLINTSL - GREEN</v>
      </c>
      <c r="CI254" s="409">
        <v>10</v>
      </c>
      <c r="CJ254" s="411">
        <f>IF(CI254=0,0,IF($LB254=70%,VLOOKUP($CH254,'Jan-2026 rates'!$L:$R,4,0),IF($LB254=65%,VLOOKUP($CH254,'Jan-2026 rates'!$L:$R,4,0),IF($LB254=40%,VLOOKUP($CH254,'Jan-2026 rates'!$L:$R,5,0),IF($LB254=30%,VLOOKUP($CH254,'Jan-2026 rates'!$L:$R,6,0),IF($LB254=100%,VLOOKUP($CH254,'Jan-2026 rates'!$L:$R,7,0),IF($LB254=60%,VLOOKUP($CH254,'Jan-2026 rates'!$L:$S,8,0),IF($LB254=80%,VLOOKUP($CH254,'Jan-2026 rates'!L:T,9,0),0))))))))</f>
        <v>0</v>
      </c>
      <c r="CK254" s="412"/>
      <c r="CL254" s="409"/>
      <c r="CM254" s="411">
        <f>IF(CL254=0,0,IF($LB254=70%,VLOOKUP($CH254,'Jan-2026 rates'!$L:$R,4,0),IF($LB254=65%,VLOOKUP($CH254,'Jan-2026 rates'!$L:$R,4,0),IF($LB254=40%,VLOOKUP($CH254,'Jan-2026 rates'!$L:$R,5,0),IF($LB254=30%,VLOOKUP($CH254,'Jan-2026 rates'!$L:$R,6,0),IF($LB254=100%,VLOOKUP($CH254,'Jan-2026 rates'!$L:$R,7,0),IF($LB254=60%,VLOOKUP($CH254,'Jan-2026 rates'!$L:$S,8,0),IF($LB254=80%,VLOOKUP($CH254,'Jan-2026 rates'!L:T,9,0),0))))))))</f>
        <v>0</v>
      </c>
      <c r="CN254" s="426">
        <v>26519000024</v>
      </c>
      <c r="CO254" s="427">
        <v>26519000015</v>
      </c>
      <c r="CP254" s="426"/>
      <c r="CQ254" s="426"/>
      <c r="CR254" s="428"/>
      <c r="CS254" s="428"/>
      <c r="CT254" s="428"/>
      <c r="CU254" s="428"/>
      <c r="CV254" s="409">
        <f>5+3</f>
        <v>8</v>
      </c>
      <c r="CW254" s="398" t="e">
        <f>IF(CV254=0,0,IF(LEN(CN254)=11,_xlfn.XLOOKUP(CN254,'Dispensed Ink Rates'!C:C,'Dispensed Ink Rates'!CS:CS),VLOOKUP(CN254,'Jan-2026 rates'!$E:$F,2,0)))</f>
        <v>#N/A</v>
      </c>
      <c r="CX254" s="409">
        <v>0.5</v>
      </c>
      <c r="CY254" s="398" t="e">
        <f>IF(CX254=0,0,IF(LEN(CO254)=11,_xlfn.XLOOKUP(CO254,'Dispensed Ink Rates'!C:C,'Dispensed Ink Rates'!CS:CS),VLOOKUP(CO254,'Jan-2026 rates'!$E:$F,2,0)))</f>
        <v>#N/A</v>
      </c>
      <c r="CZ254" s="409"/>
      <c r="DA254" s="398">
        <f>IF(CZ254=0,0,IF(LEN(CP254)=11,_xlfn.XLOOKUP(CP254,'Dispensed Ink Rates'!C:C,'Dispensed Ink Rates'!CS:CS),VLOOKUP(CP254,'Jan-2026 rates'!$E:$F,2,0)))</f>
        <v>0</v>
      </c>
      <c r="DB254" s="409"/>
      <c r="DC254" s="398">
        <f>IF(DB254=0,0,IF(LEN(CQ254)=11,_xlfn.XLOOKUP(CQ254,'Dispensed Ink Rates'!C:C,'Dispensed Ink Rates'!CS:CS),VLOOKUP(CQ254,'Jan-2026 rates'!$E:$F,2,0)))</f>
        <v>0</v>
      </c>
      <c r="DD254" s="409"/>
      <c r="DE254" s="398">
        <f>IF(DD254=0,0,IF(LEN(CR254)=11,_xlfn.XLOOKUP(CR254,'Dispensed Ink Rates'!C:C,'Dispensed Ink Rates'!CS:CS),VLOOKUP(CR254,'Jan-2026 rates'!$E:$F,2,0)))</f>
        <v>0</v>
      </c>
      <c r="DF254" s="409"/>
      <c r="DG254" s="398">
        <f>IF(DF254=0,0,IF(LEN(CS254)=11,_xlfn.XLOOKUP(CS254,'Dispensed Ink Rates'!C:C,'Dispensed Ink Rates'!CS:CS),VLOOKUP(CS254,'Jan-2026 rates'!$E:$F,2,0)))</f>
        <v>0</v>
      </c>
      <c r="DH254" s="409"/>
      <c r="DI254" s="398">
        <f>IF(DH254=0,0,IF(LEN(CT254)=11,_xlfn.XLOOKUP(CT254,'Dispensed Ink Rates'!C:C,'Dispensed Ink Rates'!CS:CS),VLOOKUP(CT254,'Jan-2026 rates'!$E:$F,2,0)))</f>
        <v>0</v>
      </c>
      <c r="DJ254" s="409"/>
      <c r="DK254" s="398">
        <f>IF(DJ254=0,0,IF(LEN(CU254)=11,_xlfn.XLOOKUP(CU254,'Dispensed Ink Rates'!C:C,'Dispensed Ink Rates'!CS:CS),VLOOKUP(CU254,'Jan-2026 rates'!$E:$F,2,0)))</f>
        <v>0</v>
      </c>
      <c r="DL254" s="409" t="s">
        <v>1443</v>
      </c>
      <c r="DM254" s="409">
        <v>23</v>
      </c>
      <c r="DN254" s="411">
        <f t="shared" si="165"/>
        <v>0</v>
      </c>
      <c r="DO254" s="411">
        <f t="shared" si="166"/>
        <v>12.973684210526315</v>
      </c>
      <c r="DP254" s="410">
        <f t="shared" si="167"/>
        <v>0</v>
      </c>
      <c r="DQ254" s="405" t="s">
        <v>545</v>
      </c>
      <c r="DR254" s="409"/>
      <c r="DS254" s="420" t="str">
        <f t="shared" si="186"/>
        <v>FLINTSL - YELLOW</v>
      </c>
      <c r="DT254" s="409"/>
      <c r="DU254" s="411">
        <f>IF(DT254=0,0,IF($LB254=70%,VLOOKUP($DS254,'Jan-2026 rates'!$L:$R,4,0),IF($LB254=65%,VLOOKUP($DS254,'Jan-2026 rates'!$L:$R,4,0),IF($LB254=40%,VLOOKUP($DS254,'Jan-2026 rates'!$L:$R,5,0),IF($LB254=30%,VLOOKUP($DS254,'Jan-2026 rates'!$L:$R,6,0),IF($LB254=100%,VLOOKUP($DS254,'Jan-2026 rates'!$L:$R,7,0),IF($LB254=60%,VLOOKUP($DS254,'Jan-2026 rates'!$L:$S,8,0),IF($LB254=80%,VLOOKUP($DS254,'Jan-2026 rates'!L:T,9,0),0))))))))</f>
        <v>0</v>
      </c>
      <c r="DV254" s="412"/>
      <c r="DW254" s="409"/>
      <c r="DX254" s="411">
        <f>IF(DW254=0,0,IF($LB254=70%,VLOOKUP($DS254,'Jan-2026 rates'!$L:$R,4,0),IF($LB254=65%,VLOOKUP($DS254,'Jan-2026 rates'!$L:$R,4,0),IF($LB254=40%,VLOOKUP($DS254,'Jan-2026 rates'!$L:$R,5,0),IF($LB254=30%,VLOOKUP($DS254,'Jan-2026 rates'!$L:$R,6,0),IF($LB254=100%,VLOOKUP($DS254,'Jan-2026 rates'!$L:$R,7,0),IF($LB254=60%,VLOOKUP($DS254,'Jan-2026 rates'!$L:$S,8,0),IF($LB254=80%,VLOOKUP($DS254,'Jan-2026 rates'!L:T,9,0),0))))))))</f>
        <v>0</v>
      </c>
      <c r="DY254" s="413">
        <v>26519000038</v>
      </c>
      <c r="DZ254" s="413">
        <v>26520000001</v>
      </c>
      <c r="EA254" s="412">
        <v>26520000004</v>
      </c>
      <c r="EB254" s="412"/>
      <c r="EC254" s="412"/>
      <c r="ED254" s="412"/>
      <c r="EE254" s="412"/>
      <c r="EF254" s="412"/>
      <c r="EG254" s="409">
        <v>40</v>
      </c>
      <c r="EH254" s="398" t="e">
        <f>IF(EG254=0,0,IF(LEN(DY254)=11,_xlfn.XLOOKUP(DY254,'Dispensed Ink Rates'!C:C,'Dispensed Ink Rates'!CS:CS),VLOOKUP(DY254,'Jan-2026 rates'!$E:$F,2,0)))</f>
        <v>#N/A</v>
      </c>
      <c r="EI254" s="409">
        <v>30</v>
      </c>
      <c r="EJ254" s="398" t="e">
        <f>IF(EI254=0,0,IF(LEN(DZ254)=11,_xlfn.XLOOKUP(DZ254,'Dispensed Ink Rates'!C:C,'Dispensed Ink Rates'!CS:CS),VLOOKUP(DZ254,'Jan-2026 rates'!$E:$F,2,0)))</f>
        <v>#N/A</v>
      </c>
      <c r="EK254" s="409">
        <v>40</v>
      </c>
      <c r="EL254" s="398" t="e">
        <f>IF(EK254=0,0,IF(LEN(EA254)=11,_xlfn.XLOOKUP(EA254,'Dispensed Ink Rates'!C:C,'Dispensed Ink Rates'!CS:CS),VLOOKUP(EA254,'Jan-2026 rates'!$E:$F,2,0)))</f>
        <v>#N/A</v>
      </c>
      <c r="EM254" s="409"/>
      <c r="EN254" s="398">
        <f>IF(EM254=0,0,IF(LEN(EB254)=11,_xlfn.XLOOKUP(EB254,'Dispensed Ink Rates'!C:C,'Dispensed Ink Rates'!CS:CS),VLOOKUP(EB254,'Jan-2026 rates'!$E:$F,2,0)))</f>
        <v>0</v>
      </c>
      <c r="EO254" s="409"/>
      <c r="EP254" s="398">
        <f>IF(EO254=0,0,IF(LEN(EC254)=11,_xlfn.XLOOKUP(EC254,'Dispensed Ink Rates'!C:C,'Dispensed Ink Rates'!CS:CS),VLOOKUP(EC254,'Jan-2026 rates'!$E:$F,2,0)))</f>
        <v>0</v>
      </c>
      <c r="EQ254" s="409"/>
      <c r="ER254" s="398">
        <f>IF(EQ254=0,0,IF(LEN(ED254)=11,_xlfn.XLOOKUP(ED254,'Dispensed Ink Rates'!C:C,'Dispensed Ink Rates'!CS:CS),VLOOKUP(ED254,'Jan-2026 rates'!$E:$F,2,0)))</f>
        <v>0</v>
      </c>
      <c r="ES254" s="409"/>
      <c r="ET254" s="398">
        <f>IF(ES254=0,0,IF(LEN(EE254)=11,_xlfn.XLOOKUP(EE254,'Dispensed Ink Rates'!C:C,'Dispensed Ink Rates'!CS:CS),VLOOKUP(EE254,'Jan-2026 rates'!$E:$F,2,0)))</f>
        <v>0</v>
      </c>
      <c r="EU254" s="409"/>
      <c r="EV254" s="398">
        <f>IF(EU254=0,0,IF(LEN(EF254)=11,_xlfn.XLOOKUP(EF254,'Dispensed Ink Rates'!C:C,'Dispensed Ink Rates'!CS:CS),VLOOKUP(EF254,'Jan-2026 rates'!$E:$F,2,0)))</f>
        <v>0</v>
      </c>
      <c r="EW254" s="409" t="s">
        <v>1443</v>
      </c>
      <c r="EX254" s="409">
        <v>25</v>
      </c>
      <c r="EY254" s="411">
        <f t="shared" si="168"/>
        <v>0</v>
      </c>
      <c r="EZ254" s="411">
        <f t="shared" si="169"/>
        <v>99.561403508771932</v>
      </c>
      <c r="FA254" s="410">
        <f t="shared" si="170"/>
        <v>0</v>
      </c>
      <c r="FB254" s="405" t="s">
        <v>855</v>
      </c>
      <c r="FC254" s="409" t="s">
        <v>4108</v>
      </c>
      <c r="FD254" s="420" t="str">
        <f t="shared" si="187"/>
        <v>FLINTSL - CYAN</v>
      </c>
      <c r="FE254" s="409">
        <v>30</v>
      </c>
      <c r="FF254" s="411">
        <f>IF(FE254=0,0,IF($LB254=70%,VLOOKUP($FD254,'Jan-2026 rates'!$L:$R,4,0),IF($LB254=65%,VLOOKUP($FD254,'Jan-2026 rates'!$L:$R,4,0),IF($LB254=40%,VLOOKUP($FD254,'Jan-2026 rates'!$L:$R,5,0),IF($LB254=30%,VLOOKUP($FD254,'Jan-2026 rates'!$L:$R,6,0),IF($LB254=100%,VLOOKUP($FD254,'Jan-2026 rates'!$L:$R,7,0),IF($LB254=60%,VLOOKUP($FD254,'Jan-2026 rates'!$L:$S,8,0),IF($LB254=80%,VLOOKUP($FD254,'Jan-2026 rates'!L:T,9,0),0))))))))</f>
        <v>0</v>
      </c>
      <c r="FG254" s="412"/>
      <c r="FH254" s="409"/>
      <c r="FI254" s="411">
        <f>IF(FH254=0,0,IF($LB254=70%,VLOOKUP($FD254,'Jan-2026 rates'!$L:$R,4,0),IF($LB254=65%,VLOOKUP($FD254,'Jan-2026 rates'!$L:$R,4,0),IF($LB254=40%,VLOOKUP($FD254,'Jan-2026 rates'!$L:$R,5,0),IF($LB254=30%,VLOOKUP($FD254,'Jan-2026 rates'!$L:$R,6,0),IF($LB254=100%,VLOOKUP($FD254,'Jan-2026 rates'!$L:$R,7,0),IF($LB254=60%,VLOOKUP($FD254,'Jan-2026 rates'!$L:$S,8,0),IF($LB254=80%,VLOOKUP($FD254,'Jan-2026 rates'!L:T,9,0),0))))))))</f>
        <v>0</v>
      </c>
      <c r="FJ254" s="413"/>
      <c r="FK254" s="413"/>
      <c r="FL254" s="413"/>
      <c r="FM254" s="412"/>
      <c r="FN254" s="412"/>
      <c r="FO254" s="412"/>
      <c r="FP254" s="412"/>
      <c r="FQ254" s="412"/>
      <c r="FR254" s="409"/>
      <c r="FS254" s="398">
        <f>IF(FR254=0,0,IF(LEN(FJ254)=11,_xlfn.XLOOKUP(FJ254,'Dispensed Ink Rates'!C:C,'Dispensed Ink Rates'!CS:CS),VLOOKUP(FJ254,'Jan-2026 rates'!$E:$F,2,0)))</f>
        <v>0</v>
      </c>
      <c r="FT254" s="409"/>
      <c r="FU254" s="398">
        <f>IF(FT254=0,0,IF(LEN(FK254)=11,_xlfn.XLOOKUP(FK254,'Dispensed Ink Rates'!C:C,'Dispensed Ink Rates'!CS:CS),VLOOKUP(FK254,'Jan-2026 rates'!$E:$F,2,0)))</f>
        <v>0</v>
      </c>
      <c r="FV254" s="409"/>
      <c r="FW254" s="398">
        <f>IF(FV254=0,0,IF(LEN(FL254)=11,_xlfn.XLOOKUP(FL254,'Dispensed Ink Rates'!C:C,'Dispensed Ink Rates'!CS:CS),VLOOKUP(FL254,'Jan-2026 rates'!$E:$F,2,0)))</f>
        <v>0</v>
      </c>
      <c r="FX254" s="409"/>
      <c r="FY254" s="398">
        <f>IF(FX254=0,0,IF(LEN(FM254)=11,_xlfn.XLOOKUP(FM254,'Dispensed Ink Rates'!C:C,'Dispensed Ink Rates'!CS:CS),VLOOKUP(FM254,'Jan-2026 rates'!$E:$F,2,0)))</f>
        <v>0</v>
      </c>
      <c r="FZ254" s="409"/>
      <c r="GA254" s="398">
        <f>IF(FZ254=0,0,IF(LEN(FN254)=11,_xlfn.XLOOKUP(FN254,'Dispensed Ink Rates'!C:C,'Dispensed Ink Rates'!CS:CS),VLOOKUP(FN254,'Jan-2026 rates'!$E:$F,2,0)))</f>
        <v>0</v>
      </c>
      <c r="GB254" s="409"/>
      <c r="GC254" s="398">
        <f>IF(GB254=0,0,IF(LEN(FO254)=11,_xlfn.XLOOKUP(FO254,'Dispensed Ink Rates'!C:C,'Dispensed Ink Rates'!CS:CS),VLOOKUP(FO254,'Jan-2026 rates'!$E:$F,2,0)))</f>
        <v>0</v>
      </c>
      <c r="GD254" s="409"/>
      <c r="GE254" s="398">
        <f>IF(GD254=0,0,IF(LEN(FP254)=11,_xlfn.XLOOKUP(FP254,'Dispensed Ink Rates'!C:C,'Dispensed Ink Rates'!CS:CS),VLOOKUP(FP254,'Jan-2026 rates'!$E:$F,2,0)))</f>
        <v>0</v>
      </c>
      <c r="GF254" s="409"/>
      <c r="GG254" s="398">
        <f>IF(GF254=0,0,IF(LEN(FQ254)=11,_xlfn.XLOOKUP(FQ254,'Dispensed Ink Rates'!C:C,'Dispensed Ink Rates'!CS:CS),VLOOKUP(FQ254,'Jan-2026 rates'!$E:$F,2,0)))</f>
        <v>0</v>
      </c>
      <c r="GH254" s="409" t="s">
        <v>1443</v>
      </c>
      <c r="GI254" s="409">
        <v>28</v>
      </c>
      <c r="GJ254" s="411">
        <f t="shared" si="171"/>
        <v>0</v>
      </c>
      <c r="GK254" s="411">
        <f t="shared" si="172"/>
        <v>7.824561403508774</v>
      </c>
      <c r="GL254" s="410">
        <f t="shared" si="173"/>
        <v>0</v>
      </c>
      <c r="GM254" s="405" t="s">
        <v>544</v>
      </c>
      <c r="GN254" s="409" t="s">
        <v>4109</v>
      </c>
      <c r="GO254" s="420" t="str">
        <f t="shared" si="188"/>
        <v>FLINTSL - MAGENTA</v>
      </c>
      <c r="GP254" s="409">
        <v>30</v>
      </c>
      <c r="GQ254" s="411">
        <f>IF(GP254=0,0,IF($LB254=70%,VLOOKUP($GO254,'Jan-2026 rates'!$L:$R,4,0),IF($LB254=65%,VLOOKUP($GO254,'Jan-2026 rates'!$L:$R,4,0),IF($LB254=40%,VLOOKUP($GO254,'Jan-2026 rates'!$L:$R,5,0),IF($LB254=30%,VLOOKUP($GO254,'Jan-2026 rates'!$L:$R,6,0),IF($LB254=100%,VLOOKUP($GO254,'Jan-2026 rates'!$L:$R,7,0),IF($LB254=60%,VLOOKUP($GO254,'Jan-2026 rates'!$L:$S,8,0),IF($LB254=80%,VLOOKUP($GO254,'Jan-2026 rates'!L:T,9,0),0))))))))</f>
        <v>0</v>
      </c>
      <c r="GR254" s="412"/>
      <c r="GS254" s="409"/>
      <c r="GT254" s="411">
        <f>IF(GS254=0,0,IF($LB254=70%,VLOOKUP($GO254,'Jan-2026 rates'!$L:$R,4,0),IF($LB254=65%,VLOOKUP($GO254,'Jan-2026 rates'!$L:$R,4,0),IF($LB254=40%,VLOOKUP($GO254,'Jan-2026 rates'!$L:$R,5,0),IF($LB254=30%,VLOOKUP($GO254,'Jan-2026 rates'!$L:$R,6,0),IF($LB254=100%,VLOOKUP($GO254,'Jan-2026 rates'!$L:$R,7,0),IF($LB254=60%,VLOOKUP($GO254,'Jan-2026 rates'!$L:$S,8,0),IF($LB254=80%,VLOOKUP($GO254,'Jan-2026 rates'!L:T,9,0),0))))))))</f>
        <v>0</v>
      </c>
      <c r="GU254" s="413" t="s">
        <v>1266</v>
      </c>
      <c r="GV254" s="413"/>
      <c r="GW254" s="412"/>
      <c r="GX254" s="412"/>
      <c r="GY254" s="412"/>
      <c r="GZ254" s="412"/>
      <c r="HA254" s="412"/>
      <c r="HB254" s="412"/>
      <c r="HC254" s="409">
        <v>3</v>
      </c>
      <c r="HD254" s="398">
        <f>IF(HC254=0,0,IF(LEN(GU254)=11,_xlfn.XLOOKUP(GU254,'Dispensed Ink Rates'!C:C,'Dispensed Ink Rates'!CS:CS),VLOOKUP(GU254,'Jan-2026 rates'!$E:$F,2,0)))</f>
        <v>0</v>
      </c>
      <c r="HE254" s="409"/>
      <c r="HF254" s="398">
        <f>IF(HE254=0,0,IF(LEN(GV254)=11,_xlfn.XLOOKUP(GV254,'Dispensed Ink Rates'!C:C,'Dispensed Ink Rates'!CS:CS),VLOOKUP(GV254,'Jan-2026 rates'!$E:$F,2,0)))</f>
        <v>0</v>
      </c>
      <c r="HG254" s="409"/>
      <c r="HH254" s="398">
        <f>IF(HG254=0,0,IF(LEN(GW254)=11,_xlfn.XLOOKUP(GW254,'Dispensed Ink Rates'!C:C,'Dispensed Ink Rates'!CS:CS),VLOOKUP(GW254,'Jan-2026 rates'!$E:$F,2,0)))</f>
        <v>0</v>
      </c>
      <c r="HI254" s="409"/>
      <c r="HJ254" s="398">
        <f>IF(HI254=0,0,IF(LEN(GX254)=11,_xlfn.XLOOKUP(GX254,'Dispensed Ink Rates'!C:C,'Dispensed Ink Rates'!CS:CS),VLOOKUP(GX254,'Jan-2026 rates'!$E:$F,2,0)))</f>
        <v>0</v>
      </c>
      <c r="HK254" s="409"/>
      <c r="HL254" s="398">
        <f>IF(HK254=0,0,IF(LEN(GY254)=11,_xlfn.XLOOKUP(GY254,'Dispensed Ink Rates'!C:C,'Dispensed Ink Rates'!CS:CS),VLOOKUP(GY254,'Jan-2026 rates'!$E:$F,2,0)))</f>
        <v>0</v>
      </c>
      <c r="HM254" s="409"/>
      <c r="HN254" s="398">
        <f>IF(HM254=0,0,IF(LEN(GZ254)=11,_xlfn.XLOOKUP(GZ254,'Dispensed Ink Rates'!C:C,'Dispensed Ink Rates'!CS:CS),VLOOKUP(GZ254,'Jan-2026 rates'!$E:$F,2,0)))</f>
        <v>0</v>
      </c>
      <c r="HO254" s="409"/>
      <c r="HP254" s="398">
        <f>IF(HO254=0,0,IF(LEN(HA254)=11,_xlfn.XLOOKUP(HA254,'Dispensed Ink Rates'!C:C,'Dispensed Ink Rates'!CS:CS),VLOOKUP(HA254,'Jan-2026 rates'!$E:$F,2,0)))</f>
        <v>0</v>
      </c>
      <c r="HQ254" s="409"/>
      <c r="HR254" s="398">
        <f>IF(HQ254=0,0,IF(LEN(HB254)=11,_xlfn.XLOOKUP(HB254,'Dispensed Ink Rates'!C:C,'Dispensed Ink Rates'!CS:CS),VLOOKUP(HB254,'Jan-2026 rates'!$E:$F,2,0)))</f>
        <v>0</v>
      </c>
      <c r="HS254" s="409" t="s">
        <v>1443</v>
      </c>
      <c r="HT254" s="409">
        <v>30</v>
      </c>
      <c r="HU254" s="411">
        <f t="shared" si="174"/>
        <v>0</v>
      </c>
      <c r="HV254" s="411">
        <f t="shared" si="175"/>
        <v>11.736842105263158</v>
      </c>
      <c r="HW254" s="414">
        <f t="shared" si="176"/>
        <v>0</v>
      </c>
      <c r="HX254" s="405" t="s">
        <v>545</v>
      </c>
      <c r="HY254" s="409" t="s">
        <v>4110</v>
      </c>
      <c r="HZ254" s="420" t="str">
        <f t="shared" si="189"/>
        <v>FLINTSL - YELLOW</v>
      </c>
      <c r="IA254" s="409">
        <v>30</v>
      </c>
      <c r="IB254" s="411">
        <f>IF(IA254=0,0,IF($LB254=70%,VLOOKUP($HZ254,'Jan-2026 rates'!$L:$R,4,0),IF($LB254=65%,VLOOKUP($HZ254,'Jan-2026 rates'!$L:$R,4,0),IF($LB254=40%,VLOOKUP($HZ254,'Jan-2026 rates'!$L:$R,5,0),IF($LB254=30%,VLOOKUP($HZ254,'Jan-2026 rates'!$L:$R,6,0),IF($LB254=100%,VLOOKUP($HZ254,'Jan-2026 rates'!$L:$R,7,0),IF($LB254=60%,VLOOKUP($HZ254,'Jan-2026 rates'!$L:$S,8,0),IF($LB254=80%,VLOOKUP($HZ254,'Jan-2026 rates'!L:T,9,0),0))))))))</f>
        <v>0</v>
      </c>
      <c r="IC254" s="412"/>
      <c r="ID254" s="409"/>
      <c r="IE254" s="411">
        <f>IF(ID254=0,0,IF($LB254=70%,VLOOKUP($HZ254,'Jan-2026 rates'!$L:$R,4,0),IF($LB254=65%,VLOOKUP($HZ254,'Jan-2026 rates'!$L:$R,4,0),IF($LB254=40%,VLOOKUP($HZ254,'Jan-2026 rates'!$L:$R,5,0),IF($LB254=30%,VLOOKUP($HZ254,'Jan-2026 rates'!$L:$R,6,0),IF($LB254=100%,VLOOKUP($HZ254,'Jan-2026 rates'!$L:$R,7,0),IF($LB254=60%,VLOOKUP($HZ254,'Jan-2026 rates'!$L:$S,8,0),IF($LB254=80%,VLOOKUP($HZ254,'Jan-2026 rates'!L:T,9,0),0))))))))</f>
        <v>0</v>
      </c>
      <c r="IF254" s="412">
        <v>26519000024</v>
      </c>
      <c r="IG254" s="413"/>
      <c r="IH254" s="412"/>
      <c r="II254" s="412"/>
      <c r="IJ254" s="412"/>
      <c r="IK254" s="412"/>
      <c r="IL254" s="412"/>
      <c r="IM254" s="412"/>
      <c r="IN254" s="409">
        <v>2</v>
      </c>
      <c r="IO254" s="398" t="e">
        <f>IF(IN254=0,0,IF(LEN(IF254)=11,_xlfn.XLOOKUP(IF254,'Dispensed Ink Rates'!C:C,'Dispensed Ink Rates'!CS:CS),VLOOKUP(IF254,'Jan-2026 rates'!$E:$F,2,0)))</f>
        <v>#N/A</v>
      </c>
      <c r="IP254" s="409"/>
      <c r="IQ254" s="398">
        <f>IF(IP254=0,0,IF(LEN(IG254)=11,_xlfn.XLOOKUP(IG254,'Dispensed Ink Rates'!C:C,'Dispensed Ink Rates'!CS:CS),VLOOKUP(IG254,'Jan-2026 rates'!$E:$F,2,0)))</f>
        <v>0</v>
      </c>
      <c r="IR254" s="409"/>
      <c r="IS254" s="398">
        <f>IF(IR254=0,0,IF(LEN(IH254)=11,_xlfn.XLOOKUP(IH254,'Dispensed Ink Rates'!C:C,'Dispensed Ink Rates'!CS:CS),VLOOKUP(IH254,'Jan-2026 rates'!$E:$F,2,0)))</f>
        <v>0</v>
      </c>
      <c r="IT254" s="409"/>
      <c r="IU254" s="398">
        <f>IF(IT254=0,0,IF(LEN(II254)=11,_xlfn.XLOOKUP(II254,'Dispensed Ink Rates'!C:C,'Dispensed Ink Rates'!CS:CS),VLOOKUP(II254,'Jan-2026 rates'!$E:$F,2,0)))</f>
        <v>0</v>
      </c>
      <c r="IV254" s="409"/>
      <c r="IW254" s="398">
        <f>IF(IV254=0,0,IF(LEN(IJ254)=11,_xlfn.XLOOKUP(IJ254,'Dispensed Ink Rates'!C:C,'Dispensed Ink Rates'!CS:CS),VLOOKUP(IJ254,'Jan-2026 rates'!$E:$F,2,0)))</f>
        <v>0</v>
      </c>
      <c r="IX254" s="409"/>
      <c r="IY254" s="398">
        <f>IF(IX254=0,0,IF(LEN(IK254)=11,_xlfn.XLOOKUP(IK254,'Dispensed Ink Rates'!C:C,'Dispensed Ink Rates'!CS:CS),VLOOKUP(IK254,'Jan-2026 rates'!$E:$F,2,0)))</f>
        <v>0</v>
      </c>
      <c r="IZ254" s="409"/>
      <c r="JA254" s="398">
        <f>IF(IZ254=0,0,IF(LEN(IL254)=11,_xlfn.XLOOKUP(IL254,'Dispensed Ink Rates'!C:C,'Dispensed Ink Rates'!CS:CS),VLOOKUP(IL254,'Jan-2026 rates'!$E:$F,2,0)))</f>
        <v>0</v>
      </c>
      <c r="JB254" s="409"/>
      <c r="JC254" s="398">
        <f>IF(JB254=0,0,IF(LEN(IM254)=11,_xlfn.XLOOKUP(IM254,'Dispensed Ink Rates'!C:C,'Dispensed Ink Rates'!CS:CS),VLOOKUP(IM254,'Jan-2026 rates'!$E:$F,2,0)))</f>
        <v>0</v>
      </c>
      <c r="JD254" s="409" t="s">
        <v>1443</v>
      </c>
      <c r="JE254" s="409">
        <v>25</v>
      </c>
      <c r="JF254" s="411">
        <f t="shared" si="177"/>
        <v>0</v>
      </c>
      <c r="JG254" s="411">
        <f t="shared" si="178"/>
        <v>15.736842105263158</v>
      </c>
      <c r="JH254" s="410">
        <f t="shared" si="179"/>
        <v>0</v>
      </c>
      <c r="JI254" s="405" t="s">
        <v>856</v>
      </c>
      <c r="JJ254" s="409" t="s">
        <v>4111</v>
      </c>
      <c r="JK254" s="420" t="str">
        <f t="shared" si="190"/>
        <v>FLINTSL - WHITE</v>
      </c>
      <c r="JL254" s="409">
        <v>30</v>
      </c>
      <c r="JM254" s="411">
        <f>IF(JL254=0,0,IF($LB254=70%,VLOOKUP($JK254,'Jan-2026 rates'!$L:$R,4,0),IF($LB254=65%,VLOOKUP($JK254,'Jan-2026 rates'!$L:$R,4,0),IF($LB254=40%,VLOOKUP($JK254,'Jan-2026 rates'!$L:$R,5,0),IF($LB254=30%,VLOOKUP($JK254,'Jan-2026 rates'!$L:$R,6,0),IF($LB254=100%,VLOOKUP($JK254,'Jan-2026 rates'!$L:$R,7,0),IF($LB254=60%,VLOOKUP($JK254,'Jan-2026 rates'!$L:$S,8,0),IF($LB254=80%,VLOOKUP($JK254,'Jan-2026 rates'!L:T,9,0),0))))))))</f>
        <v>0</v>
      </c>
      <c r="JN254" s="412"/>
      <c r="JO254" s="409"/>
      <c r="JP254" s="411">
        <f>IF(JO254=0,0,IF($LB254=70%,VLOOKUP($JK254,'Jan-2026 rates'!$L:$R,4,0),IF($LB254=65%,VLOOKUP($JK254,'Jan-2026 rates'!$L:$R,4,0),IF($LB254=40%,VLOOKUP($JK254,'Jan-2026 rates'!$L:$R,5,0),IF($LB254=30%,VLOOKUP($JK254,'Jan-2026 rates'!$L:$R,6,0),IF($LB254=100%,VLOOKUP($JK254,'Jan-2026 rates'!$L:$R,7,0),IF($LB254=60%,VLOOKUP($JK254,'Jan-2026 rates'!$L:$S,8,0),IF($LB254=80%,VLOOKUP($JK254,'Jan-2026 rates'!L:T,9,0),0))))))))</f>
        <v>0</v>
      </c>
      <c r="JQ254" s="413" t="s">
        <v>484</v>
      </c>
      <c r="JR254" s="412"/>
      <c r="JS254" s="413"/>
      <c r="JT254" s="413"/>
      <c r="JU254" s="412"/>
      <c r="JV254" s="412"/>
      <c r="JW254" s="412"/>
      <c r="JX254" s="412"/>
      <c r="JY254" s="409">
        <v>60</v>
      </c>
      <c r="JZ254" s="398">
        <f>IF(JY254=0,0,IF(LEN(JQ254)=11,_xlfn.XLOOKUP(JQ254,'Dispensed Ink Rates'!C:C,'Dispensed Ink Rates'!CS:CS),VLOOKUP(JQ254,'Jan-2026 rates'!$E:$F,2,0)))</f>
        <v>0</v>
      </c>
      <c r="KA254" s="409"/>
      <c r="KB254" s="398">
        <f>IF(KA254=0,0,IF(LEN(JR254)=11,_xlfn.XLOOKUP(JR254,'Dispensed Ink Rates'!C:C,'Dispensed Ink Rates'!CS:CS),VLOOKUP(JR254,'Jan-2026 rates'!$E:$F,2,0)))</f>
        <v>0</v>
      </c>
      <c r="KC254" s="409"/>
      <c r="KD254" s="398">
        <f>IF(KC254=0,0,IF(LEN(JS254)=11,_xlfn.XLOOKUP(JS254,'Dispensed Ink Rates'!C:C,'Dispensed Ink Rates'!CS:CS),VLOOKUP(JS254,'Jan-2026 rates'!$E:$F,2,0)))</f>
        <v>0</v>
      </c>
      <c r="KE254" s="409"/>
      <c r="KF254" s="398">
        <f>IF(KE254=0,0,IF(LEN(JT254)=11,_xlfn.XLOOKUP(JT254,'Dispensed Ink Rates'!C:C,'Dispensed Ink Rates'!CS:CS),VLOOKUP(JT254,'Jan-2026 rates'!$E:$F,2,0)))</f>
        <v>0</v>
      </c>
      <c r="KG254" s="409"/>
      <c r="KH254" s="398">
        <f>IF(KG254=0,0,IF(LEN(JU254)=11,_xlfn.XLOOKUP(JU254,'Dispensed Ink Rates'!C:C,'Dispensed Ink Rates'!CS:CS),VLOOKUP(JU254,'Jan-2026 rates'!$E:$F,2,0)))</f>
        <v>0</v>
      </c>
      <c r="KI254" s="409"/>
      <c r="KJ254" s="398">
        <f>IF(KI254=0,0,IF(LEN(JV254)=11,_xlfn.XLOOKUP(JV254,'Dispensed Ink Rates'!C:C,'Dispensed Ink Rates'!CS:CS),VLOOKUP(JV254,'Jan-2026 rates'!$E:$F,2,0)))</f>
        <v>0</v>
      </c>
      <c r="KK254" s="409"/>
      <c r="KL254" s="398">
        <f>IF(KK254=0,0,IF(LEN(JW254)=11,_xlfn.XLOOKUP(JW254,'Dispensed Ink Rates'!C:C,'Dispensed Ink Rates'!CS:CS),VLOOKUP(JW254,'Jan-2026 rates'!$E:$F,2,0)))</f>
        <v>0</v>
      </c>
      <c r="KM254" s="428"/>
      <c r="KN254" s="398">
        <f>IF(KM254=0,0,IF(LEN(JX254)=11,_xlfn.XLOOKUP(JX254,'Dispensed Ink Rates'!C:C,'Dispensed Ink Rates'!CS:CS),VLOOKUP(JX254,'Jan-2026 rates'!$E:$F,2,0)))</f>
        <v>0</v>
      </c>
      <c r="KO254" s="409" t="s">
        <v>1443</v>
      </c>
      <c r="KP254" s="409">
        <v>30</v>
      </c>
      <c r="KQ254" s="411">
        <f t="shared" si="180"/>
        <v>0</v>
      </c>
      <c r="KR254" s="411">
        <f t="shared" si="181"/>
        <v>147.36842105263156</v>
      </c>
      <c r="KS254" s="410">
        <f t="shared" si="182"/>
        <v>0</v>
      </c>
      <c r="KT254" s="409">
        <v>3</v>
      </c>
      <c r="KU254" s="409">
        <v>5</v>
      </c>
      <c r="KV254" s="409">
        <v>6</v>
      </c>
      <c r="KW254" s="409">
        <v>5</v>
      </c>
      <c r="KX254" s="409">
        <v>2</v>
      </c>
      <c r="KY254" s="409">
        <v>3</v>
      </c>
      <c r="KZ254" s="409">
        <v>3</v>
      </c>
      <c r="LA254" s="409">
        <v>30</v>
      </c>
      <c r="LB254" s="415">
        <v>0.8</v>
      </c>
      <c r="LC254" s="415">
        <v>0.2</v>
      </c>
      <c r="LD254" s="415"/>
      <c r="LE254" s="415"/>
      <c r="LF254" s="415"/>
      <c r="LG254" s="409">
        <v>0</v>
      </c>
      <c r="LH254" s="409">
        <f>35+31+80+20</f>
        <v>166</v>
      </c>
      <c r="LI254" s="409">
        <v>0</v>
      </c>
      <c r="LJ254" s="409">
        <v>0</v>
      </c>
      <c r="LK254" s="416">
        <f t="shared" si="191"/>
        <v>166</v>
      </c>
      <c r="LL254" s="416">
        <f t="shared" si="192"/>
        <v>166</v>
      </c>
      <c r="LM254" s="417">
        <f t="shared" si="193"/>
        <v>132.80000000000001</v>
      </c>
      <c r="LN254" s="417">
        <f>VLOOKUP($LM$8,'Jan-2026 rates'!$H:$I,2,0)</f>
        <v>0</v>
      </c>
      <c r="LO254" s="417">
        <f t="shared" si="194"/>
        <v>33.200000000000003</v>
      </c>
      <c r="LP254" s="417">
        <f>VLOOKUP($LO$8,'Jan-2026 rates'!$H:$I,2,0)</f>
        <v>0</v>
      </c>
      <c r="LQ254" s="417">
        <f t="shared" si="195"/>
        <v>0</v>
      </c>
      <c r="LR254" s="417">
        <f>VLOOKUP($LQ$8,'Jan-2026 rates'!$H:$I,2,0)</f>
        <v>0</v>
      </c>
      <c r="LS254" s="417">
        <f t="shared" si="196"/>
        <v>0</v>
      </c>
      <c r="LT254" s="417">
        <f>VLOOKUP($LS$8,'Jan-2026 rates'!$H:$I,2,0)</f>
        <v>0</v>
      </c>
      <c r="LU254" s="417">
        <f t="shared" si="197"/>
        <v>0</v>
      </c>
      <c r="LV254" s="417">
        <f>VLOOKUP($LU$8,'Jan-2026 rates'!$H:$I,2,0)</f>
        <v>0</v>
      </c>
      <c r="LW254" s="417">
        <f t="shared" si="198"/>
        <v>0</v>
      </c>
      <c r="LX254" s="417">
        <f t="shared" si="199"/>
        <v>0</v>
      </c>
      <c r="LY254" s="418">
        <f t="shared" si="200"/>
        <v>0</v>
      </c>
      <c r="LZ254" s="417"/>
      <c r="MA254" s="435">
        <f t="shared" si="201"/>
        <v>202.5</v>
      </c>
      <c r="MB254" s="282">
        <f t="shared" si="202"/>
        <v>315.5</v>
      </c>
      <c r="MC254" s="283">
        <v>147</v>
      </c>
      <c r="MD254" s="284" t="str">
        <f t="shared" si="203"/>
        <v>FLINTSLFLINTSLFLINTSLFLINTSLFLINTSLFLINTSLFLINTSLFLINTSL</v>
      </c>
      <c r="ME254" s="293" t="str">
        <f t="shared" si="204"/>
        <v>+</v>
      </c>
      <c r="MF254" s="293" t="str">
        <f t="shared" si="205"/>
        <v>+</v>
      </c>
      <c r="MG254" s="293" t="str">
        <f t="shared" si="206"/>
        <v>+</v>
      </c>
      <c r="MH254" s="293" t="str">
        <f t="shared" si="207"/>
        <v>+</v>
      </c>
      <c r="MI254" s="293" t="str">
        <f t="shared" si="208"/>
        <v>+</v>
      </c>
      <c r="MJ254" s="293" t="str">
        <f t="shared" si="209"/>
        <v>+</v>
      </c>
      <c r="MK254" s="293" t="str">
        <f t="shared" si="210"/>
        <v>+</v>
      </c>
      <c r="ML254" s="293" t="str">
        <f t="shared" si="211"/>
        <v>+</v>
      </c>
      <c r="MM254" s="3" t="b">
        <f t="array" ref="MM254">OR(ME254:ML254="-")</f>
        <v>0</v>
      </c>
      <c r="MN254" s="285"/>
      <c r="MO254" s="401"/>
      <c r="MP254" s="286"/>
      <c r="MQ254" s="286"/>
      <c r="MR254" s="402"/>
      <c r="MS254" s="400"/>
      <c r="NH254" s="422"/>
      <c r="NJ254" s="421"/>
    </row>
    <row r="255" spans="1:374" s="1" customFormat="1" ht="16.5">
      <c r="A255" s="403">
        <v>46041</v>
      </c>
      <c r="B255" s="404" t="s">
        <v>1018</v>
      </c>
      <c r="C255" s="405" t="s">
        <v>4112</v>
      </c>
      <c r="D255" s="406">
        <v>148</v>
      </c>
      <c r="E255" s="404">
        <v>486</v>
      </c>
      <c r="F255" s="407">
        <v>25600</v>
      </c>
      <c r="G255" s="407" t="s">
        <v>1019</v>
      </c>
      <c r="H255" s="408" t="s">
        <v>1017</v>
      </c>
      <c r="I255" s="409">
        <v>1.2</v>
      </c>
      <c r="J255" s="405" t="s">
        <v>543</v>
      </c>
      <c r="K255" s="404" t="s">
        <v>4113</v>
      </c>
      <c r="L255" s="419" t="str">
        <f t="shared" si="184"/>
        <v>FLINTSL - BLACK</v>
      </c>
      <c r="M255" s="404">
        <v>30</v>
      </c>
      <c r="N255" s="410">
        <f>IF(M255=0,0,IF($LB255=70%,VLOOKUP($L255,'Jan-2026 rates'!$L:$R,4,0),IF($LB255=65%,VLOOKUP($L255,'Jan-2026 rates'!$L:$R,4,0),IF($LB255=40%,VLOOKUP($L255,'Jan-2026 rates'!$L:$R,5,0),IF($LB255=30%,VLOOKUP($L255,'Jan-2026 rates'!$L:$R,6,0),IF($LB255=100%,VLOOKUP($L255,'Jan-2026 rates'!$L:$R,7,0),IF($LB255=60%,VLOOKUP($L255,'Jan-2026 rates'!$L:$S,8,0),IF($LB255=80%,VLOOKUP($L255,'Jan-2026 rates'!L:T,9,0),0))))))))</f>
        <v>0</v>
      </c>
      <c r="O255" s="406"/>
      <c r="P255" s="404"/>
      <c r="Q255" s="410">
        <f>IF(P255=0,0,IF($LB255=70%,VLOOKUP($L255,'Jan-2026 rates'!$L:$R,4,0),IF($LB255=65%,VLOOKUP($L255,'Jan-2026 rates'!$L:$R,4,0),IF($LB255=40%,VLOOKUP($L255,'Jan-2026 rates'!$L:$R,5,0),IF($LB255=30%,VLOOKUP($L255,'Jan-2026 rates'!$L:$R,6,0),IF($LB255=100%,VLOOKUP($L255,'Jan-2026 rates'!$L:$R,7,0),IF($LB255=60%,VLOOKUP($L255,'Jan-2026 rates'!$L:$S,8,0),IF($LB255=80%,VLOOKUP($L255,'Jan-2026 rates'!L:T,9,0),0))))))))</f>
        <v>0</v>
      </c>
      <c r="R255" s="406" t="s">
        <v>1266</v>
      </c>
      <c r="S255" s="406"/>
      <c r="T255" s="406"/>
      <c r="U255" s="406"/>
      <c r="V255" s="406"/>
      <c r="W255" s="406"/>
      <c r="X255" s="406"/>
      <c r="Y255" s="406"/>
      <c r="Z255" s="404">
        <v>6</v>
      </c>
      <c r="AA255" s="398">
        <f>IF(Z255=0,0,IF(LEN(R255)=11,_xlfn.XLOOKUP(R255,'Dispensed Ink Rates'!C:C,'Dispensed Ink Rates'!CS:CS),VLOOKUP(R255,'Jan-2026 rates'!$E:$F,2,0)))</f>
        <v>0</v>
      </c>
      <c r="AB255" s="404"/>
      <c r="AC255" s="398">
        <f>IF(AB255=0,0,IF(LEN(S255)=11,_xlfn.XLOOKUP(S255,'Dispensed Ink Rates'!C:C,'Dispensed Ink Rates'!CS:CS),VLOOKUP(S255,'Jan-2026 rates'!$E:$F,2,0)))</f>
        <v>0</v>
      </c>
      <c r="AD255" s="404"/>
      <c r="AE255" s="398">
        <f>IF(AD255=0,0,IF(LEN(T255)=11,_xlfn.XLOOKUP(T255,'Dispensed Ink Rates'!C:C,'Dispensed Ink Rates'!CS:CS),VLOOKUP(T255,'Jan-2026 rates'!$E:$F,2,0)))</f>
        <v>0</v>
      </c>
      <c r="AF255" s="404"/>
      <c r="AG255" s="398">
        <f>IF(AF255=0,0,IF(LEN(U255)=11,_xlfn.XLOOKUP(U255,'Dispensed Ink Rates'!C:C,'Dispensed Ink Rates'!CS:CS),VLOOKUP(U255,'Jan-2026 rates'!$E:$F,2,0)))</f>
        <v>0</v>
      </c>
      <c r="AH255" s="404"/>
      <c r="AI255" s="398">
        <f>IF(AH255=0,0,IF(LEN(V255)=11,_xlfn.XLOOKUP(V255,'Dispensed Ink Rates'!C:C,'Dispensed Ink Rates'!CS:CS),VLOOKUP(V255,'Jan-2026 rates'!$E:$F,2,0)))</f>
        <v>0</v>
      </c>
      <c r="AJ255" s="404"/>
      <c r="AK255" s="398">
        <f>IF(AJ255=0,0,IF(LEN(W255)=11,_xlfn.XLOOKUP(W255,'Dispensed Ink Rates'!C:C,'Dispensed Ink Rates'!CS:CS),VLOOKUP(W255,'Jan-2026 rates'!$E:$F,2,0)))</f>
        <v>0</v>
      </c>
      <c r="AL255" s="404"/>
      <c r="AM255" s="398">
        <f>IF(AL255=0,0,IF(LEN(X255)=11,_xlfn.XLOOKUP(X255,'Dispensed Ink Rates'!C:C,'Dispensed Ink Rates'!CS:CS),VLOOKUP(X255,'Jan-2026 rates'!$E:$F,2,0)))</f>
        <v>0</v>
      </c>
      <c r="AN255" s="404"/>
      <c r="AO255" s="398">
        <f>IF(AN255=0,0,IF(LEN(Y255)=11,_xlfn.XLOOKUP(Y255,'Dispensed Ink Rates'!C:C,'Dispensed Ink Rates'!CS:CS),VLOOKUP(Y255,'Jan-2026 rates'!$E:$F,2,0)))</f>
        <v>0</v>
      </c>
      <c r="AP255" s="409" t="s">
        <v>1443</v>
      </c>
      <c r="AQ255" s="409">
        <v>28</v>
      </c>
      <c r="AR255" s="410">
        <f t="shared" si="159"/>
        <v>0</v>
      </c>
      <c r="AS255" s="411">
        <f t="shared" si="160"/>
        <v>15.684210526315788</v>
      </c>
      <c r="AT255" s="410">
        <f t="shared" si="161"/>
        <v>0</v>
      </c>
      <c r="AU255" s="405" t="s">
        <v>546</v>
      </c>
      <c r="AV255" s="409" t="s">
        <v>4091</v>
      </c>
      <c r="AW255" s="420" t="str">
        <f t="shared" si="183"/>
        <v>FLINTSL - REFLEX BLUE</v>
      </c>
      <c r="AX255" s="409">
        <v>21</v>
      </c>
      <c r="AY255" s="411">
        <f>IF(AX255=0,0,IF($LB255=70%,VLOOKUP($AW255,'Jan-2026 rates'!$L:$R,4,0),IF($LB255=65%,VLOOKUP($AW255,'Jan-2026 rates'!$L:$R,4,0),IF($LB255=40%,VLOOKUP($AW255,'Jan-2026 rates'!$L:$R,5,0),IF($LB255=30%,VLOOKUP($AW255,'Jan-2026 rates'!$L:$R,6,0),IF($LB255=100%,VLOOKUP($AW255,'Jan-2026 rates'!$L:$R,7,0),IF($LB255=60%,VLOOKUP($AW255,'Jan-2026 rates'!$L:$S,8,0),IF($LB255=80%,VLOOKUP($AW255,'Jan-2026 rates'!L:T,9,0),0))))))))</f>
        <v>0</v>
      </c>
      <c r="AZ255" s="412" t="s">
        <v>3920</v>
      </c>
      <c r="BA255" s="409">
        <v>24</v>
      </c>
      <c r="BB255" s="411">
        <f>IF(BA255=0,0,IF($LB255=70%,VLOOKUP($AW255,'Jan-2026 rates'!$L:$R,4,0),IF($LB255=65%,VLOOKUP($AW255,'Jan-2026 rates'!$L:$R,4,0),IF($LB255=40%,VLOOKUP($AW255,'Jan-2026 rates'!$L:$R,5,0),IF($LB255=30%,VLOOKUP($AW255,'Jan-2026 rates'!$L:$R,6,0),IF($LB255=100%,VLOOKUP($AW255,'Jan-2026 rates'!$L:$R,7,0),IF($LB255=60%,VLOOKUP($AW255,'Jan-2026 rates'!$L:$S,8,0),IF($LB255=80%,VLOOKUP($AW255,'Jan-2026 rates'!L:T,9,0),0))))))))</f>
        <v>0</v>
      </c>
      <c r="BC255" s="413">
        <v>26519000014</v>
      </c>
      <c r="BD255" s="412">
        <v>26519000036</v>
      </c>
      <c r="BE255" s="412"/>
      <c r="BF255" s="413"/>
      <c r="BG255" s="412"/>
      <c r="BH255" s="412"/>
      <c r="BI255" s="412"/>
      <c r="BJ255" s="412"/>
      <c r="BK255" s="409">
        <v>3</v>
      </c>
      <c r="BL255" s="398" t="e">
        <f>IF(BK255=0,0,IF(LEN(BC255)=11,_xlfn.XLOOKUP(BC255,'Dispensed Ink Rates'!C:C,'Dispensed Ink Rates'!CS:CS),VLOOKUP(BC255,'Jan-2026 rates'!$E:$F,2,0)))</f>
        <v>#N/A</v>
      </c>
      <c r="BM255" s="409">
        <v>1</v>
      </c>
      <c r="BN255" s="398" t="e">
        <f>IF(BM255=0,0,IF(LEN(BD255)=11,_xlfn.XLOOKUP(BD255,'Dispensed Ink Rates'!C:C,'Dispensed Ink Rates'!CS:CS),VLOOKUP(BD255,'Jan-2026 rates'!$E:$F,2,0)))</f>
        <v>#N/A</v>
      </c>
      <c r="BO255" s="409"/>
      <c r="BP255" s="398">
        <f>IF(BO255=0,0,IF(LEN(BE255)=11,_xlfn.XLOOKUP(BE255,'Dispensed Ink Rates'!C:C,'Dispensed Ink Rates'!CS:CS),VLOOKUP(BE255,'Jan-2026 rates'!$E:$F,2,0)))</f>
        <v>0</v>
      </c>
      <c r="BQ255" s="409"/>
      <c r="BR255" s="398">
        <f>IF(BQ255=0,0,IF(LEN(BF255)=11,_xlfn.XLOOKUP(BF255,'Dispensed Ink Rates'!C:C,'Dispensed Ink Rates'!CS:CS),VLOOKUP(BF255,'Jan-2026 rates'!$E:$F,2,0)))</f>
        <v>0</v>
      </c>
      <c r="BS255" s="409"/>
      <c r="BT255" s="398">
        <f>IF(BS255=0,0,IF(LEN(BG255)=11,_xlfn.XLOOKUP(BG255,'Dispensed Ink Rates'!C:C,'Dispensed Ink Rates'!CS:CS),VLOOKUP(BG255,'Jan-2026 rates'!$E:$F,2,0)))</f>
        <v>0</v>
      </c>
      <c r="BU255" s="409"/>
      <c r="BV255" s="398">
        <f>IF(BU255=0,0,IF(LEN(BH255)=11,_xlfn.XLOOKUP(BH255,'Dispensed Ink Rates'!C:C,'Dispensed Ink Rates'!CS:CS),VLOOKUP(BH255,'Jan-2026 rates'!$E:$F,2,0)))</f>
        <v>0</v>
      </c>
      <c r="BW255" s="409"/>
      <c r="BX255" s="398">
        <f>IF(BW255=0,0,IF(LEN(BI255)=11,_xlfn.XLOOKUP(BI255,'Dispensed Ink Rates'!C:C,'Dispensed Ink Rates'!CS:CS),VLOOKUP(BI255,'Jan-2026 rates'!$E:$F,2,0)))</f>
        <v>0</v>
      </c>
      <c r="BY255" s="409"/>
      <c r="BZ255" s="398">
        <f>IF(BY255=0,0,IF(LEN(BJ255)=11,_xlfn.XLOOKUP(BJ255,'Dispensed Ink Rates'!C:C,'Dispensed Ink Rates'!CS:CS),VLOOKUP(BJ255,'Jan-2026 rates'!$E:$F,2,0)))</f>
        <v>0</v>
      </c>
      <c r="CA255" s="409" t="s">
        <v>1443</v>
      </c>
      <c r="CB255" s="409">
        <v>27</v>
      </c>
      <c r="CC255" s="411">
        <f t="shared" si="162"/>
        <v>0</v>
      </c>
      <c r="CD255" s="411">
        <f t="shared" si="163"/>
        <v>25.842105263157897</v>
      </c>
      <c r="CE255" s="410">
        <f t="shared" si="164"/>
        <v>0</v>
      </c>
      <c r="CF255" s="404" t="s">
        <v>857</v>
      </c>
      <c r="CG255" s="409" t="s">
        <v>4114</v>
      </c>
      <c r="CH255" s="420" t="str">
        <f t="shared" si="185"/>
        <v>FLINTSL - RED</v>
      </c>
      <c r="CI255" s="409">
        <v>26</v>
      </c>
      <c r="CJ255" s="411">
        <f>IF(CI255=0,0,IF($LB255=70%,VLOOKUP($CH255,'Jan-2026 rates'!$L:$R,4,0),IF($LB255=65%,VLOOKUP($CH255,'Jan-2026 rates'!$L:$R,4,0),IF($LB255=40%,VLOOKUP($CH255,'Jan-2026 rates'!$L:$R,5,0),IF($LB255=30%,VLOOKUP($CH255,'Jan-2026 rates'!$L:$R,6,0),IF($LB255=100%,VLOOKUP($CH255,'Jan-2026 rates'!$L:$R,7,0),IF($LB255=60%,VLOOKUP($CH255,'Jan-2026 rates'!$L:$S,8,0),IF($LB255=80%,VLOOKUP($CH255,'Jan-2026 rates'!L:T,9,0),0))))))))</f>
        <v>0</v>
      </c>
      <c r="CK255" s="412"/>
      <c r="CL255" s="409"/>
      <c r="CM255" s="411">
        <f>IF(CL255=0,0,IF($LB255=70%,VLOOKUP($CH255,'Jan-2026 rates'!$L:$R,4,0),IF($LB255=65%,VLOOKUP($CH255,'Jan-2026 rates'!$L:$R,4,0),IF($LB255=40%,VLOOKUP($CH255,'Jan-2026 rates'!$L:$R,5,0),IF($LB255=30%,VLOOKUP($CH255,'Jan-2026 rates'!$L:$R,6,0),IF($LB255=100%,VLOOKUP($CH255,'Jan-2026 rates'!$L:$R,7,0),IF($LB255=60%,VLOOKUP($CH255,'Jan-2026 rates'!$L:$S,8,0),IF($LB255=80%,VLOOKUP($CH255,'Jan-2026 rates'!L:T,9,0),0))))))))</f>
        <v>0</v>
      </c>
      <c r="CN255" s="426">
        <v>26519000036</v>
      </c>
      <c r="CO255" s="427">
        <v>26520000008</v>
      </c>
      <c r="CP255" s="426"/>
      <c r="CQ255" s="426"/>
      <c r="CR255" s="428"/>
      <c r="CS255" s="428"/>
      <c r="CT255" s="428"/>
      <c r="CU255" s="428"/>
      <c r="CV255" s="409">
        <v>4</v>
      </c>
      <c r="CW255" s="398" t="e">
        <f>IF(CV255=0,0,IF(LEN(CN255)=11,_xlfn.XLOOKUP(CN255,'Dispensed Ink Rates'!C:C,'Dispensed Ink Rates'!CS:CS),VLOOKUP(CN255,'Jan-2026 rates'!$E:$F,2,0)))</f>
        <v>#N/A</v>
      </c>
      <c r="CX255" s="409">
        <f>2+2</f>
        <v>4</v>
      </c>
      <c r="CY255" s="398" t="e">
        <f>IF(CX255=0,0,IF(LEN(CO255)=11,_xlfn.XLOOKUP(CO255,'Dispensed Ink Rates'!C:C,'Dispensed Ink Rates'!CS:CS),VLOOKUP(CO255,'Jan-2026 rates'!$E:$F,2,0)))</f>
        <v>#N/A</v>
      </c>
      <c r="CZ255" s="409"/>
      <c r="DA255" s="398">
        <f>IF(CZ255=0,0,IF(LEN(CP255)=11,_xlfn.XLOOKUP(CP255,'Dispensed Ink Rates'!C:C,'Dispensed Ink Rates'!CS:CS),VLOOKUP(CP255,'Jan-2026 rates'!$E:$F,2,0)))</f>
        <v>0</v>
      </c>
      <c r="DB255" s="409"/>
      <c r="DC255" s="398">
        <f>IF(DB255=0,0,IF(LEN(CQ255)=11,_xlfn.XLOOKUP(CQ255,'Dispensed Ink Rates'!C:C,'Dispensed Ink Rates'!CS:CS),VLOOKUP(CQ255,'Jan-2026 rates'!$E:$F,2,0)))</f>
        <v>0</v>
      </c>
      <c r="DD255" s="409"/>
      <c r="DE255" s="398">
        <f>IF(DD255=0,0,IF(LEN(CR255)=11,_xlfn.XLOOKUP(CR255,'Dispensed Ink Rates'!C:C,'Dispensed Ink Rates'!CS:CS),VLOOKUP(CR255,'Jan-2026 rates'!$E:$F,2,0)))</f>
        <v>0</v>
      </c>
      <c r="DF255" s="409"/>
      <c r="DG255" s="398">
        <f>IF(DF255=0,0,IF(LEN(CS255)=11,_xlfn.XLOOKUP(CS255,'Dispensed Ink Rates'!C:C,'Dispensed Ink Rates'!CS:CS),VLOOKUP(CS255,'Jan-2026 rates'!$E:$F,2,0)))</f>
        <v>0</v>
      </c>
      <c r="DH255" s="409"/>
      <c r="DI255" s="398">
        <f>IF(DH255=0,0,IF(LEN(CT255)=11,_xlfn.XLOOKUP(CT255,'Dispensed Ink Rates'!C:C,'Dispensed Ink Rates'!CS:CS),VLOOKUP(CT255,'Jan-2026 rates'!$E:$F,2,0)))</f>
        <v>0</v>
      </c>
      <c r="DJ255" s="409"/>
      <c r="DK255" s="398">
        <f>IF(DJ255=0,0,IF(LEN(CU255)=11,_xlfn.XLOOKUP(CU255,'Dispensed Ink Rates'!C:C,'Dispensed Ink Rates'!CS:CS),VLOOKUP(CU255,'Jan-2026 rates'!$E:$F,2,0)))</f>
        <v>0</v>
      </c>
      <c r="DL255" s="409" t="s">
        <v>1443</v>
      </c>
      <c r="DM255" s="409">
        <v>30</v>
      </c>
      <c r="DN255" s="411">
        <f t="shared" si="165"/>
        <v>0</v>
      </c>
      <c r="DO255" s="411">
        <f t="shared" si="166"/>
        <v>9.7631578947368425</v>
      </c>
      <c r="DP255" s="410">
        <f t="shared" si="167"/>
        <v>0</v>
      </c>
      <c r="DQ255" s="405" t="s">
        <v>855</v>
      </c>
      <c r="DR255" s="409" t="s">
        <v>4115</v>
      </c>
      <c r="DS255" s="420" t="str">
        <f t="shared" si="186"/>
        <v>FLINTSL - CYAN</v>
      </c>
      <c r="DT255" s="409">
        <v>28</v>
      </c>
      <c r="DU255" s="411">
        <f>IF(DT255=0,0,IF($LB255=70%,VLOOKUP($DS255,'Jan-2026 rates'!$L:$R,4,0),IF($LB255=65%,VLOOKUP($DS255,'Jan-2026 rates'!$L:$R,4,0),IF($LB255=40%,VLOOKUP($DS255,'Jan-2026 rates'!$L:$R,5,0),IF($LB255=30%,VLOOKUP($DS255,'Jan-2026 rates'!$L:$R,6,0),IF($LB255=100%,VLOOKUP($DS255,'Jan-2026 rates'!$L:$R,7,0),IF($LB255=60%,VLOOKUP($DS255,'Jan-2026 rates'!$L:$S,8,0),IF($LB255=80%,VLOOKUP($DS255,'Jan-2026 rates'!L:T,9,0),0))))))))</f>
        <v>0</v>
      </c>
      <c r="DV255" s="412"/>
      <c r="DW255" s="409"/>
      <c r="DX255" s="411">
        <f>IF(DW255=0,0,IF($LB255=70%,VLOOKUP($DS255,'Jan-2026 rates'!$L:$R,4,0),IF($LB255=65%,VLOOKUP($DS255,'Jan-2026 rates'!$L:$R,4,0),IF($LB255=40%,VLOOKUP($DS255,'Jan-2026 rates'!$L:$R,5,0),IF($LB255=30%,VLOOKUP($DS255,'Jan-2026 rates'!$L:$R,6,0),IF($LB255=100%,VLOOKUP($DS255,'Jan-2026 rates'!$L:$R,7,0),IF($LB255=60%,VLOOKUP($DS255,'Jan-2026 rates'!$L:$S,8,0),IF($LB255=80%,VLOOKUP($DS255,'Jan-2026 rates'!L:T,9,0),0))))))))</f>
        <v>0</v>
      </c>
      <c r="DY255" s="413">
        <v>26519000015</v>
      </c>
      <c r="DZ255" s="413" t="s">
        <v>1266</v>
      </c>
      <c r="EA255" s="412"/>
      <c r="EB255" s="412"/>
      <c r="EC255" s="412"/>
      <c r="ED255" s="412"/>
      <c r="EE255" s="412"/>
      <c r="EF255" s="412"/>
      <c r="EG255" s="409">
        <v>18</v>
      </c>
      <c r="EH255" s="398" t="e">
        <f>IF(EG255=0,0,IF(LEN(DY255)=11,_xlfn.XLOOKUP(DY255,'Dispensed Ink Rates'!C:C,'Dispensed Ink Rates'!CS:CS),VLOOKUP(DY255,'Jan-2026 rates'!$E:$F,2,0)))</f>
        <v>#N/A</v>
      </c>
      <c r="EI255" s="409">
        <v>6</v>
      </c>
      <c r="EJ255" s="398">
        <f>IF(EI255=0,0,IF(LEN(DZ255)=11,_xlfn.XLOOKUP(DZ255,'Dispensed Ink Rates'!C:C,'Dispensed Ink Rates'!CS:CS),VLOOKUP(DZ255,'Jan-2026 rates'!$E:$F,2,0)))</f>
        <v>0</v>
      </c>
      <c r="EK255" s="409"/>
      <c r="EL255" s="398">
        <f>IF(EK255=0,0,IF(LEN(EA255)=11,_xlfn.XLOOKUP(EA255,'Dispensed Ink Rates'!C:C,'Dispensed Ink Rates'!CS:CS),VLOOKUP(EA255,'Jan-2026 rates'!$E:$F,2,0)))</f>
        <v>0</v>
      </c>
      <c r="EM255" s="409"/>
      <c r="EN255" s="398">
        <f>IF(EM255=0,0,IF(LEN(EB255)=11,_xlfn.XLOOKUP(EB255,'Dispensed Ink Rates'!C:C,'Dispensed Ink Rates'!CS:CS),VLOOKUP(EB255,'Jan-2026 rates'!$E:$F,2,0)))</f>
        <v>0</v>
      </c>
      <c r="EO255" s="409"/>
      <c r="EP255" s="398">
        <f>IF(EO255=0,0,IF(LEN(EC255)=11,_xlfn.XLOOKUP(EC255,'Dispensed Ink Rates'!C:C,'Dispensed Ink Rates'!CS:CS),VLOOKUP(EC255,'Jan-2026 rates'!$E:$F,2,0)))</f>
        <v>0</v>
      </c>
      <c r="EQ255" s="409"/>
      <c r="ER255" s="398">
        <f>IF(EQ255=0,0,IF(LEN(ED255)=11,_xlfn.XLOOKUP(ED255,'Dispensed Ink Rates'!C:C,'Dispensed Ink Rates'!CS:CS),VLOOKUP(ED255,'Jan-2026 rates'!$E:$F,2,0)))</f>
        <v>0</v>
      </c>
      <c r="ES255" s="409"/>
      <c r="ET255" s="398">
        <f>IF(ES255=0,0,IF(LEN(EE255)=11,_xlfn.XLOOKUP(EE255,'Dispensed Ink Rates'!C:C,'Dispensed Ink Rates'!CS:CS),VLOOKUP(EE255,'Jan-2026 rates'!$E:$F,2,0)))</f>
        <v>0</v>
      </c>
      <c r="EU255" s="409"/>
      <c r="EV255" s="398">
        <f>IF(EU255=0,0,IF(LEN(EF255)=11,_xlfn.XLOOKUP(EF255,'Dispensed Ink Rates'!C:C,'Dispensed Ink Rates'!CS:CS),VLOOKUP(EF255,'Jan-2026 rates'!$E:$F,2,0)))</f>
        <v>0</v>
      </c>
      <c r="EW255" s="409" t="s">
        <v>1443</v>
      </c>
      <c r="EX255" s="409">
        <v>30</v>
      </c>
      <c r="EY255" s="411">
        <f t="shared" si="168"/>
        <v>0</v>
      </c>
      <c r="EZ255" s="411">
        <f t="shared" si="169"/>
        <v>37.368421052631575</v>
      </c>
      <c r="FA255" s="410">
        <f t="shared" si="170"/>
        <v>0</v>
      </c>
      <c r="FB255" s="405" t="s">
        <v>544</v>
      </c>
      <c r="FC255" s="409" t="s">
        <v>4116</v>
      </c>
      <c r="FD255" s="420" t="str">
        <f t="shared" si="187"/>
        <v>FLINTSL - MAGENTA</v>
      </c>
      <c r="FE255" s="409">
        <v>30</v>
      </c>
      <c r="FF255" s="411">
        <f>IF(FE255=0,0,IF($LB255=70%,VLOOKUP($FD255,'Jan-2026 rates'!$L:$R,4,0),IF($LB255=65%,VLOOKUP($FD255,'Jan-2026 rates'!$L:$R,4,0),IF($LB255=40%,VLOOKUP($FD255,'Jan-2026 rates'!$L:$R,5,0),IF($LB255=30%,VLOOKUP($FD255,'Jan-2026 rates'!$L:$R,6,0),IF($LB255=100%,VLOOKUP($FD255,'Jan-2026 rates'!$L:$R,7,0),IF($LB255=60%,VLOOKUP($FD255,'Jan-2026 rates'!$L:$S,8,0),IF($LB255=80%,VLOOKUP($FD255,'Jan-2026 rates'!L:T,9,0),0))))))))</f>
        <v>0</v>
      </c>
      <c r="FG255" s="412"/>
      <c r="FH255" s="409"/>
      <c r="FI255" s="411">
        <f>IF(FH255=0,0,IF($LB255=70%,VLOOKUP($FD255,'Jan-2026 rates'!$L:$R,4,0),IF($LB255=65%,VLOOKUP($FD255,'Jan-2026 rates'!$L:$R,4,0),IF($LB255=40%,VLOOKUP($FD255,'Jan-2026 rates'!$L:$R,5,0),IF($LB255=30%,VLOOKUP($FD255,'Jan-2026 rates'!$L:$R,6,0),IF($LB255=100%,VLOOKUP($FD255,'Jan-2026 rates'!$L:$R,7,0),IF($LB255=60%,VLOOKUP($FD255,'Jan-2026 rates'!$L:$S,8,0),IF($LB255=80%,VLOOKUP($FD255,'Jan-2026 rates'!L:T,9,0),0))))))))</f>
        <v>0</v>
      </c>
      <c r="FJ255" s="413">
        <v>26519000036</v>
      </c>
      <c r="FK255" s="413"/>
      <c r="FL255" s="413"/>
      <c r="FM255" s="412"/>
      <c r="FN255" s="412"/>
      <c r="FO255" s="412"/>
      <c r="FP255" s="412"/>
      <c r="FQ255" s="412"/>
      <c r="FR255" s="409">
        <v>4</v>
      </c>
      <c r="FS255" s="398" t="e">
        <f>IF(FR255=0,0,IF(LEN(FJ255)=11,_xlfn.XLOOKUP(FJ255,'Dispensed Ink Rates'!C:C,'Dispensed Ink Rates'!CS:CS),VLOOKUP(FJ255,'Jan-2026 rates'!$E:$F,2,0)))</f>
        <v>#N/A</v>
      </c>
      <c r="FT255" s="409"/>
      <c r="FU255" s="398">
        <f>IF(FT255=0,0,IF(LEN(FK255)=11,_xlfn.XLOOKUP(FK255,'Dispensed Ink Rates'!C:C,'Dispensed Ink Rates'!CS:CS),VLOOKUP(FK255,'Jan-2026 rates'!$E:$F,2,0)))</f>
        <v>0</v>
      </c>
      <c r="FV255" s="409"/>
      <c r="FW255" s="398">
        <f>IF(FV255=0,0,IF(LEN(FL255)=11,_xlfn.XLOOKUP(FL255,'Dispensed Ink Rates'!C:C,'Dispensed Ink Rates'!CS:CS),VLOOKUP(FL255,'Jan-2026 rates'!$E:$F,2,0)))</f>
        <v>0</v>
      </c>
      <c r="FX255" s="409"/>
      <c r="FY255" s="398">
        <f>IF(FX255=0,0,IF(LEN(FM255)=11,_xlfn.XLOOKUP(FM255,'Dispensed Ink Rates'!C:C,'Dispensed Ink Rates'!CS:CS),VLOOKUP(FM255,'Jan-2026 rates'!$E:$F,2,0)))</f>
        <v>0</v>
      </c>
      <c r="FZ255" s="409"/>
      <c r="GA255" s="398">
        <f>IF(FZ255=0,0,IF(LEN(FN255)=11,_xlfn.XLOOKUP(FN255,'Dispensed Ink Rates'!C:C,'Dispensed Ink Rates'!CS:CS),VLOOKUP(FN255,'Jan-2026 rates'!$E:$F,2,0)))</f>
        <v>0</v>
      </c>
      <c r="GB255" s="409"/>
      <c r="GC255" s="398">
        <f>IF(GB255=0,0,IF(LEN(FO255)=11,_xlfn.XLOOKUP(FO255,'Dispensed Ink Rates'!C:C,'Dispensed Ink Rates'!CS:CS),VLOOKUP(FO255,'Jan-2026 rates'!$E:$F,2,0)))</f>
        <v>0</v>
      </c>
      <c r="GD255" s="409"/>
      <c r="GE255" s="398">
        <f>IF(GD255=0,0,IF(LEN(FP255)=11,_xlfn.XLOOKUP(FP255,'Dispensed Ink Rates'!C:C,'Dispensed Ink Rates'!CS:CS),VLOOKUP(FP255,'Jan-2026 rates'!$E:$F,2,0)))</f>
        <v>0</v>
      </c>
      <c r="GF255" s="409"/>
      <c r="GG255" s="398">
        <f>IF(GF255=0,0,IF(LEN(FQ255)=11,_xlfn.XLOOKUP(FQ255,'Dispensed Ink Rates'!C:C,'Dispensed Ink Rates'!CS:CS),VLOOKUP(FQ255,'Jan-2026 rates'!$E:$F,2,0)))</f>
        <v>0</v>
      </c>
      <c r="GH255" s="409" t="s">
        <v>1443</v>
      </c>
      <c r="GI255" s="409">
        <v>27</v>
      </c>
      <c r="GJ255" s="411">
        <f t="shared" si="171"/>
        <v>0</v>
      </c>
      <c r="GK255" s="411">
        <f t="shared" si="172"/>
        <v>12.763157894736842</v>
      </c>
      <c r="GL255" s="410">
        <f t="shared" si="173"/>
        <v>0</v>
      </c>
      <c r="GM255" s="405" t="s">
        <v>545</v>
      </c>
      <c r="GN255" s="409" t="s">
        <v>4117</v>
      </c>
      <c r="GO255" s="420" t="str">
        <f t="shared" si="188"/>
        <v>FLINTSL - YELLOW</v>
      </c>
      <c r="GP255" s="409">
        <v>25</v>
      </c>
      <c r="GQ255" s="411">
        <f>IF(GP255=0,0,IF($LB255=70%,VLOOKUP($GO255,'Jan-2026 rates'!$L:$R,4,0),IF($LB255=65%,VLOOKUP($GO255,'Jan-2026 rates'!$L:$R,4,0),IF($LB255=40%,VLOOKUP($GO255,'Jan-2026 rates'!$L:$R,5,0),IF($LB255=30%,VLOOKUP($GO255,'Jan-2026 rates'!$L:$R,6,0),IF($LB255=100%,VLOOKUP($GO255,'Jan-2026 rates'!$L:$R,7,0),IF($LB255=60%,VLOOKUP($GO255,'Jan-2026 rates'!$L:$S,8,0),IF($LB255=80%,VLOOKUP($GO255,'Jan-2026 rates'!L:T,9,0),0))))))))</f>
        <v>0</v>
      </c>
      <c r="GR255" s="412"/>
      <c r="GS255" s="409"/>
      <c r="GT255" s="411">
        <f>IF(GS255=0,0,IF($LB255=70%,VLOOKUP($GO255,'Jan-2026 rates'!$L:$R,4,0),IF($LB255=65%,VLOOKUP($GO255,'Jan-2026 rates'!$L:$R,4,0),IF($LB255=40%,VLOOKUP($GO255,'Jan-2026 rates'!$L:$R,5,0),IF($LB255=30%,VLOOKUP($GO255,'Jan-2026 rates'!$L:$R,6,0),IF($LB255=100%,VLOOKUP($GO255,'Jan-2026 rates'!$L:$R,7,0),IF($LB255=60%,VLOOKUP($GO255,'Jan-2026 rates'!$L:$S,8,0),IF($LB255=80%,VLOOKUP($GO255,'Jan-2026 rates'!L:T,9,0),0))))))))</f>
        <v>0</v>
      </c>
      <c r="GU255" s="413">
        <v>26519000024</v>
      </c>
      <c r="GV255" s="413" t="s">
        <v>1266</v>
      </c>
      <c r="GW255" s="412"/>
      <c r="GX255" s="412"/>
      <c r="GY255" s="412"/>
      <c r="GZ255" s="412"/>
      <c r="HA255" s="412"/>
      <c r="HB255" s="412"/>
      <c r="HC255" s="409">
        <v>8</v>
      </c>
      <c r="HD255" s="398" t="e">
        <f>IF(HC255=0,0,IF(LEN(GU255)=11,_xlfn.XLOOKUP(GU255,'Dispensed Ink Rates'!C:C,'Dispensed Ink Rates'!CS:CS),VLOOKUP(GU255,'Jan-2026 rates'!$E:$F,2,0)))</f>
        <v>#N/A</v>
      </c>
      <c r="HE255" s="409">
        <v>6</v>
      </c>
      <c r="HF255" s="398">
        <f>IF(HE255=0,0,IF(LEN(GV255)=11,_xlfn.XLOOKUP(GV255,'Dispensed Ink Rates'!C:C,'Dispensed Ink Rates'!CS:CS),VLOOKUP(GV255,'Jan-2026 rates'!$E:$F,2,0)))</f>
        <v>0</v>
      </c>
      <c r="HG255" s="409"/>
      <c r="HH255" s="398">
        <f>IF(HG255=0,0,IF(LEN(GW255)=11,_xlfn.XLOOKUP(GW255,'Dispensed Ink Rates'!C:C,'Dispensed Ink Rates'!CS:CS),VLOOKUP(GW255,'Jan-2026 rates'!$E:$F,2,0)))</f>
        <v>0</v>
      </c>
      <c r="HI255" s="409"/>
      <c r="HJ255" s="398">
        <f>IF(HI255=0,0,IF(LEN(GX255)=11,_xlfn.XLOOKUP(GX255,'Dispensed Ink Rates'!C:C,'Dispensed Ink Rates'!CS:CS),VLOOKUP(GX255,'Jan-2026 rates'!$E:$F,2,0)))</f>
        <v>0</v>
      </c>
      <c r="HK255" s="409"/>
      <c r="HL255" s="398">
        <f>IF(HK255=0,0,IF(LEN(GY255)=11,_xlfn.XLOOKUP(GY255,'Dispensed Ink Rates'!C:C,'Dispensed Ink Rates'!CS:CS),VLOOKUP(GY255,'Jan-2026 rates'!$E:$F,2,0)))</f>
        <v>0</v>
      </c>
      <c r="HM255" s="409"/>
      <c r="HN255" s="398">
        <f>IF(HM255=0,0,IF(LEN(GZ255)=11,_xlfn.XLOOKUP(GZ255,'Dispensed Ink Rates'!C:C,'Dispensed Ink Rates'!CS:CS),VLOOKUP(GZ255,'Jan-2026 rates'!$E:$F,2,0)))</f>
        <v>0</v>
      </c>
      <c r="HO255" s="409"/>
      <c r="HP255" s="398">
        <f>IF(HO255=0,0,IF(LEN(HA255)=11,_xlfn.XLOOKUP(HA255,'Dispensed Ink Rates'!C:C,'Dispensed Ink Rates'!CS:CS),VLOOKUP(HA255,'Jan-2026 rates'!$E:$F,2,0)))</f>
        <v>0</v>
      </c>
      <c r="HQ255" s="409"/>
      <c r="HR255" s="398">
        <f>IF(HQ255=0,0,IF(LEN(HB255)=11,_xlfn.XLOOKUP(HB255,'Dispensed Ink Rates'!C:C,'Dispensed Ink Rates'!CS:CS),VLOOKUP(HB255,'Jan-2026 rates'!$E:$F,2,0)))</f>
        <v>0</v>
      </c>
      <c r="HS255" s="409" t="s">
        <v>1443</v>
      </c>
      <c r="HT255" s="409">
        <v>29</v>
      </c>
      <c r="HU255" s="411">
        <f t="shared" si="174"/>
        <v>0</v>
      </c>
      <c r="HV255" s="411">
        <f t="shared" si="175"/>
        <v>21.526315789473685</v>
      </c>
      <c r="HW255" s="414">
        <f t="shared" si="176"/>
        <v>0</v>
      </c>
      <c r="HX255" s="405" t="s">
        <v>856</v>
      </c>
      <c r="HY255" s="409" t="s">
        <v>4118</v>
      </c>
      <c r="HZ255" s="420" t="str">
        <f t="shared" si="189"/>
        <v>FLINTSL - WHITE</v>
      </c>
      <c r="IA255" s="409">
        <v>30</v>
      </c>
      <c r="IB255" s="411">
        <f>IF(IA255=0,0,IF($LB255=70%,VLOOKUP($HZ255,'Jan-2026 rates'!$L:$R,4,0),IF($LB255=65%,VLOOKUP($HZ255,'Jan-2026 rates'!$L:$R,4,0),IF($LB255=40%,VLOOKUP($HZ255,'Jan-2026 rates'!$L:$R,5,0),IF($LB255=30%,VLOOKUP($HZ255,'Jan-2026 rates'!$L:$R,6,0),IF($LB255=100%,VLOOKUP($HZ255,'Jan-2026 rates'!$L:$R,7,0),IF($LB255=60%,VLOOKUP($HZ255,'Jan-2026 rates'!$L:$S,8,0),IF($LB255=80%,VLOOKUP($HZ255,'Jan-2026 rates'!L:T,9,0),0))))))))</f>
        <v>0</v>
      </c>
      <c r="IC255" s="412"/>
      <c r="ID255" s="409"/>
      <c r="IE255" s="411">
        <f>IF(ID255=0,0,IF($LB255=70%,VLOOKUP($HZ255,'Jan-2026 rates'!$L:$R,4,0),IF($LB255=65%,VLOOKUP($HZ255,'Jan-2026 rates'!$L:$R,4,0),IF($LB255=40%,VLOOKUP($HZ255,'Jan-2026 rates'!$L:$R,5,0),IF($LB255=30%,VLOOKUP($HZ255,'Jan-2026 rates'!$L:$R,6,0),IF($LB255=100%,VLOOKUP($HZ255,'Jan-2026 rates'!$L:$R,7,0),IF($LB255=60%,VLOOKUP($HZ255,'Jan-2026 rates'!$L:$S,8,0),IF($LB255=80%,VLOOKUP($HZ255,'Jan-2026 rates'!L:T,9,0),0))))))))</f>
        <v>0</v>
      </c>
      <c r="IF255" s="412" t="s">
        <v>484</v>
      </c>
      <c r="IG255" s="413"/>
      <c r="IH255" s="412"/>
      <c r="II255" s="412"/>
      <c r="IJ255" s="412"/>
      <c r="IK255" s="412"/>
      <c r="IL255" s="412"/>
      <c r="IM255" s="412"/>
      <c r="IN255" s="409">
        <f>50+30</f>
        <v>80</v>
      </c>
      <c r="IO255" s="398">
        <f>IF(IN255=0,0,IF(LEN(IF255)=11,_xlfn.XLOOKUP(IF255,'Dispensed Ink Rates'!C:C,'Dispensed Ink Rates'!CS:CS),VLOOKUP(IF255,'Jan-2026 rates'!$E:$F,2,0)))</f>
        <v>0</v>
      </c>
      <c r="IP255" s="409"/>
      <c r="IQ255" s="398">
        <f>IF(IP255=0,0,IF(LEN(IG255)=11,_xlfn.XLOOKUP(IG255,'Dispensed Ink Rates'!C:C,'Dispensed Ink Rates'!CS:CS),VLOOKUP(IG255,'Jan-2026 rates'!$E:$F,2,0)))</f>
        <v>0</v>
      </c>
      <c r="IR255" s="409"/>
      <c r="IS255" s="398">
        <f>IF(IR255=0,0,IF(LEN(IH255)=11,_xlfn.XLOOKUP(IH255,'Dispensed Ink Rates'!C:C,'Dispensed Ink Rates'!CS:CS),VLOOKUP(IH255,'Jan-2026 rates'!$E:$F,2,0)))</f>
        <v>0</v>
      </c>
      <c r="IT255" s="409"/>
      <c r="IU255" s="398">
        <f>IF(IT255=0,0,IF(LEN(II255)=11,_xlfn.XLOOKUP(II255,'Dispensed Ink Rates'!C:C,'Dispensed Ink Rates'!CS:CS),VLOOKUP(II255,'Jan-2026 rates'!$E:$F,2,0)))</f>
        <v>0</v>
      </c>
      <c r="IV255" s="409"/>
      <c r="IW255" s="398">
        <f>IF(IV255=0,0,IF(LEN(IJ255)=11,_xlfn.XLOOKUP(IJ255,'Dispensed Ink Rates'!C:C,'Dispensed Ink Rates'!CS:CS),VLOOKUP(IJ255,'Jan-2026 rates'!$E:$F,2,0)))</f>
        <v>0</v>
      </c>
      <c r="IX255" s="409"/>
      <c r="IY255" s="398">
        <f>IF(IX255=0,0,IF(LEN(IK255)=11,_xlfn.XLOOKUP(IK255,'Dispensed Ink Rates'!C:C,'Dispensed Ink Rates'!CS:CS),VLOOKUP(IK255,'Jan-2026 rates'!$E:$F,2,0)))</f>
        <v>0</v>
      </c>
      <c r="IZ255" s="409"/>
      <c r="JA255" s="398">
        <f>IF(IZ255=0,0,IF(LEN(IL255)=11,_xlfn.XLOOKUP(IL255,'Dispensed Ink Rates'!C:C,'Dispensed Ink Rates'!CS:CS),VLOOKUP(IL255,'Jan-2026 rates'!$E:$F,2,0)))</f>
        <v>0</v>
      </c>
      <c r="JB255" s="409"/>
      <c r="JC255" s="398">
        <f>IF(JB255=0,0,IF(LEN(IM255)=11,_xlfn.XLOOKUP(IM255,'Dispensed Ink Rates'!C:C,'Dispensed Ink Rates'!CS:CS),VLOOKUP(IM255,'Jan-2026 rates'!$E:$F,2,0)))</f>
        <v>0</v>
      </c>
      <c r="JD255" s="409" t="s">
        <v>1443</v>
      </c>
      <c r="JE255" s="409">
        <v>27</v>
      </c>
      <c r="JF255" s="411">
        <f t="shared" si="177"/>
        <v>0</v>
      </c>
      <c r="JG255" s="411">
        <f t="shared" si="178"/>
        <v>179.05263157894737</v>
      </c>
      <c r="JH255" s="410">
        <f t="shared" si="179"/>
        <v>0</v>
      </c>
      <c r="JI255" s="405"/>
      <c r="JJ255" s="409"/>
      <c r="JK255" s="420" t="str">
        <f t="shared" si="190"/>
        <v xml:space="preserve"> - </v>
      </c>
      <c r="JL255" s="409"/>
      <c r="JM255" s="411">
        <f>IF(JL255=0,0,IF($LB255=70%,VLOOKUP($JK255,'Jan-2026 rates'!$L:$R,4,0),IF($LB255=65%,VLOOKUP($JK255,'Jan-2026 rates'!$L:$R,4,0),IF($LB255=40%,VLOOKUP($JK255,'Jan-2026 rates'!$L:$R,5,0),IF($LB255=30%,VLOOKUP($JK255,'Jan-2026 rates'!$L:$R,6,0),IF($LB255=100%,VLOOKUP($JK255,'Jan-2026 rates'!$L:$R,7,0),IF($LB255=60%,VLOOKUP($JK255,'Jan-2026 rates'!$L:$S,8,0),IF($LB255=80%,VLOOKUP($JK255,'Jan-2026 rates'!L:T,9,0),0))))))))</f>
        <v>0</v>
      </c>
      <c r="JN255" s="412"/>
      <c r="JO255" s="409"/>
      <c r="JP255" s="411">
        <f>IF(JO255=0,0,IF($LB255=70%,VLOOKUP($JK255,'Jan-2026 rates'!$L:$R,4,0),IF($LB255=65%,VLOOKUP($JK255,'Jan-2026 rates'!$L:$R,4,0),IF($LB255=40%,VLOOKUP($JK255,'Jan-2026 rates'!$L:$R,5,0),IF($LB255=30%,VLOOKUP($JK255,'Jan-2026 rates'!$L:$R,6,0),IF($LB255=100%,VLOOKUP($JK255,'Jan-2026 rates'!$L:$R,7,0),IF($LB255=60%,VLOOKUP($JK255,'Jan-2026 rates'!$L:$S,8,0),IF($LB255=80%,VLOOKUP($JK255,'Jan-2026 rates'!L:T,9,0),0))))))))</f>
        <v>0</v>
      </c>
      <c r="JQ255" s="413"/>
      <c r="JR255" s="412"/>
      <c r="JS255" s="413"/>
      <c r="JT255" s="413"/>
      <c r="JU255" s="412"/>
      <c r="JV255" s="412"/>
      <c r="JW255" s="412"/>
      <c r="JX255" s="412"/>
      <c r="JY255" s="409"/>
      <c r="JZ255" s="398">
        <f>IF(JY255=0,0,IF(LEN(JQ255)=11,_xlfn.XLOOKUP(JQ255,'Dispensed Ink Rates'!C:C,'Dispensed Ink Rates'!CS:CS),VLOOKUP(JQ255,'Jan-2026 rates'!$E:$F,2,0)))</f>
        <v>0</v>
      </c>
      <c r="KA255" s="409"/>
      <c r="KB255" s="398">
        <f>IF(KA255=0,0,IF(LEN(JR255)=11,_xlfn.XLOOKUP(JR255,'Dispensed Ink Rates'!C:C,'Dispensed Ink Rates'!CS:CS),VLOOKUP(JR255,'Jan-2026 rates'!$E:$F,2,0)))</f>
        <v>0</v>
      </c>
      <c r="KC255" s="409"/>
      <c r="KD255" s="398">
        <f>IF(KC255=0,0,IF(LEN(JS255)=11,_xlfn.XLOOKUP(JS255,'Dispensed Ink Rates'!C:C,'Dispensed Ink Rates'!CS:CS),VLOOKUP(JS255,'Jan-2026 rates'!$E:$F,2,0)))</f>
        <v>0</v>
      </c>
      <c r="KE255" s="409"/>
      <c r="KF255" s="398">
        <f>IF(KE255=0,0,IF(LEN(JT255)=11,_xlfn.XLOOKUP(JT255,'Dispensed Ink Rates'!C:C,'Dispensed Ink Rates'!CS:CS),VLOOKUP(JT255,'Jan-2026 rates'!$E:$F,2,0)))</f>
        <v>0</v>
      </c>
      <c r="KG255" s="409"/>
      <c r="KH255" s="398">
        <f>IF(KG255=0,0,IF(LEN(JU255)=11,_xlfn.XLOOKUP(JU255,'Dispensed Ink Rates'!C:C,'Dispensed Ink Rates'!CS:CS),VLOOKUP(JU255,'Jan-2026 rates'!$E:$F,2,0)))</f>
        <v>0</v>
      </c>
      <c r="KI255" s="409"/>
      <c r="KJ255" s="398">
        <f>IF(KI255=0,0,IF(LEN(JV255)=11,_xlfn.XLOOKUP(JV255,'Dispensed Ink Rates'!C:C,'Dispensed Ink Rates'!CS:CS),VLOOKUP(JV255,'Jan-2026 rates'!$E:$F,2,0)))</f>
        <v>0</v>
      </c>
      <c r="KK255" s="409"/>
      <c r="KL255" s="398">
        <f>IF(KK255=0,0,IF(LEN(JW255)=11,_xlfn.XLOOKUP(JW255,'Dispensed Ink Rates'!C:C,'Dispensed Ink Rates'!CS:CS),VLOOKUP(JW255,'Jan-2026 rates'!$E:$F,2,0)))</f>
        <v>0</v>
      </c>
      <c r="KM255" s="428"/>
      <c r="KN255" s="398">
        <f>IF(KM255=0,0,IF(LEN(JX255)=11,_xlfn.XLOOKUP(JX255,'Dispensed Ink Rates'!C:C,'Dispensed Ink Rates'!CS:CS),VLOOKUP(JX255,'Jan-2026 rates'!$E:$F,2,0)))</f>
        <v>0</v>
      </c>
      <c r="KO255" s="409"/>
      <c r="KP255" s="409"/>
      <c r="KQ255" s="411">
        <f t="shared" si="180"/>
        <v>0</v>
      </c>
      <c r="KR255" s="411">
        <f t="shared" si="181"/>
        <v>0</v>
      </c>
      <c r="KS255" s="410">
        <f t="shared" si="182"/>
        <v>0</v>
      </c>
      <c r="KT255" s="409">
        <v>4</v>
      </c>
      <c r="KU255" s="409">
        <v>2</v>
      </c>
      <c r="KV255" s="409">
        <v>3</v>
      </c>
      <c r="KW255" s="409">
        <v>8</v>
      </c>
      <c r="KX255" s="409">
        <v>3</v>
      </c>
      <c r="KY255" s="409">
        <v>6</v>
      </c>
      <c r="KZ255" s="409">
        <f>30+20</f>
        <v>50</v>
      </c>
      <c r="LA255" s="409">
        <v>0</v>
      </c>
      <c r="LB255" s="415">
        <v>0.8</v>
      </c>
      <c r="LC255" s="415">
        <v>0.2</v>
      </c>
      <c r="LD255" s="415"/>
      <c r="LE255" s="415"/>
      <c r="LF255" s="415"/>
      <c r="LG255" s="409">
        <v>0</v>
      </c>
      <c r="LH255" s="409">
        <f>50+46+40+10</f>
        <v>146</v>
      </c>
      <c r="LI255" s="409">
        <v>0</v>
      </c>
      <c r="LJ255" s="409">
        <v>0</v>
      </c>
      <c r="LK255" s="416">
        <f t="shared" si="191"/>
        <v>146</v>
      </c>
      <c r="LL255" s="416">
        <f t="shared" si="192"/>
        <v>146</v>
      </c>
      <c r="LM255" s="417">
        <f t="shared" si="193"/>
        <v>116.80000000000001</v>
      </c>
      <c r="LN255" s="417">
        <f>VLOOKUP($LM$8,'Jan-2026 rates'!$H:$I,2,0)</f>
        <v>0</v>
      </c>
      <c r="LO255" s="417">
        <f t="shared" si="194"/>
        <v>29.200000000000003</v>
      </c>
      <c r="LP255" s="417">
        <f>VLOOKUP($LO$8,'Jan-2026 rates'!$H:$I,2,0)</f>
        <v>0</v>
      </c>
      <c r="LQ255" s="417">
        <f t="shared" si="195"/>
        <v>0</v>
      </c>
      <c r="LR255" s="417">
        <f>VLOOKUP($LQ$8,'Jan-2026 rates'!$H:$I,2,0)</f>
        <v>0</v>
      </c>
      <c r="LS255" s="417">
        <f t="shared" si="196"/>
        <v>0</v>
      </c>
      <c r="LT255" s="417">
        <f>VLOOKUP($LS$8,'Jan-2026 rates'!$H:$I,2,0)</f>
        <v>0</v>
      </c>
      <c r="LU255" s="417">
        <f t="shared" si="197"/>
        <v>0</v>
      </c>
      <c r="LV255" s="417">
        <f>VLOOKUP($LU$8,'Jan-2026 rates'!$H:$I,2,0)</f>
        <v>0</v>
      </c>
      <c r="LW255" s="417">
        <f t="shared" si="198"/>
        <v>0</v>
      </c>
      <c r="LX255" s="417">
        <f t="shared" si="199"/>
        <v>0</v>
      </c>
      <c r="LY255" s="418">
        <f t="shared" si="200"/>
        <v>0</v>
      </c>
      <c r="LZ255" s="417"/>
      <c r="MA255" s="435">
        <f t="shared" si="201"/>
        <v>140</v>
      </c>
      <c r="MB255" s="282">
        <f t="shared" si="202"/>
        <v>302</v>
      </c>
      <c r="MC255" s="283">
        <v>148</v>
      </c>
      <c r="MD255" s="284" t="str">
        <f t="shared" si="203"/>
        <v>FLINTSLFLINTSLFLINTSLFLINTSLFLINTSLFLINTSLFLINTSL</v>
      </c>
      <c r="ME255" s="293" t="str">
        <f t="shared" si="204"/>
        <v>+</v>
      </c>
      <c r="MF255" s="293" t="str">
        <f t="shared" si="205"/>
        <v>+</v>
      </c>
      <c r="MG255" s="293" t="str">
        <f t="shared" si="206"/>
        <v>+</v>
      </c>
      <c r="MH255" s="293" t="str">
        <f t="shared" si="207"/>
        <v>+</v>
      </c>
      <c r="MI255" s="293" t="str">
        <f t="shared" si="208"/>
        <v>+</v>
      </c>
      <c r="MJ255" s="293" t="str">
        <f t="shared" si="209"/>
        <v>+</v>
      </c>
      <c r="MK255" s="293" t="str">
        <f t="shared" si="210"/>
        <v>+</v>
      </c>
      <c r="ML255" s="293" t="str">
        <f t="shared" si="211"/>
        <v>NIL</v>
      </c>
      <c r="MM255" s="3" t="b">
        <f t="array" ref="MM255">OR(ME255:ML255="-")</f>
        <v>0</v>
      </c>
      <c r="MN255" s="285"/>
      <c r="MO255" s="401"/>
      <c r="MP255" s="286"/>
      <c r="MQ255" s="286"/>
      <c r="MR255" s="402"/>
      <c r="MS255" s="400"/>
      <c r="NH255" s="422"/>
      <c r="NJ255" s="421"/>
    </row>
    <row r="256" spans="1:374" s="1" customFormat="1" ht="16.5">
      <c r="A256" s="403">
        <v>46041</v>
      </c>
      <c r="B256" s="404" t="s">
        <v>1018</v>
      </c>
      <c r="C256" s="405" t="s">
        <v>4119</v>
      </c>
      <c r="D256" s="406">
        <v>149</v>
      </c>
      <c r="E256" s="404">
        <v>220</v>
      </c>
      <c r="F256" s="407">
        <v>17500</v>
      </c>
      <c r="G256" s="407" t="s">
        <v>1016</v>
      </c>
      <c r="H256" s="408" t="s">
        <v>1017</v>
      </c>
      <c r="I256" s="409">
        <v>0.3</v>
      </c>
      <c r="J256" s="405" t="s">
        <v>547</v>
      </c>
      <c r="K256" s="404"/>
      <c r="L256" s="419" t="str">
        <f t="shared" si="184"/>
        <v>FLINTSL - GREEN</v>
      </c>
      <c r="M256" s="404"/>
      <c r="N256" s="410">
        <f>IF(M256=0,0,IF($LB256=70%,VLOOKUP($L256,'Jan-2026 rates'!$L:$R,4,0),IF($LB256=65%,VLOOKUP($L256,'Jan-2026 rates'!$L:$R,4,0),IF($LB256=40%,VLOOKUP($L256,'Jan-2026 rates'!$L:$R,5,0),IF($LB256=30%,VLOOKUP($L256,'Jan-2026 rates'!$L:$R,6,0),IF($LB256=100%,VLOOKUP($L256,'Jan-2026 rates'!$L:$R,7,0),IF($LB256=60%,VLOOKUP($L256,'Jan-2026 rates'!$L:$S,8,0),IF($LB256=80%,VLOOKUP($L256,'Jan-2026 rates'!L:T,9,0),0))))))))</f>
        <v>0</v>
      </c>
      <c r="O256" s="406"/>
      <c r="P256" s="404"/>
      <c r="Q256" s="410">
        <f>IF(P256=0,0,IF($LB256=70%,VLOOKUP($L256,'Jan-2026 rates'!$L:$R,4,0),IF($LB256=65%,VLOOKUP($L256,'Jan-2026 rates'!$L:$R,4,0),IF($LB256=40%,VLOOKUP($L256,'Jan-2026 rates'!$L:$R,5,0),IF($LB256=30%,VLOOKUP($L256,'Jan-2026 rates'!$L:$R,6,0),IF($LB256=100%,VLOOKUP($L256,'Jan-2026 rates'!$L:$R,7,0),IF($LB256=60%,VLOOKUP($L256,'Jan-2026 rates'!$L:$S,8,0),IF($LB256=80%,VLOOKUP($L256,'Jan-2026 rates'!L:T,9,0),0))))))))</f>
        <v>0</v>
      </c>
      <c r="R256" s="406">
        <v>26517000012</v>
      </c>
      <c r="S256" s="406">
        <v>26519000015</v>
      </c>
      <c r="T256" s="406">
        <v>26519000026</v>
      </c>
      <c r="U256" s="406"/>
      <c r="V256" s="406"/>
      <c r="W256" s="406"/>
      <c r="X256" s="406"/>
      <c r="Y256" s="406"/>
      <c r="Z256" s="404">
        <f>15+14</f>
        <v>29</v>
      </c>
      <c r="AA256" s="398" t="e">
        <f>IF(Z256=0,0,IF(LEN(R256)=11,_xlfn.XLOOKUP(R256,'Dispensed Ink Rates'!C:C,'Dispensed Ink Rates'!CS:CS),VLOOKUP(R256,'Jan-2026 rates'!$E:$F,2,0)))</f>
        <v>#N/A</v>
      </c>
      <c r="AB256" s="404">
        <v>3</v>
      </c>
      <c r="AC256" s="398" t="e">
        <f>IF(AB256=0,0,IF(LEN(S256)=11,_xlfn.XLOOKUP(S256,'Dispensed Ink Rates'!C:C,'Dispensed Ink Rates'!CS:CS),VLOOKUP(S256,'Jan-2026 rates'!$E:$F,2,0)))</f>
        <v>#N/A</v>
      </c>
      <c r="AD256" s="404">
        <v>3</v>
      </c>
      <c r="AE256" s="398" t="e">
        <f>IF(AD256=0,0,IF(LEN(T256)=11,_xlfn.XLOOKUP(T256,'Dispensed Ink Rates'!C:C,'Dispensed Ink Rates'!CS:CS),VLOOKUP(T256,'Jan-2026 rates'!$E:$F,2,0)))</f>
        <v>#N/A</v>
      </c>
      <c r="AF256" s="404"/>
      <c r="AG256" s="398">
        <f>IF(AF256=0,0,IF(LEN(U256)=11,_xlfn.XLOOKUP(U256,'Dispensed Ink Rates'!C:C,'Dispensed Ink Rates'!CS:CS),VLOOKUP(U256,'Jan-2026 rates'!$E:$F,2,0)))</f>
        <v>0</v>
      </c>
      <c r="AH256" s="404"/>
      <c r="AI256" s="398">
        <f>IF(AH256=0,0,IF(LEN(V256)=11,_xlfn.XLOOKUP(V256,'Dispensed Ink Rates'!C:C,'Dispensed Ink Rates'!CS:CS),VLOOKUP(V256,'Jan-2026 rates'!$E:$F,2,0)))</f>
        <v>0</v>
      </c>
      <c r="AJ256" s="404"/>
      <c r="AK256" s="398">
        <f>IF(AJ256=0,0,IF(LEN(W256)=11,_xlfn.XLOOKUP(W256,'Dispensed Ink Rates'!C:C,'Dispensed Ink Rates'!CS:CS),VLOOKUP(W256,'Jan-2026 rates'!$E:$F,2,0)))</f>
        <v>0</v>
      </c>
      <c r="AL256" s="404"/>
      <c r="AM256" s="398">
        <f>IF(AL256=0,0,IF(LEN(X256)=11,_xlfn.XLOOKUP(X256,'Dispensed Ink Rates'!C:C,'Dispensed Ink Rates'!CS:CS),VLOOKUP(X256,'Jan-2026 rates'!$E:$F,2,0)))</f>
        <v>0</v>
      </c>
      <c r="AN256" s="404"/>
      <c r="AO256" s="398">
        <f>IF(AN256=0,0,IF(LEN(Y256)=11,_xlfn.XLOOKUP(Y256,'Dispensed Ink Rates'!C:C,'Dispensed Ink Rates'!CS:CS),VLOOKUP(Y256,'Jan-2026 rates'!$E:$F,2,0)))</f>
        <v>0</v>
      </c>
      <c r="AP256" s="409" t="s">
        <v>1443</v>
      </c>
      <c r="AQ256" s="409">
        <v>24</v>
      </c>
      <c r="AR256" s="410">
        <f t="shared" si="159"/>
        <v>0</v>
      </c>
      <c r="AS256" s="411">
        <f t="shared" si="160"/>
        <v>17.470588235294116</v>
      </c>
      <c r="AT256" s="410">
        <f t="shared" si="161"/>
        <v>0</v>
      </c>
      <c r="AU256" s="405" t="s">
        <v>547</v>
      </c>
      <c r="AV256" s="409"/>
      <c r="AW256" s="420" t="str">
        <f t="shared" si="183"/>
        <v>FLINTSL - GREEN</v>
      </c>
      <c r="AX256" s="409"/>
      <c r="AY256" s="411">
        <f>IF(AX256=0,0,IF($LB256=70%,VLOOKUP($AW256,'Jan-2026 rates'!$L:$R,4,0),IF($LB256=65%,VLOOKUP($AW256,'Jan-2026 rates'!$L:$R,4,0),IF($LB256=40%,VLOOKUP($AW256,'Jan-2026 rates'!$L:$R,5,0),IF($LB256=30%,VLOOKUP($AW256,'Jan-2026 rates'!$L:$R,6,0),IF($LB256=100%,VLOOKUP($AW256,'Jan-2026 rates'!$L:$R,7,0),IF($LB256=60%,VLOOKUP($AW256,'Jan-2026 rates'!$L:$S,8,0),IF($LB256=80%,VLOOKUP($AW256,'Jan-2026 rates'!L:T,9,0),0))))))))</f>
        <v>0</v>
      </c>
      <c r="AZ256" s="412"/>
      <c r="BA256" s="409"/>
      <c r="BB256" s="411">
        <f>IF(BA256=0,0,IF($LB256=70%,VLOOKUP($AW256,'Jan-2026 rates'!$L:$R,4,0),IF($LB256=65%,VLOOKUP($AW256,'Jan-2026 rates'!$L:$R,4,0),IF($LB256=40%,VLOOKUP($AW256,'Jan-2026 rates'!$L:$R,5,0),IF($LB256=30%,VLOOKUP($AW256,'Jan-2026 rates'!$L:$R,6,0),IF($LB256=100%,VLOOKUP($AW256,'Jan-2026 rates'!$L:$R,7,0),IF($LB256=60%,VLOOKUP($AW256,'Jan-2026 rates'!$L:$S,8,0),IF($LB256=80%,VLOOKUP($AW256,'Jan-2026 rates'!L:T,9,0),0))))))))</f>
        <v>0</v>
      </c>
      <c r="BC256" s="413">
        <v>26517000038</v>
      </c>
      <c r="BD256" s="412">
        <v>26519000015</v>
      </c>
      <c r="BE256" s="412">
        <v>26519000016</v>
      </c>
      <c r="BF256" s="413"/>
      <c r="BG256" s="412"/>
      <c r="BH256" s="412"/>
      <c r="BI256" s="412"/>
      <c r="BJ256" s="412"/>
      <c r="BK256" s="409">
        <v>30</v>
      </c>
      <c r="BL256" s="398" t="e">
        <f>IF(BK256=0,0,IF(LEN(BC256)=11,_xlfn.XLOOKUP(BC256,'Dispensed Ink Rates'!C:C,'Dispensed Ink Rates'!CS:CS),VLOOKUP(BC256,'Jan-2026 rates'!$E:$F,2,0)))</f>
        <v>#N/A</v>
      </c>
      <c r="BM256" s="409">
        <v>5</v>
      </c>
      <c r="BN256" s="398" t="e">
        <f>IF(BM256=0,0,IF(LEN(BD256)=11,_xlfn.XLOOKUP(BD256,'Dispensed Ink Rates'!C:C,'Dispensed Ink Rates'!CS:CS),VLOOKUP(BD256,'Jan-2026 rates'!$E:$F,2,0)))</f>
        <v>#N/A</v>
      </c>
      <c r="BO256" s="409">
        <v>3</v>
      </c>
      <c r="BP256" s="398" t="e">
        <f>IF(BO256=0,0,IF(LEN(BE256)=11,_xlfn.XLOOKUP(BE256,'Dispensed Ink Rates'!C:C,'Dispensed Ink Rates'!CS:CS),VLOOKUP(BE256,'Jan-2026 rates'!$E:$F,2,0)))</f>
        <v>#N/A</v>
      </c>
      <c r="BQ256" s="409"/>
      <c r="BR256" s="398">
        <f>IF(BQ256=0,0,IF(LEN(BF256)=11,_xlfn.XLOOKUP(BF256,'Dispensed Ink Rates'!C:C,'Dispensed Ink Rates'!CS:CS),VLOOKUP(BF256,'Jan-2026 rates'!$E:$F,2,0)))</f>
        <v>0</v>
      </c>
      <c r="BS256" s="409"/>
      <c r="BT256" s="398">
        <f>IF(BS256=0,0,IF(LEN(BG256)=11,_xlfn.XLOOKUP(BG256,'Dispensed Ink Rates'!C:C,'Dispensed Ink Rates'!CS:CS),VLOOKUP(BG256,'Jan-2026 rates'!$E:$F,2,0)))</f>
        <v>0</v>
      </c>
      <c r="BU256" s="409"/>
      <c r="BV256" s="398">
        <f>IF(BU256=0,0,IF(LEN(BH256)=11,_xlfn.XLOOKUP(BH256,'Dispensed Ink Rates'!C:C,'Dispensed Ink Rates'!CS:CS),VLOOKUP(BH256,'Jan-2026 rates'!$E:$F,2,0)))</f>
        <v>0</v>
      </c>
      <c r="BW256" s="409"/>
      <c r="BX256" s="398">
        <f>IF(BW256=0,0,IF(LEN(BI256)=11,_xlfn.XLOOKUP(BI256,'Dispensed Ink Rates'!C:C,'Dispensed Ink Rates'!CS:CS),VLOOKUP(BI256,'Jan-2026 rates'!$E:$F,2,0)))</f>
        <v>0</v>
      </c>
      <c r="BY256" s="409"/>
      <c r="BZ256" s="398">
        <f>IF(BY256=0,0,IF(LEN(BJ256)=11,_xlfn.XLOOKUP(BJ256,'Dispensed Ink Rates'!C:C,'Dispensed Ink Rates'!CS:CS),VLOOKUP(BJ256,'Jan-2026 rates'!$E:$F,2,0)))</f>
        <v>0</v>
      </c>
      <c r="CA256" s="409" t="s">
        <v>1443</v>
      </c>
      <c r="CB256" s="409">
        <v>28</v>
      </c>
      <c r="CC256" s="411">
        <f t="shared" si="162"/>
        <v>0</v>
      </c>
      <c r="CD256" s="411">
        <f t="shared" si="163"/>
        <v>12.588235294117645</v>
      </c>
      <c r="CE256" s="410">
        <f t="shared" si="164"/>
        <v>0</v>
      </c>
      <c r="CF256" s="404" t="s">
        <v>857</v>
      </c>
      <c r="CG256" s="409" t="s">
        <v>4120</v>
      </c>
      <c r="CH256" s="420" t="str">
        <f t="shared" si="185"/>
        <v>FLINTSL - RED</v>
      </c>
      <c r="CI256" s="409">
        <v>25</v>
      </c>
      <c r="CJ256" s="411">
        <f>IF(CI256=0,0,IF($LB256=70%,VLOOKUP($CH256,'Jan-2026 rates'!$L:$R,4,0),IF($LB256=65%,VLOOKUP($CH256,'Jan-2026 rates'!$L:$R,4,0),IF($LB256=40%,VLOOKUP($CH256,'Jan-2026 rates'!$L:$R,5,0),IF($LB256=30%,VLOOKUP($CH256,'Jan-2026 rates'!$L:$R,6,0),IF($LB256=100%,VLOOKUP($CH256,'Jan-2026 rates'!$L:$R,7,0),IF($LB256=60%,VLOOKUP($CH256,'Jan-2026 rates'!$L:$S,8,0),IF($LB256=80%,VLOOKUP($CH256,'Jan-2026 rates'!L:T,9,0),0))))))))</f>
        <v>0</v>
      </c>
      <c r="CK256" s="412"/>
      <c r="CL256" s="409"/>
      <c r="CM256" s="411">
        <f>IF(CL256=0,0,IF($LB256=70%,VLOOKUP($CH256,'Jan-2026 rates'!$L:$R,4,0),IF($LB256=65%,VLOOKUP($CH256,'Jan-2026 rates'!$L:$R,4,0),IF($LB256=40%,VLOOKUP($CH256,'Jan-2026 rates'!$L:$R,5,0),IF($LB256=30%,VLOOKUP($CH256,'Jan-2026 rates'!$L:$R,6,0),IF($LB256=100%,VLOOKUP($CH256,'Jan-2026 rates'!$L:$R,7,0),IF($LB256=60%,VLOOKUP($CH256,'Jan-2026 rates'!$L:$S,8,0),IF($LB256=80%,VLOOKUP($CH256,'Jan-2026 rates'!L:T,9,0),0))))))))</f>
        <v>0</v>
      </c>
      <c r="CN256" s="426">
        <v>26519000024</v>
      </c>
      <c r="CO256" s="427"/>
      <c r="CP256" s="426"/>
      <c r="CQ256" s="426"/>
      <c r="CR256" s="428"/>
      <c r="CS256" s="428"/>
      <c r="CT256" s="428"/>
      <c r="CU256" s="428"/>
      <c r="CV256" s="409">
        <v>3</v>
      </c>
      <c r="CW256" s="398" t="e">
        <f>IF(CV256=0,0,IF(LEN(CN256)=11,_xlfn.XLOOKUP(CN256,'Dispensed Ink Rates'!C:C,'Dispensed Ink Rates'!CS:CS),VLOOKUP(CN256,'Jan-2026 rates'!$E:$F,2,0)))</f>
        <v>#N/A</v>
      </c>
      <c r="CX256" s="409"/>
      <c r="CY256" s="398">
        <f>IF(CX256=0,0,IF(LEN(CO256)=11,_xlfn.XLOOKUP(CO256,'Dispensed Ink Rates'!C:C,'Dispensed Ink Rates'!CS:CS),VLOOKUP(CO256,'Jan-2026 rates'!$E:$F,2,0)))</f>
        <v>0</v>
      </c>
      <c r="CZ256" s="409"/>
      <c r="DA256" s="398">
        <f>IF(CZ256=0,0,IF(LEN(CP256)=11,_xlfn.XLOOKUP(CP256,'Dispensed Ink Rates'!C:C,'Dispensed Ink Rates'!CS:CS),VLOOKUP(CP256,'Jan-2026 rates'!$E:$F,2,0)))</f>
        <v>0</v>
      </c>
      <c r="DB256" s="409"/>
      <c r="DC256" s="398">
        <f>IF(DB256=0,0,IF(LEN(CQ256)=11,_xlfn.XLOOKUP(CQ256,'Dispensed Ink Rates'!C:C,'Dispensed Ink Rates'!CS:CS),VLOOKUP(CQ256,'Jan-2026 rates'!$E:$F,2,0)))</f>
        <v>0</v>
      </c>
      <c r="DD256" s="409"/>
      <c r="DE256" s="398">
        <f>IF(DD256=0,0,IF(LEN(CR256)=11,_xlfn.XLOOKUP(CR256,'Dispensed Ink Rates'!C:C,'Dispensed Ink Rates'!CS:CS),VLOOKUP(CR256,'Jan-2026 rates'!$E:$F,2,0)))</f>
        <v>0</v>
      </c>
      <c r="DF256" s="409"/>
      <c r="DG256" s="398">
        <f>IF(DF256=0,0,IF(LEN(CS256)=11,_xlfn.XLOOKUP(CS256,'Dispensed Ink Rates'!C:C,'Dispensed Ink Rates'!CS:CS),VLOOKUP(CS256,'Jan-2026 rates'!$E:$F,2,0)))</f>
        <v>0</v>
      </c>
      <c r="DH256" s="409"/>
      <c r="DI256" s="398">
        <f>IF(DH256=0,0,IF(LEN(CT256)=11,_xlfn.XLOOKUP(CT256,'Dispensed Ink Rates'!C:C,'Dispensed Ink Rates'!CS:CS),VLOOKUP(CT256,'Jan-2026 rates'!$E:$F,2,0)))</f>
        <v>0</v>
      </c>
      <c r="DJ256" s="409"/>
      <c r="DK256" s="398">
        <f>IF(DJ256=0,0,IF(LEN(CU256)=11,_xlfn.XLOOKUP(CU256,'Dispensed Ink Rates'!C:C,'Dispensed Ink Rates'!CS:CS),VLOOKUP(CU256,'Jan-2026 rates'!$E:$F,2,0)))</f>
        <v>0</v>
      </c>
      <c r="DL256" s="409" t="s">
        <v>1443</v>
      </c>
      <c r="DM256" s="409">
        <v>27</v>
      </c>
      <c r="DN256" s="411">
        <f t="shared" si="165"/>
        <v>0</v>
      </c>
      <c r="DO256" s="411">
        <f t="shared" si="166"/>
        <v>3.5882352941176485</v>
      </c>
      <c r="DP256" s="410">
        <f t="shared" si="167"/>
        <v>0</v>
      </c>
      <c r="DQ256" s="405" t="s">
        <v>545</v>
      </c>
      <c r="DR256" s="409" t="s">
        <v>4121</v>
      </c>
      <c r="DS256" s="420" t="str">
        <f t="shared" si="186"/>
        <v>FLINTSL - YELLOW</v>
      </c>
      <c r="DT256" s="409">
        <v>15</v>
      </c>
      <c r="DU256" s="411">
        <f>IF(DT256=0,0,IF($LB256=70%,VLOOKUP($DS256,'Jan-2026 rates'!$L:$R,4,0),IF($LB256=65%,VLOOKUP($DS256,'Jan-2026 rates'!$L:$R,4,0),IF($LB256=40%,VLOOKUP($DS256,'Jan-2026 rates'!$L:$R,5,0),IF($LB256=30%,VLOOKUP($DS256,'Jan-2026 rates'!$L:$R,6,0),IF($LB256=100%,VLOOKUP($DS256,'Jan-2026 rates'!$L:$R,7,0),IF($LB256=60%,VLOOKUP($DS256,'Jan-2026 rates'!$L:$S,8,0),IF($LB256=80%,VLOOKUP($DS256,'Jan-2026 rates'!L:T,9,0),0))))))))</f>
        <v>0</v>
      </c>
      <c r="DV256" s="412"/>
      <c r="DW256" s="409"/>
      <c r="DX256" s="411">
        <f>IF(DW256=0,0,IF($LB256=70%,VLOOKUP($DS256,'Jan-2026 rates'!$L:$R,4,0),IF($LB256=65%,VLOOKUP($DS256,'Jan-2026 rates'!$L:$R,4,0),IF($LB256=40%,VLOOKUP($DS256,'Jan-2026 rates'!$L:$R,5,0),IF($LB256=30%,VLOOKUP($DS256,'Jan-2026 rates'!$L:$R,6,0),IF($LB256=100%,VLOOKUP($DS256,'Jan-2026 rates'!$L:$R,7,0),IF($LB256=60%,VLOOKUP($DS256,'Jan-2026 rates'!$L:$S,8,0),IF($LB256=80%,VLOOKUP($DS256,'Jan-2026 rates'!L:T,9,0),0))))))))</f>
        <v>0</v>
      </c>
      <c r="DY256" s="413" t="s">
        <v>1266</v>
      </c>
      <c r="DZ256" s="413"/>
      <c r="EA256" s="412"/>
      <c r="EB256" s="412"/>
      <c r="EC256" s="412"/>
      <c r="ED256" s="412"/>
      <c r="EE256" s="412"/>
      <c r="EF256" s="412"/>
      <c r="EG256" s="409">
        <v>5</v>
      </c>
      <c r="EH256" s="398">
        <f>IF(EG256=0,0,IF(LEN(DY256)=11,_xlfn.XLOOKUP(DY256,'Dispensed Ink Rates'!C:C,'Dispensed Ink Rates'!CS:CS),VLOOKUP(DY256,'Jan-2026 rates'!$E:$F,2,0)))</f>
        <v>0</v>
      </c>
      <c r="EI256" s="409"/>
      <c r="EJ256" s="398">
        <f>IF(EI256=0,0,IF(LEN(DZ256)=11,_xlfn.XLOOKUP(DZ256,'Dispensed Ink Rates'!C:C,'Dispensed Ink Rates'!CS:CS),VLOOKUP(DZ256,'Jan-2026 rates'!$E:$F,2,0)))</f>
        <v>0</v>
      </c>
      <c r="EK256" s="409"/>
      <c r="EL256" s="398">
        <f>IF(EK256=0,0,IF(LEN(EA256)=11,_xlfn.XLOOKUP(EA256,'Dispensed Ink Rates'!C:C,'Dispensed Ink Rates'!CS:CS),VLOOKUP(EA256,'Jan-2026 rates'!$E:$F,2,0)))</f>
        <v>0</v>
      </c>
      <c r="EM256" s="409"/>
      <c r="EN256" s="398">
        <f>IF(EM256=0,0,IF(LEN(EB256)=11,_xlfn.XLOOKUP(EB256,'Dispensed Ink Rates'!C:C,'Dispensed Ink Rates'!CS:CS),VLOOKUP(EB256,'Jan-2026 rates'!$E:$F,2,0)))</f>
        <v>0</v>
      </c>
      <c r="EO256" s="409"/>
      <c r="EP256" s="398">
        <f>IF(EO256=0,0,IF(LEN(EC256)=11,_xlfn.XLOOKUP(EC256,'Dispensed Ink Rates'!C:C,'Dispensed Ink Rates'!CS:CS),VLOOKUP(EC256,'Jan-2026 rates'!$E:$F,2,0)))</f>
        <v>0</v>
      </c>
      <c r="EQ256" s="409"/>
      <c r="ER256" s="398">
        <f>IF(EQ256=0,0,IF(LEN(ED256)=11,_xlfn.XLOOKUP(ED256,'Dispensed Ink Rates'!C:C,'Dispensed Ink Rates'!CS:CS),VLOOKUP(ED256,'Jan-2026 rates'!$E:$F,2,0)))</f>
        <v>0</v>
      </c>
      <c r="ES256" s="409"/>
      <c r="ET256" s="398">
        <f>IF(ES256=0,0,IF(LEN(EE256)=11,_xlfn.XLOOKUP(EE256,'Dispensed Ink Rates'!C:C,'Dispensed Ink Rates'!CS:CS),VLOOKUP(EE256,'Jan-2026 rates'!$E:$F,2,0)))</f>
        <v>0</v>
      </c>
      <c r="EU256" s="409"/>
      <c r="EV256" s="398">
        <f>IF(EU256=0,0,IF(LEN(EF256)=11,_xlfn.XLOOKUP(EF256,'Dispensed Ink Rates'!C:C,'Dispensed Ink Rates'!CS:CS),VLOOKUP(EF256,'Jan-2026 rates'!$E:$F,2,0)))</f>
        <v>0</v>
      </c>
      <c r="EW256" s="409" t="s">
        <v>1443</v>
      </c>
      <c r="EX256" s="409">
        <v>23</v>
      </c>
      <c r="EY256" s="411">
        <f t="shared" si="168"/>
        <v>0</v>
      </c>
      <c r="EZ256" s="411">
        <f t="shared" si="169"/>
        <v>3.470588235294116</v>
      </c>
      <c r="FA256" s="410">
        <f t="shared" si="170"/>
        <v>0</v>
      </c>
      <c r="FB256" s="405" t="s">
        <v>545</v>
      </c>
      <c r="FC256" s="409" t="s">
        <v>4121</v>
      </c>
      <c r="FD256" s="420" t="str">
        <f t="shared" si="187"/>
        <v>FLINTSL - YELLOW</v>
      </c>
      <c r="FE256" s="409">
        <v>15</v>
      </c>
      <c r="FF256" s="411">
        <f>IF(FE256=0,0,IF($LB256=70%,VLOOKUP($FD256,'Jan-2026 rates'!$L:$R,4,0),IF($LB256=65%,VLOOKUP($FD256,'Jan-2026 rates'!$L:$R,4,0),IF($LB256=40%,VLOOKUP($FD256,'Jan-2026 rates'!$L:$R,5,0),IF($LB256=30%,VLOOKUP($FD256,'Jan-2026 rates'!$L:$R,6,0),IF($LB256=100%,VLOOKUP($FD256,'Jan-2026 rates'!$L:$R,7,0),IF($LB256=60%,VLOOKUP($FD256,'Jan-2026 rates'!$L:$S,8,0),IF($LB256=80%,VLOOKUP($FD256,'Jan-2026 rates'!L:T,9,0),0))))))))</f>
        <v>0</v>
      </c>
      <c r="FG256" s="412"/>
      <c r="FH256" s="409"/>
      <c r="FI256" s="411">
        <f>IF(FH256=0,0,IF($LB256=70%,VLOOKUP($FD256,'Jan-2026 rates'!$L:$R,4,0),IF($LB256=65%,VLOOKUP($FD256,'Jan-2026 rates'!$L:$R,4,0),IF($LB256=40%,VLOOKUP($FD256,'Jan-2026 rates'!$L:$R,5,0),IF($LB256=30%,VLOOKUP($FD256,'Jan-2026 rates'!$L:$R,6,0),IF($LB256=100%,VLOOKUP($FD256,'Jan-2026 rates'!$L:$R,7,0),IF($LB256=60%,VLOOKUP($FD256,'Jan-2026 rates'!$L:$S,8,0),IF($LB256=80%,VLOOKUP($FD256,'Jan-2026 rates'!L:T,9,0),0))))))))</f>
        <v>0</v>
      </c>
      <c r="FJ256" s="413" t="s">
        <v>1266</v>
      </c>
      <c r="FK256" s="413">
        <v>26520000011</v>
      </c>
      <c r="FL256" s="413" t="s">
        <v>484</v>
      </c>
      <c r="FM256" s="412"/>
      <c r="FN256" s="412"/>
      <c r="FO256" s="412"/>
      <c r="FP256" s="412"/>
      <c r="FQ256" s="412"/>
      <c r="FR256" s="409">
        <v>6</v>
      </c>
      <c r="FS256" s="398">
        <f>IF(FR256=0,0,IF(LEN(FJ256)=11,_xlfn.XLOOKUP(FJ256,'Dispensed Ink Rates'!C:C,'Dispensed Ink Rates'!CS:CS),VLOOKUP(FJ256,'Jan-2026 rates'!$E:$F,2,0)))</f>
        <v>0</v>
      </c>
      <c r="FT256" s="409">
        <v>0.4</v>
      </c>
      <c r="FU256" s="398" t="e">
        <f>IF(FT256=0,0,IF(LEN(FK256)=11,_xlfn.XLOOKUP(FK256,'Dispensed Ink Rates'!C:C,'Dispensed Ink Rates'!CS:CS),VLOOKUP(FK256,'Jan-2026 rates'!$E:$F,2,0)))</f>
        <v>#N/A</v>
      </c>
      <c r="FV256" s="409">
        <v>3</v>
      </c>
      <c r="FW256" s="398">
        <f>IF(FV256=0,0,IF(LEN(FL256)=11,_xlfn.XLOOKUP(FL256,'Dispensed Ink Rates'!C:C,'Dispensed Ink Rates'!CS:CS),VLOOKUP(FL256,'Jan-2026 rates'!$E:$F,2,0)))</f>
        <v>0</v>
      </c>
      <c r="FX256" s="409"/>
      <c r="FY256" s="398">
        <f>IF(FX256=0,0,IF(LEN(FM256)=11,_xlfn.XLOOKUP(FM256,'Dispensed Ink Rates'!C:C,'Dispensed Ink Rates'!CS:CS),VLOOKUP(FM256,'Jan-2026 rates'!$E:$F,2,0)))</f>
        <v>0</v>
      </c>
      <c r="FZ256" s="409"/>
      <c r="GA256" s="398">
        <f>IF(FZ256=0,0,IF(LEN(FN256)=11,_xlfn.XLOOKUP(FN256,'Dispensed Ink Rates'!C:C,'Dispensed Ink Rates'!CS:CS),VLOOKUP(FN256,'Jan-2026 rates'!$E:$F,2,0)))</f>
        <v>0</v>
      </c>
      <c r="GB256" s="409"/>
      <c r="GC256" s="398">
        <f>IF(GB256=0,0,IF(LEN(FO256)=11,_xlfn.XLOOKUP(FO256,'Dispensed Ink Rates'!C:C,'Dispensed Ink Rates'!CS:CS),VLOOKUP(FO256,'Jan-2026 rates'!$E:$F,2,0)))</f>
        <v>0</v>
      </c>
      <c r="GD256" s="409"/>
      <c r="GE256" s="398">
        <f>IF(GD256=0,0,IF(LEN(FP256)=11,_xlfn.XLOOKUP(FP256,'Dispensed Ink Rates'!C:C,'Dispensed Ink Rates'!CS:CS),VLOOKUP(FP256,'Jan-2026 rates'!$E:$F,2,0)))</f>
        <v>0</v>
      </c>
      <c r="GF256" s="409"/>
      <c r="GG256" s="398">
        <f>IF(GF256=0,0,IF(LEN(FQ256)=11,_xlfn.XLOOKUP(FQ256,'Dispensed Ink Rates'!C:C,'Dispensed Ink Rates'!CS:CS),VLOOKUP(FQ256,'Jan-2026 rates'!$E:$F,2,0)))</f>
        <v>0</v>
      </c>
      <c r="GH256" s="409" t="s">
        <v>1443</v>
      </c>
      <c r="GI256" s="409">
        <v>23</v>
      </c>
      <c r="GJ256" s="411">
        <f t="shared" si="171"/>
        <v>0</v>
      </c>
      <c r="GK256" s="411">
        <f t="shared" si="172"/>
        <v>9.1647058823529406</v>
      </c>
      <c r="GL256" s="410">
        <f t="shared" si="173"/>
        <v>0</v>
      </c>
      <c r="GM256" s="405" t="s">
        <v>856</v>
      </c>
      <c r="GN256" s="409" t="s">
        <v>4122</v>
      </c>
      <c r="GO256" s="420" t="str">
        <f t="shared" si="188"/>
        <v>FLINTSL - WHITE</v>
      </c>
      <c r="GP256" s="409">
        <v>20</v>
      </c>
      <c r="GQ256" s="411">
        <f>IF(GP256=0,0,IF($LB256=70%,VLOOKUP($GO256,'Jan-2026 rates'!$L:$R,4,0),IF($LB256=65%,VLOOKUP($GO256,'Jan-2026 rates'!$L:$R,4,0),IF($LB256=40%,VLOOKUP($GO256,'Jan-2026 rates'!$L:$R,5,0),IF($LB256=30%,VLOOKUP($GO256,'Jan-2026 rates'!$L:$R,6,0),IF($LB256=100%,VLOOKUP($GO256,'Jan-2026 rates'!$L:$R,7,0),IF($LB256=60%,VLOOKUP($GO256,'Jan-2026 rates'!$L:$S,8,0),IF($LB256=80%,VLOOKUP($GO256,'Jan-2026 rates'!L:T,9,0),0))))))))</f>
        <v>0</v>
      </c>
      <c r="GR256" s="412"/>
      <c r="GS256" s="409"/>
      <c r="GT256" s="411">
        <f>IF(GS256=0,0,IF($LB256=70%,VLOOKUP($GO256,'Jan-2026 rates'!$L:$R,4,0),IF($LB256=65%,VLOOKUP($GO256,'Jan-2026 rates'!$L:$R,4,0),IF($LB256=40%,VLOOKUP($GO256,'Jan-2026 rates'!$L:$R,5,0),IF($LB256=30%,VLOOKUP($GO256,'Jan-2026 rates'!$L:$R,6,0),IF($LB256=100%,VLOOKUP($GO256,'Jan-2026 rates'!$L:$R,7,0),IF($LB256=60%,VLOOKUP($GO256,'Jan-2026 rates'!$L:$S,8,0),IF($LB256=80%,VLOOKUP($GO256,'Jan-2026 rates'!L:T,9,0),0))))))))</f>
        <v>0</v>
      </c>
      <c r="GU256" s="413" t="s">
        <v>484</v>
      </c>
      <c r="GV256" s="413"/>
      <c r="GW256" s="412"/>
      <c r="GX256" s="412"/>
      <c r="GY256" s="412"/>
      <c r="GZ256" s="412"/>
      <c r="HA256" s="412"/>
      <c r="HB256" s="412"/>
      <c r="HC256" s="409">
        <v>28</v>
      </c>
      <c r="HD256" s="398">
        <f>IF(HC256=0,0,IF(LEN(GU256)=11,_xlfn.XLOOKUP(GU256,'Dispensed Ink Rates'!C:C,'Dispensed Ink Rates'!CS:CS),VLOOKUP(GU256,'Jan-2026 rates'!$E:$F,2,0)))</f>
        <v>0</v>
      </c>
      <c r="HE256" s="409"/>
      <c r="HF256" s="398">
        <f>IF(HE256=0,0,IF(LEN(GV256)=11,_xlfn.XLOOKUP(GV256,'Dispensed Ink Rates'!C:C,'Dispensed Ink Rates'!CS:CS),VLOOKUP(GV256,'Jan-2026 rates'!$E:$F,2,0)))</f>
        <v>0</v>
      </c>
      <c r="HG256" s="409"/>
      <c r="HH256" s="398">
        <f>IF(HG256=0,0,IF(LEN(GW256)=11,_xlfn.XLOOKUP(GW256,'Dispensed Ink Rates'!C:C,'Dispensed Ink Rates'!CS:CS),VLOOKUP(GW256,'Jan-2026 rates'!$E:$F,2,0)))</f>
        <v>0</v>
      </c>
      <c r="HI256" s="409"/>
      <c r="HJ256" s="398">
        <f>IF(HI256=0,0,IF(LEN(GX256)=11,_xlfn.XLOOKUP(GX256,'Dispensed Ink Rates'!C:C,'Dispensed Ink Rates'!CS:CS),VLOOKUP(GX256,'Jan-2026 rates'!$E:$F,2,0)))</f>
        <v>0</v>
      </c>
      <c r="HK256" s="409"/>
      <c r="HL256" s="398">
        <f>IF(HK256=0,0,IF(LEN(GY256)=11,_xlfn.XLOOKUP(GY256,'Dispensed Ink Rates'!C:C,'Dispensed Ink Rates'!CS:CS),VLOOKUP(GY256,'Jan-2026 rates'!$E:$F,2,0)))</f>
        <v>0</v>
      </c>
      <c r="HM256" s="409"/>
      <c r="HN256" s="398">
        <f>IF(HM256=0,0,IF(LEN(GZ256)=11,_xlfn.XLOOKUP(GZ256,'Dispensed Ink Rates'!C:C,'Dispensed Ink Rates'!CS:CS),VLOOKUP(GZ256,'Jan-2026 rates'!$E:$F,2,0)))</f>
        <v>0</v>
      </c>
      <c r="HO256" s="409"/>
      <c r="HP256" s="398">
        <f>IF(HO256=0,0,IF(LEN(HA256)=11,_xlfn.XLOOKUP(HA256,'Dispensed Ink Rates'!C:C,'Dispensed Ink Rates'!CS:CS),VLOOKUP(HA256,'Jan-2026 rates'!$E:$F,2,0)))</f>
        <v>0</v>
      </c>
      <c r="HQ256" s="409"/>
      <c r="HR256" s="398">
        <f>IF(HQ256=0,0,IF(LEN(HB256)=11,_xlfn.XLOOKUP(HB256,'Dispensed Ink Rates'!C:C,'Dispensed Ink Rates'!CS:CS),VLOOKUP(HB256,'Jan-2026 rates'!$E:$F,2,0)))</f>
        <v>0</v>
      </c>
      <c r="HS256" s="409" t="s">
        <v>1443</v>
      </c>
      <c r="HT256" s="409">
        <v>30</v>
      </c>
      <c r="HU256" s="411">
        <f t="shared" si="174"/>
        <v>0</v>
      </c>
      <c r="HV256" s="411">
        <f t="shared" si="175"/>
        <v>36.117647058823536</v>
      </c>
      <c r="HW256" s="414">
        <f t="shared" si="176"/>
        <v>0</v>
      </c>
      <c r="HX256" s="405"/>
      <c r="HY256" s="409"/>
      <c r="HZ256" s="420" t="str">
        <f t="shared" si="189"/>
        <v xml:space="preserve"> - </v>
      </c>
      <c r="IA256" s="409"/>
      <c r="IB256" s="411">
        <f>IF(IA256=0,0,IF($LB256=70%,VLOOKUP($HZ256,'Jan-2026 rates'!$L:$R,4,0),IF($LB256=65%,VLOOKUP($HZ256,'Jan-2026 rates'!$L:$R,4,0),IF($LB256=40%,VLOOKUP($HZ256,'Jan-2026 rates'!$L:$R,5,0),IF($LB256=30%,VLOOKUP($HZ256,'Jan-2026 rates'!$L:$R,6,0),IF($LB256=100%,VLOOKUP($HZ256,'Jan-2026 rates'!$L:$R,7,0),IF($LB256=60%,VLOOKUP($HZ256,'Jan-2026 rates'!$L:$S,8,0),IF($LB256=80%,VLOOKUP($HZ256,'Jan-2026 rates'!L:T,9,0),0))))))))</f>
        <v>0</v>
      </c>
      <c r="IC256" s="412"/>
      <c r="ID256" s="409"/>
      <c r="IE256" s="411">
        <f>IF(ID256=0,0,IF($LB256=70%,VLOOKUP($HZ256,'Jan-2026 rates'!$L:$R,4,0),IF($LB256=65%,VLOOKUP($HZ256,'Jan-2026 rates'!$L:$R,4,0),IF($LB256=40%,VLOOKUP($HZ256,'Jan-2026 rates'!$L:$R,5,0),IF($LB256=30%,VLOOKUP($HZ256,'Jan-2026 rates'!$L:$R,6,0),IF($LB256=100%,VLOOKUP($HZ256,'Jan-2026 rates'!$L:$R,7,0),IF($LB256=60%,VLOOKUP($HZ256,'Jan-2026 rates'!$L:$S,8,0),IF($LB256=80%,VLOOKUP($HZ256,'Jan-2026 rates'!L:T,9,0),0))))))))</f>
        <v>0</v>
      </c>
      <c r="IF256" s="412"/>
      <c r="IG256" s="413"/>
      <c r="IH256" s="412"/>
      <c r="II256" s="412"/>
      <c r="IJ256" s="412"/>
      <c r="IK256" s="412"/>
      <c r="IL256" s="412"/>
      <c r="IM256" s="412"/>
      <c r="IN256" s="409"/>
      <c r="IO256" s="398">
        <f>IF(IN256=0,0,IF(LEN(IF256)=11,_xlfn.XLOOKUP(IF256,'Dispensed Ink Rates'!C:C,'Dispensed Ink Rates'!CS:CS),VLOOKUP(IF256,'Jan-2026 rates'!$E:$F,2,0)))</f>
        <v>0</v>
      </c>
      <c r="IP256" s="409"/>
      <c r="IQ256" s="398">
        <f>IF(IP256=0,0,IF(LEN(IG256)=11,_xlfn.XLOOKUP(IG256,'Dispensed Ink Rates'!C:C,'Dispensed Ink Rates'!CS:CS),VLOOKUP(IG256,'Jan-2026 rates'!$E:$F,2,0)))</f>
        <v>0</v>
      </c>
      <c r="IR256" s="409"/>
      <c r="IS256" s="398">
        <f>IF(IR256=0,0,IF(LEN(IH256)=11,_xlfn.XLOOKUP(IH256,'Dispensed Ink Rates'!C:C,'Dispensed Ink Rates'!CS:CS),VLOOKUP(IH256,'Jan-2026 rates'!$E:$F,2,0)))</f>
        <v>0</v>
      </c>
      <c r="IT256" s="409"/>
      <c r="IU256" s="398">
        <f>IF(IT256=0,0,IF(LEN(II256)=11,_xlfn.XLOOKUP(II256,'Dispensed Ink Rates'!C:C,'Dispensed Ink Rates'!CS:CS),VLOOKUP(II256,'Jan-2026 rates'!$E:$F,2,0)))</f>
        <v>0</v>
      </c>
      <c r="IV256" s="409"/>
      <c r="IW256" s="398">
        <f>IF(IV256=0,0,IF(LEN(IJ256)=11,_xlfn.XLOOKUP(IJ256,'Dispensed Ink Rates'!C:C,'Dispensed Ink Rates'!CS:CS),VLOOKUP(IJ256,'Jan-2026 rates'!$E:$F,2,0)))</f>
        <v>0</v>
      </c>
      <c r="IX256" s="409"/>
      <c r="IY256" s="398">
        <f>IF(IX256=0,0,IF(LEN(IK256)=11,_xlfn.XLOOKUP(IK256,'Dispensed Ink Rates'!C:C,'Dispensed Ink Rates'!CS:CS),VLOOKUP(IK256,'Jan-2026 rates'!$E:$F,2,0)))</f>
        <v>0</v>
      </c>
      <c r="IZ256" s="409"/>
      <c r="JA256" s="398">
        <f>IF(IZ256=0,0,IF(LEN(IL256)=11,_xlfn.XLOOKUP(IL256,'Dispensed Ink Rates'!C:C,'Dispensed Ink Rates'!CS:CS),VLOOKUP(IL256,'Jan-2026 rates'!$E:$F,2,0)))</f>
        <v>0</v>
      </c>
      <c r="JB256" s="409"/>
      <c r="JC256" s="398">
        <f>IF(JB256=0,0,IF(LEN(IM256)=11,_xlfn.XLOOKUP(IM256,'Dispensed Ink Rates'!C:C,'Dispensed Ink Rates'!CS:CS),VLOOKUP(IM256,'Jan-2026 rates'!$E:$F,2,0)))</f>
        <v>0</v>
      </c>
      <c r="JD256" s="409"/>
      <c r="JE256" s="409"/>
      <c r="JF256" s="411">
        <f t="shared" si="177"/>
        <v>0</v>
      </c>
      <c r="JG256" s="411">
        <f t="shared" si="178"/>
        <v>0</v>
      </c>
      <c r="JH256" s="410">
        <f t="shared" si="179"/>
        <v>0</v>
      </c>
      <c r="JI256" s="405"/>
      <c r="JJ256" s="409"/>
      <c r="JK256" s="420" t="str">
        <f t="shared" si="190"/>
        <v xml:space="preserve"> - </v>
      </c>
      <c r="JL256" s="409"/>
      <c r="JM256" s="411">
        <f>IF(JL256=0,0,IF($LB256=70%,VLOOKUP($JK256,'Jan-2026 rates'!$L:$R,4,0),IF($LB256=65%,VLOOKUP($JK256,'Jan-2026 rates'!$L:$R,4,0),IF($LB256=40%,VLOOKUP($JK256,'Jan-2026 rates'!$L:$R,5,0),IF($LB256=30%,VLOOKUP($JK256,'Jan-2026 rates'!$L:$R,6,0),IF($LB256=100%,VLOOKUP($JK256,'Jan-2026 rates'!$L:$R,7,0),IF($LB256=60%,VLOOKUP($JK256,'Jan-2026 rates'!$L:$S,8,0),IF($LB256=80%,VLOOKUP($JK256,'Jan-2026 rates'!L:T,9,0),0))))))))</f>
        <v>0</v>
      </c>
      <c r="JN256" s="412"/>
      <c r="JO256" s="409"/>
      <c r="JP256" s="411">
        <f>IF(JO256=0,0,IF($LB256=70%,VLOOKUP($JK256,'Jan-2026 rates'!$L:$R,4,0),IF($LB256=65%,VLOOKUP($JK256,'Jan-2026 rates'!$L:$R,4,0),IF($LB256=40%,VLOOKUP($JK256,'Jan-2026 rates'!$L:$R,5,0),IF($LB256=30%,VLOOKUP($JK256,'Jan-2026 rates'!$L:$R,6,0),IF($LB256=100%,VLOOKUP($JK256,'Jan-2026 rates'!$L:$R,7,0),IF($LB256=60%,VLOOKUP($JK256,'Jan-2026 rates'!$L:$S,8,0),IF($LB256=80%,VLOOKUP($JK256,'Jan-2026 rates'!L:T,9,0),0))))))))</f>
        <v>0</v>
      </c>
      <c r="JQ256" s="413"/>
      <c r="JR256" s="412"/>
      <c r="JS256" s="413"/>
      <c r="JT256" s="413"/>
      <c r="JU256" s="412"/>
      <c r="JV256" s="412"/>
      <c r="JW256" s="412"/>
      <c r="JX256" s="412"/>
      <c r="JY256" s="409"/>
      <c r="JZ256" s="398">
        <f>IF(JY256=0,0,IF(LEN(JQ256)=11,_xlfn.XLOOKUP(JQ256,'Dispensed Ink Rates'!C:C,'Dispensed Ink Rates'!CS:CS),VLOOKUP(JQ256,'Jan-2026 rates'!$E:$F,2,0)))</f>
        <v>0</v>
      </c>
      <c r="KA256" s="409"/>
      <c r="KB256" s="398">
        <f>IF(KA256=0,0,IF(LEN(JR256)=11,_xlfn.XLOOKUP(JR256,'Dispensed Ink Rates'!C:C,'Dispensed Ink Rates'!CS:CS),VLOOKUP(JR256,'Jan-2026 rates'!$E:$F,2,0)))</f>
        <v>0</v>
      </c>
      <c r="KC256" s="409"/>
      <c r="KD256" s="398">
        <f>IF(KC256=0,0,IF(LEN(JS256)=11,_xlfn.XLOOKUP(JS256,'Dispensed Ink Rates'!C:C,'Dispensed Ink Rates'!CS:CS),VLOOKUP(JS256,'Jan-2026 rates'!$E:$F,2,0)))</f>
        <v>0</v>
      </c>
      <c r="KE256" s="409"/>
      <c r="KF256" s="398">
        <f>IF(KE256=0,0,IF(LEN(JT256)=11,_xlfn.XLOOKUP(JT256,'Dispensed Ink Rates'!C:C,'Dispensed Ink Rates'!CS:CS),VLOOKUP(JT256,'Jan-2026 rates'!$E:$F,2,0)))</f>
        <v>0</v>
      </c>
      <c r="KG256" s="409"/>
      <c r="KH256" s="398">
        <f>IF(KG256=0,0,IF(LEN(JU256)=11,_xlfn.XLOOKUP(JU256,'Dispensed Ink Rates'!C:C,'Dispensed Ink Rates'!CS:CS),VLOOKUP(JU256,'Jan-2026 rates'!$E:$F,2,0)))</f>
        <v>0</v>
      </c>
      <c r="KI256" s="409"/>
      <c r="KJ256" s="398">
        <f>IF(KI256=0,0,IF(LEN(JV256)=11,_xlfn.XLOOKUP(JV256,'Dispensed Ink Rates'!C:C,'Dispensed Ink Rates'!CS:CS),VLOOKUP(JV256,'Jan-2026 rates'!$E:$F,2,0)))</f>
        <v>0</v>
      </c>
      <c r="KK256" s="409"/>
      <c r="KL256" s="398">
        <f>IF(KK256=0,0,IF(LEN(JW256)=11,_xlfn.XLOOKUP(JW256,'Dispensed Ink Rates'!C:C,'Dispensed Ink Rates'!CS:CS),VLOOKUP(JW256,'Jan-2026 rates'!$E:$F,2,0)))</f>
        <v>0</v>
      </c>
      <c r="KM256" s="428"/>
      <c r="KN256" s="398">
        <f>IF(KM256=0,0,IF(LEN(JX256)=11,_xlfn.XLOOKUP(JX256,'Dispensed Ink Rates'!C:C,'Dispensed Ink Rates'!CS:CS),VLOOKUP(JX256,'Jan-2026 rates'!$E:$F,2,0)))</f>
        <v>0</v>
      </c>
      <c r="KO256" s="409"/>
      <c r="KP256" s="409"/>
      <c r="KQ256" s="411">
        <f t="shared" si="180"/>
        <v>0</v>
      </c>
      <c r="KR256" s="411">
        <f t="shared" si="181"/>
        <v>0</v>
      </c>
      <c r="KS256" s="410">
        <f t="shared" si="182"/>
        <v>0</v>
      </c>
      <c r="KT256" s="409">
        <v>5</v>
      </c>
      <c r="KU256" s="409">
        <v>2</v>
      </c>
      <c r="KV256" s="409">
        <v>2</v>
      </c>
      <c r="KW256" s="409">
        <v>5</v>
      </c>
      <c r="KX256" s="409">
        <v>6</v>
      </c>
      <c r="KY256" s="409">
        <f>10+4</f>
        <v>14</v>
      </c>
      <c r="KZ256" s="409">
        <v>0</v>
      </c>
      <c r="LA256" s="409">
        <v>0</v>
      </c>
      <c r="LB256" s="415">
        <v>0.8</v>
      </c>
      <c r="LC256" s="415">
        <v>0.2</v>
      </c>
      <c r="LD256" s="415"/>
      <c r="LE256" s="415"/>
      <c r="LF256" s="415"/>
      <c r="LG256" s="409">
        <v>0</v>
      </c>
      <c r="LH256" s="409">
        <f>14+10+16+4</f>
        <v>44</v>
      </c>
      <c r="LI256" s="409">
        <v>0</v>
      </c>
      <c r="LJ256" s="409">
        <v>0</v>
      </c>
      <c r="LK256" s="416">
        <f t="shared" si="191"/>
        <v>44</v>
      </c>
      <c r="LL256" s="416">
        <f t="shared" si="192"/>
        <v>44</v>
      </c>
      <c r="LM256" s="417">
        <f t="shared" si="193"/>
        <v>35.200000000000003</v>
      </c>
      <c r="LN256" s="417">
        <f>VLOOKUP($LM$8,'Jan-2026 rates'!$H:$I,2,0)</f>
        <v>0</v>
      </c>
      <c r="LO256" s="417">
        <f t="shared" si="194"/>
        <v>8.8000000000000007</v>
      </c>
      <c r="LP256" s="417">
        <f>VLOOKUP($LO$8,'Jan-2026 rates'!$H:$I,2,0)</f>
        <v>0</v>
      </c>
      <c r="LQ256" s="417">
        <f t="shared" si="195"/>
        <v>0</v>
      </c>
      <c r="LR256" s="417">
        <f>VLOOKUP($LQ$8,'Jan-2026 rates'!$H:$I,2,0)</f>
        <v>0</v>
      </c>
      <c r="LS256" s="417">
        <f t="shared" si="196"/>
        <v>0</v>
      </c>
      <c r="LT256" s="417">
        <f>VLOOKUP($LS$8,'Jan-2026 rates'!$H:$I,2,0)</f>
        <v>0</v>
      </c>
      <c r="LU256" s="417">
        <f t="shared" si="197"/>
        <v>0</v>
      </c>
      <c r="LV256" s="417">
        <f>VLOOKUP($LU$8,'Jan-2026 rates'!$H:$I,2,0)</f>
        <v>0</v>
      </c>
      <c r="LW256" s="417">
        <f t="shared" si="198"/>
        <v>0</v>
      </c>
      <c r="LX256" s="417">
        <f t="shared" si="199"/>
        <v>0</v>
      </c>
      <c r="LY256" s="418">
        <f t="shared" si="200"/>
        <v>0</v>
      </c>
      <c r="LZ256" s="417"/>
      <c r="MA256" s="435">
        <f t="shared" si="201"/>
        <v>118.4</v>
      </c>
      <c r="MB256" s="282">
        <f t="shared" si="202"/>
        <v>82.4</v>
      </c>
      <c r="MC256" s="283">
        <v>149</v>
      </c>
      <c r="MD256" s="284" t="str">
        <f t="shared" si="203"/>
        <v>FLINTSLFLINTSLFLINTSLFLINTSLFLINTSLFLINTSL</v>
      </c>
      <c r="ME256" s="293" t="str">
        <f t="shared" si="204"/>
        <v>+</v>
      </c>
      <c r="MF256" s="293" t="str">
        <f t="shared" si="205"/>
        <v>+</v>
      </c>
      <c r="MG256" s="293" t="str">
        <f t="shared" si="206"/>
        <v>+</v>
      </c>
      <c r="MH256" s="293" t="str">
        <f t="shared" si="207"/>
        <v>+</v>
      </c>
      <c r="MI256" s="293" t="str">
        <f t="shared" si="208"/>
        <v>+</v>
      </c>
      <c r="MJ256" s="293" t="str">
        <f t="shared" si="209"/>
        <v>+</v>
      </c>
      <c r="MK256" s="293" t="str">
        <f t="shared" si="210"/>
        <v>NIL</v>
      </c>
      <c r="ML256" s="293" t="str">
        <f t="shared" si="211"/>
        <v>NIL</v>
      </c>
      <c r="MM256" s="3" t="b">
        <f t="array" ref="MM256">OR(ME256:ML256="-")</f>
        <v>0</v>
      </c>
      <c r="MN256" s="285"/>
      <c r="MO256" s="401"/>
      <c r="MP256" s="286"/>
      <c r="MQ256" s="286"/>
      <c r="MR256" s="402"/>
      <c r="MS256" s="400"/>
      <c r="NH256" s="422"/>
      <c r="NJ256" s="421"/>
    </row>
    <row r="257" spans="1:374" s="1" customFormat="1" ht="16.5">
      <c r="A257" s="403">
        <v>46041</v>
      </c>
      <c r="B257" s="404" t="s">
        <v>1018</v>
      </c>
      <c r="C257" s="405" t="s">
        <v>4123</v>
      </c>
      <c r="D257" s="406">
        <v>150</v>
      </c>
      <c r="E257" s="404">
        <v>300</v>
      </c>
      <c r="F257" s="407">
        <v>14700</v>
      </c>
      <c r="G257" s="407" t="s">
        <v>1016</v>
      </c>
      <c r="H257" s="408" t="s">
        <v>1017</v>
      </c>
      <c r="I257" s="409">
        <v>0.3</v>
      </c>
      <c r="J257" s="405" t="s">
        <v>547</v>
      </c>
      <c r="K257" s="404" t="s">
        <v>4124</v>
      </c>
      <c r="L257" s="419" t="str">
        <f t="shared" si="184"/>
        <v>FLINTSL - GREEN</v>
      </c>
      <c r="M257" s="404">
        <v>24</v>
      </c>
      <c r="N257" s="410">
        <f>IF(M257=0,0,IF($LB257=70%,VLOOKUP($L257,'Jan-2026 rates'!$L:$R,4,0),IF($LB257=65%,VLOOKUP($L257,'Jan-2026 rates'!$L:$R,4,0),IF($LB257=40%,VLOOKUP($L257,'Jan-2026 rates'!$L:$R,5,0),IF($LB257=30%,VLOOKUP($L257,'Jan-2026 rates'!$L:$R,6,0),IF($LB257=100%,VLOOKUP($L257,'Jan-2026 rates'!$L:$R,7,0),IF($LB257=60%,VLOOKUP($L257,'Jan-2026 rates'!$L:$S,8,0),IF($LB257=80%,VLOOKUP($L257,'Jan-2026 rates'!L:T,9,0),0))))))))</f>
        <v>0</v>
      </c>
      <c r="O257" s="406"/>
      <c r="P257" s="404"/>
      <c r="Q257" s="410">
        <f>IF(P257=0,0,IF($LB257=70%,VLOOKUP($L257,'Jan-2026 rates'!$L:$R,4,0),IF($LB257=65%,VLOOKUP($L257,'Jan-2026 rates'!$L:$R,4,0),IF($LB257=40%,VLOOKUP($L257,'Jan-2026 rates'!$L:$R,5,0),IF($LB257=30%,VLOOKUP($L257,'Jan-2026 rates'!$L:$R,6,0),IF($LB257=100%,VLOOKUP($L257,'Jan-2026 rates'!$L:$R,7,0),IF($LB257=60%,VLOOKUP($L257,'Jan-2026 rates'!$L:$S,8,0),IF($LB257=80%,VLOOKUP($L257,'Jan-2026 rates'!L:T,9,0),0))))))))</f>
        <v>0</v>
      </c>
      <c r="R257" s="406">
        <v>26519000024</v>
      </c>
      <c r="S257" s="406">
        <v>26519000015</v>
      </c>
      <c r="T257" s="406"/>
      <c r="U257" s="406"/>
      <c r="V257" s="406"/>
      <c r="W257" s="406"/>
      <c r="X257" s="406"/>
      <c r="Y257" s="406"/>
      <c r="Z257" s="404">
        <v>2</v>
      </c>
      <c r="AA257" s="398" t="e">
        <f>IF(Z257=0,0,IF(LEN(R257)=11,_xlfn.XLOOKUP(R257,'Dispensed Ink Rates'!C:C,'Dispensed Ink Rates'!CS:CS),VLOOKUP(R257,'Jan-2026 rates'!$E:$F,2,0)))</f>
        <v>#N/A</v>
      </c>
      <c r="AB257" s="404">
        <v>1</v>
      </c>
      <c r="AC257" s="398" t="e">
        <f>IF(AB257=0,0,IF(LEN(S257)=11,_xlfn.XLOOKUP(S257,'Dispensed Ink Rates'!C:C,'Dispensed Ink Rates'!CS:CS),VLOOKUP(S257,'Jan-2026 rates'!$E:$F,2,0)))</f>
        <v>#N/A</v>
      </c>
      <c r="AD257" s="404"/>
      <c r="AE257" s="398">
        <f>IF(AD257=0,0,IF(LEN(T257)=11,_xlfn.XLOOKUP(T257,'Dispensed Ink Rates'!C:C,'Dispensed Ink Rates'!CS:CS),VLOOKUP(T257,'Jan-2026 rates'!$E:$F,2,0)))</f>
        <v>0</v>
      </c>
      <c r="AF257" s="404"/>
      <c r="AG257" s="398">
        <f>IF(AF257=0,0,IF(LEN(U257)=11,_xlfn.XLOOKUP(U257,'Dispensed Ink Rates'!C:C,'Dispensed Ink Rates'!CS:CS),VLOOKUP(U257,'Jan-2026 rates'!$E:$F,2,0)))</f>
        <v>0</v>
      </c>
      <c r="AH257" s="404"/>
      <c r="AI257" s="398">
        <f>IF(AH257=0,0,IF(LEN(V257)=11,_xlfn.XLOOKUP(V257,'Dispensed Ink Rates'!C:C,'Dispensed Ink Rates'!CS:CS),VLOOKUP(V257,'Jan-2026 rates'!$E:$F,2,0)))</f>
        <v>0</v>
      </c>
      <c r="AJ257" s="404"/>
      <c r="AK257" s="398">
        <f>IF(AJ257=0,0,IF(LEN(W257)=11,_xlfn.XLOOKUP(W257,'Dispensed Ink Rates'!C:C,'Dispensed Ink Rates'!CS:CS),VLOOKUP(W257,'Jan-2026 rates'!$E:$F,2,0)))</f>
        <v>0</v>
      </c>
      <c r="AL257" s="404"/>
      <c r="AM257" s="398">
        <f>IF(AL257=0,0,IF(LEN(X257)=11,_xlfn.XLOOKUP(X257,'Dispensed Ink Rates'!C:C,'Dispensed Ink Rates'!CS:CS),VLOOKUP(X257,'Jan-2026 rates'!$E:$F,2,0)))</f>
        <v>0</v>
      </c>
      <c r="AN257" s="404"/>
      <c r="AO257" s="398">
        <f>IF(AN257=0,0,IF(LEN(Y257)=11,_xlfn.XLOOKUP(Y257,'Dispensed Ink Rates'!C:C,'Dispensed Ink Rates'!CS:CS),VLOOKUP(Y257,'Jan-2026 rates'!$E:$F,2,0)))</f>
        <v>0</v>
      </c>
      <c r="AP257" s="409" t="s">
        <v>1443</v>
      </c>
      <c r="AQ257" s="409">
        <v>27</v>
      </c>
      <c r="AR257" s="410">
        <f t="shared" si="159"/>
        <v>0</v>
      </c>
      <c r="AS257" s="411">
        <f t="shared" si="160"/>
        <v>7.058823529411768</v>
      </c>
      <c r="AT257" s="410">
        <f t="shared" si="161"/>
        <v>0</v>
      </c>
      <c r="AU257" s="405" t="s">
        <v>547</v>
      </c>
      <c r="AV257" s="409" t="s">
        <v>4124</v>
      </c>
      <c r="AW257" s="420" t="str">
        <f t="shared" si="183"/>
        <v>FLINTSL - GREEN</v>
      </c>
      <c r="AX257" s="409">
        <v>28</v>
      </c>
      <c r="AY257" s="411">
        <f>IF(AX257=0,0,IF($LB257=70%,VLOOKUP($AW257,'Jan-2026 rates'!$L:$R,4,0),IF($LB257=65%,VLOOKUP($AW257,'Jan-2026 rates'!$L:$R,4,0),IF($LB257=40%,VLOOKUP($AW257,'Jan-2026 rates'!$L:$R,5,0),IF($LB257=30%,VLOOKUP($AW257,'Jan-2026 rates'!$L:$R,6,0),IF($LB257=100%,VLOOKUP($AW257,'Jan-2026 rates'!$L:$R,7,0),IF($LB257=60%,VLOOKUP($AW257,'Jan-2026 rates'!$L:$S,8,0),IF($LB257=80%,VLOOKUP($AW257,'Jan-2026 rates'!L:T,9,0),0))))))))</f>
        <v>0</v>
      </c>
      <c r="AZ257" s="412"/>
      <c r="BA257" s="409"/>
      <c r="BB257" s="411">
        <f>IF(BA257=0,0,IF($LB257=70%,VLOOKUP($AW257,'Jan-2026 rates'!$L:$R,4,0),IF($LB257=65%,VLOOKUP($AW257,'Jan-2026 rates'!$L:$R,4,0),IF($LB257=40%,VLOOKUP($AW257,'Jan-2026 rates'!$L:$R,5,0),IF($LB257=30%,VLOOKUP($AW257,'Jan-2026 rates'!$L:$R,6,0),IF($LB257=100%,VLOOKUP($AW257,'Jan-2026 rates'!$L:$R,7,0),IF($LB257=60%,VLOOKUP($AW257,'Jan-2026 rates'!$L:$S,8,0),IF($LB257=80%,VLOOKUP($AW257,'Jan-2026 rates'!L:T,9,0),0))))))))</f>
        <v>0</v>
      </c>
      <c r="BC257" s="413">
        <v>26519000024</v>
      </c>
      <c r="BD257" s="412"/>
      <c r="BE257" s="412"/>
      <c r="BF257" s="413"/>
      <c r="BG257" s="412"/>
      <c r="BH257" s="412"/>
      <c r="BI257" s="412"/>
      <c r="BJ257" s="412"/>
      <c r="BK257" s="409">
        <v>2</v>
      </c>
      <c r="BL257" s="398" t="e">
        <f>IF(BK257=0,0,IF(LEN(BC257)=11,_xlfn.XLOOKUP(BC257,'Dispensed Ink Rates'!C:C,'Dispensed Ink Rates'!CS:CS),VLOOKUP(BC257,'Jan-2026 rates'!$E:$F,2,0)))</f>
        <v>#N/A</v>
      </c>
      <c r="BM257" s="409"/>
      <c r="BN257" s="398">
        <f>IF(BM257=0,0,IF(LEN(BD257)=11,_xlfn.XLOOKUP(BD257,'Dispensed Ink Rates'!C:C,'Dispensed Ink Rates'!CS:CS),VLOOKUP(BD257,'Jan-2026 rates'!$E:$F,2,0)))</f>
        <v>0</v>
      </c>
      <c r="BO257" s="409"/>
      <c r="BP257" s="398">
        <f>IF(BO257=0,0,IF(LEN(BE257)=11,_xlfn.XLOOKUP(BE257,'Dispensed Ink Rates'!C:C,'Dispensed Ink Rates'!CS:CS),VLOOKUP(BE257,'Jan-2026 rates'!$E:$F,2,0)))</f>
        <v>0</v>
      </c>
      <c r="BQ257" s="409"/>
      <c r="BR257" s="398">
        <f>IF(BQ257=0,0,IF(LEN(BF257)=11,_xlfn.XLOOKUP(BF257,'Dispensed Ink Rates'!C:C,'Dispensed Ink Rates'!CS:CS),VLOOKUP(BF257,'Jan-2026 rates'!$E:$F,2,0)))</f>
        <v>0</v>
      </c>
      <c r="BS257" s="409"/>
      <c r="BT257" s="398">
        <f>IF(BS257=0,0,IF(LEN(BG257)=11,_xlfn.XLOOKUP(BG257,'Dispensed Ink Rates'!C:C,'Dispensed Ink Rates'!CS:CS),VLOOKUP(BG257,'Jan-2026 rates'!$E:$F,2,0)))</f>
        <v>0</v>
      </c>
      <c r="BU257" s="409"/>
      <c r="BV257" s="398">
        <f>IF(BU257=0,0,IF(LEN(BH257)=11,_xlfn.XLOOKUP(BH257,'Dispensed Ink Rates'!C:C,'Dispensed Ink Rates'!CS:CS),VLOOKUP(BH257,'Jan-2026 rates'!$E:$F,2,0)))</f>
        <v>0</v>
      </c>
      <c r="BW257" s="409"/>
      <c r="BX257" s="398">
        <f>IF(BW257=0,0,IF(LEN(BI257)=11,_xlfn.XLOOKUP(BI257,'Dispensed Ink Rates'!C:C,'Dispensed Ink Rates'!CS:CS),VLOOKUP(BI257,'Jan-2026 rates'!$E:$F,2,0)))</f>
        <v>0</v>
      </c>
      <c r="BY257" s="409"/>
      <c r="BZ257" s="398">
        <f>IF(BY257=0,0,IF(LEN(BJ257)=11,_xlfn.XLOOKUP(BJ257,'Dispensed Ink Rates'!C:C,'Dispensed Ink Rates'!CS:CS),VLOOKUP(BJ257,'Jan-2026 rates'!$E:$F,2,0)))</f>
        <v>0</v>
      </c>
      <c r="CA257" s="409" t="s">
        <v>1443</v>
      </c>
      <c r="CB257" s="409">
        <v>24</v>
      </c>
      <c r="CC257" s="411">
        <f t="shared" si="162"/>
        <v>0</v>
      </c>
      <c r="CD257" s="411">
        <f t="shared" si="163"/>
        <v>9.529411764705884</v>
      </c>
      <c r="CE257" s="410">
        <f t="shared" si="164"/>
        <v>0</v>
      </c>
      <c r="CF257" s="404" t="s">
        <v>857</v>
      </c>
      <c r="CG257" s="409" t="s">
        <v>4125</v>
      </c>
      <c r="CH257" s="420" t="str">
        <f t="shared" si="185"/>
        <v>FLINTSL - RED</v>
      </c>
      <c r="CI257" s="409">
        <v>27</v>
      </c>
      <c r="CJ257" s="411">
        <f>IF(CI257=0,0,IF($LB257=70%,VLOOKUP($CH257,'Jan-2026 rates'!$L:$R,4,0),IF($LB257=65%,VLOOKUP($CH257,'Jan-2026 rates'!$L:$R,4,0),IF($LB257=40%,VLOOKUP($CH257,'Jan-2026 rates'!$L:$R,5,0),IF($LB257=30%,VLOOKUP($CH257,'Jan-2026 rates'!$L:$R,6,0),IF($LB257=100%,VLOOKUP($CH257,'Jan-2026 rates'!$L:$R,7,0),IF($LB257=60%,VLOOKUP($CH257,'Jan-2026 rates'!$L:$S,8,0),IF($LB257=80%,VLOOKUP($CH257,'Jan-2026 rates'!L:T,9,0),0))))))))</f>
        <v>0</v>
      </c>
      <c r="CK257" s="412"/>
      <c r="CL257" s="409"/>
      <c r="CM257" s="411">
        <f>IF(CL257=0,0,IF($LB257=70%,VLOOKUP($CH257,'Jan-2026 rates'!$L:$R,4,0),IF($LB257=65%,VLOOKUP($CH257,'Jan-2026 rates'!$L:$R,4,0),IF($LB257=40%,VLOOKUP($CH257,'Jan-2026 rates'!$L:$R,5,0),IF($LB257=30%,VLOOKUP($CH257,'Jan-2026 rates'!$L:$R,6,0),IF($LB257=100%,VLOOKUP($CH257,'Jan-2026 rates'!$L:$R,7,0),IF($LB257=60%,VLOOKUP($CH257,'Jan-2026 rates'!$L:$S,8,0),IF($LB257=80%,VLOOKUP($CH257,'Jan-2026 rates'!L:T,9,0),0))))))))</f>
        <v>0</v>
      </c>
      <c r="CN257" s="426">
        <v>26522000001</v>
      </c>
      <c r="CO257" s="427"/>
      <c r="CP257" s="426"/>
      <c r="CQ257" s="426"/>
      <c r="CR257" s="428"/>
      <c r="CS257" s="428"/>
      <c r="CT257" s="428"/>
      <c r="CU257" s="428"/>
      <c r="CV257" s="409">
        <v>1</v>
      </c>
      <c r="CW257" s="398" t="e">
        <f>IF(CV257=0,0,IF(LEN(CN257)=11,_xlfn.XLOOKUP(CN257,'Dispensed Ink Rates'!C:C,'Dispensed Ink Rates'!CS:CS),VLOOKUP(CN257,'Jan-2026 rates'!$E:$F,2,0)))</f>
        <v>#N/A</v>
      </c>
      <c r="CX257" s="409"/>
      <c r="CY257" s="398">
        <f>IF(CX257=0,0,IF(LEN(CO257)=11,_xlfn.XLOOKUP(CO257,'Dispensed Ink Rates'!C:C,'Dispensed Ink Rates'!CS:CS),VLOOKUP(CO257,'Jan-2026 rates'!$E:$F,2,0)))</f>
        <v>0</v>
      </c>
      <c r="CZ257" s="409"/>
      <c r="DA257" s="398">
        <f>IF(CZ257=0,0,IF(LEN(CP257)=11,_xlfn.XLOOKUP(CP257,'Dispensed Ink Rates'!C:C,'Dispensed Ink Rates'!CS:CS),VLOOKUP(CP257,'Jan-2026 rates'!$E:$F,2,0)))</f>
        <v>0</v>
      </c>
      <c r="DB257" s="409"/>
      <c r="DC257" s="398">
        <f>IF(DB257=0,0,IF(LEN(CQ257)=11,_xlfn.XLOOKUP(CQ257,'Dispensed Ink Rates'!C:C,'Dispensed Ink Rates'!CS:CS),VLOOKUP(CQ257,'Jan-2026 rates'!$E:$F,2,0)))</f>
        <v>0</v>
      </c>
      <c r="DD257" s="409"/>
      <c r="DE257" s="398">
        <f>IF(DD257=0,0,IF(LEN(CR257)=11,_xlfn.XLOOKUP(CR257,'Dispensed Ink Rates'!C:C,'Dispensed Ink Rates'!CS:CS),VLOOKUP(CR257,'Jan-2026 rates'!$E:$F,2,0)))</f>
        <v>0</v>
      </c>
      <c r="DF257" s="409"/>
      <c r="DG257" s="398">
        <f>IF(DF257=0,0,IF(LEN(CS257)=11,_xlfn.XLOOKUP(CS257,'Dispensed Ink Rates'!C:C,'Dispensed Ink Rates'!CS:CS),VLOOKUP(CS257,'Jan-2026 rates'!$E:$F,2,0)))</f>
        <v>0</v>
      </c>
      <c r="DH257" s="409"/>
      <c r="DI257" s="398">
        <f>IF(DH257=0,0,IF(LEN(CT257)=11,_xlfn.XLOOKUP(CT257,'Dispensed Ink Rates'!C:C,'Dispensed Ink Rates'!CS:CS),VLOOKUP(CT257,'Jan-2026 rates'!$E:$F,2,0)))</f>
        <v>0</v>
      </c>
      <c r="DJ257" s="409"/>
      <c r="DK257" s="398">
        <f>IF(DJ257=0,0,IF(LEN(CU257)=11,_xlfn.XLOOKUP(CU257,'Dispensed Ink Rates'!C:C,'Dispensed Ink Rates'!CS:CS),VLOOKUP(CU257,'Jan-2026 rates'!$E:$F,2,0)))</f>
        <v>0</v>
      </c>
      <c r="DL257" s="409" t="s">
        <v>1443</v>
      </c>
      <c r="DM257" s="409">
        <v>26</v>
      </c>
      <c r="DN257" s="411">
        <f t="shared" si="165"/>
        <v>0</v>
      </c>
      <c r="DO257" s="411">
        <f t="shared" si="166"/>
        <v>9.058823529411768</v>
      </c>
      <c r="DP257" s="410">
        <f t="shared" si="167"/>
        <v>0</v>
      </c>
      <c r="DQ257" s="405" t="s">
        <v>545</v>
      </c>
      <c r="DR257" s="409" t="s">
        <v>4126</v>
      </c>
      <c r="DS257" s="420" t="str">
        <f t="shared" si="186"/>
        <v>FLINTSL - YELLOW</v>
      </c>
      <c r="DT257" s="409">
        <v>23</v>
      </c>
      <c r="DU257" s="411">
        <f>IF(DT257=0,0,IF($LB257=70%,VLOOKUP($DS257,'Jan-2026 rates'!$L:$R,4,0),IF($LB257=65%,VLOOKUP($DS257,'Jan-2026 rates'!$L:$R,4,0),IF($LB257=40%,VLOOKUP($DS257,'Jan-2026 rates'!$L:$R,5,0),IF($LB257=30%,VLOOKUP($DS257,'Jan-2026 rates'!$L:$R,6,0),IF($LB257=100%,VLOOKUP($DS257,'Jan-2026 rates'!$L:$R,7,0),IF($LB257=60%,VLOOKUP($DS257,'Jan-2026 rates'!$L:$S,8,0),IF($LB257=80%,VLOOKUP($DS257,'Jan-2026 rates'!L:T,9,0),0))))))))</f>
        <v>0</v>
      </c>
      <c r="DV257" s="412"/>
      <c r="DW257" s="409"/>
      <c r="DX257" s="411">
        <f>IF(DW257=0,0,IF($LB257=70%,VLOOKUP($DS257,'Jan-2026 rates'!$L:$R,4,0),IF($LB257=65%,VLOOKUP($DS257,'Jan-2026 rates'!$L:$R,4,0),IF($LB257=40%,VLOOKUP($DS257,'Jan-2026 rates'!$L:$R,5,0),IF($LB257=30%,VLOOKUP($DS257,'Jan-2026 rates'!$L:$R,6,0),IF($LB257=100%,VLOOKUP($DS257,'Jan-2026 rates'!$L:$R,7,0),IF($LB257=60%,VLOOKUP($DS257,'Jan-2026 rates'!$L:$S,8,0),IF($LB257=80%,VLOOKUP($DS257,'Jan-2026 rates'!L:T,9,0),0))))))))</f>
        <v>0</v>
      </c>
      <c r="DY257" s="413">
        <v>26519000024</v>
      </c>
      <c r="DZ257" s="413">
        <v>26522000001</v>
      </c>
      <c r="EA257" s="412"/>
      <c r="EB257" s="412"/>
      <c r="EC257" s="412"/>
      <c r="ED257" s="412"/>
      <c r="EE257" s="412"/>
      <c r="EF257" s="412"/>
      <c r="EG257" s="409">
        <f>2+1</f>
        <v>3</v>
      </c>
      <c r="EH257" s="398" t="e">
        <f>IF(EG257=0,0,IF(LEN(DY257)=11,_xlfn.XLOOKUP(DY257,'Dispensed Ink Rates'!C:C,'Dispensed Ink Rates'!CS:CS),VLOOKUP(DY257,'Jan-2026 rates'!$E:$F,2,0)))</f>
        <v>#N/A</v>
      </c>
      <c r="EI257" s="409">
        <v>0.2</v>
      </c>
      <c r="EJ257" s="398" t="e">
        <f>IF(EI257=0,0,IF(LEN(DZ257)=11,_xlfn.XLOOKUP(DZ257,'Dispensed Ink Rates'!C:C,'Dispensed Ink Rates'!CS:CS),VLOOKUP(DZ257,'Jan-2026 rates'!$E:$F,2,0)))</f>
        <v>#N/A</v>
      </c>
      <c r="EK257" s="409"/>
      <c r="EL257" s="398">
        <f>IF(EK257=0,0,IF(LEN(EA257)=11,_xlfn.XLOOKUP(EA257,'Dispensed Ink Rates'!C:C,'Dispensed Ink Rates'!CS:CS),VLOOKUP(EA257,'Jan-2026 rates'!$E:$F,2,0)))</f>
        <v>0</v>
      </c>
      <c r="EM257" s="409"/>
      <c r="EN257" s="398">
        <f>IF(EM257=0,0,IF(LEN(EB257)=11,_xlfn.XLOOKUP(EB257,'Dispensed Ink Rates'!C:C,'Dispensed Ink Rates'!CS:CS),VLOOKUP(EB257,'Jan-2026 rates'!$E:$F,2,0)))</f>
        <v>0</v>
      </c>
      <c r="EO257" s="409"/>
      <c r="EP257" s="398">
        <f>IF(EO257=0,0,IF(LEN(EC257)=11,_xlfn.XLOOKUP(EC257,'Dispensed Ink Rates'!C:C,'Dispensed Ink Rates'!CS:CS),VLOOKUP(EC257,'Jan-2026 rates'!$E:$F,2,0)))</f>
        <v>0</v>
      </c>
      <c r="EQ257" s="409"/>
      <c r="ER257" s="398">
        <f>IF(EQ257=0,0,IF(LEN(ED257)=11,_xlfn.XLOOKUP(ED257,'Dispensed Ink Rates'!C:C,'Dispensed Ink Rates'!CS:CS),VLOOKUP(ED257,'Jan-2026 rates'!$E:$F,2,0)))</f>
        <v>0</v>
      </c>
      <c r="ES257" s="409"/>
      <c r="ET257" s="398">
        <f>IF(ES257=0,0,IF(LEN(EE257)=11,_xlfn.XLOOKUP(EE257,'Dispensed Ink Rates'!C:C,'Dispensed Ink Rates'!CS:CS),VLOOKUP(EE257,'Jan-2026 rates'!$E:$F,2,0)))</f>
        <v>0</v>
      </c>
      <c r="EU257" s="409"/>
      <c r="EV257" s="398">
        <f>IF(EU257=0,0,IF(LEN(EF257)=11,_xlfn.XLOOKUP(EF257,'Dispensed Ink Rates'!C:C,'Dispensed Ink Rates'!CS:CS),VLOOKUP(EF257,'Jan-2026 rates'!$E:$F,2,0)))</f>
        <v>0</v>
      </c>
      <c r="EW257" s="409" t="s">
        <v>1443</v>
      </c>
      <c r="EX257" s="409">
        <v>20</v>
      </c>
      <c r="EY257" s="411">
        <f t="shared" si="168"/>
        <v>0</v>
      </c>
      <c r="EZ257" s="411">
        <f t="shared" si="169"/>
        <v>13.258823529411764</v>
      </c>
      <c r="FA257" s="410">
        <f t="shared" si="170"/>
        <v>0</v>
      </c>
      <c r="FB257" s="405" t="s">
        <v>856</v>
      </c>
      <c r="FC257" s="409" t="s">
        <v>4127</v>
      </c>
      <c r="FD257" s="420" t="str">
        <f t="shared" si="187"/>
        <v>FLINTSL - WHITE</v>
      </c>
      <c r="FE257" s="409">
        <v>30</v>
      </c>
      <c r="FF257" s="411">
        <f>IF(FE257=0,0,IF($LB257=70%,VLOOKUP($FD257,'Jan-2026 rates'!$L:$R,4,0),IF($LB257=65%,VLOOKUP($FD257,'Jan-2026 rates'!$L:$R,4,0),IF($LB257=40%,VLOOKUP($FD257,'Jan-2026 rates'!$L:$R,5,0),IF($LB257=30%,VLOOKUP($FD257,'Jan-2026 rates'!$L:$R,6,0),IF($LB257=100%,VLOOKUP($FD257,'Jan-2026 rates'!$L:$R,7,0),IF($LB257=60%,VLOOKUP($FD257,'Jan-2026 rates'!$L:$S,8,0),IF($LB257=80%,VLOOKUP($FD257,'Jan-2026 rates'!L:T,9,0),0))))))))</f>
        <v>0</v>
      </c>
      <c r="FG257" s="412"/>
      <c r="FH257" s="409"/>
      <c r="FI257" s="411">
        <f>IF(FH257=0,0,IF($LB257=70%,VLOOKUP($FD257,'Jan-2026 rates'!$L:$R,4,0),IF($LB257=65%,VLOOKUP($FD257,'Jan-2026 rates'!$L:$R,4,0),IF($LB257=40%,VLOOKUP($FD257,'Jan-2026 rates'!$L:$R,5,0),IF($LB257=30%,VLOOKUP($FD257,'Jan-2026 rates'!$L:$R,6,0),IF($LB257=100%,VLOOKUP($FD257,'Jan-2026 rates'!$L:$R,7,0),IF($LB257=60%,VLOOKUP($FD257,'Jan-2026 rates'!$L:$S,8,0),IF($LB257=80%,VLOOKUP($FD257,'Jan-2026 rates'!L:T,9,0),0))))))))</f>
        <v>0</v>
      </c>
      <c r="FJ257" s="413" t="s">
        <v>484</v>
      </c>
      <c r="FK257" s="413"/>
      <c r="FL257" s="413"/>
      <c r="FM257" s="412"/>
      <c r="FN257" s="412"/>
      <c r="FO257" s="412"/>
      <c r="FP257" s="412"/>
      <c r="FQ257" s="412"/>
      <c r="FR257" s="409">
        <v>20</v>
      </c>
      <c r="FS257" s="398">
        <f>IF(FR257=0,0,IF(LEN(FJ257)=11,_xlfn.XLOOKUP(FJ257,'Dispensed Ink Rates'!C:C,'Dispensed Ink Rates'!CS:CS),VLOOKUP(FJ257,'Jan-2026 rates'!$E:$F,2,0)))</f>
        <v>0</v>
      </c>
      <c r="FT257" s="409"/>
      <c r="FU257" s="398">
        <f>IF(FT257=0,0,IF(LEN(FK257)=11,_xlfn.XLOOKUP(FK257,'Dispensed Ink Rates'!C:C,'Dispensed Ink Rates'!CS:CS),VLOOKUP(FK257,'Jan-2026 rates'!$E:$F,2,0)))</f>
        <v>0</v>
      </c>
      <c r="FV257" s="409"/>
      <c r="FW257" s="398">
        <f>IF(FV257=0,0,IF(LEN(FL257)=11,_xlfn.XLOOKUP(FL257,'Dispensed Ink Rates'!C:C,'Dispensed Ink Rates'!CS:CS),VLOOKUP(FL257,'Jan-2026 rates'!$E:$F,2,0)))</f>
        <v>0</v>
      </c>
      <c r="FX257" s="409"/>
      <c r="FY257" s="398">
        <f>IF(FX257=0,0,IF(LEN(FM257)=11,_xlfn.XLOOKUP(FM257,'Dispensed Ink Rates'!C:C,'Dispensed Ink Rates'!CS:CS),VLOOKUP(FM257,'Jan-2026 rates'!$E:$F,2,0)))</f>
        <v>0</v>
      </c>
      <c r="FZ257" s="409"/>
      <c r="GA257" s="398">
        <f>IF(FZ257=0,0,IF(LEN(FN257)=11,_xlfn.XLOOKUP(FN257,'Dispensed Ink Rates'!C:C,'Dispensed Ink Rates'!CS:CS),VLOOKUP(FN257,'Jan-2026 rates'!$E:$F,2,0)))</f>
        <v>0</v>
      </c>
      <c r="GB257" s="409"/>
      <c r="GC257" s="398">
        <f>IF(GB257=0,0,IF(LEN(FO257)=11,_xlfn.XLOOKUP(FO257,'Dispensed Ink Rates'!C:C,'Dispensed Ink Rates'!CS:CS),VLOOKUP(FO257,'Jan-2026 rates'!$E:$F,2,0)))</f>
        <v>0</v>
      </c>
      <c r="GD257" s="409"/>
      <c r="GE257" s="398">
        <f>IF(GD257=0,0,IF(LEN(FP257)=11,_xlfn.XLOOKUP(FP257,'Dispensed Ink Rates'!C:C,'Dispensed Ink Rates'!CS:CS),VLOOKUP(FP257,'Jan-2026 rates'!$E:$F,2,0)))</f>
        <v>0</v>
      </c>
      <c r="GF257" s="409"/>
      <c r="GG257" s="398">
        <f>IF(GF257=0,0,IF(LEN(FQ257)=11,_xlfn.XLOOKUP(FQ257,'Dispensed Ink Rates'!C:C,'Dispensed Ink Rates'!CS:CS),VLOOKUP(FQ257,'Jan-2026 rates'!$E:$F,2,0)))</f>
        <v>0</v>
      </c>
      <c r="GH257" s="409" t="s">
        <v>1443</v>
      </c>
      <c r="GI257" s="409">
        <v>35</v>
      </c>
      <c r="GJ257" s="411">
        <f t="shared" si="171"/>
        <v>0</v>
      </c>
      <c r="GK257" s="411">
        <f t="shared" si="172"/>
        <v>50.294117647058826</v>
      </c>
      <c r="GL257" s="410">
        <f t="shared" si="173"/>
        <v>0</v>
      </c>
      <c r="GM257" s="405"/>
      <c r="GN257" s="409"/>
      <c r="GO257" s="420" t="str">
        <f t="shared" si="188"/>
        <v xml:space="preserve"> - </v>
      </c>
      <c r="GP257" s="409"/>
      <c r="GQ257" s="411">
        <f>IF(GP257=0,0,IF($LB257=70%,VLOOKUP($GO257,'Jan-2026 rates'!$L:$R,4,0),IF($LB257=65%,VLOOKUP($GO257,'Jan-2026 rates'!$L:$R,4,0),IF($LB257=40%,VLOOKUP($GO257,'Jan-2026 rates'!$L:$R,5,0),IF($LB257=30%,VLOOKUP($GO257,'Jan-2026 rates'!$L:$R,6,0),IF($LB257=100%,VLOOKUP($GO257,'Jan-2026 rates'!$L:$R,7,0),IF($LB257=60%,VLOOKUP($GO257,'Jan-2026 rates'!$L:$S,8,0),IF($LB257=80%,VLOOKUP($GO257,'Jan-2026 rates'!L:T,9,0),0))))))))</f>
        <v>0</v>
      </c>
      <c r="GR257" s="412"/>
      <c r="GS257" s="409"/>
      <c r="GT257" s="411">
        <f>IF(GS257=0,0,IF($LB257=70%,VLOOKUP($GO257,'Jan-2026 rates'!$L:$R,4,0),IF($LB257=65%,VLOOKUP($GO257,'Jan-2026 rates'!$L:$R,4,0),IF($LB257=40%,VLOOKUP($GO257,'Jan-2026 rates'!$L:$R,5,0),IF($LB257=30%,VLOOKUP($GO257,'Jan-2026 rates'!$L:$R,6,0),IF($LB257=100%,VLOOKUP($GO257,'Jan-2026 rates'!$L:$R,7,0),IF($LB257=60%,VLOOKUP($GO257,'Jan-2026 rates'!$L:$S,8,0),IF($LB257=80%,VLOOKUP($GO257,'Jan-2026 rates'!L:T,9,0),0))))))))</f>
        <v>0</v>
      </c>
      <c r="GU257" s="413"/>
      <c r="GV257" s="413"/>
      <c r="GW257" s="412"/>
      <c r="GX257" s="412"/>
      <c r="GY257" s="412"/>
      <c r="GZ257" s="412"/>
      <c r="HA257" s="412"/>
      <c r="HB257" s="412"/>
      <c r="HC257" s="409"/>
      <c r="HD257" s="398">
        <f>IF(HC257=0,0,IF(LEN(GU257)=11,_xlfn.XLOOKUP(GU257,'Dispensed Ink Rates'!C:C,'Dispensed Ink Rates'!CS:CS),VLOOKUP(GU257,'Jan-2026 rates'!$E:$F,2,0)))</f>
        <v>0</v>
      </c>
      <c r="HE257" s="409"/>
      <c r="HF257" s="398">
        <f>IF(HE257=0,0,IF(LEN(GV257)=11,_xlfn.XLOOKUP(GV257,'Dispensed Ink Rates'!C:C,'Dispensed Ink Rates'!CS:CS),VLOOKUP(GV257,'Jan-2026 rates'!$E:$F,2,0)))</f>
        <v>0</v>
      </c>
      <c r="HG257" s="409"/>
      <c r="HH257" s="398">
        <f>IF(HG257=0,0,IF(LEN(GW257)=11,_xlfn.XLOOKUP(GW257,'Dispensed Ink Rates'!C:C,'Dispensed Ink Rates'!CS:CS),VLOOKUP(GW257,'Jan-2026 rates'!$E:$F,2,0)))</f>
        <v>0</v>
      </c>
      <c r="HI257" s="409"/>
      <c r="HJ257" s="398">
        <f>IF(HI257=0,0,IF(LEN(GX257)=11,_xlfn.XLOOKUP(GX257,'Dispensed Ink Rates'!C:C,'Dispensed Ink Rates'!CS:CS),VLOOKUP(GX257,'Jan-2026 rates'!$E:$F,2,0)))</f>
        <v>0</v>
      </c>
      <c r="HK257" s="409"/>
      <c r="HL257" s="398">
        <f>IF(HK257=0,0,IF(LEN(GY257)=11,_xlfn.XLOOKUP(GY257,'Dispensed Ink Rates'!C:C,'Dispensed Ink Rates'!CS:CS),VLOOKUP(GY257,'Jan-2026 rates'!$E:$F,2,0)))</f>
        <v>0</v>
      </c>
      <c r="HM257" s="409"/>
      <c r="HN257" s="398">
        <f>IF(HM257=0,0,IF(LEN(GZ257)=11,_xlfn.XLOOKUP(GZ257,'Dispensed Ink Rates'!C:C,'Dispensed Ink Rates'!CS:CS),VLOOKUP(GZ257,'Jan-2026 rates'!$E:$F,2,0)))</f>
        <v>0</v>
      </c>
      <c r="HO257" s="409"/>
      <c r="HP257" s="398">
        <f>IF(HO257=0,0,IF(LEN(HA257)=11,_xlfn.XLOOKUP(HA257,'Dispensed Ink Rates'!C:C,'Dispensed Ink Rates'!CS:CS),VLOOKUP(HA257,'Jan-2026 rates'!$E:$F,2,0)))</f>
        <v>0</v>
      </c>
      <c r="HQ257" s="409"/>
      <c r="HR257" s="398">
        <f>IF(HQ257=0,0,IF(LEN(HB257)=11,_xlfn.XLOOKUP(HB257,'Dispensed Ink Rates'!C:C,'Dispensed Ink Rates'!CS:CS),VLOOKUP(HB257,'Jan-2026 rates'!$E:$F,2,0)))</f>
        <v>0</v>
      </c>
      <c r="HS257" s="409"/>
      <c r="HT257" s="409"/>
      <c r="HU257" s="411">
        <f t="shared" si="174"/>
        <v>0</v>
      </c>
      <c r="HV257" s="411">
        <f t="shared" si="175"/>
        <v>0</v>
      </c>
      <c r="HW257" s="414">
        <f t="shared" si="176"/>
        <v>0</v>
      </c>
      <c r="HX257" s="405"/>
      <c r="HY257" s="409"/>
      <c r="HZ257" s="420" t="str">
        <f t="shared" si="189"/>
        <v xml:space="preserve"> - </v>
      </c>
      <c r="IA257" s="409"/>
      <c r="IB257" s="411">
        <f>IF(IA257=0,0,IF($LB257=70%,VLOOKUP($HZ257,'Jan-2026 rates'!$L:$R,4,0),IF($LB257=65%,VLOOKUP($HZ257,'Jan-2026 rates'!$L:$R,4,0),IF($LB257=40%,VLOOKUP($HZ257,'Jan-2026 rates'!$L:$R,5,0),IF($LB257=30%,VLOOKUP($HZ257,'Jan-2026 rates'!$L:$R,6,0),IF($LB257=100%,VLOOKUP($HZ257,'Jan-2026 rates'!$L:$R,7,0),IF($LB257=60%,VLOOKUP($HZ257,'Jan-2026 rates'!$L:$S,8,0),IF($LB257=80%,VLOOKUP($HZ257,'Jan-2026 rates'!L:T,9,0),0))))))))</f>
        <v>0</v>
      </c>
      <c r="IC257" s="412"/>
      <c r="ID257" s="409"/>
      <c r="IE257" s="411">
        <f>IF(ID257=0,0,IF($LB257=70%,VLOOKUP($HZ257,'Jan-2026 rates'!$L:$R,4,0),IF($LB257=65%,VLOOKUP($HZ257,'Jan-2026 rates'!$L:$R,4,0),IF($LB257=40%,VLOOKUP($HZ257,'Jan-2026 rates'!$L:$R,5,0),IF($LB257=30%,VLOOKUP($HZ257,'Jan-2026 rates'!$L:$R,6,0),IF($LB257=100%,VLOOKUP($HZ257,'Jan-2026 rates'!$L:$R,7,0),IF($LB257=60%,VLOOKUP($HZ257,'Jan-2026 rates'!$L:$S,8,0),IF($LB257=80%,VLOOKUP($HZ257,'Jan-2026 rates'!L:T,9,0),0))))))))</f>
        <v>0</v>
      </c>
      <c r="IF257" s="412"/>
      <c r="IG257" s="413"/>
      <c r="IH257" s="412"/>
      <c r="II257" s="412"/>
      <c r="IJ257" s="412"/>
      <c r="IK257" s="412"/>
      <c r="IL257" s="412"/>
      <c r="IM257" s="412"/>
      <c r="IN257" s="409"/>
      <c r="IO257" s="398">
        <f>IF(IN257=0,0,IF(LEN(IF257)=11,_xlfn.XLOOKUP(IF257,'Dispensed Ink Rates'!C:C,'Dispensed Ink Rates'!CS:CS),VLOOKUP(IF257,'Jan-2026 rates'!$E:$F,2,0)))</f>
        <v>0</v>
      </c>
      <c r="IP257" s="409"/>
      <c r="IQ257" s="398">
        <f>IF(IP257=0,0,IF(LEN(IG257)=11,_xlfn.XLOOKUP(IG257,'Dispensed Ink Rates'!C:C,'Dispensed Ink Rates'!CS:CS),VLOOKUP(IG257,'Jan-2026 rates'!$E:$F,2,0)))</f>
        <v>0</v>
      </c>
      <c r="IR257" s="409"/>
      <c r="IS257" s="398">
        <f>IF(IR257=0,0,IF(LEN(IH257)=11,_xlfn.XLOOKUP(IH257,'Dispensed Ink Rates'!C:C,'Dispensed Ink Rates'!CS:CS),VLOOKUP(IH257,'Jan-2026 rates'!$E:$F,2,0)))</f>
        <v>0</v>
      </c>
      <c r="IT257" s="409"/>
      <c r="IU257" s="398">
        <f>IF(IT257=0,0,IF(LEN(II257)=11,_xlfn.XLOOKUP(II257,'Dispensed Ink Rates'!C:C,'Dispensed Ink Rates'!CS:CS),VLOOKUP(II257,'Jan-2026 rates'!$E:$F,2,0)))</f>
        <v>0</v>
      </c>
      <c r="IV257" s="409"/>
      <c r="IW257" s="398">
        <f>IF(IV257=0,0,IF(LEN(IJ257)=11,_xlfn.XLOOKUP(IJ257,'Dispensed Ink Rates'!C:C,'Dispensed Ink Rates'!CS:CS),VLOOKUP(IJ257,'Jan-2026 rates'!$E:$F,2,0)))</f>
        <v>0</v>
      </c>
      <c r="IX257" s="409"/>
      <c r="IY257" s="398">
        <f>IF(IX257=0,0,IF(LEN(IK257)=11,_xlfn.XLOOKUP(IK257,'Dispensed Ink Rates'!C:C,'Dispensed Ink Rates'!CS:CS),VLOOKUP(IK257,'Jan-2026 rates'!$E:$F,2,0)))</f>
        <v>0</v>
      </c>
      <c r="IZ257" s="409"/>
      <c r="JA257" s="398">
        <f>IF(IZ257=0,0,IF(LEN(IL257)=11,_xlfn.XLOOKUP(IL257,'Dispensed Ink Rates'!C:C,'Dispensed Ink Rates'!CS:CS),VLOOKUP(IL257,'Jan-2026 rates'!$E:$F,2,0)))</f>
        <v>0</v>
      </c>
      <c r="JB257" s="409"/>
      <c r="JC257" s="398">
        <f>IF(JB257=0,0,IF(LEN(IM257)=11,_xlfn.XLOOKUP(IM257,'Dispensed Ink Rates'!C:C,'Dispensed Ink Rates'!CS:CS),VLOOKUP(IM257,'Jan-2026 rates'!$E:$F,2,0)))</f>
        <v>0</v>
      </c>
      <c r="JD257" s="409"/>
      <c r="JE257" s="409"/>
      <c r="JF257" s="411">
        <f t="shared" si="177"/>
        <v>0</v>
      </c>
      <c r="JG257" s="411">
        <f t="shared" si="178"/>
        <v>0</v>
      </c>
      <c r="JH257" s="410">
        <f t="shared" si="179"/>
        <v>0</v>
      </c>
      <c r="JI257" s="405"/>
      <c r="JJ257" s="409"/>
      <c r="JK257" s="420" t="str">
        <f t="shared" si="190"/>
        <v xml:space="preserve"> - </v>
      </c>
      <c r="JL257" s="409"/>
      <c r="JM257" s="411">
        <f>IF(JL257=0,0,IF($LB257=70%,VLOOKUP($JK257,'Jan-2026 rates'!$L:$R,4,0),IF($LB257=65%,VLOOKUP($JK257,'Jan-2026 rates'!$L:$R,4,0),IF($LB257=40%,VLOOKUP($JK257,'Jan-2026 rates'!$L:$R,5,0),IF($LB257=30%,VLOOKUP($JK257,'Jan-2026 rates'!$L:$R,6,0),IF($LB257=100%,VLOOKUP($JK257,'Jan-2026 rates'!$L:$R,7,0),IF($LB257=60%,VLOOKUP($JK257,'Jan-2026 rates'!$L:$S,8,0),IF($LB257=80%,VLOOKUP($JK257,'Jan-2026 rates'!L:T,9,0),0))))))))</f>
        <v>0</v>
      </c>
      <c r="JN257" s="412"/>
      <c r="JO257" s="409"/>
      <c r="JP257" s="411">
        <f>IF(JO257=0,0,IF($LB257=70%,VLOOKUP($JK257,'Jan-2026 rates'!$L:$R,4,0),IF($LB257=65%,VLOOKUP($JK257,'Jan-2026 rates'!$L:$R,4,0),IF($LB257=40%,VLOOKUP($JK257,'Jan-2026 rates'!$L:$R,5,0),IF($LB257=30%,VLOOKUP($JK257,'Jan-2026 rates'!$L:$R,6,0),IF($LB257=100%,VLOOKUP($JK257,'Jan-2026 rates'!$L:$R,7,0),IF($LB257=60%,VLOOKUP($JK257,'Jan-2026 rates'!$L:$S,8,0),IF($LB257=80%,VLOOKUP($JK257,'Jan-2026 rates'!L:T,9,0),0))))))))</f>
        <v>0</v>
      </c>
      <c r="JQ257" s="413"/>
      <c r="JR257" s="412"/>
      <c r="JS257" s="413"/>
      <c r="JT257" s="413"/>
      <c r="JU257" s="412"/>
      <c r="JV257" s="412"/>
      <c r="JW257" s="412"/>
      <c r="JX257" s="412"/>
      <c r="JY257" s="409"/>
      <c r="JZ257" s="398">
        <f>IF(JY257=0,0,IF(LEN(JQ257)=11,_xlfn.XLOOKUP(JQ257,'Dispensed Ink Rates'!C:C,'Dispensed Ink Rates'!CS:CS),VLOOKUP(JQ257,'Jan-2026 rates'!$E:$F,2,0)))</f>
        <v>0</v>
      </c>
      <c r="KA257" s="409"/>
      <c r="KB257" s="398">
        <f>IF(KA257=0,0,IF(LEN(JR257)=11,_xlfn.XLOOKUP(JR257,'Dispensed Ink Rates'!C:C,'Dispensed Ink Rates'!CS:CS),VLOOKUP(JR257,'Jan-2026 rates'!$E:$F,2,0)))</f>
        <v>0</v>
      </c>
      <c r="KC257" s="409"/>
      <c r="KD257" s="398">
        <f>IF(KC257=0,0,IF(LEN(JS257)=11,_xlfn.XLOOKUP(JS257,'Dispensed Ink Rates'!C:C,'Dispensed Ink Rates'!CS:CS),VLOOKUP(JS257,'Jan-2026 rates'!$E:$F,2,0)))</f>
        <v>0</v>
      </c>
      <c r="KE257" s="409"/>
      <c r="KF257" s="398">
        <f>IF(KE257=0,0,IF(LEN(JT257)=11,_xlfn.XLOOKUP(JT257,'Dispensed Ink Rates'!C:C,'Dispensed Ink Rates'!CS:CS),VLOOKUP(JT257,'Jan-2026 rates'!$E:$F,2,0)))</f>
        <v>0</v>
      </c>
      <c r="KG257" s="409"/>
      <c r="KH257" s="398">
        <f>IF(KG257=0,0,IF(LEN(JU257)=11,_xlfn.XLOOKUP(JU257,'Dispensed Ink Rates'!C:C,'Dispensed Ink Rates'!CS:CS),VLOOKUP(JU257,'Jan-2026 rates'!$E:$F,2,0)))</f>
        <v>0</v>
      </c>
      <c r="KI257" s="409"/>
      <c r="KJ257" s="398">
        <f>IF(KI257=0,0,IF(LEN(JV257)=11,_xlfn.XLOOKUP(JV257,'Dispensed Ink Rates'!C:C,'Dispensed Ink Rates'!CS:CS),VLOOKUP(JV257,'Jan-2026 rates'!$E:$F,2,0)))</f>
        <v>0</v>
      </c>
      <c r="KK257" s="409"/>
      <c r="KL257" s="398">
        <f>IF(KK257=0,0,IF(LEN(JW257)=11,_xlfn.XLOOKUP(JW257,'Dispensed Ink Rates'!C:C,'Dispensed Ink Rates'!CS:CS),VLOOKUP(JW257,'Jan-2026 rates'!$E:$F,2,0)))</f>
        <v>0</v>
      </c>
      <c r="KM257" s="428"/>
      <c r="KN257" s="398">
        <f>IF(KM257=0,0,IF(LEN(JX257)=11,_xlfn.XLOOKUP(JX257,'Dispensed Ink Rates'!C:C,'Dispensed Ink Rates'!CS:CS),VLOOKUP(JX257,'Jan-2026 rates'!$E:$F,2,0)))</f>
        <v>0</v>
      </c>
      <c r="KO257" s="409"/>
      <c r="KP257" s="409"/>
      <c r="KQ257" s="411">
        <f t="shared" si="180"/>
        <v>0</v>
      </c>
      <c r="KR257" s="411">
        <f t="shared" si="181"/>
        <v>0</v>
      </c>
      <c r="KS257" s="410">
        <f t="shared" si="182"/>
        <v>0</v>
      </c>
      <c r="KT257" s="409">
        <v>2</v>
      </c>
      <c r="KU257" s="409">
        <v>1</v>
      </c>
      <c r="KV257" s="409">
        <v>2</v>
      </c>
      <c r="KW257" s="409">
        <v>2</v>
      </c>
      <c r="KX257" s="409">
        <v>10</v>
      </c>
      <c r="KY257" s="409">
        <v>0</v>
      </c>
      <c r="KZ257" s="409">
        <v>0</v>
      </c>
      <c r="LA257" s="409">
        <v>0</v>
      </c>
      <c r="LB257" s="415">
        <v>0.8</v>
      </c>
      <c r="LC257" s="415">
        <v>0.2</v>
      </c>
      <c r="LD257" s="415"/>
      <c r="LE257" s="415"/>
      <c r="LF257" s="415"/>
      <c r="LG257" s="409">
        <v>0</v>
      </c>
      <c r="LH257" s="409">
        <f>10+10+32+8</f>
        <v>60</v>
      </c>
      <c r="LI257" s="409">
        <v>0</v>
      </c>
      <c r="LJ257" s="409">
        <v>0</v>
      </c>
      <c r="LK257" s="416">
        <f t="shared" si="191"/>
        <v>60</v>
      </c>
      <c r="LL257" s="416">
        <f t="shared" si="192"/>
        <v>60</v>
      </c>
      <c r="LM257" s="417">
        <f t="shared" si="193"/>
        <v>48</v>
      </c>
      <c r="LN257" s="417">
        <f>VLOOKUP($LM$8,'Jan-2026 rates'!$H:$I,2,0)</f>
        <v>0</v>
      </c>
      <c r="LO257" s="417">
        <f t="shared" si="194"/>
        <v>12</v>
      </c>
      <c r="LP257" s="417">
        <f>VLOOKUP($LO$8,'Jan-2026 rates'!$H:$I,2,0)</f>
        <v>0</v>
      </c>
      <c r="LQ257" s="417">
        <f t="shared" si="195"/>
        <v>0</v>
      </c>
      <c r="LR257" s="417">
        <f>VLOOKUP($LQ$8,'Jan-2026 rates'!$H:$I,2,0)</f>
        <v>0</v>
      </c>
      <c r="LS257" s="417">
        <f t="shared" si="196"/>
        <v>0</v>
      </c>
      <c r="LT257" s="417">
        <f>VLOOKUP($LS$8,'Jan-2026 rates'!$H:$I,2,0)</f>
        <v>0</v>
      </c>
      <c r="LU257" s="417">
        <f t="shared" si="197"/>
        <v>0</v>
      </c>
      <c r="LV257" s="417">
        <f>VLOOKUP($LU$8,'Jan-2026 rates'!$H:$I,2,0)</f>
        <v>0</v>
      </c>
      <c r="LW257" s="417">
        <f t="shared" si="198"/>
        <v>0</v>
      </c>
      <c r="LX257" s="417">
        <f t="shared" si="199"/>
        <v>0</v>
      </c>
      <c r="LY257" s="418">
        <f t="shared" si="200"/>
        <v>0</v>
      </c>
      <c r="LZ257" s="417"/>
      <c r="MA257" s="435">
        <f t="shared" si="201"/>
        <v>29.2</v>
      </c>
      <c r="MB257" s="282">
        <f t="shared" si="202"/>
        <v>89.200000000000017</v>
      </c>
      <c r="MC257" s="283">
        <v>150</v>
      </c>
      <c r="MD257" s="284" t="str">
        <f t="shared" si="203"/>
        <v>FLINTSLFLINTSLFLINTSLFLINTSLFLINTSL</v>
      </c>
      <c r="ME257" s="293" t="str">
        <f t="shared" si="204"/>
        <v>+</v>
      </c>
      <c r="MF257" s="293" t="str">
        <f t="shared" si="205"/>
        <v>+</v>
      </c>
      <c r="MG257" s="293" t="str">
        <f t="shared" si="206"/>
        <v>+</v>
      </c>
      <c r="MH257" s="293" t="str">
        <f t="shared" si="207"/>
        <v>+</v>
      </c>
      <c r="MI257" s="293" t="str">
        <f t="shared" si="208"/>
        <v>+</v>
      </c>
      <c r="MJ257" s="293" t="str">
        <f t="shared" si="209"/>
        <v>NIL</v>
      </c>
      <c r="MK257" s="293" t="str">
        <f t="shared" si="210"/>
        <v>NIL</v>
      </c>
      <c r="ML257" s="293" t="str">
        <f t="shared" si="211"/>
        <v>NIL</v>
      </c>
      <c r="MM257" s="3" t="b">
        <f t="array" ref="MM257">OR(ME257:ML257="-")</f>
        <v>0</v>
      </c>
      <c r="MN257" s="285"/>
      <c r="MO257" s="401"/>
      <c r="MP257" s="286"/>
      <c r="MQ257" s="286"/>
      <c r="MR257" s="402"/>
      <c r="MS257" s="400"/>
      <c r="NH257" s="422"/>
      <c r="NJ257" s="421"/>
    </row>
    <row r="258" spans="1:374" s="1" customFormat="1" ht="16.5">
      <c r="A258" s="403">
        <v>46041</v>
      </c>
      <c r="B258" s="404" t="s">
        <v>1018</v>
      </c>
      <c r="C258" s="405" t="s">
        <v>4128</v>
      </c>
      <c r="D258" s="406">
        <v>151</v>
      </c>
      <c r="E258" s="404">
        <v>191</v>
      </c>
      <c r="F258" s="407">
        <v>10000</v>
      </c>
      <c r="G258" s="407" t="s">
        <v>1019</v>
      </c>
      <c r="H258" s="408" t="s">
        <v>1017</v>
      </c>
      <c r="I258" s="409">
        <v>0.5</v>
      </c>
      <c r="J258" s="405" t="s">
        <v>543</v>
      </c>
      <c r="K258" s="404" t="s">
        <v>4107</v>
      </c>
      <c r="L258" s="419" t="str">
        <f t="shared" si="184"/>
        <v>FLINTSL - BLACK</v>
      </c>
      <c r="M258" s="404">
        <v>28</v>
      </c>
      <c r="N258" s="410">
        <f>IF(M258=0,0,IF($LB258=70%,VLOOKUP($L258,'Jan-2026 rates'!$L:$R,4,0),IF($LB258=65%,VLOOKUP($L258,'Jan-2026 rates'!$L:$R,4,0),IF($LB258=40%,VLOOKUP($L258,'Jan-2026 rates'!$L:$R,5,0),IF($LB258=30%,VLOOKUP($L258,'Jan-2026 rates'!$L:$R,6,0),IF($LB258=100%,VLOOKUP($L258,'Jan-2026 rates'!$L:$R,7,0),IF($LB258=60%,VLOOKUP($L258,'Jan-2026 rates'!$L:$S,8,0),IF($LB258=80%,VLOOKUP($L258,'Jan-2026 rates'!L:T,9,0),0))))))))</f>
        <v>0</v>
      </c>
      <c r="O258" s="406"/>
      <c r="P258" s="404"/>
      <c r="Q258" s="410">
        <f>IF(P258=0,0,IF($LB258=70%,VLOOKUP($L258,'Jan-2026 rates'!$L:$R,4,0),IF($LB258=65%,VLOOKUP($L258,'Jan-2026 rates'!$L:$R,4,0),IF($LB258=40%,VLOOKUP($L258,'Jan-2026 rates'!$L:$R,5,0),IF($LB258=30%,VLOOKUP($L258,'Jan-2026 rates'!$L:$R,6,0),IF($LB258=100%,VLOOKUP($L258,'Jan-2026 rates'!$L:$R,7,0),IF($LB258=60%,VLOOKUP($L258,'Jan-2026 rates'!$L:$S,8,0),IF($LB258=80%,VLOOKUP($L258,'Jan-2026 rates'!L:T,9,0),0))))))))</f>
        <v>0</v>
      </c>
      <c r="R258" s="406">
        <v>26519000026</v>
      </c>
      <c r="S258" s="406">
        <v>26519000025</v>
      </c>
      <c r="T258" s="406"/>
      <c r="U258" s="406"/>
      <c r="V258" s="406"/>
      <c r="W258" s="406"/>
      <c r="X258" s="406"/>
      <c r="Y258" s="406"/>
      <c r="Z258" s="404">
        <v>1.5</v>
      </c>
      <c r="AA258" s="398" t="e">
        <f>IF(Z258=0,0,IF(LEN(R258)=11,_xlfn.XLOOKUP(R258,'Dispensed Ink Rates'!C:C,'Dispensed Ink Rates'!CS:CS),VLOOKUP(R258,'Jan-2026 rates'!$E:$F,2,0)))</f>
        <v>#N/A</v>
      </c>
      <c r="AB258" s="404">
        <v>3</v>
      </c>
      <c r="AC258" s="398" t="e">
        <f>IF(AB258=0,0,IF(LEN(S258)=11,_xlfn.XLOOKUP(S258,'Dispensed Ink Rates'!C:C,'Dispensed Ink Rates'!CS:CS),VLOOKUP(S258,'Jan-2026 rates'!$E:$F,2,0)))</f>
        <v>#N/A</v>
      </c>
      <c r="AD258" s="404"/>
      <c r="AE258" s="398">
        <f>IF(AD258=0,0,IF(LEN(T258)=11,_xlfn.XLOOKUP(T258,'Dispensed Ink Rates'!C:C,'Dispensed Ink Rates'!CS:CS),VLOOKUP(T258,'Jan-2026 rates'!$E:$F,2,0)))</f>
        <v>0</v>
      </c>
      <c r="AF258" s="404"/>
      <c r="AG258" s="398">
        <f>IF(AF258=0,0,IF(LEN(U258)=11,_xlfn.XLOOKUP(U258,'Dispensed Ink Rates'!C:C,'Dispensed Ink Rates'!CS:CS),VLOOKUP(U258,'Jan-2026 rates'!$E:$F,2,0)))</f>
        <v>0</v>
      </c>
      <c r="AH258" s="404"/>
      <c r="AI258" s="398">
        <f>IF(AH258=0,0,IF(LEN(V258)=11,_xlfn.XLOOKUP(V258,'Dispensed Ink Rates'!C:C,'Dispensed Ink Rates'!CS:CS),VLOOKUP(V258,'Jan-2026 rates'!$E:$F,2,0)))</f>
        <v>0</v>
      </c>
      <c r="AJ258" s="404"/>
      <c r="AK258" s="398">
        <f>IF(AJ258=0,0,IF(LEN(W258)=11,_xlfn.XLOOKUP(W258,'Dispensed Ink Rates'!C:C,'Dispensed Ink Rates'!CS:CS),VLOOKUP(W258,'Jan-2026 rates'!$E:$F,2,0)))</f>
        <v>0</v>
      </c>
      <c r="AL258" s="404"/>
      <c r="AM258" s="398">
        <f>IF(AL258=0,0,IF(LEN(X258)=11,_xlfn.XLOOKUP(X258,'Dispensed Ink Rates'!C:C,'Dispensed Ink Rates'!CS:CS),VLOOKUP(X258,'Jan-2026 rates'!$E:$F,2,0)))</f>
        <v>0</v>
      </c>
      <c r="AN258" s="404"/>
      <c r="AO258" s="398">
        <f>IF(AN258=0,0,IF(LEN(Y258)=11,_xlfn.XLOOKUP(Y258,'Dispensed Ink Rates'!C:C,'Dispensed Ink Rates'!CS:CS),VLOOKUP(Y258,'Jan-2026 rates'!$E:$F,2,0)))</f>
        <v>0</v>
      </c>
      <c r="AP258" s="409" t="s">
        <v>1443</v>
      </c>
      <c r="AQ258" s="409">
        <v>28</v>
      </c>
      <c r="AR258" s="410">
        <f t="shared" si="159"/>
        <v>0</v>
      </c>
      <c r="AS258" s="411">
        <f t="shared" si="160"/>
        <v>11.625</v>
      </c>
      <c r="AT258" s="410">
        <f t="shared" si="161"/>
        <v>0</v>
      </c>
      <c r="AU258" s="405" t="s">
        <v>857</v>
      </c>
      <c r="AV258" s="409" t="s">
        <v>4129</v>
      </c>
      <c r="AW258" s="420" t="str">
        <f t="shared" si="183"/>
        <v>FLINTSL - RED</v>
      </c>
      <c r="AX258" s="409">
        <v>10</v>
      </c>
      <c r="AY258" s="411">
        <f>IF(AX258=0,0,IF($LB258=70%,VLOOKUP($AW258,'Jan-2026 rates'!$L:$R,4,0),IF($LB258=65%,VLOOKUP($AW258,'Jan-2026 rates'!$L:$R,4,0),IF($LB258=40%,VLOOKUP($AW258,'Jan-2026 rates'!$L:$R,5,0),IF($LB258=30%,VLOOKUP($AW258,'Jan-2026 rates'!$L:$R,6,0),IF($LB258=100%,VLOOKUP($AW258,'Jan-2026 rates'!$L:$R,7,0),IF($LB258=60%,VLOOKUP($AW258,'Jan-2026 rates'!$L:$S,8,0),IF($LB258=80%,VLOOKUP($AW258,'Jan-2026 rates'!L:T,9,0),0))))))))</f>
        <v>0</v>
      </c>
      <c r="AZ258" s="412"/>
      <c r="BA258" s="409"/>
      <c r="BB258" s="411">
        <f>IF(BA258=0,0,IF($LB258=70%,VLOOKUP($AW258,'Jan-2026 rates'!$L:$R,4,0),IF($LB258=65%,VLOOKUP($AW258,'Jan-2026 rates'!$L:$R,4,0),IF($LB258=40%,VLOOKUP($AW258,'Jan-2026 rates'!$L:$R,5,0),IF($LB258=30%,VLOOKUP($AW258,'Jan-2026 rates'!$L:$R,6,0),IF($LB258=100%,VLOOKUP($AW258,'Jan-2026 rates'!$L:$R,7,0),IF($LB258=60%,VLOOKUP($AW258,'Jan-2026 rates'!$L:$S,8,0),IF($LB258=80%,VLOOKUP($AW258,'Jan-2026 rates'!L:T,9,0),0))))))))</f>
        <v>0</v>
      </c>
      <c r="BC258" s="413">
        <v>26519000036</v>
      </c>
      <c r="BD258" s="412" t="s">
        <v>1266</v>
      </c>
      <c r="BE258" s="412">
        <v>26520000011</v>
      </c>
      <c r="BF258" s="413">
        <v>26522000001</v>
      </c>
      <c r="BG258" s="412"/>
      <c r="BH258" s="412"/>
      <c r="BI258" s="412"/>
      <c r="BJ258" s="412"/>
      <c r="BK258" s="409">
        <v>2</v>
      </c>
      <c r="BL258" s="398" t="e">
        <f>IF(BK258=0,0,IF(LEN(BC258)=11,_xlfn.XLOOKUP(BC258,'Dispensed Ink Rates'!C:C,'Dispensed Ink Rates'!CS:CS),VLOOKUP(BC258,'Jan-2026 rates'!$E:$F,2,0)))</f>
        <v>#N/A</v>
      </c>
      <c r="BM258" s="409">
        <v>5</v>
      </c>
      <c r="BN258" s="398">
        <f>IF(BM258=0,0,IF(LEN(BD258)=11,_xlfn.XLOOKUP(BD258,'Dispensed Ink Rates'!C:C,'Dispensed Ink Rates'!CS:CS),VLOOKUP(BD258,'Jan-2026 rates'!$E:$F,2,0)))</f>
        <v>0</v>
      </c>
      <c r="BO258" s="409">
        <v>6</v>
      </c>
      <c r="BP258" s="398" t="e">
        <f>IF(BO258=0,0,IF(LEN(BE258)=11,_xlfn.XLOOKUP(BE258,'Dispensed Ink Rates'!C:C,'Dispensed Ink Rates'!CS:CS),VLOOKUP(BE258,'Jan-2026 rates'!$E:$F,2,0)))</f>
        <v>#N/A</v>
      </c>
      <c r="BQ258" s="409">
        <v>1.5</v>
      </c>
      <c r="BR258" s="398" t="e">
        <f>IF(BQ258=0,0,IF(LEN(BF258)=11,_xlfn.XLOOKUP(BF258,'Dispensed Ink Rates'!C:C,'Dispensed Ink Rates'!CS:CS),VLOOKUP(BF258,'Jan-2026 rates'!$E:$F,2,0)))</f>
        <v>#N/A</v>
      </c>
      <c r="BS258" s="409"/>
      <c r="BT258" s="398">
        <f>IF(BS258=0,0,IF(LEN(BG258)=11,_xlfn.XLOOKUP(BG258,'Dispensed Ink Rates'!C:C,'Dispensed Ink Rates'!CS:CS),VLOOKUP(BG258,'Jan-2026 rates'!$E:$F,2,0)))</f>
        <v>0</v>
      </c>
      <c r="BU258" s="409"/>
      <c r="BV258" s="398">
        <f>IF(BU258=0,0,IF(LEN(BH258)=11,_xlfn.XLOOKUP(BH258,'Dispensed Ink Rates'!C:C,'Dispensed Ink Rates'!CS:CS),VLOOKUP(BH258,'Jan-2026 rates'!$E:$F,2,0)))</f>
        <v>0</v>
      </c>
      <c r="BW258" s="409"/>
      <c r="BX258" s="398">
        <f>IF(BW258=0,0,IF(LEN(BI258)=11,_xlfn.XLOOKUP(BI258,'Dispensed Ink Rates'!C:C,'Dispensed Ink Rates'!CS:CS),VLOOKUP(BI258,'Jan-2026 rates'!$E:$F,2,0)))</f>
        <v>0</v>
      </c>
      <c r="BY258" s="409"/>
      <c r="BZ258" s="398">
        <f>IF(BY258=0,0,IF(LEN(BJ258)=11,_xlfn.XLOOKUP(BJ258,'Dispensed Ink Rates'!C:C,'Dispensed Ink Rates'!CS:CS),VLOOKUP(BJ258,'Jan-2026 rates'!$E:$F,2,0)))</f>
        <v>0</v>
      </c>
      <c r="CA258" s="409" t="s">
        <v>1443</v>
      </c>
      <c r="CB258" s="409">
        <v>25</v>
      </c>
      <c r="CC258" s="411">
        <f t="shared" si="162"/>
        <v>0</v>
      </c>
      <c r="CD258" s="411">
        <f t="shared" si="163"/>
        <v>13.75</v>
      </c>
      <c r="CE258" s="410">
        <f t="shared" si="164"/>
        <v>0</v>
      </c>
      <c r="CF258" s="404" t="s">
        <v>856</v>
      </c>
      <c r="CG258" s="409" t="s">
        <v>4130</v>
      </c>
      <c r="CH258" s="420" t="str">
        <f t="shared" si="185"/>
        <v>FLINTSL - WHITE</v>
      </c>
      <c r="CI258" s="409">
        <v>30</v>
      </c>
      <c r="CJ258" s="411">
        <f>IF(CI258=0,0,IF($LB258=70%,VLOOKUP($CH258,'Jan-2026 rates'!$L:$R,4,0),IF($LB258=65%,VLOOKUP($CH258,'Jan-2026 rates'!$L:$R,4,0),IF($LB258=40%,VLOOKUP($CH258,'Jan-2026 rates'!$L:$R,5,0),IF($LB258=30%,VLOOKUP($CH258,'Jan-2026 rates'!$L:$R,6,0),IF($LB258=100%,VLOOKUP($CH258,'Jan-2026 rates'!$L:$R,7,0),IF($LB258=60%,VLOOKUP($CH258,'Jan-2026 rates'!$L:$S,8,0),IF($LB258=80%,VLOOKUP($CH258,'Jan-2026 rates'!L:T,9,0),0))))))))</f>
        <v>0</v>
      </c>
      <c r="CK258" s="412"/>
      <c r="CL258" s="409"/>
      <c r="CM258" s="411">
        <f>IF(CL258=0,0,IF($LB258=70%,VLOOKUP($CH258,'Jan-2026 rates'!$L:$R,4,0),IF($LB258=65%,VLOOKUP($CH258,'Jan-2026 rates'!$L:$R,4,0),IF($LB258=40%,VLOOKUP($CH258,'Jan-2026 rates'!$L:$R,5,0),IF($LB258=30%,VLOOKUP($CH258,'Jan-2026 rates'!$L:$R,6,0),IF($LB258=100%,VLOOKUP($CH258,'Jan-2026 rates'!$L:$R,7,0),IF($LB258=60%,VLOOKUP($CH258,'Jan-2026 rates'!$L:$S,8,0),IF($LB258=80%,VLOOKUP($CH258,'Jan-2026 rates'!L:T,9,0),0))))))))</f>
        <v>0</v>
      </c>
      <c r="CN258" s="426" t="s">
        <v>484</v>
      </c>
      <c r="CO258" s="427"/>
      <c r="CP258" s="426"/>
      <c r="CQ258" s="426"/>
      <c r="CR258" s="428"/>
      <c r="CS258" s="428"/>
      <c r="CT258" s="428"/>
      <c r="CU258" s="428"/>
      <c r="CV258" s="409">
        <v>20</v>
      </c>
      <c r="CW258" s="398">
        <f>IF(CV258=0,0,IF(LEN(CN258)=11,_xlfn.XLOOKUP(CN258,'Dispensed Ink Rates'!C:C,'Dispensed Ink Rates'!CS:CS),VLOOKUP(CN258,'Jan-2026 rates'!$E:$F,2,0)))</f>
        <v>0</v>
      </c>
      <c r="CX258" s="409"/>
      <c r="CY258" s="398">
        <f>IF(CX258=0,0,IF(LEN(CO258)=11,_xlfn.XLOOKUP(CO258,'Dispensed Ink Rates'!C:C,'Dispensed Ink Rates'!CS:CS),VLOOKUP(CO258,'Jan-2026 rates'!$E:$F,2,0)))</f>
        <v>0</v>
      </c>
      <c r="CZ258" s="409"/>
      <c r="DA258" s="398">
        <f>IF(CZ258=0,0,IF(LEN(CP258)=11,_xlfn.XLOOKUP(CP258,'Dispensed Ink Rates'!C:C,'Dispensed Ink Rates'!CS:CS),VLOOKUP(CP258,'Jan-2026 rates'!$E:$F,2,0)))</f>
        <v>0</v>
      </c>
      <c r="DB258" s="409"/>
      <c r="DC258" s="398">
        <f>IF(DB258=0,0,IF(LEN(CQ258)=11,_xlfn.XLOOKUP(CQ258,'Dispensed Ink Rates'!C:C,'Dispensed Ink Rates'!CS:CS),VLOOKUP(CQ258,'Jan-2026 rates'!$E:$F,2,0)))</f>
        <v>0</v>
      </c>
      <c r="DD258" s="409"/>
      <c r="DE258" s="398">
        <f>IF(DD258=0,0,IF(LEN(CR258)=11,_xlfn.XLOOKUP(CR258,'Dispensed Ink Rates'!C:C,'Dispensed Ink Rates'!CS:CS),VLOOKUP(CR258,'Jan-2026 rates'!$E:$F,2,0)))</f>
        <v>0</v>
      </c>
      <c r="DF258" s="409"/>
      <c r="DG258" s="398">
        <f>IF(DF258=0,0,IF(LEN(CS258)=11,_xlfn.XLOOKUP(CS258,'Dispensed Ink Rates'!C:C,'Dispensed Ink Rates'!CS:CS),VLOOKUP(CS258,'Jan-2026 rates'!$E:$F,2,0)))</f>
        <v>0</v>
      </c>
      <c r="DH258" s="409"/>
      <c r="DI258" s="398">
        <f>IF(DH258=0,0,IF(LEN(CT258)=11,_xlfn.XLOOKUP(CT258,'Dispensed Ink Rates'!C:C,'Dispensed Ink Rates'!CS:CS),VLOOKUP(CT258,'Jan-2026 rates'!$E:$F,2,0)))</f>
        <v>0</v>
      </c>
      <c r="DJ258" s="409"/>
      <c r="DK258" s="398">
        <f>IF(DJ258=0,0,IF(LEN(CU258)=11,_xlfn.XLOOKUP(CU258,'Dispensed Ink Rates'!C:C,'Dispensed Ink Rates'!CS:CS),VLOOKUP(CU258,'Jan-2026 rates'!$E:$F,2,0)))</f>
        <v>0</v>
      </c>
      <c r="DL258" s="409" t="s">
        <v>1443</v>
      </c>
      <c r="DM258" s="409">
        <v>27</v>
      </c>
      <c r="DN258" s="411">
        <f t="shared" si="165"/>
        <v>0</v>
      </c>
      <c r="DO258" s="411">
        <f t="shared" si="166"/>
        <v>58.625</v>
      </c>
      <c r="DP258" s="410">
        <f t="shared" si="167"/>
        <v>0</v>
      </c>
      <c r="DQ258" s="405"/>
      <c r="DR258" s="409"/>
      <c r="DS258" s="420" t="str">
        <f t="shared" si="186"/>
        <v xml:space="preserve"> - </v>
      </c>
      <c r="DT258" s="409"/>
      <c r="DU258" s="411">
        <f>IF(DT258=0,0,IF($LB258=70%,VLOOKUP($DS258,'Jan-2026 rates'!$L:$R,4,0),IF($LB258=65%,VLOOKUP($DS258,'Jan-2026 rates'!$L:$R,4,0),IF($LB258=40%,VLOOKUP($DS258,'Jan-2026 rates'!$L:$R,5,0),IF($LB258=30%,VLOOKUP($DS258,'Jan-2026 rates'!$L:$R,6,0),IF($LB258=100%,VLOOKUP($DS258,'Jan-2026 rates'!$L:$R,7,0),IF($LB258=60%,VLOOKUP($DS258,'Jan-2026 rates'!$L:$S,8,0),IF($LB258=80%,VLOOKUP($DS258,'Jan-2026 rates'!L:T,9,0),0))))))))</f>
        <v>0</v>
      </c>
      <c r="DV258" s="412"/>
      <c r="DW258" s="409"/>
      <c r="DX258" s="411">
        <f>IF(DW258=0,0,IF($LB258=70%,VLOOKUP($DS258,'Jan-2026 rates'!$L:$R,4,0),IF($LB258=65%,VLOOKUP($DS258,'Jan-2026 rates'!$L:$R,4,0),IF($LB258=40%,VLOOKUP($DS258,'Jan-2026 rates'!$L:$R,5,0),IF($LB258=30%,VLOOKUP($DS258,'Jan-2026 rates'!$L:$R,6,0),IF($LB258=100%,VLOOKUP($DS258,'Jan-2026 rates'!$L:$R,7,0),IF($LB258=60%,VLOOKUP($DS258,'Jan-2026 rates'!$L:$S,8,0),IF($LB258=80%,VLOOKUP($DS258,'Jan-2026 rates'!L:T,9,0),0))))))))</f>
        <v>0</v>
      </c>
      <c r="DY258" s="413"/>
      <c r="DZ258" s="413"/>
      <c r="EA258" s="412"/>
      <c r="EB258" s="412"/>
      <c r="EC258" s="412"/>
      <c r="ED258" s="412"/>
      <c r="EE258" s="412"/>
      <c r="EF258" s="412"/>
      <c r="EG258" s="409"/>
      <c r="EH258" s="398">
        <f>IF(EG258=0,0,IF(LEN(DY258)=11,_xlfn.XLOOKUP(DY258,'Dispensed Ink Rates'!C:C,'Dispensed Ink Rates'!CS:CS),VLOOKUP(DY258,'Jan-2026 rates'!$E:$F,2,0)))</f>
        <v>0</v>
      </c>
      <c r="EI258" s="409"/>
      <c r="EJ258" s="398">
        <f>IF(EI258=0,0,IF(LEN(DZ258)=11,_xlfn.XLOOKUP(DZ258,'Dispensed Ink Rates'!C:C,'Dispensed Ink Rates'!CS:CS),VLOOKUP(DZ258,'Jan-2026 rates'!$E:$F,2,0)))</f>
        <v>0</v>
      </c>
      <c r="EK258" s="409"/>
      <c r="EL258" s="398">
        <f>IF(EK258=0,0,IF(LEN(EA258)=11,_xlfn.XLOOKUP(EA258,'Dispensed Ink Rates'!C:C,'Dispensed Ink Rates'!CS:CS),VLOOKUP(EA258,'Jan-2026 rates'!$E:$F,2,0)))</f>
        <v>0</v>
      </c>
      <c r="EM258" s="409"/>
      <c r="EN258" s="398">
        <f>IF(EM258=0,0,IF(LEN(EB258)=11,_xlfn.XLOOKUP(EB258,'Dispensed Ink Rates'!C:C,'Dispensed Ink Rates'!CS:CS),VLOOKUP(EB258,'Jan-2026 rates'!$E:$F,2,0)))</f>
        <v>0</v>
      </c>
      <c r="EO258" s="409"/>
      <c r="EP258" s="398">
        <f>IF(EO258=0,0,IF(LEN(EC258)=11,_xlfn.XLOOKUP(EC258,'Dispensed Ink Rates'!C:C,'Dispensed Ink Rates'!CS:CS),VLOOKUP(EC258,'Jan-2026 rates'!$E:$F,2,0)))</f>
        <v>0</v>
      </c>
      <c r="EQ258" s="409"/>
      <c r="ER258" s="398">
        <f>IF(EQ258=0,0,IF(LEN(ED258)=11,_xlfn.XLOOKUP(ED258,'Dispensed Ink Rates'!C:C,'Dispensed Ink Rates'!CS:CS),VLOOKUP(ED258,'Jan-2026 rates'!$E:$F,2,0)))</f>
        <v>0</v>
      </c>
      <c r="ES258" s="409"/>
      <c r="ET258" s="398">
        <f>IF(ES258=0,0,IF(LEN(EE258)=11,_xlfn.XLOOKUP(EE258,'Dispensed Ink Rates'!C:C,'Dispensed Ink Rates'!CS:CS),VLOOKUP(EE258,'Jan-2026 rates'!$E:$F,2,0)))</f>
        <v>0</v>
      </c>
      <c r="EU258" s="409"/>
      <c r="EV258" s="398">
        <f>IF(EU258=0,0,IF(LEN(EF258)=11,_xlfn.XLOOKUP(EF258,'Dispensed Ink Rates'!C:C,'Dispensed Ink Rates'!CS:CS),VLOOKUP(EF258,'Jan-2026 rates'!$E:$F,2,0)))</f>
        <v>0</v>
      </c>
      <c r="EW258" s="409"/>
      <c r="EX258" s="409"/>
      <c r="EY258" s="411">
        <f t="shared" si="168"/>
        <v>0</v>
      </c>
      <c r="EZ258" s="411">
        <f t="shared" si="169"/>
        <v>0</v>
      </c>
      <c r="FA258" s="410">
        <f t="shared" si="170"/>
        <v>0</v>
      </c>
      <c r="FB258" s="405"/>
      <c r="FC258" s="409"/>
      <c r="FD258" s="420" t="str">
        <f t="shared" si="187"/>
        <v xml:space="preserve"> - </v>
      </c>
      <c r="FE258" s="409"/>
      <c r="FF258" s="411">
        <f>IF(FE258=0,0,IF($LB258=70%,VLOOKUP($FD258,'Jan-2026 rates'!$L:$R,4,0),IF($LB258=65%,VLOOKUP($FD258,'Jan-2026 rates'!$L:$R,4,0),IF($LB258=40%,VLOOKUP($FD258,'Jan-2026 rates'!$L:$R,5,0),IF($LB258=30%,VLOOKUP($FD258,'Jan-2026 rates'!$L:$R,6,0),IF($LB258=100%,VLOOKUP($FD258,'Jan-2026 rates'!$L:$R,7,0),IF($LB258=60%,VLOOKUP($FD258,'Jan-2026 rates'!$L:$S,8,0),IF($LB258=80%,VLOOKUP($FD258,'Jan-2026 rates'!L:T,9,0),0))))))))</f>
        <v>0</v>
      </c>
      <c r="FG258" s="412"/>
      <c r="FH258" s="409"/>
      <c r="FI258" s="411">
        <f>IF(FH258=0,0,IF($LB258=70%,VLOOKUP($FD258,'Jan-2026 rates'!$L:$R,4,0),IF($LB258=65%,VLOOKUP($FD258,'Jan-2026 rates'!$L:$R,4,0),IF($LB258=40%,VLOOKUP($FD258,'Jan-2026 rates'!$L:$R,5,0),IF($LB258=30%,VLOOKUP($FD258,'Jan-2026 rates'!$L:$R,6,0),IF($LB258=100%,VLOOKUP($FD258,'Jan-2026 rates'!$L:$R,7,0),IF($LB258=60%,VLOOKUP($FD258,'Jan-2026 rates'!$L:$S,8,0),IF($LB258=80%,VLOOKUP($FD258,'Jan-2026 rates'!L:T,9,0),0))))))))</f>
        <v>0</v>
      </c>
      <c r="FJ258" s="413"/>
      <c r="FK258" s="413"/>
      <c r="FL258" s="413"/>
      <c r="FM258" s="412"/>
      <c r="FN258" s="412"/>
      <c r="FO258" s="412"/>
      <c r="FP258" s="412"/>
      <c r="FQ258" s="412"/>
      <c r="FR258" s="409"/>
      <c r="FS258" s="398">
        <f>IF(FR258=0,0,IF(LEN(FJ258)=11,_xlfn.XLOOKUP(FJ258,'Dispensed Ink Rates'!C:C,'Dispensed Ink Rates'!CS:CS),VLOOKUP(FJ258,'Jan-2026 rates'!$E:$F,2,0)))</f>
        <v>0</v>
      </c>
      <c r="FT258" s="409"/>
      <c r="FU258" s="398">
        <f>IF(FT258=0,0,IF(LEN(FK258)=11,_xlfn.XLOOKUP(FK258,'Dispensed Ink Rates'!C:C,'Dispensed Ink Rates'!CS:CS),VLOOKUP(FK258,'Jan-2026 rates'!$E:$F,2,0)))</f>
        <v>0</v>
      </c>
      <c r="FV258" s="409"/>
      <c r="FW258" s="398">
        <f>IF(FV258=0,0,IF(LEN(FL258)=11,_xlfn.XLOOKUP(FL258,'Dispensed Ink Rates'!C:C,'Dispensed Ink Rates'!CS:CS),VLOOKUP(FL258,'Jan-2026 rates'!$E:$F,2,0)))</f>
        <v>0</v>
      </c>
      <c r="FX258" s="409"/>
      <c r="FY258" s="398">
        <f>IF(FX258=0,0,IF(LEN(FM258)=11,_xlfn.XLOOKUP(FM258,'Dispensed Ink Rates'!C:C,'Dispensed Ink Rates'!CS:CS),VLOOKUP(FM258,'Jan-2026 rates'!$E:$F,2,0)))</f>
        <v>0</v>
      </c>
      <c r="FZ258" s="409"/>
      <c r="GA258" s="398">
        <f>IF(FZ258=0,0,IF(LEN(FN258)=11,_xlfn.XLOOKUP(FN258,'Dispensed Ink Rates'!C:C,'Dispensed Ink Rates'!CS:CS),VLOOKUP(FN258,'Jan-2026 rates'!$E:$F,2,0)))</f>
        <v>0</v>
      </c>
      <c r="GB258" s="409"/>
      <c r="GC258" s="398">
        <f>IF(GB258=0,0,IF(LEN(FO258)=11,_xlfn.XLOOKUP(FO258,'Dispensed Ink Rates'!C:C,'Dispensed Ink Rates'!CS:CS),VLOOKUP(FO258,'Jan-2026 rates'!$E:$F,2,0)))</f>
        <v>0</v>
      </c>
      <c r="GD258" s="409"/>
      <c r="GE258" s="398">
        <f>IF(GD258=0,0,IF(LEN(FP258)=11,_xlfn.XLOOKUP(FP258,'Dispensed Ink Rates'!C:C,'Dispensed Ink Rates'!CS:CS),VLOOKUP(FP258,'Jan-2026 rates'!$E:$F,2,0)))</f>
        <v>0</v>
      </c>
      <c r="GF258" s="409"/>
      <c r="GG258" s="398">
        <f>IF(GF258=0,0,IF(LEN(FQ258)=11,_xlfn.XLOOKUP(FQ258,'Dispensed Ink Rates'!C:C,'Dispensed Ink Rates'!CS:CS),VLOOKUP(FQ258,'Jan-2026 rates'!$E:$F,2,0)))</f>
        <v>0</v>
      </c>
      <c r="GH258" s="409"/>
      <c r="GI258" s="409"/>
      <c r="GJ258" s="411">
        <f t="shared" si="171"/>
        <v>0</v>
      </c>
      <c r="GK258" s="411">
        <f t="shared" si="172"/>
        <v>0</v>
      </c>
      <c r="GL258" s="410">
        <f t="shared" si="173"/>
        <v>0</v>
      </c>
      <c r="GM258" s="405"/>
      <c r="GN258" s="409"/>
      <c r="GO258" s="420" t="str">
        <f t="shared" si="188"/>
        <v xml:space="preserve"> - </v>
      </c>
      <c r="GP258" s="409"/>
      <c r="GQ258" s="411">
        <f>IF(GP258=0,0,IF($LB258=70%,VLOOKUP($GO258,'Jan-2026 rates'!$L:$R,4,0),IF($LB258=65%,VLOOKUP($GO258,'Jan-2026 rates'!$L:$R,4,0),IF($LB258=40%,VLOOKUP($GO258,'Jan-2026 rates'!$L:$R,5,0),IF($LB258=30%,VLOOKUP($GO258,'Jan-2026 rates'!$L:$R,6,0),IF($LB258=100%,VLOOKUP($GO258,'Jan-2026 rates'!$L:$R,7,0),IF($LB258=60%,VLOOKUP($GO258,'Jan-2026 rates'!$L:$S,8,0),IF($LB258=80%,VLOOKUP($GO258,'Jan-2026 rates'!L:T,9,0),0))))))))</f>
        <v>0</v>
      </c>
      <c r="GR258" s="412"/>
      <c r="GS258" s="409"/>
      <c r="GT258" s="411">
        <f>IF(GS258=0,0,IF($LB258=70%,VLOOKUP($GO258,'Jan-2026 rates'!$L:$R,4,0),IF($LB258=65%,VLOOKUP($GO258,'Jan-2026 rates'!$L:$R,4,0),IF($LB258=40%,VLOOKUP($GO258,'Jan-2026 rates'!$L:$R,5,0),IF($LB258=30%,VLOOKUP($GO258,'Jan-2026 rates'!$L:$R,6,0),IF($LB258=100%,VLOOKUP($GO258,'Jan-2026 rates'!$L:$R,7,0),IF($LB258=60%,VLOOKUP($GO258,'Jan-2026 rates'!$L:$S,8,0),IF($LB258=80%,VLOOKUP($GO258,'Jan-2026 rates'!L:T,9,0),0))))))))</f>
        <v>0</v>
      </c>
      <c r="GU258" s="413"/>
      <c r="GV258" s="413"/>
      <c r="GW258" s="412"/>
      <c r="GX258" s="412"/>
      <c r="GY258" s="412"/>
      <c r="GZ258" s="412"/>
      <c r="HA258" s="412"/>
      <c r="HB258" s="412"/>
      <c r="HC258" s="409"/>
      <c r="HD258" s="398">
        <f>IF(HC258=0,0,IF(LEN(GU258)=11,_xlfn.XLOOKUP(GU258,'Dispensed Ink Rates'!C:C,'Dispensed Ink Rates'!CS:CS),VLOOKUP(GU258,'Jan-2026 rates'!$E:$F,2,0)))</f>
        <v>0</v>
      </c>
      <c r="HE258" s="409"/>
      <c r="HF258" s="398">
        <f>IF(HE258=0,0,IF(LEN(GV258)=11,_xlfn.XLOOKUP(GV258,'Dispensed Ink Rates'!C:C,'Dispensed Ink Rates'!CS:CS),VLOOKUP(GV258,'Jan-2026 rates'!$E:$F,2,0)))</f>
        <v>0</v>
      </c>
      <c r="HG258" s="409"/>
      <c r="HH258" s="398">
        <f>IF(HG258=0,0,IF(LEN(GW258)=11,_xlfn.XLOOKUP(GW258,'Dispensed Ink Rates'!C:C,'Dispensed Ink Rates'!CS:CS),VLOOKUP(GW258,'Jan-2026 rates'!$E:$F,2,0)))</f>
        <v>0</v>
      </c>
      <c r="HI258" s="409"/>
      <c r="HJ258" s="398">
        <f>IF(HI258=0,0,IF(LEN(GX258)=11,_xlfn.XLOOKUP(GX258,'Dispensed Ink Rates'!C:C,'Dispensed Ink Rates'!CS:CS),VLOOKUP(GX258,'Jan-2026 rates'!$E:$F,2,0)))</f>
        <v>0</v>
      </c>
      <c r="HK258" s="409"/>
      <c r="HL258" s="398">
        <f>IF(HK258=0,0,IF(LEN(GY258)=11,_xlfn.XLOOKUP(GY258,'Dispensed Ink Rates'!C:C,'Dispensed Ink Rates'!CS:CS),VLOOKUP(GY258,'Jan-2026 rates'!$E:$F,2,0)))</f>
        <v>0</v>
      </c>
      <c r="HM258" s="409"/>
      <c r="HN258" s="398">
        <f>IF(HM258=0,0,IF(LEN(GZ258)=11,_xlfn.XLOOKUP(GZ258,'Dispensed Ink Rates'!C:C,'Dispensed Ink Rates'!CS:CS),VLOOKUP(GZ258,'Jan-2026 rates'!$E:$F,2,0)))</f>
        <v>0</v>
      </c>
      <c r="HO258" s="409"/>
      <c r="HP258" s="398">
        <f>IF(HO258=0,0,IF(LEN(HA258)=11,_xlfn.XLOOKUP(HA258,'Dispensed Ink Rates'!C:C,'Dispensed Ink Rates'!CS:CS),VLOOKUP(HA258,'Jan-2026 rates'!$E:$F,2,0)))</f>
        <v>0</v>
      </c>
      <c r="HQ258" s="409"/>
      <c r="HR258" s="398">
        <f>IF(HQ258=0,0,IF(LEN(HB258)=11,_xlfn.XLOOKUP(HB258,'Dispensed Ink Rates'!C:C,'Dispensed Ink Rates'!CS:CS),VLOOKUP(HB258,'Jan-2026 rates'!$E:$F,2,0)))</f>
        <v>0</v>
      </c>
      <c r="HS258" s="409"/>
      <c r="HT258" s="409"/>
      <c r="HU258" s="411">
        <f t="shared" si="174"/>
        <v>0</v>
      </c>
      <c r="HV258" s="411">
        <f t="shared" si="175"/>
        <v>0</v>
      </c>
      <c r="HW258" s="414">
        <f t="shared" si="176"/>
        <v>0</v>
      </c>
      <c r="HX258" s="405"/>
      <c r="HY258" s="409"/>
      <c r="HZ258" s="420" t="str">
        <f t="shared" si="189"/>
        <v xml:space="preserve"> - </v>
      </c>
      <c r="IA258" s="409"/>
      <c r="IB258" s="411">
        <f>IF(IA258=0,0,IF($LB258=70%,VLOOKUP($HZ258,'Jan-2026 rates'!$L:$R,4,0),IF($LB258=65%,VLOOKUP($HZ258,'Jan-2026 rates'!$L:$R,4,0),IF($LB258=40%,VLOOKUP($HZ258,'Jan-2026 rates'!$L:$R,5,0),IF($LB258=30%,VLOOKUP($HZ258,'Jan-2026 rates'!$L:$R,6,0),IF($LB258=100%,VLOOKUP($HZ258,'Jan-2026 rates'!$L:$R,7,0),IF($LB258=60%,VLOOKUP($HZ258,'Jan-2026 rates'!$L:$S,8,0),IF($LB258=80%,VLOOKUP($HZ258,'Jan-2026 rates'!L:T,9,0),0))))))))</f>
        <v>0</v>
      </c>
      <c r="IC258" s="412"/>
      <c r="ID258" s="409"/>
      <c r="IE258" s="411">
        <f>IF(ID258=0,0,IF($LB258=70%,VLOOKUP($HZ258,'Jan-2026 rates'!$L:$R,4,0),IF($LB258=65%,VLOOKUP($HZ258,'Jan-2026 rates'!$L:$R,4,0),IF($LB258=40%,VLOOKUP($HZ258,'Jan-2026 rates'!$L:$R,5,0),IF($LB258=30%,VLOOKUP($HZ258,'Jan-2026 rates'!$L:$R,6,0),IF($LB258=100%,VLOOKUP($HZ258,'Jan-2026 rates'!$L:$R,7,0),IF($LB258=60%,VLOOKUP($HZ258,'Jan-2026 rates'!$L:$S,8,0),IF($LB258=80%,VLOOKUP($HZ258,'Jan-2026 rates'!L:T,9,0),0))))))))</f>
        <v>0</v>
      </c>
      <c r="IF258" s="412"/>
      <c r="IG258" s="413"/>
      <c r="IH258" s="412"/>
      <c r="II258" s="412"/>
      <c r="IJ258" s="412"/>
      <c r="IK258" s="412"/>
      <c r="IL258" s="412"/>
      <c r="IM258" s="412"/>
      <c r="IN258" s="409"/>
      <c r="IO258" s="398">
        <f>IF(IN258=0,0,IF(LEN(IF258)=11,_xlfn.XLOOKUP(IF258,'Dispensed Ink Rates'!C:C,'Dispensed Ink Rates'!CS:CS),VLOOKUP(IF258,'Jan-2026 rates'!$E:$F,2,0)))</f>
        <v>0</v>
      </c>
      <c r="IP258" s="409"/>
      <c r="IQ258" s="398">
        <f>IF(IP258=0,0,IF(LEN(IG258)=11,_xlfn.XLOOKUP(IG258,'Dispensed Ink Rates'!C:C,'Dispensed Ink Rates'!CS:CS),VLOOKUP(IG258,'Jan-2026 rates'!$E:$F,2,0)))</f>
        <v>0</v>
      </c>
      <c r="IR258" s="409"/>
      <c r="IS258" s="398">
        <f>IF(IR258=0,0,IF(LEN(IH258)=11,_xlfn.XLOOKUP(IH258,'Dispensed Ink Rates'!C:C,'Dispensed Ink Rates'!CS:CS),VLOOKUP(IH258,'Jan-2026 rates'!$E:$F,2,0)))</f>
        <v>0</v>
      </c>
      <c r="IT258" s="409"/>
      <c r="IU258" s="398">
        <f>IF(IT258=0,0,IF(LEN(II258)=11,_xlfn.XLOOKUP(II258,'Dispensed Ink Rates'!C:C,'Dispensed Ink Rates'!CS:CS),VLOOKUP(II258,'Jan-2026 rates'!$E:$F,2,0)))</f>
        <v>0</v>
      </c>
      <c r="IV258" s="409"/>
      <c r="IW258" s="398">
        <f>IF(IV258=0,0,IF(LEN(IJ258)=11,_xlfn.XLOOKUP(IJ258,'Dispensed Ink Rates'!C:C,'Dispensed Ink Rates'!CS:CS),VLOOKUP(IJ258,'Jan-2026 rates'!$E:$F,2,0)))</f>
        <v>0</v>
      </c>
      <c r="IX258" s="409"/>
      <c r="IY258" s="398">
        <f>IF(IX258=0,0,IF(LEN(IK258)=11,_xlfn.XLOOKUP(IK258,'Dispensed Ink Rates'!C:C,'Dispensed Ink Rates'!CS:CS),VLOOKUP(IK258,'Jan-2026 rates'!$E:$F,2,0)))</f>
        <v>0</v>
      </c>
      <c r="IZ258" s="409"/>
      <c r="JA258" s="398">
        <f>IF(IZ258=0,0,IF(LEN(IL258)=11,_xlfn.XLOOKUP(IL258,'Dispensed Ink Rates'!C:C,'Dispensed Ink Rates'!CS:CS),VLOOKUP(IL258,'Jan-2026 rates'!$E:$F,2,0)))</f>
        <v>0</v>
      </c>
      <c r="JB258" s="409"/>
      <c r="JC258" s="398">
        <f>IF(JB258=0,0,IF(LEN(IM258)=11,_xlfn.XLOOKUP(IM258,'Dispensed Ink Rates'!C:C,'Dispensed Ink Rates'!CS:CS),VLOOKUP(IM258,'Jan-2026 rates'!$E:$F,2,0)))</f>
        <v>0</v>
      </c>
      <c r="JD258" s="409"/>
      <c r="JE258" s="409"/>
      <c r="JF258" s="411">
        <f t="shared" si="177"/>
        <v>0</v>
      </c>
      <c r="JG258" s="411">
        <f t="shared" si="178"/>
        <v>0</v>
      </c>
      <c r="JH258" s="410">
        <f t="shared" si="179"/>
        <v>0</v>
      </c>
      <c r="JI258" s="405"/>
      <c r="JJ258" s="409"/>
      <c r="JK258" s="420" t="str">
        <f t="shared" si="190"/>
        <v xml:space="preserve"> - </v>
      </c>
      <c r="JL258" s="409"/>
      <c r="JM258" s="411">
        <f>IF(JL258=0,0,IF($LB258=70%,VLOOKUP($JK258,'Jan-2026 rates'!$L:$R,4,0),IF($LB258=65%,VLOOKUP($JK258,'Jan-2026 rates'!$L:$R,4,0),IF($LB258=40%,VLOOKUP($JK258,'Jan-2026 rates'!$L:$R,5,0),IF($LB258=30%,VLOOKUP($JK258,'Jan-2026 rates'!$L:$R,6,0),IF($LB258=100%,VLOOKUP($JK258,'Jan-2026 rates'!$L:$R,7,0),IF($LB258=60%,VLOOKUP($JK258,'Jan-2026 rates'!$L:$S,8,0),IF($LB258=80%,VLOOKUP($JK258,'Jan-2026 rates'!L:T,9,0),0))))))))</f>
        <v>0</v>
      </c>
      <c r="JN258" s="412"/>
      <c r="JO258" s="409"/>
      <c r="JP258" s="411">
        <f>IF(JO258=0,0,IF($LB258=70%,VLOOKUP($JK258,'Jan-2026 rates'!$L:$R,4,0),IF($LB258=65%,VLOOKUP($JK258,'Jan-2026 rates'!$L:$R,4,0),IF($LB258=40%,VLOOKUP($JK258,'Jan-2026 rates'!$L:$R,5,0),IF($LB258=30%,VLOOKUP($JK258,'Jan-2026 rates'!$L:$R,6,0),IF($LB258=100%,VLOOKUP($JK258,'Jan-2026 rates'!$L:$R,7,0),IF($LB258=60%,VLOOKUP($JK258,'Jan-2026 rates'!$L:$S,8,0),IF($LB258=80%,VLOOKUP($JK258,'Jan-2026 rates'!L:T,9,0),0))))))))</f>
        <v>0</v>
      </c>
      <c r="JQ258" s="413"/>
      <c r="JR258" s="412"/>
      <c r="JS258" s="413"/>
      <c r="JT258" s="413"/>
      <c r="JU258" s="412"/>
      <c r="JV258" s="412"/>
      <c r="JW258" s="412"/>
      <c r="JX258" s="412"/>
      <c r="JY258" s="409"/>
      <c r="JZ258" s="398">
        <f>IF(JY258=0,0,IF(LEN(JQ258)=11,_xlfn.XLOOKUP(JQ258,'Dispensed Ink Rates'!C:C,'Dispensed Ink Rates'!CS:CS),VLOOKUP(JQ258,'Jan-2026 rates'!$E:$F,2,0)))</f>
        <v>0</v>
      </c>
      <c r="KA258" s="409"/>
      <c r="KB258" s="398">
        <f>IF(KA258=0,0,IF(LEN(JR258)=11,_xlfn.XLOOKUP(JR258,'Dispensed Ink Rates'!C:C,'Dispensed Ink Rates'!CS:CS),VLOOKUP(JR258,'Jan-2026 rates'!$E:$F,2,0)))</f>
        <v>0</v>
      </c>
      <c r="KC258" s="409"/>
      <c r="KD258" s="398">
        <f>IF(KC258=0,0,IF(LEN(JS258)=11,_xlfn.XLOOKUP(JS258,'Dispensed Ink Rates'!C:C,'Dispensed Ink Rates'!CS:CS),VLOOKUP(JS258,'Jan-2026 rates'!$E:$F,2,0)))</f>
        <v>0</v>
      </c>
      <c r="KE258" s="409"/>
      <c r="KF258" s="398">
        <f>IF(KE258=0,0,IF(LEN(JT258)=11,_xlfn.XLOOKUP(JT258,'Dispensed Ink Rates'!C:C,'Dispensed Ink Rates'!CS:CS),VLOOKUP(JT258,'Jan-2026 rates'!$E:$F,2,0)))</f>
        <v>0</v>
      </c>
      <c r="KG258" s="409"/>
      <c r="KH258" s="398">
        <f>IF(KG258=0,0,IF(LEN(JU258)=11,_xlfn.XLOOKUP(JU258,'Dispensed Ink Rates'!C:C,'Dispensed Ink Rates'!CS:CS),VLOOKUP(JU258,'Jan-2026 rates'!$E:$F,2,0)))</f>
        <v>0</v>
      </c>
      <c r="KI258" s="409"/>
      <c r="KJ258" s="398">
        <f>IF(KI258=0,0,IF(LEN(JV258)=11,_xlfn.XLOOKUP(JV258,'Dispensed Ink Rates'!C:C,'Dispensed Ink Rates'!CS:CS),VLOOKUP(JV258,'Jan-2026 rates'!$E:$F,2,0)))</f>
        <v>0</v>
      </c>
      <c r="KK258" s="409"/>
      <c r="KL258" s="398">
        <f>IF(KK258=0,0,IF(LEN(JW258)=11,_xlfn.XLOOKUP(JW258,'Dispensed Ink Rates'!C:C,'Dispensed Ink Rates'!CS:CS),VLOOKUP(JW258,'Jan-2026 rates'!$E:$F,2,0)))</f>
        <v>0</v>
      </c>
      <c r="KM258" s="428"/>
      <c r="KN258" s="398">
        <f>IF(KM258=0,0,IF(LEN(JX258)=11,_xlfn.XLOOKUP(JX258,'Dispensed Ink Rates'!C:C,'Dispensed Ink Rates'!CS:CS),VLOOKUP(JX258,'Jan-2026 rates'!$E:$F,2,0)))</f>
        <v>0</v>
      </c>
      <c r="KO258" s="409"/>
      <c r="KP258" s="409"/>
      <c r="KQ258" s="411">
        <f t="shared" si="180"/>
        <v>0</v>
      </c>
      <c r="KR258" s="411">
        <f t="shared" si="181"/>
        <v>0</v>
      </c>
      <c r="KS258" s="410">
        <f t="shared" si="182"/>
        <v>0</v>
      </c>
      <c r="KT258" s="409">
        <v>2</v>
      </c>
      <c r="KU258" s="409">
        <v>4</v>
      </c>
      <c r="KV258" s="409">
        <v>10</v>
      </c>
      <c r="KW258" s="409">
        <v>0</v>
      </c>
      <c r="KX258" s="409">
        <v>0</v>
      </c>
      <c r="KY258" s="409">
        <v>0</v>
      </c>
      <c r="KZ258" s="409">
        <v>0</v>
      </c>
      <c r="LA258" s="409">
        <v>0</v>
      </c>
      <c r="LB258" s="415">
        <v>0.8</v>
      </c>
      <c r="LC258" s="415">
        <v>0.2</v>
      </c>
      <c r="LD258" s="415"/>
      <c r="LE258" s="415"/>
      <c r="LF258" s="415"/>
      <c r="LG258" s="409">
        <v>0</v>
      </c>
      <c r="LH258" s="409">
        <f>16+11+24+6</f>
        <v>57</v>
      </c>
      <c r="LI258" s="409">
        <v>0</v>
      </c>
      <c r="LJ258" s="409">
        <v>0</v>
      </c>
      <c r="LK258" s="416">
        <f t="shared" si="191"/>
        <v>57</v>
      </c>
      <c r="LL258" s="416">
        <f t="shared" si="192"/>
        <v>57</v>
      </c>
      <c r="LM258" s="417">
        <f t="shared" si="193"/>
        <v>45.6</v>
      </c>
      <c r="LN258" s="417">
        <f>VLOOKUP($LM$8,'Jan-2026 rates'!$H:$I,2,0)</f>
        <v>0</v>
      </c>
      <c r="LO258" s="417">
        <f t="shared" si="194"/>
        <v>11.4</v>
      </c>
      <c r="LP258" s="417">
        <f>VLOOKUP($LO$8,'Jan-2026 rates'!$H:$I,2,0)</f>
        <v>0</v>
      </c>
      <c r="LQ258" s="417">
        <f t="shared" si="195"/>
        <v>0</v>
      </c>
      <c r="LR258" s="417">
        <f>VLOOKUP($LQ$8,'Jan-2026 rates'!$H:$I,2,0)</f>
        <v>0</v>
      </c>
      <c r="LS258" s="417">
        <f t="shared" si="196"/>
        <v>0</v>
      </c>
      <c r="LT258" s="417">
        <f>VLOOKUP($LS$8,'Jan-2026 rates'!$H:$I,2,0)</f>
        <v>0</v>
      </c>
      <c r="LU258" s="417">
        <f t="shared" si="197"/>
        <v>0</v>
      </c>
      <c r="LV258" s="417">
        <f>VLOOKUP($LU$8,'Jan-2026 rates'!$H:$I,2,0)</f>
        <v>0</v>
      </c>
      <c r="LW258" s="417">
        <f t="shared" si="198"/>
        <v>0</v>
      </c>
      <c r="LX258" s="417">
        <f t="shared" si="199"/>
        <v>0</v>
      </c>
      <c r="LY258" s="418">
        <f t="shared" si="200"/>
        <v>0</v>
      </c>
      <c r="LZ258" s="417"/>
      <c r="MA258" s="435">
        <f t="shared" si="201"/>
        <v>39</v>
      </c>
      <c r="MB258" s="282">
        <f t="shared" si="202"/>
        <v>84</v>
      </c>
      <c r="MC258" s="283">
        <v>151</v>
      </c>
      <c r="MD258" s="284" t="str">
        <f t="shared" si="203"/>
        <v>FLINTSLFLINTSLFLINTSL</v>
      </c>
      <c r="ME258" s="293" t="str">
        <f t="shared" si="204"/>
        <v>+</v>
      </c>
      <c r="MF258" s="293" t="str">
        <f t="shared" si="205"/>
        <v>+</v>
      </c>
      <c r="MG258" s="293" t="str">
        <f t="shared" si="206"/>
        <v>+</v>
      </c>
      <c r="MH258" s="293" t="str">
        <f t="shared" si="207"/>
        <v>NIL</v>
      </c>
      <c r="MI258" s="293" t="str">
        <f t="shared" si="208"/>
        <v>NIL</v>
      </c>
      <c r="MJ258" s="293" t="str">
        <f t="shared" si="209"/>
        <v>NIL</v>
      </c>
      <c r="MK258" s="293" t="str">
        <f t="shared" si="210"/>
        <v>NIL</v>
      </c>
      <c r="ML258" s="293" t="str">
        <f t="shared" si="211"/>
        <v>NIL</v>
      </c>
      <c r="MM258" s="3" t="b">
        <f t="array" ref="MM258">OR(ME258:ML258="-")</f>
        <v>0</v>
      </c>
      <c r="MN258" s="285"/>
      <c r="MO258" s="401"/>
      <c r="MP258" s="286"/>
      <c r="MQ258" s="286"/>
      <c r="MR258" s="402"/>
      <c r="MS258" s="400"/>
      <c r="NH258" s="422"/>
      <c r="NJ258" s="421"/>
    </row>
    <row r="259" spans="1:374" s="1" customFormat="1" ht="16.5">
      <c r="A259" s="403">
        <v>46041</v>
      </c>
      <c r="B259" s="404" t="s">
        <v>1018</v>
      </c>
      <c r="C259" s="405" t="s">
        <v>4131</v>
      </c>
      <c r="D259" s="406">
        <v>152</v>
      </c>
      <c r="E259" s="404">
        <v>224</v>
      </c>
      <c r="F259" s="407">
        <v>12700</v>
      </c>
      <c r="G259" s="407" t="s">
        <v>1019</v>
      </c>
      <c r="H259" s="408" t="s">
        <v>1017</v>
      </c>
      <c r="I259" s="409">
        <v>2.21</v>
      </c>
      <c r="J259" s="405" t="s">
        <v>543</v>
      </c>
      <c r="K259" s="404" t="s">
        <v>4132</v>
      </c>
      <c r="L259" s="419" t="str">
        <f t="shared" si="184"/>
        <v>FLINTSL - BLACK</v>
      </c>
      <c r="M259" s="404">
        <v>28</v>
      </c>
      <c r="N259" s="410">
        <f>IF(M259=0,0,IF($LB259=70%,VLOOKUP($L259,'Jan-2026 rates'!$L:$R,4,0),IF($LB259=65%,VLOOKUP($L259,'Jan-2026 rates'!$L:$R,4,0),IF($LB259=40%,VLOOKUP($L259,'Jan-2026 rates'!$L:$R,5,0),IF($LB259=30%,VLOOKUP($L259,'Jan-2026 rates'!$L:$R,6,0),IF($LB259=100%,VLOOKUP($L259,'Jan-2026 rates'!$L:$R,7,0),IF($LB259=60%,VLOOKUP($L259,'Jan-2026 rates'!$L:$S,8,0),IF($LB259=80%,VLOOKUP($L259,'Jan-2026 rates'!L:T,9,0),0))))))))</f>
        <v>0</v>
      </c>
      <c r="O259" s="406"/>
      <c r="P259" s="404"/>
      <c r="Q259" s="410">
        <f>IF(P259=0,0,IF($LB259=70%,VLOOKUP($L259,'Jan-2026 rates'!$L:$R,4,0),IF($LB259=65%,VLOOKUP($L259,'Jan-2026 rates'!$L:$R,4,0),IF($LB259=40%,VLOOKUP($L259,'Jan-2026 rates'!$L:$R,5,0),IF($LB259=30%,VLOOKUP($L259,'Jan-2026 rates'!$L:$R,6,0),IF($LB259=100%,VLOOKUP($L259,'Jan-2026 rates'!$L:$R,7,0),IF($LB259=60%,VLOOKUP($L259,'Jan-2026 rates'!$L:$S,8,0),IF($LB259=80%,VLOOKUP($L259,'Jan-2026 rates'!L:T,9,0),0))))))))</f>
        <v>0</v>
      </c>
      <c r="R259" s="406" t="s">
        <v>1266</v>
      </c>
      <c r="S259" s="406"/>
      <c r="T259" s="406"/>
      <c r="U259" s="406"/>
      <c r="V259" s="406"/>
      <c r="W259" s="406"/>
      <c r="X259" s="406"/>
      <c r="Y259" s="406"/>
      <c r="Z259" s="404">
        <v>6</v>
      </c>
      <c r="AA259" s="398">
        <f>IF(Z259=0,0,IF(LEN(R259)=11,_xlfn.XLOOKUP(R259,'Dispensed Ink Rates'!C:C,'Dispensed Ink Rates'!CS:CS),VLOOKUP(R259,'Jan-2026 rates'!$E:$F,2,0)))</f>
        <v>0</v>
      </c>
      <c r="AB259" s="404"/>
      <c r="AC259" s="398">
        <f>IF(AB259=0,0,IF(LEN(S259)=11,_xlfn.XLOOKUP(S259,'Dispensed Ink Rates'!C:C,'Dispensed Ink Rates'!CS:CS),VLOOKUP(S259,'Jan-2026 rates'!$E:$F,2,0)))</f>
        <v>0</v>
      </c>
      <c r="AD259" s="404"/>
      <c r="AE259" s="398">
        <f>IF(AD259=0,0,IF(LEN(T259)=11,_xlfn.XLOOKUP(T259,'Dispensed Ink Rates'!C:C,'Dispensed Ink Rates'!CS:CS),VLOOKUP(T259,'Jan-2026 rates'!$E:$F,2,0)))</f>
        <v>0</v>
      </c>
      <c r="AF259" s="404"/>
      <c r="AG259" s="398">
        <f>IF(AF259=0,0,IF(LEN(U259)=11,_xlfn.XLOOKUP(U259,'Dispensed Ink Rates'!C:C,'Dispensed Ink Rates'!CS:CS),VLOOKUP(U259,'Jan-2026 rates'!$E:$F,2,0)))</f>
        <v>0</v>
      </c>
      <c r="AH259" s="404"/>
      <c r="AI259" s="398">
        <f>IF(AH259=0,0,IF(LEN(V259)=11,_xlfn.XLOOKUP(V259,'Dispensed Ink Rates'!C:C,'Dispensed Ink Rates'!CS:CS),VLOOKUP(V259,'Jan-2026 rates'!$E:$F,2,0)))</f>
        <v>0</v>
      </c>
      <c r="AJ259" s="404"/>
      <c r="AK259" s="398">
        <f>IF(AJ259=0,0,IF(LEN(W259)=11,_xlfn.XLOOKUP(W259,'Dispensed Ink Rates'!C:C,'Dispensed Ink Rates'!CS:CS),VLOOKUP(W259,'Jan-2026 rates'!$E:$F,2,0)))</f>
        <v>0</v>
      </c>
      <c r="AL259" s="404"/>
      <c r="AM259" s="398">
        <f>IF(AL259=0,0,IF(LEN(X259)=11,_xlfn.XLOOKUP(X259,'Dispensed Ink Rates'!C:C,'Dispensed Ink Rates'!CS:CS),VLOOKUP(X259,'Jan-2026 rates'!$E:$F,2,0)))</f>
        <v>0</v>
      </c>
      <c r="AN259" s="404"/>
      <c r="AO259" s="398">
        <f>IF(AN259=0,0,IF(LEN(Y259)=11,_xlfn.XLOOKUP(Y259,'Dispensed Ink Rates'!C:C,'Dispensed Ink Rates'!CS:CS),VLOOKUP(Y259,'Jan-2026 rates'!$E:$F,2,0)))</f>
        <v>0</v>
      </c>
      <c r="AP259" s="409" t="s">
        <v>1443</v>
      </c>
      <c r="AQ259" s="409">
        <v>26</v>
      </c>
      <c r="AR259" s="410">
        <f t="shared" si="159"/>
        <v>0</v>
      </c>
      <c r="AS259" s="411">
        <f t="shared" si="160"/>
        <v>15.258064516129032</v>
      </c>
      <c r="AT259" s="410">
        <f t="shared" si="161"/>
        <v>0</v>
      </c>
      <c r="AU259" s="405" t="s">
        <v>857</v>
      </c>
      <c r="AV259" s="409" t="s">
        <v>4129</v>
      </c>
      <c r="AW259" s="420" t="str">
        <f t="shared" si="183"/>
        <v>FLINTSL - RED</v>
      </c>
      <c r="AX259" s="409">
        <v>22</v>
      </c>
      <c r="AY259" s="411">
        <f>IF(AX259=0,0,IF($LB259=70%,VLOOKUP($AW259,'Jan-2026 rates'!$L:$R,4,0),IF($LB259=65%,VLOOKUP($AW259,'Jan-2026 rates'!$L:$R,4,0),IF($LB259=40%,VLOOKUP($AW259,'Jan-2026 rates'!$L:$R,5,0),IF($LB259=30%,VLOOKUP($AW259,'Jan-2026 rates'!$L:$R,6,0),IF($LB259=100%,VLOOKUP($AW259,'Jan-2026 rates'!$L:$R,7,0),IF($LB259=60%,VLOOKUP($AW259,'Jan-2026 rates'!$L:$S,8,0),IF($LB259=80%,VLOOKUP($AW259,'Jan-2026 rates'!L:T,9,0),0))))))))</f>
        <v>0</v>
      </c>
      <c r="AZ259" s="412"/>
      <c r="BA259" s="409"/>
      <c r="BB259" s="411">
        <f>IF(BA259=0,0,IF($LB259=70%,VLOOKUP($AW259,'Jan-2026 rates'!$L:$R,4,0),IF($LB259=65%,VLOOKUP($AW259,'Jan-2026 rates'!$L:$R,4,0),IF($LB259=40%,VLOOKUP($AW259,'Jan-2026 rates'!$L:$R,5,0),IF($LB259=30%,VLOOKUP($AW259,'Jan-2026 rates'!$L:$R,6,0),IF($LB259=100%,VLOOKUP($AW259,'Jan-2026 rates'!$L:$R,7,0),IF($LB259=60%,VLOOKUP($AW259,'Jan-2026 rates'!$L:$S,8,0),IF($LB259=80%,VLOOKUP($AW259,'Jan-2026 rates'!L:T,9,0),0))))))))</f>
        <v>0</v>
      </c>
      <c r="BC259" s="413">
        <v>26522000001</v>
      </c>
      <c r="BD259" s="412">
        <v>26520000011</v>
      </c>
      <c r="BE259" s="412"/>
      <c r="BF259" s="413"/>
      <c r="BG259" s="412"/>
      <c r="BH259" s="412"/>
      <c r="BI259" s="412"/>
      <c r="BJ259" s="412"/>
      <c r="BK259" s="409">
        <v>4</v>
      </c>
      <c r="BL259" s="398" t="e">
        <f>IF(BK259=0,0,IF(LEN(BC259)=11,_xlfn.XLOOKUP(BC259,'Dispensed Ink Rates'!C:C,'Dispensed Ink Rates'!CS:CS),VLOOKUP(BC259,'Jan-2026 rates'!$E:$F,2,0)))</f>
        <v>#N/A</v>
      </c>
      <c r="BM259" s="409">
        <v>6</v>
      </c>
      <c r="BN259" s="398" t="e">
        <f>IF(BM259=0,0,IF(LEN(BD259)=11,_xlfn.XLOOKUP(BD259,'Dispensed Ink Rates'!C:C,'Dispensed Ink Rates'!CS:CS),VLOOKUP(BD259,'Jan-2026 rates'!$E:$F,2,0)))</f>
        <v>#N/A</v>
      </c>
      <c r="BO259" s="409"/>
      <c r="BP259" s="398">
        <f>IF(BO259=0,0,IF(LEN(BE259)=11,_xlfn.XLOOKUP(BE259,'Dispensed Ink Rates'!C:C,'Dispensed Ink Rates'!CS:CS),VLOOKUP(BE259,'Jan-2026 rates'!$E:$F,2,0)))</f>
        <v>0</v>
      </c>
      <c r="BQ259" s="409"/>
      <c r="BR259" s="398">
        <f>IF(BQ259=0,0,IF(LEN(BF259)=11,_xlfn.XLOOKUP(BF259,'Dispensed Ink Rates'!C:C,'Dispensed Ink Rates'!CS:CS),VLOOKUP(BF259,'Jan-2026 rates'!$E:$F,2,0)))</f>
        <v>0</v>
      </c>
      <c r="BS259" s="409"/>
      <c r="BT259" s="398">
        <f>IF(BS259=0,0,IF(LEN(BG259)=11,_xlfn.XLOOKUP(BG259,'Dispensed Ink Rates'!C:C,'Dispensed Ink Rates'!CS:CS),VLOOKUP(BG259,'Jan-2026 rates'!$E:$F,2,0)))</f>
        <v>0</v>
      </c>
      <c r="BU259" s="409"/>
      <c r="BV259" s="398">
        <f>IF(BU259=0,0,IF(LEN(BH259)=11,_xlfn.XLOOKUP(BH259,'Dispensed Ink Rates'!C:C,'Dispensed Ink Rates'!CS:CS),VLOOKUP(BH259,'Jan-2026 rates'!$E:$F,2,0)))</f>
        <v>0</v>
      </c>
      <c r="BW259" s="409"/>
      <c r="BX259" s="398">
        <f>IF(BW259=0,0,IF(LEN(BI259)=11,_xlfn.XLOOKUP(BI259,'Dispensed Ink Rates'!C:C,'Dispensed Ink Rates'!CS:CS),VLOOKUP(BI259,'Jan-2026 rates'!$E:$F,2,0)))</f>
        <v>0</v>
      </c>
      <c r="BY259" s="409"/>
      <c r="BZ259" s="398">
        <f>IF(BY259=0,0,IF(LEN(BJ259)=11,_xlfn.XLOOKUP(BJ259,'Dispensed Ink Rates'!C:C,'Dispensed Ink Rates'!CS:CS),VLOOKUP(BJ259,'Jan-2026 rates'!$E:$F,2,0)))</f>
        <v>0</v>
      </c>
      <c r="CA259" s="409" t="s">
        <v>1443</v>
      </c>
      <c r="CB259" s="409">
        <v>30</v>
      </c>
      <c r="CC259" s="411">
        <f t="shared" si="162"/>
        <v>0</v>
      </c>
      <c r="CD259" s="411">
        <f t="shared" si="163"/>
        <v>9.258064516129032</v>
      </c>
      <c r="CE259" s="410">
        <f t="shared" si="164"/>
        <v>0</v>
      </c>
      <c r="CF259" s="404" t="s">
        <v>855</v>
      </c>
      <c r="CG259" s="409" t="s">
        <v>4133</v>
      </c>
      <c r="CH259" s="420" t="str">
        <f t="shared" si="185"/>
        <v>FLINTSL - CYAN</v>
      </c>
      <c r="CI259" s="409">
        <v>10</v>
      </c>
      <c r="CJ259" s="411">
        <f>IF(CI259=0,0,IF($LB259=70%,VLOOKUP($CH259,'Jan-2026 rates'!$L:$R,4,0),IF($LB259=65%,VLOOKUP($CH259,'Jan-2026 rates'!$L:$R,4,0),IF($LB259=40%,VLOOKUP($CH259,'Jan-2026 rates'!$L:$R,5,0),IF($LB259=30%,VLOOKUP($CH259,'Jan-2026 rates'!$L:$R,6,0),IF($LB259=100%,VLOOKUP($CH259,'Jan-2026 rates'!$L:$R,7,0),IF($LB259=60%,VLOOKUP($CH259,'Jan-2026 rates'!$L:$S,8,0),IF($LB259=80%,VLOOKUP($CH259,'Jan-2026 rates'!L:T,9,0),0))))))))</f>
        <v>0</v>
      </c>
      <c r="CK259" s="412"/>
      <c r="CL259" s="409"/>
      <c r="CM259" s="411">
        <f>IF(CL259=0,0,IF($LB259=70%,VLOOKUP($CH259,'Jan-2026 rates'!$L:$R,4,0),IF($LB259=65%,VLOOKUP($CH259,'Jan-2026 rates'!$L:$R,4,0),IF($LB259=40%,VLOOKUP($CH259,'Jan-2026 rates'!$L:$R,5,0),IF($LB259=30%,VLOOKUP($CH259,'Jan-2026 rates'!$L:$R,6,0),IF($LB259=100%,VLOOKUP($CH259,'Jan-2026 rates'!$L:$R,7,0),IF($LB259=60%,VLOOKUP($CH259,'Jan-2026 rates'!$L:$S,8,0),IF($LB259=80%,VLOOKUP($CH259,'Jan-2026 rates'!L:T,9,0),0))))))))</f>
        <v>0</v>
      </c>
      <c r="CN259" s="426" t="s">
        <v>1266</v>
      </c>
      <c r="CO259" s="427"/>
      <c r="CP259" s="426"/>
      <c r="CQ259" s="426"/>
      <c r="CR259" s="428"/>
      <c r="CS259" s="428"/>
      <c r="CT259" s="428"/>
      <c r="CU259" s="428"/>
      <c r="CV259" s="409">
        <v>12</v>
      </c>
      <c r="CW259" s="398">
        <f>IF(CV259=0,0,IF(LEN(CN259)=11,_xlfn.XLOOKUP(CN259,'Dispensed Ink Rates'!C:C,'Dispensed Ink Rates'!CS:CS),VLOOKUP(CN259,'Jan-2026 rates'!$E:$F,2,0)))</f>
        <v>0</v>
      </c>
      <c r="CX259" s="409"/>
      <c r="CY259" s="398">
        <f>IF(CX259=0,0,IF(LEN(CO259)=11,_xlfn.XLOOKUP(CO259,'Dispensed Ink Rates'!C:C,'Dispensed Ink Rates'!CS:CS),VLOOKUP(CO259,'Jan-2026 rates'!$E:$F,2,0)))</f>
        <v>0</v>
      </c>
      <c r="CZ259" s="409"/>
      <c r="DA259" s="398">
        <f>IF(CZ259=0,0,IF(LEN(CP259)=11,_xlfn.XLOOKUP(CP259,'Dispensed Ink Rates'!C:C,'Dispensed Ink Rates'!CS:CS),VLOOKUP(CP259,'Jan-2026 rates'!$E:$F,2,0)))</f>
        <v>0</v>
      </c>
      <c r="DB259" s="409"/>
      <c r="DC259" s="398">
        <f>IF(DB259=0,0,IF(LEN(CQ259)=11,_xlfn.XLOOKUP(CQ259,'Dispensed Ink Rates'!C:C,'Dispensed Ink Rates'!CS:CS),VLOOKUP(CQ259,'Jan-2026 rates'!$E:$F,2,0)))</f>
        <v>0</v>
      </c>
      <c r="DD259" s="409"/>
      <c r="DE259" s="398">
        <f>IF(DD259=0,0,IF(LEN(CR259)=11,_xlfn.XLOOKUP(CR259,'Dispensed Ink Rates'!C:C,'Dispensed Ink Rates'!CS:CS),VLOOKUP(CR259,'Jan-2026 rates'!$E:$F,2,0)))</f>
        <v>0</v>
      </c>
      <c r="DF259" s="409"/>
      <c r="DG259" s="398">
        <f>IF(DF259=0,0,IF(LEN(CS259)=11,_xlfn.XLOOKUP(CS259,'Dispensed Ink Rates'!C:C,'Dispensed Ink Rates'!CS:CS),VLOOKUP(CS259,'Jan-2026 rates'!$E:$F,2,0)))</f>
        <v>0</v>
      </c>
      <c r="DH259" s="409"/>
      <c r="DI259" s="398">
        <f>IF(DH259=0,0,IF(LEN(CT259)=11,_xlfn.XLOOKUP(CT259,'Dispensed Ink Rates'!C:C,'Dispensed Ink Rates'!CS:CS),VLOOKUP(CT259,'Jan-2026 rates'!$E:$F,2,0)))</f>
        <v>0</v>
      </c>
      <c r="DJ259" s="409"/>
      <c r="DK259" s="398">
        <f>IF(DJ259=0,0,IF(LEN(CU259)=11,_xlfn.XLOOKUP(CU259,'Dispensed Ink Rates'!C:C,'Dispensed Ink Rates'!CS:CS),VLOOKUP(CU259,'Jan-2026 rates'!$E:$F,2,0)))</f>
        <v>0</v>
      </c>
      <c r="DL259" s="409" t="s">
        <v>1443</v>
      </c>
      <c r="DM259" s="409">
        <v>29</v>
      </c>
      <c r="DN259" s="411">
        <f t="shared" si="165"/>
        <v>0</v>
      </c>
      <c r="DO259" s="411">
        <f t="shared" si="166"/>
        <v>7.5161290322580641</v>
      </c>
      <c r="DP259" s="410">
        <f t="shared" si="167"/>
        <v>0</v>
      </c>
      <c r="DQ259" s="405" t="s">
        <v>544</v>
      </c>
      <c r="DR259" s="409" t="s">
        <v>4134</v>
      </c>
      <c r="DS259" s="420" t="str">
        <f t="shared" si="186"/>
        <v>FLINTSL - MAGENTA</v>
      </c>
      <c r="DT259" s="409">
        <v>27</v>
      </c>
      <c r="DU259" s="411">
        <f>IF(DT259=0,0,IF($LB259=70%,VLOOKUP($DS259,'Jan-2026 rates'!$L:$R,4,0),IF($LB259=65%,VLOOKUP($DS259,'Jan-2026 rates'!$L:$R,4,0),IF($LB259=40%,VLOOKUP($DS259,'Jan-2026 rates'!$L:$R,5,0),IF($LB259=30%,VLOOKUP($DS259,'Jan-2026 rates'!$L:$R,6,0),IF($LB259=100%,VLOOKUP($DS259,'Jan-2026 rates'!$L:$R,7,0),IF($LB259=60%,VLOOKUP($DS259,'Jan-2026 rates'!$L:$S,8,0),IF($LB259=80%,VLOOKUP($DS259,'Jan-2026 rates'!L:T,9,0),0))))))))</f>
        <v>0</v>
      </c>
      <c r="DV259" s="412"/>
      <c r="DW259" s="409"/>
      <c r="DX259" s="411">
        <f>IF(DW259=0,0,IF($LB259=70%,VLOOKUP($DS259,'Jan-2026 rates'!$L:$R,4,0),IF($LB259=65%,VLOOKUP($DS259,'Jan-2026 rates'!$L:$R,4,0),IF($LB259=40%,VLOOKUP($DS259,'Jan-2026 rates'!$L:$R,5,0),IF($LB259=30%,VLOOKUP($DS259,'Jan-2026 rates'!$L:$R,6,0),IF($LB259=100%,VLOOKUP($DS259,'Jan-2026 rates'!$L:$R,7,0),IF($LB259=60%,VLOOKUP($DS259,'Jan-2026 rates'!$L:$S,8,0),IF($LB259=80%,VLOOKUP($DS259,'Jan-2026 rates'!L:T,9,0),0))))))))</f>
        <v>0</v>
      </c>
      <c r="DY259" s="413" t="s">
        <v>1266</v>
      </c>
      <c r="DZ259" s="413"/>
      <c r="EA259" s="412"/>
      <c r="EB259" s="412"/>
      <c r="EC259" s="412"/>
      <c r="ED259" s="412"/>
      <c r="EE259" s="412"/>
      <c r="EF259" s="412"/>
      <c r="EG259" s="409">
        <v>4</v>
      </c>
      <c r="EH259" s="398">
        <f>IF(EG259=0,0,IF(LEN(DY259)=11,_xlfn.XLOOKUP(DY259,'Dispensed Ink Rates'!C:C,'Dispensed Ink Rates'!CS:CS),VLOOKUP(DY259,'Jan-2026 rates'!$E:$F,2,0)))</f>
        <v>0</v>
      </c>
      <c r="EI259" s="409"/>
      <c r="EJ259" s="398">
        <f>IF(EI259=0,0,IF(LEN(DZ259)=11,_xlfn.XLOOKUP(DZ259,'Dispensed Ink Rates'!C:C,'Dispensed Ink Rates'!CS:CS),VLOOKUP(DZ259,'Jan-2026 rates'!$E:$F,2,0)))</f>
        <v>0</v>
      </c>
      <c r="EK259" s="409"/>
      <c r="EL259" s="398">
        <f>IF(EK259=0,0,IF(LEN(EA259)=11,_xlfn.XLOOKUP(EA259,'Dispensed Ink Rates'!C:C,'Dispensed Ink Rates'!CS:CS),VLOOKUP(EA259,'Jan-2026 rates'!$E:$F,2,0)))</f>
        <v>0</v>
      </c>
      <c r="EM259" s="409"/>
      <c r="EN259" s="398">
        <f>IF(EM259=0,0,IF(LEN(EB259)=11,_xlfn.XLOOKUP(EB259,'Dispensed Ink Rates'!C:C,'Dispensed Ink Rates'!CS:CS),VLOOKUP(EB259,'Jan-2026 rates'!$E:$F,2,0)))</f>
        <v>0</v>
      </c>
      <c r="EO259" s="409"/>
      <c r="EP259" s="398">
        <f>IF(EO259=0,0,IF(LEN(EC259)=11,_xlfn.XLOOKUP(EC259,'Dispensed Ink Rates'!C:C,'Dispensed Ink Rates'!CS:CS),VLOOKUP(EC259,'Jan-2026 rates'!$E:$F,2,0)))</f>
        <v>0</v>
      </c>
      <c r="EQ259" s="409"/>
      <c r="ER259" s="398">
        <f>IF(EQ259=0,0,IF(LEN(ED259)=11,_xlfn.XLOOKUP(ED259,'Dispensed Ink Rates'!C:C,'Dispensed Ink Rates'!CS:CS),VLOOKUP(ED259,'Jan-2026 rates'!$E:$F,2,0)))</f>
        <v>0</v>
      </c>
      <c r="ES259" s="409"/>
      <c r="ET259" s="398">
        <f>IF(ES259=0,0,IF(LEN(EE259)=11,_xlfn.XLOOKUP(EE259,'Dispensed Ink Rates'!C:C,'Dispensed Ink Rates'!CS:CS),VLOOKUP(EE259,'Jan-2026 rates'!$E:$F,2,0)))</f>
        <v>0</v>
      </c>
      <c r="EU259" s="409"/>
      <c r="EV259" s="398">
        <f>IF(EU259=0,0,IF(LEN(EF259)=11,_xlfn.XLOOKUP(EF259,'Dispensed Ink Rates'!C:C,'Dispensed Ink Rates'!CS:CS),VLOOKUP(EF259,'Jan-2026 rates'!$E:$F,2,0)))</f>
        <v>0</v>
      </c>
      <c r="EW259" s="409" t="s">
        <v>1443</v>
      </c>
      <c r="EX259" s="409">
        <v>30</v>
      </c>
      <c r="EY259" s="411">
        <f t="shared" si="168"/>
        <v>0</v>
      </c>
      <c r="EZ259" s="411">
        <f t="shared" si="169"/>
        <v>8.258064516129032</v>
      </c>
      <c r="FA259" s="410">
        <f t="shared" si="170"/>
        <v>0</v>
      </c>
      <c r="FB259" s="405" t="s">
        <v>545</v>
      </c>
      <c r="FC259" s="409" t="s">
        <v>4135</v>
      </c>
      <c r="FD259" s="420" t="str">
        <f t="shared" si="187"/>
        <v>FLINTSL - YELLOW</v>
      </c>
      <c r="FE259" s="409">
        <v>29</v>
      </c>
      <c r="FF259" s="411">
        <f>IF(FE259=0,0,IF($LB259=70%,VLOOKUP($FD259,'Jan-2026 rates'!$L:$R,4,0),IF($LB259=65%,VLOOKUP($FD259,'Jan-2026 rates'!$L:$R,4,0),IF($LB259=40%,VLOOKUP($FD259,'Jan-2026 rates'!$L:$R,5,0),IF($LB259=30%,VLOOKUP($FD259,'Jan-2026 rates'!$L:$R,6,0),IF($LB259=100%,VLOOKUP($FD259,'Jan-2026 rates'!$L:$R,7,0),IF($LB259=60%,VLOOKUP($FD259,'Jan-2026 rates'!$L:$S,8,0),IF($LB259=80%,VLOOKUP($FD259,'Jan-2026 rates'!L:T,9,0),0))))))))</f>
        <v>0</v>
      </c>
      <c r="FG259" s="412"/>
      <c r="FH259" s="409"/>
      <c r="FI259" s="411">
        <f>IF(FH259=0,0,IF($LB259=70%,VLOOKUP($FD259,'Jan-2026 rates'!$L:$R,4,0),IF($LB259=65%,VLOOKUP($FD259,'Jan-2026 rates'!$L:$R,4,0),IF($LB259=40%,VLOOKUP($FD259,'Jan-2026 rates'!$L:$R,5,0),IF($LB259=30%,VLOOKUP($FD259,'Jan-2026 rates'!$L:$R,6,0),IF($LB259=100%,VLOOKUP($FD259,'Jan-2026 rates'!$L:$R,7,0),IF($LB259=60%,VLOOKUP($FD259,'Jan-2026 rates'!$L:$S,8,0),IF($LB259=80%,VLOOKUP($FD259,'Jan-2026 rates'!L:T,9,0),0))))))))</f>
        <v>0</v>
      </c>
      <c r="FJ259" s="413">
        <v>26519000025</v>
      </c>
      <c r="FK259" s="413"/>
      <c r="FL259" s="413"/>
      <c r="FM259" s="412"/>
      <c r="FN259" s="412"/>
      <c r="FO259" s="412"/>
      <c r="FP259" s="412"/>
      <c r="FQ259" s="412"/>
      <c r="FR259" s="409">
        <v>6</v>
      </c>
      <c r="FS259" s="398" t="e">
        <f>IF(FR259=0,0,IF(LEN(FJ259)=11,_xlfn.XLOOKUP(FJ259,'Dispensed Ink Rates'!C:C,'Dispensed Ink Rates'!CS:CS),VLOOKUP(FJ259,'Jan-2026 rates'!$E:$F,2,0)))</f>
        <v>#N/A</v>
      </c>
      <c r="FT259" s="409"/>
      <c r="FU259" s="398">
        <f>IF(FT259=0,0,IF(LEN(FK259)=11,_xlfn.XLOOKUP(FK259,'Dispensed Ink Rates'!C:C,'Dispensed Ink Rates'!CS:CS),VLOOKUP(FK259,'Jan-2026 rates'!$E:$F,2,0)))</f>
        <v>0</v>
      </c>
      <c r="FV259" s="409"/>
      <c r="FW259" s="398">
        <f>IF(FV259=0,0,IF(LEN(FL259)=11,_xlfn.XLOOKUP(FL259,'Dispensed Ink Rates'!C:C,'Dispensed Ink Rates'!CS:CS),VLOOKUP(FL259,'Jan-2026 rates'!$E:$F,2,0)))</f>
        <v>0</v>
      </c>
      <c r="FX259" s="409"/>
      <c r="FY259" s="398">
        <f>IF(FX259=0,0,IF(LEN(FM259)=11,_xlfn.XLOOKUP(FM259,'Dispensed Ink Rates'!C:C,'Dispensed Ink Rates'!CS:CS),VLOOKUP(FM259,'Jan-2026 rates'!$E:$F,2,0)))</f>
        <v>0</v>
      </c>
      <c r="FZ259" s="409"/>
      <c r="GA259" s="398">
        <f>IF(FZ259=0,0,IF(LEN(FN259)=11,_xlfn.XLOOKUP(FN259,'Dispensed Ink Rates'!C:C,'Dispensed Ink Rates'!CS:CS),VLOOKUP(FN259,'Jan-2026 rates'!$E:$F,2,0)))</f>
        <v>0</v>
      </c>
      <c r="GB259" s="409"/>
      <c r="GC259" s="398">
        <f>IF(GB259=0,0,IF(LEN(FO259)=11,_xlfn.XLOOKUP(FO259,'Dispensed Ink Rates'!C:C,'Dispensed Ink Rates'!CS:CS),VLOOKUP(FO259,'Jan-2026 rates'!$E:$F,2,0)))</f>
        <v>0</v>
      </c>
      <c r="GD259" s="409"/>
      <c r="GE259" s="398">
        <f>IF(GD259=0,0,IF(LEN(FP259)=11,_xlfn.XLOOKUP(FP259,'Dispensed Ink Rates'!C:C,'Dispensed Ink Rates'!CS:CS),VLOOKUP(FP259,'Jan-2026 rates'!$E:$F,2,0)))</f>
        <v>0</v>
      </c>
      <c r="GF259" s="409"/>
      <c r="GG259" s="398">
        <f>IF(GF259=0,0,IF(LEN(FQ259)=11,_xlfn.XLOOKUP(FQ259,'Dispensed Ink Rates'!C:C,'Dispensed Ink Rates'!CS:CS),VLOOKUP(FQ259,'Jan-2026 rates'!$E:$F,2,0)))</f>
        <v>0</v>
      </c>
      <c r="GH259" s="409" t="s">
        <v>1443</v>
      </c>
      <c r="GI259" s="409">
        <v>30</v>
      </c>
      <c r="GJ259" s="411">
        <f t="shared" si="171"/>
        <v>0</v>
      </c>
      <c r="GK259" s="411">
        <f t="shared" si="172"/>
        <v>12.258064516129032</v>
      </c>
      <c r="GL259" s="410">
        <f t="shared" si="173"/>
        <v>0</v>
      </c>
      <c r="GM259" s="405" t="s">
        <v>828</v>
      </c>
      <c r="GN259" s="409" t="s">
        <v>4024</v>
      </c>
      <c r="GO259" s="420" t="str">
        <f t="shared" si="188"/>
        <v>FLINTSL - ORANGE</v>
      </c>
      <c r="GP259" s="409">
        <v>15</v>
      </c>
      <c r="GQ259" s="411">
        <f>IF(GP259=0,0,IF($LB259=70%,VLOOKUP($GO259,'Jan-2026 rates'!$L:$R,4,0),IF($LB259=65%,VLOOKUP($GO259,'Jan-2026 rates'!$L:$R,4,0),IF($LB259=40%,VLOOKUP($GO259,'Jan-2026 rates'!$L:$R,5,0),IF($LB259=30%,VLOOKUP($GO259,'Jan-2026 rates'!$L:$R,6,0),IF($LB259=100%,VLOOKUP($GO259,'Jan-2026 rates'!$L:$R,7,0),IF($LB259=60%,VLOOKUP($GO259,'Jan-2026 rates'!$L:$S,8,0),IF($LB259=80%,VLOOKUP($GO259,'Jan-2026 rates'!L:T,9,0),0))))))))</f>
        <v>0</v>
      </c>
      <c r="GR259" s="412" t="s">
        <v>4136</v>
      </c>
      <c r="GS259" s="409">
        <v>30</v>
      </c>
      <c r="GT259" s="411">
        <f>IF(GS259=0,0,IF($LB259=70%,VLOOKUP($GO259,'Jan-2026 rates'!$L:$R,4,0),IF($LB259=65%,VLOOKUP($GO259,'Jan-2026 rates'!$L:$R,4,0),IF($LB259=40%,VLOOKUP($GO259,'Jan-2026 rates'!$L:$R,5,0),IF($LB259=30%,VLOOKUP($GO259,'Jan-2026 rates'!$L:$R,6,0),IF($LB259=100%,VLOOKUP($GO259,'Jan-2026 rates'!$L:$R,7,0),IF($LB259=60%,VLOOKUP($GO259,'Jan-2026 rates'!$L:$S,8,0),IF($LB259=80%,VLOOKUP($GO259,'Jan-2026 rates'!L:T,9,0),0))))))))</f>
        <v>0</v>
      </c>
      <c r="GU259" s="413">
        <v>26519000025</v>
      </c>
      <c r="GV259" s="413">
        <v>26519000036</v>
      </c>
      <c r="GW259" s="412">
        <v>26519000026</v>
      </c>
      <c r="GX259" s="412"/>
      <c r="GY259" s="412"/>
      <c r="GZ259" s="412"/>
      <c r="HA259" s="412"/>
      <c r="HB259" s="412"/>
      <c r="HC259" s="409">
        <f>8+10</f>
        <v>18</v>
      </c>
      <c r="HD259" s="398" t="e">
        <f>IF(HC259=0,0,IF(LEN(GU259)=11,_xlfn.XLOOKUP(GU259,'Dispensed Ink Rates'!C:C,'Dispensed Ink Rates'!CS:CS),VLOOKUP(GU259,'Jan-2026 rates'!$E:$F,2,0)))</f>
        <v>#N/A</v>
      </c>
      <c r="HE259" s="409">
        <v>0.2</v>
      </c>
      <c r="HF259" s="398" t="e">
        <f>IF(HE259=0,0,IF(LEN(GV259)=11,_xlfn.XLOOKUP(GV259,'Dispensed Ink Rates'!C:C,'Dispensed Ink Rates'!CS:CS),VLOOKUP(GV259,'Jan-2026 rates'!$E:$F,2,0)))</f>
        <v>#N/A</v>
      </c>
      <c r="HG259" s="409">
        <v>0.5</v>
      </c>
      <c r="HH259" s="398" t="e">
        <f>IF(HG259=0,0,IF(LEN(GW259)=11,_xlfn.XLOOKUP(GW259,'Dispensed Ink Rates'!C:C,'Dispensed Ink Rates'!CS:CS),VLOOKUP(GW259,'Jan-2026 rates'!$E:$F,2,0)))</f>
        <v>#N/A</v>
      </c>
      <c r="HI259" s="409"/>
      <c r="HJ259" s="398">
        <f>IF(HI259=0,0,IF(LEN(GX259)=11,_xlfn.XLOOKUP(GX259,'Dispensed Ink Rates'!C:C,'Dispensed Ink Rates'!CS:CS),VLOOKUP(GX259,'Jan-2026 rates'!$E:$F,2,0)))</f>
        <v>0</v>
      </c>
      <c r="HK259" s="409"/>
      <c r="HL259" s="398">
        <f>IF(HK259=0,0,IF(LEN(GY259)=11,_xlfn.XLOOKUP(GY259,'Dispensed Ink Rates'!C:C,'Dispensed Ink Rates'!CS:CS),VLOOKUP(GY259,'Jan-2026 rates'!$E:$F,2,0)))</f>
        <v>0</v>
      </c>
      <c r="HM259" s="409"/>
      <c r="HN259" s="398">
        <f>IF(HM259=0,0,IF(LEN(GZ259)=11,_xlfn.XLOOKUP(GZ259,'Dispensed Ink Rates'!C:C,'Dispensed Ink Rates'!CS:CS),VLOOKUP(GZ259,'Jan-2026 rates'!$E:$F,2,0)))</f>
        <v>0</v>
      </c>
      <c r="HO259" s="409"/>
      <c r="HP259" s="398">
        <f>IF(HO259=0,0,IF(LEN(HA259)=11,_xlfn.XLOOKUP(HA259,'Dispensed Ink Rates'!C:C,'Dispensed Ink Rates'!CS:CS),VLOOKUP(HA259,'Jan-2026 rates'!$E:$F,2,0)))</f>
        <v>0</v>
      </c>
      <c r="HQ259" s="409"/>
      <c r="HR259" s="398">
        <f>IF(HQ259=0,0,IF(LEN(HB259)=11,_xlfn.XLOOKUP(HB259,'Dispensed Ink Rates'!C:C,'Dispensed Ink Rates'!CS:CS),VLOOKUP(HB259,'Jan-2026 rates'!$E:$F,2,0)))</f>
        <v>0</v>
      </c>
      <c r="HS259" s="409" t="s">
        <v>1443</v>
      </c>
      <c r="HT259" s="409">
        <v>28</v>
      </c>
      <c r="HU259" s="411">
        <f t="shared" si="174"/>
        <v>0</v>
      </c>
      <c r="HV259" s="411">
        <f t="shared" si="175"/>
        <v>45.861290322580643</v>
      </c>
      <c r="HW259" s="414">
        <f t="shared" si="176"/>
        <v>0</v>
      </c>
      <c r="HX259" s="405" t="s">
        <v>856</v>
      </c>
      <c r="HY259" s="409" t="s">
        <v>4137</v>
      </c>
      <c r="HZ259" s="420" t="str">
        <f t="shared" si="189"/>
        <v>FLINTSL - WHITE</v>
      </c>
      <c r="IA259" s="409">
        <v>27</v>
      </c>
      <c r="IB259" s="411">
        <f>IF(IA259=0,0,IF($LB259=70%,VLOOKUP($HZ259,'Jan-2026 rates'!$L:$R,4,0),IF($LB259=65%,VLOOKUP($HZ259,'Jan-2026 rates'!$L:$R,4,0),IF($LB259=40%,VLOOKUP($HZ259,'Jan-2026 rates'!$L:$R,5,0),IF($LB259=30%,VLOOKUP($HZ259,'Jan-2026 rates'!$L:$R,6,0),IF($LB259=100%,VLOOKUP($HZ259,'Jan-2026 rates'!$L:$R,7,0),IF($LB259=60%,VLOOKUP($HZ259,'Jan-2026 rates'!$L:$S,8,0),IF($LB259=80%,VLOOKUP($HZ259,'Jan-2026 rates'!L:T,9,0),0))))))))</f>
        <v>0</v>
      </c>
      <c r="IC259" s="412"/>
      <c r="ID259" s="409"/>
      <c r="IE259" s="411">
        <f>IF(ID259=0,0,IF($LB259=70%,VLOOKUP($HZ259,'Jan-2026 rates'!$L:$R,4,0),IF($LB259=65%,VLOOKUP($HZ259,'Jan-2026 rates'!$L:$R,4,0),IF($LB259=40%,VLOOKUP($HZ259,'Jan-2026 rates'!$L:$R,5,0),IF($LB259=30%,VLOOKUP($HZ259,'Jan-2026 rates'!$L:$R,6,0),IF($LB259=100%,VLOOKUP($HZ259,'Jan-2026 rates'!$L:$R,7,0),IF($LB259=60%,VLOOKUP($HZ259,'Jan-2026 rates'!$L:$S,8,0),IF($LB259=80%,VLOOKUP($HZ259,'Jan-2026 rates'!L:T,9,0),0))))))))</f>
        <v>0</v>
      </c>
      <c r="IF259" s="412" t="s">
        <v>484</v>
      </c>
      <c r="IG259" s="413"/>
      <c r="IH259" s="412"/>
      <c r="II259" s="412"/>
      <c r="IJ259" s="412"/>
      <c r="IK259" s="412"/>
      <c r="IL259" s="412"/>
      <c r="IM259" s="412"/>
      <c r="IN259" s="409">
        <f>25+10</f>
        <v>35</v>
      </c>
      <c r="IO259" s="398">
        <f>IF(IN259=0,0,IF(LEN(IF259)=11,_xlfn.XLOOKUP(IF259,'Dispensed Ink Rates'!C:C,'Dispensed Ink Rates'!CS:CS),VLOOKUP(IF259,'Jan-2026 rates'!$E:$F,2,0)))</f>
        <v>0</v>
      </c>
      <c r="IP259" s="409"/>
      <c r="IQ259" s="398">
        <f>IF(IP259=0,0,IF(LEN(IG259)=11,_xlfn.XLOOKUP(IG259,'Dispensed Ink Rates'!C:C,'Dispensed Ink Rates'!CS:CS),VLOOKUP(IG259,'Jan-2026 rates'!$E:$F,2,0)))</f>
        <v>0</v>
      </c>
      <c r="IR259" s="409"/>
      <c r="IS259" s="398">
        <f>IF(IR259=0,0,IF(LEN(IH259)=11,_xlfn.XLOOKUP(IH259,'Dispensed Ink Rates'!C:C,'Dispensed Ink Rates'!CS:CS),VLOOKUP(IH259,'Jan-2026 rates'!$E:$F,2,0)))</f>
        <v>0</v>
      </c>
      <c r="IT259" s="409"/>
      <c r="IU259" s="398">
        <f>IF(IT259=0,0,IF(LEN(II259)=11,_xlfn.XLOOKUP(II259,'Dispensed Ink Rates'!C:C,'Dispensed Ink Rates'!CS:CS),VLOOKUP(II259,'Jan-2026 rates'!$E:$F,2,0)))</f>
        <v>0</v>
      </c>
      <c r="IV259" s="409"/>
      <c r="IW259" s="398">
        <f>IF(IV259=0,0,IF(LEN(IJ259)=11,_xlfn.XLOOKUP(IJ259,'Dispensed Ink Rates'!C:C,'Dispensed Ink Rates'!CS:CS),VLOOKUP(IJ259,'Jan-2026 rates'!$E:$F,2,0)))</f>
        <v>0</v>
      </c>
      <c r="IX259" s="409"/>
      <c r="IY259" s="398">
        <f>IF(IX259=0,0,IF(LEN(IK259)=11,_xlfn.XLOOKUP(IK259,'Dispensed Ink Rates'!C:C,'Dispensed Ink Rates'!CS:CS),VLOOKUP(IK259,'Jan-2026 rates'!$E:$F,2,0)))</f>
        <v>0</v>
      </c>
      <c r="IZ259" s="409"/>
      <c r="JA259" s="398">
        <f>IF(IZ259=0,0,IF(LEN(IL259)=11,_xlfn.XLOOKUP(IL259,'Dispensed Ink Rates'!C:C,'Dispensed Ink Rates'!CS:CS),VLOOKUP(IL259,'Jan-2026 rates'!$E:$F,2,0)))</f>
        <v>0</v>
      </c>
      <c r="JB259" s="409"/>
      <c r="JC259" s="398">
        <f>IF(JB259=0,0,IF(LEN(IM259)=11,_xlfn.XLOOKUP(IM259,'Dispensed Ink Rates'!C:C,'Dispensed Ink Rates'!CS:CS),VLOOKUP(IM259,'Jan-2026 rates'!$E:$F,2,0)))</f>
        <v>0</v>
      </c>
      <c r="JD259" s="409" t="s">
        <v>1443</v>
      </c>
      <c r="JE259" s="409">
        <v>30</v>
      </c>
      <c r="JF259" s="411">
        <f t="shared" si="177"/>
        <v>0</v>
      </c>
      <c r="JG259" s="411">
        <f t="shared" si="178"/>
        <v>68.290322580645153</v>
      </c>
      <c r="JH259" s="410">
        <f t="shared" si="179"/>
        <v>0</v>
      </c>
      <c r="JI259" s="405"/>
      <c r="JJ259" s="409"/>
      <c r="JK259" s="420" t="str">
        <f t="shared" si="190"/>
        <v xml:space="preserve"> - </v>
      </c>
      <c r="JL259" s="409"/>
      <c r="JM259" s="411">
        <f>IF(JL259=0,0,IF($LB259=70%,VLOOKUP($JK259,'Jan-2026 rates'!$L:$R,4,0),IF($LB259=65%,VLOOKUP($JK259,'Jan-2026 rates'!$L:$R,4,0),IF($LB259=40%,VLOOKUP($JK259,'Jan-2026 rates'!$L:$R,5,0),IF($LB259=30%,VLOOKUP($JK259,'Jan-2026 rates'!$L:$R,6,0),IF($LB259=100%,VLOOKUP($JK259,'Jan-2026 rates'!$L:$R,7,0),IF($LB259=60%,VLOOKUP($JK259,'Jan-2026 rates'!$L:$S,8,0),IF($LB259=80%,VLOOKUP($JK259,'Jan-2026 rates'!L:T,9,0),0))))))))</f>
        <v>0</v>
      </c>
      <c r="JN259" s="412"/>
      <c r="JO259" s="409"/>
      <c r="JP259" s="411">
        <f>IF(JO259=0,0,IF($LB259=70%,VLOOKUP($JK259,'Jan-2026 rates'!$L:$R,4,0),IF($LB259=65%,VLOOKUP($JK259,'Jan-2026 rates'!$L:$R,4,0),IF($LB259=40%,VLOOKUP($JK259,'Jan-2026 rates'!$L:$R,5,0),IF($LB259=30%,VLOOKUP($JK259,'Jan-2026 rates'!$L:$R,6,0),IF($LB259=100%,VLOOKUP($JK259,'Jan-2026 rates'!$L:$R,7,0),IF($LB259=60%,VLOOKUP($JK259,'Jan-2026 rates'!$L:$S,8,0),IF($LB259=80%,VLOOKUP($JK259,'Jan-2026 rates'!L:T,9,0),0))))))))</f>
        <v>0</v>
      </c>
      <c r="JQ259" s="413"/>
      <c r="JR259" s="412"/>
      <c r="JS259" s="413"/>
      <c r="JT259" s="413"/>
      <c r="JU259" s="412"/>
      <c r="JV259" s="412"/>
      <c r="JW259" s="412"/>
      <c r="JX259" s="412"/>
      <c r="JY259" s="409"/>
      <c r="JZ259" s="398">
        <f>IF(JY259=0,0,IF(LEN(JQ259)=11,_xlfn.XLOOKUP(JQ259,'Dispensed Ink Rates'!C:C,'Dispensed Ink Rates'!CS:CS),VLOOKUP(JQ259,'Jan-2026 rates'!$E:$F,2,0)))</f>
        <v>0</v>
      </c>
      <c r="KA259" s="409"/>
      <c r="KB259" s="398">
        <f>IF(KA259=0,0,IF(LEN(JR259)=11,_xlfn.XLOOKUP(JR259,'Dispensed Ink Rates'!C:C,'Dispensed Ink Rates'!CS:CS),VLOOKUP(JR259,'Jan-2026 rates'!$E:$F,2,0)))</f>
        <v>0</v>
      </c>
      <c r="KC259" s="409"/>
      <c r="KD259" s="398">
        <f>IF(KC259=0,0,IF(LEN(JS259)=11,_xlfn.XLOOKUP(JS259,'Dispensed Ink Rates'!C:C,'Dispensed Ink Rates'!CS:CS),VLOOKUP(JS259,'Jan-2026 rates'!$E:$F,2,0)))</f>
        <v>0</v>
      </c>
      <c r="KE259" s="409"/>
      <c r="KF259" s="398">
        <f>IF(KE259=0,0,IF(LEN(JT259)=11,_xlfn.XLOOKUP(JT259,'Dispensed Ink Rates'!C:C,'Dispensed Ink Rates'!CS:CS),VLOOKUP(JT259,'Jan-2026 rates'!$E:$F,2,0)))</f>
        <v>0</v>
      </c>
      <c r="KG259" s="409"/>
      <c r="KH259" s="398">
        <f>IF(KG259=0,0,IF(LEN(JU259)=11,_xlfn.XLOOKUP(JU259,'Dispensed Ink Rates'!C:C,'Dispensed Ink Rates'!CS:CS),VLOOKUP(JU259,'Jan-2026 rates'!$E:$F,2,0)))</f>
        <v>0</v>
      </c>
      <c r="KI259" s="409"/>
      <c r="KJ259" s="398">
        <f>IF(KI259=0,0,IF(LEN(JV259)=11,_xlfn.XLOOKUP(JV259,'Dispensed Ink Rates'!C:C,'Dispensed Ink Rates'!CS:CS),VLOOKUP(JV259,'Jan-2026 rates'!$E:$F,2,0)))</f>
        <v>0</v>
      </c>
      <c r="KK259" s="409"/>
      <c r="KL259" s="398">
        <f>IF(KK259=0,0,IF(LEN(JW259)=11,_xlfn.XLOOKUP(JW259,'Dispensed Ink Rates'!C:C,'Dispensed Ink Rates'!CS:CS),VLOOKUP(JW259,'Jan-2026 rates'!$E:$F,2,0)))</f>
        <v>0</v>
      </c>
      <c r="KM259" s="428"/>
      <c r="KN259" s="398">
        <f>IF(KM259=0,0,IF(LEN(JX259)=11,_xlfn.XLOOKUP(JX259,'Dispensed Ink Rates'!C:C,'Dispensed Ink Rates'!CS:CS),VLOOKUP(JX259,'Jan-2026 rates'!$E:$F,2,0)))</f>
        <v>0</v>
      </c>
      <c r="KO259" s="409"/>
      <c r="KP259" s="409"/>
      <c r="KQ259" s="411">
        <f t="shared" si="180"/>
        <v>0</v>
      </c>
      <c r="KR259" s="411">
        <f t="shared" si="181"/>
        <v>0</v>
      </c>
      <c r="KS259" s="410">
        <f t="shared" si="182"/>
        <v>0</v>
      </c>
      <c r="KT259" s="409">
        <v>5</v>
      </c>
      <c r="KU259" s="409">
        <v>5</v>
      </c>
      <c r="KV259" s="409">
        <v>10</v>
      </c>
      <c r="KW259" s="409">
        <v>5</v>
      </c>
      <c r="KX259" s="409">
        <v>5</v>
      </c>
      <c r="KY259" s="409">
        <v>7</v>
      </c>
      <c r="KZ259" s="409">
        <f>15+10</f>
        <v>25</v>
      </c>
      <c r="LA259" s="409">
        <v>0</v>
      </c>
      <c r="LB259" s="415">
        <v>0.8</v>
      </c>
      <c r="LC259" s="415">
        <v>0.2</v>
      </c>
      <c r="LD259" s="415"/>
      <c r="LE259" s="415"/>
      <c r="LF259" s="415"/>
      <c r="LG259" s="409">
        <v>0</v>
      </c>
      <c r="LH259" s="409">
        <f>25+20+32+8+5</f>
        <v>90</v>
      </c>
      <c r="LI259" s="409">
        <v>0</v>
      </c>
      <c r="LJ259" s="409">
        <v>0</v>
      </c>
      <c r="LK259" s="416">
        <f t="shared" si="191"/>
        <v>90</v>
      </c>
      <c r="LL259" s="416">
        <f t="shared" si="192"/>
        <v>90</v>
      </c>
      <c r="LM259" s="417">
        <f t="shared" si="193"/>
        <v>72</v>
      </c>
      <c r="LN259" s="417">
        <f>VLOOKUP($LM$8,'Jan-2026 rates'!$H:$I,2,0)</f>
        <v>0</v>
      </c>
      <c r="LO259" s="417">
        <f t="shared" si="194"/>
        <v>18</v>
      </c>
      <c r="LP259" s="417">
        <f>VLOOKUP($LO$8,'Jan-2026 rates'!$H:$I,2,0)</f>
        <v>0</v>
      </c>
      <c r="LQ259" s="417">
        <f t="shared" si="195"/>
        <v>0</v>
      </c>
      <c r="LR259" s="417">
        <f>VLOOKUP($LQ$8,'Jan-2026 rates'!$H:$I,2,0)</f>
        <v>0</v>
      </c>
      <c r="LS259" s="417">
        <f t="shared" si="196"/>
        <v>0</v>
      </c>
      <c r="LT259" s="417">
        <f>VLOOKUP($LS$8,'Jan-2026 rates'!$H:$I,2,0)</f>
        <v>0</v>
      </c>
      <c r="LU259" s="417">
        <f t="shared" si="197"/>
        <v>0</v>
      </c>
      <c r="LV259" s="417">
        <f>VLOOKUP($LU$8,'Jan-2026 rates'!$H:$I,2,0)</f>
        <v>0</v>
      </c>
      <c r="LW259" s="417">
        <f t="shared" si="198"/>
        <v>0</v>
      </c>
      <c r="LX259" s="417">
        <f t="shared" si="199"/>
        <v>0</v>
      </c>
      <c r="LY259" s="418">
        <f t="shared" si="200"/>
        <v>0</v>
      </c>
      <c r="LZ259" s="417"/>
      <c r="MA259" s="435">
        <f t="shared" si="201"/>
        <v>91.7</v>
      </c>
      <c r="MB259" s="282">
        <f t="shared" si="202"/>
        <v>166.7</v>
      </c>
      <c r="MC259" s="283">
        <v>152</v>
      </c>
      <c r="MD259" s="284" t="str">
        <f t="shared" si="203"/>
        <v>FLINTSLFLINTSLFLINTSLFLINTSLFLINTSLFLINTSLFLINTSL</v>
      </c>
      <c r="ME259" s="293" t="str">
        <f t="shared" si="204"/>
        <v>+</v>
      </c>
      <c r="MF259" s="293" t="str">
        <f t="shared" si="205"/>
        <v>+</v>
      </c>
      <c r="MG259" s="293" t="str">
        <f t="shared" si="206"/>
        <v>+</v>
      </c>
      <c r="MH259" s="293" t="str">
        <f t="shared" si="207"/>
        <v>+</v>
      </c>
      <c r="MI259" s="293" t="str">
        <f t="shared" si="208"/>
        <v>+</v>
      </c>
      <c r="MJ259" s="293" t="str">
        <f t="shared" si="209"/>
        <v>+</v>
      </c>
      <c r="MK259" s="293" t="str">
        <f t="shared" si="210"/>
        <v>+</v>
      </c>
      <c r="ML259" s="293" t="str">
        <f t="shared" si="211"/>
        <v>NIL</v>
      </c>
      <c r="MM259" s="3" t="b">
        <f t="array" ref="MM259">OR(ME259:ML259="-")</f>
        <v>0</v>
      </c>
      <c r="MN259" s="285"/>
      <c r="MO259" s="401"/>
      <c r="MP259" s="286"/>
      <c r="MQ259" s="286"/>
      <c r="MR259" s="402"/>
      <c r="MS259" s="400"/>
      <c r="NH259" s="422"/>
      <c r="NJ259" s="421"/>
    </row>
    <row r="260" spans="1:374" s="1" customFormat="1" ht="16.5">
      <c r="A260" s="403">
        <v>46042</v>
      </c>
      <c r="B260" s="404" t="s">
        <v>1015</v>
      </c>
      <c r="C260" s="405" t="s">
        <v>4138</v>
      </c>
      <c r="D260" s="406">
        <v>153</v>
      </c>
      <c r="E260" s="404">
        <v>273</v>
      </c>
      <c r="F260" s="407">
        <v>12900</v>
      </c>
      <c r="G260" s="407" t="s">
        <v>1019</v>
      </c>
      <c r="H260" s="408" t="s">
        <v>1017</v>
      </c>
      <c r="I260" s="409">
        <v>2.2599999999999998</v>
      </c>
      <c r="J260" s="405" t="s">
        <v>543</v>
      </c>
      <c r="K260" s="404" t="s">
        <v>4139</v>
      </c>
      <c r="L260" s="419" t="str">
        <f t="shared" si="184"/>
        <v>FLINTSL - BLACK</v>
      </c>
      <c r="M260" s="404">
        <v>26</v>
      </c>
      <c r="N260" s="410">
        <f>IF(M260=0,0,IF($LB260=70%,VLOOKUP($L260,'Jan-2026 rates'!$L:$R,4,0),IF($LB260=65%,VLOOKUP($L260,'Jan-2026 rates'!$L:$R,4,0),IF($LB260=40%,VLOOKUP($L260,'Jan-2026 rates'!$L:$R,5,0),IF($LB260=30%,VLOOKUP($L260,'Jan-2026 rates'!$L:$R,6,0),IF($LB260=100%,VLOOKUP($L260,'Jan-2026 rates'!$L:$R,7,0),IF($LB260=60%,VLOOKUP($L260,'Jan-2026 rates'!$L:$S,8,0),IF($LB260=80%,VLOOKUP($L260,'Jan-2026 rates'!L:T,9,0),0))))))))</f>
        <v>0</v>
      </c>
      <c r="O260" s="406"/>
      <c r="P260" s="404"/>
      <c r="Q260" s="410">
        <f>IF(P260=0,0,IF($LB260=70%,VLOOKUP($L260,'Jan-2026 rates'!$L:$R,4,0),IF($LB260=65%,VLOOKUP($L260,'Jan-2026 rates'!$L:$R,4,0),IF($LB260=40%,VLOOKUP($L260,'Jan-2026 rates'!$L:$R,5,0),IF($LB260=30%,VLOOKUP($L260,'Jan-2026 rates'!$L:$R,6,0),IF($LB260=100%,VLOOKUP($L260,'Jan-2026 rates'!$L:$R,7,0),IF($LB260=60%,VLOOKUP($L260,'Jan-2026 rates'!$L:$S,8,0),IF($LB260=80%,VLOOKUP($L260,'Jan-2026 rates'!L:T,9,0),0))))))))</f>
        <v>0</v>
      </c>
      <c r="R260" s="406">
        <v>26519000016</v>
      </c>
      <c r="S260" s="406"/>
      <c r="T260" s="406"/>
      <c r="U260" s="406"/>
      <c r="V260" s="406"/>
      <c r="W260" s="406"/>
      <c r="X260" s="406"/>
      <c r="Y260" s="406"/>
      <c r="Z260" s="404">
        <v>4</v>
      </c>
      <c r="AA260" s="398" t="e">
        <f>IF(Z260=0,0,IF(LEN(R260)=11,_xlfn.XLOOKUP(R260,'Dispensed Ink Rates'!C:C,'Dispensed Ink Rates'!CS:CS),VLOOKUP(R260,'Jan-2026 rates'!$E:$F,2,0)))</f>
        <v>#N/A</v>
      </c>
      <c r="AB260" s="404"/>
      <c r="AC260" s="398">
        <f>IF(AB260=0,0,IF(LEN(S260)=11,_xlfn.XLOOKUP(S260,'Dispensed Ink Rates'!C:C,'Dispensed Ink Rates'!CS:CS),VLOOKUP(S260,'Jan-2026 rates'!$E:$F,2,0)))</f>
        <v>0</v>
      </c>
      <c r="AD260" s="404"/>
      <c r="AE260" s="398">
        <f>IF(AD260=0,0,IF(LEN(T260)=11,_xlfn.XLOOKUP(T260,'Dispensed Ink Rates'!C:C,'Dispensed Ink Rates'!CS:CS),VLOOKUP(T260,'Jan-2026 rates'!$E:$F,2,0)))</f>
        <v>0</v>
      </c>
      <c r="AF260" s="404"/>
      <c r="AG260" s="398">
        <f>IF(AF260=0,0,IF(LEN(U260)=11,_xlfn.XLOOKUP(U260,'Dispensed Ink Rates'!C:C,'Dispensed Ink Rates'!CS:CS),VLOOKUP(U260,'Jan-2026 rates'!$E:$F,2,0)))</f>
        <v>0</v>
      </c>
      <c r="AH260" s="404"/>
      <c r="AI260" s="398">
        <f>IF(AH260=0,0,IF(LEN(V260)=11,_xlfn.XLOOKUP(V260,'Dispensed Ink Rates'!C:C,'Dispensed Ink Rates'!CS:CS),VLOOKUP(V260,'Jan-2026 rates'!$E:$F,2,0)))</f>
        <v>0</v>
      </c>
      <c r="AJ260" s="404"/>
      <c r="AK260" s="398">
        <f>IF(AJ260=0,0,IF(LEN(W260)=11,_xlfn.XLOOKUP(W260,'Dispensed Ink Rates'!C:C,'Dispensed Ink Rates'!CS:CS),VLOOKUP(W260,'Jan-2026 rates'!$E:$F,2,0)))</f>
        <v>0</v>
      </c>
      <c r="AL260" s="404"/>
      <c r="AM260" s="398">
        <f>IF(AL260=0,0,IF(LEN(X260)=11,_xlfn.XLOOKUP(X260,'Dispensed Ink Rates'!C:C,'Dispensed Ink Rates'!CS:CS),VLOOKUP(X260,'Jan-2026 rates'!$E:$F,2,0)))</f>
        <v>0</v>
      </c>
      <c r="AN260" s="404"/>
      <c r="AO260" s="398">
        <f>IF(AN260=0,0,IF(LEN(Y260)=11,_xlfn.XLOOKUP(Y260,'Dispensed Ink Rates'!C:C,'Dispensed Ink Rates'!CS:CS),VLOOKUP(Y260,'Jan-2026 rates'!$E:$F,2,0)))</f>
        <v>0</v>
      </c>
      <c r="AP260" s="409" t="s">
        <v>1443</v>
      </c>
      <c r="AQ260" s="409">
        <v>26</v>
      </c>
      <c r="AR260" s="410">
        <f t="shared" si="159"/>
        <v>0</v>
      </c>
      <c r="AS260" s="411">
        <f t="shared" si="160"/>
        <v>13.909090909090907</v>
      </c>
      <c r="AT260" s="410">
        <f t="shared" si="161"/>
        <v>0</v>
      </c>
      <c r="AU260" s="405" t="s">
        <v>857</v>
      </c>
      <c r="AV260" s="409" t="s">
        <v>4140</v>
      </c>
      <c r="AW260" s="420" t="str">
        <f t="shared" si="183"/>
        <v>FLINTSL - RED</v>
      </c>
      <c r="AX260" s="409">
        <v>30</v>
      </c>
      <c r="AY260" s="411">
        <f>IF(AX260=0,0,IF($LB260=70%,VLOOKUP($AW260,'Jan-2026 rates'!$L:$R,4,0),IF($LB260=65%,VLOOKUP($AW260,'Jan-2026 rates'!$L:$R,4,0),IF($LB260=40%,VLOOKUP($AW260,'Jan-2026 rates'!$L:$R,5,0),IF($LB260=30%,VLOOKUP($AW260,'Jan-2026 rates'!$L:$R,6,0),IF($LB260=100%,VLOOKUP($AW260,'Jan-2026 rates'!$L:$R,7,0),IF($LB260=60%,VLOOKUP($AW260,'Jan-2026 rates'!$L:$S,8,0),IF($LB260=80%,VLOOKUP($AW260,'Jan-2026 rates'!L:T,9,0),0))))))))</f>
        <v>0</v>
      </c>
      <c r="AZ260" s="412"/>
      <c r="BA260" s="409"/>
      <c r="BB260" s="411">
        <f>IF(BA260=0,0,IF($LB260=70%,VLOOKUP($AW260,'Jan-2026 rates'!$L:$R,4,0),IF($LB260=65%,VLOOKUP($AW260,'Jan-2026 rates'!$L:$R,4,0),IF($LB260=40%,VLOOKUP($AW260,'Jan-2026 rates'!$L:$R,5,0),IF($LB260=30%,VLOOKUP($AW260,'Jan-2026 rates'!$L:$R,6,0),IF($LB260=100%,VLOOKUP($AW260,'Jan-2026 rates'!$L:$R,7,0),IF($LB260=60%,VLOOKUP($AW260,'Jan-2026 rates'!$L:$S,8,0),IF($LB260=80%,VLOOKUP($AW260,'Jan-2026 rates'!L:T,9,0),0))))))))</f>
        <v>0</v>
      </c>
      <c r="BC260" s="413">
        <v>26524000010</v>
      </c>
      <c r="BD260" s="412"/>
      <c r="BE260" s="412"/>
      <c r="BF260" s="413"/>
      <c r="BG260" s="412"/>
      <c r="BH260" s="412"/>
      <c r="BI260" s="412"/>
      <c r="BJ260" s="412"/>
      <c r="BK260" s="409">
        <v>6</v>
      </c>
      <c r="BL260" s="398" t="e">
        <f>IF(BK260=0,0,IF(LEN(BC260)=11,_xlfn.XLOOKUP(BC260,'Dispensed Ink Rates'!C:C,'Dispensed Ink Rates'!CS:CS),VLOOKUP(BC260,'Jan-2026 rates'!$E:$F,2,0)))</f>
        <v>#N/A</v>
      </c>
      <c r="BM260" s="409"/>
      <c r="BN260" s="398">
        <f>IF(BM260=0,0,IF(LEN(BD260)=11,_xlfn.XLOOKUP(BD260,'Dispensed Ink Rates'!C:C,'Dispensed Ink Rates'!CS:CS),VLOOKUP(BD260,'Jan-2026 rates'!$E:$F,2,0)))</f>
        <v>0</v>
      </c>
      <c r="BO260" s="409"/>
      <c r="BP260" s="398">
        <f>IF(BO260=0,0,IF(LEN(BE260)=11,_xlfn.XLOOKUP(BE260,'Dispensed Ink Rates'!C:C,'Dispensed Ink Rates'!CS:CS),VLOOKUP(BE260,'Jan-2026 rates'!$E:$F,2,0)))</f>
        <v>0</v>
      </c>
      <c r="BQ260" s="409"/>
      <c r="BR260" s="398">
        <f>IF(BQ260=0,0,IF(LEN(BF260)=11,_xlfn.XLOOKUP(BF260,'Dispensed Ink Rates'!C:C,'Dispensed Ink Rates'!CS:CS),VLOOKUP(BF260,'Jan-2026 rates'!$E:$F,2,0)))</f>
        <v>0</v>
      </c>
      <c r="BS260" s="409"/>
      <c r="BT260" s="398">
        <f>IF(BS260=0,0,IF(LEN(BG260)=11,_xlfn.XLOOKUP(BG260,'Dispensed Ink Rates'!C:C,'Dispensed Ink Rates'!CS:CS),VLOOKUP(BG260,'Jan-2026 rates'!$E:$F,2,0)))</f>
        <v>0</v>
      </c>
      <c r="BU260" s="409"/>
      <c r="BV260" s="398">
        <f>IF(BU260=0,0,IF(LEN(BH260)=11,_xlfn.XLOOKUP(BH260,'Dispensed Ink Rates'!C:C,'Dispensed Ink Rates'!CS:CS),VLOOKUP(BH260,'Jan-2026 rates'!$E:$F,2,0)))</f>
        <v>0</v>
      </c>
      <c r="BW260" s="409"/>
      <c r="BX260" s="398">
        <f>IF(BW260=0,0,IF(LEN(BI260)=11,_xlfn.XLOOKUP(BI260,'Dispensed Ink Rates'!C:C,'Dispensed Ink Rates'!CS:CS),VLOOKUP(BI260,'Jan-2026 rates'!$E:$F,2,0)))</f>
        <v>0</v>
      </c>
      <c r="BY260" s="409"/>
      <c r="BZ260" s="398">
        <f>IF(BY260=0,0,IF(LEN(BJ260)=11,_xlfn.XLOOKUP(BJ260,'Dispensed Ink Rates'!C:C,'Dispensed Ink Rates'!CS:CS),VLOOKUP(BJ260,'Jan-2026 rates'!$E:$F,2,0)))</f>
        <v>0</v>
      </c>
      <c r="CA260" s="409" t="s">
        <v>1443</v>
      </c>
      <c r="CB260" s="409">
        <v>30</v>
      </c>
      <c r="CC260" s="411">
        <f t="shared" si="162"/>
        <v>0</v>
      </c>
      <c r="CD260" s="411">
        <f t="shared" si="163"/>
        <v>15.909090909090907</v>
      </c>
      <c r="CE260" s="410">
        <f t="shared" si="164"/>
        <v>0</v>
      </c>
      <c r="CF260" s="404" t="s">
        <v>547</v>
      </c>
      <c r="CG260" s="409" t="s">
        <v>4141</v>
      </c>
      <c r="CH260" s="420" t="str">
        <f t="shared" si="185"/>
        <v>FLINTSL - GREEN</v>
      </c>
      <c r="CI260" s="409">
        <v>16</v>
      </c>
      <c r="CJ260" s="411">
        <f>IF(CI260=0,0,IF($LB260=70%,VLOOKUP($CH260,'Jan-2026 rates'!$L:$R,4,0),IF($LB260=65%,VLOOKUP($CH260,'Jan-2026 rates'!$L:$R,4,0),IF($LB260=40%,VLOOKUP($CH260,'Jan-2026 rates'!$L:$R,5,0),IF($LB260=30%,VLOOKUP($CH260,'Jan-2026 rates'!$L:$R,6,0),IF($LB260=100%,VLOOKUP($CH260,'Jan-2026 rates'!$L:$R,7,0),IF($LB260=60%,VLOOKUP($CH260,'Jan-2026 rates'!$L:$S,8,0),IF($LB260=80%,VLOOKUP($CH260,'Jan-2026 rates'!L:T,9,0),0))))))))</f>
        <v>0</v>
      </c>
      <c r="CK260" s="412" t="s">
        <v>4142</v>
      </c>
      <c r="CL260" s="409">
        <f>26+32</f>
        <v>58</v>
      </c>
      <c r="CM260" s="411">
        <f>IF(CL260=0,0,IF($LB260=70%,VLOOKUP($CH260,'Jan-2026 rates'!$L:$R,4,0),IF($LB260=65%,VLOOKUP($CH260,'Jan-2026 rates'!$L:$R,4,0),IF($LB260=40%,VLOOKUP($CH260,'Jan-2026 rates'!$L:$R,5,0),IF($LB260=30%,VLOOKUP($CH260,'Jan-2026 rates'!$L:$R,6,0),IF($LB260=100%,VLOOKUP($CH260,'Jan-2026 rates'!$L:$R,7,0),IF($LB260=60%,VLOOKUP($CH260,'Jan-2026 rates'!$L:$S,8,0),IF($LB260=80%,VLOOKUP($CH260,'Jan-2026 rates'!L:T,9,0),0))))))))</f>
        <v>0</v>
      </c>
      <c r="CN260" s="426">
        <v>26521000007</v>
      </c>
      <c r="CO260" s="427">
        <v>26519000015</v>
      </c>
      <c r="CP260" s="426"/>
      <c r="CQ260" s="426"/>
      <c r="CR260" s="428"/>
      <c r="CS260" s="428"/>
      <c r="CT260" s="428"/>
      <c r="CU260" s="428"/>
      <c r="CV260" s="409">
        <v>15</v>
      </c>
      <c r="CW260" s="398" t="e">
        <f>IF(CV260=0,0,IF(LEN(CN260)=11,_xlfn.XLOOKUP(CN260,'Dispensed Ink Rates'!C:C,'Dispensed Ink Rates'!CS:CS),VLOOKUP(CN260,'Jan-2026 rates'!$E:$F,2,0)))</f>
        <v>#N/A</v>
      </c>
      <c r="CX260" s="409">
        <v>7</v>
      </c>
      <c r="CY260" s="398" t="e">
        <f>IF(CX260=0,0,IF(LEN(CO260)=11,_xlfn.XLOOKUP(CO260,'Dispensed Ink Rates'!C:C,'Dispensed Ink Rates'!CS:CS),VLOOKUP(CO260,'Jan-2026 rates'!$E:$F,2,0)))</f>
        <v>#N/A</v>
      </c>
      <c r="CZ260" s="409"/>
      <c r="DA260" s="398">
        <f>IF(CZ260=0,0,IF(LEN(CP260)=11,_xlfn.XLOOKUP(CP260,'Dispensed Ink Rates'!C:C,'Dispensed Ink Rates'!CS:CS),VLOOKUP(CP260,'Jan-2026 rates'!$E:$F,2,0)))</f>
        <v>0</v>
      </c>
      <c r="DB260" s="409"/>
      <c r="DC260" s="398">
        <f>IF(DB260=0,0,IF(LEN(CQ260)=11,_xlfn.XLOOKUP(CQ260,'Dispensed Ink Rates'!C:C,'Dispensed Ink Rates'!CS:CS),VLOOKUP(CQ260,'Jan-2026 rates'!$E:$F,2,0)))</f>
        <v>0</v>
      </c>
      <c r="DD260" s="409"/>
      <c r="DE260" s="398">
        <f>IF(DD260=0,0,IF(LEN(CR260)=11,_xlfn.XLOOKUP(CR260,'Dispensed Ink Rates'!C:C,'Dispensed Ink Rates'!CS:CS),VLOOKUP(CR260,'Jan-2026 rates'!$E:$F,2,0)))</f>
        <v>0</v>
      </c>
      <c r="DF260" s="409"/>
      <c r="DG260" s="398">
        <f>IF(DF260=0,0,IF(LEN(CS260)=11,_xlfn.XLOOKUP(CS260,'Dispensed Ink Rates'!C:C,'Dispensed Ink Rates'!CS:CS),VLOOKUP(CS260,'Jan-2026 rates'!$E:$F,2,0)))</f>
        <v>0</v>
      </c>
      <c r="DH260" s="409"/>
      <c r="DI260" s="398">
        <f>IF(DH260=0,0,IF(LEN(CT260)=11,_xlfn.XLOOKUP(CT260,'Dispensed Ink Rates'!C:C,'Dispensed Ink Rates'!CS:CS),VLOOKUP(CT260,'Jan-2026 rates'!$E:$F,2,0)))</f>
        <v>0</v>
      </c>
      <c r="DJ260" s="409"/>
      <c r="DK260" s="398">
        <f>IF(DJ260=0,0,IF(LEN(CU260)=11,_xlfn.XLOOKUP(CU260,'Dispensed Ink Rates'!C:C,'Dispensed Ink Rates'!CS:CS),VLOOKUP(CU260,'Jan-2026 rates'!$E:$F,2,0)))</f>
        <v>0</v>
      </c>
      <c r="DL260" s="409" t="s">
        <v>1443</v>
      </c>
      <c r="DM260" s="409">
        <v>26</v>
      </c>
      <c r="DN260" s="411">
        <f t="shared" si="165"/>
        <v>0</v>
      </c>
      <c r="DO260" s="411">
        <f t="shared" si="166"/>
        <v>79.909090909090907</v>
      </c>
      <c r="DP260" s="410">
        <f t="shared" si="167"/>
        <v>0</v>
      </c>
      <c r="DQ260" s="405" t="s">
        <v>855</v>
      </c>
      <c r="DR260" s="409" t="s">
        <v>4143</v>
      </c>
      <c r="DS260" s="420" t="str">
        <f t="shared" si="186"/>
        <v>FLINTSL - CYAN</v>
      </c>
      <c r="DT260" s="409">
        <v>30</v>
      </c>
      <c r="DU260" s="411">
        <f>IF(DT260=0,0,IF($LB260=70%,VLOOKUP($DS260,'Jan-2026 rates'!$L:$R,4,0),IF($LB260=65%,VLOOKUP($DS260,'Jan-2026 rates'!$L:$R,4,0),IF($LB260=40%,VLOOKUP($DS260,'Jan-2026 rates'!$L:$R,5,0),IF($LB260=30%,VLOOKUP($DS260,'Jan-2026 rates'!$L:$R,6,0),IF($LB260=100%,VLOOKUP($DS260,'Jan-2026 rates'!$L:$R,7,0),IF($LB260=60%,VLOOKUP($DS260,'Jan-2026 rates'!$L:$S,8,0),IF($LB260=80%,VLOOKUP($DS260,'Jan-2026 rates'!L:T,9,0),0))))))))</f>
        <v>0</v>
      </c>
      <c r="DV260" s="412"/>
      <c r="DW260" s="409"/>
      <c r="DX260" s="411">
        <f>IF(DW260=0,0,IF($LB260=70%,VLOOKUP($DS260,'Jan-2026 rates'!$L:$R,4,0),IF($LB260=65%,VLOOKUP($DS260,'Jan-2026 rates'!$L:$R,4,0),IF($LB260=40%,VLOOKUP($DS260,'Jan-2026 rates'!$L:$R,5,0),IF($LB260=30%,VLOOKUP($DS260,'Jan-2026 rates'!$L:$R,6,0),IF($LB260=100%,VLOOKUP($DS260,'Jan-2026 rates'!$L:$R,7,0),IF($LB260=60%,VLOOKUP($DS260,'Jan-2026 rates'!$L:$S,8,0),IF($LB260=80%,VLOOKUP($DS260,'Jan-2026 rates'!L:T,9,0),0))))))))</f>
        <v>0</v>
      </c>
      <c r="DY260" s="413" t="s">
        <v>1266</v>
      </c>
      <c r="DZ260" s="413"/>
      <c r="EA260" s="412"/>
      <c r="EB260" s="412"/>
      <c r="EC260" s="412"/>
      <c r="ED260" s="412"/>
      <c r="EE260" s="412"/>
      <c r="EF260" s="412"/>
      <c r="EG260" s="409">
        <v>4</v>
      </c>
      <c r="EH260" s="398">
        <f>IF(EG260=0,0,IF(LEN(DY260)=11,_xlfn.XLOOKUP(DY260,'Dispensed Ink Rates'!C:C,'Dispensed Ink Rates'!CS:CS),VLOOKUP(DY260,'Jan-2026 rates'!$E:$F,2,0)))</f>
        <v>0</v>
      </c>
      <c r="EI260" s="409"/>
      <c r="EJ260" s="398">
        <f>IF(EI260=0,0,IF(LEN(DZ260)=11,_xlfn.XLOOKUP(DZ260,'Dispensed Ink Rates'!C:C,'Dispensed Ink Rates'!CS:CS),VLOOKUP(DZ260,'Jan-2026 rates'!$E:$F,2,0)))</f>
        <v>0</v>
      </c>
      <c r="EK260" s="409"/>
      <c r="EL260" s="398">
        <f>IF(EK260=0,0,IF(LEN(EA260)=11,_xlfn.XLOOKUP(EA260,'Dispensed Ink Rates'!C:C,'Dispensed Ink Rates'!CS:CS),VLOOKUP(EA260,'Jan-2026 rates'!$E:$F,2,0)))</f>
        <v>0</v>
      </c>
      <c r="EM260" s="409"/>
      <c r="EN260" s="398">
        <f>IF(EM260=0,0,IF(LEN(EB260)=11,_xlfn.XLOOKUP(EB260,'Dispensed Ink Rates'!C:C,'Dispensed Ink Rates'!CS:CS),VLOOKUP(EB260,'Jan-2026 rates'!$E:$F,2,0)))</f>
        <v>0</v>
      </c>
      <c r="EO260" s="409"/>
      <c r="EP260" s="398">
        <f>IF(EO260=0,0,IF(LEN(EC260)=11,_xlfn.XLOOKUP(EC260,'Dispensed Ink Rates'!C:C,'Dispensed Ink Rates'!CS:CS),VLOOKUP(EC260,'Jan-2026 rates'!$E:$F,2,0)))</f>
        <v>0</v>
      </c>
      <c r="EQ260" s="409"/>
      <c r="ER260" s="398">
        <f>IF(EQ260=0,0,IF(LEN(ED260)=11,_xlfn.XLOOKUP(ED260,'Dispensed Ink Rates'!C:C,'Dispensed Ink Rates'!CS:CS),VLOOKUP(ED260,'Jan-2026 rates'!$E:$F,2,0)))</f>
        <v>0</v>
      </c>
      <c r="ES260" s="409"/>
      <c r="ET260" s="398">
        <f>IF(ES260=0,0,IF(LEN(EE260)=11,_xlfn.XLOOKUP(EE260,'Dispensed Ink Rates'!C:C,'Dispensed Ink Rates'!CS:CS),VLOOKUP(EE260,'Jan-2026 rates'!$E:$F,2,0)))</f>
        <v>0</v>
      </c>
      <c r="EU260" s="409"/>
      <c r="EV260" s="398">
        <f>IF(EU260=0,0,IF(LEN(EF260)=11,_xlfn.XLOOKUP(EF260,'Dispensed Ink Rates'!C:C,'Dispensed Ink Rates'!CS:CS),VLOOKUP(EF260,'Jan-2026 rates'!$E:$F,2,0)))</f>
        <v>0</v>
      </c>
      <c r="EW260" s="409" t="s">
        <v>1443</v>
      </c>
      <c r="EX260" s="409">
        <v>29</v>
      </c>
      <c r="EY260" s="411">
        <f t="shared" si="168"/>
        <v>0</v>
      </c>
      <c r="EZ260" s="411">
        <f t="shared" si="169"/>
        <v>14.909090909090907</v>
      </c>
      <c r="FA260" s="410">
        <f t="shared" si="170"/>
        <v>0</v>
      </c>
      <c r="FB260" s="405" t="s">
        <v>544</v>
      </c>
      <c r="FC260" s="409" t="s">
        <v>4144</v>
      </c>
      <c r="FD260" s="420" t="str">
        <f t="shared" si="187"/>
        <v>FLINTSL - MAGENTA</v>
      </c>
      <c r="FE260" s="409">
        <v>30</v>
      </c>
      <c r="FF260" s="411">
        <f>IF(FE260=0,0,IF($LB260=70%,VLOOKUP($FD260,'Jan-2026 rates'!$L:$R,4,0),IF($LB260=65%,VLOOKUP($FD260,'Jan-2026 rates'!$L:$R,4,0),IF($LB260=40%,VLOOKUP($FD260,'Jan-2026 rates'!$L:$R,5,0),IF($LB260=30%,VLOOKUP($FD260,'Jan-2026 rates'!$L:$R,6,0),IF($LB260=100%,VLOOKUP($FD260,'Jan-2026 rates'!$L:$R,7,0),IF($LB260=60%,VLOOKUP($FD260,'Jan-2026 rates'!$L:$S,8,0),IF($LB260=80%,VLOOKUP($FD260,'Jan-2026 rates'!L:T,9,0),0))))))))</f>
        <v>0</v>
      </c>
      <c r="FG260" s="412"/>
      <c r="FH260" s="409"/>
      <c r="FI260" s="411">
        <f>IF(FH260=0,0,IF($LB260=70%,VLOOKUP($FD260,'Jan-2026 rates'!$L:$R,4,0),IF($LB260=65%,VLOOKUP($FD260,'Jan-2026 rates'!$L:$R,4,0),IF($LB260=40%,VLOOKUP($FD260,'Jan-2026 rates'!$L:$R,5,0),IF($LB260=30%,VLOOKUP($FD260,'Jan-2026 rates'!$L:$R,6,0),IF($LB260=100%,VLOOKUP($FD260,'Jan-2026 rates'!$L:$R,7,0),IF($LB260=60%,VLOOKUP($FD260,'Jan-2026 rates'!$L:$S,8,0),IF($LB260=80%,VLOOKUP($FD260,'Jan-2026 rates'!L:T,9,0),0))))))))</f>
        <v>0</v>
      </c>
      <c r="FJ260" s="413" t="s">
        <v>1266</v>
      </c>
      <c r="FK260" s="413"/>
      <c r="FL260" s="413"/>
      <c r="FM260" s="412"/>
      <c r="FN260" s="412"/>
      <c r="FO260" s="412"/>
      <c r="FP260" s="412"/>
      <c r="FQ260" s="412"/>
      <c r="FR260" s="409">
        <v>2</v>
      </c>
      <c r="FS260" s="398">
        <f>IF(FR260=0,0,IF(LEN(FJ260)=11,_xlfn.XLOOKUP(FJ260,'Dispensed Ink Rates'!C:C,'Dispensed Ink Rates'!CS:CS),VLOOKUP(FJ260,'Jan-2026 rates'!$E:$F,2,0)))</f>
        <v>0</v>
      </c>
      <c r="FT260" s="409"/>
      <c r="FU260" s="398">
        <f>IF(FT260=0,0,IF(LEN(FK260)=11,_xlfn.XLOOKUP(FK260,'Dispensed Ink Rates'!C:C,'Dispensed Ink Rates'!CS:CS),VLOOKUP(FK260,'Jan-2026 rates'!$E:$F,2,0)))</f>
        <v>0</v>
      </c>
      <c r="FV260" s="409"/>
      <c r="FW260" s="398">
        <f>IF(FV260=0,0,IF(LEN(FL260)=11,_xlfn.XLOOKUP(FL260,'Dispensed Ink Rates'!C:C,'Dispensed Ink Rates'!CS:CS),VLOOKUP(FL260,'Jan-2026 rates'!$E:$F,2,0)))</f>
        <v>0</v>
      </c>
      <c r="FX260" s="409"/>
      <c r="FY260" s="398">
        <f>IF(FX260=0,0,IF(LEN(FM260)=11,_xlfn.XLOOKUP(FM260,'Dispensed Ink Rates'!C:C,'Dispensed Ink Rates'!CS:CS),VLOOKUP(FM260,'Jan-2026 rates'!$E:$F,2,0)))</f>
        <v>0</v>
      </c>
      <c r="FZ260" s="409"/>
      <c r="GA260" s="398">
        <f>IF(FZ260=0,0,IF(LEN(FN260)=11,_xlfn.XLOOKUP(FN260,'Dispensed Ink Rates'!C:C,'Dispensed Ink Rates'!CS:CS),VLOOKUP(FN260,'Jan-2026 rates'!$E:$F,2,0)))</f>
        <v>0</v>
      </c>
      <c r="GB260" s="409"/>
      <c r="GC260" s="398">
        <f>IF(GB260=0,0,IF(LEN(FO260)=11,_xlfn.XLOOKUP(FO260,'Dispensed Ink Rates'!C:C,'Dispensed Ink Rates'!CS:CS),VLOOKUP(FO260,'Jan-2026 rates'!$E:$F,2,0)))</f>
        <v>0</v>
      </c>
      <c r="GD260" s="409"/>
      <c r="GE260" s="398">
        <f>IF(GD260=0,0,IF(LEN(FP260)=11,_xlfn.XLOOKUP(FP260,'Dispensed Ink Rates'!C:C,'Dispensed Ink Rates'!CS:CS),VLOOKUP(FP260,'Jan-2026 rates'!$E:$F,2,0)))</f>
        <v>0</v>
      </c>
      <c r="GF260" s="409"/>
      <c r="GG260" s="398">
        <f>IF(GF260=0,0,IF(LEN(FQ260)=11,_xlfn.XLOOKUP(FQ260,'Dispensed Ink Rates'!C:C,'Dispensed Ink Rates'!CS:CS),VLOOKUP(FQ260,'Jan-2026 rates'!$E:$F,2,0)))</f>
        <v>0</v>
      </c>
      <c r="GH260" s="409" t="s">
        <v>1443</v>
      </c>
      <c r="GI260" s="409">
        <v>27</v>
      </c>
      <c r="GJ260" s="411">
        <f t="shared" si="171"/>
        <v>0</v>
      </c>
      <c r="GK260" s="411">
        <f t="shared" si="172"/>
        <v>14.909090909090907</v>
      </c>
      <c r="GL260" s="410">
        <f t="shared" si="173"/>
        <v>0</v>
      </c>
      <c r="GM260" s="405" t="s">
        <v>545</v>
      </c>
      <c r="GN260" s="409" t="s">
        <v>4145</v>
      </c>
      <c r="GO260" s="420" t="str">
        <f t="shared" si="188"/>
        <v>FLINTSL - YELLOW</v>
      </c>
      <c r="GP260" s="409">
        <v>28</v>
      </c>
      <c r="GQ260" s="411">
        <f>IF(GP260=0,0,IF($LB260=70%,VLOOKUP($GO260,'Jan-2026 rates'!$L:$R,4,0),IF($LB260=65%,VLOOKUP($GO260,'Jan-2026 rates'!$L:$R,4,0),IF($LB260=40%,VLOOKUP($GO260,'Jan-2026 rates'!$L:$R,5,0),IF($LB260=30%,VLOOKUP($GO260,'Jan-2026 rates'!$L:$R,6,0),IF($LB260=100%,VLOOKUP($GO260,'Jan-2026 rates'!$L:$R,7,0),IF($LB260=60%,VLOOKUP($GO260,'Jan-2026 rates'!$L:$S,8,0),IF($LB260=80%,VLOOKUP($GO260,'Jan-2026 rates'!L:T,9,0),0))))))))</f>
        <v>0</v>
      </c>
      <c r="GR260" s="412"/>
      <c r="GS260" s="409"/>
      <c r="GT260" s="411">
        <f>IF(GS260=0,0,IF($LB260=70%,VLOOKUP($GO260,'Jan-2026 rates'!$L:$R,4,0),IF($LB260=65%,VLOOKUP($GO260,'Jan-2026 rates'!$L:$R,4,0),IF($LB260=40%,VLOOKUP($GO260,'Jan-2026 rates'!$L:$R,5,0),IF($LB260=30%,VLOOKUP($GO260,'Jan-2026 rates'!$L:$R,6,0),IF($LB260=100%,VLOOKUP($GO260,'Jan-2026 rates'!$L:$R,7,0),IF($LB260=60%,VLOOKUP($GO260,'Jan-2026 rates'!$L:$S,8,0),IF($LB260=80%,VLOOKUP($GO260,'Jan-2026 rates'!L:T,9,0),0))))))))</f>
        <v>0</v>
      </c>
      <c r="GU260" s="413" t="s">
        <v>1266</v>
      </c>
      <c r="GV260" s="413">
        <v>26519000025</v>
      </c>
      <c r="GW260" s="412"/>
      <c r="GX260" s="412"/>
      <c r="GY260" s="412"/>
      <c r="GZ260" s="412"/>
      <c r="HA260" s="412"/>
      <c r="HB260" s="412"/>
      <c r="HC260" s="409">
        <v>4</v>
      </c>
      <c r="HD260" s="398">
        <f>IF(HC260=0,0,IF(LEN(GU260)=11,_xlfn.XLOOKUP(GU260,'Dispensed Ink Rates'!C:C,'Dispensed Ink Rates'!CS:CS),VLOOKUP(GU260,'Jan-2026 rates'!$E:$F,2,0)))</f>
        <v>0</v>
      </c>
      <c r="HE260" s="409">
        <v>2</v>
      </c>
      <c r="HF260" s="398" t="e">
        <f>IF(HE260=0,0,IF(LEN(GV260)=11,_xlfn.XLOOKUP(GV260,'Dispensed Ink Rates'!C:C,'Dispensed Ink Rates'!CS:CS),VLOOKUP(GV260,'Jan-2026 rates'!$E:$F,2,0)))</f>
        <v>#N/A</v>
      </c>
      <c r="HG260" s="409"/>
      <c r="HH260" s="398">
        <f>IF(HG260=0,0,IF(LEN(GW260)=11,_xlfn.XLOOKUP(GW260,'Dispensed Ink Rates'!C:C,'Dispensed Ink Rates'!CS:CS),VLOOKUP(GW260,'Jan-2026 rates'!$E:$F,2,0)))</f>
        <v>0</v>
      </c>
      <c r="HI260" s="409"/>
      <c r="HJ260" s="398">
        <f>IF(HI260=0,0,IF(LEN(GX260)=11,_xlfn.XLOOKUP(GX260,'Dispensed Ink Rates'!C:C,'Dispensed Ink Rates'!CS:CS),VLOOKUP(GX260,'Jan-2026 rates'!$E:$F,2,0)))</f>
        <v>0</v>
      </c>
      <c r="HK260" s="409"/>
      <c r="HL260" s="398">
        <f>IF(HK260=0,0,IF(LEN(GY260)=11,_xlfn.XLOOKUP(GY260,'Dispensed Ink Rates'!C:C,'Dispensed Ink Rates'!CS:CS),VLOOKUP(GY260,'Jan-2026 rates'!$E:$F,2,0)))</f>
        <v>0</v>
      </c>
      <c r="HM260" s="409"/>
      <c r="HN260" s="398">
        <f>IF(HM260=0,0,IF(LEN(GZ260)=11,_xlfn.XLOOKUP(GZ260,'Dispensed Ink Rates'!C:C,'Dispensed Ink Rates'!CS:CS),VLOOKUP(GZ260,'Jan-2026 rates'!$E:$F,2,0)))</f>
        <v>0</v>
      </c>
      <c r="HO260" s="409"/>
      <c r="HP260" s="398">
        <f>IF(HO260=0,0,IF(LEN(HA260)=11,_xlfn.XLOOKUP(HA260,'Dispensed Ink Rates'!C:C,'Dispensed Ink Rates'!CS:CS),VLOOKUP(HA260,'Jan-2026 rates'!$E:$F,2,0)))</f>
        <v>0</v>
      </c>
      <c r="HQ260" s="409"/>
      <c r="HR260" s="398">
        <f>IF(HQ260=0,0,IF(LEN(HB260)=11,_xlfn.XLOOKUP(HB260,'Dispensed Ink Rates'!C:C,'Dispensed Ink Rates'!CS:CS),VLOOKUP(HB260,'Jan-2026 rates'!$E:$F,2,0)))</f>
        <v>0</v>
      </c>
      <c r="HS260" s="409" t="s">
        <v>1443</v>
      </c>
      <c r="HT260" s="409">
        <v>30</v>
      </c>
      <c r="HU260" s="411">
        <f t="shared" si="174"/>
        <v>0</v>
      </c>
      <c r="HV260" s="411">
        <f t="shared" si="175"/>
        <v>13.909090909090907</v>
      </c>
      <c r="HW260" s="414">
        <f t="shared" si="176"/>
        <v>0</v>
      </c>
      <c r="HX260" s="405" t="s">
        <v>856</v>
      </c>
      <c r="HY260" s="409" t="s">
        <v>4146</v>
      </c>
      <c r="HZ260" s="420" t="str">
        <f t="shared" si="189"/>
        <v>FLINTSL - WHITE</v>
      </c>
      <c r="IA260" s="409">
        <v>30</v>
      </c>
      <c r="IB260" s="411">
        <f>IF(IA260=0,0,IF($LB260=70%,VLOOKUP($HZ260,'Jan-2026 rates'!$L:$R,4,0),IF($LB260=65%,VLOOKUP($HZ260,'Jan-2026 rates'!$L:$R,4,0),IF($LB260=40%,VLOOKUP($HZ260,'Jan-2026 rates'!$L:$R,5,0),IF($LB260=30%,VLOOKUP($HZ260,'Jan-2026 rates'!$L:$R,6,0),IF($LB260=100%,VLOOKUP($HZ260,'Jan-2026 rates'!$L:$R,7,0),IF($LB260=60%,VLOOKUP($HZ260,'Jan-2026 rates'!$L:$S,8,0),IF($LB260=80%,VLOOKUP($HZ260,'Jan-2026 rates'!L:T,9,0),0))))))))</f>
        <v>0</v>
      </c>
      <c r="IC260" s="412"/>
      <c r="ID260" s="409"/>
      <c r="IE260" s="411">
        <f>IF(ID260=0,0,IF($LB260=70%,VLOOKUP($HZ260,'Jan-2026 rates'!$L:$R,4,0),IF($LB260=65%,VLOOKUP($HZ260,'Jan-2026 rates'!$L:$R,4,0),IF($LB260=40%,VLOOKUP($HZ260,'Jan-2026 rates'!$L:$R,5,0),IF($LB260=30%,VLOOKUP($HZ260,'Jan-2026 rates'!$L:$R,6,0),IF($LB260=100%,VLOOKUP($HZ260,'Jan-2026 rates'!$L:$R,7,0),IF($LB260=60%,VLOOKUP($HZ260,'Jan-2026 rates'!$L:$S,8,0),IF($LB260=80%,VLOOKUP($HZ260,'Jan-2026 rates'!L:T,9,0),0))))))))</f>
        <v>0</v>
      </c>
      <c r="IF260" s="412" t="s">
        <v>484</v>
      </c>
      <c r="IG260" s="413"/>
      <c r="IH260" s="412"/>
      <c r="II260" s="412"/>
      <c r="IJ260" s="412"/>
      <c r="IK260" s="412"/>
      <c r="IL260" s="412"/>
      <c r="IM260" s="412"/>
      <c r="IN260" s="409">
        <f>25+10</f>
        <v>35</v>
      </c>
      <c r="IO260" s="398">
        <f>IF(IN260=0,0,IF(LEN(IF260)=11,_xlfn.XLOOKUP(IF260,'Dispensed Ink Rates'!C:C,'Dispensed Ink Rates'!CS:CS),VLOOKUP(IF260,'Jan-2026 rates'!$E:$F,2,0)))</f>
        <v>0</v>
      </c>
      <c r="IP260" s="409"/>
      <c r="IQ260" s="398">
        <f>IF(IP260=0,0,IF(LEN(IG260)=11,_xlfn.XLOOKUP(IG260,'Dispensed Ink Rates'!C:C,'Dispensed Ink Rates'!CS:CS),VLOOKUP(IG260,'Jan-2026 rates'!$E:$F,2,0)))</f>
        <v>0</v>
      </c>
      <c r="IR260" s="409"/>
      <c r="IS260" s="398">
        <f>IF(IR260=0,0,IF(LEN(IH260)=11,_xlfn.XLOOKUP(IH260,'Dispensed Ink Rates'!C:C,'Dispensed Ink Rates'!CS:CS),VLOOKUP(IH260,'Jan-2026 rates'!$E:$F,2,0)))</f>
        <v>0</v>
      </c>
      <c r="IT260" s="409"/>
      <c r="IU260" s="398">
        <f>IF(IT260=0,0,IF(LEN(II260)=11,_xlfn.XLOOKUP(II260,'Dispensed Ink Rates'!C:C,'Dispensed Ink Rates'!CS:CS),VLOOKUP(II260,'Jan-2026 rates'!$E:$F,2,0)))</f>
        <v>0</v>
      </c>
      <c r="IV260" s="409"/>
      <c r="IW260" s="398">
        <f>IF(IV260=0,0,IF(LEN(IJ260)=11,_xlfn.XLOOKUP(IJ260,'Dispensed Ink Rates'!C:C,'Dispensed Ink Rates'!CS:CS),VLOOKUP(IJ260,'Jan-2026 rates'!$E:$F,2,0)))</f>
        <v>0</v>
      </c>
      <c r="IX260" s="409"/>
      <c r="IY260" s="398">
        <f>IF(IX260=0,0,IF(LEN(IK260)=11,_xlfn.XLOOKUP(IK260,'Dispensed Ink Rates'!C:C,'Dispensed Ink Rates'!CS:CS),VLOOKUP(IK260,'Jan-2026 rates'!$E:$F,2,0)))</f>
        <v>0</v>
      </c>
      <c r="IZ260" s="409"/>
      <c r="JA260" s="398">
        <f>IF(IZ260=0,0,IF(LEN(IL260)=11,_xlfn.XLOOKUP(IL260,'Dispensed Ink Rates'!C:C,'Dispensed Ink Rates'!CS:CS),VLOOKUP(IL260,'Jan-2026 rates'!$E:$F,2,0)))</f>
        <v>0</v>
      </c>
      <c r="JB260" s="409"/>
      <c r="JC260" s="398">
        <f>IF(JB260=0,0,IF(LEN(IM260)=11,_xlfn.XLOOKUP(IM260,'Dispensed Ink Rates'!C:C,'Dispensed Ink Rates'!CS:CS),VLOOKUP(IM260,'Jan-2026 rates'!$E:$F,2,0)))</f>
        <v>0</v>
      </c>
      <c r="JD260" s="409" t="s">
        <v>1443</v>
      </c>
      <c r="JE260" s="409">
        <v>24</v>
      </c>
      <c r="JF260" s="411">
        <f t="shared" si="177"/>
        <v>0</v>
      </c>
      <c r="JG260" s="411">
        <f t="shared" si="178"/>
        <v>90.545454545454547</v>
      </c>
      <c r="JH260" s="410">
        <f t="shared" si="179"/>
        <v>0</v>
      </c>
      <c r="JI260" s="405"/>
      <c r="JJ260" s="409"/>
      <c r="JK260" s="420" t="str">
        <f t="shared" si="190"/>
        <v xml:space="preserve"> - </v>
      </c>
      <c r="JL260" s="409"/>
      <c r="JM260" s="411">
        <f>IF(JL260=0,0,IF($LB260=70%,VLOOKUP($JK260,'Jan-2026 rates'!$L:$R,4,0),IF($LB260=65%,VLOOKUP($JK260,'Jan-2026 rates'!$L:$R,4,0),IF($LB260=40%,VLOOKUP($JK260,'Jan-2026 rates'!$L:$R,5,0),IF($LB260=30%,VLOOKUP($JK260,'Jan-2026 rates'!$L:$R,6,0),IF($LB260=100%,VLOOKUP($JK260,'Jan-2026 rates'!$L:$R,7,0),IF($LB260=60%,VLOOKUP($JK260,'Jan-2026 rates'!$L:$S,8,0),IF($LB260=80%,VLOOKUP($JK260,'Jan-2026 rates'!L:T,9,0),0))))))))</f>
        <v>0</v>
      </c>
      <c r="JN260" s="412"/>
      <c r="JO260" s="409"/>
      <c r="JP260" s="411">
        <f>IF(JO260=0,0,IF($LB260=70%,VLOOKUP($JK260,'Jan-2026 rates'!$L:$R,4,0),IF($LB260=65%,VLOOKUP($JK260,'Jan-2026 rates'!$L:$R,4,0),IF($LB260=40%,VLOOKUP($JK260,'Jan-2026 rates'!$L:$R,5,0),IF($LB260=30%,VLOOKUP($JK260,'Jan-2026 rates'!$L:$R,6,0),IF($LB260=100%,VLOOKUP($JK260,'Jan-2026 rates'!$L:$R,7,0),IF($LB260=60%,VLOOKUP($JK260,'Jan-2026 rates'!$L:$S,8,0),IF($LB260=80%,VLOOKUP($JK260,'Jan-2026 rates'!L:T,9,0),0))))))))</f>
        <v>0</v>
      </c>
      <c r="JQ260" s="413"/>
      <c r="JR260" s="412"/>
      <c r="JS260" s="413"/>
      <c r="JT260" s="413"/>
      <c r="JU260" s="412"/>
      <c r="JV260" s="412"/>
      <c r="JW260" s="412"/>
      <c r="JX260" s="412"/>
      <c r="JY260" s="409"/>
      <c r="JZ260" s="398">
        <f>IF(JY260=0,0,IF(LEN(JQ260)=11,_xlfn.XLOOKUP(JQ260,'Dispensed Ink Rates'!C:C,'Dispensed Ink Rates'!CS:CS),VLOOKUP(JQ260,'Jan-2026 rates'!$E:$F,2,0)))</f>
        <v>0</v>
      </c>
      <c r="KA260" s="409"/>
      <c r="KB260" s="398">
        <f>IF(KA260=0,0,IF(LEN(JR260)=11,_xlfn.XLOOKUP(JR260,'Dispensed Ink Rates'!C:C,'Dispensed Ink Rates'!CS:CS),VLOOKUP(JR260,'Jan-2026 rates'!$E:$F,2,0)))</f>
        <v>0</v>
      </c>
      <c r="KC260" s="409"/>
      <c r="KD260" s="398">
        <f>IF(KC260=0,0,IF(LEN(JS260)=11,_xlfn.XLOOKUP(JS260,'Dispensed Ink Rates'!C:C,'Dispensed Ink Rates'!CS:CS),VLOOKUP(JS260,'Jan-2026 rates'!$E:$F,2,0)))</f>
        <v>0</v>
      </c>
      <c r="KE260" s="409"/>
      <c r="KF260" s="398">
        <f>IF(KE260=0,0,IF(LEN(JT260)=11,_xlfn.XLOOKUP(JT260,'Dispensed Ink Rates'!C:C,'Dispensed Ink Rates'!CS:CS),VLOOKUP(JT260,'Jan-2026 rates'!$E:$F,2,0)))</f>
        <v>0</v>
      </c>
      <c r="KG260" s="409"/>
      <c r="KH260" s="398">
        <f>IF(KG260=0,0,IF(LEN(JU260)=11,_xlfn.XLOOKUP(JU260,'Dispensed Ink Rates'!C:C,'Dispensed Ink Rates'!CS:CS),VLOOKUP(JU260,'Jan-2026 rates'!$E:$F,2,0)))</f>
        <v>0</v>
      </c>
      <c r="KI260" s="409"/>
      <c r="KJ260" s="398">
        <f>IF(KI260=0,0,IF(LEN(JV260)=11,_xlfn.XLOOKUP(JV260,'Dispensed Ink Rates'!C:C,'Dispensed Ink Rates'!CS:CS),VLOOKUP(JV260,'Jan-2026 rates'!$E:$F,2,0)))</f>
        <v>0</v>
      </c>
      <c r="KK260" s="409"/>
      <c r="KL260" s="398">
        <f>IF(KK260=0,0,IF(LEN(JW260)=11,_xlfn.XLOOKUP(JW260,'Dispensed Ink Rates'!C:C,'Dispensed Ink Rates'!CS:CS),VLOOKUP(JW260,'Jan-2026 rates'!$E:$F,2,0)))</f>
        <v>0</v>
      </c>
      <c r="KM260" s="428"/>
      <c r="KN260" s="398">
        <f>IF(KM260=0,0,IF(LEN(JX260)=11,_xlfn.XLOOKUP(JX260,'Dispensed Ink Rates'!C:C,'Dispensed Ink Rates'!CS:CS),VLOOKUP(JX260,'Jan-2026 rates'!$E:$F,2,0)))</f>
        <v>0</v>
      </c>
      <c r="KO260" s="409"/>
      <c r="KP260" s="409"/>
      <c r="KQ260" s="411">
        <f t="shared" si="180"/>
        <v>0</v>
      </c>
      <c r="KR260" s="411">
        <f t="shared" si="181"/>
        <v>0</v>
      </c>
      <c r="KS260" s="410">
        <f t="shared" si="182"/>
        <v>0</v>
      </c>
      <c r="KT260" s="409">
        <v>5</v>
      </c>
      <c r="KU260" s="409">
        <v>5</v>
      </c>
      <c r="KV260" s="409">
        <v>5</v>
      </c>
      <c r="KW260" s="409">
        <v>5</v>
      </c>
      <c r="KX260" s="409">
        <v>5</v>
      </c>
      <c r="KY260" s="409">
        <v>5</v>
      </c>
      <c r="KZ260" s="409">
        <f>15+10</f>
        <v>25</v>
      </c>
      <c r="LA260" s="409">
        <v>0</v>
      </c>
      <c r="LB260" s="415">
        <v>0.8</v>
      </c>
      <c r="LC260" s="415">
        <v>0.2</v>
      </c>
      <c r="LD260" s="415"/>
      <c r="LE260" s="415"/>
      <c r="LF260" s="415"/>
      <c r="LG260" s="409">
        <v>0</v>
      </c>
      <c r="LH260" s="409">
        <f>25+24+48+12</f>
        <v>109</v>
      </c>
      <c r="LI260" s="409">
        <v>0</v>
      </c>
      <c r="LJ260" s="409">
        <v>0</v>
      </c>
      <c r="LK260" s="416">
        <f t="shared" si="191"/>
        <v>109</v>
      </c>
      <c r="LL260" s="416">
        <f t="shared" si="192"/>
        <v>109</v>
      </c>
      <c r="LM260" s="417">
        <f t="shared" si="193"/>
        <v>87.2</v>
      </c>
      <c r="LN260" s="417">
        <f>VLOOKUP($LM$8,'Jan-2026 rates'!$H:$I,2,0)</f>
        <v>0</v>
      </c>
      <c r="LO260" s="417">
        <f t="shared" si="194"/>
        <v>21.8</v>
      </c>
      <c r="LP260" s="417">
        <f>VLOOKUP($LO$8,'Jan-2026 rates'!$H:$I,2,0)</f>
        <v>0</v>
      </c>
      <c r="LQ260" s="417">
        <f t="shared" si="195"/>
        <v>0</v>
      </c>
      <c r="LR260" s="417">
        <f>VLOOKUP($LQ$8,'Jan-2026 rates'!$H:$I,2,0)</f>
        <v>0</v>
      </c>
      <c r="LS260" s="417">
        <f t="shared" si="196"/>
        <v>0</v>
      </c>
      <c r="LT260" s="417">
        <f>VLOOKUP($LS$8,'Jan-2026 rates'!$H:$I,2,0)</f>
        <v>0</v>
      </c>
      <c r="LU260" s="417">
        <f t="shared" si="197"/>
        <v>0</v>
      </c>
      <c r="LV260" s="417">
        <f>VLOOKUP($LU$8,'Jan-2026 rates'!$H:$I,2,0)</f>
        <v>0</v>
      </c>
      <c r="LW260" s="417">
        <f t="shared" si="198"/>
        <v>0</v>
      </c>
      <c r="LX260" s="417">
        <f t="shared" si="199"/>
        <v>0</v>
      </c>
      <c r="LY260" s="418">
        <f t="shared" si="200"/>
        <v>0</v>
      </c>
      <c r="LZ260" s="417"/>
      <c r="MA260" s="435">
        <f t="shared" si="201"/>
        <v>79</v>
      </c>
      <c r="MB260" s="282">
        <f t="shared" si="202"/>
        <v>244</v>
      </c>
      <c r="MC260" s="283">
        <v>153</v>
      </c>
      <c r="MD260" s="284" t="str">
        <f t="shared" si="203"/>
        <v>FLINTSLFLINTSLFLINTSLFLINTSLFLINTSLFLINTSLFLINTSL</v>
      </c>
      <c r="ME260" s="293" t="str">
        <f t="shared" si="204"/>
        <v>+</v>
      </c>
      <c r="MF260" s="293" t="str">
        <f t="shared" si="205"/>
        <v>+</v>
      </c>
      <c r="MG260" s="293" t="str">
        <f t="shared" si="206"/>
        <v>+</v>
      </c>
      <c r="MH260" s="293" t="str">
        <f t="shared" si="207"/>
        <v>+</v>
      </c>
      <c r="MI260" s="293" t="str">
        <f t="shared" si="208"/>
        <v>+</v>
      </c>
      <c r="MJ260" s="293" t="str">
        <f t="shared" si="209"/>
        <v>+</v>
      </c>
      <c r="MK260" s="293" t="str">
        <f t="shared" si="210"/>
        <v>+</v>
      </c>
      <c r="ML260" s="293" t="str">
        <f t="shared" si="211"/>
        <v>NIL</v>
      </c>
      <c r="MM260" s="3" t="b">
        <f t="array" ref="MM260">OR(ME260:ML260="-")</f>
        <v>0</v>
      </c>
      <c r="MN260" s="285"/>
      <c r="MO260" s="401"/>
      <c r="MP260" s="286"/>
      <c r="MQ260" s="286"/>
      <c r="MR260" s="402"/>
      <c r="MS260" s="400"/>
      <c r="NH260" s="422"/>
      <c r="NJ260" s="421"/>
    </row>
    <row r="261" spans="1:374" s="1" customFormat="1" ht="16.5">
      <c r="A261" s="403">
        <v>46042</v>
      </c>
      <c r="B261" s="404" t="s">
        <v>1015</v>
      </c>
      <c r="C261" s="405" t="s">
        <v>4147</v>
      </c>
      <c r="D261" s="406">
        <v>154</v>
      </c>
      <c r="E261" s="404">
        <v>854</v>
      </c>
      <c r="F261" s="407">
        <v>22700</v>
      </c>
      <c r="G261" s="407" t="s">
        <v>1019</v>
      </c>
      <c r="H261" s="408" t="s">
        <v>1017</v>
      </c>
      <c r="I261" s="409">
        <v>1.52</v>
      </c>
      <c r="J261" s="405" t="s">
        <v>543</v>
      </c>
      <c r="K261" s="404" t="s">
        <v>4148</v>
      </c>
      <c r="L261" s="419" t="str">
        <f t="shared" si="184"/>
        <v>FLINTSL - BLACK</v>
      </c>
      <c r="M261" s="404">
        <v>26</v>
      </c>
      <c r="N261" s="410">
        <f>IF(M261=0,0,IF($LB261=70%,VLOOKUP($L261,'Jan-2026 rates'!$L:$R,4,0),IF($LB261=65%,VLOOKUP($L261,'Jan-2026 rates'!$L:$R,4,0),IF($LB261=40%,VLOOKUP($L261,'Jan-2026 rates'!$L:$R,5,0),IF($LB261=30%,VLOOKUP($L261,'Jan-2026 rates'!$L:$R,6,0),IF($LB261=100%,VLOOKUP($L261,'Jan-2026 rates'!$L:$R,7,0),IF($LB261=60%,VLOOKUP($L261,'Jan-2026 rates'!$L:$S,8,0),IF($LB261=80%,VLOOKUP($L261,'Jan-2026 rates'!L:T,9,0),0))))))))</f>
        <v>0</v>
      </c>
      <c r="O261" s="406"/>
      <c r="P261" s="404"/>
      <c r="Q261" s="410">
        <f>IF(P261=0,0,IF($LB261=70%,VLOOKUP($L261,'Jan-2026 rates'!$L:$R,4,0),IF($LB261=65%,VLOOKUP($L261,'Jan-2026 rates'!$L:$R,4,0),IF($LB261=40%,VLOOKUP($L261,'Jan-2026 rates'!$L:$R,5,0),IF($LB261=30%,VLOOKUP($L261,'Jan-2026 rates'!$L:$R,6,0),IF($LB261=100%,VLOOKUP($L261,'Jan-2026 rates'!$L:$R,7,0),IF($LB261=60%,VLOOKUP($L261,'Jan-2026 rates'!$L:$S,8,0),IF($LB261=80%,VLOOKUP($L261,'Jan-2026 rates'!L:T,9,0),0))))))))</f>
        <v>0</v>
      </c>
      <c r="R261" s="406">
        <v>26519000026</v>
      </c>
      <c r="S261" s="406"/>
      <c r="T261" s="406"/>
      <c r="U261" s="406"/>
      <c r="V261" s="406"/>
      <c r="W261" s="406"/>
      <c r="X261" s="406"/>
      <c r="Y261" s="406"/>
      <c r="Z261" s="404">
        <v>4</v>
      </c>
      <c r="AA261" s="398" t="e">
        <f>IF(Z261=0,0,IF(LEN(R261)=11,_xlfn.XLOOKUP(R261,'Dispensed Ink Rates'!C:C,'Dispensed Ink Rates'!CS:CS),VLOOKUP(R261,'Jan-2026 rates'!$E:$F,2,0)))</f>
        <v>#N/A</v>
      </c>
      <c r="AB261" s="404"/>
      <c r="AC261" s="398">
        <f>IF(AB261=0,0,IF(LEN(S261)=11,_xlfn.XLOOKUP(S261,'Dispensed Ink Rates'!C:C,'Dispensed Ink Rates'!CS:CS),VLOOKUP(S261,'Jan-2026 rates'!$E:$F,2,0)))</f>
        <v>0</v>
      </c>
      <c r="AD261" s="404"/>
      <c r="AE261" s="398">
        <f>IF(AD261=0,0,IF(LEN(T261)=11,_xlfn.XLOOKUP(T261,'Dispensed Ink Rates'!C:C,'Dispensed Ink Rates'!CS:CS),VLOOKUP(T261,'Jan-2026 rates'!$E:$F,2,0)))</f>
        <v>0</v>
      </c>
      <c r="AF261" s="404"/>
      <c r="AG261" s="398">
        <f>IF(AF261=0,0,IF(LEN(U261)=11,_xlfn.XLOOKUP(U261,'Dispensed Ink Rates'!C:C,'Dispensed Ink Rates'!CS:CS),VLOOKUP(U261,'Jan-2026 rates'!$E:$F,2,0)))</f>
        <v>0</v>
      </c>
      <c r="AH261" s="404"/>
      <c r="AI261" s="398">
        <f>IF(AH261=0,0,IF(LEN(V261)=11,_xlfn.XLOOKUP(V261,'Dispensed Ink Rates'!C:C,'Dispensed Ink Rates'!CS:CS),VLOOKUP(V261,'Jan-2026 rates'!$E:$F,2,0)))</f>
        <v>0</v>
      </c>
      <c r="AJ261" s="404"/>
      <c r="AK261" s="398">
        <f>IF(AJ261=0,0,IF(LEN(W261)=11,_xlfn.XLOOKUP(W261,'Dispensed Ink Rates'!C:C,'Dispensed Ink Rates'!CS:CS),VLOOKUP(W261,'Jan-2026 rates'!$E:$F,2,0)))</f>
        <v>0</v>
      </c>
      <c r="AL261" s="404"/>
      <c r="AM261" s="398">
        <f>IF(AL261=0,0,IF(LEN(X261)=11,_xlfn.XLOOKUP(X261,'Dispensed Ink Rates'!C:C,'Dispensed Ink Rates'!CS:CS),VLOOKUP(X261,'Jan-2026 rates'!$E:$F,2,0)))</f>
        <v>0</v>
      </c>
      <c r="AN261" s="404"/>
      <c r="AO261" s="398">
        <f>IF(AN261=0,0,IF(LEN(Y261)=11,_xlfn.XLOOKUP(Y261,'Dispensed Ink Rates'!C:C,'Dispensed Ink Rates'!CS:CS),VLOOKUP(Y261,'Jan-2026 rates'!$E:$F,2,0)))</f>
        <v>0</v>
      </c>
      <c r="AP261" s="409" t="s">
        <v>1443</v>
      </c>
      <c r="AQ261" s="409">
        <v>26</v>
      </c>
      <c r="AR261" s="410">
        <f t="shared" si="159"/>
        <v>0</v>
      </c>
      <c r="AS261" s="411">
        <f t="shared" si="160"/>
        <v>14.666666666666664</v>
      </c>
      <c r="AT261" s="410">
        <f t="shared" si="161"/>
        <v>0</v>
      </c>
      <c r="AU261" s="405" t="s">
        <v>546</v>
      </c>
      <c r="AV261" s="409" t="s">
        <v>4149</v>
      </c>
      <c r="AW261" s="420" t="str">
        <f t="shared" si="183"/>
        <v>FLINTSL - REFLEX BLUE</v>
      </c>
      <c r="AX261" s="409">
        <v>16</v>
      </c>
      <c r="AY261" s="411">
        <f>IF(AX261=0,0,IF($LB261=70%,VLOOKUP($AW261,'Jan-2026 rates'!$L:$R,4,0),IF($LB261=65%,VLOOKUP($AW261,'Jan-2026 rates'!$L:$R,4,0),IF($LB261=40%,VLOOKUP($AW261,'Jan-2026 rates'!$L:$R,5,0),IF($LB261=30%,VLOOKUP($AW261,'Jan-2026 rates'!$L:$R,6,0),IF($LB261=100%,VLOOKUP($AW261,'Jan-2026 rates'!$L:$R,7,0),IF($LB261=60%,VLOOKUP($AW261,'Jan-2026 rates'!$L:$S,8,0),IF($LB261=80%,VLOOKUP($AW261,'Jan-2026 rates'!L:T,9,0),0))))))))</f>
        <v>0</v>
      </c>
      <c r="AZ261" s="412"/>
      <c r="BA261" s="409"/>
      <c r="BB261" s="411">
        <f>IF(BA261=0,0,IF($LB261=70%,VLOOKUP($AW261,'Jan-2026 rates'!$L:$R,4,0),IF($LB261=65%,VLOOKUP($AW261,'Jan-2026 rates'!$L:$R,4,0),IF($LB261=40%,VLOOKUP($AW261,'Jan-2026 rates'!$L:$R,5,0),IF($LB261=30%,VLOOKUP($AW261,'Jan-2026 rates'!$L:$R,6,0),IF($LB261=100%,VLOOKUP($AW261,'Jan-2026 rates'!$L:$R,7,0),IF($LB261=60%,VLOOKUP($AW261,'Jan-2026 rates'!$L:$S,8,0),IF($LB261=80%,VLOOKUP($AW261,'Jan-2026 rates'!L:T,9,0),0))))))))</f>
        <v>0</v>
      </c>
      <c r="BC261" s="413">
        <v>26519000014</v>
      </c>
      <c r="BD261" s="412">
        <v>26519000036</v>
      </c>
      <c r="BE261" s="412"/>
      <c r="BF261" s="413"/>
      <c r="BG261" s="412"/>
      <c r="BH261" s="412"/>
      <c r="BI261" s="412"/>
      <c r="BJ261" s="412"/>
      <c r="BK261" s="409">
        <v>6</v>
      </c>
      <c r="BL261" s="398" t="e">
        <f>IF(BK261=0,0,IF(LEN(BC261)=11,_xlfn.XLOOKUP(BC261,'Dispensed Ink Rates'!C:C,'Dispensed Ink Rates'!CS:CS),VLOOKUP(BC261,'Jan-2026 rates'!$E:$F,2,0)))</f>
        <v>#N/A</v>
      </c>
      <c r="BM261" s="409">
        <v>4</v>
      </c>
      <c r="BN261" s="398" t="e">
        <f>IF(BM261=0,0,IF(LEN(BD261)=11,_xlfn.XLOOKUP(BD261,'Dispensed Ink Rates'!C:C,'Dispensed Ink Rates'!CS:CS),VLOOKUP(BD261,'Jan-2026 rates'!$E:$F,2,0)))</f>
        <v>#N/A</v>
      </c>
      <c r="BO261" s="409"/>
      <c r="BP261" s="398">
        <f>IF(BO261=0,0,IF(LEN(BE261)=11,_xlfn.XLOOKUP(BE261,'Dispensed Ink Rates'!C:C,'Dispensed Ink Rates'!CS:CS),VLOOKUP(BE261,'Jan-2026 rates'!$E:$F,2,0)))</f>
        <v>0</v>
      </c>
      <c r="BQ261" s="409"/>
      <c r="BR261" s="398">
        <f>IF(BQ261=0,0,IF(LEN(BF261)=11,_xlfn.XLOOKUP(BF261,'Dispensed Ink Rates'!C:C,'Dispensed Ink Rates'!CS:CS),VLOOKUP(BF261,'Jan-2026 rates'!$E:$F,2,0)))</f>
        <v>0</v>
      </c>
      <c r="BS261" s="409"/>
      <c r="BT261" s="398">
        <f>IF(BS261=0,0,IF(LEN(BG261)=11,_xlfn.XLOOKUP(BG261,'Dispensed Ink Rates'!C:C,'Dispensed Ink Rates'!CS:CS),VLOOKUP(BG261,'Jan-2026 rates'!$E:$F,2,0)))</f>
        <v>0</v>
      </c>
      <c r="BU261" s="409"/>
      <c r="BV261" s="398">
        <f>IF(BU261=0,0,IF(LEN(BH261)=11,_xlfn.XLOOKUP(BH261,'Dispensed Ink Rates'!C:C,'Dispensed Ink Rates'!CS:CS),VLOOKUP(BH261,'Jan-2026 rates'!$E:$F,2,0)))</f>
        <v>0</v>
      </c>
      <c r="BW261" s="409"/>
      <c r="BX261" s="398">
        <f>IF(BW261=0,0,IF(LEN(BI261)=11,_xlfn.XLOOKUP(BI261,'Dispensed Ink Rates'!C:C,'Dispensed Ink Rates'!CS:CS),VLOOKUP(BI261,'Jan-2026 rates'!$E:$F,2,0)))</f>
        <v>0</v>
      </c>
      <c r="BY261" s="409"/>
      <c r="BZ261" s="398">
        <f>IF(BY261=0,0,IF(LEN(BJ261)=11,_xlfn.XLOOKUP(BJ261,'Dispensed Ink Rates'!C:C,'Dispensed Ink Rates'!CS:CS),VLOOKUP(BJ261,'Jan-2026 rates'!$E:$F,2,0)))</f>
        <v>0</v>
      </c>
      <c r="CA261" s="409" t="s">
        <v>1443</v>
      </c>
      <c r="CB261" s="409">
        <v>26</v>
      </c>
      <c r="CC261" s="411">
        <f t="shared" si="162"/>
        <v>0</v>
      </c>
      <c r="CD261" s="411">
        <f t="shared" si="163"/>
        <v>10.666666666666664</v>
      </c>
      <c r="CE261" s="410">
        <f t="shared" si="164"/>
        <v>0</v>
      </c>
      <c r="CF261" s="404" t="s">
        <v>855</v>
      </c>
      <c r="CG261" s="409" t="s">
        <v>4150</v>
      </c>
      <c r="CH261" s="420" t="str">
        <f t="shared" si="185"/>
        <v>FLINTSL - CYAN</v>
      </c>
      <c r="CI261" s="409">
        <v>25</v>
      </c>
      <c r="CJ261" s="411">
        <f>IF(CI261=0,0,IF($LB261=70%,VLOOKUP($CH261,'Jan-2026 rates'!$L:$R,4,0),IF($LB261=65%,VLOOKUP($CH261,'Jan-2026 rates'!$L:$R,4,0),IF($LB261=40%,VLOOKUP($CH261,'Jan-2026 rates'!$L:$R,5,0),IF($LB261=30%,VLOOKUP($CH261,'Jan-2026 rates'!$L:$R,6,0),IF($LB261=100%,VLOOKUP($CH261,'Jan-2026 rates'!$L:$R,7,0),IF($LB261=60%,VLOOKUP($CH261,'Jan-2026 rates'!$L:$S,8,0),IF($LB261=80%,VLOOKUP($CH261,'Jan-2026 rates'!L:T,9,0),0))))))))</f>
        <v>0</v>
      </c>
      <c r="CK261" s="412"/>
      <c r="CL261" s="409"/>
      <c r="CM261" s="411">
        <f>IF(CL261=0,0,IF($LB261=70%,VLOOKUP($CH261,'Jan-2026 rates'!$L:$R,4,0),IF($LB261=65%,VLOOKUP($CH261,'Jan-2026 rates'!$L:$R,4,0),IF($LB261=40%,VLOOKUP($CH261,'Jan-2026 rates'!$L:$R,5,0),IF($LB261=30%,VLOOKUP($CH261,'Jan-2026 rates'!$L:$R,6,0),IF($LB261=100%,VLOOKUP($CH261,'Jan-2026 rates'!$L:$R,7,0),IF($LB261=60%,VLOOKUP($CH261,'Jan-2026 rates'!$L:$S,8,0),IF($LB261=80%,VLOOKUP($CH261,'Jan-2026 rates'!L:T,9,0),0))))))))</f>
        <v>0</v>
      </c>
      <c r="CN261" s="426" t="s">
        <v>1266</v>
      </c>
      <c r="CO261" s="427">
        <v>26519000016</v>
      </c>
      <c r="CP261" s="426"/>
      <c r="CQ261" s="426"/>
      <c r="CR261" s="428"/>
      <c r="CS261" s="428"/>
      <c r="CT261" s="428"/>
      <c r="CU261" s="428"/>
      <c r="CV261" s="409">
        <v>12</v>
      </c>
      <c r="CW261" s="398">
        <f>IF(CV261=0,0,IF(LEN(CN261)=11,_xlfn.XLOOKUP(CN261,'Dispensed Ink Rates'!C:C,'Dispensed Ink Rates'!CS:CS),VLOOKUP(CN261,'Jan-2026 rates'!$E:$F,2,0)))</f>
        <v>0</v>
      </c>
      <c r="CX261" s="409">
        <v>0.5</v>
      </c>
      <c r="CY261" s="398" t="e">
        <f>IF(CX261=0,0,IF(LEN(CO261)=11,_xlfn.XLOOKUP(CO261,'Dispensed Ink Rates'!C:C,'Dispensed Ink Rates'!CS:CS),VLOOKUP(CO261,'Jan-2026 rates'!$E:$F,2,0)))</f>
        <v>#N/A</v>
      </c>
      <c r="CZ261" s="409"/>
      <c r="DA261" s="398">
        <f>IF(CZ261=0,0,IF(LEN(CP261)=11,_xlfn.XLOOKUP(CP261,'Dispensed Ink Rates'!C:C,'Dispensed Ink Rates'!CS:CS),VLOOKUP(CP261,'Jan-2026 rates'!$E:$F,2,0)))</f>
        <v>0</v>
      </c>
      <c r="DB261" s="409"/>
      <c r="DC261" s="398">
        <f>IF(DB261=0,0,IF(LEN(CQ261)=11,_xlfn.XLOOKUP(CQ261,'Dispensed Ink Rates'!C:C,'Dispensed Ink Rates'!CS:CS),VLOOKUP(CQ261,'Jan-2026 rates'!$E:$F,2,0)))</f>
        <v>0</v>
      </c>
      <c r="DD261" s="409"/>
      <c r="DE261" s="398">
        <f>IF(DD261=0,0,IF(LEN(CR261)=11,_xlfn.XLOOKUP(CR261,'Dispensed Ink Rates'!C:C,'Dispensed Ink Rates'!CS:CS),VLOOKUP(CR261,'Jan-2026 rates'!$E:$F,2,0)))</f>
        <v>0</v>
      </c>
      <c r="DF261" s="409"/>
      <c r="DG261" s="398">
        <f>IF(DF261=0,0,IF(LEN(CS261)=11,_xlfn.XLOOKUP(CS261,'Dispensed Ink Rates'!C:C,'Dispensed Ink Rates'!CS:CS),VLOOKUP(CS261,'Jan-2026 rates'!$E:$F,2,0)))</f>
        <v>0</v>
      </c>
      <c r="DH261" s="409"/>
      <c r="DI261" s="398">
        <f>IF(DH261=0,0,IF(LEN(CT261)=11,_xlfn.XLOOKUP(CT261,'Dispensed Ink Rates'!C:C,'Dispensed Ink Rates'!CS:CS),VLOOKUP(CT261,'Jan-2026 rates'!$E:$F,2,0)))</f>
        <v>0</v>
      </c>
      <c r="DJ261" s="409"/>
      <c r="DK261" s="398">
        <f>IF(DJ261=0,0,IF(LEN(CU261)=11,_xlfn.XLOOKUP(CU261,'Dispensed Ink Rates'!C:C,'Dispensed Ink Rates'!CS:CS),VLOOKUP(CU261,'Jan-2026 rates'!$E:$F,2,0)))</f>
        <v>0</v>
      </c>
      <c r="DL261" s="409" t="s">
        <v>1443</v>
      </c>
      <c r="DM261" s="409">
        <v>28</v>
      </c>
      <c r="DN261" s="411">
        <f t="shared" si="165"/>
        <v>0</v>
      </c>
      <c r="DO261" s="411">
        <f t="shared" si="166"/>
        <v>20.166666666666664</v>
      </c>
      <c r="DP261" s="410">
        <f t="shared" si="167"/>
        <v>0</v>
      </c>
      <c r="DQ261" s="405" t="s">
        <v>855</v>
      </c>
      <c r="DR261" s="409" t="s">
        <v>4151</v>
      </c>
      <c r="DS261" s="420" t="str">
        <f t="shared" si="186"/>
        <v>FLINTSL - CYAN</v>
      </c>
      <c r="DT261" s="409">
        <v>29</v>
      </c>
      <c r="DU261" s="411">
        <f>IF(DT261=0,0,IF($LB261=70%,VLOOKUP($DS261,'Jan-2026 rates'!$L:$R,4,0),IF($LB261=65%,VLOOKUP($DS261,'Jan-2026 rates'!$L:$R,4,0),IF($LB261=40%,VLOOKUP($DS261,'Jan-2026 rates'!$L:$R,5,0),IF($LB261=30%,VLOOKUP($DS261,'Jan-2026 rates'!$L:$R,6,0),IF($LB261=100%,VLOOKUP($DS261,'Jan-2026 rates'!$L:$R,7,0),IF($LB261=60%,VLOOKUP($DS261,'Jan-2026 rates'!$L:$S,8,0),IF($LB261=80%,VLOOKUP($DS261,'Jan-2026 rates'!L:T,9,0),0))))))))</f>
        <v>0</v>
      </c>
      <c r="DV261" s="412"/>
      <c r="DW261" s="409"/>
      <c r="DX261" s="411">
        <f>IF(DW261=0,0,IF($LB261=70%,VLOOKUP($DS261,'Jan-2026 rates'!$L:$R,4,0),IF($LB261=65%,VLOOKUP($DS261,'Jan-2026 rates'!$L:$R,4,0),IF($LB261=40%,VLOOKUP($DS261,'Jan-2026 rates'!$L:$R,5,0),IF($LB261=30%,VLOOKUP($DS261,'Jan-2026 rates'!$L:$R,6,0),IF($LB261=100%,VLOOKUP($DS261,'Jan-2026 rates'!$L:$R,7,0),IF($LB261=60%,VLOOKUP($DS261,'Jan-2026 rates'!$L:$S,8,0),IF($LB261=80%,VLOOKUP($DS261,'Jan-2026 rates'!L:T,9,0),0))))))))</f>
        <v>0</v>
      </c>
      <c r="DY261" s="413">
        <v>26519000015</v>
      </c>
      <c r="DZ261" s="413"/>
      <c r="EA261" s="412"/>
      <c r="EB261" s="412"/>
      <c r="EC261" s="412"/>
      <c r="ED261" s="412"/>
      <c r="EE261" s="412"/>
      <c r="EF261" s="412"/>
      <c r="EG261" s="409">
        <v>4</v>
      </c>
      <c r="EH261" s="398" t="e">
        <f>IF(EG261=0,0,IF(LEN(DY261)=11,_xlfn.XLOOKUP(DY261,'Dispensed Ink Rates'!C:C,'Dispensed Ink Rates'!CS:CS),VLOOKUP(DY261,'Jan-2026 rates'!$E:$F,2,0)))</f>
        <v>#N/A</v>
      </c>
      <c r="EI261" s="409"/>
      <c r="EJ261" s="398">
        <f>IF(EI261=0,0,IF(LEN(DZ261)=11,_xlfn.XLOOKUP(DZ261,'Dispensed Ink Rates'!C:C,'Dispensed Ink Rates'!CS:CS),VLOOKUP(DZ261,'Jan-2026 rates'!$E:$F,2,0)))</f>
        <v>0</v>
      </c>
      <c r="EK261" s="409"/>
      <c r="EL261" s="398">
        <f>IF(EK261=0,0,IF(LEN(EA261)=11,_xlfn.XLOOKUP(EA261,'Dispensed Ink Rates'!C:C,'Dispensed Ink Rates'!CS:CS),VLOOKUP(EA261,'Jan-2026 rates'!$E:$F,2,0)))</f>
        <v>0</v>
      </c>
      <c r="EM261" s="409"/>
      <c r="EN261" s="398">
        <f>IF(EM261=0,0,IF(LEN(EB261)=11,_xlfn.XLOOKUP(EB261,'Dispensed Ink Rates'!C:C,'Dispensed Ink Rates'!CS:CS),VLOOKUP(EB261,'Jan-2026 rates'!$E:$F,2,0)))</f>
        <v>0</v>
      </c>
      <c r="EO261" s="409"/>
      <c r="EP261" s="398">
        <f>IF(EO261=0,0,IF(LEN(EC261)=11,_xlfn.XLOOKUP(EC261,'Dispensed Ink Rates'!C:C,'Dispensed Ink Rates'!CS:CS),VLOOKUP(EC261,'Jan-2026 rates'!$E:$F,2,0)))</f>
        <v>0</v>
      </c>
      <c r="EQ261" s="409"/>
      <c r="ER261" s="398">
        <f>IF(EQ261=0,0,IF(LEN(ED261)=11,_xlfn.XLOOKUP(ED261,'Dispensed Ink Rates'!C:C,'Dispensed Ink Rates'!CS:CS),VLOOKUP(ED261,'Jan-2026 rates'!$E:$F,2,0)))</f>
        <v>0</v>
      </c>
      <c r="ES261" s="409"/>
      <c r="ET261" s="398">
        <f>IF(ES261=0,0,IF(LEN(EE261)=11,_xlfn.XLOOKUP(EE261,'Dispensed Ink Rates'!C:C,'Dispensed Ink Rates'!CS:CS),VLOOKUP(EE261,'Jan-2026 rates'!$E:$F,2,0)))</f>
        <v>0</v>
      </c>
      <c r="EU261" s="409"/>
      <c r="EV261" s="398">
        <f>IF(EU261=0,0,IF(LEN(EF261)=11,_xlfn.XLOOKUP(EF261,'Dispensed Ink Rates'!C:C,'Dispensed Ink Rates'!CS:CS),VLOOKUP(EF261,'Jan-2026 rates'!$E:$F,2,0)))</f>
        <v>0</v>
      </c>
      <c r="EW261" s="409" t="s">
        <v>1443</v>
      </c>
      <c r="EX261" s="409">
        <v>26</v>
      </c>
      <c r="EY261" s="411">
        <f t="shared" si="168"/>
        <v>0</v>
      </c>
      <c r="EZ261" s="411">
        <f t="shared" si="169"/>
        <v>17.666666666666664</v>
      </c>
      <c r="FA261" s="410">
        <f t="shared" si="170"/>
        <v>0</v>
      </c>
      <c r="FB261" s="405" t="s">
        <v>544</v>
      </c>
      <c r="FC261" s="409" t="s">
        <v>4152</v>
      </c>
      <c r="FD261" s="420" t="str">
        <f t="shared" si="187"/>
        <v>FLINTSL - MAGENTA</v>
      </c>
      <c r="FE261" s="409">
        <v>27</v>
      </c>
      <c r="FF261" s="411">
        <f>IF(FE261=0,0,IF($LB261=70%,VLOOKUP($FD261,'Jan-2026 rates'!$L:$R,4,0),IF($LB261=65%,VLOOKUP($FD261,'Jan-2026 rates'!$L:$R,4,0),IF($LB261=40%,VLOOKUP($FD261,'Jan-2026 rates'!$L:$R,5,0),IF($LB261=30%,VLOOKUP($FD261,'Jan-2026 rates'!$L:$R,6,0),IF($LB261=100%,VLOOKUP($FD261,'Jan-2026 rates'!$L:$R,7,0),IF($LB261=60%,VLOOKUP($FD261,'Jan-2026 rates'!$L:$S,8,0),IF($LB261=80%,VLOOKUP($FD261,'Jan-2026 rates'!L:T,9,0),0))))))))</f>
        <v>0</v>
      </c>
      <c r="FG261" s="412"/>
      <c r="FH261" s="409"/>
      <c r="FI261" s="411">
        <f>IF(FH261=0,0,IF($LB261=70%,VLOOKUP($FD261,'Jan-2026 rates'!$L:$R,4,0),IF($LB261=65%,VLOOKUP($FD261,'Jan-2026 rates'!$L:$R,4,0),IF($LB261=40%,VLOOKUP($FD261,'Jan-2026 rates'!$L:$R,5,0),IF($LB261=30%,VLOOKUP($FD261,'Jan-2026 rates'!$L:$R,6,0),IF($LB261=100%,VLOOKUP($FD261,'Jan-2026 rates'!$L:$R,7,0),IF($LB261=60%,VLOOKUP($FD261,'Jan-2026 rates'!$L:$S,8,0),IF($LB261=80%,VLOOKUP($FD261,'Jan-2026 rates'!L:T,9,0),0))))))))</f>
        <v>0</v>
      </c>
      <c r="FJ261" s="413" t="s">
        <v>1266</v>
      </c>
      <c r="FK261" s="413"/>
      <c r="FL261" s="413"/>
      <c r="FM261" s="412"/>
      <c r="FN261" s="412"/>
      <c r="FO261" s="412"/>
      <c r="FP261" s="412"/>
      <c r="FQ261" s="412"/>
      <c r="FR261" s="409">
        <v>2</v>
      </c>
      <c r="FS261" s="398">
        <f>IF(FR261=0,0,IF(LEN(FJ261)=11,_xlfn.XLOOKUP(FJ261,'Dispensed Ink Rates'!C:C,'Dispensed Ink Rates'!CS:CS),VLOOKUP(FJ261,'Jan-2026 rates'!$E:$F,2,0)))</f>
        <v>0</v>
      </c>
      <c r="FT261" s="409"/>
      <c r="FU261" s="398">
        <f>IF(FT261=0,0,IF(LEN(FK261)=11,_xlfn.XLOOKUP(FK261,'Dispensed Ink Rates'!C:C,'Dispensed Ink Rates'!CS:CS),VLOOKUP(FK261,'Jan-2026 rates'!$E:$F,2,0)))</f>
        <v>0</v>
      </c>
      <c r="FV261" s="409"/>
      <c r="FW261" s="398">
        <f>IF(FV261=0,0,IF(LEN(FL261)=11,_xlfn.XLOOKUP(FL261,'Dispensed Ink Rates'!C:C,'Dispensed Ink Rates'!CS:CS),VLOOKUP(FL261,'Jan-2026 rates'!$E:$F,2,0)))</f>
        <v>0</v>
      </c>
      <c r="FX261" s="409"/>
      <c r="FY261" s="398">
        <f>IF(FX261=0,0,IF(LEN(FM261)=11,_xlfn.XLOOKUP(FM261,'Dispensed Ink Rates'!C:C,'Dispensed Ink Rates'!CS:CS),VLOOKUP(FM261,'Jan-2026 rates'!$E:$F,2,0)))</f>
        <v>0</v>
      </c>
      <c r="FZ261" s="409"/>
      <c r="GA261" s="398">
        <f>IF(FZ261=0,0,IF(LEN(FN261)=11,_xlfn.XLOOKUP(FN261,'Dispensed Ink Rates'!C:C,'Dispensed Ink Rates'!CS:CS),VLOOKUP(FN261,'Jan-2026 rates'!$E:$F,2,0)))</f>
        <v>0</v>
      </c>
      <c r="GB261" s="409"/>
      <c r="GC261" s="398">
        <f>IF(GB261=0,0,IF(LEN(FO261)=11,_xlfn.XLOOKUP(FO261,'Dispensed Ink Rates'!C:C,'Dispensed Ink Rates'!CS:CS),VLOOKUP(FO261,'Jan-2026 rates'!$E:$F,2,0)))</f>
        <v>0</v>
      </c>
      <c r="GD261" s="409"/>
      <c r="GE261" s="398">
        <f>IF(GD261=0,0,IF(LEN(FP261)=11,_xlfn.XLOOKUP(FP261,'Dispensed Ink Rates'!C:C,'Dispensed Ink Rates'!CS:CS),VLOOKUP(FP261,'Jan-2026 rates'!$E:$F,2,0)))</f>
        <v>0</v>
      </c>
      <c r="GF261" s="409"/>
      <c r="GG261" s="398">
        <f>IF(GF261=0,0,IF(LEN(FQ261)=11,_xlfn.XLOOKUP(FQ261,'Dispensed Ink Rates'!C:C,'Dispensed Ink Rates'!CS:CS),VLOOKUP(FQ261,'Jan-2026 rates'!$E:$F,2,0)))</f>
        <v>0</v>
      </c>
      <c r="GH261" s="409" t="s">
        <v>1443</v>
      </c>
      <c r="GI261" s="409">
        <v>20</v>
      </c>
      <c r="GJ261" s="411">
        <f t="shared" si="171"/>
        <v>0</v>
      </c>
      <c r="GK261" s="411">
        <f t="shared" si="172"/>
        <v>19.666666666666664</v>
      </c>
      <c r="GL261" s="410">
        <f t="shared" si="173"/>
        <v>0</v>
      </c>
      <c r="GM261" s="405" t="s">
        <v>545</v>
      </c>
      <c r="GN261" s="409" t="s">
        <v>4153</v>
      </c>
      <c r="GO261" s="420" t="str">
        <f t="shared" si="188"/>
        <v>FLINTSL - YELLOW</v>
      </c>
      <c r="GP261" s="409">
        <v>30</v>
      </c>
      <c r="GQ261" s="411">
        <f>IF(GP261=0,0,IF($LB261=70%,VLOOKUP($GO261,'Jan-2026 rates'!$L:$R,4,0),IF($LB261=65%,VLOOKUP($GO261,'Jan-2026 rates'!$L:$R,4,0),IF($LB261=40%,VLOOKUP($GO261,'Jan-2026 rates'!$L:$R,5,0),IF($LB261=30%,VLOOKUP($GO261,'Jan-2026 rates'!$L:$R,6,0),IF($LB261=100%,VLOOKUP($GO261,'Jan-2026 rates'!$L:$R,7,0),IF($LB261=60%,VLOOKUP($GO261,'Jan-2026 rates'!$L:$S,8,0),IF($LB261=80%,VLOOKUP($GO261,'Jan-2026 rates'!L:T,9,0),0))))))))</f>
        <v>0</v>
      </c>
      <c r="GR261" s="412"/>
      <c r="GS261" s="409"/>
      <c r="GT261" s="411">
        <f>IF(GS261=0,0,IF($LB261=70%,VLOOKUP($GO261,'Jan-2026 rates'!$L:$R,4,0),IF($LB261=65%,VLOOKUP($GO261,'Jan-2026 rates'!$L:$R,4,0),IF($LB261=40%,VLOOKUP($GO261,'Jan-2026 rates'!$L:$R,5,0),IF($LB261=30%,VLOOKUP($GO261,'Jan-2026 rates'!$L:$R,6,0),IF($LB261=100%,VLOOKUP($GO261,'Jan-2026 rates'!$L:$R,7,0),IF($LB261=60%,VLOOKUP($GO261,'Jan-2026 rates'!$L:$S,8,0),IF($LB261=80%,VLOOKUP($GO261,'Jan-2026 rates'!L:T,9,0),0))))))))</f>
        <v>0</v>
      </c>
      <c r="GU261" s="413">
        <v>26519000025</v>
      </c>
      <c r="GV261" s="413" t="s">
        <v>1266</v>
      </c>
      <c r="GW261" s="412"/>
      <c r="GX261" s="412"/>
      <c r="GY261" s="412"/>
      <c r="GZ261" s="412"/>
      <c r="HA261" s="412"/>
      <c r="HB261" s="412"/>
      <c r="HC261" s="409">
        <v>2</v>
      </c>
      <c r="HD261" s="398" t="e">
        <f>IF(HC261=0,0,IF(LEN(GU261)=11,_xlfn.XLOOKUP(GU261,'Dispensed Ink Rates'!C:C,'Dispensed Ink Rates'!CS:CS),VLOOKUP(GU261,'Jan-2026 rates'!$E:$F,2,0)))</f>
        <v>#N/A</v>
      </c>
      <c r="HE261" s="409">
        <v>4</v>
      </c>
      <c r="HF261" s="398">
        <f>IF(HE261=0,0,IF(LEN(GV261)=11,_xlfn.XLOOKUP(GV261,'Dispensed Ink Rates'!C:C,'Dispensed Ink Rates'!CS:CS),VLOOKUP(GV261,'Jan-2026 rates'!$E:$F,2,0)))</f>
        <v>0</v>
      </c>
      <c r="HG261" s="409"/>
      <c r="HH261" s="398">
        <f>IF(HG261=0,0,IF(LEN(GW261)=11,_xlfn.XLOOKUP(GW261,'Dispensed Ink Rates'!C:C,'Dispensed Ink Rates'!CS:CS),VLOOKUP(GW261,'Jan-2026 rates'!$E:$F,2,0)))</f>
        <v>0</v>
      </c>
      <c r="HI261" s="409"/>
      <c r="HJ261" s="398">
        <f>IF(HI261=0,0,IF(LEN(GX261)=11,_xlfn.XLOOKUP(GX261,'Dispensed Ink Rates'!C:C,'Dispensed Ink Rates'!CS:CS),VLOOKUP(GX261,'Jan-2026 rates'!$E:$F,2,0)))</f>
        <v>0</v>
      </c>
      <c r="HK261" s="409"/>
      <c r="HL261" s="398">
        <f>IF(HK261=0,0,IF(LEN(GY261)=11,_xlfn.XLOOKUP(GY261,'Dispensed Ink Rates'!C:C,'Dispensed Ink Rates'!CS:CS),VLOOKUP(GY261,'Jan-2026 rates'!$E:$F,2,0)))</f>
        <v>0</v>
      </c>
      <c r="HM261" s="409"/>
      <c r="HN261" s="398">
        <f>IF(HM261=0,0,IF(LEN(GZ261)=11,_xlfn.XLOOKUP(GZ261,'Dispensed Ink Rates'!C:C,'Dispensed Ink Rates'!CS:CS),VLOOKUP(GZ261,'Jan-2026 rates'!$E:$F,2,0)))</f>
        <v>0</v>
      </c>
      <c r="HO261" s="409"/>
      <c r="HP261" s="398">
        <f>IF(HO261=0,0,IF(LEN(HA261)=11,_xlfn.XLOOKUP(HA261,'Dispensed Ink Rates'!C:C,'Dispensed Ink Rates'!CS:CS),VLOOKUP(HA261,'Jan-2026 rates'!$E:$F,2,0)))</f>
        <v>0</v>
      </c>
      <c r="HQ261" s="409"/>
      <c r="HR261" s="398">
        <f>IF(HQ261=0,0,IF(LEN(HB261)=11,_xlfn.XLOOKUP(HB261,'Dispensed Ink Rates'!C:C,'Dispensed Ink Rates'!CS:CS),VLOOKUP(HB261,'Jan-2026 rates'!$E:$F,2,0)))</f>
        <v>0</v>
      </c>
      <c r="HS261" s="409" t="s">
        <v>1443</v>
      </c>
      <c r="HT261" s="409">
        <v>29</v>
      </c>
      <c r="HU261" s="411">
        <f t="shared" si="174"/>
        <v>0</v>
      </c>
      <c r="HV261" s="411">
        <f t="shared" si="175"/>
        <v>17.666666666666664</v>
      </c>
      <c r="HW261" s="414">
        <f t="shared" si="176"/>
        <v>0</v>
      </c>
      <c r="HX261" s="405" t="s">
        <v>547</v>
      </c>
      <c r="HY261" s="409" t="s">
        <v>4154</v>
      </c>
      <c r="HZ261" s="420" t="str">
        <f t="shared" si="189"/>
        <v>FLINTSL - GREEN</v>
      </c>
      <c r="IA261" s="409">
        <v>26</v>
      </c>
      <c r="IB261" s="411">
        <f>IF(IA261=0,0,IF($LB261=70%,VLOOKUP($HZ261,'Jan-2026 rates'!$L:$R,4,0),IF($LB261=65%,VLOOKUP($HZ261,'Jan-2026 rates'!$L:$R,4,0),IF($LB261=40%,VLOOKUP($HZ261,'Jan-2026 rates'!$L:$R,5,0),IF($LB261=30%,VLOOKUP($HZ261,'Jan-2026 rates'!$L:$R,6,0),IF($LB261=100%,VLOOKUP($HZ261,'Jan-2026 rates'!$L:$R,7,0),IF($LB261=60%,VLOOKUP($HZ261,'Jan-2026 rates'!$L:$S,8,0),IF($LB261=80%,VLOOKUP($HZ261,'Jan-2026 rates'!L:T,9,0),0))))))))</f>
        <v>0</v>
      </c>
      <c r="IC261" s="412"/>
      <c r="ID261" s="409"/>
      <c r="IE261" s="411">
        <f>IF(ID261=0,0,IF($LB261=70%,VLOOKUP($HZ261,'Jan-2026 rates'!$L:$R,4,0),IF($LB261=65%,VLOOKUP($HZ261,'Jan-2026 rates'!$L:$R,4,0),IF($LB261=40%,VLOOKUP($HZ261,'Jan-2026 rates'!$L:$R,5,0),IF($LB261=30%,VLOOKUP($HZ261,'Jan-2026 rates'!$L:$R,6,0),IF($LB261=100%,VLOOKUP($HZ261,'Jan-2026 rates'!$L:$R,7,0),IF($LB261=60%,VLOOKUP($HZ261,'Jan-2026 rates'!$L:$S,8,0),IF($LB261=80%,VLOOKUP($HZ261,'Jan-2026 rates'!L:T,9,0),0))))))))</f>
        <v>0</v>
      </c>
      <c r="IF261" s="412">
        <v>26519000025</v>
      </c>
      <c r="IG261" s="413"/>
      <c r="IH261" s="412"/>
      <c r="II261" s="412"/>
      <c r="IJ261" s="412"/>
      <c r="IK261" s="412"/>
      <c r="IL261" s="412"/>
      <c r="IM261" s="412"/>
      <c r="IN261" s="409">
        <f>2+3</f>
        <v>5</v>
      </c>
      <c r="IO261" s="398" t="e">
        <f>IF(IN261=0,0,IF(LEN(IF261)=11,_xlfn.XLOOKUP(IF261,'Dispensed Ink Rates'!C:C,'Dispensed Ink Rates'!CS:CS),VLOOKUP(IF261,'Jan-2026 rates'!$E:$F,2,0)))</f>
        <v>#N/A</v>
      </c>
      <c r="IP261" s="409"/>
      <c r="IQ261" s="398">
        <f>IF(IP261=0,0,IF(LEN(IG261)=11,_xlfn.XLOOKUP(IG261,'Dispensed Ink Rates'!C:C,'Dispensed Ink Rates'!CS:CS),VLOOKUP(IG261,'Jan-2026 rates'!$E:$F,2,0)))</f>
        <v>0</v>
      </c>
      <c r="IR261" s="409"/>
      <c r="IS261" s="398">
        <f>IF(IR261=0,0,IF(LEN(IH261)=11,_xlfn.XLOOKUP(IH261,'Dispensed Ink Rates'!C:C,'Dispensed Ink Rates'!CS:CS),VLOOKUP(IH261,'Jan-2026 rates'!$E:$F,2,0)))</f>
        <v>0</v>
      </c>
      <c r="IT261" s="409"/>
      <c r="IU261" s="398">
        <f>IF(IT261=0,0,IF(LEN(II261)=11,_xlfn.XLOOKUP(II261,'Dispensed Ink Rates'!C:C,'Dispensed Ink Rates'!CS:CS),VLOOKUP(II261,'Jan-2026 rates'!$E:$F,2,0)))</f>
        <v>0</v>
      </c>
      <c r="IV261" s="409"/>
      <c r="IW261" s="398">
        <f>IF(IV261=0,0,IF(LEN(IJ261)=11,_xlfn.XLOOKUP(IJ261,'Dispensed Ink Rates'!C:C,'Dispensed Ink Rates'!CS:CS),VLOOKUP(IJ261,'Jan-2026 rates'!$E:$F,2,0)))</f>
        <v>0</v>
      </c>
      <c r="IX261" s="409"/>
      <c r="IY261" s="398">
        <f>IF(IX261=0,0,IF(LEN(IK261)=11,_xlfn.XLOOKUP(IK261,'Dispensed Ink Rates'!C:C,'Dispensed Ink Rates'!CS:CS),VLOOKUP(IK261,'Jan-2026 rates'!$E:$F,2,0)))</f>
        <v>0</v>
      </c>
      <c r="IZ261" s="409"/>
      <c r="JA261" s="398">
        <f>IF(IZ261=0,0,IF(LEN(IL261)=11,_xlfn.XLOOKUP(IL261,'Dispensed Ink Rates'!C:C,'Dispensed Ink Rates'!CS:CS),VLOOKUP(IL261,'Jan-2026 rates'!$E:$F,2,0)))</f>
        <v>0</v>
      </c>
      <c r="JB261" s="409"/>
      <c r="JC261" s="398">
        <f>IF(JB261=0,0,IF(LEN(IM261)=11,_xlfn.XLOOKUP(IM261,'Dispensed Ink Rates'!C:C,'Dispensed Ink Rates'!CS:CS),VLOOKUP(IM261,'Jan-2026 rates'!$E:$F,2,0)))</f>
        <v>0</v>
      </c>
      <c r="JD261" s="409" t="s">
        <v>1443</v>
      </c>
      <c r="JE261" s="409">
        <v>28</v>
      </c>
      <c r="JF261" s="411">
        <f t="shared" si="177"/>
        <v>0</v>
      </c>
      <c r="JG261" s="411">
        <f t="shared" si="178"/>
        <v>13.666666666666664</v>
      </c>
      <c r="JH261" s="410">
        <f t="shared" si="179"/>
        <v>0</v>
      </c>
      <c r="JI261" s="405" t="s">
        <v>856</v>
      </c>
      <c r="JJ261" s="409" t="s">
        <v>4155</v>
      </c>
      <c r="JK261" s="420" t="str">
        <f t="shared" si="190"/>
        <v>FLINTSL - WHITE</v>
      </c>
      <c r="JL261" s="409">
        <v>24</v>
      </c>
      <c r="JM261" s="411">
        <f>IF(JL261=0,0,IF($LB261=70%,VLOOKUP($JK261,'Jan-2026 rates'!$L:$R,4,0),IF($LB261=65%,VLOOKUP($JK261,'Jan-2026 rates'!$L:$R,4,0),IF($LB261=40%,VLOOKUP($JK261,'Jan-2026 rates'!$L:$R,5,0),IF($LB261=30%,VLOOKUP($JK261,'Jan-2026 rates'!$L:$R,6,0),IF($LB261=100%,VLOOKUP($JK261,'Jan-2026 rates'!$L:$R,7,0),IF($LB261=60%,VLOOKUP($JK261,'Jan-2026 rates'!$L:$S,8,0),IF($LB261=80%,VLOOKUP($JK261,'Jan-2026 rates'!L:T,9,0),0))))))))</f>
        <v>0</v>
      </c>
      <c r="JN261" s="412"/>
      <c r="JO261" s="409"/>
      <c r="JP261" s="411">
        <f>IF(JO261=0,0,IF($LB261=70%,VLOOKUP($JK261,'Jan-2026 rates'!$L:$R,4,0),IF($LB261=65%,VLOOKUP($JK261,'Jan-2026 rates'!$L:$R,4,0),IF($LB261=40%,VLOOKUP($JK261,'Jan-2026 rates'!$L:$R,5,0),IF($LB261=30%,VLOOKUP($JK261,'Jan-2026 rates'!$L:$R,6,0),IF($LB261=100%,VLOOKUP($JK261,'Jan-2026 rates'!$L:$R,7,0),IF($LB261=60%,VLOOKUP($JK261,'Jan-2026 rates'!$L:$S,8,0),IF($LB261=80%,VLOOKUP($JK261,'Jan-2026 rates'!L:T,9,0),0))))))))</f>
        <v>0</v>
      </c>
      <c r="JQ261" s="413" t="s">
        <v>484</v>
      </c>
      <c r="JR261" s="412"/>
      <c r="JS261" s="413"/>
      <c r="JT261" s="413"/>
      <c r="JU261" s="412"/>
      <c r="JV261" s="412"/>
      <c r="JW261" s="412"/>
      <c r="JX261" s="412"/>
      <c r="JY261" s="409">
        <f>25+10</f>
        <v>35</v>
      </c>
      <c r="JZ261" s="398">
        <f>IF(JY261=0,0,IF(LEN(JQ261)=11,_xlfn.XLOOKUP(JQ261,'Dispensed Ink Rates'!C:C,'Dispensed Ink Rates'!CS:CS),VLOOKUP(JQ261,'Jan-2026 rates'!$E:$F,2,0)))</f>
        <v>0</v>
      </c>
      <c r="KA261" s="409"/>
      <c r="KB261" s="398">
        <f>IF(KA261=0,0,IF(LEN(JR261)=11,_xlfn.XLOOKUP(JR261,'Dispensed Ink Rates'!C:C,'Dispensed Ink Rates'!CS:CS),VLOOKUP(JR261,'Jan-2026 rates'!$E:$F,2,0)))</f>
        <v>0</v>
      </c>
      <c r="KC261" s="409"/>
      <c r="KD261" s="398">
        <f>IF(KC261=0,0,IF(LEN(JS261)=11,_xlfn.XLOOKUP(JS261,'Dispensed Ink Rates'!C:C,'Dispensed Ink Rates'!CS:CS),VLOOKUP(JS261,'Jan-2026 rates'!$E:$F,2,0)))</f>
        <v>0</v>
      </c>
      <c r="KE261" s="409"/>
      <c r="KF261" s="398">
        <f>IF(KE261=0,0,IF(LEN(JT261)=11,_xlfn.XLOOKUP(JT261,'Dispensed Ink Rates'!C:C,'Dispensed Ink Rates'!CS:CS),VLOOKUP(JT261,'Jan-2026 rates'!$E:$F,2,0)))</f>
        <v>0</v>
      </c>
      <c r="KG261" s="409"/>
      <c r="KH261" s="398">
        <f>IF(KG261=0,0,IF(LEN(JU261)=11,_xlfn.XLOOKUP(JU261,'Dispensed Ink Rates'!C:C,'Dispensed Ink Rates'!CS:CS),VLOOKUP(JU261,'Jan-2026 rates'!$E:$F,2,0)))</f>
        <v>0</v>
      </c>
      <c r="KI261" s="409"/>
      <c r="KJ261" s="398">
        <f>IF(KI261=0,0,IF(LEN(JV261)=11,_xlfn.XLOOKUP(JV261,'Dispensed Ink Rates'!C:C,'Dispensed Ink Rates'!CS:CS),VLOOKUP(JV261,'Jan-2026 rates'!$E:$F,2,0)))</f>
        <v>0</v>
      </c>
      <c r="KK261" s="409"/>
      <c r="KL261" s="398">
        <f>IF(KK261=0,0,IF(LEN(JW261)=11,_xlfn.XLOOKUP(JW261,'Dispensed Ink Rates'!C:C,'Dispensed Ink Rates'!CS:CS),VLOOKUP(JW261,'Jan-2026 rates'!$E:$F,2,0)))</f>
        <v>0</v>
      </c>
      <c r="KM261" s="428"/>
      <c r="KN261" s="398">
        <f>IF(KM261=0,0,IF(LEN(JX261)=11,_xlfn.XLOOKUP(JX261,'Dispensed Ink Rates'!C:C,'Dispensed Ink Rates'!CS:CS),VLOOKUP(JX261,'Jan-2026 rates'!$E:$F,2,0)))</f>
        <v>0</v>
      </c>
      <c r="KO261" s="409" t="s">
        <v>1443</v>
      </c>
      <c r="KP261" s="409">
        <v>24</v>
      </c>
      <c r="KQ261" s="411">
        <f t="shared" si="180"/>
        <v>0</v>
      </c>
      <c r="KR261" s="411">
        <f t="shared" si="181"/>
        <v>88.333333333333343</v>
      </c>
      <c r="KS261" s="410">
        <f t="shared" si="182"/>
        <v>0</v>
      </c>
      <c r="KT261" s="409">
        <v>5</v>
      </c>
      <c r="KU261" s="409">
        <v>5</v>
      </c>
      <c r="KV261" s="409">
        <v>5</v>
      </c>
      <c r="KW261" s="409">
        <v>5</v>
      </c>
      <c r="KX261" s="409">
        <v>5</v>
      </c>
      <c r="KY261" s="409">
        <v>5</v>
      </c>
      <c r="KZ261" s="409">
        <v>5</v>
      </c>
      <c r="LA261" s="409">
        <f>15+10</f>
        <v>25</v>
      </c>
      <c r="LB261" s="415">
        <v>0.8</v>
      </c>
      <c r="LC261" s="415">
        <v>0.2</v>
      </c>
      <c r="LD261" s="415"/>
      <c r="LE261" s="415"/>
      <c r="LF261" s="415"/>
      <c r="LG261" s="409">
        <v>0</v>
      </c>
      <c r="LH261" s="409">
        <f>25+23+64+16</f>
        <v>128</v>
      </c>
      <c r="LI261" s="409">
        <v>0</v>
      </c>
      <c r="LJ261" s="409">
        <v>0</v>
      </c>
      <c r="LK261" s="416">
        <f t="shared" si="191"/>
        <v>128</v>
      </c>
      <c r="LL261" s="416">
        <f t="shared" si="192"/>
        <v>128</v>
      </c>
      <c r="LM261" s="417">
        <f t="shared" si="193"/>
        <v>102.4</v>
      </c>
      <c r="LN261" s="417">
        <f>VLOOKUP($LM$8,'Jan-2026 rates'!$H:$I,2,0)</f>
        <v>0</v>
      </c>
      <c r="LO261" s="417">
        <f t="shared" si="194"/>
        <v>25.6</v>
      </c>
      <c r="LP261" s="417">
        <f>VLOOKUP($LO$8,'Jan-2026 rates'!$H:$I,2,0)</f>
        <v>0</v>
      </c>
      <c r="LQ261" s="417">
        <f t="shared" si="195"/>
        <v>0</v>
      </c>
      <c r="LR261" s="417">
        <f>VLOOKUP($LQ$8,'Jan-2026 rates'!$H:$I,2,0)</f>
        <v>0</v>
      </c>
      <c r="LS261" s="417">
        <f t="shared" si="196"/>
        <v>0</v>
      </c>
      <c r="LT261" s="417">
        <f>VLOOKUP($LS$8,'Jan-2026 rates'!$H:$I,2,0)</f>
        <v>0</v>
      </c>
      <c r="LU261" s="417">
        <f t="shared" si="197"/>
        <v>0</v>
      </c>
      <c r="LV261" s="417">
        <f>VLOOKUP($LU$8,'Jan-2026 rates'!$H:$I,2,0)</f>
        <v>0</v>
      </c>
      <c r="LW261" s="417">
        <f t="shared" si="198"/>
        <v>0</v>
      </c>
      <c r="LX261" s="417">
        <f t="shared" si="199"/>
        <v>0</v>
      </c>
      <c r="LY261" s="418">
        <f t="shared" si="200"/>
        <v>0</v>
      </c>
      <c r="LZ261" s="417"/>
      <c r="MA261" s="435">
        <f t="shared" si="201"/>
        <v>78.5</v>
      </c>
      <c r="MB261" s="282">
        <f t="shared" si="202"/>
        <v>202.49999999999997</v>
      </c>
      <c r="MC261" s="283">
        <v>154</v>
      </c>
      <c r="MD261" s="284" t="str">
        <f t="shared" si="203"/>
        <v>FLINTSLFLINTSLFLINTSLFLINTSLFLINTSLFLINTSLFLINTSLFLINTSL</v>
      </c>
      <c r="ME261" s="293" t="str">
        <f t="shared" si="204"/>
        <v>+</v>
      </c>
      <c r="MF261" s="293" t="str">
        <f t="shared" si="205"/>
        <v>+</v>
      </c>
      <c r="MG261" s="293" t="str">
        <f t="shared" si="206"/>
        <v>+</v>
      </c>
      <c r="MH261" s="293" t="str">
        <f t="shared" si="207"/>
        <v>+</v>
      </c>
      <c r="MI261" s="293" t="str">
        <f t="shared" si="208"/>
        <v>+</v>
      </c>
      <c r="MJ261" s="293" t="str">
        <f t="shared" si="209"/>
        <v>+</v>
      </c>
      <c r="MK261" s="293" t="str">
        <f t="shared" si="210"/>
        <v>+</v>
      </c>
      <c r="ML261" s="293" t="str">
        <f t="shared" si="211"/>
        <v>+</v>
      </c>
      <c r="MM261" s="3" t="b">
        <f t="array" ref="MM261">OR(ME261:ML261="-")</f>
        <v>0</v>
      </c>
      <c r="MN261" s="285"/>
      <c r="MO261" s="401"/>
      <c r="MP261" s="286"/>
      <c r="MQ261" s="286"/>
      <c r="MR261" s="402"/>
      <c r="MS261" s="400"/>
      <c r="NH261" s="422"/>
      <c r="NJ261" s="421"/>
    </row>
    <row r="262" spans="1:374" s="1" customFormat="1" ht="16.5">
      <c r="A262" s="403">
        <v>46042</v>
      </c>
      <c r="B262" s="404" t="s">
        <v>1015</v>
      </c>
      <c r="C262" s="405" t="s">
        <v>4156</v>
      </c>
      <c r="D262" s="406">
        <v>155</v>
      </c>
      <c r="E262" s="404">
        <v>857</v>
      </c>
      <c r="F262" s="407">
        <v>22800</v>
      </c>
      <c r="G262" s="407" t="s">
        <v>1019</v>
      </c>
      <c r="H262" s="408" t="s">
        <v>1017</v>
      </c>
      <c r="I262" s="409">
        <v>1.54</v>
      </c>
      <c r="J262" s="405" t="s">
        <v>543</v>
      </c>
      <c r="K262" s="404" t="s">
        <v>4157</v>
      </c>
      <c r="L262" s="419" t="str">
        <f t="shared" si="184"/>
        <v>FLINTSL - BLACK</v>
      </c>
      <c r="M262" s="404">
        <v>26</v>
      </c>
      <c r="N262" s="410">
        <f>IF(M262=0,0,IF($LB262=70%,VLOOKUP($L262,'Jan-2026 rates'!$L:$R,4,0),IF($LB262=65%,VLOOKUP($L262,'Jan-2026 rates'!$L:$R,4,0),IF($LB262=40%,VLOOKUP($L262,'Jan-2026 rates'!$L:$R,5,0),IF($LB262=30%,VLOOKUP($L262,'Jan-2026 rates'!$L:$R,6,0),IF($LB262=100%,VLOOKUP($L262,'Jan-2026 rates'!$L:$R,7,0),IF($LB262=60%,VLOOKUP($L262,'Jan-2026 rates'!$L:$S,8,0),IF($LB262=80%,VLOOKUP($L262,'Jan-2026 rates'!L:T,9,0),0))))))))</f>
        <v>0</v>
      </c>
      <c r="O262" s="406"/>
      <c r="P262" s="404"/>
      <c r="Q262" s="410">
        <f>IF(P262=0,0,IF($LB262=70%,VLOOKUP($L262,'Jan-2026 rates'!$L:$R,4,0),IF($LB262=65%,VLOOKUP($L262,'Jan-2026 rates'!$L:$R,4,0),IF($LB262=40%,VLOOKUP($L262,'Jan-2026 rates'!$L:$R,5,0),IF($LB262=30%,VLOOKUP($L262,'Jan-2026 rates'!$L:$R,6,0),IF($LB262=100%,VLOOKUP($L262,'Jan-2026 rates'!$L:$R,7,0),IF($LB262=60%,VLOOKUP($L262,'Jan-2026 rates'!$L:$S,8,0),IF($LB262=80%,VLOOKUP($L262,'Jan-2026 rates'!L:T,9,0),0))))))))</f>
        <v>0</v>
      </c>
      <c r="R262" s="406">
        <v>26519000026</v>
      </c>
      <c r="S262" s="406"/>
      <c r="T262" s="406"/>
      <c r="U262" s="406"/>
      <c r="V262" s="406"/>
      <c r="W262" s="406"/>
      <c r="X262" s="406"/>
      <c r="Y262" s="406"/>
      <c r="Z262" s="404">
        <v>4</v>
      </c>
      <c r="AA262" s="398" t="e">
        <f>IF(Z262=0,0,IF(LEN(R262)=11,_xlfn.XLOOKUP(R262,'Dispensed Ink Rates'!C:C,'Dispensed Ink Rates'!CS:CS),VLOOKUP(R262,'Jan-2026 rates'!$E:$F,2,0)))</f>
        <v>#N/A</v>
      </c>
      <c r="AB262" s="404"/>
      <c r="AC262" s="398">
        <f>IF(AB262=0,0,IF(LEN(S262)=11,_xlfn.XLOOKUP(S262,'Dispensed Ink Rates'!C:C,'Dispensed Ink Rates'!CS:CS),VLOOKUP(S262,'Jan-2026 rates'!$E:$F,2,0)))</f>
        <v>0</v>
      </c>
      <c r="AD262" s="404"/>
      <c r="AE262" s="398">
        <f>IF(AD262=0,0,IF(LEN(T262)=11,_xlfn.XLOOKUP(T262,'Dispensed Ink Rates'!C:C,'Dispensed Ink Rates'!CS:CS),VLOOKUP(T262,'Jan-2026 rates'!$E:$F,2,0)))</f>
        <v>0</v>
      </c>
      <c r="AF262" s="404"/>
      <c r="AG262" s="398">
        <f>IF(AF262=0,0,IF(LEN(U262)=11,_xlfn.XLOOKUP(U262,'Dispensed Ink Rates'!C:C,'Dispensed Ink Rates'!CS:CS),VLOOKUP(U262,'Jan-2026 rates'!$E:$F,2,0)))</f>
        <v>0</v>
      </c>
      <c r="AH262" s="404"/>
      <c r="AI262" s="398">
        <f>IF(AH262=0,0,IF(LEN(V262)=11,_xlfn.XLOOKUP(V262,'Dispensed Ink Rates'!C:C,'Dispensed Ink Rates'!CS:CS),VLOOKUP(V262,'Jan-2026 rates'!$E:$F,2,0)))</f>
        <v>0</v>
      </c>
      <c r="AJ262" s="404"/>
      <c r="AK262" s="398">
        <f>IF(AJ262=0,0,IF(LEN(W262)=11,_xlfn.XLOOKUP(W262,'Dispensed Ink Rates'!C:C,'Dispensed Ink Rates'!CS:CS),VLOOKUP(W262,'Jan-2026 rates'!$E:$F,2,0)))</f>
        <v>0</v>
      </c>
      <c r="AL262" s="404"/>
      <c r="AM262" s="398">
        <f>IF(AL262=0,0,IF(LEN(X262)=11,_xlfn.XLOOKUP(X262,'Dispensed Ink Rates'!C:C,'Dispensed Ink Rates'!CS:CS),VLOOKUP(X262,'Jan-2026 rates'!$E:$F,2,0)))</f>
        <v>0</v>
      </c>
      <c r="AN262" s="404"/>
      <c r="AO262" s="398">
        <f>IF(AN262=0,0,IF(LEN(Y262)=11,_xlfn.XLOOKUP(Y262,'Dispensed Ink Rates'!C:C,'Dispensed Ink Rates'!CS:CS),VLOOKUP(Y262,'Jan-2026 rates'!$E:$F,2,0)))</f>
        <v>0</v>
      </c>
      <c r="AP262" s="409" t="s">
        <v>1443</v>
      </c>
      <c r="AQ262" s="409">
        <v>25</v>
      </c>
      <c r="AR262" s="410">
        <f t="shared" si="159"/>
        <v>0</v>
      </c>
      <c r="AS262" s="411">
        <f t="shared" si="160"/>
        <v>14.92307692307692</v>
      </c>
      <c r="AT262" s="410">
        <f t="shared" si="161"/>
        <v>0</v>
      </c>
      <c r="AU262" s="405" t="s">
        <v>546</v>
      </c>
      <c r="AV262" s="409" t="s">
        <v>4158</v>
      </c>
      <c r="AW262" s="420" t="str">
        <f t="shared" si="183"/>
        <v>FLINTSL - REFLEX BLUE</v>
      </c>
      <c r="AX262" s="409">
        <v>27</v>
      </c>
      <c r="AY262" s="411">
        <f>IF(AX262=0,0,IF($LB262=70%,VLOOKUP($AW262,'Jan-2026 rates'!$L:$R,4,0),IF($LB262=65%,VLOOKUP($AW262,'Jan-2026 rates'!$L:$R,4,0),IF($LB262=40%,VLOOKUP($AW262,'Jan-2026 rates'!$L:$R,5,0),IF($LB262=30%,VLOOKUP($AW262,'Jan-2026 rates'!$L:$R,6,0),IF($LB262=100%,VLOOKUP($AW262,'Jan-2026 rates'!$L:$R,7,0),IF($LB262=60%,VLOOKUP($AW262,'Jan-2026 rates'!$L:$S,8,0),IF($LB262=80%,VLOOKUP($AW262,'Jan-2026 rates'!L:T,9,0),0))))))))</f>
        <v>0</v>
      </c>
      <c r="AZ262" s="412"/>
      <c r="BA262" s="409"/>
      <c r="BB262" s="411">
        <f>IF(BA262=0,0,IF($LB262=70%,VLOOKUP($AW262,'Jan-2026 rates'!$L:$R,4,0),IF($LB262=65%,VLOOKUP($AW262,'Jan-2026 rates'!$L:$R,4,0),IF($LB262=40%,VLOOKUP($AW262,'Jan-2026 rates'!$L:$R,5,0),IF($LB262=30%,VLOOKUP($AW262,'Jan-2026 rates'!$L:$R,6,0),IF($LB262=100%,VLOOKUP($AW262,'Jan-2026 rates'!$L:$R,7,0),IF($LB262=60%,VLOOKUP($AW262,'Jan-2026 rates'!$L:$S,8,0),IF($LB262=80%,VLOOKUP($AW262,'Jan-2026 rates'!L:T,9,0),0))))))))</f>
        <v>0</v>
      </c>
      <c r="BC262" s="413">
        <v>26519000014</v>
      </c>
      <c r="BD262" s="412"/>
      <c r="BE262" s="412"/>
      <c r="BF262" s="413"/>
      <c r="BG262" s="412"/>
      <c r="BH262" s="412"/>
      <c r="BI262" s="412"/>
      <c r="BJ262" s="412"/>
      <c r="BK262" s="409">
        <v>6</v>
      </c>
      <c r="BL262" s="398" t="e">
        <f>IF(BK262=0,0,IF(LEN(BC262)=11,_xlfn.XLOOKUP(BC262,'Dispensed Ink Rates'!C:C,'Dispensed Ink Rates'!CS:CS),VLOOKUP(BC262,'Jan-2026 rates'!$E:$F,2,0)))</f>
        <v>#N/A</v>
      </c>
      <c r="BM262" s="409"/>
      <c r="BN262" s="398">
        <f>IF(BM262=0,0,IF(LEN(BD262)=11,_xlfn.XLOOKUP(BD262,'Dispensed Ink Rates'!C:C,'Dispensed Ink Rates'!CS:CS),VLOOKUP(BD262,'Jan-2026 rates'!$E:$F,2,0)))</f>
        <v>0</v>
      </c>
      <c r="BO262" s="409"/>
      <c r="BP262" s="398">
        <f>IF(BO262=0,0,IF(LEN(BE262)=11,_xlfn.XLOOKUP(BE262,'Dispensed Ink Rates'!C:C,'Dispensed Ink Rates'!CS:CS),VLOOKUP(BE262,'Jan-2026 rates'!$E:$F,2,0)))</f>
        <v>0</v>
      </c>
      <c r="BQ262" s="409"/>
      <c r="BR262" s="398">
        <f>IF(BQ262=0,0,IF(LEN(BF262)=11,_xlfn.XLOOKUP(BF262,'Dispensed Ink Rates'!C:C,'Dispensed Ink Rates'!CS:CS),VLOOKUP(BF262,'Jan-2026 rates'!$E:$F,2,0)))</f>
        <v>0</v>
      </c>
      <c r="BS262" s="409"/>
      <c r="BT262" s="398">
        <f>IF(BS262=0,0,IF(LEN(BG262)=11,_xlfn.XLOOKUP(BG262,'Dispensed Ink Rates'!C:C,'Dispensed Ink Rates'!CS:CS),VLOOKUP(BG262,'Jan-2026 rates'!$E:$F,2,0)))</f>
        <v>0</v>
      </c>
      <c r="BU262" s="409"/>
      <c r="BV262" s="398">
        <f>IF(BU262=0,0,IF(LEN(BH262)=11,_xlfn.XLOOKUP(BH262,'Dispensed Ink Rates'!C:C,'Dispensed Ink Rates'!CS:CS),VLOOKUP(BH262,'Jan-2026 rates'!$E:$F,2,0)))</f>
        <v>0</v>
      </c>
      <c r="BW262" s="409"/>
      <c r="BX262" s="398">
        <f>IF(BW262=0,0,IF(LEN(BI262)=11,_xlfn.XLOOKUP(BI262,'Dispensed Ink Rates'!C:C,'Dispensed Ink Rates'!CS:CS),VLOOKUP(BI262,'Jan-2026 rates'!$E:$F,2,0)))</f>
        <v>0</v>
      </c>
      <c r="BY262" s="409"/>
      <c r="BZ262" s="398">
        <f>IF(BY262=0,0,IF(LEN(BJ262)=11,_xlfn.XLOOKUP(BJ262,'Dispensed Ink Rates'!C:C,'Dispensed Ink Rates'!CS:CS),VLOOKUP(BJ262,'Jan-2026 rates'!$E:$F,2,0)))</f>
        <v>0</v>
      </c>
      <c r="CA262" s="409" t="s">
        <v>1443</v>
      </c>
      <c r="CB262" s="409">
        <v>26</v>
      </c>
      <c r="CC262" s="411">
        <f t="shared" si="162"/>
        <v>0</v>
      </c>
      <c r="CD262" s="411">
        <f t="shared" si="163"/>
        <v>16.92307692307692</v>
      </c>
      <c r="CE262" s="410">
        <f t="shared" si="164"/>
        <v>0</v>
      </c>
      <c r="CF262" s="404" t="s">
        <v>828</v>
      </c>
      <c r="CG262" s="409"/>
      <c r="CH262" s="420" t="str">
        <f t="shared" si="185"/>
        <v>FLINTSL - ORANGE</v>
      </c>
      <c r="CI262" s="409"/>
      <c r="CJ262" s="411">
        <f>IF(CI262=0,0,IF($LB262=70%,VLOOKUP($CH262,'Jan-2026 rates'!$L:$R,4,0),IF($LB262=65%,VLOOKUP($CH262,'Jan-2026 rates'!$L:$R,4,0),IF($LB262=40%,VLOOKUP($CH262,'Jan-2026 rates'!$L:$R,5,0),IF($LB262=30%,VLOOKUP($CH262,'Jan-2026 rates'!$L:$R,6,0),IF($LB262=100%,VLOOKUP($CH262,'Jan-2026 rates'!$L:$R,7,0),IF($LB262=60%,VLOOKUP($CH262,'Jan-2026 rates'!$L:$S,8,0),IF($LB262=80%,VLOOKUP($CH262,'Jan-2026 rates'!L:T,9,0),0))))))))</f>
        <v>0</v>
      </c>
      <c r="CK262" s="412"/>
      <c r="CL262" s="409"/>
      <c r="CM262" s="411">
        <f>IF(CL262=0,0,IF($LB262=70%,VLOOKUP($CH262,'Jan-2026 rates'!$L:$R,4,0),IF($LB262=65%,VLOOKUP($CH262,'Jan-2026 rates'!$L:$R,4,0),IF($LB262=40%,VLOOKUP($CH262,'Jan-2026 rates'!$L:$R,5,0),IF($LB262=30%,VLOOKUP($CH262,'Jan-2026 rates'!$L:$R,6,0),IF($LB262=100%,VLOOKUP($CH262,'Jan-2026 rates'!$L:$R,7,0),IF($LB262=60%,VLOOKUP($CH262,'Jan-2026 rates'!$L:$S,8,0),IF($LB262=80%,VLOOKUP($CH262,'Jan-2026 rates'!L:T,9,0),0))))))))</f>
        <v>0</v>
      </c>
      <c r="CN262" s="426">
        <v>26520000007</v>
      </c>
      <c r="CO262" s="427">
        <v>26518000003</v>
      </c>
      <c r="CP262" s="426"/>
      <c r="CQ262" s="426"/>
      <c r="CR262" s="428"/>
      <c r="CS262" s="428"/>
      <c r="CT262" s="428"/>
      <c r="CU262" s="428"/>
      <c r="CV262" s="409">
        <v>35</v>
      </c>
      <c r="CW262" s="398" t="e">
        <f>IF(CV262=0,0,IF(LEN(CN262)=11,_xlfn.XLOOKUP(CN262,'Dispensed Ink Rates'!C:C,'Dispensed Ink Rates'!CS:CS),VLOOKUP(CN262,'Jan-2026 rates'!$E:$F,2,0)))</f>
        <v>#N/A</v>
      </c>
      <c r="CX262" s="409">
        <f>25+15</f>
        <v>40</v>
      </c>
      <c r="CY262" s="398" t="e">
        <f>IF(CX262=0,0,IF(LEN(CO262)=11,_xlfn.XLOOKUP(CO262,'Dispensed Ink Rates'!C:C,'Dispensed Ink Rates'!CS:CS),VLOOKUP(CO262,'Jan-2026 rates'!$E:$F,2,0)))</f>
        <v>#N/A</v>
      </c>
      <c r="CZ262" s="409"/>
      <c r="DA262" s="398">
        <f>IF(CZ262=0,0,IF(LEN(CP262)=11,_xlfn.XLOOKUP(CP262,'Dispensed Ink Rates'!C:C,'Dispensed Ink Rates'!CS:CS),VLOOKUP(CP262,'Jan-2026 rates'!$E:$F,2,0)))</f>
        <v>0</v>
      </c>
      <c r="DB262" s="409"/>
      <c r="DC262" s="398">
        <f>IF(DB262=0,0,IF(LEN(CQ262)=11,_xlfn.XLOOKUP(CQ262,'Dispensed Ink Rates'!C:C,'Dispensed Ink Rates'!CS:CS),VLOOKUP(CQ262,'Jan-2026 rates'!$E:$F,2,0)))</f>
        <v>0</v>
      </c>
      <c r="DD262" s="409"/>
      <c r="DE262" s="398">
        <f>IF(DD262=0,0,IF(LEN(CR262)=11,_xlfn.XLOOKUP(CR262,'Dispensed Ink Rates'!C:C,'Dispensed Ink Rates'!CS:CS),VLOOKUP(CR262,'Jan-2026 rates'!$E:$F,2,0)))</f>
        <v>0</v>
      </c>
      <c r="DF262" s="409"/>
      <c r="DG262" s="398">
        <f>IF(DF262=0,0,IF(LEN(CS262)=11,_xlfn.XLOOKUP(CS262,'Dispensed Ink Rates'!C:C,'Dispensed Ink Rates'!CS:CS),VLOOKUP(CS262,'Jan-2026 rates'!$E:$F,2,0)))</f>
        <v>0</v>
      </c>
      <c r="DH262" s="409"/>
      <c r="DI262" s="398">
        <f>IF(DH262=0,0,IF(LEN(CT262)=11,_xlfn.XLOOKUP(CT262,'Dispensed Ink Rates'!C:C,'Dispensed Ink Rates'!CS:CS),VLOOKUP(CT262,'Jan-2026 rates'!$E:$F,2,0)))</f>
        <v>0</v>
      </c>
      <c r="DJ262" s="409"/>
      <c r="DK262" s="398">
        <f>IF(DJ262=0,0,IF(LEN(CU262)=11,_xlfn.XLOOKUP(CU262,'Dispensed Ink Rates'!C:C,'Dispensed Ink Rates'!CS:CS),VLOOKUP(CU262,'Jan-2026 rates'!$E:$F,2,0)))</f>
        <v>0</v>
      </c>
      <c r="DL262" s="409" t="s">
        <v>1443</v>
      </c>
      <c r="DM262" s="409">
        <v>25</v>
      </c>
      <c r="DN262" s="411">
        <f t="shared" si="165"/>
        <v>0</v>
      </c>
      <c r="DO262" s="411">
        <f t="shared" si="166"/>
        <v>59.92307692307692</v>
      </c>
      <c r="DP262" s="410">
        <f t="shared" si="167"/>
        <v>0</v>
      </c>
      <c r="DQ262" s="405" t="s">
        <v>855</v>
      </c>
      <c r="DR262" s="409" t="s">
        <v>4159</v>
      </c>
      <c r="DS262" s="420" t="str">
        <f t="shared" si="186"/>
        <v>FLINTSL - CYAN</v>
      </c>
      <c r="DT262" s="409">
        <v>26</v>
      </c>
      <c r="DU262" s="411">
        <f>IF(DT262=0,0,IF($LB262=70%,VLOOKUP($DS262,'Jan-2026 rates'!$L:$R,4,0),IF($LB262=65%,VLOOKUP($DS262,'Jan-2026 rates'!$L:$R,4,0),IF($LB262=40%,VLOOKUP($DS262,'Jan-2026 rates'!$L:$R,5,0),IF($LB262=30%,VLOOKUP($DS262,'Jan-2026 rates'!$L:$R,6,0),IF($LB262=100%,VLOOKUP($DS262,'Jan-2026 rates'!$L:$R,7,0),IF($LB262=60%,VLOOKUP($DS262,'Jan-2026 rates'!$L:$S,8,0),IF($LB262=80%,VLOOKUP($DS262,'Jan-2026 rates'!L:T,9,0),0))))))))</f>
        <v>0</v>
      </c>
      <c r="DV262" s="412"/>
      <c r="DW262" s="409"/>
      <c r="DX262" s="411">
        <f>IF(DW262=0,0,IF($LB262=70%,VLOOKUP($DS262,'Jan-2026 rates'!$L:$R,4,0),IF($LB262=65%,VLOOKUP($DS262,'Jan-2026 rates'!$L:$R,4,0),IF($LB262=40%,VLOOKUP($DS262,'Jan-2026 rates'!$L:$R,5,0),IF($LB262=30%,VLOOKUP($DS262,'Jan-2026 rates'!$L:$R,6,0),IF($LB262=100%,VLOOKUP($DS262,'Jan-2026 rates'!$L:$R,7,0),IF($LB262=60%,VLOOKUP($DS262,'Jan-2026 rates'!$L:$S,8,0),IF($LB262=80%,VLOOKUP($DS262,'Jan-2026 rates'!L:T,9,0),0))))))))</f>
        <v>0</v>
      </c>
      <c r="DY262" s="413">
        <v>26519000015</v>
      </c>
      <c r="DZ262" s="413"/>
      <c r="EA262" s="412"/>
      <c r="EB262" s="412"/>
      <c r="EC262" s="412"/>
      <c r="ED262" s="412"/>
      <c r="EE262" s="412"/>
      <c r="EF262" s="412"/>
      <c r="EG262" s="409">
        <v>4</v>
      </c>
      <c r="EH262" s="398" t="e">
        <f>IF(EG262=0,0,IF(LEN(DY262)=11,_xlfn.XLOOKUP(DY262,'Dispensed Ink Rates'!C:C,'Dispensed Ink Rates'!CS:CS),VLOOKUP(DY262,'Jan-2026 rates'!$E:$F,2,0)))</f>
        <v>#N/A</v>
      </c>
      <c r="EI262" s="409"/>
      <c r="EJ262" s="398">
        <f>IF(EI262=0,0,IF(LEN(DZ262)=11,_xlfn.XLOOKUP(DZ262,'Dispensed Ink Rates'!C:C,'Dispensed Ink Rates'!CS:CS),VLOOKUP(DZ262,'Jan-2026 rates'!$E:$F,2,0)))</f>
        <v>0</v>
      </c>
      <c r="EK262" s="409"/>
      <c r="EL262" s="398">
        <f>IF(EK262=0,0,IF(LEN(EA262)=11,_xlfn.XLOOKUP(EA262,'Dispensed Ink Rates'!C:C,'Dispensed Ink Rates'!CS:CS),VLOOKUP(EA262,'Jan-2026 rates'!$E:$F,2,0)))</f>
        <v>0</v>
      </c>
      <c r="EM262" s="409"/>
      <c r="EN262" s="398">
        <f>IF(EM262=0,0,IF(LEN(EB262)=11,_xlfn.XLOOKUP(EB262,'Dispensed Ink Rates'!C:C,'Dispensed Ink Rates'!CS:CS),VLOOKUP(EB262,'Jan-2026 rates'!$E:$F,2,0)))</f>
        <v>0</v>
      </c>
      <c r="EO262" s="409"/>
      <c r="EP262" s="398">
        <f>IF(EO262=0,0,IF(LEN(EC262)=11,_xlfn.XLOOKUP(EC262,'Dispensed Ink Rates'!C:C,'Dispensed Ink Rates'!CS:CS),VLOOKUP(EC262,'Jan-2026 rates'!$E:$F,2,0)))</f>
        <v>0</v>
      </c>
      <c r="EQ262" s="409"/>
      <c r="ER262" s="398">
        <f>IF(EQ262=0,0,IF(LEN(ED262)=11,_xlfn.XLOOKUP(ED262,'Dispensed Ink Rates'!C:C,'Dispensed Ink Rates'!CS:CS),VLOOKUP(ED262,'Jan-2026 rates'!$E:$F,2,0)))</f>
        <v>0</v>
      </c>
      <c r="ES262" s="409"/>
      <c r="ET262" s="398">
        <f>IF(ES262=0,0,IF(LEN(EE262)=11,_xlfn.XLOOKUP(EE262,'Dispensed Ink Rates'!C:C,'Dispensed Ink Rates'!CS:CS),VLOOKUP(EE262,'Jan-2026 rates'!$E:$F,2,0)))</f>
        <v>0</v>
      </c>
      <c r="EU262" s="409"/>
      <c r="EV262" s="398">
        <f>IF(EU262=0,0,IF(LEN(EF262)=11,_xlfn.XLOOKUP(EF262,'Dispensed Ink Rates'!C:C,'Dispensed Ink Rates'!CS:CS),VLOOKUP(EF262,'Jan-2026 rates'!$E:$F,2,0)))</f>
        <v>0</v>
      </c>
      <c r="EW262" s="409" t="s">
        <v>1443</v>
      </c>
      <c r="EX262" s="409">
        <v>27</v>
      </c>
      <c r="EY262" s="411">
        <f t="shared" si="168"/>
        <v>0</v>
      </c>
      <c r="EZ262" s="411">
        <f t="shared" si="169"/>
        <v>12.92307692307692</v>
      </c>
      <c r="FA262" s="410">
        <f t="shared" si="170"/>
        <v>0</v>
      </c>
      <c r="FB262" s="405" t="s">
        <v>544</v>
      </c>
      <c r="FC262" s="409" t="s">
        <v>4160</v>
      </c>
      <c r="FD262" s="420" t="str">
        <f t="shared" si="187"/>
        <v>FLINTSL - MAGENTA</v>
      </c>
      <c r="FE262" s="409">
        <v>20</v>
      </c>
      <c r="FF262" s="411">
        <f>IF(FE262=0,0,IF($LB262=70%,VLOOKUP($FD262,'Jan-2026 rates'!$L:$R,4,0),IF($LB262=65%,VLOOKUP($FD262,'Jan-2026 rates'!$L:$R,4,0),IF($LB262=40%,VLOOKUP($FD262,'Jan-2026 rates'!$L:$R,5,0),IF($LB262=30%,VLOOKUP($FD262,'Jan-2026 rates'!$L:$R,6,0),IF($LB262=100%,VLOOKUP($FD262,'Jan-2026 rates'!$L:$R,7,0),IF($LB262=60%,VLOOKUP($FD262,'Jan-2026 rates'!$L:$S,8,0),IF($LB262=80%,VLOOKUP($FD262,'Jan-2026 rates'!L:T,9,0),0))))))))</f>
        <v>0</v>
      </c>
      <c r="FG262" s="412"/>
      <c r="FH262" s="409"/>
      <c r="FI262" s="411">
        <f>IF(FH262=0,0,IF($LB262=70%,VLOOKUP($FD262,'Jan-2026 rates'!$L:$R,4,0),IF($LB262=65%,VLOOKUP($FD262,'Jan-2026 rates'!$L:$R,4,0),IF($LB262=40%,VLOOKUP($FD262,'Jan-2026 rates'!$L:$R,5,0),IF($LB262=30%,VLOOKUP($FD262,'Jan-2026 rates'!$L:$R,6,0),IF($LB262=100%,VLOOKUP($FD262,'Jan-2026 rates'!$L:$R,7,0),IF($LB262=60%,VLOOKUP($FD262,'Jan-2026 rates'!$L:$S,8,0),IF($LB262=80%,VLOOKUP($FD262,'Jan-2026 rates'!L:T,9,0),0))))))))</f>
        <v>0</v>
      </c>
      <c r="FJ262" s="413">
        <v>26519000036</v>
      </c>
      <c r="FK262" s="413" t="s">
        <v>1266</v>
      </c>
      <c r="FL262" s="413"/>
      <c r="FM262" s="412"/>
      <c r="FN262" s="412"/>
      <c r="FO262" s="412"/>
      <c r="FP262" s="412"/>
      <c r="FQ262" s="412"/>
      <c r="FR262" s="409">
        <v>6</v>
      </c>
      <c r="FS262" s="398" t="e">
        <f>IF(FR262=0,0,IF(LEN(FJ262)=11,_xlfn.XLOOKUP(FJ262,'Dispensed Ink Rates'!C:C,'Dispensed Ink Rates'!CS:CS),VLOOKUP(FJ262,'Jan-2026 rates'!$E:$F,2,0)))</f>
        <v>#N/A</v>
      </c>
      <c r="FT262" s="409">
        <v>4</v>
      </c>
      <c r="FU262" s="398">
        <f>IF(FT262=0,0,IF(LEN(FK262)=11,_xlfn.XLOOKUP(FK262,'Dispensed Ink Rates'!C:C,'Dispensed Ink Rates'!CS:CS),VLOOKUP(FK262,'Jan-2026 rates'!$E:$F,2,0)))</f>
        <v>0</v>
      </c>
      <c r="FV262" s="409"/>
      <c r="FW262" s="398">
        <f>IF(FV262=0,0,IF(LEN(FL262)=11,_xlfn.XLOOKUP(FL262,'Dispensed Ink Rates'!C:C,'Dispensed Ink Rates'!CS:CS),VLOOKUP(FL262,'Jan-2026 rates'!$E:$F,2,0)))</f>
        <v>0</v>
      </c>
      <c r="FX262" s="409"/>
      <c r="FY262" s="398">
        <f>IF(FX262=0,0,IF(LEN(FM262)=11,_xlfn.XLOOKUP(FM262,'Dispensed Ink Rates'!C:C,'Dispensed Ink Rates'!CS:CS),VLOOKUP(FM262,'Jan-2026 rates'!$E:$F,2,0)))</f>
        <v>0</v>
      </c>
      <c r="FZ262" s="409"/>
      <c r="GA262" s="398">
        <f>IF(FZ262=0,0,IF(LEN(FN262)=11,_xlfn.XLOOKUP(FN262,'Dispensed Ink Rates'!C:C,'Dispensed Ink Rates'!CS:CS),VLOOKUP(FN262,'Jan-2026 rates'!$E:$F,2,0)))</f>
        <v>0</v>
      </c>
      <c r="GB262" s="409"/>
      <c r="GC262" s="398">
        <f>IF(GB262=0,0,IF(LEN(FO262)=11,_xlfn.XLOOKUP(FO262,'Dispensed Ink Rates'!C:C,'Dispensed Ink Rates'!CS:CS),VLOOKUP(FO262,'Jan-2026 rates'!$E:$F,2,0)))</f>
        <v>0</v>
      </c>
      <c r="GD262" s="409"/>
      <c r="GE262" s="398">
        <f>IF(GD262=0,0,IF(LEN(FP262)=11,_xlfn.XLOOKUP(FP262,'Dispensed Ink Rates'!C:C,'Dispensed Ink Rates'!CS:CS),VLOOKUP(FP262,'Jan-2026 rates'!$E:$F,2,0)))</f>
        <v>0</v>
      </c>
      <c r="GF262" s="409"/>
      <c r="GG262" s="398">
        <f>IF(GF262=0,0,IF(LEN(FQ262)=11,_xlfn.XLOOKUP(FQ262,'Dispensed Ink Rates'!C:C,'Dispensed Ink Rates'!CS:CS),VLOOKUP(FQ262,'Jan-2026 rates'!$E:$F,2,0)))</f>
        <v>0</v>
      </c>
      <c r="GH262" s="409" t="s">
        <v>1443</v>
      </c>
      <c r="GI262" s="409">
        <v>24</v>
      </c>
      <c r="GJ262" s="411">
        <f t="shared" si="171"/>
        <v>0</v>
      </c>
      <c r="GK262" s="411">
        <f t="shared" si="172"/>
        <v>15.92307692307692</v>
      </c>
      <c r="GL262" s="410">
        <f t="shared" si="173"/>
        <v>0</v>
      </c>
      <c r="GM262" s="405" t="s">
        <v>545</v>
      </c>
      <c r="GN262" s="409" t="s">
        <v>4161</v>
      </c>
      <c r="GO262" s="420" t="str">
        <f t="shared" si="188"/>
        <v>FLINTSL - YELLOW</v>
      </c>
      <c r="GP262" s="409">
        <v>29</v>
      </c>
      <c r="GQ262" s="411">
        <f>IF(GP262=0,0,IF($LB262=70%,VLOOKUP($GO262,'Jan-2026 rates'!$L:$R,4,0),IF($LB262=65%,VLOOKUP($GO262,'Jan-2026 rates'!$L:$R,4,0),IF($LB262=40%,VLOOKUP($GO262,'Jan-2026 rates'!$L:$R,5,0),IF($LB262=30%,VLOOKUP($GO262,'Jan-2026 rates'!$L:$R,6,0),IF($LB262=100%,VLOOKUP($GO262,'Jan-2026 rates'!$L:$R,7,0),IF($LB262=60%,VLOOKUP($GO262,'Jan-2026 rates'!$L:$S,8,0),IF($LB262=80%,VLOOKUP($GO262,'Jan-2026 rates'!L:T,9,0),0))))))))</f>
        <v>0</v>
      </c>
      <c r="GR262" s="412"/>
      <c r="GS262" s="409"/>
      <c r="GT262" s="411">
        <f>IF(GS262=0,0,IF($LB262=70%,VLOOKUP($GO262,'Jan-2026 rates'!$L:$R,4,0),IF($LB262=65%,VLOOKUP($GO262,'Jan-2026 rates'!$L:$R,4,0),IF($LB262=40%,VLOOKUP($GO262,'Jan-2026 rates'!$L:$R,5,0),IF($LB262=30%,VLOOKUP($GO262,'Jan-2026 rates'!$L:$R,6,0),IF($LB262=100%,VLOOKUP($GO262,'Jan-2026 rates'!$L:$R,7,0),IF($LB262=60%,VLOOKUP($GO262,'Jan-2026 rates'!$L:$S,8,0),IF($LB262=80%,VLOOKUP($GO262,'Jan-2026 rates'!L:T,9,0),0))))))))</f>
        <v>0</v>
      </c>
      <c r="GU262" s="413">
        <v>26521000007</v>
      </c>
      <c r="GV262" s="413" t="s">
        <v>1266</v>
      </c>
      <c r="GW262" s="412"/>
      <c r="GX262" s="412"/>
      <c r="GY262" s="412"/>
      <c r="GZ262" s="412"/>
      <c r="HA262" s="412"/>
      <c r="HB262" s="412"/>
      <c r="HC262" s="409">
        <v>6</v>
      </c>
      <c r="HD262" s="398" t="e">
        <f>IF(HC262=0,0,IF(LEN(GU262)=11,_xlfn.XLOOKUP(GU262,'Dispensed Ink Rates'!C:C,'Dispensed Ink Rates'!CS:CS),VLOOKUP(GU262,'Jan-2026 rates'!$E:$F,2,0)))</f>
        <v>#N/A</v>
      </c>
      <c r="HE262" s="409">
        <v>6</v>
      </c>
      <c r="HF262" s="398">
        <f>IF(HE262=0,0,IF(LEN(GV262)=11,_xlfn.XLOOKUP(GV262,'Dispensed Ink Rates'!C:C,'Dispensed Ink Rates'!CS:CS),VLOOKUP(GV262,'Jan-2026 rates'!$E:$F,2,0)))</f>
        <v>0</v>
      </c>
      <c r="HG262" s="409"/>
      <c r="HH262" s="398">
        <f>IF(HG262=0,0,IF(LEN(GW262)=11,_xlfn.XLOOKUP(GW262,'Dispensed Ink Rates'!C:C,'Dispensed Ink Rates'!CS:CS),VLOOKUP(GW262,'Jan-2026 rates'!$E:$F,2,0)))</f>
        <v>0</v>
      </c>
      <c r="HI262" s="409"/>
      <c r="HJ262" s="398">
        <f>IF(HI262=0,0,IF(LEN(GX262)=11,_xlfn.XLOOKUP(GX262,'Dispensed Ink Rates'!C:C,'Dispensed Ink Rates'!CS:CS),VLOOKUP(GX262,'Jan-2026 rates'!$E:$F,2,0)))</f>
        <v>0</v>
      </c>
      <c r="HK262" s="409"/>
      <c r="HL262" s="398">
        <f>IF(HK262=0,0,IF(LEN(GY262)=11,_xlfn.XLOOKUP(GY262,'Dispensed Ink Rates'!C:C,'Dispensed Ink Rates'!CS:CS),VLOOKUP(GY262,'Jan-2026 rates'!$E:$F,2,0)))</f>
        <v>0</v>
      </c>
      <c r="HM262" s="409"/>
      <c r="HN262" s="398">
        <f>IF(HM262=0,0,IF(LEN(GZ262)=11,_xlfn.XLOOKUP(GZ262,'Dispensed Ink Rates'!C:C,'Dispensed Ink Rates'!CS:CS),VLOOKUP(GZ262,'Jan-2026 rates'!$E:$F,2,0)))</f>
        <v>0</v>
      </c>
      <c r="HO262" s="409"/>
      <c r="HP262" s="398">
        <f>IF(HO262=0,0,IF(LEN(HA262)=11,_xlfn.XLOOKUP(HA262,'Dispensed Ink Rates'!C:C,'Dispensed Ink Rates'!CS:CS),VLOOKUP(HA262,'Jan-2026 rates'!$E:$F,2,0)))</f>
        <v>0</v>
      </c>
      <c r="HQ262" s="409"/>
      <c r="HR262" s="398">
        <f>IF(HQ262=0,0,IF(LEN(HB262)=11,_xlfn.XLOOKUP(HB262,'Dispensed Ink Rates'!C:C,'Dispensed Ink Rates'!CS:CS),VLOOKUP(HB262,'Jan-2026 rates'!$E:$F,2,0)))</f>
        <v>0</v>
      </c>
      <c r="HS262" s="409" t="s">
        <v>1443</v>
      </c>
      <c r="HT262" s="409">
        <v>29</v>
      </c>
      <c r="HU262" s="411">
        <f t="shared" si="174"/>
        <v>0</v>
      </c>
      <c r="HV262" s="411">
        <f t="shared" si="175"/>
        <v>21.92307692307692</v>
      </c>
      <c r="HW262" s="414">
        <f t="shared" si="176"/>
        <v>0</v>
      </c>
      <c r="HX262" s="405" t="s">
        <v>547</v>
      </c>
      <c r="HY262" s="409" t="s">
        <v>4162</v>
      </c>
      <c r="HZ262" s="420" t="str">
        <f t="shared" si="189"/>
        <v>FLINTSL - GREEN</v>
      </c>
      <c r="IA262" s="409">
        <v>28</v>
      </c>
      <c r="IB262" s="411">
        <f>IF(IA262=0,0,IF($LB262=70%,VLOOKUP($HZ262,'Jan-2026 rates'!$L:$R,4,0),IF($LB262=65%,VLOOKUP($HZ262,'Jan-2026 rates'!$L:$R,4,0),IF($LB262=40%,VLOOKUP($HZ262,'Jan-2026 rates'!$L:$R,5,0),IF($LB262=30%,VLOOKUP($HZ262,'Jan-2026 rates'!$L:$R,6,0),IF($LB262=100%,VLOOKUP($HZ262,'Jan-2026 rates'!$L:$R,7,0),IF($LB262=60%,VLOOKUP($HZ262,'Jan-2026 rates'!$L:$S,8,0),IF($LB262=80%,VLOOKUP($HZ262,'Jan-2026 rates'!L:T,9,0),0))))))))</f>
        <v>0</v>
      </c>
      <c r="IC262" s="412"/>
      <c r="ID262" s="409"/>
      <c r="IE262" s="411">
        <f>IF(ID262=0,0,IF($LB262=70%,VLOOKUP($HZ262,'Jan-2026 rates'!$L:$R,4,0),IF($LB262=65%,VLOOKUP($HZ262,'Jan-2026 rates'!$L:$R,4,0),IF($LB262=40%,VLOOKUP($HZ262,'Jan-2026 rates'!$L:$R,5,0),IF($LB262=30%,VLOOKUP($HZ262,'Jan-2026 rates'!$L:$R,6,0),IF($LB262=100%,VLOOKUP($HZ262,'Jan-2026 rates'!$L:$R,7,0),IF($LB262=60%,VLOOKUP($HZ262,'Jan-2026 rates'!$L:$S,8,0),IF($LB262=80%,VLOOKUP($HZ262,'Jan-2026 rates'!L:T,9,0),0))))))))</f>
        <v>0</v>
      </c>
      <c r="IF262" s="412">
        <v>26519000025</v>
      </c>
      <c r="IG262" s="413" t="s">
        <v>1266</v>
      </c>
      <c r="IH262" s="412"/>
      <c r="II262" s="412"/>
      <c r="IJ262" s="412"/>
      <c r="IK262" s="412"/>
      <c r="IL262" s="412"/>
      <c r="IM262" s="412"/>
      <c r="IN262" s="409">
        <v>2</v>
      </c>
      <c r="IO262" s="398" t="e">
        <f>IF(IN262=0,0,IF(LEN(IF262)=11,_xlfn.XLOOKUP(IF262,'Dispensed Ink Rates'!C:C,'Dispensed Ink Rates'!CS:CS),VLOOKUP(IF262,'Jan-2026 rates'!$E:$F,2,0)))</f>
        <v>#N/A</v>
      </c>
      <c r="IP262" s="409">
        <v>2</v>
      </c>
      <c r="IQ262" s="398">
        <f>IF(IP262=0,0,IF(LEN(IG262)=11,_xlfn.XLOOKUP(IG262,'Dispensed Ink Rates'!C:C,'Dispensed Ink Rates'!CS:CS),VLOOKUP(IG262,'Jan-2026 rates'!$E:$F,2,0)))</f>
        <v>0</v>
      </c>
      <c r="IR262" s="409"/>
      <c r="IS262" s="398">
        <f>IF(IR262=0,0,IF(LEN(IH262)=11,_xlfn.XLOOKUP(IH262,'Dispensed Ink Rates'!C:C,'Dispensed Ink Rates'!CS:CS),VLOOKUP(IH262,'Jan-2026 rates'!$E:$F,2,0)))</f>
        <v>0</v>
      </c>
      <c r="IT262" s="409"/>
      <c r="IU262" s="398">
        <f>IF(IT262=0,0,IF(LEN(II262)=11,_xlfn.XLOOKUP(II262,'Dispensed Ink Rates'!C:C,'Dispensed Ink Rates'!CS:CS),VLOOKUP(II262,'Jan-2026 rates'!$E:$F,2,0)))</f>
        <v>0</v>
      </c>
      <c r="IV262" s="409"/>
      <c r="IW262" s="398">
        <f>IF(IV262=0,0,IF(LEN(IJ262)=11,_xlfn.XLOOKUP(IJ262,'Dispensed Ink Rates'!C:C,'Dispensed Ink Rates'!CS:CS),VLOOKUP(IJ262,'Jan-2026 rates'!$E:$F,2,0)))</f>
        <v>0</v>
      </c>
      <c r="IX262" s="409"/>
      <c r="IY262" s="398">
        <f>IF(IX262=0,0,IF(LEN(IK262)=11,_xlfn.XLOOKUP(IK262,'Dispensed Ink Rates'!C:C,'Dispensed Ink Rates'!CS:CS),VLOOKUP(IK262,'Jan-2026 rates'!$E:$F,2,0)))</f>
        <v>0</v>
      </c>
      <c r="IZ262" s="409"/>
      <c r="JA262" s="398">
        <f>IF(IZ262=0,0,IF(LEN(IL262)=11,_xlfn.XLOOKUP(IL262,'Dispensed Ink Rates'!C:C,'Dispensed Ink Rates'!CS:CS),VLOOKUP(IL262,'Jan-2026 rates'!$E:$F,2,0)))</f>
        <v>0</v>
      </c>
      <c r="JB262" s="409"/>
      <c r="JC262" s="398">
        <f>IF(JB262=0,0,IF(LEN(IM262)=11,_xlfn.XLOOKUP(IM262,'Dispensed Ink Rates'!C:C,'Dispensed Ink Rates'!CS:CS),VLOOKUP(IM262,'Jan-2026 rates'!$E:$F,2,0)))</f>
        <v>0</v>
      </c>
      <c r="JD262" s="409" t="s">
        <v>1443</v>
      </c>
      <c r="JE262" s="409">
        <v>26</v>
      </c>
      <c r="JF262" s="411">
        <f t="shared" si="177"/>
        <v>0</v>
      </c>
      <c r="JG262" s="411">
        <f t="shared" si="178"/>
        <v>15.92307692307692</v>
      </c>
      <c r="JH262" s="410">
        <f t="shared" si="179"/>
        <v>0</v>
      </c>
      <c r="JI262" s="405" t="s">
        <v>856</v>
      </c>
      <c r="JJ262" s="409" t="s">
        <v>4163</v>
      </c>
      <c r="JK262" s="420" t="str">
        <f t="shared" si="190"/>
        <v>FLINTSL - WHITE</v>
      </c>
      <c r="JL262" s="409">
        <v>24</v>
      </c>
      <c r="JM262" s="411">
        <f>IF(JL262=0,0,IF($LB262=70%,VLOOKUP($JK262,'Jan-2026 rates'!$L:$R,4,0),IF($LB262=65%,VLOOKUP($JK262,'Jan-2026 rates'!$L:$R,4,0),IF($LB262=40%,VLOOKUP($JK262,'Jan-2026 rates'!$L:$R,5,0),IF($LB262=30%,VLOOKUP($JK262,'Jan-2026 rates'!$L:$R,6,0),IF($LB262=100%,VLOOKUP($JK262,'Jan-2026 rates'!$L:$R,7,0),IF($LB262=60%,VLOOKUP($JK262,'Jan-2026 rates'!$L:$S,8,0),IF($LB262=80%,VLOOKUP($JK262,'Jan-2026 rates'!L:T,9,0),0))))))))</f>
        <v>0</v>
      </c>
      <c r="JN262" s="412"/>
      <c r="JO262" s="409"/>
      <c r="JP262" s="411">
        <f>IF(JO262=0,0,IF($LB262=70%,VLOOKUP($JK262,'Jan-2026 rates'!$L:$R,4,0),IF($LB262=65%,VLOOKUP($JK262,'Jan-2026 rates'!$L:$R,4,0),IF($LB262=40%,VLOOKUP($JK262,'Jan-2026 rates'!$L:$R,5,0),IF($LB262=30%,VLOOKUP($JK262,'Jan-2026 rates'!$L:$R,6,0),IF($LB262=100%,VLOOKUP($JK262,'Jan-2026 rates'!$L:$R,7,0),IF($LB262=60%,VLOOKUP($JK262,'Jan-2026 rates'!$L:$S,8,0),IF($LB262=80%,VLOOKUP($JK262,'Jan-2026 rates'!L:T,9,0),0))))))))</f>
        <v>0</v>
      </c>
      <c r="JQ262" s="413" t="s">
        <v>484</v>
      </c>
      <c r="JR262" s="412"/>
      <c r="JS262" s="413"/>
      <c r="JT262" s="413"/>
      <c r="JU262" s="412"/>
      <c r="JV262" s="412"/>
      <c r="JW262" s="412"/>
      <c r="JX262" s="412"/>
      <c r="JY262" s="409">
        <f>25+25</f>
        <v>50</v>
      </c>
      <c r="JZ262" s="398">
        <f>IF(JY262=0,0,IF(LEN(JQ262)=11,_xlfn.XLOOKUP(JQ262,'Dispensed Ink Rates'!C:C,'Dispensed Ink Rates'!CS:CS),VLOOKUP(JQ262,'Jan-2026 rates'!$E:$F,2,0)))</f>
        <v>0</v>
      </c>
      <c r="KA262" s="409"/>
      <c r="KB262" s="398">
        <f>IF(KA262=0,0,IF(LEN(JR262)=11,_xlfn.XLOOKUP(JR262,'Dispensed Ink Rates'!C:C,'Dispensed Ink Rates'!CS:CS),VLOOKUP(JR262,'Jan-2026 rates'!$E:$F,2,0)))</f>
        <v>0</v>
      </c>
      <c r="KC262" s="409"/>
      <c r="KD262" s="398">
        <f>IF(KC262=0,0,IF(LEN(JS262)=11,_xlfn.XLOOKUP(JS262,'Dispensed Ink Rates'!C:C,'Dispensed Ink Rates'!CS:CS),VLOOKUP(JS262,'Jan-2026 rates'!$E:$F,2,0)))</f>
        <v>0</v>
      </c>
      <c r="KE262" s="409"/>
      <c r="KF262" s="398">
        <f>IF(KE262=0,0,IF(LEN(JT262)=11,_xlfn.XLOOKUP(JT262,'Dispensed Ink Rates'!C:C,'Dispensed Ink Rates'!CS:CS),VLOOKUP(JT262,'Jan-2026 rates'!$E:$F,2,0)))</f>
        <v>0</v>
      </c>
      <c r="KG262" s="409"/>
      <c r="KH262" s="398">
        <f>IF(KG262=0,0,IF(LEN(JU262)=11,_xlfn.XLOOKUP(JU262,'Dispensed Ink Rates'!C:C,'Dispensed Ink Rates'!CS:CS),VLOOKUP(JU262,'Jan-2026 rates'!$E:$F,2,0)))</f>
        <v>0</v>
      </c>
      <c r="KI262" s="409"/>
      <c r="KJ262" s="398">
        <f>IF(KI262=0,0,IF(LEN(JV262)=11,_xlfn.XLOOKUP(JV262,'Dispensed Ink Rates'!C:C,'Dispensed Ink Rates'!CS:CS),VLOOKUP(JV262,'Jan-2026 rates'!$E:$F,2,0)))</f>
        <v>0</v>
      </c>
      <c r="KK262" s="409"/>
      <c r="KL262" s="398">
        <f>IF(KK262=0,0,IF(LEN(JW262)=11,_xlfn.XLOOKUP(JW262,'Dispensed Ink Rates'!C:C,'Dispensed Ink Rates'!CS:CS),VLOOKUP(JW262,'Jan-2026 rates'!$E:$F,2,0)))</f>
        <v>0</v>
      </c>
      <c r="KM262" s="428"/>
      <c r="KN262" s="398">
        <f>IF(KM262=0,0,IF(LEN(JX262)=11,_xlfn.XLOOKUP(JX262,'Dispensed Ink Rates'!C:C,'Dispensed Ink Rates'!CS:CS),VLOOKUP(JX262,'Jan-2026 rates'!$E:$F,2,0)))</f>
        <v>0</v>
      </c>
      <c r="KO262" s="409" t="s">
        <v>1443</v>
      </c>
      <c r="KP262" s="409">
        <v>24</v>
      </c>
      <c r="KQ262" s="411">
        <f t="shared" si="180"/>
        <v>0</v>
      </c>
      <c r="KR262" s="411">
        <f t="shared" si="181"/>
        <v>109.53846153846155</v>
      </c>
      <c r="KS262" s="410">
        <f t="shared" si="182"/>
        <v>0</v>
      </c>
      <c r="KT262" s="409">
        <v>5</v>
      </c>
      <c r="KU262" s="409">
        <v>5</v>
      </c>
      <c r="KV262" s="409">
        <v>5</v>
      </c>
      <c r="KW262" s="409">
        <v>5</v>
      </c>
      <c r="KX262" s="409">
        <v>5</v>
      </c>
      <c r="KY262" s="409">
        <v>5</v>
      </c>
      <c r="KZ262" s="409">
        <v>5</v>
      </c>
      <c r="LA262" s="409">
        <f>15+15</f>
        <v>30</v>
      </c>
      <c r="LB262" s="415">
        <v>0.8</v>
      </c>
      <c r="LC262" s="415">
        <v>0.2</v>
      </c>
      <c r="LD262" s="415"/>
      <c r="LE262" s="415"/>
      <c r="LF262" s="415"/>
      <c r="LG262" s="409">
        <v>0</v>
      </c>
      <c r="LH262" s="409">
        <f>30+29+56+14</f>
        <v>129</v>
      </c>
      <c r="LI262" s="409">
        <v>0</v>
      </c>
      <c r="LJ262" s="409">
        <v>0</v>
      </c>
      <c r="LK262" s="416">
        <f t="shared" si="191"/>
        <v>129</v>
      </c>
      <c r="LL262" s="416">
        <f t="shared" si="192"/>
        <v>129</v>
      </c>
      <c r="LM262" s="417">
        <f t="shared" si="193"/>
        <v>103.2</v>
      </c>
      <c r="LN262" s="417">
        <f>VLOOKUP($LM$8,'Jan-2026 rates'!$H:$I,2,0)</f>
        <v>0</v>
      </c>
      <c r="LO262" s="417">
        <f t="shared" si="194"/>
        <v>25.8</v>
      </c>
      <c r="LP262" s="417">
        <f>VLOOKUP($LO$8,'Jan-2026 rates'!$H:$I,2,0)</f>
        <v>0</v>
      </c>
      <c r="LQ262" s="417">
        <f t="shared" si="195"/>
        <v>0</v>
      </c>
      <c r="LR262" s="417">
        <f>VLOOKUP($LQ$8,'Jan-2026 rates'!$H:$I,2,0)</f>
        <v>0</v>
      </c>
      <c r="LS262" s="417">
        <f t="shared" si="196"/>
        <v>0</v>
      </c>
      <c r="LT262" s="417">
        <f>VLOOKUP($LS$8,'Jan-2026 rates'!$H:$I,2,0)</f>
        <v>0</v>
      </c>
      <c r="LU262" s="417">
        <f t="shared" si="197"/>
        <v>0</v>
      </c>
      <c r="LV262" s="417">
        <f>VLOOKUP($LU$8,'Jan-2026 rates'!$H:$I,2,0)</f>
        <v>0</v>
      </c>
      <c r="LW262" s="417">
        <f t="shared" si="198"/>
        <v>0</v>
      </c>
      <c r="LX262" s="417">
        <f t="shared" si="199"/>
        <v>0</v>
      </c>
      <c r="LY262" s="418">
        <f t="shared" si="200"/>
        <v>0</v>
      </c>
      <c r="LZ262" s="417"/>
      <c r="MA262" s="435">
        <f t="shared" si="201"/>
        <v>165</v>
      </c>
      <c r="MB262" s="282">
        <f t="shared" si="202"/>
        <v>268</v>
      </c>
      <c r="MC262" s="283">
        <v>155</v>
      </c>
      <c r="MD262" s="284" t="str">
        <f t="shared" si="203"/>
        <v>FLINTSLFLINTSLFLINTSLFLINTSLFLINTSLFLINTSLFLINTSLFLINTSL</v>
      </c>
      <c r="ME262" s="293" t="str">
        <f t="shared" si="204"/>
        <v>+</v>
      </c>
      <c r="MF262" s="293" t="str">
        <f t="shared" si="205"/>
        <v>+</v>
      </c>
      <c r="MG262" s="293" t="str">
        <f t="shared" si="206"/>
        <v>+</v>
      </c>
      <c r="MH262" s="293" t="str">
        <f t="shared" si="207"/>
        <v>+</v>
      </c>
      <c r="MI262" s="293" t="str">
        <f t="shared" si="208"/>
        <v>+</v>
      </c>
      <c r="MJ262" s="293" t="str">
        <f t="shared" si="209"/>
        <v>+</v>
      </c>
      <c r="MK262" s="293" t="str">
        <f t="shared" si="210"/>
        <v>+</v>
      </c>
      <c r="ML262" s="293" t="str">
        <f t="shared" si="211"/>
        <v>+</v>
      </c>
      <c r="MM262" s="3" t="b">
        <f t="array" ref="MM262">OR(ME262:ML262="-")</f>
        <v>0</v>
      </c>
      <c r="MN262" s="285"/>
      <c r="MO262" s="401"/>
      <c r="MP262" s="286"/>
      <c r="MQ262" s="286"/>
      <c r="MR262" s="402"/>
      <c r="MS262" s="400"/>
      <c r="NH262" s="422"/>
      <c r="NJ262" s="421"/>
    </row>
    <row r="263" spans="1:374" s="1" customFormat="1" ht="16.5">
      <c r="A263" s="403">
        <v>46042</v>
      </c>
      <c r="B263" s="404" t="s">
        <v>1015</v>
      </c>
      <c r="C263" s="405" t="s">
        <v>4164</v>
      </c>
      <c r="D263" s="406">
        <v>156</v>
      </c>
      <c r="E263" s="404">
        <v>854</v>
      </c>
      <c r="F263" s="407">
        <v>22700</v>
      </c>
      <c r="G263" s="407" t="s">
        <v>1019</v>
      </c>
      <c r="H263" s="408" t="s">
        <v>1017</v>
      </c>
      <c r="I263" s="409">
        <v>1.54</v>
      </c>
      <c r="J263" s="405" t="s">
        <v>543</v>
      </c>
      <c r="K263" s="404" t="s">
        <v>4165</v>
      </c>
      <c r="L263" s="419" t="str">
        <f t="shared" si="184"/>
        <v>FLINTSL - BLACK</v>
      </c>
      <c r="M263" s="404">
        <v>25</v>
      </c>
      <c r="N263" s="410">
        <f>IF(M263=0,0,IF($LB263=70%,VLOOKUP($L263,'Jan-2026 rates'!$L:$R,4,0),IF($LB263=65%,VLOOKUP($L263,'Jan-2026 rates'!$L:$R,4,0),IF($LB263=40%,VLOOKUP($L263,'Jan-2026 rates'!$L:$R,5,0),IF($LB263=30%,VLOOKUP($L263,'Jan-2026 rates'!$L:$R,6,0),IF($LB263=100%,VLOOKUP($L263,'Jan-2026 rates'!$L:$R,7,0),IF($LB263=60%,VLOOKUP($L263,'Jan-2026 rates'!$L:$S,8,0),IF($LB263=80%,VLOOKUP($L263,'Jan-2026 rates'!L:T,9,0),0))))))))</f>
        <v>0</v>
      </c>
      <c r="O263" s="406"/>
      <c r="P263" s="404"/>
      <c r="Q263" s="410">
        <f>IF(P263=0,0,IF($LB263=70%,VLOOKUP($L263,'Jan-2026 rates'!$L:$R,4,0),IF($LB263=65%,VLOOKUP($L263,'Jan-2026 rates'!$L:$R,4,0),IF($LB263=40%,VLOOKUP($L263,'Jan-2026 rates'!$L:$R,5,0),IF($LB263=30%,VLOOKUP($L263,'Jan-2026 rates'!$L:$R,6,0),IF($LB263=100%,VLOOKUP($L263,'Jan-2026 rates'!$L:$R,7,0),IF($LB263=60%,VLOOKUP($L263,'Jan-2026 rates'!$L:$S,8,0),IF($LB263=80%,VLOOKUP($L263,'Jan-2026 rates'!L:T,9,0),0))))))))</f>
        <v>0</v>
      </c>
      <c r="R263" s="406" t="s">
        <v>1266</v>
      </c>
      <c r="S263" s="406"/>
      <c r="T263" s="406"/>
      <c r="U263" s="406"/>
      <c r="V263" s="406"/>
      <c r="W263" s="406"/>
      <c r="X263" s="406"/>
      <c r="Y263" s="406"/>
      <c r="Z263" s="404">
        <v>6</v>
      </c>
      <c r="AA263" s="398">
        <f>IF(Z263=0,0,IF(LEN(R263)=11,_xlfn.XLOOKUP(R263,'Dispensed Ink Rates'!C:C,'Dispensed Ink Rates'!CS:CS),VLOOKUP(R263,'Jan-2026 rates'!$E:$F,2,0)))</f>
        <v>0</v>
      </c>
      <c r="AB263" s="404"/>
      <c r="AC263" s="398">
        <f>IF(AB263=0,0,IF(LEN(S263)=11,_xlfn.XLOOKUP(S263,'Dispensed Ink Rates'!C:C,'Dispensed Ink Rates'!CS:CS),VLOOKUP(S263,'Jan-2026 rates'!$E:$F,2,0)))</f>
        <v>0</v>
      </c>
      <c r="AD263" s="404"/>
      <c r="AE263" s="398">
        <f>IF(AD263=0,0,IF(LEN(T263)=11,_xlfn.XLOOKUP(T263,'Dispensed Ink Rates'!C:C,'Dispensed Ink Rates'!CS:CS),VLOOKUP(T263,'Jan-2026 rates'!$E:$F,2,0)))</f>
        <v>0</v>
      </c>
      <c r="AF263" s="404"/>
      <c r="AG263" s="398">
        <f>IF(AF263=0,0,IF(LEN(U263)=11,_xlfn.XLOOKUP(U263,'Dispensed Ink Rates'!C:C,'Dispensed Ink Rates'!CS:CS),VLOOKUP(U263,'Jan-2026 rates'!$E:$F,2,0)))</f>
        <v>0</v>
      </c>
      <c r="AH263" s="404"/>
      <c r="AI263" s="398">
        <f>IF(AH263=0,0,IF(LEN(V263)=11,_xlfn.XLOOKUP(V263,'Dispensed Ink Rates'!C:C,'Dispensed Ink Rates'!CS:CS),VLOOKUP(V263,'Jan-2026 rates'!$E:$F,2,0)))</f>
        <v>0</v>
      </c>
      <c r="AJ263" s="404"/>
      <c r="AK263" s="398">
        <f>IF(AJ263=0,0,IF(LEN(W263)=11,_xlfn.XLOOKUP(W263,'Dispensed Ink Rates'!C:C,'Dispensed Ink Rates'!CS:CS),VLOOKUP(W263,'Jan-2026 rates'!$E:$F,2,0)))</f>
        <v>0</v>
      </c>
      <c r="AL263" s="404"/>
      <c r="AM263" s="398">
        <f>IF(AL263=0,0,IF(LEN(X263)=11,_xlfn.XLOOKUP(X263,'Dispensed Ink Rates'!C:C,'Dispensed Ink Rates'!CS:CS),VLOOKUP(X263,'Jan-2026 rates'!$E:$F,2,0)))</f>
        <v>0</v>
      </c>
      <c r="AN263" s="404"/>
      <c r="AO263" s="398">
        <f>IF(AN263=0,0,IF(LEN(Y263)=11,_xlfn.XLOOKUP(Y263,'Dispensed Ink Rates'!C:C,'Dispensed Ink Rates'!CS:CS),VLOOKUP(Y263,'Jan-2026 rates'!$E:$F,2,0)))</f>
        <v>0</v>
      </c>
      <c r="AP263" s="409" t="s">
        <v>1443</v>
      </c>
      <c r="AQ263" s="409">
        <v>30</v>
      </c>
      <c r="AR263" s="410">
        <f t="shared" si="159"/>
        <v>0</v>
      </c>
      <c r="AS263" s="411">
        <f t="shared" si="160"/>
        <v>10.142857142857139</v>
      </c>
      <c r="AT263" s="410">
        <f t="shared" si="161"/>
        <v>0</v>
      </c>
      <c r="AU263" s="405" t="s">
        <v>546</v>
      </c>
      <c r="AV263" s="409" t="s">
        <v>4166</v>
      </c>
      <c r="AW263" s="420" t="str">
        <f t="shared" si="183"/>
        <v>FLINTSL - REFLEX BLUE</v>
      </c>
      <c r="AX263" s="409">
        <v>26</v>
      </c>
      <c r="AY263" s="411">
        <f>IF(AX263=0,0,IF($LB263=70%,VLOOKUP($AW263,'Jan-2026 rates'!$L:$R,4,0),IF($LB263=65%,VLOOKUP($AW263,'Jan-2026 rates'!$L:$R,4,0),IF($LB263=40%,VLOOKUP($AW263,'Jan-2026 rates'!$L:$R,5,0),IF($LB263=30%,VLOOKUP($AW263,'Jan-2026 rates'!$L:$R,6,0),IF($LB263=100%,VLOOKUP($AW263,'Jan-2026 rates'!$L:$R,7,0),IF($LB263=60%,VLOOKUP($AW263,'Jan-2026 rates'!$L:$S,8,0),IF($LB263=80%,VLOOKUP($AW263,'Jan-2026 rates'!L:T,9,0),0))))))))</f>
        <v>0</v>
      </c>
      <c r="AZ263" s="412"/>
      <c r="BA263" s="409"/>
      <c r="BB263" s="411">
        <f>IF(BA263=0,0,IF($LB263=70%,VLOOKUP($AW263,'Jan-2026 rates'!$L:$R,4,0),IF($LB263=65%,VLOOKUP($AW263,'Jan-2026 rates'!$L:$R,4,0),IF($LB263=40%,VLOOKUP($AW263,'Jan-2026 rates'!$L:$R,5,0),IF($LB263=30%,VLOOKUP($AW263,'Jan-2026 rates'!$L:$R,6,0),IF($LB263=100%,VLOOKUP($AW263,'Jan-2026 rates'!$L:$R,7,0),IF($LB263=60%,VLOOKUP($AW263,'Jan-2026 rates'!$L:$S,8,0),IF($LB263=80%,VLOOKUP($AW263,'Jan-2026 rates'!L:T,9,0),0))))))))</f>
        <v>0</v>
      </c>
      <c r="BC263" s="413">
        <v>26519000014</v>
      </c>
      <c r="BD263" s="412"/>
      <c r="BE263" s="412"/>
      <c r="BF263" s="413"/>
      <c r="BG263" s="412"/>
      <c r="BH263" s="412"/>
      <c r="BI263" s="412"/>
      <c r="BJ263" s="412"/>
      <c r="BK263" s="409">
        <v>6</v>
      </c>
      <c r="BL263" s="398" t="e">
        <f>IF(BK263=0,0,IF(LEN(BC263)=11,_xlfn.XLOOKUP(BC263,'Dispensed Ink Rates'!C:C,'Dispensed Ink Rates'!CS:CS),VLOOKUP(BC263,'Jan-2026 rates'!$E:$F,2,0)))</f>
        <v>#N/A</v>
      </c>
      <c r="BM263" s="409"/>
      <c r="BN263" s="398">
        <f>IF(BM263=0,0,IF(LEN(BD263)=11,_xlfn.XLOOKUP(BD263,'Dispensed Ink Rates'!C:C,'Dispensed Ink Rates'!CS:CS),VLOOKUP(BD263,'Jan-2026 rates'!$E:$F,2,0)))</f>
        <v>0</v>
      </c>
      <c r="BO263" s="409"/>
      <c r="BP263" s="398">
        <f>IF(BO263=0,0,IF(LEN(BE263)=11,_xlfn.XLOOKUP(BE263,'Dispensed Ink Rates'!C:C,'Dispensed Ink Rates'!CS:CS),VLOOKUP(BE263,'Jan-2026 rates'!$E:$F,2,0)))</f>
        <v>0</v>
      </c>
      <c r="BQ263" s="409"/>
      <c r="BR263" s="398">
        <f>IF(BQ263=0,0,IF(LEN(BF263)=11,_xlfn.XLOOKUP(BF263,'Dispensed Ink Rates'!C:C,'Dispensed Ink Rates'!CS:CS),VLOOKUP(BF263,'Jan-2026 rates'!$E:$F,2,0)))</f>
        <v>0</v>
      </c>
      <c r="BS263" s="409"/>
      <c r="BT263" s="398">
        <f>IF(BS263=0,0,IF(LEN(BG263)=11,_xlfn.XLOOKUP(BG263,'Dispensed Ink Rates'!C:C,'Dispensed Ink Rates'!CS:CS),VLOOKUP(BG263,'Jan-2026 rates'!$E:$F,2,0)))</f>
        <v>0</v>
      </c>
      <c r="BU263" s="409"/>
      <c r="BV263" s="398">
        <f>IF(BU263=0,0,IF(LEN(BH263)=11,_xlfn.XLOOKUP(BH263,'Dispensed Ink Rates'!C:C,'Dispensed Ink Rates'!CS:CS),VLOOKUP(BH263,'Jan-2026 rates'!$E:$F,2,0)))</f>
        <v>0</v>
      </c>
      <c r="BW263" s="409"/>
      <c r="BX263" s="398">
        <f>IF(BW263=0,0,IF(LEN(BI263)=11,_xlfn.XLOOKUP(BI263,'Dispensed Ink Rates'!C:C,'Dispensed Ink Rates'!CS:CS),VLOOKUP(BI263,'Jan-2026 rates'!$E:$F,2,0)))</f>
        <v>0</v>
      </c>
      <c r="BY263" s="409"/>
      <c r="BZ263" s="398">
        <f>IF(BY263=0,0,IF(LEN(BJ263)=11,_xlfn.XLOOKUP(BJ263,'Dispensed Ink Rates'!C:C,'Dispensed Ink Rates'!CS:CS),VLOOKUP(BJ263,'Jan-2026 rates'!$E:$F,2,0)))</f>
        <v>0</v>
      </c>
      <c r="CA263" s="409" t="s">
        <v>1443</v>
      </c>
      <c r="CB263" s="409">
        <v>28</v>
      </c>
      <c r="CC263" s="411">
        <f t="shared" si="162"/>
        <v>0</v>
      </c>
      <c r="CD263" s="411">
        <f t="shared" si="163"/>
        <v>13.142857142857139</v>
      </c>
      <c r="CE263" s="410">
        <f t="shared" si="164"/>
        <v>0</v>
      </c>
      <c r="CF263" s="404" t="s">
        <v>546</v>
      </c>
      <c r="CG263" s="409" t="s">
        <v>4167</v>
      </c>
      <c r="CH263" s="420" t="str">
        <f t="shared" si="185"/>
        <v>FLINTSL - REFLEX BLUE</v>
      </c>
      <c r="CI263" s="409">
        <v>18</v>
      </c>
      <c r="CJ263" s="411">
        <f>IF(CI263=0,0,IF($LB263=70%,VLOOKUP($CH263,'Jan-2026 rates'!$L:$R,4,0),IF($LB263=65%,VLOOKUP($CH263,'Jan-2026 rates'!$L:$R,4,0),IF($LB263=40%,VLOOKUP($CH263,'Jan-2026 rates'!$L:$R,5,0),IF($LB263=30%,VLOOKUP($CH263,'Jan-2026 rates'!$L:$R,6,0),IF($LB263=100%,VLOOKUP($CH263,'Jan-2026 rates'!$L:$R,7,0),IF($LB263=60%,VLOOKUP($CH263,'Jan-2026 rates'!$L:$S,8,0),IF($LB263=80%,VLOOKUP($CH263,'Jan-2026 rates'!L:T,9,0),0))))))))</f>
        <v>0</v>
      </c>
      <c r="CK263" s="412" t="s">
        <v>4168</v>
      </c>
      <c r="CL263" s="409">
        <v>25</v>
      </c>
      <c r="CM263" s="411">
        <f>IF(CL263=0,0,IF($LB263=70%,VLOOKUP($CH263,'Jan-2026 rates'!$L:$R,4,0),IF($LB263=65%,VLOOKUP($CH263,'Jan-2026 rates'!$L:$R,4,0),IF($LB263=40%,VLOOKUP($CH263,'Jan-2026 rates'!$L:$R,5,0),IF($LB263=30%,VLOOKUP($CH263,'Jan-2026 rates'!$L:$R,6,0),IF($LB263=100%,VLOOKUP($CH263,'Jan-2026 rates'!$L:$R,7,0),IF($LB263=60%,VLOOKUP($CH263,'Jan-2026 rates'!$L:$S,8,0),IF($LB263=80%,VLOOKUP($CH263,'Jan-2026 rates'!L:T,9,0),0))))))))</f>
        <v>0</v>
      </c>
      <c r="CN263" s="426">
        <v>26519000015</v>
      </c>
      <c r="CO263" s="427">
        <v>26519000014</v>
      </c>
      <c r="CP263" s="426"/>
      <c r="CQ263" s="426"/>
      <c r="CR263" s="428"/>
      <c r="CS263" s="428"/>
      <c r="CT263" s="428"/>
      <c r="CU263" s="428"/>
      <c r="CV263" s="409">
        <v>10</v>
      </c>
      <c r="CW263" s="398" t="e">
        <f>IF(CV263=0,0,IF(LEN(CN263)=11,_xlfn.XLOOKUP(CN263,'Dispensed Ink Rates'!C:C,'Dispensed Ink Rates'!CS:CS),VLOOKUP(CN263,'Jan-2026 rates'!$E:$F,2,0)))</f>
        <v>#N/A</v>
      </c>
      <c r="CX263" s="409">
        <v>10</v>
      </c>
      <c r="CY263" s="398" t="e">
        <f>IF(CX263=0,0,IF(LEN(CO263)=11,_xlfn.XLOOKUP(CO263,'Dispensed Ink Rates'!C:C,'Dispensed Ink Rates'!CS:CS),VLOOKUP(CO263,'Jan-2026 rates'!$E:$F,2,0)))</f>
        <v>#N/A</v>
      </c>
      <c r="CZ263" s="409"/>
      <c r="DA263" s="398">
        <f>IF(CZ263=0,0,IF(LEN(CP263)=11,_xlfn.XLOOKUP(CP263,'Dispensed Ink Rates'!C:C,'Dispensed Ink Rates'!CS:CS),VLOOKUP(CP263,'Jan-2026 rates'!$E:$F,2,0)))</f>
        <v>0</v>
      </c>
      <c r="DB263" s="409"/>
      <c r="DC263" s="398">
        <f>IF(DB263=0,0,IF(LEN(CQ263)=11,_xlfn.XLOOKUP(CQ263,'Dispensed Ink Rates'!C:C,'Dispensed Ink Rates'!CS:CS),VLOOKUP(CQ263,'Jan-2026 rates'!$E:$F,2,0)))</f>
        <v>0</v>
      </c>
      <c r="DD263" s="409"/>
      <c r="DE263" s="398">
        <f>IF(DD263=0,0,IF(LEN(CR263)=11,_xlfn.XLOOKUP(CR263,'Dispensed Ink Rates'!C:C,'Dispensed Ink Rates'!CS:CS),VLOOKUP(CR263,'Jan-2026 rates'!$E:$F,2,0)))</f>
        <v>0</v>
      </c>
      <c r="DF263" s="409"/>
      <c r="DG263" s="398">
        <f>IF(DF263=0,0,IF(LEN(CS263)=11,_xlfn.XLOOKUP(CS263,'Dispensed Ink Rates'!C:C,'Dispensed Ink Rates'!CS:CS),VLOOKUP(CS263,'Jan-2026 rates'!$E:$F,2,0)))</f>
        <v>0</v>
      </c>
      <c r="DH263" s="409"/>
      <c r="DI263" s="398">
        <f>IF(DH263=0,0,IF(LEN(CT263)=11,_xlfn.XLOOKUP(CT263,'Dispensed Ink Rates'!C:C,'Dispensed Ink Rates'!CS:CS),VLOOKUP(CT263,'Jan-2026 rates'!$E:$F,2,0)))</f>
        <v>0</v>
      </c>
      <c r="DJ263" s="409"/>
      <c r="DK263" s="398">
        <f>IF(DJ263=0,0,IF(LEN(CU263)=11,_xlfn.XLOOKUP(CU263,'Dispensed Ink Rates'!C:C,'Dispensed Ink Rates'!CS:CS),VLOOKUP(CU263,'Jan-2026 rates'!$E:$F,2,0)))</f>
        <v>0</v>
      </c>
      <c r="DL263" s="409" t="s">
        <v>1443</v>
      </c>
      <c r="DM263" s="409">
        <v>20</v>
      </c>
      <c r="DN263" s="411">
        <f t="shared" si="165"/>
        <v>0</v>
      </c>
      <c r="DO263" s="411">
        <f t="shared" si="166"/>
        <v>61.285714285714278</v>
      </c>
      <c r="DP263" s="410">
        <f t="shared" si="167"/>
        <v>0</v>
      </c>
      <c r="DQ263" s="405" t="s">
        <v>855</v>
      </c>
      <c r="DR263" s="409" t="s">
        <v>4169</v>
      </c>
      <c r="DS263" s="420" t="str">
        <f t="shared" si="186"/>
        <v>FLINTSL - CYAN</v>
      </c>
      <c r="DT263" s="409">
        <v>27</v>
      </c>
      <c r="DU263" s="411">
        <f>IF(DT263=0,0,IF($LB263=70%,VLOOKUP($DS263,'Jan-2026 rates'!$L:$R,4,0),IF($LB263=65%,VLOOKUP($DS263,'Jan-2026 rates'!$L:$R,4,0),IF($LB263=40%,VLOOKUP($DS263,'Jan-2026 rates'!$L:$R,5,0),IF($LB263=30%,VLOOKUP($DS263,'Jan-2026 rates'!$L:$R,6,0),IF($LB263=100%,VLOOKUP($DS263,'Jan-2026 rates'!$L:$R,7,0),IF($LB263=60%,VLOOKUP($DS263,'Jan-2026 rates'!$L:$S,8,0),IF($LB263=80%,VLOOKUP($DS263,'Jan-2026 rates'!L:T,9,0),0))))))))</f>
        <v>0</v>
      </c>
      <c r="DV263" s="412"/>
      <c r="DW263" s="409"/>
      <c r="DX263" s="411">
        <f>IF(DW263=0,0,IF($LB263=70%,VLOOKUP($DS263,'Jan-2026 rates'!$L:$R,4,0),IF($LB263=65%,VLOOKUP($DS263,'Jan-2026 rates'!$L:$R,4,0),IF($LB263=40%,VLOOKUP($DS263,'Jan-2026 rates'!$L:$R,5,0),IF($LB263=30%,VLOOKUP($DS263,'Jan-2026 rates'!$L:$R,6,0),IF($LB263=100%,VLOOKUP($DS263,'Jan-2026 rates'!$L:$R,7,0),IF($LB263=60%,VLOOKUP($DS263,'Jan-2026 rates'!$L:$S,8,0),IF($LB263=80%,VLOOKUP($DS263,'Jan-2026 rates'!L:T,9,0),0))))))))</f>
        <v>0</v>
      </c>
      <c r="DY263" s="413">
        <v>26519000015</v>
      </c>
      <c r="DZ263" s="413"/>
      <c r="EA263" s="412"/>
      <c r="EB263" s="412"/>
      <c r="EC263" s="412"/>
      <c r="ED263" s="412"/>
      <c r="EE263" s="412"/>
      <c r="EF263" s="412"/>
      <c r="EG263" s="409">
        <v>4</v>
      </c>
      <c r="EH263" s="398" t="e">
        <f>IF(EG263=0,0,IF(LEN(DY263)=11,_xlfn.XLOOKUP(DY263,'Dispensed Ink Rates'!C:C,'Dispensed Ink Rates'!CS:CS),VLOOKUP(DY263,'Jan-2026 rates'!$E:$F,2,0)))</f>
        <v>#N/A</v>
      </c>
      <c r="EI263" s="409"/>
      <c r="EJ263" s="398">
        <f>IF(EI263=0,0,IF(LEN(DZ263)=11,_xlfn.XLOOKUP(DZ263,'Dispensed Ink Rates'!C:C,'Dispensed Ink Rates'!CS:CS),VLOOKUP(DZ263,'Jan-2026 rates'!$E:$F,2,0)))</f>
        <v>0</v>
      </c>
      <c r="EK263" s="409"/>
      <c r="EL263" s="398">
        <f>IF(EK263=0,0,IF(LEN(EA263)=11,_xlfn.XLOOKUP(EA263,'Dispensed Ink Rates'!C:C,'Dispensed Ink Rates'!CS:CS),VLOOKUP(EA263,'Jan-2026 rates'!$E:$F,2,0)))</f>
        <v>0</v>
      </c>
      <c r="EM263" s="409"/>
      <c r="EN263" s="398">
        <f>IF(EM263=0,0,IF(LEN(EB263)=11,_xlfn.XLOOKUP(EB263,'Dispensed Ink Rates'!C:C,'Dispensed Ink Rates'!CS:CS),VLOOKUP(EB263,'Jan-2026 rates'!$E:$F,2,0)))</f>
        <v>0</v>
      </c>
      <c r="EO263" s="409"/>
      <c r="EP263" s="398">
        <f>IF(EO263=0,0,IF(LEN(EC263)=11,_xlfn.XLOOKUP(EC263,'Dispensed Ink Rates'!C:C,'Dispensed Ink Rates'!CS:CS),VLOOKUP(EC263,'Jan-2026 rates'!$E:$F,2,0)))</f>
        <v>0</v>
      </c>
      <c r="EQ263" s="409"/>
      <c r="ER263" s="398">
        <f>IF(EQ263=0,0,IF(LEN(ED263)=11,_xlfn.XLOOKUP(ED263,'Dispensed Ink Rates'!C:C,'Dispensed Ink Rates'!CS:CS),VLOOKUP(ED263,'Jan-2026 rates'!$E:$F,2,0)))</f>
        <v>0</v>
      </c>
      <c r="ES263" s="409"/>
      <c r="ET263" s="398">
        <f>IF(ES263=0,0,IF(LEN(EE263)=11,_xlfn.XLOOKUP(EE263,'Dispensed Ink Rates'!C:C,'Dispensed Ink Rates'!CS:CS),VLOOKUP(EE263,'Jan-2026 rates'!$E:$F,2,0)))</f>
        <v>0</v>
      </c>
      <c r="EU263" s="409"/>
      <c r="EV263" s="398">
        <f>IF(EU263=0,0,IF(LEN(EF263)=11,_xlfn.XLOOKUP(EF263,'Dispensed Ink Rates'!C:C,'Dispensed Ink Rates'!CS:CS),VLOOKUP(EF263,'Jan-2026 rates'!$E:$F,2,0)))</f>
        <v>0</v>
      </c>
      <c r="EW263" s="409" t="s">
        <v>1443</v>
      </c>
      <c r="EX263" s="409">
        <v>30</v>
      </c>
      <c r="EY263" s="411">
        <f t="shared" si="168"/>
        <v>0</v>
      </c>
      <c r="EZ263" s="411">
        <f t="shared" si="169"/>
        <v>10.142857142857139</v>
      </c>
      <c r="FA263" s="410">
        <f t="shared" si="170"/>
        <v>0</v>
      </c>
      <c r="FB263" s="405" t="s">
        <v>544</v>
      </c>
      <c r="FC263" s="409" t="s">
        <v>4170</v>
      </c>
      <c r="FD263" s="420" t="str">
        <f t="shared" si="187"/>
        <v>FLINTSL - MAGENTA</v>
      </c>
      <c r="FE263" s="409">
        <v>24</v>
      </c>
      <c r="FF263" s="411">
        <f>IF(FE263=0,0,IF($LB263=70%,VLOOKUP($FD263,'Jan-2026 rates'!$L:$R,4,0),IF($LB263=65%,VLOOKUP($FD263,'Jan-2026 rates'!$L:$R,4,0),IF($LB263=40%,VLOOKUP($FD263,'Jan-2026 rates'!$L:$R,5,0),IF($LB263=30%,VLOOKUP($FD263,'Jan-2026 rates'!$L:$R,6,0),IF($LB263=100%,VLOOKUP($FD263,'Jan-2026 rates'!$L:$R,7,0),IF($LB263=60%,VLOOKUP($FD263,'Jan-2026 rates'!$L:$S,8,0),IF($LB263=80%,VLOOKUP($FD263,'Jan-2026 rates'!L:T,9,0),0))))))))</f>
        <v>0</v>
      </c>
      <c r="FG263" s="412"/>
      <c r="FH263" s="409"/>
      <c r="FI263" s="411">
        <f>IF(FH263=0,0,IF($LB263=70%,VLOOKUP($FD263,'Jan-2026 rates'!$L:$R,4,0),IF($LB263=65%,VLOOKUP($FD263,'Jan-2026 rates'!$L:$R,4,0),IF($LB263=40%,VLOOKUP($FD263,'Jan-2026 rates'!$L:$R,5,0),IF($LB263=30%,VLOOKUP($FD263,'Jan-2026 rates'!$L:$R,6,0),IF($LB263=100%,VLOOKUP($FD263,'Jan-2026 rates'!$L:$R,7,0),IF($LB263=60%,VLOOKUP($FD263,'Jan-2026 rates'!$L:$S,8,0),IF($LB263=80%,VLOOKUP($FD263,'Jan-2026 rates'!L:T,9,0),0))))))))</f>
        <v>0</v>
      </c>
      <c r="FJ263" s="413">
        <v>26521000005</v>
      </c>
      <c r="FK263" s="413"/>
      <c r="FL263" s="413"/>
      <c r="FM263" s="412"/>
      <c r="FN263" s="412"/>
      <c r="FO263" s="412"/>
      <c r="FP263" s="412"/>
      <c r="FQ263" s="412"/>
      <c r="FR263" s="409">
        <v>4</v>
      </c>
      <c r="FS263" s="398" t="e">
        <f>IF(FR263=0,0,IF(LEN(FJ263)=11,_xlfn.XLOOKUP(FJ263,'Dispensed Ink Rates'!C:C,'Dispensed Ink Rates'!CS:CS),VLOOKUP(FJ263,'Jan-2026 rates'!$E:$F,2,0)))</f>
        <v>#N/A</v>
      </c>
      <c r="FT263" s="409"/>
      <c r="FU263" s="398">
        <f>IF(FT263=0,0,IF(LEN(FK263)=11,_xlfn.XLOOKUP(FK263,'Dispensed Ink Rates'!C:C,'Dispensed Ink Rates'!CS:CS),VLOOKUP(FK263,'Jan-2026 rates'!$E:$F,2,0)))</f>
        <v>0</v>
      </c>
      <c r="FV263" s="409"/>
      <c r="FW263" s="398">
        <f>IF(FV263=0,0,IF(LEN(FL263)=11,_xlfn.XLOOKUP(FL263,'Dispensed Ink Rates'!C:C,'Dispensed Ink Rates'!CS:CS),VLOOKUP(FL263,'Jan-2026 rates'!$E:$F,2,0)))</f>
        <v>0</v>
      </c>
      <c r="FX263" s="409"/>
      <c r="FY263" s="398">
        <f>IF(FX263=0,0,IF(LEN(FM263)=11,_xlfn.XLOOKUP(FM263,'Dispensed Ink Rates'!C:C,'Dispensed Ink Rates'!CS:CS),VLOOKUP(FM263,'Jan-2026 rates'!$E:$F,2,0)))</f>
        <v>0</v>
      </c>
      <c r="FZ263" s="409"/>
      <c r="GA263" s="398">
        <f>IF(FZ263=0,0,IF(LEN(FN263)=11,_xlfn.XLOOKUP(FN263,'Dispensed Ink Rates'!C:C,'Dispensed Ink Rates'!CS:CS),VLOOKUP(FN263,'Jan-2026 rates'!$E:$F,2,0)))</f>
        <v>0</v>
      </c>
      <c r="GB263" s="409"/>
      <c r="GC263" s="398">
        <f>IF(GB263=0,0,IF(LEN(FO263)=11,_xlfn.XLOOKUP(FO263,'Dispensed Ink Rates'!C:C,'Dispensed Ink Rates'!CS:CS),VLOOKUP(FO263,'Jan-2026 rates'!$E:$F,2,0)))</f>
        <v>0</v>
      </c>
      <c r="GD263" s="409"/>
      <c r="GE263" s="398">
        <f>IF(GD263=0,0,IF(LEN(FP263)=11,_xlfn.XLOOKUP(FP263,'Dispensed Ink Rates'!C:C,'Dispensed Ink Rates'!CS:CS),VLOOKUP(FP263,'Jan-2026 rates'!$E:$F,2,0)))</f>
        <v>0</v>
      </c>
      <c r="GF263" s="409"/>
      <c r="GG263" s="398">
        <f>IF(GF263=0,0,IF(LEN(FQ263)=11,_xlfn.XLOOKUP(FQ263,'Dispensed Ink Rates'!C:C,'Dispensed Ink Rates'!CS:CS),VLOOKUP(FQ263,'Jan-2026 rates'!$E:$F,2,0)))</f>
        <v>0</v>
      </c>
      <c r="GH263" s="409" t="s">
        <v>1443</v>
      </c>
      <c r="GI263" s="409">
        <v>29</v>
      </c>
      <c r="GJ263" s="411">
        <f t="shared" si="171"/>
        <v>0</v>
      </c>
      <c r="GK263" s="411">
        <f t="shared" si="172"/>
        <v>8.1428571428571388</v>
      </c>
      <c r="GL263" s="410">
        <f t="shared" si="173"/>
        <v>0</v>
      </c>
      <c r="GM263" s="405" t="s">
        <v>545</v>
      </c>
      <c r="GN263" s="409" t="s">
        <v>4171</v>
      </c>
      <c r="GO263" s="420" t="str">
        <f t="shared" si="188"/>
        <v>FLINTSL - YELLOW</v>
      </c>
      <c r="GP263" s="409">
        <v>29</v>
      </c>
      <c r="GQ263" s="411">
        <f>IF(GP263=0,0,IF($LB263=70%,VLOOKUP($GO263,'Jan-2026 rates'!$L:$R,4,0),IF($LB263=65%,VLOOKUP($GO263,'Jan-2026 rates'!$L:$R,4,0),IF($LB263=40%,VLOOKUP($GO263,'Jan-2026 rates'!$L:$R,5,0),IF($LB263=30%,VLOOKUP($GO263,'Jan-2026 rates'!$L:$R,6,0),IF($LB263=100%,VLOOKUP($GO263,'Jan-2026 rates'!$L:$R,7,0),IF($LB263=60%,VLOOKUP($GO263,'Jan-2026 rates'!$L:$S,8,0),IF($LB263=80%,VLOOKUP($GO263,'Jan-2026 rates'!L:T,9,0),0))))))))</f>
        <v>0</v>
      </c>
      <c r="GR263" s="412"/>
      <c r="GS263" s="409"/>
      <c r="GT263" s="411">
        <f>IF(GS263=0,0,IF($LB263=70%,VLOOKUP($GO263,'Jan-2026 rates'!$L:$R,4,0),IF($LB263=65%,VLOOKUP($GO263,'Jan-2026 rates'!$L:$R,4,0),IF($LB263=40%,VLOOKUP($GO263,'Jan-2026 rates'!$L:$R,5,0),IF($LB263=30%,VLOOKUP($GO263,'Jan-2026 rates'!$L:$R,6,0),IF($LB263=100%,VLOOKUP($GO263,'Jan-2026 rates'!$L:$R,7,0),IF($LB263=60%,VLOOKUP($GO263,'Jan-2026 rates'!$L:$S,8,0),IF($LB263=80%,VLOOKUP($GO263,'Jan-2026 rates'!L:T,9,0),0))))))))</f>
        <v>0</v>
      </c>
      <c r="GU263" s="413">
        <v>26521000008</v>
      </c>
      <c r="GV263" s="413" t="s">
        <v>1266</v>
      </c>
      <c r="GW263" s="412"/>
      <c r="GX263" s="412"/>
      <c r="GY263" s="412"/>
      <c r="GZ263" s="412"/>
      <c r="HA263" s="412"/>
      <c r="HB263" s="412"/>
      <c r="HC263" s="409">
        <v>6</v>
      </c>
      <c r="HD263" s="398" t="e">
        <f>IF(HC263=0,0,IF(LEN(GU263)=11,_xlfn.XLOOKUP(GU263,'Dispensed Ink Rates'!C:C,'Dispensed Ink Rates'!CS:CS),VLOOKUP(GU263,'Jan-2026 rates'!$E:$F,2,0)))</f>
        <v>#N/A</v>
      </c>
      <c r="HE263" s="409">
        <v>6</v>
      </c>
      <c r="HF263" s="398">
        <f>IF(HE263=0,0,IF(LEN(GV263)=11,_xlfn.XLOOKUP(GV263,'Dispensed Ink Rates'!C:C,'Dispensed Ink Rates'!CS:CS),VLOOKUP(GV263,'Jan-2026 rates'!$E:$F,2,0)))</f>
        <v>0</v>
      </c>
      <c r="HG263" s="409"/>
      <c r="HH263" s="398">
        <f>IF(HG263=0,0,IF(LEN(GW263)=11,_xlfn.XLOOKUP(GW263,'Dispensed Ink Rates'!C:C,'Dispensed Ink Rates'!CS:CS),VLOOKUP(GW263,'Jan-2026 rates'!$E:$F,2,0)))</f>
        <v>0</v>
      </c>
      <c r="HI263" s="409"/>
      <c r="HJ263" s="398">
        <f>IF(HI263=0,0,IF(LEN(GX263)=11,_xlfn.XLOOKUP(GX263,'Dispensed Ink Rates'!C:C,'Dispensed Ink Rates'!CS:CS),VLOOKUP(GX263,'Jan-2026 rates'!$E:$F,2,0)))</f>
        <v>0</v>
      </c>
      <c r="HK263" s="409"/>
      <c r="HL263" s="398">
        <f>IF(HK263=0,0,IF(LEN(GY263)=11,_xlfn.XLOOKUP(GY263,'Dispensed Ink Rates'!C:C,'Dispensed Ink Rates'!CS:CS),VLOOKUP(GY263,'Jan-2026 rates'!$E:$F,2,0)))</f>
        <v>0</v>
      </c>
      <c r="HM263" s="409"/>
      <c r="HN263" s="398">
        <f>IF(HM263=0,0,IF(LEN(GZ263)=11,_xlfn.XLOOKUP(GZ263,'Dispensed Ink Rates'!C:C,'Dispensed Ink Rates'!CS:CS),VLOOKUP(GZ263,'Jan-2026 rates'!$E:$F,2,0)))</f>
        <v>0</v>
      </c>
      <c r="HO263" s="409"/>
      <c r="HP263" s="398">
        <f>IF(HO263=0,0,IF(LEN(HA263)=11,_xlfn.XLOOKUP(HA263,'Dispensed Ink Rates'!C:C,'Dispensed Ink Rates'!CS:CS),VLOOKUP(HA263,'Jan-2026 rates'!$E:$F,2,0)))</f>
        <v>0</v>
      </c>
      <c r="HQ263" s="409"/>
      <c r="HR263" s="398">
        <f>IF(HQ263=0,0,IF(LEN(HB263)=11,_xlfn.XLOOKUP(HB263,'Dispensed Ink Rates'!C:C,'Dispensed Ink Rates'!CS:CS),VLOOKUP(HB263,'Jan-2026 rates'!$E:$F,2,0)))</f>
        <v>0</v>
      </c>
      <c r="HS263" s="409" t="s">
        <v>1443</v>
      </c>
      <c r="HT263" s="409">
        <v>25</v>
      </c>
      <c r="HU263" s="411">
        <f t="shared" si="174"/>
        <v>0</v>
      </c>
      <c r="HV263" s="411">
        <f t="shared" si="175"/>
        <v>25.142857142857139</v>
      </c>
      <c r="HW263" s="414">
        <f t="shared" si="176"/>
        <v>0</v>
      </c>
      <c r="HX263" s="405" t="s">
        <v>547</v>
      </c>
      <c r="HY263" s="409" t="s">
        <v>4172</v>
      </c>
      <c r="HZ263" s="420" t="str">
        <f t="shared" si="189"/>
        <v>FLINTSL - GREEN</v>
      </c>
      <c r="IA263" s="409">
        <v>26</v>
      </c>
      <c r="IB263" s="411">
        <f>IF(IA263=0,0,IF($LB263=70%,VLOOKUP($HZ263,'Jan-2026 rates'!$L:$R,4,0),IF($LB263=65%,VLOOKUP($HZ263,'Jan-2026 rates'!$L:$R,4,0),IF($LB263=40%,VLOOKUP($HZ263,'Jan-2026 rates'!$L:$R,5,0),IF($LB263=30%,VLOOKUP($HZ263,'Jan-2026 rates'!$L:$R,6,0),IF($LB263=100%,VLOOKUP($HZ263,'Jan-2026 rates'!$L:$R,7,0),IF($LB263=60%,VLOOKUP($HZ263,'Jan-2026 rates'!$L:$S,8,0),IF($LB263=80%,VLOOKUP($HZ263,'Jan-2026 rates'!L:T,9,0),0))))))))</f>
        <v>0</v>
      </c>
      <c r="IC263" s="412"/>
      <c r="ID263" s="409"/>
      <c r="IE263" s="411">
        <f>IF(ID263=0,0,IF($LB263=70%,VLOOKUP($HZ263,'Jan-2026 rates'!$L:$R,4,0),IF($LB263=65%,VLOOKUP($HZ263,'Jan-2026 rates'!$L:$R,4,0),IF($LB263=40%,VLOOKUP($HZ263,'Jan-2026 rates'!$L:$R,5,0),IF($LB263=30%,VLOOKUP($HZ263,'Jan-2026 rates'!$L:$R,6,0),IF($LB263=100%,VLOOKUP($HZ263,'Jan-2026 rates'!$L:$R,7,0),IF($LB263=60%,VLOOKUP($HZ263,'Jan-2026 rates'!$L:$S,8,0),IF($LB263=80%,VLOOKUP($HZ263,'Jan-2026 rates'!L:T,9,0),0))))))))</f>
        <v>0</v>
      </c>
      <c r="IF263" s="412"/>
      <c r="IG263" s="413"/>
      <c r="IH263" s="412"/>
      <c r="II263" s="412"/>
      <c r="IJ263" s="412"/>
      <c r="IK263" s="412"/>
      <c r="IL263" s="412"/>
      <c r="IM263" s="412"/>
      <c r="IN263" s="409"/>
      <c r="IO263" s="398">
        <f>IF(IN263=0,0,IF(LEN(IF263)=11,_xlfn.XLOOKUP(IF263,'Dispensed Ink Rates'!C:C,'Dispensed Ink Rates'!CS:CS),VLOOKUP(IF263,'Jan-2026 rates'!$E:$F,2,0)))</f>
        <v>0</v>
      </c>
      <c r="IP263" s="409"/>
      <c r="IQ263" s="398">
        <f>IF(IP263=0,0,IF(LEN(IG263)=11,_xlfn.XLOOKUP(IG263,'Dispensed Ink Rates'!C:C,'Dispensed Ink Rates'!CS:CS),VLOOKUP(IG263,'Jan-2026 rates'!$E:$F,2,0)))</f>
        <v>0</v>
      </c>
      <c r="IR263" s="409"/>
      <c r="IS263" s="398">
        <f>IF(IR263=0,0,IF(LEN(IH263)=11,_xlfn.XLOOKUP(IH263,'Dispensed Ink Rates'!C:C,'Dispensed Ink Rates'!CS:CS),VLOOKUP(IH263,'Jan-2026 rates'!$E:$F,2,0)))</f>
        <v>0</v>
      </c>
      <c r="IT263" s="409"/>
      <c r="IU263" s="398">
        <f>IF(IT263=0,0,IF(LEN(II263)=11,_xlfn.XLOOKUP(II263,'Dispensed Ink Rates'!C:C,'Dispensed Ink Rates'!CS:CS),VLOOKUP(II263,'Jan-2026 rates'!$E:$F,2,0)))</f>
        <v>0</v>
      </c>
      <c r="IV263" s="409"/>
      <c r="IW263" s="398">
        <f>IF(IV263=0,0,IF(LEN(IJ263)=11,_xlfn.XLOOKUP(IJ263,'Dispensed Ink Rates'!C:C,'Dispensed Ink Rates'!CS:CS),VLOOKUP(IJ263,'Jan-2026 rates'!$E:$F,2,0)))</f>
        <v>0</v>
      </c>
      <c r="IX263" s="409"/>
      <c r="IY263" s="398">
        <f>IF(IX263=0,0,IF(LEN(IK263)=11,_xlfn.XLOOKUP(IK263,'Dispensed Ink Rates'!C:C,'Dispensed Ink Rates'!CS:CS),VLOOKUP(IK263,'Jan-2026 rates'!$E:$F,2,0)))</f>
        <v>0</v>
      </c>
      <c r="IZ263" s="409"/>
      <c r="JA263" s="398">
        <f>IF(IZ263=0,0,IF(LEN(IL263)=11,_xlfn.XLOOKUP(IL263,'Dispensed Ink Rates'!C:C,'Dispensed Ink Rates'!CS:CS),VLOOKUP(IL263,'Jan-2026 rates'!$E:$F,2,0)))</f>
        <v>0</v>
      </c>
      <c r="JB263" s="409"/>
      <c r="JC263" s="398">
        <f>IF(JB263=0,0,IF(LEN(IM263)=11,_xlfn.XLOOKUP(IM263,'Dispensed Ink Rates'!C:C,'Dispensed Ink Rates'!CS:CS),VLOOKUP(IM263,'Jan-2026 rates'!$E:$F,2,0)))</f>
        <v>0</v>
      </c>
      <c r="JD263" s="409" t="s">
        <v>1443</v>
      </c>
      <c r="JE263" s="409">
        <v>28</v>
      </c>
      <c r="JF263" s="411">
        <f t="shared" si="177"/>
        <v>0</v>
      </c>
      <c r="JG263" s="411">
        <f t="shared" si="178"/>
        <v>7.1428571428571388</v>
      </c>
      <c r="JH263" s="410">
        <f t="shared" si="179"/>
        <v>0</v>
      </c>
      <c r="JI263" s="405" t="s">
        <v>856</v>
      </c>
      <c r="JJ263" s="409" t="s">
        <v>4173</v>
      </c>
      <c r="JK263" s="420" t="str">
        <f t="shared" si="190"/>
        <v>FLINTSL - WHITE</v>
      </c>
      <c r="JL263" s="409">
        <v>24</v>
      </c>
      <c r="JM263" s="411">
        <f>IF(JL263=0,0,IF($LB263=70%,VLOOKUP($JK263,'Jan-2026 rates'!$L:$R,4,0),IF($LB263=65%,VLOOKUP($JK263,'Jan-2026 rates'!$L:$R,4,0),IF($LB263=40%,VLOOKUP($JK263,'Jan-2026 rates'!$L:$R,5,0),IF($LB263=30%,VLOOKUP($JK263,'Jan-2026 rates'!$L:$R,6,0),IF($LB263=100%,VLOOKUP($JK263,'Jan-2026 rates'!$L:$R,7,0),IF($LB263=60%,VLOOKUP($JK263,'Jan-2026 rates'!$L:$S,8,0),IF($LB263=80%,VLOOKUP($JK263,'Jan-2026 rates'!L:T,9,0),0))))))))</f>
        <v>0</v>
      </c>
      <c r="JN263" s="412"/>
      <c r="JO263" s="409"/>
      <c r="JP263" s="411">
        <f>IF(JO263=0,0,IF($LB263=70%,VLOOKUP($JK263,'Jan-2026 rates'!$L:$R,4,0),IF($LB263=65%,VLOOKUP($JK263,'Jan-2026 rates'!$L:$R,4,0),IF($LB263=40%,VLOOKUP($JK263,'Jan-2026 rates'!$L:$R,5,0),IF($LB263=30%,VLOOKUP($JK263,'Jan-2026 rates'!$L:$R,6,0),IF($LB263=100%,VLOOKUP($JK263,'Jan-2026 rates'!$L:$R,7,0),IF($LB263=60%,VLOOKUP($JK263,'Jan-2026 rates'!$L:$S,8,0),IF($LB263=80%,VLOOKUP($JK263,'Jan-2026 rates'!L:T,9,0),0))))))))</f>
        <v>0</v>
      </c>
      <c r="JQ263" s="413" t="s">
        <v>484</v>
      </c>
      <c r="JR263" s="412"/>
      <c r="JS263" s="413"/>
      <c r="JT263" s="413"/>
      <c r="JU263" s="412"/>
      <c r="JV263" s="412"/>
      <c r="JW263" s="412"/>
      <c r="JX263" s="412"/>
      <c r="JY263" s="409">
        <f>25+25</f>
        <v>50</v>
      </c>
      <c r="JZ263" s="398">
        <f>IF(JY263=0,0,IF(LEN(JQ263)=11,_xlfn.XLOOKUP(JQ263,'Dispensed Ink Rates'!C:C,'Dispensed Ink Rates'!CS:CS),VLOOKUP(JQ263,'Jan-2026 rates'!$E:$F,2,0)))</f>
        <v>0</v>
      </c>
      <c r="KA263" s="409"/>
      <c r="KB263" s="398">
        <f>IF(KA263=0,0,IF(LEN(JR263)=11,_xlfn.XLOOKUP(JR263,'Dispensed Ink Rates'!C:C,'Dispensed Ink Rates'!CS:CS),VLOOKUP(JR263,'Jan-2026 rates'!$E:$F,2,0)))</f>
        <v>0</v>
      </c>
      <c r="KC263" s="409"/>
      <c r="KD263" s="398">
        <f>IF(KC263=0,0,IF(LEN(JS263)=11,_xlfn.XLOOKUP(JS263,'Dispensed Ink Rates'!C:C,'Dispensed Ink Rates'!CS:CS),VLOOKUP(JS263,'Jan-2026 rates'!$E:$F,2,0)))</f>
        <v>0</v>
      </c>
      <c r="KE263" s="409"/>
      <c r="KF263" s="398">
        <f>IF(KE263=0,0,IF(LEN(JT263)=11,_xlfn.XLOOKUP(JT263,'Dispensed Ink Rates'!C:C,'Dispensed Ink Rates'!CS:CS),VLOOKUP(JT263,'Jan-2026 rates'!$E:$F,2,0)))</f>
        <v>0</v>
      </c>
      <c r="KG263" s="409"/>
      <c r="KH263" s="398">
        <f>IF(KG263=0,0,IF(LEN(JU263)=11,_xlfn.XLOOKUP(JU263,'Dispensed Ink Rates'!C:C,'Dispensed Ink Rates'!CS:CS),VLOOKUP(JU263,'Jan-2026 rates'!$E:$F,2,0)))</f>
        <v>0</v>
      </c>
      <c r="KI263" s="409"/>
      <c r="KJ263" s="398">
        <f>IF(KI263=0,0,IF(LEN(JV263)=11,_xlfn.XLOOKUP(JV263,'Dispensed Ink Rates'!C:C,'Dispensed Ink Rates'!CS:CS),VLOOKUP(JV263,'Jan-2026 rates'!$E:$F,2,0)))</f>
        <v>0</v>
      </c>
      <c r="KK263" s="409"/>
      <c r="KL263" s="398">
        <f>IF(KK263=0,0,IF(LEN(JW263)=11,_xlfn.XLOOKUP(JW263,'Dispensed Ink Rates'!C:C,'Dispensed Ink Rates'!CS:CS),VLOOKUP(JW263,'Jan-2026 rates'!$E:$F,2,0)))</f>
        <v>0</v>
      </c>
      <c r="KM263" s="428"/>
      <c r="KN263" s="398">
        <f>IF(KM263=0,0,IF(LEN(JX263)=11,_xlfn.XLOOKUP(JX263,'Dispensed Ink Rates'!C:C,'Dispensed Ink Rates'!CS:CS),VLOOKUP(JX263,'Jan-2026 rates'!$E:$F,2,0)))</f>
        <v>0</v>
      </c>
      <c r="KO263" s="409" t="s">
        <v>1443</v>
      </c>
      <c r="KP263" s="409">
        <v>25</v>
      </c>
      <c r="KQ263" s="411">
        <f t="shared" si="180"/>
        <v>0</v>
      </c>
      <c r="KR263" s="411">
        <f t="shared" si="181"/>
        <v>103.85714285714286</v>
      </c>
      <c r="KS263" s="410">
        <f t="shared" si="182"/>
        <v>0</v>
      </c>
      <c r="KT263" s="409">
        <v>5</v>
      </c>
      <c r="KU263" s="409">
        <v>5</v>
      </c>
      <c r="KV263" s="409">
        <v>10</v>
      </c>
      <c r="KW263" s="409">
        <v>5</v>
      </c>
      <c r="KX263" s="409">
        <v>5</v>
      </c>
      <c r="KY263" s="409">
        <v>5</v>
      </c>
      <c r="KZ263" s="409">
        <v>5</v>
      </c>
      <c r="LA263" s="409">
        <f>15+15</f>
        <v>30</v>
      </c>
      <c r="LB263" s="415">
        <v>0.8</v>
      </c>
      <c r="LC263" s="415">
        <v>0.2</v>
      </c>
      <c r="LD263" s="415"/>
      <c r="LE263" s="415"/>
      <c r="LF263" s="415"/>
      <c r="LG263" s="409">
        <v>0</v>
      </c>
      <c r="LH263" s="409">
        <f>30+28+56+14</f>
        <v>128</v>
      </c>
      <c r="LI263" s="409">
        <v>0</v>
      </c>
      <c r="LJ263" s="409">
        <v>0</v>
      </c>
      <c r="LK263" s="416">
        <f t="shared" si="191"/>
        <v>128</v>
      </c>
      <c r="LL263" s="416">
        <f t="shared" si="192"/>
        <v>128</v>
      </c>
      <c r="LM263" s="417">
        <f t="shared" si="193"/>
        <v>102.4</v>
      </c>
      <c r="LN263" s="417">
        <f>VLOOKUP($LM$8,'Jan-2026 rates'!$H:$I,2,0)</f>
        <v>0</v>
      </c>
      <c r="LO263" s="417">
        <f t="shared" si="194"/>
        <v>25.6</v>
      </c>
      <c r="LP263" s="417">
        <f>VLOOKUP($LO$8,'Jan-2026 rates'!$H:$I,2,0)</f>
        <v>0</v>
      </c>
      <c r="LQ263" s="417">
        <f t="shared" si="195"/>
        <v>0</v>
      </c>
      <c r="LR263" s="417">
        <f>VLOOKUP($LQ$8,'Jan-2026 rates'!$H:$I,2,0)</f>
        <v>0</v>
      </c>
      <c r="LS263" s="417">
        <f t="shared" si="196"/>
        <v>0</v>
      </c>
      <c r="LT263" s="417">
        <f>VLOOKUP($LS$8,'Jan-2026 rates'!$H:$I,2,0)</f>
        <v>0</v>
      </c>
      <c r="LU263" s="417">
        <f t="shared" si="197"/>
        <v>0</v>
      </c>
      <c r="LV263" s="417">
        <f>VLOOKUP($LU$8,'Jan-2026 rates'!$H:$I,2,0)</f>
        <v>0</v>
      </c>
      <c r="LW263" s="417">
        <f t="shared" si="198"/>
        <v>0</v>
      </c>
      <c r="LX263" s="417">
        <f t="shared" si="199"/>
        <v>0</v>
      </c>
      <c r="LY263" s="418">
        <f t="shared" si="200"/>
        <v>0</v>
      </c>
      <c r="LZ263" s="417"/>
      <c r="MA263" s="435">
        <f t="shared" si="201"/>
        <v>102</v>
      </c>
      <c r="MB263" s="282">
        <f t="shared" si="202"/>
        <v>238.99999999999997</v>
      </c>
      <c r="MC263" s="283">
        <v>156</v>
      </c>
      <c r="MD263" s="284" t="str">
        <f t="shared" si="203"/>
        <v>FLINTSLFLINTSLFLINTSLFLINTSLFLINTSLFLINTSLFLINTSLFLINTSL</v>
      </c>
      <c r="ME263" s="293" t="str">
        <f t="shared" si="204"/>
        <v>+</v>
      </c>
      <c r="MF263" s="293" t="str">
        <f t="shared" si="205"/>
        <v>+</v>
      </c>
      <c r="MG263" s="293" t="str">
        <f t="shared" si="206"/>
        <v>+</v>
      </c>
      <c r="MH263" s="293" t="str">
        <f t="shared" si="207"/>
        <v>+</v>
      </c>
      <c r="MI263" s="293" t="str">
        <f t="shared" si="208"/>
        <v>+</v>
      </c>
      <c r="MJ263" s="293" t="str">
        <f t="shared" si="209"/>
        <v>+</v>
      </c>
      <c r="MK263" s="293" t="str">
        <f t="shared" si="210"/>
        <v>+</v>
      </c>
      <c r="ML263" s="293" t="str">
        <f t="shared" si="211"/>
        <v>+</v>
      </c>
      <c r="MM263" s="3" t="b">
        <f t="array" ref="MM263">OR(ME263:ML263="-")</f>
        <v>0</v>
      </c>
      <c r="MN263" s="285"/>
      <c r="MO263" s="401"/>
      <c r="MP263" s="286"/>
      <c r="MQ263" s="286"/>
      <c r="MR263" s="402"/>
      <c r="MS263" s="400"/>
      <c r="NH263" s="422"/>
      <c r="NJ263" s="421"/>
    </row>
    <row r="264" spans="1:374" s="1" customFormat="1" ht="16.5">
      <c r="A264" s="403">
        <v>46042</v>
      </c>
      <c r="B264" s="404" t="s">
        <v>1018</v>
      </c>
      <c r="C264" s="405" t="s">
        <v>4174</v>
      </c>
      <c r="D264" s="406">
        <v>157</v>
      </c>
      <c r="E264" s="404">
        <v>850</v>
      </c>
      <c r="F264" s="407">
        <v>22600</v>
      </c>
      <c r="G264" s="407" t="s">
        <v>1019</v>
      </c>
      <c r="H264" s="408" t="s">
        <v>1017</v>
      </c>
      <c r="I264" s="409">
        <v>1.5</v>
      </c>
      <c r="J264" s="405" t="s">
        <v>543</v>
      </c>
      <c r="K264" s="404" t="s">
        <v>4175</v>
      </c>
      <c r="L264" s="419" t="str">
        <f t="shared" si="184"/>
        <v>FLINTSL - BLACK</v>
      </c>
      <c r="M264" s="404">
        <v>30</v>
      </c>
      <c r="N264" s="410">
        <f>IF(M264=0,0,IF($LB264=70%,VLOOKUP($L264,'Jan-2026 rates'!$L:$R,4,0),IF($LB264=65%,VLOOKUP($L264,'Jan-2026 rates'!$L:$R,4,0),IF($LB264=40%,VLOOKUP($L264,'Jan-2026 rates'!$L:$R,5,0),IF($LB264=30%,VLOOKUP($L264,'Jan-2026 rates'!$L:$R,6,0),IF($LB264=100%,VLOOKUP($L264,'Jan-2026 rates'!$L:$R,7,0),IF($LB264=60%,VLOOKUP($L264,'Jan-2026 rates'!$L:$S,8,0),IF($LB264=80%,VLOOKUP($L264,'Jan-2026 rates'!L:T,9,0),0))))))))</f>
        <v>0</v>
      </c>
      <c r="O264" s="406"/>
      <c r="P264" s="404"/>
      <c r="Q264" s="410">
        <f>IF(P264=0,0,IF($LB264=70%,VLOOKUP($L264,'Jan-2026 rates'!$L:$R,4,0),IF($LB264=65%,VLOOKUP($L264,'Jan-2026 rates'!$L:$R,4,0),IF($LB264=40%,VLOOKUP($L264,'Jan-2026 rates'!$L:$R,5,0),IF($LB264=30%,VLOOKUP($L264,'Jan-2026 rates'!$L:$R,6,0),IF($LB264=100%,VLOOKUP($L264,'Jan-2026 rates'!$L:$R,7,0),IF($LB264=60%,VLOOKUP($L264,'Jan-2026 rates'!$L:$S,8,0),IF($LB264=80%,VLOOKUP($L264,'Jan-2026 rates'!L:T,9,0),0))))))))</f>
        <v>0</v>
      </c>
      <c r="R264" s="406"/>
      <c r="S264" s="406"/>
      <c r="T264" s="406"/>
      <c r="U264" s="406"/>
      <c r="V264" s="406"/>
      <c r="W264" s="406"/>
      <c r="X264" s="406"/>
      <c r="Y264" s="406"/>
      <c r="Z264" s="404"/>
      <c r="AA264" s="398">
        <f>IF(Z264=0,0,IF(LEN(R264)=11,_xlfn.XLOOKUP(R264,'Dispensed Ink Rates'!C:C,'Dispensed Ink Rates'!CS:CS),VLOOKUP(R264,'Jan-2026 rates'!$E:$F,2,0)))</f>
        <v>0</v>
      </c>
      <c r="AB264" s="404"/>
      <c r="AC264" s="398">
        <f>IF(AB264=0,0,IF(LEN(S264)=11,_xlfn.XLOOKUP(S264,'Dispensed Ink Rates'!C:C,'Dispensed Ink Rates'!CS:CS),VLOOKUP(S264,'Jan-2026 rates'!$E:$F,2,0)))</f>
        <v>0</v>
      </c>
      <c r="AD264" s="404"/>
      <c r="AE264" s="398">
        <f>IF(AD264=0,0,IF(LEN(T264)=11,_xlfn.XLOOKUP(T264,'Dispensed Ink Rates'!C:C,'Dispensed Ink Rates'!CS:CS),VLOOKUP(T264,'Jan-2026 rates'!$E:$F,2,0)))</f>
        <v>0</v>
      </c>
      <c r="AF264" s="404"/>
      <c r="AG264" s="398">
        <f>IF(AF264=0,0,IF(LEN(U264)=11,_xlfn.XLOOKUP(U264,'Dispensed Ink Rates'!C:C,'Dispensed Ink Rates'!CS:CS),VLOOKUP(U264,'Jan-2026 rates'!$E:$F,2,0)))</f>
        <v>0</v>
      </c>
      <c r="AH264" s="404"/>
      <c r="AI264" s="398">
        <f>IF(AH264=0,0,IF(LEN(V264)=11,_xlfn.XLOOKUP(V264,'Dispensed Ink Rates'!C:C,'Dispensed Ink Rates'!CS:CS),VLOOKUP(V264,'Jan-2026 rates'!$E:$F,2,0)))</f>
        <v>0</v>
      </c>
      <c r="AJ264" s="404"/>
      <c r="AK264" s="398">
        <f>IF(AJ264=0,0,IF(LEN(W264)=11,_xlfn.XLOOKUP(W264,'Dispensed Ink Rates'!C:C,'Dispensed Ink Rates'!CS:CS),VLOOKUP(W264,'Jan-2026 rates'!$E:$F,2,0)))</f>
        <v>0</v>
      </c>
      <c r="AL264" s="404"/>
      <c r="AM264" s="398">
        <f>IF(AL264=0,0,IF(LEN(X264)=11,_xlfn.XLOOKUP(X264,'Dispensed Ink Rates'!C:C,'Dispensed Ink Rates'!CS:CS),VLOOKUP(X264,'Jan-2026 rates'!$E:$F,2,0)))</f>
        <v>0</v>
      </c>
      <c r="AN264" s="404"/>
      <c r="AO264" s="398">
        <f>IF(AN264=0,0,IF(LEN(Y264)=11,_xlfn.XLOOKUP(Y264,'Dispensed Ink Rates'!C:C,'Dispensed Ink Rates'!CS:CS),VLOOKUP(Y264,'Jan-2026 rates'!$E:$F,2,0)))</f>
        <v>0</v>
      </c>
      <c r="AP264" s="409" t="s">
        <v>1443</v>
      </c>
      <c r="AQ264" s="409">
        <v>29</v>
      </c>
      <c r="AR264" s="410">
        <f t="shared" si="159"/>
        <v>0</v>
      </c>
      <c r="AS264" s="411">
        <f t="shared" si="160"/>
        <v>7.1935483870967758</v>
      </c>
      <c r="AT264" s="410">
        <f t="shared" si="161"/>
        <v>0</v>
      </c>
      <c r="AU264" s="405" t="s">
        <v>546</v>
      </c>
      <c r="AV264" s="409" t="s">
        <v>4175</v>
      </c>
      <c r="AW264" s="420" t="str">
        <f t="shared" si="183"/>
        <v>FLINTSL - REFLEX BLUE</v>
      </c>
      <c r="AX264" s="409">
        <v>28</v>
      </c>
      <c r="AY264" s="411">
        <f>IF(AX264=0,0,IF($LB264=70%,VLOOKUP($AW264,'Jan-2026 rates'!$L:$R,4,0),IF($LB264=65%,VLOOKUP($AW264,'Jan-2026 rates'!$L:$R,4,0),IF($LB264=40%,VLOOKUP($AW264,'Jan-2026 rates'!$L:$R,5,0),IF($LB264=30%,VLOOKUP($AW264,'Jan-2026 rates'!$L:$R,6,0),IF($LB264=100%,VLOOKUP($AW264,'Jan-2026 rates'!$L:$R,7,0),IF($LB264=60%,VLOOKUP($AW264,'Jan-2026 rates'!$L:$S,8,0),IF($LB264=80%,VLOOKUP($AW264,'Jan-2026 rates'!L:T,9,0),0))))))))</f>
        <v>0</v>
      </c>
      <c r="AZ264" s="412"/>
      <c r="BA264" s="409"/>
      <c r="BB264" s="411">
        <f>IF(BA264=0,0,IF($LB264=70%,VLOOKUP($AW264,'Jan-2026 rates'!$L:$R,4,0),IF($LB264=65%,VLOOKUP($AW264,'Jan-2026 rates'!$L:$R,4,0),IF($LB264=40%,VLOOKUP($AW264,'Jan-2026 rates'!$L:$R,5,0),IF($LB264=30%,VLOOKUP($AW264,'Jan-2026 rates'!$L:$R,6,0),IF($LB264=100%,VLOOKUP($AW264,'Jan-2026 rates'!$L:$R,7,0),IF($LB264=60%,VLOOKUP($AW264,'Jan-2026 rates'!$L:$S,8,0),IF($LB264=80%,VLOOKUP($AW264,'Jan-2026 rates'!L:T,9,0),0))))))))</f>
        <v>0</v>
      </c>
      <c r="BC264" s="413">
        <v>26520000006</v>
      </c>
      <c r="BD264" s="412"/>
      <c r="BE264" s="412"/>
      <c r="BF264" s="413"/>
      <c r="BG264" s="412"/>
      <c r="BH264" s="412"/>
      <c r="BI264" s="412"/>
      <c r="BJ264" s="412"/>
      <c r="BK264" s="409">
        <v>4</v>
      </c>
      <c r="BL264" s="398" t="e">
        <f>IF(BK264=0,0,IF(LEN(BC264)=11,_xlfn.XLOOKUP(BC264,'Dispensed Ink Rates'!C:C,'Dispensed Ink Rates'!CS:CS),VLOOKUP(BC264,'Jan-2026 rates'!$E:$F,2,0)))</f>
        <v>#N/A</v>
      </c>
      <c r="BM264" s="409"/>
      <c r="BN264" s="398">
        <f>IF(BM264=0,0,IF(LEN(BD264)=11,_xlfn.XLOOKUP(BD264,'Dispensed Ink Rates'!C:C,'Dispensed Ink Rates'!CS:CS),VLOOKUP(BD264,'Jan-2026 rates'!$E:$F,2,0)))</f>
        <v>0</v>
      </c>
      <c r="BO264" s="409"/>
      <c r="BP264" s="398">
        <f>IF(BO264=0,0,IF(LEN(BE264)=11,_xlfn.XLOOKUP(BE264,'Dispensed Ink Rates'!C:C,'Dispensed Ink Rates'!CS:CS),VLOOKUP(BE264,'Jan-2026 rates'!$E:$F,2,0)))</f>
        <v>0</v>
      </c>
      <c r="BQ264" s="409"/>
      <c r="BR264" s="398">
        <f>IF(BQ264=0,0,IF(LEN(BF264)=11,_xlfn.XLOOKUP(BF264,'Dispensed Ink Rates'!C:C,'Dispensed Ink Rates'!CS:CS),VLOOKUP(BF264,'Jan-2026 rates'!$E:$F,2,0)))</f>
        <v>0</v>
      </c>
      <c r="BS264" s="409"/>
      <c r="BT264" s="398">
        <f>IF(BS264=0,0,IF(LEN(BG264)=11,_xlfn.XLOOKUP(BG264,'Dispensed Ink Rates'!C:C,'Dispensed Ink Rates'!CS:CS),VLOOKUP(BG264,'Jan-2026 rates'!$E:$F,2,0)))</f>
        <v>0</v>
      </c>
      <c r="BU264" s="409"/>
      <c r="BV264" s="398">
        <f>IF(BU264=0,0,IF(LEN(BH264)=11,_xlfn.XLOOKUP(BH264,'Dispensed Ink Rates'!C:C,'Dispensed Ink Rates'!CS:CS),VLOOKUP(BH264,'Jan-2026 rates'!$E:$F,2,0)))</f>
        <v>0</v>
      </c>
      <c r="BW264" s="409"/>
      <c r="BX264" s="398">
        <f>IF(BW264=0,0,IF(LEN(BI264)=11,_xlfn.XLOOKUP(BI264,'Dispensed Ink Rates'!C:C,'Dispensed Ink Rates'!CS:CS),VLOOKUP(BI264,'Jan-2026 rates'!$E:$F,2,0)))</f>
        <v>0</v>
      </c>
      <c r="BY264" s="409"/>
      <c r="BZ264" s="398">
        <f>IF(BY264=0,0,IF(LEN(BJ264)=11,_xlfn.XLOOKUP(BJ264,'Dispensed Ink Rates'!C:C,'Dispensed Ink Rates'!CS:CS),VLOOKUP(BJ264,'Jan-2026 rates'!$E:$F,2,0)))</f>
        <v>0</v>
      </c>
      <c r="CA264" s="409" t="s">
        <v>1443</v>
      </c>
      <c r="CB264" s="409">
        <v>28</v>
      </c>
      <c r="CC264" s="411">
        <f t="shared" si="162"/>
        <v>0</v>
      </c>
      <c r="CD264" s="411">
        <f t="shared" si="163"/>
        <v>10.193548387096776</v>
      </c>
      <c r="CE264" s="410">
        <f t="shared" si="164"/>
        <v>0</v>
      </c>
      <c r="CF264" s="404" t="s">
        <v>543</v>
      </c>
      <c r="CG264" s="409" t="s">
        <v>4176</v>
      </c>
      <c r="CH264" s="420" t="str">
        <f t="shared" si="185"/>
        <v>FLINTSL - BLACK</v>
      </c>
      <c r="CI264" s="409">
        <v>20</v>
      </c>
      <c r="CJ264" s="411">
        <f>IF(CI264=0,0,IF($LB264=70%,VLOOKUP($CH264,'Jan-2026 rates'!$L:$R,4,0),IF($LB264=65%,VLOOKUP($CH264,'Jan-2026 rates'!$L:$R,4,0),IF($LB264=40%,VLOOKUP($CH264,'Jan-2026 rates'!$L:$R,5,0),IF($LB264=30%,VLOOKUP($CH264,'Jan-2026 rates'!$L:$R,6,0),IF($LB264=100%,VLOOKUP($CH264,'Jan-2026 rates'!$L:$R,7,0),IF($LB264=60%,VLOOKUP($CH264,'Jan-2026 rates'!$L:$S,8,0),IF($LB264=80%,VLOOKUP($CH264,'Jan-2026 rates'!L:T,9,0),0))))))))</f>
        <v>0</v>
      </c>
      <c r="CK264" s="412"/>
      <c r="CL264" s="409"/>
      <c r="CM264" s="411">
        <f>IF(CL264=0,0,IF($LB264=70%,VLOOKUP($CH264,'Jan-2026 rates'!$L:$R,4,0),IF($LB264=65%,VLOOKUP($CH264,'Jan-2026 rates'!$L:$R,4,0),IF($LB264=40%,VLOOKUP($CH264,'Jan-2026 rates'!$L:$R,5,0),IF($LB264=30%,VLOOKUP($CH264,'Jan-2026 rates'!$L:$R,6,0),IF($LB264=100%,VLOOKUP($CH264,'Jan-2026 rates'!$L:$R,7,0),IF($LB264=60%,VLOOKUP($CH264,'Jan-2026 rates'!$L:$S,8,0),IF($LB264=80%,VLOOKUP($CH264,'Jan-2026 rates'!L:T,9,0),0))))))))</f>
        <v>0</v>
      </c>
      <c r="CN264" s="426">
        <v>26519000028</v>
      </c>
      <c r="CO264" s="427" t="s">
        <v>1266</v>
      </c>
      <c r="CP264" s="426"/>
      <c r="CQ264" s="426"/>
      <c r="CR264" s="428"/>
      <c r="CS264" s="428"/>
      <c r="CT264" s="428"/>
      <c r="CU264" s="428"/>
      <c r="CV264" s="409">
        <v>15</v>
      </c>
      <c r="CW264" s="398" t="e">
        <f>IF(CV264=0,0,IF(LEN(CN264)=11,_xlfn.XLOOKUP(CN264,'Dispensed Ink Rates'!C:C,'Dispensed Ink Rates'!CS:CS),VLOOKUP(CN264,'Jan-2026 rates'!$E:$F,2,0)))</f>
        <v>#N/A</v>
      </c>
      <c r="CX264" s="409">
        <v>10</v>
      </c>
      <c r="CY264" s="398">
        <f>IF(CX264=0,0,IF(LEN(CO264)=11,_xlfn.XLOOKUP(CO264,'Dispensed Ink Rates'!C:C,'Dispensed Ink Rates'!CS:CS),VLOOKUP(CO264,'Jan-2026 rates'!$E:$F,2,0)))</f>
        <v>0</v>
      </c>
      <c r="CZ264" s="409"/>
      <c r="DA264" s="398">
        <f>IF(CZ264=0,0,IF(LEN(CP264)=11,_xlfn.XLOOKUP(CP264,'Dispensed Ink Rates'!C:C,'Dispensed Ink Rates'!CS:CS),VLOOKUP(CP264,'Jan-2026 rates'!$E:$F,2,0)))</f>
        <v>0</v>
      </c>
      <c r="DB264" s="409"/>
      <c r="DC264" s="398">
        <f>IF(DB264=0,0,IF(LEN(CQ264)=11,_xlfn.XLOOKUP(CQ264,'Dispensed Ink Rates'!C:C,'Dispensed Ink Rates'!CS:CS),VLOOKUP(CQ264,'Jan-2026 rates'!$E:$F,2,0)))</f>
        <v>0</v>
      </c>
      <c r="DD264" s="409"/>
      <c r="DE264" s="398">
        <f>IF(DD264=0,0,IF(LEN(CR264)=11,_xlfn.XLOOKUP(CR264,'Dispensed Ink Rates'!C:C,'Dispensed Ink Rates'!CS:CS),VLOOKUP(CR264,'Jan-2026 rates'!$E:$F,2,0)))</f>
        <v>0</v>
      </c>
      <c r="DF264" s="409"/>
      <c r="DG264" s="398">
        <f>IF(DF264=0,0,IF(LEN(CS264)=11,_xlfn.XLOOKUP(CS264,'Dispensed Ink Rates'!C:C,'Dispensed Ink Rates'!CS:CS),VLOOKUP(CS264,'Jan-2026 rates'!$E:$F,2,0)))</f>
        <v>0</v>
      </c>
      <c r="DH264" s="409"/>
      <c r="DI264" s="398">
        <f>IF(DH264=0,0,IF(LEN(CT264)=11,_xlfn.XLOOKUP(CT264,'Dispensed Ink Rates'!C:C,'Dispensed Ink Rates'!CS:CS),VLOOKUP(CT264,'Jan-2026 rates'!$E:$F,2,0)))</f>
        <v>0</v>
      </c>
      <c r="DJ264" s="409"/>
      <c r="DK264" s="398">
        <f>IF(DJ264=0,0,IF(LEN(CU264)=11,_xlfn.XLOOKUP(CU264,'Dispensed Ink Rates'!C:C,'Dispensed Ink Rates'!CS:CS),VLOOKUP(CU264,'Jan-2026 rates'!$E:$F,2,0)))</f>
        <v>0</v>
      </c>
      <c r="DL264" s="409" t="s">
        <v>1443</v>
      </c>
      <c r="DM264" s="409">
        <v>33</v>
      </c>
      <c r="DN264" s="411">
        <f t="shared" si="165"/>
        <v>0</v>
      </c>
      <c r="DO264" s="411">
        <f t="shared" si="166"/>
        <v>42.967741935483872</v>
      </c>
      <c r="DP264" s="410">
        <f t="shared" si="167"/>
        <v>0</v>
      </c>
      <c r="DQ264" s="405" t="s">
        <v>855</v>
      </c>
      <c r="DR264" s="409" t="s">
        <v>4177</v>
      </c>
      <c r="DS264" s="420" t="str">
        <f t="shared" si="186"/>
        <v>FLINTSL - CYAN</v>
      </c>
      <c r="DT264" s="409">
        <v>30</v>
      </c>
      <c r="DU264" s="411">
        <f>IF(DT264=0,0,IF($LB264=70%,VLOOKUP($DS264,'Jan-2026 rates'!$L:$R,4,0),IF($LB264=65%,VLOOKUP($DS264,'Jan-2026 rates'!$L:$R,4,0),IF($LB264=40%,VLOOKUP($DS264,'Jan-2026 rates'!$L:$R,5,0),IF($LB264=30%,VLOOKUP($DS264,'Jan-2026 rates'!$L:$R,6,0),IF($LB264=100%,VLOOKUP($DS264,'Jan-2026 rates'!$L:$R,7,0),IF($LB264=60%,VLOOKUP($DS264,'Jan-2026 rates'!$L:$S,8,0),IF($LB264=80%,VLOOKUP($DS264,'Jan-2026 rates'!L:T,9,0),0))))))))</f>
        <v>0</v>
      </c>
      <c r="DV264" s="412"/>
      <c r="DW264" s="409"/>
      <c r="DX264" s="411">
        <f>IF(DW264=0,0,IF($LB264=70%,VLOOKUP($DS264,'Jan-2026 rates'!$L:$R,4,0),IF($LB264=65%,VLOOKUP($DS264,'Jan-2026 rates'!$L:$R,4,0),IF($LB264=40%,VLOOKUP($DS264,'Jan-2026 rates'!$L:$R,5,0),IF($LB264=30%,VLOOKUP($DS264,'Jan-2026 rates'!$L:$R,6,0),IF($LB264=100%,VLOOKUP($DS264,'Jan-2026 rates'!$L:$R,7,0),IF($LB264=60%,VLOOKUP($DS264,'Jan-2026 rates'!$L:$S,8,0),IF($LB264=80%,VLOOKUP($DS264,'Jan-2026 rates'!L:T,9,0),0))))))))</f>
        <v>0</v>
      </c>
      <c r="DY264" s="413" t="s">
        <v>1266</v>
      </c>
      <c r="DZ264" s="413"/>
      <c r="EA264" s="412"/>
      <c r="EB264" s="412"/>
      <c r="EC264" s="412"/>
      <c r="ED264" s="412"/>
      <c r="EE264" s="412"/>
      <c r="EF264" s="412"/>
      <c r="EG264" s="409">
        <v>2</v>
      </c>
      <c r="EH264" s="398">
        <f>IF(EG264=0,0,IF(LEN(DY264)=11,_xlfn.XLOOKUP(DY264,'Dispensed Ink Rates'!C:C,'Dispensed Ink Rates'!CS:CS),VLOOKUP(DY264,'Jan-2026 rates'!$E:$F,2,0)))</f>
        <v>0</v>
      </c>
      <c r="EI264" s="409"/>
      <c r="EJ264" s="398">
        <f>IF(EI264=0,0,IF(LEN(DZ264)=11,_xlfn.XLOOKUP(DZ264,'Dispensed Ink Rates'!C:C,'Dispensed Ink Rates'!CS:CS),VLOOKUP(DZ264,'Jan-2026 rates'!$E:$F,2,0)))</f>
        <v>0</v>
      </c>
      <c r="EK264" s="409"/>
      <c r="EL264" s="398">
        <f>IF(EK264=0,0,IF(LEN(EA264)=11,_xlfn.XLOOKUP(EA264,'Dispensed Ink Rates'!C:C,'Dispensed Ink Rates'!CS:CS),VLOOKUP(EA264,'Jan-2026 rates'!$E:$F,2,0)))</f>
        <v>0</v>
      </c>
      <c r="EM264" s="409"/>
      <c r="EN264" s="398">
        <f>IF(EM264=0,0,IF(LEN(EB264)=11,_xlfn.XLOOKUP(EB264,'Dispensed Ink Rates'!C:C,'Dispensed Ink Rates'!CS:CS),VLOOKUP(EB264,'Jan-2026 rates'!$E:$F,2,0)))</f>
        <v>0</v>
      </c>
      <c r="EO264" s="409"/>
      <c r="EP264" s="398">
        <f>IF(EO264=0,0,IF(LEN(EC264)=11,_xlfn.XLOOKUP(EC264,'Dispensed Ink Rates'!C:C,'Dispensed Ink Rates'!CS:CS),VLOOKUP(EC264,'Jan-2026 rates'!$E:$F,2,0)))</f>
        <v>0</v>
      </c>
      <c r="EQ264" s="409"/>
      <c r="ER264" s="398">
        <f>IF(EQ264=0,0,IF(LEN(ED264)=11,_xlfn.XLOOKUP(ED264,'Dispensed Ink Rates'!C:C,'Dispensed Ink Rates'!CS:CS),VLOOKUP(ED264,'Jan-2026 rates'!$E:$F,2,0)))</f>
        <v>0</v>
      </c>
      <c r="ES264" s="409"/>
      <c r="ET264" s="398">
        <f>IF(ES264=0,0,IF(LEN(EE264)=11,_xlfn.XLOOKUP(EE264,'Dispensed Ink Rates'!C:C,'Dispensed Ink Rates'!CS:CS),VLOOKUP(EE264,'Jan-2026 rates'!$E:$F,2,0)))</f>
        <v>0</v>
      </c>
      <c r="EU264" s="409"/>
      <c r="EV264" s="398">
        <f>IF(EU264=0,0,IF(LEN(EF264)=11,_xlfn.XLOOKUP(EF264,'Dispensed Ink Rates'!C:C,'Dispensed Ink Rates'!CS:CS),VLOOKUP(EF264,'Jan-2026 rates'!$E:$F,2,0)))</f>
        <v>0</v>
      </c>
      <c r="EW264" s="409" t="s">
        <v>1443</v>
      </c>
      <c r="EX264" s="409">
        <v>30</v>
      </c>
      <c r="EY264" s="411">
        <f t="shared" si="168"/>
        <v>0</v>
      </c>
      <c r="EZ264" s="411">
        <f t="shared" si="169"/>
        <v>8.1935483870967758</v>
      </c>
      <c r="FA264" s="410">
        <f t="shared" si="170"/>
        <v>0</v>
      </c>
      <c r="FB264" s="405" t="s">
        <v>544</v>
      </c>
      <c r="FC264" s="409" t="s">
        <v>4178</v>
      </c>
      <c r="FD264" s="420" t="str">
        <f t="shared" si="187"/>
        <v>FLINTSL - MAGENTA</v>
      </c>
      <c r="FE264" s="409">
        <v>29</v>
      </c>
      <c r="FF264" s="411">
        <f>IF(FE264=0,0,IF($LB264=70%,VLOOKUP($FD264,'Jan-2026 rates'!$L:$R,4,0),IF($LB264=65%,VLOOKUP($FD264,'Jan-2026 rates'!$L:$R,4,0),IF($LB264=40%,VLOOKUP($FD264,'Jan-2026 rates'!$L:$R,5,0),IF($LB264=30%,VLOOKUP($FD264,'Jan-2026 rates'!$L:$R,6,0),IF($LB264=100%,VLOOKUP($FD264,'Jan-2026 rates'!$L:$R,7,0),IF($LB264=60%,VLOOKUP($FD264,'Jan-2026 rates'!$L:$S,8,0),IF($LB264=80%,VLOOKUP($FD264,'Jan-2026 rates'!L:T,9,0),0))))))))</f>
        <v>0</v>
      </c>
      <c r="FG264" s="412"/>
      <c r="FH264" s="409"/>
      <c r="FI264" s="411">
        <f>IF(FH264=0,0,IF($LB264=70%,VLOOKUP($FD264,'Jan-2026 rates'!$L:$R,4,0),IF($LB264=65%,VLOOKUP($FD264,'Jan-2026 rates'!$L:$R,4,0),IF($LB264=40%,VLOOKUP($FD264,'Jan-2026 rates'!$L:$R,5,0),IF($LB264=30%,VLOOKUP($FD264,'Jan-2026 rates'!$L:$R,6,0),IF($LB264=100%,VLOOKUP($FD264,'Jan-2026 rates'!$L:$R,7,0),IF($LB264=60%,VLOOKUP($FD264,'Jan-2026 rates'!$L:$S,8,0),IF($LB264=80%,VLOOKUP($FD264,'Jan-2026 rates'!L:T,9,0),0))))))))</f>
        <v>0</v>
      </c>
      <c r="FJ264" s="413" t="s">
        <v>1266</v>
      </c>
      <c r="FK264" s="413"/>
      <c r="FL264" s="413"/>
      <c r="FM264" s="412"/>
      <c r="FN264" s="412"/>
      <c r="FO264" s="412"/>
      <c r="FP264" s="412"/>
      <c r="FQ264" s="412"/>
      <c r="FR264" s="409">
        <v>4</v>
      </c>
      <c r="FS264" s="398">
        <f>IF(FR264=0,0,IF(LEN(FJ264)=11,_xlfn.XLOOKUP(FJ264,'Dispensed Ink Rates'!C:C,'Dispensed Ink Rates'!CS:CS),VLOOKUP(FJ264,'Jan-2026 rates'!$E:$F,2,0)))</f>
        <v>0</v>
      </c>
      <c r="FT264" s="409"/>
      <c r="FU264" s="398">
        <f>IF(FT264=0,0,IF(LEN(FK264)=11,_xlfn.XLOOKUP(FK264,'Dispensed Ink Rates'!C:C,'Dispensed Ink Rates'!CS:CS),VLOOKUP(FK264,'Jan-2026 rates'!$E:$F,2,0)))</f>
        <v>0</v>
      </c>
      <c r="FV264" s="409"/>
      <c r="FW264" s="398">
        <f>IF(FV264=0,0,IF(LEN(FL264)=11,_xlfn.XLOOKUP(FL264,'Dispensed Ink Rates'!C:C,'Dispensed Ink Rates'!CS:CS),VLOOKUP(FL264,'Jan-2026 rates'!$E:$F,2,0)))</f>
        <v>0</v>
      </c>
      <c r="FX264" s="409"/>
      <c r="FY264" s="398">
        <f>IF(FX264=0,0,IF(LEN(FM264)=11,_xlfn.XLOOKUP(FM264,'Dispensed Ink Rates'!C:C,'Dispensed Ink Rates'!CS:CS),VLOOKUP(FM264,'Jan-2026 rates'!$E:$F,2,0)))</f>
        <v>0</v>
      </c>
      <c r="FZ264" s="409"/>
      <c r="GA264" s="398">
        <f>IF(FZ264=0,0,IF(LEN(FN264)=11,_xlfn.XLOOKUP(FN264,'Dispensed Ink Rates'!C:C,'Dispensed Ink Rates'!CS:CS),VLOOKUP(FN264,'Jan-2026 rates'!$E:$F,2,0)))</f>
        <v>0</v>
      </c>
      <c r="GB264" s="409"/>
      <c r="GC264" s="398">
        <f>IF(GB264=0,0,IF(LEN(FO264)=11,_xlfn.XLOOKUP(FO264,'Dispensed Ink Rates'!C:C,'Dispensed Ink Rates'!CS:CS),VLOOKUP(FO264,'Jan-2026 rates'!$E:$F,2,0)))</f>
        <v>0</v>
      </c>
      <c r="GD264" s="409"/>
      <c r="GE264" s="398">
        <f>IF(GD264=0,0,IF(LEN(FP264)=11,_xlfn.XLOOKUP(FP264,'Dispensed Ink Rates'!C:C,'Dispensed Ink Rates'!CS:CS),VLOOKUP(FP264,'Jan-2026 rates'!$E:$F,2,0)))</f>
        <v>0</v>
      </c>
      <c r="GF264" s="409"/>
      <c r="GG264" s="398">
        <f>IF(GF264=0,0,IF(LEN(FQ264)=11,_xlfn.XLOOKUP(FQ264,'Dispensed Ink Rates'!C:C,'Dispensed Ink Rates'!CS:CS),VLOOKUP(FQ264,'Jan-2026 rates'!$E:$F,2,0)))</f>
        <v>0</v>
      </c>
      <c r="GH264" s="409" t="s">
        <v>1443</v>
      </c>
      <c r="GI264" s="409">
        <v>30</v>
      </c>
      <c r="GJ264" s="411">
        <f t="shared" si="171"/>
        <v>0</v>
      </c>
      <c r="GK264" s="411">
        <f t="shared" si="172"/>
        <v>7.1290322580645125</v>
      </c>
      <c r="GL264" s="410">
        <f t="shared" si="173"/>
        <v>0</v>
      </c>
      <c r="GM264" s="405" t="s">
        <v>545</v>
      </c>
      <c r="GN264" s="409" t="s">
        <v>4179</v>
      </c>
      <c r="GO264" s="420" t="str">
        <f t="shared" si="188"/>
        <v>FLINTSL - YELLOW</v>
      </c>
      <c r="GP264" s="409">
        <v>25</v>
      </c>
      <c r="GQ264" s="411">
        <f>IF(GP264=0,0,IF($LB264=70%,VLOOKUP($GO264,'Jan-2026 rates'!$L:$R,4,0),IF($LB264=65%,VLOOKUP($GO264,'Jan-2026 rates'!$L:$R,4,0),IF($LB264=40%,VLOOKUP($GO264,'Jan-2026 rates'!$L:$R,5,0),IF($LB264=30%,VLOOKUP($GO264,'Jan-2026 rates'!$L:$R,6,0),IF($LB264=100%,VLOOKUP($GO264,'Jan-2026 rates'!$L:$R,7,0),IF($LB264=60%,VLOOKUP($GO264,'Jan-2026 rates'!$L:$S,8,0),IF($LB264=80%,VLOOKUP($GO264,'Jan-2026 rates'!L:T,9,0),0))))))))</f>
        <v>0</v>
      </c>
      <c r="GR264" s="412"/>
      <c r="GS264" s="409"/>
      <c r="GT264" s="411">
        <f>IF(GS264=0,0,IF($LB264=70%,VLOOKUP($GO264,'Jan-2026 rates'!$L:$R,4,0),IF($LB264=65%,VLOOKUP($GO264,'Jan-2026 rates'!$L:$R,4,0),IF($LB264=40%,VLOOKUP($GO264,'Jan-2026 rates'!$L:$R,5,0),IF($LB264=30%,VLOOKUP($GO264,'Jan-2026 rates'!$L:$R,6,0),IF($LB264=100%,VLOOKUP($GO264,'Jan-2026 rates'!$L:$R,7,0),IF($LB264=60%,VLOOKUP($GO264,'Jan-2026 rates'!$L:$S,8,0),IF($LB264=80%,VLOOKUP($GO264,'Jan-2026 rates'!L:T,9,0),0))))))))</f>
        <v>0</v>
      </c>
      <c r="GU264" s="413" t="s">
        <v>1266</v>
      </c>
      <c r="GV264" s="413">
        <v>26521000007</v>
      </c>
      <c r="GW264" s="412"/>
      <c r="GX264" s="412"/>
      <c r="GY264" s="412"/>
      <c r="GZ264" s="412"/>
      <c r="HA264" s="412"/>
      <c r="HB264" s="412"/>
      <c r="HC264" s="409">
        <v>4</v>
      </c>
      <c r="HD264" s="398">
        <f>IF(HC264=0,0,IF(LEN(GU264)=11,_xlfn.XLOOKUP(GU264,'Dispensed Ink Rates'!C:C,'Dispensed Ink Rates'!CS:CS),VLOOKUP(GU264,'Jan-2026 rates'!$E:$F,2,0)))</f>
        <v>0</v>
      </c>
      <c r="HE264" s="409">
        <f>3+1</f>
        <v>4</v>
      </c>
      <c r="HF264" s="398" t="e">
        <f>IF(HE264=0,0,IF(LEN(GV264)=11,_xlfn.XLOOKUP(GV264,'Dispensed Ink Rates'!C:C,'Dispensed Ink Rates'!CS:CS),VLOOKUP(GV264,'Jan-2026 rates'!$E:$F,2,0)))</f>
        <v>#N/A</v>
      </c>
      <c r="HG264" s="409"/>
      <c r="HH264" s="398">
        <f>IF(HG264=0,0,IF(LEN(GW264)=11,_xlfn.XLOOKUP(GW264,'Dispensed Ink Rates'!C:C,'Dispensed Ink Rates'!CS:CS),VLOOKUP(GW264,'Jan-2026 rates'!$E:$F,2,0)))</f>
        <v>0</v>
      </c>
      <c r="HI264" s="409"/>
      <c r="HJ264" s="398">
        <f>IF(HI264=0,0,IF(LEN(GX264)=11,_xlfn.XLOOKUP(GX264,'Dispensed Ink Rates'!C:C,'Dispensed Ink Rates'!CS:CS),VLOOKUP(GX264,'Jan-2026 rates'!$E:$F,2,0)))</f>
        <v>0</v>
      </c>
      <c r="HK264" s="409"/>
      <c r="HL264" s="398">
        <f>IF(HK264=0,0,IF(LEN(GY264)=11,_xlfn.XLOOKUP(GY264,'Dispensed Ink Rates'!C:C,'Dispensed Ink Rates'!CS:CS),VLOOKUP(GY264,'Jan-2026 rates'!$E:$F,2,0)))</f>
        <v>0</v>
      </c>
      <c r="HM264" s="409"/>
      <c r="HN264" s="398">
        <f>IF(HM264=0,0,IF(LEN(GZ264)=11,_xlfn.XLOOKUP(GZ264,'Dispensed Ink Rates'!C:C,'Dispensed Ink Rates'!CS:CS),VLOOKUP(GZ264,'Jan-2026 rates'!$E:$F,2,0)))</f>
        <v>0</v>
      </c>
      <c r="HO264" s="409"/>
      <c r="HP264" s="398">
        <f>IF(HO264=0,0,IF(LEN(HA264)=11,_xlfn.XLOOKUP(HA264,'Dispensed Ink Rates'!C:C,'Dispensed Ink Rates'!CS:CS),VLOOKUP(HA264,'Jan-2026 rates'!$E:$F,2,0)))</f>
        <v>0</v>
      </c>
      <c r="HQ264" s="409"/>
      <c r="HR264" s="398">
        <f>IF(HQ264=0,0,IF(LEN(HB264)=11,_xlfn.XLOOKUP(HB264,'Dispensed Ink Rates'!C:C,'Dispensed Ink Rates'!CS:CS),VLOOKUP(HB264,'Jan-2026 rates'!$E:$F,2,0)))</f>
        <v>0</v>
      </c>
      <c r="HS264" s="409" t="s">
        <v>1443</v>
      </c>
      <c r="HT264" s="409">
        <v>24</v>
      </c>
      <c r="HU264" s="411">
        <f t="shared" si="174"/>
        <v>0</v>
      </c>
      <c r="HV264" s="411">
        <f t="shared" si="175"/>
        <v>15.193548387096776</v>
      </c>
      <c r="HW264" s="414">
        <f t="shared" si="176"/>
        <v>0</v>
      </c>
      <c r="HX264" s="405" t="s">
        <v>547</v>
      </c>
      <c r="HY264" s="409" t="s">
        <v>4180</v>
      </c>
      <c r="HZ264" s="420" t="str">
        <f t="shared" si="189"/>
        <v>FLINTSL - GREEN</v>
      </c>
      <c r="IA264" s="409">
        <v>28</v>
      </c>
      <c r="IB264" s="411">
        <f>IF(IA264=0,0,IF($LB264=70%,VLOOKUP($HZ264,'Jan-2026 rates'!$L:$R,4,0),IF($LB264=65%,VLOOKUP($HZ264,'Jan-2026 rates'!$L:$R,4,0),IF($LB264=40%,VLOOKUP($HZ264,'Jan-2026 rates'!$L:$R,5,0),IF($LB264=30%,VLOOKUP($HZ264,'Jan-2026 rates'!$L:$R,6,0),IF($LB264=100%,VLOOKUP($HZ264,'Jan-2026 rates'!$L:$R,7,0),IF($LB264=60%,VLOOKUP($HZ264,'Jan-2026 rates'!$L:$S,8,0),IF($LB264=80%,VLOOKUP($HZ264,'Jan-2026 rates'!L:T,9,0),0))))))))</f>
        <v>0</v>
      </c>
      <c r="IC264" s="412"/>
      <c r="ID264" s="409"/>
      <c r="IE264" s="411">
        <f>IF(ID264=0,0,IF($LB264=70%,VLOOKUP($HZ264,'Jan-2026 rates'!$L:$R,4,0),IF($LB264=65%,VLOOKUP($HZ264,'Jan-2026 rates'!$L:$R,4,0),IF($LB264=40%,VLOOKUP($HZ264,'Jan-2026 rates'!$L:$R,5,0),IF($LB264=30%,VLOOKUP($HZ264,'Jan-2026 rates'!$L:$R,6,0),IF($LB264=100%,VLOOKUP($HZ264,'Jan-2026 rates'!$L:$R,7,0),IF($LB264=60%,VLOOKUP($HZ264,'Jan-2026 rates'!$L:$S,8,0),IF($LB264=80%,VLOOKUP($HZ264,'Jan-2026 rates'!L:T,9,0),0))))))))</f>
        <v>0</v>
      </c>
      <c r="IF264" s="412"/>
      <c r="IG264" s="413"/>
      <c r="IH264" s="412"/>
      <c r="II264" s="412"/>
      <c r="IJ264" s="412"/>
      <c r="IK264" s="412"/>
      <c r="IL264" s="412"/>
      <c r="IM264" s="412"/>
      <c r="IN264" s="409"/>
      <c r="IO264" s="398">
        <f>IF(IN264=0,0,IF(LEN(IF264)=11,_xlfn.XLOOKUP(IF264,'Dispensed Ink Rates'!C:C,'Dispensed Ink Rates'!CS:CS),VLOOKUP(IF264,'Jan-2026 rates'!$E:$F,2,0)))</f>
        <v>0</v>
      </c>
      <c r="IP264" s="409"/>
      <c r="IQ264" s="398">
        <f>IF(IP264=0,0,IF(LEN(IG264)=11,_xlfn.XLOOKUP(IG264,'Dispensed Ink Rates'!C:C,'Dispensed Ink Rates'!CS:CS),VLOOKUP(IG264,'Jan-2026 rates'!$E:$F,2,0)))</f>
        <v>0</v>
      </c>
      <c r="IR264" s="409"/>
      <c r="IS264" s="398">
        <f>IF(IR264=0,0,IF(LEN(IH264)=11,_xlfn.XLOOKUP(IH264,'Dispensed Ink Rates'!C:C,'Dispensed Ink Rates'!CS:CS),VLOOKUP(IH264,'Jan-2026 rates'!$E:$F,2,0)))</f>
        <v>0</v>
      </c>
      <c r="IT264" s="409"/>
      <c r="IU264" s="398">
        <f>IF(IT264=0,0,IF(LEN(II264)=11,_xlfn.XLOOKUP(II264,'Dispensed Ink Rates'!C:C,'Dispensed Ink Rates'!CS:CS),VLOOKUP(II264,'Jan-2026 rates'!$E:$F,2,0)))</f>
        <v>0</v>
      </c>
      <c r="IV264" s="409"/>
      <c r="IW264" s="398">
        <f>IF(IV264=0,0,IF(LEN(IJ264)=11,_xlfn.XLOOKUP(IJ264,'Dispensed Ink Rates'!C:C,'Dispensed Ink Rates'!CS:CS),VLOOKUP(IJ264,'Jan-2026 rates'!$E:$F,2,0)))</f>
        <v>0</v>
      </c>
      <c r="IX264" s="409"/>
      <c r="IY264" s="398">
        <f>IF(IX264=0,0,IF(LEN(IK264)=11,_xlfn.XLOOKUP(IK264,'Dispensed Ink Rates'!C:C,'Dispensed Ink Rates'!CS:CS),VLOOKUP(IK264,'Jan-2026 rates'!$E:$F,2,0)))</f>
        <v>0</v>
      </c>
      <c r="IZ264" s="409"/>
      <c r="JA264" s="398">
        <f>IF(IZ264=0,0,IF(LEN(IL264)=11,_xlfn.XLOOKUP(IL264,'Dispensed Ink Rates'!C:C,'Dispensed Ink Rates'!CS:CS),VLOOKUP(IL264,'Jan-2026 rates'!$E:$F,2,0)))</f>
        <v>0</v>
      </c>
      <c r="JB264" s="409"/>
      <c r="JC264" s="398">
        <f>IF(JB264=0,0,IF(LEN(IM264)=11,_xlfn.XLOOKUP(IM264,'Dispensed Ink Rates'!C:C,'Dispensed Ink Rates'!CS:CS),VLOOKUP(IM264,'Jan-2026 rates'!$E:$F,2,0)))</f>
        <v>0</v>
      </c>
      <c r="JD264" s="409" t="s">
        <v>1443</v>
      </c>
      <c r="JE264" s="409">
        <v>27</v>
      </c>
      <c r="JF264" s="411">
        <f t="shared" si="177"/>
        <v>0</v>
      </c>
      <c r="JG264" s="411">
        <f t="shared" si="178"/>
        <v>7.1935483870967758</v>
      </c>
      <c r="JH264" s="410">
        <f t="shared" si="179"/>
        <v>0</v>
      </c>
      <c r="JI264" s="405" t="s">
        <v>856</v>
      </c>
      <c r="JJ264" s="409" t="s">
        <v>4181</v>
      </c>
      <c r="JK264" s="420" t="str">
        <f t="shared" si="190"/>
        <v>FLINTSL - WHITE</v>
      </c>
      <c r="JL264" s="409">
        <v>25</v>
      </c>
      <c r="JM264" s="411">
        <f>IF(JL264=0,0,IF($LB264=70%,VLOOKUP($JK264,'Jan-2026 rates'!$L:$R,4,0),IF($LB264=65%,VLOOKUP($JK264,'Jan-2026 rates'!$L:$R,4,0),IF($LB264=40%,VLOOKUP($JK264,'Jan-2026 rates'!$L:$R,5,0),IF($LB264=30%,VLOOKUP($JK264,'Jan-2026 rates'!$L:$R,6,0),IF($LB264=100%,VLOOKUP($JK264,'Jan-2026 rates'!$L:$R,7,0),IF($LB264=60%,VLOOKUP($JK264,'Jan-2026 rates'!$L:$S,8,0),IF($LB264=80%,VLOOKUP($JK264,'Jan-2026 rates'!L:T,9,0),0))))))))</f>
        <v>0</v>
      </c>
      <c r="JN264" s="412"/>
      <c r="JO264" s="409"/>
      <c r="JP264" s="411">
        <f>IF(JO264=0,0,IF($LB264=70%,VLOOKUP($JK264,'Jan-2026 rates'!$L:$R,4,0),IF($LB264=65%,VLOOKUP($JK264,'Jan-2026 rates'!$L:$R,4,0),IF($LB264=40%,VLOOKUP($JK264,'Jan-2026 rates'!$L:$R,5,0),IF($LB264=30%,VLOOKUP($JK264,'Jan-2026 rates'!$L:$R,6,0),IF($LB264=100%,VLOOKUP($JK264,'Jan-2026 rates'!$L:$R,7,0),IF($LB264=60%,VLOOKUP($JK264,'Jan-2026 rates'!$L:$S,8,0),IF($LB264=80%,VLOOKUP($JK264,'Jan-2026 rates'!L:T,9,0),0))))))))</f>
        <v>0</v>
      </c>
      <c r="JQ264" s="413" t="s">
        <v>484</v>
      </c>
      <c r="JR264" s="412"/>
      <c r="JS264" s="413"/>
      <c r="JT264" s="413"/>
      <c r="JU264" s="412"/>
      <c r="JV264" s="412"/>
      <c r="JW264" s="412"/>
      <c r="JX264" s="412"/>
      <c r="JY264" s="409">
        <v>60</v>
      </c>
      <c r="JZ264" s="398">
        <f>IF(JY264=0,0,IF(LEN(JQ264)=11,_xlfn.XLOOKUP(JQ264,'Dispensed Ink Rates'!C:C,'Dispensed Ink Rates'!CS:CS),VLOOKUP(JQ264,'Jan-2026 rates'!$E:$F,2,0)))</f>
        <v>0</v>
      </c>
      <c r="KA264" s="409"/>
      <c r="KB264" s="398">
        <f>IF(KA264=0,0,IF(LEN(JR264)=11,_xlfn.XLOOKUP(JR264,'Dispensed Ink Rates'!C:C,'Dispensed Ink Rates'!CS:CS),VLOOKUP(JR264,'Jan-2026 rates'!$E:$F,2,0)))</f>
        <v>0</v>
      </c>
      <c r="KC264" s="409"/>
      <c r="KD264" s="398">
        <f>IF(KC264=0,0,IF(LEN(JS264)=11,_xlfn.XLOOKUP(JS264,'Dispensed Ink Rates'!C:C,'Dispensed Ink Rates'!CS:CS),VLOOKUP(JS264,'Jan-2026 rates'!$E:$F,2,0)))</f>
        <v>0</v>
      </c>
      <c r="KE264" s="409"/>
      <c r="KF264" s="398">
        <f>IF(KE264=0,0,IF(LEN(JT264)=11,_xlfn.XLOOKUP(JT264,'Dispensed Ink Rates'!C:C,'Dispensed Ink Rates'!CS:CS),VLOOKUP(JT264,'Jan-2026 rates'!$E:$F,2,0)))</f>
        <v>0</v>
      </c>
      <c r="KG264" s="409"/>
      <c r="KH264" s="398">
        <f>IF(KG264=0,0,IF(LEN(JU264)=11,_xlfn.XLOOKUP(JU264,'Dispensed Ink Rates'!C:C,'Dispensed Ink Rates'!CS:CS),VLOOKUP(JU264,'Jan-2026 rates'!$E:$F,2,0)))</f>
        <v>0</v>
      </c>
      <c r="KI264" s="409"/>
      <c r="KJ264" s="398">
        <f>IF(KI264=0,0,IF(LEN(JV264)=11,_xlfn.XLOOKUP(JV264,'Dispensed Ink Rates'!C:C,'Dispensed Ink Rates'!CS:CS),VLOOKUP(JV264,'Jan-2026 rates'!$E:$F,2,0)))</f>
        <v>0</v>
      </c>
      <c r="KK264" s="409"/>
      <c r="KL264" s="398">
        <f>IF(KK264=0,0,IF(LEN(JW264)=11,_xlfn.XLOOKUP(JW264,'Dispensed Ink Rates'!C:C,'Dispensed Ink Rates'!CS:CS),VLOOKUP(JW264,'Jan-2026 rates'!$E:$F,2,0)))</f>
        <v>0</v>
      </c>
      <c r="KM264" s="428"/>
      <c r="KN264" s="398">
        <f>IF(KM264=0,0,IF(LEN(JX264)=11,_xlfn.XLOOKUP(JX264,'Dispensed Ink Rates'!C:C,'Dispensed Ink Rates'!CS:CS),VLOOKUP(JX264,'Jan-2026 rates'!$E:$F,2,0)))</f>
        <v>0</v>
      </c>
      <c r="KO264" s="409" t="s">
        <v>1443</v>
      </c>
      <c r="KP264" s="409">
        <v>30</v>
      </c>
      <c r="KQ264" s="411">
        <f t="shared" si="180"/>
        <v>0</v>
      </c>
      <c r="KR264" s="411">
        <f t="shared" si="181"/>
        <v>116.93548387096774</v>
      </c>
      <c r="KS264" s="410">
        <f t="shared" si="182"/>
        <v>0</v>
      </c>
      <c r="KT264" s="409">
        <v>3</v>
      </c>
      <c r="KU264" s="409">
        <v>3</v>
      </c>
      <c r="KV264" s="409">
        <v>15</v>
      </c>
      <c r="KW264" s="409">
        <v>3</v>
      </c>
      <c r="KX264" s="409">
        <v>2</v>
      </c>
      <c r="KY264" s="409">
        <v>3</v>
      </c>
      <c r="KZ264" s="409">
        <v>3</v>
      </c>
      <c r="LA264" s="409">
        <v>30</v>
      </c>
      <c r="LB264" s="415">
        <v>0.8</v>
      </c>
      <c r="LC264" s="415">
        <v>0.2</v>
      </c>
      <c r="LD264" s="415"/>
      <c r="LE264" s="415"/>
      <c r="LF264" s="415"/>
      <c r="LG264" s="409">
        <v>0</v>
      </c>
      <c r="LH264" s="409">
        <f>30+28+56+14</f>
        <v>128</v>
      </c>
      <c r="LI264" s="409">
        <v>0</v>
      </c>
      <c r="LJ264" s="409">
        <v>0</v>
      </c>
      <c r="LK264" s="416">
        <f t="shared" si="191"/>
        <v>128</v>
      </c>
      <c r="LL264" s="416">
        <f t="shared" si="192"/>
        <v>128</v>
      </c>
      <c r="LM264" s="417">
        <f t="shared" si="193"/>
        <v>102.4</v>
      </c>
      <c r="LN264" s="417">
        <f>VLOOKUP($LM$8,'Jan-2026 rates'!$H:$I,2,0)</f>
        <v>0</v>
      </c>
      <c r="LO264" s="417">
        <f t="shared" si="194"/>
        <v>25.6</v>
      </c>
      <c r="LP264" s="417">
        <f>VLOOKUP($LO$8,'Jan-2026 rates'!$H:$I,2,0)</f>
        <v>0</v>
      </c>
      <c r="LQ264" s="417">
        <f t="shared" si="195"/>
        <v>0</v>
      </c>
      <c r="LR264" s="417">
        <f>VLOOKUP($LQ$8,'Jan-2026 rates'!$H:$I,2,0)</f>
        <v>0</v>
      </c>
      <c r="LS264" s="417">
        <f t="shared" si="196"/>
        <v>0</v>
      </c>
      <c r="LT264" s="417">
        <f>VLOOKUP($LS$8,'Jan-2026 rates'!$H:$I,2,0)</f>
        <v>0</v>
      </c>
      <c r="LU264" s="417">
        <f t="shared" si="197"/>
        <v>0</v>
      </c>
      <c r="LV264" s="417">
        <f>VLOOKUP($LU$8,'Jan-2026 rates'!$H:$I,2,0)</f>
        <v>0</v>
      </c>
      <c r="LW264" s="417">
        <f t="shared" si="198"/>
        <v>0</v>
      </c>
      <c r="LX264" s="417">
        <f t="shared" si="199"/>
        <v>0</v>
      </c>
      <c r="LY264" s="418">
        <f t="shared" si="200"/>
        <v>0</v>
      </c>
      <c r="LZ264" s="417"/>
      <c r="MA264" s="435">
        <f t="shared" si="201"/>
        <v>103</v>
      </c>
      <c r="MB264" s="282">
        <f t="shared" si="202"/>
        <v>215</v>
      </c>
      <c r="MC264" s="283">
        <v>157</v>
      </c>
      <c r="MD264" s="284" t="str">
        <f t="shared" si="203"/>
        <v>FLINTSLFLINTSLFLINTSLFLINTSLFLINTSLFLINTSLFLINTSLFLINTSL</v>
      </c>
      <c r="ME264" s="293" t="str">
        <f t="shared" si="204"/>
        <v>+</v>
      </c>
      <c r="MF264" s="293" t="str">
        <f t="shared" si="205"/>
        <v>+</v>
      </c>
      <c r="MG264" s="293" t="str">
        <f t="shared" si="206"/>
        <v>+</v>
      </c>
      <c r="MH264" s="293" t="str">
        <f t="shared" si="207"/>
        <v>+</v>
      </c>
      <c r="MI264" s="293" t="str">
        <f t="shared" si="208"/>
        <v>+</v>
      </c>
      <c r="MJ264" s="293" t="str">
        <f t="shared" si="209"/>
        <v>+</v>
      </c>
      <c r="MK264" s="293" t="str">
        <f t="shared" si="210"/>
        <v>+</v>
      </c>
      <c r="ML264" s="293" t="str">
        <f t="shared" si="211"/>
        <v>+</v>
      </c>
      <c r="MM264" s="3" t="b">
        <f t="array" ref="MM264">OR(ME264:ML264="-")</f>
        <v>0</v>
      </c>
      <c r="MN264" s="285"/>
      <c r="MO264" s="401"/>
      <c r="MP264" s="286"/>
      <c r="MQ264" s="286"/>
      <c r="MR264" s="402"/>
      <c r="MS264" s="400"/>
      <c r="NH264" s="422"/>
      <c r="NJ264" s="421"/>
    </row>
    <row r="265" spans="1:374" s="1" customFormat="1" ht="16.5">
      <c r="A265" s="403">
        <v>46042</v>
      </c>
      <c r="B265" s="404" t="s">
        <v>1018</v>
      </c>
      <c r="C265" s="405" t="s">
        <v>4182</v>
      </c>
      <c r="D265" s="406">
        <v>158</v>
      </c>
      <c r="E265" s="404">
        <v>842</v>
      </c>
      <c r="F265" s="407">
        <v>22400</v>
      </c>
      <c r="G265" s="407" t="s">
        <v>1019</v>
      </c>
      <c r="H265" s="408" t="s">
        <v>1017</v>
      </c>
      <c r="I265" s="409">
        <v>1.5</v>
      </c>
      <c r="J265" s="405" t="s">
        <v>543</v>
      </c>
      <c r="K265" s="404" t="s">
        <v>4183</v>
      </c>
      <c r="L265" s="419" t="str">
        <f t="shared" si="184"/>
        <v>FLINTSL - BLACK</v>
      </c>
      <c r="M265" s="404">
        <v>29</v>
      </c>
      <c r="N265" s="410">
        <f>IF(M265=0,0,IF($LB265=70%,VLOOKUP($L265,'Jan-2026 rates'!$L:$R,4,0),IF($LB265=65%,VLOOKUP($L265,'Jan-2026 rates'!$L:$R,4,0),IF($LB265=40%,VLOOKUP($L265,'Jan-2026 rates'!$L:$R,5,0),IF($LB265=30%,VLOOKUP($L265,'Jan-2026 rates'!$L:$R,6,0),IF($LB265=100%,VLOOKUP($L265,'Jan-2026 rates'!$L:$R,7,0),IF($LB265=60%,VLOOKUP($L265,'Jan-2026 rates'!$L:$S,8,0),IF($LB265=80%,VLOOKUP($L265,'Jan-2026 rates'!L:T,9,0),0))))))))</f>
        <v>0</v>
      </c>
      <c r="O265" s="406"/>
      <c r="P265" s="404"/>
      <c r="Q265" s="410">
        <f>IF(P265=0,0,IF($LB265=70%,VLOOKUP($L265,'Jan-2026 rates'!$L:$R,4,0),IF($LB265=65%,VLOOKUP($L265,'Jan-2026 rates'!$L:$R,4,0),IF($LB265=40%,VLOOKUP($L265,'Jan-2026 rates'!$L:$R,5,0),IF($LB265=30%,VLOOKUP($L265,'Jan-2026 rates'!$L:$R,6,0),IF($LB265=100%,VLOOKUP($L265,'Jan-2026 rates'!$L:$R,7,0),IF($LB265=60%,VLOOKUP($L265,'Jan-2026 rates'!$L:$S,8,0),IF($LB265=80%,VLOOKUP($L265,'Jan-2026 rates'!L:T,9,0),0))))))))</f>
        <v>0</v>
      </c>
      <c r="R265" s="406"/>
      <c r="S265" s="406"/>
      <c r="T265" s="406"/>
      <c r="U265" s="406"/>
      <c r="V265" s="406"/>
      <c r="W265" s="406"/>
      <c r="X265" s="406"/>
      <c r="Y265" s="406"/>
      <c r="Z265" s="404"/>
      <c r="AA265" s="398">
        <f>IF(Z265=0,0,IF(LEN(R265)=11,_xlfn.XLOOKUP(R265,'Dispensed Ink Rates'!C:C,'Dispensed Ink Rates'!CS:CS),VLOOKUP(R265,'Jan-2026 rates'!$E:$F,2,0)))</f>
        <v>0</v>
      </c>
      <c r="AB265" s="404"/>
      <c r="AC265" s="398">
        <f>IF(AB265=0,0,IF(LEN(S265)=11,_xlfn.XLOOKUP(S265,'Dispensed Ink Rates'!C:C,'Dispensed Ink Rates'!CS:CS),VLOOKUP(S265,'Jan-2026 rates'!$E:$F,2,0)))</f>
        <v>0</v>
      </c>
      <c r="AD265" s="404"/>
      <c r="AE265" s="398">
        <f>IF(AD265=0,0,IF(LEN(T265)=11,_xlfn.XLOOKUP(T265,'Dispensed Ink Rates'!C:C,'Dispensed Ink Rates'!CS:CS),VLOOKUP(T265,'Jan-2026 rates'!$E:$F,2,0)))</f>
        <v>0</v>
      </c>
      <c r="AF265" s="404"/>
      <c r="AG265" s="398">
        <f>IF(AF265=0,0,IF(LEN(U265)=11,_xlfn.XLOOKUP(U265,'Dispensed Ink Rates'!C:C,'Dispensed Ink Rates'!CS:CS),VLOOKUP(U265,'Jan-2026 rates'!$E:$F,2,0)))</f>
        <v>0</v>
      </c>
      <c r="AH265" s="404"/>
      <c r="AI265" s="398">
        <f>IF(AH265=0,0,IF(LEN(V265)=11,_xlfn.XLOOKUP(V265,'Dispensed Ink Rates'!C:C,'Dispensed Ink Rates'!CS:CS),VLOOKUP(V265,'Jan-2026 rates'!$E:$F,2,0)))</f>
        <v>0</v>
      </c>
      <c r="AJ265" s="404"/>
      <c r="AK265" s="398">
        <f>IF(AJ265=0,0,IF(LEN(W265)=11,_xlfn.XLOOKUP(W265,'Dispensed Ink Rates'!C:C,'Dispensed Ink Rates'!CS:CS),VLOOKUP(W265,'Jan-2026 rates'!$E:$F,2,0)))</f>
        <v>0</v>
      </c>
      <c r="AL265" s="404"/>
      <c r="AM265" s="398">
        <f>IF(AL265=0,0,IF(LEN(X265)=11,_xlfn.XLOOKUP(X265,'Dispensed Ink Rates'!C:C,'Dispensed Ink Rates'!CS:CS),VLOOKUP(X265,'Jan-2026 rates'!$E:$F,2,0)))</f>
        <v>0</v>
      </c>
      <c r="AN265" s="404"/>
      <c r="AO265" s="398">
        <f>IF(AN265=0,0,IF(LEN(Y265)=11,_xlfn.XLOOKUP(Y265,'Dispensed Ink Rates'!C:C,'Dispensed Ink Rates'!CS:CS),VLOOKUP(Y265,'Jan-2026 rates'!$E:$F,2,0)))</f>
        <v>0</v>
      </c>
      <c r="AP265" s="409" t="s">
        <v>1443</v>
      </c>
      <c r="AQ265" s="409">
        <v>28</v>
      </c>
      <c r="AR265" s="410">
        <f t="shared" si="159"/>
        <v>0</v>
      </c>
      <c r="AS265" s="411">
        <f t="shared" si="160"/>
        <v>6.0399999999999991</v>
      </c>
      <c r="AT265" s="410">
        <f t="shared" si="161"/>
        <v>0</v>
      </c>
      <c r="AU265" s="405" t="s">
        <v>546</v>
      </c>
      <c r="AV265" s="409" t="s">
        <v>4183</v>
      </c>
      <c r="AW265" s="420" t="str">
        <f t="shared" si="183"/>
        <v>FLINTSL - REFLEX BLUE</v>
      </c>
      <c r="AX265" s="409">
        <v>28</v>
      </c>
      <c r="AY265" s="411">
        <f>IF(AX265=0,0,IF($LB265=70%,VLOOKUP($AW265,'Jan-2026 rates'!$L:$R,4,0),IF($LB265=65%,VLOOKUP($AW265,'Jan-2026 rates'!$L:$R,4,0),IF($LB265=40%,VLOOKUP($AW265,'Jan-2026 rates'!$L:$R,5,0),IF($LB265=30%,VLOOKUP($AW265,'Jan-2026 rates'!$L:$R,6,0),IF($LB265=100%,VLOOKUP($AW265,'Jan-2026 rates'!$L:$R,7,0),IF($LB265=60%,VLOOKUP($AW265,'Jan-2026 rates'!$L:$S,8,0),IF($LB265=80%,VLOOKUP($AW265,'Jan-2026 rates'!L:T,9,0),0))))))))</f>
        <v>0</v>
      </c>
      <c r="AZ265" s="412"/>
      <c r="BA265" s="409"/>
      <c r="BB265" s="411">
        <f>IF(BA265=0,0,IF($LB265=70%,VLOOKUP($AW265,'Jan-2026 rates'!$L:$R,4,0),IF($LB265=65%,VLOOKUP($AW265,'Jan-2026 rates'!$L:$R,4,0),IF($LB265=40%,VLOOKUP($AW265,'Jan-2026 rates'!$L:$R,5,0),IF($LB265=30%,VLOOKUP($AW265,'Jan-2026 rates'!$L:$R,6,0),IF($LB265=100%,VLOOKUP($AW265,'Jan-2026 rates'!$L:$R,7,0),IF($LB265=60%,VLOOKUP($AW265,'Jan-2026 rates'!$L:$S,8,0),IF($LB265=80%,VLOOKUP($AW265,'Jan-2026 rates'!L:T,9,0),0))))))))</f>
        <v>0</v>
      </c>
      <c r="BC265" s="413"/>
      <c r="BD265" s="412"/>
      <c r="BE265" s="412"/>
      <c r="BF265" s="413"/>
      <c r="BG265" s="412"/>
      <c r="BH265" s="412"/>
      <c r="BI265" s="412"/>
      <c r="BJ265" s="412"/>
      <c r="BK265" s="409"/>
      <c r="BL265" s="398">
        <f>IF(BK265=0,0,IF(LEN(BC265)=11,_xlfn.XLOOKUP(BC265,'Dispensed Ink Rates'!C:C,'Dispensed Ink Rates'!CS:CS),VLOOKUP(BC265,'Jan-2026 rates'!$E:$F,2,0)))</f>
        <v>0</v>
      </c>
      <c r="BM265" s="409"/>
      <c r="BN265" s="398">
        <f>IF(BM265=0,0,IF(LEN(BD265)=11,_xlfn.XLOOKUP(BD265,'Dispensed Ink Rates'!C:C,'Dispensed Ink Rates'!CS:CS),VLOOKUP(BD265,'Jan-2026 rates'!$E:$F,2,0)))</f>
        <v>0</v>
      </c>
      <c r="BO265" s="409"/>
      <c r="BP265" s="398">
        <f>IF(BO265=0,0,IF(LEN(BE265)=11,_xlfn.XLOOKUP(BE265,'Dispensed Ink Rates'!C:C,'Dispensed Ink Rates'!CS:CS),VLOOKUP(BE265,'Jan-2026 rates'!$E:$F,2,0)))</f>
        <v>0</v>
      </c>
      <c r="BQ265" s="409"/>
      <c r="BR265" s="398">
        <f>IF(BQ265=0,0,IF(LEN(BF265)=11,_xlfn.XLOOKUP(BF265,'Dispensed Ink Rates'!C:C,'Dispensed Ink Rates'!CS:CS),VLOOKUP(BF265,'Jan-2026 rates'!$E:$F,2,0)))</f>
        <v>0</v>
      </c>
      <c r="BS265" s="409"/>
      <c r="BT265" s="398">
        <f>IF(BS265=0,0,IF(LEN(BG265)=11,_xlfn.XLOOKUP(BG265,'Dispensed Ink Rates'!C:C,'Dispensed Ink Rates'!CS:CS),VLOOKUP(BG265,'Jan-2026 rates'!$E:$F,2,0)))</f>
        <v>0</v>
      </c>
      <c r="BU265" s="409"/>
      <c r="BV265" s="398">
        <f>IF(BU265=0,0,IF(LEN(BH265)=11,_xlfn.XLOOKUP(BH265,'Dispensed Ink Rates'!C:C,'Dispensed Ink Rates'!CS:CS),VLOOKUP(BH265,'Jan-2026 rates'!$E:$F,2,0)))</f>
        <v>0</v>
      </c>
      <c r="BW265" s="409"/>
      <c r="BX265" s="398">
        <f>IF(BW265=0,0,IF(LEN(BI265)=11,_xlfn.XLOOKUP(BI265,'Dispensed Ink Rates'!C:C,'Dispensed Ink Rates'!CS:CS),VLOOKUP(BI265,'Jan-2026 rates'!$E:$F,2,0)))</f>
        <v>0</v>
      </c>
      <c r="BY265" s="409"/>
      <c r="BZ265" s="398">
        <f>IF(BY265=0,0,IF(LEN(BJ265)=11,_xlfn.XLOOKUP(BJ265,'Dispensed Ink Rates'!C:C,'Dispensed Ink Rates'!CS:CS),VLOOKUP(BJ265,'Jan-2026 rates'!$E:$F,2,0)))</f>
        <v>0</v>
      </c>
      <c r="CA265" s="409" t="s">
        <v>1443</v>
      </c>
      <c r="CB265" s="409">
        <v>27</v>
      </c>
      <c r="CC265" s="411">
        <f t="shared" si="162"/>
        <v>0</v>
      </c>
      <c r="CD265" s="411">
        <f t="shared" si="163"/>
        <v>6.0399999999999991</v>
      </c>
      <c r="CE265" s="410">
        <f t="shared" si="164"/>
        <v>0</v>
      </c>
      <c r="CF265" s="404" t="s">
        <v>857</v>
      </c>
      <c r="CG265" s="409" t="s">
        <v>4184</v>
      </c>
      <c r="CH265" s="420" t="str">
        <f t="shared" si="185"/>
        <v>FLINTSL - RED</v>
      </c>
      <c r="CI265" s="409">
        <v>30</v>
      </c>
      <c r="CJ265" s="411">
        <f>IF(CI265=0,0,IF($LB265=70%,VLOOKUP($CH265,'Jan-2026 rates'!$L:$R,4,0),IF($LB265=65%,VLOOKUP($CH265,'Jan-2026 rates'!$L:$R,4,0),IF($LB265=40%,VLOOKUP($CH265,'Jan-2026 rates'!$L:$R,5,0),IF($LB265=30%,VLOOKUP($CH265,'Jan-2026 rates'!$L:$R,6,0),IF($LB265=100%,VLOOKUP($CH265,'Jan-2026 rates'!$L:$R,7,0),IF($LB265=60%,VLOOKUP($CH265,'Jan-2026 rates'!$L:$S,8,0),IF($LB265=80%,VLOOKUP($CH265,'Jan-2026 rates'!L:T,9,0),0))))))))</f>
        <v>0</v>
      </c>
      <c r="CK265" s="412"/>
      <c r="CL265" s="409"/>
      <c r="CM265" s="411">
        <f>IF(CL265=0,0,IF($LB265=70%,VLOOKUP($CH265,'Jan-2026 rates'!$L:$R,4,0),IF($LB265=65%,VLOOKUP($CH265,'Jan-2026 rates'!$L:$R,4,0),IF($LB265=40%,VLOOKUP($CH265,'Jan-2026 rates'!$L:$R,5,0),IF($LB265=30%,VLOOKUP($CH265,'Jan-2026 rates'!$L:$R,6,0),IF($LB265=100%,VLOOKUP($CH265,'Jan-2026 rates'!$L:$R,7,0),IF($LB265=60%,VLOOKUP($CH265,'Jan-2026 rates'!$L:$S,8,0),IF($LB265=80%,VLOOKUP($CH265,'Jan-2026 rates'!L:T,9,0),0))))))))</f>
        <v>0</v>
      </c>
      <c r="CN265" s="426">
        <v>26524000010</v>
      </c>
      <c r="CO265" s="427">
        <v>26521000005</v>
      </c>
      <c r="CP265" s="426" t="s">
        <v>1266</v>
      </c>
      <c r="CQ265" s="426"/>
      <c r="CR265" s="428"/>
      <c r="CS265" s="428"/>
      <c r="CT265" s="428"/>
      <c r="CU265" s="428"/>
      <c r="CV265" s="409">
        <v>7</v>
      </c>
      <c r="CW265" s="398" t="e">
        <f>IF(CV265=0,0,IF(LEN(CN265)=11,_xlfn.XLOOKUP(CN265,'Dispensed Ink Rates'!C:C,'Dispensed Ink Rates'!CS:CS),VLOOKUP(CN265,'Jan-2026 rates'!$E:$F,2,0)))</f>
        <v>#N/A</v>
      </c>
      <c r="CX265" s="409">
        <v>4</v>
      </c>
      <c r="CY265" s="398" t="e">
        <f>IF(CX265=0,0,IF(LEN(CO265)=11,_xlfn.XLOOKUP(CO265,'Dispensed Ink Rates'!C:C,'Dispensed Ink Rates'!CS:CS),VLOOKUP(CO265,'Jan-2026 rates'!$E:$F,2,0)))</f>
        <v>#N/A</v>
      </c>
      <c r="CZ265" s="409">
        <v>5</v>
      </c>
      <c r="DA265" s="398">
        <f>IF(CZ265=0,0,IF(LEN(CP265)=11,_xlfn.XLOOKUP(CP265,'Dispensed Ink Rates'!C:C,'Dispensed Ink Rates'!CS:CS),VLOOKUP(CP265,'Jan-2026 rates'!$E:$F,2,0)))</f>
        <v>0</v>
      </c>
      <c r="DB265" s="409"/>
      <c r="DC265" s="398">
        <f>IF(DB265=0,0,IF(LEN(CQ265)=11,_xlfn.XLOOKUP(CQ265,'Dispensed Ink Rates'!C:C,'Dispensed Ink Rates'!CS:CS),VLOOKUP(CQ265,'Jan-2026 rates'!$E:$F,2,0)))</f>
        <v>0</v>
      </c>
      <c r="DD265" s="409"/>
      <c r="DE265" s="398">
        <f>IF(DD265=0,0,IF(LEN(CR265)=11,_xlfn.XLOOKUP(CR265,'Dispensed Ink Rates'!C:C,'Dispensed Ink Rates'!CS:CS),VLOOKUP(CR265,'Jan-2026 rates'!$E:$F,2,0)))</f>
        <v>0</v>
      </c>
      <c r="DF265" s="409"/>
      <c r="DG265" s="398">
        <f>IF(DF265=0,0,IF(LEN(CS265)=11,_xlfn.XLOOKUP(CS265,'Dispensed Ink Rates'!C:C,'Dispensed Ink Rates'!CS:CS),VLOOKUP(CS265,'Jan-2026 rates'!$E:$F,2,0)))</f>
        <v>0</v>
      </c>
      <c r="DH265" s="409"/>
      <c r="DI265" s="398">
        <f>IF(DH265=0,0,IF(LEN(CT265)=11,_xlfn.XLOOKUP(CT265,'Dispensed Ink Rates'!C:C,'Dispensed Ink Rates'!CS:CS),VLOOKUP(CT265,'Jan-2026 rates'!$E:$F,2,0)))</f>
        <v>0</v>
      </c>
      <c r="DJ265" s="409"/>
      <c r="DK265" s="398">
        <f>IF(DJ265=0,0,IF(LEN(CU265)=11,_xlfn.XLOOKUP(CU265,'Dispensed Ink Rates'!C:C,'Dispensed Ink Rates'!CS:CS),VLOOKUP(CU265,'Jan-2026 rates'!$E:$F,2,0)))</f>
        <v>0</v>
      </c>
      <c r="DL265" s="409" t="s">
        <v>1443</v>
      </c>
      <c r="DM265" s="409">
        <v>23</v>
      </c>
      <c r="DN265" s="411">
        <f t="shared" si="165"/>
        <v>0</v>
      </c>
      <c r="DO265" s="411">
        <f t="shared" si="166"/>
        <v>35.6</v>
      </c>
      <c r="DP265" s="410">
        <f t="shared" si="167"/>
        <v>0</v>
      </c>
      <c r="DQ265" s="405" t="s">
        <v>855</v>
      </c>
      <c r="DR265" s="409" t="s">
        <v>4185</v>
      </c>
      <c r="DS265" s="420" t="str">
        <f t="shared" si="186"/>
        <v>FLINTSL - CYAN</v>
      </c>
      <c r="DT265" s="409">
        <v>30</v>
      </c>
      <c r="DU265" s="411">
        <f>IF(DT265=0,0,IF($LB265=70%,VLOOKUP($DS265,'Jan-2026 rates'!$L:$R,4,0),IF($LB265=65%,VLOOKUP($DS265,'Jan-2026 rates'!$L:$R,4,0),IF($LB265=40%,VLOOKUP($DS265,'Jan-2026 rates'!$L:$R,5,0),IF($LB265=30%,VLOOKUP($DS265,'Jan-2026 rates'!$L:$R,6,0),IF($LB265=100%,VLOOKUP($DS265,'Jan-2026 rates'!$L:$R,7,0),IF($LB265=60%,VLOOKUP($DS265,'Jan-2026 rates'!$L:$S,8,0),IF($LB265=80%,VLOOKUP($DS265,'Jan-2026 rates'!L:T,9,0),0))))))))</f>
        <v>0</v>
      </c>
      <c r="DV265" s="412"/>
      <c r="DW265" s="409"/>
      <c r="DX265" s="411">
        <f>IF(DW265=0,0,IF($LB265=70%,VLOOKUP($DS265,'Jan-2026 rates'!$L:$R,4,0),IF($LB265=65%,VLOOKUP($DS265,'Jan-2026 rates'!$L:$R,4,0),IF($LB265=40%,VLOOKUP($DS265,'Jan-2026 rates'!$L:$R,5,0),IF($LB265=30%,VLOOKUP($DS265,'Jan-2026 rates'!$L:$R,6,0),IF($LB265=100%,VLOOKUP($DS265,'Jan-2026 rates'!$L:$R,7,0),IF($LB265=60%,VLOOKUP($DS265,'Jan-2026 rates'!$L:$S,8,0),IF($LB265=80%,VLOOKUP($DS265,'Jan-2026 rates'!L:T,9,0),0))))))))</f>
        <v>0</v>
      </c>
      <c r="DY265" s="413"/>
      <c r="DZ265" s="413"/>
      <c r="EA265" s="412"/>
      <c r="EB265" s="412"/>
      <c r="EC265" s="412"/>
      <c r="ED265" s="412"/>
      <c r="EE265" s="412"/>
      <c r="EF265" s="412"/>
      <c r="EG265" s="409"/>
      <c r="EH265" s="398">
        <f>IF(EG265=0,0,IF(LEN(DY265)=11,_xlfn.XLOOKUP(DY265,'Dispensed Ink Rates'!C:C,'Dispensed Ink Rates'!CS:CS),VLOOKUP(DY265,'Jan-2026 rates'!$E:$F,2,0)))</f>
        <v>0</v>
      </c>
      <c r="EI265" s="409"/>
      <c r="EJ265" s="398">
        <f>IF(EI265=0,0,IF(LEN(DZ265)=11,_xlfn.XLOOKUP(DZ265,'Dispensed Ink Rates'!C:C,'Dispensed Ink Rates'!CS:CS),VLOOKUP(DZ265,'Jan-2026 rates'!$E:$F,2,0)))</f>
        <v>0</v>
      </c>
      <c r="EK265" s="409"/>
      <c r="EL265" s="398">
        <f>IF(EK265=0,0,IF(LEN(EA265)=11,_xlfn.XLOOKUP(EA265,'Dispensed Ink Rates'!C:C,'Dispensed Ink Rates'!CS:CS),VLOOKUP(EA265,'Jan-2026 rates'!$E:$F,2,0)))</f>
        <v>0</v>
      </c>
      <c r="EM265" s="409"/>
      <c r="EN265" s="398">
        <f>IF(EM265=0,0,IF(LEN(EB265)=11,_xlfn.XLOOKUP(EB265,'Dispensed Ink Rates'!C:C,'Dispensed Ink Rates'!CS:CS),VLOOKUP(EB265,'Jan-2026 rates'!$E:$F,2,0)))</f>
        <v>0</v>
      </c>
      <c r="EO265" s="409"/>
      <c r="EP265" s="398">
        <f>IF(EO265=0,0,IF(LEN(EC265)=11,_xlfn.XLOOKUP(EC265,'Dispensed Ink Rates'!C:C,'Dispensed Ink Rates'!CS:CS),VLOOKUP(EC265,'Jan-2026 rates'!$E:$F,2,0)))</f>
        <v>0</v>
      </c>
      <c r="EQ265" s="409"/>
      <c r="ER265" s="398">
        <f>IF(EQ265=0,0,IF(LEN(ED265)=11,_xlfn.XLOOKUP(ED265,'Dispensed Ink Rates'!C:C,'Dispensed Ink Rates'!CS:CS),VLOOKUP(ED265,'Jan-2026 rates'!$E:$F,2,0)))</f>
        <v>0</v>
      </c>
      <c r="ES265" s="409"/>
      <c r="ET265" s="398">
        <f>IF(ES265=0,0,IF(LEN(EE265)=11,_xlfn.XLOOKUP(EE265,'Dispensed Ink Rates'!C:C,'Dispensed Ink Rates'!CS:CS),VLOOKUP(EE265,'Jan-2026 rates'!$E:$F,2,0)))</f>
        <v>0</v>
      </c>
      <c r="EU265" s="409"/>
      <c r="EV265" s="398">
        <f>IF(EU265=0,0,IF(LEN(EF265)=11,_xlfn.XLOOKUP(EF265,'Dispensed Ink Rates'!C:C,'Dispensed Ink Rates'!CS:CS),VLOOKUP(EF265,'Jan-2026 rates'!$E:$F,2,0)))</f>
        <v>0</v>
      </c>
      <c r="EW265" s="409" t="s">
        <v>1443</v>
      </c>
      <c r="EX265" s="409">
        <v>28</v>
      </c>
      <c r="EY265" s="411">
        <f t="shared" si="168"/>
        <v>0</v>
      </c>
      <c r="EZ265" s="411">
        <f t="shared" si="169"/>
        <v>7.0399999999999991</v>
      </c>
      <c r="FA265" s="410">
        <f t="shared" si="170"/>
        <v>0</v>
      </c>
      <c r="FB265" s="405" t="s">
        <v>544</v>
      </c>
      <c r="FC265" s="409" t="s">
        <v>4186</v>
      </c>
      <c r="FD265" s="420" t="str">
        <f t="shared" si="187"/>
        <v>FLINTSL - MAGENTA</v>
      </c>
      <c r="FE265" s="409">
        <v>30</v>
      </c>
      <c r="FF265" s="411">
        <f>IF(FE265=0,0,IF($LB265=70%,VLOOKUP($FD265,'Jan-2026 rates'!$L:$R,4,0),IF($LB265=65%,VLOOKUP($FD265,'Jan-2026 rates'!$L:$R,4,0),IF($LB265=40%,VLOOKUP($FD265,'Jan-2026 rates'!$L:$R,5,0),IF($LB265=30%,VLOOKUP($FD265,'Jan-2026 rates'!$L:$R,6,0),IF($LB265=100%,VLOOKUP($FD265,'Jan-2026 rates'!$L:$R,7,0),IF($LB265=60%,VLOOKUP($FD265,'Jan-2026 rates'!$L:$S,8,0),IF($LB265=80%,VLOOKUP($FD265,'Jan-2026 rates'!L:T,9,0),0))))))))</f>
        <v>0</v>
      </c>
      <c r="FG265" s="412"/>
      <c r="FH265" s="409"/>
      <c r="FI265" s="411">
        <f>IF(FH265=0,0,IF($LB265=70%,VLOOKUP($FD265,'Jan-2026 rates'!$L:$R,4,0),IF($LB265=65%,VLOOKUP($FD265,'Jan-2026 rates'!$L:$R,4,0),IF($LB265=40%,VLOOKUP($FD265,'Jan-2026 rates'!$L:$R,5,0),IF($LB265=30%,VLOOKUP($FD265,'Jan-2026 rates'!$L:$R,6,0),IF($LB265=100%,VLOOKUP($FD265,'Jan-2026 rates'!$L:$R,7,0),IF($LB265=60%,VLOOKUP($FD265,'Jan-2026 rates'!$L:$S,8,0),IF($LB265=80%,VLOOKUP($FD265,'Jan-2026 rates'!L:T,9,0),0))))))))</f>
        <v>0</v>
      </c>
      <c r="FJ265" s="413" t="s">
        <v>1266</v>
      </c>
      <c r="FK265" s="413"/>
      <c r="FL265" s="413"/>
      <c r="FM265" s="412"/>
      <c r="FN265" s="412"/>
      <c r="FO265" s="412"/>
      <c r="FP265" s="412"/>
      <c r="FQ265" s="412"/>
      <c r="FR265" s="409">
        <v>3</v>
      </c>
      <c r="FS265" s="398">
        <f>IF(FR265=0,0,IF(LEN(FJ265)=11,_xlfn.XLOOKUP(FJ265,'Dispensed Ink Rates'!C:C,'Dispensed Ink Rates'!CS:CS),VLOOKUP(FJ265,'Jan-2026 rates'!$E:$F,2,0)))</f>
        <v>0</v>
      </c>
      <c r="FT265" s="409"/>
      <c r="FU265" s="398">
        <f>IF(FT265=0,0,IF(LEN(FK265)=11,_xlfn.XLOOKUP(FK265,'Dispensed Ink Rates'!C:C,'Dispensed Ink Rates'!CS:CS),VLOOKUP(FK265,'Jan-2026 rates'!$E:$F,2,0)))</f>
        <v>0</v>
      </c>
      <c r="FV265" s="409"/>
      <c r="FW265" s="398">
        <f>IF(FV265=0,0,IF(LEN(FL265)=11,_xlfn.XLOOKUP(FL265,'Dispensed Ink Rates'!C:C,'Dispensed Ink Rates'!CS:CS),VLOOKUP(FL265,'Jan-2026 rates'!$E:$F,2,0)))</f>
        <v>0</v>
      </c>
      <c r="FX265" s="409"/>
      <c r="FY265" s="398">
        <f>IF(FX265=0,0,IF(LEN(FM265)=11,_xlfn.XLOOKUP(FM265,'Dispensed Ink Rates'!C:C,'Dispensed Ink Rates'!CS:CS),VLOOKUP(FM265,'Jan-2026 rates'!$E:$F,2,0)))</f>
        <v>0</v>
      </c>
      <c r="FZ265" s="409"/>
      <c r="GA265" s="398">
        <f>IF(FZ265=0,0,IF(LEN(FN265)=11,_xlfn.XLOOKUP(FN265,'Dispensed Ink Rates'!C:C,'Dispensed Ink Rates'!CS:CS),VLOOKUP(FN265,'Jan-2026 rates'!$E:$F,2,0)))</f>
        <v>0</v>
      </c>
      <c r="GB265" s="409"/>
      <c r="GC265" s="398">
        <f>IF(GB265=0,0,IF(LEN(FO265)=11,_xlfn.XLOOKUP(FO265,'Dispensed Ink Rates'!C:C,'Dispensed Ink Rates'!CS:CS),VLOOKUP(FO265,'Jan-2026 rates'!$E:$F,2,0)))</f>
        <v>0</v>
      </c>
      <c r="GD265" s="409"/>
      <c r="GE265" s="398">
        <f>IF(GD265=0,0,IF(LEN(FP265)=11,_xlfn.XLOOKUP(FP265,'Dispensed Ink Rates'!C:C,'Dispensed Ink Rates'!CS:CS),VLOOKUP(FP265,'Jan-2026 rates'!$E:$F,2,0)))</f>
        <v>0</v>
      </c>
      <c r="GF265" s="409"/>
      <c r="GG265" s="398">
        <f>IF(GF265=0,0,IF(LEN(FQ265)=11,_xlfn.XLOOKUP(FQ265,'Dispensed Ink Rates'!C:C,'Dispensed Ink Rates'!CS:CS),VLOOKUP(FQ265,'Jan-2026 rates'!$E:$F,2,0)))</f>
        <v>0</v>
      </c>
      <c r="GH265" s="409" t="s">
        <v>1443</v>
      </c>
      <c r="GI265" s="409">
        <v>29</v>
      </c>
      <c r="GJ265" s="411">
        <f t="shared" si="171"/>
        <v>0</v>
      </c>
      <c r="GK265" s="411">
        <f t="shared" si="172"/>
        <v>11.560000000000002</v>
      </c>
      <c r="GL265" s="410">
        <f t="shared" si="173"/>
        <v>0</v>
      </c>
      <c r="GM265" s="405" t="s">
        <v>545</v>
      </c>
      <c r="GN265" s="409" t="s">
        <v>4187</v>
      </c>
      <c r="GO265" s="420" t="str">
        <f t="shared" si="188"/>
        <v>FLINTSL - YELLOW</v>
      </c>
      <c r="GP265" s="409">
        <v>24</v>
      </c>
      <c r="GQ265" s="411">
        <f>IF(GP265=0,0,IF($LB265=70%,VLOOKUP($GO265,'Jan-2026 rates'!$L:$R,4,0),IF($LB265=65%,VLOOKUP($GO265,'Jan-2026 rates'!$L:$R,4,0),IF($LB265=40%,VLOOKUP($GO265,'Jan-2026 rates'!$L:$R,5,0),IF($LB265=30%,VLOOKUP($GO265,'Jan-2026 rates'!$L:$R,6,0),IF($LB265=100%,VLOOKUP($GO265,'Jan-2026 rates'!$L:$R,7,0),IF($LB265=60%,VLOOKUP($GO265,'Jan-2026 rates'!$L:$S,8,0),IF($LB265=80%,VLOOKUP($GO265,'Jan-2026 rates'!L:T,9,0),0))))))))</f>
        <v>0</v>
      </c>
      <c r="GR265" s="412"/>
      <c r="GS265" s="409"/>
      <c r="GT265" s="411">
        <f>IF(GS265=0,0,IF($LB265=70%,VLOOKUP($GO265,'Jan-2026 rates'!$L:$R,4,0),IF($LB265=65%,VLOOKUP($GO265,'Jan-2026 rates'!$L:$R,4,0),IF($LB265=40%,VLOOKUP($GO265,'Jan-2026 rates'!$L:$R,5,0),IF($LB265=30%,VLOOKUP($GO265,'Jan-2026 rates'!$L:$R,6,0),IF($LB265=100%,VLOOKUP($GO265,'Jan-2026 rates'!$L:$R,7,0),IF($LB265=60%,VLOOKUP($GO265,'Jan-2026 rates'!$L:$S,8,0),IF($LB265=80%,VLOOKUP($GO265,'Jan-2026 rates'!L:T,9,0),0))))))))</f>
        <v>0</v>
      </c>
      <c r="GU265" s="413">
        <v>26521000008</v>
      </c>
      <c r="GV265" s="413"/>
      <c r="GW265" s="412"/>
      <c r="GX265" s="412"/>
      <c r="GY265" s="412"/>
      <c r="GZ265" s="412"/>
      <c r="HA265" s="412"/>
      <c r="HB265" s="412"/>
      <c r="HC265" s="409">
        <v>6</v>
      </c>
      <c r="HD265" s="398" t="e">
        <f>IF(HC265=0,0,IF(LEN(GU265)=11,_xlfn.XLOOKUP(GU265,'Dispensed Ink Rates'!C:C,'Dispensed Ink Rates'!CS:CS),VLOOKUP(GU265,'Jan-2026 rates'!$E:$F,2,0)))</f>
        <v>#N/A</v>
      </c>
      <c r="HE265" s="409"/>
      <c r="HF265" s="398">
        <f>IF(HE265=0,0,IF(LEN(GV265)=11,_xlfn.XLOOKUP(GV265,'Dispensed Ink Rates'!C:C,'Dispensed Ink Rates'!CS:CS),VLOOKUP(GV265,'Jan-2026 rates'!$E:$F,2,0)))</f>
        <v>0</v>
      </c>
      <c r="HG265" s="409"/>
      <c r="HH265" s="398">
        <f>IF(HG265=0,0,IF(LEN(GW265)=11,_xlfn.XLOOKUP(GW265,'Dispensed Ink Rates'!C:C,'Dispensed Ink Rates'!CS:CS),VLOOKUP(GW265,'Jan-2026 rates'!$E:$F,2,0)))</f>
        <v>0</v>
      </c>
      <c r="HI265" s="409"/>
      <c r="HJ265" s="398">
        <f>IF(HI265=0,0,IF(LEN(GX265)=11,_xlfn.XLOOKUP(GX265,'Dispensed Ink Rates'!C:C,'Dispensed Ink Rates'!CS:CS),VLOOKUP(GX265,'Jan-2026 rates'!$E:$F,2,0)))</f>
        <v>0</v>
      </c>
      <c r="HK265" s="409"/>
      <c r="HL265" s="398">
        <f>IF(HK265=0,0,IF(LEN(GY265)=11,_xlfn.XLOOKUP(GY265,'Dispensed Ink Rates'!C:C,'Dispensed Ink Rates'!CS:CS),VLOOKUP(GY265,'Jan-2026 rates'!$E:$F,2,0)))</f>
        <v>0</v>
      </c>
      <c r="HM265" s="409"/>
      <c r="HN265" s="398">
        <f>IF(HM265=0,0,IF(LEN(GZ265)=11,_xlfn.XLOOKUP(GZ265,'Dispensed Ink Rates'!C:C,'Dispensed Ink Rates'!CS:CS),VLOOKUP(GZ265,'Jan-2026 rates'!$E:$F,2,0)))</f>
        <v>0</v>
      </c>
      <c r="HO265" s="409"/>
      <c r="HP265" s="398">
        <f>IF(HO265=0,0,IF(LEN(HA265)=11,_xlfn.XLOOKUP(HA265,'Dispensed Ink Rates'!C:C,'Dispensed Ink Rates'!CS:CS),VLOOKUP(HA265,'Jan-2026 rates'!$E:$F,2,0)))</f>
        <v>0</v>
      </c>
      <c r="HQ265" s="409"/>
      <c r="HR265" s="398">
        <f>IF(HQ265=0,0,IF(LEN(HB265)=11,_xlfn.XLOOKUP(HB265,'Dispensed Ink Rates'!C:C,'Dispensed Ink Rates'!CS:CS),VLOOKUP(HB265,'Jan-2026 rates'!$E:$F,2,0)))</f>
        <v>0</v>
      </c>
      <c r="HS265" s="409" t="s">
        <v>1443</v>
      </c>
      <c r="HT265" s="409">
        <v>29</v>
      </c>
      <c r="HU265" s="411">
        <f t="shared" si="174"/>
        <v>0</v>
      </c>
      <c r="HV265" s="411">
        <f t="shared" si="175"/>
        <v>11.079999999999998</v>
      </c>
      <c r="HW265" s="414">
        <f t="shared" si="176"/>
        <v>0</v>
      </c>
      <c r="HX265" s="405" t="s">
        <v>547</v>
      </c>
      <c r="HY265" s="409" t="s">
        <v>4188</v>
      </c>
      <c r="HZ265" s="420" t="str">
        <f t="shared" si="189"/>
        <v>FLINTSL - GREEN</v>
      </c>
      <c r="IA265" s="409">
        <v>27</v>
      </c>
      <c r="IB265" s="411">
        <f>IF(IA265=0,0,IF($LB265=70%,VLOOKUP($HZ265,'Jan-2026 rates'!$L:$R,4,0),IF($LB265=65%,VLOOKUP($HZ265,'Jan-2026 rates'!$L:$R,4,0),IF($LB265=40%,VLOOKUP($HZ265,'Jan-2026 rates'!$L:$R,5,0),IF($LB265=30%,VLOOKUP($HZ265,'Jan-2026 rates'!$L:$R,6,0),IF($LB265=100%,VLOOKUP($HZ265,'Jan-2026 rates'!$L:$R,7,0),IF($LB265=60%,VLOOKUP($HZ265,'Jan-2026 rates'!$L:$S,8,0),IF($LB265=80%,VLOOKUP($HZ265,'Jan-2026 rates'!L:T,9,0),0))))))))</f>
        <v>0</v>
      </c>
      <c r="IC265" s="412"/>
      <c r="ID265" s="409"/>
      <c r="IE265" s="411">
        <f>IF(ID265=0,0,IF($LB265=70%,VLOOKUP($HZ265,'Jan-2026 rates'!$L:$R,4,0),IF($LB265=65%,VLOOKUP($HZ265,'Jan-2026 rates'!$L:$R,4,0),IF($LB265=40%,VLOOKUP($HZ265,'Jan-2026 rates'!$L:$R,5,0),IF($LB265=30%,VLOOKUP($HZ265,'Jan-2026 rates'!$L:$R,6,0),IF($LB265=100%,VLOOKUP($HZ265,'Jan-2026 rates'!$L:$R,7,0),IF($LB265=60%,VLOOKUP($HZ265,'Jan-2026 rates'!$L:$S,8,0),IF($LB265=80%,VLOOKUP($HZ265,'Jan-2026 rates'!L:T,9,0),0))))))))</f>
        <v>0</v>
      </c>
      <c r="IF265" s="412"/>
      <c r="IG265" s="413"/>
      <c r="IH265" s="412"/>
      <c r="II265" s="412"/>
      <c r="IJ265" s="412"/>
      <c r="IK265" s="412"/>
      <c r="IL265" s="412"/>
      <c r="IM265" s="412"/>
      <c r="IN265" s="409"/>
      <c r="IO265" s="398">
        <f>IF(IN265=0,0,IF(LEN(IF265)=11,_xlfn.XLOOKUP(IF265,'Dispensed Ink Rates'!C:C,'Dispensed Ink Rates'!CS:CS),VLOOKUP(IF265,'Jan-2026 rates'!$E:$F,2,0)))</f>
        <v>0</v>
      </c>
      <c r="IP265" s="409"/>
      <c r="IQ265" s="398">
        <f>IF(IP265=0,0,IF(LEN(IG265)=11,_xlfn.XLOOKUP(IG265,'Dispensed Ink Rates'!C:C,'Dispensed Ink Rates'!CS:CS),VLOOKUP(IG265,'Jan-2026 rates'!$E:$F,2,0)))</f>
        <v>0</v>
      </c>
      <c r="IR265" s="409"/>
      <c r="IS265" s="398">
        <f>IF(IR265=0,0,IF(LEN(IH265)=11,_xlfn.XLOOKUP(IH265,'Dispensed Ink Rates'!C:C,'Dispensed Ink Rates'!CS:CS),VLOOKUP(IH265,'Jan-2026 rates'!$E:$F,2,0)))</f>
        <v>0</v>
      </c>
      <c r="IT265" s="409"/>
      <c r="IU265" s="398">
        <f>IF(IT265=0,0,IF(LEN(II265)=11,_xlfn.XLOOKUP(II265,'Dispensed Ink Rates'!C:C,'Dispensed Ink Rates'!CS:CS),VLOOKUP(II265,'Jan-2026 rates'!$E:$F,2,0)))</f>
        <v>0</v>
      </c>
      <c r="IV265" s="409"/>
      <c r="IW265" s="398">
        <f>IF(IV265=0,0,IF(LEN(IJ265)=11,_xlfn.XLOOKUP(IJ265,'Dispensed Ink Rates'!C:C,'Dispensed Ink Rates'!CS:CS),VLOOKUP(IJ265,'Jan-2026 rates'!$E:$F,2,0)))</f>
        <v>0</v>
      </c>
      <c r="IX265" s="409"/>
      <c r="IY265" s="398">
        <f>IF(IX265=0,0,IF(LEN(IK265)=11,_xlfn.XLOOKUP(IK265,'Dispensed Ink Rates'!C:C,'Dispensed Ink Rates'!CS:CS),VLOOKUP(IK265,'Jan-2026 rates'!$E:$F,2,0)))</f>
        <v>0</v>
      </c>
      <c r="IZ265" s="409"/>
      <c r="JA265" s="398">
        <f>IF(IZ265=0,0,IF(LEN(IL265)=11,_xlfn.XLOOKUP(IL265,'Dispensed Ink Rates'!C:C,'Dispensed Ink Rates'!CS:CS),VLOOKUP(IL265,'Jan-2026 rates'!$E:$F,2,0)))</f>
        <v>0</v>
      </c>
      <c r="JB265" s="409"/>
      <c r="JC265" s="398">
        <f>IF(JB265=0,0,IF(LEN(IM265)=11,_xlfn.XLOOKUP(IM265,'Dispensed Ink Rates'!C:C,'Dispensed Ink Rates'!CS:CS),VLOOKUP(IM265,'Jan-2026 rates'!$E:$F,2,0)))</f>
        <v>0</v>
      </c>
      <c r="JD265" s="409" t="s">
        <v>1443</v>
      </c>
      <c r="JE265" s="409">
        <v>20</v>
      </c>
      <c r="JF265" s="411">
        <f t="shared" si="177"/>
        <v>0</v>
      </c>
      <c r="JG265" s="411">
        <f t="shared" si="178"/>
        <v>12.04</v>
      </c>
      <c r="JH265" s="410">
        <f t="shared" si="179"/>
        <v>0</v>
      </c>
      <c r="JI265" s="405" t="s">
        <v>856</v>
      </c>
      <c r="JJ265" s="409" t="s">
        <v>4189</v>
      </c>
      <c r="JK265" s="420" t="str">
        <f t="shared" si="190"/>
        <v>FLINTSL - WHITE</v>
      </c>
      <c r="JL265" s="409">
        <v>30</v>
      </c>
      <c r="JM265" s="411">
        <f>IF(JL265=0,0,IF($LB265=70%,VLOOKUP($JK265,'Jan-2026 rates'!$L:$R,4,0),IF($LB265=65%,VLOOKUP($JK265,'Jan-2026 rates'!$L:$R,4,0),IF($LB265=40%,VLOOKUP($JK265,'Jan-2026 rates'!$L:$R,5,0),IF($LB265=30%,VLOOKUP($JK265,'Jan-2026 rates'!$L:$R,6,0),IF($LB265=100%,VLOOKUP($JK265,'Jan-2026 rates'!$L:$R,7,0),IF($LB265=60%,VLOOKUP($JK265,'Jan-2026 rates'!$L:$S,8,0),IF($LB265=80%,VLOOKUP($JK265,'Jan-2026 rates'!L:T,9,0),0))))))))</f>
        <v>0</v>
      </c>
      <c r="JN265" s="412"/>
      <c r="JO265" s="409"/>
      <c r="JP265" s="411">
        <f>IF(JO265=0,0,IF($LB265=70%,VLOOKUP($JK265,'Jan-2026 rates'!$L:$R,4,0),IF($LB265=65%,VLOOKUP($JK265,'Jan-2026 rates'!$L:$R,4,0),IF($LB265=40%,VLOOKUP($JK265,'Jan-2026 rates'!$L:$R,5,0),IF($LB265=30%,VLOOKUP($JK265,'Jan-2026 rates'!$L:$R,6,0),IF($LB265=100%,VLOOKUP($JK265,'Jan-2026 rates'!$L:$R,7,0),IF($LB265=60%,VLOOKUP($JK265,'Jan-2026 rates'!$L:$S,8,0),IF($LB265=80%,VLOOKUP($JK265,'Jan-2026 rates'!L:T,9,0),0))))))))</f>
        <v>0</v>
      </c>
      <c r="JQ265" s="413" t="s">
        <v>484</v>
      </c>
      <c r="JR265" s="412"/>
      <c r="JS265" s="413"/>
      <c r="JT265" s="413"/>
      <c r="JU265" s="412"/>
      <c r="JV265" s="412"/>
      <c r="JW265" s="412"/>
      <c r="JX265" s="412"/>
      <c r="JY265" s="409">
        <v>60</v>
      </c>
      <c r="JZ265" s="398">
        <f>IF(JY265=0,0,IF(LEN(JQ265)=11,_xlfn.XLOOKUP(JQ265,'Dispensed Ink Rates'!C:C,'Dispensed Ink Rates'!CS:CS),VLOOKUP(JQ265,'Jan-2026 rates'!$E:$F,2,0)))</f>
        <v>0</v>
      </c>
      <c r="KA265" s="409"/>
      <c r="KB265" s="398">
        <f>IF(KA265=0,0,IF(LEN(JR265)=11,_xlfn.XLOOKUP(JR265,'Dispensed Ink Rates'!C:C,'Dispensed Ink Rates'!CS:CS),VLOOKUP(JR265,'Jan-2026 rates'!$E:$F,2,0)))</f>
        <v>0</v>
      </c>
      <c r="KC265" s="409"/>
      <c r="KD265" s="398">
        <f>IF(KC265=0,0,IF(LEN(JS265)=11,_xlfn.XLOOKUP(JS265,'Dispensed Ink Rates'!C:C,'Dispensed Ink Rates'!CS:CS),VLOOKUP(JS265,'Jan-2026 rates'!$E:$F,2,0)))</f>
        <v>0</v>
      </c>
      <c r="KE265" s="409"/>
      <c r="KF265" s="398">
        <f>IF(KE265=0,0,IF(LEN(JT265)=11,_xlfn.XLOOKUP(JT265,'Dispensed Ink Rates'!C:C,'Dispensed Ink Rates'!CS:CS),VLOOKUP(JT265,'Jan-2026 rates'!$E:$F,2,0)))</f>
        <v>0</v>
      </c>
      <c r="KG265" s="409"/>
      <c r="KH265" s="398">
        <f>IF(KG265=0,0,IF(LEN(JU265)=11,_xlfn.XLOOKUP(JU265,'Dispensed Ink Rates'!C:C,'Dispensed Ink Rates'!CS:CS),VLOOKUP(JU265,'Jan-2026 rates'!$E:$F,2,0)))</f>
        <v>0</v>
      </c>
      <c r="KI265" s="409"/>
      <c r="KJ265" s="398">
        <f>IF(KI265=0,0,IF(LEN(JV265)=11,_xlfn.XLOOKUP(JV265,'Dispensed Ink Rates'!C:C,'Dispensed Ink Rates'!CS:CS),VLOOKUP(JV265,'Jan-2026 rates'!$E:$F,2,0)))</f>
        <v>0</v>
      </c>
      <c r="KK265" s="409"/>
      <c r="KL265" s="398">
        <f>IF(KK265=0,0,IF(LEN(JW265)=11,_xlfn.XLOOKUP(JW265,'Dispensed Ink Rates'!C:C,'Dispensed Ink Rates'!CS:CS),VLOOKUP(JW265,'Jan-2026 rates'!$E:$F,2,0)))</f>
        <v>0</v>
      </c>
      <c r="KM265" s="428"/>
      <c r="KN265" s="398">
        <f>IF(KM265=0,0,IF(LEN(JX265)=11,_xlfn.XLOOKUP(JX265,'Dispensed Ink Rates'!C:C,'Dispensed Ink Rates'!CS:CS),VLOOKUP(JX265,'Jan-2026 rates'!$E:$F,2,0)))</f>
        <v>0</v>
      </c>
      <c r="KO265" s="409" t="s">
        <v>1443</v>
      </c>
      <c r="KP265" s="409">
        <v>30</v>
      </c>
      <c r="KQ265" s="411">
        <f t="shared" si="180"/>
        <v>0</v>
      </c>
      <c r="KR265" s="411">
        <f t="shared" si="181"/>
        <v>135.6</v>
      </c>
      <c r="KS265" s="410">
        <f t="shared" si="182"/>
        <v>0</v>
      </c>
      <c r="KT265" s="409">
        <v>2</v>
      </c>
      <c r="KU265" s="409">
        <v>2</v>
      </c>
      <c r="KV265" s="409">
        <v>5</v>
      </c>
      <c r="KW265" s="409">
        <v>2</v>
      </c>
      <c r="KX265" s="409">
        <v>3</v>
      </c>
      <c r="KY265" s="409">
        <v>4</v>
      </c>
      <c r="KZ265" s="409">
        <v>2</v>
      </c>
      <c r="LA265" s="409">
        <v>30</v>
      </c>
      <c r="LB265" s="415">
        <v>0.8</v>
      </c>
      <c r="LC265" s="415">
        <v>0.2</v>
      </c>
      <c r="LD265" s="415"/>
      <c r="LE265" s="415"/>
      <c r="LF265" s="415"/>
      <c r="LG265" s="409">
        <v>0</v>
      </c>
      <c r="LH265" s="409">
        <f>30+36+48+12</f>
        <v>126</v>
      </c>
      <c r="LI265" s="409">
        <v>0</v>
      </c>
      <c r="LJ265" s="409">
        <v>0</v>
      </c>
      <c r="LK265" s="416">
        <f t="shared" si="191"/>
        <v>126</v>
      </c>
      <c r="LL265" s="416">
        <f t="shared" si="192"/>
        <v>126</v>
      </c>
      <c r="LM265" s="417">
        <f t="shared" si="193"/>
        <v>100.80000000000001</v>
      </c>
      <c r="LN265" s="417">
        <f>VLOOKUP($LM$8,'Jan-2026 rates'!$H:$I,2,0)</f>
        <v>0</v>
      </c>
      <c r="LO265" s="417">
        <f t="shared" si="194"/>
        <v>25.200000000000003</v>
      </c>
      <c r="LP265" s="417">
        <f>VLOOKUP($LO$8,'Jan-2026 rates'!$H:$I,2,0)</f>
        <v>0</v>
      </c>
      <c r="LQ265" s="417">
        <f t="shared" si="195"/>
        <v>0</v>
      </c>
      <c r="LR265" s="417">
        <f>VLOOKUP($LQ$8,'Jan-2026 rates'!$H:$I,2,0)</f>
        <v>0</v>
      </c>
      <c r="LS265" s="417">
        <f t="shared" si="196"/>
        <v>0</v>
      </c>
      <c r="LT265" s="417">
        <f>VLOOKUP($LS$8,'Jan-2026 rates'!$H:$I,2,0)</f>
        <v>0</v>
      </c>
      <c r="LU265" s="417">
        <f t="shared" si="197"/>
        <v>0</v>
      </c>
      <c r="LV265" s="417">
        <f>VLOOKUP($LU$8,'Jan-2026 rates'!$H:$I,2,0)</f>
        <v>0</v>
      </c>
      <c r="LW265" s="417">
        <f t="shared" si="198"/>
        <v>0</v>
      </c>
      <c r="LX265" s="417">
        <f t="shared" si="199"/>
        <v>0</v>
      </c>
      <c r="LY265" s="418">
        <f t="shared" si="200"/>
        <v>0</v>
      </c>
      <c r="LZ265" s="417"/>
      <c r="MA265" s="435">
        <f t="shared" si="201"/>
        <v>85</v>
      </c>
      <c r="MB265" s="282">
        <f t="shared" si="202"/>
        <v>225</v>
      </c>
      <c r="MC265" s="283">
        <v>158</v>
      </c>
      <c r="MD265" s="284" t="str">
        <f t="shared" si="203"/>
        <v>FLINTSLFLINTSLFLINTSLFLINTSLFLINTSLFLINTSLFLINTSLFLINTSL</v>
      </c>
      <c r="ME265" s="293" t="str">
        <f t="shared" si="204"/>
        <v>+</v>
      </c>
      <c r="MF265" s="293" t="str">
        <f t="shared" si="205"/>
        <v>+</v>
      </c>
      <c r="MG265" s="293" t="str">
        <f t="shared" si="206"/>
        <v>+</v>
      </c>
      <c r="MH265" s="293" t="str">
        <f t="shared" si="207"/>
        <v>+</v>
      </c>
      <c r="MI265" s="293" t="str">
        <f t="shared" si="208"/>
        <v>+</v>
      </c>
      <c r="MJ265" s="293" t="str">
        <f t="shared" si="209"/>
        <v>+</v>
      </c>
      <c r="MK265" s="293" t="str">
        <f t="shared" si="210"/>
        <v>+</v>
      </c>
      <c r="ML265" s="293" t="str">
        <f t="shared" si="211"/>
        <v>+</v>
      </c>
      <c r="MM265" s="3" t="b">
        <f t="array" ref="MM265">OR(ME265:ML265="-")</f>
        <v>0</v>
      </c>
      <c r="MN265" s="285"/>
      <c r="MO265" s="401"/>
      <c r="MP265" s="286"/>
      <c r="MQ265" s="286"/>
      <c r="MR265" s="402"/>
      <c r="MS265" s="400"/>
      <c r="NH265" s="422"/>
      <c r="NJ265" s="421"/>
    </row>
    <row r="266" spans="1:374" s="1" customFormat="1" ht="16.5">
      <c r="A266" s="403">
        <v>46042</v>
      </c>
      <c r="B266" s="404" t="s">
        <v>1018</v>
      </c>
      <c r="C266" s="405" t="s">
        <v>4190</v>
      </c>
      <c r="D266" s="406">
        <v>159</v>
      </c>
      <c r="E266" s="404">
        <v>1080</v>
      </c>
      <c r="F266" s="407">
        <v>12700</v>
      </c>
      <c r="G266" s="407" t="s">
        <v>1019</v>
      </c>
      <c r="H266" s="408" t="s">
        <v>1017</v>
      </c>
      <c r="I266" s="409">
        <v>1.6</v>
      </c>
      <c r="J266" s="405" t="s">
        <v>543</v>
      </c>
      <c r="K266" s="404" t="s">
        <v>4191</v>
      </c>
      <c r="L266" s="419" t="str">
        <f t="shared" si="184"/>
        <v>FLINTSL - BLACK</v>
      </c>
      <c r="M266" s="404">
        <v>28</v>
      </c>
      <c r="N266" s="410">
        <f>IF(M266=0,0,IF($LB266=70%,VLOOKUP($L266,'Jan-2026 rates'!$L:$R,4,0),IF($LB266=65%,VLOOKUP($L266,'Jan-2026 rates'!$L:$R,4,0),IF($LB266=40%,VLOOKUP($L266,'Jan-2026 rates'!$L:$R,5,0),IF($LB266=30%,VLOOKUP($L266,'Jan-2026 rates'!$L:$R,6,0),IF($LB266=100%,VLOOKUP($L266,'Jan-2026 rates'!$L:$R,7,0),IF($LB266=60%,VLOOKUP($L266,'Jan-2026 rates'!$L:$S,8,0),IF($LB266=80%,VLOOKUP($L266,'Jan-2026 rates'!L:T,9,0),0))))))))</f>
        <v>0</v>
      </c>
      <c r="O266" s="406"/>
      <c r="P266" s="404"/>
      <c r="Q266" s="410">
        <f>IF(P266=0,0,IF($LB266=70%,VLOOKUP($L266,'Jan-2026 rates'!$L:$R,4,0),IF($LB266=65%,VLOOKUP($L266,'Jan-2026 rates'!$L:$R,4,0),IF($LB266=40%,VLOOKUP($L266,'Jan-2026 rates'!$L:$R,5,0),IF($LB266=30%,VLOOKUP($L266,'Jan-2026 rates'!$L:$R,6,0),IF($LB266=100%,VLOOKUP($L266,'Jan-2026 rates'!$L:$R,7,0),IF($LB266=60%,VLOOKUP($L266,'Jan-2026 rates'!$L:$S,8,0),IF($LB266=80%,VLOOKUP($L266,'Jan-2026 rates'!L:T,9,0),0))))))))</f>
        <v>0</v>
      </c>
      <c r="R266" s="406" t="s">
        <v>1266</v>
      </c>
      <c r="S266" s="406"/>
      <c r="T266" s="406"/>
      <c r="U266" s="406"/>
      <c r="V266" s="406"/>
      <c r="W266" s="406"/>
      <c r="X266" s="406"/>
      <c r="Y266" s="406"/>
      <c r="Z266" s="404">
        <v>3</v>
      </c>
      <c r="AA266" s="398">
        <f>IF(Z266=0,0,IF(LEN(R266)=11,_xlfn.XLOOKUP(R266,'Dispensed Ink Rates'!C:C,'Dispensed Ink Rates'!CS:CS),VLOOKUP(R266,'Jan-2026 rates'!$E:$F,2,0)))</f>
        <v>0</v>
      </c>
      <c r="AB266" s="404"/>
      <c r="AC266" s="398">
        <f>IF(AB266=0,0,IF(LEN(S266)=11,_xlfn.XLOOKUP(S266,'Dispensed Ink Rates'!C:C,'Dispensed Ink Rates'!CS:CS),VLOOKUP(S266,'Jan-2026 rates'!$E:$F,2,0)))</f>
        <v>0</v>
      </c>
      <c r="AD266" s="404"/>
      <c r="AE266" s="398">
        <f>IF(AD266=0,0,IF(LEN(T266)=11,_xlfn.XLOOKUP(T266,'Dispensed Ink Rates'!C:C,'Dispensed Ink Rates'!CS:CS),VLOOKUP(T266,'Jan-2026 rates'!$E:$F,2,0)))</f>
        <v>0</v>
      </c>
      <c r="AF266" s="404"/>
      <c r="AG266" s="398">
        <f>IF(AF266=0,0,IF(LEN(U266)=11,_xlfn.XLOOKUP(U266,'Dispensed Ink Rates'!C:C,'Dispensed Ink Rates'!CS:CS),VLOOKUP(U266,'Jan-2026 rates'!$E:$F,2,0)))</f>
        <v>0</v>
      </c>
      <c r="AH266" s="404"/>
      <c r="AI266" s="398">
        <f>IF(AH266=0,0,IF(LEN(V266)=11,_xlfn.XLOOKUP(V266,'Dispensed Ink Rates'!C:C,'Dispensed Ink Rates'!CS:CS),VLOOKUP(V266,'Jan-2026 rates'!$E:$F,2,0)))</f>
        <v>0</v>
      </c>
      <c r="AJ266" s="404"/>
      <c r="AK266" s="398">
        <f>IF(AJ266=0,0,IF(LEN(W266)=11,_xlfn.XLOOKUP(W266,'Dispensed Ink Rates'!C:C,'Dispensed Ink Rates'!CS:CS),VLOOKUP(W266,'Jan-2026 rates'!$E:$F,2,0)))</f>
        <v>0</v>
      </c>
      <c r="AL266" s="404"/>
      <c r="AM266" s="398">
        <f>IF(AL266=0,0,IF(LEN(X266)=11,_xlfn.XLOOKUP(X266,'Dispensed Ink Rates'!C:C,'Dispensed Ink Rates'!CS:CS),VLOOKUP(X266,'Jan-2026 rates'!$E:$F,2,0)))</f>
        <v>0</v>
      </c>
      <c r="AN266" s="404"/>
      <c r="AO266" s="398">
        <f>IF(AN266=0,0,IF(LEN(Y266)=11,_xlfn.XLOOKUP(Y266,'Dispensed Ink Rates'!C:C,'Dispensed Ink Rates'!CS:CS),VLOOKUP(Y266,'Jan-2026 rates'!$E:$F,2,0)))</f>
        <v>0</v>
      </c>
      <c r="AP266" s="409" t="s">
        <v>1443</v>
      </c>
      <c r="AQ266" s="409">
        <v>30</v>
      </c>
      <c r="AR266" s="410">
        <f t="shared" ref="AR266:AR403" si="212">IFERROR(IF(AS266&lt;=0,0,(M266*N266+P266*Q266+Z266*AA266+AB266*AC266+AD266*AE266+AF266*AG266+AH266*AI266+AJ266*AK266+AL266*AM266+AN266*AO266+(KT266/SUM(KT266:LA266)*LL266)*LX266)/(M266+P266+Z266+AB266+AD266+AF266+AH266+AJ266+AL266+AN266+(KT266/SUM(KT266:LA266)*LL266))),0)</f>
        <v>0</v>
      </c>
      <c r="AS266" s="411">
        <f t="shared" ref="AS266:AS403" si="213">IFERROR((M266+P266+Z266+AB266+AD266+AF266+AH266+AJ266+AL266+AN266+(KT266/SUM(KT266:LA266)*LL266)-AQ266),0)</f>
        <v>7</v>
      </c>
      <c r="AT266" s="410">
        <f t="shared" ref="AT266:AT403" si="214">IFERROR(IF(AS266&lt;=0,0,(M266*N266+P266*Q266+Z266*AA266+AB266*AC266+AD266*AE266+AF266*AG266+AH266*AI266+AJ266*AK266+AL266*AM266+AN266*AO266-AQ266*AR266+(KT266/SUM(KT266:LA266)*LL266)*LX266)),0)</f>
        <v>0</v>
      </c>
      <c r="AU266" s="405" t="s">
        <v>546</v>
      </c>
      <c r="AV266" s="409" t="s">
        <v>4191</v>
      </c>
      <c r="AW266" s="420" t="str">
        <f t="shared" si="183"/>
        <v>FLINTSL - REFLEX BLUE</v>
      </c>
      <c r="AX266" s="409">
        <v>27</v>
      </c>
      <c r="AY266" s="411">
        <f>IF(AX266=0,0,IF($LB266=70%,VLOOKUP($AW266,'Jan-2026 rates'!$L:$R,4,0),IF($LB266=65%,VLOOKUP($AW266,'Jan-2026 rates'!$L:$R,4,0),IF($LB266=40%,VLOOKUP($AW266,'Jan-2026 rates'!$L:$R,5,0),IF($LB266=30%,VLOOKUP($AW266,'Jan-2026 rates'!$L:$R,6,0),IF($LB266=100%,VLOOKUP($AW266,'Jan-2026 rates'!$L:$R,7,0),IF($LB266=60%,VLOOKUP($AW266,'Jan-2026 rates'!$L:$S,8,0),IF($LB266=80%,VLOOKUP($AW266,'Jan-2026 rates'!L:T,9,0),0))))))))</f>
        <v>0</v>
      </c>
      <c r="AZ266" s="412"/>
      <c r="BA266" s="409"/>
      <c r="BB266" s="411">
        <f>IF(BA266=0,0,IF($LB266=70%,VLOOKUP($AW266,'Jan-2026 rates'!$L:$R,4,0),IF($LB266=65%,VLOOKUP($AW266,'Jan-2026 rates'!$L:$R,4,0),IF($LB266=40%,VLOOKUP($AW266,'Jan-2026 rates'!$L:$R,5,0),IF($LB266=30%,VLOOKUP($AW266,'Jan-2026 rates'!$L:$R,6,0),IF($LB266=100%,VLOOKUP($AW266,'Jan-2026 rates'!$L:$R,7,0),IF($LB266=60%,VLOOKUP($AW266,'Jan-2026 rates'!$L:$S,8,0),IF($LB266=80%,VLOOKUP($AW266,'Jan-2026 rates'!L:T,9,0),0))))))))</f>
        <v>0</v>
      </c>
      <c r="BC266" s="413">
        <v>26521000005</v>
      </c>
      <c r="BD266" s="412"/>
      <c r="BE266" s="412"/>
      <c r="BF266" s="413"/>
      <c r="BG266" s="412"/>
      <c r="BH266" s="412"/>
      <c r="BI266" s="412"/>
      <c r="BJ266" s="412"/>
      <c r="BK266" s="409">
        <v>4</v>
      </c>
      <c r="BL266" s="398" t="e">
        <f>IF(BK266=0,0,IF(LEN(BC266)=11,_xlfn.XLOOKUP(BC266,'Dispensed Ink Rates'!C:C,'Dispensed Ink Rates'!CS:CS),VLOOKUP(BC266,'Jan-2026 rates'!$E:$F,2,0)))</f>
        <v>#N/A</v>
      </c>
      <c r="BM266" s="409"/>
      <c r="BN266" s="398">
        <f>IF(BM266=0,0,IF(LEN(BD266)=11,_xlfn.XLOOKUP(BD266,'Dispensed Ink Rates'!C:C,'Dispensed Ink Rates'!CS:CS),VLOOKUP(BD266,'Jan-2026 rates'!$E:$F,2,0)))</f>
        <v>0</v>
      </c>
      <c r="BO266" s="409"/>
      <c r="BP266" s="398">
        <f>IF(BO266=0,0,IF(LEN(BE266)=11,_xlfn.XLOOKUP(BE266,'Dispensed Ink Rates'!C:C,'Dispensed Ink Rates'!CS:CS),VLOOKUP(BE266,'Jan-2026 rates'!$E:$F,2,0)))</f>
        <v>0</v>
      </c>
      <c r="BQ266" s="409"/>
      <c r="BR266" s="398">
        <f>IF(BQ266=0,0,IF(LEN(BF266)=11,_xlfn.XLOOKUP(BF266,'Dispensed Ink Rates'!C:C,'Dispensed Ink Rates'!CS:CS),VLOOKUP(BF266,'Jan-2026 rates'!$E:$F,2,0)))</f>
        <v>0</v>
      </c>
      <c r="BS266" s="409"/>
      <c r="BT266" s="398">
        <f>IF(BS266=0,0,IF(LEN(BG266)=11,_xlfn.XLOOKUP(BG266,'Dispensed Ink Rates'!C:C,'Dispensed Ink Rates'!CS:CS),VLOOKUP(BG266,'Jan-2026 rates'!$E:$F,2,0)))</f>
        <v>0</v>
      </c>
      <c r="BU266" s="409"/>
      <c r="BV266" s="398">
        <f>IF(BU266=0,0,IF(LEN(BH266)=11,_xlfn.XLOOKUP(BH266,'Dispensed Ink Rates'!C:C,'Dispensed Ink Rates'!CS:CS),VLOOKUP(BH266,'Jan-2026 rates'!$E:$F,2,0)))</f>
        <v>0</v>
      </c>
      <c r="BW266" s="409"/>
      <c r="BX266" s="398">
        <f>IF(BW266=0,0,IF(LEN(BI266)=11,_xlfn.XLOOKUP(BI266,'Dispensed Ink Rates'!C:C,'Dispensed Ink Rates'!CS:CS),VLOOKUP(BI266,'Jan-2026 rates'!$E:$F,2,0)))</f>
        <v>0</v>
      </c>
      <c r="BY266" s="409"/>
      <c r="BZ266" s="398">
        <f>IF(BY266=0,0,IF(LEN(BJ266)=11,_xlfn.XLOOKUP(BJ266,'Dispensed Ink Rates'!C:C,'Dispensed Ink Rates'!CS:CS),VLOOKUP(BJ266,'Jan-2026 rates'!$E:$F,2,0)))</f>
        <v>0</v>
      </c>
      <c r="CA266" s="409" t="s">
        <v>1443</v>
      </c>
      <c r="CB266" s="409">
        <v>30</v>
      </c>
      <c r="CC266" s="411">
        <f t="shared" ref="CC266:CC403" si="215">IFERROR(IF(CD266&lt;=0,0,(AX266*AY266+BA266*BB266+BK266*BL266+BM266*BN266+BO266*BP266+BQ266*BR266+BS266*BT266+BU266*BV266+BW266*BX266+BY266*BZ266+(KU266/SUM(KT266:LA266)*LL266)*LX266)/(AX266+BA266+BK266+BM266+BO266+BQ266+BS266+BU266+BW266+BY266+(KU266/SUM(KT266:LA266)*LL266))),0)</f>
        <v>0</v>
      </c>
      <c r="CD266" s="411">
        <f t="shared" ref="CD266:CD403" si="216">IFERROR((AX266+BA266+BK266+BM266+BO266+BQ266+BS266+BU266+BW266+BY266+(KU266/SUM(KT266:LA266)*LL266)-CB266),0)</f>
        <v>7</v>
      </c>
      <c r="CE266" s="410">
        <f t="shared" ref="CE266:CE403" si="217">IFERROR(IF(CD266&lt;=0,0,(AX266*AY266+BA266*BB266+BK266*BL266+BM266*BN266+BO266*BP266+BQ266*BR266+BS266*BT266+BU266*BV266+BW266*BX266+BY266*BZ266-CB266*CC266+(KU266/SUM(KT266:LA266)*LL266)*LX266)),0)</f>
        <v>0</v>
      </c>
      <c r="CF266" s="404" t="s">
        <v>547</v>
      </c>
      <c r="CG266" s="409"/>
      <c r="CH266" s="420" t="str">
        <f t="shared" si="185"/>
        <v>FLINTSL - GREEN</v>
      </c>
      <c r="CI266" s="409"/>
      <c r="CJ266" s="411">
        <f>IF(CI266=0,0,IF($LB266=70%,VLOOKUP($CH266,'Jan-2026 rates'!$L:$R,4,0),IF($LB266=65%,VLOOKUP($CH266,'Jan-2026 rates'!$L:$R,4,0),IF($LB266=40%,VLOOKUP($CH266,'Jan-2026 rates'!$L:$R,5,0),IF($LB266=30%,VLOOKUP($CH266,'Jan-2026 rates'!$L:$R,6,0),IF($LB266=100%,VLOOKUP($CH266,'Jan-2026 rates'!$L:$R,7,0),IF($LB266=60%,VLOOKUP($CH266,'Jan-2026 rates'!$L:$S,8,0),IF($LB266=80%,VLOOKUP($CH266,'Jan-2026 rates'!L:T,9,0),0))))))))</f>
        <v>0</v>
      </c>
      <c r="CK266" s="412"/>
      <c r="CL266" s="409"/>
      <c r="CM266" s="411">
        <f>IF(CL266=0,0,IF($LB266=70%,VLOOKUP($CH266,'Jan-2026 rates'!$L:$R,4,0),IF($LB266=65%,VLOOKUP($CH266,'Jan-2026 rates'!$L:$R,4,0),IF($LB266=40%,VLOOKUP($CH266,'Jan-2026 rates'!$L:$R,5,0),IF($LB266=30%,VLOOKUP($CH266,'Jan-2026 rates'!$L:$R,6,0),IF($LB266=100%,VLOOKUP($CH266,'Jan-2026 rates'!$L:$R,7,0),IF($LB266=60%,VLOOKUP($CH266,'Jan-2026 rates'!$L:$S,8,0),IF($LB266=80%,VLOOKUP($CH266,'Jan-2026 rates'!L:T,9,0),0))))))))</f>
        <v>0</v>
      </c>
      <c r="CN266" s="426">
        <v>26521000001</v>
      </c>
      <c r="CO266" s="427">
        <v>26521000002</v>
      </c>
      <c r="CP266" s="426">
        <v>26521000008</v>
      </c>
      <c r="CQ266" s="426">
        <v>26521000004</v>
      </c>
      <c r="CR266" s="428"/>
      <c r="CS266" s="428"/>
      <c r="CT266" s="428"/>
      <c r="CU266" s="428"/>
      <c r="CV266" s="409">
        <v>30</v>
      </c>
      <c r="CW266" s="398" t="e">
        <f>IF(CV266=0,0,IF(LEN(CN266)=11,_xlfn.XLOOKUP(CN266,'Dispensed Ink Rates'!C:C,'Dispensed Ink Rates'!CS:CS),VLOOKUP(CN266,'Jan-2026 rates'!$E:$F,2,0)))</f>
        <v>#N/A</v>
      </c>
      <c r="CX266" s="409">
        <v>10</v>
      </c>
      <c r="CY266" s="398" t="e">
        <f>IF(CX266=0,0,IF(LEN(CO266)=11,_xlfn.XLOOKUP(CO266,'Dispensed Ink Rates'!C:C,'Dispensed Ink Rates'!CS:CS),VLOOKUP(CO266,'Jan-2026 rates'!$E:$F,2,0)))</f>
        <v>#N/A</v>
      </c>
      <c r="CZ266" s="409">
        <v>5</v>
      </c>
      <c r="DA266" s="398" t="e">
        <f>IF(CZ266=0,0,IF(LEN(CP266)=11,_xlfn.XLOOKUP(CP266,'Dispensed Ink Rates'!C:C,'Dispensed Ink Rates'!CS:CS),VLOOKUP(CP266,'Jan-2026 rates'!$E:$F,2,0)))</f>
        <v>#N/A</v>
      </c>
      <c r="DB266" s="409">
        <v>10</v>
      </c>
      <c r="DC266" s="398" t="e">
        <f>IF(DB266=0,0,IF(LEN(CQ266)=11,_xlfn.XLOOKUP(CQ266,'Dispensed Ink Rates'!C:C,'Dispensed Ink Rates'!CS:CS),VLOOKUP(CQ266,'Jan-2026 rates'!$E:$F,2,0)))</f>
        <v>#N/A</v>
      </c>
      <c r="DD266" s="409"/>
      <c r="DE266" s="398">
        <f>IF(DD266=0,0,IF(LEN(CR266)=11,_xlfn.XLOOKUP(CR266,'Dispensed Ink Rates'!C:C,'Dispensed Ink Rates'!CS:CS),VLOOKUP(CR266,'Jan-2026 rates'!$E:$F,2,0)))</f>
        <v>0</v>
      </c>
      <c r="DF266" s="409"/>
      <c r="DG266" s="398">
        <f>IF(DF266=0,0,IF(LEN(CS266)=11,_xlfn.XLOOKUP(CS266,'Dispensed Ink Rates'!C:C,'Dispensed Ink Rates'!CS:CS),VLOOKUP(CS266,'Jan-2026 rates'!$E:$F,2,0)))</f>
        <v>0</v>
      </c>
      <c r="DH266" s="409"/>
      <c r="DI266" s="398">
        <f>IF(DH266=0,0,IF(LEN(CT266)=11,_xlfn.XLOOKUP(CT266,'Dispensed Ink Rates'!C:C,'Dispensed Ink Rates'!CS:CS),VLOOKUP(CT266,'Jan-2026 rates'!$E:$F,2,0)))</f>
        <v>0</v>
      </c>
      <c r="DJ266" s="409"/>
      <c r="DK266" s="398">
        <f>IF(DJ266=0,0,IF(LEN(CU266)=11,_xlfn.XLOOKUP(CU266,'Dispensed Ink Rates'!C:C,'Dispensed Ink Rates'!CS:CS),VLOOKUP(CU266,'Jan-2026 rates'!$E:$F,2,0)))</f>
        <v>0</v>
      </c>
      <c r="DL266" s="409" t="s">
        <v>1443</v>
      </c>
      <c r="DM266" s="409">
        <v>16</v>
      </c>
      <c r="DN266" s="411">
        <f t="shared" ref="DN266:DN403" si="218">IFERROR(IF(DO266&lt;=0,0,(CI266*CJ266+CL266*CM266+CV266*CW266+CX266*CY266+CZ266*DA266+DB266*DC266+DD266*DE266+DF266*DG266+DH266*DI266+DJ266*DK266+(KV266/SUM(KT266:LA266)*LL266)*LX266)/(CI266+CL266+CV266+CX266+CZ266+DB266+DD266+DF266+DH266+DJ266+(KV266/SUM(KT266:LA266)*LL266))),0)</f>
        <v>0</v>
      </c>
      <c r="DO266" s="411">
        <f t="shared" ref="DO266:DO403" si="219">IFERROR((CI266+CL266+CV266+CX266+CZ266+DB266+DD266+DF266+DH266+DJ266+(KV266/SUM(KT266:LA266)*LL266)-DM266),0)</f>
        <v>51</v>
      </c>
      <c r="DP266" s="410">
        <f t="shared" ref="DP266:DP403" si="220">IFERROR(IF(DO266&lt;=0,0,(CI266*CJ266+CL266*CM266+CV266*CW266+CX266*CY266+CZ266*DA266+DB266*DC266+DD266*DE266+DF266*DG266+DH266*DI266+DJ266*DK266-DM266*DN266+(KV266/SUM(KT266:LA266)*LL266)*LX266)),0)</f>
        <v>0</v>
      </c>
      <c r="DQ266" s="405" t="s">
        <v>855</v>
      </c>
      <c r="DR266" s="409" t="s">
        <v>4192</v>
      </c>
      <c r="DS266" s="420" t="str">
        <f t="shared" si="186"/>
        <v>FLINTSL - CYAN</v>
      </c>
      <c r="DT266" s="409">
        <v>28</v>
      </c>
      <c r="DU266" s="411">
        <f>IF(DT266=0,0,IF($LB266=70%,VLOOKUP($DS266,'Jan-2026 rates'!$L:$R,4,0),IF($LB266=65%,VLOOKUP($DS266,'Jan-2026 rates'!$L:$R,4,0),IF($LB266=40%,VLOOKUP($DS266,'Jan-2026 rates'!$L:$R,5,0),IF($LB266=30%,VLOOKUP($DS266,'Jan-2026 rates'!$L:$R,6,0),IF($LB266=100%,VLOOKUP($DS266,'Jan-2026 rates'!$L:$R,7,0),IF($LB266=60%,VLOOKUP($DS266,'Jan-2026 rates'!$L:$S,8,0),IF($LB266=80%,VLOOKUP($DS266,'Jan-2026 rates'!L:T,9,0),0))))))))</f>
        <v>0</v>
      </c>
      <c r="DV266" s="412"/>
      <c r="DW266" s="409"/>
      <c r="DX266" s="411">
        <f>IF(DW266=0,0,IF($LB266=70%,VLOOKUP($DS266,'Jan-2026 rates'!$L:$R,4,0),IF($LB266=65%,VLOOKUP($DS266,'Jan-2026 rates'!$L:$R,4,0),IF($LB266=40%,VLOOKUP($DS266,'Jan-2026 rates'!$L:$R,5,0),IF($LB266=30%,VLOOKUP($DS266,'Jan-2026 rates'!$L:$R,6,0),IF($LB266=100%,VLOOKUP($DS266,'Jan-2026 rates'!$L:$R,7,0),IF($LB266=60%,VLOOKUP($DS266,'Jan-2026 rates'!$L:$S,8,0),IF($LB266=80%,VLOOKUP($DS266,'Jan-2026 rates'!L:T,9,0),0))))))))</f>
        <v>0</v>
      </c>
      <c r="DY266" s="413">
        <v>26519000015</v>
      </c>
      <c r="DZ266" s="413"/>
      <c r="EA266" s="412"/>
      <c r="EB266" s="412"/>
      <c r="EC266" s="412"/>
      <c r="ED266" s="412"/>
      <c r="EE266" s="412"/>
      <c r="EF266" s="412"/>
      <c r="EG266" s="409">
        <v>8</v>
      </c>
      <c r="EH266" s="398" t="e">
        <f>IF(EG266=0,0,IF(LEN(DY266)=11,_xlfn.XLOOKUP(DY266,'Dispensed Ink Rates'!C:C,'Dispensed Ink Rates'!CS:CS),VLOOKUP(DY266,'Jan-2026 rates'!$E:$F,2,0)))</f>
        <v>#N/A</v>
      </c>
      <c r="EI266" s="409"/>
      <c r="EJ266" s="398">
        <f>IF(EI266=0,0,IF(LEN(DZ266)=11,_xlfn.XLOOKUP(DZ266,'Dispensed Ink Rates'!C:C,'Dispensed Ink Rates'!CS:CS),VLOOKUP(DZ266,'Jan-2026 rates'!$E:$F,2,0)))</f>
        <v>0</v>
      </c>
      <c r="EK266" s="409"/>
      <c r="EL266" s="398">
        <f>IF(EK266=0,0,IF(LEN(EA266)=11,_xlfn.XLOOKUP(EA266,'Dispensed Ink Rates'!C:C,'Dispensed Ink Rates'!CS:CS),VLOOKUP(EA266,'Jan-2026 rates'!$E:$F,2,0)))</f>
        <v>0</v>
      </c>
      <c r="EM266" s="409"/>
      <c r="EN266" s="398">
        <f>IF(EM266=0,0,IF(LEN(EB266)=11,_xlfn.XLOOKUP(EB266,'Dispensed Ink Rates'!C:C,'Dispensed Ink Rates'!CS:CS),VLOOKUP(EB266,'Jan-2026 rates'!$E:$F,2,0)))</f>
        <v>0</v>
      </c>
      <c r="EO266" s="409"/>
      <c r="EP266" s="398">
        <f>IF(EO266=0,0,IF(LEN(EC266)=11,_xlfn.XLOOKUP(EC266,'Dispensed Ink Rates'!C:C,'Dispensed Ink Rates'!CS:CS),VLOOKUP(EC266,'Jan-2026 rates'!$E:$F,2,0)))</f>
        <v>0</v>
      </c>
      <c r="EQ266" s="409"/>
      <c r="ER266" s="398">
        <f>IF(EQ266=0,0,IF(LEN(ED266)=11,_xlfn.XLOOKUP(ED266,'Dispensed Ink Rates'!C:C,'Dispensed Ink Rates'!CS:CS),VLOOKUP(ED266,'Jan-2026 rates'!$E:$F,2,0)))</f>
        <v>0</v>
      </c>
      <c r="ES266" s="409"/>
      <c r="ET266" s="398">
        <f>IF(ES266=0,0,IF(LEN(EE266)=11,_xlfn.XLOOKUP(EE266,'Dispensed Ink Rates'!C:C,'Dispensed Ink Rates'!CS:CS),VLOOKUP(EE266,'Jan-2026 rates'!$E:$F,2,0)))</f>
        <v>0</v>
      </c>
      <c r="EU266" s="409"/>
      <c r="EV266" s="398">
        <f>IF(EU266=0,0,IF(LEN(EF266)=11,_xlfn.XLOOKUP(EF266,'Dispensed Ink Rates'!C:C,'Dispensed Ink Rates'!CS:CS),VLOOKUP(EF266,'Jan-2026 rates'!$E:$F,2,0)))</f>
        <v>0</v>
      </c>
      <c r="EW266" s="409" t="s">
        <v>1443</v>
      </c>
      <c r="EX266" s="409">
        <v>27</v>
      </c>
      <c r="EY266" s="411">
        <f t="shared" ref="EY266:EY403" si="221">IFERROR(IF(EZ266&lt;=0,0,(DT266*DU266+DW266*DX266+EG266*EH266+EI266*EJ266+EK266*EL266+EM266*EN266+EO266*EP266+EQ266*ER266+ES266*ET266+EU266*EV266+(KW266/SUM(KT266:LA266)*LL266)*LX266)/(DT266+DW266+EG266+EI266+EK266+EM266+EO266+EQ266+ES266+EU266+(KW266/SUM(KT266:LA266)*LL266))),0)</f>
        <v>0</v>
      </c>
      <c r="EZ266" s="411">
        <f t="shared" ref="EZ266:EZ403" si="222">IFERROR((DT266+DW266+EG266+EI266+EK266+EM266+EO266+EQ266+ES266+EU266+(KW266/SUM(KT266:LA266)*LL266)-EX266),0)</f>
        <v>21</v>
      </c>
      <c r="FA266" s="410">
        <f t="shared" ref="FA266:FA403" si="223">IFERROR(IF(EZ266&lt;=0,0,(DT266*DU266+DW266*DX266+EG266*EH266+EI266*EJ266+EK266*EL266+EM266*EN266+EO266*EP266+EQ266*ER266+ES266*ET266+EU266*EV266-EX266*EY266+(KW266/SUM(KT266:LA266)*LL266)*LX266)),0)</f>
        <v>0</v>
      </c>
      <c r="FB266" s="405" t="s">
        <v>544</v>
      </c>
      <c r="FC266" s="409" t="s">
        <v>4193</v>
      </c>
      <c r="FD266" s="420" t="str">
        <f t="shared" si="187"/>
        <v>FLINTSL - MAGENTA</v>
      </c>
      <c r="FE266" s="409">
        <v>29</v>
      </c>
      <c r="FF266" s="411">
        <f>IF(FE266=0,0,IF($LB266=70%,VLOOKUP($FD266,'Jan-2026 rates'!$L:$R,4,0),IF($LB266=65%,VLOOKUP($FD266,'Jan-2026 rates'!$L:$R,4,0),IF($LB266=40%,VLOOKUP($FD266,'Jan-2026 rates'!$L:$R,5,0),IF($LB266=30%,VLOOKUP($FD266,'Jan-2026 rates'!$L:$R,6,0),IF($LB266=100%,VLOOKUP($FD266,'Jan-2026 rates'!$L:$R,7,0),IF($LB266=60%,VLOOKUP($FD266,'Jan-2026 rates'!$L:$S,8,0),IF($LB266=80%,VLOOKUP($FD266,'Jan-2026 rates'!L:T,9,0),0))))))))</f>
        <v>0</v>
      </c>
      <c r="FG266" s="412"/>
      <c r="FH266" s="409"/>
      <c r="FI266" s="411">
        <f>IF(FH266=0,0,IF($LB266=70%,VLOOKUP($FD266,'Jan-2026 rates'!$L:$R,4,0),IF($LB266=65%,VLOOKUP($FD266,'Jan-2026 rates'!$L:$R,4,0),IF($LB266=40%,VLOOKUP($FD266,'Jan-2026 rates'!$L:$R,5,0),IF($LB266=30%,VLOOKUP($FD266,'Jan-2026 rates'!$L:$R,6,0),IF($LB266=100%,VLOOKUP($FD266,'Jan-2026 rates'!$L:$R,7,0),IF($LB266=60%,VLOOKUP($FD266,'Jan-2026 rates'!$L:$S,8,0),IF($LB266=80%,VLOOKUP($FD266,'Jan-2026 rates'!L:T,9,0),0))))))))</f>
        <v>0</v>
      </c>
      <c r="FJ266" s="413">
        <v>26519000036</v>
      </c>
      <c r="FK266" s="413"/>
      <c r="FL266" s="413"/>
      <c r="FM266" s="412"/>
      <c r="FN266" s="412"/>
      <c r="FO266" s="412"/>
      <c r="FP266" s="412"/>
      <c r="FQ266" s="412"/>
      <c r="FR266" s="409">
        <v>2</v>
      </c>
      <c r="FS266" s="398" t="e">
        <f>IF(FR266=0,0,IF(LEN(FJ266)=11,_xlfn.XLOOKUP(FJ266,'Dispensed Ink Rates'!C:C,'Dispensed Ink Rates'!CS:CS),VLOOKUP(FJ266,'Jan-2026 rates'!$E:$F,2,0)))</f>
        <v>#N/A</v>
      </c>
      <c r="FT266" s="409"/>
      <c r="FU266" s="398">
        <f>IF(FT266=0,0,IF(LEN(FK266)=11,_xlfn.XLOOKUP(FK266,'Dispensed Ink Rates'!C:C,'Dispensed Ink Rates'!CS:CS),VLOOKUP(FK266,'Jan-2026 rates'!$E:$F,2,0)))</f>
        <v>0</v>
      </c>
      <c r="FV266" s="409"/>
      <c r="FW266" s="398">
        <f>IF(FV266=0,0,IF(LEN(FL266)=11,_xlfn.XLOOKUP(FL266,'Dispensed Ink Rates'!C:C,'Dispensed Ink Rates'!CS:CS),VLOOKUP(FL266,'Jan-2026 rates'!$E:$F,2,0)))</f>
        <v>0</v>
      </c>
      <c r="FX266" s="409"/>
      <c r="FY266" s="398">
        <f>IF(FX266=0,0,IF(LEN(FM266)=11,_xlfn.XLOOKUP(FM266,'Dispensed Ink Rates'!C:C,'Dispensed Ink Rates'!CS:CS),VLOOKUP(FM266,'Jan-2026 rates'!$E:$F,2,0)))</f>
        <v>0</v>
      </c>
      <c r="FZ266" s="409"/>
      <c r="GA266" s="398">
        <f>IF(FZ266=0,0,IF(LEN(FN266)=11,_xlfn.XLOOKUP(FN266,'Dispensed Ink Rates'!C:C,'Dispensed Ink Rates'!CS:CS),VLOOKUP(FN266,'Jan-2026 rates'!$E:$F,2,0)))</f>
        <v>0</v>
      </c>
      <c r="GB266" s="409"/>
      <c r="GC266" s="398">
        <f>IF(GB266=0,0,IF(LEN(FO266)=11,_xlfn.XLOOKUP(FO266,'Dispensed Ink Rates'!C:C,'Dispensed Ink Rates'!CS:CS),VLOOKUP(FO266,'Jan-2026 rates'!$E:$F,2,0)))</f>
        <v>0</v>
      </c>
      <c r="GD266" s="409"/>
      <c r="GE266" s="398">
        <f>IF(GD266=0,0,IF(LEN(FP266)=11,_xlfn.XLOOKUP(FP266,'Dispensed Ink Rates'!C:C,'Dispensed Ink Rates'!CS:CS),VLOOKUP(FP266,'Jan-2026 rates'!$E:$F,2,0)))</f>
        <v>0</v>
      </c>
      <c r="GF266" s="409"/>
      <c r="GG266" s="398">
        <f>IF(GF266=0,0,IF(LEN(FQ266)=11,_xlfn.XLOOKUP(FQ266,'Dispensed Ink Rates'!C:C,'Dispensed Ink Rates'!CS:CS),VLOOKUP(FQ266,'Jan-2026 rates'!$E:$F,2,0)))</f>
        <v>0</v>
      </c>
      <c r="GH266" s="409" t="s">
        <v>1443</v>
      </c>
      <c r="GI266" s="409">
        <v>30</v>
      </c>
      <c r="GJ266" s="411">
        <f t="shared" ref="GJ266:GJ403" si="224">IFERROR(IF(GK266&lt;=0,0,(FE266*FF266+FH266*FI266+FR266*FS266+FT266*FU266+FV266*FW266+FX266*FY266+FZ266*GA266+GB266*GC266+GD266*GE266+GF266*GG266+(KX266/SUM(KT266:LA266)*LL266)*LX266)/(FE266+FH266+FR266+FT266+FV266+FX266+FZ266+GB266+GD266+GF266+(KX266/SUM(KT266:LA266)*LL266))),0)</f>
        <v>0</v>
      </c>
      <c r="GK266" s="411">
        <f t="shared" ref="GK266:GK403" si="225">IFERROR((FE266+FH266+FR266+FT266+FV266+FX266+FZ266+GB266+GD266+GF266+(KX266/SUM(KT266:LA266)*LL266)-GI266),0)</f>
        <v>7</v>
      </c>
      <c r="GL266" s="410">
        <f t="shared" ref="GL266:GL403" si="226">IFERROR(IF(GK266&lt;=0,0,(FE266*FF266+FH266*FI266+FR266*FS266+FT266*FU266+FV266*FW266+FX266*FY266+FZ266*GA266+GB266*GC266+GD266*GE266+GF266*GG266-GI266*GJ266+(KX266/SUM(KT266:LA266)*LL266)*LX266)),0)</f>
        <v>0</v>
      </c>
      <c r="GM266" s="405" t="s">
        <v>545</v>
      </c>
      <c r="GN266" s="409" t="s">
        <v>4194</v>
      </c>
      <c r="GO266" s="420" t="str">
        <f t="shared" si="188"/>
        <v>FLINTSL - YELLOW</v>
      </c>
      <c r="GP266" s="409">
        <v>29</v>
      </c>
      <c r="GQ266" s="411">
        <f>IF(GP266=0,0,IF($LB266=70%,VLOOKUP($GO266,'Jan-2026 rates'!$L:$R,4,0),IF($LB266=65%,VLOOKUP($GO266,'Jan-2026 rates'!$L:$R,4,0),IF($LB266=40%,VLOOKUP($GO266,'Jan-2026 rates'!$L:$R,5,0),IF($LB266=30%,VLOOKUP($GO266,'Jan-2026 rates'!$L:$R,6,0),IF($LB266=100%,VLOOKUP($GO266,'Jan-2026 rates'!$L:$R,7,0),IF($LB266=60%,VLOOKUP($GO266,'Jan-2026 rates'!$L:$S,8,0),IF($LB266=80%,VLOOKUP($GO266,'Jan-2026 rates'!L:T,9,0),0))))))))</f>
        <v>0</v>
      </c>
      <c r="GR266" s="412"/>
      <c r="GS266" s="409"/>
      <c r="GT266" s="411">
        <f>IF(GS266=0,0,IF($LB266=70%,VLOOKUP($GO266,'Jan-2026 rates'!$L:$R,4,0),IF($LB266=65%,VLOOKUP($GO266,'Jan-2026 rates'!$L:$R,4,0),IF($LB266=40%,VLOOKUP($GO266,'Jan-2026 rates'!$L:$R,5,0),IF($LB266=30%,VLOOKUP($GO266,'Jan-2026 rates'!$L:$R,6,0),IF($LB266=100%,VLOOKUP($GO266,'Jan-2026 rates'!$L:$R,7,0),IF($LB266=60%,VLOOKUP($GO266,'Jan-2026 rates'!$L:$S,8,0),IF($LB266=80%,VLOOKUP($GO266,'Jan-2026 rates'!L:T,9,0),0))))))))</f>
        <v>0</v>
      </c>
      <c r="GU266" s="413">
        <v>26519000035</v>
      </c>
      <c r="GV266" s="413"/>
      <c r="GW266" s="412"/>
      <c r="GX266" s="412"/>
      <c r="GY266" s="412"/>
      <c r="GZ266" s="412"/>
      <c r="HA266" s="412"/>
      <c r="HB266" s="412"/>
      <c r="HC266" s="409">
        <v>2</v>
      </c>
      <c r="HD266" s="398" t="e">
        <f>IF(HC266=0,0,IF(LEN(GU266)=11,_xlfn.XLOOKUP(GU266,'Dispensed Ink Rates'!C:C,'Dispensed Ink Rates'!CS:CS),VLOOKUP(GU266,'Jan-2026 rates'!$E:$F,2,0)))</f>
        <v>#N/A</v>
      </c>
      <c r="HE266" s="409"/>
      <c r="HF266" s="398">
        <f>IF(HE266=0,0,IF(LEN(GV266)=11,_xlfn.XLOOKUP(GV266,'Dispensed Ink Rates'!C:C,'Dispensed Ink Rates'!CS:CS),VLOOKUP(GV266,'Jan-2026 rates'!$E:$F,2,0)))</f>
        <v>0</v>
      </c>
      <c r="HG266" s="409"/>
      <c r="HH266" s="398">
        <f>IF(HG266=0,0,IF(LEN(GW266)=11,_xlfn.XLOOKUP(GW266,'Dispensed Ink Rates'!C:C,'Dispensed Ink Rates'!CS:CS),VLOOKUP(GW266,'Jan-2026 rates'!$E:$F,2,0)))</f>
        <v>0</v>
      </c>
      <c r="HI266" s="409"/>
      <c r="HJ266" s="398">
        <f>IF(HI266=0,0,IF(LEN(GX266)=11,_xlfn.XLOOKUP(GX266,'Dispensed Ink Rates'!C:C,'Dispensed Ink Rates'!CS:CS),VLOOKUP(GX266,'Jan-2026 rates'!$E:$F,2,0)))</f>
        <v>0</v>
      </c>
      <c r="HK266" s="409"/>
      <c r="HL266" s="398">
        <f>IF(HK266=0,0,IF(LEN(GY266)=11,_xlfn.XLOOKUP(GY266,'Dispensed Ink Rates'!C:C,'Dispensed Ink Rates'!CS:CS),VLOOKUP(GY266,'Jan-2026 rates'!$E:$F,2,0)))</f>
        <v>0</v>
      </c>
      <c r="HM266" s="409"/>
      <c r="HN266" s="398">
        <f>IF(HM266=0,0,IF(LEN(GZ266)=11,_xlfn.XLOOKUP(GZ266,'Dispensed Ink Rates'!C:C,'Dispensed Ink Rates'!CS:CS),VLOOKUP(GZ266,'Jan-2026 rates'!$E:$F,2,0)))</f>
        <v>0</v>
      </c>
      <c r="HO266" s="409"/>
      <c r="HP266" s="398">
        <f>IF(HO266=0,0,IF(LEN(HA266)=11,_xlfn.XLOOKUP(HA266,'Dispensed Ink Rates'!C:C,'Dispensed Ink Rates'!CS:CS),VLOOKUP(HA266,'Jan-2026 rates'!$E:$F,2,0)))</f>
        <v>0</v>
      </c>
      <c r="HQ266" s="409"/>
      <c r="HR266" s="398">
        <f>IF(HQ266=0,0,IF(LEN(HB266)=11,_xlfn.XLOOKUP(HB266,'Dispensed Ink Rates'!C:C,'Dispensed Ink Rates'!CS:CS),VLOOKUP(HB266,'Jan-2026 rates'!$E:$F,2,0)))</f>
        <v>0</v>
      </c>
      <c r="HS266" s="409" t="s">
        <v>1443</v>
      </c>
      <c r="HT266" s="409">
        <v>28</v>
      </c>
      <c r="HU266" s="411">
        <f t="shared" ref="HU266:HU403" si="227">IFERROR(IF(HV266&lt;=0,0,(GP266*GQ266+GS266*GT266+HC266*HD266+HE266*HF266+HG266*HH266+HI266*HJ266+HK266*HL266+HM266*HN266+HO266*HP266+HQ266*HR266+(KY266/SUM(KT266:LA266)*LL266)*LX266)/(GP266+GS266+HC266+HE266+HG266+HI266+HK266+HM266+HO266+HQ266+(KY266/SUM(KT266:LA266)*LL266))),0)</f>
        <v>0</v>
      </c>
      <c r="HV266" s="411">
        <f t="shared" ref="HV266:HV403" si="228">IFERROR((GP266+GS266+HC266+HE266+HG266+HI266+HK266+HM266+HO266+HQ266+(KY266/SUM(KT266:LA266)*LL266)-HT266),0)</f>
        <v>9</v>
      </c>
      <c r="HW266" s="414">
        <f t="shared" ref="HW266:HW403" si="229">IFERROR(IF(HV266&lt;=0,0,(GP266*GQ266+GS266*GT266+HC266*HD266+HE266*HF266+HG266*HH266+HI266*HJ266+HK266*HL266+HM266*HN266+HO266*HP266+HQ266*HR266-HT266*HU266+(KY266/SUM(KT266:LA266)*LL266)*LX266)),0)</f>
        <v>0</v>
      </c>
      <c r="HX266" s="405" t="s">
        <v>856</v>
      </c>
      <c r="HY266" s="409" t="s">
        <v>4195</v>
      </c>
      <c r="HZ266" s="420" t="str">
        <f t="shared" si="189"/>
        <v>FLINTSL - WHITE</v>
      </c>
      <c r="IA266" s="409">
        <v>30</v>
      </c>
      <c r="IB266" s="411">
        <f>IF(IA266=0,0,IF($LB266=70%,VLOOKUP($HZ266,'Jan-2026 rates'!$L:$R,4,0),IF($LB266=65%,VLOOKUP($HZ266,'Jan-2026 rates'!$L:$R,4,0),IF($LB266=40%,VLOOKUP($HZ266,'Jan-2026 rates'!$L:$R,5,0),IF($LB266=30%,VLOOKUP($HZ266,'Jan-2026 rates'!$L:$R,6,0),IF($LB266=100%,VLOOKUP($HZ266,'Jan-2026 rates'!$L:$R,7,0),IF($LB266=60%,VLOOKUP($HZ266,'Jan-2026 rates'!$L:$S,8,0),IF($LB266=80%,VLOOKUP($HZ266,'Jan-2026 rates'!L:T,9,0),0))))))))</f>
        <v>0</v>
      </c>
      <c r="IC266" s="412"/>
      <c r="ID266" s="409"/>
      <c r="IE266" s="411">
        <f>IF(ID266=0,0,IF($LB266=70%,VLOOKUP($HZ266,'Jan-2026 rates'!$L:$R,4,0),IF($LB266=65%,VLOOKUP($HZ266,'Jan-2026 rates'!$L:$R,4,0),IF($LB266=40%,VLOOKUP($HZ266,'Jan-2026 rates'!$L:$R,5,0),IF($LB266=30%,VLOOKUP($HZ266,'Jan-2026 rates'!$L:$R,6,0),IF($LB266=100%,VLOOKUP($HZ266,'Jan-2026 rates'!$L:$R,7,0),IF($LB266=60%,VLOOKUP($HZ266,'Jan-2026 rates'!$L:$S,8,0),IF($LB266=80%,VLOOKUP($HZ266,'Jan-2026 rates'!L:T,9,0),0))))))))</f>
        <v>0</v>
      </c>
      <c r="IF266" s="412" t="s">
        <v>484</v>
      </c>
      <c r="IG266" s="413"/>
      <c r="IH266" s="412"/>
      <c r="II266" s="412"/>
      <c r="IJ266" s="412"/>
      <c r="IK266" s="412"/>
      <c r="IL266" s="412"/>
      <c r="IM266" s="412"/>
      <c r="IN266" s="409">
        <v>30</v>
      </c>
      <c r="IO266" s="398">
        <f>IF(IN266=0,0,IF(LEN(IF266)=11,_xlfn.XLOOKUP(IF266,'Dispensed Ink Rates'!C:C,'Dispensed Ink Rates'!CS:CS),VLOOKUP(IF266,'Jan-2026 rates'!$E:$F,2,0)))</f>
        <v>0</v>
      </c>
      <c r="IP266" s="409"/>
      <c r="IQ266" s="398">
        <f>IF(IP266=0,0,IF(LEN(IG266)=11,_xlfn.XLOOKUP(IG266,'Dispensed Ink Rates'!C:C,'Dispensed Ink Rates'!CS:CS),VLOOKUP(IG266,'Jan-2026 rates'!$E:$F,2,0)))</f>
        <v>0</v>
      </c>
      <c r="IR266" s="409"/>
      <c r="IS266" s="398">
        <f>IF(IR266=0,0,IF(LEN(IH266)=11,_xlfn.XLOOKUP(IH266,'Dispensed Ink Rates'!C:C,'Dispensed Ink Rates'!CS:CS),VLOOKUP(IH266,'Jan-2026 rates'!$E:$F,2,0)))</f>
        <v>0</v>
      </c>
      <c r="IT266" s="409"/>
      <c r="IU266" s="398">
        <f>IF(IT266=0,0,IF(LEN(II266)=11,_xlfn.XLOOKUP(II266,'Dispensed Ink Rates'!C:C,'Dispensed Ink Rates'!CS:CS),VLOOKUP(II266,'Jan-2026 rates'!$E:$F,2,0)))</f>
        <v>0</v>
      </c>
      <c r="IV266" s="409"/>
      <c r="IW266" s="398">
        <f>IF(IV266=0,0,IF(LEN(IJ266)=11,_xlfn.XLOOKUP(IJ266,'Dispensed Ink Rates'!C:C,'Dispensed Ink Rates'!CS:CS),VLOOKUP(IJ266,'Jan-2026 rates'!$E:$F,2,0)))</f>
        <v>0</v>
      </c>
      <c r="IX266" s="409"/>
      <c r="IY266" s="398">
        <f>IF(IX266=0,0,IF(LEN(IK266)=11,_xlfn.XLOOKUP(IK266,'Dispensed Ink Rates'!C:C,'Dispensed Ink Rates'!CS:CS),VLOOKUP(IK266,'Jan-2026 rates'!$E:$F,2,0)))</f>
        <v>0</v>
      </c>
      <c r="IZ266" s="409"/>
      <c r="JA266" s="398">
        <f>IF(IZ266=0,0,IF(LEN(IL266)=11,_xlfn.XLOOKUP(IL266,'Dispensed Ink Rates'!C:C,'Dispensed Ink Rates'!CS:CS),VLOOKUP(IL266,'Jan-2026 rates'!$E:$F,2,0)))</f>
        <v>0</v>
      </c>
      <c r="JB266" s="409"/>
      <c r="JC266" s="398">
        <f>IF(JB266=0,0,IF(LEN(IM266)=11,_xlfn.XLOOKUP(IM266,'Dispensed Ink Rates'!C:C,'Dispensed Ink Rates'!CS:CS),VLOOKUP(IM266,'Jan-2026 rates'!$E:$F,2,0)))</f>
        <v>0</v>
      </c>
      <c r="JD266" s="409" t="s">
        <v>1443</v>
      </c>
      <c r="JE266" s="409">
        <v>30</v>
      </c>
      <c r="JF266" s="411">
        <f t="shared" ref="JF266:JF403" si="230">IFERROR(IF(JG266&lt;=0,0,(IA266*IB266+ID266*IE266+IN266*IO266+IP266*IQ266+IR266*IS266+IT266*IU266+IV266*IW266+IX266*IY266+IZ266*JA266+JB266*JC266+(KZ266/SUM(KT266:LA266)*LL266)*LX266)/(IA266+ID266+IN266+IP266+IR266+IT266+IV266+IX266+IZ266+JB266+(KZ266/SUM(KT266:LA266)*LL266))),0)</f>
        <v>0</v>
      </c>
      <c r="JG266" s="411">
        <f t="shared" ref="JG266:JG403" si="231">IFERROR((IA266+ID266+IN266+IP266+IR266+IT266+IV266+IX266+IZ266+JB266+(KZ266/SUM(KT266:LA266)*LL266)-JE266),0)</f>
        <v>90</v>
      </c>
      <c r="JH266" s="410">
        <f t="shared" ref="JH266:JH403" si="232">IFERROR(IF(JG266&lt;=0,0,(IA266*IB266+ID266*IE266+IN266*IO266+IP266*IQ266+IR266*IS266+IT266*IU266+IV266*IW266+IX266*IY266+IZ266*JA266+JB266*JC266-JE266*JF266+(KZ266/SUM(KT266:LA266)*LL266)*LX266)),0)</f>
        <v>0</v>
      </c>
      <c r="JI266" s="405"/>
      <c r="JJ266" s="409"/>
      <c r="JK266" s="420" t="str">
        <f t="shared" si="190"/>
        <v xml:space="preserve"> - </v>
      </c>
      <c r="JL266" s="409"/>
      <c r="JM266" s="411">
        <f>IF(JL266=0,0,IF($LB266=70%,VLOOKUP($JK266,'Jan-2026 rates'!$L:$R,4,0),IF($LB266=65%,VLOOKUP($JK266,'Jan-2026 rates'!$L:$R,4,0),IF($LB266=40%,VLOOKUP($JK266,'Jan-2026 rates'!$L:$R,5,0),IF($LB266=30%,VLOOKUP($JK266,'Jan-2026 rates'!$L:$R,6,0),IF($LB266=100%,VLOOKUP($JK266,'Jan-2026 rates'!$L:$R,7,0),IF($LB266=60%,VLOOKUP($JK266,'Jan-2026 rates'!$L:$S,8,0),IF($LB266=80%,VLOOKUP($JK266,'Jan-2026 rates'!L:T,9,0),0))))))))</f>
        <v>0</v>
      </c>
      <c r="JN266" s="412"/>
      <c r="JO266" s="409"/>
      <c r="JP266" s="411">
        <f>IF(JO266=0,0,IF($LB266=70%,VLOOKUP($JK266,'Jan-2026 rates'!$L:$R,4,0),IF($LB266=65%,VLOOKUP($JK266,'Jan-2026 rates'!$L:$R,4,0),IF($LB266=40%,VLOOKUP($JK266,'Jan-2026 rates'!$L:$R,5,0),IF($LB266=30%,VLOOKUP($JK266,'Jan-2026 rates'!$L:$R,6,0),IF($LB266=100%,VLOOKUP($JK266,'Jan-2026 rates'!$L:$R,7,0),IF($LB266=60%,VLOOKUP($JK266,'Jan-2026 rates'!$L:$S,8,0),IF($LB266=80%,VLOOKUP($JK266,'Jan-2026 rates'!L:T,9,0),0))))))))</f>
        <v>0</v>
      </c>
      <c r="JQ266" s="413"/>
      <c r="JR266" s="412"/>
      <c r="JS266" s="413"/>
      <c r="JT266" s="413"/>
      <c r="JU266" s="412"/>
      <c r="JV266" s="412"/>
      <c r="JW266" s="412"/>
      <c r="JX266" s="412"/>
      <c r="JY266" s="409"/>
      <c r="JZ266" s="398">
        <f>IF(JY266=0,0,IF(LEN(JQ266)=11,_xlfn.XLOOKUP(JQ266,'Dispensed Ink Rates'!C:C,'Dispensed Ink Rates'!CS:CS),VLOOKUP(JQ266,'Jan-2026 rates'!$E:$F,2,0)))</f>
        <v>0</v>
      </c>
      <c r="KA266" s="409"/>
      <c r="KB266" s="398">
        <f>IF(KA266=0,0,IF(LEN(JR266)=11,_xlfn.XLOOKUP(JR266,'Dispensed Ink Rates'!C:C,'Dispensed Ink Rates'!CS:CS),VLOOKUP(JR266,'Jan-2026 rates'!$E:$F,2,0)))</f>
        <v>0</v>
      </c>
      <c r="KC266" s="409"/>
      <c r="KD266" s="398">
        <f>IF(KC266=0,0,IF(LEN(JS266)=11,_xlfn.XLOOKUP(JS266,'Dispensed Ink Rates'!C:C,'Dispensed Ink Rates'!CS:CS),VLOOKUP(JS266,'Jan-2026 rates'!$E:$F,2,0)))</f>
        <v>0</v>
      </c>
      <c r="KE266" s="409"/>
      <c r="KF266" s="398">
        <f>IF(KE266=0,0,IF(LEN(JT266)=11,_xlfn.XLOOKUP(JT266,'Dispensed Ink Rates'!C:C,'Dispensed Ink Rates'!CS:CS),VLOOKUP(JT266,'Jan-2026 rates'!$E:$F,2,0)))</f>
        <v>0</v>
      </c>
      <c r="KG266" s="409"/>
      <c r="KH266" s="398">
        <f>IF(KG266=0,0,IF(LEN(JU266)=11,_xlfn.XLOOKUP(JU266,'Dispensed Ink Rates'!C:C,'Dispensed Ink Rates'!CS:CS),VLOOKUP(JU266,'Jan-2026 rates'!$E:$F,2,0)))</f>
        <v>0</v>
      </c>
      <c r="KI266" s="409"/>
      <c r="KJ266" s="398">
        <f>IF(KI266=0,0,IF(LEN(JV266)=11,_xlfn.XLOOKUP(JV266,'Dispensed Ink Rates'!C:C,'Dispensed Ink Rates'!CS:CS),VLOOKUP(JV266,'Jan-2026 rates'!$E:$F,2,0)))</f>
        <v>0</v>
      </c>
      <c r="KK266" s="409"/>
      <c r="KL266" s="398">
        <f>IF(KK266=0,0,IF(LEN(JW266)=11,_xlfn.XLOOKUP(JW266,'Dispensed Ink Rates'!C:C,'Dispensed Ink Rates'!CS:CS),VLOOKUP(JW266,'Jan-2026 rates'!$E:$F,2,0)))</f>
        <v>0</v>
      </c>
      <c r="KM266" s="428"/>
      <c r="KN266" s="398">
        <f>IF(KM266=0,0,IF(LEN(JX266)=11,_xlfn.XLOOKUP(JX266,'Dispensed Ink Rates'!C:C,'Dispensed Ink Rates'!CS:CS),VLOOKUP(JX266,'Jan-2026 rates'!$E:$F,2,0)))</f>
        <v>0</v>
      </c>
      <c r="KO266" s="409"/>
      <c r="KP266" s="409"/>
      <c r="KQ266" s="411">
        <f t="shared" ref="KQ266:KQ403" si="233">IFERROR(IF(KR266&lt;=0,0,(JL266*JM266+JO266*JP266+JY266*JZ266+KA266*KB266+KC266*KD266+KE266*KF266+KG266*KH266+KI266*KJ266+KK266*KL266+KM266*KN266+(LA266/SUM(KT266:LA266)*LL266)*LX266)/(JL266+JO266+JY266+KA266+KC266+KE266+KG266+KI266+KK266+KM266+(LA266/SUM(KT266:LA266)*LL266))),0)</f>
        <v>0</v>
      </c>
      <c r="KR266" s="411">
        <f t="shared" ref="KR266:KR403" si="234">IFERROR((JL266+JO266+JY266+KA266+KC266+KE266+KG266+KI266+KK266+KM266+(LA266/SUM(KT266:LA266)*LL266)-KP266),0)</f>
        <v>0</v>
      </c>
      <c r="KS266" s="410">
        <f t="shared" ref="KS266:KS403" si="235">IFERROR(IF(KR266&lt;=0,0,(JL266*JM266+JO266*JP266+JY266*JZ266+KA266*KB266+KC266*KD266+KE266*KF266+KG266*KH266+KI266*KJ266+KK266*KL266+KM266*KN266-KP266*KQ266+(LA266/SUM(KT266:LA266)*LL266)*LX266)),0)</f>
        <v>0</v>
      </c>
      <c r="KT266" s="409">
        <v>2</v>
      </c>
      <c r="KU266" s="409">
        <v>2</v>
      </c>
      <c r="KV266" s="409">
        <v>4</v>
      </c>
      <c r="KW266" s="409">
        <v>4</v>
      </c>
      <c r="KX266" s="409">
        <v>2</v>
      </c>
      <c r="KY266" s="409">
        <v>2</v>
      </c>
      <c r="KZ266" s="409">
        <v>20</v>
      </c>
      <c r="LA266" s="409">
        <v>0</v>
      </c>
      <c r="LB266" s="415">
        <v>0.8</v>
      </c>
      <c r="LC266" s="415">
        <v>0.2</v>
      </c>
      <c r="LD266" s="415"/>
      <c r="LE266" s="415"/>
      <c r="LF266" s="415"/>
      <c r="LG266" s="409">
        <v>0</v>
      </c>
      <c r="LH266" s="409">
        <f>20+28+48+12</f>
        <v>108</v>
      </c>
      <c r="LI266" s="409">
        <v>0</v>
      </c>
      <c r="LJ266" s="409">
        <v>0</v>
      </c>
      <c r="LK266" s="416">
        <f t="shared" si="191"/>
        <v>108</v>
      </c>
      <c r="LL266" s="416">
        <f t="shared" si="192"/>
        <v>108</v>
      </c>
      <c r="LM266" s="417">
        <f t="shared" si="193"/>
        <v>86.4</v>
      </c>
      <c r="LN266" s="417">
        <f>VLOOKUP($LM$8,'Jan-2026 rates'!$H:$I,2,0)</f>
        <v>0</v>
      </c>
      <c r="LO266" s="417">
        <f t="shared" si="194"/>
        <v>21.6</v>
      </c>
      <c r="LP266" s="417">
        <f>VLOOKUP($LO$8,'Jan-2026 rates'!$H:$I,2,0)</f>
        <v>0</v>
      </c>
      <c r="LQ266" s="417">
        <f t="shared" si="195"/>
        <v>0</v>
      </c>
      <c r="LR266" s="417">
        <f>VLOOKUP($LQ$8,'Jan-2026 rates'!$H:$I,2,0)</f>
        <v>0</v>
      </c>
      <c r="LS266" s="417">
        <f t="shared" si="196"/>
        <v>0</v>
      </c>
      <c r="LT266" s="417">
        <f>VLOOKUP($LS$8,'Jan-2026 rates'!$H:$I,2,0)</f>
        <v>0</v>
      </c>
      <c r="LU266" s="417">
        <f t="shared" si="197"/>
        <v>0</v>
      </c>
      <c r="LV266" s="417">
        <f>VLOOKUP($LU$8,'Jan-2026 rates'!$H:$I,2,0)</f>
        <v>0</v>
      </c>
      <c r="LW266" s="417">
        <f t="shared" si="198"/>
        <v>0</v>
      </c>
      <c r="LX266" s="417">
        <f t="shared" si="199"/>
        <v>0</v>
      </c>
      <c r="LY266" s="418">
        <f t="shared" si="200"/>
        <v>0</v>
      </c>
      <c r="LZ266" s="417"/>
      <c r="MA266" s="435">
        <f t="shared" si="201"/>
        <v>104</v>
      </c>
      <c r="MB266" s="282">
        <f t="shared" si="202"/>
        <v>192</v>
      </c>
      <c r="MC266" s="283">
        <v>159</v>
      </c>
      <c r="MD266" s="284" t="str">
        <f t="shared" si="203"/>
        <v>FLINTSLFLINTSLFLINTSLFLINTSLFLINTSLFLINTSLFLINTSL</v>
      </c>
      <c r="ME266" s="293" t="str">
        <f t="shared" si="204"/>
        <v>+</v>
      </c>
      <c r="MF266" s="293" t="str">
        <f t="shared" si="205"/>
        <v>+</v>
      </c>
      <c r="MG266" s="293" t="str">
        <f t="shared" si="206"/>
        <v>+</v>
      </c>
      <c r="MH266" s="293" t="str">
        <f t="shared" si="207"/>
        <v>+</v>
      </c>
      <c r="MI266" s="293" t="str">
        <f t="shared" si="208"/>
        <v>+</v>
      </c>
      <c r="MJ266" s="293" t="str">
        <f t="shared" si="209"/>
        <v>+</v>
      </c>
      <c r="MK266" s="293" t="str">
        <f t="shared" si="210"/>
        <v>+</v>
      </c>
      <c r="ML266" s="293" t="str">
        <f t="shared" si="211"/>
        <v>NIL</v>
      </c>
      <c r="MM266" s="3" t="b">
        <f t="array" ref="MM266">OR(ME266:ML266="-")</f>
        <v>0</v>
      </c>
      <c r="MN266" s="285"/>
      <c r="MO266" s="401"/>
      <c r="MP266" s="286"/>
      <c r="MQ266" s="286"/>
      <c r="MR266" s="402"/>
      <c r="MS266" s="400"/>
      <c r="NH266" s="422"/>
      <c r="NJ266" s="421"/>
    </row>
    <row r="267" spans="1:374" s="1" customFormat="1" ht="16.5">
      <c r="A267" s="403">
        <v>46042</v>
      </c>
      <c r="B267" s="404" t="s">
        <v>1018</v>
      </c>
      <c r="C267" s="405" t="s">
        <v>4196</v>
      </c>
      <c r="D267" s="406">
        <v>160</v>
      </c>
      <c r="E267" s="404">
        <v>1046</v>
      </c>
      <c r="F267" s="407">
        <v>12300</v>
      </c>
      <c r="G267" s="407" t="s">
        <v>1019</v>
      </c>
      <c r="H267" s="408" t="s">
        <v>1017</v>
      </c>
      <c r="I267" s="409">
        <v>1.63</v>
      </c>
      <c r="J267" s="405" t="s">
        <v>543</v>
      </c>
      <c r="K267" s="404" t="s">
        <v>4197</v>
      </c>
      <c r="L267" s="419" t="str">
        <f t="shared" si="184"/>
        <v>FLINTSL - BLACK</v>
      </c>
      <c r="M267" s="404">
        <v>30</v>
      </c>
      <c r="N267" s="410">
        <f>IF(M267=0,0,IF($LB267=70%,VLOOKUP($L267,'Jan-2026 rates'!$L:$R,4,0),IF($LB267=65%,VLOOKUP($L267,'Jan-2026 rates'!$L:$R,4,0),IF($LB267=40%,VLOOKUP($L267,'Jan-2026 rates'!$L:$R,5,0),IF($LB267=30%,VLOOKUP($L267,'Jan-2026 rates'!$L:$R,6,0),IF($LB267=100%,VLOOKUP($L267,'Jan-2026 rates'!$L:$R,7,0),IF($LB267=60%,VLOOKUP($L267,'Jan-2026 rates'!$L:$S,8,0),IF($LB267=80%,VLOOKUP($L267,'Jan-2026 rates'!L:T,9,0),0))))))))</f>
        <v>0</v>
      </c>
      <c r="O267" s="406"/>
      <c r="P267" s="404"/>
      <c r="Q267" s="410">
        <f>IF(P267=0,0,IF($LB267=70%,VLOOKUP($L267,'Jan-2026 rates'!$L:$R,4,0),IF($LB267=65%,VLOOKUP($L267,'Jan-2026 rates'!$L:$R,4,0),IF($LB267=40%,VLOOKUP($L267,'Jan-2026 rates'!$L:$R,5,0),IF($LB267=30%,VLOOKUP($L267,'Jan-2026 rates'!$L:$R,6,0),IF($LB267=100%,VLOOKUP($L267,'Jan-2026 rates'!$L:$R,7,0),IF($LB267=60%,VLOOKUP($L267,'Jan-2026 rates'!$L:$S,8,0),IF($LB267=80%,VLOOKUP($L267,'Jan-2026 rates'!L:T,9,0),0))))))))</f>
        <v>0</v>
      </c>
      <c r="R267" s="406"/>
      <c r="S267" s="406"/>
      <c r="T267" s="406"/>
      <c r="U267" s="406"/>
      <c r="V267" s="406"/>
      <c r="W267" s="406"/>
      <c r="X267" s="406"/>
      <c r="Y267" s="406"/>
      <c r="Z267" s="404"/>
      <c r="AA267" s="398">
        <f>IF(Z267=0,0,IF(LEN(R267)=11,_xlfn.XLOOKUP(R267,'Dispensed Ink Rates'!C:C,'Dispensed Ink Rates'!CS:CS),VLOOKUP(R267,'Jan-2026 rates'!$E:$F,2,0)))</f>
        <v>0</v>
      </c>
      <c r="AB267" s="404"/>
      <c r="AC267" s="398">
        <f>IF(AB267=0,0,IF(LEN(S267)=11,_xlfn.XLOOKUP(S267,'Dispensed Ink Rates'!C:C,'Dispensed Ink Rates'!CS:CS),VLOOKUP(S267,'Jan-2026 rates'!$E:$F,2,0)))</f>
        <v>0</v>
      </c>
      <c r="AD267" s="404"/>
      <c r="AE267" s="398">
        <f>IF(AD267=0,0,IF(LEN(T267)=11,_xlfn.XLOOKUP(T267,'Dispensed Ink Rates'!C:C,'Dispensed Ink Rates'!CS:CS),VLOOKUP(T267,'Jan-2026 rates'!$E:$F,2,0)))</f>
        <v>0</v>
      </c>
      <c r="AF267" s="404"/>
      <c r="AG267" s="398">
        <f>IF(AF267=0,0,IF(LEN(U267)=11,_xlfn.XLOOKUP(U267,'Dispensed Ink Rates'!C:C,'Dispensed Ink Rates'!CS:CS),VLOOKUP(U267,'Jan-2026 rates'!$E:$F,2,0)))</f>
        <v>0</v>
      </c>
      <c r="AH267" s="404"/>
      <c r="AI267" s="398">
        <f>IF(AH267=0,0,IF(LEN(V267)=11,_xlfn.XLOOKUP(V267,'Dispensed Ink Rates'!C:C,'Dispensed Ink Rates'!CS:CS),VLOOKUP(V267,'Jan-2026 rates'!$E:$F,2,0)))</f>
        <v>0</v>
      </c>
      <c r="AJ267" s="404"/>
      <c r="AK267" s="398">
        <f>IF(AJ267=0,0,IF(LEN(W267)=11,_xlfn.XLOOKUP(W267,'Dispensed Ink Rates'!C:C,'Dispensed Ink Rates'!CS:CS),VLOOKUP(W267,'Jan-2026 rates'!$E:$F,2,0)))</f>
        <v>0</v>
      </c>
      <c r="AL267" s="404"/>
      <c r="AM267" s="398">
        <f>IF(AL267=0,0,IF(LEN(X267)=11,_xlfn.XLOOKUP(X267,'Dispensed Ink Rates'!C:C,'Dispensed Ink Rates'!CS:CS),VLOOKUP(X267,'Jan-2026 rates'!$E:$F,2,0)))</f>
        <v>0</v>
      </c>
      <c r="AN267" s="404"/>
      <c r="AO267" s="398">
        <f>IF(AN267=0,0,IF(LEN(Y267)=11,_xlfn.XLOOKUP(Y267,'Dispensed Ink Rates'!C:C,'Dispensed Ink Rates'!CS:CS),VLOOKUP(Y267,'Jan-2026 rates'!$E:$F,2,0)))</f>
        <v>0</v>
      </c>
      <c r="AP267" s="409" t="s">
        <v>1443</v>
      </c>
      <c r="AQ267" s="409">
        <v>28</v>
      </c>
      <c r="AR267" s="410">
        <f t="shared" si="212"/>
        <v>0</v>
      </c>
      <c r="AS267" s="411">
        <f t="shared" si="213"/>
        <v>15.125</v>
      </c>
      <c r="AT267" s="410">
        <f t="shared" si="214"/>
        <v>0</v>
      </c>
      <c r="AU267" s="405" t="s">
        <v>546</v>
      </c>
      <c r="AV267" s="409" t="s">
        <v>4197</v>
      </c>
      <c r="AW267" s="420" t="str">
        <f t="shared" si="183"/>
        <v>FLINTSL - REFLEX BLUE</v>
      </c>
      <c r="AX267" s="409">
        <v>30</v>
      </c>
      <c r="AY267" s="411">
        <f>IF(AX267=0,0,IF($LB267=70%,VLOOKUP($AW267,'Jan-2026 rates'!$L:$R,4,0),IF($LB267=65%,VLOOKUP($AW267,'Jan-2026 rates'!$L:$R,4,0),IF($LB267=40%,VLOOKUP($AW267,'Jan-2026 rates'!$L:$R,5,0),IF($LB267=30%,VLOOKUP($AW267,'Jan-2026 rates'!$L:$R,6,0),IF($LB267=100%,VLOOKUP($AW267,'Jan-2026 rates'!$L:$R,7,0),IF($LB267=60%,VLOOKUP($AW267,'Jan-2026 rates'!$L:$S,8,0),IF($LB267=80%,VLOOKUP($AW267,'Jan-2026 rates'!L:T,9,0),0))))))))</f>
        <v>0</v>
      </c>
      <c r="AZ267" s="412"/>
      <c r="BA267" s="409"/>
      <c r="BB267" s="411">
        <f>IF(BA267=0,0,IF($LB267=70%,VLOOKUP($AW267,'Jan-2026 rates'!$L:$R,4,0),IF($LB267=65%,VLOOKUP($AW267,'Jan-2026 rates'!$L:$R,4,0),IF($LB267=40%,VLOOKUP($AW267,'Jan-2026 rates'!$L:$R,5,0),IF($LB267=30%,VLOOKUP($AW267,'Jan-2026 rates'!$L:$R,6,0),IF($LB267=100%,VLOOKUP($AW267,'Jan-2026 rates'!$L:$R,7,0),IF($LB267=60%,VLOOKUP($AW267,'Jan-2026 rates'!$L:$S,8,0),IF($LB267=80%,VLOOKUP($AW267,'Jan-2026 rates'!L:T,9,0),0))))))))</f>
        <v>0</v>
      </c>
      <c r="BC267" s="413">
        <v>26520000006</v>
      </c>
      <c r="BD267" s="412"/>
      <c r="BE267" s="412"/>
      <c r="BF267" s="413"/>
      <c r="BG267" s="412"/>
      <c r="BH267" s="412"/>
      <c r="BI267" s="412"/>
      <c r="BJ267" s="412"/>
      <c r="BK267" s="409">
        <v>3</v>
      </c>
      <c r="BL267" s="398" t="e">
        <f>IF(BK267=0,0,IF(LEN(BC267)=11,_xlfn.XLOOKUP(BC267,'Dispensed Ink Rates'!C:C,'Dispensed Ink Rates'!CS:CS),VLOOKUP(BC267,'Jan-2026 rates'!$E:$F,2,0)))</f>
        <v>#N/A</v>
      </c>
      <c r="BM267" s="409"/>
      <c r="BN267" s="398">
        <f>IF(BM267=0,0,IF(LEN(BD267)=11,_xlfn.XLOOKUP(BD267,'Dispensed Ink Rates'!C:C,'Dispensed Ink Rates'!CS:CS),VLOOKUP(BD267,'Jan-2026 rates'!$E:$F,2,0)))</f>
        <v>0</v>
      </c>
      <c r="BO267" s="409"/>
      <c r="BP267" s="398">
        <f>IF(BO267=0,0,IF(LEN(BE267)=11,_xlfn.XLOOKUP(BE267,'Dispensed Ink Rates'!C:C,'Dispensed Ink Rates'!CS:CS),VLOOKUP(BE267,'Jan-2026 rates'!$E:$F,2,0)))</f>
        <v>0</v>
      </c>
      <c r="BQ267" s="409"/>
      <c r="BR267" s="398">
        <f>IF(BQ267=0,0,IF(LEN(BF267)=11,_xlfn.XLOOKUP(BF267,'Dispensed Ink Rates'!C:C,'Dispensed Ink Rates'!CS:CS),VLOOKUP(BF267,'Jan-2026 rates'!$E:$F,2,0)))</f>
        <v>0</v>
      </c>
      <c r="BS267" s="409"/>
      <c r="BT267" s="398">
        <f>IF(BS267=0,0,IF(LEN(BG267)=11,_xlfn.XLOOKUP(BG267,'Dispensed Ink Rates'!C:C,'Dispensed Ink Rates'!CS:CS),VLOOKUP(BG267,'Jan-2026 rates'!$E:$F,2,0)))</f>
        <v>0</v>
      </c>
      <c r="BU267" s="409"/>
      <c r="BV267" s="398">
        <f>IF(BU267=0,0,IF(LEN(BH267)=11,_xlfn.XLOOKUP(BH267,'Dispensed Ink Rates'!C:C,'Dispensed Ink Rates'!CS:CS),VLOOKUP(BH267,'Jan-2026 rates'!$E:$F,2,0)))</f>
        <v>0</v>
      </c>
      <c r="BW267" s="409"/>
      <c r="BX267" s="398">
        <f>IF(BW267=0,0,IF(LEN(BI267)=11,_xlfn.XLOOKUP(BI267,'Dispensed Ink Rates'!C:C,'Dispensed Ink Rates'!CS:CS),VLOOKUP(BI267,'Jan-2026 rates'!$E:$F,2,0)))</f>
        <v>0</v>
      </c>
      <c r="BY267" s="409"/>
      <c r="BZ267" s="398">
        <f>IF(BY267=0,0,IF(LEN(BJ267)=11,_xlfn.XLOOKUP(BJ267,'Dispensed Ink Rates'!C:C,'Dispensed Ink Rates'!CS:CS),VLOOKUP(BJ267,'Jan-2026 rates'!$E:$F,2,0)))</f>
        <v>0</v>
      </c>
      <c r="CA267" s="409" t="s">
        <v>1443</v>
      </c>
      <c r="CB267" s="409">
        <v>30</v>
      </c>
      <c r="CC267" s="411">
        <f t="shared" si="215"/>
        <v>0</v>
      </c>
      <c r="CD267" s="411">
        <f t="shared" si="216"/>
        <v>3</v>
      </c>
      <c r="CE267" s="410">
        <f t="shared" si="217"/>
        <v>0</v>
      </c>
      <c r="CF267" s="404" t="s">
        <v>545</v>
      </c>
      <c r="CG267" s="409"/>
      <c r="CH267" s="420" t="str">
        <f t="shared" si="185"/>
        <v>FLINTSL - YELLOW</v>
      </c>
      <c r="CI267" s="409"/>
      <c r="CJ267" s="411">
        <f>IF(CI267=0,0,IF($LB267=70%,VLOOKUP($CH267,'Jan-2026 rates'!$L:$R,4,0),IF($LB267=65%,VLOOKUP($CH267,'Jan-2026 rates'!$L:$R,4,0),IF($LB267=40%,VLOOKUP($CH267,'Jan-2026 rates'!$L:$R,5,0),IF($LB267=30%,VLOOKUP($CH267,'Jan-2026 rates'!$L:$R,6,0),IF($LB267=100%,VLOOKUP($CH267,'Jan-2026 rates'!$L:$R,7,0),IF($LB267=60%,VLOOKUP($CH267,'Jan-2026 rates'!$L:$S,8,0),IF($LB267=80%,VLOOKUP($CH267,'Jan-2026 rates'!L:T,9,0),0))))))))</f>
        <v>0</v>
      </c>
      <c r="CK267" s="412"/>
      <c r="CL267" s="409"/>
      <c r="CM267" s="411">
        <f>IF(CL267=0,0,IF($LB267=70%,VLOOKUP($CH267,'Jan-2026 rates'!$L:$R,4,0),IF($LB267=65%,VLOOKUP($CH267,'Jan-2026 rates'!$L:$R,4,0),IF($LB267=40%,VLOOKUP($CH267,'Jan-2026 rates'!$L:$R,5,0),IF($LB267=30%,VLOOKUP($CH267,'Jan-2026 rates'!$L:$R,6,0),IF($LB267=100%,VLOOKUP($CH267,'Jan-2026 rates'!$L:$R,7,0),IF($LB267=60%,VLOOKUP($CH267,'Jan-2026 rates'!$L:$S,8,0),IF($LB267=80%,VLOOKUP($CH267,'Jan-2026 rates'!L:T,9,0),0))))))))</f>
        <v>0</v>
      </c>
      <c r="CN267" s="426">
        <v>26522000001</v>
      </c>
      <c r="CO267" s="427">
        <v>26521000008</v>
      </c>
      <c r="CP267" s="426">
        <v>26524000010</v>
      </c>
      <c r="CQ267" s="426"/>
      <c r="CR267" s="428"/>
      <c r="CS267" s="428"/>
      <c r="CT267" s="428"/>
      <c r="CU267" s="428"/>
      <c r="CV267" s="409">
        <v>4</v>
      </c>
      <c r="CW267" s="398" t="e">
        <f>IF(CV267=0,0,IF(LEN(CN267)=11,_xlfn.XLOOKUP(CN267,'Dispensed Ink Rates'!C:C,'Dispensed Ink Rates'!CS:CS),VLOOKUP(CN267,'Jan-2026 rates'!$E:$F,2,0)))</f>
        <v>#N/A</v>
      </c>
      <c r="CX267" s="409">
        <f>10+10</f>
        <v>20</v>
      </c>
      <c r="CY267" s="398" t="e">
        <f>IF(CX267=0,0,IF(LEN(CO267)=11,_xlfn.XLOOKUP(CO267,'Dispensed Ink Rates'!C:C,'Dispensed Ink Rates'!CS:CS),VLOOKUP(CO267,'Jan-2026 rates'!$E:$F,2,0)))</f>
        <v>#N/A</v>
      </c>
      <c r="CZ267" s="409">
        <v>1</v>
      </c>
      <c r="DA267" s="398" t="e">
        <f>IF(CZ267=0,0,IF(LEN(CP267)=11,_xlfn.XLOOKUP(CP267,'Dispensed Ink Rates'!C:C,'Dispensed Ink Rates'!CS:CS),VLOOKUP(CP267,'Jan-2026 rates'!$E:$F,2,0)))</f>
        <v>#N/A</v>
      </c>
      <c r="DB267" s="409"/>
      <c r="DC267" s="398">
        <f>IF(DB267=0,0,IF(LEN(CQ267)=11,_xlfn.XLOOKUP(CQ267,'Dispensed Ink Rates'!C:C,'Dispensed Ink Rates'!CS:CS),VLOOKUP(CQ267,'Jan-2026 rates'!$E:$F,2,0)))</f>
        <v>0</v>
      </c>
      <c r="DD267" s="409"/>
      <c r="DE267" s="398">
        <f>IF(DD267=0,0,IF(LEN(CR267)=11,_xlfn.XLOOKUP(CR267,'Dispensed Ink Rates'!C:C,'Dispensed Ink Rates'!CS:CS),VLOOKUP(CR267,'Jan-2026 rates'!$E:$F,2,0)))</f>
        <v>0</v>
      </c>
      <c r="DF267" s="409"/>
      <c r="DG267" s="398">
        <f>IF(DF267=0,0,IF(LEN(CS267)=11,_xlfn.XLOOKUP(CS267,'Dispensed Ink Rates'!C:C,'Dispensed Ink Rates'!CS:CS),VLOOKUP(CS267,'Jan-2026 rates'!$E:$F,2,0)))</f>
        <v>0</v>
      </c>
      <c r="DH267" s="409"/>
      <c r="DI267" s="398">
        <f>IF(DH267=0,0,IF(LEN(CT267)=11,_xlfn.XLOOKUP(CT267,'Dispensed Ink Rates'!C:C,'Dispensed Ink Rates'!CS:CS),VLOOKUP(CT267,'Jan-2026 rates'!$E:$F,2,0)))</f>
        <v>0</v>
      </c>
      <c r="DJ267" s="409"/>
      <c r="DK267" s="398">
        <f>IF(DJ267=0,0,IF(LEN(CU267)=11,_xlfn.XLOOKUP(CU267,'Dispensed Ink Rates'!C:C,'Dispensed Ink Rates'!CS:CS),VLOOKUP(CU267,'Jan-2026 rates'!$E:$F,2,0)))</f>
        <v>0</v>
      </c>
      <c r="DL267" s="409" t="s">
        <v>1443</v>
      </c>
      <c r="DM267" s="409">
        <v>27</v>
      </c>
      <c r="DN267" s="411">
        <f t="shared" si="218"/>
        <v>0</v>
      </c>
      <c r="DO267" s="411">
        <f t="shared" si="219"/>
        <v>11.125</v>
      </c>
      <c r="DP267" s="410">
        <f t="shared" si="220"/>
        <v>0</v>
      </c>
      <c r="DQ267" s="405" t="s">
        <v>855</v>
      </c>
      <c r="DR267" s="409" t="s">
        <v>4198</v>
      </c>
      <c r="DS267" s="420" t="str">
        <f t="shared" si="186"/>
        <v>FLINTSL - CYAN</v>
      </c>
      <c r="DT267" s="409">
        <v>27</v>
      </c>
      <c r="DU267" s="411">
        <f>IF(DT267=0,0,IF($LB267=70%,VLOOKUP($DS267,'Jan-2026 rates'!$L:$R,4,0),IF($LB267=65%,VLOOKUP($DS267,'Jan-2026 rates'!$L:$R,4,0),IF($LB267=40%,VLOOKUP($DS267,'Jan-2026 rates'!$L:$R,5,0),IF($LB267=30%,VLOOKUP($DS267,'Jan-2026 rates'!$L:$R,6,0),IF($LB267=100%,VLOOKUP($DS267,'Jan-2026 rates'!$L:$R,7,0),IF($LB267=60%,VLOOKUP($DS267,'Jan-2026 rates'!$L:$S,8,0),IF($LB267=80%,VLOOKUP($DS267,'Jan-2026 rates'!L:T,9,0),0))))))))</f>
        <v>0</v>
      </c>
      <c r="DV267" s="412"/>
      <c r="DW267" s="409"/>
      <c r="DX267" s="411">
        <f>IF(DW267=0,0,IF($LB267=70%,VLOOKUP($DS267,'Jan-2026 rates'!$L:$R,4,0),IF($LB267=65%,VLOOKUP($DS267,'Jan-2026 rates'!$L:$R,4,0),IF($LB267=40%,VLOOKUP($DS267,'Jan-2026 rates'!$L:$R,5,0),IF($LB267=30%,VLOOKUP($DS267,'Jan-2026 rates'!$L:$R,6,0),IF($LB267=100%,VLOOKUP($DS267,'Jan-2026 rates'!$L:$R,7,0),IF($LB267=60%,VLOOKUP($DS267,'Jan-2026 rates'!$L:$S,8,0),IF($LB267=80%,VLOOKUP($DS267,'Jan-2026 rates'!L:T,9,0),0))))))))</f>
        <v>0</v>
      </c>
      <c r="DY267" s="413" t="s">
        <v>1266</v>
      </c>
      <c r="DZ267" s="413"/>
      <c r="EA267" s="412"/>
      <c r="EB267" s="412"/>
      <c r="EC267" s="412"/>
      <c r="ED267" s="412"/>
      <c r="EE267" s="412"/>
      <c r="EF267" s="412"/>
      <c r="EG267" s="409">
        <v>4</v>
      </c>
      <c r="EH267" s="398">
        <f>IF(EG267=0,0,IF(LEN(DY267)=11,_xlfn.XLOOKUP(DY267,'Dispensed Ink Rates'!C:C,'Dispensed Ink Rates'!CS:CS),VLOOKUP(DY267,'Jan-2026 rates'!$E:$F,2,0)))</f>
        <v>0</v>
      </c>
      <c r="EI267" s="409"/>
      <c r="EJ267" s="398">
        <f>IF(EI267=0,0,IF(LEN(DZ267)=11,_xlfn.XLOOKUP(DZ267,'Dispensed Ink Rates'!C:C,'Dispensed Ink Rates'!CS:CS),VLOOKUP(DZ267,'Jan-2026 rates'!$E:$F,2,0)))</f>
        <v>0</v>
      </c>
      <c r="EK267" s="409"/>
      <c r="EL267" s="398">
        <f>IF(EK267=0,0,IF(LEN(EA267)=11,_xlfn.XLOOKUP(EA267,'Dispensed Ink Rates'!C:C,'Dispensed Ink Rates'!CS:CS),VLOOKUP(EA267,'Jan-2026 rates'!$E:$F,2,0)))</f>
        <v>0</v>
      </c>
      <c r="EM267" s="409"/>
      <c r="EN267" s="398">
        <f>IF(EM267=0,0,IF(LEN(EB267)=11,_xlfn.XLOOKUP(EB267,'Dispensed Ink Rates'!C:C,'Dispensed Ink Rates'!CS:CS),VLOOKUP(EB267,'Jan-2026 rates'!$E:$F,2,0)))</f>
        <v>0</v>
      </c>
      <c r="EO267" s="409"/>
      <c r="EP267" s="398">
        <f>IF(EO267=0,0,IF(LEN(EC267)=11,_xlfn.XLOOKUP(EC267,'Dispensed Ink Rates'!C:C,'Dispensed Ink Rates'!CS:CS),VLOOKUP(EC267,'Jan-2026 rates'!$E:$F,2,0)))</f>
        <v>0</v>
      </c>
      <c r="EQ267" s="409"/>
      <c r="ER267" s="398">
        <f>IF(EQ267=0,0,IF(LEN(ED267)=11,_xlfn.XLOOKUP(ED267,'Dispensed Ink Rates'!C:C,'Dispensed Ink Rates'!CS:CS),VLOOKUP(ED267,'Jan-2026 rates'!$E:$F,2,0)))</f>
        <v>0</v>
      </c>
      <c r="ES267" s="409"/>
      <c r="ET267" s="398">
        <f>IF(ES267=0,0,IF(LEN(EE267)=11,_xlfn.XLOOKUP(EE267,'Dispensed Ink Rates'!C:C,'Dispensed Ink Rates'!CS:CS),VLOOKUP(EE267,'Jan-2026 rates'!$E:$F,2,0)))</f>
        <v>0</v>
      </c>
      <c r="EU267" s="409"/>
      <c r="EV267" s="398">
        <f>IF(EU267=0,0,IF(LEN(EF267)=11,_xlfn.XLOOKUP(EF267,'Dispensed Ink Rates'!C:C,'Dispensed Ink Rates'!CS:CS),VLOOKUP(EF267,'Jan-2026 rates'!$E:$F,2,0)))</f>
        <v>0</v>
      </c>
      <c r="EW267" s="409" t="s">
        <v>1443</v>
      </c>
      <c r="EX267" s="409">
        <v>30</v>
      </c>
      <c r="EY267" s="411">
        <f t="shared" si="221"/>
        <v>0</v>
      </c>
      <c r="EZ267" s="411">
        <f t="shared" si="222"/>
        <v>8.875</v>
      </c>
      <c r="FA267" s="410">
        <f t="shared" si="223"/>
        <v>0</v>
      </c>
      <c r="FB267" s="405" t="s">
        <v>544</v>
      </c>
      <c r="FC267" s="409" t="s">
        <v>4199</v>
      </c>
      <c r="FD267" s="420" t="str">
        <f t="shared" si="187"/>
        <v>FLINTSL - MAGENTA</v>
      </c>
      <c r="FE267" s="409">
        <v>30</v>
      </c>
      <c r="FF267" s="411">
        <f>IF(FE267=0,0,IF($LB267=70%,VLOOKUP($FD267,'Jan-2026 rates'!$L:$R,4,0),IF($LB267=65%,VLOOKUP($FD267,'Jan-2026 rates'!$L:$R,4,0),IF($LB267=40%,VLOOKUP($FD267,'Jan-2026 rates'!$L:$R,5,0),IF($LB267=30%,VLOOKUP($FD267,'Jan-2026 rates'!$L:$R,6,0),IF($LB267=100%,VLOOKUP($FD267,'Jan-2026 rates'!$L:$R,7,0),IF($LB267=60%,VLOOKUP($FD267,'Jan-2026 rates'!$L:$S,8,0),IF($LB267=80%,VLOOKUP($FD267,'Jan-2026 rates'!L:T,9,0),0))))))))</f>
        <v>0</v>
      </c>
      <c r="FG267" s="412"/>
      <c r="FH267" s="409"/>
      <c r="FI267" s="411">
        <f>IF(FH267=0,0,IF($LB267=70%,VLOOKUP($FD267,'Jan-2026 rates'!$L:$R,4,0),IF($LB267=65%,VLOOKUP($FD267,'Jan-2026 rates'!$L:$R,4,0),IF($LB267=40%,VLOOKUP($FD267,'Jan-2026 rates'!$L:$R,5,0),IF($LB267=30%,VLOOKUP($FD267,'Jan-2026 rates'!$L:$R,6,0),IF($LB267=100%,VLOOKUP($FD267,'Jan-2026 rates'!$L:$R,7,0),IF($LB267=60%,VLOOKUP($FD267,'Jan-2026 rates'!$L:$S,8,0),IF($LB267=80%,VLOOKUP($FD267,'Jan-2026 rates'!L:T,9,0),0))))))))</f>
        <v>0</v>
      </c>
      <c r="FJ267" s="413">
        <v>26521000005</v>
      </c>
      <c r="FK267" s="413"/>
      <c r="FL267" s="413"/>
      <c r="FM267" s="412"/>
      <c r="FN267" s="412"/>
      <c r="FO267" s="412"/>
      <c r="FP267" s="412"/>
      <c r="FQ267" s="412"/>
      <c r="FR267" s="409">
        <v>4</v>
      </c>
      <c r="FS267" s="398" t="e">
        <f>IF(FR267=0,0,IF(LEN(FJ267)=11,_xlfn.XLOOKUP(FJ267,'Dispensed Ink Rates'!C:C,'Dispensed Ink Rates'!CS:CS),VLOOKUP(FJ267,'Jan-2026 rates'!$E:$F,2,0)))</f>
        <v>#N/A</v>
      </c>
      <c r="FT267" s="409"/>
      <c r="FU267" s="398">
        <f>IF(FT267=0,0,IF(LEN(FK267)=11,_xlfn.XLOOKUP(FK267,'Dispensed Ink Rates'!C:C,'Dispensed Ink Rates'!CS:CS),VLOOKUP(FK267,'Jan-2026 rates'!$E:$F,2,0)))</f>
        <v>0</v>
      </c>
      <c r="FV267" s="409"/>
      <c r="FW267" s="398">
        <f>IF(FV267=0,0,IF(LEN(FL267)=11,_xlfn.XLOOKUP(FL267,'Dispensed Ink Rates'!C:C,'Dispensed Ink Rates'!CS:CS),VLOOKUP(FL267,'Jan-2026 rates'!$E:$F,2,0)))</f>
        <v>0</v>
      </c>
      <c r="FX267" s="409"/>
      <c r="FY267" s="398">
        <f>IF(FX267=0,0,IF(LEN(FM267)=11,_xlfn.XLOOKUP(FM267,'Dispensed Ink Rates'!C:C,'Dispensed Ink Rates'!CS:CS),VLOOKUP(FM267,'Jan-2026 rates'!$E:$F,2,0)))</f>
        <v>0</v>
      </c>
      <c r="FZ267" s="409"/>
      <c r="GA267" s="398">
        <f>IF(FZ267=0,0,IF(LEN(FN267)=11,_xlfn.XLOOKUP(FN267,'Dispensed Ink Rates'!C:C,'Dispensed Ink Rates'!CS:CS),VLOOKUP(FN267,'Jan-2026 rates'!$E:$F,2,0)))</f>
        <v>0</v>
      </c>
      <c r="GB267" s="409"/>
      <c r="GC267" s="398">
        <f>IF(GB267=0,0,IF(LEN(FO267)=11,_xlfn.XLOOKUP(FO267,'Dispensed Ink Rates'!C:C,'Dispensed Ink Rates'!CS:CS),VLOOKUP(FO267,'Jan-2026 rates'!$E:$F,2,0)))</f>
        <v>0</v>
      </c>
      <c r="GD267" s="409"/>
      <c r="GE267" s="398">
        <f>IF(GD267=0,0,IF(LEN(FP267)=11,_xlfn.XLOOKUP(FP267,'Dispensed Ink Rates'!C:C,'Dispensed Ink Rates'!CS:CS),VLOOKUP(FP267,'Jan-2026 rates'!$E:$F,2,0)))</f>
        <v>0</v>
      </c>
      <c r="GF267" s="409"/>
      <c r="GG267" s="398">
        <f>IF(GF267=0,0,IF(LEN(FQ267)=11,_xlfn.XLOOKUP(FQ267,'Dispensed Ink Rates'!C:C,'Dispensed Ink Rates'!CS:CS),VLOOKUP(FQ267,'Jan-2026 rates'!$E:$F,2,0)))</f>
        <v>0</v>
      </c>
      <c r="GH267" s="409" t="s">
        <v>1443</v>
      </c>
      <c r="GI267" s="409">
        <v>30</v>
      </c>
      <c r="GJ267" s="411">
        <f t="shared" si="224"/>
        <v>0</v>
      </c>
      <c r="GK267" s="411">
        <f t="shared" si="225"/>
        <v>9.25</v>
      </c>
      <c r="GL267" s="410">
        <f t="shared" si="226"/>
        <v>0</v>
      </c>
      <c r="GM267" s="405" t="s">
        <v>545</v>
      </c>
      <c r="GN267" s="409" t="s">
        <v>4200</v>
      </c>
      <c r="GO267" s="420" t="str">
        <f t="shared" si="188"/>
        <v>FLINTSL - YELLOW</v>
      </c>
      <c r="GP267" s="409">
        <v>28</v>
      </c>
      <c r="GQ267" s="411">
        <f>IF(GP267=0,0,IF($LB267=70%,VLOOKUP($GO267,'Jan-2026 rates'!$L:$R,4,0),IF($LB267=65%,VLOOKUP($GO267,'Jan-2026 rates'!$L:$R,4,0),IF($LB267=40%,VLOOKUP($GO267,'Jan-2026 rates'!$L:$R,5,0),IF($LB267=30%,VLOOKUP($GO267,'Jan-2026 rates'!$L:$R,6,0),IF($LB267=100%,VLOOKUP($GO267,'Jan-2026 rates'!$L:$R,7,0),IF($LB267=60%,VLOOKUP($GO267,'Jan-2026 rates'!$L:$S,8,0),IF($LB267=80%,VLOOKUP($GO267,'Jan-2026 rates'!L:T,9,0),0))))))))</f>
        <v>0</v>
      </c>
      <c r="GR267" s="412" t="s">
        <v>4126</v>
      </c>
      <c r="GS267" s="409">
        <v>25</v>
      </c>
      <c r="GT267" s="411">
        <f>IF(GS267=0,0,IF($LB267=70%,VLOOKUP($GO267,'Jan-2026 rates'!$L:$R,4,0),IF($LB267=65%,VLOOKUP($GO267,'Jan-2026 rates'!$L:$R,4,0),IF($LB267=40%,VLOOKUP($GO267,'Jan-2026 rates'!$L:$R,5,0),IF($LB267=30%,VLOOKUP($GO267,'Jan-2026 rates'!$L:$R,6,0),IF($LB267=100%,VLOOKUP($GO267,'Jan-2026 rates'!$L:$R,7,0),IF($LB267=60%,VLOOKUP($GO267,'Jan-2026 rates'!$L:$S,8,0),IF($LB267=80%,VLOOKUP($GO267,'Jan-2026 rates'!L:T,9,0),0))))))))</f>
        <v>0</v>
      </c>
      <c r="GU267" s="413">
        <v>26522000003</v>
      </c>
      <c r="GV267" s="413" t="s">
        <v>1266</v>
      </c>
      <c r="GW267" s="412"/>
      <c r="GX267" s="412"/>
      <c r="GY267" s="412"/>
      <c r="GZ267" s="412"/>
      <c r="HA267" s="412"/>
      <c r="HB267" s="412"/>
      <c r="HC267" s="409">
        <v>2</v>
      </c>
      <c r="HD267" s="398" t="e">
        <f>IF(HC267=0,0,IF(LEN(GU267)=11,_xlfn.XLOOKUP(GU267,'Dispensed Ink Rates'!C:C,'Dispensed Ink Rates'!CS:CS),VLOOKUP(GU267,'Jan-2026 rates'!$E:$F,2,0)))</f>
        <v>#N/A</v>
      </c>
      <c r="HE267" s="409">
        <v>3</v>
      </c>
      <c r="HF267" s="398">
        <f>IF(HE267=0,0,IF(LEN(GV267)=11,_xlfn.XLOOKUP(GV267,'Dispensed Ink Rates'!C:C,'Dispensed Ink Rates'!CS:CS),VLOOKUP(GV267,'Jan-2026 rates'!$E:$F,2,0)))</f>
        <v>0</v>
      </c>
      <c r="HG267" s="409"/>
      <c r="HH267" s="398">
        <f>IF(HG267=0,0,IF(LEN(GW267)=11,_xlfn.XLOOKUP(GW267,'Dispensed Ink Rates'!C:C,'Dispensed Ink Rates'!CS:CS),VLOOKUP(GW267,'Jan-2026 rates'!$E:$F,2,0)))</f>
        <v>0</v>
      </c>
      <c r="HI267" s="409"/>
      <c r="HJ267" s="398">
        <f>IF(HI267=0,0,IF(LEN(GX267)=11,_xlfn.XLOOKUP(GX267,'Dispensed Ink Rates'!C:C,'Dispensed Ink Rates'!CS:CS),VLOOKUP(GX267,'Jan-2026 rates'!$E:$F,2,0)))</f>
        <v>0</v>
      </c>
      <c r="HK267" s="409"/>
      <c r="HL267" s="398">
        <f>IF(HK267=0,0,IF(LEN(GY267)=11,_xlfn.XLOOKUP(GY267,'Dispensed Ink Rates'!C:C,'Dispensed Ink Rates'!CS:CS),VLOOKUP(GY267,'Jan-2026 rates'!$E:$F,2,0)))</f>
        <v>0</v>
      </c>
      <c r="HM267" s="409"/>
      <c r="HN267" s="398">
        <f>IF(HM267=0,0,IF(LEN(GZ267)=11,_xlfn.XLOOKUP(GZ267,'Dispensed Ink Rates'!C:C,'Dispensed Ink Rates'!CS:CS),VLOOKUP(GZ267,'Jan-2026 rates'!$E:$F,2,0)))</f>
        <v>0</v>
      </c>
      <c r="HO267" s="409"/>
      <c r="HP267" s="398">
        <f>IF(HO267=0,0,IF(LEN(HA267)=11,_xlfn.XLOOKUP(HA267,'Dispensed Ink Rates'!C:C,'Dispensed Ink Rates'!CS:CS),VLOOKUP(HA267,'Jan-2026 rates'!$E:$F,2,0)))</f>
        <v>0</v>
      </c>
      <c r="HQ267" s="409"/>
      <c r="HR267" s="398">
        <f>IF(HQ267=0,0,IF(LEN(HB267)=11,_xlfn.XLOOKUP(HB267,'Dispensed Ink Rates'!C:C,'Dispensed Ink Rates'!CS:CS),VLOOKUP(HB267,'Jan-2026 rates'!$E:$F,2,0)))</f>
        <v>0</v>
      </c>
      <c r="HS267" s="409" t="s">
        <v>1443</v>
      </c>
      <c r="HT267" s="409">
        <v>29</v>
      </c>
      <c r="HU267" s="411">
        <f t="shared" si="227"/>
        <v>0</v>
      </c>
      <c r="HV267" s="411">
        <f t="shared" si="228"/>
        <v>42.125</v>
      </c>
      <c r="HW267" s="414">
        <f t="shared" si="229"/>
        <v>0</v>
      </c>
      <c r="HX267" s="405" t="s">
        <v>856</v>
      </c>
      <c r="HY267" s="409" t="s">
        <v>4201</v>
      </c>
      <c r="HZ267" s="420" t="str">
        <f t="shared" si="189"/>
        <v>FLINTSL - WHITE</v>
      </c>
      <c r="IA267" s="409">
        <v>30</v>
      </c>
      <c r="IB267" s="411">
        <f>IF(IA267=0,0,IF($LB267=70%,VLOOKUP($HZ267,'Jan-2026 rates'!$L:$R,4,0),IF($LB267=65%,VLOOKUP($HZ267,'Jan-2026 rates'!$L:$R,4,0),IF($LB267=40%,VLOOKUP($HZ267,'Jan-2026 rates'!$L:$R,5,0),IF($LB267=30%,VLOOKUP($HZ267,'Jan-2026 rates'!$L:$R,6,0),IF($LB267=100%,VLOOKUP($HZ267,'Jan-2026 rates'!$L:$R,7,0),IF($LB267=60%,VLOOKUP($HZ267,'Jan-2026 rates'!$L:$S,8,0),IF($LB267=80%,VLOOKUP($HZ267,'Jan-2026 rates'!L:T,9,0),0))))))))</f>
        <v>0</v>
      </c>
      <c r="IC267" s="412"/>
      <c r="ID267" s="409"/>
      <c r="IE267" s="411">
        <f>IF(ID267=0,0,IF($LB267=70%,VLOOKUP($HZ267,'Jan-2026 rates'!$L:$R,4,0),IF($LB267=65%,VLOOKUP($HZ267,'Jan-2026 rates'!$L:$R,4,0),IF($LB267=40%,VLOOKUP($HZ267,'Jan-2026 rates'!$L:$R,5,0),IF($LB267=30%,VLOOKUP($HZ267,'Jan-2026 rates'!$L:$R,6,0),IF($LB267=100%,VLOOKUP($HZ267,'Jan-2026 rates'!$L:$R,7,0),IF($LB267=60%,VLOOKUP($HZ267,'Jan-2026 rates'!$L:$S,8,0),IF($LB267=80%,VLOOKUP($HZ267,'Jan-2026 rates'!L:T,9,0),0))))))))</f>
        <v>0</v>
      </c>
      <c r="IF267" s="412" t="s">
        <v>484</v>
      </c>
      <c r="IG267" s="413"/>
      <c r="IH267" s="412"/>
      <c r="II267" s="412"/>
      <c r="IJ267" s="412"/>
      <c r="IK267" s="412"/>
      <c r="IL267" s="412"/>
      <c r="IM267" s="412"/>
      <c r="IN267" s="409">
        <v>30</v>
      </c>
      <c r="IO267" s="398">
        <f>IF(IN267=0,0,IF(LEN(IF267)=11,_xlfn.XLOOKUP(IF267,'Dispensed Ink Rates'!C:C,'Dispensed Ink Rates'!CS:CS),VLOOKUP(IF267,'Jan-2026 rates'!$E:$F,2,0)))</f>
        <v>0</v>
      </c>
      <c r="IP267" s="409"/>
      <c r="IQ267" s="398">
        <f>IF(IP267=0,0,IF(LEN(IG267)=11,_xlfn.XLOOKUP(IG267,'Dispensed Ink Rates'!C:C,'Dispensed Ink Rates'!CS:CS),VLOOKUP(IG267,'Jan-2026 rates'!$E:$F,2,0)))</f>
        <v>0</v>
      </c>
      <c r="IR267" s="409"/>
      <c r="IS267" s="398">
        <f>IF(IR267=0,0,IF(LEN(IH267)=11,_xlfn.XLOOKUP(IH267,'Dispensed Ink Rates'!C:C,'Dispensed Ink Rates'!CS:CS),VLOOKUP(IH267,'Jan-2026 rates'!$E:$F,2,0)))</f>
        <v>0</v>
      </c>
      <c r="IT267" s="409"/>
      <c r="IU267" s="398">
        <f>IF(IT267=0,0,IF(LEN(II267)=11,_xlfn.XLOOKUP(II267,'Dispensed Ink Rates'!C:C,'Dispensed Ink Rates'!CS:CS),VLOOKUP(II267,'Jan-2026 rates'!$E:$F,2,0)))</f>
        <v>0</v>
      </c>
      <c r="IV267" s="409"/>
      <c r="IW267" s="398">
        <f>IF(IV267=0,0,IF(LEN(IJ267)=11,_xlfn.XLOOKUP(IJ267,'Dispensed Ink Rates'!C:C,'Dispensed Ink Rates'!CS:CS),VLOOKUP(IJ267,'Jan-2026 rates'!$E:$F,2,0)))</f>
        <v>0</v>
      </c>
      <c r="IX267" s="409"/>
      <c r="IY267" s="398">
        <f>IF(IX267=0,0,IF(LEN(IK267)=11,_xlfn.XLOOKUP(IK267,'Dispensed Ink Rates'!C:C,'Dispensed Ink Rates'!CS:CS),VLOOKUP(IK267,'Jan-2026 rates'!$E:$F,2,0)))</f>
        <v>0</v>
      </c>
      <c r="IZ267" s="409"/>
      <c r="JA267" s="398">
        <f>IF(IZ267=0,0,IF(LEN(IL267)=11,_xlfn.XLOOKUP(IL267,'Dispensed Ink Rates'!C:C,'Dispensed Ink Rates'!CS:CS),VLOOKUP(IL267,'Jan-2026 rates'!$E:$F,2,0)))</f>
        <v>0</v>
      </c>
      <c r="JB267" s="409"/>
      <c r="JC267" s="398">
        <f>IF(JB267=0,0,IF(LEN(IM267)=11,_xlfn.XLOOKUP(IM267,'Dispensed Ink Rates'!C:C,'Dispensed Ink Rates'!CS:CS),VLOOKUP(IM267,'Jan-2026 rates'!$E:$F,2,0)))</f>
        <v>0</v>
      </c>
      <c r="JD267" s="409" t="s">
        <v>1443</v>
      </c>
      <c r="JE267" s="409">
        <v>30</v>
      </c>
      <c r="JF267" s="411">
        <f t="shared" si="230"/>
        <v>0</v>
      </c>
      <c r="JG267" s="411">
        <f t="shared" si="231"/>
        <v>82.5</v>
      </c>
      <c r="JH267" s="410">
        <f t="shared" si="232"/>
        <v>0</v>
      </c>
      <c r="JI267" s="405"/>
      <c r="JJ267" s="409"/>
      <c r="JK267" s="420" t="str">
        <f t="shared" si="190"/>
        <v xml:space="preserve"> - </v>
      </c>
      <c r="JL267" s="409"/>
      <c r="JM267" s="411">
        <f>IF(JL267=0,0,IF($LB267=70%,VLOOKUP($JK267,'Jan-2026 rates'!$L:$R,4,0),IF($LB267=65%,VLOOKUP($JK267,'Jan-2026 rates'!$L:$R,4,0),IF($LB267=40%,VLOOKUP($JK267,'Jan-2026 rates'!$L:$R,5,0),IF($LB267=30%,VLOOKUP($JK267,'Jan-2026 rates'!$L:$R,6,0),IF($LB267=100%,VLOOKUP($JK267,'Jan-2026 rates'!$L:$R,7,0),IF($LB267=60%,VLOOKUP($JK267,'Jan-2026 rates'!$L:$S,8,0),IF($LB267=80%,VLOOKUP($JK267,'Jan-2026 rates'!L:T,9,0),0))))))))</f>
        <v>0</v>
      </c>
      <c r="JN267" s="412"/>
      <c r="JO267" s="409"/>
      <c r="JP267" s="411">
        <f>IF(JO267=0,0,IF($LB267=70%,VLOOKUP($JK267,'Jan-2026 rates'!$L:$R,4,0),IF($LB267=65%,VLOOKUP($JK267,'Jan-2026 rates'!$L:$R,4,0),IF($LB267=40%,VLOOKUP($JK267,'Jan-2026 rates'!$L:$R,5,0),IF($LB267=30%,VLOOKUP($JK267,'Jan-2026 rates'!$L:$R,6,0),IF($LB267=100%,VLOOKUP($JK267,'Jan-2026 rates'!$L:$R,7,0),IF($LB267=60%,VLOOKUP($JK267,'Jan-2026 rates'!$L:$S,8,0),IF($LB267=80%,VLOOKUP($JK267,'Jan-2026 rates'!L:T,9,0),0))))))))</f>
        <v>0</v>
      </c>
      <c r="JQ267" s="413"/>
      <c r="JR267" s="412"/>
      <c r="JS267" s="413"/>
      <c r="JT267" s="413"/>
      <c r="JU267" s="412"/>
      <c r="JV267" s="412"/>
      <c r="JW267" s="412"/>
      <c r="JX267" s="412"/>
      <c r="JY267" s="409"/>
      <c r="JZ267" s="398">
        <f>IF(JY267=0,0,IF(LEN(JQ267)=11,_xlfn.XLOOKUP(JQ267,'Dispensed Ink Rates'!C:C,'Dispensed Ink Rates'!CS:CS),VLOOKUP(JQ267,'Jan-2026 rates'!$E:$F,2,0)))</f>
        <v>0</v>
      </c>
      <c r="KA267" s="409"/>
      <c r="KB267" s="398">
        <f>IF(KA267=0,0,IF(LEN(JR267)=11,_xlfn.XLOOKUP(JR267,'Dispensed Ink Rates'!C:C,'Dispensed Ink Rates'!CS:CS),VLOOKUP(JR267,'Jan-2026 rates'!$E:$F,2,0)))</f>
        <v>0</v>
      </c>
      <c r="KC267" s="409"/>
      <c r="KD267" s="398">
        <f>IF(KC267=0,0,IF(LEN(JS267)=11,_xlfn.XLOOKUP(JS267,'Dispensed Ink Rates'!C:C,'Dispensed Ink Rates'!CS:CS),VLOOKUP(JS267,'Jan-2026 rates'!$E:$F,2,0)))</f>
        <v>0</v>
      </c>
      <c r="KE267" s="409"/>
      <c r="KF267" s="398">
        <f>IF(KE267=0,0,IF(LEN(JT267)=11,_xlfn.XLOOKUP(JT267,'Dispensed Ink Rates'!C:C,'Dispensed Ink Rates'!CS:CS),VLOOKUP(JT267,'Jan-2026 rates'!$E:$F,2,0)))</f>
        <v>0</v>
      </c>
      <c r="KG267" s="409"/>
      <c r="KH267" s="398">
        <f>IF(KG267=0,0,IF(LEN(JU267)=11,_xlfn.XLOOKUP(JU267,'Dispensed Ink Rates'!C:C,'Dispensed Ink Rates'!CS:CS),VLOOKUP(JU267,'Jan-2026 rates'!$E:$F,2,0)))</f>
        <v>0</v>
      </c>
      <c r="KI267" s="409"/>
      <c r="KJ267" s="398">
        <f>IF(KI267=0,0,IF(LEN(JV267)=11,_xlfn.XLOOKUP(JV267,'Dispensed Ink Rates'!C:C,'Dispensed Ink Rates'!CS:CS),VLOOKUP(JV267,'Jan-2026 rates'!$E:$F,2,0)))</f>
        <v>0</v>
      </c>
      <c r="KK267" s="409"/>
      <c r="KL267" s="398">
        <f>IF(KK267=0,0,IF(LEN(JW267)=11,_xlfn.XLOOKUP(JW267,'Dispensed Ink Rates'!C:C,'Dispensed Ink Rates'!CS:CS),VLOOKUP(JW267,'Jan-2026 rates'!$E:$F,2,0)))</f>
        <v>0</v>
      </c>
      <c r="KM267" s="428"/>
      <c r="KN267" s="398">
        <f>IF(KM267=0,0,IF(LEN(JX267)=11,_xlfn.XLOOKUP(JX267,'Dispensed Ink Rates'!C:C,'Dispensed Ink Rates'!CS:CS),VLOOKUP(JX267,'Jan-2026 rates'!$E:$F,2,0)))</f>
        <v>0</v>
      </c>
      <c r="KO267" s="409"/>
      <c r="KP267" s="409"/>
      <c r="KQ267" s="411">
        <f t="shared" si="233"/>
        <v>0</v>
      </c>
      <c r="KR267" s="411">
        <f t="shared" si="234"/>
        <v>0</v>
      </c>
      <c r="KS267" s="410">
        <f t="shared" si="235"/>
        <v>0</v>
      </c>
      <c r="KT267" s="409">
        <v>5</v>
      </c>
      <c r="KU267" s="409">
        <v>0</v>
      </c>
      <c r="KV267" s="409">
        <v>5</v>
      </c>
      <c r="KW267" s="409">
        <v>3</v>
      </c>
      <c r="KX267" s="409">
        <v>2</v>
      </c>
      <c r="KY267" s="409">
        <v>5</v>
      </c>
      <c r="KZ267" s="409">
        <v>20</v>
      </c>
      <c r="LA267" s="409">
        <v>0</v>
      </c>
      <c r="LB267" s="415">
        <v>0.8</v>
      </c>
      <c r="LC267" s="415">
        <v>0.2</v>
      </c>
      <c r="LD267" s="415"/>
      <c r="LE267" s="415"/>
      <c r="LF267" s="415"/>
      <c r="LG267" s="409">
        <v>0</v>
      </c>
      <c r="LH267" s="409">
        <f>20+25+48+12</f>
        <v>105</v>
      </c>
      <c r="LI267" s="409">
        <v>0</v>
      </c>
      <c r="LJ267" s="409">
        <v>0</v>
      </c>
      <c r="LK267" s="416">
        <f t="shared" si="191"/>
        <v>105</v>
      </c>
      <c r="LL267" s="416">
        <f t="shared" si="192"/>
        <v>105</v>
      </c>
      <c r="LM267" s="417">
        <f t="shared" si="193"/>
        <v>84</v>
      </c>
      <c r="LN267" s="417">
        <f>VLOOKUP($LM$8,'Jan-2026 rates'!$H:$I,2,0)</f>
        <v>0</v>
      </c>
      <c r="LO267" s="417">
        <f t="shared" si="194"/>
        <v>21</v>
      </c>
      <c r="LP267" s="417">
        <f>VLOOKUP($LO$8,'Jan-2026 rates'!$H:$I,2,0)</f>
        <v>0</v>
      </c>
      <c r="LQ267" s="417">
        <f t="shared" si="195"/>
        <v>0</v>
      </c>
      <c r="LR267" s="417">
        <f>VLOOKUP($LQ$8,'Jan-2026 rates'!$H:$I,2,0)</f>
        <v>0</v>
      </c>
      <c r="LS267" s="417">
        <f t="shared" si="196"/>
        <v>0</v>
      </c>
      <c r="LT267" s="417">
        <f>VLOOKUP($LS$8,'Jan-2026 rates'!$H:$I,2,0)</f>
        <v>0</v>
      </c>
      <c r="LU267" s="417">
        <f t="shared" si="197"/>
        <v>0</v>
      </c>
      <c r="LV267" s="417">
        <f>VLOOKUP($LU$8,'Jan-2026 rates'!$H:$I,2,0)</f>
        <v>0</v>
      </c>
      <c r="LW267" s="417">
        <f t="shared" si="198"/>
        <v>0</v>
      </c>
      <c r="LX267" s="417">
        <f t="shared" si="199"/>
        <v>0</v>
      </c>
      <c r="LY267" s="418">
        <f t="shared" si="200"/>
        <v>0</v>
      </c>
      <c r="LZ267" s="417"/>
      <c r="MA267" s="435">
        <f t="shared" si="201"/>
        <v>71</v>
      </c>
      <c r="MB267" s="282">
        <f t="shared" si="202"/>
        <v>172</v>
      </c>
      <c r="MC267" s="283">
        <v>160</v>
      </c>
      <c r="MD267" s="284" t="str">
        <f t="shared" si="203"/>
        <v>FLINTSLFLINTSLFLINTSLFLINTSLFLINTSLFLINTSLFLINTSL</v>
      </c>
      <c r="ME267" s="293" t="str">
        <f t="shared" si="204"/>
        <v>+</v>
      </c>
      <c r="MF267" s="293" t="str">
        <f t="shared" si="205"/>
        <v>+</v>
      </c>
      <c r="MG267" s="293" t="str">
        <f t="shared" si="206"/>
        <v>+</v>
      </c>
      <c r="MH267" s="293" t="str">
        <f t="shared" si="207"/>
        <v>+</v>
      </c>
      <c r="MI267" s="293" t="str">
        <f t="shared" si="208"/>
        <v>+</v>
      </c>
      <c r="MJ267" s="293" t="str">
        <f t="shared" si="209"/>
        <v>+</v>
      </c>
      <c r="MK267" s="293" t="str">
        <f t="shared" si="210"/>
        <v>+</v>
      </c>
      <c r="ML267" s="293" t="str">
        <f t="shared" si="211"/>
        <v>NIL</v>
      </c>
      <c r="MM267" s="3" t="b">
        <f t="array" ref="MM267">OR(ME267:ML267="-")</f>
        <v>0</v>
      </c>
      <c r="MN267" s="285"/>
      <c r="MO267" s="401"/>
      <c r="MP267" s="286"/>
      <c r="MQ267" s="286"/>
      <c r="MR267" s="402"/>
      <c r="MS267" s="400"/>
      <c r="NH267" s="422"/>
      <c r="NJ267" s="421"/>
    </row>
    <row r="268" spans="1:374" s="1" customFormat="1" ht="16.5">
      <c r="A268" s="403">
        <v>46043</v>
      </c>
      <c r="B268" s="404" t="s">
        <v>1018</v>
      </c>
      <c r="C268" s="405" t="s">
        <v>4202</v>
      </c>
      <c r="D268" s="406">
        <v>161</v>
      </c>
      <c r="E268" s="404">
        <v>1081</v>
      </c>
      <c r="F268" s="407">
        <v>12700</v>
      </c>
      <c r="G268" s="407" t="s">
        <v>1019</v>
      </c>
      <c r="H268" s="408" t="s">
        <v>1017</v>
      </c>
      <c r="I268" s="409">
        <v>1.76</v>
      </c>
      <c r="J268" s="405" t="s">
        <v>543</v>
      </c>
      <c r="K268" s="404" t="s">
        <v>4203</v>
      </c>
      <c r="L268" s="419" t="str">
        <f t="shared" si="184"/>
        <v>FLINTSL - BLACK</v>
      </c>
      <c r="M268" s="404">
        <v>28</v>
      </c>
      <c r="N268" s="410">
        <f>IF(M268=0,0,IF($LB268=70%,VLOOKUP($L268,'Jan-2026 rates'!$L:$R,4,0),IF($LB268=65%,VLOOKUP($L268,'Jan-2026 rates'!$L:$R,4,0),IF($LB268=40%,VLOOKUP($L268,'Jan-2026 rates'!$L:$R,5,0),IF($LB268=30%,VLOOKUP($L268,'Jan-2026 rates'!$L:$R,6,0),IF($LB268=100%,VLOOKUP($L268,'Jan-2026 rates'!$L:$R,7,0),IF($LB268=60%,VLOOKUP($L268,'Jan-2026 rates'!$L:$S,8,0),IF($LB268=80%,VLOOKUP($L268,'Jan-2026 rates'!L:T,9,0),0))))))))</f>
        <v>0</v>
      </c>
      <c r="O268" s="406"/>
      <c r="P268" s="404"/>
      <c r="Q268" s="410">
        <f>IF(P268=0,0,IF($LB268=70%,VLOOKUP($L268,'Jan-2026 rates'!$L:$R,4,0),IF($LB268=65%,VLOOKUP($L268,'Jan-2026 rates'!$L:$R,4,0),IF($LB268=40%,VLOOKUP($L268,'Jan-2026 rates'!$L:$R,5,0),IF($LB268=30%,VLOOKUP($L268,'Jan-2026 rates'!$L:$R,6,0),IF($LB268=100%,VLOOKUP($L268,'Jan-2026 rates'!$L:$R,7,0),IF($LB268=60%,VLOOKUP($L268,'Jan-2026 rates'!$L:$S,8,0),IF($LB268=80%,VLOOKUP($L268,'Jan-2026 rates'!L:T,9,0),0))))))))</f>
        <v>0</v>
      </c>
      <c r="R268" s="406">
        <v>26521000010</v>
      </c>
      <c r="S268" s="406"/>
      <c r="T268" s="406"/>
      <c r="U268" s="406"/>
      <c r="V268" s="406"/>
      <c r="W268" s="406"/>
      <c r="X268" s="406"/>
      <c r="Y268" s="406"/>
      <c r="Z268" s="404">
        <v>2</v>
      </c>
      <c r="AA268" s="398" t="e">
        <f>IF(Z268=0,0,IF(LEN(R268)=11,_xlfn.XLOOKUP(R268,'Dispensed Ink Rates'!C:C,'Dispensed Ink Rates'!CS:CS),VLOOKUP(R268,'Jan-2026 rates'!$E:$F,2,0)))</f>
        <v>#N/A</v>
      </c>
      <c r="AB268" s="404"/>
      <c r="AC268" s="398">
        <f>IF(AB268=0,0,IF(LEN(S268)=11,_xlfn.XLOOKUP(S268,'Dispensed Ink Rates'!C:C,'Dispensed Ink Rates'!CS:CS),VLOOKUP(S268,'Jan-2026 rates'!$E:$F,2,0)))</f>
        <v>0</v>
      </c>
      <c r="AD268" s="404"/>
      <c r="AE268" s="398">
        <f>IF(AD268=0,0,IF(LEN(T268)=11,_xlfn.XLOOKUP(T268,'Dispensed Ink Rates'!C:C,'Dispensed Ink Rates'!CS:CS),VLOOKUP(T268,'Jan-2026 rates'!$E:$F,2,0)))</f>
        <v>0</v>
      </c>
      <c r="AF268" s="404"/>
      <c r="AG268" s="398">
        <f>IF(AF268=0,0,IF(LEN(U268)=11,_xlfn.XLOOKUP(U268,'Dispensed Ink Rates'!C:C,'Dispensed Ink Rates'!CS:CS),VLOOKUP(U268,'Jan-2026 rates'!$E:$F,2,0)))</f>
        <v>0</v>
      </c>
      <c r="AH268" s="404"/>
      <c r="AI268" s="398">
        <f>IF(AH268=0,0,IF(LEN(V268)=11,_xlfn.XLOOKUP(V268,'Dispensed Ink Rates'!C:C,'Dispensed Ink Rates'!CS:CS),VLOOKUP(V268,'Jan-2026 rates'!$E:$F,2,0)))</f>
        <v>0</v>
      </c>
      <c r="AJ268" s="404"/>
      <c r="AK268" s="398">
        <f>IF(AJ268=0,0,IF(LEN(W268)=11,_xlfn.XLOOKUP(W268,'Dispensed Ink Rates'!C:C,'Dispensed Ink Rates'!CS:CS),VLOOKUP(W268,'Jan-2026 rates'!$E:$F,2,0)))</f>
        <v>0</v>
      </c>
      <c r="AL268" s="404"/>
      <c r="AM268" s="398">
        <f>IF(AL268=0,0,IF(LEN(X268)=11,_xlfn.XLOOKUP(X268,'Dispensed Ink Rates'!C:C,'Dispensed Ink Rates'!CS:CS),VLOOKUP(X268,'Jan-2026 rates'!$E:$F,2,0)))</f>
        <v>0</v>
      </c>
      <c r="AN268" s="404"/>
      <c r="AO268" s="398">
        <f>IF(AN268=0,0,IF(LEN(Y268)=11,_xlfn.XLOOKUP(Y268,'Dispensed Ink Rates'!C:C,'Dispensed Ink Rates'!CS:CS),VLOOKUP(Y268,'Jan-2026 rates'!$E:$F,2,0)))</f>
        <v>0</v>
      </c>
      <c r="AP268" s="409" t="s">
        <v>1443</v>
      </c>
      <c r="AQ268" s="409">
        <v>29</v>
      </c>
      <c r="AR268" s="410">
        <f t="shared" si="212"/>
        <v>0</v>
      </c>
      <c r="AS268" s="411">
        <f t="shared" si="213"/>
        <v>8.7142857142857153</v>
      </c>
      <c r="AT268" s="410">
        <f t="shared" si="214"/>
        <v>0</v>
      </c>
      <c r="AU268" s="405" t="s">
        <v>546</v>
      </c>
      <c r="AV268" s="409"/>
      <c r="AW268" s="420" t="str">
        <f t="shared" si="183"/>
        <v>FLINTSL - REFLEX BLUE</v>
      </c>
      <c r="AX268" s="409"/>
      <c r="AY268" s="411">
        <f>IF(AX268=0,0,IF($LB268=70%,VLOOKUP($AW268,'Jan-2026 rates'!$L:$R,4,0),IF($LB268=65%,VLOOKUP($AW268,'Jan-2026 rates'!$L:$R,4,0),IF($LB268=40%,VLOOKUP($AW268,'Jan-2026 rates'!$L:$R,5,0),IF($LB268=30%,VLOOKUP($AW268,'Jan-2026 rates'!$L:$R,6,0),IF($LB268=100%,VLOOKUP($AW268,'Jan-2026 rates'!$L:$R,7,0),IF($LB268=60%,VLOOKUP($AW268,'Jan-2026 rates'!$L:$S,8,0),IF($LB268=80%,VLOOKUP($AW268,'Jan-2026 rates'!L:T,9,0),0))))))))</f>
        <v>0</v>
      </c>
      <c r="AZ268" s="412"/>
      <c r="BA268" s="409"/>
      <c r="BB268" s="411">
        <f>IF(BA268=0,0,IF($LB268=70%,VLOOKUP($AW268,'Jan-2026 rates'!$L:$R,4,0),IF($LB268=65%,VLOOKUP($AW268,'Jan-2026 rates'!$L:$R,4,0),IF($LB268=40%,VLOOKUP($AW268,'Jan-2026 rates'!$L:$R,5,0),IF($LB268=30%,VLOOKUP($AW268,'Jan-2026 rates'!$L:$R,6,0),IF($LB268=100%,VLOOKUP($AW268,'Jan-2026 rates'!$L:$R,7,0),IF($LB268=60%,VLOOKUP($AW268,'Jan-2026 rates'!$L:$S,8,0),IF($LB268=80%,VLOOKUP($AW268,'Jan-2026 rates'!L:T,9,0),0))))))))</f>
        <v>0</v>
      </c>
      <c r="BC268" s="413">
        <v>26519000015</v>
      </c>
      <c r="BD268" s="412" t="s">
        <v>1266</v>
      </c>
      <c r="BE268" s="412">
        <v>26520000006</v>
      </c>
      <c r="BF268" s="413">
        <v>26521000006</v>
      </c>
      <c r="BG268" s="412"/>
      <c r="BH268" s="412"/>
      <c r="BI268" s="412"/>
      <c r="BJ268" s="412"/>
      <c r="BK268" s="409">
        <f>6+10</f>
        <v>16</v>
      </c>
      <c r="BL268" s="398" t="e">
        <f>IF(BK268=0,0,IF(LEN(BC268)=11,_xlfn.XLOOKUP(BC268,'Dispensed Ink Rates'!C:C,'Dispensed Ink Rates'!CS:CS),VLOOKUP(BC268,'Jan-2026 rates'!$E:$F,2,0)))</f>
        <v>#N/A</v>
      </c>
      <c r="BM268" s="409">
        <f>5+2</f>
        <v>7</v>
      </c>
      <c r="BN268" s="398">
        <f>IF(BM268=0,0,IF(LEN(BD268)=11,_xlfn.XLOOKUP(BD268,'Dispensed Ink Rates'!C:C,'Dispensed Ink Rates'!CS:CS),VLOOKUP(BD268,'Jan-2026 rates'!$E:$F,2,0)))</f>
        <v>0</v>
      </c>
      <c r="BO268" s="409">
        <f>6+2</f>
        <v>8</v>
      </c>
      <c r="BP268" s="398" t="e">
        <f>IF(BO268=0,0,IF(LEN(BE268)=11,_xlfn.XLOOKUP(BE268,'Dispensed Ink Rates'!C:C,'Dispensed Ink Rates'!CS:CS),VLOOKUP(BE268,'Jan-2026 rates'!$E:$F,2,0)))</f>
        <v>#N/A</v>
      </c>
      <c r="BQ268" s="409">
        <v>3</v>
      </c>
      <c r="BR268" s="398" t="e">
        <f>IF(BQ268=0,0,IF(LEN(BF268)=11,_xlfn.XLOOKUP(BF268,'Dispensed Ink Rates'!C:C,'Dispensed Ink Rates'!CS:CS),VLOOKUP(BF268,'Jan-2026 rates'!$E:$F,2,0)))</f>
        <v>#N/A</v>
      </c>
      <c r="BS268" s="409"/>
      <c r="BT268" s="398">
        <f>IF(BS268=0,0,IF(LEN(BG268)=11,_xlfn.XLOOKUP(BG268,'Dispensed Ink Rates'!C:C,'Dispensed Ink Rates'!CS:CS),VLOOKUP(BG268,'Jan-2026 rates'!$E:$F,2,0)))</f>
        <v>0</v>
      </c>
      <c r="BU268" s="409"/>
      <c r="BV268" s="398">
        <f>IF(BU268=0,0,IF(LEN(BH268)=11,_xlfn.XLOOKUP(BH268,'Dispensed Ink Rates'!C:C,'Dispensed Ink Rates'!CS:CS),VLOOKUP(BH268,'Jan-2026 rates'!$E:$F,2,0)))</f>
        <v>0</v>
      </c>
      <c r="BW268" s="409"/>
      <c r="BX268" s="398">
        <f>IF(BW268=0,0,IF(LEN(BI268)=11,_xlfn.XLOOKUP(BI268,'Dispensed Ink Rates'!C:C,'Dispensed Ink Rates'!CS:CS),VLOOKUP(BI268,'Jan-2026 rates'!$E:$F,2,0)))</f>
        <v>0</v>
      </c>
      <c r="BY268" s="409"/>
      <c r="BZ268" s="398">
        <f>IF(BY268=0,0,IF(LEN(BJ268)=11,_xlfn.XLOOKUP(BJ268,'Dispensed Ink Rates'!C:C,'Dispensed Ink Rates'!CS:CS),VLOOKUP(BJ268,'Jan-2026 rates'!$E:$F,2,0)))</f>
        <v>0</v>
      </c>
      <c r="CA268" s="409" t="s">
        <v>1443</v>
      </c>
      <c r="CB268" s="409">
        <f>20+8</f>
        <v>28</v>
      </c>
      <c r="CC268" s="411">
        <f t="shared" si="215"/>
        <v>0</v>
      </c>
      <c r="CD268" s="411">
        <f t="shared" si="216"/>
        <v>29.142857142857139</v>
      </c>
      <c r="CE268" s="410">
        <f t="shared" si="217"/>
        <v>0</v>
      </c>
      <c r="CF268" s="404" t="s">
        <v>546</v>
      </c>
      <c r="CG268" s="409" t="s">
        <v>4203</v>
      </c>
      <c r="CH268" s="420" t="str">
        <f t="shared" si="185"/>
        <v>FLINTSL - REFLEX BLUE</v>
      </c>
      <c r="CI268" s="409">
        <v>30</v>
      </c>
      <c r="CJ268" s="411">
        <f>IF(CI268=0,0,IF($LB268=70%,VLOOKUP($CH268,'Jan-2026 rates'!$L:$R,4,0),IF($LB268=65%,VLOOKUP($CH268,'Jan-2026 rates'!$L:$R,4,0),IF($LB268=40%,VLOOKUP($CH268,'Jan-2026 rates'!$L:$R,5,0),IF($LB268=30%,VLOOKUP($CH268,'Jan-2026 rates'!$L:$R,6,0),IF($LB268=100%,VLOOKUP($CH268,'Jan-2026 rates'!$L:$R,7,0),IF($LB268=60%,VLOOKUP($CH268,'Jan-2026 rates'!$L:$S,8,0),IF($LB268=80%,VLOOKUP($CH268,'Jan-2026 rates'!L:T,9,0),0))))))))</f>
        <v>0</v>
      </c>
      <c r="CK268" s="412"/>
      <c r="CL268" s="409"/>
      <c r="CM268" s="411">
        <f>IF(CL268=0,0,IF($LB268=70%,VLOOKUP($CH268,'Jan-2026 rates'!$L:$R,4,0),IF($LB268=65%,VLOOKUP($CH268,'Jan-2026 rates'!$L:$R,4,0),IF($LB268=40%,VLOOKUP($CH268,'Jan-2026 rates'!$L:$R,5,0),IF($LB268=30%,VLOOKUP($CH268,'Jan-2026 rates'!$L:$R,6,0),IF($LB268=100%,VLOOKUP($CH268,'Jan-2026 rates'!$L:$R,7,0),IF($LB268=60%,VLOOKUP($CH268,'Jan-2026 rates'!$L:$S,8,0),IF($LB268=80%,VLOOKUP($CH268,'Jan-2026 rates'!L:T,9,0),0))))))))</f>
        <v>0</v>
      </c>
      <c r="CN268" s="426">
        <v>26521000005</v>
      </c>
      <c r="CO268" s="427">
        <v>26521000010</v>
      </c>
      <c r="CP268" s="426"/>
      <c r="CQ268" s="426"/>
      <c r="CR268" s="428"/>
      <c r="CS268" s="428"/>
      <c r="CT268" s="428"/>
      <c r="CU268" s="428"/>
      <c r="CV268" s="409">
        <v>4</v>
      </c>
      <c r="CW268" s="398" t="e">
        <f>IF(CV268=0,0,IF(LEN(CN268)=11,_xlfn.XLOOKUP(CN268,'Dispensed Ink Rates'!C:C,'Dispensed Ink Rates'!CS:CS),VLOOKUP(CN268,'Jan-2026 rates'!$E:$F,2,0)))</f>
        <v>#N/A</v>
      </c>
      <c r="CX268" s="409">
        <v>0.2</v>
      </c>
      <c r="CY268" s="398" t="e">
        <f>IF(CX268=0,0,IF(LEN(CO268)=11,_xlfn.XLOOKUP(CO268,'Dispensed Ink Rates'!C:C,'Dispensed Ink Rates'!CS:CS),VLOOKUP(CO268,'Jan-2026 rates'!$E:$F,2,0)))</f>
        <v>#N/A</v>
      </c>
      <c r="CZ268" s="409"/>
      <c r="DA268" s="398">
        <f>IF(CZ268=0,0,IF(LEN(CP268)=11,_xlfn.XLOOKUP(CP268,'Dispensed Ink Rates'!C:C,'Dispensed Ink Rates'!CS:CS),VLOOKUP(CP268,'Jan-2026 rates'!$E:$F,2,0)))</f>
        <v>0</v>
      </c>
      <c r="DB268" s="409"/>
      <c r="DC268" s="398">
        <f>IF(DB268=0,0,IF(LEN(CQ268)=11,_xlfn.XLOOKUP(CQ268,'Dispensed Ink Rates'!C:C,'Dispensed Ink Rates'!CS:CS),VLOOKUP(CQ268,'Jan-2026 rates'!$E:$F,2,0)))</f>
        <v>0</v>
      </c>
      <c r="DD268" s="409"/>
      <c r="DE268" s="398">
        <f>IF(DD268=0,0,IF(LEN(CR268)=11,_xlfn.XLOOKUP(CR268,'Dispensed Ink Rates'!C:C,'Dispensed Ink Rates'!CS:CS),VLOOKUP(CR268,'Jan-2026 rates'!$E:$F,2,0)))</f>
        <v>0</v>
      </c>
      <c r="DF268" s="409"/>
      <c r="DG268" s="398">
        <f>IF(DF268=0,0,IF(LEN(CS268)=11,_xlfn.XLOOKUP(CS268,'Dispensed Ink Rates'!C:C,'Dispensed Ink Rates'!CS:CS),VLOOKUP(CS268,'Jan-2026 rates'!$E:$F,2,0)))</f>
        <v>0</v>
      </c>
      <c r="DH268" s="409"/>
      <c r="DI268" s="398">
        <f>IF(DH268=0,0,IF(LEN(CT268)=11,_xlfn.XLOOKUP(CT268,'Dispensed Ink Rates'!C:C,'Dispensed Ink Rates'!CS:CS),VLOOKUP(CT268,'Jan-2026 rates'!$E:$F,2,0)))</f>
        <v>0</v>
      </c>
      <c r="DJ268" s="409"/>
      <c r="DK268" s="398">
        <f>IF(DJ268=0,0,IF(LEN(CU268)=11,_xlfn.XLOOKUP(CU268,'Dispensed Ink Rates'!C:C,'Dispensed Ink Rates'!CS:CS),VLOOKUP(CU268,'Jan-2026 rates'!$E:$F,2,0)))</f>
        <v>0</v>
      </c>
      <c r="DL268" s="409" t="s">
        <v>1443</v>
      </c>
      <c r="DM268" s="409">
        <v>32</v>
      </c>
      <c r="DN268" s="411">
        <f t="shared" si="218"/>
        <v>0</v>
      </c>
      <c r="DO268" s="411">
        <f t="shared" si="219"/>
        <v>9.9142857142857181</v>
      </c>
      <c r="DP268" s="410">
        <f t="shared" si="220"/>
        <v>0</v>
      </c>
      <c r="DQ268" s="405" t="s">
        <v>855</v>
      </c>
      <c r="DR268" s="409" t="s">
        <v>4204</v>
      </c>
      <c r="DS268" s="420" t="str">
        <f t="shared" si="186"/>
        <v>FLINTSL - CYAN</v>
      </c>
      <c r="DT268" s="409">
        <v>30</v>
      </c>
      <c r="DU268" s="411">
        <f>IF(DT268=0,0,IF($LB268=70%,VLOOKUP($DS268,'Jan-2026 rates'!$L:$R,4,0),IF($LB268=65%,VLOOKUP($DS268,'Jan-2026 rates'!$L:$R,4,0),IF($LB268=40%,VLOOKUP($DS268,'Jan-2026 rates'!$L:$R,5,0),IF($LB268=30%,VLOOKUP($DS268,'Jan-2026 rates'!$L:$R,6,0),IF($LB268=100%,VLOOKUP($DS268,'Jan-2026 rates'!$L:$R,7,0),IF($LB268=60%,VLOOKUP($DS268,'Jan-2026 rates'!$L:$S,8,0),IF($LB268=80%,VLOOKUP($DS268,'Jan-2026 rates'!L:T,9,0),0))))))))</f>
        <v>0</v>
      </c>
      <c r="DV268" s="412"/>
      <c r="DW268" s="409"/>
      <c r="DX268" s="411">
        <f>IF(DW268=0,0,IF($LB268=70%,VLOOKUP($DS268,'Jan-2026 rates'!$L:$R,4,0),IF($LB268=65%,VLOOKUP($DS268,'Jan-2026 rates'!$L:$R,4,0),IF($LB268=40%,VLOOKUP($DS268,'Jan-2026 rates'!$L:$R,5,0),IF($LB268=30%,VLOOKUP($DS268,'Jan-2026 rates'!$L:$R,6,0),IF($LB268=100%,VLOOKUP($DS268,'Jan-2026 rates'!$L:$R,7,0),IF($LB268=60%,VLOOKUP($DS268,'Jan-2026 rates'!$L:$S,8,0),IF($LB268=80%,VLOOKUP($DS268,'Jan-2026 rates'!L:T,9,0),0))))))))</f>
        <v>0</v>
      </c>
      <c r="DY268" s="413">
        <v>26519000015</v>
      </c>
      <c r="DZ268" s="413"/>
      <c r="EA268" s="412"/>
      <c r="EB268" s="412"/>
      <c r="EC268" s="412"/>
      <c r="ED268" s="412"/>
      <c r="EE268" s="412"/>
      <c r="EF268" s="412"/>
      <c r="EG268" s="409">
        <v>8</v>
      </c>
      <c r="EH268" s="398" t="e">
        <f>IF(EG268=0,0,IF(LEN(DY268)=11,_xlfn.XLOOKUP(DY268,'Dispensed Ink Rates'!C:C,'Dispensed Ink Rates'!CS:CS),VLOOKUP(DY268,'Jan-2026 rates'!$E:$F,2,0)))</f>
        <v>#N/A</v>
      </c>
      <c r="EI268" s="409"/>
      <c r="EJ268" s="398">
        <f>IF(EI268=0,0,IF(LEN(DZ268)=11,_xlfn.XLOOKUP(DZ268,'Dispensed Ink Rates'!C:C,'Dispensed Ink Rates'!CS:CS),VLOOKUP(DZ268,'Jan-2026 rates'!$E:$F,2,0)))</f>
        <v>0</v>
      </c>
      <c r="EK268" s="409"/>
      <c r="EL268" s="398">
        <f>IF(EK268=0,0,IF(LEN(EA268)=11,_xlfn.XLOOKUP(EA268,'Dispensed Ink Rates'!C:C,'Dispensed Ink Rates'!CS:CS),VLOOKUP(EA268,'Jan-2026 rates'!$E:$F,2,0)))</f>
        <v>0</v>
      </c>
      <c r="EM268" s="409"/>
      <c r="EN268" s="398">
        <f>IF(EM268=0,0,IF(LEN(EB268)=11,_xlfn.XLOOKUP(EB268,'Dispensed Ink Rates'!C:C,'Dispensed Ink Rates'!CS:CS),VLOOKUP(EB268,'Jan-2026 rates'!$E:$F,2,0)))</f>
        <v>0</v>
      </c>
      <c r="EO268" s="409"/>
      <c r="EP268" s="398">
        <f>IF(EO268=0,0,IF(LEN(EC268)=11,_xlfn.XLOOKUP(EC268,'Dispensed Ink Rates'!C:C,'Dispensed Ink Rates'!CS:CS),VLOOKUP(EC268,'Jan-2026 rates'!$E:$F,2,0)))</f>
        <v>0</v>
      </c>
      <c r="EQ268" s="409"/>
      <c r="ER268" s="398">
        <f>IF(EQ268=0,0,IF(LEN(ED268)=11,_xlfn.XLOOKUP(ED268,'Dispensed Ink Rates'!C:C,'Dispensed Ink Rates'!CS:CS),VLOOKUP(ED268,'Jan-2026 rates'!$E:$F,2,0)))</f>
        <v>0</v>
      </c>
      <c r="ES268" s="409"/>
      <c r="ET268" s="398">
        <f>IF(ES268=0,0,IF(LEN(EE268)=11,_xlfn.XLOOKUP(EE268,'Dispensed Ink Rates'!C:C,'Dispensed Ink Rates'!CS:CS),VLOOKUP(EE268,'Jan-2026 rates'!$E:$F,2,0)))</f>
        <v>0</v>
      </c>
      <c r="EU268" s="409"/>
      <c r="EV268" s="398">
        <f>IF(EU268=0,0,IF(LEN(EF268)=11,_xlfn.XLOOKUP(EF268,'Dispensed Ink Rates'!C:C,'Dispensed Ink Rates'!CS:CS),VLOOKUP(EF268,'Jan-2026 rates'!$E:$F,2,0)))</f>
        <v>0</v>
      </c>
      <c r="EW268" s="409" t="s">
        <v>1443</v>
      </c>
      <c r="EX268" s="409">
        <v>29</v>
      </c>
      <c r="EY268" s="411">
        <f t="shared" si="221"/>
        <v>0</v>
      </c>
      <c r="EZ268" s="411">
        <f t="shared" si="222"/>
        <v>16.714285714285715</v>
      </c>
      <c r="FA268" s="410">
        <f t="shared" si="223"/>
        <v>0</v>
      </c>
      <c r="FB268" s="405" t="s">
        <v>544</v>
      </c>
      <c r="FC268" s="409" t="s">
        <v>4205</v>
      </c>
      <c r="FD268" s="420" t="str">
        <f t="shared" si="187"/>
        <v>FLINTSL - MAGENTA</v>
      </c>
      <c r="FE268" s="409">
        <v>30</v>
      </c>
      <c r="FF268" s="411">
        <f>IF(FE268=0,0,IF($LB268=70%,VLOOKUP($FD268,'Jan-2026 rates'!$L:$R,4,0),IF($LB268=65%,VLOOKUP($FD268,'Jan-2026 rates'!$L:$R,4,0),IF($LB268=40%,VLOOKUP($FD268,'Jan-2026 rates'!$L:$R,5,0),IF($LB268=30%,VLOOKUP($FD268,'Jan-2026 rates'!$L:$R,6,0),IF($LB268=100%,VLOOKUP($FD268,'Jan-2026 rates'!$L:$R,7,0),IF($LB268=60%,VLOOKUP($FD268,'Jan-2026 rates'!$L:$S,8,0),IF($LB268=80%,VLOOKUP($FD268,'Jan-2026 rates'!L:T,9,0),0))))))))</f>
        <v>0</v>
      </c>
      <c r="FG268" s="412"/>
      <c r="FH268" s="409"/>
      <c r="FI268" s="411">
        <f>IF(FH268=0,0,IF($LB268=70%,VLOOKUP($FD268,'Jan-2026 rates'!$L:$R,4,0),IF($LB268=65%,VLOOKUP($FD268,'Jan-2026 rates'!$L:$R,4,0),IF($LB268=40%,VLOOKUP($FD268,'Jan-2026 rates'!$L:$R,5,0),IF($LB268=30%,VLOOKUP($FD268,'Jan-2026 rates'!$L:$R,6,0),IF($LB268=100%,VLOOKUP($FD268,'Jan-2026 rates'!$L:$R,7,0),IF($LB268=60%,VLOOKUP($FD268,'Jan-2026 rates'!$L:$S,8,0),IF($LB268=80%,VLOOKUP($FD268,'Jan-2026 rates'!L:T,9,0),0))))))))</f>
        <v>0</v>
      </c>
      <c r="FJ268" s="413">
        <v>26521000005</v>
      </c>
      <c r="FK268" s="413"/>
      <c r="FL268" s="413"/>
      <c r="FM268" s="412"/>
      <c r="FN268" s="412"/>
      <c r="FO268" s="412"/>
      <c r="FP268" s="412"/>
      <c r="FQ268" s="412"/>
      <c r="FR268" s="409">
        <v>2</v>
      </c>
      <c r="FS268" s="398" t="e">
        <f>IF(FR268=0,0,IF(LEN(FJ268)=11,_xlfn.XLOOKUP(FJ268,'Dispensed Ink Rates'!C:C,'Dispensed Ink Rates'!CS:CS),VLOOKUP(FJ268,'Jan-2026 rates'!$E:$F,2,0)))</f>
        <v>#N/A</v>
      </c>
      <c r="FT268" s="409"/>
      <c r="FU268" s="398">
        <f>IF(FT268=0,0,IF(LEN(FK268)=11,_xlfn.XLOOKUP(FK268,'Dispensed Ink Rates'!C:C,'Dispensed Ink Rates'!CS:CS),VLOOKUP(FK268,'Jan-2026 rates'!$E:$F,2,0)))</f>
        <v>0</v>
      </c>
      <c r="FV268" s="409"/>
      <c r="FW268" s="398">
        <f>IF(FV268=0,0,IF(LEN(FL268)=11,_xlfn.XLOOKUP(FL268,'Dispensed Ink Rates'!C:C,'Dispensed Ink Rates'!CS:CS),VLOOKUP(FL268,'Jan-2026 rates'!$E:$F,2,0)))</f>
        <v>0</v>
      </c>
      <c r="FX268" s="409"/>
      <c r="FY268" s="398">
        <f>IF(FX268=0,0,IF(LEN(FM268)=11,_xlfn.XLOOKUP(FM268,'Dispensed Ink Rates'!C:C,'Dispensed Ink Rates'!CS:CS),VLOOKUP(FM268,'Jan-2026 rates'!$E:$F,2,0)))</f>
        <v>0</v>
      </c>
      <c r="FZ268" s="409"/>
      <c r="GA268" s="398">
        <f>IF(FZ268=0,0,IF(LEN(FN268)=11,_xlfn.XLOOKUP(FN268,'Dispensed Ink Rates'!C:C,'Dispensed Ink Rates'!CS:CS),VLOOKUP(FN268,'Jan-2026 rates'!$E:$F,2,0)))</f>
        <v>0</v>
      </c>
      <c r="GB268" s="409"/>
      <c r="GC268" s="398">
        <f>IF(GB268=0,0,IF(LEN(FO268)=11,_xlfn.XLOOKUP(FO268,'Dispensed Ink Rates'!C:C,'Dispensed Ink Rates'!CS:CS),VLOOKUP(FO268,'Jan-2026 rates'!$E:$F,2,0)))</f>
        <v>0</v>
      </c>
      <c r="GD268" s="409"/>
      <c r="GE268" s="398">
        <f>IF(GD268=0,0,IF(LEN(FP268)=11,_xlfn.XLOOKUP(FP268,'Dispensed Ink Rates'!C:C,'Dispensed Ink Rates'!CS:CS),VLOOKUP(FP268,'Jan-2026 rates'!$E:$F,2,0)))</f>
        <v>0</v>
      </c>
      <c r="GF268" s="409"/>
      <c r="GG268" s="398">
        <f>IF(GF268=0,0,IF(LEN(FQ268)=11,_xlfn.XLOOKUP(FQ268,'Dispensed Ink Rates'!C:C,'Dispensed Ink Rates'!CS:CS),VLOOKUP(FQ268,'Jan-2026 rates'!$E:$F,2,0)))</f>
        <v>0</v>
      </c>
      <c r="GH268" s="409" t="s">
        <v>1443</v>
      </c>
      <c r="GI268" s="409">
        <v>30</v>
      </c>
      <c r="GJ268" s="411">
        <f t="shared" si="224"/>
        <v>0</v>
      </c>
      <c r="GK268" s="411">
        <f t="shared" si="225"/>
        <v>9.7142857142857153</v>
      </c>
      <c r="GL268" s="410">
        <f t="shared" si="226"/>
        <v>0</v>
      </c>
      <c r="GM268" s="405" t="s">
        <v>545</v>
      </c>
      <c r="GN268" s="409" t="s">
        <v>4206</v>
      </c>
      <c r="GO268" s="420" t="str">
        <f t="shared" si="188"/>
        <v>FLINTSL - YELLOW</v>
      </c>
      <c r="GP268" s="409">
        <v>29</v>
      </c>
      <c r="GQ268" s="411">
        <f>IF(GP268=0,0,IF($LB268=70%,VLOOKUP($GO268,'Jan-2026 rates'!$L:$R,4,0),IF($LB268=65%,VLOOKUP($GO268,'Jan-2026 rates'!$L:$R,4,0),IF($LB268=40%,VLOOKUP($GO268,'Jan-2026 rates'!$L:$R,5,0),IF($LB268=30%,VLOOKUP($GO268,'Jan-2026 rates'!$L:$R,6,0),IF($LB268=100%,VLOOKUP($GO268,'Jan-2026 rates'!$L:$R,7,0),IF($LB268=60%,VLOOKUP($GO268,'Jan-2026 rates'!$L:$S,8,0),IF($LB268=80%,VLOOKUP($GO268,'Jan-2026 rates'!L:T,9,0),0))))))))</f>
        <v>0</v>
      </c>
      <c r="GR268" s="412"/>
      <c r="GS268" s="409"/>
      <c r="GT268" s="411">
        <f>IF(GS268=0,0,IF($LB268=70%,VLOOKUP($GO268,'Jan-2026 rates'!$L:$R,4,0),IF($LB268=65%,VLOOKUP($GO268,'Jan-2026 rates'!$L:$R,4,0),IF($LB268=40%,VLOOKUP($GO268,'Jan-2026 rates'!$L:$R,5,0),IF($LB268=30%,VLOOKUP($GO268,'Jan-2026 rates'!$L:$R,6,0),IF($LB268=100%,VLOOKUP($GO268,'Jan-2026 rates'!$L:$R,7,0),IF($LB268=60%,VLOOKUP($GO268,'Jan-2026 rates'!$L:$S,8,0),IF($LB268=80%,VLOOKUP($GO268,'Jan-2026 rates'!L:T,9,0),0))))))))</f>
        <v>0</v>
      </c>
      <c r="GU268" s="413">
        <v>26522000003</v>
      </c>
      <c r="GV268" s="413" t="s">
        <v>1266</v>
      </c>
      <c r="GW268" s="412"/>
      <c r="GX268" s="412"/>
      <c r="GY268" s="412"/>
      <c r="GZ268" s="412"/>
      <c r="HA268" s="412"/>
      <c r="HB268" s="412"/>
      <c r="HC268" s="409">
        <v>2</v>
      </c>
      <c r="HD268" s="398" t="e">
        <f>IF(HC268=0,0,IF(LEN(GU268)=11,_xlfn.XLOOKUP(GU268,'Dispensed Ink Rates'!C:C,'Dispensed Ink Rates'!CS:CS),VLOOKUP(GU268,'Jan-2026 rates'!$E:$F,2,0)))</f>
        <v>#N/A</v>
      </c>
      <c r="HE268" s="409">
        <v>2</v>
      </c>
      <c r="HF268" s="398">
        <f>IF(HE268=0,0,IF(LEN(GV268)=11,_xlfn.XLOOKUP(GV268,'Dispensed Ink Rates'!C:C,'Dispensed Ink Rates'!CS:CS),VLOOKUP(GV268,'Jan-2026 rates'!$E:$F,2,0)))</f>
        <v>0</v>
      </c>
      <c r="HG268" s="409"/>
      <c r="HH268" s="398">
        <f>IF(HG268=0,0,IF(LEN(GW268)=11,_xlfn.XLOOKUP(GW268,'Dispensed Ink Rates'!C:C,'Dispensed Ink Rates'!CS:CS),VLOOKUP(GW268,'Jan-2026 rates'!$E:$F,2,0)))</f>
        <v>0</v>
      </c>
      <c r="HI268" s="409"/>
      <c r="HJ268" s="398">
        <f>IF(HI268=0,0,IF(LEN(GX268)=11,_xlfn.XLOOKUP(GX268,'Dispensed Ink Rates'!C:C,'Dispensed Ink Rates'!CS:CS),VLOOKUP(GX268,'Jan-2026 rates'!$E:$F,2,0)))</f>
        <v>0</v>
      </c>
      <c r="HK268" s="409"/>
      <c r="HL268" s="398">
        <f>IF(HK268=0,0,IF(LEN(GY268)=11,_xlfn.XLOOKUP(GY268,'Dispensed Ink Rates'!C:C,'Dispensed Ink Rates'!CS:CS),VLOOKUP(GY268,'Jan-2026 rates'!$E:$F,2,0)))</f>
        <v>0</v>
      </c>
      <c r="HM268" s="409"/>
      <c r="HN268" s="398">
        <f>IF(HM268=0,0,IF(LEN(GZ268)=11,_xlfn.XLOOKUP(GZ268,'Dispensed Ink Rates'!C:C,'Dispensed Ink Rates'!CS:CS),VLOOKUP(GZ268,'Jan-2026 rates'!$E:$F,2,0)))</f>
        <v>0</v>
      </c>
      <c r="HO268" s="409"/>
      <c r="HP268" s="398">
        <f>IF(HO268=0,0,IF(LEN(HA268)=11,_xlfn.XLOOKUP(HA268,'Dispensed Ink Rates'!C:C,'Dispensed Ink Rates'!CS:CS),VLOOKUP(HA268,'Jan-2026 rates'!$E:$F,2,0)))</f>
        <v>0</v>
      </c>
      <c r="HQ268" s="409"/>
      <c r="HR268" s="398">
        <f>IF(HQ268=0,0,IF(LEN(HB268)=11,_xlfn.XLOOKUP(HB268,'Dispensed Ink Rates'!C:C,'Dispensed Ink Rates'!CS:CS),VLOOKUP(HB268,'Jan-2026 rates'!$E:$F,2,0)))</f>
        <v>0</v>
      </c>
      <c r="HS268" s="409" t="s">
        <v>1443</v>
      </c>
      <c r="HT268" s="409">
        <v>29</v>
      </c>
      <c r="HU268" s="411">
        <f t="shared" si="227"/>
        <v>0</v>
      </c>
      <c r="HV268" s="411">
        <f t="shared" si="228"/>
        <v>11.714285714285715</v>
      </c>
      <c r="HW268" s="414">
        <f t="shared" si="229"/>
        <v>0</v>
      </c>
      <c r="HX268" s="405" t="s">
        <v>856</v>
      </c>
      <c r="HY268" s="409" t="s">
        <v>4207</v>
      </c>
      <c r="HZ268" s="420" t="str">
        <f t="shared" si="189"/>
        <v>FLINTSL - WHITE</v>
      </c>
      <c r="IA268" s="409">
        <v>30</v>
      </c>
      <c r="IB268" s="411">
        <f>IF(IA268=0,0,IF($LB268=70%,VLOOKUP($HZ268,'Jan-2026 rates'!$L:$R,4,0),IF($LB268=65%,VLOOKUP($HZ268,'Jan-2026 rates'!$L:$R,4,0),IF($LB268=40%,VLOOKUP($HZ268,'Jan-2026 rates'!$L:$R,5,0),IF($LB268=30%,VLOOKUP($HZ268,'Jan-2026 rates'!$L:$R,6,0),IF($LB268=100%,VLOOKUP($HZ268,'Jan-2026 rates'!$L:$R,7,0),IF($LB268=60%,VLOOKUP($HZ268,'Jan-2026 rates'!$L:$S,8,0),IF($LB268=80%,VLOOKUP($HZ268,'Jan-2026 rates'!L:T,9,0),0))))))))</f>
        <v>0</v>
      </c>
      <c r="IC268" s="412"/>
      <c r="ID268" s="409"/>
      <c r="IE268" s="411">
        <f>IF(ID268=0,0,IF($LB268=70%,VLOOKUP($HZ268,'Jan-2026 rates'!$L:$R,4,0),IF($LB268=65%,VLOOKUP($HZ268,'Jan-2026 rates'!$L:$R,4,0),IF($LB268=40%,VLOOKUP($HZ268,'Jan-2026 rates'!$L:$R,5,0),IF($LB268=30%,VLOOKUP($HZ268,'Jan-2026 rates'!$L:$R,6,0),IF($LB268=100%,VLOOKUP($HZ268,'Jan-2026 rates'!$L:$R,7,0),IF($LB268=60%,VLOOKUP($HZ268,'Jan-2026 rates'!$L:$S,8,0),IF($LB268=80%,VLOOKUP($HZ268,'Jan-2026 rates'!L:T,9,0),0))))))))</f>
        <v>0</v>
      </c>
      <c r="IF268" s="412" t="s">
        <v>484</v>
      </c>
      <c r="IG268" s="413"/>
      <c r="IH268" s="412"/>
      <c r="II268" s="412"/>
      <c r="IJ268" s="412"/>
      <c r="IK268" s="412"/>
      <c r="IL268" s="412"/>
      <c r="IM268" s="412"/>
      <c r="IN268" s="409">
        <f>25+25</f>
        <v>50</v>
      </c>
      <c r="IO268" s="398">
        <f>IF(IN268=0,0,IF(LEN(IF268)=11,_xlfn.XLOOKUP(IF268,'Dispensed Ink Rates'!C:C,'Dispensed Ink Rates'!CS:CS),VLOOKUP(IF268,'Jan-2026 rates'!$E:$F,2,0)))</f>
        <v>0</v>
      </c>
      <c r="IP268" s="409"/>
      <c r="IQ268" s="398">
        <f>IF(IP268=0,0,IF(LEN(IG268)=11,_xlfn.XLOOKUP(IG268,'Dispensed Ink Rates'!C:C,'Dispensed Ink Rates'!CS:CS),VLOOKUP(IG268,'Jan-2026 rates'!$E:$F,2,0)))</f>
        <v>0</v>
      </c>
      <c r="IR268" s="409"/>
      <c r="IS268" s="398">
        <f>IF(IR268=0,0,IF(LEN(IH268)=11,_xlfn.XLOOKUP(IH268,'Dispensed Ink Rates'!C:C,'Dispensed Ink Rates'!CS:CS),VLOOKUP(IH268,'Jan-2026 rates'!$E:$F,2,0)))</f>
        <v>0</v>
      </c>
      <c r="IT268" s="409"/>
      <c r="IU268" s="398">
        <f>IF(IT268=0,0,IF(LEN(II268)=11,_xlfn.XLOOKUP(II268,'Dispensed Ink Rates'!C:C,'Dispensed Ink Rates'!CS:CS),VLOOKUP(II268,'Jan-2026 rates'!$E:$F,2,0)))</f>
        <v>0</v>
      </c>
      <c r="IV268" s="409"/>
      <c r="IW268" s="398">
        <f>IF(IV268=0,0,IF(LEN(IJ268)=11,_xlfn.XLOOKUP(IJ268,'Dispensed Ink Rates'!C:C,'Dispensed Ink Rates'!CS:CS),VLOOKUP(IJ268,'Jan-2026 rates'!$E:$F,2,0)))</f>
        <v>0</v>
      </c>
      <c r="IX268" s="409"/>
      <c r="IY268" s="398">
        <f>IF(IX268=0,0,IF(LEN(IK268)=11,_xlfn.XLOOKUP(IK268,'Dispensed Ink Rates'!C:C,'Dispensed Ink Rates'!CS:CS),VLOOKUP(IK268,'Jan-2026 rates'!$E:$F,2,0)))</f>
        <v>0</v>
      </c>
      <c r="IZ268" s="409"/>
      <c r="JA268" s="398">
        <f>IF(IZ268=0,0,IF(LEN(IL268)=11,_xlfn.XLOOKUP(IL268,'Dispensed Ink Rates'!C:C,'Dispensed Ink Rates'!CS:CS),VLOOKUP(IL268,'Jan-2026 rates'!$E:$F,2,0)))</f>
        <v>0</v>
      </c>
      <c r="JB268" s="409"/>
      <c r="JC268" s="398">
        <f>IF(JB268=0,0,IF(LEN(IM268)=11,_xlfn.XLOOKUP(IM268,'Dispensed Ink Rates'!C:C,'Dispensed Ink Rates'!CS:CS),VLOOKUP(IM268,'Jan-2026 rates'!$E:$F,2,0)))</f>
        <v>0</v>
      </c>
      <c r="JD268" s="409" t="s">
        <v>1443</v>
      </c>
      <c r="JE268" s="409">
        <v>24</v>
      </c>
      <c r="JF268" s="411">
        <f t="shared" si="230"/>
        <v>0</v>
      </c>
      <c r="JG268" s="411">
        <f t="shared" si="231"/>
        <v>102.28571428571428</v>
      </c>
      <c r="JH268" s="410">
        <f t="shared" si="232"/>
        <v>0</v>
      </c>
      <c r="JI268" s="405"/>
      <c r="JJ268" s="409"/>
      <c r="JK268" s="420" t="str">
        <f t="shared" si="190"/>
        <v xml:space="preserve"> - </v>
      </c>
      <c r="JL268" s="409"/>
      <c r="JM268" s="411">
        <f>IF(JL268=0,0,IF($LB268=70%,VLOOKUP($JK268,'Jan-2026 rates'!$L:$R,4,0),IF($LB268=65%,VLOOKUP($JK268,'Jan-2026 rates'!$L:$R,4,0),IF($LB268=40%,VLOOKUP($JK268,'Jan-2026 rates'!$L:$R,5,0),IF($LB268=30%,VLOOKUP($JK268,'Jan-2026 rates'!$L:$R,6,0),IF($LB268=100%,VLOOKUP($JK268,'Jan-2026 rates'!$L:$R,7,0),IF($LB268=60%,VLOOKUP($JK268,'Jan-2026 rates'!$L:$S,8,0),IF($LB268=80%,VLOOKUP($JK268,'Jan-2026 rates'!L:T,9,0),0))))))))</f>
        <v>0</v>
      </c>
      <c r="JN268" s="412"/>
      <c r="JO268" s="409"/>
      <c r="JP268" s="411">
        <f>IF(JO268=0,0,IF($LB268=70%,VLOOKUP($JK268,'Jan-2026 rates'!$L:$R,4,0),IF($LB268=65%,VLOOKUP($JK268,'Jan-2026 rates'!$L:$R,4,0),IF($LB268=40%,VLOOKUP($JK268,'Jan-2026 rates'!$L:$R,5,0),IF($LB268=30%,VLOOKUP($JK268,'Jan-2026 rates'!$L:$R,6,0),IF($LB268=100%,VLOOKUP($JK268,'Jan-2026 rates'!$L:$R,7,0),IF($LB268=60%,VLOOKUP($JK268,'Jan-2026 rates'!$L:$S,8,0),IF($LB268=80%,VLOOKUP($JK268,'Jan-2026 rates'!L:T,9,0),0))))))))</f>
        <v>0</v>
      </c>
      <c r="JQ268" s="413"/>
      <c r="JR268" s="412"/>
      <c r="JS268" s="413"/>
      <c r="JT268" s="413"/>
      <c r="JU268" s="412"/>
      <c r="JV268" s="412"/>
      <c r="JW268" s="412"/>
      <c r="JX268" s="412"/>
      <c r="JY268" s="409"/>
      <c r="JZ268" s="398">
        <f>IF(JY268=0,0,IF(LEN(JQ268)=11,_xlfn.XLOOKUP(JQ268,'Dispensed Ink Rates'!C:C,'Dispensed Ink Rates'!CS:CS),VLOOKUP(JQ268,'Jan-2026 rates'!$E:$F,2,0)))</f>
        <v>0</v>
      </c>
      <c r="KA268" s="409"/>
      <c r="KB268" s="398">
        <f>IF(KA268=0,0,IF(LEN(JR268)=11,_xlfn.XLOOKUP(JR268,'Dispensed Ink Rates'!C:C,'Dispensed Ink Rates'!CS:CS),VLOOKUP(JR268,'Jan-2026 rates'!$E:$F,2,0)))</f>
        <v>0</v>
      </c>
      <c r="KC268" s="409"/>
      <c r="KD268" s="398">
        <f>IF(KC268=0,0,IF(LEN(JS268)=11,_xlfn.XLOOKUP(JS268,'Dispensed Ink Rates'!C:C,'Dispensed Ink Rates'!CS:CS),VLOOKUP(JS268,'Jan-2026 rates'!$E:$F,2,0)))</f>
        <v>0</v>
      </c>
      <c r="KE268" s="409"/>
      <c r="KF268" s="398">
        <f>IF(KE268=0,0,IF(LEN(JT268)=11,_xlfn.XLOOKUP(JT268,'Dispensed Ink Rates'!C:C,'Dispensed Ink Rates'!CS:CS),VLOOKUP(JT268,'Jan-2026 rates'!$E:$F,2,0)))</f>
        <v>0</v>
      </c>
      <c r="KG268" s="409"/>
      <c r="KH268" s="398">
        <f>IF(KG268=0,0,IF(LEN(JU268)=11,_xlfn.XLOOKUP(JU268,'Dispensed Ink Rates'!C:C,'Dispensed Ink Rates'!CS:CS),VLOOKUP(JU268,'Jan-2026 rates'!$E:$F,2,0)))</f>
        <v>0</v>
      </c>
      <c r="KI268" s="409"/>
      <c r="KJ268" s="398">
        <f>IF(KI268=0,0,IF(LEN(JV268)=11,_xlfn.XLOOKUP(JV268,'Dispensed Ink Rates'!C:C,'Dispensed Ink Rates'!CS:CS),VLOOKUP(JV268,'Jan-2026 rates'!$E:$F,2,0)))</f>
        <v>0</v>
      </c>
      <c r="KK268" s="409"/>
      <c r="KL268" s="398">
        <f>IF(KK268=0,0,IF(LEN(JW268)=11,_xlfn.XLOOKUP(JW268,'Dispensed Ink Rates'!C:C,'Dispensed Ink Rates'!CS:CS),VLOOKUP(JW268,'Jan-2026 rates'!$E:$F,2,0)))</f>
        <v>0</v>
      </c>
      <c r="KM268" s="428"/>
      <c r="KN268" s="398">
        <f>IF(KM268=0,0,IF(LEN(JX268)=11,_xlfn.XLOOKUP(JX268,'Dispensed Ink Rates'!C:C,'Dispensed Ink Rates'!CS:CS),VLOOKUP(JX268,'Jan-2026 rates'!$E:$F,2,0)))</f>
        <v>0</v>
      </c>
      <c r="KO268" s="409"/>
      <c r="KP268" s="409"/>
      <c r="KQ268" s="411">
        <f t="shared" si="233"/>
        <v>0</v>
      </c>
      <c r="KR268" s="411">
        <f t="shared" si="234"/>
        <v>0</v>
      </c>
      <c r="KS268" s="410">
        <f t="shared" si="235"/>
        <v>0</v>
      </c>
      <c r="KT268" s="409">
        <v>5</v>
      </c>
      <c r="KU268" s="409">
        <f>10+5</f>
        <v>15</v>
      </c>
      <c r="KV268" s="409">
        <v>5</v>
      </c>
      <c r="KW268" s="409">
        <v>5</v>
      </c>
      <c r="KX268" s="409">
        <v>5</v>
      </c>
      <c r="KY268" s="409">
        <v>5</v>
      </c>
      <c r="KZ268" s="409">
        <f>5+10+15</f>
        <v>30</v>
      </c>
      <c r="LA268" s="409">
        <v>0</v>
      </c>
      <c r="LB268" s="415">
        <v>0.8</v>
      </c>
      <c r="LC268" s="415">
        <v>0.2</v>
      </c>
      <c r="LD268" s="415"/>
      <c r="LE268" s="415"/>
      <c r="LF268" s="415"/>
      <c r="LG268" s="409">
        <v>0</v>
      </c>
      <c r="LH268" s="409">
        <f>30+28+40+10</f>
        <v>108</v>
      </c>
      <c r="LI268" s="409">
        <v>0</v>
      </c>
      <c r="LJ268" s="409">
        <v>0</v>
      </c>
      <c r="LK268" s="416">
        <f t="shared" si="191"/>
        <v>108</v>
      </c>
      <c r="LL268" s="416">
        <f t="shared" si="192"/>
        <v>108</v>
      </c>
      <c r="LM268" s="417">
        <f t="shared" si="193"/>
        <v>86.4</v>
      </c>
      <c r="LN268" s="417">
        <f>VLOOKUP($LM$8,'Jan-2026 rates'!$H:$I,2,0)</f>
        <v>0</v>
      </c>
      <c r="LO268" s="417">
        <f t="shared" si="194"/>
        <v>21.6</v>
      </c>
      <c r="LP268" s="417">
        <f>VLOOKUP($LO$8,'Jan-2026 rates'!$H:$I,2,0)</f>
        <v>0</v>
      </c>
      <c r="LQ268" s="417">
        <f t="shared" si="195"/>
        <v>0</v>
      </c>
      <c r="LR268" s="417">
        <f>VLOOKUP($LQ$8,'Jan-2026 rates'!$H:$I,2,0)</f>
        <v>0</v>
      </c>
      <c r="LS268" s="417">
        <f t="shared" si="196"/>
        <v>0</v>
      </c>
      <c r="LT268" s="417">
        <f>VLOOKUP($LS$8,'Jan-2026 rates'!$H:$I,2,0)</f>
        <v>0</v>
      </c>
      <c r="LU268" s="417">
        <f t="shared" si="197"/>
        <v>0</v>
      </c>
      <c r="LV268" s="417">
        <f>VLOOKUP($LU$8,'Jan-2026 rates'!$H:$I,2,0)</f>
        <v>0</v>
      </c>
      <c r="LW268" s="417">
        <f t="shared" si="198"/>
        <v>0</v>
      </c>
      <c r="LX268" s="417">
        <f t="shared" si="199"/>
        <v>0</v>
      </c>
      <c r="LY268" s="418">
        <f t="shared" si="200"/>
        <v>0</v>
      </c>
      <c r="LZ268" s="417"/>
      <c r="MA268" s="435">
        <f t="shared" si="201"/>
        <v>104.2</v>
      </c>
      <c r="MB268" s="282">
        <f t="shared" si="202"/>
        <v>188.20000000000002</v>
      </c>
      <c r="MC268" s="283">
        <v>161</v>
      </c>
      <c r="MD268" s="284" t="str">
        <f t="shared" si="203"/>
        <v>FLINTSLFLINTSLFLINTSLFLINTSLFLINTSLFLINTSLFLINTSL</v>
      </c>
      <c r="ME268" s="293" t="str">
        <f t="shared" si="204"/>
        <v>+</v>
      </c>
      <c r="MF268" s="293" t="str">
        <f t="shared" si="205"/>
        <v>+</v>
      </c>
      <c r="MG268" s="293" t="str">
        <f t="shared" si="206"/>
        <v>+</v>
      </c>
      <c r="MH268" s="293" t="str">
        <f t="shared" si="207"/>
        <v>+</v>
      </c>
      <c r="MI268" s="293" t="str">
        <f t="shared" si="208"/>
        <v>+</v>
      </c>
      <c r="MJ268" s="293" t="str">
        <f t="shared" si="209"/>
        <v>+</v>
      </c>
      <c r="MK268" s="293" t="str">
        <f t="shared" si="210"/>
        <v>+</v>
      </c>
      <c r="ML268" s="293" t="str">
        <f t="shared" si="211"/>
        <v>NIL</v>
      </c>
      <c r="MM268" s="3" t="b">
        <f t="array" ref="MM268">OR(ME268:ML268="-")</f>
        <v>0</v>
      </c>
      <c r="MN268" s="285"/>
      <c r="MO268" s="401"/>
      <c r="MP268" s="286"/>
      <c r="MQ268" s="286"/>
      <c r="MR268" s="402"/>
      <c r="MS268" s="400"/>
      <c r="NH268" s="422"/>
      <c r="NJ268" s="421"/>
    </row>
    <row r="269" spans="1:374" s="1" customFormat="1" ht="16.5">
      <c r="A269" s="403">
        <v>46043</v>
      </c>
      <c r="B269" s="404" t="s">
        <v>1018</v>
      </c>
      <c r="C269" s="405" t="s">
        <v>4208</v>
      </c>
      <c r="D269" s="406">
        <v>162</v>
      </c>
      <c r="E269" s="404">
        <v>1046</v>
      </c>
      <c r="F269" s="407">
        <v>12300</v>
      </c>
      <c r="G269" s="407" t="s">
        <v>1019</v>
      </c>
      <c r="H269" s="408" t="s">
        <v>1017</v>
      </c>
      <c r="I269" s="409">
        <v>1.77</v>
      </c>
      <c r="J269" s="405" t="s">
        <v>543</v>
      </c>
      <c r="K269" s="404" t="s">
        <v>4209</v>
      </c>
      <c r="L269" s="419" t="str">
        <f t="shared" si="184"/>
        <v>FLINTSL - BLACK</v>
      </c>
      <c r="M269" s="404">
        <v>29</v>
      </c>
      <c r="N269" s="410">
        <f>IF(M269=0,0,IF($LB269=70%,VLOOKUP($L269,'Jan-2026 rates'!$L:$R,4,0),IF($LB269=65%,VLOOKUP($L269,'Jan-2026 rates'!$L:$R,4,0),IF($LB269=40%,VLOOKUP($L269,'Jan-2026 rates'!$L:$R,5,0),IF($LB269=30%,VLOOKUP($L269,'Jan-2026 rates'!$L:$R,6,0),IF($LB269=100%,VLOOKUP($L269,'Jan-2026 rates'!$L:$R,7,0),IF($LB269=60%,VLOOKUP($L269,'Jan-2026 rates'!$L:$S,8,0),IF($LB269=80%,VLOOKUP($L269,'Jan-2026 rates'!L:T,9,0),0))))))))</f>
        <v>0</v>
      </c>
      <c r="O269" s="406"/>
      <c r="P269" s="404"/>
      <c r="Q269" s="410">
        <f>IF(P269=0,0,IF($LB269=70%,VLOOKUP($L269,'Jan-2026 rates'!$L:$R,4,0),IF($LB269=65%,VLOOKUP($L269,'Jan-2026 rates'!$L:$R,4,0),IF($LB269=40%,VLOOKUP($L269,'Jan-2026 rates'!$L:$R,5,0),IF($LB269=30%,VLOOKUP($L269,'Jan-2026 rates'!$L:$R,6,0),IF($LB269=100%,VLOOKUP($L269,'Jan-2026 rates'!$L:$R,7,0),IF($LB269=60%,VLOOKUP($L269,'Jan-2026 rates'!$L:$S,8,0),IF($LB269=80%,VLOOKUP($L269,'Jan-2026 rates'!L:T,9,0),0))))))))</f>
        <v>0</v>
      </c>
      <c r="R269" s="406">
        <v>26519000016</v>
      </c>
      <c r="S269" s="406"/>
      <c r="T269" s="406"/>
      <c r="U269" s="406"/>
      <c r="V269" s="406"/>
      <c r="W269" s="406"/>
      <c r="X269" s="406"/>
      <c r="Y269" s="406"/>
      <c r="Z269" s="404">
        <v>2</v>
      </c>
      <c r="AA269" s="398" t="e">
        <f>IF(Z269=0,0,IF(LEN(R269)=11,_xlfn.XLOOKUP(R269,'Dispensed Ink Rates'!C:C,'Dispensed Ink Rates'!CS:CS),VLOOKUP(R269,'Jan-2026 rates'!$E:$F,2,0)))</f>
        <v>#N/A</v>
      </c>
      <c r="AB269" s="404"/>
      <c r="AC269" s="398">
        <f>IF(AB269=0,0,IF(LEN(S269)=11,_xlfn.XLOOKUP(S269,'Dispensed Ink Rates'!C:C,'Dispensed Ink Rates'!CS:CS),VLOOKUP(S269,'Jan-2026 rates'!$E:$F,2,0)))</f>
        <v>0</v>
      </c>
      <c r="AD269" s="404"/>
      <c r="AE269" s="398">
        <f>IF(AD269=0,0,IF(LEN(T269)=11,_xlfn.XLOOKUP(T269,'Dispensed Ink Rates'!C:C,'Dispensed Ink Rates'!CS:CS),VLOOKUP(T269,'Jan-2026 rates'!$E:$F,2,0)))</f>
        <v>0</v>
      </c>
      <c r="AF269" s="404"/>
      <c r="AG269" s="398">
        <f>IF(AF269=0,0,IF(LEN(U269)=11,_xlfn.XLOOKUP(U269,'Dispensed Ink Rates'!C:C,'Dispensed Ink Rates'!CS:CS),VLOOKUP(U269,'Jan-2026 rates'!$E:$F,2,0)))</f>
        <v>0</v>
      </c>
      <c r="AH269" s="404"/>
      <c r="AI269" s="398">
        <f>IF(AH269=0,0,IF(LEN(V269)=11,_xlfn.XLOOKUP(V269,'Dispensed Ink Rates'!C:C,'Dispensed Ink Rates'!CS:CS),VLOOKUP(V269,'Jan-2026 rates'!$E:$F,2,0)))</f>
        <v>0</v>
      </c>
      <c r="AJ269" s="404"/>
      <c r="AK269" s="398">
        <f>IF(AJ269=0,0,IF(LEN(W269)=11,_xlfn.XLOOKUP(W269,'Dispensed Ink Rates'!C:C,'Dispensed Ink Rates'!CS:CS),VLOOKUP(W269,'Jan-2026 rates'!$E:$F,2,0)))</f>
        <v>0</v>
      </c>
      <c r="AL269" s="404"/>
      <c r="AM269" s="398">
        <f>IF(AL269=0,0,IF(LEN(X269)=11,_xlfn.XLOOKUP(X269,'Dispensed Ink Rates'!C:C,'Dispensed Ink Rates'!CS:CS),VLOOKUP(X269,'Jan-2026 rates'!$E:$F,2,0)))</f>
        <v>0</v>
      </c>
      <c r="AN269" s="404"/>
      <c r="AO269" s="398">
        <f>IF(AN269=0,0,IF(LEN(Y269)=11,_xlfn.XLOOKUP(Y269,'Dispensed Ink Rates'!C:C,'Dispensed Ink Rates'!CS:CS),VLOOKUP(Y269,'Jan-2026 rates'!$E:$F,2,0)))</f>
        <v>0</v>
      </c>
      <c r="AP269" s="409" t="s">
        <v>1443</v>
      </c>
      <c r="AQ269" s="409">
        <v>24</v>
      </c>
      <c r="AR269" s="410">
        <f t="shared" si="212"/>
        <v>0</v>
      </c>
      <c r="AS269" s="411">
        <f t="shared" si="213"/>
        <v>14.19178082191781</v>
      </c>
      <c r="AT269" s="410">
        <f t="shared" si="214"/>
        <v>0</v>
      </c>
      <c r="AU269" s="405" t="s">
        <v>546</v>
      </c>
      <c r="AV269" s="409" t="s">
        <v>4210</v>
      </c>
      <c r="AW269" s="420" t="str">
        <f t="shared" si="183"/>
        <v>FLINTSL - REFLEX BLUE</v>
      </c>
      <c r="AX269" s="409">
        <v>20</v>
      </c>
      <c r="AY269" s="411">
        <f>IF(AX269=0,0,IF($LB269=70%,VLOOKUP($AW269,'Jan-2026 rates'!$L:$R,4,0),IF($LB269=65%,VLOOKUP($AW269,'Jan-2026 rates'!$L:$R,4,0),IF($LB269=40%,VLOOKUP($AW269,'Jan-2026 rates'!$L:$R,5,0),IF($LB269=30%,VLOOKUP($AW269,'Jan-2026 rates'!$L:$R,6,0),IF($LB269=100%,VLOOKUP($AW269,'Jan-2026 rates'!$L:$R,7,0),IF($LB269=60%,VLOOKUP($AW269,'Jan-2026 rates'!$L:$S,8,0),IF($LB269=80%,VLOOKUP($AW269,'Jan-2026 rates'!L:T,9,0),0))))))))</f>
        <v>0</v>
      </c>
      <c r="AZ269" s="412"/>
      <c r="BA269" s="409"/>
      <c r="BB269" s="411">
        <f>IF(BA269=0,0,IF($LB269=70%,VLOOKUP($AW269,'Jan-2026 rates'!$L:$R,4,0),IF($LB269=65%,VLOOKUP($AW269,'Jan-2026 rates'!$L:$R,4,0),IF($LB269=40%,VLOOKUP($AW269,'Jan-2026 rates'!$L:$R,5,0),IF($LB269=30%,VLOOKUP($AW269,'Jan-2026 rates'!$L:$R,6,0),IF($LB269=100%,VLOOKUP($AW269,'Jan-2026 rates'!$L:$R,7,0),IF($LB269=60%,VLOOKUP($AW269,'Jan-2026 rates'!$L:$S,8,0),IF($LB269=80%,VLOOKUP($AW269,'Jan-2026 rates'!L:T,9,0),0))))))))</f>
        <v>0</v>
      </c>
      <c r="BC269" s="413">
        <v>26520000006</v>
      </c>
      <c r="BD269" s="412">
        <v>26519000015</v>
      </c>
      <c r="BE269" s="412"/>
      <c r="BF269" s="413"/>
      <c r="BG269" s="412"/>
      <c r="BH269" s="412"/>
      <c r="BI269" s="412"/>
      <c r="BJ269" s="412"/>
      <c r="BK269" s="409">
        <v>6</v>
      </c>
      <c r="BL269" s="398" t="e">
        <f>IF(BK269=0,0,IF(LEN(BC269)=11,_xlfn.XLOOKUP(BC269,'Dispensed Ink Rates'!C:C,'Dispensed Ink Rates'!CS:CS),VLOOKUP(BC269,'Jan-2026 rates'!$E:$F,2,0)))</f>
        <v>#N/A</v>
      </c>
      <c r="BM269" s="409">
        <v>4</v>
      </c>
      <c r="BN269" s="398" t="e">
        <f>IF(BM269=0,0,IF(LEN(BD269)=11,_xlfn.XLOOKUP(BD269,'Dispensed Ink Rates'!C:C,'Dispensed Ink Rates'!CS:CS),VLOOKUP(BD269,'Jan-2026 rates'!$E:$F,2,0)))</f>
        <v>#N/A</v>
      </c>
      <c r="BO269" s="409"/>
      <c r="BP269" s="398">
        <f>IF(BO269=0,0,IF(LEN(BE269)=11,_xlfn.XLOOKUP(BE269,'Dispensed Ink Rates'!C:C,'Dispensed Ink Rates'!CS:CS),VLOOKUP(BE269,'Jan-2026 rates'!$E:$F,2,0)))</f>
        <v>0</v>
      </c>
      <c r="BQ269" s="409"/>
      <c r="BR269" s="398">
        <f>IF(BQ269=0,0,IF(LEN(BF269)=11,_xlfn.XLOOKUP(BF269,'Dispensed Ink Rates'!C:C,'Dispensed Ink Rates'!CS:CS),VLOOKUP(BF269,'Jan-2026 rates'!$E:$F,2,0)))</f>
        <v>0</v>
      </c>
      <c r="BS269" s="409"/>
      <c r="BT269" s="398">
        <f>IF(BS269=0,0,IF(LEN(BG269)=11,_xlfn.XLOOKUP(BG269,'Dispensed Ink Rates'!C:C,'Dispensed Ink Rates'!CS:CS),VLOOKUP(BG269,'Jan-2026 rates'!$E:$F,2,0)))</f>
        <v>0</v>
      </c>
      <c r="BU269" s="409"/>
      <c r="BV269" s="398">
        <f>IF(BU269=0,0,IF(LEN(BH269)=11,_xlfn.XLOOKUP(BH269,'Dispensed Ink Rates'!C:C,'Dispensed Ink Rates'!CS:CS),VLOOKUP(BH269,'Jan-2026 rates'!$E:$F,2,0)))</f>
        <v>0</v>
      </c>
      <c r="BW269" s="409"/>
      <c r="BX269" s="398">
        <f>IF(BW269=0,0,IF(LEN(BI269)=11,_xlfn.XLOOKUP(BI269,'Dispensed Ink Rates'!C:C,'Dispensed Ink Rates'!CS:CS),VLOOKUP(BI269,'Jan-2026 rates'!$E:$F,2,0)))</f>
        <v>0</v>
      </c>
      <c r="BY269" s="409"/>
      <c r="BZ269" s="398">
        <f>IF(BY269=0,0,IF(LEN(BJ269)=11,_xlfn.XLOOKUP(BJ269,'Dispensed Ink Rates'!C:C,'Dispensed Ink Rates'!CS:CS),VLOOKUP(BJ269,'Jan-2026 rates'!$E:$F,2,0)))</f>
        <v>0</v>
      </c>
      <c r="CA269" s="409" t="s">
        <v>1443</v>
      </c>
      <c r="CB269" s="409">
        <v>25</v>
      </c>
      <c r="CC269" s="411">
        <f t="shared" si="215"/>
        <v>0</v>
      </c>
      <c r="CD269" s="411">
        <f t="shared" si="216"/>
        <v>12.19178082191781</v>
      </c>
      <c r="CE269" s="410">
        <f t="shared" si="217"/>
        <v>0</v>
      </c>
      <c r="CF269" s="404" t="s">
        <v>546</v>
      </c>
      <c r="CG269" s="409" t="s">
        <v>4209</v>
      </c>
      <c r="CH269" s="420" t="str">
        <f t="shared" si="185"/>
        <v>FLINTSL - REFLEX BLUE</v>
      </c>
      <c r="CI269" s="409">
        <v>20</v>
      </c>
      <c r="CJ269" s="411">
        <f>IF(CI269=0,0,IF($LB269=70%,VLOOKUP($CH269,'Jan-2026 rates'!$L:$R,4,0),IF($LB269=65%,VLOOKUP($CH269,'Jan-2026 rates'!$L:$R,4,0),IF($LB269=40%,VLOOKUP($CH269,'Jan-2026 rates'!$L:$R,5,0),IF($LB269=30%,VLOOKUP($CH269,'Jan-2026 rates'!$L:$R,6,0),IF($LB269=100%,VLOOKUP($CH269,'Jan-2026 rates'!$L:$R,7,0),IF($LB269=60%,VLOOKUP($CH269,'Jan-2026 rates'!$L:$S,8,0),IF($LB269=80%,VLOOKUP($CH269,'Jan-2026 rates'!L:T,9,0),0))))))))</f>
        <v>0</v>
      </c>
      <c r="CK269" s="412"/>
      <c r="CL269" s="409"/>
      <c r="CM269" s="411">
        <f>IF(CL269=0,0,IF($LB269=70%,VLOOKUP($CH269,'Jan-2026 rates'!$L:$R,4,0),IF($LB269=65%,VLOOKUP($CH269,'Jan-2026 rates'!$L:$R,4,0),IF($LB269=40%,VLOOKUP($CH269,'Jan-2026 rates'!$L:$R,5,0),IF($LB269=30%,VLOOKUP($CH269,'Jan-2026 rates'!$L:$R,6,0),IF($LB269=100%,VLOOKUP($CH269,'Jan-2026 rates'!$L:$R,7,0),IF($LB269=60%,VLOOKUP($CH269,'Jan-2026 rates'!$L:$S,8,0),IF($LB269=80%,VLOOKUP($CH269,'Jan-2026 rates'!L:T,9,0),0))))))))</f>
        <v>0</v>
      </c>
      <c r="CN269" s="426" t="s">
        <v>1266</v>
      </c>
      <c r="CO269" s="427">
        <v>26519000014</v>
      </c>
      <c r="CP269" s="426"/>
      <c r="CQ269" s="426"/>
      <c r="CR269" s="428"/>
      <c r="CS269" s="428"/>
      <c r="CT269" s="428"/>
      <c r="CU269" s="428"/>
      <c r="CV269" s="409">
        <v>15</v>
      </c>
      <c r="CW269" s="398">
        <f>IF(CV269=0,0,IF(LEN(CN269)=11,_xlfn.XLOOKUP(CN269,'Dispensed Ink Rates'!C:C,'Dispensed Ink Rates'!CS:CS),VLOOKUP(CN269,'Jan-2026 rates'!$E:$F,2,0)))</f>
        <v>0</v>
      </c>
      <c r="CX269" s="409">
        <f>1+1</f>
        <v>2</v>
      </c>
      <c r="CY269" s="398" t="e">
        <f>IF(CX269=0,0,IF(LEN(CO269)=11,_xlfn.XLOOKUP(CO269,'Dispensed Ink Rates'!C:C,'Dispensed Ink Rates'!CS:CS),VLOOKUP(CO269,'Jan-2026 rates'!$E:$F,2,0)))</f>
        <v>#N/A</v>
      </c>
      <c r="CZ269" s="409"/>
      <c r="DA269" s="398">
        <f>IF(CZ269=0,0,IF(LEN(CP269)=11,_xlfn.XLOOKUP(CP269,'Dispensed Ink Rates'!C:C,'Dispensed Ink Rates'!CS:CS),VLOOKUP(CP269,'Jan-2026 rates'!$E:$F,2,0)))</f>
        <v>0</v>
      </c>
      <c r="DB269" s="409"/>
      <c r="DC269" s="398">
        <f>IF(DB269=0,0,IF(LEN(CQ269)=11,_xlfn.XLOOKUP(CQ269,'Dispensed Ink Rates'!C:C,'Dispensed Ink Rates'!CS:CS),VLOOKUP(CQ269,'Jan-2026 rates'!$E:$F,2,0)))</f>
        <v>0</v>
      </c>
      <c r="DD269" s="409"/>
      <c r="DE269" s="398">
        <f>IF(DD269=0,0,IF(LEN(CR269)=11,_xlfn.XLOOKUP(CR269,'Dispensed Ink Rates'!C:C,'Dispensed Ink Rates'!CS:CS),VLOOKUP(CR269,'Jan-2026 rates'!$E:$F,2,0)))</f>
        <v>0</v>
      </c>
      <c r="DF269" s="409"/>
      <c r="DG269" s="398">
        <f>IF(DF269=0,0,IF(LEN(CS269)=11,_xlfn.XLOOKUP(CS269,'Dispensed Ink Rates'!C:C,'Dispensed Ink Rates'!CS:CS),VLOOKUP(CS269,'Jan-2026 rates'!$E:$F,2,0)))</f>
        <v>0</v>
      </c>
      <c r="DH269" s="409"/>
      <c r="DI269" s="398">
        <f>IF(DH269=0,0,IF(LEN(CT269)=11,_xlfn.XLOOKUP(CT269,'Dispensed Ink Rates'!C:C,'Dispensed Ink Rates'!CS:CS),VLOOKUP(CT269,'Jan-2026 rates'!$E:$F,2,0)))</f>
        <v>0</v>
      </c>
      <c r="DJ269" s="409"/>
      <c r="DK269" s="398">
        <f>IF(DJ269=0,0,IF(LEN(CU269)=11,_xlfn.XLOOKUP(CU269,'Dispensed Ink Rates'!C:C,'Dispensed Ink Rates'!CS:CS),VLOOKUP(CU269,'Jan-2026 rates'!$E:$F,2,0)))</f>
        <v>0</v>
      </c>
      <c r="DL269" s="409" t="s">
        <v>1443</v>
      </c>
      <c r="DM269" s="409">
        <v>20</v>
      </c>
      <c r="DN269" s="411">
        <f t="shared" si="218"/>
        <v>0</v>
      </c>
      <c r="DO269" s="411">
        <f t="shared" si="219"/>
        <v>31.38356164383562</v>
      </c>
      <c r="DP269" s="410">
        <f t="shared" si="220"/>
        <v>0</v>
      </c>
      <c r="DQ269" s="405" t="s">
        <v>855</v>
      </c>
      <c r="DR269" s="409" t="s">
        <v>4133</v>
      </c>
      <c r="DS269" s="420" t="str">
        <f t="shared" si="186"/>
        <v>FLINTSL - CYAN</v>
      </c>
      <c r="DT269" s="409">
        <v>15</v>
      </c>
      <c r="DU269" s="411">
        <f>IF(DT269=0,0,IF($LB269=70%,VLOOKUP($DS269,'Jan-2026 rates'!$L:$R,4,0),IF($LB269=65%,VLOOKUP($DS269,'Jan-2026 rates'!$L:$R,4,0),IF($LB269=40%,VLOOKUP($DS269,'Jan-2026 rates'!$L:$R,5,0),IF($LB269=30%,VLOOKUP($DS269,'Jan-2026 rates'!$L:$R,6,0),IF($LB269=100%,VLOOKUP($DS269,'Jan-2026 rates'!$L:$R,7,0),IF($LB269=60%,VLOOKUP($DS269,'Jan-2026 rates'!$L:$S,8,0),IF($LB269=80%,VLOOKUP($DS269,'Jan-2026 rates'!L:T,9,0),0))))))))</f>
        <v>0</v>
      </c>
      <c r="DV269" s="412"/>
      <c r="DW269" s="409"/>
      <c r="DX269" s="411">
        <f>IF(DW269=0,0,IF($LB269=70%,VLOOKUP($DS269,'Jan-2026 rates'!$L:$R,4,0),IF($LB269=65%,VLOOKUP($DS269,'Jan-2026 rates'!$L:$R,4,0),IF($LB269=40%,VLOOKUP($DS269,'Jan-2026 rates'!$L:$R,5,0),IF($LB269=30%,VLOOKUP($DS269,'Jan-2026 rates'!$L:$R,6,0),IF($LB269=100%,VLOOKUP($DS269,'Jan-2026 rates'!$L:$R,7,0),IF($LB269=60%,VLOOKUP($DS269,'Jan-2026 rates'!$L:$S,8,0),IF($LB269=80%,VLOOKUP($DS269,'Jan-2026 rates'!L:T,9,0),0))))))))</f>
        <v>0</v>
      </c>
      <c r="DY269" s="413" t="s">
        <v>1266</v>
      </c>
      <c r="DZ269" s="413">
        <v>26521000006</v>
      </c>
      <c r="EA269" s="412">
        <v>26519000015</v>
      </c>
      <c r="EB269" s="412"/>
      <c r="EC269" s="412"/>
      <c r="ED269" s="412"/>
      <c r="EE269" s="412"/>
      <c r="EF269" s="412"/>
      <c r="EG269" s="409">
        <v>20</v>
      </c>
      <c r="EH269" s="398">
        <f>IF(EG269=0,0,IF(LEN(DY269)=11,_xlfn.XLOOKUP(DY269,'Dispensed Ink Rates'!C:C,'Dispensed Ink Rates'!CS:CS),VLOOKUP(DY269,'Jan-2026 rates'!$E:$F,2,0)))</f>
        <v>0</v>
      </c>
      <c r="EI269" s="409">
        <v>0.2</v>
      </c>
      <c r="EJ269" s="398" t="e">
        <f>IF(EI269=0,0,IF(LEN(DZ269)=11,_xlfn.XLOOKUP(DZ269,'Dispensed Ink Rates'!C:C,'Dispensed Ink Rates'!CS:CS),VLOOKUP(DZ269,'Jan-2026 rates'!$E:$F,2,0)))</f>
        <v>#N/A</v>
      </c>
      <c r="EK269" s="409">
        <v>2</v>
      </c>
      <c r="EL269" s="398" t="e">
        <f>IF(EK269=0,0,IF(LEN(EA269)=11,_xlfn.XLOOKUP(EA269,'Dispensed Ink Rates'!C:C,'Dispensed Ink Rates'!CS:CS),VLOOKUP(EA269,'Jan-2026 rates'!$E:$F,2,0)))</f>
        <v>#N/A</v>
      </c>
      <c r="EM269" s="409"/>
      <c r="EN269" s="398">
        <f>IF(EM269=0,0,IF(LEN(EB269)=11,_xlfn.XLOOKUP(EB269,'Dispensed Ink Rates'!C:C,'Dispensed Ink Rates'!CS:CS),VLOOKUP(EB269,'Jan-2026 rates'!$E:$F,2,0)))</f>
        <v>0</v>
      </c>
      <c r="EO269" s="409"/>
      <c r="EP269" s="398">
        <f>IF(EO269=0,0,IF(LEN(EC269)=11,_xlfn.XLOOKUP(EC269,'Dispensed Ink Rates'!C:C,'Dispensed Ink Rates'!CS:CS),VLOOKUP(EC269,'Jan-2026 rates'!$E:$F,2,0)))</f>
        <v>0</v>
      </c>
      <c r="EQ269" s="409"/>
      <c r="ER269" s="398">
        <f>IF(EQ269=0,0,IF(LEN(ED269)=11,_xlfn.XLOOKUP(ED269,'Dispensed Ink Rates'!C:C,'Dispensed Ink Rates'!CS:CS),VLOOKUP(ED269,'Jan-2026 rates'!$E:$F,2,0)))</f>
        <v>0</v>
      </c>
      <c r="ES269" s="409"/>
      <c r="ET269" s="398">
        <f>IF(ES269=0,0,IF(LEN(EE269)=11,_xlfn.XLOOKUP(EE269,'Dispensed Ink Rates'!C:C,'Dispensed Ink Rates'!CS:CS),VLOOKUP(EE269,'Jan-2026 rates'!$E:$F,2,0)))</f>
        <v>0</v>
      </c>
      <c r="EU269" s="409"/>
      <c r="EV269" s="398">
        <f>IF(EU269=0,0,IF(LEN(EF269)=11,_xlfn.XLOOKUP(EF269,'Dispensed Ink Rates'!C:C,'Dispensed Ink Rates'!CS:CS),VLOOKUP(EF269,'Jan-2026 rates'!$E:$F,2,0)))</f>
        <v>0</v>
      </c>
      <c r="EW269" s="409" t="s">
        <v>1443</v>
      </c>
      <c r="EX269" s="409">
        <v>22</v>
      </c>
      <c r="EY269" s="411">
        <f t="shared" si="221"/>
        <v>0</v>
      </c>
      <c r="EZ269" s="411">
        <f t="shared" si="222"/>
        <v>33.898630136986299</v>
      </c>
      <c r="FA269" s="410">
        <f t="shared" si="223"/>
        <v>0</v>
      </c>
      <c r="FB269" s="405" t="s">
        <v>855</v>
      </c>
      <c r="FC269" s="409" t="s">
        <v>4211</v>
      </c>
      <c r="FD269" s="420" t="str">
        <f t="shared" si="187"/>
        <v>FLINTSL - CYAN</v>
      </c>
      <c r="FE269" s="409">
        <v>29</v>
      </c>
      <c r="FF269" s="411">
        <f>IF(FE269=0,0,IF($LB269=70%,VLOOKUP($FD269,'Jan-2026 rates'!$L:$R,4,0),IF($LB269=65%,VLOOKUP($FD269,'Jan-2026 rates'!$L:$R,4,0),IF($LB269=40%,VLOOKUP($FD269,'Jan-2026 rates'!$L:$R,5,0),IF($LB269=30%,VLOOKUP($FD269,'Jan-2026 rates'!$L:$R,6,0),IF($LB269=100%,VLOOKUP($FD269,'Jan-2026 rates'!$L:$R,7,0),IF($LB269=60%,VLOOKUP($FD269,'Jan-2026 rates'!$L:$S,8,0),IF($LB269=80%,VLOOKUP($FD269,'Jan-2026 rates'!L:T,9,0),0))))))))</f>
        <v>0</v>
      </c>
      <c r="FG269" s="412"/>
      <c r="FH269" s="409"/>
      <c r="FI269" s="411">
        <f>IF(FH269=0,0,IF($LB269=70%,VLOOKUP($FD269,'Jan-2026 rates'!$L:$R,4,0),IF($LB269=65%,VLOOKUP($FD269,'Jan-2026 rates'!$L:$R,4,0),IF($LB269=40%,VLOOKUP($FD269,'Jan-2026 rates'!$L:$R,5,0),IF($LB269=30%,VLOOKUP($FD269,'Jan-2026 rates'!$L:$R,6,0),IF($LB269=100%,VLOOKUP($FD269,'Jan-2026 rates'!$L:$R,7,0),IF($LB269=60%,VLOOKUP($FD269,'Jan-2026 rates'!$L:$S,8,0),IF($LB269=80%,VLOOKUP($FD269,'Jan-2026 rates'!L:T,9,0),0))))))))</f>
        <v>0</v>
      </c>
      <c r="FJ269" s="413">
        <v>26519000015</v>
      </c>
      <c r="FK269" s="413"/>
      <c r="FL269" s="413"/>
      <c r="FM269" s="412"/>
      <c r="FN269" s="412"/>
      <c r="FO269" s="412"/>
      <c r="FP269" s="412"/>
      <c r="FQ269" s="412"/>
      <c r="FR269" s="409">
        <v>4</v>
      </c>
      <c r="FS269" s="398" t="e">
        <f>IF(FR269=0,0,IF(LEN(FJ269)=11,_xlfn.XLOOKUP(FJ269,'Dispensed Ink Rates'!C:C,'Dispensed Ink Rates'!CS:CS),VLOOKUP(FJ269,'Jan-2026 rates'!$E:$F,2,0)))</f>
        <v>#N/A</v>
      </c>
      <c r="FT269" s="409"/>
      <c r="FU269" s="398">
        <f>IF(FT269=0,0,IF(LEN(FK269)=11,_xlfn.XLOOKUP(FK269,'Dispensed Ink Rates'!C:C,'Dispensed Ink Rates'!CS:CS),VLOOKUP(FK269,'Jan-2026 rates'!$E:$F,2,0)))</f>
        <v>0</v>
      </c>
      <c r="FV269" s="409"/>
      <c r="FW269" s="398">
        <f>IF(FV269=0,0,IF(LEN(FL269)=11,_xlfn.XLOOKUP(FL269,'Dispensed Ink Rates'!C:C,'Dispensed Ink Rates'!CS:CS),VLOOKUP(FL269,'Jan-2026 rates'!$E:$F,2,0)))</f>
        <v>0</v>
      </c>
      <c r="FX269" s="409"/>
      <c r="FY269" s="398">
        <f>IF(FX269=0,0,IF(LEN(FM269)=11,_xlfn.XLOOKUP(FM269,'Dispensed Ink Rates'!C:C,'Dispensed Ink Rates'!CS:CS),VLOOKUP(FM269,'Jan-2026 rates'!$E:$F,2,0)))</f>
        <v>0</v>
      </c>
      <c r="FZ269" s="409"/>
      <c r="GA269" s="398">
        <f>IF(FZ269=0,0,IF(LEN(FN269)=11,_xlfn.XLOOKUP(FN269,'Dispensed Ink Rates'!C:C,'Dispensed Ink Rates'!CS:CS),VLOOKUP(FN269,'Jan-2026 rates'!$E:$F,2,0)))</f>
        <v>0</v>
      </c>
      <c r="GB269" s="409"/>
      <c r="GC269" s="398">
        <f>IF(GB269=0,0,IF(LEN(FO269)=11,_xlfn.XLOOKUP(FO269,'Dispensed Ink Rates'!C:C,'Dispensed Ink Rates'!CS:CS),VLOOKUP(FO269,'Jan-2026 rates'!$E:$F,2,0)))</f>
        <v>0</v>
      </c>
      <c r="GD269" s="409"/>
      <c r="GE269" s="398">
        <f>IF(GD269=0,0,IF(LEN(FP269)=11,_xlfn.XLOOKUP(FP269,'Dispensed Ink Rates'!C:C,'Dispensed Ink Rates'!CS:CS),VLOOKUP(FP269,'Jan-2026 rates'!$E:$F,2,0)))</f>
        <v>0</v>
      </c>
      <c r="GF269" s="409"/>
      <c r="GG269" s="398">
        <f>IF(GF269=0,0,IF(LEN(FQ269)=11,_xlfn.XLOOKUP(FQ269,'Dispensed Ink Rates'!C:C,'Dispensed Ink Rates'!CS:CS),VLOOKUP(FQ269,'Jan-2026 rates'!$E:$F,2,0)))</f>
        <v>0</v>
      </c>
      <c r="GH269" s="409" t="s">
        <v>1443</v>
      </c>
      <c r="GI269" s="409">
        <v>24</v>
      </c>
      <c r="GJ269" s="411">
        <f t="shared" si="224"/>
        <v>0</v>
      </c>
      <c r="GK269" s="411">
        <f t="shared" si="225"/>
        <v>16.19178082191781</v>
      </c>
      <c r="GL269" s="410">
        <f t="shared" si="226"/>
        <v>0</v>
      </c>
      <c r="GM269" s="405" t="s">
        <v>544</v>
      </c>
      <c r="GN269" s="409" t="s">
        <v>4212</v>
      </c>
      <c r="GO269" s="420" t="str">
        <f t="shared" si="188"/>
        <v>FLINTSL - MAGENTA</v>
      </c>
      <c r="GP269" s="409">
        <v>30</v>
      </c>
      <c r="GQ269" s="411">
        <f>IF(GP269=0,0,IF($LB269=70%,VLOOKUP($GO269,'Jan-2026 rates'!$L:$R,4,0),IF($LB269=65%,VLOOKUP($GO269,'Jan-2026 rates'!$L:$R,4,0),IF($LB269=40%,VLOOKUP($GO269,'Jan-2026 rates'!$L:$R,5,0),IF($LB269=30%,VLOOKUP($GO269,'Jan-2026 rates'!$L:$R,6,0),IF($LB269=100%,VLOOKUP($GO269,'Jan-2026 rates'!$L:$R,7,0),IF($LB269=60%,VLOOKUP($GO269,'Jan-2026 rates'!$L:$S,8,0),IF($LB269=80%,VLOOKUP($GO269,'Jan-2026 rates'!L:T,9,0),0))))))))</f>
        <v>0</v>
      </c>
      <c r="GR269" s="412"/>
      <c r="GS269" s="409"/>
      <c r="GT269" s="411">
        <f>IF(GS269=0,0,IF($LB269=70%,VLOOKUP($GO269,'Jan-2026 rates'!$L:$R,4,0),IF($LB269=65%,VLOOKUP($GO269,'Jan-2026 rates'!$L:$R,4,0),IF($LB269=40%,VLOOKUP($GO269,'Jan-2026 rates'!$L:$R,5,0),IF($LB269=30%,VLOOKUP($GO269,'Jan-2026 rates'!$L:$R,6,0),IF($LB269=100%,VLOOKUP($GO269,'Jan-2026 rates'!$L:$R,7,0),IF($LB269=60%,VLOOKUP($GO269,'Jan-2026 rates'!$L:$S,8,0),IF($LB269=80%,VLOOKUP($GO269,'Jan-2026 rates'!L:T,9,0),0))))))))</f>
        <v>0</v>
      </c>
      <c r="GU269" s="413" t="s">
        <v>1266</v>
      </c>
      <c r="GV269" s="413"/>
      <c r="GW269" s="412"/>
      <c r="GX269" s="412"/>
      <c r="GY269" s="412"/>
      <c r="GZ269" s="412"/>
      <c r="HA269" s="412"/>
      <c r="HB269" s="412"/>
      <c r="HC269" s="409">
        <v>4</v>
      </c>
      <c r="HD269" s="398">
        <f>IF(HC269=0,0,IF(LEN(GU269)=11,_xlfn.XLOOKUP(GU269,'Dispensed Ink Rates'!C:C,'Dispensed Ink Rates'!CS:CS),VLOOKUP(GU269,'Jan-2026 rates'!$E:$F,2,0)))</f>
        <v>0</v>
      </c>
      <c r="HE269" s="409"/>
      <c r="HF269" s="398">
        <f>IF(HE269=0,0,IF(LEN(GV269)=11,_xlfn.XLOOKUP(GV269,'Dispensed Ink Rates'!C:C,'Dispensed Ink Rates'!CS:CS),VLOOKUP(GV269,'Jan-2026 rates'!$E:$F,2,0)))</f>
        <v>0</v>
      </c>
      <c r="HG269" s="409"/>
      <c r="HH269" s="398">
        <f>IF(HG269=0,0,IF(LEN(GW269)=11,_xlfn.XLOOKUP(GW269,'Dispensed Ink Rates'!C:C,'Dispensed Ink Rates'!CS:CS),VLOOKUP(GW269,'Jan-2026 rates'!$E:$F,2,0)))</f>
        <v>0</v>
      </c>
      <c r="HI269" s="409"/>
      <c r="HJ269" s="398">
        <f>IF(HI269=0,0,IF(LEN(GX269)=11,_xlfn.XLOOKUP(GX269,'Dispensed Ink Rates'!C:C,'Dispensed Ink Rates'!CS:CS),VLOOKUP(GX269,'Jan-2026 rates'!$E:$F,2,0)))</f>
        <v>0</v>
      </c>
      <c r="HK269" s="409"/>
      <c r="HL269" s="398">
        <f>IF(HK269=0,0,IF(LEN(GY269)=11,_xlfn.XLOOKUP(GY269,'Dispensed Ink Rates'!C:C,'Dispensed Ink Rates'!CS:CS),VLOOKUP(GY269,'Jan-2026 rates'!$E:$F,2,0)))</f>
        <v>0</v>
      </c>
      <c r="HM269" s="409"/>
      <c r="HN269" s="398">
        <f>IF(HM269=0,0,IF(LEN(GZ269)=11,_xlfn.XLOOKUP(GZ269,'Dispensed Ink Rates'!C:C,'Dispensed Ink Rates'!CS:CS),VLOOKUP(GZ269,'Jan-2026 rates'!$E:$F,2,0)))</f>
        <v>0</v>
      </c>
      <c r="HO269" s="409"/>
      <c r="HP269" s="398">
        <f>IF(HO269=0,0,IF(LEN(HA269)=11,_xlfn.XLOOKUP(HA269,'Dispensed Ink Rates'!C:C,'Dispensed Ink Rates'!CS:CS),VLOOKUP(HA269,'Jan-2026 rates'!$E:$F,2,0)))</f>
        <v>0</v>
      </c>
      <c r="HQ269" s="409"/>
      <c r="HR269" s="398">
        <f>IF(HQ269=0,0,IF(LEN(HB269)=11,_xlfn.XLOOKUP(HB269,'Dispensed Ink Rates'!C:C,'Dispensed Ink Rates'!CS:CS),VLOOKUP(HB269,'Jan-2026 rates'!$E:$F,2,0)))</f>
        <v>0</v>
      </c>
      <c r="HS269" s="409" t="s">
        <v>1443</v>
      </c>
      <c r="HT269" s="409">
        <f>24+5</f>
        <v>29</v>
      </c>
      <c r="HU269" s="411">
        <f t="shared" si="227"/>
        <v>0</v>
      </c>
      <c r="HV269" s="411">
        <f t="shared" si="228"/>
        <v>12.19178082191781</v>
      </c>
      <c r="HW269" s="414">
        <f t="shared" si="229"/>
        <v>0</v>
      </c>
      <c r="HX269" s="405" t="s">
        <v>545</v>
      </c>
      <c r="HY269" s="409" t="s">
        <v>4213</v>
      </c>
      <c r="HZ269" s="420" t="str">
        <f t="shared" si="189"/>
        <v>FLINTSL - YELLOW</v>
      </c>
      <c r="IA269" s="409">
        <v>29</v>
      </c>
      <c r="IB269" s="411">
        <f>IF(IA269=0,0,IF($LB269=70%,VLOOKUP($HZ269,'Jan-2026 rates'!$L:$R,4,0),IF($LB269=65%,VLOOKUP($HZ269,'Jan-2026 rates'!$L:$R,4,0),IF($LB269=40%,VLOOKUP($HZ269,'Jan-2026 rates'!$L:$R,5,0),IF($LB269=30%,VLOOKUP($HZ269,'Jan-2026 rates'!$L:$R,6,0),IF($LB269=100%,VLOOKUP($HZ269,'Jan-2026 rates'!$L:$R,7,0),IF($LB269=60%,VLOOKUP($HZ269,'Jan-2026 rates'!$L:$S,8,0),IF($LB269=80%,VLOOKUP($HZ269,'Jan-2026 rates'!L:T,9,0),0))))))))</f>
        <v>0</v>
      </c>
      <c r="IC269" s="412"/>
      <c r="ID269" s="409"/>
      <c r="IE269" s="411">
        <f>IF(ID269=0,0,IF($LB269=70%,VLOOKUP($HZ269,'Jan-2026 rates'!$L:$R,4,0),IF($LB269=65%,VLOOKUP($HZ269,'Jan-2026 rates'!$L:$R,4,0),IF($LB269=40%,VLOOKUP($HZ269,'Jan-2026 rates'!$L:$R,5,0),IF($LB269=30%,VLOOKUP($HZ269,'Jan-2026 rates'!$L:$R,6,0),IF($LB269=100%,VLOOKUP($HZ269,'Jan-2026 rates'!$L:$R,7,0),IF($LB269=60%,VLOOKUP($HZ269,'Jan-2026 rates'!$L:$S,8,0),IF($LB269=80%,VLOOKUP($HZ269,'Jan-2026 rates'!L:T,9,0),0))))))))</f>
        <v>0</v>
      </c>
      <c r="IF269" s="412">
        <v>26522000003</v>
      </c>
      <c r="IG269" s="413" t="s">
        <v>1266</v>
      </c>
      <c r="IH269" s="412"/>
      <c r="II269" s="412"/>
      <c r="IJ269" s="412"/>
      <c r="IK269" s="412"/>
      <c r="IL269" s="412"/>
      <c r="IM269" s="412"/>
      <c r="IN269" s="409">
        <v>6</v>
      </c>
      <c r="IO269" s="398" t="e">
        <f>IF(IN269=0,0,IF(LEN(IF269)=11,_xlfn.XLOOKUP(IF269,'Dispensed Ink Rates'!C:C,'Dispensed Ink Rates'!CS:CS),VLOOKUP(IF269,'Jan-2026 rates'!$E:$F,2,0)))</f>
        <v>#N/A</v>
      </c>
      <c r="IP269" s="409">
        <v>6</v>
      </c>
      <c r="IQ269" s="398">
        <f>IF(IP269=0,0,IF(LEN(IG269)=11,_xlfn.XLOOKUP(IG269,'Dispensed Ink Rates'!C:C,'Dispensed Ink Rates'!CS:CS),VLOOKUP(IG269,'Jan-2026 rates'!$E:$F,2,0)))</f>
        <v>0</v>
      </c>
      <c r="IR269" s="409"/>
      <c r="IS269" s="398">
        <f>IF(IR269=0,0,IF(LEN(IH269)=11,_xlfn.XLOOKUP(IH269,'Dispensed Ink Rates'!C:C,'Dispensed Ink Rates'!CS:CS),VLOOKUP(IH269,'Jan-2026 rates'!$E:$F,2,0)))</f>
        <v>0</v>
      </c>
      <c r="IT269" s="409"/>
      <c r="IU269" s="398">
        <f>IF(IT269=0,0,IF(LEN(II269)=11,_xlfn.XLOOKUP(II269,'Dispensed Ink Rates'!C:C,'Dispensed Ink Rates'!CS:CS),VLOOKUP(II269,'Jan-2026 rates'!$E:$F,2,0)))</f>
        <v>0</v>
      </c>
      <c r="IV269" s="409"/>
      <c r="IW269" s="398">
        <f>IF(IV269=0,0,IF(LEN(IJ269)=11,_xlfn.XLOOKUP(IJ269,'Dispensed Ink Rates'!C:C,'Dispensed Ink Rates'!CS:CS),VLOOKUP(IJ269,'Jan-2026 rates'!$E:$F,2,0)))</f>
        <v>0</v>
      </c>
      <c r="IX269" s="409"/>
      <c r="IY269" s="398">
        <f>IF(IX269=0,0,IF(LEN(IK269)=11,_xlfn.XLOOKUP(IK269,'Dispensed Ink Rates'!C:C,'Dispensed Ink Rates'!CS:CS),VLOOKUP(IK269,'Jan-2026 rates'!$E:$F,2,0)))</f>
        <v>0</v>
      </c>
      <c r="IZ269" s="409"/>
      <c r="JA269" s="398">
        <f>IF(IZ269=0,0,IF(LEN(IL269)=11,_xlfn.XLOOKUP(IL269,'Dispensed Ink Rates'!C:C,'Dispensed Ink Rates'!CS:CS),VLOOKUP(IL269,'Jan-2026 rates'!$E:$F,2,0)))</f>
        <v>0</v>
      </c>
      <c r="JB269" s="409"/>
      <c r="JC269" s="398">
        <f>IF(JB269=0,0,IF(LEN(IM269)=11,_xlfn.XLOOKUP(IM269,'Dispensed Ink Rates'!C:C,'Dispensed Ink Rates'!CS:CS),VLOOKUP(IM269,'Jan-2026 rates'!$E:$F,2,0)))</f>
        <v>0</v>
      </c>
      <c r="JD269" s="409" t="s">
        <v>1443</v>
      </c>
      <c r="JE269" s="409">
        <v>30</v>
      </c>
      <c r="JF269" s="411">
        <f t="shared" si="230"/>
        <v>0</v>
      </c>
      <c r="JG269" s="411">
        <f t="shared" si="231"/>
        <v>18.19178082191781</v>
      </c>
      <c r="JH269" s="410">
        <f t="shared" si="232"/>
        <v>0</v>
      </c>
      <c r="JI269" s="405" t="s">
        <v>856</v>
      </c>
      <c r="JJ269" s="409" t="s">
        <v>4214</v>
      </c>
      <c r="JK269" s="420" t="str">
        <f t="shared" si="190"/>
        <v>FLINTSL - WHITE</v>
      </c>
      <c r="JL269" s="409">
        <v>29</v>
      </c>
      <c r="JM269" s="411">
        <f>IF(JL269=0,0,IF($LB269=70%,VLOOKUP($JK269,'Jan-2026 rates'!$L:$R,4,0),IF($LB269=65%,VLOOKUP($JK269,'Jan-2026 rates'!$L:$R,4,0),IF($LB269=40%,VLOOKUP($JK269,'Jan-2026 rates'!$L:$R,5,0),IF($LB269=30%,VLOOKUP($JK269,'Jan-2026 rates'!$L:$R,6,0),IF($LB269=100%,VLOOKUP($JK269,'Jan-2026 rates'!$L:$R,7,0),IF($LB269=60%,VLOOKUP($JK269,'Jan-2026 rates'!$L:$S,8,0),IF($LB269=80%,VLOOKUP($JK269,'Jan-2026 rates'!L:T,9,0),0))))))))</f>
        <v>0</v>
      </c>
      <c r="JN269" s="412"/>
      <c r="JO269" s="409"/>
      <c r="JP269" s="411">
        <f>IF(JO269=0,0,IF($LB269=70%,VLOOKUP($JK269,'Jan-2026 rates'!$L:$R,4,0),IF($LB269=65%,VLOOKUP($JK269,'Jan-2026 rates'!$L:$R,4,0),IF($LB269=40%,VLOOKUP($JK269,'Jan-2026 rates'!$L:$R,5,0),IF($LB269=30%,VLOOKUP($JK269,'Jan-2026 rates'!$L:$R,6,0),IF($LB269=100%,VLOOKUP($JK269,'Jan-2026 rates'!$L:$R,7,0),IF($LB269=60%,VLOOKUP($JK269,'Jan-2026 rates'!$L:$S,8,0),IF($LB269=80%,VLOOKUP($JK269,'Jan-2026 rates'!L:T,9,0),0))))))))</f>
        <v>0</v>
      </c>
      <c r="JQ269" s="413" t="s">
        <v>484</v>
      </c>
      <c r="JR269" s="412"/>
      <c r="JS269" s="413"/>
      <c r="JT269" s="413"/>
      <c r="JU269" s="412"/>
      <c r="JV269" s="412"/>
      <c r="JW269" s="412"/>
      <c r="JX269" s="412"/>
      <c r="JY269" s="409">
        <f>25+15</f>
        <v>40</v>
      </c>
      <c r="JZ269" s="398">
        <f>IF(JY269=0,0,IF(LEN(JQ269)=11,_xlfn.XLOOKUP(JQ269,'Dispensed Ink Rates'!C:C,'Dispensed Ink Rates'!CS:CS),VLOOKUP(JQ269,'Jan-2026 rates'!$E:$F,2,0)))</f>
        <v>0</v>
      </c>
      <c r="KA269" s="409"/>
      <c r="KB269" s="398">
        <f>IF(KA269=0,0,IF(LEN(JR269)=11,_xlfn.XLOOKUP(JR269,'Dispensed Ink Rates'!C:C,'Dispensed Ink Rates'!CS:CS),VLOOKUP(JR269,'Jan-2026 rates'!$E:$F,2,0)))</f>
        <v>0</v>
      </c>
      <c r="KC269" s="409"/>
      <c r="KD269" s="398">
        <f>IF(KC269=0,0,IF(LEN(JS269)=11,_xlfn.XLOOKUP(JS269,'Dispensed Ink Rates'!C:C,'Dispensed Ink Rates'!CS:CS),VLOOKUP(JS269,'Jan-2026 rates'!$E:$F,2,0)))</f>
        <v>0</v>
      </c>
      <c r="KE269" s="409"/>
      <c r="KF269" s="398">
        <f>IF(KE269=0,0,IF(LEN(JT269)=11,_xlfn.XLOOKUP(JT269,'Dispensed Ink Rates'!C:C,'Dispensed Ink Rates'!CS:CS),VLOOKUP(JT269,'Jan-2026 rates'!$E:$F,2,0)))</f>
        <v>0</v>
      </c>
      <c r="KG269" s="409"/>
      <c r="KH269" s="398">
        <f>IF(KG269=0,0,IF(LEN(JU269)=11,_xlfn.XLOOKUP(JU269,'Dispensed Ink Rates'!C:C,'Dispensed Ink Rates'!CS:CS),VLOOKUP(JU269,'Jan-2026 rates'!$E:$F,2,0)))</f>
        <v>0</v>
      </c>
      <c r="KI269" s="409"/>
      <c r="KJ269" s="398">
        <f>IF(KI269=0,0,IF(LEN(JV269)=11,_xlfn.XLOOKUP(JV269,'Dispensed Ink Rates'!C:C,'Dispensed Ink Rates'!CS:CS),VLOOKUP(JV269,'Jan-2026 rates'!$E:$F,2,0)))</f>
        <v>0</v>
      </c>
      <c r="KK269" s="409"/>
      <c r="KL269" s="398">
        <f>IF(KK269=0,0,IF(LEN(JW269)=11,_xlfn.XLOOKUP(JW269,'Dispensed Ink Rates'!C:C,'Dispensed Ink Rates'!CS:CS),VLOOKUP(JW269,'Jan-2026 rates'!$E:$F,2,0)))</f>
        <v>0</v>
      </c>
      <c r="KM269" s="428"/>
      <c r="KN269" s="398">
        <f>IF(KM269=0,0,IF(LEN(JX269)=11,_xlfn.XLOOKUP(JX269,'Dispensed Ink Rates'!C:C,'Dispensed Ink Rates'!CS:CS),VLOOKUP(JX269,'Jan-2026 rates'!$E:$F,2,0)))</f>
        <v>0</v>
      </c>
      <c r="KO269" s="409" t="s">
        <v>1443</v>
      </c>
      <c r="KP269" s="409">
        <v>24</v>
      </c>
      <c r="KQ269" s="411">
        <f t="shared" si="233"/>
        <v>0</v>
      </c>
      <c r="KR269" s="411">
        <f t="shared" si="234"/>
        <v>80.958904109589042</v>
      </c>
      <c r="KS269" s="410">
        <f t="shared" si="235"/>
        <v>0</v>
      </c>
      <c r="KT269" s="409">
        <v>5</v>
      </c>
      <c r="KU269" s="409">
        <v>5</v>
      </c>
      <c r="KV269" s="409">
        <v>10</v>
      </c>
      <c r="KW269" s="409">
        <f>8+5</f>
        <v>13</v>
      </c>
      <c r="KX269" s="409">
        <v>5</v>
      </c>
      <c r="KY269" s="409">
        <v>5</v>
      </c>
      <c r="KZ269" s="409">
        <v>5</v>
      </c>
      <c r="LA269" s="409">
        <f>15+10</f>
        <v>25</v>
      </c>
      <c r="LB269" s="415">
        <v>0.8</v>
      </c>
      <c r="LC269" s="415">
        <v>0.2</v>
      </c>
      <c r="LD269" s="415"/>
      <c r="LE269" s="415"/>
      <c r="LF269" s="415"/>
      <c r="LG269" s="409">
        <v>0</v>
      </c>
      <c r="LH269" s="409">
        <f>25+20+48+12</f>
        <v>105</v>
      </c>
      <c r="LI269" s="409">
        <v>0</v>
      </c>
      <c r="LJ269" s="409">
        <v>0</v>
      </c>
      <c r="LK269" s="416">
        <f t="shared" si="191"/>
        <v>105</v>
      </c>
      <c r="LL269" s="416">
        <f t="shared" si="192"/>
        <v>105</v>
      </c>
      <c r="LM269" s="417">
        <f t="shared" si="193"/>
        <v>84</v>
      </c>
      <c r="LN269" s="417">
        <f>VLOOKUP($LM$8,'Jan-2026 rates'!$H:$I,2,0)</f>
        <v>0</v>
      </c>
      <c r="LO269" s="417">
        <f t="shared" si="194"/>
        <v>21</v>
      </c>
      <c r="LP269" s="417">
        <f>VLOOKUP($LO$8,'Jan-2026 rates'!$H:$I,2,0)</f>
        <v>0</v>
      </c>
      <c r="LQ269" s="417">
        <f t="shared" si="195"/>
        <v>0</v>
      </c>
      <c r="LR269" s="417">
        <f>VLOOKUP($LQ$8,'Jan-2026 rates'!$H:$I,2,0)</f>
        <v>0</v>
      </c>
      <c r="LS269" s="417">
        <f t="shared" si="196"/>
        <v>0</v>
      </c>
      <c r="LT269" s="417">
        <f>VLOOKUP($LS$8,'Jan-2026 rates'!$H:$I,2,0)</f>
        <v>0</v>
      </c>
      <c r="LU269" s="417">
        <f t="shared" si="197"/>
        <v>0</v>
      </c>
      <c r="LV269" s="417">
        <f>VLOOKUP($LU$8,'Jan-2026 rates'!$H:$I,2,0)</f>
        <v>0</v>
      </c>
      <c r="LW269" s="417">
        <f t="shared" si="198"/>
        <v>0</v>
      </c>
      <c r="LX269" s="417">
        <f t="shared" si="199"/>
        <v>0</v>
      </c>
      <c r="LY269" s="418">
        <f t="shared" si="200"/>
        <v>0</v>
      </c>
      <c r="LZ269" s="417"/>
      <c r="MA269" s="435">
        <f t="shared" si="201"/>
        <v>111.2</v>
      </c>
      <c r="MB269" s="282">
        <f t="shared" si="202"/>
        <v>219.2</v>
      </c>
      <c r="MC269" s="283">
        <v>162</v>
      </c>
      <c r="MD269" s="284" t="str">
        <f t="shared" si="203"/>
        <v>FLINTSLFLINTSLFLINTSLFLINTSLFLINTSLFLINTSLFLINTSLFLINTSL</v>
      </c>
      <c r="ME269" s="293" t="str">
        <f t="shared" si="204"/>
        <v>+</v>
      </c>
      <c r="MF269" s="293" t="str">
        <f t="shared" si="205"/>
        <v>+</v>
      </c>
      <c r="MG269" s="293" t="str">
        <f t="shared" si="206"/>
        <v>+</v>
      </c>
      <c r="MH269" s="293" t="str">
        <f t="shared" si="207"/>
        <v>+</v>
      </c>
      <c r="MI269" s="293" t="str">
        <f t="shared" si="208"/>
        <v>+</v>
      </c>
      <c r="MJ269" s="293" t="str">
        <f t="shared" si="209"/>
        <v>+</v>
      </c>
      <c r="MK269" s="293" t="str">
        <f t="shared" si="210"/>
        <v>+</v>
      </c>
      <c r="ML269" s="293" t="str">
        <f t="shared" si="211"/>
        <v>+</v>
      </c>
      <c r="MM269" s="3" t="b">
        <f t="array" ref="MM269">OR(ME269:ML269="-")</f>
        <v>0</v>
      </c>
      <c r="MN269" s="285"/>
      <c r="MO269" s="401"/>
      <c r="MP269" s="286"/>
      <c r="MQ269" s="286"/>
      <c r="MR269" s="402"/>
      <c r="MS269" s="400"/>
      <c r="NH269" s="422"/>
      <c r="NJ269" s="421"/>
    </row>
    <row r="270" spans="1:374" s="1" customFormat="1" ht="16.5">
      <c r="A270" s="403">
        <v>46043</v>
      </c>
      <c r="B270" s="404" t="s">
        <v>1015</v>
      </c>
      <c r="C270" s="405" t="s">
        <v>4215</v>
      </c>
      <c r="D270" s="406">
        <v>163</v>
      </c>
      <c r="E270" s="404">
        <v>612</v>
      </c>
      <c r="F270" s="407">
        <v>7200</v>
      </c>
      <c r="G270" s="407" t="s">
        <v>1019</v>
      </c>
      <c r="H270" s="408" t="s">
        <v>1017</v>
      </c>
      <c r="I270" s="409">
        <v>1.68</v>
      </c>
      <c r="J270" s="405" t="s">
        <v>543</v>
      </c>
      <c r="K270" s="404" t="s">
        <v>4216</v>
      </c>
      <c r="L270" s="419" t="str">
        <f t="shared" si="184"/>
        <v>FLINTSL - BLACK</v>
      </c>
      <c r="M270" s="404">
        <v>24</v>
      </c>
      <c r="N270" s="410">
        <f>IF(M270=0,0,IF($LB270=70%,VLOOKUP($L270,'Jan-2026 rates'!$L:$R,4,0),IF($LB270=65%,VLOOKUP($L270,'Jan-2026 rates'!$L:$R,4,0),IF($LB270=40%,VLOOKUP($L270,'Jan-2026 rates'!$L:$R,5,0),IF($LB270=30%,VLOOKUP($L270,'Jan-2026 rates'!$L:$R,6,0),IF($LB270=100%,VLOOKUP($L270,'Jan-2026 rates'!$L:$R,7,0),IF($LB270=60%,VLOOKUP($L270,'Jan-2026 rates'!$L:$S,8,0),IF($LB270=80%,VLOOKUP($L270,'Jan-2026 rates'!L:T,9,0),0))))))))</f>
        <v>0</v>
      </c>
      <c r="O270" s="406"/>
      <c r="P270" s="404"/>
      <c r="Q270" s="410">
        <f>IF(P270=0,0,IF($LB270=70%,VLOOKUP($L270,'Jan-2026 rates'!$L:$R,4,0),IF($LB270=65%,VLOOKUP($L270,'Jan-2026 rates'!$L:$R,4,0),IF($LB270=40%,VLOOKUP($L270,'Jan-2026 rates'!$L:$R,5,0),IF($LB270=30%,VLOOKUP($L270,'Jan-2026 rates'!$L:$R,6,0),IF($LB270=100%,VLOOKUP($L270,'Jan-2026 rates'!$L:$R,7,0),IF($LB270=60%,VLOOKUP($L270,'Jan-2026 rates'!$L:$S,8,0),IF($LB270=80%,VLOOKUP($L270,'Jan-2026 rates'!L:T,9,0),0))))))))</f>
        <v>0</v>
      </c>
      <c r="R270" s="406">
        <v>26519000028</v>
      </c>
      <c r="S270" s="406"/>
      <c r="T270" s="406"/>
      <c r="U270" s="406"/>
      <c r="V270" s="406"/>
      <c r="W270" s="406"/>
      <c r="X270" s="406"/>
      <c r="Y270" s="406"/>
      <c r="Z270" s="404">
        <v>2</v>
      </c>
      <c r="AA270" s="398" t="e">
        <f>IF(Z270=0,0,IF(LEN(R270)=11,_xlfn.XLOOKUP(R270,'Dispensed Ink Rates'!C:C,'Dispensed Ink Rates'!CS:CS),VLOOKUP(R270,'Jan-2026 rates'!$E:$F,2,0)))</f>
        <v>#N/A</v>
      </c>
      <c r="AB270" s="404"/>
      <c r="AC270" s="398">
        <f>IF(AB270=0,0,IF(LEN(S270)=11,_xlfn.XLOOKUP(S270,'Dispensed Ink Rates'!C:C,'Dispensed Ink Rates'!CS:CS),VLOOKUP(S270,'Jan-2026 rates'!$E:$F,2,0)))</f>
        <v>0</v>
      </c>
      <c r="AD270" s="404"/>
      <c r="AE270" s="398">
        <f>IF(AD270=0,0,IF(LEN(T270)=11,_xlfn.XLOOKUP(T270,'Dispensed Ink Rates'!C:C,'Dispensed Ink Rates'!CS:CS),VLOOKUP(T270,'Jan-2026 rates'!$E:$F,2,0)))</f>
        <v>0</v>
      </c>
      <c r="AF270" s="404"/>
      <c r="AG270" s="398">
        <f>IF(AF270=0,0,IF(LEN(U270)=11,_xlfn.XLOOKUP(U270,'Dispensed Ink Rates'!C:C,'Dispensed Ink Rates'!CS:CS),VLOOKUP(U270,'Jan-2026 rates'!$E:$F,2,0)))</f>
        <v>0</v>
      </c>
      <c r="AH270" s="404"/>
      <c r="AI270" s="398">
        <f>IF(AH270=0,0,IF(LEN(V270)=11,_xlfn.XLOOKUP(V270,'Dispensed Ink Rates'!C:C,'Dispensed Ink Rates'!CS:CS),VLOOKUP(V270,'Jan-2026 rates'!$E:$F,2,0)))</f>
        <v>0</v>
      </c>
      <c r="AJ270" s="404"/>
      <c r="AK270" s="398">
        <f>IF(AJ270=0,0,IF(LEN(W270)=11,_xlfn.XLOOKUP(W270,'Dispensed Ink Rates'!C:C,'Dispensed Ink Rates'!CS:CS),VLOOKUP(W270,'Jan-2026 rates'!$E:$F,2,0)))</f>
        <v>0</v>
      </c>
      <c r="AL270" s="404"/>
      <c r="AM270" s="398">
        <f>IF(AL270=0,0,IF(LEN(X270)=11,_xlfn.XLOOKUP(X270,'Dispensed Ink Rates'!C:C,'Dispensed Ink Rates'!CS:CS),VLOOKUP(X270,'Jan-2026 rates'!$E:$F,2,0)))</f>
        <v>0</v>
      </c>
      <c r="AN270" s="404"/>
      <c r="AO270" s="398">
        <f>IF(AN270=0,0,IF(LEN(Y270)=11,_xlfn.XLOOKUP(Y270,'Dispensed Ink Rates'!C:C,'Dispensed Ink Rates'!CS:CS),VLOOKUP(Y270,'Jan-2026 rates'!$E:$F,2,0)))</f>
        <v>0</v>
      </c>
      <c r="AP270" s="409" t="s">
        <v>1443</v>
      </c>
      <c r="AQ270" s="409">
        <v>24</v>
      </c>
      <c r="AR270" s="410">
        <f t="shared" si="212"/>
        <v>0</v>
      </c>
      <c r="AS270" s="411">
        <f t="shared" si="213"/>
        <v>7.0833333333333321</v>
      </c>
      <c r="AT270" s="410">
        <f t="shared" si="214"/>
        <v>0</v>
      </c>
      <c r="AU270" s="405" t="s">
        <v>546</v>
      </c>
      <c r="AV270" s="409" t="s">
        <v>4217</v>
      </c>
      <c r="AW270" s="420" t="str">
        <f t="shared" si="183"/>
        <v>FLINTSL - REFLEX BLUE</v>
      </c>
      <c r="AX270" s="409">
        <v>25</v>
      </c>
      <c r="AY270" s="411">
        <f>IF(AX270=0,0,IF($LB270=70%,VLOOKUP($AW270,'Jan-2026 rates'!$L:$R,4,0),IF($LB270=65%,VLOOKUP($AW270,'Jan-2026 rates'!$L:$R,4,0),IF($LB270=40%,VLOOKUP($AW270,'Jan-2026 rates'!$L:$R,5,0),IF($LB270=30%,VLOOKUP($AW270,'Jan-2026 rates'!$L:$R,6,0),IF($LB270=100%,VLOOKUP($AW270,'Jan-2026 rates'!$L:$R,7,0),IF($LB270=60%,VLOOKUP($AW270,'Jan-2026 rates'!$L:$S,8,0),IF($LB270=80%,VLOOKUP($AW270,'Jan-2026 rates'!L:T,9,0),0))))))))</f>
        <v>0</v>
      </c>
      <c r="AZ270" s="412"/>
      <c r="BA270" s="409"/>
      <c r="BB270" s="411">
        <f>IF(BA270=0,0,IF($LB270=70%,VLOOKUP($AW270,'Jan-2026 rates'!$L:$R,4,0),IF($LB270=65%,VLOOKUP($AW270,'Jan-2026 rates'!$L:$R,4,0),IF($LB270=40%,VLOOKUP($AW270,'Jan-2026 rates'!$L:$R,5,0),IF($LB270=30%,VLOOKUP($AW270,'Jan-2026 rates'!$L:$R,6,0),IF($LB270=100%,VLOOKUP($AW270,'Jan-2026 rates'!$L:$R,7,0),IF($LB270=60%,VLOOKUP($AW270,'Jan-2026 rates'!$L:$S,8,0),IF($LB270=80%,VLOOKUP($AW270,'Jan-2026 rates'!L:T,9,0),0))))))))</f>
        <v>0</v>
      </c>
      <c r="BC270" s="413">
        <v>26520000006</v>
      </c>
      <c r="BD270" s="412" t="s">
        <v>1266</v>
      </c>
      <c r="BE270" s="412"/>
      <c r="BF270" s="413"/>
      <c r="BG270" s="412"/>
      <c r="BH270" s="412"/>
      <c r="BI270" s="412"/>
      <c r="BJ270" s="412"/>
      <c r="BK270" s="409">
        <v>2</v>
      </c>
      <c r="BL270" s="398" t="e">
        <f>IF(BK270=0,0,IF(LEN(BC270)=11,_xlfn.XLOOKUP(BC270,'Dispensed Ink Rates'!C:C,'Dispensed Ink Rates'!CS:CS),VLOOKUP(BC270,'Jan-2026 rates'!$E:$F,2,0)))</f>
        <v>#N/A</v>
      </c>
      <c r="BM270" s="409">
        <v>2</v>
      </c>
      <c r="BN270" s="398">
        <f>IF(BM270=0,0,IF(LEN(BD270)=11,_xlfn.XLOOKUP(BD270,'Dispensed Ink Rates'!C:C,'Dispensed Ink Rates'!CS:CS),VLOOKUP(BD270,'Jan-2026 rates'!$E:$F,2,0)))</f>
        <v>0</v>
      </c>
      <c r="BO270" s="409"/>
      <c r="BP270" s="398">
        <f>IF(BO270=0,0,IF(LEN(BE270)=11,_xlfn.XLOOKUP(BE270,'Dispensed Ink Rates'!C:C,'Dispensed Ink Rates'!CS:CS),VLOOKUP(BE270,'Jan-2026 rates'!$E:$F,2,0)))</f>
        <v>0</v>
      </c>
      <c r="BQ270" s="409"/>
      <c r="BR270" s="398">
        <f>IF(BQ270=0,0,IF(LEN(BF270)=11,_xlfn.XLOOKUP(BF270,'Dispensed Ink Rates'!C:C,'Dispensed Ink Rates'!CS:CS),VLOOKUP(BF270,'Jan-2026 rates'!$E:$F,2,0)))</f>
        <v>0</v>
      </c>
      <c r="BS270" s="409"/>
      <c r="BT270" s="398">
        <f>IF(BS270=0,0,IF(LEN(BG270)=11,_xlfn.XLOOKUP(BG270,'Dispensed Ink Rates'!C:C,'Dispensed Ink Rates'!CS:CS),VLOOKUP(BG270,'Jan-2026 rates'!$E:$F,2,0)))</f>
        <v>0</v>
      </c>
      <c r="BU270" s="409"/>
      <c r="BV270" s="398">
        <f>IF(BU270=0,0,IF(LEN(BH270)=11,_xlfn.XLOOKUP(BH270,'Dispensed Ink Rates'!C:C,'Dispensed Ink Rates'!CS:CS),VLOOKUP(BH270,'Jan-2026 rates'!$E:$F,2,0)))</f>
        <v>0</v>
      </c>
      <c r="BW270" s="409"/>
      <c r="BX270" s="398">
        <f>IF(BW270=0,0,IF(LEN(BI270)=11,_xlfn.XLOOKUP(BI270,'Dispensed Ink Rates'!C:C,'Dispensed Ink Rates'!CS:CS),VLOOKUP(BI270,'Jan-2026 rates'!$E:$F,2,0)))</f>
        <v>0</v>
      </c>
      <c r="BY270" s="409"/>
      <c r="BZ270" s="398">
        <f>IF(BY270=0,0,IF(LEN(BJ270)=11,_xlfn.XLOOKUP(BJ270,'Dispensed Ink Rates'!C:C,'Dispensed Ink Rates'!CS:CS),VLOOKUP(BJ270,'Jan-2026 rates'!$E:$F,2,0)))</f>
        <v>0</v>
      </c>
      <c r="CA270" s="409" t="s">
        <v>1443</v>
      </c>
      <c r="CB270" s="409">
        <v>27</v>
      </c>
      <c r="CC270" s="411">
        <f t="shared" si="215"/>
        <v>0</v>
      </c>
      <c r="CD270" s="411">
        <f t="shared" si="216"/>
        <v>7.0833333333333357</v>
      </c>
      <c r="CE270" s="410">
        <f t="shared" si="217"/>
        <v>0</v>
      </c>
      <c r="CF270" s="404" t="s">
        <v>857</v>
      </c>
      <c r="CG270" s="409" t="s">
        <v>3980</v>
      </c>
      <c r="CH270" s="420" t="str">
        <f t="shared" si="185"/>
        <v>FLINTSL - RED</v>
      </c>
      <c r="CI270" s="409">
        <v>36</v>
      </c>
      <c r="CJ270" s="411">
        <f>IF(CI270=0,0,IF($LB270=70%,VLOOKUP($CH270,'Jan-2026 rates'!$L:$R,4,0),IF($LB270=65%,VLOOKUP($CH270,'Jan-2026 rates'!$L:$R,4,0),IF($LB270=40%,VLOOKUP($CH270,'Jan-2026 rates'!$L:$R,5,0),IF($LB270=30%,VLOOKUP($CH270,'Jan-2026 rates'!$L:$R,6,0),IF($LB270=100%,VLOOKUP($CH270,'Jan-2026 rates'!$L:$R,7,0),IF($LB270=60%,VLOOKUP($CH270,'Jan-2026 rates'!$L:$S,8,0),IF($LB270=80%,VLOOKUP($CH270,'Jan-2026 rates'!L:T,9,0),0))))))))</f>
        <v>0</v>
      </c>
      <c r="CK270" s="412"/>
      <c r="CL270" s="409"/>
      <c r="CM270" s="411">
        <f>IF(CL270=0,0,IF($LB270=70%,VLOOKUP($CH270,'Jan-2026 rates'!$L:$R,4,0),IF($LB270=65%,VLOOKUP($CH270,'Jan-2026 rates'!$L:$R,4,0),IF($LB270=40%,VLOOKUP($CH270,'Jan-2026 rates'!$L:$R,5,0),IF($LB270=30%,VLOOKUP($CH270,'Jan-2026 rates'!$L:$R,6,0),IF($LB270=100%,VLOOKUP($CH270,'Jan-2026 rates'!$L:$R,7,0),IF($LB270=60%,VLOOKUP($CH270,'Jan-2026 rates'!$L:$S,8,0),IF($LB270=80%,VLOOKUP($CH270,'Jan-2026 rates'!L:T,9,0),0))))))))</f>
        <v>0</v>
      </c>
      <c r="CN270" s="426">
        <v>26521000005</v>
      </c>
      <c r="CO270" s="427">
        <v>26520000011</v>
      </c>
      <c r="CP270" s="426"/>
      <c r="CQ270" s="426"/>
      <c r="CR270" s="428"/>
      <c r="CS270" s="428"/>
      <c r="CT270" s="428"/>
      <c r="CU270" s="428"/>
      <c r="CV270" s="409">
        <v>4</v>
      </c>
      <c r="CW270" s="398" t="e">
        <f>IF(CV270=0,0,IF(LEN(CN270)=11,_xlfn.XLOOKUP(CN270,'Dispensed Ink Rates'!C:C,'Dispensed Ink Rates'!CS:CS),VLOOKUP(CN270,'Jan-2026 rates'!$E:$F,2,0)))</f>
        <v>#N/A</v>
      </c>
      <c r="CX270" s="409">
        <v>2</v>
      </c>
      <c r="CY270" s="398" t="e">
        <f>IF(CX270=0,0,IF(LEN(CO270)=11,_xlfn.XLOOKUP(CO270,'Dispensed Ink Rates'!C:C,'Dispensed Ink Rates'!CS:CS),VLOOKUP(CO270,'Jan-2026 rates'!$E:$F,2,0)))</f>
        <v>#N/A</v>
      </c>
      <c r="CZ270" s="409"/>
      <c r="DA270" s="398">
        <f>IF(CZ270=0,0,IF(LEN(CP270)=11,_xlfn.XLOOKUP(CP270,'Dispensed Ink Rates'!C:C,'Dispensed Ink Rates'!CS:CS),VLOOKUP(CP270,'Jan-2026 rates'!$E:$F,2,0)))</f>
        <v>0</v>
      </c>
      <c r="DB270" s="409"/>
      <c r="DC270" s="398">
        <f>IF(DB270=0,0,IF(LEN(CQ270)=11,_xlfn.XLOOKUP(CQ270,'Dispensed Ink Rates'!C:C,'Dispensed Ink Rates'!CS:CS),VLOOKUP(CQ270,'Jan-2026 rates'!$E:$F,2,0)))</f>
        <v>0</v>
      </c>
      <c r="DD270" s="409"/>
      <c r="DE270" s="398">
        <f>IF(DD270=0,0,IF(LEN(CR270)=11,_xlfn.XLOOKUP(CR270,'Dispensed Ink Rates'!C:C,'Dispensed Ink Rates'!CS:CS),VLOOKUP(CR270,'Jan-2026 rates'!$E:$F,2,0)))</f>
        <v>0</v>
      </c>
      <c r="DF270" s="409"/>
      <c r="DG270" s="398">
        <f>IF(DF270=0,0,IF(LEN(CS270)=11,_xlfn.XLOOKUP(CS270,'Dispensed Ink Rates'!C:C,'Dispensed Ink Rates'!CS:CS),VLOOKUP(CS270,'Jan-2026 rates'!$E:$F,2,0)))</f>
        <v>0</v>
      </c>
      <c r="DH270" s="409"/>
      <c r="DI270" s="398">
        <f>IF(DH270=0,0,IF(LEN(CT270)=11,_xlfn.XLOOKUP(CT270,'Dispensed Ink Rates'!C:C,'Dispensed Ink Rates'!CS:CS),VLOOKUP(CT270,'Jan-2026 rates'!$E:$F,2,0)))</f>
        <v>0</v>
      </c>
      <c r="DJ270" s="409"/>
      <c r="DK270" s="398">
        <f>IF(DJ270=0,0,IF(LEN(CU270)=11,_xlfn.XLOOKUP(CU270,'Dispensed Ink Rates'!C:C,'Dispensed Ink Rates'!CS:CS),VLOOKUP(CU270,'Jan-2026 rates'!$E:$F,2,0)))</f>
        <v>0</v>
      </c>
      <c r="DL270" s="409" t="s">
        <v>1443</v>
      </c>
      <c r="DM270" s="409">
        <v>28</v>
      </c>
      <c r="DN270" s="411">
        <f t="shared" si="218"/>
        <v>0</v>
      </c>
      <c r="DO270" s="411">
        <f t="shared" si="219"/>
        <v>19.083333333333336</v>
      </c>
      <c r="DP270" s="410">
        <f t="shared" si="220"/>
        <v>0</v>
      </c>
      <c r="DQ270" s="405" t="s">
        <v>857</v>
      </c>
      <c r="DR270" s="409" t="s">
        <v>3962</v>
      </c>
      <c r="DS270" s="420" t="str">
        <f t="shared" si="186"/>
        <v>FLINTSL - RED</v>
      </c>
      <c r="DT270" s="409">
        <v>10</v>
      </c>
      <c r="DU270" s="411">
        <f>IF(DT270=0,0,IF($LB270=70%,VLOOKUP($DS270,'Jan-2026 rates'!$L:$R,4,0),IF($LB270=65%,VLOOKUP($DS270,'Jan-2026 rates'!$L:$R,4,0),IF($LB270=40%,VLOOKUP($DS270,'Jan-2026 rates'!$L:$R,5,0),IF($LB270=30%,VLOOKUP($DS270,'Jan-2026 rates'!$L:$R,6,0),IF($LB270=100%,VLOOKUP($DS270,'Jan-2026 rates'!$L:$R,7,0),IF($LB270=60%,VLOOKUP($DS270,'Jan-2026 rates'!$L:$S,8,0),IF($LB270=80%,VLOOKUP($DS270,'Jan-2026 rates'!L:T,9,0),0))))))))</f>
        <v>0</v>
      </c>
      <c r="DV270" s="412"/>
      <c r="DW270" s="409"/>
      <c r="DX270" s="411">
        <f>IF(DW270=0,0,IF($LB270=70%,VLOOKUP($DS270,'Jan-2026 rates'!$L:$R,4,0),IF($LB270=65%,VLOOKUP($DS270,'Jan-2026 rates'!$L:$R,4,0),IF($LB270=40%,VLOOKUP($DS270,'Jan-2026 rates'!$L:$R,5,0),IF($LB270=30%,VLOOKUP($DS270,'Jan-2026 rates'!$L:$R,6,0),IF($LB270=100%,VLOOKUP($DS270,'Jan-2026 rates'!$L:$R,7,0),IF($LB270=60%,VLOOKUP($DS270,'Jan-2026 rates'!$L:$S,8,0),IF($LB270=80%,VLOOKUP($DS270,'Jan-2026 rates'!L:T,9,0),0))))))))</f>
        <v>0</v>
      </c>
      <c r="DY270" s="413">
        <v>26524000010</v>
      </c>
      <c r="DZ270" s="413" t="s">
        <v>1266</v>
      </c>
      <c r="EA270" s="412">
        <v>26521000005</v>
      </c>
      <c r="EB270" s="412"/>
      <c r="EC270" s="412"/>
      <c r="ED270" s="412"/>
      <c r="EE270" s="412"/>
      <c r="EF270" s="412"/>
      <c r="EG270" s="409">
        <v>10</v>
      </c>
      <c r="EH270" s="398" t="e">
        <f>IF(EG270=0,0,IF(LEN(DY270)=11,_xlfn.XLOOKUP(DY270,'Dispensed Ink Rates'!C:C,'Dispensed Ink Rates'!CS:CS),VLOOKUP(DY270,'Jan-2026 rates'!$E:$F,2,0)))</f>
        <v>#N/A</v>
      </c>
      <c r="EI270" s="409">
        <v>6</v>
      </c>
      <c r="EJ270" s="398">
        <f>IF(EI270=0,0,IF(LEN(DZ270)=11,_xlfn.XLOOKUP(DZ270,'Dispensed Ink Rates'!C:C,'Dispensed Ink Rates'!CS:CS),VLOOKUP(DZ270,'Jan-2026 rates'!$E:$F,2,0)))</f>
        <v>0</v>
      </c>
      <c r="EK270" s="409">
        <v>2</v>
      </c>
      <c r="EL270" s="398" t="e">
        <f>IF(EK270=0,0,IF(LEN(EA270)=11,_xlfn.XLOOKUP(EA270,'Dispensed Ink Rates'!C:C,'Dispensed Ink Rates'!CS:CS),VLOOKUP(EA270,'Jan-2026 rates'!$E:$F,2,0)))</f>
        <v>#N/A</v>
      </c>
      <c r="EM270" s="409"/>
      <c r="EN270" s="398">
        <f>IF(EM270=0,0,IF(LEN(EB270)=11,_xlfn.XLOOKUP(EB270,'Dispensed Ink Rates'!C:C,'Dispensed Ink Rates'!CS:CS),VLOOKUP(EB270,'Jan-2026 rates'!$E:$F,2,0)))</f>
        <v>0</v>
      </c>
      <c r="EO270" s="409"/>
      <c r="EP270" s="398">
        <f>IF(EO270=0,0,IF(LEN(EC270)=11,_xlfn.XLOOKUP(EC270,'Dispensed Ink Rates'!C:C,'Dispensed Ink Rates'!CS:CS),VLOOKUP(EC270,'Jan-2026 rates'!$E:$F,2,0)))</f>
        <v>0</v>
      </c>
      <c r="EQ270" s="409"/>
      <c r="ER270" s="398">
        <f>IF(EQ270=0,0,IF(LEN(ED270)=11,_xlfn.XLOOKUP(ED270,'Dispensed Ink Rates'!C:C,'Dispensed Ink Rates'!CS:CS),VLOOKUP(ED270,'Jan-2026 rates'!$E:$F,2,0)))</f>
        <v>0</v>
      </c>
      <c r="ES270" s="409"/>
      <c r="ET270" s="398">
        <f>IF(ES270=0,0,IF(LEN(EE270)=11,_xlfn.XLOOKUP(EE270,'Dispensed Ink Rates'!C:C,'Dispensed Ink Rates'!CS:CS),VLOOKUP(EE270,'Jan-2026 rates'!$E:$F,2,0)))</f>
        <v>0</v>
      </c>
      <c r="EU270" s="409"/>
      <c r="EV270" s="398">
        <f>IF(EU270=0,0,IF(LEN(EF270)=11,_xlfn.XLOOKUP(EF270,'Dispensed Ink Rates'!C:C,'Dispensed Ink Rates'!CS:CS),VLOOKUP(EF270,'Jan-2026 rates'!$E:$F,2,0)))</f>
        <v>0</v>
      </c>
      <c r="EW270" s="409" t="s">
        <v>1443</v>
      </c>
      <c r="EX270" s="409">
        <v>26</v>
      </c>
      <c r="EY270" s="411">
        <f t="shared" si="221"/>
        <v>0</v>
      </c>
      <c r="EZ270" s="411">
        <f t="shared" si="222"/>
        <v>7.0833333333333357</v>
      </c>
      <c r="FA270" s="410">
        <f t="shared" si="223"/>
        <v>0</v>
      </c>
      <c r="FB270" s="405" t="s">
        <v>855</v>
      </c>
      <c r="FC270" s="409" t="s">
        <v>4218</v>
      </c>
      <c r="FD270" s="420" t="str">
        <f t="shared" si="187"/>
        <v>FLINTSL - CYAN</v>
      </c>
      <c r="FE270" s="409">
        <v>24</v>
      </c>
      <c r="FF270" s="411">
        <f>IF(FE270=0,0,IF($LB270=70%,VLOOKUP($FD270,'Jan-2026 rates'!$L:$R,4,0),IF($LB270=65%,VLOOKUP($FD270,'Jan-2026 rates'!$L:$R,4,0),IF($LB270=40%,VLOOKUP($FD270,'Jan-2026 rates'!$L:$R,5,0),IF($LB270=30%,VLOOKUP($FD270,'Jan-2026 rates'!$L:$R,6,0),IF($LB270=100%,VLOOKUP($FD270,'Jan-2026 rates'!$L:$R,7,0),IF($LB270=60%,VLOOKUP($FD270,'Jan-2026 rates'!$L:$S,8,0),IF($LB270=80%,VLOOKUP($FD270,'Jan-2026 rates'!L:T,9,0),0))))))))</f>
        <v>0</v>
      </c>
      <c r="FG270" s="412"/>
      <c r="FH270" s="409"/>
      <c r="FI270" s="411">
        <f>IF(FH270=0,0,IF($LB270=70%,VLOOKUP($FD270,'Jan-2026 rates'!$L:$R,4,0),IF($LB270=65%,VLOOKUP($FD270,'Jan-2026 rates'!$L:$R,4,0),IF($LB270=40%,VLOOKUP($FD270,'Jan-2026 rates'!$L:$R,5,0),IF($LB270=30%,VLOOKUP($FD270,'Jan-2026 rates'!$L:$R,6,0),IF($LB270=100%,VLOOKUP($FD270,'Jan-2026 rates'!$L:$R,7,0),IF($LB270=60%,VLOOKUP($FD270,'Jan-2026 rates'!$L:$S,8,0),IF($LB270=80%,VLOOKUP($FD270,'Jan-2026 rates'!L:T,9,0),0))))))))</f>
        <v>0</v>
      </c>
      <c r="FJ270" s="413">
        <v>26519000016</v>
      </c>
      <c r="FK270" s="413"/>
      <c r="FL270" s="413"/>
      <c r="FM270" s="412"/>
      <c r="FN270" s="412"/>
      <c r="FO270" s="412"/>
      <c r="FP270" s="412"/>
      <c r="FQ270" s="412"/>
      <c r="FR270" s="409">
        <v>2</v>
      </c>
      <c r="FS270" s="398" t="e">
        <f>IF(FR270=0,0,IF(LEN(FJ270)=11,_xlfn.XLOOKUP(FJ270,'Dispensed Ink Rates'!C:C,'Dispensed Ink Rates'!CS:CS),VLOOKUP(FJ270,'Jan-2026 rates'!$E:$F,2,0)))</f>
        <v>#N/A</v>
      </c>
      <c r="FT270" s="409"/>
      <c r="FU270" s="398">
        <f>IF(FT270=0,0,IF(LEN(FK270)=11,_xlfn.XLOOKUP(FK270,'Dispensed Ink Rates'!C:C,'Dispensed Ink Rates'!CS:CS),VLOOKUP(FK270,'Jan-2026 rates'!$E:$F,2,0)))</f>
        <v>0</v>
      </c>
      <c r="FV270" s="409"/>
      <c r="FW270" s="398">
        <f>IF(FV270=0,0,IF(LEN(FL270)=11,_xlfn.XLOOKUP(FL270,'Dispensed Ink Rates'!C:C,'Dispensed Ink Rates'!CS:CS),VLOOKUP(FL270,'Jan-2026 rates'!$E:$F,2,0)))</f>
        <v>0</v>
      </c>
      <c r="FX270" s="409"/>
      <c r="FY270" s="398">
        <f>IF(FX270=0,0,IF(LEN(FM270)=11,_xlfn.XLOOKUP(FM270,'Dispensed Ink Rates'!C:C,'Dispensed Ink Rates'!CS:CS),VLOOKUP(FM270,'Jan-2026 rates'!$E:$F,2,0)))</f>
        <v>0</v>
      </c>
      <c r="FZ270" s="409"/>
      <c r="GA270" s="398">
        <f>IF(FZ270=0,0,IF(LEN(FN270)=11,_xlfn.XLOOKUP(FN270,'Dispensed Ink Rates'!C:C,'Dispensed Ink Rates'!CS:CS),VLOOKUP(FN270,'Jan-2026 rates'!$E:$F,2,0)))</f>
        <v>0</v>
      </c>
      <c r="GB270" s="409"/>
      <c r="GC270" s="398">
        <f>IF(GB270=0,0,IF(LEN(FO270)=11,_xlfn.XLOOKUP(FO270,'Dispensed Ink Rates'!C:C,'Dispensed Ink Rates'!CS:CS),VLOOKUP(FO270,'Jan-2026 rates'!$E:$F,2,0)))</f>
        <v>0</v>
      </c>
      <c r="GD270" s="409"/>
      <c r="GE270" s="398">
        <f>IF(GD270=0,0,IF(LEN(FP270)=11,_xlfn.XLOOKUP(FP270,'Dispensed Ink Rates'!C:C,'Dispensed Ink Rates'!CS:CS),VLOOKUP(FP270,'Jan-2026 rates'!$E:$F,2,0)))</f>
        <v>0</v>
      </c>
      <c r="GF270" s="409"/>
      <c r="GG270" s="398">
        <f>IF(GF270=0,0,IF(LEN(FQ270)=11,_xlfn.XLOOKUP(FQ270,'Dispensed Ink Rates'!C:C,'Dispensed Ink Rates'!CS:CS),VLOOKUP(FQ270,'Jan-2026 rates'!$E:$F,2,0)))</f>
        <v>0</v>
      </c>
      <c r="GH270" s="409" t="s">
        <v>1443</v>
      </c>
      <c r="GI270" s="409">
        <v>27</v>
      </c>
      <c r="GJ270" s="411">
        <f t="shared" si="224"/>
        <v>0</v>
      </c>
      <c r="GK270" s="411">
        <f t="shared" si="225"/>
        <v>4.0833333333333321</v>
      </c>
      <c r="GL270" s="410">
        <f t="shared" si="226"/>
        <v>0</v>
      </c>
      <c r="GM270" s="405" t="s">
        <v>544</v>
      </c>
      <c r="GN270" s="409" t="s">
        <v>4219</v>
      </c>
      <c r="GO270" s="420" t="str">
        <f t="shared" si="188"/>
        <v>FLINTSL - MAGENTA</v>
      </c>
      <c r="GP270" s="409">
        <v>24</v>
      </c>
      <c r="GQ270" s="411">
        <f>IF(GP270=0,0,IF($LB270=70%,VLOOKUP($GO270,'Jan-2026 rates'!$L:$R,4,0),IF($LB270=65%,VLOOKUP($GO270,'Jan-2026 rates'!$L:$R,4,0),IF($LB270=40%,VLOOKUP($GO270,'Jan-2026 rates'!$L:$R,5,0),IF($LB270=30%,VLOOKUP($GO270,'Jan-2026 rates'!$L:$R,6,0),IF($LB270=100%,VLOOKUP($GO270,'Jan-2026 rates'!$L:$R,7,0),IF($LB270=60%,VLOOKUP($GO270,'Jan-2026 rates'!$L:$S,8,0),IF($LB270=80%,VLOOKUP($GO270,'Jan-2026 rates'!L:T,9,0),0))))))))</f>
        <v>0</v>
      </c>
      <c r="GR270" s="412"/>
      <c r="GS270" s="409"/>
      <c r="GT270" s="411">
        <f>IF(GS270=0,0,IF($LB270=70%,VLOOKUP($GO270,'Jan-2026 rates'!$L:$R,4,0),IF($LB270=65%,VLOOKUP($GO270,'Jan-2026 rates'!$L:$R,4,0),IF($LB270=40%,VLOOKUP($GO270,'Jan-2026 rates'!$L:$R,5,0),IF($LB270=30%,VLOOKUP($GO270,'Jan-2026 rates'!$L:$R,6,0),IF($LB270=100%,VLOOKUP($GO270,'Jan-2026 rates'!$L:$R,7,0),IF($LB270=60%,VLOOKUP($GO270,'Jan-2026 rates'!$L:$S,8,0),IF($LB270=80%,VLOOKUP($GO270,'Jan-2026 rates'!L:T,9,0),0))))))))</f>
        <v>0</v>
      </c>
      <c r="GU270" s="413">
        <v>26521000005</v>
      </c>
      <c r="GV270" s="413"/>
      <c r="GW270" s="412"/>
      <c r="GX270" s="412"/>
      <c r="GY270" s="412"/>
      <c r="GZ270" s="412"/>
      <c r="HA270" s="412"/>
      <c r="HB270" s="412"/>
      <c r="HC270" s="409">
        <v>2</v>
      </c>
      <c r="HD270" s="398" t="e">
        <f>IF(HC270=0,0,IF(LEN(GU270)=11,_xlfn.XLOOKUP(GU270,'Dispensed Ink Rates'!C:C,'Dispensed Ink Rates'!CS:CS),VLOOKUP(GU270,'Jan-2026 rates'!$E:$F,2,0)))</f>
        <v>#N/A</v>
      </c>
      <c r="HE270" s="409"/>
      <c r="HF270" s="398">
        <f>IF(HE270=0,0,IF(LEN(GV270)=11,_xlfn.XLOOKUP(GV270,'Dispensed Ink Rates'!C:C,'Dispensed Ink Rates'!CS:CS),VLOOKUP(GV270,'Jan-2026 rates'!$E:$F,2,0)))</f>
        <v>0</v>
      </c>
      <c r="HG270" s="409"/>
      <c r="HH270" s="398">
        <f>IF(HG270=0,0,IF(LEN(GW270)=11,_xlfn.XLOOKUP(GW270,'Dispensed Ink Rates'!C:C,'Dispensed Ink Rates'!CS:CS),VLOOKUP(GW270,'Jan-2026 rates'!$E:$F,2,0)))</f>
        <v>0</v>
      </c>
      <c r="HI270" s="409"/>
      <c r="HJ270" s="398">
        <f>IF(HI270=0,0,IF(LEN(GX270)=11,_xlfn.XLOOKUP(GX270,'Dispensed Ink Rates'!C:C,'Dispensed Ink Rates'!CS:CS),VLOOKUP(GX270,'Jan-2026 rates'!$E:$F,2,0)))</f>
        <v>0</v>
      </c>
      <c r="HK270" s="409"/>
      <c r="HL270" s="398">
        <f>IF(HK270=0,0,IF(LEN(GY270)=11,_xlfn.XLOOKUP(GY270,'Dispensed Ink Rates'!C:C,'Dispensed Ink Rates'!CS:CS),VLOOKUP(GY270,'Jan-2026 rates'!$E:$F,2,0)))</f>
        <v>0</v>
      </c>
      <c r="HM270" s="409"/>
      <c r="HN270" s="398">
        <f>IF(HM270=0,0,IF(LEN(GZ270)=11,_xlfn.XLOOKUP(GZ270,'Dispensed Ink Rates'!C:C,'Dispensed Ink Rates'!CS:CS),VLOOKUP(GZ270,'Jan-2026 rates'!$E:$F,2,0)))</f>
        <v>0</v>
      </c>
      <c r="HO270" s="409"/>
      <c r="HP270" s="398">
        <f>IF(HO270=0,0,IF(LEN(HA270)=11,_xlfn.XLOOKUP(HA270,'Dispensed Ink Rates'!C:C,'Dispensed Ink Rates'!CS:CS),VLOOKUP(HA270,'Jan-2026 rates'!$E:$F,2,0)))</f>
        <v>0</v>
      </c>
      <c r="HQ270" s="409"/>
      <c r="HR270" s="398">
        <f>IF(HQ270=0,0,IF(LEN(HB270)=11,_xlfn.XLOOKUP(HB270,'Dispensed Ink Rates'!C:C,'Dispensed Ink Rates'!CS:CS),VLOOKUP(HB270,'Jan-2026 rates'!$E:$F,2,0)))</f>
        <v>0</v>
      </c>
      <c r="HS270" s="409" t="s">
        <v>1443</v>
      </c>
      <c r="HT270" s="409">
        <v>28</v>
      </c>
      <c r="HU270" s="411">
        <f t="shared" si="227"/>
        <v>0</v>
      </c>
      <c r="HV270" s="411">
        <f t="shared" si="228"/>
        <v>3.0833333333333321</v>
      </c>
      <c r="HW270" s="414">
        <f t="shared" si="229"/>
        <v>0</v>
      </c>
      <c r="HX270" s="405" t="s">
        <v>545</v>
      </c>
      <c r="HY270" s="409" t="s">
        <v>4220</v>
      </c>
      <c r="HZ270" s="420" t="str">
        <f t="shared" si="189"/>
        <v>FLINTSL - YELLOW</v>
      </c>
      <c r="IA270" s="409">
        <v>30</v>
      </c>
      <c r="IB270" s="411">
        <f>IF(IA270=0,0,IF($LB270=70%,VLOOKUP($HZ270,'Jan-2026 rates'!$L:$R,4,0),IF($LB270=65%,VLOOKUP($HZ270,'Jan-2026 rates'!$L:$R,4,0),IF($LB270=40%,VLOOKUP($HZ270,'Jan-2026 rates'!$L:$R,5,0),IF($LB270=30%,VLOOKUP($HZ270,'Jan-2026 rates'!$L:$R,6,0),IF($LB270=100%,VLOOKUP($HZ270,'Jan-2026 rates'!$L:$R,7,0),IF($LB270=60%,VLOOKUP($HZ270,'Jan-2026 rates'!$L:$S,8,0),IF($LB270=80%,VLOOKUP($HZ270,'Jan-2026 rates'!L:T,9,0),0))))))))</f>
        <v>0</v>
      </c>
      <c r="IC270" s="412"/>
      <c r="ID270" s="409"/>
      <c r="IE270" s="411">
        <f>IF(ID270=0,0,IF($LB270=70%,VLOOKUP($HZ270,'Jan-2026 rates'!$L:$R,4,0),IF($LB270=65%,VLOOKUP($HZ270,'Jan-2026 rates'!$L:$R,4,0),IF($LB270=40%,VLOOKUP($HZ270,'Jan-2026 rates'!$L:$R,5,0),IF($LB270=30%,VLOOKUP($HZ270,'Jan-2026 rates'!$L:$R,6,0),IF($LB270=100%,VLOOKUP($HZ270,'Jan-2026 rates'!$L:$R,7,0),IF($LB270=60%,VLOOKUP($HZ270,'Jan-2026 rates'!$L:$S,8,0),IF($LB270=80%,VLOOKUP($HZ270,'Jan-2026 rates'!L:T,9,0),0))))))))</f>
        <v>0</v>
      </c>
      <c r="IF270" s="412">
        <v>26519000026</v>
      </c>
      <c r="IG270" s="413"/>
      <c r="IH270" s="412"/>
      <c r="II270" s="412"/>
      <c r="IJ270" s="412"/>
      <c r="IK270" s="412"/>
      <c r="IL270" s="412"/>
      <c r="IM270" s="412"/>
      <c r="IN270" s="409">
        <v>2</v>
      </c>
      <c r="IO270" s="398" t="e">
        <f>IF(IN270=0,0,IF(LEN(IF270)=11,_xlfn.XLOOKUP(IF270,'Dispensed Ink Rates'!C:C,'Dispensed Ink Rates'!CS:CS),VLOOKUP(IF270,'Jan-2026 rates'!$E:$F,2,0)))</f>
        <v>#N/A</v>
      </c>
      <c r="IP270" s="409"/>
      <c r="IQ270" s="398">
        <f>IF(IP270=0,0,IF(LEN(IG270)=11,_xlfn.XLOOKUP(IG270,'Dispensed Ink Rates'!C:C,'Dispensed Ink Rates'!CS:CS),VLOOKUP(IG270,'Jan-2026 rates'!$E:$F,2,0)))</f>
        <v>0</v>
      </c>
      <c r="IR270" s="409"/>
      <c r="IS270" s="398">
        <f>IF(IR270=0,0,IF(LEN(IH270)=11,_xlfn.XLOOKUP(IH270,'Dispensed Ink Rates'!C:C,'Dispensed Ink Rates'!CS:CS),VLOOKUP(IH270,'Jan-2026 rates'!$E:$F,2,0)))</f>
        <v>0</v>
      </c>
      <c r="IT270" s="409"/>
      <c r="IU270" s="398">
        <f>IF(IT270=0,0,IF(LEN(II270)=11,_xlfn.XLOOKUP(II270,'Dispensed Ink Rates'!C:C,'Dispensed Ink Rates'!CS:CS),VLOOKUP(II270,'Jan-2026 rates'!$E:$F,2,0)))</f>
        <v>0</v>
      </c>
      <c r="IV270" s="409"/>
      <c r="IW270" s="398">
        <f>IF(IV270=0,0,IF(LEN(IJ270)=11,_xlfn.XLOOKUP(IJ270,'Dispensed Ink Rates'!C:C,'Dispensed Ink Rates'!CS:CS),VLOOKUP(IJ270,'Jan-2026 rates'!$E:$F,2,0)))</f>
        <v>0</v>
      </c>
      <c r="IX270" s="409"/>
      <c r="IY270" s="398">
        <f>IF(IX270=0,0,IF(LEN(IK270)=11,_xlfn.XLOOKUP(IK270,'Dispensed Ink Rates'!C:C,'Dispensed Ink Rates'!CS:CS),VLOOKUP(IK270,'Jan-2026 rates'!$E:$F,2,0)))</f>
        <v>0</v>
      </c>
      <c r="IZ270" s="409"/>
      <c r="JA270" s="398">
        <f>IF(IZ270=0,0,IF(LEN(IL270)=11,_xlfn.XLOOKUP(IL270,'Dispensed Ink Rates'!C:C,'Dispensed Ink Rates'!CS:CS),VLOOKUP(IL270,'Jan-2026 rates'!$E:$F,2,0)))</f>
        <v>0</v>
      </c>
      <c r="JB270" s="409"/>
      <c r="JC270" s="398">
        <f>IF(JB270=0,0,IF(LEN(IM270)=11,_xlfn.XLOOKUP(IM270,'Dispensed Ink Rates'!C:C,'Dispensed Ink Rates'!CS:CS),VLOOKUP(IM270,'Jan-2026 rates'!$E:$F,2,0)))</f>
        <v>0</v>
      </c>
      <c r="JD270" s="409" t="s">
        <v>1443</v>
      </c>
      <c r="JE270" s="409">
        <v>29</v>
      </c>
      <c r="JF270" s="411">
        <f t="shared" si="230"/>
        <v>0</v>
      </c>
      <c r="JG270" s="411">
        <f t="shared" si="231"/>
        <v>8.0833333333333357</v>
      </c>
      <c r="JH270" s="410">
        <f t="shared" si="232"/>
        <v>0</v>
      </c>
      <c r="JI270" s="405" t="s">
        <v>856</v>
      </c>
      <c r="JJ270" s="409" t="s">
        <v>4221</v>
      </c>
      <c r="JK270" s="420" t="str">
        <f t="shared" si="190"/>
        <v>FLINTSL - WHITE</v>
      </c>
      <c r="JL270" s="409">
        <v>24</v>
      </c>
      <c r="JM270" s="411">
        <f>IF(JL270=0,0,IF($LB270=70%,VLOOKUP($JK270,'Jan-2026 rates'!$L:$R,4,0),IF($LB270=65%,VLOOKUP($JK270,'Jan-2026 rates'!$L:$R,4,0),IF($LB270=40%,VLOOKUP($JK270,'Jan-2026 rates'!$L:$R,5,0),IF($LB270=30%,VLOOKUP($JK270,'Jan-2026 rates'!$L:$R,6,0),IF($LB270=100%,VLOOKUP($JK270,'Jan-2026 rates'!$L:$R,7,0),IF($LB270=60%,VLOOKUP($JK270,'Jan-2026 rates'!$L:$S,8,0),IF($LB270=80%,VLOOKUP($JK270,'Jan-2026 rates'!L:T,9,0),0))))))))</f>
        <v>0</v>
      </c>
      <c r="JN270" s="412"/>
      <c r="JO270" s="409"/>
      <c r="JP270" s="411">
        <f>IF(JO270=0,0,IF($LB270=70%,VLOOKUP($JK270,'Jan-2026 rates'!$L:$R,4,0),IF($LB270=65%,VLOOKUP($JK270,'Jan-2026 rates'!$L:$R,4,0),IF($LB270=40%,VLOOKUP($JK270,'Jan-2026 rates'!$L:$R,5,0),IF($LB270=30%,VLOOKUP($JK270,'Jan-2026 rates'!$L:$R,6,0),IF($LB270=100%,VLOOKUP($JK270,'Jan-2026 rates'!$L:$R,7,0),IF($LB270=60%,VLOOKUP($JK270,'Jan-2026 rates'!$L:$S,8,0),IF($LB270=80%,VLOOKUP($JK270,'Jan-2026 rates'!L:T,9,0),0))))))))</f>
        <v>0</v>
      </c>
      <c r="JQ270" s="413" t="s">
        <v>484</v>
      </c>
      <c r="JR270" s="412"/>
      <c r="JS270" s="413"/>
      <c r="JT270" s="413"/>
      <c r="JU270" s="412"/>
      <c r="JV270" s="412"/>
      <c r="JW270" s="412"/>
      <c r="JX270" s="412"/>
      <c r="JY270" s="409">
        <f>25+8</f>
        <v>33</v>
      </c>
      <c r="JZ270" s="398">
        <f>IF(JY270=0,0,IF(LEN(JQ270)=11,_xlfn.XLOOKUP(JQ270,'Dispensed Ink Rates'!C:C,'Dispensed Ink Rates'!CS:CS),VLOOKUP(JQ270,'Jan-2026 rates'!$E:$F,2,0)))</f>
        <v>0</v>
      </c>
      <c r="KA270" s="409"/>
      <c r="KB270" s="398">
        <f>IF(KA270=0,0,IF(LEN(JR270)=11,_xlfn.XLOOKUP(JR270,'Dispensed Ink Rates'!C:C,'Dispensed Ink Rates'!CS:CS),VLOOKUP(JR270,'Jan-2026 rates'!$E:$F,2,0)))</f>
        <v>0</v>
      </c>
      <c r="KC270" s="409"/>
      <c r="KD270" s="398">
        <f>IF(KC270=0,0,IF(LEN(JS270)=11,_xlfn.XLOOKUP(JS270,'Dispensed Ink Rates'!C:C,'Dispensed Ink Rates'!CS:CS),VLOOKUP(JS270,'Jan-2026 rates'!$E:$F,2,0)))</f>
        <v>0</v>
      </c>
      <c r="KE270" s="409"/>
      <c r="KF270" s="398">
        <f>IF(KE270=0,0,IF(LEN(JT270)=11,_xlfn.XLOOKUP(JT270,'Dispensed Ink Rates'!C:C,'Dispensed Ink Rates'!CS:CS),VLOOKUP(JT270,'Jan-2026 rates'!$E:$F,2,0)))</f>
        <v>0</v>
      </c>
      <c r="KG270" s="409"/>
      <c r="KH270" s="398">
        <f>IF(KG270=0,0,IF(LEN(JU270)=11,_xlfn.XLOOKUP(JU270,'Dispensed Ink Rates'!C:C,'Dispensed Ink Rates'!CS:CS),VLOOKUP(JU270,'Jan-2026 rates'!$E:$F,2,0)))</f>
        <v>0</v>
      </c>
      <c r="KI270" s="409"/>
      <c r="KJ270" s="398">
        <f>IF(KI270=0,0,IF(LEN(JV270)=11,_xlfn.XLOOKUP(JV270,'Dispensed Ink Rates'!C:C,'Dispensed Ink Rates'!CS:CS),VLOOKUP(JV270,'Jan-2026 rates'!$E:$F,2,0)))</f>
        <v>0</v>
      </c>
      <c r="KK270" s="409"/>
      <c r="KL270" s="398">
        <f>IF(KK270=0,0,IF(LEN(JW270)=11,_xlfn.XLOOKUP(JW270,'Dispensed Ink Rates'!C:C,'Dispensed Ink Rates'!CS:CS),VLOOKUP(JW270,'Jan-2026 rates'!$E:$F,2,0)))</f>
        <v>0</v>
      </c>
      <c r="KM270" s="428"/>
      <c r="KN270" s="398">
        <f>IF(KM270=0,0,IF(LEN(JX270)=11,_xlfn.XLOOKUP(JX270,'Dispensed Ink Rates'!C:C,'Dispensed Ink Rates'!CS:CS),VLOOKUP(JX270,'Jan-2026 rates'!$E:$F,2,0)))</f>
        <v>0</v>
      </c>
      <c r="KO270" s="409" t="s">
        <v>1443</v>
      </c>
      <c r="KP270" s="409">
        <v>30</v>
      </c>
      <c r="KQ270" s="411">
        <f t="shared" si="233"/>
        <v>0</v>
      </c>
      <c r="KR270" s="411">
        <f t="shared" si="234"/>
        <v>52.416666666666671</v>
      </c>
      <c r="KS270" s="410">
        <f t="shared" si="235"/>
        <v>0</v>
      </c>
      <c r="KT270" s="409">
        <v>5</v>
      </c>
      <c r="KU270" s="409">
        <v>5</v>
      </c>
      <c r="KV270" s="409">
        <v>5</v>
      </c>
      <c r="KW270" s="409">
        <v>5</v>
      </c>
      <c r="KX270" s="409">
        <v>5</v>
      </c>
      <c r="KY270" s="409">
        <v>5</v>
      </c>
      <c r="KZ270" s="409">
        <v>5</v>
      </c>
      <c r="LA270" s="409">
        <f>15+10</f>
        <v>25</v>
      </c>
      <c r="LB270" s="415">
        <v>0.8</v>
      </c>
      <c r="LC270" s="415">
        <v>0.2</v>
      </c>
      <c r="LD270" s="415"/>
      <c r="LE270" s="415"/>
      <c r="LF270" s="415"/>
      <c r="LG270" s="409">
        <v>0</v>
      </c>
      <c r="LH270" s="409">
        <f>25+16+16+4</f>
        <v>61</v>
      </c>
      <c r="LI270" s="409">
        <v>0</v>
      </c>
      <c r="LJ270" s="409">
        <v>0</v>
      </c>
      <c r="LK270" s="416">
        <f t="shared" si="191"/>
        <v>61</v>
      </c>
      <c r="LL270" s="416">
        <f t="shared" si="192"/>
        <v>61</v>
      </c>
      <c r="LM270" s="417">
        <f t="shared" si="193"/>
        <v>48.800000000000004</v>
      </c>
      <c r="LN270" s="417">
        <f>VLOOKUP($LM$8,'Jan-2026 rates'!$H:$I,2,0)</f>
        <v>0</v>
      </c>
      <c r="LO270" s="417">
        <f t="shared" si="194"/>
        <v>12.200000000000001</v>
      </c>
      <c r="LP270" s="417">
        <f>VLOOKUP($LO$8,'Jan-2026 rates'!$H:$I,2,0)</f>
        <v>0</v>
      </c>
      <c r="LQ270" s="417">
        <f t="shared" si="195"/>
        <v>0</v>
      </c>
      <c r="LR270" s="417">
        <f>VLOOKUP($LQ$8,'Jan-2026 rates'!$H:$I,2,0)</f>
        <v>0</v>
      </c>
      <c r="LS270" s="417">
        <f t="shared" si="196"/>
        <v>0</v>
      </c>
      <c r="LT270" s="417">
        <f>VLOOKUP($LS$8,'Jan-2026 rates'!$H:$I,2,0)</f>
        <v>0</v>
      </c>
      <c r="LU270" s="417">
        <f t="shared" si="197"/>
        <v>0</v>
      </c>
      <c r="LV270" s="417">
        <f>VLOOKUP($LU$8,'Jan-2026 rates'!$H:$I,2,0)</f>
        <v>0</v>
      </c>
      <c r="LW270" s="417">
        <f t="shared" si="198"/>
        <v>0</v>
      </c>
      <c r="LX270" s="417">
        <f t="shared" si="199"/>
        <v>0</v>
      </c>
      <c r="LY270" s="418">
        <f t="shared" si="200"/>
        <v>0</v>
      </c>
      <c r="LZ270" s="417"/>
      <c r="MA270" s="435">
        <f t="shared" si="201"/>
        <v>69</v>
      </c>
      <c r="MB270" s="282">
        <f t="shared" si="202"/>
        <v>108</v>
      </c>
      <c r="MC270" s="283">
        <v>163</v>
      </c>
      <c r="MD270" s="284" t="str">
        <f t="shared" si="203"/>
        <v>FLINTSLFLINTSLFLINTSLFLINTSLFLINTSLFLINTSLFLINTSLFLINTSL</v>
      </c>
      <c r="ME270" s="293" t="str">
        <f t="shared" si="204"/>
        <v>+</v>
      </c>
      <c r="MF270" s="293" t="str">
        <f t="shared" si="205"/>
        <v>+</v>
      </c>
      <c r="MG270" s="293" t="str">
        <f t="shared" si="206"/>
        <v>+</v>
      </c>
      <c r="MH270" s="293" t="str">
        <f t="shared" si="207"/>
        <v>+</v>
      </c>
      <c r="MI270" s="293" t="str">
        <f t="shared" si="208"/>
        <v>+</v>
      </c>
      <c r="MJ270" s="293" t="str">
        <f t="shared" si="209"/>
        <v>+</v>
      </c>
      <c r="MK270" s="293" t="str">
        <f t="shared" si="210"/>
        <v>+</v>
      </c>
      <c r="ML270" s="293" t="str">
        <f t="shared" si="211"/>
        <v>+</v>
      </c>
      <c r="MM270" s="3" t="b">
        <f t="array" ref="MM270">OR(ME270:ML270="-")</f>
        <v>0</v>
      </c>
      <c r="MN270" s="285"/>
      <c r="MO270" s="401"/>
      <c r="MP270" s="286"/>
      <c r="MQ270" s="286"/>
      <c r="MR270" s="402"/>
      <c r="MS270" s="400"/>
      <c r="NH270" s="422"/>
      <c r="NJ270" s="421"/>
    </row>
    <row r="271" spans="1:374" s="1" customFormat="1" ht="16.5">
      <c r="A271" s="403">
        <v>46043</v>
      </c>
      <c r="B271" s="404" t="s">
        <v>1015</v>
      </c>
      <c r="C271" s="405" t="s">
        <v>4222</v>
      </c>
      <c r="D271" s="406">
        <v>164</v>
      </c>
      <c r="E271" s="404">
        <v>157</v>
      </c>
      <c r="F271" s="407">
        <v>6900</v>
      </c>
      <c r="G271" s="407" t="s">
        <v>1019</v>
      </c>
      <c r="H271" s="408" t="s">
        <v>1017</v>
      </c>
      <c r="I271" s="409">
        <v>2.2000000000000002</v>
      </c>
      <c r="J271" s="405" t="s">
        <v>543</v>
      </c>
      <c r="K271" s="404" t="s">
        <v>4223</v>
      </c>
      <c r="L271" s="419" t="str">
        <f t="shared" si="184"/>
        <v>FLINTSL - BLACK</v>
      </c>
      <c r="M271" s="404">
        <v>24</v>
      </c>
      <c r="N271" s="410">
        <f>IF(M271=0,0,IF($LB271=70%,VLOOKUP($L271,'Jan-2026 rates'!$L:$R,4,0),IF($LB271=65%,VLOOKUP($L271,'Jan-2026 rates'!$L:$R,4,0),IF($LB271=40%,VLOOKUP($L271,'Jan-2026 rates'!$L:$R,5,0),IF($LB271=30%,VLOOKUP($L271,'Jan-2026 rates'!$L:$R,6,0),IF($LB271=100%,VLOOKUP($L271,'Jan-2026 rates'!$L:$R,7,0),IF($LB271=60%,VLOOKUP($L271,'Jan-2026 rates'!$L:$S,8,0),IF($LB271=80%,VLOOKUP($L271,'Jan-2026 rates'!L:T,9,0),0))))))))</f>
        <v>0</v>
      </c>
      <c r="O271" s="406"/>
      <c r="P271" s="404"/>
      <c r="Q271" s="410">
        <f>IF(P271=0,0,IF($LB271=70%,VLOOKUP($L271,'Jan-2026 rates'!$L:$R,4,0),IF($LB271=65%,VLOOKUP($L271,'Jan-2026 rates'!$L:$R,4,0),IF($LB271=40%,VLOOKUP($L271,'Jan-2026 rates'!$L:$R,5,0),IF($LB271=30%,VLOOKUP($L271,'Jan-2026 rates'!$L:$R,6,0),IF($LB271=100%,VLOOKUP($L271,'Jan-2026 rates'!$L:$R,7,0),IF($LB271=60%,VLOOKUP($L271,'Jan-2026 rates'!$L:$S,8,0),IF($LB271=80%,VLOOKUP($L271,'Jan-2026 rates'!L:T,9,0),0))))))))</f>
        <v>0</v>
      </c>
      <c r="R271" s="406">
        <v>26521000010</v>
      </c>
      <c r="S271" s="406"/>
      <c r="T271" s="406"/>
      <c r="U271" s="406"/>
      <c r="V271" s="406"/>
      <c r="W271" s="406"/>
      <c r="X271" s="406"/>
      <c r="Y271" s="406"/>
      <c r="Z271" s="404">
        <v>4</v>
      </c>
      <c r="AA271" s="398" t="e">
        <f>IF(Z271=0,0,IF(LEN(R271)=11,_xlfn.XLOOKUP(R271,'Dispensed Ink Rates'!C:C,'Dispensed Ink Rates'!CS:CS),VLOOKUP(R271,'Jan-2026 rates'!$E:$F,2,0)))</f>
        <v>#N/A</v>
      </c>
      <c r="AB271" s="404"/>
      <c r="AC271" s="398">
        <f>IF(AB271=0,0,IF(LEN(S271)=11,_xlfn.XLOOKUP(S271,'Dispensed Ink Rates'!C:C,'Dispensed Ink Rates'!CS:CS),VLOOKUP(S271,'Jan-2026 rates'!$E:$F,2,0)))</f>
        <v>0</v>
      </c>
      <c r="AD271" s="404"/>
      <c r="AE271" s="398">
        <f>IF(AD271=0,0,IF(LEN(T271)=11,_xlfn.XLOOKUP(T271,'Dispensed Ink Rates'!C:C,'Dispensed Ink Rates'!CS:CS),VLOOKUP(T271,'Jan-2026 rates'!$E:$F,2,0)))</f>
        <v>0</v>
      </c>
      <c r="AF271" s="404"/>
      <c r="AG271" s="398">
        <f>IF(AF271=0,0,IF(LEN(U271)=11,_xlfn.XLOOKUP(U271,'Dispensed Ink Rates'!C:C,'Dispensed Ink Rates'!CS:CS),VLOOKUP(U271,'Jan-2026 rates'!$E:$F,2,0)))</f>
        <v>0</v>
      </c>
      <c r="AH271" s="404"/>
      <c r="AI271" s="398">
        <f>IF(AH271=0,0,IF(LEN(V271)=11,_xlfn.XLOOKUP(V271,'Dispensed Ink Rates'!C:C,'Dispensed Ink Rates'!CS:CS),VLOOKUP(V271,'Jan-2026 rates'!$E:$F,2,0)))</f>
        <v>0</v>
      </c>
      <c r="AJ271" s="404"/>
      <c r="AK271" s="398">
        <f>IF(AJ271=0,0,IF(LEN(W271)=11,_xlfn.XLOOKUP(W271,'Dispensed Ink Rates'!C:C,'Dispensed Ink Rates'!CS:CS),VLOOKUP(W271,'Jan-2026 rates'!$E:$F,2,0)))</f>
        <v>0</v>
      </c>
      <c r="AL271" s="404"/>
      <c r="AM271" s="398">
        <f>IF(AL271=0,0,IF(LEN(X271)=11,_xlfn.XLOOKUP(X271,'Dispensed Ink Rates'!C:C,'Dispensed Ink Rates'!CS:CS),VLOOKUP(X271,'Jan-2026 rates'!$E:$F,2,0)))</f>
        <v>0</v>
      </c>
      <c r="AN271" s="404"/>
      <c r="AO271" s="398">
        <f>IF(AN271=0,0,IF(LEN(Y271)=11,_xlfn.XLOOKUP(Y271,'Dispensed Ink Rates'!C:C,'Dispensed Ink Rates'!CS:CS),VLOOKUP(Y271,'Jan-2026 rates'!$E:$F,2,0)))</f>
        <v>0</v>
      </c>
      <c r="AP271" s="409" t="s">
        <v>1443</v>
      </c>
      <c r="AQ271" s="409">
        <v>25</v>
      </c>
      <c r="AR271" s="410">
        <f t="shared" si="212"/>
        <v>0</v>
      </c>
      <c r="AS271" s="411">
        <f t="shared" si="213"/>
        <v>8.7272727272727266</v>
      </c>
      <c r="AT271" s="410">
        <f t="shared" si="214"/>
        <v>0</v>
      </c>
      <c r="AU271" s="405" t="s">
        <v>546</v>
      </c>
      <c r="AV271" s="409" t="s">
        <v>4224</v>
      </c>
      <c r="AW271" s="420" t="str">
        <f t="shared" si="183"/>
        <v>FLINTSL - REFLEX BLUE</v>
      </c>
      <c r="AX271" s="409">
        <v>22</v>
      </c>
      <c r="AY271" s="411">
        <f>IF(AX271=0,0,IF($LB271=70%,VLOOKUP($AW271,'Jan-2026 rates'!$L:$R,4,0),IF($LB271=65%,VLOOKUP($AW271,'Jan-2026 rates'!$L:$R,4,0),IF($LB271=40%,VLOOKUP($AW271,'Jan-2026 rates'!$L:$R,5,0),IF($LB271=30%,VLOOKUP($AW271,'Jan-2026 rates'!$L:$R,6,0),IF($LB271=100%,VLOOKUP($AW271,'Jan-2026 rates'!$L:$R,7,0),IF($LB271=60%,VLOOKUP($AW271,'Jan-2026 rates'!$L:$S,8,0),IF($LB271=80%,VLOOKUP($AW271,'Jan-2026 rates'!L:T,9,0),0))))))))</f>
        <v>0</v>
      </c>
      <c r="AZ271" s="412" t="s">
        <v>4225</v>
      </c>
      <c r="BA271" s="409">
        <v>8</v>
      </c>
      <c r="BB271" s="411">
        <f>IF(BA271=0,0,IF($LB271=70%,VLOOKUP($AW271,'Jan-2026 rates'!$L:$R,4,0),IF($LB271=65%,VLOOKUP($AW271,'Jan-2026 rates'!$L:$R,4,0),IF($LB271=40%,VLOOKUP($AW271,'Jan-2026 rates'!$L:$R,5,0),IF($LB271=30%,VLOOKUP($AW271,'Jan-2026 rates'!$L:$R,6,0),IF($LB271=100%,VLOOKUP($AW271,'Jan-2026 rates'!$L:$R,7,0),IF($LB271=60%,VLOOKUP($AW271,'Jan-2026 rates'!$L:$S,8,0),IF($LB271=80%,VLOOKUP($AW271,'Jan-2026 rates'!L:T,9,0),0))))))))</f>
        <v>0</v>
      </c>
      <c r="BC271" s="413" t="s">
        <v>1266</v>
      </c>
      <c r="BD271" s="412">
        <v>26521000006</v>
      </c>
      <c r="BE271" s="412">
        <v>26520000006</v>
      </c>
      <c r="BF271" s="413"/>
      <c r="BG271" s="412"/>
      <c r="BH271" s="412"/>
      <c r="BI271" s="412"/>
      <c r="BJ271" s="412"/>
      <c r="BK271" s="409">
        <v>20</v>
      </c>
      <c r="BL271" s="398">
        <f>IF(BK271=0,0,IF(LEN(BC271)=11,_xlfn.XLOOKUP(BC271,'Dispensed Ink Rates'!C:C,'Dispensed Ink Rates'!CS:CS),VLOOKUP(BC271,'Jan-2026 rates'!$E:$F,2,0)))</f>
        <v>0</v>
      </c>
      <c r="BM271" s="409">
        <v>2</v>
      </c>
      <c r="BN271" s="398" t="e">
        <f>IF(BM271=0,0,IF(LEN(BD271)=11,_xlfn.XLOOKUP(BD271,'Dispensed Ink Rates'!C:C,'Dispensed Ink Rates'!CS:CS),VLOOKUP(BD271,'Jan-2026 rates'!$E:$F,2,0)))</f>
        <v>#N/A</v>
      </c>
      <c r="BO271" s="409">
        <f>6+1</f>
        <v>7</v>
      </c>
      <c r="BP271" s="398" t="e">
        <f>IF(BO271=0,0,IF(LEN(BE271)=11,_xlfn.XLOOKUP(BE271,'Dispensed Ink Rates'!C:C,'Dispensed Ink Rates'!CS:CS),VLOOKUP(BE271,'Jan-2026 rates'!$E:$F,2,0)))</f>
        <v>#N/A</v>
      </c>
      <c r="BQ271" s="409"/>
      <c r="BR271" s="398">
        <f>IF(BQ271=0,0,IF(LEN(BF271)=11,_xlfn.XLOOKUP(BF271,'Dispensed Ink Rates'!C:C,'Dispensed Ink Rates'!CS:CS),VLOOKUP(BF271,'Jan-2026 rates'!$E:$F,2,0)))</f>
        <v>0</v>
      </c>
      <c r="BS271" s="409"/>
      <c r="BT271" s="398">
        <f>IF(BS271=0,0,IF(LEN(BG271)=11,_xlfn.XLOOKUP(BG271,'Dispensed Ink Rates'!C:C,'Dispensed Ink Rates'!CS:CS),VLOOKUP(BG271,'Jan-2026 rates'!$E:$F,2,0)))</f>
        <v>0</v>
      </c>
      <c r="BU271" s="409"/>
      <c r="BV271" s="398">
        <f>IF(BU271=0,0,IF(LEN(BH271)=11,_xlfn.XLOOKUP(BH271,'Dispensed Ink Rates'!C:C,'Dispensed Ink Rates'!CS:CS),VLOOKUP(BH271,'Jan-2026 rates'!$E:$F,2,0)))</f>
        <v>0</v>
      </c>
      <c r="BW271" s="409"/>
      <c r="BX271" s="398">
        <f>IF(BW271=0,0,IF(LEN(BI271)=11,_xlfn.XLOOKUP(BI271,'Dispensed Ink Rates'!C:C,'Dispensed Ink Rates'!CS:CS),VLOOKUP(BI271,'Jan-2026 rates'!$E:$F,2,0)))</f>
        <v>0</v>
      </c>
      <c r="BY271" s="409"/>
      <c r="BZ271" s="398">
        <f>IF(BY271=0,0,IF(LEN(BJ271)=11,_xlfn.XLOOKUP(BJ271,'Dispensed Ink Rates'!C:C,'Dispensed Ink Rates'!CS:CS),VLOOKUP(BJ271,'Jan-2026 rates'!$E:$F,2,0)))</f>
        <v>0</v>
      </c>
      <c r="CA271" s="409" t="s">
        <v>1443</v>
      </c>
      <c r="CB271" s="409">
        <v>25</v>
      </c>
      <c r="CC271" s="411">
        <f t="shared" si="215"/>
        <v>0</v>
      </c>
      <c r="CD271" s="411">
        <f t="shared" si="216"/>
        <v>45.454545454545453</v>
      </c>
      <c r="CE271" s="410">
        <f t="shared" si="217"/>
        <v>0</v>
      </c>
      <c r="CF271" s="404" t="s">
        <v>547</v>
      </c>
      <c r="CG271" s="409" t="s">
        <v>4226</v>
      </c>
      <c r="CH271" s="420" t="str">
        <f t="shared" si="185"/>
        <v>FLINTSL - GREEN</v>
      </c>
      <c r="CI271" s="409">
        <v>24</v>
      </c>
      <c r="CJ271" s="411">
        <f>IF(CI271=0,0,IF($LB271=70%,VLOOKUP($CH271,'Jan-2026 rates'!$L:$R,4,0),IF($LB271=65%,VLOOKUP($CH271,'Jan-2026 rates'!$L:$R,4,0),IF($LB271=40%,VLOOKUP($CH271,'Jan-2026 rates'!$L:$R,5,0),IF($LB271=30%,VLOOKUP($CH271,'Jan-2026 rates'!$L:$R,6,0),IF($LB271=100%,VLOOKUP($CH271,'Jan-2026 rates'!$L:$R,7,0),IF($LB271=60%,VLOOKUP($CH271,'Jan-2026 rates'!$L:$S,8,0),IF($LB271=80%,VLOOKUP($CH271,'Jan-2026 rates'!L:T,9,0),0))))))))</f>
        <v>0</v>
      </c>
      <c r="CK271" s="412"/>
      <c r="CL271" s="409"/>
      <c r="CM271" s="411">
        <f>IF(CL271=0,0,IF($LB271=70%,VLOOKUP($CH271,'Jan-2026 rates'!$L:$R,4,0),IF($LB271=65%,VLOOKUP($CH271,'Jan-2026 rates'!$L:$R,4,0),IF($LB271=40%,VLOOKUP($CH271,'Jan-2026 rates'!$L:$R,5,0),IF($LB271=30%,VLOOKUP($CH271,'Jan-2026 rates'!$L:$R,6,0),IF($LB271=100%,VLOOKUP($CH271,'Jan-2026 rates'!$L:$R,7,0),IF($LB271=60%,VLOOKUP($CH271,'Jan-2026 rates'!$L:$S,8,0),IF($LB271=80%,VLOOKUP($CH271,'Jan-2026 rates'!L:T,9,0),0))))))))</f>
        <v>0</v>
      </c>
      <c r="CN271" s="426">
        <v>26522000003</v>
      </c>
      <c r="CO271" s="427">
        <v>26519000016</v>
      </c>
      <c r="CP271" s="426"/>
      <c r="CQ271" s="426"/>
      <c r="CR271" s="428"/>
      <c r="CS271" s="428"/>
      <c r="CT271" s="428"/>
      <c r="CU271" s="428"/>
      <c r="CV271" s="409">
        <f>2+2</f>
        <v>4</v>
      </c>
      <c r="CW271" s="398" t="e">
        <f>IF(CV271=0,0,IF(LEN(CN271)=11,_xlfn.XLOOKUP(CN271,'Dispensed Ink Rates'!C:C,'Dispensed Ink Rates'!CS:CS),VLOOKUP(CN271,'Jan-2026 rates'!$E:$F,2,0)))</f>
        <v>#N/A</v>
      </c>
      <c r="CX271" s="409">
        <v>2</v>
      </c>
      <c r="CY271" s="398" t="e">
        <f>IF(CX271=0,0,IF(LEN(CO271)=11,_xlfn.XLOOKUP(CO271,'Dispensed Ink Rates'!C:C,'Dispensed Ink Rates'!CS:CS),VLOOKUP(CO271,'Jan-2026 rates'!$E:$F,2,0)))</f>
        <v>#N/A</v>
      </c>
      <c r="CZ271" s="409"/>
      <c r="DA271" s="398">
        <f>IF(CZ271=0,0,IF(LEN(CP271)=11,_xlfn.XLOOKUP(CP271,'Dispensed Ink Rates'!C:C,'Dispensed Ink Rates'!CS:CS),VLOOKUP(CP271,'Jan-2026 rates'!$E:$F,2,0)))</f>
        <v>0</v>
      </c>
      <c r="DB271" s="409"/>
      <c r="DC271" s="398">
        <f>IF(DB271=0,0,IF(LEN(CQ271)=11,_xlfn.XLOOKUP(CQ271,'Dispensed Ink Rates'!C:C,'Dispensed Ink Rates'!CS:CS),VLOOKUP(CQ271,'Jan-2026 rates'!$E:$F,2,0)))</f>
        <v>0</v>
      </c>
      <c r="DD271" s="409"/>
      <c r="DE271" s="398">
        <f>IF(DD271=0,0,IF(LEN(CR271)=11,_xlfn.XLOOKUP(CR271,'Dispensed Ink Rates'!C:C,'Dispensed Ink Rates'!CS:CS),VLOOKUP(CR271,'Jan-2026 rates'!$E:$F,2,0)))</f>
        <v>0</v>
      </c>
      <c r="DF271" s="409"/>
      <c r="DG271" s="398">
        <f>IF(DF271=0,0,IF(LEN(CS271)=11,_xlfn.XLOOKUP(CS271,'Dispensed Ink Rates'!C:C,'Dispensed Ink Rates'!CS:CS),VLOOKUP(CS271,'Jan-2026 rates'!$E:$F,2,0)))</f>
        <v>0</v>
      </c>
      <c r="DH271" s="409"/>
      <c r="DI271" s="398">
        <f>IF(DH271=0,0,IF(LEN(CT271)=11,_xlfn.XLOOKUP(CT271,'Dispensed Ink Rates'!C:C,'Dispensed Ink Rates'!CS:CS),VLOOKUP(CT271,'Jan-2026 rates'!$E:$F,2,0)))</f>
        <v>0</v>
      </c>
      <c r="DJ271" s="409"/>
      <c r="DK271" s="398">
        <f>IF(DJ271=0,0,IF(LEN(CU271)=11,_xlfn.XLOOKUP(CU271,'Dispensed Ink Rates'!C:C,'Dispensed Ink Rates'!CS:CS),VLOOKUP(CU271,'Jan-2026 rates'!$E:$F,2,0)))</f>
        <v>0</v>
      </c>
      <c r="DL271" s="409" t="s">
        <v>1443</v>
      </c>
      <c r="DM271" s="409">
        <v>24</v>
      </c>
      <c r="DN271" s="411">
        <f t="shared" si="218"/>
        <v>0</v>
      </c>
      <c r="DO271" s="411">
        <f t="shared" si="219"/>
        <v>11.727272727272727</v>
      </c>
      <c r="DP271" s="410">
        <f t="shared" si="220"/>
        <v>0</v>
      </c>
      <c r="DQ271" s="405" t="s">
        <v>545</v>
      </c>
      <c r="DR271" s="409"/>
      <c r="DS271" s="420" t="str">
        <f t="shared" si="186"/>
        <v>FLINTSL - YELLOW</v>
      </c>
      <c r="DT271" s="409"/>
      <c r="DU271" s="411">
        <f>IF(DT271=0,0,IF($LB271=70%,VLOOKUP($DS271,'Jan-2026 rates'!$L:$R,4,0),IF($LB271=65%,VLOOKUP($DS271,'Jan-2026 rates'!$L:$R,4,0),IF($LB271=40%,VLOOKUP($DS271,'Jan-2026 rates'!$L:$R,5,0),IF($LB271=30%,VLOOKUP($DS271,'Jan-2026 rates'!$L:$R,6,0),IF($LB271=100%,VLOOKUP($DS271,'Jan-2026 rates'!$L:$R,7,0),IF($LB271=60%,VLOOKUP($DS271,'Jan-2026 rates'!$L:$S,8,0),IF($LB271=80%,VLOOKUP($DS271,'Jan-2026 rates'!L:T,9,0),0))))))))</f>
        <v>0</v>
      </c>
      <c r="DV271" s="412"/>
      <c r="DW271" s="409"/>
      <c r="DX271" s="411">
        <f>IF(DW271=0,0,IF($LB271=70%,VLOOKUP($DS271,'Jan-2026 rates'!$L:$R,4,0),IF($LB271=65%,VLOOKUP($DS271,'Jan-2026 rates'!$L:$R,4,0),IF($LB271=40%,VLOOKUP($DS271,'Jan-2026 rates'!$L:$R,5,0),IF($LB271=30%,VLOOKUP($DS271,'Jan-2026 rates'!$L:$R,6,0),IF($LB271=100%,VLOOKUP($DS271,'Jan-2026 rates'!$L:$R,7,0),IF($LB271=60%,VLOOKUP($DS271,'Jan-2026 rates'!$L:$S,8,0),IF($LB271=80%,VLOOKUP($DS271,'Jan-2026 rates'!L:T,9,0),0))))))))</f>
        <v>0</v>
      </c>
      <c r="DY271" s="413">
        <v>26522000003</v>
      </c>
      <c r="DZ271" s="413" t="s">
        <v>1266</v>
      </c>
      <c r="EA271" s="412"/>
      <c r="EB271" s="412"/>
      <c r="EC271" s="412"/>
      <c r="ED271" s="412"/>
      <c r="EE271" s="412"/>
      <c r="EF271" s="412"/>
      <c r="EG271" s="409">
        <v>20</v>
      </c>
      <c r="EH271" s="398" t="e">
        <f>IF(EG271=0,0,IF(LEN(DY271)=11,_xlfn.XLOOKUP(DY271,'Dispensed Ink Rates'!C:C,'Dispensed Ink Rates'!CS:CS),VLOOKUP(DY271,'Jan-2026 rates'!$E:$F,2,0)))</f>
        <v>#N/A</v>
      </c>
      <c r="EI271" s="409">
        <v>4</v>
      </c>
      <c r="EJ271" s="398">
        <f>IF(EI271=0,0,IF(LEN(DZ271)=11,_xlfn.XLOOKUP(DZ271,'Dispensed Ink Rates'!C:C,'Dispensed Ink Rates'!CS:CS),VLOOKUP(DZ271,'Jan-2026 rates'!$E:$F,2,0)))</f>
        <v>0</v>
      </c>
      <c r="EK271" s="409"/>
      <c r="EL271" s="398">
        <f>IF(EK271=0,0,IF(LEN(EA271)=11,_xlfn.XLOOKUP(EA271,'Dispensed Ink Rates'!C:C,'Dispensed Ink Rates'!CS:CS),VLOOKUP(EA271,'Jan-2026 rates'!$E:$F,2,0)))</f>
        <v>0</v>
      </c>
      <c r="EM271" s="409"/>
      <c r="EN271" s="398">
        <f>IF(EM271=0,0,IF(LEN(EB271)=11,_xlfn.XLOOKUP(EB271,'Dispensed Ink Rates'!C:C,'Dispensed Ink Rates'!CS:CS),VLOOKUP(EB271,'Jan-2026 rates'!$E:$F,2,0)))</f>
        <v>0</v>
      </c>
      <c r="EO271" s="409"/>
      <c r="EP271" s="398">
        <f>IF(EO271=0,0,IF(LEN(EC271)=11,_xlfn.XLOOKUP(EC271,'Dispensed Ink Rates'!C:C,'Dispensed Ink Rates'!CS:CS),VLOOKUP(EC271,'Jan-2026 rates'!$E:$F,2,0)))</f>
        <v>0</v>
      </c>
      <c r="EQ271" s="409"/>
      <c r="ER271" s="398">
        <f>IF(EQ271=0,0,IF(LEN(ED271)=11,_xlfn.XLOOKUP(ED271,'Dispensed Ink Rates'!C:C,'Dispensed Ink Rates'!CS:CS),VLOOKUP(ED271,'Jan-2026 rates'!$E:$F,2,0)))</f>
        <v>0</v>
      </c>
      <c r="ES271" s="409"/>
      <c r="ET271" s="398">
        <f>IF(ES271=0,0,IF(LEN(EE271)=11,_xlfn.XLOOKUP(EE271,'Dispensed Ink Rates'!C:C,'Dispensed Ink Rates'!CS:CS),VLOOKUP(EE271,'Jan-2026 rates'!$E:$F,2,0)))</f>
        <v>0</v>
      </c>
      <c r="EU271" s="409"/>
      <c r="EV271" s="398">
        <f>IF(EU271=0,0,IF(LEN(EF271)=11,_xlfn.XLOOKUP(EF271,'Dispensed Ink Rates'!C:C,'Dispensed Ink Rates'!CS:CS),VLOOKUP(EF271,'Jan-2026 rates'!$E:$F,2,0)))</f>
        <v>0</v>
      </c>
      <c r="EW271" s="409" t="s">
        <v>1443</v>
      </c>
      <c r="EX271" s="409">
        <v>25</v>
      </c>
      <c r="EY271" s="411">
        <f t="shared" si="221"/>
        <v>0</v>
      </c>
      <c r="EZ271" s="411">
        <f t="shared" si="222"/>
        <v>10.454545454545453</v>
      </c>
      <c r="FA271" s="410">
        <f t="shared" si="223"/>
        <v>0</v>
      </c>
      <c r="FB271" s="405" t="s">
        <v>544</v>
      </c>
      <c r="FC271" s="409" t="s">
        <v>4227</v>
      </c>
      <c r="FD271" s="420" t="str">
        <f t="shared" si="187"/>
        <v>FLINTSL - MAGENTA</v>
      </c>
      <c r="FE271" s="409">
        <v>28</v>
      </c>
      <c r="FF271" s="411">
        <f>IF(FE271=0,0,IF($LB271=70%,VLOOKUP($FD271,'Jan-2026 rates'!$L:$R,4,0),IF($LB271=65%,VLOOKUP($FD271,'Jan-2026 rates'!$L:$R,4,0),IF($LB271=40%,VLOOKUP($FD271,'Jan-2026 rates'!$L:$R,5,0),IF($LB271=30%,VLOOKUP($FD271,'Jan-2026 rates'!$L:$R,6,0),IF($LB271=100%,VLOOKUP($FD271,'Jan-2026 rates'!$L:$R,7,0),IF($LB271=60%,VLOOKUP($FD271,'Jan-2026 rates'!$L:$S,8,0),IF($LB271=80%,VLOOKUP($FD271,'Jan-2026 rates'!L:T,9,0),0))))))))</f>
        <v>0</v>
      </c>
      <c r="FG271" s="412"/>
      <c r="FH271" s="409"/>
      <c r="FI271" s="411">
        <f>IF(FH271=0,0,IF($LB271=70%,VLOOKUP($FD271,'Jan-2026 rates'!$L:$R,4,0),IF($LB271=65%,VLOOKUP($FD271,'Jan-2026 rates'!$L:$R,4,0),IF($LB271=40%,VLOOKUP($FD271,'Jan-2026 rates'!$L:$R,5,0),IF($LB271=30%,VLOOKUP($FD271,'Jan-2026 rates'!$L:$R,6,0),IF($LB271=100%,VLOOKUP($FD271,'Jan-2026 rates'!$L:$R,7,0),IF($LB271=60%,VLOOKUP($FD271,'Jan-2026 rates'!$L:$S,8,0),IF($LB271=80%,VLOOKUP($FD271,'Jan-2026 rates'!L:T,9,0),0))))))))</f>
        <v>0</v>
      </c>
      <c r="FJ271" s="413" t="s">
        <v>1266</v>
      </c>
      <c r="FK271" s="413">
        <v>26521000005</v>
      </c>
      <c r="FL271" s="413"/>
      <c r="FM271" s="412"/>
      <c r="FN271" s="412"/>
      <c r="FO271" s="412"/>
      <c r="FP271" s="412"/>
      <c r="FQ271" s="412"/>
      <c r="FR271" s="409">
        <v>4</v>
      </c>
      <c r="FS271" s="398">
        <f>IF(FR271=0,0,IF(LEN(FJ271)=11,_xlfn.XLOOKUP(FJ271,'Dispensed Ink Rates'!C:C,'Dispensed Ink Rates'!CS:CS),VLOOKUP(FJ271,'Jan-2026 rates'!$E:$F,2,0)))</f>
        <v>0</v>
      </c>
      <c r="FT271" s="409">
        <v>2</v>
      </c>
      <c r="FU271" s="398" t="e">
        <f>IF(FT271=0,0,IF(LEN(FK271)=11,_xlfn.XLOOKUP(FK271,'Dispensed Ink Rates'!C:C,'Dispensed Ink Rates'!CS:CS),VLOOKUP(FK271,'Jan-2026 rates'!$E:$F,2,0)))</f>
        <v>#N/A</v>
      </c>
      <c r="FV271" s="409"/>
      <c r="FW271" s="398">
        <f>IF(FV271=0,0,IF(LEN(FL271)=11,_xlfn.XLOOKUP(FL271,'Dispensed Ink Rates'!C:C,'Dispensed Ink Rates'!CS:CS),VLOOKUP(FL271,'Jan-2026 rates'!$E:$F,2,0)))</f>
        <v>0</v>
      </c>
      <c r="FX271" s="409"/>
      <c r="FY271" s="398">
        <f>IF(FX271=0,0,IF(LEN(FM271)=11,_xlfn.XLOOKUP(FM271,'Dispensed Ink Rates'!C:C,'Dispensed Ink Rates'!CS:CS),VLOOKUP(FM271,'Jan-2026 rates'!$E:$F,2,0)))</f>
        <v>0</v>
      </c>
      <c r="FZ271" s="409"/>
      <c r="GA271" s="398">
        <f>IF(FZ271=0,0,IF(LEN(FN271)=11,_xlfn.XLOOKUP(FN271,'Dispensed Ink Rates'!C:C,'Dispensed Ink Rates'!CS:CS),VLOOKUP(FN271,'Jan-2026 rates'!$E:$F,2,0)))</f>
        <v>0</v>
      </c>
      <c r="GB271" s="409"/>
      <c r="GC271" s="398">
        <f>IF(GB271=0,0,IF(LEN(FO271)=11,_xlfn.XLOOKUP(FO271,'Dispensed Ink Rates'!C:C,'Dispensed Ink Rates'!CS:CS),VLOOKUP(FO271,'Jan-2026 rates'!$E:$F,2,0)))</f>
        <v>0</v>
      </c>
      <c r="GD271" s="409"/>
      <c r="GE271" s="398">
        <f>IF(GD271=0,0,IF(LEN(FP271)=11,_xlfn.XLOOKUP(FP271,'Dispensed Ink Rates'!C:C,'Dispensed Ink Rates'!CS:CS),VLOOKUP(FP271,'Jan-2026 rates'!$E:$F,2,0)))</f>
        <v>0</v>
      </c>
      <c r="GF271" s="409"/>
      <c r="GG271" s="398">
        <f>IF(GF271=0,0,IF(LEN(FQ271)=11,_xlfn.XLOOKUP(FQ271,'Dispensed Ink Rates'!C:C,'Dispensed Ink Rates'!CS:CS),VLOOKUP(FQ271,'Jan-2026 rates'!$E:$F,2,0)))</f>
        <v>0</v>
      </c>
      <c r="GH271" s="409" t="s">
        <v>1443</v>
      </c>
      <c r="GI271" s="409">
        <v>30</v>
      </c>
      <c r="GJ271" s="411">
        <f t="shared" si="224"/>
        <v>0</v>
      </c>
      <c r="GK271" s="411">
        <f t="shared" si="225"/>
        <v>9.7272727272727266</v>
      </c>
      <c r="GL271" s="410">
        <f t="shared" si="226"/>
        <v>0</v>
      </c>
      <c r="GM271" s="405" t="s">
        <v>545</v>
      </c>
      <c r="GN271" s="409" t="s">
        <v>4228</v>
      </c>
      <c r="GO271" s="420" t="str">
        <f t="shared" si="188"/>
        <v>FLINTSL - YELLOW</v>
      </c>
      <c r="GP271" s="409">
        <v>29</v>
      </c>
      <c r="GQ271" s="411">
        <f>IF(GP271=0,0,IF($LB271=70%,VLOOKUP($GO271,'Jan-2026 rates'!$L:$R,4,0),IF($LB271=65%,VLOOKUP($GO271,'Jan-2026 rates'!$L:$R,4,0),IF($LB271=40%,VLOOKUP($GO271,'Jan-2026 rates'!$L:$R,5,0),IF($LB271=30%,VLOOKUP($GO271,'Jan-2026 rates'!$L:$R,6,0),IF($LB271=100%,VLOOKUP($GO271,'Jan-2026 rates'!$L:$R,7,0),IF($LB271=60%,VLOOKUP($GO271,'Jan-2026 rates'!$L:$S,8,0),IF($LB271=80%,VLOOKUP($GO271,'Jan-2026 rates'!L:T,9,0),0))))))))</f>
        <v>0</v>
      </c>
      <c r="GR271" s="412"/>
      <c r="GS271" s="409"/>
      <c r="GT271" s="411">
        <f>IF(GS271=0,0,IF($LB271=70%,VLOOKUP($GO271,'Jan-2026 rates'!$L:$R,4,0),IF($LB271=65%,VLOOKUP($GO271,'Jan-2026 rates'!$L:$R,4,0),IF($LB271=40%,VLOOKUP($GO271,'Jan-2026 rates'!$L:$R,5,0),IF($LB271=30%,VLOOKUP($GO271,'Jan-2026 rates'!$L:$R,6,0),IF($LB271=100%,VLOOKUP($GO271,'Jan-2026 rates'!$L:$R,7,0),IF($LB271=60%,VLOOKUP($GO271,'Jan-2026 rates'!$L:$S,8,0),IF($LB271=80%,VLOOKUP($GO271,'Jan-2026 rates'!L:T,9,0),0))))))))</f>
        <v>0</v>
      </c>
      <c r="GU271" s="413">
        <v>26522000003</v>
      </c>
      <c r="GV271" s="413"/>
      <c r="GW271" s="412"/>
      <c r="GX271" s="412"/>
      <c r="GY271" s="412"/>
      <c r="GZ271" s="412"/>
      <c r="HA271" s="412"/>
      <c r="HB271" s="412"/>
      <c r="HC271" s="409">
        <f>2+4</f>
        <v>6</v>
      </c>
      <c r="HD271" s="398" t="e">
        <f>IF(HC271=0,0,IF(LEN(GU271)=11,_xlfn.XLOOKUP(GU271,'Dispensed Ink Rates'!C:C,'Dispensed Ink Rates'!CS:CS),VLOOKUP(GU271,'Jan-2026 rates'!$E:$F,2,0)))</f>
        <v>#N/A</v>
      </c>
      <c r="HE271" s="409"/>
      <c r="HF271" s="398">
        <f>IF(HE271=0,0,IF(LEN(GV271)=11,_xlfn.XLOOKUP(GV271,'Dispensed Ink Rates'!C:C,'Dispensed Ink Rates'!CS:CS),VLOOKUP(GV271,'Jan-2026 rates'!$E:$F,2,0)))</f>
        <v>0</v>
      </c>
      <c r="HG271" s="409"/>
      <c r="HH271" s="398">
        <f>IF(HG271=0,0,IF(LEN(GW271)=11,_xlfn.XLOOKUP(GW271,'Dispensed Ink Rates'!C:C,'Dispensed Ink Rates'!CS:CS),VLOOKUP(GW271,'Jan-2026 rates'!$E:$F,2,0)))</f>
        <v>0</v>
      </c>
      <c r="HI271" s="409"/>
      <c r="HJ271" s="398">
        <f>IF(HI271=0,0,IF(LEN(GX271)=11,_xlfn.XLOOKUP(GX271,'Dispensed Ink Rates'!C:C,'Dispensed Ink Rates'!CS:CS),VLOOKUP(GX271,'Jan-2026 rates'!$E:$F,2,0)))</f>
        <v>0</v>
      </c>
      <c r="HK271" s="409"/>
      <c r="HL271" s="398">
        <f>IF(HK271=0,0,IF(LEN(GY271)=11,_xlfn.XLOOKUP(GY271,'Dispensed Ink Rates'!C:C,'Dispensed Ink Rates'!CS:CS),VLOOKUP(GY271,'Jan-2026 rates'!$E:$F,2,0)))</f>
        <v>0</v>
      </c>
      <c r="HM271" s="409"/>
      <c r="HN271" s="398">
        <f>IF(HM271=0,0,IF(LEN(GZ271)=11,_xlfn.XLOOKUP(GZ271,'Dispensed Ink Rates'!C:C,'Dispensed Ink Rates'!CS:CS),VLOOKUP(GZ271,'Jan-2026 rates'!$E:$F,2,0)))</f>
        <v>0</v>
      </c>
      <c r="HO271" s="409"/>
      <c r="HP271" s="398">
        <f>IF(HO271=0,0,IF(LEN(HA271)=11,_xlfn.XLOOKUP(HA271,'Dispensed Ink Rates'!C:C,'Dispensed Ink Rates'!CS:CS),VLOOKUP(HA271,'Jan-2026 rates'!$E:$F,2,0)))</f>
        <v>0</v>
      </c>
      <c r="HQ271" s="409"/>
      <c r="HR271" s="398">
        <f>IF(HQ271=0,0,IF(LEN(HB271)=11,_xlfn.XLOOKUP(HB271,'Dispensed Ink Rates'!C:C,'Dispensed Ink Rates'!CS:CS),VLOOKUP(HB271,'Jan-2026 rates'!$E:$F,2,0)))</f>
        <v>0</v>
      </c>
      <c r="HS271" s="409" t="s">
        <v>1443</v>
      </c>
      <c r="HT271" s="409">
        <v>25</v>
      </c>
      <c r="HU271" s="411">
        <f t="shared" si="227"/>
        <v>0</v>
      </c>
      <c r="HV271" s="411">
        <f t="shared" si="228"/>
        <v>15.727272727272727</v>
      </c>
      <c r="HW271" s="414">
        <f t="shared" si="229"/>
        <v>0</v>
      </c>
      <c r="HX271" s="405" t="s">
        <v>856</v>
      </c>
      <c r="HY271" s="409" t="s">
        <v>4229</v>
      </c>
      <c r="HZ271" s="420" t="str">
        <f t="shared" si="189"/>
        <v>FLINTSL - WHITE</v>
      </c>
      <c r="IA271" s="409">
        <v>30</v>
      </c>
      <c r="IB271" s="411">
        <f>IF(IA271=0,0,IF($LB271=70%,VLOOKUP($HZ271,'Jan-2026 rates'!$L:$R,4,0),IF($LB271=65%,VLOOKUP($HZ271,'Jan-2026 rates'!$L:$R,4,0),IF($LB271=40%,VLOOKUP($HZ271,'Jan-2026 rates'!$L:$R,5,0),IF($LB271=30%,VLOOKUP($HZ271,'Jan-2026 rates'!$L:$R,6,0),IF($LB271=100%,VLOOKUP($HZ271,'Jan-2026 rates'!$L:$R,7,0),IF($LB271=60%,VLOOKUP($HZ271,'Jan-2026 rates'!$L:$S,8,0),IF($LB271=80%,VLOOKUP($HZ271,'Jan-2026 rates'!L:T,9,0),0))))))))</f>
        <v>0</v>
      </c>
      <c r="IC271" s="412"/>
      <c r="ID271" s="409"/>
      <c r="IE271" s="411">
        <f>IF(ID271=0,0,IF($LB271=70%,VLOOKUP($HZ271,'Jan-2026 rates'!$L:$R,4,0),IF($LB271=65%,VLOOKUP($HZ271,'Jan-2026 rates'!$L:$R,4,0),IF($LB271=40%,VLOOKUP($HZ271,'Jan-2026 rates'!$L:$R,5,0),IF($LB271=30%,VLOOKUP($HZ271,'Jan-2026 rates'!$L:$R,6,0),IF($LB271=100%,VLOOKUP($HZ271,'Jan-2026 rates'!$L:$R,7,0),IF($LB271=60%,VLOOKUP($HZ271,'Jan-2026 rates'!$L:$S,8,0),IF($LB271=80%,VLOOKUP($HZ271,'Jan-2026 rates'!L:T,9,0),0))))))))</f>
        <v>0</v>
      </c>
      <c r="IF271" s="412" t="s">
        <v>484</v>
      </c>
      <c r="IG271" s="413"/>
      <c r="IH271" s="412"/>
      <c r="II271" s="412"/>
      <c r="IJ271" s="412"/>
      <c r="IK271" s="412"/>
      <c r="IL271" s="412"/>
      <c r="IM271" s="412"/>
      <c r="IN271" s="409">
        <v>25</v>
      </c>
      <c r="IO271" s="398">
        <f>IF(IN271=0,0,IF(LEN(IF271)=11,_xlfn.XLOOKUP(IF271,'Dispensed Ink Rates'!C:C,'Dispensed Ink Rates'!CS:CS),VLOOKUP(IF271,'Jan-2026 rates'!$E:$F,2,0)))</f>
        <v>0</v>
      </c>
      <c r="IP271" s="409"/>
      <c r="IQ271" s="398">
        <f>IF(IP271=0,0,IF(LEN(IG271)=11,_xlfn.XLOOKUP(IG271,'Dispensed Ink Rates'!C:C,'Dispensed Ink Rates'!CS:CS),VLOOKUP(IG271,'Jan-2026 rates'!$E:$F,2,0)))</f>
        <v>0</v>
      </c>
      <c r="IR271" s="409"/>
      <c r="IS271" s="398">
        <f>IF(IR271=0,0,IF(LEN(IH271)=11,_xlfn.XLOOKUP(IH271,'Dispensed Ink Rates'!C:C,'Dispensed Ink Rates'!CS:CS),VLOOKUP(IH271,'Jan-2026 rates'!$E:$F,2,0)))</f>
        <v>0</v>
      </c>
      <c r="IT271" s="409"/>
      <c r="IU271" s="398">
        <f>IF(IT271=0,0,IF(LEN(II271)=11,_xlfn.XLOOKUP(II271,'Dispensed Ink Rates'!C:C,'Dispensed Ink Rates'!CS:CS),VLOOKUP(II271,'Jan-2026 rates'!$E:$F,2,0)))</f>
        <v>0</v>
      </c>
      <c r="IV271" s="409"/>
      <c r="IW271" s="398">
        <f>IF(IV271=0,0,IF(LEN(IJ271)=11,_xlfn.XLOOKUP(IJ271,'Dispensed Ink Rates'!C:C,'Dispensed Ink Rates'!CS:CS),VLOOKUP(IJ271,'Jan-2026 rates'!$E:$F,2,0)))</f>
        <v>0</v>
      </c>
      <c r="IX271" s="409"/>
      <c r="IY271" s="398">
        <f>IF(IX271=0,0,IF(LEN(IK271)=11,_xlfn.XLOOKUP(IK271,'Dispensed Ink Rates'!C:C,'Dispensed Ink Rates'!CS:CS),VLOOKUP(IK271,'Jan-2026 rates'!$E:$F,2,0)))</f>
        <v>0</v>
      </c>
      <c r="IZ271" s="409"/>
      <c r="JA271" s="398">
        <f>IF(IZ271=0,0,IF(LEN(IL271)=11,_xlfn.XLOOKUP(IL271,'Dispensed Ink Rates'!C:C,'Dispensed Ink Rates'!CS:CS),VLOOKUP(IL271,'Jan-2026 rates'!$E:$F,2,0)))</f>
        <v>0</v>
      </c>
      <c r="JB271" s="409"/>
      <c r="JC271" s="398">
        <f>IF(JB271=0,0,IF(LEN(IM271)=11,_xlfn.XLOOKUP(IM271,'Dispensed Ink Rates'!C:C,'Dispensed Ink Rates'!CS:CS),VLOOKUP(IM271,'Jan-2026 rates'!$E:$F,2,0)))</f>
        <v>0</v>
      </c>
      <c r="JD271" s="409" t="s">
        <v>1443</v>
      </c>
      <c r="JE271" s="409">
        <v>24</v>
      </c>
      <c r="JF271" s="411">
        <f t="shared" si="230"/>
        <v>0</v>
      </c>
      <c r="JG271" s="411">
        <f t="shared" si="231"/>
        <v>48.181818181818187</v>
      </c>
      <c r="JH271" s="410">
        <f t="shared" si="232"/>
        <v>0</v>
      </c>
      <c r="JI271" s="405"/>
      <c r="JJ271" s="409"/>
      <c r="JK271" s="420" t="str">
        <f t="shared" si="190"/>
        <v xml:space="preserve"> - </v>
      </c>
      <c r="JL271" s="409"/>
      <c r="JM271" s="411">
        <f>IF(JL271=0,0,IF($LB271=70%,VLOOKUP($JK271,'Jan-2026 rates'!$L:$R,4,0),IF($LB271=65%,VLOOKUP($JK271,'Jan-2026 rates'!$L:$R,4,0),IF($LB271=40%,VLOOKUP($JK271,'Jan-2026 rates'!$L:$R,5,0),IF($LB271=30%,VLOOKUP($JK271,'Jan-2026 rates'!$L:$R,6,0),IF($LB271=100%,VLOOKUP($JK271,'Jan-2026 rates'!$L:$R,7,0),IF($LB271=60%,VLOOKUP($JK271,'Jan-2026 rates'!$L:$S,8,0),IF($LB271=80%,VLOOKUP($JK271,'Jan-2026 rates'!L:T,9,0),0))))))))</f>
        <v>0</v>
      </c>
      <c r="JN271" s="412"/>
      <c r="JO271" s="409"/>
      <c r="JP271" s="411">
        <f>IF(JO271=0,0,IF($LB271=70%,VLOOKUP($JK271,'Jan-2026 rates'!$L:$R,4,0),IF($LB271=65%,VLOOKUP($JK271,'Jan-2026 rates'!$L:$R,4,0),IF($LB271=40%,VLOOKUP($JK271,'Jan-2026 rates'!$L:$R,5,0),IF($LB271=30%,VLOOKUP($JK271,'Jan-2026 rates'!$L:$R,6,0),IF($LB271=100%,VLOOKUP($JK271,'Jan-2026 rates'!$L:$R,7,0),IF($LB271=60%,VLOOKUP($JK271,'Jan-2026 rates'!$L:$S,8,0),IF($LB271=80%,VLOOKUP($JK271,'Jan-2026 rates'!L:T,9,0),0))))))))</f>
        <v>0</v>
      </c>
      <c r="JQ271" s="413"/>
      <c r="JR271" s="412"/>
      <c r="JS271" s="413"/>
      <c r="JT271" s="413"/>
      <c r="JU271" s="412"/>
      <c r="JV271" s="412"/>
      <c r="JW271" s="412"/>
      <c r="JX271" s="412"/>
      <c r="JY271" s="409"/>
      <c r="JZ271" s="398">
        <f>IF(JY271=0,0,IF(LEN(JQ271)=11,_xlfn.XLOOKUP(JQ271,'Dispensed Ink Rates'!C:C,'Dispensed Ink Rates'!CS:CS),VLOOKUP(JQ271,'Jan-2026 rates'!$E:$F,2,0)))</f>
        <v>0</v>
      </c>
      <c r="KA271" s="409"/>
      <c r="KB271" s="398">
        <f>IF(KA271=0,0,IF(LEN(JR271)=11,_xlfn.XLOOKUP(JR271,'Dispensed Ink Rates'!C:C,'Dispensed Ink Rates'!CS:CS),VLOOKUP(JR271,'Jan-2026 rates'!$E:$F,2,0)))</f>
        <v>0</v>
      </c>
      <c r="KC271" s="409"/>
      <c r="KD271" s="398">
        <f>IF(KC271=0,0,IF(LEN(JS271)=11,_xlfn.XLOOKUP(JS271,'Dispensed Ink Rates'!C:C,'Dispensed Ink Rates'!CS:CS),VLOOKUP(JS271,'Jan-2026 rates'!$E:$F,2,0)))</f>
        <v>0</v>
      </c>
      <c r="KE271" s="409"/>
      <c r="KF271" s="398">
        <f>IF(KE271=0,0,IF(LEN(JT271)=11,_xlfn.XLOOKUP(JT271,'Dispensed Ink Rates'!C:C,'Dispensed Ink Rates'!CS:CS),VLOOKUP(JT271,'Jan-2026 rates'!$E:$F,2,0)))</f>
        <v>0</v>
      </c>
      <c r="KG271" s="409"/>
      <c r="KH271" s="398">
        <f>IF(KG271=0,0,IF(LEN(JU271)=11,_xlfn.XLOOKUP(JU271,'Dispensed Ink Rates'!C:C,'Dispensed Ink Rates'!CS:CS),VLOOKUP(JU271,'Jan-2026 rates'!$E:$F,2,0)))</f>
        <v>0</v>
      </c>
      <c r="KI271" s="409"/>
      <c r="KJ271" s="398">
        <f>IF(KI271=0,0,IF(LEN(JV271)=11,_xlfn.XLOOKUP(JV271,'Dispensed Ink Rates'!C:C,'Dispensed Ink Rates'!CS:CS),VLOOKUP(JV271,'Jan-2026 rates'!$E:$F,2,0)))</f>
        <v>0</v>
      </c>
      <c r="KK271" s="409"/>
      <c r="KL271" s="398">
        <f>IF(KK271=0,0,IF(LEN(JW271)=11,_xlfn.XLOOKUP(JW271,'Dispensed Ink Rates'!C:C,'Dispensed Ink Rates'!CS:CS),VLOOKUP(JW271,'Jan-2026 rates'!$E:$F,2,0)))</f>
        <v>0</v>
      </c>
      <c r="KM271" s="428"/>
      <c r="KN271" s="398">
        <f>IF(KM271=0,0,IF(LEN(JX271)=11,_xlfn.XLOOKUP(JX271,'Dispensed Ink Rates'!C:C,'Dispensed Ink Rates'!CS:CS),VLOOKUP(JX271,'Jan-2026 rates'!$E:$F,2,0)))</f>
        <v>0</v>
      </c>
      <c r="KO271" s="409"/>
      <c r="KP271" s="409"/>
      <c r="KQ271" s="411">
        <f t="shared" si="233"/>
        <v>0</v>
      </c>
      <c r="KR271" s="411">
        <f t="shared" si="234"/>
        <v>0</v>
      </c>
      <c r="KS271" s="410">
        <f t="shared" si="235"/>
        <v>0</v>
      </c>
      <c r="KT271" s="409">
        <v>5</v>
      </c>
      <c r="KU271" s="409">
        <v>10</v>
      </c>
      <c r="KV271" s="409">
        <v>5</v>
      </c>
      <c r="KW271" s="409">
        <v>10</v>
      </c>
      <c r="KX271" s="409">
        <v>5</v>
      </c>
      <c r="KY271" s="409">
        <v>5</v>
      </c>
      <c r="KZ271" s="409">
        <v>15</v>
      </c>
      <c r="LA271" s="409">
        <v>0</v>
      </c>
      <c r="LB271" s="415">
        <v>0.8</v>
      </c>
      <c r="LC271" s="415">
        <v>0.2</v>
      </c>
      <c r="LD271" s="415"/>
      <c r="LE271" s="415"/>
      <c r="LF271" s="415"/>
      <c r="LG271" s="409">
        <v>0</v>
      </c>
      <c r="LH271" s="409">
        <f>15+18+24+6</f>
        <v>63</v>
      </c>
      <c r="LI271" s="409">
        <v>0</v>
      </c>
      <c r="LJ271" s="409">
        <v>0</v>
      </c>
      <c r="LK271" s="416">
        <f t="shared" si="191"/>
        <v>63</v>
      </c>
      <c r="LL271" s="416">
        <f t="shared" si="192"/>
        <v>63</v>
      </c>
      <c r="LM271" s="417">
        <f t="shared" si="193"/>
        <v>50.400000000000006</v>
      </c>
      <c r="LN271" s="417">
        <f>VLOOKUP($LM$8,'Jan-2026 rates'!$H:$I,2,0)</f>
        <v>0</v>
      </c>
      <c r="LO271" s="417">
        <f t="shared" si="194"/>
        <v>12.600000000000001</v>
      </c>
      <c r="LP271" s="417">
        <f>VLOOKUP($LO$8,'Jan-2026 rates'!$H:$I,2,0)</f>
        <v>0</v>
      </c>
      <c r="LQ271" s="417">
        <f t="shared" si="195"/>
        <v>0</v>
      </c>
      <c r="LR271" s="417">
        <f>VLOOKUP($LQ$8,'Jan-2026 rates'!$H:$I,2,0)</f>
        <v>0</v>
      </c>
      <c r="LS271" s="417">
        <f t="shared" si="196"/>
        <v>0</v>
      </c>
      <c r="LT271" s="417">
        <f>VLOOKUP($LS$8,'Jan-2026 rates'!$H:$I,2,0)</f>
        <v>0</v>
      </c>
      <c r="LU271" s="417">
        <f t="shared" si="197"/>
        <v>0</v>
      </c>
      <c r="LV271" s="417">
        <f>VLOOKUP($LU$8,'Jan-2026 rates'!$H:$I,2,0)</f>
        <v>0</v>
      </c>
      <c r="LW271" s="417">
        <f t="shared" si="198"/>
        <v>0</v>
      </c>
      <c r="LX271" s="417">
        <f t="shared" si="199"/>
        <v>0</v>
      </c>
      <c r="LY271" s="418">
        <f t="shared" si="200"/>
        <v>0</v>
      </c>
      <c r="LZ271" s="417"/>
      <c r="MA271" s="435">
        <f t="shared" si="201"/>
        <v>100</v>
      </c>
      <c r="MB271" s="282">
        <f t="shared" si="202"/>
        <v>150</v>
      </c>
      <c r="MC271" s="283">
        <v>164</v>
      </c>
      <c r="MD271" s="284" t="str">
        <f t="shared" si="203"/>
        <v>FLINTSLFLINTSLFLINTSLFLINTSLFLINTSLFLINTSLFLINTSL</v>
      </c>
      <c r="ME271" s="293" t="str">
        <f t="shared" si="204"/>
        <v>+</v>
      </c>
      <c r="MF271" s="293" t="str">
        <f t="shared" si="205"/>
        <v>+</v>
      </c>
      <c r="MG271" s="293" t="str">
        <f t="shared" si="206"/>
        <v>+</v>
      </c>
      <c r="MH271" s="293" t="str">
        <f t="shared" si="207"/>
        <v>+</v>
      </c>
      <c r="MI271" s="293" t="str">
        <f t="shared" si="208"/>
        <v>+</v>
      </c>
      <c r="MJ271" s="293" t="str">
        <f t="shared" si="209"/>
        <v>+</v>
      </c>
      <c r="MK271" s="293" t="str">
        <f t="shared" si="210"/>
        <v>+</v>
      </c>
      <c r="ML271" s="293" t="str">
        <f t="shared" si="211"/>
        <v>NIL</v>
      </c>
      <c r="MM271" s="3" t="b">
        <f t="array" ref="MM271">OR(ME271:ML271="-")</f>
        <v>0</v>
      </c>
      <c r="MN271" s="285"/>
      <c r="MO271" s="401"/>
      <c r="MP271" s="286"/>
      <c r="MQ271" s="286"/>
      <c r="MR271" s="402"/>
      <c r="MS271" s="400"/>
      <c r="NH271" s="422"/>
      <c r="NJ271" s="421"/>
    </row>
    <row r="272" spans="1:374" s="1" customFormat="1" ht="16.5">
      <c r="A272" s="403">
        <v>46043</v>
      </c>
      <c r="B272" s="404" t="s">
        <v>1015</v>
      </c>
      <c r="C272" s="405" t="s">
        <v>5135</v>
      </c>
      <c r="D272" s="406">
        <v>165</v>
      </c>
      <c r="E272" s="404">
        <v>487</v>
      </c>
      <c r="F272" s="407">
        <v>20800</v>
      </c>
      <c r="G272" s="407" t="s">
        <v>1019</v>
      </c>
      <c r="H272" s="408" t="s">
        <v>1017</v>
      </c>
      <c r="I272" s="409">
        <v>2</v>
      </c>
      <c r="J272" s="405" t="s">
        <v>543</v>
      </c>
      <c r="K272" s="404" t="s">
        <v>4230</v>
      </c>
      <c r="L272" s="419" t="str">
        <f t="shared" si="184"/>
        <v>FLINTSL - BLACK</v>
      </c>
      <c r="M272" s="404">
        <v>25</v>
      </c>
      <c r="N272" s="410">
        <f>IF(M272=0,0,IF($LB272=70%,VLOOKUP($L272,'Jan-2026 rates'!$L:$R,4,0),IF($LB272=65%,VLOOKUP($L272,'Jan-2026 rates'!$L:$R,4,0),IF($LB272=40%,VLOOKUP($L272,'Jan-2026 rates'!$L:$R,5,0),IF($LB272=30%,VLOOKUP($L272,'Jan-2026 rates'!$L:$R,6,0),IF($LB272=100%,VLOOKUP($L272,'Jan-2026 rates'!$L:$R,7,0),IF($LB272=60%,VLOOKUP($L272,'Jan-2026 rates'!$L:$S,8,0),IF($LB272=80%,VLOOKUP($L272,'Jan-2026 rates'!L:T,9,0),0))))))))</f>
        <v>0</v>
      </c>
      <c r="O272" s="406"/>
      <c r="P272" s="404"/>
      <c r="Q272" s="410">
        <f>IF(P272=0,0,IF($LB272=70%,VLOOKUP($L272,'Jan-2026 rates'!$L:$R,4,0),IF($LB272=65%,VLOOKUP($L272,'Jan-2026 rates'!$L:$R,4,0),IF($LB272=40%,VLOOKUP($L272,'Jan-2026 rates'!$L:$R,5,0),IF($LB272=30%,VLOOKUP($L272,'Jan-2026 rates'!$L:$R,6,0),IF($LB272=100%,VLOOKUP($L272,'Jan-2026 rates'!$L:$R,7,0),IF($LB272=60%,VLOOKUP($L272,'Jan-2026 rates'!$L:$S,8,0),IF($LB272=80%,VLOOKUP($L272,'Jan-2026 rates'!L:T,9,0),0))))))))</f>
        <v>0</v>
      </c>
      <c r="R272" s="406">
        <v>26519000016</v>
      </c>
      <c r="S272" s="406"/>
      <c r="T272" s="406"/>
      <c r="U272" s="406"/>
      <c r="V272" s="406"/>
      <c r="W272" s="406"/>
      <c r="X272" s="406"/>
      <c r="Y272" s="406"/>
      <c r="Z272" s="404">
        <v>2</v>
      </c>
      <c r="AA272" s="398" t="e">
        <f>IF(Z272=0,0,IF(LEN(R272)=11,_xlfn.XLOOKUP(R272,'Dispensed Ink Rates'!C:C,'Dispensed Ink Rates'!CS:CS),VLOOKUP(R272,'Jan-2026 rates'!$E:$F,2,0)))</f>
        <v>#N/A</v>
      </c>
      <c r="AB272" s="404"/>
      <c r="AC272" s="398">
        <f>IF(AB272=0,0,IF(LEN(S272)=11,_xlfn.XLOOKUP(S272,'Dispensed Ink Rates'!C:C,'Dispensed Ink Rates'!CS:CS),VLOOKUP(S272,'Jan-2026 rates'!$E:$F,2,0)))</f>
        <v>0</v>
      </c>
      <c r="AD272" s="404"/>
      <c r="AE272" s="398">
        <f>IF(AD272=0,0,IF(LEN(T272)=11,_xlfn.XLOOKUP(T272,'Dispensed Ink Rates'!C:C,'Dispensed Ink Rates'!CS:CS),VLOOKUP(T272,'Jan-2026 rates'!$E:$F,2,0)))</f>
        <v>0</v>
      </c>
      <c r="AF272" s="404"/>
      <c r="AG272" s="398">
        <f>IF(AF272=0,0,IF(LEN(U272)=11,_xlfn.XLOOKUP(U272,'Dispensed Ink Rates'!C:C,'Dispensed Ink Rates'!CS:CS),VLOOKUP(U272,'Jan-2026 rates'!$E:$F,2,0)))</f>
        <v>0</v>
      </c>
      <c r="AH272" s="404"/>
      <c r="AI272" s="398">
        <f>IF(AH272=0,0,IF(LEN(V272)=11,_xlfn.XLOOKUP(V272,'Dispensed Ink Rates'!C:C,'Dispensed Ink Rates'!CS:CS),VLOOKUP(V272,'Jan-2026 rates'!$E:$F,2,0)))</f>
        <v>0</v>
      </c>
      <c r="AJ272" s="404"/>
      <c r="AK272" s="398">
        <f>IF(AJ272=0,0,IF(LEN(W272)=11,_xlfn.XLOOKUP(W272,'Dispensed Ink Rates'!C:C,'Dispensed Ink Rates'!CS:CS),VLOOKUP(W272,'Jan-2026 rates'!$E:$F,2,0)))</f>
        <v>0</v>
      </c>
      <c r="AL272" s="404"/>
      <c r="AM272" s="398">
        <f>IF(AL272=0,0,IF(LEN(X272)=11,_xlfn.XLOOKUP(X272,'Dispensed Ink Rates'!C:C,'Dispensed Ink Rates'!CS:CS),VLOOKUP(X272,'Jan-2026 rates'!$E:$F,2,0)))</f>
        <v>0</v>
      </c>
      <c r="AN272" s="404"/>
      <c r="AO272" s="398">
        <f>IF(AN272=0,0,IF(LEN(Y272)=11,_xlfn.XLOOKUP(Y272,'Dispensed Ink Rates'!C:C,'Dispensed Ink Rates'!CS:CS),VLOOKUP(Y272,'Jan-2026 rates'!$E:$F,2,0)))</f>
        <v>0</v>
      </c>
      <c r="AP272" s="409" t="s">
        <v>1443</v>
      </c>
      <c r="AQ272" s="409">
        <v>24</v>
      </c>
      <c r="AR272" s="410">
        <f t="shared" si="212"/>
        <v>0</v>
      </c>
      <c r="AS272" s="411">
        <f t="shared" si="213"/>
        <v>4.474747474747474</v>
      </c>
      <c r="AT272" s="410">
        <f t="shared" si="214"/>
        <v>0</v>
      </c>
      <c r="AU272" s="405" t="s">
        <v>547</v>
      </c>
      <c r="AV272" s="409" t="s">
        <v>4069</v>
      </c>
      <c r="AW272" s="420" t="str">
        <f t="shared" si="183"/>
        <v>FLINTSL - GREEN</v>
      </c>
      <c r="AX272" s="409">
        <v>10</v>
      </c>
      <c r="AY272" s="411">
        <f>IF(AX272=0,0,IF($LB272=70%,VLOOKUP($AW272,'Jan-2026 rates'!$L:$R,4,0),IF($LB272=65%,VLOOKUP($AW272,'Jan-2026 rates'!$L:$R,4,0),IF($LB272=40%,VLOOKUP($AW272,'Jan-2026 rates'!$L:$R,5,0),IF($LB272=30%,VLOOKUP($AW272,'Jan-2026 rates'!$L:$R,6,0),IF($LB272=100%,VLOOKUP($AW272,'Jan-2026 rates'!$L:$R,7,0),IF($LB272=60%,VLOOKUP($AW272,'Jan-2026 rates'!$L:$S,8,0),IF($LB272=80%,VLOOKUP($AW272,'Jan-2026 rates'!L:T,9,0),0))))))))</f>
        <v>0</v>
      </c>
      <c r="AZ272" s="412" t="s">
        <v>4089</v>
      </c>
      <c r="BA272" s="409">
        <v>7</v>
      </c>
      <c r="BB272" s="411">
        <f>IF(BA272=0,0,IF($LB272=70%,VLOOKUP($AW272,'Jan-2026 rates'!$L:$R,4,0),IF($LB272=65%,VLOOKUP($AW272,'Jan-2026 rates'!$L:$R,4,0),IF($LB272=40%,VLOOKUP($AW272,'Jan-2026 rates'!$L:$R,5,0),IF($LB272=30%,VLOOKUP($AW272,'Jan-2026 rates'!$L:$R,6,0),IF($LB272=100%,VLOOKUP($AW272,'Jan-2026 rates'!$L:$R,7,0),IF($LB272=60%,VLOOKUP($AW272,'Jan-2026 rates'!$L:$S,8,0),IF($LB272=80%,VLOOKUP($AW272,'Jan-2026 rates'!L:T,9,0),0))))))))</f>
        <v>0</v>
      </c>
      <c r="BC272" s="413">
        <v>26519000016</v>
      </c>
      <c r="BD272" s="412">
        <v>26523000001</v>
      </c>
      <c r="BE272" s="412"/>
      <c r="BF272" s="413"/>
      <c r="BG272" s="412"/>
      <c r="BH272" s="412"/>
      <c r="BI272" s="412"/>
      <c r="BJ272" s="412"/>
      <c r="BK272" s="409">
        <v>3</v>
      </c>
      <c r="BL272" s="398" t="e">
        <f>IF(BK272=0,0,IF(LEN(BC272)=11,_xlfn.XLOOKUP(BC272,'Dispensed Ink Rates'!C:C,'Dispensed Ink Rates'!CS:CS),VLOOKUP(BC272,'Jan-2026 rates'!$E:$F,2,0)))</f>
        <v>#N/A</v>
      </c>
      <c r="BM272" s="409">
        <v>2</v>
      </c>
      <c r="BN272" s="398" t="e">
        <f>IF(BM272=0,0,IF(LEN(BD272)=11,_xlfn.XLOOKUP(BD272,'Dispensed Ink Rates'!C:C,'Dispensed Ink Rates'!CS:CS),VLOOKUP(BD272,'Jan-2026 rates'!$E:$F,2,0)))</f>
        <v>#N/A</v>
      </c>
      <c r="BO272" s="409"/>
      <c r="BP272" s="398">
        <f>IF(BO272=0,0,IF(LEN(BE272)=11,_xlfn.XLOOKUP(BE272,'Dispensed Ink Rates'!C:C,'Dispensed Ink Rates'!CS:CS),VLOOKUP(BE272,'Jan-2026 rates'!$E:$F,2,0)))</f>
        <v>0</v>
      </c>
      <c r="BQ272" s="409"/>
      <c r="BR272" s="398">
        <f>IF(BQ272=0,0,IF(LEN(BF272)=11,_xlfn.XLOOKUP(BF272,'Dispensed Ink Rates'!C:C,'Dispensed Ink Rates'!CS:CS),VLOOKUP(BF272,'Jan-2026 rates'!$E:$F,2,0)))</f>
        <v>0</v>
      </c>
      <c r="BS272" s="409"/>
      <c r="BT272" s="398">
        <f>IF(BS272=0,0,IF(LEN(BG272)=11,_xlfn.XLOOKUP(BG272,'Dispensed Ink Rates'!C:C,'Dispensed Ink Rates'!CS:CS),VLOOKUP(BG272,'Jan-2026 rates'!$E:$F,2,0)))</f>
        <v>0</v>
      </c>
      <c r="BU272" s="409"/>
      <c r="BV272" s="398">
        <f>IF(BU272=0,0,IF(LEN(BH272)=11,_xlfn.XLOOKUP(BH272,'Dispensed Ink Rates'!C:C,'Dispensed Ink Rates'!CS:CS),VLOOKUP(BH272,'Jan-2026 rates'!$E:$F,2,0)))</f>
        <v>0</v>
      </c>
      <c r="BW272" s="409"/>
      <c r="BX272" s="398">
        <f>IF(BW272=0,0,IF(LEN(BI272)=11,_xlfn.XLOOKUP(BI272,'Dispensed Ink Rates'!C:C,'Dispensed Ink Rates'!CS:CS),VLOOKUP(BI272,'Jan-2026 rates'!$E:$F,2,0)))</f>
        <v>0</v>
      </c>
      <c r="BY272" s="409"/>
      <c r="BZ272" s="398">
        <f>IF(BY272=0,0,IF(LEN(BJ272)=11,_xlfn.XLOOKUP(BJ272,'Dispensed Ink Rates'!C:C,'Dispensed Ink Rates'!CS:CS),VLOOKUP(BJ272,'Jan-2026 rates'!$E:$F,2,0)))</f>
        <v>0</v>
      </c>
      <c r="CA272" s="409" t="s">
        <v>1443</v>
      </c>
      <c r="CB272" s="409">
        <v>23</v>
      </c>
      <c r="CC272" s="411">
        <f t="shared" si="215"/>
        <v>0</v>
      </c>
      <c r="CD272" s="411">
        <f t="shared" si="216"/>
        <v>6.3737373737373737</v>
      </c>
      <c r="CE272" s="410">
        <f t="shared" si="217"/>
        <v>0</v>
      </c>
      <c r="CF272" s="404" t="s">
        <v>547</v>
      </c>
      <c r="CG272" s="409" t="s">
        <v>3383</v>
      </c>
      <c r="CH272" s="420" t="str">
        <f t="shared" si="185"/>
        <v>FLINTSL - GREEN</v>
      </c>
      <c r="CI272" s="409">
        <v>20</v>
      </c>
      <c r="CJ272" s="411">
        <f>IF(CI272=0,0,IF($LB272=70%,VLOOKUP($CH272,'Jan-2026 rates'!$L:$R,4,0),IF($LB272=65%,VLOOKUP($CH272,'Jan-2026 rates'!$L:$R,4,0),IF($LB272=40%,VLOOKUP($CH272,'Jan-2026 rates'!$L:$R,5,0),IF($LB272=30%,VLOOKUP($CH272,'Jan-2026 rates'!$L:$R,6,0),IF($LB272=100%,VLOOKUP($CH272,'Jan-2026 rates'!$L:$R,7,0),IF($LB272=60%,VLOOKUP($CH272,'Jan-2026 rates'!$L:$S,8,0),IF($LB272=80%,VLOOKUP($CH272,'Jan-2026 rates'!L:T,9,0),0))))))))</f>
        <v>0</v>
      </c>
      <c r="CK272" s="412" t="s">
        <v>4069</v>
      </c>
      <c r="CL272" s="409">
        <v>15</v>
      </c>
      <c r="CM272" s="411">
        <f>IF(CL272=0,0,IF($LB272=70%,VLOOKUP($CH272,'Jan-2026 rates'!$L:$R,4,0),IF($LB272=65%,VLOOKUP($CH272,'Jan-2026 rates'!$L:$R,4,0),IF($LB272=40%,VLOOKUP($CH272,'Jan-2026 rates'!$L:$R,5,0),IF($LB272=30%,VLOOKUP($CH272,'Jan-2026 rates'!$L:$R,6,0),IF($LB272=100%,VLOOKUP($CH272,'Jan-2026 rates'!$L:$R,7,0),IF($LB272=60%,VLOOKUP($CH272,'Jan-2026 rates'!$L:$S,8,0),IF($LB272=80%,VLOOKUP($CH272,'Jan-2026 rates'!L:T,9,0),0))))))))</f>
        <v>0</v>
      </c>
      <c r="CN272" s="426">
        <v>26522000010</v>
      </c>
      <c r="CO272" s="427">
        <v>26519000016</v>
      </c>
      <c r="CP272" s="426">
        <v>26522000001</v>
      </c>
      <c r="CQ272" s="426"/>
      <c r="CR272" s="428"/>
      <c r="CS272" s="428"/>
      <c r="CT272" s="428"/>
      <c r="CU272" s="428"/>
      <c r="CV272" s="409">
        <v>30</v>
      </c>
      <c r="CW272" s="398" t="e">
        <f>IF(CV272=0,0,IF(LEN(CN272)=11,_xlfn.XLOOKUP(CN272,'Dispensed Ink Rates'!C:C,'Dispensed Ink Rates'!CS:CS),VLOOKUP(CN272,'Jan-2026 rates'!$E:$F,2,0)))</f>
        <v>#N/A</v>
      </c>
      <c r="CX272" s="409">
        <v>4</v>
      </c>
      <c r="CY272" s="398" t="e">
        <f>IF(CX272=0,0,IF(LEN(CO272)=11,_xlfn.XLOOKUP(CO272,'Dispensed Ink Rates'!C:C,'Dispensed Ink Rates'!CS:CS),VLOOKUP(CO272,'Jan-2026 rates'!$E:$F,2,0)))</f>
        <v>#N/A</v>
      </c>
      <c r="CZ272" s="409">
        <v>2</v>
      </c>
      <c r="DA272" s="398" t="e">
        <f>IF(CZ272=0,0,IF(LEN(CP272)=11,_xlfn.XLOOKUP(CP272,'Dispensed Ink Rates'!C:C,'Dispensed Ink Rates'!CS:CS),VLOOKUP(CP272,'Jan-2026 rates'!$E:$F,2,0)))</f>
        <v>#N/A</v>
      </c>
      <c r="DB272" s="409"/>
      <c r="DC272" s="398">
        <f>IF(DB272=0,0,IF(LEN(CQ272)=11,_xlfn.XLOOKUP(CQ272,'Dispensed Ink Rates'!C:C,'Dispensed Ink Rates'!CS:CS),VLOOKUP(CQ272,'Jan-2026 rates'!$E:$F,2,0)))</f>
        <v>0</v>
      </c>
      <c r="DD272" s="409"/>
      <c r="DE272" s="398">
        <f>IF(DD272=0,0,IF(LEN(CR272)=11,_xlfn.XLOOKUP(CR272,'Dispensed Ink Rates'!C:C,'Dispensed Ink Rates'!CS:CS),VLOOKUP(CR272,'Jan-2026 rates'!$E:$F,2,0)))</f>
        <v>0</v>
      </c>
      <c r="DF272" s="409"/>
      <c r="DG272" s="398">
        <f>IF(DF272=0,0,IF(LEN(CS272)=11,_xlfn.XLOOKUP(CS272,'Dispensed Ink Rates'!C:C,'Dispensed Ink Rates'!CS:CS),VLOOKUP(CS272,'Jan-2026 rates'!$E:$F,2,0)))</f>
        <v>0</v>
      </c>
      <c r="DH272" s="409"/>
      <c r="DI272" s="398">
        <f>IF(DH272=0,0,IF(LEN(CT272)=11,_xlfn.XLOOKUP(CT272,'Dispensed Ink Rates'!C:C,'Dispensed Ink Rates'!CS:CS),VLOOKUP(CT272,'Jan-2026 rates'!$E:$F,2,0)))</f>
        <v>0</v>
      </c>
      <c r="DJ272" s="409"/>
      <c r="DK272" s="398">
        <f>IF(DJ272=0,0,IF(LEN(CU272)=11,_xlfn.XLOOKUP(CU272,'Dispensed Ink Rates'!C:C,'Dispensed Ink Rates'!CS:CS),VLOOKUP(CU272,'Jan-2026 rates'!$E:$F,2,0)))</f>
        <v>0</v>
      </c>
      <c r="DL272" s="409" t="s">
        <v>1443</v>
      </c>
      <c r="DM272" s="409">
        <v>37</v>
      </c>
      <c r="DN272" s="411">
        <f t="shared" si="218"/>
        <v>0</v>
      </c>
      <c r="DO272" s="411">
        <f t="shared" si="219"/>
        <v>56.121212121212125</v>
      </c>
      <c r="DP272" s="410">
        <f t="shared" si="220"/>
        <v>0</v>
      </c>
      <c r="DQ272" s="405" t="s">
        <v>547</v>
      </c>
      <c r="DR272" s="409" t="s">
        <v>4231</v>
      </c>
      <c r="DS272" s="420" t="str">
        <f t="shared" si="186"/>
        <v>FLINTSL - GREEN</v>
      </c>
      <c r="DT272" s="409">
        <v>16</v>
      </c>
      <c r="DU272" s="411">
        <f>IF(DT272=0,0,IF($LB272=70%,VLOOKUP($DS272,'Jan-2026 rates'!$L:$R,4,0),IF($LB272=65%,VLOOKUP($DS272,'Jan-2026 rates'!$L:$R,4,0),IF($LB272=40%,VLOOKUP($DS272,'Jan-2026 rates'!$L:$R,5,0),IF($LB272=30%,VLOOKUP($DS272,'Jan-2026 rates'!$L:$R,6,0),IF($LB272=100%,VLOOKUP($DS272,'Jan-2026 rates'!$L:$R,7,0),IF($LB272=60%,VLOOKUP($DS272,'Jan-2026 rates'!$L:$S,8,0),IF($LB272=80%,VLOOKUP($DS272,'Jan-2026 rates'!L:T,9,0),0))))))))</f>
        <v>0</v>
      </c>
      <c r="DV272" s="412"/>
      <c r="DW272" s="409"/>
      <c r="DX272" s="411">
        <f>IF(DW272=0,0,IF($LB272=70%,VLOOKUP($DS272,'Jan-2026 rates'!$L:$R,4,0),IF($LB272=65%,VLOOKUP($DS272,'Jan-2026 rates'!$L:$R,4,0),IF($LB272=40%,VLOOKUP($DS272,'Jan-2026 rates'!$L:$R,5,0),IF($LB272=30%,VLOOKUP($DS272,'Jan-2026 rates'!$L:$R,6,0),IF($LB272=100%,VLOOKUP($DS272,'Jan-2026 rates'!$L:$R,7,0),IF($LB272=60%,VLOOKUP($DS272,'Jan-2026 rates'!$L:$S,8,0),IF($LB272=80%,VLOOKUP($DS272,'Jan-2026 rates'!L:T,9,0),0))))))))</f>
        <v>0</v>
      </c>
      <c r="DY272" s="413">
        <v>26522000010</v>
      </c>
      <c r="DZ272" s="413">
        <v>26519000016</v>
      </c>
      <c r="EA272" s="412"/>
      <c r="EB272" s="412"/>
      <c r="EC272" s="412"/>
      <c r="ED272" s="412"/>
      <c r="EE272" s="412"/>
      <c r="EF272" s="412"/>
      <c r="EG272" s="409">
        <v>5</v>
      </c>
      <c r="EH272" s="398" t="e">
        <f>IF(EG272=0,0,IF(LEN(DY272)=11,_xlfn.XLOOKUP(DY272,'Dispensed Ink Rates'!C:C,'Dispensed Ink Rates'!CS:CS),VLOOKUP(DY272,'Jan-2026 rates'!$E:$F,2,0)))</f>
        <v>#N/A</v>
      </c>
      <c r="EI272" s="409">
        <v>0.5</v>
      </c>
      <c r="EJ272" s="398" t="e">
        <f>IF(EI272=0,0,IF(LEN(DZ272)=11,_xlfn.XLOOKUP(DZ272,'Dispensed Ink Rates'!C:C,'Dispensed Ink Rates'!CS:CS),VLOOKUP(DZ272,'Jan-2026 rates'!$E:$F,2,0)))</f>
        <v>#N/A</v>
      </c>
      <c r="EK272" s="409"/>
      <c r="EL272" s="398">
        <f>IF(EK272=0,0,IF(LEN(EA272)=11,_xlfn.XLOOKUP(EA272,'Dispensed Ink Rates'!C:C,'Dispensed Ink Rates'!CS:CS),VLOOKUP(EA272,'Jan-2026 rates'!$E:$F,2,0)))</f>
        <v>0</v>
      </c>
      <c r="EM272" s="409"/>
      <c r="EN272" s="398">
        <f>IF(EM272=0,0,IF(LEN(EB272)=11,_xlfn.XLOOKUP(EB272,'Dispensed Ink Rates'!C:C,'Dispensed Ink Rates'!CS:CS),VLOOKUP(EB272,'Jan-2026 rates'!$E:$F,2,0)))</f>
        <v>0</v>
      </c>
      <c r="EO272" s="409"/>
      <c r="EP272" s="398">
        <f>IF(EO272=0,0,IF(LEN(EC272)=11,_xlfn.XLOOKUP(EC272,'Dispensed Ink Rates'!C:C,'Dispensed Ink Rates'!CS:CS),VLOOKUP(EC272,'Jan-2026 rates'!$E:$F,2,0)))</f>
        <v>0</v>
      </c>
      <c r="EQ272" s="409"/>
      <c r="ER272" s="398">
        <f>IF(EQ272=0,0,IF(LEN(ED272)=11,_xlfn.XLOOKUP(ED272,'Dispensed Ink Rates'!C:C,'Dispensed Ink Rates'!CS:CS),VLOOKUP(ED272,'Jan-2026 rates'!$E:$F,2,0)))</f>
        <v>0</v>
      </c>
      <c r="ES272" s="409"/>
      <c r="ET272" s="398">
        <f>IF(ES272=0,0,IF(LEN(EE272)=11,_xlfn.XLOOKUP(EE272,'Dispensed Ink Rates'!C:C,'Dispensed Ink Rates'!CS:CS),VLOOKUP(EE272,'Jan-2026 rates'!$E:$F,2,0)))</f>
        <v>0</v>
      </c>
      <c r="EU272" s="409"/>
      <c r="EV272" s="398">
        <f>IF(EU272=0,0,IF(LEN(EF272)=11,_xlfn.XLOOKUP(EF272,'Dispensed Ink Rates'!C:C,'Dispensed Ink Rates'!CS:CS),VLOOKUP(EF272,'Jan-2026 rates'!$E:$F,2,0)))</f>
        <v>0</v>
      </c>
      <c r="EW272" s="409" t="s">
        <v>1443</v>
      </c>
      <c r="EX272" s="409">
        <v>24</v>
      </c>
      <c r="EY272" s="411">
        <f t="shared" si="221"/>
        <v>0</v>
      </c>
      <c r="EZ272" s="411">
        <f t="shared" si="222"/>
        <v>7.8232323232323253</v>
      </c>
      <c r="FA272" s="410">
        <f t="shared" si="223"/>
        <v>0</v>
      </c>
      <c r="FB272" s="405" t="s">
        <v>547</v>
      </c>
      <c r="FC272" s="409" t="s">
        <v>4231</v>
      </c>
      <c r="FD272" s="420" t="str">
        <f t="shared" si="187"/>
        <v>FLINTSL - GREEN</v>
      </c>
      <c r="FE272" s="409">
        <v>7</v>
      </c>
      <c r="FF272" s="411">
        <f>IF(FE272=0,0,IF($LB272=70%,VLOOKUP($FD272,'Jan-2026 rates'!$L:$R,4,0),IF($LB272=65%,VLOOKUP($FD272,'Jan-2026 rates'!$L:$R,4,0),IF($LB272=40%,VLOOKUP($FD272,'Jan-2026 rates'!$L:$R,5,0),IF($LB272=30%,VLOOKUP($FD272,'Jan-2026 rates'!$L:$R,6,0),IF($LB272=100%,VLOOKUP($FD272,'Jan-2026 rates'!$L:$R,7,0),IF($LB272=60%,VLOOKUP($FD272,'Jan-2026 rates'!$L:$S,8,0),IF($LB272=80%,VLOOKUP($FD272,'Jan-2026 rates'!L:T,9,0),0))))))))</f>
        <v>0</v>
      </c>
      <c r="FG272" s="412"/>
      <c r="FH272" s="409"/>
      <c r="FI272" s="411">
        <f>IF(FH272=0,0,IF($LB272=70%,VLOOKUP($FD272,'Jan-2026 rates'!$L:$R,4,0),IF($LB272=65%,VLOOKUP($FD272,'Jan-2026 rates'!$L:$R,4,0),IF($LB272=40%,VLOOKUP($FD272,'Jan-2026 rates'!$L:$R,5,0),IF($LB272=30%,VLOOKUP($FD272,'Jan-2026 rates'!$L:$R,6,0),IF($LB272=100%,VLOOKUP($FD272,'Jan-2026 rates'!$L:$R,7,0),IF($LB272=60%,VLOOKUP($FD272,'Jan-2026 rates'!$L:$S,8,0),IF($LB272=80%,VLOOKUP($FD272,'Jan-2026 rates'!L:T,9,0),0))))))))</f>
        <v>0</v>
      </c>
      <c r="FJ272" s="413">
        <v>26523000001</v>
      </c>
      <c r="FK272" s="413" t="s">
        <v>1266</v>
      </c>
      <c r="FL272" s="413">
        <v>26521000010</v>
      </c>
      <c r="FM272" s="412"/>
      <c r="FN272" s="412"/>
      <c r="FO272" s="412"/>
      <c r="FP272" s="412"/>
      <c r="FQ272" s="412"/>
      <c r="FR272" s="409">
        <v>5</v>
      </c>
      <c r="FS272" s="398" t="e">
        <f>IF(FR272=0,0,IF(LEN(FJ272)=11,_xlfn.XLOOKUP(FJ272,'Dispensed Ink Rates'!C:C,'Dispensed Ink Rates'!CS:CS),VLOOKUP(FJ272,'Jan-2026 rates'!$E:$F,2,0)))</f>
        <v>#N/A</v>
      </c>
      <c r="FT272" s="409">
        <v>7</v>
      </c>
      <c r="FU272" s="398">
        <f>IF(FT272=0,0,IF(LEN(FK272)=11,_xlfn.XLOOKUP(FK272,'Dispensed Ink Rates'!C:C,'Dispensed Ink Rates'!CS:CS),VLOOKUP(FK272,'Jan-2026 rates'!$E:$F,2,0)))</f>
        <v>0</v>
      </c>
      <c r="FV272" s="409">
        <v>0.2</v>
      </c>
      <c r="FW272" s="398" t="e">
        <f>IF(FV272=0,0,IF(LEN(FL272)=11,_xlfn.XLOOKUP(FL272,'Dispensed Ink Rates'!C:C,'Dispensed Ink Rates'!CS:CS),VLOOKUP(FL272,'Jan-2026 rates'!$E:$F,2,0)))</f>
        <v>#N/A</v>
      </c>
      <c r="FX272" s="409"/>
      <c r="FY272" s="398">
        <f>IF(FX272=0,0,IF(LEN(FM272)=11,_xlfn.XLOOKUP(FM272,'Dispensed Ink Rates'!C:C,'Dispensed Ink Rates'!CS:CS),VLOOKUP(FM272,'Jan-2026 rates'!$E:$F,2,0)))</f>
        <v>0</v>
      </c>
      <c r="FZ272" s="409"/>
      <c r="GA272" s="398">
        <f>IF(FZ272=0,0,IF(LEN(FN272)=11,_xlfn.XLOOKUP(FN272,'Dispensed Ink Rates'!C:C,'Dispensed Ink Rates'!CS:CS),VLOOKUP(FN272,'Jan-2026 rates'!$E:$F,2,0)))</f>
        <v>0</v>
      </c>
      <c r="GB272" s="409"/>
      <c r="GC272" s="398">
        <f>IF(GB272=0,0,IF(LEN(FO272)=11,_xlfn.XLOOKUP(FO272,'Dispensed Ink Rates'!C:C,'Dispensed Ink Rates'!CS:CS),VLOOKUP(FO272,'Jan-2026 rates'!$E:$F,2,0)))</f>
        <v>0</v>
      </c>
      <c r="GD272" s="409"/>
      <c r="GE272" s="398">
        <f>IF(GD272=0,0,IF(LEN(FP272)=11,_xlfn.XLOOKUP(FP272,'Dispensed Ink Rates'!C:C,'Dispensed Ink Rates'!CS:CS),VLOOKUP(FP272,'Jan-2026 rates'!$E:$F,2,0)))</f>
        <v>0</v>
      </c>
      <c r="GF272" s="409"/>
      <c r="GG272" s="398">
        <f>IF(GF272=0,0,IF(LEN(FQ272)=11,_xlfn.XLOOKUP(FQ272,'Dispensed Ink Rates'!C:C,'Dispensed Ink Rates'!CS:CS),VLOOKUP(FQ272,'Jan-2026 rates'!$E:$F,2,0)))</f>
        <v>0</v>
      </c>
      <c r="GH272" s="409" t="s">
        <v>1443</v>
      </c>
      <c r="GI272" s="409">
        <v>28</v>
      </c>
      <c r="GJ272" s="411">
        <f t="shared" si="224"/>
        <v>0</v>
      </c>
      <c r="GK272" s="411">
        <f t="shared" si="225"/>
        <v>2.9979797979797986</v>
      </c>
      <c r="GL272" s="410">
        <f t="shared" si="226"/>
        <v>0</v>
      </c>
      <c r="GM272" s="405" t="s">
        <v>857</v>
      </c>
      <c r="GN272" s="409" t="s">
        <v>4232</v>
      </c>
      <c r="GO272" s="420" t="str">
        <f t="shared" si="188"/>
        <v>FLINTSL - RED</v>
      </c>
      <c r="GP272" s="409">
        <v>26</v>
      </c>
      <c r="GQ272" s="411">
        <f>IF(GP272=0,0,IF($LB272=70%,VLOOKUP($GO272,'Jan-2026 rates'!$L:$R,4,0),IF($LB272=65%,VLOOKUP($GO272,'Jan-2026 rates'!$L:$R,4,0),IF($LB272=40%,VLOOKUP($GO272,'Jan-2026 rates'!$L:$R,5,0),IF($LB272=30%,VLOOKUP($GO272,'Jan-2026 rates'!$L:$R,6,0),IF($LB272=100%,VLOOKUP($GO272,'Jan-2026 rates'!$L:$R,7,0),IF($LB272=60%,VLOOKUP($GO272,'Jan-2026 rates'!$L:$S,8,0),IF($LB272=80%,VLOOKUP($GO272,'Jan-2026 rates'!L:T,9,0),0))))))))</f>
        <v>0</v>
      </c>
      <c r="GR272" s="412"/>
      <c r="GS272" s="409"/>
      <c r="GT272" s="411">
        <f>IF(GS272=0,0,IF($LB272=70%,VLOOKUP($GO272,'Jan-2026 rates'!$L:$R,4,0),IF($LB272=65%,VLOOKUP($GO272,'Jan-2026 rates'!$L:$R,4,0),IF($LB272=40%,VLOOKUP($GO272,'Jan-2026 rates'!$L:$R,5,0),IF($LB272=30%,VLOOKUP($GO272,'Jan-2026 rates'!$L:$R,6,0),IF($LB272=100%,VLOOKUP($GO272,'Jan-2026 rates'!$L:$R,7,0),IF($LB272=60%,VLOOKUP($GO272,'Jan-2026 rates'!$L:$S,8,0),IF($LB272=80%,VLOOKUP($GO272,'Jan-2026 rates'!L:T,9,0),0))))))))</f>
        <v>0</v>
      </c>
      <c r="GU272" s="413">
        <v>26521000005</v>
      </c>
      <c r="GV272" s="413"/>
      <c r="GW272" s="412"/>
      <c r="GX272" s="412"/>
      <c r="GY272" s="412"/>
      <c r="GZ272" s="412"/>
      <c r="HA272" s="412"/>
      <c r="HB272" s="412"/>
      <c r="HC272" s="409">
        <v>1</v>
      </c>
      <c r="HD272" s="398" t="e">
        <f>IF(HC272=0,0,IF(LEN(GU272)=11,_xlfn.XLOOKUP(GU272,'Dispensed Ink Rates'!C:C,'Dispensed Ink Rates'!CS:CS),VLOOKUP(GU272,'Jan-2026 rates'!$E:$F,2,0)))</f>
        <v>#N/A</v>
      </c>
      <c r="HE272" s="409"/>
      <c r="HF272" s="398">
        <f>IF(HE272=0,0,IF(LEN(GV272)=11,_xlfn.XLOOKUP(GV272,'Dispensed Ink Rates'!C:C,'Dispensed Ink Rates'!CS:CS),VLOOKUP(GV272,'Jan-2026 rates'!$E:$F,2,0)))</f>
        <v>0</v>
      </c>
      <c r="HG272" s="409"/>
      <c r="HH272" s="398">
        <f>IF(HG272=0,0,IF(LEN(GW272)=11,_xlfn.XLOOKUP(GW272,'Dispensed Ink Rates'!C:C,'Dispensed Ink Rates'!CS:CS),VLOOKUP(GW272,'Jan-2026 rates'!$E:$F,2,0)))</f>
        <v>0</v>
      </c>
      <c r="HI272" s="409"/>
      <c r="HJ272" s="398">
        <f>IF(HI272=0,0,IF(LEN(GX272)=11,_xlfn.XLOOKUP(GX272,'Dispensed Ink Rates'!C:C,'Dispensed Ink Rates'!CS:CS),VLOOKUP(GX272,'Jan-2026 rates'!$E:$F,2,0)))</f>
        <v>0</v>
      </c>
      <c r="HK272" s="409"/>
      <c r="HL272" s="398">
        <f>IF(HK272=0,0,IF(LEN(GY272)=11,_xlfn.XLOOKUP(GY272,'Dispensed Ink Rates'!C:C,'Dispensed Ink Rates'!CS:CS),VLOOKUP(GY272,'Jan-2026 rates'!$E:$F,2,0)))</f>
        <v>0</v>
      </c>
      <c r="HM272" s="409"/>
      <c r="HN272" s="398">
        <f>IF(HM272=0,0,IF(LEN(GZ272)=11,_xlfn.XLOOKUP(GZ272,'Dispensed Ink Rates'!C:C,'Dispensed Ink Rates'!CS:CS),VLOOKUP(GZ272,'Jan-2026 rates'!$E:$F,2,0)))</f>
        <v>0</v>
      </c>
      <c r="HO272" s="409"/>
      <c r="HP272" s="398">
        <f>IF(HO272=0,0,IF(LEN(HA272)=11,_xlfn.XLOOKUP(HA272,'Dispensed Ink Rates'!C:C,'Dispensed Ink Rates'!CS:CS),VLOOKUP(HA272,'Jan-2026 rates'!$E:$F,2,0)))</f>
        <v>0</v>
      </c>
      <c r="HQ272" s="409"/>
      <c r="HR272" s="398">
        <f>IF(HQ272=0,0,IF(LEN(HB272)=11,_xlfn.XLOOKUP(HB272,'Dispensed Ink Rates'!C:C,'Dispensed Ink Rates'!CS:CS),VLOOKUP(HB272,'Jan-2026 rates'!$E:$F,2,0)))</f>
        <v>0</v>
      </c>
      <c r="HS272" s="409" t="s">
        <v>1443</v>
      </c>
      <c r="HT272" s="409">
        <v>24</v>
      </c>
      <c r="HU272" s="411">
        <f t="shared" si="227"/>
        <v>0</v>
      </c>
      <c r="HV272" s="411">
        <f t="shared" si="228"/>
        <v>3</v>
      </c>
      <c r="HW272" s="414">
        <f t="shared" si="229"/>
        <v>0</v>
      </c>
      <c r="HX272" s="405" t="s">
        <v>545</v>
      </c>
      <c r="HY272" s="409" t="s">
        <v>4233</v>
      </c>
      <c r="HZ272" s="420" t="str">
        <f t="shared" si="189"/>
        <v>FLINTSL - YELLOW</v>
      </c>
      <c r="IA272" s="409">
        <v>25</v>
      </c>
      <c r="IB272" s="411">
        <f>IF(IA272=0,0,IF($LB272=70%,VLOOKUP($HZ272,'Jan-2026 rates'!$L:$R,4,0),IF($LB272=65%,VLOOKUP($HZ272,'Jan-2026 rates'!$L:$R,4,0),IF($LB272=40%,VLOOKUP($HZ272,'Jan-2026 rates'!$L:$R,5,0),IF($LB272=30%,VLOOKUP($HZ272,'Jan-2026 rates'!$L:$R,6,0),IF($LB272=100%,VLOOKUP($HZ272,'Jan-2026 rates'!$L:$R,7,0),IF($LB272=60%,VLOOKUP($HZ272,'Jan-2026 rates'!$L:$S,8,0),IF($LB272=80%,VLOOKUP($HZ272,'Jan-2026 rates'!L:T,9,0),0))))))))</f>
        <v>0</v>
      </c>
      <c r="IC272" s="412"/>
      <c r="ID272" s="409"/>
      <c r="IE272" s="411">
        <f>IF(ID272=0,0,IF($LB272=70%,VLOOKUP($HZ272,'Jan-2026 rates'!$L:$R,4,0),IF($LB272=65%,VLOOKUP($HZ272,'Jan-2026 rates'!$L:$R,4,0),IF($LB272=40%,VLOOKUP($HZ272,'Jan-2026 rates'!$L:$R,5,0),IF($LB272=30%,VLOOKUP($HZ272,'Jan-2026 rates'!$L:$R,6,0),IF($LB272=100%,VLOOKUP($HZ272,'Jan-2026 rates'!$L:$R,7,0),IF($LB272=60%,VLOOKUP($HZ272,'Jan-2026 rates'!$L:$S,8,0),IF($LB272=80%,VLOOKUP($HZ272,'Jan-2026 rates'!L:T,9,0),0))))))))</f>
        <v>0</v>
      </c>
      <c r="IF272" s="412">
        <v>26523000001</v>
      </c>
      <c r="IG272" s="413"/>
      <c r="IH272" s="412"/>
      <c r="II272" s="412"/>
      <c r="IJ272" s="412"/>
      <c r="IK272" s="412"/>
      <c r="IL272" s="412"/>
      <c r="IM272" s="412"/>
      <c r="IN272" s="409">
        <v>5</v>
      </c>
      <c r="IO272" s="398" t="e">
        <f>IF(IN272=0,0,IF(LEN(IF272)=11,_xlfn.XLOOKUP(IF272,'Dispensed Ink Rates'!C:C,'Dispensed Ink Rates'!CS:CS),VLOOKUP(IF272,'Jan-2026 rates'!$E:$F,2,0)))</f>
        <v>#N/A</v>
      </c>
      <c r="IP272" s="409"/>
      <c r="IQ272" s="398">
        <f>IF(IP272=0,0,IF(LEN(IG272)=11,_xlfn.XLOOKUP(IG272,'Dispensed Ink Rates'!C:C,'Dispensed Ink Rates'!CS:CS),VLOOKUP(IG272,'Jan-2026 rates'!$E:$F,2,0)))</f>
        <v>0</v>
      </c>
      <c r="IR272" s="409"/>
      <c r="IS272" s="398">
        <f>IF(IR272=0,0,IF(LEN(IH272)=11,_xlfn.XLOOKUP(IH272,'Dispensed Ink Rates'!C:C,'Dispensed Ink Rates'!CS:CS),VLOOKUP(IH272,'Jan-2026 rates'!$E:$F,2,0)))</f>
        <v>0</v>
      </c>
      <c r="IT272" s="409"/>
      <c r="IU272" s="398">
        <f>IF(IT272=0,0,IF(LEN(II272)=11,_xlfn.XLOOKUP(II272,'Dispensed Ink Rates'!C:C,'Dispensed Ink Rates'!CS:CS),VLOOKUP(II272,'Jan-2026 rates'!$E:$F,2,0)))</f>
        <v>0</v>
      </c>
      <c r="IV272" s="409"/>
      <c r="IW272" s="398">
        <f>IF(IV272=0,0,IF(LEN(IJ272)=11,_xlfn.XLOOKUP(IJ272,'Dispensed Ink Rates'!C:C,'Dispensed Ink Rates'!CS:CS),VLOOKUP(IJ272,'Jan-2026 rates'!$E:$F,2,0)))</f>
        <v>0</v>
      </c>
      <c r="IX272" s="409"/>
      <c r="IY272" s="398">
        <f>IF(IX272=0,0,IF(LEN(IK272)=11,_xlfn.XLOOKUP(IK272,'Dispensed Ink Rates'!C:C,'Dispensed Ink Rates'!CS:CS),VLOOKUP(IK272,'Jan-2026 rates'!$E:$F,2,0)))</f>
        <v>0</v>
      </c>
      <c r="IZ272" s="409"/>
      <c r="JA272" s="398">
        <f>IF(IZ272=0,0,IF(LEN(IL272)=11,_xlfn.XLOOKUP(IL272,'Dispensed Ink Rates'!C:C,'Dispensed Ink Rates'!CS:CS),VLOOKUP(IL272,'Jan-2026 rates'!$E:$F,2,0)))</f>
        <v>0</v>
      </c>
      <c r="JB272" s="409"/>
      <c r="JC272" s="398">
        <f>IF(JB272=0,0,IF(LEN(IM272)=11,_xlfn.XLOOKUP(IM272,'Dispensed Ink Rates'!C:C,'Dispensed Ink Rates'!CS:CS),VLOOKUP(IM272,'Jan-2026 rates'!$E:$F,2,0)))</f>
        <v>0</v>
      </c>
      <c r="JD272" s="409" t="s">
        <v>1443</v>
      </c>
      <c r="JE272" s="409">
        <v>25</v>
      </c>
      <c r="JF272" s="411">
        <f t="shared" si="230"/>
        <v>0</v>
      </c>
      <c r="JG272" s="411">
        <f t="shared" si="231"/>
        <v>9.4242424242424221</v>
      </c>
      <c r="JH272" s="410">
        <f t="shared" si="232"/>
        <v>0</v>
      </c>
      <c r="JI272" s="405" t="s">
        <v>856</v>
      </c>
      <c r="JJ272" s="409" t="s">
        <v>4234</v>
      </c>
      <c r="JK272" s="420" t="str">
        <f t="shared" si="190"/>
        <v>FLINTSL - WHITE</v>
      </c>
      <c r="JL272" s="409">
        <v>24</v>
      </c>
      <c r="JM272" s="411">
        <f>IF(JL272=0,0,IF($LB272=70%,VLOOKUP($JK272,'Jan-2026 rates'!$L:$R,4,0),IF($LB272=65%,VLOOKUP($JK272,'Jan-2026 rates'!$L:$R,4,0),IF($LB272=40%,VLOOKUP($JK272,'Jan-2026 rates'!$L:$R,5,0),IF($LB272=30%,VLOOKUP($JK272,'Jan-2026 rates'!$L:$R,6,0),IF($LB272=100%,VLOOKUP($JK272,'Jan-2026 rates'!$L:$R,7,0),IF($LB272=60%,VLOOKUP($JK272,'Jan-2026 rates'!$L:$S,8,0),IF($LB272=80%,VLOOKUP($JK272,'Jan-2026 rates'!L:T,9,0),0))))))))</f>
        <v>0</v>
      </c>
      <c r="JN272" s="412"/>
      <c r="JO272" s="409"/>
      <c r="JP272" s="411">
        <f>IF(JO272=0,0,IF($LB272=70%,VLOOKUP($JK272,'Jan-2026 rates'!$L:$R,4,0),IF($LB272=65%,VLOOKUP($JK272,'Jan-2026 rates'!$L:$R,4,0),IF($LB272=40%,VLOOKUP($JK272,'Jan-2026 rates'!$L:$R,5,0),IF($LB272=30%,VLOOKUP($JK272,'Jan-2026 rates'!$L:$R,6,0),IF($LB272=100%,VLOOKUP($JK272,'Jan-2026 rates'!$L:$R,7,0),IF($LB272=60%,VLOOKUP($JK272,'Jan-2026 rates'!$L:$S,8,0),IF($LB272=80%,VLOOKUP($JK272,'Jan-2026 rates'!L:T,9,0),0))))))))</f>
        <v>0</v>
      </c>
      <c r="JQ272" s="413" t="s">
        <v>484</v>
      </c>
      <c r="JR272" s="412"/>
      <c r="JS272" s="413"/>
      <c r="JT272" s="413"/>
      <c r="JU272" s="412"/>
      <c r="JV272" s="412"/>
      <c r="JW272" s="412"/>
      <c r="JX272" s="412"/>
      <c r="JY272" s="409">
        <v>100</v>
      </c>
      <c r="JZ272" s="398">
        <f>IF(JY272=0,0,IF(LEN(JQ272)=11,_xlfn.XLOOKUP(JQ272,'Dispensed Ink Rates'!C:C,'Dispensed Ink Rates'!CS:CS),VLOOKUP(JQ272,'Jan-2026 rates'!$E:$F,2,0)))</f>
        <v>0</v>
      </c>
      <c r="KA272" s="409"/>
      <c r="KB272" s="398">
        <f>IF(KA272=0,0,IF(LEN(JR272)=11,_xlfn.XLOOKUP(JR272,'Dispensed Ink Rates'!C:C,'Dispensed Ink Rates'!CS:CS),VLOOKUP(JR272,'Jan-2026 rates'!$E:$F,2,0)))</f>
        <v>0</v>
      </c>
      <c r="KC272" s="409"/>
      <c r="KD272" s="398">
        <f>IF(KC272=0,0,IF(LEN(JS272)=11,_xlfn.XLOOKUP(JS272,'Dispensed Ink Rates'!C:C,'Dispensed Ink Rates'!CS:CS),VLOOKUP(JS272,'Jan-2026 rates'!$E:$F,2,0)))</f>
        <v>0</v>
      </c>
      <c r="KE272" s="409"/>
      <c r="KF272" s="398">
        <f>IF(KE272=0,0,IF(LEN(JT272)=11,_xlfn.XLOOKUP(JT272,'Dispensed Ink Rates'!C:C,'Dispensed Ink Rates'!CS:CS),VLOOKUP(JT272,'Jan-2026 rates'!$E:$F,2,0)))</f>
        <v>0</v>
      </c>
      <c r="KG272" s="409"/>
      <c r="KH272" s="398">
        <f>IF(KG272=0,0,IF(LEN(JU272)=11,_xlfn.XLOOKUP(JU272,'Dispensed Ink Rates'!C:C,'Dispensed Ink Rates'!CS:CS),VLOOKUP(JU272,'Jan-2026 rates'!$E:$F,2,0)))</f>
        <v>0</v>
      </c>
      <c r="KI272" s="409"/>
      <c r="KJ272" s="398">
        <f>IF(KI272=0,0,IF(LEN(JV272)=11,_xlfn.XLOOKUP(JV272,'Dispensed Ink Rates'!C:C,'Dispensed Ink Rates'!CS:CS),VLOOKUP(JV272,'Jan-2026 rates'!$E:$F,2,0)))</f>
        <v>0</v>
      </c>
      <c r="KK272" s="409"/>
      <c r="KL272" s="398">
        <f>IF(KK272=0,0,IF(LEN(JW272)=11,_xlfn.XLOOKUP(JW272,'Dispensed Ink Rates'!C:C,'Dispensed Ink Rates'!CS:CS),VLOOKUP(JW272,'Jan-2026 rates'!$E:$F,2,0)))</f>
        <v>0</v>
      </c>
      <c r="KM272" s="428"/>
      <c r="KN272" s="398">
        <f>IF(KM272=0,0,IF(LEN(JX272)=11,_xlfn.XLOOKUP(JX272,'Dispensed Ink Rates'!C:C,'Dispensed Ink Rates'!CS:CS),VLOOKUP(JX272,'Jan-2026 rates'!$E:$F,2,0)))</f>
        <v>0</v>
      </c>
      <c r="KO272" s="409" t="s">
        <v>1443</v>
      </c>
      <c r="KP272" s="409">
        <v>24</v>
      </c>
      <c r="KQ272" s="411">
        <f t="shared" si="233"/>
        <v>0</v>
      </c>
      <c r="KR272" s="411">
        <f t="shared" si="234"/>
        <v>188.4848484848485</v>
      </c>
      <c r="KS272" s="410">
        <f t="shared" si="235"/>
        <v>0</v>
      </c>
      <c r="KT272" s="409">
        <v>1</v>
      </c>
      <c r="KU272" s="409">
        <v>5</v>
      </c>
      <c r="KV272" s="409">
        <v>15</v>
      </c>
      <c r="KW272" s="409">
        <v>7</v>
      </c>
      <c r="KX272" s="409">
        <v>8</v>
      </c>
      <c r="KY272" s="409">
        <v>0</v>
      </c>
      <c r="KZ272" s="409">
        <v>3</v>
      </c>
      <c r="LA272" s="409">
        <v>60</v>
      </c>
      <c r="LB272" s="415">
        <v>0.8</v>
      </c>
      <c r="LC272" s="415">
        <v>0.2</v>
      </c>
      <c r="LD272" s="415"/>
      <c r="LE272" s="415"/>
      <c r="LF272" s="415"/>
      <c r="LG272" s="409">
        <v>0</v>
      </c>
      <c r="LH272" s="409">
        <f>60+36+40+10</f>
        <v>146</v>
      </c>
      <c r="LI272" s="409">
        <v>0</v>
      </c>
      <c r="LJ272" s="409">
        <v>0</v>
      </c>
      <c r="LK272" s="416">
        <f t="shared" si="191"/>
        <v>146</v>
      </c>
      <c r="LL272" s="416">
        <f t="shared" si="192"/>
        <v>146</v>
      </c>
      <c r="LM272" s="417">
        <f t="shared" si="193"/>
        <v>116.80000000000001</v>
      </c>
      <c r="LN272" s="417">
        <f>VLOOKUP($LM$8,'Jan-2026 rates'!$H:$I,2,0)</f>
        <v>0</v>
      </c>
      <c r="LO272" s="417">
        <f t="shared" si="194"/>
        <v>29.200000000000003</v>
      </c>
      <c r="LP272" s="417">
        <f>VLOOKUP($LO$8,'Jan-2026 rates'!$H:$I,2,0)</f>
        <v>0</v>
      </c>
      <c r="LQ272" s="417">
        <f t="shared" si="195"/>
        <v>0</v>
      </c>
      <c r="LR272" s="417">
        <f>VLOOKUP($LQ$8,'Jan-2026 rates'!$H:$I,2,0)</f>
        <v>0</v>
      </c>
      <c r="LS272" s="417">
        <f t="shared" si="196"/>
        <v>0</v>
      </c>
      <c r="LT272" s="417">
        <f>VLOOKUP($LS$8,'Jan-2026 rates'!$H:$I,2,0)</f>
        <v>0</v>
      </c>
      <c r="LU272" s="417">
        <f t="shared" si="197"/>
        <v>0</v>
      </c>
      <c r="LV272" s="417">
        <f>VLOOKUP($LU$8,'Jan-2026 rates'!$H:$I,2,0)</f>
        <v>0</v>
      </c>
      <c r="LW272" s="417">
        <f t="shared" si="198"/>
        <v>0</v>
      </c>
      <c r="LX272" s="417">
        <f t="shared" si="199"/>
        <v>0</v>
      </c>
      <c r="LY272" s="418">
        <f t="shared" si="200"/>
        <v>0</v>
      </c>
      <c r="LZ272" s="417"/>
      <c r="MA272" s="435">
        <f t="shared" si="201"/>
        <v>166.7</v>
      </c>
      <c r="MB272" s="282">
        <f t="shared" si="202"/>
        <v>278.70000000000005</v>
      </c>
      <c r="MC272" s="283">
        <v>165</v>
      </c>
      <c r="MD272" s="284" t="str">
        <f t="shared" si="203"/>
        <v>FLINTSLFLINTSLFLINTSLFLINTSLFLINTSLFLINTSLFLINTSLFLINTSL</v>
      </c>
      <c r="ME272" s="293" t="str">
        <f t="shared" si="204"/>
        <v>+</v>
      </c>
      <c r="MF272" s="293" t="str">
        <f t="shared" si="205"/>
        <v>+</v>
      </c>
      <c r="MG272" s="293" t="str">
        <f t="shared" si="206"/>
        <v>+</v>
      </c>
      <c r="MH272" s="293" t="str">
        <f t="shared" si="207"/>
        <v>+</v>
      </c>
      <c r="MI272" s="293" t="str">
        <f t="shared" si="208"/>
        <v>+</v>
      </c>
      <c r="MJ272" s="293" t="str">
        <f t="shared" si="209"/>
        <v>+</v>
      </c>
      <c r="MK272" s="293" t="str">
        <f t="shared" si="210"/>
        <v>+</v>
      </c>
      <c r="ML272" s="293" t="str">
        <f t="shared" si="211"/>
        <v>+</v>
      </c>
      <c r="MM272" s="3" t="b">
        <f t="array" ref="MM272">OR(ME272:ML272="-")</f>
        <v>0</v>
      </c>
      <c r="MN272" s="285"/>
      <c r="MO272" s="401"/>
      <c r="MP272" s="286"/>
      <c r="MQ272" s="286"/>
      <c r="MR272" s="402"/>
      <c r="MS272" s="400"/>
      <c r="NH272" s="422"/>
      <c r="NJ272" s="421"/>
    </row>
    <row r="273" spans="1:374" s="1" customFormat="1" ht="16.5">
      <c r="A273" s="403">
        <v>46043</v>
      </c>
      <c r="B273" s="404" t="s">
        <v>1015</v>
      </c>
      <c r="C273" s="405" t="s">
        <v>4235</v>
      </c>
      <c r="D273" s="406">
        <v>166</v>
      </c>
      <c r="E273" s="404">
        <v>863</v>
      </c>
      <c r="F273" s="407">
        <v>56100</v>
      </c>
      <c r="G273" s="407" t="s">
        <v>1019</v>
      </c>
      <c r="H273" s="408" t="s">
        <v>1017</v>
      </c>
      <c r="I273" s="409">
        <v>0.51</v>
      </c>
      <c r="J273" s="405" t="s">
        <v>543</v>
      </c>
      <c r="K273" s="404" t="s">
        <v>4236</v>
      </c>
      <c r="L273" s="419" t="str">
        <f t="shared" si="184"/>
        <v>FLINTSL - BLACK</v>
      </c>
      <c r="M273" s="404">
        <v>24</v>
      </c>
      <c r="N273" s="410">
        <f>IF(M273=0,0,IF($LB273=70%,VLOOKUP($L273,'Jan-2026 rates'!$L:$R,4,0),IF($LB273=65%,VLOOKUP($L273,'Jan-2026 rates'!$L:$R,4,0),IF($LB273=40%,VLOOKUP($L273,'Jan-2026 rates'!$L:$R,5,0),IF($LB273=30%,VLOOKUP($L273,'Jan-2026 rates'!$L:$R,6,0),IF($LB273=100%,VLOOKUP($L273,'Jan-2026 rates'!$L:$R,7,0),IF($LB273=60%,VLOOKUP($L273,'Jan-2026 rates'!$L:$S,8,0),IF($LB273=80%,VLOOKUP($L273,'Jan-2026 rates'!L:T,9,0),0))))))))</f>
        <v>0</v>
      </c>
      <c r="O273" s="406"/>
      <c r="P273" s="404"/>
      <c r="Q273" s="410">
        <f>IF(P273=0,0,IF($LB273=70%,VLOOKUP($L273,'Jan-2026 rates'!$L:$R,4,0),IF($LB273=65%,VLOOKUP($L273,'Jan-2026 rates'!$L:$R,4,0),IF($LB273=40%,VLOOKUP($L273,'Jan-2026 rates'!$L:$R,5,0),IF($LB273=30%,VLOOKUP($L273,'Jan-2026 rates'!$L:$R,6,0),IF($LB273=100%,VLOOKUP($L273,'Jan-2026 rates'!$L:$R,7,0),IF($LB273=60%,VLOOKUP($L273,'Jan-2026 rates'!$L:$S,8,0),IF($LB273=80%,VLOOKUP($L273,'Jan-2026 rates'!L:T,9,0),0))))))))</f>
        <v>0</v>
      </c>
      <c r="R273" s="406">
        <v>26519000028</v>
      </c>
      <c r="S273" s="406"/>
      <c r="T273" s="406"/>
      <c r="U273" s="406"/>
      <c r="V273" s="406"/>
      <c r="W273" s="406"/>
      <c r="X273" s="406"/>
      <c r="Y273" s="406"/>
      <c r="Z273" s="404">
        <v>10</v>
      </c>
      <c r="AA273" s="398" t="e">
        <f>IF(Z273=0,0,IF(LEN(R273)=11,_xlfn.XLOOKUP(R273,'Dispensed Ink Rates'!C:C,'Dispensed Ink Rates'!CS:CS),VLOOKUP(R273,'Jan-2026 rates'!$E:$F,2,0)))</f>
        <v>#N/A</v>
      </c>
      <c r="AB273" s="404"/>
      <c r="AC273" s="398">
        <f>IF(AB273=0,0,IF(LEN(S273)=11,_xlfn.XLOOKUP(S273,'Dispensed Ink Rates'!C:C,'Dispensed Ink Rates'!CS:CS),VLOOKUP(S273,'Jan-2026 rates'!$E:$F,2,0)))</f>
        <v>0</v>
      </c>
      <c r="AD273" s="404"/>
      <c r="AE273" s="398">
        <f>IF(AD273=0,0,IF(LEN(T273)=11,_xlfn.XLOOKUP(T273,'Dispensed Ink Rates'!C:C,'Dispensed Ink Rates'!CS:CS),VLOOKUP(T273,'Jan-2026 rates'!$E:$F,2,0)))</f>
        <v>0</v>
      </c>
      <c r="AF273" s="404"/>
      <c r="AG273" s="398">
        <f>IF(AF273=0,0,IF(LEN(U273)=11,_xlfn.XLOOKUP(U273,'Dispensed Ink Rates'!C:C,'Dispensed Ink Rates'!CS:CS),VLOOKUP(U273,'Jan-2026 rates'!$E:$F,2,0)))</f>
        <v>0</v>
      </c>
      <c r="AH273" s="404"/>
      <c r="AI273" s="398">
        <f>IF(AH273=0,0,IF(LEN(V273)=11,_xlfn.XLOOKUP(V273,'Dispensed Ink Rates'!C:C,'Dispensed Ink Rates'!CS:CS),VLOOKUP(V273,'Jan-2026 rates'!$E:$F,2,0)))</f>
        <v>0</v>
      </c>
      <c r="AJ273" s="404"/>
      <c r="AK273" s="398">
        <f>IF(AJ273=0,0,IF(LEN(W273)=11,_xlfn.XLOOKUP(W273,'Dispensed Ink Rates'!C:C,'Dispensed Ink Rates'!CS:CS),VLOOKUP(W273,'Jan-2026 rates'!$E:$F,2,0)))</f>
        <v>0</v>
      </c>
      <c r="AL273" s="404"/>
      <c r="AM273" s="398">
        <f>IF(AL273=0,0,IF(LEN(X273)=11,_xlfn.XLOOKUP(X273,'Dispensed Ink Rates'!C:C,'Dispensed Ink Rates'!CS:CS),VLOOKUP(X273,'Jan-2026 rates'!$E:$F,2,0)))</f>
        <v>0</v>
      </c>
      <c r="AN273" s="404"/>
      <c r="AO273" s="398">
        <f>IF(AN273=0,0,IF(LEN(Y273)=11,_xlfn.XLOOKUP(Y273,'Dispensed Ink Rates'!C:C,'Dispensed Ink Rates'!CS:CS),VLOOKUP(Y273,'Jan-2026 rates'!$E:$F,2,0)))</f>
        <v>0</v>
      </c>
      <c r="AP273" s="409" t="s">
        <v>1443</v>
      </c>
      <c r="AQ273" s="409">
        <v>30</v>
      </c>
      <c r="AR273" s="410">
        <f t="shared" si="212"/>
        <v>0</v>
      </c>
      <c r="AS273" s="411">
        <f t="shared" si="213"/>
        <v>45.538461538461547</v>
      </c>
      <c r="AT273" s="410">
        <f t="shared" si="214"/>
        <v>0</v>
      </c>
      <c r="AU273" s="405" t="s">
        <v>546</v>
      </c>
      <c r="AV273" s="409" t="s">
        <v>4149</v>
      </c>
      <c r="AW273" s="420" t="str">
        <f t="shared" si="183"/>
        <v>FLINTSL - REFLEX BLUE</v>
      </c>
      <c r="AX273" s="409">
        <v>16</v>
      </c>
      <c r="AY273" s="411">
        <f>IF(AX273=0,0,IF($LB273=70%,VLOOKUP($AW273,'Jan-2026 rates'!$L:$R,4,0),IF($LB273=65%,VLOOKUP($AW273,'Jan-2026 rates'!$L:$R,4,0),IF($LB273=40%,VLOOKUP($AW273,'Jan-2026 rates'!$L:$R,5,0),IF($LB273=30%,VLOOKUP($AW273,'Jan-2026 rates'!$L:$R,6,0),IF($LB273=100%,VLOOKUP($AW273,'Jan-2026 rates'!$L:$R,7,0),IF($LB273=60%,VLOOKUP($AW273,'Jan-2026 rates'!$L:$S,8,0),IF($LB273=80%,VLOOKUP($AW273,'Jan-2026 rates'!L:T,9,0),0))))))))</f>
        <v>0</v>
      </c>
      <c r="AZ273" s="412" t="s">
        <v>4237</v>
      </c>
      <c r="BA273" s="409">
        <v>10</v>
      </c>
      <c r="BB273" s="411">
        <f>IF(BA273=0,0,IF($LB273=70%,VLOOKUP($AW273,'Jan-2026 rates'!$L:$R,4,0),IF($LB273=65%,VLOOKUP($AW273,'Jan-2026 rates'!$L:$R,4,0),IF($LB273=40%,VLOOKUP($AW273,'Jan-2026 rates'!$L:$R,5,0),IF($LB273=30%,VLOOKUP($AW273,'Jan-2026 rates'!$L:$R,6,0),IF($LB273=100%,VLOOKUP($AW273,'Jan-2026 rates'!$L:$R,7,0),IF($LB273=60%,VLOOKUP($AW273,'Jan-2026 rates'!$L:$S,8,0),IF($LB273=80%,VLOOKUP($AW273,'Jan-2026 rates'!L:T,9,0),0))))))))</f>
        <v>0</v>
      </c>
      <c r="BC273" s="413">
        <v>26521000005</v>
      </c>
      <c r="BD273" s="412"/>
      <c r="BE273" s="412"/>
      <c r="BF273" s="413"/>
      <c r="BG273" s="412"/>
      <c r="BH273" s="412"/>
      <c r="BI273" s="412"/>
      <c r="BJ273" s="412"/>
      <c r="BK273" s="409">
        <v>4</v>
      </c>
      <c r="BL273" s="398" t="e">
        <f>IF(BK273=0,0,IF(LEN(BC273)=11,_xlfn.XLOOKUP(BC273,'Dispensed Ink Rates'!C:C,'Dispensed Ink Rates'!CS:CS),VLOOKUP(BC273,'Jan-2026 rates'!$E:$F,2,0)))</f>
        <v>#N/A</v>
      </c>
      <c r="BM273" s="409"/>
      <c r="BN273" s="398">
        <f>IF(BM273=0,0,IF(LEN(BD273)=11,_xlfn.XLOOKUP(BD273,'Dispensed Ink Rates'!C:C,'Dispensed Ink Rates'!CS:CS),VLOOKUP(BD273,'Jan-2026 rates'!$E:$F,2,0)))</f>
        <v>0</v>
      </c>
      <c r="BO273" s="409"/>
      <c r="BP273" s="398">
        <f>IF(BO273=0,0,IF(LEN(BE273)=11,_xlfn.XLOOKUP(BE273,'Dispensed Ink Rates'!C:C,'Dispensed Ink Rates'!CS:CS),VLOOKUP(BE273,'Jan-2026 rates'!$E:$F,2,0)))</f>
        <v>0</v>
      </c>
      <c r="BQ273" s="409"/>
      <c r="BR273" s="398">
        <f>IF(BQ273=0,0,IF(LEN(BF273)=11,_xlfn.XLOOKUP(BF273,'Dispensed Ink Rates'!C:C,'Dispensed Ink Rates'!CS:CS),VLOOKUP(BF273,'Jan-2026 rates'!$E:$F,2,0)))</f>
        <v>0</v>
      </c>
      <c r="BS273" s="409"/>
      <c r="BT273" s="398">
        <f>IF(BS273=0,0,IF(LEN(BG273)=11,_xlfn.XLOOKUP(BG273,'Dispensed Ink Rates'!C:C,'Dispensed Ink Rates'!CS:CS),VLOOKUP(BG273,'Jan-2026 rates'!$E:$F,2,0)))</f>
        <v>0</v>
      </c>
      <c r="BU273" s="409"/>
      <c r="BV273" s="398">
        <f>IF(BU273=0,0,IF(LEN(BH273)=11,_xlfn.XLOOKUP(BH273,'Dispensed Ink Rates'!C:C,'Dispensed Ink Rates'!CS:CS),VLOOKUP(BH273,'Jan-2026 rates'!$E:$F,2,0)))</f>
        <v>0</v>
      </c>
      <c r="BW273" s="409"/>
      <c r="BX273" s="398">
        <f>IF(BW273=0,0,IF(LEN(BI273)=11,_xlfn.XLOOKUP(BI273,'Dispensed Ink Rates'!C:C,'Dispensed Ink Rates'!CS:CS),VLOOKUP(BI273,'Jan-2026 rates'!$E:$F,2,0)))</f>
        <v>0</v>
      </c>
      <c r="BY273" s="409"/>
      <c r="BZ273" s="398">
        <f>IF(BY273=0,0,IF(LEN(BJ273)=11,_xlfn.XLOOKUP(BJ273,'Dispensed Ink Rates'!C:C,'Dispensed Ink Rates'!CS:CS),VLOOKUP(BJ273,'Jan-2026 rates'!$E:$F,2,0)))</f>
        <v>0</v>
      </c>
      <c r="CA273" s="409" t="s">
        <v>1443</v>
      </c>
      <c r="CB273" s="409">
        <v>16</v>
      </c>
      <c r="CC273" s="411">
        <f t="shared" si="215"/>
        <v>0</v>
      </c>
      <c r="CD273" s="411">
        <f t="shared" si="216"/>
        <v>30.615384615384613</v>
      </c>
      <c r="CE273" s="410">
        <f t="shared" si="217"/>
        <v>0</v>
      </c>
      <c r="CF273" s="404" t="s">
        <v>547</v>
      </c>
      <c r="CG273" s="409"/>
      <c r="CH273" s="420" t="str">
        <f t="shared" si="185"/>
        <v>FLINTSL - GREEN</v>
      </c>
      <c r="CI273" s="409"/>
      <c r="CJ273" s="411">
        <f>IF(CI273=0,0,IF($LB273=70%,VLOOKUP($CH273,'Jan-2026 rates'!$L:$R,4,0),IF($LB273=65%,VLOOKUP($CH273,'Jan-2026 rates'!$L:$R,4,0),IF($LB273=40%,VLOOKUP($CH273,'Jan-2026 rates'!$L:$R,5,0),IF($LB273=30%,VLOOKUP($CH273,'Jan-2026 rates'!$L:$R,6,0),IF($LB273=100%,VLOOKUP($CH273,'Jan-2026 rates'!$L:$R,7,0),IF($LB273=60%,VLOOKUP($CH273,'Jan-2026 rates'!$L:$S,8,0),IF($LB273=80%,VLOOKUP($CH273,'Jan-2026 rates'!L:T,9,0),0))))))))</f>
        <v>0</v>
      </c>
      <c r="CK273" s="412"/>
      <c r="CL273" s="409"/>
      <c r="CM273" s="411">
        <f>IF(CL273=0,0,IF($LB273=70%,VLOOKUP($CH273,'Jan-2026 rates'!$L:$R,4,0),IF($LB273=65%,VLOOKUP($CH273,'Jan-2026 rates'!$L:$R,4,0),IF($LB273=40%,VLOOKUP($CH273,'Jan-2026 rates'!$L:$R,5,0),IF($LB273=30%,VLOOKUP($CH273,'Jan-2026 rates'!$L:$R,6,0),IF($LB273=100%,VLOOKUP($CH273,'Jan-2026 rates'!$L:$R,7,0),IF($LB273=60%,VLOOKUP($CH273,'Jan-2026 rates'!$L:$S,8,0),IF($LB273=80%,VLOOKUP($CH273,'Jan-2026 rates'!L:T,9,0),0))))))))</f>
        <v>0</v>
      </c>
      <c r="CN273" s="426">
        <v>26521000011</v>
      </c>
      <c r="CO273" s="427">
        <v>26521000013</v>
      </c>
      <c r="CP273" s="426">
        <v>26521000010</v>
      </c>
      <c r="CQ273" s="426">
        <v>26521000012</v>
      </c>
      <c r="CR273" s="428"/>
      <c r="CS273" s="428"/>
      <c r="CT273" s="428"/>
      <c r="CU273" s="428"/>
      <c r="CV273" s="409">
        <v>120</v>
      </c>
      <c r="CW273" s="398" t="e">
        <f>IF(CV273=0,0,IF(LEN(CN273)=11,_xlfn.XLOOKUP(CN273,'Dispensed Ink Rates'!C:C,'Dispensed Ink Rates'!CS:CS),VLOOKUP(CN273,'Jan-2026 rates'!$E:$F,2,0)))</f>
        <v>#N/A</v>
      </c>
      <c r="CX273" s="409">
        <v>2</v>
      </c>
      <c r="CY273" s="398" t="e">
        <f>IF(CX273=0,0,IF(LEN(CO273)=11,_xlfn.XLOOKUP(CO273,'Dispensed Ink Rates'!C:C,'Dispensed Ink Rates'!CS:CS),VLOOKUP(CO273,'Jan-2026 rates'!$E:$F,2,0)))</f>
        <v>#N/A</v>
      </c>
      <c r="CZ273" s="409">
        <v>1.5</v>
      </c>
      <c r="DA273" s="398" t="e">
        <f>IF(CZ273=0,0,IF(LEN(CP273)=11,_xlfn.XLOOKUP(CP273,'Dispensed Ink Rates'!C:C,'Dispensed Ink Rates'!CS:CS),VLOOKUP(CP273,'Jan-2026 rates'!$E:$F,2,0)))</f>
        <v>#N/A</v>
      </c>
      <c r="DB273" s="409">
        <v>120</v>
      </c>
      <c r="DC273" s="398" t="e">
        <f>IF(DB273=0,0,IF(LEN(CQ273)=11,_xlfn.XLOOKUP(CQ273,'Dispensed Ink Rates'!C:C,'Dispensed Ink Rates'!CS:CS),VLOOKUP(CQ273,'Jan-2026 rates'!$E:$F,2,0)))</f>
        <v>#N/A</v>
      </c>
      <c r="DD273" s="409"/>
      <c r="DE273" s="398">
        <f>IF(DD273=0,0,IF(LEN(CR273)=11,_xlfn.XLOOKUP(CR273,'Dispensed Ink Rates'!C:C,'Dispensed Ink Rates'!CS:CS),VLOOKUP(CR273,'Jan-2026 rates'!$E:$F,2,0)))</f>
        <v>0</v>
      </c>
      <c r="DF273" s="409"/>
      <c r="DG273" s="398">
        <f>IF(DF273=0,0,IF(LEN(CS273)=11,_xlfn.XLOOKUP(CS273,'Dispensed Ink Rates'!C:C,'Dispensed Ink Rates'!CS:CS),VLOOKUP(CS273,'Jan-2026 rates'!$E:$F,2,0)))</f>
        <v>0</v>
      </c>
      <c r="DH273" s="409"/>
      <c r="DI273" s="398">
        <f>IF(DH273=0,0,IF(LEN(CT273)=11,_xlfn.XLOOKUP(CT273,'Dispensed Ink Rates'!C:C,'Dispensed Ink Rates'!CS:CS),VLOOKUP(CT273,'Jan-2026 rates'!$E:$F,2,0)))</f>
        <v>0</v>
      </c>
      <c r="DJ273" s="409"/>
      <c r="DK273" s="398">
        <f>IF(DJ273=0,0,IF(LEN(CU273)=11,_xlfn.XLOOKUP(CU273,'Dispensed Ink Rates'!C:C,'Dispensed Ink Rates'!CS:CS),VLOOKUP(CU273,'Jan-2026 rates'!$E:$F,2,0)))</f>
        <v>0</v>
      </c>
      <c r="DL273" s="409" t="s">
        <v>1443</v>
      </c>
      <c r="DM273" s="409">
        <v>21</v>
      </c>
      <c r="DN273" s="411">
        <f t="shared" si="218"/>
        <v>0</v>
      </c>
      <c r="DO273" s="411">
        <f t="shared" si="219"/>
        <v>305.57692307692309</v>
      </c>
      <c r="DP273" s="410">
        <f t="shared" si="220"/>
        <v>0</v>
      </c>
      <c r="DQ273" s="405" t="s">
        <v>855</v>
      </c>
      <c r="DR273" s="409" t="s">
        <v>4238</v>
      </c>
      <c r="DS273" s="420" t="str">
        <f t="shared" si="186"/>
        <v>FLINTSL - CYAN</v>
      </c>
      <c r="DT273" s="409">
        <v>27</v>
      </c>
      <c r="DU273" s="411">
        <f>IF(DT273=0,0,IF($LB273=70%,VLOOKUP($DS273,'Jan-2026 rates'!$L:$R,4,0),IF($LB273=65%,VLOOKUP($DS273,'Jan-2026 rates'!$L:$R,4,0),IF($LB273=40%,VLOOKUP($DS273,'Jan-2026 rates'!$L:$R,5,0),IF($LB273=30%,VLOOKUP($DS273,'Jan-2026 rates'!$L:$R,6,0),IF($LB273=100%,VLOOKUP($DS273,'Jan-2026 rates'!$L:$R,7,0),IF($LB273=60%,VLOOKUP($DS273,'Jan-2026 rates'!$L:$S,8,0),IF($LB273=80%,VLOOKUP($DS273,'Jan-2026 rates'!L:T,9,0),0))))))))</f>
        <v>0</v>
      </c>
      <c r="DV273" s="412"/>
      <c r="DW273" s="409"/>
      <c r="DX273" s="411">
        <f>IF(DW273=0,0,IF($LB273=70%,VLOOKUP($DS273,'Jan-2026 rates'!$L:$R,4,0),IF($LB273=65%,VLOOKUP($DS273,'Jan-2026 rates'!$L:$R,4,0),IF($LB273=40%,VLOOKUP($DS273,'Jan-2026 rates'!$L:$R,5,0),IF($LB273=30%,VLOOKUP($DS273,'Jan-2026 rates'!$L:$R,6,0),IF($LB273=100%,VLOOKUP($DS273,'Jan-2026 rates'!$L:$R,7,0),IF($LB273=60%,VLOOKUP($DS273,'Jan-2026 rates'!$L:$S,8,0),IF($LB273=80%,VLOOKUP($DS273,'Jan-2026 rates'!L:T,9,0),0))))))))</f>
        <v>0</v>
      </c>
      <c r="DY273" s="413">
        <v>26519000028</v>
      </c>
      <c r="DZ273" s="413"/>
      <c r="EA273" s="412"/>
      <c r="EB273" s="412"/>
      <c r="EC273" s="412"/>
      <c r="ED273" s="412"/>
      <c r="EE273" s="412"/>
      <c r="EF273" s="412"/>
      <c r="EG273" s="409">
        <f>2+1</f>
        <v>3</v>
      </c>
      <c r="EH273" s="398" t="e">
        <f>IF(EG273=0,0,IF(LEN(DY273)=11,_xlfn.XLOOKUP(DY273,'Dispensed Ink Rates'!C:C,'Dispensed Ink Rates'!CS:CS),VLOOKUP(DY273,'Jan-2026 rates'!$E:$F,2,0)))</f>
        <v>#N/A</v>
      </c>
      <c r="EI273" s="409"/>
      <c r="EJ273" s="398">
        <f>IF(EI273=0,0,IF(LEN(DZ273)=11,_xlfn.XLOOKUP(DZ273,'Dispensed Ink Rates'!C:C,'Dispensed Ink Rates'!CS:CS),VLOOKUP(DZ273,'Jan-2026 rates'!$E:$F,2,0)))</f>
        <v>0</v>
      </c>
      <c r="EK273" s="409"/>
      <c r="EL273" s="398">
        <f>IF(EK273=0,0,IF(LEN(EA273)=11,_xlfn.XLOOKUP(EA273,'Dispensed Ink Rates'!C:C,'Dispensed Ink Rates'!CS:CS),VLOOKUP(EA273,'Jan-2026 rates'!$E:$F,2,0)))</f>
        <v>0</v>
      </c>
      <c r="EM273" s="409"/>
      <c r="EN273" s="398">
        <f>IF(EM273=0,0,IF(LEN(EB273)=11,_xlfn.XLOOKUP(EB273,'Dispensed Ink Rates'!C:C,'Dispensed Ink Rates'!CS:CS),VLOOKUP(EB273,'Jan-2026 rates'!$E:$F,2,0)))</f>
        <v>0</v>
      </c>
      <c r="EO273" s="409"/>
      <c r="EP273" s="398">
        <f>IF(EO273=0,0,IF(LEN(EC273)=11,_xlfn.XLOOKUP(EC273,'Dispensed Ink Rates'!C:C,'Dispensed Ink Rates'!CS:CS),VLOOKUP(EC273,'Jan-2026 rates'!$E:$F,2,0)))</f>
        <v>0</v>
      </c>
      <c r="EQ273" s="409"/>
      <c r="ER273" s="398">
        <f>IF(EQ273=0,0,IF(LEN(ED273)=11,_xlfn.XLOOKUP(ED273,'Dispensed Ink Rates'!C:C,'Dispensed Ink Rates'!CS:CS),VLOOKUP(ED273,'Jan-2026 rates'!$E:$F,2,0)))</f>
        <v>0</v>
      </c>
      <c r="ES273" s="409"/>
      <c r="ET273" s="398">
        <f>IF(ES273=0,0,IF(LEN(EE273)=11,_xlfn.XLOOKUP(EE273,'Dispensed Ink Rates'!C:C,'Dispensed Ink Rates'!CS:CS),VLOOKUP(EE273,'Jan-2026 rates'!$E:$F,2,0)))</f>
        <v>0</v>
      </c>
      <c r="EU273" s="409"/>
      <c r="EV273" s="398">
        <f>IF(EU273=0,0,IF(LEN(EF273)=11,_xlfn.XLOOKUP(EF273,'Dispensed Ink Rates'!C:C,'Dispensed Ink Rates'!CS:CS),VLOOKUP(EF273,'Jan-2026 rates'!$E:$F,2,0)))</f>
        <v>0</v>
      </c>
      <c r="EW273" s="409" t="s">
        <v>1443</v>
      </c>
      <c r="EX273" s="409">
        <v>28</v>
      </c>
      <c r="EY273" s="411">
        <f t="shared" si="221"/>
        <v>0</v>
      </c>
      <c r="EZ273" s="411">
        <f t="shared" si="222"/>
        <v>18.615384615384613</v>
      </c>
      <c r="FA273" s="410">
        <f t="shared" si="223"/>
        <v>0</v>
      </c>
      <c r="FB273" s="405" t="s">
        <v>544</v>
      </c>
      <c r="FC273" s="409" t="s">
        <v>4239</v>
      </c>
      <c r="FD273" s="420" t="str">
        <f t="shared" si="187"/>
        <v>FLINTSL - MAGENTA</v>
      </c>
      <c r="FE273" s="409">
        <v>30</v>
      </c>
      <c r="FF273" s="411">
        <f>IF(FE273=0,0,IF($LB273=70%,VLOOKUP($FD273,'Jan-2026 rates'!$L:$R,4,0),IF($LB273=65%,VLOOKUP($FD273,'Jan-2026 rates'!$L:$R,4,0),IF($LB273=40%,VLOOKUP($FD273,'Jan-2026 rates'!$L:$R,5,0),IF($LB273=30%,VLOOKUP($FD273,'Jan-2026 rates'!$L:$R,6,0),IF($LB273=100%,VLOOKUP($FD273,'Jan-2026 rates'!$L:$R,7,0),IF($LB273=60%,VLOOKUP($FD273,'Jan-2026 rates'!$L:$S,8,0),IF($LB273=80%,VLOOKUP($FD273,'Jan-2026 rates'!L:T,9,0),0))))))))</f>
        <v>0</v>
      </c>
      <c r="FG273" s="412"/>
      <c r="FH273" s="409"/>
      <c r="FI273" s="411">
        <f>IF(FH273=0,0,IF($LB273=70%,VLOOKUP($FD273,'Jan-2026 rates'!$L:$R,4,0),IF($LB273=65%,VLOOKUP($FD273,'Jan-2026 rates'!$L:$R,4,0),IF($LB273=40%,VLOOKUP($FD273,'Jan-2026 rates'!$L:$R,5,0),IF($LB273=30%,VLOOKUP($FD273,'Jan-2026 rates'!$L:$R,6,0),IF($LB273=100%,VLOOKUP($FD273,'Jan-2026 rates'!$L:$R,7,0),IF($LB273=60%,VLOOKUP($FD273,'Jan-2026 rates'!$L:$S,8,0),IF($LB273=80%,VLOOKUP($FD273,'Jan-2026 rates'!L:T,9,0),0))))))))</f>
        <v>0</v>
      </c>
      <c r="FJ273" s="413">
        <v>26521000005</v>
      </c>
      <c r="FK273" s="413"/>
      <c r="FL273" s="413"/>
      <c r="FM273" s="412"/>
      <c r="FN273" s="412"/>
      <c r="FO273" s="412"/>
      <c r="FP273" s="412"/>
      <c r="FQ273" s="412"/>
      <c r="FR273" s="409">
        <v>3</v>
      </c>
      <c r="FS273" s="398" t="e">
        <f>IF(FR273=0,0,IF(LEN(FJ273)=11,_xlfn.XLOOKUP(FJ273,'Dispensed Ink Rates'!C:C,'Dispensed Ink Rates'!CS:CS),VLOOKUP(FJ273,'Jan-2026 rates'!$E:$F,2,0)))</f>
        <v>#N/A</v>
      </c>
      <c r="FT273" s="409"/>
      <c r="FU273" s="398">
        <f>IF(FT273=0,0,IF(LEN(FK273)=11,_xlfn.XLOOKUP(FK273,'Dispensed Ink Rates'!C:C,'Dispensed Ink Rates'!CS:CS),VLOOKUP(FK273,'Jan-2026 rates'!$E:$F,2,0)))</f>
        <v>0</v>
      </c>
      <c r="FV273" s="409"/>
      <c r="FW273" s="398">
        <f>IF(FV273=0,0,IF(LEN(FL273)=11,_xlfn.XLOOKUP(FL273,'Dispensed Ink Rates'!C:C,'Dispensed Ink Rates'!CS:CS),VLOOKUP(FL273,'Jan-2026 rates'!$E:$F,2,0)))</f>
        <v>0</v>
      </c>
      <c r="FX273" s="409"/>
      <c r="FY273" s="398">
        <f>IF(FX273=0,0,IF(LEN(FM273)=11,_xlfn.XLOOKUP(FM273,'Dispensed Ink Rates'!C:C,'Dispensed Ink Rates'!CS:CS),VLOOKUP(FM273,'Jan-2026 rates'!$E:$F,2,0)))</f>
        <v>0</v>
      </c>
      <c r="FZ273" s="409"/>
      <c r="GA273" s="398">
        <f>IF(FZ273=0,0,IF(LEN(FN273)=11,_xlfn.XLOOKUP(FN273,'Dispensed Ink Rates'!C:C,'Dispensed Ink Rates'!CS:CS),VLOOKUP(FN273,'Jan-2026 rates'!$E:$F,2,0)))</f>
        <v>0</v>
      </c>
      <c r="GB273" s="409"/>
      <c r="GC273" s="398">
        <f>IF(GB273=0,0,IF(LEN(FO273)=11,_xlfn.XLOOKUP(FO273,'Dispensed Ink Rates'!C:C,'Dispensed Ink Rates'!CS:CS),VLOOKUP(FO273,'Jan-2026 rates'!$E:$F,2,0)))</f>
        <v>0</v>
      </c>
      <c r="GD273" s="409"/>
      <c r="GE273" s="398">
        <f>IF(GD273=0,0,IF(LEN(FP273)=11,_xlfn.XLOOKUP(FP273,'Dispensed Ink Rates'!C:C,'Dispensed Ink Rates'!CS:CS),VLOOKUP(FP273,'Jan-2026 rates'!$E:$F,2,0)))</f>
        <v>0</v>
      </c>
      <c r="GF273" s="409"/>
      <c r="GG273" s="398">
        <f>IF(GF273=0,0,IF(LEN(FQ273)=11,_xlfn.XLOOKUP(FQ273,'Dispensed Ink Rates'!C:C,'Dispensed Ink Rates'!CS:CS),VLOOKUP(FQ273,'Jan-2026 rates'!$E:$F,2,0)))</f>
        <v>0</v>
      </c>
      <c r="GH273" s="409" t="s">
        <v>1443</v>
      </c>
      <c r="GI273" s="409">
        <v>30</v>
      </c>
      <c r="GJ273" s="411">
        <f t="shared" si="224"/>
        <v>0</v>
      </c>
      <c r="GK273" s="411">
        <f t="shared" si="225"/>
        <v>19.615384615384613</v>
      </c>
      <c r="GL273" s="410">
        <f t="shared" si="226"/>
        <v>0</v>
      </c>
      <c r="GM273" s="405" t="s">
        <v>545</v>
      </c>
      <c r="GN273" s="409" t="s">
        <v>4240</v>
      </c>
      <c r="GO273" s="420" t="str">
        <f t="shared" si="188"/>
        <v>FLINTSL - YELLOW</v>
      </c>
      <c r="GP273" s="409">
        <v>25</v>
      </c>
      <c r="GQ273" s="411">
        <f>IF(GP273=0,0,IF($LB273=70%,VLOOKUP($GO273,'Jan-2026 rates'!$L:$R,4,0),IF($LB273=65%,VLOOKUP($GO273,'Jan-2026 rates'!$L:$R,4,0),IF($LB273=40%,VLOOKUP($GO273,'Jan-2026 rates'!$L:$R,5,0),IF($LB273=30%,VLOOKUP($GO273,'Jan-2026 rates'!$L:$R,6,0),IF($LB273=100%,VLOOKUP($GO273,'Jan-2026 rates'!$L:$R,7,0),IF($LB273=60%,VLOOKUP($GO273,'Jan-2026 rates'!$L:$S,8,0),IF($LB273=80%,VLOOKUP($GO273,'Jan-2026 rates'!L:T,9,0),0))))))))</f>
        <v>0</v>
      </c>
      <c r="GR273" s="412"/>
      <c r="GS273" s="409"/>
      <c r="GT273" s="411">
        <f>IF(GS273=0,0,IF($LB273=70%,VLOOKUP($GO273,'Jan-2026 rates'!$L:$R,4,0),IF($LB273=65%,VLOOKUP($GO273,'Jan-2026 rates'!$L:$R,4,0),IF($LB273=40%,VLOOKUP($GO273,'Jan-2026 rates'!$L:$R,5,0),IF($LB273=30%,VLOOKUP($GO273,'Jan-2026 rates'!$L:$R,6,0),IF($LB273=100%,VLOOKUP($GO273,'Jan-2026 rates'!$L:$R,7,0),IF($LB273=60%,VLOOKUP($GO273,'Jan-2026 rates'!$L:$S,8,0),IF($LB273=80%,VLOOKUP($GO273,'Jan-2026 rates'!L:T,9,0),0))))))))</f>
        <v>0</v>
      </c>
      <c r="GU273" s="413">
        <v>26523000001</v>
      </c>
      <c r="GV273" s="413"/>
      <c r="GW273" s="412"/>
      <c r="GX273" s="412"/>
      <c r="GY273" s="412"/>
      <c r="GZ273" s="412"/>
      <c r="HA273" s="412"/>
      <c r="HB273" s="412"/>
      <c r="HC273" s="409">
        <v>10</v>
      </c>
      <c r="HD273" s="398" t="e">
        <f>IF(HC273=0,0,IF(LEN(GU273)=11,_xlfn.XLOOKUP(GU273,'Dispensed Ink Rates'!C:C,'Dispensed Ink Rates'!CS:CS),VLOOKUP(GU273,'Jan-2026 rates'!$E:$F,2,0)))</f>
        <v>#N/A</v>
      </c>
      <c r="HE273" s="409"/>
      <c r="HF273" s="398">
        <f>IF(HE273=0,0,IF(LEN(GV273)=11,_xlfn.XLOOKUP(GV273,'Dispensed Ink Rates'!C:C,'Dispensed Ink Rates'!CS:CS),VLOOKUP(GV273,'Jan-2026 rates'!$E:$F,2,0)))</f>
        <v>0</v>
      </c>
      <c r="HG273" s="409"/>
      <c r="HH273" s="398">
        <f>IF(HG273=0,0,IF(LEN(GW273)=11,_xlfn.XLOOKUP(GW273,'Dispensed Ink Rates'!C:C,'Dispensed Ink Rates'!CS:CS),VLOOKUP(GW273,'Jan-2026 rates'!$E:$F,2,0)))</f>
        <v>0</v>
      </c>
      <c r="HI273" s="409"/>
      <c r="HJ273" s="398">
        <f>IF(HI273=0,0,IF(LEN(GX273)=11,_xlfn.XLOOKUP(GX273,'Dispensed Ink Rates'!C:C,'Dispensed Ink Rates'!CS:CS),VLOOKUP(GX273,'Jan-2026 rates'!$E:$F,2,0)))</f>
        <v>0</v>
      </c>
      <c r="HK273" s="409"/>
      <c r="HL273" s="398">
        <f>IF(HK273=0,0,IF(LEN(GY273)=11,_xlfn.XLOOKUP(GY273,'Dispensed Ink Rates'!C:C,'Dispensed Ink Rates'!CS:CS),VLOOKUP(GY273,'Jan-2026 rates'!$E:$F,2,0)))</f>
        <v>0</v>
      </c>
      <c r="HM273" s="409"/>
      <c r="HN273" s="398">
        <f>IF(HM273=0,0,IF(LEN(GZ273)=11,_xlfn.XLOOKUP(GZ273,'Dispensed Ink Rates'!C:C,'Dispensed Ink Rates'!CS:CS),VLOOKUP(GZ273,'Jan-2026 rates'!$E:$F,2,0)))</f>
        <v>0</v>
      </c>
      <c r="HO273" s="409"/>
      <c r="HP273" s="398">
        <f>IF(HO273=0,0,IF(LEN(HA273)=11,_xlfn.XLOOKUP(HA273,'Dispensed Ink Rates'!C:C,'Dispensed Ink Rates'!CS:CS),VLOOKUP(HA273,'Jan-2026 rates'!$E:$F,2,0)))</f>
        <v>0</v>
      </c>
      <c r="HQ273" s="409"/>
      <c r="HR273" s="398">
        <f>IF(HQ273=0,0,IF(LEN(HB273)=11,_xlfn.XLOOKUP(HB273,'Dispensed Ink Rates'!C:C,'Dispensed Ink Rates'!CS:CS),VLOOKUP(HB273,'Jan-2026 rates'!$E:$F,2,0)))</f>
        <v>0</v>
      </c>
      <c r="HS273" s="409" t="s">
        <v>1443</v>
      </c>
      <c r="HT273" s="409">
        <v>35</v>
      </c>
      <c r="HU273" s="411">
        <f t="shared" si="227"/>
        <v>0</v>
      </c>
      <c r="HV273" s="411">
        <f t="shared" si="228"/>
        <v>41.538461538461547</v>
      </c>
      <c r="HW273" s="414">
        <f t="shared" si="229"/>
        <v>0</v>
      </c>
      <c r="HX273" s="405"/>
      <c r="HY273" s="409"/>
      <c r="HZ273" s="420" t="str">
        <f t="shared" si="189"/>
        <v xml:space="preserve"> - </v>
      </c>
      <c r="IA273" s="409"/>
      <c r="IB273" s="411">
        <f>IF(IA273=0,0,IF($LB273=70%,VLOOKUP($HZ273,'Jan-2026 rates'!$L:$R,4,0),IF($LB273=65%,VLOOKUP($HZ273,'Jan-2026 rates'!$L:$R,4,0),IF($LB273=40%,VLOOKUP($HZ273,'Jan-2026 rates'!$L:$R,5,0),IF($LB273=30%,VLOOKUP($HZ273,'Jan-2026 rates'!$L:$R,6,0),IF($LB273=100%,VLOOKUP($HZ273,'Jan-2026 rates'!$L:$R,7,0),IF($LB273=60%,VLOOKUP($HZ273,'Jan-2026 rates'!$L:$S,8,0),IF($LB273=80%,VLOOKUP($HZ273,'Jan-2026 rates'!L:T,9,0),0))))))))</f>
        <v>0</v>
      </c>
      <c r="IC273" s="412"/>
      <c r="ID273" s="409"/>
      <c r="IE273" s="411">
        <f>IF(ID273=0,0,IF($LB273=70%,VLOOKUP($HZ273,'Jan-2026 rates'!$L:$R,4,0),IF($LB273=65%,VLOOKUP($HZ273,'Jan-2026 rates'!$L:$R,4,0),IF($LB273=40%,VLOOKUP($HZ273,'Jan-2026 rates'!$L:$R,5,0),IF($LB273=30%,VLOOKUP($HZ273,'Jan-2026 rates'!$L:$R,6,0),IF($LB273=100%,VLOOKUP($HZ273,'Jan-2026 rates'!$L:$R,7,0),IF($LB273=60%,VLOOKUP($HZ273,'Jan-2026 rates'!$L:$S,8,0),IF($LB273=80%,VLOOKUP($HZ273,'Jan-2026 rates'!L:T,9,0),0))))))))</f>
        <v>0</v>
      </c>
      <c r="IF273" s="412"/>
      <c r="IG273" s="413"/>
      <c r="IH273" s="412"/>
      <c r="II273" s="412"/>
      <c r="IJ273" s="412"/>
      <c r="IK273" s="412"/>
      <c r="IL273" s="412"/>
      <c r="IM273" s="412"/>
      <c r="IN273" s="409"/>
      <c r="IO273" s="398">
        <f>IF(IN273=0,0,IF(LEN(IF273)=11,_xlfn.XLOOKUP(IF273,'Dispensed Ink Rates'!C:C,'Dispensed Ink Rates'!CS:CS),VLOOKUP(IF273,'Jan-2026 rates'!$E:$F,2,0)))</f>
        <v>0</v>
      </c>
      <c r="IP273" s="409"/>
      <c r="IQ273" s="398">
        <f>IF(IP273=0,0,IF(LEN(IG273)=11,_xlfn.XLOOKUP(IG273,'Dispensed Ink Rates'!C:C,'Dispensed Ink Rates'!CS:CS),VLOOKUP(IG273,'Jan-2026 rates'!$E:$F,2,0)))</f>
        <v>0</v>
      </c>
      <c r="IR273" s="409"/>
      <c r="IS273" s="398">
        <f>IF(IR273=0,0,IF(LEN(IH273)=11,_xlfn.XLOOKUP(IH273,'Dispensed Ink Rates'!C:C,'Dispensed Ink Rates'!CS:CS),VLOOKUP(IH273,'Jan-2026 rates'!$E:$F,2,0)))</f>
        <v>0</v>
      </c>
      <c r="IT273" s="409"/>
      <c r="IU273" s="398">
        <f>IF(IT273=0,0,IF(LEN(II273)=11,_xlfn.XLOOKUP(II273,'Dispensed Ink Rates'!C:C,'Dispensed Ink Rates'!CS:CS),VLOOKUP(II273,'Jan-2026 rates'!$E:$F,2,0)))</f>
        <v>0</v>
      </c>
      <c r="IV273" s="409"/>
      <c r="IW273" s="398">
        <f>IF(IV273=0,0,IF(LEN(IJ273)=11,_xlfn.XLOOKUP(IJ273,'Dispensed Ink Rates'!C:C,'Dispensed Ink Rates'!CS:CS),VLOOKUP(IJ273,'Jan-2026 rates'!$E:$F,2,0)))</f>
        <v>0</v>
      </c>
      <c r="IX273" s="409"/>
      <c r="IY273" s="398">
        <f>IF(IX273=0,0,IF(LEN(IK273)=11,_xlfn.XLOOKUP(IK273,'Dispensed Ink Rates'!C:C,'Dispensed Ink Rates'!CS:CS),VLOOKUP(IK273,'Jan-2026 rates'!$E:$F,2,0)))</f>
        <v>0</v>
      </c>
      <c r="IZ273" s="409"/>
      <c r="JA273" s="398">
        <f>IF(IZ273=0,0,IF(LEN(IL273)=11,_xlfn.XLOOKUP(IL273,'Dispensed Ink Rates'!C:C,'Dispensed Ink Rates'!CS:CS),VLOOKUP(IL273,'Jan-2026 rates'!$E:$F,2,0)))</f>
        <v>0</v>
      </c>
      <c r="JB273" s="409"/>
      <c r="JC273" s="398">
        <f>IF(JB273=0,0,IF(LEN(IM273)=11,_xlfn.XLOOKUP(IM273,'Dispensed Ink Rates'!C:C,'Dispensed Ink Rates'!CS:CS),VLOOKUP(IM273,'Jan-2026 rates'!$E:$F,2,0)))</f>
        <v>0</v>
      </c>
      <c r="JD273" s="409"/>
      <c r="JE273" s="409"/>
      <c r="JF273" s="411">
        <f t="shared" si="230"/>
        <v>0</v>
      </c>
      <c r="JG273" s="411">
        <f t="shared" si="231"/>
        <v>0</v>
      </c>
      <c r="JH273" s="410">
        <f t="shared" si="232"/>
        <v>0</v>
      </c>
      <c r="JI273" s="405"/>
      <c r="JJ273" s="409"/>
      <c r="JK273" s="420" t="str">
        <f t="shared" si="190"/>
        <v xml:space="preserve"> - </v>
      </c>
      <c r="JL273" s="409"/>
      <c r="JM273" s="411">
        <f>IF(JL273=0,0,IF($LB273=70%,VLOOKUP($JK273,'Jan-2026 rates'!$L:$R,4,0),IF($LB273=65%,VLOOKUP($JK273,'Jan-2026 rates'!$L:$R,4,0),IF($LB273=40%,VLOOKUP($JK273,'Jan-2026 rates'!$L:$R,5,0),IF($LB273=30%,VLOOKUP($JK273,'Jan-2026 rates'!$L:$R,6,0),IF($LB273=100%,VLOOKUP($JK273,'Jan-2026 rates'!$L:$R,7,0),IF($LB273=60%,VLOOKUP($JK273,'Jan-2026 rates'!$L:$S,8,0),IF($LB273=80%,VLOOKUP($JK273,'Jan-2026 rates'!L:T,9,0),0))))))))</f>
        <v>0</v>
      </c>
      <c r="JN273" s="412"/>
      <c r="JO273" s="409"/>
      <c r="JP273" s="411">
        <f>IF(JO273=0,0,IF($LB273=70%,VLOOKUP($JK273,'Jan-2026 rates'!$L:$R,4,0),IF($LB273=65%,VLOOKUP($JK273,'Jan-2026 rates'!$L:$R,4,0),IF($LB273=40%,VLOOKUP($JK273,'Jan-2026 rates'!$L:$R,5,0),IF($LB273=30%,VLOOKUP($JK273,'Jan-2026 rates'!$L:$R,6,0),IF($LB273=100%,VLOOKUP($JK273,'Jan-2026 rates'!$L:$R,7,0),IF($LB273=60%,VLOOKUP($JK273,'Jan-2026 rates'!$L:$S,8,0),IF($LB273=80%,VLOOKUP($JK273,'Jan-2026 rates'!L:T,9,0),0))))))))</f>
        <v>0</v>
      </c>
      <c r="JQ273" s="413"/>
      <c r="JR273" s="412"/>
      <c r="JS273" s="413"/>
      <c r="JT273" s="413"/>
      <c r="JU273" s="412"/>
      <c r="JV273" s="412"/>
      <c r="JW273" s="412"/>
      <c r="JX273" s="412"/>
      <c r="JY273" s="409"/>
      <c r="JZ273" s="398">
        <f>IF(JY273=0,0,IF(LEN(JQ273)=11,_xlfn.XLOOKUP(JQ273,'Dispensed Ink Rates'!C:C,'Dispensed Ink Rates'!CS:CS),VLOOKUP(JQ273,'Jan-2026 rates'!$E:$F,2,0)))</f>
        <v>0</v>
      </c>
      <c r="KA273" s="409"/>
      <c r="KB273" s="398">
        <f>IF(KA273=0,0,IF(LEN(JR273)=11,_xlfn.XLOOKUP(JR273,'Dispensed Ink Rates'!C:C,'Dispensed Ink Rates'!CS:CS),VLOOKUP(JR273,'Jan-2026 rates'!$E:$F,2,0)))</f>
        <v>0</v>
      </c>
      <c r="KC273" s="409"/>
      <c r="KD273" s="398">
        <f>IF(KC273=0,0,IF(LEN(JS273)=11,_xlfn.XLOOKUP(JS273,'Dispensed Ink Rates'!C:C,'Dispensed Ink Rates'!CS:CS),VLOOKUP(JS273,'Jan-2026 rates'!$E:$F,2,0)))</f>
        <v>0</v>
      </c>
      <c r="KE273" s="409"/>
      <c r="KF273" s="398">
        <f>IF(KE273=0,0,IF(LEN(JT273)=11,_xlfn.XLOOKUP(JT273,'Dispensed Ink Rates'!C:C,'Dispensed Ink Rates'!CS:CS),VLOOKUP(JT273,'Jan-2026 rates'!$E:$F,2,0)))</f>
        <v>0</v>
      </c>
      <c r="KG273" s="409"/>
      <c r="KH273" s="398">
        <f>IF(KG273=0,0,IF(LEN(JU273)=11,_xlfn.XLOOKUP(JU273,'Dispensed Ink Rates'!C:C,'Dispensed Ink Rates'!CS:CS),VLOOKUP(JU273,'Jan-2026 rates'!$E:$F,2,0)))</f>
        <v>0</v>
      </c>
      <c r="KI273" s="409"/>
      <c r="KJ273" s="398">
        <f>IF(KI273=0,0,IF(LEN(JV273)=11,_xlfn.XLOOKUP(JV273,'Dispensed Ink Rates'!C:C,'Dispensed Ink Rates'!CS:CS),VLOOKUP(JV273,'Jan-2026 rates'!$E:$F,2,0)))</f>
        <v>0</v>
      </c>
      <c r="KK273" s="409"/>
      <c r="KL273" s="398">
        <f>IF(KK273=0,0,IF(LEN(JW273)=11,_xlfn.XLOOKUP(JW273,'Dispensed Ink Rates'!C:C,'Dispensed Ink Rates'!CS:CS),VLOOKUP(JW273,'Jan-2026 rates'!$E:$F,2,0)))</f>
        <v>0</v>
      </c>
      <c r="KM273" s="428"/>
      <c r="KN273" s="398">
        <f>IF(KM273=0,0,IF(LEN(JX273)=11,_xlfn.XLOOKUP(JX273,'Dispensed Ink Rates'!C:C,'Dispensed Ink Rates'!CS:CS),VLOOKUP(JX273,'Jan-2026 rates'!$E:$F,2,0)))</f>
        <v>0</v>
      </c>
      <c r="KO273" s="409"/>
      <c r="KP273" s="409"/>
      <c r="KQ273" s="411">
        <f t="shared" si="233"/>
        <v>0</v>
      </c>
      <c r="KR273" s="411">
        <f t="shared" si="234"/>
        <v>0</v>
      </c>
      <c r="KS273" s="410">
        <f t="shared" si="235"/>
        <v>0</v>
      </c>
      <c r="KT273" s="409">
        <v>5</v>
      </c>
      <c r="KU273" s="409">
        <v>2</v>
      </c>
      <c r="KV273" s="409">
        <v>10</v>
      </c>
      <c r="KW273" s="409">
        <v>2</v>
      </c>
      <c r="KX273" s="409">
        <v>2</v>
      </c>
      <c r="KY273" s="409">
        <v>5</v>
      </c>
      <c r="KZ273" s="409">
        <v>0</v>
      </c>
      <c r="LA273" s="409">
        <v>0</v>
      </c>
      <c r="LB273" s="415">
        <v>0.8</v>
      </c>
      <c r="LC273" s="415">
        <v>0.2</v>
      </c>
      <c r="LD273" s="415"/>
      <c r="LE273" s="415"/>
      <c r="LF273" s="415"/>
      <c r="LG273" s="409">
        <v>0</v>
      </c>
      <c r="LH273" s="409">
        <f>26+52+38+80+20</f>
        <v>216</v>
      </c>
      <c r="LI273" s="409">
        <v>0</v>
      </c>
      <c r="LJ273" s="409">
        <v>0</v>
      </c>
      <c r="LK273" s="416">
        <f t="shared" si="191"/>
        <v>216</v>
      </c>
      <c r="LL273" s="416">
        <f t="shared" si="192"/>
        <v>216</v>
      </c>
      <c r="LM273" s="417">
        <f t="shared" si="193"/>
        <v>172.8</v>
      </c>
      <c r="LN273" s="417">
        <f>VLOOKUP($LM$8,'Jan-2026 rates'!$H:$I,2,0)</f>
        <v>0</v>
      </c>
      <c r="LO273" s="417">
        <f t="shared" si="194"/>
        <v>43.2</v>
      </c>
      <c r="LP273" s="417">
        <f>VLOOKUP($LO$8,'Jan-2026 rates'!$H:$I,2,0)</f>
        <v>0</v>
      </c>
      <c r="LQ273" s="417">
        <f t="shared" si="195"/>
        <v>0</v>
      </c>
      <c r="LR273" s="417">
        <f>VLOOKUP($LQ$8,'Jan-2026 rates'!$H:$I,2,0)</f>
        <v>0</v>
      </c>
      <c r="LS273" s="417">
        <f t="shared" si="196"/>
        <v>0</v>
      </c>
      <c r="LT273" s="417">
        <f>VLOOKUP($LS$8,'Jan-2026 rates'!$H:$I,2,0)</f>
        <v>0</v>
      </c>
      <c r="LU273" s="417">
        <f t="shared" si="197"/>
        <v>0</v>
      </c>
      <c r="LV273" s="417">
        <f>VLOOKUP($LU$8,'Jan-2026 rates'!$H:$I,2,0)</f>
        <v>0</v>
      </c>
      <c r="LW273" s="417">
        <f t="shared" si="198"/>
        <v>0</v>
      </c>
      <c r="LX273" s="417">
        <f t="shared" si="199"/>
        <v>0</v>
      </c>
      <c r="LY273" s="418">
        <f t="shared" si="200"/>
        <v>0</v>
      </c>
      <c r="LZ273" s="417"/>
      <c r="MA273" s="435">
        <f t="shared" si="201"/>
        <v>273.5</v>
      </c>
      <c r="MB273" s="282">
        <f t="shared" si="202"/>
        <v>461.50000000000011</v>
      </c>
      <c r="MC273" s="283">
        <v>166</v>
      </c>
      <c r="MD273" s="284" t="str">
        <f t="shared" si="203"/>
        <v>FLINTSLFLINTSLFLINTSLFLINTSLFLINTSLFLINTSL</v>
      </c>
      <c r="ME273" s="293" t="str">
        <f t="shared" si="204"/>
        <v>+</v>
      </c>
      <c r="MF273" s="293" t="str">
        <f t="shared" si="205"/>
        <v>+</v>
      </c>
      <c r="MG273" s="293" t="str">
        <f t="shared" si="206"/>
        <v>+</v>
      </c>
      <c r="MH273" s="293" t="str">
        <f t="shared" si="207"/>
        <v>+</v>
      </c>
      <c r="MI273" s="293" t="str">
        <f t="shared" si="208"/>
        <v>+</v>
      </c>
      <c r="MJ273" s="293" t="str">
        <f t="shared" si="209"/>
        <v>+</v>
      </c>
      <c r="MK273" s="293" t="str">
        <f t="shared" si="210"/>
        <v>NIL</v>
      </c>
      <c r="ML273" s="293" t="str">
        <f t="shared" si="211"/>
        <v>NIL</v>
      </c>
      <c r="MM273" s="3" t="b">
        <f t="array" ref="MM273">OR(ME273:ML273="-")</f>
        <v>0</v>
      </c>
      <c r="MN273" s="285"/>
      <c r="MO273" s="401"/>
      <c r="MP273" s="286"/>
      <c r="MQ273" s="286"/>
      <c r="MR273" s="402"/>
      <c r="MS273" s="400"/>
      <c r="NH273" s="422"/>
      <c r="NJ273" s="421"/>
    </row>
    <row r="274" spans="1:374" s="1" customFormat="1" ht="16.5">
      <c r="A274" s="403">
        <v>46043</v>
      </c>
      <c r="B274" s="404" t="s">
        <v>1015</v>
      </c>
      <c r="C274" s="405" t="s">
        <v>4241</v>
      </c>
      <c r="D274" s="406">
        <v>167</v>
      </c>
      <c r="E274" s="404">
        <v>2146</v>
      </c>
      <c r="F274" s="407">
        <v>72300</v>
      </c>
      <c r="G274" s="407" t="s">
        <v>1016</v>
      </c>
      <c r="H274" s="408" t="s">
        <v>1017</v>
      </c>
      <c r="I274" s="409">
        <v>0.1</v>
      </c>
      <c r="J274" s="405" t="s">
        <v>548</v>
      </c>
      <c r="K274" s="404" t="s">
        <v>3648</v>
      </c>
      <c r="L274" s="419" t="str">
        <f t="shared" si="184"/>
        <v>INK PRODUCT - GOLD</v>
      </c>
      <c r="M274" s="404">
        <v>30</v>
      </c>
      <c r="N274" s="410">
        <f>IF(M274=0,0,IF($LB274=70%,VLOOKUP($L274,'Jan-2026 rates'!$L:$R,4,0),IF($LB274=65%,VLOOKUP($L274,'Jan-2026 rates'!$L:$R,4,0),IF($LB274=40%,VLOOKUP($L274,'Jan-2026 rates'!$L:$R,5,0),IF($LB274=30%,VLOOKUP($L274,'Jan-2026 rates'!$L:$R,6,0),IF($LB274=100%,VLOOKUP($L274,'Jan-2026 rates'!$L:$R,7,0),IF($LB274=60%,VLOOKUP($L274,'Jan-2026 rates'!$L:$S,8,0),IF($LB274=80%,VLOOKUP($L274,'Jan-2026 rates'!L:T,9,0),0))))))))</f>
        <v>0</v>
      </c>
      <c r="O274" s="406" t="s">
        <v>4242</v>
      </c>
      <c r="P274" s="404">
        <v>25</v>
      </c>
      <c r="Q274" s="410">
        <f>IF(P274=0,0,IF($LB274=70%,VLOOKUP($L274,'Jan-2026 rates'!$L:$R,4,0),IF($LB274=65%,VLOOKUP($L274,'Jan-2026 rates'!$L:$R,4,0),IF($LB274=40%,VLOOKUP($L274,'Jan-2026 rates'!$L:$R,5,0),IF($LB274=30%,VLOOKUP($L274,'Jan-2026 rates'!$L:$R,6,0),IF($LB274=100%,VLOOKUP($L274,'Jan-2026 rates'!$L:$R,7,0),IF($LB274=60%,VLOOKUP($L274,'Jan-2026 rates'!$L:$S,8,0),IF($LB274=80%,VLOOKUP($L274,'Jan-2026 rates'!L:T,9,0),0))))))))</f>
        <v>0</v>
      </c>
      <c r="R274" s="406">
        <v>24161</v>
      </c>
      <c r="S274" s="406">
        <v>70271</v>
      </c>
      <c r="T274" s="406">
        <v>165</v>
      </c>
      <c r="U274" s="406"/>
      <c r="V274" s="406"/>
      <c r="W274" s="406"/>
      <c r="X274" s="406"/>
      <c r="Y274" s="406"/>
      <c r="Z274" s="404">
        <f>3+4</f>
        <v>7</v>
      </c>
      <c r="AA274" s="398">
        <f>IF(Z274=0,0,IF(LEN(R274)=11,_xlfn.XLOOKUP(R274,'Dispensed Ink Rates'!C:C,'Dispensed Ink Rates'!CS:CS),VLOOKUP(R274,'Jan-2026 rates'!$E:$F,2,0)))</f>
        <v>0</v>
      </c>
      <c r="AB274" s="404">
        <v>10</v>
      </c>
      <c r="AC274" s="398">
        <f>IF(AB274=0,0,IF(LEN(S274)=11,_xlfn.XLOOKUP(S274,'Dispensed Ink Rates'!C:C,'Dispensed Ink Rates'!CS:CS),VLOOKUP(S274,'Jan-2026 rates'!$E:$F,2,0)))</f>
        <v>0</v>
      </c>
      <c r="AD274" s="404">
        <v>1.33</v>
      </c>
      <c r="AE274" s="398">
        <f>IF(AD274=0,0,IF(LEN(T274)=11,_xlfn.XLOOKUP(T274,'Dispensed Ink Rates'!C:C,'Dispensed Ink Rates'!CS:CS),VLOOKUP(T274,'Jan-2026 rates'!$E:$F,2,0)))</f>
        <v>0</v>
      </c>
      <c r="AF274" s="404"/>
      <c r="AG274" s="398">
        <f>IF(AF274=0,0,IF(LEN(U274)=11,_xlfn.XLOOKUP(U274,'Dispensed Ink Rates'!C:C,'Dispensed Ink Rates'!CS:CS),VLOOKUP(U274,'Jan-2026 rates'!$E:$F,2,0)))</f>
        <v>0</v>
      </c>
      <c r="AH274" s="404"/>
      <c r="AI274" s="398">
        <f>IF(AH274=0,0,IF(LEN(V274)=11,_xlfn.XLOOKUP(V274,'Dispensed Ink Rates'!C:C,'Dispensed Ink Rates'!CS:CS),VLOOKUP(V274,'Jan-2026 rates'!$E:$F,2,0)))</f>
        <v>0</v>
      </c>
      <c r="AJ274" s="404"/>
      <c r="AK274" s="398">
        <f>IF(AJ274=0,0,IF(LEN(W274)=11,_xlfn.XLOOKUP(W274,'Dispensed Ink Rates'!C:C,'Dispensed Ink Rates'!CS:CS),VLOOKUP(W274,'Jan-2026 rates'!$E:$F,2,0)))</f>
        <v>0</v>
      </c>
      <c r="AL274" s="404"/>
      <c r="AM274" s="398">
        <f>IF(AL274=0,0,IF(LEN(X274)=11,_xlfn.XLOOKUP(X274,'Dispensed Ink Rates'!C:C,'Dispensed Ink Rates'!CS:CS),VLOOKUP(X274,'Jan-2026 rates'!$E:$F,2,0)))</f>
        <v>0</v>
      </c>
      <c r="AN274" s="404"/>
      <c r="AO274" s="398">
        <f>IF(AN274=0,0,IF(LEN(Y274)=11,_xlfn.XLOOKUP(Y274,'Dispensed Ink Rates'!C:C,'Dispensed Ink Rates'!CS:CS),VLOOKUP(Y274,'Jan-2026 rates'!$E:$F,2,0)))</f>
        <v>0</v>
      </c>
      <c r="AP274" s="409" t="s">
        <v>719</v>
      </c>
      <c r="AQ274" s="409">
        <v>24</v>
      </c>
      <c r="AR274" s="410">
        <f t="shared" si="212"/>
        <v>0</v>
      </c>
      <c r="AS274" s="411">
        <f t="shared" si="213"/>
        <v>156.32999999999998</v>
      </c>
      <c r="AT274" s="410">
        <f t="shared" si="214"/>
        <v>0</v>
      </c>
      <c r="AU274" s="405"/>
      <c r="AV274" s="409"/>
      <c r="AW274" s="420" t="str">
        <f t="shared" si="183"/>
        <v xml:space="preserve"> - </v>
      </c>
      <c r="AX274" s="409"/>
      <c r="AY274" s="411">
        <f>IF(AX274=0,0,IF($LB274=70%,VLOOKUP($AW274,'Jan-2026 rates'!$L:$R,4,0),IF($LB274=65%,VLOOKUP($AW274,'Jan-2026 rates'!$L:$R,4,0),IF($LB274=40%,VLOOKUP($AW274,'Jan-2026 rates'!$L:$R,5,0),IF($LB274=30%,VLOOKUP($AW274,'Jan-2026 rates'!$L:$R,6,0),IF($LB274=100%,VLOOKUP($AW274,'Jan-2026 rates'!$L:$R,7,0),IF($LB274=60%,VLOOKUP($AW274,'Jan-2026 rates'!$L:$S,8,0),IF($LB274=80%,VLOOKUP($AW274,'Jan-2026 rates'!L:T,9,0),0))))))))</f>
        <v>0</v>
      </c>
      <c r="AZ274" s="412"/>
      <c r="BA274" s="409"/>
      <c r="BB274" s="411">
        <f>IF(BA274=0,0,IF($LB274=70%,VLOOKUP($AW274,'Jan-2026 rates'!$L:$R,4,0),IF($LB274=65%,VLOOKUP($AW274,'Jan-2026 rates'!$L:$R,4,0),IF($LB274=40%,VLOOKUP($AW274,'Jan-2026 rates'!$L:$R,5,0),IF($LB274=30%,VLOOKUP($AW274,'Jan-2026 rates'!$L:$R,6,0),IF($LB274=100%,VLOOKUP($AW274,'Jan-2026 rates'!$L:$R,7,0),IF($LB274=60%,VLOOKUP($AW274,'Jan-2026 rates'!$L:$S,8,0),IF($LB274=80%,VLOOKUP($AW274,'Jan-2026 rates'!L:T,9,0),0))))))))</f>
        <v>0</v>
      </c>
      <c r="BC274" s="413"/>
      <c r="BD274" s="412"/>
      <c r="BE274" s="412"/>
      <c r="BF274" s="413"/>
      <c r="BG274" s="412"/>
      <c r="BH274" s="412"/>
      <c r="BI274" s="412"/>
      <c r="BJ274" s="412"/>
      <c r="BK274" s="409"/>
      <c r="BL274" s="398">
        <f>IF(BK274=0,0,IF(LEN(BC274)=11,_xlfn.XLOOKUP(BC274,'Dispensed Ink Rates'!C:C,'Dispensed Ink Rates'!CS:CS),VLOOKUP(BC274,'Jan-2026 rates'!$E:$F,2,0)))</f>
        <v>0</v>
      </c>
      <c r="BM274" s="409"/>
      <c r="BN274" s="398">
        <f>IF(BM274=0,0,IF(LEN(BD274)=11,_xlfn.XLOOKUP(BD274,'Dispensed Ink Rates'!C:C,'Dispensed Ink Rates'!CS:CS),VLOOKUP(BD274,'Jan-2026 rates'!$E:$F,2,0)))</f>
        <v>0</v>
      </c>
      <c r="BO274" s="409"/>
      <c r="BP274" s="398">
        <f>IF(BO274=0,0,IF(LEN(BE274)=11,_xlfn.XLOOKUP(BE274,'Dispensed Ink Rates'!C:C,'Dispensed Ink Rates'!CS:CS),VLOOKUP(BE274,'Jan-2026 rates'!$E:$F,2,0)))</f>
        <v>0</v>
      </c>
      <c r="BQ274" s="409"/>
      <c r="BR274" s="398">
        <f>IF(BQ274=0,0,IF(LEN(BF274)=11,_xlfn.XLOOKUP(BF274,'Dispensed Ink Rates'!C:C,'Dispensed Ink Rates'!CS:CS),VLOOKUP(BF274,'Jan-2026 rates'!$E:$F,2,0)))</f>
        <v>0</v>
      </c>
      <c r="BS274" s="409"/>
      <c r="BT274" s="398">
        <f>IF(BS274=0,0,IF(LEN(BG274)=11,_xlfn.XLOOKUP(BG274,'Dispensed Ink Rates'!C:C,'Dispensed Ink Rates'!CS:CS),VLOOKUP(BG274,'Jan-2026 rates'!$E:$F,2,0)))</f>
        <v>0</v>
      </c>
      <c r="BU274" s="409"/>
      <c r="BV274" s="398">
        <f>IF(BU274=0,0,IF(LEN(BH274)=11,_xlfn.XLOOKUP(BH274,'Dispensed Ink Rates'!C:C,'Dispensed Ink Rates'!CS:CS),VLOOKUP(BH274,'Jan-2026 rates'!$E:$F,2,0)))</f>
        <v>0</v>
      </c>
      <c r="BW274" s="409"/>
      <c r="BX274" s="398">
        <f>IF(BW274=0,0,IF(LEN(BI274)=11,_xlfn.XLOOKUP(BI274,'Dispensed Ink Rates'!C:C,'Dispensed Ink Rates'!CS:CS),VLOOKUP(BI274,'Jan-2026 rates'!$E:$F,2,0)))</f>
        <v>0</v>
      </c>
      <c r="BY274" s="409"/>
      <c r="BZ274" s="398">
        <f>IF(BY274=0,0,IF(LEN(BJ274)=11,_xlfn.XLOOKUP(BJ274,'Dispensed Ink Rates'!C:C,'Dispensed Ink Rates'!CS:CS),VLOOKUP(BJ274,'Jan-2026 rates'!$E:$F,2,0)))</f>
        <v>0</v>
      </c>
      <c r="CA274" s="409"/>
      <c r="CB274" s="409"/>
      <c r="CC274" s="411">
        <f t="shared" si="215"/>
        <v>0</v>
      </c>
      <c r="CD274" s="411">
        <f t="shared" si="216"/>
        <v>0</v>
      </c>
      <c r="CE274" s="410">
        <f t="shared" si="217"/>
        <v>0</v>
      </c>
      <c r="CF274" s="404"/>
      <c r="CG274" s="409"/>
      <c r="CH274" s="420" t="str">
        <f t="shared" si="185"/>
        <v xml:space="preserve"> - </v>
      </c>
      <c r="CI274" s="409"/>
      <c r="CJ274" s="411">
        <f>IF(CI274=0,0,IF($LB274=70%,VLOOKUP($CH274,'Jan-2026 rates'!$L:$R,4,0),IF($LB274=65%,VLOOKUP($CH274,'Jan-2026 rates'!$L:$R,4,0),IF($LB274=40%,VLOOKUP($CH274,'Jan-2026 rates'!$L:$R,5,0),IF($LB274=30%,VLOOKUP($CH274,'Jan-2026 rates'!$L:$R,6,0),IF($LB274=100%,VLOOKUP($CH274,'Jan-2026 rates'!$L:$R,7,0),IF($LB274=60%,VLOOKUP($CH274,'Jan-2026 rates'!$L:$S,8,0),IF($LB274=80%,VLOOKUP($CH274,'Jan-2026 rates'!L:T,9,0),0))))))))</f>
        <v>0</v>
      </c>
      <c r="CK274" s="412"/>
      <c r="CL274" s="409"/>
      <c r="CM274" s="411">
        <f>IF(CL274=0,0,IF($LB274=70%,VLOOKUP($CH274,'Jan-2026 rates'!$L:$R,4,0),IF($LB274=65%,VLOOKUP($CH274,'Jan-2026 rates'!$L:$R,4,0),IF($LB274=40%,VLOOKUP($CH274,'Jan-2026 rates'!$L:$R,5,0),IF($LB274=30%,VLOOKUP($CH274,'Jan-2026 rates'!$L:$R,6,0),IF($LB274=100%,VLOOKUP($CH274,'Jan-2026 rates'!$L:$R,7,0),IF($LB274=60%,VLOOKUP($CH274,'Jan-2026 rates'!$L:$S,8,0),IF($LB274=80%,VLOOKUP($CH274,'Jan-2026 rates'!L:T,9,0),0))))))))</f>
        <v>0</v>
      </c>
      <c r="CN274" s="426"/>
      <c r="CO274" s="427"/>
      <c r="CP274" s="426"/>
      <c r="CQ274" s="426"/>
      <c r="CR274" s="428"/>
      <c r="CS274" s="428"/>
      <c r="CT274" s="428"/>
      <c r="CU274" s="428"/>
      <c r="CV274" s="409"/>
      <c r="CW274" s="398">
        <f>IF(CV274=0,0,IF(LEN(CN274)=11,_xlfn.XLOOKUP(CN274,'Dispensed Ink Rates'!C:C,'Dispensed Ink Rates'!CS:CS),VLOOKUP(CN274,'Jan-2026 rates'!$E:$F,2,0)))</f>
        <v>0</v>
      </c>
      <c r="CX274" s="409"/>
      <c r="CY274" s="398">
        <f>IF(CX274=0,0,IF(LEN(CO274)=11,_xlfn.XLOOKUP(CO274,'Dispensed Ink Rates'!C:C,'Dispensed Ink Rates'!CS:CS),VLOOKUP(CO274,'Jan-2026 rates'!$E:$F,2,0)))</f>
        <v>0</v>
      </c>
      <c r="CZ274" s="409"/>
      <c r="DA274" s="398">
        <f>IF(CZ274=0,0,IF(LEN(CP274)=11,_xlfn.XLOOKUP(CP274,'Dispensed Ink Rates'!C:C,'Dispensed Ink Rates'!CS:CS),VLOOKUP(CP274,'Jan-2026 rates'!$E:$F,2,0)))</f>
        <v>0</v>
      </c>
      <c r="DB274" s="409"/>
      <c r="DC274" s="398">
        <f>IF(DB274=0,0,IF(LEN(CQ274)=11,_xlfn.XLOOKUP(CQ274,'Dispensed Ink Rates'!C:C,'Dispensed Ink Rates'!CS:CS),VLOOKUP(CQ274,'Jan-2026 rates'!$E:$F,2,0)))</f>
        <v>0</v>
      </c>
      <c r="DD274" s="409"/>
      <c r="DE274" s="398">
        <f>IF(DD274=0,0,IF(LEN(CR274)=11,_xlfn.XLOOKUP(CR274,'Dispensed Ink Rates'!C:C,'Dispensed Ink Rates'!CS:CS),VLOOKUP(CR274,'Jan-2026 rates'!$E:$F,2,0)))</f>
        <v>0</v>
      </c>
      <c r="DF274" s="409"/>
      <c r="DG274" s="398">
        <f>IF(DF274=0,0,IF(LEN(CS274)=11,_xlfn.XLOOKUP(CS274,'Dispensed Ink Rates'!C:C,'Dispensed Ink Rates'!CS:CS),VLOOKUP(CS274,'Jan-2026 rates'!$E:$F,2,0)))</f>
        <v>0</v>
      </c>
      <c r="DH274" s="409"/>
      <c r="DI274" s="398">
        <f>IF(DH274=0,0,IF(LEN(CT274)=11,_xlfn.XLOOKUP(CT274,'Dispensed Ink Rates'!C:C,'Dispensed Ink Rates'!CS:CS),VLOOKUP(CT274,'Jan-2026 rates'!$E:$F,2,0)))</f>
        <v>0</v>
      </c>
      <c r="DJ274" s="409"/>
      <c r="DK274" s="398">
        <f>IF(DJ274=0,0,IF(LEN(CU274)=11,_xlfn.XLOOKUP(CU274,'Dispensed Ink Rates'!C:C,'Dispensed Ink Rates'!CS:CS),VLOOKUP(CU274,'Jan-2026 rates'!$E:$F,2,0)))</f>
        <v>0</v>
      </c>
      <c r="DL274" s="409"/>
      <c r="DM274" s="409"/>
      <c r="DN274" s="411">
        <f t="shared" si="218"/>
        <v>0</v>
      </c>
      <c r="DO274" s="411">
        <f t="shared" si="219"/>
        <v>0</v>
      </c>
      <c r="DP274" s="410">
        <f t="shared" si="220"/>
        <v>0</v>
      </c>
      <c r="DQ274" s="405"/>
      <c r="DR274" s="409"/>
      <c r="DS274" s="420" t="str">
        <f t="shared" si="186"/>
        <v xml:space="preserve"> - </v>
      </c>
      <c r="DT274" s="409"/>
      <c r="DU274" s="411">
        <f>IF(DT274=0,0,IF($LB274=70%,VLOOKUP($DS274,'Jan-2026 rates'!$L:$R,4,0),IF($LB274=65%,VLOOKUP($DS274,'Jan-2026 rates'!$L:$R,4,0),IF($LB274=40%,VLOOKUP($DS274,'Jan-2026 rates'!$L:$R,5,0),IF($LB274=30%,VLOOKUP($DS274,'Jan-2026 rates'!$L:$R,6,0),IF($LB274=100%,VLOOKUP($DS274,'Jan-2026 rates'!$L:$R,7,0),IF($LB274=60%,VLOOKUP($DS274,'Jan-2026 rates'!$L:$S,8,0),IF($LB274=80%,VLOOKUP($DS274,'Jan-2026 rates'!L:T,9,0),0))))))))</f>
        <v>0</v>
      </c>
      <c r="DV274" s="412"/>
      <c r="DW274" s="409"/>
      <c r="DX274" s="411">
        <f>IF(DW274=0,0,IF($LB274=70%,VLOOKUP($DS274,'Jan-2026 rates'!$L:$R,4,0),IF($LB274=65%,VLOOKUP($DS274,'Jan-2026 rates'!$L:$R,4,0),IF($LB274=40%,VLOOKUP($DS274,'Jan-2026 rates'!$L:$R,5,0),IF($LB274=30%,VLOOKUP($DS274,'Jan-2026 rates'!$L:$R,6,0),IF($LB274=100%,VLOOKUP($DS274,'Jan-2026 rates'!$L:$R,7,0),IF($LB274=60%,VLOOKUP($DS274,'Jan-2026 rates'!$L:$S,8,0),IF($LB274=80%,VLOOKUP($DS274,'Jan-2026 rates'!L:T,9,0),0))))))))</f>
        <v>0</v>
      </c>
      <c r="DY274" s="413"/>
      <c r="DZ274" s="413"/>
      <c r="EA274" s="412"/>
      <c r="EB274" s="412"/>
      <c r="EC274" s="412"/>
      <c r="ED274" s="412"/>
      <c r="EE274" s="412"/>
      <c r="EF274" s="412"/>
      <c r="EG274" s="409"/>
      <c r="EH274" s="398">
        <f>IF(EG274=0,0,IF(LEN(DY274)=11,_xlfn.XLOOKUP(DY274,'Dispensed Ink Rates'!C:C,'Dispensed Ink Rates'!CS:CS),VLOOKUP(DY274,'Jan-2026 rates'!$E:$F,2,0)))</f>
        <v>0</v>
      </c>
      <c r="EI274" s="409"/>
      <c r="EJ274" s="398">
        <f>IF(EI274=0,0,IF(LEN(DZ274)=11,_xlfn.XLOOKUP(DZ274,'Dispensed Ink Rates'!C:C,'Dispensed Ink Rates'!CS:CS),VLOOKUP(DZ274,'Jan-2026 rates'!$E:$F,2,0)))</f>
        <v>0</v>
      </c>
      <c r="EK274" s="409"/>
      <c r="EL274" s="398">
        <f>IF(EK274=0,0,IF(LEN(EA274)=11,_xlfn.XLOOKUP(EA274,'Dispensed Ink Rates'!C:C,'Dispensed Ink Rates'!CS:CS),VLOOKUP(EA274,'Jan-2026 rates'!$E:$F,2,0)))</f>
        <v>0</v>
      </c>
      <c r="EM274" s="409"/>
      <c r="EN274" s="398">
        <f>IF(EM274=0,0,IF(LEN(EB274)=11,_xlfn.XLOOKUP(EB274,'Dispensed Ink Rates'!C:C,'Dispensed Ink Rates'!CS:CS),VLOOKUP(EB274,'Jan-2026 rates'!$E:$F,2,0)))</f>
        <v>0</v>
      </c>
      <c r="EO274" s="409"/>
      <c r="EP274" s="398">
        <f>IF(EO274=0,0,IF(LEN(EC274)=11,_xlfn.XLOOKUP(EC274,'Dispensed Ink Rates'!C:C,'Dispensed Ink Rates'!CS:CS),VLOOKUP(EC274,'Jan-2026 rates'!$E:$F,2,0)))</f>
        <v>0</v>
      </c>
      <c r="EQ274" s="409"/>
      <c r="ER274" s="398">
        <f>IF(EQ274=0,0,IF(LEN(ED274)=11,_xlfn.XLOOKUP(ED274,'Dispensed Ink Rates'!C:C,'Dispensed Ink Rates'!CS:CS),VLOOKUP(ED274,'Jan-2026 rates'!$E:$F,2,0)))</f>
        <v>0</v>
      </c>
      <c r="ES274" s="409"/>
      <c r="ET274" s="398">
        <f>IF(ES274=0,0,IF(LEN(EE274)=11,_xlfn.XLOOKUP(EE274,'Dispensed Ink Rates'!C:C,'Dispensed Ink Rates'!CS:CS),VLOOKUP(EE274,'Jan-2026 rates'!$E:$F,2,0)))</f>
        <v>0</v>
      </c>
      <c r="EU274" s="409"/>
      <c r="EV274" s="398">
        <f>IF(EU274=0,0,IF(LEN(EF274)=11,_xlfn.XLOOKUP(EF274,'Dispensed Ink Rates'!C:C,'Dispensed Ink Rates'!CS:CS),VLOOKUP(EF274,'Jan-2026 rates'!$E:$F,2,0)))</f>
        <v>0</v>
      </c>
      <c r="EW274" s="409"/>
      <c r="EX274" s="409"/>
      <c r="EY274" s="411">
        <f t="shared" si="221"/>
        <v>0</v>
      </c>
      <c r="EZ274" s="411">
        <f t="shared" si="222"/>
        <v>0</v>
      </c>
      <c r="FA274" s="410">
        <f t="shared" si="223"/>
        <v>0</v>
      </c>
      <c r="FB274" s="405"/>
      <c r="FC274" s="409"/>
      <c r="FD274" s="420" t="str">
        <f t="shared" si="187"/>
        <v xml:space="preserve"> - </v>
      </c>
      <c r="FE274" s="409"/>
      <c r="FF274" s="411">
        <f>IF(FE274=0,0,IF($LB274=70%,VLOOKUP($FD274,'Jan-2026 rates'!$L:$R,4,0),IF($LB274=65%,VLOOKUP($FD274,'Jan-2026 rates'!$L:$R,4,0),IF($LB274=40%,VLOOKUP($FD274,'Jan-2026 rates'!$L:$R,5,0),IF($LB274=30%,VLOOKUP($FD274,'Jan-2026 rates'!$L:$R,6,0),IF($LB274=100%,VLOOKUP($FD274,'Jan-2026 rates'!$L:$R,7,0),IF($LB274=60%,VLOOKUP($FD274,'Jan-2026 rates'!$L:$S,8,0),IF($LB274=80%,VLOOKUP($FD274,'Jan-2026 rates'!L:T,9,0),0))))))))</f>
        <v>0</v>
      </c>
      <c r="FG274" s="412"/>
      <c r="FH274" s="409"/>
      <c r="FI274" s="411">
        <f>IF(FH274=0,0,IF($LB274=70%,VLOOKUP($FD274,'Jan-2026 rates'!$L:$R,4,0),IF($LB274=65%,VLOOKUP($FD274,'Jan-2026 rates'!$L:$R,4,0),IF($LB274=40%,VLOOKUP($FD274,'Jan-2026 rates'!$L:$R,5,0),IF($LB274=30%,VLOOKUP($FD274,'Jan-2026 rates'!$L:$R,6,0),IF($LB274=100%,VLOOKUP($FD274,'Jan-2026 rates'!$L:$R,7,0),IF($LB274=60%,VLOOKUP($FD274,'Jan-2026 rates'!$L:$S,8,0),IF($LB274=80%,VLOOKUP($FD274,'Jan-2026 rates'!L:T,9,0),0))))))))</f>
        <v>0</v>
      </c>
      <c r="FJ274" s="413"/>
      <c r="FK274" s="413"/>
      <c r="FL274" s="413"/>
      <c r="FM274" s="412"/>
      <c r="FN274" s="412"/>
      <c r="FO274" s="412"/>
      <c r="FP274" s="412"/>
      <c r="FQ274" s="412"/>
      <c r="FR274" s="409"/>
      <c r="FS274" s="398">
        <f>IF(FR274=0,0,IF(LEN(FJ274)=11,_xlfn.XLOOKUP(FJ274,'Dispensed Ink Rates'!C:C,'Dispensed Ink Rates'!CS:CS),VLOOKUP(FJ274,'Jan-2026 rates'!$E:$F,2,0)))</f>
        <v>0</v>
      </c>
      <c r="FT274" s="409"/>
      <c r="FU274" s="398">
        <f>IF(FT274=0,0,IF(LEN(FK274)=11,_xlfn.XLOOKUP(FK274,'Dispensed Ink Rates'!C:C,'Dispensed Ink Rates'!CS:CS),VLOOKUP(FK274,'Jan-2026 rates'!$E:$F,2,0)))</f>
        <v>0</v>
      </c>
      <c r="FV274" s="409"/>
      <c r="FW274" s="398">
        <f>IF(FV274=0,0,IF(LEN(FL274)=11,_xlfn.XLOOKUP(FL274,'Dispensed Ink Rates'!C:C,'Dispensed Ink Rates'!CS:CS),VLOOKUP(FL274,'Jan-2026 rates'!$E:$F,2,0)))</f>
        <v>0</v>
      </c>
      <c r="FX274" s="409"/>
      <c r="FY274" s="398">
        <f>IF(FX274=0,0,IF(LEN(FM274)=11,_xlfn.XLOOKUP(FM274,'Dispensed Ink Rates'!C:C,'Dispensed Ink Rates'!CS:CS),VLOOKUP(FM274,'Jan-2026 rates'!$E:$F,2,0)))</f>
        <v>0</v>
      </c>
      <c r="FZ274" s="409"/>
      <c r="GA274" s="398">
        <f>IF(FZ274=0,0,IF(LEN(FN274)=11,_xlfn.XLOOKUP(FN274,'Dispensed Ink Rates'!C:C,'Dispensed Ink Rates'!CS:CS),VLOOKUP(FN274,'Jan-2026 rates'!$E:$F,2,0)))</f>
        <v>0</v>
      </c>
      <c r="GB274" s="409"/>
      <c r="GC274" s="398">
        <f>IF(GB274=0,0,IF(LEN(FO274)=11,_xlfn.XLOOKUP(FO274,'Dispensed Ink Rates'!C:C,'Dispensed Ink Rates'!CS:CS),VLOOKUP(FO274,'Jan-2026 rates'!$E:$F,2,0)))</f>
        <v>0</v>
      </c>
      <c r="GD274" s="409"/>
      <c r="GE274" s="398">
        <f>IF(GD274=0,0,IF(LEN(FP274)=11,_xlfn.XLOOKUP(FP274,'Dispensed Ink Rates'!C:C,'Dispensed Ink Rates'!CS:CS),VLOOKUP(FP274,'Jan-2026 rates'!$E:$F,2,0)))</f>
        <v>0</v>
      </c>
      <c r="GF274" s="409"/>
      <c r="GG274" s="398">
        <f>IF(GF274=0,0,IF(LEN(FQ274)=11,_xlfn.XLOOKUP(FQ274,'Dispensed Ink Rates'!C:C,'Dispensed Ink Rates'!CS:CS),VLOOKUP(FQ274,'Jan-2026 rates'!$E:$F,2,0)))</f>
        <v>0</v>
      </c>
      <c r="GH274" s="409"/>
      <c r="GI274" s="409"/>
      <c r="GJ274" s="411">
        <f t="shared" si="224"/>
        <v>0</v>
      </c>
      <c r="GK274" s="411">
        <f t="shared" si="225"/>
        <v>0</v>
      </c>
      <c r="GL274" s="410">
        <f t="shared" si="226"/>
        <v>0</v>
      </c>
      <c r="GM274" s="405"/>
      <c r="GN274" s="409"/>
      <c r="GO274" s="420" t="str">
        <f t="shared" si="188"/>
        <v xml:space="preserve"> - </v>
      </c>
      <c r="GP274" s="409"/>
      <c r="GQ274" s="411">
        <f>IF(GP274=0,0,IF($LB274=70%,VLOOKUP($GO274,'Jan-2026 rates'!$L:$R,4,0),IF($LB274=65%,VLOOKUP($GO274,'Jan-2026 rates'!$L:$R,4,0),IF($LB274=40%,VLOOKUP($GO274,'Jan-2026 rates'!$L:$R,5,0),IF($LB274=30%,VLOOKUP($GO274,'Jan-2026 rates'!$L:$R,6,0),IF($LB274=100%,VLOOKUP($GO274,'Jan-2026 rates'!$L:$R,7,0),IF($LB274=60%,VLOOKUP($GO274,'Jan-2026 rates'!$L:$S,8,0),IF($LB274=80%,VLOOKUP($GO274,'Jan-2026 rates'!L:T,9,0),0))))))))</f>
        <v>0</v>
      </c>
      <c r="GR274" s="412"/>
      <c r="GS274" s="409"/>
      <c r="GT274" s="411">
        <f>IF(GS274=0,0,IF($LB274=70%,VLOOKUP($GO274,'Jan-2026 rates'!$L:$R,4,0),IF($LB274=65%,VLOOKUP($GO274,'Jan-2026 rates'!$L:$R,4,0),IF($LB274=40%,VLOOKUP($GO274,'Jan-2026 rates'!$L:$R,5,0),IF($LB274=30%,VLOOKUP($GO274,'Jan-2026 rates'!$L:$R,6,0),IF($LB274=100%,VLOOKUP($GO274,'Jan-2026 rates'!$L:$R,7,0),IF($LB274=60%,VLOOKUP($GO274,'Jan-2026 rates'!$L:$S,8,0),IF($LB274=80%,VLOOKUP($GO274,'Jan-2026 rates'!L:T,9,0),0))))))))</f>
        <v>0</v>
      </c>
      <c r="GU274" s="413"/>
      <c r="GV274" s="413"/>
      <c r="GW274" s="412"/>
      <c r="GX274" s="412"/>
      <c r="GY274" s="412"/>
      <c r="GZ274" s="412"/>
      <c r="HA274" s="412"/>
      <c r="HB274" s="412"/>
      <c r="HC274" s="409"/>
      <c r="HD274" s="398">
        <f>IF(HC274=0,0,IF(LEN(GU274)=11,_xlfn.XLOOKUP(GU274,'Dispensed Ink Rates'!C:C,'Dispensed Ink Rates'!CS:CS),VLOOKUP(GU274,'Jan-2026 rates'!$E:$F,2,0)))</f>
        <v>0</v>
      </c>
      <c r="HE274" s="409"/>
      <c r="HF274" s="398">
        <f>IF(HE274=0,0,IF(LEN(GV274)=11,_xlfn.XLOOKUP(GV274,'Dispensed Ink Rates'!C:C,'Dispensed Ink Rates'!CS:CS),VLOOKUP(GV274,'Jan-2026 rates'!$E:$F,2,0)))</f>
        <v>0</v>
      </c>
      <c r="HG274" s="409"/>
      <c r="HH274" s="398">
        <f>IF(HG274=0,0,IF(LEN(GW274)=11,_xlfn.XLOOKUP(GW274,'Dispensed Ink Rates'!C:C,'Dispensed Ink Rates'!CS:CS),VLOOKUP(GW274,'Jan-2026 rates'!$E:$F,2,0)))</f>
        <v>0</v>
      </c>
      <c r="HI274" s="409"/>
      <c r="HJ274" s="398">
        <f>IF(HI274=0,0,IF(LEN(GX274)=11,_xlfn.XLOOKUP(GX274,'Dispensed Ink Rates'!C:C,'Dispensed Ink Rates'!CS:CS),VLOOKUP(GX274,'Jan-2026 rates'!$E:$F,2,0)))</f>
        <v>0</v>
      </c>
      <c r="HK274" s="409"/>
      <c r="HL274" s="398">
        <f>IF(HK274=0,0,IF(LEN(GY274)=11,_xlfn.XLOOKUP(GY274,'Dispensed Ink Rates'!C:C,'Dispensed Ink Rates'!CS:CS),VLOOKUP(GY274,'Jan-2026 rates'!$E:$F,2,0)))</f>
        <v>0</v>
      </c>
      <c r="HM274" s="409"/>
      <c r="HN274" s="398">
        <f>IF(HM274=0,0,IF(LEN(GZ274)=11,_xlfn.XLOOKUP(GZ274,'Dispensed Ink Rates'!C:C,'Dispensed Ink Rates'!CS:CS),VLOOKUP(GZ274,'Jan-2026 rates'!$E:$F,2,0)))</f>
        <v>0</v>
      </c>
      <c r="HO274" s="409"/>
      <c r="HP274" s="398">
        <f>IF(HO274=0,0,IF(LEN(HA274)=11,_xlfn.XLOOKUP(HA274,'Dispensed Ink Rates'!C:C,'Dispensed Ink Rates'!CS:CS),VLOOKUP(HA274,'Jan-2026 rates'!$E:$F,2,0)))</f>
        <v>0</v>
      </c>
      <c r="HQ274" s="409"/>
      <c r="HR274" s="398">
        <f>IF(HQ274=0,0,IF(LEN(HB274)=11,_xlfn.XLOOKUP(HB274,'Dispensed Ink Rates'!C:C,'Dispensed Ink Rates'!CS:CS),VLOOKUP(HB274,'Jan-2026 rates'!$E:$F,2,0)))</f>
        <v>0</v>
      </c>
      <c r="HS274" s="409"/>
      <c r="HT274" s="409"/>
      <c r="HU274" s="411">
        <f t="shared" si="227"/>
        <v>0</v>
      </c>
      <c r="HV274" s="411">
        <f t="shared" si="228"/>
        <v>0</v>
      </c>
      <c r="HW274" s="414">
        <f t="shared" si="229"/>
        <v>0</v>
      </c>
      <c r="HX274" s="405"/>
      <c r="HY274" s="409"/>
      <c r="HZ274" s="420" t="str">
        <f t="shared" si="189"/>
        <v xml:space="preserve"> - </v>
      </c>
      <c r="IA274" s="409"/>
      <c r="IB274" s="411">
        <f>IF(IA274=0,0,IF($LB274=70%,VLOOKUP($HZ274,'Jan-2026 rates'!$L:$R,4,0),IF($LB274=65%,VLOOKUP($HZ274,'Jan-2026 rates'!$L:$R,4,0),IF($LB274=40%,VLOOKUP($HZ274,'Jan-2026 rates'!$L:$R,5,0),IF($LB274=30%,VLOOKUP($HZ274,'Jan-2026 rates'!$L:$R,6,0),IF($LB274=100%,VLOOKUP($HZ274,'Jan-2026 rates'!$L:$R,7,0),IF($LB274=60%,VLOOKUP($HZ274,'Jan-2026 rates'!$L:$S,8,0),IF($LB274=80%,VLOOKUP($HZ274,'Jan-2026 rates'!L:T,9,0),0))))))))</f>
        <v>0</v>
      </c>
      <c r="IC274" s="412"/>
      <c r="ID274" s="409"/>
      <c r="IE274" s="411">
        <f>IF(ID274=0,0,IF($LB274=70%,VLOOKUP($HZ274,'Jan-2026 rates'!$L:$R,4,0),IF($LB274=65%,VLOOKUP($HZ274,'Jan-2026 rates'!$L:$R,4,0),IF($LB274=40%,VLOOKUP($HZ274,'Jan-2026 rates'!$L:$R,5,0),IF($LB274=30%,VLOOKUP($HZ274,'Jan-2026 rates'!$L:$R,6,0),IF($LB274=100%,VLOOKUP($HZ274,'Jan-2026 rates'!$L:$R,7,0),IF($LB274=60%,VLOOKUP($HZ274,'Jan-2026 rates'!$L:$S,8,0),IF($LB274=80%,VLOOKUP($HZ274,'Jan-2026 rates'!L:T,9,0),0))))))))</f>
        <v>0</v>
      </c>
      <c r="IF274" s="412"/>
      <c r="IG274" s="413"/>
      <c r="IH274" s="412"/>
      <c r="II274" s="412"/>
      <c r="IJ274" s="412"/>
      <c r="IK274" s="412"/>
      <c r="IL274" s="412"/>
      <c r="IM274" s="412"/>
      <c r="IN274" s="409"/>
      <c r="IO274" s="398">
        <f>IF(IN274=0,0,IF(LEN(IF274)=11,_xlfn.XLOOKUP(IF274,'Dispensed Ink Rates'!C:C,'Dispensed Ink Rates'!CS:CS),VLOOKUP(IF274,'Jan-2026 rates'!$E:$F,2,0)))</f>
        <v>0</v>
      </c>
      <c r="IP274" s="409"/>
      <c r="IQ274" s="398">
        <f>IF(IP274=0,0,IF(LEN(IG274)=11,_xlfn.XLOOKUP(IG274,'Dispensed Ink Rates'!C:C,'Dispensed Ink Rates'!CS:CS),VLOOKUP(IG274,'Jan-2026 rates'!$E:$F,2,0)))</f>
        <v>0</v>
      </c>
      <c r="IR274" s="409"/>
      <c r="IS274" s="398">
        <f>IF(IR274=0,0,IF(LEN(IH274)=11,_xlfn.XLOOKUP(IH274,'Dispensed Ink Rates'!C:C,'Dispensed Ink Rates'!CS:CS),VLOOKUP(IH274,'Jan-2026 rates'!$E:$F,2,0)))</f>
        <v>0</v>
      </c>
      <c r="IT274" s="409"/>
      <c r="IU274" s="398">
        <f>IF(IT274=0,0,IF(LEN(II274)=11,_xlfn.XLOOKUP(II274,'Dispensed Ink Rates'!C:C,'Dispensed Ink Rates'!CS:CS),VLOOKUP(II274,'Jan-2026 rates'!$E:$F,2,0)))</f>
        <v>0</v>
      </c>
      <c r="IV274" s="409"/>
      <c r="IW274" s="398">
        <f>IF(IV274=0,0,IF(LEN(IJ274)=11,_xlfn.XLOOKUP(IJ274,'Dispensed Ink Rates'!C:C,'Dispensed Ink Rates'!CS:CS),VLOOKUP(IJ274,'Jan-2026 rates'!$E:$F,2,0)))</f>
        <v>0</v>
      </c>
      <c r="IX274" s="409"/>
      <c r="IY274" s="398">
        <f>IF(IX274=0,0,IF(LEN(IK274)=11,_xlfn.XLOOKUP(IK274,'Dispensed Ink Rates'!C:C,'Dispensed Ink Rates'!CS:CS),VLOOKUP(IK274,'Jan-2026 rates'!$E:$F,2,0)))</f>
        <v>0</v>
      </c>
      <c r="IZ274" s="409"/>
      <c r="JA274" s="398">
        <f>IF(IZ274=0,0,IF(LEN(IL274)=11,_xlfn.XLOOKUP(IL274,'Dispensed Ink Rates'!C:C,'Dispensed Ink Rates'!CS:CS),VLOOKUP(IL274,'Jan-2026 rates'!$E:$F,2,0)))</f>
        <v>0</v>
      </c>
      <c r="JB274" s="409"/>
      <c r="JC274" s="398">
        <f>IF(JB274=0,0,IF(LEN(IM274)=11,_xlfn.XLOOKUP(IM274,'Dispensed Ink Rates'!C:C,'Dispensed Ink Rates'!CS:CS),VLOOKUP(IM274,'Jan-2026 rates'!$E:$F,2,0)))</f>
        <v>0</v>
      </c>
      <c r="JD274" s="409"/>
      <c r="JE274" s="409"/>
      <c r="JF274" s="411">
        <f t="shared" si="230"/>
        <v>0</v>
      </c>
      <c r="JG274" s="411">
        <f t="shared" si="231"/>
        <v>0</v>
      </c>
      <c r="JH274" s="410">
        <f t="shared" si="232"/>
        <v>0</v>
      </c>
      <c r="JI274" s="405"/>
      <c r="JJ274" s="409"/>
      <c r="JK274" s="420" t="str">
        <f t="shared" si="190"/>
        <v xml:space="preserve"> - </v>
      </c>
      <c r="JL274" s="409"/>
      <c r="JM274" s="411">
        <f>IF(JL274=0,0,IF($LB274=70%,VLOOKUP($JK274,'Jan-2026 rates'!$L:$R,4,0),IF($LB274=65%,VLOOKUP($JK274,'Jan-2026 rates'!$L:$R,4,0),IF($LB274=40%,VLOOKUP($JK274,'Jan-2026 rates'!$L:$R,5,0),IF($LB274=30%,VLOOKUP($JK274,'Jan-2026 rates'!$L:$R,6,0),IF($LB274=100%,VLOOKUP($JK274,'Jan-2026 rates'!$L:$R,7,0),IF($LB274=60%,VLOOKUP($JK274,'Jan-2026 rates'!$L:$S,8,0),IF($LB274=80%,VLOOKUP($JK274,'Jan-2026 rates'!L:T,9,0),0))))))))</f>
        <v>0</v>
      </c>
      <c r="JN274" s="412"/>
      <c r="JO274" s="409"/>
      <c r="JP274" s="411">
        <f>IF(JO274=0,0,IF($LB274=70%,VLOOKUP($JK274,'Jan-2026 rates'!$L:$R,4,0),IF($LB274=65%,VLOOKUP($JK274,'Jan-2026 rates'!$L:$R,4,0),IF($LB274=40%,VLOOKUP($JK274,'Jan-2026 rates'!$L:$R,5,0),IF($LB274=30%,VLOOKUP($JK274,'Jan-2026 rates'!$L:$R,6,0),IF($LB274=100%,VLOOKUP($JK274,'Jan-2026 rates'!$L:$R,7,0),IF($LB274=60%,VLOOKUP($JK274,'Jan-2026 rates'!$L:$S,8,0),IF($LB274=80%,VLOOKUP($JK274,'Jan-2026 rates'!L:T,9,0),0))))))))</f>
        <v>0</v>
      </c>
      <c r="JQ274" s="413"/>
      <c r="JR274" s="412"/>
      <c r="JS274" s="413"/>
      <c r="JT274" s="413"/>
      <c r="JU274" s="412"/>
      <c r="JV274" s="412"/>
      <c r="JW274" s="412"/>
      <c r="JX274" s="412"/>
      <c r="JY274" s="409"/>
      <c r="JZ274" s="398">
        <f>IF(JY274=0,0,IF(LEN(JQ274)=11,_xlfn.XLOOKUP(JQ274,'Dispensed Ink Rates'!C:C,'Dispensed Ink Rates'!CS:CS),VLOOKUP(JQ274,'Jan-2026 rates'!$E:$F,2,0)))</f>
        <v>0</v>
      </c>
      <c r="KA274" s="409"/>
      <c r="KB274" s="398">
        <f>IF(KA274=0,0,IF(LEN(JR274)=11,_xlfn.XLOOKUP(JR274,'Dispensed Ink Rates'!C:C,'Dispensed Ink Rates'!CS:CS),VLOOKUP(JR274,'Jan-2026 rates'!$E:$F,2,0)))</f>
        <v>0</v>
      </c>
      <c r="KC274" s="409"/>
      <c r="KD274" s="398">
        <f>IF(KC274=0,0,IF(LEN(JS274)=11,_xlfn.XLOOKUP(JS274,'Dispensed Ink Rates'!C:C,'Dispensed Ink Rates'!CS:CS),VLOOKUP(JS274,'Jan-2026 rates'!$E:$F,2,0)))</f>
        <v>0</v>
      </c>
      <c r="KE274" s="409"/>
      <c r="KF274" s="398">
        <f>IF(KE274=0,0,IF(LEN(JT274)=11,_xlfn.XLOOKUP(JT274,'Dispensed Ink Rates'!C:C,'Dispensed Ink Rates'!CS:CS),VLOOKUP(JT274,'Jan-2026 rates'!$E:$F,2,0)))</f>
        <v>0</v>
      </c>
      <c r="KG274" s="409"/>
      <c r="KH274" s="398">
        <f>IF(KG274=0,0,IF(LEN(JU274)=11,_xlfn.XLOOKUP(JU274,'Dispensed Ink Rates'!C:C,'Dispensed Ink Rates'!CS:CS),VLOOKUP(JU274,'Jan-2026 rates'!$E:$F,2,0)))</f>
        <v>0</v>
      </c>
      <c r="KI274" s="409"/>
      <c r="KJ274" s="398">
        <f>IF(KI274=0,0,IF(LEN(JV274)=11,_xlfn.XLOOKUP(JV274,'Dispensed Ink Rates'!C:C,'Dispensed Ink Rates'!CS:CS),VLOOKUP(JV274,'Jan-2026 rates'!$E:$F,2,0)))</f>
        <v>0</v>
      </c>
      <c r="KK274" s="409"/>
      <c r="KL274" s="398">
        <f>IF(KK274=0,0,IF(LEN(JW274)=11,_xlfn.XLOOKUP(JW274,'Dispensed Ink Rates'!C:C,'Dispensed Ink Rates'!CS:CS),VLOOKUP(JW274,'Jan-2026 rates'!$E:$F,2,0)))</f>
        <v>0</v>
      </c>
      <c r="KM274" s="428"/>
      <c r="KN274" s="398">
        <f>IF(KM274=0,0,IF(LEN(JX274)=11,_xlfn.XLOOKUP(JX274,'Dispensed Ink Rates'!C:C,'Dispensed Ink Rates'!CS:CS),VLOOKUP(JX274,'Jan-2026 rates'!$E:$F,2,0)))</f>
        <v>0</v>
      </c>
      <c r="KO274" s="409"/>
      <c r="KP274" s="409"/>
      <c r="KQ274" s="411">
        <f t="shared" si="233"/>
        <v>0</v>
      </c>
      <c r="KR274" s="411">
        <f t="shared" si="234"/>
        <v>0</v>
      </c>
      <c r="KS274" s="410">
        <f t="shared" si="235"/>
        <v>0</v>
      </c>
      <c r="KT274" s="409">
        <v>13</v>
      </c>
      <c r="KU274" s="409">
        <v>0</v>
      </c>
      <c r="KV274" s="409">
        <v>0</v>
      </c>
      <c r="KW274" s="409">
        <v>0</v>
      </c>
      <c r="KX274" s="409">
        <v>0</v>
      </c>
      <c r="KY274" s="409">
        <v>0</v>
      </c>
      <c r="KZ274" s="409">
        <v>0</v>
      </c>
      <c r="LA274" s="409">
        <v>0</v>
      </c>
      <c r="LB274" s="415">
        <v>0.8</v>
      </c>
      <c r="LC274" s="415">
        <v>0.2</v>
      </c>
      <c r="LD274" s="415"/>
      <c r="LE274" s="415"/>
      <c r="LF274" s="415"/>
      <c r="LG274" s="409">
        <v>0</v>
      </c>
      <c r="LH274" s="409">
        <f>13+15+79</f>
        <v>107</v>
      </c>
      <c r="LI274" s="409">
        <v>0</v>
      </c>
      <c r="LJ274" s="409">
        <v>0</v>
      </c>
      <c r="LK274" s="416">
        <f t="shared" si="191"/>
        <v>107</v>
      </c>
      <c r="LL274" s="416">
        <f t="shared" si="192"/>
        <v>107</v>
      </c>
      <c r="LM274" s="417">
        <f t="shared" si="193"/>
        <v>85.600000000000009</v>
      </c>
      <c r="LN274" s="417">
        <f>VLOOKUP($LM$8,'Jan-2026 rates'!$H:$I,2,0)</f>
        <v>0</v>
      </c>
      <c r="LO274" s="417">
        <f t="shared" si="194"/>
        <v>21.400000000000002</v>
      </c>
      <c r="LP274" s="417">
        <f>VLOOKUP($LO$8,'Jan-2026 rates'!$H:$I,2,0)</f>
        <v>0</v>
      </c>
      <c r="LQ274" s="417">
        <f t="shared" si="195"/>
        <v>0</v>
      </c>
      <c r="LR274" s="417">
        <f>VLOOKUP($LQ$8,'Jan-2026 rates'!$H:$I,2,0)</f>
        <v>0</v>
      </c>
      <c r="LS274" s="417">
        <f t="shared" si="196"/>
        <v>0</v>
      </c>
      <c r="LT274" s="417">
        <f>VLOOKUP($LS$8,'Jan-2026 rates'!$H:$I,2,0)</f>
        <v>0</v>
      </c>
      <c r="LU274" s="417">
        <f t="shared" si="197"/>
        <v>0</v>
      </c>
      <c r="LV274" s="417">
        <f>VLOOKUP($LU$8,'Jan-2026 rates'!$H:$I,2,0)</f>
        <v>0</v>
      </c>
      <c r="LW274" s="417">
        <f t="shared" si="198"/>
        <v>0</v>
      </c>
      <c r="LX274" s="417">
        <f t="shared" si="199"/>
        <v>0</v>
      </c>
      <c r="LY274" s="418">
        <f t="shared" si="200"/>
        <v>0</v>
      </c>
      <c r="LZ274" s="417"/>
      <c r="MA274" s="435">
        <f t="shared" si="201"/>
        <v>18.329999999999998</v>
      </c>
      <c r="MB274" s="282">
        <f t="shared" si="202"/>
        <v>156.32999999999998</v>
      </c>
      <c r="MC274" s="283">
        <v>167</v>
      </c>
      <c r="MD274" s="284" t="str">
        <f t="shared" si="203"/>
        <v>INK PRODUCT</v>
      </c>
      <c r="ME274" s="293" t="str">
        <f t="shared" si="204"/>
        <v>+</v>
      </c>
      <c r="MF274" s="293" t="str">
        <f t="shared" si="205"/>
        <v>NIL</v>
      </c>
      <c r="MG274" s="293" t="str">
        <f t="shared" si="206"/>
        <v>NIL</v>
      </c>
      <c r="MH274" s="293" t="str">
        <f t="shared" si="207"/>
        <v>NIL</v>
      </c>
      <c r="MI274" s="293" t="str">
        <f t="shared" si="208"/>
        <v>NIL</v>
      </c>
      <c r="MJ274" s="293" t="str">
        <f t="shared" si="209"/>
        <v>NIL</v>
      </c>
      <c r="MK274" s="293" t="str">
        <f t="shared" si="210"/>
        <v>NIL</v>
      </c>
      <c r="ML274" s="293" t="str">
        <f t="shared" si="211"/>
        <v>NIL</v>
      </c>
      <c r="MM274" s="3" t="b">
        <f t="array" ref="MM274">OR(ME274:ML274="-")</f>
        <v>0</v>
      </c>
      <c r="MN274" s="285"/>
      <c r="MO274" s="401"/>
      <c r="MP274" s="286"/>
      <c r="MQ274" s="286"/>
      <c r="MR274" s="402"/>
      <c r="MS274" s="400"/>
      <c r="NH274" s="422"/>
      <c r="NJ274" s="421"/>
    </row>
    <row r="275" spans="1:374" s="1" customFormat="1" ht="16.5">
      <c r="A275" s="403">
        <v>46043</v>
      </c>
      <c r="B275" s="404" t="s">
        <v>1018</v>
      </c>
      <c r="C275" s="405" t="s">
        <v>4243</v>
      </c>
      <c r="D275" s="406">
        <v>168</v>
      </c>
      <c r="E275" s="404">
        <v>491</v>
      </c>
      <c r="F275" s="407">
        <v>25300</v>
      </c>
      <c r="G275" s="407" t="s">
        <v>1019</v>
      </c>
      <c r="H275" s="408" t="s">
        <v>1017</v>
      </c>
      <c r="I275" s="409">
        <v>1.8</v>
      </c>
      <c r="J275" s="405" t="s">
        <v>543</v>
      </c>
      <c r="K275" s="404" t="s">
        <v>4244</v>
      </c>
      <c r="L275" s="419" t="str">
        <f t="shared" si="184"/>
        <v>FLINTSL - BLACK</v>
      </c>
      <c r="M275" s="404">
        <v>30</v>
      </c>
      <c r="N275" s="410">
        <f>IF(M275=0,0,IF($LB275=70%,VLOOKUP($L275,'Jan-2026 rates'!$L:$R,4,0),IF($LB275=65%,VLOOKUP($L275,'Jan-2026 rates'!$L:$R,4,0),IF($LB275=40%,VLOOKUP($L275,'Jan-2026 rates'!$L:$R,5,0),IF($LB275=30%,VLOOKUP($L275,'Jan-2026 rates'!$L:$R,6,0),IF($LB275=100%,VLOOKUP($L275,'Jan-2026 rates'!$L:$R,7,0),IF($LB275=60%,VLOOKUP($L275,'Jan-2026 rates'!$L:$S,8,0),IF($LB275=80%,VLOOKUP($L275,'Jan-2026 rates'!L:T,9,0),0))))))))</f>
        <v>0</v>
      </c>
      <c r="O275" s="406"/>
      <c r="P275" s="404"/>
      <c r="Q275" s="410">
        <f>IF(P275=0,0,IF($LB275=70%,VLOOKUP($L275,'Jan-2026 rates'!$L:$R,4,0),IF($LB275=65%,VLOOKUP($L275,'Jan-2026 rates'!$L:$R,4,0),IF($LB275=40%,VLOOKUP($L275,'Jan-2026 rates'!$L:$R,5,0),IF($LB275=30%,VLOOKUP($L275,'Jan-2026 rates'!$L:$R,6,0),IF($LB275=100%,VLOOKUP($L275,'Jan-2026 rates'!$L:$R,7,0),IF($LB275=60%,VLOOKUP($L275,'Jan-2026 rates'!$L:$S,8,0),IF($LB275=80%,VLOOKUP($L275,'Jan-2026 rates'!L:T,9,0),0))))))))</f>
        <v>0</v>
      </c>
      <c r="R275" s="406" t="s">
        <v>1266</v>
      </c>
      <c r="S275" s="406"/>
      <c r="T275" s="406"/>
      <c r="U275" s="406"/>
      <c r="V275" s="406"/>
      <c r="W275" s="406"/>
      <c r="X275" s="406"/>
      <c r="Y275" s="406"/>
      <c r="Z275" s="404">
        <v>3</v>
      </c>
      <c r="AA275" s="398">
        <f>IF(Z275=0,0,IF(LEN(R275)=11,_xlfn.XLOOKUP(R275,'Dispensed Ink Rates'!C:C,'Dispensed Ink Rates'!CS:CS),VLOOKUP(R275,'Jan-2026 rates'!$E:$F,2,0)))</f>
        <v>0</v>
      </c>
      <c r="AB275" s="404"/>
      <c r="AC275" s="398">
        <f>IF(AB275=0,0,IF(LEN(S275)=11,_xlfn.XLOOKUP(S275,'Dispensed Ink Rates'!C:C,'Dispensed Ink Rates'!CS:CS),VLOOKUP(S275,'Jan-2026 rates'!$E:$F,2,0)))</f>
        <v>0</v>
      </c>
      <c r="AD275" s="404"/>
      <c r="AE275" s="398">
        <f>IF(AD275=0,0,IF(LEN(T275)=11,_xlfn.XLOOKUP(T275,'Dispensed Ink Rates'!C:C,'Dispensed Ink Rates'!CS:CS),VLOOKUP(T275,'Jan-2026 rates'!$E:$F,2,0)))</f>
        <v>0</v>
      </c>
      <c r="AF275" s="404"/>
      <c r="AG275" s="398">
        <f>IF(AF275=0,0,IF(LEN(U275)=11,_xlfn.XLOOKUP(U275,'Dispensed Ink Rates'!C:C,'Dispensed Ink Rates'!CS:CS),VLOOKUP(U275,'Jan-2026 rates'!$E:$F,2,0)))</f>
        <v>0</v>
      </c>
      <c r="AH275" s="404"/>
      <c r="AI275" s="398">
        <f>IF(AH275=0,0,IF(LEN(V275)=11,_xlfn.XLOOKUP(V275,'Dispensed Ink Rates'!C:C,'Dispensed Ink Rates'!CS:CS),VLOOKUP(V275,'Jan-2026 rates'!$E:$F,2,0)))</f>
        <v>0</v>
      </c>
      <c r="AJ275" s="404"/>
      <c r="AK275" s="398">
        <f>IF(AJ275=0,0,IF(LEN(W275)=11,_xlfn.XLOOKUP(W275,'Dispensed Ink Rates'!C:C,'Dispensed Ink Rates'!CS:CS),VLOOKUP(W275,'Jan-2026 rates'!$E:$F,2,0)))</f>
        <v>0</v>
      </c>
      <c r="AL275" s="404"/>
      <c r="AM275" s="398">
        <f>IF(AL275=0,0,IF(LEN(X275)=11,_xlfn.XLOOKUP(X275,'Dispensed Ink Rates'!C:C,'Dispensed Ink Rates'!CS:CS),VLOOKUP(X275,'Jan-2026 rates'!$E:$F,2,0)))</f>
        <v>0</v>
      </c>
      <c r="AN275" s="404"/>
      <c r="AO275" s="398">
        <f>IF(AN275=0,0,IF(LEN(Y275)=11,_xlfn.XLOOKUP(Y275,'Dispensed Ink Rates'!C:C,'Dispensed Ink Rates'!CS:CS),VLOOKUP(Y275,'Jan-2026 rates'!$E:$F,2,0)))</f>
        <v>0</v>
      </c>
      <c r="AP275" s="409" t="s">
        <v>1443</v>
      </c>
      <c r="AQ275" s="409">
        <v>31</v>
      </c>
      <c r="AR275" s="410">
        <f t="shared" si="212"/>
        <v>0</v>
      </c>
      <c r="AS275" s="411">
        <f t="shared" si="213"/>
        <v>7.058823529411768</v>
      </c>
      <c r="AT275" s="410">
        <f t="shared" si="214"/>
        <v>0</v>
      </c>
      <c r="AU275" s="405" t="s">
        <v>546</v>
      </c>
      <c r="AV275" s="409" t="s">
        <v>3960</v>
      </c>
      <c r="AW275" s="420" t="str">
        <f t="shared" si="183"/>
        <v>FLINTSL - REFLEX BLUE</v>
      </c>
      <c r="AX275" s="409">
        <v>30</v>
      </c>
      <c r="AY275" s="411">
        <f>IF(AX275=0,0,IF($LB275=70%,VLOOKUP($AW275,'Jan-2026 rates'!$L:$R,4,0),IF($LB275=65%,VLOOKUP($AW275,'Jan-2026 rates'!$L:$R,4,0),IF($LB275=40%,VLOOKUP($AW275,'Jan-2026 rates'!$L:$R,5,0),IF($LB275=30%,VLOOKUP($AW275,'Jan-2026 rates'!$L:$R,6,0),IF($LB275=100%,VLOOKUP($AW275,'Jan-2026 rates'!$L:$R,7,0),IF($LB275=60%,VLOOKUP($AW275,'Jan-2026 rates'!$L:$S,8,0),IF($LB275=80%,VLOOKUP($AW275,'Jan-2026 rates'!L:T,9,0),0))))))))</f>
        <v>0</v>
      </c>
      <c r="AZ275" s="412" t="s">
        <v>4245</v>
      </c>
      <c r="BA275" s="409">
        <f>8+10</f>
        <v>18</v>
      </c>
      <c r="BB275" s="411">
        <f>IF(BA275=0,0,IF($LB275=70%,VLOOKUP($AW275,'Jan-2026 rates'!$L:$R,4,0),IF($LB275=65%,VLOOKUP($AW275,'Jan-2026 rates'!$L:$R,4,0),IF($LB275=40%,VLOOKUP($AW275,'Jan-2026 rates'!$L:$R,5,0),IF($LB275=30%,VLOOKUP($AW275,'Jan-2026 rates'!$L:$R,6,0),IF($LB275=100%,VLOOKUP($AW275,'Jan-2026 rates'!$L:$R,7,0),IF($LB275=60%,VLOOKUP($AW275,'Jan-2026 rates'!$L:$S,8,0),IF($LB275=80%,VLOOKUP($AW275,'Jan-2026 rates'!L:T,9,0),0))))))))</f>
        <v>0</v>
      </c>
      <c r="BC275" s="413">
        <v>26521000005</v>
      </c>
      <c r="BD275" s="412">
        <v>26521000010</v>
      </c>
      <c r="BE275" s="412"/>
      <c r="BF275" s="413"/>
      <c r="BG275" s="412"/>
      <c r="BH275" s="412"/>
      <c r="BI275" s="412"/>
      <c r="BJ275" s="412"/>
      <c r="BK275" s="409">
        <v>2</v>
      </c>
      <c r="BL275" s="398" t="e">
        <f>IF(BK275=0,0,IF(LEN(BC275)=11,_xlfn.XLOOKUP(BC275,'Dispensed Ink Rates'!C:C,'Dispensed Ink Rates'!CS:CS),VLOOKUP(BC275,'Jan-2026 rates'!$E:$F,2,0)))</f>
        <v>#N/A</v>
      </c>
      <c r="BM275" s="409">
        <v>3</v>
      </c>
      <c r="BN275" s="398" t="e">
        <f>IF(BM275=0,0,IF(LEN(BD275)=11,_xlfn.XLOOKUP(BD275,'Dispensed Ink Rates'!C:C,'Dispensed Ink Rates'!CS:CS),VLOOKUP(BD275,'Jan-2026 rates'!$E:$F,2,0)))</f>
        <v>#N/A</v>
      </c>
      <c r="BO275" s="409"/>
      <c r="BP275" s="398">
        <f>IF(BO275=0,0,IF(LEN(BE275)=11,_xlfn.XLOOKUP(BE275,'Dispensed Ink Rates'!C:C,'Dispensed Ink Rates'!CS:CS),VLOOKUP(BE275,'Jan-2026 rates'!$E:$F,2,0)))</f>
        <v>0</v>
      </c>
      <c r="BQ275" s="409"/>
      <c r="BR275" s="398">
        <f>IF(BQ275=0,0,IF(LEN(BF275)=11,_xlfn.XLOOKUP(BF275,'Dispensed Ink Rates'!C:C,'Dispensed Ink Rates'!CS:CS),VLOOKUP(BF275,'Jan-2026 rates'!$E:$F,2,0)))</f>
        <v>0</v>
      </c>
      <c r="BS275" s="409"/>
      <c r="BT275" s="398">
        <f>IF(BS275=0,0,IF(LEN(BG275)=11,_xlfn.XLOOKUP(BG275,'Dispensed Ink Rates'!C:C,'Dispensed Ink Rates'!CS:CS),VLOOKUP(BG275,'Jan-2026 rates'!$E:$F,2,0)))</f>
        <v>0</v>
      </c>
      <c r="BU275" s="409"/>
      <c r="BV275" s="398">
        <f>IF(BU275=0,0,IF(LEN(BH275)=11,_xlfn.XLOOKUP(BH275,'Dispensed Ink Rates'!C:C,'Dispensed Ink Rates'!CS:CS),VLOOKUP(BH275,'Jan-2026 rates'!$E:$F,2,0)))</f>
        <v>0</v>
      </c>
      <c r="BW275" s="409"/>
      <c r="BX275" s="398">
        <f>IF(BW275=0,0,IF(LEN(BI275)=11,_xlfn.XLOOKUP(BI275,'Dispensed Ink Rates'!C:C,'Dispensed Ink Rates'!CS:CS),VLOOKUP(BI275,'Jan-2026 rates'!$E:$F,2,0)))</f>
        <v>0</v>
      </c>
      <c r="BY275" s="409"/>
      <c r="BZ275" s="398">
        <f>IF(BY275=0,0,IF(LEN(BJ275)=11,_xlfn.XLOOKUP(BJ275,'Dispensed Ink Rates'!C:C,'Dispensed Ink Rates'!CS:CS),VLOOKUP(BJ275,'Jan-2026 rates'!$E:$F,2,0)))</f>
        <v>0</v>
      </c>
      <c r="CA275" s="409" t="s">
        <v>1443</v>
      </c>
      <c r="CB275" s="409">
        <v>23</v>
      </c>
      <c r="CC275" s="411">
        <f t="shared" si="215"/>
        <v>0</v>
      </c>
      <c r="CD275" s="411">
        <f t="shared" si="216"/>
        <v>35.058823529411768</v>
      </c>
      <c r="CE275" s="410">
        <f t="shared" si="217"/>
        <v>0</v>
      </c>
      <c r="CF275" s="404" t="s">
        <v>857</v>
      </c>
      <c r="CG275" s="409" t="s">
        <v>4246</v>
      </c>
      <c r="CH275" s="420" t="str">
        <f t="shared" si="185"/>
        <v>FLINTSL - RED</v>
      </c>
      <c r="CI275" s="409">
        <v>23</v>
      </c>
      <c r="CJ275" s="411">
        <f>IF(CI275=0,0,IF($LB275=70%,VLOOKUP($CH275,'Jan-2026 rates'!$L:$R,4,0),IF($LB275=65%,VLOOKUP($CH275,'Jan-2026 rates'!$L:$R,4,0),IF($LB275=40%,VLOOKUP($CH275,'Jan-2026 rates'!$L:$R,5,0),IF($LB275=30%,VLOOKUP($CH275,'Jan-2026 rates'!$L:$R,6,0),IF($LB275=100%,VLOOKUP($CH275,'Jan-2026 rates'!$L:$R,7,0),IF($LB275=60%,VLOOKUP($CH275,'Jan-2026 rates'!$L:$S,8,0),IF($LB275=80%,VLOOKUP($CH275,'Jan-2026 rates'!L:T,9,0),0))))))))</f>
        <v>0</v>
      </c>
      <c r="CK275" s="412" t="s">
        <v>4247</v>
      </c>
      <c r="CL275" s="409">
        <v>25</v>
      </c>
      <c r="CM275" s="411">
        <f>IF(CL275=0,0,IF($LB275=70%,VLOOKUP($CH275,'Jan-2026 rates'!$L:$R,4,0),IF($LB275=65%,VLOOKUP($CH275,'Jan-2026 rates'!$L:$R,4,0),IF($LB275=40%,VLOOKUP($CH275,'Jan-2026 rates'!$L:$R,5,0),IF($LB275=30%,VLOOKUP($CH275,'Jan-2026 rates'!$L:$R,6,0),IF($LB275=100%,VLOOKUP($CH275,'Jan-2026 rates'!$L:$R,7,0),IF($LB275=60%,VLOOKUP($CH275,'Jan-2026 rates'!$L:$S,8,0),IF($LB275=80%,VLOOKUP($CH275,'Jan-2026 rates'!L:T,9,0),0))))))))</f>
        <v>0</v>
      </c>
      <c r="CN275" s="426">
        <v>26521000005</v>
      </c>
      <c r="CO275" s="427"/>
      <c r="CP275" s="426"/>
      <c r="CQ275" s="426"/>
      <c r="CR275" s="428"/>
      <c r="CS275" s="428"/>
      <c r="CT275" s="428"/>
      <c r="CU275" s="428"/>
      <c r="CV275" s="409">
        <v>3</v>
      </c>
      <c r="CW275" s="398" t="e">
        <f>IF(CV275=0,0,IF(LEN(CN275)=11,_xlfn.XLOOKUP(CN275,'Dispensed Ink Rates'!C:C,'Dispensed Ink Rates'!CS:CS),VLOOKUP(CN275,'Jan-2026 rates'!$E:$F,2,0)))</f>
        <v>#N/A</v>
      </c>
      <c r="CX275" s="409"/>
      <c r="CY275" s="398">
        <f>IF(CX275=0,0,IF(LEN(CO275)=11,_xlfn.XLOOKUP(CO275,'Dispensed Ink Rates'!C:C,'Dispensed Ink Rates'!CS:CS),VLOOKUP(CO275,'Jan-2026 rates'!$E:$F,2,0)))</f>
        <v>0</v>
      </c>
      <c r="CZ275" s="409"/>
      <c r="DA275" s="398">
        <f>IF(CZ275=0,0,IF(LEN(CP275)=11,_xlfn.XLOOKUP(CP275,'Dispensed Ink Rates'!C:C,'Dispensed Ink Rates'!CS:CS),VLOOKUP(CP275,'Jan-2026 rates'!$E:$F,2,0)))</f>
        <v>0</v>
      </c>
      <c r="DB275" s="409"/>
      <c r="DC275" s="398">
        <f>IF(DB275=0,0,IF(LEN(CQ275)=11,_xlfn.XLOOKUP(CQ275,'Dispensed Ink Rates'!C:C,'Dispensed Ink Rates'!CS:CS),VLOOKUP(CQ275,'Jan-2026 rates'!$E:$F,2,0)))</f>
        <v>0</v>
      </c>
      <c r="DD275" s="409"/>
      <c r="DE275" s="398">
        <f>IF(DD275=0,0,IF(LEN(CR275)=11,_xlfn.XLOOKUP(CR275,'Dispensed Ink Rates'!C:C,'Dispensed Ink Rates'!CS:CS),VLOOKUP(CR275,'Jan-2026 rates'!$E:$F,2,0)))</f>
        <v>0</v>
      </c>
      <c r="DF275" s="409"/>
      <c r="DG275" s="398">
        <f>IF(DF275=0,0,IF(LEN(CS275)=11,_xlfn.XLOOKUP(CS275,'Dispensed Ink Rates'!C:C,'Dispensed Ink Rates'!CS:CS),VLOOKUP(CS275,'Jan-2026 rates'!$E:$F,2,0)))</f>
        <v>0</v>
      </c>
      <c r="DH275" s="409"/>
      <c r="DI275" s="398">
        <f>IF(DH275=0,0,IF(LEN(CT275)=11,_xlfn.XLOOKUP(CT275,'Dispensed Ink Rates'!C:C,'Dispensed Ink Rates'!CS:CS),VLOOKUP(CT275,'Jan-2026 rates'!$E:$F,2,0)))</f>
        <v>0</v>
      </c>
      <c r="DJ275" s="409"/>
      <c r="DK275" s="398">
        <f>IF(DJ275=0,0,IF(LEN(CU275)=11,_xlfn.XLOOKUP(CU275,'Dispensed Ink Rates'!C:C,'Dispensed Ink Rates'!CS:CS),VLOOKUP(CU275,'Jan-2026 rates'!$E:$F,2,0)))</f>
        <v>0</v>
      </c>
      <c r="DL275" s="409" t="s">
        <v>1443</v>
      </c>
      <c r="DM275" s="409">
        <v>20</v>
      </c>
      <c r="DN275" s="411">
        <f t="shared" si="218"/>
        <v>0</v>
      </c>
      <c r="DO275" s="411">
        <f t="shared" si="219"/>
        <v>36.058823529411768</v>
      </c>
      <c r="DP275" s="410">
        <f t="shared" si="220"/>
        <v>0</v>
      </c>
      <c r="DQ275" s="405" t="s">
        <v>547</v>
      </c>
      <c r="DR275" s="409" t="s">
        <v>4248</v>
      </c>
      <c r="DS275" s="420" t="str">
        <f t="shared" si="186"/>
        <v>FLINTSL - GREEN</v>
      </c>
      <c r="DT275" s="409">
        <v>20</v>
      </c>
      <c r="DU275" s="411">
        <f>IF(DT275=0,0,IF($LB275=70%,VLOOKUP($DS275,'Jan-2026 rates'!$L:$R,4,0),IF($LB275=65%,VLOOKUP($DS275,'Jan-2026 rates'!$L:$R,4,0),IF($LB275=40%,VLOOKUP($DS275,'Jan-2026 rates'!$L:$R,5,0),IF($LB275=30%,VLOOKUP($DS275,'Jan-2026 rates'!$L:$R,6,0),IF($LB275=100%,VLOOKUP($DS275,'Jan-2026 rates'!$L:$R,7,0),IF($LB275=60%,VLOOKUP($DS275,'Jan-2026 rates'!$L:$S,8,0),IF($LB275=80%,VLOOKUP($DS275,'Jan-2026 rates'!L:T,9,0),0))))))))</f>
        <v>0</v>
      </c>
      <c r="DV275" s="412"/>
      <c r="DW275" s="409"/>
      <c r="DX275" s="411">
        <f>IF(DW275=0,0,IF($LB275=70%,VLOOKUP($DS275,'Jan-2026 rates'!$L:$R,4,0),IF($LB275=65%,VLOOKUP($DS275,'Jan-2026 rates'!$L:$R,4,0),IF($LB275=40%,VLOOKUP($DS275,'Jan-2026 rates'!$L:$R,5,0),IF($LB275=30%,VLOOKUP($DS275,'Jan-2026 rates'!$L:$R,6,0),IF($LB275=100%,VLOOKUP($DS275,'Jan-2026 rates'!$L:$R,7,0),IF($LB275=60%,VLOOKUP($DS275,'Jan-2026 rates'!$L:$S,8,0),IF($LB275=80%,VLOOKUP($DS275,'Jan-2026 rates'!L:T,9,0),0))))))))</f>
        <v>0</v>
      </c>
      <c r="DY275" s="413">
        <v>26521000010</v>
      </c>
      <c r="DZ275" s="413">
        <v>26521000008</v>
      </c>
      <c r="EA275" s="412"/>
      <c r="EB275" s="412"/>
      <c r="EC275" s="412"/>
      <c r="ED275" s="412"/>
      <c r="EE275" s="412"/>
      <c r="EF275" s="412"/>
      <c r="EG275" s="409">
        <v>0.5</v>
      </c>
      <c r="EH275" s="398" t="e">
        <f>IF(EG275=0,0,IF(LEN(DY275)=11,_xlfn.XLOOKUP(DY275,'Dispensed Ink Rates'!C:C,'Dispensed Ink Rates'!CS:CS),VLOOKUP(DY275,'Jan-2026 rates'!$E:$F,2,0)))</f>
        <v>#N/A</v>
      </c>
      <c r="EI275" s="409">
        <v>1</v>
      </c>
      <c r="EJ275" s="398" t="e">
        <f>IF(EI275=0,0,IF(LEN(DZ275)=11,_xlfn.XLOOKUP(DZ275,'Dispensed Ink Rates'!C:C,'Dispensed Ink Rates'!CS:CS),VLOOKUP(DZ275,'Jan-2026 rates'!$E:$F,2,0)))</f>
        <v>#N/A</v>
      </c>
      <c r="EK275" s="409"/>
      <c r="EL275" s="398">
        <f>IF(EK275=0,0,IF(LEN(EA275)=11,_xlfn.XLOOKUP(EA275,'Dispensed Ink Rates'!C:C,'Dispensed Ink Rates'!CS:CS),VLOOKUP(EA275,'Jan-2026 rates'!$E:$F,2,0)))</f>
        <v>0</v>
      </c>
      <c r="EM275" s="409"/>
      <c r="EN275" s="398">
        <f>IF(EM275=0,0,IF(LEN(EB275)=11,_xlfn.XLOOKUP(EB275,'Dispensed Ink Rates'!C:C,'Dispensed Ink Rates'!CS:CS),VLOOKUP(EB275,'Jan-2026 rates'!$E:$F,2,0)))</f>
        <v>0</v>
      </c>
      <c r="EO275" s="409"/>
      <c r="EP275" s="398">
        <f>IF(EO275=0,0,IF(LEN(EC275)=11,_xlfn.XLOOKUP(EC275,'Dispensed Ink Rates'!C:C,'Dispensed Ink Rates'!CS:CS),VLOOKUP(EC275,'Jan-2026 rates'!$E:$F,2,0)))</f>
        <v>0</v>
      </c>
      <c r="EQ275" s="409"/>
      <c r="ER275" s="398">
        <f>IF(EQ275=0,0,IF(LEN(ED275)=11,_xlfn.XLOOKUP(ED275,'Dispensed Ink Rates'!C:C,'Dispensed Ink Rates'!CS:CS),VLOOKUP(ED275,'Jan-2026 rates'!$E:$F,2,0)))</f>
        <v>0</v>
      </c>
      <c r="ES275" s="409"/>
      <c r="ET275" s="398">
        <f>IF(ES275=0,0,IF(LEN(EE275)=11,_xlfn.XLOOKUP(EE275,'Dispensed Ink Rates'!C:C,'Dispensed Ink Rates'!CS:CS),VLOOKUP(EE275,'Jan-2026 rates'!$E:$F,2,0)))</f>
        <v>0</v>
      </c>
      <c r="EU275" s="409"/>
      <c r="EV275" s="398">
        <f>IF(EU275=0,0,IF(LEN(EF275)=11,_xlfn.XLOOKUP(EF275,'Dispensed Ink Rates'!C:C,'Dispensed Ink Rates'!CS:CS),VLOOKUP(EF275,'Jan-2026 rates'!$E:$F,2,0)))</f>
        <v>0</v>
      </c>
      <c r="EW275" s="409" t="s">
        <v>1443</v>
      </c>
      <c r="EX275" s="409">
        <v>21</v>
      </c>
      <c r="EY275" s="411">
        <f t="shared" si="221"/>
        <v>0</v>
      </c>
      <c r="EZ275" s="411">
        <f t="shared" si="222"/>
        <v>5.5588235294117645</v>
      </c>
      <c r="FA275" s="410">
        <f t="shared" si="223"/>
        <v>0</v>
      </c>
      <c r="FB275" s="405" t="s">
        <v>855</v>
      </c>
      <c r="FC275" s="409" t="s">
        <v>4249</v>
      </c>
      <c r="FD275" s="420" t="str">
        <f t="shared" si="187"/>
        <v>FLINTSL - CYAN</v>
      </c>
      <c r="FE275" s="409">
        <v>28</v>
      </c>
      <c r="FF275" s="411">
        <f>IF(FE275=0,0,IF($LB275=70%,VLOOKUP($FD275,'Jan-2026 rates'!$L:$R,4,0),IF($LB275=65%,VLOOKUP($FD275,'Jan-2026 rates'!$L:$R,4,0),IF($LB275=40%,VLOOKUP($FD275,'Jan-2026 rates'!$L:$R,5,0),IF($LB275=30%,VLOOKUP($FD275,'Jan-2026 rates'!$L:$R,6,0),IF($LB275=100%,VLOOKUP($FD275,'Jan-2026 rates'!$L:$R,7,0),IF($LB275=60%,VLOOKUP($FD275,'Jan-2026 rates'!$L:$S,8,0),IF($LB275=80%,VLOOKUP($FD275,'Jan-2026 rates'!L:T,9,0),0))))))))</f>
        <v>0</v>
      </c>
      <c r="FG275" s="412"/>
      <c r="FH275" s="409"/>
      <c r="FI275" s="411">
        <f>IF(FH275=0,0,IF($LB275=70%,VLOOKUP($FD275,'Jan-2026 rates'!$L:$R,4,0),IF($LB275=65%,VLOOKUP($FD275,'Jan-2026 rates'!$L:$R,4,0),IF($LB275=40%,VLOOKUP($FD275,'Jan-2026 rates'!$L:$R,5,0),IF($LB275=30%,VLOOKUP($FD275,'Jan-2026 rates'!$L:$R,6,0),IF($LB275=100%,VLOOKUP($FD275,'Jan-2026 rates'!$L:$R,7,0),IF($LB275=60%,VLOOKUP($FD275,'Jan-2026 rates'!$L:$S,8,0),IF($LB275=80%,VLOOKUP($FD275,'Jan-2026 rates'!L:T,9,0),0))))))))</f>
        <v>0</v>
      </c>
      <c r="FJ275" s="413" t="s">
        <v>1266</v>
      </c>
      <c r="FK275" s="413"/>
      <c r="FL275" s="413"/>
      <c r="FM275" s="412"/>
      <c r="FN275" s="412"/>
      <c r="FO275" s="412"/>
      <c r="FP275" s="412"/>
      <c r="FQ275" s="412"/>
      <c r="FR275" s="409">
        <v>1</v>
      </c>
      <c r="FS275" s="398">
        <f>IF(FR275=0,0,IF(LEN(FJ275)=11,_xlfn.XLOOKUP(FJ275,'Dispensed Ink Rates'!C:C,'Dispensed Ink Rates'!CS:CS),VLOOKUP(FJ275,'Jan-2026 rates'!$E:$F,2,0)))</f>
        <v>0</v>
      </c>
      <c r="FT275" s="409"/>
      <c r="FU275" s="398">
        <f>IF(FT275=0,0,IF(LEN(FK275)=11,_xlfn.XLOOKUP(FK275,'Dispensed Ink Rates'!C:C,'Dispensed Ink Rates'!CS:CS),VLOOKUP(FK275,'Jan-2026 rates'!$E:$F,2,0)))</f>
        <v>0</v>
      </c>
      <c r="FV275" s="409"/>
      <c r="FW275" s="398">
        <f>IF(FV275=0,0,IF(LEN(FL275)=11,_xlfn.XLOOKUP(FL275,'Dispensed Ink Rates'!C:C,'Dispensed Ink Rates'!CS:CS),VLOOKUP(FL275,'Jan-2026 rates'!$E:$F,2,0)))</f>
        <v>0</v>
      </c>
      <c r="FX275" s="409"/>
      <c r="FY275" s="398">
        <f>IF(FX275=0,0,IF(LEN(FM275)=11,_xlfn.XLOOKUP(FM275,'Dispensed Ink Rates'!C:C,'Dispensed Ink Rates'!CS:CS),VLOOKUP(FM275,'Jan-2026 rates'!$E:$F,2,0)))</f>
        <v>0</v>
      </c>
      <c r="FZ275" s="409"/>
      <c r="GA275" s="398">
        <f>IF(FZ275=0,0,IF(LEN(FN275)=11,_xlfn.XLOOKUP(FN275,'Dispensed Ink Rates'!C:C,'Dispensed Ink Rates'!CS:CS),VLOOKUP(FN275,'Jan-2026 rates'!$E:$F,2,0)))</f>
        <v>0</v>
      </c>
      <c r="GB275" s="409"/>
      <c r="GC275" s="398">
        <f>IF(GB275=0,0,IF(LEN(FO275)=11,_xlfn.XLOOKUP(FO275,'Dispensed Ink Rates'!C:C,'Dispensed Ink Rates'!CS:CS),VLOOKUP(FO275,'Jan-2026 rates'!$E:$F,2,0)))</f>
        <v>0</v>
      </c>
      <c r="GD275" s="409"/>
      <c r="GE275" s="398">
        <f>IF(GD275=0,0,IF(LEN(FP275)=11,_xlfn.XLOOKUP(FP275,'Dispensed Ink Rates'!C:C,'Dispensed Ink Rates'!CS:CS),VLOOKUP(FP275,'Jan-2026 rates'!$E:$F,2,0)))</f>
        <v>0</v>
      </c>
      <c r="GF275" s="409"/>
      <c r="GG275" s="398">
        <f>IF(GF275=0,0,IF(LEN(FQ275)=11,_xlfn.XLOOKUP(FQ275,'Dispensed Ink Rates'!C:C,'Dispensed Ink Rates'!CS:CS),VLOOKUP(FQ275,'Jan-2026 rates'!$E:$F,2,0)))</f>
        <v>0</v>
      </c>
      <c r="GH275" s="409" t="s">
        <v>1443</v>
      </c>
      <c r="GI275" s="409">
        <v>30</v>
      </c>
      <c r="GJ275" s="411">
        <f t="shared" si="224"/>
        <v>0</v>
      </c>
      <c r="GK275" s="411">
        <f t="shared" si="225"/>
        <v>4.058823529411768</v>
      </c>
      <c r="GL275" s="410">
        <f t="shared" si="226"/>
        <v>0</v>
      </c>
      <c r="GM275" s="405" t="s">
        <v>544</v>
      </c>
      <c r="GN275" s="409" t="s">
        <v>4250</v>
      </c>
      <c r="GO275" s="420" t="str">
        <f t="shared" si="188"/>
        <v>FLINTSL - MAGENTA</v>
      </c>
      <c r="GP275" s="409">
        <v>30</v>
      </c>
      <c r="GQ275" s="411">
        <f>IF(GP275=0,0,IF($LB275=70%,VLOOKUP($GO275,'Jan-2026 rates'!$L:$R,4,0),IF($LB275=65%,VLOOKUP($GO275,'Jan-2026 rates'!$L:$R,4,0),IF($LB275=40%,VLOOKUP($GO275,'Jan-2026 rates'!$L:$R,5,0),IF($LB275=30%,VLOOKUP($GO275,'Jan-2026 rates'!$L:$R,6,0),IF($LB275=100%,VLOOKUP($GO275,'Jan-2026 rates'!$L:$R,7,0),IF($LB275=60%,VLOOKUP($GO275,'Jan-2026 rates'!$L:$S,8,0),IF($LB275=80%,VLOOKUP($GO275,'Jan-2026 rates'!L:T,9,0),0))))))))</f>
        <v>0</v>
      </c>
      <c r="GR275" s="412"/>
      <c r="GS275" s="409"/>
      <c r="GT275" s="411">
        <f>IF(GS275=0,0,IF($LB275=70%,VLOOKUP($GO275,'Jan-2026 rates'!$L:$R,4,0),IF($LB275=65%,VLOOKUP($GO275,'Jan-2026 rates'!$L:$R,4,0),IF($LB275=40%,VLOOKUP($GO275,'Jan-2026 rates'!$L:$R,5,0),IF($LB275=30%,VLOOKUP($GO275,'Jan-2026 rates'!$L:$R,6,0),IF($LB275=100%,VLOOKUP($GO275,'Jan-2026 rates'!$L:$R,7,0),IF($LB275=60%,VLOOKUP($GO275,'Jan-2026 rates'!$L:$S,8,0),IF($LB275=80%,VLOOKUP($GO275,'Jan-2026 rates'!L:T,9,0),0))))))))</f>
        <v>0</v>
      </c>
      <c r="GU275" s="413">
        <v>26521000005</v>
      </c>
      <c r="GV275" s="413"/>
      <c r="GW275" s="412"/>
      <c r="GX275" s="412"/>
      <c r="GY275" s="412"/>
      <c r="GZ275" s="412"/>
      <c r="HA275" s="412"/>
      <c r="HB275" s="412"/>
      <c r="HC275" s="409">
        <v>3</v>
      </c>
      <c r="HD275" s="398" t="e">
        <f>IF(HC275=0,0,IF(LEN(GU275)=11,_xlfn.XLOOKUP(GU275,'Dispensed Ink Rates'!C:C,'Dispensed Ink Rates'!CS:CS),VLOOKUP(GU275,'Jan-2026 rates'!$E:$F,2,0)))</f>
        <v>#N/A</v>
      </c>
      <c r="HE275" s="409"/>
      <c r="HF275" s="398">
        <f>IF(HE275=0,0,IF(LEN(GV275)=11,_xlfn.XLOOKUP(GV275,'Dispensed Ink Rates'!C:C,'Dispensed Ink Rates'!CS:CS),VLOOKUP(GV275,'Jan-2026 rates'!$E:$F,2,0)))</f>
        <v>0</v>
      </c>
      <c r="HG275" s="409"/>
      <c r="HH275" s="398">
        <f>IF(HG275=0,0,IF(LEN(GW275)=11,_xlfn.XLOOKUP(GW275,'Dispensed Ink Rates'!C:C,'Dispensed Ink Rates'!CS:CS),VLOOKUP(GW275,'Jan-2026 rates'!$E:$F,2,0)))</f>
        <v>0</v>
      </c>
      <c r="HI275" s="409"/>
      <c r="HJ275" s="398">
        <f>IF(HI275=0,0,IF(LEN(GX275)=11,_xlfn.XLOOKUP(GX275,'Dispensed Ink Rates'!C:C,'Dispensed Ink Rates'!CS:CS),VLOOKUP(GX275,'Jan-2026 rates'!$E:$F,2,0)))</f>
        <v>0</v>
      </c>
      <c r="HK275" s="409"/>
      <c r="HL275" s="398">
        <f>IF(HK275=0,0,IF(LEN(GY275)=11,_xlfn.XLOOKUP(GY275,'Dispensed Ink Rates'!C:C,'Dispensed Ink Rates'!CS:CS),VLOOKUP(GY275,'Jan-2026 rates'!$E:$F,2,0)))</f>
        <v>0</v>
      </c>
      <c r="HM275" s="409"/>
      <c r="HN275" s="398">
        <f>IF(HM275=0,0,IF(LEN(GZ275)=11,_xlfn.XLOOKUP(GZ275,'Dispensed Ink Rates'!C:C,'Dispensed Ink Rates'!CS:CS),VLOOKUP(GZ275,'Jan-2026 rates'!$E:$F,2,0)))</f>
        <v>0</v>
      </c>
      <c r="HO275" s="409"/>
      <c r="HP275" s="398">
        <f>IF(HO275=0,0,IF(LEN(HA275)=11,_xlfn.XLOOKUP(HA275,'Dispensed Ink Rates'!C:C,'Dispensed Ink Rates'!CS:CS),VLOOKUP(HA275,'Jan-2026 rates'!$E:$F,2,0)))</f>
        <v>0</v>
      </c>
      <c r="HQ275" s="409"/>
      <c r="HR275" s="398">
        <f>IF(HQ275=0,0,IF(LEN(HB275)=11,_xlfn.XLOOKUP(HB275,'Dispensed Ink Rates'!C:C,'Dispensed Ink Rates'!CS:CS),VLOOKUP(HB275,'Jan-2026 rates'!$E:$F,2,0)))</f>
        <v>0</v>
      </c>
      <c r="HS275" s="409" t="s">
        <v>1443</v>
      </c>
      <c r="HT275" s="409">
        <v>30</v>
      </c>
      <c r="HU275" s="411">
        <f t="shared" si="227"/>
        <v>0</v>
      </c>
      <c r="HV275" s="411">
        <f t="shared" si="228"/>
        <v>6.3725490196078454</v>
      </c>
      <c r="HW275" s="414">
        <f t="shared" si="229"/>
        <v>0</v>
      </c>
      <c r="HX275" s="405" t="s">
        <v>545</v>
      </c>
      <c r="HY275" s="409" t="s">
        <v>4251</v>
      </c>
      <c r="HZ275" s="420" t="str">
        <f t="shared" si="189"/>
        <v>FLINTSL - YELLOW</v>
      </c>
      <c r="IA275" s="409">
        <v>35</v>
      </c>
      <c r="IB275" s="411">
        <f>IF(IA275=0,0,IF($LB275=70%,VLOOKUP($HZ275,'Jan-2026 rates'!$L:$R,4,0),IF($LB275=65%,VLOOKUP($HZ275,'Jan-2026 rates'!$L:$R,4,0),IF($LB275=40%,VLOOKUP($HZ275,'Jan-2026 rates'!$L:$R,5,0),IF($LB275=30%,VLOOKUP($HZ275,'Jan-2026 rates'!$L:$R,6,0),IF($LB275=100%,VLOOKUP($HZ275,'Jan-2026 rates'!$L:$R,7,0),IF($LB275=60%,VLOOKUP($HZ275,'Jan-2026 rates'!$L:$S,8,0),IF($LB275=80%,VLOOKUP($HZ275,'Jan-2026 rates'!L:T,9,0),0))))))))</f>
        <v>0</v>
      </c>
      <c r="IC275" s="412"/>
      <c r="ID275" s="409"/>
      <c r="IE275" s="411">
        <f>IF(ID275=0,0,IF($LB275=70%,VLOOKUP($HZ275,'Jan-2026 rates'!$L:$R,4,0),IF($LB275=65%,VLOOKUP($HZ275,'Jan-2026 rates'!$L:$R,4,0),IF($LB275=40%,VLOOKUP($HZ275,'Jan-2026 rates'!$L:$R,5,0),IF($LB275=30%,VLOOKUP($HZ275,'Jan-2026 rates'!$L:$R,6,0),IF($LB275=100%,VLOOKUP($HZ275,'Jan-2026 rates'!$L:$R,7,0),IF($LB275=60%,VLOOKUP($HZ275,'Jan-2026 rates'!$L:$S,8,0),IF($LB275=80%,VLOOKUP($HZ275,'Jan-2026 rates'!L:T,9,0),0))))))))</f>
        <v>0</v>
      </c>
      <c r="IF275" s="412" t="s">
        <v>1266</v>
      </c>
      <c r="IG275" s="413"/>
      <c r="IH275" s="412"/>
      <c r="II275" s="412"/>
      <c r="IJ275" s="412"/>
      <c r="IK275" s="412"/>
      <c r="IL275" s="412"/>
      <c r="IM275" s="412"/>
      <c r="IN275" s="409">
        <v>25</v>
      </c>
      <c r="IO275" s="398">
        <f>IF(IN275=0,0,IF(LEN(IF275)=11,_xlfn.XLOOKUP(IF275,'Dispensed Ink Rates'!C:C,'Dispensed Ink Rates'!CS:CS),VLOOKUP(IF275,'Jan-2026 rates'!$E:$F,2,0)))</f>
        <v>0</v>
      </c>
      <c r="IP275" s="409"/>
      <c r="IQ275" s="398">
        <f>IF(IP275=0,0,IF(LEN(IG275)=11,_xlfn.XLOOKUP(IG275,'Dispensed Ink Rates'!C:C,'Dispensed Ink Rates'!CS:CS),VLOOKUP(IG275,'Jan-2026 rates'!$E:$F,2,0)))</f>
        <v>0</v>
      </c>
      <c r="IR275" s="409"/>
      <c r="IS275" s="398">
        <f>IF(IR275=0,0,IF(LEN(IH275)=11,_xlfn.XLOOKUP(IH275,'Dispensed Ink Rates'!C:C,'Dispensed Ink Rates'!CS:CS),VLOOKUP(IH275,'Jan-2026 rates'!$E:$F,2,0)))</f>
        <v>0</v>
      </c>
      <c r="IT275" s="409"/>
      <c r="IU275" s="398">
        <f>IF(IT275=0,0,IF(LEN(II275)=11,_xlfn.XLOOKUP(II275,'Dispensed Ink Rates'!C:C,'Dispensed Ink Rates'!CS:CS),VLOOKUP(II275,'Jan-2026 rates'!$E:$F,2,0)))</f>
        <v>0</v>
      </c>
      <c r="IV275" s="409"/>
      <c r="IW275" s="398">
        <f>IF(IV275=0,0,IF(LEN(IJ275)=11,_xlfn.XLOOKUP(IJ275,'Dispensed Ink Rates'!C:C,'Dispensed Ink Rates'!CS:CS),VLOOKUP(IJ275,'Jan-2026 rates'!$E:$F,2,0)))</f>
        <v>0</v>
      </c>
      <c r="IX275" s="409"/>
      <c r="IY275" s="398">
        <f>IF(IX275=0,0,IF(LEN(IK275)=11,_xlfn.XLOOKUP(IK275,'Dispensed Ink Rates'!C:C,'Dispensed Ink Rates'!CS:CS),VLOOKUP(IK275,'Jan-2026 rates'!$E:$F,2,0)))</f>
        <v>0</v>
      </c>
      <c r="IZ275" s="409"/>
      <c r="JA275" s="398">
        <f>IF(IZ275=0,0,IF(LEN(IL275)=11,_xlfn.XLOOKUP(IL275,'Dispensed Ink Rates'!C:C,'Dispensed Ink Rates'!CS:CS),VLOOKUP(IL275,'Jan-2026 rates'!$E:$F,2,0)))</f>
        <v>0</v>
      </c>
      <c r="JB275" s="409"/>
      <c r="JC275" s="398">
        <f>IF(JB275=0,0,IF(LEN(IM275)=11,_xlfn.XLOOKUP(IM275,'Dispensed Ink Rates'!C:C,'Dispensed Ink Rates'!CS:CS),VLOOKUP(IM275,'Jan-2026 rates'!$E:$F,2,0)))</f>
        <v>0</v>
      </c>
      <c r="JD275" s="409" t="s">
        <v>1443</v>
      </c>
      <c r="JE275" s="409">
        <v>28</v>
      </c>
      <c r="JF275" s="411">
        <f t="shared" si="230"/>
        <v>0</v>
      </c>
      <c r="JG275" s="411">
        <f t="shared" si="231"/>
        <v>74.156862745098039</v>
      </c>
      <c r="JH275" s="410">
        <f t="shared" si="232"/>
        <v>0</v>
      </c>
      <c r="JI275" s="405" t="s">
        <v>856</v>
      </c>
      <c r="JJ275" s="409" t="s">
        <v>4252</v>
      </c>
      <c r="JK275" s="420" t="str">
        <f t="shared" si="190"/>
        <v>FLINTSL - WHITE</v>
      </c>
      <c r="JL275" s="409">
        <v>24</v>
      </c>
      <c r="JM275" s="411">
        <f>IF(JL275=0,0,IF($LB275=70%,VLOOKUP($JK275,'Jan-2026 rates'!$L:$R,4,0),IF($LB275=65%,VLOOKUP($JK275,'Jan-2026 rates'!$L:$R,4,0),IF($LB275=40%,VLOOKUP($JK275,'Jan-2026 rates'!$L:$R,5,0),IF($LB275=30%,VLOOKUP($JK275,'Jan-2026 rates'!$L:$R,6,0),IF($LB275=100%,VLOOKUP($JK275,'Jan-2026 rates'!$L:$R,7,0),IF($LB275=60%,VLOOKUP($JK275,'Jan-2026 rates'!$L:$S,8,0),IF($LB275=80%,VLOOKUP($JK275,'Jan-2026 rates'!L:T,9,0),0))))))))</f>
        <v>0</v>
      </c>
      <c r="JN275" s="412"/>
      <c r="JO275" s="409"/>
      <c r="JP275" s="411">
        <f>IF(JO275=0,0,IF($LB275=70%,VLOOKUP($JK275,'Jan-2026 rates'!$L:$R,4,0),IF($LB275=65%,VLOOKUP($JK275,'Jan-2026 rates'!$L:$R,4,0),IF($LB275=40%,VLOOKUP($JK275,'Jan-2026 rates'!$L:$R,5,0),IF($LB275=30%,VLOOKUP($JK275,'Jan-2026 rates'!$L:$R,6,0),IF($LB275=100%,VLOOKUP($JK275,'Jan-2026 rates'!$L:$R,7,0),IF($LB275=60%,VLOOKUP($JK275,'Jan-2026 rates'!$L:$S,8,0),IF($LB275=80%,VLOOKUP($JK275,'Jan-2026 rates'!L:T,9,0),0))))))))</f>
        <v>0</v>
      </c>
      <c r="JQ275" s="413" t="s">
        <v>484</v>
      </c>
      <c r="JR275" s="412"/>
      <c r="JS275" s="413"/>
      <c r="JT275" s="413"/>
      <c r="JU275" s="412"/>
      <c r="JV275" s="412"/>
      <c r="JW275" s="412"/>
      <c r="JX275" s="412"/>
      <c r="JY275" s="409">
        <f>50+50</f>
        <v>100</v>
      </c>
      <c r="JZ275" s="398">
        <f>IF(JY275=0,0,IF(LEN(JQ275)=11,_xlfn.XLOOKUP(JQ275,'Dispensed Ink Rates'!C:C,'Dispensed Ink Rates'!CS:CS),VLOOKUP(JQ275,'Jan-2026 rates'!$E:$F,2,0)))</f>
        <v>0</v>
      </c>
      <c r="KA275" s="409"/>
      <c r="KB275" s="398">
        <f>IF(KA275=0,0,IF(LEN(JR275)=11,_xlfn.XLOOKUP(JR275,'Dispensed Ink Rates'!C:C,'Dispensed Ink Rates'!CS:CS),VLOOKUP(JR275,'Jan-2026 rates'!$E:$F,2,0)))</f>
        <v>0</v>
      </c>
      <c r="KC275" s="409"/>
      <c r="KD275" s="398">
        <f>IF(KC275=0,0,IF(LEN(JS275)=11,_xlfn.XLOOKUP(JS275,'Dispensed Ink Rates'!C:C,'Dispensed Ink Rates'!CS:CS),VLOOKUP(JS275,'Jan-2026 rates'!$E:$F,2,0)))</f>
        <v>0</v>
      </c>
      <c r="KE275" s="409"/>
      <c r="KF275" s="398">
        <f>IF(KE275=0,0,IF(LEN(JT275)=11,_xlfn.XLOOKUP(JT275,'Dispensed Ink Rates'!C:C,'Dispensed Ink Rates'!CS:CS),VLOOKUP(JT275,'Jan-2026 rates'!$E:$F,2,0)))</f>
        <v>0</v>
      </c>
      <c r="KG275" s="409"/>
      <c r="KH275" s="398">
        <f>IF(KG275=0,0,IF(LEN(JU275)=11,_xlfn.XLOOKUP(JU275,'Dispensed Ink Rates'!C:C,'Dispensed Ink Rates'!CS:CS),VLOOKUP(JU275,'Jan-2026 rates'!$E:$F,2,0)))</f>
        <v>0</v>
      </c>
      <c r="KI275" s="409"/>
      <c r="KJ275" s="398">
        <f>IF(KI275=0,0,IF(LEN(JV275)=11,_xlfn.XLOOKUP(JV275,'Dispensed Ink Rates'!C:C,'Dispensed Ink Rates'!CS:CS),VLOOKUP(JV275,'Jan-2026 rates'!$E:$F,2,0)))</f>
        <v>0</v>
      </c>
      <c r="KK275" s="409"/>
      <c r="KL275" s="398">
        <f>IF(KK275=0,0,IF(LEN(JW275)=11,_xlfn.XLOOKUP(JW275,'Dispensed Ink Rates'!C:C,'Dispensed Ink Rates'!CS:CS),VLOOKUP(JW275,'Jan-2026 rates'!$E:$F,2,0)))</f>
        <v>0</v>
      </c>
      <c r="KM275" s="428"/>
      <c r="KN275" s="398">
        <f>IF(KM275=0,0,IF(LEN(JX275)=11,_xlfn.XLOOKUP(JX275,'Dispensed Ink Rates'!C:C,'Dispensed Ink Rates'!CS:CS),VLOOKUP(JX275,'Jan-2026 rates'!$E:$F,2,0)))</f>
        <v>0</v>
      </c>
      <c r="KO275" s="409" t="s">
        <v>1443</v>
      </c>
      <c r="KP275" s="409">
        <v>30</v>
      </c>
      <c r="KQ275" s="411">
        <f t="shared" si="233"/>
        <v>0</v>
      </c>
      <c r="KR275" s="411">
        <f t="shared" si="234"/>
        <v>195.1764705882353</v>
      </c>
      <c r="KS275" s="410">
        <f t="shared" si="235"/>
        <v>0</v>
      </c>
      <c r="KT275" s="409">
        <v>3</v>
      </c>
      <c r="KU275" s="409">
        <v>3</v>
      </c>
      <c r="KV275" s="409">
        <v>3</v>
      </c>
      <c r="KW275" s="409">
        <v>3</v>
      </c>
      <c r="KX275" s="409">
        <v>3</v>
      </c>
      <c r="KY275" s="409">
        <v>2</v>
      </c>
      <c r="KZ275" s="409">
        <v>25</v>
      </c>
      <c r="LA275" s="409">
        <f>30+30</f>
        <v>60</v>
      </c>
      <c r="LB275" s="415">
        <v>0.8</v>
      </c>
      <c r="LC275" s="415">
        <v>0.2</v>
      </c>
      <c r="LD275" s="415"/>
      <c r="LE275" s="415"/>
      <c r="LF275" s="415"/>
      <c r="LG275" s="409">
        <v>0</v>
      </c>
      <c r="LH275" s="409">
        <f>60+52+48+12</f>
        <v>172</v>
      </c>
      <c r="LI275" s="409">
        <v>0</v>
      </c>
      <c r="LJ275" s="409">
        <v>0</v>
      </c>
      <c r="LK275" s="416">
        <f t="shared" si="191"/>
        <v>172</v>
      </c>
      <c r="LL275" s="416">
        <f t="shared" si="192"/>
        <v>172</v>
      </c>
      <c r="LM275" s="417">
        <f t="shared" si="193"/>
        <v>137.6</v>
      </c>
      <c r="LN275" s="417">
        <f>VLOOKUP($LM$8,'Jan-2026 rates'!$H:$I,2,0)</f>
        <v>0</v>
      </c>
      <c r="LO275" s="417">
        <f t="shared" si="194"/>
        <v>34.4</v>
      </c>
      <c r="LP275" s="417">
        <f>VLOOKUP($LO$8,'Jan-2026 rates'!$H:$I,2,0)</f>
        <v>0</v>
      </c>
      <c r="LQ275" s="417">
        <f t="shared" si="195"/>
        <v>0</v>
      </c>
      <c r="LR275" s="417">
        <f>VLOOKUP($LQ$8,'Jan-2026 rates'!$H:$I,2,0)</f>
        <v>0</v>
      </c>
      <c r="LS275" s="417">
        <f t="shared" si="196"/>
        <v>0</v>
      </c>
      <c r="LT275" s="417">
        <f>VLOOKUP($LS$8,'Jan-2026 rates'!$H:$I,2,0)</f>
        <v>0</v>
      </c>
      <c r="LU275" s="417">
        <f t="shared" si="197"/>
        <v>0</v>
      </c>
      <c r="LV275" s="417">
        <f>VLOOKUP($LU$8,'Jan-2026 rates'!$H:$I,2,0)</f>
        <v>0</v>
      </c>
      <c r="LW275" s="417">
        <f t="shared" si="198"/>
        <v>0</v>
      </c>
      <c r="LX275" s="417">
        <f t="shared" si="199"/>
        <v>0</v>
      </c>
      <c r="LY275" s="418">
        <f t="shared" si="200"/>
        <v>0</v>
      </c>
      <c r="LZ275" s="417"/>
      <c r="MA275" s="435">
        <f t="shared" si="201"/>
        <v>141.5</v>
      </c>
      <c r="MB275" s="282">
        <f t="shared" si="202"/>
        <v>363.5</v>
      </c>
      <c r="MC275" s="283">
        <v>168</v>
      </c>
      <c r="MD275" s="284" t="str">
        <f t="shared" si="203"/>
        <v>FLINTSLFLINTSLFLINTSLFLINTSLFLINTSLFLINTSLFLINTSLFLINTSL</v>
      </c>
      <c r="ME275" s="293" t="str">
        <f t="shared" si="204"/>
        <v>+</v>
      </c>
      <c r="MF275" s="293" t="str">
        <f t="shared" si="205"/>
        <v>+</v>
      </c>
      <c r="MG275" s="293" t="str">
        <f t="shared" si="206"/>
        <v>+</v>
      </c>
      <c r="MH275" s="293" t="str">
        <f t="shared" si="207"/>
        <v>+</v>
      </c>
      <c r="MI275" s="293" t="str">
        <f t="shared" si="208"/>
        <v>+</v>
      </c>
      <c r="MJ275" s="293" t="str">
        <f t="shared" si="209"/>
        <v>+</v>
      </c>
      <c r="MK275" s="293" t="str">
        <f t="shared" si="210"/>
        <v>+</v>
      </c>
      <c r="ML275" s="293" t="str">
        <f t="shared" si="211"/>
        <v>+</v>
      </c>
      <c r="MM275" s="3" t="b">
        <f t="array" ref="MM275">OR(ME275:ML275="-")</f>
        <v>0</v>
      </c>
      <c r="MN275" s="285"/>
      <c r="MO275" s="401"/>
      <c r="MP275" s="286"/>
      <c r="MQ275" s="286"/>
      <c r="MR275" s="402"/>
      <c r="MS275" s="400"/>
      <c r="NH275" s="422"/>
      <c r="NJ275" s="421"/>
    </row>
    <row r="276" spans="1:374" s="1" customFormat="1" ht="16.5">
      <c r="A276" s="403">
        <v>46043</v>
      </c>
      <c r="B276" s="404" t="s">
        <v>1018</v>
      </c>
      <c r="C276" s="405" t="s">
        <v>4253</v>
      </c>
      <c r="D276" s="406">
        <v>169</v>
      </c>
      <c r="E276" s="404">
        <v>2490</v>
      </c>
      <c r="F276" s="407">
        <v>90000</v>
      </c>
      <c r="G276" s="407" t="s">
        <v>1019</v>
      </c>
      <c r="H276" s="408" t="s">
        <v>1017</v>
      </c>
      <c r="I276" s="409">
        <v>1.75</v>
      </c>
      <c r="J276" s="405" t="s">
        <v>543</v>
      </c>
      <c r="K276" s="404" t="s">
        <v>4254</v>
      </c>
      <c r="L276" s="419" t="str">
        <f t="shared" si="184"/>
        <v>FLINTSL - BLACK</v>
      </c>
      <c r="M276" s="404">
        <v>31</v>
      </c>
      <c r="N276" s="410">
        <f>IF(M276=0,0,IF($LB276=70%,VLOOKUP($L276,'Jan-2026 rates'!$L:$R,4,0),IF($LB276=65%,VLOOKUP($L276,'Jan-2026 rates'!$L:$R,4,0),IF($LB276=40%,VLOOKUP($L276,'Jan-2026 rates'!$L:$R,5,0),IF($LB276=30%,VLOOKUP($L276,'Jan-2026 rates'!$L:$R,6,0),IF($LB276=100%,VLOOKUP($L276,'Jan-2026 rates'!$L:$R,7,0),IF($LB276=60%,VLOOKUP($L276,'Jan-2026 rates'!$L:$S,8,0),IF($LB276=80%,VLOOKUP($L276,'Jan-2026 rates'!L:T,9,0),0))))))))</f>
        <v>0</v>
      </c>
      <c r="O276" s="406"/>
      <c r="P276" s="404"/>
      <c r="Q276" s="410">
        <f>IF(P276=0,0,IF($LB276=70%,VLOOKUP($L276,'Jan-2026 rates'!$L:$R,4,0),IF($LB276=65%,VLOOKUP($L276,'Jan-2026 rates'!$L:$R,4,0),IF($LB276=40%,VLOOKUP($L276,'Jan-2026 rates'!$L:$R,5,0),IF($LB276=30%,VLOOKUP($L276,'Jan-2026 rates'!$L:$R,6,0),IF($LB276=100%,VLOOKUP($L276,'Jan-2026 rates'!$L:$R,7,0),IF($LB276=60%,VLOOKUP($L276,'Jan-2026 rates'!$L:$S,8,0),IF($LB276=80%,VLOOKUP($L276,'Jan-2026 rates'!L:T,9,0),0))))))))</f>
        <v>0</v>
      </c>
      <c r="R276" s="406">
        <v>26521000010</v>
      </c>
      <c r="S276" s="406"/>
      <c r="T276" s="406"/>
      <c r="U276" s="406"/>
      <c r="V276" s="406"/>
      <c r="W276" s="406"/>
      <c r="X276" s="406"/>
      <c r="Y276" s="406"/>
      <c r="Z276" s="404">
        <v>3</v>
      </c>
      <c r="AA276" s="398" t="e">
        <f>IF(Z276=0,0,IF(LEN(R276)=11,_xlfn.XLOOKUP(R276,'Dispensed Ink Rates'!C:C,'Dispensed Ink Rates'!CS:CS),VLOOKUP(R276,'Jan-2026 rates'!$E:$F,2,0)))</f>
        <v>#N/A</v>
      </c>
      <c r="AB276" s="404"/>
      <c r="AC276" s="398">
        <f>IF(AB276=0,0,IF(LEN(S276)=11,_xlfn.XLOOKUP(S276,'Dispensed Ink Rates'!C:C,'Dispensed Ink Rates'!CS:CS),VLOOKUP(S276,'Jan-2026 rates'!$E:$F,2,0)))</f>
        <v>0</v>
      </c>
      <c r="AD276" s="404"/>
      <c r="AE276" s="398">
        <f>IF(AD276=0,0,IF(LEN(T276)=11,_xlfn.XLOOKUP(T276,'Dispensed Ink Rates'!C:C,'Dispensed Ink Rates'!CS:CS),VLOOKUP(T276,'Jan-2026 rates'!$E:$F,2,0)))</f>
        <v>0</v>
      </c>
      <c r="AF276" s="404"/>
      <c r="AG276" s="398">
        <f>IF(AF276=0,0,IF(LEN(U276)=11,_xlfn.XLOOKUP(U276,'Dispensed Ink Rates'!C:C,'Dispensed Ink Rates'!CS:CS),VLOOKUP(U276,'Jan-2026 rates'!$E:$F,2,0)))</f>
        <v>0</v>
      </c>
      <c r="AH276" s="404"/>
      <c r="AI276" s="398">
        <f>IF(AH276=0,0,IF(LEN(V276)=11,_xlfn.XLOOKUP(V276,'Dispensed Ink Rates'!C:C,'Dispensed Ink Rates'!CS:CS),VLOOKUP(V276,'Jan-2026 rates'!$E:$F,2,0)))</f>
        <v>0</v>
      </c>
      <c r="AJ276" s="404"/>
      <c r="AK276" s="398">
        <f>IF(AJ276=0,0,IF(LEN(W276)=11,_xlfn.XLOOKUP(W276,'Dispensed Ink Rates'!C:C,'Dispensed Ink Rates'!CS:CS),VLOOKUP(W276,'Jan-2026 rates'!$E:$F,2,0)))</f>
        <v>0</v>
      </c>
      <c r="AL276" s="404"/>
      <c r="AM276" s="398">
        <f>IF(AL276=0,0,IF(LEN(X276)=11,_xlfn.XLOOKUP(X276,'Dispensed Ink Rates'!C:C,'Dispensed Ink Rates'!CS:CS),VLOOKUP(X276,'Jan-2026 rates'!$E:$F,2,0)))</f>
        <v>0</v>
      </c>
      <c r="AN276" s="404"/>
      <c r="AO276" s="398">
        <f>IF(AN276=0,0,IF(LEN(Y276)=11,_xlfn.XLOOKUP(Y276,'Dispensed Ink Rates'!C:C,'Dispensed Ink Rates'!CS:CS),VLOOKUP(Y276,'Jan-2026 rates'!$E:$F,2,0)))</f>
        <v>0</v>
      </c>
      <c r="AP276" s="409" t="s">
        <v>1443</v>
      </c>
      <c r="AQ276" s="409">
        <v>24</v>
      </c>
      <c r="AR276" s="410">
        <f t="shared" si="212"/>
        <v>0</v>
      </c>
      <c r="AS276" s="411">
        <f t="shared" si="213"/>
        <v>18.612903225806448</v>
      </c>
      <c r="AT276" s="410">
        <f t="shared" si="214"/>
        <v>0</v>
      </c>
      <c r="AU276" s="405" t="s">
        <v>547</v>
      </c>
      <c r="AV276" s="409" t="s">
        <v>4255</v>
      </c>
      <c r="AW276" s="420" t="str">
        <f t="shared" si="183"/>
        <v>FLINTSL - GREEN</v>
      </c>
      <c r="AX276" s="409">
        <v>37</v>
      </c>
      <c r="AY276" s="411">
        <f>IF(AX276=0,0,IF($LB276=70%,VLOOKUP($AW276,'Jan-2026 rates'!$L:$R,4,0),IF($LB276=65%,VLOOKUP($AW276,'Jan-2026 rates'!$L:$R,4,0),IF($LB276=40%,VLOOKUP($AW276,'Jan-2026 rates'!$L:$R,5,0),IF($LB276=30%,VLOOKUP($AW276,'Jan-2026 rates'!$L:$R,6,0),IF($LB276=100%,VLOOKUP($AW276,'Jan-2026 rates'!$L:$R,7,0),IF($LB276=60%,VLOOKUP($AW276,'Jan-2026 rates'!$L:$S,8,0),IF($LB276=80%,VLOOKUP($AW276,'Jan-2026 rates'!L:T,9,0),0))))))))</f>
        <v>0</v>
      </c>
      <c r="AZ276" s="412" t="s">
        <v>4256</v>
      </c>
      <c r="BA276" s="409">
        <f>17+24</f>
        <v>41</v>
      </c>
      <c r="BB276" s="411">
        <f>IF(BA276=0,0,IF($LB276=70%,VLOOKUP($AW276,'Jan-2026 rates'!$L:$R,4,0),IF($LB276=65%,VLOOKUP($AW276,'Jan-2026 rates'!$L:$R,4,0),IF($LB276=40%,VLOOKUP($AW276,'Jan-2026 rates'!$L:$R,5,0),IF($LB276=30%,VLOOKUP($AW276,'Jan-2026 rates'!$L:$R,6,0),IF($LB276=100%,VLOOKUP($AW276,'Jan-2026 rates'!$L:$R,7,0),IF($LB276=60%,VLOOKUP($AW276,'Jan-2026 rates'!$L:$S,8,0),IF($LB276=80%,VLOOKUP($AW276,'Jan-2026 rates'!L:T,9,0),0))))))))</f>
        <v>0</v>
      </c>
      <c r="BC276" s="413">
        <v>26522000001</v>
      </c>
      <c r="BD276" s="412">
        <v>26523000001</v>
      </c>
      <c r="BE276" s="412">
        <v>26522000002</v>
      </c>
      <c r="BF276" s="413">
        <v>26521000013</v>
      </c>
      <c r="BG276" s="412">
        <v>26523000027</v>
      </c>
      <c r="BH276" s="412"/>
      <c r="BI276" s="412"/>
      <c r="BJ276" s="412"/>
      <c r="BK276" s="409">
        <v>4</v>
      </c>
      <c r="BL276" s="398" t="e">
        <f>IF(BK276=0,0,IF(LEN(BC276)=11,_xlfn.XLOOKUP(BC276,'Dispensed Ink Rates'!C:C,'Dispensed Ink Rates'!CS:CS),VLOOKUP(BC276,'Jan-2026 rates'!$E:$F,2,0)))</f>
        <v>#N/A</v>
      </c>
      <c r="BM276" s="409">
        <v>15</v>
      </c>
      <c r="BN276" s="398" t="e">
        <f>IF(BM276=0,0,IF(LEN(BD276)=11,_xlfn.XLOOKUP(BD276,'Dispensed Ink Rates'!C:C,'Dispensed Ink Rates'!CS:CS),VLOOKUP(BD276,'Jan-2026 rates'!$E:$F,2,0)))</f>
        <v>#N/A</v>
      </c>
      <c r="BO276" s="409">
        <v>6</v>
      </c>
      <c r="BP276" s="398" t="e">
        <f>IF(BO276=0,0,IF(LEN(BE276)=11,_xlfn.XLOOKUP(BE276,'Dispensed Ink Rates'!C:C,'Dispensed Ink Rates'!CS:CS),VLOOKUP(BE276,'Jan-2026 rates'!$E:$F,2,0)))</f>
        <v>#N/A</v>
      </c>
      <c r="BQ276" s="409">
        <v>6</v>
      </c>
      <c r="BR276" s="398" t="e">
        <f>IF(BQ276=0,0,IF(LEN(BF276)=11,_xlfn.XLOOKUP(BF276,'Dispensed Ink Rates'!C:C,'Dispensed Ink Rates'!CS:CS),VLOOKUP(BF276,'Jan-2026 rates'!$E:$F,2,0)))</f>
        <v>#N/A</v>
      </c>
      <c r="BS276" s="409">
        <v>3</v>
      </c>
      <c r="BT276" s="398" t="e">
        <f>IF(BS276=0,0,IF(LEN(BG276)=11,_xlfn.XLOOKUP(BG276,'Dispensed Ink Rates'!C:C,'Dispensed Ink Rates'!CS:CS),VLOOKUP(BG276,'Jan-2026 rates'!$E:$F,2,0)))</f>
        <v>#N/A</v>
      </c>
      <c r="BU276" s="409"/>
      <c r="BV276" s="398">
        <f>IF(BU276=0,0,IF(LEN(BH276)=11,_xlfn.XLOOKUP(BH276,'Dispensed Ink Rates'!C:C,'Dispensed Ink Rates'!CS:CS),VLOOKUP(BH276,'Jan-2026 rates'!$E:$F,2,0)))</f>
        <v>0</v>
      </c>
      <c r="BW276" s="409"/>
      <c r="BX276" s="398">
        <f>IF(BW276=0,0,IF(LEN(BI276)=11,_xlfn.XLOOKUP(BI276,'Dispensed Ink Rates'!C:C,'Dispensed Ink Rates'!CS:CS),VLOOKUP(BI276,'Jan-2026 rates'!$E:$F,2,0)))</f>
        <v>0</v>
      </c>
      <c r="BY276" s="409"/>
      <c r="BZ276" s="398">
        <f>IF(BY276=0,0,IF(LEN(BJ276)=11,_xlfn.XLOOKUP(BJ276,'Dispensed Ink Rates'!C:C,'Dispensed Ink Rates'!CS:CS),VLOOKUP(BJ276,'Jan-2026 rates'!$E:$F,2,0)))</f>
        <v>0</v>
      </c>
      <c r="CA276" s="409" t="s">
        <v>1443</v>
      </c>
      <c r="CB276" s="409">
        <v>36</v>
      </c>
      <c r="CC276" s="411">
        <f t="shared" si="215"/>
        <v>0</v>
      </c>
      <c r="CD276" s="411">
        <f t="shared" si="216"/>
        <v>93.225806451612897</v>
      </c>
      <c r="CE276" s="410">
        <f t="shared" si="217"/>
        <v>0</v>
      </c>
      <c r="CF276" s="404" t="s">
        <v>829</v>
      </c>
      <c r="CG276" s="409" t="s">
        <v>2273</v>
      </c>
      <c r="CH276" s="420" t="str">
        <f t="shared" si="185"/>
        <v>FLINTSL - MEDIUM</v>
      </c>
      <c r="CI276" s="409">
        <v>46</v>
      </c>
      <c r="CJ276" s="411">
        <f>IF(CI276=0,0,IF($LB276=70%,VLOOKUP($CH276,'Jan-2026 rates'!$L:$R,4,0),IF($LB276=65%,VLOOKUP($CH276,'Jan-2026 rates'!$L:$R,4,0),IF($LB276=40%,VLOOKUP($CH276,'Jan-2026 rates'!$L:$R,5,0),IF($LB276=30%,VLOOKUP($CH276,'Jan-2026 rates'!$L:$R,6,0),IF($LB276=100%,VLOOKUP($CH276,'Jan-2026 rates'!$L:$R,7,0),IF($LB276=60%,VLOOKUP($CH276,'Jan-2026 rates'!$L:$S,8,0),IF($LB276=80%,VLOOKUP($CH276,'Jan-2026 rates'!L:T,9,0),0))))))))</f>
        <v>0</v>
      </c>
      <c r="CK276" s="412"/>
      <c r="CL276" s="409"/>
      <c r="CM276" s="411">
        <f>IF(CL276=0,0,IF($LB276=70%,VLOOKUP($CH276,'Jan-2026 rates'!$L:$R,4,0),IF($LB276=65%,VLOOKUP($CH276,'Jan-2026 rates'!$L:$R,4,0),IF($LB276=40%,VLOOKUP($CH276,'Jan-2026 rates'!$L:$R,5,0),IF($LB276=30%,VLOOKUP($CH276,'Jan-2026 rates'!$L:$R,6,0),IF($LB276=100%,VLOOKUP($CH276,'Jan-2026 rates'!$L:$R,7,0),IF($LB276=60%,VLOOKUP($CH276,'Jan-2026 rates'!$L:$S,8,0),IF($LB276=80%,VLOOKUP($CH276,'Jan-2026 rates'!L:T,9,0),0))))))))</f>
        <v>0</v>
      </c>
      <c r="CN276" s="426">
        <v>26523000001</v>
      </c>
      <c r="CO276" s="427" t="s">
        <v>484</v>
      </c>
      <c r="CP276" s="426">
        <v>26522000001</v>
      </c>
      <c r="CQ276" s="426"/>
      <c r="CR276" s="428"/>
      <c r="CS276" s="428"/>
      <c r="CT276" s="428"/>
      <c r="CU276" s="428"/>
      <c r="CV276" s="409">
        <v>8</v>
      </c>
      <c r="CW276" s="398" t="e">
        <f>IF(CV276=0,0,IF(LEN(CN276)=11,_xlfn.XLOOKUP(CN276,'Dispensed Ink Rates'!C:C,'Dispensed Ink Rates'!CS:CS),VLOOKUP(CN276,'Jan-2026 rates'!$E:$F,2,0)))</f>
        <v>#N/A</v>
      </c>
      <c r="CX276" s="409">
        <v>6</v>
      </c>
      <c r="CY276" s="398">
        <f>IF(CX276=0,0,IF(LEN(CO276)=11,_xlfn.XLOOKUP(CO276,'Dispensed Ink Rates'!C:C,'Dispensed Ink Rates'!CS:CS),VLOOKUP(CO276,'Jan-2026 rates'!$E:$F,2,0)))</f>
        <v>0</v>
      </c>
      <c r="CZ276" s="409">
        <v>3</v>
      </c>
      <c r="DA276" s="398" t="e">
        <f>IF(CZ276=0,0,IF(LEN(CP276)=11,_xlfn.XLOOKUP(CP276,'Dispensed Ink Rates'!C:C,'Dispensed Ink Rates'!CS:CS),VLOOKUP(CP276,'Jan-2026 rates'!$E:$F,2,0)))</f>
        <v>#N/A</v>
      </c>
      <c r="DB276" s="409"/>
      <c r="DC276" s="398">
        <f>IF(DB276=0,0,IF(LEN(CQ276)=11,_xlfn.XLOOKUP(CQ276,'Dispensed Ink Rates'!C:C,'Dispensed Ink Rates'!CS:CS),VLOOKUP(CQ276,'Jan-2026 rates'!$E:$F,2,0)))</f>
        <v>0</v>
      </c>
      <c r="DD276" s="409"/>
      <c r="DE276" s="398">
        <f>IF(DD276=0,0,IF(LEN(CR276)=11,_xlfn.XLOOKUP(CR276,'Dispensed Ink Rates'!C:C,'Dispensed Ink Rates'!CS:CS),VLOOKUP(CR276,'Jan-2026 rates'!$E:$F,2,0)))</f>
        <v>0</v>
      </c>
      <c r="DF276" s="409"/>
      <c r="DG276" s="398">
        <f>IF(DF276=0,0,IF(LEN(CS276)=11,_xlfn.XLOOKUP(CS276,'Dispensed Ink Rates'!C:C,'Dispensed Ink Rates'!CS:CS),VLOOKUP(CS276,'Jan-2026 rates'!$E:$F,2,0)))</f>
        <v>0</v>
      </c>
      <c r="DH276" s="409"/>
      <c r="DI276" s="398">
        <f>IF(DH276=0,0,IF(LEN(CT276)=11,_xlfn.XLOOKUP(CT276,'Dispensed Ink Rates'!C:C,'Dispensed Ink Rates'!CS:CS),VLOOKUP(CT276,'Jan-2026 rates'!$E:$F,2,0)))</f>
        <v>0</v>
      </c>
      <c r="DJ276" s="409"/>
      <c r="DK276" s="398">
        <f>IF(DJ276=0,0,IF(LEN(CU276)=11,_xlfn.XLOOKUP(CU276,'Dispensed Ink Rates'!C:C,'Dispensed Ink Rates'!CS:CS),VLOOKUP(CU276,'Jan-2026 rates'!$E:$F,2,0)))</f>
        <v>0</v>
      </c>
      <c r="DL276" s="409" t="s">
        <v>1443</v>
      </c>
      <c r="DM276" s="409">
        <v>32</v>
      </c>
      <c r="DN276" s="411">
        <f t="shared" si="218"/>
        <v>0</v>
      </c>
      <c r="DO276" s="411">
        <f t="shared" si="219"/>
        <v>53.967741935483872</v>
      </c>
      <c r="DP276" s="410">
        <f t="shared" si="220"/>
        <v>0</v>
      </c>
      <c r="DQ276" s="405" t="s">
        <v>547</v>
      </c>
      <c r="DR276" s="409" t="s">
        <v>4089</v>
      </c>
      <c r="DS276" s="420" t="str">
        <f t="shared" si="186"/>
        <v>FLINTSL - GREEN</v>
      </c>
      <c r="DT276" s="409">
        <v>12</v>
      </c>
      <c r="DU276" s="411">
        <f>IF(DT276=0,0,IF($LB276=70%,VLOOKUP($DS276,'Jan-2026 rates'!$L:$R,4,0),IF($LB276=65%,VLOOKUP($DS276,'Jan-2026 rates'!$L:$R,4,0),IF($LB276=40%,VLOOKUP($DS276,'Jan-2026 rates'!$L:$R,5,0),IF($LB276=30%,VLOOKUP($DS276,'Jan-2026 rates'!$L:$R,6,0),IF($LB276=100%,VLOOKUP($DS276,'Jan-2026 rates'!$L:$R,7,0),IF($LB276=60%,VLOOKUP($DS276,'Jan-2026 rates'!$L:$S,8,0),IF($LB276=80%,VLOOKUP($DS276,'Jan-2026 rates'!L:T,9,0),0))))))))</f>
        <v>0</v>
      </c>
      <c r="DV276" s="412"/>
      <c r="DW276" s="409"/>
      <c r="DX276" s="411">
        <f>IF(DW276=0,0,IF($LB276=70%,VLOOKUP($DS276,'Jan-2026 rates'!$L:$R,4,0),IF($LB276=65%,VLOOKUP($DS276,'Jan-2026 rates'!$L:$R,4,0),IF($LB276=40%,VLOOKUP($DS276,'Jan-2026 rates'!$L:$R,5,0),IF($LB276=30%,VLOOKUP($DS276,'Jan-2026 rates'!$L:$R,6,0),IF($LB276=100%,VLOOKUP($DS276,'Jan-2026 rates'!$L:$R,7,0),IF($LB276=60%,VLOOKUP($DS276,'Jan-2026 rates'!$L:$S,8,0),IF($LB276=80%,VLOOKUP($DS276,'Jan-2026 rates'!L:T,9,0),0))))))))</f>
        <v>0</v>
      </c>
      <c r="DY276" s="413">
        <v>26521000013</v>
      </c>
      <c r="DZ276" s="413">
        <v>26523000024</v>
      </c>
      <c r="EA276" s="412">
        <v>26523000001</v>
      </c>
      <c r="EB276" s="412">
        <v>26522000002</v>
      </c>
      <c r="EC276" s="412"/>
      <c r="ED276" s="412"/>
      <c r="EE276" s="412"/>
      <c r="EF276" s="412"/>
      <c r="EG276" s="409">
        <v>1.5</v>
      </c>
      <c r="EH276" s="398" t="e">
        <f>IF(EG276=0,0,IF(LEN(DY276)=11,_xlfn.XLOOKUP(DY276,'Dispensed Ink Rates'!C:C,'Dispensed Ink Rates'!CS:CS),VLOOKUP(DY276,'Jan-2026 rates'!$E:$F,2,0)))</f>
        <v>#N/A</v>
      </c>
      <c r="EI276" s="409">
        <v>10</v>
      </c>
      <c r="EJ276" s="398" t="e">
        <f>IF(EI276=0,0,IF(LEN(DZ276)=11,_xlfn.XLOOKUP(DZ276,'Dispensed Ink Rates'!C:C,'Dispensed Ink Rates'!CS:CS),VLOOKUP(DZ276,'Jan-2026 rates'!$E:$F,2,0)))</f>
        <v>#N/A</v>
      </c>
      <c r="EK276" s="409">
        <v>3</v>
      </c>
      <c r="EL276" s="398" t="e">
        <f>IF(EK276=0,0,IF(LEN(EA276)=11,_xlfn.XLOOKUP(EA276,'Dispensed Ink Rates'!C:C,'Dispensed Ink Rates'!CS:CS),VLOOKUP(EA276,'Jan-2026 rates'!$E:$F,2,0)))</f>
        <v>#N/A</v>
      </c>
      <c r="EM276" s="409">
        <f>4+4</f>
        <v>8</v>
      </c>
      <c r="EN276" s="398" t="e">
        <f>IF(EM276=0,0,IF(LEN(EB276)=11,_xlfn.XLOOKUP(EB276,'Dispensed Ink Rates'!C:C,'Dispensed Ink Rates'!CS:CS),VLOOKUP(EB276,'Jan-2026 rates'!$E:$F,2,0)))</f>
        <v>#N/A</v>
      </c>
      <c r="EO276" s="409"/>
      <c r="EP276" s="398">
        <f>IF(EO276=0,0,IF(LEN(EC276)=11,_xlfn.XLOOKUP(EC276,'Dispensed Ink Rates'!C:C,'Dispensed Ink Rates'!CS:CS),VLOOKUP(EC276,'Jan-2026 rates'!$E:$F,2,0)))</f>
        <v>0</v>
      </c>
      <c r="EQ276" s="409"/>
      <c r="ER276" s="398">
        <f>IF(EQ276=0,0,IF(LEN(ED276)=11,_xlfn.XLOOKUP(ED276,'Dispensed Ink Rates'!C:C,'Dispensed Ink Rates'!CS:CS),VLOOKUP(ED276,'Jan-2026 rates'!$E:$F,2,0)))</f>
        <v>0</v>
      </c>
      <c r="ES276" s="409"/>
      <c r="ET276" s="398">
        <f>IF(ES276=0,0,IF(LEN(EE276)=11,_xlfn.XLOOKUP(EE276,'Dispensed Ink Rates'!C:C,'Dispensed Ink Rates'!CS:CS),VLOOKUP(EE276,'Jan-2026 rates'!$E:$F,2,0)))</f>
        <v>0</v>
      </c>
      <c r="EU276" s="409"/>
      <c r="EV276" s="398">
        <f>IF(EU276=0,0,IF(LEN(EF276)=11,_xlfn.XLOOKUP(EF276,'Dispensed Ink Rates'!C:C,'Dispensed Ink Rates'!CS:CS),VLOOKUP(EF276,'Jan-2026 rates'!$E:$F,2,0)))</f>
        <v>0</v>
      </c>
      <c r="EW276" s="409" t="s">
        <v>1443</v>
      </c>
      <c r="EX276" s="409">
        <v>27</v>
      </c>
      <c r="EY276" s="411">
        <f t="shared" si="221"/>
        <v>0</v>
      </c>
      <c r="EZ276" s="411">
        <f t="shared" si="222"/>
        <v>21.854838709677423</v>
      </c>
      <c r="FA276" s="410">
        <f t="shared" si="223"/>
        <v>0</v>
      </c>
      <c r="FB276" s="405" t="s">
        <v>855</v>
      </c>
      <c r="FC276" s="409" t="s">
        <v>4257</v>
      </c>
      <c r="FD276" s="420" t="str">
        <f t="shared" si="187"/>
        <v>FLINTSL - CYAN</v>
      </c>
      <c r="FE276" s="409">
        <v>30</v>
      </c>
      <c r="FF276" s="411">
        <f>IF(FE276=0,0,IF($LB276=70%,VLOOKUP($FD276,'Jan-2026 rates'!$L:$R,4,0),IF($LB276=65%,VLOOKUP($FD276,'Jan-2026 rates'!$L:$R,4,0),IF($LB276=40%,VLOOKUP($FD276,'Jan-2026 rates'!$L:$R,5,0),IF($LB276=30%,VLOOKUP($FD276,'Jan-2026 rates'!$L:$R,6,0),IF($LB276=100%,VLOOKUP($FD276,'Jan-2026 rates'!$L:$R,7,0),IF($LB276=60%,VLOOKUP($FD276,'Jan-2026 rates'!$L:$S,8,0),IF($LB276=80%,VLOOKUP($FD276,'Jan-2026 rates'!L:T,9,0),0))))))))</f>
        <v>0</v>
      </c>
      <c r="FG276" s="412"/>
      <c r="FH276" s="409"/>
      <c r="FI276" s="411">
        <f>IF(FH276=0,0,IF($LB276=70%,VLOOKUP($FD276,'Jan-2026 rates'!$L:$R,4,0),IF($LB276=65%,VLOOKUP($FD276,'Jan-2026 rates'!$L:$R,4,0),IF($LB276=40%,VLOOKUP($FD276,'Jan-2026 rates'!$L:$R,5,0),IF($LB276=30%,VLOOKUP($FD276,'Jan-2026 rates'!$L:$R,6,0),IF($LB276=100%,VLOOKUP($FD276,'Jan-2026 rates'!$L:$R,7,0),IF($LB276=60%,VLOOKUP($FD276,'Jan-2026 rates'!$L:$S,8,0),IF($LB276=80%,VLOOKUP($FD276,'Jan-2026 rates'!L:T,9,0),0))))))))</f>
        <v>0</v>
      </c>
      <c r="FJ276" s="413" t="s">
        <v>1266</v>
      </c>
      <c r="FK276" s="413"/>
      <c r="FL276" s="413"/>
      <c r="FM276" s="412"/>
      <c r="FN276" s="412"/>
      <c r="FO276" s="412"/>
      <c r="FP276" s="412"/>
      <c r="FQ276" s="412"/>
      <c r="FR276" s="409">
        <v>5</v>
      </c>
      <c r="FS276" s="398">
        <f>IF(FR276=0,0,IF(LEN(FJ276)=11,_xlfn.XLOOKUP(FJ276,'Dispensed Ink Rates'!C:C,'Dispensed Ink Rates'!CS:CS),VLOOKUP(FJ276,'Jan-2026 rates'!$E:$F,2,0)))</f>
        <v>0</v>
      </c>
      <c r="FT276" s="409"/>
      <c r="FU276" s="398">
        <f>IF(FT276=0,0,IF(LEN(FK276)=11,_xlfn.XLOOKUP(FK276,'Dispensed Ink Rates'!C:C,'Dispensed Ink Rates'!CS:CS),VLOOKUP(FK276,'Jan-2026 rates'!$E:$F,2,0)))</f>
        <v>0</v>
      </c>
      <c r="FV276" s="409"/>
      <c r="FW276" s="398">
        <f>IF(FV276=0,0,IF(LEN(FL276)=11,_xlfn.XLOOKUP(FL276,'Dispensed Ink Rates'!C:C,'Dispensed Ink Rates'!CS:CS),VLOOKUP(FL276,'Jan-2026 rates'!$E:$F,2,0)))</f>
        <v>0</v>
      </c>
      <c r="FX276" s="409"/>
      <c r="FY276" s="398">
        <f>IF(FX276=0,0,IF(LEN(FM276)=11,_xlfn.XLOOKUP(FM276,'Dispensed Ink Rates'!C:C,'Dispensed Ink Rates'!CS:CS),VLOOKUP(FM276,'Jan-2026 rates'!$E:$F,2,0)))</f>
        <v>0</v>
      </c>
      <c r="FZ276" s="409"/>
      <c r="GA276" s="398">
        <f>IF(FZ276=0,0,IF(LEN(FN276)=11,_xlfn.XLOOKUP(FN276,'Dispensed Ink Rates'!C:C,'Dispensed Ink Rates'!CS:CS),VLOOKUP(FN276,'Jan-2026 rates'!$E:$F,2,0)))</f>
        <v>0</v>
      </c>
      <c r="GB276" s="409"/>
      <c r="GC276" s="398">
        <f>IF(GB276=0,0,IF(LEN(FO276)=11,_xlfn.XLOOKUP(FO276,'Dispensed Ink Rates'!C:C,'Dispensed Ink Rates'!CS:CS),VLOOKUP(FO276,'Jan-2026 rates'!$E:$F,2,0)))</f>
        <v>0</v>
      </c>
      <c r="GD276" s="409"/>
      <c r="GE276" s="398">
        <f>IF(GD276=0,0,IF(LEN(FP276)=11,_xlfn.XLOOKUP(FP276,'Dispensed Ink Rates'!C:C,'Dispensed Ink Rates'!CS:CS),VLOOKUP(FP276,'Jan-2026 rates'!$E:$F,2,0)))</f>
        <v>0</v>
      </c>
      <c r="GF276" s="409"/>
      <c r="GG276" s="398">
        <f>IF(GF276=0,0,IF(LEN(FQ276)=11,_xlfn.XLOOKUP(FQ276,'Dispensed Ink Rates'!C:C,'Dispensed Ink Rates'!CS:CS),VLOOKUP(FQ276,'Jan-2026 rates'!$E:$F,2,0)))</f>
        <v>0</v>
      </c>
      <c r="GH276" s="409" t="s">
        <v>1443</v>
      </c>
      <c r="GI276" s="409">
        <v>30</v>
      </c>
      <c r="GJ276" s="411">
        <f t="shared" si="224"/>
        <v>0</v>
      </c>
      <c r="GK276" s="411">
        <f t="shared" si="225"/>
        <v>16.483870967741936</v>
      </c>
      <c r="GL276" s="410">
        <f t="shared" si="226"/>
        <v>0</v>
      </c>
      <c r="GM276" s="405" t="s">
        <v>544</v>
      </c>
      <c r="GN276" s="409" t="s">
        <v>4258</v>
      </c>
      <c r="GO276" s="420" t="str">
        <f t="shared" si="188"/>
        <v>FLINTSL - MAGENTA</v>
      </c>
      <c r="GP276" s="409">
        <v>30</v>
      </c>
      <c r="GQ276" s="411">
        <f>IF(GP276=0,0,IF($LB276=70%,VLOOKUP($GO276,'Jan-2026 rates'!$L:$R,4,0),IF($LB276=65%,VLOOKUP($GO276,'Jan-2026 rates'!$L:$R,4,0),IF($LB276=40%,VLOOKUP($GO276,'Jan-2026 rates'!$L:$R,5,0),IF($LB276=30%,VLOOKUP($GO276,'Jan-2026 rates'!$L:$R,6,0),IF($LB276=100%,VLOOKUP($GO276,'Jan-2026 rates'!$L:$R,7,0),IF($LB276=60%,VLOOKUP($GO276,'Jan-2026 rates'!$L:$S,8,0),IF($LB276=80%,VLOOKUP($GO276,'Jan-2026 rates'!L:T,9,0),0))))))))</f>
        <v>0</v>
      </c>
      <c r="GR276" s="412"/>
      <c r="GS276" s="409"/>
      <c r="GT276" s="411">
        <f>IF(GS276=0,0,IF($LB276=70%,VLOOKUP($GO276,'Jan-2026 rates'!$L:$R,4,0),IF($LB276=65%,VLOOKUP($GO276,'Jan-2026 rates'!$L:$R,4,0),IF($LB276=40%,VLOOKUP($GO276,'Jan-2026 rates'!$L:$R,5,0),IF($LB276=30%,VLOOKUP($GO276,'Jan-2026 rates'!$L:$R,6,0),IF($LB276=100%,VLOOKUP($GO276,'Jan-2026 rates'!$L:$R,7,0),IF($LB276=60%,VLOOKUP($GO276,'Jan-2026 rates'!$L:$S,8,0),IF($LB276=80%,VLOOKUP($GO276,'Jan-2026 rates'!L:T,9,0),0))))))))</f>
        <v>0</v>
      </c>
      <c r="GU276" s="413"/>
      <c r="GV276" s="413"/>
      <c r="GW276" s="412"/>
      <c r="GX276" s="412"/>
      <c r="GY276" s="412"/>
      <c r="GZ276" s="412"/>
      <c r="HA276" s="412"/>
      <c r="HB276" s="412"/>
      <c r="HC276" s="409"/>
      <c r="HD276" s="398">
        <f>IF(HC276=0,0,IF(LEN(GU276)=11,_xlfn.XLOOKUP(GU276,'Dispensed Ink Rates'!C:C,'Dispensed Ink Rates'!CS:CS),VLOOKUP(GU276,'Jan-2026 rates'!$E:$F,2,0)))</f>
        <v>0</v>
      </c>
      <c r="HE276" s="409"/>
      <c r="HF276" s="398">
        <f>IF(HE276=0,0,IF(LEN(GV276)=11,_xlfn.XLOOKUP(GV276,'Dispensed Ink Rates'!C:C,'Dispensed Ink Rates'!CS:CS),VLOOKUP(GV276,'Jan-2026 rates'!$E:$F,2,0)))</f>
        <v>0</v>
      </c>
      <c r="HG276" s="409"/>
      <c r="HH276" s="398">
        <f>IF(HG276=0,0,IF(LEN(GW276)=11,_xlfn.XLOOKUP(GW276,'Dispensed Ink Rates'!C:C,'Dispensed Ink Rates'!CS:CS),VLOOKUP(GW276,'Jan-2026 rates'!$E:$F,2,0)))</f>
        <v>0</v>
      </c>
      <c r="HI276" s="409"/>
      <c r="HJ276" s="398">
        <f>IF(HI276=0,0,IF(LEN(GX276)=11,_xlfn.XLOOKUP(GX276,'Dispensed Ink Rates'!C:C,'Dispensed Ink Rates'!CS:CS),VLOOKUP(GX276,'Jan-2026 rates'!$E:$F,2,0)))</f>
        <v>0</v>
      </c>
      <c r="HK276" s="409"/>
      <c r="HL276" s="398">
        <f>IF(HK276=0,0,IF(LEN(GY276)=11,_xlfn.XLOOKUP(GY276,'Dispensed Ink Rates'!C:C,'Dispensed Ink Rates'!CS:CS),VLOOKUP(GY276,'Jan-2026 rates'!$E:$F,2,0)))</f>
        <v>0</v>
      </c>
      <c r="HM276" s="409"/>
      <c r="HN276" s="398">
        <f>IF(HM276=0,0,IF(LEN(GZ276)=11,_xlfn.XLOOKUP(GZ276,'Dispensed Ink Rates'!C:C,'Dispensed Ink Rates'!CS:CS),VLOOKUP(GZ276,'Jan-2026 rates'!$E:$F,2,0)))</f>
        <v>0</v>
      </c>
      <c r="HO276" s="409"/>
      <c r="HP276" s="398">
        <f>IF(HO276=0,0,IF(LEN(HA276)=11,_xlfn.XLOOKUP(HA276,'Dispensed Ink Rates'!C:C,'Dispensed Ink Rates'!CS:CS),VLOOKUP(HA276,'Jan-2026 rates'!$E:$F,2,0)))</f>
        <v>0</v>
      </c>
      <c r="HQ276" s="409"/>
      <c r="HR276" s="398">
        <f>IF(HQ276=0,0,IF(LEN(HB276)=11,_xlfn.XLOOKUP(HB276,'Dispensed Ink Rates'!C:C,'Dispensed Ink Rates'!CS:CS),VLOOKUP(HB276,'Jan-2026 rates'!$E:$F,2,0)))</f>
        <v>0</v>
      </c>
      <c r="HS276" s="409" t="s">
        <v>1443</v>
      </c>
      <c r="HT276" s="409">
        <v>29</v>
      </c>
      <c r="HU276" s="411">
        <f t="shared" si="227"/>
        <v>0</v>
      </c>
      <c r="HV276" s="411">
        <f t="shared" si="228"/>
        <v>9.6129032258064484</v>
      </c>
      <c r="HW276" s="414">
        <f t="shared" si="229"/>
        <v>0</v>
      </c>
      <c r="HX276" s="405" t="s">
        <v>545</v>
      </c>
      <c r="HY276" s="409" t="s">
        <v>4259</v>
      </c>
      <c r="HZ276" s="420" t="str">
        <f t="shared" si="189"/>
        <v>FLINTSL - YELLOW</v>
      </c>
      <c r="IA276" s="409">
        <v>28</v>
      </c>
      <c r="IB276" s="411">
        <f>IF(IA276=0,0,IF($LB276=70%,VLOOKUP($HZ276,'Jan-2026 rates'!$L:$R,4,0),IF($LB276=65%,VLOOKUP($HZ276,'Jan-2026 rates'!$L:$R,4,0),IF($LB276=40%,VLOOKUP($HZ276,'Jan-2026 rates'!$L:$R,5,0),IF($LB276=30%,VLOOKUP($HZ276,'Jan-2026 rates'!$L:$R,6,0),IF($LB276=100%,VLOOKUP($HZ276,'Jan-2026 rates'!$L:$R,7,0),IF($LB276=60%,VLOOKUP($HZ276,'Jan-2026 rates'!$L:$S,8,0),IF($LB276=80%,VLOOKUP($HZ276,'Jan-2026 rates'!L:T,9,0),0))))))))</f>
        <v>0</v>
      </c>
      <c r="IC276" s="412"/>
      <c r="ID276" s="409"/>
      <c r="IE276" s="411">
        <f>IF(ID276=0,0,IF($LB276=70%,VLOOKUP($HZ276,'Jan-2026 rates'!$L:$R,4,0),IF($LB276=65%,VLOOKUP($HZ276,'Jan-2026 rates'!$L:$R,4,0),IF($LB276=40%,VLOOKUP($HZ276,'Jan-2026 rates'!$L:$R,5,0),IF($LB276=30%,VLOOKUP($HZ276,'Jan-2026 rates'!$L:$R,6,0),IF($LB276=100%,VLOOKUP($HZ276,'Jan-2026 rates'!$L:$R,7,0),IF($LB276=60%,VLOOKUP($HZ276,'Jan-2026 rates'!$L:$S,8,0),IF($LB276=80%,VLOOKUP($HZ276,'Jan-2026 rates'!L:T,9,0),0))))))))</f>
        <v>0</v>
      </c>
      <c r="IF276" s="412">
        <v>26523000001</v>
      </c>
      <c r="IG276" s="413"/>
      <c r="IH276" s="412"/>
      <c r="II276" s="412"/>
      <c r="IJ276" s="412"/>
      <c r="IK276" s="412"/>
      <c r="IL276" s="412"/>
      <c r="IM276" s="412"/>
      <c r="IN276" s="409">
        <v>8</v>
      </c>
      <c r="IO276" s="398" t="e">
        <f>IF(IN276=0,0,IF(LEN(IF276)=11,_xlfn.XLOOKUP(IF276,'Dispensed Ink Rates'!C:C,'Dispensed Ink Rates'!CS:CS),VLOOKUP(IF276,'Jan-2026 rates'!$E:$F,2,0)))</f>
        <v>#N/A</v>
      </c>
      <c r="IP276" s="409"/>
      <c r="IQ276" s="398">
        <f>IF(IP276=0,0,IF(LEN(IG276)=11,_xlfn.XLOOKUP(IG276,'Dispensed Ink Rates'!C:C,'Dispensed Ink Rates'!CS:CS),VLOOKUP(IG276,'Jan-2026 rates'!$E:$F,2,0)))</f>
        <v>0</v>
      </c>
      <c r="IR276" s="409"/>
      <c r="IS276" s="398">
        <f>IF(IR276=0,0,IF(LEN(IH276)=11,_xlfn.XLOOKUP(IH276,'Dispensed Ink Rates'!C:C,'Dispensed Ink Rates'!CS:CS),VLOOKUP(IH276,'Jan-2026 rates'!$E:$F,2,0)))</f>
        <v>0</v>
      </c>
      <c r="IT276" s="409"/>
      <c r="IU276" s="398">
        <f>IF(IT276=0,0,IF(LEN(II276)=11,_xlfn.XLOOKUP(II276,'Dispensed Ink Rates'!C:C,'Dispensed Ink Rates'!CS:CS),VLOOKUP(II276,'Jan-2026 rates'!$E:$F,2,0)))</f>
        <v>0</v>
      </c>
      <c r="IV276" s="409"/>
      <c r="IW276" s="398">
        <f>IF(IV276=0,0,IF(LEN(IJ276)=11,_xlfn.XLOOKUP(IJ276,'Dispensed Ink Rates'!C:C,'Dispensed Ink Rates'!CS:CS),VLOOKUP(IJ276,'Jan-2026 rates'!$E:$F,2,0)))</f>
        <v>0</v>
      </c>
      <c r="IX276" s="409"/>
      <c r="IY276" s="398">
        <f>IF(IX276=0,0,IF(LEN(IK276)=11,_xlfn.XLOOKUP(IK276,'Dispensed Ink Rates'!C:C,'Dispensed Ink Rates'!CS:CS),VLOOKUP(IK276,'Jan-2026 rates'!$E:$F,2,0)))</f>
        <v>0</v>
      </c>
      <c r="IZ276" s="409"/>
      <c r="JA276" s="398">
        <f>IF(IZ276=0,0,IF(LEN(IL276)=11,_xlfn.XLOOKUP(IL276,'Dispensed Ink Rates'!C:C,'Dispensed Ink Rates'!CS:CS),VLOOKUP(IL276,'Jan-2026 rates'!$E:$F,2,0)))</f>
        <v>0</v>
      </c>
      <c r="JB276" s="409"/>
      <c r="JC276" s="398">
        <f>IF(JB276=0,0,IF(LEN(IM276)=11,_xlfn.XLOOKUP(IM276,'Dispensed Ink Rates'!C:C,'Dispensed Ink Rates'!CS:CS),VLOOKUP(IM276,'Jan-2026 rates'!$E:$F,2,0)))</f>
        <v>0</v>
      </c>
      <c r="JD276" s="409" t="s">
        <v>1443</v>
      </c>
      <c r="JE276" s="409">
        <v>30</v>
      </c>
      <c r="JF276" s="411">
        <f t="shared" si="230"/>
        <v>0</v>
      </c>
      <c r="JG276" s="411">
        <f t="shared" si="231"/>
        <v>28.967741935483872</v>
      </c>
      <c r="JH276" s="410">
        <f t="shared" si="232"/>
        <v>0</v>
      </c>
      <c r="JI276" s="405" t="s">
        <v>856</v>
      </c>
      <c r="JJ276" s="409" t="s">
        <v>4260</v>
      </c>
      <c r="JK276" s="420" t="str">
        <f t="shared" si="190"/>
        <v>FLINTSL - WHITE</v>
      </c>
      <c r="JL276" s="409">
        <v>30</v>
      </c>
      <c r="JM276" s="411">
        <f>IF(JL276=0,0,IF($LB276=70%,VLOOKUP($JK276,'Jan-2026 rates'!$L:$R,4,0),IF($LB276=65%,VLOOKUP($JK276,'Jan-2026 rates'!$L:$R,4,0),IF($LB276=40%,VLOOKUP($JK276,'Jan-2026 rates'!$L:$R,5,0),IF($LB276=30%,VLOOKUP($JK276,'Jan-2026 rates'!$L:$R,6,0),IF($LB276=100%,VLOOKUP($JK276,'Jan-2026 rates'!$L:$R,7,0),IF($LB276=60%,VLOOKUP($JK276,'Jan-2026 rates'!$L:$S,8,0),IF($LB276=80%,VLOOKUP($JK276,'Jan-2026 rates'!L:T,9,0),0))))))))</f>
        <v>0</v>
      </c>
      <c r="JN276" s="412"/>
      <c r="JO276" s="409"/>
      <c r="JP276" s="411">
        <f>IF(JO276=0,0,IF($LB276=70%,VLOOKUP($JK276,'Jan-2026 rates'!$L:$R,4,0),IF($LB276=65%,VLOOKUP($JK276,'Jan-2026 rates'!$L:$R,4,0),IF($LB276=40%,VLOOKUP($JK276,'Jan-2026 rates'!$L:$R,5,0),IF($LB276=30%,VLOOKUP($JK276,'Jan-2026 rates'!$L:$R,6,0),IF($LB276=100%,VLOOKUP($JK276,'Jan-2026 rates'!$L:$R,7,0),IF($LB276=60%,VLOOKUP($JK276,'Jan-2026 rates'!$L:$S,8,0),IF($LB276=80%,VLOOKUP($JK276,'Jan-2026 rates'!L:T,9,0),0))))))))</f>
        <v>0</v>
      </c>
      <c r="JQ276" s="413" t="s">
        <v>484</v>
      </c>
      <c r="JR276" s="412"/>
      <c r="JS276" s="413"/>
      <c r="JT276" s="413"/>
      <c r="JU276" s="412"/>
      <c r="JV276" s="412"/>
      <c r="JW276" s="412"/>
      <c r="JX276" s="412"/>
      <c r="JY276" s="409">
        <f>100+150+100</f>
        <v>350</v>
      </c>
      <c r="JZ276" s="398">
        <f>IF(JY276=0,0,IF(LEN(JQ276)=11,_xlfn.XLOOKUP(JQ276,'Dispensed Ink Rates'!C:C,'Dispensed Ink Rates'!CS:CS),VLOOKUP(JQ276,'Jan-2026 rates'!$E:$F,2,0)))</f>
        <v>0</v>
      </c>
      <c r="KA276" s="409"/>
      <c r="KB276" s="398">
        <f>IF(KA276=0,0,IF(LEN(JR276)=11,_xlfn.XLOOKUP(JR276,'Dispensed Ink Rates'!C:C,'Dispensed Ink Rates'!CS:CS),VLOOKUP(JR276,'Jan-2026 rates'!$E:$F,2,0)))</f>
        <v>0</v>
      </c>
      <c r="KC276" s="409"/>
      <c r="KD276" s="398">
        <f>IF(KC276=0,0,IF(LEN(JS276)=11,_xlfn.XLOOKUP(JS276,'Dispensed Ink Rates'!C:C,'Dispensed Ink Rates'!CS:CS),VLOOKUP(JS276,'Jan-2026 rates'!$E:$F,2,0)))</f>
        <v>0</v>
      </c>
      <c r="KE276" s="409"/>
      <c r="KF276" s="398">
        <f>IF(KE276=0,0,IF(LEN(JT276)=11,_xlfn.XLOOKUP(JT276,'Dispensed Ink Rates'!C:C,'Dispensed Ink Rates'!CS:CS),VLOOKUP(JT276,'Jan-2026 rates'!$E:$F,2,0)))</f>
        <v>0</v>
      </c>
      <c r="KG276" s="409"/>
      <c r="KH276" s="398">
        <f>IF(KG276=0,0,IF(LEN(JU276)=11,_xlfn.XLOOKUP(JU276,'Dispensed Ink Rates'!C:C,'Dispensed Ink Rates'!CS:CS),VLOOKUP(JU276,'Jan-2026 rates'!$E:$F,2,0)))</f>
        <v>0</v>
      </c>
      <c r="KI276" s="409"/>
      <c r="KJ276" s="398">
        <f>IF(KI276=0,0,IF(LEN(JV276)=11,_xlfn.XLOOKUP(JV276,'Dispensed Ink Rates'!C:C,'Dispensed Ink Rates'!CS:CS),VLOOKUP(JV276,'Jan-2026 rates'!$E:$F,2,0)))</f>
        <v>0</v>
      </c>
      <c r="KK276" s="409"/>
      <c r="KL276" s="398">
        <f>IF(KK276=0,0,IF(LEN(JW276)=11,_xlfn.XLOOKUP(JW276,'Dispensed Ink Rates'!C:C,'Dispensed Ink Rates'!CS:CS),VLOOKUP(JW276,'Jan-2026 rates'!$E:$F,2,0)))</f>
        <v>0</v>
      </c>
      <c r="KM276" s="428"/>
      <c r="KN276" s="398">
        <f>IF(KM276=0,0,IF(LEN(JX276)=11,_xlfn.XLOOKUP(JX276,'Dispensed Ink Rates'!C:C,'Dispensed Ink Rates'!CS:CS),VLOOKUP(JX276,'Jan-2026 rates'!$E:$F,2,0)))</f>
        <v>0</v>
      </c>
      <c r="KO276" s="409" t="s">
        <v>1443</v>
      </c>
      <c r="KP276" s="409">
        <v>24</v>
      </c>
      <c r="KQ276" s="411">
        <f t="shared" si="233"/>
        <v>0</v>
      </c>
      <c r="KR276" s="411">
        <f t="shared" si="234"/>
        <v>872.77419354838707</v>
      </c>
      <c r="KS276" s="410">
        <f t="shared" si="235"/>
        <v>0</v>
      </c>
      <c r="KT276" s="409">
        <v>3</v>
      </c>
      <c r="KU276" s="409">
        <v>6</v>
      </c>
      <c r="KV276" s="409">
        <v>8</v>
      </c>
      <c r="KW276" s="409">
        <v>5</v>
      </c>
      <c r="KX276" s="409">
        <v>4</v>
      </c>
      <c r="KY276" s="409">
        <v>3</v>
      </c>
      <c r="KZ276" s="409">
        <v>8</v>
      </c>
      <c r="LA276" s="409">
        <f>50+70+60</f>
        <v>180</v>
      </c>
      <c r="LB276" s="415">
        <v>0.8</v>
      </c>
      <c r="LC276" s="415">
        <v>0.2</v>
      </c>
      <c r="LD276" s="415"/>
      <c r="LE276" s="415"/>
      <c r="LF276" s="415"/>
      <c r="LG276" s="409">
        <v>0</v>
      </c>
      <c r="LH276" s="409">
        <f>180+143+240+60</f>
        <v>623</v>
      </c>
      <c r="LI276" s="409">
        <v>0</v>
      </c>
      <c r="LJ276" s="409">
        <v>0</v>
      </c>
      <c r="LK276" s="416">
        <f t="shared" si="191"/>
        <v>623</v>
      </c>
      <c r="LL276" s="416">
        <f t="shared" si="192"/>
        <v>623</v>
      </c>
      <c r="LM276" s="417">
        <f t="shared" si="193"/>
        <v>498.40000000000003</v>
      </c>
      <c r="LN276" s="417">
        <f>VLOOKUP($LM$8,'Jan-2026 rates'!$H:$I,2,0)</f>
        <v>0</v>
      </c>
      <c r="LO276" s="417">
        <f t="shared" si="194"/>
        <v>124.60000000000001</v>
      </c>
      <c r="LP276" s="417">
        <f>VLOOKUP($LO$8,'Jan-2026 rates'!$H:$I,2,0)</f>
        <v>0</v>
      </c>
      <c r="LQ276" s="417">
        <f t="shared" si="195"/>
        <v>0</v>
      </c>
      <c r="LR276" s="417">
        <f>VLOOKUP($LQ$8,'Jan-2026 rates'!$H:$I,2,0)</f>
        <v>0</v>
      </c>
      <c r="LS276" s="417">
        <f t="shared" si="196"/>
        <v>0</v>
      </c>
      <c r="LT276" s="417">
        <f>VLOOKUP($LS$8,'Jan-2026 rates'!$H:$I,2,0)</f>
        <v>0</v>
      </c>
      <c r="LU276" s="417">
        <f t="shared" si="197"/>
        <v>0</v>
      </c>
      <c r="LV276" s="417">
        <f>VLOOKUP($LU$8,'Jan-2026 rates'!$H:$I,2,0)</f>
        <v>0</v>
      </c>
      <c r="LW276" s="417">
        <f t="shared" si="198"/>
        <v>0</v>
      </c>
      <c r="LX276" s="417">
        <f t="shared" si="199"/>
        <v>0</v>
      </c>
      <c r="LY276" s="418">
        <f t="shared" si="200"/>
        <v>0</v>
      </c>
      <c r="LZ276" s="417"/>
      <c r="MA276" s="435">
        <f t="shared" si="201"/>
        <v>439.5</v>
      </c>
      <c r="MB276" s="282">
        <f t="shared" si="202"/>
        <v>1115.5</v>
      </c>
      <c r="MC276" s="283">
        <v>169</v>
      </c>
      <c r="MD276" s="284" t="str">
        <f t="shared" si="203"/>
        <v>FLINTSLFLINTSLFLINTSLFLINTSLFLINTSLFLINTSLFLINTSLFLINTSL</v>
      </c>
      <c r="ME276" s="293" t="str">
        <f t="shared" si="204"/>
        <v>+</v>
      </c>
      <c r="MF276" s="293" t="str">
        <f t="shared" si="205"/>
        <v>+</v>
      </c>
      <c r="MG276" s="293" t="str">
        <f t="shared" si="206"/>
        <v>+</v>
      </c>
      <c r="MH276" s="293" t="str">
        <f t="shared" si="207"/>
        <v>+</v>
      </c>
      <c r="MI276" s="293" t="str">
        <f t="shared" si="208"/>
        <v>+</v>
      </c>
      <c r="MJ276" s="293" t="str">
        <f t="shared" si="209"/>
        <v>+</v>
      </c>
      <c r="MK276" s="293" t="str">
        <f t="shared" si="210"/>
        <v>+</v>
      </c>
      <c r="ML276" s="293" t="str">
        <f t="shared" si="211"/>
        <v>+</v>
      </c>
      <c r="MM276" s="3" t="b">
        <f t="array" ref="MM276">OR(ME276:ML276="-")</f>
        <v>0</v>
      </c>
      <c r="MN276" s="285"/>
      <c r="MO276" s="401"/>
      <c r="MP276" s="286"/>
      <c r="MQ276" s="286"/>
      <c r="MR276" s="402"/>
      <c r="MS276" s="400"/>
      <c r="NH276" s="422"/>
      <c r="NJ276" s="421"/>
    </row>
    <row r="277" spans="1:374" s="1" customFormat="1" ht="16.5">
      <c r="A277" s="403">
        <v>46043</v>
      </c>
      <c r="B277" s="404" t="s">
        <v>1018</v>
      </c>
      <c r="C277" s="405" t="s">
        <v>4261</v>
      </c>
      <c r="D277" s="406">
        <v>170</v>
      </c>
      <c r="E277" s="404">
        <v>325</v>
      </c>
      <c r="F277" s="407">
        <v>20400</v>
      </c>
      <c r="G277" s="407" t="s">
        <v>1019</v>
      </c>
      <c r="H277" s="408" t="s">
        <v>1017</v>
      </c>
      <c r="I277" s="409">
        <v>1.79</v>
      </c>
      <c r="J277" s="405" t="s">
        <v>543</v>
      </c>
      <c r="K277" s="404" t="s">
        <v>4262</v>
      </c>
      <c r="L277" s="419" t="str">
        <f t="shared" si="184"/>
        <v>FLINTSL - BLACK</v>
      </c>
      <c r="M277" s="404">
        <v>24</v>
      </c>
      <c r="N277" s="410">
        <f>IF(M277=0,0,IF($LB277=70%,VLOOKUP($L277,'Jan-2026 rates'!$L:$R,4,0),IF($LB277=65%,VLOOKUP($L277,'Jan-2026 rates'!$L:$R,4,0),IF($LB277=40%,VLOOKUP($L277,'Jan-2026 rates'!$L:$R,5,0),IF($LB277=30%,VLOOKUP($L277,'Jan-2026 rates'!$L:$R,6,0),IF($LB277=100%,VLOOKUP($L277,'Jan-2026 rates'!$L:$R,7,0),IF($LB277=60%,VLOOKUP($L277,'Jan-2026 rates'!$L:$S,8,0),IF($LB277=80%,VLOOKUP($L277,'Jan-2026 rates'!L:T,9,0),0))))))))</f>
        <v>0</v>
      </c>
      <c r="O277" s="406"/>
      <c r="P277" s="404"/>
      <c r="Q277" s="410">
        <f>IF(P277=0,0,IF($LB277=70%,VLOOKUP($L277,'Jan-2026 rates'!$L:$R,4,0),IF($LB277=65%,VLOOKUP($L277,'Jan-2026 rates'!$L:$R,4,0),IF($LB277=40%,VLOOKUP($L277,'Jan-2026 rates'!$L:$R,5,0),IF($LB277=30%,VLOOKUP($L277,'Jan-2026 rates'!$L:$R,6,0),IF($LB277=100%,VLOOKUP($L277,'Jan-2026 rates'!$L:$R,7,0),IF($LB277=60%,VLOOKUP($L277,'Jan-2026 rates'!$L:$S,8,0),IF($LB277=80%,VLOOKUP($L277,'Jan-2026 rates'!L:T,9,0),0))))))))</f>
        <v>0</v>
      </c>
      <c r="R277" s="406">
        <v>26523000027</v>
      </c>
      <c r="S277" s="406"/>
      <c r="T277" s="406"/>
      <c r="U277" s="406"/>
      <c r="V277" s="406"/>
      <c r="W277" s="406"/>
      <c r="X277" s="406"/>
      <c r="Y277" s="406"/>
      <c r="Z277" s="404">
        <v>4</v>
      </c>
      <c r="AA277" s="398" t="e">
        <f>IF(Z277=0,0,IF(LEN(R277)=11,_xlfn.XLOOKUP(R277,'Dispensed Ink Rates'!C:C,'Dispensed Ink Rates'!CS:CS),VLOOKUP(R277,'Jan-2026 rates'!$E:$F,2,0)))</f>
        <v>#N/A</v>
      </c>
      <c r="AB277" s="404"/>
      <c r="AC277" s="398">
        <f>IF(AB277=0,0,IF(LEN(S277)=11,_xlfn.XLOOKUP(S277,'Dispensed Ink Rates'!C:C,'Dispensed Ink Rates'!CS:CS),VLOOKUP(S277,'Jan-2026 rates'!$E:$F,2,0)))</f>
        <v>0</v>
      </c>
      <c r="AD277" s="404"/>
      <c r="AE277" s="398">
        <f>IF(AD277=0,0,IF(LEN(T277)=11,_xlfn.XLOOKUP(T277,'Dispensed Ink Rates'!C:C,'Dispensed Ink Rates'!CS:CS),VLOOKUP(T277,'Jan-2026 rates'!$E:$F,2,0)))</f>
        <v>0</v>
      </c>
      <c r="AF277" s="404"/>
      <c r="AG277" s="398">
        <f>IF(AF277=0,0,IF(LEN(U277)=11,_xlfn.XLOOKUP(U277,'Dispensed Ink Rates'!C:C,'Dispensed Ink Rates'!CS:CS),VLOOKUP(U277,'Jan-2026 rates'!$E:$F,2,0)))</f>
        <v>0</v>
      </c>
      <c r="AH277" s="404"/>
      <c r="AI277" s="398">
        <f>IF(AH277=0,0,IF(LEN(V277)=11,_xlfn.XLOOKUP(V277,'Dispensed Ink Rates'!C:C,'Dispensed Ink Rates'!CS:CS),VLOOKUP(V277,'Jan-2026 rates'!$E:$F,2,0)))</f>
        <v>0</v>
      </c>
      <c r="AJ277" s="404"/>
      <c r="AK277" s="398">
        <f>IF(AJ277=0,0,IF(LEN(W277)=11,_xlfn.XLOOKUP(W277,'Dispensed Ink Rates'!C:C,'Dispensed Ink Rates'!CS:CS),VLOOKUP(W277,'Jan-2026 rates'!$E:$F,2,0)))</f>
        <v>0</v>
      </c>
      <c r="AL277" s="404"/>
      <c r="AM277" s="398">
        <f>IF(AL277=0,0,IF(LEN(X277)=11,_xlfn.XLOOKUP(X277,'Dispensed Ink Rates'!C:C,'Dispensed Ink Rates'!CS:CS),VLOOKUP(X277,'Jan-2026 rates'!$E:$F,2,0)))</f>
        <v>0</v>
      </c>
      <c r="AN277" s="404"/>
      <c r="AO277" s="398">
        <f>IF(AN277=0,0,IF(LEN(Y277)=11,_xlfn.XLOOKUP(Y277,'Dispensed Ink Rates'!C:C,'Dispensed Ink Rates'!CS:CS),VLOOKUP(Y277,'Jan-2026 rates'!$E:$F,2,0)))</f>
        <v>0</v>
      </c>
      <c r="AP277" s="409" t="s">
        <v>1443</v>
      </c>
      <c r="AQ277" s="409">
        <v>26</v>
      </c>
      <c r="AR277" s="410">
        <f t="shared" si="212"/>
        <v>0</v>
      </c>
      <c r="AS277" s="411">
        <f t="shared" si="213"/>
        <v>6.816901408450704</v>
      </c>
      <c r="AT277" s="410">
        <f t="shared" si="214"/>
        <v>0</v>
      </c>
      <c r="AU277" s="405" t="s">
        <v>546</v>
      </c>
      <c r="AV277" s="409" t="s">
        <v>4263</v>
      </c>
      <c r="AW277" s="420" t="str">
        <f t="shared" si="183"/>
        <v>FLINTSL - REFLEX BLUE</v>
      </c>
      <c r="AX277" s="409">
        <v>17</v>
      </c>
      <c r="AY277" s="411">
        <f>IF(AX277=0,0,IF($LB277=70%,VLOOKUP($AW277,'Jan-2026 rates'!$L:$R,4,0),IF($LB277=65%,VLOOKUP($AW277,'Jan-2026 rates'!$L:$R,4,0),IF($LB277=40%,VLOOKUP($AW277,'Jan-2026 rates'!$L:$R,5,0),IF($LB277=30%,VLOOKUP($AW277,'Jan-2026 rates'!$L:$R,6,0),IF($LB277=100%,VLOOKUP($AW277,'Jan-2026 rates'!$L:$R,7,0),IF($LB277=60%,VLOOKUP($AW277,'Jan-2026 rates'!$L:$S,8,0),IF($LB277=80%,VLOOKUP($AW277,'Jan-2026 rates'!L:T,9,0),0))))))))</f>
        <v>0</v>
      </c>
      <c r="AZ277" s="412"/>
      <c r="BA277" s="409"/>
      <c r="BB277" s="411">
        <f>IF(BA277=0,0,IF($LB277=70%,VLOOKUP($AW277,'Jan-2026 rates'!$L:$R,4,0),IF($LB277=65%,VLOOKUP($AW277,'Jan-2026 rates'!$L:$R,4,0),IF($LB277=40%,VLOOKUP($AW277,'Jan-2026 rates'!$L:$R,5,0),IF($LB277=30%,VLOOKUP($AW277,'Jan-2026 rates'!$L:$R,6,0),IF($LB277=100%,VLOOKUP($AW277,'Jan-2026 rates'!$L:$R,7,0),IF($LB277=60%,VLOOKUP($AW277,'Jan-2026 rates'!$L:$S,8,0),IF($LB277=80%,VLOOKUP($AW277,'Jan-2026 rates'!L:T,9,0),0))))))))</f>
        <v>0</v>
      </c>
      <c r="BC277" s="413">
        <v>26521000013</v>
      </c>
      <c r="BD277" s="412">
        <v>26521000006</v>
      </c>
      <c r="BE277" s="412"/>
      <c r="BF277" s="413"/>
      <c r="BG277" s="412"/>
      <c r="BH277" s="412"/>
      <c r="BI277" s="412"/>
      <c r="BJ277" s="412"/>
      <c r="BK277" s="409">
        <v>3</v>
      </c>
      <c r="BL277" s="398" t="e">
        <f>IF(BK277=0,0,IF(LEN(BC277)=11,_xlfn.XLOOKUP(BC277,'Dispensed Ink Rates'!C:C,'Dispensed Ink Rates'!CS:CS),VLOOKUP(BC277,'Jan-2026 rates'!$E:$F,2,0)))</f>
        <v>#N/A</v>
      </c>
      <c r="BM277" s="409">
        <v>2</v>
      </c>
      <c r="BN277" s="398" t="e">
        <f>IF(BM277=0,0,IF(LEN(BD277)=11,_xlfn.XLOOKUP(BD277,'Dispensed Ink Rates'!C:C,'Dispensed Ink Rates'!CS:CS),VLOOKUP(BD277,'Jan-2026 rates'!$E:$F,2,0)))</f>
        <v>#N/A</v>
      </c>
      <c r="BO277" s="409"/>
      <c r="BP277" s="398">
        <f>IF(BO277=0,0,IF(LEN(BE277)=11,_xlfn.XLOOKUP(BE277,'Dispensed Ink Rates'!C:C,'Dispensed Ink Rates'!CS:CS),VLOOKUP(BE277,'Jan-2026 rates'!$E:$F,2,0)))</f>
        <v>0</v>
      </c>
      <c r="BQ277" s="409"/>
      <c r="BR277" s="398">
        <f>IF(BQ277=0,0,IF(LEN(BF277)=11,_xlfn.XLOOKUP(BF277,'Dispensed Ink Rates'!C:C,'Dispensed Ink Rates'!CS:CS),VLOOKUP(BF277,'Jan-2026 rates'!$E:$F,2,0)))</f>
        <v>0</v>
      </c>
      <c r="BS277" s="409"/>
      <c r="BT277" s="398">
        <f>IF(BS277=0,0,IF(LEN(BG277)=11,_xlfn.XLOOKUP(BG277,'Dispensed Ink Rates'!C:C,'Dispensed Ink Rates'!CS:CS),VLOOKUP(BG277,'Jan-2026 rates'!$E:$F,2,0)))</f>
        <v>0</v>
      </c>
      <c r="BU277" s="409"/>
      <c r="BV277" s="398">
        <f>IF(BU277=0,0,IF(LEN(BH277)=11,_xlfn.XLOOKUP(BH277,'Dispensed Ink Rates'!C:C,'Dispensed Ink Rates'!CS:CS),VLOOKUP(BH277,'Jan-2026 rates'!$E:$F,2,0)))</f>
        <v>0</v>
      </c>
      <c r="BW277" s="409"/>
      <c r="BX277" s="398">
        <f>IF(BW277=0,0,IF(LEN(BI277)=11,_xlfn.XLOOKUP(BI277,'Dispensed Ink Rates'!C:C,'Dispensed Ink Rates'!CS:CS),VLOOKUP(BI277,'Jan-2026 rates'!$E:$F,2,0)))</f>
        <v>0</v>
      </c>
      <c r="BY277" s="409"/>
      <c r="BZ277" s="398">
        <f>IF(BY277=0,0,IF(LEN(BJ277)=11,_xlfn.XLOOKUP(BJ277,'Dispensed Ink Rates'!C:C,'Dispensed Ink Rates'!CS:CS),VLOOKUP(BJ277,'Jan-2026 rates'!$E:$F,2,0)))</f>
        <v>0</v>
      </c>
      <c r="CA277" s="409" t="s">
        <v>1443</v>
      </c>
      <c r="CB277" s="409">
        <v>22</v>
      </c>
      <c r="CC277" s="411">
        <f t="shared" si="215"/>
        <v>0</v>
      </c>
      <c r="CD277" s="411">
        <f t="shared" si="216"/>
        <v>8.0281690140845079</v>
      </c>
      <c r="CE277" s="410">
        <f t="shared" si="217"/>
        <v>0</v>
      </c>
      <c r="CF277" s="404" t="s">
        <v>547</v>
      </c>
      <c r="CG277" s="409" t="s">
        <v>4255</v>
      </c>
      <c r="CH277" s="420" t="str">
        <f t="shared" si="185"/>
        <v>FLINTSL - GREEN</v>
      </c>
      <c r="CI277" s="409">
        <v>24</v>
      </c>
      <c r="CJ277" s="411">
        <f>IF(CI277=0,0,IF($LB277=70%,VLOOKUP($CH277,'Jan-2026 rates'!$L:$R,4,0),IF($LB277=65%,VLOOKUP($CH277,'Jan-2026 rates'!$L:$R,4,0),IF($LB277=40%,VLOOKUP($CH277,'Jan-2026 rates'!$L:$R,5,0),IF($LB277=30%,VLOOKUP($CH277,'Jan-2026 rates'!$L:$R,6,0),IF($LB277=100%,VLOOKUP($CH277,'Jan-2026 rates'!$L:$R,7,0),IF($LB277=60%,VLOOKUP($CH277,'Jan-2026 rates'!$L:$S,8,0),IF($LB277=80%,VLOOKUP($CH277,'Jan-2026 rates'!L:T,9,0),0))))))))</f>
        <v>0</v>
      </c>
      <c r="CK277" s="412"/>
      <c r="CL277" s="409"/>
      <c r="CM277" s="411">
        <f>IF(CL277=0,0,IF($LB277=70%,VLOOKUP($CH277,'Jan-2026 rates'!$L:$R,4,0),IF($LB277=65%,VLOOKUP($CH277,'Jan-2026 rates'!$L:$R,4,0),IF($LB277=40%,VLOOKUP($CH277,'Jan-2026 rates'!$L:$R,5,0),IF($LB277=30%,VLOOKUP($CH277,'Jan-2026 rates'!$L:$R,6,0),IF($LB277=100%,VLOOKUP($CH277,'Jan-2026 rates'!$L:$R,7,0),IF($LB277=60%,VLOOKUP($CH277,'Jan-2026 rates'!$L:$S,8,0),IF($LB277=80%,VLOOKUP($CH277,'Jan-2026 rates'!L:T,9,0),0))))))))</f>
        <v>0</v>
      </c>
      <c r="CN277" s="426">
        <v>26523000001</v>
      </c>
      <c r="CO277" s="427">
        <v>26523000024</v>
      </c>
      <c r="CP277" s="426">
        <v>26523000011</v>
      </c>
      <c r="CQ277" s="426"/>
      <c r="CR277" s="428"/>
      <c r="CS277" s="428"/>
      <c r="CT277" s="428"/>
      <c r="CU277" s="428"/>
      <c r="CV277" s="409">
        <v>3</v>
      </c>
      <c r="CW277" s="398" t="e">
        <f>IF(CV277=0,0,IF(LEN(CN277)=11,_xlfn.XLOOKUP(CN277,'Dispensed Ink Rates'!C:C,'Dispensed Ink Rates'!CS:CS),VLOOKUP(CN277,'Jan-2026 rates'!$E:$F,2,0)))</f>
        <v>#N/A</v>
      </c>
      <c r="CX277" s="409">
        <v>2</v>
      </c>
      <c r="CY277" s="398" t="e">
        <f>IF(CX277=0,0,IF(LEN(CO277)=11,_xlfn.XLOOKUP(CO277,'Dispensed Ink Rates'!C:C,'Dispensed Ink Rates'!CS:CS),VLOOKUP(CO277,'Jan-2026 rates'!$E:$F,2,0)))</f>
        <v>#N/A</v>
      </c>
      <c r="CZ277" s="409">
        <v>0.5</v>
      </c>
      <c r="DA277" s="398" t="e">
        <f>IF(CZ277=0,0,IF(LEN(CP277)=11,_xlfn.XLOOKUP(CP277,'Dispensed Ink Rates'!C:C,'Dispensed Ink Rates'!CS:CS),VLOOKUP(CP277,'Jan-2026 rates'!$E:$F,2,0)))</f>
        <v>#N/A</v>
      </c>
      <c r="DB277" s="409"/>
      <c r="DC277" s="398">
        <f>IF(DB277=0,0,IF(LEN(CQ277)=11,_xlfn.XLOOKUP(CQ277,'Dispensed Ink Rates'!C:C,'Dispensed Ink Rates'!CS:CS),VLOOKUP(CQ277,'Jan-2026 rates'!$E:$F,2,0)))</f>
        <v>0</v>
      </c>
      <c r="DD277" s="409"/>
      <c r="DE277" s="398">
        <f>IF(DD277=0,0,IF(LEN(CR277)=11,_xlfn.XLOOKUP(CR277,'Dispensed Ink Rates'!C:C,'Dispensed Ink Rates'!CS:CS),VLOOKUP(CR277,'Jan-2026 rates'!$E:$F,2,0)))</f>
        <v>0</v>
      </c>
      <c r="DF277" s="409"/>
      <c r="DG277" s="398">
        <f>IF(DF277=0,0,IF(LEN(CS277)=11,_xlfn.XLOOKUP(CS277,'Dispensed Ink Rates'!C:C,'Dispensed Ink Rates'!CS:CS),VLOOKUP(CS277,'Jan-2026 rates'!$E:$F,2,0)))</f>
        <v>0</v>
      </c>
      <c r="DH277" s="409"/>
      <c r="DI277" s="398">
        <f>IF(DH277=0,0,IF(LEN(CT277)=11,_xlfn.XLOOKUP(CT277,'Dispensed Ink Rates'!C:C,'Dispensed Ink Rates'!CS:CS),VLOOKUP(CT277,'Jan-2026 rates'!$E:$F,2,0)))</f>
        <v>0</v>
      </c>
      <c r="DJ277" s="409"/>
      <c r="DK277" s="398">
        <f>IF(DJ277=0,0,IF(LEN(CU277)=11,_xlfn.XLOOKUP(CU277,'Dispensed Ink Rates'!C:C,'Dispensed Ink Rates'!CS:CS),VLOOKUP(CU277,'Jan-2026 rates'!$E:$F,2,0)))</f>
        <v>0</v>
      </c>
      <c r="DL277" s="409" t="s">
        <v>1443</v>
      </c>
      <c r="DM277" s="409">
        <v>26</v>
      </c>
      <c r="DN277" s="411">
        <f t="shared" si="218"/>
        <v>0</v>
      </c>
      <c r="DO277" s="411">
        <f t="shared" si="219"/>
        <v>11.528169014084511</v>
      </c>
      <c r="DP277" s="410">
        <f t="shared" si="220"/>
        <v>0</v>
      </c>
      <c r="DQ277" s="405" t="s">
        <v>857</v>
      </c>
      <c r="DR277" s="409" t="s">
        <v>4264</v>
      </c>
      <c r="DS277" s="420" t="str">
        <f t="shared" si="186"/>
        <v>FLINTSL - RED</v>
      </c>
      <c r="DT277" s="409">
        <v>15</v>
      </c>
      <c r="DU277" s="411">
        <f>IF(DT277=0,0,IF($LB277=70%,VLOOKUP($DS277,'Jan-2026 rates'!$L:$R,4,0),IF($LB277=65%,VLOOKUP($DS277,'Jan-2026 rates'!$L:$R,4,0),IF($LB277=40%,VLOOKUP($DS277,'Jan-2026 rates'!$L:$R,5,0),IF($LB277=30%,VLOOKUP($DS277,'Jan-2026 rates'!$L:$R,6,0),IF($LB277=100%,VLOOKUP($DS277,'Jan-2026 rates'!$L:$R,7,0),IF($LB277=60%,VLOOKUP($DS277,'Jan-2026 rates'!$L:$S,8,0),IF($LB277=80%,VLOOKUP($DS277,'Jan-2026 rates'!L:T,9,0),0))))))))</f>
        <v>0</v>
      </c>
      <c r="DV277" s="412"/>
      <c r="DW277" s="409"/>
      <c r="DX277" s="411">
        <f>IF(DW277=0,0,IF($LB277=70%,VLOOKUP($DS277,'Jan-2026 rates'!$L:$R,4,0),IF($LB277=65%,VLOOKUP($DS277,'Jan-2026 rates'!$L:$R,4,0),IF($LB277=40%,VLOOKUP($DS277,'Jan-2026 rates'!$L:$R,5,0),IF($LB277=30%,VLOOKUP($DS277,'Jan-2026 rates'!$L:$R,6,0),IF($LB277=100%,VLOOKUP($DS277,'Jan-2026 rates'!$L:$R,7,0),IF($LB277=60%,VLOOKUP($DS277,'Jan-2026 rates'!$L:$S,8,0),IF($LB277=80%,VLOOKUP($DS277,'Jan-2026 rates'!L:T,9,0),0))))))))</f>
        <v>0</v>
      </c>
      <c r="DY277" s="413">
        <v>26523000011</v>
      </c>
      <c r="DZ277" s="413">
        <v>26521000005</v>
      </c>
      <c r="EA277" s="412"/>
      <c r="EB277" s="412"/>
      <c r="EC277" s="412"/>
      <c r="ED277" s="412"/>
      <c r="EE277" s="412"/>
      <c r="EF277" s="412"/>
      <c r="EG277" s="409">
        <v>4</v>
      </c>
      <c r="EH277" s="398" t="e">
        <f>IF(EG277=0,0,IF(LEN(DY277)=11,_xlfn.XLOOKUP(DY277,'Dispensed Ink Rates'!C:C,'Dispensed Ink Rates'!CS:CS),VLOOKUP(DY277,'Jan-2026 rates'!$E:$F,2,0)))</f>
        <v>#N/A</v>
      </c>
      <c r="EI277" s="409">
        <v>2</v>
      </c>
      <c r="EJ277" s="398" t="e">
        <f>IF(EI277=0,0,IF(LEN(DZ277)=11,_xlfn.XLOOKUP(DZ277,'Dispensed Ink Rates'!C:C,'Dispensed Ink Rates'!CS:CS),VLOOKUP(DZ277,'Jan-2026 rates'!$E:$F,2,0)))</f>
        <v>#N/A</v>
      </c>
      <c r="EK277" s="409"/>
      <c r="EL277" s="398">
        <f>IF(EK277=0,0,IF(LEN(EA277)=11,_xlfn.XLOOKUP(EA277,'Dispensed Ink Rates'!C:C,'Dispensed Ink Rates'!CS:CS),VLOOKUP(EA277,'Jan-2026 rates'!$E:$F,2,0)))</f>
        <v>0</v>
      </c>
      <c r="EM277" s="409"/>
      <c r="EN277" s="398">
        <f>IF(EM277=0,0,IF(LEN(EB277)=11,_xlfn.XLOOKUP(EB277,'Dispensed Ink Rates'!C:C,'Dispensed Ink Rates'!CS:CS),VLOOKUP(EB277,'Jan-2026 rates'!$E:$F,2,0)))</f>
        <v>0</v>
      </c>
      <c r="EO277" s="409"/>
      <c r="EP277" s="398">
        <f>IF(EO277=0,0,IF(LEN(EC277)=11,_xlfn.XLOOKUP(EC277,'Dispensed Ink Rates'!C:C,'Dispensed Ink Rates'!CS:CS),VLOOKUP(EC277,'Jan-2026 rates'!$E:$F,2,0)))</f>
        <v>0</v>
      </c>
      <c r="EQ277" s="409"/>
      <c r="ER277" s="398">
        <f>IF(EQ277=0,0,IF(LEN(ED277)=11,_xlfn.XLOOKUP(ED277,'Dispensed Ink Rates'!C:C,'Dispensed Ink Rates'!CS:CS),VLOOKUP(ED277,'Jan-2026 rates'!$E:$F,2,0)))</f>
        <v>0</v>
      </c>
      <c r="ES277" s="409"/>
      <c r="ET277" s="398">
        <f>IF(ES277=0,0,IF(LEN(EE277)=11,_xlfn.XLOOKUP(EE277,'Dispensed Ink Rates'!C:C,'Dispensed Ink Rates'!CS:CS),VLOOKUP(EE277,'Jan-2026 rates'!$E:$F,2,0)))</f>
        <v>0</v>
      </c>
      <c r="EU277" s="409"/>
      <c r="EV277" s="398">
        <f>IF(EU277=0,0,IF(LEN(EF277)=11,_xlfn.XLOOKUP(EF277,'Dispensed Ink Rates'!C:C,'Dispensed Ink Rates'!CS:CS),VLOOKUP(EF277,'Jan-2026 rates'!$E:$F,2,0)))</f>
        <v>0</v>
      </c>
      <c r="EW277" s="409" t="s">
        <v>1443</v>
      </c>
      <c r="EX277" s="409">
        <v>21</v>
      </c>
      <c r="EY277" s="411">
        <f t="shared" si="221"/>
        <v>0</v>
      </c>
      <c r="EZ277" s="411">
        <f t="shared" si="222"/>
        <v>4.816901408450704</v>
      </c>
      <c r="FA277" s="410">
        <f t="shared" si="223"/>
        <v>0</v>
      </c>
      <c r="FB277" s="405" t="s">
        <v>855</v>
      </c>
      <c r="FC277" s="409" t="s">
        <v>4265</v>
      </c>
      <c r="FD277" s="420" t="str">
        <f t="shared" si="187"/>
        <v>FLINTSL - CYAN</v>
      </c>
      <c r="FE277" s="409">
        <v>30</v>
      </c>
      <c r="FF277" s="411">
        <f>IF(FE277=0,0,IF($LB277=70%,VLOOKUP($FD277,'Jan-2026 rates'!$L:$R,4,0),IF($LB277=65%,VLOOKUP($FD277,'Jan-2026 rates'!$L:$R,4,0),IF($LB277=40%,VLOOKUP($FD277,'Jan-2026 rates'!$L:$R,5,0),IF($LB277=30%,VLOOKUP($FD277,'Jan-2026 rates'!$L:$R,6,0),IF($LB277=100%,VLOOKUP($FD277,'Jan-2026 rates'!$L:$R,7,0),IF($LB277=60%,VLOOKUP($FD277,'Jan-2026 rates'!$L:$S,8,0),IF($LB277=80%,VLOOKUP($FD277,'Jan-2026 rates'!L:T,9,0),0))))))))</f>
        <v>0</v>
      </c>
      <c r="FG277" s="412"/>
      <c r="FH277" s="409"/>
      <c r="FI277" s="411">
        <f>IF(FH277=0,0,IF($LB277=70%,VLOOKUP($FD277,'Jan-2026 rates'!$L:$R,4,0),IF($LB277=65%,VLOOKUP($FD277,'Jan-2026 rates'!$L:$R,4,0),IF($LB277=40%,VLOOKUP($FD277,'Jan-2026 rates'!$L:$R,5,0),IF($LB277=30%,VLOOKUP($FD277,'Jan-2026 rates'!$L:$R,6,0),IF($LB277=100%,VLOOKUP($FD277,'Jan-2026 rates'!$L:$R,7,0),IF($LB277=60%,VLOOKUP($FD277,'Jan-2026 rates'!$L:$S,8,0),IF($LB277=80%,VLOOKUP($FD277,'Jan-2026 rates'!L:T,9,0),0))))))))</f>
        <v>0</v>
      </c>
      <c r="FJ277" s="413" t="s">
        <v>1266</v>
      </c>
      <c r="FK277" s="413"/>
      <c r="FL277" s="413"/>
      <c r="FM277" s="412"/>
      <c r="FN277" s="412"/>
      <c r="FO277" s="412"/>
      <c r="FP277" s="412"/>
      <c r="FQ277" s="412"/>
      <c r="FR277" s="409">
        <v>2</v>
      </c>
      <c r="FS277" s="398">
        <f>IF(FR277=0,0,IF(LEN(FJ277)=11,_xlfn.XLOOKUP(FJ277,'Dispensed Ink Rates'!C:C,'Dispensed Ink Rates'!CS:CS),VLOOKUP(FJ277,'Jan-2026 rates'!$E:$F,2,0)))</f>
        <v>0</v>
      </c>
      <c r="FT277" s="409"/>
      <c r="FU277" s="398">
        <f>IF(FT277=0,0,IF(LEN(FK277)=11,_xlfn.XLOOKUP(FK277,'Dispensed Ink Rates'!C:C,'Dispensed Ink Rates'!CS:CS),VLOOKUP(FK277,'Jan-2026 rates'!$E:$F,2,0)))</f>
        <v>0</v>
      </c>
      <c r="FV277" s="409"/>
      <c r="FW277" s="398">
        <f>IF(FV277=0,0,IF(LEN(FL277)=11,_xlfn.XLOOKUP(FL277,'Dispensed Ink Rates'!C:C,'Dispensed Ink Rates'!CS:CS),VLOOKUP(FL277,'Jan-2026 rates'!$E:$F,2,0)))</f>
        <v>0</v>
      </c>
      <c r="FX277" s="409"/>
      <c r="FY277" s="398">
        <f>IF(FX277=0,0,IF(LEN(FM277)=11,_xlfn.XLOOKUP(FM277,'Dispensed Ink Rates'!C:C,'Dispensed Ink Rates'!CS:CS),VLOOKUP(FM277,'Jan-2026 rates'!$E:$F,2,0)))</f>
        <v>0</v>
      </c>
      <c r="FZ277" s="409"/>
      <c r="GA277" s="398">
        <f>IF(FZ277=0,0,IF(LEN(FN277)=11,_xlfn.XLOOKUP(FN277,'Dispensed Ink Rates'!C:C,'Dispensed Ink Rates'!CS:CS),VLOOKUP(FN277,'Jan-2026 rates'!$E:$F,2,0)))</f>
        <v>0</v>
      </c>
      <c r="GB277" s="409"/>
      <c r="GC277" s="398">
        <f>IF(GB277=0,0,IF(LEN(FO277)=11,_xlfn.XLOOKUP(FO277,'Dispensed Ink Rates'!C:C,'Dispensed Ink Rates'!CS:CS),VLOOKUP(FO277,'Jan-2026 rates'!$E:$F,2,0)))</f>
        <v>0</v>
      </c>
      <c r="GD277" s="409"/>
      <c r="GE277" s="398">
        <f>IF(GD277=0,0,IF(LEN(FP277)=11,_xlfn.XLOOKUP(FP277,'Dispensed Ink Rates'!C:C,'Dispensed Ink Rates'!CS:CS),VLOOKUP(FP277,'Jan-2026 rates'!$E:$F,2,0)))</f>
        <v>0</v>
      </c>
      <c r="GF277" s="409"/>
      <c r="GG277" s="398">
        <f>IF(GF277=0,0,IF(LEN(FQ277)=11,_xlfn.XLOOKUP(FQ277,'Dispensed Ink Rates'!C:C,'Dispensed Ink Rates'!CS:CS),VLOOKUP(FQ277,'Jan-2026 rates'!$E:$F,2,0)))</f>
        <v>0</v>
      </c>
      <c r="GH277" s="409" t="s">
        <v>1443</v>
      </c>
      <c r="GI277" s="409">
        <v>29</v>
      </c>
      <c r="GJ277" s="411">
        <f t="shared" si="224"/>
        <v>0</v>
      </c>
      <c r="GK277" s="411">
        <f t="shared" si="225"/>
        <v>6.2112676056338003</v>
      </c>
      <c r="GL277" s="410">
        <f t="shared" si="226"/>
        <v>0</v>
      </c>
      <c r="GM277" s="405" t="s">
        <v>544</v>
      </c>
      <c r="GN277" s="409" t="s">
        <v>4266</v>
      </c>
      <c r="GO277" s="420" t="str">
        <f t="shared" si="188"/>
        <v>FLINTSL - MAGENTA</v>
      </c>
      <c r="GP277" s="409">
        <v>29</v>
      </c>
      <c r="GQ277" s="411">
        <f>IF(GP277=0,0,IF($LB277=70%,VLOOKUP($GO277,'Jan-2026 rates'!$L:$R,4,0),IF($LB277=65%,VLOOKUP($GO277,'Jan-2026 rates'!$L:$R,4,0),IF($LB277=40%,VLOOKUP($GO277,'Jan-2026 rates'!$L:$R,5,0),IF($LB277=30%,VLOOKUP($GO277,'Jan-2026 rates'!$L:$R,6,0),IF($LB277=100%,VLOOKUP($GO277,'Jan-2026 rates'!$L:$R,7,0),IF($LB277=60%,VLOOKUP($GO277,'Jan-2026 rates'!$L:$S,8,0),IF($LB277=80%,VLOOKUP($GO277,'Jan-2026 rates'!L:T,9,0),0))))))))</f>
        <v>0</v>
      </c>
      <c r="GR277" s="412"/>
      <c r="GS277" s="409"/>
      <c r="GT277" s="411">
        <f>IF(GS277=0,0,IF($LB277=70%,VLOOKUP($GO277,'Jan-2026 rates'!$L:$R,4,0),IF($LB277=65%,VLOOKUP($GO277,'Jan-2026 rates'!$L:$R,4,0),IF($LB277=40%,VLOOKUP($GO277,'Jan-2026 rates'!$L:$R,5,0),IF($LB277=30%,VLOOKUP($GO277,'Jan-2026 rates'!$L:$R,6,0),IF($LB277=100%,VLOOKUP($GO277,'Jan-2026 rates'!$L:$R,7,0),IF($LB277=60%,VLOOKUP($GO277,'Jan-2026 rates'!$L:$S,8,0),IF($LB277=80%,VLOOKUP($GO277,'Jan-2026 rates'!L:T,9,0),0))))))))</f>
        <v>0</v>
      </c>
      <c r="GU277" s="413">
        <v>26521000005</v>
      </c>
      <c r="GV277" s="413"/>
      <c r="GW277" s="412"/>
      <c r="GX277" s="412"/>
      <c r="GY277" s="412"/>
      <c r="GZ277" s="412"/>
      <c r="HA277" s="412"/>
      <c r="HB277" s="412"/>
      <c r="HC277" s="409">
        <v>4</v>
      </c>
      <c r="HD277" s="398" t="e">
        <f>IF(HC277=0,0,IF(LEN(GU277)=11,_xlfn.XLOOKUP(GU277,'Dispensed Ink Rates'!C:C,'Dispensed Ink Rates'!CS:CS),VLOOKUP(GU277,'Jan-2026 rates'!$E:$F,2,0)))</f>
        <v>#N/A</v>
      </c>
      <c r="HE277" s="409"/>
      <c r="HF277" s="398">
        <f>IF(HE277=0,0,IF(LEN(GV277)=11,_xlfn.XLOOKUP(GV277,'Dispensed Ink Rates'!C:C,'Dispensed Ink Rates'!CS:CS),VLOOKUP(GV277,'Jan-2026 rates'!$E:$F,2,0)))</f>
        <v>0</v>
      </c>
      <c r="HG277" s="409"/>
      <c r="HH277" s="398">
        <f>IF(HG277=0,0,IF(LEN(GW277)=11,_xlfn.XLOOKUP(GW277,'Dispensed Ink Rates'!C:C,'Dispensed Ink Rates'!CS:CS),VLOOKUP(GW277,'Jan-2026 rates'!$E:$F,2,0)))</f>
        <v>0</v>
      </c>
      <c r="HI277" s="409"/>
      <c r="HJ277" s="398">
        <f>IF(HI277=0,0,IF(LEN(GX277)=11,_xlfn.XLOOKUP(GX277,'Dispensed Ink Rates'!C:C,'Dispensed Ink Rates'!CS:CS),VLOOKUP(GX277,'Jan-2026 rates'!$E:$F,2,0)))</f>
        <v>0</v>
      </c>
      <c r="HK277" s="409"/>
      <c r="HL277" s="398">
        <f>IF(HK277=0,0,IF(LEN(GY277)=11,_xlfn.XLOOKUP(GY277,'Dispensed Ink Rates'!C:C,'Dispensed Ink Rates'!CS:CS),VLOOKUP(GY277,'Jan-2026 rates'!$E:$F,2,0)))</f>
        <v>0</v>
      </c>
      <c r="HM277" s="409"/>
      <c r="HN277" s="398">
        <f>IF(HM277=0,0,IF(LEN(GZ277)=11,_xlfn.XLOOKUP(GZ277,'Dispensed Ink Rates'!C:C,'Dispensed Ink Rates'!CS:CS),VLOOKUP(GZ277,'Jan-2026 rates'!$E:$F,2,0)))</f>
        <v>0</v>
      </c>
      <c r="HO277" s="409"/>
      <c r="HP277" s="398">
        <f>IF(HO277=0,0,IF(LEN(HA277)=11,_xlfn.XLOOKUP(HA277,'Dispensed Ink Rates'!C:C,'Dispensed Ink Rates'!CS:CS),VLOOKUP(HA277,'Jan-2026 rates'!$E:$F,2,0)))</f>
        <v>0</v>
      </c>
      <c r="HQ277" s="409"/>
      <c r="HR277" s="398">
        <f>IF(HQ277=0,0,IF(LEN(HB277)=11,_xlfn.XLOOKUP(HB277,'Dispensed Ink Rates'!C:C,'Dispensed Ink Rates'!CS:CS),VLOOKUP(HB277,'Jan-2026 rates'!$E:$F,2,0)))</f>
        <v>0</v>
      </c>
      <c r="HS277" s="409" t="s">
        <v>1443</v>
      </c>
      <c r="HT277" s="409">
        <v>26</v>
      </c>
      <c r="HU277" s="411">
        <f t="shared" si="227"/>
        <v>0</v>
      </c>
      <c r="HV277" s="411">
        <f t="shared" si="228"/>
        <v>11.816901408450704</v>
      </c>
      <c r="HW277" s="414">
        <f t="shared" si="229"/>
        <v>0</v>
      </c>
      <c r="HX277" s="405" t="s">
        <v>545</v>
      </c>
      <c r="HY277" s="409" t="s">
        <v>4267</v>
      </c>
      <c r="HZ277" s="420" t="str">
        <f t="shared" si="189"/>
        <v>FLINTSL - YELLOW</v>
      </c>
      <c r="IA277" s="409">
        <v>30</v>
      </c>
      <c r="IB277" s="411">
        <f>IF(IA277=0,0,IF($LB277=70%,VLOOKUP($HZ277,'Jan-2026 rates'!$L:$R,4,0),IF($LB277=65%,VLOOKUP($HZ277,'Jan-2026 rates'!$L:$R,4,0),IF($LB277=40%,VLOOKUP($HZ277,'Jan-2026 rates'!$L:$R,5,0),IF($LB277=30%,VLOOKUP($HZ277,'Jan-2026 rates'!$L:$R,6,0),IF($LB277=100%,VLOOKUP($HZ277,'Jan-2026 rates'!$L:$R,7,0),IF($LB277=60%,VLOOKUP($HZ277,'Jan-2026 rates'!$L:$S,8,0),IF($LB277=80%,VLOOKUP($HZ277,'Jan-2026 rates'!L:T,9,0),0))))))))</f>
        <v>0</v>
      </c>
      <c r="IC277" s="412"/>
      <c r="ID277" s="409"/>
      <c r="IE277" s="411">
        <f>IF(ID277=0,0,IF($LB277=70%,VLOOKUP($HZ277,'Jan-2026 rates'!$L:$R,4,0),IF($LB277=65%,VLOOKUP($HZ277,'Jan-2026 rates'!$L:$R,4,0),IF($LB277=40%,VLOOKUP($HZ277,'Jan-2026 rates'!$L:$R,5,0),IF($LB277=30%,VLOOKUP($HZ277,'Jan-2026 rates'!$L:$R,6,0),IF($LB277=100%,VLOOKUP($HZ277,'Jan-2026 rates'!$L:$R,7,0),IF($LB277=60%,VLOOKUP($HZ277,'Jan-2026 rates'!$L:$S,8,0),IF($LB277=80%,VLOOKUP($HZ277,'Jan-2026 rates'!L:T,9,0),0))))))))</f>
        <v>0</v>
      </c>
      <c r="IF277" s="412">
        <v>26523000001</v>
      </c>
      <c r="IG277" s="413" t="s">
        <v>1266</v>
      </c>
      <c r="IH277" s="412"/>
      <c r="II277" s="412"/>
      <c r="IJ277" s="412"/>
      <c r="IK277" s="412"/>
      <c r="IL277" s="412"/>
      <c r="IM277" s="412"/>
      <c r="IN277" s="409">
        <v>30</v>
      </c>
      <c r="IO277" s="398" t="e">
        <f>IF(IN277=0,0,IF(LEN(IF277)=11,_xlfn.XLOOKUP(IF277,'Dispensed Ink Rates'!C:C,'Dispensed Ink Rates'!CS:CS),VLOOKUP(IF277,'Jan-2026 rates'!$E:$F,2,0)))</f>
        <v>#N/A</v>
      </c>
      <c r="IP277" s="409">
        <v>10</v>
      </c>
      <c r="IQ277" s="398">
        <f>IF(IP277=0,0,IF(LEN(IG277)=11,_xlfn.XLOOKUP(IG277,'Dispensed Ink Rates'!C:C,'Dispensed Ink Rates'!CS:CS),VLOOKUP(IG277,'Jan-2026 rates'!$E:$F,2,0)))</f>
        <v>0</v>
      </c>
      <c r="IR277" s="409"/>
      <c r="IS277" s="398">
        <f>IF(IR277=0,0,IF(LEN(IH277)=11,_xlfn.XLOOKUP(IH277,'Dispensed Ink Rates'!C:C,'Dispensed Ink Rates'!CS:CS),VLOOKUP(IH277,'Jan-2026 rates'!$E:$F,2,0)))</f>
        <v>0</v>
      </c>
      <c r="IT277" s="409"/>
      <c r="IU277" s="398">
        <f>IF(IT277=0,0,IF(LEN(II277)=11,_xlfn.XLOOKUP(II277,'Dispensed Ink Rates'!C:C,'Dispensed Ink Rates'!CS:CS),VLOOKUP(II277,'Jan-2026 rates'!$E:$F,2,0)))</f>
        <v>0</v>
      </c>
      <c r="IV277" s="409"/>
      <c r="IW277" s="398">
        <f>IF(IV277=0,0,IF(LEN(IJ277)=11,_xlfn.XLOOKUP(IJ277,'Dispensed Ink Rates'!C:C,'Dispensed Ink Rates'!CS:CS),VLOOKUP(IJ277,'Jan-2026 rates'!$E:$F,2,0)))</f>
        <v>0</v>
      </c>
      <c r="IX277" s="409"/>
      <c r="IY277" s="398">
        <f>IF(IX277=0,0,IF(LEN(IK277)=11,_xlfn.XLOOKUP(IK277,'Dispensed Ink Rates'!C:C,'Dispensed Ink Rates'!CS:CS),VLOOKUP(IK277,'Jan-2026 rates'!$E:$F,2,0)))</f>
        <v>0</v>
      </c>
      <c r="IZ277" s="409"/>
      <c r="JA277" s="398">
        <f>IF(IZ277=0,0,IF(LEN(IL277)=11,_xlfn.XLOOKUP(IL277,'Dispensed Ink Rates'!C:C,'Dispensed Ink Rates'!CS:CS),VLOOKUP(IL277,'Jan-2026 rates'!$E:$F,2,0)))</f>
        <v>0</v>
      </c>
      <c r="JB277" s="409"/>
      <c r="JC277" s="398">
        <f>IF(JB277=0,0,IF(LEN(IM277)=11,_xlfn.XLOOKUP(IM277,'Dispensed Ink Rates'!C:C,'Dispensed Ink Rates'!CS:CS),VLOOKUP(IM277,'Jan-2026 rates'!$E:$F,2,0)))</f>
        <v>0</v>
      </c>
      <c r="JD277" s="409" t="s">
        <v>1443</v>
      </c>
      <c r="JE277" s="409">
        <v>28</v>
      </c>
      <c r="JF277" s="411">
        <f t="shared" si="230"/>
        <v>0</v>
      </c>
      <c r="JG277" s="411">
        <f t="shared" si="231"/>
        <v>74.112676056338032</v>
      </c>
      <c r="JH277" s="410">
        <f t="shared" si="232"/>
        <v>0</v>
      </c>
      <c r="JI277" s="405" t="s">
        <v>856</v>
      </c>
      <c r="JJ277" s="409" t="s">
        <v>4268</v>
      </c>
      <c r="JK277" s="420" t="str">
        <f t="shared" si="190"/>
        <v>FLINTSL - WHITE</v>
      </c>
      <c r="JL277" s="409">
        <v>24</v>
      </c>
      <c r="JM277" s="411">
        <f>IF(JL277=0,0,IF($LB277=70%,VLOOKUP($JK277,'Jan-2026 rates'!$L:$R,4,0),IF($LB277=65%,VLOOKUP($JK277,'Jan-2026 rates'!$L:$R,4,0),IF($LB277=40%,VLOOKUP($JK277,'Jan-2026 rates'!$L:$R,5,0),IF($LB277=30%,VLOOKUP($JK277,'Jan-2026 rates'!$L:$R,6,0),IF($LB277=100%,VLOOKUP($JK277,'Jan-2026 rates'!$L:$R,7,0),IF($LB277=60%,VLOOKUP($JK277,'Jan-2026 rates'!$L:$S,8,0),IF($LB277=80%,VLOOKUP($JK277,'Jan-2026 rates'!L:T,9,0),0))))))))</f>
        <v>0</v>
      </c>
      <c r="JN277" s="412"/>
      <c r="JO277" s="409"/>
      <c r="JP277" s="411">
        <f>IF(JO277=0,0,IF($LB277=70%,VLOOKUP($JK277,'Jan-2026 rates'!$L:$R,4,0),IF($LB277=65%,VLOOKUP($JK277,'Jan-2026 rates'!$L:$R,4,0),IF($LB277=40%,VLOOKUP($JK277,'Jan-2026 rates'!$L:$R,5,0),IF($LB277=30%,VLOOKUP($JK277,'Jan-2026 rates'!$L:$R,6,0),IF($LB277=100%,VLOOKUP($JK277,'Jan-2026 rates'!$L:$R,7,0),IF($LB277=60%,VLOOKUP($JK277,'Jan-2026 rates'!$L:$S,8,0),IF($LB277=80%,VLOOKUP($JK277,'Jan-2026 rates'!L:T,9,0),0))))))))</f>
        <v>0</v>
      </c>
      <c r="JQ277" s="413" t="s">
        <v>484</v>
      </c>
      <c r="JR277" s="412"/>
      <c r="JS277" s="413"/>
      <c r="JT277" s="413"/>
      <c r="JU277" s="412"/>
      <c r="JV277" s="412"/>
      <c r="JW277" s="412"/>
      <c r="JX277" s="412"/>
      <c r="JY277" s="409">
        <v>60</v>
      </c>
      <c r="JZ277" s="398">
        <f>IF(JY277=0,0,IF(LEN(JQ277)=11,_xlfn.XLOOKUP(JQ277,'Dispensed Ink Rates'!C:C,'Dispensed Ink Rates'!CS:CS),VLOOKUP(JQ277,'Jan-2026 rates'!$E:$F,2,0)))</f>
        <v>0</v>
      </c>
      <c r="KA277" s="409"/>
      <c r="KB277" s="398">
        <f>IF(KA277=0,0,IF(LEN(JR277)=11,_xlfn.XLOOKUP(JR277,'Dispensed Ink Rates'!C:C,'Dispensed Ink Rates'!CS:CS),VLOOKUP(JR277,'Jan-2026 rates'!$E:$F,2,0)))</f>
        <v>0</v>
      </c>
      <c r="KC277" s="409"/>
      <c r="KD277" s="398">
        <f>IF(KC277=0,0,IF(LEN(JS277)=11,_xlfn.XLOOKUP(JS277,'Dispensed Ink Rates'!C:C,'Dispensed Ink Rates'!CS:CS),VLOOKUP(JS277,'Jan-2026 rates'!$E:$F,2,0)))</f>
        <v>0</v>
      </c>
      <c r="KE277" s="409"/>
      <c r="KF277" s="398">
        <f>IF(KE277=0,0,IF(LEN(JT277)=11,_xlfn.XLOOKUP(JT277,'Dispensed Ink Rates'!C:C,'Dispensed Ink Rates'!CS:CS),VLOOKUP(JT277,'Jan-2026 rates'!$E:$F,2,0)))</f>
        <v>0</v>
      </c>
      <c r="KG277" s="409"/>
      <c r="KH277" s="398">
        <f>IF(KG277=0,0,IF(LEN(JU277)=11,_xlfn.XLOOKUP(JU277,'Dispensed Ink Rates'!C:C,'Dispensed Ink Rates'!CS:CS),VLOOKUP(JU277,'Jan-2026 rates'!$E:$F,2,0)))</f>
        <v>0</v>
      </c>
      <c r="KI277" s="409"/>
      <c r="KJ277" s="398">
        <f>IF(KI277=0,0,IF(LEN(JV277)=11,_xlfn.XLOOKUP(JV277,'Dispensed Ink Rates'!C:C,'Dispensed Ink Rates'!CS:CS),VLOOKUP(JV277,'Jan-2026 rates'!$E:$F,2,0)))</f>
        <v>0</v>
      </c>
      <c r="KK277" s="409"/>
      <c r="KL277" s="398">
        <f>IF(KK277=0,0,IF(LEN(JW277)=11,_xlfn.XLOOKUP(JW277,'Dispensed Ink Rates'!C:C,'Dispensed Ink Rates'!CS:CS),VLOOKUP(JW277,'Jan-2026 rates'!$E:$F,2,0)))</f>
        <v>0</v>
      </c>
      <c r="KM277" s="428"/>
      <c r="KN277" s="398">
        <f>IF(KM277=0,0,IF(LEN(JX277)=11,_xlfn.XLOOKUP(JX277,'Dispensed Ink Rates'!C:C,'Dispensed Ink Rates'!CS:CS),VLOOKUP(JX277,'Jan-2026 rates'!$E:$F,2,0)))</f>
        <v>0</v>
      </c>
      <c r="KO277" s="409" t="s">
        <v>1443</v>
      </c>
      <c r="KP277" s="409">
        <v>30</v>
      </c>
      <c r="KQ277" s="411">
        <f t="shared" si="233"/>
        <v>0</v>
      </c>
      <c r="KR277" s="411">
        <f t="shared" si="234"/>
        <v>102.16901408450704</v>
      </c>
      <c r="KS277" s="410">
        <f t="shared" si="235"/>
        <v>0</v>
      </c>
      <c r="KT277" s="409">
        <v>3</v>
      </c>
      <c r="KU277" s="409">
        <v>5</v>
      </c>
      <c r="KV277" s="409">
        <v>5</v>
      </c>
      <c r="KW277" s="409">
        <v>3</v>
      </c>
      <c r="KX277" s="409">
        <v>2</v>
      </c>
      <c r="KY277" s="409">
        <v>3</v>
      </c>
      <c r="KZ277" s="409">
        <v>20</v>
      </c>
      <c r="LA277" s="409">
        <v>30</v>
      </c>
      <c r="LB277" s="415">
        <v>0.8</v>
      </c>
      <c r="LC277" s="415">
        <v>0.2</v>
      </c>
      <c r="LD277" s="415"/>
      <c r="LE277" s="415"/>
      <c r="LF277" s="415"/>
      <c r="LG277" s="409">
        <v>0</v>
      </c>
      <c r="LH277" s="409">
        <f>30+24+48+12</f>
        <v>114</v>
      </c>
      <c r="LI277" s="409">
        <v>0</v>
      </c>
      <c r="LJ277" s="409">
        <v>0</v>
      </c>
      <c r="LK277" s="416">
        <f t="shared" si="191"/>
        <v>114</v>
      </c>
      <c r="LL277" s="416">
        <f t="shared" si="192"/>
        <v>114</v>
      </c>
      <c r="LM277" s="417">
        <f t="shared" si="193"/>
        <v>91.2</v>
      </c>
      <c r="LN277" s="417">
        <f>VLOOKUP($LM$8,'Jan-2026 rates'!$H:$I,2,0)</f>
        <v>0</v>
      </c>
      <c r="LO277" s="417">
        <f t="shared" si="194"/>
        <v>22.8</v>
      </c>
      <c r="LP277" s="417">
        <f>VLOOKUP($LO$8,'Jan-2026 rates'!$H:$I,2,0)</f>
        <v>0</v>
      </c>
      <c r="LQ277" s="417">
        <f t="shared" si="195"/>
        <v>0</v>
      </c>
      <c r="LR277" s="417">
        <f>VLOOKUP($LQ$8,'Jan-2026 rates'!$H:$I,2,0)</f>
        <v>0</v>
      </c>
      <c r="LS277" s="417">
        <f t="shared" si="196"/>
        <v>0</v>
      </c>
      <c r="LT277" s="417">
        <f>VLOOKUP($LS$8,'Jan-2026 rates'!$H:$I,2,0)</f>
        <v>0</v>
      </c>
      <c r="LU277" s="417">
        <f t="shared" si="197"/>
        <v>0</v>
      </c>
      <c r="LV277" s="417">
        <f>VLOOKUP($LU$8,'Jan-2026 rates'!$H:$I,2,0)</f>
        <v>0</v>
      </c>
      <c r="LW277" s="417">
        <f t="shared" si="198"/>
        <v>0</v>
      </c>
      <c r="LX277" s="417">
        <f t="shared" si="199"/>
        <v>0</v>
      </c>
      <c r="LY277" s="418">
        <f t="shared" si="200"/>
        <v>0</v>
      </c>
      <c r="LZ277" s="417"/>
      <c r="MA277" s="435">
        <f t="shared" si="201"/>
        <v>126.5</v>
      </c>
      <c r="MB277" s="282">
        <f t="shared" si="202"/>
        <v>225.5</v>
      </c>
      <c r="MC277" s="283">
        <v>170</v>
      </c>
      <c r="MD277" s="284" t="str">
        <f t="shared" si="203"/>
        <v>FLINTSLFLINTSLFLINTSLFLINTSLFLINTSLFLINTSLFLINTSLFLINTSL</v>
      </c>
      <c r="ME277" s="293" t="str">
        <f t="shared" si="204"/>
        <v>+</v>
      </c>
      <c r="MF277" s="293" t="str">
        <f t="shared" si="205"/>
        <v>+</v>
      </c>
      <c r="MG277" s="293" t="str">
        <f t="shared" si="206"/>
        <v>+</v>
      </c>
      <c r="MH277" s="293" t="str">
        <f t="shared" si="207"/>
        <v>+</v>
      </c>
      <c r="MI277" s="293" t="str">
        <f t="shared" si="208"/>
        <v>+</v>
      </c>
      <c r="MJ277" s="293" t="str">
        <f t="shared" si="209"/>
        <v>+</v>
      </c>
      <c r="MK277" s="293" t="str">
        <f t="shared" si="210"/>
        <v>+</v>
      </c>
      <c r="ML277" s="293" t="str">
        <f t="shared" si="211"/>
        <v>+</v>
      </c>
      <c r="MM277" s="3" t="b">
        <f t="array" ref="MM277">OR(ME277:ML277="-")</f>
        <v>0</v>
      </c>
      <c r="MN277" s="285"/>
      <c r="MO277" s="401"/>
      <c r="MP277" s="286"/>
      <c r="MQ277" s="286"/>
      <c r="MR277" s="402"/>
      <c r="MS277" s="400"/>
      <c r="NH277" s="422"/>
      <c r="NJ277" s="421"/>
    </row>
    <row r="278" spans="1:374" s="1" customFormat="1" ht="16.5">
      <c r="A278" s="403">
        <v>46044</v>
      </c>
      <c r="B278" s="404" t="s">
        <v>1015</v>
      </c>
      <c r="C278" s="405" t="s">
        <v>4269</v>
      </c>
      <c r="D278" s="406">
        <v>171</v>
      </c>
      <c r="E278" s="404">
        <v>296</v>
      </c>
      <c r="F278" s="407">
        <v>18600</v>
      </c>
      <c r="G278" s="407" t="s">
        <v>1019</v>
      </c>
      <c r="H278" s="408" t="s">
        <v>1017</v>
      </c>
      <c r="I278" s="409">
        <v>1.83</v>
      </c>
      <c r="J278" s="405" t="s">
        <v>543</v>
      </c>
      <c r="K278" s="404" t="s">
        <v>4270</v>
      </c>
      <c r="L278" s="419" t="str">
        <f t="shared" si="184"/>
        <v>FLINTSL - BLACK</v>
      </c>
      <c r="M278" s="404">
        <v>26</v>
      </c>
      <c r="N278" s="410">
        <f>IF(M278=0,0,IF($LB278=70%,VLOOKUP($L278,'Jan-2026 rates'!$L:$R,4,0),IF($LB278=65%,VLOOKUP($L278,'Jan-2026 rates'!$L:$R,4,0),IF($LB278=40%,VLOOKUP($L278,'Jan-2026 rates'!$L:$R,5,0),IF($LB278=30%,VLOOKUP($L278,'Jan-2026 rates'!$L:$R,6,0),IF($LB278=100%,VLOOKUP($L278,'Jan-2026 rates'!$L:$R,7,0),IF($LB278=60%,VLOOKUP($L278,'Jan-2026 rates'!$L:$S,8,0),IF($LB278=80%,VLOOKUP($L278,'Jan-2026 rates'!L:T,9,0),0))))))))</f>
        <v>0</v>
      </c>
      <c r="O278" s="406"/>
      <c r="P278" s="404"/>
      <c r="Q278" s="410">
        <f>IF(P278=0,0,IF($LB278=70%,VLOOKUP($L278,'Jan-2026 rates'!$L:$R,4,0),IF($LB278=65%,VLOOKUP($L278,'Jan-2026 rates'!$L:$R,4,0),IF($LB278=40%,VLOOKUP($L278,'Jan-2026 rates'!$L:$R,5,0),IF($LB278=30%,VLOOKUP($L278,'Jan-2026 rates'!$L:$R,6,0),IF($LB278=100%,VLOOKUP($L278,'Jan-2026 rates'!$L:$R,7,0),IF($LB278=60%,VLOOKUP($L278,'Jan-2026 rates'!$L:$S,8,0),IF($LB278=80%,VLOOKUP($L278,'Jan-2026 rates'!L:T,9,0),0))))))))</f>
        <v>0</v>
      </c>
      <c r="R278" s="406">
        <v>26523000027</v>
      </c>
      <c r="S278" s="406"/>
      <c r="T278" s="406"/>
      <c r="U278" s="406"/>
      <c r="V278" s="406"/>
      <c r="W278" s="406"/>
      <c r="X278" s="406"/>
      <c r="Y278" s="406"/>
      <c r="Z278" s="404">
        <v>1</v>
      </c>
      <c r="AA278" s="398" t="e">
        <f>IF(Z278=0,0,IF(LEN(R278)=11,_xlfn.XLOOKUP(R278,'Dispensed Ink Rates'!C:C,'Dispensed Ink Rates'!CS:CS),VLOOKUP(R278,'Jan-2026 rates'!$E:$F,2,0)))</f>
        <v>#N/A</v>
      </c>
      <c r="AB278" s="404"/>
      <c r="AC278" s="398">
        <f>IF(AB278=0,0,IF(LEN(S278)=11,_xlfn.XLOOKUP(S278,'Dispensed Ink Rates'!C:C,'Dispensed Ink Rates'!CS:CS),VLOOKUP(S278,'Jan-2026 rates'!$E:$F,2,0)))</f>
        <v>0</v>
      </c>
      <c r="AD278" s="404"/>
      <c r="AE278" s="398">
        <f>IF(AD278=0,0,IF(LEN(T278)=11,_xlfn.XLOOKUP(T278,'Dispensed Ink Rates'!C:C,'Dispensed Ink Rates'!CS:CS),VLOOKUP(T278,'Jan-2026 rates'!$E:$F,2,0)))</f>
        <v>0</v>
      </c>
      <c r="AF278" s="404"/>
      <c r="AG278" s="398">
        <f>IF(AF278=0,0,IF(LEN(U278)=11,_xlfn.XLOOKUP(U278,'Dispensed Ink Rates'!C:C,'Dispensed Ink Rates'!CS:CS),VLOOKUP(U278,'Jan-2026 rates'!$E:$F,2,0)))</f>
        <v>0</v>
      </c>
      <c r="AH278" s="404"/>
      <c r="AI278" s="398">
        <f>IF(AH278=0,0,IF(LEN(V278)=11,_xlfn.XLOOKUP(V278,'Dispensed Ink Rates'!C:C,'Dispensed Ink Rates'!CS:CS),VLOOKUP(V278,'Jan-2026 rates'!$E:$F,2,0)))</f>
        <v>0</v>
      </c>
      <c r="AJ278" s="404"/>
      <c r="AK278" s="398">
        <f>IF(AJ278=0,0,IF(LEN(W278)=11,_xlfn.XLOOKUP(W278,'Dispensed Ink Rates'!C:C,'Dispensed Ink Rates'!CS:CS),VLOOKUP(W278,'Jan-2026 rates'!$E:$F,2,0)))</f>
        <v>0</v>
      </c>
      <c r="AL278" s="404"/>
      <c r="AM278" s="398">
        <f>IF(AL278=0,0,IF(LEN(X278)=11,_xlfn.XLOOKUP(X278,'Dispensed Ink Rates'!C:C,'Dispensed Ink Rates'!CS:CS),VLOOKUP(X278,'Jan-2026 rates'!$E:$F,2,0)))</f>
        <v>0</v>
      </c>
      <c r="AN278" s="404"/>
      <c r="AO278" s="398">
        <f>IF(AN278=0,0,IF(LEN(Y278)=11,_xlfn.XLOOKUP(Y278,'Dispensed Ink Rates'!C:C,'Dispensed Ink Rates'!CS:CS),VLOOKUP(Y278,'Jan-2026 rates'!$E:$F,2,0)))</f>
        <v>0</v>
      </c>
      <c r="AP278" s="409" t="s">
        <v>1443</v>
      </c>
      <c r="AQ278" s="409">
        <v>23</v>
      </c>
      <c r="AR278" s="410">
        <f t="shared" si="212"/>
        <v>0</v>
      </c>
      <c r="AS278" s="411">
        <f t="shared" si="213"/>
        <v>6.8493150684931514</v>
      </c>
      <c r="AT278" s="410">
        <f t="shared" si="214"/>
        <v>0</v>
      </c>
      <c r="AU278" s="405" t="s">
        <v>546</v>
      </c>
      <c r="AV278" s="409" t="s">
        <v>4271</v>
      </c>
      <c r="AW278" s="420" t="str">
        <f t="shared" si="183"/>
        <v>FLINTSL - REFLEX BLUE</v>
      </c>
      <c r="AX278" s="409">
        <v>22</v>
      </c>
      <c r="AY278" s="411">
        <f>IF(AX278=0,0,IF($LB278=70%,VLOOKUP($AW278,'Jan-2026 rates'!$L:$R,4,0),IF($LB278=65%,VLOOKUP($AW278,'Jan-2026 rates'!$L:$R,4,0),IF($LB278=40%,VLOOKUP($AW278,'Jan-2026 rates'!$L:$R,5,0),IF($LB278=30%,VLOOKUP($AW278,'Jan-2026 rates'!$L:$R,6,0),IF($LB278=100%,VLOOKUP($AW278,'Jan-2026 rates'!$L:$R,7,0),IF($LB278=60%,VLOOKUP($AW278,'Jan-2026 rates'!$L:$S,8,0),IF($LB278=80%,VLOOKUP($AW278,'Jan-2026 rates'!L:T,9,0),0))))))))</f>
        <v>0</v>
      </c>
      <c r="AZ278" s="412"/>
      <c r="BA278" s="409"/>
      <c r="BB278" s="411">
        <f>IF(BA278=0,0,IF($LB278=70%,VLOOKUP($AW278,'Jan-2026 rates'!$L:$R,4,0),IF($LB278=65%,VLOOKUP($AW278,'Jan-2026 rates'!$L:$R,4,0),IF($LB278=40%,VLOOKUP($AW278,'Jan-2026 rates'!$L:$R,5,0),IF($LB278=30%,VLOOKUP($AW278,'Jan-2026 rates'!$L:$R,6,0),IF($LB278=100%,VLOOKUP($AW278,'Jan-2026 rates'!$L:$R,7,0),IF($LB278=60%,VLOOKUP($AW278,'Jan-2026 rates'!$L:$S,8,0),IF($LB278=80%,VLOOKUP($AW278,'Jan-2026 rates'!L:T,9,0),0))))))))</f>
        <v>0</v>
      </c>
      <c r="BC278" s="413">
        <v>26521000006</v>
      </c>
      <c r="BD278" s="412">
        <v>26522000002</v>
      </c>
      <c r="BE278" s="412"/>
      <c r="BF278" s="413"/>
      <c r="BG278" s="412"/>
      <c r="BH278" s="412"/>
      <c r="BI278" s="412"/>
      <c r="BJ278" s="412"/>
      <c r="BK278" s="409">
        <v>2</v>
      </c>
      <c r="BL278" s="398" t="e">
        <f>IF(BK278=0,0,IF(LEN(BC278)=11,_xlfn.XLOOKUP(BC278,'Dispensed Ink Rates'!C:C,'Dispensed Ink Rates'!CS:CS),VLOOKUP(BC278,'Jan-2026 rates'!$E:$F,2,0)))</f>
        <v>#N/A</v>
      </c>
      <c r="BM278" s="409">
        <v>2</v>
      </c>
      <c r="BN278" s="398" t="e">
        <f>IF(BM278=0,0,IF(LEN(BD278)=11,_xlfn.XLOOKUP(BD278,'Dispensed Ink Rates'!C:C,'Dispensed Ink Rates'!CS:CS),VLOOKUP(BD278,'Jan-2026 rates'!$E:$F,2,0)))</f>
        <v>#N/A</v>
      </c>
      <c r="BO278" s="409"/>
      <c r="BP278" s="398">
        <f>IF(BO278=0,0,IF(LEN(BE278)=11,_xlfn.XLOOKUP(BE278,'Dispensed Ink Rates'!C:C,'Dispensed Ink Rates'!CS:CS),VLOOKUP(BE278,'Jan-2026 rates'!$E:$F,2,0)))</f>
        <v>0</v>
      </c>
      <c r="BQ278" s="409"/>
      <c r="BR278" s="398">
        <f>IF(BQ278=0,0,IF(LEN(BF278)=11,_xlfn.XLOOKUP(BF278,'Dispensed Ink Rates'!C:C,'Dispensed Ink Rates'!CS:CS),VLOOKUP(BF278,'Jan-2026 rates'!$E:$F,2,0)))</f>
        <v>0</v>
      </c>
      <c r="BS278" s="409"/>
      <c r="BT278" s="398">
        <f>IF(BS278=0,0,IF(LEN(BG278)=11,_xlfn.XLOOKUP(BG278,'Dispensed Ink Rates'!C:C,'Dispensed Ink Rates'!CS:CS),VLOOKUP(BG278,'Jan-2026 rates'!$E:$F,2,0)))</f>
        <v>0</v>
      </c>
      <c r="BU278" s="409"/>
      <c r="BV278" s="398">
        <f>IF(BU278=0,0,IF(LEN(BH278)=11,_xlfn.XLOOKUP(BH278,'Dispensed Ink Rates'!C:C,'Dispensed Ink Rates'!CS:CS),VLOOKUP(BH278,'Jan-2026 rates'!$E:$F,2,0)))</f>
        <v>0</v>
      </c>
      <c r="BW278" s="409"/>
      <c r="BX278" s="398">
        <f>IF(BW278=0,0,IF(LEN(BI278)=11,_xlfn.XLOOKUP(BI278,'Dispensed Ink Rates'!C:C,'Dispensed Ink Rates'!CS:CS),VLOOKUP(BI278,'Jan-2026 rates'!$E:$F,2,0)))</f>
        <v>0</v>
      </c>
      <c r="BY278" s="409"/>
      <c r="BZ278" s="398">
        <f>IF(BY278=0,0,IF(LEN(BJ278)=11,_xlfn.XLOOKUP(BJ278,'Dispensed Ink Rates'!C:C,'Dispensed Ink Rates'!CS:CS),VLOOKUP(BJ278,'Jan-2026 rates'!$E:$F,2,0)))</f>
        <v>0</v>
      </c>
      <c r="CA278" s="409" t="s">
        <v>1443</v>
      </c>
      <c r="CB278" s="409">
        <v>24</v>
      </c>
      <c r="CC278" s="411">
        <f t="shared" si="215"/>
        <v>0</v>
      </c>
      <c r="CD278" s="411">
        <f t="shared" si="216"/>
        <v>7.6986301369863028</v>
      </c>
      <c r="CE278" s="410">
        <f t="shared" si="217"/>
        <v>0</v>
      </c>
      <c r="CF278" s="404" t="s">
        <v>547</v>
      </c>
      <c r="CG278" s="409" t="s">
        <v>4272</v>
      </c>
      <c r="CH278" s="420" t="str">
        <f t="shared" si="185"/>
        <v>FLINTSL - GREEN</v>
      </c>
      <c r="CI278" s="409">
        <v>26</v>
      </c>
      <c r="CJ278" s="411">
        <f>IF(CI278=0,0,IF($LB278=70%,VLOOKUP($CH278,'Jan-2026 rates'!$L:$R,4,0),IF($LB278=65%,VLOOKUP($CH278,'Jan-2026 rates'!$L:$R,4,0),IF($LB278=40%,VLOOKUP($CH278,'Jan-2026 rates'!$L:$R,5,0),IF($LB278=30%,VLOOKUP($CH278,'Jan-2026 rates'!$L:$R,6,0),IF($LB278=100%,VLOOKUP($CH278,'Jan-2026 rates'!$L:$R,7,0),IF($LB278=60%,VLOOKUP($CH278,'Jan-2026 rates'!$L:$S,8,0),IF($LB278=80%,VLOOKUP($CH278,'Jan-2026 rates'!L:T,9,0),0))))))))</f>
        <v>0</v>
      </c>
      <c r="CK278" s="412"/>
      <c r="CL278" s="409"/>
      <c r="CM278" s="411">
        <f>IF(CL278=0,0,IF($LB278=70%,VLOOKUP($CH278,'Jan-2026 rates'!$L:$R,4,0),IF($LB278=65%,VLOOKUP($CH278,'Jan-2026 rates'!$L:$R,4,0),IF($LB278=40%,VLOOKUP($CH278,'Jan-2026 rates'!$L:$R,5,0),IF($LB278=30%,VLOOKUP($CH278,'Jan-2026 rates'!$L:$R,6,0),IF($LB278=100%,VLOOKUP($CH278,'Jan-2026 rates'!$L:$R,7,0),IF($LB278=60%,VLOOKUP($CH278,'Jan-2026 rates'!$L:$S,8,0),IF($LB278=80%,VLOOKUP($CH278,'Jan-2026 rates'!L:T,9,0),0))))))))</f>
        <v>0</v>
      </c>
      <c r="CN278" s="426">
        <v>26523000001</v>
      </c>
      <c r="CO278" s="427"/>
      <c r="CP278" s="426"/>
      <c r="CQ278" s="426"/>
      <c r="CR278" s="428"/>
      <c r="CS278" s="428"/>
      <c r="CT278" s="428"/>
      <c r="CU278" s="428"/>
      <c r="CV278" s="409">
        <v>2</v>
      </c>
      <c r="CW278" s="398" t="e">
        <f>IF(CV278=0,0,IF(LEN(CN278)=11,_xlfn.XLOOKUP(CN278,'Dispensed Ink Rates'!C:C,'Dispensed Ink Rates'!CS:CS),VLOOKUP(CN278,'Jan-2026 rates'!$E:$F,2,0)))</f>
        <v>#N/A</v>
      </c>
      <c r="CX278" s="409"/>
      <c r="CY278" s="398">
        <f>IF(CX278=0,0,IF(LEN(CO278)=11,_xlfn.XLOOKUP(CO278,'Dispensed Ink Rates'!C:C,'Dispensed Ink Rates'!CS:CS),VLOOKUP(CO278,'Jan-2026 rates'!$E:$F,2,0)))</f>
        <v>0</v>
      </c>
      <c r="CZ278" s="409"/>
      <c r="DA278" s="398">
        <f>IF(CZ278=0,0,IF(LEN(CP278)=11,_xlfn.XLOOKUP(CP278,'Dispensed Ink Rates'!C:C,'Dispensed Ink Rates'!CS:CS),VLOOKUP(CP278,'Jan-2026 rates'!$E:$F,2,0)))</f>
        <v>0</v>
      </c>
      <c r="DB278" s="409"/>
      <c r="DC278" s="398">
        <f>IF(DB278=0,0,IF(LEN(CQ278)=11,_xlfn.XLOOKUP(CQ278,'Dispensed Ink Rates'!C:C,'Dispensed Ink Rates'!CS:CS),VLOOKUP(CQ278,'Jan-2026 rates'!$E:$F,2,0)))</f>
        <v>0</v>
      </c>
      <c r="DD278" s="409"/>
      <c r="DE278" s="398">
        <f>IF(DD278=0,0,IF(LEN(CR278)=11,_xlfn.XLOOKUP(CR278,'Dispensed Ink Rates'!C:C,'Dispensed Ink Rates'!CS:CS),VLOOKUP(CR278,'Jan-2026 rates'!$E:$F,2,0)))</f>
        <v>0</v>
      </c>
      <c r="DF278" s="409"/>
      <c r="DG278" s="398">
        <f>IF(DF278=0,0,IF(LEN(CS278)=11,_xlfn.XLOOKUP(CS278,'Dispensed Ink Rates'!C:C,'Dispensed Ink Rates'!CS:CS),VLOOKUP(CS278,'Jan-2026 rates'!$E:$F,2,0)))</f>
        <v>0</v>
      </c>
      <c r="DH278" s="409"/>
      <c r="DI278" s="398">
        <f>IF(DH278=0,0,IF(LEN(CT278)=11,_xlfn.XLOOKUP(CT278,'Dispensed Ink Rates'!C:C,'Dispensed Ink Rates'!CS:CS),VLOOKUP(CT278,'Jan-2026 rates'!$E:$F,2,0)))</f>
        <v>0</v>
      </c>
      <c r="DJ278" s="409"/>
      <c r="DK278" s="398">
        <f>IF(DJ278=0,0,IF(LEN(CU278)=11,_xlfn.XLOOKUP(CU278,'Dispensed Ink Rates'!C:C,'Dispensed Ink Rates'!CS:CS),VLOOKUP(CU278,'Jan-2026 rates'!$E:$F,2,0)))</f>
        <v>0</v>
      </c>
      <c r="DL278" s="409" t="s">
        <v>1443</v>
      </c>
      <c r="DM278" s="409">
        <v>25</v>
      </c>
      <c r="DN278" s="411">
        <f t="shared" si="218"/>
        <v>0</v>
      </c>
      <c r="DO278" s="411">
        <f t="shared" si="219"/>
        <v>8.6986301369863028</v>
      </c>
      <c r="DP278" s="410">
        <f t="shared" si="220"/>
        <v>0</v>
      </c>
      <c r="DQ278" s="405" t="s">
        <v>857</v>
      </c>
      <c r="DR278" s="409" t="s">
        <v>4273</v>
      </c>
      <c r="DS278" s="420" t="str">
        <f t="shared" si="186"/>
        <v>FLINTSL - RED</v>
      </c>
      <c r="DT278" s="409">
        <v>21</v>
      </c>
      <c r="DU278" s="411">
        <f>IF(DT278=0,0,IF($LB278=70%,VLOOKUP($DS278,'Jan-2026 rates'!$L:$R,4,0),IF($LB278=65%,VLOOKUP($DS278,'Jan-2026 rates'!$L:$R,4,0),IF($LB278=40%,VLOOKUP($DS278,'Jan-2026 rates'!$L:$R,5,0),IF($LB278=30%,VLOOKUP($DS278,'Jan-2026 rates'!$L:$R,6,0),IF($LB278=100%,VLOOKUP($DS278,'Jan-2026 rates'!$L:$R,7,0),IF($LB278=60%,VLOOKUP($DS278,'Jan-2026 rates'!$L:$S,8,0),IF($LB278=80%,VLOOKUP($DS278,'Jan-2026 rates'!L:T,9,0),0))))))))</f>
        <v>0</v>
      </c>
      <c r="DV278" s="412"/>
      <c r="DW278" s="409"/>
      <c r="DX278" s="411">
        <f>IF(DW278=0,0,IF($LB278=70%,VLOOKUP($DS278,'Jan-2026 rates'!$L:$R,4,0),IF($LB278=65%,VLOOKUP($DS278,'Jan-2026 rates'!$L:$R,4,0),IF($LB278=40%,VLOOKUP($DS278,'Jan-2026 rates'!$L:$R,5,0),IF($LB278=30%,VLOOKUP($DS278,'Jan-2026 rates'!$L:$R,6,0),IF($LB278=100%,VLOOKUP($DS278,'Jan-2026 rates'!$L:$R,7,0),IF($LB278=60%,VLOOKUP($DS278,'Jan-2026 rates'!$L:$S,8,0),IF($LB278=80%,VLOOKUP($DS278,'Jan-2026 rates'!L:T,9,0),0))))))))</f>
        <v>0</v>
      </c>
      <c r="DY278" s="413">
        <v>26523000011</v>
      </c>
      <c r="DZ278" s="413">
        <v>26521000005</v>
      </c>
      <c r="EA278" s="412"/>
      <c r="EB278" s="412"/>
      <c r="EC278" s="412"/>
      <c r="ED278" s="412"/>
      <c r="EE278" s="412"/>
      <c r="EF278" s="412"/>
      <c r="EG278" s="409">
        <v>4</v>
      </c>
      <c r="EH278" s="398" t="e">
        <f>IF(EG278=0,0,IF(LEN(DY278)=11,_xlfn.XLOOKUP(DY278,'Dispensed Ink Rates'!C:C,'Dispensed Ink Rates'!CS:CS),VLOOKUP(DY278,'Jan-2026 rates'!$E:$F,2,0)))</f>
        <v>#N/A</v>
      </c>
      <c r="EI278" s="409">
        <v>1</v>
      </c>
      <c r="EJ278" s="398" t="e">
        <f>IF(EI278=0,0,IF(LEN(DZ278)=11,_xlfn.XLOOKUP(DZ278,'Dispensed Ink Rates'!C:C,'Dispensed Ink Rates'!CS:CS),VLOOKUP(DZ278,'Jan-2026 rates'!$E:$F,2,0)))</f>
        <v>#N/A</v>
      </c>
      <c r="EK278" s="409"/>
      <c r="EL278" s="398">
        <f>IF(EK278=0,0,IF(LEN(EA278)=11,_xlfn.XLOOKUP(EA278,'Dispensed Ink Rates'!C:C,'Dispensed Ink Rates'!CS:CS),VLOOKUP(EA278,'Jan-2026 rates'!$E:$F,2,0)))</f>
        <v>0</v>
      </c>
      <c r="EM278" s="409"/>
      <c r="EN278" s="398">
        <f>IF(EM278=0,0,IF(LEN(EB278)=11,_xlfn.XLOOKUP(EB278,'Dispensed Ink Rates'!C:C,'Dispensed Ink Rates'!CS:CS),VLOOKUP(EB278,'Jan-2026 rates'!$E:$F,2,0)))</f>
        <v>0</v>
      </c>
      <c r="EO278" s="409"/>
      <c r="EP278" s="398">
        <f>IF(EO278=0,0,IF(LEN(EC278)=11,_xlfn.XLOOKUP(EC278,'Dispensed Ink Rates'!C:C,'Dispensed Ink Rates'!CS:CS),VLOOKUP(EC278,'Jan-2026 rates'!$E:$F,2,0)))</f>
        <v>0</v>
      </c>
      <c r="EQ278" s="409"/>
      <c r="ER278" s="398">
        <f>IF(EQ278=0,0,IF(LEN(ED278)=11,_xlfn.XLOOKUP(ED278,'Dispensed Ink Rates'!C:C,'Dispensed Ink Rates'!CS:CS),VLOOKUP(ED278,'Jan-2026 rates'!$E:$F,2,0)))</f>
        <v>0</v>
      </c>
      <c r="ES278" s="409"/>
      <c r="ET278" s="398">
        <f>IF(ES278=0,0,IF(LEN(EE278)=11,_xlfn.XLOOKUP(EE278,'Dispensed Ink Rates'!C:C,'Dispensed Ink Rates'!CS:CS),VLOOKUP(EE278,'Jan-2026 rates'!$E:$F,2,0)))</f>
        <v>0</v>
      </c>
      <c r="EU278" s="409"/>
      <c r="EV278" s="398">
        <f>IF(EU278=0,0,IF(LEN(EF278)=11,_xlfn.XLOOKUP(EF278,'Dispensed Ink Rates'!C:C,'Dispensed Ink Rates'!CS:CS),VLOOKUP(EF278,'Jan-2026 rates'!$E:$F,2,0)))</f>
        <v>0</v>
      </c>
      <c r="EW278" s="409" t="s">
        <v>1443</v>
      </c>
      <c r="EX278" s="409">
        <v>24</v>
      </c>
      <c r="EY278" s="411">
        <f t="shared" si="221"/>
        <v>0</v>
      </c>
      <c r="EZ278" s="411">
        <f t="shared" si="222"/>
        <v>9.1232876712328732</v>
      </c>
      <c r="FA278" s="410">
        <f t="shared" si="223"/>
        <v>0</v>
      </c>
      <c r="FB278" s="405" t="s">
        <v>855</v>
      </c>
      <c r="FC278" s="409" t="s">
        <v>4274</v>
      </c>
      <c r="FD278" s="420" t="str">
        <f t="shared" si="187"/>
        <v>FLINTSL - CYAN</v>
      </c>
      <c r="FE278" s="409">
        <v>29</v>
      </c>
      <c r="FF278" s="411">
        <f>IF(FE278=0,0,IF($LB278=70%,VLOOKUP($FD278,'Jan-2026 rates'!$L:$R,4,0),IF($LB278=65%,VLOOKUP($FD278,'Jan-2026 rates'!$L:$R,4,0),IF($LB278=40%,VLOOKUP($FD278,'Jan-2026 rates'!$L:$R,5,0),IF($LB278=30%,VLOOKUP($FD278,'Jan-2026 rates'!$L:$R,6,0),IF($LB278=100%,VLOOKUP($FD278,'Jan-2026 rates'!$L:$R,7,0),IF($LB278=60%,VLOOKUP($FD278,'Jan-2026 rates'!$L:$S,8,0),IF($LB278=80%,VLOOKUP($FD278,'Jan-2026 rates'!L:T,9,0),0))))))))</f>
        <v>0</v>
      </c>
      <c r="FG278" s="412"/>
      <c r="FH278" s="409"/>
      <c r="FI278" s="411">
        <f>IF(FH278=0,0,IF($LB278=70%,VLOOKUP($FD278,'Jan-2026 rates'!$L:$R,4,0),IF($LB278=65%,VLOOKUP($FD278,'Jan-2026 rates'!$L:$R,4,0),IF($LB278=40%,VLOOKUP($FD278,'Jan-2026 rates'!$L:$R,5,0),IF($LB278=30%,VLOOKUP($FD278,'Jan-2026 rates'!$L:$R,6,0),IF($LB278=100%,VLOOKUP($FD278,'Jan-2026 rates'!$L:$R,7,0),IF($LB278=60%,VLOOKUP($FD278,'Jan-2026 rates'!$L:$S,8,0),IF($LB278=80%,VLOOKUP($FD278,'Jan-2026 rates'!L:T,9,0),0))))))))</f>
        <v>0</v>
      </c>
      <c r="FJ278" s="413">
        <v>26522000002</v>
      </c>
      <c r="FK278" s="413"/>
      <c r="FL278" s="413"/>
      <c r="FM278" s="412"/>
      <c r="FN278" s="412"/>
      <c r="FO278" s="412"/>
      <c r="FP278" s="412"/>
      <c r="FQ278" s="412"/>
      <c r="FR278" s="409">
        <v>2</v>
      </c>
      <c r="FS278" s="398" t="e">
        <f>IF(FR278=0,0,IF(LEN(FJ278)=11,_xlfn.XLOOKUP(FJ278,'Dispensed Ink Rates'!C:C,'Dispensed Ink Rates'!CS:CS),VLOOKUP(FJ278,'Jan-2026 rates'!$E:$F,2,0)))</f>
        <v>#N/A</v>
      </c>
      <c r="FT278" s="409"/>
      <c r="FU278" s="398">
        <f>IF(FT278=0,0,IF(LEN(FK278)=11,_xlfn.XLOOKUP(FK278,'Dispensed Ink Rates'!C:C,'Dispensed Ink Rates'!CS:CS),VLOOKUP(FK278,'Jan-2026 rates'!$E:$F,2,0)))</f>
        <v>0</v>
      </c>
      <c r="FV278" s="409"/>
      <c r="FW278" s="398">
        <f>IF(FV278=0,0,IF(LEN(FL278)=11,_xlfn.XLOOKUP(FL278,'Dispensed Ink Rates'!C:C,'Dispensed Ink Rates'!CS:CS),VLOOKUP(FL278,'Jan-2026 rates'!$E:$F,2,0)))</f>
        <v>0</v>
      </c>
      <c r="FX278" s="409"/>
      <c r="FY278" s="398">
        <f>IF(FX278=0,0,IF(LEN(FM278)=11,_xlfn.XLOOKUP(FM278,'Dispensed Ink Rates'!C:C,'Dispensed Ink Rates'!CS:CS),VLOOKUP(FM278,'Jan-2026 rates'!$E:$F,2,0)))</f>
        <v>0</v>
      </c>
      <c r="FZ278" s="409"/>
      <c r="GA278" s="398">
        <f>IF(FZ278=0,0,IF(LEN(FN278)=11,_xlfn.XLOOKUP(FN278,'Dispensed Ink Rates'!C:C,'Dispensed Ink Rates'!CS:CS),VLOOKUP(FN278,'Jan-2026 rates'!$E:$F,2,0)))</f>
        <v>0</v>
      </c>
      <c r="GB278" s="409"/>
      <c r="GC278" s="398">
        <f>IF(GB278=0,0,IF(LEN(FO278)=11,_xlfn.XLOOKUP(FO278,'Dispensed Ink Rates'!C:C,'Dispensed Ink Rates'!CS:CS),VLOOKUP(FO278,'Jan-2026 rates'!$E:$F,2,0)))</f>
        <v>0</v>
      </c>
      <c r="GD278" s="409"/>
      <c r="GE278" s="398">
        <f>IF(GD278=0,0,IF(LEN(FP278)=11,_xlfn.XLOOKUP(FP278,'Dispensed Ink Rates'!C:C,'Dispensed Ink Rates'!CS:CS),VLOOKUP(FP278,'Jan-2026 rates'!$E:$F,2,0)))</f>
        <v>0</v>
      </c>
      <c r="GF278" s="409"/>
      <c r="GG278" s="398">
        <f>IF(GF278=0,0,IF(LEN(FQ278)=11,_xlfn.XLOOKUP(FQ278,'Dispensed Ink Rates'!C:C,'Dispensed Ink Rates'!CS:CS),VLOOKUP(FQ278,'Jan-2026 rates'!$E:$F,2,0)))</f>
        <v>0</v>
      </c>
      <c r="GH278" s="409" t="s">
        <v>1443</v>
      </c>
      <c r="GI278" s="409">
        <v>27</v>
      </c>
      <c r="GJ278" s="411">
        <f t="shared" si="224"/>
        <v>0</v>
      </c>
      <c r="GK278" s="411">
        <f t="shared" si="225"/>
        <v>9.6986301369863028</v>
      </c>
      <c r="GL278" s="410">
        <f t="shared" si="226"/>
        <v>0</v>
      </c>
      <c r="GM278" s="405" t="s">
        <v>544</v>
      </c>
      <c r="GN278" s="409" t="s">
        <v>4275</v>
      </c>
      <c r="GO278" s="420" t="str">
        <f t="shared" si="188"/>
        <v>FLINTSL - MAGENTA</v>
      </c>
      <c r="GP278" s="409">
        <v>26</v>
      </c>
      <c r="GQ278" s="411">
        <f>IF(GP278=0,0,IF($LB278=70%,VLOOKUP($GO278,'Jan-2026 rates'!$L:$R,4,0),IF($LB278=65%,VLOOKUP($GO278,'Jan-2026 rates'!$L:$R,4,0),IF($LB278=40%,VLOOKUP($GO278,'Jan-2026 rates'!$L:$R,5,0),IF($LB278=30%,VLOOKUP($GO278,'Jan-2026 rates'!$L:$R,6,0),IF($LB278=100%,VLOOKUP($GO278,'Jan-2026 rates'!$L:$R,7,0),IF($LB278=60%,VLOOKUP($GO278,'Jan-2026 rates'!$L:$S,8,0),IF($LB278=80%,VLOOKUP($GO278,'Jan-2026 rates'!L:T,9,0),0))))))))</f>
        <v>0</v>
      </c>
      <c r="GR278" s="412"/>
      <c r="GS278" s="409"/>
      <c r="GT278" s="411">
        <f>IF(GS278=0,0,IF($LB278=70%,VLOOKUP($GO278,'Jan-2026 rates'!$L:$R,4,0),IF($LB278=65%,VLOOKUP($GO278,'Jan-2026 rates'!$L:$R,4,0),IF($LB278=40%,VLOOKUP($GO278,'Jan-2026 rates'!$L:$R,5,0),IF($LB278=30%,VLOOKUP($GO278,'Jan-2026 rates'!$L:$R,6,0),IF($LB278=100%,VLOOKUP($GO278,'Jan-2026 rates'!$L:$R,7,0),IF($LB278=60%,VLOOKUP($GO278,'Jan-2026 rates'!$L:$S,8,0),IF($LB278=80%,VLOOKUP($GO278,'Jan-2026 rates'!L:T,9,0),0))))))))</f>
        <v>0</v>
      </c>
      <c r="GU278" s="413">
        <v>26521000005</v>
      </c>
      <c r="GV278" s="413"/>
      <c r="GW278" s="412"/>
      <c r="GX278" s="412"/>
      <c r="GY278" s="412"/>
      <c r="GZ278" s="412"/>
      <c r="HA278" s="412"/>
      <c r="HB278" s="412"/>
      <c r="HC278" s="409">
        <v>2</v>
      </c>
      <c r="HD278" s="398" t="e">
        <f>IF(HC278=0,0,IF(LEN(GU278)=11,_xlfn.XLOOKUP(GU278,'Dispensed Ink Rates'!C:C,'Dispensed Ink Rates'!CS:CS),VLOOKUP(GU278,'Jan-2026 rates'!$E:$F,2,0)))</f>
        <v>#N/A</v>
      </c>
      <c r="HE278" s="409"/>
      <c r="HF278" s="398">
        <f>IF(HE278=0,0,IF(LEN(GV278)=11,_xlfn.XLOOKUP(GV278,'Dispensed Ink Rates'!C:C,'Dispensed Ink Rates'!CS:CS),VLOOKUP(GV278,'Jan-2026 rates'!$E:$F,2,0)))</f>
        <v>0</v>
      </c>
      <c r="HG278" s="409"/>
      <c r="HH278" s="398">
        <f>IF(HG278=0,0,IF(LEN(GW278)=11,_xlfn.XLOOKUP(GW278,'Dispensed Ink Rates'!C:C,'Dispensed Ink Rates'!CS:CS),VLOOKUP(GW278,'Jan-2026 rates'!$E:$F,2,0)))</f>
        <v>0</v>
      </c>
      <c r="HI278" s="409"/>
      <c r="HJ278" s="398">
        <f>IF(HI278=0,0,IF(LEN(GX278)=11,_xlfn.XLOOKUP(GX278,'Dispensed Ink Rates'!C:C,'Dispensed Ink Rates'!CS:CS),VLOOKUP(GX278,'Jan-2026 rates'!$E:$F,2,0)))</f>
        <v>0</v>
      </c>
      <c r="HK278" s="409"/>
      <c r="HL278" s="398">
        <f>IF(HK278=0,0,IF(LEN(GY278)=11,_xlfn.XLOOKUP(GY278,'Dispensed Ink Rates'!C:C,'Dispensed Ink Rates'!CS:CS),VLOOKUP(GY278,'Jan-2026 rates'!$E:$F,2,0)))</f>
        <v>0</v>
      </c>
      <c r="HM278" s="409"/>
      <c r="HN278" s="398">
        <f>IF(HM278=0,0,IF(LEN(GZ278)=11,_xlfn.XLOOKUP(GZ278,'Dispensed Ink Rates'!C:C,'Dispensed Ink Rates'!CS:CS),VLOOKUP(GZ278,'Jan-2026 rates'!$E:$F,2,0)))</f>
        <v>0</v>
      </c>
      <c r="HO278" s="409"/>
      <c r="HP278" s="398">
        <f>IF(HO278=0,0,IF(LEN(HA278)=11,_xlfn.XLOOKUP(HA278,'Dispensed Ink Rates'!C:C,'Dispensed Ink Rates'!CS:CS),VLOOKUP(HA278,'Jan-2026 rates'!$E:$F,2,0)))</f>
        <v>0</v>
      </c>
      <c r="HQ278" s="409"/>
      <c r="HR278" s="398">
        <f>IF(HQ278=0,0,IF(LEN(HB278)=11,_xlfn.XLOOKUP(HB278,'Dispensed Ink Rates'!C:C,'Dispensed Ink Rates'!CS:CS),VLOOKUP(HB278,'Jan-2026 rates'!$E:$F,2,0)))</f>
        <v>0</v>
      </c>
      <c r="HS278" s="409" t="s">
        <v>1443</v>
      </c>
      <c r="HT278" s="409">
        <v>24</v>
      </c>
      <c r="HU278" s="411">
        <f t="shared" si="227"/>
        <v>0</v>
      </c>
      <c r="HV278" s="411">
        <f t="shared" si="228"/>
        <v>9.6986301369863028</v>
      </c>
      <c r="HW278" s="414">
        <f t="shared" si="229"/>
        <v>0</v>
      </c>
      <c r="HX278" s="405" t="s">
        <v>545</v>
      </c>
      <c r="HY278" s="409" t="s">
        <v>4276</v>
      </c>
      <c r="HZ278" s="420" t="str">
        <f t="shared" si="189"/>
        <v>FLINTSL - YELLOW</v>
      </c>
      <c r="IA278" s="409">
        <v>28</v>
      </c>
      <c r="IB278" s="411">
        <f>IF(IA278=0,0,IF($LB278=70%,VLOOKUP($HZ278,'Jan-2026 rates'!$L:$R,4,0),IF($LB278=65%,VLOOKUP($HZ278,'Jan-2026 rates'!$L:$R,4,0),IF($LB278=40%,VLOOKUP($HZ278,'Jan-2026 rates'!$L:$R,5,0),IF($LB278=30%,VLOOKUP($HZ278,'Jan-2026 rates'!$L:$R,6,0),IF($LB278=100%,VLOOKUP($HZ278,'Jan-2026 rates'!$L:$R,7,0),IF($LB278=60%,VLOOKUP($HZ278,'Jan-2026 rates'!$L:$S,8,0),IF($LB278=80%,VLOOKUP($HZ278,'Jan-2026 rates'!L:T,9,0),0))))))))</f>
        <v>0</v>
      </c>
      <c r="IC278" s="412"/>
      <c r="ID278" s="409"/>
      <c r="IE278" s="411">
        <f>IF(ID278=0,0,IF($LB278=70%,VLOOKUP($HZ278,'Jan-2026 rates'!$L:$R,4,0),IF($LB278=65%,VLOOKUP($HZ278,'Jan-2026 rates'!$L:$R,4,0),IF($LB278=40%,VLOOKUP($HZ278,'Jan-2026 rates'!$L:$R,5,0),IF($LB278=30%,VLOOKUP($HZ278,'Jan-2026 rates'!$L:$R,6,0),IF($LB278=100%,VLOOKUP($HZ278,'Jan-2026 rates'!$L:$R,7,0),IF($LB278=60%,VLOOKUP($HZ278,'Jan-2026 rates'!$L:$S,8,0),IF($LB278=80%,VLOOKUP($HZ278,'Jan-2026 rates'!L:T,9,0),0))))))))</f>
        <v>0</v>
      </c>
      <c r="IF278" s="412">
        <v>26523000001</v>
      </c>
      <c r="IG278" s="413" t="s">
        <v>1266</v>
      </c>
      <c r="IH278" s="412"/>
      <c r="II278" s="412"/>
      <c r="IJ278" s="412"/>
      <c r="IK278" s="412"/>
      <c r="IL278" s="412"/>
      <c r="IM278" s="412"/>
      <c r="IN278" s="409">
        <v>10</v>
      </c>
      <c r="IO278" s="398" t="e">
        <f>IF(IN278=0,0,IF(LEN(IF278)=11,_xlfn.XLOOKUP(IF278,'Dispensed Ink Rates'!C:C,'Dispensed Ink Rates'!CS:CS),VLOOKUP(IF278,'Jan-2026 rates'!$E:$F,2,0)))</f>
        <v>#N/A</v>
      </c>
      <c r="IP278" s="409">
        <v>15</v>
      </c>
      <c r="IQ278" s="398">
        <f>IF(IP278=0,0,IF(LEN(IG278)=11,_xlfn.XLOOKUP(IG278,'Dispensed Ink Rates'!C:C,'Dispensed Ink Rates'!CS:CS),VLOOKUP(IG278,'Jan-2026 rates'!$E:$F,2,0)))</f>
        <v>0</v>
      </c>
      <c r="IR278" s="409"/>
      <c r="IS278" s="398">
        <f>IF(IR278=0,0,IF(LEN(IH278)=11,_xlfn.XLOOKUP(IH278,'Dispensed Ink Rates'!C:C,'Dispensed Ink Rates'!CS:CS),VLOOKUP(IH278,'Jan-2026 rates'!$E:$F,2,0)))</f>
        <v>0</v>
      </c>
      <c r="IT278" s="409"/>
      <c r="IU278" s="398">
        <f>IF(IT278=0,0,IF(LEN(II278)=11,_xlfn.XLOOKUP(II278,'Dispensed Ink Rates'!C:C,'Dispensed Ink Rates'!CS:CS),VLOOKUP(II278,'Jan-2026 rates'!$E:$F,2,0)))</f>
        <v>0</v>
      </c>
      <c r="IV278" s="409"/>
      <c r="IW278" s="398">
        <f>IF(IV278=0,0,IF(LEN(IJ278)=11,_xlfn.XLOOKUP(IJ278,'Dispensed Ink Rates'!C:C,'Dispensed Ink Rates'!CS:CS),VLOOKUP(IJ278,'Jan-2026 rates'!$E:$F,2,0)))</f>
        <v>0</v>
      </c>
      <c r="IX278" s="409"/>
      <c r="IY278" s="398">
        <f>IF(IX278=0,0,IF(LEN(IK278)=11,_xlfn.XLOOKUP(IK278,'Dispensed Ink Rates'!C:C,'Dispensed Ink Rates'!CS:CS),VLOOKUP(IK278,'Jan-2026 rates'!$E:$F,2,0)))</f>
        <v>0</v>
      </c>
      <c r="IZ278" s="409"/>
      <c r="JA278" s="398">
        <f>IF(IZ278=0,0,IF(LEN(IL278)=11,_xlfn.XLOOKUP(IL278,'Dispensed Ink Rates'!C:C,'Dispensed Ink Rates'!CS:CS),VLOOKUP(IL278,'Jan-2026 rates'!$E:$F,2,0)))</f>
        <v>0</v>
      </c>
      <c r="JB278" s="409"/>
      <c r="JC278" s="398">
        <f>IF(JB278=0,0,IF(LEN(IM278)=11,_xlfn.XLOOKUP(IM278,'Dispensed Ink Rates'!C:C,'Dispensed Ink Rates'!CS:CS),VLOOKUP(IM278,'Jan-2026 rates'!$E:$F,2,0)))</f>
        <v>0</v>
      </c>
      <c r="JD278" s="409" t="s">
        <v>1443</v>
      </c>
      <c r="JE278" s="409">
        <v>27</v>
      </c>
      <c r="JF278" s="411">
        <f t="shared" si="230"/>
        <v>0</v>
      </c>
      <c r="JG278" s="411">
        <f t="shared" si="231"/>
        <v>54.493150684931507</v>
      </c>
      <c r="JH278" s="410">
        <f t="shared" si="232"/>
        <v>0</v>
      </c>
      <c r="JI278" s="405" t="s">
        <v>856</v>
      </c>
      <c r="JJ278" s="409" t="s">
        <v>4277</v>
      </c>
      <c r="JK278" s="420" t="str">
        <f t="shared" si="190"/>
        <v>FLINTSL - WHITE</v>
      </c>
      <c r="JL278" s="409">
        <v>30</v>
      </c>
      <c r="JM278" s="411">
        <f>IF(JL278=0,0,IF($LB278=70%,VLOOKUP($JK278,'Jan-2026 rates'!$L:$R,4,0),IF($LB278=65%,VLOOKUP($JK278,'Jan-2026 rates'!$L:$R,4,0),IF($LB278=40%,VLOOKUP($JK278,'Jan-2026 rates'!$L:$R,5,0),IF($LB278=30%,VLOOKUP($JK278,'Jan-2026 rates'!$L:$R,6,0),IF($LB278=100%,VLOOKUP($JK278,'Jan-2026 rates'!$L:$R,7,0),IF($LB278=60%,VLOOKUP($JK278,'Jan-2026 rates'!$L:$S,8,0),IF($LB278=80%,VLOOKUP($JK278,'Jan-2026 rates'!L:T,9,0),0))))))))</f>
        <v>0</v>
      </c>
      <c r="JN278" s="412"/>
      <c r="JO278" s="409"/>
      <c r="JP278" s="411">
        <f>IF(JO278=0,0,IF($LB278=70%,VLOOKUP($JK278,'Jan-2026 rates'!$L:$R,4,0),IF($LB278=65%,VLOOKUP($JK278,'Jan-2026 rates'!$L:$R,4,0),IF($LB278=40%,VLOOKUP($JK278,'Jan-2026 rates'!$L:$R,5,0),IF($LB278=30%,VLOOKUP($JK278,'Jan-2026 rates'!$L:$R,6,0),IF($LB278=100%,VLOOKUP($JK278,'Jan-2026 rates'!$L:$R,7,0),IF($LB278=60%,VLOOKUP($JK278,'Jan-2026 rates'!$L:$S,8,0),IF($LB278=80%,VLOOKUP($JK278,'Jan-2026 rates'!L:T,9,0),0))))))))</f>
        <v>0</v>
      </c>
      <c r="JQ278" s="413" t="s">
        <v>484</v>
      </c>
      <c r="JR278" s="412"/>
      <c r="JS278" s="413"/>
      <c r="JT278" s="413"/>
      <c r="JU278" s="412"/>
      <c r="JV278" s="412"/>
      <c r="JW278" s="412"/>
      <c r="JX278" s="412"/>
      <c r="JY278" s="409">
        <v>60</v>
      </c>
      <c r="JZ278" s="398">
        <f>IF(JY278=0,0,IF(LEN(JQ278)=11,_xlfn.XLOOKUP(JQ278,'Dispensed Ink Rates'!C:C,'Dispensed Ink Rates'!CS:CS),VLOOKUP(JQ278,'Jan-2026 rates'!$E:$F,2,0)))</f>
        <v>0</v>
      </c>
      <c r="KA278" s="409"/>
      <c r="KB278" s="398">
        <f>IF(KA278=0,0,IF(LEN(JR278)=11,_xlfn.XLOOKUP(JR278,'Dispensed Ink Rates'!C:C,'Dispensed Ink Rates'!CS:CS),VLOOKUP(JR278,'Jan-2026 rates'!$E:$F,2,0)))</f>
        <v>0</v>
      </c>
      <c r="KC278" s="409"/>
      <c r="KD278" s="398">
        <f>IF(KC278=0,0,IF(LEN(JS278)=11,_xlfn.XLOOKUP(JS278,'Dispensed Ink Rates'!C:C,'Dispensed Ink Rates'!CS:CS),VLOOKUP(JS278,'Jan-2026 rates'!$E:$F,2,0)))</f>
        <v>0</v>
      </c>
      <c r="KE278" s="409"/>
      <c r="KF278" s="398">
        <f>IF(KE278=0,0,IF(LEN(JT278)=11,_xlfn.XLOOKUP(JT278,'Dispensed Ink Rates'!C:C,'Dispensed Ink Rates'!CS:CS),VLOOKUP(JT278,'Jan-2026 rates'!$E:$F,2,0)))</f>
        <v>0</v>
      </c>
      <c r="KG278" s="409"/>
      <c r="KH278" s="398">
        <f>IF(KG278=0,0,IF(LEN(JU278)=11,_xlfn.XLOOKUP(JU278,'Dispensed Ink Rates'!C:C,'Dispensed Ink Rates'!CS:CS),VLOOKUP(JU278,'Jan-2026 rates'!$E:$F,2,0)))</f>
        <v>0</v>
      </c>
      <c r="KI278" s="409"/>
      <c r="KJ278" s="398">
        <f>IF(KI278=0,0,IF(LEN(JV278)=11,_xlfn.XLOOKUP(JV278,'Dispensed Ink Rates'!C:C,'Dispensed Ink Rates'!CS:CS),VLOOKUP(JV278,'Jan-2026 rates'!$E:$F,2,0)))</f>
        <v>0</v>
      </c>
      <c r="KK278" s="409"/>
      <c r="KL278" s="398">
        <f>IF(KK278=0,0,IF(LEN(JW278)=11,_xlfn.XLOOKUP(JW278,'Dispensed Ink Rates'!C:C,'Dispensed Ink Rates'!CS:CS),VLOOKUP(JW278,'Jan-2026 rates'!$E:$F,2,0)))</f>
        <v>0</v>
      </c>
      <c r="KM278" s="428"/>
      <c r="KN278" s="398">
        <f>IF(KM278=0,0,IF(LEN(JX278)=11,_xlfn.XLOOKUP(JX278,'Dispensed Ink Rates'!C:C,'Dispensed Ink Rates'!CS:CS),VLOOKUP(JX278,'Jan-2026 rates'!$E:$F,2,0)))</f>
        <v>0</v>
      </c>
      <c r="KO278" s="409" t="s">
        <v>1443</v>
      </c>
      <c r="KP278" s="409">
        <v>29</v>
      </c>
      <c r="KQ278" s="411">
        <f t="shared" si="233"/>
        <v>0</v>
      </c>
      <c r="KR278" s="411">
        <f t="shared" si="234"/>
        <v>103.73972602739727</v>
      </c>
      <c r="KS278" s="410">
        <f t="shared" si="235"/>
        <v>0</v>
      </c>
      <c r="KT278" s="409">
        <v>2</v>
      </c>
      <c r="KU278" s="409">
        <v>4</v>
      </c>
      <c r="KV278" s="409">
        <v>4</v>
      </c>
      <c r="KW278" s="409">
        <v>5</v>
      </c>
      <c r="KX278" s="409">
        <v>4</v>
      </c>
      <c r="KY278" s="409">
        <v>4</v>
      </c>
      <c r="KZ278" s="409">
        <v>20</v>
      </c>
      <c r="LA278" s="409">
        <v>30</v>
      </c>
      <c r="LB278" s="415">
        <v>0.8</v>
      </c>
      <c r="LC278" s="415">
        <v>0.2</v>
      </c>
      <c r="LD278" s="415"/>
      <c r="LE278" s="415"/>
      <c r="LF278" s="415"/>
      <c r="LG278" s="409">
        <v>0</v>
      </c>
      <c r="LH278" s="409">
        <f>30+24+40+10</f>
        <v>104</v>
      </c>
      <c r="LI278" s="409">
        <v>0</v>
      </c>
      <c r="LJ278" s="409">
        <v>0</v>
      </c>
      <c r="LK278" s="416">
        <f t="shared" si="191"/>
        <v>104</v>
      </c>
      <c r="LL278" s="416">
        <f t="shared" si="192"/>
        <v>104</v>
      </c>
      <c r="LM278" s="417">
        <f t="shared" si="193"/>
        <v>83.2</v>
      </c>
      <c r="LN278" s="417">
        <f>VLOOKUP($LM$8,'Jan-2026 rates'!$H:$I,2,0)</f>
        <v>0</v>
      </c>
      <c r="LO278" s="417">
        <f t="shared" si="194"/>
        <v>20.8</v>
      </c>
      <c r="LP278" s="417">
        <f>VLOOKUP($LO$8,'Jan-2026 rates'!$H:$I,2,0)</f>
        <v>0</v>
      </c>
      <c r="LQ278" s="417">
        <f t="shared" si="195"/>
        <v>0</v>
      </c>
      <c r="LR278" s="417">
        <f>VLOOKUP($LQ$8,'Jan-2026 rates'!$H:$I,2,0)</f>
        <v>0</v>
      </c>
      <c r="LS278" s="417">
        <f t="shared" si="196"/>
        <v>0</v>
      </c>
      <c r="LT278" s="417">
        <f>VLOOKUP($LS$8,'Jan-2026 rates'!$H:$I,2,0)</f>
        <v>0</v>
      </c>
      <c r="LU278" s="417">
        <f t="shared" si="197"/>
        <v>0</v>
      </c>
      <c r="LV278" s="417">
        <f>VLOOKUP($LU$8,'Jan-2026 rates'!$H:$I,2,0)</f>
        <v>0</v>
      </c>
      <c r="LW278" s="417">
        <f t="shared" si="198"/>
        <v>0</v>
      </c>
      <c r="LX278" s="417">
        <f t="shared" si="199"/>
        <v>0</v>
      </c>
      <c r="LY278" s="418">
        <f t="shared" si="200"/>
        <v>0</v>
      </c>
      <c r="LZ278" s="417"/>
      <c r="MA278" s="435">
        <f t="shared" si="201"/>
        <v>101</v>
      </c>
      <c r="MB278" s="282">
        <f t="shared" si="202"/>
        <v>210</v>
      </c>
      <c r="MC278" s="283">
        <v>171</v>
      </c>
      <c r="MD278" s="284" t="str">
        <f t="shared" si="203"/>
        <v>FLINTSLFLINTSLFLINTSLFLINTSLFLINTSLFLINTSLFLINTSLFLINTSL</v>
      </c>
      <c r="ME278" s="293" t="str">
        <f t="shared" si="204"/>
        <v>+</v>
      </c>
      <c r="MF278" s="293" t="str">
        <f t="shared" si="205"/>
        <v>+</v>
      </c>
      <c r="MG278" s="293" t="str">
        <f t="shared" si="206"/>
        <v>+</v>
      </c>
      <c r="MH278" s="293" t="str">
        <f t="shared" si="207"/>
        <v>+</v>
      </c>
      <c r="MI278" s="293" t="str">
        <f t="shared" si="208"/>
        <v>+</v>
      </c>
      <c r="MJ278" s="293" t="str">
        <f t="shared" si="209"/>
        <v>+</v>
      </c>
      <c r="MK278" s="293" t="str">
        <f t="shared" si="210"/>
        <v>+</v>
      </c>
      <c r="ML278" s="293" t="str">
        <f t="shared" si="211"/>
        <v>+</v>
      </c>
      <c r="MM278" s="3" t="b">
        <f t="array" ref="MM278">OR(ME278:ML278="-")</f>
        <v>0</v>
      </c>
      <c r="MN278" s="285"/>
      <c r="MO278" s="401"/>
      <c r="MP278" s="286"/>
      <c r="MQ278" s="286"/>
      <c r="MR278" s="402"/>
      <c r="MS278" s="400"/>
      <c r="NH278" s="422"/>
      <c r="NJ278" s="421"/>
    </row>
    <row r="279" spans="1:374" s="1" customFormat="1" ht="16.5">
      <c r="A279" s="403">
        <v>46044</v>
      </c>
      <c r="B279" s="404" t="s">
        <v>1015</v>
      </c>
      <c r="C279" s="405" t="s">
        <v>4278</v>
      </c>
      <c r="D279" s="406">
        <v>172</v>
      </c>
      <c r="E279" s="404">
        <v>323</v>
      </c>
      <c r="F279" s="407">
        <v>20300</v>
      </c>
      <c r="G279" s="407" t="s">
        <v>1019</v>
      </c>
      <c r="H279" s="408" t="s">
        <v>1017</v>
      </c>
      <c r="I279" s="409">
        <v>1.81</v>
      </c>
      <c r="J279" s="405" t="s">
        <v>543</v>
      </c>
      <c r="K279" s="404" t="s">
        <v>4279</v>
      </c>
      <c r="L279" s="419" t="str">
        <f t="shared" si="184"/>
        <v>FLINTSL - BLACK</v>
      </c>
      <c r="M279" s="404">
        <v>23</v>
      </c>
      <c r="N279" s="410">
        <f>IF(M279=0,0,IF($LB279=70%,VLOOKUP($L279,'Jan-2026 rates'!$L:$R,4,0),IF($LB279=65%,VLOOKUP($L279,'Jan-2026 rates'!$L:$R,4,0),IF($LB279=40%,VLOOKUP($L279,'Jan-2026 rates'!$L:$R,5,0),IF($LB279=30%,VLOOKUP($L279,'Jan-2026 rates'!$L:$R,6,0),IF($LB279=100%,VLOOKUP($L279,'Jan-2026 rates'!$L:$R,7,0),IF($LB279=60%,VLOOKUP($L279,'Jan-2026 rates'!$L:$S,8,0),IF($LB279=80%,VLOOKUP($L279,'Jan-2026 rates'!L:T,9,0),0))))))))</f>
        <v>0</v>
      </c>
      <c r="O279" s="406"/>
      <c r="P279" s="404"/>
      <c r="Q279" s="410">
        <f>IF(P279=0,0,IF($LB279=70%,VLOOKUP($L279,'Jan-2026 rates'!$L:$R,4,0),IF($LB279=65%,VLOOKUP($L279,'Jan-2026 rates'!$L:$R,4,0),IF($LB279=40%,VLOOKUP($L279,'Jan-2026 rates'!$L:$R,5,0),IF($LB279=30%,VLOOKUP($L279,'Jan-2026 rates'!$L:$R,6,0),IF($LB279=100%,VLOOKUP($L279,'Jan-2026 rates'!$L:$R,7,0),IF($LB279=60%,VLOOKUP($L279,'Jan-2026 rates'!$L:$S,8,0),IF($LB279=80%,VLOOKUP($L279,'Jan-2026 rates'!L:T,9,0),0))))))))</f>
        <v>0</v>
      </c>
      <c r="R279" s="406">
        <v>26523000027</v>
      </c>
      <c r="S279" s="406" t="s">
        <v>1266</v>
      </c>
      <c r="T279" s="406"/>
      <c r="U279" s="406"/>
      <c r="V279" s="406"/>
      <c r="W279" s="406"/>
      <c r="X279" s="406"/>
      <c r="Y279" s="406"/>
      <c r="Z279" s="404">
        <v>12</v>
      </c>
      <c r="AA279" s="398" t="e">
        <f>IF(Z279=0,0,IF(LEN(R279)=11,_xlfn.XLOOKUP(R279,'Dispensed Ink Rates'!C:C,'Dispensed Ink Rates'!CS:CS),VLOOKUP(R279,'Jan-2026 rates'!$E:$F,2,0)))</f>
        <v>#N/A</v>
      </c>
      <c r="AB279" s="404">
        <v>7</v>
      </c>
      <c r="AC279" s="398">
        <f>IF(AB279=0,0,IF(LEN(S279)=11,_xlfn.XLOOKUP(S279,'Dispensed Ink Rates'!C:C,'Dispensed Ink Rates'!CS:CS),VLOOKUP(S279,'Jan-2026 rates'!$E:$F,2,0)))</f>
        <v>0</v>
      </c>
      <c r="AD279" s="404"/>
      <c r="AE279" s="398">
        <f>IF(AD279=0,0,IF(LEN(T279)=11,_xlfn.XLOOKUP(T279,'Dispensed Ink Rates'!C:C,'Dispensed Ink Rates'!CS:CS),VLOOKUP(T279,'Jan-2026 rates'!$E:$F,2,0)))</f>
        <v>0</v>
      </c>
      <c r="AF279" s="404"/>
      <c r="AG279" s="398">
        <f>IF(AF279=0,0,IF(LEN(U279)=11,_xlfn.XLOOKUP(U279,'Dispensed Ink Rates'!C:C,'Dispensed Ink Rates'!CS:CS),VLOOKUP(U279,'Jan-2026 rates'!$E:$F,2,0)))</f>
        <v>0</v>
      </c>
      <c r="AH279" s="404"/>
      <c r="AI279" s="398">
        <f>IF(AH279=0,0,IF(LEN(V279)=11,_xlfn.XLOOKUP(V279,'Dispensed Ink Rates'!C:C,'Dispensed Ink Rates'!CS:CS),VLOOKUP(V279,'Jan-2026 rates'!$E:$F,2,0)))</f>
        <v>0</v>
      </c>
      <c r="AJ279" s="404"/>
      <c r="AK279" s="398">
        <f>IF(AJ279=0,0,IF(LEN(W279)=11,_xlfn.XLOOKUP(W279,'Dispensed Ink Rates'!C:C,'Dispensed Ink Rates'!CS:CS),VLOOKUP(W279,'Jan-2026 rates'!$E:$F,2,0)))</f>
        <v>0</v>
      </c>
      <c r="AL279" s="404"/>
      <c r="AM279" s="398">
        <f>IF(AL279=0,0,IF(LEN(X279)=11,_xlfn.XLOOKUP(X279,'Dispensed Ink Rates'!C:C,'Dispensed Ink Rates'!CS:CS),VLOOKUP(X279,'Jan-2026 rates'!$E:$F,2,0)))</f>
        <v>0</v>
      </c>
      <c r="AN279" s="404"/>
      <c r="AO279" s="398">
        <f>IF(AN279=0,0,IF(LEN(Y279)=11,_xlfn.XLOOKUP(Y279,'Dispensed Ink Rates'!C:C,'Dispensed Ink Rates'!CS:CS),VLOOKUP(Y279,'Jan-2026 rates'!$E:$F,2,0)))</f>
        <v>0</v>
      </c>
      <c r="AP279" s="409" t="s">
        <v>1443</v>
      </c>
      <c r="AQ279" s="409">
        <f>30+22</f>
        <v>52</v>
      </c>
      <c r="AR279" s="410">
        <f t="shared" si="212"/>
        <v>0</v>
      </c>
      <c r="AS279" s="411">
        <f t="shared" si="213"/>
        <v>15.681818181818187</v>
      </c>
      <c r="AT279" s="410">
        <f t="shared" si="214"/>
        <v>0</v>
      </c>
      <c r="AU279" s="405" t="s">
        <v>546</v>
      </c>
      <c r="AV279" s="409" t="s">
        <v>4279</v>
      </c>
      <c r="AW279" s="420" t="str">
        <f t="shared" si="183"/>
        <v>FLINTSL - REFLEX BLUE</v>
      </c>
      <c r="AX279" s="409">
        <v>24</v>
      </c>
      <c r="AY279" s="411">
        <f>IF(AX279=0,0,IF($LB279=70%,VLOOKUP($AW279,'Jan-2026 rates'!$L:$R,4,0),IF($LB279=65%,VLOOKUP($AW279,'Jan-2026 rates'!$L:$R,4,0),IF($LB279=40%,VLOOKUP($AW279,'Jan-2026 rates'!$L:$R,5,0),IF($LB279=30%,VLOOKUP($AW279,'Jan-2026 rates'!$L:$R,6,0),IF($LB279=100%,VLOOKUP($AW279,'Jan-2026 rates'!$L:$R,7,0),IF($LB279=60%,VLOOKUP($AW279,'Jan-2026 rates'!$L:$S,8,0),IF($LB279=80%,VLOOKUP($AW279,'Jan-2026 rates'!L:T,9,0),0))))))))</f>
        <v>0</v>
      </c>
      <c r="AZ279" s="412"/>
      <c r="BA279" s="409"/>
      <c r="BB279" s="411">
        <f>IF(BA279=0,0,IF($LB279=70%,VLOOKUP($AW279,'Jan-2026 rates'!$L:$R,4,0),IF($LB279=65%,VLOOKUP($AW279,'Jan-2026 rates'!$L:$R,4,0),IF($LB279=40%,VLOOKUP($AW279,'Jan-2026 rates'!$L:$R,5,0),IF($LB279=30%,VLOOKUP($AW279,'Jan-2026 rates'!$L:$R,6,0),IF($LB279=100%,VLOOKUP($AW279,'Jan-2026 rates'!$L:$R,7,0),IF($LB279=60%,VLOOKUP($AW279,'Jan-2026 rates'!$L:$S,8,0),IF($LB279=80%,VLOOKUP($AW279,'Jan-2026 rates'!L:T,9,0),0))))))))</f>
        <v>0</v>
      </c>
      <c r="BC279" s="413">
        <v>26521000013</v>
      </c>
      <c r="BD279" s="412"/>
      <c r="BE279" s="412"/>
      <c r="BF279" s="413"/>
      <c r="BG279" s="412"/>
      <c r="BH279" s="412"/>
      <c r="BI279" s="412"/>
      <c r="BJ279" s="412"/>
      <c r="BK279" s="409">
        <v>1</v>
      </c>
      <c r="BL279" s="398" t="e">
        <f>IF(BK279=0,0,IF(LEN(BC279)=11,_xlfn.XLOOKUP(BC279,'Dispensed Ink Rates'!C:C,'Dispensed Ink Rates'!CS:CS),VLOOKUP(BC279,'Jan-2026 rates'!$E:$F,2,0)))</f>
        <v>#N/A</v>
      </c>
      <c r="BM279" s="409"/>
      <c r="BN279" s="398">
        <f>IF(BM279=0,0,IF(LEN(BD279)=11,_xlfn.XLOOKUP(BD279,'Dispensed Ink Rates'!C:C,'Dispensed Ink Rates'!CS:CS),VLOOKUP(BD279,'Jan-2026 rates'!$E:$F,2,0)))</f>
        <v>0</v>
      </c>
      <c r="BO279" s="409"/>
      <c r="BP279" s="398">
        <f>IF(BO279=0,0,IF(LEN(BE279)=11,_xlfn.XLOOKUP(BE279,'Dispensed Ink Rates'!C:C,'Dispensed Ink Rates'!CS:CS),VLOOKUP(BE279,'Jan-2026 rates'!$E:$F,2,0)))</f>
        <v>0</v>
      </c>
      <c r="BQ279" s="409"/>
      <c r="BR279" s="398">
        <f>IF(BQ279=0,0,IF(LEN(BF279)=11,_xlfn.XLOOKUP(BF279,'Dispensed Ink Rates'!C:C,'Dispensed Ink Rates'!CS:CS),VLOOKUP(BF279,'Jan-2026 rates'!$E:$F,2,0)))</f>
        <v>0</v>
      </c>
      <c r="BS279" s="409"/>
      <c r="BT279" s="398">
        <f>IF(BS279=0,0,IF(LEN(BG279)=11,_xlfn.XLOOKUP(BG279,'Dispensed Ink Rates'!C:C,'Dispensed Ink Rates'!CS:CS),VLOOKUP(BG279,'Jan-2026 rates'!$E:$F,2,0)))</f>
        <v>0</v>
      </c>
      <c r="BU279" s="409"/>
      <c r="BV279" s="398">
        <f>IF(BU279=0,0,IF(LEN(BH279)=11,_xlfn.XLOOKUP(BH279,'Dispensed Ink Rates'!C:C,'Dispensed Ink Rates'!CS:CS),VLOOKUP(BH279,'Jan-2026 rates'!$E:$F,2,0)))</f>
        <v>0</v>
      </c>
      <c r="BW279" s="409"/>
      <c r="BX279" s="398">
        <f>IF(BW279=0,0,IF(LEN(BI279)=11,_xlfn.XLOOKUP(BI279,'Dispensed Ink Rates'!C:C,'Dispensed Ink Rates'!CS:CS),VLOOKUP(BI279,'Jan-2026 rates'!$E:$F,2,0)))</f>
        <v>0</v>
      </c>
      <c r="BY279" s="409"/>
      <c r="BZ279" s="398">
        <f>IF(BY279=0,0,IF(LEN(BJ279)=11,_xlfn.XLOOKUP(BJ279,'Dispensed Ink Rates'!C:C,'Dispensed Ink Rates'!CS:CS),VLOOKUP(BJ279,'Jan-2026 rates'!$E:$F,2,0)))</f>
        <v>0</v>
      </c>
      <c r="CA279" s="409" t="s">
        <v>1443</v>
      </c>
      <c r="CB279" s="409">
        <v>20</v>
      </c>
      <c r="CC279" s="411">
        <f t="shared" si="215"/>
        <v>0</v>
      </c>
      <c r="CD279" s="411">
        <f t="shared" si="216"/>
        <v>8.8522727272727266</v>
      </c>
      <c r="CE279" s="410">
        <f t="shared" si="217"/>
        <v>0</v>
      </c>
      <c r="CF279" s="404" t="s">
        <v>547</v>
      </c>
      <c r="CG279" s="409" t="s">
        <v>4280</v>
      </c>
      <c r="CH279" s="420" t="str">
        <f t="shared" si="185"/>
        <v>FLINTSL - GREEN</v>
      </c>
      <c r="CI279" s="409">
        <v>25</v>
      </c>
      <c r="CJ279" s="411">
        <f>IF(CI279=0,0,IF($LB279=70%,VLOOKUP($CH279,'Jan-2026 rates'!$L:$R,4,0),IF($LB279=65%,VLOOKUP($CH279,'Jan-2026 rates'!$L:$R,4,0),IF($LB279=40%,VLOOKUP($CH279,'Jan-2026 rates'!$L:$R,5,0),IF($LB279=30%,VLOOKUP($CH279,'Jan-2026 rates'!$L:$R,6,0),IF($LB279=100%,VLOOKUP($CH279,'Jan-2026 rates'!$L:$R,7,0),IF($LB279=60%,VLOOKUP($CH279,'Jan-2026 rates'!$L:$S,8,0),IF($LB279=80%,VLOOKUP($CH279,'Jan-2026 rates'!L:T,9,0),0))))))))</f>
        <v>0</v>
      </c>
      <c r="CK279" s="412"/>
      <c r="CL279" s="409"/>
      <c r="CM279" s="411">
        <f>IF(CL279=0,0,IF($LB279=70%,VLOOKUP($CH279,'Jan-2026 rates'!$L:$R,4,0),IF($LB279=65%,VLOOKUP($CH279,'Jan-2026 rates'!$L:$R,4,0),IF($LB279=40%,VLOOKUP($CH279,'Jan-2026 rates'!$L:$R,5,0),IF($LB279=30%,VLOOKUP($CH279,'Jan-2026 rates'!$L:$R,6,0),IF($LB279=100%,VLOOKUP($CH279,'Jan-2026 rates'!$L:$R,7,0),IF($LB279=60%,VLOOKUP($CH279,'Jan-2026 rates'!$L:$S,8,0),IF($LB279=80%,VLOOKUP($CH279,'Jan-2026 rates'!L:T,9,0),0))))))))</f>
        <v>0</v>
      </c>
      <c r="CN279" s="426">
        <v>26523000003</v>
      </c>
      <c r="CO279" s="427"/>
      <c r="CP279" s="426"/>
      <c r="CQ279" s="426"/>
      <c r="CR279" s="428"/>
      <c r="CS279" s="428"/>
      <c r="CT279" s="428"/>
      <c r="CU279" s="428"/>
      <c r="CV279" s="409">
        <v>3</v>
      </c>
      <c r="CW279" s="398" t="e">
        <f>IF(CV279=0,0,IF(LEN(CN279)=11,_xlfn.XLOOKUP(CN279,'Dispensed Ink Rates'!C:C,'Dispensed Ink Rates'!CS:CS),VLOOKUP(CN279,'Jan-2026 rates'!$E:$F,2,0)))</f>
        <v>#N/A</v>
      </c>
      <c r="CX279" s="409"/>
      <c r="CY279" s="398">
        <f>IF(CX279=0,0,IF(LEN(CO279)=11,_xlfn.XLOOKUP(CO279,'Dispensed Ink Rates'!C:C,'Dispensed Ink Rates'!CS:CS),VLOOKUP(CO279,'Jan-2026 rates'!$E:$F,2,0)))</f>
        <v>0</v>
      </c>
      <c r="CZ279" s="409"/>
      <c r="DA279" s="398">
        <f>IF(CZ279=0,0,IF(LEN(CP279)=11,_xlfn.XLOOKUP(CP279,'Dispensed Ink Rates'!C:C,'Dispensed Ink Rates'!CS:CS),VLOOKUP(CP279,'Jan-2026 rates'!$E:$F,2,0)))</f>
        <v>0</v>
      </c>
      <c r="DB279" s="409"/>
      <c r="DC279" s="398">
        <f>IF(DB279=0,0,IF(LEN(CQ279)=11,_xlfn.XLOOKUP(CQ279,'Dispensed Ink Rates'!C:C,'Dispensed Ink Rates'!CS:CS),VLOOKUP(CQ279,'Jan-2026 rates'!$E:$F,2,0)))</f>
        <v>0</v>
      </c>
      <c r="DD279" s="409"/>
      <c r="DE279" s="398">
        <f>IF(DD279=0,0,IF(LEN(CR279)=11,_xlfn.XLOOKUP(CR279,'Dispensed Ink Rates'!C:C,'Dispensed Ink Rates'!CS:CS),VLOOKUP(CR279,'Jan-2026 rates'!$E:$F,2,0)))</f>
        <v>0</v>
      </c>
      <c r="DF279" s="409"/>
      <c r="DG279" s="398">
        <f>IF(DF279=0,0,IF(LEN(CS279)=11,_xlfn.XLOOKUP(CS279,'Dispensed Ink Rates'!C:C,'Dispensed Ink Rates'!CS:CS),VLOOKUP(CS279,'Jan-2026 rates'!$E:$F,2,0)))</f>
        <v>0</v>
      </c>
      <c r="DH279" s="409"/>
      <c r="DI279" s="398">
        <f>IF(DH279=0,0,IF(LEN(CT279)=11,_xlfn.XLOOKUP(CT279,'Dispensed Ink Rates'!C:C,'Dispensed Ink Rates'!CS:CS),VLOOKUP(CT279,'Jan-2026 rates'!$E:$F,2,0)))</f>
        <v>0</v>
      </c>
      <c r="DJ279" s="409"/>
      <c r="DK279" s="398">
        <f>IF(DJ279=0,0,IF(LEN(CU279)=11,_xlfn.XLOOKUP(CU279,'Dispensed Ink Rates'!C:C,'Dispensed Ink Rates'!CS:CS),VLOOKUP(CU279,'Jan-2026 rates'!$E:$F,2,0)))</f>
        <v>0</v>
      </c>
      <c r="DL279" s="409" t="s">
        <v>1443</v>
      </c>
      <c r="DM279" s="409">
        <v>25</v>
      </c>
      <c r="DN279" s="411">
        <f t="shared" si="218"/>
        <v>0</v>
      </c>
      <c r="DO279" s="411">
        <f t="shared" si="219"/>
        <v>5.5681818181818201</v>
      </c>
      <c r="DP279" s="410">
        <f t="shared" si="220"/>
        <v>0</v>
      </c>
      <c r="DQ279" s="405" t="s">
        <v>857</v>
      </c>
      <c r="DR279" s="409" t="s">
        <v>4281</v>
      </c>
      <c r="DS279" s="420" t="str">
        <f t="shared" si="186"/>
        <v>FLINTSL - RED</v>
      </c>
      <c r="DT279" s="409">
        <v>24</v>
      </c>
      <c r="DU279" s="411">
        <f>IF(DT279=0,0,IF($LB279=70%,VLOOKUP($DS279,'Jan-2026 rates'!$L:$R,4,0),IF($LB279=65%,VLOOKUP($DS279,'Jan-2026 rates'!$L:$R,4,0),IF($LB279=40%,VLOOKUP($DS279,'Jan-2026 rates'!$L:$R,5,0),IF($LB279=30%,VLOOKUP($DS279,'Jan-2026 rates'!$L:$R,6,0),IF($LB279=100%,VLOOKUP($DS279,'Jan-2026 rates'!$L:$R,7,0),IF($LB279=60%,VLOOKUP($DS279,'Jan-2026 rates'!$L:$S,8,0),IF($LB279=80%,VLOOKUP($DS279,'Jan-2026 rates'!L:T,9,0),0))))))))</f>
        <v>0</v>
      </c>
      <c r="DV279" s="412"/>
      <c r="DW279" s="409"/>
      <c r="DX279" s="411">
        <f>IF(DW279=0,0,IF($LB279=70%,VLOOKUP($DS279,'Jan-2026 rates'!$L:$R,4,0),IF($LB279=65%,VLOOKUP($DS279,'Jan-2026 rates'!$L:$R,4,0),IF($LB279=40%,VLOOKUP($DS279,'Jan-2026 rates'!$L:$R,5,0),IF($LB279=30%,VLOOKUP($DS279,'Jan-2026 rates'!$L:$R,6,0),IF($LB279=100%,VLOOKUP($DS279,'Jan-2026 rates'!$L:$R,7,0),IF($LB279=60%,VLOOKUP($DS279,'Jan-2026 rates'!$L:$S,8,0),IF($LB279=80%,VLOOKUP($DS279,'Jan-2026 rates'!L:T,9,0),0))))))))</f>
        <v>0</v>
      </c>
      <c r="DY279" s="413">
        <v>26521000005</v>
      </c>
      <c r="DZ279" s="413">
        <v>26523000011</v>
      </c>
      <c r="EA279" s="412"/>
      <c r="EB279" s="412"/>
      <c r="EC279" s="412"/>
      <c r="ED279" s="412"/>
      <c r="EE279" s="412"/>
      <c r="EF279" s="412"/>
      <c r="EG279" s="409">
        <v>3</v>
      </c>
      <c r="EH279" s="398" t="e">
        <f>IF(EG279=0,0,IF(LEN(DY279)=11,_xlfn.XLOOKUP(DY279,'Dispensed Ink Rates'!C:C,'Dispensed Ink Rates'!CS:CS),VLOOKUP(DY279,'Jan-2026 rates'!$E:$F,2,0)))</f>
        <v>#N/A</v>
      </c>
      <c r="EI279" s="409">
        <v>5</v>
      </c>
      <c r="EJ279" s="398" t="e">
        <f>IF(EI279=0,0,IF(LEN(DZ279)=11,_xlfn.XLOOKUP(DZ279,'Dispensed Ink Rates'!C:C,'Dispensed Ink Rates'!CS:CS),VLOOKUP(DZ279,'Jan-2026 rates'!$E:$F,2,0)))</f>
        <v>#N/A</v>
      </c>
      <c r="EK279" s="409"/>
      <c r="EL279" s="398">
        <f>IF(EK279=0,0,IF(LEN(EA279)=11,_xlfn.XLOOKUP(EA279,'Dispensed Ink Rates'!C:C,'Dispensed Ink Rates'!CS:CS),VLOOKUP(EA279,'Jan-2026 rates'!$E:$F,2,0)))</f>
        <v>0</v>
      </c>
      <c r="EM279" s="409"/>
      <c r="EN279" s="398">
        <f>IF(EM279=0,0,IF(LEN(EB279)=11,_xlfn.XLOOKUP(EB279,'Dispensed Ink Rates'!C:C,'Dispensed Ink Rates'!CS:CS),VLOOKUP(EB279,'Jan-2026 rates'!$E:$F,2,0)))</f>
        <v>0</v>
      </c>
      <c r="EO279" s="409"/>
      <c r="EP279" s="398">
        <f>IF(EO279=0,0,IF(LEN(EC279)=11,_xlfn.XLOOKUP(EC279,'Dispensed Ink Rates'!C:C,'Dispensed Ink Rates'!CS:CS),VLOOKUP(EC279,'Jan-2026 rates'!$E:$F,2,0)))</f>
        <v>0</v>
      </c>
      <c r="EQ279" s="409"/>
      <c r="ER279" s="398">
        <f>IF(EQ279=0,0,IF(LEN(ED279)=11,_xlfn.XLOOKUP(ED279,'Dispensed Ink Rates'!C:C,'Dispensed Ink Rates'!CS:CS),VLOOKUP(ED279,'Jan-2026 rates'!$E:$F,2,0)))</f>
        <v>0</v>
      </c>
      <c r="ES279" s="409"/>
      <c r="ET279" s="398">
        <f>IF(ES279=0,0,IF(LEN(EE279)=11,_xlfn.XLOOKUP(EE279,'Dispensed Ink Rates'!C:C,'Dispensed Ink Rates'!CS:CS),VLOOKUP(EE279,'Jan-2026 rates'!$E:$F,2,0)))</f>
        <v>0</v>
      </c>
      <c r="EU279" s="409"/>
      <c r="EV279" s="398">
        <f>IF(EU279=0,0,IF(LEN(EF279)=11,_xlfn.XLOOKUP(EF279,'Dispensed Ink Rates'!C:C,'Dispensed Ink Rates'!CS:CS),VLOOKUP(EF279,'Jan-2026 rates'!$E:$F,2,0)))</f>
        <v>0</v>
      </c>
      <c r="EW279" s="409" t="s">
        <v>1443</v>
      </c>
      <c r="EX279" s="409">
        <v>32</v>
      </c>
      <c r="EY279" s="411">
        <f t="shared" si="221"/>
        <v>0</v>
      </c>
      <c r="EZ279" s="411">
        <f t="shared" si="222"/>
        <v>8.9886363636363598</v>
      </c>
      <c r="FA279" s="410">
        <f t="shared" si="223"/>
        <v>0</v>
      </c>
      <c r="FB279" s="405" t="s">
        <v>855</v>
      </c>
      <c r="FC279" s="409" t="s">
        <v>4282</v>
      </c>
      <c r="FD279" s="420" t="str">
        <f t="shared" si="187"/>
        <v>FLINTSL - CYAN</v>
      </c>
      <c r="FE279" s="409">
        <v>27</v>
      </c>
      <c r="FF279" s="411">
        <f>IF(FE279=0,0,IF($LB279=70%,VLOOKUP($FD279,'Jan-2026 rates'!$L:$R,4,0),IF($LB279=65%,VLOOKUP($FD279,'Jan-2026 rates'!$L:$R,4,0),IF($LB279=40%,VLOOKUP($FD279,'Jan-2026 rates'!$L:$R,5,0),IF($LB279=30%,VLOOKUP($FD279,'Jan-2026 rates'!$L:$R,6,0),IF($LB279=100%,VLOOKUP($FD279,'Jan-2026 rates'!$L:$R,7,0),IF($LB279=60%,VLOOKUP($FD279,'Jan-2026 rates'!$L:$S,8,0),IF($LB279=80%,VLOOKUP($FD279,'Jan-2026 rates'!L:T,9,0),0))))))))</f>
        <v>0</v>
      </c>
      <c r="FG279" s="412"/>
      <c r="FH279" s="409"/>
      <c r="FI279" s="411">
        <f>IF(FH279=0,0,IF($LB279=70%,VLOOKUP($FD279,'Jan-2026 rates'!$L:$R,4,0),IF($LB279=65%,VLOOKUP($FD279,'Jan-2026 rates'!$L:$R,4,0),IF($LB279=40%,VLOOKUP($FD279,'Jan-2026 rates'!$L:$R,5,0),IF($LB279=30%,VLOOKUP($FD279,'Jan-2026 rates'!$L:$R,6,0),IF($LB279=100%,VLOOKUP($FD279,'Jan-2026 rates'!$L:$R,7,0),IF($LB279=60%,VLOOKUP($FD279,'Jan-2026 rates'!$L:$S,8,0),IF($LB279=80%,VLOOKUP($FD279,'Jan-2026 rates'!L:T,9,0),0))))))))</f>
        <v>0</v>
      </c>
      <c r="FJ279" s="413">
        <v>26522000002</v>
      </c>
      <c r="FK279" s="413"/>
      <c r="FL279" s="413"/>
      <c r="FM279" s="412"/>
      <c r="FN279" s="412"/>
      <c r="FO279" s="412"/>
      <c r="FP279" s="412"/>
      <c r="FQ279" s="412"/>
      <c r="FR279" s="409">
        <v>10</v>
      </c>
      <c r="FS279" s="398" t="e">
        <f>IF(FR279=0,0,IF(LEN(FJ279)=11,_xlfn.XLOOKUP(FJ279,'Dispensed Ink Rates'!C:C,'Dispensed Ink Rates'!CS:CS),VLOOKUP(FJ279,'Jan-2026 rates'!$E:$F,2,0)))</f>
        <v>#N/A</v>
      </c>
      <c r="FT279" s="409"/>
      <c r="FU279" s="398">
        <f>IF(FT279=0,0,IF(LEN(FK279)=11,_xlfn.XLOOKUP(FK279,'Dispensed Ink Rates'!C:C,'Dispensed Ink Rates'!CS:CS),VLOOKUP(FK279,'Jan-2026 rates'!$E:$F,2,0)))</f>
        <v>0</v>
      </c>
      <c r="FV279" s="409"/>
      <c r="FW279" s="398">
        <f>IF(FV279=0,0,IF(LEN(FL279)=11,_xlfn.XLOOKUP(FL279,'Dispensed Ink Rates'!C:C,'Dispensed Ink Rates'!CS:CS),VLOOKUP(FL279,'Jan-2026 rates'!$E:$F,2,0)))</f>
        <v>0</v>
      </c>
      <c r="FX279" s="409"/>
      <c r="FY279" s="398">
        <f>IF(FX279=0,0,IF(LEN(FM279)=11,_xlfn.XLOOKUP(FM279,'Dispensed Ink Rates'!C:C,'Dispensed Ink Rates'!CS:CS),VLOOKUP(FM279,'Jan-2026 rates'!$E:$F,2,0)))</f>
        <v>0</v>
      </c>
      <c r="FZ279" s="409"/>
      <c r="GA279" s="398">
        <f>IF(FZ279=0,0,IF(LEN(FN279)=11,_xlfn.XLOOKUP(FN279,'Dispensed Ink Rates'!C:C,'Dispensed Ink Rates'!CS:CS),VLOOKUP(FN279,'Jan-2026 rates'!$E:$F,2,0)))</f>
        <v>0</v>
      </c>
      <c r="GB279" s="409"/>
      <c r="GC279" s="398">
        <f>IF(GB279=0,0,IF(LEN(FO279)=11,_xlfn.XLOOKUP(FO279,'Dispensed Ink Rates'!C:C,'Dispensed Ink Rates'!CS:CS),VLOOKUP(FO279,'Jan-2026 rates'!$E:$F,2,0)))</f>
        <v>0</v>
      </c>
      <c r="GD279" s="409"/>
      <c r="GE279" s="398">
        <f>IF(GD279=0,0,IF(LEN(FP279)=11,_xlfn.XLOOKUP(FP279,'Dispensed Ink Rates'!C:C,'Dispensed Ink Rates'!CS:CS),VLOOKUP(FP279,'Jan-2026 rates'!$E:$F,2,0)))</f>
        <v>0</v>
      </c>
      <c r="GF279" s="409"/>
      <c r="GG279" s="398">
        <f>IF(GF279=0,0,IF(LEN(FQ279)=11,_xlfn.XLOOKUP(FQ279,'Dispensed Ink Rates'!C:C,'Dispensed Ink Rates'!CS:CS),VLOOKUP(FQ279,'Jan-2026 rates'!$E:$F,2,0)))</f>
        <v>0</v>
      </c>
      <c r="GH279" s="409" t="s">
        <v>1443</v>
      </c>
      <c r="GI279" s="409">
        <v>21</v>
      </c>
      <c r="GJ279" s="411">
        <f t="shared" si="224"/>
        <v>0</v>
      </c>
      <c r="GK279" s="411">
        <f t="shared" si="225"/>
        <v>24.98863636363636</v>
      </c>
      <c r="GL279" s="410">
        <f t="shared" si="226"/>
        <v>0</v>
      </c>
      <c r="GM279" s="405" t="s">
        <v>544</v>
      </c>
      <c r="GN279" s="409" t="s">
        <v>4283</v>
      </c>
      <c r="GO279" s="420" t="str">
        <f t="shared" si="188"/>
        <v>FLINTSL - MAGENTA</v>
      </c>
      <c r="GP279" s="409">
        <v>24</v>
      </c>
      <c r="GQ279" s="411">
        <f>IF(GP279=0,0,IF($LB279=70%,VLOOKUP($GO279,'Jan-2026 rates'!$L:$R,4,0),IF($LB279=65%,VLOOKUP($GO279,'Jan-2026 rates'!$L:$R,4,0),IF($LB279=40%,VLOOKUP($GO279,'Jan-2026 rates'!$L:$R,5,0),IF($LB279=30%,VLOOKUP($GO279,'Jan-2026 rates'!$L:$R,6,0),IF($LB279=100%,VLOOKUP($GO279,'Jan-2026 rates'!$L:$R,7,0),IF($LB279=60%,VLOOKUP($GO279,'Jan-2026 rates'!$L:$S,8,0),IF($LB279=80%,VLOOKUP($GO279,'Jan-2026 rates'!L:T,9,0),0))))))))</f>
        <v>0</v>
      </c>
      <c r="GR279" s="412"/>
      <c r="GS279" s="409"/>
      <c r="GT279" s="411">
        <f>IF(GS279=0,0,IF($LB279=70%,VLOOKUP($GO279,'Jan-2026 rates'!$L:$R,4,0),IF($LB279=65%,VLOOKUP($GO279,'Jan-2026 rates'!$L:$R,4,0),IF($LB279=40%,VLOOKUP($GO279,'Jan-2026 rates'!$L:$R,5,0),IF($LB279=30%,VLOOKUP($GO279,'Jan-2026 rates'!$L:$R,6,0),IF($LB279=100%,VLOOKUP($GO279,'Jan-2026 rates'!$L:$R,7,0),IF($LB279=60%,VLOOKUP($GO279,'Jan-2026 rates'!$L:$S,8,0),IF($LB279=80%,VLOOKUP($GO279,'Jan-2026 rates'!L:T,9,0),0))))))))</f>
        <v>0</v>
      </c>
      <c r="GU279" s="413">
        <v>26521000005</v>
      </c>
      <c r="GV279" s="413"/>
      <c r="GW279" s="412"/>
      <c r="GX279" s="412"/>
      <c r="GY279" s="412"/>
      <c r="GZ279" s="412"/>
      <c r="HA279" s="412"/>
      <c r="HB279" s="412"/>
      <c r="HC279" s="409">
        <v>3</v>
      </c>
      <c r="HD279" s="398" t="e">
        <f>IF(HC279=0,0,IF(LEN(GU279)=11,_xlfn.XLOOKUP(GU279,'Dispensed Ink Rates'!C:C,'Dispensed Ink Rates'!CS:CS),VLOOKUP(GU279,'Jan-2026 rates'!$E:$F,2,0)))</f>
        <v>#N/A</v>
      </c>
      <c r="HE279" s="409"/>
      <c r="HF279" s="398">
        <f>IF(HE279=0,0,IF(LEN(GV279)=11,_xlfn.XLOOKUP(GV279,'Dispensed Ink Rates'!C:C,'Dispensed Ink Rates'!CS:CS),VLOOKUP(GV279,'Jan-2026 rates'!$E:$F,2,0)))</f>
        <v>0</v>
      </c>
      <c r="HG279" s="409"/>
      <c r="HH279" s="398">
        <f>IF(HG279=0,0,IF(LEN(GW279)=11,_xlfn.XLOOKUP(GW279,'Dispensed Ink Rates'!C:C,'Dispensed Ink Rates'!CS:CS),VLOOKUP(GW279,'Jan-2026 rates'!$E:$F,2,0)))</f>
        <v>0</v>
      </c>
      <c r="HI279" s="409"/>
      <c r="HJ279" s="398">
        <f>IF(HI279=0,0,IF(LEN(GX279)=11,_xlfn.XLOOKUP(GX279,'Dispensed Ink Rates'!C:C,'Dispensed Ink Rates'!CS:CS),VLOOKUP(GX279,'Jan-2026 rates'!$E:$F,2,0)))</f>
        <v>0</v>
      </c>
      <c r="HK279" s="409"/>
      <c r="HL279" s="398">
        <f>IF(HK279=0,0,IF(LEN(GY279)=11,_xlfn.XLOOKUP(GY279,'Dispensed Ink Rates'!C:C,'Dispensed Ink Rates'!CS:CS),VLOOKUP(GY279,'Jan-2026 rates'!$E:$F,2,0)))</f>
        <v>0</v>
      </c>
      <c r="HM279" s="409"/>
      <c r="HN279" s="398">
        <f>IF(HM279=0,0,IF(LEN(GZ279)=11,_xlfn.XLOOKUP(GZ279,'Dispensed Ink Rates'!C:C,'Dispensed Ink Rates'!CS:CS),VLOOKUP(GZ279,'Jan-2026 rates'!$E:$F,2,0)))</f>
        <v>0</v>
      </c>
      <c r="HO279" s="409"/>
      <c r="HP279" s="398">
        <f>IF(HO279=0,0,IF(LEN(HA279)=11,_xlfn.XLOOKUP(HA279,'Dispensed Ink Rates'!C:C,'Dispensed Ink Rates'!CS:CS),VLOOKUP(HA279,'Jan-2026 rates'!$E:$F,2,0)))</f>
        <v>0</v>
      </c>
      <c r="HQ279" s="409"/>
      <c r="HR279" s="398">
        <f>IF(HQ279=0,0,IF(LEN(HB279)=11,_xlfn.XLOOKUP(HB279,'Dispensed Ink Rates'!C:C,'Dispensed Ink Rates'!CS:CS),VLOOKUP(HB279,'Jan-2026 rates'!$E:$F,2,0)))</f>
        <v>0</v>
      </c>
      <c r="HS279" s="409" t="s">
        <v>1443</v>
      </c>
      <c r="HT279" s="409">
        <v>25</v>
      </c>
      <c r="HU279" s="411">
        <f t="shared" si="227"/>
        <v>0</v>
      </c>
      <c r="HV279" s="411">
        <f t="shared" si="228"/>
        <v>7.1363636363636402</v>
      </c>
      <c r="HW279" s="414">
        <f t="shared" si="229"/>
        <v>0</v>
      </c>
      <c r="HX279" s="405" t="s">
        <v>545</v>
      </c>
      <c r="HY279" s="409" t="s">
        <v>4284</v>
      </c>
      <c r="HZ279" s="420" t="str">
        <f t="shared" si="189"/>
        <v>FLINTSL - YELLOW</v>
      </c>
      <c r="IA279" s="409">
        <v>27</v>
      </c>
      <c r="IB279" s="411">
        <f>IF(IA279=0,0,IF($LB279=70%,VLOOKUP($HZ279,'Jan-2026 rates'!$L:$R,4,0),IF($LB279=65%,VLOOKUP($HZ279,'Jan-2026 rates'!$L:$R,4,0),IF($LB279=40%,VLOOKUP($HZ279,'Jan-2026 rates'!$L:$R,5,0),IF($LB279=30%,VLOOKUP($HZ279,'Jan-2026 rates'!$L:$R,6,0),IF($LB279=100%,VLOOKUP($HZ279,'Jan-2026 rates'!$L:$R,7,0),IF($LB279=60%,VLOOKUP($HZ279,'Jan-2026 rates'!$L:$S,8,0),IF($LB279=80%,VLOOKUP($HZ279,'Jan-2026 rates'!L:T,9,0),0))))))))</f>
        <v>0</v>
      </c>
      <c r="IC279" s="412"/>
      <c r="ID279" s="409"/>
      <c r="IE279" s="411">
        <f>IF(ID279=0,0,IF($LB279=70%,VLOOKUP($HZ279,'Jan-2026 rates'!$L:$R,4,0),IF($LB279=65%,VLOOKUP($HZ279,'Jan-2026 rates'!$L:$R,4,0),IF($LB279=40%,VLOOKUP($HZ279,'Jan-2026 rates'!$L:$R,5,0),IF($LB279=30%,VLOOKUP($HZ279,'Jan-2026 rates'!$L:$R,6,0),IF($LB279=100%,VLOOKUP($HZ279,'Jan-2026 rates'!$L:$R,7,0),IF($LB279=60%,VLOOKUP($HZ279,'Jan-2026 rates'!$L:$S,8,0),IF($LB279=80%,VLOOKUP($HZ279,'Jan-2026 rates'!L:T,9,0),0))))))))</f>
        <v>0</v>
      </c>
      <c r="IF279" s="412">
        <v>26522000004</v>
      </c>
      <c r="IG279" s="413">
        <v>26523000015</v>
      </c>
      <c r="IH279" s="412">
        <v>26523000003</v>
      </c>
      <c r="II279" s="412" t="s">
        <v>1266</v>
      </c>
      <c r="IJ279" s="412"/>
      <c r="IK279" s="412"/>
      <c r="IL279" s="412"/>
      <c r="IM279" s="412"/>
      <c r="IN279" s="409">
        <v>35</v>
      </c>
      <c r="IO279" s="398" t="e">
        <f>IF(IN279=0,0,IF(LEN(IF279)=11,_xlfn.XLOOKUP(IF279,'Dispensed Ink Rates'!C:C,'Dispensed Ink Rates'!CS:CS),VLOOKUP(IF279,'Jan-2026 rates'!$E:$F,2,0)))</f>
        <v>#N/A</v>
      </c>
      <c r="IP279" s="409">
        <v>30</v>
      </c>
      <c r="IQ279" s="398" t="e">
        <f>IF(IP279=0,0,IF(LEN(IG279)=11,_xlfn.XLOOKUP(IG279,'Dispensed Ink Rates'!C:C,'Dispensed Ink Rates'!CS:CS),VLOOKUP(IG279,'Jan-2026 rates'!$E:$F,2,0)))</f>
        <v>#N/A</v>
      </c>
      <c r="IR279" s="409">
        <v>10</v>
      </c>
      <c r="IS279" s="398" t="e">
        <f>IF(IR279=0,0,IF(LEN(IH279)=11,_xlfn.XLOOKUP(IH279,'Dispensed Ink Rates'!C:C,'Dispensed Ink Rates'!CS:CS),VLOOKUP(IH279,'Jan-2026 rates'!$E:$F,2,0)))</f>
        <v>#N/A</v>
      </c>
      <c r="IT279" s="409">
        <v>12</v>
      </c>
      <c r="IU279" s="398">
        <f>IF(IT279=0,0,IF(LEN(II279)=11,_xlfn.XLOOKUP(II279,'Dispensed Ink Rates'!C:C,'Dispensed Ink Rates'!CS:CS),VLOOKUP(II279,'Jan-2026 rates'!$E:$F,2,0)))</f>
        <v>0</v>
      </c>
      <c r="IV279" s="409"/>
      <c r="IW279" s="398">
        <f>IF(IV279=0,0,IF(LEN(IJ279)=11,_xlfn.XLOOKUP(IJ279,'Dispensed Ink Rates'!C:C,'Dispensed Ink Rates'!CS:CS),VLOOKUP(IJ279,'Jan-2026 rates'!$E:$F,2,0)))</f>
        <v>0</v>
      </c>
      <c r="IX279" s="409"/>
      <c r="IY279" s="398">
        <f>IF(IX279=0,0,IF(LEN(IK279)=11,_xlfn.XLOOKUP(IK279,'Dispensed Ink Rates'!C:C,'Dispensed Ink Rates'!CS:CS),VLOOKUP(IK279,'Jan-2026 rates'!$E:$F,2,0)))</f>
        <v>0</v>
      </c>
      <c r="IZ279" s="409"/>
      <c r="JA279" s="398">
        <f>IF(IZ279=0,0,IF(LEN(IL279)=11,_xlfn.XLOOKUP(IL279,'Dispensed Ink Rates'!C:C,'Dispensed Ink Rates'!CS:CS),VLOOKUP(IL279,'Jan-2026 rates'!$E:$F,2,0)))</f>
        <v>0</v>
      </c>
      <c r="JB279" s="409"/>
      <c r="JC279" s="398">
        <f>IF(JB279=0,0,IF(LEN(IM279)=11,_xlfn.XLOOKUP(IM279,'Dispensed Ink Rates'!C:C,'Dispensed Ink Rates'!CS:CS),VLOOKUP(IM279,'Jan-2026 rates'!$E:$F,2,0)))</f>
        <v>0</v>
      </c>
      <c r="JD279" s="409" t="s">
        <v>1443</v>
      </c>
      <c r="JE279" s="409">
        <v>28</v>
      </c>
      <c r="JF279" s="411">
        <f t="shared" si="230"/>
        <v>0</v>
      </c>
      <c r="JG279" s="411">
        <f t="shared" si="231"/>
        <v>105.26136363636363</v>
      </c>
      <c r="JH279" s="410">
        <f t="shared" si="232"/>
        <v>0</v>
      </c>
      <c r="JI279" s="405" t="s">
        <v>856</v>
      </c>
      <c r="JJ279" s="409" t="s">
        <v>4285</v>
      </c>
      <c r="JK279" s="420" t="str">
        <f t="shared" si="190"/>
        <v>FLINTSL - WHITE</v>
      </c>
      <c r="JL279" s="409">
        <v>29</v>
      </c>
      <c r="JM279" s="411">
        <f>IF(JL279=0,0,IF($LB279=70%,VLOOKUP($JK279,'Jan-2026 rates'!$L:$R,4,0),IF($LB279=65%,VLOOKUP($JK279,'Jan-2026 rates'!$L:$R,4,0),IF($LB279=40%,VLOOKUP($JK279,'Jan-2026 rates'!$L:$R,5,0),IF($LB279=30%,VLOOKUP($JK279,'Jan-2026 rates'!$L:$R,6,0),IF($LB279=100%,VLOOKUP($JK279,'Jan-2026 rates'!$L:$R,7,0),IF($LB279=60%,VLOOKUP($JK279,'Jan-2026 rates'!$L:$S,8,0),IF($LB279=80%,VLOOKUP($JK279,'Jan-2026 rates'!L:T,9,0),0))))))))</f>
        <v>0</v>
      </c>
      <c r="JN279" s="412"/>
      <c r="JO279" s="409"/>
      <c r="JP279" s="411">
        <f>IF(JO279=0,0,IF($LB279=70%,VLOOKUP($JK279,'Jan-2026 rates'!$L:$R,4,0),IF($LB279=65%,VLOOKUP($JK279,'Jan-2026 rates'!$L:$R,4,0),IF($LB279=40%,VLOOKUP($JK279,'Jan-2026 rates'!$L:$R,5,0),IF($LB279=30%,VLOOKUP($JK279,'Jan-2026 rates'!$L:$R,6,0),IF($LB279=100%,VLOOKUP($JK279,'Jan-2026 rates'!$L:$R,7,0),IF($LB279=60%,VLOOKUP($JK279,'Jan-2026 rates'!$L:$S,8,0),IF($LB279=80%,VLOOKUP($JK279,'Jan-2026 rates'!L:T,9,0),0))))))))</f>
        <v>0</v>
      </c>
      <c r="JQ279" s="413" t="s">
        <v>484</v>
      </c>
      <c r="JR279" s="412"/>
      <c r="JS279" s="413"/>
      <c r="JT279" s="413"/>
      <c r="JU279" s="412"/>
      <c r="JV279" s="412"/>
      <c r="JW279" s="412"/>
      <c r="JX279" s="412"/>
      <c r="JY279" s="409">
        <v>60</v>
      </c>
      <c r="JZ279" s="398">
        <f>IF(JY279=0,0,IF(LEN(JQ279)=11,_xlfn.XLOOKUP(JQ279,'Dispensed Ink Rates'!C:C,'Dispensed Ink Rates'!CS:CS),VLOOKUP(JQ279,'Jan-2026 rates'!$E:$F,2,0)))</f>
        <v>0</v>
      </c>
      <c r="KA279" s="409"/>
      <c r="KB279" s="398">
        <f>IF(KA279=0,0,IF(LEN(JR279)=11,_xlfn.XLOOKUP(JR279,'Dispensed Ink Rates'!C:C,'Dispensed Ink Rates'!CS:CS),VLOOKUP(JR279,'Jan-2026 rates'!$E:$F,2,0)))</f>
        <v>0</v>
      </c>
      <c r="KC279" s="409"/>
      <c r="KD279" s="398">
        <f>IF(KC279=0,0,IF(LEN(JS279)=11,_xlfn.XLOOKUP(JS279,'Dispensed Ink Rates'!C:C,'Dispensed Ink Rates'!CS:CS),VLOOKUP(JS279,'Jan-2026 rates'!$E:$F,2,0)))</f>
        <v>0</v>
      </c>
      <c r="KE279" s="409"/>
      <c r="KF279" s="398">
        <f>IF(KE279=0,0,IF(LEN(JT279)=11,_xlfn.XLOOKUP(JT279,'Dispensed Ink Rates'!C:C,'Dispensed Ink Rates'!CS:CS),VLOOKUP(JT279,'Jan-2026 rates'!$E:$F,2,0)))</f>
        <v>0</v>
      </c>
      <c r="KG279" s="409"/>
      <c r="KH279" s="398">
        <f>IF(KG279=0,0,IF(LEN(JU279)=11,_xlfn.XLOOKUP(JU279,'Dispensed Ink Rates'!C:C,'Dispensed Ink Rates'!CS:CS),VLOOKUP(JU279,'Jan-2026 rates'!$E:$F,2,0)))</f>
        <v>0</v>
      </c>
      <c r="KI279" s="409"/>
      <c r="KJ279" s="398">
        <f>IF(KI279=0,0,IF(LEN(JV279)=11,_xlfn.XLOOKUP(JV279,'Dispensed Ink Rates'!C:C,'Dispensed Ink Rates'!CS:CS),VLOOKUP(JV279,'Jan-2026 rates'!$E:$F,2,0)))</f>
        <v>0</v>
      </c>
      <c r="KK279" s="409"/>
      <c r="KL279" s="398">
        <f>IF(KK279=0,0,IF(LEN(JW279)=11,_xlfn.XLOOKUP(JW279,'Dispensed Ink Rates'!C:C,'Dispensed Ink Rates'!CS:CS),VLOOKUP(JW279,'Jan-2026 rates'!$E:$F,2,0)))</f>
        <v>0</v>
      </c>
      <c r="KM279" s="428"/>
      <c r="KN279" s="398">
        <f>IF(KM279=0,0,IF(LEN(JX279)=11,_xlfn.XLOOKUP(JX279,'Dispensed Ink Rates'!C:C,'Dispensed Ink Rates'!CS:CS),VLOOKUP(JX279,'Jan-2026 rates'!$E:$F,2,0)))</f>
        <v>0</v>
      </c>
      <c r="KO279" s="409" t="s">
        <v>1443</v>
      </c>
      <c r="KP279" s="409">
        <v>30</v>
      </c>
      <c r="KQ279" s="411">
        <f t="shared" si="233"/>
        <v>0</v>
      </c>
      <c r="KR279" s="411">
        <f t="shared" si="234"/>
        <v>97.52272727272728</v>
      </c>
      <c r="KS279" s="410">
        <f t="shared" si="235"/>
        <v>0</v>
      </c>
      <c r="KT279" s="409">
        <f>15+5</f>
        <v>20</v>
      </c>
      <c r="KU279" s="409">
        <v>3</v>
      </c>
      <c r="KV279" s="409">
        <v>2</v>
      </c>
      <c r="KW279" s="409">
        <v>7</v>
      </c>
      <c r="KX279" s="409">
        <v>7</v>
      </c>
      <c r="KY279" s="409">
        <v>4</v>
      </c>
      <c r="KZ279" s="409">
        <v>15</v>
      </c>
      <c r="LA279" s="409">
        <v>30</v>
      </c>
      <c r="LB279" s="415">
        <v>0.8</v>
      </c>
      <c r="LC279" s="415">
        <v>0.2</v>
      </c>
      <c r="LD279" s="415"/>
      <c r="LE279" s="415"/>
      <c r="LF279" s="415"/>
      <c r="LG279" s="409">
        <v>0</v>
      </c>
      <c r="LH279" s="409">
        <f>30+23+48+12</f>
        <v>113</v>
      </c>
      <c r="LI279" s="409">
        <v>0</v>
      </c>
      <c r="LJ279" s="409">
        <v>0</v>
      </c>
      <c r="LK279" s="416">
        <f t="shared" si="191"/>
        <v>113</v>
      </c>
      <c r="LL279" s="416">
        <f t="shared" si="192"/>
        <v>113</v>
      </c>
      <c r="LM279" s="417">
        <f t="shared" si="193"/>
        <v>90.4</v>
      </c>
      <c r="LN279" s="417">
        <f>VLOOKUP($LM$8,'Jan-2026 rates'!$H:$I,2,0)</f>
        <v>0</v>
      </c>
      <c r="LO279" s="417">
        <f t="shared" si="194"/>
        <v>22.6</v>
      </c>
      <c r="LP279" s="417">
        <f>VLOOKUP($LO$8,'Jan-2026 rates'!$H:$I,2,0)</f>
        <v>0</v>
      </c>
      <c r="LQ279" s="417">
        <f t="shared" si="195"/>
        <v>0</v>
      </c>
      <c r="LR279" s="417">
        <f>VLOOKUP($LQ$8,'Jan-2026 rates'!$H:$I,2,0)</f>
        <v>0</v>
      </c>
      <c r="LS279" s="417">
        <f t="shared" si="196"/>
        <v>0</v>
      </c>
      <c r="LT279" s="417">
        <f>VLOOKUP($LS$8,'Jan-2026 rates'!$H:$I,2,0)</f>
        <v>0</v>
      </c>
      <c r="LU279" s="417">
        <f t="shared" si="197"/>
        <v>0</v>
      </c>
      <c r="LV279" s="417">
        <f>VLOOKUP($LU$8,'Jan-2026 rates'!$H:$I,2,0)</f>
        <v>0</v>
      </c>
      <c r="LW279" s="417">
        <f t="shared" si="198"/>
        <v>0</v>
      </c>
      <c r="LX279" s="417">
        <f t="shared" si="199"/>
        <v>0</v>
      </c>
      <c r="LY279" s="418">
        <f t="shared" si="200"/>
        <v>0</v>
      </c>
      <c r="LZ279" s="417"/>
      <c r="MA279" s="435">
        <f t="shared" si="201"/>
        <v>191</v>
      </c>
      <c r="MB279" s="282">
        <f t="shared" si="202"/>
        <v>274</v>
      </c>
      <c r="MC279" s="283">
        <v>172</v>
      </c>
      <c r="MD279" s="284" t="str">
        <f t="shared" si="203"/>
        <v>FLINTSLFLINTSLFLINTSLFLINTSLFLINTSLFLINTSLFLINTSLFLINTSL</v>
      </c>
      <c r="ME279" s="293" t="str">
        <f t="shared" si="204"/>
        <v>+</v>
      </c>
      <c r="MF279" s="293" t="str">
        <f t="shared" si="205"/>
        <v>+</v>
      </c>
      <c r="MG279" s="293" t="str">
        <f t="shared" si="206"/>
        <v>+</v>
      </c>
      <c r="MH279" s="293" t="str">
        <f t="shared" si="207"/>
        <v>+</v>
      </c>
      <c r="MI279" s="293" t="str">
        <f t="shared" si="208"/>
        <v>+</v>
      </c>
      <c r="MJ279" s="293" t="str">
        <f t="shared" si="209"/>
        <v>+</v>
      </c>
      <c r="MK279" s="293" t="str">
        <f t="shared" si="210"/>
        <v>+</v>
      </c>
      <c r="ML279" s="293" t="str">
        <f t="shared" si="211"/>
        <v>+</v>
      </c>
      <c r="MM279" s="3" t="b">
        <f t="array" ref="MM279">OR(ME279:ML279="-")</f>
        <v>0</v>
      </c>
      <c r="MN279" s="285"/>
      <c r="MO279" s="401"/>
      <c r="MP279" s="286"/>
      <c r="MQ279" s="286"/>
      <c r="MR279" s="402"/>
      <c r="MS279" s="400"/>
      <c r="NH279" s="422"/>
      <c r="NJ279" s="421"/>
    </row>
    <row r="280" spans="1:374" s="1" customFormat="1" ht="16.5">
      <c r="A280" s="403">
        <v>46044</v>
      </c>
      <c r="B280" s="404" t="s">
        <v>1015</v>
      </c>
      <c r="C280" s="405" t="s">
        <v>4286</v>
      </c>
      <c r="D280" s="406">
        <v>173</v>
      </c>
      <c r="E280" s="404">
        <v>543</v>
      </c>
      <c r="F280" s="407">
        <v>19000</v>
      </c>
      <c r="G280" s="407" t="s">
        <v>1019</v>
      </c>
      <c r="H280" s="408" t="s">
        <v>1017</v>
      </c>
      <c r="I280" s="409">
        <v>1.7</v>
      </c>
      <c r="J280" s="405" t="s">
        <v>543</v>
      </c>
      <c r="K280" s="404" t="s">
        <v>4287</v>
      </c>
      <c r="L280" s="419" t="str">
        <f t="shared" si="184"/>
        <v>FLINTSL - BLACK</v>
      </c>
      <c r="M280" s="404">
        <v>22</v>
      </c>
      <c r="N280" s="410">
        <f>IF(M280=0,0,IF($LB280=70%,VLOOKUP($L280,'Jan-2026 rates'!$L:$R,4,0),IF($LB280=65%,VLOOKUP($L280,'Jan-2026 rates'!$L:$R,4,0),IF($LB280=40%,VLOOKUP($L280,'Jan-2026 rates'!$L:$R,5,0),IF($LB280=30%,VLOOKUP($L280,'Jan-2026 rates'!$L:$R,6,0),IF($LB280=100%,VLOOKUP($L280,'Jan-2026 rates'!$L:$R,7,0),IF($LB280=60%,VLOOKUP($L280,'Jan-2026 rates'!$L:$S,8,0),IF($LB280=80%,VLOOKUP($L280,'Jan-2026 rates'!L:T,9,0),0))))))))</f>
        <v>0</v>
      </c>
      <c r="O280" s="406"/>
      <c r="P280" s="404"/>
      <c r="Q280" s="410">
        <f>IF(P280=0,0,IF($LB280=70%,VLOOKUP($L280,'Jan-2026 rates'!$L:$R,4,0),IF($LB280=65%,VLOOKUP($L280,'Jan-2026 rates'!$L:$R,4,0),IF($LB280=40%,VLOOKUP($L280,'Jan-2026 rates'!$L:$R,5,0),IF($LB280=30%,VLOOKUP($L280,'Jan-2026 rates'!$L:$R,6,0),IF($LB280=100%,VLOOKUP($L280,'Jan-2026 rates'!$L:$R,7,0),IF($LB280=60%,VLOOKUP($L280,'Jan-2026 rates'!$L:$S,8,0),IF($LB280=80%,VLOOKUP($L280,'Jan-2026 rates'!L:T,9,0),0))))))))</f>
        <v>0</v>
      </c>
      <c r="R280" s="406">
        <v>26523000027</v>
      </c>
      <c r="S280" s="406"/>
      <c r="T280" s="406"/>
      <c r="U280" s="406"/>
      <c r="V280" s="406"/>
      <c r="W280" s="406"/>
      <c r="X280" s="406"/>
      <c r="Y280" s="406"/>
      <c r="Z280" s="404">
        <v>5</v>
      </c>
      <c r="AA280" s="398" t="e">
        <f>IF(Z280=0,0,IF(LEN(R280)=11,_xlfn.XLOOKUP(R280,'Dispensed Ink Rates'!C:C,'Dispensed Ink Rates'!CS:CS),VLOOKUP(R280,'Jan-2026 rates'!$E:$F,2,0)))</f>
        <v>#N/A</v>
      </c>
      <c r="AB280" s="404"/>
      <c r="AC280" s="398">
        <f>IF(AB280=0,0,IF(LEN(S280)=11,_xlfn.XLOOKUP(S280,'Dispensed Ink Rates'!C:C,'Dispensed Ink Rates'!CS:CS),VLOOKUP(S280,'Jan-2026 rates'!$E:$F,2,0)))</f>
        <v>0</v>
      </c>
      <c r="AD280" s="404"/>
      <c r="AE280" s="398">
        <f>IF(AD280=0,0,IF(LEN(T280)=11,_xlfn.XLOOKUP(T280,'Dispensed Ink Rates'!C:C,'Dispensed Ink Rates'!CS:CS),VLOOKUP(T280,'Jan-2026 rates'!$E:$F,2,0)))</f>
        <v>0</v>
      </c>
      <c r="AF280" s="404"/>
      <c r="AG280" s="398">
        <f>IF(AF280=0,0,IF(LEN(U280)=11,_xlfn.XLOOKUP(U280,'Dispensed Ink Rates'!C:C,'Dispensed Ink Rates'!CS:CS),VLOOKUP(U280,'Jan-2026 rates'!$E:$F,2,0)))</f>
        <v>0</v>
      </c>
      <c r="AH280" s="404"/>
      <c r="AI280" s="398">
        <f>IF(AH280=0,0,IF(LEN(V280)=11,_xlfn.XLOOKUP(V280,'Dispensed Ink Rates'!C:C,'Dispensed Ink Rates'!CS:CS),VLOOKUP(V280,'Jan-2026 rates'!$E:$F,2,0)))</f>
        <v>0</v>
      </c>
      <c r="AJ280" s="404"/>
      <c r="AK280" s="398">
        <f>IF(AJ280=0,0,IF(LEN(W280)=11,_xlfn.XLOOKUP(W280,'Dispensed Ink Rates'!C:C,'Dispensed Ink Rates'!CS:CS),VLOOKUP(W280,'Jan-2026 rates'!$E:$F,2,0)))</f>
        <v>0</v>
      </c>
      <c r="AL280" s="404"/>
      <c r="AM280" s="398">
        <f>IF(AL280=0,0,IF(LEN(X280)=11,_xlfn.XLOOKUP(X280,'Dispensed Ink Rates'!C:C,'Dispensed Ink Rates'!CS:CS),VLOOKUP(X280,'Jan-2026 rates'!$E:$F,2,0)))</f>
        <v>0</v>
      </c>
      <c r="AN280" s="404"/>
      <c r="AO280" s="398">
        <f>IF(AN280=0,0,IF(LEN(Y280)=11,_xlfn.XLOOKUP(Y280,'Dispensed Ink Rates'!C:C,'Dispensed Ink Rates'!CS:CS),VLOOKUP(Y280,'Jan-2026 rates'!$E:$F,2,0)))</f>
        <v>0</v>
      </c>
      <c r="AP280" s="409" t="s">
        <v>1443</v>
      </c>
      <c r="AQ280" s="409">
        <v>25</v>
      </c>
      <c r="AR280" s="410">
        <f t="shared" si="212"/>
        <v>0</v>
      </c>
      <c r="AS280" s="411">
        <f t="shared" si="213"/>
        <v>11.066666666666663</v>
      </c>
      <c r="AT280" s="410">
        <f t="shared" si="214"/>
        <v>0</v>
      </c>
      <c r="AU280" s="405" t="s">
        <v>546</v>
      </c>
      <c r="AV280" s="409"/>
      <c r="AW280" s="420" t="str">
        <f t="shared" si="183"/>
        <v>FLINTSL - REFLEX BLUE</v>
      </c>
      <c r="AX280" s="409"/>
      <c r="AY280" s="411">
        <f>IF(AX280=0,0,IF($LB280=70%,VLOOKUP($AW280,'Jan-2026 rates'!$L:$R,4,0),IF($LB280=65%,VLOOKUP($AW280,'Jan-2026 rates'!$L:$R,4,0),IF($LB280=40%,VLOOKUP($AW280,'Jan-2026 rates'!$L:$R,5,0),IF($LB280=30%,VLOOKUP($AW280,'Jan-2026 rates'!$L:$R,6,0),IF($LB280=100%,VLOOKUP($AW280,'Jan-2026 rates'!$L:$R,7,0),IF($LB280=60%,VLOOKUP($AW280,'Jan-2026 rates'!$L:$S,8,0),IF($LB280=80%,VLOOKUP($AW280,'Jan-2026 rates'!L:T,9,0),0))))))))</f>
        <v>0</v>
      </c>
      <c r="AZ280" s="412"/>
      <c r="BA280" s="409"/>
      <c r="BB280" s="411">
        <f>IF(BA280=0,0,IF($LB280=70%,VLOOKUP($AW280,'Jan-2026 rates'!$L:$R,4,0),IF($LB280=65%,VLOOKUP($AW280,'Jan-2026 rates'!$L:$R,4,0),IF($LB280=40%,VLOOKUP($AW280,'Jan-2026 rates'!$L:$R,5,0),IF($LB280=30%,VLOOKUP($AW280,'Jan-2026 rates'!$L:$R,6,0),IF($LB280=100%,VLOOKUP($AW280,'Jan-2026 rates'!$L:$R,7,0),IF($LB280=60%,VLOOKUP($AW280,'Jan-2026 rates'!$L:$S,8,0),IF($LB280=80%,VLOOKUP($AW280,'Jan-2026 rates'!L:T,9,0),0))))))))</f>
        <v>0</v>
      </c>
      <c r="BC280" s="413">
        <v>26522000009</v>
      </c>
      <c r="BD280" s="412">
        <v>26522000007</v>
      </c>
      <c r="BE280" s="412">
        <v>26522000002</v>
      </c>
      <c r="BF280" s="413"/>
      <c r="BG280" s="412"/>
      <c r="BH280" s="412"/>
      <c r="BI280" s="412"/>
      <c r="BJ280" s="412"/>
      <c r="BK280" s="409">
        <v>20</v>
      </c>
      <c r="BL280" s="398" t="e">
        <f>IF(BK280=0,0,IF(LEN(BC280)=11,_xlfn.XLOOKUP(BC280,'Dispensed Ink Rates'!C:C,'Dispensed Ink Rates'!CS:CS),VLOOKUP(BC280,'Jan-2026 rates'!$E:$F,2,0)))</f>
        <v>#N/A</v>
      </c>
      <c r="BM280" s="409">
        <v>20</v>
      </c>
      <c r="BN280" s="398" t="e">
        <f>IF(BM280=0,0,IF(LEN(BD280)=11,_xlfn.XLOOKUP(BD280,'Dispensed Ink Rates'!C:C,'Dispensed Ink Rates'!CS:CS),VLOOKUP(BD280,'Jan-2026 rates'!$E:$F,2,0)))</f>
        <v>#N/A</v>
      </c>
      <c r="BO280" s="409">
        <v>3</v>
      </c>
      <c r="BP280" s="398" t="e">
        <f>IF(BO280=0,0,IF(LEN(BE280)=11,_xlfn.XLOOKUP(BE280,'Dispensed Ink Rates'!C:C,'Dispensed Ink Rates'!CS:CS),VLOOKUP(BE280,'Jan-2026 rates'!$E:$F,2,0)))</f>
        <v>#N/A</v>
      </c>
      <c r="BQ280" s="409"/>
      <c r="BR280" s="398">
        <f>IF(BQ280=0,0,IF(LEN(BF280)=11,_xlfn.XLOOKUP(BF280,'Dispensed Ink Rates'!C:C,'Dispensed Ink Rates'!CS:CS),VLOOKUP(BF280,'Jan-2026 rates'!$E:$F,2,0)))</f>
        <v>0</v>
      </c>
      <c r="BS280" s="409"/>
      <c r="BT280" s="398">
        <f>IF(BS280=0,0,IF(LEN(BG280)=11,_xlfn.XLOOKUP(BG280,'Dispensed Ink Rates'!C:C,'Dispensed Ink Rates'!CS:CS),VLOOKUP(BG280,'Jan-2026 rates'!$E:$F,2,0)))</f>
        <v>0</v>
      </c>
      <c r="BU280" s="409"/>
      <c r="BV280" s="398">
        <f>IF(BU280=0,0,IF(LEN(BH280)=11,_xlfn.XLOOKUP(BH280,'Dispensed Ink Rates'!C:C,'Dispensed Ink Rates'!CS:CS),VLOOKUP(BH280,'Jan-2026 rates'!$E:$F,2,0)))</f>
        <v>0</v>
      </c>
      <c r="BW280" s="409"/>
      <c r="BX280" s="398">
        <f>IF(BW280=0,0,IF(LEN(BI280)=11,_xlfn.XLOOKUP(BI280,'Dispensed Ink Rates'!C:C,'Dispensed Ink Rates'!CS:CS),VLOOKUP(BI280,'Jan-2026 rates'!$E:$F,2,0)))</f>
        <v>0</v>
      </c>
      <c r="BY280" s="409"/>
      <c r="BZ280" s="398">
        <f>IF(BY280=0,0,IF(LEN(BJ280)=11,_xlfn.XLOOKUP(BJ280,'Dispensed Ink Rates'!C:C,'Dispensed Ink Rates'!CS:CS),VLOOKUP(BJ280,'Jan-2026 rates'!$E:$F,2,0)))</f>
        <v>0</v>
      </c>
      <c r="CA280" s="409" t="s">
        <v>1443</v>
      </c>
      <c r="CB280" s="409">
        <v>25</v>
      </c>
      <c r="CC280" s="411">
        <f t="shared" si="215"/>
        <v>0</v>
      </c>
      <c r="CD280" s="411">
        <f t="shared" si="216"/>
        <v>29.333333333333329</v>
      </c>
      <c r="CE280" s="410">
        <f t="shared" si="217"/>
        <v>0</v>
      </c>
      <c r="CF280" s="404" t="s">
        <v>546</v>
      </c>
      <c r="CG280" s="409"/>
      <c r="CH280" s="420" t="str">
        <f t="shared" si="185"/>
        <v>FLINTSL - REFLEX BLUE</v>
      </c>
      <c r="CI280" s="409"/>
      <c r="CJ280" s="411">
        <f>IF(CI280=0,0,IF($LB280=70%,VLOOKUP($CH280,'Jan-2026 rates'!$L:$R,4,0),IF($LB280=65%,VLOOKUP($CH280,'Jan-2026 rates'!$L:$R,4,0),IF($LB280=40%,VLOOKUP($CH280,'Jan-2026 rates'!$L:$R,5,0),IF($LB280=30%,VLOOKUP($CH280,'Jan-2026 rates'!$L:$R,6,0),IF($LB280=100%,VLOOKUP($CH280,'Jan-2026 rates'!$L:$R,7,0),IF($LB280=60%,VLOOKUP($CH280,'Jan-2026 rates'!$L:$S,8,0),IF($LB280=80%,VLOOKUP($CH280,'Jan-2026 rates'!L:T,9,0),0))))))))</f>
        <v>0</v>
      </c>
      <c r="CK280" s="412"/>
      <c r="CL280" s="409"/>
      <c r="CM280" s="411">
        <f>IF(CL280=0,0,IF($LB280=70%,VLOOKUP($CH280,'Jan-2026 rates'!$L:$R,4,0),IF($LB280=65%,VLOOKUP($CH280,'Jan-2026 rates'!$L:$R,4,0),IF($LB280=40%,VLOOKUP($CH280,'Jan-2026 rates'!$L:$R,5,0),IF($LB280=30%,VLOOKUP($CH280,'Jan-2026 rates'!$L:$R,6,0),IF($LB280=100%,VLOOKUP($CH280,'Jan-2026 rates'!$L:$R,7,0),IF($LB280=60%,VLOOKUP($CH280,'Jan-2026 rates'!$L:$S,8,0),IF($LB280=80%,VLOOKUP($CH280,'Jan-2026 rates'!L:T,9,0),0))))))))</f>
        <v>0</v>
      </c>
      <c r="CN280" s="426">
        <v>26522000013</v>
      </c>
      <c r="CO280" s="427">
        <v>26522000006</v>
      </c>
      <c r="CP280" s="426">
        <v>26522000005</v>
      </c>
      <c r="CQ280" s="426">
        <v>26522000016</v>
      </c>
      <c r="CR280" s="428">
        <v>26522000011</v>
      </c>
      <c r="CS280" s="428">
        <v>26522000002</v>
      </c>
      <c r="CT280" s="428">
        <v>26521000005</v>
      </c>
      <c r="CU280" s="428"/>
      <c r="CV280" s="409">
        <v>10</v>
      </c>
      <c r="CW280" s="398" t="e">
        <f>IF(CV280=0,0,IF(LEN(CN280)=11,_xlfn.XLOOKUP(CN280,'Dispensed Ink Rates'!C:C,'Dispensed Ink Rates'!CS:CS),VLOOKUP(CN280,'Jan-2026 rates'!$E:$F,2,0)))</f>
        <v>#N/A</v>
      </c>
      <c r="CX280" s="409">
        <v>20</v>
      </c>
      <c r="CY280" s="398" t="e">
        <f>IF(CX280=0,0,IF(LEN(CO280)=11,_xlfn.XLOOKUP(CO280,'Dispensed Ink Rates'!C:C,'Dispensed Ink Rates'!CS:CS),VLOOKUP(CO280,'Jan-2026 rates'!$E:$F,2,0)))</f>
        <v>#N/A</v>
      </c>
      <c r="CZ280" s="409">
        <v>20</v>
      </c>
      <c r="DA280" s="398" t="e">
        <f>IF(CZ280=0,0,IF(LEN(CP280)=11,_xlfn.XLOOKUP(CP280,'Dispensed Ink Rates'!C:C,'Dispensed Ink Rates'!CS:CS),VLOOKUP(CP280,'Jan-2026 rates'!$E:$F,2,0)))</f>
        <v>#N/A</v>
      </c>
      <c r="DB280" s="409">
        <v>7</v>
      </c>
      <c r="DC280" s="398" t="e">
        <f>IF(DB280=0,0,IF(LEN(CQ280)=11,_xlfn.XLOOKUP(CQ280,'Dispensed Ink Rates'!C:C,'Dispensed Ink Rates'!CS:CS),VLOOKUP(CQ280,'Jan-2026 rates'!$E:$F,2,0)))</f>
        <v>#N/A</v>
      </c>
      <c r="DD280" s="409">
        <v>30</v>
      </c>
      <c r="DE280" s="398" t="e">
        <f>IF(DD280=0,0,IF(LEN(CR280)=11,_xlfn.XLOOKUP(CR280,'Dispensed Ink Rates'!C:C,'Dispensed Ink Rates'!CS:CS),VLOOKUP(CR280,'Jan-2026 rates'!$E:$F,2,0)))</f>
        <v>#N/A</v>
      </c>
      <c r="DF280" s="409">
        <v>0.3</v>
      </c>
      <c r="DG280" s="398" t="e">
        <f>IF(DF280=0,0,IF(LEN(CS280)=11,_xlfn.XLOOKUP(CS280,'Dispensed Ink Rates'!C:C,'Dispensed Ink Rates'!CS:CS),VLOOKUP(CS280,'Jan-2026 rates'!$E:$F,2,0)))</f>
        <v>#N/A</v>
      </c>
      <c r="DH280" s="409">
        <v>0.4</v>
      </c>
      <c r="DI280" s="398" t="e">
        <f>IF(DH280=0,0,IF(LEN(CT280)=11,_xlfn.XLOOKUP(CT280,'Dispensed Ink Rates'!C:C,'Dispensed Ink Rates'!CS:CS),VLOOKUP(CT280,'Jan-2026 rates'!$E:$F,2,0)))</f>
        <v>#N/A</v>
      </c>
      <c r="DJ280" s="409"/>
      <c r="DK280" s="398">
        <f>IF(DJ280=0,0,IF(LEN(CU280)=11,_xlfn.XLOOKUP(CU280,'Dispensed Ink Rates'!C:C,'Dispensed Ink Rates'!CS:CS),VLOOKUP(CU280,'Jan-2026 rates'!$E:$F,2,0)))</f>
        <v>0</v>
      </c>
      <c r="DL280" s="409" t="s">
        <v>1443</v>
      </c>
      <c r="DM280" s="409">
        <v>24</v>
      </c>
      <c r="DN280" s="411">
        <f t="shared" si="218"/>
        <v>0</v>
      </c>
      <c r="DO280" s="411">
        <f t="shared" si="219"/>
        <v>97.7</v>
      </c>
      <c r="DP280" s="410">
        <f t="shared" si="220"/>
        <v>0</v>
      </c>
      <c r="DQ280" s="405" t="s">
        <v>855</v>
      </c>
      <c r="DR280" s="409" t="s">
        <v>4288</v>
      </c>
      <c r="DS280" s="420" t="str">
        <f t="shared" si="186"/>
        <v>FLINTSL - CYAN</v>
      </c>
      <c r="DT280" s="409">
        <v>21</v>
      </c>
      <c r="DU280" s="411">
        <f>IF(DT280=0,0,IF($LB280=70%,VLOOKUP($DS280,'Jan-2026 rates'!$L:$R,4,0),IF($LB280=65%,VLOOKUP($DS280,'Jan-2026 rates'!$L:$R,4,0),IF($LB280=40%,VLOOKUP($DS280,'Jan-2026 rates'!$L:$R,5,0),IF($LB280=30%,VLOOKUP($DS280,'Jan-2026 rates'!$L:$R,6,0),IF($LB280=100%,VLOOKUP($DS280,'Jan-2026 rates'!$L:$R,7,0),IF($LB280=60%,VLOOKUP($DS280,'Jan-2026 rates'!$L:$S,8,0),IF($LB280=80%,VLOOKUP($DS280,'Jan-2026 rates'!L:T,9,0),0))))))))</f>
        <v>0</v>
      </c>
      <c r="DV280" s="412"/>
      <c r="DW280" s="409"/>
      <c r="DX280" s="411">
        <f>IF(DW280=0,0,IF($LB280=70%,VLOOKUP($DS280,'Jan-2026 rates'!$L:$R,4,0),IF($LB280=65%,VLOOKUP($DS280,'Jan-2026 rates'!$L:$R,4,0),IF($LB280=40%,VLOOKUP($DS280,'Jan-2026 rates'!$L:$R,5,0),IF($LB280=30%,VLOOKUP($DS280,'Jan-2026 rates'!$L:$R,6,0),IF($LB280=100%,VLOOKUP($DS280,'Jan-2026 rates'!$L:$R,7,0),IF($LB280=60%,VLOOKUP($DS280,'Jan-2026 rates'!$L:$S,8,0),IF($LB280=80%,VLOOKUP($DS280,'Jan-2026 rates'!L:T,9,0),0))))))))</f>
        <v>0</v>
      </c>
      <c r="DY280" s="413" t="s">
        <v>1266</v>
      </c>
      <c r="DZ280" s="413"/>
      <c r="EA280" s="412"/>
      <c r="EB280" s="412"/>
      <c r="EC280" s="412"/>
      <c r="ED280" s="412"/>
      <c r="EE280" s="412"/>
      <c r="EF280" s="412"/>
      <c r="EG280" s="409">
        <v>5</v>
      </c>
      <c r="EH280" s="398">
        <f>IF(EG280=0,0,IF(LEN(DY280)=11,_xlfn.XLOOKUP(DY280,'Dispensed Ink Rates'!C:C,'Dispensed Ink Rates'!CS:CS),VLOOKUP(DY280,'Jan-2026 rates'!$E:$F,2,0)))</f>
        <v>0</v>
      </c>
      <c r="EI280" s="409"/>
      <c r="EJ280" s="398">
        <f>IF(EI280=0,0,IF(LEN(DZ280)=11,_xlfn.XLOOKUP(DZ280,'Dispensed Ink Rates'!C:C,'Dispensed Ink Rates'!CS:CS),VLOOKUP(DZ280,'Jan-2026 rates'!$E:$F,2,0)))</f>
        <v>0</v>
      </c>
      <c r="EK280" s="409"/>
      <c r="EL280" s="398">
        <f>IF(EK280=0,0,IF(LEN(EA280)=11,_xlfn.XLOOKUP(EA280,'Dispensed Ink Rates'!C:C,'Dispensed Ink Rates'!CS:CS),VLOOKUP(EA280,'Jan-2026 rates'!$E:$F,2,0)))</f>
        <v>0</v>
      </c>
      <c r="EM280" s="409"/>
      <c r="EN280" s="398">
        <f>IF(EM280=0,0,IF(LEN(EB280)=11,_xlfn.XLOOKUP(EB280,'Dispensed Ink Rates'!C:C,'Dispensed Ink Rates'!CS:CS),VLOOKUP(EB280,'Jan-2026 rates'!$E:$F,2,0)))</f>
        <v>0</v>
      </c>
      <c r="EO280" s="409"/>
      <c r="EP280" s="398">
        <f>IF(EO280=0,0,IF(LEN(EC280)=11,_xlfn.XLOOKUP(EC280,'Dispensed Ink Rates'!C:C,'Dispensed Ink Rates'!CS:CS),VLOOKUP(EC280,'Jan-2026 rates'!$E:$F,2,0)))</f>
        <v>0</v>
      </c>
      <c r="EQ280" s="409"/>
      <c r="ER280" s="398">
        <f>IF(EQ280=0,0,IF(LEN(ED280)=11,_xlfn.XLOOKUP(ED280,'Dispensed Ink Rates'!C:C,'Dispensed Ink Rates'!CS:CS),VLOOKUP(ED280,'Jan-2026 rates'!$E:$F,2,0)))</f>
        <v>0</v>
      </c>
      <c r="ES280" s="409"/>
      <c r="ET280" s="398">
        <f>IF(ES280=0,0,IF(LEN(EE280)=11,_xlfn.XLOOKUP(EE280,'Dispensed Ink Rates'!C:C,'Dispensed Ink Rates'!CS:CS),VLOOKUP(EE280,'Jan-2026 rates'!$E:$F,2,0)))</f>
        <v>0</v>
      </c>
      <c r="EU280" s="409"/>
      <c r="EV280" s="398">
        <f>IF(EU280=0,0,IF(LEN(EF280)=11,_xlfn.XLOOKUP(EF280,'Dispensed Ink Rates'!C:C,'Dispensed Ink Rates'!CS:CS),VLOOKUP(EF280,'Jan-2026 rates'!$E:$F,2,0)))</f>
        <v>0</v>
      </c>
      <c r="EW280" s="409" t="s">
        <v>1443</v>
      </c>
      <c r="EX280" s="409">
        <v>24</v>
      </c>
      <c r="EY280" s="411">
        <f t="shared" si="221"/>
        <v>0</v>
      </c>
      <c r="EZ280" s="411">
        <f t="shared" si="222"/>
        <v>13.333333333333329</v>
      </c>
      <c r="FA280" s="410">
        <f t="shared" si="223"/>
        <v>0</v>
      </c>
      <c r="FB280" s="405" t="s">
        <v>544</v>
      </c>
      <c r="FC280" s="409" t="s">
        <v>4289</v>
      </c>
      <c r="FD280" s="420" t="str">
        <f t="shared" si="187"/>
        <v>FLINTSL - MAGENTA</v>
      </c>
      <c r="FE280" s="409">
        <v>25</v>
      </c>
      <c r="FF280" s="411">
        <f>IF(FE280=0,0,IF($LB280=70%,VLOOKUP($FD280,'Jan-2026 rates'!$L:$R,4,0),IF($LB280=65%,VLOOKUP($FD280,'Jan-2026 rates'!$L:$R,4,0),IF($LB280=40%,VLOOKUP($FD280,'Jan-2026 rates'!$L:$R,5,0),IF($LB280=30%,VLOOKUP($FD280,'Jan-2026 rates'!$L:$R,6,0),IF($LB280=100%,VLOOKUP($FD280,'Jan-2026 rates'!$L:$R,7,0),IF($LB280=60%,VLOOKUP($FD280,'Jan-2026 rates'!$L:$S,8,0),IF($LB280=80%,VLOOKUP($FD280,'Jan-2026 rates'!L:T,9,0),0))))))))</f>
        <v>0</v>
      </c>
      <c r="FG280" s="412"/>
      <c r="FH280" s="409"/>
      <c r="FI280" s="411">
        <f>IF(FH280=0,0,IF($LB280=70%,VLOOKUP($FD280,'Jan-2026 rates'!$L:$R,4,0),IF($LB280=65%,VLOOKUP($FD280,'Jan-2026 rates'!$L:$R,4,0),IF($LB280=40%,VLOOKUP($FD280,'Jan-2026 rates'!$L:$R,5,0),IF($LB280=30%,VLOOKUP($FD280,'Jan-2026 rates'!$L:$R,6,0),IF($LB280=100%,VLOOKUP($FD280,'Jan-2026 rates'!$L:$R,7,0),IF($LB280=60%,VLOOKUP($FD280,'Jan-2026 rates'!$L:$S,8,0),IF($LB280=80%,VLOOKUP($FD280,'Jan-2026 rates'!L:T,9,0),0))))))))</f>
        <v>0</v>
      </c>
      <c r="FJ280" s="413">
        <v>26521000005</v>
      </c>
      <c r="FK280" s="413"/>
      <c r="FL280" s="413"/>
      <c r="FM280" s="412"/>
      <c r="FN280" s="412"/>
      <c r="FO280" s="412"/>
      <c r="FP280" s="412"/>
      <c r="FQ280" s="412"/>
      <c r="FR280" s="409">
        <v>3</v>
      </c>
      <c r="FS280" s="398" t="e">
        <f>IF(FR280=0,0,IF(LEN(FJ280)=11,_xlfn.XLOOKUP(FJ280,'Dispensed Ink Rates'!C:C,'Dispensed Ink Rates'!CS:CS),VLOOKUP(FJ280,'Jan-2026 rates'!$E:$F,2,0)))</f>
        <v>#N/A</v>
      </c>
      <c r="FT280" s="409"/>
      <c r="FU280" s="398">
        <f>IF(FT280=0,0,IF(LEN(FK280)=11,_xlfn.XLOOKUP(FK280,'Dispensed Ink Rates'!C:C,'Dispensed Ink Rates'!CS:CS),VLOOKUP(FK280,'Jan-2026 rates'!$E:$F,2,0)))</f>
        <v>0</v>
      </c>
      <c r="FV280" s="409"/>
      <c r="FW280" s="398">
        <f>IF(FV280=0,0,IF(LEN(FL280)=11,_xlfn.XLOOKUP(FL280,'Dispensed Ink Rates'!C:C,'Dispensed Ink Rates'!CS:CS),VLOOKUP(FL280,'Jan-2026 rates'!$E:$F,2,0)))</f>
        <v>0</v>
      </c>
      <c r="FX280" s="409"/>
      <c r="FY280" s="398">
        <f>IF(FX280=0,0,IF(LEN(FM280)=11,_xlfn.XLOOKUP(FM280,'Dispensed Ink Rates'!C:C,'Dispensed Ink Rates'!CS:CS),VLOOKUP(FM280,'Jan-2026 rates'!$E:$F,2,0)))</f>
        <v>0</v>
      </c>
      <c r="FZ280" s="409"/>
      <c r="GA280" s="398">
        <f>IF(FZ280=0,0,IF(LEN(FN280)=11,_xlfn.XLOOKUP(FN280,'Dispensed Ink Rates'!C:C,'Dispensed Ink Rates'!CS:CS),VLOOKUP(FN280,'Jan-2026 rates'!$E:$F,2,0)))</f>
        <v>0</v>
      </c>
      <c r="GB280" s="409"/>
      <c r="GC280" s="398">
        <f>IF(GB280=0,0,IF(LEN(FO280)=11,_xlfn.XLOOKUP(FO280,'Dispensed Ink Rates'!C:C,'Dispensed Ink Rates'!CS:CS),VLOOKUP(FO280,'Jan-2026 rates'!$E:$F,2,0)))</f>
        <v>0</v>
      </c>
      <c r="GD280" s="409"/>
      <c r="GE280" s="398">
        <f>IF(GD280=0,0,IF(LEN(FP280)=11,_xlfn.XLOOKUP(FP280,'Dispensed Ink Rates'!C:C,'Dispensed Ink Rates'!CS:CS),VLOOKUP(FP280,'Jan-2026 rates'!$E:$F,2,0)))</f>
        <v>0</v>
      </c>
      <c r="GF280" s="409"/>
      <c r="GG280" s="398">
        <f>IF(GF280=0,0,IF(LEN(FQ280)=11,_xlfn.XLOOKUP(FQ280,'Dispensed Ink Rates'!C:C,'Dispensed Ink Rates'!CS:CS),VLOOKUP(FQ280,'Jan-2026 rates'!$E:$F,2,0)))</f>
        <v>0</v>
      </c>
      <c r="GH280" s="409" t="s">
        <v>1443</v>
      </c>
      <c r="GI280" s="409">
        <v>26</v>
      </c>
      <c r="GJ280" s="411">
        <f t="shared" si="224"/>
        <v>0</v>
      </c>
      <c r="GK280" s="411">
        <f t="shared" si="225"/>
        <v>6.5333333333333314</v>
      </c>
      <c r="GL280" s="410">
        <f t="shared" si="226"/>
        <v>0</v>
      </c>
      <c r="GM280" s="405" t="s">
        <v>545</v>
      </c>
      <c r="GN280" s="409" t="s">
        <v>4290</v>
      </c>
      <c r="GO280" s="420" t="str">
        <f t="shared" si="188"/>
        <v>FLINTSL - YELLOW</v>
      </c>
      <c r="GP280" s="409">
        <v>28</v>
      </c>
      <c r="GQ280" s="411">
        <f>IF(GP280=0,0,IF($LB280=70%,VLOOKUP($GO280,'Jan-2026 rates'!$L:$R,4,0),IF($LB280=65%,VLOOKUP($GO280,'Jan-2026 rates'!$L:$R,4,0),IF($LB280=40%,VLOOKUP($GO280,'Jan-2026 rates'!$L:$R,5,0),IF($LB280=30%,VLOOKUP($GO280,'Jan-2026 rates'!$L:$R,6,0),IF($LB280=100%,VLOOKUP($GO280,'Jan-2026 rates'!$L:$R,7,0),IF($LB280=60%,VLOOKUP($GO280,'Jan-2026 rates'!$L:$S,8,0),IF($LB280=80%,VLOOKUP($GO280,'Jan-2026 rates'!L:T,9,0),0))))))))</f>
        <v>0</v>
      </c>
      <c r="GR280" s="412"/>
      <c r="GS280" s="409"/>
      <c r="GT280" s="411">
        <f>IF(GS280=0,0,IF($LB280=70%,VLOOKUP($GO280,'Jan-2026 rates'!$L:$R,4,0),IF($LB280=65%,VLOOKUP($GO280,'Jan-2026 rates'!$L:$R,4,0),IF($LB280=40%,VLOOKUP($GO280,'Jan-2026 rates'!$L:$R,5,0),IF($LB280=30%,VLOOKUP($GO280,'Jan-2026 rates'!$L:$R,6,0),IF($LB280=100%,VLOOKUP($GO280,'Jan-2026 rates'!$L:$R,7,0),IF($LB280=60%,VLOOKUP($GO280,'Jan-2026 rates'!$L:$S,8,0),IF($LB280=80%,VLOOKUP($GO280,'Jan-2026 rates'!L:T,9,0),0))))))))</f>
        <v>0</v>
      </c>
      <c r="GU280" s="413">
        <v>26523000003</v>
      </c>
      <c r="GV280" s="413"/>
      <c r="GW280" s="412"/>
      <c r="GX280" s="412"/>
      <c r="GY280" s="412"/>
      <c r="GZ280" s="412"/>
      <c r="HA280" s="412"/>
      <c r="HB280" s="412"/>
      <c r="HC280" s="409">
        <v>4</v>
      </c>
      <c r="HD280" s="398" t="e">
        <f>IF(HC280=0,0,IF(LEN(GU280)=11,_xlfn.XLOOKUP(GU280,'Dispensed Ink Rates'!C:C,'Dispensed Ink Rates'!CS:CS),VLOOKUP(GU280,'Jan-2026 rates'!$E:$F,2,0)))</f>
        <v>#N/A</v>
      </c>
      <c r="HE280" s="409"/>
      <c r="HF280" s="398">
        <f>IF(HE280=0,0,IF(LEN(GV280)=11,_xlfn.XLOOKUP(GV280,'Dispensed Ink Rates'!C:C,'Dispensed Ink Rates'!CS:CS),VLOOKUP(GV280,'Jan-2026 rates'!$E:$F,2,0)))</f>
        <v>0</v>
      </c>
      <c r="HG280" s="409"/>
      <c r="HH280" s="398">
        <f>IF(HG280=0,0,IF(LEN(GW280)=11,_xlfn.XLOOKUP(GW280,'Dispensed Ink Rates'!C:C,'Dispensed Ink Rates'!CS:CS),VLOOKUP(GW280,'Jan-2026 rates'!$E:$F,2,0)))</f>
        <v>0</v>
      </c>
      <c r="HI280" s="409"/>
      <c r="HJ280" s="398">
        <f>IF(HI280=0,0,IF(LEN(GX280)=11,_xlfn.XLOOKUP(GX280,'Dispensed Ink Rates'!C:C,'Dispensed Ink Rates'!CS:CS),VLOOKUP(GX280,'Jan-2026 rates'!$E:$F,2,0)))</f>
        <v>0</v>
      </c>
      <c r="HK280" s="409"/>
      <c r="HL280" s="398">
        <f>IF(HK280=0,0,IF(LEN(GY280)=11,_xlfn.XLOOKUP(GY280,'Dispensed Ink Rates'!C:C,'Dispensed Ink Rates'!CS:CS),VLOOKUP(GY280,'Jan-2026 rates'!$E:$F,2,0)))</f>
        <v>0</v>
      </c>
      <c r="HM280" s="409"/>
      <c r="HN280" s="398">
        <f>IF(HM280=0,0,IF(LEN(GZ280)=11,_xlfn.XLOOKUP(GZ280,'Dispensed Ink Rates'!C:C,'Dispensed Ink Rates'!CS:CS),VLOOKUP(GZ280,'Jan-2026 rates'!$E:$F,2,0)))</f>
        <v>0</v>
      </c>
      <c r="HO280" s="409"/>
      <c r="HP280" s="398">
        <f>IF(HO280=0,0,IF(LEN(HA280)=11,_xlfn.XLOOKUP(HA280,'Dispensed Ink Rates'!C:C,'Dispensed Ink Rates'!CS:CS),VLOOKUP(HA280,'Jan-2026 rates'!$E:$F,2,0)))</f>
        <v>0</v>
      </c>
      <c r="HQ280" s="409"/>
      <c r="HR280" s="398">
        <f>IF(HQ280=0,0,IF(LEN(HB280)=11,_xlfn.XLOOKUP(HB280,'Dispensed Ink Rates'!C:C,'Dispensed Ink Rates'!CS:CS),VLOOKUP(HB280,'Jan-2026 rates'!$E:$F,2,0)))</f>
        <v>0</v>
      </c>
      <c r="HS280" s="409" t="s">
        <v>1443</v>
      </c>
      <c r="HT280" s="409">
        <v>29</v>
      </c>
      <c r="HU280" s="411">
        <f t="shared" si="227"/>
        <v>0</v>
      </c>
      <c r="HV280" s="411">
        <f t="shared" si="228"/>
        <v>12.066666666666663</v>
      </c>
      <c r="HW280" s="414">
        <f t="shared" si="229"/>
        <v>0</v>
      </c>
      <c r="HX280" s="405" t="s">
        <v>856</v>
      </c>
      <c r="HY280" s="409" t="s">
        <v>4291</v>
      </c>
      <c r="HZ280" s="420" t="str">
        <f t="shared" si="189"/>
        <v>FLINTSL - WHITE</v>
      </c>
      <c r="IA280" s="409">
        <v>30</v>
      </c>
      <c r="IB280" s="411">
        <f>IF(IA280=0,0,IF($LB280=70%,VLOOKUP($HZ280,'Jan-2026 rates'!$L:$R,4,0),IF($LB280=65%,VLOOKUP($HZ280,'Jan-2026 rates'!$L:$R,4,0),IF($LB280=40%,VLOOKUP($HZ280,'Jan-2026 rates'!$L:$R,5,0),IF($LB280=30%,VLOOKUP($HZ280,'Jan-2026 rates'!$L:$R,6,0),IF($LB280=100%,VLOOKUP($HZ280,'Jan-2026 rates'!$L:$R,7,0),IF($LB280=60%,VLOOKUP($HZ280,'Jan-2026 rates'!$L:$S,8,0),IF($LB280=80%,VLOOKUP($HZ280,'Jan-2026 rates'!L:T,9,0),0))))))))</f>
        <v>0</v>
      </c>
      <c r="IC280" s="412"/>
      <c r="ID280" s="409"/>
      <c r="IE280" s="411">
        <f>IF(ID280=0,0,IF($LB280=70%,VLOOKUP($HZ280,'Jan-2026 rates'!$L:$R,4,0),IF($LB280=65%,VLOOKUP($HZ280,'Jan-2026 rates'!$L:$R,4,0),IF($LB280=40%,VLOOKUP($HZ280,'Jan-2026 rates'!$L:$R,5,0),IF($LB280=30%,VLOOKUP($HZ280,'Jan-2026 rates'!$L:$R,6,0),IF($LB280=100%,VLOOKUP($HZ280,'Jan-2026 rates'!$L:$R,7,0),IF($LB280=60%,VLOOKUP($HZ280,'Jan-2026 rates'!$L:$S,8,0),IF($LB280=80%,VLOOKUP($HZ280,'Jan-2026 rates'!L:T,9,0),0))))))))</f>
        <v>0</v>
      </c>
      <c r="IF280" s="412" t="s">
        <v>484</v>
      </c>
      <c r="IG280" s="413"/>
      <c r="IH280" s="412"/>
      <c r="II280" s="412"/>
      <c r="IJ280" s="412"/>
      <c r="IK280" s="412"/>
      <c r="IL280" s="412"/>
      <c r="IM280" s="412"/>
      <c r="IN280" s="409">
        <v>40</v>
      </c>
      <c r="IO280" s="398">
        <f>IF(IN280=0,0,IF(LEN(IF280)=11,_xlfn.XLOOKUP(IF280,'Dispensed Ink Rates'!C:C,'Dispensed Ink Rates'!CS:CS),VLOOKUP(IF280,'Jan-2026 rates'!$E:$F,2,0)))</f>
        <v>0</v>
      </c>
      <c r="IP280" s="409"/>
      <c r="IQ280" s="398">
        <f>IF(IP280=0,0,IF(LEN(IG280)=11,_xlfn.XLOOKUP(IG280,'Dispensed Ink Rates'!C:C,'Dispensed Ink Rates'!CS:CS),VLOOKUP(IG280,'Jan-2026 rates'!$E:$F,2,0)))</f>
        <v>0</v>
      </c>
      <c r="IR280" s="409"/>
      <c r="IS280" s="398">
        <f>IF(IR280=0,0,IF(LEN(IH280)=11,_xlfn.XLOOKUP(IH280,'Dispensed Ink Rates'!C:C,'Dispensed Ink Rates'!CS:CS),VLOOKUP(IH280,'Jan-2026 rates'!$E:$F,2,0)))</f>
        <v>0</v>
      </c>
      <c r="IT280" s="409"/>
      <c r="IU280" s="398">
        <f>IF(IT280=0,0,IF(LEN(II280)=11,_xlfn.XLOOKUP(II280,'Dispensed Ink Rates'!C:C,'Dispensed Ink Rates'!CS:CS),VLOOKUP(II280,'Jan-2026 rates'!$E:$F,2,0)))</f>
        <v>0</v>
      </c>
      <c r="IV280" s="409"/>
      <c r="IW280" s="398">
        <f>IF(IV280=0,0,IF(LEN(IJ280)=11,_xlfn.XLOOKUP(IJ280,'Dispensed Ink Rates'!C:C,'Dispensed Ink Rates'!CS:CS),VLOOKUP(IJ280,'Jan-2026 rates'!$E:$F,2,0)))</f>
        <v>0</v>
      </c>
      <c r="IX280" s="409"/>
      <c r="IY280" s="398">
        <f>IF(IX280=0,0,IF(LEN(IK280)=11,_xlfn.XLOOKUP(IK280,'Dispensed Ink Rates'!C:C,'Dispensed Ink Rates'!CS:CS),VLOOKUP(IK280,'Jan-2026 rates'!$E:$F,2,0)))</f>
        <v>0</v>
      </c>
      <c r="IZ280" s="409"/>
      <c r="JA280" s="398">
        <f>IF(IZ280=0,0,IF(LEN(IL280)=11,_xlfn.XLOOKUP(IL280,'Dispensed Ink Rates'!C:C,'Dispensed Ink Rates'!CS:CS),VLOOKUP(IL280,'Jan-2026 rates'!$E:$F,2,0)))</f>
        <v>0</v>
      </c>
      <c r="JB280" s="409"/>
      <c r="JC280" s="398">
        <f>IF(JB280=0,0,IF(LEN(IM280)=11,_xlfn.XLOOKUP(IM280,'Dispensed Ink Rates'!C:C,'Dispensed Ink Rates'!CS:CS),VLOOKUP(IM280,'Jan-2026 rates'!$E:$F,2,0)))</f>
        <v>0</v>
      </c>
      <c r="JD280" s="409" t="s">
        <v>1443</v>
      </c>
      <c r="JE280" s="409">
        <v>20</v>
      </c>
      <c r="JF280" s="411">
        <f t="shared" si="230"/>
        <v>0</v>
      </c>
      <c r="JG280" s="411">
        <f t="shared" si="231"/>
        <v>106.66666666666667</v>
      </c>
      <c r="JH280" s="410">
        <f t="shared" si="232"/>
        <v>0</v>
      </c>
      <c r="JI280" s="405"/>
      <c r="JJ280" s="409"/>
      <c r="JK280" s="420" t="str">
        <f t="shared" si="190"/>
        <v xml:space="preserve"> - </v>
      </c>
      <c r="JL280" s="409"/>
      <c r="JM280" s="411">
        <f>IF(JL280=0,0,IF($LB280=70%,VLOOKUP($JK280,'Jan-2026 rates'!$L:$R,4,0),IF($LB280=65%,VLOOKUP($JK280,'Jan-2026 rates'!$L:$R,4,0),IF($LB280=40%,VLOOKUP($JK280,'Jan-2026 rates'!$L:$R,5,0),IF($LB280=30%,VLOOKUP($JK280,'Jan-2026 rates'!$L:$R,6,0),IF($LB280=100%,VLOOKUP($JK280,'Jan-2026 rates'!$L:$R,7,0),IF($LB280=60%,VLOOKUP($JK280,'Jan-2026 rates'!$L:$S,8,0),IF($LB280=80%,VLOOKUP($JK280,'Jan-2026 rates'!L:T,9,0),0))))))))</f>
        <v>0</v>
      </c>
      <c r="JN280" s="412"/>
      <c r="JO280" s="409"/>
      <c r="JP280" s="411">
        <f>IF(JO280=0,0,IF($LB280=70%,VLOOKUP($JK280,'Jan-2026 rates'!$L:$R,4,0),IF($LB280=65%,VLOOKUP($JK280,'Jan-2026 rates'!$L:$R,4,0),IF($LB280=40%,VLOOKUP($JK280,'Jan-2026 rates'!$L:$R,5,0),IF($LB280=30%,VLOOKUP($JK280,'Jan-2026 rates'!$L:$R,6,0),IF($LB280=100%,VLOOKUP($JK280,'Jan-2026 rates'!$L:$R,7,0),IF($LB280=60%,VLOOKUP($JK280,'Jan-2026 rates'!$L:$S,8,0),IF($LB280=80%,VLOOKUP($JK280,'Jan-2026 rates'!L:T,9,0),0))))))))</f>
        <v>0</v>
      </c>
      <c r="JQ280" s="413"/>
      <c r="JR280" s="412"/>
      <c r="JS280" s="413"/>
      <c r="JT280" s="413"/>
      <c r="JU280" s="412"/>
      <c r="JV280" s="412"/>
      <c r="JW280" s="412"/>
      <c r="JX280" s="412"/>
      <c r="JY280" s="409"/>
      <c r="JZ280" s="398">
        <f>IF(JY280=0,0,IF(LEN(JQ280)=11,_xlfn.XLOOKUP(JQ280,'Dispensed Ink Rates'!C:C,'Dispensed Ink Rates'!CS:CS),VLOOKUP(JQ280,'Jan-2026 rates'!$E:$F,2,0)))</f>
        <v>0</v>
      </c>
      <c r="KA280" s="409"/>
      <c r="KB280" s="398">
        <f>IF(KA280=0,0,IF(LEN(JR280)=11,_xlfn.XLOOKUP(JR280,'Dispensed Ink Rates'!C:C,'Dispensed Ink Rates'!CS:CS),VLOOKUP(JR280,'Jan-2026 rates'!$E:$F,2,0)))</f>
        <v>0</v>
      </c>
      <c r="KC280" s="409"/>
      <c r="KD280" s="398">
        <f>IF(KC280=0,0,IF(LEN(JS280)=11,_xlfn.XLOOKUP(JS280,'Dispensed Ink Rates'!C:C,'Dispensed Ink Rates'!CS:CS),VLOOKUP(JS280,'Jan-2026 rates'!$E:$F,2,0)))</f>
        <v>0</v>
      </c>
      <c r="KE280" s="409"/>
      <c r="KF280" s="398">
        <f>IF(KE280=0,0,IF(LEN(JT280)=11,_xlfn.XLOOKUP(JT280,'Dispensed Ink Rates'!C:C,'Dispensed Ink Rates'!CS:CS),VLOOKUP(JT280,'Jan-2026 rates'!$E:$F,2,0)))</f>
        <v>0</v>
      </c>
      <c r="KG280" s="409"/>
      <c r="KH280" s="398">
        <f>IF(KG280=0,0,IF(LEN(JU280)=11,_xlfn.XLOOKUP(JU280,'Dispensed Ink Rates'!C:C,'Dispensed Ink Rates'!CS:CS),VLOOKUP(JU280,'Jan-2026 rates'!$E:$F,2,0)))</f>
        <v>0</v>
      </c>
      <c r="KI280" s="409"/>
      <c r="KJ280" s="398">
        <f>IF(KI280=0,0,IF(LEN(JV280)=11,_xlfn.XLOOKUP(JV280,'Dispensed Ink Rates'!C:C,'Dispensed Ink Rates'!CS:CS),VLOOKUP(JV280,'Jan-2026 rates'!$E:$F,2,0)))</f>
        <v>0</v>
      </c>
      <c r="KK280" s="409"/>
      <c r="KL280" s="398">
        <f>IF(KK280=0,0,IF(LEN(JW280)=11,_xlfn.XLOOKUP(JW280,'Dispensed Ink Rates'!C:C,'Dispensed Ink Rates'!CS:CS),VLOOKUP(JW280,'Jan-2026 rates'!$E:$F,2,0)))</f>
        <v>0</v>
      </c>
      <c r="KM280" s="428"/>
      <c r="KN280" s="398">
        <f>IF(KM280=0,0,IF(LEN(JX280)=11,_xlfn.XLOOKUP(JX280,'Dispensed Ink Rates'!C:C,'Dispensed Ink Rates'!CS:CS),VLOOKUP(JX280,'Jan-2026 rates'!$E:$F,2,0)))</f>
        <v>0</v>
      </c>
      <c r="KO280" s="409"/>
      <c r="KP280" s="409"/>
      <c r="KQ280" s="411">
        <f t="shared" si="233"/>
        <v>0</v>
      </c>
      <c r="KR280" s="411">
        <f t="shared" si="234"/>
        <v>0</v>
      </c>
      <c r="KS280" s="410">
        <f t="shared" si="235"/>
        <v>0</v>
      </c>
      <c r="KT280" s="409">
        <v>4</v>
      </c>
      <c r="KU280" s="409">
        <v>5</v>
      </c>
      <c r="KV280" s="409">
        <f>5+10</f>
        <v>15</v>
      </c>
      <c r="KW280" s="409">
        <v>5</v>
      </c>
      <c r="KX280" s="409">
        <v>2</v>
      </c>
      <c r="KY280" s="409">
        <v>4</v>
      </c>
      <c r="KZ280" s="409">
        <v>25</v>
      </c>
      <c r="LA280" s="409">
        <v>0</v>
      </c>
      <c r="LB280" s="415">
        <v>0.8</v>
      </c>
      <c r="LC280" s="415">
        <v>0.2</v>
      </c>
      <c r="LD280" s="415"/>
      <c r="LE280" s="415"/>
      <c r="LF280" s="415"/>
      <c r="LG280" s="409">
        <v>0</v>
      </c>
      <c r="LH280" s="409">
        <f>35+31+56+14</f>
        <v>136</v>
      </c>
      <c r="LI280" s="409">
        <v>0</v>
      </c>
      <c r="LJ280" s="409">
        <v>0</v>
      </c>
      <c r="LK280" s="416">
        <f t="shared" si="191"/>
        <v>136</v>
      </c>
      <c r="LL280" s="416">
        <f t="shared" si="192"/>
        <v>136</v>
      </c>
      <c r="LM280" s="417">
        <f t="shared" si="193"/>
        <v>108.80000000000001</v>
      </c>
      <c r="LN280" s="417">
        <f>VLOOKUP($LM$8,'Jan-2026 rates'!$H:$I,2,0)</f>
        <v>0</v>
      </c>
      <c r="LO280" s="417">
        <f t="shared" si="194"/>
        <v>27.200000000000003</v>
      </c>
      <c r="LP280" s="417">
        <f>VLOOKUP($LO$8,'Jan-2026 rates'!$H:$I,2,0)</f>
        <v>0</v>
      </c>
      <c r="LQ280" s="417">
        <f t="shared" si="195"/>
        <v>0</v>
      </c>
      <c r="LR280" s="417">
        <f>VLOOKUP($LQ$8,'Jan-2026 rates'!$H:$I,2,0)</f>
        <v>0</v>
      </c>
      <c r="LS280" s="417">
        <f t="shared" si="196"/>
        <v>0</v>
      </c>
      <c r="LT280" s="417">
        <f>VLOOKUP($LS$8,'Jan-2026 rates'!$H:$I,2,0)</f>
        <v>0</v>
      </c>
      <c r="LU280" s="417">
        <f t="shared" si="197"/>
        <v>0</v>
      </c>
      <c r="LV280" s="417">
        <f>VLOOKUP($LU$8,'Jan-2026 rates'!$H:$I,2,0)</f>
        <v>0</v>
      </c>
      <c r="LW280" s="417">
        <f t="shared" si="198"/>
        <v>0</v>
      </c>
      <c r="LX280" s="417">
        <f t="shared" si="199"/>
        <v>0</v>
      </c>
      <c r="LY280" s="418">
        <f t="shared" si="200"/>
        <v>0</v>
      </c>
      <c r="LZ280" s="417"/>
      <c r="MA280" s="435">
        <f t="shared" si="201"/>
        <v>187.70000000000002</v>
      </c>
      <c r="MB280" s="282">
        <f t="shared" si="202"/>
        <v>276.7</v>
      </c>
      <c r="MC280" s="283">
        <v>173</v>
      </c>
      <c r="MD280" s="284" t="str">
        <f t="shared" si="203"/>
        <v>FLINTSLFLINTSLFLINTSLFLINTSLFLINTSLFLINTSLFLINTSL</v>
      </c>
      <c r="ME280" s="293" t="str">
        <f t="shared" si="204"/>
        <v>+</v>
      </c>
      <c r="MF280" s="293" t="str">
        <f t="shared" si="205"/>
        <v>+</v>
      </c>
      <c r="MG280" s="293" t="str">
        <f t="shared" si="206"/>
        <v>+</v>
      </c>
      <c r="MH280" s="293" t="str">
        <f t="shared" si="207"/>
        <v>+</v>
      </c>
      <c r="MI280" s="293" t="str">
        <f t="shared" si="208"/>
        <v>+</v>
      </c>
      <c r="MJ280" s="293" t="str">
        <f t="shared" si="209"/>
        <v>+</v>
      </c>
      <c r="MK280" s="293" t="str">
        <f t="shared" si="210"/>
        <v>+</v>
      </c>
      <c r="ML280" s="293" t="str">
        <f t="shared" si="211"/>
        <v>NIL</v>
      </c>
      <c r="MM280" s="3" t="b">
        <f t="array" ref="MM280">OR(ME280:ML280="-")</f>
        <v>0</v>
      </c>
      <c r="MN280" s="285"/>
      <c r="MO280" s="401"/>
      <c r="MP280" s="286"/>
      <c r="MQ280" s="286"/>
      <c r="MR280" s="402"/>
      <c r="MS280" s="400"/>
      <c r="NH280" s="422"/>
      <c r="NJ280" s="421"/>
    </row>
    <row r="281" spans="1:374" s="1" customFormat="1" ht="16.5">
      <c r="A281" s="403">
        <v>46044</v>
      </c>
      <c r="B281" s="404" t="s">
        <v>1015</v>
      </c>
      <c r="C281" s="405" t="s">
        <v>4292</v>
      </c>
      <c r="D281" s="406">
        <v>174</v>
      </c>
      <c r="E281" s="404">
        <v>288</v>
      </c>
      <c r="F281" s="407">
        <v>12600</v>
      </c>
      <c r="G281" s="407" t="s">
        <v>1019</v>
      </c>
      <c r="H281" s="408" t="s">
        <v>1017</v>
      </c>
      <c r="I281" s="409">
        <v>1.99</v>
      </c>
      <c r="J281" s="405" t="s">
        <v>543</v>
      </c>
      <c r="K281" s="404" t="s">
        <v>4293</v>
      </c>
      <c r="L281" s="419" t="str">
        <f t="shared" si="184"/>
        <v>FLINTSL - BLACK</v>
      </c>
      <c r="M281" s="404">
        <v>25</v>
      </c>
      <c r="N281" s="410">
        <f>IF(M281=0,0,IF($LB281=70%,VLOOKUP($L281,'Jan-2026 rates'!$L:$R,4,0),IF($LB281=65%,VLOOKUP($L281,'Jan-2026 rates'!$L:$R,4,0),IF($LB281=40%,VLOOKUP($L281,'Jan-2026 rates'!$L:$R,5,0),IF($LB281=30%,VLOOKUP($L281,'Jan-2026 rates'!$L:$R,6,0),IF($LB281=100%,VLOOKUP($L281,'Jan-2026 rates'!$L:$R,7,0),IF($LB281=60%,VLOOKUP($L281,'Jan-2026 rates'!$L:$S,8,0),IF($LB281=80%,VLOOKUP($L281,'Jan-2026 rates'!L:T,9,0),0))))))))</f>
        <v>0</v>
      </c>
      <c r="O281" s="406"/>
      <c r="P281" s="404"/>
      <c r="Q281" s="410">
        <f>IF(P281=0,0,IF($LB281=70%,VLOOKUP($L281,'Jan-2026 rates'!$L:$R,4,0),IF($LB281=65%,VLOOKUP($L281,'Jan-2026 rates'!$L:$R,4,0),IF($LB281=40%,VLOOKUP($L281,'Jan-2026 rates'!$L:$R,5,0),IF($LB281=30%,VLOOKUP($L281,'Jan-2026 rates'!$L:$R,6,0),IF($LB281=100%,VLOOKUP($L281,'Jan-2026 rates'!$L:$R,7,0),IF($LB281=60%,VLOOKUP($L281,'Jan-2026 rates'!$L:$S,8,0),IF($LB281=80%,VLOOKUP($L281,'Jan-2026 rates'!L:T,9,0),0))))))))</f>
        <v>0</v>
      </c>
      <c r="R281" s="406">
        <v>26523000027</v>
      </c>
      <c r="S281" s="406"/>
      <c r="T281" s="406"/>
      <c r="U281" s="406"/>
      <c r="V281" s="406"/>
      <c r="W281" s="406"/>
      <c r="X281" s="406"/>
      <c r="Y281" s="406"/>
      <c r="Z281" s="404">
        <v>3</v>
      </c>
      <c r="AA281" s="398" t="e">
        <f>IF(Z281=0,0,IF(LEN(R281)=11,_xlfn.XLOOKUP(R281,'Dispensed Ink Rates'!C:C,'Dispensed Ink Rates'!CS:CS),VLOOKUP(R281,'Jan-2026 rates'!$E:$F,2,0)))</f>
        <v>#N/A</v>
      </c>
      <c r="AB281" s="404"/>
      <c r="AC281" s="398">
        <f>IF(AB281=0,0,IF(LEN(S281)=11,_xlfn.XLOOKUP(S281,'Dispensed Ink Rates'!C:C,'Dispensed Ink Rates'!CS:CS),VLOOKUP(S281,'Jan-2026 rates'!$E:$F,2,0)))</f>
        <v>0</v>
      </c>
      <c r="AD281" s="404"/>
      <c r="AE281" s="398">
        <f>IF(AD281=0,0,IF(LEN(T281)=11,_xlfn.XLOOKUP(T281,'Dispensed Ink Rates'!C:C,'Dispensed Ink Rates'!CS:CS),VLOOKUP(T281,'Jan-2026 rates'!$E:$F,2,0)))</f>
        <v>0</v>
      </c>
      <c r="AF281" s="404"/>
      <c r="AG281" s="398">
        <f>IF(AF281=0,0,IF(LEN(U281)=11,_xlfn.XLOOKUP(U281,'Dispensed Ink Rates'!C:C,'Dispensed Ink Rates'!CS:CS),VLOOKUP(U281,'Jan-2026 rates'!$E:$F,2,0)))</f>
        <v>0</v>
      </c>
      <c r="AH281" s="404"/>
      <c r="AI281" s="398">
        <f>IF(AH281=0,0,IF(LEN(V281)=11,_xlfn.XLOOKUP(V281,'Dispensed Ink Rates'!C:C,'Dispensed Ink Rates'!CS:CS),VLOOKUP(V281,'Jan-2026 rates'!$E:$F,2,0)))</f>
        <v>0</v>
      </c>
      <c r="AJ281" s="404"/>
      <c r="AK281" s="398">
        <f>IF(AJ281=0,0,IF(LEN(W281)=11,_xlfn.XLOOKUP(W281,'Dispensed Ink Rates'!C:C,'Dispensed Ink Rates'!CS:CS),VLOOKUP(W281,'Jan-2026 rates'!$E:$F,2,0)))</f>
        <v>0</v>
      </c>
      <c r="AL281" s="404"/>
      <c r="AM281" s="398">
        <f>IF(AL281=0,0,IF(LEN(X281)=11,_xlfn.XLOOKUP(X281,'Dispensed Ink Rates'!C:C,'Dispensed Ink Rates'!CS:CS),VLOOKUP(X281,'Jan-2026 rates'!$E:$F,2,0)))</f>
        <v>0</v>
      </c>
      <c r="AN281" s="404"/>
      <c r="AO281" s="398">
        <f>IF(AN281=0,0,IF(LEN(Y281)=11,_xlfn.XLOOKUP(Y281,'Dispensed Ink Rates'!C:C,'Dispensed Ink Rates'!CS:CS),VLOOKUP(Y281,'Jan-2026 rates'!$E:$F,2,0)))</f>
        <v>0</v>
      </c>
      <c r="AP281" s="409" t="s">
        <v>1443</v>
      </c>
      <c r="AQ281" s="409">
        <v>28</v>
      </c>
      <c r="AR281" s="410">
        <f t="shared" si="212"/>
        <v>0</v>
      </c>
      <c r="AS281" s="411">
        <f t="shared" si="213"/>
        <v>2.879999999999999</v>
      </c>
      <c r="AT281" s="410">
        <f t="shared" si="214"/>
        <v>0</v>
      </c>
      <c r="AU281" s="405" t="s">
        <v>857</v>
      </c>
      <c r="AV281" s="409"/>
      <c r="AW281" s="420" t="str">
        <f t="shared" si="183"/>
        <v>FLINTSL - RED</v>
      </c>
      <c r="AX281" s="409"/>
      <c r="AY281" s="411">
        <f>IF(AX281=0,0,IF($LB281=70%,VLOOKUP($AW281,'Jan-2026 rates'!$L:$R,4,0),IF($LB281=65%,VLOOKUP($AW281,'Jan-2026 rates'!$L:$R,4,0),IF($LB281=40%,VLOOKUP($AW281,'Jan-2026 rates'!$L:$R,5,0),IF($LB281=30%,VLOOKUP($AW281,'Jan-2026 rates'!$L:$R,6,0),IF($LB281=100%,VLOOKUP($AW281,'Jan-2026 rates'!$L:$R,7,0),IF($LB281=60%,VLOOKUP($AW281,'Jan-2026 rates'!$L:$S,8,0),IF($LB281=80%,VLOOKUP($AW281,'Jan-2026 rates'!L:T,9,0),0))))))))</f>
        <v>0</v>
      </c>
      <c r="AZ281" s="412"/>
      <c r="BA281" s="409"/>
      <c r="BB281" s="411">
        <f>IF(BA281=0,0,IF($LB281=70%,VLOOKUP($AW281,'Jan-2026 rates'!$L:$R,4,0),IF($LB281=65%,VLOOKUP($AW281,'Jan-2026 rates'!$L:$R,4,0),IF($LB281=40%,VLOOKUP($AW281,'Jan-2026 rates'!$L:$R,5,0),IF($LB281=30%,VLOOKUP($AW281,'Jan-2026 rates'!$L:$R,6,0),IF($LB281=100%,VLOOKUP($AW281,'Jan-2026 rates'!$L:$R,7,0),IF($LB281=60%,VLOOKUP($AW281,'Jan-2026 rates'!$L:$S,8,0),IF($LB281=80%,VLOOKUP($AW281,'Jan-2026 rates'!L:T,9,0),0))))))))</f>
        <v>0</v>
      </c>
      <c r="BC281" s="413">
        <v>26524000007</v>
      </c>
      <c r="BD281" s="412">
        <v>26524000006</v>
      </c>
      <c r="BE281" s="412">
        <v>26521000005</v>
      </c>
      <c r="BF281" s="413"/>
      <c r="BG281" s="412"/>
      <c r="BH281" s="412"/>
      <c r="BI281" s="412"/>
      <c r="BJ281" s="412"/>
      <c r="BK281" s="409">
        <f>7+5</f>
        <v>12</v>
      </c>
      <c r="BL281" s="398" t="e">
        <f>IF(BK281=0,0,IF(LEN(BC281)=11,_xlfn.XLOOKUP(BC281,'Dispensed Ink Rates'!C:C,'Dispensed Ink Rates'!CS:CS),VLOOKUP(BC281,'Jan-2026 rates'!$E:$F,2,0)))</f>
        <v>#N/A</v>
      </c>
      <c r="BM281" s="409">
        <f>5+4</f>
        <v>9</v>
      </c>
      <c r="BN281" s="398" t="e">
        <f>IF(BM281=0,0,IF(LEN(BD281)=11,_xlfn.XLOOKUP(BD281,'Dispensed Ink Rates'!C:C,'Dispensed Ink Rates'!CS:CS),VLOOKUP(BD281,'Jan-2026 rates'!$E:$F,2,0)))</f>
        <v>#N/A</v>
      </c>
      <c r="BO281" s="409">
        <v>4</v>
      </c>
      <c r="BP281" s="398" t="e">
        <f>IF(BO281=0,0,IF(LEN(BE281)=11,_xlfn.XLOOKUP(BE281,'Dispensed Ink Rates'!C:C,'Dispensed Ink Rates'!CS:CS),VLOOKUP(BE281,'Jan-2026 rates'!$E:$F,2,0)))</f>
        <v>#N/A</v>
      </c>
      <c r="BQ281" s="409"/>
      <c r="BR281" s="398">
        <f>IF(BQ281=0,0,IF(LEN(BF281)=11,_xlfn.XLOOKUP(BF281,'Dispensed Ink Rates'!C:C,'Dispensed Ink Rates'!CS:CS),VLOOKUP(BF281,'Jan-2026 rates'!$E:$F,2,0)))</f>
        <v>0</v>
      </c>
      <c r="BS281" s="409"/>
      <c r="BT281" s="398">
        <f>IF(BS281=0,0,IF(LEN(BG281)=11,_xlfn.XLOOKUP(BG281,'Dispensed Ink Rates'!C:C,'Dispensed Ink Rates'!CS:CS),VLOOKUP(BG281,'Jan-2026 rates'!$E:$F,2,0)))</f>
        <v>0</v>
      </c>
      <c r="BU281" s="409"/>
      <c r="BV281" s="398">
        <f>IF(BU281=0,0,IF(LEN(BH281)=11,_xlfn.XLOOKUP(BH281,'Dispensed Ink Rates'!C:C,'Dispensed Ink Rates'!CS:CS),VLOOKUP(BH281,'Jan-2026 rates'!$E:$F,2,0)))</f>
        <v>0</v>
      </c>
      <c r="BW281" s="409"/>
      <c r="BX281" s="398">
        <f>IF(BW281=0,0,IF(LEN(BI281)=11,_xlfn.XLOOKUP(BI281,'Dispensed Ink Rates'!C:C,'Dispensed Ink Rates'!CS:CS),VLOOKUP(BI281,'Jan-2026 rates'!$E:$F,2,0)))</f>
        <v>0</v>
      </c>
      <c r="BY281" s="409"/>
      <c r="BZ281" s="398">
        <f>IF(BY281=0,0,IF(LEN(BJ281)=11,_xlfn.XLOOKUP(BJ281,'Dispensed Ink Rates'!C:C,'Dispensed Ink Rates'!CS:CS),VLOOKUP(BJ281,'Jan-2026 rates'!$E:$F,2,0)))</f>
        <v>0</v>
      </c>
      <c r="CA281" s="409" t="s">
        <v>1443</v>
      </c>
      <c r="CB281" s="409">
        <v>25</v>
      </c>
      <c r="CC281" s="411">
        <f t="shared" si="215"/>
        <v>0</v>
      </c>
      <c r="CD281" s="411">
        <f t="shared" si="216"/>
        <v>7.2000000000000028</v>
      </c>
      <c r="CE281" s="410">
        <f t="shared" si="217"/>
        <v>0</v>
      </c>
      <c r="CF281" s="404" t="s">
        <v>855</v>
      </c>
      <c r="CG281" s="409" t="s">
        <v>4294</v>
      </c>
      <c r="CH281" s="420" t="str">
        <f t="shared" si="185"/>
        <v>FLINTSL - CYAN</v>
      </c>
      <c r="CI281" s="409">
        <v>24</v>
      </c>
      <c r="CJ281" s="411">
        <f>IF(CI281=0,0,IF($LB281=70%,VLOOKUP($CH281,'Jan-2026 rates'!$L:$R,4,0),IF($LB281=65%,VLOOKUP($CH281,'Jan-2026 rates'!$L:$R,4,0),IF($LB281=40%,VLOOKUP($CH281,'Jan-2026 rates'!$L:$R,5,0),IF($LB281=30%,VLOOKUP($CH281,'Jan-2026 rates'!$L:$R,6,0),IF($LB281=100%,VLOOKUP($CH281,'Jan-2026 rates'!$L:$R,7,0),IF($LB281=60%,VLOOKUP($CH281,'Jan-2026 rates'!$L:$S,8,0),IF($LB281=80%,VLOOKUP($CH281,'Jan-2026 rates'!L:T,9,0),0))))))))</f>
        <v>0</v>
      </c>
      <c r="CK281" s="412"/>
      <c r="CL281" s="409"/>
      <c r="CM281" s="411">
        <f>IF(CL281=0,0,IF($LB281=70%,VLOOKUP($CH281,'Jan-2026 rates'!$L:$R,4,0),IF($LB281=65%,VLOOKUP($CH281,'Jan-2026 rates'!$L:$R,4,0),IF($LB281=40%,VLOOKUP($CH281,'Jan-2026 rates'!$L:$R,5,0),IF($LB281=30%,VLOOKUP($CH281,'Jan-2026 rates'!$L:$R,6,0),IF($LB281=100%,VLOOKUP($CH281,'Jan-2026 rates'!$L:$R,7,0),IF($LB281=60%,VLOOKUP($CH281,'Jan-2026 rates'!$L:$S,8,0),IF($LB281=80%,VLOOKUP($CH281,'Jan-2026 rates'!L:T,9,0),0))))))))</f>
        <v>0</v>
      </c>
      <c r="CN281" s="426" t="s">
        <v>1266</v>
      </c>
      <c r="CO281" s="427"/>
      <c r="CP281" s="426"/>
      <c r="CQ281" s="426"/>
      <c r="CR281" s="428"/>
      <c r="CS281" s="428"/>
      <c r="CT281" s="428"/>
      <c r="CU281" s="428"/>
      <c r="CV281" s="409">
        <v>5</v>
      </c>
      <c r="CW281" s="398">
        <f>IF(CV281=0,0,IF(LEN(CN281)=11,_xlfn.XLOOKUP(CN281,'Dispensed Ink Rates'!C:C,'Dispensed Ink Rates'!CS:CS),VLOOKUP(CN281,'Jan-2026 rates'!$E:$F,2,0)))</f>
        <v>0</v>
      </c>
      <c r="CX281" s="409"/>
      <c r="CY281" s="398">
        <f>IF(CX281=0,0,IF(LEN(CO281)=11,_xlfn.XLOOKUP(CO281,'Dispensed Ink Rates'!C:C,'Dispensed Ink Rates'!CS:CS),VLOOKUP(CO281,'Jan-2026 rates'!$E:$F,2,0)))</f>
        <v>0</v>
      </c>
      <c r="CZ281" s="409"/>
      <c r="DA281" s="398">
        <f>IF(CZ281=0,0,IF(LEN(CP281)=11,_xlfn.XLOOKUP(CP281,'Dispensed Ink Rates'!C:C,'Dispensed Ink Rates'!CS:CS),VLOOKUP(CP281,'Jan-2026 rates'!$E:$F,2,0)))</f>
        <v>0</v>
      </c>
      <c r="DB281" s="409"/>
      <c r="DC281" s="398">
        <f>IF(DB281=0,0,IF(LEN(CQ281)=11,_xlfn.XLOOKUP(CQ281,'Dispensed Ink Rates'!C:C,'Dispensed Ink Rates'!CS:CS),VLOOKUP(CQ281,'Jan-2026 rates'!$E:$F,2,0)))</f>
        <v>0</v>
      </c>
      <c r="DD281" s="409"/>
      <c r="DE281" s="398">
        <f>IF(DD281=0,0,IF(LEN(CR281)=11,_xlfn.XLOOKUP(CR281,'Dispensed Ink Rates'!C:C,'Dispensed Ink Rates'!CS:CS),VLOOKUP(CR281,'Jan-2026 rates'!$E:$F,2,0)))</f>
        <v>0</v>
      </c>
      <c r="DF281" s="409"/>
      <c r="DG281" s="398">
        <f>IF(DF281=0,0,IF(LEN(CS281)=11,_xlfn.XLOOKUP(CS281,'Dispensed Ink Rates'!C:C,'Dispensed Ink Rates'!CS:CS),VLOOKUP(CS281,'Jan-2026 rates'!$E:$F,2,0)))</f>
        <v>0</v>
      </c>
      <c r="DH281" s="409"/>
      <c r="DI281" s="398">
        <f>IF(DH281=0,0,IF(LEN(CT281)=11,_xlfn.XLOOKUP(CT281,'Dispensed Ink Rates'!C:C,'Dispensed Ink Rates'!CS:CS),VLOOKUP(CT281,'Jan-2026 rates'!$E:$F,2,0)))</f>
        <v>0</v>
      </c>
      <c r="DJ281" s="409"/>
      <c r="DK281" s="398">
        <f>IF(DJ281=0,0,IF(LEN(CU281)=11,_xlfn.XLOOKUP(CU281,'Dispensed Ink Rates'!C:C,'Dispensed Ink Rates'!CS:CS),VLOOKUP(CU281,'Jan-2026 rates'!$E:$F,2,0)))</f>
        <v>0</v>
      </c>
      <c r="DL281" s="409" t="s">
        <v>1443</v>
      </c>
      <c r="DM281" s="409">
        <v>29</v>
      </c>
      <c r="DN281" s="411">
        <f t="shared" si="218"/>
        <v>0</v>
      </c>
      <c r="DO281" s="411">
        <f t="shared" si="219"/>
        <v>4.32</v>
      </c>
      <c r="DP281" s="410">
        <f t="shared" si="220"/>
        <v>0</v>
      </c>
      <c r="DQ281" s="405" t="s">
        <v>544</v>
      </c>
      <c r="DR281" s="409" t="s">
        <v>4295</v>
      </c>
      <c r="DS281" s="420" t="str">
        <f t="shared" si="186"/>
        <v>FLINTSL - MAGENTA</v>
      </c>
      <c r="DT281" s="409">
        <v>26</v>
      </c>
      <c r="DU281" s="411">
        <f>IF(DT281=0,0,IF($LB281=70%,VLOOKUP($DS281,'Jan-2026 rates'!$L:$R,4,0),IF($LB281=65%,VLOOKUP($DS281,'Jan-2026 rates'!$L:$R,4,0),IF($LB281=40%,VLOOKUP($DS281,'Jan-2026 rates'!$L:$R,5,0),IF($LB281=30%,VLOOKUP($DS281,'Jan-2026 rates'!$L:$R,6,0),IF($LB281=100%,VLOOKUP($DS281,'Jan-2026 rates'!$L:$R,7,0),IF($LB281=60%,VLOOKUP($DS281,'Jan-2026 rates'!$L:$S,8,0),IF($LB281=80%,VLOOKUP($DS281,'Jan-2026 rates'!L:T,9,0),0))))))))</f>
        <v>0</v>
      </c>
      <c r="DV281" s="412"/>
      <c r="DW281" s="409"/>
      <c r="DX281" s="411">
        <f>IF(DW281=0,0,IF($LB281=70%,VLOOKUP($DS281,'Jan-2026 rates'!$L:$R,4,0),IF($LB281=65%,VLOOKUP($DS281,'Jan-2026 rates'!$L:$R,4,0),IF($LB281=40%,VLOOKUP($DS281,'Jan-2026 rates'!$L:$R,5,0),IF($LB281=30%,VLOOKUP($DS281,'Jan-2026 rates'!$L:$R,6,0),IF($LB281=100%,VLOOKUP($DS281,'Jan-2026 rates'!$L:$R,7,0),IF($LB281=60%,VLOOKUP($DS281,'Jan-2026 rates'!$L:$S,8,0),IF($LB281=80%,VLOOKUP($DS281,'Jan-2026 rates'!L:T,9,0),0))))))))</f>
        <v>0</v>
      </c>
      <c r="DY281" s="413" t="s">
        <v>1266</v>
      </c>
      <c r="DZ281" s="413"/>
      <c r="EA281" s="412"/>
      <c r="EB281" s="412"/>
      <c r="EC281" s="412"/>
      <c r="ED281" s="412"/>
      <c r="EE281" s="412"/>
      <c r="EF281" s="412"/>
      <c r="EG281" s="409">
        <v>7</v>
      </c>
      <c r="EH281" s="398">
        <f>IF(EG281=0,0,IF(LEN(DY281)=11,_xlfn.XLOOKUP(DY281,'Dispensed Ink Rates'!C:C,'Dispensed Ink Rates'!CS:CS),VLOOKUP(DY281,'Jan-2026 rates'!$E:$F,2,0)))</f>
        <v>0</v>
      </c>
      <c r="EI281" s="409"/>
      <c r="EJ281" s="398">
        <f>IF(EI281=0,0,IF(LEN(DZ281)=11,_xlfn.XLOOKUP(DZ281,'Dispensed Ink Rates'!C:C,'Dispensed Ink Rates'!CS:CS),VLOOKUP(DZ281,'Jan-2026 rates'!$E:$F,2,0)))</f>
        <v>0</v>
      </c>
      <c r="EK281" s="409"/>
      <c r="EL281" s="398">
        <f>IF(EK281=0,0,IF(LEN(EA281)=11,_xlfn.XLOOKUP(EA281,'Dispensed Ink Rates'!C:C,'Dispensed Ink Rates'!CS:CS),VLOOKUP(EA281,'Jan-2026 rates'!$E:$F,2,0)))</f>
        <v>0</v>
      </c>
      <c r="EM281" s="409"/>
      <c r="EN281" s="398">
        <f>IF(EM281=0,0,IF(LEN(EB281)=11,_xlfn.XLOOKUP(EB281,'Dispensed Ink Rates'!C:C,'Dispensed Ink Rates'!CS:CS),VLOOKUP(EB281,'Jan-2026 rates'!$E:$F,2,0)))</f>
        <v>0</v>
      </c>
      <c r="EO281" s="409"/>
      <c r="EP281" s="398">
        <f>IF(EO281=0,0,IF(LEN(EC281)=11,_xlfn.XLOOKUP(EC281,'Dispensed Ink Rates'!C:C,'Dispensed Ink Rates'!CS:CS),VLOOKUP(EC281,'Jan-2026 rates'!$E:$F,2,0)))</f>
        <v>0</v>
      </c>
      <c r="EQ281" s="409"/>
      <c r="ER281" s="398">
        <f>IF(EQ281=0,0,IF(LEN(ED281)=11,_xlfn.XLOOKUP(ED281,'Dispensed Ink Rates'!C:C,'Dispensed Ink Rates'!CS:CS),VLOOKUP(ED281,'Jan-2026 rates'!$E:$F,2,0)))</f>
        <v>0</v>
      </c>
      <c r="ES281" s="409"/>
      <c r="ET281" s="398">
        <f>IF(ES281=0,0,IF(LEN(EE281)=11,_xlfn.XLOOKUP(EE281,'Dispensed Ink Rates'!C:C,'Dispensed Ink Rates'!CS:CS),VLOOKUP(EE281,'Jan-2026 rates'!$E:$F,2,0)))</f>
        <v>0</v>
      </c>
      <c r="EU281" s="409"/>
      <c r="EV281" s="398">
        <f>IF(EU281=0,0,IF(LEN(EF281)=11,_xlfn.XLOOKUP(EF281,'Dispensed Ink Rates'!C:C,'Dispensed Ink Rates'!CS:CS),VLOOKUP(EF281,'Jan-2026 rates'!$E:$F,2,0)))</f>
        <v>0</v>
      </c>
      <c r="EW281" s="409" t="s">
        <v>1443</v>
      </c>
      <c r="EX281" s="409">
        <v>35</v>
      </c>
      <c r="EY281" s="411">
        <f t="shared" si="221"/>
        <v>0</v>
      </c>
      <c r="EZ281" s="411">
        <f t="shared" si="222"/>
        <v>12.399999999999999</v>
      </c>
      <c r="FA281" s="410">
        <f t="shared" si="223"/>
        <v>0</v>
      </c>
      <c r="FB281" s="405" t="s">
        <v>545</v>
      </c>
      <c r="FC281" s="409" t="s">
        <v>4296</v>
      </c>
      <c r="FD281" s="420" t="str">
        <f t="shared" si="187"/>
        <v>FLINTSL - YELLOW</v>
      </c>
      <c r="FE281" s="409">
        <v>29</v>
      </c>
      <c r="FF281" s="411">
        <f>IF(FE281=0,0,IF($LB281=70%,VLOOKUP($FD281,'Jan-2026 rates'!$L:$R,4,0),IF($LB281=65%,VLOOKUP($FD281,'Jan-2026 rates'!$L:$R,4,0),IF($LB281=40%,VLOOKUP($FD281,'Jan-2026 rates'!$L:$R,5,0),IF($LB281=30%,VLOOKUP($FD281,'Jan-2026 rates'!$L:$R,6,0),IF($LB281=100%,VLOOKUP($FD281,'Jan-2026 rates'!$L:$R,7,0),IF($LB281=60%,VLOOKUP($FD281,'Jan-2026 rates'!$L:$S,8,0),IF($LB281=80%,VLOOKUP($FD281,'Jan-2026 rates'!L:T,9,0),0))))))))</f>
        <v>0</v>
      </c>
      <c r="FG281" s="412"/>
      <c r="FH281" s="409"/>
      <c r="FI281" s="411">
        <f>IF(FH281=0,0,IF($LB281=70%,VLOOKUP($FD281,'Jan-2026 rates'!$L:$R,4,0),IF($LB281=65%,VLOOKUP($FD281,'Jan-2026 rates'!$L:$R,4,0),IF($LB281=40%,VLOOKUP($FD281,'Jan-2026 rates'!$L:$R,5,0),IF($LB281=30%,VLOOKUP($FD281,'Jan-2026 rates'!$L:$R,6,0),IF($LB281=100%,VLOOKUP($FD281,'Jan-2026 rates'!$L:$R,7,0),IF($LB281=60%,VLOOKUP($FD281,'Jan-2026 rates'!$L:$S,8,0),IF($LB281=80%,VLOOKUP($FD281,'Jan-2026 rates'!L:T,9,0),0))))))))</f>
        <v>0</v>
      </c>
      <c r="FJ281" s="413">
        <v>26523000003</v>
      </c>
      <c r="FK281" s="413"/>
      <c r="FL281" s="413"/>
      <c r="FM281" s="412"/>
      <c r="FN281" s="412"/>
      <c r="FO281" s="412"/>
      <c r="FP281" s="412"/>
      <c r="FQ281" s="412"/>
      <c r="FR281" s="409">
        <v>2</v>
      </c>
      <c r="FS281" s="398" t="e">
        <f>IF(FR281=0,0,IF(LEN(FJ281)=11,_xlfn.XLOOKUP(FJ281,'Dispensed Ink Rates'!C:C,'Dispensed Ink Rates'!CS:CS),VLOOKUP(FJ281,'Jan-2026 rates'!$E:$F,2,0)))</f>
        <v>#N/A</v>
      </c>
      <c r="FT281" s="409"/>
      <c r="FU281" s="398">
        <f>IF(FT281=0,0,IF(LEN(FK281)=11,_xlfn.XLOOKUP(FK281,'Dispensed Ink Rates'!C:C,'Dispensed Ink Rates'!CS:CS),VLOOKUP(FK281,'Jan-2026 rates'!$E:$F,2,0)))</f>
        <v>0</v>
      </c>
      <c r="FV281" s="409"/>
      <c r="FW281" s="398">
        <f>IF(FV281=0,0,IF(LEN(FL281)=11,_xlfn.XLOOKUP(FL281,'Dispensed Ink Rates'!C:C,'Dispensed Ink Rates'!CS:CS),VLOOKUP(FL281,'Jan-2026 rates'!$E:$F,2,0)))</f>
        <v>0</v>
      </c>
      <c r="FX281" s="409"/>
      <c r="FY281" s="398">
        <f>IF(FX281=0,0,IF(LEN(FM281)=11,_xlfn.XLOOKUP(FM281,'Dispensed Ink Rates'!C:C,'Dispensed Ink Rates'!CS:CS),VLOOKUP(FM281,'Jan-2026 rates'!$E:$F,2,0)))</f>
        <v>0</v>
      </c>
      <c r="FZ281" s="409"/>
      <c r="GA281" s="398">
        <f>IF(FZ281=0,0,IF(LEN(FN281)=11,_xlfn.XLOOKUP(FN281,'Dispensed Ink Rates'!C:C,'Dispensed Ink Rates'!CS:CS),VLOOKUP(FN281,'Jan-2026 rates'!$E:$F,2,0)))</f>
        <v>0</v>
      </c>
      <c r="GB281" s="409"/>
      <c r="GC281" s="398">
        <f>IF(GB281=0,0,IF(LEN(FO281)=11,_xlfn.XLOOKUP(FO281,'Dispensed Ink Rates'!C:C,'Dispensed Ink Rates'!CS:CS),VLOOKUP(FO281,'Jan-2026 rates'!$E:$F,2,0)))</f>
        <v>0</v>
      </c>
      <c r="GD281" s="409"/>
      <c r="GE281" s="398">
        <f>IF(GD281=0,0,IF(LEN(FP281)=11,_xlfn.XLOOKUP(FP281,'Dispensed Ink Rates'!C:C,'Dispensed Ink Rates'!CS:CS),VLOOKUP(FP281,'Jan-2026 rates'!$E:$F,2,0)))</f>
        <v>0</v>
      </c>
      <c r="GF281" s="409"/>
      <c r="GG281" s="398">
        <f>IF(GF281=0,0,IF(LEN(FQ281)=11,_xlfn.XLOOKUP(FQ281,'Dispensed Ink Rates'!C:C,'Dispensed Ink Rates'!CS:CS),VLOOKUP(FQ281,'Jan-2026 rates'!$E:$F,2,0)))</f>
        <v>0</v>
      </c>
      <c r="GH281" s="409" t="s">
        <v>1443</v>
      </c>
      <c r="GI281" s="409">
        <v>28</v>
      </c>
      <c r="GJ281" s="411">
        <f t="shared" si="224"/>
        <v>0</v>
      </c>
      <c r="GK281" s="411">
        <f t="shared" si="225"/>
        <v>7.32</v>
      </c>
      <c r="GL281" s="410">
        <f t="shared" si="226"/>
        <v>0</v>
      </c>
      <c r="GM281" s="405" t="s">
        <v>545</v>
      </c>
      <c r="GN281" s="409"/>
      <c r="GO281" s="420" t="str">
        <f t="shared" si="188"/>
        <v>FLINTSL - YELLOW</v>
      </c>
      <c r="GP281" s="409"/>
      <c r="GQ281" s="411">
        <f>IF(GP281=0,0,IF($LB281=70%,VLOOKUP($GO281,'Jan-2026 rates'!$L:$R,4,0),IF($LB281=65%,VLOOKUP($GO281,'Jan-2026 rates'!$L:$R,4,0),IF($LB281=40%,VLOOKUP($GO281,'Jan-2026 rates'!$L:$R,5,0),IF($LB281=30%,VLOOKUP($GO281,'Jan-2026 rates'!$L:$R,6,0),IF($LB281=100%,VLOOKUP($GO281,'Jan-2026 rates'!$L:$R,7,0),IF($LB281=60%,VLOOKUP($GO281,'Jan-2026 rates'!$L:$S,8,0),IF($LB281=80%,VLOOKUP($GO281,'Jan-2026 rates'!L:T,9,0),0))))))))</f>
        <v>0</v>
      </c>
      <c r="GR281" s="412"/>
      <c r="GS281" s="409"/>
      <c r="GT281" s="411">
        <f>IF(GS281=0,0,IF($LB281=70%,VLOOKUP($GO281,'Jan-2026 rates'!$L:$R,4,0),IF($LB281=65%,VLOOKUP($GO281,'Jan-2026 rates'!$L:$R,4,0),IF($LB281=40%,VLOOKUP($GO281,'Jan-2026 rates'!$L:$R,5,0),IF($LB281=30%,VLOOKUP($GO281,'Jan-2026 rates'!$L:$R,6,0),IF($LB281=100%,VLOOKUP($GO281,'Jan-2026 rates'!$L:$R,7,0),IF($LB281=60%,VLOOKUP($GO281,'Jan-2026 rates'!$L:$S,8,0),IF($LB281=80%,VLOOKUP($GO281,'Jan-2026 rates'!L:T,9,0),0))))))))</f>
        <v>0</v>
      </c>
      <c r="GU281" s="413">
        <v>26522000014</v>
      </c>
      <c r="GV281" s="413">
        <v>26522000018</v>
      </c>
      <c r="GW281" s="412" t="s">
        <v>1266</v>
      </c>
      <c r="GX281" s="412"/>
      <c r="GY281" s="412"/>
      <c r="GZ281" s="412"/>
      <c r="HA281" s="412"/>
      <c r="HB281" s="412"/>
      <c r="HC281" s="409">
        <v>40</v>
      </c>
      <c r="HD281" s="398" t="e">
        <f>IF(HC281=0,0,IF(LEN(GU281)=11,_xlfn.XLOOKUP(GU281,'Dispensed Ink Rates'!C:C,'Dispensed Ink Rates'!CS:CS),VLOOKUP(GU281,'Jan-2026 rates'!$E:$F,2,0)))</f>
        <v>#N/A</v>
      </c>
      <c r="HE281" s="409">
        <v>12</v>
      </c>
      <c r="HF281" s="398" t="e">
        <f>IF(HE281=0,0,IF(LEN(GV281)=11,_xlfn.XLOOKUP(GV281,'Dispensed Ink Rates'!C:C,'Dispensed Ink Rates'!CS:CS),VLOOKUP(GV281,'Jan-2026 rates'!$E:$F,2,0)))</f>
        <v>#N/A</v>
      </c>
      <c r="HG281" s="409">
        <v>5</v>
      </c>
      <c r="HH281" s="398">
        <f>IF(HG281=0,0,IF(LEN(GW281)=11,_xlfn.XLOOKUP(GW281,'Dispensed Ink Rates'!C:C,'Dispensed Ink Rates'!CS:CS),VLOOKUP(GW281,'Jan-2026 rates'!$E:$F,2,0)))</f>
        <v>0</v>
      </c>
      <c r="HI281" s="409"/>
      <c r="HJ281" s="398">
        <f>IF(HI281=0,0,IF(LEN(GX281)=11,_xlfn.XLOOKUP(GX281,'Dispensed Ink Rates'!C:C,'Dispensed Ink Rates'!CS:CS),VLOOKUP(GX281,'Jan-2026 rates'!$E:$F,2,0)))</f>
        <v>0</v>
      </c>
      <c r="HK281" s="409"/>
      <c r="HL281" s="398">
        <f>IF(HK281=0,0,IF(LEN(GY281)=11,_xlfn.XLOOKUP(GY281,'Dispensed Ink Rates'!C:C,'Dispensed Ink Rates'!CS:CS),VLOOKUP(GY281,'Jan-2026 rates'!$E:$F,2,0)))</f>
        <v>0</v>
      </c>
      <c r="HM281" s="409"/>
      <c r="HN281" s="398">
        <f>IF(HM281=0,0,IF(LEN(GZ281)=11,_xlfn.XLOOKUP(GZ281,'Dispensed Ink Rates'!C:C,'Dispensed Ink Rates'!CS:CS),VLOOKUP(GZ281,'Jan-2026 rates'!$E:$F,2,0)))</f>
        <v>0</v>
      </c>
      <c r="HO281" s="409"/>
      <c r="HP281" s="398">
        <f>IF(HO281=0,0,IF(LEN(HA281)=11,_xlfn.XLOOKUP(HA281,'Dispensed Ink Rates'!C:C,'Dispensed Ink Rates'!CS:CS),VLOOKUP(HA281,'Jan-2026 rates'!$E:$F,2,0)))</f>
        <v>0</v>
      </c>
      <c r="HQ281" s="409"/>
      <c r="HR281" s="398">
        <f>IF(HQ281=0,0,IF(LEN(HB281)=11,_xlfn.XLOOKUP(HB281,'Dispensed Ink Rates'!C:C,'Dispensed Ink Rates'!CS:CS),VLOOKUP(HB281,'Jan-2026 rates'!$E:$F,2,0)))</f>
        <v>0</v>
      </c>
      <c r="HS281" s="409" t="s">
        <v>1443</v>
      </c>
      <c r="HT281" s="409">
        <v>32</v>
      </c>
      <c r="HU281" s="411">
        <f t="shared" si="227"/>
        <v>0</v>
      </c>
      <c r="HV281" s="411">
        <f t="shared" si="228"/>
        <v>35.08</v>
      </c>
      <c r="HW281" s="414">
        <f t="shared" si="229"/>
        <v>0</v>
      </c>
      <c r="HX281" s="405" t="s">
        <v>856</v>
      </c>
      <c r="HY281" s="409" t="s">
        <v>4297</v>
      </c>
      <c r="HZ281" s="420" t="str">
        <f t="shared" si="189"/>
        <v>FLINTSL - WHITE</v>
      </c>
      <c r="IA281" s="409">
        <v>20</v>
      </c>
      <c r="IB281" s="411">
        <f>IF(IA281=0,0,IF($LB281=70%,VLOOKUP($HZ281,'Jan-2026 rates'!$L:$R,4,0),IF($LB281=65%,VLOOKUP($HZ281,'Jan-2026 rates'!$L:$R,4,0),IF($LB281=40%,VLOOKUP($HZ281,'Jan-2026 rates'!$L:$R,5,0),IF($LB281=30%,VLOOKUP($HZ281,'Jan-2026 rates'!$L:$R,6,0),IF($LB281=100%,VLOOKUP($HZ281,'Jan-2026 rates'!$L:$R,7,0),IF($LB281=60%,VLOOKUP($HZ281,'Jan-2026 rates'!$L:$S,8,0),IF($LB281=80%,VLOOKUP($HZ281,'Jan-2026 rates'!L:T,9,0),0))))))))</f>
        <v>0</v>
      </c>
      <c r="IC281" s="412"/>
      <c r="ID281" s="409"/>
      <c r="IE281" s="411">
        <f>IF(ID281=0,0,IF($LB281=70%,VLOOKUP($HZ281,'Jan-2026 rates'!$L:$R,4,0),IF($LB281=65%,VLOOKUP($HZ281,'Jan-2026 rates'!$L:$R,4,0),IF($LB281=40%,VLOOKUP($HZ281,'Jan-2026 rates'!$L:$R,5,0),IF($LB281=30%,VLOOKUP($HZ281,'Jan-2026 rates'!$L:$R,6,0),IF($LB281=100%,VLOOKUP($HZ281,'Jan-2026 rates'!$L:$R,7,0),IF($LB281=60%,VLOOKUP($HZ281,'Jan-2026 rates'!$L:$S,8,0),IF($LB281=80%,VLOOKUP($HZ281,'Jan-2026 rates'!L:T,9,0),0))))))))</f>
        <v>0</v>
      </c>
      <c r="IF281" s="412" t="s">
        <v>484</v>
      </c>
      <c r="IG281" s="413"/>
      <c r="IH281" s="412"/>
      <c r="II281" s="412"/>
      <c r="IJ281" s="412"/>
      <c r="IK281" s="412"/>
      <c r="IL281" s="412"/>
      <c r="IM281" s="412"/>
      <c r="IN281" s="409">
        <v>40</v>
      </c>
      <c r="IO281" s="398">
        <f>IF(IN281=0,0,IF(LEN(IF281)=11,_xlfn.XLOOKUP(IF281,'Dispensed Ink Rates'!C:C,'Dispensed Ink Rates'!CS:CS),VLOOKUP(IF281,'Jan-2026 rates'!$E:$F,2,0)))</f>
        <v>0</v>
      </c>
      <c r="IP281" s="409"/>
      <c r="IQ281" s="398">
        <f>IF(IP281=0,0,IF(LEN(IG281)=11,_xlfn.XLOOKUP(IG281,'Dispensed Ink Rates'!C:C,'Dispensed Ink Rates'!CS:CS),VLOOKUP(IG281,'Jan-2026 rates'!$E:$F,2,0)))</f>
        <v>0</v>
      </c>
      <c r="IR281" s="409"/>
      <c r="IS281" s="398">
        <f>IF(IR281=0,0,IF(LEN(IH281)=11,_xlfn.XLOOKUP(IH281,'Dispensed Ink Rates'!C:C,'Dispensed Ink Rates'!CS:CS),VLOOKUP(IH281,'Jan-2026 rates'!$E:$F,2,0)))</f>
        <v>0</v>
      </c>
      <c r="IT281" s="409"/>
      <c r="IU281" s="398">
        <f>IF(IT281=0,0,IF(LEN(II281)=11,_xlfn.XLOOKUP(II281,'Dispensed Ink Rates'!C:C,'Dispensed Ink Rates'!CS:CS),VLOOKUP(II281,'Jan-2026 rates'!$E:$F,2,0)))</f>
        <v>0</v>
      </c>
      <c r="IV281" s="409"/>
      <c r="IW281" s="398">
        <f>IF(IV281=0,0,IF(LEN(IJ281)=11,_xlfn.XLOOKUP(IJ281,'Dispensed Ink Rates'!C:C,'Dispensed Ink Rates'!CS:CS),VLOOKUP(IJ281,'Jan-2026 rates'!$E:$F,2,0)))</f>
        <v>0</v>
      </c>
      <c r="IX281" s="409"/>
      <c r="IY281" s="398">
        <f>IF(IX281=0,0,IF(LEN(IK281)=11,_xlfn.XLOOKUP(IK281,'Dispensed Ink Rates'!C:C,'Dispensed Ink Rates'!CS:CS),VLOOKUP(IK281,'Jan-2026 rates'!$E:$F,2,0)))</f>
        <v>0</v>
      </c>
      <c r="IZ281" s="409"/>
      <c r="JA281" s="398">
        <f>IF(IZ281=0,0,IF(LEN(IL281)=11,_xlfn.XLOOKUP(IL281,'Dispensed Ink Rates'!C:C,'Dispensed Ink Rates'!CS:CS),VLOOKUP(IL281,'Jan-2026 rates'!$E:$F,2,0)))</f>
        <v>0</v>
      </c>
      <c r="JB281" s="409"/>
      <c r="JC281" s="398">
        <f>IF(JB281=0,0,IF(LEN(IM281)=11,_xlfn.XLOOKUP(IM281,'Dispensed Ink Rates'!C:C,'Dispensed Ink Rates'!CS:CS),VLOOKUP(IM281,'Jan-2026 rates'!$E:$F,2,0)))</f>
        <v>0</v>
      </c>
      <c r="JD281" s="409" t="s">
        <v>1443</v>
      </c>
      <c r="JE281" s="409">
        <v>30</v>
      </c>
      <c r="JF281" s="411">
        <f t="shared" si="230"/>
        <v>0</v>
      </c>
      <c r="JG281" s="411">
        <f t="shared" si="231"/>
        <v>58.8</v>
      </c>
      <c r="JH281" s="410">
        <f t="shared" si="232"/>
        <v>0</v>
      </c>
      <c r="JI281" s="405"/>
      <c r="JJ281" s="409"/>
      <c r="JK281" s="420" t="str">
        <f t="shared" si="190"/>
        <v xml:space="preserve"> - </v>
      </c>
      <c r="JL281" s="409"/>
      <c r="JM281" s="411">
        <f>IF(JL281=0,0,IF($LB281=70%,VLOOKUP($JK281,'Jan-2026 rates'!$L:$R,4,0),IF($LB281=65%,VLOOKUP($JK281,'Jan-2026 rates'!$L:$R,4,0),IF($LB281=40%,VLOOKUP($JK281,'Jan-2026 rates'!$L:$R,5,0),IF($LB281=30%,VLOOKUP($JK281,'Jan-2026 rates'!$L:$R,6,0),IF($LB281=100%,VLOOKUP($JK281,'Jan-2026 rates'!$L:$R,7,0),IF($LB281=60%,VLOOKUP($JK281,'Jan-2026 rates'!$L:$S,8,0),IF($LB281=80%,VLOOKUP($JK281,'Jan-2026 rates'!L:T,9,0),0))))))))</f>
        <v>0</v>
      </c>
      <c r="JN281" s="412"/>
      <c r="JO281" s="409"/>
      <c r="JP281" s="411">
        <f>IF(JO281=0,0,IF($LB281=70%,VLOOKUP($JK281,'Jan-2026 rates'!$L:$R,4,0),IF($LB281=65%,VLOOKUP($JK281,'Jan-2026 rates'!$L:$R,4,0),IF($LB281=40%,VLOOKUP($JK281,'Jan-2026 rates'!$L:$R,5,0),IF($LB281=30%,VLOOKUP($JK281,'Jan-2026 rates'!$L:$R,6,0),IF($LB281=100%,VLOOKUP($JK281,'Jan-2026 rates'!$L:$R,7,0),IF($LB281=60%,VLOOKUP($JK281,'Jan-2026 rates'!$L:$S,8,0),IF($LB281=80%,VLOOKUP($JK281,'Jan-2026 rates'!L:T,9,0),0))))))))</f>
        <v>0</v>
      </c>
      <c r="JQ281" s="413"/>
      <c r="JR281" s="412"/>
      <c r="JS281" s="413"/>
      <c r="JT281" s="413"/>
      <c r="JU281" s="412"/>
      <c r="JV281" s="412"/>
      <c r="JW281" s="412"/>
      <c r="JX281" s="412"/>
      <c r="JY281" s="409"/>
      <c r="JZ281" s="398">
        <f>IF(JY281=0,0,IF(LEN(JQ281)=11,_xlfn.XLOOKUP(JQ281,'Dispensed Ink Rates'!C:C,'Dispensed Ink Rates'!CS:CS),VLOOKUP(JQ281,'Jan-2026 rates'!$E:$F,2,0)))</f>
        <v>0</v>
      </c>
      <c r="KA281" s="409"/>
      <c r="KB281" s="398">
        <f>IF(KA281=0,0,IF(LEN(JR281)=11,_xlfn.XLOOKUP(JR281,'Dispensed Ink Rates'!C:C,'Dispensed Ink Rates'!CS:CS),VLOOKUP(JR281,'Jan-2026 rates'!$E:$F,2,0)))</f>
        <v>0</v>
      </c>
      <c r="KC281" s="409"/>
      <c r="KD281" s="398">
        <f>IF(KC281=0,0,IF(LEN(JS281)=11,_xlfn.XLOOKUP(JS281,'Dispensed Ink Rates'!C:C,'Dispensed Ink Rates'!CS:CS),VLOOKUP(JS281,'Jan-2026 rates'!$E:$F,2,0)))</f>
        <v>0</v>
      </c>
      <c r="KE281" s="409"/>
      <c r="KF281" s="398">
        <f>IF(KE281=0,0,IF(LEN(JT281)=11,_xlfn.XLOOKUP(JT281,'Dispensed Ink Rates'!C:C,'Dispensed Ink Rates'!CS:CS),VLOOKUP(JT281,'Jan-2026 rates'!$E:$F,2,0)))</f>
        <v>0</v>
      </c>
      <c r="KG281" s="409"/>
      <c r="KH281" s="398">
        <f>IF(KG281=0,0,IF(LEN(JU281)=11,_xlfn.XLOOKUP(JU281,'Dispensed Ink Rates'!C:C,'Dispensed Ink Rates'!CS:CS),VLOOKUP(JU281,'Jan-2026 rates'!$E:$F,2,0)))</f>
        <v>0</v>
      </c>
      <c r="KI281" s="409"/>
      <c r="KJ281" s="398">
        <f>IF(KI281=0,0,IF(LEN(JV281)=11,_xlfn.XLOOKUP(JV281,'Dispensed Ink Rates'!C:C,'Dispensed Ink Rates'!CS:CS),VLOOKUP(JV281,'Jan-2026 rates'!$E:$F,2,0)))</f>
        <v>0</v>
      </c>
      <c r="KK281" s="409"/>
      <c r="KL281" s="398">
        <f>IF(KK281=0,0,IF(LEN(JW281)=11,_xlfn.XLOOKUP(JW281,'Dispensed Ink Rates'!C:C,'Dispensed Ink Rates'!CS:CS),VLOOKUP(JW281,'Jan-2026 rates'!$E:$F,2,0)))</f>
        <v>0</v>
      </c>
      <c r="KM281" s="428"/>
      <c r="KN281" s="398">
        <f>IF(KM281=0,0,IF(LEN(JX281)=11,_xlfn.XLOOKUP(JX281,'Dispensed Ink Rates'!C:C,'Dispensed Ink Rates'!CS:CS),VLOOKUP(JX281,'Jan-2026 rates'!$E:$F,2,0)))</f>
        <v>0</v>
      </c>
      <c r="KO281" s="409"/>
      <c r="KP281" s="409"/>
      <c r="KQ281" s="411">
        <f t="shared" si="233"/>
        <v>0</v>
      </c>
      <c r="KR281" s="411">
        <f t="shared" si="234"/>
        <v>0</v>
      </c>
      <c r="KS281" s="410">
        <f t="shared" si="235"/>
        <v>0</v>
      </c>
      <c r="KT281" s="409">
        <v>2</v>
      </c>
      <c r="KU281" s="409">
        <v>5</v>
      </c>
      <c r="KV281" s="409">
        <v>3</v>
      </c>
      <c r="KW281" s="409">
        <v>10</v>
      </c>
      <c r="KX281" s="409">
        <v>3</v>
      </c>
      <c r="KY281" s="409">
        <v>7</v>
      </c>
      <c r="KZ281" s="409">
        <v>20</v>
      </c>
      <c r="LA281" s="409">
        <v>0</v>
      </c>
      <c r="LB281" s="415">
        <v>0.8</v>
      </c>
      <c r="LC281" s="415">
        <v>0.2</v>
      </c>
      <c r="LD281" s="415"/>
      <c r="LE281" s="415"/>
      <c r="LF281" s="415"/>
      <c r="LG281" s="409">
        <v>0</v>
      </c>
      <c r="LH281" s="409">
        <f>27+15+24+6</f>
        <v>72</v>
      </c>
      <c r="LI281" s="409">
        <v>0</v>
      </c>
      <c r="LJ281" s="409">
        <v>0</v>
      </c>
      <c r="LK281" s="416">
        <f t="shared" si="191"/>
        <v>72</v>
      </c>
      <c r="LL281" s="416">
        <f t="shared" si="192"/>
        <v>72</v>
      </c>
      <c r="LM281" s="417">
        <f t="shared" si="193"/>
        <v>57.6</v>
      </c>
      <c r="LN281" s="417">
        <f>VLOOKUP($LM$8,'Jan-2026 rates'!$H:$I,2,0)</f>
        <v>0</v>
      </c>
      <c r="LO281" s="417">
        <f t="shared" si="194"/>
        <v>14.4</v>
      </c>
      <c r="LP281" s="417">
        <f>VLOOKUP($LO$8,'Jan-2026 rates'!$H:$I,2,0)</f>
        <v>0</v>
      </c>
      <c r="LQ281" s="417">
        <f t="shared" si="195"/>
        <v>0</v>
      </c>
      <c r="LR281" s="417">
        <f>VLOOKUP($LQ$8,'Jan-2026 rates'!$H:$I,2,0)</f>
        <v>0</v>
      </c>
      <c r="LS281" s="417">
        <f t="shared" si="196"/>
        <v>0</v>
      </c>
      <c r="LT281" s="417">
        <f>VLOOKUP($LS$8,'Jan-2026 rates'!$H:$I,2,0)</f>
        <v>0</v>
      </c>
      <c r="LU281" s="417">
        <f t="shared" si="197"/>
        <v>0</v>
      </c>
      <c r="LV281" s="417">
        <f>VLOOKUP($LU$8,'Jan-2026 rates'!$H:$I,2,0)</f>
        <v>0</v>
      </c>
      <c r="LW281" s="417">
        <f t="shared" si="198"/>
        <v>0</v>
      </c>
      <c r="LX281" s="417">
        <f t="shared" si="199"/>
        <v>0</v>
      </c>
      <c r="LY281" s="418">
        <f t="shared" si="200"/>
        <v>0</v>
      </c>
      <c r="LZ281" s="417"/>
      <c r="MA281" s="435">
        <f t="shared" si="201"/>
        <v>139</v>
      </c>
      <c r="MB281" s="282">
        <f t="shared" si="202"/>
        <v>128</v>
      </c>
      <c r="MC281" s="283">
        <v>174</v>
      </c>
      <c r="MD281" s="284" t="str">
        <f t="shared" si="203"/>
        <v>FLINTSLFLINTSLFLINTSLFLINTSLFLINTSLFLINTSLFLINTSL</v>
      </c>
      <c r="ME281" s="293" t="str">
        <f t="shared" si="204"/>
        <v>+</v>
      </c>
      <c r="MF281" s="293" t="str">
        <f t="shared" si="205"/>
        <v>+</v>
      </c>
      <c r="MG281" s="293" t="str">
        <f t="shared" si="206"/>
        <v>+</v>
      </c>
      <c r="MH281" s="293" t="str">
        <f t="shared" si="207"/>
        <v>+</v>
      </c>
      <c r="MI281" s="293" t="str">
        <f t="shared" si="208"/>
        <v>+</v>
      </c>
      <c r="MJ281" s="293" t="str">
        <f t="shared" si="209"/>
        <v>+</v>
      </c>
      <c r="MK281" s="293" t="str">
        <f t="shared" si="210"/>
        <v>+</v>
      </c>
      <c r="ML281" s="293" t="str">
        <f t="shared" si="211"/>
        <v>NIL</v>
      </c>
      <c r="MM281" s="3" t="b">
        <f t="array" ref="MM281">OR(ME281:ML281="-")</f>
        <v>0</v>
      </c>
      <c r="MN281" s="285"/>
      <c r="MO281" s="401"/>
      <c r="MP281" s="286"/>
      <c r="MQ281" s="286"/>
      <c r="MR281" s="402"/>
      <c r="MS281" s="400"/>
      <c r="NH281" s="422"/>
      <c r="NJ281" s="421"/>
    </row>
    <row r="282" spans="1:374" s="1" customFormat="1" ht="16.5">
      <c r="A282" s="403">
        <v>46044</v>
      </c>
      <c r="B282" s="404" t="s">
        <v>1018</v>
      </c>
      <c r="C282" s="405" t="s">
        <v>4298</v>
      </c>
      <c r="D282" s="406">
        <v>175</v>
      </c>
      <c r="E282" s="404">
        <v>275</v>
      </c>
      <c r="F282" s="407">
        <v>13000</v>
      </c>
      <c r="G282" s="407" t="s">
        <v>1019</v>
      </c>
      <c r="H282" s="408" t="s">
        <v>1017</v>
      </c>
      <c r="I282" s="409">
        <v>1.8</v>
      </c>
      <c r="J282" s="405" t="s">
        <v>543</v>
      </c>
      <c r="K282" s="404" t="s">
        <v>4299</v>
      </c>
      <c r="L282" s="419" t="str">
        <f t="shared" si="184"/>
        <v>FLINTSL - BLACK</v>
      </c>
      <c r="M282" s="404">
        <v>28</v>
      </c>
      <c r="N282" s="410">
        <f>IF(M282=0,0,IF($LB282=70%,VLOOKUP($L282,'Jan-2026 rates'!$L:$R,4,0),IF($LB282=65%,VLOOKUP($L282,'Jan-2026 rates'!$L:$R,4,0),IF($LB282=40%,VLOOKUP($L282,'Jan-2026 rates'!$L:$R,5,0),IF($LB282=30%,VLOOKUP($L282,'Jan-2026 rates'!$L:$R,6,0),IF($LB282=100%,VLOOKUP($L282,'Jan-2026 rates'!$L:$R,7,0),IF($LB282=60%,VLOOKUP($L282,'Jan-2026 rates'!$L:$S,8,0),IF($LB282=80%,VLOOKUP($L282,'Jan-2026 rates'!L:T,9,0),0))))))))</f>
        <v>0</v>
      </c>
      <c r="O282" s="406"/>
      <c r="P282" s="404"/>
      <c r="Q282" s="410">
        <f>IF(P282=0,0,IF($LB282=70%,VLOOKUP($L282,'Jan-2026 rates'!$L:$R,4,0),IF($LB282=65%,VLOOKUP($L282,'Jan-2026 rates'!$L:$R,4,0),IF($LB282=40%,VLOOKUP($L282,'Jan-2026 rates'!$L:$R,5,0),IF($LB282=30%,VLOOKUP($L282,'Jan-2026 rates'!$L:$R,6,0),IF($LB282=100%,VLOOKUP($L282,'Jan-2026 rates'!$L:$R,7,0),IF($LB282=60%,VLOOKUP($L282,'Jan-2026 rates'!$L:$S,8,0),IF($LB282=80%,VLOOKUP($L282,'Jan-2026 rates'!L:T,9,0),0))))))))</f>
        <v>0</v>
      </c>
      <c r="R282" s="406">
        <v>26523000027</v>
      </c>
      <c r="S282" s="406"/>
      <c r="T282" s="406"/>
      <c r="U282" s="406"/>
      <c r="V282" s="406"/>
      <c r="W282" s="406"/>
      <c r="X282" s="406"/>
      <c r="Y282" s="406"/>
      <c r="Z282" s="404">
        <v>2</v>
      </c>
      <c r="AA282" s="398" t="e">
        <f>IF(Z282=0,0,IF(LEN(R282)=11,_xlfn.XLOOKUP(R282,'Dispensed Ink Rates'!C:C,'Dispensed Ink Rates'!CS:CS),VLOOKUP(R282,'Jan-2026 rates'!$E:$F,2,0)))</f>
        <v>#N/A</v>
      </c>
      <c r="AB282" s="404"/>
      <c r="AC282" s="398">
        <f>IF(AB282=0,0,IF(LEN(S282)=11,_xlfn.XLOOKUP(S282,'Dispensed Ink Rates'!C:C,'Dispensed Ink Rates'!CS:CS),VLOOKUP(S282,'Jan-2026 rates'!$E:$F,2,0)))</f>
        <v>0</v>
      </c>
      <c r="AD282" s="404"/>
      <c r="AE282" s="398">
        <f>IF(AD282=0,0,IF(LEN(T282)=11,_xlfn.XLOOKUP(T282,'Dispensed Ink Rates'!C:C,'Dispensed Ink Rates'!CS:CS),VLOOKUP(T282,'Jan-2026 rates'!$E:$F,2,0)))</f>
        <v>0</v>
      </c>
      <c r="AF282" s="404"/>
      <c r="AG282" s="398">
        <f>IF(AF282=0,0,IF(LEN(U282)=11,_xlfn.XLOOKUP(U282,'Dispensed Ink Rates'!C:C,'Dispensed Ink Rates'!CS:CS),VLOOKUP(U282,'Jan-2026 rates'!$E:$F,2,0)))</f>
        <v>0</v>
      </c>
      <c r="AH282" s="404"/>
      <c r="AI282" s="398">
        <f>IF(AH282=0,0,IF(LEN(V282)=11,_xlfn.XLOOKUP(V282,'Dispensed Ink Rates'!C:C,'Dispensed Ink Rates'!CS:CS),VLOOKUP(V282,'Jan-2026 rates'!$E:$F,2,0)))</f>
        <v>0</v>
      </c>
      <c r="AJ282" s="404"/>
      <c r="AK282" s="398">
        <f>IF(AJ282=0,0,IF(LEN(W282)=11,_xlfn.XLOOKUP(W282,'Dispensed Ink Rates'!C:C,'Dispensed Ink Rates'!CS:CS),VLOOKUP(W282,'Jan-2026 rates'!$E:$F,2,0)))</f>
        <v>0</v>
      </c>
      <c r="AL282" s="404"/>
      <c r="AM282" s="398">
        <f>IF(AL282=0,0,IF(LEN(X282)=11,_xlfn.XLOOKUP(X282,'Dispensed Ink Rates'!C:C,'Dispensed Ink Rates'!CS:CS),VLOOKUP(X282,'Jan-2026 rates'!$E:$F,2,0)))</f>
        <v>0</v>
      </c>
      <c r="AN282" s="404"/>
      <c r="AO282" s="398">
        <f>IF(AN282=0,0,IF(LEN(Y282)=11,_xlfn.XLOOKUP(Y282,'Dispensed Ink Rates'!C:C,'Dispensed Ink Rates'!CS:CS),VLOOKUP(Y282,'Jan-2026 rates'!$E:$F,2,0)))</f>
        <v>0</v>
      </c>
      <c r="AP282" s="409" t="s">
        <v>1443</v>
      </c>
      <c r="AQ282" s="409">
        <v>29</v>
      </c>
      <c r="AR282" s="410">
        <f t="shared" si="212"/>
        <v>0</v>
      </c>
      <c r="AS282" s="411">
        <f t="shared" si="213"/>
        <v>4.6923076923076934</v>
      </c>
      <c r="AT282" s="410">
        <f t="shared" si="214"/>
        <v>0</v>
      </c>
      <c r="AU282" s="405" t="s">
        <v>857</v>
      </c>
      <c r="AV282" s="409" t="s">
        <v>4300</v>
      </c>
      <c r="AW282" s="420" t="str">
        <f t="shared" si="183"/>
        <v>FLINTSL - RED</v>
      </c>
      <c r="AX282" s="409">
        <v>25</v>
      </c>
      <c r="AY282" s="411">
        <f>IF(AX282=0,0,IF($LB282=70%,VLOOKUP($AW282,'Jan-2026 rates'!$L:$R,4,0),IF($LB282=65%,VLOOKUP($AW282,'Jan-2026 rates'!$L:$R,4,0),IF($LB282=40%,VLOOKUP($AW282,'Jan-2026 rates'!$L:$R,5,0),IF($LB282=30%,VLOOKUP($AW282,'Jan-2026 rates'!$L:$R,6,0),IF($LB282=100%,VLOOKUP($AW282,'Jan-2026 rates'!$L:$R,7,0),IF($LB282=60%,VLOOKUP($AW282,'Jan-2026 rates'!$L:$S,8,0),IF($LB282=80%,VLOOKUP($AW282,'Jan-2026 rates'!L:T,9,0),0))))))))</f>
        <v>0</v>
      </c>
      <c r="AZ282" s="412"/>
      <c r="BA282" s="409"/>
      <c r="BB282" s="411">
        <f>IF(BA282=0,0,IF($LB282=70%,VLOOKUP($AW282,'Jan-2026 rates'!$L:$R,4,0),IF($LB282=65%,VLOOKUP($AW282,'Jan-2026 rates'!$L:$R,4,0),IF($LB282=40%,VLOOKUP($AW282,'Jan-2026 rates'!$L:$R,5,0),IF($LB282=30%,VLOOKUP($AW282,'Jan-2026 rates'!$L:$R,6,0),IF($LB282=100%,VLOOKUP($AW282,'Jan-2026 rates'!$L:$R,7,0),IF($LB282=60%,VLOOKUP($AW282,'Jan-2026 rates'!$L:$S,8,0),IF($LB282=80%,VLOOKUP($AW282,'Jan-2026 rates'!L:T,9,0),0))))))))</f>
        <v>0</v>
      </c>
      <c r="BC282" s="413">
        <v>26521000005</v>
      </c>
      <c r="BD282" s="412">
        <v>26523000011</v>
      </c>
      <c r="BE282" s="412"/>
      <c r="BF282" s="413"/>
      <c r="BG282" s="412"/>
      <c r="BH282" s="412"/>
      <c r="BI282" s="412"/>
      <c r="BJ282" s="412"/>
      <c r="BK282" s="409">
        <v>5</v>
      </c>
      <c r="BL282" s="398" t="e">
        <f>IF(BK282=0,0,IF(LEN(BC282)=11,_xlfn.XLOOKUP(BC282,'Dispensed Ink Rates'!C:C,'Dispensed Ink Rates'!CS:CS),VLOOKUP(BC282,'Jan-2026 rates'!$E:$F,2,0)))</f>
        <v>#N/A</v>
      </c>
      <c r="BM282" s="409">
        <v>7</v>
      </c>
      <c r="BN282" s="398" t="e">
        <f>IF(BM282=0,0,IF(LEN(BD282)=11,_xlfn.XLOOKUP(BD282,'Dispensed Ink Rates'!C:C,'Dispensed Ink Rates'!CS:CS),VLOOKUP(BD282,'Jan-2026 rates'!$E:$F,2,0)))</f>
        <v>#N/A</v>
      </c>
      <c r="BO282" s="409"/>
      <c r="BP282" s="398">
        <f>IF(BO282=0,0,IF(LEN(BE282)=11,_xlfn.XLOOKUP(BE282,'Dispensed Ink Rates'!C:C,'Dispensed Ink Rates'!CS:CS),VLOOKUP(BE282,'Jan-2026 rates'!$E:$F,2,0)))</f>
        <v>0</v>
      </c>
      <c r="BQ282" s="409"/>
      <c r="BR282" s="398">
        <f>IF(BQ282=0,0,IF(LEN(BF282)=11,_xlfn.XLOOKUP(BF282,'Dispensed Ink Rates'!C:C,'Dispensed Ink Rates'!CS:CS),VLOOKUP(BF282,'Jan-2026 rates'!$E:$F,2,0)))</f>
        <v>0</v>
      </c>
      <c r="BS282" s="409"/>
      <c r="BT282" s="398">
        <f>IF(BS282=0,0,IF(LEN(BG282)=11,_xlfn.XLOOKUP(BG282,'Dispensed Ink Rates'!C:C,'Dispensed Ink Rates'!CS:CS),VLOOKUP(BG282,'Jan-2026 rates'!$E:$F,2,0)))</f>
        <v>0</v>
      </c>
      <c r="BU282" s="409"/>
      <c r="BV282" s="398">
        <f>IF(BU282=0,0,IF(LEN(BH282)=11,_xlfn.XLOOKUP(BH282,'Dispensed Ink Rates'!C:C,'Dispensed Ink Rates'!CS:CS),VLOOKUP(BH282,'Jan-2026 rates'!$E:$F,2,0)))</f>
        <v>0</v>
      </c>
      <c r="BW282" s="409"/>
      <c r="BX282" s="398">
        <f>IF(BW282=0,0,IF(LEN(BI282)=11,_xlfn.XLOOKUP(BI282,'Dispensed Ink Rates'!C:C,'Dispensed Ink Rates'!CS:CS),VLOOKUP(BI282,'Jan-2026 rates'!$E:$F,2,0)))</f>
        <v>0</v>
      </c>
      <c r="BY282" s="409"/>
      <c r="BZ282" s="398">
        <f>IF(BY282=0,0,IF(LEN(BJ282)=11,_xlfn.XLOOKUP(BJ282,'Dispensed Ink Rates'!C:C,'Dispensed Ink Rates'!CS:CS),VLOOKUP(BJ282,'Jan-2026 rates'!$E:$F,2,0)))</f>
        <v>0</v>
      </c>
      <c r="CA282" s="409" t="s">
        <v>1443</v>
      </c>
      <c r="CB282" s="409">
        <v>32</v>
      </c>
      <c r="CC282" s="411">
        <f t="shared" si="215"/>
        <v>0</v>
      </c>
      <c r="CD282" s="411">
        <f t="shared" si="216"/>
        <v>14.230769230769234</v>
      </c>
      <c r="CE282" s="410">
        <f t="shared" si="217"/>
        <v>0</v>
      </c>
      <c r="CF282" s="404" t="s">
        <v>546</v>
      </c>
      <c r="CG282" s="409" t="s">
        <v>4301</v>
      </c>
      <c r="CH282" s="420" t="str">
        <f t="shared" si="185"/>
        <v>FLINTSL - REFLEX BLUE</v>
      </c>
      <c r="CI282" s="409">
        <v>20</v>
      </c>
      <c r="CJ282" s="411">
        <f>IF(CI282=0,0,IF($LB282=70%,VLOOKUP($CH282,'Jan-2026 rates'!$L:$R,4,0),IF($LB282=65%,VLOOKUP($CH282,'Jan-2026 rates'!$L:$R,4,0),IF($LB282=40%,VLOOKUP($CH282,'Jan-2026 rates'!$L:$R,5,0),IF($LB282=30%,VLOOKUP($CH282,'Jan-2026 rates'!$L:$R,6,0),IF($LB282=100%,VLOOKUP($CH282,'Jan-2026 rates'!$L:$R,7,0),IF($LB282=60%,VLOOKUP($CH282,'Jan-2026 rates'!$L:$S,8,0),IF($LB282=80%,VLOOKUP($CH282,'Jan-2026 rates'!L:T,9,0),0))))))))</f>
        <v>0</v>
      </c>
      <c r="CK282" s="412"/>
      <c r="CL282" s="409"/>
      <c r="CM282" s="411">
        <f>IF(CL282=0,0,IF($LB282=70%,VLOOKUP($CH282,'Jan-2026 rates'!$L:$R,4,0),IF($LB282=65%,VLOOKUP($CH282,'Jan-2026 rates'!$L:$R,4,0),IF($LB282=40%,VLOOKUP($CH282,'Jan-2026 rates'!$L:$R,5,0),IF($LB282=30%,VLOOKUP($CH282,'Jan-2026 rates'!$L:$R,6,0),IF($LB282=100%,VLOOKUP($CH282,'Jan-2026 rates'!$L:$R,7,0),IF($LB282=60%,VLOOKUP($CH282,'Jan-2026 rates'!$L:$S,8,0),IF($LB282=80%,VLOOKUP($CH282,'Jan-2026 rates'!L:T,9,0),0))))))))</f>
        <v>0</v>
      </c>
      <c r="CN282" s="426">
        <v>26522000022</v>
      </c>
      <c r="CO282" s="427">
        <v>26523000002</v>
      </c>
      <c r="CP282" s="426">
        <v>26521000013</v>
      </c>
      <c r="CQ282" s="426"/>
      <c r="CR282" s="428"/>
      <c r="CS282" s="428"/>
      <c r="CT282" s="428"/>
      <c r="CU282" s="428"/>
      <c r="CV282" s="409">
        <v>30</v>
      </c>
      <c r="CW282" s="398" t="e">
        <f>IF(CV282=0,0,IF(LEN(CN282)=11,_xlfn.XLOOKUP(CN282,'Dispensed Ink Rates'!C:C,'Dispensed Ink Rates'!CS:CS),VLOOKUP(CN282,'Jan-2026 rates'!$E:$F,2,0)))</f>
        <v>#N/A</v>
      </c>
      <c r="CX282" s="409">
        <v>12</v>
      </c>
      <c r="CY282" s="398" t="e">
        <f>IF(CX282=0,0,IF(LEN(CO282)=11,_xlfn.XLOOKUP(CO282,'Dispensed Ink Rates'!C:C,'Dispensed Ink Rates'!CS:CS),VLOOKUP(CO282,'Jan-2026 rates'!$E:$F,2,0)))</f>
        <v>#N/A</v>
      </c>
      <c r="CZ282" s="409">
        <v>4</v>
      </c>
      <c r="DA282" s="398" t="e">
        <f>IF(CZ282=0,0,IF(LEN(CP282)=11,_xlfn.XLOOKUP(CP282,'Dispensed Ink Rates'!C:C,'Dispensed Ink Rates'!CS:CS),VLOOKUP(CP282,'Jan-2026 rates'!$E:$F,2,0)))</f>
        <v>#N/A</v>
      </c>
      <c r="DB282" s="409"/>
      <c r="DC282" s="398">
        <f>IF(DB282=0,0,IF(LEN(CQ282)=11,_xlfn.XLOOKUP(CQ282,'Dispensed Ink Rates'!C:C,'Dispensed Ink Rates'!CS:CS),VLOOKUP(CQ282,'Jan-2026 rates'!$E:$F,2,0)))</f>
        <v>0</v>
      </c>
      <c r="DD282" s="409"/>
      <c r="DE282" s="398">
        <f>IF(DD282=0,0,IF(LEN(CR282)=11,_xlfn.XLOOKUP(CR282,'Dispensed Ink Rates'!C:C,'Dispensed Ink Rates'!CS:CS),VLOOKUP(CR282,'Jan-2026 rates'!$E:$F,2,0)))</f>
        <v>0</v>
      </c>
      <c r="DF282" s="409"/>
      <c r="DG282" s="398">
        <f>IF(DF282=0,0,IF(LEN(CS282)=11,_xlfn.XLOOKUP(CS282,'Dispensed Ink Rates'!C:C,'Dispensed Ink Rates'!CS:CS),VLOOKUP(CS282,'Jan-2026 rates'!$E:$F,2,0)))</f>
        <v>0</v>
      </c>
      <c r="DH282" s="409"/>
      <c r="DI282" s="398">
        <f>IF(DH282=0,0,IF(LEN(CT282)=11,_xlfn.XLOOKUP(CT282,'Dispensed Ink Rates'!C:C,'Dispensed Ink Rates'!CS:CS),VLOOKUP(CT282,'Jan-2026 rates'!$E:$F,2,0)))</f>
        <v>0</v>
      </c>
      <c r="DJ282" s="409"/>
      <c r="DK282" s="398">
        <f>IF(DJ282=0,0,IF(LEN(CU282)=11,_xlfn.XLOOKUP(CU282,'Dispensed Ink Rates'!C:C,'Dispensed Ink Rates'!CS:CS),VLOOKUP(CU282,'Jan-2026 rates'!$E:$F,2,0)))</f>
        <v>0</v>
      </c>
      <c r="DL282" s="409" t="s">
        <v>1443</v>
      </c>
      <c r="DM282" s="409">
        <v>24</v>
      </c>
      <c r="DN282" s="411">
        <f t="shared" si="218"/>
        <v>0</v>
      </c>
      <c r="DO282" s="411">
        <f t="shared" si="219"/>
        <v>53.07692307692308</v>
      </c>
      <c r="DP282" s="410">
        <f t="shared" si="220"/>
        <v>0</v>
      </c>
      <c r="DQ282" s="405" t="s">
        <v>855</v>
      </c>
      <c r="DR282" s="409" t="s">
        <v>4302</v>
      </c>
      <c r="DS282" s="420" t="str">
        <f t="shared" si="186"/>
        <v>FLINTSL - CYAN</v>
      </c>
      <c r="DT282" s="409">
        <v>29</v>
      </c>
      <c r="DU282" s="411">
        <f>IF(DT282=0,0,IF($LB282=70%,VLOOKUP($DS282,'Jan-2026 rates'!$L:$R,4,0),IF($LB282=65%,VLOOKUP($DS282,'Jan-2026 rates'!$L:$R,4,0),IF($LB282=40%,VLOOKUP($DS282,'Jan-2026 rates'!$L:$R,5,0),IF($LB282=30%,VLOOKUP($DS282,'Jan-2026 rates'!$L:$R,6,0),IF($LB282=100%,VLOOKUP($DS282,'Jan-2026 rates'!$L:$R,7,0),IF($LB282=60%,VLOOKUP($DS282,'Jan-2026 rates'!$L:$S,8,0),IF($LB282=80%,VLOOKUP($DS282,'Jan-2026 rates'!L:T,9,0),0))))))))</f>
        <v>0</v>
      </c>
      <c r="DV282" s="412"/>
      <c r="DW282" s="409"/>
      <c r="DX282" s="411">
        <f>IF(DW282=0,0,IF($LB282=70%,VLOOKUP($DS282,'Jan-2026 rates'!$L:$R,4,0),IF($LB282=65%,VLOOKUP($DS282,'Jan-2026 rates'!$L:$R,4,0),IF($LB282=40%,VLOOKUP($DS282,'Jan-2026 rates'!$L:$R,5,0),IF($LB282=30%,VLOOKUP($DS282,'Jan-2026 rates'!$L:$R,6,0),IF($LB282=100%,VLOOKUP($DS282,'Jan-2026 rates'!$L:$R,7,0),IF($LB282=60%,VLOOKUP($DS282,'Jan-2026 rates'!$L:$S,8,0),IF($LB282=80%,VLOOKUP($DS282,'Jan-2026 rates'!L:T,9,0),0))))))))</f>
        <v>0</v>
      </c>
      <c r="DY282" s="413" t="s">
        <v>1266</v>
      </c>
      <c r="DZ282" s="413"/>
      <c r="EA282" s="412"/>
      <c r="EB282" s="412"/>
      <c r="EC282" s="412"/>
      <c r="ED282" s="412"/>
      <c r="EE282" s="412"/>
      <c r="EF282" s="412"/>
      <c r="EG282" s="409">
        <v>5</v>
      </c>
      <c r="EH282" s="398">
        <f>IF(EG282=0,0,IF(LEN(DY282)=11,_xlfn.XLOOKUP(DY282,'Dispensed Ink Rates'!C:C,'Dispensed Ink Rates'!CS:CS),VLOOKUP(DY282,'Jan-2026 rates'!$E:$F,2,0)))</f>
        <v>0</v>
      </c>
      <c r="EI282" s="409"/>
      <c r="EJ282" s="398">
        <f>IF(EI282=0,0,IF(LEN(DZ282)=11,_xlfn.XLOOKUP(DZ282,'Dispensed Ink Rates'!C:C,'Dispensed Ink Rates'!CS:CS),VLOOKUP(DZ282,'Jan-2026 rates'!$E:$F,2,0)))</f>
        <v>0</v>
      </c>
      <c r="EK282" s="409"/>
      <c r="EL282" s="398">
        <f>IF(EK282=0,0,IF(LEN(EA282)=11,_xlfn.XLOOKUP(EA282,'Dispensed Ink Rates'!C:C,'Dispensed Ink Rates'!CS:CS),VLOOKUP(EA282,'Jan-2026 rates'!$E:$F,2,0)))</f>
        <v>0</v>
      </c>
      <c r="EM282" s="409"/>
      <c r="EN282" s="398">
        <f>IF(EM282=0,0,IF(LEN(EB282)=11,_xlfn.XLOOKUP(EB282,'Dispensed Ink Rates'!C:C,'Dispensed Ink Rates'!CS:CS),VLOOKUP(EB282,'Jan-2026 rates'!$E:$F,2,0)))</f>
        <v>0</v>
      </c>
      <c r="EO282" s="409"/>
      <c r="EP282" s="398">
        <f>IF(EO282=0,0,IF(LEN(EC282)=11,_xlfn.XLOOKUP(EC282,'Dispensed Ink Rates'!C:C,'Dispensed Ink Rates'!CS:CS),VLOOKUP(EC282,'Jan-2026 rates'!$E:$F,2,0)))</f>
        <v>0</v>
      </c>
      <c r="EQ282" s="409"/>
      <c r="ER282" s="398">
        <f>IF(EQ282=0,0,IF(LEN(ED282)=11,_xlfn.XLOOKUP(ED282,'Dispensed Ink Rates'!C:C,'Dispensed Ink Rates'!CS:CS),VLOOKUP(ED282,'Jan-2026 rates'!$E:$F,2,0)))</f>
        <v>0</v>
      </c>
      <c r="ES282" s="409"/>
      <c r="ET282" s="398">
        <f>IF(ES282=0,0,IF(LEN(EE282)=11,_xlfn.XLOOKUP(EE282,'Dispensed Ink Rates'!C:C,'Dispensed Ink Rates'!CS:CS),VLOOKUP(EE282,'Jan-2026 rates'!$E:$F,2,0)))</f>
        <v>0</v>
      </c>
      <c r="EU282" s="409"/>
      <c r="EV282" s="398">
        <f>IF(EU282=0,0,IF(LEN(EF282)=11,_xlfn.XLOOKUP(EF282,'Dispensed Ink Rates'!C:C,'Dispensed Ink Rates'!CS:CS),VLOOKUP(EF282,'Jan-2026 rates'!$E:$F,2,0)))</f>
        <v>0</v>
      </c>
      <c r="EW282" s="409" t="s">
        <v>1443</v>
      </c>
      <c r="EX282" s="409">
        <v>30</v>
      </c>
      <c r="EY282" s="411">
        <f t="shared" si="221"/>
        <v>0</v>
      </c>
      <c r="EZ282" s="411">
        <f t="shared" si="222"/>
        <v>9.5384615384615401</v>
      </c>
      <c r="FA282" s="410">
        <f t="shared" si="223"/>
        <v>0</v>
      </c>
      <c r="FB282" s="405" t="s">
        <v>544</v>
      </c>
      <c r="FC282" s="409" t="s">
        <v>4303</v>
      </c>
      <c r="FD282" s="420" t="str">
        <f t="shared" si="187"/>
        <v>FLINTSL - MAGENTA</v>
      </c>
      <c r="FE282" s="409">
        <v>35</v>
      </c>
      <c r="FF282" s="411">
        <f>IF(FE282=0,0,IF($LB282=70%,VLOOKUP($FD282,'Jan-2026 rates'!$L:$R,4,0),IF($LB282=65%,VLOOKUP($FD282,'Jan-2026 rates'!$L:$R,4,0),IF($LB282=40%,VLOOKUP($FD282,'Jan-2026 rates'!$L:$R,5,0),IF($LB282=30%,VLOOKUP($FD282,'Jan-2026 rates'!$L:$R,6,0),IF($LB282=100%,VLOOKUP($FD282,'Jan-2026 rates'!$L:$R,7,0),IF($LB282=60%,VLOOKUP($FD282,'Jan-2026 rates'!$L:$S,8,0),IF($LB282=80%,VLOOKUP($FD282,'Jan-2026 rates'!L:T,9,0),0))))))))</f>
        <v>0</v>
      </c>
      <c r="FG282" s="412"/>
      <c r="FH282" s="409"/>
      <c r="FI282" s="411">
        <f>IF(FH282=0,0,IF($LB282=70%,VLOOKUP($FD282,'Jan-2026 rates'!$L:$R,4,0),IF($LB282=65%,VLOOKUP($FD282,'Jan-2026 rates'!$L:$R,4,0),IF($LB282=40%,VLOOKUP($FD282,'Jan-2026 rates'!$L:$R,5,0),IF($LB282=30%,VLOOKUP($FD282,'Jan-2026 rates'!$L:$R,6,0),IF($LB282=100%,VLOOKUP($FD282,'Jan-2026 rates'!$L:$R,7,0),IF($LB282=60%,VLOOKUP($FD282,'Jan-2026 rates'!$L:$S,8,0),IF($LB282=80%,VLOOKUP($FD282,'Jan-2026 rates'!L:T,9,0),0))))))))</f>
        <v>0</v>
      </c>
      <c r="FJ282" s="413">
        <v>26521000005</v>
      </c>
      <c r="FK282" s="413"/>
      <c r="FL282" s="413"/>
      <c r="FM282" s="412"/>
      <c r="FN282" s="412"/>
      <c r="FO282" s="412"/>
      <c r="FP282" s="412"/>
      <c r="FQ282" s="412"/>
      <c r="FR282" s="409">
        <f>3+2</f>
        <v>5</v>
      </c>
      <c r="FS282" s="398" t="e">
        <f>IF(FR282=0,0,IF(LEN(FJ282)=11,_xlfn.XLOOKUP(FJ282,'Dispensed Ink Rates'!C:C,'Dispensed Ink Rates'!CS:CS),VLOOKUP(FJ282,'Jan-2026 rates'!$E:$F,2,0)))</f>
        <v>#N/A</v>
      </c>
      <c r="FT282" s="409"/>
      <c r="FU282" s="398">
        <f>IF(FT282=0,0,IF(LEN(FK282)=11,_xlfn.XLOOKUP(FK282,'Dispensed Ink Rates'!C:C,'Dispensed Ink Rates'!CS:CS),VLOOKUP(FK282,'Jan-2026 rates'!$E:$F,2,0)))</f>
        <v>0</v>
      </c>
      <c r="FV282" s="409"/>
      <c r="FW282" s="398">
        <f>IF(FV282=0,0,IF(LEN(FL282)=11,_xlfn.XLOOKUP(FL282,'Dispensed Ink Rates'!C:C,'Dispensed Ink Rates'!CS:CS),VLOOKUP(FL282,'Jan-2026 rates'!$E:$F,2,0)))</f>
        <v>0</v>
      </c>
      <c r="FX282" s="409"/>
      <c r="FY282" s="398">
        <f>IF(FX282=0,0,IF(LEN(FM282)=11,_xlfn.XLOOKUP(FM282,'Dispensed Ink Rates'!C:C,'Dispensed Ink Rates'!CS:CS),VLOOKUP(FM282,'Jan-2026 rates'!$E:$F,2,0)))</f>
        <v>0</v>
      </c>
      <c r="FZ282" s="409"/>
      <c r="GA282" s="398">
        <f>IF(FZ282=0,0,IF(LEN(FN282)=11,_xlfn.XLOOKUP(FN282,'Dispensed Ink Rates'!C:C,'Dispensed Ink Rates'!CS:CS),VLOOKUP(FN282,'Jan-2026 rates'!$E:$F,2,0)))</f>
        <v>0</v>
      </c>
      <c r="GB282" s="409"/>
      <c r="GC282" s="398">
        <f>IF(GB282=0,0,IF(LEN(FO282)=11,_xlfn.XLOOKUP(FO282,'Dispensed Ink Rates'!C:C,'Dispensed Ink Rates'!CS:CS),VLOOKUP(FO282,'Jan-2026 rates'!$E:$F,2,0)))</f>
        <v>0</v>
      </c>
      <c r="GD282" s="409"/>
      <c r="GE282" s="398">
        <f>IF(GD282=0,0,IF(LEN(FP282)=11,_xlfn.XLOOKUP(FP282,'Dispensed Ink Rates'!C:C,'Dispensed Ink Rates'!CS:CS),VLOOKUP(FP282,'Jan-2026 rates'!$E:$F,2,0)))</f>
        <v>0</v>
      </c>
      <c r="GF282" s="409"/>
      <c r="GG282" s="398">
        <f>IF(GF282=0,0,IF(LEN(FQ282)=11,_xlfn.XLOOKUP(FQ282,'Dispensed Ink Rates'!C:C,'Dispensed Ink Rates'!CS:CS),VLOOKUP(FQ282,'Jan-2026 rates'!$E:$F,2,0)))</f>
        <v>0</v>
      </c>
      <c r="GH282" s="409" t="s">
        <v>1443</v>
      </c>
      <c r="GI282" s="409">
        <v>32</v>
      </c>
      <c r="GJ282" s="411">
        <f t="shared" si="224"/>
        <v>0</v>
      </c>
      <c r="GK282" s="411">
        <f t="shared" si="225"/>
        <v>11.692307692307693</v>
      </c>
      <c r="GL282" s="410">
        <f t="shared" si="226"/>
        <v>0</v>
      </c>
      <c r="GM282" s="405" t="s">
        <v>545</v>
      </c>
      <c r="GN282" s="409" t="s">
        <v>4304</v>
      </c>
      <c r="GO282" s="420" t="str">
        <f t="shared" si="188"/>
        <v>FLINTSL - YELLOW</v>
      </c>
      <c r="GP282" s="409">
        <v>28</v>
      </c>
      <c r="GQ282" s="411">
        <f>IF(GP282=0,0,IF($LB282=70%,VLOOKUP($GO282,'Jan-2026 rates'!$L:$R,4,0),IF($LB282=65%,VLOOKUP($GO282,'Jan-2026 rates'!$L:$R,4,0),IF($LB282=40%,VLOOKUP($GO282,'Jan-2026 rates'!$L:$R,5,0),IF($LB282=30%,VLOOKUP($GO282,'Jan-2026 rates'!$L:$R,6,0),IF($LB282=100%,VLOOKUP($GO282,'Jan-2026 rates'!$L:$R,7,0),IF($LB282=60%,VLOOKUP($GO282,'Jan-2026 rates'!$L:$S,8,0),IF($LB282=80%,VLOOKUP($GO282,'Jan-2026 rates'!L:T,9,0),0))))))))</f>
        <v>0</v>
      </c>
      <c r="GR282" s="412"/>
      <c r="GS282" s="409"/>
      <c r="GT282" s="411">
        <f>IF(GS282=0,0,IF($LB282=70%,VLOOKUP($GO282,'Jan-2026 rates'!$L:$R,4,0),IF($LB282=65%,VLOOKUP($GO282,'Jan-2026 rates'!$L:$R,4,0),IF($LB282=40%,VLOOKUP($GO282,'Jan-2026 rates'!$L:$R,5,0),IF($LB282=30%,VLOOKUP($GO282,'Jan-2026 rates'!$L:$R,6,0),IF($LB282=100%,VLOOKUP($GO282,'Jan-2026 rates'!$L:$R,7,0),IF($LB282=60%,VLOOKUP($GO282,'Jan-2026 rates'!$L:$S,8,0),IF($LB282=80%,VLOOKUP($GO282,'Jan-2026 rates'!L:T,9,0),0))))))))</f>
        <v>0</v>
      </c>
      <c r="GU282" s="413">
        <v>26523000003</v>
      </c>
      <c r="GV282" s="413" t="s">
        <v>1266</v>
      </c>
      <c r="GW282" s="412"/>
      <c r="GX282" s="412"/>
      <c r="GY282" s="412"/>
      <c r="GZ282" s="412"/>
      <c r="HA282" s="412"/>
      <c r="HB282" s="412"/>
      <c r="HC282" s="409">
        <v>6</v>
      </c>
      <c r="HD282" s="398" t="e">
        <f>IF(HC282=0,0,IF(LEN(GU282)=11,_xlfn.XLOOKUP(GU282,'Dispensed Ink Rates'!C:C,'Dispensed Ink Rates'!CS:CS),VLOOKUP(GU282,'Jan-2026 rates'!$E:$F,2,0)))</f>
        <v>#N/A</v>
      </c>
      <c r="HE282" s="409">
        <v>3</v>
      </c>
      <c r="HF282" s="398">
        <f>IF(HE282=0,0,IF(LEN(GV282)=11,_xlfn.XLOOKUP(GV282,'Dispensed Ink Rates'!C:C,'Dispensed Ink Rates'!CS:CS),VLOOKUP(GV282,'Jan-2026 rates'!$E:$F,2,0)))</f>
        <v>0</v>
      </c>
      <c r="HG282" s="409"/>
      <c r="HH282" s="398">
        <f>IF(HG282=0,0,IF(LEN(GW282)=11,_xlfn.XLOOKUP(GW282,'Dispensed Ink Rates'!C:C,'Dispensed Ink Rates'!CS:CS),VLOOKUP(GW282,'Jan-2026 rates'!$E:$F,2,0)))</f>
        <v>0</v>
      </c>
      <c r="HI282" s="409"/>
      <c r="HJ282" s="398">
        <f>IF(HI282=0,0,IF(LEN(GX282)=11,_xlfn.XLOOKUP(GX282,'Dispensed Ink Rates'!C:C,'Dispensed Ink Rates'!CS:CS),VLOOKUP(GX282,'Jan-2026 rates'!$E:$F,2,0)))</f>
        <v>0</v>
      </c>
      <c r="HK282" s="409"/>
      <c r="HL282" s="398">
        <f>IF(HK282=0,0,IF(LEN(GY282)=11,_xlfn.XLOOKUP(GY282,'Dispensed Ink Rates'!C:C,'Dispensed Ink Rates'!CS:CS),VLOOKUP(GY282,'Jan-2026 rates'!$E:$F,2,0)))</f>
        <v>0</v>
      </c>
      <c r="HM282" s="409"/>
      <c r="HN282" s="398">
        <f>IF(HM282=0,0,IF(LEN(GZ282)=11,_xlfn.XLOOKUP(GZ282,'Dispensed Ink Rates'!C:C,'Dispensed Ink Rates'!CS:CS),VLOOKUP(GZ282,'Jan-2026 rates'!$E:$F,2,0)))</f>
        <v>0</v>
      </c>
      <c r="HO282" s="409"/>
      <c r="HP282" s="398">
        <f>IF(HO282=0,0,IF(LEN(HA282)=11,_xlfn.XLOOKUP(HA282,'Dispensed Ink Rates'!C:C,'Dispensed Ink Rates'!CS:CS),VLOOKUP(HA282,'Jan-2026 rates'!$E:$F,2,0)))</f>
        <v>0</v>
      </c>
      <c r="HQ282" s="409"/>
      <c r="HR282" s="398">
        <f>IF(HQ282=0,0,IF(LEN(HB282)=11,_xlfn.XLOOKUP(HB282,'Dispensed Ink Rates'!C:C,'Dispensed Ink Rates'!CS:CS),VLOOKUP(HB282,'Jan-2026 rates'!$E:$F,2,0)))</f>
        <v>0</v>
      </c>
      <c r="HS282" s="409" t="s">
        <v>1443</v>
      </c>
      <c r="HT282" s="409">
        <v>31</v>
      </c>
      <c r="HU282" s="411">
        <f t="shared" si="227"/>
        <v>0</v>
      </c>
      <c r="HV282" s="411">
        <f t="shared" si="228"/>
        <v>13.384615384615387</v>
      </c>
      <c r="HW282" s="414">
        <f t="shared" si="229"/>
        <v>0</v>
      </c>
      <c r="HX282" s="405" t="s">
        <v>856</v>
      </c>
      <c r="HY282" s="409" t="s">
        <v>4305</v>
      </c>
      <c r="HZ282" s="420" t="str">
        <f t="shared" si="189"/>
        <v>FLINTSL - WHITE</v>
      </c>
      <c r="IA282" s="409">
        <v>30</v>
      </c>
      <c r="IB282" s="411">
        <f>IF(IA282=0,0,IF($LB282=70%,VLOOKUP($HZ282,'Jan-2026 rates'!$L:$R,4,0),IF($LB282=65%,VLOOKUP($HZ282,'Jan-2026 rates'!$L:$R,4,0),IF($LB282=40%,VLOOKUP($HZ282,'Jan-2026 rates'!$L:$R,5,0),IF($LB282=30%,VLOOKUP($HZ282,'Jan-2026 rates'!$L:$R,6,0),IF($LB282=100%,VLOOKUP($HZ282,'Jan-2026 rates'!$L:$R,7,0),IF($LB282=60%,VLOOKUP($HZ282,'Jan-2026 rates'!$L:$S,8,0),IF($LB282=80%,VLOOKUP($HZ282,'Jan-2026 rates'!L:T,9,0),0))))))))</f>
        <v>0</v>
      </c>
      <c r="IC282" s="412"/>
      <c r="ID282" s="409"/>
      <c r="IE282" s="411">
        <f>IF(ID282=0,0,IF($LB282=70%,VLOOKUP($HZ282,'Jan-2026 rates'!$L:$R,4,0),IF($LB282=65%,VLOOKUP($HZ282,'Jan-2026 rates'!$L:$R,4,0),IF($LB282=40%,VLOOKUP($HZ282,'Jan-2026 rates'!$L:$R,5,0),IF($LB282=30%,VLOOKUP($HZ282,'Jan-2026 rates'!$L:$R,6,0),IF($LB282=100%,VLOOKUP($HZ282,'Jan-2026 rates'!$L:$R,7,0),IF($LB282=60%,VLOOKUP($HZ282,'Jan-2026 rates'!$L:$S,8,0),IF($LB282=80%,VLOOKUP($HZ282,'Jan-2026 rates'!L:T,9,0),0))))))))</f>
        <v>0</v>
      </c>
      <c r="IF282" s="412" t="s">
        <v>484</v>
      </c>
      <c r="IG282" s="413"/>
      <c r="IH282" s="412"/>
      <c r="II282" s="412"/>
      <c r="IJ282" s="412"/>
      <c r="IK282" s="412"/>
      <c r="IL282" s="412"/>
      <c r="IM282" s="412"/>
      <c r="IN282" s="409">
        <v>50</v>
      </c>
      <c r="IO282" s="398">
        <f>IF(IN282=0,0,IF(LEN(IF282)=11,_xlfn.XLOOKUP(IF282,'Dispensed Ink Rates'!C:C,'Dispensed Ink Rates'!CS:CS),VLOOKUP(IF282,'Jan-2026 rates'!$E:$F,2,0)))</f>
        <v>0</v>
      </c>
      <c r="IP282" s="409"/>
      <c r="IQ282" s="398">
        <f>IF(IP282=0,0,IF(LEN(IG282)=11,_xlfn.XLOOKUP(IG282,'Dispensed Ink Rates'!C:C,'Dispensed Ink Rates'!CS:CS),VLOOKUP(IG282,'Jan-2026 rates'!$E:$F,2,0)))</f>
        <v>0</v>
      </c>
      <c r="IR282" s="409"/>
      <c r="IS282" s="398">
        <f>IF(IR282=0,0,IF(LEN(IH282)=11,_xlfn.XLOOKUP(IH282,'Dispensed Ink Rates'!C:C,'Dispensed Ink Rates'!CS:CS),VLOOKUP(IH282,'Jan-2026 rates'!$E:$F,2,0)))</f>
        <v>0</v>
      </c>
      <c r="IT282" s="409"/>
      <c r="IU282" s="398">
        <f>IF(IT282=0,0,IF(LEN(II282)=11,_xlfn.XLOOKUP(II282,'Dispensed Ink Rates'!C:C,'Dispensed Ink Rates'!CS:CS),VLOOKUP(II282,'Jan-2026 rates'!$E:$F,2,0)))</f>
        <v>0</v>
      </c>
      <c r="IV282" s="409"/>
      <c r="IW282" s="398">
        <f>IF(IV282=0,0,IF(LEN(IJ282)=11,_xlfn.XLOOKUP(IJ282,'Dispensed Ink Rates'!C:C,'Dispensed Ink Rates'!CS:CS),VLOOKUP(IJ282,'Jan-2026 rates'!$E:$F,2,0)))</f>
        <v>0</v>
      </c>
      <c r="IX282" s="409"/>
      <c r="IY282" s="398">
        <f>IF(IX282=0,0,IF(LEN(IK282)=11,_xlfn.XLOOKUP(IK282,'Dispensed Ink Rates'!C:C,'Dispensed Ink Rates'!CS:CS),VLOOKUP(IK282,'Jan-2026 rates'!$E:$F,2,0)))</f>
        <v>0</v>
      </c>
      <c r="IZ282" s="409"/>
      <c r="JA282" s="398">
        <f>IF(IZ282=0,0,IF(LEN(IL282)=11,_xlfn.XLOOKUP(IL282,'Dispensed Ink Rates'!C:C,'Dispensed Ink Rates'!CS:CS),VLOOKUP(IL282,'Jan-2026 rates'!$E:$F,2,0)))</f>
        <v>0</v>
      </c>
      <c r="JB282" s="409"/>
      <c r="JC282" s="398">
        <f>IF(JB282=0,0,IF(LEN(IM282)=11,_xlfn.XLOOKUP(IM282,'Dispensed Ink Rates'!C:C,'Dispensed Ink Rates'!CS:CS),VLOOKUP(IM282,'Jan-2026 rates'!$E:$F,2,0)))</f>
        <v>0</v>
      </c>
      <c r="JD282" s="409" t="s">
        <v>1443</v>
      </c>
      <c r="JE282" s="409">
        <v>30</v>
      </c>
      <c r="JF282" s="411">
        <f t="shared" si="230"/>
        <v>0</v>
      </c>
      <c r="JG282" s="411">
        <f t="shared" si="231"/>
        <v>105.38461538461539</v>
      </c>
      <c r="JH282" s="410">
        <f t="shared" si="232"/>
        <v>0</v>
      </c>
      <c r="JI282" s="405"/>
      <c r="JJ282" s="409"/>
      <c r="JK282" s="420" t="str">
        <f t="shared" si="190"/>
        <v xml:space="preserve"> - </v>
      </c>
      <c r="JL282" s="409"/>
      <c r="JM282" s="411">
        <f>IF(JL282=0,0,IF($LB282=70%,VLOOKUP($JK282,'Jan-2026 rates'!$L:$R,4,0),IF($LB282=65%,VLOOKUP($JK282,'Jan-2026 rates'!$L:$R,4,0),IF($LB282=40%,VLOOKUP($JK282,'Jan-2026 rates'!$L:$R,5,0),IF($LB282=30%,VLOOKUP($JK282,'Jan-2026 rates'!$L:$R,6,0),IF($LB282=100%,VLOOKUP($JK282,'Jan-2026 rates'!$L:$R,7,0),IF($LB282=60%,VLOOKUP($JK282,'Jan-2026 rates'!$L:$S,8,0),IF($LB282=80%,VLOOKUP($JK282,'Jan-2026 rates'!L:T,9,0),0))))))))</f>
        <v>0</v>
      </c>
      <c r="JN282" s="412"/>
      <c r="JO282" s="409"/>
      <c r="JP282" s="411">
        <f>IF(JO282=0,0,IF($LB282=70%,VLOOKUP($JK282,'Jan-2026 rates'!$L:$R,4,0),IF($LB282=65%,VLOOKUP($JK282,'Jan-2026 rates'!$L:$R,4,0),IF($LB282=40%,VLOOKUP($JK282,'Jan-2026 rates'!$L:$R,5,0),IF($LB282=30%,VLOOKUP($JK282,'Jan-2026 rates'!$L:$R,6,0),IF($LB282=100%,VLOOKUP($JK282,'Jan-2026 rates'!$L:$R,7,0),IF($LB282=60%,VLOOKUP($JK282,'Jan-2026 rates'!$L:$S,8,0),IF($LB282=80%,VLOOKUP($JK282,'Jan-2026 rates'!L:T,9,0),0))))))))</f>
        <v>0</v>
      </c>
      <c r="JQ282" s="413"/>
      <c r="JR282" s="412"/>
      <c r="JS282" s="413"/>
      <c r="JT282" s="413"/>
      <c r="JU282" s="412"/>
      <c r="JV282" s="412"/>
      <c r="JW282" s="412"/>
      <c r="JX282" s="412"/>
      <c r="JY282" s="409"/>
      <c r="JZ282" s="398">
        <f>IF(JY282=0,0,IF(LEN(JQ282)=11,_xlfn.XLOOKUP(JQ282,'Dispensed Ink Rates'!C:C,'Dispensed Ink Rates'!CS:CS),VLOOKUP(JQ282,'Jan-2026 rates'!$E:$F,2,0)))</f>
        <v>0</v>
      </c>
      <c r="KA282" s="409"/>
      <c r="KB282" s="398">
        <f>IF(KA282=0,0,IF(LEN(JR282)=11,_xlfn.XLOOKUP(JR282,'Dispensed Ink Rates'!C:C,'Dispensed Ink Rates'!CS:CS),VLOOKUP(JR282,'Jan-2026 rates'!$E:$F,2,0)))</f>
        <v>0</v>
      </c>
      <c r="KC282" s="409"/>
      <c r="KD282" s="398">
        <f>IF(KC282=0,0,IF(LEN(JS282)=11,_xlfn.XLOOKUP(JS282,'Dispensed Ink Rates'!C:C,'Dispensed Ink Rates'!CS:CS),VLOOKUP(JS282,'Jan-2026 rates'!$E:$F,2,0)))</f>
        <v>0</v>
      </c>
      <c r="KE282" s="409"/>
      <c r="KF282" s="398">
        <f>IF(KE282=0,0,IF(LEN(JT282)=11,_xlfn.XLOOKUP(JT282,'Dispensed Ink Rates'!C:C,'Dispensed Ink Rates'!CS:CS),VLOOKUP(JT282,'Jan-2026 rates'!$E:$F,2,0)))</f>
        <v>0</v>
      </c>
      <c r="KG282" s="409"/>
      <c r="KH282" s="398">
        <f>IF(KG282=0,0,IF(LEN(JU282)=11,_xlfn.XLOOKUP(JU282,'Dispensed Ink Rates'!C:C,'Dispensed Ink Rates'!CS:CS),VLOOKUP(JU282,'Jan-2026 rates'!$E:$F,2,0)))</f>
        <v>0</v>
      </c>
      <c r="KI282" s="409"/>
      <c r="KJ282" s="398">
        <f>IF(KI282=0,0,IF(LEN(JV282)=11,_xlfn.XLOOKUP(JV282,'Dispensed Ink Rates'!C:C,'Dispensed Ink Rates'!CS:CS),VLOOKUP(JV282,'Jan-2026 rates'!$E:$F,2,0)))</f>
        <v>0</v>
      </c>
      <c r="KK282" s="409"/>
      <c r="KL282" s="398">
        <f>IF(KK282=0,0,IF(LEN(JW282)=11,_xlfn.XLOOKUP(JW282,'Dispensed Ink Rates'!C:C,'Dispensed Ink Rates'!CS:CS),VLOOKUP(JW282,'Jan-2026 rates'!$E:$F,2,0)))</f>
        <v>0</v>
      </c>
      <c r="KM282" s="428"/>
      <c r="KN282" s="398">
        <f>IF(KM282=0,0,IF(LEN(JX282)=11,_xlfn.XLOOKUP(JX282,'Dispensed Ink Rates'!C:C,'Dispensed Ink Rates'!CS:CS),VLOOKUP(JX282,'Jan-2026 rates'!$E:$F,2,0)))</f>
        <v>0</v>
      </c>
      <c r="KO282" s="409"/>
      <c r="KP282" s="409"/>
      <c r="KQ282" s="411">
        <f t="shared" si="233"/>
        <v>0</v>
      </c>
      <c r="KR282" s="411">
        <f t="shared" si="234"/>
        <v>0</v>
      </c>
      <c r="KS282" s="410">
        <f t="shared" si="235"/>
        <v>0</v>
      </c>
      <c r="KT282" s="409">
        <v>2</v>
      </c>
      <c r="KU282" s="409">
        <v>5</v>
      </c>
      <c r="KV282" s="409">
        <v>6</v>
      </c>
      <c r="KW282" s="409">
        <v>3</v>
      </c>
      <c r="KX282" s="409">
        <v>2</v>
      </c>
      <c r="KY282" s="409">
        <v>4</v>
      </c>
      <c r="KZ282" s="409">
        <v>30</v>
      </c>
      <c r="LA282" s="409">
        <v>0</v>
      </c>
      <c r="LB282" s="415">
        <v>0.8</v>
      </c>
      <c r="LC282" s="415">
        <v>0.2</v>
      </c>
      <c r="LD282" s="415"/>
      <c r="LE282" s="415"/>
      <c r="LF282" s="415"/>
      <c r="LG282" s="409">
        <v>0</v>
      </c>
      <c r="LH282" s="409">
        <f>30+26+32+8</f>
        <v>96</v>
      </c>
      <c r="LI282" s="409">
        <v>0</v>
      </c>
      <c r="LJ282" s="409">
        <v>0</v>
      </c>
      <c r="LK282" s="416">
        <f t="shared" si="191"/>
        <v>96</v>
      </c>
      <c r="LL282" s="416">
        <f t="shared" si="192"/>
        <v>96</v>
      </c>
      <c r="LM282" s="417">
        <f t="shared" si="193"/>
        <v>76.800000000000011</v>
      </c>
      <c r="LN282" s="417">
        <f>VLOOKUP($LM$8,'Jan-2026 rates'!$H:$I,2,0)</f>
        <v>0</v>
      </c>
      <c r="LO282" s="417">
        <f t="shared" si="194"/>
        <v>19.200000000000003</v>
      </c>
      <c r="LP282" s="417">
        <f>VLOOKUP($LO$8,'Jan-2026 rates'!$H:$I,2,0)</f>
        <v>0</v>
      </c>
      <c r="LQ282" s="417">
        <f t="shared" si="195"/>
        <v>0</v>
      </c>
      <c r="LR282" s="417">
        <f>VLOOKUP($LQ$8,'Jan-2026 rates'!$H:$I,2,0)</f>
        <v>0</v>
      </c>
      <c r="LS282" s="417">
        <f t="shared" si="196"/>
        <v>0</v>
      </c>
      <c r="LT282" s="417">
        <f>VLOOKUP($LS$8,'Jan-2026 rates'!$H:$I,2,0)</f>
        <v>0</v>
      </c>
      <c r="LU282" s="417">
        <f t="shared" si="197"/>
        <v>0</v>
      </c>
      <c r="LV282" s="417">
        <f>VLOOKUP($LU$8,'Jan-2026 rates'!$H:$I,2,0)</f>
        <v>0</v>
      </c>
      <c r="LW282" s="417">
        <f t="shared" si="198"/>
        <v>0</v>
      </c>
      <c r="LX282" s="417">
        <f t="shared" si="199"/>
        <v>0</v>
      </c>
      <c r="LY282" s="418">
        <f t="shared" si="200"/>
        <v>0</v>
      </c>
      <c r="LZ282" s="417"/>
      <c r="MA282" s="435">
        <f t="shared" si="201"/>
        <v>129</v>
      </c>
      <c r="MB282" s="282">
        <f t="shared" si="202"/>
        <v>212</v>
      </c>
      <c r="MC282" s="283">
        <v>175</v>
      </c>
      <c r="MD282" s="284" t="str">
        <f t="shared" si="203"/>
        <v>FLINTSLFLINTSLFLINTSLFLINTSLFLINTSLFLINTSLFLINTSL</v>
      </c>
      <c r="ME282" s="293" t="str">
        <f t="shared" si="204"/>
        <v>+</v>
      </c>
      <c r="MF282" s="293" t="str">
        <f t="shared" si="205"/>
        <v>+</v>
      </c>
      <c r="MG282" s="293" t="str">
        <f t="shared" si="206"/>
        <v>+</v>
      </c>
      <c r="MH282" s="293" t="str">
        <f t="shared" si="207"/>
        <v>+</v>
      </c>
      <c r="MI282" s="293" t="str">
        <f t="shared" si="208"/>
        <v>+</v>
      </c>
      <c r="MJ282" s="293" t="str">
        <f t="shared" si="209"/>
        <v>+</v>
      </c>
      <c r="MK282" s="293" t="str">
        <f t="shared" si="210"/>
        <v>+</v>
      </c>
      <c r="ML282" s="293" t="str">
        <f t="shared" si="211"/>
        <v>NIL</v>
      </c>
      <c r="MM282" s="3" t="b">
        <f t="array" ref="MM282">OR(ME282:ML282="-")</f>
        <v>0</v>
      </c>
      <c r="MN282" s="285"/>
      <c r="MO282" s="401"/>
      <c r="MP282" s="286"/>
      <c r="MQ282" s="286"/>
      <c r="MR282" s="402"/>
      <c r="MS282" s="400"/>
      <c r="NH282" s="422"/>
      <c r="NJ282" s="421"/>
    </row>
    <row r="283" spans="1:374" s="1" customFormat="1" ht="16.5">
      <c r="A283" s="403">
        <v>46044</v>
      </c>
      <c r="B283" s="404" t="s">
        <v>1018</v>
      </c>
      <c r="C283" s="405" t="s">
        <v>4306</v>
      </c>
      <c r="D283" s="406">
        <v>176</v>
      </c>
      <c r="E283" s="404">
        <v>1503</v>
      </c>
      <c r="F283" s="407">
        <v>77100</v>
      </c>
      <c r="G283" s="407" t="s">
        <v>1019</v>
      </c>
      <c r="H283" s="408" t="s">
        <v>1017</v>
      </c>
      <c r="I283" s="409">
        <v>1.75</v>
      </c>
      <c r="J283" s="405" t="s">
        <v>543</v>
      </c>
      <c r="K283" s="404" t="s">
        <v>4307</v>
      </c>
      <c r="L283" s="419" t="str">
        <f t="shared" si="184"/>
        <v>FLINTSL - BLACK</v>
      </c>
      <c r="M283" s="404">
        <v>29</v>
      </c>
      <c r="N283" s="410">
        <f>IF(M283=0,0,IF($LB283=70%,VLOOKUP($L283,'Jan-2026 rates'!$L:$R,4,0),IF($LB283=65%,VLOOKUP($L283,'Jan-2026 rates'!$L:$R,4,0),IF($LB283=40%,VLOOKUP($L283,'Jan-2026 rates'!$L:$R,5,0),IF($LB283=30%,VLOOKUP($L283,'Jan-2026 rates'!$L:$R,6,0),IF($LB283=100%,VLOOKUP($L283,'Jan-2026 rates'!$L:$R,7,0),IF($LB283=60%,VLOOKUP($L283,'Jan-2026 rates'!$L:$S,8,0),IF($LB283=80%,VLOOKUP($L283,'Jan-2026 rates'!L:T,9,0),0))))))))</f>
        <v>0</v>
      </c>
      <c r="O283" s="406"/>
      <c r="P283" s="404"/>
      <c r="Q283" s="410">
        <f>IF(P283=0,0,IF($LB283=70%,VLOOKUP($L283,'Jan-2026 rates'!$L:$R,4,0),IF($LB283=65%,VLOOKUP($L283,'Jan-2026 rates'!$L:$R,4,0),IF($LB283=40%,VLOOKUP($L283,'Jan-2026 rates'!$L:$R,5,0),IF($LB283=30%,VLOOKUP($L283,'Jan-2026 rates'!$L:$R,6,0),IF($LB283=100%,VLOOKUP($L283,'Jan-2026 rates'!$L:$R,7,0),IF($LB283=60%,VLOOKUP($L283,'Jan-2026 rates'!$L:$S,8,0),IF($LB283=80%,VLOOKUP($L283,'Jan-2026 rates'!L:T,9,0),0))))))))</f>
        <v>0</v>
      </c>
      <c r="R283" s="406" t="s">
        <v>1266</v>
      </c>
      <c r="S283" s="406"/>
      <c r="T283" s="406"/>
      <c r="U283" s="406"/>
      <c r="V283" s="406"/>
      <c r="W283" s="406"/>
      <c r="X283" s="406"/>
      <c r="Y283" s="406"/>
      <c r="Z283" s="404">
        <v>5</v>
      </c>
      <c r="AA283" s="398">
        <f>IF(Z283=0,0,IF(LEN(R283)=11,_xlfn.XLOOKUP(R283,'Dispensed Ink Rates'!C:C,'Dispensed Ink Rates'!CS:CS),VLOOKUP(R283,'Jan-2026 rates'!$E:$F,2,0)))</f>
        <v>0</v>
      </c>
      <c r="AB283" s="404"/>
      <c r="AC283" s="398">
        <f>IF(AB283=0,0,IF(LEN(S283)=11,_xlfn.XLOOKUP(S283,'Dispensed Ink Rates'!C:C,'Dispensed Ink Rates'!CS:CS),VLOOKUP(S283,'Jan-2026 rates'!$E:$F,2,0)))</f>
        <v>0</v>
      </c>
      <c r="AD283" s="404"/>
      <c r="AE283" s="398">
        <f>IF(AD283=0,0,IF(LEN(T283)=11,_xlfn.XLOOKUP(T283,'Dispensed Ink Rates'!C:C,'Dispensed Ink Rates'!CS:CS),VLOOKUP(T283,'Jan-2026 rates'!$E:$F,2,0)))</f>
        <v>0</v>
      </c>
      <c r="AF283" s="404"/>
      <c r="AG283" s="398">
        <f>IF(AF283=0,0,IF(LEN(U283)=11,_xlfn.XLOOKUP(U283,'Dispensed Ink Rates'!C:C,'Dispensed Ink Rates'!CS:CS),VLOOKUP(U283,'Jan-2026 rates'!$E:$F,2,0)))</f>
        <v>0</v>
      </c>
      <c r="AH283" s="404"/>
      <c r="AI283" s="398">
        <f>IF(AH283=0,0,IF(LEN(V283)=11,_xlfn.XLOOKUP(V283,'Dispensed Ink Rates'!C:C,'Dispensed Ink Rates'!CS:CS),VLOOKUP(V283,'Jan-2026 rates'!$E:$F,2,0)))</f>
        <v>0</v>
      </c>
      <c r="AJ283" s="404"/>
      <c r="AK283" s="398">
        <f>IF(AJ283=0,0,IF(LEN(W283)=11,_xlfn.XLOOKUP(W283,'Dispensed Ink Rates'!C:C,'Dispensed Ink Rates'!CS:CS),VLOOKUP(W283,'Jan-2026 rates'!$E:$F,2,0)))</f>
        <v>0</v>
      </c>
      <c r="AL283" s="404"/>
      <c r="AM283" s="398">
        <f>IF(AL283=0,0,IF(LEN(X283)=11,_xlfn.XLOOKUP(X283,'Dispensed Ink Rates'!C:C,'Dispensed Ink Rates'!CS:CS),VLOOKUP(X283,'Jan-2026 rates'!$E:$F,2,0)))</f>
        <v>0</v>
      </c>
      <c r="AN283" s="404"/>
      <c r="AO283" s="398">
        <f>IF(AN283=0,0,IF(LEN(Y283)=11,_xlfn.XLOOKUP(Y283,'Dispensed Ink Rates'!C:C,'Dispensed Ink Rates'!CS:CS),VLOOKUP(Y283,'Jan-2026 rates'!$E:$F,2,0)))</f>
        <v>0</v>
      </c>
      <c r="AP283" s="409" t="s">
        <v>1443</v>
      </c>
      <c r="AQ283" s="409">
        <v>30</v>
      </c>
      <c r="AR283" s="410">
        <f t="shared" si="212"/>
        <v>0</v>
      </c>
      <c r="AS283" s="411">
        <f t="shared" si="213"/>
        <v>16.390109890109891</v>
      </c>
      <c r="AT283" s="410">
        <f t="shared" si="214"/>
        <v>0</v>
      </c>
      <c r="AU283" s="405" t="s">
        <v>546</v>
      </c>
      <c r="AV283" s="409" t="s">
        <v>4254</v>
      </c>
      <c r="AW283" s="420" t="str">
        <f t="shared" si="183"/>
        <v>FLINTSL - REFLEX BLUE</v>
      </c>
      <c r="AX283" s="409">
        <v>23</v>
      </c>
      <c r="AY283" s="411">
        <f>IF(AX283=0,0,IF($LB283=70%,VLOOKUP($AW283,'Jan-2026 rates'!$L:$R,4,0),IF($LB283=65%,VLOOKUP($AW283,'Jan-2026 rates'!$L:$R,4,0),IF($LB283=40%,VLOOKUP($AW283,'Jan-2026 rates'!$L:$R,5,0),IF($LB283=30%,VLOOKUP($AW283,'Jan-2026 rates'!$L:$R,6,0),IF($LB283=100%,VLOOKUP($AW283,'Jan-2026 rates'!$L:$R,7,0),IF($LB283=60%,VLOOKUP($AW283,'Jan-2026 rates'!$L:$S,8,0),IF($LB283=80%,VLOOKUP($AW283,'Jan-2026 rates'!L:T,9,0),0))))))))</f>
        <v>0</v>
      </c>
      <c r="AZ283" s="412" t="s">
        <v>4308</v>
      </c>
      <c r="BA283" s="409">
        <f>35+25+25+24</f>
        <v>109</v>
      </c>
      <c r="BB283" s="411">
        <f>IF(BA283=0,0,IF($LB283=70%,VLOOKUP($AW283,'Jan-2026 rates'!$L:$R,4,0),IF($LB283=65%,VLOOKUP($AW283,'Jan-2026 rates'!$L:$R,4,0),IF($LB283=40%,VLOOKUP($AW283,'Jan-2026 rates'!$L:$R,5,0),IF($LB283=30%,VLOOKUP($AW283,'Jan-2026 rates'!$L:$R,6,0),IF($LB283=100%,VLOOKUP($AW283,'Jan-2026 rates'!$L:$R,7,0),IF($LB283=60%,VLOOKUP($AW283,'Jan-2026 rates'!$L:$S,8,0),IF($LB283=80%,VLOOKUP($AW283,'Jan-2026 rates'!L:T,9,0),0))))))))</f>
        <v>0</v>
      </c>
      <c r="BC283" s="413">
        <v>26521000013</v>
      </c>
      <c r="BD283" s="412">
        <v>26523000003</v>
      </c>
      <c r="BE283" s="412">
        <v>26522000024</v>
      </c>
      <c r="BF283" s="413">
        <v>26521000006</v>
      </c>
      <c r="BG283" s="412">
        <v>26524000014</v>
      </c>
      <c r="BH283" s="412">
        <v>26522000017</v>
      </c>
      <c r="BI283" s="412"/>
      <c r="BJ283" s="412"/>
      <c r="BK283" s="409">
        <v>10</v>
      </c>
      <c r="BL283" s="398" t="e">
        <f>IF(BK283=0,0,IF(LEN(BC283)=11,_xlfn.XLOOKUP(BC283,'Dispensed Ink Rates'!C:C,'Dispensed Ink Rates'!CS:CS),VLOOKUP(BC283,'Jan-2026 rates'!$E:$F,2,0)))</f>
        <v>#N/A</v>
      </c>
      <c r="BM283" s="409">
        <v>2</v>
      </c>
      <c r="BN283" s="398" t="e">
        <f>IF(BM283=0,0,IF(LEN(BD283)=11,_xlfn.XLOOKUP(BD283,'Dispensed Ink Rates'!C:C,'Dispensed Ink Rates'!CS:CS),VLOOKUP(BD283,'Jan-2026 rates'!$E:$F,2,0)))</f>
        <v>#N/A</v>
      </c>
      <c r="BO283" s="409">
        <v>40</v>
      </c>
      <c r="BP283" s="398" t="e">
        <f>IF(BO283=0,0,IF(LEN(BE283)=11,_xlfn.XLOOKUP(BE283,'Dispensed Ink Rates'!C:C,'Dispensed Ink Rates'!CS:CS),VLOOKUP(BE283,'Jan-2026 rates'!$E:$F,2,0)))</f>
        <v>#N/A</v>
      </c>
      <c r="BQ283" s="409">
        <v>15</v>
      </c>
      <c r="BR283" s="398" t="e">
        <f>IF(BQ283=0,0,IF(LEN(BF283)=11,_xlfn.XLOOKUP(BF283,'Dispensed Ink Rates'!C:C,'Dispensed Ink Rates'!CS:CS),VLOOKUP(BF283,'Jan-2026 rates'!$E:$F,2,0)))</f>
        <v>#N/A</v>
      </c>
      <c r="BS283" s="409">
        <v>5</v>
      </c>
      <c r="BT283" s="398" t="e">
        <f>IF(BS283=0,0,IF(LEN(BG283)=11,_xlfn.XLOOKUP(BG283,'Dispensed Ink Rates'!C:C,'Dispensed Ink Rates'!CS:CS),VLOOKUP(BG283,'Jan-2026 rates'!$E:$F,2,0)))</f>
        <v>#N/A</v>
      </c>
      <c r="BU283" s="409">
        <v>25</v>
      </c>
      <c r="BV283" s="398" t="e">
        <f>IF(BU283=0,0,IF(LEN(BH283)=11,_xlfn.XLOOKUP(BH283,'Dispensed Ink Rates'!C:C,'Dispensed Ink Rates'!CS:CS),VLOOKUP(BH283,'Jan-2026 rates'!$E:$F,2,0)))</f>
        <v>#N/A</v>
      </c>
      <c r="BW283" s="409"/>
      <c r="BX283" s="398">
        <f>IF(BW283=0,0,IF(LEN(BI283)=11,_xlfn.XLOOKUP(BI283,'Dispensed Ink Rates'!C:C,'Dispensed Ink Rates'!CS:CS),VLOOKUP(BI283,'Jan-2026 rates'!$E:$F,2,0)))</f>
        <v>0</v>
      </c>
      <c r="BY283" s="409"/>
      <c r="BZ283" s="398">
        <f>IF(BY283=0,0,IF(LEN(BJ283)=11,_xlfn.XLOOKUP(BJ283,'Dispensed Ink Rates'!C:C,'Dispensed Ink Rates'!CS:CS),VLOOKUP(BJ283,'Jan-2026 rates'!$E:$F,2,0)))</f>
        <v>0</v>
      </c>
      <c r="CA283" s="409" t="s">
        <v>1443</v>
      </c>
      <c r="CB283" s="409">
        <v>35</v>
      </c>
      <c r="CC283" s="411">
        <f t="shared" si="215"/>
        <v>0</v>
      </c>
      <c r="CD283" s="411">
        <f t="shared" si="216"/>
        <v>231.17032967032969</v>
      </c>
      <c r="CE283" s="410">
        <f t="shared" si="217"/>
        <v>0</v>
      </c>
      <c r="CF283" s="404" t="s">
        <v>857</v>
      </c>
      <c r="CG283" s="409" t="s">
        <v>4309</v>
      </c>
      <c r="CH283" s="420" t="str">
        <f t="shared" si="185"/>
        <v>FLINTSL - RED</v>
      </c>
      <c r="CI283" s="409">
        <v>20</v>
      </c>
      <c r="CJ283" s="411">
        <f>IF(CI283=0,0,IF($LB283=70%,VLOOKUP($CH283,'Jan-2026 rates'!$L:$R,4,0),IF($LB283=65%,VLOOKUP($CH283,'Jan-2026 rates'!$L:$R,4,0),IF($LB283=40%,VLOOKUP($CH283,'Jan-2026 rates'!$L:$R,5,0),IF($LB283=30%,VLOOKUP($CH283,'Jan-2026 rates'!$L:$R,6,0),IF($LB283=100%,VLOOKUP($CH283,'Jan-2026 rates'!$L:$R,7,0),IF($LB283=60%,VLOOKUP($CH283,'Jan-2026 rates'!$L:$S,8,0),IF($LB283=80%,VLOOKUP($CH283,'Jan-2026 rates'!L:T,9,0),0))))))))</f>
        <v>0</v>
      </c>
      <c r="CK283" s="412"/>
      <c r="CL283" s="409"/>
      <c r="CM283" s="411">
        <f>IF(CL283=0,0,IF($LB283=70%,VLOOKUP($CH283,'Jan-2026 rates'!$L:$R,4,0),IF($LB283=65%,VLOOKUP($CH283,'Jan-2026 rates'!$L:$R,4,0),IF($LB283=40%,VLOOKUP($CH283,'Jan-2026 rates'!$L:$R,5,0),IF($LB283=30%,VLOOKUP($CH283,'Jan-2026 rates'!$L:$R,6,0),IF($LB283=100%,VLOOKUP($CH283,'Jan-2026 rates'!$L:$R,7,0),IF($LB283=60%,VLOOKUP($CH283,'Jan-2026 rates'!$L:$S,8,0),IF($LB283=80%,VLOOKUP($CH283,'Jan-2026 rates'!L:T,9,0),0))))))))</f>
        <v>0</v>
      </c>
      <c r="CN283" s="426">
        <v>26524000006</v>
      </c>
      <c r="CO283" s="427">
        <v>26524000007</v>
      </c>
      <c r="CP283" s="426"/>
      <c r="CQ283" s="426"/>
      <c r="CR283" s="428"/>
      <c r="CS283" s="428"/>
      <c r="CT283" s="428"/>
      <c r="CU283" s="428"/>
      <c r="CV283" s="409">
        <v>3</v>
      </c>
      <c r="CW283" s="398" t="e">
        <f>IF(CV283=0,0,IF(LEN(CN283)=11,_xlfn.XLOOKUP(CN283,'Dispensed Ink Rates'!C:C,'Dispensed Ink Rates'!CS:CS),VLOOKUP(CN283,'Jan-2026 rates'!$E:$F,2,0)))</f>
        <v>#N/A</v>
      </c>
      <c r="CX283" s="409">
        <v>6</v>
      </c>
      <c r="CY283" s="398" t="e">
        <f>IF(CX283=0,0,IF(LEN(CO283)=11,_xlfn.XLOOKUP(CO283,'Dispensed Ink Rates'!C:C,'Dispensed Ink Rates'!CS:CS),VLOOKUP(CO283,'Jan-2026 rates'!$E:$F,2,0)))</f>
        <v>#N/A</v>
      </c>
      <c r="CZ283" s="409"/>
      <c r="DA283" s="398">
        <f>IF(CZ283=0,0,IF(LEN(CP283)=11,_xlfn.XLOOKUP(CP283,'Dispensed Ink Rates'!C:C,'Dispensed Ink Rates'!CS:CS),VLOOKUP(CP283,'Jan-2026 rates'!$E:$F,2,0)))</f>
        <v>0</v>
      </c>
      <c r="DB283" s="409"/>
      <c r="DC283" s="398">
        <f>IF(DB283=0,0,IF(LEN(CQ283)=11,_xlfn.XLOOKUP(CQ283,'Dispensed Ink Rates'!C:C,'Dispensed Ink Rates'!CS:CS),VLOOKUP(CQ283,'Jan-2026 rates'!$E:$F,2,0)))</f>
        <v>0</v>
      </c>
      <c r="DD283" s="409"/>
      <c r="DE283" s="398">
        <f>IF(DD283=0,0,IF(LEN(CR283)=11,_xlfn.XLOOKUP(CR283,'Dispensed Ink Rates'!C:C,'Dispensed Ink Rates'!CS:CS),VLOOKUP(CR283,'Jan-2026 rates'!$E:$F,2,0)))</f>
        <v>0</v>
      </c>
      <c r="DF283" s="409"/>
      <c r="DG283" s="398">
        <f>IF(DF283=0,0,IF(LEN(CS283)=11,_xlfn.XLOOKUP(CS283,'Dispensed Ink Rates'!C:C,'Dispensed Ink Rates'!CS:CS),VLOOKUP(CS283,'Jan-2026 rates'!$E:$F,2,0)))</f>
        <v>0</v>
      </c>
      <c r="DH283" s="409"/>
      <c r="DI283" s="398">
        <f>IF(DH283=0,0,IF(LEN(CT283)=11,_xlfn.XLOOKUP(CT283,'Dispensed Ink Rates'!C:C,'Dispensed Ink Rates'!CS:CS),VLOOKUP(CT283,'Jan-2026 rates'!$E:$F,2,0)))</f>
        <v>0</v>
      </c>
      <c r="DJ283" s="409"/>
      <c r="DK283" s="398">
        <f>IF(DJ283=0,0,IF(LEN(CU283)=11,_xlfn.XLOOKUP(CU283,'Dispensed Ink Rates'!C:C,'Dispensed Ink Rates'!CS:CS),VLOOKUP(CU283,'Jan-2026 rates'!$E:$F,2,0)))</f>
        <v>0</v>
      </c>
      <c r="DL283" s="409" t="s">
        <v>1443</v>
      </c>
      <c r="DM283" s="409">
        <v>22</v>
      </c>
      <c r="DN283" s="411">
        <f t="shared" si="218"/>
        <v>0</v>
      </c>
      <c r="DO283" s="411">
        <f t="shared" si="219"/>
        <v>19.390109890109891</v>
      </c>
      <c r="DP283" s="410">
        <f t="shared" si="220"/>
        <v>0</v>
      </c>
      <c r="DQ283" s="405" t="s">
        <v>855</v>
      </c>
      <c r="DR283" s="409" t="s">
        <v>4310</v>
      </c>
      <c r="DS283" s="420" t="str">
        <f t="shared" si="186"/>
        <v>FLINTSL - CYAN</v>
      </c>
      <c r="DT283" s="409">
        <v>30</v>
      </c>
      <c r="DU283" s="411">
        <f>IF(DT283=0,0,IF($LB283=70%,VLOOKUP($DS283,'Jan-2026 rates'!$L:$R,4,0),IF($LB283=65%,VLOOKUP($DS283,'Jan-2026 rates'!$L:$R,4,0),IF($LB283=40%,VLOOKUP($DS283,'Jan-2026 rates'!$L:$R,5,0),IF($LB283=30%,VLOOKUP($DS283,'Jan-2026 rates'!$L:$R,6,0),IF($LB283=100%,VLOOKUP($DS283,'Jan-2026 rates'!$L:$R,7,0),IF($LB283=60%,VLOOKUP($DS283,'Jan-2026 rates'!$L:$S,8,0),IF($LB283=80%,VLOOKUP($DS283,'Jan-2026 rates'!L:T,9,0),0))))))))</f>
        <v>0</v>
      </c>
      <c r="DV283" s="412"/>
      <c r="DW283" s="409"/>
      <c r="DX283" s="411">
        <f>IF(DW283=0,0,IF($LB283=70%,VLOOKUP($DS283,'Jan-2026 rates'!$L:$R,4,0),IF($LB283=65%,VLOOKUP($DS283,'Jan-2026 rates'!$L:$R,4,0),IF($LB283=40%,VLOOKUP($DS283,'Jan-2026 rates'!$L:$R,5,0),IF($LB283=30%,VLOOKUP($DS283,'Jan-2026 rates'!$L:$R,6,0),IF($LB283=100%,VLOOKUP($DS283,'Jan-2026 rates'!$L:$R,7,0),IF($LB283=60%,VLOOKUP($DS283,'Jan-2026 rates'!$L:$S,8,0),IF($LB283=80%,VLOOKUP($DS283,'Jan-2026 rates'!L:T,9,0),0))))))))</f>
        <v>0</v>
      </c>
      <c r="DY283" s="413">
        <v>26522000002</v>
      </c>
      <c r="DZ283" s="413"/>
      <c r="EA283" s="412"/>
      <c r="EB283" s="412"/>
      <c r="EC283" s="412"/>
      <c r="ED283" s="412"/>
      <c r="EE283" s="412"/>
      <c r="EF283" s="412"/>
      <c r="EG283" s="409">
        <v>5</v>
      </c>
      <c r="EH283" s="398" t="e">
        <f>IF(EG283=0,0,IF(LEN(DY283)=11,_xlfn.XLOOKUP(DY283,'Dispensed Ink Rates'!C:C,'Dispensed Ink Rates'!CS:CS),VLOOKUP(DY283,'Jan-2026 rates'!$E:$F,2,0)))</f>
        <v>#N/A</v>
      </c>
      <c r="EI283" s="409"/>
      <c r="EJ283" s="398">
        <f>IF(EI283=0,0,IF(LEN(DZ283)=11,_xlfn.XLOOKUP(DZ283,'Dispensed Ink Rates'!C:C,'Dispensed Ink Rates'!CS:CS),VLOOKUP(DZ283,'Jan-2026 rates'!$E:$F,2,0)))</f>
        <v>0</v>
      </c>
      <c r="EK283" s="409"/>
      <c r="EL283" s="398">
        <f>IF(EK283=0,0,IF(LEN(EA283)=11,_xlfn.XLOOKUP(EA283,'Dispensed Ink Rates'!C:C,'Dispensed Ink Rates'!CS:CS),VLOOKUP(EA283,'Jan-2026 rates'!$E:$F,2,0)))</f>
        <v>0</v>
      </c>
      <c r="EM283" s="409"/>
      <c r="EN283" s="398">
        <f>IF(EM283=0,0,IF(LEN(EB283)=11,_xlfn.XLOOKUP(EB283,'Dispensed Ink Rates'!C:C,'Dispensed Ink Rates'!CS:CS),VLOOKUP(EB283,'Jan-2026 rates'!$E:$F,2,0)))</f>
        <v>0</v>
      </c>
      <c r="EO283" s="409"/>
      <c r="EP283" s="398">
        <f>IF(EO283=0,0,IF(LEN(EC283)=11,_xlfn.XLOOKUP(EC283,'Dispensed Ink Rates'!C:C,'Dispensed Ink Rates'!CS:CS),VLOOKUP(EC283,'Jan-2026 rates'!$E:$F,2,0)))</f>
        <v>0</v>
      </c>
      <c r="EQ283" s="409"/>
      <c r="ER283" s="398">
        <f>IF(EQ283=0,0,IF(LEN(ED283)=11,_xlfn.XLOOKUP(ED283,'Dispensed Ink Rates'!C:C,'Dispensed Ink Rates'!CS:CS),VLOOKUP(ED283,'Jan-2026 rates'!$E:$F,2,0)))</f>
        <v>0</v>
      </c>
      <c r="ES283" s="409"/>
      <c r="ET283" s="398">
        <f>IF(ES283=0,0,IF(LEN(EE283)=11,_xlfn.XLOOKUP(EE283,'Dispensed Ink Rates'!C:C,'Dispensed Ink Rates'!CS:CS),VLOOKUP(EE283,'Jan-2026 rates'!$E:$F,2,0)))</f>
        <v>0</v>
      </c>
      <c r="EU283" s="409"/>
      <c r="EV283" s="398">
        <f>IF(EU283=0,0,IF(LEN(EF283)=11,_xlfn.XLOOKUP(EF283,'Dispensed Ink Rates'!C:C,'Dispensed Ink Rates'!CS:CS),VLOOKUP(EF283,'Jan-2026 rates'!$E:$F,2,0)))</f>
        <v>0</v>
      </c>
      <c r="EW283" s="409" t="s">
        <v>1443</v>
      </c>
      <c r="EX283" s="409">
        <v>29</v>
      </c>
      <c r="EY283" s="411">
        <f t="shared" si="221"/>
        <v>0</v>
      </c>
      <c r="EZ283" s="411">
        <f t="shared" si="222"/>
        <v>13.434065934065934</v>
      </c>
      <c r="FA283" s="410">
        <f t="shared" si="223"/>
        <v>0</v>
      </c>
      <c r="FB283" s="405" t="s">
        <v>544</v>
      </c>
      <c r="FC283" s="409" t="s">
        <v>4311</v>
      </c>
      <c r="FD283" s="420" t="str">
        <f t="shared" si="187"/>
        <v>FLINTSL - MAGENTA</v>
      </c>
      <c r="FE283" s="409">
        <v>32</v>
      </c>
      <c r="FF283" s="411">
        <f>IF(FE283=0,0,IF($LB283=70%,VLOOKUP($FD283,'Jan-2026 rates'!$L:$R,4,0),IF($LB283=65%,VLOOKUP($FD283,'Jan-2026 rates'!$L:$R,4,0),IF($LB283=40%,VLOOKUP($FD283,'Jan-2026 rates'!$L:$R,5,0),IF($LB283=30%,VLOOKUP($FD283,'Jan-2026 rates'!$L:$R,6,0),IF($LB283=100%,VLOOKUP($FD283,'Jan-2026 rates'!$L:$R,7,0),IF($LB283=60%,VLOOKUP($FD283,'Jan-2026 rates'!$L:$S,8,0),IF($LB283=80%,VLOOKUP($FD283,'Jan-2026 rates'!L:T,9,0),0))))))))</f>
        <v>0</v>
      </c>
      <c r="FG283" s="412"/>
      <c r="FH283" s="409"/>
      <c r="FI283" s="411">
        <f>IF(FH283=0,0,IF($LB283=70%,VLOOKUP($FD283,'Jan-2026 rates'!$L:$R,4,0),IF($LB283=65%,VLOOKUP($FD283,'Jan-2026 rates'!$L:$R,4,0),IF($LB283=40%,VLOOKUP($FD283,'Jan-2026 rates'!$L:$R,5,0),IF($LB283=30%,VLOOKUP($FD283,'Jan-2026 rates'!$L:$R,6,0),IF($LB283=100%,VLOOKUP($FD283,'Jan-2026 rates'!$L:$R,7,0),IF($LB283=60%,VLOOKUP($FD283,'Jan-2026 rates'!$L:$S,8,0),IF($LB283=80%,VLOOKUP($FD283,'Jan-2026 rates'!L:T,9,0),0))))))))</f>
        <v>0</v>
      </c>
      <c r="FJ283" s="413" t="s">
        <v>1266</v>
      </c>
      <c r="FK283" s="413"/>
      <c r="FL283" s="413"/>
      <c r="FM283" s="412"/>
      <c r="FN283" s="412"/>
      <c r="FO283" s="412"/>
      <c r="FP283" s="412"/>
      <c r="FQ283" s="412"/>
      <c r="FR283" s="409">
        <v>4</v>
      </c>
      <c r="FS283" s="398">
        <f>IF(FR283=0,0,IF(LEN(FJ283)=11,_xlfn.XLOOKUP(FJ283,'Dispensed Ink Rates'!C:C,'Dispensed Ink Rates'!CS:CS),VLOOKUP(FJ283,'Jan-2026 rates'!$E:$F,2,0)))</f>
        <v>0</v>
      </c>
      <c r="FT283" s="409"/>
      <c r="FU283" s="398">
        <f>IF(FT283=0,0,IF(LEN(FK283)=11,_xlfn.XLOOKUP(FK283,'Dispensed Ink Rates'!C:C,'Dispensed Ink Rates'!CS:CS),VLOOKUP(FK283,'Jan-2026 rates'!$E:$F,2,0)))</f>
        <v>0</v>
      </c>
      <c r="FV283" s="409"/>
      <c r="FW283" s="398">
        <f>IF(FV283=0,0,IF(LEN(FL283)=11,_xlfn.XLOOKUP(FL283,'Dispensed Ink Rates'!C:C,'Dispensed Ink Rates'!CS:CS),VLOOKUP(FL283,'Jan-2026 rates'!$E:$F,2,0)))</f>
        <v>0</v>
      </c>
      <c r="FX283" s="409"/>
      <c r="FY283" s="398">
        <f>IF(FX283=0,0,IF(LEN(FM283)=11,_xlfn.XLOOKUP(FM283,'Dispensed Ink Rates'!C:C,'Dispensed Ink Rates'!CS:CS),VLOOKUP(FM283,'Jan-2026 rates'!$E:$F,2,0)))</f>
        <v>0</v>
      </c>
      <c r="FZ283" s="409"/>
      <c r="GA283" s="398">
        <f>IF(FZ283=0,0,IF(LEN(FN283)=11,_xlfn.XLOOKUP(FN283,'Dispensed Ink Rates'!C:C,'Dispensed Ink Rates'!CS:CS),VLOOKUP(FN283,'Jan-2026 rates'!$E:$F,2,0)))</f>
        <v>0</v>
      </c>
      <c r="GB283" s="409"/>
      <c r="GC283" s="398">
        <f>IF(GB283=0,0,IF(LEN(FO283)=11,_xlfn.XLOOKUP(FO283,'Dispensed Ink Rates'!C:C,'Dispensed Ink Rates'!CS:CS),VLOOKUP(FO283,'Jan-2026 rates'!$E:$F,2,0)))</f>
        <v>0</v>
      </c>
      <c r="GD283" s="409"/>
      <c r="GE283" s="398">
        <f>IF(GD283=0,0,IF(LEN(FP283)=11,_xlfn.XLOOKUP(FP283,'Dispensed Ink Rates'!C:C,'Dispensed Ink Rates'!CS:CS),VLOOKUP(FP283,'Jan-2026 rates'!$E:$F,2,0)))</f>
        <v>0</v>
      </c>
      <c r="GF283" s="409"/>
      <c r="GG283" s="398">
        <f>IF(GF283=0,0,IF(LEN(FQ283)=11,_xlfn.XLOOKUP(FQ283,'Dispensed Ink Rates'!C:C,'Dispensed Ink Rates'!CS:CS),VLOOKUP(FQ283,'Jan-2026 rates'!$E:$F,2,0)))</f>
        <v>0</v>
      </c>
      <c r="GH283" s="409" t="s">
        <v>1443</v>
      </c>
      <c r="GI283" s="409">
        <v>30</v>
      </c>
      <c r="GJ283" s="411">
        <f t="shared" si="224"/>
        <v>0</v>
      </c>
      <c r="GK283" s="411">
        <f t="shared" si="225"/>
        <v>15.912087912087912</v>
      </c>
      <c r="GL283" s="410">
        <f t="shared" si="226"/>
        <v>0</v>
      </c>
      <c r="GM283" s="405" t="s">
        <v>545</v>
      </c>
      <c r="GN283" s="409" t="s">
        <v>4312</v>
      </c>
      <c r="GO283" s="420" t="str">
        <f t="shared" si="188"/>
        <v>FLINTSL - YELLOW</v>
      </c>
      <c r="GP283" s="409">
        <v>31</v>
      </c>
      <c r="GQ283" s="411">
        <f>IF(GP283=0,0,IF($LB283=70%,VLOOKUP($GO283,'Jan-2026 rates'!$L:$R,4,0),IF($LB283=65%,VLOOKUP($GO283,'Jan-2026 rates'!$L:$R,4,0),IF($LB283=40%,VLOOKUP($GO283,'Jan-2026 rates'!$L:$R,5,0),IF($LB283=30%,VLOOKUP($GO283,'Jan-2026 rates'!$L:$R,6,0),IF($LB283=100%,VLOOKUP($GO283,'Jan-2026 rates'!$L:$R,7,0),IF($LB283=60%,VLOOKUP($GO283,'Jan-2026 rates'!$L:$S,8,0),IF($LB283=80%,VLOOKUP($GO283,'Jan-2026 rates'!L:T,9,0),0))))))))</f>
        <v>0</v>
      </c>
      <c r="GR283" s="412"/>
      <c r="GS283" s="409"/>
      <c r="GT283" s="411">
        <f>IF(GS283=0,0,IF($LB283=70%,VLOOKUP($GO283,'Jan-2026 rates'!$L:$R,4,0),IF($LB283=65%,VLOOKUP($GO283,'Jan-2026 rates'!$L:$R,4,0),IF($LB283=40%,VLOOKUP($GO283,'Jan-2026 rates'!$L:$R,5,0),IF($LB283=30%,VLOOKUP($GO283,'Jan-2026 rates'!$L:$R,6,0),IF($LB283=100%,VLOOKUP($GO283,'Jan-2026 rates'!$L:$R,7,0),IF($LB283=60%,VLOOKUP($GO283,'Jan-2026 rates'!$L:$S,8,0),IF($LB283=80%,VLOOKUP($GO283,'Jan-2026 rates'!L:T,9,0),0))))))))</f>
        <v>0</v>
      </c>
      <c r="GU283" s="413" t="s">
        <v>1266</v>
      </c>
      <c r="GV283" s="413">
        <v>26523000003</v>
      </c>
      <c r="GW283" s="412"/>
      <c r="GX283" s="412"/>
      <c r="GY283" s="412"/>
      <c r="GZ283" s="412"/>
      <c r="HA283" s="412"/>
      <c r="HB283" s="412"/>
      <c r="HC283" s="409">
        <f>15+4</f>
        <v>19</v>
      </c>
      <c r="HD283" s="398">
        <f>IF(HC283=0,0,IF(LEN(GU283)=11,_xlfn.XLOOKUP(GU283,'Dispensed Ink Rates'!C:C,'Dispensed Ink Rates'!CS:CS),VLOOKUP(GU283,'Jan-2026 rates'!$E:$F,2,0)))</f>
        <v>0</v>
      </c>
      <c r="HE283" s="409">
        <v>8</v>
      </c>
      <c r="HF283" s="398" t="e">
        <f>IF(HE283=0,0,IF(LEN(GV283)=11,_xlfn.XLOOKUP(GV283,'Dispensed Ink Rates'!C:C,'Dispensed Ink Rates'!CS:CS),VLOOKUP(GV283,'Jan-2026 rates'!$E:$F,2,0)))</f>
        <v>#N/A</v>
      </c>
      <c r="HG283" s="409"/>
      <c r="HH283" s="398">
        <f>IF(HG283=0,0,IF(LEN(GW283)=11,_xlfn.XLOOKUP(GW283,'Dispensed Ink Rates'!C:C,'Dispensed Ink Rates'!CS:CS),VLOOKUP(GW283,'Jan-2026 rates'!$E:$F,2,0)))</f>
        <v>0</v>
      </c>
      <c r="HI283" s="409"/>
      <c r="HJ283" s="398">
        <f>IF(HI283=0,0,IF(LEN(GX283)=11,_xlfn.XLOOKUP(GX283,'Dispensed Ink Rates'!C:C,'Dispensed Ink Rates'!CS:CS),VLOOKUP(GX283,'Jan-2026 rates'!$E:$F,2,0)))</f>
        <v>0</v>
      </c>
      <c r="HK283" s="409"/>
      <c r="HL283" s="398">
        <f>IF(HK283=0,0,IF(LEN(GY283)=11,_xlfn.XLOOKUP(GY283,'Dispensed Ink Rates'!C:C,'Dispensed Ink Rates'!CS:CS),VLOOKUP(GY283,'Jan-2026 rates'!$E:$F,2,0)))</f>
        <v>0</v>
      </c>
      <c r="HM283" s="409"/>
      <c r="HN283" s="398">
        <f>IF(HM283=0,0,IF(LEN(GZ283)=11,_xlfn.XLOOKUP(GZ283,'Dispensed Ink Rates'!C:C,'Dispensed Ink Rates'!CS:CS),VLOOKUP(GZ283,'Jan-2026 rates'!$E:$F,2,0)))</f>
        <v>0</v>
      </c>
      <c r="HO283" s="409"/>
      <c r="HP283" s="398">
        <f>IF(HO283=0,0,IF(LEN(HA283)=11,_xlfn.XLOOKUP(HA283,'Dispensed Ink Rates'!C:C,'Dispensed Ink Rates'!CS:CS),VLOOKUP(HA283,'Jan-2026 rates'!$E:$F,2,0)))</f>
        <v>0</v>
      </c>
      <c r="HQ283" s="409"/>
      <c r="HR283" s="398">
        <f>IF(HQ283=0,0,IF(LEN(HB283)=11,_xlfn.XLOOKUP(HB283,'Dispensed Ink Rates'!C:C,'Dispensed Ink Rates'!CS:CS),VLOOKUP(HB283,'Jan-2026 rates'!$E:$F,2,0)))</f>
        <v>0</v>
      </c>
      <c r="HS283" s="409" t="s">
        <v>1443</v>
      </c>
      <c r="HT283" s="409">
        <v>26</v>
      </c>
      <c r="HU283" s="411">
        <f t="shared" si="227"/>
        <v>0</v>
      </c>
      <c r="HV283" s="411">
        <f t="shared" si="228"/>
        <v>93.95054945054946</v>
      </c>
      <c r="HW283" s="414">
        <f t="shared" si="229"/>
        <v>0</v>
      </c>
      <c r="HX283" s="405" t="s">
        <v>856</v>
      </c>
      <c r="HY283" s="409" t="s">
        <v>4313</v>
      </c>
      <c r="HZ283" s="420" t="str">
        <f t="shared" si="189"/>
        <v>FLINTSL - WHITE</v>
      </c>
      <c r="IA283" s="409">
        <v>30</v>
      </c>
      <c r="IB283" s="411">
        <f>IF(IA283=0,0,IF($LB283=70%,VLOOKUP($HZ283,'Jan-2026 rates'!$L:$R,4,0),IF($LB283=65%,VLOOKUP($HZ283,'Jan-2026 rates'!$L:$R,4,0),IF($LB283=40%,VLOOKUP($HZ283,'Jan-2026 rates'!$L:$R,5,0),IF($LB283=30%,VLOOKUP($HZ283,'Jan-2026 rates'!$L:$R,6,0),IF($LB283=100%,VLOOKUP($HZ283,'Jan-2026 rates'!$L:$R,7,0),IF($LB283=60%,VLOOKUP($HZ283,'Jan-2026 rates'!$L:$S,8,0),IF($LB283=80%,VLOOKUP($HZ283,'Jan-2026 rates'!L:T,9,0),0))))))))</f>
        <v>0</v>
      </c>
      <c r="IC283" s="412"/>
      <c r="ID283" s="409"/>
      <c r="IE283" s="411">
        <f>IF(ID283=0,0,IF($LB283=70%,VLOOKUP($HZ283,'Jan-2026 rates'!$L:$R,4,0),IF($LB283=65%,VLOOKUP($HZ283,'Jan-2026 rates'!$L:$R,4,0),IF($LB283=40%,VLOOKUP($HZ283,'Jan-2026 rates'!$L:$R,5,0),IF($LB283=30%,VLOOKUP($HZ283,'Jan-2026 rates'!$L:$R,6,0),IF($LB283=100%,VLOOKUP($HZ283,'Jan-2026 rates'!$L:$R,7,0),IF($LB283=60%,VLOOKUP($HZ283,'Jan-2026 rates'!$L:$S,8,0),IF($LB283=80%,VLOOKUP($HZ283,'Jan-2026 rates'!L:T,9,0),0))))))))</f>
        <v>0</v>
      </c>
      <c r="IF283" s="412" t="s">
        <v>484</v>
      </c>
      <c r="IG283" s="413"/>
      <c r="IH283" s="412"/>
      <c r="II283" s="412"/>
      <c r="IJ283" s="412"/>
      <c r="IK283" s="412"/>
      <c r="IL283" s="412"/>
      <c r="IM283" s="412"/>
      <c r="IN283" s="409">
        <f>200+40</f>
        <v>240</v>
      </c>
      <c r="IO283" s="398">
        <f>IF(IN283=0,0,IF(LEN(IF283)=11,_xlfn.XLOOKUP(IF283,'Dispensed Ink Rates'!C:C,'Dispensed Ink Rates'!CS:CS),VLOOKUP(IF283,'Jan-2026 rates'!$E:$F,2,0)))</f>
        <v>0</v>
      </c>
      <c r="IP283" s="409"/>
      <c r="IQ283" s="398">
        <f>IF(IP283=0,0,IF(LEN(IG283)=11,_xlfn.XLOOKUP(IG283,'Dispensed Ink Rates'!C:C,'Dispensed Ink Rates'!CS:CS),VLOOKUP(IG283,'Jan-2026 rates'!$E:$F,2,0)))</f>
        <v>0</v>
      </c>
      <c r="IR283" s="409"/>
      <c r="IS283" s="398">
        <f>IF(IR283=0,0,IF(LEN(IH283)=11,_xlfn.XLOOKUP(IH283,'Dispensed Ink Rates'!C:C,'Dispensed Ink Rates'!CS:CS),VLOOKUP(IH283,'Jan-2026 rates'!$E:$F,2,0)))</f>
        <v>0</v>
      </c>
      <c r="IT283" s="409"/>
      <c r="IU283" s="398">
        <f>IF(IT283=0,0,IF(LEN(II283)=11,_xlfn.XLOOKUP(II283,'Dispensed Ink Rates'!C:C,'Dispensed Ink Rates'!CS:CS),VLOOKUP(II283,'Jan-2026 rates'!$E:$F,2,0)))</f>
        <v>0</v>
      </c>
      <c r="IV283" s="409"/>
      <c r="IW283" s="398">
        <f>IF(IV283=0,0,IF(LEN(IJ283)=11,_xlfn.XLOOKUP(IJ283,'Dispensed Ink Rates'!C:C,'Dispensed Ink Rates'!CS:CS),VLOOKUP(IJ283,'Jan-2026 rates'!$E:$F,2,0)))</f>
        <v>0</v>
      </c>
      <c r="IX283" s="409"/>
      <c r="IY283" s="398">
        <f>IF(IX283=0,0,IF(LEN(IK283)=11,_xlfn.XLOOKUP(IK283,'Dispensed Ink Rates'!C:C,'Dispensed Ink Rates'!CS:CS),VLOOKUP(IK283,'Jan-2026 rates'!$E:$F,2,0)))</f>
        <v>0</v>
      </c>
      <c r="IZ283" s="409"/>
      <c r="JA283" s="398">
        <f>IF(IZ283=0,0,IF(LEN(IL283)=11,_xlfn.XLOOKUP(IL283,'Dispensed Ink Rates'!C:C,'Dispensed Ink Rates'!CS:CS),VLOOKUP(IL283,'Jan-2026 rates'!$E:$F,2,0)))</f>
        <v>0</v>
      </c>
      <c r="JB283" s="409"/>
      <c r="JC283" s="398">
        <f>IF(JB283=0,0,IF(LEN(IM283)=11,_xlfn.XLOOKUP(IM283,'Dispensed Ink Rates'!C:C,'Dispensed Ink Rates'!CS:CS),VLOOKUP(IM283,'Jan-2026 rates'!$E:$F,2,0)))</f>
        <v>0</v>
      </c>
      <c r="JD283" s="409" t="s">
        <v>1443</v>
      </c>
      <c r="JE283" s="409">
        <v>30</v>
      </c>
      <c r="JF283" s="411">
        <f t="shared" si="230"/>
        <v>0</v>
      </c>
      <c r="JG283" s="411">
        <f t="shared" si="231"/>
        <v>549.75274725274721</v>
      </c>
      <c r="JH283" s="410">
        <f t="shared" si="232"/>
        <v>0</v>
      </c>
      <c r="JI283" s="405"/>
      <c r="JJ283" s="409"/>
      <c r="JK283" s="420" t="str">
        <f t="shared" si="190"/>
        <v xml:space="preserve"> - </v>
      </c>
      <c r="JL283" s="409"/>
      <c r="JM283" s="411">
        <f>IF(JL283=0,0,IF($LB283=70%,VLOOKUP($JK283,'Jan-2026 rates'!$L:$R,4,0),IF($LB283=65%,VLOOKUP($JK283,'Jan-2026 rates'!$L:$R,4,0),IF($LB283=40%,VLOOKUP($JK283,'Jan-2026 rates'!$L:$R,5,0),IF($LB283=30%,VLOOKUP($JK283,'Jan-2026 rates'!$L:$R,6,0),IF($LB283=100%,VLOOKUP($JK283,'Jan-2026 rates'!$L:$R,7,0),IF($LB283=60%,VLOOKUP($JK283,'Jan-2026 rates'!$L:$S,8,0),IF($LB283=80%,VLOOKUP($JK283,'Jan-2026 rates'!L:T,9,0),0))))))))</f>
        <v>0</v>
      </c>
      <c r="JN283" s="412"/>
      <c r="JO283" s="409"/>
      <c r="JP283" s="411">
        <f>IF(JO283=0,0,IF($LB283=70%,VLOOKUP($JK283,'Jan-2026 rates'!$L:$R,4,0),IF($LB283=65%,VLOOKUP($JK283,'Jan-2026 rates'!$L:$R,4,0),IF($LB283=40%,VLOOKUP($JK283,'Jan-2026 rates'!$L:$R,5,0),IF($LB283=30%,VLOOKUP($JK283,'Jan-2026 rates'!$L:$R,6,0),IF($LB283=100%,VLOOKUP($JK283,'Jan-2026 rates'!$L:$R,7,0),IF($LB283=60%,VLOOKUP($JK283,'Jan-2026 rates'!$L:$S,8,0),IF($LB283=80%,VLOOKUP($JK283,'Jan-2026 rates'!L:T,9,0),0))))))))</f>
        <v>0</v>
      </c>
      <c r="JQ283" s="413"/>
      <c r="JR283" s="412"/>
      <c r="JS283" s="413"/>
      <c r="JT283" s="413"/>
      <c r="JU283" s="412"/>
      <c r="JV283" s="412"/>
      <c r="JW283" s="412"/>
      <c r="JX283" s="412"/>
      <c r="JY283" s="409"/>
      <c r="JZ283" s="398">
        <f>IF(JY283=0,0,IF(LEN(JQ283)=11,_xlfn.XLOOKUP(JQ283,'Dispensed Ink Rates'!C:C,'Dispensed Ink Rates'!CS:CS),VLOOKUP(JQ283,'Jan-2026 rates'!$E:$F,2,0)))</f>
        <v>0</v>
      </c>
      <c r="KA283" s="409"/>
      <c r="KB283" s="398">
        <f>IF(KA283=0,0,IF(LEN(JR283)=11,_xlfn.XLOOKUP(JR283,'Dispensed Ink Rates'!C:C,'Dispensed Ink Rates'!CS:CS),VLOOKUP(JR283,'Jan-2026 rates'!$E:$F,2,0)))</f>
        <v>0</v>
      </c>
      <c r="KC283" s="409"/>
      <c r="KD283" s="398">
        <f>IF(KC283=0,0,IF(LEN(JS283)=11,_xlfn.XLOOKUP(JS283,'Dispensed Ink Rates'!C:C,'Dispensed Ink Rates'!CS:CS),VLOOKUP(JS283,'Jan-2026 rates'!$E:$F,2,0)))</f>
        <v>0</v>
      </c>
      <c r="KE283" s="409"/>
      <c r="KF283" s="398">
        <f>IF(KE283=0,0,IF(LEN(JT283)=11,_xlfn.XLOOKUP(JT283,'Dispensed Ink Rates'!C:C,'Dispensed Ink Rates'!CS:CS),VLOOKUP(JT283,'Jan-2026 rates'!$E:$F,2,0)))</f>
        <v>0</v>
      </c>
      <c r="KG283" s="409"/>
      <c r="KH283" s="398">
        <f>IF(KG283=0,0,IF(LEN(JU283)=11,_xlfn.XLOOKUP(JU283,'Dispensed Ink Rates'!C:C,'Dispensed Ink Rates'!CS:CS),VLOOKUP(JU283,'Jan-2026 rates'!$E:$F,2,0)))</f>
        <v>0</v>
      </c>
      <c r="KI283" s="409"/>
      <c r="KJ283" s="398">
        <f>IF(KI283=0,0,IF(LEN(JV283)=11,_xlfn.XLOOKUP(JV283,'Dispensed Ink Rates'!C:C,'Dispensed Ink Rates'!CS:CS),VLOOKUP(JV283,'Jan-2026 rates'!$E:$F,2,0)))</f>
        <v>0</v>
      </c>
      <c r="KK283" s="409"/>
      <c r="KL283" s="398">
        <f>IF(KK283=0,0,IF(LEN(JW283)=11,_xlfn.XLOOKUP(JW283,'Dispensed Ink Rates'!C:C,'Dispensed Ink Rates'!CS:CS),VLOOKUP(JW283,'Jan-2026 rates'!$E:$F,2,0)))</f>
        <v>0</v>
      </c>
      <c r="KM283" s="428"/>
      <c r="KN283" s="398">
        <f>IF(KM283=0,0,IF(LEN(JX283)=11,_xlfn.XLOOKUP(JX283,'Dispensed Ink Rates'!C:C,'Dispensed Ink Rates'!CS:CS),VLOOKUP(JX283,'Jan-2026 rates'!$E:$F,2,0)))</f>
        <v>0</v>
      </c>
      <c r="KO283" s="409"/>
      <c r="KP283" s="409"/>
      <c r="KQ283" s="411">
        <f t="shared" si="233"/>
        <v>0</v>
      </c>
      <c r="KR283" s="411">
        <f t="shared" si="234"/>
        <v>0</v>
      </c>
      <c r="KS283" s="410">
        <f t="shared" si="235"/>
        <v>0</v>
      </c>
      <c r="KT283" s="409">
        <v>5</v>
      </c>
      <c r="KU283" s="409">
        <v>15</v>
      </c>
      <c r="KV283" s="409">
        <v>5</v>
      </c>
      <c r="KW283" s="409">
        <v>3</v>
      </c>
      <c r="KX283" s="409">
        <v>4</v>
      </c>
      <c r="KY283" s="409">
        <f>15+10</f>
        <v>25</v>
      </c>
      <c r="KZ283" s="409">
        <f>100+25</f>
        <v>125</v>
      </c>
      <c r="LA283" s="409">
        <v>0</v>
      </c>
      <c r="LB283" s="415">
        <v>0.8</v>
      </c>
      <c r="LC283" s="415">
        <v>0.2</v>
      </c>
      <c r="LD283" s="415"/>
      <c r="LE283" s="415"/>
      <c r="LF283" s="415"/>
      <c r="LG283" s="409">
        <v>0</v>
      </c>
      <c r="LH283" s="409">
        <f>125+76+200+50</f>
        <v>451</v>
      </c>
      <c r="LI283" s="409">
        <v>0</v>
      </c>
      <c r="LJ283" s="409">
        <v>0</v>
      </c>
      <c r="LK283" s="416">
        <f t="shared" si="191"/>
        <v>451</v>
      </c>
      <c r="LL283" s="416">
        <f t="shared" si="192"/>
        <v>451</v>
      </c>
      <c r="LM283" s="417">
        <f t="shared" si="193"/>
        <v>360.8</v>
      </c>
      <c r="LN283" s="417">
        <f>VLOOKUP($LM$8,'Jan-2026 rates'!$H:$I,2,0)</f>
        <v>0</v>
      </c>
      <c r="LO283" s="417">
        <f t="shared" si="194"/>
        <v>90.2</v>
      </c>
      <c r="LP283" s="417">
        <f>VLOOKUP($LO$8,'Jan-2026 rates'!$H:$I,2,0)</f>
        <v>0</v>
      </c>
      <c r="LQ283" s="417">
        <f t="shared" si="195"/>
        <v>0</v>
      </c>
      <c r="LR283" s="417">
        <f>VLOOKUP($LQ$8,'Jan-2026 rates'!$H:$I,2,0)</f>
        <v>0</v>
      </c>
      <c r="LS283" s="417">
        <f t="shared" si="196"/>
        <v>0</v>
      </c>
      <c r="LT283" s="417">
        <f>VLOOKUP($LS$8,'Jan-2026 rates'!$H:$I,2,0)</f>
        <v>0</v>
      </c>
      <c r="LU283" s="417">
        <f t="shared" si="197"/>
        <v>0</v>
      </c>
      <c r="LV283" s="417">
        <f>VLOOKUP($LU$8,'Jan-2026 rates'!$H:$I,2,0)</f>
        <v>0</v>
      </c>
      <c r="LW283" s="417">
        <f t="shared" si="198"/>
        <v>0</v>
      </c>
      <c r="LX283" s="417">
        <f t="shared" si="199"/>
        <v>0</v>
      </c>
      <c r="LY283" s="418">
        <f t="shared" si="200"/>
        <v>0</v>
      </c>
      <c r="LZ283" s="417"/>
      <c r="MA283" s="435">
        <f t="shared" si="201"/>
        <v>387</v>
      </c>
      <c r="MB283" s="282">
        <f t="shared" si="202"/>
        <v>940</v>
      </c>
      <c r="MC283" s="283">
        <v>176</v>
      </c>
      <c r="MD283" s="284" t="str">
        <f t="shared" si="203"/>
        <v>FLINTSLFLINTSLFLINTSLFLINTSLFLINTSLFLINTSLFLINTSL</v>
      </c>
      <c r="ME283" s="293" t="str">
        <f t="shared" si="204"/>
        <v>+</v>
      </c>
      <c r="MF283" s="293" t="str">
        <f t="shared" si="205"/>
        <v>+</v>
      </c>
      <c r="MG283" s="293" t="str">
        <f t="shared" si="206"/>
        <v>+</v>
      </c>
      <c r="MH283" s="293" t="str">
        <f t="shared" si="207"/>
        <v>+</v>
      </c>
      <c r="MI283" s="293" t="str">
        <f t="shared" si="208"/>
        <v>+</v>
      </c>
      <c r="MJ283" s="293" t="str">
        <f t="shared" si="209"/>
        <v>+</v>
      </c>
      <c r="MK283" s="293" t="str">
        <f t="shared" si="210"/>
        <v>+</v>
      </c>
      <c r="ML283" s="293" t="str">
        <f t="shared" si="211"/>
        <v>NIL</v>
      </c>
      <c r="MM283" s="3" t="b">
        <f t="array" ref="MM283">OR(ME283:ML283="-")</f>
        <v>0</v>
      </c>
      <c r="MN283" s="285"/>
      <c r="MO283" s="401"/>
      <c r="MP283" s="286"/>
      <c r="MQ283" s="286"/>
      <c r="MR283" s="402"/>
      <c r="MS283" s="400"/>
      <c r="NH283" s="422"/>
      <c r="NJ283" s="421"/>
    </row>
    <row r="284" spans="1:374" s="1" customFormat="1" ht="16.5">
      <c r="A284" s="403">
        <v>46044</v>
      </c>
      <c r="B284" s="404" t="s">
        <v>1018</v>
      </c>
      <c r="C284" s="405" t="s">
        <v>4314</v>
      </c>
      <c r="D284" s="406">
        <v>177</v>
      </c>
      <c r="E284" s="404">
        <v>284</v>
      </c>
      <c r="F284" s="407">
        <v>16600</v>
      </c>
      <c r="G284" s="407" t="s">
        <v>1019</v>
      </c>
      <c r="H284" s="408" t="s">
        <v>1017</v>
      </c>
      <c r="I284" s="409">
        <v>2</v>
      </c>
      <c r="J284" s="405" t="s">
        <v>543</v>
      </c>
      <c r="K284" s="404" t="s">
        <v>4315</v>
      </c>
      <c r="L284" s="419" t="str">
        <f t="shared" si="184"/>
        <v>FLINTSL - BLACK</v>
      </c>
      <c r="M284" s="404">
        <v>30</v>
      </c>
      <c r="N284" s="410">
        <f>IF(M284=0,0,IF($LB284=70%,VLOOKUP($L284,'Jan-2026 rates'!$L:$R,4,0),IF($LB284=65%,VLOOKUP($L284,'Jan-2026 rates'!$L:$R,4,0),IF($LB284=40%,VLOOKUP($L284,'Jan-2026 rates'!$L:$R,5,0),IF($LB284=30%,VLOOKUP($L284,'Jan-2026 rates'!$L:$R,6,0),IF($LB284=100%,VLOOKUP($L284,'Jan-2026 rates'!$L:$R,7,0),IF($LB284=60%,VLOOKUP($L284,'Jan-2026 rates'!$L:$S,8,0),IF($LB284=80%,VLOOKUP($L284,'Jan-2026 rates'!L:T,9,0),0))))))))</f>
        <v>0</v>
      </c>
      <c r="O284" s="406"/>
      <c r="P284" s="404"/>
      <c r="Q284" s="410">
        <f>IF(P284=0,0,IF($LB284=70%,VLOOKUP($L284,'Jan-2026 rates'!$L:$R,4,0),IF($LB284=65%,VLOOKUP($L284,'Jan-2026 rates'!$L:$R,4,0),IF($LB284=40%,VLOOKUP($L284,'Jan-2026 rates'!$L:$R,5,0),IF($LB284=30%,VLOOKUP($L284,'Jan-2026 rates'!$L:$R,6,0),IF($LB284=100%,VLOOKUP($L284,'Jan-2026 rates'!$L:$R,7,0),IF($LB284=60%,VLOOKUP($L284,'Jan-2026 rates'!$L:$S,8,0),IF($LB284=80%,VLOOKUP($L284,'Jan-2026 rates'!L:T,9,0),0))))))))</f>
        <v>0</v>
      </c>
      <c r="R284" s="406" t="s">
        <v>1266</v>
      </c>
      <c r="S284" s="406"/>
      <c r="T284" s="406"/>
      <c r="U284" s="406"/>
      <c r="V284" s="406"/>
      <c r="W284" s="406"/>
      <c r="X284" s="406"/>
      <c r="Y284" s="406"/>
      <c r="Z284" s="404">
        <v>1</v>
      </c>
      <c r="AA284" s="398">
        <f>IF(Z284=0,0,IF(LEN(R284)=11,_xlfn.XLOOKUP(R284,'Dispensed Ink Rates'!C:C,'Dispensed Ink Rates'!CS:CS),VLOOKUP(R284,'Jan-2026 rates'!$E:$F,2,0)))</f>
        <v>0</v>
      </c>
      <c r="AB284" s="404"/>
      <c r="AC284" s="398">
        <f>IF(AB284=0,0,IF(LEN(S284)=11,_xlfn.XLOOKUP(S284,'Dispensed Ink Rates'!C:C,'Dispensed Ink Rates'!CS:CS),VLOOKUP(S284,'Jan-2026 rates'!$E:$F,2,0)))</f>
        <v>0</v>
      </c>
      <c r="AD284" s="404"/>
      <c r="AE284" s="398">
        <f>IF(AD284=0,0,IF(LEN(T284)=11,_xlfn.XLOOKUP(T284,'Dispensed Ink Rates'!C:C,'Dispensed Ink Rates'!CS:CS),VLOOKUP(T284,'Jan-2026 rates'!$E:$F,2,0)))</f>
        <v>0</v>
      </c>
      <c r="AF284" s="404"/>
      <c r="AG284" s="398">
        <f>IF(AF284=0,0,IF(LEN(U284)=11,_xlfn.XLOOKUP(U284,'Dispensed Ink Rates'!C:C,'Dispensed Ink Rates'!CS:CS),VLOOKUP(U284,'Jan-2026 rates'!$E:$F,2,0)))</f>
        <v>0</v>
      </c>
      <c r="AH284" s="404"/>
      <c r="AI284" s="398">
        <f>IF(AH284=0,0,IF(LEN(V284)=11,_xlfn.XLOOKUP(V284,'Dispensed Ink Rates'!C:C,'Dispensed Ink Rates'!CS:CS),VLOOKUP(V284,'Jan-2026 rates'!$E:$F,2,0)))</f>
        <v>0</v>
      </c>
      <c r="AJ284" s="404"/>
      <c r="AK284" s="398">
        <f>IF(AJ284=0,0,IF(LEN(W284)=11,_xlfn.XLOOKUP(W284,'Dispensed Ink Rates'!C:C,'Dispensed Ink Rates'!CS:CS),VLOOKUP(W284,'Jan-2026 rates'!$E:$F,2,0)))</f>
        <v>0</v>
      </c>
      <c r="AL284" s="404"/>
      <c r="AM284" s="398">
        <f>IF(AL284=0,0,IF(LEN(X284)=11,_xlfn.XLOOKUP(X284,'Dispensed Ink Rates'!C:C,'Dispensed Ink Rates'!CS:CS),VLOOKUP(X284,'Jan-2026 rates'!$E:$F,2,0)))</f>
        <v>0</v>
      </c>
      <c r="AN284" s="404"/>
      <c r="AO284" s="398">
        <f>IF(AN284=0,0,IF(LEN(Y284)=11,_xlfn.XLOOKUP(Y284,'Dispensed Ink Rates'!C:C,'Dispensed Ink Rates'!CS:CS),VLOOKUP(Y284,'Jan-2026 rates'!$E:$F,2,0)))</f>
        <v>0</v>
      </c>
      <c r="AP284" s="409" t="s">
        <v>1443</v>
      </c>
      <c r="AQ284" s="409">
        <v>28</v>
      </c>
      <c r="AR284" s="410">
        <f t="shared" si="212"/>
        <v>0</v>
      </c>
      <c r="AS284" s="411">
        <f t="shared" si="213"/>
        <v>4.8333333333333357</v>
      </c>
      <c r="AT284" s="410">
        <f t="shared" si="214"/>
        <v>0</v>
      </c>
      <c r="AU284" s="405" t="s">
        <v>857</v>
      </c>
      <c r="AV284" s="409" t="s">
        <v>4316</v>
      </c>
      <c r="AW284" s="420" t="str">
        <f t="shared" si="183"/>
        <v>FLINTSL - RED</v>
      </c>
      <c r="AX284" s="409">
        <v>32</v>
      </c>
      <c r="AY284" s="411">
        <f>IF(AX284=0,0,IF($LB284=70%,VLOOKUP($AW284,'Jan-2026 rates'!$L:$R,4,0),IF($LB284=65%,VLOOKUP($AW284,'Jan-2026 rates'!$L:$R,4,0),IF($LB284=40%,VLOOKUP($AW284,'Jan-2026 rates'!$L:$R,5,0),IF($LB284=30%,VLOOKUP($AW284,'Jan-2026 rates'!$L:$R,6,0),IF($LB284=100%,VLOOKUP($AW284,'Jan-2026 rates'!$L:$R,7,0),IF($LB284=60%,VLOOKUP($AW284,'Jan-2026 rates'!$L:$S,8,0),IF($LB284=80%,VLOOKUP($AW284,'Jan-2026 rates'!L:T,9,0),0))))))))</f>
        <v>0</v>
      </c>
      <c r="AZ284" s="412"/>
      <c r="BA284" s="409"/>
      <c r="BB284" s="411">
        <f>IF(BA284=0,0,IF($LB284=70%,VLOOKUP($AW284,'Jan-2026 rates'!$L:$R,4,0),IF($LB284=65%,VLOOKUP($AW284,'Jan-2026 rates'!$L:$R,4,0),IF($LB284=40%,VLOOKUP($AW284,'Jan-2026 rates'!$L:$R,5,0),IF($LB284=30%,VLOOKUP($AW284,'Jan-2026 rates'!$L:$R,6,0),IF($LB284=100%,VLOOKUP($AW284,'Jan-2026 rates'!$L:$R,7,0),IF($LB284=60%,VLOOKUP($AW284,'Jan-2026 rates'!$L:$S,8,0),IF($LB284=80%,VLOOKUP($AW284,'Jan-2026 rates'!L:T,9,0),0))))))))</f>
        <v>0</v>
      </c>
      <c r="BC284" s="413">
        <v>26524000006</v>
      </c>
      <c r="BD284" s="412">
        <v>26524000007</v>
      </c>
      <c r="BE284" s="412"/>
      <c r="BF284" s="413"/>
      <c r="BG284" s="412"/>
      <c r="BH284" s="412"/>
      <c r="BI284" s="412"/>
      <c r="BJ284" s="412"/>
      <c r="BK284" s="409">
        <v>1</v>
      </c>
      <c r="BL284" s="398" t="e">
        <f>IF(BK284=0,0,IF(LEN(BC284)=11,_xlfn.XLOOKUP(BC284,'Dispensed Ink Rates'!C:C,'Dispensed Ink Rates'!CS:CS),VLOOKUP(BC284,'Jan-2026 rates'!$E:$F,2,0)))</f>
        <v>#N/A</v>
      </c>
      <c r="BM284" s="409">
        <v>1</v>
      </c>
      <c r="BN284" s="398" t="e">
        <f>IF(BM284=0,0,IF(LEN(BD284)=11,_xlfn.XLOOKUP(BD284,'Dispensed Ink Rates'!C:C,'Dispensed Ink Rates'!CS:CS),VLOOKUP(BD284,'Jan-2026 rates'!$E:$F,2,0)))</f>
        <v>#N/A</v>
      </c>
      <c r="BO284" s="409"/>
      <c r="BP284" s="398">
        <f>IF(BO284=0,0,IF(LEN(BE284)=11,_xlfn.XLOOKUP(BE284,'Dispensed Ink Rates'!C:C,'Dispensed Ink Rates'!CS:CS),VLOOKUP(BE284,'Jan-2026 rates'!$E:$F,2,0)))</f>
        <v>0</v>
      </c>
      <c r="BQ284" s="409"/>
      <c r="BR284" s="398">
        <f>IF(BQ284=0,0,IF(LEN(BF284)=11,_xlfn.XLOOKUP(BF284,'Dispensed Ink Rates'!C:C,'Dispensed Ink Rates'!CS:CS),VLOOKUP(BF284,'Jan-2026 rates'!$E:$F,2,0)))</f>
        <v>0</v>
      </c>
      <c r="BS284" s="409"/>
      <c r="BT284" s="398">
        <f>IF(BS284=0,0,IF(LEN(BG284)=11,_xlfn.XLOOKUP(BG284,'Dispensed Ink Rates'!C:C,'Dispensed Ink Rates'!CS:CS),VLOOKUP(BG284,'Jan-2026 rates'!$E:$F,2,0)))</f>
        <v>0</v>
      </c>
      <c r="BU284" s="409"/>
      <c r="BV284" s="398">
        <f>IF(BU284=0,0,IF(LEN(BH284)=11,_xlfn.XLOOKUP(BH284,'Dispensed Ink Rates'!C:C,'Dispensed Ink Rates'!CS:CS),VLOOKUP(BH284,'Jan-2026 rates'!$E:$F,2,0)))</f>
        <v>0</v>
      </c>
      <c r="BW284" s="409"/>
      <c r="BX284" s="398">
        <f>IF(BW284=0,0,IF(LEN(BI284)=11,_xlfn.XLOOKUP(BI284,'Dispensed Ink Rates'!C:C,'Dispensed Ink Rates'!CS:CS),VLOOKUP(BI284,'Jan-2026 rates'!$E:$F,2,0)))</f>
        <v>0</v>
      </c>
      <c r="BY284" s="409"/>
      <c r="BZ284" s="398">
        <f>IF(BY284=0,0,IF(LEN(BJ284)=11,_xlfn.XLOOKUP(BJ284,'Dispensed Ink Rates'!C:C,'Dispensed Ink Rates'!CS:CS),VLOOKUP(BJ284,'Jan-2026 rates'!$E:$F,2,0)))</f>
        <v>0</v>
      </c>
      <c r="CA284" s="409" t="s">
        <v>1443</v>
      </c>
      <c r="CB284" s="409">
        <v>30</v>
      </c>
      <c r="CC284" s="411">
        <f t="shared" si="215"/>
        <v>0</v>
      </c>
      <c r="CD284" s="411">
        <f t="shared" si="216"/>
        <v>7.6666666666666643</v>
      </c>
      <c r="CE284" s="410">
        <f t="shared" si="217"/>
        <v>0</v>
      </c>
      <c r="CF284" s="404" t="s">
        <v>547</v>
      </c>
      <c r="CG284" s="409" t="s">
        <v>4317</v>
      </c>
      <c r="CH284" s="420" t="str">
        <f t="shared" si="185"/>
        <v>FLINTSL - GREEN</v>
      </c>
      <c r="CI284" s="409">
        <v>20</v>
      </c>
      <c r="CJ284" s="411">
        <f>IF(CI284=0,0,IF($LB284=70%,VLOOKUP($CH284,'Jan-2026 rates'!$L:$R,4,0),IF($LB284=65%,VLOOKUP($CH284,'Jan-2026 rates'!$L:$R,4,0),IF($LB284=40%,VLOOKUP($CH284,'Jan-2026 rates'!$L:$R,5,0),IF($LB284=30%,VLOOKUP($CH284,'Jan-2026 rates'!$L:$R,6,0),IF($LB284=100%,VLOOKUP($CH284,'Jan-2026 rates'!$L:$R,7,0),IF($LB284=60%,VLOOKUP($CH284,'Jan-2026 rates'!$L:$S,8,0),IF($LB284=80%,VLOOKUP($CH284,'Jan-2026 rates'!L:T,9,0),0))))))))</f>
        <v>0</v>
      </c>
      <c r="CK284" s="412"/>
      <c r="CL284" s="409"/>
      <c r="CM284" s="411">
        <f>IF(CL284=0,0,IF($LB284=70%,VLOOKUP($CH284,'Jan-2026 rates'!$L:$R,4,0),IF($LB284=65%,VLOOKUP($CH284,'Jan-2026 rates'!$L:$R,4,0),IF($LB284=40%,VLOOKUP($CH284,'Jan-2026 rates'!$L:$R,5,0),IF($LB284=30%,VLOOKUP($CH284,'Jan-2026 rates'!$L:$R,6,0),IF($LB284=100%,VLOOKUP($CH284,'Jan-2026 rates'!$L:$R,7,0),IF($LB284=60%,VLOOKUP($CH284,'Jan-2026 rates'!$L:$S,8,0),IF($LB284=80%,VLOOKUP($CH284,'Jan-2026 rates'!L:T,9,0),0))))))))</f>
        <v>0</v>
      </c>
      <c r="CN284" s="426">
        <v>26523000003</v>
      </c>
      <c r="CO284" s="427">
        <v>26522000002</v>
      </c>
      <c r="CP284" s="426"/>
      <c r="CQ284" s="426"/>
      <c r="CR284" s="428"/>
      <c r="CS284" s="428"/>
      <c r="CT284" s="428"/>
      <c r="CU284" s="428"/>
      <c r="CV284" s="409">
        <v>5</v>
      </c>
      <c r="CW284" s="398" t="e">
        <f>IF(CV284=0,0,IF(LEN(CN284)=11,_xlfn.XLOOKUP(CN284,'Dispensed Ink Rates'!C:C,'Dispensed Ink Rates'!CS:CS),VLOOKUP(CN284,'Jan-2026 rates'!$E:$F,2,0)))</f>
        <v>#N/A</v>
      </c>
      <c r="CX284" s="409">
        <v>3</v>
      </c>
      <c r="CY284" s="398" t="e">
        <f>IF(CX284=0,0,IF(LEN(CO284)=11,_xlfn.XLOOKUP(CO284,'Dispensed Ink Rates'!C:C,'Dispensed Ink Rates'!CS:CS),VLOOKUP(CO284,'Jan-2026 rates'!$E:$F,2,0)))</f>
        <v>#N/A</v>
      </c>
      <c r="CZ284" s="409"/>
      <c r="DA284" s="398">
        <f>IF(CZ284=0,0,IF(LEN(CP284)=11,_xlfn.XLOOKUP(CP284,'Dispensed Ink Rates'!C:C,'Dispensed Ink Rates'!CS:CS),VLOOKUP(CP284,'Jan-2026 rates'!$E:$F,2,0)))</f>
        <v>0</v>
      </c>
      <c r="DB284" s="409"/>
      <c r="DC284" s="398">
        <f>IF(DB284=0,0,IF(LEN(CQ284)=11,_xlfn.XLOOKUP(CQ284,'Dispensed Ink Rates'!C:C,'Dispensed Ink Rates'!CS:CS),VLOOKUP(CQ284,'Jan-2026 rates'!$E:$F,2,0)))</f>
        <v>0</v>
      </c>
      <c r="DD284" s="409"/>
      <c r="DE284" s="398">
        <f>IF(DD284=0,0,IF(LEN(CR284)=11,_xlfn.XLOOKUP(CR284,'Dispensed Ink Rates'!C:C,'Dispensed Ink Rates'!CS:CS),VLOOKUP(CR284,'Jan-2026 rates'!$E:$F,2,0)))</f>
        <v>0</v>
      </c>
      <c r="DF284" s="409"/>
      <c r="DG284" s="398">
        <f>IF(DF284=0,0,IF(LEN(CS284)=11,_xlfn.XLOOKUP(CS284,'Dispensed Ink Rates'!C:C,'Dispensed Ink Rates'!CS:CS),VLOOKUP(CS284,'Jan-2026 rates'!$E:$F,2,0)))</f>
        <v>0</v>
      </c>
      <c r="DH284" s="409"/>
      <c r="DI284" s="398">
        <f>IF(DH284=0,0,IF(LEN(CT284)=11,_xlfn.XLOOKUP(CT284,'Dispensed Ink Rates'!C:C,'Dispensed Ink Rates'!CS:CS),VLOOKUP(CT284,'Jan-2026 rates'!$E:$F,2,0)))</f>
        <v>0</v>
      </c>
      <c r="DJ284" s="409"/>
      <c r="DK284" s="398">
        <f>IF(DJ284=0,0,IF(LEN(CU284)=11,_xlfn.XLOOKUP(CU284,'Dispensed Ink Rates'!C:C,'Dispensed Ink Rates'!CS:CS),VLOOKUP(CU284,'Jan-2026 rates'!$E:$F,2,0)))</f>
        <v>0</v>
      </c>
      <c r="DL284" s="409" t="s">
        <v>1443</v>
      </c>
      <c r="DM284" s="409">
        <v>30</v>
      </c>
      <c r="DN284" s="411">
        <f t="shared" si="218"/>
        <v>0</v>
      </c>
      <c r="DO284" s="411">
        <f t="shared" si="219"/>
        <v>5.3333333333333357</v>
      </c>
      <c r="DP284" s="410">
        <f t="shared" si="220"/>
        <v>0</v>
      </c>
      <c r="DQ284" s="405" t="s">
        <v>546</v>
      </c>
      <c r="DR284" s="409" t="s">
        <v>4307</v>
      </c>
      <c r="DS284" s="420" t="str">
        <f t="shared" si="186"/>
        <v>FLINTSL - REFLEX BLUE</v>
      </c>
      <c r="DT284" s="409">
        <v>24</v>
      </c>
      <c r="DU284" s="411">
        <f>IF(DT284=0,0,IF($LB284=70%,VLOOKUP($DS284,'Jan-2026 rates'!$L:$R,4,0),IF($LB284=65%,VLOOKUP($DS284,'Jan-2026 rates'!$L:$R,4,0),IF($LB284=40%,VLOOKUP($DS284,'Jan-2026 rates'!$L:$R,5,0),IF($LB284=30%,VLOOKUP($DS284,'Jan-2026 rates'!$L:$R,6,0),IF($LB284=100%,VLOOKUP($DS284,'Jan-2026 rates'!$L:$R,7,0),IF($LB284=60%,VLOOKUP($DS284,'Jan-2026 rates'!$L:$S,8,0),IF($LB284=80%,VLOOKUP($DS284,'Jan-2026 rates'!L:T,9,0),0))))))))</f>
        <v>0</v>
      </c>
      <c r="DV284" s="412"/>
      <c r="DW284" s="409"/>
      <c r="DX284" s="411">
        <f>IF(DW284=0,0,IF($LB284=70%,VLOOKUP($DS284,'Jan-2026 rates'!$L:$R,4,0),IF($LB284=65%,VLOOKUP($DS284,'Jan-2026 rates'!$L:$R,4,0),IF($LB284=40%,VLOOKUP($DS284,'Jan-2026 rates'!$L:$R,5,0),IF($LB284=30%,VLOOKUP($DS284,'Jan-2026 rates'!$L:$R,6,0),IF($LB284=100%,VLOOKUP($DS284,'Jan-2026 rates'!$L:$R,7,0),IF($LB284=60%,VLOOKUP($DS284,'Jan-2026 rates'!$L:$S,8,0),IF($LB284=80%,VLOOKUP($DS284,'Jan-2026 rates'!L:T,9,0),0))))))))</f>
        <v>0</v>
      </c>
      <c r="DY284" s="413">
        <v>26523000022</v>
      </c>
      <c r="DZ284" s="413">
        <v>26522000012</v>
      </c>
      <c r="EA284" s="412"/>
      <c r="EB284" s="412"/>
      <c r="EC284" s="412"/>
      <c r="ED284" s="412"/>
      <c r="EE284" s="412"/>
      <c r="EF284" s="412"/>
      <c r="EG284" s="409">
        <v>35</v>
      </c>
      <c r="EH284" s="398" t="e">
        <f>IF(EG284=0,0,IF(LEN(DY284)=11,_xlfn.XLOOKUP(DY284,'Dispensed Ink Rates'!C:C,'Dispensed Ink Rates'!CS:CS),VLOOKUP(DY284,'Jan-2026 rates'!$E:$F,2,0)))</f>
        <v>#N/A</v>
      </c>
      <c r="EI284" s="409">
        <v>4</v>
      </c>
      <c r="EJ284" s="398" t="e">
        <f>IF(EI284=0,0,IF(LEN(DZ284)=11,_xlfn.XLOOKUP(DZ284,'Dispensed Ink Rates'!C:C,'Dispensed Ink Rates'!CS:CS),VLOOKUP(DZ284,'Jan-2026 rates'!$E:$F,2,0)))</f>
        <v>#N/A</v>
      </c>
      <c r="EK284" s="409"/>
      <c r="EL284" s="398">
        <f>IF(EK284=0,0,IF(LEN(EA284)=11,_xlfn.XLOOKUP(EA284,'Dispensed Ink Rates'!C:C,'Dispensed Ink Rates'!CS:CS),VLOOKUP(EA284,'Jan-2026 rates'!$E:$F,2,0)))</f>
        <v>0</v>
      </c>
      <c r="EM284" s="409"/>
      <c r="EN284" s="398">
        <f>IF(EM284=0,0,IF(LEN(EB284)=11,_xlfn.XLOOKUP(EB284,'Dispensed Ink Rates'!C:C,'Dispensed Ink Rates'!CS:CS),VLOOKUP(EB284,'Jan-2026 rates'!$E:$F,2,0)))</f>
        <v>0</v>
      </c>
      <c r="EO284" s="409"/>
      <c r="EP284" s="398">
        <f>IF(EO284=0,0,IF(LEN(EC284)=11,_xlfn.XLOOKUP(EC284,'Dispensed Ink Rates'!C:C,'Dispensed Ink Rates'!CS:CS),VLOOKUP(EC284,'Jan-2026 rates'!$E:$F,2,0)))</f>
        <v>0</v>
      </c>
      <c r="EQ284" s="409"/>
      <c r="ER284" s="398">
        <f>IF(EQ284=0,0,IF(LEN(ED284)=11,_xlfn.XLOOKUP(ED284,'Dispensed Ink Rates'!C:C,'Dispensed Ink Rates'!CS:CS),VLOOKUP(ED284,'Jan-2026 rates'!$E:$F,2,0)))</f>
        <v>0</v>
      </c>
      <c r="ES284" s="409"/>
      <c r="ET284" s="398">
        <f>IF(ES284=0,0,IF(LEN(EE284)=11,_xlfn.XLOOKUP(EE284,'Dispensed Ink Rates'!C:C,'Dispensed Ink Rates'!CS:CS),VLOOKUP(EE284,'Jan-2026 rates'!$E:$F,2,0)))</f>
        <v>0</v>
      </c>
      <c r="EU284" s="409"/>
      <c r="EV284" s="398">
        <f>IF(EU284=0,0,IF(LEN(EF284)=11,_xlfn.XLOOKUP(EF284,'Dispensed Ink Rates'!C:C,'Dispensed Ink Rates'!CS:CS),VLOOKUP(EF284,'Jan-2026 rates'!$E:$F,2,0)))</f>
        <v>0</v>
      </c>
      <c r="EW284" s="409" t="s">
        <v>1443</v>
      </c>
      <c r="EX284" s="409">
        <v>30</v>
      </c>
      <c r="EY284" s="411">
        <f t="shared" si="221"/>
        <v>0</v>
      </c>
      <c r="EZ284" s="411">
        <f t="shared" si="222"/>
        <v>60.5</v>
      </c>
      <c r="FA284" s="410">
        <f t="shared" si="223"/>
        <v>0</v>
      </c>
      <c r="FB284" s="405" t="s">
        <v>544</v>
      </c>
      <c r="FC284" s="409" t="s">
        <v>4318</v>
      </c>
      <c r="FD284" s="420" t="str">
        <f t="shared" si="187"/>
        <v>FLINTSL - MAGENTA</v>
      </c>
      <c r="FE284" s="409">
        <v>30</v>
      </c>
      <c r="FF284" s="411">
        <f>IF(FE284=0,0,IF($LB284=70%,VLOOKUP($FD284,'Jan-2026 rates'!$L:$R,4,0),IF($LB284=65%,VLOOKUP($FD284,'Jan-2026 rates'!$L:$R,4,0),IF($LB284=40%,VLOOKUP($FD284,'Jan-2026 rates'!$L:$R,5,0),IF($LB284=30%,VLOOKUP($FD284,'Jan-2026 rates'!$L:$R,6,0),IF($LB284=100%,VLOOKUP($FD284,'Jan-2026 rates'!$L:$R,7,0),IF($LB284=60%,VLOOKUP($FD284,'Jan-2026 rates'!$L:$S,8,0),IF($LB284=80%,VLOOKUP($FD284,'Jan-2026 rates'!L:T,9,0),0))))))))</f>
        <v>0</v>
      </c>
      <c r="FG284" s="412"/>
      <c r="FH284" s="409"/>
      <c r="FI284" s="411">
        <f>IF(FH284=0,0,IF($LB284=70%,VLOOKUP($FD284,'Jan-2026 rates'!$L:$R,4,0),IF($LB284=65%,VLOOKUP($FD284,'Jan-2026 rates'!$L:$R,4,0),IF($LB284=40%,VLOOKUP($FD284,'Jan-2026 rates'!$L:$R,5,0),IF($LB284=30%,VLOOKUP($FD284,'Jan-2026 rates'!$L:$R,6,0),IF($LB284=100%,VLOOKUP($FD284,'Jan-2026 rates'!$L:$R,7,0),IF($LB284=60%,VLOOKUP($FD284,'Jan-2026 rates'!$L:$S,8,0),IF($LB284=80%,VLOOKUP($FD284,'Jan-2026 rates'!L:T,9,0),0))))))))</f>
        <v>0</v>
      </c>
      <c r="FJ284" s="413"/>
      <c r="FK284" s="413"/>
      <c r="FL284" s="413"/>
      <c r="FM284" s="412"/>
      <c r="FN284" s="412"/>
      <c r="FO284" s="412"/>
      <c r="FP284" s="412"/>
      <c r="FQ284" s="412"/>
      <c r="FR284" s="409"/>
      <c r="FS284" s="398">
        <f>IF(FR284=0,0,IF(LEN(FJ284)=11,_xlfn.XLOOKUP(FJ284,'Dispensed Ink Rates'!C:C,'Dispensed Ink Rates'!CS:CS),VLOOKUP(FJ284,'Jan-2026 rates'!$E:$F,2,0)))</f>
        <v>0</v>
      </c>
      <c r="FT284" s="409"/>
      <c r="FU284" s="398">
        <f>IF(FT284=0,0,IF(LEN(FK284)=11,_xlfn.XLOOKUP(FK284,'Dispensed Ink Rates'!C:C,'Dispensed Ink Rates'!CS:CS),VLOOKUP(FK284,'Jan-2026 rates'!$E:$F,2,0)))</f>
        <v>0</v>
      </c>
      <c r="FV284" s="409"/>
      <c r="FW284" s="398">
        <f>IF(FV284=0,0,IF(LEN(FL284)=11,_xlfn.XLOOKUP(FL284,'Dispensed Ink Rates'!C:C,'Dispensed Ink Rates'!CS:CS),VLOOKUP(FL284,'Jan-2026 rates'!$E:$F,2,0)))</f>
        <v>0</v>
      </c>
      <c r="FX284" s="409"/>
      <c r="FY284" s="398">
        <f>IF(FX284=0,0,IF(LEN(FM284)=11,_xlfn.XLOOKUP(FM284,'Dispensed Ink Rates'!C:C,'Dispensed Ink Rates'!CS:CS),VLOOKUP(FM284,'Jan-2026 rates'!$E:$F,2,0)))</f>
        <v>0</v>
      </c>
      <c r="FZ284" s="409"/>
      <c r="GA284" s="398">
        <f>IF(FZ284=0,0,IF(LEN(FN284)=11,_xlfn.XLOOKUP(FN284,'Dispensed Ink Rates'!C:C,'Dispensed Ink Rates'!CS:CS),VLOOKUP(FN284,'Jan-2026 rates'!$E:$F,2,0)))</f>
        <v>0</v>
      </c>
      <c r="GB284" s="409"/>
      <c r="GC284" s="398">
        <f>IF(GB284=0,0,IF(LEN(FO284)=11,_xlfn.XLOOKUP(FO284,'Dispensed Ink Rates'!C:C,'Dispensed Ink Rates'!CS:CS),VLOOKUP(FO284,'Jan-2026 rates'!$E:$F,2,0)))</f>
        <v>0</v>
      </c>
      <c r="GD284" s="409"/>
      <c r="GE284" s="398">
        <f>IF(GD284=0,0,IF(LEN(FP284)=11,_xlfn.XLOOKUP(FP284,'Dispensed Ink Rates'!C:C,'Dispensed Ink Rates'!CS:CS),VLOOKUP(FP284,'Jan-2026 rates'!$E:$F,2,0)))</f>
        <v>0</v>
      </c>
      <c r="GF284" s="409"/>
      <c r="GG284" s="398">
        <f>IF(GF284=0,0,IF(LEN(FQ284)=11,_xlfn.XLOOKUP(FQ284,'Dispensed Ink Rates'!C:C,'Dispensed Ink Rates'!CS:CS),VLOOKUP(FQ284,'Jan-2026 rates'!$E:$F,2,0)))</f>
        <v>0</v>
      </c>
      <c r="GH284" s="409" t="s">
        <v>1443</v>
      </c>
      <c r="GI284" s="409">
        <v>28</v>
      </c>
      <c r="GJ284" s="411">
        <f t="shared" si="224"/>
        <v>0</v>
      </c>
      <c r="GK284" s="411">
        <f t="shared" si="225"/>
        <v>5.6666666666666643</v>
      </c>
      <c r="GL284" s="410">
        <f t="shared" si="226"/>
        <v>0</v>
      </c>
      <c r="GM284" s="405" t="s">
        <v>545</v>
      </c>
      <c r="GN284" s="409" t="s">
        <v>4319</v>
      </c>
      <c r="GO284" s="420" t="str">
        <f t="shared" si="188"/>
        <v>FLINTSL - YELLOW</v>
      </c>
      <c r="GP284" s="409">
        <v>26</v>
      </c>
      <c r="GQ284" s="411">
        <f>IF(GP284=0,0,IF($LB284=70%,VLOOKUP($GO284,'Jan-2026 rates'!$L:$R,4,0),IF($LB284=65%,VLOOKUP($GO284,'Jan-2026 rates'!$L:$R,4,0),IF($LB284=40%,VLOOKUP($GO284,'Jan-2026 rates'!$L:$R,5,0),IF($LB284=30%,VLOOKUP($GO284,'Jan-2026 rates'!$L:$R,6,0),IF($LB284=100%,VLOOKUP($GO284,'Jan-2026 rates'!$L:$R,7,0),IF($LB284=60%,VLOOKUP($GO284,'Jan-2026 rates'!$L:$S,8,0),IF($LB284=80%,VLOOKUP($GO284,'Jan-2026 rates'!L:T,9,0),0))))))))</f>
        <v>0</v>
      </c>
      <c r="GR284" s="412"/>
      <c r="GS284" s="409"/>
      <c r="GT284" s="411">
        <f>IF(GS284=0,0,IF($LB284=70%,VLOOKUP($GO284,'Jan-2026 rates'!$L:$R,4,0),IF($LB284=65%,VLOOKUP($GO284,'Jan-2026 rates'!$L:$R,4,0),IF($LB284=40%,VLOOKUP($GO284,'Jan-2026 rates'!$L:$R,5,0),IF($LB284=30%,VLOOKUP($GO284,'Jan-2026 rates'!$L:$R,6,0),IF($LB284=100%,VLOOKUP($GO284,'Jan-2026 rates'!$L:$R,7,0),IF($LB284=60%,VLOOKUP($GO284,'Jan-2026 rates'!$L:$S,8,0),IF($LB284=80%,VLOOKUP($GO284,'Jan-2026 rates'!L:T,9,0),0))))))))</f>
        <v>0</v>
      </c>
      <c r="GU284" s="413">
        <v>26524000005</v>
      </c>
      <c r="GV284" s="413" t="s">
        <v>1266</v>
      </c>
      <c r="GW284" s="412"/>
      <c r="GX284" s="412"/>
      <c r="GY284" s="412"/>
      <c r="GZ284" s="412"/>
      <c r="HA284" s="412"/>
      <c r="HB284" s="412"/>
      <c r="HC284" s="409">
        <v>20</v>
      </c>
      <c r="HD284" s="398" t="e">
        <f>IF(HC284=0,0,IF(LEN(GU284)=11,_xlfn.XLOOKUP(GU284,'Dispensed Ink Rates'!C:C,'Dispensed Ink Rates'!CS:CS),VLOOKUP(GU284,'Jan-2026 rates'!$E:$F,2,0)))</f>
        <v>#N/A</v>
      </c>
      <c r="HE284" s="409">
        <v>5</v>
      </c>
      <c r="HF284" s="398">
        <f>IF(HE284=0,0,IF(LEN(GV284)=11,_xlfn.XLOOKUP(GV284,'Dispensed Ink Rates'!C:C,'Dispensed Ink Rates'!CS:CS),VLOOKUP(GV284,'Jan-2026 rates'!$E:$F,2,0)))</f>
        <v>0</v>
      </c>
      <c r="HG284" s="409"/>
      <c r="HH284" s="398">
        <f>IF(HG284=0,0,IF(LEN(GW284)=11,_xlfn.XLOOKUP(GW284,'Dispensed Ink Rates'!C:C,'Dispensed Ink Rates'!CS:CS),VLOOKUP(GW284,'Jan-2026 rates'!$E:$F,2,0)))</f>
        <v>0</v>
      </c>
      <c r="HI284" s="409"/>
      <c r="HJ284" s="398">
        <f>IF(HI284=0,0,IF(LEN(GX284)=11,_xlfn.XLOOKUP(GX284,'Dispensed Ink Rates'!C:C,'Dispensed Ink Rates'!CS:CS),VLOOKUP(GX284,'Jan-2026 rates'!$E:$F,2,0)))</f>
        <v>0</v>
      </c>
      <c r="HK284" s="409"/>
      <c r="HL284" s="398">
        <f>IF(HK284=0,0,IF(LEN(GY284)=11,_xlfn.XLOOKUP(GY284,'Dispensed Ink Rates'!C:C,'Dispensed Ink Rates'!CS:CS),VLOOKUP(GY284,'Jan-2026 rates'!$E:$F,2,0)))</f>
        <v>0</v>
      </c>
      <c r="HM284" s="409"/>
      <c r="HN284" s="398">
        <f>IF(HM284=0,0,IF(LEN(GZ284)=11,_xlfn.XLOOKUP(GZ284,'Dispensed Ink Rates'!C:C,'Dispensed Ink Rates'!CS:CS),VLOOKUP(GZ284,'Jan-2026 rates'!$E:$F,2,0)))</f>
        <v>0</v>
      </c>
      <c r="HO284" s="409"/>
      <c r="HP284" s="398">
        <f>IF(HO284=0,0,IF(LEN(HA284)=11,_xlfn.XLOOKUP(HA284,'Dispensed Ink Rates'!C:C,'Dispensed Ink Rates'!CS:CS),VLOOKUP(HA284,'Jan-2026 rates'!$E:$F,2,0)))</f>
        <v>0</v>
      </c>
      <c r="HQ284" s="409"/>
      <c r="HR284" s="398">
        <f>IF(HQ284=0,0,IF(LEN(HB284)=11,_xlfn.XLOOKUP(HB284,'Dispensed Ink Rates'!C:C,'Dispensed Ink Rates'!CS:CS),VLOOKUP(HB284,'Jan-2026 rates'!$E:$F,2,0)))</f>
        <v>0</v>
      </c>
      <c r="HS284" s="409" t="s">
        <v>1443</v>
      </c>
      <c r="HT284" s="409">
        <v>30</v>
      </c>
      <c r="HU284" s="411">
        <f t="shared" si="227"/>
        <v>0</v>
      </c>
      <c r="HV284" s="411">
        <f t="shared" si="228"/>
        <v>48.5</v>
      </c>
      <c r="HW284" s="414">
        <f t="shared" si="229"/>
        <v>0</v>
      </c>
      <c r="HX284" s="405" t="s">
        <v>856</v>
      </c>
      <c r="HY284" s="409" t="s">
        <v>4320</v>
      </c>
      <c r="HZ284" s="420" t="str">
        <f t="shared" si="189"/>
        <v>FLINTSL - WHITE</v>
      </c>
      <c r="IA284" s="409">
        <v>30</v>
      </c>
      <c r="IB284" s="411">
        <f>IF(IA284=0,0,IF($LB284=70%,VLOOKUP($HZ284,'Jan-2026 rates'!$L:$R,4,0),IF($LB284=65%,VLOOKUP($HZ284,'Jan-2026 rates'!$L:$R,4,0),IF($LB284=40%,VLOOKUP($HZ284,'Jan-2026 rates'!$L:$R,5,0),IF($LB284=30%,VLOOKUP($HZ284,'Jan-2026 rates'!$L:$R,6,0),IF($LB284=100%,VLOOKUP($HZ284,'Jan-2026 rates'!$L:$R,7,0),IF($LB284=60%,VLOOKUP($HZ284,'Jan-2026 rates'!$L:$S,8,0),IF($LB284=80%,VLOOKUP($HZ284,'Jan-2026 rates'!L:T,9,0),0))))))))</f>
        <v>0</v>
      </c>
      <c r="IC284" s="412"/>
      <c r="ID284" s="409"/>
      <c r="IE284" s="411">
        <f>IF(ID284=0,0,IF($LB284=70%,VLOOKUP($HZ284,'Jan-2026 rates'!$L:$R,4,0),IF($LB284=65%,VLOOKUP($HZ284,'Jan-2026 rates'!$L:$R,4,0),IF($LB284=40%,VLOOKUP($HZ284,'Jan-2026 rates'!$L:$R,5,0),IF($LB284=30%,VLOOKUP($HZ284,'Jan-2026 rates'!$L:$R,6,0),IF($LB284=100%,VLOOKUP($HZ284,'Jan-2026 rates'!$L:$R,7,0),IF($LB284=60%,VLOOKUP($HZ284,'Jan-2026 rates'!$L:$S,8,0),IF($LB284=80%,VLOOKUP($HZ284,'Jan-2026 rates'!L:T,9,0),0))))))))</f>
        <v>0</v>
      </c>
      <c r="IF284" s="412" t="s">
        <v>484</v>
      </c>
      <c r="IG284" s="413"/>
      <c r="IH284" s="412"/>
      <c r="II284" s="412"/>
      <c r="IJ284" s="412"/>
      <c r="IK284" s="412"/>
      <c r="IL284" s="412"/>
      <c r="IM284" s="412"/>
      <c r="IN284" s="409">
        <v>30</v>
      </c>
      <c r="IO284" s="398">
        <f>IF(IN284=0,0,IF(LEN(IF284)=11,_xlfn.XLOOKUP(IF284,'Dispensed Ink Rates'!C:C,'Dispensed Ink Rates'!CS:CS),VLOOKUP(IF284,'Jan-2026 rates'!$E:$F,2,0)))</f>
        <v>0</v>
      </c>
      <c r="IP284" s="409"/>
      <c r="IQ284" s="398">
        <f>IF(IP284=0,0,IF(LEN(IG284)=11,_xlfn.XLOOKUP(IG284,'Dispensed Ink Rates'!C:C,'Dispensed Ink Rates'!CS:CS),VLOOKUP(IG284,'Jan-2026 rates'!$E:$F,2,0)))</f>
        <v>0</v>
      </c>
      <c r="IR284" s="409"/>
      <c r="IS284" s="398">
        <f>IF(IR284=0,0,IF(LEN(IH284)=11,_xlfn.XLOOKUP(IH284,'Dispensed Ink Rates'!C:C,'Dispensed Ink Rates'!CS:CS),VLOOKUP(IH284,'Jan-2026 rates'!$E:$F,2,0)))</f>
        <v>0</v>
      </c>
      <c r="IT284" s="409"/>
      <c r="IU284" s="398">
        <f>IF(IT284=0,0,IF(LEN(II284)=11,_xlfn.XLOOKUP(II284,'Dispensed Ink Rates'!C:C,'Dispensed Ink Rates'!CS:CS),VLOOKUP(II284,'Jan-2026 rates'!$E:$F,2,0)))</f>
        <v>0</v>
      </c>
      <c r="IV284" s="409"/>
      <c r="IW284" s="398">
        <f>IF(IV284=0,0,IF(LEN(IJ284)=11,_xlfn.XLOOKUP(IJ284,'Dispensed Ink Rates'!C:C,'Dispensed Ink Rates'!CS:CS),VLOOKUP(IJ284,'Jan-2026 rates'!$E:$F,2,0)))</f>
        <v>0</v>
      </c>
      <c r="IX284" s="409"/>
      <c r="IY284" s="398">
        <f>IF(IX284=0,0,IF(LEN(IK284)=11,_xlfn.XLOOKUP(IK284,'Dispensed Ink Rates'!C:C,'Dispensed Ink Rates'!CS:CS),VLOOKUP(IK284,'Jan-2026 rates'!$E:$F,2,0)))</f>
        <v>0</v>
      </c>
      <c r="IZ284" s="409"/>
      <c r="JA284" s="398">
        <f>IF(IZ284=0,0,IF(LEN(IL284)=11,_xlfn.XLOOKUP(IL284,'Dispensed Ink Rates'!C:C,'Dispensed Ink Rates'!CS:CS),VLOOKUP(IL284,'Jan-2026 rates'!$E:$F,2,0)))</f>
        <v>0</v>
      </c>
      <c r="JB284" s="409"/>
      <c r="JC284" s="398">
        <f>IF(JB284=0,0,IF(LEN(IM284)=11,_xlfn.XLOOKUP(IM284,'Dispensed Ink Rates'!C:C,'Dispensed Ink Rates'!CS:CS),VLOOKUP(IM284,'Jan-2026 rates'!$E:$F,2,0)))</f>
        <v>0</v>
      </c>
      <c r="JD284" s="409" t="s">
        <v>1443</v>
      </c>
      <c r="JE284" s="409">
        <v>30</v>
      </c>
      <c r="JF284" s="411">
        <f t="shared" si="230"/>
        <v>0</v>
      </c>
      <c r="JG284" s="411">
        <f t="shared" si="231"/>
        <v>57.5</v>
      </c>
      <c r="JH284" s="410">
        <f t="shared" si="232"/>
        <v>0</v>
      </c>
      <c r="JI284" s="405"/>
      <c r="JJ284" s="409"/>
      <c r="JK284" s="420" t="str">
        <f t="shared" si="190"/>
        <v xml:space="preserve"> - </v>
      </c>
      <c r="JL284" s="409"/>
      <c r="JM284" s="411">
        <f>IF(JL284=0,0,IF($LB284=70%,VLOOKUP($JK284,'Jan-2026 rates'!$L:$R,4,0),IF($LB284=65%,VLOOKUP($JK284,'Jan-2026 rates'!$L:$R,4,0),IF($LB284=40%,VLOOKUP($JK284,'Jan-2026 rates'!$L:$R,5,0),IF($LB284=30%,VLOOKUP($JK284,'Jan-2026 rates'!$L:$R,6,0),IF($LB284=100%,VLOOKUP($JK284,'Jan-2026 rates'!$L:$R,7,0),IF($LB284=60%,VLOOKUP($JK284,'Jan-2026 rates'!$L:$S,8,0),IF($LB284=80%,VLOOKUP($JK284,'Jan-2026 rates'!L:T,9,0),0))))))))</f>
        <v>0</v>
      </c>
      <c r="JN284" s="412"/>
      <c r="JO284" s="409"/>
      <c r="JP284" s="411">
        <f>IF(JO284=0,0,IF($LB284=70%,VLOOKUP($JK284,'Jan-2026 rates'!$L:$R,4,0),IF($LB284=65%,VLOOKUP($JK284,'Jan-2026 rates'!$L:$R,4,0),IF($LB284=40%,VLOOKUP($JK284,'Jan-2026 rates'!$L:$R,5,0),IF($LB284=30%,VLOOKUP($JK284,'Jan-2026 rates'!$L:$R,6,0),IF($LB284=100%,VLOOKUP($JK284,'Jan-2026 rates'!$L:$R,7,0),IF($LB284=60%,VLOOKUP($JK284,'Jan-2026 rates'!$L:$S,8,0),IF($LB284=80%,VLOOKUP($JK284,'Jan-2026 rates'!L:T,9,0),0))))))))</f>
        <v>0</v>
      </c>
      <c r="JQ284" s="413"/>
      <c r="JR284" s="412"/>
      <c r="JS284" s="413"/>
      <c r="JT284" s="413"/>
      <c r="JU284" s="412"/>
      <c r="JV284" s="412"/>
      <c r="JW284" s="412"/>
      <c r="JX284" s="412"/>
      <c r="JY284" s="409"/>
      <c r="JZ284" s="398">
        <f>IF(JY284=0,0,IF(LEN(JQ284)=11,_xlfn.XLOOKUP(JQ284,'Dispensed Ink Rates'!C:C,'Dispensed Ink Rates'!CS:CS),VLOOKUP(JQ284,'Jan-2026 rates'!$E:$F,2,0)))</f>
        <v>0</v>
      </c>
      <c r="KA284" s="409"/>
      <c r="KB284" s="398">
        <f>IF(KA284=0,0,IF(LEN(JR284)=11,_xlfn.XLOOKUP(JR284,'Dispensed Ink Rates'!C:C,'Dispensed Ink Rates'!CS:CS),VLOOKUP(JR284,'Jan-2026 rates'!$E:$F,2,0)))</f>
        <v>0</v>
      </c>
      <c r="KC284" s="409"/>
      <c r="KD284" s="398">
        <f>IF(KC284=0,0,IF(LEN(JS284)=11,_xlfn.XLOOKUP(JS284,'Dispensed Ink Rates'!C:C,'Dispensed Ink Rates'!CS:CS),VLOOKUP(JS284,'Jan-2026 rates'!$E:$F,2,0)))</f>
        <v>0</v>
      </c>
      <c r="KE284" s="409"/>
      <c r="KF284" s="398">
        <f>IF(KE284=0,0,IF(LEN(JT284)=11,_xlfn.XLOOKUP(JT284,'Dispensed Ink Rates'!C:C,'Dispensed Ink Rates'!CS:CS),VLOOKUP(JT284,'Jan-2026 rates'!$E:$F,2,0)))</f>
        <v>0</v>
      </c>
      <c r="KG284" s="409"/>
      <c r="KH284" s="398">
        <f>IF(KG284=0,0,IF(LEN(JU284)=11,_xlfn.XLOOKUP(JU284,'Dispensed Ink Rates'!C:C,'Dispensed Ink Rates'!CS:CS),VLOOKUP(JU284,'Jan-2026 rates'!$E:$F,2,0)))</f>
        <v>0</v>
      </c>
      <c r="KI284" s="409"/>
      <c r="KJ284" s="398">
        <f>IF(KI284=0,0,IF(LEN(JV284)=11,_xlfn.XLOOKUP(JV284,'Dispensed Ink Rates'!C:C,'Dispensed Ink Rates'!CS:CS),VLOOKUP(JV284,'Jan-2026 rates'!$E:$F,2,0)))</f>
        <v>0</v>
      </c>
      <c r="KK284" s="409"/>
      <c r="KL284" s="398">
        <f>IF(KK284=0,0,IF(LEN(JW284)=11,_xlfn.XLOOKUP(JW284,'Dispensed Ink Rates'!C:C,'Dispensed Ink Rates'!CS:CS),VLOOKUP(JW284,'Jan-2026 rates'!$E:$F,2,0)))</f>
        <v>0</v>
      </c>
      <c r="KM284" s="428"/>
      <c r="KN284" s="398">
        <f>IF(KM284=0,0,IF(LEN(JX284)=11,_xlfn.XLOOKUP(JX284,'Dispensed Ink Rates'!C:C,'Dispensed Ink Rates'!CS:CS),VLOOKUP(JX284,'Jan-2026 rates'!$E:$F,2,0)))</f>
        <v>0</v>
      </c>
      <c r="KO284" s="409"/>
      <c r="KP284" s="409"/>
      <c r="KQ284" s="411">
        <f t="shared" si="233"/>
        <v>0</v>
      </c>
      <c r="KR284" s="411">
        <f t="shared" si="234"/>
        <v>0</v>
      </c>
      <c r="KS284" s="410">
        <f t="shared" si="235"/>
        <v>0</v>
      </c>
      <c r="KT284" s="409">
        <v>1</v>
      </c>
      <c r="KU284" s="409">
        <v>2</v>
      </c>
      <c r="KV284" s="409">
        <v>4</v>
      </c>
      <c r="KW284" s="409">
        <v>15</v>
      </c>
      <c r="KX284" s="409">
        <v>2</v>
      </c>
      <c r="KY284" s="409">
        <v>15</v>
      </c>
      <c r="KZ284" s="409">
        <v>15</v>
      </c>
      <c r="LA284" s="409">
        <v>0</v>
      </c>
      <c r="LB284" s="415">
        <v>0.8</v>
      </c>
      <c r="LC284" s="415">
        <v>0.2</v>
      </c>
      <c r="LD284" s="415"/>
      <c r="LE284" s="415"/>
      <c r="LF284" s="415"/>
      <c r="LG284" s="409">
        <v>0</v>
      </c>
      <c r="LH284" s="409">
        <f>15+14+56+14</f>
        <v>99</v>
      </c>
      <c r="LI284" s="409">
        <v>0</v>
      </c>
      <c r="LJ284" s="409">
        <v>0</v>
      </c>
      <c r="LK284" s="416">
        <f t="shared" si="191"/>
        <v>99</v>
      </c>
      <c r="LL284" s="416">
        <f t="shared" si="192"/>
        <v>99</v>
      </c>
      <c r="LM284" s="417">
        <f t="shared" si="193"/>
        <v>79.2</v>
      </c>
      <c r="LN284" s="417">
        <f>VLOOKUP($LM$8,'Jan-2026 rates'!$H:$I,2,0)</f>
        <v>0</v>
      </c>
      <c r="LO284" s="417">
        <f t="shared" si="194"/>
        <v>19.8</v>
      </c>
      <c r="LP284" s="417">
        <f>VLOOKUP($LO$8,'Jan-2026 rates'!$H:$I,2,0)</f>
        <v>0</v>
      </c>
      <c r="LQ284" s="417">
        <f t="shared" si="195"/>
        <v>0</v>
      </c>
      <c r="LR284" s="417">
        <f>VLOOKUP($LQ$8,'Jan-2026 rates'!$H:$I,2,0)</f>
        <v>0</v>
      </c>
      <c r="LS284" s="417">
        <f t="shared" si="196"/>
        <v>0</v>
      </c>
      <c r="LT284" s="417">
        <f>VLOOKUP($LS$8,'Jan-2026 rates'!$H:$I,2,0)</f>
        <v>0</v>
      </c>
      <c r="LU284" s="417">
        <f t="shared" si="197"/>
        <v>0</v>
      </c>
      <c r="LV284" s="417">
        <f>VLOOKUP($LU$8,'Jan-2026 rates'!$H:$I,2,0)</f>
        <v>0</v>
      </c>
      <c r="LW284" s="417">
        <f t="shared" si="198"/>
        <v>0</v>
      </c>
      <c r="LX284" s="417">
        <f t="shared" si="199"/>
        <v>0</v>
      </c>
      <c r="LY284" s="418">
        <f t="shared" si="200"/>
        <v>0</v>
      </c>
      <c r="LZ284" s="417"/>
      <c r="MA284" s="435">
        <f t="shared" si="201"/>
        <v>105</v>
      </c>
      <c r="MB284" s="282">
        <f t="shared" si="202"/>
        <v>190</v>
      </c>
      <c r="MC284" s="283">
        <v>177</v>
      </c>
      <c r="MD284" s="284" t="str">
        <f t="shared" si="203"/>
        <v>FLINTSLFLINTSLFLINTSLFLINTSLFLINTSLFLINTSLFLINTSL</v>
      </c>
      <c r="ME284" s="293" t="str">
        <f t="shared" si="204"/>
        <v>+</v>
      </c>
      <c r="MF284" s="293" t="str">
        <f t="shared" si="205"/>
        <v>+</v>
      </c>
      <c r="MG284" s="293" t="str">
        <f t="shared" si="206"/>
        <v>+</v>
      </c>
      <c r="MH284" s="293" t="str">
        <f t="shared" si="207"/>
        <v>+</v>
      </c>
      <c r="MI284" s="293" t="str">
        <f t="shared" si="208"/>
        <v>+</v>
      </c>
      <c r="MJ284" s="293" t="str">
        <f t="shared" si="209"/>
        <v>+</v>
      </c>
      <c r="MK284" s="293" t="str">
        <f t="shared" si="210"/>
        <v>+</v>
      </c>
      <c r="ML284" s="293" t="str">
        <f t="shared" si="211"/>
        <v>NIL</v>
      </c>
      <c r="MM284" s="3" t="b">
        <f t="array" ref="MM284">OR(ME284:ML284="-")</f>
        <v>0</v>
      </c>
      <c r="MN284" s="285"/>
      <c r="MO284" s="401"/>
      <c r="MP284" s="286"/>
      <c r="MQ284" s="286"/>
      <c r="MR284" s="402"/>
      <c r="MS284" s="400"/>
      <c r="NH284" s="422"/>
      <c r="NJ284" s="421"/>
    </row>
    <row r="285" spans="1:374" s="1" customFormat="1" ht="16.5">
      <c r="A285" s="403">
        <v>46044</v>
      </c>
      <c r="B285" s="404" t="s">
        <v>1018</v>
      </c>
      <c r="C285" s="405" t="s">
        <v>4321</v>
      </c>
      <c r="D285" s="406">
        <v>178</v>
      </c>
      <c r="E285" s="404">
        <v>539</v>
      </c>
      <c r="F285" s="407">
        <v>31500</v>
      </c>
      <c r="G285" s="407" t="s">
        <v>1019</v>
      </c>
      <c r="H285" s="408" t="s">
        <v>1017</v>
      </c>
      <c r="I285" s="409">
        <v>2.2000000000000002</v>
      </c>
      <c r="J285" s="405" t="s">
        <v>543</v>
      </c>
      <c r="K285" s="404" t="s">
        <v>4322</v>
      </c>
      <c r="L285" s="419" t="str">
        <f t="shared" si="184"/>
        <v>FLINTSL - BLACK</v>
      </c>
      <c r="M285" s="404">
        <v>28</v>
      </c>
      <c r="N285" s="410">
        <f>IF(M285=0,0,IF($LB285=70%,VLOOKUP($L285,'Jan-2026 rates'!$L:$R,4,0),IF($LB285=65%,VLOOKUP($L285,'Jan-2026 rates'!$L:$R,4,0),IF($LB285=40%,VLOOKUP($L285,'Jan-2026 rates'!$L:$R,5,0),IF($LB285=30%,VLOOKUP($L285,'Jan-2026 rates'!$L:$R,6,0),IF($LB285=100%,VLOOKUP($L285,'Jan-2026 rates'!$L:$R,7,0),IF($LB285=60%,VLOOKUP($L285,'Jan-2026 rates'!$L:$S,8,0),IF($LB285=80%,VLOOKUP($L285,'Jan-2026 rates'!L:T,9,0),0))))))))</f>
        <v>0</v>
      </c>
      <c r="O285" s="406"/>
      <c r="P285" s="404"/>
      <c r="Q285" s="410">
        <f>IF(P285=0,0,IF($LB285=70%,VLOOKUP($L285,'Jan-2026 rates'!$L:$R,4,0),IF($LB285=65%,VLOOKUP($L285,'Jan-2026 rates'!$L:$R,4,0),IF($LB285=40%,VLOOKUP($L285,'Jan-2026 rates'!$L:$R,5,0),IF($LB285=30%,VLOOKUP($L285,'Jan-2026 rates'!$L:$R,6,0),IF($LB285=100%,VLOOKUP($L285,'Jan-2026 rates'!$L:$R,7,0),IF($LB285=60%,VLOOKUP($L285,'Jan-2026 rates'!$L:$S,8,0),IF($LB285=80%,VLOOKUP($L285,'Jan-2026 rates'!L:T,9,0),0))))))))</f>
        <v>0</v>
      </c>
      <c r="R285" s="406">
        <v>26524000014</v>
      </c>
      <c r="S285" s="406"/>
      <c r="T285" s="406"/>
      <c r="U285" s="406"/>
      <c r="V285" s="406"/>
      <c r="W285" s="406"/>
      <c r="X285" s="406"/>
      <c r="Y285" s="406"/>
      <c r="Z285" s="404">
        <v>5</v>
      </c>
      <c r="AA285" s="398" t="e">
        <f>IF(Z285=0,0,IF(LEN(R285)=11,_xlfn.XLOOKUP(R285,'Dispensed Ink Rates'!C:C,'Dispensed Ink Rates'!CS:CS),VLOOKUP(R285,'Jan-2026 rates'!$E:$F,2,0)))</f>
        <v>#N/A</v>
      </c>
      <c r="AB285" s="404"/>
      <c r="AC285" s="398">
        <f>IF(AB285=0,0,IF(LEN(S285)=11,_xlfn.XLOOKUP(S285,'Dispensed Ink Rates'!C:C,'Dispensed Ink Rates'!CS:CS),VLOOKUP(S285,'Jan-2026 rates'!$E:$F,2,0)))</f>
        <v>0</v>
      </c>
      <c r="AD285" s="404"/>
      <c r="AE285" s="398">
        <f>IF(AD285=0,0,IF(LEN(T285)=11,_xlfn.XLOOKUP(T285,'Dispensed Ink Rates'!C:C,'Dispensed Ink Rates'!CS:CS),VLOOKUP(T285,'Jan-2026 rates'!$E:$F,2,0)))</f>
        <v>0</v>
      </c>
      <c r="AF285" s="404"/>
      <c r="AG285" s="398">
        <f>IF(AF285=0,0,IF(LEN(U285)=11,_xlfn.XLOOKUP(U285,'Dispensed Ink Rates'!C:C,'Dispensed Ink Rates'!CS:CS),VLOOKUP(U285,'Jan-2026 rates'!$E:$F,2,0)))</f>
        <v>0</v>
      </c>
      <c r="AH285" s="404"/>
      <c r="AI285" s="398">
        <f>IF(AH285=0,0,IF(LEN(V285)=11,_xlfn.XLOOKUP(V285,'Dispensed Ink Rates'!C:C,'Dispensed Ink Rates'!CS:CS),VLOOKUP(V285,'Jan-2026 rates'!$E:$F,2,0)))</f>
        <v>0</v>
      </c>
      <c r="AJ285" s="404"/>
      <c r="AK285" s="398">
        <f>IF(AJ285=0,0,IF(LEN(W285)=11,_xlfn.XLOOKUP(W285,'Dispensed Ink Rates'!C:C,'Dispensed Ink Rates'!CS:CS),VLOOKUP(W285,'Jan-2026 rates'!$E:$F,2,0)))</f>
        <v>0</v>
      </c>
      <c r="AL285" s="404"/>
      <c r="AM285" s="398">
        <f>IF(AL285=0,0,IF(LEN(X285)=11,_xlfn.XLOOKUP(X285,'Dispensed Ink Rates'!C:C,'Dispensed Ink Rates'!CS:CS),VLOOKUP(X285,'Jan-2026 rates'!$E:$F,2,0)))</f>
        <v>0</v>
      </c>
      <c r="AN285" s="404"/>
      <c r="AO285" s="398">
        <f>IF(AN285=0,0,IF(LEN(Y285)=11,_xlfn.XLOOKUP(Y285,'Dispensed Ink Rates'!C:C,'Dispensed Ink Rates'!CS:CS),VLOOKUP(Y285,'Jan-2026 rates'!$E:$F,2,0)))</f>
        <v>0</v>
      </c>
      <c r="AP285" s="409" t="s">
        <v>1443</v>
      </c>
      <c r="AQ285" s="409">
        <v>26</v>
      </c>
      <c r="AR285" s="410">
        <f t="shared" si="212"/>
        <v>0</v>
      </c>
      <c r="AS285" s="411">
        <f t="shared" si="213"/>
        <v>12.399999999999999</v>
      </c>
      <c r="AT285" s="410">
        <f t="shared" si="214"/>
        <v>0</v>
      </c>
      <c r="AU285" s="405" t="s">
        <v>547</v>
      </c>
      <c r="AV285" s="409" t="s">
        <v>4323</v>
      </c>
      <c r="AW285" s="420" t="str">
        <f t="shared" si="183"/>
        <v>FLINTSL - GREEN</v>
      </c>
      <c r="AX285" s="409">
        <v>30</v>
      </c>
      <c r="AY285" s="411">
        <f>IF(AX285=0,0,IF($LB285=70%,VLOOKUP($AW285,'Jan-2026 rates'!$L:$R,4,0),IF($LB285=65%,VLOOKUP($AW285,'Jan-2026 rates'!$L:$R,4,0),IF($LB285=40%,VLOOKUP($AW285,'Jan-2026 rates'!$L:$R,5,0),IF($LB285=30%,VLOOKUP($AW285,'Jan-2026 rates'!$L:$R,6,0),IF($LB285=100%,VLOOKUP($AW285,'Jan-2026 rates'!$L:$R,7,0),IF($LB285=60%,VLOOKUP($AW285,'Jan-2026 rates'!$L:$S,8,0),IF($LB285=80%,VLOOKUP($AW285,'Jan-2026 rates'!L:T,9,0),0))))))))</f>
        <v>0</v>
      </c>
      <c r="AZ285" s="412"/>
      <c r="BA285" s="409"/>
      <c r="BB285" s="411">
        <f>IF(BA285=0,0,IF($LB285=70%,VLOOKUP($AW285,'Jan-2026 rates'!$L:$R,4,0),IF($LB285=65%,VLOOKUP($AW285,'Jan-2026 rates'!$L:$R,4,0),IF($LB285=40%,VLOOKUP($AW285,'Jan-2026 rates'!$L:$R,5,0),IF($LB285=30%,VLOOKUP($AW285,'Jan-2026 rates'!$L:$R,6,0),IF($LB285=100%,VLOOKUP($AW285,'Jan-2026 rates'!$L:$R,7,0),IF($LB285=60%,VLOOKUP($AW285,'Jan-2026 rates'!$L:$S,8,0),IF($LB285=80%,VLOOKUP($AW285,'Jan-2026 rates'!L:T,9,0),0))))))))</f>
        <v>0</v>
      </c>
      <c r="BC285" s="413">
        <v>26523000022</v>
      </c>
      <c r="BD285" s="412">
        <v>26521000013</v>
      </c>
      <c r="BE285" s="412"/>
      <c r="BF285" s="413"/>
      <c r="BG285" s="412"/>
      <c r="BH285" s="412"/>
      <c r="BI285" s="412"/>
      <c r="BJ285" s="412"/>
      <c r="BK285" s="409">
        <v>5</v>
      </c>
      <c r="BL285" s="398" t="e">
        <f>IF(BK285=0,0,IF(LEN(BC285)=11,_xlfn.XLOOKUP(BC285,'Dispensed Ink Rates'!C:C,'Dispensed Ink Rates'!CS:CS),VLOOKUP(BC285,'Jan-2026 rates'!$E:$F,2,0)))</f>
        <v>#N/A</v>
      </c>
      <c r="BM285" s="409">
        <v>2.5</v>
      </c>
      <c r="BN285" s="398" t="e">
        <f>IF(BM285=0,0,IF(LEN(BD285)=11,_xlfn.XLOOKUP(BD285,'Dispensed Ink Rates'!C:C,'Dispensed Ink Rates'!CS:CS),VLOOKUP(BD285,'Jan-2026 rates'!$E:$F,2,0)))</f>
        <v>#N/A</v>
      </c>
      <c r="BO285" s="409"/>
      <c r="BP285" s="398">
        <f>IF(BO285=0,0,IF(LEN(BE285)=11,_xlfn.XLOOKUP(BE285,'Dispensed Ink Rates'!C:C,'Dispensed Ink Rates'!CS:CS),VLOOKUP(BE285,'Jan-2026 rates'!$E:$F,2,0)))</f>
        <v>0</v>
      </c>
      <c r="BQ285" s="409"/>
      <c r="BR285" s="398">
        <f>IF(BQ285=0,0,IF(LEN(BF285)=11,_xlfn.XLOOKUP(BF285,'Dispensed Ink Rates'!C:C,'Dispensed Ink Rates'!CS:CS),VLOOKUP(BF285,'Jan-2026 rates'!$E:$F,2,0)))</f>
        <v>0</v>
      </c>
      <c r="BS285" s="409"/>
      <c r="BT285" s="398">
        <f>IF(BS285=0,0,IF(LEN(BG285)=11,_xlfn.XLOOKUP(BG285,'Dispensed Ink Rates'!C:C,'Dispensed Ink Rates'!CS:CS),VLOOKUP(BG285,'Jan-2026 rates'!$E:$F,2,0)))</f>
        <v>0</v>
      </c>
      <c r="BU285" s="409"/>
      <c r="BV285" s="398">
        <f>IF(BU285=0,0,IF(LEN(BH285)=11,_xlfn.XLOOKUP(BH285,'Dispensed Ink Rates'!C:C,'Dispensed Ink Rates'!CS:CS),VLOOKUP(BH285,'Jan-2026 rates'!$E:$F,2,0)))</f>
        <v>0</v>
      </c>
      <c r="BW285" s="409"/>
      <c r="BX285" s="398">
        <f>IF(BW285=0,0,IF(LEN(BI285)=11,_xlfn.XLOOKUP(BI285,'Dispensed Ink Rates'!C:C,'Dispensed Ink Rates'!CS:CS),VLOOKUP(BI285,'Jan-2026 rates'!$E:$F,2,0)))</f>
        <v>0</v>
      </c>
      <c r="BY285" s="409"/>
      <c r="BZ285" s="398">
        <f>IF(BY285=0,0,IF(LEN(BJ285)=11,_xlfn.XLOOKUP(BJ285,'Dispensed Ink Rates'!C:C,'Dispensed Ink Rates'!CS:CS),VLOOKUP(BJ285,'Jan-2026 rates'!$E:$F,2,0)))</f>
        <v>0</v>
      </c>
      <c r="CA285" s="409" t="s">
        <v>1443</v>
      </c>
      <c r="CB285" s="409">
        <v>28</v>
      </c>
      <c r="CC285" s="411">
        <f t="shared" si="215"/>
        <v>0</v>
      </c>
      <c r="CD285" s="411">
        <f t="shared" si="216"/>
        <v>14.899999999999999</v>
      </c>
      <c r="CE285" s="410">
        <f t="shared" si="217"/>
        <v>0</v>
      </c>
      <c r="CF285" s="404" t="s">
        <v>857</v>
      </c>
      <c r="CG285" s="409" t="s">
        <v>4324</v>
      </c>
      <c r="CH285" s="420" t="str">
        <f t="shared" si="185"/>
        <v>FLINTSL - RED</v>
      </c>
      <c r="CI285" s="409">
        <v>30</v>
      </c>
      <c r="CJ285" s="411">
        <f>IF(CI285=0,0,IF($LB285=70%,VLOOKUP($CH285,'Jan-2026 rates'!$L:$R,4,0),IF($LB285=65%,VLOOKUP($CH285,'Jan-2026 rates'!$L:$R,4,0),IF($LB285=40%,VLOOKUP($CH285,'Jan-2026 rates'!$L:$R,5,0),IF($LB285=30%,VLOOKUP($CH285,'Jan-2026 rates'!$L:$R,6,0),IF($LB285=100%,VLOOKUP($CH285,'Jan-2026 rates'!$L:$R,7,0),IF($LB285=60%,VLOOKUP($CH285,'Jan-2026 rates'!$L:$S,8,0),IF($LB285=80%,VLOOKUP($CH285,'Jan-2026 rates'!L:T,9,0),0))))))))</f>
        <v>0</v>
      </c>
      <c r="CK285" s="412"/>
      <c r="CL285" s="409"/>
      <c r="CM285" s="411">
        <f>IF(CL285=0,0,IF($LB285=70%,VLOOKUP($CH285,'Jan-2026 rates'!$L:$R,4,0),IF($LB285=65%,VLOOKUP($CH285,'Jan-2026 rates'!$L:$R,4,0),IF($LB285=40%,VLOOKUP($CH285,'Jan-2026 rates'!$L:$R,5,0),IF($LB285=30%,VLOOKUP($CH285,'Jan-2026 rates'!$L:$R,6,0),IF($LB285=100%,VLOOKUP($CH285,'Jan-2026 rates'!$L:$R,7,0),IF($LB285=60%,VLOOKUP($CH285,'Jan-2026 rates'!$L:$S,8,0),IF($LB285=80%,VLOOKUP($CH285,'Jan-2026 rates'!L:T,9,0),0))))))))</f>
        <v>0</v>
      </c>
      <c r="CN285" s="426">
        <v>26524000006</v>
      </c>
      <c r="CO285" s="427"/>
      <c r="CP285" s="426"/>
      <c r="CQ285" s="426"/>
      <c r="CR285" s="428"/>
      <c r="CS285" s="428"/>
      <c r="CT285" s="428"/>
      <c r="CU285" s="428"/>
      <c r="CV285" s="409">
        <v>3</v>
      </c>
      <c r="CW285" s="398" t="e">
        <f>IF(CV285=0,0,IF(LEN(CN285)=11,_xlfn.XLOOKUP(CN285,'Dispensed Ink Rates'!C:C,'Dispensed Ink Rates'!CS:CS),VLOOKUP(CN285,'Jan-2026 rates'!$E:$F,2,0)))</f>
        <v>#N/A</v>
      </c>
      <c r="CX285" s="409"/>
      <c r="CY285" s="398">
        <f>IF(CX285=0,0,IF(LEN(CO285)=11,_xlfn.XLOOKUP(CO285,'Dispensed Ink Rates'!C:C,'Dispensed Ink Rates'!CS:CS),VLOOKUP(CO285,'Jan-2026 rates'!$E:$F,2,0)))</f>
        <v>0</v>
      </c>
      <c r="CZ285" s="409"/>
      <c r="DA285" s="398">
        <f>IF(CZ285=0,0,IF(LEN(CP285)=11,_xlfn.XLOOKUP(CP285,'Dispensed Ink Rates'!C:C,'Dispensed Ink Rates'!CS:CS),VLOOKUP(CP285,'Jan-2026 rates'!$E:$F,2,0)))</f>
        <v>0</v>
      </c>
      <c r="DB285" s="409"/>
      <c r="DC285" s="398">
        <f>IF(DB285=0,0,IF(LEN(CQ285)=11,_xlfn.XLOOKUP(CQ285,'Dispensed Ink Rates'!C:C,'Dispensed Ink Rates'!CS:CS),VLOOKUP(CQ285,'Jan-2026 rates'!$E:$F,2,0)))</f>
        <v>0</v>
      </c>
      <c r="DD285" s="409"/>
      <c r="DE285" s="398">
        <f>IF(DD285=0,0,IF(LEN(CR285)=11,_xlfn.XLOOKUP(CR285,'Dispensed Ink Rates'!C:C,'Dispensed Ink Rates'!CS:CS),VLOOKUP(CR285,'Jan-2026 rates'!$E:$F,2,0)))</f>
        <v>0</v>
      </c>
      <c r="DF285" s="409"/>
      <c r="DG285" s="398">
        <f>IF(DF285=0,0,IF(LEN(CS285)=11,_xlfn.XLOOKUP(CS285,'Dispensed Ink Rates'!C:C,'Dispensed Ink Rates'!CS:CS),VLOOKUP(CS285,'Jan-2026 rates'!$E:$F,2,0)))</f>
        <v>0</v>
      </c>
      <c r="DH285" s="409"/>
      <c r="DI285" s="398">
        <f>IF(DH285=0,0,IF(LEN(CT285)=11,_xlfn.XLOOKUP(CT285,'Dispensed Ink Rates'!C:C,'Dispensed Ink Rates'!CS:CS),VLOOKUP(CT285,'Jan-2026 rates'!$E:$F,2,0)))</f>
        <v>0</v>
      </c>
      <c r="DJ285" s="409"/>
      <c r="DK285" s="398">
        <f>IF(DJ285=0,0,IF(LEN(CU285)=11,_xlfn.XLOOKUP(CU285,'Dispensed Ink Rates'!C:C,'Dispensed Ink Rates'!CS:CS),VLOOKUP(CU285,'Jan-2026 rates'!$E:$F,2,0)))</f>
        <v>0</v>
      </c>
      <c r="DL285" s="409" t="s">
        <v>1443</v>
      </c>
      <c r="DM285" s="409">
        <v>28</v>
      </c>
      <c r="DN285" s="411">
        <f t="shared" si="218"/>
        <v>0</v>
      </c>
      <c r="DO285" s="411">
        <f t="shared" si="219"/>
        <v>10.399999999999999</v>
      </c>
      <c r="DP285" s="410">
        <f t="shared" si="220"/>
        <v>0</v>
      </c>
      <c r="DQ285" s="405" t="s">
        <v>545</v>
      </c>
      <c r="DR285" s="409" t="s">
        <v>4304</v>
      </c>
      <c r="DS285" s="420" t="str">
        <f t="shared" si="186"/>
        <v>FLINTSL - YELLOW</v>
      </c>
      <c r="DT285" s="409">
        <v>32</v>
      </c>
      <c r="DU285" s="411">
        <f>IF(DT285=0,0,IF($LB285=70%,VLOOKUP($DS285,'Jan-2026 rates'!$L:$R,4,0),IF($LB285=65%,VLOOKUP($DS285,'Jan-2026 rates'!$L:$R,4,0),IF($LB285=40%,VLOOKUP($DS285,'Jan-2026 rates'!$L:$R,5,0),IF($LB285=30%,VLOOKUP($DS285,'Jan-2026 rates'!$L:$R,6,0),IF($LB285=100%,VLOOKUP($DS285,'Jan-2026 rates'!$L:$R,7,0),IF($LB285=60%,VLOOKUP($DS285,'Jan-2026 rates'!$L:$S,8,0),IF($LB285=80%,VLOOKUP($DS285,'Jan-2026 rates'!L:T,9,0),0))))))))</f>
        <v>0</v>
      </c>
      <c r="DV285" s="412" t="s">
        <v>4233</v>
      </c>
      <c r="DW285" s="409">
        <v>25</v>
      </c>
      <c r="DX285" s="411">
        <f>IF(DW285=0,0,IF($LB285=70%,VLOOKUP($DS285,'Jan-2026 rates'!$L:$R,4,0),IF($LB285=65%,VLOOKUP($DS285,'Jan-2026 rates'!$L:$R,4,0),IF($LB285=40%,VLOOKUP($DS285,'Jan-2026 rates'!$L:$R,5,0),IF($LB285=30%,VLOOKUP($DS285,'Jan-2026 rates'!$L:$R,6,0),IF($LB285=100%,VLOOKUP($DS285,'Jan-2026 rates'!$L:$R,7,0),IF($LB285=60%,VLOOKUP($DS285,'Jan-2026 rates'!$L:$S,8,0),IF($LB285=80%,VLOOKUP($DS285,'Jan-2026 rates'!L:T,9,0),0))))))))</f>
        <v>0</v>
      </c>
      <c r="DY285" s="413">
        <v>26524000014</v>
      </c>
      <c r="DZ285" s="413">
        <v>26523000004</v>
      </c>
      <c r="EA285" s="412">
        <v>26525000017</v>
      </c>
      <c r="EB285" s="412">
        <v>26524000006</v>
      </c>
      <c r="EC285" s="412">
        <v>26523000005</v>
      </c>
      <c r="ED285" s="412"/>
      <c r="EE285" s="412"/>
      <c r="EF285" s="412"/>
      <c r="EG285" s="409">
        <v>0.5</v>
      </c>
      <c r="EH285" s="398" t="e">
        <f>IF(EG285=0,0,IF(LEN(DY285)=11,_xlfn.XLOOKUP(DY285,'Dispensed Ink Rates'!C:C,'Dispensed Ink Rates'!CS:CS),VLOOKUP(DY285,'Jan-2026 rates'!$E:$F,2,0)))</f>
        <v>#N/A</v>
      </c>
      <c r="EI285" s="409">
        <v>40</v>
      </c>
      <c r="EJ285" s="398" t="e">
        <f>IF(EI285=0,0,IF(LEN(DZ285)=11,_xlfn.XLOOKUP(DZ285,'Dispensed Ink Rates'!C:C,'Dispensed Ink Rates'!CS:CS),VLOOKUP(DZ285,'Jan-2026 rates'!$E:$F,2,0)))</f>
        <v>#N/A</v>
      </c>
      <c r="EK285" s="409">
        <v>30</v>
      </c>
      <c r="EL285" s="398" t="e">
        <f>IF(EK285=0,0,IF(LEN(EA285)=11,_xlfn.XLOOKUP(EA285,'Dispensed Ink Rates'!C:C,'Dispensed Ink Rates'!CS:CS),VLOOKUP(EA285,'Jan-2026 rates'!$E:$F,2,0)))</f>
        <v>#N/A</v>
      </c>
      <c r="EM285" s="409">
        <v>3</v>
      </c>
      <c r="EN285" s="398" t="e">
        <f>IF(EM285=0,0,IF(LEN(EB285)=11,_xlfn.XLOOKUP(EB285,'Dispensed Ink Rates'!C:C,'Dispensed Ink Rates'!CS:CS),VLOOKUP(EB285,'Jan-2026 rates'!$E:$F,2,0)))</f>
        <v>#N/A</v>
      </c>
      <c r="EO285" s="409">
        <v>16</v>
      </c>
      <c r="EP285" s="398" t="e">
        <f>IF(EO285=0,0,IF(LEN(EC285)=11,_xlfn.XLOOKUP(EC285,'Dispensed Ink Rates'!C:C,'Dispensed Ink Rates'!CS:CS),VLOOKUP(EC285,'Jan-2026 rates'!$E:$F,2,0)))</f>
        <v>#N/A</v>
      </c>
      <c r="EQ285" s="409"/>
      <c r="ER285" s="398">
        <f>IF(EQ285=0,0,IF(LEN(ED285)=11,_xlfn.XLOOKUP(ED285,'Dispensed Ink Rates'!C:C,'Dispensed Ink Rates'!CS:CS),VLOOKUP(ED285,'Jan-2026 rates'!$E:$F,2,0)))</f>
        <v>0</v>
      </c>
      <c r="ES285" s="409"/>
      <c r="ET285" s="398">
        <f>IF(ES285=0,0,IF(LEN(EE285)=11,_xlfn.XLOOKUP(EE285,'Dispensed Ink Rates'!C:C,'Dispensed Ink Rates'!CS:CS),VLOOKUP(EE285,'Jan-2026 rates'!$E:$F,2,0)))</f>
        <v>0</v>
      </c>
      <c r="EU285" s="409"/>
      <c r="EV285" s="398">
        <f>IF(EU285=0,0,IF(LEN(EF285)=11,_xlfn.XLOOKUP(EF285,'Dispensed Ink Rates'!C:C,'Dispensed Ink Rates'!CS:CS),VLOOKUP(EF285,'Jan-2026 rates'!$E:$F,2,0)))</f>
        <v>0</v>
      </c>
      <c r="EW285" s="409" t="s">
        <v>1443</v>
      </c>
      <c r="EX285" s="409">
        <v>25</v>
      </c>
      <c r="EY285" s="411">
        <f t="shared" si="221"/>
        <v>0</v>
      </c>
      <c r="EZ285" s="411">
        <f t="shared" si="222"/>
        <v>139.5</v>
      </c>
      <c r="FA285" s="410">
        <f t="shared" si="223"/>
        <v>0</v>
      </c>
      <c r="FB285" s="405" t="s">
        <v>544</v>
      </c>
      <c r="FC285" s="409" t="s">
        <v>4325</v>
      </c>
      <c r="FD285" s="420" t="str">
        <f t="shared" si="187"/>
        <v>FLINTSL - MAGENTA</v>
      </c>
      <c r="FE285" s="409">
        <v>28</v>
      </c>
      <c r="FF285" s="411">
        <f>IF(FE285=0,0,IF($LB285=70%,VLOOKUP($FD285,'Jan-2026 rates'!$L:$R,4,0),IF($LB285=65%,VLOOKUP($FD285,'Jan-2026 rates'!$L:$R,4,0),IF($LB285=40%,VLOOKUP($FD285,'Jan-2026 rates'!$L:$R,5,0),IF($LB285=30%,VLOOKUP($FD285,'Jan-2026 rates'!$L:$R,6,0),IF($LB285=100%,VLOOKUP($FD285,'Jan-2026 rates'!$L:$R,7,0),IF($LB285=60%,VLOOKUP($FD285,'Jan-2026 rates'!$L:$S,8,0),IF($LB285=80%,VLOOKUP($FD285,'Jan-2026 rates'!L:T,9,0),0))))))))</f>
        <v>0</v>
      </c>
      <c r="FG285" s="412"/>
      <c r="FH285" s="409"/>
      <c r="FI285" s="411">
        <f>IF(FH285=0,0,IF($LB285=70%,VLOOKUP($FD285,'Jan-2026 rates'!$L:$R,4,0),IF($LB285=65%,VLOOKUP($FD285,'Jan-2026 rates'!$L:$R,4,0),IF($LB285=40%,VLOOKUP($FD285,'Jan-2026 rates'!$L:$R,5,0),IF($LB285=30%,VLOOKUP($FD285,'Jan-2026 rates'!$L:$R,6,0),IF($LB285=100%,VLOOKUP($FD285,'Jan-2026 rates'!$L:$R,7,0),IF($LB285=60%,VLOOKUP($FD285,'Jan-2026 rates'!$L:$S,8,0),IF($LB285=80%,VLOOKUP($FD285,'Jan-2026 rates'!L:T,9,0),0))))))))</f>
        <v>0</v>
      </c>
      <c r="FJ285" s="413">
        <v>26524000006</v>
      </c>
      <c r="FK285" s="413"/>
      <c r="FL285" s="413"/>
      <c r="FM285" s="412"/>
      <c r="FN285" s="412"/>
      <c r="FO285" s="412"/>
      <c r="FP285" s="412"/>
      <c r="FQ285" s="412"/>
      <c r="FR285" s="409">
        <v>5</v>
      </c>
      <c r="FS285" s="398" t="e">
        <f>IF(FR285=0,0,IF(LEN(FJ285)=11,_xlfn.XLOOKUP(FJ285,'Dispensed Ink Rates'!C:C,'Dispensed Ink Rates'!CS:CS),VLOOKUP(FJ285,'Jan-2026 rates'!$E:$F,2,0)))</f>
        <v>#N/A</v>
      </c>
      <c r="FT285" s="409"/>
      <c r="FU285" s="398">
        <f>IF(FT285=0,0,IF(LEN(FK285)=11,_xlfn.XLOOKUP(FK285,'Dispensed Ink Rates'!C:C,'Dispensed Ink Rates'!CS:CS),VLOOKUP(FK285,'Jan-2026 rates'!$E:$F,2,0)))</f>
        <v>0</v>
      </c>
      <c r="FV285" s="409"/>
      <c r="FW285" s="398">
        <f>IF(FV285=0,0,IF(LEN(FL285)=11,_xlfn.XLOOKUP(FL285,'Dispensed Ink Rates'!C:C,'Dispensed Ink Rates'!CS:CS),VLOOKUP(FL285,'Jan-2026 rates'!$E:$F,2,0)))</f>
        <v>0</v>
      </c>
      <c r="FX285" s="409"/>
      <c r="FY285" s="398">
        <f>IF(FX285=0,0,IF(LEN(FM285)=11,_xlfn.XLOOKUP(FM285,'Dispensed Ink Rates'!C:C,'Dispensed Ink Rates'!CS:CS),VLOOKUP(FM285,'Jan-2026 rates'!$E:$F,2,0)))</f>
        <v>0</v>
      </c>
      <c r="FZ285" s="409"/>
      <c r="GA285" s="398">
        <f>IF(FZ285=0,0,IF(LEN(FN285)=11,_xlfn.XLOOKUP(FN285,'Dispensed Ink Rates'!C:C,'Dispensed Ink Rates'!CS:CS),VLOOKUP(FN285,'Jan-2026 rates'!$E:$F,2,0)))</f>
        <v>0</v>
      </c>
      <c r="GB285" s="409"/>
      <c r="GC285" s="398">
        <f>IF(GB285=0,0,IF(LEN(FO285)=11,_xlfn.XLOOKUP(FO285,'Dispensed Ink Rates'!C:C,'Dispensed Ink Rates'!CS:CS),VLOOKUP(FO285,'Jan-2026 rates'!$E:$F,2,0)))</f>
        <v>0</v>
      </c>
      <c r="GD285" s="409"/>
      <c r="GE285" s="398">
        <f>IF(GD285=0,0,IF(LEN(FP285)=11,_xlfn.XLOOKUP(FP285,'Dispensed Ink Rates'!C:C,'Dispensed Ink Rates'!CS:CS),VLOOKUP(FP285,'Jan-2026 rates'!$E:$F,2,0)))</f>
        <v>0</v>
      </c>
      <c r="GF285" s="409"/>
      <c r="GG285" s="398">
        <f>IF(GF285=0,0,IF(LEN(FQ285)=11,_xlfn.XLOOKUP(FQ285,'Dispensed Ink Rates'!C:C,'Dispensed Ink Rates'!CS:CS),VLOOKUP(FQ285,'Jan-2026 rates'!$E:$F,2,0)))</f>
        <v>0</v>
      </c>
      <c r="GH285" s="409" t="s">
        <v>1443</v>
      </c>
      <c r="GI285" s="409">
        <v>29</v>
      </c>
      <c r="GJ285" s="411">
        <f t="shared" si="224"/>
        <v>0</v>
      </c>
      <c r="GK285" s="411">
        <f t="shared" si="225"/>
        <v>7.6000000000000014</v>
      </c>
      <c r="GL285" s="410">
        <f t="shared" si="226"/>
        <v>0</v>
      </c>
      <c r="GM285" s="405" t="s">
        <v>545</v>
      </c>
      <c r="GN285" s="409" t="s">
        <v>4326</v>
      </c>
      <c r="GO285" s="420" t="str">
        <f t="shared" si="188"/>
        <v>FLINTSL - YELLOW</v>
      </c>
      <c r="GP285" s="409">
        <v>30</v>
      </c>
      <c r="GQ285" s="411">
        <f>IF(GP285=0,0,IF($LB285=70%,VLOOKUP($GO285,'Jan-2026 rates'!$L:$R,4,0),IF($LB285=65%,VLOOKUP($GO285,'Jan-2026 rates'!$L:$R,4,0),IF($LB285=40%,VLOOKUP($GO285,'Jan-2026 rates'!$L:$R,5,0),IF($LB285=30%,VLOOKUP($GO285,'Jan-2026 rates'!$L:$R,6,0),IF($LB285=100%,VLOOKUP($GO285,'Jan-2026 rates'!$L:$R,7,0),IF($LB285=60%,VLOOKUP($GO285,'Jan-2026 rates'!$L:$S,8,0),IF($LB285=80%,VLOOKUP($GO285,'Jan-2026 rates'!L:T,9,0),0))))))))</f>
        <v>0</v>
      </c>
      <c r="GR285" s="412"/>
      <c r="GS285" s="409"/>
      <c r="GT285" s="411">
        <f>IF(GS285=0,0,IF($LB285=70%,VLOOKUP($GO285,'Jan-2026 rates'!$L:$R,4,0),IF($LB285=65%,VLOOKUP($GO285,'Jan-2026 rates'!$L:$R,4,0),IF($LB285=40%,VLOOKUP($GO285,'Jan-2026 rates'!$L:$R,5,0),IF($LB285=30%,VLOOKUP($GO285,'Jan-2026 rates'!$L:$R,6,0),IF($LB285=100%,VLOOKUP($GO285,'Jan-2026 rates'!$L:$R,7,0),IF($LB285=60%,VLOOKUP($GO285,'Jan-2026 rates'!$L:$S,8,0),IF($LB285=80%,VLOOKUP($GO285,'Jan-2026 rates'!L:T,9,0),0))))))))</f>
        <v>0</v>
      </c>
      <c r="GU285" s="413">
        <v>26525000017</v>
      </c>
      <c r="GV285" s="413"/>
      <c r="GW285" s="412"/>
      <c r="GX285" s="412"/>
      <c r="GY285" s="412"/>
      <c r="GZ285" s="412"/>
      <c r="HA285" s="412"/>
      <c r="HB285" s="412"/>
      <c r="HC285" s="409">
        <v>5</v>
      </c>
      <c r="HD285" s="398" t="e">
        <f>IF(HC285=0,0,IF(LEN(GU285)=11,_xlfn.XLOOKUP(GU285,'Dispensed Ink Rates'!C:C,'Dispensed Ink Rates'!CS:CS),VLOOKUP(GU285,'Jan-2026 rates'!$E:$F,2,0)))</f>
        <v>#N/A</v>
      </c>
      <c r="HE285" s="409"/>
      <c r="HF285" s="398">
        <f>IF(HE285=0,0,IF(LEN(GV285)=11,_xlfn.XLOOKUP(GV285,'Dispensed Ink Rates'!C:C,'Dispensed Ink Rates'!CS:CS),VLOOKUP(GV285,'Jan-2026 rates'!$E:$F,2,0)))</f>
        <v>0</v>
      </c>
      <c r="HG285" s="409"/>
      <c r="HH285" s="398">
        <f>IF(HG285=0,0,IF(LEN(GW285)=11,_xlfn.XLOOKUP(GW285,'Dispensed Ink Rates'!C:C,'Dispensed Ink Rates'!CS:CS),VLOOKUP(GW285,'Jan-2026 rates'!$E:$F,2,0)))</f>
        <v>0</v>
      </c>
      <c r="HI285" s="409"/>
      <c r="HJ285" s="398">
        <f>IF(HI285=0,0,IF(LEN(GX285)=11,_xlfn.XLOOKUP(GX285,'Dispensed Ink Rates'!C:C,'Dispensed Ink Rates'!CS:CS),VLOOKUP(GX285,'Jan-2026 rates'!$E:$F,2,0)))</f>
        <v>0</v>
      </c>
      <c r="HK285" s="409"/>
      <c r="HL285" s="398">
        <f>IF(HK285=0,0,IF(LEN(GY285)=11,_xlfn.XLOOKUP(GY285,'Dispensed Ink Rates'!C:C,'Dispensed Ink Rates'!CS:CS),VLOOKUP(GY285,'Jan-2026 rates'!$E:$F,2,0)))</f>
        <v>0</v>
      </c>
      <c r="HM285" s="409"/>
      <c r="HN285" s="398">
        <f>IF(HM285=0,0,IF(LEN(GZ285)=11,_xlfn.XLOOKUP(GZ285,'Dispensed Ink Rates'!C:C,'Dispensed Ink Rates'!CS:CS),VLOOKUP(GZ285,'Jan-2026 rates'!$E:$F,2,0)))</f>
        <v>0</v>
      </c>
      <c r="HO285" s="409"/>
      <c r="HP285" s="398">
        <f>IF(HO285=0,0,IF(LEN(HA285)=11,_xlfn.XLOOKUP(HA285,'Dispensed Ink Rates'!C:C,'Dispensed Ink Rates'!CS:CS),VLOOKUP(HA285,'Jan-2026 rates'!$E:$F,2,0)))</f>
        <v>0</v>
      </c>
      <c r="HQ285" s="409"/>
      <c r="HR285" s="398">
        <f>IF(HQ285=0,0,IF(LEN(HB285)=11,_xlfn.XLOOKUP(HB285,'Dispensed Ink Rates'!C:C,'Dispensed Ink Rates'!CS:CS),VLOOKUP(HB285,'Jan-2026 rates'!$E:$F,2,0)))</f>
        <v>0</v>
      </c>
      <c r="HS285" s="409" t="s">
        <v>1443</v>
      </c>
      <c r="HT285" s="409">
        <v>28</v>
      </c>
      <c r="HU285" s="411">
        <f t="shared" si="227"/>
        <v>0</v>
      </c>
      <c r="HV285" s="411">
        <f t="shared" si="228"/>
        <v>14.200000000000003</v>
      </c>
      <c r="HW285" s="414">
        <f t="shared" si="229"/>
        <v>0</v>
      </c>
      <c r="HX285" s="405" t="s">
        <v>856</v>
      </c>
      <c r="HY285" s="409" t="s">
        <v>4327</v>
      </c>
      <c r="HZ285" s="420" t="str">
        <f t="shared" si="189"/>
        <v>FLINTSL - WHITE</v>
      </c>
      <c r="IA285" s="409">
        <v>30</v>
      </c>
      <c r="IB285" s="411">
        <f>IF(IA285=0,0,IF($LB285=70%,VLOOKUP($HZ285,'Jan-2026 rates'!$L:$R,4,0),IF($LB285=65%,VLOOKUP($HZ285,'Jan-2026 rates'!$L:$R,4,0),IF($LB285=40%,VLOOKUP($HZ285,'Jan-2026 rates'!$L:$R,5,0),IF($LB285=30%,VLOOKUP($HZ285,'Jan-2026 rates'!$L:$R,6,0),IF($LB285=100%,VLOOKUP($HZ285,'Jan-2026 rates'!$L:$R,7,0),IF($LB285=60%,VLOOKUP($HZ285,'Jan-2026 rates'!$L:$S,8,0),IF($LB285=80%,VLOOKUP($HZ285,'Jan-2026 rates'!L:T,9,0),0))))))))</f>
        <v>0</v>
      </c>
      <c r="IC285" s="412"/>
      <c r="ID285" s="409"/>
      <c r="IE285" s="411">
        <f>IF(ID285=0,0,IF($LB285=70%,VLOOKUP($HZ285,'Jan-2026 rates'!$L:$R,4,0),IF($LB285=65%,VLOOKUP($HZ285,'Jan-2026 rates'!$L:$R,4,0),IF($LB285=40%,VLOOKUP($HZ285,'Jan-2026 rates'!$L:$R,5,0),IF($LB285=30%,VLOOKUP($HZ285,'Jan-2026 rates'!$L:$R,6,0),IF($LB285=100%,VLOOKUP($HZ285,'Jan-2026 rates'!$L:$R,7,0),IF($LB285=60%,VLOOKUP($HZ285,'Jan-2026 rates'!$L:$S,8,0),IF($LB285=80%,VLOOKUP($HZ285,'Jan-2026 rates'!L:T,9,0),0))))))))</f>
        <v>0</v>
      </c>
      <c r="IF285" s="412" t="s">
        <v>484</v>
      </c>
      <c r="IG285" s="413"/>
      <c r="IH285" s="412"/>
      <c r="II285" s="412"/>
      <c r="IJ285" s="412"/>
      <c r="IK285" s="412"/>
      <c r="IL285" s="412"/>
      <c r="IM285" s="412"/>
      <c r="IN285" s="409">
        <f>100+50</f>
        <v>150</v>
      </c>
      <c r="IO285" s="398">
        <f>IF(IN285=0,0,IF(LEN(IF285)=11,_xlfn.XLOOKUP(IF285,'Dispensed Ink Rates'!C:C,'Dispensed Ink Rates'!CS:CS),VLOOKUP(IF285,'Jan-2026 rates'!$E:$F,2,0)))</f>
        <v>0</v>
      </c>
      <c r="IP285" s="409"/>
      <c r="IQ285" s="398">
        <f>IF(IP285=0,0,IF(LEN(IG285)=11,_xlfn.XLOOKUP(IG285,'Dispensed Ink Rates'!C:C,'Dispensed Ink Rates'!CS:CS),VLOOKUP(IG285,'Jan-2026 rates'!$E:$F,2,0)))</f>
        <v>0</v>
      </c>
      <c r="IR285" s="409"/>
      <c r="IS285" s="398">
        <f>IF(IR285=0,0,IF(LEN(IH285)=11,_xlfn.XLOOKUP(IH285,'Dispensed Ink Rates'!C:C,'Dispensed Ink Rates'!CS:CS),VLOOKUP(IH285,'Jan-2026 rates'!$E:$F,2,0)))</f>
        <v>0</v>
      </c>
      <c r="IT285" s="409"/>
      <c r="IU285" s="398">
        <f>IF(IT285=0,0,IF(LEN(II285)=11,_xlfn.XLOOKUP(II285,'Dispensed Ink Rates'!C:C,'Dispensed Ink Rates'!CS:CS),VLOOKUP(II285,'Jan-2026 rates'!$E:$F,2,0)))</f>
        <v>0</v>
      </c>
      <c r="IV285" s="409"/>
      <c r="IW285" s="398">
        <f>IF(IV285=0,0,IF(LEN(IJ285)=11,_xlfn.XLOOKUP(IJ285,'Dispensed Ink Rates'!C:C,'Dispensed Ink Rates'!CS:CS),VLOOKUP(IJ285,'Jan-2026 rates'!$E:$F,2,0)))</f>
        <v>0</v>
      </c>
      <c r="IX285" s="409"/>
      <c r="IY285" s="398">
        <f>IF(IX285=0,0,IF(LEN(IK285)=11,_xlfn.XLOOKUP(IK285,'Dispensed Ink Rates'!C:C,'Dispensed Ink Rates'!CS:CS),VLOOKUP(IK285,'Jan-2026 rates'!$E:$F,2,0)))</f>
        <v>0</v>
      </c>
      <c r="IZ285" s="409"/>
      <c r="JA285" s="398">
        <f>IF(IZ285=0,0,IF(LEN(IL285)=11,_xlfn.XLOOKUP(IL285,'Dispensed Ink Rates'!C:C,'Dispensed Ink Rates'!CS:CS),VLOOKUP(IL285,'Jan-2026 rates'!$E:$F,2,0)))</f>
        <v>0</v>
      </c>
      <c r="JB285" s="409"/>
      <c r="JC285" s="398">
        <f>IF(JB285=0,0,IF(LEN(IM285)=11,_xlfn.XLOOKUP(IM285,'Dispensed Ink Rates'!C:C,'Dispensed Ink Rates'!CS:CS),VLOOKUP(IM285,'Jan-2026 rates'!$E:$F,2,0)))</f>
        <v>0</v>
      </c>
      <c r="JD285" s="409" t="s">
        <v>1443</v>
      </c>
      <c r="JE285" s="409">
        <v>27</v>
      </c>
      <c r="JF285" s="411">
        <f t="shared" si="230"/>
        <v>0</v>
      </c>
      <c r="JG285" s="411">
        <f t="shared" si="231"/>
        <v>297</v>
      </c>
      <c r="JH285" s="410">
        <f t="shared" si="232"/>
        <v>0</v>
      </c>
      <c r="JI285" s="405"/>
      <c r="JJ285" s="409"/>
      <c r="JK285" s="420" t="str">
        <f t="shared" si="190"/>
        <v xml:space="preserve"> - </v>
      </c>
      <c r="JL285" s="409"/>
      <c r="JM285" s="411">
        <f>IF(JL285=0,0,IF($LB285=70%,VLOOKUP($JK285,'Jan-2026 rates'!$L:$R,4,0),IF($LB285=65%,VLOOKUP($JK285,'Jan-2026 rates'!$L:$R,4,0),IF($LB285=40%,VLOOKUP($JK285,'Jan-2026 rates'!$L:$R,5,0),IF($LB285=30%,VLOOKUP($JK285,'Jan-2026 rates'!$L:$R,6,0),IF($LB285=100%,VLOOKUP($JK285,'Jan-2026 rates'!$L:$R,7,0),IF($LB285=60%,VLOOKUP($JK285,'Jan-2026 rates'!$L:$S,8,0),IF($LB285=80%,VLOOKUP($JK285,'Jan-2026 rates'!L:T,9,0),0))))))))</f>
        <v>0</v>
      </c>
      <c r="JN285" s="412"/>
      <c r="JO285" s="409"/>
      <c r="JP285" s="411">
        <f>IF(JO285=0,0,IF($LB285=70%,VLOOKUP($JK285,'Jan-2026 rates'!$L:$R,4,0),IF($LB285=65%,VLOOKUP($JK285,'Jan-2026 rates'!$L:$R,4,0),IF($LB285=40%,VLOOKUP($JK285,'Jan-2026 rates'!$L:$R,5,0),IF($LB285=30%,VLOOKUP($JK285,'Jan-2026 rates'!$L:$R,6,0),IF($LB285=100%,VLOOKUP($JK285,'Jan-2026 rates'!$L:$R,7,0),IF($LB285=60%,VLOOKUP($JK285,'Jan-2026 rates'!$L:$S,8,0),IF($LB285=80%,VLOOKUP($JK285,'Jan-2026 rates'!L:T,9,0),0))))))))</f>
        <v>0</v>
      </c>
      <c r="JQ285" s="413"/>
      <c r="JR285" s="412"/>
      <c r="JS285" s="413"/>
      <c r="JT285" s="413"/>
      <c r="JU285" s="412"/>
      <c r="JV285" s="412"/>
      <c r="JW285" s="412"/>
      <c r="JX285" s="412"/>
      <c r="JY285" s="409"/>
      <c r="JZ285" s="398">
        <f>IF(JY285=0,0,IF(LEN(JQ285)=11,_xlfn.XLOOKUP(JQ285,'Dispensed Ink Rates'!C:C,'Dispensed Ink Rates'!CS:CS),VLOOKUP(JQ285,'Jan-2026 rates'!$E:$F,2,0)))</f>
        <v>0</v>
      </c>
      <c r="KA285" s="409"/>
      <c r="KB285" s="398">
        <f>IF(KA285=0,0,IF(LEN(JR285)=11,_xlfn.XLOOKUP(JR285,'Dispensed Ink Rates'!C:C,'Dispensed Ink Rates'!CS:CS),VLOOKUP(JR285,'Jan-2026 rates'!$E:$F,2,0)))</f>
        <v>0</v>
      </c>
      <c r="KC285" s="409"/>
      <c r="KD285" s="398">
        <f>IF(KC285=0,0,IF(LEN(JS285)=11,_xlfn.XLOOKUP(JS285,'Dispensed Ink Rates'!C:C,'Dispensed Ink Rates'!CS:CS),VLOOKUP(JS285,'Jan-2026 rates'!$E:$F,2,0)))</f>
        <v>0</v>
      </c>
      <c r="KE285" s="409"/>
      <c r="KF285" s="398">
        <f>IF(KE285=0,0,IF(LEN(JT285)=11,_xlfn.XLOOKUP(JT285,'Dispensed Ink Rates'!C:C,'Dispensed Ink Rates'!CS:CS),VLOOKUP(JT285,'Jan-2026 rates'!$E:$F,2,0)))</f>
        <v>0</v>
      </c>
      <c r="KG285" s="409"/>
      <c r="KH285" s="398">
        <f>IF(KG285=0,0,IF(LEN(JU285)=11,_xlfn.XLOOKUP(JU285,'Dispensed Ink Rates'!C:C,'Dispensed Ink Rates'!CS:CS),VLOOKUP(JU285,'Jan-2026 rates'!$E:$F,2,0)))</f>
        <v>0</v>
      </c>
      <c r="KI285" s="409"/>
      <c r="KJ285" s="398">
        <f>IF(KI285=0,0,IF(LEN(JV285)=11,_xlfn.XLOOKUP(JV285,'Dispensed Ink Rates'!C:C,'Dispensed Ink Rates'!CS:CS),VLOOKUP(JV285,'Jan-2026 rates'!$E:$F,2,0)))</f>
        <v>0</v>
      </c>
      <c r="KK285" s="409"/>
      <c r="KL285" s="398">
        <f>IF(KK285=0,0,IF(LEN(JW285)=11,_xlfn.XLOOKUP(JW285,'Dispensed Ink Rates'!C:C,'Dispensed Ink Rates'!CS:CS),VLOOKUP(JW285,'Jan-2026 rates'!$E:$F,2,0)))</f>
        <v>0</v>
      </c>
      <c r="KM285" s="428"/>
      <c r="KN285" s="398">
        <f>IF(KM285=0,0,IF(LEN(JX285)=11,_xlfn.XLOOKUP(JX285,'Dispensed Ink Rates'!C:C,'Dispensed Ink Rates'!CS:CS),VLOOKUP(JX285,'Jan-2026 rates'!$E:$F,2,0)))</f>
        <v>0</v>
      </c>
      <c r="KO285" s="409"/>
      <c r="KP285" s="409"/>
      <c r="KQ285" s="411">
        <f t="shared" si="233"/>
        <v>0</v>
      </c>
      <c r="KR285" s="411">
        <f t="shared" si="234"/>
        <v>0</v>
      </c>
      <c r="KS285" s="410">
        <f t="shared" si="235"/>
        <v>0</v>
      </c>
      <c r="KT285" s="409">
        <v>3</v>
      </c>
      <c r="KU285" s="409">
        <v>3</v>
      </c>
      <c r="KV285" s="409">
        <v>3</v>
      </c>
      <c r="KW285" s="409">
        <v>10</v>
      </c>
      <c r="KX285" s="409">
        <v>2</v>
      </c>
      <c r="KY285" s="409">
        <v>4</v>
      </c>
      <c r="KZ285" s="409">
        <f>50+30</f>
        <v>80</v>
      </c>
      <c r="LA285" s="409">
        <v>0</v>
      </c>
      <c r="LB285" s="415">
        <v>0.8</v>
      </c>
      <c r="LC285" s="415">
        <v>0.2</v>
      </c>
      <c r="LD285" s="415"/>
      <c r="LE285" s="415"/>
      <c r="LF285" s="415"/>
      <c r="LG285" s="409">
        <v>0</v>
      </c>
      <c r="LH285" s="409">
        <f>80+39+56+14</f>
        <v>189</v>
      </c>
      <c r="LI285" s="409">
        <v>0</v>
      </c>
      <c r="LJ285" s="409">
        <v>0</v>
      </c>
      <c r="LK285" s="416">
        <f t="shared" si="191"/>
        <v>189</v>
      </c>
      <c r="LL285" s="416">
        <f t="shared" si="192"/>
        <v>189</v>
      </c>
      <c r="LM285" s="417">
        <f t="shared" si="193"/>
        <v>151.20000000000002</v>
      </c>
      <c r="LN285" s="417">
        <f>VLOOKUP($LM$8,'Jan-2026 rates'!$H:$I,2,0)</f>
        <v>0</v>
      </c>
      <c r="LO285" s="417">
        <f t="shared" si="194"/>
        <v>37.800000000000004</v>
      </c>
      <c r="LP285" s="417">
        <f>VLOOKUP($LO$8,'Jan-2026 rates'!$H:$I,2,0)</f>
        <v>0</v>
      </c>
      <c r="LQ285" s="417">
        <f t="shared" si="195"/>
        <v>0</v>
      </c>
      <c r="LR285" s="417">
        <f>VLOOKUP($LQ$8,'Jan-2026 rates'!$H:$I,2,0)</f>
        <v>0</v>
      </c>
      <c r="LS285" s="417">
        <f t="shared" si="196"/>
        <v>0</v>
      </c>
      <c r="LT285" s="417">
        <f>VLOOKUP($LS$8,'Jan-2026 rates'!$H:$I,2,0)</f>
        <v>0</v>
      </c>
      <c r="LU285" s="417">
        <f t="shared" si="197"/>
        <v>0</v>
      </c>
      <c r="LV285" s="417">
        <f>VLOOKUP($LU$8,'Jan-2026 rates'!$H:$I,2,0)</f>
        <v>0</v>
      </c>
      <c r="LW285" s="417">
        <f t="shared" si="198"/>
        <v>0</v>
      </c>
      <c r="LX285" s="417">
        <f t="shared" si="199"/>
        <v>0</v>
      </c>
      <c r="LY285" s="418">
        <f t="shared" si="200"/>
        <v>0</v>
      </c>
      <c r="LZ285" s="417"/>
      <c r="MA285" s="435">
        <f t="shared" si="201"/>
        <v>265</v>
      </c>
      <c r="MB285" s="282">
        <f t="shared" si="202"/>
        <v>496</v>
      </c>
      <c r="MC285" s="283">
        <v>178</v>
      </c>
      <c r="MD285" s="284" t="str">
        <f t="shared" si="203"/>
        <v>FLINTSLFLINTSLFLINTSLFLINTSLFLINTSLFLINTSLFLINTSL</v>
      </c>
      <c r="ME285" s="293" t="str">
        <f t="shared" si="204"/>
        <v>+</v>
      </c>
      <c r="MF285" s="293" t="str">
        <f t="shared" si="205"/>
        <v>+</v>
      </c>
      <c r="MG285" s="293" t="str">
        <f t="shared" si="206"/>
        <v>+</v>
      </c>
      <c r="MH285" s="293" t="str">
        <f t="shared" si="207"/>
        <v>+</v>
      </c>
      <c r="MI285" s="293" t="str">
        <f t="shared" si="208"/>
        <v>+</v>
      </c>
      <c r="MJ285" s="293" t="str">
        <f t="shared" si="209"/>
        <v>+</v>
      </c>
      <c r="MK285" s="293" t="str">
        <f t="shared" si="210"/>
        <v>+</v>
      </c>
      <c r="ML285" s="293" t="str">
        <f t="shared" si="211"/>
        <v>NIL</v>
      </c>
      <c r="MM285" s="3" t="b">
        <f t="array" ref="MM285">OR(ME285:ML285="-")</f>
        <v>0</v>
      </c>
      <c r="MN285" s="285"/>
      <c r="MO285" s="401"/>
      <c r="MP285" s="286"/>
      <c r="MQ285" s="286"/>
      <c r="MR285" s="402"/>
      <c r="MS285" s="400"/>
      <c r="NH285" s="422"/>
      <c r="NJ285" s="421"/>
    </row>
    <row r="286" spans="1:374" s="1" customFormat="1" ht="16.5">
      <c r="A286" s="403">
        <v>46045</v>
      </c>
      <c r="B286" s="404" t="s">
        <v>1015</v>
      </c>
      <c r="C286" s="405" t="s">
        <v>4328</v>
      </c>
      <c r="D286" s="406">
        <v>179</v>
      </c>
      <c r="E286" s="404">
        <v>543</v>
      </c>
      <c r="F286" s="407">
        <v>31700</v>
      </c>
      <c r="G286" s="407" t="s">
        <v>1019</v>
      </c>
      <c r="H286" s="408" t="s">
        <v>1017</v>
      </c>
      <c r="I286" s="409">
        <v>2.4</v>
      </c>
      <c r="J286" s="405" t="s">
        <v>543</v>
      </c>
      <c r="K286" s="404" t="s">
        <v>4329</v>
      </c>
      <c r="L286" s="419" t="str">
        <f t="shared" si="184"/>
        <v>FLINTSL - BLACK</v>
      </c>
      <c r="M286" s="404">
        <v>26</v>
      </c>
      <c r="N286" s="410">
        <f>IF(M286=0,0,IF($LB286=70%,VLOOKUP($L286,'Jan-2026 rates'!$L:$R,4,0),IF($LB286=65%,VLOOKUP($L286,'Jan-2026 rates'!$L:$R,4,0),IF($LB286=40%,VLOOKUP($L286,'Jan-2026 rates'!$L:$R,5,0),IF($LB286=30%,VLOOKUP($L286,'Jan-2026 rates'!$L:$R,6,0),IF($LB286=100%,VLOOKUP($L286,'Jan-2026 rates'!$L:$R,7,0),IF($LB286=60%,VLOOKUP($L286,'Jan-2026 rates'!$L:$S,8,0),IF($LB286=80%,VLOOKUP($L286,'Jan-2026 rates'!L:T,9,0),0))))))))</f>
        <v>0</v>
      </c>
      <c r="O286" s="406"/>
      <c r="P286" s="404"/>
      <c r="Q286" s="410">
        <f>IF(P286=0,0,IF($LB286=70%,VLOOKUP($L286,'Jan-2026 rates'!$L:$R,4,0),IF($LB286=65%,VLOOKUP($L286,'Jan-2026 rates'!$L:$R,4,0),IF($LB286=40%,VLOOKUP($L286,'Jan-2026 rates'!$L:$R,5,0),IF($LB286=30%,VLOOKUP($L286,'Jan-2026 rates'!$L:$R,6,0),IF($LB286=100%,VLOOKUP($L286,'Jan-2026 rates'!$L:$R,7,0),IF($LB286=60%,VLOOKUP($L286,'Jan-2026 rates'!$L:$S,8,0),IF($LB286=80%,VLOOKUP($L286,'Jan-2026 rates'!L:T,9,0),0))))))))</f>
        <v>0</v>
      </c>
      <c r="R286" s="406">
        <v>26524000014</v>
      </c>
      <c r="S286" s="406"/>
      <c r="T286" s="406"/>
      <c r="U286" s="406"/>
      <c r="V286" s="406"/>
      <c r="W286" s="406"/>
      <c r="X286" s="406"/>
      <c r="Y286" s="406"/>
      <c r="Z286" s="404">
        <v>4</v>
      </c>
      <c r="AA286" s="398" t="e">
        <f>IF(Z286=0,0,IF(LEN(R286)=11,_xlfn.XLOOKUP(R286,'Dispensed Ink Rates'!C:C,'Dispensed Ink Rates'!CS:CS),VLOOKUP(R286,'Jan-2026 rates'!$E:$F,2,0)))</f>
        <v>#N/A</v>
      </c>
      <c r="AB286" s="404"/>
      <c r="AC286" s="398">
        <f>IF(AB286=0,0,IF(LEN(S286)=11,_xlfn.XLOOKUP(S286,'Dispensed Ink Rates'!C:C,'Dispensed Ink Rates'!CS:CS),VLOOKUP(S286,'Jan-2026 rates'!$E:$F,2,0)))</f>
        <v>0</v>
      </c>
      <c r="AD286" s="404"/>
      <c r="AE286" s="398">
        <f>IF(AD286=0,0,IF(LEN(T286)=11,_xlfn.XLOOKUP(T286,'Dispensed Ink Rates'!C:C,'Dispensed Ink Rates'!CS:CS),VLOOKUP(T286,'Jan-2026 rates'!$E:$F,2,0)))</f>
        <v>0</v>
      </c>
      <c r="AF286" s="404"/>
      <c r="AG286" s="398">
        <f>IF(AF286=0,0,IF(LEN(U286)=11,_xlfn.XLOOKUP(U286,'Dispensed Ink Rates'!C:C,'Dispensed Ink Rates'!CS:CS),VLOOKUP(U286,'Jan-2026 rates'!$E:$F,2,0)))</f>
        <v>0</v>
      </c>
      <c r="AH286" s="404"/>
      <c r="AI286" s="398">
        <f>IF(AH286=0,0,IF(LEN(V286)=11,_xlfn.XLOOKUP(V286,'Dispensed Ink Rates'!C:C,'Dispensed Ink Rates'!CS:CS),VLOOKUP(V286,'Jan-2026 rates'!$E:$F,2,0)))</f>
        <v>0</v>
      </c>
      <c r="AJ286" s="404"/>
      <c r="AK286" s="398">
        <f>IF(AJ286=0,0,IF(LEN(W286)=11,_xlfn.XLOOKUP(W286,'Dispensed Ink Rates'!C:C,'Dispensed Ink Rates'!CS:CS),VLOOKUP(W286,'Jan-2026 rates'!$E:$F,2,0)))</f>
        <v>0</v>
      </c>
      <c r="AL286" s="404"/>
      <c r="AM286" s="398">
        <f>IF(AL286=0,0,IF(LEN(X286)=11,_xlfn.XLOOKUP(X286,'Dispensed Ink Rates'!C:C,'Dispensed Ink Rates'!CS:CS),VLOOKUP(X286,'Jan-2026 rates'!$E:$F,2,0)))</f>
        <v>0</v>
      </c>
      <c r="AN286" s="404"/>
      <c r="AO286" s="398">
        <f>IF(AN286=0,0,IF(LEN(Y286)=11,_xlfn.XLOOKUP(Y286,'Dispensed Ink Rates'!C:C,'Dispensed Ink Rates'!CS:CS),VLOOKUP(Y286,'Jan-2026 rates'!$E:$F,2,0)))</f>
        <v>0</v>
      </c>
      <c r="AP286" s="409" t="s">
        <v>1443</v>
      </c>
      <c r="AQ286" s="409">
        <v>27</v>
      </c>
      <c r="AR286" s="410">
        <f t="shared" si="212"/>
        <v>0</v>
      </c>
      <c r="AS286" s="411">
        <f t="shared" si="213"/>
        <v>8.588235294117645</v>
      </c>
      <c r="AT286" s="410">
        <f t="shared" si="214"/>
        <v>0</v>
      </c>
      <c r="AU286" s="405" t="s">
        <v>857</v>
      </c>
      <c r="AV286" s="409" t="s">
        <v>4330</v>
      </c>
      <c r="AW286" s="420" t="str">
        <f t="shared" si="183"/>
        <v>FLINTSL - RED</v>
      </c>
      <c r="AX286" s="409">
        <v>28</v>
      </c>
      <c r="AY286" s="411">
        <f>IF(AX286=0,0,IF($LB286=70%,VLOOKUP($AW286,'Jan-2026 rates'!$L:$R,4,0),IF($LB286=65%,VLOOKUP($AW286,'Jan-2026 rates'!$L:$R,4,0),IF($LB286=40%,VLOOKUP($AW286,'Jan-2026 rates'!$L:$R,5,0),IF($LB286=30%,VLOOKUP($AW286,'Jan-2026 rates'!$L:$R,6,0),IF($LB286=100%,VLOOKUP($AW286,'Jan-2026 rates'!$L:$R,7,0),IF($LB286=60%,VLOOKUP($AW286,'Jan-2026 rates'!$L:$S,8,0),IF($LB286=80%,VLOOKUP($AW286,'Jan-2026 rates'!L:T,9,0),0))))))))</f>
        <v>0</v>
      </c>
      <c r="AZ286" s="412"/>
      <c r="BA286" s="409"/>
      <c r="BB286" s="411">
        <f>IF(BA286=0,0,IF($LB286=70%,VLOOKUP($AW286,'Jan-2026 rates'!$L:$R,4,0),IF($LB286=65%,VLOOKUP($AW286,'Jan-2026 rates'!$L:$R,4,0),IF($LB286=40%,VLOOKUP($AW286,'Jan-2026 rates'!$L:$R,5,0),IF($LB286=30%,VLOOKUP($AW286,'Jan-2026 rates'!$L:$R,6,0),IF($LB286=100%,VLOOKUP($AW286,'Jan-2026 rates'!$L:$R,7,0),IF($LB286=60%,VLOOKUP($AW286,'Jan-2026 rates'!$L:$S,8,0),IF($LB286=80%,VLOOKUP($AW286,'Jan-2026 rates'!L:T,9,0),0))))))))</f>
        <v>0</v>
      </c>
      <c r="BC286" s="413">
        <v>26524000032</v>
      </c>
      <c r="BD286" s="412"/>
      <c r="BE286" s="412"/>
      <c r="BF286" s="413"/>
      <c r="BG286" s="412"/>
      <c r="BH286" s="412"/>
      <c r="BI286" s="412"/>
      <c r="BJ286" s="412"/>
      <c r="BK286" s="409">
        <v>4</v>
      </c>
      <c r="BL286" s="398" t="e">
        <f>IF(BK286=0,0,IF(LEN(BC286)=11,_xlfn.XLOOKUP(BC286,'Dispensed Ink Rates'!C:C,'Dispensed Ink Rates'!CS:CS),VLOOKUP(BC286,'Jan-2026 rates'!$E:$F,2,0)))</f>
        <v>#N/A</v>
      </c>
      <c r="BM286" s="409"/>
      <c r="BN286" s="398">
        <f>IF(BM286=0,0,IF(LEN(BD286)=11,_xlfn.XLOOKUP(BD286,'Dispensed Ink Rates'!C:C,'Dispensed Ink Rates'!CS:CS),VLOOKUP(BD286,'Jan-2026 rates'!$E:$F,2,0)))</f>
        <v>0</v>
      </c>
      <c r="BO286" s="409"/>
      <c r="BP286" s="398">
        <f>IF(BO286=0,0,IF(LEN(BE286)=11,_xlfn.XLOOKUP(BE286,'Dispensed Ink Rates'!C:C,'Dispensed Ink Rates'!CS:CS),VLOOKUP(BE286,'Jan-2026 rates'!$E:$F,2,0)))</f>
        <v>0</v>
      </c>
      <c r="BQ286" s="409"/>
      <c r="BR286" s="398">
        <f>IF(BQ286=0,0,IF(LEN(BF286)=11,_xlfn.XLOOKUP(BF286,'Dispensed Ink Rates'!C:C,'Dispensed Ink Rates'!CS:CS),VLOOKUP(BF286,'Jan-2026 rates'!$E:$F,2,0)))</f>
        <v>0</v>
      </c>
      <c r="BS286" s="409"/>
      <c r="BT286" s="398">
        <f>IF(BS286=0,0,IF(LEN(BG286)=11,_xlfn.XLOOKUP(BG286,'Dispensed Ink Rates'!C:C,'Dispensed Ink Rates'!CS:CS),VLOOKUP(BG286,'Jan-2026 rates'!$E:$F,2,0)))</f>
        <v>0</v>
      </c>
      <c r="BU286" s="409"/>
      <c r="BV286" s="398">
        <f>IF(BU286=0,0,IF(LEN(BH286)=11,_xlfn.XLOOKUP(BH286,'Dispensed Ink Rates'!C:C,'Dispensed Ink Rates'!CS:CS),VLOOKUP(BH286,'Jan-2026 rates'!$E:$F,2,0)))</f>
        <v>0</v>
      </c>
      <c r="BW286" s="409"/>
      <c r="BX286" s="398">
        <f>IF(BW286=0,0,IF(LEN(BI286)=11,_xlfn.XLOOKUP(BI286,'Dispensed Ink Rates'!C:C,'Dispensed Ink Rates'!CS:CS),VLOOKUP(BI286,'Jan-2026 rates'!$E:$F,2,0)))</f>
        <v>0</v>
      </c>
      <c r="BY286" s="409"/>
      <c r="BZ286" s="398">
        <f>IF(BY286=0,0,IF(LEN(BJ286)=11,_xlfn.XLOOKUP(BJ286,'Dispensed Ink Rates'!C:C,'Dispensed Ink Rates'!CS:CS),VLOOKUP(BJ286,'Jan-2026 rates'!$E:$F,2,0)))</f>
        <v>0</v>
      </c>
      <c r="CA286" s="409" t="s">
        <v>1443</v>
      </c>
      <c r="CB286" s="409">
        <v>29</v>
      </c>
      <c r="CC286" s="411">
        <f t="shared" si="215"/>
        <v>0</v>
      </c>
      <c r="CD286" s="411">
        <f t="shared" si="216"/>
        <v>14.17647058823529</v>
      </c>
      <c r="CE286" s="410">
        <f t="shared" si="217"/>
        <v>0</v>
      </c>
      <c r="CF286" s="404" t="s">
        <v>828</v>
      </c>
      <c r="CG286" s="409" t="s">
        <v>4331</v>
      </c>
      <c r="CH286" s="420" t="str">
        <f t="shared" si="185"/>
        <v>FLINTSL - ORANGE</v>
      </c>
      <c r="CI286" s="409">
        <v>25</v>
      </c>
      <c r="CJ286" s="411">
        <f>IF(CI286=0,0,IF($LB286=70%,VLOOKUP($CH286,'Jan-2026 rates'!$L:$R,4,0),IF($LB286=65%,VLOOKUP($CH286,'Jan-2026 rates'!$L:$R,4,0),IF($LB286=40%,VLOOKUP($CH286,'Jan-2026 rates'!$L:$R,5,0),IF($LB286=30%,VLOOKUP($CH286,'Jan-2026 rates'!$L:$R,6,0),IF($LB286=100%,VLOOKUP($CH286,'Jan-2026 rates'!$L:$R,7,0),IF($LB286=60%,VLOOKUP($CH286,'Jan-2026 rates'!$L:$S,8,0),IF($LB286=80%,VLOOKUP($CH286,'Jan-2026 rates'!L:T,9,0),0))))))))</f>
        <v>0</v>
      </c>
      <c r="CK286" s="412"/>
      <c r="CL286" s="409"/>
      <c r="CM286" s="411">
        <f>IF(CL286=0,0,IF($LB286=70%,VLOOKUP($CH286,'Jan-2026 rates'!$L:$R,4,0),IF($LB286=65%,VLOOKUP($CH286,'Jan-2026 rates'!$L:$R,4,0),IF($LB286=40%,VLOOKUP($CH286,'Jan-2026 rates'!$L:$R,5,0),IF($LB286=30%,VLOOKUP($CH286,'Jan-2026 rates'!$L:$R,6,0),IF($LB286=100%,VLOOKUP($CH286,'Jan-2026 rates'!$L:$R,7,0),IF($LB286=60%,VLOOKUP($CH286,'Jan-2026 rates'!$L:$S,8,0),IF($LB286=80%,VLOOKUP($CH286,'Jan-2026 rates'!L:T,9,0),0))))))))</f>
        <v>0</v>
      </c>
      <c r="CN286" s="426">
        <v>26525000014</v>
      </c>
      <c r="CO286" s="427">
        <v>26524000007</v>
      </c>
      <c r="CP286" s="426" t="s">
        <v>1266</v>
      </c>
      <c r="CQ286" s="426">
        <v>26524000006</v>
      </c>
      <c r="CR286" s="428"/>
      <c r="CS286" s="428"/>
      <c r="CT286" s="428"/>
      <c r="CU286" s="428"/>
      <c r="CV286" s="409">
        <f>15+10</f>
        <v>25</v>
      </c>
      <c r="CW286" s="398" t="e">
        <f>IF(CV286=0,0,IF(LEN(CN286)=11,_xlfn.XLOOKUP(CN286,'Dispensed Ink Rates'!C:C,'Dispensed Ink Rates'!CS:CS),VLOOKUP(CN286,'Jan-2026 rates'!$E:$F,2,0)))</f>
        <v>#N/A</v>
      </c>
      <c r="CX286" s="409">
        <v>15</v>
      </c>
      <c r="CY286" s="398" t="e">
        <f>IF(CX286=0,0,IF(LEN(CO286)=11,_xlfn.XLOOKUP(CO286,'Dispensed Ink Rates'!C:C,'Dispensed Ink Rates'!CS:CS),VLOOKUP(CO286,'Jan-2026 rates'!$E:$F,2,0)))</f>
        <v>#N/A</v>
      </c>
      <c r="CZ286" s="409">
        <v>10</v>
      </c>
      <c r="DA286" s="398">
        <f>IF(CZ286=0,0,IF(LEN(CP286)=11,_xlfn.XLOOKUP(CP286,'Dispensed Ink Rates'!C:C,'Dispensed Ink Rates'!CS:CS),VLOOKUP(CP286,'Jan-2026 rates'!$E:$F,2,0)))</f>
        <v>0</v>
      </c>
      <c r="DB286" s="409">
        <v>3</v>
      </c>
      <c r="DC286" s="398" t="e">
        <f>IF(DB286=0,0,IF(LEN(CQ286)=11,_xlfn.XLOOKUP(CQ286,'Dispensed Ink Rates'!C:C,'Dispensed Ink Rates'!CS:CS),VLOOKUP(CQ286,'Jan-2026 rates'!$E:$F,2,0)))</f>
        <v>#N/A</v>
      </c>
      <c r="DD286" s="409"/>
      <c r="DE286" s="398">
        <f>IF(DD286=0,0,IF(LEN(CR286)=11,_xlfn.XLOOKUP(CR286,'Dispensed Ink Rates'!C:C,'Dispensed Ink Rates'!CS:CS),VLOOKUP(CR286,'Jan-2026 rates'!$E:$F,2,0)))</f>
        <v>0</v>
      </c>
      <c r="DF286" s="409"/>
      <c r="DG286" s="398">
        <f>IF(DF286=0,0,IF(LEN(CS286)=11,_xlfn.XLOOKUP(CS286,'Dispensed Ink Rates'!C:C,'Dispensed Ink Rates'!CS:CS),VLOOKUP(CS286,'Jan-2026 rates'!$E:$F,2,0)))</f>
        <v>0</v>
      </c>
      <c r="DH286" s="409"/>
      <c r="DI286" s="398">
        <f>IF(DH286=0,0,IF(LEN(CT286)=11,_xlfn.XLOOKUP(CT286,'Dispensed Ink Rates'!C:C,'Dispensed Ink Rates'!CS:CS),VLOOKUP(CT286,'Jan-2026 rates'!$E:$F,2,0)))</f>
        <v>0</v>
      </c>
      <c r="DJ286" s="409"/>
      <c r="DK286" s="398">
        <f>IF(DJ286=0,0,IF(LEN(CU286)=11,_xlfn.XLOOKUP(CU286,'Dispensed Ink Rates'!C:C,'Dispensed Ink Rates'!CS:CS),VLOOKUP(CU286,'Jan-2026 rates'!$E:$F,2,0)))</f>
        <v>0</v>
      </c>
      <c r="DL286" s="409" t="s">
        <v>1443</v>
      </c>
      <c r="DM286" s="409">
        <v>25</v>
      </c>
      <c r="DN286" s="411">
        <f t="shared" si="218"/>
        <v>0</v>
      </c>
      <c r="DO286" s="411">
        <f t="shared" si="219"/>
        <v>80.941176470588232</v>
      </c>
      <c r="DP286" s="410">
        <f t="shared" si="220"/>
        <v>0</v>
      </c>
      <c r="DQ286" s="405" t="s">
        <v>855</v>
      </c>
      <c r="DR286" s="409" t="s">
        <v>4332</v>
      </c>
      <c r="DS286" s="420" t="str">
        <f t="shared" si="186"/>
        <v>FLINTSL - CYAN</v>
      </c>
      <c r="DT286" s="409">
        <v>29</v>
      </c>
      <c r="DU286" s="411">
        <f>IF(DT286=0,0,IF($LB286=70%,VLOOKUP($DS286,'Jan-2026 rates'!$L:$R,4,0),IF($LB286=65%,VLOOKUP($DS286,'Jan-2026 rates'!$L:$R,4,0),IF($LB286=40%,VLOOKUP($DS286,'Jan-2026 rates'!$L:$R,5,0),IF($LB286=30%,VLOOKUP($DS286,'Jan-2026 rates'!$L:$R,6,0),IF($LB286=100%,VLOOKUP($DS286,'Jan-2026 rates'!$L:$R,7,0),IF($LB286=60%,VLOOKUP($DS286,'Jan-2026 rates'!$L:$S,8,0),IF($LB286=80%,VLOOKUP($DS286,'Jan-2026 rates'!L:T,9,0),0))))))))</f>
        <v>0</v>
      </c>
      <c r="DV286" s="412"/>
      <c r="DW286" s="409"/>
      <c r="DX286" s="411">
        <f>IF(DW286=0,0,IF($LB286=70%,VLOOKUP($DS286,'Jan-2026 rates'!$L:$R,4,0),IF($LB286=65%,VLOOKUP($DS286,'Jan-2026 rates'!$L:$R,4,0),IF($LB286=40%,VLOOKUP($DS286,'Jan-2026 rates'!$L:$R,5,0),IF($LB286=30%,VLOOKUP($DS286,'Jan-2026 rates'!$L:$R,6,0),IF($LB286=100%,VLOOKUP($DS286,'Jan-2026 rates'!$L:$R,7,0),IF($LB286=60%,VLOOKUP($DS286,'Jan-2026 rates'!$L:$S,8,0),IF($LB286=80%,VLOOKUP($DS286,'Jan-2026 rates'!L:T,9,0),0))))))))</f>
        <v>0</v>
      </c>
      <c r="DY286" s="413" t="s">
        <v>1266</v>
      </c>
      <c r="DZ286" s="413"/>
      <c r="EA286" s="412"/>
      <c r="EB286" s="412"/>
      <c r="EC286" s="412"/>
      <c r="ED286" s="412"/>
      <c r="EE286" s="412"/>
      <c r="EF286" s="412"/>
      <c r="EG286" s="409">
        <v>7</v>
      </c>
      <c r="EH286" s="398">
        <f>IF(EG286=0,0,IF(LEN(DY286)=11,_xlfn.XLOOKUP(DY286,'Dispensed Ink Rates'!C:C,'Dispensed Ink Rates'!CS:CS),VLOOKUP(DY286,'Jan-2026 rates'!$E:$F,2,0)))</f>
        <v>0</v>
      </c>
      <c r="EI286" s="409"/>
      <c r="EJ286" s="398">
        <f>IF(EI286=0,0,IF(LEN(DZ286)=11,_xlfn.XLOOKUP(DZ286,'Dispensed Ink Rates'!C:C,'Dispensed Ink Rates'!CS:CS),VLOOKUP(DZ286,'Jan-2026 rates'!$E:$F,2,0)))</f>
        <v>0</v>
      </c>
      <c r="EK286" s="409"/>
      <c r="EL286" s="398">
        <f>IF(EK286=0,0,IF(LEN(EA286)=11,_xlfn.XLOOKUP(EA286,'Dispensed Ink Rates'!C:C,'Dispensed Ink Rates'!CS:CS),VLOOKUP(EA286,'Jan-2026 rates'!$E:$F,2,0)))</f>
        <v>0</v>
      </c>
      <c r="EM286" s="409"/>
      <c r="EN286" s="398">
        <f>IF(EM286=0,0,IF(LEN(EB286)=11,_xlfn.XLOOKUP(EB286,'Dispensed Ink Rates'!C:C,'Dispensed Ink Rates'!CS:CS),VLOOKUP(EB286,'Jan-2026 rates'!$E:$F,2,0)))</f>
        <v>0</v>
      </c>
      <c r="EO286" s="409"/>
      <c r="EP286" s="398">
        <f>IF(EO286=0,0,IF(LEN(EC286)=11,_xlfn.XLOOKUP(EC286,'Dispensed Ink Rates'!C:C,'Dispensed Ink Rates'!CS:CS),VLOOKUP(EC286,'Jan-2026 rates'!$E:$F,2,0)))</f>
        <v>0</v>
      </c>
      <c r="EQ286" s="409"/>
      <c r="ER286" s="398">
        <f>IF(EQ286=0,0,IF(LEN(ED286)=11,_xlfn.XLOOKUP(ED286,'Dispensed Ink Rates'!C:C,'Dispensed Ink Rates'!CS:CS),VLOOKUP(ED286,'Jan-2026 rates'!$E:$F,2,0)))</f>
        <v>0</v>
      </c>
      <c r="ES286" s="409"/>
      <c r="ET286" s="398">
        <f>IF(ES286=0,0,IF(LEN(EE286)=11,_xlfn.XLOOKUP(EE286,'Dispensed Ink Rates'!C:C,'Dispensed Ink Rates'!CS:CS),VLOOKUP(EE286,'Jan-2026 rates'!$E:$F,2,0)))</f>
        <v>0</v>
      </c>
      <c r="EU286" s="409"/>
      <c r="EV286" s="398">
        <f>IF(EU286=0,0,IF(LEN(EF286)=11,_xlfn.XLOOKUP(EF286,'Dispensed Ink Rates'!C:C,'Dispensed Ink Rates'!CS:CS),VLOOKUP(EF286,'Jan-2026 rates'!$E:$F,2,0)))</f>
        <v>0</v>
      </c>
      <c r="EW286" s="409" t="s">
        <v>1443</v>
      </c>
      <c r="EX286" s="409">
        <v>29</v>
      </c>
      <c r="EY286" s="411">
        <f t="shared" si="221"/>
        <v>0</v>
      </c>
      <c r="EZ286" s="411">
        <f t="shared" si="222"/>
        <v>12.588235294117645</v>
      </c>
      <c r="FA286" s="410">
        <f t="shared" si="223"/>
        <v>0</v>
      </c>
      <c r="FB286" s="405" t="s">
        <v>544</v>
      </c>
      <c r="FC286" s="409" t="s">
        <v>4333</v>
      </c>
      <c r="FD286" s="420" t="str">
        <f t="shared" si="187"/>
        <v>FLINTSL - MAGENTA</v>
      </c>
      <c r="FE286" s="409">
        <v>29</v>
      </c>
      <c r="FF286" s="411">
        <f>IF(FE286=0,0,IF($LB286=70%,VLOOKUP($FD286,'Jan-2026 rates'!$L:$R,4,0),IF($LB286=65%,VLOOKUP($FD286,'Jan-2026 rates'!$L:$R,4,0),IF($LB286=40%,VLOOKUP($FD286,'Jan-2026 rates'!$L:$R,5,0),IF($LB286=30%,VLOOKUP($FD286,'Jan-2026 rates'!$L:$R,6,0),IF($LB286=100%,VLOOKUP($FD286,'Jan-2026 rates'!$L:$R,7,0),IF($LB286=60%,VLOOKUP($FD286,'Jan-2026 rates'!$L:$S,8,0),IF($LB286=80%,VLOOKUP($FD286,'Jan-2026 rates'!L:T,9,0),0))))))))</f>
        <v>0</v>
      </c>
      <c r="FG286" s="412"/>
      <c r="FH286" s="409"/>
      <c r="FI286" s="411">
        <f>IF(FH286=0,0,IF($LB286=70%,VLOOKUP($FD286,'Jan-2026 rates'!$L:$R,4,0),IF($LB286=65%,VLOOKUP($FD286,'Jan-2026 rates'!$L:$R,4,0),IF($LB286=40%,VLOOKUP($FD286,'Jan-2026 rates'!$L:$R,5,0),IF($LB286=30%,VLOOKUP($FD286,'Jan-2026 rates'!$L:$R,6,0),IF($LB286=100%,VLOOKUP($FD286,'Jan-2026 rates'!$L:$R,7,0),IF($LB286=60%,VLOOKUP($FD286,'Jan-2026 rates'!$L:$S,8,0),IF($LB286=80%,VLOOKUP($FD286,'Jan-2026 rates'!L:T,9,0),0))))))))</f>
        <v>0</v>
      </c>
      <c r="FJ286" s="413" t="s">
        <v>1266</v>
      </c>
      <c r="FK286" s="413"/>
      <c r="FL286" s="413"/>
      <c r="FM286" s="412"/>
      <c r="FN286" s="412"/>
      <c r="FO286" s="412"/>
      <c r="FP286" s="412"/>
      <c r="FQ286" s="412"/>
      <c r="FR286" s="409">
        <v>3</v>
      </c>
      <c r="FS286" s="398">
        <f>IF(FR286=0,0,IF(LEN(FJ286)=11,_xlfn.XLOOKUP(FJ286,'Dispensed Ink Rates'!C:C,'Dispensed Ink Rates'!CS:CS),VLOOKUP(FJ286,'Jan-2026 rates'!$E:$F,2,0)))</f>
        <v>0</v>
      </c>
      <c r="FT286" s="409"/>
      <c r="FU286" s="398">
        <f>IF(FT286=0,0,IF(LEN(FK286)=11,_xlfn.XLOOKUP(FK286,'Dispensed Ink Rates'!C:C,'Dispensed Ink Rates'!CS:CS),VLOOKUP(FK286,'Jan-2026 rates'!$E:$F,2,0)))</f>
        <v>0</v>
      </c>
      <c r="FV286" s="409"/>
      <c r="FW286" s="398">
        <f>IF(FV286=0,0,IF(LEN(FL286)=11,_xlfn.XLOOKUP(FL286,'Dispensed Ink Rates'!C:C,'Dispensed Ink Rates'!CS:CS),VLOOKUP(FL286,'Jan-2026 rates'!$E:$F,2,0)))</f>
        <v>0</v>
      </c>
      <c r="FX286" s="409"/>
      <c r="FY286" s="398">
        <f>IF(FX286=0,0,IF(LEN(FM286)=11,_xlfn.XLOOKUP(FM286,'Dispensed Ink Rates'!C:C,'Dispensed Ink Rates'!CS:CS),VLOOKUP(FM286,'Jan-2026 rates'!$E:$F,2,0)))</f>
        <v>0</v>
      </c>
      <c r="FZ286" s="409"/>
      <c r="GA286" s="398">
        <f>IF(FZ286=0,0,IF(LEN(FN286)=11,_xlfn.XLOOKUP(FN286,'Dispensed Ink Rates'!C:C,'Dispensed Ink Rates'!CS:CS),VLOOKUP(FN286,'Jan-2026 rates'!$E:$F,2,0)))</f>
        <v>0</v>
      </c>
      <c r="GB286" s="409"/>
      <c r="GC286" s="398">
        <f>IF(GB286=0,0,IF(LEN(FO286)=11,_xlfn.XLOOKUP(FO286,'Dispensed Ink Rates'!C:C,'Dispensed Ink Rates'!CS:CS),VLOOKUP(FO286,'Jan-2026 rates'!$E:$F,2,0)))</f>
        <v>0</v>
      </c>
      <c r="GD286" s="409"/>
      <c r="GE286" s="398">
        <f>IF(GD286=0,0,IF(LEN(FP286)=11,_xlfn.XLOOKUP(FP286,'Dispensed Ink Rates'!C:C,'Dispensed Ink Rates'!CS:CS),VLOOKUP(FP286,'Jan-2026 rates'!$E:$F,2,0)))</f>
        <v>0</v>
      </c>
      <c r="GF286" s="409"/>
      <c r="GG286" s="398">
        <f>IF(GF286=0,0,IF(LEN(FQ286)=11,_xlfn.XLOOKUP(FQ286,'Dispensed Ink Rates'!C:C,'Dispensed Ink Rates'!CS:CS),VLOOKUP(FQ286,'Jan-2026 rates'!$E:$F,2,0)))</f>
        <v>0</v>
      </c>
      <c r="GH286" s="409" t="s">
        <v>1443</v>
      </c>
      <c r="GI286" s="409">
        <v>30</v>
      </c>
      <c r="GJ286" s="411">
        <f t="shared" si="224"/>
        <v>0</v>
      </c>
      <c r="GK286" s="411">
        <f t="shared" si="225"/>
        <v>11.313725490196077</v>
      </c>
      <c r="GL286" s="410">
        <f t="shared" si="226"/>
        <v>0</v>
      </c>
      <c r="GM286" s="405" t="s">
        <v>545</v>
      </c>
      <c r="GN286" s="409" t="s">
        <v>4334</v>
      </c>
      <c r="GO286" s="420" t="str">
        <f t="shared" si="188"/>
        <v>FLINTSL - YELLOW</v>
      </c>
      <c r="GP286" s="409">
        <v>28</v>
      </c>
      <c r="GQ286" s="411">
        <f>IF(GP286=0,0,IF($LB286=70%,VLOOKUP($GO286,'Jan-2026 rates'!$L:$R,4,0),IF($LB286=65%,VLOOKUP($GO286,'Jan-2026 rates'!$L:$R,4,0),IF($LB286=40%,VLOOKUP($GO286,'Jan-2026 rates'!$L:$R,5,0),IF($LB286=30%,VLOOKUP($GO286,'Jan-2026 rates'!$L:$R,6,0),IF($LB286=100%,VLOOKUP($GO286,'Jan-2026 rates'!$L:$R,7,0),IF($LB286=60%,VLOOKUP($GO286,'Jan-2026 rates'!$L:$S,8,0),IF($LB286=80%,VLOOKUP($GO286,'Jan-2026 rates'!L:T,9,0),0))))))))</f>
        <v>0</v>
      </c>
      <c r="GR286" s="412"/>
      <c r="GS286" s="409"/>
      <c r="GT286" s="411">
        <f>IF(GS286=0,0,IF($LB286=70%,VLOOKUP($GO286,'Jan-2026 rates'!$L:$R,4,0),IF($LB286=65%,VLOOKUP($GO286,'Jan-2026 rates'!$L:$R,4,0),IF($LB286=40%,VLOOKUP($GO286,'Jan-2026 rates'!$L:$R,5,0),IF($LB286=30%,VLOOKUP($GO286,'Jan-2026 rates'!$L:$R,6,0),IF($LB286=100%,VLOOKUP($GO286,'Jan-2026 rates'!$L:$R,7,0),IF($LB286=60%,VLOOKUP($GO286,'Jan-2026 rates'!$L:$S,8,0),IF($LB286=80%,VLOOKUP($GO286,'Jan-2026 rates'!L:T,9,0),0))))))))</f>
        <v>0</v>
      </c>
      <c r="GU286" s="413">
        <v>26525000014</v>
      </c>
      <c r="GV286" s="413"/>
      <c r="GW286" s="412"/>
      <c r="GX286" s="412"/>
      <c r="GY286" s="412"/>
      <c r="GZ286" s="412"/>
      <c r="HA286" s="412"/>
      <c r="HB286" s="412"/>
      <c r="HC286" s="409">
        <v>5</v>
      </c>
      <c r="HD286" s="398" t="e">
        <f>IF(HC286=0,0,IF(LEN(GU286)=11,_xlfn.XLOOKUP(GU286,'Dispensed Ink Rates'!C:C,'Dispensed Ink Rates'!CS:CS),VLOOKUP(GU286,'Jan-2026 rates'!$E:$F,2,0)))</f>
        <v>#N/A</v>
      </c>
      <c r="HE286" s="409"/>
      <c r="HF286" s="398">
        <f>IF(HE286=0,0,IF(LEN(GV286)=11,_xlfn.XLOOKUP(GV286,'Dispensed Ink Rates'!C:C,'Dispensed Ink Rates'!CS:CS),VLOOKUP(GV286,'Jan-2026 rates'!$E:$F,2,0)))</f>
        <v>0</v>
      </c>
      <c r="HG286" s="409"/>
      <c r="HH286" s="398">
        <f>IF(HG286=0,0,IF(LEN(GW286)=11,_xlfn.XLOOKUP(GW286,'Dispensed Ink Rates'!C:C,'Dispensed Ink Rates'!CS:CS),VLOOKUP(GW286,'Jan-2026 rates'!$E:$F,2,0)))</f>
        <v>0</v>
      </c>
      <c r="HI286" s="409"/>
      <c r="HJ286" s="398">
        <f>IF(HI286=0,0,IF(LEN(GX286)=11,_xlfn.XLOOKUP(GX286,'Dispensed Ink Rates'!C:C,'Dispensed Ink Rates'!CS:CS),VLOOKUP(GX286,'Jan-2026 rates'!$E:$F,2,0)))</f>
        <v>0</v>
      </c>
      <c r="HK286" s="409"/>
      <c r="HL286" s="398">
        <f>IF(HK286=0,0,IF(LEN(GY286)=11,_xlfn.XLOOKUP(GY286,'Dispensed Ink Rates'!C:C,'Dispensed Ink Rates'!CS:CS),VLOOKUP(GY286,'Jan-2026 rates'!$E:$F,2,0)))</f>
        <v>0</v>
      </c>
      <c r="HM286" s="409"/>
      <c r="HN286" s="398">
        <f>IF(HM286=0,0,IF(LEN(GZ286)=11,_xlfn.XLOOKUP(GZ286,'Dispensed Ink Rates'!C:C,'Dispensed Ink Rates'!CS:CS),VLOOKUP(GZ286,'Jan-2026 rates'!$E:$F,2,0)))</f>
        <v>0</v>
      </c>
      <c r="HO286" s="409"/>
      <c r="HP286" s="398">
        <f>IF(HO286=0,0,IF(LEN(HA286)=11,_xlfn.XLOOKUP(HA286,'Dispensed Ink Rates'!C:C,'Dispensed Ink Rates'!CS:CS),VLOOKUP(HA286,'Jan-2026 rates'!$E:$F,2,0)))</f>
        <v>0</v>
      </c>
      <c r="HQ286" s="409"/>
      <c r="HR286" s="398">
        <f>IF(HQ286=0,0,IF(LEN(HB286)=11,_xlfn.XLOOKUP(HB286,'Dispensed Ink Rates'!C:C,'Dispensed Ink Rates'!CS:CS),VLOOKUP(HB286,'Jan-2026 rates'!$E:$F,2,0)))</f>
        <v>0</v>
      </c>
      <c r="HS286" s="409" t="s">
        <v>1443</v>
      </c>
      <c r="HT286" s="409">
        <v>30</v>
      </c>
      <c r="HU286" s="411">
        <f t="shared" si="227"/>
        <v>0</v>
      </c>
      <c r="HV286" s="411">
        <f t="shared" si="228"/>
        <v>21.627450980392155</v>
      </c>
      <c r="HW286" s="414">
        <f t="shared" si="229"/>
        <v>0</v>
      </c>
      <c r="HX286" s="405" t="s">
        <v>856</v>
      </c>
      <c r="HY286" s="409" t="s">
        <v>4335</v>
      </c>
      <c r="HZ286" s="420" t="str">
        <f t="shared" si="189"/>
        <v>FLINTSL - WHITE</v>
      </c>
      <c r="IA286" s="409">
        <v>27</v>
      </c>
      <c r="IB286" s="411">
        <f>IF(IA286=0,0,IF($LB286=70%,VLOOKUP($HZ286,'Jan-2026 rates'!$L:$R,4,0),IF($LB286=65%,VLOOKUP($HZ286,'Jan-2026 rates'!$L:$R,4,0),IF($LB286=40%,VLOOKUP($HZ286,'Jan-2026 rates'!$L:$R,5,0),IF($LB286=30%,VLOOKUP($HZ286,'Jan-2026 rates'!$L:$R,6,0),IF($LB286=100%,VLOOKUP($HZ286,'Jan-2026 rates'!$L:$R,7,0),IF($LB286=60%,VLOOKUP($HZ286,'Jan-2026 rates'!$L:$S,8,0),IF($LB286=80%,VLOOKUP($HZ286,'Jan-2026 rates'!L:T,9,0),0))))))))</f>
        <v>0</v>
      </c>
      <c r="IC286" s="412"/>
      <c r="ID286" s="409"/>
      <c r="IE286" s="411">
        <f>IF(ID286=0,0,IF($LB286=70%,VLOOKUP($HZ286,'Jan-2026 rates'!$L:$R,4,0),IF($LB286=65%,VLOOKUP($HZ286,'Jan-2026 rates'!$L:$R,4,0),IF($LB286=40%,VLOOKUP($HZ286,'Jan-2026 rates'!$L:$R,5,0),IF($LB286=30%,VLOOKUP($HZ286,'Jan-2026 rates'!$L:$R,6,0),IF($LB286=100%,VLOOKUP($HZ286,'Jan-2026 rates'!$L:$R,7,0),IF($LB286=60%,VLOOKUP($HZ286,'Jan-2026 rates'!$L:$S,8,0),IF($LB286=80%,VLOOKUP($HZ286,'Jan-2026 rates'!L:T,9,0),0))))))))</f>
        <v>0</v>
      </c>
      <c r="IF286" s="412" t="s">
        <v>484</v>
      </c>
      <c r="IG286" s="413"/>
      <c r="IH286" s="412"/>
      <c r="II286" s="412"/>
      <c r="IJ286" s="412"/>
      <c r="IK286" s="412"/>
      <c r="IL286" s="412"/>
      <c r="IM286" s="412"/>
      <c r="IN286" s="409">
        <v>100</v>
      </c>
      <c r="IO286" s="398">
        <f>IF(IN286=0,0,IF(LEN(IF286)=11,_xlfn.XLOOKUP(IF286,'Dispensed Ink Rates'!C:C,'Dispensed Ink Rates'!CS:CS),VLOOKUP(IF286,'Jan-2026 rates'!$E:$F,2,0)))</f>
        <v>0</v>
      </c>
      <c r="IP286" s="409"/>
      <c r="IQ286" s="398">
        <f>IF(IP286=0,0,IF(LEN(IG286)=11,_xlfn.XLOOKUP(IG286,'Dispensed Ink Rates'!C:C,'Dispensed Ink Rates'!CS:CS),VLOOKUP(IG286,'Jan-2026 rates'!$E:$F,2,0)))</f>
        <v>0</v>
      </c>
      <c r="IR286" s="409"/>
      <c r="IS286" s="398">
        <f>IF(IR286=0,0,IF(LEN(IH286)=11,_xlfn.XLOOKUP(IH286,'Dispensed Ink Rates'!C:C,'Dispensed Ink Rates'!CS:CS),VLOOKUP(IH286,'Jan-2026 rates'!$E:$F,2,0)))</f>
        <v>0</v>
      </c>
      <c r="IT286" s="409"/>
      <c r="IU286" s="398">
        <f>IF(IT286=0,0,IF(LEN(II286)=11,_xlfn.XLOOKUP(II286,'Dispensed Ink Rates'!C:C,'Dispensed Ink Rates'!CS:CS),VLOOKUP(II286,'Jan-2026 rates'!$E:$F,2,0)))</f>
        <v>0</v>
      </c>
      <c r="IV286" s="409"/>
      <c r="IW286" s="398">
        <f>IF(IV286=0,0,IF(LEN(IJ286)=11,_xlfn.XLOOKUP(IJ286,'Dispensed Ink Rates'!C:C,'Dispensed Ink Rates'!CS:CS),VLOOKUP(IJ286,'Jan-2026 rates'!$E:$F,2,0)))</f>
        <v>0</v>
      </c>
      <c r="IX286" s="409"/>
      <c r="IY286" s="398">
        <f>IF(IX286=0,0,IF(LEN(IK286)=11,_xlfn.XLOOKUP(IK286,'Dispensed Ink Rates'!C:C,'Dispensed Ink Rates'!CS:CS),VLOOKUP(IK286,'Jan-2026 rates'!$E:$F,2,0)))</f>
        <v>0</v>
      </c>
      <c r="IZ286" s="409"/>
      <c r="JA286" s="398">
        <f>IF(IZ286=0,0,IF(LEN(IL286)=11,_xlfn.XLOOKUP(IL286,'Dispensed Ink Rates'!C:C,'Dispensed Ink Rates'!CS:CS),VLOOKUP(IL286,'Jan-2026 rates'!$E:$F,2,0)))</f>
        <v>0</v>
      </c>
      <c r="JB286" s="409"/>
      <c r="JC286" s="398">
        <f>IF(JB286=0,0,IF(LEN(IM286)=11,_xlfn.XLOOKUP(IM286,'Dispensed Ink Rates'!C:C,'Dispensed Ink Rates'!CS:CS),VLOOKUP(IM286,'Jan-2026 rates'!$E:$F,2,0)))</f>
        <v>0</v>
      </c>
      <c r="JD286" s="409" t="s">
        <v>1443</v>
      </c>
      <c r="JE286" s="409">
        <v>24</v>
      </c>
      <c r="JF286" s="411">
        <f t="shared" si="230"/>
        <v>0</v>
      </c>
      <c r="JG286" s="411">
        <f t="shared" si="231"/>
        <v>214.76470588235293</v>
      </c>
      <c r="JH286" s="410">
        <f t="shared" si="232"/>
        <v>0</v>
      </c>
      <c r="JI286" s="405"/>
      <c r="JJ286" s="409"/>
      <c r="JK286" s="420" t="str">
        <f t="shared" si="190"/>
        <v xml:space="preserve"> - </v>
      </c>
      <c r="JL286" s="409"/>
      <c r="JM286" s="411">
        <f>IF(JL286=0,0,IF($LB286=70%,VLOOKUP($JK286,'Jan-2026 rates'!$L:$R,4,0),IF($LB286=65%,VLOOKUP($JK286,'Jan-2026 rates'!$L:$R,4,0),IF($LB286=40%,VLOOKUP($JK286,'Jan-2026 rates'!$L:$R,5,0),IF($LB286=30%,VLOOKUP($JK286,'Jan-2026 rates'!$L:$R,6,0),IF($LB286=100%,VLOOKUP($JK286,'Jan-2026 rates'!$L:$R,7,0),IF($LB286=60%,VLOOKUP($JK286,'Jan-2026 rates'!$L:$S,8,0),IF($LB286=80%,VLOOKUP($JK286,'Jan-2026 rates'!L:T,9,0),0))))))))</f>
        <v>0</v>
      </c>
      <c r="JN286" s="412"/>
      <c r="JO286" s="409"/>
      <c r="JP286" s="411">
        <f>IF(JO286=0,0,IF($LB286=70%,VLOOKUP($JK286,'Jan-2026 rates'!$L:$R,4,0),IF($LB286=65%,VLOOKUP($JK286,'Jan-2026 rates'!$L:$R,4,0),IF($LB286=40%,VLOOKUP($JK286,'Jan-2026 rates'!$L:$R,5,0),IF($LB286=30%,VLOOKUP($JK286,'Jan-2026 rates'!$L:$R,6,0),IF($LB286=100%,VLOOKUP($JK286,'Jan-2026 rates'!$L:$R,7,0),IF($LB286=60%,VLOOKUP($JK286,'Jan-2026 rates'!$L:$S,8,0),IF($LB286=80%,VLOOKUP($JK286,'Jan-2026 rates'!L:T,9,0),0))))))))</f>
        <v>0</v>
      </c>
      <c r="JQ286" s="413"/>
      <c r="JR286" s="412"/>
      <c r="JS286" s="413"/>
      <c r="JT286" s="413"/>
      <c r="JU286" s="412"/>
      <c r="JV286" s="412"/>
      <c r="JW286" s="412"/>
      <c r="JX286" s="412"/>
      <c r="JY286" s="409"/>
      <c r="JZ286" s="398">
        <f>IF(JY286=0,0,IF(LEN(JQ286)=11,_xlfn.XLOOKUP(JQ286,'Dispensed Ink Rates'!C:C,'Dispensed Ink Rates'!CS:CS),VLOOKUP(JQ286,'Jan-2026 rates'!$E:$F,2,0)))</f>
        <v>0</v>
      </c>
      <c r="KA286" s="409"/>
      <c r="KB286" s="398">
        <f>IF(KA286=0,0,IF(LEN(JR286)=11,_xlfn.XLOOKUP(JR286,'Dispensed Ink Rates'!C:C,'Dispensed Ink Rates'!CS:CS),VLOOKUP(JR286,'Jan-2026 rates'!$E:$F,2,0)))</f>
        <v>0</v>
      </c>
      <c r="KC286" s="409"/>
      <c r="KD286" s="398">
        <f>IF(KC286=0,0,IF(LEN(JS286)=11,_xlfn.XLOOKUP(JS286,'Dispensed Ink Rates'!C:C,'Dispensed Ink Rates'!CS:CS),VLOOKUP(JS286,'Jan-2026 rates'!$E:$F,2,0)))</f>
        <v>0</v>
      </c>
      <c r="KE286" s="409"/>
      <c r="KF286" s="398">
        <f>IF(KE286=0,0,IF(LEN(JT286)=11,_xlfn.XLOOKUP(JT286,'Dispensed Ink Rates'!C:C,'Dispensed Ink Rates'!CS:CS),VLOOKUP(JT286,'Jan-2026 rates'!$E:$F,2,0)))</f>
        <v>0</v>
      </c>
      <c r="KG286" s="409"/>
      <c r="KH286" s="398">
        <f>IF(KG286=0,0,IF(LEN(JU286)=11,_xlfn.XLOOKUP(JU286,'Dispensed Ink Rates'!C:C,'Dispensed Ink Rates'!CS:CS),VLOOKUP(JU286,'Jan-2026 rates'!$E:$F,2,0)))</f>
        <v>0</v>
      </c>
      <c r="KI286" s="409"/>
      <c r="KJ286" s="398">
        <f>IF(KI286=0,0,IF(LEN(JV286)=11,_xlfn.XLOOKUP(JV286,'Dispensed Ink Rates'!C:C,'Dispensed Ink Rates'!CS:CS),VLOOKUP(JV286,'Jan-2026 rates'!$E:$F,2,0)))</f>
        <v>0</v>
      </c>
      <c r="KK286" s="409"/>
      <c r="KL286" s="398">
        <f>IF(KK286=0,0,IF(LEN(JW286)=11,_xlfn.XLOOKUP(JW286,'Dispensed Ink Rates'!C:C,'Dispensed Ink Rates'!CS:CS),VLOOKUP(JW286,'Jan-2026 rates'!$E:$F,2,0)))</f>
        <v>0</v>
      </c>
      <c r="KM286" s="428"/>
      <c r="KN286" s="398">
        <f>IF(KM286=0,0,IF(LEN(JX286)=11,_xlfn.XLOOKUP(JX286,'Dispensed Ink Rates'!C:C,'Dispensed Ink Rates'!CS:CS),VLOOKUP(JX286,'Jan-2026 rates'!$E:$F,2,0)))</f>
        <v>0</v>
      </c>
      <c r="KO286" s="409"/>
      <c r="KP286" s="409"/>
      <c r="KQ286" s="411">
        <f t="shared" si="233"/>
        <v>0</v>
      </c>
      <c r="KR286" s="411">
        <f t="shared" si="234"/>
        <v>0</v>
      </c>
      <c r="KS286" s="410">
        <f t="shared" si="235"/>
        <v>0</v>
      </c>
      <c r="KT286" s="409">
        <v>3</v>
      </c>
      <c r="KU286" s="409">
        <v>6</v>
      </c>
      <c r="KV286" s="409">
        <v>15</v>
      </c>
      <c r="KW286" s="409">
        <v>3</v>
      </c>
      <c r="KX286" s="409">
        <v>5</v>
      </c>
      <c r="KY286" s="409">
        <v>10</v>
      </c>
      <c r="KZ286" s="409">
        <v>60</v>
      </c>
      <c r="LA286" s="409">
        <v>0</v>
      </c>
      <c r="LB286" s="415">
        <v>0.8</v>
      </c>
      <c r="LC286" s="415">
        <v>0.2</v>
      </c>
      <c r="LD286" s="415"/>
      <c r="LE286" s="415"/>
      <c r="LF286" s="415"/>
      <c r="LG286" s="409">
        <v>0</v>
      </c>
      <c r="LH286" s="409">
        <f>60+50+64+16</f>
        <v>190</v>
      </c>
      <c r="LI286" s="409">
        <v>0</v>
      </c>
      <c r="LJ286" s="409">
        <v>0</v>
      </c>
      <c r="LK286" s="416">
        <f t="shared" si="191"/>
        <v>190</v>
      </c>
      <c r="LL286" s="416">
        <f t="shared" si="192"/>
        <v>190</v>
      </c>
      <c r="LM286" s="417">
        <f t="shared" si="193"/>
        <v>152</v>
      </c>
      <c r="LN286" s="417">
        <f>VLOOKUP($LM$8,'Jan-2026 rates'!$H:$I,2,0)</f>
        <v>0</v>
      </c>
      <c r="LO286" s="417">
        <f t="shared" si="194"/>
        <v>38</v>
      </c>
      <c r="LP286" s="417">
        <f>VLOOKUP($LO$8,'Jan-2026 rates'!$H:$I,2,0)</f>
        <v>0</v>
      </c>
      <c r="LQ286" s="417">
        <f t="shared" si="195"/>
        <v>0</v>
      </c>
      <c r="LR286" s="417">
        <f>VLOOKUP($LQ$8,'Jan-2026 rates'!$H:$I,2,0)</f>
        <v>0</v>
      </c>
      <c r="LS286" s="417">
        <f t="shared" si="196"/>
        <v>0</v>
      </c>
      <c r="LT286" s="417">
        <f>VLOOKUP($LS$8,'Jan-2026 rates'!$H:$I,2,0)</f>
        <v>0</v>
      </c>
      <c r="LU286" s="417">
        <f t="shared" si="197"/>
        <v>0</v>
      </c>
      <c r="LV286" s="417">
        <f>VLOOKUP($LU$8,'Jan-2026 rates'!$H:$I,2,0)</f>
        <v>0</v>
      </c>
      <c r="LW286" s="417">
        <f t="shared" si="198"/>
        <v>0</v>
      </c>
      <c r="LX286" s="417">
        <f t="shared" si="199"/>
        <v>0</v>
      </c>
      <c r="LY286" s="418">
        <f t="shared" si="200"/>
        <v>0</v>
      </c>
      <c r="LZ286" s="417"/>
      <c r="MA286" s="435">
        <f t="shared" si="201"/>
        <v>176</v>
      </c>
      <c r="MB286" s="282">
        <f t="shared" si="202"/>
        <v>364</v>
      </c>
      <c r="MC286" s="283">
        <v>179</v>
      </c>
      <c r="MD286" s="284" t="str">
        <f t="shared" si="203"/>
        <v>FLINTSLFLINTSLFLINTSLFLINTSLFLINTSLFLINTSLFLINTSL</v>
      </c>
      <c r="ME286" s="293" t="str">
        <f t="shared" si="204"/>
        <v>+</v>
      </c>
      <c r="MF286" s="293" t="str">
        <f t="shared" si="205"/>
        <v>+</v>
      </c>
      <c r="MG286" s="293" t="str">
        <f t="shared" si="206"/>
        <v>+</v>
      </c>
      <c r="MH286" s="293" t="str">
        <f t="shared" si="207"/>
        <v>+</v>
      </c>
      <c r="MI286" s="293" t="str">
        <f t="shared" si="208"/>
        <v>+</v>
      </c>
      <c r="MJ286" s="293" t="str">
        <f t="shared" si="209"/>
        <v>+</v>
      </c>
      <c r="MK286" s="293" t="str">
        <f t="shared" si="210"/>
        <v>+</v>
      </c>
      <c r="ML286" s="293" t="str">
        <f t="shared" si="211"/>
        <v>NIL</v>
      </c>
      <c r="MM286" s="3" t="b">
        <f t="array" ref="MM286">OR(ME286:ML286="-")</f>
        <v>0</v>
      </c>
      <c r="MN286" s="285"/>
      <c r="MO286" s="401"/>
      <c r="MP286" s="286"/>
      <c r="MQ286" s="286"/>
      <c r="MR286" s="402"/>
      <c r="MS286" s="400"/>
      <c r="NH286" s="422"/>
      <c r="NJ286" s="421"/>
    </row>
    <row r="287" spans="1:374" s="1" customFormat="1" ht="16.5">
      <c r="A287" s="403">
        <v>46045</v>
      </c>
      <c r="B287" s="404" t="s">
        <v>1015</v>
      </c>
      <c r="C287" s="405" t="s">
        <v>4336</v>
      </c>
      <c r="D287" s="406">
        <v>180</v>
      </c>
      <c r="E287" s="404">
        <v>2452</v>
      </c>
      <c r="F287" s="407">
        <v>121700</v>
      </c>
      <c r="G287" s="407" t="s">
        <v>1019</v>
      </c>
      <c r="H287" s="408" t="s">
        <v>1017</v>
      </c>
      <c r="I287" s="409">
        <v>2.0699999999999998</v>
      </c>
      <c r="J287" s="405" t="s">
        <v>543</v>
      </c>
      <c r="K287" s="404" t="s">
        <v>4337</v>
      </c>
      <c r="L287" s="419" t="str">
        <f t="shared" si="184"/>
        <v>FLINTSL - BLACK</v>
      </c>
      <c r="M287" s="404">
        <v>27</v>
      </c>
      <c r="N287" s="410">
        <f>IF(M287=0,0,IF($LB287=70%,VLOOKUP($L287,'Jan-2026 rates'!$L:$R,4,0),IF($LB287=65%,VLOOKUP($L287,'Jan-2026 rates'!$L:$R,4,0),IF($LB287=40%,VLOOKUP($L287,'Jan-2026 rates'!$L:$R,5,0),IF($LB287=30%,VLOOKUP($L287,'Jan-2026 rates'!$L:$R,6,0),IF($LB287=100%,VLOOKUP($L287,'Jan-2026 rates'!$L:$R,7,0),IF($LB287=60%,VLOOKUP($L287,'Jan-2026 rates'!$L:$S,8,0),IF($LB287=80%,VLOOKUP($L287,'Jan-2026 rates'!L:T,9,0),0))))))))</f>
        <v>0</v>
      </c>
      <c r="O287" s="406"/>
      <c r="P287" s="404"/>
      <c r="Q287" s="410">
        <f>IF(P287=0,0,IF($LB287=70%,VLOOKUP($L287,'Jan-2026 rates'!$L:$R,4,0),IF($LB287=65%,VLOOKUP($L287,'Jan-2026 rates'!$L:$R,4,0),IF($LB287=40%,VLOOKUP($L287,'Jan-2026 rates'!$L:$R,5,0),IF($LB287=30%,VLOOKUP($L287,'Jan-2026 rates'!$L:$R,6,0),IF($LB287=100%,VLOOKUP($L287,'Jan-2026 rates'!$L:$R,7,0),IF($LB287=60%,VLOOKUP($L287,'Jan-2026 rates'!$L:$S,8,0),IF($LB287=80%,VLOOKUP($L287,'Jan-2026 rates'!L:T,9,0),0))))))))</f>
        <v>0</v>
      </c>
      <c r="R287" s="406">
        <v>26524000014</v>
      </c>
      <c r="S287" s="406" t="s">
        <v>1266</v>
      </c>
      <c r="T287" s="406"/>
      <c r="U287" s="406"/>
      <c r="V287" s="406"/>
      <c r="W287" s="406"/>
      <c r="X287" s="406"/>
      <c r="Y287" s="406"/>
      <c r="Z287" s="404">
        <v>5</v>
      </c>
      <c r="AA287" s="398" t="e">
        <f>IF(Z287=0,0,IF(LEN(R287)=11,_xlfn.XLOOKUP(R287,'Dispensed Ink Rates'!C:C,'Dispensed Ink Rates'!CS:CS),VLOOKUP(R287,'Jan-2026 rates'!$E:$F,2,0)))</f>
        <v>#N/A</v>
      </c>
      <c r="AB287" s="404">
        <v>10</v>
      </c>
      <c r="AC287" s="398">
        <f>IF(AB287=0,0,IF(LEN(S287)=11,_xlfn.XLOOKUP(S287,'Dispensed Ink Rates'!C:C,'Dispensed Ink Rates'!CS:CS),VLOOKUP(S287,'Jan-2026 rates'!$E:$F,2,0)))</f>
        <v>0</v>
      </c>
      <c r="AD287" s="404"/>
      <c r="AE287" s="398">
        <f>IF(AD287=0,0,IF(LEN(T287)=11,_xlfn.XLOOKUP(T287,'Dispensed Ink Rates'!C:C,'Dispensed Ink Rates'!CS:CS),VLOOKUP(T287,'Jan-2026 rates'!$E:$F,2,0)))</f>
        <v>0</v>
      </c>
      <c r="AF287" s="404"/>
      <c r="AG287" s="398">
        <f>IF(AF287=0,0,IF(LEN(U287)=11,_xlfn.XLOOKUP(U287,'Dispensed Ink Rates'!C:C,'Dispensed Ink Rates'!CS:CS),VLOOKUP(U287,'Jan-2026 rates'!$E:$F,2,0)))</f>
        <v>0</v>
      </c>
      <c r="AH287" s="404"/>
      <c r="AI287" s="398">
        <f>IF(AH287=0,0,IF(LEN(V287)=11,_xlfn.XLOOKUP(V287,'Dispensed Ink Rates'!C:C,'Dispensed Ink Rates'!CS:CS),VLOOKUP(V287,'Jan-2026 rates'!$E:$F,2,0)))</f>
        <v>0</v>
      </c>
      <c r="AJ287" s="404"/>
      <c r="AK287" s="398">
        <f>IF(AJ287=0,0,IF(LEN(W287)=11,_xlfn.XLOOKUP(W287,'Dispensed Ink Rates'!C:C,'Dispensed Ink Rates'!CS:CS),VLOOKUP(W287,'Jan-2026 rates'!$E:$F,2,0)))</f>
        <v>0</v>
      </c>
      <c r="AL287" s="404"/>
      <c r="AM287" s="398">
        <f>IF(AL287=0,0,IF(LEN(X287)=11,_xlfn.XLOOKUP(X287,'Dispensed Ink Rates'!C:C,'Dispensed Ink Rates'!CS:CS),VLOOKUP(X287,'Jan-2026 rates'!$E:$F,2,0)))</f>
        <v>0</v>
      </c>
      <c r="AN287" s="404"/>
      <c r="AO287" s="398">
        <f>IF(AN287=0,0,IF(LEN(Y287)=11,_xlfn.XLOOKUP(Y287,'Dispensed Ink Rates'!C:C,'Dispensed Ink Rates'!CS:CS),VLOOKUP(Y287,'Jan-2026 rates'!$E:$F,2,0)))</f>
        <v>0</v>
      </c>
      <c r="AP287" s="409" t="s">
        <v>1443</v>
      </c>
      <c r="AQ287" s="409">
        <v>24</v>
      </c>
      <c r="AR287" s="410">
        <f t="shared" si="212"/>
        <v>0</v>
      </c>
      <c r="AS287" s="411">
        <f t="shared" si="213"/>
        <v>51.454545454545453</v>
      </c>
      <c r="AT287" s="410">
        <f t="shared" si="214"/>
        <v>0</v>
      </c>
      <c r="AU287" s="405" t="s">
        <v>546</v>
      </c>
      <c r="AV287" s="409" t="s">
        <v>3920</v>
      </c>
      <c r="AW287" s="420" t="str">
        <f t="shared" si="183"/>
        <v>FLINTSL - REFLEX BLUE</v>
      </c>
      <c r="AX287" s="409">
        <v>24</v>
      </c>
      <c r="AY287" s="411">
        <f>IF(AX287=0,0,IF($LB287=70%,VLOOKUP($AW287,'Jan-2026 rates'!$L:$R,4,0),IF($LB287=65%,VLOOKUP($AW287,'Jan-2026 rates'!$L:$R,4,0),IF($LB287=40%,VLOOKUP($AW287,'Jan-2026 rates'!$L:$R,5,0),IF($LB287=30%,VLOOKUP($AW287,'Jan-2026 rates'!$L:$R,6,0),IF($LB287=100%,VLOOKUP($AW287,'Jan-2026 rates'!$L:$R,7,0),IF($LB287=60%,VLOOKUP($AW287,'Jan-2026 rates'!$L:$S,8,0),IF($LB287=80%,VLOOKUP($AW287,'Jan-2026 rates'!L:T,9,0),0))))))))</f>
        <v>0</v>
      </c>
      <c r="AZ287" s="412" t="s">
        <v>4338</v>
      </c>
      <c r="BA287" s="409">
        <f>16+27+28+20+25</f>
        <v>116</v>
      </c>
      <c r="BB287" s="411">
        <f>IF(BA287=0,0,IF($LB287=70%,VLOOKUP($AW287,'Jan-2026 rates'!$L:$R,4,0),IF($LB287=65%,VLOOKUP($AW287,'Jan-2026 rates'!$L:$R,4,0),IF($LB287=40%,VLOOKUP($AW287,'Jan-2026 rates'!$L:$R,5,0),IF($LB287=30%,VLOOKUP($AW287,'Jan-2026 rates'!$L:$R,6,0),IF($LB287=100%,VLOOKUP($AW287,'Jan-2026 rates'!$L:$R,7,0),IF($LB287=60%,VLOOKUP($AW287,'Jan-2026 rates'!$L:$S,8,0),IF($LB287=80%,VLOOKUP($AW287,'Jan-2026 rates'!L:T,9,0),0))))))))</f>
        <v>0</v>
      </c>
      <c r="BC287" s="413">
        <v>26522000020</v>
      </c>
      <c r="BD287" s="412">
        <v>26522000012</v>
      </c>
      <c r="BE287" s="412">
        <v>26523000017</v>
      </c>
      <c r="BF287" s="413">
        <v>26523000002</v>
      </c>
      <c r="BG287" s="412"/>
      <c r="BH287" s="412"/>
      <c r="BI287" s="412"/>
      <c r="BJ287" s="412"/>
      <c r="BK287" s="409">
        <v>15</v>
      </c>
      <c r="BL287" s="398" t="e">
        <f>IF(BK287=0,0,IF(LEN(BC287)=11,_xlfn.XLOOKUP(BC287,'Dispensed Ink Rates'!C:C,'Dispensed Ink Rates'!CS:CS),VLOOKUP(BC287,'Jan-2026 rates'!$E:$F,2,0)))</f>
        <v>#N/A</v>
      </c>
      <c r="BM287" s="409">
        <v>26</v>
      </c>
      <c r="BN287" s="398" t="e">
        <f>IF(BM287=0,0,IF(LEN(BD287)=11,_xlfn.XLOOKUP(BD287,'Dispensed Ink Rates'!C:C,'Dispensed Ink Rates'!CS:CS),VLOOKUP(BD287,'Jan-2026 rates'!$E:$F,2,0)))</f>
        <v>#N/A</v>
      </c>
      <c r="BO287" s="409">
        <v>20</v>
      </c>
      <c r="BP287" s="398" t="e">
        <f>IF(BO287=0,0,IF(LEN(BE287)=11,_xlfn.XLOOKUP(BE287,'Dispensed Ink Rates'!C:C,'Dispensed Ink Rates'!CS:CS),VLOOKUP(BE287,'Jan-2026 rates'!$E:$F,2,0)))</f>
        <v>#N/A</v>
      </c>
      <c r="BQ287" s="409">
        <v>20</v>
      </c>
      <c r="BR287" s="398" t="e">
        <f>IF(BQ287=0,0,IF(LEN(BF287)=11,_xlfn.XLOOKUP(BF287,'Dispensed Ink Rates'!C:C,'Dispensed Ink Rates'!CS:CS),VLOOKUP(BF287,'Jan-2026 rates'!$E:$F,2,0)))</f>
        <v>#N/A</v>
      </c>
      <c r="BS287" s="409"/>
      <c r="BT287" s="398">
        <f>IF(BS287=0,0,IF(LEN(BG287)=11,_xlfn.XLOOKUP(BG287,'Dispensed Ink Rates'!C:C,'Dispensed Ink Rates'!CS:CS),VLOOKUP(BG287,'Jan-2026 rates'!$E:$F,2,0)))</f>
        <v>0</v>
      </c>
      <c r="BU287" s="409"/>
      <c r="BV287" s="398">
        <f>IF(BU287=0,0,IF(LEN(BH287)=11,_xlfn.XLOOKUP(BH287,'Dispensed Ink Rates'!C:C,'Dispensed Ink Rates'!CS:CS),VLOOKUP(BH287,'Jan-2026 rates'!$E:$F,2,0)))</f>
        <v>0</v>
      </c>
      <c r="BW287" s="409"/>
      <c r="BX287" s="398">
        <f>IF(BW287=0,0,IF(LEN(BI287)=11,_xlfn.XLOOKUP(BI287,'Dispensed Ink Rates'!C:C,'Dispensed Ink Rates'!CS:CS),VLOOKUP(BI287,'Jan-2026 rates'!$E:$F,2,0)))</f>
        <v>0</v>
      </c>
      <c r="BY287" s="409"/>
      <c r="BZ287" s="398">
        <f>IF(BY287=0,0,IF(LEN(BJ287)=11,_xlfn.XLOOKUP(BJ287,'Dispensed Ink Rates'!C:C,'Dispensed Ink Rates'!CS:CS),VLOOKUP(BJ287,'Jan-2026 rates'!$E:$F,2,0)))</f>
        <v>0</v>
      </c>
      <c r="CA287" s="409" t="s">
        <v>1443</v>
      </c>
      <c r="CB287" s="409">
        <v>40</v>
      </c>
      <c r="CC287" s="411">
        <f t="shared" si="215"/>
        <v>0</v>
      </c>
      <c r="CD287" s="411">
        <f t="shared" si="216"/>
        <v>225.60606060606062</v>
      </c>
      <c r="CE287" s="410">
        <f t="shared" si="217"/>
        <v>0</v>
      </c>
      <c r="CF287" s="404" t="s">
        <v>857</v>
      </c>
      <c r="CG287" s="409" t="s">
        <v>4339</v>
      </c>
      <c r="CH287" s="420" t="str">
        <f t="shared" si="185"/>
        <v>FLINTSL - RED</v>
      </c>
      <c r="CI287" s="409">
        <v>29</v>
      </c>
      <c r="CJ287" s="411">
        <f>IF(CI287=0,0,IF($LB287=70%,VLOOKUP($CH287,'Jan-2026 rates'!$L:$R,4,0),IF($LB287=65%,VLOOKUP($CH287,'Jan-2026 rates'!$L:$R,4,0),IF($LB287=40%,VLOOKUP($CH287,'Jan-2026 rates'!$L:$R,5,0),IF($LB287=30%,VLOOKUP($CH287,'Jan-2026 rates'!$L:$R,6,0),IF($LB287=100%,VLOOKUP($CH287,'Jan-2026 rates'!$L:$R,7,0),IF($LB287=60%,VLOOKUP($CH287,'Jan-2026 rates'!$L:$S,8,0),IF($LB287=80%,VLOOKUP($CH287,'Jan-2026 rates'!L:T,9,0),0))))))))</f>
        <v>0</v>
      </c>
      <c r="CK287" s="412"/>
      <c r="CL287" s="409"/>
      <c r="CM287" s="411">
        <f>IF(CL287=0,0,IF($LB287=70%,VLOOKUP($CH287,'Jan-2026 rates'!$L:$R,4,0),IF($LB287=65%,VLOOKUP($CH287,'Jan-2026 rates'!$L:$R,4,0),IF($LB287=40%,VLOOKUP($CH287,'Jan-2026 rates'!$L:$R,5,0),IF($LB287=30%,VLOOKUP($CH287,'Jan-2026 rates'!$L:$R,6,0),IF($LB287=100%,VLOOKUP($CH287,'Jan-2026 rates'!$L:$R,7,0),IF($LB287=60%,VLOOKUP($CH287,'Jan-2026 rates'!$L:$S,8,0),IF($LB287=80%,VLOOKUP($CH287,'Jan-2026 rates'!L:T,9,0),0))))))))</f>
        <v>0</v>
      </c>
      <c r="CN287" s="426">
        <v>26524000014</v>
      </c>
      <c r="CO287" s="427">
        <v>26524000032</v>
      </c>
      <c r="CP287" s="426">
        <v>26524000006</v>
      </c>
      <c r="CQ287" s="426"/>
      <c r="CR287" s="428"/>
      <c r="CS287" s="428"/>
      <c r="CT287" s="428"/>
      <c r="CU287" s="428"/>
      <c r="CV287" s="409">
        <v>0.2</v>
      </c>
      <c r="CW287" s="398" t="e">
        <f>IF(CV287=0,0,IF(LEN(CN287)=11,_xlfn.XLOOKUP(CN287,'Dispensed Ink Rates'!C:C,'Dispensed Ink Rates'!CS:CS),VLOOKUP(CN287,'Jan-2026 rates'!$E:$F,2,0)))</f>
        <v>#N/A</v>
      </c>
      <c r="CX287" s="409">
        <v>4</v>
      </c>
      <c r="CY287" s="398" t="e">
        <f>IF(CX287=0,0,IF(LEN(CO287)=11,_xlfn.XLOOKUP(CO287,'Dispensed Ink Rates'!C:C,'Dispensed Ink Rates'!CS:CS),VLOOKUP(CO287,'Jan-2026 rates'!$E:$F,2,0)))</f>
        <v>#N/A</v>
      </c>
      <c r="CZ287" s="409">
        <v>2</v>
      </c>
      <c r="DA287" s="398" t="e">
        <f>IF(CZ287=0,0,IF(LEN(CP287)=11,_xlfn.XLOOKUP(CP287,'Dispensed Ink Rates'!C:C,'Dispensed Ink Rates'!CS:CS),VLOOKUP(CP287,'Jan-2026 rates'!$E:$F,2,0)))</f>
        <v>#N/A</v>
      </c>
      <c r="DB287" s="409"/>
      <c r="DC287" s="398">
        <f>IF(DB287=0,0,IF(LEN(CQ287)=11,_xlfn.XLOOKUP(CQ287,'Dispensed Ink Rates'!C:C,'Dispensed Ink Rates'!CS:CS),VLOOKUP(CQ287,'Jan-2026 rates'!$E:$F,2,0)))</f>
        <v>0</v>
      </c>
      <c r="DD287" s="409"/>
      <c r="DE287" s="398">
        <f>IF(DD287=0,0,IF(LEN(CR287)=11,_xlfn.XLOOKUP(CR287,'Dispensed Ink Rates'!C:C,'Dispensed Ink Rates'!CS:CS),VLOOKUP(CR287,'Jan-2026 rates'!$E:$F,2,0)))</f>
        <v>0</v>
      </c>
      <c r="DF287" s="409"/>
      <c r="DG287" s="398">
        <f>IF(DF287=0,0,IF(LEN(CS287)=11,_xlfn.XLOOKUP(CS287,'Dispensed Ink Rates'!C:C,'Dispensed Ink Rates'!CS:CS),VLOOKUP(CS287,'Jan-2026 rates'!$E:$F,2,0)))</f>
        <v>0</v>
      </c>
      <c r="DH287" s="409"/>
      <c r="DI287" s="398">
        <f>IF(DH287=0,0,IF(LEN(CT287)=11,_xlfn.XLOOKUP(CT287,'Dispensed Ink Rates'!C:C,'Dispensed Ink Rates'!CS:CS),VLOOKUP(CT287,'Jan-2026 rates'!$E:$F,2,0)))</f>
        <v>0</v>
      </c>
      <c r="DJ287" s="409"/>
      <c r="DK287" s="398">
        <f>IF(DJ287=0,0,IF(LEN(CU287)=11,_xlfn.XLOOKUP(CU287,'Dispensed Ink Rates'!C:C,'Dispensed Ink Rates'!CS:CS),VLOOKUP(CU287,'Jan-2026 rates'!$E:$F,2,0)))</f>
        <v>0</v>
      </c>
      <c r="DL287" s="409" t="s">
        <v>1443</v>
      </c>
      <c r="DM287" s="409">
        <v>26</v>
      </c>
      <c r="DN287" s="411">
        <f t="shared" si="218"/>
        <v>0</v>
      </c>
      <c r="DO287" s="411">
        <f t="shared" si="219"/>
        <v>20.351515151515159</v>
      </c>
      <c r="DP287" s="410">
        <f t="shared" si="220"/>
        <v>0</v>
      </c>
      <c r="DQ287" s="405" t="s">
        <v>855</v>
      </c>
      <c r="DR287" s="409" t="s">
        <v>4340</v>
      </c>
      <c r="DS287" s="420" t="str">
        <f t="shared" si="186"/>
        <v>FLINTSL - CYAN</v>
      </c>
      <c r="DT287" s="409">
        <v>29</v>
      </c>
      <c r="DU287" s="411">
        <f>IF(DT287=0,0,IF($LB287=70%,VLOOKUP($DS287,'Jan-2026 rates'!$L:$R,4,0),IF($LB287=65%,VLOOKUP($DS287,'Jan-2026 rates'!$L:$R,4,0),IF($LB287=40%,VLOOKUP($DS287,'Jan-2026 rates'!$L:$R,5,0),IF($LB287=30%,VLOOKUP($DS287,'Jan-2026 rates'!$L:$R,6,0),IF($LB287=100%,VLOOKUP($DS287,'Jan-2026 rates'!$L:$R,7,0),IF($LB287=60%,VLOOKUP($DS287,'Jan-2026 rates'!$L:$S,8,0),IF($LB287=80%,VLOOKUP($DS287,'Jan-2026 rates'!L:T,9,0),0))))))))</f>
        <v>0</v>
      </c>
      <c r="DV287" s="412"/>
      <c r="DW287" s="409"/>
      <c r="DX287" s="411">
        <f>IF(DW287=0,0,IF($LB287=70%,VLOOKUP($DS287,'Jan-2026 rates'!$L:$R,4,0),IF($LB287=65%,VLOOKUP($DS287,'Jan-2026 rates'!$L:$R,4,0),IF($LB287=40%,VLOOKUP($DS287,'Jan-2026 rates'!$L:$R,5,0),IF($LB287=30%,VLOOKUP($DS287,'Jan-2026 rates'!$L:$R,6,0),IF($LB287=100%,VLOOKUP($DS287,'Jan-2026 rates'!$L:$R,7,0),IF($LB287=60%,VLOOKUP($DS287,'Jan-2026 rates'!$L:$S,8,0),IF($LB287=80%,VLOOKUP($DS287,'Jan-2026 rates'!L:T,9,0),0))))))))</f>
        <v>0</v>
      </c>
      <c r="DY287" s="413">
        <v>26523000026</v>
      </c>
      <c r="DZ287" s="413" t="s">
        <v>1266</v>
      </c>
      <c r="EA287" s="412"/>
      <c r="EB287" s="412"/>
      <c r="EC287" s="412"/>
      <c r="ED287" s="412"/>
      <c r="EE287" s="412"/>
      <c r="EF287" s="412"/>
      <c r="EG287" s="409">
        <v>25</v>
      </c>
      <c r="EH287" s="398" t="e">
        <f>IF(EG287=0,0,IF(LEN(DY287)=11,_xlfn.XLOOKUP(DY287,'Dispensed Ink Rates'!C:C,'Dispensed Ink Rates'!CS:CS),VLOOKUP(DY287,'Jan-2026 rates'!$E:$F,2,0)))</f>
        <v>#N/A</v>
      </c>
      <c r="EI287" s="409">
        <v>10</v>
      </c>
      <c r="EJ287" s="398">
        <f>IF(EI287=0,0,IF(LEN(DZ287)=11,_xlfn.XLOOKUP(DZ287,'Dispensed Ink Rates'!C:C,'Dispensed Ink Rates'!CS:CS),VLOOKUP(DZ287,'Jan-2026 rates'!$E:$F,2,0)))</f>
        <v>0</v>
      </c>
      <c r="EK287" s="409"/>
      <c r="EL287" s="398">
        <f>IF(EK287=0,0,IF(LEN(EA287)=11,_xlfn.XLOOKUP(EA287,'Dispensed Ink Rates'!C:C,'Dispensed Ink Rates'!CS:CS),VLOOKUP(EA287,'Jan-2026 rates'!$E:$F,2,0)))</f>
        <v>0</v>
      </c>
      <c r="EM287" s="409"/>
      <c r="EN287" s="398">
        <f>IF(EM287=0,0,IF(LEN(EB287)=11,_xlfn.XLOOKUP(EB287,'Dispensed Ink Rates'!C:C,'Dispensed Ink Rates'!CS:CS),VLOOKUP(EB287,'Jan-2026 rates'!$E:$F,2,0)))</f>
        <v>0</v>
      </c>
      <c r="EO287" s="409"/>
      <c r="EP287" s="398">
        <f>IF(EO287=0,0,IF(LEN(EC287)=11,_xlfn.XLOOKUP(EC287,'Dispensed Ink Rates'!C:C,'Dispensed Ink Rates'!CS:CS),VLOOKUP(EC287,'Jan-2026 rates'!$E:$F,2,0)))</f>
        <v>0</v>
      </c>
      <c r="EQ287" s="409"/>
      <c r="ER287" s="398">
        <f>IF(EQ287=0,0,IF(LEN(ED287)=11,_xlfn.XLOOKUP(ED287,'Dispensed Ink Rates'!C:C,'Dispensed Ink Rates'!CS:CS),VLOOKUP(ED287,'Jan-2026 rates'!$E:$F,2,0)))</f>
        <v>0</v>
      </c>
      <c r="ES287" s="409"/>
      <c r="ET287" s="398">
        <f>IF(ES287=0,0,IF(LEN(EE287)=11,_xlfn.XLOOKUP(EE287,'Dispensed Ink Rates'!C:C,'Dispensed Ink Rates'!CS:CS),VLOOKUP(EE287,'Jan-2026 rates'!$E:$F,2,0)))</f>
        <v>0</v>
      </c>
      <c r="EU287" s="409"/>
      <c r="EV287" s="398">
        <f>IF(EU287=0,0,IF(LEN(EF287)=11,_xlfn.XLOOKUP(EF287,'Dispensed Ink Rates'!C:C,'Dispensed Ink Rates'!CS:CS),VLOOKUP(EF287,'Jan-2026 rates'!$E:$F,2,0)))</f>
        <v>0</v>
      </c>
      <c r="EW287" s="409" t="s">
        <v>1443</v>
      </c>
      <c r="EX287" s="409">
        <v>30</v>
      </c>
      <c r="EY287" s="411">
        <f t="shared" si="221"/>
        <v>0</v>
      </c>
      <c r="EZ287" s="411">
        <f t="shared" si="222"/>
        <v>56.303030303030312</v>
      </c>
      <c r="FA287" s="410">
        <f t="shared" si="223"/>
        <v>0</v>
      </c>
      <c r="FB287" s="405" t="s">
        <v>544</v>
      </c>
      <c r="FC287" s="409" t="s">
        <v>4341</v>
      </c>
      <c r="FD287" s="420" t="str">
        <f t="shared" si="187"/>
        <v>FLINTSL - MAGENTA</v>
      </c>
      <c r="FE287" s="409">
        <v>30</v>
      </c>
      <c r="FF287" s="411">
        <f>IF(FE287=0,0,IF($LB287=70%,VLOOKUP($FD287,'Jan-2026 rates'!$L:$R,4,0),IF($LB287=65%,VLOOKUP($FD287,'Jan-2026 rates'!$L:$R,4,0),IF($LB287=40%,VLOOKUP($FD287,'Jan-2026 rates'!$L:$R,5,0),IF($LB287=30%,VLOOKUP($FD287,'Jan-2026 rates'!$L:$R,6,0),IF($LB287=100%,VLOOKUP($FD287,'Jan-2026 rates'!$L:$R,7,0),IF($LB287=60%,VLOOKUP($FD287,'Jan-2026 rates'!$L:$S,8,0),IF($LB287=80%,VLOOKUP($FD287,'Jan-2026 rates'!L:T,9,0),0))))))))</f>
        <v>0</v>
      </c>
      <c r="FG287" s="412"/>
      <c r="FH287" s="409"/>
      <c r="FI287" s="411">
        <f>IF(FH287=0,0,IF($LB287=70%,VLOOKUP($FD287,'Jan-2026 rates'!$L:$R,4,0),IF($LB287=65%,VLOOKUP($FD287,'Jan-2026 rates'!$L:$R,4,0),IF($LB287=40%,VLOOKUP($FD287,'Jan-2026 rates'!$L:$R,5,0),IF($LB287=30%,VLOOKUP($FD287,'Jan-2026 rates'!$L:$R,6,0),IF($LB287=100%,VLOOKUP($FD287,'Jan-2026 rates'!$L:$R,7,0),IF($LB287=60%,VLOOKUP($FD287,'Jan-2026 rates'!$L:$S,8,0),IF($LB287=80%,VLOOKUP($FD287,'Jan-2026 rates'!L:T,9,0),0))))))))</f>
        <v>0</v>
      </c>
      <c r="FJ287" s="413">
        <v>26524000022</v>
      </c>
      <c r="FK287" s="413" t="s">
        <v>1266</v>
      </c>
      <c r="FL287" s="413"/>
      <c r="FM287" s="412"/>
      <c r="FN287" s="412"/>
      <c r="FO287" s="412"/>
      <c r="FP287" s="412"/>
      <c r="FQ287" s="412"/>
      <c r="FR287" s="409">
        <v>10</v>
      </c>
      <c r="FS287" s="398" t="e">
        <f>IF(FR287=0,0,IF(LEN(FJ287)=11,_xlfn.XLOOKUP(FJ287,'Dispensed Ink Rates'!C:C,'Dispensed Ink Rates'!CS:CS),VLOOKUP(FJ287,'Jan-2026 rates'!$E:$F,2,0)))</f>
        <v>#N/A</v>
      </c>
      <c r="FT287" s="409">
        <v>10</v>
      </c>
      <c r="FU287" s="398">
        <f>IF(FT287=0,0,IF(LEN(FK287)=11,_xlfn.XLOOKUP(FK287,'Dispensed Ink Rates'!C:C,'Dispensed Ink Rates'!CS:CS),VLOOKUP(FK287,'Jan-2026 rates'!$E:$F,2,0)))</f>
        <v>0</v>
      </c>
      <c r="FV287" s="409"/>
      <c r="FW287" s="398">
        <f>IF(FV287=0,0,IF(LEN(FL287)=11,_xlfn.XLOOKUP(FL287,'Dispensed Ink Rates'!C:C,'Dispensed Ink Rates'!CS:CS),VLOOKUP(FL287,'Jan-2026 rates'!$E:$F,2,0)))</f>
        <v>0</v>
      </c>
      <c r="FX287" s="409"/>
      <c r="FY287" s="398">
        <f>IF(FX287=0,0,IF(LEN(FM287)=11,_xlfn.XLOOKUP(FM287,'Dispensed Ink Rates'!C:C,'Dispensed Ink Rates'!CS:CS),VLOOKUP(FM287,'Jan-2026 rates'!$E:$F,2,0)))</f>
        <v>0</v>
      </c>
      <c r="FZ287" s="409"/>
      <c r="GA287" s="398">
        <f>IF(FZ287=0,0,IF(LEN(FN287)=11,_xlfn.XLOOKUP(FN287,'Dispensed Ink Rates'!C:C,'Dispensed Ink Rates'!CS:CS),VLOOKUP(FN287,'Jan-2026 rates'!$E:$F,2,0)))</f>
        <v>0</v>
      </c>
      <c r="GB287" s="409"/>
      <c r="GC287" s="398">
        <f>IF(GB287=0,0,IF(LEN(FO287)=11,_xlfn.XLOOKUP(FO287,'Dispensed Ink Rates'!C:C,'Dispensed Ink Rates'!CS:CS),VLOOKUP(FO287,'Jan-2026 rates'!$E:$F,2,0)))</f>
        <v>0</v>
      </c>
      <c r="GD287" s="409"/>
      <c r="GE287" s="398">
        <f>IF(GD287=0,0,IF(LEN(FP287)=11,_xlfn.XLOOKUP(FP287,'Dispensed Ink Rates'!C:C,'Dispensed Ink Rates'!CS:CS),VLOOKUP(FP287,'Jan-2026 rates'!$E:$F,2,0)))</f>
        <v>0</v>
      </c>
      <c r="GF287" s="409"/>
      <c r="GG287" s="398">
        <f>IF(GF287=0,0,IF(LEN(FQ287)=11,_xlfn.XLOOKUP(FQ287,'Dispensed Ink Rates'!C:C,'Dispensed Ink Rates'!CS:CS),VLOOKUP(FQ287,'Jan-2026 rates'!$E:$F,2,0)))</f>
        <v>0</v>
      </c>
      <c r="GH287" s="409" t="s">
        <v>1443</v>
      </c>
      <c r="GI287" s="409">
        <v>27</v>
      </c>
      <c r="GJ287" s="411">
        <f t="shared" si="224"/>
        <v>0</v>
      </c>
      <c r="GK287" s="411">
        <f t="shared" si="225"/>
        <v>45.303030303030312</v>
      </c>
      <c r="GL287" s="410">
        <f t="shared" si="226"/>
        <v>0</v>
      </c>
      <c r="GM287" s="405" t="s">
        <v>545</v>
      </c>
      <c r="GN287" s="409" t="s">
        <v>4342</v>
      </c>
      <c r="GO287" s="420" t="str">
        <f t="shared" si="188"/>
        <v>FLINTSL - YELLOW</v>
      </c>
      <c r="GP287" s="409">
        <v>30</v>
      </c>
      <c r="GQ287" s="411">
        <f>IF(GP287=0,0,IF($LB287=70%,VLOOKUP($GO287,'Jan-2026 rates'!$L:$R,4,0),IF($LB287=65%,VLOOKUP($GO287,'Jan-2026 rates'!$L:$R,4,0),IF($LB287=40%,VLOOKUP($GO287,'Jan-2026 rates'!$L:$R,5,0),IF($LB287=30%,VLOOKUP($GO287,'Jan-2026 rates'!$L:$R,6,0),IF($LB287=100%,VLOOKUP($GO287,'Jan-2026 rates'!$L:$R,7,0),IF($LB287=60%,VLOOKUP($GO287,'Jan-2026 rates'!$L:$S,8,0),IF($LB287=80%,VLOOKUP($GO287,'Jan-2026 rates'!L:T,9,0),0))))))))</f>
        <v>0</v>
      </c>
      <c r="GR287" s="412"/>
      <c r="GS287" s="409"/>
      <c r="GT287" s="411">
        <f>IF(GS287=0,0,IF($LB287=70%,VLOOKUP($GO287,'Jan-2026 rates'!$L:$R,4,0),IF($LB287=65%,VLOOKUP($GO287,'Jan-2026 rates'!$L:$R,4,0),IF($LB287=40%,VLOOKUP($GO287,'Jan-2026 rates'!$L:$R,5,0),IF($LB287=30%,VLOOKUP($GO287,'Jan-2026 rates'!$L:$R,6,0),IF($LB287=100%,VLOOKUP($GO287,'Jan-2026 rates'!$L:$R,7,0),IF($LB287=60%,VLOOKUP($GO287,'Jan-2026 rates'!$L:$S,8,0),IF($LB287=80%,VLOOKUP($GO287,'Jan-2026 rates'!L:T,9,0),0))))))))</f>
        <v>0</v>
      </c>
      <c r="GU287" s="413">
        <v>26523000024</v>
      </c>
      <c r="GV287" s="413" t="s">
        <v>1266</v>
      </c>
      <c r="GW287" s="412"/>
      <c r="GX287" s="412"/>
      <c r="GY287" s="412"/>
      <c r="GZ287" s="412"/>
      <c r="HA287" s="412"/>
      <c r="HB287" s="412"/>
      <c r="HC287" s="409">
        <v>18</v>
      </c>
      <c r="HD287" s="398" t="e">
        <f>IF(HC287=0,0,IF(LEN(GU287)=11,_xlfn.XLOOKUP(GU287,'Dispensed Ink Rates'!C:C,'Dispensed Ink Rates'!CS:CS),VLOOKUP(GU287,'Jan-2026 rates'!$E:$F,2,0)))</f>
        <v>#N/A</v>
      </c>
      <c r="HE287" s="409">
        <v>10</v>
      </c>
      <c r="HF287" s="398">
        <f>IF(HE287=0,0,IF(LEN(GV287)=11,_xlfn.XLOOKUP(GV287,'Dispensed Ink Rates'!C:C,'Dispensed Ink Rates'!CS:CS),VLOOKUP(GV287,'Jan-2026 rates'!$E:$F,2,0)))</f>
        <v>0</v>
      </c>
      <c r="HG287" s="409"/>
      <c r="HH287" s="398">
        <f>IF(HG287=0,0,IF(LEN(GW287)=11,_xlfn.XLOOKUP(GW287,'Dispensed Ink Rates'!C:C,'Dispensed Ink Rates'!CS:CS),VLOOKUP(GW287,'Jan-2026 rates'!$E:$F,2,0)))</f>
        <v>0</v>
      </c>
      <c r="HI287" s="409"/>
      <c r="HJ287" s="398">
        <f>IF(HI287=0,0,IF(LEN(GX287)=11,_xlfn.XLOOKUP(GX287,'Dispensed Ink Rates'!C:C,'Dispensed Ink Rates'!CS:CS),VLOOKUP(GX287,'Jan-2026 rates'!$E:$F,2,0)))</f>
        <v>0</v>
      </c>
      <c r="HK287" s="409"/>
      <c r="HL287" s="398">
        <f>IF(HK287=0,0,IF(LEN(GY287)=11,_xlfn.XLOOKUP(GY287,'Dispensed Ink Rates'!C:C,'Dispensed Ink Rates'!CS:CS),VLOOKUP(GY287,'Jan-2026 rates'!$E:$F,2,0)))</f>
        <v>0</v>
      </c>
      <c r="HM287" s="409"/>
      <c r="HN287" s="398">
        <f>IF(HM287=0,0,IF(LEN(GZ287)=11,_xlfn.XLOOKUP(GZ287,'Dispensed Ink Rates'!C:C,'Dispensed Ink Rates'!CS:CS),VLOOKUP(GZ287,'Jan-2026 rates'!$E:$F,2,0)))</f>
        <v>0</v>
      </c>
      <c r="HO287" s="409"/>
      <c r="HP287" s="398">
        <f>IF(HO287=0,0,IF(LEN(HA287)=11,_xlfn.XLOOKUP(HA287,'Dispensed Ink Rates'!C:C,'Dispensed Ink Rates'!CS:CS),VLOOKUP(HA287,'Jan-2026 rates'!$E:$F,2,0)))</f>
        <v>0</v>
      </c>
      <c r="HQ287" s="409"/>
      <c r="HR287" s="398">
        <f>IF(HQ287=0,0,IF(LEN(HB287)=11,_xlfn.XLOOKUP(HB287,'Dispensed Ink Rates'!C:C,'Dispensed Ink Rates'!CS:CS),VLOOKUP(HB287,'Jan-2026 rates'!$E:$F,2,0)))</f>
        <v>0</v>
      </c>
      <c r="HS287" s="409" t="s">
        <v>1443</v>
      </c>
      <c r="HT287" s="409">
        <v>30</v>
      </c>
      <c r="HU287" s="411">
        <f t="shared" si="227"/>
        <v>0</v>
      </c>
      <c r="HV287" s="411">
        <f t="shared" si="228"/>
        <v>50.303030303030312</v>
      </c>
      <c r="HW287" s="414">
        <f t="shared" si="229"/>
        <v>0</v>
      </c>
      <c r="HX287" s="405" t="s">
        <v>856</v>
      </c>
      <c r="HY287" s="409" t="s">
        <v>4343</v>
      </c>
      <c r="HZ287" s="420" t="str">
        <f t="shared" si="189"/>
        <v>FLINTSL - WHITE</v>
      </c>
      <c r="IA287" s="409">
        <v>24</v>
      </c>
      <c r="IB287" s="411">
        <f>IF(IA287=0,0,IF($LB287=70%,VLOOKUP($HZ287,'Jan-2026 rates'!$L:$R,4,0),IF($LB287=65%,VLOOKUP($HZ287,'Jan-2026 rates'!$L:$R,4,0),IF($LB287=40%,VLOOKUP($HZ287,'Jan-2026 rates'!$L:$R,5,0),IF($LB287=30%,VLOOKUP($HZ287,'Jan-2026 rates'!$L:$R,6,0),IF($LB287=100%,VLOOKUP($HZ287,'Jan-2026 rates'!$L:$R,7,0),IF($LB287=60%,VLOOKUP($HZ287,'Jan-2026 rates'!$L:$S,8,0),IF($LB287=80%,VLOOKUP($HZ287,'Jan-2026 rates'!L:T,9,0),0))))))))</f>
        <v>0</v>
      </c>
      <c r="IC287" s="412"/>
      <c r="ID287" s="409"/>
      <c r="IE287" s="411">
        <f>IF(ID287=0,0,IF($LB287=70%,VLOOKUP($HZ287,'Jan-2026 rates'!$L:$R,4,0),IF($LB287=65%,VLOOKUP($HZ287,'Jan-2026 rates'!$L:$R,4,0),IF($LB287=40%,VLOOKUP($HZ287,'Jan-2026 rates'!$L:$R,5,0),IF($LB287=30%,VLOOKUP($HZ287,'Jan-2026 rates'!$L:$R,6,0),IF($LB287=100%,VLOOKUP($HZ287,'Jan-2026 rates'!$L:$R,7,0),IF($LB287=60%,VLOOKUP($HZ287,'Jan-2026 rates'!$L:$S,8,0),IF($LB287=80%,VLOOKUP($HZ287,'Jan-2026 rates'!L:T,9,0),0))))))))</f>
        <v>0</v>
      </c>
      <c r="IF287" s="412" t="s">
        <v>484</v>
      </c>
      <c r="IG287" s="413"/>
      <c r="IH287" s="412"/>
      <c r="II287" s="412"/>
      <c r="IJ287" s="412"/>
      <c r="IK287" s="412"/>
      <c r="IL287" s="412"/>
      <c r="IM287" s="412"/>
      <c r="IN287" s="409">
        <v>400</v>
      </c>
      <c r="IO287" s="398">
        <f>IF(IN287=0,0,IF(LEN(IF287)=11,_xlfn.XLOOKUP(IF287,'Dispensed Ink Rates'!C:C,'Dispensed Ink Rates'!CS:CS),VLOOKUP(IF287,'Jan-2026 rates'!$E:$F,2,0)))</f>
        <v>0</v>
      </c>
      <c r="IP287" s="409"/>
      <c r="IQ287" s="398">
        <f>IF(IP287=0,0,IF(LEN(IG287)=11,_xlfn.XLOOKUP(IG287,'Dispensed Ink Rates'!C:C,'Dispensed Ink Rates'!CS:CS),VLOOKUP(IG287,'Jan-2026 rates'!$E:$F,2,0)))</f>
        <v>0</v>
      </c>
      <c r="IR287" s="409"/>
      <c r="IS287" s="398">
        <f>IF(IR287=0,0,IF(LEN(IH287)=11,_xlfn.XLOOKUP(IH287,'Dispensed Ink Rates'!C:C,'Dispensed Ink Rates'!CS:CS),VLOOKUP(IH287,'Jan-2026 rates'!$E:$F,2,0)))</f>
        <v>0</v>
      </c>
      <c r="IT287" s="409"/>
      <c r="IU287" s="398">
        <f>IF(IT287=0,0,IF(LEN(II287)=11,_xlfn.XLOOKUP(II287,'Dispensed Ink Rates'!C:C,'Dispensed Ink Rates'!CS:CS),VLOOKUP(II287,'Jan-2026 rates'!$E:$F,2,0)))</f>
        <v>0</v>
      </c>
      <c r="IV287" s="409"/>
      <c r="IW287" s="398">
        <f>IF(IV287=0,0,IF(LEN(IJ287)=11,_xlfn.XLOOKUP(IJ287,'Dispensed Ink Rates'!C:C,'Dispensed Ink Rates'!CS:CS),VLOOKUP(IJ287,'Jan-2026 rates'!$E:$F,2,0)))</f>
        <v>0</v>
      </c>
      <c r="IX287" s="409"/>
      <c r="IY287" s="398">
        <f>IF(IX287=0,0,IF(LEN(IK287)=11,_xlfn.XLOOKUP(IK287,'Dispensed Ink Rates'!C:C,'Dispensed Ink Rates'!CS:CS),VLOOKUP(IK287,'Jan-2026 rates'!$E:$F,2,0)))</f>
        <v>0</v>
      </c>
      <c r="IZ287" s="409"/>
      <c r="JA287" s="398">
        <f>IF(IZ287=0,0,IF(LEN(IL287)=11,_xlfn.XLOOKUP(IL287,'Dispensed Ink Rates'!C:C,'Dispensed Ink Rates'!CS:CS),VLOOKUP(IL287,'Jan-2026 rates'!$E:$F,2,0)))</f>
        <v>0</v>
      </c>
      <c r="JB287" s="409"/>
      <c r="JC287" s="398">
        <f>IF(JB287=0,0,IF(LEN(IM287)=11,_xlfn.XLOOKUP(IM287,'Dispensed Ink Rates'!C:C,'Dispensed Ink Rates'!CS:CS),VLOOKUP(IM287,'Jan-2026 rates'!$E:$F,2,0)))</f>
        <v>0</v>
      </c>
      <c r="JD287" s="409" t="s">
        <v>1443</v>
      </c>
      <c r="JE287" s="409">
        <v>30</v>
      </c>
      <c r="JF287" s="411">
        <f t="shared" si="230"/>
        <v>0</v>
      </c>
      <c r="JG287" s="411">
        <f t="shared" si="231"/>
        <v>973.87878787878788</v>
      </c>
      <c r="JH287" s="410">
        <f t="shared" si="232"/>
        <v>0</v>
      </c>
      <c r="JI287" s="405"/>
      <c r="JJ287" s="409"/>
      <c r="JK287" s="420" t="str">
        <f t="shared" si="190"/>
        <v xml:space="preserve"> - </v>
      </c>
      <c r="JL287" s="409"/>
      <c r="JM287" s="411">
        <f>IF(JL287=0,0,IF($LB287=70%,VLOOKUP($JK287,'Jan-2026 rates'!$L:$R,4,0),IF($LB287=65%,VLOOKUP($JK287,'Jan-2026 rates'!$L:$R,4,0),IF($LB287=40%,VLOOKUP($JK287,'Jan-2026 rates'!$L:$R,5,0),IF($LB287=30%,VLOOKUP($JK287,'Jan-2026 rates'!$L:$R,6,0),IF($LB287=100%,VLOOKUP($JK287,'Jan-2026 rates'!$L:$R,7,0),IF($LB287=60%,VLOOKUP($JK287,'Jan-2026 rates'!$L:$S,8,0),IF($LB287=80%,VLOOKUP($JK287,'Jan-2026 rates'!L:T,9,0),0))))))))</f>
        <v>0</v>
      </c>
      <c r="JN287" s="412"/>
      <c r="JO287" s="409"/>
      <c r="JP287" s="411">
        <f>IF(JO287=0,0,IF($LB287=70%,VLOOKUP($JK287,'Jan-2026 rates'!$L:$R,4,0),IF($LB287=65%,VLOOKUP($JK287,'Jan-2026 rates'!$L:$R,4,0),IF($LB287=40%,VLOOKUP($JK287,'Jan-2026 rates'!$L:$R,5,0),IF($LB287=30%,VLOOKUP($JK287,'Jan-2026 rates'!$L:$R,6,0),IF($LB287=100%,VLOOKUP($JK287,'Jan-2026 rates'!$L:$R,7,0),IF($LB287=60%,VLOOKUP($JK287,'Jan-2026 rates'!$L:$S,8,0),IF($LB287=80%,VLOOKUP($JK287,'Jan-2026 rates'!L:T,9,0),0))))))))</f>
        <v>0</v>
      </c>
      <c r="JQ287" s="413"/>
      <c r="JR287" s="412"/>
      <c r="JS287" s="413"/>
      <c r="JT287" s="413"/>
      <c r="JU287" s="412"/>
      <c r="JV287" s="412"/>
      <c r="JW287" s="412"/>
      <c r="JX287" s="412"/>
      <c r="JY287" s="409"/>
      <c r="JZ287" s="398">
        <f>IF(JY287=0,0,IF(LEN(JQ287)=11,_xlfn.XLOOKUP(JQ287,'Dispensed Ink Rates'!C:C,'Dispensed Ink Rates'!CS:CS),VLOOKUP(JQ287,'Jan-2026 rates'!$E:$F,2,0)))</f>
        <v>0</v>
      </c>
      <c r="KA287" s="409"/>
      <c r="KB287" s="398">
        <f>IF(KA287=0,0,IF(LEN(JR287)=11,_xlfn.XLOOKUP(JR287,'Dispensed Ink Rates'!C:C,'Dispensed Ink Rates'!CS:CS),VLOOKUP(JR287,'Jan-2026 rates'!$E:$F,2,0)))</f>
        <v>0</v>
      </c>
      <c r="KC287" s="409"/>
      <c r="KD287" s="398">
        <f>IF(KC287=0,0,IF(LEN(JS287)=11,_xlfn.XLOOKUP(JS287,'Dispensed Ink Rates'!C:C,'Dispensed Ink Rates'!CS:CS),VLOOKUP(JS287,'Jan-2026 rates'!$E:$F,2,0)))</f>
        <v>0</v>
      </c>
      <c r="KE287" s="409"/>
      <c r="KF287" s="398">
        <f>IF(KE287=0,0,IF(LEN(JT287)=11,_xlfn.XLOOKUP(JT287,'Dispensed Ink Rates'!C:C,'Dispensed Ink Rates'!CS:CS),VLOOKUP(JT287,'Jan-2026 rates'!$E:$F,2,0)))</f>
        <v>0</v>
      </c>
      <c r="KG287" s="409"/>
      <c r="KH287" s="398">
        <f>IF(KG287=0,0,IF(LEN(JU287)=11,_xlfn.XLOOKUP(JU287,'Dispensed Ink Rates'!C:C,'Dispensed Ink Rates'!CS:CS),VLOOKUP(JU287,'Jan-2026 rates'!$E:$F,2,0)))</f>
        <v>0</v>
      </c>
      <c r="KI287" s="409"/>
      <c r="KJ287" s="398">
        <f>IF(KI287=0,0,IF(LEN(JV287)=11,_xlfn.XLOOKUP(JV287,'Dispensed Ink Rates'!C:C,'Dispensed Ink Rates'!CS:CS),VLOOKUP(JV287,'Jan-2026 rates'!$E:$F,2,0)))</f>
        <v>0</v>
      </c>
      <c r="KK287" s="409"/>
      <c r="KL287" s="398">
        <f>IF(KK287=0,0,IF(LEN(JW287)=11,_xlfn.XLOOKUP(JW287,'Dispensed Ink Rates'!C:C,'Dispensed Ink Rates'!CS:CS),VLOOKUP(JW287,'Jan-2026 rates'!$E:$F,2,0)))</f>
        <v>0</v>
      </c>
      <c r="KM287" s="428"/>
      <c r="KN287" s="398">
        <f>IF(KM287=0,0,IF(LEN(JX287)=11,_xlfn.XLOOKUP(JX287,'Dispensed Ink Rates'!C:C,'Dispensed Ink Rates'!CS:CS),VLOOKUP(JX287,'Jan-2026 rates'!$E:$F,2,0)))</f>
        <v>0</v>
      </c>
      <c r="KO287" s="409"/>
      <c r="KP287" s="409"/>
      <c r="KQ287" s="411">
        <f t="shared" si="233"/>
        <v>0</v>
      </c>
      <c r="KR287" s="411">
        <f t="shared" si="234"/>
        <v>0</v>
      </c>
      <c r="KS287" s="410">
        <f t="shared" si="235"/>
        <v>0</v>
      </c>
      <c r="KT287" s="409">
        <v>15</v>
      </c>
      <c r="KU287" s="409">
        <v>20</v>
      </c>
      <c r="KV287" s="409">
        <v>5</v>
      </c>
      <c r="KW287" s="409">
        <v>10</v>
      </c>
      <c r="KX287" s="409">
        <v>10</v>
      </c>
      <c r="KY287" s="409">
        <v>10</v>
      </c>
      <c r="KZ287" s="409">
        <v>260</v>
      </c>
      <c r="LA287" s="409">
        <v>0</v>
      </c>
      <c r="LB287" s="415">
        <v>0.8</v>
      </c>
      <c r="LC287" s="415">
        <v>0.2</v>
      </c>
      <c r="LD287" s="415"/>
      <c r="LE287" s="415"/>
      <c r="LF287" s="415"/>
      <c r="LG287" s="409">
        <v>0</v>
      </c>
      <c r="LH287" s="409">
        <f>260+176+240+60</f>
        <v>736</v>
      </c>
      <c r="LI287" s="409">
        <v>0</v>
      </c>
      <c r="LJ287" s="409">
        <v>0</v>
      </c>
      <c r="LK287" s="416">
        <f t="shared" si="191"/>
        <v>736</v>
      </c>
      <c r="LL287" s="416">
        <f t="shared" si="192"/>
        <v>736</v>
      </c>
      <c r="LM287" s="417">
        <f t="shared" si="193"/>
        <v>588.80000000000007</v>
      </c>
      <c r="LN287" s="417">
        <f>VLOOKUP($LM$8,'Jan-2026 rates'!$H:$I,2,0)</f>
        <v>0</v>
      </c>
      <c r="LO287" s="417">
        <f t="shared" si="194"/>
        <v>147.20000000000002</v>
      </c>
      <c r="LP287" s="417">
        <f>VLOOKUP($LO$8,'Jan-2026 rates'!$H:$I,2,0)</f>
        <v>0</v>
      </c>
      <c r="LQ287" s="417">
        <f t="shared" si="195"/>
        <v>0</v>
      </c>
      <c r="LR287" s="417">
        <f>VLOOKUP($LQ$8,'Jan-2026 rates'!$H:$I,2,0)</f>
        <v>0</v>
      </c>
      <c r="LS287" s="417">
        <f t="shared" si="196"/>
        <v>0</v>
      </c>
      <c r="LT287" s="417">
        <f>VLOOKUP($LS$8,'Jan-2026 rates'!$H:$I,2,0)</f>
        <v>0</v>
      </c>
      <c r="LU287" s="417">
        <f t="shared" si="197"/>
        <v>0</v>
      </c>
      <c r="LV287" s="417">
        <f>VLOOKUP($LU$8,'Jan-2026 rates'!$H:$I,2,0)</f>
        <v>0</v>
      </c>
      <c r="LW287" s="417">
        <f t="shared" si="198"/>
        <v>0</v>
      </c>
      <c r="LX287" s="417">
        <f t="shared" si="199"/>
        <v>0</v>
      </c>
      <c r="LY287" s="418">
        <f t="shared" si="200"/>
        <v>0</v>
      </c>
      <c r="LZ287" s="417"/>
      <c r="MA287" s="435">
        <f t="shared" si="201"/>
        <v>585.20000000000005</v>
      </c>
      <c r="MB287" s="282">
        <f t="shared" si="202"/>
        <v>1423.2</v>
      </c>
      <c r="MC287" s="283">
        <v>180</v>
      </c>
      <c r="MD287" s="284" t="str">
        <f t="shared" si="203"/>
        <v>FLINTSLFLINTSLFLINTSLFLINTSLFLINTSLFLINTSLFLINTSL</v>
      </c>
      <c r="ME287" s="293" t="str">
        <f t="shared" si="204"/>
        <v>+</v>
      </c>
      <c r="MF287" s="293" t="str">
        <f t="shared" si="205"/>
        <v>+</v>
      </c>
      <c r="MG287" s="293" t="str">
        <f t="shared" si="206"/>
        <v>+</v>
      </c>
      <c r="MH287" s="293" t="str">
        <f t="shared" si="207"/>
        <v>+</v>
      </c>
      <c r="MI287" s="293" t="str">
        <f t="shared" si="208"/>
        <v>+</v>
      </c>
      <c r="MJ287" s="293" t="str">
        <f t="shared" si="209"/>
        <v>+</v>
      </c>
      <c r="MK287" s="293" t="str">
        <f t="shared" si="210"/>
        <v>+</v>
      </c>
      <c r="ML287" s="293" t="str">
        <f t="shared" si="211"/>
        <v>NIL</v>
      </c>
      <c r="MM287" s="3" t="b">
        <f t="array" ref="MM287">OR(ME287:ML287="-")</f>
        <v>0</v>
      </c>
      <c r="MN287" s="285"/>
      <c r="MO287" s="401"/>
      <c r="MP287" s="286"/>
      <c r="MQ287" s="286"/>
      <c r="MR287" s="402"/>
      <c r="MS287" s="400"/>
      <c r="NH287" s="422"/>
      <c r="NJ287" s="421"/>
    </row>
    <row r="288" spans="1:374" s="1" customFormat="1" ht="16.5">
      <c r="A288" s="403">
        <v>46045</v>
      </c>
      <c r="B288" s="404" t="s">
        <v>1018</v>
      </c>
      <c r="C288" s="405" t="s">
        <v>4344</v>
      </c>
      <c r="D288" s="406">
        <v>181</v>
      </c>
      <c r="E288" s="404">
        <v>2753</v>
      </c>
      <c r="F288" s="407">
        <v>46100</v>
      </c>
      <c r="G288" s="407" t="s">
        <v>1019</v>
      </c>
      <c r="H288" s="408" t="s">
        <v>1017</v>
      </c>
      <c r="I288" s="409">
        <v>0.05</v>
      </c>
      <c r="J288" s="405" t="s">
        <v>543</v>
      </c>
      <c r="K288" s="404"/>
      <c r="L288" s="419" t="str">
        <f t="shared" si="184"/>
        <v>FLINTSL - BLACK</v>
      </c>
      <c r="M288" s="404"/>
      <c r="N288" s="410">
        <f>IF(M288=0,0,IF($LB288=70%,VLOOKUP($L288,'Jan-2026 rates'!$L:$R,4,0),IF($LB288=65%,VLOOKUP($L288,'Jan-2026 rates'!$L:$R,4,0),IF($LB288=40%,VLOOKUP($L288,'Jan-2026 rates'!$L:$R,5,0),IF($LB288=30%,VLOOKUP($L288,'Jan-2026 rates'!$L:$R,6,0),IF($LB288=100%,VLOOKUP($L288,'Jan-2026 rates'!$L:$R,7,0),IF($LB288=60%,VLOOKUP($L288,'Jan-2026 rates'!$L:$S,8,0),IF($LB288=80%,VLOOKUP($L288,'Jan-2026 rates'!L:T,9,0),0))))))))</f>
        <v>0</v>
      </c>
      <c r="O288" s="406"/>
      <c r="P288" s="404"/>
      <c r="Q288" s="410">
        <f>IF(P288=0,0,IF($LB288=70%,VLOOKUP($L288,'Jan-2026 rates'!$L:$R,4,0),IF($LB288=65%,VLOOKUP($L288,'Jan-2026 rates'!$L:$R,4,0),IF($LB288=40%,VLOOKUP($L288,'Jan-2026 rates'!$L:$R,5,0),IF($LB288=30%,VLOOKUP($L288,'Jan-2026 rates'!$L:$R,6,0),IF($LB288=100%,VLOOKUP($L288,'Jan-2026 rates'!$L:$R,7,0),IF($LB288=60%,VLOOKUP($L288,'Jan-2026 rates'!$L:$S,8,0),IF($LB288=80%,VLOOKUP($L288,'Jan-2026 rates'!L:T,9,0),0))))))))</f>
        <v>0</v>
      </c>
      <c r="R288" s="406">
        <v>26524000014</v>
      </c>
      <c r="S288" s="406">
        <v>26521000006</v>
      </c>
      <c r="T288" s="406">
        <v>26523000002</v>
      </c>
      <c r="U288" s="406"/>
      <c r="V288" s="406"/>
      <c r="W288" s="406"/>
      <c r="X288" s="406"/>
      <c r="Y288" s="406"/>
      <c r="Z288" s="404">
        <f>15+4+2</f>
        <v>21</v>
      </c>
      <c r="AA288" s="398" t="e">
        <f>IF(Z288=0,0,IF(LEN(R288)=11,_xlfn.XLOOKUP(R288,'Dispensed Ink Rates'!C:C,'Dispensed Ink Rates'!CS:CS),VLOOKUP(R288,'Jan-2026 rates'!$E:$F,2,0)))</f>
        <v>#N/A</v>
      </c>
      <c r="AB288" s="404">
        <v>1</v>
      </c>
      <c r="AC288" s="398" t="e">
        <f>IF(AB288=0,0,IF(LEN(S288)=11,_xlfn.XLOOKUP(S288,'Dispensed Ink Rates'!C:C,'Dispensed Ink Rates'!CS:CS),VLOOKUP(S288,'Jan-2026 rates'!$E:$F,2,0)))</f>
        <v>#N/A</v>
      </c>
      <c r="AD288" s="404">
        <v>1</v>
      </c>
      <c r="AE288" s="398" t="e">
        <f>IF(AD288=0,0,IF(LEN(T288)=11,_xlfn.XLOOKUP(T288,'Dispensed Ink Rates'!C:C,'Dispensed Ink Rates'!CS:CS),VLOOKUP(T288,'Jan-2026 rates'!$E:$F,2,0)))</f>
        <v>#N/A</v>
      </c>
      <c r="AF288" s="404"/>
      <c r="AG288" s="398">
        <f>IF(AF288=0,0,IF(LEN(U288)=11,_xlfn.XLOOKUP(U288,'Dispensed Ink Rates'!C:C,'Dispensed Ink Rates'!CS:CS),VLOOKUP(U288,'Jan-2026 rates'!$E:$F,2,0)))</f>
        <v>0</v>
      </c>
      <c r="AH288" s="404"/>
      <c r="AI288" s="398">
        <f>IF(AH288=0,0,IF(LEN(V288)=11,_xlfn.XLOOKUP(V288,'Dispensed Ink Rates'!C:C,'Dispensed Ink Rates'!CS:CS),VLOOKUP(V288,'Jan-2026 rates'!$E:$F,2,0)))</f>
        <v>0</v>
      </c>
      <c r="AJ288" s="404"/>
      <c r="AK288" s="398">
        <f>IF(AJ288=0,0,IF(LEN(W288)=11,_xlfn.XLOOKUP(W288,'Dispensed Ink Rates'!C:C,'Dispensed Ink Rates'!CS:CS),VLOOKUP(W288,'Jan-2026 rates'!$E:$F,2,0)))</f>
        <v>0</v>
      </c>
      <c r="AL288" s="404"/>
      <c r="AM288" s="398">
        <f>IF(AL288=0,0,IF(LEN(X288)=11,_xlfn.XLOOKUP(X288,'Dispensed Ink Rates'!C:C,'Dispensed Ink Rates'!CS:CS),VLOOKUP(X288,'Jan-2026 rates'!$E:$F,2,0)))</f>
        <v>0</v>
      </c>
      <c r="AN288" s="404"/>
      <c r="AO288" s="398">
        <f>IF(AN288=0,0,IF(LEN(Y288)=11,_xlfn.XLOOKUP(Y288,'Dispensed Ink Rates'!C:C,'Dispensed Ink Rates'!CS:CS),VLOOKUP(Y288,'Jan-2026 rates'!$E:$F,2,0)))</f>
        <v>0</v>
      </c>
      <c r="AP288" s="409" t="s">
        <v>1443</v>
      </c>
      <c r="AQ288" s="409">
        <v>28</v>
      </c>
      <c r="AR288" s="410">
        <f t="shared" si="212"/>
        <v>0</v>
      </c>
      <c r="AS288" s="411">
        <f t="shared" si="213"/>
        <v>35</v>
      </c>
      <c r="AT288" s="410">
        <f t="shared" si="214"/>
        <v>0</v>
      </c>
      <c r="AU288" s="405"/>
      <c r="AV288" s="409"/>
      <c r="AW288" s="420" t="str">
        <f t="shared" si="183"/>
        <v xml:space="preserve"> - </v>
      </c>
      <c r="AX288" s="409"/>
      <c r="AY288" s="411">
        <f>IF(AX288=0,0,IF($LB288=70%,VLOOKUP($AW288,'Jan-2026 rates'!$L:$R,4,0),IF($LB288=65%,VLOOKUP($AW288,'Jan-2026 rates'!$L:$R,4,0),IF($LB288=40%,VLOOKUP($AW288,'Jan-2026 rates'!$L:$R,5,0),IF($LB288=30%,VLOOKUP($AW288,'Jan-2026 rates'!$L:$R,6,0),IF($LB288=100%,VLOOKUP($AW288,'Jan-2026 rates'!$L:$R,7,0),IF($LB288=60%,VLOOKUP($AW288,'Jan-2026 rates'!$L:$S,8,0),IF($LB288=80%,VLOOKUP($AW288,'Jan-2026 rates'!L:T,9,0),0))))))))</f>
        <v>0</v>
      </c>
      <c r="AZ288" s="412"/>
      <c r="BA288" s="409"/>
      <c r="BB288" s="411">
        <f>IF(BA288=0,0,IF($LB288=70%,VLOOKUP($AW288,'Jan-2026 rates'!$L:$R,4,0),IF($LB288=65%,VLOOKUP($AW288,'Jan-2026 rates'!$L:$R,4,0),IF($LB288=40%,VLOOKUP($AW288,'Jan-2026 rates'!$L:$R,5,0),IF($LB288=30%,VLOOKUP($AW288,'Jan-2026 rates'!$L:$R,6,0),IF($LB288=100%,VLOOKUP($AW288,'Jan-2026 rates'!$L:$R,7,0),IF($LB288=60%,VLOOKUP($AW288,'Jan-2026 rates'!$L:$S,8,0),IF($LB288=80%,VLOOKUP($AW288,'Jan-2026 rates'!L:T,9,0),0))))))))</f>
        <v>0</v>
      </c>
      <c r="BC288" s="413"/>
      <c r="BD288" s="412"/>
      <c r="BE288" s="412"/>
      <c r="BF288" s="413"/>
      <c r="BG288" s="412"/>
      <c r="BH288" s="412"/>
      <c r="BI288" s="412"/>
      <c r="BJ288" s="412"/>
      <c r="BK288" s="409"/>
      <c r="BL288" s="398">
        <f>IF(BK288=0,0,IF(LEN(BC288)=11,_xlfn.XLOOKUP(BC288,'Dispensed Ink Rates'!C:C,'Dispensed Ink Rates'!CS:CS),VLOOKUP(BC288,'Jan-2026 rates'!$E:$F,2,0)))</f>
        <v>0</v>
      </c>
      <c r="BM288" s="409"/>
      <c r="BN288" s="398">
        <f>IF(BM288=0,0,IF(LEN(BD288)=11,_xlfn.XLOOKUP(BD288,'Dispensed Ink Rates'!C:C,'Dispensed Ink Rates'!CS:CS),VLOOKUP(BD288,'Jan-2026 rates'!$E:$F,2,0)))</f>
        <v>0</v>
      </c>
      <c r="BO288" s="409"/>
      <c r="BP288" s="398">
        <f>IF(BO288=0,0,IF(LEN(BE288)=11,_xlfn.XLOOKUP(BE288,'Dispensed Ink Rates'!C:C,'Dispensed Ink Rates'!CS:CS),VLOOKUP(BE288,'Jan-2026 rates'!$E:$F,2,0)))</f>
        <v>0</v>
      </c>
      <c r="BQ288" s="409"/>
      <c r="BR288" s="398">
        <f>IF(BQ288=0,0,IF(LEN(BF288)=11,_xlfn.XLOOKUP(BF288,'Dispensed Ink Rates'!C:C,'Dispensed Ink Rates'!CS:CS),VLOOKUP(BF288,'Jan-2026 rates'!$E:$F,2,0)))</f>
        <v>0</v>
      </c>
      <c r="BS288" s="409"/>
      <c r="BT288" s="398">
        <f>IF(BS288=0,0,IF(LEN(BG288)=11,_xlfn.XLOOKUP(BG288,'Dispensed Ink Rates'!C:C,'Dispensed Ink Rates'!CS:CS),VLOOKUP(BG288,'Jan-2026 rates'!$E:$F,2,0)))</f>
        <v>0</v>
      </c>
      <c r="BU288" s="409"/>
      <c r="BV288" s="398">
        <f>IF(BU288=0,0,IF(LEN(BH288)=11,_xlfn.XLOOKUP(BH288,'Dispensed Ink Rates'!C:C,'Dispensed Ink Rates'!CS:CS),VLOOKUP(BH288,'Jan-2026 rates'!$E:$F,2,0)))</f>
        <v>0</v>
      </c>
      <c r="BW288" s="409"/>
      <c r="BX288" s="398">
        <f>IF(BW288=0,0,IF(LEN(BI288)=11,_xlfn.XLOOKUP(BI288,'Dispensed Ink Rates'!C:C,'Dispensed Ink Rates'!CS:CS),VLOOKUP(BI288,'Jan-2026 rates'!$E:$F,2,0)))</f>
        <v>0</v>
      </c>
      <c r="BY288" s="409"/>
      <c r="BZ288" s="398">
        <f>IF(BY288=0,0,IF(LEN(BJ288)=11,_xlfn.XLOOKUP(BJ288,'Dispensed Ink Rates'!C:C,'Dispensed Ink Rates'!CS:CS),VLOOKUP(BJ288,'Jan-2026 rates'!$E:$F,2,0)))</f>
        <v>0</v>
      </c>
      <c r="CA288" s="409"/>
      <c r="CB288" s="409"/>
      <c r="CC288" s="411">
        <f t="shared" si="215"/>
        <v>0</v>
      </c>
      <c r="CD288" s="411">
        <f t="shared" si="216"/>
        <v>0</v>
      </c>
      <c r="CE288" s="410">
        <f t="shared" si="217"/>
        <v>0</v>
      </c>
      <c r="CF288" s="404"/>
      <c r="CG288" s="409"/>
      <c r="CH288" s="420" t="str">
        <f t="shared" si="185"/>
        <v xml:space="preserve"> - </v>
      </c>
      <c r="CI288" s="409"/>
      <c r="CJ288" s="411">
        <f>IF(CI288=0,0,IF($LB288=70%,VLOOKUP($CH288,'Jan-2026 rates'!$L:$R,4,0),IF($LB288=65%,VLOOKUP($CH288,'Jan-2026 rates'!$L:$R,4,0),IF($LB288=40%,VLOOKUP($CH288,'Jan-2026 rates'!$L:$R,5,0),IF($LB288=30%,VLOOKUP($CH288,'Jan-2026 rates'!$L:$R,6,0),IF($LB288=100%,VLOOKUP($CH288,'Jan-2026 rates'!$L:$R,7,0),IF($LB288=60%,VLOOKUP($CH288,'Jan-2026 rates'!$L:$S,8,0),IF($LB288=80%,VLOOKUP($CH288,'Jan-2026 rates'!L:T,9,0),0))))))))</f>
        <v>0</v>
      </c>
      <c r="CK288" s="412"/>
      <c r="CL288" s="409"/>
      <c r="CM288" s="411">
        <f>IF(CL288=0,0,IF($LB288=70%,VLOOKUP($CH288,'Jan-2026 rates'!$L:$R,4,0),IF($LB288=65%,VLOOKUP($CH288,'Jan-2026 rates'!$L:$R,4,0),IF($LB288=40%,VLOOKUP($CH288,'Jan-2026 rates'!$L:$R,5,0),IF($LB288=30%,VLOOKUP($CH288,'Jan-2026 rates'!$L:$R,6,0),IF($LB288=100%,VLOOKUP($CH288,'Jan-2026 rates'!$L:$R,7,0),IF($LB288=60%,VLOOKUP($CH288,'Jan-2026 rates'!$L:$S,8,0),IF($LB288=80%,VLOOKUP($CH288,'Jan-2026 rates'!L:T,9,0),0))))))))</f>
        <v>0</v>
      </c>
      <c r="CN288" s="426"/>
      <c r="CO288" s="427"/>
      <c r="CP288" s="426"/>
      <c r="CQ288" s="426"/>
      <c r="CR288" s="428"/>
      <c r="CS288" s="428"/>
      <c r="CT288" s="428"/>
      <c r="CU288" s="428"/>
      <c r="CV288" s="409"/>
      <c r="CW288" s="398">
        <f>IF(CV288=0,0,IF(LEN(CN288)=11,_xlfn.XLOOKUP(CN288,'Dispensed Ink Rates'!C:C,'Dispensed Ink Rates'!CS:CS),VLOOKUP(CN288,'Jan-2026 rates'!$E:$F,2,0)))</f>
        <v>0</v>
      </c>
      <c r="CX288" s="409"/>
      <c r="CY288" s="398">
        <f>IF(CX288=0,0,IF(LEN(CO288)=11,_xlfn.XLOOKUP(CO288,'Dispensed Ink Rates'!C:C,'Dispensed Ink Rates'!CS:CS),VLOOKUP(CO288,'Jan-2026 rates'!$E:$F,2,0)))</f>
        <v>0</v>
      </c>
      <c r="CZ288" s="409"/>
      <c r="DA288" s="398">
        <f>IF(CZ288=0,0,IF(LEN(CP288)=11,_xlfn.XLOOKUP(CP288,'Dispensed Ink Rates'!C:C,'Dispensed Ink Rates'!CS:CS),VLOOKUP(CP288,'Jan-2026 rates'!$E:$F,2,0)))</f>
        <v>0</v>
      </c>
      <c r="DB288" s="409"/>
      <c r="DC288" s="398">
        <f>IF(DB288=0,0,IF(LEN(CQ288)=11,_xlfn.XLOOKUP(CQ288,'Dispensed Ink Rates'!C:C,'Dispensed Ink Rates'!CS:CS),VLOOKUP(CQ288,'Jan-2026 rates'!$E:$F,2,0)))</f>
        <v>0</v>
      </c>
      <c r="DD288" s="409"/>
      <c r="DE288" s="398">
        <f>IF(DD288=0,0,IF(LEN(CR288)=11,_xlfn.XLOOKUP(CR288,'Dispensed Ink Rates'!C:C,'Dispensed Ink Rates'!CS:CS),VLOOKUP(CR288,'Jan-2026 rates'!$E:$F,2,0)))</f>
        <v>0</v>
      </c>
      <c r="DF288" s="409"/>
      <c r="DG288" s="398">
        <f>IF(DF288=0,0,IF(LEN(CS288)=11,_xlfn.XLOOKUP(CS288,'Dispensed Ink Rates'!C:C,'Dispensed Ink Rates'!CS:CS),VLOOKUP(CS288,'Jan-2026 rates'!$E:$F,2,0)))</f>
        <v>0</v>
      </c>
      <c r="DH288" s="409"/>
      <c r="DI288" s="398">
        <f>IF(DH288=0,0,IF(LEN(CT288)=11,_xlfn.XLOOKUP(CT288,'Dispensed Ink Rates'!C:C,'Dispensed Ink Rates'!CS:CS),VLOOKUP(CT288,'Jan-2026 rates'!$E:$F,2,0)))</f>
        <v>0</v>
      </c>
      <c r="DJ288" s="409"/>
      <c r="DK288" s="398">
        <f>IF(DJ288=0,0,IF(LEN(CU288)=11,_xlfn.XLOOKUP(CU288,'Dispensed Ink Rates'!C:C,'Dispensed Ink Rates'!CS:CS),VLOOKUP(CU288,'Jan-2026 rates'!$E:$F,2,0)))</f>
        <v>0</v>
      </c>
      <c r="DL288" s="409"/>
      <c r="DM288" s="409"/>
      <c r="DN288" s="411">
        <f t="shared" si="218"/>
        <v>0</v>
      </c>
      <c r="DO288" s="411">
        <f t="shared" si="219"/>
        <v>0</v>
      </c>
      <c r="DP288" s="410">
        <f t="shared" si="220"/>
        <v>0</v>
      </c>
      <c r="DQ288" s="405"/>
      <c r="DR288" s="409"/>
      <c r="DS288" s="420" t="str">
        <f t="shared" si="186"/>
        <v xml:space="preserve"> - </v>
      </c>
      <c r="DT288" s="409"/>
      <c r="DU288" s="411">
        <f>IF(DT288=0,0,IF($LB288=70%,VLOOKUP($DS288,'Jan-2026 rates'!$L:$R,4,0),IF($LB288=65%,VLOOKUP($DS288,'Jan-2026 rates'!$L:$R,4,0),IF($LB288=40%,VLOOKUP($DS288,'Jan-2026 rates'!$L:$R,5,0),IF($LB288=30%,VLOOKUP($DS288,'Jan-2026 rates'!$L:$R,6,0),IF($LB288=100%,VLOOKUP($DS288,'Jan-2026 rates'!$L:$R,7,0),IF($LB288=60%,VLOOKUP($DS288,'Jan-2026 rates'!$L:$S,8,0),IF($LB288=80%,VLOOKUP($DS288,'Jan-2026 rates'!L:T,9,0),0))))))))</f>
        <v>0</v>
      </c>
      <c r="DV288" s="412"/>
      <c r="DW288" s="409"/>
      <c r="DX288" s="411">
        <f>IF(DW288=0,0,IF($LB288=70%,VLOOKUP($DS288,'Jan-2026 rates'!$L:$R,4,0),IF($LB288=65%,VLOOKUP($DS288,'Jan-2026 rates'!$L:$R,4,0),IF($LB288=40%,VLOOKUP($DS288,'Jan-2026 rates'!$L:$R,5,0),IF($LB288=30%,VLOOKUP($DS288,'Jan-2026 rates'!$L:$R,6,0),IF($LB288=100%,VLOOKUP($DS288,'Jan-2026 rates'!$L:$R,7,0),IF($LB288=60%,VLOOKUP($DS288,'Jan-2026 rates'!$L:$S,8,0),IF($LB288=80%,VLOOKUP($DS288,'Jan-2026 rates'!L:T,9,0),0))))))))</f>
        <v>0</v>
      </c>
      <c r="DY288" s="413"/>
      <c r="DZ288" s="413"/>
      <c r="EA288" s="412"/>
      <c r="EB288" s="412"/>
      <c r="EC288" s="412"/>
      <c r="ED288" s="412"/>
      <c r="EE288" s="412"/>
      <c r="EF288" s="412"/>
      <c r="EG288" s="409"/>
      <c r="EH288" s="398">
        <f>IF(EG288=0,0,IF(LEN(DY288)=11,_xlfn.XLOOKUP(DY288,'Dispensed Ink Rates'!C:C,'Dispensed Ink Rates'!CS:CS),VLOOKUP(DY288,'Jan-2026 rates'!$E:$F,2,0)))</f>
        <v>0</v>
      </c>
      <c r="EI288" s="409"/>
      <c r="EJ288" s="398">
        <f>IF(EI288=0,0,IF(LEN(DZ288)=11,_xlfn.XLOOKUP(DZ288,'Dispensed Ink Rates'!C:C,'Dispensed Ink Rates'!CS:CS),VLOOKUP(DZ288,'Jan-2026 rates'!$E:$F,2,0)))</f>
        <v>0</v>
      </c>
      <c r="EK288" s="409"/>
      <c r="EL288" s="398">
        <f>IF(EK288=0,0,IF(LEN(EA288)=11,_xlfn.XLOOKUP(EA288,'Dispensed Ink Rates'!C:C,'Dispensed Ink Rates'!CS:CS),VLOOKUP(EA288,'Jan-2026 rates'!$E:$F,2,0)))</f>
        <v>0</v>
      </c>
      <c r="EM288" s="409"/>
      <c r="EN288" s="398">
        <f>IF(EM288=0,0,IF(LEN(EB288)=11,_xlfn.XLOOKUP(EB288,'Dispensed Ink Rates'!C:C,'Dispensed Ink Rates'!CS:CS),VLOOKUP(EB288,'Jan-2026 rates'!$E:$F,2,0)))</f>
        <v>0</v>
      </c>
      <c r="EO288" s="409"/>
      <c r="EP288" s="398">
        <f>IF(EO288=0,0,IF(LEN(EC288)=11,_xlfn.XLOOKUP(EC288,'Dispensed Ink Rates'!C:C,'Dispensed Ink Rates'!CS:CS),VLOOKUP(EC288,'Jan-2026 rates'!$E:$F,2,0)))</f>
        <v>0</v>
      </c>
      <c r="EQ288" s="409"/>
      <c r="ER288" s="398">
        <f>IF(EQ288=0,0,IF(LEN(ED288)=11,_xlfn.XLOOKUP(ED288,'Dispensed Ink Rates'!C:C,'Dispensed Ink Rates'!CS:CS),VLOOKUP(ED288,'Jan-2026 rates'!$E:$F,2,0)))</f>
        <v>0</v>
      </c>
      <c r="ES288" s="409"/>
      <c r="ET288" s="398">
        <f>IF(ES288=0,0,IF(LEN(EE288)=11,_xlfn.XLOOKUP(EE288,'Dispensed Ink Rates'!C:C,'Dispensed Ink Rates'!CS:CS),VLOOKUP(EE288,'Jan-2026 rates'!$E:$F,2,0)))</f>
        <v>0</v>
      </c>
      <c r="EU288" s="409"/>
      <c r="EV288" s="398">
        <f>IF(EU288=0,0,IF(LEN(EF288)=11,_xlfn.XLOOKUP(EF288,'Dispensed Ink Rates'!C:C,'Dispensed Ink Rates'!CS:CS),VLOOKUP(EF288,'Jan-2026 rates'!$E:$F,2,0)))</f>
        <v>0</v>
      </c>
      <c r="EW288" s="409"/>
      <c r="EX288" s="409"/>
      <c r="EY288" s="411">
        <f t="shared" si="221"/>
        <v>0</v>
      </c>
      <c r="EZ288" s="411">
        <f t="shared" si="222"/>
        <v>0</v>
      </c>
      <c r="FA288" s="410">
        <f t="shared" si="223"/>
        <v>0</v>
      </c>
      <c r="FB288" s="405"/>
      <c r="FC288" s="409"/>
      <c r="FD288" s="420" t="str">
        <f t="shared" si="187"/>
        <v xml:space="preserve"> - </v>
      </c>
      <c r="FE288" s="409"/>
      <c r="FF288" s="411">
        <f>IF(FE288=0,0,IF($LB288=70%,VLOOKUP($FD288,'Jan-2026 rates'!$L:$R,4,0),IF($LB288=65%,VLOOKUP($FD288,'Jan-2026 rates'!$L:$R,4,0),IF($LB288=40%,VLOOKUP($FD288,'Jan-2026 rates'!$L:$R,5,0),IF($LB288=30%,VLOOKUP($FD288,'Jan-2026 rates'!$L:$R,6,0),IF($LB288=100%,VLOOKUP($FD288,'Jan-2026 rates'!$L:$R,7,0),IF($LB288=60%,VLOOKUP($FD288,'Jan-2026 rates'!$L:$S,8,0),IF($LB288=80%,VLOOKUP($FD288,'Jan-2026 rates'!L:T,9,0),0))))))))</f>
        <v>0</v>
      </c>
      <c r="FG288" s="412"/>
      <c r="FH288" s="409"/>
      <c r="FI288" s="411">
        <f>IF(FH288=0,0,IF($LB288=70%,VLOOKUP($FD288,'Jan-2026 rates'!$L:$R,4,0),IF($LB288=65%,VLOOKUP($FD288,'Jan-2026 rates'!$L:$R,4,0),IF($LB288=40%,VLOOKUP($FD288,'Jan-2026 rates'!$L:$R,5,0),IF($LB288=30%,VLOOKUP($FD288,'Jan-2026 rates'!$L:$R,6,0),IF($LB288=100%,VLOOKUP($FD288,'Jan-2026 rates'!$L:$R,7,0),IF($LB288=60%,VLOOKUP($FD288,'Jan-2026 rates'!$L:$S,8,0),IF($LB288=80%,VLOOKUP($FD288,'Jan-2026 rates'!L:T,9,0),0))))))))</f>
        <v>0</v>
      </c>
      <c r="FJ288" s="413"/>
      <c r="FK288" s="413"/>
      <c r="FL288" s="413"/>
      <c r="FM288" s="412"/>
      <c r="FN288" s="412"/>
      <c r="FO288" s="412"/>
      <c r="FP288" s="412"/>
      <c r="FQ288" s="412"/>
      <c r="FR288" s="409"/>
      <c r="FS288" s="398">
        <f>IF(FR288=0,0,IF(LEN(FJ288)=11,_xlfn.XLOOKUP(FJ288,'Dispensed Ink Rates'!C:C,'Dispensed Ink Rates'!CS:CS),VLOOKUP(FJ288,'Jan-2026 rates'!$E:$F,2,0)))</f>
        <v>0</v>
      </c>
      <c r="FT288" s="409"/>
      <c r="FU288" s="398">
        <f>IF(FT288=0,0,IF(LEN(FK288)=11,_xlfn.XLOOKUP(FK288,'Dispensed Ink Rates'!C:C,'Dispensed Ink Rates'!CS:CS),VLOOKUP(FK288,'Jan-2026 rates'!$E:$F,2,0)))</f>
        <v>0</v>
      </c>
      <c r="FV288" s="409"/>
      <c r="FW288" s="398">
        <f>IF(FV288=0,0,IF(LEN(FL288)=11,_xlfn.XLOOKUP(FL288,'Dispensed Ink Rates'!C:C,'Dispensed Ink Rates'!CS:CS),VLOOKUP(FL288,'Jan-2026 rates'!$E:$F,2,0)))</f>
        <v>0</v>
      </c>
      <c r="FX288" s="409"/>
      <c r="FY288" s="398">
        <f>IF(FX288=0,0,IF(LEN(FM288)=11,_xlfn.XLOOKUP(FM288,'Dispensed Ink Rates'!C:C,'Dispensed Ink Rates'!CS:CS),VLOOKUP(FM288,'Jan-2026 rates'!$E:$F,2,0)))</f>
        <v>0</v>
      </c>
      <c r="FZ288" s="409"/>
      <c r="GA288" s="398">
        <f>IF(FZ288=0,0,IF(LEN(FN288)=11,_xlfn.XLOOKUP(FN288,'Dispensed Ink Rates'!C:C,'Dispensed Ink Rates'!CS:CS),VLOOKUP(FN288,'Jan-2026 rates'!$E:$F,2,0)))</f>
        <v>0</v>
      </c>
      <c r="GB288" s="409"/>
      <c r="GC288" s="398">
        <f>IF(GB288=0,0,IF(LEN(FO288)=11,_xlfn.XLOOKUP(FO288,'Dispensed Ink Rates'!C:C,'Dispensed Ink Rates'!CS:CS),VLOOKUP(FO288,'Jan-2026 rates'!$E:$F,2,0)))</f>
        <v>0</v>
      </c>
      <c r="GD288" s="409"/>
      <c r="GE288" s="398">
        <f>IF(GD288=0,0,IF(LEN(FP288)=11,_xlfn.XLOOKUP(FP288,'Dispensed Ink Rates'!C:C,'Dispensed Ink Rates'!CS:CS),VLOOKUP(FP288,'Jan-2026 rates'!$E:$F,2,0)))</f>
        <v>0</v>
      </c>
      <c r="GF288" s="409"/>
      <c r="GG288" s="398">
        <f>IF(GF288=0,0,IF(LEN(FQ288)=11,_xlfn.XLOOKUP(FQ288,'Dispensed Ink Rates'!C:C,'Dispensed Ink Rates'!CS:CS),VLOOKUP(FQ288,'Jan-2026 rates'!$E:$F,2,0)))</f>
        <v>0</v>
      </c>
      <c r="GH288" s="409"/>
      <c r="GI288" s="409"/>
      <c r="GJ288" s="411">
        <f t="shared" si="224"/>
        <v>0</v>
      </c>
      <c r="GK288" s="411">
        <f t="shared" si="225"/>
        <v>0</v>
      </c>
      <c r="GL288" s="410">
        <f t="shared" si="226"/>
        <v>0</v>
      </c>
      <c r="GM288" s="405"/>
      <c r="GN288" s="409"/>
      <c r="GO288" s="420" t="str">
        <f t="shared" si="188"/>
        <v xml:space="preserve"> - </v>
      </c>
      <c r="GP288" s="409"/>
      <c r="GQ288" s="411">
        <f>IF(GP288=0,0,IF($LB288=70%,VLOOKUP($GO288,'Jan-2026 rates'!$L:$R,4,0),IF($LB288=65%,VLOOKUP($GO288,'Jan-2026 rates'!$L:$R,4,0),IF($LB288=40%,VLOOKUP($GO288,'Jan-2026 rates'!$L:$R,5,0),IF($LB288=30%,VLOOKUP($GO288,'Jan-2026 rates'!$L:$R,6,0),IF($LB288=100%,VLOOKUP($GO288,'Jan-2026 rates'!$L:$R,7,0),IF($LB288=60%,VLOOKUP($GO288,'Jan-2026 rates'!$L:$S,8,0),IF($LB288=80%,VLOOKUP($GO288,'Jan-2026 rates'!L:T,9,0),0))))))))</f>
        <v>0</v>
      </c>
      <c r="GR288" s="412"/>
      <c r="GS288" s="409"/>
      <c r="GT288" s="411">
        <f>IF(GS288=0,0,IF($LB288=70%,VLOOKUP($GO288,'Jan-2026 rates'!$L:$R,4,0),IF($LB288=65%,VLOOKUP($GO288,'Jan-2026 rates'!$L:$R,4,0),IF($LB288=40%,VLOOKUP($GO288,'Jan-2026 rates'!$L:$R,5,0),IF($LB288=30%,VLOOKUP($GO288,'Jan-2026 rates'!$L:$R,6,0),IF($LB288=100%,VLOOKUP($GO288,'Jan-2026 rates'!$L:$R,7,0),IF($LB288=60%,VLOOKUP($GO288,'Jan-2026 rates'!$L:$S,8,0),IF($LB288=80%,VLOOKUP($GO288,'Jan-2026 rates'!L:T,9,0),0))))))))</f>
        <v>0</v>
      </c>
      <c r="GU288" s="413"/>
      <c r="GV288" s="413"/>
      <c r="GW288" s="412"/>
      <c r="GX288" s="412"/>
      <c r="GY288" s="412"/>
      <c r="GZ288" s="412"/>
      <c r="HA288" s="412"/>
      <c r="HB288" s="412"/>
      <c r="HC288" s="409"/>
      <c r="HD288" s="398">
        <f>IF(HC288=0,0,IF(LEN(GU288)=11,_xlfn.XLOOKUP(GU288,'Dispensed Ink Rates'!C:C,'Dispensed Ink Rates'!CS:CS),VLOOKUP(GU288,'Jan-2026 rates'!$E:$F,2,0)))</f>
        <v>0</v>
      </c>
      <c r="HE288" s="409"/>
      <c r="HF288" s="398">
        <f>IF(HE288=0,0,IF(LEN(GV288)=11,_xlfn.XLOOKUP(GV288,'Dispensed Ink Rates'!C:C,'Dispensed Ink Rates'!CS:CS),VLOOKUP(GV288,'Jan-2026 rates'!$E:$F,2,0)))</f>
        <v>0</v>
      </c>
      <c r="HG288" s="409"/>
      <c r="HH288" s="398">
        <f>IF(HG288=0,0,IF(LEN(GW288)=11,_xlfn.XLOOKUP(GW288,'Dispensed Ink Rates'!C:C,'Dispensed Ink Rates'!CS:CS),VLOOKUP(GW288,'Jan-2026 rates'!$E:$F,2,0)))</f>
        <v>0</v>
      </c>
      <c r="HI288" s="409"/>
      <c r="HJ288" s="398">
        <f>IF(HI288=0,0,IF(LEN(GX288)=11,_xlfn.XLOOKUP(GX288,'Dispensed Ink Rates'!C:C,'Dispensed Ink Rates'!CS:CS),VLOOKUP(GX288,'Jan-2026 rates'!$E:$F,2,0)))</f>
        <v>0</v>
      </c>
      <c r="HK288" s="409"/>
      <c r="HL288" s="398">
        <f>IF(HK288=0,0,IF(LEN(GY288)=11,_xlfn.XLOOKUP(GY288,'Dispensed Ink Rates'!C:C,'Dispensed Ink Rates'!CS:CS),VLOOKUP(GY288,'Jan-2026 rates'!$E:$F,2,0)))</f>
        <v>0</v>
      </c>
      <c r="HM288" s="409"/>
      <c r="HN288" s="398">
        <f>IF(HM288=0,0,IF(LEN(GZ288)=11,_xlfn.XLOOKUP(GZ288,'Dispensed Ink Rates'!C:C,'Dispensed Ink Rates'!CS:CS),VLOOKUP(GZ288,'Jan-2026 rates'!$E:$F,2,0)))</f>
        <v>0</v>
      </c>
      <c r="HO288" s="409"/>
      <c r="HP288" s="398">
        <f>IF(HO288=0,0,IF(LEN(HA288)=11,_xlfn.XLOOKUP(HA288,'Dispensed Ink Rates'!C:C,'Dispensed Ink Rates'!CS:CS),VLOOKUP(HA288,'Jan-2026 rates'!$E:$F,2,0)))</f>
        <v>0</v>
      </c>
      <c r="HQ288" s="409"/>
      <c r="HR288" s="398">
        <f>IF(HQ288=0,0,IF(LEN(HB288)=11,_xlfn.XLOOKUP(HB288,'Dispensed Ink Rates'!C:C,'Dispensed Ink Rates'!CS:CS),VLOOKUP(HB288,'Jan-2026 rates'!$E:$F,2,0)))</f>
        <v>0</v>
      </c>
      <c r="HS288" s="409"/>
      <c r="HT288" s="409"/>
      <c r="HU288" s="411">
        <f t="shared" si="227"/>
        <v>0</v>
      </c>
      <c r="HV288" s="411">
        <f t="shared" si="228"/>
        <v>0</v>
      </c>
      <c r="HW288" s="414">
        <f t="shared" si="229"/>
        <v>0</v>
      </c>
      <c r="HX288" s="405"/>
      <c r="HY288" s="409"/>
      <c r="HZ288" s="420" t="str">
        <f t="shared" si="189"/>
        <v xml:space="preserve"> - </v>
      </c>
      <c r="IA288" s="409"/>
      <c r="IB288" s="411">
        <f>IF(IA288=0,0,IF($LB288=70%,VLOOKUP($HZ288,'Jan-2026 rates'!$L:$R,4,0),IF($LB288=65%,VLOOKUP($HZ288,'Jan-2026 rates'!$L:$R,4,0),IF($LB288=40%,VLOOKUP($HZ288,'Jan-2026 rates'!$L:$R,5,0),IF($LB288=30%,VLOOKUP($HZ288,'Jan-2026 rates'!$L:$R,6,0),IF($LB288=100%,VLOOKUP($HZ288,'Jan-2026 rates'!$L:$R,7,0),IF($LB288=60%,VLOOKUP($HZ288,'Jan-2026 rates'!$L:$S,8,0),IF($LB288=80%,VLOOKUP($HZ288,'Jan-2026 rates'!L:T,9,0),0))))))))</f>
        <v>0</v>
      </c>
      <c r="IC288" s="412"/>
      <c r="ID288" s="409"/>
      <c r="IE288" s="411">
        <f>IF(ID288=0,0,IF($LB288=70%,VLOOKUP($HZ288,'Jan-2026 rates'!$L:$R,4,0),IF($LB288=65%,VLOOKUP($HZ288,'Jan-2026 rates'!$L:$R,4,0),IF($LB288=40%,VLOOKUP($HZ288,'Jan-2026 rates'!$L:$R,5,0),IF($LB288=30%,VLOOKUP($HZ288,'Jan-2026 rates'!$L:$R,6,0),IF($LB288=100%,VLOOKUP($HZ288,'Jan-2026 rates'!$L:$R,7,0),IF($LB288=60%,VLOOKUP($HZ288,'Jan-2026 rates'!$L:$S,8,0),IF($LB288=80%,VLOOKUP($HZ288,'Jan-2026 rates'!L:T,9,0),0))))))))</f>
        <v>0</v>
      </c>
      <c r="IF288" s="412"/>
      <c r="IG288" s="413"/>
      <c r="IH288" s="412"/>
      <c r="II288" s="412"/>
      <c r="IJ288" s="412"/>
      <c r="IK288" s="412"/>
      <c r="IL288" s="412"/>
      <c r="IM288" s="412"/>
      <c r="IN288" s="409"/>
      <c r="IO288" s="398">
        <f>IF(IN288=0,0,IF(LEN(IF288)=11,_xlfn.XLOOKUP(IF288,'Dispensed Ink Rates'!C:C,'Dispensed Ink Rates'!CS:CS),VLOOKUP(IF288,'Jan-2026 rates'!$E:$F,2,0)))</f>
        <v>0</v>
      </c>
      <c r="IP288" s="409"/>
      <c r="IQ288" s="398">
        <f>IF(IP288=0,0,IF(LEN(IG288)=11,_xlfn.XLOOKUP(IG288,'Dispensed Ink Rates'!C:C,'Dispensed Ink Rates'!CS:CS),VLOOKUP(IG288,'Jan-2026 rates'!$E:$F,2,0)))</f>
        <v>0</v>
      </c>
      <c r="IR288" s="409"/>
      <c r="IS288" s="398">
        <f>IF(IR288=0,0,IF(LEN(IH288)=11,_xlfn.XLOOKUP(IH288,'Dispensed Ink Rates'!C:C,'Dispensed Ink Rates'!CS:CS),VLOOKUP(IH288,'Jan-2026 rates'!$E:$F,2,0)))</f>
        <v>0</v>
      </c>
      <c r="IT288" s="409"/>
      <c r="IU288" s="398">
        <f>IF(IT288=0,0,IF(LEN(II288)=11,_xlfn.XLOOKUP(II288,'Dispensed Ink Rates'!C:C,'Dispensed Ink Rates'!CS:CS),VLOOKUP(II288,'Jan-2026 rates'!$E:$F,2,0)))</f>
        <v>0</v>
      </c>
      <c r="IV288" s="409"/>
      <c r="IW288" s="398">
        <f>IF(IV288=0,0,IF(LEN(IJ288)=11,_xlfn.XLOOKUP(IJ288,'Dispensed Ink Rates'!C:C,'Dispensed Ink Rates'!CS:CS),VLOOKUP(IJ288,'Jan-2026 rates'!$E:$F,2,0)))</f>
        <v>0</v>
      </c>
      <c r="IX288" s="409"/>
      <c r="IY288" s="398">
        <f>IF(IX288=0,0,IF(LEN(IK288)=11,_xlfn.XLOOKUP(IK288,'Dispensed Ink Rates'!C:C,'Dispensed Ink Rates'!CS:CS),VLOOKUP(IK288,'Jan-2026 rates'!$E:$F,2,0)))</f>
        <v>0</v>
      </c>
      <c r="IZ288" s="409"/>
      <c r="JA288" s="398">
        <f>IF(IZ288=0,0,IF(LEN(IL288)=11,_xlfn.XLOOKUP(IL288,'Dispensed Ink Rates'!C:C,'Dispensed Ink Rates'!CS:CS),VLOOKUP(IL288,'Jan-2026 rates'!$E:$F,2,0)))</f>
        <v>0</v>
      </c>
      <c r="JB288" s="409"/>
      <c r="JC288" s="398">
        <f>IF(JB288=0,0,IF(LEN(IM288)=11,_xlfn.XLOOKUP(IM288,'Dispensed Ink Rates'!C:C,'Dispensed Ink Rates'!CS:CS),VLOOKUP(IM288,'Jan-2026 rates'!$E:$F,2,0)))</f>
        <v>0</v>
      </c>
      <c r="JD288" s="409"/>
      <c r="JE288" s="409"/>
      <c r="JF288" s="411">
        <f t="shared" si="230"/>
        <v>0</v>
      </c>
      <c r="JG288" s="411">
        <f t="shared" si="231"/>
        <v>0</v>
      </c>
      <c r="JH288" s="410">
        <f t="shared" si="232"/>
        <v>0</v>
      </c>
      <c r="JI288" s="405"/>
      <c r="JJ288" s="409"/>
      <c r="JK288" s="420" t="str">
        <f t="shared" si="190"/>
        <v xml:space="preserve"> - </v>
      </c>
      <c r="JL288" s="409"/>
      <c r="JM288" s="411">
        <f>IF(JL288=0,0,IF($LB288=70%,VLOOKUP($JK288,'Jan-2026 rates'!$L:$R,4,0),IF($LB288=65%,VLOOKUP($JK288,'Jan-2026 rates'!$L:$R,4,0),IF($LB288=40%,VLOOKUP($JK288,'Jan-2026 rates'!$L:$R,5,0),IF($LB288=30%,VLOOKUP($JK288,'Jan-2026 rates'!$L:$R,6,0),IF($LB288=100%,VLOOKUP($JK288,'Jan-2026 rates'!$L:$R,7,0),IF($LB288=60%,VLOOKUP($JK288,'Jan-2026 rates'!$L:$S,8,0),IF($LB288=80%,VLOOKUP($JK288,'Jan-2026 rates'!L:T,9,0),0))))))))</f>
        <v>0</v>
      </c>
      <c r="JN288" s="412"/>
      <c r="JO288" s="409"/>
      <c r="JP288" s="411">
        <f>IF(JO288=0,0,IF($LB288=70%,VLOOKUP($JK288,'Jan-2026 rates'!$L:$R,4,0),IF($LB288=65%,VLOOKUP($JK288,'Jan-2026 rates'!$L:$R,4,0),IF($LB288=40%,VLOOKUP($JK288,'Jan-2026 rates'!$L:$R,5,0),IF($LB288=30%,VLOOKUP($JK288,'Jan-2026 rates'!$L:$R,6,0),IF($LB288=100%,VLOOKUP($JK288,'Jan-2026 rates'!$L:$R,7,0),IF($LB288=60%,VLOOKUP($JK288,'Jan-2026 rates'!$L:$S,8,0),IF($LB288=80%,VLOOKUP($JK288,'Jan-2026 rates'!L:T,9,0),0))))))))</f>
        <v>0</v>
      </c>
      <c r="JQ288" s="413"/>
      <c r="JR288" s="412"/>
      <c r="JS288" s="413"/>
      <c r="JT288" s="413"/>
      <c r="JU288" s="412"/>
      <c r="JV288" s="412"/>
      <c r="JW288" s="412"/>
      <c r="JX288" s="412"/>
      <c r="JY288" s="409"/>
      <c r="JZ288" s="398">
        <f>IF(JY288=0,0,IF(LEN(JQ288)=11,_xlfn.XLOOKUP(JQ288,'Dispensed Ink Rates'!C:C,'Dispensed Ink Rates'!CS:CS),VLOOKUP(JQ288,'Jan-2026 rates'!$E:$F,2,0)))</f>
        <v>0</v>
      </c>
      <c r="KA288" s="409"/>
      <c r="KB288" s="398">
        <f>IF(KA288=0,0,IF(LEN(JR288)=11,_xlfn.XLOOKUP(JR288,'Dispensed Ink Rates'!C:C,'Dispensed Ink Rates'!CS:CS),VLOOKUP(JR288,'Jan-2026 rates'!$E:$F,2,0)))</f>
        <v>0</v>
      </c>
      <c r="KC288" s="409"/>
      <c r="KD288" s="398">
        <f>IF(KC288=0,0,IF(LEN(JS288)=11,_xlfn.XLOOKUP(JS288,'Dispensed Ink Rates'!C:C,'Dispensed Ink Rates'!CS:CS),VLOOKUP(JS288,'Jan-2026 rates'!$E:$F,2,0)))</f>
        <v>0</v>
      </c>
      <c r="KE288" s="409"/>
      <c r="KF288" s="398">
        <f>IF(KE288=0,0,IF(LEN(JT288)=11,_xlfn.XLOOKUP(JT288,'Dispensed Ink Rates'!C:C,'Dispensed Ink Rates'!CS:CS),VLOOKUP(JT288,'Jan-2026 rates'!$E:$F,2,0)))</f>
        <v>0</v>
      </c>
      <c r="KG288" s="409"/>
      <c r="KH288" s="398">
        <f>IF(KG288=0,0,IF(LEN(JU288)=11,_xlfn.XLOOKUP(JU288,'Dispensed Ink Rates'!C:C,'Dispensed Ink Rates'!CS:CS),VLOOKUP(JU288,'Jan-2026 rates'!$E:$F,2,0)))</f>
        <v>0</v>
      </c>
      <c r="KI288" s="409"/>
      <c r="KJ288" s="398">
        <f>IF(KI288=0,0,IF(LEN(JV288)=11,_xlfn.XLOOKUP(JV288,'Dispensed Ink Rates'!C:C,'Dispensed Ink Rates'!CS:CS),VLOOKUP(JV288,'Jan-2026 rates'!$E:$F,2,0)))</f>
        <v>0</v>
      </c>
      <c r="KK288" s="409"/>
      <c r="KL288" s="398">
        <f>IF(KK288=0,0,IF(LEN(JW288)=11,_xlfn.XLOOKUP(JW288,'Dispensed Ink Rates'!C:C,'Dispensed Ink Rates'!CS:CS),VLOOKUP(JW288,'Jan-2026 rates'!$E:$F,2,0)))</f>
        <v>0</v>
      </c>
      <c r="KM288" s="428"/>
      <c r="KN288" s="398">
        <f>IF(KM288=0,0,IF(LEN(JX288)=11,_xlfn.XLOOKUP(JX288,'Dispensed Ink Rates'!C:C,'Dispensed Ink Rates'!CS:CS),VLOOKUP(JX288,'Jan-2026 rates'!$E:$F,2,0)))</f>
        <v>0</v>
      </c>
      <c r="KO288" s="409"/>
      <c r="KP288" s="409"/>
      <c r="KQ288" s="411">
        <f t="shared" si="233"/>
        <v>0</v>
      </c>
      <c r="KR288" s="411">
        <f t="shared" si="234"/>
        <v>0</v>
      </c>
      <c r="KS288" s="410">
        <f t="shared" si="235"/>
        <v>0</v>
      </c>
      <c r="KT288" s="409">
        <f>8+2</f>
        <v>10</v>
      </c>
      <c r="KU288" s="409">
        <v>0</v>
      </c>
      <c r="KV288" s="409">
        <v>0</v>
      </c>
      <c r="KW288" s="409">
        <v>0</v>
      </c>
      <c r="KX288" s="409">
        <v>0</v>
      </c>
      <c r="KY288" s="409">
        <v>0</v>
      </c>
      <c r="KZ288" s="409">
        <v>0</v>
      </c>
      <c r="LA288" s="409">
        <v>0</v>
      </c>
      <c r="LB288" s="415">
        <v>0.8</v>
      </c>
      <c r="LC288" s="415">
        <v>0.2</v>
      </c>
      <c r="LD288" s="415"/>
      <c r="LE288" s="415"/>
      <c r="LF288" s="415"/>
      <c r="LG288" s="409">
        <v>0</v>
      </c>
      <c r="LH288" s="409">
        <f>10+10+16+4</f>
        <v>40</v>
      </c>
      <c r="LI288" s="409">
        <v>0</v>
      </c>
      <c r="LJ288" s="409">
        <v>0</v>
      </c>
      <c r="LK288" s="416">
        <f t="shared" si="191"/>
        <v>40</v>
      </c>
      <c r="LL288" s="416">
        <f t="shared" si="192"/>
        <v>40</v>
      </c>
      <c r="LM288" s="417">
        <f t="shared" si="193"/>
        <v>32</v>
      </c>
      <c r="LN288" s="417">
        <f>VLOOKUP($LM$8,'Jan-2026 rates'!$H:$I,2,0)</f>
        <v>0</v>
      </c>
      <c r="LO288" s="417">
        <f t="shared" si="194"/>
        <v>8</v>
      </c>
      <c r="LP288" s="417">
        <f>VLOOKUP($LO$8,'Jan-2026 rates'!$H:$I,2,0)</f>
        <v>0</v>
      </c>
      <c r="LQ288" s="417">
        <f t="shared" si="195"/>
        <v>0</v>
      </c>
      <c r="LR288" s="417">
        <f>VLOOKUP($LQ$8,'Jan-2026 rates'!$H:$I,2,0)</f>
        <v>0</v>
      </c>
      <c r="LS288" s="417">
        <f t="shared" si="196"/>
        <v>0</v>
      </c>
      <c r="LT288" s="417">
        <f>VLOOKUP($LS$8,'Jan-2026 rates'!$H:$I,2,0)</f>
        <v>0</v>
      </c>
      <c r="LU288" s="417">
        <f t="shared" si="197"/>
        <v>0</v>
      </c>
      <c r="LV288" s="417">
        <f>VLOOKUP($LU$8,'Jan-2026 rates'!$H:$I,2,0)</f>
        <v>0</v>
      </c>
      <c r="LW288" s="417">
        <f t="shared" si="198"/>
        <v>0</v>
      </c>
      <c r="LX288" s="417">
        <f t="shared" si="199"/>
        <v>0</v>
      </c>
      <c r="LY288" s="418">
        <f t="shared" si="200"/>
        <v>0</v>
      </c>
      <c r="LZ288" s="417"/>
      <c r="MA288" s="435">
        <f t="shared" si="201"/>
        <v>23</v>
      </c>
      <c r="MB288" s="282">
        <f t="shared" si="202"/>
        <v>35</v>
      </c>
      <c r="MC288" s="283">
        <v>181</v>
      </c>
      <c r="MD288" s="284" t="str">
        <f t="shared" si="203"/>
        <v>FLINTSL</v>
      </c>
      <c r="ME288" s="293" t="str">
        <f t="shared" si="204"/>
        <v>+</v>
      </c>
      <c r="MF288" s="293" t="str">
        <f t="shared" si="205"/>
        <v>NIL</v>
      </c>
      <c r="MG288" s="293" t="str">
        <f t="shared" si="206"/>
        <v>NIL</v>
      </c>
      <c r="MH288" s="293" t="str">
        <f t="shared" si="207"/>
        <v>NIL</v>
      </c>
      <c r="MI288" s="293" t="str">
        <f t="shared" si="208"/>
        <v>NIL</v>
      </c>
      <c r="MJ288" s="293" t="str">
        <f t="shared" si="209"/>
        <v>NIL</v>
      </c>
      <c r="MK288" s="293" t="str">
        <f t="shared" si="210"/>
        <v>NIL</v>
      </c>
      <c r="ML288" s="293" t="str">
        <f t="shared" si="211"/>
        <v>NIL</v>
      </c>
      <c r="MM288" s="3" t="b">
        <f t="array" ref="MM288">OR(ME288:ML288="-")</f>
        <v>0</v>
      </c>
      <c r="MN288" s="285"/>
      <c r="MO288" s="401"/>
      <c r="MP288" s="286"/>
      <c r="MQ288" s="286"/>
      <c r="MR288" s="402"/>
      <c r="MS288" s="400"/>
      <c r="NH288" s="422"/>
      <c r="NJ288" s="421"/>
    </row>
    <row r="289" spans="1:374" s="1" customFormat="1" ht="16.5">
      <c r="A289" s="403">
        <v>46045</v>
      </c>
      <c r="B289" s="404" t="s">
        <v>1018</v>
      </c>
      <c r="C289" s="405" t="s">
        <v>4345</v>
      </c>
      <c r="D289" s="406">
        <v>182</v>
      </c>
      <c r="E289" s="404">
        <v>503</v>
      </c>
      <c r="F289" s="407">
        <v>42800</v>
      </c>
      <c r="G289" s="407" t="s">
        <v>1019</v>
      </c>
      <c r="H289" s="408" t="s">
        <v>1017</v>
      </c>
      <c r="I289" s="409">
        <v>0.1</v>
      </c>
      <c r="J289" s="405" t="s">
        <v>543</v>
      </c>
      <c r="K289" s="404" t="s">
        <v>4346</v>
      </c>
      <c r="L289" s="419" t="str">
        <f t="shared" si="184"/>
        <v>FLINTSL - BLACK</v>
      </c>
      <c r="M289" s="404">
        <v>28</v>
      </c>
      <c r="N289" s="410">
        <f>IF(M289=0,0,IF($LB289=70%,VLOOKUP($L289,'Jan-2026 rates'!$L:$R,4,0),IF($LB289=65%,VLOOKUP($L289,'Jan-2026 rates'!$L:$R,4,0),IF($LB289=40%,VLOOKUP($L289,'Jan-2026 rates'!$L:$R,5,0),IF($LB289=30%,VLOOKUP($L289,'Jan-2026 rates'!$L:$R,6,0),IF($LB289=100%,VLOOKUP($L289,'Jan-2026 rates'!$L:$R,7,0),IF($LB289=60%,VLOOKUP($L289,'Jan-2026 rates'!$L:$S,8,0),IF($LB289=80%,VLOOKUP($L289,'Jan-2026 rates'!L:T,9,0),0))))))))</f>
        <v>0</v>
      </c>
      <c r="O289" s="406"/>
      <c r="P289" s="404"/>
      <c r="Q289" s="410">
        <f>IF(P289=0,0,IF($LB289=70%,VLOOKUP($L289,'Jan-2026 rates'!$L:$R,4,0),IF($LB289=65%,VLOOKUP($L289,'Jan-2026 rates'!$L:$R,4,0),IF($LB289=40%,VLOOKUP($L289,'Jan-2026 rates'!$L:$R,5,0),IF($LB289=30%,VLOOKUP($L289,'Jan-2026 rates'!$L:$R,6,0),IF($LB289=100%,VLOOKUP($L289,'Jan-2026 rates'!$L:$R,7,0),IF($LB289=60%,VLOOKUP($L289,'Jan-2026 rates'!$L:$S,8,0),IF($LB289=80%,VLOOKUP($L289,'Jan-2026 rates'!L:T,9,0),0))))))))</f>
        <v>0</v>
      </c>
      <c r="R289" s="406"/>
      <c r="S289" s="406"/>
      <c r="T289" s="406"/>
      <c r="U289" s="406"/>
      <c r="V289" s="406"/>
      <c r="W289" s="406"/>
      <c r="X289" s="406"/>
      <c r="Y289" s="406"/>
      <c r="Z289" s="404"/>
      <c r="AA289" s="398">
        <f>IF(Z289=0,0,IF(LEN(R289)=11,_xlfn.XLOOKUP(R289,'Dispensed Ink Rates'!C:C,'Dispensed Ink Rates'!CS:CS),VLOOKUP(R289,'Jan-2026 rates'!$E:$F,2,0)))</f>
        <v>0</v>
      </c>
      <c r="AB289" s="404"/>
      <c r="AC289" s="398">
        <f>IF(AB289=0,0,IF(LEN(S289)=11,_xlfn.XLOOKUP(S289,'Dispensed Ink Rates'!C:C,'Dispensed Ink Rates'!CS:CS),VLOOKUP(S289,'Jan-2026 rates'!$E:$F,2,0)))</f>
        <v>0</v>
      </c>
      <c r="AD289" s="404"/>
      <c r="AE289" s="398">
        <f>IF(AD289=0,0,IF(LEN(T289)=11,_xlfn.XLOOKUP(T289,'Dispensed Ink Rates'!C:C,'Dispensed Ink Rates'!CS:CS),VLOOKUP(T289,'Jan-2026 rates'!$E:$F,2,0)))</f>
        <v>0</v>
      </c>
      <c r="AF289" s="404"/>
      <c r="AG289" s="398">
        <f>IF(AF289=0,0,IF(LEN(U289)=11,_xlfn.XLOOKUP(U289,'Dispensed Ink Rates'!C:C,'Dispensed Ink Rates'!CS:CS),VLOOKUP(U289,'Jan-2026 rates'!$E:$F,2,0)))</f>
        <v>0</v>
      </c>
      <c r="AH289" s="404"/>
      <c r="AI289" s="398">
        <f>IF(AH289=0,0,IF(LEN(V289)=11,_xlfn.XLOOKUP(V289,'Dispensed Ink Rates'!C:C,'Dispensed Ink Rates'!CS:CS),VLOOKUP(V289,'Jan-2026 rates'!$E:$F,2,0)))</f>
        <v>0</v>
      </c>
      <c r="AJ289" s="404"/>
      <c r="AK289" s="398">
        <f>IF(AJ289=0,0,IF(LEN(W289)=11,_xlfn.XLOOKUP(W289,'Dispensed Ink Rates'!C:C,'Dispensed Ink Rates'!CS:CS),VLOOKUP(W289,'Jan-2026 rates'!$E:$F,2,0)))</f>
        <v>0</v>
      </c>
      <c r="AL289" s="404"/>
      <c r="AM289" s="398">
        <f>IF(AL289=0,0,IF(LEN(X289)=11,_xlfn.XLOOKUP(X289,'Dispensed Ink Rates'!C:C,'Dispensed Ink Rates'!CS:CS),VLOOKUP(X289,'Jan-2026 rates'!$E:$F,2,0)))</f>
        <v>0</v>
      </c>
      <c r="AN289" s="404"/>
      <c r="AO289" s="398">
        <f>IF(AN289=0,0,IF(LEN(Y289)=11,_xlfn.XLOOKUP(Y289,'Dispensed Ink Rates'!C:C,'Dispensed Ink Rates'!CS:CS),VLOOKUP(Y289,'Jan-2026 rates'!$E:$F,2,0)))</f>
        <v>0</v>
      </c>
      <c r="AP289" s="409" t="s">
        <v>1443</v>
      </c>
      <c r="AQ289" s="409">
        <v>24</v>
      </c>
      <c r="AR289" s="410">
        <f t="shared" si="212"/>
        <v>0</v>
      </c>
      <c r="AS289" s="411">
        <f t="shared" si="213"/>
        <v>13.142857142857139</v>
      </c>
      <c r="AT289" s="410">
        <f t="shared" si="214"/>
        <v>0</v>
      </c>
      <c r="AU289" s="405" t="s">
        <v>856</v>
      </c>
      <c r="AV289" s="409" t="s">
        <v>4347</v>
      </c>
      <c r="AW289" s="420" t="str">
        <f t="shared" si="183"/>
        <v>FLINTSL - WHITE</v>
      </c>
      <c r="AX289" s="409">
        <v>30</v>
      </c>
      <c r="AY289" s="411">
        <f>IF(AX289=0,0,IF($LB289=70%,VLOOKUP($AW289,'Jan-2026 rates'!$L:$R,4,0),IF($LB289=65%,VLOOKUP($AW289,'Jan-2026 rates'!$L:$R,4,0),IF($LB289=40%,VLOOKUP($AW289,'Jan-2026 rates'!$L:$R,5,0),IF($LB289=30%,VLOOKUP($AW289,'Jan-2026 rates'!$L:$R,6,0),IF($LB289=100%,VLOOKUP($AW289,'Jan-2026 rates'!$L:$R,7,0),IF($LB289=60%,VLOOKUP($AW289,'Jan-2026 rates'!$L:$S,8,0),IF($LB289=80%,VLOOKUP($AW289,'Jan-2026 rates'!L:T,9,0),0))))))))</f>
        <v>0</v>
      </c>
      <c r="AZ289" s="412"/>
      <c r="BA289" s="409"/>
      <c r="BB289" s="411">
        <f>IF(BA289=0,0,IF($LB289=70%,VLOOKUP($AW289,'Jan-2026 rates'!$L:$R,4,0),IF($LB289=65%,VLOOKUP($AW289,'Jan-2026 rates'!$L:$R,4,0),IF($LB289=40%,VLOOKUP($AW289,'Jan-2026 rates'!$L:$R,5,0),IF($LB289=30%,VLOOKUP($AW289,'Jan-2026 rates'!$L:$R,6,0),IF($LB289=100%,VLOOKUP($AW289,'Jan-2026 rates'!$L:$R,7,0),IF($LB289=60%,VLOOKUP($AW289,'Jan-2026 rates'!$L:$S,8,0),IF($LB289=80%,VLOOKUP($AW289,'Jan-2026 rates'!L:T,9,0),0))))))))</f>
        <v>0</v>
      </c>
      <c r="BC289" s="413" t="s">
        <v>484</v>
      </c>
      <c r="BD289" s="412"/>
      <c r="BE289" s="412"/>
      <c r="BF289" s="413"/>
      <c r="BG289" s="412"/>
      <c r="BH289" s="412"/>
      <c r="BI289" s="412"/>
      <c r="BJ289" s="412"/>
      <c r="BK289" s="409">
        <v>10</v>
      </c>
      <c r="BL289" s="398">
        <f>IF(BK289=0,0,IF(LEN(BC289)=11,_xlfn.XLOOKUP(BC289,'Dispensed Ink Rates'!C:C,'Dispensed Ink Rates'!CS:CS),VLOOKUP(BC289,'Jan-2026 rates'!$E:$F,2,0)))</f>
        <v>0</v>
      </c>
      <c r="BM289" s="409"/>
      <c r="BN289" s="398">
        <f>IF(BM289=0,0,IF(LEN(BD289)=11,_xlfn.XLOOKUP(BD289,'Dispensed Ink Rates'!C:C,'Dispensed Ink Rates'!CS:CS),VLOOKUP(BD289,'Jan-2026 rates'!$E:$F,2,0)))</f>
        <v>0</v>
      </c>
      <c r="BO289" s="409"/>
      <c r="BP289" s="398">
        <f>IF(BO289=0,0,IF(LEN(BE289)=11,_xlfn.XLOOKUP(BE289,'Dispensed Ink Rates'!C:C,'Dispensed Ink Rates'!CS:CS),VLOOKUP(BE289,'Jan-2026 rates'!$E:$F,2,0)))</f>
        <v>0</v>
      </c>
      <c r="BQ289" s="409"/>
      <c r="BR289" s="398">
        <f>IF(BQ289=0,0,IF(LEN(BF289)=11,_xlfn.XLOOKUP(BF289,'Dispensed Ink Rates'!C:C,'Dispensed Ink Rates'!CS:CS),VLOOKUP(BF289,'Jan-2026 rates'!$E:$F,2,0)))</f>
        <v>0</v>
      </c>
      <c r="BS289" s="409"/>
      <c r="BT289" s="398">
        <f>IF(BS289=0,0,IF(LEN(BG289)=11,_xlfn.XLOOKUP(BG289,'Dispensed Ink Rates'!C:C,'Dispensed Ink Rates'!CS:CS),VLOOKUP(BG289,'Jan-2026 rates'!$E:$F,2,0)))</f>
        <v>0</v>
      </c>
      <c r="BU289" s="409"/>
      <c r="BV289" s="398">
        <f>IF(BU289=0,0,IF(LEN(BH289)=11,_xlfn.XLOOKUP(BH289,'Dispensed Ink Rates'!C:C,'Dispensed Ink Rates'!CS:CS),VLOOKUP(BH289,'Jan-2026 rates'!$E:$F,2,0)))</f>
        <v>0</v>
      </c>
      <c r="BW289" s="409"/>
      <c r="BX289" s="398">
        <f>IF(BW289=0,0,IF(LEN(BI289)=11,_xlfn.XLOOKUP(BI289,'Dispensed Ink Rates'!C:C,'Dispensed Ink Rates'!CS:CS),VLOOKUP(BI289,'Jan-2026 rates'!$E:$F,2,0)))</f>
        <v>0</v>
      </c>
      <c r="BY289" s="409"/>
      <c r="BZ289" s="398">
        <f>IF(BY289=0,0,IF(LEN(BJ289)=11,_xlfn.XLOOKUP(BJ289,'Dispensed Ink Rates'!C:C,'Dispensed Ink Rates'!CS:CS),VLOOKUP(BJ289,'Jan-2026 rates'!$E:$F,2,0)))</f>
        <v>0</v>
      </c>
      <c r="CA289" s="409" t="s">
        <v>1443</v>
      </c>
      <c r="CB289" s="409">
        <v>30</v>
      </c>
      <c r="CC289" s="411">
        <f t="shared" si="215"/>
        <v>0</v>
      </c>
      <c r="CD289" s="411">
        <f t="shared" si="216"/>
        <v>32.857142857142861</v>
      </c>
      <c r="CE289" s="410">
        <f t="shared" si="217"/>
        <v>0</v>
      </c>
      <c r="CF289" s="404"/>
      <c r="CG289" s="409"/>
      <c r="CH289" s="420" t="str">
        <f t="shared" si="185"/>
        <v xml:space="preserve"> - </v>
      </c>
      <c r="CI289" s="409"/>
      <c r="CJ289" s="411">
        <f>IF(CI289=0,0,IF($LB289=70%,VLOOKUP($CH289,'Jan-2026 rates'!$L:$R,4,0),IF($LB289=65%,VLOOKUP($CH289,'Jan-2026 rates'!$L:$R,4,0),IF($LB289=40%,VLOOKUP($CH289,'Jan-2026 rates'!$L:$R,5,0),IF($LB289=30%,VLOOKUP($CH289,'Jan-2026 rates'!$L:$R,6,0),IF($LB289=100%,VLOOKUP($CH289,'Jan-2026 rates'!$L:$R,7,0),IF($LB289=60%,VLOOKUP($CH289,'Jan-2026 rates'!$L:$S,8,0),IF($LB289=80%,VLOOKUP($CH289,'Jan-2026 rates'!L:T,9,0),0))))))))</f>
        <v>0</v>
      </c>
      <c r="CK289" s="412"/>
      <c r="CL289" s="409"/>
      <c r="CM289" s="411">
        <f>IF(CL289=0,0,IF($LB289=70%,VLOOKUP($CH289,'Jan-2026 rates'!$L:$R,4,0),IF($LB289=65%,VLOOKUP($CH289,'Jan-2026 rates'!$L:$R,4,0),IF($LB289=40%,VLOOKUP($CH289,'Jan-2026 rates'!$L:$R,5,0),IF($LB289=30%,VLOOKUP($CH289,'Jan-2026 rates'!$L:$R,6,0),IF($LB289=100%,VLOOKUP($CH289,'Jan-2026 rates'!$L:$R,7,0),IF($LB289=60%,VLOOKUP($CH289,'Jan-2026 rates'!$L:$S,8,0),IF($LB289=80%,VLOOKUP($CH289,'Jan-2026 rates'!L:T,9,0),0))))))))</f>
        <v>0</v>
      </c>
      <c r="CN289" s="426"/>
      <c r="CO289" s="427"/>
      <c r="CP289" s="426"/>
      <c r="CQ289" s="426"/>
      <c r="CR289" s="428"/>
      <c r="CS289" s="428"/>
      <c r="CT289" s="428"/>
      <c r="CU289" s="428"/>
      <c r="CV289" s="409"/>
      <c r="CW289" s="398">
        <f>IF(CV289=0,0,IF(LEN(CN289)=11,_xlfn.XLOOKUP(CN289,'Dispensed Ink Rates'!C:C,'Dispensed Ink Rates'!CS:CS),VLOOKUP(CN289,'Jan-2026 rates'!$E:$F,2,0)))</f>
        <v>0</v>
      </c>
      <c r="CX289" s="409"/>
      <c r="CY289" s="398">
        <f>IF(CX289=0,0,IF(LEN(CO289)=11,_xlfn.XLOOKUP(CO289,'Dispensed Ink Rates'!C:C,'Dispensed Ink Rates'!CS:CS),VLOOKUP(CO289,'Jan-2026 rates'!$E:$F,2,0)))</f>
        <v>0</v>
      </c>
      <c r="CZ289" s="409"/>
      <c r="DA289" s="398">
        <f>IF(CZ289=0,0,IF(LEN(CP289)=11,_xlfn.XLOOKUP(CP289,'Dispensed Ink Rates'!C:C,'Dispensed Ink Rates'!CS:CS),VLOOKUP(CP289,'Jan-2026 rates'!$E:$F,2,0)))</f>
        <v>0</v>
      </c>
      <c r="DB289" s="409"/>
      <c r="DC289" s="398">
        <f>IF(DB289=0,0,IF(LEN(CQ289)=11,_xlfn.XLOOKUP(CQ289,'Dispensed Ink Rates'!C:C,'Dispensed Ink Rates'!CS:CS),VLOOKUP(CQ289,'Jan-2026 rates'!$E:$F,2,0)))</f>
        <v>0</v>
      </c>
      <c r="DD289" s="409"/>
      <c r="DE289" s="398">
        <f>IF(DD289=0,0,IF(LEN(CR289)=11,_xlfn.XLOOKUP(CR289,'Dispensed Ink Rates'!C:C,'Dispensed Ink Rates'!CS:CS),VLOOKUP(CR289,'Jan-2026 rates'!$E:$F,2,0)))</f>
        <v>0</v>
      </c>
      <c r="DF289" s="409"/>
      <c r="DG289" s="398">
        <f>IF(DF289=0,0,IF(LEN(CS289)=11,_xlfn.XLOOKUP(CS289,'Dispensed Ink Rates'!C:C,'Dispensed Ink Rates'!CS:CS),VLOOKUP(CS289,'Jan-2026 rates'!$E:$F,2,0)))</f>
        <v>0</v>
      </c>
      <c r="DH289" s="409"/>
      <c r="DI289" s="398">
        <f>IF(DH289=0,0,IF(LEN(CT289)=11,_xlfn.XLOOKUP(CT289,'Dispensed Ink Rates'!C:C,'Dispensed Ink Rates'!CS:CS),VLOOKUP(CT289,'Jan-2026 rates'!$E:$F,2,0)))</f>
        <v>0</v>
      </c>
      <c r="DJ289" s="409"/>
      <c r="DK289" s="398">
        <f>IF(DJ289=0,0,IF(LEN(CU289)=11,_xlfn.XLOOKUP(CU289,'Dispensed Ink Rates'!C:C,'Dispensed Ink Rates'!CS:CS),VLOOKUP(CU289,'Jan-2026 rates'!$E:$F,2,0)))</f>
        <v>0</v>
      </c>
      <c r="DL289" s="409"/>
      <c r="DM289" s="409"/>
      <c r="DN289" s="411">
        <f t="shared" si="218"/>
        <v>0</v>
      </c>
      <c r="DO289" s="411">
        <f t="shared" si="219"/>
        <v>0</v>
      </c>
      <c r="DP289" s="410">
        <f t="shared" si="220"/>
        <v>0</v>
      </c>
      <c r="DQ289" s="405"/>
      <c r="DR289" s="409"/>
      <c r="DS289" s="420" t="str">
        <f t="shared" si="186"/>
        <v xml:space="preserve"> - </v>
      </c>
      <c r="DT289" s="409"/>
      <c r="DU289" s="411">
        <f>IF(DT289=0,0,IF($LB289=70%,VLOOKUP($DS289,'Jan-2026 rates'!$L:$R,4,0),IF($LB289=65%,VLOOKUP($DS289,'Jan-2026 rates'!$L:$R,4,0),IF($LB289=40%,VLOOKUP($DS289,'Jan-2026 rates'!$L:$R,5,0),IF($LB289=30%,VLOOKUP($DS289,'Jan-2026 rates'!$L:$R,6,0),IF($LB289=100%,VLOOKUP($DS289,'Jan-2026 rates'!$L:$R,7,0),IF($LB289=60%,VLOOKUP($DS289,'Jan-2026 rates'!$L:$S,8,0),IF($LB289=80%,VLOOKUP($DS289,'Jan-2026 rates'!L:T,9,0),0))))))))</f>
        <v>0</v>
      </c>
      <c r="DV289" s="412"/>
      <c r="DW289" s="409"/>
      <c r="DX289" s="411">
        <f>IF(DW289=0,0,IF($LB289=70%,VLOOKUP($DS289,'Jan-2026 rates'!$L:$R,4,0),IF($LB289=65%,VLOOKUP($DS289,'Jan-2026 rates'!$L:$R,4,0),IF($LB289=40%,VLOOKUP($DS289,'Jan-2026 rates'!$L:$R,5,0),IF($LB289=30%,VLOOKUP($DS289,'Jan-2026 rates'!$L:$R,6,0),IF($LB289=100%,VLOOKUP($DS289,'Jan-2026 rates'!$L:$R,7,0),IF($LB289=60%,VLOOKUP($DS289,'Jan-2026 rates'!$L:$S,8,0),IF($LB289=80%,VLOOKUP($DS289,'Jan-2026 rates'!L:T,9,0),0))))))))</f>
        <v>0</v>
      </c>
      <c r="DY289" s="413"/>
      <c r="DZ289" s="413"/>
      <c r="EA289" s="412"/>
      <c r="EB289" s="412"/>
      <c r="EC289" s="412"/>
      <c r="ED289" s="412"/>
      <c r="EE289" s="412"/>
      <c r="EF289" s="412"/>
      <c r="EG289" s="409"/>
      <c r="EH289" s="398">
        <f>IF(EG289=0,0,IF(LEN(DY289)=11,_xlfn.XLOOKUP(DY289,'Dispensed Ink Rates'!C:C,'Dispensed Ink Rates'!CS:CS),VLOOKUP(DY289,'Jan-2026 rates'!$E:$F,2,0)))</f>
        <v>0</v>
      </c>
      <c r="EI289" s="409"/>
      <c r="EJ289" s="398">
        <f>IF(EI289=0,0,IF(LEN(DZ289)=11,_xlfn.XLOOKUP(DZ289,'Dispensed Ink Rates'!C:C,'Dispensed Ink Rates'!CS:CS),VLOOKUP(DZ289,'Jan-2026 rates'!$E:$F,2,0)))</f>
        <v>0</v>
      </c>
      <c r="EK289" s="409"/>
      <c r="EL289" s="398">
        <f>IF(EK289=0,0,IF(LEN(EA289)=11,_xlfn.XLOOKUP(EA289,'Dispensed Ink Rates'!C:C,'Dispensed Ink Rates'!CS:CS),VLOOKUP(EA289,'Jan-2026 rates'!$E:$F,2,0)))</f>
        <v>0</v>
      </c>
      <c r="EM289" s="409"/>
      <c r="EN289" s="398">
        <f>IF(EM289=0,0,IF(LEN(EB289)=11,_xlfn.XLOOKUP(EB289,'Dispensed Ink Rates'!C:C,'Dispensed Ink Rates'!CS:CS),VLOOKUP(EB289,'Jan-2026 rates'!$E:$F,2,0)))</f>
        <v>0</v>
      </c>
      <c r="EO289" s="409"/>
      <c r="EP289" s="398">
        <f>IF(EO289=0,0,IF(LEN(EC289)=11,_xlfn.XLOOKUP(EC289,'Dispensed Ink Rates'!C:C,'Dispensed Ink Rates'!CS:CS),VLOOKUP(EC289,'Jan-2026 rates'!$E:$F,2,0)))</f>
        <v>0</v>
      </c>
      <c r="EQ289" s="409"/>
      <c r="ER289" s="398">
        <f>IF(EQ289=0,0,IF(LEN(ED289)=11,_xlfn.XLOOKUP(ED289,'Dispensed Ink Rates'!C:C,'Dispensed Ink Rates'!CS:CS),VLOOKUP(ED289,'Jan-2026 rates'!$E:$F,2,0)))</f>
        <v>0</v>
      </c>
      <c r="ES289" s="409"/>
      <c r="ET289" s="398">
        <f>IF(ES289=0,0,IF(LEN(EE289)=11,_xlfn.XLOOKUP(EE289,'Dispensed Ink Rates'!C:C,'Dispensed Ink Rates'!CS:CS),VLOOKUP(EE289,'Jan-2026 rates'!$E:$F,2,0)))</f>
        <v>0</v>
      </c>
      <c r="EU289" s="409"/>
      <c r="EV289" s="398">
        <f>IF(EU289=0,0,IF(LEN(EF289)=11,_xlfn.XLOOKUP(EF289,'Dispensed Ink Rates'!C:C,'Dispensed Ink Rates'!CS:CS),VLOOKUP(EF289,'Jan-2026 rates'!$E:$F,2,0)))</f>
        <v>0</v>
      </c>
      <c r="EW289" s="409"/>
      <c r="EX289" s="409"/>
      <c r="EY289" s="411">
        <f t="shared" si="221"/>
        <v>0</v>
      </c>
      <c r="EZ289" s="411">
        <f t="shared" si="222"/>
        <v>0</v>
      </c>
      <c r="FA289" s="410">
        <f t="shared" si="223"/>
        <v>0</v>
      </c>
      <c r="FB289" s="405"/>
      <c r="FC289" s="409"/>
      <c r="FD289" s="420" t="str">
        <f t="shared" si="187"/>
        <v xml:space="preserve"> - </v>
      </c>
      <c r="FE289" s="409"/>
      <c r="FF289" s="411">
        <f>IF(FE289=0,0,IF($LB289=70%,VLOOKUP($FD289,'Jan-2026 rates'!$L:$R,4,0),IF($LB289=65%,VLOOKUP($FD289,'Jan-2026 rates'!$L:$R,4,0),IF($LB289=40%,VLOOKUP($FD289,'Jan-2026 rates'!$L:$R,5,0),IF($LB289=30%,VLOOKUP($FD289,'Jan-2026 rates'!$L:$R,6,0),IF($LB289=100%,VLOOKUP($FD289,'Jan-2026 rates'!$L:$R,7,0),IF($LB289=60%,VLOOKUP($FD289,'Jan-2026 rates'!$L:$S,8,0),IF($LB289=80%,VLOOKUP($FD289,'Jan-2026 rates'!L:T,9,0),0))))))))</f>
        <v>0</v>
      </c>
      <c r="FG289" s="412"/>
      <c r="FH289" s="409"/>
      <c r="FI289" s="411">
        <f>IF(FH289=0,0,IF($LB289=70%,VLOOKUP($FD289,'Jan-2026 rates'!$L:$R,4,0),IF($LB289=65%,VLOOKUP($FD289,'Jan-2026 rates'!$L:$R,4,0),IF($LB289=40%,VLOOKUP($FD289,'Jan-2026 rates'!$L:$R,5,0),IF($LB289=30%,VLOOKUP($FD289,'Jan-2026 rates'!$L:$R,6,0),IF($LB289=100%,VLOOKUP($FD289,'Jan-2026 rates'!$L:$R,7,0),IF($LB289=60%,VLOOKUP($FD289,'Jan-2026 rates'!$L:$S,8,0),IF($LB289=80%,VLOOKUP($FD289,'Jan-2026 rates'!L:T,9,0),0))))))))</f>
        <v>0</v>
      </c>
      <c r="FJ289" s="413"/>
      <c r="FK289" s="413"/>
      <c r="FL289" s="413"/>
      <c r="FM289" s="412"/>
      <c r="FN289" s="412"/>
      <c r="FO289" s="412"/>
      <c r="FP289" s="412"/>
      <c r="FQ289" s="412"/>
      <c r="FR289" s="409"/>
      <c r="FS289" s="398">
        <f>IF(FR289=0,0,IF(LEN(FJ289)=11,_xlfn.XLOOKUP(FJ289,'Dispensed Ink Rates'!C:C,'Dispensed Ink Rates'!CS:CS),VLOOKUP(FJ289,'Jan-2026 rates'!$E:$F,2,0)))</f>
        <v>0</v>
      </c>
      <c r="FT289" s="409"/>
      <c r="FU289" s="398">
        <f>IF(FT289=0,0,IF(LEN(FK289)=11,_xlfn.XLOOKUP(FK289,'Dispensed Ink Rates'!C:C,'Dispensed Ink Rates'!CS:CS),VLOOKUP(FK289,'Jan-2026 rates'!$E:$F,2,0)))</f>
        <v>0</v>
      </c>
      <c r="FV289" s="409"/>
      <c r="FW289" s="398">
        <f>IF(FV289=0,0,IF(LEN(FL289)=11,_xlfn.XLOOKUP(FL289,'Dispensed Ink Rates'!C:C,'Dispensed Ink Rates'!CS:CS),VLOOKUP(FL289,'Jan-2026 rates'!$E:$F,2,0)))</f>
        <v>0</v>
      </c>
      <c r="FX289" s="409"/>
      <c r="FY289" s="398">
        <f>IF(FX289=0,0,IF(LEN(FM289)=11,_xlfn.XLOOKUP(FM289,'Dispensed Ink Rates'!C:C,'Dispensed Ink Rates'!CS:CS),VLOOKUP(FM289,'Jan-2026 rates'!$E:$F,2,0)))</f>
        <v>0</v>
      </c>
      <c r="FZ289" s="409"/>
      <c r="GA289" s="398">
        <f>IF(FZ289=0,0,IF(LEN(FN289)=11,_xlfn.XLOOKUP(FN289,'Dispensed Ink Rates'!C:C,'Dispensed Ink Rates'!CS:CS),VLOOKUP(FN289,'Jan-2026 rates'!$E:$F,2,0)))</f>
        <v>0</v>
      </c>
      <c r="GB289" s="409"/>
      <c r="GC289" s="398">
        <f>IF(GB289=0,0,IF(LEN(FO289)=11,_xlfn.XLOOKUP(FO289,'Dispensed Ink Rates'!C:C,'Dispensed Ink Rates'!CS:CS),VLOOKUP(FO289,'Jan-2026 rates'!$E:$F,2,0)))</f>
        <v>0</v>
      </c>
      <c r="GD289" s="409"/>
      <c r="GE289" s="398">
        <f>IF(GD289=0,0,IF(LEN(FP289)=11,_xlfn.XLOOKUP(FP289,'Dispensed Ink Rates'!C:C,'Dispensed Ink Rates'!CS:CS),VLOOKUP(FP289,'Jan-2026 rates'!$E:$F,2,0)))</f>
        <v>0</v>
      </c>
      <c r="GF289" s="409"/>
      <c r="GG289" s="398">
        <f>IF(GF289=0,0,IF(LEN(FQ289)=11,_xlfn.XLOOKUP(FQ289,'Dispensed Ink Rates'!C:C,'Dispensed Ink Rates'!CS:CS),VLOOKUP(FQ289,'Jan-2026 rates'!$E:$F,2,0)))</f>
        <v>0</v>
      </c>
      <c r="GH289" s="409"/>
      <c r="GI289" s="409"/>
      <c r="GJ289" s="411">
        <f t="shared" si="224"/>
        <v>0</v>
      </c>
      <c r="GK289" s="411">
        <f t="shared" si="225"/>
        <v>0</v>
      </c>
      <c r="GL289" s="410">
        <f t="shared" si="226"/>
        <v>0</v>
      </c>
      <c r="GM289" s="405"/>
      <c r="GN289" s="409"/>
      <c r="GO289" s="420" t="str">
        <f t="shared" si="188"/>
        <v xml:space="preserve"> - </v>
      </c>
      <c r="GP289" s="409"/>
      <c r="GQ289" s="411">
        <f>IF(GP289=0,0,IF($LB289=70%,VLOOKUP($GO289,'Jan-2026 rates'!$L:$R,4,0),IF($LB289=65%,VLOOKUP($GO289,'Jan-2026 rates'!$L:$R,4,0),IF($LB289=40%,VLOOKUP($GO289,'Jan-2026 rates'!$L:$R,5,0),IF($LB289=30%,VLOOKUP($GO289,'Jan-2026 rates'!$L:$R,6,0),IF($LB289=100%,VLOOKUP($GO289,'Jan-2026 rates'!$L:$R,7,0),IF($LB289=60%,VLOOKUP($GO289,'Jan-2026 rates'!$L:$S,8,0),IF($LB289=80%,VLOOKUP($GO289,'Jan-2026 rates'!L:T,9,0),0))))))))</f>
        <v>0</v>
      </c>
      <c r="GR289" s="412"/>
      <c r="GS289" s="409"/>
      <c r="GT289" s="411">
        <f>IF(GS289=0,0,IF($LB289=70%,VLOOKUP($GO289,'Jan-2026 rates'!$L:$R,4,0),IF($LB289=65%,VLOOKUP($GO289,'Jan-2026 rates'!$L:$R,4,0),IF($LB289=40%,VLOOKUP($GO289,'Jan-2026 rates'!$L:$R,5,0),IF($LB289=30%,VLOOKUP($GO289,'Jan-2026 rates'!$L:$R,6,0),IF($LB289=100%,VLOOKUP($GO289,'Jan-2026 rates'!$L:$R,7,0),IF($LB289=60%,VLOOKUP($GO289,'Jan-2026 rates'!$L:$S,8,0),IF($LB289=80%,VLOOKUP($GO289,'Jan-2026 rates'!L:T,9,0),0))))))))</f>
        <v>0</v>
      </c>
      <c r="GU289" s="413"/>
      <c r="GV289" s="413"/>
      <c r="GW289" s="412"/>
      <c r="GX289" s="412"/>
      <c r="GY289" s="412"/>
      <c r="GZ289" s="412"/>
      <c r="HA289" s="412"/>
      <c r="HB289" s="412"/>
      <c r="HC289" s="409"/>
      <c r="HD289" s="398">
        <f>IF(HC289=0,0,IF(LEN(GU289)=11,_xlfn.XLOOKUP(GU289,'Dispensed Ink Rates'!C:C,'Dispensed Ink Rates'!CS:CS),VLOOKUP(GU289,'Jan-2026 rates'!$E:$F,2,0)))</f>
        <v>0</v>
      </c>
      <c r="HE289" s="409"/>
      <c r="HF289" s="398">
        <f>IF(HE289=0,0,IF(LEN(GV289)=11,_xlfn.XLOOKUP(GV289,'Dispensed Ink Rates'!C:C,'Dispensed Ink Rates'!CS:CS),VLOOKUP(GV289,'Jan-2026 rates'!$E:$F,2,0)))</f>
        <v>0</v>
      </c>
      <c r="HG289" s="409"/>
      <c r="HH289" s="398">
        <f>IF(HG289=0,0,IF(LEN(GW289)=11,_xlfn.XLOOKUP(GW289,'Dispensed Ink Rates'!C:C,'Dispensed Ink Rates'!CS:CS),VLOOKUP(GW289,'Jan-2026 rates'!$E:$F,2,0)))</f>
        <v>0</v>
      </c>
      <c r="HI289" s="409"/>
      <c r="HJ289" s="398">
        <f>IF(HI289=0,0,IF(LEN(GX289)=11,_xlfn.XLOOKUP(GX289,'Dispensed Ink Rates'!C:C,'Dispensed Ink Rates'!CS:CS),VLOOKUP(GX289,'Jan-2026 rates'!$E:$F,2,0)))</f>
        <v>0</v>
      </c>
      <c r="HK289" s="409"/>
      <c r="HL289" s="398">
        <f>IF(HK289=0,0,IF(LEN(GY289)=11,_xlfn.XLOOKUP(GY289,'Dispensed Ink Rates'!C:C,'Dispensed Ink Rates'!CS:CS),VLOOKUP(GY289,'Jan-2026 rates'!$E:$F,2,0)))</f>
        <v>0</v>
      </c>
      <c r="HM289" s="409"/>
      <c r="HN289" s="398">
        <f>IF(HM289=0,0,IF(LEN(GZ289)=11,_xlfn.XLOOKUP(GZ289,'Dispensed Ink Rates'!C:C,'Dispensed Ink Rates'!CS:CS),VLOOKUP(GZ289,'Jan-2026 rates'!$E:$F,2,0)))</f>
        <v>0</v>
      </c>
      <c r="HO289" s="409"/>
      <c r="HP289" s="398">
        <f>IF(HO289=0,0,IF(LEN(HA289)=11,_xlfn.XLOOKUP(HA289,'Dispensed Ink Rates'!C:C,'Dispensed Ink Rates'!CS:CS),VLOOKUP(HA289,'Jan-2026 rates'!$E:$F,2,0)))</f>
        <v>0</v>
      </c>
      <c r="HQ289" s="409"/>
      <c r="HR289" s="398">
        <f>IF(HQ289=0,0,IF(LEN(HB289)=11,_xlfn.XLOOKUP(HB289,'Dispensed Ink Rates'!C:C,'Dispensed Ink Rates'!CS:CS),VLOOKUP(HB289,'Jan-2026 rates'!$E:$F,2,0)))</f>
        <v>0</v>
      </c>
      <c r="HS289" s="409"/>
      <c r="HT289" s="409"/>
      <c r="HU289" s="411">
        <f t="shared" si="227"/>
        <v>0</v>
      </c>
      <c r="HV289" s="411">
        <f t="shared" si="228"/>
        <v>0</v>
      </c>
      <c r="HW289" s="414">
        <f t="shared" si="229"/>
        <v>0</v>
      </c>
      <c r="HX289" s="405"/>
      <c r="HY289" s="409"/>
      <c r="HZ289" s="420" t="str">
        <f t="shared" si="189"/>
        <v xml:space="preserve"> - </v>
      </c>
      <c r="IA289" s="409"/>
      <c r="IB289" s="411">
        <f>IF(IA289=0,0,IF($LB289=70%,VLOOKUP($HZ289,'Jan-2026 rates'!$L:$R,4,0),IF($LB289=65%,VLOOKUP($HZ289,'Jan-2026 rates'!$L:$R,4,0),IF($LB289=40%,VLOOKUP($HZ289,'Jan-2026 rates'!$L:$R,5,0),IF($LB289=30%,VLOOKUP($HZ289,'Jan-2026 rates'!$L:$R,6,0),IF($LB289=100%,VLOOKUP($HZ289,'Jan-2026 rates'!$L:$R,7,0),IF($LB289=60%,VLOOKUP($HZ289,'Jan-2026 rates'!$L:$S,8,0),IF($LB289=80%,VLOOKUP($HZ289,'Jan-2026 rates'!L:T,9,0),0))))))))</f>
        <v>0</v>
      </c>
      <c r="IC289" s="412"/>
      <c r="ID289" s="409"/>
      <c r="IE289" s="411">
        <f>IF(ID289=0,0,IF($LB289=70%,VLOOKUP($HZ289,'Jan-2026 rates'!$L:$R,4,0),IF($LB289=65%,VLOOKUP($HZ289,'Jan-2026 rates'!$L:$R,4,0),IF($LB289=40%,VLOOKUP($HZ289,'Jan-2026 rates'!$L:$R,5,0),IF($LB289=30%,VLOOKUP($HZ289,'Jan-2026 rates'!$L:$R,6,0),IF($LB289=100%,VLOOKUP($HZ289,'Jan-2026 rates'!$L:$R,7,0),IF($LB289=60%,VLOOKUP($HZ289,'Jan-2026 rates'!$L:$S,8,0),IF($LB289=80%,VLOOKUP($HZ289,'Jan-2026 rates'!L:T,9,0),0))))))))</f>
        <v>0</v>
      </c>
      <c r="IF289" s="412"/>
      <c r="IG289" s="413"/>
      <c r="IH289" s="412"/>
      <c r="II289" s="412"/>
      <c r="IJ289" s="412"/>
      <c r="IK289" s="412"/>
      <c r="IL289" s="412"/>
      <c r="IM289" s="412"/>
      <c r="IN289" s="409"/>
      <c r="IO289" s="398">
        <f>IF(IN289=0,0,IF(LEN(IF289)=11,_xlfn.XLOOKUP(IF289,'Dispensed Ink Rates'!C:C,'Dispensed Ink Rates'!CS:CS),VLOOKUP(IF289,'Jan-2026 rates'!$E:$F,2,0)))</f>
        <v>0</v>
      </c>
      <c r="IP289" s="409"/>
      <c r="IQ289" s="398">
        <f>IF(IP289=0,0,IF(LEN(IG289)=11,_xlfn.XLOOKUP(IG289,'Dispensed Ink Rates'!C:C,'Dispensed Ink Rates'!CS:CS),VLOOKUP(IG289,'Jan-2026 rates'!$E:$F,2,0)))</f>
        <v>0</v>
      </c>
      <c r="IR289" s="409"/>
      <c r="IS289" s="398">
        <f>IF(IR289=0,0,IF(LEN(IH289)=11,_xlfn.XLOOKUP(IH289,'Dispensed Ink Rates'!C:C,'Dispensed Ink Rates'!CS:CS),VLOOKUP(IH289,'Jan-2026 rates'!$E:$F,2,0)))</f>
        <v>0</v>
      </c>
      <c r="IT289" s="409"/>
      <c r="IU289" s="398">
        <f>IF(IT289=0,0,IF(LEN(II289)=11,_xlfn.XLOOKUP(II289,'Dispensed Ink Rates'!C:C,'Dispensed Ink Rates'!CS:CS),VLOOKUP(II289,'Jan-2026 rates'!$E:$F,2,0)))</f>
        <v>0</v>
      </c>
      <c r="IV289" s="409"/>
      <c r="IW289" s="398">
        <f>IF(IV289=0,0,IF(LEN(IJ289)=11,_xlfn.XLOOKUP(IJ289,'Dispensed Ink Rates'!C:C,'Dispensed Ink Rates'!CS:CS),VLOOKUP(IJ289,'Jan-2026 rates'!$E:$F,2,0)))</f>
        <v>0</v>
      </c>
      <c r="IX289" s="409"/>
      <c r="IY289" s="398">
        <f>IF(IX289=0,0,IF(LEN(IK289)=11,_xlfn.XLOOKUP(IK289,'Dispensed Ink Rates'!C:C,'Dispensed Ink Rates'!CS:CS),VLOOKUP(IK289,'Jan-2026 rates'!$E:$F,2,0)))</f>
        <v>0</v>
      </c>
      <c r="IZ289" s="409"/>
      <c r="JA289" s="398">
        <f>IF(IZ289=0,0,IF(LEN(IL289)=11,_xlfn.XLOOKUP(IL289,'Dispensed Ink Rates'!C:C,'Dispensed Ink Rates'!CS:CS),VLOOKUP(IL289,'Jan-2026 rates'!$E:$F,2,0)))</f>
        <v>0</v>
      </c>
      <c r="JB289" s="409"/>
      <c r="JC289" s="398">
        <f>IF(JB289=0,0,IF(LEN(IM289)=11,_xlfn.XLOOKUP(IM289,'Dispensed Ink Rates'!C:C,'Dispensed Ink Rates'!CS:CS),VLOOKUP(IM289,'Jan-2026 rates'!$E:$F,2,0)))</f>
        <v>0</v>
      </c>
      <c r="JD289" s="409"/>
      <c r="JE289" s="409"/>
      <c r="JF289" s="411">
        <f t="shared" si="230"/>
        <v>0</v>
      </c>
      <c r="JG289" s="411">
        <f t="shared" si="231"/>
        <v>0</v>
      </c>
      <c r="JH289" s="410">
        <f t="shared" si="232"/>
        <v>0</v>
      </c>
      <c r="JI289" s="405"/>
      <c r="JJ289" s="409"/>
      <c r="JK289" s="420" t="str">
        <f t="shared" si="190"/>
        <v xml:space="preserve"> - </v>
      </c>
      <c r="JL289" s="409"/>
      <c r="JM289" s="411">
        <f>IF(JL289=0,0,IF($LB289=70%,VLOOKUP($JK289,'Jan-2026 rates'!$L:$R,4,0),IF($LB289=65%,VLOOKUP($JK289,'Jan-2026 rates'!$L:$R,4,0),IF($LB289=40%,VLOOKUP($JK289,'Jan-2026 rates'!$L:$R,5,0),IF($LB289=30%,VLOOKUP($JK289,'Jan-2026 rates'!$L:$R,6,0),IF($LB289=100%,VLOOKUP($JK289,'Jan-2026 rates'!$L:$R,7,0),IF($LB289=60%,VLOOKUP($JK289,'Jan-2026 rates'!$L:$S,8,0),IF($LB289=80%,VLOOKUP($JK289,'Jan-2026 rates'!L:T,9,0),0))))))))</f>
        <v>0</v>
      </c>
      <c r="JN289" s="412"/>
      <c r="JO289" s="409"/>
      <c r="JP289" s="411">
        <f>IF(JO289=0,0,IF($LB289=70%,VLOOKUP($JK289,'Jan-2026 rates'!$L:$R,4,0),IF($LB289=65%,VLOOKUP($JK289,'Jan-2026 rates'!$L:$R,4,0),IF($LB289=40%,VLOOKUP($JK289,'Jan-2026 rates'!$L:$R,5,0),IF($LB289=30%,VLOOKUP($JK289,'Jan-2026 rates'!$L:$R,6,0),IF($LB289=100%,VLOOKUP($JK289,'Jan-2026 rates'!$L:$R,7,0),IF($LB289=60%,VLOOKUP($JK289,'Jan-2026 rates'!$L:$S,8,0),IF($LB289=80%,VLOOKUP($JK289,'Jan-2026 rates'!L:T,9,0),0))))))))</f>
        <v>0</v>
      </c>
      <c r="JQ289" s="413"/>
      <c r="JR289" s="412"/>
      <c r="JS289" s="413"/>
      <c r="JT289" s="413"/>
      <c r="JU289" s="412"/>
      <c r="JV289" s="412"/>
      <c r="JW289" s="412"/>
      <c r="JX289" s="412"/>
      <c r="JY289" s="409"/>
      <c r="JZ289" s="398">
        <f>IF(JY289=0,0,IF(LEN(JQ289)=11,_xlfn.XLOOKUP(JQ289,'Dispensed Ink Rates'!C:C,'Dispensed Ink Rates'!CS:CS),VLOOKUP(JQ289,'Jan-2026 rates'!$E:$F,2,0)))</f>
        <v>0</v>
      </c>
      <c r="KA289" s="409"/>
      <c r="KB289" s="398">
        <f>IF(KA289=0,0,IF(LEN(JR289)=11,_xlfn.XLOOKUP(JR289,'Dispensed Ink Rates'!C:C,'Dispensed Ink Rates'!CS:CS),VLOOKUP(JR289,'Jan-2026 rates'!$E:$F,2,0)))</f>
        <v>0</v>
      </c>
      <c r="KC289" s="409"/>
      <c r="KD289" s="398">
        <f>IF(KC289=0,0,IF(LEN(JS289)=11,_xlfn.XLOOKUP(JS289,'Dispensed Ink Rates'!C:C,'Dispensed Ink Rates'!CS:CS),VLOOKUP(JS289,'Jan-2026 rates'!$E:$F,2,0)))</f>
        <v>0</v>
      </c>
      <c r="KE289" s="409"/>
      <c r="KF289" s="398">
        <f>IF(KE289=0,0,IF(LEN(JT289)=11,_xlfn.XLOOKUP(JT289,'Dispensed Ink Rates'!C:C,'Dispensed Ink Rates'!CS:CS),VLOOKUP(JT289,'Jan-2026 rates'!$E:$F,2,0)))</f>
        <v>0</v>
      </c>
      <c r="KG289" s="409"/>
      <c r="KH289" s="398">
        <f>IF(KG289=0,0,IF(LEN(JU289)=11,_xlfn.XLOOKUP(JU289,'Dispensed Ink Rates'!C:C,'Dispensed Ink Rates'!CS:CS),VLOOKUP(JU289,'Jan-2026 rates'!$E:$F,2,0)))</f>
        <v>0</v>
      </c>
      <c r="KI289" s="409"/>
      <c r="KJ289" s="398">
        <f>IF(KI289=0,0,IF(LEN(JV289)=11,_xlfn.XLOOKUP(JV289,'Dispensed Ink Rates'!C:C,'Dispensed Ink Rates'!CS:CS),VLOOKUP(JV289,'Jan-2026 rates'!$E:$F,2,0)))</f>
        <v>0</v>
      </c>
      <c r="KK289" s="409"/>
      <c r="KL289" s="398">
        <f>IF(KK289=0,0,IF(LEN(JW289)=11,_xlfn.XLOOKUP(JW289,'Dispensed Ink Rates'!C:C,'Dispensed Ink Rates'!CS:CS),VLOOKUP(JW289,'Jan-2026 rates'!$E:$F,2,0)))</f>
        <v>0</v>
      </c>
      <c r="KM289" s="428"/>
      <c r="KN289" s="398">
        <f>IF(KM289=0,0,IF(LEN(JX289)=11,_xlfn.XLOOKUP(JX289,'Dispensed Ink Rates'!C:C,'Dispensed Ink Rates'!CS:CS),VLOOKUP(JX289,'Jan-2026 rates'!$E:$F,2,0)))</f>
        <v>0</v>
      </c>
      <c r="KO289" s="409"/>
      <c r="KP289" s="409"/>
      <c r="KQ289" s="411">
        <f t="shared" si="233"/>
        <v>0</v>
      </c>
      <c r="KR289" s="411">
        <f t="shared" si="234"/>
        <v>0</v>
      </c>
      <c r="KS289" s="410">
        <f t="shared" si="235"/>
        <v>0</v>
      </c>
      <c r="KT289" s="409">
        <v>2</v>
      </c>
      <c r="KU289" s="409">
        <v>5</v>
      </c>
      <c r="KV289" s="409">
        <v>0</v>
      </c>
      <c r="KW289" s="409">
        <v>0</v>
      </c>
      <c r="KX289" s="409">
        <v>0</v>
      </c>
      <c r="KY289" s="409">
        <v>0</v>
      </c>
      <c r="KZ289" s="409">
        <v>0</v>
      </c>
      <c r="LA289" s="409">
        <v>0</v>
      </c>
      <c r="LB289" s="415">
        <v>0.8</v>
      </c>
      <c r="LC289" s="415">
        <v>0.2</v>
      </c>
      <c r="LD289" s="415"/>
      <c r="LE289" s="415"/>
      <c r="LF289" s="415"/>
      <c r="LG289" s="409">
        <v>0</v>
      </c>
      <c r="LH289" s="409">
        <f>7+5+16+4</f>
        <v>32</v>
      </c>
      <c r="LI289" s="409">
        <v>0</v>
      </c>
      <c r="LJ289" s="409">
        <v>0</v>
      </c>
      <c r="LK289" s="416">
        <f t="shared" si="191"/>
        <v>32</v>
      </c>
      <c r="LL289" s="416">
        <f t="shared" si="192"/>
        <v>32</v>
      </c>
      <c r="LM289" s="417">
        <f t="shared" si="193"/>
        <v>25.6</v>
      </c>
      <c r="LN289" s="417">
        <f>VLOOKUP($LM$8,'Jan-2026 rates'!$H:$I,2,0)</f>
        <v>0</v>
      </c>
      <c r="LO289" s="417">
        <f t="shared" si="194"/>
        <v>6.4</v>
      </c>
      <c r="LP289" s="417">
        <f>VLOOKUP($LO$8,'Jan-2026 rates'!$H:$I,2,0)</f>
        <v>0</v>
      </c>
      <c r="LQ289" s="417">
        <f t="shared" si="195"/>
        <v>0</v>
      </c>
      <c r="LR289" s="417">
        <f>VLOOKUP($LQ$8,'Jan-2026 rates'!$H:$I,2,0)</f>
        <v>0</v>
      </c>
      <c r="LS289" s="417">
        <f t="shared" si="196"/>
        <v>0</v>
      </c>
      <c r="LT289" s="417">
        <f>VLOOKUP($LS$8,'Jan-2026 rates'!$H:$I,2,0)</f>
        <v>0</v>
      </c>
      <c r="LU289" s="417">
        <f t="shared" si="197"/>
        <v>0</v>
      </c>
      <c r="LV289" s="417">
        <f>VLOOKUP($LU$8,'Jan-2026 rates'!$H:$I,2,0)</f>
        <v>0</v>
      </c>
      <c r="LW289" s="417">
        <f t="shared" si="198"/>
        <v>0</v>
      </c>
      <c r="LX289" s="417">
        <f t="shared" si="199"/>
        <v>0</v>
      </c>
      <c r="LY289" s="418">
        <f t="shared" si="200"/>
        <v>0</v>
      </c>
      <c r="LZ289" s="417"/>
      <c r="MA289" s="435">
        <f t="shared" si="201"/>
        <v>10</v>
      </c>
      <c r="MB289" s="282">
        <f t="shared" si="202"/>
        <v>46</v>
      </c>
      <c r="MC289" s="283">
        <v>182</v>
      </c>
      <c r="MD289" s="284" t="str">
        <f t="shared" si="203"/>
        <v>FLINTSLFLINTSL</v>
      </c>
      <c r="ME289" s="293" t="str">
        <f t="shared" si="204"/>
        <v>+</v>
      </c>
      <c r="MF289" s="293" t="str">
        <f t="shared" si="205"/>
        <v>+</v>
      </c>
      <c r="MG289" s="293" t="str">
        <f t="shared" si="206"/>
        <v>NIL</v>
      </c>
      <c r="MH289" s="293" t="str">
        <f t="shared" si="207"/>
        <v>NIL</v>
      </c>
      <c r="MI289" s="293" t="str">
        <f t="shared" si="208"/>
        <v>NIL</v>
      </c>
      <c r="MJ289" s="293" t="str">
        <f t="shared" si="209"/>
        <v>NIL</v>
      </c>
      <c r="MK289" s="293" t="str">
        <f t="shared" si="210"/>
        <v>NIL</v>
      </c>
      <c r="ML289" s="293" t="str">
        <f t="shared" si="211"/>
        <v>NIL</v>
      </c>
      <c r="MM289" s="3" t="b">
        <f t="array" ref="MM289">OR(ME289:ML289="-")</f>
        <v>0</v>
      </c>
      <c r="MN289" s="285"/>
      <c r="MO289" s="401"/>
      <c r="MP289" s="286"/>
      <c r="MQ289" s="286"/>
      <c r="MR289" s="402"/>
      <c r="MS289" s="400"/>
      <c r="NH289" s="422"/>
      <c r="NJ289" s="421"/>
    </row>
    <row r="290" spans="1:374" s="1" customFormat="1" ht="16.5">
      <c r="A290" s="403">
        <v>46045</v>
      </c>
      <c r="B290" s="404" t="s">
        <v>1018</v>
      </c>
      <c r="C290" s="405" t="s">
        <v>4348</v>
      </c>
      <c r="D290" s="406">
        <v>183</v>
      </c>
      <c r="E290" s="404">
        <v>253</v>
      </c>
      <c r="F290" s="407">
        <v>21300</v>
      </c>
      <c r="G290" s="407" t="s">
        <v>1019</v>
      </c>
      <c r="H290" s="408" t="s">
        <v>1017</v>
      </c>
      <c r="I290" s="409">
        <v>1.4</v>
      </c>
      <c r="J290" s="405" t="s">
        <v>543</v>
      </c>
      <c r="K290" s="404"/>
      <c r="L290" s="419" t="str">
        <f t="shared" si="184"/>
        <v>ToyoLi - BLACK</v>
      </c>
      <c r="M290" s="404"/>
      <c r="N290" s="410">
        <f>IF(M290=0,0,IF($LB290=70%,VLOOKUP($L290,'Jan-2026 rates'!$L:$R,4,0),IF($LB290=65%,VLOOKUP($L290,'Jan-2026 rates'!$L:$R,4,0),IF($LB290=40%,VLOOKUP($L290,'Jan-2026 rates'!$L:$R,5,0),IF($LB290=30%,VLOOKUP($L290,'Jan-2026 rates'!$L:$R,6,0),IF($LB290=100%,VLOOKUP($L290,'Jan-2026 rates'!$L:$R,7,0),IF($LB290=60%,VLOOKUP($L290,'Jan-2026 rates'!$L:$S,8,0),IF($LB290=80%,VLOOKUP($L290,'Jan-2026 rates'!L:T,9,0),0))))))))</f>
        <v>0</v>
      </c>
      <c r="O290" s="406"/>
      <c r="P290" s="404"/>
      <c r="Q290" s="410">
        <f>IF(P290=0,0,IF($LB290=70%,VLOOKUP($L290,'Jan-2026 rates'!$L:$R,4,0),IF($LB290=65%,VLOOKUP($L290,'Jan-2026 rates'!$L:$R,4,0),IF($LB290=40%,VLOOKUP($L290,'Jan-2026 rates'!$L:$R,5,0),IF($LB290=30%,VLOOKUP($L290,'Jan-2026 rates'!$L:$R,6,0),IF($LB290=100%,VLOOKUP($L290,'Jan-2026 rates'!$L:$R,7,0),IF($LB290=60%,VLOOKUP($L290,'Jan-2026 rates'!$L:$S,8,0),IF($LB290=80%,VLOOKUP($L290,'Jan-2026 rates'!L:T,9,0),0))))))))</f>
        <v>0</v>
      </c>
      <c r="R290" s="406" t="s">
        <v>1252</v>
      </c>
      <c r="S290" s="406" t="s">
        <v>1921</v>
      </c>
      <c r="T290" s="406"/>
      <c r="U290" s="406"/>
      <c r="V290" s="406"/>
      <c r="W290" s="406"/>
      <c r="X290" s="406"/>
      <c r="Y290" s="406"/>
      <c r="Z290" s="404">
        <f>15+3</f>
        <v>18</v>
      </c>
      <c r="AA290" s="398">
        <f>IF(Z290=0,0,IF(LEN(R290)=11,_xlfn.XLOOKUP(R290,'Dispensed Ink Rates'!C:C,'Dispensed Ink Rates'!CS:CS),VLOOKUP(R290,'Jan-2026 rates'!$E:$F,2,0)))</f>
        <v>0</v>
      </c>
      <c r="AB290" s="404">
        <v>5</v>
      </c>
      <c r="AC290" s="398">
        <f>IF(AB290=0,0,IF(LEN(S290)=11,_xlfn.XLOOKUP(S290,'Dispensed Ink Rates'!C:C,'Dispensed Ink Rates'!CS:CS),VLOOKUP(S290,'Jan-2026 rates'!$E:$F,2,0)))</f>
        <v>0</v>
      </c>
      <c r="AD290" s="404"/>
      <c r="AE290" s="398">
        <f>IF(AD290=0,0,IF(LEN(T290)=11,_xlfn.XLOOKUP(T290,'Dispensed Ink Rates'!C:C,'Dispensed Ink Rates'!CS:CS),VLOOKUP(T290,'Jan-2026 rates'!$E:$F,2,0)))</f>
        <v>0</v>
      </c>
      <c r="AF290" s="404"/>
      <c r="AG290" s="398">
        <f>IF(AF290=0,0,IF(LEN(U290)=11,_xlfn.XLOOKUP(U290,'Dispensed Ink Rates'!C:C,'Dispensed Ink Rates'!CS:CS),VLOOKUP(U290,'Jan-2026 rates'!$E:$F,2,0)))</f>
        <v>0</v>
      </c>
      <c r="AH290" s="404"/>
      <c r="AI290" s="398">
        <f>IF(AH290=0,0,IF(LEN(V290)=11,_xlfn.XLOOKUP(V290,'Dispensed Ink Rates'!C:C,'Dispensed Ink Rates'!CS:CS),VLOOKUP(V290,'Jan-2026 rates'!$E:$F,2,0)))</f>
        <v>0</v>
      </c>
      <c r="AJ290" s="404"/>
      <c r="AK290" s="398">
        <f>IF(AJ290=0,0,IF(LEN(W290)=11,_xlfn.XLOOKUP(W290,'Dispensed Ink Rates'!C:C,'Dispensed Ink Rates'!CS:CS),VLOOKUP(W290,'Jan-2026 rates'!$E:$F,2,0)))</f>
        <v>0</v>
      </c>
      <c r="AL290" s="404"/>
      <c r="AM290" s="398">
        <f>IF(AL290=0,0,IF(LEN(X290)=11,_xlfn.XLOOKUP(X290,'Dispensed Ink Rates'!C:C,'Dispensed Ink Rates'!CS:CS),VLOOKUP(X290,'Jan-2026 rates'!$E:$F,2,0)))</f>
        <v>0</v>
      </c>
      <c r="AN290" s="404"/>
      <c r="AO290" s="398">
        <f>IF(AN290=0,0,IF(LEN(Y290)=11,_xlfn.XLOOKUP(Y290,'Dispensed Ink Rates'!C:C,'Dispensed Ink Rates'!CS:CS),VLOOKUP(Y290,'Jan-2026 rates'!$E:$F,2,0)))</f>
        <v>0</v>
      </c>
      <c r="AP290" s="409" t="s">
        <v>1881</v>
      </c>
      <c r="AQ290" s="409">
        <v>26</v>
      </c>
      <c r="AR290" s="410">
        <f t="shared" si="212"/>
        <v>0</v>
      </c>
      <c r="AS290" s="411">
        <f t="shared" si="213"/>
        <v>10.810344827586206</v>
      </c>
      <c r="AT290" s="410">
        <f t="shared" si="214"/>
        <v>0</v>
      </c>
      <c r="AU290" s="405" t="s">
        <v>548</v>
      </c>
      <c r="AV290" s="409" t="s">
        <v>3961</v>
      </c>
      <c r="AW290" s="420" t="str">
        <f t="shared" si="183"/>
        <v>FLINTSL - GOLD</v>
      </c>
      <c r="AX290" s="409">
        <v>24</v>
      </c>
      <c r="AY290" s="411">
        <f>IF(AX290=0,0,IF($LB290=70%,VLOOKUP($AW290,'Jan-2026 rates'!$L:$R,4,0),IF($LB290=65%,VLOOKUP($AW290,'Jan-2026 rates'!$L:$R,4,0),IF($LB290=40%,VLOOKUP($AW290,'Jan-2026 rates'!$L:$R,5,0),IF($LB290=30%,VLOOKUP($AW290,'Jan-2026 rates'!$L:$R,6,0),IF($LB290=100%,VLOOKUP($AW290,'Jan-2026 rates'!$L:$R,7,0),IF($LB290=60%,VLOOKUP($AW290,'Jan-2026 rates'!$L:$S,8,0),IF($LB290=80%,VLOOKUP($AW290,'Jan-2026 rates'!L:T,9,0),0))))))))</f>
        <v>0</v>
      </c>
      <c r="AZ290" s="412"/>
      <c r="BA290" s="409"/>
      <c r="BB290" s="411">
        <f>IF(BA290=0,0,IF($LB290=70%,VLOOKUP($AW290,'Jan-2026 rates'!$L:$R,4,0),IF($LB290=65%,VLOOKUP($AW290,'Jan-2026 rates'!$L:$R,4,0),IF($LB290=40%,VLOOKUP($AW290,'Jan-2026 rates'!$L:$R,5,0),IF($LB290=30%,VLOOKUP($AW290,'Jan-2026 rates'!$L:$R,6,0),IF($LB290=100%,VLOOKUP($AW290,'Jan-2026 rates'!$L:$R,7,0),IF($LB290=60%,VLOOKUP($AW290,'Jan-2026 rates'!$L:$S,8,0),IF($LB290=80%,VLOOKUP($AW290,'Jan-2026 rates'!L:T,9,0),0))))))))</f>
        <v>0</v>
      </c>
      <c r="BC290" s="413" t="s">
        <v>1340</v>
      </c>
      <c r="BD290" s="412" t="s">
        <v>1646</v>
      </c>
      <c r="BE290" s="412"/>
      <c r="BF290" s="413"/>
      <c r="BG290" s="412"/>
      <c r="BH290" s="412"/>
      <c r="BI290" s="412"/>
      <c r="BJ290" s="412"/>
      <c r="BK290" s="409">
        <f>3+5</f>
        <v>8</v>
      </c>
      <c r="BL290" s="398">
        <f>IF(BK290=0,0,IF(LEN(BC290)=11,_xlfn.XLOOKUP(BC290,'Dispensed Ink Rates'!C:C,'Dispensed Ink Rates'!CS:CS),VLOOKUP(BC290,'Jan-2026 rates'!$E:$F,2,0)))</f>
        <v>0</v>
      </c>
      <c r="BM290" s="409">
        <v>4</v>
      </c>
      <c r="BN290" s="398">
        <f>IF(BM290=0,0,IF(LEN(BD290)=11,_xlfn.XLOOKUP(BD290,'Dispensed Ink Rates'!C:C,'Dispensed Ink Rates'!CS:CS),VLOOKUP(BD290,'Jan-2026 rates'!$E:$F,2,0)))</f>
        <v>0</v>
      </c>
      <c r="BO290" s="409"/>
      <c r="BP290" s="398">
        <f>IF(BO290=0,0,IF(LEN(BE290)=11,_xlfn.XLOOKUP(BE290,'Dispensed Ink Rates'!C:C,'Dispensed Ink Rates'!CS:CS),VLOOKUP(BE290,'Jan-2026 rates'!$E:$F,2,0)))</f>
        <v>0</v>
      </c>
      <c r="BQ290" s="409"/>
      <c r="BR290" s="398">
        <f>IF(BQ290=0,0,IF(LEN(BF290)=11,_xlfn.XLOOKUP(BF290,'Dispensed Ink Rates'!C:C,'Dispensed Ink Rates'!CS:CS),VLOOKUP(BF290,'Jan-2026 rates'!$E:$F,2,0)))</f>
        <v>0</v>
      </c>
      <c r="BS290" s="409"/>
      <c r="BT290" s="398">
        <f>IF(BS290=0,0,IF(LEN(BG290)=11,_xlfn.XLOOKUP(BG290,'Dispensed Ink Rates'!C:C,'Dispensed Ink Rates'!CS:CS),VLOOKUP(BG290,'Jan-2026 rates'!$E:$F,2,0)))</f>
        <v>0</v>
      </c>
      <c r="BU290" s="409"/>
      <c r="BV290" s="398">
        <f>IF(BU290=0,0,IF(LEN(BH290)=11,_xlfn.XLOOKUP(BH290,'Dispensed Ink Rates'!C:C,'Dispensed Ink Rates'!CS:CS),VLOOKUP(BH290,'Jan-2026 rates'!$E:$F,2,0)))</f>
        <v>0</v>
      </c>
      <c r="BW290" s="409"/>
      <c r="BX290" s="398">
        <f>IF(BW290=0,0,IF(LEN(BI290)=11,_xlfn.XLOOKUP(BI290,'Dispensed Ink Rates'!C:C,'Dispensed Ink Rates'!CS:CS),VLOOKUP(BI290,'Jan-2026 rates'!$E:$F,2,0)))</f>
        <v>0</v>
      </c>
      <c r="BY290" s="409"/>
      <c r="BZ290" s="398">
        <f>IF(BY290=0,0,IF(LEN(BJ290)=11,_xlfn.XLOOKUP(BJ290,'Dispensed Ink Rates'!C:C,'Dispensed Ink Rates'!CS:CS),VLOOKUP(BJ290,'Jan-2026 rates'!$E:$F,2,0)))</f>
        <v>0</v>
      </c>
      <c r="CA290" s="409" t="s">
        <v>1443</v>
      </c>
      <c r="CB290" s="409">
        <v>37</v>
      </c>
      <c r="CC290" s="411">
        <f t="shared" si="215"/>
        <v>0</v>
      </c>
      <c r="CD290" s="411">
        <f t="shared" si="216"/>
        <v>2.0689655172413808</v>
      </c>
      <c r="CE290" s="410">
        <f t="shared" si="217"/>
        <v>0</v>
      </c>
      <c r="CF290" s="404" t="s">
        <v>857</v>
      </c>
      <c r="CG290" s="409" t="s">
        <v>4349</v>
      </c>
      <c r="CH290" s="420" t="str">
        <f t="shared" si="185"/>
        <v>FLINTSL - RED</v>
      </c>
      <c r="CI290" s="409">
        <v>20</v>
      </c>
      <c r="CJ290" s="411">
        <f>IF(CI290=0,0,IF($LB290=70%,VLOOKUP($CH290,'Jan-2026 rates'!$L:$R,4,0),IF($LB290=65%,VLOOKUP($CH290,'Jan-2026 rates'!$L:$R,4,0),IF($LB290=40%,VLOOKUP($CH290,'Jan-2026 rates'!$L:$R,5,0),IF($LB290=30%,VLOOKUP($CH290,'Jan-2026 rates'!$L:$R,6,0),IF($LB290=100%,VLOOKUP($CH290,'Jan-2026 rates'!$L:$R,7,0),IF($LB290=60%,VLOOKUP($CH290,'Jan-2026 rates'!$L:$S,8,0),IF($LB290=80%,VLOOKUP($CH290,'Jan-2026 rates'!L:T,9,0),0))))))))</f>
        <v>0</v>
      </c>
      <c r="CK290" s="412"/>
      <c r="CL290" s="409"/>
      <c r="CM290" s="411">
        <f>IF(CL290=0,0,IF($LB290=70%,VLOOKUP($CH290,'Jan-2026 rates'!$L:$R,4,0),IF($LB290=65%,VLOOKUP($CH290,'Jan-2026 rates'!$L:$R,4,0),IF($LB290=40%,VLOOKUP($CH290,'Jan-2026 rates'!$L:$R,5,0),IF($LB290=30%,VLOOKUP($CH290,'Jan-2026 rates'!$L:$R,6,0),IF($LB290=100%,VLOOKUP($CH290,'Jan-2026 rates'!$L:$R,7,0),IF($LB290=60%,VLOOKUP($CH290,'Jan-2026 rates'!$L:$S,8,0),IF($LB290=80%,VLOOKUP($CH290,'Jan-2026 rates'!L:T,9,0),0))))))))</f>
        <v>0</v>
      </c>
      <c r="CN290" s="426">
        <v>26524000032</v>
      </c>
      <c r="CO290" s="427">
        <v>26525000003</v>
      </c>
      <c r="CP290" s="426">
        <v>26524000022</v>
      </c>
      <c r="CQ290" s="426"/>
      <c r="CR290" s="428"/>
      <c r="CS290" s="428"/>
      <c r="CT290" s="428"/>
      <c r="CU290" s="428"/>
      <c r="CV290" s="409">
        <v>10</v>
      </c>
      <c r="CW290" s="398" t="e">
        <f>IF(CV290=0,0,IF(LEN(CN290)=11,_xlfn.XLOOKUP(CN290,'Dispensed Ink Rates'!C:C,'Dispensed Ink Rates'!CS:CS),VLOOKUP(CN290,'Jan-2026 rates'!$E:$F,2,0)))</f>
        <v>#N/A</v>
      </c>
      <c r="CX290" s="409">
        <v>4</v>
      </c>
      <c r="CY290" s="398" t="e">
        <f>IF(CX290=0,0,IF(LEN(CO290)=11,_xlfn.XLOOKUP(CO290,'Dispensed Ink Rates'!C:C,'Dispensed Ink Rates'!CS:CS),VLOOKUP(CO290,'Jan-2026 rates'!$E:$F,2,0)))</f>
        <v>#N/A</v>
      </c>
      <c r="CZ290" s="409">
        <v>2</v>
      </c>
      <c r="DA290" s="398" t="e">
        <f>IF(CZ290=0,0,IF(LEN(CP290)=11,_xlfn.XLOOKUP(CP290,'Dispensed Ink Rates'!C:C,'Dispensed Ink Rates'!CS:CS),VLOOKUP(CP290,'Jan-2026 rates'!$E:$F,2,0)))</f>
        <v>#N/A</v>
      </c>
      <c r="DB290" s="409"/>
      <c r="DC290" s="398">
        <f>IF(DB290=0,0,IF(LEN(CQ290)=11,_xlfn.XLOOKUP(CQ290,'Dispensed Ink Rates'!C:C,'Dispensed Ink Rates'!CS:CS),VLOOKUP(CQ290,'Jan-2026 rates'!$E:$F,2,0)))</f>
        <v>0</v>
      </c>
      <c r="DD290" s="409"/>
      <c r="DE290" s="398">
        <f>IF(DD290=0,0,IF(LEN(CR290)=11,_xlfn.XLOOKUP(CR290,'Dispensed Ink Rates'!C:C,'Dispensed Ink Rates'!CS:CS),VLOOKUP(CR290,'Jan-2026 rates'!$E:$F,2,0)))</f>
        <v>0</v>
      </c>
      <c r="DF290" s="409"/>
      <c r="DG290" s="398">
        <f>IF(DF290=0,0,IF(LEN(CS290)=11,_xlfn.XLOOKUP(CS290,'Dispensed Ink Rates'!C:C,'Dispensed Ink Rates'!CS:CS),VLOOKUP(CS290,'Jan-2026 rates'!$E:$F,2,0)))</f>
        <v>0</v>
      </c>
      <c r="DH290" s="409"/>
      <c r="DI290" s="398">
        <f>IF(DH290=0,0,IF(LEN(CT290)=11,_xlfn.XLOOKUP(CT290,'Dispensed Ink Rates'!C:C,'Dispensed Ink Rates'!CS:CS),VLOOKUP(CT290,'Jan-2026 rates'!$E:$F,2,0)))</f>
        <v>0</v>
      </c>
      <c r="DJ290" s="409"/>
      <c r="DK290" s="398">
        <f>IF(DJ290=0,0,IF(LEN(CU290)=11,_xlfn.XLOOKUP(CU290,'Dispensed Ink Rates'!C:C,'Dispensed Ink Rates'!CS:CS),VLOOKUP(CU290,'Jan-2026 rates'!$E:$F,2,0)))</f>
        <v>0</v>
      </c>
      <c r="DL290" s="409" t="s">
        <v>1443</v>
      </c>
      <c r="DM290" s="409">
        <v>24</v>
      </c>
      <c r="DN290" s="411">
        <f t="shared" si="218"/>
        <v>0</v>
      </c>
      <c r="DO290" s="411">
        <f t="shared" si="219"/>
        <v>18.137931034482762</v>
      </c>
      <c r="DP290" s="410">
        <f t="shared" si="220"/>
        <v>0</v>
      </c>
      <c r="DQ290" s="405" t="s">
        <v>855</v>
      </c>
      <c r="DR290" s="409" t="s">
        <v>4350</v>
      </c>
      <c r="DS290" s="420" t="str">
        <f t="shared" si="186"/>
        <v>FLINTSL - CYAN</v>
      </c>
      <c r="DT290" s="409">
        <v>30</v>
      </c>
      <c r="DU290" s="411">
        <f>IF(DT290=0,0,IF($LB290=70%,VLOOKUP($DS290,'Jan-2026 rates'!$L:$R,4,0),IF($LB290=65%,VLOOKUP($DS290,'Jan-2026 rates'!$L:$R,4,0),IF($LB290=40%,VLOOKUP($DS290,'Jan-2026 rates'!$L:$R,5,0),IF($LB290=30%,VLOOKUP($DS290,'Jan-2026 rates'!$L:$R,6,0),IF($LB290=100%,VLOOKUP($DS290,'Jan-2026 rates'!$L:$R,7,0),IF($LB290=60%,VLOOKUP($DS290,'Jan-2026 rates'!$L:$S,8,0),IF($LB290=80%,VLOOKUP($DS290,'Jan-2026 rates'!L:T,9,0),0))))))))</f>
        <v>0</v>
      </c>
      <c r="DV290" s="412"/>
      <c r="DW290" s="409"/>
      <c r="DX290" s="411">
        <f>IF(DW290=0,0,IF($LB290=70%,VLOOKUP($DS290,'Jan-2026 rates'!$L:$R,4,0),IF($LB290=65%,VLOOKUP($DS290,'Jan-2026 rates'!$L:$R,4,0),IF($LB290=40%,VLOOKUP($DS290,'Jan-2026 rates'!$L:$R,5,0),IF($LB290=30%,VLOOKUP($DS290,'Jan-2026 rates'!$L:$R,6,0),IF($LB290=100%,VLOOKUP($DS290,'Jan-2026 rates'!$L:$R,7,0),IF($LB290=60%,VLOOKUP($DS290,'Jan-2026 rates'!$L:$S,8,0),IF($LB290=80%,VLOOKUP($DS290,'Jan-2026 rates'!L:T,9,0),0))))))))</f>
        <v>0</v>
      </c>
      <c r="DY290" s="413">
        <v>26523000002</v>
      </c>
      <c r="DZ290" s="413"/>
      <c r="EA290" s="412"/>
      <c r="EB290" s="412"/>
      <c r="EC290" s="412"/>
      <c r="ED290" s="412"/>
      <c r="EE290" s="412"/>
      <c r="EF290" s="412"/>
      <c r="EG290" s="409">
        <v>4</v>
      </c>
      <c r="EH290" s="398" t="e">
        <f>IF(EG290=0,0,IF(LEN(DY290)=11,_xlfn.XLOOKUP(DY290,'Dispensed Ink Rates'!C:C,'Dispensed Ink Rates'!CS:CS),VLOOKUP(DY290,'Jan-2026 rates'!$E:$F,2,0)))</f>
        <v>#N/A</v>
      </c>
      <c r="EI290" s="409"/>
      <c r="EJ290" s="398">
        <f>IF(EI290=0,0,IF(LEN(DZ290)=11,_xlfn.XLOOKUP(DZ290,'Dispensed Ink Rates'!C:C,'Dispensed Ink Rates'!CS:CS),VLOOKUP(DZ290,'Jan-2026 rates'!$E:$F,2,0)))</f>
        <v>0</v>
      </c>
      <c r="EK290" s="409"/>
      <c r="EL290" s="398">
        <f>IF(EK290=0,0,IF(LEN(EA290)=11,_xlfn.XLOOKUP(EA290,'Dispensed Ink Rates'!C:C,'Dispensed Ink Rates'!CS:CS),VLOOKUP(EA290,'Jan-2026 rates'!$E:$F,2,0)))</f>
        <v>0</v>
      </c>
      <c r="EM290" s="409"/>
      <c r="EN290" s="398">
        <f>IF(EM290=0,0,IF(LEN(EB290)=11,_xlfn.XLOOKUP(EB290,'Dispensed Ink Rates'!C:C,'Dispensed Ink Rates'!CS:CS),VLOOKUP(EB290,'Jan-2026 rates'!$E:$F,2,0)))</f>
        <v>0</v>
      </c>
      <c r="EO290" s="409"/>
      <c r="EP290" s="398">
        <f>IF(EO290=0,0,IF(LEN(EC290)=11,_xlfn.XLOOKUP(EC290,'Dispensed Ink Rates'!C:C,'Dispensed Ink Rates'!CS:CS),VLOOKUP(EC290,'Jan-2026 rates'!$E:$F,2,0)))</f>
        <v>0</v>
      </c>
      <c r="EQ290" s="409"/>
      <c r="ER290" s="398">
        <f>IF(EQ290=0,0,IF(LEN(ED290)=11,_xlfn.XLOOKUP(ED290,'Dispensed Ink Rates'!C:C,'Dispensed Ink Rates'!CS:CS),VLOOKUP(ED290,'Jan-2026 rates'!$E:$F,2,0)))</f>
        <v>0</v>
      </c>
      <c r="ES290" s="409"/>
      <c r="ET290" s="398">
        <f>IF(ES290=0,0,IF(LEN(EE290)=11,_xlfn.XLOOKUP(EE290,'Dispensed Ink Rates'!C:C,'Dispensed Ink Rates'!CS:CS),VLOOKUP(EE290,'Jan-2026 rates'!$E:$F,2,0)))</f>
        <v>0</v>
      </c>
      <c r="EU290" s="409"/>
      <c r="EV290" s="398">
        <f>IF(EU290=0,0,IF(LEN(EF290)=11,_xlfn.XLOOKUP(EF290,'Dispensed Ink Rates'!C:C,'Dispensed Ink Rates'!CS:CS),VLOOKUP(EF290,'Jan-2026 rates'!$E:$F,2,0)))</f>
        <v>0</v>
      </c>
      <c r="EW290" s="409" t="s">
        <v>1443</v>
      </c>
      <c r="EX290" s="409">
        <v>33</v>
      </c>
      <c r="EY290" s="411">
        <f t="shared" si="221"/>
        <v>0</v>
      </c>
      <c r="EZ290" s="411">
        <f t="shared" si="222"/>
        <v>5.6034482758620712</v>
      </c>
      <c r="FA290" s="410">
        <f t="shared" si="223"/>
        <v>0</v>
      </c>
      <c r="FB290" s="405" t="s">
        <v>544</v>
      </c>
      <c r="FC290" s="409" t="s">
        <v>4351</v>
      </c>
      <c r="FD290" s="420" t="str">
        <f t="shared" si="187"/>
        <v>FLINTSL - MAGENTA</v>
      </c>
      <c r="FE290" s="409">
        <v>27</v>
      </c>
      <c r="FF290" s="411">
        <f>IF(FE290=0,0,IF($LB290=70%,VLOOKUP($FD290,'Jan-2026 rates'!$L:$R,4,0),IF($LB290=65%,VLOOKUP($FD290,'Jan-2026 rates'!$L:$R,4,0),IF($LB290=40%,VLOOKUP($FD290,'Jan-2026 rates'!$L:$R,5,0),IF($LB290=30%,VLOOKUP($FD290,'Jan-2026 rates'!$L:$R,6,0),IF($LB290=100%,VLOOKUP($FD290,'Jan-2026 rates'!$L:$R,7,0),IF($LB290=60%,VLOOKUP($FD290,'Jan-2026 rates'!$L:$S,8,0),IF($LB290=80%,VLOOKUP($FD290,'Jan-2026 rates'!L:T,9,0),0))))))))</f>
        <v>0</v>
      </c>
      <c r="FG290" s="412"/>
      <c r="FH290" s="409"/>
      <c r="FI290" s="411">
        <f>IF(FH290=0,0,IF($LB290=70%,VLOOKUP($FD290,'Jan-2026 rates'!$L:$R,4,0),IF($LB290=65%,VLOOKUP($FD290,'Jan-2026 rates'!$L:$R,4,0),IF($LB290=40%,VLOOKUP($FD290,'Jan-2026 rates'!$L:$R,5,0),IF($LB290=30%,VLOOKUP($FD290,'Jan-2026 rates'!$L:$R,6,0),IF($LB290=100%,VLOOKUP($FD290,'Jan-2026 rates'!$L:$R,7,0),IF($LB290=60%,VLOOKUP($FD290,'Jan-2026 rates'!$L:$S,8,0),IF($LB290=80%,VLOOKUP($FD290,'Jan-2026 rates'!L:T,9,0),0))))))))</f>
        <v>0</v>
      </c>
      <c r="FJ290" s="413" t="s">
        <v>1266</v>
      </c>
      <c r="FK290" s="413"/>
      <c r="FL290" s="413"/>
      <c r="FM290" s="412"/>
      <c r="FN290" s="412"/>
      <c r="FO290" s="412"/>
      <c r="FP290" s="412"/>
      <c r="FQ290" s="412"/>
      <c r="FR290" s="409">
        <v>2</v>
      </c>
      <c r="FS290" s="398">
        <f>IF(FR290=0,0,IF(LEN(FJ290)=11,_xlfn.XLOOKUP(FJ290,'Dispensed Ink Rates'!C:C,'Dispensed Ink Rates'!CS:CS),VLOOKUP(FJ290,'Jan-2026 rates'!$E:$F,2,0)))</f>
        <v>0</v>
      </c>
      <c r="FT290" s="409"/>
      <c r="FU290" s="398">
        <f>IF(FT290=0,0,IF(LEN(FK290)=11,_xlfn.XLOOKUP(FK290,'Dispensed Ink Rates'!C:C,'Dispensed Ink Rates'!CS:CS),VLOOKUP(FK290,'Jan-2026 rates'!$E:$F,2,0)))</f>
        <v>0</v>
      </c>
      <c r="FV290" s="409"/>
      <c r="FW290" s="398">
        <f>IF(FV290=0,0,IF(LEN(FL290)=11,_xlfn.XLOOKUP(FL290,'Dispensed Ink Rates'!C:C,'Dispensed Ink Rates'!CS:CS),VLOOKUP(FL290,'Jan-2026 rates'!$E:$F,2,0)))</f>
        <v>0</v>
      </c>
      <c r="FX290" s="409"/>
      <c r="FY290" s="398">
        <f>IF(FX290=0,0,IF(LEN(FM290)=11,_xlfn.XLOOKUP(FM290,'Dispensed Ink Rates'!C:C,'Dispensed Ink Rates'!CS:CS),VLOOKUP(FM290,'Jan-2026 rates'!$E:$F,2,0)))</f>
        <v>0</v>
      </c>
      <c r="FZ290" s="409"/>
      <c r="GA290" s="398">
        <f>IF(FZ290=0,0,IF(LEN(FN290)=11,_xlfn.XLOOKUP(FN290,'Dispensed Ink Rates'!C:C,'Dispensed Ink Rates'!CS:CS),VLOOKUP(FN290,'Jan-2026 rates'!$E:$F,2,0)))</f>
        <v>0</v>
      </c>
      <c r="GB290" s="409"/>
      <c r="GC290" s="398">
        <f>IF(GB290=0,0,IF(LEN(FO290)=11,_xlfn.XLOOKUP(FO290,'Dispensed Ink Rates'!C:C,'Dispensed Ink Rates'!CS:CS),VLOOKUP(FO290,'Jan-2026 rates'!$E:$F,2,0)))</f>
        <v>0</v>
      </c>
      <c r="GD290" s="409"/>
      <c r="GE290" s="398">
        <f>IF(GD290=0,0,IF(LEN(FP290)=11,_xlfn.XLOOKUP(FP290,'Dispensed Ink Rates'!C:C,'Dispensed Ink Rates'!CS:CS),VLOOKUP(FP290,'Jan-2026 rates'!$E:$F,2,0)))</f>
        <v>0</v>
      </c>
      <c r="GF290" s="409"/>
      <c r="GG290" s="398">
        <f>IF(GF290=0,0,IF(LEN(FQ290)=11,_xlfn.XLOOKUP(FQ290,'Dispensed Ink Rates'!C:C,'Dispensed Ink Rates'!CS:CS),VLOOKUP(FQ290,'Jan-2026 rates'!$E:$F,2,0)))</f>
        <v>0</v>
      </c>
      <c r="GH290" s="409" t="s">
        <v>1443</v>
      </c>
      <c r="GI290" s="409">
        <v>26</v>
      </c>
      <c r="GJ290" s="411">
        <f t="shared" si="224"/>
        <v>0</v>
      </c>
      <c r="GK290" s="411">
        <f t="shared" si="225"/>
        <v>6.0689655172413808</v>
      </c>
      <c r="GL290" s="410">
        <f t="shared" si="226"/>
        <v>0</v>
      </c>
      <c r="GM290" s="405" t="s">
        <v>545</v>
      </c>
      <c r="GN290" s="409" t="s">
        <v>4352</v>
      </c>
      <c r="GO290" s="420" t="str">
        <f t="shared" si="188"/>
        <v>FLINTSL - YELLOW</v>
      </c>
      <c r="GP290" s="409">
        <v>30</v>
      </c>
      <c r="GQ290" s="411">
        <f>IF(GP290=0,0,IF($LB290=70%,VLOOKUP($GO290,'Jan-2026 rates'!$L:$R,4,0),IF($LB290=65%,VLOOKUP($GO290,'Jan-2026 rates'!$L:$R,4,0),IF($LB290=40%,VLOOKUP($GO290,'Jan-2026 rates'!$L:$R,5,0),IF($LB290=30%,VLOOKUP($GO290,'Jan-2026 rates'!$L:$R,6,0),IF($LB290=100%,VLOOKUP($GO290,'Jan-2026 rates'!$L:$R,7,0),IF($LB290=60%,VLOOKUP($GO290,'Jan-2026 rates'!$L:$S,8,0),IF($LB290=80%,VLOOKUP($GO290,'Jan-2026 rates'!L:T,9,0),0))))))))</f>
        <v>0</v>
      </c>
      <c r="GR290" s="412"/>
      <c r="GS290" s="409"/>
      <c r="GT290" s="411">
        <f>IF(GS290=0,0,IF($LB290=70%,VLOOKUP($GO290,'Jan-2026 rates'!$L:$R,4,0),IF($LB290=65%,VLOOKUP($GO290,'Jan-2026 rates'!$L:$R,4,0),IF($LB290=40%,VLOOKUP($GO290,'Jan-2026 rates'!$L:$R,5,0),IF($LB290=30%,VLOOKUP($GO290,'Jan-2026 rates'!$L:$R,6,0),IF($LB290=100%,VLOOKUP($GO290,'Jan-2026 rates'!$L:$R,7,0),IF($LB290=60%,VLOOKUP($GO290,'Jan-2026 rates'!$L:$S,8,0),IF($LB290=80%,VLOOKUP($GO290,'Jan-2026 rates'!L:T,9,0),0))))))))</f>
        <v>0</v>
      </c>
      <c r="GU290" s="413" t="s">
        <v>1266</v>
      </c>
      <c r="GV290" s="413"/>
      <c r="GW290" s="412"/>
      <c r="GX290" s="412"/>
      <c r="GY290" s="412"/>
      <c r="GZ290" s="412"/>
      <c r="HA290" s="412"/>
      <c r="HB290" s="412"/>
      <c r="HC290" s="409">
        <v>2</v>
      </c>
      <c r="HD290" s="398">
        <f>IF(HC290=0,0,IF(LEN(GU290)=11,_xlfn.XLOOKUP(GU290,'Dispensed Ink Rates'!C:C,'Dispensed Ink Rates'!CS:CS),VLOOKUP(GU290,'Jan-2026 rates'!$E:$F,2,0)))</f>
        <v>0</v>
      </c>
      <c r="HE290" s="409"/>
      <c r="HF290" s="398">
        <f>IF(HE290=0,0,IF(LEN(GV290)=11,_xlfn.XLOOKUP(GV290,'Dispensed Ink Rates'!C:C,'Dispensed Ink Rates'!CS:CS),VLOOKUP(GV290,'Jan-2026 rates'!$E:$F,2,0)))</f>
        <v>0</v>
      </c>
      <c r="HG290" s="409"/>
      <c r="HH290" s="398">
        <f>IF(HG290=0,0,IF(LEN(GW290)=11,_xlfn.XLOOKUP(GW290,'Dispensed Ink Rates'!C:C,'Dispensed Ink Rates'!CS:CS),VLOOKUP(GW290,'Jan-2026 rates'!$E:$F,2,0)))</f>
        <v>0</v>
      </c>
      <c r="HI290" s="409"/>
      <c r="HJ290" s="398">
        <f>IF(HI290=0,0,IF(LEN(GX290)=11,_xlfn.XLOOKUP(GX290,'Dispensed Ink Rates'!C:C,'Dispensed Ink Rates'!CS:CS),VLOOKUP(GX290,'Jan-2026 rates'!$E:$F,2,0)))</f>
        <v>0</v>
      </c>
      <c r="HK290" s="409"/>
      <c r="HL290" s="398">
        <f>IF(HK290=0,0,IF(LEN(GY290)=11,_xlfn.XLOOKUP(GY290,'Dispensed Ink Rates'!C:C,'Dispensed Ink Rates'!CS:CS),VLOOKUP(GY290,'Jan-2026 rates'!$E:$F,2,0)))</f>
        <v>0</v>
      </c>
      <c r="HM290" s="409"/>
      <c r="HN290" s="398">
        <f>IF(HM290=0,0,IF(LEN(GZ290)=11,_xlfn.XLOOKUP(GZ290,'Dispensed Ink Rates'!C:C,'Dispensed Ink Rates'!CS:CS),VLOOKUP(GZ290,'Jan-2026 rates'!$E:$F,2,0)))</f>
        <v>0</v>
      </c>
      <c r="HO290" s="409"/>
      <c r="HP290" s="398">
        <f>IF(HO290=0,0,IF(LEN(HA290)=11,_xlfn.XLOOKUP(HA290,'Dispensed Ink Rates'!C:C,'Dispensed Ink Rates'!CS:CS),VLOOKUP(HA290,'Jan-2026 rates'!$E:$F,2,0)))</f>
        <v>0</v>
      </c>
      <c r="HQ290" s="409"/>
      <c r="HR290" s="398">
        <f>IF(HQ290=0,0,IF(LEN(HB290)=11,_xlfn.XLOOKUP(HB290,'Dispensed Ink Rates'!C:C,'Dispensed Ink Rates'!CS:CS),VLOOKUP(HB290,'Jan-2026 rates'!$E:$F,2,0)))</f>
        <v>0</v>
      </c>
      <c r="HS290" s="409" t="s">
        <v>1443</v>
      </c>
      <c r="HT290" s="409">
        <v>28</v>
      </c>
      <c r="HU290" s="411">
        <f t="shared" si="227"/>
        <v>0</v>
      </c>
      <c r="HV290" s="411">
        <f t="shared" si="228"/>
        <v>8.6034482758620712</v>
      </c>
      <c r="HW290" s="414">
        <f t="shared" si="229"/>
        <v>0</v>
      </c>
      <c r="HX290" s="405" t="s">
        <v>545</v>
      </c>
      <c r="HY290" s="409"/>
      <c r="HZ290" s="420" t="str">
        <f t="shared" si="189"/>
        <v>FLINTSL - YELLOW</v>
      </c>
      <c r="IA290" s="409"/>
      <c r="IB290" s="411">
        <f>IF(IA290=0,0,IF($LB290=70%,VLOOKUP($HZ290,'Jan-2026 rates'!$L:$R,4,0),IF($LB290=65%,VLOOKUP($HZ290,'Jan-2026 rates'!$L:$R,4,0),IF($LB290=40%,VLOOKUP($HZ290,'Jan-2026 rates'!$L:$R,5,0),IF($LB290=30%,VLOOKUP($HZ290,'Jan-2026 rates'!$L:$R,6,0),IF($LB290=100%,VLOOKUP($HZ290,'Jan-2026 rates'!$L:$R,7,0),IF($LB290=60%,VLOOKUP($HZ290,'Jan-2026 rates'!$L:$S,8,0),IF($LB290=80%,VLOOKUP($HZ290,'Jan-2026 rates'!L:T,9,0),0))))))))</f>
        <v>0</v>
      </c>
      <c r="IC290" s="412"/>
      <c r="ID290" s="409"/>
      <c r="IE290" s="411">
        <f>IF(ID290=0,0,IF($LB290=70%,VLOOKUP($HZ290,'Jan-2026 rates'!$L:$R,4,0),IF($LB290=65%,VLOOKUP($HZ290,'Jan-2026 rates'!$L:$R,4,0),IF($LB290=40%,VLOOKUP($HZ290,'Jan-2026 rates'!$L:$R,5,0),IF($LB290=30%,VLOOKUP($HZ290,'Jan-2026 rates'!$L:$R,6,0),IF($LB290=100%,VLOOKUP($HZ290,'Jan-2026 rates'!$L:$R,7,0),IF($LB290=60%,VLOOKUP($HZ290,'Jan-2026 rates'!$L:$S,8,0),IF($LB290=80%,VLOOKUP($HZ290,'Jan-2026 rates'!L:T,9,0),0))))))))</f>
        <v>0</v>
      </c>
      <c r="IF290" s="412">
        <v>26524000002</v>
      </c>
      <c r="IG290" s="413">
        <v>26524000001</v>
      </c>
      <c r="IH290" s="412">
        <v>26524000003</v>
      </c>
      <c r="II290" s="412" t="s">
        <v>1646</v>
      </c>
      <c r="IJ290" s="412"/>
      <c r="IK290" s="412"/>
      <c r="IL290" s="412"/>
      <c r="IM290" s="412"/>
      <c r="IN290" s="409">
        <v>30</v>
      </c>
      <c r="IO290" s="398" t="e">
        <f>IF(IN290=0,0,IF(LEN(IF290)=11,_xlfn.XLOOKUP(IF290,'Dispensed Ink Rates'!C:C,'Dispensed Ink Rates'!CS:CS),VLOOKUP(IF290,'Jan-2026 rates'!$E:$F,2,0)))</f>
        <v>#N/A</v>
      </c>
      <c r="IP290" s="409">
        <v>40</v>
      </c>
      <c r="IQ290" s="398" t="e">
        <f>IF(IP290=0,0,IF(LEN(IG290)=11,_xlfn.XLOOKUP(IG290,'Dispensed Ink Rates'!C:C,'Dispensed Ink Rates'!CS:CS),VLOOKUP(IG290,'Jan-2026 rates'!$E:$F,2,0)))</f>
        <v>#N/A</v>
      </c>
      <c r="IR290" s="409">
        <v>20</v>
      </c>
      <c r="IS290" s="398" t="e">
        <f>IF(IR290=0,0,IF(LEN(IH290)=11,_xlfn.XLOOKUP(IH290,'Dispensed Ink Rates'!C:C,'Dispensed Ink Rates'!CS:CS),VLOOKUP(IH290,'Jan-2026 rates'!$E:$F,2,0)))</f>
        <v>#N/A</v>
      </c>
      <c r="IT290" s="409">
        <v>6</v>
      </c>
      <c r="IU290" s="398">
        <f>IF(IT290=0,0,IF(LEN(II290)=11,_xlfn.XLOOKUP(II290,'Dispensed Ink Rates'!C:C,'Dispensed Ink Rates'!CS:CS),VLOOKUP(II290,'Jan-2026 rates'!$E:$F,2,0)))</f>
        <v>0</v>
      </c>
      <c r="IV290" s="409"/>
      <c r="IW290" s="398">
        <f>IF(IV290=0,0,IF(LEN(IJ290)=11,_xlfn.XLOOKUP(IJ290,'Dispensed Ink Rates'!C:C,'Dispensed Ink Rates'!CS:CS),VLOOKUP(IJ290,'Jan-2026 rates'!$E:$F,2,0)))</f>
        <v>0</v>
      </c>
      <c r="IX290" s="409"/>
      <c r="IY290" s="398">
        <f>IF(IX290=0,0,IF(LEN(IK290)=11,_xlfn.XLOOKUP(IK290,'Dispensed Ink Rates'!C:C,'Dispensed Ink Rates'!CS:CS),VLOOKUP(IK290,'Jan-2026 rates'!$E:$F,2,0)))</f>
        <v>0</v>
      </c>
      <c r="IZ290" s="409"/>
      <c r="JA290" s="398">
        <f>IF(IZ290=0,0,IF(LEN(IL290)=11,_xlfn.XLOOKUP(IL290,'Dispensed Ink Rates'!C:C,'Dispensed Ink Rates'!CS:CS),VLOOKUP(IL290,'Jan-2026 rates'!$E:$F,2,0)))</f>
        <v>0</v>
      </c>
      <c r="JB290" s="409"/>
      <c r="JC290" s="398">
        <f>IF(JB290=0,0,IF(LEN(IM290)=11,_xlfn.XLOOKUP(IM290,'Dispensed Ink Rates'!C:C,'Dispensed Ink Rates'!CS:CS),VLOOKUP(IM290,'Jan-2026 rates'!$E:$F,2,0)))</f>
        <v>0</v>
      </c>
      <c r="JD290" s="409" t="s">
        <v>1443</v>
      </c>
      <c r="JE290" s="409">
        <v>24</v>
      </c>
      <c r="JF290" s="411">
        <f t="shared" si="230"/>
        <v>0</v>
      </c>
      <c r="JG290" s="411">
        <f t="shared" si="231"/>
        <v>79.672413793103445</v>
      </c>
      <c r="JH290" s="410">
        <f t="shared" si="232"/>
        <v>0</v>
      </c>
      <c r="JI290" s="405" t="s">
        <v>856</v>
      </c>
      <c r="JJ290" s="409" t="s">
        <v>4347</v>
      </c>
      <c r="JK290" s="420" t="str">
        <f t="shared" si="190"/>
        <v>FLINTSL - WHITE</v>
      </c>
      <c r="JL290" s="409">
        <v>30</v>
      </c>
      <c r="JM290" s="411">
        <f>IF(JL290=0,0,IF($LB290=70%,VLOOKUP($JK290,'Jan-2026 rates'!$L:$R,4,0),IF($LB290=65%,VLOOKUP($JK290,'Jan-2026 rates'!$L:$R,4,0),IF($LB290=40%,VLOOKUP($JK290,'Jan-2026 rates'!$L:$R,5,0),IF($LB290=30%,VLOOKUP($JK290,'Jan-2026 rates'!$L:$R,6,0),IF($LB290=100%,VLOOKUP($JK290,'Jan-2026 rates'!$L:$R,7,0),IF($LB290=60%,VLOOKUP($JK290,'Jan-2026 rates'!$L:$S,8,0),IF($LB290=80%,VLOOKUP($JK290,'Jan-2026 rates'!L:T,9,0),0))))))))</f>
        <v>0</v>
      </c>
      <c r="JN290" s="412"/>
      <c r="JO290" s="409"/>
      <c r="JP290" s="411">
        <f>IF(JO290=0,0,IF($LB290=70%,VLOOKUP($JK290,'Jan-2026 rates'!$L:$R,4,0),IF($LB290=65%,VLOOKUP($JK290,'Jan-2026 rates'!$L:$R,4,0),IF($LB290=40%,VLOOKUP($JK290,'Jan-2026 rates'!$L:$R,5,0),IF($LB290=30%,VLOOKUP($JK290,'Jan-2026 rates'!$L:$R,6,0),IF($LB290=100%,VLOOKUP($JK290,'Jan-2026 rates'!$L:$R,7,0),IF($LB290=60%,VLOOKUP($JK290,'Jan-2026 rates'!$L:$S,8,0),IF($LB290=80%,VLOOKUP($JK290,'Jan-2026 rates'!L:T,9,0),0))))))))</f>
        <v>0</v>
      </c>
      <c r="JQ290" s="413" t="s">
        <v>484</v>
      </c>
      <c r="JR290" s="412"/>
      <c r="JS290" s="413"/>
      <c r="JT290" s="413"/>
      <c r="JU290" s="412"/>
      <c r="JV290" s="412"/>
      <c r="JW290" s="412"/>
      <c r="JX290" s="412"/>
      <c r="JY290" s="409">
        <v>50</v>
      </c>
      <c r="JZ290" s="398">
        <f>IF(JY290=0,0,IF(LEN(JQ290)=11,_xlfn.XLOOKUP(JQ290,'Dispensed Ink Rates'!C:C,'Dispensed Ink Rates'!CS:CS),VLOOKUP(JQ290,'Jan-2026 rates'!$E:$F,2,0)))</f>
        <v>0</v>
      </c>
      <c r="KA290" s="409"/>
      <c r="KB290" s="398">
        <f>IF(KA290=0,0,IF(LEN(JR290)=11,_xlfn.XLOOKUP(JR290,'Dispensed Ink Rates'!C:C,'Dispensed Ink Rates'!CS:CS),VLOOKUP(JR290,'Jan-2026 rates'!$E:$F,2,0)))</f>
        <v>0</v>
      </c>
      <c r="KC290" s="409"/>
      <c r="KD290" s="398">
        <f>IF(KC290=0,0,IF(LEN(JS290)=11,_xlfn.XLOOKUP(JS290,'Dispensed Ink Rates'!C:C,'Dispensed Ink Rates'!CS:CS),VLOOKUP(JS290,'Jan-2026 rates'!$E:$F,2,0)))</f>
        <v>0</v>
      </c>
      <c r="KE290" s="409"/>
      <c r="KF290" s="398">
        <f>IF(KE290=0,0,IF(LEN(JT290)=11,_xlfn.XLOOKUP(JT290,'Dispensed Ink Rates'!C:C,'Dispensed Ink Rates'!CS:CS),VLOOKUP(JT290,'Jan-2026 rates'!$E:$F,2,0)))</f>
        <v>0</v>
      </c>
      <c r="KG290" s="409"/>
      <c r="KH290" s="398">
        <f>IF(KG290=0,0,IF(LEN(JU290)=11,_xlfn.XLOOKUP(JU290,'Dispensed Ink Rates'!C:C,'Dispensed Ink Rates'!CS:CS),VLOOKUP(JU290,'Jan-2026 rates'!$E:$F,2,0)))</f>
        <v>0</v>
      </c>
      <c r="KI290" s="409"/>
      <c r="KJ290" s="398">
        <f>IF(KI290=0,0,IF(LEN(JV290)=11,_xlfn.XLOOKUP(JV290,'Dispensed Ink Rates'!C:C,'Dispensed Ink Rates'!CS:CS),VLOOKUP(JV290,'Jan-2026 rates'!$E:$F,2,0)))</f>
        <v>0</v>
      </c>
      <c r="KK290" s="409"/>
      <c r="KL290" s="398">
        <f>IF(KK290=0,0,IF(LEN(JW290)=11,_xlfn.XLOOKUP(JW290,'Dispensed Ink Rates'!C:C,'Dispensed Ink Rates'!CS:CS),VLOOKUP(JW290,'Jan-2026 rates'!$E:$F,2,0)))</f>
        <v>0</v>
      </c>
      <c r="KM290" s="428"/>
      <c r="KN290" s="398">
        <f>IF(KM290=0,0,IF(LEN(JX290)=11,_xlfn.XLOOKUP(JX290,'Dispensed Ink Rates'!C:C,'Dispensed Ink Rates'!CS:CS),VLOOKUP(JX290,'Jan-2026 rates'!$E:$F,2,0)))</f>
        <v>0</v>
      </c>
      <c r="KO290" s="409" t="s">
        <v>1443</v>
      </c>
      <c r="KP290" s="409">
        <v>20</v>
      </c>
      <c r="KQ290" s="411">
        <f t="shared" si="233"/>
        <v>0</v>
      </c>
      <c r="KR290" s="411">
        <f t="shared" si="234"/>
        <v>106.0344827586207</v>
      </c>
      <c r="KS290" s="410">
        <f t="shared" si="235"/>
        <v>0</v>
      </c>
      <c r="KT290" s="409">
        <f>6+3</f>
        <v>9</v>
      </c>
      <c r="KU290" s="409">
        <v>2</v>
      </c>
      <c r="KV290" s="409">
        <v>4</v>
      </c>
      <c r="KW290" s="409">
        <v>3</v>
      </c>
      <c r="KX290" s="409">
        <v>2</v>
      </c>
      <c r="KY290" s="409">
        <v>3</v>
      </c>
      <c r="KZ290" s="409">
        <v>5</v>
      </c>
      <c r="LA290" s="409">
        <v>30</v>
      </c>
      <c r="LB290" s="415">
        <v>0.8</v>
      </c>
      <c r="LC290" s="415">
        <v>0.2</v>
      </c>
      <c r="LD290" s="415"/>
      <c r="LE290" s="415"/>
      <c r="LF290" s="415"/>
      <c r="LG290" s="409">
        <v>0</v>
      </c>
      <c r="LH290" s="409">
        <f>30+29+24+6</f>
        <v>89</v>
      </c>
      <c r="LI290" s="409">
        <v>0</v>
      </c>
      <c r="LJ290" s="409">
        <v>0</v>
      </c>
      <c r="LK290" s="416">
        <f t="shared" si="191"/>
        <v>89</v>
      </c>
      <c r="LL290" s="416">
        <f t="shared" si="192"/>
        <v>89</v>
      </c>
      <c r="LM290" s="417">
        <f t="shared" si="193"/>
        <v>71.2</v>
      </c>
      <c r="LN290" s="417">
        <f>VLOOKUP($LM$8,'Jan-2026 rates'!$H:$I,2,0)</f>
        <v>0</v>
      </c>
      <c r="LO290" s="417">
        <f t="shared" si="194"/>
        <v>17.8</v>
      </c>
      <c r="LP290" s="417">
        <f>VLOOKUP($LO$8,'Jan-2026 rates'!$H:$I,2,0)</f>
        <v>0</v>
      </c>
      <c r="LQ290" s="417">
        <f t="shared" si="195"/>
        <v>0</v>
      </c>
      <c r="LR290" s="417">
        <f>VLOOKUP($LQ$8,'Jan-2026 rates'!$H:$I,2,0)</f>
        <v>0</v>
      </c>
      <c r="LS290" s="417">
        <f t="shared" si="196"/>
        <v>0</v>
      </c>
      <c r="LT290" s="417">
        <f>VLOOKUP($LS$8,'Jan-2026 rates'!$H:$I,2,0)</f>
        <v>0</v>
      </c>
      <c r="LU290" s="417">
        <f t="shared" si="197"/>
        <v>0</v>
      </c>
      <c r="LV290" s="417">
        <f>VLOOKUP($LU$8,'Jan-2026 rates'!$H:$I,2,0)</f>
        <v>0</v>
      </c>
      <c r="LW290" s="417">
        <f t="shared" si="198"/>
        <v>0</v>
      </c>
      <c r="LX290" s="417">
        <f t="shared" si="199"/>
        <v>0</v>
      </c>
      <c r="LY290" s="418">
        <f t="shared" si="200"/>
        <v>0</v>
      </c>
      <c r="LZ290" s="417"/>
      <c r="MA290" s="435">
        <f t="shared" si="201"/>
        <v>205</v>
      </c>
      <c r="MB290" s="282">
        <f t="shared" si="202"/>
        <v>237</v>
      </c>
      <c r="MC290" s="283">
        <v>183</v>
      </c>
      <c r="MD290" s="284" t="str">
        <f t="shared" si="203"/>
        <v>ToyoLiFLINTSLFLINTSLFLINTSLFLINTSLFLINTSLFLINTSLFLINTSL</v>
      </c>
      <c r="ME290" s="293" t="str">
        <f t="shared" si="204"/>
        <v>+</v>
      </c>
      <c r="MF290" s="293" t="str">
        <f t="shared" si="205"/>
        <v>+</v>
      </c>
      <c r="MG290" s="293" t="str">
        <f t="shared" si="206"/>
        <v>+</v>
      </c>
      <c r="MH290" s="293" t="str">
        <f t="shared" si="207"/>
        <v>+</v>
      </c>
      <c r="MI290" s="293" t="str">
        <f t="shared" si="208"/>
        <v>+</v>
      </c>
      <c r="MJ290" s="293" t="str">
        <f t="shared" si="209"/>
        <v>+</v>
      </c>
      <c r="MK290" s="293" t="str">
        <f t="shared" si="210"/>
        <v>+</v>
      </c>
      <c r="ML290" s="293" t="str">
        <f t="shared" si="211"/>
        <v>+</v>
      </c>
      <c r="MM290" s="3" t="b">
        <f t="array" ref="MM290">OR(ME290:ML290="-")</f>
        <v>0</v>
      </c>
      <c r="MN290" s="285"/>
      <c r="MO290" s="401"/>
      <c r="MP290" s="286"/>
      <c r="MQ290" s="286"/>
      <c r="MR290" s="402"/>
      <c r="MS290" s="400"/>
      <c r="NH290" s="422"/>
      <c r="NJ290" s="421"/>
    </row>
    <row r="291" spans="1:374" s="1" customFormat="1" ht="16.5">
      <c r="A291" s="403">
        <v>46046</v>
      </c>
      <c r="B291" s="404" t="s">
        <v>1015</v>
      </c>
      <c r="C291" s="405" t="s">
        <v>4353</v>
      </c>
      <c r="D291" s="406">
        <v>184</v>
      </c>
      <c r="E291" s="404">
        <v>292</v>
      </c>
      <c r="F291" s="407">
        <v>20200</v>
      </c>
      <c r="G291" s="407" t="s">
        <v>1019</v>
      </c>
      <c r="H291" s="408" t="s">
        <v>1017</v>
      </c>
      <c r="I291" s="409">
        <v>1.45</v>
      </c>
      <c r="J291" s="405" t="s">
        <v>543</v>
      </c>
      <c r="K291" s="404" t="s">
        <v>4354</v>
      </c>
      <c r="L291" s="419" t="str">
        <f t="shared" si="184"/>
        <v>ToyoLi - BLACK</v>
      </c>
      <c r="M291" s="404">
        <v>26</v>
      </c>
      <c r="N291" s="410">
        <f>IF(M291=0,0,IF($LB291=70%,VLOOKUP($L291,'Jan-2026 rates'!$L:$R,4,0),IF($LB291=65%,VLOOKUP($L291,'Jan-2026 rates'!$L:$R,4,0),IF($LB291=40%,VLOOKUP($L291,'Jan-2026 rates'!$L:$R,5,0),IF($LB291=30%,VLOOKUP($L291,'Jan-2026 rates'!$L:$R,6,0),IF($LB291=100%,VLOOKUP($L291,'Jan-2026 rates'!$L:$R,7,0),IF($LB291=60%,VLOOKUP($L291,'Jan-2026 rates'!$L:$S,8,0),IF($LB291=80%,VLOOKUP($L291,'Jan-2026 rates'!L:T,9,0),0))))))))</f>
        <v>0</v>
      </c>
      <c r="O291" s="406"/>
      <c r="P291" s="404"/>
      <c r="Q291" s="410">
        <f>IF(P291=0,0,IF($LB291=70%,VLOOKUP($L291,'Jan-2026 rates'!$L:$R,4,0),IF($LB291=65%,VLOOKUP($L291,'Jan-2026 rates'!$L:$R,4,0),IF($LB291=40%,VLOOKUP($L291,'Jan-2026 rates'!$L:$R,5,0),IF($LB291=30%,VLOOKUP($L291,'Jan-2026 rates'!$L:$R,6,0),IF($LB291=100%,VLOOKUP($L291,'Jan-2026 rates'!$L:$R,7,0),IF($LB291=60%,VLOOKUP($L291,'Jan-2026 rates'!$L:$S,8,0),IF($LB291=80%,VLOOKUP($L291,'Jan-2026 rates'!L:T,9,0),0))))))))</f>
        <v>0</v>
      </c>
      <c r="R291" s="406" t="s">
        <v>1252</v>
      </c>
      <c r="S291" s="406" t="s">
        <v>1921</v>
      </c>
      <c r="T291" s="406"/>
      <c r="U291" s="406"/>
      <c r="V291" s="406"/>
      <c r="W291" s="406"/>
      <c r="X291" s="406"/>
      <c r="Y291" s="406"/>
      <c r="Z291" s="404">
        <v>5</v>
      </c>
      <c r="AA291" s="398">
        <f>IF(Z291=0,0,IF(LEN(R291)=11,_xlfn.XLOOKUP(R291,'Dispensed Ink Rates'!C:C,'Dispensed Ink Rates'!CS:CS),VLOOKUP(R291,'Jan-2026 rates'!$E:$F,2,0)))</f>
        <v>0</v>
      </c>
      <c r="AB291" s="404">
        <v>4</v>
      </c>
      <c r="AC291" s="398">
        <f>IF(AB291=0,0,IF(LEN(S291)=11,_xlfn.XLOOKUP(S291,'Dispensed Ink Rates'!C:C,'Dispensed Ink Rates'!CS:CS),VLOOKUP(S291,'Jan-2026 rates'!$E:$F,2,0)))</f>
        <v>0</v>
      </c>
      <c r="AD291" s="404"/>
      <c r="AE291" s="398">
        <f>IF(AD291=0,0,IF(LEN(T291)=11,_xlfn.XLOOKUP(T291,'Dispensed Ink Rates'!C:C,'Dispensed Ink Rates'!CS:CS),VLOOKUP(T291,'Jan-2026 rates'!$E:$F,2,0)))</f>
        <v>0</v>
      </c>
      <c r="AF291" s="404"/>
      <c r="AG291" s="398">
        <f>IF(AF291=0,0,IF(LEN(U291)=11,_xlfn.XLOOKUP(U291,'Dispensed Ink Rates'!C:C,'Dispensed Ink Rates'!CS:CS),VLOOKUP(U291,'Jan-2026 rates'!$E:$F,2,0)))</f>
        <v>0</v>
      </c>
      <c r="AH291" s="404"/>
      <c r="AI291" s="398">
        <f>IF(AH291=0,0,IF(LEN(V291)=11,_xlfn.XLOOKUP(V291,'Dispensed Ink Rates'!C:C,'Dispensed Ink Rates'!CS:CS),VLOOKUP(V291,'Jan-2026 rates'!$E:$F,2,0)))</f>
        <v>0</v>
      </c>
      <c r="AJ291" s="404"/>
      <c r="AK291" s="398">
        <f>IF(AJ291=0,0,IF(LEN(W291)=11,_xlfn.XLOOKUP(W291,'Dispensed Ink Rates'!C:C,'Dispensed Ink Rates'!CS:CS),VLOOKUP(W291,'Jan-2026 rates'!$E:$F,2,0)))</f>
        <v>0</v>
      </c>
      <c r="AL291" s="404"/>
      <c r="AM291" s="398">
        <f>IF(AL291=0,0,IF(LEN(X291)=11,_xlfn.XLOOKUP(X291,'Dispensed Ink Rates'!C:C,'Dispensed Ink Rates'!CS:CS),VLOOKUP(X291,'Jan-2026 rates'!$E:$F,2,0)))</f>
        <v>0</v>
      </c>
      <c r="AN291" s="404"/>
      <c r="AO291" s="398">
        <f>IF(AN291=0,0,IF(LEN(Y291)=11,_xlfn.XLOOKUP(Y291,'Dispensed Ink Rates'!C:C,'Dispensed Ink Rates'!CS:CS),VLOOKUP(Y291,'Jan-2026 rates'!$E:$F,2,0)))</f>
        <v>0</v>
      </c>
      <c r="AP291" s="409" t="s">
        <v>1881</v>
      </c>
      <c r="AQ291" s="409">
        <f>19+16</f>
        <v>35</v>
      </c>
      <c r="AR291" s="410">
        <f t="shared" si="212"/>
        <v>0</v>
      </c>
      <c r="AS291" s="411">
        <f t="shared" si="213"/>
        <v>9.6486486486486456</v>
      </c>
      <c r="AT291" s="410">
        <f t="shared" si="214"/>
        <v>0</v>
      </c>
      <c r="AU291" s="405" t="s">
        <v>857</v>
      </c>
      <c r="AV291" s="409" t="s">
        <v>4355</v>
      </c>
      <c r="AW291" s="420" t="str">
        <f t="shared" si="183"/>
        <v>FLINTSL - RED</v>
      </c>
      <c r="AX291" s="409">
        <v>9</v>
      </c>
      <c r="AY291" s="411">
        <f>IF(AX291=0,0,IF($LB291=70%,VLOOKUP($AW291,'Jan-2026 rates'!$L:$R,4,0),IF($LB291=65%,VLOOKUP($AW291,'Jan-2026 rates'!$L:$R,4,0),IF($LB291=40%,VLOOKUP($AW291,'Jan-2026 rates'!$L:$R,5,0),IF($LB291=30%,VLOOKUP($AW291,'Jan-2026 rates'!$L:$R,6,0),IF($LB291=100%,VLOOKUP($AW291,'Jan-2026 rates'!$L:$R,7,0),IF($LB291=60%,VLOOKUP($AW291,'Jan-2026 rates'!$L:$S,8,0),IF($LB291=80%,VLOOKUP($AW291,'Jan-2026 rates'!L:T,9,0),0))))))))</f>
        <v>0</v>
      </c>
      <c r="AZ291" s="412" t="s">
        <v>4356</v>
      </c>
      <c r="BA291" s="409">
        <v>12</v>
      </c>
      <c r="BB291" s="411">
        <f>IF(BA291=0,0,IF($LB291=70%,VLOOKUP($AW291,'Jan-2026 rates'!$L:$R,4,0),IF($LB291=65%,VLOOKUP($AW291,'Jan-2026 rates'!$L:$R,4,0),IF($LB291=40%,VLOOKUP($AW291,'Jan-2026 rates'!$L:$R,5,0),IF($LB291=30%,VLOOKUP($AW291,'Jan-2026 rates'!$L:$R,6,0),IF($LB291=100%,VLOOKUP($AW291,'Jan-2026 rates'!$L:$R,7,0),IF($LB291=60%,VLOOKUP($AW291,'Jan-2026 rates'!$L:$S,8,0),IF($LB291=80%,VLOOKUP($AW291,'Jan-2026 rates'!L:T,9,0),0))))))))</f>
        <v>0</v>
      </c>
      <c r="BC291" s="413">
        <v>26524000032</v>
      </c>
      <c r="BD291" s="412">
        <v>26524000022</v>
      </c>
      <c r="BE291" s="412">
        <v>26524000004</v>
      </c>
      <c r="BF291" s="413"/>
      <c r="BG291" s="412"/>
      <c r="BH291" s="412"/>
      <c r="BI291" s="412"/>
      <c r="BJ291" s="412"/>
      <c r="BK291" s="409">
        <v>7</v>
      </c>
      <c r="BL291" s="398" t="e">
        <f>IF(BK291=0,0,IF(LEN(BC291)=11,_xlfn.XLOOKUP(BC291,'Dispensed Ink Rates'!C:C,'Dispensed Ink Rates'!CS:CS),VLOOKUP(BC291,'Jan-2026 rates'!$E:$F,2,0)))</f>
        <v>#N/A</v>
      </c>
      <c r="BM291" s="409">
        <v>5</v>
      </c>
      <c r="BN291" s="398" t="e">
        <f>IF(BM291=0,0,IF(LEN(BD291)=11,_xlfn.XLOOKUP(BD291,'Dispensed Ink Rates'!C:C,'Dispensed Ink Rates'!CS:CS),VLOOKUP(BD291,'Jan-2026 rates'!$E:$F,2,0)))</f>
        <v>#N/A</v>
      </c>
      <c r="BO291" s="409">
        <v>40</v>
      </c>
      <c r="BP291" s="398" t="e">
        <f>IF(BO291=0,0,IF(LEN(BE291)=11,_xlfn.XLOOKUP(BE291,'Dispensed Ink Rates'!C:C,'Dispensed Ink Rates'!CS:CS),VLOOKUP(BE291,'Jan-2026 rates'!$E:$F,2,0)))</f>
        <v>#N/A</v>
      </c>
      <c r="BQ291" s="409"/>
      <c r="BR291" s="398">
        <f>IF(BQ291=0,0,IF(LEN(BF291)=11,_xlfn.XLOOKUP(BF291,'Dispensed Ink Rates'!C:C,'Dispensed Ink Rates'!CS:CS),VLOOKUP(BF291,'Jan-2026 rates'!$E:$F,2,0)))</f>
        <v>0</v>
      </c>
      <c r="BS291" s="409"/>
      <c r="BT291" s="398">
        <f>IF(BS291=0,0,IF(LEN(BG291)=11,_xlfn.XLOOKUP(BG291,'Dispensed Ink Rates'!C:C,'Dispensed Ink Rates'!CS:CS),VLOOKUP(BG291,'Jan-2026 rates'!$E:$F,2,0)))</f>
        <v>0</v>
      </c>
      <c r="BU291" s="409"/>
      <c r="BV291" s="398">
        <f>IF(BU291=0,0,IF(LEN(BH291)=11,_xlfn.XLOOKUP(BH291,'Dispensed Ink Rates'!C:C,'Dispensed Ink Rates'!CS:CS),VLOOKUP(BH291,'Jan-2026 rates'!$E:$F,2,0)))</f>
        <v>0</v>
      </c>
      <c r="BW291" s="409"/>
      <c r="BX291" s="398">
        <f>IF(BW291=0,0,IF(LEN(BI291)=11,_xlfn.XLOOKUP(BI291,'Dispensed Ink Rates'!C:C,'Dispensed Ink Rates'!CS:CS),VLOOKUP(BI291,'Jan-2026 rates'!$E:$F,2,0)))</f>
        <v>0</v>
      </c>
      <c r="BY291" s="409"/>
      <c r="BZ291" s="398">
        <f>IF(BY291=0,0,IF(LEN(BJ291)=11,_xlfn.XLOOKUP(BJ291,'Dispensed Ink Rates'!C:C,'Dispensed Ink Rates'!CS:CS),VLOOKUP(BJ291,'Jan-2026 rates'!$E:$F,2,0)))</f>
        <v>0</v>
      </c>
      <c r="CA291" s="409" t="s">
        <v>1443</v>
      </c>
      <c r="CB291" s="409">
        <v>24</v>
      </c>
      <c r="CC291" s="411">
        <f t="shared" si="215"/>
        <v>0</v>
      </c>
      <c r="CD291" s="411">
        <f t="shared" si="216"/>
        <v>62.78378378378379</v>
      </c>
      <c r="CE291" s="410">
        <f t="shared" si="217"/>
        <v>0</v>
      </c>
      <c r="CF291" s="404" t="s">
        <v>545</v>
      </c>
      <c r="CG291" s="409" t="s">
        <v>4357</v>
      </c>
      <c r="CH291" s="420" t="str">
        <f t="shared" si="185"/>
        <v>FLINTSL - YELLOW</v>
      </c>
      <c r="CI291" s="409">
        <v>24</v>
      </c>
      <c r="CJ291" s="411">
        <f>IF(CI291=0,0,IF($LB291=70%,VLOOKUP($CH291,'Jan-2026 rates'!$L:$R,4,0),IF($LB291=65%,VLOOKUP($CH291,'Jan-2026 rates'!$L:$R,4,0),IF($LB291=40%,VLOOKUP($CH291,'Jan-2026 rates'!$L:$R,5,0),IF($LB291=30%,VLOOKUP($CH291,'Jan-2026 rates'!$L:$R,6,0),IF($LB291=100%,VLOOKUP($CH291,'Jan-2026 rates'!$L:$R,7,0),IF($LB291=60%,VLOOKUP($CH291,'Jan-2026 rates'!$L:$S,8,0),IF($LB291=80%,VLOOKUP($CH291,'Jan-2026 rates'!L:T,9,0),0))))))))</f>
        <v>0</v>
      </c>
      <c r="CK291" s="412"/>
      <c r="CL291" s="409"/>
      <c r="CM291" s="411">
        <f>IF(CL291=0,0,IF($LB291=70%,VLOOKUP($CH291,'Jan-2026 rates'!$L:$R,4,0),IF($LB291=65%,VLOOKUP($CH291,'Jan-2026 rates'!$L:$R,4,0),IF($LB291=40%,VLOOKUP($CH291,'Jan-2026 rates'!$L:$R,5,0),IF($LB291=30%,VLOOKUP($CH291,'Jan-2026 rates'!$L:$R,6,0),IF($LB291=100%,VLOOKUP($CH291,'Jan-2026 rates'!$L:$R,7,0),IF($LB291=60%,VLOOKUP($CH291,'Jan-2026 rates'!$L:$S,8,0),IF($LB291=80%,VLOOKUP($CH291,'Jan-2026 rates'!L:T,9,0),0))))))))</f>
        <v>0</v>
      </c>
      <c r="CN291" s="426" t="s">
        <v>1266</v>
      </c>
      <c r="CO291" s="427"/>
      <c r="CP291" s="426"/>
      <c r="CQ291" s="426"/>
      <c r="CR291" s="428"/>
      <c r="CS291" s="428"/>
      <c r="CT291" s="428"/>
      <c r="CU291" s="428"/>
      <c r="CV291" s="409">
        <v>5</v>
      </c>
      <c r="CW291" s="398">
        <f>IF(CV291=0,0,IF(LEN(CN291)=11,_xlfn.XLOOKUP(CN291,'Dispensed Ink Rates'!C:C,'Dispensed Ink Rates'!CS:CS),VLOOKUP(CN291,'Jan-2026 rates'!$E:$F,2,0)))</f>
        <v>0</v>
      </c>
      <c r="CX291" s="409"/>
      <c r="CY291" s="398">
        <f>IF(CX291=0,0,IF(LEN(CO291)=11,_xlfn.XLOOKUP(CO291,'Dispensed Ink Rates'!C:C,'Dispensed Ink Rates'!CS:CS),VLOOKUP(CO291,'Jan-2026 rates'!$E:$F,2,0)))</f>
        <v>0</v>
      </c>
      <c r="CZ291" s="409"/>
      <c r="DA291" s="398">
        <f>IF(CZ291=0,0,IF(LEN(CP291)=11,_xlfn.XLOOKUP(CP291,'Dispensed Ink Rates'!C:C,'Dispensed Ink Rates'!CS:CS),VLOOKUP(CP291,'Jan-2026 rates'!$E:$F,2,0)))</f>
        <v>0</v>
      </c>
      <c r="DB291" s="409"/>
      <c r="DC291" s="398">
        <f>IF(DB291=0,0,IF(LEN(CQ291)=11,_xlfn.XLOOKUP(CQ291,'Dispensed Ink Rates'!C:C,'Dispensed Ink Rates'!CS:CS),VLOOKUP(CQ291,'Jan-2026 rates'!$E:$F,2,0)))</f>
        <v>0</v>
      </c>
      <c r="DD291" s="409"/>
      <c r="DE291" s="398">
        <f>IF(DD291=0,0,IF(LEN(CR291)=11,_xlfn.XLOOKUP(CR291,'Dispensed Ink Rates'!C:C,'Dispensed Ink Rates'!CS:CS),VLOOKUP(CR291,'Jan-2026 rates'!$E:$F,2,0)))</f>
        <v>0</v>
      </c>
      <c r="DF291" s="409"/>
      <c r="DG291" s="398">
        <f>IF(DF291=0,0,IF(LEN(CS291)=11,_xlfn.XLOOKUP(CS291,'Dispensed Ink Rates'!C:C,'Dispensed Ink Rates'!CS:CS),VLOOKUP(CS291,'Jan-2026 rates'!$E:$F,2,0)))</f>
        <v>0</v>
      </c>
      <c r="DH291" s="409"/>
      <c r="DI291" s="398">
        <f>IF(DH291=0,0,IF(LEN(CT291)=11,_xlfn.XLOOKUP(CT291,'Dispensed Ink Rates'!C:C,'Dispensed Ink Rates'!CS:CS),VLOOKUP(CT291,'Jan-2026 rates'!$E:$F,2,0)))</f>
        <v>0</v>
      </c>
      <c r="DJ291" s="409"/>
      <c r="DK291" s="398">
        <f>IF(DJ291=0,0,IF(LEN(CU291)=11,_xlfn.XLOOKUP(CU291,'Dispensed Ink Rates'!C:C,'Dispensed Ink Rates'!CS:CS),VLOOKUP(CU291,'Jan-2026 rates'!$E:$F,2,0)))</f>
        <v>0</v>
      </c>
      <c r="DL291" s="409" t="s">
        <v>1443</v>
      </c>
      <c r="DM291" s="409">
        <v>28</v>
      </c>
      <c r="DN291" s="411">
        <f t="shared" si="218"/>
        <v>0</v>
      </c>
      <c r="DO291" s="411">
        <f t="shared" si="219"/>
        <v>7.8918918918918948</v>
      </c>
      <c r="DP291" s="410">
        <f t="shared" si="220"/>
        <v>0</v>
      </c>
      <c r="DQ291" s="405" t="s">
        <v>855</v>
      </c>
      <c r="DR291" s="409" t="s">
        <v>4358</v>
      </c>
      <c r="DS291" s="420" t="str">
        <f t="shared" si="186"/>
        <v>FLINTSL - CYAN</v>
      </c>
      <c r="DT291" s="409">
        <f>10+10</f>
        <v>20</v>
      </c>
      <c r="DU291" s="411">
        <f>IF(DT291=0,0,IF($LB291=70%,VLOOKUP($DS291,'Jan-2026 rates'!$L:$R,4,0),IF($LB291=65%,VLOOKUP($DS291,'Jan-2026 rates'!$L:$R,4,0),IF($LB291=40%,VLOOKUP($DS291,'Jan-2026 rates'!$L:$R,5,0),IF($LB291=30%,VLOOKUP($DS291,'Jan-2026 rates'!$L:$R,6,0),IF($LB291=100%,VLOOKUP($DS291,'Jan-2026 rates'!$L:$R,7,0),IF($LB291=60%,VLOOKUP($DS291,'Jan-2026 rates'!$L:$S,8,0),IF($LB291=80%,VLOOKUP($DS291,'Jan-2026 rates'!L:T,9,0),0))))))))</f>
        <v>0</v>
      </c>
      <c r="DV291" s="412"/>
      <c r="DW291" s="409"/>
      <c r="DX291" s="411">
        <f>IF(DW291=0,0,IF($LB291=70%,VLOOKUP($DS291,'Jan-2026 rates'!$L:$R,4,0),IF($LB291=65%,VLOOKUP($DS291,'Jan-2026 rates'!$L:$R,4,0),IF($LB291=40%,VLOOKUP($DS291,'Jan-2026 rates'!$L:$R,5,0),IF($LB291=30%,VLOOKUP($DS291,'Jan-2026 rates'!$L:$R,6,0),IF($LB291=100%,VLOOKUP($DS291,'Jan-2026 rates'!$L:$R,7,0),IF($LB291=60%,VLOOKUP($DS291,'Jan-2026 rates'!$L:$S,8,0),IF($LB291=80%,VLOOKUP($DS291,'Jan-2026 rates'!L:T,9,0),0))))))))</f>
        <v>0</v>
      </c>
      <c r="DY291" s="413">
        <v>26523000028</v>
      </c>
      <c r="DZ291" s="413"/>
      <c r="EA291" s="412"/>
      <c r="EB291" s="412"/>
      <c r="EC291" s="412"/>
      <c r="ED291" s="412"/>
      <c r="EE291" s="412"/>
      <c r="EF291" s="412"/>
      <c r="EG291" s="409">
        <v>8</v>
      </c>
      <c r="EH291" s="398" t="e">
        <f>IF(EG291=0,0,IF(LEN(DY291)=11,_xlfn.XLOOKUP(DY291,'Dispensed Ink Rates'!C:C,'Dispensed Ink Rates'!CS:CS),VLOOKUP(DY291,'Jan-2026 rates'!$E:$F,2,0)))</f>
        <v>#N/A</v>
      </c>
      <c r="EI291" s="409"/>
      <c r="EJ291" s="398">
        <f>IF(EI291=0,0,IF(LEN(DZ291)=11,_xlfn.XLOOKUP(DZ291,'Dispensed Ink Rates'!C:C,'Dispensed Ink Rates'!CS:CS),VLOOKUP(DZ291,'Jan-2026 rates'!$E:$F,2,0)))</f>
        <v>0</v>
      </c>
      <c r="EK291" s="409"/>
      <c r="EL291" s="398">
        <f>IF(EK291=0,0,IF(LEN(EA291)=11,_xlfn.XLOOKUP(EA291,'Dispensed Ink Rates'!C:C,'Dispensed Ink Rates'!CS:CS),VLOOKUP(EA291,'Jan-2026 rates'!$E:$F,2,0)))</f>
        <v>0</v>
      </c>
      <c r="EM291" s="409"/>
      <c r="EN291" s="398">
        <f>IF(EM291=0,0,IF(LEN(EB291)=11,_xlfn.XLOOKUP(EB291,'Dispensed Ink Rates'!C:C,'Dispensed Ink Rates'!CS:CS),VLOOKUP(EB291,'Jan-2026 rates'!$E:$F,2,0)))</f>
        <v>0</v>
      </c>
      <c r="EO291" s="409"/>
      <c r="EP291" s="398">
        <f>IF(EO291=0,0,IF(LEN(EC291)=11,_xlfn.XLOOKUP(EC291,'Dispensed Ink Rates'!C:C,'Dispensed Ink Rates'!CS:CS),VLOOKUP(EC291,'Jan-2026 rates'!$E:$F,2,0)))</f>
        <v>0</v>
      </c>
      <c r="EQ291" s="409"/>
      <c r="ER291" s="398">
        <f>IF(EQ291=0,0,IF(LEN(ED291)=11,_xlfn.XLOOKUP(ED291,'Dispensed Ink Rates'!C:C,'Dispensed Ink Rates'!CS:CS),VLOOKUP(ED291,'Jan-2026 rates'!$E:$F,2,0)))</f>
        <v>0</v>
      </c>
      <c r="ES291" s="409"/>
      <c r="ET291" s="398">
        <f>IF(ES291=0,0,IF(LEN(EE291)=11,_xlfn.XLOOKUP(EE291,'Dispensed Ink Rates'!C:C,'Dispensed Ink Rates'!CS:CS),VLOOKUP(EE291,'Jan-2026 rates'!$E:$F,2,0)))</f>
        <v>0</v>
      </c>
      <c r="EU291" s="409"/>
      <c r="EV291" s="398">
        <f>IF(EU291=0,0,IF(LEN(EF291)=11,_xlfn.XLOOKUP(EF291,'Dispensed Ink Rates'!C:C,'Dispensed Ink Rates'!CS:CS),VLOOKUP(EF291,'Jan-2026 rates'!$E:$F,2,0)))</f>
        <v>0</v>
      </c>
      <c r="EW291" s="409" t="s">
        <v>1443</v>
      </c>
      <c r="EX291" s="409">
        <v>27</v>
      </c>
      <c r="EY291" s="411">
        <f t="shared" si="221"/>
        <v>0</v>
      </c>
      <c r="EZ291" s="411">
        <f t="shared" si="222"/>
        <v>9.2702702702702737</v>
      </c>
      <c r="FA291" s="410">
        <f t="shared" si="223"/>
        <v>0</v>
      </c>
      <c r="FB291" s="405" t="s">
        <v>544</v>
      </c>
      <c r="FC291" s="409" t="s">
        <v>4359</v>
      </c>
      <c r="FD291" s="420" t="str">
        <f t="shared" si="187"/>
        <v>FLINTSL - MAGENTA</v>
      </c>
      <c r="FE291" s="409">
        <v>26</v>
      </c>
      <c r="FF291" s="411">
        <f>IF(FE291=0,0,IF($LB291=70%,VLOOKUP($FD291,'Jan-2026 rates'!$L:$R,4,0),IF($LB291=65%,VLOOKUP($FD291,'Jan-2026 rates'!$L:$R,4,0),IF($LB291=40%,VLOOKUP($FD291,'Jan-2026 rates'!$L:$R,5,0),IF($LB291=30%,VLOOKUP($FD291,'Jan-2026 rates'!$L:$R,6,0),IF($LB291=100%,VLOOKUP($FD291,'Jan-2026 rates'!$L:$R,7,0),IF($LB291=60%,VLOOKUP($FD291,'Jan-2026 rates'!$L:$S,8,0),IF($LB291=80%,VLOOKUP($FD291,'Jan-2026 rates'!L:T,9,0),0))))))))</f>
        <v>0</v>
      </c>
      <c r="FG291" s="412"/>
      <c r="FH291" s="409"/>
      <c r="FI291" s="411">
        <f>IF(FH291=0,0,IF($LB291=70%,VLOOKUP($FD291,'Jan-2026 rates'!$L:$R,4,0),IF($LB291=65%,VLOOKUP($FD291,'Jan-2026 rates'!$L:$R,4,0),IF($LB291=40%,VLOOKUP($FD291,'Jan-2026 rates'!$L:$R,5,0),IF($LB291=30%,VLOOKUP($FD291,'Jan-2026 rates'!$L:$R,6,0),IF($LB291=100%,VLOOKUP($FD291,'Jan-2026 rates'!$L:$R,7,0),IF($LB291=60%,VLOOKUP($FD291,'Jan-2026 rates'!$L:$S,8,0),IF($LB291=80%,VLOOKUP($FD291,'Jan-2026 rates'!L:T,9,0),0))))))))</f>
        <v>0</v>
      </c>
      <c r="FJ291" s="413">
        <v>26524000006</v>
      </c>
      <c r="FK291" s="413"/>
      <c r="FL291" s="413"/>
      <c r="FM291" s="412"/>
      <c r="FN291" s="412"/>
      <c r="FO291" s="412"/>
      <c r="FP291" s="412"/>
      <c r="FQ291" s="412"/>
      <c r="FR291" s="409">
        <v>2</v>
      </c>
      <c r="FS291" s="398" t="e">
        <f>IF(FR291=0,0,IF(LEN(FJ291)=11,_xlfn.XLOOKUP(FJ291,'Dispensed Ink Rates'!C:C,'Dispensed Ink Rates'!CS:CS),VLOOKUP(FJ291,'Jan-2026 rates'!$E:$F,2,0)))</f>
        <v>#N/A</v>
      </c>
      <c r="FT291" s="409"/>
      <c r="FU291" s="398">
        <f>IF(FT291=0,0,IF(LEN(FK291)=11,_xlfn.XLOOKUP(FK291,'Dispensed Ink Rates'!C:C,'Dispensed Ink Rates'!CS:CS),VLOOKUP(FK291,'Jan-2026 rates'!$E:$F,2,0)))</f>
        <v>0</v>
      </c>
      <c r="FV291" s="409"/>
      <c r="FW291" s="398">
        <f>IF(FV291=0,0,IF(LEN(FL291)=11,_xlfn.XLOOKUP(FL291,'Dispensed Ink Rates'!C:C,'Dispensed Ink Rates'!CS:CS),VLOOKUP(FL291,'Jan-2026 rates'!$E:$F,2,0)))</f>
        <v>0</v>
      </c>
      <c r="FX291" s="409"/>
      <c r="FY291" s="398">
        <f>IF(FX291=0,0,IF(LEN(FM291)=11,_xlfn.XLOOKUP(FM291,'Dispensed Ink Rates'!C:C,'Dispensed Ink Rates'!CS:CS),VLOOKUP(FM291,'Jan-2026 rates'!$E:$F,2,0)))</f>
        <v>0</v>
      </c>
      <c r="FZ291" s="409"/>
      <c r="GA291" s="398">
        <f>IF(FZ291=0,0,IF(LEN(FN291)=11,_xlfn.XLOOKUP(FN291,'Dispensed Ink Rates'!C:C,'Dispensed Ink Rates'!CS:CS),VLOOKUP(FN291,'Jan-2026 rates'!$E:$F,2,0)))</f>
        <v>0</v>
      </c>
      <c r="GB291" s="409"/>
      <c r="GC291" s="398">
        <f>IF(GB291=0,0,IF(LEN(FO291)=11,_xlfn.XLOOKUP(FO291,'Dispensed Ink Rates'!C:C,'Dispensed Ink Rates'!CS:CS),VLOOKUP(FO291,'Jan-2026 rates'!$E:$F,2,0)))</f>
        <v>0</v>
      </c>
      <c r="GD291" s="409"/>
      <c r="GE291" s="398">
        <f>IF(GD291=0,0,IF(LEN(FP291)=11,_xlfn.XLOOKUP(FP291,'Dispensed Ink Rates'!C:C,'Dispensed Ink Rates'!CS:CS),VLOOKUP(FP291,'Jan-2026 rates'!$E:$F,2,0)))</f>
        <v>0</v>
      </c>
      <c r="GF291" s="409"/>
      <c r="GG291" s="398">
        <f>IF(GF291=0,0,IF(LEN(FQ291)=11,_xlfn.XLOOKUP(FQ291,'Dispensed Ink Rates'!C:C,'Dispensed Ink Rates'!CS:CS),VLOOKUP(FQ291,'Jan-2026 rates'!$E:$F,2,0)))</f>
        <v>0</v>
      </c>
      <c r="GH291" s="409" t="s">
        <v>1443</v>
      </c>
      <c r="GI291" s="409">
        <v>25</v>
      </c>
      <c r="GJ291" s="411">
        <f t="shared" si="224"/>
        <v>0</v>
      </c>
      <c r="GK291" s="411">
        <f t="shared" si="225"/>
        <v>8.5135135135135158</v>
      </c>
      <c r="GL291" s="410">
        <f t="shared" si="226"/>
        <v>0</v>
      </c>
      <c r="GM291" s="405" t="s">
        <v>857</v>
      </c>
      <c r="GN291" s="409" t="s">
        <v>4355</v>
      </c>
      <c r="GO291" s="420" t="str">
        <f t="shared" si="188"/>
        <v>FLINTSL - RED</v>
      </c>
      <c r="GP291" s="409">
        <v>15</v>
      </c>
      <c r="GQ291" s="411">
        <f>IF(GP291=0,0,IF($LB291=70%,VLOOKUP($GO291,'Jan-2026 rates'!$L:$R,4,0),IF($LB291=65%,VLOOKUP($GO291,'Jan-2026 rates'!$L:$R,4,0),IF($LB291=40%,VLOOKUP($GO291,'Jan-2026 rates'!$L:$R,5,0),IF($LB291=30%,VLOOKUP($GO291,'Jan-2026 rates'!$L:$R,6,0),IF($LB291=100%,VLOOKUP($GO291,'Jan-2026 rates'!$L:$R,7,0),IF($LB291=60%,VLOOKUP($GO291,'Jan-2026 rates'!$L:$S,8,0),IF($LB291=80%,VLOOKUP($GO291,'Jan-2026 rates'!L:T,9,0),0))))))))</f>
        <v>0</v>
      </c>
      <c r="GR291" s="412"/>
      <c r="GS291" s="409"/>
      <c r="GT291" s="411">
        <f>IF(GS291=0,0,IF($LB291=70%,VLOOKUP($GO291,'Jan-2026 rates'!$L:$R,4,0),IF($LB291=65%,VLOOKUP($GO291,'Jan-2026 rates'!$L:$R,4,0),IF($LB291=40%,VLOOKUP($GO291,'Jan-2026 rates'!$L:$R,5,0),IF($LB291=30%,VLOOKUP($GO291,'Jan-2026 rates'!$L:$R,6,0),IF($LB291=100%,VLOOKUP($GO291,'Jan-2026 rates'!$L:$R,7,0),IF($LB291=60%,VLOOKUP($GO291,'Jan-2026 rates'!$L:$S,8,0),IF($LB291=80%,VLOOKUP($GO291,'Jan-2026 rates'!L:T,9,0),0))))))))</f>
        <v>0</v>
      </c>
      <c r="GU291" s="413">
        <v>26524000022</v>
      </c>
      <c r="GV291" s="413">
        <v>26525000003</v>
      </c>
      <c r="GW291" s="412"/>
      <c r="GX291" s="412"/>
      <c r="GY291" s="412"/>
      <c r="GZ291" s="412"/>
      <c r="HA291" s="412"/>
      <c r="HB291" s="412"/>
      <c r="HC291" s="409">
        <v>10</v>
      </c>
      <c r="HD291" s="398" t="e">
        <f>IF(HC291=0,0,IF(LEN(GU291)=11,_xlfn.XLOOKUP(GU291,'Dispensed Ink Rates'!C:C,'Dispensed Ink Rates'!CS:CS),VLOOKUP(GU291,'Jan-2026 rates'!$E:$F,2,0)))</f>
        <v>#N/A</v>
      </c>
      <c r="HE291" s="409">
        <v>5</v>
      </c>
      <c r="HF291" s="398" t="e">
        <f>IF(HE291=0,0,IF(LEN(GV291)=11,_xlfn.XLOOKUP(GV291,'Dispensed Ink Rates'!C:C,'Dispensed Ink Rates'!CS:CS),VLOOKUP(GV291,'Jan-2026 rates'!$E:$F,2,0)))</f>
        <v>#N/A</v>
      </c>
      <c r="HG291" s="409"/>
      <c r="HH291" s="398">
        <f>IF(HG291=0,0,IF(LEN(GW291)=11,_xlfn.XLOOKUP(GW291,'Dispensed Ink Rates'!C:C,'Dispensed Ink Rates'!CS:CS),VLOOKUP(GW291,'Jan-2026 rates'!$E:$F,2,0)))</f>
        <v>0</v>
      </c>
      <c r="HI291" s="409"/>
      <c r="HJ291" s="398">
        <f>IF(HI291=0,0,IF(LEN(GX291)=11,_xlfn.XLOOKUP(GX291,'Dispensed Ink Rates'!C:C,'Dispensed Ink Rates'!CS:CS),VLOOKUP(GX291,'Jan-2026 rates'!$E:$F,2,0)))</f>
        <v>0</v>
      </c>
      <c r="HK291" s="409"/>
      <c r="HL291" s="398">
        <f>IF(HK291=0,0,IF(LEN(GY291)=11,_xlfn.XLOOKUP(GY291,'Dispensed Ink Rates'!C:C,'Dispensed Ink Rates'!CS:CS),VLOOKUP(GY291,'Jan-2026 rates'!$E:$F,2,0)))</f>
        <v>0</v>
      </c>
      <c r="HM291" s="409"/>
      <c r="HN291" s="398">
        <f>IF(HM291=0,0,IF(LEN(GZ291)=11,_xlfn.XLOOKUP(GZ291,'Dispensed Ink Rates'!C:C,'Dispensed Ink Rates'!CS:CS),VLOOKUP(GZ291,'Jan-2026 rates'!$E:$F,2,0)))</f>
        <v>0</v>
      </c>
      <c r="HO291" s="409"/>
      <c r="HP291" s="398">
        <f>IF(HO291=0,0,IF(LEN(HA291)=11,_xlfn.XLOOKUP(HA291,'Dispensed Ink Rates'!C:C,'Dispensed Ink Rates'!CS:CS),VLOOKUP(HA291,'Jan-2026 rates'!$E:$F,2,0)))</f>
        <v>0</v>
      </c>
      <c r="HQ291" s="409"/>
      <c r="HR291" s="398">
        <f>IF(HQ291=0,0,IF(LEN(HB291)=11,_xlfn.XLOOKUP(HB291,'Dispensed Ink Rates'!C:C,'Dispensed Ink Rates'!CS:CS),VLOOKUP(HB291,'Jan-2026 rates'!$E:$F,2,0)))</f>
        <v>0</v>
      </c>
      <c r="HS291" s="409" t="s">
        <v>1443</v>
      </c>
      <c r="HT291" s="409">
        <v>33</v>
      </c>
      <c r="HU291" s="411">
        <f t="shared" si="227"/>
        <v>0</v>
      </c>
      <c r="HV291" s="411">
        <f t="shared" si="228"/>
        <v>10.783783783783782</v>
      </c>
      <c r="HW291" s="414">
        <f t="shared" si="229"/>
        <v>0</v>
      </c>
      <c r="HX291" s="405" t="s">
        <v>545</v>
      </c>
      <c r="HY291" s="409" t="s">
        <v>4357</v>
      </c>
      <c r="HZ291" s="420" t="str">
        <f t="shared" si="189"/>
        <v>FLINTSL - YELLOW</v>
      </c>
      <c r="IA291" s="409">
        <v>28</v>
      </c>
      <c r="IB291" s="411">
        <f>IF(IA291=0,0,IF($LB291=70%,VLOOKUP($HZ291,'Jan-2026 rates'!$L:$R,4,0),IF($LB291=65%,VLOOKUP($HZ291,'Jan-2026 rates'!$L:$R,4,0),IF($LB291=40%,VLOOKUP($HZ291,'Jan-2026 rates'!$L:$R,5,0),IF($LB291=30%,VLOOKUP($HZ291,'Jan-2026 rates'!$L:$R,6,0),IF($LB291=100%,VLOOKUP($HZ291,'Jan-2026 rates'!$L:$R,7,0),IF($LB291=60%,VLOOKUP($HZ291,'Jan-2026 rates'!$L:$S,8,0),IF($LB291=80%,VLOOKUP($HZ291,'Jan-2026 rates'!L:T,9,0),0))))))))</f>
        <v>0</v>
      </c>
      <c r="IC291" s="412"/>
      <c r="ID291" s="409"/>
      <c r="IE291" s="411">
        <f>IF(ID291=0,0,IF($LB291=70%,VLOOKUP($HZ291,'Jan-2026 rates'!$L:$R,4,0),IF($LB291=65%,VLOOKUP($HZ291,'Jan-2026 rates'!$L:$R,4,0),IF($LB291=40%,VLOOKUP($HZ291,'Jan-2026 rates'!$L:$R,5,0),IF($LB291=30%,VLOOKUP($HZ291,'Jan-2026 rates'!$L:$R,6,0),IF($LB291=100%,VLOOKUP($HZ291,'Jan-2026 rates'!$L:$R,7,0),IF($LB291=60%,VLOOKUP($HZ291,'Jan-2026 rates'!$L:$S,8,0),IF($LB291=80%,VLOOKUP($HZ291,'Jan-2026 rates'!L:T,9,0),0))))))))</f>
        <v>0</v>
      </c>
      <c r="IF291" s="412">
        <v>26524000005</v>
      </c>
      <c r="IG291" s="413"/>
      <c r="IH291" s="412"/>
      <c r="II291" s="412"/>
      <c r="IJ291" s="412"/>
      <c r="IK291" s="412"/>
      <c r="IL291" s="412"/>
      <c r="IM291" s="412"/>
      <c r="IN291" s="409">
        <v>2</v>
      </c>
      <c r="IO291" s="398" t="e">
        <f>IF(IN291=0,0,IF(LEN(IF291)=11,_xlfn.XLOOKUP(IF291,'Dispensed Ink Rates'!C:C,'Dispensed Ink Rates'!CS:CS),VLOOKUP(IF291,'Jan-2026 rates'!$E:$F,2,0)))</f>
        <v>#N/A</v>
      </c>
      <c r="IP291" s="409"/>
      <c r="IQ291" s="398">
        <f>IF(IP291=0,0,IF(LEN(IG291)=11,_xlfn.XLOOKUP(IG291,'Dispensed Ink Rates'!C:C,'Dispensed Ink Rates'!CS:CS),VLOOKUP(IG291,'Jan-2026 rates'!$E:$F,2,0)))</f>
        <v>0</v>
      </c>
      <c r="IR291" s="409"/>
      <c r="IS291" s="398">
        <f>IF(IR291=0,0,IF(LEN(IH291)=11,_xlfn.XLOOKUP(IH291,'Dispensed Ink Rates'!C:C,'Dispensed Ink Rates'!CS:CS),VLOOKUP(IH291,'Jan-2026 rates'!$E:$F,2,0)))</f>
        <v>0</v>
      </c>
      <c r="IT291" s="409"/>
      <c r="IU291" s="398">
        <f>IF(IT291=0,0,IF(LEN(II291)=11,_xlfn.XLOOKUP(II291,'Dispensed Ink Rates'!C:C,'Dispensed Ink Rates'!CS:CS),VLOOKUP(II291,'Jan-2026 rates'!$E:$F,2,0)))</f>
        <v>0</v>
      </c>
      <c r="IV291" s="409"/>
      <c r="IW291" s="398">
        <f>IF(IV291=0,0,IF(LEN(IJ291)=11,_xlfn.XLOOKUP(IJ291,'Dispensed Ink Rates'!C:C,'Dispensed Ink Rates'!CS:CS),VLOOKUP(IJ291,'Jan-2026 rates'!$E:$F,2,0)))</f>
        <v>0</v>
      </c>
      <c r="IX291" s="409"/>
      <c r="IY291" s="398">
        <f>IF(IX291=0,0,IF(LEN(IK291)=11,_xlfn.XLOOKUP(IK291,'Dispensed Ink Rates'!C:C,'Dispensed Ink Rates'!CS:CS),VLOOKUP(IK291,'Jan-2026 rates'!$E:$F,2,0)))</f>
        <v>0</v>
      </c>
      <c r="IZ291" s="409"/>
      <c r="JA291" s="398">
        <f>IF(IZ291=0,0,IF(LEN(IL291)=11,_xlfn.XLOOKUP(IL291,'Dispensed Ink Rates'!C:C,'Dispensed Ink Rates'!CS:CS),VLOOKUP(IL291,'Jan-2026 rates'!$E:$F,2,0)))</f>
        <v>0</v>
      </c>
      <c r="JB291" s="409"/>
      <c r="JC291" s="398">
        <f>IF(JB291=0,0,IF(LEN(IM291)=11,_xlfn.XLOOKUP(IM291,'Dispensed Ink Rates'!C:C,'Dispensed Ink Rates'!CS:CS),VLOOKUP(IM291,'Jan-2026 rates'!$E:$F,2,0)))</f>
        <v>0</v>
      </c>
      <c r="JD291" s="409" t="s">
        <v>1443</v>
      </c>
      <c r="JE291" s="409">
        <v>26</v>
      </c>
      <c r="JF291" s="411">
        <f t="shared" si="230"/>
        <v>0</v>
      </c>
      <c r="JG291" s="411">
        <f t="shared" si="231"/>
        <v>6.7567567567567579</v>
      </c>
      <c r="JH291" s="410">
        <f t="shared" si="232"/>
        <v>0</v>
      </c>
      <c r="JI291" s="405" t="s">
        <v>856</v>
      </c>
      <c r="JJ291" s="409" t="s">
        <v>4360</v>
      </c>
      <c r="JK291" s="420" t="str">
        <f t="shared" si="190"/>
        <v>FLINTSL - WHITE</v>
      </c>
      <c r="JL291" s="409">
        <v>20</v>
      </c>
      <c r="JM291" s="411">
        <f>IF(JL291=0,0,IF($LB291=70%,VLOOKUP($JK291,'Jan-2026 rates'!$L:$R,4,0),IF($LB291=65%,VLOOKUP($JK291,'Jan-2026 rates'!$L:$R,4,0),IF($LB291=40%,VLOOKUP($JK291,'Jan-2026 rates'!$L:$R,5,0),IF($LB291=30%,VLOOKUP($JK291,'Jan-2026 rates'!$L:$R,6,0),IF($LB291=100%,VLOOKUP($JK291,'Jan-2026 rates'!$L:$R,7,0),IF($LB291=60%,VLOOKUP($JK291,'Jan-2026 rates'!$L:$S,8,0),IF($LB291=80%,VLOOKUP($JK291,'Jan-2026 rates'!L:T,9,0),0))))))))</f>
        <v>0</v>
      </c>
      <c r="JN291" s="412"/>
      <c r="JO291" s="409"/>
      <c r="JP291" s="411">
        <f>IF(JO291=0,0,IF($LB291=70%,VLOOKUP($JK291,'Jan-2026 rates'!$L:$R,4,0),IF($LB291=65%,VLOOKUP($JK291,'Jan-2026 rates'!$L:$R,4,0),IF($LB291=40%,VLOOKUP($JK291,'Jan-2026 rates'!$L:$R,5,0),IF($LB291=30%,VLOOKUP($JK291,'Jan-2026 rates'!$L:$R,6,0),IF($LB291=100%,VLOOKUP($JK291,'Jan-2026 rates'!$L:$R,7,0),IF($LB291=60%,VLOOKUP($JK291,'Jan-2026 rates'!$L:$S,8,0),IF($LB291=80%,VLOOKUP($JK291,'Jan-2026 rates'!L:T,9,0),0))))))))</f>
        <v>0</v>
      </c>
      <c r="JQ291" s="413" t="s">
        <v>484</v>
      </c>
      <c r="JR291" s="412"/>
      <c r="JS291" s="413"/>
      <c r="JT291" s="413"/>
      <c r="JU291" s="412"/>
      <c r="JV291" s="412"/>
      <c r="JW291" s="412"/>
      <c r="JX291" s="412"/>
      <c r="JY291" s="409">
        <v>60</v>
      </c>
      <c r="JZ291" s="398">
        <f>IF(JY291=0,0,IF(LEN(JQ291)=11,_xlfn.XLOOKUP(JQ291,'Dispensed Ink Rates'!C:C,'Dispensed Ink Rates'!CS:CS),VLOOKUP(JQ291,'Jan-2026 rates'!$E:$F,2,0)))</f>
        <v>0</v>
      </c>
      <c r="KA291" s="409"/>
      <c r="KB291" s="398">
        <f>IF(KA291=0,0,IF(LEN(JR291)=11,_xlfn.XLOOKUP(JR291,'Dispensed Ink Rates'!C:C,'Dispensed Ink Rates'!CS:CS),VLOOKUP(JR291,'Jan-2026 rates'!$E:$F,2,0)))</f>
        <v>0</v>
      </c>
      <c r="KC291" s="409"/>
      <c r="KD291" s="398">
        <f>IF(KC291=0,0,IF(LEN(JS291)=11,_xlfn.XLOOKUP(JS291,'Dispensed Ink Rates'!C:C,'Dispensed Ink Rates'!CS:CS),VLOOKUP(JS291,'Jan-2026 rates'!$E:$F,2,0)))</f>
        <v>0</v>
      </c>
      <c r="KE291" s="409"/>
      <c r="KF291" s="398">
        <f>IF(KE291=0,0,IF(LEN(JT291)=11,_xlfn.XLOOKUP(JT291,'Dispensed Ink Rates'!C:C,'Dispensed Ink Rates'!CS:CS),VLOOKUP(JT291,'Jan-2026 rates'!$E:$F,2,0)))</f>
        <v>0</v>
      </c>
      <c r="KG291" s="409"/>
      <c r="KH291" s="398">
        <f>IF(KG291=0,0,IF(LEN(JU291)=11,_xlfn.XLOOKUP(JU291,'Dispensed Ink Rates'!C:C,'Dispensed Ink Rates'!CS:CS),VLOOKUP(JU291,'Jan-2026 rates'!$E:$F,2,0)))</f>
        <v>0</v>
      </c>
      <c r="KI291" s="409"/>
      <c r="KJ291" s="398">
        <f>IF(KI291=0,0,IF(LEN(JV291)=11,_xlfn.XLOOKUP(JV291,'Dispensed Ink Rates'!C:C,'Dispensed Ink Rates'!CS:CS),VLOOKUP(JV291,'Jan-2026 rates'!$E:$F,2,0)))</f>
        <v>0</v>
      </c>
      <c r="KK291" s="409"/>
      <c r="KL291" s="398">
        <f>IF(KK291=0,0,IF(LEN(JW291)=11,_xlfn.XLOOKUP(JW291,'Dispensed Ink Rates'!C:C,'Dispensed Ink Rates'!CS:CS),VLOOKUP(JW291,'Jan-2026 rates'!$E:$F,2,0)))</f>
        <v>0</v>
      </c>
      <c r="KM291" s="428"/>
      <c r="KN291" s="398">
        <f>IF(KM291=0,0,IF(LEN(JX291)=11,_xlfn.XLOOKUP(JX291,'Dispensed Ink Rates'!C:C,'Dispensed Ink Rates'!CS:CS),VLOOKUP(JX291,'Jan-2026 rates'!$E:$F,2,0)))</f>
        <v>0</v>
      </c>
      <c r="KO291" s="409" t="s">
        <v>1443</v>
      </c>
      <c r="KP291" s="409">
        <v>32</v>
      </c>
      <c r="KQ291" s="411">
        <f t="shared" si="233"/>
        <v>0</v>
      </c>
      <c r="KR291" s="411">
        <f t="shared" si="234"/>
        <v>89.351351351351354</v>
      </c>
      <c r="KS291" s="410">
        <f t="shared" si="235"/>
        <v>0</v>
      </c>
      <c r="KT291" s="409">
        <v>7</v>
      </c>
      <c r="KU291" s="409">
        <v>10</v>
      </c>
      <c r="KV291" s="409">
        <v>5</v>
      </c>
      <c r="KW291" s="409">
        <v>6</v>
      </c>
      <c r="KX291" s="409">
        <v>4</v>
      </c>
      <c r="KY291" s="409">
        <v>10</v>
      </c>
      <c r="KZ291" s="409">
        <v>2</v>
      </c>
      <c r="LA291" s="409">
        <v>30</v>
      </c>
      <c r="LB291" s="415">
        <v>0.8</v>
      </c>
      <c r="LC291" s="415">
        <v>0.2</v>
      </c>
      <c r="LD291" s="415"/>
      <c r="LE291" s="415"/>
      <c r="LF291" s="415"/>
      <c r="LG291" s="409">
        <v>0</v>
      </c>
      <c r="LH291" s="409">
        <f>30+22+40+10</f>
        <v>102</v>
      </c>
      <c r="LI291" s="409">
        <v>0</v>
      </c>
      <c r="LJ291" s="409">
        <v>0</v>
      </c>
      <c r="LK291" s="416">
        <f t="shared" si="191"/>
        <v>102</v>
      </c>
      <c r="LL291" s="416">
        <f t="shared" si="192"/>
        <v>102</v>
      </c>
      <c r="LM291" s="417">
        <f t="shared" si="193"/>
        <v>81.600000000000009</v>
      </c>
      <c r="LN291" s="417">
        <f>VLOOKUP($LM$8,'Jan-2026 rates'!$H:$I,2,0)</f>
        <v>0</v>
      </c>
      <c r="LO291" s="417">
        <f t="shared" si="194"/>
        <v>20.400000000000002</v>
      </c>
      <c r="LP291" s="417">
        <f>VLOOKUP($LO$8,'Jan-2026 rates'!$H:$I,2,0)</f>
        <v>0</v>
      </c>
      <c r="LQ291" s="417">
        <f t="shared" si="195"/>
        <v>0</v>
      </c>
      <c r="LR291" s="417">
        <f>VLOOKUP($LQ$8,'Jan-2026 rates'!$H:$I,2,0)</f>
        <v>0</v>
      </c>
      <c r="LS291" s="417">
        <f t="shared" si="196"/>
        <v>0</v>
      </c>
      <c r="LT291" s="417">
        <f>VLOOKUP($LS$8,'Jan-2026 rates'!$H:$I,2,0)</f>
        <v>0</v>
      </c>
      <c r="LU291" s="417">
        <f t="shared" si="197"/>
        <v>0</v>
      </c>
      <c r="LV291" s="417">
        <f>VLOOKUP($LU$8,'Jan-2026 rates'!$H:$I,2,0)</f>
        <v>0</v>
      </c>
      <c r="LW291" s="417">
        <f t="shared" si="198"/>
        <v>0</v>
      </c>
      <c r="LX291" s="417">
        <f t="shared" si="199"/>
        <v>0</v>
      </c>
      <c r="LY291" s="418">
        <f t="shared" si="200"/>
        <v>0</v>
      </c>
      <c r="LZ291" s="417"/>
      <c r="MA291" s="435">
        <f t="shared" si="201"/>
        <v>153</v>
      </c>
      <c r="MB291" s="282">
        <f t="shared" si="202"/>
        <v>205</v>
      </c>
      <c r="MC291" s="283">
        <v>184</v>
      </c>
      <c r="MD291" s="284" t="str">
        <f t="shared" si="203"/>
        <v>ToyoLiFLINTSLFLINTSLFLINTSLFLINTSLFLINTSLFLINTSLFLINTSL</v>
      </c>
      <c r="ME291" s="293" t="str">
        <f t="shared" si="204"/>
        <v>+</v>
      </c>
      <c r="MF291" s="293" t="str">
        <f t="shared" si="205"/>
        <v>+</v>
      </c>
      <c r="MG291" s="293" t="str">
        <f t="shared" si="206"/>
        <v>+</v>
      </c>
      <c r="MH291" s="293" t="str">
        <f t="shared" si="207"/>
        <v>+</v>
      </c>
      <c r="MI291" s="293" t="str">
        <f t="shared" si="208"/>
        <v>+</v>
      </c>
      <c r="MJ291" s="293" t="str">
        <f t="shared" si="209"/>
        <v>+</v>
      </c>
      <c r="MK291" s="293" t="str">
        <f t="shared" si="210"/>
        <v>+</v>
      </c>
      <c r="ML291" s="293" t="str">
        <f t="shared" si="211"/>
        <v>+</v>
      </c>
      <c r="MM291" s="3" t="b">
        <f t="array" ref="MM291">OR(ME291:ML291="-")</f>
        <v>0</v>
      </c>
      <c r="MN291" s="285"/>
      <c r="MO291" s="401"/>
      <c r="MP291" s="286"/>
      <c r="MQ291" s="286"/>
      <c r="MR291" s="402"/>
      <c r="MS291" s="400"/>
      <c r="NH291" s="422"/>
      <c r="NJ291" s="421"/>
    </row>
    <row r="292" spans="1:374" s="1" customFormat="1" ht="16.5">
      <c r="A292" s="403">
        <v>46046</v>
      </c>
      <c r="B292" s="404" t="s">
        <v>1015</v>
      </c>
      <c r="C292" s="405" t="s">
        <v>4361</v>
      </c>
      <c r="D292" s="406">
        <v>185</v>
      </c>
      <c r="E292" s="404">
        <v>964</v>
      </c>
      <c r="F292" s="407">
        <v>47900</v>
      </c>
      <c r="G292" s="407" t="s">
        <v>1019</v>
      </c>
      <c r="H292" s="408" t="s">
        <v>1017</v>
      </c>
      <c r="I292" s="409">
        <v>2.15</v>
      </c>
      <c r="J292" s="405" t="s">
        <v>543</v>
      </c>
      <c r="K292" s="404" t="s">
        <v>4362</v>
      </c>
      <c r="L292" s="419" t="str">
        <f t="shared" si="184"/>
        <v>FLINTSL - BLACK</v>
      </c>
      <c r="M292" s="404">
        <v>25</v>
      </c>
      <c r="N292" s="410">
        <f>IF(M292=0,0,IF($LB292=70%,VLOOKUP($L292,'Jan-2026 rates'!$L:$R,4,0),IF($LB292=65%,VLOOKUP($L292,'Jan-2026 rates'!$L:$R,4,0),IF($LB292=40%,VLOOKUP($L292,'Jan-2026 rates'!$L:$R,5,0),IF($LB292=30%,VLOOKUP($L292,'Jan-2026 rates'!$L:$R,6,0),IF($LB292=100%,VLOOKUP($L292,'Jan-2026 rates'!$L:$R,7,0),IF($LB292=60%,VLOOKUP($L292,'Jan-2026 rates'!$L:$S,8,0),IF($LB292=80%,VLOOKUP($L292,'Jan-2026 rates'!L:T,9,0),0))))))))</f>
        <v>0</v>
      </c>
      <c r="O292" s="406" t="s">
        <v>4287</v>
      </c>
      <c r="P292" s="404">
        <v>15</v>
      </c>
      <c r="Q292" s="410">
        <f>IF(P292=0,0,IF($LB292=70%,VLOOKUP($L292,'Jan-2026 rates'!$L:$R,4,0),IF($LB292=65%,VLOOKUP($L292,'Jan-2026 rates'!$L:$R,4,0),IF($LB292=40%,VLOOKUP($L292,'Jan-2026 rates'!$L:$R,5,0),IF($LB292=30%,VLOOKUP($L292,'Jan-2026 rates'!$L:$R,6,0),IF($LB292=100%,VLOOKUP($L292,'Jan-2026 rates'!$L:$R,7,0),IF($LB292=60%,VLOOKUP($L292,'Jan-2026 rates'!$L:$S,8,0),IF($LB292=80%,VLOOKUP($L292,'Jan-2026 rates'!L:T,9,0),0))))))))</f>
        <v>0</v>
      </c>
      <c r="R292" s="406">
        <v>26521000006</v>
      </c>
      <c r="S292" s="406"/>
      <c r="T292" s="406"/>
      <c r="U292" s="406"/>
      <c r="V292" s="406"/>
      <c r="W292" s="406"/>
      <c r="X292" s="406"/>
      <c r="Y292" s="406"/>
      <c r="Z292" s="404">
        <v>4</v>
      </c>
      <c r="AA292" s="398" t="e">
        <f>IF(Z292=0,0,IF(LEN(R292)=11,_xlfn.XLOOKUP(R292,'Dispensed Ink Rates'!C:C,'Dispensed Ink Rates'!CS:CS),VLOOKUP(R292,'Jan-2026 rates'!$E:$F,2,0)))</f>
        <v>#N/A</v>
      </c>
      <c r="AB292" s="404"/>
      <c r="AC292" s="398">
        <f>IF(AB292=0,0,IF(LEN(S292)=11,_xlfn.XLOOKUP(S292,'Dispensed Ink Rates'!C:C,'Dispensed Ink Rates'!CS:CS),VLOOKUP(S292,'Jan-2026 rates'!$E:$F,2,0)))</f>
        <v>0</v>
      </c>
      <c r="AD292" s="404"/>
      <c r="AE292" s="398">
        <f>IF(AD292=0,0,IF(LEN(T292)=11,_xlfn.XLOOKUP(T292,'Dispensed Ink Rates'!C:C,'Dispensed Ink Rates'!CS:CS),VLOOKUP(T292,'Jan-2026 rates'!$E:$F,2,0)))</f>
        <v>0</v>
      </c>
      <c r="AF292" s="404"/>
      <c r="AG292" s="398">
        <f>IF(AF292=0,0,IF(LEN(U292)=11,_xlfn.XLOOKUP(U292,'Dispensed Ink Rates'!C:C,'Dispensed Ink Rates'!CS:CS),VLOOKUP(U292,'Jan-2026 rates'!$E:$F,2,0)))</f>
        <v>0</v>
      </c>
      <c r="AH292" s="404"/>
      <c r="AI292" s="398">
        <f>IF(AH292=0,0,IF(LEN(V292)=11,_xlfn.XLOOKUP(V292,'Dispensed Ink Rates'!C:C,'Dispensed Ink Rates'!CS:CS),VLOOKUP(V292,'Jan-2026 rates'!$E:$F,2,0)))</f>
        <v>0</v>
      </c>
      <c r="AJ292" s="404"/>
      <c r="AK292" s="398">
        <f>IF(AJ292=0,0,IF(LEN(W292)=11,_xlfn.XLOOKUP(W292,'Dispensed Ink Rates'!C:C,'Dispensed Ink Rates'!CS:CS),VLOOKUP(W292,'Jan-2026 rates'!$E:$F,2,0)))</f>
        <v>0</v>
      </c>
      <c r="AL292" s="404"/>
      <c r="AM292" s="398">
        <f>IF(AL292=0,0,IF(LEN(X292)=11,_xlfn.XLOOKUP(X292,'Dispensed Ink Rates'!C:C,'Dispensed Ink Rates'!CS:CS),VLOOKUP(X292,'Jan-2026 rates'!$E:$F,2,0)))</f>
        <v>0</v>
      </c>
      <c r="AN292" s="404"/>
      <c r="AO292" s="398">
        <f>IF(AN292=0,0,IF(LEN(Y292)=11,_xlfn.XLOOKUP(Y292,'Dispensed Ink Rates'!C:C,'Dispensed Ink Rates'!CS:CS),VLOOKUP(Y292,'Jan-2026 rates'!$E:$F,2,0)))</f>
        <v>0</v>
      </c>
      <c r="AP292" s="409" t="s">
        <v>1443</v>
      </c>
      <c r="AQ292" s="409">
        <v>30</v>
      </c>
      <c r="AR292" s="410">
        <f t="shared" si="212"/>
        <v>0</v>
      </c>
      <c r="AS292" s="411">
        <f t="shared" si="213"/>
        <v>20.127272727272725</v>
      </c>
      <c r="AT292" s="410">
        <f t="shared" si="214"/>
        <v>0</v>
      </c>
      <c r="AU292" s="405" t="s">
        <v>857</v>
      </c>
      <c r="AV292" s="409" t="s">
        <v>4363</v>
      </c>
      <c r="AW292" s="420" t="str">
        <f t="shared" si="183"/>
        <v>FLINTSL - RED</v>
      </c>
      <c r="AX292" s="409">
        <v>30</v>
      </c>
      <c r="AY292" s="411">
        <f>IF(AX292=0,0,IF($LB292=70%,VLOOKUP($AW292,'Jan-2026 rates'!$L:$R,4,0),IF($LB292=65%,VLOOKUP($AW292,'Jan-2026 rates'!$L:$R,4,0),IF($LB292=40%,VLOOKUP($AW292,'Jan-2026 rates'!$L:$R,5,0),IF($LB292=30%,VLOOKUP($AW292,'Jan-2026 rates'!$L:$R,6,0),IF($LB292=100%,VLOOKUP($AW292,'Jan-2026 rates'!$L:$R,7,0),IF($LB292=60%,VLOOKUP($AW292,'Jan-2026 rates'!$L:$S,8,0),IF($LB292=80%,VLOOKUP($AW292,'Jan-2026 rates'!L:T,9,0),0))))))))</f>
        <v>0</v>
      </c>
      <c r="AZ292" s="412"/>
      <c r="BA292" s="409"/>
      <c r="BB292" s="411">
        <f>IF(BA292=0,0,IF($LB292=70%,VLOOKUP($AW292,'Jan-2026 rates'!$L:$R,4,0),IF($LB292=65%,VLOOKUP($AW292,'Jan-2026 rates'!$L:$R,4,0),IF($LB292=40%,VLOOKUP($AW292,'Jan-2026 rates'!$L:$R,5,0),IF($LB292=30%,VLOOKUP($AW292,'Jan-2026 rates'!$L:$R,6,0),IF($LB292=100%,VLOOKUP($AW292,'Jan-2026 rates'!$L:$R,7,0),IF($LB292=60%,VLOOKUP($AW292,'Jan-2026 rates'!$L:$S,8,0),IF($LB292=80%,VLOOKUP($AW292,'Jan-2026 rates'!L:T,9,0),0))))))))</f>
        <v>0</v>
      </c>
      <c r="BC292" s="413">
        <v>26524000032</v>
      </c>
      <c r="BD292" s="412"/>
      <c r="BE292" s="412"/>
      <c r="BF292" s="413"/>
      <c r="BG292" s="412"/>
      <c r="BH292" s="412"/>
      <c r="BI292" s="412"/>
      <c r="BJ292" s="412"/>
      <c r="BK292" s="409">
        <v>2</v>
      </c>
      <c r="BL292" s="398" t="e">
        <f>IF(BK292=0,0,IF(LEN(BC292)=11,_xlfn.XLOOKUP(BC292,'Dispensed Ink Rates'!C:C,'Dispensed Ink Rates'!CS:CS),VLOOKUP(BC292,'Jan-2026 rates'!$E:$F,2,0)))</f>
        <v>#N/A</v>
      </c>
      <c r="BM292" s="409"/>
      <c r="BN292" s="398">
        <f>IF(BM292=0,0,IF(LEN(BD292)=11,_xlfn.XLOOKUP(BD292,'Dispensed Ink Rates'!C:C,'Dispensed Ink Rates'!CS:CS),VLOOKUP(BD292,'Jan-2026 rates'!$E:$F,2,0)))</f>
        <v>0</v>
      </c>
      <c r="BO292" s="409"/>
      <c r="BP292" s="398">
        <f>IF(BO292=0,0,IF(LEN(BE292)=11,_xlfn.XLOOKUP(BE292,'Dispensed Ink Rates'!C:C,'Dispensed Ink Rates'!CS:CS),VLOOKUP(BE292,'Jan-2026 rates'!$E:$F,2,0)))</f>
        <v>0</v>
      </c>
      <c r="BQ292" s="409"/>
      <c r="BR292" s="398">
        <f>IF(BQ292=0,0,IF(LEN(BF292)=11,_xlfn.XLOOKUP(BF292,'Dispensed Ink Rates'!C:C,'Dispensed Ink Rates'!CS:CS),VLOOKUP(BF292,'Jan-2026 rates'!$E:$F,2,0)))</f>
        <v>0</v>
      </c>
      <c r="BS292" s="409"/>
      <c r="BT292" s="398">
        <f>IF(BS292=0,0,IF(LEN(BG292)=11,_xlfn.XLOOKUP(BG292,'Dispensed Ink Rates'!C:C,'Dispensed Ink Rates'!CS:CS),VLOOKUP(BG292,'Jan-2026 rates'!$E:$F,2,0)))</f>
        <v>0</v>
      </c>
      <c r="BU292" s="409"/>
      <c r="BV292" s="398">
        <f>IF(BU292=0,0,IF(LEN(BH292)=11,_xlfn.XLOOKUP(BH292,'Dispensed Ink Rates'!C:C,'Dispensed Ink Rates'!CS:CS),VLOOKUP(BH292,'Jan-2026 rates'!$E:$F,2,0)))</f>
        <v>0</v>
      </c>
      <c r="BW292" s="409"/>
      <c r="BX292" s="398">
        <f>IF(BW292=0,0,IF(LEN(BI292)=11,_xlfn.XLOOKUP(BI292,'Dispensed Ink Rates'!C:C,'Dispensed Ink Rates'!CS:CS),VLOOKUP(BI292,'Jan-2026 rates'!$E:$F,2,0)))</f>
        <v>0</v>
      </c>
      <c r="BY292" s="409"/>
      <c r="BZ292" s="398">
        <f>IF(BY292=0,0,IF(LEN(BJ292)=11,_xlfn.XLOOKUP(BJ292,'Dispensed Ink Rates'!C:C,'Dispensed Ink Rates'!CS:CS),VLOOKUP(BJ292,'Jan-2026 rates'!$E:$F,2,0)))</f>
        <v>0</v>
      </c>
      <c r="CA292" s="409" t="s">
        <v>1443</v>
      </c>
      <c r="CB292" s="409">
        <v>30</v>
      </c>
      <c r="CC292" s="411">
        <f t="shared" si="215"/>
        <v>0</v>
      </c>
      <c r="CD292" s="411">
        <f t="shared" si="216"/>
        <v>12.212121212121211</v>
      </c>
      <c r="CE292" s="410">
        <f t="shared" si="217"/>
        <v>0</v>
      </c>
      <c r="CF292" s="404" t="s">
        <v>543</v>
      </c>
      <c r="CG292" s="409"/>
      <c r="CH292" s="420" t="str">
        <f t="shared" si="185"/>
        <v>FLINTSL - BLACK</v>
      </c>
      <c r="CI292" s="409"/>
      <c r="CJ292" s="411">
        <f>IF(CI292=0,0,IF($LB292=70%,VLOOKUP($CH292,'Jan-2026 rates'!$L:$R,4,0),IF($LB292=65%,VLOOKUP($CH292,'Jan-2026 rates'!$L:$R,4,0),IF($LB292=40%,VLOOKUP($CH292,'Jan-2026 rates'!$L:$R,5,0),IF($LB292=30%,VLOOKUP($CH292,'Jan-2026 rates'!$L:$R,6,0),IF($LB292=100%,VLOOKUP($CH292,'Jan-2026 rates'!$L:$R,7,0),IF($LB292=60%,VLOOKUP($CH292,'Jan-2026 rates'!$L:$S,8,0),IF($LB292=80%,VLOOKUP($CH292,'Jan-2026 rates'!L:T,9,0),0))))))))</f>
        <v>0</v>
      </c>
      <c r="CK292" s="412"/>
      <c r="CL292" s="409"/>
      <c r="CM292" s="411">
        <f>IF(CL292=0,0,IF($LB292=70%,VLOOKUP($CH292,'Jan-2026 rates'!$L:$R,4,0),IF($LB292=65%,VLOOKUP($CH292,'Jan-2026 rates'!$L:$R,4,0),IF($LB292=40%,VLOOKUP($CH292,'Jan-2026 rates'!$L:$R,5,0),IF($LB292=30%,VLOOKUP($CH292,'Jan-2026 rates'!$L:$R,6,0),IF($LB292=100%,VLOOKUP($CH292,'Jan-2026 rates'!$L:$R,7,0),IF($LB292=60%,VLOOKUP($CH292,'Jan-2026 rates'!$L:$S,8,0),IF($LB292=80%,VLOOKUP($CH292,'Jan-2026 rates'!L:T,9,0),0))))))))</f>
        <v>0</v>
      </c>
      <c r="CN292" s="426">
        <v>26523000017</v>
      </c>
      <c r="CO292" s="427">
        <v>26524000011</v>
      </c>
      <c r="CP292" s="426">
        <v>26524000017</v>
      </c>
      <c r="CQ292" s="426">
        <v>26524000016</v>
      </c>
      <c r="CR292" s="428">
        <v>26524000015</v>
      </c>
      <c r="CS292" s="428"/>
      <c r="CT292" s="428"/>
      <c r="CU292" s="428"/>
      <c r="CV292" s="409">
        <v>4</v>
      </c>
      <c r="CW292" s="398" t="e">
        <f>IF(CV292=0,0,IF(LEN(CN292)=11,_xlfn.XLOOKUP(CN292,'Dispensed Ink Rates'!C:C,'Dispensed Ink Rates'!CS:CS),VLOOKUP(CN292,'Jan-2026 rates'!$E:$F,2,0)))</f>
        <v>#N/A</v>
      </c>
      <c r="CX292" s="409">
        <v>40</v>
      </c>
      <c r="CY292" s="398" t="e">
        <f>IF(CX292=0,0,IF(LEN(CO292)=11,_xlfn.XLOOKUP(CO292,'Dispensed Ink Rates'!C:C,'Dispensed Ink Rates'!CS:CS),VLOOKUP(CO292,'Jan-2026 rates'!$E:$F,2,0)))</f>
        <v>#N/A</v>
      </c>
      <c r="CZ292" s="409">
        <v>40</v>
      </c>
      <c r="DA292" s="398" t="e">
        <f>IF(CZ292=0,0,IF(LEN(CP292)=11,_xlfn.XLOOKUP(CP292,'Dispensed Ink Rates'!C:C,'Dispensed Ink Rates'!CS:CS),VLOOKUP(CP292,'Jan-2026 rates'!$E:$F,2,0)))</f>
        <v>#N/A</v>
      </c>
      <c r="DB292" s="409">
        <v>20</v>
      </c>
      <c r="DC292" s="398" t="e">
        <f>IF(DB292=0,0,IF(LEN(CQ292)=11,_xlfn.XLOOKUP(CQ292,'Dispensed Ink Rates'!C:C,'Dispensed Ink Rates'!CS:CS),VLOOKUP(CQ292,'Jan-2026 rates'!$E:$F,2,0)))</f>
        <v>#N/A</v>
      </c>
      <c r="DD292" s="409">
        <v>20</v>
      </c>
      <c r="DE292" s="398" t="e">
        <f>IF(DD292=0,0,IF(LEN(CR292)=11,_xlfn.XLOOKUP(CR292,'Dispensed Ink Rates'!C:C,'Dispensed Ink Rates'!CS:CS),VLOOKUP(CR292,'Jan-2026 rates'!$E:$F,2,0)))</f>
        <v>#N/A</v>
      </c>
      <c r="DF292" s="409"/>
      <c r="DG292" s="398">
        <f>IF(DF292=0,0,IF(LEN(CS292)=11,_xlfn.XLOOKUP(CS292,'Dispensed Ink Rates'!C:C,'Dispensed Ink Rates'!CS:CS),VLOOKUP(CS292,'Jan-2026 rates'!$E:$F,2,0)))</f>
        <v>0</v>
      </c>
      <c r="DH292" s="409"/>
      <c r="DI292" s="398">
        <f>IF(DH292=0,0,IF(LEN(CT292)=11,_xlfn.XLOOKUP(CT292,'Dispensed Ink Rates'!C:C,'Dispensed Ink Rates'!CS:CS),VLOOKUP(CT292,'Jan-2026 rates'!$E:$F,2,0)))</f>
        <v>0</v>
      </c>
      <c r="DJ292" s="409"/>
      <c r="DK292" s="398">
        <f>IF(DJ292=0,0,IF(LEN(CU292)=11,_xlfn.XLOOKUP(CU292,'Dispensed Ink Rates'!C:C,'Dispensed Ink Rates'!CS:CS),VLOOKUP(CU292,'Jan-2026 rates'!$E:$F,2,0)))</f>
        <v>0</v>
      </c>
      <c r="DL292" s="409" t="s">
        <v>1443</v>
      </c>
      <c r="DM292" s="409">
        <v>23</v>
      </c>
      <c r="DN292" s="411">
        <f t="shared" si="218"/>
        <v>0</v>
      </c>
      <c r="DO292" s="411">
        <f t="shared" si="219"/>
        <v>121.42424242424244</v>
      </c>
      <c r="DP292" s="410">
        <f t="shared" si="220"/>
        <v>0</v>
      </c>
      <c r="DQ292" s="405" t="s">
        <v>545</v>
      </c>
      <c r="DR292" s="409" t="s">
        <v>4364</v>
      </c>
      <c r="DS292" s="420" t="str">
        <f t="shared" si="186"/>
        <v>FLINTSL - YELLOW</v>
      </c>
      <c r="DT292" s="409">
        <f>15+5</f>
        <v>20</v>
      </c>
      <c r="DU292" s="411">
        <f>IF(DT292=0,0,IF($LB292=70%,VLOOKUP($DS292,'Jan-2026 rates'!$L:$R,4,0),IF($LB292=65%,VLOOKUP($DS292,'Jan-2026 rates'!$L:$R,4,0),IF($LB292=40%,VLOOKUP($DS292,'Jan-2026 rates'!$L:$R,5,0),IF($LB292=30%,VLOOKUP($DS292,'Jan-2026 rates'!$L:$R,6,0),IF($LB292=100%,VLOOKUP($DS292,'Jan-2026 rates'!$L:$R,7,0),IF($LB292=60%,VLOOKUP($DS292,'Jan-2026 rates'!$L:$S,8,0),IF($LB292=80%,VLOOKUP($DS292,'Jan-2026 rates'!L:T,9,0),0))))))))</f>
        <v>0</v>
      </c>
      <c r="DV292" s="412"/>
      <c r="DW292" s="409"/>
      <c r="DX292" s="411">
        <f>IF(DW292=0,0,IF($LB292=70%,VLOOKUP($DS292,'Jan-2026 rates'!$L:$R,4,0),IF($LB292=65%,VLOOKUP($DS292,'Jan-2026 rates'!$L:$R,4,0),IF($LB292=40%,VLOOKUP($DS292,'Jan-2026 rates'!$L:$R,5,0),IF($LB292=30%,VLOOKUP($DS292,'Jan-2026 rates'!$L:$R,6,0),IF($LB292=100%,VLOOKUP($DS292,'Jan-2026 rates'!$L:$R,7,0),IF($LB292=60%,VLOOKUP($DS292,'Jan-2026 rates'!$L:$S,8,0),IF($LB292=80%,VLOOKUP($DS292,'Jan-2026 rates'!L:T,9,0),0))))))))</f>
        <v>0</v>
      </c>
      <c r="DY292" s="413">
        <v>26524000032</v>
      </c>
      <c r="DZ292" s="413">
        <v>26524000022</v>
      </c>
      <c r="EA292" s="412" t="s">
        <v>1646</v>
      </c>
      <c r="EB292" s="412"/>
      <c r="EC292" s="412"/>
      <c r="ED292" s="412"/>
      <c r="EE292" s="412"/>
      <c r="EF292" s="412"/>
      <c r="EG292" s="409">
        <v>1</v>
      </c>
      <c r="EH292" s="398" t="e">
        <f>IF(EG292=0,0,IF(LEN(DY292)=11,_xlfn.XLOOKUP(DY292,'Dispensed Ink Rates'!C:C,'Dispensed Ink Rates'!CS:CS),VLOOKUP(DY292,'Jan-2026 rates'!$E:$F,2,0)))</f>
        <v>#N/A</v>
      </c>
      <c r="EI292" s="409">
        <v>0.3</v>
      </c>
      <c r="EJ292" s="398" t="e">
        <f>IF(EI292=0,0,IF(LEN(DZ292)=11,_xlfn.XLOOKUP(DZ292,'Dispensed Ink Rates'!C:C,'Dispensed Ink Rates'!CS:CS),VLOOKUP(DZ292,'Jan-2026 rates'!$E:$F,2,0)))</f>
        <v>#N/A</v>
      </c>
      <c r="EK292" s="409">
        <v>4</v>
      </c>
      <c r="EL292" s="398">
        <f>IF(EK292=0,0,IF(LEN(EA292)=11,_xlfn.XLOOKUP(EA292,'Dispensed Ink Rates'!C:C,'Dispensed Ink Rates'!CS:CS),VLOOKUP(EA292,'Jan-2026 rates'!$E:$F,2,0)))</f>
        <v>0</v>
      </c>
      <c r="EM292" s="409"/>
      <c r="EN292" s="398">
        <f>IF(EM292=0,0,IF(LEN(EB292)=11,_xlfn.XLOOKUP(EB292,'Dispensed Ink Rates'!C:C,'Dispensed Ink Rates'!CS:CS),VLOOKUP(EB292,'Jan-2026 rates'!$E:$F,2,0)))</f>
        <v>0</v>
      </c>
      <c r="EO292" s="409"/>
      <c r="EP292" s="398">
        <f>IF(EO292=0,0,IF(LEN(EC292)=11,_xlfn.XLOOKUP(EC292,'Dispensed Ink Rates'!C:C,'Dispensed Ink Rates'!CS:CS),VLOOKUP(EC292,'Jan-2026 rates'!$E:$F,2,0)))</f>
        <v>0</v>
      </c>
      <c r="EQ292" s="409"/>
      <c r="ER292" s="398">
        <f>IF(EQ292=0,0,IF(LEN(ED292)=11,_xlfn.XLOOKUP(ED292,'Dispensed Ink Rates'!C:C,'Dispensed Ink Rates'!CS:CS),VLOOKUP(ED292,'Jan-2026 rates'!$E:$F,2,0)))</f>
        <v>0</v>
      </c>
      <c r="ES292" s="409"/>
      <c r="ET292" s="398">
        <f>IF(ES292=0,0,IF(LEN(EE292)=11,_xlfn.XLOOKUP(EE292,'Dispensed Ink Rates'!C:C,'Dispensed Ink Rates'!CS:CS),VLOOKUP(EE292,'Jan-2026 rates'!$E:$F,2,0)))</f>
        <v>0</v>
      </c>
      <c r="EU292" s="409"/>
      <c r="EV292" s="398">
        <f>IF(EU292=0,0,IF(LEN(EF292)=11,_xlfn.XLOOKUP(EF292,'Dispensed Ink Rates'!C:C,'Dispensed Ink Rates'!CS:CS),VLOOKUP(EF292,'Jan-2026 rates'!$E:$F,2,0)))</f>
        <v>0</v>
      </c>
      <c r="EW292" s="409" t="s">
        <v>1443</v>
      </c>
      <c r="EX292" s="409">
        <v>25</v>
      </c>
      <c r="EY292" s="411">
        <f t="shared" si="221"/>
        <v>0</v>
      </c>
      <c r="EZ292" s="411">
        <f t="shared" si="222"/>
        <v>14.596969696969701</v>
      </c>
      <c r="FA292" s="410">
        <f t="shared" si="223"/>
        <v>0</v>
      </c>
      <c r="FB292" s="405" t="s">
        <v>855</v>
      </c>
      <c r="FC292" s="409" t="s">
        <v>4365</v>
      </c>
      <c r="FD292" s="420" t="str">
        <f t="shared" si="187"/>
        <v>FLINTSL - CYAN</v>
      </c>
      <c r="FE292" s="409">
        <v>26</v>
      </c>
      <c r="FF292" s="411">
        <f>IF(FE292=0,0,IF($LB292=70%,VLOOKUP($FD292,'Jan-2026 rates'!$L:$R,4,0),IF($LB292=65%,VLOOKUP($FD292,'Jan-2026 rates'!$L:$R,4,0),IF($LB292=40%,VLOOKUP($FD292,'Jan-2026 rates'!$L:$R,5,0),IF($LB292=30%,VLOOKUP($FD292,'Jan-2026 rates'!$L:$R,6,0),IF($LB292=100%,VLOOKUP($FD292,'Jan-2026 rates'!$L:$R,7,0),IF($LB292=60%,VLOOKUP($FD292,'Jan-2026 rates'!$L:$S,8,0),IF($LB292=80%,VLOOKUP($FD292,'Jan-2026 rates'!L:T,9,0),0))))))))</f>
        <v>0</v>
      </c>
      <c r="FG292" s="412"/>
      <c r="FH292" s="409"/>
      <c r="FI292" s="411">
        <f>IF(FH292=0,0,IF($LB292=70%,VLOOKUP($FD292,'Jan-2026 rates'!$L:$R,4,0),IF($LB292=65%,VLOOKUP($FD292,'Jan-2026 rates'!$L:$R,4,0),IF($LB292=40%,VLOOKUP($FD292,'Jan-2026 rates'!$L:$R,5,0),IF($LB292=30%,VLOOKUP($FD292,'Jan-2026 rates'!$L:$R,6,0),IF($LB292=100%,VLOOKUP($FD292,'Jan-2026 rates'!$L:$R,7,0),IF($LB292=60%,VLOOKUP($FD292,'Jan-2026 rates'!$L:$S,8,0),IF($LB292=80%,VLOOKUP($FD292,'Jan-2026 rates'!L:T,9,0),0))))))))</f>
        <v>0</v>
      </c>
      <c r="FJ292" s="413" t="s">
        <v>1266</v>
      </c>
      <c r="FK292" s="413"/>
      <c r="FL292" s="413"/>
      <c r="FM292" s="412"/>
      <c r="FN292" s="412"/>
      <c r="FO292" s="412"/>
      <c r="FP292" s="412"/>
      <c r="FQ292" s="412"/>
      <c r="FR292" s="409">
        <v>5</v>
      </c>
      <c r="FS292" s="398">
        <f>IF(FR292=0,0,IF(LEN(FJ292)=11,_xlfn.XLOOKUP(FJ292,'Dispensed Ink Rates'!C:C,'Dispensed Ink Rates'!CS:CS),VLOOKUP(FJ292,'Jan-2026 rates'!$E:$F,2,0)))</f>
        <v>0</v>
      </c>
      <c r="FT292" s="409"/>
      <c r="FU292" s="398">
        <f>IF(FT292=0,0,IF(LEN(FK292)=11,_xlfn.XLOOKUP(FK292,'Dispensed Ink Rates'!C:C,'Dispensed Ink Rates'!CS:CS),VLOOKUP(FK292,'Jan-2026 rates'!$E:$F,2,0)))</f>
        <v>0</v>
      </c>
      <c r="FV292" s="409"/>
      <c r="FW292" s="398">
        <f>IF(FV292=0,0,IF(LEN(FL292)=11,_xlfn.XLOOKUP(FL292,'Dispensed Ink Rates'!C:C,'Dispensed Ink Rates'!CS:CS),VLOOKUP(FL292,'Jan-2026 rates'!$E:$F,2,0)))</f>
        <v>0</v>
      </c>
      <c r="FX292" s="409"/>
      <c r="FY292" s="398">
        <f>IF(FX292=0,0,IF(LEN(FM292)=11,_xlfn.XLOOKUP(FM292,'Dispensed Ink Rates'!C:C,'Dispensed Ink Rates'!CS:CS),VLOOKUP(FM292,'Jan-2026 rates'!$E:$F,2,0)))</f>
        <v>0</v>
      </c>
      <c r="FZ292" s="409"/>
      <c r="GA292" s="398">
        <f>IF(FZ292=0,0,IF(LEN(FN292)=11,_xlfn.XLOOKUP(FN292,'Dispensed Ink Rates'!C:C,'Dispensed Ink Rates'!CS:CS),VLOOKUP(FN292,'Jan-2026 rates'!$E:$F,2,0)))</f>
        <v>0</v>
      </c>
      <c r="GB292" s="409"/>
      <c r="GC292" s="398">
        <f>IF(GB292=0,0,IF(LEN(FO292)=11,_xlfn.XLOOKUP(FO292,'Dispensed Ink Rates'!C:C,'Dispensed Ink Rates'!CS:CS),VLOOKUP(FO292,'Jan-2026 rates'!$E:$F,2,0)))</f>
        <v>0</v>
      </c>
      <c r="GD292" s="409"/>
      <c r="GE292" s="398">
        <f>IF(GD292=0,0,IF(LEN(FP292)=11,_xlfn.XLOOKUP(FP292,'Dispensed Ink Rates'!C:C,'Dispensed Ink Rates'!CS:CS),VLOOKUP(FP292,'Jan-2026 rates'!$E:$F,2,0)))</f>
        <v>0</v>
      </c>
      <c r="GF292" s="409"/>
      <c r="GG292" s="398">
        <f>IF(GF292=0,0,IF(LEN(FQ292)=11,_xlfn.XLOOKUP(FQ292,'Dispensed Ink Rates'!C:C,'Dispensed Ink Rates'!CS:CS),VLOOKUP(FQ292,'Jan-2026 rates'!$E:$F,2,0)))</f>
        <v>0</v>
      </c>
      <c r="GH292" s="409" t="s">
        <v>1443</v>
      </c>
      <c r="GI292" s="409">
        <v>40</v>
      </c>
      <c r="GJ292" s="411">
        <f t="shared" si="224"/>
        <v>0</v>
      </c>
      <c r="GK292" s="411">
        <f t="shared" si="225"/>
        <v>1.212121212121211</v>
      </c>
      <c r="GL292" s="410">
        <f t="shared" si="226"/>
        <v>0</v>
      </c>
      <c r="GM292" s="405" t="s">
        <v>544</v>
      </c>
      <c r="GN292" s="409" t="s">
        <v>4366</v>
      </c>
      <c r="GO292" s="420" t="str">
        <f t="shared" si="188"/>
        <v>FLINTSL - MAGENTA</v>
      </c>
      <c r="GP292" s="409">
        <v>24</v>
      </c>
      <c r="GQ292" s="411">
        <f>IF(GP292=0,0,IF($LB292=70%,VLOOKUP($GO292,'Jan-2026 rates'!$L:$R,4,0),IF($LB292=65%,VLOOKUP($GO292,'Jan-2026 rates'!$L:$R,4,0),IF($LB292=40%,VLOOKUP($GO292,'Jan-2026 rates'!$L:$R,5,0),IF($LB292=30%,VLOOKUP($GO292,'Jan-2026 rates'!$L:$R,6,0),IF($LB292=100%,VLOOKUP($GO292,'Jan-2026 rates'!$L:$R,7,0),IF($LB292=60%,VLOOKUP($GO292,'Jan-2026 rates'!$L:$S,8,0),IF($LB292=80%,VLOOKUP($GO292,'Jan-2026 rates'!L:T,9,0),0))))))))</f>
        <v>0</v>
      </c>
      <c r="GR292" s="412"/>
      <c r="GS292" s="409"/>
      <c r="GT292" s="411">
        <f>IF(GS292=0,0,IF($LB292=70%,VLOOKUP($GO292,'Jan-2026 rates'!$L:$R,4,0),IF($LB292=65%,VLOOKUP($GO292,'Jan-2026 rates'!$L:$R,4,0),IF($LB292=40%,VLOOKUP($GO292,'Jan-2026 rates'!$L:$R,5,0),IF($LB292=30%,VLOOKUP($GO292,'Jan-2026 rates'!$L:$R,6,0),IF($LB292=100%,VLOOKUP($GO292,'Jan-2026 rates'!$L:$R,7,0),IF($LB292=60%,VLOOKUP($GO292,'Jan-2026 rates'!$L:$S,8,0),IF($LB292=80%,VLOOKUP($GO292,'Jan-2026 rates'!L:T,9,0),0))))))))</f>
        <v>0</v>
      </c>
      <c r="GU292" s="413">
        <v>26524000022</v>
      </c>
      <c r="GV292" s="413" t="s">
        <v>1266</v>
      </c>
      <c r="GW292" s="412"/>
      <c r="GX292" s="412"/>
      <c r="GY292" s="412"/>
      <c r="GZ292" s="412"/>
      <c r="HA292" s="412"/>
      <c r="HB292" s="412"/>
      <c r="HC292" s="409">
        <v>2</v>
      </c>
      <c r="HD292" s="398" t="e">
        <f>IF(HC292=0,0,IF(LEN(GU292)=11,_xlfn.XLOOKUP(GU292,'Dispensed Ink Rates'!C:C,'Dispensed Ink Rates'!CS:CS),VLOOKUP(GU292,'Jan-2026 rates'!$E:$F,2,0)))</f>
        <v>#N/A</v>
      </c>
      <c r="HE292" s="409">
        <v>6</v>
      </c>
      <c r="HF292" s="398">
        <f>IF(HE292=0,0,IF(LEN(GV292)=11,_xlfn.XLOOKUP(GV292,'Dispensed Ink Rates'!C:C,'Dispensed Ink Rates'!CS:CS),VLOOKUP(GV292,'Jan-2026 rates'!$E:$F,2,0)))</f>
        <v>0</v>
      </c>
      <c r="HG292" s="409"/>
      <c r="HH292" s="398">
        <f>IF(HG292=0,0,IF(LEN(GW292)=11,_xlfn.XLOOKUP(GW292,'Dispensed Ink Rates'!C:C,'Dispensed Ink Rates'!CS:CS),VLOOKUP(GW292,'Jan-2026 rates'!$E:$F,2,0)))</f>
        <v>0</v>
      </c>
      <c r="HI292" s="409"/>
      <c r="HJ292" s="398">
        <f>IF(HI292=0,0,IF(LEN(GX292)=11,_xlfn.XLOOKUP(GX292,'Dispensed Ink Rates'!C:C,'Dispensed Ink Rates'!CS:CS),VLOOKUP(GX292,'Jan-2026 rates'!$E:$F,2,0)))</f>
        <v>0</v>
      </c>
      <c r="HK292" s="409"/>
      <c r="HL292" s="398">
        <f>IF(HK292=0,0,IF(LEN(GY292)=11,_xlfn.XLOOKUP(GY292,'Dispensed Ink Rates'!C:C,'Dispensed Ink Rates'!CS:CS),VLOOKUP(GY292,'Jan-2026 rates'!$E:$F,2,0)))</f>
        <v>0</v>
      </c>
      <c r="HM292" s="409"/>
      <c r="HN292" s="398">
        <f>IF(HM292=0,0,IF(LEN(GZ292)=11,_xlfn.XLOOKUP(GZ292,'Dispensed Ink Rates'!C:C,'Dispensed Ink Rates'!CS:CS),VLOOKUP(GZ292,'Jan-2026 rates'!$E:$F,2,0)))</f>
        <v>0</v>
      </c>
      <c r="HO292" s="409"/>
      <c r="HP292" s="398">
        <f>IF(HO292=0,0,IF(LEN(HA292)=11,_xlfn.XLOOKUP(HA292,'Dispensed Ink Rates'!C:C,'Dispensed Ink Rates'!CS:CS),VLOOKUP(HA292,'Jan-2026 rates'!$E:$F,2,0)))</f>
        <v>0</v>
      </c>
      <c r="HQ292" s="409"/>
      <c r="HR292" s="398">
        <f>IF(HQ292=0,0,IF(LEN(HB292)=11,_xlfn.XLOOKUP(HB292,'Dispensed Ink Rates'!C:C,'Dispensed Ink Rates'!CS:CS),VLOOKUP(HB292,'Jan-2026 rates'!$E:$F,2,0)))</f>
        <v>0</v>
      </c>
      <c r="HS292" s="409" t="s">
        <v>1443</v>
      </c>
      <c r="HT292" s="409">
        <v>30</v>
      </c>
      <c r="HU292" s="411">
        <f t="shared" si="227"/>
        <v>0</v>
      </c>
      <c r="HV292" s="411">
        <f t="shared" si="228"/>
        <v>12.212121212121211</v>
      </c>
      <c r="HW292" s="414">
        <f t="shared" si="229"/>
        <v>0</v>
      </c>
      <c r="HX292" s="405" t="s">
        <v>545</v>
      </c>
      <c r="HY292" s="409" t="s">
        <v>4367</v>
      </c>
      <c r="HZ292" s="420" t="str">
        <f t="shared" si="189"/>
        <v>FLINTSL - YELLOW</v>
      </c>
      <c r="IA292" s="409">
        <v>24</v>
      </c>
      <c r="IB292" s="411">
        <f>IF(IA292=0,0,IF($LB292=70%,VLOOKUP($HZ292,'Jan-2026 rates'!$L:$R,4,0),IF($LB292=65%,VLOOKUP($HZ292,'Jan-2026 rates'!$L:$R,4,0),IF($LB292=40%,VLOOKUP($HZ292,'Jan-2026 rates'!$L:$R,5,0),IF($LB292=30%,VLOOKUP($HZ292,'Jan-2026 rates'!$L:$R,6,0),IF($LB292=100%,VLOOKUP($HZ292,'Jan-2026 rates'!$L:$R,7,0),IF($LB292=60%,VLOOKUP($HZ292,'Jan-2026 rates'!$L:$S,8,0),IF($LB292=80%,VLOOKUP($HZ292,'Jan-2026 rates'!L:T,9,0),0))))))))</f>
        <v>0</v>
      </c>
      <c r="IC292" s="412"/>
      <c r="ID292" s="409"/>
      <c r="IE292" s="411">
        <f>IF(ID292=0,0,IF($LB292=70%,VLOOKUP($HZ292,'Jan-2026 rates'!$L:$R,4,0),IF($LB292=65%,VLOOKUP($HZ292,'Jan-2026 rates'!$L:$R,4,0),IF($LB292=40%,VLOOKUP($HZ292,'Jan-2026 rates'!$L:$R,5,0),IF($LB292=30%,VLOOKUP($HZ292,'Jan-2026 rates'!$L:$R,6,0),IF($LB292=100%,VLOOKUP($HZ292,'Jan-2026 rates'!$L:$R,7,0),IF($LB292=60%,VLOOKUP($HZ292,'Jan-2026 rates'!$L:$S,8,0),IF($LB292=80%,VLOOKUP($HZ292,'Jan-2026 rates'!L:T,9,0),0))))))))</f>
        <v>0</v>
      </c>
      <c r="IF292" s="412" t="s">
        <v>1646</v>
      </c>
      <c r="IG292" s="413"/>
      <c r="IH292" s="412"/>
      <c r="II292" s="412"/>
      <c r="IJ292" s="412"/>
      <c r="IK292" s="412"/>
      <c r="IL292" s="412"/>
      <c r="IM292" s="412"/>
      <c r="IN292" s="409">
        <v>10</v>
      </c>
      <c r="IO292" s="398">
        <f>IF(IN292=0,0,IF(LEN(IF292)=11,_xlfn.XLOOKUP(IF292,'Dispensed Ink Rates'!C:C,'Dispensed Ink Rates'!CS:CS),VLOOKUP(IF292,'Jan-2026 rates'!$E:$F,2,0)))</f>
        <v>0</v>
      </c>
      <c r="IP292" s="409"/>
      <c r="IQ292" s="398">
        <f>IF(IP292=0,0,IF(LEN(IG292)=11,_xlfn.XLOOKUP(IG292,'Dispensed Ink Rates'!C:C,'Dispensed Ink Rates'!CS:CS),VLOOKUP(IG292,'Jan-2026 rates'!$E:$F,2,0)))</f>
        <v>0</v>
      </c>
      <c r="IR292" s="409"/>
      <c r="IS292" s="398">
        <f>IF(IR292=0,0,IF(LEN(IH292)=11,_xlfn.XLOOKUP(IH292,'Dispensed Ink Rates'!C:C,'Dispensed Ink Rates'!CS:CS),VLOOKUP(IH292,'Jan-2026 rates'!$E:$F,2,0)))</f>
        <v>0</v>
      </c>
      <c r="IT292" s="409"/>
      <c r="IU292" s="398">
        <f>IF(IT292=0,0,IF(LEN(II292)=11,_xlfn.XLOOKUP(II292,'Dispensed Ink Rates'!C:C,'Dispensed Ink Rates'!CS:CS),VLOOKUP(II292,'Jan-2026 rates'!$E:$F,2,0)))</f>
        <v>0</v>
      </c>
      <c r="IV292" s="409"/>
      <c r="IW292" s="398">
        <f>IF(IV292=0,0,IF(LEN(IJ292)=11,_xlfn.XLOOKUP(IJ292,'Dispensed Ink Rates'!C:C,'Dispensed Ink Rates'!CS:CS),VLOOKUP(IJ292,'Jan-2026 rates'!$E:$F,2,0)))</f>
        <v>0</v>
      </c>
      <c r="IX292" s="409"/>
      <c r="IY292" s="398">
        <f>IF(IX292=0,0,IF(LEN(IK292)=11,_xlfn.XLOOKUP(IK292,'Dispensed Ink Rates'!C:C,'Dispensed Ink Rates'!CS:CS),VLOOKUP(IK292,'Jan-2026 rates'!$E:$F,2,0)))</f>
        <v>0</v>
      </c>
      <c r="IZ292" s="409"/>
      <c r="JA292" s="398">
        <f>IF(IZ292=0,0,IF(LEN(IL292)=11,_xlfn.XLOOKUP(IL292,'Dispensed Ink Rates'!C:C,'Dispensed Ink Rates'!CS:CS),VLOOKUP(IL292,'Jan-2026 rates'!$E:$F,2,0)))</f>
        <v>0</v>
      </c>
      <c r="JB292" s="409"/>
      <c r="JC292" s="398">
        <f>IF(JB292=0,0,IF(LEN(IM292)=11,_xlfn.XLOOKUP(IM292,'Dispensed Ink Rates'!C:C,'Dispensed Ink Rates'!CS:CS),VLOOKUP(IM292,'Jan-2026 rates'!$E:$F,2,0)))</f>
        <v>0</v>
      </c>
      <c r="JD292" s="409" t="s">
        <v>1443</v>
      </c>
      <c r="JE292" s="409">
        <v>27</v>
      </c>
      <c r="JF292" s="411">
        <f t="shared" si="230"/>
        <v>0</v>
      </c>
      <c r="JG292" s="411">
        <f t="shared" si="231"/>
        <v>27.424242424242422</v>
      </c>
      <c r="JH292" s="410">
        <f t="shared" si="232"/>
        <v>0</v>
      </c>
      <c r="JI292" s="405" t="s">
        <v>856</v>
      </c>
      <c r="JJ292" s="409" t="s">
        <v>4368</v>
      </c>
      <c r="JK292" s="420" t="str">
        <f t="shared" si="190"/>
        <v>FLINTSL - WHITE</v>
      </c>
      <c r="JL292" s="409">
        <v>29</v>
      </c>
      <c r="JM292" s="411">
        <f>IF(JL292=0,0,IF($LB292=70%,VLOOKUP($JK292,'Jan-2026 rates'!$L:$R,4,0),IF($LB292=65%,VLOOKUP($JK292,'Jan-2026 rates'!$L:$R,4,0),IF($LB292=40%,VLOOKUP($JK292,'Jan-2026 rates'!$L:$R,5,0),IF($LB292=30%,VLOOKUP($JK292,'Jan-2026 rates'!$L:$R,6,0),IF($LB292=100%,VLOOKUP($JK292,'Jan-2026 rates'!$L:$R,7,0),IF($LB292=60%,VLOOKUP($JK292,'Jan-2026 rates'!$L:$S,8,0),IF($LB292=80%,VLOOKUP($JK292,'Jan-2026 rates'!L:T,9,0),0))))))))</f>
        <v>0</v>
      </c>
      <c r="JN292" s="412"/>
      <c r="JO292" s="409"/>
      <c r="JP292" s="411">
        <f>IF(JO292=0,0,IF($LB292=70%,VLOOKUP($JK292,'Jan-2026 rates'!$L:$R,4,0),IF($LB292=65%,VLOOKUP($JK292,'Jan-2026 rates'!$L:$R,4,0),IF($LB292=40%,VLOOKUP($JK292,'Jan-2026 rates'!$L:$R,5,0),IF($LB292=30%,VLOOKUP($JK292,'Jan-2026 rates'!$L:$R,6,0),IF($LB292=100%,VLOOKUP($JK292,'Jan-2026 rates'!$L:$R,7,0),IF($LB292=60%,VLOOKUP($JK292,'Jan-2026 rates'!$L:$S,8,0),IF($LB292=80%,VLOOKUP($JK292,'Jan-2026 rates'!L:T,9,0),0))))))))</f>
        <v>0</v>
      </c>
      <c r="JQ292" s="413" t="s">
        <v>484</v>
      </c>
      <c r="JR292" s="412"/>
      <c r="JS292" s="413"/>
      <c r="JT292" s="413"/>
      <c r="JU292" s="412"/>
      <c r="JV292" s="412"/>
      <c r="JW292" s="412"/>
      <c r="JX292" s="412"/>
      <c r="JY292" s="409">
        <f>100+100</f>
        <v>200</v>
      </c>
      <c r="JZ292" s="398">
        <f>IF(JY292=0,0,IF(LEN(JQ292)=11,_xlfn.XLOOKUP(JQ292,'Dispensed Ink Rates'!C:C,'Dispensed Ink Rates'!CS:CS),VLOOKUP(JQ292,'Jan-2026 rates'!$E:$F,2,0)))</f>
        <v>0</v>
      </c>
      <c r="KA292" s="409"/>
      <c r="KB292" s="398">
        <f>IF(KA292=0,0,IF(LEN(JR292)=11,_xlfn.XLOOKUP(JR292,'Dispensed Ink Rates'!C:C,'Dispensed Ink Rates'!CS:CS),VLOOKUP(JR292,'Jan-2026 rates'!$E:$F,2,0)))</f>
        <v>0</v>
      </c>
      <c r="KC292" s="409"/>
      <c r="KD292" s="398">
        <f>IF(KC292=0,0,IF(LEN(JS292)=11,_xlfn.XLOOKUP(JS292,'Dispensed Ink Rates'!C:C,'Dispensed Ink Rates'!CS:CS),VLOOKUP(JS292,'Jan-2026 rates'!$E:$F,2,0)))</f>
        <v>0</v>
      </c>
      <c r="KE292" s="409"/>
      <c r="KF292" s="398">
        <f>IF(KE292=0,0,IF(LEN(JT292)=11,_xlfn.XLOOKUP(JT292,'Dispensed Ink Rates'!C:C,'Dispensed Ink Rates'!CS:CS),VLOOKUP(JT292,'Jan-2026 rates'!$E:$F,2,0)))</f>
        <v>0</v>
      </c>
      <c r="KG292" s="409"/>
      <c r="KH292" s="398">
        <f>IF(KG292=0,0,IF(LEN(JU292)=11,_xlfn.XLOOKUP(JU292,'Dispensed Ink Rates'!C:C,'Dispensed Ink Rates'!CS:CS),VLOOKUP(JU292,'Jan-2026 rates'!$E:$F,2,0)))</f>
        <v>0</v>
      </c>
      <c r="KI292" s="409"/>
      <c r="KJ292" s="398">
        <f>IF(KI292=0,0,IF(LEN(JV292)=11,_xlfn.XLOOKUP(JV292,'Dispensed Ink Rates'!C:C,'Dispensed Ink Rates'!CS:CS),VLOOKUP(JV292,'Jan-2026 rates'!$E:$F,2,0)))</f>
        <v>0</v>
      </c>
      <c r="KK292" s="409"/>
      <c r="KL292" s="398">
        <f>IF(KK292=0,0,IF(LEN(JW292)=11,_xlfn.XLOOKUP(JW292,'Dispensed Ink Rates'!C:C,'Dispensed Ink Rates'!CS:CS),VLOOKUP(JW292,'Jan-2026 rates'!$E:$F,2,0)))</f>
        <v>0</v>
      </c>
      <c r="KM292" s="428"/>
      <c r="KN292" s="398">
        <f>IF(KM292=0,0,IF(LEN(JX292)=11,_xlfn.XLOOKUP(JX292,'Dispensed Ink Rates'!C:C,'Dispensed Ink Rates'!CS:CS),VLOOKUP(JX292,'Jan-2026 rates'!$E:$F,2,0)))</f>
        <v>0</v>
      </c>
      <c r="KO292" s="409" t="s">
        <v>1443</v>
      </c>
      <c r="KP292" s="409">
        <v>24</v>
      </c>
      <c r="KQ292" s="411">
        <f t="shared" si="233"/>
        <v>0</v>
      </c>
      <c r="KR292" s="411">
        <f t="shared" si="234"/>
        <v>450.09090909090912</v>
      </c>
      <c r="KS292" s="410">
        <f t="shared" si="235"/>
        <v>0</v>
      </c>
      <c r="KT292" s="409">
        <v>3</v>
      </c>
      <c r="KU292" s="409">
        <v>5</v>
      </c>
      <c r="KV292" s="409">
        <v>10</v>
      </c>
      <c r="KW292" s="409">
        <v>7</v>
      </c>
      <c r="KX292" s="409">
        <v>5</v>
      </c>
      <c r="KY292" s="409">
        <v>5</v>
      </c>
      <c r="KZ292" s="409">
        <v>10</v>
      </c>
      <c r="LA292" s="409">
        <f>60+60</f>
        <v>120</v>
      </c>
      <c r="LB292" s="415">
        <v>0.8</v>
      </c>
      <c r="LC292" s="415">
        <v>0.2</v>
      </c>
      <c r="LD292" s="415"/>
      <c r="LE292" s="415"/>
      <c r="LF292" s="415"/>
      <c r="LG292" s="409">
        <v>0</v>
      </c>
      <c r="LH292" s="409">
        <f>120+60+112+28+5+5+7</f>
        <v>337</v>
      </c>
      <c r="LI292" s="409">
        <v>0</v>
      </c>
      <c r="LJ292" s="409">
        <v>0</v>
      </c>
      <c r="LK292" s="416">
        <f t="shared" si="191"/>
        <v>337</v>
      </c>
      <c r="LL292" s="416">
        <f t="shared" si="192"/>
        <v>337</v>
      </c>
      <c r="LM292" s="417">
        <f t="shared" si="193"/>
        <v>269.60000000000002</v>
      </c>
      <c r="LN292" s="417">
        <f>VLOOKUP($LM$8,'Jan-2026 rates'!$H:$I,2,0)</f>
        <v>0</v>
      </c>
      <c r="LO292" s="417">
        <f t="shared" si="194"/>
        <v>67.400000000000006</v>
      </c>
      <c r="LP292" s="417">
        <f>VLOOKUP($LO$8,'Jan-2026 rates'!$H:$I,2,0)</f>
        <v>0</v>
      </c>
      <c r="LQ292" s="417">
        <f t="shared" si="195"/>
        <v>0</v>
      </c>
      <c r="LR292" s="417">
        <f>VLOOKUP($LQ$8,'Jan-2026 rates'!$H:$I,2,0)</f>
        <v>0</v>
      </c>
      <c r="LS292" s="417">
        <f t="shared" si="196"/>
        <v>0</v>
      </c>
      <c r="LT292" s="417">
        <f>VLOOKUP($LS$8,'Jan-2026 rates'!$H:$I,2,0)</f>
        <v>0</v>
      </c>
      <c r="LU292" s="417">
        <f t="shared" si="197"/>
        <v>0</v>
      </c>
      <c r="LV292" s="417">
        <f>VLOOKUP($LU$8,'Jan-2026 rates'!$H:$I,2,0)</f>
        <v>0</v>
      </c>
      <c r="LW292" s="417">
        <f t="shared" si="198"/>
        <v>0</v>
      </c>
      <c r="LX292" s="417">
        <f t="shared" si="199"/>
        <v>0</v>
      </c>
      <c r="LY292" s="418">
        <f t="shared" si="200"/>
        <v>0</v>
      </c>
      <c r="LZ292" s="417"/>
      <c r="MA292" s="435">
        <f t="shared" si="201"/>
        <v>358.3</v>
      </c>
      <c r="MB292" s="282">
        <f t="shared" si="202"/>
        <v>659.30000000000007</v>
      </c>
      <c r="MC292" s="283">
        <v>185</v>
      </c>
      <c r="MD292" s="284" t="str">
        <f t="shared" si="203"/>
        <v>FLINTSLFLINTSLFLINTSLFLINTSLFLINTSLFLINTSLFLINTSLFLINTSL</v>
      </c>
      <c r="ME292" s="293" t="str">
        <f t="shared" si="204"/>
        <v>+</v>
      </c>
      <c r="MF292" s="293" t="str">
        <f t="shared" si="205"/>
        <v>+</v>
      </c>
      <c r="MG292" s="293" t="str">
        <f t="shared" si="206"/>
        <v>+</v>
      </c>
      <c r="MH292" s="293" t="str">
        <f t="shared" si="207"/>
        <v>+</v>
      </c>
      <c r="MI292" s="293" t="str">
        <f t="shared" si="208"/>
        <v>+</v>
      </c>
      <c r="MJ292" s="293" t="str">
        <f t="shared" si="209"/>
        <v>+</v>
      </c>
      <c r="MK292" s="293" t="str">
        <f t="shared" si="210"/>
        <v>+</v>
      </c>
      <c r="ML292" s="293" t="str">
        <f t="shared" si="211"/>
        <v>+</v>
      </c>
      <c r="MM292" s="3" t="b">
        <f t="array" ref="MM292">OR(ME292:ML292="-")</f>
        <v>0</v>
      </c>
      <c r="MN292" s="285"/>
      <c r="MO292" s="401"/>
      <c r="MP292" s="286"/>
      <c r="MQ292" s="286"/>
      <c r="MR292" s="402"/>
      <c r="MS292" s="400"/>
      <c r="NH292" s="422"/>
      <c r="NJ292" s="421"/>
    </row>
    <row r="293" spans="1:374" s="1" customFormat="1" ht="16.5">
      <c r="A293" s="403">
        <v>46046</v>
      </c>
      <c r="B293" s="404" t="s">
        <v>1015</v>
      </c>
      <c r="C293" s="405" t="s">
        <v>4369</v>
      </c>
      <c r="D293" s="406">
        <v>186</v>
      </c>
      <c r="E293" s="404">
        <v>16</v>
      </c>
      <c r="F293" s="407">
        <v>700</v>
      </c>
      <c r="G293" s="407" t="s">
        <v>1019</v>
      </c>
      <c r="H293" s="408" t="s">
        <v>1017</v>
      </c>
      <c r="I293" s="409">
        <v>1.25</v>
      </c>
      <c r="J293" s="405" t="s">
        <v>543</v>
      </c>
      <c r="K293" s="404" t="s">
        <v>4370</v>
      </c>
      <c r="L293" s="419" t="str">
        <f t="shared" si="184"/>
        <v>FLINTSL - BLACK</v>
      </c>
      <c r="M293" s="404">
        <v>24</v>
      </c>
      <c r="N293" s="410">
        <f>IF(M293=0,0,IF($LB293=70%,VLOOKUP($L293,'Jan-2026 rates'!$L:$R,4,0),IF($LB293=65%,VLOOKUP($L293,'Jan-2026 rates'!$L:$R,4,0),IF($LB293=40%,VLOOKUP($L293,'Jan-2026 rates'!$L:$R,5,0),IF($LB293=30%,VLOOKUP($L293,'Jan-2026 rates'!$L:$R,6,0),IF($LB293=100%,VLOOKUP($L293,'Jan-2026 rates'!$L:$R,7,0),IF($LB293=60%,VLOOKUP($L293,'Jan-2026 rates'!$L:$S,8,0),IF($LB293=80%,VLOOKUP($L293,'Jan-2026 rates'!L:T,9,0),0))))))))</f>
        <v>0</v>
      </c>
      <c r="O293" s="406"/>
      <c r="P293" s="404"/>
      <c r="Q293" s="410">
        <f>IF(P293=0,0,IF($LB293=70%,VLOOKUP($L293,'Jan-2026 rates'!$L:$R,4,0),IF($LB293=65%,VLOOKUP($L293,'Jan-2026 rates'!$L:$R,4,0),IF($LB293=40%,VLOOKUP($L293,'Jan-2026 rates'!$L:$R,5,0),IF($LB293=30%,VLOOKUP($L293,'Jan-2026 rates'!$L:$R,6,0),IF($LB293=100%,VLOOKUP($L293,'Jan-2026 rates'!$L:$R,7,0),IF($LB293=60%,VLOOKUP($L293,'Jan-2026 rates'!$L:$S,8,0),IF($LB293=80%,VLOOKUP($L293,'Jan-2026 rates'!L:T,9,0),0))))))))</f>
        <v>0</v>
      </c>
      <c r="R293" s="406">
        <v>26523000002</v>
      </c>
      <c r="S293" s="406"/>
      <c r="T293" s="406"/>
      <c r="U293" s="406"/>
      <c r="V293" s="406"/>
      <c r="W293" s="406"/>
      <c r="X293" s="406"/>
      <c r="Y293" s="406"/>
      <c r="Z293" s="404">
        <v>3</v>
      </c>
      <c r="AA293" s="398" t="e">
        <f>IF(Z293=0,0,IF(LEN(R293)=11,_xlfn.XLOOKUP(R293,'Dispensed Ink Rates'!C:C,'Dispensed Ink Rates'!CS:CS),VLOOKUP(R293,'Jan-2026 rates'!$E:$F,2,0)))</f>
        <v>#N/A</v>
      </c>
      <c r="AB293" s="404"/>
      <c r="AC293" s="398">
        <f>IF(AB293=0,0,IF(LEN(S293)=11,_xlfn.XLOOKUP(S293,'Dispensed Ink Rates'!C:C,'Dispensed Ink Rates'!CS:CS),VLOOKUP(S293,'Jan-2026 rates'!$E:$F,2,0)))</f>
        <v>0</v>
      </c>
      <c r="AD293" s="404"/>
      <c r="AE293" s="398">
        <f>IF(AD293=0,0,IF(LEN(T293)=11,_xlfn.XLOOKUP(T293,'Dispensed Ink Rates'!C:C,'Dispensed Ink Rates'!CS:CS),VLOOKUP(T293,'Jan-2026 rates'!$E:$F,2,0)))</f>
        <v>0</v>
      </c>
      <c r="AF293" s="404"/>
      <c r="AG293" s="398">
        <f>IF(AF293=0,0,IF(LEN(U293)=11,_xlfn.XLOOKUP(U293,'Dispensed Ink Rates'!C:C,'Dispensed Ink Rates'!CS:CS),VLOOKUP(U293,'Jan-2026 rates'!$E:$F,2,0)))</f>
        <v>0</v>
      </c>
      <c r="AH293" s="404"/>
      <c r="AI293" s="398">
        <f>IF(AH293=0,0,IF(LEN(V293)=11,_xlfn.XLOOKUP(V293,'Dispensed Ink Rates'!C:C,'Dispensed Ink Rates'!CS:CS),VLOOKUP(V293,'Jan-2026 rates'!$E:$F,2,0)))</f>
        <v>0</v>
      </c>
      <c r="AJ293" s="404"/>
      <c r="AK293" s="398">
        <f>IF(AJ293=0,0,IF(LEN(W293)=11,_xlfn.XLOOKUP(W293,'Dispensed Ink Rates'!C:C,'Dispensed Ink Rates'!CS:CS),VLOOKUP(W293,'Jan-2026 rates'!$E:$F,2,0)))</f>
        <v>0</v>
      </c>
      <c r="AL293" s="404"/>
      <c r="AM293" s="398">
        <f>IF(AL293=0,0,IF(LEN(X293)=11,_xlfn.XLOOKUP(X293,'Dispensed Ink Rates'!C:C,'Dispensed Ink Rates'!CS:CS),VLOOKUP(X293,'Jan-2026 rates'!$E:$F,2,0)))</f>
        <v>0</v>
      </c>
      <c r="AN293" s="404"/>
      <c r="AO293" s="398">
        <f>IF(AN293=0,0,IF(LEN(Y293)=11,_xlfn.XLOOKUP(Y293,'Dispensed Ink Rates'!C:C,'Dispensed Ink Rates'!CS:CS),VLOOKUP(Y293,'Jan-2026 rates'!$E:$F,2,0)))</f>
        <v>0</v>
      </c>
      <c r="AP293" s="409" t="s">
        <v>1443</v>
      </c>
      <c r="AQ293" s="409">
        <v>25</v>
      </c>
      <c r="AR293" s="410">
        <f t="shared" si="212"/>
        <v>0</v>
      </c>
      <c r="AS293" s="411">
        <f t="shared" si="213"/>
        <v>5.4883720930232549</v>
      </c>
      <c r="AT293" s="410">
        <f t="shared" si="214"/>
        <v>0</v>
      </c>
      <c r="AU293" s="405" t="s">
        <v>857</v>
      </c>
      <c r="AV293" s="409" t="s">
        <v>4371</v>
      </c>
      <c r="AW293" s="420" t="str">
        <f t="shared" si="183"/>
        <v>FLINTSL - RED</v>
      </c>
      <c r="AX293" s="409">
        <v>24</v>
      </c>
      <c r="AY293" s="411">
        <f>IF(AX293=0,0,IF($LB293=70%,VLOOKUP($AW293,'Jan-2026 rates'!$L:$R,4,0),IF($LB293=65%,VLOOKUP($AW293,'Jan-2026 rates'!$L:$R,4,0),IF($LB293=40%,VLOOKUP($AW293,'Jan-2026 rates'!$L:$R,5,0),IF($LB293=30%,VLOOKUP($AW293,'Jan-2026 rates'!$L:$R,6,0),IF($LB293=100%,VLOOKUP($AW293,'Jan-2026 rates'!$L:$R,7,0),IF($LB293=60%,VLOOKUP($AW293,'Jan-2026 rates'!$L:$S,8,0),IF($LB293=80%,VLOOKUP($AW293,'Jan-2026 rates'!L:T,9,0),0))))))))</f>
        <v>0</v>
      </c>
      <c r="AZ293" s="412"/>
      <c r="BA293" s="409"/>
      <c r="BB293" s="411">
        <f>IF(BA293=0,0,IF($LB293=70%,VLOOKUP($AW293,'Jan-2026 rates'!$L:$R,4,0),IF($LB293=65%,VLOOKUP($AW293,'Jan-2026 rates'!$L:$R,4,0),IF($LB293=40%,VLOOKUP($AW293,'Jan-2026 rates'!$L:$R,5,0),IF($LB293=30%,VLOOKUP($AW293,'Jan-2026 rates'!$L:$R,6,0),IF($LB293=100%,VLOOKUP($AW293,'Jan-2026 rates'!$L:$R,7,0),IF($LB293=60%,VLOOKUP($AW293,'Jan-2026 rates'!$L:$S,8,0),IF($LB293=80%,VLOOKUP($AW293,'Jan-2026 rates'!L:T,9,0),0))))))))</f>
        <v>0</v>
      </c>
      <c r="BC293" s="413">
        <v>26525000003</v>
      </c>
      <c r="BD293" s="412">
        <v>26524000032</v>
      </c>
      <c r="BE293" s="412">
        <v>26524000006</v>
      </c>
      <c r="BF293" s="413"/>
      <c r="BG293" s="412"/>
      <c r="BH293" s="412"/>
      <c r="BI293" s="412"/>
      <c r="BJ293" s="412"/>
      <c r="BK293" s="409">
        <v>7</v>
      </c>
      <c r="BL293" s="398" t="e">
        <f>IF(BK293=0,0,IF(LEN(BC293)=11,_xlfn.XLOOKUP(BC293,'Dispensed Ink Rates'!C:C,'Dispensed Ink Rates'!CS:CS),VLOOKUP(BC293,'Jan-2026 rates'!$E:$F,2,0)))</f>
        <v>#N/A</v>
      </c>
      <c r="BM293" s="409">
        <v>2</v>
      </c>
      <c r="BN293" s="398" t="e">
        <f>IF(BM293=0,0,IF(LEN(BD293)=11,_xlfn.XLOOKUP(BD293,'Dispensed Ink Rates'!C:C,'Dispensed Ink Rates'!CS:CS),VLOOKUP(BD293,'Jan-2026 rates'!$E:$F,2,0)))</f>
        <v>#N/A</v>
      </c>
      <c r="BO293" s="409">
        <v>1</v>
      </c>
      <c r="BP293" s="398" t="e">
        <f>IF(BO293=0,0,IF(LEN(BE293)=11,_xlfn.XLOOKUP(BE293,'Dispensed Ink Rates'!C:C,'Dispensed Ink Rates'!CS:CS),VLOOKUP(BE293,'Jan-2026 rates'!$E:$F,2,0)))</f>
        <v>#N/A</v>
      </c>
      <c r="BQ293" s="409"/>
      <c r="BR293" s="398">
        <f>IF(BQ293=0,0,IF(LEN(BF293)=11,_xlfn.XLOOKUP(BF293,'Dispensed Ink Rates'!C:C,'Dispensed Ink Rates'!CS:CS),VLOOKUP(BF293,'Jan-2026 rates'!$E:$F,2,0)))</f>
        <v>0</v>
      </c>
      <c r="BS293" s="409"/>
      <c r="BT293" s="398">
        <f>IF(BS293=0,0,IF(LEN(BG293)=11,_xlfn.XLOOKUP(BG293,'Dispensed Ink Rates'!C:C,'Dispensed Ink Rates'!CS:CS),VLOOKUP(BG293,'Jan-2026 rates'!$E:$F,2,0)))</f>
        <v>0</v>
      </c>
      <c r="BU293" s="409"/>
      <c r="BV293" s="398">
        <f>IF(BU293=0,0,IF(LEN(BH293)=11,_xlfn.XLOOKUP(BH293,'Dispensed Ink Rates'!C:C,'Dispensed Ink Rates'!CS:CS),VLOOKUP(BH293,'Jan-2026 rates'!$E:$F,2,0)))</f>
        <v>0</v>
      </c>
      <c r="BW293" s="409"/>
      <c r="BX293" s="398">
        <f>IF(BW293=0,0,IF(LEN(BI293)=11,_xlfn.XLOOKUP(BI293,'Dispensed Ink Rates'!C:C,'Dispensed Ink Rates'!CS:CS),VLOOKUP(BI293,'Jan-2026 rates'!$E:$F,2,0)))</f>
        <v>0</v>
      </c>
      <c r="BY293" s="409"/>
      <c r="BZ293" s="398">
        <f>IF(BY293=0,0,IF(LEN(BJ293)=11,_xlfn.XLOOKUP(BJ293,'Dispensed Ink Rates'!C:C,'Dispensed Ink Rates'!CS:CS),VLOOKUP(BJ293,'Jan-2026 rates'!$E:$F,2,0)))</f>
        <v>0</v>
      </c>
      <c r="CA293" s="409" t="s">
        <v>1443</v>
      </c>
      <c r="CB293" s="409">
        <v>30</v>
      </c>
      <c r="CC293" s="411">
        <f t="shared" si="215"/>
        <v>0</v>
      </c>
      <c r="CD293" s="411">
        <f t="shared" si="216"/>
        <v>15.627906976744185</v>
      </c>
      <c r="CE293" s="410">
        <f t="shared" si="217"/>
        <v>0</v>
      </c>
      <c r="CF293" s="404" t="s">
        <v>855</v>
      </c>
      <c r="CG293" s="409" t="s">
        <v>4372</v>
      </c>
      <c r="CH293" s="420" t="str">
        <f t="shared" si="185"/>
        <v>FLINTSL - CYAN</v>
      </c>
      <c r="CI293" s="409">
        <v>27</v>
      </c>
      <c r="CJ293" s="411">
        <f>IF(CI293=0,0,IF($LB293=70%,VLOOKUP($CH293,'Jan-2026 rates'!$L:$R,4,0),IF($LB293=65%,VLOOKUP($CH293,'Jan-2026 rates'!$L:$R,4,0),IF($LB293=40%,VLOOKUP($CH293,'Jan-2026 rates'!$L:$R,5,0),IF($LB293=30%,VLOOKUP($CH293,'Jan-2026 rates'!$L:$R,6,0),IF($LB293=100%,VLOOKUP($CH293,'Jan-2026 rates'!$L:$R,7,0),IF($LB293=60%,VLOOKUP($CH293,'Jan-2026 rates'!$L:$S,8,0),IF($LB293=80%,VLOOKUP($CH293,'Jan-2026 rates'!L:T,9,0),0))))))))</f>
        <v>0</v>
      </c>
      <c r="CK293" s="412"/>
      <c r="CL293" s="409"/>
      <c r="CM293" s="411">
        <f>IF(CL293=0,0,IF($LB293=70%,VLOOKUP($CH293,'Jan-2026 rates'!$L:$R,4,0),IF($LB293=65%,VLOOKUP($CH293,'Jan-2026 rates'!$L:$R,4,0),IF($LB293=40%,VLOOKUP($CH293,'Jan-2026 rates'!$L:$R,5,0),IF($LB293=30%,VLOOKUP($CH293,'Jan-2026 rates'!$L:$R,6,0),IF($LB293=100%,VLOOKUP($CH293,'Jan-2026 rates'!$L:$R,7,0),IF($LB293=60%,VLOOKUP($CH293,'Jan-2026 rates'!$L:$S,8,0),IF($LB293=80%,VLOOKUP($CH293,'Jan-2026 rates'!L:T,9,0),0))))))))</f>
        <v>0</v>
      </c>
      <c r="CN293" s="426" t="s">
        <v>1266</v>
      </c>
      <c r="CO293" s="427"/>
      <c r="CP293" s="426"/>
      <c r="CQ293" s="426"/>
      <c r="CR293" s="428"/>
      <c r="CS293" s="428"/>
      <c r="CT293" s="428"/>
      <c r="CU293" s="428"/>
      <c r="CV293" s="409">
        <v>4</v>
      </c>
      <c r="CW293" s="398">
        <f>IF(CV293=0,0,IF(LEN(CN293)=11,_xlfn.XLOOKUP(CN293,'Dispensed Ink Rates'!C:C,'Dispensed Ink Rates'!CS:CS),VLOOKUP(CN293,'Jan-2026 rates'!$E:$F,2,0)))</f>
        <v>0</v>
      </c>
      <c r="CX293" s="409"/>
      <c r="CY293" s="398">
        <f>IF(CX293=0,0,IF(LEN(CO293)=11,_xlfn.XLOOKUP(CO293,'Dispensed Ink Rates'!C:C,'Dispensed Ink Rates'!CS:CS),VLOOKUP(CO293,'Jan-2026 rates'!$E:$F,2,0)))</f>
        <v>0</v>
      </c>
      <c r="CZ293" s="409"/>
      <c r="DA293" s="398">
        <f>IF(CZ293=0,0,IF(LEN(CP293)=11,_xlfn.XLOOKUP(CP293,'Dispensed Ink Rates'!C:C,'Dispensed Ink Rates'!CS:CS),VLOOKUP(CP293,'Jan-2026 rates'!$E:$F,2,0)))</f>
        <v>0</v>
      </c>
      <c r="DB293" s="409"/>
      <c r="DC293" s="398">
        <f>IF(DB293=0,0,IF(LEN(CQ293)=11,_xlfn.XLOOKUP(CQ293,'Dispensed Ink Rates'!C:C,'Dispensed Ink Rates'!CS:CS),VLOOKUP(CQ293,'Jan-2026 rates'!$E:$F,2,0)))</f>
        <v>0</v>
      </c>
      <c r="DD293" s="409"/>
      <c r="DE293" s="398">
        <f>IF(DD293=0,0,IF(LEN(CR293)=11,_xlfn.XLOOKUP(CR293,'Dispensed Ink Rates'!C:C,'Dispensed Ink Rates'!CS:CS),VLOOKUP(CR293,'Jan-2026 rates'!$E:$F,2,0)))</f>
        <v>0</v>
      </c>
      <c r="DF293" s="409"/>
      <c r="DG293" s="398">
        <f>IF(DF293=0,0,IF(LEN(CS293)=11,_xlfn.XLOOKUP(CS293,'Dispensed Ink Rates'!C:C,'Dispensed Ink Rates'!CS:CS),VLOOKUP(CS293,'Jan-2026 rates'!$E:$F,2,0)))</f>
        <v>0</v>
      </c>
      <c r="DH293" s="409"/>
      <c r="DI293" s="398">
        <f>IF(DH293=0,0,IF(LEN(CT293)=11,_xlfn.XLOOKUP(CT293,'Dispensed Ink Rates'!C:C,'Dispensed Ink Rates'!CS:CS),VLOOKUP(CT293,'Jan-2026 rates'!$E:$F,2,0)))</f>
        <v>0</v>
      </c>
      <c r="DJ293" s="409"/>
      <c r="DK293" s="398">
        <f>IF(DJ293=0,0,IF(LEN(CU293)=11,_xlfn.XLOOKUP(CU293,'Dispensed Ink Rates'!C:C,'Dispensed Ink Rates'!CS:CS),VLOOKUP(CU293,'Jan-2026 rates'!$E:$F,2,0)))</f>
        <v>0</v>
      </c>
      <c r="DL293" s="409" t="s">
        <v>1443</v>
      </c>
      <c r="DM293" s="409">
        <v>26</v>
      </c>
      <c r="DN293" s="411">
        <f t="shared" si="218"/>
        <v>0</v>
      </c>
      <c r="DO293" s="411">
        <f t="shared" si="219"/>
        <v>7.3255813953488342</v>
      </c>
      <c r="DP293" s="410">
        <f t="shared" si="220"/>
        <v>0</v>
      </c>
      <c r="DQ293" s="405" t="s">
        <v>544</v>
      </c>
      <c r="DR293" s="409" t="s">
        <v>4373</v>
      </c>
      <c r="DS293" s="420" t="str">
        <f t="shared" si="186"/>
        <v>FLINTSL - MAGENTA</v>
      </c>
      <c r="DT293" s="409">
        <v>25</v>
      </c>
      <c r="DU293" s="411">
        <f>IF(DT293=0,0,IF($LB293=70%,VLOOKUP($DS293,'Jan-2026 rates'!$L:$R,4,0),IF($LB293=65%,VLOOKUP($DS293,'Jan-2026 rates'!$L:$R,4,0),IF($LB293=40%,VLOOKUP($DS293,'Jan-2026 rates'!$L:$R,5,0),IF($LB293=30%,VLOOKUP($DS293,'Jan-2026 rates'!$L:$R,6,0),IF($LB293=100%,VLOOKUP($DS293,'Jan-2026 rates'!$L:$R,7,0),IF($LB293=60%,VLOOKUP($DS293,'Jan-2026 rates'!$L:$S,8,0),IF($LB293=80%,VLOOKUP($DS293,'Jan-2026 rates'!L:T,9,0),0))))))))</f>
        <v>0</v>
      </c>
      <c r="DV293" s="412"/>
      <c r="DW293" s="409"/>
      <c r="DX293" s="411">
        <f>IF(DW293=0,0,IF($LB293=70%,VLOOKUP($DS293,'Jan-2026 rates'!$L:$R,4,0),IF($LB293=65%,VLOOKUP($DS293,'Jan-2026 rates'!$L:$R,4,0),IF($LB293=40%,VLOOKUP($DS293,'Jan-2026 rates'!$L:$R,5,0),IF($LB293=30%,VLOOKUP($DS293,'Jan-2026 rates'!$L:$R,6,0),IF($LB293=100%,VLOOKUP($DS293,'Jan-2026 rates'!$L:$R,7,0),IF($LB293=60%,VLOOKUP($DS293,'Jan-2026 rates'!$L:$S,8,0),IF($LB293=80%,VLOOKUP($DS293,'Jan-2026 rates'!L:T,9,0),0))))))))</f>
        <v>0</v>
      </c>
      <c r="DY293" s="413" t="s">
        <v>1266</v>
      </c>
      <c r="DZ293" s="413"/>
      <c r="EA293" s="412"/>
      <c r="EB293" s="412"/>
      <c r="EC293" s="412"/>
      <c r="ED293" s="412"/>
      <c r="EE293" s="412"/>
      <c r="EF293" s="412"/>
      <c r="EG293" s="409">
        <v>3</v>
      </c>
      <c r="EH293" s="398">
        <f>IF(EG293=0,0,IF(LEN(DY293)=11,_xlfn.XLOOKUP(DY293,'Dispensed Ink Rates'!C:C,'Dispensed Ink Rates'!CS:CS),VLOOKUP(DY293,'Jan-2026 rates'!$E:$F,2,0)))</f>
        <v>0</v>
      </c>
      <c r="EI293" s="409"/>
      <c r="EJ293" s="398">
        <f>IF(EI293=0,0,IF(LEN(DZ293)=11,_xlfn.XLOOKUP(DZ293,'Dispensed Ink Rates'!C:C,'Dispensed Ink Rates'!CS:CS),VLOOKUP(DZ293,'Jan-2026 rates'!$E:$F,2,0)))</f>
        <v>0</v>
      </c>
      <c r="EK293" s="409"/>
      <c r="EL293" s="398">
        <f>IF(EK293=0,0,IF(LEN(EA293)=11,_xlfn.XLOOKUP(EA293,'Dispensed Ink Rates'!C:C,'Dispensed Ink Rates'!CS:CS),VLOOKUP(EA293,'Jan-2026 rates'!$E:$F,2,0)))</f>
        <v>0</v>
      </c>
      <c r="EM293" s="409"/>
      <c r="EN293" s="398">
        <f>IF(EM293=0,0,IF(LEN(EB293)=11,_xlfn.XLOOKUP(EB293,'Dispensed Ink Rates'!C:C,'Dispensed Ink Rates'!CS:CS),VLOOKUP(EB293,'Jan-2026 rates'!$E:$F,2,0)))</f>
        <v>0</v>
      </c>
      <c r="EO293" s="409"/>
      <c r="EP293" s="398">
        <f>IF(EO293=0,0,IF(LEN(EC293)=11,_xlfn.XLOOKUP(EC293,'Dispensed Ink Rates'!C:C,'Dispensed Ink Rates'!CS:CS),VLOOKUP(EC293,'Jan-2026 rates'!$E:$F,2,0)))</f>
        <v>0</v>
      </c>
      <c r="EQ293" s="409"/>
      <c r="ER293" s="398">
        <f>IF(EQ293=0,0,IF(LEN(ED293)=11,_xlfn.XLOOKUP(ED293,'Dispensed Ink Rates'!C:C,'Dispensed Ink Rates'!CS:CS),VLOOKUP(ED293,'Jan-2026 rates'!$E:$F,2,0)))</f>
        <v>0</v>
      </c>
      <c r="ES293" s="409"/>
      <c r="ET293" s="398">
        <f>IF(ES293=0,0,IF(LEN(EE293)=11,_xlfn.XLOOKUP(EE293,'Dispensed Ink Rates'!C:C,'Dispensed Ink Rates'!CS:CS),VLOOKUP(EE293,'Jan-2026 rates'!$E:$F,2,0)))</f>
        <v>0</v>
      </c>
      <c r="EU293" s="409"/>
      <c r="EV293" s="398">
        <f>IF(EU293=0,0,IF(LEN(EF293)=11,_xlfn.XLOOKUP(EF293,'Dispensed Ink Rates'!C:C,'Dispensed Ink Rates'!CS:CS),VLOOKUP(EF293,'Jan-2026 rates'!$E:$F,2,0)))</f>
        <v>0</v>
      </c>
      <c r="EW293" s="409" t="s">
        <v>1443</v>
      </c>
      <c r="EX293" s="409">
        <v>24</v>
      </c>
      <c r="EY293" s="411">
        <f t="shared" si="221"/>
        <v>0</v>
      </c>
      <c r="EZ293" s="411">
        <f t="shared" si="222"/>
        <v>6.3255813953488378</v>
      </c>
      <c r="FA293" s="410">
        <f t="shared" si="223"/>
        <v>0</v>
      </c>
      <c r="FB293" s="405" t="s">
        <v>545</v>
      </c>
      <c r="FC293" s="409" t="s">
        <v>4364</v>
      </c>
      <c r="FD293" s="420" t="str">
        <f t="shared" si="187"/>
        <v>FLINTSL - YELLOW</v>
      </c>
      <c r="FE293" s="409">
        <v>27</v>
      </c>
      <c r="FF293" s="411">
        <f>IF(FE293=0,0,IF($LB293=70%,VLOOKUP($FD293,'Jan-2026 rates'!$L:$R,4,0),IF($LB293=65%,VLOOKUP($FD293,'Jan-2026 rates'!$L:$R,4,0),IF($LB293=40%,VLOOKUP($FD293,'Jan-2026 rates'!$L:$R,5,0),IF($LB293=30%,VLOOKUP($FD293,'Jan-2026 rates'!$L:$R,6,0),IF($LB293=100%,VLOOKUP($FD293,'Jan-2026 rates'!$L:$R,7,0),IF($LB293=60%,VLOOKUP($FD293,'Jan-2026 rates'!$L:$S,8,0),IF($LB293=80%,VLOOKUP($FD293,'Jan-2026 rates'!L:T,9,0),0))))))))</f>
        <v>0</v>
      </c>
      <c r="FG293" s="412"/>
      <c r="FH293" s="409"/>
      <c r="FI293" s="411">
        <f>IF(FH293=0,0,IF($LB293=70%,VLOOKUP($FD293,'Jan-2026 rates'!$L:$R,4,0),IF($LB293=65%,VLOOKUP($FD293,'Jan-2026 rates'!$L:$R,4,0),IF($LB293=40%,VLOOKUP($FD293,'Jan-2026 rates'!$L:$R,5,0),IF($LB293=30%,VLOOKUP($FD293,'Jan-2026 rates'!$L:$R,6,0),IF($LB293=100%,VLOOKUP($FD293,'Jan-2026 rates'!$L:$R,7,0),IF($LB293=60%,VLOOKUP($FD293,'Jan-2026 rates'!$L:$S,8,0),IF($LB293=80%,VLOOKUP($FD293,'Jan-2026 rates'!L:T,9,0),0))))))))</f>
        <v>0</v>
      </c>
      <c r="FJ293" s="413"/>
      <c r="FK293" s="413"/>
      <c r="FL293" s="413"/>
      <c r="FM293" s="412"/>
      <c r="FN293" s="412"/>
      <c r="FO293" s="412"/>
      <c r="FP293" s="412"/>
      <c r="FQ293" s="412"/>
      <c r="FR293" s="409"/>
      <c r="FS293" s="398">
        <f>IF(FR293=0,0,IF(LEN(FJ293)=11,_xlfn.XLOOKUP(FJ293,'Dispensed Ink Rates'!C:C,'Dispensed Ink Rates'!CS:CS),VLOOKUP(FJ293,'Jan-2026 rates'!$E:$F,2,0)))</f>
        <v>0</v>
      </c>
      <c r="FT293" s="409"/>
      <c r="FU293" s="398">
        <f>IF(FT293=0,0,IF(LEN(FK293)=11,_xlfn.XLOOKUP(FK293,'Dispensed Ink Rates'!C:C,'Dispensed Ink Rates'!CS:CS),VLOOKUP(FK293,'Jan-2026 rates'!$E:$F,2,0)))</f>
        <v>0</v>
      </c>
      <c r="FV293" s="409"/>
      <c r="FW293" s="398">
        <f>IF(FV293=0,0,IF(LEN(FL293)=11,_xlfn.XLOOKUP(FL293,'Dispensed Ink Rates'!C:C,'Dispensed Ink Rates'!CS:CS),VLOOKUP(FL293,'Jan-2026 rates'!$E:$F,2,0)))</f>
        <v>0</v>
      </c>
      <c r="FX293" s="409"/>
      <c r="FY293" s="398">
        <f>IF(FX293=0,0,IF(LEN(FM293)=11,_xlfn.XLOOKUP(FM293,'Dispensed Ink Rates'!C:C,'Dispensed Ink Rates'!CS:CS),VLOOKUP(FM293,'Jan-2026 rates'!$E:$F,2,0)))</f>
        <v>0</v>
      </c>
      <c r="FZ293" s="409"/>
      <c r="GA293" s="398">
        <f>IF(FZ293=0,0,IF(LEN(FN293)=11,_xlfn.XLOOKUP(FN293,'Dispensed Ink Rates'!C:C,'Dispensed Ink Rates'!CS:CS),VLOOKUP(FN293,'Jan-2026 rates'!$E:$F,2,0)))</f>
        <v>0</v>
      </c>
      <c r="GB293" s="409"/>
      <c r="GC293" s="398">
        <f>IF(GB293=0,0,IF(LEN(FO293)=11,_xlfn.XLOOKUP(FO293,'Dispensed Ink Rates'!C:C,'Dispensed Ink Rates'!CS:CS),VLOOKUP(FO293,'Jan-2026 rates'!$E:$F,2,0)))</f>
        <v>0</v>
      </c>
      <c r="GD293" s="409"/>
      <c r="GE293" s="398">
        <f>IF(GD293=0,0,IF(LEN(FP293)=11,_xlfn.XLOOKUP(FP293,'Dispensed Ink Rates'!C:C,'Dispensed Ink Rates'!CS:CS),VLOOKUP(FP293,'Jan-2026 rates'!$E:$F,2,0)))</f>
        <v>0</v>
      </c>
      <c r="GF293" s="409"/>
      <c r="GG293" s="398">
        <f>IF(GF293=0,0,IF(LEN(FQ293)=11,_xlfn.XLOOKUP(FQ293,'Dispensed Ink Rates'!C:C,'Dispensed Ink Rates'!CS:CS),VLOOKUP(FQ293,'Jan-2026 rates'!$E:$F,2,0)))</f>
        <v>0</v>
      </c>
      <c r="GH293" s="409" t="s">
        <v>1443</v>
      </c>
      <c r="GI293" s="409">
        <v>24</v>
      </c>
      <c r="GJ293" s="411">
        <f t="shared" si="224"/>
        <v>0</v>
      </c>
      <c r="GK293" s="411">
        <f t="shared" si="225"/>
        <v>7.6511627906976756</v>
      </c>
      <c r="GL293" s="410">
        <f t="shared" si="226"/>
        <v>0</v>
      </c>
      <c r="GM293" s="405" t="s">
        <v>548</v>
      </c>
      <c r="GN293" s="409" t="s">
        <v>4374</v>
      </c>
      <c r="GO293" s="420" t="str">
        <f t="shared" si="188"/>
        <v>INK PRODUCT - GOLD</v>
      </c>
      <c r="GP293" s="409">
        <v>37</v>
      </c>
      <c r="GQ293" s="411">
        <f>IF(GP293=0,0,IF($LB293=70%,VLOOKUP($GO293,'Jan-2026 rates'!$L:$R,4,0),IF($LB293=65%,VLOOKUP($GO293,'Jan-2026 rates'!$L:$R,4,0),IF($LB293=40%,VLOOKUP($GO293,'Jan-2026 rates'!$L:$R,5,0),IF($LB293=30%,VLOOKUP($GO293,'Jan-2026 rates'!$L:$R,6,0),IF($LB293=100%,VLOOKUP($GO293,'Jan-2026 rates'!$L:$R,7,0),IF($LB293=60%,VLOOKUP($GO293,'Jan-2026 rates'!$L:$S,8,0),IF($LB293=80%,VLOOKUP($GO293,'Jan-2026 rates'!L:T,9,0),0))))))))</f>
        <v>0</v>
      </c>
      <c r="GR293" s="412"/>
      <c r="GS293" s="409"/>
      <c r="GT293" s="411">
        <f>IF(GS293=0,0,IF($LB293=70%,VLOOKUP($GO293,'Jan-2026 rates'!$L:$R,4,0),IF($LB293=65%,VLOOKUP($GO293,'Jan-2026 rates'!$L:$R,4,0),IF($LB293=40%,VLOOKUP($GO293,'Jan-2026 rates'!$L:$R,5,0),IF($LB293=30%,VLOOKUP($GO293,'Jan-2026 rates'!$L:$R,6,0),IF($LB293=100%,VLOOKUP($GO293,'Jan-2026 rates'!$L:$R,7,0),IF($LB293=60%,VLOOKUP($GO293,'Jan-2026 rates'!$L:$S,8,0),IF($LB293=80%,VLOOKUP($GO293,'Jan-2026 rates'!L:T,9,0),0))))))))</f>
        <v>0</v>
      </c>
      <c r="GU293" s="413">
        <v>26524000006</v>
      </c>
      <c r="GV293" s="413"/>
      <c r="GW293" s="412"/>
      <c r="GX293" s="412"/>
      <c r="GY293" s="412"/>
      <c r="GZ293" s="412"/>
      <c r="HA293" s="412"/>
      <c r="HB293" s="412"/>
      <c r="HC293" s="409">
        <v>0.2</v>
      </c>
      <c r="HD293" s="398" t="e">
        <f>IF(HC293=0,0,IF(LEN(GU293)=11,_xlfn.XLOOKUP(GU293,'Dispensed Ink Rates'!C:C,'Dispensed Ink Rates'!CS:CS),VLOOKUP(GU293,'Jan-2026 rates'!$E:$F,2,0)))</f>
        <v>#N/A</v>
      </c>
      <c r="HE293" s="409"/>
      <c r="HF293" s="398">
        <f>IF(HE293=0,0,IF(LEN(GV293)=11,_xlfn.XLOOKUP(GV293,'Dispensed Ink Rates'!C:C,'Dispensed Ink Rates'!CS:CS),VLOOKUP(GV293,'Jan-2026 rates'!$E:$F,2,0)))</f>
        <v>0</v>
      </c>
      <c r="HG293" s="409"/>
      <c r="HH293" s="398">
        <f>IF(HG293=0,0,IF(LEN(GW293)=11,_xlfn.XLOOKUP(GW293,'Dispensed Ink Rates'!C:C,'Dispensed Ink Rates'!CS:CS),VLOOKUP(GW293,'Jan-2026 rates'!$E:$F,2,0)))</f>
        <v>0</v>
      </c>
      <c r="HI293" s="409"/>
      <c r="HJ293" s="398">
        <f>IF(HI293=0,0,IF(LEN(GX293)=11,_xlfn.XLOOKUP(GX293,'Dispensed Ink Rates'!C:C,'Dispensed Ink Rates'!CS:CS),VLOOKUP(GX293,'Jan-2026 rates'!$E:$F,2,0)))</f>
        <v>0</v>
      </c>
      <c r="HK293" s="409"/>
      <c r="HL293" s="398">
        <f>IF(HK293=0,0,IF(LEN(GY293)=11,_xlfn.XLOOKUP(GY293,'Dispensed Ink Rates'!C:C,'Dispensed Ink Rates'!CS:CS),VLOOKUP(GY293,'Jan-2026 rates'!$E:$F,2,0)))</f>
        <v>0</v>
      </c>
      <c r="HM293" s="409"/>
      <c r="HN293" s="398">
        <f>IF(HM293=0,0,IF(LEN(GZ293)=11,_xlfn.XLOOKUP(GZ293,'Dispensed Ink Rates'!C:C,'Dispensed Ink Rates'!CS:CS),VLOOKUP(GZ293,'Jan-2026 rates'!$E:$F,2,0)))</f>
        <v>0</v>
      </c>
      <c r="HO293" s="409"/>
      <c r="HP293" s="398">
        <f>IF(HO293=0,0,IF(LEN(HA293)=11,_xlfn.XLOOKUP(HA293,'Dispensed Ink Rates'!C:C,'Dispensed Ink Rates'!CS:CS),VLOOKUP(HA293,'Jan-2026 rates'!$E:$F,2,0)))</f>
        <v>0</v>
      </c>
      <c r="HQ293" s="409"/>
      <c r="HR293" s="398">
        <f>IF(HQ293=0,0,IF(LEN(HB293)=11,_xlfn.XLOOKUP(HB293,'Dispensed Ink Rates'!C:C,'Dispensed Ink Rates'!CS:CS),VLOOKUP(HB293,'Jan-2026 rates'!$E:$F,2,0)))</f>
        <v>0</v>
      </c>
      <c r="HS293" s="409" t="s">
        <v>719</v>
      </c>
      <c r="HT293" s="409">
        <v>35</v>
      </c>
      <c r="HU293" s="411">
        <f t="shared" si="227"/>
        <v>0</v>
      </c>
      <c r="HV293" s="411">
        <f t="shared" si="228"/>
        <v>4.5255813953488371</v>
      </c>
      <c r="HW293" s="414">
        <f t="shared" si="229"/>
        <v>0</v>
      </c>
      <c r="HX293" s="405" t="s">
        <v>856</v>
      </c>
      <c r="HY293" s="409" t="s">
        <v>4375</v>
      </c>
      <c r="HZ293" s="420" t="str">
        <f t="shared" si="189"/>
        <v>FLINTSL - WHITE</v>
      </c>
      <c r="IA293" s="409">
        <v>32</v>
      </c>
      <c r="IB293" s="411">
        <f>IF(IA293=0,0,IF($LB293=70%,VLOOKUP($HZ293,'Jan-2026 rates'!$L:$R,4,0),IF($LB293=65%,VLOOKUP($HZ293,'Jan-2026 rates'!$L:$R,4,0),IF($LB293=40%,VLOOKUP($HZ293,'Jan-2026 rates'!$L:$R,5,0),IF($LB293=30%,VLOOKUP($HZ293,'Jan-2026 rates'!$L:$R,6,0),IF($LB293=100%,VLOOKUP($HZ293,'Jan-2026 rates'!$L:$R,7,0),IF($LB293=60%,VLOOKUP($HZ293,'Jan-2026 rates'!$L:$S,8,0),IF($LB293=80%,VLOOKUP($HZ293,'Jan-2026 rates'!L:T,9,0),0))))))))</f>
        <v>0</v>
      </c>
      <c r="IC293" s="412"/>
      <c r="ID293" s="409"/>
      <c r="IE293" s="411">
        <f>IF(ID293=0,0,IF($LB293=70%,VLOOKUP($HZ293,'Jan-2026 rates'!$L:$R,4,0),IF($LB293=65%,VLOOKUP($HZ293,'Jan-2026 rates'!$L:$R,4,0),IF($LB293=40%,VLOOKUP($HZ293,'Jan-2026 rates'!$L:$R,5,0),IF($LB293=30%,VLOOKUP($HZ293,'Jan-2026 rates'!$L:$R,6,0),IF($LB293=100%,VLOOKUP($HZ293,'Jan-2026 rates'!$L:$R,7,0),IF($LB293=60%,VLOOKUP($HZ293,'Jan-2026 rates'!$L:$S,8,0),IF($LB293=80%,VLOOKUP($HZ293,'Jan-2026 rates'!L:T,9,0),0))))))))</f>
        <v>0</v>
      </c>
      <c r="IF293" s="412" t="s">
        <v>484</v>
      </c>
      <c r="IG293" s="413"/>
      <c r="IH293" s="412"/>
      <c r="II293" s="412"/>
      <c r="IJ293" s="412"/>
      <c r="IK293" s="412"/>
      <c r="IL293" s="412"/>
      <c r="IM293" s="412"/>
      <c r="IN293" s="409">
        <v>30</v>
      </c>
      <c r="IO293" s="398">
        <f>IF(IN293=0,0,IF(LEN(IF293)=11,_xlfn.XLOOKUP(IF293,'Dispensed Ink Rates'!C:C,'Dispensed Ink Rates'!CS:CS),VLOOKUP(IF293,'Jan-2026 rates'!$E:$F,2,0)))</f>
        <v>0</v>
      </c>
      <c r="IP293" s="409"/>
      <c r="IQ293" s="398">
        <f>IF(IP293=0,0,IF(LEN(IG293)=11,_xlfn.XLOOKUP(IG293,'Dispensed Ink Rates'!C:C,'Dispensed Ink Rates'!CS:CS),VLOOKUP(IG293,'Jan-2026 rates'!$E:$F,2,0)))</f>
        <v>0</v>
      </c>
      <c r="IR293" s="409"/>
      <c r="IS293" s="398">
        <f>IF(IR293=0,0,IF(LEN(IH293)=11,_xlfn.XLOOKUP(IH293,'Dispensed Ink Rates'!C:C,'Dispensed Ink Rates'!CS:CS),VLOOKUP(IH293,'Jan-2026 rates'!$E:$F,2,0)))</f>
        <v>0</v>
      </c>
      <c r="IT293" s="409"/>
      <c r="IU293" s="398">
        <f>IF(IT293=0,0,IF(LEN(II293)=11,_xlfn.XLOOKUP(II293,'Dispensed Ink Rates'!C:C,'Dispensed Ink Rates'!CS:CS),VLOOKUP(II293,'Jan-2026 rates'!$E:$F,2,0)))</f>
        <v>0</v>
      </c>
      <c r="IV293" s="409"/>
      <c r="IW293" s="398">
        <f>IF(IV293=0,0,IF(LEN(IJ293)=11,_xlfn.XLOOKUP(IJ293,'Dispensed Ink Rates'!C:C,'Dispensed Ink Rates'!CS:CS),VLOOKUP(IJ293,'Jan-2026 rates'!$E:$F,2,0)))</f>
        <v>0</v>
      </c>
      <c r="IX293" s="409"/>
      <c r="IY293" s="398">
        <f>IF(IX293=0,0,IF(LEN(IK293)=11,_xlfn.XLOOKUP(IK293,'Dispensed Ink Rates'!C:C,'Dispensed Ink Rates'!CS:CS),VLOOKUP(IK293,'Jan-2026 rates'!$E:$F,2,0)))</f>
        <v>0</v>
      </c>
      <c r="IZ293" s="409"/>
      <c r="JA293" s="398">
        <f>IF(IZ293=0,0,IF(LEN(IL293)=11,_xlfn.XLOOKUP(IL293,'Dispensed Ink Rates'!C:C,'Dispensed Ink Rates'!CS:CS),VLOOKUP(IL293,'Jan-2026 rates'!$E:$F,2,0)))</f>
        <v>0</v>
      </c>
      <c r="JB293" s="409"/>
      <c r="JC293" s="398">
        <f>IF(JB293=0,0,IF(LEN(IM293)=11,_xlfn.XLOOKUP(IM293,'Dispensed Ink Rates'!C:C,'Dispensed Ink Rates'!CS:CS),VLOOKUP(IM293,'Jan-2026 rates'!$E:$F,2,0)))</f>
        <v>0</v>
      </c>
      <c r="JD293" s="409" t="s">
        <v>1443</v>
      </c>
      <c r="JE293" s="409">
        <v>29</v>
      </c>
      <c r="JF293" s="411">
        <f t="shared" si="230"/>
        <v>0</v>
      </c>
      <c r="JG293" s="411">
        <f t="shared" si="231"/>
        <v>56.255813953488371</v>
      </c>
      <c r="JH293" s="410">
        <f t="shared" si="232"/>
        <v>0</v>
      </c>
      <c r="JI293" s="405"/>
      <c r="JJ293" s="409"/>
      <c r="JK293" s="420" t="str">
        <f t="shared" si="190"/>
        <v xml:space="preserve"> - </v>
      </c>
      <c r="JL293" s="409"/>
      <c r="JM293" s="411">
        <f>IF(JL293=0,0,IF($LB293=70%,VLOOKUP($JK293,'Jan-2026 rates'!$L:$R,4,0),IF($LB293=65%,VLOOKUP($JK293,'Jan-2026 rates'!$L:$R,4,0),IF($LB293=40%,VLOOKUP($JK293,'Jan-2026 rates'!$L:$R,5,0),IF($LB293=30%,VLOOKUP($JK293,'Jan-2026 rates'!$L:$R,6,0),IF($LB293=100%,VLOOKUP($JK293,'Jan-2026 rates'!$L:$R,7,0),IF($LB293=60%,VLOOKUP($JK293,'Jan-2026 rates'!$L:$S,8,0),IF($LB293=80%,VLOOKUP($JK293,'Jan-2026 rates'!L:T,9,0),0))))))))</f>
        <v>0</v>
      </c>
      <c r="JN293" s="412"/>
      <c r="JO293" s="409"/>
      <c r="JP293" s="411">
        <f>IF(JO293=0,0,IF($LB293=70%,VLOOKUP($JK293,'Jan-2026 rates'!$L:$R,4,0),IF($LB293=65%,VLOOKUP($JK293,'Jan-2026 rates'!$L:$R,4,0),IF($LB293=40%,VLOOKUP($JK293,'Jan-2026 rates'!$L:$R,5,0),IF($LB293=30%,VLOOKUP($JK293,'Jan-2026 rates'!$L:$R,6,0),IF($LB293=100%,VLOOKUP($JK293,'Jan-2026 rates'!$L:$R,7,0),IF($LB293=60%,VLOOKUP($JK293,'Jan-2026 rates'!$L:$S,8,0),IF($LB293=80%,VLOOKUP($JK293,'Jan-2026 rates'!L:T,9,0),0))))))))</f>
        <v>0</v>
      </c>
      <c r="JQ293" s="413"/>
      <c r="JR293" s="412"/>
      <c r="JS293" s="413"/>
      <c r="JT293" s="413"/>
      <c r="JU293" s="412"/>
      <c r="JV293" s="412"/>
      <c r="JW293" s="412"/>
      <c r="JX293" s="412"/>
      <c r="JY293" s="409"/>
      <c r="JZ293" s="398">
        <f>IF(JY293=0,0,IF(LEN(JQ293)=11,_xlfn.XLOOKUP(JQ293,'Dispensed Ink Rates'!C:C,'Dispensed Ink Rates'!CS:CS),VLOOKUP(JQ293,'Jan-2026 rates'!$E:$F,2,0)))</f>
        <v>0</v>
      </c>
      <c r="KA293" s="409"/>
      <c r="KB293" s="398">
        <f>IF(KA293=0,0,IF(LEN(JR293)=11,_xlfn.XLOOKUP(JR293,'Dispensed Ink Rates'!C:C,'Dispensed Ink Rates'!CS:CS),VLOOKUP(JR293,'Jan-2026 rates'!$E:$F,2,0)))</f>
        <v>0</v>
      </c>
      <c r="KC293" s="409"/>
      <c r="KD293" s="398">
        <f>IF(KC293=0,0,IF(LEN(JS293)=11,_xlfn.XLOOKUP(JS293,'Dispensed Ink Rates'!C:C,'Dispensed Ink Rates'!CS:CS),VLOOKUP(JS293,'Jan-2026 rates'!$E:$F,2,0)))</f>
        <v>0</v>
      </c>
      <c r="KE293" s="409"/>
      <c r="KF293" s="398">
        <f>IF(KE293=0,0,IF(LEN(JT293)=11,_xlfn.XLOOKUP(JT293,'Dispensed Ink Rates'!C:C,'Dispensed Ink Rates'!CS:CS),VLOOKUP(JT293,'Jan-2026 rates'!$E:$F,2,0)))</f>
        <v>0</v>
      </c>
      <c r="KG293" s="409"/>
      <c r="KH293" s="398">
        <f>IF(KG293=0,0,IF(LEN(JU293)=11,_xlfn.XLOOKUP(JU293,'Dispensed Ink Rates'!C:C,'Dispensed Ink Rates'!CS:CS),VLOOKUP(JU293,'Jan-2026 rates'!$E:$F,2,0)))</f>
        <v>0</v>
      </c>
      <c r="KI293" s="409"/>
      <c r="KJ293" s="398">
        <f>IF(KI293=0,0,IF(LEN(JV293)=11,_xlfn.XLOOKUP(JV293,'Dispensed Ink Rates'!C:C,'Dispensed Ink Rates'!CS:CS),VLOOKUP(JV293,'Jan-2026 rates'!$E:$F,2,0)))</f>
        <v>0</v>
      </c>
      <c r="KK293" s="409"/>
      <c r="KL293" s="398">
        <f>IF(KK293=0,0,IF(LEN(JW293)=11,_xlfn.XLOOKUP(JW293,'Dispensed Ink Rates'!C:C,'Dispensed Ink Rates'!CS:CS),VLOOKUP(JW293,'Jan-2026 rates'!$E:$F,2,0)))</f>
        <v>0</v>
      </c>
      <c r="KM293" s="428"/>
      <c r="KN293" s="398">
        <f>IF(KM293=0,0,IF(LEN(JX293)=11,_xlfn.XLOOKUP(JX293,'Dispensed Ink Rates'!C:C,'Dispensed Ink Rates'!CS:CS),VLOOKUP(JX293,'Jan-2026 rates'!$E:$F,2,0)))</f>
        <v>0</v>
      </c>
      <c r="KO293" s="409"/>
      <c r="KP293" s="409"/>
      <c r="KQ293" s="411">
        <f t="shared" si="233"/>
        <v>0</v>
      </c>
      <c r="KR293" s="411">
        <f t="shared" si="234"/>
        <v>0</v>
      </c>
      <c r="KS293" s="410">
        <f t="shared" si="235"/>
        <v>0</v>
      </c>
      <c r="KT293" s="409">
        <v>3</v>
      </c>
      <c r="KU293" s="409">
        <v>10</v>
      </c>
      <c r="KV293" s="409">
        <v>2</v>
      </c>
      <c r="KW293" s="409">
        <v>2</v>
      </c>
      <c r="KX293" s="409">
        <v>4</v>
      </c>
      <c r="KY293" s="409">
        <v>2</v>
      </c>
      <c r="KZ293" s="409">
        <v>20</v>
      </c>
      <c r="LA293" s="409">
        <v>0</v>
      </c>
      <c r="LB293" s="415">
        <v>0.8</v>
      </c>
      <c r="LC293" s="415">
        <v>0.2</v>
      </c>
      <c r="LD293" s="415"/>
      <c r="LE293" s="415"/>
      <c r="LF293" s="415"/>
      <c r="LG293" s="409">
        <v>0</v>
      </c>
      <c r="LH293" s="409">
        <f>20+10+16+4</f>
        <v>50</v>
      </c>
      <c r="LI293" s="409">
        <v>0</v>
      </c>
      <c r="LJ293" s="409">
        <v>0</v>
      </c>
      <c r="LK293" s="416">
        <f t="shared" si="191"/>
        <v>50</v>
      </c>
      <c r="LL293" s="416">
        <f t="shared" si="192"/>
        <v>50</v>
      </c>
      <c r="LM293" s="417">
        <f t="shared" si="193"/>
        <v>40</v>
      </c>
      <c r="LN293" s="417">
        <f>VLOOKUP($LM$8,'Jan-2026 rates'!$H:$I,2,0)</f>
        <v>0</v>
      </c>
      <c r="LO293" s="417">
        <f t="shared" si="194"/>
        <v>10</v>
      </c>
      <c r="LP293" s="417">
        <f>VLOOKUP($LO$8,'Jan-2026 rates'!$H:$I,2,0)</f>
        <v>0</v>
      </c>
      <c r="LQ293" s="417">
        <f t="shared" si="195"/>
        <v>0</v>
      </c>
      <c r="LR293" s="417">
        <f>VLOOKUP($LQ$8,'Jan-2026 rates'!$H:$I,2,0)</f>
        <v>0</v>
      </c>
      <c r="LS293" s="417">
        <f t="shared" si="196"/>
        <v>0</v>
      </c>
      <c r="LT293" s="417">
        <f>VLOOKUP($LS$8,'Jan-2026 rates'!$H:$I,2,0)</f>
        <v>0</v>
      </c>
      <c r="LU293" s="417">
        <f t="shared" si="197"/>
        <v>0</v>
      </c>
      <c r="LV293" s="417">
        <f>VLOOKUP($LU$8,'Jan-2026 rates'!$H:$I,2,0)</f>
        <v>0</v>
      </c>
      <c r="LW293" s="417">
        <f t="shared" si="198"/>
        <v>0</v>
      </c>
      <c r="LX293" s="417">
        <f t="shared" si="199"/>
        <v>0</v>
      </c>
      <c r="LY293" s="418">
        <f t="shared" si="200"/>
        <v>0</v>
      </c>
      <c r="LZ293" s="417"/>
      <c r="MA293" s="435">
        <f t="shared" si="201"/>
        <v>50.2</v>
      </c>
      <c r="MB293" s="282">
        <f t="shared" si="202"/>
        <v>103.19999999999999</v>
      </c>
      <c r="MC293" s="283">
        <v>186</v>
      </c>
      <c r="MD293" s="284" t="str">
        <f t="shared" si="203"/>
        <v>FLINTSLFLINTSLFLINTSLFLINTSLFLINTSLINK PRODUCTFLINTSL</v>
      </c>
      <c r="ME293" s="293" t="str">
        <f t="shared" si="204"/>
        <v>+</v>
      </c>
      <c r="MF293" s="293" t="str">
        <f t="shared" si="205"/>
        <v>+</v>
      </c>
      <c r="MG293" s="293" t="str">
        <f t="shared" si="206"/>
        <v>+</v>
      </c>
      <c r="MH293" s="293" t="str">
        <f t="shared" si="207"/>
        <v>+</v>
      </c>
      <c r="MI293" s="293" t="str">
        <f t="shared" si="208"/>
        <v>+</v>
      </c>
      <c r="MJ293" s="293" t="str">
        <f t="shared" si="209"/>
        <v>+</v>
      </c>
      <c r="MK293" s="293" t="str">
        <f t="shared" si="210"/>
        <v>+</v>
      </c>
      <c r="ML293" s="293" t="str">
        <f t="shared" si="211"/>
        <v>NIL</v>
      </c>
      <c r="MM293" s="3" t="b">
        <f t="array" ref="MM293">OR(ME293:ML293="-")</f>
        <v>0</v>
      </c>
      <c r="MN293" s="285"/>
      <c r="MO293" s="401"/>
      <c r="MP293" s="286"/>
      <c r="MQ293" s="286"/>
      <c r="MR293" s="402"/>
      <c r="MS293" s="400"/>
      <c r="NH293" s="422"/>
      <c r="NJ293" s="421"/>
    </row>
    <row r="294" spans="1:374" ht="16.5">
      <c r="A294" s="403">
        <v>46041</v>
      </c>
      <c r="B294" s="404" t="s">
        <v>1015</v>
      </c>
      <c r="C294" s="405" t="s">
        <v>4376</v>
      </c>
      <c r="D294" s="404" t="s">
        <v>2033</v>
      </c>
      <c r="E294" s="404">
        <v>752</v>
      </c>
      <c r="F294" s="407">
        <v>49000</v>
      </c>
      <c r="G294" s="407" t="s">
        <v>1016</v>
      </c>
      <c r="H294" s="408" t="s">
        <v>1017</v>
      </c>
      <c r="I294" s="409">
        <v>1.99</v>
      </c>
      <c r="J294" s="405" t="s">
        <v>543</v>
      </c>
      <c r="K294" s="404" t="s">
        <v>4377</v>
      </c>
      <c r="L294" s="419" t="str">
        <f t="shared" si="184"/>
        <v>ToyoLi - BLACK</v>
      </c>
      <c r="M294" s="404">
        <f>10+15</f>
        <v>25</v>
      </c>
      <c r="N294" s="410">
        <f>IF(M294=0,0,IF($LB294=70%,VLOOKUP($L294,'Jan-2026 rates'!$L:$R,4,0),IF($LB294=65%,VLOOKUP($L294,'Jan-2026 rates'!$L:$R,4,0),IF($LB294=40%,VLOOKUP($L294,'Jan-2026 rates'!$L:$R,5,0),IF($LB294=30%,VLOOKUP($L294,'Jan-2026 rates'!$L:$R,6,0),IF($LB294=100%,VLOOKUP($L294,'Jan-2026 rates'!$L:$R,7,0),IF($LB294=60%,VLOOKUP($L294,'Jan-2026 rates'!$L:$S,8,0),IF($LB294=80%,VLOOKUP($L294,'Jan-2026 rates'!L:T,9,0),0))))))))</f>
        <v>0</v>
      </c>
      <c r="O294" s="406"/>
      <c r="P294" s="404"/>
      <c r="Q294" s="410">
        <f>IF(P294=0,0,IF($LB294=70%,VLOOKUP($L294,'Jan-2026 rates'!$L:$R,4,0),IF($LB294=65%,VLOOKUP($L294,'Jan-2026 rates'!$L:$R,4,0),IF($LB294=40%,VLOOKUP($L294,'Jan-2026 rates'!$L:$R,5,0),IF($LB294=30%,VLOOKUP($L294,'Jan-2026 rates'!$L:$R,6,0),IF($LB294=100%,VLOOKUP($L294,'Jan-2026 rates'!$L:$R,7,0),IF($LB294=60%,VLOOKUP($L294,'Jan-2026 rates'!$L:$S,8,0),IF($LB294=80%,VLOOKUP($L294,'Jan-2026 rates'!L:T,9,0),0))))))))</f>
        <v>0</v>
      </c>
      <c r="R294" s="406" t="s">
        <v>1921</v>
      </c>
      <c r="S294" s="406" t="s">
        <v>1880</v>
      </c>
      <c r="T294" s="406" t="s">
        <v>1252</v>
      </c>
      <c r="U294" s="406" t="s">
        <v>1247</v>
      </c>
      <c r="V294" s="406" t="s">
        <v>1246</v>
      </c>
      <c r="W294" s="406"/>
      <c r="X294" s="406"/>
      <c r="Y294" s="406"/>
      <c r="Z294" s="404">
        <v>5</v>
      </c>
      <c r="AA294" s="398">
        <f>IF(Z294=0,0,IF(LEN(R294)=11,_xlfn.XLOOKUP(R294,'Dispensed Ink Rates'!C:C,'Dispensed Ink Rates'!CS:CS),VLOOKUP(R294,'Jan-2026 rates'!$E:$F,2,0)))</f>
        <v>0</v>
      </c>
      <c r="AB294" s="404">
        <v>5</v>
      </c>
      <c r="AC294" s="398">
        <f>IF(AB294=0,0,IF(LEN(S294)=11,_xlfn.XLOOKUP(S294,'Dispensed Ink Rates'!C:C,'Dispensed Ink Rates'!CS:CS),VLOOKUP(S294,'Jan-2026 rates'!$E:$F,2,0)))</f>
        <v>0</v>
      </c>
      <c r="AD294" s="404">
        <v>2</v>
      </c>
      <c r="AE294" s="398">
        <f>IF(AD294=0,0,IF(LEN(T294)=11,_xlfn.XLOOKUP(T294,'Dispensed Ink Rates'!C:C,'Dispensed Ink Rates'!CS:CS),VLOOKUP(T294,'Jan-2026 rates'!$E:$F,2,0)))</f>
        <v>0</v>
      </c>
      <c r="AF294" s="404">
        <v>3</v>
      </c>
      <c r="AG294" s="398">
        <f>IF(AF294=0,0,IF(LEN(U294)=11,_xlfn.XLOOKUP(U294,'Dispensed Ink Rates'!C:C,'Dispensed Ink Rates'!CS:CS),VLOOKUP(U294,'Jan-2026 rates'!$E:$F,2,0)))</f>
        <v>0</v>
      </c>
      <c r="AH294" s="404">
        <v>2</v>
      </c>
      <c r="AI294" s="398">
        <f>IF(AH294=0,0,IF(LEN(V294)=11,_xlfn.XLOOKUP(V294,'Dispensed Ink Rates'!C:C,'Dispensed Ink Rates'!CS:CS),VLOOKUP(V294,'Jan-2026 rates'!$E:$F,2,0)))</f>
        <v>0</v>
      </c>
      <c r="AJ294" s="404"/>
      <c r="AK294" s="398">
        <f>IF(AJ294=0,0,IF(LEN(W294)=11,_xlfn.XLOOKUP(W294,'Dispensed Ink Rates'!C:C,'Dispensed Ink Rates'!CS:CS),VLOOKUP(W294,'Jan-2026 rates'!$E:$F,2,0)))</f>
        <v>0</v>
      </c>
      <c r="AL294" s="404"/>
      <c r="AM294" s="398">
        <f>IF(AL294=0,0,IF(LEN(X294)=11,_xlfn.XLOOKUP(X294,'Dispensed Ink Rates'!C:C,'Dispensed Ink Rates'!CS:CS),VLOOKUP(X294,'Jan-2026 rates'!$E:$F,2,0)))</f>
        <v>0</v>
      </c>
      <c r="AN294" s="404"/>
      <c r="AO294" s="398">
        <f>IF(AN294=0,0,IF(LEN(Y294)=11,_xlfn.XLOOKUP(Y294,'Dispensed Ink Rates'!C:C,'Dispensed Ink Rates'!CS:CS),VLOOKUP(Y294,'Jan-2026 rates'!$E:$F,2,0)))</f>
        <v>0</v>
      </c>
      <c r="AP294" s="409" t="s">
        <v>1881</v>
      </c>
      <c r="AQ294" s="409">
        <f>20+20</f>
        <v>40</v>
      </c>
      <c r="AR294" s="410">
        <f t="shared" si="212"/>
        <v>0</v>
      </c>
      <c r="AS294" s="411">
        <f t="shared" si="213"/>
        <v>23.916666666666664</v>
      </c>
      <c r="AT294" s="410">
        <f t="shared" si="214"/>
        <v>0</v>
      </c>
      <c r="AU294" s="405" t="s">
        <v>856</v>
      </c>
      <c r="AV294" s="409"/>
      <c r="AW294" s="420" t="str">
        <f t="shared" ref="AW294:AW359" si="236">CONCATENATE(CA294," - ",AU294)</f>
        <v>ToyoLi - WHITE</v>
      </c>
      <c r="AX294" s="409"/>
      <c r="AY294" s="411">
        <f>IF(AX294=0,0,IF($LB294=70%,VLOOKUP($AW294,'Jan-2026 rates'!$L:$R,4,0),IF($LB294=65%,VLOOKUP($AW294,'Jan-2026 rates'!$L:$R,4,0),IF($LB294=40%,VLOOKUP($AW294,'Jan-2026 rates'!$L:$R,5,0),IF($LB294=30%,VLOOKUP($AW294,'Jan-2026 rates'!$L:$R,6,0),IF($LB294=100%,VLOOKUP($AW294,'Jan-2026 rates'!$L:$R,7,0),IF($LB294=60%,VLOOKUP($AW294,'Jan-2026 rates'!$L:$S,8,0),IF($LB294=80%,VLOOKUP($AW294,'Jan-2026 rates'!L:T,9,0),0))))))))</f>
        <v>0</v>
      </c>
      <c r="AZ294" s="412"/>
      <c r="BA294" s="409"/>
      <c r="BB294" s="411">
        <f>IF(BA294=0,0,IF($LB294=70%,VLOOKUP($AW294,'Jan-2026 rates'!$L:$R,4,0),IF($LB294=65%,VLOOKUP($AW294,'Jan-2026 rates'!$L:$R,4,0),IF($LB294=40%,VLOOKUP($AW294,'Jan-2026 rates'!$L:$R,5,0),IF($LB294=30%,VLOOKUP($AW294,'Jan-2026 rates'!$L:$R,6,0),IF($LB294=100%,VLOOKUP($AW294,'Jan-2026 rates'!$L:$R,7,0),IF($LB294=60%,VLOOKUP($AW294,'Jan-2026 rates'!$L:$S,8,0),IF($LB294=80%,VLOOKUP($AW294,'Jan-2026 rates'!L:T,9,0),0))))))))</f>
        <v>0</v>
      </c>
      <c r="BC294" s="413" t="s">
        <v>1249</v>
      </c>
      <c r="BD294" s="412"/>
      <c r="BE294" s="412"/>
      <c r="BF294" s="413"/>
      <c r="BG294" s="412"/>
      <c r="BH294" s="412"/>
      <c r="BI294" s="412"/>
      <c r="BJ294" s="412"/>
      <c r="BK294" s="409">
        <f>160+60</f>
        <v>220</v>
      </c>
      <c r="BL294" s="398">
        <f>IF(BK294=0,0,IF(LEN(BC294)=11,_xlfn.XLOOKUP(BC294,'Dispensed Ink Rates'!C:C,'Dispensed Ink Rates'!CS:CS),VLOOKUP(BC294,'Jan-2026 rates'!$E:$F,2,0)))</f>
        <v>0</v>
      </c>
      <c r="BM294" s="409"/>
      <c r="BN294" s="398">
        <f>IF(BM294=0,0,IF(LEN(BD294)=11,_xlfn.XLOOKUP(BD294,'Dispensed Ink Rates'!C:C,'Dispensed Ink Rates'!CS:CS),VLOOKUP(BD294,'Jan-2026 rates'!$E:$F,2,0)))</f>
        <v>0</v>
      </c>
      <c r="BO294" s="409"/>
      <c r="BP294" s="398">
        <f>IF(BO294=0,0,IF(LEN(BE294)=11,_xlfn.XLOOKUP(BE294,'Dispensed Ink Rates'!C:C,'Dispensed Ink Rates'!CS:CS),VLOOKUP(BE294,'Jan-2026 rates'!$E:$F,2,0)))</f>
        <v>0</v>
      </c>
      <c r="BQ294" s="409"/>
      <c r="BR294" s="398">
        <f>IF(BQ294=0,0,IF(LEN(BF294)=11,_xlfn.XLOOKUP(BF294,'Dispensed Ink Rates'!C:C,'Dispensed Ink Rates'!CS:CS),VLOOKUP(BF294,'Jan-2026 rates'!$E:$F,2,0)))</f>
        <v>0</v>
      </c>
      <c r="BS294" s="409"/>
      <c r="BT294" s="398">
        <f>IF(BS294=0,0,IF(LEN(BG294)=11,_xlfn.XLOOKUP(BG294,'Dispensed Ink Rates'!C:C,'Dispensed Ink Rates'!CS:CS),VLOOKUP(BG294,'Jan-2026 rates'!$E:$F,2,0)))</f>
        <v>0</v>
      </c>
      <c r="BU294" s="409"/>
      <c r="BV294" s="398">
        <f>IF(BU294=0,0,IF(LEN(BH294)=11,_xlfn.XLOOKUP(BH294,'Dispensed Ink Rates'!C:C,'Dispensed Ink Rates'!CS:CS),VLOOKUP(BH294,'Jan-2026 rates'!$E:$F,2,0)))</f>
        <v>0</v>
      </c>
      <c r="BW294" s="409"/>
      <c r="BX294" s="398">
        <f>IF(BW294=0,0,IF(LEN(BI294)=11,_xlfn.XLOOKUP(BI294,'Dispensed Ink Rates'!C:C,'Dispensed Ink Rates'!CS:CS),VLOOKUP(BI294,'Jan-2026 rates'!$E:$F,2,0)))</f>
        <v>0</v>
      </c>
      <c r="BY294" s="409"/>
      <c r="BZ294" s="398">
        <f>IF(BY294=0,0,IF(LEN(BJ294)=11,_xlfn.XLOOKUP(BJ294,'Dispensed Ink Rates'!C:C,'Dispensed Ink Rates'!CS:CS),VLOOKUP(BJ294,'Jan-2026 rates'!$E:$F,2,0)))</f>
        <v>0</v>
      </c>
      <c r="CA294" s="409" t="s">
        <v>1881</v>
      </c>
      <c r="CB294" s="409">
        <v>25</v>
      </c>
      <c r="CC294" s="411">
        <f t="shared" si="215"/>
        <v>0</v>
      </c>
      <c r="CD294" s="411">
        <f t="shared" si="216"/>
        <v>436.08333333333331</v>
      </c>
      <c r="CE294" s="410">
        <f t="shared" si="217"/>
        <v>0</v>
      </c>
      <c r="CF294" s="404"/>
      <c r="CG294" s="409"/>
      <c r="CH294" s="420" t="str">
        <f t="shared" si="185"/>
        <v xml:space="preserve"> - </v>
      </c>
      <c r="CI294" s="409"/>
      <c r="CJ294" s="411">
        <f>IF(CI294=0,0,IF($LB294=70%,VLOOKUP($CH294,'Jan-2026 rates'!$L:$R,4,0),IF($LB294=65%,VLOOKUP($CH294,'Jan-2026 rates'!$L:$R,4,0),IF($LB294=40%,VLOOKUP($CH294,'Jan-2026 rates'!$L:$R,5,0),IF($LB294=30%,VLOOKUP($CH294,'Jan-2026 rates'!$L:$R,6,0),IF($LB294=100%,VLOOKUP($CH294,'Jan-2026 rates'!$L:$R,7,0),IF($LB294=60%,VLOOKUP($CH294,'Jan-2026 rates'!$L:$S,8,0),IF($LB294=80%,VLOOKUP($CH294,'Jan-2026 rates'!L:T,9,0),0))))))))</f>
        <v>0</v>
      </c>
      <c r="CK294" s="412"/>
      <c r="CL294" s="409"/>
      <c r="CM294" s="411">
        <f>IF(CL294=0,0,IF($LB294=70%,VLOOKUP($CH294,'Jan-2026 rates'!$L:$R,4,0),IF($LB294=65%,VLOOKUP($CH294,'Jan-2026 rates'!$L:$R,4,0),IF($LB294=40%,VLOOKUP($CH294,'Jan-2026 rates'!$L:$R,5,0),IF($LB294=30%,VLOOKUP($CH294,'Jan-2026 rates'!$L:$R,6,0),IF($LB294=100%,VLOOKUP($CH294,'Jan-2026 rates'!$L:$R,7,0),IF($LB294=60%,VLOOKUP($CH294,'Jan-2026 rates'!$L:$S,8,0),IF($LB294=80%,VLOOKUP($CH294,'Jan-2026 rates'!L:T,9,0),0))))))))</f>
        <v>0</v>
      </c>
      <c r="CN294" s="426"/>
      <c r="CO294" s="427"/>
      <c r="CP294" s="426"/>
      <c r="CQ294" s="426"/>
      <c r="CR294" s="428"/>
      <c r="CS294" s="428"/>
      <c r="CT294" s="428"/>
      <c r="CU294" s="428"/>
      <c r="CV294" s="409"/>
      <c r="CW294" s="398">
        <f>IF(CV294=0,0,IF(LEN(CN294)=11,_xlfn.XLOOKUP(CN294,'Dispensed Ink Rates'!C:C,'Dispensed Ink Rates'!CS:CS),VLOOKUP(CN294,'Jan-2026 rates'!$E:$F,2,0)))</f>
        <v>0</v>
      </c>
      <c r="CX294" s="409"/>
      <c r="CY294" s="398">
        <f>IF(CX294=0,0,IF(LEN(CO294)=11,_xlfn.XLOOKUP(CO294,'Dispensed Ink Rates'!C:C,'Dispensed Ink Rates'!CS:CS),VLOOKUP(CO294,'Jan-2026 rates'!$E:$F,2,0)))</f>
        <v>0</v>
      </c>
      <c r="CZ294" s="409"/>
      <c r="DA294" s="398">
        <f>IF(CZ294=0,0,IF(LEN(CP294)=11,_xlfn.XLOOKUP(CP294,'Dispensed Ink Rates'!C:C,'Dispensed Ink Rates'!CS:CS),VLOOKUP(CP294,'Jan-2026 rates'!$E:$F,2,0)))</f>
        <v>0</v>
      </c>
      <c r="DB294" s="409"/>
      <c r="DC294" s="398">
        <f>IF(DB294=0,0,IF(LEN(CQ294)=11,_xlfn.XLOOKUP(CQ294,'Dispensed Ink Rates'!C:C,'Dispensed Ink Rates'!CS:CS),VLOOKUP(CQ294,'Jan-2026 rates'!$E:$F,2,0)))</f>
        <v>0</v>
      </c>
      <c r="DD294" s="409"/>
      <c r="DE294" s="398">
        <f>IF(DD294=0,0,IF(LEN(CR294)=11,_xlfn.XLOOKUP(CR294,'Dispensed Ink Rates'!C:C,'Dispensed Ink Rates'!CS:CS),VLOOKUP(CR294,'Jan-2026 rates'!$E:$F,2,0)))</f>
        <v>0</v>
      </c>
      <c r="DF294" s="409"/>
      <c r="DG294" s="398">
        <f>IF(DF294=0,0,IF(LEN(CS294)=11,_xlfn.XLOOKUP(CS294,'Dispensed Ink Rates'!C:C,'Dispensed Ink Rates'!CS:CS),VLOOKUP(CS294,'Jan-2026 rates'!$E:$F,2,0)))</f>
        <v>0</v>
      </c>
      <c r="DH294" s="409"/>
      <c r="DI294" s="398">
        <f>IF(DH294=0,0,IF(LEN(CT294)=11,_xlfn.XLOOKUP(CT294,'Dispensed Ink Rates'!C:C,'Dispensed Ink Rates'!CS:CS),VLOOKUP(CT294,'Jan-2026 rates'!$E:$F,2,0)))</f>
        <v>0</v>
      </c>
      <c r="DJ294" s="409"/>
      <c r="DK294" s="398">
        <f>IF(DJ294=0,0,IF(LEN(CU294)=11,_xlfn.XLOOKUP(CU294,'Dispensed Ink Rates'!C:C,'Dispensed Ink Rates'!CS:CS),VLOOKUP(CU294,'Jan-2026 rates'!$E:$F,2,0)))</f>
        <v>0</v>
      </c>
      <c r="DL294" s="409"/>
      <c r="DM294" s="409"/>
      <c r="DN294" s="411">
        <f t="shared" si="218"/>
        <v>0</v>
      </c>
      <c r="DO294" s="411">
        <f t="shared" si="219"/>
        <v>0</v>
      </c>
      <c r="DP294" s="410">
        <f t="shared" si="220"/>
        <v>0</v>
      </c>
      <c r="DQ294" s="405"/>
      <c r="DR294" s="409"/>
      <c r="DS294" s="420" t="str">
        <f t="shared" si="186"/>
        <v xml:space="preserve"> - </v>
      </c>
      <c r="DT294" s="409"/>
      <c r="DU294" s="411">
        <f>IF(DT294=0,0,IF($LB294=70%,VLOOKUP($DS294,'Jan-2026 rates'!$L:$R,4,0),IF($LB294=65%,VLOOKUP($DS294,'Jan-2026 rates'!$L:$R,4,0),IF($LB294=40%,VLOOKUP($DS294,'Jan-2026 rates'!$L:$R,5,0),IF($LB294=30%,VLOOKUP($DS294,'Jan-2026 rates'!$L:$R,6,0),IF($LB294=100%,VLOOKUP($DS294,'Jan-2026 rates'!$L:$R,7,0),IF($LB294=60%,VLOOKUP($DS294,'Jan-2026 rates'!$L:$S,8,0),IF($LB294=80%,VLOOKUP($DS294,'Jan-2026 rates'!L:T,9,0),0))))))))</f>
        <v>0</v>
      </c>
      <c r="DV294" s="412"/>
      <c r="DW294" s="409"/>
      <c r="DX294" s="411">
        <f>IF(DW294=0,0,IF($LB294=70%,VLOOKUP($DS294,'Jan-2026 rates'!$L:$R,4,0),IF($LB294=65%,VLOOKUP($DS294,'Jan-2026 rates'!$L:$R,4,0),IF($LB294=40%,VLOOKUP($DS294,'Jan-2026 rates'!$L:$R,5,0),IF($LB294=30%,VLOOKUP($DS294,'Jan-2026 rates'!$L:$R,6,0),IF($LB294=100%,VLOOKUP($DS294,'Jan-2026 rates'!$L:$R,7,0),IF($LB294=60%,VLOOKUP($DS294,'Jan-2026 rates'!$L:$S,8,0),IF($LB294=80%,VLOOKUP($DS294,'Jan-2026 rates'!L:T,9,0),0))))))))</f>
        <v>0</v>
      </c>
      <c r="DY294" s="413"/>
      <c r="DZ294" s="413"/>
      <c r="EA294" s="412"/>
      <c r="EB294" s="412"/>
      <c r="EC294" s="412"/>
      <c r="ED294" s="412"/>
      <c r="EE294" s="412"/>
      <c r="EF294" s="412"/>
      <c r="EG294" s="409"/>
      <c r="EH294" s="398">
        <f>IF(EG294=0,0,IF(LEN(DY294)=11,_xlfn.XLOOKUP(DY294,'Dispensed Ink Rates'!C:C,'Dispensed Ink Rates'!CS:CS),VLOOKUP(DY294,'Jan-2026 rates'!$E:$F,2,0)))</f>
        <v>0</v>
      </c>
      <c r="EI294" s="409"/>
      <c r="EJ294" s="398">
        <f>IF(EI294=0,0,IF(LEN(DZ294)=11,_xlfn.XLOOKUP(DZ294,'Dispensed Ink Rates'!C:C,'Dispensed Ink Rates'!CS:CS),VLOOKUP(DZ294,'Jan-2026 rates'!$E:$F,2,0)))</f>
        <v>0</v>
      </c>
      <c r="EK294" s="409"/>
      <c r="EL294" s="398">
        <f>IF(EK294=0,0,IF(LEN(EA294)=11,_xlfn.XLOOKUP(EA294,'Dispensed Ink Rates'!C:C,'Dispensed Ink Rates'!CS:CS),VLOOKUP(EA294,'Jan-2026 rates'!$E:$F,2,0)))</f>
        <v>0</v>
      </c>
      <c r="EM294" s="409"/>
      <c r="EN294" s="398">
        <f>IF(EM294=0,0,IF(LEN(EB294)=11,_xlfn.XLOOKUP(EB294,'Dispensed Ink Rates'!C:C,'Dispensed Ink Rates'!CS:CS),VLOOKUP(EB294,'Jan-2026 rates'!$E:$F,2,0)))</f>
        <v>0</v>
      </c>
      <c r="EO294" s="409"/>
      <c r="EP294" s="398">
        <f>IF(EO294=0,0,IF(LEN(EC294)=11,_xlfn.XLOOKUP(EC294,'Dispensed Ink Rates'!C:C,'Dispensed Ink Rates'!CS:CS),VLOOKUP(EC294,'Jan-2026 rates'!$E:$F,2,0)))</f>
        <v>0</v>
      </c>
      <c r="EQ294" s="409"/>
      <c r="ER294" s="398">
        <f>IF(EQ294=0,0,IF(LEN(ED294)=11,_xlfn.XLOOKUP(ED294,'Dispensed Ink Rates'!C:C,'Dispensed Ink Rates'!CS:CS),VLOOKUP(ED294,'Jan-2026 rates'!$E:$F,2,0)))</f>
        <v>0</v>
      </c>
      <c r="ES294" s="409"/>
      <c r="ET294" s="398">
        <f>IF(ES294=0,0,IF(LEN(EE294)=11,_xlfn.XLOOKUP(EE294,'Dispensed Ink Rates'!C:C,'Dispensed Ink Rates'!CS:CS),VLOOKUP(EE294,'Jan-2026 rates'!$E:$F,2,0)))</f>
        <v>0</v>
      </c>
      <c r="EU294" s="409"/>
      <c r="EV294" s="398">
        <f>IF(EU294=0,0,IF(LEN(EF294)=11,_xlfn.XLOOKUP(EF294,'Dispensed Ink Rates'!C:C,'Dispensed Ink Rates'!CS:CS),VLOOKUP(EF294,'Jan-2026 rates'!$E:$F,2,0)))</f>
        <v>0</v>
      </c>
      <c r="EW294" s="409"/>
      <c r="EX294" s="409"/>
      <c r="EY294" s="411">
        <f t="shared" si="221"/>
        <v>0</v>
      </c>
      <c r="EZ294" s="411">
        <f t="shared" si="222"/>
        <v>0</v>
      </c>
      <c r="FA294" s="410">
        <f t="shared" si="223"/>
        <v>0</v>
      </c>
      <c r="FB294" s="405"/>
      <c r="FC294" s="409"/>
      <c r="FD294" s="420" t="str">
        <f t="shared" si="187"/>
        <v xml:space="preserve"> - </v>
      </c>
      <c r="FE294" s="409"/>
      <c r="FF294" s="411">
        <f>IF(FE294=0,0,IF($LB294=70%,VLOOKUP($FD294,'Jan-2026 rates'!$L:$R,4,0),IF($LB294=65%,VLOOKUP($FD294,'Jan-2026 rates'!$L:$R,4,0),IF($LB294=40%,VLOOKUP($FD294,'Jan-2026 rates'!$L:$R,5,0),IF($LB294=30%,VLOOKUP($FD294,'Jan-2026 rates'!$L:$R,6,0),IF($LB294=100%,VLOOKUP($FD294,'Jan-2026 rates'!$L:$R,7,0),IF($LB294=60%,VLOOKUP($FD294,'Jan-2026 rates'!$L:$S,8,0),IF($LB294=80%,VLOOKUP($FD294,'Jan-2026 rates'!L:T,9,0),0))))))))</f>
        <v>0</v>
      </c>
      <c r="FG294" s="412"/>
      <c r="FH294" s="409"/>
      <c r="FI294" s="411">
        <f>IF(FH294=0,0,IF($LB294=70%,VLOOKUP($FD294,'Jan-2026 rates'!$L:$R,4,0),IF($LB294=65%,VLOOKUP($FD294,'Jan-2026 rates'!$L:$R,4,0),IF($LB294=40%,VLOOKUP($FD294,'Jan-2026 rates'!$L:$R,5,0),IF($LB294=30%,VLOOKUP($FD294,'Jan-2026 rates'!$L:$R,6,0),IF($LB294=100%,VLOOKUP($FD294,'Jan-2026 rates'!$L:$R,7,0),IF($LB294=60%,VLOOKUP($FD294,'Jan-2026 rates'!$L:$S,8,0),IF($LB294=80%,VLOOKUP($FD294,'Jan-2026 rates'!L:T,9,0),0))))))))</f>
        <v>0</v>
      </c>
      <c r="FJ294" s="413"/>
      <c r="FK294" s="413"/>
      <c r="FL294" s="413"/>
      <c r="FM294" s="412"/>
      <c r="FN294" s="412"/>
      <c r="FO294" s="412"/>
      <c r="FP294" s="412"/>
      <c r="FQ294" s="412"/>
      <c r="FR294" s="409"/>
      <c r="FS294" s="398">
        <f>IF(FR294=0,0,IF(LEN(FJ294)=11,_xlfn.XLOOKUP(FJ294,'Dispensed Ink Rates'!C:C,'Dispensed Ink Rates'!CS:CS),VLOOKUP(FJ294,'Jan-2026 rates'!$E:$F,2,0)))</f>
        <v>0</v>
      </c>
      <c r="FT294" s="409"/>
      <c r="FU294" s="398">
        <f>IF(FT294=0,0,IF(LEN(FK294)=11,_xlfn.XLOOKUP(FK294,'Dispensed Ink Rates'!C:C,'Dispensed Ink Rates'!CS:CS),VLOOKUP(FK294,'Jan-2026 rates'!$E:$F,2,0)))</f>
        <v>0</v>
      </c>
      <c r="FV294" s="409"/>
      <c r="FW294" s="398">
        <f>IF(FV294=0,0,IF(LEN(FL294)=11,_xlfn.XLOOKUP(FL294,'Dispensed Ink Rates'!C:C,'Dispensed Ink Rates'!CS:CS),VLOOKUP(FL294,'Jan-2026 rates'!$E:$F,2,0)))</f>
        <v>0</v>
      </c>
      <c r="FX294" s="409"/>
      <c r="FY294" s="398">
        <f>IF(FX294=0,0,IF(LEN(FM294)=11,_xlfn.XLOOKUP(FM294,'Dispensed Ink Rates'!C:C,'Dispensed Ink Rates'!CS:CS),VLOOKUP(FM294,'Jan-2026 rates'!$E:$F,2,0)))</f>
        <v>0</v>
      </c>
      <c r="FZ294" s="409"/>
      <c r="GA294" s="398">
        <f>IF(FZ294=0,0,IF(LEN(FN294)=11,_xlfn.XLOOKUP(FN294,'Dispensed Ink Rates'!C:C,'Dispensed Ink Rates'!CS:CS),VLOOKUP(FN294,'Jan-2026 rates'!$E:$F,2,0)))</f>
        <v>0</v>
      </c>
      <c r="GB294" s="409"/>
      <c r="GC294" s="398">
        <f>IF(GB294=0,0,IF(LEN(FO294)=11,_xlfn.XLOOKUP(FO294,'Dispensed Ink Rates'!C:C,'Dispensed Ink Rates'!CS:CS),VLOOKUP(FO294,'Jan-2026 rates'!$E:$F,2,0)))</f>
        <v>0</v>
      </c>
      <c r="GD294" s="409"/>
      <c r="GE294" s="398">
        <f>IF(GD294=0,0,IF(LEN(FP294)=11,_xlfn.XLOOKUP(FP294,'Dispensed Ink Rates'!C:C,'Dispensed Ink Rates'!CS:CS),VLOOKUP(FP294,'Jan-2026 rates'!$E:$F,2,0)))</f>
        <v>0</v>
      </c>
      <c r="GF294" s="409"/>
      <c r="GG294" s="398">
        <f>IF(GF294=0,0,IF(LEN(FQ294)=11,_xlfn.XLOOKUP(FQ294,'Dispensed Ink Rates'!C:C,'Dispensed Ink Rates'!CS:CS),VLOOKUP(FQ294,'Jan-2026 rates'!$E:$F,2,0)))</f>
        <v>0</v>
      </c>
      <c r="GH294" s="409"/>
      <c r="GI294" s="409"/>
      <c r="GJ294" s="411">
        <f t="shared" si="224"/>
        <v>0</v>
      </c>
      <c r="GK294" s="411">
        <f t="shared" si="225"/>
        <v>0</v>
      </c>
      <c r="GL294" s="410">
        <f t="shared" si="226"/>
        <v>0</v>
      </c>
      <c r="GM294" s="405"/>
      <c r="GN294" s="409"/>
      <c r="GO294" s="420" t="str">
        <f t="shared" si="188"/>
        <v xml:space="preserve"> - </v>
      </c>
      <c r="GP294" s="409"/>
      <c r="GQ294" s="411">
        <f>IF(GP294=0,0,IF($LB294=70%,VLOOKUP($GO294,'Jan-2026 rates'!$L:$R,4,0),IF($LB294=65%,VLOOKUP($GO294,'Jan-2026 rates'!$L:$R,4,0),IF($LB294=40%,VLOOKUP($GO294,'Jan-2026 rates'!$L:$R,5,0),IF($LB294=30%,VLOOKUP($GO294,'Jan-2026 rates'!$L:$R,6,0),IF($LB294=100%,VLOOKUP($GO294,'Jan-2026 rates'!$L:$R,7,0),IF($LB294=60%,VLOOKUP($GO294,'Jan-2026 rates'!$L:$S,8,0),IF($LB294=80%,VLOOKUP($GO294,'Jan-2026 rates'!L:T,9,0),0))))))))</f>
        <v>0</v>
      </c>
      <c r="GR294" s="412"/>
      <c r="GS294" s="409"/>
      <c r="GT294" s="411">
        <f>IF(GS294=0,0,IF($LB294=70%,VLOOKUP($GO294,'Jan-2026 rates'!$L:$R,4,0),IF($LB294=65%,VLOOKUP($GO294,'Jan-2026 rates'!$L:$R,4,0),IF($LB294=40%,VLOOKUP($GO294,'Jan-2026 rates'!$L:$R,5,0),IF($LB294=30%,VLOOKUP($GO294,'Jan-2026 rates'!$L:$R,6,0),IF($LB294=100%,VLOOKUP($GO294,'Jan-2026 rates'!$L:$R,7,0),IF($LB294=60%,VLOOKUP($GO294,'Jan-2026 rates'!$L:$S,8,0),IF($LB294=80%,VLOOKUP($GO294,'Jan-2026 rates'!L:T,9,0),0))))))))</f>
        <v>0</v>
      </c>
      <c r="GU294" s="413"/>
      <c r="GV294" s="413"/>
      <c r="GW294" s="412"/>
      <c r="GX294" s="412"/>
      <c r="GY294" s="412"/>
      <c r="GZ294" s="412"/>
      <c r="HA294" s="412"/>
      <c r="HB294" s="412"/>
      <c r="HC294" s="409"/>
      <c r="HD294" s="398">
        <f>IF(HC294=0,0,IF(LEN(GU294)=11,_xlfn.XLOOKUP(GU294,'Dispensed Ink Rates'!C:C,'Dispensed Ink Rates'!CS:CS),VLOOKUP(GU294,'Jan-2026 rates'!$E:$F,2,0)))</f>
        <v>0</v>
      </c>
      <c r="HE294" s="409"/>
      <c r="HF294" s="398">
        <f>IF(HE294=0,0,IF(LEN(GV294)=11,_xlfn.XLOOKUP(GV294,'Dispensed Ink Rates'!C:C,'Dispensed Ink Rates'!CS:CS),VLOOKUP(GV294,'Jan-2026 rates'!$E:$F,2,0)))</f>
        <v>0</v>
      </c>
      <c r="HG294" s="409"/>
      <c r="HH294" s="398">
        <f>IF(HG294=0,0,IF(LEN(GW294)=11,_xlfn.XLOOKUP(GW294,'Dispensed Ink Rates'!C:C,'Dispensed Ink Rates'!CS:CS),VLOOKUP(GW294,'Jan-2026 rates'!$E:$F,2,0)))</f>
        <v>0</v>
      </c>
      <c r="HI294" s="409"/>
      <c r="HJ294" s="398">
        <f>IF(HI294=0,0,IF(LEN(GX294)=11,_xlfn.XLOOKUP(GX294,'Dispensed Ink Rates'!C:C,'Dispensed Ink Rates'!CS:CS),VLOOKUP(GX294,'Jan-2026 rates'!$E:$F,2,0)))</f>
        <v>0</v>
      </c>
      <c r="HK294" s="409"/>
      <c r="HL294" s="398">
        <f>IF(HK294=0,0,IF(LEN(GY294)=11,_xlfn.XLOOKUP(GY294,'Dispensed Ink Rates'!C:C,'Dispensed Ink Rates'!CS:CS),VLOOKUP(GY294,'Jan-2026 rates'!$E:$F,2,0)))</f>
        <v>0</v>
      </c>
      <c r="HM294" s="409"/>
      <c r="HN294" s="398">
        <f>IF(HM294=0,0,IF(LEN(GZ294)=11,_xlfn.XLOOKUP(GZ294,'Dispensed Ink Rates'!C:C,'Dispensed Ink Rates'!CS:CS),VLOOKUP(GZ294,'Jan-2026 rates'!$E:$F,2,0)))</f>
        <v>0</v>
      </c>
      <c r="HO294" s="409"/>
      <c r="HP294" s="398">
        <f>IF(HO294=0,0,IF(LEN(HA294)=11,_xlfn.XLOOKUP(HA294,'Dispensed Ink Rates'!C:C,'Dispensed Ink Rates'!CS:CS),VLOOKUP(HA294,'Jan-2026 rates'!$E:$F,2,0)))</f>
        <v>0</v>
      </c>
      <c r="HQ294" s="409"/>
      <c r="HR294" s="398">
        <f>IF(HQ294=0,0,IF(LEN(HB294)=11,_xlfn.XLOOKUP(HB294,'Dispensed Ink Rates'!C:C,'Dispensed Ink Rates'!CS:CS),VLOOKUP(HB294,'Jan-2026 rates'!$E:$F,2,0)))</f>
        <v>0</v>
      </c>
      <c r="HS294" s="409"/>
      <c r="HT294" s="409"/>
      <c r="HU294" s="411">
        <f t="shared" si="227"/>
        <v>0</v>
      </c>
      <c r="HV294" s="411">
        <f t="shared" si="228"/>
        <v>0</v>
      </c>
      <c r="HW294" s="414">
        <f t="shared" si="229"/>
        <v>0</v>
      </c>
      <c r="HX294" s="405"/>
      <c r="HY294" s="409"/>
      <c r="HZ294" s="420" t="str">
        <f t="shared" si="189"/>
        <v xml:space="preserve"> - </v>
      </c>
      <c r="IA294" s="409"/>
      <c r="IB294" s="411">
        <f>IF(IA294=0,0,IF($LB294=70%,VLOOKUP($HZ294,'Jan-2026 rates'!$L:$R,4,0),IF($LB294=65%,VLOOKUP($HZ294,'Jan-2026 rates'!$L:$R,4,0),IF($LB294=40%,VLOOKUP($HZ294,'Jan-2026 rates'!$L:$R,5,0),IF($LB294=30%,VLOOKUP($HZ294,'Jan-2026 rates'!$L:$R,6,0),IF($LB294=100%,VLOOKUP($HZ294,'Jan-2026 rates'!$L:$R,7,0),IF($LB294=60%,VLOOKUP($HZ294,'Jan-2026 rates'!$L:$S,8,0),IF($LB294=80%,VLOOKUP($HZ294,'Jan-2026 rates'!L:T,9,0),0))))))))</f>
        <v>0</v>
      </c>
      <c r="IC294" s="412"/>
      <c r="ID294" s="409"/>
      <c r="IE294" s="411">
        <f>IF(ID294=0,0,IF($LB294=70%,VLOOKUP($HZ294,'Jan-2026 rates'!$L:$R,4,0),IF($LB294=65%,VLOOKUP($HZ294,'Jan-2026 rates'!$L:$R,4,0),IF($LB294=40%,VLOOKUP($HZ294,'Jan-2026 rates'!$L:$R,5,0),IF($LB294=30%,VLOOKUP($HZ294,'Jan-2026 rates'!$L:$R,6,0),IF($LB294=100%,VLOOKUP($HZ294,'Jan-2026 rates'!$L:$R,7,0),IF($LB294=60%,VLOOKUP($HZ294,'Jan-2026 rates'!$L:$S,8,0),IF($LB294=80%,VLOOKUP($HZ294,'Jan-2026 rates'!L:T,9,0),0))))))))</f>
        <v>0</v>
      </c>
      <c r="IF294" s="412"/>
      <c r="IG294" s="413"/>
      <c r="IH294" s="412"/>
      <c r="II294" s="412"/>
      <c r="IJ294" s="412"/>
      <c r="IK294" s="412"/>
      <c r="IL294" s="412"/>
      <c r="IM294" s="412"/>
      <c r="IN294" s="409"/>
      <c r="IO294" s="398">
        <f>IF(IN294=0,0,IF(LEN(IF294)=11,_xlfn.XLOOKUP(IF294,'Dispensed Ink Rates'!C:C,'Dispensed Ink Rates'!CS:CS),VLOOKUP(IF294,'Jan-2026 rates'!$E:$F,2,0)))</f>
        <v>0</v>
      </c>
      <c r="IP294" s="409"/>
      <c r="IQ294" s="398">
        <f>IF(IP294=0,0,IF(LEN(IG294)=11,_xlfn.XLOOKUP(IG294,'Dispensed Ink Rates'!C:C,'Dispensed Ink Rates'!CS:CS),VLOOKUP(IG294,'Jan-2026 rates'!$E:$F,2,0)))</f>
        <v>0</v>
      </c>
      <c r="IR294" s="409"/>
      <c r="IS294" s="398">
        <f>IF(IR294=0,0,IF(LEN(IH294)=11,_xlfn.XLOOKUP(IH294,'Dispensed Ink Rates'!C:C,'Dispensed Ink Rates'!CS:CS),VLOOKUP(IH294,'Jan-2026 rates'!$E:$F,2,0)))</f>
        <v>0</v>
      </c>
      <c r="IT294" s="409"/>
      <c r="IU294" s="398">
        <f>IF(IT294=0,0,IF(LEN(II294)=11,_xlfn.XLOOKUP(II294,'Dispensed Ink Rates'!C:C,'Dispensed Ink Rates'!CS:CS),VLOOKUP(II294,'Jan-2026 rates'!$E:$F,2,0)))</f>
        <v>0</v>
      </c>
      <c r="IV294" s="409"/>
      <c r="IW294" s="398">
        <f>IF(IV294=0,0,IF(LEN(IJ294)=11,_xlfn.XLOOKUP(IJ294,'Dispensed Ink Rates'!C:C,'Dispensed Ink Rates'!CS:CS),VLOOKUP(IJ294,'Jan-2026 rates'!$E:$F,2,0)))</f>
        <v>0</v>
      </c>
      <c r="IX294" s="409"/>
      <c r="IY294" s="398">
        <f>IF(IX294=0,0,IF(LEN(IK294)=11,_xlfn.XLOOKUP(IK294,'Dispensed Ink Rates'!C:C,'Dispensed Ink Rates'!CS:CS),VLOOKUP(IK294,'Jan-2026 rates'!$E:$F,2,0)))</f>
        <v>0</v>
      </c>
      <c r="IZ294" s="409"/>
      <c r="JA294" s="398">
        <f>IF(IZ294=0,0,IF(LEN(IL294)=11,_xlfn.XLOOKUP(IL294,'Dispensed Ink Rates'!C:C,'Dispensed Ink Rates'!CS:CS),VLOOKUP(IL294,'Jan-2026 rates'!$E:$F,2,0)))</f>
        <v>0</v>
      </c>
      <c r="JB294" s="409"/>
      <c r="JC294" s="398">
        <f>IF(JB294=0,0,IF(LEN(IM294)=11,_xlfn.XLOOKUP(IM294,'Dispensed Ink Rates'!C:C,'Dispensed Ink Rates'!CS:CS),VLOOKUP(IM294,'Jan-2026 rates'!$E:$F,2,0)))</f>
        <v>0</v>
      </c>
      <c r="JD294" s="409"/>
      <c r="JE294" s="409"/>
      <c r="JF294" s="411">
        <f t="shared" si="230"/>
        <v>0</v>
      </c>
      <c r="JG294" s="411">
        <f t="shared" si="231"/>
        <v>0</v>
      </c>
      <c r="JH294" s="410">
        <f t="shared" si="232"/>
        <v>0</v>
      </c>
      <c r="JI294" s="405"/>
      <c r="JJ294" s="409"/>
      <c r="JK294" s="420" t="str">
        <f t="shared" si="190"/>
        <v xml:space="preserve"> - </v>
      </c>
      <c r="JL294" s="409"/>
      <c r="JM294" s="411">
        <f>IF(JL294=0,0,IF($LB294=70%,VLOOKUP($JK294,'Jan-2026 rates'!$L:$R,4,0),IF($LB294=65%,VLOOKUP($JK294,'Jan-2026 rates'!$L:$R,4,0),IF($LB294=40%,VLOOKUP($JK294,'Jan-2026 rates'!$L:$R,5,0),IF($LB294=30%,VLOOKUP($JK294,'Jan-2026 rates'!$L:$R,6,0),IF($LB294=100%,VLOOKUP($JK294,'Jan-2026 rates'!$L:$R,7,0),IF($LB294=60%,VLOOKUP($JK294,'Jan-2026 rates'!$L:$S,8,0),IF($LB294=80%,VLOOKUP($JK294,'Jan-2026 rates'!L:T,9,0),0))))))))</f>
        <v>0</v>
      </c>
      <c r="JN294" s="412"/>
      <c r="JO294" s="409"/>
      <c r="JP294" s="411">
        <f>IF(JO294=0,0,IF($LB294=70%,VLOOKUP($JK294,'Jan-2026 rates'!$L:$R,4,0),IF($LB294=65%,VLOOKUP($JK294,'Jan-2026 rates'!$L:$R,4,0),IF($LB294=40%,VLOOKUP($JK294,'Jan-2026 rates'!$L:$R,5,0),IF($LB294=30%,VLOOKUP($JK294,'Jan-2026 rates'!$L:$R,6,0),IF($LB294=100%,VLOOKUP($JK294,'Jan-2026 rates'!$L:$R,7,0),IF($LB294=60%,VLOOKUP($JK294,'Jan-2026 rates'!$L:$S,8,0),IF($LB294=80%,VLOOKUP($JK294,'Jan-2026 rates'!L:T,9,0),0))))))))</f>
        <v>0</v>
      </c>
      <c r="JQ294" s="413"/>
      <c r="JR294" s="412"/>
      <c r="JS294" s="413"/>
      <c r="JT294" s="413"/>
      <c r="JU294" s="412"/>
      <c r="JV294" s="412"/>
      <c r="JW294" s="412"/>
      <c r="JX294" s="412"/>
      <c r="JY294" s="409"/>
      <c r="JZ294" s="398">
        <f>IF(JY294=0,0,IF(LEN(JQ294)=11,_xlfn.XLOOKUP(JQ294,'Dispensed Ink Rates'!C:C,'Dispensed Ink Rates'!CS:CS),VLOOKUP(JQ294,'Jan-2026 rates'!$E:$F,2,0)))</f>
        <v>0</v>
      </c>
      <c r="KA294" s="409"/>
      <c r="KB294" s="398">
        <f>IF(KA294=0,0,IF(LEN(JR294)=11,_xlfn.XLOOKUP(JR294,'Dispensed Ink Rates'!C:C,'Dispensed Ink Rates'!CS:CS),VLOOKUP(JR294,'Jan-2026 rates'!$E:$F,2,0)))</f>
        <v>0</v>
      </c>
      <c r="KC294" s="409"/>
      <c r="KD294" s="398">
        <f>IF(KC294=0,0,IF(LEN(JS294)=11,_xlfn.XLOOKUP(JS294,'Dispensed Ink Rates'!C:C,'Dispensed Ink Rates'!CS:CS),VLOOKUP(JS294,'Jan-2026 rates'!$E:$F,2,0)))</f>
        <v>0</v>
      </c>
      <c r="KE294" s="409"/>
      <c r="KF294" s="398">
        <f>IF(KE294=0,0,IF(LEN(JT294)=11,_xlfn.XLOOKUP(JT294,'Dispensed Ink Rates'!C:C,'Dispensed Ink Rates'!CS:CS),VLOOKUP(JT294,'Jan-2026 rates'!$E:$F,2,0)))</f>
        <v>0</v>
      </c>
      <c r="KG294" s="409"/>
      <c r="KH294" s="398">
        <f>IF(KG294=0,0,IF(LEN(JU294)=11,_xlfn.XLOOKUP(JU294,'Dispensed Ink Rates'!C:C,'Dispensed Ink Rates'!CS:CS),VLOOKUP(JU294,'Jan-2026 rates'!$E:$F,2,0)))</f>
        <v>0</v>
      </c>
      <c r="KI294" s="409"/>
      <c r="KJ294" s="398">
        <f>IF(KI294=0,0,IF(LEN(JV294)=11,_xlfn.XLOOKUP(JV294,'Dispensed Ink Rates'!C:C,'Dispensed Ink Rates'!CS:CS),VLOOKUP(JV294,'Jan-2026 rates'!$E:$F,2,0)))</f>
        <v>0</v>
      </c>
      <c r="KK294" s="409"/>
      <c r="KL294" s="398">
        <f>IF(KK294=0,0,IF(LEN(JW294)=11,_xlfn.XLOOKUP(JW294,'Dispensed Ink Rates'!C:C,'Dispensed Ink Rates'!CS:CS),VLOOKUP(JW294,'Jan-2026 rates'!$E:$F,2,0)))</f>
        <v>0</v>
      </c>
      <c r="KM294" s="428"/>
      <c r="KN294" s="398">
        <f>IF(KM294=0,0,IF(LEN(JX294)=11,_xlfn.XLOOKUP(JX294,'Dispensed Ink Rates'!C:C,'Dispensed Ink Rates'!CS:CS),VLOOKUP(JX294,'Jan-2026 rates'!$E:$F,2,0)))</f>
        <v>0</v>
      </c>
      <c r="KO294" s="409"/>
      <c r="KP294" s="409"/>
      <c r="KQ294" s="411">
        <f t="shared" si="233"/>
        <v>0</v>
      </c>
      <c r="KR294" s="411">
        <f t="shared" si="234"/>
        <v>0</v>
      </c>
      <c r="KS294" s="410">
        <f t="shared" si="235"/>
        <v>0</v>
      </c>
      <c r="KT294" s="409">
        <v>10</v>
      </c>
      <c r="KU294" s="409">
        <f>70+40</f>
        <v>110</v>
      </c>
      <c r="KV294" s="409">
        <v>0</v>
      </c>
      <c r="KW294" s="409">
        <v>0</v>
      </c>
      <c r="KX294" s="409">
        <v>0</v>
      </c>
      <c r="KY294" s="409">
        <v>0</v>
      </c>
      <c r="KZ294" s="409">
        <v>0</v>
      </c>
      <c r="LA294" s="409">
        <v>0</v>
      </c>
      <c r="LB294" s="415">
        <v>0.3</v>
      </c>
      <c r="LC294" s="415"/>
      <c r="LD294" s="424"/>
      <c r="LE294" s="415">
        <v>0.5</v>
      </c>
      <c r="LF294" s="415">
        <v>0.2</v>
      </c>
      <c r="LG294" s="409">
        <v>0</v>
      </c>
      <c r="LH294" s="409">
        <f>110+40+30+50+5+5+3+20</f>
        <v>263</v>
      </c>
      <c r="LI294" s="409">
        <v>0</v>
      </c>
      <c r="LJ294" s="409">
        <v>0</v>
      </c>
      <c r="LK294" s="416">
        <f t="shared" si="191"/>
        <v>263</v>
      </c>
      <c r="LL294" s="416">
        <f t="shared" ref="LL294:LL359" si="237">IF(LK294&lt;=0,SUM(KT294:LA294),LK294)</f>
        <v>263</v>
      </c>
      <c r="LM294" s="417">
        <f t="shared" si="193"/>
        <v>78.899999999999991</v>
      </c>
      <c r="LN294" s="417">
        <f>VLOOKUP($LM$8,'Jan-2026 rates'!$H:$I,2,0)</f>
        <v>0</v>
      </c>
      <c r="LO294" s="417">
        <f t="shared" si="194"/>
        <v>0</v>
      </c>
      <c r="LP294" s="417">
        <f>VLOOKUP($LO$8,'Jan-2026 rates'!$H:$I,2,0)</f>
        <v>0</v>
      </c>
      <c r="LQ294" s="417">
        <f t="shared" si="195"/>
        <v>0</v>
      </c>
      <c r="LR294" s="417">
        <f>VLOOKUP($LQ$8,'Jan-2026 rates'!$H:$I,2,0)</f>
        <v>0</v>
      </c>
      <c r="LS294" s="417">
        <f t="shared" si="196"/>
        <v>131.5</v>
      </c>
      <c r="LT294" s="417">
        <f>VLOOKUP($LS$8,'Jan-2026 rates'!$H:$I,2,0)</f>
        <v>0</v>
      </c>
      <c r="LU294" s="417">
        <f t="shared" si="197"/>
        <v>52.6</v>
      </c>
      <c r="LV294" s="417">
        <f>VLOOKUP($LU$8,'Jan-2026 rates'!$H:$I,2,0)</f>
        <v>0</v>
      </c>
      <c r="LW294" s="417">
        <f t="shared" si="198"/>
        <v>0</v>
      </c>
      <c r="LX294" s="417">
        <f t="shared" si="199"/>
        <v>0</v>
      </c>
      <c r="LY294" s="418">
        <f t="shared" si="200"/>
        <v>0</v>
      </c>
      <c r="LZ294" s="417"/>
      <c r="MA294" s="435">
        <f t="shared" si="201"/>
        <v>237</v>
      </c>
      <c r="MB294" s="282">
        <f t="shared" si="202"/>
        <v>460</v>
      </c>
      <c r="MC294" s="283" t="s">
        <v>2033</v>
      </c>
      <c r="MD294" s="284" t="str">
        <f t="shared" si="203"/>
        <v>ToyoLiToyoLi</v>
      </c>
      <c r="ME294" s="293" t="str">
        <f t="shared" si="204"/>
        <v>+</v>
      </c>
      <c r="MF294" s="293" t="str">
        <f t="shared" si="205"/>
        <v>+</v>
      </c>
      <c r="MG294" s="293" t="str">
        <f t="shared" si="206"/>
        <v>NIL</v>
      </c>
      <c r="MH294" s="293" t="str">
        <f t="shared" si="207"/>
        <v>NIL</v>
      </c>
      <c r="MI294" s="293" t="str">
        <f t="shared" si="208"/>
        <v>NIL</v>
      </c>
      <c r="MJ294" s="293" t="str">
        <f t="shared" si="209"/>
        <v>NIL</v>
      </c>
      <c r="MK294" s="293" t="str">
        <f t="shared" si="210"/>
        <v>NIL</v>
      </c>
      <c r="ML294" s="293" t="str">
        <f t="shared" si="211"/>
        <v>NIL</v>
      </c>
      <c r="MM294" s="3" t="b">
        <f t="array" ref="MM294">OR(ME294:ML294="-")</f>
        <v>0</v>
      </c>
      <c r="MO294" s="401">
        <f t="shared" ref="MO294:MO359" si="238">+MB294/E294*100</f>
        <v>61.170212765957444</v>
      </c>
      <c r="MP294" s="286"/>
      <c r="MR294" s="402">
        <f t="shared" ref="MR294:MR359" si="239">+MB294/F294</f>
        <v>9.3877551020408161E-3</v>
      </c>
      <c r="MS294" s="400">
        <f t="shared" ref="MS294:MS359" si="240">+LY294/MB294</f>
        <v>0</v>
      </c>
      <c r="MT294" s="285"/>
      <c r="NH294" s="361"/>
      <c r="NJ294" s="282"/>
    </row>
    <row r="295" spans="1:374" ht="16.5">
      <c r="A295" s="403">
        <v>46041</v>
      </c>
      <c r="B295" s="404" t="s">
        <v>1018</v>
      </c>
      <c r="C295" s="405" t="s">
        <v>4378</v>
      </c>
      <c r="D295" s="404" t="s">
        <v>2034</v>
      </c>
      <c r="E295" s="404">
        <v>472</v>
      </c>
      <c r="F295" s="407">
        <v>41400</v>
      </c>
      <c r="G295" s="407" t="s">
        <v>1016</v>
      </c>
      <c r="H295" s="408" t="s">
        <v>1017</v>
      </c>
      <c r="I295" s="409">
        <v>2</v>
      </c>
      <c r="J295" s="405" t="s">
        <v>543</v>
      </c>
      <c r="K295" s="404" t="s">
        <v>4379</v>
      </c>
      <c r="L295" s="419" t="str">
        <f t="shared" si="184"/>
        <v>ToyoLi - BLACK</v>
      </c>
      <c r="M295" s="404">
        <v>12</v>
      </c>
      <c r="N295" s="410">
        <f>IF(M295=0,0,IF($LB295=70%,VLOOKUP($L295,'Jan-2026 rates'!$L:$R,4,0),IF($LB295=65%,VLOOKUP($L295,'Jan-2026 rates'!$L:$R,4,0),IF($LB295=40%,VLOOKUP($L295,'Jan-2026 rates'!$L:$R,5,0),IF($LB295=30%,VLOOKUP($L295,'Jan-2026 rates'!$L:$R,6,0),IF($LB295=100%,VLOOKUP($L295,'Jan-2026 rates'!$L:$R,7,0),IF($LB295=60%,VLOOKUP($L295,'Jan-2026 rates'!$L:$S,8,0),IF($LB295=80%,VLOOKUP($L295,'Jan-2026 rates'!L:T,9,0),0))))))))</f>
        <v>0</v>
      </c>
      <c r="O295" s="406" t="s">
        <v>2124</v>
      </c>
      <c r="P295" s="404">
        <v>20</v>
      </c>
      <c r="Q295" s="410">
        <f>IF(P295=0,0,IF($LB295=70%,VLOOKUP($L295,'Jan-2026 rates'!$L:$R,4,0),IF($LB295=65%,VLOOKUP($L295,'Jan-2026 rates'!$L:$R,4,0),IF($LB295=40%,VLOOKUP($L295,'Jan-2026 rates'!$L:$R,5,0),IF($LB295=30%,VLOOKUP($L295,'Jan-2026 rates'!$L:$R,6,0),IF($LB295=100%,VLOOKUP($L295,'Jan-2026 rates'!$L:$R,7,0),IF($LB295=60%,VLOOKUP($L295,'Jan-2026 rates'!$L:$S,8,0),IF($LB295=80%,VLOOKUP($L295,'Jan-2026 rates'!L:T,9,0),0))))))))</f>
        <v>0</v>
      </c>
      <c r="R295" s="406" t="s">
        <v>1921</v>
      </c>
      <c r="S295" s="406"/>
      <c r="T295" s="406"/>
      <c r="U295" s="406"/>
      <c r="V295" s="406"/>
      <c r="W295" s="406"/>
      <c r="X295" s="406"/>
      <c r="Y295" s="406"/>
      <c r="Z295" s="404">
        <v>5</v>
      </c>
      <c r="AA295" s="398">
        <f>IF(Z295=0,0,IF(LEN(R295)=11,_xlfn.XLOOKUP(R295,'Dispensed Ink Rates'!C:C,'Dispensed Ink Rates'!CS:CS),VLOOKUP(R295,'Jan-2026 rates'!$E:$F,2,0)))</f>
        <v>0</v>
      </c>
      <c r="AB295" s="404"/>
      <c r="AC295" s="398">
        <f>IF(AB295=0,0,IF(LEN(S295)=11,_xlfn.XLOOKUP(S295,'Dispensed Ink Rates'!C:C,'Dispensed Ink Rates'!CS:CS),VLOOKUP(S295,'Jan-2026 rates'!$E:$F,2,0)))</f>
        <v>0</v>
      </c>
      <c r="AD295" s="404"/>
      <c r="AE295" s="398">
        <f>IF(AD295=0,0,IF(LEN(T295)=11,_xlfn.XLOOKUP(T295,'Dispensed Ink Rates'!C:C,'Dispensed Ink Rates'!CS:CS),VLOOKUP(T295,'Jan-2026 rates'!$E:$F,2,0)))</f>
        <v>0</v>
      </c>
      <c r="AF295" s="404"/>
      <c r="AG295" s="398">
        <f>IF(AF295=0,0,IF(LEN(U295)=11,_xlfn.XLOOKUP(U295,'Dispensed Ink Rates'!C:C,'Dispensed Ink Rates'!CS:CS),VLOOKUP(U295,'Jan-2026 rates'!$E:$F,2,0)))</f>
        <v>0</v>
      </c>
      <c r="AH295" s="404"/>
      <c r="AI295" s="398">
        <f>IF(AH295=0,0,IF(LEN(V295)=11,_xlfn.XLOOKUP(V295,'Dispensed Ink Rates'!C:C,'Dispensed Ink Rates'!CS:CS),VLOOKUP(V295,'Jan-2026 rates'!$E:$F,2,0)))</f>
        <v>0</v>
      </c>
      <c r="AJ295" s="404"/>
      <c r="AK295" s="398">
        <f>IF(AJ295=0,0,IF(LEN(W295)=11,_xlfn.XLOOKUP(W295,'Dispensed Ink Rates'!C:C,'Dispensed Ink Rates'!CS:CS),VLOOKUP(W295,'Jan-2026 rates'!$E:$F,2,0)))</f>
        <v>0</v>
      </c>
      <c r="AL295" s="404"/>
      <c r="AM295" s="398">
        <f>IF(AL295=0,0,IF(LEN(X295)=11,_xlfn.XLOOKUP(X295,'Dispensed Ink Rates'!C:C,'Dispensed Ink Rates'!CS:CS),VLOOKUP(X295,'Jan-2026 rates'!$E:$F,2,0)))</f>
        <v>0</v>
      </c>
      <c r="AN295" s="404"/>
      <c r="AO295" s="398">
        <f>IF(AN295=0,0,IF(LEN(Y295)=11,_xlfn.XLOOKUP(Y295,'Dispensed Ink Rates'!C:C,'Dispensed Ink Rates'!CS:CS),VLOOKUP(Y295,'Jan-2026 rates'!$E:$F,2,0)))</f>
        <v>0</v>
      </c>
      <c r="AP295" s="409" t="s">
        <v>1881</v>
      </c>
      <c r="AQ295" s="409">
        <v>28</v>
      </c>
      <c r="AR295" s="410">
        <f t="shared" si="212"/>
        <v>0</v>
      </c>
      <c r="AS295" s="411">
        <f t="shared" si="213"/>
        <v>12.160919540229884</v>
      </c>
      <c r="AT295" s="410">
        <f t="shared" si="214"/>
        <v>0</v>
      </c>
      <c r="AU295" s="405" t="s">
        <v>543</v>
      </c>
      <c r="AV295" s="409" t="s">
        <v>4380</v>
      </c>
      <c r="AW295" s="420" t="str">
        <f t="shared" si="236"/>
        <v>ToyoLi - BLACK</v>
      </c>
      <c r="AX295" s="409">
        <v>10</v>
      </c>
      <c r="AY295" s="411">
        <f>IF(AX295=0,0,IF($LB295=70%,VLOOKUP($AW295,'Jan-2026 rates'!$L:$R,4,0),IF($LB295=65%,VLOOKUP($AW295,'Jan-2026 rates'!$L:$R,4,0),IF($LB295=40%,VLOOKUP($AW295,'Jan-2026 rates'!$L:$R,5,0),IF($LB295=30%,VLOOKUP($AW295,'Jan-2026 rates'!$L:$R,6,0),IF($LB295=100%,VLOOKUP($AW295,'Jan-2026 rates'!$L:$R,7,0),IF($LB295=60%,VLOOKUP($AW295,'Jan-2026 rates'!$L:$S,8,0),IF($LB295=80%,VLOOKUP($AW295,'Jan-2026 rates'!L:T,9,0),0))))))))</f>
        <v>0</v>
      </c>
      <c r="AZ295" s="412" t="s">
        <v>3555</v>
      </c>
      <c r="BA295" s="409">
        <v>15</v>
      </c>
      <c r="BB295" s="411">
        <f>IF(BA295=0,0,IF($LB295=70%,VLOOKUP($AW295,'Jan-2026 rates'!$L:$R,4,0),IF($LB295=65%,VLOOKUP($AW295,'Jan-2026 rates'!$L:$R,4,0),IF($LB295=40%,VLOOKUP($AW295,'Jan-2026 rates'!$L:$R,5,0),IF($LB295=30%,VLOOKUP($AW295,'Jan-2026 rates'!$L:$R,6,0),IF($LB295=100%,VLOOKUP($AW295,'Jan-2026 rates'!$L:$R,7,0),IF($LB295=60%,VLOOKUP($AW295,'Jan-2026 rates'!$L:$S,8,0),IF($LB295=80%,VLOOKUP($AW295,'Jan-2026 rates'!L:T,9,0),0))))))))</f>
        <v>0</v>
      </c>
      <c r="BC295" s="413" t="s">
        <v>1252</v>
      </c>
      <c r="BD295" s="412"/>
      <c r="BE295" s="412"/>
      <c r="BF295" s="413"/>
      <c r="BG295" s="412"/>
      <c r="BH295" s="412"/>
      <c r="BI295" s="412"/>
      <c r="BJ295" s="412"/>
      <c r="BK295" s="409">
        <v>2</v>
      </c>
      <c r="BL295" s="398">
        <f>IF(BK295=0,0,IF(LEN(BC295)=11,_xlfn.XLOOKUP(BC295,'Dispensed Ink Rates'!C:C,'Dispensed Ink Rates'!CS:CS),VLOOKUP(BC295,'Jan-2026 rates'!$E:$F,2,0)))</f>
        <v>0</v>
      </c>
      <c r="BM295" s="409"/>
      <c r="BN295" s="398">
        <f>IF(BM295=0,0,IF(LEN(BD295)=11,_xlfn.XLOOKUP(BD295,'Dispensed Ink Rates'!C:C,'Dispensed Ink Rates'!CS:CS),VLOOKUP(BD295,'Jan-2026 rates'!$E:$F,2,0)))</f>
        <v>0</v>
      </c>
      <c r="BO295" s="409"/>
      <c r="BP295" s="398">
        <f>IF(BO295=0,0,IF(LEN(BE295)=11,_xlfn.XLOOKUP(BE295,'Dispensed Ink Rates'!C:C,'Dispensed Ink Rates'!CS:CS),VLOOKUP(BE295,'Jan-2026 rates'!$E:$F,2,0)))</f>
        <v>0</v>
      </c>
      <c r="BQ295" s="409"/>
      <c r="BR295" s="398">
        <f>IF(BQ295=0,0,IF(LEN(BF295)=11,_xlfn.XLOOKUP(BF295,'Dispensed Ink Rates'!C:C,'Dispensed Ink Rates'!CS:CS),VLOOKUP(BF295,'Jan-2026 rates'!$E:$F,2,0)))</f>
        <v>0</v>
      </c>
      <c r="BS295" s="409"/>
      <c r="BT295" s="398">
        <f>IF(BS295=0,0,IF(LEN(BG295)=11,_xlfn.XLOOKUP(BG295,'Dispensed Ink Rates'!C:C,'Dispensed Ink Rates'!CS:CS),VLOOKUP(BG295,'Jan-2026 rates'!$E:$F,2,0)))</f>
        <v>0</v>
      </c>
      <c r="BU295" s="409"/>
      <c r="BV295" s="398">
        <f>IF(BU295=0,0,IF(LEN(BH295)=11,_xlfn.XLOOKUP(BH295,'Dispensed Ink Rates'!C:C,'Dispensed Ink Rates'!CS:CS),VLOOKUP(BH295,'Jan-2026 rates'!$E:$F,2,0)))</f>
        <v>0</v>
      </c>
      <c r="BW295" s="409"/>
      <c r="BX295" s="398">
        <f>IF(BW295=0,0,IF(LEN(BI295)=11,_xlfn.XLOOKUP(BI295,'Dispensed Ink Rates'!C:C,'Dispensed Ink Rates'!CS:CS),VLOOKUP(BI295,'Jan-2026 rates'!$E:$F,2,0)))</f>
        <v>0</v>
      </c>
      <c r="BY295" s="409"/>
      <c r="BZ295" s="398">
        <f>IF(BY295=0,0,IF(LEN(BJ295)=11,_xlfn.XLOOKUP(BJ295,'Dispensed Ink Rates'!C:C,'Dispensed Ink Rates'!CS:CS),VLOOKUP(BJ295,'Jan-2026 rates'!$E:$F,2,0)))</f>
        <v>0</v>
      </c>
      <c r="CA295" s="409" t="s">
        <v>1881</v>
      </c>
      <c r="CB295" s="409">
        <f>18+8</f>
        <v>26</v>
      </c>
      <c r="CC295" s="411">
        <f t="shared" si="215"/>
        <v>0</v>
      </c>
      <c r="CD295" s="411">
        <f t="shared" si="216"/>
        <v>2.2643678160919549</v>
      </c>
      <c r="CE295" s="410">
        <f t="shared" si="217"/>
        <v>0</v>
      </c>
      <c r="CF295" s="404" t="s">
        <v>857</v>
      </c>
      <c r="CG295" s="409"/>
      <c r="CH295" s="420" t="str">
        <f t="shared" si="185"/>
        <v>ToyoLi - RED</v>
      </c>
      <c r="CI295" s="409"/>
      <c r="CJ295" s="411">
        <f>IF(CI295=0,0,IF($LB295=70%,VLOOKUP($CH295,'Jan-2026 rates'!$L:$R,4,0),IF($LB295=65%,VLOOKUP($CH295,'Jan-2026 rates'!$L:$R,4,0),IF($LB295=40%,VLOOKUP($CH295,'Jan-2026 rates'!$L:$R,5,0),IF($LB295=30%,VLOOKUP($CH295,'Jan-2026 rates'!$L:$R,6,0),IF($LB295=100%,VLOOKUP($CH295,'Jan-2026 rates'!$L:$R,7,0),IF($LB295=60%,VLOOKUP($CH295,'Jan-2026 rates'!$L:$S,8,0),IF($LB295=80%,VLOOKUP($CH295,'Jan-2026 rates'!L:T,9,0),0))))))))</f>
        <v>0</v>
      </c>
      <c r="CK295" s="412"/>
      <c r="CL295" s="409"/>
      <c r="CM295" s="411">
        <f>IF(CL295=0,0,IF($LB295=70%,VLOOKUP($CH295,'Jan-2026 rates'!$L:$R,4,0),IF($LB295=65%,VLOOKUP($CH295,'Jan-2026 rates'!$L:$R,4,0),IF($LB295=40%,VLOOKUP($CH295,'Jan-2026 rates'!$L:$R,5,0),IF($LB295=30%,VLOOKUP($CH295,'Jan-2026 rates'!$L:$R,6,0),IF($LB295=100%,VLOOKUP($CH295,'Jan-2026 rates'!$L:$R,7,0),IF($LB295=60%,VLOOKUP($CH295,'Jan-2026 rates'!$L:$S,8,0),IF($LB295=80%,VLOOKUP($CH295,'Jan-2026 rates'!L:T,9,0),0))))))))</f>
        <v>0</v>
      </c>
      <c r="CN295" s="426" t="s">
        <v>1246</v>
      </c>
      <c r="CO295" s="427" t="s">
        <v>1248</v>
      </c>
      <c r="CP295" s="426"/>
      <c r="CQ295" s="426"/>
      <c r="CR295" s="428"/>
      <c r="CS295" s="428"/>
      <c r="CT295" s="428"/>
      <c r="CU295" s="428"/>
      <c r="CV295" s="409">
        <v>20</v>
      </c>
      <c r="CW295" s="398">
        <f>IF(CV295=0,0,IF(LEN(CN295)=11,_xlfn.XLOOKUP(CN295,'Dispensed Ink Rates'!C:C,'Dispensed Ink Rates'!CS:CS),VLOOKUP(CN295,'Jan-2026 rates'!$E:$F,2,0)))</f>
        <v>0</v>
      </c>
      <c r="CX295" s="409">
        <v>20</v>
      </c>
      <c r="CY295" s="398">
        <f>IF(CX295=0,0,IF(LEN(CO295)=11,_xlfn.XLOOKUP(CO295,'Dispensed Ink Rates'!C:C,'Dispensed Ink Rates'!CS:CS),VLOOKUP(CO295,'Jan-2026 rates'!$E:$F,2,0)))</f>
        <v>0</v>
      </c>
      <c r="CZ295" s="409"/>
      <c r="DA295" s="398">
        <f>IF(CZ295=0,0,IF(LEN(CP295)=11,_xlfn.XLOOKUP(CP295,'Dispensed Ink Rates'!C:C,'Dispensed Ink Rates'!CS:CS),VLOOKUP(CP295,'Jan-2026 rates'!$E:$F,2,0)))</f>
        <v>0</v>
      </c>
      <c r="DB295" s="409"/>
      <c r="DC295" s="398">
        <f>IF(DB295=0,0,IF(LEN(CQ295)=11,_xlfn.XLOOKUP(CQ295,'Dispensed Ink Rates'!C:C,'Dispensed Ink Rates'!CS:CS),VLOOKUP(CQ295,'Jan-2026 rates'!$E:$F,2,0)))</f>
        <v>0</v>
      </c>
      <c r="DD295" s="409"/>
      <c r="DE295" s="398">
        <f>IF(DD295=0,0,IF(LEN(CR295)=11,_xlfn.XLOOKUP(CR295,'Dispensed Ink Rates'!C:C,'Dispensed Ink Rates'!CS:CS),VLOOKUP(CR295,'Jan-2026 rates'!$E:$F,2,0)))</f>
        <v>0</v>
      </c>
      <c r="DF295" s="409"/>
      <c r="DG295" s="398">
        <f>IF(DF295=0,0,IF(LEN(CS295)=11,_xlfn.XLOOKUP(CS295,'Dispensed Ink Rates'!C:C,'Dispensed Ink Rates'!CS:CS),VLOOKUP(CS295,'Jan-2026 rates'!$E:$F,2,0)))</f>
        <v>0</v>
      </c>
      <c r="DH295" s="409"/>
      <c r="DI295" s="398">
        <f>IF(DH295=0,0,IF(LEN(CT295)=11,_xlfn.XLOOKUP(CT295,'Dispensed Ink Rates'!C:C,'Dispensed Ink Rates'!CS:CS),VLOOKUP(CT295,'Jan-2026 rates'!$E:$F,2,0)))</f>
        <v>0</v>
      </c>
      <c r="DJ295" s="409"/>
      <c r="DK295" s="398">
        <f>IF(DJ295=0,0,IF(LEN(CU295)=11,_xlfn.XLOOKUP(CU295,'Dispensed Ink Rates'!C:C,'Dispensed Ink Rates'!CS:CS),VLOOKUP(CU295,'Jan-2026 rates'!$E:$F,2,0)))</f>
        <v>0</v>
      </c>
      <c r="DL295" s="409" t="s">
        <v>1881</v>
      </c>
      <c r="DM295" s="409">
        <v>25</v>
      </c>
      <c r="DN295" s="411">
        <f t="shared" si="218"/>
        <v>0</v>
      </c>
      <c r="DO295" s="411">
        <f t="shared" si="219"/>
        <v>27.643678160919535</v>
      </c>
      <c r="DP295" s="410">
        <f t="shared" si="220"/>
        <v>0</v>
      </c>
      <c r="DQ295" s="405" t="s">
        <v>544</v>
      </c>
      <c r="DR295" s="409" t="s">
        <v>4381</v>
      </c>
      <c r="DS295" s="420" t="str">
        <f t="shared" si="186"/>
        <v>ToyoLi - MAGENTA</v>
      </c>
      <c r="DT295" s="409">
        <f>15+15</f>
        <v>30</v>
      </c>
      <c r="DU295" s="411">
        <f>IF(DT295=0,0,IF($LB295=70%,VLOOKUP($DS295,'Jan-2026 rates'!$L:$R,4,0),IF($LB295=65%,VLOOKUP($DS295,'Jan-2026 rates'!$L:$R,4,0),IF($LB295=40%,VLOOKUP($DS295,'Jan-2026 rates'!$L:$R,5,0),IF($LB295=30%,VLOOKUP($DS295,'Jan-2026 rates'!$L:$R,6,0),IF($LB295=100%,VLOOKUP($DS295,'Jan-2026 rates'!$L:$R,7,0),IF($LB295=60%,VLOOKUP($DS295,'Jan-2026 rates'!$L:$S,8,0),IF($LB295=80%,VLOOKUP($DS295,'Jan-2026 rates'!L:T,9,0),0))))))))</f>
        <v>0</v>
      </c>
      <c r="DV295" s="412"/>
      <c r="DW295" s="409"/>
      <c r="DX295" s="411">
        <f>IF(DW295=0,0,IF($LB295=70%,VLOOKUP($DS295,'Jan-2026 rates'!$L:$R,4,0),IF($LB295=65%,VLOOKUP($DS295,'Jan-2026 rates'!$L:$R,4,0),IF($LB295=40%,VLOOKUP($DS295,'Jan-2026 rates'!$L:$R,5,0),IF($LB295=30%,VLOOKUP($DS295,'Jan-2026 rates'!$L:$R,6,0),IF($LB295=100%,VLOOKUP($DS295,'Jan-2026 rates'!$L:$R,7,0),IF($LB295=60%,VLOOKUP($DS295,'Jan-2026 rates'!$L:$S,8,0),IF($LB295=80%,VLOOKUP($DS295,'Jan-2026 rates'!L:T,9,0),0))))))))</f>
        <v>0</v>
      </c>
      <c r="DY295" s="413" t="s">
        <v>1246</v>
      </c>
      <c r="DZ295" s="413"/>
      <c r="EA295" s="412"/>
      <c r="EB295" s="412"/>
      <c r="EC295" s="412"/>
      <c r="ED295" s="412"/>
      <c r="EE295" s="412"/>
      <c r="EF295" s="412"/>
      <c r="EG295" s="409">
        <v>2</v>
      </c>
      <c r="EH295" s="398">
        <f>IF(EG295=0,0,IF(LEN(DY295)=11,_xlfn.XLOOKUP(DY295,'Dispensed Ink Rates'!C:C,'Dispensed Ink Rates'!CS:CS),VLOOKUP(DY295,'Jan-2026 rates'!$E:$F,2,0)))</f>
        <v>0</v>
      </c>
      <c r="EI295" s="409"/>
      <c r="EJ295" s="398">
        <f>IF(EI295=0,0,IF(LEN(DZ295)=11,_xlfn.XLOOKUP(DZ295,'Dispensed Ink Rates'!C:C,'Dispensed Ink Rates'!CS:CS),VLOOKUP(DZ295,'Jan-2026 rates'!$E:$F,2,0)))</f>
        <v>0</v>
      </c>
      <c r="EK295" s="409"/>
      <c r="EL295" s="398">
        <f>IF(EK295=0,0,IF(LEN(EA295)=11,_xlfn.XLOOKUP(EA295,'Dispensed Ink Rates'!C:C,'Dispensed Ink Rates'!CS:CS),VLOOKUP(EA295,'Jan-2026 rates'!$E:$F,2,0)))</f>
        <v>0</v>
      </c>
      <c r="EM295" s="409"/>
      <c r="EN295" s="398">
        <f>IF(EM295=0,0,IF(LEN(EB295)=11,_xlfn.XLOOKUP(EB295,'Dispensed Ink Rates'!C:C,'Dispensed Ink Rates'!CS:CS),VLOOKUP(EB295,'Jan-2026 rates'!$E:$F,2,0)))</f>
        <v>0</v>
      </c>
      <c r="EO295" s="409"/>
      <c r="EP295" s="398">
        <f>IF(EO295=0,0,IF(LEN(EC295)=11,_xlfn.XLOOKUP(EC295,'Dispensed Ink Rates'!C:C,'Dispensed Ink Rates'!CS:CS),VLOOKUP(EC295,'Jan-2026 rates'!$E:$F,2,0)))</f>
        <v>0</v>
      </c>
      <c r="EQ295" s="409"/>
      <c r="ER295" s="398">
        <f>IF(EQ295=0,0,IF(LEN(ED295)=11,_xlfn.XLOOKUP(ED295,'Dispensed Ink Rates'!C:C,'Dispensed Ink Rates'!CS:CS),VLOOKUP(ED295,'Jan-2026 rates'!$E:$F,2,0)))</f>
        <v>0</v>
      </c>
      <c r="ES295" s="409"/>
      <c r="ET295" s="398">
        <f>IF(ES295=0,0,IF(LEN(EE295)=11,_xlfn.XLOOKUP(EE295,'Dispensed Ink Rates'!C:C,'Dispensed Ink Rates'!CS:CS),VLOOKUP(EE295,'Jan-2026 rates'!$E:$F,2,0)))</f>
        <v>0</v>
      </c>
      <c r="EU295" s="409"/>
      <c r="EV295" s="398">
        <f>IF(EU295=0,0,IF(LEN(EF295)=11,_xlfn.XLOOKUP(EF295,'Dispensed Ink Rates'!C:C,'Dispensed Ink Rates'!CS:CS),VLOOKUP(EF295,'Jan-2026 rates'!$E:$F,2,0)))</f>
        <v>0</v>
      </c>
      <c r="EW295" s="409" t="s">
        <v>1881</v>
      </c>
      <c r="EX295" s="409">
        <v>29</v>
      </c>
      <c r="EY295" s="411">
        <f t="shared" si="221"/>
        <v>0</v>
      </c>
      <c r="EZ295" s="411">
        <f t="shared" si="222"/>
        <v>4.2643678160919549</v>
      </c>
      <c r="FA295" s="410">
        <f t="shared" si="223"/>
        <v>0</v>
      </c>
      <c r="FB295" s="405" t="s">
        <v>828</v>
      </c>
      <c r="FC295" s="409" t="s">
        <v>4382</v>
      </c>
      <c r="FD295" s="420" t="str">
        <f t="shared" si="187"/>
        <v>ToyoLi - ORANGE</v>
      </c>
      <c r="FE295" s="409">
        <v>10</v>
      </c>
      <c r="FF295" s="411">
        <f>IF(FE295=0,0,IF($LB295=70%,VLOOKUP($FD295,'Jan-2026 rates'!$L:$R,4,0),IF($LB295=65%,VLOOKUP($FD295,'Jan-2026 rates'!$L:$R,4,0),IF($LB295=40%,VLOOKUP($FD295,'Jan-2026 rates'!$L:$R,5,0),IF($LB295=30%,VLOOKUP($FD295,'Jan-2026 rates'!$L:$R,6,0),IF($LB295=100%,VLOOKUP($FD295,'Jan-2026 rates'!$L:$R,7,0),IF($LB295=60%,VLOOKUP($FD295,'Jan-2026 rates'!$L:$S,8,0),IF($LB295=80%,VLOOKUP($FD295,'Jan-2026 rates'!L:T,9,0),0))))))))</f>
        <v>0</v>
      </c>
      <c r="FG295" s="412" t="s">
        <v>4382</v>
      </c>
      <c r="FH295" s="409">
        <v>10</v>
      </c>
      <c r="FI295" s="411">
        <f>IF(FH295=0,0,IF($LB295=70%,VLOOKUP($FD295,'Jan-2026 rates'!$L:$R,4,0),IF($LB295=65%,VLOOKUP($FD295,'Jan-2026 rates'!$L:$R,4,0),IF($LB295=40%,VLOOKUP($FD295,'Jan-2026 rates'!$L:$R,5,0),IF($LB295=30%,VLOOKUP($FD295,'Jan-2026 rates'!$L:$R,6,0),IF($LB295=100%,VLOOKUP($FD295,'Jan-2026 rates'!$L:$R,7,0),IF($LB295=60%,VLOOKUP($FD295,'Jan-2026 rates'!$L:$S,8,0),IF($LB295=80%,VLOOKUP($FD295,'Jan-2026 rates'!L:T,9,0),0))))))))</f>
        <v>0</v>
      </c>
      <c r="FJ295" s="413" t="s">
        <v>1248</v>
      </c>
      <c r="FK295" s="413" t="s">
        <v>1247</v>
      </c>
      <c r="FL295" s="413" t="s">
        <v>1505</v>
      </c>
      <c r="FM295" s="412"/>
      <c r="FN295" s="412"/>
      <c r="FO295" s="412"/>
      <c r="FP295" s="412"/>
      <c r="FQ295" s="412"/>
      <c r="FR295" s="409">
        <v>5</v>
      </c>
      <c r="FS295" s="398">
        <f>IF(FR295=0,0,IF(LEN(FJ295)=11,_xlfn.XLOOKUP(FJ295,'Dispensed Ink Rates'!C:C,'Dispensed Ink Rates'!CS:CS),VLOOKUP(FJ295,'Jan-2026 rates'!$E:$F,2,0)))</f>
        <v>0</v>
      </c>
      <c r="FT295" s="409">
        <v>10</v>
      </c>
      <c r="FU295" s="398">
        <f>IF(FT295=0,0,IF(LEN(FK295)=11,_xlfn.XLOOKUP(FK295,'Dispensed Ink Rates'!C:C,'Dispensed Ink Rates'!CS:CS),VLOOKUP(FK295,'Jan-2026 rates'!$E:$F,2,0)))</f>
        <v>0</v>
      </c>
      <c r="FV295" s="409">
        <v>1</v>
      </c>
      <c r="FW295" s="398">
        <f>IF(FV295=0,0,IF(LEN(FL295)=11,_xlfn.XLOOKUP(FL295,'Dispensed Ink Rates'!C:C,'Dispensed Ink Rates'!CS:CS),VLOOKUP(FL295,'Jan-2026 rates'!$E:$F,2,0)))</f>
        <v>0</v>
      </c>
      <c r="FX295" s="409"/>
      <c r="FY295" s="398">
        <f>IF(FX295=0,0,IF(LEN(FM295)=11,_xlfn.XLOOKUP(FM295,'Dispensed Ink Rates'!C:C,'Dispensed Ink Rates'!CS:CS),VLOOKUP(FM295,'Jan-2026 rates'!$E:$F,2,0)))</f>
        <v>0</v>
      </c>
      <c r="FZ295" s="409"/>
      <c r="GA295" s="398">
        <f>IF(FZ295=0,0,IF(LEN(FN295)=11,_xlfn.XLOOKUP(FN295,'Dispensed Ink Rates'!C:C,'Dispensed Ink Rates'!CS:CS),VLOOKUP(FN295,'Jan-2026 rates'!$E:$F,2,0)))</f>
        <v>0</v>
      </c>
      <c r="GB295" s="409"/>
      <c r="GC295" s="398">
        <f>IF(GB295=0,0,IF(LEN(FO295)=11,_xlfn.XLOOKUP(FO295,'Dispensed Ink Rates'!C:C,'Dispensed Ink Rates'!CS:CS),VLOOKUP(FO295,'Jan-2026 rates'!$E:$F,2,0)))</f>
        <v>0</v>
      </c>
      <c r="GD295" s="409"/>
      <c r="GE295" s="398">
        <f>IF(GD295=0,0,IF(LEN(FP295)=11,_xlfn.XLOOKUP(FP295,'Dispensed Ink Rates'!C:C,'Dispensed Ink Rates'!CS:CS),VLOOKUP(FP295,'Jan-2026 rates'!$E:$F,2,0)))</f>
        <v>0</v>
      </c>
      <c r="GF295" s="409"/>
      <c r="GG295" s="398">
        <f>IF(GF295=0,0,IF(LEN(FQ295)=11,_xlfn.XLOOKUP(FQ295,'Dispensed Ink Rates'!C:C,'Dispensed Ink Rates'!CS:CS),VLOOKUP(FQ295,'Jan-2026 rates'!$E:$F,2,0)))</f>
        <v>0</v>
      </c>
      <c r="GH295" s="409" t="s">
        <v>1881</v>
      </c>
      <c r="GI295" s="409">
        <f>13+13</f>
        <v>26</v>
      </c>
      <c r="GJ295" s="411">
        <f t="shared" si="224"/>
        <v>0</v>
      </c>
      <c r="GK295" s="411">
        <f t="shared" si="225"/>
        <v>14.425287356321839</v>
      </c>
      <c r="GL295" s="410">
        <f t="shared" si="226"/>
        <v>0</v>
      </c>
      <c r="GM295" s="405" t="s">
        <v>545</v>
      </c>
      <c r="GN295" s="409"/>
      <c r="GO295" s="420" t="str">
        <f t="shared" si="188"/>
        <v>ToyoLi - YELLOW</v>
      </c>
      <c r="GP295" s="409"/>
      <c r="GQ295" s="411">
        <f>IF(GP295=0,0,IF($LB295=70%,VLOOKUP($GO295,'Jan-2026 rates'!$L:$R,4,0),IF($LB295=65%,VLOOKUP($GO295,'Jan-2026 rates'!$L:$R,4,0),IF($LB295=40%,VLOOKUP($GO295,'Jan-2026 rates'!$L:$R,5,0),IF($LB295=30%,VLOOKUP($GO295,'Jan-2026 rates'!$L:$R,6,0),IF($LB295=100%,VLOOKUP($GO295,'Jan-2026 rates'!$L:$R,7,0),IF($LB295=60%,VLOOKUP($GO295,'Jan-2026 rates'!$L:$S,8,0),IF($LB295=80%,VLOOKUP($GO295,'Jan-2026 rates'!L:T,9,0),0))))))))</f>
        <v>0</v>
      </c>
      <c r="GR295" s="412"/>
      <c r="GS295" s="409"/>
      <c r="GT295" s="411">
        <f>IF(GS295=0,0,IF($LB295=70%,VLOOKUP($GO295,'Jan-2026 rates'!$L:$R,4,0),IF($LB295=65%,VLOOKUP($GO295,'Jan-2026 rates'!$L:$R,4,0),IF($LB295=40%,VLOOKUP($GO295,'Jan-2026 rates'!$L:$R,5,0),IF($LB295=30%,VLOOKUP($GO295,'Jan-2026 rates'!$L:$R,6,0),IF($LB295=100%,VLOOKUP($GO295,'Jan-2026 rates'!$L:$R,7,0),IF($LB295=60%,VLOOKUP($GO295,'Jan-2026 rates'!$L:$S,8,0),IF($LB295=80%,VLOOKUP($GO295,'Jan-2026 rates'!L:T,9,0),0))))))))</f>
        <v>0</v>
      </c>
      <c r="GU295" s="413" t="s">
        <v>1247</v>
      </c>
      <c r="GV295" s="413" t="s">
        <v>1921</v>
      </c>
      <c r="GW295" s="412"/>
      <c r="GX295" s="412"/>
      <c r="GY295" s="412"/>
      <c r="GZ295" s="412"/>
      <c r="HA295" s="412"/>
      <c r="HB295" s="412"/>
      <c r="HC295" s="409">
        <v>10</v>
      </c>
      <c r="HD295" s="398">
        <f>IF(HC295=0,0,IF(LEN(GU295)=11,_xlfn.XLOOKUP(GU295,'Dispensed Ink Rates'!C:C,'Dispensed Ink Rates'!CS:CS),VLOOKUP(GU295,'Jan-2026 rates'!$E:$F,2,0)))</f>
        <v>0</v>
      </c>
      <c r="HE295" s="409">
        <v>10</v>
      </c>
      <c r="HF295" s="398">
        <f>IF(HE295=0,0,IF(LEN(GV295)=11,_xlfn.XLOOKUP(GV295,'Dispensed Ink Rates'!C:C,'Dispensed Ink Rates'!CS:CS),VLOOKUP(GV295,'Jan-2026 rates'!$E:$F,2,0)))</f>
        <v>0</v>
      </c>
      <c r="HG295" s="409"/>
      <c r="HH295" s="398">
        <f>IF(HG295=0,0,IF(LEN(GW295)=11,_xlfn.XLOOKUP(GW295,'Dispensed Ink Rates'!C:C,'Dispensed Ink Rates'!CS:CS),VLOOKUP(GW295,'Jan-2026 rates'!$E:$F,2,0)))</f>
        <v>0</v>
      </c>
      <c r="HI295" s="409"/>
      <c r="HJ295" s="398">
        <f>IF(HI295=0,0,IF(LEN(GX295)=11,_xlfn.XLOOKUP(GX295,'Dispensed Ink Rates'!C:C,'Dispensed Ink Rates'!CS:CS),VLOOKUP(GX295,'Jan-2026 rates'!$E:$F,2,0)))</f>
        <v>0</v>
      </c>
      <c r="HK295" s="409"/>
      <c r="HL295" s="398">
        <f>IF(HK295=0,0,IF(LEN(GY295)=11,_xlfn.XLOOKUP(GY295,'Dispensed Ink Rates'!C:C,'Dispensed Ink Rates'!CS:CS),VLOOKUP(GY295,'Jan-2026 rates'!$E:$F,2,0)))</f>
        <v>0</v>
      </c>
      <c r="HM295" s="409"/>
      <c r="HN295" s="398">
        <f>IF(HM295=0,0,IF(LEN(GZ295)=11,_xlfn.XLOOKUP(GZ295,'Dispensed Ink Rates'!C:C,'Dispensed Ink Rates'!CS:CS),VLOOKUP(GZ295,'Jan-2026 rates'!$E:$F,2,0)))</f>
        <v>0</v>
      </c>
      <c r="HO295" s="409"/>
      <c r="HP295" s="398">
        <f>IF(HO295=0,0,IF(LEN(HA295)=11,_xlfn.XLOOKUP(HA295,'Dispensed Ink Rates'!C:C,'Dispensed Ink Rates'!CS:CS),VLOOKUP(HA295,'Jan-2026 rates'!$E:$F,2,0)))</f>
        <v>0</v>
      </c>
      <c r="HQ295" s="409"/>
      <c r="HR295" s="398">
        <f>IF(HQ295=0,0,IF(LEN(HB295)=11,_xlfn.XLOOKUP(HB295,'Dispensed Ink Rates'!C:C,'Dispensed Ink Rates'!CS:CS),VLOOKUP(HB295,'Jan-2026 rates'!$E:$F,2,0)))</f>
        <v>0</v>
      </c>
      <c r="HS295" s="409" t="s">
        <v>1881</v>
      </c>
      <c r="HT295" s="409">
        <f>15+15</f>
        <v>30</v>
      </c>
      <c r="HU295" s="411">
        <f t="shared" si="227"/>
        <v>0</v>
      </c>
      <c r="HV295" s="411">
        <f t="shared" si="228"/>
        <v>81.666666666666671</v>
      </c>
      <c r="HW295" s="414">
        <f t="shared" si="229"/>
        <v>0</v>
      </c>
      <c r="HX295" s="405" t="s">
        <v>545</v>
      </c>
      <c r="HY295" s="409" t="s">
        <v>4383</v>
      </c>
      <c r="HZ295" s="420" t="str">
        <f t="shared" si="189"/>
        <v>ToyoLi - YELLOW</v>
      </c>
      <c r="IA295" s="409">
        <v>15</v>
      </c>
      <c r="IB295" s="411">
        <f>IF(IA295=0,0,IF($LB295=70%,VLOOKUP($HZ295,'Jan-2026 rates'!$L:$R,4,0),IF($LB295=65%,VLOOKUP($HZ295,'Jan-2026 rates'!$L:$R,4,0),IF($LB295=40%,VLOOKUP($HZ295,'Jan-2026 rates'!$L:$R,5,0),IF($LB295=30%,VLOOKUP($HZ295,'Jan-2026 rates'!$L:$R,6,0),IF($LB295=100%,VLOOKUP($HZ295,'Jan-2026 rates'!$L:$R,7,0),IF($LB295=60%,VLOOKUP($HZ295,'Jan-2026 rates'!$L:$S,8,0),IF($LB295=80%,VLOOKUP($HZ295,'Jan-2026 rates'!L:T,9,0),0))))))))</f>
        <v>0</v>
      </c>
      <c r="IC295" s="412"/>
      <c r="ID295" s="409"/>
      <c r="IE295" s="411">
        <f>IF(ID295=0,0,IF($LB295=70%,VLOOKUP($HZ295,'Jan-2026 rates'!$L:$R,4,0),IF($LB295=65%,VLOOKUP($HZ295,'Jan-2026 rates'!$L:$R,4,0),IF($LB295=40%,VLOOKUP($HZ295,'Jan-2026 rates'!$L:$R,5,0),IF($LB295=30%,VLOOKUP($HZ295,'Jan-2026 rates'!$L:$R,6,0),IF($LB295=100%,VLOOKUP($HZ295,'Jan-2026 rates'!$L:$R,7,0),IF($LB295=60%,VLOOKUP($HZ295,'Jan-2026 rates'!$L:$S,8,0),IF($LB295=80%,VLOOKUP($HZ295,'Jan-2026 rates'!L:T,9,0),0))))))))</f>
        <v>0</v>
      </c>
      <c r="IF295" s="412" t="s">
        <v>1247</v>
      </c>
      <c r="IG295" s="413" t="s">
        <v>1248</v>
      </c>
      <c r="IH295" s="412"/>
      <c r="II295" s="412"/>
      <c r="IJ295" s="412"/>
      <c r="IK295" s="412"/>
      <c r="IL295" s="412"/>
      <c r="IM295" s="412"/>
      <c r="IN295" s="409">
        <v>60</v>
      </c>
      <c r="IO295" s="398">
        <f>IF(IN295=0,0,IF(LEN(IF295)=11,_xlfn.XLOOKUP(IF295,'Dispensed Ink Rates'!C:C,'Dispensed Ink Rates'!CS:CS),VLOOKUP(IF295,'Jan-2026 rates'!$E:$F,2,0)))</f>
        <v>0</v>
      </c>
      <c r="IP295" s="409">
        <v>5</v>
      </c>
      <c r="IQ295" s="398">
        <f>IF(IP295=0,0,IF(LEN(IG295)=11,_xlfn.XLOOKUP(IG295,'Dispensed Ink Rates'!C:C,'Dispensed Ink Rates'!CS:CS),VLOOKUP(IG295,'Jan-2026 rates'!$E:$F,2,0)))</f>
        <v>0</v>
      </c>
      <c r="IR295" s="409"/>
      <c r="IS295" s="398">
        <f>IF(IR295=0,0,IF(LEN(IH295)=11,_xlfn.XLOOKUP(IH295,'Dispensed Ink Rates'!C:C,'Dispensed Ink Rates'!CS:CS),VLOOKUP(IH295,'Jan-2026 rates'!$E:$F,2,0)))</f>
        <v>0</v>
      </c>
      <c r="IT295" s="409"/>
      <c r="IU295" s="398">
        <f>IF(IT295=0,0,IF(LEN(II295)=11,_xlfn.XLOOKUP(II295,'Dispensed Ink Rates'!C:C,'Dispensed Ink Rates'!CS:CS),VLOOKUP(II295,'Jan-2026 rates'!$E:$F,2,0)))</f>
        <v>0</v>
      </c>
      <c r="IV295" s="409"/>
      <c r="IW295" s="398">
        <f>IF(IV295=0,0,IF(LEN(IJ295)=11,_xlfn.XLOOKUP(IJ295,'Dispensed Ink Rates'!C:C,'Dispensed Ink Rates'!CS:CS),VLOOKUP(IJ295,'Jan-2026 rates'!$E:$F,2,0)))</f>
        <v>0</v>
      </c>
      <c r="IX295" s="409"/>
      <c r="IY295" s="398">
        <f>IF(IX295=0,0,IF(LEN(IK295)=11,_xlfn.XLOOKUP(IK295,'Dispensed Ink Rates'!C:C,'Dispensed Ink Rates'!CS:CS),VLOOKUP(IK295,'Jan-2026 rates'!$E:$F,2,0)))</f>
        <v>0</v>
      </c>
      <c r="IZ295" s="409"/>
      <c r="JA295" s="398">
        <f>IF(IZ295=0,0,IF(LEN(IL295)=11,_xlfn.XLOOKUP(IL295,'Dispensed Ink Rates'!C:C,'Dispensed Ink Rates'!CS:CS),VLOOKUP(IL295,'Jan-2026 rates'!$E:$F,2,0)))</f>
        <v>0</v>
      </c>
      <c r="JB295" s="409"/>
      <c r="JC295" s="398">
        <f>IF(JB295=0,0,IF(LEN(IM295)=11,_xlfn.XLOOKUP(IM295,'Dispensed Ink Rates'!C:C,'Dispensed Ink Rates'!CS:CS),VLOOKUP(IM295,'Jan-2026 rates'!$E:$F,2,0)))</f>
        <v>0</v>
      </c>
      <c r="JD295" s="409" t="s">
        <v>1881</v>
      </c>
      <c r="JE295" s="409">
        <f>18+16</f>
        <v>34</v>
      </c>
      <c r="JF295" s="411">
        <f t="shared" si="230"/>
        <v>0</v>
      </c>
      <c r="JG295" s="411">
        <f t="shared" si="231"/>
        <v>64.965517241379303</v>
      </c>
      <c r="JH295" s="410">
        <f t="shared" si="232"/>
        <v>0</v>
      </c>
      <c r="JI295" s="405" t="s">
        <v>856</v>
      </c>
      <c r="JJ295" s="409"/>
      <c r="JK295" s="420" t="str">
        <f t="shared" si="190"/>
        <v>ToyoLi - WHITE</v>
      </c>
      <c r="JL295" s="409"/>
      <c r="JM295" s="411">
        <f>IF(JL295=0,0,IF($LB295=70%,VLOOKUP($JK295,'Jan-2026 rates'!$L:$R,4,0),IF($LB295=65%,VLOOKUP($JK295,'Jan-2026 rates'!$L:$R,4,0),IF($LB295=40%,VLOOKUP($JK295,'Jan-2026 rates'!$L:$R,5,0),IF($LB295=30%,VLOOKUP($JK295,'Jan-2026 rates'!$L:$R,6,0),IF($LB295=100%,VLOOKUP($JK295,'Jan-2026 rates'!$L:$R,7,0),IF($LB295=60%,VLOOKUP($JK295,'Jan-2026 rates'!$L:$S,8,0),IF($LB295=80%,VLOOKUP($JK295,'Jan-2026 rates'!L:T,9,0),0))))))))</f>
        <v>0</v>
      </c>
      <c r="JN295" s="412"/>
      <c r="JO295" s="409"/>
      <c r="JP295" s="411">
        <f>IF(JO295=0,0,IF($LB295=70%,VLOOKUP($JK295,'Jan-2026 rates'!$L:$R,4,0),IF($LB295=65%,VLOOKUP($JK295,'Jan-2026 rates'!$L:$R,4,0),IF($LB295=40%,VLOOKUP($JK295,'Jan-2026 rates'!$L:$R,5,0),IF($LB295=30%,VLOOKUP($JK295,'Jan-2026 rates'!$L:$R,6,0),IF($LB295=100%,VLOOKUP($JK295,'Jan-2026 rates'!$L:$R,7,0),IF($LB295=60%,VLOOKUP($JK295,'Jan-2026 rates'!$L:$S,8,0),IF($LB295=80%,VLOOKUP($JK295,'Jan-2026 rates'!L:T,9,0),0))))))))</f>
        <v>0</v>
      </c>
      <c r="JQ295" s="413" t="s">
        <v>1249</v>
      </c>
      <c r="JR295" s="412"/>
      <c r="JS295" s="413"/>
      <c r="JT295" s="413"/>
      <c r="JU295" s="412"/>
      <c r="JV295" s="412"/>
      <c r="JW295" s="412"/>
      <c r="JX295" s="412"/>
      <c r="JY295" s="409">
        <v>100</v>
      </c>
      <c r="JZ295" s="398">
        <f>IF(JY295=0,0,IF(LEN(JQ295)=11,_xlfn.XLOOKUP(JQ295,'Dispensed Ink Rates'!C:C,'Dispensed Ink Rates'!CS:CS),VLOOKUP(JQ295,'Jan-2026 rates'!$E:$F,2,0)))</f>
        <v>0</v>
      </c>
      <c r="KA295" s="409"/>
      <c r="KB295" s="398">
        <f>IF(KA295=0,0,IF(LEN(JR295)=11,_xlfn.XLOOKUP(JR295,'Dispensed Ink Rates'!C:C,'Dispensed Ink Rates'!CS:CS),VLOOKUP(JR295,'Jan-2026 rates'!$E:$F,2,0)))</f>
        <v>0</v>
      </c>
      <c r="KC295" s="409"/>
      <c r="KD295" s="398">
        <f>IF(KC295=0,0,IF(LEN(JS295)=11,_xlfn.XLOOKUP(JS295,'Dispensed Ink Rates'!C:C,'Dispensed Ink Rates'!CS:CS),VLOOKUP(JS295,'Jan-2026 rates'!$E:$F,2,0)))</f>
        <v>0</v>
      </c>
      <c r="KE295" s="409"/>
      <c r="KF295" s="398">
        <f>IF(KE295=0,0,IF(LEN(JT295)=11,_xlfn.XLOOKUP(JT295,'Dispensed Ink Rates'!C:C,'Dispensed Ink Rates'!CS:CS),VLOOKUP(JT295,'Jan-2026 rates'!$E:$F,2,0)))</f>
        <v>0</v>
      </c>
      <c r="KG295" s="409"/>
      <c r="KH295" s="398">
        <f>IF(KG295=0,0,IF(LEN(JU295)=11,_xlfn.XLOOKUP(JU295,'Dispensed Ink Rates'!C:C,'Dispensed Ink Rates'!CS:CS),VLOOKUP(JU295,'Jan-2026 rates'!$E:$F,2,0)))</f>
        <v>0</v>
      </c>
      <c r="KI295" s="409"/>
      <c r="KJ295" s="398">
        <f>IF(KI295=0,0,IF(LEN(JV295)=11,_xlfn.XLOOKUP(JV295,'Dispensed Ink Rates'!C:C,'Dispensed Ink Rates'!CS:CS),VLOOKUP(JV295,'Jan-2026 rates'!$E:$F,2,0)))</f>
        <v>0</v>
      </c>
      <c r="KK295" s="409"/>
      <c r="KL295" s="398">
        <f>IF(KK295=0,0,IF(LEN(JW295)=11,_xlfn.XLOOKUP(JW295,'Dispensed Ink Rates'!C:C,'Dispensed Ink Rates'!CS:CS),VLOOKUP(JW295,'Jan-2026 rates'!$E:$F,2,0)))</f>
        <v>0</v>
      </c>
      <c r="KM295" s="428"/>
      <c r="KN295" s="398">
        <f>IF(KM295=0,0,IF(LEN(JX295)=11,_xlfn.XLOOKUP(JX295,'Dispensed Ink Rates'!C:C,'Dispensed Ink Rates'!CS:CS),VLOOKUP(JX295,'Jan-2026 rates'!$E:$F,2,0)))</f>
        <v>0</v>
      </c>
      <c r="KO295" s="409" t="s">
        <v>1881</v>
      </c>
      <c r="KP295" s="409">
        <v>30</v>
      </c>
      <c r="KQ295" s="411">
        <f t="shared" si="233"/>
        <v>0</v>
      </c>
      <c r="KR295" s="411">
        <f t="shared" si="234"/>
        <v>101.60919540229884</v>
      </c>
      <c r="KS295" s="410">
        <f t="shared" si="235"/>
        <v>0</v>
      </c>
      <c r="KT295" s="409">
        <v>5</v>
      </c>
      <c r="KU295" s="409">
        <v>2</v>
      </c>
      <c r="KV295" s="409">
        <v>20</v>
      </c>
      <c r="KW295" s="409">
        <v>2</v>
      </c>
      <c r="KX295" s="409">
        <v>7</v>
      </c>
      <c r="KY295" s="409">
        <v>145</v>
      </c>
      <c r="KZ295" s="409">
        <v>30</v>
      </c>
      <c r="LA295" s="409">
        <v>50</v>
      </c>
      <c r="LB295" s="415">
        <v>0.3</v>
      </c>
      <c r="LC295" s="415"/>
      <c r="LD295" s="424"/>
      <c r="LE295" s="415">
        <v>0.5</v>
      </c>
      <c r="LF295" s="415">
        <v>0.2</v>
      </c>
      <c r="LG295" s="409">
        <v>0</v>
      </c>
      <c r="LH295" s="409">
        <f>50+35+24+40+16</f>
        <v>165</v>
      </c>
      <c r="LI295" s="409">
        <v>0</v>
      </c>
      <c r="LJ295" s="409">
        <v>0</v>
      </c>
      <c r="LK295" s="416">
        <f t="shared" si="191"/>
        <v>165</v>
      </c>
      <c r="LL295" s="416">
        <f t="shared" si="237"/>
        <v>165</v>
      </c>
      <c r="LM295" s="417">
        <f t="shared" si="193"/>
        <v>49.5</v>
      </c>
      <c r="LN295" s="417">
        <f>VLOOKUP($LM$8,'Jan-2026 rates'!$H:$I,2,0)</f>
        <v>0</v>
      </c>
      <c r="LO295" s="417">
        <f t="shared" si="194"/>
        <v>0</v>
      </c>
      <c r="LP295" s="417">
        <f>VLOOKUP($LO$8,'Jan-2026 rates'!$H:$I,2,0)</f>
        <v>0</v>
      </c>
      <c r="LQ295" s="417">
        <f t="shared" si="195"/>
        <v>0</v>
      </c>
      <c r="LR295" s="417">
        <f>VLOOKUP($LQ$8,'Jan-2026 rates'!$H:$I,2,0)</f>
        <v>0</v>
      </c>
      <c r="LS295" s="417">
        <f t="shared" si="196"/>
        <v>82.5</v>
      </c>
      <c r="LT295" s="417">
        <f>VLOOKUP($LS$8,'Jan-2026 rates'!$H:$I,2,0)</f>
        <v>0</v>
      </c>
      <c r="LU295" s="417">
        <f t="shared" si="197"/>
        <v>33</v>
      </c>
      <c r="LV295" s="417">
        <f>VLOOKUP($LU$8,'Jan-2026 rates'!$H:$I,2,0)</f>
        <v>0</v>
      </c>
      <c r="LW295" s="417">
        <f t="shared" si="198"/>
        <v>0</v>
      </c>
      <c r="LX295" s="417">
        <f t="shared" si="199"/>
        <v>0</v>
      </c>
      <c r="LY295" s="418">
        <f t="shared" si="200"/>
        <v>0</v>
      </c>
      <c r="LZ295" s="417"/>
      <c r="MA295" s="435">
        <f t="shared" si="201"/>
        <v>250</v>
      </c>
      <c r="MB295" s="282">
        <f t="shared" si="202"/>
        <v>309</v>
      </c>
      <c r="MC295" s="283" t="s">
        <v>2034</v>
      </c>
      <c r="MD295" s="284" t="str">
        <f t="shared" si="203"/>
        <v>ToyoLiToyoLiToyoLiToyoLiToyoLiToyoLiToyoLiToyoLi</v>
      </c>
      <c r="ME295" s="293" t="str">
        <f t="shared" si="204"/>
        <v>+</v>
      </c>
      <c r="MF295" s="293" t="str">
        <f t="shared" si="205"/>
        <v>+</v>
      </c>
      <c r="MG295" s="293" t="str">
        <f t="shared" si="206"/>
        <v>+</v>
      </c>
      <c r="MH295" s="293" t="str">
        <f t="shared" si="207"/>
        <v>+</v>
      </c>
      <c r="MI295" s="293" t="str">
        <f t="shared" si="208"/>
        <v>+</v>
      </c>
      <c r="MJ295" s="293" t="str">
        <f t="shared" si="209"/>
        <v>+</v>
      </c>
      <c r="MK295" s="293" t="str">
        <f t="shared" si="210"/>
        <v>+</v>
      </c>
      <c r="ML295" s="293" t="str">
        <f t="shared" si="211"/>
        <v>+</v>
      </c>
      <c r="MM295" s="3" t="b">
        <f t="array" ref="MM295">OR(ME295:ML295="-")</f>
        <v>0</v>
      </c>
      <c r="MO295" s="401">
        <f t="shared" si="238"/>
        <v>65.466101694915253</v>
      </c>
      <c r="MP295" s="286"/>
      <c r="MR295" s="402">
        <f t="shared" si="239"/>
        <v>7.4637681159420294E-3</v>
      </c>
      <c r="MS295" s="400">
        <f t="shared" si="240"/>
        <v>0</v>
      </c>
      <c r="MT295" s="285"/>
      <c r="NH295" s="361"/>
      <c r="NJ295" s="282"/>
    </row>
    <row r="296" spans="1:374" ht="16.5">
      <c r="A296" s="403">
        <v>46042</v>
      </c>
      <c r="B296" s="404" t="s">
        <v>1015</v>
      </c>
      <c r="C296" s="405" t="s">
        <v>4384</v>
      </c>
      <c r="D296" s="404" t="s">
        <v>2035</v>
      </c>
      <c r="E296" s="404">
        <v>80</v>
      </c>
      <c r="F296" s="407">
        <v>4200</v>
      </c>
      <c r="G296" s="407" t="s">
        <v>1016</v>
      </c>
      <c r="H296" s="408" t="s">
        <v>1017</v>
      </c>
      <c r="I296" s="409">
        <v>1.57</v>
      </c>
      <c r="J296" s="405" t="s">
        <v>543</v>
      </c>
      <c r="K296" s="404" t="s">
        <v>4385</v>
      </c>
      <c r="L296" s="419" t="str">
        <f t="shared" si="184"/>
        <v>ToyoLi - BLACK</v>
      </c>
      <c r="M296" s="404">
        <v>28</v>
      </c>
      <c r="N296" s="410">
        <f>IF(M296=0,0,IF($LB296=70%,VLOOKUP($L296,'Jan-2026 rates'!$L:$R,4,0),IF($LB296=65%,VLOOKUP($L296,'Jan-2026 rates'!$L:$R,4,0),IF($LB296=40%,VLOOKUP($L296,'Jan-2026 rates'!$L:$R,5,0),IF($LB296=30%,VLOOKUP($L296,'Jan-2026 rates'!$L:$R,6,0),IF($LB296=100%,VLOOKUP($L296,'Jan-2026 rates'!$L:$R,7,0),IF($LB296=60%,VLOOKUP($L296,'Jan-2026 rates'!$L:$S,8,0),IF($LB296=80%,VLOOKUP($L296,'Jan-2026 rates'!L:T,9,0),0))))))))</f>
        <v>0</v>
      </c>
      <c r="O296" s="406"/>
      <c r="P296" s="404"/>
      <c r="Q296" s="410">
        <f>IF(P296=0,0,IF($LB296=70%,VLOOKUP($L296,'Jan-2026 rates'!$L:$R,4,0),IF($LB296=65%,VLOOKUP($L296,'Jan-2026 rates'!$L:$R,4,0),IF($LB296=40%,VLOOKUP($L296,'Jan-2026 rates'!$L:$R,5,0),IF($LB296=30%,VLOOKUP($L296,'Jan-2026 rates'!$L:$R,6,0),IF($LB296=100%,VLOOKUP($L296,'Jan-2026 rates'!$L:$R,7,0),IF($LB296=60%,VLOOKUP($L296,'Jan-2026 rates'!$L:$S,8,0),IF($LB296=80%,VLOOKUP($L296,'Jan-2026 rates'!L:T,9,0),0))))))))</f>
        <v>0</v>
      </c>
      <c r="R296" s="406"/>
      <c r="S296" s="406"/>
      <c r="T296" s="406"/>
      <c r="U296" s="406"/>
      <c r="V296" s="406"/>
      <c r="W296" s="406"/>
      <c r="X296" s="406"/>
      <c r="Y296" s="406"/>
      <c r="Z296" s="404"/>
      <c r="AA296" s="398">
        <f>IF(Z296=0,0,IF(LEN(R296)=11,_xlfn.XLOOKUP(R296,'Dispensed Ink Rates'!C:C,'Dispensed Ink Rates'!CS:CS),VLOOKUP(R296,'Jan-2026 rates'!$E:$F,2,0)))</f>
        <v>0</v>
      </c>
      <c r="AB296" s="404"/>
      <c r="AC296" s="398">
        <f>IF(AB296=0,0,IF(LEN(S296)=11,_xlfn.XLOOKUP(S296,'Dispensed Ink Rates'!C:C,'Dispensed Ink Rates'!CS:CS),VLOOKUP(S296,'Jan-2026 rates'!$E:$F,2,0)))</f>
        <v>0</v>
      </c>
      <c r="AD296" s="404"/>
      <c r="AE296" s="398">
        <f>IF(AD296=0,0,IF(LEN(T296)=11,_xlfn.XLOOKUP(T296,'Dispensed Ink Rates'!C:C,'Dispensed Ink Rates'!CS:CS),VLOOKUP(T296,'Jan-2026 rates'!$E:$F,2,0)))</f>
        <v>0</v>
      </c>
      <c r="AF296" s="404"/>
      <c r="AG296" s="398">
        <f>IF(AF296=0,0,IF(LEN(U296)=11,_xlfn.XLOOKUP(U296,'Dispensed Ink Rates'!C:C,'Dispensed Ink Rates'!CS:CS),VLOOKUP(U296,'Jan-2026 rates'!$E:$F,2,0)))</f>
        <v>0</v>
      </c>
      <c r="AH296" s="404"/>
      <c r="AI296" s="398">
        <f>IF(AH296=0,0,IF(LEN(V296)=11,_xlfn.XLOOKUP(V296,'Dispensed Ink Rates'!C:C,'Dispensed Ink Rates'!CS:CS),VLOOKUP(V296,'Jan-2026 rates'!$E:$F,2,0)))</f>
        <v>0</v>
      </c>
      <c r="AJ296" s="404"/>
      <c r="AK296" s="398">
        <f>IF(AJ296=0,0,IF(LEN(W296)=11,_xlfn.XLOOKUP(W296,'Dispensed Ink Rates'!C:C,'Dispensed Ink Rates'!CS:CS),VLOOKUP(W296,'Jan-2026 rates'!$E:$F,2,0)))</f>
        <v>0</v>
      </c>
      <c r="AL296" s="404"/>
      <c r="AM296" s="398">
        <f>IF(AL296=0,0,IF(LEN(X296)=11,_xlfn.XLOOKUP(X296,'Dispensed Ink Rates'!C:C,'Dispensed Ink Rates'!CS:CS),VLOOKUP(X296,'Jan-2026 rates'!$E:$F,2,0)))</f>
        <v>0</v>
      </c>
      <c r="AN296" s="404"/>
      <c r="AO296" s="398">
        <f>IF(AN296=0,0,IF(LEN(Y296)=11,_xlfn.XLOOKUP(Y296,'Dispensed Ink Rates'!C:C,'Dispensed Ink Rates'!CS:CS),VLOOKUP(Y296,'Jan-2026 rates'!$E:$F,2,0)))</f>
        <v>0</v>
      </c>
      <c r="AP296" s="409" t="s">
        <v>1881</v>
      </c>
      <c r="AQ296" s="409">
        <v>26</v>
      </c>
      <c r="AR296" s="410">
        <f t="shared" si="212"/>
        <v>0</v>
      </c>
      <c r="AS296" s="411">
        <f t="shared" si="213"/>
        <v>4.0512820512820511</v>
      </c>
      <c r="AT296" s="410">
        <f t="shared" si="214"/>
        <v>0</v>
      </c>
      <c r="AU296" s="405" t="s">
        <v>857</v>
      </c>
      <c r="AV296" s="409" t="s">
        <v>4386</v>
      </c>
      <c r="AW296" s="420" t="str">
        <f t="shared" si="236"/>
        <v>ToyoLi - RED</v>
      </c>
      <c r="AX296" s="409">
        <v>10</v>
      </c>
      <c r="AY296" s="411">
        <f>IF(AX296=0,0,IF($LB296=70%,VLOOKUP($AW296,'Jan-2026 rates'!$L:$R,4,0),IF($LB296=65%,VLOOKUP($AW296,'Jan-2026 rates'!$L:$R,4,0),IF($LB296=40%,VLOOKUP($AW296,'Jan-2026 rates'!$L:$R,5,0),IF($LB296=30%,VLOOKUP($AW296,'Jan-2026 rates'!$L:$R,6,0),IF($LB296=100%,VLOOKUP($AW296,'Jan-2026 rates'!$L:$R,7,0),IF($LB296=60%,VLOOKUP($AW296,'Jan-2026 rates'!$L:$S,8,0),IF($LB296=80%,VLOOKUP($AW296,'Jan-2026 rates'!L:T,9,0),0))))))))</f>
        <v>0</v>
      </c>
      <c r="AZ296" s="412" t="s">
        <v>2806</v>
      </c>
      <c r="BA296" s="409">
        <v>16</v>
      </c>
      <c r="BB296" s="411">
        <f>IF(BA296=0,0,IF($LB296=70%,VLOOKUP($AW296,'Jan-2026 rates'!$L:$R,4,0),IF($LB296=65%,VLOOKUP($AW296,'Jan-2026 rates'!$L:$R,4,0),IF($LB296=40%,VLOOKUP($AW296,'Jan-2026 rates'!$L:$R,5,0),IF($LB296=30%,VLOOKUP($AW296,'Jan-2026 rates'!$L:$R,6,0),IF($LB296=100%,VLOOKUP($AW296,'Jan-2026 rates'!$L:$R,7,0),IF($LB296=60%,VLOOKUP($AW296,'Jan-2026 rates'!$L:$S,8,0),IF($LB296=80%,VLOOKUP($AW296,'Jan-2026 rates'!L:T,9,0),0))))))))</f>
        <v>0</v>
      </c>
      <c r="BC296" s="413"/>
      <c r="BD296" s="412"/>
      <c r="BE296" s="412"/>
      <c r="BF296" s="413"/>
      <c r="BG296" s="412"/>
      <c r="BH296" s="412"/>
      <c r="BI296" s="412"/>
      <c r="BJ296" s="412"/>
      <c r="BK296" s="409"/>
      <c r="BL296" s="398">
        <f>IF(BK296=0,0,IF(LEN(BC296)=11,_xlfn.XLOOKUP(BC296,'Dispensed Ink Rates'!C:C,'Dispensed Ink Rates'!CS:CS),VLOOKUP(BC296,'Jan-2026 rates'!$E:$F,2,0)))</f>
        <v>0</v>
      </c>
      <c r="BM296" s="409"/>
      <c r="BN296" s="398">
        <f>IF(BM296=0,0,IF(LEN(BD296)=11,_xlfn.XLOOKUP(BD296,'Dispensed Ink Rates'!C:C,'Dispensed Ink Rates'!CS:CS),VLOOKUP(BD296,'Jan-2026 rates'!$E:$F,2,0)))</f>
        <v>0</v>
      </c>
      <c r="BO296" s="409"/>
      <c r="BP296" s="398">
        <f>IF(BO296=0,0,IF(LEN(BE296)=11,_xlfn.XLOOKUP(BE296,'Dispensed Ink Rates'!C:C,'Dispensed Ink Rates'!CS:CS),VLOOKUP(BE296,'Jan-2026 rates'!$E:$F,2,0)))</f>
        <v>0</v>
      </c>
      <c r="BQ296" s="409"/>
      <c r="BR296" s="398">
        <f>IF(BQ296=0,0,IF(LEN(BF296)=11,_xlfn.XLOOKUP(BF296,'Dispensed Ink Rates'!C:C,'Dispensed Ink Rates'!CS:CS),VLOOKUP(BF296,'Jan-2026 rates'!$E:$F,2,0)))</f>
        <v>0</v>
      </c>
      <c r="BS296" s="409"/>
      <c r="BT296" s="398">
        <f>IF(BS296=0,0,IF(LEN(BG296)=11,_xlfn.XLOOKUP(BG296,'Dispensed Ink Rates'!C:C,'Dispensed Ink Rates'!CS:CS),VLOOKUP(BG296,'Jan-2026 rates'!$E:$F,2,0)))</f>
        <v>0</v>
      </c>
      <c r="BU296" s="409"/>
      <c r="BV296" s="398">
        <f>IF(BU296=0,0,IF(LEN(BH296)=11,_xlfn.XLOOKUP(BH296,'Dispensed Ink Rates'!C:C,'Dispensed Ink Rates'!CS:CS),VLOOKUP(BH296,'Jan-2026 rates'!$E:$F,2,0)))</f>
        <v>0</v>
      </c>
      <c r="BW296" s="409"/>
      <c r="BX296" s="398">
        <f>IF(BW296=0,0,IF(LEN(BI296)=11,_xlfn.XLOOKUP(BI296,'Dispensed Ink Rates'!C:C,'Dispensed Ink Rates'!CS:CS),VLOOKUP(BI296,'Jan-2026 rates'!$E:$F,2,0)))</f>
        <v>0</v>
      </c>
      <c r="BY296" s="409"/>
      <c r="BZ296" s="398">
        <f>IF(BY296=0,0,IF(LEN(BJ296)=11,_xlfn.XLOOKUP(BJ296,'Dispensed Ink Rates'!C:C,'Dispensed Ink Rates'!CS:CS),VLOOKUP(BJ296,'Jan-2026 rates'!$E:$F,2,0)))</f>
        <v>0</v>
      </c>
      <c r="CA296" s="409" t="s">
        <v>1881</v>
      </c>
      <c r="CB296" s="409">
        <f>18+8</f>
        <v>26</v>
      </c>
      <c r="CC296" s="411">
        <f t="shared" si="215"/>
        <v>0</v>
      </c>
      <c r="CD296" s="411">
        <f t="shared" si="216"/>
        <v>2.0512820512820511</v>
      </c>
      <c r="CE296" s="410">
        <f t="shared" si="217"/>
        <v>0</v>
      </c>
      <c r="CF296" s="404" t="s">
        <v>855</v>
      </c>
      <c r="CG296" s="409" t="s">
        <v>4387</v>
      </c>
      <c r="CH296" s="420" t="str">
        <f t="shared" si="185"/>
        <v>ToyoLi - CYAN</v>
      </c>
      <c r="CI296" s="409">
        <f>19+18</f>
        <v>37</v>
      </c>
      <c r="CJ296" s="411">
        <f>IF(CI296=0,0,IF($LB296=70%,VLOOKUP($CH296,'Jan-2026 rates'!$L:$R,4,0),IF($LB296=65%,VLOOKUP($CH296,'Jan-2026 rates'!$L:$R,4,0),IF($LB296=40%,VLOOKUP($CH296,'Jan-2026 rates'!$L:$R,5,0),IF($LB296=30%,VLOOKUP($CH296,'Jan-2026 rates'!$L:$R,6,0),IF($LB296=100%,VLOOKUP($CH296,'Jan-2026 rates'!$L:$R,7,0),IF($LB296=60%,VLOOKUP($CH296,'Jan-2026 rates'!$L:$S,8,0),IF($LB296=80%,VLOOKUP($CH296,'Jan-2026 rates'!L:T,9,0),0))))))))</f>
        <v>0</v>
      </c>
      <c r="CK296" s="412"/>
      <c r="CL296" s="409"/>
      <c r="CM296" s="411">
        <f>IF(CL296=0,0,IF($LB296=70%,VLOOKUP($CH296,'Jan-2026 rates'!$L:$R,4,0),IF($LB296=65%,VLOOKUP($CH296,'Jan-2026 rates'!$L:$R,4,0),IF($LB296=40%,VLOOKUP($CH296,'Jan-2026 rates'!$L:$R,5,0),IF($LB296=30%,VLOOKUP($CH296,'Jan-2026 rates'!$L:$R,6,0),IF($LB296=100%,VLOOKUP($CH296,'Jan-2026 rates'!$L:$R,7,0),IF($LB296=60%,VLOOKUP($CH296,'Jan-2026 rates'!$L:$S,8,0),IF($LB296=80%,VLOOKUP($CH296,'Jan-2026 rates'!L:T,9,0),0))))))))</f>
        <v>0</v>
      </c>
      <c r="CN296" s="426"/>
      <c r="CO296" s="427"/>
      <c r="CP296" s="426"/>
      <c r="CQ296" s="426"/>
      <c r="CR296" s="428"/>
      <c r="CS296" s="428"/>
      <c r="CT296" s="428"/>
      <c r="CU296" s="428"/>
      <c r="CV296" s="409"/>
      <c r="CW296" s="398">
        <f>IF(CV296=0,0,IF(LEN(CN296)=11,_xlfn.XLOOKUP(CN296,'Dispensed Ink Rates'!C:C,'Dispensed Ink Rates'!CS:CS),VLOOKUP(CN296,'Jan-2026 rates'!$E:$F,2,0)))</f>
        <v>0</v>
      </c>
      <c r="CX296" s="409"/>
      <c r="CY296" s="398">
        <f>IF(CX296=0,0,IF(LEN(CO296)=11,_xlfn.XLOOKUP(CO296,'Dispensed Ink Rates'!C:C,'Dispensed Ink Rates'!CS:CS),VLOOKUP(CO296,'Jan-2026 rates'!$E:$F,2,0)))</f>
        <v>0</v>
      </c>
      <c r="CZ296" s="409"/>
      <c r="DA296" s="398">
        <f>IF(CZ296=0,0,IF(LEN(CP296)=11,_xlfn.XLOOKUP(CP296,'Dispensed Ink Rates'!C:C,'Dispensed Ink Rates'!CS:CS),VLOOKUP(CP296,'Jan-2026 rates'!$E:$F,2,0)))</f>
        <v>0</v>
      </c>
      <c r="DB296" s="409"/>
      <c r="DC296" s="398">
        <f>IF(DB296=0,0,IF(LEN(CQ296)=11,_xlfn.XLOOKUP(CQ296,'Dispensed Ink Rates'!C:C,'Dispensed Ink Rates'!CS:CS),VLOOKUP(CQ296,'Jan-2026 rates'!$E:$F,2,0)))</f>
        <v>0</v>
      </c>
      <c r="DD296" s="409"/>
      <c r="DE296" s="398">
        <f>IF(DD296=0,0,IF(LEN(CR296)=11,_xlfn.XLOOKUP(CR296,'Dispensed Ink Rates'!C:C,'Dispensed Ink Rates'!CS:CS),VLOOKUP(CR296,'Jan-2026 rates'!$E:$F,2,0)))</f>
        <v>0</v>
      </c>
      <c r="DF296" s="409"/>
      <c r="DG296" s="398">
        <f>IF(DF296=0,0,IF(LEN(CS296)=11,_xlfn.XLOOKUP(CS296,'Dispensed Ink Rates'!C:C,'Dispensed Ink Rates'!CS:CS),VLOOKUP(CS296,'Jan-2026 rates'!$E:$F,2,0)))</f>
        <v>0</v>
      </c>
      <c r="DH296" s="409"/>
      <c r="DI296" s="398">
        <f>IF(DH296=0,0,IF(LEN(CT296)=11,_xlfn.XLOOKUP(CT296,'Dispensed Ink Rates'!C:C,'Dispensed Ink Rates'!CS:CS),VLOOKUP(CT296,'Jan-2026 rates'!$E:$F,2,0)))</f>
        <v>0</v>
      </c>
      <c r="DJ296" s="409"/>
      <c r="DK296" s="398">
        <f>IF(DJ296=0,0,IF(LEN(CU296)=11,_xlfn.XLOOKUP(CU296,'Dispensed Ink Rates'!C:C,'Dispensed Ink Rates'!CS:CS),VLOOKUP(CU296,'Jan-2026 rates'!$E:$F,2,0)))</f>
        <v>0</v>
      </c>
      <c r="DL296" s="409" t="s">
        <v>1881</v>
      </c>
      <c r="DM296" s="409">
        <v>35</v>
      </c>
      <c r="DN296" s="411">
        <f t="shared" si="218"/>
        <v>0</v>
      </c>
      <c r="DO296" s="411">
        <f t="shared" si="219"/>
        <v>4.0512820512820511</v>
      </c>
      <c r="DP296" s="410">
        <f t="shared" si="220"/>
        <v>0</v>
      </c>
      <c r="DQ296" s="405" t="s">
        <v>544</v>
      </c>
      <c r="DR296" s="409" t="s">
        <v>4388</v>
      </c>
      <c r="DS296" s="420" t="str">
        <f t="shared" si="186"/>
        <v>ToyoLi - MAGENTA</v>
      </c>
      <c r="DT296" s="409">
        <v>29</v>
      </c>
      <c r="DU296" s="411">
        <f>IF(DT296=0,0,IF($LB296=70%,VLOOKUP($DS296,'Jan-2026 rates'!$L:$R,4,0),IF($LB296=65%,VLOOKUP($DS296,'Jan-2026 rates'!$L:$R,4,0),IF($LB296=40%,VLOOKUP($DS296,'Jan-2026 rates'!$L:$R,5,0),IF($LB296=30%,VLOOKUP($DS296,'Jan-2026 rates'!$L:$R,6,0),IF($LB296=100%,VLOOKUP($DS296,'Jan-2026 rates'!$L:$R,7,0),IF($LB296=60%,VLOOKUP($DS296,'Jan-2026 rates'!$L:$S,8,0),IF($LB296=80%,VLOOKUP($DS296,'Jan-2026 rates'!L:T,9,0),0))))))))</f>
        <v>0</v>
      </c>
      <c r="DV296" s="412"/>
      <c r="DW296" s="409"/>
      <c r="DX296" s="411">
        <f>IF(DW296=0,0,IF($LB296=70%,VLOOKUP($DS296,'Jan-2026 rates'!$L:$R,4,0),IF($LB296=65%,VLOOKUP($DS296,'Jan-2026 rates'!$L:$R,4,0),IF($LB296=40%,VLOOKUP($DS296,'Jan-2026 rates'!$L:$R,5,0),IF($LB296=30%,VLOOKUP($DS296,'Jan-2026 rates'!$L:$R,6,0),IF($LB296=100%,VLOOKUP($DS296,'Jan-2026 rates'!$L:$R,7,0),IF($LB296=60%,VLOOKUP($DS296,'Jan-2026 rates'!$L:$S,8,0),IF($LB296=80%,VLOOKUP($DS296,'Jan-2026 rates'!L:T,9,0),0))))))))</f>
        <v>0</v>
      </c>
      <c r="DY296" s="413"/>
      <c r="DZ296" s="413"/>
      <c r="EA296" s="412"/>
      <c r="EB296" s="412"/>
      <c r="EC296" s="412"/>
      <c r="ED296" s="412"/>
      <c r="EE296" s="412"/>
      <c r="EF296" s="412"/>
      <c r="EG296" s="409"/>
      <c r="EH296" s="398">
        <f>IF(EG296=0,0,IF(LEN(DY296)=11,_xlfn.XLOOKUP(DY296,'Dispensed Ink Rates'!C:C,'Dispensed Ink Rates'!CS:CS),VLOOKUP(DY296,'Jan-2026 rates'!$E:$F,2,0)))</f>
        <v>0</v>
      </c>
      <c r="EI296" s="409"/>
      <c r="EJ296" s="398">
        <f>IF(EI296=0,0,IF(LEN(DZ296)=11,_xlfn.XLOOKUP(DZ296,'Dispensed Ink Rates'!C:C,'Dispensed Ink Rates'!CS:CS),VLOOKUP(DZ296,'Jan-2026 rates'!$E:$F,2,0)))</f>
        <v>0</v>
      </c>
      <c r="EK296" s="409"/>
      <c r="EL296" s="398">
        <f>IF(EK296=0,0,IF(LEN(EA296)=11,_xlfn.XLOOKUP(EA296,'Dispensed Ink Rates'!C:C,'Dispensed Ink Rates'!CS:CS),VLOOKUP(EA296,'Jan-2026 rates'!$E:$F,2,0)))</f>
        <v>0</v>
      </c>
      <c r="EM296" s="409"/>
      <c r="EN296" s="398">
        <f>IF(EM296=0,0,IF(LEN(EB296)=11,_xlfn.XLOOKUP(EB296,'Dispensed Ink Rates'!C:C,'Dispensed Ink Rates'!CS:CS),VLOOKUP(EB296,'Jan-2026 rates'!$E:$F,2,0)))</f>
        <v>0</v>
      </c>
      <c r="EO296" s="409"/>
      <c r="EP296" s="398">
        <f>IF(EO296=0,0,IF(LEN(EC296)=11,_xlfn.XLOOKUP(EC296,'Dispensed Ink Rates'!C:C,'Dispensed Ink Rates'!CS:CS),VLOOKUP(EC296,'Jan-2026 rates'!$E:$F,2,0)))</f>
        <v>0</v>
      </c>
      <c r="EQ296" s="409"/>
      <c r="ER296" s="398">
        <f>IF(EQ296=0,0,IF(LEN(ED296)=11,_xlfn.XLOOKUP(ED296,'Dispensed Ink Rates'!C:C,'Dispensed Ink Rates'!CS:CS),VLOOKUP(ED296,'Jan-2026 rates'!$E:$F,2,0)))</f>
        <v>0</v>
      </c>
      <c r="ES296" s="409"/>
      <c r="ET296" s="398">
        <f>IF(ES296=0,0,IF(LEN(EE296)=11,_xlfn.XLOOKUP(EE296,'Dispensed Ink Rates'!C:C,'Dispensed Ink Rates'!CS:CS),VLOOKUP(EE296,'Jan-2026 rates'!$E:$F,2,0)))</f>
        <v>0</v>
      </c>
      <c r="EU296" s="409"/>
      <c r="EV296" s="398">
        <f>IF(EU296=0,0,IF(LEN(EF296)=11,_xlfn.XLOOKUP(EF296,'Dispensed Ink Rates'!C:C,'Dispensed Ink Rates'!CS:CS),VLOOKUP(EF296,'Jan-2026 rates'!$E:$F,2,0)))</f>
        <v>0</v>
      </c>
      <c r="EW296" s="409" t="s">
        <v>1881</v>
      </c>
      <c r="EX296" s="409">
        <v>26</v>
      </c>
      <c r="EY296" s="411">
        <f t="shared" si="221"/>
        <v>0</v>
      </c>
      <c r="EZ296" s="411">
        <f t="shared" si="222"/>
        <v>5.0512820512820511</v>
      </c>
      <c r="FA296" s="410">
        <f t="shared" si="223"/>
        <v>0</v>
      </c>
      <c r="FB296" s="405" t="s">
        <v>545</v>
      </c>
      <c r="FC296" s="409" t="s">
        <v>4389</v>
      </c>
      <c r="FD296" s="420" t="str">
        <f t="shared" si="187"/>
        <v>ToyoLi - YELLOW</v>
      </c>
      <c r="FE296" s="409">
        <v>30</v>
      </c>
      <c r="FF296" s="411">
        <f>IF(FE296=0,0,IF($LB296=70%,VLOOKUP($FD296,'Jan-2026 rates'!$L:$R,4,0),IF($LB296=65%,VLOOKUP($FD296,'Jan-2026 rates'!$L:$R,4,0),IF($LB296=40%,VLOOKUP($FD296,'Jan-2026 rates'!$L:$R,5,0),IF($LB296=30%,VLOOKUP($FD296,'Jan-2026 rates'!$L:$R,6,0),IF($LB296=100%,VLOOKUP($FD296,'Jan-2026 rates'!$L:$R,7,0),IF($LB296=60%,VLOOKUP($FD296,'Jan-2026 rates'!$L:$S,8,0),IF($LB296=80%,VLOOKUP($FD296,'Jan-2026 rates'!L:T,9,0),0))))))))</f>
        <v>0</v>
      </c>
      <c r="FG296" s="412"/>
      <c r="FH296" s="409"/>
      <c r="FI296" s="411">
        <f>IF(FH296=0,0,IF($LB296=70%,VLOOKUP($FD296,'Jan-2026 rates'!$L:$R,4,0),IF($LB296=65%,VLOOKUP($FD296,'Jan-2026 rates'!$L:$R,4,0),IF($LB296=40%,VLOOKUP($FD296,'Jan-2026 rates'!$L:$R,5,0),IF($LB296=30%,VLOOKUP($FD296,'Jan-2026 rates'!$L:$R,6,0),IF($LB296=100%,VLOOKUP($FD296,'Jan-2026 rates'!$L:$R,7,0),IF($LB296=60%,VLOOKUP($FD296,'Jan-2026 rates'!$L:$S,8,0),IF($LB296=80%,VLOOKUP($FD296,'Jan-2026 rates'!L:T,9,0),0))))))))</f>
        <v>0</v>
      </c>
      <c r="FJ296" s="413"/>
      <c r="FK296" s="413"/>
      <c r="FL296" s="413"/>
      <c r="FM296" s="412"/>
      <c r="FN296" s="412"/>
      <c r="FO296" s="412"/>
      <c r="FP296" s="412"/>
      <c r="FQ296" s="412"/>
      <c r="FR296" s="409"/>
      <c r="FS296" s="398">
        <f>IF(FR296=0,0,IF(LEN(FJ296)=11,_xlfn.XLOOKUP(FJ296,'Dispensed Ink Rates'!C:C,'Dispensed Ink Rates'!CS:CS),VLOOKUP(FJ296,'Jan-2026 rates'!$E:$F,2,0)))</f>
        <v>0</v>
      </c>
      <c r="FT296" s="409"/>
      <c r="FU296" s="398">
        <f>IF(FT296=0,0,IF(LEN(FK296)=11,_xlfn.XLOOKUP(FK296,'Dispensed Ink Rates'!C:C,'Dispensed Ink Rates'!CS:CS),VLOOKUP(FK296,'Jan-2026 rates'!$E:$F,2,0)))</f>
        <v>0</v>
      </c>
      <c r="FV296" s="409"/>
      <c r="FW296" s="398">
        <f>IF(FV296=0,0,IF(LEN(FL296)=11,_xlfn.XLOOKUP(FL296,'Dispensed Ink Rates'!C:C,'Dispensed Ink Rates'!CS:CS),VLOOKUP(FL296,'Jan-2026 rates'!$E:$F,2,0)))</f>
        <v>0</v>
      </c>
      <c r="FX296" s="409"/>
      <c r="FY296" s="398">
        <f>IF(FX296=0,0,IF(LEN(FM296)=11,_xlfn.XLOOKUP(FM296,'Dispensed Ink Rates'!C:C,'Dispensed Ink Rates'!CS:CS),VLOOKUP(FM296,'Jan-2026 rates'!$E:$F,2,0)))</f>
        <v>0</v>
      </c>
      <c r="FZ296" s="409"/>
      <c r="GA296" s="398">
        <f>IF(FZ296=0,0,IF(LEN(FN296)=11,_xlfn.XLOOKUP(FN296,'Dispensed Ink Rates'!C:C,'Dispensed Ink Rates'!CS:CS),VLOOKUP(FN296,'Jan-2026 rates'!$E:$F,2,0)))</f>
        <v>0</v>
      </c>
      <c r="GB296" s="409"/>
      <c r="GC296" s="398">
        <f>IF(GB296=0,0,IF(LEN(FO296)=11,_xlfn.XLOOKUP(FO296,'Dispensed Ink Rates'!C:C,'Dispensed Ink Rates'!CS:CS),VLOOKUP(FO296,'Jan-2026 rates'!$E:$F,2,0)))</f>
        <v>0</v>
      </c>
      <c r="GD296" s="409"/>
      <c r="GE296" s="398">
        <f>IF(GD296=0,0,IF(LEN(FP296)=11,_xlfn.XLOOKUP(FP296,'Dispensed Ink Rates'!C:C,'Dispensed Ink Rates'!CS:CS),VLOOKUP(FP296,'Jan-2026 rates'!$E:$F,2,0)))</f>
        <v>0</v>
      </c>
      <c r="GF296" s="409"/>
      <c r="GG296" s="398">
        <f>IF(GF296=0,0,IF(LEN(FQ296)=11,_xlfn.XLOOKUP(FQ296,'Dispensed Ink Rates'!C:C,'Dispensed Ink Rates'!CS:CS),VLOOKUP(FQ296,'Jan-2026 rates'!$E:$F,2,0)))</f>
        <v>0</v>
      </c>
      <c r="GH296" s="409" t="s">
        <v>1881</v>
      </c>
      <c r="GI296" s="409">
        <v>27</v>
      </c>
      <c r="GJ296" s="411">
        <f t="shared" si="224"/>
        <v>0</v>
      </c>
      <c r="GK296" s="411">
        <f t="shared" si="225"/>
        <v>5.0512820512820511</v>
      </c>
      <c r="GL296" s="410">
        <f t="shared" si="226"/>
        <v>0</v>
      </c>
      <c r="GM296" s="405" t="s">
        <v>829</v>
      </c>
      <c r="GN296" s="409"/>
      <c r="GO296" s="420" t="str">
        <f t="shared" si="188"/>
        <v>ToyoLi - MEDIUM</v>
      </c>
      <c r="GP296" s="409"/>
      <c r="GQ296" s="411">
        <f>IF(GP296=0,0,IF($LB296=70%,VLOOKUP($GO296,'Jan-2026 rates'!$L:$R,4,0),IF($LB296=65%,VLOOKUP($GO296,'Jan-2026 rates'!$L:$R,4,0),IF($LB296=40%,VLOOKUP($GO296,'Jan-2026 rates'!$L:$R,5,0),IF($LB296=30%,VLOOKUP($GO296,'Jan-2026 rates'!$L:$R,6,0),IF($LB296=100%,VLOOKUP($GO296,'Jan-2026 rates'!$L:$R,7,0),IF($LB296=60%,VLOOKUP($GO296,'Jan-2026 rates'!$L:$S,8,0),IF($LB296=80%,VLOOKUP($GO296,'Jan-2026 rates'!L:T,9,0),0))))))))</f>
        <v>0</v>
      </c>
      <c r="GR296" s="412"/>
      <c r="GS296" s="409"/>
      <c r="GT296" s="411">
        <f>IF(GS296=0,0,IF($LB296=70%,VLOOKUP($GO296,'Jan-2026 rates'!$L:$R,4,0),IF($LB296=65%,VLOOKUP($GO296,'Jan-2026 rates'!$L:$R,4,0),IF($LB296=40%,VLOOKUP($GO296,'Jan-2026 rates'!$L:$R,5,0),IF($LB296=30%,VLOOKUP($GO296,'Jan-2026 rates'!$L:$R,6,0),IF($LB296=100%,VLOOKUP($GO296,'Jan-2026 rates'!$L:$R,7,0),IF($LB296=60%,VLOOKUP($GO296,'Jan-2026 rates'!$L:$S,8,0),IF($LB296=80%,VLOOKUP($GO296,'Jan-2026 rates'!L:T,9,0),0))))))))</f>
        <v>0</v>
      </c>
      <c r="GU296" s="413" t="s">
        <v>1249</v>
      </c>
      <c r="GV296" s="413" t="s">
        <v>1921</v>
      </c>
      <c r="GW296" s="412" t="s">
        <v>1247</v>
      </c>
      <c r="GX296" s="412" t="s">
        <v>1248</v>
      </c>
      <c r="GY296" s="412"/>
      <c r="GZ296" s="412"/>
      <c r="HA296" s="412"/>
      <c r="HB296" s="412"/>
      <c r="HC296" s="409">
        <v>15</v>
      </c>
      <c r="HD296" s="398">
        <f>IF(HC296=0,0,IF(LEN(GU296)=11,_xlfn.XLOOKUP(GU296,'Dispensed Ink Rates'!C:C,'Dispensed Ink Rates'!CS:CS),VLOOKUP(GU296,'Jan-2026 rates'!$E:$F,2,0)))</f>
        <v>0</v>
      </c>
      <c r="HE296" s="409">
        <f>10+5</f>
        <v>15</v>
      </c>
      <c r="HF296" s="398">
        <f>IF(HE296=0,0,IF(LEN(GV296)=11,_xlfn.XLOOKUP(GV296,'Dispensed Ink Rates'!C:C,'Dispensed Ink Rates'!CS:CS),VLOOKUP(GV296,'Jan-2026 rates'!$E:$F,2,0)))</f>
        <v>0</v>
      </c>
      <c r="HG296" s="409">
        <v>0.3</v>
      </c>
      <c r="HH296" s="398">
        <f>IF(HG296=0,0,IF(LEN(GW296)=11,_xlfn.XLOOKUP(GW296,'Dispensed Ink Rates'!C:C,'Dispensed Ink Rates'!CS:CS),VLOOKUP(GW296,'Jan-2026 rates'!$E:$F,2,0)))</f>
        <v>0</v>
      </c>
      <c r="HI296" s="409">
        <v>0.1</v>
      </c>
      <c r="HJ296" s="398">
        <f>IF(HI296=0,0,IF(LEN(GX296)=11,_xlfn.XLOOKUP(GX296,'Dispensed Ink Rates'!C:C,'Dispensed Ink Rates'!CS:CS),VLOOKUP(GX296,'Jan-2026 rates'!$E:$F,2,0)))</f>
        <v>0</v>
      </c>
      <c r="HK296" s="409"/>
      <c r="HL296" s="398">
        <f>IF(HK296=0,0,IF(LEN(GY296)=11,_xlfn.XLOOKUP(GY296,'Dispensed Ink Rates'!C:C,'Dispensed Ink Rates'!CS:CS),VLOOKUP(GY296,'Jan-2026 rates'!$E:$F,2,0)))</f>
        <v>0</v>
      </c>
      <c r="HM296" s="409"/>
      <c r="HN296" s="398">
        <f>IF(HM296=0,0,IF(LEN(GZ296)=11,_xlfn.XLOOKUP(GZ296,'Dispensed Ink Rates'!C:C,'Dispensed Ink Rates'!CS:CS),VLOOKUP(GZ296,'Jan-2026 rates'!$E:$F,2,0)))</f>
        <v>0</v>
      </c>
      <c r="HO296" s="409"/>
      <c r="HP296" s="398">
        <f>IF(HO296=0,0,IF(LEN(HA296)=11,_xlfn.XLOOKUP(HA296,'Dispensed Ink Rates'!C:C,'Dispensed Ink Rates'!CS:CS),VLOOKUP(HA296,'Jan-2026 rates'!$E:$F,2,0)))</f>
        <v>0</v>
      </c>
      <c r="HQ296" s="409"/>
      <c r="HR296" s="398">
        <f>IF(HQ296=0,0,IF(LEN(HB296)=11,_xlfn.XLOOKUP(HB296,'Dispensed Ink Rates'!C:C,'Dispensed Ink Rates'!CS:CS),VLOOKUP(HB296,'Jan-2026 rates'!$E:$F,2,0)))</f>
        <v>0</v>
      </c>
      <c r="HS296" s="409" t="s">
        <v>1881</v>
      </c>
      <c r="HT296" s="409">
        <f>20+20</f>
        <v>40</v>
      </c>
      <c r="HU296" s="411">
        <f t="shared" si="227"/>
        <v>0</v>
      </c>
      <c r="HV296" s="411">
        <f t="shared" si="228"/>
        <v>4.7589743589743634</v>
      </c>
      <c r="HW296" s="414">
        <f t="shared" si="229"/>
        <v>0</v>
      </c>
      <c r="HX296" s="405" t="s">
        <v>856</v>
      </c>
      <c r="HY296" s="409" t="s">
        <v>4390</v>
      </c>
      <c r="HZ296" s="420" t="str">
        <f t="shared" si="189"/>
        <v>ToyoLi - WHITE</v>
      </c>
      <c r="IA296" s="409">
        <v>30</v>
      </c>
      <c r="IB296" s="411">
        <f>IF(IA296=0,0,IF($LB296=70%,VLOOKUP($HZ296,'Jan-2026 rates'!$L:$R,4,0),IF($LB296=65%,VLOOKUP($HZ296,'Jan-2026 rates'!$L:$R,4,0),IF($LB296=40%,VLOOKUP($HZ296,'Jan-2026 rates'!$L:$R,5,0),IF($LB296=30%,VLOOKUP($HZ296,'Jan-2026 rates'!$L:$R,6,0),IF($LB296=100%,VLOOKUP($HZ296,'Jan-2026 rates'!$L:$R,7,0),IF($LB296=60%,VLOOKUP($HZ296,'Jan-2026 rates'!$L:$S,8,0),IF($LB296=80%,VLOOKUP($HZ296,'Jan-2026 rates'!L:T,9,0),0))))))))</f>
        <v>0</v>
      </c>
      <c r="IC296" s="412"/>
      <c r="ID296" s="409"/>
      <c r="IE296" s="411">
        <f>IF(ID296=0,0,IF($LB296=70%,VLOOKUP($HZ296,'Jan-2026 rates'!$L:$R,4,0),IF($LB296=65%,VLOOKUP($HZ296,'Jan-2026 rates'!$L:$R,4,0),IF($LB296=40%,VLOOKUP($HZ296,'Jan-2026 rates'!$L:$R,5,0),IF($LB296=30%,VLOOKUP($HZ296,'Jan-2026 rates'!$L:$R,6,0),IF($LB296=100%,VLOOKUP($HZ296,'Jan-2026 rates'!$L:$R,7,0),IF($LB296=60%,VLOOKUP($HZ296,'Jan-2026 rates'!$L:$S,8,0),IF($LB296=80%,VLOOKUP($HZ296,'Jan-2026 rates'!L:T,9,0),0))))))))</f>
        <v>0</v>
      </c>
      <c r="IF296" s="412" t="s">
        <v>1249</v>
      </c>
      <c r="IG296" s="413"/>
      <c r="IH296" s="412"/>
      <c r="II296" s="412"/>
      <c r="IJ296" s="412"/>
      <c r="IK296" s="412"/>
      <c r="IL296" s="412"/>
      <c r="IM296" s="412"/>
      <c r="IN296" s="409">
        <v>30</v>
      </c>
      <c r="IO296" s="398">
        <f>IF(IN296=0,0,IF(LEN(IF296)=11,_xlfn.XLOOKUP(IF296,'Dispensed Ink Rates'!C:C,'Dispensed Ink Rates'!CS:CS),VLOOKUP(IF296,'Jan-2026 rates'!$E:$F,2,0)))</f>
        <v>0</v>
      </c>
      <c r="IP296" s="409"/>
      <c r="IQ296" s="398">
        <f>IF(IP296=0,0,IF(LEN(IG296)=11,_xlfn.XLOOKUP(IG296,'Dispensed Ink Rates'!C:C,'Dispensed Ink Rates'!CS:CS),VLOOKUP(IG296,'Jan-2026 rates'!$E:$F,2,0)))</f>
        <v>0</v>
      </c>
      <c r="IR296" s="409"/>
      <c r="IS296" s="398">
        <f>IF(IR296=0,0,IF(LEN(IH296)=11,_xlfn.XLOOKUP(IH296,'Dispensed Ink Rates'!C:C,'Dispensed Ink Rates'!CS:CS),VLOOKUP(IH296,'Jan-2026 rates'!$E:$F,2,0)))</f>
        <v>0</v>
      </c>
      <c r="IT296" s="409"/>
      <c r="IU296" s="398">
        <f>IF(IT296=0,0,IF(LEN(II296)=11,_xlfn.XLOOKUP(II296,'Dispensed Ink Rates'!C:C,'Dispensed Ink Rates'!CS:CS),VLOOKUP(II296,'Jan-2026 rates'!$E:$F,2,0)))</f>
        <v>0</v>
      </c>
      <c r="IV296" s="409"/>
      <c r="IW296" s="398">
        <f>IF(IV296=0,0,IF(LEN(IJ296)=11,_xlfn.XLOOKUP(IJ296,'Dispensed Ink Rates'!C:C,'Dispensed Ink Rates'!CS:CS),VLOOKUP(IJ296,'Jan-2026 rates'!$E:$F,2,0)))</f>
        <v>0</v>
      </c>
      <c r="IX296" s="409"/>
      <c r="IY296" s="398">
        <f>IF(IX296=0,0,IF(LEN(IK296)=11,_xlfn.XLOOKUP(IK296,'Dispensed Ink Rates'!C:C,'Dispensed Ink Rates'!CS:CS),VLOOKUP(IK296,'Jan-2026 rates'!$E:$F,2,0)))</f>
        <v>0</v>
      </c>
      <c r="IZ296" s="409"/>
      <c r="JA296" s="398">
        <f>IF(IZ296=0,0,IF(LEN(IL296)=11,_xlfn.XLOOKUP(IL296,'Dispensed Ink Rates'!C:C,'Dispensed Ink Rates'!CS:CS),VLOOKUP(IL296,'Jan-2026 rates'!$E:$F,2,0)))</f>
        <v>0</v>
      </c>
      <c r="JB296" s="409"/>
      <c r="JC296" s="398">
        <f>IF(JB296=0,0,IF(LEN(IM296)=11,_xlfn.XLOOKUP(IM296,'Dispensed Ink Rates'!C:C,'Dispensed Ink Rates'!CS:CS),VLOOKUP(IM296,'Jan-2026 rates'!$E:$F,2,0)))</f>
        <v>0</v>
      </c>
      <c r="JD296" s="409" t="s">
        <v>1881</v>
      </c>
      <c r="JE296" s="409">
        <v>30</v>
      </c>
      <c r="JF296" s="411">
        <f t="shared" si="230"/>
        <v>0</v>
      </c>
      <c r="JG296" s="411">
        <f t="shared" si="231"/>
        <v>45.384615384615387</v>
      </c>
      <c r="JH296" s="410">
        <f t="shared" si="232"/>
        <v>0</v>
      </c>
      <c r="JI296" s="405"/>
      <c r="JJ296" s="409"/>
      <c r="JK296" s="420" t="str">
        <f t="shared" si="190"/>
        <v xml:space="preserve"> - </v>
      </c>
      <c r="JL296" s="409"/>
      <c r="JM296" s="411">
        <f>IF(JL296=0,0,IF($LB296=70%,VLOOKUP($JK296,'Jan-2026 rates'!$L:$R,4,0),IF($LB296=65%,VLOOKUP($JK296,'Jan-2026 rates'!$L:$R,4,0),IF($LB296=40%,VLOOKUP($JK296,'Jan-2026 rates'!$L:$R,5,0),IF($LB296=30%,VLOOKUP($JK296,'Jan-2026 rates'!$L:$R,6,0),IF($LB296=100%,VLOOKUP($JK296,'Jan-2026 rates'!$L:$R,7,0),IF($LB296=60%,VLOOKUP($JK296,'Jan-2026 rates'!$L:$S,8,0),IF($LB296=80%,VLOOKUP($JK296,'Jan-2026 rates'!L:T,9,0),0))))))))</f>
        <v>0</v>
      </c>
      <c r="JN296" s="412"/>
      <c r="JO296" s="409"/>
      <c r="JP296" s="411">
        <f>IF(JO296=0,0,IF($LB296=70%,VLOOKUP($JK296,'Jan-2026 rates'!$L:$R,4,0),IF($LB296=65%,VLOOKUP($JK296,'Jan-2026 rates'!$L:$R,4,0),IF($LB296=40%,VLOOKUP($JK296,'Jan-2026 rates'!$L:$R,5,0),IF($LB296=30%,VLOOKUP($JK296,'Jan-2026 rates'!$L:$R,6,0),IF($LB296=100%,VLOOKUP($JK296,'Jan-2026 rates'!$L:$R,7,0),IF($LB296=60%,VLOOKUP($JK296,'Jan-2026 rates'!$L:$S,8,0),IF($LB296=80%,VLOOKUP($JK296,'Jan-2026 rates'!L:T,9,0),0))))))))</f>
        <v>0</v>
      </c>
      <c r="JQ296" s="413"/>
      <c r="JR296" s="412"/>
      <c r="JS296" s="413"/>
      <c r="JT296" s="413"/>
      <c r="JU296" s="412"/>
      <c r="JV296" s="412"/>
      <c r="JW296" s="412"/>
      <c r="JX296" s="412"/>
      <c r="JY296" s="409"/>
      <c r="JZ296" s="398">
        <f>IF(JY296=0,0,IF(LEN(JQ296)=11,_xlfn.XLOOKUP(JQ296,'Dispensed Ink Rates'!C:C,'Dispensed Ink Rates'!CS:CS),VLOOKUP(JQ296,'Jan-2026 rates'!$E:$F,2,0)))</f>
        <v>0</v>
      </c>
      <c r="KA296" s="409"/>
      <c r="KB296" s="398">
        <f>IF(KA296=0,0,IF(LEN(JR296)=11,_xlfn.XLOOKUP(JR296,'Dispensed Ink Rates'!C:C,'Dispensed Ink Rates'!CS:CS),VLOOKUP(JR296,'Jan-2026 rates'!$E:$F,2,0)))</f>
        <v>0</v>
      </c>
      <c r="KC296" s="409"/>
      <c r="KD296" s="398">
        <f>IF(KC296=0,0,IF(LEN(JS296)=11,_xlfn.XLOOKUP(JS296,'Dispensed Ink Rates'!C:C,'Dispensed Ink Rates'!CS:CS),VLOOKUP(JS296,'Jan-2026 rates'!$E:$F,2,0)))</f>
        <v>0</v>
      </c>
      <c r="KE296" s="409"/>
      <c r="KF296" s="398">
        <f>IF(KE296=0,0,IF(LEN(JT296)=11,_xlfn.XLOOKUP(JT296,'Dispensed Ink Rates'!C:C,'Dispensed Ink Rates'!CS:CS),VLOOKUP(JT296,'Jan-2026 rates'!$E:$F,2,0)))</f>
        <v>0</v>
      </c>
      <c r="KG296" s="409"/>
      <c r="KH296" s="398">
        <f>IF(KG296=0,0,IF(LEN(JU296)=11,_xlfn.XLOOKUP(JU296,'Dispensed Ink Rates'!C:C,'Dispensed Ink Rates'!CS:CS),VLOOKUP(JU296,'Jan-2026 rates'!$E:$F,2,0)))</f>
        <v>0</v>
      </c>
      <c r="KI296" s="409"/>
      <c r="KJ296" s="398">
        <f>IF(KI296=0,0,IF(LEN(JV296)=11,_xlfn.XLOOKUP(JV296,'Dispensed Ink Rates'!C:C,'Dispensed Ink Rates'!CS:CS),VLOOKUP(JV296,'Jan-2026 rates'!$E:$F,2,0)))</f>
        <v>0</v>
      </c>
      <c r="KK296" s="409"/>
      <c r="KL296" s="398">
        <f>IF(KK296=0,0,IF(LEN(JW296)=11,_xlfn.XLOOKUP(JW296,'Dispensed Ink Rates'!C:C,'Dispensed Ink Rates'!CS:CS),VLOOKUP(JW296,'Jan-2026 rates'!$E:$F,2,0)))</f>
        <v>0</v>
      </c>
      <c r="KM296" s="428"/>
      <c r="KN296" s="398">
        <f>IF(KM296=0,0,IF(LEN(JX296)=11,_xlfn.XLOOKUP(JX296,'Dispensed Ink Rates'!C:C,'Dispensed Ink Rates'!CS:CS),VLOOKUP(JX296,'Jan-2026 rates'!$E:$F,2,0)))</f>
        <v>0</v>
      </c>
      <c r="KO296" s="409"/>
      <c r="KP296" s="409"/>
      <c r="KQ296" s="411">
        <f t="shared" si="233"/>
        <v>0</v>
      </c>
      <c r="KR296" s="411">
        <f t="shared" si="234"/>
        <v>0</v>
      </c>
      <c r="KS296" s="410">
        <f t="shared" si="235"/>
        <v>0</v>
      </c>
      <c r="KT296" s="409">
        <v>2</v>
      </c>
      <c r="KU296" s="409">
        <v>2</v>
      </c>
      <c r="KV296" s="409">
        <v>2</v>
      </c>
      <c r="KW296" s="409">
        <v>2</v>
      </c>
      <c r="KX296" s="409">
        <v>2</v>
      </c>
      <c r="KY296" s="409">
        <f>10+4</f>
        <v>14</v>
      </c>
      <c r="KZ296" s="409">
        <v>15</v>
      </c>
      <c r="LA296" s="409">
        <v>0</v>
      </c>
      <c r="LB296" s="415">
        <v>0.3</v>
      </c>
      <c r="LC296" s="415"/>
      <c r="LD296" s="424"/>
      <c r="LE296" s="415">
        <v>0.5</v>
      </c>
      <c r="LF296" s="415">
        <v>0.2</v>
      </c>
      <c r="LG296" s="409">
        <v>0</v>
      </c>
      <c r="LH296" s="409">
        <f>15+5+6+10+4</f>
        <v>40</v>
      </c>
      <c r="LI296" s="409">
        <v>0</v>
      </c>
      <c r="LJ296" s="409">
        <v>0</v>
      </c>
      <c r="LK296" s="416">
        <f t="shared" si="191"/>
        <v>40</v>
      </c>
      <c r="LL296" s="416">
        <f t="shared" si="237"/>
        <v>40</v>
      </c>
      <c r="LM296" s="417">
        <f t="shared" si="193"/>
        <v>12</v>
      </c>
      <c r="LN296" s="417">
        <f>VLOOKUP($LM$8,'Jan-2026 rates'!$H:$I,2,0)</f>
        <v>0</v>
      </c>
      <c r="LO296" s="417">
        <f t="shared" si="194"/>
        <v>0</v>
      </c>
      <c r="LP296" s="417">
        <f>VLOOKUP($LO$8,'Jan-2026 rates'!$H:$I,2,0)</f>
        <v>0</v>
      </c>
      <c r="LQ296" s="417">
        <f t="shared" si="195"/>
        <v>0</v>
      </c>
      <c r="LR296" s="417">
        <f>VLOOKUP($LQ$8,'Jan-2026 rates'!$H:$I,2,0)</f>
        <v>0</v>
      </c>
      <c r="LS296" s="417">
        <f t="shared" si="196"/>
        <v>20</v>
      </c>
      <c r="LT296" s="417">
        <f>VLOOKUP($LS$8,'Jan-2026 rates'!$H:$I,2,0)</f>
        <v>0</v>
      </c>
      <c r="LU296" s="417">
        <f t="shared" si="197"/>
        <v>8</v>
      </c>
      <c r="LV296" s="417">
        <f>VLOOKUP($LU$8,'Jan-2026 rates'!$H:$I,2,0)</f>
        <v>0</v>
      </c>
      <c r="LW296" s="417">
        <f t="shared" si="198"/>
        <v>0</v>
      </c>
      <c r="LX296" s="417">
        <f t="shared" si="199"/>
        <v>0</v>
      </c>
      <c r="LY296" s="418">
        <f t="shared" si="200"/>
        <v>0</v>
      </c>
      <c r="LZ296" s="417"/>
      <c r="MA296" s="435">
        <f t="shared" si="201"/>
        <v>60.400000000000006</v>
      </c>
      <c r="MB296" s="282">
        <f t="shared" si="202"/>
        <v>70.400000000000006</v>
      </c>
      <c r="MC296" s="283" t="s">
        <v>2035</v>
      </c>
      <c r="MD296" s="284" t="str">
        <f t="shared" si="203"/>
        <v>ToyoLiToyoLiToyoLiToyoLiToyoLiToyoLiToyoLi</v>
      </c>
      <c r="ME296" s="293" t="str">
        <f t="shared" si="204"/>
        <v>+</v>
      </c>
      <c r="MF296" s="293" t="str">
        <f t="shared" si="205"/>
        <v>+</v>
      </c>
      <c r="MG296" s="293" t="str">
        <f t="shared" si="206"/>
        <v>+</v>
      </c>
      <c r="MH296" s="293" t="str">
        <f t="shared" si="207"/>
        <v>+</v>
      </c>
      <c r="MI296" s="293" t="str">
        <f t="shared" si="208"/>
        <v>+</v>
      </c>
      <c r="MJ296" s="293" t="str">
        <f t="shared" si="209"/>
        <v>+</v>
      </c>
      <c r="MK296" s="293" t="str">
        <f t="shared" si="210"/>
        <v>+</v>
      </c>
      <c r="ML296" s="293" t="str">
        <f t="shared" si="211"/>
        <v>NIL</v>
      </c>
      <c r="MM296" s="3" t="b">
        <f t="array" ref="MM296">OR(ME296:ML296="-")</f>
        <v>0</v>
      </c>
      <c r="MO296" s="401">
        <f t="shared" si="238"/>
        <v>88.000000000000014</v>
      </c>
      <c r="MP296" s="286"/>
      <c r="MR296" s="402">
        <f t="shared" si="239"/>
        <v>1.6761904761904763E-2</v>
      </c>
      <c r="MS296" s="400">
        <f t="shared" si="240"/>
        <v>0</v>
      </c>
      <c r="MT296" s="285"/>
      <c r="NH296" s="361"/>
      <c r="NJ296" s="282"/>
    </row>
    <row r="297" spans="1:374" ht="16.5">
      <c r="A297" s="403">
        <v>46042</v>
      </c>
      <c r="B297" s="404" t="s">
        <v>1015</v>
      </c>
      <c r="C297" s="405" t="s">
        <v>4391</v>
      </c>
      <c r="D297" s="404" t="s">
        <v>2036</v>
      </c>
      <c r="E297" s="404">
        <v>213</v>
      </c>
      <c r="F297" s="407">
        <v>16300</v>
      </c>
      <c r="G297" s="407" t="s">
        <v>1016</v>
      </c>
      <c r="H297" s="408" t="s">
        <v>1017</v>
      </c>
      <c r="I297" s="409">
        <v>1.96</v>
      </c>
      <c r="J297" s="405" t="s">
        <v>543</v>
      </c>
      <c r="K297" s="404" t="s">
        <v>4392</v>
      </c>
      <c r="L297" s="419" t="str">
        <f t="shared" si="184"/>
        <v>ToyoLi - BLACK</v>
      </c>
      <c r="M297" s="404">
        <v>26</v>
      </c>
      <c r="N297" s="410">
        <f>IF(M297=0,0,IF($LB297=70%,VLOOKUP($L297,'Jan-2026 rates'!$L:$R,4,0),IF($LB297=65%,VLOOKUP($L297,'Jan-2026 rates'!$L:$R,4,0),IF($LB297=40%,VLOOKUP($L297,'Jan-2026 rates'!$L:$R,5,0),IF($LB297=30%,VLOOKUP($L297,'Jan-2026 rates'!$L:$R,6,0),IF($LB297=100%,VLOOKUP($L297,'Jan-2026 rates'!$L:$R,7,0),IF($LB297=60%,VLOOKUP($L297,'Jan-2026 rates'!$L:$S,8,0),IF($LB297=80%,VLOOKUP($L297,'Jan-2026 rates'!L:T,9,0),0))))))))</f>
        <v>0</v>
      </c>
      <c r="O297" s="406"/>
      <c r="P297" s="404"/>
      <c r="Q297" s="410">
        <f>IF(P297=0,0,IF($LB297=70%,VLOOKUP($L297,'Jan-2026 rates'!$L:$R,4,0),IF($LB297=65%,VLOOKUP($L297,'Jan-2026 rates'!$L:$R,4,0),IF($LB297=40%,VLOOKUP($L297,'Jan-2026 rates'!$L:$R,5,0),IF($LB297=30%,VLOOKUP($L297,'Jan-2026 rates'!$L:$R,6,0),IF($LB297=100%,VLOOKUP($L297,'Jan-2026 rates'!$L:$R,7,0),IF($LB297=60%,VLOOKUP($L297,'Jan-2026 rates'!$L:$S,8,0),IF($LB297=80%,VLOOKUP($L297,'Jan-2026 rates'!L:T,9,0),0))))))))</f>
        <v>0</v>
      </c>
      <c r="R297" s="406" t="s">
        <v>1252</v>
      </c>
      <c r="S297" s="406"/>
      <c r="T297" s="406"/>
      <c r="U297" s="406"/>
      <c r="V297" s="406"/>
      <c r="W297" s="406"/>
      <c r="X297" s="406"/>
      <c r="Y297" s="406"/>
      <c r="Z297" s="404">
        <v>5</v>
      </c>
      <c r="AA297" s="398">
        <f>IF(Z297=0,0,IF(LEN(R297)=11,_xlfn.XLOOKUP(R297,'Dispensed Ink Rates'!C:C,'Dispensed Ink Rates'!CS:CS),VLOOKUP(R297,'Jan-2026 rates'!$E:$F,2,0)))</f>
        <v>0</v>
      </c>
      <c r="AB297" s="404"/>
      <c r="AC297" s="398">
        <f>IF(AB297=0,0,IF(LEN(S297)=11,_xlfn.XLOOKUP(S297,'Dispensed Ink Rates'!C:C,'Dispensed Ink Rates'!CS:CS),VLOOKUP(S297,'Jan-2026 rates'!$E:$F,2,0)))</f>
        <v>0</v>
      </c>
      <c r="AD297" s="404"/>
      <c r="AE297" s="398">
        <f>IF(AD297=0,0,IF(LEN(T297)=11,_xlfn.XLOOKUP(T297,'Dispensed Ink Rates'!C:C,'Dispensed Ink Rates'!CS:CS),VLOOKUP(T297,'Jan-2026 rates'!$E:$F,2,0)))</f>
        <v>0</v>
      </c>
      <c r="AF297" s="404"/>
      <c r="AG297" s="398">
        <f>IF(AF297=0,0,IF(LEN(U297)=11,_xlfn.XLOOKUP(U297,'Dispensed Ink Rates'!C:C,'Dispensed Ink Rates'!CS:CS),VLOOKUP(U297,'Jan-2026 rates'!$E:$F,2,0)))</f>
        <v>0</v>
      </c>
      <c r="AH297" s="404"/>
      <c r="AI297" s="398">
        <f>IF(AH297=0,0,IF(LEN(V297)=11,_xlfn.XLOOKUP(V297,'Dispensed Ink Rates'!C:C,'Dispensed Ink Rates'!CS:CS),VLOOKUP(V297,'Jan-2026 rates'!$E:$F,2,0)))</f>
        <v>0</v>
      </c>
      <c r="AJ297" s="404"/>
      <c r="AK297" s="398">
        <f>IF(AJ297=0,0,IF(LEN(W297)=11,_xlfn.XLOOKUP(W297,'Dispensed Ink Rates'!C:C,'Dispensed Ink Rates'!CS:CS),VLOOKUP(W297,'Jan-2026 rates'!$E:$F,2,0)))</f>
        <v>0</v>
      </c>
      <c r="AL297" s="404"/>
      <c r="AM297" s="398">
        <f>IF(AL297=0,0,IF(LEN(X297)=11,_xlfn.XLOOKUP(X297,'Dispensed Ink Rates'!C:C,'Dispensed Ink Rates'!CS:CS),VLOOKUP(X297,'Jan-2026 rates'!$E:$F,2,0)))</f>
        <v>0</v>
      </c>
      <c r="AN297" s="404"/>
      <c r="AO297" s="398">
        <f>IF(AN297=0,0,IF(LEN(Y297)=11,_xlfn.XLOOKUP(Y297,'Dispensed Ink Rates'!C:C,'Dispensed Ink Rates'!CS:CS),VLOOKUP(Y297,'Jan-2026 rates'!$E:$F,2,0)))</f>
        <v>0</v>
      </c>
      <c r="AP297" s="409" t="s">
        <v>1881</v>
      </c>
      <c r="AQ297" s="409">
        <v>28</v>
      </c>
      <c r="AR297" s="410">
        <f t="shared" si="212"/>
        <v>0</v>
      </c>
      <c r="AS297" s="411">
        <f t="shared" si="213"/>
        <v>9.5217391304347814</v>
      </c>
      <c r="AT297" s="410">
        <f t="shared" si="214"/>
        <v>0</v>
      </c>
      <c r="AU297" s="405" t="s">
        <v>546</v>
      </c>
      <c r="AV297" s="409" t="s">
        <v>3506</v>
      </c>
      <c r="AW297" s="420" t="str">
        <f t="shared" si="236"/>
        <v>ToyoLi - REFLEX BLUE</v>
      </c>
      <c r="AX297" s="409">
        <v>16</v>
      </c>
      <c r="AY297" s="411">
        <f>IF(AX297=0,0,IF($LB297=70%,VLOOKUP($AW297,'Jan-2026 rates'!$L:$R,4,0),IF($LB297=65%,VLOOKUP($AW297,'Jan-2026 rates'!$L:$R,4,0),IF($LB297=40%,VLOOKUP($AW297,'Jan-2026 rates'!$L:$R,5,0),IF($LB297=30%,VLOOKUP($AW297,'Jan-2026 rates'!$L:$R,6,0),IF($LB297=100%,VLOOKUP($AW297,'Jan-2026 rates'!$L:$R,7,0),IF($LB297=60%,VLOOKUP($AW297,'Jan-2026 rates'!$L:$S,8,0),IF($LB297=80%,VLOOKUP($AW297,'Jan-2026 rates'!L:T,9,0),0))))))))</f>
        <v>0</v>
      </c>
      <c r="AZ297" s="412"/>
      <c r="BA297" s="409"/>
      <c r="BB297" s="411">
        <f>IF(BA297=0,0,IF($LB297=70%,VLOOKUP($AW297,'Jan-2026 rates'!$L:$R,4,0),IF($LB297=65%,VLOOKUP($AW297,'Jan-2026 rates'!$L:$R,4,0),IF($LB297=40%,VLOOKUP($AW297,'Jan-2026 rates'!$L:$R,5,0),IF($LB297=30%,VLOOKUP($AW297,'Jan-2026 rates'!$L:$R,6,0),IF($LB297=100%,VLOOKUP($AW297,'Jan-2026 rates'!$L:$R,7,0),IF($LB297=60%,VLOOKUP($AW297,'Jan-2026 rates'!$L:$S,8,0),IF($LB297=80%,VLOOKUP($AW297,'Jan-2026 rates'!L:T,9,0),0))))))))</f>
        <v>0</v>
      </c>
      <c r="BC297" s="413" t="s">
        <v>1880</v>
      </c>
      <c r="BD297" s="412"/>
      <c r="BE297" s="412"/>
      <c r="BF297" s="413"/>
      <c r="BG297" s="412"/>
      <c r="BH297" s="412"/>
      <c r="BI297" s="412"/>
      <c r="BJ297" s="412"/>
      <c r="BK297" s="409">
        <v>5</v>
      </c>
      <c r="BL297" s="398">
        <f>IF(BK297=0,0,IF(LEN(BC297)=11,_xlfn.XLOOKUP(BC297,'Dispensed Ink Rates'!C:C,'Dispensed Ink Rates'!CS:CS),VLOOKUP(BC297,'Jan-2026 rates'!$E:$F,2,0)))</f>
        <v>0</v>
      </c>
      <c r="BM297" s="409"/>
      <c r="BN297" s="398">
        <f>IF(BM297=0,0,IF(LEN(BD297)=11,_xlfn.XLOOKUP(BD297,'Dispensed Ink Rates'!C:C,'Dispensed Ink Rates'!CS:CS),VLOOKUP(BD297,'Jan-2026 rates'!$E:$F,2,0)))</f>
        <v>0</v>
      </c>
      <c r="BO297" s="409"/>
      <c r="BP297" s="398">
        <f>IF(BO297=0,0,IF(LEN(BE297)=11,_xlfn.XLOOKUP(BE297,'Dispensed Ink Rates'!C:C,'Dispensed Ink Rates'!CS:CS),VLOOKUP(BE297,'Jan-2026 rates'!$E:$F,2,0)))</f>
        <v>0</v>
      </c>
      <c r="BQ297" s="409"/>
      <c r="BR297" s="398">
        <f>IF(BQ297=0,0,IF(LEN(BF297)=11,_xlfn.XLOOKUP(BF297,'Dispensed Ink Rates'!C:C,'Dispensed Ink Rates'!CS:CS),VLOOKUP(BF297,'Jan-2026 rates'!$E:$F,2,0)))</f>
        <v>0</v>
      </c>
      <c r="BS297" s="409"/>
      <c r="BT297" s="398">
        <f>IF(BS297=0,0,IF(LEN(BG297)=11,_xlfn.XLOOKUP(BG297,'Dispensed Ink Rates'!C:C,'Dispensed Ink Rates'!CS:CS),VLOOKUP(BG297,'Jan-2026 rates'!$E:$F,2,0)))</f>
        <v>0</v>
      </c>
      <c r="BU297" s="409"/>
      <c r="BV297" s="398">
        <f>IF(BU297=0,0,IF(LEN(BH297)=11,_xlfn.XLOOKUP(BH297,'Dispensed Ink Rates'!C:C,'Dispensed Ink Rates'!CS:CS),VLOOKUP(BH297,'Jan-2026 rates'!$E:$F,2,0)))</f>
        <v>0</v>
      </c>
      <c r="BW297" s="409"/>
      <c r="BX297" s="398">
        <f>IF(BW297=0,0,IF(LEN(BI297)=11,_xlfn.XLOOKUP(BI297,'Dispensed Ink Rates'!C:C,'Dispensed Ink Rates'!CS:CS),VLOOKUP(BI297,'Jan-2026 rates'!$E:$F,2,0)))</f>
        <v>0</v>
      </c>
      <c r="BY297" s="409"/>
      <c r="BZ297" s="398">
        <f>IF(BY297=0,0,IF(LEN(BJ297)=11,_xlfn.XLOOKUP(BJ297,'Dispensed Ink Rates'!C:C,'Dispensed Ink Rates'!CS:CS),VLOOKUP(BJ297,'Jan-2026 rates'!$E:$F,2,0)))</f>
        <v>0</v>
      </c>
      <c r="CA297" s="409" t="s">
        <v>1881</v>
      </c>
      <c r="CB297" s="409">
        <v>20</v>
      </c>
      <c r="CC297" s="411">
        <f t="shared" si="215"/>
        <v>0</v>
      </c>
      <c r="CD297" s="411">
        <f t="shared" si="216"/>
        <v>5.891304347826086</v>
      </c>
      <c r="CE297" s="410">
        <f t="shared" si="217"/>
        <v>0</v>
      </c>
      <c r="CF297" s="404" t="s">
        <v>857</v>
      </c>
      <c r="CG297" s="409" t="s">
        <v>4386</v>
      </c>
      <c r="CH297" s="420" t="str">
        <f t="shared" si="185"/>
        <v>ToyoLi - RED</v>
      </c>
      <c r="CI297" s="409">
        <v>15</v>
      </c>
      <c r="CJ297" s="411">
        <f>IF(CI297=0,0,IF($LB297=70%,VLOOKUP($CH297,'Jan-2026 rates'!$L:$R,4,0),IF($LB297=65%,VLOOKUP($CH297,'Jan-2026 rates'!$L:$R,4,0),IF($LB297=40%,VLOOKUP($CH297,'Jan-2026 rates'!$L:$R,5,0),IF($LB297=30%,VLOOKUP($CH297,'Jan-2026 rates'!$L:$R,6,0),IF($LB297=100%,VLOOKUP($CH297,'Jan-2026 rates'!$L:$R,7,0),IF($LB297=60%,VLOOKUP($CH297,'Jan-2026 rates'!$L:$S,8,0),IF($LB297=80%,VLOOKUP($CH297,'Jan-2026 rates'!L:T,9,0),0))))))))</f>
        <v>0</v>
      </c>
      <c r="CK297" s="412"/>
      <c r="CL297" s="409"/>
      <c r="CM297" s="411">
        <f>IF(CL297=0,0,IF($LB297=70%,VLOOKUP($CH297,'Jan-2026 rates'!$L:$R,4,0),IF($LB297=65%,VLOOKUP($CH297,'Jan-2026 rates'!$L:$R,4,0),IF($LB297=40%,VLOOKUP($CH297,'Jan-2026 rates'!$L:$R,5,0),IF($LB297=30%,VLOOKUP($CH297,'Jan-2026 rates'!$L:$R,6,0),IF($LB297=100%,VLOOKUP($CH297,'Jan-2026 rates'!$L:$R,7,0),IF($LB297=60%,VLOOKUP($CH297,'Jan-2026 rates'!$L:$S,8,0),IF($LB297=80%,VLOOKUP($CH297,'Jan-2026 rates'!L:T,9,0),0))))))))</f>
        <v>0</v>
      </c>
      <c r="CN297" s="426" t="s">
        <v>1246</v>
      </c>
      <c r="CO297" s="427" t="s">
        <v>1505</v>
      </c>
      <c r="CP297" s="426" t="s">
        <v>1248</v>
      </c>
      <c r="CQ297" s="426"/>
      <c r="CR297" s="428"/>
      <c r="CS297" s="428"/>
      <c r="CT297" s="428"/>
      <c r="CU297" s="428"/>
      <c r="CV297" s="409">
        <v>10</v>
      </c>
      <c r="CW297" s="398">
        <f>IF(CV297=0,0,IF(LEN(CN297)=11,_xlfn.XLOOKUP(CN297,'Dispensed Ink Rates'!C:C,'Dispensed Ink Rates'!CS:CS),VLOOKUP(CN297,'Jan-2026 rates'!$E:$F,2,0)))</f>
        <v>0</v>
      </c>
      <c r="CX297" s="409">
        <v>5</v>
      </c>
      <c r="CY297" s="398">
        <f>IF(CX297=0,0,IF(LEN(CO297)=11,_xlfn.XLOOKUP(CO297,'Dispensed Ink Rates'!C:C,'Dispensed Ink Rates'!CS:CS),VLOOKUP(CO297,'Jan-2026 rates'!$E:$F,2,0)))</f>
        <v>0</v>
      </c>
      <c r="CZ297" s="409">
        <v>6</v>
      </c>
      <c r="DA297" s="398">
        <f>IF(CZ297=0,0,IF(LEN(CP297)=11,_xlfn.XLOOKUP(CP297,'Dispensed Ink Rates'!C:C,'Dispensed Ink Rates'!CS:CS),VLOOKUP(CP297,'Jan-2026 rates'!$E:$F,2,0)))</f>
        <v>0</v>
      </c>
      <c r="DB297" s="409"/>
      <c r="DC297" s="398">
        <f>IF(DB297=0,0,IF(LEN(CQ297)=11,_xlfn.XLOOKUP(CQ297,'Dispensed Ink Rates'!C:C,'Dispensed Ink Rates'!CS:CS),VLOOKUP(CQ297,'Jan-2026 rates'!$E:$F,2,0)))</f>
        <v>0</v>
      </c>
      <c r="DD297" s="409"/>
      <c r="DE297" s="398">
        <f>IF(DD297=0,0,IF(LEN(CR297)=11,_xlfn.XLOOKUP(CR297,'Dispensed Ink Rates'!C:C,'Dispensed Ink Rates'!CS:CS),VLOOKUP(CR297,'Jan-2026 rates'!$E:$F,2,0)))</f>
        <v>0</v>
      </c>
      <c r="DF297" s="409"/>
      <c r="DG297" s="398">
        <f>IF(DF297=0,0,IF(LEN(CS297)=11,_xlfn.XLOOKUP(CS297,'Dispensed Ink Rates'!C:C,'Dispensed Ink Rates'!CS:CS),VLOOKUP(CS297,'Jan-2026 rates'!$E:$F,2,0)))</f>
        <v>0</v>
      </c>
      <c r="DH297" s="409"/>
      <c r="DI297" s="398">
        <f>IF(DH297=0,0,IF(LEN(CT297)=11,_xlfn.XLOOKUP(CT297,'Dispensed Ink Rates'!C:C,'Dispensed Ink Rates'!CS:CS),VLOOKUP(CT297,'Jan-2026 rates'!$E:$F,2,0)))</f>
        <v>0</v>
      </c>
      <c r="DJ297" s="409"/>
      <c r="DK297" s="398">
        <f>IF(DJ297=0,0,IF(LEN(CU297)=11,_xlfn.XLOOKUP(CU297,'Dispensed Ink Rates'!C:C,'Dispensed Ink Rates'!CS:CS),VLOOKUP(CU297,'Jan-2026 rates'!$E:$F,2,0)))</f>
        <v>0</v>
      </c>
      <c r="DL297" s="409" t="s">
        <v>1881</v>
      </c>
      <c r="DM297" s="409">
        <v>25</v>
      </c>
      <c r="DN297" s="411">
        <f t="shared" si="218"/>
        <v>0</v>
      </c>
      <c r="DO297" s="411">
        <f t="shared" si="219"/>
        <v>20.782608695652172</v>
      </c>
      <c r="DP297" s="410">
        <f t="shared" si="220"/>
        <v>0</v>
      </c>
      <c r="DQ297" s="405" t="s">
        <v>543</v>
      </c>
      <c r="DR297" s="409"/>
      <c r="DS297" s="420" t="str">
        <f t="shared" si="186"/>
        <v>ToyoLi - BLACK</v>
      </c>
      <c r="DT297" s="409"/>
      <c r="DU297" s="411">
        <f>IF(DT297=0,0,IF($LB297=70%,VLOOKUP($DS297,'Jan-2026 rates'!$L:$R,4,0),IF($LB297=65%,VLOOKUP($DS297,'Jan-2026 rates'!$L:$R,4,0),IF($LB297=40%,VLOOKUP($DS297,'Jan-2026 rates'!$L:$R,5,0),IF($LB297=30%,VLOOKUP($DS297,'Jan-2026 rates'!$L:$R,6,0),IF($LB297=100%,VLOOKUP($DS297,'Jan-2026 rates'!$L:$R,7,0),IF($LB297=60%,VLOOKUP($DS297,'Jan-2026 rates'!$L:$S,8,0),IF($LB297=80%,VLOOKUP($DS297,'Jan-2026 rates'!L:T,9,0),0))))))))</f>
        <v>0</v>
      </c>
      <c r="DV297" s="412"/>
      <c r="DW297" s="409"/>
      <c r="DX297" s="411">
        <f>IF(DW297=0,0,IF($LB297=70%,VLOOKUP($DS297,'Jan-2026 rates'!$L:$R,4,0),IF($LB297=65%,VLOOKUP($DS297,'Jan-2026 rates'!$L:$R,4,0),IF($LB297=40%,VLOOKUP($DS297,'Jan-2026 rates'!$L:$R,5,0),IF($LB297=30%,VLOOKUP($DS297,'Jan-2026 rates'!$L:$R,6,0),IF($LB297=100%,VLOOKUP($DS297,'Jan-2026 rates'!$L:$R,7,0),IF($LB297=60%,VLOOKUP($DS297,'Jan-2026 rates'!$L:$S,8,0),IF($LB297=80%,VLOOKUP($DS297,'Jan-2026 rates'!L:T,9,0),0))))))))</f>
        <v>0</v>
      </c>
      <c r="DY297" s="413" t="s">
        <v>1921</v>
      </c>
      <c r="DZ297" s="413" t="s">
        <v>1252</v>
      </c>
      <c r="EA297" s="412"/>
      <c r="EB297" s="412"/>
      <c r="EC297" s="412"/>
      <c r="ED297" s="412"/>
      <c r="EE297" s="412"/>
      <c r="EF297" s="412"/>
      <c r="EG297" s="409">
        <v>20</v>
      </c>
      <c r="EH297" s="398">
        <f>IF(EG297=0,0,IF(LEN(DY297)=11,_xlfn.XLOOKUP(DY297,'Dispensed Ink Rates'!C:C,'Dispensed Ink Rates'!CS:CS),VLOOKUP(DY297,'Jan-2026 rates'!$E:$F,2,0)))</f>
        <v>0</v>
      </c>
      <c r="EI297" s="409">
        <v>1</v>
      </c>
      <c r="EJ297" s="398">
        <f>IF(EI297=0,0,IF(LEN(DZ297)=11,_xlfn.XLOOKUP(DZ297,'Dispensed Ink Rates'!C:C,'Dispensed Ink Rates'!CS:CS),VLOOKUP(DZ297,'Jan-2026 rates'!$E:$F,2,0)))</f>
        <v>0</v>
      </c>
      <c r="EK297" s="409"/>
      <c r="EL297" s="398">
        <f>IF(EK297=0,0,IF(LEN(EA297)=11,_xlfn.XLOOKUP(EA297,'Dispensed Ink Rates'!C:C,'Dispensed Ink Rates'!CS:CS),VLOOKUP(EA297,'Jan-2026 rates'!$E:$F,2,0)))</f>
        <v>0</v>
      </c>
      <c r="EM297" s="409"/>
      <c r="EN297" s="398">
        <f>IF(EM297=0,0,IF(LEN(EB297)=11,_xlfn.XLOOKUP(EB297,'Dispensed Ink Rates'!C:C,'Dispensed Ink Rates'!CS:CS),VLOOKUP(EB297,'Jan-2026 rates'!$E:$F,2,0)))</f>
        <v>0</v>
      </c>
      <c r="EO297" s="409"/>
      <c r="EP297" s="398">
        <f>IF(EO297=0,0,IF(LEN(EC297)=11,_xlfn.XLOOKUP(EC297,'Dispensed Ink Rates'!C:C,'Dispensed Ink Rates'!CS:CS),VLOOKUP(EC297,'Jan-2026 rates'!$E:$F,2,0)))</f>
        <v>0</v>
      </c>
      <c r="EQ297" s="409"/>
      <c r="ER297" s="398">
        <f>IF(EQ297=0,0,IF(LEN(ED297)=11,_xlfn.XLOOKUP(ED297,'Dispensed Ink Rates'!C:C,'Dispensed Ink Rates'!CS:CS),VLOOKUP(ED297,'Jan-2026 rates'!$E:$F,2,0)))</f>
        <v>0</v>
      </c>
      <c r="ES297" s="409"/>
      <c r="ET297" s="398">
        <f>IF(ES297=0,0,IF(LEN(EE297)=11,_xlfn.XLOOKUP(EE297,'Dispensed Ink Rates'!C:C,'Dispensed Ink Rates'!CS:CS),VLOOKUP(EE297,'Jan-2026 rates'!$E:$F,2,0)))</f>
        <v>0</v>
      </c>
      <c r="EU297" s="409"/>
      <c r="EV297" s="398">
        <f>IF(EU297=0,0,IF(LEN(EF297)=11,_xlfn.XLOOKUP(EF297,'Dispensed Ink Rates'!C:C,'Dispensed Ink Rates'!CS:CS),VLOOKUP(EF297,'Jan-2026 rates'!$E:$F,2,0)))</f>
        <v>0</v>
      </c>
      <c r="EW297" s="409" t="s">
        <v>1881</v>
      </c>
      <c r="EX297" s="409">
        <f>15+15</f>
        <v>30</v>
      </c>
      <c r="EY297" s="411">
        <f t="shared" si="221"/>
        <v>0</v>
      </c>
      <c r="EZ297" s="411">
        <f t="shared" si="222"/>
        <v>2.4130434782608745</v>
      </c>
      <c r="FA297" s="410">
        <f t="shared" si="223"/>
        <v>0</v>
      </c>
      <c r="FB297" s="405" t="s">
        <v>855</v>
      </c>
      <c r="FC297" s="409" t="s">
        <v>4393</v>
      </c>
      <c r="FD297" s="420" t="str">
        <f t="shared" si="187"/>
        <v>ToyoLi - CYAN</v>
      </c>
      <c r="FE297" s="409">
        <v>35</v>
      </c>
      <c r="FF297" s="411">
        <f>IF(FE297=0,0,IF($LB297=70%,VLOOKUP($FD297,'Jan-2026 rates'!$L:$R,4,0),IF($LB297=65%,VLOOKUP($FD297,'Jan-2026 rates'!$L:$R,4,0),IF($LB297=40%,VLOOKUP($FD297,'Jan-2026 rates'!$L:$R,5,0),IF($LB297=30%,VLOOKUP($FD297,'Jan-2026 rates'!$L:$R,6,0),IF($LB297=100%,VLOOKUP($FD297,'Jan-2026 rates'!$L:$R,7,0),IF($LB297=60%,VLOOKUP($FD297,'Jan-2026 rates'!$L:$S,8,0),IF($LB297=80%,VLOOKUP($FD297,'Jan-2026 rates'!L:T,9,0),0))))))))</f>
        <v>0</v>
      </c>
      <c r="FG297" s="412"/>
      <c r="FH297" s="409"/>
      <c r="FI297" s="411">
        <f>IF(FH297=0,0,IF($LB297=70%,VLOOKUP($FD297,'Jan-2026 rates'!$L:$R,4,0),IF($LB297=65%,VLOOKUP($FD297,'Jan-2026 rates'!$L:$R,4,0),IF($LB297=40%,VLOOKUP($FD297,'Jan-2026 rates'!$L:$R,5,0),IF($LB297=30%,VLOOKUP($FD297,'Jan-2026 rates'!$L:$R,6,0),IF($LB297=100%,VLOOKUP($FD297,'Jan-2026 rates'!$L:$R,7,0),IF($LB297=60%,VLOOKUP($FD297,'Jan-2026 rates'!$L:$S,8,0),IF($LB297=80%,VLOOKUP($FD297,'Jan-2026 rates'!L:T,9,0),0))))))))</f>
        <v>0</v>
      </c>
      <c r="FJ297" s="413"/>
      <c r="FK297" s="413"/>
      <c r="FL297" s="413"/>
      <c r="FM297" s="412"/>
      <c r="FN297" s="412"/>
      <c r="FO297" s="412"/>
      <c r="FP297" s="412"/>
      <c r="FQ297" s="412"/>
      <c r="FR297" s="409"/>
      <c r="FS297" s="398">
        <f>IF(FR297=0,0,IF(LEN(FJ297)=11,_xlfn.XLOOKUP(FJ297,'Dispensed Ink Rates'!C:C,'Dispensed Ink Rates'!CS:CS),VLOOKUP(FJ297,'Jan-2026 rates'!$E:$F,2,0)))</f>
        <v>0</v>
      </c>
      <c r="FT297" s="409"/>
      <c r="FU297" s="398">
        <f>IF(FT297=0,0,IF(LEN(FK297)=11,_xlfn.XLOOKUP(FK297,'Dispensed Ink Rates'!C:C,'Dispensed Ink Rates'!CS:CS),VLOOKUP(FK297,'Jan-2026 rates'!$E:$F,2,0)))</f>
        <v>0</v>
      </c>
      <c r="FV297" s="409"/>
      <c r="FW297" s="398">
        <f>IF(FV297=0,0,IF(LEN(FL297)=11,_xlfn.XLOOKUP(FL297,'Dispensed Ink Rates'!C:C,'Dispensed Ink Rates'!CS:CS),VLOOKUP(FL297,'Jan-2026 rates'!$E:$F,2,0)))</f>
        <v>0</v>
      </c>
      <c r="FX297" s="409"/>
      <c r="FY297" s="398">
        <f>IF(FX297=0,0,IF(LEN(FM297)=11,_xlfn.XLOOKUP(FM297,'Dispensed Ink Rates'!C:C,'Dispensed Ink Rates'!CS:CS),VLOOKUP(FM297,'Jan-2026 rates'!$E:$F,2,0)))</f>
        <v>0</v>
      </c>
      <c r="FZ297" s="409"/>
      <c r="GA297" s="398">
        <f>IF(FZ297=0,0,IF(LEN(FN297)=11,_xlfn.XLOOKUP(FN297,'Dispensed Ink Rates'!C:C,'Dispensed Ink Rates'!CS:CS),VLOOKUP(FN297,'Jan-2026 rates'!$E:$F,2,0)))</f>
        <v>0</v>
      </c>
      <c r="GB297" s="409"/>
      <c r="GC297" s="398">
        <f>IF(GB297=0,0,IF(LEN(FO297)=11,_xlfn.XLOOKUP(FO297,'Dispensed Ink Rates'!C:C,'Dispensed Ink Rates'!CS:CS),VLOOKUP(FO297,'Jan-2026 rates'!$E:$F,2,0)))</f>
        <v>0</v>
      </c>
      <c r="GD297" s="409"/>
      <c r="GE297" s="398">
        <f>IF(GD297=0,0,IF(LEN(FP297)=11,_xlfn.XLOOKUP(FP297,'Dispensed Ink Rates'!C:C,'Dispensed Ink Rates'!CS:CS),VLOOKUP(FP297,'Jan-2026 rates'!$E:$F,2,0)))</f>
        <v>0</v>
      </c>
      <c r="GF297" s="409"/>
      <c r="GG297" s="398">
        <f>IF(GF297=0,0,IF(LEN(FQ297)=11,_xlfn.XLOOKUP(FQ297,'Dispensed Ink Rates'!C:C,'Dispensed Ink Rates'!CS:CS),VLOOKUP(FQ297,'Jan-2026 rates'!$E:$F,2,0)))</f>
        <v>0</v>
      </c>
      <c r="GH297" s="409" t="s">
        <v>1881</v>
      </c>
      <c r="GI297" s="409">
        <v>32</v>
      </c>
      <c r="GJ297" s="411">
        <f t="shared" si="224"/>
        <v>0</v>
      </c>
      <c r="GK297" s="411">
        <f t="shared" si="225"/>
        <v>3</v>
      </c>
      <c r="GL297" s="410">
        <f t="shared" si="226"/>
        <v>0</v>
      </c>
      <c r="GM297" s="405" t="s">
        <v>544</v>
      </c>
      <c r="GN297" s="409" t="s">
        <v>4394</v>
      </c>
      <c r="GO297" s="420" t="str">
        <f t="shared" si="188"/>
        <v>ToyoLi - MAGENTA</v>
      </c>
      <c r="GP297" s="409">
        <v>26</v>
      </c>
      <c r="GQ297" s="411">
        <f>IF(GP297=0,0,IF($LB297=70%,VLOOKUP($GO297,'Jan-2026 rates'!$L:$R,4,0),IF($LB297=65%,VLOOKUP($GO297,'Jan-2026 rates'!$L:$R,4,0),IF($LB297=40%,VLOOKUP($GO297,'Jan-2026 rates'!$L:$R,5,0),IF($LB297=30%,VLOOKUP($GO297,'Jan-2026 rates'!$L:$R,6,0),IF($LB297=100%,VLOOKUP($GO297,'Jan-2026 rates'!$L:$R,7,0),IF($LB297=60%,VLOOKUP($GO297,'Jan-2026 rates'!$L:$S,8,0),IF($LB297=80%,VLOOKUP($GO297,'Jan-2026 rates'!L:T,9,0),0))))))))</f>
        <v>0</v>
      </c>
      <c r="GR297" s="412"/>
      <c r="GS297" s="409"/>
      <c r="GT297" s="411">
        <f>IF(GS297=0,0,IF($LB297=70%,VLOOKUP($GO297,'Jan-2026 rates'!$L:$R,4,0),IF($LB297=65%,VLOOKUP($GO297,'Jan-2026 rates'!$L:$R,4,0),IF($LB297=40%,VLOOKUP($GO297,'Jan-2026 rates'!$L:$R,5,0),IF($LB297=30%,VLOOKUP($GO297,'Jan-2026 rates'!$L:$R,6,0),IF($LB297=100%,VLOOKUP($GO297,'Jan-2026 rates'!$L:$R,7,0),IF($LB297=60%,VLOOKUP($GO297,'Jan-2026 rates'!$L:$S,8,0),IF($LB297=80%,VLOOKUP($GO297,'Jan-2026 rates'!L:T,9,0),0))))))))</f>
        <v>0</v>
      </c>
      <c r="GU297" s="413" t="s">
        <v>1246</v>
      </c>
      <c r="GV297" s="413" t="s">
        <v>1921</v>
      </c>
      <c r="GW297" s="412"/>
      <c r="GX297" s="412"/>
      <c r="GY297" s="412"/>
      <c r="GZ297" s="412"/>
      <c r="HA297" s="412"/>
      <c r="HB297" s="412"/>
      <c r="HC297" s="409">
        <v>4</v>
      </c>
      <c r="HD297" s="398">
        <f>IF(HC297=0,0,IF(LEN(GU297)=11,_xlfn.XLOOKUP(GU297,'Dispensed Ink Rates'!C:C,'Dispensed Ink Rates'!CS:CS),VLOOKUP(GU297,'Jan-2026 rates'!$E:$F,2,0)))</f>
        <v>0</v>
      </c>
      <c r="HE297" s="409">
        <v>3</v>
      </c>
      <c r="HF297" s="398">
        <f>IF(HE297=0,0,IF(LEN(GV297)=11,_xlfn.XLOOKUP(GV297,'Dispensed Ink Rates'!C:C,'Dispensed Ink Rates'!CS:CS),VLOOKUP(GV297,'Jan-2026 rates'!$E:$F,2,0)))</f>
        <v>0</v>
      </c>
      <c r="HG297" s="409"/>
      <c r="HH297" s="398">
        <f>IF(HG297=0,0,IF(LEN(GW297)=11,_xlfn.XLOOKUP(GW297,'Dispensed Ink Rates'!C:C,'Dispensed Ink Rates'!CS:CS),VLOOKUP(GW297,'Jan-2026 rates'!$E:$F,2,0)))</f>
        <v>0</v>
      </c>
      <c r="HI297" s="409"/>
      <c r="HJ297" s="398">
        <f>IF(HI297=0,0,IF(LEN(GX297)=11,_xlfn.XLOOKUP(GX297,'Dispensed Ink Rates'!C:C,'Dispensed Ink Rates'!CS:CS),VLOOKUP(GX297,'Jan-2026 rates'!$E:$F,2,0)))</f>
        <v>0</v>
      </c>
      <c r="HK297" s="409"/>
      <c r="HL297" s="398">
        <f>IF(HK297=0,0,IF(LEN(GY297)=11,_xlfn.XLOOKUP(GY297,'Dispensed Ink Rates'!C:C,'Dispensed Ink Rates'!CS:CS),VLOOKUP(GY297,'Jan-2026 rates'!$E:$F,2,0)))</f>
        <v>0</v>
      </c>
      <c r="HM297" s="409"/>
      <c r="HN297" s="398">
        <f>IF(HM297=0,0,IF(LEN(GZ297)=11,_xlfn.XLOOKUP(GZ297,'Dispensed Ink Rates'!C:C,'Dispensed Ink Rates'!CS:CS),VLOOKUP(GZ297,'Jan-2026 rates'!$E:$F,2,0)))</f>
        <v>0</v>
      </c>
      <c r="HO297" s="409"/>
      <c r="HP297" s="398">
        <f>IF(HO297=0,0,IF(LEN(HA297)=11,_xlfn.XLOOKUP(HA297,'Dispensed Ink Rates'!C:C,'Dispensed Ink Rates'!CS:CS),VLOOKUP(HA297,'Jan-2026 rates'!$E:$F,2,0)))</f>
        <v>0</v>
      </c>
      <c r="HQ297" s="409"/>
      <c r="HR297" s="398">
        <f>IF(HQ297=0,0,IF(LEN(HB297)=11,_xlfn.XLOOKUP(HB297,'Dispensed Ink Rates'!C:C,'Dispensed Ink Rates'!CS:CS),VLOOKUP(HB297,'Jan-2026 rates'!$E:$F,2,0)))</f>
        <v>0</v>
      </c>
      <c r="HS297" s="409" t="s">
        <v>1881</v>
      </c>
      <c r="HT297" s="409">
        <v>30</v>
      </c>
      <c r="HU297" s="411">
        <f t="shared" si="227"/>
        <v>0</v>
      </c>
      <c r="HV297" s="411">
        <f t="shared" si="228"/>
        <v>9.5217391304347814</v>
      </c>
      <c r="HW297" s="414">
        <f t="shared" si="229"/>
        <v>0</v>
      </c>
      <c r="HX297" s="405" t="s">
        <v>545</v>
      </c>
      <c r="HY297" s="409" t="s">
        <v>4395</v>
      </c>
      <c r="HZ297" s="420" t="str">
        <f t="shared" si="189"/>
        <v>ToyoLi - YELLOW</v>
      </c>
      <c r="IA297" s="409">
        <v>27</v>
      </c>
      <c r="IB297" s="411">
        <f>IF(IA297=0,0,IF($LB297=70%,VLOOKUP($HZ297,'Jan-2026 rates'!$L:$R,4,0),IF($LB297=65%,VLOOKUP($HZ297,'Jan-2026 rates'!$L:$R,4,0),IF($LB297=40%,VLOOKUP($HZ297,'Jan-2026 rates'!$L:$R,5,0),IF($LB297=30%,VLOOKUP($HZ297,'Jan-2026 rates'!$L:$R,6,0),IF($LB297=100%,VLOOKUP($HZ297,'Jan-2026 rates'!$L:$R,7,0),IF($LB297=60%,VLOOKUP($HZ297,'Jan-2026 rates'!$L:$S,8,0),IF($LB297=80%,VLOOKUP($HZ297,'Jan-2026 rates'!L:T,9,0),0))))))))</f>
        <v>0</v>
      </c>
      <c r="IC297" s="412"/>
      <c r="ID297" s="409"/>
      <c r="IE297" s="411">
        <f>IF(ID297=0,0,IF($LB297=70%,VLOOKUP($HZ297,'Jan-2026 rates'!$L:$R,4,0),IF($LB297=65%,VLOOKUP($HZ297,'Jan-2026 rates'!$L:$R,4,0),IF($LB297=40%,VLOOKUP($HZ297,'Jan-2026 rates'!$L:$R,5,0),IF($LB297=30%,VLOOKUP($HZ297,'Jan-2026 rates'!$L:$R,6,0),IF($LB297=100%,VLOOKUP($HZ297,'Jan-2026 rates'!$L:$R,7,0),IF($LB297=60%,VLOOKUP($HZ297,'Jan-2026 rates'!$L:$S,8,0),IF($LB297=80%,VLOOKUP($HZ297,'Jan-2026 rates'!L:T,9,0),0))))))))</f>
        <v>0</v>
      </c>
      <c r="IF297" s="412" t="s">
        <v>1247</v>
      </c>
      <c r="IG297" s="413"/>
      <c r="IH297" s="412"/>
      <c r="II297" s="412"/>
      <c r="IJ297" s="412"/>
      <c r="IK297" s="412"/>
      <c r="IL297" s="412"/>
      <c r="IM297" s="412"/>
      <c r="IN297" s="409">
        <v>3</v>
      </c>
      <c r="IO297" s="398">
        <f>IF(IN297=0,0,IF(LEN(IF297)=11,_xlfn.XLOOKUP(IF297,'Dispensed Ink Rates'!C:C,'Dispensed Ink Rates'!CS:CS),VLOOKUP(IF297,'Jan-2026 rates'!$E:$F,2,0)))</f>
        <v>0</v>
      </c>
      <c r="IP297" s="409"/>
      <c r="IQ297" s="398">
        <f>IF(IP297=0,0,IF(LEN(IG297)=11,_xlfn.XLOOKUP(IG297,'Dispensed Ink Rates'!C:C,'Dispensed Ink Rates'!CS:CS),VLOOKUP(IG297,'Jan-2026 rates'!$E:$F,2,0)))</f>
        <v>0</v>
      </c>
      <c r="IR297" s="409"/>
      <c r="IS297" s="398">
        <f>IF(IR297=0,0,IF(LEN(IH297)=11,_xlfn.XLOOKUP(IH297,'Dispensed Ink Rates'!C:C,'Dispensed Ink Rates'!CS:CS),VLOOKUP(IH297,'Jan-2026 rates'!$E:$F,2,0)))</f>
        <v>0</v>
      </c>
      <c r="IT297" s="409"/>
      <c r="IU297" s="398">
        <f>IF(IT297=0,0,IF(LEN(II297)=11,_xlfn.XLOOKUP(II297,'Dispensed Ink Rates'!C:C,'Dispensed Ink Rates'!CS:CS),VLOOKUP(II297,'Jan-2026 rates'!$E:$F,2,0)))</f>
        <v>0</v>
      </c>
      <c r="IV297" s="409"/>
      <c r="IW297" s="398">
        <f>IF(IV297=0,0,IF(LEN(IJ297)=11,_xlfn.XLOOKUP(IJ297,'Dispensed Ink Rates'!C:C,'Dispensed Ink Rates'!CS:CS),VLOOKUP(IJ297,'Jan-2026 rates'!$E:$F,2,0)))</f>
        <v>0</v>
      </c>
      <c r="IX297" s="409"/>
      <c r="IY297" s="398">
        <f>IF(IX297=0,0,IF(LEN(IK297)=11,_xlfn.XLOOKUP(IK297,'Dispensed Ink Rates'!C:C,'Dispensed Ink Rates'!CS:CS),VLOOKUP(IK297,'Jan-2026 rates'!$E:$F,2,0)))</f>
        <v>0</v>
      </c>
      <c r="IZ297" s="409"/>
      <c r="JA297" s="398">
        <f>IF(IZ297=0,0,IF(LEN(IL297)=11,_xlfn.XLOOKUP(IL297,'Dispensed Ink Rates'!C:C,'Dispensed Ink Rates'!CS:CS),VLOOKUP(IL297,'Jan-2026 rates'!$E:$F,2,0)))</f>
        <v>0</v>
      </c>
      <c r="JB297" s="409"/>
      <c r="JC297" s="398">
        <f>IF(JB297=0,0,IF(LEN(IM297)=11,_xlfn.XLOOKUP(IM297,'Dispensed Ink Rates'!C:C,'Dispensed Ink Rates'!CS:CS),VLOOKUP(IM297,'Jan-2026 rates'!$E:$F,2,0)))</f>
        <v>0</v>
      </c>
      <c r="JD297" s="409" t="s">
        <v>1881</v>
      </c>
      <c r="JE297" s="409">
        <v>25</v>
      </c>
      <c r="JF297" s="411">
        <f t="shared" si="230"/>
        <v>0</v>
      </c>
      <c r="JG297" s="411">
        <f t="shared" si="231"/>
        <v>8.2608695652173907</v>
      </c>
      <c r="JH297" s="410">
        <f t="shared" si="232"/>
        <v>0</v>
      </c>
      <c r="JI297" s="405" t="s">
        <v>856</v>
      </c>
      <c r="JJ297" s="409" t="s">
        <v>4396</v>
      </c>
      <c r="JK297" s="420" t="str">
        <f t="shared" si="190"/>
        <v>ToyoLi - WHITE</v>
      </c>
      <c r="JL297" s="409">
        <v>30</v>
      </c>
      <c r="JM297" s="411">
        <f>IF(JL297=0,0,IF($LB297=70%,VLOOKUP($JK297,'Jan-2026 rates'!$L:$R,4,0),IF($LB297=65%,VLOOKUP($JK297,'Jan-2026 rates'!$L:$R,4,0),IF($LB297=40%,VLOOKUP($JK297,'Jan-2026 rates'!$L:$R,5,0),IF($LB297=30%,VLOOKUP($JK297,'Jan-2026 rates'!$L:$R,6,0),IF($LB297=100%,VLOOKUP($JK297,'Jan-2026 rates'!$L:$R,7,0),IF($LB297=60%,VLOOKUP($JK297,'Jan-2026 rates'!$L:$S,8,0),IF($LB297=80%,VLOOKUP($JK297,'Jan-2026 rates'!L:T,9,0),0))))))))</f>
        <v>0</v>
      </c>
      <c r="JN297" s="412"/>
      <c r="JO297" s="409"/>
      <c r="JP297" s="411">
        <f>IF(JO297=0,0,IF($LB297=70%,VLOOKUP($JK297,'Jan-2026 rates'!$L:$R,4,0),IF($LB297=65%,VLOOKUP($JK297,'Jan-2026 rates'!$L:$R,4,0),IF($LB297=40%,VLOOKUP($JK297,'Jan-2026 rates'!$L:$R,5,0),IF($LB297=30%,VLOOKUP($JK297,'Jan-2026 rates'!$L:$R,6,0),IF($LB297=100%,VLOOKUP($JK297,'Jan-2026 rates'!$L:$R,7,0),IF($LB297=60%,VLOOKUP($JK297,'Jan-2026 rates'!$L:$S,8,0),IF($LB297=80%,VLOOKUP($JK297,'Jan-2026 rates'!L:T,9,0),0))))))))</f>
        <v>0</v>
      </c>
      <c r="JQ297" s="413" t="s">
        <v>1249</v>
      </c>
      <c r="JR297" s="412"/>
      <c r="JS297" s="413"/>
      <c r="JT297" s="413"/>
      <c r="JU297" s="412"/>
      <c r="JV297" s="412"/>
      <c r="JW297" s="412"/>
      <c r="JX297" s="412"/>
      <c r="JY297" s="409">
        <v>40</v>
      </c>
      <c r="JZ297" s="398">
        <f>IF(JY297=0,0,IF(LEN(JQ297)=11,_xlfn.XLOOKUP(JQ297,'Dispensed Ink Rates'!C:C,'Dispensed Ink Rates'!CS:CS),VLOOKUP(JQ297,'Jan-2026 rates'!$E:$F,2,0)))</f>
        <v>0</v>
      </c>
      <c r="KA297" s="409"/>
      <c r="KB297" s="398">
        <f>IF(KA297=0,0,IF(LEN(JR297)=11,_xlfn.XLOOKUP(JR297,'Dispensed Ink Rates'!C:C,'Dispensed Ink Rates'!CS:CS),VLOOKUP(JR297,'Jan-2026 rates'!$E:$F,2,0)))</f>
        <v>0</v>
      </c>
      <c r="KC297" s="409"/>
      <c r="KD297" s="398">
        <f>IF(KC297=0,0,IF(LEN(JS297)=11,_xlfn.XLOOKUP(JS297,'Dispensed Ink Rates'!C:C,'Dispensed Ink Rates'!CS:CS),VLOOKUP(JS297,'Jan-2026 rates'!$E:$F,2,0)))</f>
        <v>0</v>
      </c>
      <c r="KE297" s="409"/>
      <c r="KF297" s="398">
        <f>IF(KE297=0,0,IF(LEN(JT297)=11,_xlfn.XLOOKUP(JT297,'Dispensed Ink Rates'!C:C,'Dispensed Ink Rates'!CS:CS),VLOOKUP(JT297,'Jan-2026 rates'!$E:$F,2,0)))</f>
        <v>0</v>
      </c>
      <c r="KG297" s="409"/>
      <c r="KH297" s="398">
        <f>IF(KG297=0,0,IF(LEN(JU297)=11,_xlfn.XLOOKUP(JU297,'Dispensed Ink Rates'!C:C,'Dispensed Ink Rates'!CS:CS),VLOOKUP(JU297,'Jan-2026 rates'!$E:$F,2,0)))</f>
        <v>0</v>
      </c>
      <c r="KI297" s="409"/>
      <c r="KJ297" s="398">
        <f>IF(KI297=0,0,IF(LEN(JV297)=11,_xlfn.XLOOKUP(JV297,'Dispensed Ink Rates'!C:C,'Dispensed Ink Rates'!CS:CS),VLOOKUP(JV297,'Jan-2026 rates'!$E:$F,2,0)))</f>
        <v>0</v>
      </c>
      <c r="KK297" s="409"/>
      <c r="KL297" s="398">
        <f>IF(KK297=0,0,IF(LEN(JW297)=11,_xlfn.XLOOKUP(JW297,'Dispensed Ink Rates'!C:C,'Dispensed Ink Rates'!CS:CS),VLOOKUP(JW297,'Jan-2026 rates'!$E:$F,2,0)))</f>
        <v>0</v>
      </c>
      <c r="KM297" s="428"/>
      <c r="KN297" s="398">
        <f>IF(KM297=0,0,IF(LEN(JX297)=11,_xlfn.XLOOKUP(JX297,'Dispensed Ink Rates'!C:C,'Dispensed Ink Rates'!CS:CS),VLOOKUP(JX297,'Jan-2026 rates'!$E:$F,2,0)))</f>
        <v>0</v>
      </c>
      <c r="KO297" s="409" t="s">
        <v>1881</v>
      </c>
      <c r="KP297" s="409">
        <v>25</v>
      </c>
      <c r="KQ297" s="411">
        <f t="shared" si="233"/>
        <v>0</v>
      </c>
      <c r="KR297" s="411">
        <f t="shared" si="234"/>
        <v>77.608695652173907</v>
      </c>
      <c r="KS297" s="410">
        <f t="shared" si="235"/>
        <v>0</v>
      </c>
      <c r="KT297" s="409">
        <v>4</v>
      </c>
      <c r="KU297" s="409">
        <v>3</v>
      </c>
      <c r="KV297" s="409">
        <v>6</v>
      </c>
      <c r="KW297" s="409">
        <v>7</v>
      </c>
      <c r="KX297" s="409">
        <v>0</v>
      </c>
      <c r="KY297" s="409">
        <v>4</v>
      </c>
      <c r="KZ297" s="409">
        <v>2</v>
      </c>
      <c r="LA297" s="409">
        <v>20</v>
      </c>
      <c r="LB297" s="415">
        <v>0.3</v>
      </c>
      <c r="LC297" s="415"/>
      <c r="LD297" s="424"/>
      <c r="LE297" s="415">
        <v>0.5</v>
      </c>
      <c r="LF297" s="415">
        <v>0.2</v>
      </c>
      <c r="LG297" s="409">
        <v>0</v>
      </c>
      <c r="LH297" s="409">
        <f>20+15+12+20+8</f>
        <v>75</v>
      </c>
      <c r="LI297" s="409">
        <v>0</v>
      </c>
      <c r="LJ297" s="409">
        <v>0</v>
      </c>
      <c r="LK297" s="416">
        <f t="shared" si="191"/>
        <v>75</v>
      </c>
      <c r="LL297" s="416">
        <f t="shared" si="237"/>
        <v>75</v>
      </c>
      <c r="LM297" s="417">
        <f t="shared" si="193"/>
        <v>22.5</v>
      </c>
      <c r="LN297" s="417">
        <f>VLOOKUP($LM$8,'Jan-2026 rates'!$H:$I,2,0)</f>
        <v>0</v>
      </c>
      <c r="LO297" s="417">
        <f t="shared" si="194"/>
        <v>0</v>
      </c>
      <c r="LP297" s="417">
        <f>VLOOKUP($LO$8,'Jan-2026 rates'!$H:$I,2,0)</f>
        <v>0</v>
      </c>
      <c r="LQ297" s="417">
        <f t="shared" si="195"/>
        <v>0</v>
      </c>
      <c r="LR297" s="417">
        <f>VLOOKUP($LQ$8,'Jan-2026 rates'!$H:$I,2,0)</f>
        <v>0</v>
      </c>
      <c r="LS297" s="417">
        <f t="shared" si="196"/>
        <v>37.5</v>
      </c>
      <c r="LT297" s="417">
        <f>VLOOKUP($LS$8,'Jan-2026 rates'!$H:$I,2,0)</f>
        <v>0</v>
      </c>
      <c r="LU297" s="417">
        <f t="shared" si="197"/>
        <v>15</v>
      </c>
      <c r="LV297" s="417">
        <f>VLOOKUP($LU$8,'Jan-2026 rates'!$H:$I,2,0)</f>
        <v>0</v>
      </c>
      <c r="LW297" s="417">
        <f t="shared" si="198"/>
        <v>0</v>
      </c>
      <c r="LX297" s="417">
        <f t="shared" si="199"/>
        <v>0</v>
      </c>
      <c r="LY297" s="418">
        <f t="shared" si="200"/>
        <v>0</v>
      </c>
      <c r="LZ297" s="417"/>
      <c r="MA297" s="435">
        <f t="shared" si="201"/>
        <v>102</v>
      </c>
      <c r="MB297" s="282">
        <f t="shared" si="202"/>
        <v>137</v>
      </c>
      <c r="MC297" s="283" t="s">
        <v>2036</v>
      </c>
      <c r="MD297" s="284" t="str">
        <f t="shared" si="203"/>
        <v>ToyoLiToyoLiToyoLiToyoLiToyoLiToyoLiToyoLiToyoLi</v>
      </c>
      <c r="ME297" s="293" t="str">
        <f t="shared" si="204"/>
        <v>+</v>
      </c>
      <c r="MF297" s="293" t="str">
        <f t="shared" si="205"/>
        <v>+</v>
      </c>
      <c r="MG297" s="293" t="str">
        <f t="shared" si="206"/>
        <v>+</v>
      </c>
      <c r="MH297" s="293" t="str">
        <f t="shared" si="207"/>
        <v>+</v>
      </c>
      <c r="MI297" s="293" t="str">
        <f t="shared" si="208"/>
        <v>+</v>
      </c>
      <c r="MJ297" s="293" t="str">
        <f t="shared" si="209"/>
        <v>+</v>
      </c>
      <c r="MK297" s="293" t="str">
        <f t="shared" si="210"/>
        <v>+</v>
      </c>
      <c r="ML297" s="293" t="str">
        <f t="shared" si="211"/>
        <v>+</v>
      </c>
      <c r="MM297" s="3" t="b">
        <f t="array" ref="MM297">OR(ME297:ML297="-")</f>
        <v>0</v>
      </c>
      <c r="MO297" s="401">
        <f t="shared" si="238"/>
        <v>64.319248826291073</v>
      </c>
      <c r="MP297" s="286"/>
      <c r="MR297" s="402">
        <f t="shared" si="239"/>
        <v>8.4049079754601221E-3</v>
      </c>
      <c r="MS297" s="400">
        <f t="shared" si="240"/>
        <v>0</v>
      </c>
      <c r="MT297" s="285"/>
      <c r="NH297" s="361"/>
      <c r="NJ297" s="282"/>
    </row>
    <row r="298" spans="1:374" ht="16.5">
      <c r="A298" s="403">
        <v>46042</v>
      </c>
      <c r="B298" s="404" t="s">
        <v>1015</v>
      </c>
      <c r="C298" s="405" t="s">
        <v>4397</v>
      </c>
      <c r="D298" s="404" t="s">
        <v>2037</v>
      </c>
      <c r="E298" s="404">
        <v>180</v>
      </c>
      <c r="F298" s="407">
        <v>10100</v>
      </c>
      <c r="G298" s="407" t="s">
        <v>1016</v>
      </c>
      <c r="H298" s="408" t="s">
        <v>1017</v>
      </c>
      <c r="I298" s="409">
        <f>2.16+1.89</f>
        <v>4.05</v>
      </c>
      <c r="J298" s="405" t="s">
        <v>543</v>
      </c>
      <c r="K298" s="404" t="s">
        <v>4398</v>
      </c>
      <c r="L298" s="419" t="str">
        <f t="shared" si="184"/>
        <v>ToyoLi - BLACK</v>
      </c>
      <c r="M298" s="404">
        <v>28</v>
      </c>
      <c r="N298" s="410">
        <f>IF(M298=0,0,IF($LB298=70%,VLOOKUP($L298,'Jan-2026 rates'!$L:$R,4,0),IF($LB298=65%,VLOOKUP($L298,'Jan-2026 rates'!$L:$R,4,0),IF($LB298=40%,VLOOKUP($L298,'Jan-2026 rates'!$L:$R,5,0),IF($LB298=30%,VLOOKUP($L298,'Jan-2026 rates'!$L:$R,6,0),IF($LB298=100%,VLOOKUP($L298,'Jan-2026 rates'!$L:$R,7,0),IF($LB298=60%,VLOOKUP($L298,'Jan-2026 rates'!$L:$S,8,0),IF($LB298=80%,VLOOKUP($L298,'Jan-2026 rates'!L:T,9,0),0))))))))</f>
        <v>0</v>
      </c>
      <c r="O298" s="406"/>
      <c r="P298" s="404"/>
      <c r="Q298" s="410">
        <f>IF(P298=0,0,IF($LB298=70%,VLOOKUP($L298,'Jan-2026 rates'!$L:$R,4,0),IF($LB298=65%,VLOOKUP($L298,'Jan-2026 rates'!$L:$R,4,0),IF($LB298=40%,VLOOKUP($L298,'Jan-2026 rates'!$L:$R,5,0),IF($LB298=30%,VLOOKUP($L298,'Jan-2026 rates'!$L:$R,6,0),IF($LB298=100%,VLOOKUP($L298,'Jan-2026 rates'!$L:$R,7,0),IF($LB298=60%,VLOOKUP($L298,'Jan-2026 rates'!$L:$S,8,0),IF($LB298=80%,VLOOKUP($L298,'Jan-2026 rates'!L:T,9,0),0))))))))</f>
        <v>0</v>
      </c>
      <c r="R298" s="406" t="s">
        <v>1252</v>
      </c>
      <c r="S298" s="406"/>
      <c r="T298" s="406"/>
      <c r="U298" s="406"/>
      <c r="V298" s="406"/>
      <c r="W298" s="406"/>
      <c r="X298" s="406"/>
      <c r="Y298" s="406"/>
      <c r="Z298" s="404">
        <v>2</v>
      </c>
      <c r="AA298" s="398">
        <f>IF(Z298=0,0,IF(LEN(R298)=11,_xlfn.XLOOKUP(R298,'Dispensed Ink Rates'!C:C,'Dispensed Ink Rates'!CS:CS),VLOOKUP(R298,'Jan-2026 rates'!$E:$F,2,0)))</f>
        <v>0</v>
      </c>
      <c r="AB298" s="404"/>
      <c r="AC298" s="398">
        <f>IF(AB298=0,0,IF(LEN(S298)=11,_xlfn.XLOOKUP(S298,'Dispensed Ink Rates'!C:C,'Dispensed Ink Rates'!CS:CS),VLOOKUP(S298,'Jan-2026 rates'!$E:$F,2,0)))</f>
        <v>0</v>
      </c>
      <c r="AD298" s="404"/>
      <c r="AE298" s="398">
        <f>IF(AD298=0,0,IF(LEN(T298)=11,_xlfn.XLOOKUP(T298,'Dispensed Ink Rates'!C:C,'Dispensed Ink Rates'!CS:CS),VLOOKUP(T298,'Jan-2026 rates'!$E:$F,2,0)))</f>
        <v>0</v>
      </c>
      <c r="AF298" s="404"/>
      <c r="AG298" s="398">
        <f>IF(AF298=0,0,IF(LEN(U298)=11,_xlfn.XLOOKUP(U298,'Dispensed Ink Rates'!C:C,'Dispensed Ink Rates'!CS:CS),VLOOKUP(U298,'Jan-2026 rates'!$E:$F,2,0)))</f>
        <v>0</v>
      </c>
      <c r="AH298" s="404"/>
      <c r="AI298" s="398">
        <f>IF(AH298=0,0,IF(LEN(V298)=11,_xlfn.XLOOKUP(V298,'Dispensed Ink Rates'!C:C,'Dispensed Ink Rates'!CS:CS),VLOOKUP(V298,'Jan-2026 rates'!$E:$F,2,0)))</f>
        <v>0</v>
      </c>
      <c r="AJ298" s="404"/>
      <c r="AK298" s="398">
        <f>IF(AJ298=0,0,IF(LEN(W298)=11,_xlfn.XLOOKUP(W298,'Dispensed Ink Rates'!C:C,'Dispensed Ink Rates'!CS:CS),VLOOKUP(W298,'Jan-2026 rates'!$E:$F,2,0)))</f>
        <v>0</v>
      </c>
      <c r="AL298" s="404"/>
      <c r="AM298" s="398">
        <f>IF(AL298=0,0,IF(LEN(X298)=11,_xlfn.XLOOKUP(X298,'Dispensed Ink Rates'!C:C,'Dispensed Ink Rates'!CS:CS),VLOOKUP(X298,'Jan-2026 rates'!$E:$F,2,0)))</f>
        <v>0</v>
      </c>
      <c r="AN298" s="404"/>
      <c r="AO298" s="398">
        <f>IF(AN298=0,0,IF(LEN(Y298)=11,_xlfn.XLOOKUP(Y298,'Dispensed Ink Rates'!C:C,'Dispensed Ink Rates'!CS:CS),VLOOKUP(Y298,'Jan-2026 rates'!$E:$F,2,0)))</f>
        <v>0</v>
      </c>
      <c r="AP298" s="409" t="s">
        <v>1881</v>
      </c>
      <c r="AQ298" s="409">
        <v>28</v>
      </c>
      <c r="AR298" s="410">
        <f t="shared" si="212"/>
        <v>0</v>
      </c>
      <c r="AS298" s="411">
        <f t="shared" si="213"/>
        <v>2</v>
      </c>
      <c r="AT298" s="410">
        <f t="shared" si="214"/>
        <v>0</v>
      </c>
      <c r="AU298" s="405" t="s">
        <v>543</v>
      </c>
      <c r="AV298" s="409" t="s">
        <v>2308</v>
      </c>
      <c r="AW298" s="420" t="str">
        <f t="shared" si="236"/>
        <v>ToyoLi - BLACK</v>
      </c>
      <c r="AX298" s="409">
        <v>9</v>
      </c>
      <c r="AY298" s="411">
        <f>IF(AX298=0,0,IF($LB298=70%,VLOOKUP($AW298,'Jan-2026 rates'!$L:$R,4,0),IF($LB298=65%,VLOOKUP($AW298,'Jan-2026 rates'!$L:$R,4,0),IF($LB298=40%,VLOOKUP($AW298,'Jan-2026 rates'!$L:$R,5,0),IF($LB298=30%,VLOOKUP($AW298,'Jan-2026 rates'!$L:$R,6,0),IF($LB298=100%,VLOOKUP($AW298,'Jan-2026 rates'!$L:$R,7,0),IF($LB298=60%,VLOOKUP($AW298,'Jan-2026 rates'!$L:$S,8,0),IF($LB298=80%,VLOOKUP($AW298,'Jan-2026 rates'!L:T,9,0),0))))))))</f>
        <v>0</v>
      </c>
      <c r="AZ298" s="412" t="s">
        <v>4399</v>
      </c>
      <c r="BA298" s="409">
        <f>17+16+15+16</f>
        <v>64</v>
      </c>
      <c r="BB298" s="411">
        <f>IF(BA298=0,0,IF($LB298=70%,VLOOKUP($AW298,'Jan-2026 rates'!$L:$R,4,0),IF($LB298=65%,VLOOKUP($AW298,'Jan-2026 rates'!$L:$R,4,0),IF($LB298=40%,VLOOKUP($AW298,'Jan-2026 rates'!$L:$R,5,0),IF($LB298=30%,VLOOKUP($AW298,'Jan-2026 rates'!$L:$R,6,0),IF($LB298=100%,VLOOKUP($AW298,'Jan-2026 rates'!$L:$R,7,0),IF($LB298=60%,VLOOKUP($AW298,'Jan-2026 rates'!$L:$S,8,0),IF($LB298=80%,VLOOKUP($AW298,'Jan-2026 rates'!L:T,9,0),0))))))))</f>
        <v>0</v>
      </c>
      <c r="BC298" s="413" t="s">
        <v>1246</v>
      </c>
      <c r="BD298" s="412" t="s">
        <v>1250</v>
      </c>
      <c r="BE298" s="412" t="s">
        <v>1252</v>
      </c>
      <c r="BF298" s="413"/>
      <c r="BG298" s="412"/>
      <c r="BH298" s="412"/>
      <c r="BI298" s="412"/>
      <c r="BJ298" s="412"/>
      <c r="BK298" s="409">
        <v>1</v>
      </c>
      <c r="BL298" s="398">
        <f>IF(BK298=0,0,IF(LEN(BC298)=11,_xlfn.XLOOKUP(BC298,'Dispensed Ink Rates'!C:C,'Dispensed Ink Rates'!CS:CS),VLOOKUP(BC298,'Jan-2026 rates'!$E:$F,2,0)))</f>
        <v>0</v>
      </c>
      <c r="BM298" s="409">
        <v>1</v>
      </c>
      <c r="BN298" s="398">
        <f>IF(BM298=0,0,IF(LEN(BD298)=11,_xlfn.XLOOKUP(BD298,'Dispensed Ink Rates'!C:C,'Dispensed Ink Rates'!CS:CS),VLOOKUP(BD298,'Jan-2026 rates'!$E:$F,2,0)))</f>
        <v>0</v>
      </c>
      <c r="BO298" s="409">
        <v>1</v>
      </c>
      <c r="BP298" s="398">
        <f>IF(BO298=0,0,IF(LEN(BE298)=11,_xlfn.XLOOKUP(BE298,'Dispensed Ink Rates'!C:C,'Dispensed Ink Rates'!CS:CS),VLOOKUP(BE298,'Jan-2026 rates'!$E:$F,2,0)))</f>
        <v>0</v>
      </c>
      <c r="BQ298" s="409"/>
      <c r="BR298" s="398">
        <f>IF(BQ298=0,0,IF(LEN(BF298)=11,_xlfn.XLOOKUP(BF298,'Dispensed Ink Rates'!C:C,'Dispensed Ink Rates'!CS:CS),VLOOKUP(BF298,'Jan-2026 rates'!$E:$F,2,0)))</f>
        <v>0</v>
      </c>
      <c r="BS298" s="409"/>
      <c r="BT298" s="398">
        <f>IF(BS298=0,0,IF(LEN(BG298)=11,_xlfn.XLOOKUP(BG298,'Dispensed Ink Rates'!C:C,'Dispensed Ink Rates'!CS:CS),VLOOKUP(BG298,'Jan-2026 rates'!$E:$F,2,0)))</f>
        <v>0</v>
      </c>
      <c r="BU298" s="409"/>
      <c r="BV298" s="398">
        <f>IF(BU298=0,0,IF(LEN(BH298)=11,_xlfn.XLOOKUP(BH298,'Dispensed Ink Rates'!C:C,'Dispensed Ink Rates'!CS:CS),VLOOKUP(BH298,'Jan-2026 rates'!$E:$F,2,0)))</f>
        <v>0</v>
      </c>
      <c r="BW298" s="409"/>
      <c r="BX298" s="398">
        <f>IF(BW298=0,0,IF(LEN(BI298)=11,_xlfn.XLOOKUP(BI298,'Dispensed Ink Rates'!C:C,'Dispensed Ink Rates'!CS:CS),VLOOKUP(BI298,'Jan-2026 rates'!$E:$F,2,0)))</f>
        <v>0</v>
      </c>
      <c r="BY298" s="409"/>
      <c r="BZ298" s="398">
        <f>IF(BY298=0,0,IF(LEN(BJ298)=11,_xlfn.XLOOKUP(BJ298,'Dispensed Ink Rates'!C:C,'Dispensed Ink Rates'!CS:CS),VLOOKUP(BJ298,'Jan-2026 rates'!$E:$F,2,0)))</f>
        <v>0</v>
      </c>
      <c r="CA298" s="409" t="s">
        <v>1881</v>
      </c>
      <c r="CB298" s="409">
        <v>22</v>
      </c>
      <c r="CC298" s="411">
        <f t="shared" si="215"/>
        <v>0</v>
      </c>
      <c r="CD298" s="411">
        <f t="shared" si="216"/>
        <v>54</v>
      </c>
      <c r="CE298" s="410">
        <f t="shared" si="217"/>
        <v>0</v>
      </c>
      <c r="CF298" s="404" t="s">
        <v>856</v>
      </c>
      <c r="CG298" s="409" t="s">
        <v>4400</v>
      </c>
      <c r="CH298" s="420" t="str">
        <f t="shared" si="185"/>
        <v>ToyoLi - WHITE</v>
      </c>
      <c r="CI298" s="409">
        <v>25</v>
      </c>
      <c r="CJ298" s="411">
        <f>IF(CI298=0,0,IF($LB298=70%,VLOOKUP($CH298,'Jan-2026 rates'!$L:$R,4,0),IF($LB298=65%,VLOOKUP($CH298,'Jan-2026 rates'!$L:$R,4,0),IF($LB298=40%,VLOOKUP($CH298,'Jan-2026 rates'!$L:$R,5,0),IF($LB298=30%,VLOOKUP($CH298,'Jan-2026 rates'!$L:$R,6,0),IF($LB298=100%,VLOOKUP($CH298,'Jan-2026 rates'!$L:$R,7,0),IF($LB298=60%,VLOOKUP($CH298,'Jan-2026 rates'!$L:$S,8,0),IF($LB298=80%,VLOOKUP($CH298,'Jan-2026 rates'!L:T,9,0),0))))))))</f>
        <v>0</v>
      </c>
      <c r="CK298" s="412"/>
      <c r="CL298" s="409"/>
      <c r="CM298" s="411">
        <f>IF(CL298=0,0,IF($LB298=70%,VLOOKUP($CH298,'Jan-2026 rates'!$L:$R,4,0),IF($LB298=65%,VLOOKUP($CH298,'Jan-2026 rates'!$L:$R,4,0),IF($LB298=40%,VLOOKUP($CH298,'Jan-2026 rates'!$L:$R,5,0),IF($LB298=30%,VLOOKUP($CH298,'Jan-2026 rates'!$L:$R,6,0),IF($LB298=100%,VLOOKUP($CH298,'Jan-2026 rates'!$L:$R,7,0),IF($LB298=60%,VLOOKUP($CH298,'Jan-2026 rates'!$L:$S,8,0),IF($LB298=80%,VLOOKUP($CH298,'Jan-2026 rates'!L:T,9,0),0))))))))</f>
        <v>0</v>
      </c>
      <c r="CN298" s="426" t="s">
        <v>1249</v>
      </c>
      <c r="CO298" s="427"/>
      <c r="CP298" s="426"/>
      <c r="CQ298" s="426"/>
      <c r="CR298" s="428"/>
      <c r="CS298" s="428"/>
      <c r="CT298" s="428"/>
      <c r="CU298" s="428"/>
      <c r="CV298" s="409">
        <v>50</v>
      </c>
      <c r="CW298" s="398">
        <f>IF(CV298=0,0,IF(LEN(CN298)=11,_xlfn.XLOOKUP(CN298,'Dispensed Ink Rates'!C:C,'Dispensed Ink Rates'!CS:CS),VLOOKUP(CN298,'Jan-2026 rates'!$E:$F,2,0)))</f>
        <v>0</v>
      </c>
      <c r="CX298" s="409"/>
      <c r="CY298" s="398">
        <f>IF(CX298=0,0,IF(LEN(CO298)=11,_xlfn.XLOOKUP(CO298,'Dispensed Ink Rates'!C:C,'Dispensed Ink Rates'!CS:CS),VLOOKUP(CO298,'Jan-2026 rates'!$E:$F,2,0)))</f>
        <v>0</v>
      </c>
      <c r="CZ298" s="409"/>
      <c r="DA298" s="398">
        <f>IF(CZ298=0,0,IF(LEN(CP298)=11,_xlfn.XLOOKUP(CP298,'Dispensed Ink Rates'!C:C,'Dispensed Ink Rates'!CS:CS),VLOOKUP(CP298,'Jan-2026 rates'!$E:$F,2,0)))</f>
        <v>0</v>
      </c>
      <c r="DB298" s="409"/>
      <c r="DC298" s="398">
        <f>IF(DB298=0,0,IF(LEN(CQ298)=11,_xlfn.XLOOKUP(CQ298,'Dispensed Ink Rates'!C:C,'Dispensed Ink Rates'!CS:CS),VLOOKUP(CQ298,'Jan-2026 rates'!$E:$F,2,0)))</f>
        <v>0</v>
      </c>
      <c r="DD298" s="409"/>
      <c r="DE298" s="398">
        <f>IF(DD298=0,0,IF(LEN(CR298)=11,_xlfn.XLOOKUP(CR298,'Dispensed Ink Rates'!C:C,'Dispensed Ink Rates'!CS:CS),VLOOKUP(CR298,'Jan-2026 rates'!$E:$F,2,0)))</f>
        <v>0</v>
      </c>
      <c r="DF298" s="409"/>
      <c r="DG298" s="398">
        <f>IF(DF298=0,0,IF(LEN(CS298)=11,_xlfn.XLOOKUP(CS298,'Dispensed Ink Rates'!C:C,'Dispensed Ink Rates'!CS:CS),VLOOKUP(CS298,'Jan-2026 rates'!$E:$F,2,0)))</f>
        <v>0</v>
      </c>
      <c r="DH298" s="409"/>
      <c r="DI298" s="398">
        <f>IF(DH298=0,0,IF(LEN(CT298)=11,_xlfn.XLOOKUP(CT298,'Dispensed Ink Rates'!C:C,'Dispensed Ink Rates'!CS:CS),VLOOKUP(CT298,'Jan-2026 rates'!$E:$F,2,0)))</f>
        <v>0</v>
      </c>
      <c r="DJ298" s="409"/>
      <c r="DK298" s="398">
        <f>IF(DJ298=0,0,IF(LEN(CU298)=11,_xlfn.XLOOKUP(CU298,'Dispensed Ink Rates'!C:C,'Dispensed Ink Rates'!CS:CS),VLOOKUP(CU298,'Jan-2026 rates'!$E:$F,2,0)))</f>
        <v>0</v>
      </c>
      <c r="DL298" s="409" t="s">
        <v>1881</v>
      </c>
      <c r="DM298" s="409">
        <v>30</v>
      </c>
      <c r="DN298" s="411">
        <f t="shared" si="218"/>
        <v>0</v>
      </c>
      <c r="DO298" s="411">
        <f t="shared" si="219"/>
        <v>136.2162162162162</v>
      </c>
      <c r="DP298" s="410">
        <f t="shared" si="220"/>
        <v>0</v>
      </c>
      <c r="DQ298" s="405" t="s">
        <v>605</v>
      </c>
      <c r="DR298" s="409" t="s">
        <v>3850</v>
      </c>
      <c r="DS298" s="420" t="str">
        <f t="shared" si="186"/>
        <v>ToyoLi - MATT</v>
      </c>
      <c r="DT298" s="409">
        <v>15</v>
      </c>
      <c r="DU298" s="411">
        <f>IF(DT298=0,0,IF($LB298=70%,VLOOKUP($DS298,'Jan-2026 rates'!$L:$R,4,0),IF($LB298=65%,VLOOKUP($DS298,'Jan-2026 rates'!$L:$R,4,0),IF($LB298=40%,VLOOKUP($DS298,'Jan-2026 rates'!$L:$R,5,0),IF($LB298=30%,VLOOKUP($DS298,'Jan-2026 rates'!$L:$R,6,0),IF($LB298=100%,VLOOKUP($DS298,'Jan-2026 rates'!$L:$R,7,0),IF($LB298=60%,VLOOKUP($DS298,'Jan-2026 rates'!$L:$S,8,0),IF($LB298=80%,VLOOKUP($DS298,'Jan-2026 rates'!L:T,9,0),0))))))))</f>
        <v>0</v>
      </c>
      <c r="DV298" s="412"/>
      <c r="DW298" s="409"/>
      <c r="DX298" s="411">
        <f>IF(DW298=0,0,IF($LB298=70%,VLOOKUP($DS298,'Jan-2026 rates'!$L:$R,4,0),IF($LB298=65%,VLOOKUP($DS298,'Jan-2026 rates'!$L:$R,4,0),IF($LB298=40%,VLOOKUP($DS298,'Jan-2026 rates'!$L:$R,5,0),IF($LB298=30%,VLOOKUP($DS298,'Jan-2026 rates'!$L:$R,6,0),IF($LB298=100%,VLOOKUP($DS298,'Jan-2026 rates'!$L:$R,7,0),IF($LB298=60%,VLOOKUP($DS298,'Jan-2026 rates'!$L:$S,8,0),IF($LB298=80%,VLOOKUP($DS298,'Jan-2026 rates'!L:T,9,0),0))))))))</f>
        <v>0</v>
      </c>
      <c r="DY298" s="413">
        <v>55</v>
      </c>
      <c r="DZ298" s="413" t="s">
        <v>1902</v>
      </c>
      <c r="EA298" s="412"/>
      <c r="EB298" s="412"/>
      <c r="EC298" s="412"/>
      <c r="ED298" s="412"/>
      <c r="EE298" s="412"/>
      <c r="EF298" s="412"/>
      <c r="EG298" s="409">
        <v>60</v>
      </c>
      <c r="EH298" s="398">
        <f>IF(EG298=0,0,IF(LEN(DY298)=11,_xlfn.XLOOKUP(DY298,'Dispensed Ink Rates'!C:C,'Dispensed Ink Rates'!CS:CS),VLOOKUP(DY298,'Jan-2026 rates'!$E:$F,2,0)))</f>
        <v>0</v>
      </c>
      <c r="EI298" s="409">
        <v>15</v>
      </c>
      <c r="EJ298" s="398">
        <f>IF(EI298=0,0,IF(LEN(DZ298)=11,_xlfn.XLOOKUP(DZ298,'Dispensed Ink Rates'!C:C,'Dispensed Ink Rates'!CS:CS),VLOOKUP(DZ298,'Jan-2026 rates'!$E:$F,2,0)))</f>
        <v>0</v>
      </c>
      <c r="EK298" s="409"/>
      <c r="EL298" s="398">
        <f>IF(EK298=0,0,IF(LEN(EA298)=11,_xlfn.XLOOKUP(EA298,'Dispensed Ink Rates'!C:C,'Dispensed Ink Rates'!CS:CS),VLOOKUP(EA298,'Jan-2026 rates'!$E:$F,2,0)))</f>
        <v>0</v>
      </c>
      <c r="EM298" s="409"/>
      <c r="EN298" s="398">
        <f>IF(EM298=0,0,IF(LEN(EB298)=11,_xlfn.XLOOKUP(EB298,'Dispensed Ink Rates'!C:C,'Dispensed Ink Rates'!CS:CS),VLOOKUP(EB298,'Jan-2026 rates'!$E:$F,2,0)))</f>
        <v>0</v>
      </c>
      <c r="EO298" s="409"/>
      <c r="EP298" s="398">
        <f>IF(EO298=0,0,IF(LEN(EC298)=11,_xlfn.XLOOKUP(EC298,'Dispensed Ink Rates'!C:C,'Dispensed Ink Rates'!CS:CS),VLOOKUP(EC298,'Jan-2026 rates'!$E:$F,2,0)))</f>
        <v>0</v>
      </c>
      <c r="EQ298" s="409"/>
      <c r="ER298" s="398">
        <f>IF(EQ298=0,0,IF(LEN(ED298)=11,_xlfn.XLOOKUP(ED298,'Dispensed Ink Rates'!C:C,'Dispensed Ink Rates'!CS:CS),VLOOKUP(ED298,'Jan-2026 rates'!$E:$F,2,0)))</f>
        <v>0</v>
      </c>
      <c r="ES298" s="409"/>
      <c r="ET298" s="398">
        <f>IF(ES298=0,0,IF(LEN(EE298)=11,_xlfn.XLOOKUP(EE298,'Dispensed Ink Rates'!C:C,'Dispensed Ink Rates'!CS:CS),VLOOKUP(EE298,'Jan-2026 rates'!$E:$F,2,0)))</f>
        <v>0</v>
      </c>
      <c r="EU298" s="409"/>
      <c r="EV298" s="398">
        <f>IF(EU298=0,0,IF(LEN(EF298)=11,_xlfn.XLOOKUP(EF298,'Dispensed Ink Rates'!C:C,'Dispensed Ink Rates'!CS:CS),VLOOKUP(EF298,'Jan-2026 rates'!$E:$F,2,0)))</f>
        <v>0</v>
      </c>
      <c r="EW298" s="409" t="s">
        <v>1881</v>
      </c>
      <c r="EX298" s="409">
        <v>25</v>
      </c>
      <c r="EY298" s="411">
        <f t="shared" si="221"/>
        <v>0</v>
      </c>
      <c r="EZ298" s="411">
        <f t="shared" si="222"/>
        <v>108.7837837837838</v>
      </c>
      <c r="FA298" s="410">
        <f t="shared" si="223"/>
        <v>0</v>
      </c>
      <c r="FB298" s="405"/>
      <c r="FC298" s="409"/>
      <c r="FD298" s="420" t="str">
        <f t="shared" si="187"/>
        <v xml:space="preserve"> - </v>
      </c>
      <c r="FE298" s="409"/>
      <c r="FF298" s="411">
        <f>IF(FE298=0,0,IF($LB298=70%,VLOOKUP($FD298,'Jan-2026 rates'!$L:$R,4,0),IF($LB298=65%,VLOOKUP($FD298,'Jan-2026 rates'!$L:$R,4,0),IF($LB298=40%,VLOOKUP($FD298,'Jan-2026 rates'!$L:$R,5,0),IF($LB298=30%,VLOOKUP($FD298,'Jan-2026 rates'!$L:$R,6,0),IF($LB298=100%,VLOOKUP($FD298,'Jan-2026 rates'!$L:$R,7,0),IF($LB298=60%,VLOOKUP($FD298,'Jan-2026 rates'!$L:$S,8,0),IF($LB298=80%,VLOOKUP($FD298,'Jan-2026 rates'!L:T,9,0),0))))))))</f>
        <v>0</v>
      </c>
      <c r="FG298" s="412"/>
      <c r="FH298" s="409"/>
      <c r="FI298" s="411">
        <f>IF(FH298=0,0,IF($LB298=70%,VLOOKUP($FD298,'Jan-2026 rates'!$L:$R,4,0),IF($LB298=65%,VLOOKUP($FD298,'Jan-2026 rates'!$L:$R,4,0),IF($LB298=40%,VLOOKUP($FD298,'Jan-2026 rates'!$L:$R,5,0),IF($LB298=30%,VLOOKUP($FD298,'Jan-2026 rates'!$L:$R,6,0),IF($LB298=100%,VLOOKUP($FD298,'Jan-2026 rates'!$L:$R,7,0),IF($LB298=60%,VLOOKUP($FD298,'Jan-2026 rates'!$L:$S,8,0),IF($LB298=80%,VLOOKUP($FD298,'Jan-2026 rates'!L:T,9,0),0))))))))</f>
        <v>0</v>
      </c>
      <c r="FJ298" s="413"/>
      <c r="FK298" s="413"/>
      <c r="FL298" s="413"/>
      <c r="FM298" s="412"/>
      <c r="FN298" s="412"/>
      <c r="FO298" s="412"/>
      <c r="FP298" s="412"/>
      <c r="FQ298" s="412"/>
      <c r="FR298" s="409"/>
      <c r="FS298" s="398">
        <f>IF(FR298=0,0,IF(LEN(FJ298)=11,_xlfn.XLOOKUP(FJ298,'Dispensed Ink Rates'!C:C,'Dispensed Ink Rates'!CS:CS),VLOOKUP(FJ298,'Jan-2026 rates'!$E:$F,2,0)))</f>
        <v>0</v>
      </c>
      <c r="FT298" s="409"/>
      <c r="FU298" s="398">
        <f>IF(FT298=0,0,IF(LEN(FK298)=11,_xlfn.XLOOKUP(FK298,'Dispensed Ink Rates'!C:C,'Dispensed Ink Rates'!CS:CS),VLOOKUP(FK298,'Jan-2026 rates'!$E:$F,2,0)))</f>
        <v>0</v>
      </c>
      <c r="FV298" s="409"/>
      <c r="FW298" s="398">
        <f>IF(FV298=0,0,IF(LEN(FL298)=11,_xlfn.XLOOKUP(FL298,'Dispensed Ink Rates'!C:C,'Dispensed Ink Rates'!CS:CS),VLOOKUP(FL298,'Jan-2026 rates'!$E:$F,2,0)))</f>
        <v>0</v>
      </c>
      <c r="FX298" s="409"/>
      <c r="FY298" s="398">
        <f>IF(FX298=0,0,IF(LEN(FM298)=11,_xlfn.XLOOKUP(FM298,'Dispensed Ink Rates'!C:C,'Dispensed Ink Rates'!CS:CS),VLOOKUP(FM298,'Jan-2026 rates'!$E:$F,2,0)))</f>
        <v>0</v>
      </c>
      <c r="FZ298" s="409"/>
      <c r="GA298" s="398">
        <f>IF(FZ298=0,0,IF(LEN(FN298)=11,_xlfn.XLOOKUP(FN298,'Dispensed Ink Rates'!C:C,'Dispensed Ink Rates'!CS:CS),VLOOKUP(FN298,'Jan-2026 rates'!$E:$F,2,0)))</f>
        <v>0</v>
      </c>
      <c r="GB298" s="409"/>
      <c r="GC298" s="398">
        <f>IF(GB298=0,0,IF(LEN(FO298)=11,_xlfn.XLOOKUP(FO298,'Dispensed Ink Rates'!C:C,'Dispensed Ink Rates'!CS:CS),VLOOKUP(FO298,'Jan-2026 rates'!$E:$F,2,0)))</f>
        <v>0</v>
      </c>
      <c r="GD298" s="409"/>
      <c r="GE298" s="398">
        <f>IF(GD298=0,0,IF(LEN(FP298)=11,_xlfn.XLOOKUP(FP298,'Dispensed Ink Rates'!C:C,'Dispensed Ink Rates'!CS:CS),VLOOKUP(FP298,'Jan-2026 rates'!$E:$F,2,0)))</f>
        <v>0</v>
      </c>
      <c r="GF298" s="409"/>
      <c r="GG298" s="398">
        <f>IF(GF298=0,0,IF(LEN(FQ298)=11,_xlfn.XLOOKUP(FQ298,'Dispensed Ink Rates'!C:C,'Dispensed Ink Rates'!CS:CS),VLOOKUP(FQ298,'Jan-2026 rates'!$E:$F,2,0)))</f>
        <v>0</v>
      </c>
      <c r="GH298" s="409"/>
      <c r="GI298" s="409"/>
      <c r="GJ298" s="411">
        <f t="shared" si="224"/>
        <v>0</v>
      </c>
      <c r="GK298" s="411">
        <f t="shared" si="225"/>
        <v>0</v>
      </c>
      <c r="GL298" s="410">
        <f t="shared" si="226"/>
        <v>0</v>
      </c>
      <c r="GM298" s="405"/>
      <c r="GN298" s="409"/>
      <c r="GO298" s="420" t="str">
        <f t="shared" si="188"/>
        <v xml:space="preserve"> - </v>
      </c>
      <c r="GP298" s="409"/>
      <c r="GQ298" s="411">
        <f>IF(GP298=0,0,IF($LB298=70%,VLOOKUP($GO298,'Jan-2026 rates'!$L:$R,4,0),IF($LB298=65%,VLOOKUP($GO298,'Jan-2026 rates'!$L:$R,4,0),IF($LB298=40%,VLOOKUP($GO298,'Jan-2026 rates'!$L:$R,5,0),IF($LB298=30%,VLOOKUP($GO298,'Jan-2026 rates'!$L:$R,6,0),IF($LB298=100%,VLOOKUP($GO298,'Jan-2026 rates'!$L:$R,7,0),IF($LB298=60%,VLOOKUP($GO298,'Jan-2026 rates'!$L:$S,8,0),IF($LB298=80%,VLOOKUP($GO298,'Jan-2026 rates'!L:T,9,0),0))))))))</f>
        <v>0</v>
      </c>
      <c r="GR298" s="412"/>
      <c r="GS298" s="409"/>
      <c r="GT298" s="411">
        <f>IF(GS298=0,0,IF($LB298=70%,VLOOKUP($GO298,'Jan-2026 rates'!$L:$R,4,0),IF($LB298=65%,VLOOKUP($GO298,'Jan-2026 rates'!$L:$R,4,0),IF($LB298=40%,VLOOKUP($GO298,'Jan-2026 rates'!$L:$R,5,0),IF($LB298=30%,VLOOKUP($GO298,'Jan-2026 rates'!$L:$R,6,0),IF($LB298=100%,VLOOKUP($GO298,'Jan-2026 rates'!$L:$R,7,0),IF($LB298=60%,VLOOKUP($GO298,'Jan-2026 rates'!$L:$S,8,0),IF($LB298=80%,VLOOKUP($GO298,'Jan-2026 rates'!L:T,9,0),0))))))))</f>
        <v>0</v>
      </c>
      <c r="GU298" s="413"/>
      <c r="GV298" s="413"/>
      <c r="GW298" s="412"/>
      <c r="GX298" s="412"/>
      <c r="GY298" s="412"/>
      <c r="GZ298" s="412"/>
      <c r="HA298" s="412"/>
      <c r="HB298" s="412"/>
      <c r="HC298" s="409"/>
      <c r="HD298" s="398">
        <f>IF(HC298=0,0,IF(LEN(GU298)=11,_xlfn.XLOOKUP(GU298,'Dispensed Ink Rates'!C:C,'Dispensed Ink Rates'!CS:CS),VLOOKUP(GU298,'Jan-2026 rates'!$E:$F,2,0)))</f>
        <v>0</v>
      </c>
      <c r="HE298" s="409"/>
      <c r="HF298" s="398">
        <f>IF(HE298=0,0,IF(LEN(GV298)=11,_xlfn.XLOOKUP(GV298,'Dispensed Ink Rates'!C:C,'Dispensed Ink Rates'!CS:CS),VLOOKUP(GV298,'Jan-2026 rates'!$E:$F,2,0)))</f>
        <v>0</v>
      </c>
      <c r="HG298" s="409"/>
      <c r="HH298" s="398">
        <f>IF(HG298=0,0,IF(LEN(GW298)=11,_xlfn.XLOOKUP(GW298,'Dispensed Ink Rates'!C:C,'Dispensed Ink Rates'!CS:CS),VLOOKUP(GW298,'Jan-2026 rates'!$E:$F,2,0)))</f>
        <v>0</v>
      </c>
      <c r="HI298" s="409"/>
      <c r="HJ298" s="398">
        <f>IF(HI298=0,0,IF(LEN(GX298)=11,_xlfn.XLOOKUP(GX298,'Dispensed Ink Rates'!C:C,'Dispensed Ink Rates'!CS:CS),VLOOKUP(GX298,'Jan-2026 rates'!$E:$F,2,0)))</f>
        <v>0</v>
      </c>
      <c r="HK298" s="409"/>
      <c r="HL298" s="398">
        <f>IF(HK298=0,0,IF(LEN(GY298)=11,_xlfn.XLOOKUP(GY298,'Dispensed Ink Rates'!C:C,'Dispensed Ink Rates'!CS:CS),VLOOKUP(GY298,'Jan-2026 rates'!$E:$F,2,0)))</f>
        <v>0</v>
      </c>
      <c r="HM298" s="409"/>
      <c r="HN298" s="398">
        <f>IF(HM298=0,0,IF(LEN(GZ298)=11,_xlfn.XLOOKUP(GZ298,'Dispensed Ink Rates'!C:C,'Dispensed Ink Rates'!CS:CS),VLOOKUP(GZ298,'Jan-2026 rates'!$E:$F,2,0)))</f>
        <v>0</v>
      </c>
      <c r="HO298" s="409"/>
      <c r="HP298" s="398">
        <f>IF(HO298=0,0,IF(LEN(HA298)=11,_xlfn.XLOOKUP(HA298,'Dispensed Ink Rates'!C:C,'Dispensed Ink Rates'!CS:CS),VLOOKUP(HA298,'Jan-2026 rates'!$E:$F,2,0)))</f>
        <v>0</v>
      </c>
      <c r="HQ298" s="409"/>
      <c r="HR298" s="398">
        <f>IF(HQ298=0,0,IF(LEN(HB298)=11,_xlfn.XLOOKUP(HB298,'Dispensed Ink Rates'!C:C,'Dispensed Ink Rates'!CS:CS),VLOOKUP(HB298,'Jan-2026 rates'!$E:$F,2,0)))</f>
        <v>0</v>
      </c>
      <c r="HS298" s="409"/>
      <c r="HT298" s="409"/>
      <c r="HU298" s="411">
        <f t="shared" si="227"/>
        <v>0</v>
      </c>
      <c r="HV298" s="411">
        <f t="shared" si="228"/>
        <v>0</v>
      </c>
      <c r="HW298" s="414">
        <f t="shared" si="229"/>
        <v>0</v>
      </c>
      <c r="HX298" s="405"/>
      <c r="HY298" s="409"/>
      <c r="HZ298" s="420" t="str">
        <f t="shared" si="189"/>
        <v xml:space="preserve"> - </v>
      </c>
      <c r="IA298" s="409"/>
      <c r="IB298" s="411">
        <f>IF(IA298=0,0,IF($LB298=70%,VLOOKUP($HZ298,'Jan-2026 rates'!$L:$R,4,0),IF($LB298=65%,VLOOKUP($HZ298,'Jan-2026 rates'!$L:$R,4,0),IF($LB298=40%,VLOOKUP($HZ298,'Jan-2026 rates'!$L:$R,5,0),IF($LB298=30%,VLOOKUP($HZ298,'Jan-2026 rates'!$L:$R,6,0),IF($LB298=100%,VLOOKUP($HZ298,'Jan-2026 rates'!$L:$R,7,0),IF($LB298=60%,VLOOKUP($HZ298,'Jan-2026 rates'!$L:$S,8,0),IF($LB298=80%,VLOOKUP($HZ298,'Jan-2026 rates'!L:T,9,0),0))))))))</f>
        <v>0</v>
      </c>
      <c r="IC298" s="412"/>
      <c r="ID298" s="409"/>
      <c r="IE298" s="411">
        <f>IF(ID298=0,0,IF($LB298=70%,VLOOKUP($HZ298,'Jan-2026 rates'!$L:$R,4,0),IF($LB298=65%,VLOOKUP($HZ298,'Jan-2026 rates'!$L:$R,4,0),IF($LB298=40%,VLOOKUP($HZ298,'Jan-2026 rates'!$L:$R,5,0),IF($LB298=30%,VLOOKUP($HZ298,'Jan-2026 rates'!$L:$R,6,0),IF($LB298=100%,VLOOKUP($HZ298,'Jan-2026 rates'!$L:$R,7,0),IF($LB298=60%,VLOOKUP($HZ298,'Jan-2026 rates'!$L:$S,8,0),IF($LB298=80%,VLOOKUP($HZ298,'Jan-2026 rates'!L:T,9,0),0))))))))</f>
        <v>0</v>
      </c>
      <c r="IF298" s="412"/>
      <c r="IG298" s="413"/>
      <c r="IH298" s="412"/>
      <c r="II298" s="412"/>
      <c r="IJ298" s="412"/>
      <c r="IK298" s="412"/>
      <c r="IL298" s="412"/>
      <c r="IM298" s="412"/>
      <c r="IN298" s="409"/>
      <c r="IO298" s="398">
        <f>IF(IN298=0,0,IF(LEN(IF298)=11,_xlfn.XLOOKUP(IF298,'Dispensed Ink Rates'!C:C,'Dispensed Ink Rates'!CS:CS),VLOOKUP(IF298,'Jan-2026 rates'!$E:$F,2,0)))</f>
        <v>0</v>
      </c>
      <c r="IP298" s="409"/>
      <c r="IQ298" s="398">
        <f>IF(IP298=0,0,IF(LEN(IG298)=11,_xlfn.XLOOKUP(IG298,'Dispensed Ink Rates'!C:C,'Dispensed Ink Rates'!CS:CS),VLOOKUP(IG298,'Jan-2026 rates'!$E:$F,2,0)))</f>
        <v>0</v>
      </c>
      <c r="IR298" s="409"/>
      <c r="IS298" s="398">
        <f>IF(IR298=0,0,IF(LEN(IH298)=11,_xlfn.XLOOKUP(IH298,'Dispensed Ink Rates'!C:C,'Dispensed Ink Rates'!CS:CS),VLOOKUP(IH298,'Jan-2026 rates'!$E:$F,2,0)))</f>
        <v>0</v>
      </c>
      <c r="IT298" s="409"/>
      <c r="IU298" s="398">
        <f>IF(IT298=0,0,IF(LEN(II298)=11,_xlfn.XLOOKUP(II298,'Dispensed Ink Rates'!C:C,'Dispensed Ink Rates'!CS:CS),VLOOKUP(II298,'Jan-2026 rates'!$E:$F,2,0)))</f>
        <v>0</v>
      </c>
      <c r="IV298" s="409"/>
      <c r="IW298" s="398">
        <f>IF(IV298=0,0,IF(LEN(IJ298)=11,_xlfn.XLOOKUP(IJ298,'Dispensed Ink Rates'!C:C,'Dispensed Ink Rates'!CS:CS),VLOOKUP(IJ298,'Jan-2026 rates'!$E:$F,2,0)))</f>
        <v>0</v>
      </c>
      <c r="IX298" s="409"/>
      <c r="IY298" s="398">
        <f>IF(IX298=0,0,IF(LEN(IK298)=11,_xlfn.XLOOKUP(IK298,'Dispensed Ink Rates'!C:C,'Dispensed Ink Rates'!CS:CS),VLOOKUP(IK298,'Jan-2026 rates'!$E:$F,2,0)))</f>
        <v>0</v>
      </c>
      <c r="IZ298" s="409"/>
      <c r="JA298" s="398">
        <f>IF(IZ298=0,0,IF(LEN(IL298)=11,_xlfn.XLOOKUP(IL298,'Dispensed Ink Rates'!C:C,'Dispensed Ink Rates'!CS:CS),VLOOKUP(IL298,'Jan-2026 rates'!$E:$F,2,0)))</f>
        <v>0</v>
      </c>
      <c r="JB298" s="409"/>
      <c r="JC298" s="398">
        <f>IF(JB298=0,0,IF(LEN(IM298)=11,_xlfn.XLOOKUP(IM298,'Dispensed Ink Rates'!C:C,'Dispensed Ink Rates'!CS:CS),VLOOKUP(IM298,'Jan-2026 rates'!$E:$F,2,0)))</f>
        <v>0</v>
      </c>
      <c r="JD298" s="409"/>
      <c r="JE298" s="409"/>
      <c r="JF298" s="411">
        <f t="shared" si="230"/>
        <v>0</v>
      </c>
      <c r="JG298" s="411">
        <f t="shared" si="231"/>
        <v>0</v>
      </c>
      <c r="JH298" s="410">
        <f t="shared" si="232"/>
        <v>0</v>
      </c>
      <c r="JI298" s="405"/>
      <c r="JJ298" s="409"/>
      <c r="JK298" s="420" t="str">
        <f t="shared" si="190"/>
        <v xml:space="preserve"> - </v>
      </c>
      <c r="JL298" s="409"/>
      <c r="JM298" s="411">
        <f>IF(JL298=0,0,IF($LB298=70%,VLOOKUP($JK298,'Jan-2026 rates'!$L:$R,4,0),IF($LB298=65%,VLOOKUP($JK298,'Jan-2026 rates'!$L:$R,4,0),IF($LB298=40%,VLOOKUP($JK298,'Jan-2026 rates'!$L:$R,5,0),IF($LB298=30%,VLOOKUP($JK298,'Jan-2026 rates'!$L:$R,6,0),IF($LB298=100%,VLOOKUP($JK298,'Jan-2026 rates'!$L:$R,7,0),IF($LB298=60%,VLOOKUP($JK298,'Jan-2026 rates'!$L:$S,8,0),IF($LB298=80%,VLOOKUP($JK298,'Jan-2026 rates'!L:T,9,0),0))))))))</f>
        <v>0</v>
      </c>
      <c r="JN298" s="412"/>
      <c r="JO298" s="409"/>
      <c r="JP298" s="411">
        <f>IF(JO298=0,0,IF($LB298=70%,VLOOKUP($JK298,'Jan-2026 rates'!$L:$R,4,0),IF($LB298=65%,VLOOKUP($JK298,'Jan-2026 rates'!$L:$R,4,0),IF($LB298=40%,VLOOKUP($JK298,'Jan-2026 rates'!$L:$R,5,0),IF($LB298=30%,VLOOKUP($JK298,'Jan-2026 rates'!$L:$R,6,0),IF($LB298=100%,VLOOKUP($JK298,'Jan-2026 rates'!$L:$R,7,0),IF($LB298=60%,VLOOKUP($JK298,'Jan-2026 rates'!$L:$S,8,0),IF($LB298=80%,VLOOKUP($JK298,'Jan-2026 rates'!L:T,9,0),0))))))))</f>
        <v>0</v>
      </c>
      <c r="JQ298" s="413"/>
      <c r="JR298" s="412"/>
      <c r="JS298" s="413"/>
      <c r="JT298" s="413"/>
      <c r="JU298" s="412"/>
      <c r="JV298" s="412"/>
      <c r="JW298" s="412"/>
      <c r="JX298" s="412"/>
      <c r="JY298" s="409"/>
      <c r="JZ298" s="398">
        <f>IF(JY298=0,0,IF(LEN(JQ298)=11,_xlfn.XLOOKUP(JQ298,'Dispensed Ink Rates'!C:C,'Dispensed Ink Rates'!CS:CS),VLOOKUP(JQ298,'Jan-2026 rates'!$E:$F,2,0)))</f>
        <v>0</v>
      </c>
      <c r="KA298" s="409"/>
      <c r="KB298" s="398">
        <f>IF(KA298=0,0,IF(LEN(JR298)=11,_xlfn.XLOOKUP(JR298,'Dispensed Ink Rates'!C:C,'Dispensed Ink Rates'!CS:CS),VLOOKUP(JR298,'Jan-2026 rates'!$E:$F,2,0)))</f>
        <v>0</v>
      </c>
      <c r="KC298" s="409"/>
      <c r="KD298" s="398">
        <f>IF(KC298=0,0,IF(LEN(JS298)=11,_xlfn.XLOOKUP(JS298,'Dispensed Ink Rates'!C:C,'Dispensed Ink Rates'!CS:CS),VLOOKUP(JS298,'Jan-2026 rates'!$E:$F,2,0)))</f>
        <v>0</v>
      </c>
      <c r="KE298" s="409"/>
      <c r="KF298" s="398">
        <f>IF(KE298=0,0,IF(LEN(JT298)=11,_xlfn.XLOOKUP(JT298,'Dispensed Ink Rates'!C:C,'Dispensed Ink Rates'!CS:CS),VLOOKUP(JT298,'Jan-2026 rates'!$E:$F,2,0)))</f>
        <v>0</v>
      </c>
      <c r="KG298" s="409"/>
      <c r="KH298" s="398">
        <f>IF(KG298=0,0,IF(LEN(JU298)=11,_xlfn.XLOOKUP(JU298,'Dispensed Ink Rates'!C:C,'Dispensed Ink Rates'!CS:CS),VLOOKUP(JU298,'Jan-2026 rates'!$E:$F,2,0)))</f>
        <v>0</v>
      </c>
      <c r="KI298" s="409"/>
      <c r="KJ298" s="398">
        <f>IF(KI298=0,0,IF(LEN(JV298)=11,_xlfn.XLOOKUP(JV298,'Dispensed Ink Rates'!C:C,'Dispensed Ink Rates'!CS:CS),VLOOKUP(JV298,'Jan-2026 rates'!$E:$F,2,0)))</f>
        <v>0</v>
      </c>
      <c r="KK298" s="409"/>
      <c r="KL298" s="398">
        <f>IF(KK298=0,0,IF(LEN(JW298)=11,_xlfn.XLOOKUP(JW298,'Dispensed Ink Rates'!C:C,'Dispensed Ink Rates'!CS:CS),VLOOKUP(JW298,'Jan-2026 rates'!$E:$F,2,0)))</f>
        <v>0</v>
      </c>
      <c r="KM298" s="428"/>
      <c r="KN298" s="398">
        <f>IF(KM298=0,0,IF(LEN(JX298)=11,_xlfn.XLOOKUP(JX298,'Dispensed Ink Rates'!C:C,'Dispensed Ink Rates'!CS:CS),VLOOKUP(JX298,'Jan-2026 rates'!$E:$F,2,0)))</f>
        <v>0</v>
      </c>
      <c r="KO298" s="409"/>
      <c r="KP298" s="409"/>
      <c r="KQ298" s="411">
        <f t="shared" si="233"/>
        <v>0</v>
      </c>
      <c r="KR298" s="411">
        <f t="shared" si="234"/>
        <v>0</v>
      </c>
      <c r="KS298" s="410">
        <f t="shared" si="235"/>
        <v>0</v>
      </c>
      <c r="KT298" s="409">
        <v>0</v>
      </c>
      <c r="KU298" s="409">
        <v>0</v>
      </c>
      <c r="KV298" s="409">
        <v>25</v>
      </c>
      <c r="KW298" s="409">
        <v>12</v>
      </c>
      <c r="KX298" s="409">
        <v>0</v>
      </c>
      <c r="KY298" s="409">
        <v>0</v>
      </c>
      <c r="KZ298" s="409">
        <v>0</v>
      </c>
      <c r="LA298" s="409">
        <v>0</v>
      </c>
      <c r="LB298" s="415">
        <v>0.3</v>
      </c>
      <c r="LC298" s="415"/>
      <c r="LD298" s="424"/>
      <c r="LE298" s="415">
        <v>0.5</v>
      </c>
      <c r="LF298" s="415">
        <v>0.2</v>
      </c>
      <c r="LG298" s="409">
        <v>0</v>
      </c>
      <c r="LH298" s="409">
        <f>37+28+21+35+14</f>
        <v>135</v>
      </c>
      <c r="LI298" s="409">
        <v>0</v>
      </c>
      <c r="LJ298" s="409">
        <v>0</v>
      </c>
      <c r="LK298" s="416">
        <f t="shared" si="191"/>
        <v>135</v>
      </c>
      <c r="LL298" s="416">
        <f t="shared" si="237"/>
        <v>135</v>
      </c>
      <c r="LM298" s="417">
        <f t="shared" si="193"/>
        <v>40.5</v>
      </c>
      <c r="LN298" s="417">
        <f>VLOOKUP($LM$8,'Jan-2026 rates'!$H:$I,2,0)</f>
        <v>0</v>
      </c>
      <c r="LO298" s="417">
        <f t="shared" si="194"/>
        <v>0</v>
      </c>
      <c r="LP298" s="417">
        <f>VLOOKUP($LO$8,'Jan-2026 rates'!$H:$I,2,0)</f>
        <v>0</v>
      </c>
      <c r="LQ298" s="417">
        <f t="shared" si="195"/>
        <v>0</v>
      </c>
      <c r="LR298" s="417">
        <f>VLOOKUP($LQ$8,'Jan-2026 rates'!$H:$I,2,0)</f>
        <v>0</v>
      </c>
      <c r="LS298" s="417">
        <f t="shared" si="196"/>
        <v>67.5</v>
      </c>
      <c r="LT298" s="417">
        <f>VLOOKUP($LS$8,'Jan-2026 rates'!$H:$I,2,0)</f>
        <v>0</v>
      </c>
      <c r="LU298" s="417">
        <f t="shared" si="197"/>
        <v>27</v>
      </c>
      <c r="LV298" s="417">
        <f>VLOOKUP($LU$8,'Jan-2026 rates'!$H:$I,2,0)</f>
        <v>0</v>
      </c>
      <c r="LW298" s="417">
        <f t="shared" si="198"/>
        <v>0</v>
      </c>
      <c r="LX298" s="417">
        <f t="shared" si="199"/>
        <v>0</v>
      </c>
      <c r="LY298" s="418">
        <f t="shared" si="200"/>
        <v>0</v>
      </c>
      <c r="LZ298" s="417"/>
      <c r="MA298" s="435">
        <f t="shared" si="201"/>
        <v>130</v>
      </c>
      <c r="MB298" s="282">
        <f t="shared" si="202"/>
        <v>301</v>
      </c>
      <c r="MC298" s="283" t="s">
        <v>2037</v>
      </c>
      <c r="MD298" s="284" t="str">
        <f t="shared" si="203"/>
        <v>ToyoLiToyoLiToyoLiToyoLi</v>
      </c>
      <c r="ME298" s="293" t="str">
        <f t="shared" si="204"/>
        <v>+</v>
      </c>
      <c r="MF298" s="293" t="str">
        <f t="shared" si="205"/>
        <v>+</v>
      </c>
      <c r="MG298" s="293" t="str">
        <f t="shared" si="206"/>
        <v>+</v>
      </c>
      <c r="MH298" s="293" t="str">
        <f t="shared" si="207"/>
        <v>+</v>
      </c>
      <c r="MI298" s="293" t="str">
        <f t="shared" si="208"/>
        <v>NIL</v>
      </c>
      <c r="MJ298" s="293" t="str">
        <f t="shared" si="209"/>
        <v>NIL</v>
      </c>
      <c r="MK298" s="293" t="str">
        <f t="shared" si="210"/>
        <v>NIL</v>
      </c>
      <c r="ML298" s="293" t="str">
        <f t="shared" si="211"/>
        <v>NIL</v>
      </c>
      <c r="MM298" s="3" t="b">
        <f t="array" ref="MM298">OR(ME298:ML298="-")</f>
        <v>0</v>
      </c>
      <c r="MO298" s="401">
        <f t="shared" si="238"/>
        <v>167.22222222222223</v>
      </c>
      <c r="MP298" s="286"/>
      <c r="MR298" s="402">
        <f t="shared" si="239"/>
        <v>2.9801980198019801E-2</v>
      </c>
      <c r="MS298" s="400">
        <f t="shared" si="240"/>
        <v>0</v>
      </c>
      <c r="MT298" s="285"/>
      <c r="NH298" s="361"/>
      <c r="NJ298" s="282"/>
    </row>
    <row r="299" spans="1:374" ht="16.5">
      <c r="A299" s="403">
        <v>46042</v>
      </c>
      <c r="B299" s="404" t="s">
        <v>1015</v>
      </c>
      <c r="C299" s="405" t="s">
        <v>4401</v>
      </c>
      <c r="D299" s="404" t="s">
        <v>2038</v>
      </c>
      <c r="E299" s="404">
        <v>133</v>
      </c>
      <c r="F299" s="407">
        <v>8400</v>
      </c>
      <c r="G299" s="407" t="s">
        <v>1016</v>
      </c>
      <c r="H299" s="408" t="s">
        <v>1017</v>
      </c>
      <c r="I299" s="409">
        <f>1.69+1.42</f>
        <v>3.11</v>
      </c>
      <c r="J299" s="405" t="s">
        <v>543</v>
      </c>
      <c r="K299" s="404" t="s">
        <v>4402</v>
      </c>
      <c r="L299" s="419" t="str">
        <f t="shared" si="184"/>
        <v>ToyoLi - BLACK</v>
      </c>
      <c r="M299" s="404">
        <v>28</v>
      </c>
      <c r="N299" s="410">
        <f>IF(M299=0,0,IF($LB299=70%,VLOOKUP($L299,'Jan-2026 rates'!$L:$R,4,0),IF($LB299=65%,VLOOKUP($L299,'Jan-2026 rates'!$L:$R,4,0),IF($LB299=40%,VLOOKUP($L299,'Jan-2026 rates'!$L:$R,5,0),IF($LB299=30%,VLOOKUP($L299,'Jan-2026 rates'!$L:$R,6,0),IF($LB299=100%,VLOOKUP($L299,'Jan-2026 rates'!$L:$R,7,0),IF($LB299=60%,VLOOKUP($L299,'Jan-2026 rates'!$L:$S,8,0),IF($LB299=80%,VLOOKUP($L299,'Jan-2026 rates'!L:T,9,0),0))))))))</f>
        <v>0</v>
      </c>
      <c r="O299" s="406" t="s">
        <v>4403</v>
      </c>
      <c r="P299" s="404">
        <v>17</v>
      </c>
      <c r="Q299" s="410">
        <f>IF(P299=0,0,IF($LB299=70%,VLOOKUP($L299,'Jan-2026 rates'!$L:$R,4,0),IF($LB299=65%,VLOOKUP($L299,'Jan-2026 rates'!$L:$R,4,0),IF($LB299=40%,VLOOKUP($L299,'Jan-2026 rates'!$L:$R,5,0),IF($LB299=30%,VLOOKUP($L299,'Jan-2026 rates'!$L:$R,6,0),IF($LB299=100%,VLOOKUP($L299,'Jan-2026 rates'!$L:$R,7,0),IF($LB299=60%,VLOOKUP($L299,'Jan-2026 rates'!$L:$S,8,0),IF($LB299=80%,VLOOKUP($L299,'Jan-2026 rates'!L:T,9,0),0))))))))</f>
        <v>0</v>
      </c>
      <c r="R299" s="406" t="s">
        <v>1250</v>
      </c>
      <c r="S299" s="406" t="s">
        <v>1247</v>
      </c>
      <c r="T299" s="406" t="s">
        <v>1252</v>
      </c>
      <c r="U299" s="406"/>
      <c r="V299" s="406"/>
      <c r="W299" s="406"/>
      <c r="X299" s="406"/>
      <c r="Y299" s="406"/>
      <c r="Z299" s="404">
        <v>4</v>
      </c>
      <c r="AA299" s="398">
        <f>IF(Z299=0,0,IF(LEN(R299)=11,_xlfn.XLOOKUP(R299,'Dispensed Ink Rates'!C:C,'Dispensed Ink Rates'!CS:CS),VLOOKUP(R299,'Jan-2026 rates'!$E:$F,2,0)))</f>
        <v>0</v>
      </c>
      <c r="AB299" s="404">
        <v>2</v>
      </c>
      <c r="AC299" s="398">
        <f>IF(AB299=0,0,IF(LEN(S299)=11,_xlfn.XLOOKUP(S299,'Dispensed Ink Rates'!C:C,'Dispensed Ink Rates'!CS:CS),VLOOKUP(S299,'Jan-2026 rates'!$E:$F,2,0)))</f>
        <v>0</v>
      </c>
      <c r="AD299" s="404">
        <v>4</v>
      </c>
      <c r="AE299" s="398">
        <f>IF(AD299=0,0,IF(LEN(T299)=11,_xlfn.XLOOKUP(T299,'Dispensed Ink Rates'!C:C,'Dispensed Ink Rates'!CS:CS),VLOOKUP(T299,'Jan-2026 rates'!$E:$F,2,0)))</f>
        <v>0</v>
      </c>
      <c r="AF299" s="404"/>
      <c r="AG299" s="398">
        <f>IF(AF299=0,0,IF(LEN(U299)=11,_xlfn.XLOOKUP(U299,'Dispensed Ink Rates'!C:C,'Dispensed Ink Rates'!CS:CS),VLOOKUP(U299,'Jan-2026 rates'!$E:$F,2,0)))</f>
        <v>0</v>
      </c>
      <c r="AH299" s="404"/>
      <c r="AI299" s="398">
        <f>IF(AH299=0,0,IF(LEN(V299)=11,_xlfn.XLOOKUP(V299,'Dispensed Ink Rates'!C:C,'Dispensed Ink Rates'!CS:CS),VLOOKUP(V299,'Jan-2026 rates'!$E:$F,2,0)))</f>
        <v>0</v>
      </c>
      <c r="AJ299" s="404"/>
      <c r="AK299" s="398">
        <f>IF(AJ299=0,0,IF(LEN(W299)=11,_xlfn.XLOOKUP(W299,'Dispensed Ink Rates'!C:C,'Dispensed Ink Rates'!CS:CS),VLOOKUP(W299,'Jan-2026 rates'!$E:$F,2,0)))</f>
        <v>0</v>
      </c>
      <c r="AL299" s="404"/>
      <c r="AM299" s="398">
        <f>IF(AL299=0,0,IF(LEN(X299)=11,_xlfn.XLOOKUP(X299,'Dispensed Ink Rates'!C:C,'Dispensed Ink Rates'!CS:CS),VLOOKUP(X299,'Jan-2026 rates'!$E:$F,2,0)))</f>
        <v>0</v>
      </c>
      <c r="AN299" s="404"/>
      <c r="AO299" s="398">
        <f>IF(AN299=0,0,IF(LEN(Y299)=11,_xlfn.XLOOKUP(Y299,'Dispensed Ink Rates'!C:C,'Dispensed Ink Rates'!CS:CS),VLOOKUP(Y299,'Jan-2026 rates'!$E:$F,2,0)))</f>
        <v>0</v>
      </c>
      <c r="AP299" s="409" t="s">
        <v>1881</v>
      </c>
      <c r="AQ299" s="409">
        <v>40</v>
      </c>
      <c r="AR299" s="410">
        <f t="shared" si="212"/>
        <v>0</v>
      </c>
      <c r="AS299" s="411">
        <f t="shared" si="213"/>
        <v>22.5</v>
      </c>
      <c r="AT299" s="410">
        <f t="shared" si="214"/>
        <v>0</v>
      </c>
      <c r="AU299" s="405" t="s">
        <v>546</v>
      </c>
      <c r="AV299" s="409" t="s">
        <v>3581</v>
      </c>
      <c r="AW299" s="420" t="str">
        <f t="shared" si="236"/>
        <v>ToyoLi - REFLEX BLUE</v>
      </c>
      <c r="AX299" s="409">
        <v>16</v>
      </c>
      <c r="AY299" s="411">
        <f>IF(AX299=0,0,IF($LB299=70%,VLOOKUP($AW299,'Jan-2026 rates'!$L:$R,4,0),IF($LB299=65%,VLOOKUP($AW299,'Jan-2026 rates'!$L:$R,4,0),IF($LB299=40%,VLOOKUP($AW299,'Jan-2026 rates'!$L:$R,5,0),IF($LB299=30%,VLOOKUP($AW299,'Jan-2026 rates'!$L:$R,6,0),IF($LB299=100%,VLOOKUP($AW299,'Jan-2026 rates'!$L:$R,7,0),IF($LB299=60%,VLOOKUP($AW299,'Jan-2026 rates'!$L:$S,8,0),IF($LB299=80%,VLOOKUP($AW299,'Jan-2026 rates'!L:T,9,0),0))))))))</f>
        <v>0</v>
      </c>
      <c r="AZ299" s="412"/>
      <c r="BA299" s="409"/>
      <c r="BB299" s="411">
        <f>IF(BA299=0,0,IF($LB299=70%,VLOOKUP($AW299,'Jan-2026 rates'!$L:$R,4,0),IF($LB299=65%,VLOOKUP($AW299,'Jan-2026 rates'!$L:$R,4,0),IF($LB299=40%,VLOOKUP($AW299,'Jan-2026 rates'!$L:$R,5,0),IF($LB299=30%,VLOOKUP($AW299,'Jan-2026 rates'!$L:$R,6,0),IF($LB299=100%,VLOOKUP($AW299,'Jan-2026 rates'!$L:$R,7,0),IF($LB299=60%,VLOOKUP($AW299,'Jan-2026 rates'!$L:$S,8,0),IF($LB299=80%,VLOOKUP($AW299,'Jan-2026 rates'!L:T,9,0),0))))))))</f>
        <v>0</v>
      </c>
      <c r="BC299" s="413" t="s">
        <v>1246</v>
      </c>
      <c r="BD299" s="412" t="s">
        <v>1921</v>
      </c>
      <c r="BE299" s="412"/>
      <c r="BF299" s="413"/>
      <c r="BG299" s="412"/>
      <c r="BH299" s="412"/>
      <c r="BI299" s="412"/>
      <c r="BJ299" s="412"/>
      <c r="BK299" s="409">
        <v>1</v>
      </c>
      <c r="BL299" s="398">
        <f>IF(BK299=0,0,IF(LEN(BC299)=11,_xlfn.XLOOKUP(BC299,'Dispensed Ink Rates'!C:C,'Dispensed Ink Rates'!CS:CS),VLOOKUP(BC299,'Jan-2026 rates'!$E:$F,2,0)))</f>
        <v>0</v>
      </c>
      <c r="BM299" s="409">
        <v>5</v>
      </c>
      <c r="BN299" s="398">
        <f>IF(BM299=0,0,IF(LEN(BD299)=11,_xlfn.XLOOKUP(BD299,'Dispensed Ink Rates'!C:C,'Dispensed Ink Rates'!CS:CS),VLOOKUP(BD299,'Jan-2026 rates'!$E:$F,2,0)))</f>
        <v>0</v>
      </c>
      <c r="BO299" s="409"/>
      <c r="BP299" s="398">
        <f>IF(BO299=0,0,IF(LEN(BE299)=11,_xlfn.XLOOKUP(BE299,'Dispensed Ink Rates'!C:C,'Dispensed Ink Rates'!CS:CS),VLOOKUP(BE299,'Jan-2026 rates'!$E:$F,2,0)))</f>
        <v>0</v>
      </c>
      <c r="BQ299" s="409"/>
      <c r="BR299" s="398">
        <f>IF(BQ299=0,0,IF(LEN(BF299)=11,_xlfn.XLOOKUP(BF299,'Dispensed Ink Rates'!C:C,'Dispensed Ink Rates'!CS:CS),VLOOKUP(BF299,'Jan-2026 rates'!$E:$F,2,0)))</f>
        <v>0</v>
      </c>
      <c r="BS299" s="409"/>
      <c r="BT299" s="398">
        <f>IF(BS299=0,0,IF(LEN(BG299)=11,_xlfn.XLOOKUP(BG299,'Dispensed Ink Rates'!C:C,'Dispensed Ink Rates'!CS:CS),VLOOKUP(BG299,'Jan-2026 rates'!$E:$F,2,0)))</f>
        <v>0</v>
      </c>
      <c r="BU299" s="409"/>
      <c r="BV299" s="398">
        <f>IF(BU299=0,0,IF(LEN(BH299)=11,_xlfn.XLOOKUP(BH299,'Dispensed Ink Rates'!C:C,'Dispensed Ink Rates'!CS:CS),VLOOKUP(BH299,'Jan-2026 rates'!$E:$F,2,0)))</f>
        <v>0</v>
      </c>
      <c r="BW299" s="409"/>
      <c r="BX299" s="398">
        <f>IF(BW299=0,0,IF(LEN(BI299)=11,_xlfn.XLOOKUP(BI299,'Dispensed Ink Rates'!C:C,'Dispensed Ink Rates'!CS:CS),VLOOKUP(BI299,'Jan-2026 rates'!$E:$F,2,0)))</f>
        <v>0</v>
      </c>
      <c r="BY299" s="409"/>
      <c r="BZ299" s="398">
        <f>IF(BY299=0,0,IF(LEN(BJ299)=11,_xlfn.XLOOKUP(BJ299,'Dispensed Ink Rates'!C:C,'Dispensed Ink Rates'!CS:CS),VLOOKUP(BJ299,'Jan-2026 rates'!$E:$F,2,0)))</f>
        <v>0</v>
      </c>
      <c r="CA299" s="409" t="s">
        <v>1881</v>
      </c>
      <c r="CB299" s="409">
        <f>15+16</f>
        <v>31</v>
      </c>
      <c r="CC299" s="411">
        <f t="shared" si="215"/>
        <v>0</v>
      </c>
      <c r="CD299" s="411">
        <f t="shared" si="216"/>
        <v>3.5</v>
      </c>
      <c r="CE299" s="410">
        <f t="shared" si="217"/>
        <v>0</v>
      </c>
      <c r="CF299" s="404" t="s">
        <v>548</v>
      </c>
      <c r="CG299" s="409" t="s">
        <v>2731</v>
      </c>
      <c r="CH299" s="420" t="str">
        <f t="shared" si="185"/>
        <v>ToyoLi - GOLD</v>
      </c>
      <c r="CI299" s="409">
        <v>20</v>
      </c>
      <c r="CJ299" s="411">
        <f>IF(CI299=0,0,IF($LB299=70%,VLOOKUP($CH299,'Jan-2026 rates'!$L:$R,4,0),IF($LB299=65%,VLOOKUP($CH299,'Jan-2026 rates'!$L:$R,4,0),IF($LB299=40%,VLOOKUP($CH299,'Jan-2026 rates'!$L:$R,5,0),IF($LB299=30%,VLOOKUP($CH299,'Jan-2026 rates'!$L:$R,6,0),IF($LB299=100%,VLOOKUP($CH299,'Jan-2026 rates'!$L:$R,7,0),IF($LB299=60%,VLOOKUP($CH299,'Jan-2026 rates'!$L:$S,8,0),IF($LB299=80%,VLOOKUP($CH299,'Jan-2026 rates'!L:T,9,0),0))))))))</f>
        <v>0</v>
      </c>
      <c r="CK299" s="412"/>
      <c r="CL299" s="409"/>
      <c r="CM299" s="411">
        <f>IF(CL299=0,0,IF($LB299=70%,VLOOKUP($CH299,'Jan-2026 rates'!$L:$R,4,0),IF($LB299=65%,VLOOKUP($CH299,'Jan-2026 rates'!$L:$R,4,0),IF($LB299=40%,VLOOKUP($CH299,'Jan-2026 rates'!$L:$R,5,0),IF($LB299=30%,VLOOKUP($CH299,'Jan-2026 rates'!$L:$R,6,0),IF($LB299=100%,VLOOKUP($CH299,'Jan-2026 rates'!$L:$R,7,0),IF($LB299=60%,VLOOKUP($CH299,'Jan-2026 rates'!$L:$S,8,0),IF($LB299=80%,VLOOKUP($CH299,'Jan-2026 rates'!L:T,9,0),0))))))))</f>
        <v>0</v>
      </c>
      <c r="CN299" s="426" t="s">
        <v>1891</v>
      </c>
      <c r="CO299" s="427"/>
      <c r="CP299" s="426"/>
      <c r="CQ299" s="426"/>
      <c r="CR299" s="428"/>
      <c r="CS299" s="428"/>
      <c r="CT299" s="428"/>
      <c r="CU299" s="428"/>
      <c r="CV299" s="409">
        <v>6</v>
      </c>
      <c r="CW299" s="398">
        <f>IF(CV299=0,0,IF(LEN(CN299)=11,_xlfn.XLOOKUP(CN299,'Dispensed Ink Rates'!C:C,'Dispensed Ink Rates'!CS:CS),VLOOKUP(CN299,'Jan-2026 rates'!$E:$F,2,0)))</f>
        <v>0</v>
      </c>
      <c r="CX299" s="409"/>
      <c r="CY299" s="398">
        <f>IF(CX299=0,0,IF(LEN(CO299)=11,_xlfn.XLOOKUP(CO299,'Dispensed Ink Rates'!C:C,'Dispensed Ink Rates'!CS:CS),VLOOKUP(CO299,'Jan-2026 rates'!$E:$F,2,0)))</f>
        <v>0</v>
      </c>
      <c r="CZ299" s="409"/>
      <c r="DA299" s="398">
        <f>IF(CZ299=0,0,IF(LEN(CP299)=11,_xlfn.XLOOKUP(CP299,'Dispensed Ink Rates'!C:C,'Dispensed Ink Rates'!CS:CS),VLOOKUP(CP299,'Jan-2026 rates'!$E:$F,2,0)))</f>
        <v>0</v>
      </c>
      <c r="DB299" s="409"/>
      <c r="DC299" s="398">
        <f>IF(DB299=0,0,IF(LEN(CQ299)=11,_xlfn.XLOOKUP(CQ299,'Dispensed Ink Rates'!C:C,'Dispensed Ink Rates'!CS:CS),VLOOKUP(CQ299,'Jan-2026 rates'!$E:$F,2,0)))</f>
        <v>0</v>
      </c>
      <c r="DD299" s="409"/>
      <c r="DE299" s="398">
        <f>IF(DD299=0,0,IF(LEN(CR299)=11,_xlfn.XLOOKUP(CR299,'Dispensed Ink Rates'!C:C,'Dispensed Ink Rates'!CS:CS),VLOOKUP(CR299,'Jan-2026 rates'!$E:$F,2,0)))</f>
        <v>0</v>
      </c>
      <c r="DF299" s="409"/>
      <c r="DG299" s="398">
        <f>IF(DF299=0,0,IF(LEN(CS299)=11,_xlfn.XLOOKUP(CS299,'Dispensed Ink Rates'!C:C,'Dispensed Ink Rates'!CS:CS),VLOOKUP(CS299,'Jan-2026 rates'!$E:$F,2,0)))</f>
        <v>0</v>
      </c>
      <c r="DH299" s="409"/>
      <c r="DI299" s="398">
        <f>IF(DH299=0,0,IF(LEN(CT299)=11,_xlfn.XLOOKUP(CT299,'Dispensed Ink Rates'!C:C,'Dispensed Ink Rates'!CS:CS),VLOOKUP(CT299,'Jan-2026 rates'!$E:$F,2,0)))</f>
        <v>0</v>
      </c>
      <c r="DJ299" s="409"/>
      <c r="DK299" s="398">
        <f>IF(DJ299=0,0,IF(LEN(CU299)=11,_xlfn.XLOOKUP(CU299,'Dispensed Ink Rates'!C:C,'Dispensed Ink Rates'!CS:CS),VLOOKUP(CU299,'Jan-2026 rates'!$E:$F,2,0)))</f>
        <v>0</v>
      </c>
      <c r="DL299" s="409" t="s">
        <v>1881</v>
      </c>
      <c r="DM299" s="409">
        <v>26</v>
      </c>
      <c r="DN299" s="411">
        <f t="shared" si="218"/>
        <v>0</v>
      </c>
      <c r="DO299" s="411">
        <f t="shared" si="219"/>
        <v>7.5</v>
      </c>
      <c r="DP299" s="410">
        <f t="shared" si="220"/>
        <v>0</v>
      </c>
      <c r="DQ299" s="405" t="s">
        <v>1920</v>
      </c>
      <c r="DR299" s="409" t="s">
        <v>4404</v>
      </c>
      <c r="DS299" s="420" t="str">
        <f t="shared" si="186"/>
        <v>ToyoLi - SILVER</v>
      </c>
      <c r="DT299" s="409">
        <f>10+18</f>
        <v>28</v>
      </c>
      <c r="DU299" s="411">
        <f>IF(DT299=0,0,IF($LB299=70%,VLOOKUP($DS299,'Jan-2026 rates'!$L:$R,4,0),IF($LB299=65%,VLOOKUP($DS299,'Jan-2026 rates'!$L:$R,4,0),IF($LB299=40%,VLOOKUP($DS299,'Jan-2026 rates'!$L:$R,5,0),IF($LB299=30%,VLOOKUP($DS299,'Jan-2026 rates'!$L:$R,6,0),IF($LB299=100%,VLOOKUP($DS299,'Jan-2026 rates'!$L:$R,7,0),IF($LB299=60%,VLOOKUP($DS299,'Jan-2026 rates'!$L:$S,8,0),IF($LB299=80%,VLOOKUP($DS299,'Jan-2026 rates'!L:T,9,0),0))))))))</f>
        <v>0</v>
      </c>
      <c r="DV299" s="412"/>
      <c r="DW299" s="409"/>
      <c r="DX299" s="411">
        <f>IF(DW299=0,0,IF($LB299=70%,VLOOKUP($DS299,'Jan-2026 rates'!$L:$R,4,0),IF($LB299=65%,VLOOKUP($DS299,'Jan-2026 rates'!$L:$R,4,0),IF($LB299=40%,VLOOKUP($DS299,'Jan-2026 rates'!$L:$R,5,0),IF($LB299=30%,VLOOKUP($DS299,'Jan-2026 rates'!$L:$R,6,0),IF($LB299=100%,VLOOKUP($DS299,'Jan-2026 rates'!$L:$R,7,0),IF($LB299=60%,VLOOKUP($DS299,'Jan-2026 rates'!$L:$S,8,0),IF($LB299=80%,VLOOKUP($DS299,'Jan-2026 rates'!L:T,9,0),0))))))))</f>
        <v>0</v>
      </c>
      <c r="DY299" s="413"/>
      <c r="DZ299" s="413"/>
      <c r="EA299" s="412"/>
      <c r="EB299" s="412"/>
      <c r="EC299" s="412"/>
      <c r="ED299" s="412"/>
      <c r="EE299" s="412"/>
      <c r="EF299" s="412"/>
      <c r="EG299" s="409"/>
      <c r="EH299" s="398">
        <f>IF(EG299=0,0,IF(LEN(DY299)=11,_xlfn.XLOOKUP(DY299,'Dispensed Ink Rates'!C:C,'Dispensed Ink Rates'!CS:CS),VLOOKUP(DY299,'Jan-2026 rates'!$E:$F,2,0)))</f>
        <v>0</v>
      </c>
      <c r="EI299" s="409"/>
      <c r="EJ299" s="398">
        <f>IF(EI299=0,0,IF(LEN(DZ299)=11,_xlfn.XLOOKUP(DZ299,'Dispensed Ink Rates'!C:C,'Dispensed Ink Rates'!CS:CS),VLOOKUP(DZ299,'Jan-2026 rates'!$E:$F,2,0)))</f>
        <v>0</v>
      </c>
      <c r="EK299" s="409"/>
      <c r="EL299" s="398">
        <f>IF(EK299=0,0,IF(LEN(EA299)=11,_xlfn.XLOOKUP(EA299,'Dispensed Ink Rates'!C:C,'Dispensed Ink Rates'!CS:CS),VLOOKUP(EA299,'Jan-2026 rates'!$E:$F,2,0)))</f>
        <v>0</v>
      </c>
      <c r="EM299" s="409"/>
      <c r="EN299" s="398">
        <f>IF(EM299=0,0,IF(LEN(EB299)=11,_xlfn.XLOOKUP(EB299,'Dispensed Ink Rates'!C:C,'Dispensed Ink Rates'!CS:CS),VLOOKUP(EB299,'Jan-2026 rates'!$E:$F,2,0)))</f>
        <v>0</v>
      </c>
      <c r="EO299" s="409"/>
      <c r="EP299" s="398">
        <f>IF(EO299=0,0,IF(LEN(EC299)=11,_xlfn.XLOOKUP(EC299,'Dispensed Ink Rates'!C:C,'Dispensed Ink Rates'!CS:CS),VLOOKUP(EC299,'Jan-2026 rates'!$E:$F,2,0)))</f>
        <v>0</v>
      </c>
      <c r="EQ299" s="409"/>
      <c r="ER299" s="398">
        <f>IF(EQ299=0,0,IF(LEN(ED299)=11,_xlfn.XLOOKUP(ED299,'Dispensed Ink Rates'!C:C,'Dispensed Ink Rates'!CS:CS),VLOOKUP(ED299,'Jan-2026 rates'!$E:$F,2,0)))</f>
        <v>0</v>
      </c>
      <c r="ES299" s="409"/>
      <c r="ET299" s="398">
        <f>IF(ES299=0,0,IF(LEN(EE299)=11,_xlfn.XLOOKUP(EE299,'Dispensed Ink Rates'!C:C,'Dispensed Ink Rates'!CS:CS),VLOOKUP(EE299,'Jan-2026 rates'!$E:$F,2,0)))</f>
        <v>0</v>
      </c>
      <c r="EU299" s="409"/>
      <c r="EV299" s="398">
        <f>IF(EU299=0,0,IF(LEN(EF299)=11,_xlfn.XLOOKUP(EF299,'Dispensed Ink Rates'!C:C,'Dispensed Ink Rates'!CS:CS),VLOOKUP(EF299,'Jan-2026 rates'!$E:$F,2,0)))</f>
        <v>0</v>
      </c>
      <c r="EW299" s="409" t="s">
        <v>1881</v>
      </c>
      <c r="EX299" s="409">
        <v>26</v>
      </c>
      <c r="EY299" s="411">
        <f t="shared" si="221"/>
        <v>0</v>
      </c>
      <c r="EZ299" s="411">
        <f t="shared" si="222"/>
        <v>7</v>
      </c>
      <c r="FA299" s="410">
        <f t="shared" si="223"/>
        <v>0</v>
      </c>
      <c r="FB299" s="405" t="s">
        <v>547</v>
      </c>
      <c r="FC299" s="409" t="s">
        <v>4405</v>
      </c>
      <c r="FD299" s="420" t="str">
        <f t="shared" si="187"/>
        <v>ToyoLi - GREEN</v>
      </c>
      <c r="FE299" s="409">
        <v>16</v>
      </c>
      <c r="FF299" s="411">
        <f>IF(FE299=0,0,IF($LB299=70%,VLOOKUP($FD299,'Jan-2026 rates'!$L:$R,4,0),IF($LB299=65%,VLOOKUP($FD299,'Jan-2026 rates'!$L:$R,4,0),IF($LB299=40%,VLOOKUP($FD299,'Jan-2026 rates'!$L:$R,5,0),IF($LB299=30%,VLOOKUP($FD299,'Jan-2026 rates'!$L:$R,6,0),IF($LB299=100%,VLOOKUP($FD299,'Jan-2026 rates'!$L:$R,7,0),IF($LB299=60%,VLOOKUP($FD299,'Jan-2026 rates'!$L:$S,8,0),IF($LB299=80%,VLOOKUP($FD299,'Jan-2026 rates'!L:T,9,0),0))))))))</f>
        <v>0</v>
      </c>
      <c r="FG299" s="412" t="s">
        <v>4406</v>
      </c>
      <c r="FH299" s="409">
        <v>12</v>
      </c>
      <c r="FI299" s="411">
        <f>IF(FH299=0,0,IF($LB299=70%,VLOOKUP($FD299,'Jan-2026 rates'!$L:$R,4,0),IF($LB299=65%,VLOOKUP($FD299,'Jan-2026 rates'!$L:$R,4,0),IF($LB299=40%,VLOOKUP($FD299,'Jan-2026 rates'!$L:$R,5,0),IF($LB299=30%,VLOOKUP($FD299,'Jan-2026 rates'!$L:$R,6,0),IF($LB299=100%,VLOOKUP($FD299,'Jan-2026 rates'!$L:$R,7,0),IF($LB299=60%,VLOOKUP($FD299,'Jan-2026 rates'!$L:$S,8,0),IF($LB299=80%,VLOOKUP($FD299,'Jan-2026 rates'!L:T,9,0),0))))))))</f>
        <v>0</v>
      </c>
      <c r="FJ299" s="413" t="s">
        <v>1247</v>
      </c>
      <c r="FK299" s="413" t="s">
        <v>1250</v>
      </c>
      <c r="FL299" s="413"/>
      <c r="FM299" s="412"/>
      <c r="FN299" s="412"/>
      <c r="FO299" s="412"/>
      <c r="FP299" s="412"/>
      <c r="FQ299" s="412"/>
      <c r="FR299" s="409">
        <v>3</v>
      </c>
      <c r="FS299" s="398">
        <f>IF(FR299=0,0,IF(LEN(FJ299)=11,_xlfn.XLOOKUP(FJ299,'Dispensed Ink Rates'!C:C,'Dispensed Ink Rates'!CS:CS),VLOOKUP(FJ299,'Jan-2026 rates'!$E:$F,2,0)))</f>
        <v>0</v>
      </c>
      <c r="FT299" s="409">
        <v>2</v>
      </c>
      <c r="FU299" s="398">
        <f>IF(FT299=0,0,IF(LEN(FK299)=11,_xlfn.XLOOKUP(FK299,'Dispensed Ink Rates'!C:C,'Dispensed Ink Rates'!CS:CS),VLOOKUP(FK299,'Jan-2026 rates'!$E:$F,2,0)))</f>
        <v>0</v>
      </c>
      <c r="FV299" s="409"/>
      <c r="FW299" s="398">
        <f>IF(FV299=0,0,IF(LEN(FL299)=11,_xlfn.XLOOKUP(FL299,'Dispensed Ink Rates'!C:C,'Dispensed Ink Rates'!CS:CS),VLOOKUP(FL299,'Jan-2026 rates'!$E:$F,2,0)))</f>
        <v>0</v>
      </c>
      <c r="FX299" s="409"/>
      <c r="FY299" s="398">
        <f>IF(FX299=0,0,IF(LEN(FM299)=11,_xlfn.XLOOKUP(FM299,'Dispensed Ink Rates'!C:C,'Dispensed Ink Rates'!CS:CS),VLOOKUP(FM299,'Jan-2026 rates'!$E:$F,2,0)))</f>
        <v>0</v>
      </c>
      <c r="FZ299" s="409"/>
      <c r="GA299" s="398">
        <f>IF(FZ299=0,0,IF(LEN(FN299)=11,_xlfn.XLOOKUP(FN299,'Dispensed Ink Rates'!C:C,'Dispensed Ink Rates'!CS:CS),VLOOKUP(FN299,'Jan-2026 rates'!$E:$F,2,0)))</f>
        <v>0</v>
      </c>
      <c r="GB299" s="409"/>
      <c r="GC299" s="398">
        <f>IF(GB299=0,0,IF(LEN(FO299)=11,_xlfn.XLOOKUP(FO299,'Dispensed Ink Rates'!C:C,'Dispensed Ink Rates'!CS:CS),VLOOKUP(FO299,'Jan-2026 rates'!$E:$F,2,0)))</f>
        <v>0</v>
      </c>
      <c r="GD299" s="409"/>
      <c r="GE299" s="398">
        <f>IF(GD299=0,0,IF(LEN(FP299)=11,_xlfn.XLOOKUP(FP299,'Dispensed Ink Rates'!C:C,'Dispensed Ink Rates'!CS:CS),VLOOKUP(FP299,'Jan-2026 rates'!$E:$F,2,0)))</f>
        <v>0</v>
      </c>
      <c r="GF299" s="409"/>
      <c r="GG299" s="398">
        <f>IF(GF299=0,0,IF(LEN(FQ299)=11,_xlfn.XLOOKUP(FQ299,'Dispensed Ink Rates'!C:C,'Dispensed Ink Rates'!CS:CS),VLOOKUP(FQ299,'Jan-2026 rates'!$E:$F,2,0)))</f>
        <v>0</v>
      </c>
      <c r="GH299" s="409" t="s">
        <v>1881</v>
      </c>
      <c r="GI299" s="409">
        <v>20</v>
      </c>
      <c r="GJ299" s="411">
        <f t="shared" si="224"/>
        <v>0</v>
      </c>
      <c r="GK299" s="411">
        <f t="shared" si="225"/>
        <v>18</v>
      </c>
      <c r="GL299" s="410">
        <f t="shared" si="226"/>
        <v>0</v>
      </c>
      <c r="GM299" s="405" t="s">
        <v>857</v>
      </c>
      <c r="GN299" s="409" t="s">
        <v>4407</v>
      </c>
      <c r="GO299" s="420" t="str">
        <f t="shared" si="188"/>
        <v>ToyoLi - RED</v>
      </c>
      <c r="GP299" s="409">
        <v>25</v>
      </c>
      <c r="GQ299" s="411">
        <f>IF(GP299=0,0,IF($LB299=70%,VLOOKUP($GO299,'Jan-2026 rates'!$L:$R,4,0),IF($LB299=65%,VLOOKUP($GO299,'Jan-2026 rates'!$L:$R,4,0),IF($LB299=40%,VLOOKUP($GO299,'Jan-2026 rates'!$L:$R,5,0),IF($LB299=30%,VLOOKUP($GO299,'Jan-2026 rates'!$L:$R,6,0),IF($LB299=100%,VLOOKUP($GO299,'Jan-2026 rates'!$L:$R,7,0),IF($LB299=60%,VLOOKUP($GO299,'Jan-2026 rates'!$L:$S,8,0),IF($LB299=80%,VLOOKUP($GO299,'Jan-2026 rates'!L:T,9,0),0))))))))</f>
        <v>0</v>
      </c>
      <c r="GR299" s="412"/>
      <c r="GS299" s="409"/>
      <c r="GT299" s="411">
        <f>IF(GS299=0,0,IF($LB299=70%,VLOOKUP($GO299,'Jan-2026 rates'!$L:$R,4,0),IF($LB299=65%,VLOOKUP($GO299,'Jan-2026 rates'!$L:$R,4,0),IF($LB299=40%,VLOOKUP($GO299,'Jan-2026 rates'!$L:$R,5,0),IF($LB299=30%,VLOOKUP($GO299,'Jan-2026 rates'!$L:$R,6,0),IF($LB299=100%,VLOOKUP($GO299,'Jan-2026 rates'!$L:$R,7,0),IF($LB299=60%,VLOOKUP($GO299,'Jan-2026 rates'!$L:$S,8,0),IF($LB299=80%,VLOOKUP($GO299,'Jan-2026 rates'!L:T,9,0),0))))))))</f>
        <v>0</v>
      </c>
      <c r="GU299" s="413" t="s">
        <v>1246</v>
      </c>
      <c r="GV299" s="413"/>
      <c r="GW299" s="412"/>
      <c r="GX299" s="412"/>
      <c r="GY299" s="412"/>
      <c r="GZ299" s="412"/>
      <c r="HA299" s="412"/>
      <c r="HB299" s="412"/>
      <c r="HC299" s="409">
        <v>3</v>
      </c>
      <c r="HD299" s="398">
        <f>IF(HC299=0,0,IF(LEN(GU299)=11,_xlfn.XLOOKUP(GU299,'Dispensed Ink Rates'!C:C,'Dispensed Ink Rates'!CS:CS),VLOOKUP(GU299,'Jan-2026 rates'!$E:$F,2,0)))</f>
        <v>0</v>
      </c>
      <c r="HE299" s="409"/>
      <c r="HF299" s="398">
        <f>IF(HE299=0,0,IF(LEN(GV299)=11,_xlfn.XLOOKUP(GV299,'Dispensed Ink Rates'!C:C,'Dispensed Ink Rates'!CS:CS),VLOOKUP(GV299,'Jan-2026 rates'!$E:$F,2,0)))</f>
        <v>0</v>
      </c>
      <c r="HG299" s="409"/>
      <c r="HH299" s="398">
        <f>IF(HG299=0,0,IF(LEN(GW299)=11,_xlfn.XLOOKUP(GW299,'Dispensed Ink Rates'!C:C,'Dispensed Ink Rates'!CS:CS),VLOOKUP(GW299,'Jan-2026 rates'!$E:$F,2,0)))</f>
        <v>0</v>
      </c>
      <c r="HI299" s="409"/>
      <c r="HJ299" s="398">
        <f>IF(HI299=0,0,IF(LEN(GX299)=11,_xlfn.XLOOKUP(GX299,'Dispensed Ink Rates'!C:C,'Dispensed Ink Rates'!CS:CS),VLOOKUP(GX299,'Jan-2026 rates'!$E:$F,2,0)))</f>
        <v>0</v>
      </c>
      <c r="HK299" s="409"/>
      <c r="HL299" s="398">
        <f>IF(HK299=0,0,IF(LEN(GY299)=11,_xlfn.XLOOKUP(GY299,'Dispensed Ink Rates'!C:C,'Dispensed Ink Rates'!CS:CS),VLOOKUP(GY299,'Jan-2026 rates'!$E:$F,2,0)))</f>
        <v>0</v>
      </c>
      <c r="HM299" s="409"/>
      <c r="HN299" s="398">
        <f>IF(HM299=0,0,IF(LEN(GZ299)=11,_xlfn.XLOOKUP(GZ299,'Dispensed Ink Rates'!C:C,'Dispensed Ink Rates'!CS:CS),VLOOKUP(GZ299,'Jan-2026 rates'!$E:$F,2,0)))</f>
        <v>0</v>
      </c>
      <c r="HO299" s="409"/>
      <c r="HP299" s="398">
        <f>IF(HO299=0,0,IF(LEN(HA299)=11,_xlfn.XLOOKUP(HA299,'Dispensed Ink Rates'!C:C,'Dispensed Ink Rates'!CS:CS),VLOOKUP(HA299,'Jan-2026 rates'!$E:$F,2,0)))</f>
        <v>0</v>
      </c>
      <c r="HQ299" s="409"/>
      <c r="HR299" s="398">
        <f>IF(HQ299=0,0,IF(LEN(HB299)=11,_xlfn.XLOOKUP(HB299,'Dispensed Ink Rates'!C:C,'Dispensed Ink Rates'!CS:CS),VLOOKUP(HB299,'Jan-2026 rates'!$E:$F,2,0)))</f>
        <v>0</v>
      </c>
      <c r="HS299" s="409" t="s">
        <v>1881</v>
      </c>
      <c r="HT299" s="409">
        <v>26</v>
      </c>
      <c r="HU299" s="411">
        <f t="shared" si="227"/>
        <v>0</v>
      </c>
      <c r="HV299" s="411">
        <f t="shared" si="228"/>
        <v>7</v>
      </c>
      <c r="HW299" s="414">
        <f t="shared" si="229"/>
        <v>0</v>
      </c>
      <c r="HX299" s="405" t="s">
        <v>856</v>
      </c>
      <c r="HY299" s="409" t="s">
        <v>4408</v>
      </c>
      <c r="HZ299" s="420" t="str">
        <f t="shared" si="189"/>
        <v>ToyoLi - WHITE</v>
      </c>
      <c r="IA299" s="409">
        <v>30</v>
      </c>
      <c r="IB299" s="411">
        <f>IF(IA299=0,0,IF($LB299=70%,VLOOKUP($HZ299,'Jan-2026 rates'!$L:$R,4,0),IF($LB299=65%,VLOOKUP($HZ299,'Jan-2026 rates'!$L:$R,4,0),IF($LB299=40%,VLOOKUP($HZ299,'Jan-2026 rates'!$L:$R,5,0),IF($LB299=30%,VLOOKUP($HZ299,'Jan-2026 rates'!$L:$R,6,0),IF($LB299=100%,VLOOKUP($HZ299,'Jan-2026 rates'!$L:$R,7,0),IF($LB299=60%,VLOOKUP($HZ299,'Jan-2026 rates'!$L:$S,8,0),IF($LB299=80%,VLOOKUP($HZ299,'Jan-2026 rates'!L:T,9,0),0))))))))</f>
        <v>0</v>
      </c>
      <c r="IC299" s="412"/>
      <c r="ID299" s="409"/>
      <c r="IE299" s="411">
        <f>IF(ID299=0,0,IF($LB299=70%,VLOOKUP($HZ299,'Jan-2026 rates'!$L:$R,4,0),IF($LB299=65%,VLOOKUP($HZ299,'Jan-2026 rates'!$L:$R,4,0),IF($LB299=40%,VLOOKUP($HZ299,'Jan-2026 rates'!$L:$R,5,0),IF($LB299=30%,VLOOKUP($HZ299,'Jan-2026 rates'!$L:$R,6,0),IF($LB299=100%,VLOOKUP($HZ299,'Jan-2026 rates'!$L:$R,7,0),IF($LB299=60%,VLOOKUP($HZ299,'Jan-2026 rates'!$L:$S,8,0),IF($LB299=80%,VLOOKUP($HZ299,'Jan-2026 rates'!L:T,9,0),0))))))))</f>
        <v>0</v>
      </c>
      <c r="IF299" s="412" t="s">
        <v>1249</v>
      </c>
      <c r="IG299" s="413"/>
      <c r="IH299" s="412"/>
      <c r="II299" s="412"/>
      <c r="IJ299" s="412"/>
      <c r="IK299" s="412"/>
      <c r="IL299" s="412"/>
      <c r="IM299" s="412"/>
      <c r="IN299" s="409">
        <v>30</v>
      </c>
      <c r="IO299" s="398">
        <f>IF(IN299=0,0,IF(LEN(IF299)=11,_xlfn.XLOOKUP(IF299,'Dispensed Ink Rates'!C:C,'Dispensed Ink Rates'!CS:CS),VLOOKUP(IF299,'Jan-2026 rates'!$E:$F,2,0)))</f>
        <v>0</v>
      </c>
      <c r="IP299" s="409"/>
      <c r="IQ299" s="398">
        <f>IF(IP299=0,0,IF(LEN(IG299)=11,_xlfn.XLOOKUP(IG299,'Dispensed Ink Rates'!C:C,'Dispensed Ink Rates'!CS:CS),VLOOKUP(IG299,'Jan-2026 rates'!$E:$F,2,0)))</f>
        <v>0</v>
      </c>
      <c r="IR299" s="409"/>
      <c r="IS299" s="398">
        <f>IF(IR299=0,0,IF(LEN(IH299)=11,_xlfn.XLOOKUP(IH299,'Dispensed Ink Rates'!C:C,'Dispensed Ink Rates'!CS:CS),VLOOKUP(IH299,'Jan-2026 rates'!$E:$F,2,0)))</f>
        <v>0</v>
      </c>
      <c r="IT299" s="409"/>
      <c r="IU299" s="398">
        <f>IF(IT299=0,0,IF(LEN(II299)=11,_xlfn.XLOOKUP(II299,'Dispensed Ink Rates'!C:C,'Dispensed Ink Rates'!CS:CS),VLOOKUP(II299,'Jan-2026 rates'!$E:$F,2,0)))</f>
        <v>0</v>
      </c>
      <c r="IV299" s="409"/>
      <c r="IW299" s="398">
        <f>IF(IV299=0,0,IF(LEN(IJ299)=11,_xlfn.XLOOKUP(IJ299,'Dispensed Ink Rates'!C:C,'Dispensed Ink Rates'!CS:CS),VLOOKUP(IJ299,'Jan-2026 rates'!$E:$F,2,0)))</f>
        <v>0</v>
      </c>
      <c r="IX299" s="409"/>
      <c r="IY299" s="398">
        <f>IF(IX299=0,0,IF(LEN(IK299)=11,_xlfn.XLOOKUP(IK299,'Dispensed Ink Rates'!C:C,'Dispensed Ink Rates'!CS:CS),VLOOKUP(IK299,'Jan-2026 rates'!$E:$F,2,0)))</f>
        <v>0</v>
      </c>
      <c r="IZ299" s="409"/>
      <c r="JA299" s="398">
        <f>IF(IZ299=0,0,IF(LEN(IL299)=11,_xlfn.XLOOKUP(IL299,'Dispensed Ink Rates'!C:C,'Dispensed Ink Rates'!CS:CS),VLOOKUP(IL299,'Jan-2026 rates'!$E:$F,2,0)))</f>
        <v>0</v>
      </c>
      <c r="JB299" s="409"/>
      <c r="JC299" s="398">
        <f>IF(JB299=0,0,IF(LEN(IM299)=11,_xlfn.XLOOKUP(IM299,'Dispensed Ink Rates'!C:C,'Dispensed Ink Rates'!CS:CS),VLOOKUP(IM299,'Jan-2026 rates'!$E:$F,2,0)))</f>
        <v>0</v>
      </c>
      <c r="JD299" s="409" t="s">
        <v>1881</v>
      </c>
      <c r="JE299" s="409">
        <v>25</v>
      </c>
      <c r="JF299" s="411">
        <f t="shared" si="230"/>
        <v>0</v>
      </c>
      <c r="JG299" s="411">
        <f t="shared" si="231"/>
        <v>72.5</v>
      </c>
      <c r="JH299" s="410">
        <f t="shared" si="232"/>
        <v>0</v>
      </c>
      <c r="JI299" s="405" t="s">
        <v>605</v>
      </c>
      <c r="JJ299" s="409" t="s">
        <v>4409</v>
      </c>
      <c r="JK299" s="420" t="str">
        <f t="shared" si="190"/>
        <v>ToyoLi - MATT</v>
      </c>
      <c r="JL299" s="409">
        <v>25</v>
      </c>
      <c r="JM299" s="411">
        <f>IF(JL299=0,0,IF($LB299=70%,VLOOKUP($JK299,'Jan-2026 rates'!$L:$R,4,0),IF($LB299=65%,VLOOKUP($JK299,'Jan-2026 rates'!$L:$R,4,0),IF($LB299=40%,VLOOKUP($JK299,'Jan-2026 rates'!$L:$R,5,0),IF($LB299=30%,VLOOKUP($JK299,'Jan-2026 rates'!$L:$R,6,0),IF($LB299=100%,VLOOKUP($JK299,'Jan-2026 rates'!$L:$R,7,0),IF($LB299=60%,VLOOKUP($JK299,'Jan-2026 rates'!$L:$S,8,0),IF($LB299=80%,VLOOKUP($JK299,'Jan-2026 rates'!L:T,9,0),0))))))))</f>
        <v>0</v>
      </c>
      <c r="JN299" s="412"/>
      <c r="JO299" s="409"/>
      <c r="JP299" s="411">
        <f>IF(JO299=0,0,IF($LB299=70%,VLOOKUP($JK299,'Jan-2026 rates'!$L:$R,4,0),IF($LB299=65%,VLOOKUP($JK299,'Jan-2026 rates'!$L:$R,4,0),IF($LB299=40%,VLOOKUP($JK299,'Jan-2026 rates'!$L:$R,5,0),IF($LB299=30%,VLOOKUP($JK299,'Jan-2026 rates'!$L:$R,6,0),IF($LB299=100%,VLOOKUP($JK299,'Jan-2026 rates'!$L:$R,7,0),IF($LB299=60%,VLOOKUP($JK299,'Jan-2026 rates'!$L:$S,8,0),IF($LB299=80%,VLOOKUP($JK299,'Jan-2026 rates'!L:T,9,0),0))))))))</f>
        <v>0</v>
      </c>
      <c r="JQ299" s="413">
        <v>55</v>
      </c>
      <c r="JR299" s="412" t="s">
        <v>1902</v>
      </c>
      <c r="JS299" s="413"/>
      <c r="JT299" s="413"/>
      <c r="JU299" s="412"/>
      <c r="JV299" s="412"/>
      <c r="JW299" s="412"/>
      <c r="JX299" s="412"/>
      <c r="JY299" s="409">
        <v>40</v>
      </c>
      <c r="JZ299" s="398">
        <f>IF(JY299=0,0,IF(LEN(JQ299)=11,_xlfn.XLOOKUP(JQ299,'Dispensed Ink Rates'!C:C,'Dispensed Ink Rates'!CS:CS),VLOOKUP(JQ299,'Jan-2026 rates'!$E:$F,2,0)))</f>
        <v>0</v>
      </c>
      <c r="KA299" s="409">
        <v>10</v>
      </c>
      <c r="KB299" s="398">
        <f>IF(KA299=0,0,IF(LEN(JR299)=11,_xlfn.XLOOKUP(JR299,'Dispensed Ink Rates'!C:C,'Dispensed Ink Rates'!CS:CS),VLOOKUP(JR299,'Jan-2026 rates'!$E:$F,2,0)))</f>
        <v>0</v>
      </c>
      <c r="KC299" s="409"/>
      <c r="KD299" s="398">
        <f>IF(KC299=0,0,IF(LEN(JS299)=11,_xlfn.XLOOKUP(JS299,'Dispensed Ink Rates'!C:C,'Dispensed Ink Rates'!CS:CS),VLOOKUP(JS299,'Jan-2026 rates'!$E:$F,2,0)))</f>
        <v>0</v>
      </c>
      <c r="KE299" s="409"/>
      <c r="KF299" s="398">
        <f>IF(KE299=0,0,IF(LEN(JT299)=11,_xlfn.XLOOKUP(JT299,'Dispensed Ink Rates'!C:C,'Dispensed Ink Rates'!CS:CS),VLOOKUP(JT299,'Jan-2026 rates'!$E:$F,2,0)))</f>
        <v>0</v>
      </c>
      <c r="KG299" s="409"/>
      <c r="KH299" s="398">
        <f>IF(KG299=0,0,IF(LEN(JU299)=11,_xlfn.XLOOKUP(JU299,'Dispensed Ink Rates'!C:C,'Dispensed Ink Rates'!CS:CS),VLOOKUP(JU299,'Jan-2026 rates'!$E:$F,2,0)))</f>
        <v>0</v>
      </c>
      <c r="KI299" s="409"/>
      <c r="KJ299" s="398">
        <f>IF(KI299=0,0,IF(LEN(JV299)=11,_xlfn.XLOOKUP(JV299,'Dispensed Ink Rates'!C:C,'Dispensed Ink Rates'!CS:CS),VLOOKUP(JV299,'Jan-2026 rates'!$E:$F,2,0)))</f>
        <v>0</v>
      </c>
      <c r="KK299" s="409"/>
      <c r="KL299" s="398">
        <f>IF(KK299=0,0,IF(LEN(JW299)=11,_xlfn.XLOOKUP(JW299,'Dispensed Ink Rates'!C:C,'Dispensed Ink Rates'!CS:CS),VLOOKUP(JW299,'Jan-2026 rates'!$E:$F,2,0)))</f>
        <v>0</v>
      </c>
      <c r="KM299" s="428"/>
      <c r="KN299" s="398">
        <f>IF(KM299=0,0,IF(LEN(JX299)=11,_xlfn.XLOOKUP(JX299,'Dispensed Ink Rates'!C:C,'Dispensed Ink Rates'!CS:CS),VLOOKUP(JX299,'Jan-2026 rates'!$E:$F,2,0)))</f>
        <v>0</v>
      </c>
      <c r="KO299" s="409" t="s">
        <v>1881</v>
      </c>
      <c r="KP299" s="409">
        <v>25</v>
      </c>
      <c r="KQ299" s="411">
        <f t="shared" si="233"/>
        <v>0</v>
      </c>
      <c r="KR299" s="411">
        <f t="shared" si="234"/>
        <v>70</v>
      </c>
      <c r="KS299" s="410">
        <f t="shared" si="235"/>
        <v>0</v>
      </c>
      <c r="KT299" s="409">
        <v>3</v>
      </c>
      <c r="KU299" s="409">
        <v>5</v>
      </c>
      <c r="KV299" s="409">
        <v>3</v>
      </c>
      <c r="KW299" s="409">
        <v>2</v>
      </c>
      <c r="KX299" s="409">
        <v>2</v>
      </c>
      <c r="KY299" s="409">
        <v>2</v>
      </c>
      <c r="KZ299" s="409">
        <v>15</v>
      </c>
      <c r="LA299" s="409">
        <v>8</v>
      </c>
      <c r="LB299" s="415">
        <v>0.3</v>
      </c>
      <c r="LC299" s="415"/>
      <c r="LD299" s="424"/>
      <c r="LE299" s="415">
        <v>0.5</v>
      </c>
      <c r="LF299" s="415">
        <v>0.2</v>
      </c>
      <c r="LG299" s="409">
        <v>0</v>
      </c>
      <c r="LH299" s="409">
        <f>23+17+18+30+12</f>
        <v>100</v>
      </c>
      <c r="LI299" s="409">
        <v>0</v>
      </c>
      <c r="LJ299" s="409">
        <v>0</v>
      </c>
      <c r="LK299" s="416">
        <f t="shared" si="191"/>
        <v>100</v>
      </c>
      <c r="LL299" s="416">
        <f t="shared" si="237"/>
        <v>100</v>
      </c>
      <c r="LM299" s="417">
        <f t="shared" si="193"/>
        <v>30</v>
      </c>
      <c r="LN299" s="417">
        <f>VLOOKUP($LM$8,'Jan-2026 rates'!$H:$I,2,0)</f>
        <v>0</v>
      </c>
      <c r="LO299" s="417">
        <f t="shared" si="194"/>
        <v>0</v>
      </c>
      <c r="LP299" s="417">
        <f>VLOOKUP($LO$8,'Jan-2026 rates'!$H:$I,2,0)</f>
        <v>0</v>
      </c>
      <c r="LQ299" s="417">
        <f t="shared" si="195"/>
        <v>0</v>
      </c>
      <c r="LR299" s="417">
        <f>VLOOKUP($LQ$8,'Jan-2026 rates'!$H:$I,2,0)</f>
        <v>0</v>
      </c>
      <c r="LS299" s="417">
        <f t="shared" si="196"/>
        <v>50</v>
      </c>
      <c r="LT299" s="417">
        <f>VLOOKUP($LS$8,'Jan-2026 rates'!$H:$I,2,0)</f>
        <v>0</v>
      </c>
      <c r="LU299" s="417">
        <f t="shared" si="197"/>
        <v>20</v>
      </c>
      <c r="LV299" s="417">
        <f>VLOOKUP($LU$8,'Jan-2026 rates'!$H:$I,2,0)</f>
        <v>0</v>
      </c>
      <c r="LW299" s="417">
        <f t="shared" si="198"/>
        <v>0</v>
      </c>
      <c r="LX299" s="417">
        <f t="shared" si="199"/>
        <v>0</v>
      </c>
      <c r="LY299" s="418">
        <f t="shared" si="200"/>
        <v>0</v>
      </c>
      <c r="LZ299" s="417"/>
      <c r="MA299" s="435">
        <f t="shared" si="201"/>
        <v>110</v>
      </c>
      <c r="MB299" s="282">
        <f t="shared" si="202"/>
        <v>208</v>
      </c>
      <c r="MC299" s="283" t="s">
        <v>2038</v>
      </c>
      <c r="MD299" s="284" t="str">
        <f t="shared" si="203"/>
        <v>ToyoLiToyoLiToyoLiToyoLiToyoLiToyoLiToyoLiToyoLi</v>
      </c>
      <c r="ME299" s="293" t="str">
        <f t="shared" si="204"/>
        <v>+</v>
      </c>
      <c r="MF299" s="293" t="str">
        <f t="shared" si="205"/>
        <v>+</v>
      </c>
      <c r="MG299" s="293" t="str">
        <f t="shared" si="206"/>
        <v>+</v>
      </c>
      <c r="MH299" s="293" t="str">
        <f t="shared" si="207"/>
        <v>+</v>
      </c>
      <c r="MI299" s="293" t="str">
        <f t="shared" si="208"/>
        <v>+</v>
      </c>
      <c r="MJ299" s="293" t="str">
        <f t="shared" si="209"/>
        <v>+</v>
      </c>
      <c r="MK299" s="293" t="str">
        <f t="shared" si="210"/>
        <v>+</v>
      </c>
      <c r="ML299" s="293" t="str">
        <f t="shared" si="211"/>
        <v>+</v>
      </c>
      <c r="MM299" s="3" t="b">
        <f t="array" ref="MM299">OR(ME299:ML299="-")</f>
        <v>0</v>
      </c>
      <c r="MO299" s="401">
        <f t="shared" si="238"/>
        <v>156.39097744360902</v>
      </c>
      <c r="MP299" s="286"/>
      <c r="MR299" s="402">
        <f t="shared" si="239"/>
        <v>2.4761904761904763E-2</v>
      </c>
      <c r="MS299" s="400">
        <f t="shared" si="240"/>
        <v>0</v>
      </c>
      <c r="MT299" s="285"/>
      <c r="NH299" s="361"/>
      <c r="NJ299" s="282"/>
    </row>
    <row r="300" spans="1:374" ht="16.5">
      <c r="A300" s="403">
        <v>46042</v>
      </c>
      <c r="B300" s="404" t="s">
        <v>1015</v>
      </c>
      <c r="C300" s="405" t="s">
        <v>4410</v>
      </c>
      <c r="D300" s="404" t="s">
        <v>2039</v>
      </c>
      <c r="E300" s="404">
        <v>187</v>
      </c>
      <c r="F300" s="407">
        <v>11800</v>
      </c>
      <c r="G300" s="407" t="s">
        <v>1016</v>
      </c>
      <c r="H300" s="408" t="s">
        <v>1017</v>
      </c>
      <c r="I300" s="409">
        <f>1.7+1.4</f>
        <v>3.0999999999999996</v>
      </c>
      <c r="J300" s="405" t="s">
        <v>543</v>
      </c>
      <c r="K300" s="404" t="s">
        <v>4411</v>
      </c>
      <c r="L300" s="419" t="str">
        <f t="shared" si="184"/>
        <v>ToyoLi - BLACK</v>
      </c>
      <c r="M300" s="404">
        <v>40</v>
      </c>
      <c r="N300" s="410">
        <f>IF(M300=0,0,IF($LB300=70%,VLOOKUP($L300,'Jan-2026 rates'!$L:$R,4,0),IF($LB300=65%,VLOOKUP($L300,'Jan-2026 rates'!$L:$R,4,0),IF($LB300=40%,VLOOKUP($L300,'Jan-2026 rates'!$L:$R,5,0),IF($LB300=30%,VLOOKUP($L300,'Jan-2026 rates'!$L:$R,6,0),IF($LB300=100%,VLOOKUP($L300,'Jan-2026 rates'!$L:$R,7,0),IF($LB300=60%,VLOOKUP($L300,'Jan-2026 rates'!$L:$S,8,0),IF($LB300=80%,VLOOKUP($L300,'Jan-2026 rates'!L:T,9,0),0))))))))</f>
        <v>0</v>
      </c>
      <c r="O300" s="406"/>
      <c r="P300" s="404"/>
      <c r="Q300" s="410">
        <f>IF(P300=0,0,IF($LB300=70%,VLOOKUP($L300,'Jan-2026 rates'!$L:$R,4,0),IF($LB300=65%,VLOOKUP($L300,'Jan-2026 rates'!$L:$R,4,0),IF($LB300=40%,VLOOKUP($L300,'Jan-2026 rates'!$L:$R,5,0),IF($LB300=30%,VLOOKUP($L300,'Jan-2026 rates'!$L:$R,6,0),IF($LB300=100%,VLOOKUP($L300,'Jan-2026 rates'!$L:$R,7,0),IF($LB300=60%,VLOOKUP($L300,'Jan-2026 rates'!$L:$S,8,0),IF($LB300=80%,VLOOKUP($L300,'Jan-2026 rates'!L:T,9,0),0))))))))</f>
        <v>0</v>
      </c>
      <c r="R300" s="406" t="s">
        <v>1252</v>
      </c>
      <c r="S300" s="406" t="s">
        <v>1250</v>
      </c>
      <c r="T300" s="406"/>
      <c r="U300" s="406"/>
      <c r="V300" s="406"/>
      <c r="W300" s="406"/>
      <c r="X300" s="406"/>
      <c r="Y300" s="406"/>
      <c r="Z300" s="404">
        <v>5</v>
      </c>
      <c r="AA300" s="398">
        <f>IF(Z300=0,0,IF(LEN(R300)=11,_xlfn.XLOOKUP(R300,'Dispensed Ink Rates'!C:C,'Dispensed Ink Rates'!CS:CS),VLOOKUP(R300,'Jan-2026 rates'!$E:$F,2,0)))</f>
        <v>0</v>
      </c>
      <c r="AB300" s="404">
        <v>1</v>
      </c>
      <c r="AC300" s="398">
        <f>IF(AB300=0,0,IF(LEN(S300)=11,_xlfn.XLOOKUP(S300,'Dispensed Ink Rates'!C:C,'Dispensed Ink Rates'!CS:CS),VLOOKUP(S300,'Jan-2026 rates'!$E:$F,2,0)))</f>
        <v>0</v>
      </c>
      <c r="AD300" s="404"/>
      <c r="AE300" s="398">
        <f>IF(AD300=0,0,IF(LEN(T300)=11,_xlfn.XLOOKUP(T300,'Dispensed Ink Rates'!C:C,'Dispensed Ink Rates'!CS:CS),VLOOKUP(T300,'Jan-2026 rates'!$E:$F,2,0)))</f>
        <v>0</v>
      </c>
      <c r="AF300" s="404"/>
      <c r="AG300" s="398">
        <f>IF(AF300=0,0,IF(LEN(U300)=11,_xlfn.XLOOKUP(U300,'Dispensed Ink Rates'!C:C,'Dispensed Ink Rates'!CS:CS),VLOOKUP(U300,'Jan-2026 rates'!$E:$F,2,0)))</f>
        <v>0</v>
      </c>
      <c r="AH300" s="404"/>
      <c r="AI300" s="398">
        <f>IF(AH300=0,0,IF(LEN(V300)=11,_xlfn.XLOOKUP(V300,'Dispensed Ink Rates'!C:C,'Dispensed Ink Rates'!CS:CS),VLOOKUP(V300,'Jan-2026 rates'!$E:$F,2,0)))</f>
        <v>0</v>
      </c>
      <c r="AJ300" s="404"/>
      <c r="AK300" s="398">
        <f>IF(AJ300=0,0,IF(LEN(W300)=11,_xlfn.XLOOKUP(W300,'Dispensed Ink Rates'!C:C,'Dispensed Ink Rates'!CS:CS),VLOOKUP(W300,'Jan-2026 rates'!$E:$F,2,0)))</f>
        <v>0</v>
      </c>
      <c r="AL300" s="404"/>
      <c r="AM300" s="398">
        <f>IF(AL300=0,0,IF(LEN(X300)=11,_xlfn.XLOOKUP(X300,'Dispensed Ink Rates'!C:C,'Dispensed Ink Rates'!CS:CS),VLOOKUP(X300,'Jan-2026 rates'!$E:$F,2,0)))</f>
        <v>0</v>
      </c>
      <c r="AN300" s="404"/>
      <c r="AO300" s="398">
        <f>IF(AN300=0,0,IF(LEN(Y300)=11,_xlfn.XLOOKUP(Y300,'Dispensed Ink Rates'!C:C,'Dispensed Ink Rates'!CS:CS),VLOOKUP(Y300,'Jan-2026 rates'!$E:$F,2,0)))</f>
        <v>0</v>
      </c>
      <c r="AP300" s="409" t="s">
        <v>1881</v>
      </c>
      <c r="AQ300" s="409">
        <v>20</v>
      </c>
      <c r="AR300" s="410">
        <f t="shared" si="212"/>
        <v>0</v>
      </c>
      <c r="AS300" s="411">
        <f t="shared" si="213"/>
        <v>34.235294117647058</v>
      </c>
      <c r="AT300" s="410">
        <f t="shared" si="214"/>
        <v>0</v>
      </c>
      <c r="AU300" s="405" t="s">
        <v>547</v>
      </c>
      <c r="AV300" s="409" t="s">
        <v>4412</v>
      </c>
      <c r="AW300" s="420" t="str">
        <f t="shared" si="236"/>
        <v>ToyoLi - GREEN</v>
      </c>
      <c r="AX300" s="409">
        <f>17+16</f>
        <v>33</v>
      </c>
      <c r="AY300" s="411">
        <f>IF(AX300=0,0,IF($LB300=70%,VLOOKUP($AW300,'Jan-2026 rates'!$L:$R,4,0),IF($LB300=65%,VLOOKUP($AW300,'Jan-2026 rates'!$L:$R,4,0),IF($LB300=40%,VLOOKUP($AW300,'Jan-2026 rates'!$L:$R,5,0),IF($LB300=30%,VLOOKUP($AW300,'Jan-2026 rates'!$L:$R,6,0),IF($LB300=100%,VLOOKUP($AW300,'Jan-2026 rates'!$L:$R,7,0),IF($LB300=60%,VLOOKUP($AW300,'Jan-2026 rates'!$L:$S,8,0),IF($LB300=80%,VLOOKUP($AW300,'Jan-2026 rates'!L:T,9,0),0))))))))</f>
        <v>0</v>
      </c>
      <c r="AZ300" s="412"/>
      <c r="BA300" s="409"/>
      <c r="BB300" s="411">
        <f>IF(BA300=0,0,IF($LB300=70%,VLOOKUP($AW300,'Jan-2026 rates'!$L:$R,4,0),IF($LB300=65%,VLOOKUP($AW300,'Jan-2026 rates'!$L:$R,4,0),IF($LB300=40%,VLOOKUP($AW300,'Jan-2026 rates'!$L:$R,5,0),IF($LB300=30%,VLOOKUP($AW300,'Jan-2026 rates'!$L:$R,6,0),IF($LB300=100%,VLOOKUP($AW300,'Jan-2026 rates'!$L:$R,7,0),IF($LB300=60%,VLOOKUP($AW300,'Jan-2026 rates'!$L:$S,8,0),IF($LB300=80%,VLOOKUP($AW300,'Jan-2026 rates'!L:T,9,0),0))))))))</f>
        <v>0</v>
      </c>
      <c r="BC300" s="413" t="s">
        <v>1247</v>
      </c>
      <c r="BD300" s="412" t="s">
        <v>1250</v>
      </c>
      <c r="BE300" s="412"/>
      <c r="BF300" s="413"/>
      <c r="BG300" s="412"/>
      <c r="BH300" s="412"/>
      <c r="BI300" s="412"/>
      <c r="BJ300" s="412"/>
      <c r="BK300" s="409">
        <v>3</v>
      </c>
      <c r="BL300" s="398">
        <f>IF(BK300=0,0,IF(LEN(BC300)=11,_xlfn.XLOOKUP(BC300,'Dispensed Ink Rates'!C:C,'Dispensed Ink Rates'!CS:CS),VLOOKUP(BC300,'Jan-2026 rates'!$E:$F,2,0)))</f>
        <v>0</v>
      </c>
      <c r="BM300" s="409">
        <v>1</v>
      </c>
      <c r="BN300" s="398">
        <f>IF(BM300=0,0,IF(LEN(BD300)=11,_xlfn.XLOOKUP(BD300,'Dispensed Ink Rates'!C:C,'Dispensed Ink Rates'!CS:CS),VLOOKUP(BD300,'Jan-2026 rates'!$E:$F,2,0)))</f>
        <v>0</v>
      </c>
      <c r="BO300" s="409"/>
      <c r="BP300" s="398">
        <f>IF(BO300=0,0,IF(LEN(BE300)=11,_xlfn.XLOOKUP(BE300,'Dispensed Ink Rates'!C:C,'Dispensed Ink Rates'!CS:CS),VLOOKUP(BE300,'Jan-2026 rates'!$E:$F,2,0)))</f>
        <v>0</v>
      </c>
      <c r="BQ300" s="409"/>
      <c r="BR300" s="398">
        <f>IF(BQ300=0,0,IF(LEN(BF300)=11,_xlfn.XLOOKUP(BF300,'Dispensed Ink Rates'!C:C,'Dispensed Ink Rates'!CS:CS),VLOOKUP(BF300,'Jan-2026 rates'!$E:$F,2,0)))</f>
        <v>0</v>
      </c>
      <c r="BS300" s="409"/>
      <c r="BT300" s="398">
        <f>IF(BS300=0,0,IF(LEN(BG300)=11,_xlfn.XLOOKUP(BG300,'Dispensed Ink Rates'!C:C,'Dispensed Ink Rates'!CS:CS),VLOOKUP(BG300,'Jan-2026 rates'!$E:$F,2,0)))</f>
        <v>0</v>
      </c>
      <c r="BU300" s="409"/>
      <c r="BV300" s="398">
        <f>IF(BU300=0,0,IF(LEN(BH300)=11,_xlfn.XLOOKUP(BH300,'Dispensed Ink Rates'!C:C,'Dispensed Ink Rates'!CS:CS),VLOOKUP(BH300,'Jan-2026 rates'!$E:$F,2,0)))</f>
        <v>0</v>
      </c>
      <c r="BW300" s="409"/>
      <c r="BX300" s="398">
        <f>IF(BW300=0,0,IF(LEN(BI300)=11,_xlfn.XLOOKUP(BI300,'Dispensed Ink Rates'!C:C,'Dispensed Ink Rates'!CS:CS),VLOOKUP(BI300,'Jan-2026 rates'!$E:$F,2,0)))</f>
        <v>0</v>
      </c>
      <c r="BY300" s="409"/>
      <c r="BZ300" s="398">
        <f>IF(BY300=0,0,IF(LEN(BJ300)=11,_xlfn.XLOOKUP(BJ300,'Dispensed Ink Rates'!C:C,'Dispensed Ink Rates'!CS:CS),VLOOKUP(BJ300,'Jan-2026 rates'!$E:$F,2,0)))</f>
        <v>0</v>
      </c>
      <c r="CA300" s="409" t="s">
        <v>1881</v>
      </c>
      <c r="CB300" s="409">
        <f>18+17</f>
        <v>35</v>
      </c>
      <c r="CC300" s="411">
        <f t="shared" si="215"/>
        <v>0</v>
      </c>
      <c r="CD300" s="411">
        <f t="shared" si="216"/>
        <v>10.235294117647058</v>
      </c>
      <c r="CE300" s="410">
        <f t="shared" si="217"/>
        <v>0</v>
      </c>
      <c r="CF300" s="404" t="s">
        <v>548</v>
      </c>
      <c r="CG300" s="409" t="s">
        <v>4413</v>
      </c>
      <c r="CH300" s="420" t="str">
        <f t="shared" si="185"/>
        <v>ToyoLi - GOLD</v>
      </c>
      <c r="CI300" s="409">
        <v>26</v>
      </c>
      <c r="CJ300" s="411">
        <f>IF(CI300=0,0,IF($LB300=70%,VLOOKUP($CH300,'Jan-2026 rates'!$L:$R,4,0),IF($LB300=65%,VLOOKUP($CH300,'Jan-2026 rates'!$L:$R,4,0),IF($LB300=40%,VLOOKUP($CH300,'Jan-2026 rates'!$L:$R,5,0),IF($LB300=30%,VLOOKUP($CH300,'Jan-2026 rates'!$L:$R,6,0),IF($LB300=100%,VLOOKUP($CH300,'Jan-2026 rates'!$L:$R,7,0),IF($LB300=60%,VLOOKUP($CH300,'Jan-2026 rates'!$L:$S,8,0),IF($LB300=80%,VLOOKUP($CH300,'Jan-2026 rates'!L:T,9,0),0))))))))</f>
        <v>0</v>
      </c>
      <c r="CK300" s="412"/>
      <c r="CL300" s="409"/>
      <c r="CM300" s="411">
        <f>IF(CL300=0,0,IF($LB300=70%,VLOOKUP($CH300,'Jan-2026 rates'!$L:$R,4,0),IF($LB300=65%,VLOOKUP($CH300,'Jan-2026 rates'!$L:$R,4,0),IF($LB300=40%,VLOOKUP($CH300,'Jan-2026 rates'!$L:$R,5,0),IF($LB300=30%,VLOOKUP($CH300,'Jan-2026 rates'!$L:$R,6,0),IF($LB300=100%,VLOOKUP($CH300,'Jan-2026 rates'!$L:$R,7,0),IF($LB300=60%,VLOOKUP($CH300,'Jan-2026 rates'!$L:$S,8,0),IF($LB300=80%,VLOOKUP($CH300,'Jan-2026 rates'!L:T,9,0),0))))))))</f>
        <v>0</v>
      </c>
      <c r="CN300" s="426"/>
      <c r="CO300" s="427"/>
      <c r="CP300" s="426"/>
      <c r="CQ300" s="426"/>
      <c r="CR300" s="428"/>
      <c r="CS300" s="428"/>
      <c r="CT300" s="428"/>
      <c r="CU300" s="428"/>
      <c r="CV300" s="409"/>
      <c r="CW300" s="398">
        <f>IF(CV300=0,0,IF(LEN(CN300)=11,_xlfn.XLOOKUP(CN300,'Dispensed Ink Rates'!C:C,'Dispensed Ink Rates'!CS:CS),VLOOKUP(CN300,'Jan-2026 rates'!$E:$F,2,0)))</f>
        <v>0</v>
      </c>
      <c r="CX300" s="409"/>
      <c r="CY300" s="398">
        <f>IF(CX300=0,0,IF(LEN(CO300)=11,_xlfn.XLOOKUP(CO300,'Dispensed Ink Rates'!C:C,'Dispensed Ink Rates'!CS:CS),VLOOKUP(CO300,'Jan-2026 rates'!$E:$F,2,0)))</f>
        <v>0</v>
      </c>
      <c r="CZ300" s="409"/>
      <c r="DA300" s="398">
        <f>IF(CZ300=0,0,IF(LEN(CP300)=11,_xlfn.XLOOKUP(CP300,'Dispensed Ink Rates'!C:C,'Dispensed Ink Rates'!CS:CS),VLOOKUP(CP300,'Jan-2026 rates'!$E:$F,2,0)))</f>
        <v>0</v>
      </c>
      <c r="DB300" s="409"/>
      <c r="DC300" s="398">
        <f>IF(DB300=0,0,IF(LEN(CQ300)=11,_xlfn.XLOOKUP(CQ300,'Dispensed Ink Rates'!C:C,'Dispensed Ink Rates'!CS:CS),VLOOKUP(CQ300,'Jan-2026 rates'!$E:$F,2,0)))</f>
        <v>0</v>
      </c>
      <c r="DD300" s="409"/>
      <c r="DE300" s="398">
        <f>IF(DD300=0,0,IF(LEN(CR300)=11,_xlfn.XLOOKUP(CR300,'Dispensed Ink Rates'!C:C,'Dispensed Ink Rates'!CS:CS),VLOOKUP(CR300,'Jan-2026 rates'!$E:$F,2,0)))</f>
        <v>0</v>
      </c>
      <c r="DF300" s="409"/>
      <c r="DG300" s="398">
        <f>IF(DF300=0,0,IF(LEN(CS300)=11,_xlfn.XLOOKUP(CS300,'Dispensed Ink Rates'!C:C,'Dispensed Ink Rates'!CS:CS),VLOOKUP(CS300,'Jan-2026 rates'!$E:$F,2,0)))</f>
        <v>0</v>
      </c>
      <c r="DH300" s="409"/>
      <c r="DI300" s="398">
        <f>IF(DH300=0,0,IF(LEN(CT300)=11,_xlfn.XLOOKUP(CT300,'Dispensed Ink Rates'!C:C,'Dispensed Ink Rates'!CS:CS),VLOOKUP(CT300,'Jan-2026 rates'!$E:$F,2,0)))</f>
        <v>0</v>
      </c>
      <c r="DJ300" s="409"/>
      <c r="DK300" s="398">
        <f>IF(DJ300=0,0,IF(LEN(CU300)=11,_xlfn.XLOOKUP(CU300,'Dispensed Ink Rates'!C:C,'Dispensed Ink Rates'!CS:CS),VLOOKUP(CU300,'Jan-2026 rates'!$E:$F,2,0)))</f>
        <v>0</v>
      </c>
      <c r="DL300" s="409" t="s">
        <v>1881</v>
      </c>
      <c r="DM300" s="409">
        <v>24</v>
      </c>
      <c r="DN300" s="411">
        <f t="shared" si="218"/>
        <v>0</v>
      </c>
      <c r="DO300" s="411">
        <f t="shared" si="219"/>
        <v>2</v>
      </c>
      <c r="DP300" s="410">
        <f t="shared" si="220"/>
        <v>0</v>
      </c>
      <c r="DQ300" s="405" t="s">
        <v>1920</v>
      </c>
      <c r="DR300" s="409" t="s">
        <v>4414</v>
      </c>
      <c r="DS300" s="420" t="str">
        <f t="shared" si="186"/>
        <v>ToyoLi - SILVER</v>
      </c>
      <c r="DT300" s="409">
        <v>26</v>
      </c>
      <c r="DU300" s="411">
        <f>IF(DT300=0,0,IF($LB300=70%,VLOOKUP($DS300,'Jan-2026 rates'!$L:$R,4,0),IF($LB300=65%,VLOOKUP($DS300,'Jan-2026 rates'!$L:$R,4,0),IF($LB300=40%,VLOOKUP($DS300,'Jan-2026 rates'!$L:$R,5,0),IF($LB300=30%,VLOOKUP($DS300,'Jan-2026 rates'!$L:$R,6,0),IF($LB300=100%,VLOOKUP($DS300,'Jan-2026 rates'!$L:$R,7,0),IF($LB300=60%,VLOOKUP($DS300,'Jan-2026 rates'!$L:$S,8,0),IF($LB300=80%,VLOOKUP($DS300,'Jan-2026 rates'!L:T,9,0),0))))))))</f>
        <v>0</v>
      </c>
      <c r="DV300" s="412"/>
      <c r="DW300" s="409"/>
      <c r="DX300" s="411">
        <f>IF(DW300=0,0,IF($LB300=70%,VLOOKUP($DS300,'Jan-2026 rates'!$L:$R,4,0),IF($LB300=65%,VLOOKUP($DS300,'Jan-2026 rates'!$L:$R,4,0),IF($LB300=40%,VLOOKUP($DS300,'Jan-2026 rates'!$L:$R,5,0),IF($LB300=30%,VLOOKUP($DS300,'Jan-2026 rates'!$L:$R,6,0),IF($LB300=100%,VLOOKUP($DS300,'Jan-2026 rates'!$L:$R,7,0),IF($LB300=60%,VLOOKUP($DS300,'Jan-2026 rates'!$L:$S,8,0),IF($LB300=80%,VLOOKUP($DS300,'Jan-2026 rates'!L:T,9,0),0))))))))</f>
        <v>0</v>
      </c>
      <c r="DY300" s="413"/>
      <c r="DZ300" s="413"/>
      <c r="EA300" s="412"/>
      <c r="EB300" s="412"/>
      <c r="EC300" s="412"/>
      <c r="ED300" s="412"/>
      <c r="EE300" s="412"/>
      <c r="EF300" s="412"/>
      <c r="EG300" s="409"/>
      <c r="EH300" s="398">
        <f>IF(EG300=0,0,IF(LEN(DY300)=11,_xlfn.XLOOKUP(DY300,'Dispensed Ink Rates'!C:C,'Dispensed Ink Rates'!CS:CS),VLOOKUP(DY300,'Jan-2026 rates'!$E:$F,2,0)))</f>
        <v>0</v>
      </c>
      <c r="EI300" s="409"/>
      <c r="EJ300" s="398">
        <f>IF(EI300=0,0,IF(LEN(DZ300)=11,_xlfn.XLOOKUP(DZ300,'Dispensed Ink Rates'!C:C,'Dispensed Ink Rates'!CS:CS),VLOOKUP(DZ300,'Jan-2026 rates'!$E:$F,2,0)))</f>
        <v>0</v>
      </c>
      <c r="EK300" s="409"/>
      <c r="EL300" s="398">
        <f>IF(EK300=0,0,IF(LEN(EA300)=11,_xlfn.XLOOKUP(EA300,'Dispensed Ink Rates'!C:C,'Dispensed Ink Rates'!CS:CS),VLOOKUP(EA300,'Jan-2026 rates'!$E:$F,2,0)))</f>
        <v>0</v>
      </c>
      <c r="EM300" s="409"/>
      <c r="EN300" s="398">
        <f>IF(EM300=0,0,IF(LEN(EB300)=11,_xlfn.XLOOKUP(EB300,'Dispensed Ink Rates'!C:C,'Dispensed Ink Rates'!CS:CS),VLOOKUP(EB300,'Jan-2026 rates'!$E:$F,2,0)))</f>
        <v>0</v>
      </c>
      <c r="EO300" s="409"/>
      <c r="EP300" s="398">
        <f>IF(EO300=0,0,IF(LEN(EC300)=11,_xlfn.XLOOKUP(EC300,'Dispensed Ink Rates'!C:C,'Dispensed Ink Rates'!CS:CS),VLOOKUP(EC300,'Jan-2026 rates'!$E:$F,2,0)))</f>
        <v>0</v>
      </c>
      <c r="EQ300" s="409"/>
      <c r="ER300" s="398">
        <f>IF(EQ300=0,0,IF(LEN(ED300)=11,_xlfn.XLOOKUP(ED300,'Dispensed Ink Rates'!C:C,'Dispensed Ink Rates'!CS:CS),VLOOKUP(ED300,'Jan-2026 rates'!$E:$F,2,0)))</f>
        <v>0</v>
      </c>
      <c r="ES300" s="409"/>
      <c r="ET300" s="398">
        <f>IF(ES300=0,0,IF(LEN(EE300)=11,_xlfn.XLOOKUP(EE300,'Dispensed Ink Rates'!C:C,'Dispensed Ink Rates'!CS:CS),VLOOKUP(EE300,'Jan-2026 rates'!$E:$F,2,0)))</f>
        <v>0</v>
      </c>
      <c r="EU300" s="409"/>
      <c r="EV300" s="398">
        <f>IF(EU300=0,0,IF(LEN(EF300)=11,_xlfn.XLOOKUP(EF300,'Dispensed Ink Rates'!C:C,'Dispensed Ink Rates'!CS:CS),VLOOKUP(EF300,'Jan-2026 rates'!$E:$F,2,0)))</f>
        <v>0</v>
      </c>
      <c r="EW300" s="409" t="s">
        <v>1881</v>
      </c>
      <c r="EX300" s="409">
        <v>24</v>
      </c>
      <c r="EY300" s="411">
        <f t="shared" si="221"/>
        <v>0</v>
      </c>
      <c r="EZ300" s="411">
        <f t="shared" si="222"/>
        <v>2</v>
      </c>
      <c r="FA300" s="410">
        <f t="shared" si="223"/>
        <v>0</v>
      </c>
      <c r="FB300" s="405" t="s">
        <v>547</v>
      </c>
      <c r="FC300" s="409" t="s">
        <v>4413</v>
      </c>
      <c r="FD300" s="420" t="str">
        <f t="shared" si="187"/>
        <v>ToyoLi - GREEN</v>
      </c>
      <c r="FE300" s="409">
        <v>20</v>
      </c>
      <c r="FF300" s="411">
        <f>IF(FE300=0,0,IF($LB300=70%,VLOOKUP($FD300,'Jan-2026 rates'!$L:$R,4,0),IF($LB300=65%,VLOOKUP($FD300,'Jan-2026 rates'!$L:$R,4,0),IF($LB300=40%,VLOOKUP($FD300,'Jan-2026 rates'!$L:$R,5,0),IF($LB300=30%,VLOOKUP($FD300,'Jan-2026 rates'!$L:$R,6,0),IF($LB300=100%,VLOOKUP($FD300,'Jan-2026 rates'!$L:$R,7,0),IF($LB300=60%,VLOOKUP($FD300,'Jan-2026 rates'!$L:$S,8,0),IF($LB300=80%,VLOOKUP($FD300,'Jan-2026 rates'!L:T,9,0),0))))))))</f>
        <v>0</v>
      </c>
      <c r="FG300" s="412"/>
      <c r="FH300" s="409"/>
      <c r="FI300" s="411">
        <f>IF(FH300=0,0,IF($LB300=70%,VLOOKUP($FD300,'Jan-2026 rates'!$L:$R,4,0),IF($LB300=65%,VLOOKUP($FD300,'Jan-2026 rates'!$L:$R,4,0),IF($LB300=40%,VLOOKUP($FD300,'Jan-2026 rates'!$L:$R,5,0),IF($LB300=30%,VLOOKUP($FD300,'Jan-2026 rates'!$L:$R,6,0),IF($LB300=100%,VLOOKUP($FD300,'Jan-2026 rates'!$L:$R,7,0),IF($LB300=60%,VLOOKUP($FD300,'Jan-2026 rates'!$L:$S,8,0),IF($LB300=80%,VLOOKUP($FD300,'Jan-2026 rates'!L:T,9,0),0))))))))</f>
        <v>0</v>
      </c>
      <c r="FJ300" s="413" t="s">
        <v>1247</v>
      </c>
      <c r="FK300" s="413" t="s">
        <v>1250</v>
      </c>
      <c r="FL300" s="413"/>
      <c r="FM300" s="412"/>
      <c r="FN300" s="412"/>
      <c r="FO300" s="412"/>
      <c r="FP300" s="412"/>
      <c r="FQ300" s="412"/>
      <c r="FR300" s="409">
        <v>2</v>
      </c>
      <c r="FS300" s="398">
        <f>IF(FR300=0,0,IF(LEN(FJ300)=11,_xlfn.XLOOKUP(FJ300,'Dispensed Ink Rates'!C:C,'Dispensed Ink Rates'!CS:CS),VLOOKUP(FJ300,'Jan-2026 rates'!$E:$F,2,0)))</f>
        <v>0</v>
      </c>
      <c r="FT300" s="409">
        <v>1</v>
      </c>
      <c r="FU300" s="398">
        <f>IF(FT300=0,0,IF(LEN(FK300)=11,_xlfn.XLOOKUP(FK300,'Dispensed Ink Rates'!C:C,'Dispensed Ink Rates'!CS:CS),VLOOKUP(FK300,'Jan-2026 rates'!$E:$F,2,0)))</f>
        <v>0</v>
      </c>
      <c r="FV300" s="409"/>
      <c r="FW300" s="398">
        <f>IF(FV300=0,0,IF(LEN(FL300)=11,_xlfn.XLOOKUP(FL300,'Dispensed Ink Rates'!C:C,'Dispensed Ink Rates'!CS:CS),VLOOKUP(FL300,'Jan-2026 rates'!$E:$F,2,0)))</f>
        <v>0</v>
      </c>
      <c r="FX300" s="409"/>
      <c r="FY300" s="398">
        <f>IF(FX300=0,0,IF(LEN(FM300)=11,_xlfn.XLOOKUP(FM300,'Dispensed Ink Rates'!C:C,'Dispensed Ink Rates'!CS:CS),VLOOKUP(FM300,'Jan-2026 rates'!$E:$F,2,0)))</f>
        <v>0</v>
      </c>
      <c r="FZ300" s="409"/>
      <c r="GA300" s="398">
        <f>IF(FZ300=0,0,IF(LEN(FN300)=11,_xlfn.XLOOKUP(FN300,'Dispensed Ink Rates'!C:C,'Dispensed Ink Rates'!CS:CS),VLOOKUP(FN300,'Jan-2026 rates'!$E:$F,2,0)))</f>
        <v>0</v>
      </c>
      <c r="GB300" s="409"/>
      <c r="GC300" s="398">
        <f>IF(GB300=0,0,IF(LEN(FO300)=11,_xlfn.XLOOKUP(FO300,'Dispensed Ink Rates'!C:C,'Dispensed Ink Rates'!CS:CS),VLOOKUP(FO300,'Jan-2026 rates'!$E:$F,2,0)))</f>
        <v>0</v>
      </c>
      <c r="GD300" s="409"/>
      <c r="GE300" s="398">
        <f>IF(GD300=0,0,IF(LEN(FP300)=11,_xlfn.XLOOKUP(FP300,'Dispensed Ink Rates'!C:C,'Dispensed Ink Rates'!CS:CS),VLOOKUP(FP300,'Jan-2026 rates'!$E:$F,2,0)))</f>
        <v>0</v>
      </c>
      <c r="GF300" s="409"/>
      <c r="GG300" s="398">
        <f>IF(GF300=0,0,IF(LEN(FQ300)=11,_xlfn.XLOOKUP(FQ300,'Dispensed Ink Rates'!C:C,'Dispensed Ink Rates'!CS:CS),VLOOKUP(FQ300,'Jan-2026 rates'!$E:$F,2,0)))</f>
        <v>0</v>
      </c>
      <c r="GH300" s="409" t="s">
        <v>1881</v>
      </c>
      <c r="GI300" s="409">
        <v>21</v>
      </c>
      <c r="GJ300" s="411">
        <f t="shared" si="224"/>
        <v>0</v>
      </c>
      <c r="GK300" s="411">
        <f t="shared" si="225"/>
        <v>2</v>
      </c>
      <c r="GL300" s="410">
        <f t="shared" si="226"/>
        <v>0</v>
      </c>
      <c r="GM300" s="405" t="s">
        <v>857</v>
      </c>
      <c r="GN300" s="409" t="s">
        <v>4415</v>
      </c>
      <c r="GO300" s="420" t="str">
        <f t="shared" si="188"/>
        <v>ToyoLi - RED</v>
      </c>
      <c r="GP300" s="409">
        <v>26</v>
      </c>
      <c r="GQ300" s="411">
        <f>IF(GP300=0,0,IF($LB300=70%,VLOOKUP($GO300,'Jan-2026 rates'!$L:$R,4,0),IF($LB300=65%,VLOOKUP($GO300,'Jan-2026 rates'!$L:$R,4,0),IF($LB300=40%,VLOOKUP($GO300,'Jan-2026 rates'!$L:$R,5,0),IF($LB300=30%,VLOOKUP($GO300,'Jan-2026 rates'!$L:$R,6,0),IF($LB300=100%,VLOOKUP($GO300,'Jan-2026 rates'!$L:$R,7,0),IF($LB300=60%,VLOOKUP($GO300,'Jan-2026 rates'!$L:$S,8,0),IF($LB300=80%,VLOOKUP($GO300,'Jan-2026 rates'!L:T,9,0),0))))))))</f>
        <v>0</v>
      </c>
      <c r="GR300" s="412"/>
      <c r="GS300" s="409"/>
      <c r="GT300" s="411">
        <f>IF(GS300=0,0,IF($LB300=70%,VLOOKUP($GO300,'Jan-2026 rates'!$L:$R,4,0),IF($LB300=65%,VLOOKUP($GO300,'Jan-2026 rates'!$L:$R,4,0),IF($LB300=40%,VLOOKUP($GO300,'Jan-2026 rates'!$L:$R,5,0),IF($LB300=30%,VLOOKUP($GO300,'Jan-2026 rates'!$L:$R,6,0),IF($LB300=100%,VLOOKUP($GO300,'Jan-2026 rates'!$L:$R,7,0),IF($LB300=60%,VLOOKUP($GO300,'Jan-2026 rates'!$L:$S,8,0),IF($LB300=80%,VLOOKUP($GO300,'Jan-2026 rates'!L:T,9,0),0))))))))</f>
        <v>0</v>
      </c>
      <c r="GU300" s="413" t="s">
        <v>1248</v>
      </c>
      <c r="GV300" s="413"/>
      <c r="GW300" s="412"/>
      <c r="GX300" s="412"/>
      <c r="GY300" s="412"/>
      <c r="GZ300" s="412"/>
      <c r="HA300" s="412"/>
      <c r="HB300" s="412"/>
      <c r="HC300" s="409">
        <v>2</v>
      </c>
      <c r="HD300" s="398">
        <f>IF(HC300=0,0,IF(LEN(GU300)=11,_xlfn.XLOOKUP(GU300,'Dispensed Ink Rates'!C:C,'Dispensed Ink Rates'!CS:CS),VLOOKUP(GU300,'Jan-2026 rates'!$E:$F,2,0)))</f>
        <v>0</v>
      </c>
      <c r="HE300" s="409"/>
      <c r="HF300" s="398">
        <f>IF(HE300=0,0,IF(LEN(GV300)=11,_xlfn.XLOOKUP(GV300,'Dispensed Ink Rates'!C:C,'Dispensed Ink Rates'!CS:CS),VLOOKUP(GV300,'Jan-2026 rates'!$E:$F,2,0)))</f>
        <v>0</v>
      </c>
      <c r="HG300" s="409"/>
      <c r="HH300" s="398">
        <f>IF(HG300=0,0,IF(LEN(GW300)=11,_xlfn.XLOOKUP(GW300,'Dispensed Ink Rates'!C:C,'Dispensed Ink Rates'!CS:CS),VLOOKUP(GW300,'Jan-2026 rates'!$E:$F,2,0)))</f>
        <v>0</v>
      </c>
      <c r="HI300" s="409"/>
      <c r="HJ300" s="398">
        <f>IF(HI300=0,0,IF(LEN(GX300)=11,_xlfn.XLOOKUP(GX300,'Dispensed Ink Rates'!C:C,'Dispensed Ink Rates'!CS:CS),VLOOKUP(GX300,'Jan-2026 rates'!$E:$F,2,0)))</f>
        <v>0</v>
      </c>
      <c r="HK300" s="409"/>
      <c r="HL300" s="398">
        <f>IF(HK300=0,0,IF(LEN(GY300)=11,_xlfn.XLOOKUP(GY300,'Dispensed Ink Rates'!C:C,'Dispensed Ink Rates'!CS:CS),VLOOKUP(GY300,'Jan-2026 rates'!$E:$F,2,0)))</f>
        <v>0</v>
      </c>
      <c r="HM300" s="409"/>
      <c r="HN300" s="398">
        <f>IF(HM300=0,0,IF(LEN(GZ300)=11,_xlfn.XLOOKUP(GZ300,'Dispensed Ink Rates'!C:C,'Dispensed Ink Rates'!CS:CS),VLOOKUP(GZ300,'Jan-2026 rates'!$E:$F,2,0)))</f>
        <v>0</v>
      </c>
      <c r="HO300" s="409"/>
      <c r="HP300" s="398">
        <f>IF(HO300=0,0,IF(LEN(HA300)=11,_xlfn.XLOOKUP(HA300,'Dispensed Ink Rates'!C:C,'Dispensed Ink Rates'!CS:CS),VLOOKUP(HA300,'Jan-2026 rates'!$E:$F,2,0)))</f>
        <v>0</v>
      </c>
      <c r="HQ300" s="409"/>
      <c r="HR300" s="398">
        <f>IF(HQ300=0,0,IF(LEN(HB300)=11,_xlfn.XLOOKUP(HB300,'Dispensed Ink Rates'!C:C,'Dispensed Ink Rates'!CS:CS),VLOOKUP(HB300,'Jan-2026 rates'!$E:$F,2,0)))</f>
        <v>0</v>
      </c>
      <c r="HS300" s="409" t="s">
        <v>1881</v>
      </c>
      <c r="HT300" s="409">
        <v>27</v>
      </c>
      <c r="HU300" s="411">
        <f t="shared" si="227"/>
        <v>0</v>
      </c>
      <c r="HV300" s="411">
        <f t="shared" si="228"/>
        <v>9.235294117647058</v>
      </c>
      <c r="HW300" s="414">
        <f t="shared" si="229"/>
        <v>0</v>
      </c>
      <c r="HX300" s="405" t="s">
        <v>856</v>
      </c>
      <c r="HY300" s="409" t="s">
        <v>4416</v>
      </c>
      <c r="HZ300" s="420" t="str">
        <f t="shared" si="189"/>
        <v>ToyoLi - WHITE</v>
      </c>
      <c r="IA300" s="409">
        <v>25</v>
      </c>
      <c r="IB300" s="411">
        <f>IF(IA300=0,0,IF($LB300=70%,VLOOKUP($HZ300,'Jan-2026 rates'!$L:$R,4,0),IF($LB300=65%,VLOOKUP($HZ300,'Jan-2026 rates'!$L:$R,4,0),IF($LB300=40%,VLOOKUP($HZ300,'Jan-2026 rates'!$L:$R,5,0),IF($LB300=30%,VLOOKUP($HZ300,'Jan-2026 rates'!$L:$R,6,0),IF($LB300=100%,VLOOKUP($HZ300,'Jan-2026 rates'!$L:$R,7,0),IF($LB300=60%,VLOOKUP($HZ300,'Jan-2026 rates'!$L:$S,8,0),IF($LB300=80%,VLOOKUP($HZ300,'Jan-2026 rates'!L:T,9,0),0))))))))</f>
        <v>0</v>
      </c>
      <c r="IC300" s="412"/>
      <c r="ID300" s="409"/>
      <c r="IE300" s="411">
        <f>IF(ID300=0,0,IF($LB300=70%,VLOOKUP($HZ300,'Jan-2026 rates'!$L:$R,4,0),IF($LB300=65%,VLOOKUP($HZ300,'Jan-2026 rates'!$L:$R,4,0),IF($LB300=40%,VLOOKUP($HZ300,'Jan-2026 rates'!$L:$R,5,0),IF($LB300=30%,VLOOKUP($HZ300,'Jan-2026 rates'!$L:$R,6,0),IF($LB300=100%,VLOOKUP($HZ300,'Jan-2026 rates'!$L:$R,7,0),IF($LB300=60%,VLOOKUP($HZ300,'Jan-2026 rates'!$L:$S,8,0),IF($LB300=80%,VLOOKUP($HZ300,'Jan-2026 rates'!L:T,9,0),0))))))))</f>
        <v>0</v>
      </c>
      <c r="IF300" s="412" t="s">
        <v>1249</v>
      </c>
      <c r="IG300" s="413"/>
      <c r="IH300" s="412"/>
      <c r="II300" s="412"/>
      <c r="IJ300" s="412"/>
      <c r="IK300" s="412"/>
      <c r="IL300" s="412"/>
      <c r="IM300" s="412"/>
      <c r="IN300" s="409">
        <v>40</v>
      </c>
      <c r="IO300" s="398">
        <f>IF(IN300=0,0,IF(LEN(IF300)=11,_xlfn.XLOOKUP(IF300,'Dispensed Ink Rates'!C:C,'Dispensed Ink Rates'!CS:CS),VLOOKUP(IF300,'Jan-2026 rates'!$E:$F,2,0)))</f>
        <v>0</v>
      </c>
      <c r="IP300" s="409"/>
      <c r="IQ300" s="398">
        <f>IF(IP300=0,0,IF(LEN(IG300)=11,_xlfn.XLOOKUP(IG300,'Dispensed Ink Rates'!C:C,'Dispensed Ink Rates'!CS:CS),VLOOKUP(IG300,'Jan-2026 rates'!$E:$F,2,0)))</f>
        <v>0</v>
      </c>
      <c r="IR300" s="409"/>
      <c r="IS300" s="398">
        <f>IF(IR300=0,0,IF(LEN(IH300)=11,_xlfn.XLOOKUP(IH300,'Dispensed Ink Rates'!C:C,'Dispensed Ink Rates'!CS:CS),VLOOKUP(IH300,'Jan-2026 rates'!$E:$F,2,0)))</f>
        <v>0</v>
      </c>
      <c r="IT300" s="409"/>
      <c r="IU300" s="398">
        <f>IF(IT300=0,0,IF(LEN(II300)=11,_xlfn.XLOOKUP(II300,'Dispensed Ink Rates'!C:C,'Dispensed Ink Rates'!CS:CS),VLOOKUP(II300,'Jan-2026 rates'!$E:$F,2,0)))</f>
        <v>0</v>
      </c>
      <c r="IV300" s="409"/>
      <c r="IW300" s="398">
        <f>IF(IV300=0,0,IF(LEN(IJ300)=11,_xlfn.XLOOKUP(IJ300,'Dispensed Ink Rates'!C:C,'Dispensed Ink Rates'!CS:CS),VLOOKUP(IJ300,'Jan-2026 rates'!$E:$F,2,0)))</f>
        <v>0</v>
      </c>
      <c r="IX300" s="409"/>
      <c r="IY300" s="398">
        <f>IF(IX300=0,0,IF(LEN(IK300)=11,_xlfn.XLOOKUP(IK300,'Dispensed Ink Rates'!C:C,'Dispensed Ink Rates'!CS:CS),VLOOKUP(IK300,'Jan-2026 rates'!$E:$F,2,0)))</f>
        <v>0</v>
      </c>
      <c r="IZ300" s="409"/>
      <c r="JA300" s="398">
        <f>IF(IZ300=0,0,IF(LEN(IL300)=11,_xlfn.XLOOKUP(IL300,'Dispensed Ink Rates'!C:C,'Dispensed Ink Rates'!CS:CS),VLOOKUP(IL300,'Jan-2026 rates'!$E:$F,2,0)))</f>
        <v>0</v>
      </c>
      <c r="JB300" s="409"/>
      <c r="JC300" s="398">
        <f>IF(JB300=0,0,IF(LEN(IM300)=11,_xlfn.XLOOKUP(IM300,'Dispensed Ink Rates'!C:C,'Dispensed Ink Rates'!CS:CS),VLOOKUP(IM300,'Jan-2026 rates'!$E:$F,2,0)))</f>
        <v>0</v>
      </c>
      <c r="JD300" s="409" t="s">
        <v>1881</v>
      </c>
      <c r="JE300" s="409">
        <v>30</v>
      </c>
      <c r="JF300" s="411">
        <f t="shared" si="230"/>
        <v>0</v>
      </c>
      <c r="JG300" s="411">
        <f t="shared" si="231"/>
        <v>117.35294117647061</v>
      </c>
      <c r="JH300" s="410">
        <f t="shared" si="232"/>
        <v>0</v>
      </c>
      <c r="JI300" s="405" t="s">
        <v>605</v>
      </c>
      <c r="JJ300" s="409" t="s">
        <v>4417</v>
      </c>
      <c r="JK300" s="420" t="str">
        <f t="shared" si="190"/>
        <v>ToyoLi - MATT</v>
      </c>
      <c r="JL300" s="409">
        <v>25</v>
      </c>
      <c r="JM300" s="411">
        <f>IF(JL300=0,0,IF($LB300=70%,VLOOKUP($JK300,'Jan-2026 rates'!$L:$R,4,0),IF($LB300=65%,VLOOKUP($JK300,'Jan-2026 rates'!$L:$R,4,0),IF($LB300=40%,VLOOKUP($JK300,'Jan-2026 rates'!$L:$R,5,0),IF($LB300=30%,VLOOKUP($JK300,'Jan-2026 rates'!$L:$R,6,0),IF($LB300=100%,VLOOKUP($JK300,'Jan-2026 rates'!$L:$R,7,0),IF($LB300=60%,VLOOKUP($JK300,'Jan-2026 rates'!$L:$S,8,0),IF($LB300=80%,VLOOKUP($JK300,'Jan-2026 rates'!L:T,9,0),0))))))))</f>
        <v>0</v>
      </c>
      <c r="JN300" s="412" t="s">
        <v>4418</v>
      </c>
      <c r="JO300" s="409">
        <v>13</v>
      </c>
      <c r="JP300" s="411">
        <f>IF(JO300=0,0,IF($LB300=70%,VLOOKUP($JK300,'Jan-2026 rates'!$L:$R,4,0),IF($LB300=65%,VLOOKUP($JK300,'Jan-2026 rates'!$L:$R,4,0),IF($LB300=40%,VLOOKUP($JK300,'Jan-2026 rates'!$L:$R,5,0),IF($LB300=30%,VLOOKUP($JK300,'Jan-2026 rates'!$L:$R,6,0),IF($LB300=100%,VLOOKUP($JK300,'Jan-2026 rates'!$L:$R,7,0),IF($LB300=60%,VLOOKUP($JK300,'Jan-2026 rates'!$L:$S,8,0),IF($LB300=80%,VLOOKUP($JK300,'Jan-2026 rates'!L:T,9,0),0))))))))</f>
        <v>0</v>
      </c>
      <c r="JQ300" s="413">
        <v>55</v>
      </c>
      <c r="JR300" s="412" t="s">
        <v>1902</v>
      </c>
      <c r="JS300" s="413"/>
      <c r="JT300" s="413"/>
      <c r="JU300" s="412"/>
      <c r="JV300" s="412"/>
      <c r="JW300" s="412"/>
      <c r="JX300" s="412"/>
      <c r="JY300" s="409">
        <v>40</v>
      </c>
      <c r="JZ300" s="398">
        <f>IF(JY300=0,0,IF(LEN(JQ300)=11,_xlfn.XLOOKUP(JQ300,'Dispensed Ink Rates'!C:C,'Dispensed Ink Rates'!CS:CS),VLOOKUP(JQ300,'Jan-2026 rates'!$E:$F,2,0)))</f>
        <v>0</v>
      </c>
      <c r="KA300" s="409">
        <v>10</v>
      </c>
      <c r="KB300" s="398">
        <f>IF(KA300=0,0,IF(LEN(JR300)=11,_xlfn.XLOOKUP(JR300,'Dispensed Ink Rates'!C:C,'Dispensed Ink Rates'!CS:CS),VLOOKUP(JR300,'Jan-2026 rates'!$E:$F,2,0)))</f>
        <v>0</v>
      </c>
      <c r="KC300" s="409"/>
      <c r="KD300" s="398">
        <f>IF(KC300=0,0,IF(LEN(JS300)=11,_xlfn.XLOOKUP(JS300,'Dispensed Ink Rates'!C:C,'Dispensed Ink Rates'!CS:CS),VLOOKUP(JS300,'Jan-2026 rates'!$E:$F,2,0)))</f>
        <v>0</v>
      </c>
      <c r="KE300" s="409"/>
      <c r="KF300" s="398">
        <f>IF(KE300=0,0,IF(LEN(JT300)=11,_xlfn.XLOOKUP(JT300,'Dispensed Ink Rates'!C:C,'Dispensed Ink Rates'!CS:CS),VLOOKUP(JT300,'Jan-2026 rates'!$E:$F,2,0)))</f>
        <v>0</v>
      </c>
      <c r="KG300" s="409"/>
      <c r="KH300" s="398">
        <f>IF(KG300=0,0,IF(LEN(JU300)=11,_xlfn.XLOOKUP(JU300,'Dispensed Ink Rates'!C:C,'Dispensed Ink Rates'!CS:CS),VLOOKUP(JU300,'Jan-2026 rates'!$E:$F,2,0)))</f>
        <v>0</v>
      </c>
      <c r="KI300" s="409"/>
      <c r="KJ300" s="398">
        <f>IF(KI300=0,0,IF(LEN(JV300)=11,_xlfn.XLOOKUP(JV300,'Dispensed Ink Rates'!C:C,'Dispensed Ink Rates'!CS:CS),VLOOKUP(JV300,'Jan-2026 rates'!$E:$F,2,0)))</f>
        <v>0</v>
      </c>
      <c r="KK300" s="409"/>
      <c r="KL300" s="398">
        <f>IF(KK300=0,0,IF(LEN(JW300)=11,_xlfn.XLOOKUP(JW300,'Dispensed Ink Rates'!C:C,'Dispensed Ink Rates'!CS:CS),VLOOKUP(JW300,'Jan-2026 rates'!$E:$F,2,0)))</f>
        <v>0</v>
      </c>
      <c r="KM300" s="428"/>
      <c r="KN300" s="398">
        <f>IF(KM300=0,0,IF(LEN(JX300)=11,_xlfn.XLOOKUP(JX300,'Dispensed Ink Rates'!C:C,'Dispensed Ink Rates'!CS:CS),VLOOKUP(JX300,'Jan-2026 rates'!$E:$F,2,0)))</f>
        <v>0</v>
      </c>
      <c r="KO300" s="409" t="s">
        <v>1881</v>
      </c>
      <c r="KP300" s="409">
        <v>30</v>
      </c>
      <c r="KQ300" s="411">
        <f t="shared" si="233"/>
        <v>0</v>
      </c>
      <c r="KR300" s="411">
        <f t="shared" si="234"/>
        <v>90.941176470588232</v>
      </c>
      <c r="KS300" s="410">
        <f t="shared" si="235"/>
        <v>0</v>
      </c>
      <c r="KT300" s="409">
        <v>2</v>
      </c>
      <c r="KU300" s="409">
        <v>2</v>
      </c>
      <c r="KV300" s="409">
        <v>0</v>
      </c>
      <c r="KW300" s="409">
        <v>0</v>
      </c>
      <c r="KX300" s="409">
        <v>0</v>
      </c>
      <c r="KY300" s="409">
        <v>2</v>
      </c>
      <c r="KZ300" s="409">
        <v>20</v>
      </c>
      <c r="LA300" s="409">
        <v>8</v>
      </c>
      <c r="LB300" s="415">
        <v>0.3</v>
      </c>
      <c r="LC300" s="415"/>
      <c r="LD300" s="424"/>
      <c r="LE300" s="415">
        <v>0.5</v>
      </c>
      <c r="LF300" s="415">
        <v>0.2</v>
      </c>
      <c r="LG300" s="409">
        <v>0</v>
      </c>
      <c r="LH300" s="409">
        <f>28+22+27+45+18</f>
        <v>140</v>
      </c>
      <c r="LI300" s="409">
        <v>0</v>
      </c>
      <c r="LJ300" s="409">
        <v>0</v>
      </c>
      <c r="LK300" s="416">
        <f t="shared" si="191"/>
        <v>140</v>
      </c>
      <c r="LL300" s="416">
        <f t="shared" si="237"/>
        <v>140</v>
      </c>
      <c r="LM300" s="417">
        <f t="shared" si="193"/>
        <v>42</v>
      </c>
      <c r="LN300" s="417">
        <f>VLOOKUP($LM$8,'Jan-2026 rates'!$H:$I,2,0)</f>
        <v>0</v>
      </c>
      <c r="LO300" s="417">
        <f t="shared" si="194"/>
        <v>0</v>
      </c>
      <c r="LP300" s="417">
        <f>VLOOKUP($LO$8,'Jan-2026 rates'!$H:$I,2,0)</f>
        <v>0</v>
      </c>
      <c r="LQ300" s="417">
        <f t="shared" si="195"/>
        <v>0</v>
      </c>
      <c r="LR300" s="417">
        <f>VLOOKUP($LQ$8,'Jan-2026 rates'!$H:$I,2,0)</f>
        <v>0</v>
      </c>
      <c r="LS300" s="417">
        <f t="shared" si="196"/>
        <v>70</v>
      </c>
      <c r="LT300" s="417">
        <f>VLOOKUP($LS$8,'Jan-2026 rates'!$H:$I,2,0)</f>
        <v>0</v>
      </c>
      <c r="LU300" s="417">
        <f t="shared" si="197"/>
        <v>28</v>
      </c>
      <c r="LV300" s="417">
        <f>VLOOKUP($LU$8,'Jan-2026 rates'!$H:$I,2,0)</f>
        <v>0</v>
      </c>
      <c r="LW300" s="417">
        <f t="shared" si="198"/>
        <v>0</v>
      </c>
      <c r="LX300" s="417">
        <f t="shared" si="199"/>
        <v>0</v>
      </c>
      <c r="LY300" s="418">
        <f t="shared" si="200"/>
        <v>0</v>
      </c>
      <c r="LZ300" s="417"/>
      <c r="MA300" s="435">
        <f t="shared" si="201"/>
        <v>105</v>
      </c>
      <c r="MB300" s="282">
        <f t="shared" si="202"/>
        <v>268</v>
      </c>
      <c r="MC300" s="283" t="s">
        <v>2039</v>
      </c>
      <c r="MD300" s="284" t="str">
        <f t="shared" si="203"/>
        <v>ToyoLiToyoLiToyoLiToyoLiToyoLiToyoLiToyoLiToyoLi</v>
      </c>
      <c r="ME300" s="293" t="str">
        <f t="shared" si="204"/>
        <v>+</v>
      </c>
      <c r="MF300" s="293" t="str">
        <f t="shared" si="205"/>
        <v>+</v>
      </c>
      <c r="MG300" s="293" t="str">
        <f t="shared" si="206"/>
        <v>+</v>
      </c>
      <c r="MH300" s="293" t="str">
        <f t="shared" si="207"/>
        <v>+</v>
      </c>
      <c r="MI300" s="293" t="str">
        <f t="shared" si="208"/>
        <v>+</v>
      </c>
      <c r="MJ300" s="293" t="str">
        <f t="shared" si="209"/>
        <v>+</v>
      </c>
      <c r="MK300" s="293" t="str">
        <f t="shared" si="210"/>
        <v>+</v>
      </c>
      <c r="ML300" s="293" t="str">
        <f t="shared" si="211"/>
        <v>+</v>
      </c>
      <c r="MM300" s="3" t="b">
        <f t="array" ref="MM300">OR(ME300:ML300="-")</f>
        <v>0</v>
      </c>
      <c r="MO300" s="401">
        <f t="shared" si="238"/>
        <v>143.31550802139037</v>
      </c>
      <c r="MP300" s="286"/>
      <c r="MR300" s="402">
        <f t="shared" si="239"/>
        <v>2.271186440677966E-2</v>
      </c>
      <c r="MS300" s="400">
        <f t="shared" si="240"/>
        <v>0</v>
      </c>
      <c r="MT300" s="285"/>
      <c r="NH300" s="361"/>
      <c r="NJ300" s="282"/>
    </row>
    <row r="301" spans="1:374" ht="16.5">
      <c r="A301" s="403">
        <v>46042</v>
      </c>
      <c r="B301" s="404" t="s">
        <v>1015</v>
      </c>
      <c r="C301" s="405" t="s">
        <v>4419</v>
      </c>
      <c r="D301" s="404" t="s">
        <v>2040</v>
      </c>
      <c r="E301" s="404">
        <v>325</v>
      </c>
      <c r="F301" s="407">
        <v>20500</v>
      </c>
      <c r="G301" s="407" t="s">
        <v>1016</v>
      </c>
      <c r="H301" s="408" t="s">
        <v>1017</v>
      </c>
      <c r="I301" s="409">
        <f>1.5+1</f>
        <v>2.5</v>
      </c>
      <c r="J301" s="405" t="s">
        <v>543</v>
      </c>
      <c r="K301" s="404" t="s">
        <v>4420</v>
      </c>
      <c r="L301" s="419" t="str">
        <f t="shared" si="184"/>
        <v>ToyoLi - BLACK</v>
      </c>
      <c r="M301" s="404">
        <v>20</v>
      </c>
      <c r="N301" s="410">
        <f>IF(M301=0,0,IF($LB301=70%,VLOOKUP($L301,'Jan-2026 rates'!$L:$R,4,0),IF($LB301=65%,VLOOKUP($L301,'Jan-2026 rates'!$L:$R,4,0),IF($LB301=40%,VLOOKUP($L301,'Jan-2026 rates'!$L:$R,5,0),IF($LB301=30%,VLOOKUP($L301,'Jan-2026 rates'!$L:$R,6,0),IF($LB301=100%,VLOOKUP($L301,'Jan-2026 rates'!$L:$R,7,0),IF($LB301=60%,VLOOKUP($L301,'Jan-2026 rates'!$L:$S,8,0),IF($LB301=80%,VLOOKUP($L301,'Jan-2026 rates'!L:T,9,0),0))))))))</f>
        <v>0</v>
      </c>
      <c r="O301" s="406" t="s">
        <v>4421</v>
      </c>
      <c r="P301" s="404">
        <f>18+20</f>
        <v>38</v>
      </c>
      <c r="Q301" s="410">
        <f>IF(P301=0,0,IF($LB301=70%,VLOOKUP($L301,'Jan-2026 rates'!$L:$R,4,0),IF($LB301=65%,VLOOKUP($L301,'Jan-2026 rates'!$L:$R,4,0),IF($LB301=40%,VLOOKUP($L301,'Jan-2026 rates'!$L:$R,5,0),IF($LB301=30%,VLOOKUP($L301,'Jan-2026 rates'!$L:$R,6,0),IF($LB301=100%,VLOOKUP($L301,'Jan-2026 rates'!$L:$R,7,0),IF($LB301=60%,VLOOKUP($L301,'Jan-2026 rates'!$L:$S,8,0),IF($LB301=80%,VLOOKUP($L301,'Jan-2026 rates'!L:T,9,0),0))))))))</f>
        <v>0</v>
      </c>
      <c r="R301" s="406" t="s">
        <v>1250</v>
      </c>
      <c r="S301" s="406" t="s">
        <v>1252</v>
      </c>
      <c r="T301" s="406" t="s">
        <v>1247</v>
      </c>
      <c r="U301" s="406" t="s">
        <v>1251</v>
      </c>
      <c r="V301" s="406"/>
      <c r="W301" s="406"/>
      <c r="X301" s="406"/>
      <c r="Y301" s="406"/>
      <c r="Z301" s="404">
        <f>2+2</f>
        <v>4</v>
      </c>
      <c r="AA301" s="398">
        <f>IF(Z301=0,0,IF(LEN(R301)=11,_xlfn.XLOOKUP(R301,'Dispensed Ink Rates'!C:C,'Dispensed Ink Rates'!CS:CS),VLOOKUP(R301,'Jan-2026 rates'!$E:$F,2,0)))</f>
        <v>0</v>
      </c>
      <c r="AB301" s="404">
        <v>5</v>
      </c>
      <c r="AC301" s="398">
        <f>IF(AB301=0,0,IF(LEN(S301)=11,_xlfn.XLOOKUP(S301,'Dispensed Ink Rates'!C:C,'Dispensed Ink Rates'!CS:CS),VLOOKUP(S301,'Jan-2026 rates'!$E:$F,2,0)))</f>
        <v>0</v>
      </c>
      <c r="AD301" s="404">
        <v>5</v>
      </c>
      <c r="AE301" s="398">
        <f>IF(AD301=0,0,IF(LEN(T301)=11,_xlfn.XLOOKUP(T301,'Dispensed Ink Rates'!C:C,'Dispensed Ink Rates'!CS:CS),VLOOKUP(T301,'Jan-2026 rates'!$E:$F,2,0)))</f>
        <v>0</v>
      </c>
      <c r="AF301" s="404">
        <v>1</v>
      </c>
      <c r="AG301" s="398">
        <f>IF(AF301=0,0,IF(LEN(U301)=11,_xlfn.XLOOKUP(U301,'Dispensed Ink Rates'!C:C,'Dispensed Ink Rates'!CS:CS),VLOOKUP(U301,'Jan-2026 rates'!$E:$F,2,0)))</f>
        <v>0</v>
      </c>
      <c r="AH301" s="404"/>
      <c r="AI301" s="398">
        <f>IF(AH301=0,0,IF(LEN(V301)=11,_xlfn.XLOOKUP(V301,'Dispensed Ink Rates'!C:C,'Dispensed Ink Rates'!CS:CS),VLOOKUP(V301,'Jan-2026 rates'!$E:$F,2,0)))</f>
        <v>0</v>
      </c>
      <c r="AJ301" s="404"/>
      <c r="AK301" s="398">
        <f>IF(AJ301=0,0,IF(LEN(W301)=11,_xlfn.XLOOKUP(W301,'Dispensed Ink Rates'!C:C,'Dispensed Ink Rates'!CS:CS),VLOOKUP(W301,'Jan-2026 rates'!$E:$F,2,0)))</f>
        <v>0</v>
      </c>
      <c r="AL301" s="404"/>
      <c r="AM301" s="398">
        <f>IF(AL301=0,0,IF(LEN(X301)=11,_xlfn.XLOOKUP(X301,'Dispensed Ink Rates'!C:C,'Dispensed Ink Rates'!CS:CS),VLOOKUP(X301,'Jan-2026 rates'!$E:$F,2,0)))</f>
        <v>0</v>
      </c>
      <c r="AN301" s="404"/>
      <c r="AO301" s="398">
        <f>IF(AN301=0,0,IF(LEN(Y301)=11,_xlfn.XLOOKUP(Y301,'Dispensed Ink Rates'!C:C,'Dispensed Ink Rates'!CS:CS),VLOOKUP(Y301,'Jan-2026 rates'!$E:$F,2,0)))</f>
        <v>0</v>
      </c>
      <c r="AP301" s="409" t="s">
        <v>1881</v>
      </c>
      <c r="AQ301" s="409">
        <f>11+18</f>
        <v>29</v>
      </c>
      <c r="AR301" s="410">
        <f t="shared" si="212"/>
        <v>0</v>
      </c>
      <c r="AS301" s="411">
        <f t="shared" si="213"/>
        <v>51.403508771929822</v>
      </c>
      <c r="AT301" s="410">
        <f t="shared" si="214"/>
        <v>0</v>
      </c>
      <c r="AU301" s="405" t="s">
        <v>828</v>
      </c>
      <c r="AV301" s="409" t="s">
        <v>4422</v>
      </c>
      <c r="AW301" s="420" t="str">
        <f t="shared" si="236"/>
        <v>ToyoLi - ORANGE</v>
      </c>
      <c r="AX301" s="409">
        <f>20+10</f>
        <v>30</v>
      </c>
      <c r="AY301" s="411">
        <f>IF(AX301=0,0,IF($LB301=70%,VLOOKUP($AW301,'Jan-2026 rates'!$L:$R,4,0),IF($LB301=65%,VLOOKUP($AW301,'Jan-2026 rates'!$L:$R,4,0),IF($LB301=40%,VLOOKUP($AW301,'Jan-2026 rates'!$L:$R,5,0),IF($LB301=30%,VLOOKUP($AW301,'Jan-2026 rates'!$L:$R,6,0),IF($LB301=100%,VLOOKUP($AW301,'Jan-2026 rates'!$L:$R,7,0),IF($LB301=60%,VLOOKUP($AW301,'Jan-2026 rates'!$L:$S,8,0),IF($LB301=80%,VLOOKUP($AW301,'Jan-2026 rates'!L:T,9,0),0))))))))</f>
        <v>0</v>
      </c>
      <c r="AZ301" s="412"/>
      <c r="BA301" s="409"/>
      <c r="BB301" s="411">
        <f>IF(BA301=0,0,IF($LB301=70%,VLOOKUP($AW301,'Jan-2026 rates'!$L:$R,4,0),IF($LB301=65%,VLOOKUP($AW301,'Jan-2026 rates'!$L:$R,4,0),IF($LB301=40%,VLOOKUP($AW301,'Jan-2026 rates'!$L:$R,5,0),IF($LB301=30%,VLOOKUP($AW301,'Jan-2026 rates'!$L:$R,6,0),IF($LB301=100%,VLOOKUP($AW301,'Jan-2026 rates'!$L:$R,7,0),IF($LB301=60%,VLOOKUP($AW301,'Jan-2026 rates'!$L:$S,8,0),IF($LB301=80%,VLOOKUP($AW301,'Jan-2026 rates'!L:T,9,0),0))))))))</f>
        <v>0</v>
      </c>
      <c r="BC301" s="413" t="s">
        <v>1247</v>
      </c>
      <c r="BD301" s="412" t="s">
        <v>1248</v>
      </c>
      <c r="BE301" s="412" t="s">
        <v>1921</v>
      </c>
      <c r="BF301" s="413"/>
      <c r="BG301" s="412"/>
      <c r="BH301" s="412"/>
      <c r="BI301" s="412"/>
      <c r="BJ301" s="412"/>
      <c r="BK301" s="409">
        <v>3</v>
      </c>
      <c r="BL301" s="398">
        <f>IF(BK301=0,0,IF(LEN(BC301)=11,_xlfn.XLOOKUP(BC301,'Dispensed Ink Rates'!C:C,'Dispensed Ink Rates'!CS:CS),VLOOKUP(BC301,'Jan-2026 rates'!$E:$F,2,0)))</f>
        <v>0</v>
      </c>
      <c r="BM301" s="409">
        <v>2</v>
      </c>
      <c r="BN301" s="398">
        <f>IF(BM301=0,0,IF(LEN(BD301)=11,_xlfn.XLOOKUP(BD301,'Dispensed Ink Rates'!C:C,'Dispensed Ink Rates'!CS:CS),VLOOKUP(BD301,'Jan-2026 rates'!$E:$F,2,0)))</f>
        <v>0</v>
      </c>
      <c r="BO301" s="409">
        <v>4</v>
      </c>
      <c r="BP301" s="398">
        <f>IF(BO301=0,0,IF(LEN(BE301)=11,_xlfn.XLOOKUP(BE301,'Dispensed Ink Rates'!C:C,'Dispensed Ink Rates'!CS:CS),VLOOKUP(BE301,'Jan-2026 rates'!$E:$F,2,0)))</f>
        <v>0</v>
      </c>
      <c r="BQ301" s="409"/>
      <c r="BR301" s="398">
        <f>IF(BQ301=0,0,IF(LEN(BF301)=11,_xlfn.XLOOKUP(BF301,'Dispensed Ink Rates'!C:C,'Dispensed Ink Rates'!CS:CS),VLOOKUP(BF301,'Jan-2026 rates'!$E:$F,2,0)))</f>
        <v>0</v>
      </c>
      <c r="BS301" s="409"/>
      <c r="BT301" s="398">
        <f>IF(BS301=0,0,IF(LEN(BG301)=11,_xlfn.XLOOKUP(BG301,'Dispensed Ink Rates'!C:C,'Dispensed Ink Rates'!CS:CS),VLOOKUP(BG301,'Jan-2026 rates'!$E:$F,2,0)))</f>
        <v>0</v>
      </c>
      <c r="BU301" s="409"/>
      <c r="BV301" s="398">
        <f>IF(BU301=0,0,IF(LEN(BH301)=11,_xlfn.XLOOKUP(BH301,'Dispensed Ink Rates'!C:C,'Dispensed Ink Rates'!CS:CS),VLOOKUP(BH301,'Jan-2026 rates'!$E:$F,2,0)))</f>
        <v>0</v>
      </c>
      <c r="BW301" s="409"/>
      <c r="BX301" s="398">
        <f>IF(BW301=0,0,IF(LEN(BI301)=11,_xlfn.XLOOKUP(BI301,'Dispensed Ink Rates'!C:C,'Dispensed Ink Rates'!CS:CS),VLOOKUP(BI301,'Jan-2026 rates'!$E:$F,2,0)))</f>
        <v>0</v>
      </c>
      <c r="BY301" s="409"/>
      <c r="BZ301" s="398">
        <f>IF(BY301=0,0,IF(LEN(BJ301)=11,_xlfn.XLOOKUP(BJ301,'Dispensed Ink Rates'!C:C,'Dispensed Ink Rates'!CS:CS),VLOOKUP(BJ301,'Jan-2026 rates'!$E:$F,2,0)))</f>
        <v>0</v>
      </c>
      <c r="CA301" s="409" t="s">
        <v>1881</v>
      </c>
      <c r="CB301" s="409">
        <f>20+11</f>
        <v>31</v>
      </c>
      <c r="CC301" s="411">
        <f t="shared" si="215"/>
        <v>0</v>
      </c>
      <c r="CD301" s="411">
        <f t="shared" si="216"/>
        <v>19.10526315789474</v>
      </c>
      <c r="CE301" s="410">
        <f t="shared" si="217"/>
        <v>0</v>
      </c>
      <c r="CF301" s="404" t="s">
        <v>548</v>
      </c>
      <c r="CG301" s="409" t="s">
        <v>4423</v>
      </c>
      <c r="CH301" s="420" t="str">
        <f t="shared" si="185"/>
        <v>ToyoLi - GOLD</v>
      </c>
      <c r="CI301" s="409">
        <v>24</v>
      </c>
      <c r="CJ301" s="411">
        <f>IF(CI301=0,0,IF($LB301=70%,VLOOKUP($CH301,'Jan-2026 rates'!$L:$R,4,0),IF($LB301=65%,VLOOKUP($CH301,'Jan-2026 rates'!$L:$R,4,0),IF($LB301=40%,VLOOKUP($CH301,'Jan-2026 rates'!$L:$R,5,0),IF($LB301=30%,VLOOKUP($CH301,'Jan-2026 rates'!$L:$R,6,0),IF($LB301=100%,VLOOKUP($CH301,'Jan-2026 rates'!$L:$R,7,0),IF($LB301=60%,VLOOKUP($CH301,'Jan-2026 rates'!$L:$S,8,0),IF($LB301=80%,VLOOKUP($CH301,'Jan-2026 rates'!L:T,9,0),0))))))))</f>
        <v>0</v>
      </c>
      <c r="CK301" s="412"/>
      <c r="CL301" s="409"/>
      <c r="CM301" s="411">
        <f>IF(CL301=0,0,IF($LB301=70%,VLOOKUP($CH301,'Jan-2026 rates'!$L:$R,4,0),IF($LB301=65%,VLOOKUP($CH301,'Jan-2026 rates'!$L:$R,4,0),IF($LB301=40%,VLOOKUP($CH301,'Jan-2026 rates'!$L:$R,5,0),IF($LB301=30%,VLOOKUP($CH301,'Jan-2026 rates'!$L:$R,6,0),IF($LB301=100%,VLOOKUP($CH301,'Jan-2026 rates'!$L:$R,7,0),IF($LB301=60%,VLOOKUP($CH301,'Jan-2026 rates'!$L:$S,8,0),IF($LB301=80%,VLOOKUP($CH301,'Jan-2026 rates'!L:T,9,0),0))))))))</f>
        <v>0</v>
      </c>
      <c r="CN301" s="426"/>
      <c r="CO301" s="427"/>
      <c r="CP301" s="426"/>
      <c r="CQ301" s="426"/>
      <c r="CR301" s="428"/>
      <c r="CS301" s="428"/>
      <c r="CT301" s="428"/>
      <c r="CU301" s="428"/>
      <c r="CV301" s="409"/>
      <c r="CW301" s="398">
        <f>IF(CV301=0,0,IF(LEN(CN301)=11,_xlfn.XLOOKUP(CN301,'Dispensed Ink Rates'!C:C,'Dispensed Ink Rates'!CS:CS),VLOOKUP(CN301,'Jan-2026 rates'!$E:$F,2,0)))</f>
        <v>0</v>
      </c>
      <c r="CX301" s="409"/>
      <c r="CY301" s="398">
        <f>IF(CX301=0,0,IF(LEN(CO301)=11,_xlfn.XLOOKUP(CO301,'Dispensed Ink Rates'!C:C,'Dispensed Ink Rates'!CS:CS),VLOOKUP(CO301,'Jan-2026 rates'!$E:$F,2,0)))</f>
        <v>0</v>
      </c>
      <c r="CZ301" s="409"/>
      <c r="DA301" s="398">
        <f>IF(CZ301=0,0,IF(LEN(CP301)=11,_xlfn.XLOOKUP(CP301,'Dispensed Ink Rates'!C:C,'Dispensed Ink Rates'!CS:CS),VLOOKUP(CP301,'Jan-2026 rates'!$E:$F,2,0)))</f>
        <v>0</v>
      </c>
      <c r="DB301" s="409"/>
      <c r="DC301" s="398">
        <f>IF(DB301=0,0,IF(LEN(CQ301)=11,_xlfn.XLOOKUP(CQ301,'Dispensed Ink Rates'!C:C,'Dispensed Ink Rates'!CS:CS),VLOOKUP(CQ301,'Jan-2026 rates'!$E:$F,2,0)))</f>
        <v>0</v>
      </c>
      <c r="DD301" s="409"/>
      <c r="DE301" s="398">
        <f>IF(DD301=0,0,IF(LEN(CR301)=11,_xlfn.XLOOKUP(CR301,'Dispensed Ink Rates'!C:C,'Dispensed Ink Rates'!CS:CS),VLOOKUP(CR301,'Jan-2026 rates'!$E:$F,2,0)))</f>
        <v>0</v>
      </c>
      <c r="DF301" s="409"/>
      <c r="DG301" s="398">
        <f>IF(DF301=0,0,IF(LEN(CS301)=11,_xlfn.XLOOKUP(CS301,'Dispensed Ink Rates'!C:C,'Dispensed Ink Rates'!CS:CS),VLOOKUP(CS301,'Jan-2026 rates'!$E:$F,2,0)))</f>
        <v>0</v>
      </c>
      <c r="DH301" s="409"/>
      <c r="DI301" s="398">
        <f>IF(DH301=0,0,IF(LEN(CT301)=11,_xlfn.XLOOKUP(CT301,'Dispensed Ink Rates'!C:C,'Dispensed Ink Rates'!CS:CS),VLOOKUP(CT301,'Jan-2026 rates'!$E:$F,2,0)))</f>
        <v>0</v>
      </c>
      <c r="DJ301" s="409"/>
      <c r="DK301" s="398">
        <f>IF(DJ301=0,0,IF(LEN(CU301)=11,_xlfn.XLOOKUP(CU301,'Dispensed Ink Rates'!C:C,'Dispensed Ink Rates'!CS:CS),VLOOKUP(CU301,'Jan-2026 rates'!$E:$F,2,0)))</f>
        <v>0</v>
      </c>
      <c r="DL301" s="409" t="s">
        <v>1881</v>
      </c>
      <c r="DM301" s="409">
        <f>20+10</f>
        <v>30</v>
      </c>
      <c r="DN301" s="411">
        <f t="shared" si="218"/>
        <v>0</v>
      </c>
      <c r="DO301" s="411">
        <f t="shared" si="219"/>
        <v>1.4035087719298254</v>
      </c>
      <c r="DP301" s="410">
        <f t="shared" si="220"/>
        <v>0</v>
      </c>
      <c r="DQ301" s="405" t="s">
        <v>1920</v>
      </c>
      <c r="DR301" s="409" t="s">
        <v>4424</v>
      </c>
      <c r="DS301" s="420" t="str">
        <f t="shared" si="186"/>
        <v>ToyoLi - SILVER</v>
      </c>
      <c r="DT301" s="409">
        <v>24</v>
      </c>
      <c r="DU301" s="411">
        <f>IF(DT301=0,0,IF($LB301=70%,VLOOKUP($DS301,'Jan-2026 rates'!$L:$R,4,0),IF($LB301=65%,VLOOKUP($DS301,'Jan-2026 rates'!$L:$R,4,0),IF($LB301=40%,VLOOKUP($DS301,'Jan-2026 rates'!$L:$R,5,0),IF($LB301=30%,VLOOKUP($DS301,'Jan-2026 rates'!$L:$R,6,0),IF($LB301=100%,VLOOKUP($DS301,'Jan-2026 rates'!$L:$R,7,0),IF($LB301=60%,VLOOKUP($DS301,'Jan-2026 rates'!$L:$S,8,0),IF($LB301=80%,VLOOKUP($DS301,'Jan-2026 rates'!L:T,9,0),0))))))))</f>
        <v>0</v>
      </c>
      <c r="DV301" s="412"/>
      <c r="DW301" s="409"/>
      <c r="DX301" s="411">
        <f>IF(DW301=0,0,IF($LB301=70%,VLOOKUP($DS301,'Jan-2026 rates'!$L:$R,4,0),IF($LB301=65%,VLOOKUP($DS301,'Jan-2026 rates'!$L:$R,4,0),IF($LB301=40%,VLOOKUP($DS301,'Jan-2026 rates'!$L:$R,5,0),IF($LB301=30%,VLOOKUP($DS301,'Jan-2026 rates'!$L:$R,6,0),IF($LB301=100%,VLOOKUP($DS301,'Jan-2026 rates'!$L:$R,7,0),IF($LB301=60%,VLOOKUP($DS301,'Jan-2026 rates'!$L:$S,8,0),IF($LB301=80%,VLOOKUP($DS301,'Jan-2026 rates'!L:T,9,0),0))))))))</f>
        <v>0</v>
      </c>
      <c r="DY301" s="413"/>
      <c r="DZ301" s="413"/>
      <c r="EA301" s="412"/>
      <c r="EB301" s="412"/>
      <c r="EC301" s="412"/>
      <c r="ED301" s="412"/>
      <c r="EE301" s="412"/>
      <c r="EF301" s="412"/>
      <c r="EG301" s="409"/>
      <c r="EH301" s="398">
        <f>IF(EG301=0,0,IF(LEN(DY301)=11,_xlfn.XLOOKUP(DY301,'Dispensed Ink Rates'!C:C,'Dispensed Ink Rates'!CS:CS),VLOOKUP(DY301,'Jan-2026 rates'!$E:$F,2,0)))</f>
        <v>0</v>
      </c>
      <c r="EI301" s="409"/>
      <c r="EJ301" s="398">
        <f>IF(EI301=0,0,IF(LEN(DZ301)=11,_xlfn.XLOOKUP(DZ301,'Dispensed Ink Rates'!C:C,'Dispensed Ink Rates'!CS:CS),VLOOKUP(DZ301,'Jan-2026 rates'!$E:$F,2,0)))</f>
        <v>0</v>
      </c>
      <c r="EK301" s="409"/>
      <c r="EL301" s="398">
        <f>IF(EK301=0,0,IF(LEN(EA301)=11,_xlfn.XLOOKUP(EA301,'Dispensed Ink Rates'!C:C,'Dispensed Ink Rates'!CS:CS),VLOOKUP(EA301,'Jan-2026 rates'!$E:$F,2,0)))</f>
        <v>0</v>
      </c>
      <c r="EM301" s="409"/>
      <c r="EN301" s="398">
        <f>IF(EM301=0,0,IF(LEN(EB301)=11,_xlfn.XLOOKUP(EB301,'Dispensed Ink Rates'!C:C,'Dispensed Ink Rates'!CS:CS),VLOOKUP(EB301,'Jan-2026 rates'!$E:$F,2,0)))</f>
        <v>0</v>
      </c>
      <c r="EO301" s="409"/>
      <c r="EP301" s="398">
        <f>IF(EO301=0,0,IF(LEN(EC301)=11,_xlfn.XLOOKUP(EC301,'Dispensed Ink Rates'!C:C,'Dispensed Ink Rates'!CS:CS),VLOOKUP(EC301,'Jan-2026 rates'!$E:$F,2,0)))</f>
        <v>0</v>
      </c>
      <c r="EQ301" s="409"/>
      <c r="ER301" s="398">
        <f>IF(EQ301=0,0,IF(LEN(ED301)=11,_xlfn.XLOOKUP(ED301,'Dispensed Ink Rates'!C:C,'Dispensed Ink Rates'!CS:CS),VLOOKUP(ED301,'Jan-2026 rates'!$E:$F,2,0)))</f>
        <v>0</v>
      </c>
      <c r="ES301" s="409"/>
      <c r="ET301" s="398">
        <f>IF(ES301=0,0,IF(LEN(EE301)=11,_xlfn.XLOOKUP(EE301,'Dispensed Ink Rates'!C:C,'Dispensed Ink Rates'!CS:CS),VLOOKUP(EE301,'Jan-2026 rates'!$E:$F,2,0)))</f>
        <v>0</v>
      </c>
      <c r="EU301" s="409"/>
      <c r="EV301" s="398">
        <f>IF(EU301=0,0,IF(LEN(EF301)=11,_xlfn.XLOOKUP(EF301,'Dispensed Ink Rates'!C:C,'Dispensed Ink Rates'!CS:CS),VLOOKUP(EF301,'Jan-2026 rates'!$E:$F,2,0)))</f>
        <v>0</v>
      </c>
      <c r="EW301" s="409" t="s">
        <v>1881</v>
      </c>
      <c r="EX301" s="409">
        <f>20+9</f>
        <v>29</v>
      </c>
      <c r="EY301" s="411">
        <f t="shared" si="221"/>
        <v>0</v>
      </c>
      <c r="EZ301" s="411">
        <f t="shared" si="222"/>
        <v>2.4035087719298254</v>
      </c>
      <c r="FA301" s="410">
        <f t="shared" si="223"/>
        <v>0</v>
      </c>
      <c r="FB301" s="405" t="s">
        <v>547</v>
      </c>
      <c r="FC301" s="409" t="s">
        <v>4423</v>
      </c>
      <c r="FD301" s="420" t="str">
        <f t="shared" si="187"/>
        <v>ToyoLi - GREEN</v>
      </c>
      <c r="FE301" s="409">
        <v>21</v>
      </c>
      <c r="FF301" s="411">
        <f>IF(FE301=0,0,IF($LB301=70%,VLOOKUP($FD301,'Jan-2026 rates'!$L:$R,4,0),IF($LB301=65%,VLOOKUP($FD301,'Jan-2026 rates'!$L:$R,4,0),IF($LB301=40%,VLOOKUP($FD301,'Jan-2026 rates'!$L:$R,5,0),IF($LB301=30%,VLOOKUP($FD301,'Jan-2026 rates'!$L:$R,6,0),IF($LB301=100%,VLOOKUP($FD301,'Jan-2026 rates'!$L:$R,7,0),IF($LB301=60%,VLOOKUP($FD301,'Jan-2026 rates'!$L:$S,8,0),IF($LB301=80%,VLOOKUP($FD301,'Jan-2026 rates'!L:T,9,0),0))))))))</f>
        <v>0</v>
      </c>
      <c r="FG301" s="412"/>
      <c r="FH301" s="409"/>
      <c r="FI301" s="411">
        <f>IF(FH301=0,0,IF($LB301=70%,VLOOKUP($FD301,'Jan-2026 rates'!$L:$R,4,0),IF($LB301=65%,VLOOKUP($FD301,'Jan-2026 rates'!$L:$R,4,0),IF($LB301=40%,VLOOKUP($FD301,'Jan-2026 rates'!$L:$R,5,0),IF($LB301=30%,VLOOKUP($FD301,'Jan-2026 rates'!$L:$R,6,0),IF($LB301=100%,VLOOKUP($FD301,'Jan-2026 rates'!$L:$R,7,0),IF($LB301=60%,VLOOKUP($FD301,'Jan-2026 rates'!$L:$S,8,0),IF($LB301=80%,VLOOKUP($FD301,'Jan-2026 rates'!L:T,9,0),0))))))))</f>
        <v>0</v>
      </c>
      <c r="FJ301" s="413"/>
      <c r="FK301" s="413"/>
      <c r="FL301" s="413"/>
      <c r="FM301" s="412"/>
      <c r="FN301" s="412"/>
      <c r="FO301" s="412"/>
      <c r="FP301" s="412"/>
      <c r="FQ301" s="412"/>
      <c r="FR301" s="409"/>
      <c r="FS301" s="398">
        <f>IF(FR301=0,0,IF(LEN(FJ301)=11,_xlfn.XLOOKUP(FJ301,'Dispensed Ink Rates'!C:C,'Dispensed Ink Rates'!CS:CS),VLOOKUP(FJ301,'Jan-2026 rates'!$E:$F,2,0)))</f>
        <v>0</v>
      </c>
      <c r="FT301" s="409"/>
      <c r="FU301" s="398">
        <f>IF(FT301=0,0,IF(LEN(FK301)=11,_xlfn.XLOOKUP(FK301,'Dispensed Ink Rates'!C:C,'Dispensed Ink Rates'!CS:CS),VLOOKUP(FK301,'Jan-2026 rates'!$E:$F,2,0)))</f>
        <v>0</v>
      </c>
      <c r="FV301" s="409"/>
      <c r="FW301" s="398">
        <f>IF(FV301=0,0,IF(LEN(FL301)=11,_xlfn.XLOOKUP(FL301,'Dispensed Ink Rates'!C:C,'Dispensed Ink Rates'!CS:CS),VLOOKUP(FL301,'Jan-2026 rates'!$E:$F,2,0)))</f>
        <v>0</v>
      </c>
      <c r="FX301" s="409"/>
      <c r="FY301" s="398">
        <f>IF(FX301=0,0,IF(LEN(FM301)=11,_xlfn.XLOOKUP(FM301,'Dispensed Ink Rates'!C:C,'Dispensed Ink Rates'!CS:CS),VLOOKUP(FM301,'Jan-2026 rates'!$E:$F,2,0)))</f>
        <v>0</v>
      </c>
      <c r="FZ301" s="409"/>
      <c r="GA301" s="398">
        <f>IF(FZ301=0,0,IF(LEN(FN301)=11,_xlfn.XLOOKUP(FN301,'Dispensed Ink Rates'!C:C,'Dispensed Ink Rates'!CS:CS),VLOOKUP(FN301,'Jan-2026 rates'!$E:$F,2,0)))</f>
        <v>0</v>
      </c>
      <c r="GB301" s="409"/>
      <c r="GC301" s="398">
        <f>IF(GB301=0,0,IF(LEN(FO301)=11,_xlfn.XLOOKUP(FO301,'Dispensed Ink Rates'!C:C,'Dispensed Ink Rates'!CS:CS),VLOOKUP(FO301,'Jan-2026 rates'!$E:$F,2,0)))</f>
        <v>0</v>
      </c>
      <c r="GD301" s="409"/>
      <c r="GE301" s="398">
        <f>IF(GD301=0,0,IF(LEN(FP301)=11,_xlfn.XLOOKUP(FP301,'Dispensed Ink Rates'!C:C,'Dispensed Ink Rates'!CS:CS),VLOOKUP(FP301,'Jan-2026 rates'!$E:$F,2,0)))</f>
        <v>0</v>
      </c>
      <c r="GF301" s="409"/>
      <c r="GG301" s="398">
        <f>IF(GF301=0,0,IF(LEN(FQ301)=11,_xlfn.XLOOKUP(FQ301,'Dispensed Ink Rates'!C:C,'Dispensed Ink Rates'!CS:CS),VLOOKUP(FQ301,'Jan-2026 rates'!$E:$F,2,0)))</f>
        <v>0</v>
      </c>
      <c r="GH301" s="409" t="s">
        <v>1881</v>
      </c>
      <c r="GI301" s="409">
        <v>20</v>
      </c>
      <c r="GJ301" s="411">
        <f t="shared" si="224"/>
        <v>0</v>
      </c>
      <c r="GK301" s="411">
        <f t="shared" si="225"/>
        <v>12.10526315789474</v>
      </c>
      <c r="GL301" s="410">
        <f t="shared" si="226"/>
        <v>0</v>
      </c>
      <c r="GM301" s="405" t="s">
        <v>857</v>
      </c>
      <c r="GN301" s="409" t="s">
        <v>4425</v>
      </c>
      <c r="GO301" s="420" t="str">
        <f t="shared" si="188"/>
        <v>ToyoLi - RED</v>
      </c>
      <c r="GP301" s="409">
        <v>27</v>
      </c>
      <c r="GQ301" s="411">
        <f>IF(GP301=0,0,IF($LB301=70%,VLOOKUP($GO301,'Jan-2026 rates'!$L:$R,4,0),IF($LB301=65%,VLOOKUP($GO301,'Jan-2026 rates'!$L:$R,4,0),IF($LB301=40%,VLOOKUP($GO301,'Jan-2026 rates'!$L:$R,5,0),IF($LB301=30%,VLOOKUP($GO301,'Jan-2026 rates'!$L:$R,6,0),IF($LB301=100%,VLOOKUP($GO301,'Jan-2026 rates'!$L:$R,7,0),IF($LB301=60%,VLOOKUP($GO301,'Jan-2026 rates'!$L:$S,8,0),IF($LB301=80%,VLOOKUP($GO301,'Jan-2026 rates'!L:T,9,0),0))))))))</f>
        <v>0</v>
      </c>
      <c r="GR301" s="412"/>
      <c r="GS301" s="409"/>
      <c r="GT301" s="411">
        <f>IF(GS301=0,0,IF($LB301=70%,VLOOKUP($GO301,'Jan-2026 rates'!$L:$R,4,0),IF($LB301=65%,VLOOKUP($GO301,'Jan-2026 rates'!$L:$R,4,0),IF($LB301=40%,VLOOKUP($GO301,'Jan-2026 rates'!$L:$R,5,0),IF($LB301=30%,VLOOKUP($GO301,'Jan-2026 rates'!$L:$R,6,0),IF($LB301=100%,VLOOKUP($GO301,'Jan-2026 rates'!$L:$R,7,0),IF($LB301=60%,VLOOKUP($GO301,'Jan-2026 rates'!$L:$S,8,0),IF($LB301=80%,VLOOKUP($GO301,'Jan-2026 rates'!L:T,9,0),0))))))))</f>
        <v>0</v>
      </c>
      <c r="GU301" s="413"/>
      <c r="GV301" s="413"/>
      <c r="GW301" s="412"/>
      <c r="GX301" s="412"/>
      <c r="GY301" s="412"/>
      <c r="GZ301" s="412"/>
      <c r="HA301" s="412"/>
      <c r="HB301" s="412"/>
      <c r="HC301" s="409"/>
      <c r="HD301" s="398">
        <f>IF(HC301=0,0,IF(LEN(GU301)=11,_xlfn.XLOOKUP(GU301,'Dispensed Ink Rates'!C:C,'Dispensed Ink Rates'!CS:CS),VLOOKUP(GU301,'Jan-2026 rates'!$E:$F,2,0)))</f>
        <v>0</v>
      </c>
      <c r="HE301" s="409"/>
      <c r="HF301" s="398">
        <f>IF(HE301=0,0,IF(LEN(GV301)=11,_xlfn.XLOOKUP(GV301,'Dispensed Ink Rates'!C:C,'Dispensed Ink Rates'!CS:CS),VLOOKUP(GV301,'Jan-2026 rates'!$E:$F,2,0)))</f>
        <v>0</v>
      </c>
      <c r="HG301" s="409"/>
      <c r="HH301" s="398">
        <f>IF(HG301=0,0,IF(LEN(GW301)=11,_xlfn.XLOOKUP(GW301,'Dispensed Ink Rates'!C:C,'Dispensed Ink Rates'!CS:CS),VLOOKUP(GW301,'Jan-2026 rates'!$E:$F,2,0)))</f>
        <v>0</v>
      </c>
      <c r="HI301" s="409"/>
      <c r="HJ301" s="398">
        <f>IF(HI301=0,0,IF(LEN(GX301)=11,_xlfn.XLOOKUP(GX301,'Dispensed Ink Rates'!C:C,'Dispensed Ink Rates'!CS:CS),VLOOKUP(GX301,'Jan-2026 rates'!$E:$F,2,0)))</f>
        <v>0</v>
      </c>
      <c r="HK301" s="409"/>
      <c r="HL301" s="398">
        <f>IF(HK301=0,0,IF(LEN(GY301)=11,_xlfn.XLOOKUP(GY301,'Dispensed Ink Rates'!C:C,'Dispensed Ink Rates'!CS:CS),VLOOKUP(GY301,'Jan-2026 rates'!$E:$F,2,0)))</f>
        <v>0</v>
      </c>
      <c r="HM301" s="409"/>
      <c r="HN301" s="398">
        <f>IF(HM301=0,0,IF(LEN(GZ301)=11,_xlfn.XLOOKUP(GZ301,'Dispensed Ink Rates'!C:C,'Dispensed Ink Rates'!CS:CS),VLOOKUP(GZ301,'Jan-2026 rates'!$E:$F,2,0)))</f>
        <v>0</v>
      </c>
      <c r="HO301" s="409"/>
      <c r="HP301" s="398">
        <f>IF(HO301=0,0,IF(LEN(HA301)=11,_xlfn.XLOOKUP(HA301,'Dispensed Ink Rates'!C:C,'Dispensed Ink Rates'!CS:CS),VLOOKUP(HA301,'Jan-2026 rates'!$E:$F,2,0)))</f>
        <v>0</v>
      </c>
      <c r="HQ301" s="409"/>
      <c r="HR301" s="398">
        <f>IF(HQ301=0,0,IF(LEN(HB301)=11,_xlfn.XLOOKUP(HB301,'Dispensed Ink Rates'!C:C,'Dispensed Ink Rates'!CS:CS),VLOOKUP(HB301,'Jan-2026 rates'!$E:$F,2,0)))</f>
        <v>0</v>
      </c>
      <c r="HS301" s="409" t="s">
        <v>1881</v>
      </c>
      <c r="HT301" s="409">
        <v>25</v>
      </c>
      <c r="HU301" s="411">
        <f t="shared" si="227"/>
        <v>0</v>
      </c>
      <c r="HV301" s="411">
        <f t="shared" si="228"/>
        <v>9.4035087719298218</v>
      </c>
      <c r="HW301" s="414">
        <f t="shared" si="229"/>
        <v>0</v>
      </c>
      <c r="HX301" s="405" t="s">
        <v>856</v>
      </c>
      <c r="HY301" s="409" t="s">
        <v>4426</v>
      </c>
      <c r="HZ301" s="420" t="str">
        <f t="shared" si="189"/>
        <v>ToyoLi - WHITE</v>
      </c>
      <c r="IA301" s="409">
        <v>30</v>
      </c>
      <c r="IB301" s="411">
        <f>IF(IA301=0,0,IF($LB301=70%,VLOOKUP($HZ301,'Jan-2026 rates'!$L:$R,4,0),IF($LB301=65%,VLOOKUP($HZ301,'Jan-2026 rates'!$L:$R,4,0),IF($LB301=40%,VLOOKUP($HZ301,'Jan-2026 rates'!$L:$R,5,0),IF($LB301=30%,VLOOKUP($HZ301,'Jan-2026 rates'!$L:$R,6,0),IF($LB301=100%,VLOOKUP($HZ301,'Jan-2026 rates'!$L:$R,7,0),IF($LB301=60%,VLOOKUP($HZ301,'Jan-2026 rates'!$L:$S,8,0),IF($LB301=80%,VLOOKUP($HZ301,'Jan-2026 rates'!L:T,9,0),0))))))))</f>
        <v>0</v>
      </c>
      <c r="IC301" s="412"/>
      <c r="ID301" s="409"/>
      <c r="IE301" s="411">
        <f>IF(ID301=0,0,IF($LB301=70%,VLOOKUP($HZ301,'Jan-2026 rates'!$L:$R,4,0),IF($LB301=65%,VLOOKUP($HZ301,'Jan-2026 rates'!$L:$R,4,0),IF($LB301=40%,VLOOKUP($HZ301,'Jan-2026 rates'!$L:$R,5,0),IF($LB301=30%,VLOOKUP($HZ301,'Jan-2026 rates'!$L:$R,6,0),IF($LB301=100%,VLOOKUP($HZ301,'Jan-2026 rates'!$L:$R,7,0),IF($LB301=60%,VLOOKUP($HZ301,'Jan-2026 rates'!$L:$S,8,0),IF($LB301=80%,VLOOKUP($HZ301,'Jan-2026 rates'!L:T,9,0),0))))))))</f>
        <v>0</v>
      </c>
      <c r="IF301" s="412" t="s">
        <v>1249</v>
      </c>
      <c r="IG301" s="413"/>
      <c r="IH301" s="412"/>
      <c r="II301" s="412"/>
      <c r="IJ301" s="412"/>
      <c r="IK301" s="412"/>
      <c r="IL301" s="412"/>
      <c r="IM301" s="412"/>
      <c r="IN301" s="409">
        <v>60</v>
      </c>
      <c r="IO301" s="398">
        <f>IF(IN301=0,0,IF(LEN(IF301)=11,_xlfn.XLOOKUP(IF301,'Dispensed Ink Rates'!C:C,'Dispensed Ink Rates'!CS:CS),VLOOKUP(IF301,'Jan-2026 rates'!$E:$F,2,0)))</f>
        <v>0</v>
      </c>
      <c r="IP301" s="409"/>
      <c r="IQ301" s="398">
        <f>IF(IP301=0,0,IF(LEN(IG301)=11,_xlfn.XLOOKUP(IG301,'Dispensed Ink Rates'!C:C,'Dispensed Ink Rates'!CS:CS),VLOOKUP(IG301,'Jan-2026 rates'!$E:$F,2,0)))</f>
        <v>0</v>
      </c>
      <c r="IR301" s="409"/>
      <c r="IS301" s="398">
        <f>IF(IR301=0,0,IF(LEN(IH301)=11,_xlfn.XLOOKUP(IH301,'Dispensed Ink Rates'!C:C,'Dispensed Ink Rates'!CS:CS),VLOOKUP(IH301,'Jan-2026 rates'!$E:$F,2,0)))</f>
        <v>0</v>
      </c>
      <c r="IT301" s="409"/>
      <c r="IU301" s="398">
        <f>IF(IT301=0,0,IF(LEN(II301)=11,_xlfn.XLOOKUP(II301,'Dispensed Ink Rates'!C:C,'Dispensed Ink Rates'!CS:CS),VLOOKUP(II301,'Jan-2026 rates'!$E:$F,2,0)))</f>
        <v>0</v>
      </c>
      <c r="IV301" s="409"/>
      <c r="IW301" s="398">
        <f>IF(IV301=0,0,IF(LEN(IJ301)=11,_xlfn.XLOOKUP(IJ301,'Dispensed Ink Rates'!C:C,'Dispensed Ink Rates'!CS:CS),VLOOKUP(IJ301,'Jan-2026 rates'!$E:$F,2,0)))</f>
        <v>0</v>
      </c>
      <c r="IX301" s="409"/>
      <c r="IY301" s="398">
        <f>IF(IX301=0,0,IF(LEN(IK301)=11,_xlfn.XLOOKUP(IK301,'Dispensed Ink Rates'!C:C,'Dispensed Ink Rates'!CS:CS),VLOOKUP(IK301,'Jan-2026 rates'!$E:$F,2,0)))</f>
        <v>0</v>
      </c>
      <c r="IZ301" s="409"/>
      <c r="JA301" s="398">
        <f>IF(IZ301=0,0,IF(LEN(IL301)=11,_xlfn.XLOOKUP(IL301,'Dispensed Ink Rates'!C:C,'Dispensed Ink Rates'!CS:CS),VLOOKUP(IL301,'Jan-2026 rates'!$E:$F,2,0)))</f>
        <v>0</v>
      </c>
      <c r="JB301" s="409"/>
      <c r="JC301" s="398">
        <f>IF(JB301=0,0,IF(LEN(IM301)=11,_xlfn.XLOOKUP(IM301,'Dispensed Ink Rates'!C:C,'Dispensed Ink Rates'!CS:CS),VLOOKUP(IM301,'Jan-2026 rates'!$E:$F,2,0)))</f>
        <v>0</v>
      </c>
      <c r="JD301" s="409" t="s">
        <v>1881</v>
      </c>
      <c r="JE301" s="409">
        <v>25</v>
      </c>
      <c r="JF301" s="411">
        <f t="shared" si="230"/>
        <v>0</v>
      </c>
      <c r="JG301" s="411">
        <f t="shared" si="231"/>
        <v>176.05263157894734</v>
      </c>
      <c r="JH301" s="410">
        <f t="shared" si="232"/>
        <v>0</v>
      </c>
      <c r="JI301" s="405" t="s">
        <v>605</v>
      </c>
      <c r="JJ301" s="409" t="s">
        <v>4427</v>
      </c>
      <c r="JK301" s="420" t="str">
        <f t="shared" si="190"/>
        <v>ToyoLi - MATT</v>
      </c>
      <c r="JL301" s="409">
        <v>30</v>
      </c>
      <c r="JM301" s="411">
        <f>IF(JL301=0,0,IF($LB301=70%,VLOOKUP($JK301,'Jan-2026 rates'!$L:$R,4,0),IF($LB301=65%,VLOOKUP($JK301,'Jan-2026 rates'!$L:$R,4,0),IF($LB301=40%,VLOOKUP($JK301,'Jan-2026 rates'!$L:$R,5,0),IF($LB301=30%,VLOOKUP($JK301,'Jan-2026 rates'!$L:$R,6,0),IF($LB301=100%,VLOOKUP($JK301,'Jan-2026 rates'!$L:$R,7,0),IF($LB301=60%,VLOOKUP($JK301,'Jan-2026 rates'!$L:$S,8,0),IF($LB301=80%,VLOOKUP($JK301,'Jan-2026 rates'!L:T,9,0),0))))))))</f>
        <v>0</v>
      </c>
      <c r="JN301" s="412"/>
      <c r="JO301" s="409"/>
      <c r="JP301" s="411">
        <f>IF(JO301=0,0,IF($LB301=70%,VLOOKUP($JK301,'Jan-2026 rates'!$L:$R,4,0),IF($LB301=65%,VLOOKUP($JK301,'Jan-2026 rates'!$L:$R,4,0),IF($LB301=40%,VLOOKUP($JK301,'Jan-2026 rates'!$L:$R,5,0),IF($LB301=30%,VLOOKUP($JK301,'Jan-2026 rates'!$L:$R,6,0),IF($LB301=100%,VLOOKUP($JK301,'Jan-2026 rates'!$L:$R,7,0),IF($LB301=60%,VLOOKUP($JK301,'Jan-2026 rates'!$L:$S,8,0),IF($LB301=80%,VLOOKUP($JK301,'Jan-2026 rates'!L:T,9,0),0))))))))</f>
        <v>0</v>
      </c>
      <c r="JQ301" s="413">
        <v>55</v>
      </c>
      <c r="JR301" s="412" t="s">
        <v>1902</v>
      </c>
      <c r="JS301" s="413"/>
      <c r="JT301" s="413"/>
      <c r="JU301" s="412"/>
      <c r="JV301" s="412"/>
      <c r="JW301" s="412"/>
      <c r="JX301" s="412"/>
      <c r="JY301" s="409">
        <f>40+20</f>
        <v>60</v>
      </c>
      <c r="JZ301" s="398">
        <f>IF(JY301=0,0,IF(LEN(JQ301)=11,_xlfn.XLOOKUP(JQ301,'Dispensed Ink Rates'!C:C,'Dispensed Ink Rates'!CS:CS),VLOOKUP(JQ301,'Jan-2026 rates'!$E:$F,2,0)))</f>
        <v>0</v>
      </c>
      <c r="KA301" s="409">
        <v>15</v>
      </c>
      <c r="KB301" s="398">
        <f>IF(KA301=0,0,IF(LEN(JR301)=11,_xlfn.XLOOKUP(JR301,'Dispensed Ink Rates'!C:C,'Dispensed Ink Rates'!CS:CS),VLOOKUP(JR301,'Jan-2026 rates'!$E:$F,2,0)))</f>
        <v>0</v>
      </c>
      <c r="KC301" s="409"/>
      <c r="KD301" s="398">
        <f>IF(KC301=0,0,IF(LEN(JS301)=11,_xlfn.XLOOKUP(JS301,'Dispensed Ink Rates'!C:C,'Dispensed Ink Rates'!CS:CS),VLOOKUP(JS301,'Jan-2026 rates'!$E:$F,2,0)))</f>
        <v>0</v>
      </c>
      <c r="KE301" s="409"/>
      <c r="KF301" s="398">
        <f>IF(KE301=0,0,IF(LEN(JT301)=11,_xlfn.XLOOKUP(JT301,'Dispensed Ink Rates'!C:C,'Dispensed Ink Rates'!CS:CS),VLOOKUP(JT301,'Jan-2026 rates'!$E:$F,2,0)))</f>
        <v>0</v>
      </c>
      <c r="KG301" s="409"/>
      <c r="KH301" s="398">
        <f>IF(KG301=0,0,IF(LEN(JU301)=11,_xlfn.XLOOKUP(JU301,'Dispensed Ink Rates'!C:C,'Dispensed Ink Rates'!CS:CS),VLOOKUP(JU301,'Jan-2026 rates'!$E:$F,2,0)))</f>
        <v>0</v>
      </c>
      <c r="KI301" s="409"/>
      <c r="KJ301" s="398">
        <f>IF(KI301=0,0,IF(LEN(JV301)=11,_xlfn.XLOOKUP(JV301,'Dispensed Ink Rates'!C:C,'Dispensed Ink Rates'!CS:CS),VLOOKUP(JV301,'Jan-2026 rates'!$E:$F,2,0)))</f>
        <v>0</v>
      </c>
      <c r="KK301" s="409"/>
      <c r="KL301" s="398">
        <f>IF(KK301=0,0,IF(LEN(JW301)=11,_xlfn.XLOOKUP(JW301,'Dispensed Ink Rates'!C:C,'Dispensed Ink Rates'!CS:CS),VLOOKUP(JW301,'Jan-2026 rates'!$E:$F,2,0)))</f>
        <v>0</v>
      </c>
      <c r="KM301" s="428"/>
      <c r="KN301" s="398">
        <f>IF(KM301=0,0,IF(LEN(JX301)=11,_xlfn.XLOOKUP(JX301,'Dispensed Ink Rates'!C:C,'Dispensed Ink Rates'!CS:CS),VLOOKUP(JX301,'Jan-2026 rates'!$E:$F,2,0)))</f>
        <v>0</v>
      </c>
      <c r="KO301" s="409" t="s">
        <v>1881</v>
      </c>
      <c r="KP301" s="409">
        <v>40</v>
      </c>
      <c r="KQ301" s="411">
        <f t="shared" si="233"/>
        <v>0</v>
      </c>
      <c r="KR301" s="411">
        <f t="shared" si="234"/>
        <v>113.12280701754386</v>
      </c>
      <c r="KS301" s="410">
        <f t="shared" si="235"/>
        <v>0</v>
      </c>
      <c r="KT301" s="409">
        <v>2</v>
      </c>
      <c r="KU301" s="409">
        <v>3</v>
      </c>
      <c r="KV301" s="409">
        <v>2</v>
      </c>
      <c r="KW301" s="409">
        <v>2</v>
      </c>
      <c r="KX301" s="409">
        <v>3</v>
      </c>
      <c r="KY301" s="409">
        <v>2</v>
      </c>
      <c r="KZ301" s="409">
        <v>30</v>
      </c>
      <c r="LA301" s="409">
        <f>8+5</f>
        <v>13</v>
      </c>
      <c r="LB301" s="415">
        <v>0.3</v>
      </c>
      <c r="LC301" s="415"/>
      <c r="LD301" s="424"/>
      <c r="LE301" s="415">
        <v>0.5</v>
      </c>
      <c r="LF301" s="415">
        <v>0.2</v>
      </c>
      <c r="LG301" s="409">
        <v>0</v>
      </c>
      <c r="LH301" s="409">
        <f>47+40+33+55+5+5+4+22</f>
        <v>211</v>
      </c>
      <c r="LI301" s="409">
        <v>0</v>
      </c>
      <c r="LJ301" s="409">
        <v>0</v>
      </c>
      <c r="LK301" s="416">
        <f t="shared" si="191"/>
        <v>211</v>
      </c>
      <c r="LL301" s="416">
        <f t="shared" si="237"/>
        <v>211</v>
      </c>
      <c r="LM301" s="417">
        <f t="shared" si="193"/>
        <v>63.3</v>
      </c>
      <c r="LN301" s="417">
        <f>VLOOKUP($LM$8,'Jan-2026 rates'!$H:$I,2,0)</f>
        <v>0</v>
      </c>
      <c r="LO301" s="417">
        <f t="shared" si="194"/>
        <v>0</v>
      </c>
      <c r="LP301" s="417">
        <f>VLOOKUP($LO$8,'Jan-2026 rates'!$H:$I,2,0)</f>
        <v>0</v>
      </c>
      <c r="LQ301" s="417">
        <f t="shared" si="195"/>
        <v>0</v>
      </c>
      <c r="LR301" s="417">
        <f>VLOOKUP($LQ$8,'Jan-2026 rates'!$H:$I,2,0)</f>
        <v>0</v>
      </c>
      <c r="LS301" s="417">
        <f t="shared" si="196"/>
        <v>105.5</v>
      </c>
      <c r="LT301" s="417">
        <f>VLOOKUP($LS$8,'Jan-2026 rates'!$H:$I,2,0)</f>
        <v>0</v>
      </c>
      <c r="LU301" s="417">
        <f t="shared" si="197"/>
        <v>42.2</v>
      </c>
      <c r="LV301" s="417">
        <f>VLOOKUP($LU$8,'Jan-2026 rates'!$H:$I,2,0)</f>
        <v>0</v>
      </c>
      <c r="LW301" s="417">
        <f t="shared" si="198"/>
        <v>0</v>
      </c>
      <c r="LX301" s="417">
        <f t="shared" si="199"/>
        <v>0</v>
      </c>
      <c r="LY301" s="418">
        <f t="shared" si="200"/>
        <v>0</v>
      </c>
      <c r="LZ301" s="417"/>
      <c r="MA301" s="435">
        <f t="shared" si="201"/>
        <v>159</v>
      </c>
      <c r="MB301" s="282">
        <f t="shared" si="202"/>
        <v>385</v>
      </c>
      <c r="MC301" s="283" t="s">
        <v>2040</v>
      </c>
      <c r="MD301" s="284" t="str">
        <f t="shared" si="203"/>
        <v>ToyoLiToyoLiToyoLiToyoLiToyoLiToyoLiToyoLiToyoLi</v>
      </c>
      <c r="ME301" s="293" t="str">
        <f t="shared" si="204"/>
        <v>+</v>
      </c>
      <c r="MF301" s="293" t="str">
        <f t="shared" si="205"/>
        <v>+</v>
      </c>
      <c r="MG301" s="293" t="str">
        <f t="shared" si="206"/>
        <v>+</v>
      </c>
      <c r="MH301" s="293" t="str">
        <f t="shared" si="207"/>
        <v>+</v>
      </c>
      <c r="MI301" s="293" t="str">
        <f t="shared" si="208"/>
        <v>+</v>
      </c>
      <c r="MJ301" s="293" t="str">
        <f t="shared" si="209"/>
        <v>+</v>
      </c>
      <c r="MK301" s="293" t="str">
        <f t="shared" si="210"/>
        <v>+</v>
      </c>
      <c r="ML301" s="293" t="str">
        <f t="shared" si="211"/>
        <v>+</v>
      </c>
      <c r="MM301" s="3" t="b">
        <f t="array" ref="MM301">OR(ME301:ML301="-")</f>
        <v>0</v>
      </c>
      <c r="MO301" s="401">
        <f t="shared" si="238"/>
        <v>118.46153846153847</v>
      </c>
      <c r="MP301" s="286"/>
      <c r="MR301" s="402">
        <f t="shared" si="239"/>
        <v>1.8780487804878048E-2</v>
      </c>
      <c r="MS301" s="400">
        <f t="shared" si="240"/>
        <v>0</v>
      </c>
      <c r="MT301" s="285"/>
      <c r="NH301" s="361"/>
      <c r="NJ301" s="282"/>
    </row>
    <row r="302" spans="1:374" ht="16.5">
      <c r="A302" s="403">
        <v>46042</v>
      </c>
      <c r="B302" s="404" t="s">
        <v>1018</v>
      </c>
      <c r="C302" s="405" t="s">
        <v>4428</v>
      </c>
      <c r="D302" s="404" t="s">
        <v>2041</v>
      </c>
      <c r="E302" s="404">
        <v>761</v>
      </c>
      <c r="F302" s="407">
        <v>55400</v>
      </c>
      <c r="G302" s="407" t="s">
        <v>1016</v>
      </c>
      <c r="H302" s="408" t="s">
        <v>1017</v>
      </c>
      <c r="I302" s="409">
        <v>1.7</v>
      </c>
      <c r="J302" s="405" t="s">
        <v>543</v>
      </c>
      <c r="K302" s="404" t="s">
        <v>4429</v>
      </c>
      <c r="L302" s="419" t="str">
        <f t="shared" si="184"/>
        <v>ToyoLi - BLACK</v>
      </c>
      <c r="M302" s="404">
        <v>20</v>
      </c>
      <c r="N302" s="410">
        <f>IF(M302=0,0,IF($LB302=70%,VLOOKUP($L302,'Jan-2026 rates'!$L:$R,4,0),IF($LB302=65%,VLOOKUP($L302,'Jan-2026 rates'!$L:$R,4,0),IF($LB302=40%,VLOOKUP($L302,'Jan-2026 rates'!$L:$R,5,0),IF($LB302=30%,VLOOKUP($L302,'Jan-2026 rates'!$L:$R,6,0),IF($LB302=100%,VLOOKUP($L302,'Jan-2026 rates'!$L:$R,7,0),IF($LB302=60%,VLOOKUP($L302,'Jan-2026 rates'!$L:$S,8,0),IF($LB302=80%,VLOOKUP($L302,'Jan-2026 rates'!L:T,9,0),0))))))))</f>
        <v>0</v>
      </c>
      <c r="O302" s="406"/>
      <c r="P302" s="404"/>
      <c r="Q302" s="410">
        <f>IF(P302=0,0,IF($LB302=70%,VLOOKUP($L302,'Jan-2026 rates'!$L:$R,4,0),IF($LB302=65%,VLOOKUP($L302,'Jan-2026 rates'!$L:$R,4,0),IF($LB302=40%,VLOOKUP($L302,'Jan-2026 rates'!$L:$R,5,0),IF($LB302=30%,VLOOKUP($L302,'Jan-2026 rates'!$L:$R,6,0),IF($LB302=100%,VLOOKUP($L302,'Jan-2026 rates'!$L:$R,7,0),IF($LB302=60%,VLOOKUP($L302,'Jan-2026 rates'!$L:$S,8,0),IF($LB302=80%,VLOOKUP($L302,'Jan-2026 rates'!L:T,9,0),0))))))))</f>
        <v>0</v>
      </c>
      <c r="R302" s="406" t="s">
        <v>1252</v>
      </c>
      <c r="S302" s="406"/>
      <c r="T302" s="406"/>
      <c r="U302" s="406"/>
      <c r="V302" s="406"/>
      <c r="W302" s="406"/>
      <c r="X302" s="406"/>
      <c r="Y302" s="406"/>
      <c r="Z302" s="404">
        <v>10</v>
      </c>
      <c r="AA302" s="398">
        <f>IF(Z302=0,0,IF(LEN(R302)=11,_xlfn.XLOOKUP(R302,'Dispensed Ink Rates'!C:C,'Dispensed Ink Rates'!CS:CS),VLOOKUP(R302,'Jan-2026 rates'!$E:$F,2,0)))</f>
        <v>0</v>
      </c>
      <c r="AB302" s="404"/>
      <c r="AC302" s="398">
        <f>IF(AB302=0,0,IF(LEN(S302)=11,_xlfn.XLOOKUP(S302,'Dispensed Ink Rates'!C:C,'Dispensed Ink Rates'!CS:CS),VLOOKUP(S302,'Jan-2026 rates'!$E:$F,2,0)))</f>
        <v>0</v>
      </c>
      <c r="AD302" s="404"/>
      <c r="AE302" s="398">
        <f>IF(AD302=0,0,IF(LEN(T302)=11,_xlfn.XLOOKUP(T302,'Dispensed Ink Rates'!C:C,'Dispensed Ink Rates'!CS:CS),VLOOKUP(T302,'Jan-2026 rates'!$E:$F,2,0)))</f>
        <v>0</v>
      </c>
      <c r="AF302" s="404"/>
      <c r="AG302" s="398">
        <f>IF(AF302=0,0,IF(LEN(U302)=11,_xlfn.XLOOKUP(U302,'Dispensed Ink Rates'!C:C,'Dispensed Ink Rates'!CS:CS),VLOOKUP(U302,'Jan-2026 rates'!$E:$F,2,0)))</f>
        <v>0</v>
      </c>
      <c r="AH302" s="404"/>
      <c r="AI302" s="398">
        <f>IF(AH302=0,0,IF(LEN(V302)=11,_xlfn.XLOOKUP(V302,'Dispensed Ink Rates'!C:C,'Dispensed Ink Rates'!CS:CS),VLOOKUP(V302,'Jan-2026 rates'!$E:$F,2,0)))</f>
        <v>0</v>
      </c>
      <c r="AJ302" s="404"/>
      <c r="AK302" s="398">
        <f>IF(AJ302=0,0,IF(LEN(W302)=11,_xlfn.XLOOKUP(W302,'Dispensed Ink Rates'!C:C,'Dispensed Ink Rates'!CS:CS),VLOOKUP(W302,'Jan-2026 rates'!$E:$F,2,0)))</f>
        <v>0</v>
      </c>
      <c r="AL302" s="404"/>
      <c r="AM302" s="398">
        <f>IF(AL302=0,0,IF(LEN(X302)=11,_xlfn.XLOOKUP(X302,'Dispensed Ink Rates'!C:C,'Dispensed Ink Rates'!CS:CS),VLOOKUP(X302,'Jan-2026 rates'!$E:$F,2,0)))</f>
        <v>0</v>
      </c>
      <c r="AN302" s="404"/>
      <c r="AO302" s="398">
        <f>IF(AN302=0,0,IF(LEN(Y302)=11,_xlfn.XLOOKUP(Y302,'Dispensed Ink Rates'!C:C,'Dispensed Ink Rates'!CS:CS),VLOOKUP(Y302,'Jan-2026 rates'!$E:$F,2,0)))</f>
        <v>0</v>
      </c>
      <c r="AP302" s="409" t="s">
        <v>1881</v>
      </c>
      <c r="AQ302" s="409">
        <v>30</v>
      </c>
      <c r="AR302" s="410">
        <f t="shared" si="212"/>
        <v>0</v>
      </c>
      <c r="AS302" s="411">
        <f t="shared" si="213"/>
        <v>25.825242718446603</v>
      </c>
      <c r="AT302" s="410">
        <f t="shared" si="214"/>
        <v>0</v>
      </c>
      <c r="AU302" s="405" t="s">
        <v>857</v>
      </c>
      <c r="AV302" s="409" t="s">
        <v>4430</v>
      </c>
      <c r="AW302" s="420" t="str">
        <f t="shared" si="236"/>
        <v>ToyoLi - RED</v>
      </c>
      <c r="AX302" s="409">
        <v>25</v>
      </c>
      <c r="AY302" s="411">
        <f>IF(AX302=0,0,IF($LB302=70%,VLOOKUP($AW302,'Jan-2026 rates'!$L:$R,4,0),IF($LB302=65%,VLOOKUP($AW302,'Jan-2026 rates'!$L:$R,4,0),IF($LB302=40%,VLOOKUP($AW302,'Jan-2026 rates'!$L:$R,5,0),IF($LB302=30%,VLOOKUP($AW302,'Jan-2026 rates'!$L:$R,6,0),IF($LB302=100%,VLOOKUP($AW302,'Jan-2026 rates'!$L:$R,7,0),IF($LB302=60%,VLOOKUP($AW302,'Jan-2026 rates'!$L:$S,8,0),IF($LB302=80%,VLOOKUP($AW302,'Jan-2026 rates'!L:T,9,0),0))))))))</f>
        <v>0</v>
      </c>
      <c r="AZ302" s="412"/>
      <c r="BA302" s="409"/>
      <c r="BB302" s="411">
        <f>IF(BA302=0,0,IF($LB302=70%,VLOOKUP($AW302,'Jan-2026 rates'!$L:$R,4,0),IF($LB302=65%,VLOOKUP($AW302,'Jan-2026 rates'!$L:$R,4,0),IF($LB302=40%,VLOOKUP($AW302,'Jan-2026 rates'!$L:$R,5,0),IF($LB302=30%,VLOOKUP($AW302,'Jan-2026 rates'!$L:$R,6,0),IF($LB302=100%,VLOOKUP($AW302,'Jan-2026 rates'!$L:$R,7,0),IF($LB302=60%,VLOOKUP($AW302,'Jan-2026 rates'!$L:$S,8,0),IF($LB302=80%,VLOOKUP($AW302,'Jan-2026 rates'!L:T,9,0),0))))))))</f>
        <v>0</v>
      </c>
      <c r="BC302" s="413" t="s">
        <v>1248</v>
      </c>
      <c r="BD302" s="412" t="s">
        <v>1246</v>
      </c>
      <c r="BE302" s="412"/>
      <c r="BF302" s="413"/>
      <c r="BG302" s="412"/>
      <c r="BH302" s="412"/>
      <c r="BI302" s="412"/>
      <c r="BJ302" s="412"/>
      <c r="BK302" s="409">
        <v>5</v>
      </c>
      <c r="BL302" s="398">
        <f>IF(BK302=0,0,IF(LEN(BC302)=11,_xlfn.XLOOKUP(BC302,'Dispensed Ink Rates'!C:C,'Dispensed Ink Rates'!CS:CS),VLOOKUP(BC302,'Jan-2026 rates'!$E:$F,2,0)))</f>
        <v>0</v>
      </c>
      <c r="BM302" s="409">
        <v>5</v>
      </c>
      <c r="BN302" s="398">
        <f>IF(BM302=0,0,IF(LEN(BD302)=11,_xlfn.XLOOKUP(BD302,'Dispensed Ink Rates'!C:C,'Dispensed Ink Rates'!CS:CS),VLOOKUP(BD302,'Jan-2026 rates'!$E:$F,2,0)))</f>
        <v>0</v>
      </c>
      <c r="BO302" s="409"/>
      <c r="BP302" s="398">
        <f>IF(BO302=0,0,IF(LEN(BE302)=11,_xlfn.XLOOKUP(BE302,'Dispensed Ink Rates'!C:C,'Dispensed Ink Rates'!CS:CS),VLOOKUP(BE302,'Jan-2026 rates'!$E:$F,2,0)))</f>
        <v>0</v>
      </c>
      <c r="BQ302" s="409"/>
      <c r="BR302" s="398">
        <f>IF(BQ302=0,0,IF(LEN(BF302)=11,_xlfn.XLOOKUP(BF302,'Dispensed Ink Rates'!C:C,'Dispensed Ink Rates'!CS:CS),VLOOKUP(BF302,'Jan-2026 rates'!$E:$F,2,0)))</f>
        <v>0</v>
      </c>
      <c r="BS302" s="409"/>
      <c r="BT302" s="398">
        <f>IF(BS302=0,0,IF(LEN(BG302)=11,_xlfn.XLOOKUP(BG302,'Dispensed Ink Rates'!C:C,'Dispensed Ink Rates'!CS:CS),VLOOKUP(BG302,'Jan-2026 rates'!$E:$F,2,0)))</f>
        <v>0</v>
      </c>
      <c r="BU302" s="409"/>
      <c r="BV302" s="398">
        <f>IF(BU302=0,0,IF(LEN(BH302)=11,_xlfn.XLOOKUP(BH302,'Dispensed Ink Rates'!C:C,'Dispensed Ink Rates'!CS:CS),VLOOKUP(BH302,'Jan-2026 rates'!$E:$F,2,0)))</f>
        <v>0</v>
      </c>
      <c r="BW302" s="409"/>
      <c r="BX302" s="398">
        <f>IF(BW302=0,0,IF(LEN(BI302)=11,_xlfn.XLOOKUP(BI302,'Dispensed Ink Rates'!C:C,'Dispensed Ink Rates'!CS:CS),VLOOKUP(BI302,'Jan-2026 rates'!$E:$F,2,0)))</f>
        <v>0</v>
      </c>
      <c r="BY302" s="409"/>
      <c r="BZ302" s="398">
        <f>IF(BY302=0,0,IF(LEN(BJ302)=11,_xlfn.XLOOKUP(BJ302,'Dispensed Ink Rates'!C:C,'Dispensed Ink Rates'!CS:CS),VLOOKUP(BJ302,'Jan-2026 rates'!$E:$F,2,0)))</f>
        <v>0</v>
      </c>
      <c r="CA302" s="409" t="s">
        <v>1881</v>
      </c>
      <c r="CB302" s="409">
        <f>20+18</f>
        <v>38</v>
      </c>
      <c r="CC302" s="411">
        <f t="shared" si="215"/>
        <v>0</v>
      </c>
      <c r="CD302" s="411">
        <f t="shared" si="216"/>
        <v>9.9126213592233015</v>
      </c>
      <c r="CE302" s="410">
        <f t="shared" si="217"/>
        <v>0</v>
      </c>
      <c r="CF302" s="404" t="s">
        <v>547</v>
      </c>
      <c r="CG302" s="409" t="s">
        <v>4431</v>
      </c>
      <c r="CH302" s="420" t="str">
        <f t="shared" si="185"/>
        <v>ToyoLi - GREEN</v>
      </c>
      <c r="CI302" s="409">
        <v>20</v>
      </c>
      <c r="CJ302" s="411">
        <f>IF(CI302=0,0,IF($LB302=70%,VLOOKUP($CH302,'Jan-2026 rates'!$L:$R,4,0),IF($LB302=65%,VLOOKUP($CH302,'Jan-2026 rates'!$L:$R,4,0),IF($LB302=40%,VLOOKUP($CH302,'Jan-2026 rates'!$L:$R,5,0),IF($LB302=30%,VLOOKUP($CH302,'Jan-2026 rates'!$L:$R,6,0),IF($LB302=100%,VLOOKUP($CH302,'Jan-2026 rates'!$L:$R,7,0),IF($LB302=60%,VLOOKUP($CH302,'Jan-2026 rates'!$L:$S,8,0),IF($LB302=80%,VLOOKUP($CH302,'Jan-2026 rates'!L:T,9,0),0))))))))</f>
        <v>0</v>
      </c>
      <c r="CK302" s="412" t="s">
        <v>4405</v>
      </c>
      <c r="CL302" s="409">
        <v>15</v>
      </c>
      <c r="CM302" s="411">
        <f>IF(CL302=0,0,IF($LB302=70%,VLOOKUP($CH302,'Jan-2026 rates'!$L:$R,4,0),IF($LB302=65%,VLOOKUP($CH302,'Jan-2026 rates'!$L:$R,4,0),IF($LB302=40%,VLOOKUP($CH302,'Jan-2026 rates'!$L:$R,5,0),IF($LB302=30%,VLOOKUP($CH302,'Jan-2026 rates'!$L:$R,6,0),IF($LB302=100%,VLOOKUP($CH302,'Jan-2026 rates'!$L:$R,7,0),IF($LB302=60%,VLOOKUP($CH302,'Jan-2026 rates'!$L:$S,8,0),IF($LB302=80%,VLOOKUP($CH302,'Jan-2026 rates'!L:T,9,0),0))))))))</f>
        <v>0</v>
      </c>
      <c r="CN302" s="426" t="s">
        <v>1251</v>
      </c>
      <c r="CO302" s="427" t="s">
        <v>1247</v>
      </c>
      <c r="CP302" s="426"/>
      <c r="CQ302" s="426"/>
      <c r="CR302" s="428"/>
      <c r="CS302" s="428"/>
      <c r="CT302" s="428"/>
      <c r="CU302" s="428"/>
      <c r="CV302" s="409">
        <v>1</v>
      </c>
      <c r="CW302" s="398">
        <f>IF(CV302=0,0,IF(LEN(CN302)=11,_xlfn.XLOOKUP(CN302,'Dispensed Ink Rates'!C:C,'Dispensed Ink Rates'!CS:CS),VLOOKUP(CN302,'Jan-2026 rates'!$E:$F,2,0)))</f>
        <v>0</v>
      </c>
      <c r="CX302" s="409">
        <v>2</v>
      </c>
      <c r="CY302" s="398">
        <f>IF(CX302=0,0,IF(LEN(CO302)=11,_xlfn.XLOOKUP(CO302,'Dispensed Ink Rates'!C:C,'Dispensed Ink Rates'!CS:CS),VLOOKUP(CO302,'Jan-2026 rates'!$E:$F,2,0)))</f>
        <v>0</v>
      </c>
      <c r="CZ302" s="409"/>
      <c r="DA302" s="398">
        <f>IF(CZ302=0,0,IF(LEN(CP302)=11,_xlfn.XLOOKUP(CP302,'Dispensed Ink Rates'!C:C,'Dispensed Ink Rates'!CS:CS),VLOOKUP(CP302,'Jan-2026 rates'!$E:$F,2,0)))</f>
        <v>0</v>
      </c>
      <c r="DB302" s="409"/>
      <c r="DC302" s="398">
        <f>IF(DB302=0,0,IF(LEN(CQ302)=11,_xlfn.XLOOKUP(CQ302,'Dispensed Ink Rates'!C:C,'Dispensed Ink Rates'!CS:CS),VLOOKUP(CQ302,'Jan-2026 rates'!$E:$F,2,0)))</f>
        <v>0</v>
      </c>
      <c r="DD302" s="409"/>
      <c r="DE302" s="398">
        <f>IF(DD302=0,0,IF(LEN(CR302)=11,_xlfn.XLOOKUP(CR302,'Dispensed Ink Rates'!C:C,'Dispensed Ink Rates'!CS:CS),VLOOKUP(CR302,'Jan-2026 rates'!$E:$F,2,0)))</f>
        <v>0</v>
      </c>
      <c r="DF302" s="409"/>
      <c r="DG302" s="398">
        <f>IF(DF302=0,0,IF(LEN(CS302)=11,_xlfn.XLOOKUP(CS302,'Dispensed Ink Rates'!C:C,'Dispensed Ink Rates'!CS:CS),VLOOKUP(CS302,'Jan-2026 rates'!$E:$F,2,0)))</f>
        <v>0</v>
      </c>
      <c r="DH302" s="409"/>
      <c r="DI302" s="398">
        <f>IF(DH302=0,0,IF(LEN(CT302)=11,_xlfn.XLOOKUP(CT302,'Dispensed Ink Rates'!C:C,'Dispensed Ink Rates'!CS:CS),VLOOKUP(CT302,'Jan-2026 rates'!$E:$F,2,0)))</f>
        <v>0</v>
      </c>
      <c r="DJ302" s="409"/>
      <c r="DK302" s="398">
        <f>IF(DJ302=0,0,IF(LEN(CU302)=11,_xlfn.XLOOKUP(CU302,'Dispensed Ink Rates'!C:C,'Dispensed Ink Rates'!CS:CS),VLOOKUP(CU302,'Jan-2026 rates'!$E:$F,2,0)))</f>
        <v>0</v>
      </c>
      <c r="DL302" s="409" t="s">
        <v>1881</v>
      </c>
      <c r="DM302" s="409">
        <f>14+14</f>
        <v>28</v>
      </c>
      <c r="DN302" s="411">
        <f t="shared" si="218"/>
        <v>0</v>
      </c>
      <c r="DO302" s="411">
        <f t="shared" si="219"/>
        <v>15.165048543689323</v>
      </c>
      <c r="DP302" s="410">
        <f t="shared" si="220"/>
        <v>0</v>
      </c>
      <c r="DQ302" s="405" t="s">
        <v>829</v>
      </c>
      <c r="DR302" s="409" t="s">
        <v>4394</v>
      </c>
      <c r="DS302" s="420" t="str">
        <f t="shared" si="186"/>
        <v>ToyoLi - MEDIUM</v>
      </c>
      <c r="DT302" s="409">
        <f>20+20</f>
        <v>40</v>
      </c>
      <c r="DU302" s="411">
        <f>IF(DT302=0,0,IF($LB302=70%,VLOOKUP($DS302,'Jan-2026 rates'!$L:$R,4,0),IF($LB302=65%,VLOOKUP($DS302,'Jan-2026 rates'!$L:$R,4,0),IF($LB302=40%,VLOOKUP($DS302,'Jan-2026 rates'!$L:$R,5,0),IF($LB302=30%,VLOOKUP($DS302,'Jan-2026 rates'!$L:$R,6,0),IF($LB302=100%,VLOOKUP($DS302,'Jan-2026 rates'!$L:$R,7,0),IF($LB302=60%,VLOOKUP($DS302,'Jan-2026 rates'!$L:$S,8,0),IF($LB302=80%,VLOOKUP($DS302,'Jan-2026 rates'!L:T,9,0),0))))))))</f>
        <v>0</v>
      </c>
      <c r="DV302" s="412" t="s">
        <v>4432</v>
      </c>
      <c r="DW302" s="409">
        <v>14</v>
      </c>
      <c r="DX302" s="411">
        <f>IF(DW302=0,0,IF($LB302=70%,VLOOKUP($DS302,'Jan-2026 rates'!$L:$R,4,0),IF($LB302=65%,VLOOKUP($DS302,'Jan-2026 rates'!$L:$R,4,0),IF($LB302=40%,VLOOKUP($DS302,'Jan-2026 rates'!$L:$R,5,0),IF($LB302=30%,VLOOKUP($DS302,'Jan-2026 rates'!$L:$R,6,0),IF($LB302=100%,VLOOKUP($DS302,'Jan-2026 rates'!$L:$R,7,0),IF($LB302=60%,VLOOKUP($DS302,'Jan-2026 rates'!$L:$S,8,0),IF($LB302=80%,VLOOKUP($DS302,'Jan-2026 rates'!L:T,9,0),0))))))))</f>
        <v>0</v>
      </c>
      <c r="DY302" s="413" t="s">
        <v>1249</v>
      </c>
      <c r="DZ302" s="413" t="s">
        <v>1247</v>
      </c>
      <c r="EA302" s="412" t="s">
        <v>1248</v>
      </c>
      <c r="EB302" s="412"/>
      <c r="EC302" s="412"/>
      <c r="ED302" s="412"/>
      <c r="EE302" s="412"/>
      <c r="EF302" s="412"/>
      <c r="EG302" s="409">
        <f>20+10</f>
        <v>30</v>
      </c>
      <c r="EH302" s="398">
        <f>IF(EG302=0,0,IF(LEN(DY302)=11,_xlfn.XLOOKUP(DY302,'Dispensed Ink Rates'!C:C,'Dispensed Ink Rates'!CS:CS),VLOOKUP(DY302,'Jan-2026 rates'!$E:$F,2,0)))</f>
        <v>0</v>
      </c>
      <c r="EI302" s="409">
        <v>0.5</v>
      </c>
      <c r="EJ302" s="398">
        <f>IF(EI302=0,0,IF(LEN(DZ302)=11,_xlfn.XLOOKUP(DZ302,'Dispensed Ink Rates'!C:C,'Dispensed Ink Rates'!CS:CS),VLOOKUP(DZ302,'Jan-2026 rates'!$E:$F,2,0)))</f>
        <v>0</v>
      </c>
      <c r="EK302" s="409">
        <v>0.2</v>
      </c>
      <c r="EL302" s="398">
        <f>IF(EK302=0,0,IF(LEN(EA302)=11,_xlfn.XLOOKUP(EA302,'Dispensed Ink Rates'!C:C,'Dispensed Ink Rates'!CS:CS),VLOOKUP(EA302,'Jan-2026 rates'!$E:$F,2,0)))</f>
        <v>0</v>
      </c>
      <c r="EM302" s="409"/>
      <c r="EN302" s="398">
        <f>IF(EM302=0,0,IF(LEN(EB302)=11,_xlfn.XLOOKUP(EB302,'Dispensed Ink Rates'!C:C,'Dispensed Ink Rates'!CS:CS),VLOOKUP(EB302,'Jan-2026 rates'!$E:$F,2,0)))</f>
        <v>0</v>
      </c>
      <c r="EO302" s="409"/>
      <c r="EP302" s="398">
        <f>IF(EO302=0,0,IF(LEN(EC302)=11,_xlfn.XLOOKUP(EC302,'Dispensed Ink Rates'!C:C,'Dispensed Ink Rates'!CS:CS),VLOOKUP(EC302,'Jan-2026 rates'!$E:$F,2,0)))</f>
        <v>0</v>
      </c>
      <c r="EQ302" s="409"/>
      <c r="ER302" s="398">
        <f>IF(EQ302=0,0,IF(LEN(ED302)=11,_xlfn.XLOOKUP(ED302,'Dispensed Ink Rates'!C:C,'Dispensed Ink Rates'!CS:CS),VLOOKUP(ED302,'Jan-2026 rates'!$E:$F,2,0)))</f>
        <v>0</v>
      </c>
      <c r="ES302" s="409"/>
      <c r="ET302" s="398">
        <f>IF(ES302=0,0,IF(LEN(EE302)=11,_xlfn.XLOOKUP(EE302,'Dispensed Ink Rates'!C:C,'Dispensed Ink Rates'!CS:CS),VLOOKUP(EE302,'Jan-2026 rates'!$E:$F,2,0)))</f>
        <v>0</v>
      </c>
      <c r="EU302" s="409"/>
      <c r="EV302" s="398">
        <f>IF(EU302=0,0,IF(LEN(EF302)=11,_xlfn.XLOOKUP(EF302,'Dispensed Ink Rates'!C:C,'Dispensed Ink Rates'!CS:CS),VLOOKUP(EF302,'Jan-2026 rates'!$E:$F,2,0)))</f>
        <v>0</v>
      </c>
      <c r="EW302" s="409" t="s">
        <v>1881</v>
      </c>
      <c r="EX302" s="409">
        <v>18</v>
      </c>
      <c r="EY302" s="411">
        <f t="shared" si="221"/>
        <v>0</v>
      </c>
      <c r="EZ302" s="411">
        <f t="shared" si="222"/>
        <v>118.35048543689322</v>
      </c>
      <c r="FA302" s="410">
        <f t="shared" si="223"/>
        <v>0</v>
      </c>
      <c r="FB302" s="405" t="s">
        <v>855</v>
      </c>
      <c r="FC302" s="409" t="s">
        <v>4433</v>
      </c>
      <c r="FD302" s="420" t="str">
        <f t="shared" si="187"/>
        <v>ToyoLi - CYAN</v>
      </c>
      <c r="FE302" s="409">
        <v>32</v>
      </c>
      <c r="FF302" s="411">
        <f>IF(FE302=0,0,IF($LB302=70%,VLOOKUP($FD302,'Jan-2026 rates'!$L:$R,4,0),IF($LB302=65%,VLOOKUP($FD302,'Jan-2026 rates'!$L:$R,4,0),IF($LB302=40%,VLOOKUP($FD302,'Jan-2026 rates'!$L:$R,5,0),IF($LB302=30%,VLOOKUP($FD302,'Jan-2026 rates'!$L:$R,6,0),IF($LB302=100%,VLOOKUP($FD302,'Jan-2026 rates'!$L:$R,7,0),IF($LB302=60%,VLOOKUP($FD302,'Jan-2026 rates'!$L:$S,8,0),IF($LB302=80%,VLOOKUP($FD302,'Jan-2026 rates'!L:T,9,0),0))))))))</f>
        <v>0</v>
      </c>
      <c r="FG302" s="412"/>
      <c r="FH302" s="409"/>
      <c r="FI302" s="411">
        <f>IF(FH302=0,0,IF($LB302=70%,VLOOKUP($FD302,'Jan-2026 rates'!$L:$R,4,0),IF($LB302=65%,VLOOKUP($FD302,'Jan-2026 rates'!$L:$R,4,0),IF($LB302=40%,VLOOKUP($FD302,'Jan-2026 rates'!$L:$R,5,0),IF($LB302=30%,VLOOKUP($FD302,'Jan-2026 rates'!$L:$R,6,0),IF($LB302=100%,VLOOKUP($FD302,'Jan-2026 rates'!$L:$R,7,0),IF($LB302=60%,VLOOKUP($FD302,'Jan-2026 rates'!$L:$S,8,0),IF($LB302=80%,VLOOKUP($FD302,'Jan-2026 rates'!L:T,9,0),0))))))))</f>
        <v>0</v>
      </c>
      <c r="FJ302" s="413" t="s">
        <v>1250</v>
      </c>
      <c r="FK302" s="413"/>
      <c r="FL302" s="413"/>
      <c r="FM302" s="412"/>
      <c r="FN302" s="412"/>
      <c r="FO302" s="412"/>
      <c r="FP302" s="412"/>
      <c r="FQ302" s="412"/>
      <c r="FR302" s="409">
        <v>2</v>
      </c>
      <c r="FS302" s="398">
        <f>IF(FR302=0,0,IF(LEN(FJ302)=11,_xlfn.XLOOKUP(FJ302,'Dispensed Ink Rates'!C:C,'Dispensed Ink Rates'!CS:CS),VLOOKUP(FJ302,'Jan-2026 rates'!$E:$F,2,0)))</f>
        <v>0</v>
      </c>
      <c r="FT302" s="409"/>
      <c r="FU302" s="398">
        <f>IF(FT302=0,0,IF(LEN(FK302)=11,_xlfn.XLOOKUP(FK302,'Dispensed Ink Rates'!C:C,'Dispensed Ink Rates'!CS:CS),VLOOKUP(FK302,'Jan-2026 rates'!$E:$F,2,0)))</f>
        <v>0</v>
      </c>
      <c r="FV302" s="409"/>
      <c r="FW302" s="398">
        <f>IF(FV302=0,0,IF(LEN(FL302)=11,_xlfn.XLOOKUP(FL302,'Dispensed Ink Rates'!C:C,'Dispensed Ink Rates'!CS:CS),VLOOKUP(FL302,'Jan-2026 rates'!$E:$F,2,0)))</f>
        <v>0</v>
      </c>
      <c r="FX302" s="409"/>
      <c r="FY302" s="398">
        <f>IF(FX302=0,0,IF(LEN(FM302)=11,_xlfn.XLOOKUP(FM302,'Dispensed Ink Rates'!C:C,'Dispensed Ink Rates'!CS:CS),VLOOKUP(FM302,'Jan-2026 rates'!$E:$F,2,0)))</f>
        <v>0</v>
      </c>
      <c r="FZ302" s="409"/>
      <c r="GA302" s="398">
        <f>IF(FZ302=0,0,IF(LEN(FN302)=11,_xlfn.XLOOKUP(FN302,'Dispensed Ink Rates'!C:C,'Dispensed Ink Rates'!CS:CS),VLOOKUP(FN302,'Jan-2026 rates'!$E:$F,2,0)))</f>
        <v>0</v>
      </c>
      <c r="GB302" s="409"/>
      <c r="GC302" s="398">
        <f>IF(GB302=0,0,IF(LEN(FO302)=11,_xlfn.XLOOKUP(FO302,'Dispensed Ink Rates'!C:C,'Dispensed Ink Rates'!CS:CS),VLOOKUP(FO302,'Jan-2026 rates'!$E:$F,2,0)))</f>
        <v>0</v>
      </c>
      <c r="GD302" s="409"/>
      <c r="GE302" s="398">
        <f>IF(GD302=0,0,IF(LEN(FP302)=11,_xlfn.XLOOKUP(FP302,'Dispensed Ink Rates'!C:C,'Dispensed Ink Rates'!CS:CS),VLOOKUP(FP302,'Jan-2026 rates'!$E:$F,2,0)))</f>
        <v>0</v>
      </c>
      <c r="GF302" s="409"/>
      <c r="GG302" s="398">
        <f>IF(GF302=0,0,IF(LEN(FQ302)=11,_xlfn.XLOOKUP(FQ302,'Dispensed Ink Rates'!C:C,'Dispensed Ink Rates'!CS:CS),VLOOKUP(FQ302,'Jan-2026 rates'!$E:$F,2,0)))</f>
        <v>0</v>
      </c>
      <c r="GH302" s="409" t="s">
        <v>1881</v>
      </c>
      <c r="GI302" s="409">
        <v>29</v>
      </c>
      <c r="GJ302" s="411">
        <f t="shared" si="224"/>
        <v>0</v>
      </c>
      <c r="GK302" s="411">
        <f t="shared" si="225"/>
        <v>10.165048543689323</v>
      </c>
      <c r="GL302" s="410">
        <f t="shared" si="226"/>
        <v>0</v>
      </c>
      <c r="GM302" s="405" t="s">
        <v>544</v>
      </c>
      <c r="GN302" s="409" t="s">
        <v>4434</v>
      </c>
      <c r="GO302" s="420" t="str">
        <f t="shared" si="188"/>
        <v>ToyoLi - MAGENTA</v>
      </c>
      <c r="GP302" s="409">
        <v>30</v>
      </c>
      <c r="GQ302" s="411">
        <f>IF(GP302=0,0,IF($LB302=70%,VLOOKUP($GO302,'Jan-2026 rates'!$L:$R,4,0),IF($LB302=65%,VLOOKUP($GO302,'Jan-2026 rates'!$L:$R,4,0),IF($LB302=40%,VLOOKUP($GO302,'Jan-2026 rates'!$L:$R,5,0),IF($LB302=30%,VLOOKUP($GO302,'Jan-2026 rates'!$L:$R,6,0),IF($LB302=100%,VLOOKUP($GO302,'Jan-2026 rates'!$L:$R,7,0),IF($LB302=60%,VLOOKUP($GO302,'Jan-2026 rates'!$L:$S,8,0),IF($LB302=80%,VLOOKUP($GO302,'Jan-2026 rates'!L:T,9,0),0))))))))</f>
        <v>0</v>
      </c>
      <c r="GR302" s="412"/>
      <c r="GS302" s="409"/>
      <c r="GT302" s="411">
        <f>IF(GS302=0,0,IF($LB302=70%,VLOOKUP($GO302,'Jan-2026 rates'!$L:$R,4,0),IF($LB302=65%,VLOOKUP($GO302,'Jan-2026 rates'!$L:$R,4,0),IF($LB302=40%,VLOOKUP($GO302,'Jan-2026 rates'!$L:$R,5,0),IF($LB302=30%,VLOOKUP($GO302,'Jan-2026 rates'!$L:$R,6,0),IF($LB302=100%,VLOOKUP($GO302,'Jan-2026 rates'!$L:$R,7,0),IF($LB302=60%,VLOOKUP($GO302,'Jan-2026 rates'!$L:$S,8,0),IF($LB302=80%,VLOOKUP($GO302,'Jan-2026 rates'!L:T,9,0),0))))))))</f>
        <v>0</v>
      </c>
      <c r="GU302" s="413" t="s">
        <v>1246</v>
      </c>
      <c r="GV302" s="413"/>
      <c r="GW302" s="412"/>
      <c r="GX302" s="412"/>
      <c r="GY302" s="412"/>
      <c r="GZ302" s="412"/>
      <c r="HA302" s="412"/>
      <c r="HB302" s="412"/>
      <c r="HC302" s="409">
        <v>3</v>
      </c>
      <c r="HD302" s="398">
        <f>IF(HC302=0,0,IF(LEN(GU302)=11,_xlfn.XLOOKUP(GU302,'Dispensed Ink Rates'!C:C,'Dispensed Ink Rates'!CS:CS),VLOOKUP(GU302,'Jan-2026 rates'!$E:$F,2,0)))</f>
        <v>0</v>
      </c>
      <c r="HE302" s="409"/>
      <c r="HF302" s="398">
        <f>IF(HE302=0,0,IF(LEN(GV302)=11,_xlfn.XLOOKUP(GV302,'Dispensed Ink Rates'!C:C,'Dispensed Ink Rates'!CS:CS),VLOOKUP(GV302,'Jan-2026 rates'!$E:$F,2,0)))</f>
        <v>0</v>
      </c>
      <c r="HG302" s="409"/>
      <c r="HH302" s="398">
        <f>IF(HG302=0,0,IF(LEN(GW302)=11,_xlfn.XLOOKUP(GW302,'Dispensed Ink Rates'!C:C,'Dispensed Ink Rates'!CS:CS),VLOOKUP(GW302,'Jan-2026 rates'!$E:$F,2,0)))</f>
        <v>0</v>
      </c>
      <c r="HI302" s="409"/>
      <c r="HJ302" s="398">
        <f>IF(HI302=0,0,IF(LEN(GX302)=11,_xlfn.XLOOKUP(GX302,'Dispensed Ink Rates'!C:C,'Dispensed Ink Rates'!CS:CS),VLOOKUP(GX302,'Jan-2026 rates'!$E:$F,2,0)))</f>
        <v>0</v>
      </c>
      <c r="HK302" s="409"/>
      <c r="HL302" s="398">
        <f>IF(HK302=0,0,IF(LEN(GY302)=11,_xlfn.XLOOKUP(GY302,'Dispensed Ink Rates'!C:C,'Dispensed Ink Rates'!CS:CS),VLOOKUP(GY302,'Jan-2026 rates'!$E:$F,2,0)))</f>
        <v>0</v>
      </c>
      <c r="HM302" s="409"/>
      <c r="HN302" s="398">
        <f>IF(HM302=0,0,IF(LEN(GZ302)=11,_xlfn.XLOOKUP(GZ302,'Dispensed Ink Rates'!C:C,'Dispensed Ink Rates'!CS:CS),VLOOKUP(GZ302,'Jan-2026 rates'!$E:$F,2,0)))</f>
        <v>0</v>
      </c>
      <c r="HO302" s="409"/>
      <c r="HP302" s="398">
        <f>IF(HO302=0,0,IF(LEN(HA302)=11,_xlfn.XLOOKUP(HA302,'Dispensed Ink Rates'!C:C,'Dispensed Ink Rates'!CS:CS),VLOOKUP(HA302,'Jan-2026 rates'!$E:$F,2,0)))</f>
        <v>0</v>
      </c>
      <c r="HQ302" s="409"/>
      <c r="HR302" s="398">
        <f>IF(HQ302=0,0,IF(LEN(HB302)=11,_xlfn.XLOOKUP(HB302,'Dispensed Ink Rates'!C:C,'Dispensed Ink Rates'!CS:CS),VLOOKUP(HB302,'Jan-2026 rates'!$E:$F,2,0)))</f>
        <v>0</v>
      </c>
      <c r="HS302" s="409" t="s">
        <v>1881</v>
      </c>
      <c r="HT302" s="409">
        <v>27</v>
      </c>
      <c r="HU302" s="411">
        <f t="shared" si="227"/>
        <v>0</v>
      </c>
      <c r="HV302" s="411">
        <f t="shared" si="228"/>
        <v>11.165048543689323</v>
      </c>
      <c r="HW302" s="414">
        <f t="shared" si="229"/>
        <v>0</v>
      </c>
      <c r="HX302" s="405" t="s">
        <v>545</v>
      </c>
      <c r="HY302" s="409" t="s">
        <v>4435</v>
      </c>
      <c r="HZ302" s="420" t="str">
        <f t="shared" si="189"/>
        <v>ToyoLi - YELLOW</v>
      </c>
      <c r="IA302" s="409">
        <v>25</v>
      </c>
      <c r="IB302" s="411">
        <f>IF(IA302=0,0,IF($LB302=70%,VLOOKUP($HZ302,'Jan-2026 rates'!$L:$R,4,0),IF($LB302=65%,VLOOKUP($HZ302,'Jan-2026 rates'!$L:$R,4,0),IF($LB302=40%,VLOOKUP($HZ302,'Jan-2026 rates'!$L:$R,5,0),IF($LB302=30%,VLOOKUP($HZ302,'Jan-2026 rates'!$L:$R,6,0),IF($LB302=100%,VLOOKUP($HZ302,'Jan-2026 rates'!$L:$R,7,0),IF($LB302=60%,VLOOKUP($HZ302,'Jan-2026 rates'!$L:$S,8,0),IF($LB302=80%,VLOOKUP($HZ302,'Jan-2026 rates'!L:T,9,0),0))))))))</f>
        <v>0</v>
      </c>
      <c r="IC302" s="412"/>
      <c r="ID302" s="409"/>
      <c r="IE302" s="411">
        <f>IF(ID302=0,0,IF($LB302=70%,VLOOKUP($HZ302,'Jan-2026 rates'!$L:$R,4,0),IF($LB302=65%,VLOOKUP($HZ302,'Jan-2026 rates'!$L:$R,4,0),IF($LB302=40%,VLOOKUP($HZ302,'Jan-2026 rates'!$L:$R,5,0),IF($LB302=30%,VLOOKUP($HZ302,'Jan-2026 rates'!$L:$R,6,0),IF($LB302=100%,VLOOKUP($HZ302,'Jan-2026 rates'!$L:$R,7,0),IF($LB302=60%,VLOOKUP($HZ302,'Jan-2026 rates'!$L:$S,8,0),IF($LB302=80%,VLOOKUP($HZ302,'Jan-2026 rates'!L:T,9,0),0))))))))</f>
        <v>0</v>
      </c>
      <c r="IF302" s="412" t="s">
        <v>1247</v>
      </c>
      <c r="IG302" s="413"/>
      <c r="IH302" s="412"/>
      <c r="II302" s="412"/>
      <c r="IJ302" s="412"/>
      <c r="IK302" s="412"/>
      <c r="IL302" s="412"/>
      <c r="IM302" s="412"/>
      <c r="IN302" s="409">
        <v>5</v>
      </c>
      <c r="IO302" s="398">
        <f>IF(IN302=0,0,IF(LEN(IF302)=11,_xlfn.XLOOKUP(IF302,'Dispensed Ink Rates'!C:C,'Dispensed Ink Rates'!CS:CS),VLOOKUP(IF302,'Jan-2026 rates'!$E:$F,2,0)))</f>
        <v>0</v>
      </c>
      <c r="IP302" s="409"/>
      <c r="IQ302" s="398">
        <f>IF(IP302=0,0,IF(LEN(IG302)=11,_xlfn.XLOOKUP(IG302,'Dispensed Ink Rates'!C:C,'Dispensed Ink Rates'!CS:CS),VLOOKUP(IG302,'Jan-2026 rates'!$E:$F,2,0)))</f>
        <v>0</v>
      </c>
      <c r="IR302" s="409"/>
      <c r="IS302" s="398">
        <f>IF(IR302=0,0,IF(LEN(IH302)=11,_xlfn.XLOOKUP(IH302,'Dispensed Ink Rates'!C:C,'Dispensed Ink Rates'!CS:CS),VLOOKUP(IH302,'Jan-2026 rates'!$E:$F,2,0)))</f>
        <v>0</v>
      </c>
      <c r="IT302" s="409"/>
      <c r="IU302" s="398">
        <f>IF(IT302=0,0,IF(LEN(II302)=11,_xlfn.XLOOKUP(II302,'Dispensed Ink Rates'!C:C,'Dispensed Ink Rates'!CS:CS),VLOOKUP(II302,'Jan-2026 rates'!$E:$F,2,0)))</f>
        <v>0</v>
      </c>
      <c r="IV302" s="409"/>
      <c r="IW302" s="398">
        <f>IF(IV302=0,0,IF(LEN(IJ302)=11,_xlfn.XLOOKUP(IJ302,'Dispensed Ink Rates'!C:C,'Dispensed Ink Rates'!CS:CS),VLOOKUP(IJ302,'Jan-2026 rates'!$E:$F,2,0)))</f>
        <v>0</v>
      </c>
      <c r="IX302" s="409"/>
      <c r="IY302" s="398">
        <f>IF(IX302=0,0,IF(LEN(IK302)=11,_xlfn.XLOOKUP(IK302,'Dispensed Ink Rates'!C:C,'Dispensed Ink Rates'!CS:CS),VLOOKUP(IK302,'Jan-2026 rates'!$E:$F,2,0)))</f>
        <v>0</v>
      </c>
      <c r="IZ302" s="409"/>
      <c r="JA302" s="398">
        <f>IF(IZ302=0,0,IF(LEN(IL302)=11,_xlfn.XLOOKUP(IL302,'Dispensed Ink Rates'!C:C,'Dispensed Ink Rates'!CS:CS),VLOOKUP(IL302,'Jan-2026 rates'!$E:$F,2,0)))</f>
        <v>0</v>
      </c>
      <c r="JB302" s="409"/>
      <c r="JC302" s="398">
        <f>IF(JB302=0,0,IF(LEN(IM302)=11,_xlfn.XLOOKUP(IM302,'Dispensed Ink Rates'!C:C,'Dispensed Ink Rates'!CS:CS),VLOOKUP(IM302,'Jan-2026 rates'!$E:$F,2,0)))</f>
        <v>0</v>
      </c>
      <c r="JD302" s="409" t="s">
        <v>1881</v>
      </c>
      <c r="JE302" s="409">
        <v>25</v>
      </c>
      <c r="JF302" s="411">
        <f t="shared" si="230"/>
        <v>0</v>
      </c>
      <c r="JG302" s="411">
        <f t="shared" si="231"/>
        <v>10.165048543689323</v>
      </c>
      <c r="JH302" s="410">
        <f t="shared" si="232"/>
        <v>0</v>
      </c>
      <c r="JI302" s="405" t="s">
        <v>856</v>
      </c>
      <c r="JJ302" s="409" t="s">
        <v>4436</v>
      </c>
      <c r="JK302" s="420" t="str">
        <f t="shared" si="190"/>
        <v>ToyoLi - WHITE</v>
      </c>
      <c r="JL302" s="409">
        <v>25</v>
      </c>
      <c r="JM302" s="411">
        <f>IF(JL302=0,0,IF($LB302=70%,VLOOKUP($JK302,'Jan-2026 rates'!$L:$R,4,0),IF($LB302=65%,VLOOKUP($JK302,'Jan-2026 rates'!$L:$R,4,0),IF($LB302=40%,VLOOKUP($JK302,'Jan-2026 rates'!$L:$R,5,0),IF($LB302=30%,VLOOKUP($JK302,'Jan-2026 rates'!$L:$R,6,0),IF($LB302=100%,VLOOKUP($JK302,'Jan-2026 rates'!$L:$R,7,0),IF($LB302=60%,VLOOKUP($JK302,'Jan-2026 rates'!$L:$S,8,0),IF($LB302=80%,VLOOKUP($JK302,'Jan-2026 rates'!L:T,9,0),0))))))))</f>
        <v>0</v>
      </c>
      <c r="JN302" s="412"/>
      <c r="JO302" s="409"/>
      <c r="JP302" s="411">
        <f>IF(JO302=0,0,IF($LB302=70%,VLOOKUP($JK302,'Jan-2026 rates'!$L:$R,4,0),IF($LB302=65%,VLOOKUP($JK302,'Jan-2026 rates'!$L:$R,4,0),IF($LB302=40%,VLOOKUP($JK302,'Jan-2026 rates'!$L:$R,5,0),IF($LB302=30%,VLOOKUP($JK302,'Jan-2026 rates'!$L:$R,6,0),IF($LB302=100%,VLOOKUP($JK302,'Jan-2026 rates'!$L:$R,7,0),IF($LB302=60%,VLOOKUP($JK302,'Jan-2026 rates'!$L:$S,8,0),IF($LB302=80%,VLOOKUP($JK302,'Jan-2026 rates'!L:T,9,0),0))))))))</f>
        <v>0</v>
      </c>
      <c r="JQ302" s="413" t="s">
        <v>1249</v>
      </c>
      <c r="JR302" s="412" t="s">
        <v>1122</v>
      </c>
      <c r="JS302" s="413"/>
      <c r="JT302" s="413"/>
      <c r="JU302" s="412"/>
      <c r="JV302" s="412"/>
      <c r="JW302" s="412"/>
      <c r="JX302" s="412"/>
      <c r="JY302" s="409">
        <f>120+40</f>
        <v>160</v>
      </c>
      <c r="JZ302" s="398">
        <f>IF(JY302=0,0,IF(LEN(JQ302)=11,_xlfn.XLOOKUP(JQ302,'Dispensed Ink Rates'!C:C,'Dispensed Ink Rates'!CS:CS),VLOOKUP(JQ302,'Jan-2026 rates'!$E:$F,2,0)))</f>
        <v>0</v>
      </c>
      <c r="KA302" s="409">
        <v>9.81</v>
      </c>
      <c r="KB302" s="398">
        <f>IF(KA302=0,0,IF(LEN(JR302)=11,_xlfn.XLOOKUP(JR302,'Dispensed Ink Rates'!C:C,'Dispensed Ink Rates'!CS:CS),VLOOKUP(JR302,'Jan-2026 rates'!$E:$F,2,0)))</f>
        <v>0</v>
      </c>
      <c r="KC302" s="409"/>
      <c r="KD302" s="398">
        <f>IF(KC302=0,0,IF(LEN(JS302)=11,_xlfn.XLOOKUP(JS302,'Dispensed Ink Rates'!C:C,'Dispensed Ink Rates'!CS:CS),VLOOKUP(JS302,'Jan-2026 rates'!$E:$F,2,0)))</f>
        <v>0</v>
      </c>
      <c r="KE302" s="409"/>
      <c r="KF302" s="398">
        <f>IF(KE302=0,0,IF(LEN(JT302)=11,_xlfn.XLOOKUP(JT302,'Dispensed Ink Rates'!C:C,'Dispensed Ink Rates'!CS:CS),VLOOKUP(JT302,'Jan-2026 rates'!$E:$F,2,0)))</f>
        <v>0</v>
      </c>
      <c r="KG302" s="409"/>
      <c r="KH302" s="398">
        <f>IF(KG302=0,0,IF(LEN(JU302)=11,_xlfn.XLOOKUP(JU302,'Dispensed Ink Rates'!C:C,'Dispensed Ink Rates'!CS:CS),VLOOKUP(JU302,'Jan-2026 rates'!$E:$F,2,0)))</f>
        <v>0</v>
      </c>
      <c r="KI302" s="409"/>
      <c r="KJ302" s="398">
        <f>IF(KI302=0,0,IF(LEN(JV302)=11,_xlfn.XLOOKUP(JV302,'Dispensed Ink Rates'!C:C,'Dispensed Ink Rates'!CS:CS),VLOOKUP(JV302,'Jan-2026 rates'!$E:$F,2,0)))</f>
        <v>0</v>
      </c>
      <c r="KK302" s="409"/>
      <c r="KL302" s="398">
        <f>IF(KK302=0,0,IF(LEN(JW302)=11,_xlfn.XLOOKUP(JW302,'Dispensed Ink Rates'!C:C,'Dispensed Ink Rates'!CS:CS),VLOOKUP(JW302,'Jan-2026 rates'!$E:$F,2,0)))</f>
        <v>0</v>
      </c>
      <c r="KM302" s="428"/>
      <c r="KN302" s="398">
        <f>IF(KM302=0,0,IF(LEN(JX302)=11,_xlfn.XLOOKUP(JX302,'Dispensed Ink Rates'!C:C,'Dispensed Ink Rates'!CS:CS),VLOOKUP(JX302,'Jan-2026 rates'!$E:$F,2,0)))</f>
        <v>0</v>
      </c>
      <c r="KO302" s="409" t="s">
        <v>1881</v>
      </c>
      <c r="KP302" s="409">
        <v>20</v>
      </c>
      <c r="KQ302" s="411">
        <f t="shared" si="233"/>
        <v>0</v>
      </c>
      <c r="KR302" s="411">
        <f t="shared" si="234"/>
        <v>329.76145631067959</v>
      </c>
      <c r="KS302" s="410">
        <f t="shared" si="235"/>
        <v>0</v>
      </c>
      <c r="KT302" s="409">
        <v>10</v>
      </c>
      <c r="KU302" s="409">
        <v>5</v>
      </c>
      <c r="KV302" s="409">
        <v>2</v>
      </c>
      <c r="KW302" s="409">
        <v>20</v>
      </c>
      <c r="KX302" s="409">
        <v>2</v>
      </c>
      <c r="KY302" s="409">
        <v>2</v>
      </c>
      <c r="KZ302" s="409">
        <v>2</v>
      </c>
      <c r="LA302" s="409">
        <v>60</v>
      </c>
      <c r="LB302" s="415">
        <v>0.3</v>
      </c>
      <c r="LC302" s="415"/>
      <c r="LD302" s="424"/>
      <c r="LE302" s="415">
        <v>0.5</v>
      </c>
      <c r="LF302" s="415">
        <v>0.2</v>
      </c>
      <c r="LG302" s="409">
        <v>0</v>
      </c>
      <c r="LH302" s="409">
        <f>60+40+6+48+80+32</f>
        <v>266</v>
      </c>
      <c r="LI302" s="409">
        <v>0</v>
      </c>
      <c r="LJ302" s="409">
        <v>0</v>
      </c>
      <c r="LK302" s="416">
        <f t="shared" si="191"/>
        <v>266</v>
      </c>
      <c r="LL302" s="416">
        <f t="shared" si="237"/>
        <v>266</v>
      </c>
      <c r="LM302" s="417">
        <f t="shared" si="193"/>
        <v>79.8</v>
      </c>
      <c r="LN302" s="417">
        <f>VLOOKUP($LM$8,'Jan-2026 rates'!$H:$I,2,0)</f>
        <v>0</v>
      </c>
      <c r="LO302" s="417">
        <f t="shared" si="194"/>
        <v>0</v>
      </c>
      <c r="LP302" s="417">
        <f>VLOOKUP($LO$8,'Jan-2026 rates'!$H:$I,2,0)</f>
        <v>0</v>
      </c>
      <c r="LQ302" s="417">
        <f t="shared" si="195"/>
        <v>0</v>
      </c>
      <c r="LR302" s="417">
        <f>VLOOKUP($LQ$8,'Jan-2026 rates'!$H:$I,2,0)</f>
        <v>0</v>
      </c>
      <c r="LS302" s="417">
        <f t="shared" si="196"/>
        <v>133</v>
      </c>
      <c r="LT302" s="417">
        <f>VLOOKUP($LS$8,'Jan-2026 rates'!$H:$I,2,0)</f>
        <v>0</v>
      </c>
      <c r="LU302" s="417">
        <f t="shared" si="197"/>
        <v>53.2</v>
      </c>
      <c r="LV302" s="417">
        <f>VLOOKUP($LU$8,'Jan-2026 rates'!$H:$I,2,0)</f>
        <v>0</v>
      </c>
      <c r="LW302" s="417">
        <f t="shared" si="198"/>
        <v>0</v>
      </c>
      <c r="LX302" s="417">
        <f t="shared" si="199"/>
        <v>0</v>
      </c>
      <c r="LY302" s="418">
        <f t="shared" si="200"/>
        <v>0</v>
      </c>
      <c r="LZ302" s="417"/>
      <c r="MA302" s="435">
        <f t="shared" si="201"/>
        <v>233.51</v>
      </c>
      <c r="MB302" s="282">
        <f t="shared" si="202"/>
        <v>530.51</v>
      </c>
      <c r="MC302" s="283" t="s">
        <v>2041</v>
      </c>
      <c r="MD302" s="284" t="str">
        <f t="shared" si="203"/>
        <v>ToyoLiToyoLiToyoLiToyoLiToyoLiToyoLiToyoLiToyoLi</v>
      </c>
      <c r="ME302" s="293" t="str">
        <f t="shared" si="204"/>
        <v>+</v>
      </c>
      <c r="MF302" s="293" t="str">
        <f t="shared" si="205"/>
        <v>+</v>
      </c>
      <c r="MG302" s="293" t="str">
        <f t="shared" si="206"/>
        <v>+</v>
      </c>
      <c r="MH302" s="293" t="str">
        <f t="shared" si="207"/>
        <v>+</v>
      </c>
      <c r="MI302" s="293" t="str">
        <f t="shared" si="208"/>
        <v>+</v>
      </c>
      <c r="MJ302" s="293" t="str">
        <f t="shared" si="209"/>
        <v>+</v>
      </c>
      <c r="MK302" s="293" t="str">
        <f t="shared" si="210"/>
        <v>+</v>
      </c>
      <c r="ML302" s="293" t="str">
        <f t="shared" si="211"/>
        <v>+</v>
      </c>
      <c r="MM302" s="3" t="b">
        <f t="array" ref="MM302">OR(ME302:ML302="-")</f>
        <v>0</v>
      </c>
      <c r="MO302" s="401">
        <f t="shared" si="238"/>
        <v>69.712220762155056</v>
      </c>
      <c r="MP302" s="286"/>
      <c r="MR302" s="402">
        <f t="shared" si="239"/>
        <v>9.5759927797833926E-3</v>
      </c>
      <c r="MS302" s="400">
        <f t="shared" si="240"/>
        <v>0</v>
      </c>
      <c r="MT302" s="285"/>
      <c r="NH302" s="361"/>
      <c r="NJ302" s="282"/>
    </row>
    <row r="303" spans="1:374" ht="16.5">
      <c r="A303" s="403">
        <v>46042</v>
      </c>
      <c r="B303" s="404" t="s">
        <v>1018</v>
      </c>
      <c r="C303" s="405" t="s">
        <v>4437</v>
      </c>
      <c r="D303" s="404" t="s">
        <v>2042</v>
      </c>
      <c r="E303" s="404">
        <v>383</v>
      </c>
      <c r="F303" s="407">
        <v>23900</v>
      </c>
      <c r="G303" s="407" t="s">
        <v>1016</v>
      </c>
      <c r="H303" s="408" t="s">
        <v>1017</v>
      </c>
      <c r="I303" s="409">
        <v>1.8</v>
      </c>
      <c r="J303" s="405" t="s">
        <v>543</v>
      </c>
      <c r="K303" s="404" t="s">
        <v>4438</v>
      </c>
      <c r="L303" s="419" t="str">
        <f t="shared" si="184"/>
        <v>ToyoLi - BLACK</v>
      </c>
      <c r="M303" s="404">
        <v>30</v>
      </c>
      <c r="N303" s="410">
        <f>IF(M303=0,0,IF($LB303=70%,VLOOKUP($L303,'Jan-2026 rates'!$L:$R,4,0),IF($LB303=65%,VLOOKUP($L303,'Jan-2026 rates'!$L:$R,4,0),IF($LB303=40%,VLOOKUP($L303,'Jan-2026 rates'!$L:$R,5,0),IF($LB303=30%,VLOOKUP($L303,'Jan-2026 rates'!$L:$R,6,0),IF($LB303=100%,VLOOKUP($L303,'Jan-2026 rates'!$L:$R,7,0),IF($LB303=60%,VLOOKUP($L303,'Jan-2026 rates'!$L:$S,8,0),IF($LB303=80%,VLOOKUP($L303,'Jan-2026 rates'!L:T,9,0),0))))))))</f>
        <v>0</v>
      </c>
      <c r="O303" s="406"/>
      <c r="P303" s="404"/>
      <c r="Q303" s="410">
        <f>IF(P303=0,0,IF($LB303=70%,VLOOKUP($L303,'Jan-2026 rates'!$L:$R,4,0),IF($LB303=65%,VLOOKUP($L303,'Jan-2026 rates'!$L:$R,4,0),IF($LB303=40%,VLOOKUP($L303,'Jan-2026 rates'!$L:$R,5,0),IF($LB303=30%,VLOOKUP($L303,'Jan-2026 rates'!$L:$R,6,0),IF($LB303=100%,VLOOKUP($L303,'Jan-2026 rates'!$L:$R,7,0),IF($LB303=60%,VLOOKUP($L303,'Jan-2026 rates'!$L:$S,8,0),IF($LB303=80%,VLOOKUP($L303,'Jan-2026 rates'!L:T,9,0),0))))))))</f>
        <v>0</v>
      </c>
      <c r="R303" s="406" t="s">
        <v>1252</v>
      </c>
      <c r="S303" s="406"/>
      <c r="T303" s="406"/>
      <c r="U303" s="406"/>
      <c r="V303" s="406"/>
      <c r="W303" s="406"/>
      <c r="X303" s="406"/>
      <c r="Y303" s="406"/>
      <c r="Z303" s="404">
        <v>5</v>
      </c>
      <c r="AA303" s="398">
        <f>IF(Z303=0,0,IF(LEN(R303)=11,_xlfn.XLOOKUP(R303,'Dispensed Ink Rates'!C:C,'Dispensed Ink Rates'!CS:CS),VLOOKUP(R303,'Jan-2026 rates'!$E:$F,2,0)))</f>
        <v>0</v>
      </c>
      <c r="AB303" s="404"/>
      <c r="AC303" s="398">
        <f>IF(AB303=0,0,IF(LEN(S303)=11,_xlfn.XLOOKUP(S303,'Dispensed Ink Rates'!C:C,'Dispensed Ink Rates'!CS:CS),VLOOKUP(S303,'Jan-2026 rates'!$E:$F,2,0)))</f>
        <v>0</v>
      </c>
      <c r="AD303" s="404"/>
      <c r="AE303" s="398">
        <f>IF(AD303=0,0,IF(LEN(T303)=11,_xlfn.XLOOKUP(T303,'Dispensed Ink Rates'!C:C,'Dispensed Ink Rates'!CS:CS),VLOOKUP(T303,'Jan-2026 rates'!$E:$F,2,0)))</f>
        <v>0</v>
      </c>
      <c r="AF303" s="404"/>
      <c r="AG303" s="398">
        <f>IF(AF303=0,0,IF(LEN(U303)=11,_xlfn.XLOOKUP(U303,'Dispensed Ink Rates'!C:C,'Dispensed Ink Rates'!CS:CS),VLOOKUP(U303,'Jan-2026 rates'!$E:$F,2,0)))</f>
        <v>0</v>
      </c>
      <c r="AH303" s="404"/>
      <c r="AI303" s="398">
        <f>IF(AH303=0,0,IF(LEN(V303)=11,_xlfn.XLOOKUP(V303,'Dispensed Ink Rates'!C:C,'Dispensed Ink Rates'!CS:CS),VLOOKUP(V303,'Jan-2026 rates'!$E:$F,2,0)))</f>
        <v>0</v>
      </c>
      <c r="AJ303" s="404"/>
      <c r="AK303" s="398">
        <f>IF(AJ303=0,0,IF(LEN(W303)=11,_xlfn.XLOOKUP(W303,'Dispensed Ink Rates'!C:C,'Dispensed Ink Rates'!CS:CS),VLOOKUP(W303,'Jan-2026 rates'!$E:$F,2,0)))</f>
        <v>0</v>
      </c>
      <c r="AL303" s="404"/>
      <c r="AM303" s="398">
        <f>IF(AL303=0,0,IF(LEN(X303)=11,_xlfn.XLOOKUP(X303,'Dispensed Ink Rates'!C:C,'Dispensed Ink Rates'!CS:CS),VLOOKUP(X303,'Jan-2026 rates'!$E:$F,2,0)))</f>
        <v>0</v>
      </c>
      <c r="AN303" s="404"/>
      <c r="AO303" s="398">
        <f>IF(AN303=0,0,IF(LEN(Y303)=11,_xlfn.XLOOKUP(Y303,'Dispensed Ink Rates'!C:C,'Dispensed Ink Rates'!CS:CS),VLOOKUP(Y303,'Jan-2026 rates'!$E:$F,2,0)))</f>
        <v>0</v>
      </c>
      <c r="AP303" s="409" t="s">
        <v>1881</v>
      </c>
      <c r="AQ303" s="409">
        <v>30</v>
      </c>
      <c r="AR303" s="410">
        <f t="shared" si="212"/>
        <v>0</v>
      </c>
      <c r="AS303" s="411">
        <f t="shared" si="213"/>
        <v>9.2765957446808471</v>
      </c>
      <c r="AT303" s="410">
        <f t="shared" si="214"/>
        <v>0</v>
      </c>
      <c r="AU303" s="405" t="s">
        <v>546</v>
      </c>
      <c r="AV303" s="409" t="s">
        <v>4439</v>
      </c>
      <c r="AW303" s="420" t="str">
        <f t="shared" si="236"/>
        <v>ToyoLi - REFLEX BLUE</v>
      </c>
      <c r="AX303" s="409">
        <v>17</v>
      </c>
      <c r="AY303" s="411">
        <f>IF(AX303=0,0,IF($LB303=70%,VLOOKUP($AW303,'Jan-2026 rates'!$L:$R,4,0),IF($LB303=65%,VLOOKUP($AW303,'Jan-2026 rates'!$L:$R,4,0),IF($LB303=40%,VLOOKUP($AW303,'Jan-2026 rates'!$L:$R,5,0),IF($LB303=30%,VLOOKUP($AW303,'Jan-2026 rates'!$L:$R,6,0),IF($LB303=100%,VLOOKUP($AW303,'Jan-2026 rates'!$L:$R,7,0),IF($LB303=60%,VLOOKUP($AW303,'Jan-2026 rates'!$L:$S,8,0),IF($LB303=80%,VLOOKUP($AW303,'Jan-2026 rates'!L:T,9,0),0))))))))</f>
        <v>0</v>
      </c>
      <c r="AZ303" s="412"/>
      <c r="BA303" s="409"/>
      <c r="BB303" s="411">
        <f>IF(BA303=0,0,IF($LB303=70%,VLOOKUP($AW303,'Jan-2026 rates'!$L:$R,4,0),IF($LB303=65%,VLOOKUP($AW303,'Jan-2026 rates'!$L:$R,4,0),IF($LB303=40%,VLOOKUP($AW303,'Jan-2026 rates'!$L:$R,5,0),IF($LB303=30%,VLOOKUP($AW303,'Jan-2026 rates'!$L:$R,6,0),IF($LB303=100%,VLOOKUP($AW303,'Jan-2026 rates'!$L:$R,7,0),IF($LB303=60%,VLOOKUP($AW303,'Jan-2026 rates'!$L:$S,8,0),IF($LB303=80%,VLOOKUP($AW303,'Jan-2026 rates'!L:T,9,0),0))))))))</f>
        <v>0</v>
      </c>
      <c r="BC303" s="413" t="s">
        <v>1585</v>
      </c>
      <c r="BD303" s="412" t="s">
        <v>1246</v>
      </c>
      <c r="BE303" s="412" t="s">
        <v>1921</v>
      </c>
      <c r="BF303" s="413"/>
      <c r="BG303" s="412"/>
      <c r="BH303" s="412"/>
      <c r="BI303" s="412"/>
      <c r="BJ303" s="412"/>
      <c r="BK303" s="409">
        <v>5</v>
      </c>
      <c r="BL303" s="398">
        <f>IF(BK303=0,0,IF(LEN(BC303)=11,_xlfn.XLOOKUP(BC303,'Dispensed Ink Rates'!C:C,'Dispensed Ink Rates'!CS:CS),VLOOKUP(BC303,'Jan-2026 rates'!$E:$F,2,0)))</f>
        <v>0</v>
      </c>
      <c r="BM303" s="409">
        <v>3</v>
      </c>
      <c r="BN303" s="398">
        <f>IF(BM303=0,0,IF(LEN(BD303)=11,_xlfn.XLOOKUP(BD303,'Dispensed Ink Rates'!C:C,'Dispensed Ink Rates'!CS:CS),VLOOKUP(BD303,'Jan-2026 rates'!$E:$F,2,0)))</f>
        <v>0</v>
      </c>
      <c r="BO303" s="409">
        <v>5</v>
      </c>
      <c r="BP303" s="398">
        <f>IF(BO303=0,0,IF(LEN(BE303)=11,_xlfn.XLOOKUP(BE303,'Dispensed Ink Rates'!C:C,'Dispensed Ink Rates'!CS:CS),VLOOKUP(BE303,'Jan-2026 rates'!$E:$F,2,0)))</f>
        <v>0</v>
      </c>
      <c r="BQ303" s="409"/>
      <c r="BR303" s="398">
        <f>IF(BQ303=0,0,IF(LEN(BF303)=11,_xlfn.XLOOKUP(BF303,'Dispensed Ink Rates'!C:C,'Dispensed Ink Rates'!CS:CS),VLOOKUP(BF303,'Jan-2026 rates'!$E:$F,2,0)))</f>
        <v>0</v>
      </c>
      <c r="BS303" s="409"/>
      <c r="BT303" s="398">
        <f>IF(BS303=0,0,IF(LEN(BG303)=11,_xlfn.XLOOKUP(BG303,'Dispensed Ink Rates'!C:C,'Dispensed Ink Rates'!CS:CS),VLOOKUP(BG303,'Jan-2026 rates'!$E:$F,2,0)))</f>
        <v>0</v>
      </c>
      <c r="BU303" s="409"/>
      <c r="BV303" s="398">
        <f>IF(BU303=0,0,IF(LEN(BH303)=11,_xlfn.XLOOKUP(BH303,'Dispensed Ink Rates'!C:C,'Dispensed Ink Rates'!CS:CS),VLOOKUP(BH303,'Jan-2026 rates'!$E:$F,2,0)))</f>
        <v>0</v>
      </c>
      <c r="BW303" s="409"/>
      <c r="BX303" s="398">
        <f>IF(BW303=0,0,IF(LEN(BI303)=11,_xlfn.XLOOKUP(BI303,'Dispensed Ink Rates'!C:C,'Dispensed Ink Rates'!CS:CS),VLOOKUP(BI303,'Jan-2026 rates'!$E:$F,2,0)))</f>
        <v>0</v>
      </c>
      <c r="BY303" s="409"/>
      <c r="BZ303" s="398">
        <f>IF(BY303=0,0,IF(LEN(BJ303)=11,_xlfn.XLOOKUP(BJ303,'Dispensed Ink Rates'!C:C,'Dispensed Ink Rates'!CS:CS),VLOOKUP(BJ303,'Jan-2026 rates'!$E:$F,2,0)))</f>
        <v>0</v>
      </c>
      <c r="CA303" s="409" t="s">
        <v>1881</v>
      </c>
      <c r="CB303" s="409">
        <f>20+8</f>
        <v>28</v>
      </c>
      <c r="CC303" s="411">
        <f t="shared" si="215"/>
        <v>0</v>
      </c>
      <c r="CD303" s="411">
        <f t="shared" si="216"/>
        <v>4.8510638297872362</v>
      </c>
      <c r="CE303" s="410">
        <f t="shared" si="217"/>
        <v>0</v>
      </c>
      <c r="CF303" s="404" t="s">
        <v>855</v>
      </c>
      <c r="CG303" s="409" t="s">
        <v>4440</v>
      </c>
      <c r="CH303" s="420" t="str">
        <f t="shared" si="185"/>
        <v>ToyoLi - CYAN</v>
      </c>
      <c r="CI303" s="409">
        <v>29</v>
      </c>
      <c r="CJ303" s="411">
        <f>IF(CI303=0,0,IF($LB303=70%,VLOOKUP($CH303,'Jan-2026 rates'!$L:$R,4,0),IF($LB303=65%,VLOOKUP($CH303,'Jan-2026 rates'!$L:$R,4,0),IF($LB303=40%,VLOOKUP($CH303,'Jan-2026 rates'!$L:$R,5,0),IF($LB303=30%,VLOOKUP($CH303,'Jan-2026 rates'!$L:$R,6,0),IF($LB303=100%,VLOOKUP($CH303,'Jan-2026 rates'!$L:$R,7,0),IF($LB303=60%,VLOOKUP($CH303,'Jan-2026 rates'!$L:$S,8,0),IF($LB303=80%,VLOOKUP($CH303,'Jan-2026 rates'!L:T,9,0),0))))))))</f>
        <v>0</v>
      </c>
      <c r="CK303" s="412"/>
      <c r="CL303" s="409"/>
      <c r="CM303" s="411">
        <f>IF(CL303=0,0,IF($LB303=70%,VLOOKUP($CH303,'Jan-2026 rates'!$L:$R,4,0),IF($LB303=65%,VLOOKUP($CH303,'Jan-2026 rates'!$L:$R,4,0),IF($LB303=40%,VLOOKUP($CH303,'Jan-2026 rates'!$L:$R,5,0),IF($LB303=30%,VLOOKUP($CH303,'Jan-2026 rates'!$L:$R,6,0),IF($LB303=100%,VLOOKUP($CH303,'Jan-2026 rates'!$L:$R,7,0),IF($LB303=60%,VLOOKUP($CH303,'Jan-2026 rates'!$L:$S,8,0),IF($LB303=80%,VLOOKUP($CH303,'Jan-2026 rates'!L:T,9,0),0))))))))</f>
        <v>0</v>
      </c>
      <c r="CN303" s="426" t="s">
        <v>1250</v>
      </c>
      <c r="CO303" s="427"/>
      <c r="CP303" s="426"/>
      <c r="CQ303" s="426"/>
      <c r="CR303" s="428"/>
      <c r="CS303" s="428"/>
      <c r="CT303" s="428"/>
      <c r="CU303" s="428"/>
      <c r="CV303" s="409">
        <v>1</v>
      </c>
      <c r="CW303" s="398">
        <f>IF(CV303=0,0,IF(LEN(CN303)=11,_xlfn.XLOOKUP(CN303,'Dispensed Ink Rates'!C:C,'Dispensed Ink Rates'!CS:CS),VLOOKUP(CN303,'Jan-2026 rates'!$E:$F,2,0)))</f>
        <v>0</v>
      </c>
      <c r="CX303" s="409"/>
      <c r="CY303" s="398">
        <f>IF(CX303=0,0,IF(LEN(CO303)=11,_xlfn.XLOOKUP(CO303,'Dispensed Ink Rates'!C:C,'Dispensed Ink Rates'!CS:CS),VLOOKUP(CO303,'Jan-2026 rates'!$E:$F,2,0)))</f>
        <v>0</v>
      </c>
      <c r="CZ303" s="409"/>
      <c r="DA303" s="398">
        <f>IF(CZ303=0,0,IF(LEN(CP303)=11,_xlfn.XLOOKUP(CP303,'Dispensed Ink Rates'!C:C,'Dispensed Ink Rates'!CS:CS),VLOOKUP(CP303,'Jan-2026 rates'!$E:$F,2,0)))</f>
        <v>0</v>
      </c>
      <c r="DB303" s="409"/>
      <c r="DC303" s="398">
        <f>IF(DB303=0,0,IF(LEN(CQ303)=11,_xlfn.XLOOKUP(CQ303,'Dispensed Ink Rates'!C:C,'Dispensed Ink Rates'!CS:CS),VLOOKUP(CQ303,'Jan-2026 rates'!$E:$F,2,0)))</f>
        <v>0</v>
      </c>
      <c r="DD303" s="409"/>
      <c r="DE303" s="398">
        <f>IF(DD303=0,0,IF(LEN(CR303)=11,_xlfn.XLOOKUP(CR303,'Dispensed Ink Rates'!C:C,'Dispensed Ink Rates'!CS:CS),VLOOKUP(CR303,'Jan-2026 rates'!$E:$F,2,0)))</f>
        <v>0</v>
      </c>
      <c r="DF303" s="409"/>
      <c r="DG303" s="398">
        <f>IF(DF303=0,0,IF(LEN(CS303)=11,_xlfn.XLOOKUP(CS303,'Dispensed Ink Rates'!C:C,'Dispensed Ink Rates'!CS:CS),VLOOKUP(CS303,'Jan-2026 rates'!$E:$F,2,0)))</f>
        <v>0</v>
      </c>
      <c r="DH303" s="409"/>
      <c r="DI303" s="398">
        <f>IF(DH303=0,0,IF(LEN(CT303)=11,_xlfn.XLOOKUP(CT303,'Dispensed Ink Rates'!C:C,'Dispensed Ink Rates'!CS:CS),VLOOKUP(CT303,'Jan-2026 rates'!$E:$F,2,0)))</f>
        <v>0</v>
      </c>
      <c r="DJ303" s="409"/>
      <c r="DK303" s="398">
        <f>IF(DJ303=0,0,IF(LEN(CU303)=11,_xlfn.XLOOKUP(CU303,'Dispensed Ink Rates'!C:C,'Dispensed Ink Rates'!CS:CS),VLOOKUP(CU303,'Jan-2026 rates'!$E:$F,2,0)))</f>
        <v>0</v>
      </c>
      <c r="DL303" s="409" t="s">
        <v>1881</v>
      </c>
      <c r="DM303" s="409">
        <v>25</v>
      </c>
      <c r="DN303" s="411">
        <f t="shared" si="218"/>
        <v>0</v>
      </c>
      <c r="DO303" s="411">
        <f t="shared" si="219"/>
        <v>7.8510638297872362</v>
      </c>
      <c r="DP303" s="410">
        <f t="shared" si="220"/>
        <v>0</v>
      </c>
      <c r="DQ303" s="405" t="s">
        <v>857</v>
      </c>
      <c r="DR303" s="409"/>
      <c r="DS303" s="420" t="str">
        <f t="shared" si="186"/>
        <v>ToyoLi - RED</v>
      </c>
      <c r="DT303" s="409"/>
      <c r="DU303" s="411">
        <f>IF(DT303=0,0,IF($LB303=70%,VLOOKUP($DS303,'Jan-2026 rates'!$L:$R,4,0),IF($LB303=65%,VLOOKUP($DS303,'Jan-2026 rates'!$L:$R,4,0),IF($LB303=40%,VLOOKUP($DS303,'Jan-2026 rates'!$L:$R,5,0),IF($LB303=30%,VLOOKUP($DS303,'Jan-2026 rates'!$L:$R,6,0),IF($LB303=100%,VLOOKUP($DS303,'Jan-2026 rates'!$L:$R,7,0),IF($LB303=60%,VLOOKUP($DS303,'Jan-2026 rates'!$L:$S,8,0),IF($LB303=80%,VLOOKUP($DS303,'Jan-2026 rates'!L:T,9,0),0))))))))</f>
        <v>0</v>
      </c>
      <c r="DV303" s="412"/>
      <c r="DW303" s="409"/>
      <c r="DX303" s="411">
        <f>IF(DW303=0,0,IF($LB303=70%,VLOOKUP($DS303,'Jan-2026 rates'!$L:$R,4,0),IF($LB303=65%,VLOOKUP($DS303,'Jan-2026 rates'!$L:$R,4,0),IF($LB303=40%,VLOOKUP($DS303,'Jan-2026 rates'!$L:$R,5,0),IF($LB303=30%,VLOOKUP($DS303,'Jan-2026 rates'!$L:$R,6,0),IF($LB303=100%,VLOOKUP($DS303,'Jan-2026 rates'!$L:$R,7,0),IF($LB303=60%,VLOOKUP($DS303,'Jan-2026 rates'!$L:$S,8,0),IF($LB303=80%,VLOOKUP($DS303,'Jan-2026 rates'!L:T,9,0),0))))))))</f>
        <v>0</v>
      </c>
      <c r="DY303" s="413" t="s">
        <v>1246</v>
      </c>
      <c r="DZ303" s="413" t="s">
        <v>1248</v>
      </c>
      <c r="EA303" s="412"/>
      <c r="EB303" s="412"/>
      <c r="EC303" s="412"/>
      <c r="ED303" s="412"/>
      <c r="EE303" s="412"/>
      <c r="EF303" s="412"/>
      <c r="EG303" s="409">
        <v>20</v>
      </c>
      <c r="EH303" s="398">
        <f>IF(EG303=0,0,IF(LEN(DY303)=11,_xlfn.XLOOKUP(DY303,'Dispensed Ink Rates'!C:C,'Dispensed Ink Rates'!CS:CS),VLOOKUP(DY303,'Jan-2026 rates'!$E:$F,2,0)))</f>
        <v>0</v>
      </c>
      <c r="EI303" s="409">
        <v>30</v>
      </c>
      <c r="EJ303" s="398">
        <f>IF(EI303=0,0,IF(LEN(DZ303)=11,_xlfn.XLOOKUP(DZ303,'Dispensed Ink Rates'!C:C,'Dispensed Ink Rates'!CS:CS),VLOOKUP(DZ303,'Jan-2026 rates'!$E:$F,2,0)))</f>
        <v>0</v>
      </c>
      <c r="EK303" s="409"/>
      <c r="EL303" s="398">
        <f>IF(EK303=0,0,IF(LEN(EA303)=11,_xlfn.XLOOKUP(EA303,'Dispensed Ink Rates'!C:C,'Dispensed Ink Rates'!CS:CS),VLOOKUP(EA303,'Jan-2026 rates'!$E:$F,2,0)))</f>
        <v>0</v>
      </c>
      <c r="EM303" s="409"/>
      <c r="EN303" s="398">
        <f>IF(EM303=0,0,IF(LEN(EB303)=11,_xlfn.XLOOKUP(EB303,'Dispensed Ink Rates'!C:C,'Dispensed Ink Rates'!CS:CS),VLOOKUP(EB303,'Jan-2026 rates'!$E:$F,2,0)))</f>
        <v>0</v>
      </c>
      <c r="EO303" s="409"/>
      <c r="EP303" s="398">
        <f>IF(EO303=0,0,IF(LEN(EC303)=11,_xlfn.XLOOKUP(EC303,'Dispensed Ink Rates'!C:C,'Dispensed Ink Rates'!CS:CS),VLOOKUP(EC303,'Jan-2026 rates'!$E:$F,2,0)))</f>
        <v>0</v>
      </c>
      <c r="EQ303" s="409"/>
      <c r="ER303" s="398">
        <f>IF(EQ303=0,0,IF(LEN(ED303)=11,_xlfn.XLOOKUP(ED303,'Dispensed Ink Rates'!C:C,'Dispensed Ink Rates'!CS:CS),VLOOKUP(ED303,'Jan-2026 rates'!$E:$F,2,0)))</f>
        <v>0</v>
      </c>
      <c r="ES303" s="409"/>
      <c r="ET303" s="398">
        <f>IF(ES303=0,0,IF(LEN(EE303)=11,_xlfn.XLOOKUP(EE303,'Dispensed Ink Rates'!C:C,'Dispensed Ink Rates'!CS:CS),VLOOKUP(EE303,'Jan-2026 rates'!$E:$F,2,0)))</f>
        <v>0</v>
      </c>
      <c r="EU303" s="409"/>
      <c r="EV303" s="398">
        <f>IF(EU303=0,0,IF(LEN(EF303)=11,_xlfn.XLOOKUP(EF303,'Dispensed Ink Rates'!C:C,'Dispensed Ink Rates'!CS:CS),VLOOKUP(EF303,'Jan-2026 rates'!$E:$F,2,0)))</f>
        <v>0</v>
      </c>
      <c r="EW303" s="409" t="s">
        <v>1881</v>
      </c>
      <c r="EX303" s="409">
        <f>16+30</f>
        <v>46</v>
      </c>
      <c r="EY303" s="411">
        <f t="shared" si="221"/>
        <v>0</v>
      </c>
      <c r="EZ303" s="411">
        <f t="shared" si="222"/>
        <v>32.510638297872333</v>
      </c>
      <c r="FA303" s="410">
        <f t="shared" si="223"/>
        <v>0</v>
      </c>
      <c r="FB303" s="405" t="s">
        <v>545</v>
      </c>
      <c r="FC303" s="409" t="s">
        <v>4441</v>
      </c>
      <c r="FD303" s="420" t="str">
        <f t="shared" si="187"/>
        <v>ToyoLi - YELLOW</v>
      </c>
      <c r="FE303" s="409">
        <v>25</v>
      </c>
      <c r="FF303" s="411">
        <f>IF(FE303=0,0,IF($LB303=70%,VLOOKUP($FD303,'Jan-2026 rates'!$L:$R,4,0),IF($LB303=65%,VLOOKUP($FD303,'Jan-2026 rates'!$L:$R,4,0),IF($LB303=40%,VLOOKUP($FD303,'Jan-2026 rates'!$L:$R,5,0),IF($LB303=30%,VLOOKUP($FD303,'Jan-2026 rates'!$L:$R,6,0),IF($LB303=100%,VLOOKUP($FD303,'Jan-2026 rates'!$L:$R,7,0),IF($LB303=60%,VLOOKUP($FD303,'Jan-2026 rates'!$L:$S,8,0),IF($LB303=80%,VLOOKUP($FD303,'Jan-2026 rates'!L:T,9,0),0))))))))</f>
        <v>0</v>
      </c>
      <c r="FG303" s="412"/>
      <c r="FH303" s="409"/>
      <c r="FI303" s="411">
        <f>IF(FH303=0,0,IF($LB303=70%,VLOOKUP($FD303,'Jan-2026 rates'!$L:$R,4,0),IF($LB303=65%,VLOOKUP($FD303,'Jan-2026 rates'!$L:$R,4,0),IF($LB303=40%,VLOOKUP($FD303,'Jan-2026 rates'!$L:$R,5,0),IF($LB303=30%,VLOOKUP($FD303,'Jan-2026 rates'!$L:$R,6,0),IF($LB303=100%,VLOOKUP($FD303,'Jan-2026 rates'!$L:$R,7,0),IF($LB303=60%,VLOOKUP($FD303,'Jan-2026 rates'!$L:$S,8,0),IF($LB303=80%,VLOOKUP($FD303,'Jan-2026 rates'!L:T,9,0),0))))))))</f>
        <v>0</v>
      </c>
      <c r="FJ303" s="413" t="s">
        <v>1247</v>
      </c>
      <c r="FK303" s="413"/>
      <c r="FL303" s="413"/>
      <c r="FM303" s="412"/>
      <c r="FN303" s="412"/>
      <c r="FO303" s="412"/>
      <c r="FP303" s="412"/>
      <c r="FQ303" s="412"/>
      <c r="FR303" s="409">
        <v>3</v>
      </c>
      <c r="FS303" s="398">
        <f>IF(FR303=0,0,IF(LEN(FJ303)=11,_xlfn.XLOOKUP(FJ303,'Dispensed Ink Rates'!C:C,'Dispensed Ink Rates'!CS:CS),VLOOKUP(FJ303,'Jan-2026 rates'!$E:$F,2,0)))</f>
        <v>0</v>
      </c>
      <c r="FT303" s="409"/>
      <c r="FU303" s="398">
        <f>IF(FT303=0,0,IF(LEN(FK303)=11,_xlfn.XLOOKUP(FK303,'Dispensed Ink Rates'!C:C,'Dispensed Ink Rates'!CS:CS),VLOOKUP(FK303,'Jan-2026 rates'!$E:$F,2,0)))</f>
        <v>0</v>
      </c>
      <c r="FV303" s="409"/>
      <c r="FW303" s="398">
        <f>IF(FV303=0,0,IF(LEN(FL303)=11,_xlfn.XLOOKUP(FL303,'Dispensed Ink Rates'!C:C,'Dispensed Ink Rates'!CS:CS),VLOOKUP(FL303,'Jan-2026 rates'!$E:$F,2,0)))</f>
        <v>0</v>
      </c>
      <c r="FX303" s="409"/>
      <c r="FY303" s="398">
        <f>IF(FX303=0,0,IF(LEN(FM303)=11,_xlfn.XLOOKUP(FM303,'Dispensed Ink Rates'!C:C,'Dispensed Ink Rates'!CS:CS),VLOOKUP(FM303,'Jan-2026 rates'!$E:$F,2,0)))</f>
        <v>0</v>
      </c>
      <c r="FZ303" s="409"/>
      <c r="GA303" s="398">
        <f>IF(FZ303=0,0,IF(LEN(FN303)=11,_xlfn.XLOOKUP(FN303,'Dispensed Ink Rates'!C:C,'Dispensed Ink Rates'!CS:CS),VLOOKUP(FN303,'Jan-2026 rates'!$E:$F,2,0)))</f>
        <v>0</v>
      </c>
      <c r="GB303" s="409"/>
      <c r="GC303" s="398">
        <f>IF(GB303=0,0,IF(LEN(FO303)=11,_xlfn.XLOOKUP(FO303,'Dispensed Ink Rates'!C:C,'Dispensed Ink Rates'!CS:CS),VLOOKUP(FO303,'Jan-2026 rates'!$E:$F,2,0)))</f>
        <v>0</v>
      </c>
      <c r="GD303" s="409"/>
      <c r="GE303" s="398">
        <f>IF(GD303=0,0,IF(LEN(FP303)=11,_xlfn.XLOOKUP(FP303,'Dispensed Ink Rates'!C:C,'Dispensed Ink Rates'!CS:CS),VLOOKUP(FP303,'Jan-2026 rates'!$E:$F,2,0)))</f>
        <v>0</v>
      </c>
      <c r="GF303" s="409"/>
      <c r="GG303" s="398">
        <f>IF(GF303=0,0,IF(LEN(FQ303)=11,_xlfn.XLOOKUP(FQ303,'Dispensed Ink Rates'!C:C,'Dispensed Ink Rates'!CS:CS),VLOOKUP(FQ303,'Jan-2026 rates'!$E:$F,2,0)))</f>
        <v>0</v>
      </c>
      <c r="GH303" s="409" t="s">
        <v>1881</v>
      </c>
      <c r="GI303" s="409">
        <v>26</v>
      </c>
      <c r="GJ303" s="411">
        <f t="shared" si="224"/>
        <v>0</v>
      </c>
      <c r="GK303" s="411">
        <f t="shared" si="225"/>
        <v>4.8510638297872326</v>
      </c>
      <c r="GL303" s="410">
        <f t="shared" si="226"/>
        <v>0</v>
      </c>
      <c r="GM303" s="405" t="s">
        <v>543</v>
      </c>
      <c r="GN303" s="409"/>
      <c r="GO303" s="420" t="str">
        <f t="shared" si="188"/>
        <v>ToyoLi - BLACK</v>
      </c>
      <c r="GP303" s="409"/>
      <c r="GQ303" s="411">
        <f>IF(GP303=0,0,IF($LB303=70%,VLOOKUP($GO303,'Jan-2026 rates'!$L:$R,4,0),IF($LB303=65%,VLOOKUP($GO303,'Jan-2026 rates'!$L:$R,4,0),IF($LB303=40%,VLOOKUP($GO303,'Jan-2026 rates'!$L:$R,5,0),IF($LB303=30%,VLOOKUP($GO303,'Jan-2026 rates'!$L:$R,6,0),IF($LB303=100%,VLOOKUP($GO303,'Jan-2026 rates'!$L:$R,7,0),IF($LB303=60%,VLOOKUP($GO303,'Jan-2026 rates'!$L:$S,8,0),IF($LB303=80%,VLOOKUP($GO303,'Jan-2026 rates'!L:T,9,0),0))))))))</f>
        <v>0</v>
      </c>
      <c r="GR303" s="412"/>
      <c r="GS303" s="409"/>
      <c r="GT303" s="411">
        <f>IF(GS303=0,0,IF($LB303=70%,VLOOKUP($GO303,'Jan-2026 rates'!$L:$R,4,0),IF($LB303=65%,VLOOKUP($GO303,'Jan-2026 rates'!$L:$R,4,0),IF($LB303=40%,VLOOKUP($GO303,'Jan-2026 rates'!$L:$R,5,0),IF($LB303=30%,VLOOKUP($GO303,'Jan-2026 rates'!$L:$R,6,0),IF($LB303=100%,VLOOKUP($GO303,'Jan-2026 rates'!$L:$R,7,0),IF($LB303=60%,VLOOKUP($GO303,'Jan-2026 rates'!$L:$S,8,0),IF($LB303=80%,VLOOKUP($GO303,'Jan-2026 rates'!L:T,9,0),0))))))))</f>
        <v>0</v>
      </c>
      <c r="GU303" s="413" t="s">
        <v>1249</v>
      </c>
      <c r="GV303" s="413" t="s">
        <v>1252</v>
      </c>
      <c r="GW303" s="412" t="s">
        <v>1921</v>
      </c>
      <c r="GX303" s="412"/>
      <c r="GY303" s="412"/>
      <c r="GZ303" s="412"/>
      <c r="HA303" s="412"/>
      <c r="HB303" s="412"/>
      <c r="HC303" s="409">
        <v>40</v>
      </c>
      <c r="HD303" s="398">
        <f>IF(HC303=0,0,IF(LEN(GU303)=11,_xlfn.XLOOKUP(GU303,'Dispensed Ink Rates'!C:C,'Dispensed Ink Rates'!CS:CS),VLOOKUP(GU303,'Jan-2026 rates'!$E:$F,2,0)))</f>
        <v>0</v>
      </c>
      <c r="HE303" s="409">
        <v>2</v>
      </c>
      <c r="HF303" s="398">
        <f>IF(HE303=0,0,IF(LEN(GV303)=11,_xlfn.XLOOKUP(GV303,'Dispensed Ink Rates'!C:C,'Dispensed Ink Rates'!CS:CS),VLOOKUP(GV303,'Jan-2026 rates'!$E:$F,2,0)))</f>
        <v>0</v>
      </c>
      <c r="HG303" s="409">
        <v>15</v>
      </c>
      <c r="HH303" s="398">
        <f>IF(HG303=0,0,IF(LEN(GW303)=11,_xlfn.XLOOKUP(GW303,'Dispensed Ink Rates'!C:C,'Dispensed Ink Rates'!CS:CS),VLOOKUP(GW303,'Jan-2026 rates'!$E:$F,2,0)))</f>
        <v>0</v>
      </c>
      <c r="HI303" s="409"/>
      <c r="HJ303" s="398">
        <f>IF(HI303=0,0,IF(LEN(GX303)=11,_xlfn.XLOOKUP(GX303,'Dispensed Ink Rates'!C:C,'Dispensed Ink Rates'!CS:CS),VLOOKUP(GX303,'Jan-2026 rates'!$E:$F,2,0)))</f>
        <v>0</v>
      </c>
      <c r="HK303" s="409"/>
      <c r="HL303" s="398">
        <f>IF(HK303=0,0,IF(LEN(GY303)=11,_xlfn.XLOOKUP(GY303,'Dispensed Ink Rates'!C:C,'Dispensed Ink Rates'!CS:CS),VLOOKUP(GY303,'Jan-2026 rates'!$E:$F,2,0)))</f>
        <v>0</v>
      </c>
      <c r="HM303" s="409"/>
      <c r="HN303" s="398">
        <f>IF(HM303=0,0,IF(LEN(GZ303)=11,_xlfn.XLOOKUP(GZ303,'Dispensed Ink Rates'!C:C,'Dispensed Ink Rates'!CS:CS),VLOOKUP(GZ303,'Jan-2026 rates'!$E:$F,2,0)))</f>
        <v>0</v>
      </c>
      <c r="HO303" s="409"/>
      <c r="HP303" s="398">
        <f>IF(HO303=0,0,IF(LEN(HA303)=11,_xlfn.XLOOKUP(HA303,'Dispensed Ink Rates'!C:C,'Dispensed Ink Rates'!CS:CS),VLOOKUP(HA303,'Jan-2026 rates'!$E:$F,2,0)))</f>
        <v>0</v>
      </c>
      <c r="HQ303" s="409"/>
      <c r="HR303" s="398">
        <f>IF(HQ303=0,0,IF(LEN(HB303)=11,_xlfn.XLOOKUP(HB303,'Dispensed Ink Rates'!C:C,'Dispensed Ink Rates'!CS:CS),VLOOKUP(HB303,'Jan-2026 rates'!$E:$F,2,0)))</f>
        <v>0</v>
      </c>
      <c r="HS303" s="409" t="s">
        <v>1881</v>
      </c>
      <c r="HT303" s="409">
        <v>35</v>
      </c>
      <c r="HU303" s="411">
        <f t="shared" si="227"/>
        <v>0</v>
      </c>
      <c r="HV303" s="411">
        <f t="shared" si="228"/>
        <v>64.765957446808514</v>
      </c>
      <c r="HW303" s="414">
        <f t="shared" si="229"/>
        <v>0</v>
      </c>
      <c r="HX303" s="405" t="s">
        <v>856</v>
      </c>
      <c r="HY303" s="409" t="s">
        <v>4442</v>
      </c>
      <c r="HZ303" s="420" t="str">
        <f t="shared" si="189"/>
        <v>ToyoLi - WHITE</v>
      </c>
      <c r="IA303" s="409">
        <v>20</v>
      </c>
      <c r="IB303" s="411">
        <f>IF(IA303=0,0,IF($LB303=70%,VLOOKUP($HZ303,'Jan-2026 rates'!$L:$R,4,0),IF($LB303=65%,VLOOKUP($HZ303,'Jan-2026 rates'!$L:$R,4,0),IF($LB303=40%,VLOOKUP($HZ303,'Jan-2026 rates'!$L:$R,5,0),IF($LB303=30%,VLOOKUP($HZ303,'Jan-2026 rates'!$L:$R,6,0),IF($LB303=100%,VLOOKUP($HZ303,'Jan-2026 rates'!$L:$R,7,0),IF($LB303=60%,VLOOKUP($HZ303,'Jan-2026 rates'!$L:$S,8,0),IF($LB303=80%,VLOOKUP($HZ303,'Jan-2026 rates'!L:T,9,0),0))))))))</f>
        <v>0</v>
      </c>
      <c r="IC303" s="412"/>
      <c r="ID303" s="409"/>
      <c r="IE303" s="411">
        <f>IF(ID303=0,0,IF($LB303=70%,VLOOKUP($HZ303,'Jan-2026 rates'!$L:$R,4,0),IF($LB303=65%,VLOOKUP($HZ303,'Jan-2026 rates'!$L:$R,4,0),IF($LB303=40%,VLOOKUP($HZ303,'Jan-2026 rates'!$L:$R,5,0),IF($LB303=30%,VLOOKUP($HZ303,'Jan-2026 rates'!$L:$R,6,0),IF($LB303=100%,VLOOKUP($HZ303,'Jan-2026 rates'!$L:$R,7,0),IF($LB303=60%,VLOOKUP($HZ303,'Jan-2026 rates'!$L:$S,8,0),IF($LB303=80%,VLOOKUP($HZ303,'Jan-2026 rates'!L:T,9,0),0))))))))</f>
        <v>0</v>
      </c>
      <c r="IF303" s="412" t="s">
        <v>1249</v>
      </c>
      <c r="IG303" s="413" t="s">
        <v>1122</v>
      </c>
      <c r="IH303" s="412"/>
      <c r="II303" s="412"/>
      <c r="IJ303" s="412"/>
      <c r="IK303" s="412"/>
      <c r="IL303" s="412"/>
      <c r="IM303" s="412"/>
      <c r="IN303" s="409">
        <v>50</v>
      </c>
      <c r="IO303" s="398">
        <f>IF(IN303=0,0,IF(LEN(IF303)=11,_xlfn.XLOOKUP(IF303,'Dispensed Ink Rates'!C:C,'Dispensed Ink Rates'!CS:CS),VLOOKUP(IF303,'Jan-2026 rates'!$E:$F,2,0)))</f>
        <v>0</v>
      </c>
      <c r="IP303" s="409">
        <v>7.18</v>
      </c>
      <c r="IQ303" s="398">
        <f>IF(IP303=0,0,IF(LEN(IG303)=11,_xlfn.XLOOKUP(IG303,'Dispensed Ink Rates'!C:C,'Dispensed Ink Rates'!CS:CS),VLOOKUP(IG303,'Jan-2026 rates'!$E:$F,2,0)))</f>
        <v>0</v>
      </c>
      <c r="IR303" s="409"/>
      <c r="IS303" s="398">
        <f>IF(IR303=0,0,IF(LEN(IH303)=11,_xlfn.XLOOKUP(IH303,'Dispensed Ink Rates'!C:C,'Dispensed Ink Rates'!CS:CS),VLOOKUP(IH303,'Jan-2026 rates'!$E:$F,2,0)))</f>
        <v>0</v>
      </c>
      <c r="IT303" s="409"/>
      <c r="IU303" s="398">
        <f>IF(IT303=0,0,IF(LEN(II303)=11,_xlfn.XLOOKUP(II303,'Dispensed Ink Rates'!C:C,'Dispensed Ink Rates'!CS:CS),VLOOKUP(II303,'Jan-2026 rates'!$E:$F,2,0)))</f>
        <v>0</v>
      </c>
      <c r="IV303" s="409"/>
      <c r="IW303" s="398">
        <f>IF(IV303=0,0,IF(LEN(IJ303)=11,_xlfn.XLOOKUP(IJ303,'Dispensed Ink Rates'!C:C,'Dispensed Ink Rates'!CS:CS),VLOOKUP(IJ303,'Jan-2026 rates'!$E:$F,2,0)))</f>
        <v>0</v>
      </c>
      <c r="IX303" s="409"/>
      <c r="IY303" s="398">
        <f>IF(IX303=0,0,IF(LEN(IK303)=11,_xlfn.XLOOKUP(IK303,'Dispensed Ink Rates'!C:C,'Dispensed Ink Rates'!CS:CS),VLOOKUP(IK303,'Jan-2026 rates'!$E:$F,2,0)))</f>
        <v>0</v>
      </c>
      <c r="IZ303" s="409"/>
      <c r="JA303" s="398">
        <f>IF(IZ303=0,0,IF(LEN(IL303)=11,_xlfn.XLOOKUP(IL303,'Dispensed Ink Rates'!C:C,'Dispensed Ink Rates'!CS:CS),VLOOKUP(IL303,'Jan-2026 rates'!$E:$F,2,0)))</f>
        <v>0</v>
      </c>
      <c r="JB303" s="409"/>
      <c r="JC303" s="398">
        <f>IF(JB303=0,0,IF(LEN(IM303)=11,_xlfn.XLOOKUP(IM303,'Dispensed Ink Rates'!C:C,'Dispensed Ink Rates'!CS:CS),VLOOKUP(IM303,'Jan-2026 rates'!$E:$F,2,0)))</f>
        <v>0</v>
      </c>
      <c r="JD303" s="409" t="s">
        <v>1881</v>
      </c>
      <c r="JE303" s="409">
        <v>30</v>
      </c>
      <c r="JF303" s="411">
        <f t="shared" si="230"/>
        <v>0</v>
      </c>
      <c r="JG303" s="411">
        <f t="shared" si="231"/>
        <v>97.07361702127659</v>
      </c>
      <c r="JH303" s="410">
        <f t="shared" si="232"/>
        <v>0</v>
      </c>
      <c r="JI303" s="405"/>
      <c r="JJ303" s="409"/>
      <c r="JK303" s="420" t="str">
        <f t="shared" si="190"/>
        <v xml:space="preserve"> - </v>
      </c>
      <c r="JL303" s="409"/>
      <c r="JM303" s="411">
        <f>IF(JL303=0,0,IF($LB303=70%,VLOOKUP($JK303,'Jan-2026 rates'!$L:$R,4,0),IF($LB303=65%,VLOOKUP($JK303,'Jan-2026 rates'!$L:$R,4,0),IF($LB303=40%,VLOOKUP($JK303,'Jan-2026 rates'!$L:$R,5,0),IF($LB303=30%,VLOOKUP($JK303,'Jan-2026 rates'!$L:$R,6,0),IF($LB303=100%,VLOOKUP($JK303,'Jan-2026 rates'!$L:$R,7,0),IF($LB303=60%,VLOOKUP($JK303,'Jan-2026 rates'!$L:$S,8,0),IF($LB303=80%,VLOOKUP($JK303,'Jan-2026 rates'!L:T,9,0),0))))))))</f>
        <v>0</v>
      </c>
      <c r="JN303" s="412"/>
      <c r="JO303" s="409"/>
      <c r="JP303" s="411">
        <f>IF(JO303=0,0,IF($LB303=70%,VLOOKUP($JK303,'Jan-2026 rates'!$L:$R,4,0),IF($LB303=65%,VLOOKUP($JK303,'Jan-2026 rates'!$L:$R,4,0),IF($LB303=40%,VLOOKUP($JK303,'Jan-2026 rates'!$L:$R,5,0),IF($LB303=30%,VLOOKUP($JK303,'Jan-2026 rates'!$L:$R,6,0),IF($LB303=100%,VLOOKUP($JK303,'Jan-2026 rates'!$L:$R,7,0),IF($LB303=60%,VLOOKUP($JK303,'Jan-2026 rates'!$L:$S,8,0),IF($LB303=80%,VLOOKUP($JK303,'Jan-2026 rates'!L:T,9,0),0))))))))</f>
        <v>0</v>
      </c>
      <c r="JQ303" s="413"/>
      <c r="JR303" s="412"/>
      <c r="JS303" s="413"/>
      <c r="JT303" s="413"/>
      <c r="JU303" s="412"/>
      <c r="JV303" s="412"/>
      <c r="JW303" s="412"/>
      <c r="JX303" s="412"/>
      <c r="JY303" s="409"/>
      <c r="JZ303" s="398">
        <f>IF(JY303=0,0,IF(LEN(JQ303)=11,_xlfn.XLOOKUP(JQ303,'Dispensed Ink Rates'!C:C,'Dispensed Ink Rates'!CS:CS),VLOOKUP(JQ303,'Jan-2026 rates'!$E:$F,2,0)))</f>
        <v>0</v>
      </c>
      <c r="KA303" s="409"/>
      <c r="KB303" s="398">
        <f>IF(KA303=0,0,IF(LEN(JR303)=11,_xlfn.XLOOKUP(JR303,'Dispensed Ink Rates'!C:C,'Dispensed Ink Rates'!CS:CS),VLOOKUP(JR303,'Jan-2026 rates'!$E:$F,2,0)))</f>
        <v>0</v>
      </c>
      <c r="KC303" s="409"/>
      <c r="KD303" s="398">
        <f>IF(KC303=0,0,IF(LEN(JS303)=11,_xlfn.XLOOKUP(JS303,'Dispensed Ink Rates'!C:C,'Dispensed Ink Rates'!CS:CS),VLOOKUP(JS303,'Jan-2026 rates'!$E:$F,2,0)))</f>
        <v>0</v>
      </c>
      <c r="KE303" s="409"/>
      <c r="KF303" s="398">
        <f>IF(KE303=0,0,IF(LEN(JT303)=11,_xlfn.XLOOKUP(JT303,'Dispensed Ink Rates'!C:C,'Dispensed Ink Rates'!CS:CS),VLOOKUP(JT303,'Jan-2026 rates'!$E:$F,2,0)))</f>
        <v>0</v>
      </c>
      <c r="KG303" s="409"/>
      <c r="KH303" s="398">
        <f>IF(KG303=0,0,IF(LEN(JU303)=11,_xlfn.XLOOKUP(JU303,'Dispensed Ink Rates'!C:C,'Dispensed Ink Rates'!CS:CS),VLOOKUP(JU303,'Jan-2026 rates'!$E:$F,2,0)))</f>
        <v>0</v>
      </c>
      <c r="KI303" s="409"/>
      <c r="KJ303" s="398">
        <f>IF(KI303=0,0,IF(LEN(JV303)=11,_xlfn.XLOOKUP(JV303,'Dispensed Ink Rates'!C:C,'Dispensed Ink Rates'!CS:CS),VLOOKUP(JV303,'Jan-2026 rates'!$E:$F,2,0)))</f>
        <v>0</v>
      </c>
      <c r="KK303" s="409"/>
      <c r="KL303" s="398">
        <f>IF(KK303=0,0,IF(LEN(JW303)=11,_xlfn.XLOOKUP(JW303,'Dispensed Ink Rates'!C:C,'Dispensed Ink Rates'!CS:CS),VLOOKUP(JW303,'Jan-2026 rates'!$E:$F,2,0)))</f>
        <v>0</v>
      </c>
      <c r="KM303" s="428"/>
      <c r="KN303" s="398">
        <f>IF(KM303=0,0,IF(LEN(JX303)=11,_xlfn.XLOOKUP(JX303,'Dispensed Ink Rates'!C:C,'Dispensed Ink Rates'!CS:CS),VLOOKUP(JX303,'Jan-2026 rates'!$E:$F,2,0)))</f>
        <v>0</v>
      </c>
      <c r="KO303" s="409"/>
      <c r="KP303" s="409"/>
      <c r="KQ303" s="411">
        <f t="shared" si="233"/>
        <v>0</v>
      </c>
      <c r="KR303" s="411">
        <f t="shared" si="234"/>
        <v>0</v>
      </c>
      <c r="KS303" s="410">
        <f t="shared" si="235"/>
        <v>0</v>
      </c>
      <c r="KT303" s="409">
        <v>3</v>
      </c>
      <c r="KU303" s="409">
        <v>2</v>
      </c>
      <c r="KV303" s="409">
        <v>2</v>
      </c>
      <c r="KW303" s="409">
        <v>20</v>
      </c>
      <c r="KX303" s="409">
        <v>2</v>
      </c>
      <c r="KY303" s="409">
        <v>30</v>
      </c>
      <c r="KZ303" s="409">
        <v>35</v>
      </c>
      <c r="LA303" s="409">
        <v>0</v>
      </c>
      <c r="LB303" s="415">
        <v>0.3</v>
      </c>
      <c r="LC303" s="415"/>
      <c r="LD303" s="424"/>
      <c r="LE303" s="415">
        <v>0.5</v>
      </c>
      <c r="LF303" s="415">
        <v>0.2</v>
      </c>
      <c r="LG303" s="409">
        <v>0</v>
      </c>
      <c r="LH303" s="409">
        <f>35+29+21+35+14</f>
        <v>134</v>
      </c>
      <c r="LI303" s="409">
        <v>0</v>
      </c>
      <c r="LJ303" s="409">
        <v>0</v>
      </c>
      <c r="LK303" s="416">
        <f t="shared" si="191"/>
        <v>134</v>
      </c>
      <c r="LL303" s="416">
        <f t="shared" si="237"/>
        <v>134</v>
      </c>
      <c r="LM303" s="417">
        <f t="shared" si="193"/>
        <v>40.199999999999996</v>
      </c>
      <c r="LN303" s="417">
        <f>VLOOKUP($LM$8,'Jan-2026 rates'!$H:$I,2,0)</f>
        <v>0</v>
      </c>
      <c r="LO303" s="417">
        <f t="shared" si="194"/>
        <v>0</v>
      </c>
      <c r="LP303" s="417">
        <f>VLOOKUP($LO$8,'Jan-2026 rates'!$H:$I,2,0)</f>
        <v>0</v>
      </c>
      <c r="LQ303" s="417">
        <f t="shared" si="195"/>
        <v>0</v>
      </c>
      <c r="LR303" s="417">
        <f>VLOOKUP($LQ$8,'Jan-2026 rates'!$H:$I,2,0)</f>
        <v>0</v>
      </c>
      <c r="LS303" s="417">
        <f t="shared" si="196"/>
        <v>67</v>
      </c>
      <c r="LT303" s="417">
        <f>VLOOKUP($LS$8,'Jan-2026 rates'!$H:$I,2,0)</f>
        <v>0</v>
      </c>
      <c r="LU303" s="417">
        <f t="shared" si="197"/>
        <v>26.8</v>
      </c>
      <c r="LV303" s="417">
        <f>VLOOKUP($LU$8,'Jan-2026 rates'!$H:$I,2,0)</f>
        <v>0</v>
      </c>
      <c r="LW303" s="417">
        <f t="shared" si="198"/>
        <v>0</v>
      </c>
      <c r="LX303" s="417">
        <f t="shared" si="199"/>
        <v>0</v>
      </c>
      <c r="LY303" s="418">
        <f t="shared" si="200"/>
        <v>0</v>
      </c>
      <c r="LZ303" s="417"/>
      <c r="MA303" s="435">
        <f t="shared" si="201"/>
        <v>186.18</v>
      </c>
      <c r="MB303" s="282">
        <f t="shared" si="202"/>
        <v>221.18</v>
      </c>
      <c r="MC303" s="283" t="s">
        <v>2042</v>
      </c>
      <c r="MD303" s="284" t="str">
        <f t="shared" si="203"/>
        <v>ToyoLiToyoLiToyoLiToyoLiToyoLiToyoLiToyoLi</v>
      </c>
      <c r="ME303" s="293" t="str">
        <f t="shared" si="204"/>
        <v>+</v>
      </c>
      <c r="MF303" s="293" t="str">
        <f t="shared" si="205"/>
        <v>+</v>
      </c>
      <c r="MG303" s="293" t="str">
        <f t="shared" si="206"/>
        <v>+</v>
      </c>
      <c r="MH303" s="293" t="str">
        <f t="shared" si="207"/>
        <v>+</v>
      </c>
      <c r="MI303" s="293" t="str">
        <f t="shared" si="208"/>
        <v>+</v>
      </c>
      <c r="MJ303" s="293" t="str">
        <f t="shared" si="209"/>
        <v>+</v>
      </c>
      <c r="MK303" s="293" t="str">
        <f t="shared" si="210"/>
        <v>+</v>
      </c>
      <c r="ML303" s="293" t="str">
        <f t="shared" si="211"/>
        <v>NIL</v>
      </c>
      <c r="MM303" s="3" t="b">
        <f t="array" ref="MM303">OR(ME303:ML303="-")</f>
        <v>0</v>
      </c>
      <c r="MO303" s="401">
        <f t="shared" si="238"/>
        <v>57.749347258485642</v>
      </c>
      <c r="MP303" s="286"/>
      <c r="MR303" s="402">
        <f t="shared" si="239"/>
        <v>9.2543933054393315E-3</v>
      </c>
      <c r="MS303" s="400">
        <f t="shared" si="240"/>
        <v>0</v>
      </c>
      <c r="MT303" s="285"/>
      <c r="NH303" s="361"/>
      <c r="NJ303" s="282"/>
    </row>
    <row r="304" spans="1:374" ht="16.5">
      <c r="A304" s="403">
        <v>46042</v>
      </c>
      <c r="B304" s="404" t="s">
        <v>1018</v>
      </c>
      <c r="C304" s="405" t="s">
        <v>4443</v>
      </c>
      <c r="D304" s="404" t="s">
        <v>2043</v>
      </c>
      <c r="E304" s="404">
        <v>73</v>
      </c>
      <c r="F304" s="407">
        <v>4200</v>
      </c>
      <c r="G304" s="407" t="s">
        <v>1016</v>
      </c>
      <c r="H304" s="408" t="s">
        <v>1017</v>
      </c>
      <c r="I304" s="409">
        <v>2.1</v>
      </c>
      <c r="J304" s="405" t="s">
        <v>543</v>
      </c>
      <c r="K304" s="404" t="s">
        <v>4444</v>
      </c>
      <c r="L304" s="419" t="str">
        <f t="shared" si="184"/>
        <v>ToyoLi - BLACK</v>
      </c>
      <c r="M304" s="404">
        <v>15</v>
      </c>
      <c r="N304" s="410">
        <f>IF(M304=0,0,IF($LB304=70%,VLOOKUP($L304,'Jan-2026 rates'!$L:$R,4,0),IF($LB304=65%,VLOOKUP($L304,'Jan-2026 rates'!$L:$R,4,0),IF($LB304=40%,VLOOKUP($L304,'Jan-2026 rates'!$L:$R,5,0),IF($LB304=30%,VLOOKUP($L304,'Jan-2026 rates'!$L:$R,6,0),IF($LB304=100%,VLOOKUP($L304,'Jan-2026 rates'!$L:$R,7,0),IF($LB304=60%,VLOOKUP($L304,'Jan-2026 rates'!$L:$S,8,0),IF($LB304=80%,VLOOKUP($L304,'Jan-2026 rates'!L:T,9,0),0))))))))</f>
        <v>0</v>
      </c>
      <c r="O304" s="406"/>
      <c r="P304" s="404"/>
      <c r="Q304" s="410">
        <f>IF(P304=0,0,IF($LB304=70%,VLOOKUP($L304,'Jan-2026 rates'!$L:$R,4,0),IF($LB304=65%,VLOOKUP($L304,'Jan-2026 rates'!$L:$R,4,0),IF($LB304=40%,VLOOKUP($L304,'Jan-2026 rates'!$L:$R,5,0),IF($LB304=30%,VLOOKUP($L304,'Jan-2026 rates'!$L:$R,6,0),IF($LB304=100%,VLOOKUP($L304,'Jan-2026 rates'!$L:$R,7,0),IF($LB304=60%,VLOOKUP($L304,'Jan-2026 rates'!$L:$S,8,0),IF($LB304=80%,VLOOKUP($L304,'Jan-2026 rates'!L:T,9,0),0))))))))</f>
        <v>0</v>
      </c>
      <c r="R304" s="406" t="s">
        <v>1921</v>
      </c>
      <c r="S304" s="406" t="s">
        <v>1252</v>
      </c>
      <c r="T304" s="406"/>
      <c r="U304" s="406"/>
      <c r="V304" s="406"/>
      <c r="W304" s="406"/>
      <c r="X304" s="406"/>
      <c r="Y304" s="406"/>
      <c r="Z304" s="404">
        <f>2+2</f>
        <v>4</v>
      </c>
      <c r="AA304" s="398">
        <f>IF(Z304=0,0,IF(LEN(R304)=11,_xlfn.XLOOKUP(R304,'Dispensed Ink Rates'!C:C,'Dispensed Ink Rates'!CS:CS),VLOOKUP(R304,'Jan-2026 rates'!$E:$F,2,0)))</f>
        <v>0</v>
      </c>
      <c r="AB304" s="404">
        <v>5</v>
      </c>
      <c r="AC304" s="398">
        <f>IF(AB304=0,0,IF(LEN(S304)=11,_xlfn.XLOOKUP(S304,'Dispensed Ink Rates'!C:C,'Dispensed Ink Rates'!CS:CS),VLOOKUP(S304,'Jan-2026 rates'!$E:$F,2,0)))</f>
        <v>0</v>
      </c>
      <c r="AD304" s="404"/>
      <c r="AE304" s="398">
        <f>IF(AD304=0,0,IF(LEN(T304)=11,_xlfn.XLOOKUP(T304,'Dispensed Ink Rates'!C:C,'Dispensed Ink Rates'!CS:CS),VLOOKUP(T304,'Jan-2026 rates'!$E:$F,2,0)))</f>
        <v>0</v>
      </c>
      <c r="AF304" s="404"/>
      <c r="AG304" s="398">
        <f>IF(AF304=0,0,IF(LEN(U304)=11,_xlfn.XLOOKUP(U304,'Dispensed Ink Rates'!C:C,'Dispensed Ink Rates'!CS:CS),VLOOKUP(U304,'Jan-2026 rates'!$E:$F,2,0)))</f>
        <v>0</v>
      </c>
      <c r="AH304" s="404"/>
      <c r="AI304" s="398">
        <f>IF(AH304=0,0,IF(LEN(V304)=11,_xlfn.XLOOKUP(V304,'Dispensed Ink Rates'!C:C,'Dispensed Ink Rates'!CS:CS),VLOOKUP(V304,'Jan-2026 rates'!$E:$F,2,0)))</f>
        <v>0</v>
      </c>
      <c r="AJ304" s="404"/>
      <c r="AK304" s="398">
        <f>IF(AJ304=0,0,IF(LEN(W304)=11,_xlfn.XLOOKUP(W304,'Dispensed Ink Rates'!C:C,'Dispensed Ink Rates'!CS:CS),VLOOKUP(W304,'Jan-2026 rates'!$E:$F,2,0)))</f>
        <v>0</v>
      </c>
      <c r="AL304" s="404"/>
      <c r="AM304" s="398">
        <f>IF(AL304=0,0,IF(LEN(X304)=11,_xlfn.XLOOKUP(X304,'Dispensed Ink Rates'!C:C,'Dispensed Ink Rates'!CS:CS),VLOOKUP(X304,'Jan-2026 rates'!$E:$F,2,0)))</f>
        <v>0</v>
      </c>
      <c r="AN304" s="404"/>
      <c r="AO304" s="398">
        <f>IF(AN304=0,0,IF(LEN(Y304)=11,_xlfn.XLOOKUP(Y304,'Dispensed Ink Rates'!C:C,'Dispensed Ink Rates'!CS:CS),VLOOKUP(Y304,'Jan-2026 rates'!$E:$F,2,0)))</f>
        <v>0</v>
      </c>
      <c r="AP304" s="409" t="s">
        <v>1881</v>
      </c>
      <c r="AQ304" s="409">
        <v>25</v>
      </c>
      <c r="AR304" s="410">
        <f t="shared" si="212"/>
        <v>0</v>
      </c>
      <c r="AS304" s="411">
        <f t="shared" si="213"/>
        <v>3.2285714285714278</v>
      </c>
      <c r="AT304" s="410">
        <f t="shared" si="214"/>
        <v>0</v>
      </c>
      <c r="AU304" s="405" t="s">
        <v>543</v>
      </c>
      <c r="AV304" s="409" t="s">
        <v>4444</v>
      </c>
      <c r="AW304" s="420" t="str">
        <f t="shared" si="236"/>
        <v>ToyoLi - BLACK</v>
      </c>
      <c r="AX304" s="409">
        <v>15</v>
      </c>
      <c r="AY304" s="411">
        <f>IF(AX304=0,0,IF($LB304=70%,VLOOKUP($AW304,'Jan-2026 rates'!$L:$R,4,0),IF($LB304=65%,VLOOKUP($AW304,'Jan-2026 rates'!$L:$R,4,0),IF($LB304=40%,VLOOKUP($AW304,'Jan-2026 rates'!$L:$R,5,0),IF($LB304=30%,VLOOKUP($AW304,'Jan-2026 rates'!$L:$R,6,0),IF($LB304=100%,VLOOKUP($AW304,'Jan-2026 rates'!$L:$R,7,0),IF($LB304=60%,VLOOKUP($AW304,'Jan-2026 rates'!$L:$S,8,0),IF($LB304=80%,VLOOKUP($AW304,'Jan-2026 rates'!L:T,9,0),0))))))))</f>
        <v>0</v>
      </c>
      <c r="AZ304" s="412"/>
      <c r="BA304" s="409"/>
      <c r="BB304" s="411">
        <f>IF(BA304=0,0,IF($LB304=70%,VLOOKUP($AW304,'Jan-2026 rates'!$L:$R,4,0),IF($LB304=65%,VLOOKUP($AW304,'Jan-2026 rates'!$L:$R,4,0),IF($LB304=40%,VLOOKUP($AW304,'Jan-2026 rates'!$L:$R,5,0),IF($LB304=30%,VLOOKUP($AW304,'Jan-2026 rates'!$L:$R,6,0),IF($LB304=100%,VLOOKUP($AW304,'Jan-2026 rates'!$L:$R,7,0),IF($LB304=60%,VLOOKUP($AW304,'Jan-2026 rates'!$L:$S,8,0),IF($LB304=80%,VLOOKUP($AW304,'Jan-2026 rates'!L:T,9,0),0))))))))</f>
        <v>0</v>
      </c>
      <c r="BC304" s="413" t="s">
        <v>1252</v>
      </c>
      <c r="BD304" s="412"/>
      <c r="BE304" s="412"/>
      <c r="BF304" s="413"/>
      <c r="BG304" s="412"/>
      <c r="BH304" s="412"/>
      <c r="BI304" s="412"/>
      <c r="BJ304" s="412"/>
      <c r="BK304" s="409">
        <v>5</v>
      </c>
      <c r="BL304" s="398">
        <f>IF(BK304=0,0,IF(LEN(BC304)=11,_xlfn.XLOOKUP(BC304,'Dispensed Ink Rates'!C:C,'Dispensed Ink Rates'!CS:CS),VLOOKUP(BC304,'Jan-2026 rates'!$E:$F,2,0)))</f>
        <v>0</v>
      </c>
      <c r="BM304" s="409"/>
      <c r="BN304" s="398">
        <f>IF(BM304=0,0,IF(LEN(BD304)=11,_xlfn.XLOOKUP(BD304,'Dispensed Ink Rates'!C:C,'Dispensed Ink Rates'!CS:CS),VLOOKUP(BD304,'Jan-2026 rates'!$E:$F,2,0)))</f>
        <v>0</v>
      </c>
      <c r="BO304" s="409"/>
      <c r="BP304" s="398">
        <f>IF(BO304=0,0,IF(LEN(BE304)=11,_xlfn.XLOOKUP(BE304,'Dispensed Ink Rates'!C:C,'Dispensed Ink Rates'!CS:CS),VLOOKUP(BE304,'Jan-2026 rates'!$E:$F,2,0)))</f>
        <v>0</v>
      </c>
      <c r="BQ304" s="409"/>
      <c r="BR304" s="398">
        <f>IF(BQ304=0,0,IF(LEN(BF304)=11,_xlfn.XLOOKUP(BF304,'Dispensed Ink Rates'!C:C,'Dispensed Ink Rates'!CS:CS),VLOOKUP(BF304,'Jan-2026 rates'!$E:$F,2,0)))</f>
        <v>0</v>
      </c>
      <c r="BS304" s="409"/>
      <c r="BT304" s="398">
        <f>IF(BS304=0,0,IF(LEN(BG304)=11,_xlfn.XLOOKUP(BG304,'Dispensed Ink Rates'!C:C,'Dispensed Ink Rates'!CS:CS),VLOOKUP(BG304,'Jan-2026 rates'!$E:$F,2,0)))</f>
        <v>0</v>
      </c>
      <c r="BU304" s="409"/>
      <c r="BV304" s="398">
        <f>IF(BU304=0,0,IF(LEN(BH304)=11,_xlfn.XLOOKUP(BH304,'Dispensed Ink Rates'!C:C,'Dispensed Ink Rates'!CS:CS),VLOOKUP(BH304,'Jan-2026 rates'!$E:$F,2,0)))</f>
        <v>0</v>
      </c>
      <c r="BW304" s="409"/>
      <c r="BX304" s="398">
        <f>IF(BW304=0,0,IF(LEN(BI304)=11,_xlfn.XLOOKUP(BI304,'Dispensed Ink Rates'!C:C,'Dispensed Ink Rates'!CS:CS),VLOOKUP(BI304,'Jan-2026 rates'!$E:$F,2,0)))</f>
        <v>0</v>
      </c>
      <c r="BY304" s="409"/>
      <c r="BZ304" s="398">
        <f>IF(BY304=0,0,IF(LEN(BJ304)=11,_xlfn.XLOOKUP(BJ304,'Dispensed Ink Rates'!C:C,'Dispensed Ink Rates'!CS:CS),VLOOKUP(BJ304,'Jan-2026 rates'!$E:$F,2,0)))</f>
        <v>0</v>
      </c>
      <c r="CA304" s="409" t="s">
        <v>1881</v>
      </c>
      <c r="CB304" s="409">
        <v>20</v>
      </c>
      <c r="CC304" s="411">
        <f t="shared" si="215"/>
        <v>0</v>
      </c>
      <c r="CD304" s="411">
        <f t="shared" si="216"/>
        <v>3.1714285714285708</v>
      </c>
      <c r="CE304" s="410">
        <f t="shared" si="217"/>
        <v>0</v>
      </c>
      <c r="CF304" s="404" t="s">
        <v>548</v>
      </c>
      <c r="CG304" s="409" t="s">
        <v>2588</v>
      </c>
      <c r="CH304" s="420" t="str">
        <f t="shared" si="185"/>
        <v>ToyoLi - GOLD</v>
      </c>
      <c r="CI304" s="409">
        <v>20</v>
      </c>
      <c r="CJ304" s="411">
        <f>IF(CI304=0,0,IF($LB304=70%,VLOOKUP($CH304,'Jan-2026 rates'!$L:$R,4,0),IF($LB304=65%,VLOOKUP($CH304,'Jan-2026 rates'!$L:$R,4,0),IF($LB304=40%,VLOOKUP($CH304,'Jan-2026 rates'!$L:$R,5,0),IF($LB304=30%,VLOOKUP($CH304,'Jan-2026 rates'!$L:$R,6,0),IF($LB304=100%,VLOOKUP($CH304,'Jan-2026 rates'!$L:$R,7,0),IF($LB304=60%,VLOOKUP($CH304,'Jan-2026 rates'!$L:$S,8,0),IF($LB304=80%,VLOOKUP($CH304,'Jan-2026 rates'!L:T,9,0),0))))))))</f>
        <v>0</v>
      </c>
      <c r="CK304" s="412" t="s">
        <v>4445</v>
      </c>
      <c r="CL304" s="409">
        <v>20</v>
      </c>
      <c r="CM304" s="411">
        <f>IF(CL304=0,0,IF($LB304=70%,VLOOKUP($CH304,'Jan-2026 rates'!$L:$R,4,0),IF($LB304=65%,VLOOKUP($CH304,'Jan-2026 rates'!$L:$R,4,0),IF($LB304=40%,VLOOKUP($CH304,'Jan-2026 rates'!$L:$R,5,0),IF($LB304=30%,VLOOKUP($CH304,'Jan-2026 rates'!$L:$R,6,0),IF($LB304=100%,VLOOKUP($CH304,'Jan-2026 rates'!$L:$R,7,0),IF($LB304=60%,VLOOKUP($CH304,'Jan-2026 rates'!$L:$S,8,0),IF($LB304=80%,VLOOKUP($CH304,'Jan-2026 rates'!L:T,9,0),0))))))))</f>
        <v>0</v>
      </c>
      <c r="CN304" s="426"/>
      <c r="CO304" s="427"/>
      <c r="CP304" s="426"/>
      <c r="CQ304" s="426"/>
      <c r="CR304" s="428"/>
      <c r="CS304" s="428"/>
      <c r="CT304" s="428"/>
      <c r="CU304" s="428"/>
      <c r="CV304" s="409"/>
      <c r="CW304" s="398">
        <f>IF(CV304=0,0,IF(LEN(CN304)=11,_xlfn.XLOOKUP(CN304,'Dispensed Ink Rates'!C:C,'Dispensed Ink Rates'!CS:CS),VLOOKUP(CN304,'Jan-2026 rates'!$E:$F,2,0)))</f>
        <v>0</v>
      </c>
      <c r="CX304" s="409"/>
      <c r="CY304" s="398">
        <f>IF(CX304=0,0,IF(LEN(CO304)=11,_xlfn.XLOOKUP(CO304,'Dispensed Ink Rates'!C:C,'Dispensed Ink Rates'!CS:CS),VLOOKUP(CO304,'Jan-2026 rates'!$E:$F,2,0)))</f>
        <v>0</v>
      </c>
      <c r="CZ304" s="409"/>
      <c r="DA304" s="398">
        <f>IF(CZ304=0,0,IF(LEN(CP304)=11,_xlfn.XLOOKUP(CP304,'Dispensed Ink Rates'!C:C,'Dispensed Ink Rates'!CS:CS),VLOOKUP(CP304,'Jan-2026 rates'!$E:$F,2,0)))</f>
        <v>0</v>
      </c>
      <c r="DB304" s="409"/>
      <c r="DC304" s="398">
        <f>IF(DB304=0,0,IF(LEN(CQ304)=11,_xlfn.XLOOKUP(CQ304,'Dispensed Ink Rates'!C:C,'Dispensed Ink Rates'!CS:CS),VLOOKUP(CQ304,'Jan-2026 rates'!$E:$F,2,0)))</f>
        <v>0</v>
      </c>
      <c r="DD304" s="409"/>
      <c r="DE304" s="398">
        <f>IF(DD304=0,0,IF(LEN(CR304)=11,_xlfn.XLOOKUP(CR304,'Dispensed Ink Rates'!C:C,'Dispensed Ink Rates'!CS:CS),VLOOKUP(CR304,'Jan-2026 rates'!$E:$F,2,0)))</f>
        <v>0</v>
      </c>
      <c r="DF304" s="409"/>
      <c r="DG304" s="398">
        <f>IF(DF304=0,0,IF(LEN(CS304)=11,_xlfn.XLOOKUP(CS304,'Dispensed Ink Rates'!C:C,'Dispensed Ink Rates'!CS:CS),VLOOKUP(CS304,'Jan-2026 rates'!$E:$F,2,0)))</f>
        <v>0</v>
      </c>
      <c r="DH304" s="409"/>
      <c r="DI304" s="398">
        <f>IF(DH304=0,0,IF(LEN(CT304)=11,_xlfn.XLOOKUP(CT304,'Dispensed Ink Rates'!C:C,'Dispensed Ink Rates'!CS:CS),VLOOKUP(CT304,'Jan-2026 rates'!$E:$F,2,0)))</f>
        <v>0</v>
      </c>
      <c r="DJ304" s="409"/>
      <c r="DK304" s="398">
        <f>IF(DJ304=0,0,IF(LEN(CU304)=11,_xlfn.XLOOKUP(CU304,'Dispensed Ink Rates'!C:C,'Dispensed Ink Rates'!CS:CS),VLOOKUP(CU304,'Jan-2026 rates'!$E:$F,2,0)))</f>
        <v>0</v>
      </c>
      <c r="DL304" s="409" t="s">
        <v>1881</v>
      </c>
      <c r="DM304" s="409">
        <f>17+10</f>
        <v>27</v>
      </c>
      <c r="DN304" s="411">
        <f t="shared" si="218"/>
        <v>0</v>
      </c>
      <c r="DO304" s="411">
        <f t="shared" si="219"/>
        <v>15.114285714285714</v>
      </c>
      <c r="DP304" s="410">
        <f t="shared" si="220"/>
        <v>0</v>
      </c>
      <c r="DQ304" s="405" t="s">
        <v>855</v>
      </c>
      <c r="DR304" s="409" t="s">
        <v>4446</v>
      </c>
      <c r="DS304" s="420" t="str">
        <f t="shared" si="186"/>
        <v>ToyoLi - CYAN</v>
      </c>
      <c r="DT304" s="409">
        <v>25</v>
      </c>
      <c r="DU304" s="411">
        <f>IF(DT304=0,0,IF($LB304=70%,VLOOKUP($DS304,'Jan-2026 rates'!$L:$R,4,0),IF($LB304=65%,VLOOKUP($DS304,'Jan-2026 rates'!$L:$R,4,0),IF($LB304=40%,VLOOKUP($DS304,'Jan-2026 rates'!$L:$R,5,0),IF($LB304=30%,VLOOKUP($DS304,'Jan-2026 rates'!$L:$R,6,0),IF($LB304=100%,VLOOKUP($DS304,'Jan-2026 rates'!$L:$R,7,0),IF($LB304=60%,VLOOKUP($DS304,'Jan-2026 rates'!$L:$S,8,0),IF($LB304=80%,VLOOKUP($DS304,'Jan-2026 rates'!L:T,9,0),0))))))))</f>
        <v>0</v>
      </c>
      <c r="DV304" s="412"/>
      <c r="DW304" s="409"/>
      <c r="DX304" s="411">
        <f>IF(DW304=0,0,IF($LB304=70%,VLOOKUP($DS304,'Jan-2026 rates'!$L:$R,4,0),IF($LB304=65%,VLOOKUP($DS304,'Jan-2026 rates'!$L:$R,4,0),IF($LB304=40%,VLOOKUP($DS304,'Jan-2026 rates'!$L:$R,5,0),IF($LB304=30%,VLOOKUP($DS304,'Jan-2026 rates'!$L:$R,6,0),IF($LB304=100%,VLOOKUP($DS304,'Jan-2026 rates'!$L:$R,7,0),IF($LB304=60%,VLOOKUP($DS304,'Jan-2026 rates'!$L:$S,8,0),IF($LB304=80%,VLOOKUP($DS304,'Jan-2026 rates'!L:T,9,0),0))))))))</f>
        <v>0</v>
      </c>
      <c r="DY304" s="413" t="s">
        <v>1250</v>
      </c>
      <c r="DZ304" s="413"/>
      <c r="EA304" s="412"/>
      <c r="EB304" s="412"/>
      <c r="EC304" s="412"/>
      <c r="ED304" s="412"/>
      <c r="EE304" s="412"/>
      <c r="EF304" s="412"/>
      <c r="EG304" s="409">
        <v>2</v>
      </c>
      <c r="EH304" s="398">
        <f>IF(EG304=0,0,IF(LEN(DY304)=11,_xlfn.XLOOKUP(DY304,'Dispensed Ink Rates'!C:C,'Dispensed Ink Rates'!CS:CS),VLOOKUP(DY304,'Jan-2026 rates'!$E:$F,2,0)))</f>
        <v>0</v>
      </c>
      <c r="EI304" s="409"/>
      <c r="EJ304" s="398">
        <f>IF(EI304=0,0,IF(LEN(DZ304)=11,_xlfn.XLOOKUP(DZ304,'Dispensed Ink Rates'!C:C,'Dispensed Ink Rates'!CS:CS),VLOOKUP(DZ304,'Jan-2026 rates'!$E:$F,2,0)))</f>
        <v>0</v>
      </c>
      <c r="EK304" s="409"/>
      <c r="EL304" s="398">
        <f>IF(EK304=0,0,IF(LEN(EA304)=11,_xlfn.XLOOKUP(EA304,'Dispensed Ink Rates'!C:C,'Dispensed Ink Rates'!CS:CS),VLOOKUP(EA304,'Jan-2026 rates'!$E:$F,2,0)))</f>
        <v>0</v>
      </c>
      <c r="EM304" s="409"/>
      <c r="EN304" s="398">
        <f>IF(EM304=0,0,IF(LEN(EB304)=11,_xlfn.XLOOKUP(EB304,'Dispensed Ink Rates'!C:C,'Dispensed Ink Rates'!CS:CS),VLOOKUP(EB304,'Jan-2026 rates'!$E:$F,2,0)))</f>
        <v>0</v>
      </c>
      <c r="EO304" s="409"/>
      <c r="EP304" s="398">
        <f>IF(EO304=0,0,IF(LEN(EC304)=11,_xlfn.XLOOKUP(EC304,'Dispensed Ink Rates'!C:C,'Dispensed Ink Rates'!CS:CS),VLOOKUP(EC304,'Jan-2026 rates'!$E:$F,2,0)))</f>
        <v>0</v>
      </c>
      <c r="EQ304" s="409"/>
      <c r="ER304" s="398">
        <f>IF(EQ304=0,0,IF(LEN(ED304)=11,_xlfn.XLOOKUP(ED304,'Dispensed Ink Rates'!C:C,'Dispensed Ink Rates'!CS:CS),VLOOKUP(ED304,'Jan-2026 rates'!$E:$F,2,0)))</f>
        <v>0</v>
      </c>
      <c r="ES304" s="409"/>
      <c r="ET304" s="398">
        <f>IF(ES304=0,0,IF(LEN(EE304)=11,_xlfn.XLOOKUP(EE304,'Dispensed Ink Rates'!C:C,'Dispensed Ink Rates'!CS:CS),VLOOKUP(EE304,'Jan-2026 rates'!$E:$F,2,0)))</f>
        <v>0</v>
      </c>
      <c r="EU304" s="409"/>
      <c r="EV304" s="398">
        <f>IF(EU304=0,0,IF(LEN(EF304)=11,_xlfn.XLOOKUP(EF304,'Dispensed Ink Rates'!C:C,'Dispensed Ink Rates'!CS:CS),VLOOKUP(EF304,'Jan-2026 rates'!$E:$F,2,0)))</f>
        <v>0</v>
      </c>
      <c r="EW304" s="409" t="s">
        <v>1881</v>
      </c>
      <c r="EX304" s="409">
        <v>26</v>
      </c>
      <c r="EY304" s="411">
        <f t="shared" si="221"/>
        <v>0</v>
      </c>
      <c r="EZ304" s="411">
        <f t="shared" si="222"/>
        <v>2.0571428571428569</v>
      </c>
      <c r="FA304" s="410">
        <f t="shared" si="223"/>
        <v>0</v>
      </c>
      <c r="FB304" s="405" t="s">
        <v>544</v>
      </c>
      <c r="FC304" s="409" t="s">
        <v>4447</v>
      </c>
      <c r="FD304" s="420" t="str">
        <f t="shared" si="187"/>
        <v>ToyoLi - MAGENTA</v>
      </c>
      <c r="FE304" s="409">
        <v>27</v>
      </c>
      <c r="FF304" s="411">
        <f>IF(FE304=0,0,IF($LB304=70%,VLOOKUP($FD304,'Jan-2026 rates'!$L:$R,4,0),IF($LB304=65%,VLOOKUP($FD304,'Jan-2026 rates'!$L:$R,4,0),IF($LB304=40%,VLOOKUP($FD304,'Jan-2026 rates'!$L:$R,5,0),IF($LB304=30%,VLOOKUP($FD304,'Jan-2026 rates'!$L:$R,6,0),IF($LB304=100%,VLOOKUP($FD304,'Jan-2026 rates'!$L:$R,7,0),IF($LB304=60%,VLOOKUP($FD304,'Jan-2026 rates'!$L:$S,8,0),IF($LB304=80%,VLOOKUP($FD304,'Jan-2026 rates'!L:T,9,0),0))))))))</f>
        <v>0</v>
      </c>
      <c r="FG304" s="412"/>
      <c r="FH304" s="409"/>
      <c r="FI304" s="411">
        <f>IF(FH304=0,0,IF($LB304=70%,VLOOKUP($FD304,'Jan-2026 rates'!$L:$R,4,0),IF($LB304=65%,VLOOKUP($FD304,'Jan-2026 rates'!$L:$R,4,0),IF($LB304=40%,VLOOKUP($FD304,'Jan-2026 rates'!$L:$R,5,0),IF($LB304=30%,VLOOKUP($FD304,'Jan-2026 rates'!$L:$R,6,0),IF($LB304=100%,VLOOKUP($FD304,'Jan-2026 rates'!$L:$R,7,0),IF($LB304=60%,VLOOKUP($FD304,'Jan-2026 rates'!$L:$S,8,0),IF($LB304=80%,VLOOKUP($FD304,'Jan-2026 rates'!L:T,9,0),0))))))))</f>
        <v>0</v>
      </c>
      <c r="FJ304" s="413" t="s">
        <v>1246</v>
      </c>
      <c r="FK304" s="413"/>
      <c r="FL304" s="413"/>
      <c r="FM304" s="412"/>
      <c r="FN304" s="412"/>
      <c r="FO304" s="412"/>
      <c r="FP304" s="412"/>
      <c r="FQ304" s="412"/>
      <c r="FR304" s="409">
        <v>2</v>
      </c>
      <c r="FS304" s="398">
        <f>IF(FR304=0,0,IF(LEN(FJ304)=11,_xlfn.XLOOKUP(FJ304,'Dispensed Ink Rates'!C:C,'Dispensed Ink Rates'!CS:CS),VLOOKUP(FJ304,'Jan-2026 rates'!$E:$F,2,0)))</f>
        <v>0</v>
      </c>
      <c r="FT304" s="409"/>
      <c r="FU304" s="398">
        <f>IF(FT304=0,0,IF(LEN(FK304)=11,_xlfn.XLOOKUP(FK304,'Dispensed Ink Rates'!C:C,'Dispensed Ink Rates'!CS:CS),VLOOKUP(FK304,'Jan-2026 rates'!$E:$F,2,0)))</f>
        <v>0</v>
      </c>
      <c r="FV304" s="409"/>
      <c r="FW304" s="398">
        <f>IF(FV304=0,0,IF(LEN(FL304)=11,_xlfn.XLOOKUP(FL304,'Dispensed Ink Rates'!C:C,'Dispensed Ink Rates'!CS:CS),VLOOKUP(FL304,'Jan-2026 rates'!$E:$F,2,0)))</f>
        <v>0</v>
      </c>
      <c r="FX304" s="409"/>
      <c r="FY304" s="398">
        <f>IF(FX304=0,0,IF(LEN(FM304)=11,_xlfn.XLOOKUP(FM304,'Dispensed Ink Rates'!C:C,'Dispensed Ink Rates'!CS:CS),VLOOKUP(FM304,'Jan-2026 rates'!$E:$F,2,0)))</f>
        <v>0</v>
      </c>
      <c r="FZ304" s="409"/>
      <c r="GA304" s="398">
        <f>IF(FZ304=0,0,IF(LEN(FN304)=11,_xlfn.XLOOKUP(FN304,'Dispensed Ink Rates'!C:C,'Dispensed Ink Rates'!CS:CS),VLOOKUP(FN304,'Jan-2026 rates'!$E:$F,2,0)))</f>
        <v>0</v>
      </c>
      <c r="GB304" s="409"/>
      <c r="GC304" s="398">
        <f>IF(GB304=0,0,IF(LEN(FO304)=11,_xlfn.XLOOKUP(FO304,'Dispensed Ink Rates'!C:C,'Dispensed Ink Rates'!CS:CS),VLOOKUP(FO304,'Jan-2026 rates'!$E:$F,2,0)))</f>
        <v>0</v>
      </c>
      <c r="GD304" s="409"/>
      <c r="GE304" s="398">
        <f>IF(GD304=0,0,IF(LEN(FP304)=11,_xlfn.XLOOKUP(FP304,'Dispensed Ink Rates'!C:C,'Dispensed Ink Rates'!CS:CS),VLOOKUP(FP304,'Jan-2026 rates'!$E:$F,2,0)))</f>
        <v>0</v>
      </c>
      <c r="GF304" s="409"/>
      <c r="GG304" s="398">
        <f>IF(GF304=0,0,IF(LEN(FQ304)=11,_xlfn.XLOOKUP(FQ304,'Dispensed Ink Rates'!C:C,'Dispensed Ink Rates'!CS:CS),VLOOKUP(FQ304,'Jan-2026 rates'!$E:$F,2,0)))</f>
        <v>0</v>
      </c>
      <c r="GH304" s="409" t="s">
        <v>1881</v>
      </c>
      <c r="GI304" s="409">
        <v>27</v>
      </c>
      <c r="GJ304" s="411">
        <f t="shared" si="224"/>
        <v>0</v>
      </c>
      <c r="GK304" s="411">
        <f t="shared" si="225"/>
        <v>4.1142857142857139</v>
      </c>
      <c r="GL304" s="410">
        <f t="shared" si="226"/>
        <v>0</v>
      </c>
      <c r="GM304" s="405" t="s">
        <v>545</v>
      </c>
      <c r="GN304" s="409" t="s">
        <v>4448</v>
      </c>
      <c r="GO304" s="420" t="str">
        <f t="shared" si="188"/>
        <v>ToyoLi - YELLOW</v>
      </c>
      <c r="GP304" s="409">
        <v>26</v>
      </c>
      <c r="GQ304" s="411">
        <f>IF(GP304=0,0,IF($LB304=70%,VLOOKUP($GO304,'Jan-2026 rates'!$L:$R,4,0),IF($LB304=65%,VLOOKUP($GO304,'Jan-2026 rates'!$L:$R,4,0),IF($LB304=40%,VLOOKUP($GO304,'Jan-2026 rates'!$L:$R,5,0),IF($LB304=30%,VLOOKUP($GO304,'Jan-2026 rates'!$L:$R,6,0),IF($LB304=100%,VLOOKUP($GO304,'Jan-2026 rates'!$L:$R,7,0),IF($LB304=60%,VLOOKUP($GO304,'Jan-2026 rates'!$L:$S,8,0),IF($LB304=80%,VLOOKUP($GO304,'Jan-2026 rates'!L:T,9,0),0))))))))</f>
        <v>0</v>
      </c>
      <c r="GR304" s="412"/>
      <c r="GS304" s="409"/>
      <c r="GT304" s="411">
        <f>IF(GS304=0,0,IF($LB304=70%,VLOOKUP($GO304,'Jan-2026 rates'!$L:$R,4,0),IF($LB304=65%,VLOOKUP($GO304,'Jan-2026 rates'!$L:$R,4,0),IF($LB304=40%,VLOOKUP($GO304,'Jan-2026 rates'!$L:$R,5,0),IF($LB304=30%,VLOOKUP($GO304,'Jan-2026 rates'!$L:$R,6,0),IF($LB304=100%,VLOOKUP($GO304,'Jan-2026 rates'!$L:$R,7,0),IF($LB304=60%,VLOOKUP($GO304,'Jan-2026 rates'!$L:$S,8,0),IF($LB304=80%,VLOOKUP($GO304,'Jan-2026 rates'!L:T,9,0),0))))))))</f>
        <v>0</v>
      </c>
      <c r="GU304" s="413" t="s">
        <v>1921</v>
      </c>
      <c r="GV304" s="413"/>
      <c r="GW304" s="412"/>
      <c r="GX304" s="412"/>
      <c r="GY304" s="412"/>
      <c r="GZ304" s="412"/>
      <c r="HA304" s="412"/>
      <c r="HB304" s="412"/>
      <c r="HC304" s="409">
        <v>2</v>
      </c>
      <c r="HD304" s="398">
        <f>IF(HC304=0,0,IF(LEN(GU304)=11,_xlfn.XLOOKUP(GU304,'Dispensed Ink Rates'!C:C,'Dispensed Ink Rates'!CS:CS),VLOOKUP(GU304,'Jan-2026 rates'!$E:$F,2,0)))</f>
        <v>0</v>
      </c>
      <c r="HE304" s="409"/>
      <c r="HF304" s="398">
        <f>IF(HE304=0,0,IF(LEN(GV304)=11,_xlfn.XLOOKUP(GV304,'Dispensed Ink Rates'!C:C,'Dispensed Ink Rates'!CS:CS),VLOOKUP(GV304,'Jan-2026 rates'!$E:$F,2,0)))</f>
        <v>0</v>
      </c>
      <c r="HG304" s="409"/>
      <c r="HH304" s="398">
        <f>IF(HG304=0,0,IF(LEN(GW304)=11,_xlfn.XLOOKUP(GW304,'Dispensed Ink Rates'!C:C,'Dispensed Ink Rates'!CS:CS),VLOOKUP(GW304,'Jan-2026 rates'!$E:$F,2,0)))</f>
        <v>0</v>
      </c>
      <c r="HI304" s="409"/>
      <c r="HJ304" s="398">
        <f>IF(HI304=0,0,IF(LEN(GX304)=11,_xlfn.XLOOKUP(GX304,'Dispensed Ink Rates'!C:C,'Dispensed Ink Rates'!CS:CS),VLOOKUP(GX304,'Jan-2026 rates'!$E:$F,2,0)))</f>
        <v>0</v>
      </c>
      <c r="HK304" s="409"/>
      <c r="HL304" s="398">
        <f>IF(HK304=0,0,IF(LEN(GY304)=11,_xlfn.XLOOKUP(GY304,'Dispensed Ink Rates'!C:C,'Dispensed Ink Rates'!CS:CS),VLOOKUP(GY304,'Jan-2026 rates'!$E:$F,2,0)))</f>
        <v>0</v>
      </c>
      <c r="HM304" s="409"/>
      <c r="HN304" s="398">
        <f>IF(HM304=0,0,IF(LEN(GZ304)=11,_xlfn.XLOOKUP(GZ304,'Dispensed Ink Rates'!C:C,'Dispensed Ink Rates'!CS:CS),VLOOKUP(GZ304,'Jan-2026 rates'!$E:$F,2,0)))</f>
        <v>0</v>
      </c>
      <c r="HO304" s="409"/>
      <c r="HP304" s="398">
        <f>IF(HO304=0,0,IF(LEN(HA304)=11,_xlfn.XLOOKUP(HA304,'Dispensed Ink Rates'!C:C,'Dispensed Ink Rates'!CS:CS),VLOOKUP(HA304,'Jan-2026 rates'!$E:$F,2,0)))</f>
        <v>0</v>
      </c>
      <c r="HQ304" s="409"/>
      <c r="HR304" s="398">
        <f>IF(HQ304=0,0,IF(LEN(HB304)=11,_xlfn.XLOOKUP(HB304,'Dispensed Ink Rates'!C:C,'Dispensed Ink Rates'!CS:CS),VLOOKUP(HB304,'Jan-2026 rates'!$E:$F,2,0)))</f>
        <v>0</v>
      </c>
      <c r="HS304" s="409" t="s">
        <v>1881</v>
      </c>
      <c r="HT304" s="409">
        <v>29</v>
      </c>
      <c r="HU304" s="411">
        <f t="shared" si="227"/>
        <v>0</v>
      </c>
      <c r="HV304" s="411">
        <f t="shared" si="228"/>
        <v>2.1714285714285708</v>
      </c>
      <c r="HW304" s="414">
        <f t="shared" si="229"/>
        <v>0</v>
      </c>
      <c r="HX304" s="405" t="s">
        <v>829</v>
      </c>
      <c r="HY304" s="409" t="s">
        <v>4447</v>
      </c>
      <c r="HZ304" s="420" t="str">
        <f t="shared" si="189"/>
        <v>ToyoLi - MEDIUM</v>
      </c>
      <c r="IA304" s="409">
        <v>18</v>
      </c>
      <c r="IB304" s="411">
        <f>IF(IA304=0,0,IF($LB304=70%,VLOOKUP($HZ304,'Jan-2026 rates'!$L:$R,4,0),IF($LB304=65%,VLOOKUP($HZ304,'Jan-2026 rates'!$L:$R,4,0),IF($LB304=40%,VLOOKUP($HZ304,'Jan-2026 rates'!$L:$R,5,0),IF($LB304=30%,VLOOKUP($HZ304,'Jan-2026 rates'!$L:$R,6,0),IF($LB304=100%,VLOOKUP($HZ304,'Jan-2026 rates'!$L:$R,7,0),IF($LB304=60%,VLOOKUP($HZ304,'Jan-2026 rates'!$L:$S,8,0),IF($LB304=80%,VLOOKUP($HZ304,'Jan-2026 rates'!L:T,9,0),0))))))))</f>
        <v>0</v>
      </c>
      <c r="IC304" s="412"/>
      <c r="ID304" s="409"/>
      <c r="IE304" s="411">
        <f>IF(ID304=0,0,IF($LB304=70%,VLOOKUP($HZ304,'Jan-2026 rates'!$L:$R,4,0),IF($LB304=65%,VLOOKUP($HZ304,'Jan-2026 rates'!$L:$R,4,0),IF($LB304=40%,VLOOKUP($HZ304,'Jan-2026 rates'!$L:$R,5,0),IF($LB304=30%,VLOOKUP($HZ304,'Jan-2026 rates'!$L:$R,6,0),IF($LB304=100%,VLOOKUP($HZ304,'Jan-2026 rates'!$L:$R,7,0),IF($LB304=60%,VLOOKUP($HZ304,'Jan-2026 rates'!$L:$S,8,0),IF($LB304=80%,VLOOKUP($HZ304,'Jan-2026 rates'!L:T,9,0),0))))))))</f>
        <v>0</v>
      </c>
      <c r="IF304" s="412" t="s">
        <v>1249</v>
      </c>
      <c r="IG304" s="413"/>
      <c r="IH304" s="412"/>
      <c r="II304" s="412"/>
      <c r="IJ304" s="412"/>
      <c r="IK304" s="412"/>
      <c r="IL304" s="412"/>
      <c r="IM304" s="412"/>
      <c r="IN304" s="409">
        <v>10</v>
      </c>
      <c r="IO304" s="398">
        <f>IF(IN304=0,0,IF(LEN(IF304)=11,_xlfn.XLOOKUP(IF304,'Dispensed Ink Rates'!C:C,'Dispensed Ink Rates'!CS:CS),VLOOKUP(IF304,'Jan-2026 rates'!$E:$F,2,0)))</f>
        <v>0</v>
      </c>
      <c r="IP304" s="409"/>
      <c r="IQ304" s="398">
        <f>IF(IP304=0,0,IF(LEN(IG304)=11,_xlfn.XLOOKUP(IG304,'Dispensed Ink Rates'!C:C,'Dispensed Ink Rates'!CS:CS),VLOOKUP(IG304,'Jan-2026 rates'!$E:$F,2,0)))</f>
        <v>0</v>
      </c>
      <c r="IR304" s="409"/>
      <c r="IS304" s="398">
        <f>IF(IR304=0,0,IF(LEN(IH304)=11,_xlfn.XLOOKUP(IH304,'Dispensed Ink Rates'!C:C,'Dispensed Ink Rates'!CS:CS),VLOOKUP(IH304,'Jan-2026 rates'!$E:$F,2,0)))</f>
        <v>0</v>
      </c>
      <c r="IT304" s="409"/>
      <c r="IU304" s="398">
        <f>IF(IT304=0,0,IF(LEN(II304)=11,_xlfn.XLOOKUP(II304,'Dispensed Ink Rates'!C:C,'Dispensed Ink Rates'!CS:CS),VLOOKUP(II304,'Jan-2026 rates'!$E:$F,2,0)))</f>
        <v>0</v>
      </c>
      <c r="IV304" s="409"/>
      <c r="IW304" s="398">
        <f>IF(IV304=0,0,IF(LEN(IJ304)=11,_xlfn.XLOOKUP(IJ304,'Dispensed Ink Rates'!C:C,'Dispensed Ink Rates'!CS:CS),VLOOKUP(IJ304,'Jan-2026 rates'!$E:$F,2,0)))</f>
        <v>0</v>
      </c>
      <c r="IX304" s="409"/>
      <c r="IY304" s="398">
        <f>IF(IX304=0,0,IF(LEN(IK304)=11,_xlfn.XLOOKUP(IK304,'Dispensed Ink Rates'!C:C,'Dispensed Ink Rates'!CS:CS),VLOOKUP(IK304,'Jan-2026 rates'!$E:$F,2,0)))</f>
        <v>0</v>
      </c>
      <c r="IZ304" s="409"/>
      <c r="JA304" s="398">
        <f>IF(IZ304=0,0,IF(LEN(IL304)=11,_xlfn.XLOOKUP(IL304,'Dispensed Ink Rates'!C:C,'Dispensed Ink Rates'!CS:CS),VLOOKUP(IL304,'Jan-2026 rates'!$E:$F,2,0)))</f>
        <v>0</v>
      </c>
      <c r="JB304" s="409"/>
      <c r="JC304" s="398">
        <f>IF(JB304=0,0,IF(LEN(IM304)=11,_xlfn.XLOOKUP(IM304,'Dispensed Ink Rates'!C:C,'Dispensed Ink Rates'!CS:CS),VLOOKUP(IM304,'Jan-2026 rates'!$E:$F,2,0)))</f>
        <v>0</v>
      </c>
      <c r="JD304" s="409" t="s">
        <v>1881</v>
      </c>
      <c r="JE304" s="409">
        <v>20</v>
      </c>
      <c r="JF304" s="411">
        <f t="shared" si="230"/>
        <v>0</v>
      </c>
      <c r="JG304" s="411">
        <f t="shared" si="231"/>
        <v>18.571428571428569</v>
      </c>
      <c r="JH304" s="410">
        <f t="shared" si="232"/>
        <v>0</v>
      </c>
      <c r="JI304" s="405" t="s">
        <v>856</v>
      </c>
      <c r="JJ304" s="409" t="s">
        <v>4449</v>
      </c>
      <c r="JK304" s="420" t="str">
        <f t="shared" si="190"/>
        <v>ToyoLi - WHITE</v>
      </c>
      <c r="JL304" s="409">
        <v>30</v>
      </c>
      <c r="JM304" s="411">
        <f>IF(JL304=0,0,IF($LB304=70%,VLOOKUP($JK304,'Jan-2026 rates'!$L:$R,4,0),IF($LB304=65%,VLOOKUP($JK304,'Jan-2026 rates'!$L:$R,4,0),IF($LB304=40%,VLOOKUP($JK304,'Jan-2026 rates'!$L:$R,5,0),IF($LB304=30%,VLOOKUP($JK304,'Jan-2026 rates'!$L:$R,6,0),IF($LB304=100%,VLOOKUP($JK304,'Jan-2026 rates'!$L:$R,7,0),IF($LB304=60%,VLOOKUP($JK304,'Jan-2026 rates'!$L:$S,8,0),IF($LB304=80%,VLOOKUP($JK304,'Jan-2026 rates'!L:T,9,0),0))))))))</f>
        <v>0</v>
      </c>
      <c r="JN304" s="412"/>
      <c r="JO304" s="409"/>
      <c r="JP304" s="411">
        <f>IF(JO304=0,0,IF($LB304=70%,VLOOKUP($JK304,'Jan-2026 rates'!$L:$R,4,0),IF($LB304=65%,VLOOKUP($JK304,'Jan-2026 rates'!$L:$R,4,0),IF($LB304=40%,VLOOKUP($JK304,'Jan-2026 rates'!$L:$R,5,0),IF($LB304=30%,VLOOKUP($JK304,'Jan-2026 rates'!$L:$R,6,0),IF($LB304=100%,VLOOKUP($JK304,'Jan-2026 rates'!$L:$R,7,0),IF($LB304=60%,VLOOKUP($JK304,'Jan-2026 rates'!$L:$S,8,0),IF($LB304=80%,VLOOKUP($JK304,'Jan-2026 rates'!L:T,9,0),0))))))))</f>
        <v>0</v>
      </c>
      <c r="JQ304" s="413" t="s">
        <v>1249</v>
      </c>
      <c r="JR304" s="412" t="s">
        <v>1122</v>
      </c>
      <c r="JS304" s="413"/>
      <c r="JT304" s="413"/>
      <c r="JU304" s="412"/>
      <c r="JV304" s="412"/>
      <c r="JW304" s="412"/>
      <c r="JX304" s="412"/>
      <c r="JY304" s="409">
        <v>20</v>
      </c>
      <c r="JZ304" s="398">
        <f>IF(JY304=0,0,IF(LEN(JQ304)=11,_xlfn.XLOOKUP(JQ304,'Dispensed Ink Rates'!C:C,'Dispensed Ink Rates'!CS:CS),VLOOKUP(JQ304,'Jan-2026 rates'!$E:$F,2,0)))</f>
        <v>0</v>
      </c>
      <c r="KA304" s="409">
        <v>4.4400000000000004</v>
      </c>
      <c r="KB304" s="398">
        <f>IF(KA304=0,0,IF(LEN(JR304)=11,_xlfn.XLOOKUP(JR304,'Dispensed Ink Rates'!C:C,'Dispensed Ink Rates'!CS:CS),VLOOKUP(JR304,'Jan-2026 rates'!$E:$F,2,0)))</f>
        <v>0</v>
      </c>
      <c r="KC304" s="409"/>
      <c r="KD304" s="398">
        <f>IF(KC304=0,0,IF(LEN(JS304)=11,_xlfn.XLOOKUP(JS304,'Dispensed Ink Rates'!C:C,'Dispensed Ink Rates'!CS:CS),VLOOKUP(JS304,'Jan-2026 rates'!$E:$F,2,0)))</f>
        <v>0</v>
      </c>
      <c r="KE304" s="409"/>
      <c r="KF304" s="398">
        <f>IF(KE304=0,0,IF(LEN(JT304)=11,_xlfn.XLOOKUP(JT304,'Dispensed Ink Rates'!C:C,'Dispensed Ink Rates'!CS:CS),VLOOKUP(JT304,'Jan-2026 rates'!$E:$F,2,0)))</f>
        <v>0</v>
      </c>
      <c r="KG304" s="409"/>
      <c r="KH304" s="398">
        <f>IF(KG304=0,0,IF(LEN(JU304)=11,_xlfn.XLOOKUP(JU304,'Dispensed Ink Rates'!C:C,'Dispensed Ink Rates'!CS:CS),VLOOKUP(JU304,'Jan-2026 rates'!$E:$F,2,0)))</f>
        <v>0</v>
      </c>
      <c r="KI304" s="409"/>
      <c r="KJ304" s="398">
        <f>IF(KI304=0,0,IF(LEN(JV304)=11,_xlfn.XLOOKUP(JV304,'Dispensed Ink Rates'!C:C,'Dispensed Ink Rates'!CS:CS),VLOOKUP(JV304,'Jan-2026 rates'!$E:$F,2,0)))</f>
        <v>0</v>
      </c>
      <c r="KK304" s="409"/>
      <c r="KL304" s="398">
        <f>IF(KK304=0,0,IF(LEN(JW304)=11,_xlfn.XLOOKUP(JW304,'Dispensed Ink Rates'!C:C,'Dispensed Ink Rates'!CS:CS),VLOOKUP(JW304,'Jan-2026 rates'!$E:$F,2,0)))</f>
        <v>0</v>
      </c>
      <c r="KM304" s="428"/>
      <c r="KN304" s="398">
        <f>IF(KM304=0,0,IF(LEN(JX304)=11,_xlfn.XLOOKUP(JX304,'Dispensed Ink Rates'!C:C,'Dispensed Ink Rates'!CS:CS),VLOOKUP(JX304,'Jan-2026 rates'!$E:$F,2,0)))</f>
        <v>0</v>
      </c>
      <c r="KO304" s="409" t="s">
        <v>1881</v>
      </c>
      <c r="KP304" s="409">
        <v>30</v>
      </c>
      <c r="KQ304" s="411">
        <f t="shared" si="233"/>
        <v>0</v>
      </c>
      <c r="KR304" s="411">
        <f t="shared" si="234"/>
        <v>35.011428571428567</v>
      </c>
      <c r="KS304" s="410">
        <f t="shared" si="235"/>
        <v>0</v>
      </c>
      <c r="KT304" s="409">
        <f>2+2</f>
        <v>4</v>
      </c>
      <c r="KU304" s="409">
        <v>3</v>
      </c>
      <c r="KV304" s="409">
        <v>2</v>
      </c>
      <c r="KW304" s="409">
        <v>1</v>
      </c>
      <c r="KX304" s="409">
        <v>2</v>
      </c>
      <c r="KY304" s="409">
        <v>3</v>
      </c>
      <c r="KZ304" s="409">
        <v>10</v>
      </c>
      <c r="LA304" s="409">
        <v>10</v>
      </c>
      <c r="LB304" s="415">
        <v>0.3</v>
      </c>
      <c r="LC304" s="415"/>
      <c r="LD304" s="424"/>
      <c r="LE304" s="415">
        <v>0.5</v>
      </c>
      <c r="LF304" s="415">
        <v>0.2</v>
      </c>
      <c r="LG304" s="409">
        <v>0</v>
      </c>
      <c r="LH304" s="409">
        <f>10+7+6+10+4</f>
        <v>37</v>
      </c>
      <c r="LI304" s="409">
        <v>0</v>
      </c>
      <c r="LJ304" s="409">
        <v>0</v>
      </c>
      <c r="LK304" s="416">
        <f t="shared" si="191"/>
        <v>37</v>
      </c>
      <c r="LL304" s="416">
        <f t="shared" si="237"/>
        <v>37</v>
      </c>
      <c r="LM304" s="417">
        <f t="shared" si="193"/>
        <v>11.1</v>
      </c>
      <c r="LN304" s="417">
        <f>VLOOKUP($LM$8,'Jan-2026 rates'!$H:$I,2,0)</f>
        <v>0</v>
      </c>
      <c r="LO304" s="417">
        <f t="shared" si="194"/>
        <v>0</v>
      </c>
      <c r="LP304" s="417">
        <f>VLOOKUP($LO$8,'Jan-2026 rates'!$H:$I,2,0)</f>
        <v>0</v>
      </c>
      <c r="LQ304" s="417">
        <f t="shared" si="195"/>
        <v>0</v>
      </c>
      <c r="LR304" s="417">
        <f>VLOOKUP($LQ$8,'Jan-2026 rates'!$H:$I,2,0)</f>
        <v>0</v>
      </c>
      <c r="LS304" s="417">
        <f t="shared" si="196"/>
        <v>18.5</v>
      </c>
      <c r="LT304" s="417">
        <f>VLOOKUP($LS$8,'Jan-2026 rates'!$H:$I,2,0)</f>
        <v>0</v>
      </c>
      <c r="LU304" s="417">
        <f t="shared" si="197"/>
        <v>7.4</v>
      </c>
      <c r="LV304" s="417">
        <f>VLOOKUP($LU$8,'Jan-2026 rates'!$H:$I,2,0)</f>
        <v>0</v>
      </c>
      <c r="LW304" s="417">
        <f t="shared" si="198"/>
        <v>0</v>
      </c>
      <c r="LX304" s="417">
        <f t="shared" si="199"/>
        <v>0</v>
      </c>
      <c r="LY304" s="418">
        <f t="shared" si="200"/>
        <v>0</v>
      </c>
      <c r="LZ304" s="417"/>
      <c r="MA304" s="435">
        <f t="shared" si="201"/>
        <v>54.44</v>
      </c>
      <c r="MB304" s="282">
        <f t="shared" si="202"/>
        <v>83.44</v>
      </c>
      <c r="MC304" s="283" t="s">
        <v>2043</v>
      </c>
      <c r="MD304" s="284" t="str">
        <f t="shared" si="203"/>
        <v>ToyoLiToyoLiToyoLiToyoLiToyoLiToyoLiToyoLiToyoLi</v>
      </c>
      <c r="ME304" s="293" t="str">
        <f t="shared" si="204"/>
        <v>+</v>
      </c>
      <c r="MF304" s="293" t="str">
        <f t="shared" si="205"/>
        <v>+</v>
      </c>
      <c r="MG304" s="293" t="str">
        <f t="shared" si="206"/>
        <v>+</v>
      </c>
      <c r="MH304" s="293" t="str">
        <f t="shared" si="207"/>
        <v>+</v>
      </c>
      <c r="MI304" s="293" t="str">
        <f t="shared" si="208"/>
        <v>+</v>
      </c>
      <c r="MJ304" s="293" t="str">
        <f t="shared" si="209"/>
        <v>+</v>
      </c>
      <c r="MK304" s="293" t="str">
        <f t="shared" si="210"/>
        <v>+</v>
      </c>
      <c r="ML304" s="293" t="str">
        <f t="shared" si="211"/>
        <v>+</v>
      </c>
      <c r="MM304" s="3" t="b">
        <f t="array" ref="MM304">OR(ME304:ML304="-")</f>
        <v>0</v>
      </c>
      <c r="MO304" s="401">
        <f t="shared" si="238"/>
        <v>114.30136986301369</v>
      </c>
      <c r="MP304" s="286"/>
      <c r="MR304" s="402">
        <f t="shared" si="239"/>
        <v>1.9866666666666664E-2</v>
      </c>
      <c r="MS304" s="400">
        <f t="shared" si="240"/>
        <v>0</v>
      </c>
      <c r="MT304" s="285"/>
      <c r="NH304" s="361"/>
      <c r="NJ304" s="282"/>
    </row>
    <row r="305" spans="1:374" ht="16.5">
      <c r="A305" s="403">
        <v>46043</v>
      </c>
      <c r="B305" s="404" t="s">
        <v>1015</v>
      </c>
      <c r="C305" s="405" t="s">
        <v>4450</v>
      </c>
      <c r="D305" s="404" t="s">
        <v>2044</v>
      </c>
      <c r="E305" s="404">
        <v>1521</v>
      </c>
      <c r="F305" s="407">
        <v>88800</v>
      </c>
      <c r="G305" s="407" t="s">
        <v>1016</v>
      </c>
      <c r="H305" s="408" t="s">
        <v>1017</v>
      </c>
      <c r="I305" s="409">
        <v>1.56</v>
      </c>
      <c r="J305" s="405" t="s">
        <v>543</v>
      </c>
      <c r="K305" s="404" t="s">
        <v>2159</v>
      </c>
      <c r="L305" s="419" t="str">
        <f t="shared" si="184"/>
        <v>ToyoLi - BLACK</v>
      </c>
      <c r="M305" s="404">
        <v>25</v>
      </c>
      <c r="N305" s="410">
        <f>IF(M305=0,0,IF($LB305=70%,VLOOKUP($L305,'Jan-2026 rates'!$L:$R,4,0),IF($LB305=65%,VLOOKUP($L305,'Jan-2026 rates'!$L:$R,4,0),IF($LB305=40%,VLOOKUP($L305,'Jan-2026 rates'!$L:$R,5,0),IF($LB305=30%,VLOOKUP($L305,'Jan-2026 rates'!$L:$R,6,0),IF($LB305=100%,VLOOKUP($L305,'Jan-2026 rates'!$L:$R,7,0),IF($LB305=60%,VLOOKUP($L305,'Jan-2026 rates'!$L:$S,8,0),IF($LB305=80%,VLOOKUP($L305,'Jan-2026 rates'!L:T,9,0),0))))))))</f>
        <v>0</v>
      </c>
      <c r="O305" s="406"/>
      <c r="P305" s="404"/>
      <c r="Q305" s="410">
        <f>IF(P305=0,0,IF($LB305=70%,VLOOKUP($L305,'Jan-2026 rates'!$L:$R,4,0),IF($LB305=65%,VLOOKUP($L305,'Jan-2026 rates'!$L:$R,4,0),IF($LB305=40%,VLOOKUP($L305,'Jan-2026 rates'!$L:$R,5,0),IF($LB305=30%,VLOOKUP($L305,'Jan-2026 rates'!$L:$R,6,0),IF($LB305=100%,VLOOKUP($L305,'Jan-2026 rates'!$L:$R,7,0),IF($LB305=60%,VLOOKUP($L305,'Jan-2026 rates'!$L:$S,8,0),IF($LB305=80%,VLOOKUP($L305,'Jan-2026 rates'!L:T,9,0),0))))))))</f>
        <v>0</v>
      </c>
      <c r="R305" s="406" t="s">
        <v>1252</v>
      </c>
      <c r="S305" s="406"/>
      <c r="T305" s="406"/>
      <c r="U305" s="406"/>
      <c r="V305" s="406"/>
      <c r="W305" s="406"/>
      <c r="X305" s="406"/>
      <c r="Y305" s="406"/>
      <c r="Z305" s="404">
        <f>5+10</f>
        <v>15</v>
      </c>
      <c r="AA305" s="398">
        <f>IF(Z305=0,0,IF(LEN(R305)=11,_xlfn.XLOOKUP(R305,'Dispensed Ink Rates'!C:C,'Dispensed Ink Rates'!CS:CS),VLOOKUP(R305,'Jan-2026 rates'!$E:$F,2,0)))</f>
        <v>0</v>
      </c>
      <c r="AB305" s="404"/>
      <c r="AC305" s="398">
        <f>IF(AB305=0,0,IF(LEN(S305)=11,_xlfn.XLOOKUP(S305,'Dispensed Ink Rates'!C:C,'Dispensed Ink Rates'!CS:CS),VLOOKUP(S305,'Jan-2026 rates'!$E:$F,2,0)))</f>
        <v>0</v>
      </c>
      <c r="AD305" s="404"/>
      <c r="AE305" s="398">
        <f>IF(AD305=0,0,IF(LEN(T305)=11,_xlfn.XLOOKUP(T305,'Dispensed Ink Rates'!C:C,'Dispensed Ink Rates'!CS:CS),VLOOKUP(T305,'Jan-2026 rates'!$E:$F,2,0)))</f>
        <v>0</v>
      </c>
      <c r="AF305" s="404"/>
      <c r="AG305" s="398">
        <f>IF(AF305=0,0,IF(LEN(U305)=11,_xlfn.XLOOKUP(U305,'Dispensed Ink Rates'!C:C,'Dispensed Ink Rates'!CS:CS),VLOOKUP(U305,'Jan-2026 rates'!$E:$F,2,0)))</f>
        <v>0</v>
      </c>
      <c r="AH305" s="404"/>
      <c r="AI305" s="398">
        <f>IF(AH305=0,0,IF(LEN(V305)=11,_xlfn.XLOOKUP(V305,'Dispensed Ink Rates'!C:C,'Dispensed Ink Rates'!CS:CS),VLOOKUP(V305,'Jan-2026 rates'!$E:$F,2,0)))</f>
        <v>0</v>
      </c>
      <c r="AJ305" s="404"/>
      <c r="AK305" s="398">
        <f>IF(AJ305=0,0,IF(LEN(W305)=11,_xlfn.XLOOKUP(W305,'Dispensed Ink Rates'!C:C,'Dispensed Ink Rates'!CS:CS),VLOOKUP(W305,'Jan-2026 rates'!$E:$F,2,0)))</f>
        <v>0</v>
      </c>
      <c r="AL305" s="404"/>
      <c r="AM305" s="398">
        <f>IF(AL305=0,0,IF(LEN(X305)=11,_xlfn.XLOOKUP(X305,'Dispensed Ink Rates'!C:C,'Dispensed Ink Rates'!CS:CS),VLOOKUP(X305,'Jan-2026 rates'!$E:$F,2,0)))</f>
        <v>0</v>
      </c>
      <c r="AN305" s="404"/>
      <c r="AO305" s="398">
        <f>IF(AN305=0,0,IF(LEN(Y305)=11,_xlfn.XLOOKUP(Y305,'Dispensed Ink Rates'!C:C,'Dispensed Ink Rates'!CS:CS),VLOOKUP(Y305,'Jan-2026 rates'!$E:$F,2,0)))</f>
        <v>0</v>
      </c>
      <c r="AP305" s="409" t="s">
        <v>1881</v>
      </c>
      <c r="AQ305" s="409">
        <v>28</v>
      </c>
      <c r="AR305" s="410">
        <f t="shared" si="212"/>
        <v>0</v>
      </c>
      <c r="AS305" s="411">
        <f t="shared" si="213"/>
        <v>16.903225806451616</v>
      </c>
      <c r="AT305" s="410">
        <f t="shared" si="214"/>
        <v>0</v>
      </c>
      <c r="AU305" s="405" t="s">
        <v>546</v>
      </c>
      <c r="AV305" s="409" t="s">
        <v>4398</v>
      </c>
      <c r="AW305" s="420" t="str">
        <f t="shared" si="236"/>
        <v>ToyoLi - REFLEX BLUE</v>
      </c>
      <c r="AX305" s="409">
        <v>20</v>
      </c>
      <c r="AY305" s="411">
        <f>IF(AX305=0,0,IF($LB305=70%,VLOOKUP($AW305,'Jan-2026 rates'!$L:$R,4,0),IF($LB305=65%,VLOOKUP($AW305,'Jan-2026 rates'!$L:$R,4,0),IF($LB305=40%,VLOOKUP($AW305,'Jan-2026 rates'!$L:$R,5,0),IF($LB305=30%,VLOOKUP($AW305,'Jan-2026 rates'!$L:$R,6,0),IF($LB305=100%,VLOOKUP($AW305,'Jan-2026 rates'!$L:$R,7,0),IF($LB305=60%,VLOOKUP($AW305,'Jan-2026 rates'!$L:$S,8,0),IF($LB305=80%,VLOOKUP($AW305,'Jan-2026 rates'!L:T,9,0),0))))))))</f>
        <v>0</v>
      </c>
      <c r="AZ305" s="412" t="s">
        <v>3723</v>
      </c>
      <c r="BA305" s="409">
        <v>20</v>
      </c>
      <c r="BB305" s="411">
        <f>IF(BA305=0,0,IF($LB305=70%,VLOOKUP($AW305,'Jan-2026 rates'!$L:$R,4,0),IF($LB305=65%,VLOOKUP($AW305,'Jan-2026 rates'!$L:$R,4,0),IF($LB305=40%,VLOOKUP($AW305,'Jan-2026 rates'!$L:$R,5,0),IF($LB305=30%,VLOOKUP($AW305,'Jan-2026 rates'!$L:$R,6,0),IF($LB305=100%,VLOOKUP($AW305,'Jan-2026 rates'!$L:$R,7,0),IF($LB305=60%,VLOOKUP($AW305,'Jan-2026 rates'!$L:$S,8,0),IF($LB305=80%,VLOOKUP($AW305,'Jan-2026 rates'!L:T,9,0),0))))))))</f>
        <v>0</v>
      </c>
      <c r="BC305" s="413" t="s">
        <v>1880</v>
      </c>
      <c r="BD305" s="412" t="s">
        <v>1246</v>
      </c>
      <c r="BE305" s="412" t="s">
        <v>1252</v>
      </c>
      <c r="BF305" s="413"/>
      <c r="BG305" s="412"/>
      <c r="BH305" s="412"/>
      <c r="BI305" s="412"/>
      <c r="BJ305" s="412"/>
      <c r="BK305" s="409">
        <f>10+15+10</f>
        <v>35</v>
      </c>
      <c r="BL305" s="398">
        <f>IF(BK305=0,0,IF(LEN(BC305)=11,_xlfn.XLOOKUP(BC305,'Dispensed Ink Rates'!C:C,'Dispensed Ink Rates'!CS:CS),VLOOKUP(BC305,'Jan-2026 rates'!$E:$F,2,0)))</f>
        <v>0</v>
      </c>
      <c r="BM305" s="409">
        <f>10+5</f>
        <v>15</v>
      </c>
      <c r="BN305" s="398">
        <f>IF(BM305=0,0,IF(LEN(BD305)=11,_xlfn.XLOOKUP(BD305,'Dispensed Ink Rates'!C:C,'Dispensed Ink Rates'!CS:CS),VLOOKUP(BD305,'Jan-2026 rates'!$E:$F,2,0)))</f>
        <v>0</v>
      </c>
      <c r="BO305" s="409">
        <f>1+0.5</f>
        <v>1.5</v>
      </c>
      <c r="BP305" s="398">
        <f>IF(BO305=0,0,IF(LEN(BE305)=11,_xlfn.XLOOKUP(BE305,'Dispensed Ink Rates'!C:C,'Dispensed Ink Rates'!CS:CS),VLOOKUP(BE305,'Jan-2026 rates'!$E:$F,2,0)))</f>
        <v>0</v>
      </c>
      <c r="BQ305" s="409"/>
      <c r="BR305" s="398">
        <f>IF(BQ305=0,0,IF(LEN(BF305)=11,_xlfn.XLOOKUP(BF305,'Dispensed Ink Rates'!C:C,'Dispensed Ink Rates'!CS:CS),VLOOKUP(BF305,'Jan-2026 rates'!$E:$F,2,0)))</f>
        <v>0</v>
      </c>
      <c r="BS305" s="409"/>
      <c r="BT305" s="398">
        <f>IF(BS305=0,0,IF(LEN(BG305)=11,_xlfn.XLOOKUP(BG305,'Dispensed Ink Rates'!C:C,'Dispensed Ink Rates'!CS:CS),VLOOKUP(BG305,'Jan-2026 rates'!$E:$F,2,0)))</f>
        <v>0</v>
      </c>
      <c r="BU305" s="409"/>
      <c r="BV305" s="398">
        <f>IF(BU305=0,0,IF(LEN(BH305)=11,_xlfn.XLOOKUP(BH305,'Dispensed Ink Rates'!C:C,'Dispensed Ink Rates'!CS:CS),VLOOKUP(BH305,'Jan-2026 rates'!$E:$F,2,0)))</f>
        <v>0</v>
      </c>
      <c r="BW305" s="409"/>
      <c r="BX305" s="398">
        <f>IF(BW305=0,0,IF(LEN(BI305)=11,_xlfn.XLOOKUP(BI305,'Dispensed Ink Rates'!C:C,'Dispensed Ink Rates'!CS:CS),VLOOKUP(BI305,'Jan-2026 rates'!$E:$F,2,0)))</f>
        <v>0</v>
      </c>
      <c r="BY305" s="409"/>
      <c r="BZ305" s="398">
        <f>IF(BY305=0,0,IF(LEN(BJ305)=11,_xlfn.XLOOKUP(BJ305,'Dispensed Ink Rates'!C:C,'Dispensed Ink Rates'!CS:CS),VLOOKUP(BJ305,'Jan-2026 rates'!$E:$F,2,0)))</f>
        <v>0</v>
      </c>
      <c r="CA305" s="409" t="s">
        <v>1881</v>
      </c>
      <c r="CB305" s="409">
        <v>40</v>
      </c>
      <c r="CC305" s="411">
        <f t="shared" si="215"/>
        <v>0</v>
      </c>
      <c r="CD305" s="411">
        <f t="shared" si="216"/>
        <v>71.112903225806448</v>
      </c>
      <c r="CE305" s="410">
        <f t="shared" si="217"/>
        <v>0</v>
      </c>
      <c r="CF305" s="404" t="s">
        <v>546</v>
      </c>
      <c r="CG305" s="409" t="s">
        <v>4411</v>
      </c>
      <c r="CH305" s="420" t="str">
        <f t="shared" si="185"/>
        <v>ToyoLi - REFLEX BLUE</v>
      </c>
      <c r="CI305" s="409">
        <v>15</v>
      </c>
      <c r="CJ305" s="411">
        <f>IF(CI305=0,0,IF($LB305=70%,VLOOKUP($CH305,'Jan-2026 rates'!$L:$R,4,0),IF($LB305=65%,VLOOKUP($CH305,'Jan-2026 rates'!$L:$R,4,0),IF($LB305=40%,VLOOKUP($CH305,'Jan-2026 rates'!$L:$R,5,0),IF($LB305=30%,VLOOKUP($CH305,'Jan-2026 rates'!$L:$R,6,0),IF($LB305=100%,VLOOKUP($CH305,'Jan-2026 rates'!$L:$R,7,0),IF($LB305=60%,VLOOKUP($CH305,'Jan-2026 rates'!$L:$S,8,0),IF($LB305=80%,VLOOKUP($CH305,'Jan-2026 rates'!L:T,9,0),0))))))))</f>
        <v>0</v>
      </c>
      <c r="CK305" s="412" t="s">
        <v>4451</v>
      </c>
      <c r="CL305" s="409">
        <v>14</v>
      </c>
      <c r="CM305" s="411">
        <f>IF(CL305=0,0,IF($LB305=70%,VLOOKUP($CH305,'Jan-2026 rates'!$L:$R,4,0),IF($LB305=65%,VLOOKUP($CH305,'Jan-2026 rates'!$L:$R,4,0),IF($LB305=40%,VLOOKUP($CH305,'Jan-2026 rates'!$L:$R,5,0),IF($LB305=30%,VLOOKUP($CH305,'Jan-2026 rates'!$L:$R,6,0),IF($LB305=100%,VLOOKUP($CH305,'Jan-2026 rates'!$L:$R,7,0),IF($LB305=60%,VLOOKUP($CH305,'Jan-2026 rates'!$L:$S,8,0),IF($LB305=80%,VLOOKUP($CH305,'Jan-2026 rates'!L:T,9,0),0))))))))</f>
        <v>0</v>
      </c>
      <c r="CN305" s="426" t="s">
        <v>1250</v>
      </c>
      <c r="CO305" s="427" t="s">
        <v>1251</v>
      </c>
      <c r="CP305" s="426" t="s">
        <v>1921</v>
      </c>
      <c r="CQ305" s="426"/>
      <c r="CR305" s="428"/>
      <c r="CS305" s="428"/>
      <c r="CT305" s="428"/>
      <c r="CU305" s="428"/>
      <c r="CV305" s="409">
        <v>3</v>
      </c>
      <c r="CW305" s="398">
        <f>IF(CV305=0,0,IF(LEN(CN305)=11,_xlfn.XLOOKUP(CN305,'Dispensed Ink Rates'!C:C,'Dispensed Ink Rates'!CS:CS),VLOOKUP(CN305,'Jan-2026 rates'!$E:$F,2,0)))</f>
        <v>0</v>
      </c>
      <c r="CX305" s="409">
        <v>1</v>
      </c>
      <c r="CY305" s="398">
        <f>IF(CX305=0,0,IF(LEN(CO305)=11,_xlfn.XLOOKUP(CO305,'Dispensed Ink Rates'!C:C,'Dispensed Ink Rates'!CS:CS),VLOOKUP(CO305,'Jan-2026 rates'!$E:$F,2,0)))</f>
        <v>0</v>
      </c>
      <c r="CZ305" s="409">
        <v>2</v>
      </c>
      <c r="DA305" s="398">
        <f>IF(CZ305=0,0,IF(LEN(CP305)=11,_xlfn.XLOOKUP(CP305,'Dispensed Ink Rates'!C:C,'Dispensed Ink Rates'!CS:CS),VLOOKUP(CP305,'Jan-2026 rates'!$E:$F,2,0)))</f>
        <v>0</v>
      </c>
      <c r="DB305" s="409"/>
      <c r="DC305" s="398">
        <f>IF(DB305=0,0,IF(LEN(CQ305)=11,_xlfn.XLOOKUP(CQ305,'Dispensed Ink Rates'!C:C,'Dispensed Ink Rates'!CS:CS),VLOOKUP(CQ305,'Jan-2026 rates'!$E:$F,2,0)))</f>
        <v>0</v>
      </c>
      <c r="DD305" s="409"/>
      <c r="DE305" s="398">
        <f>IF(DD305=0,0,IF(LEN(CR305)=11,_xlfn.XLOOKUP(CR305,'Dispensed Ink Rates'!C:C,'Dispensed Ink Rates'!CS:CS),VLOOKUP(CR305,'Jan-2026 rates'!$E:$F,2,0)))</f>
        <v>0</v>
      </c>
      <c r="DF305" s="409"/>
      <c r="DG305" s="398">
        <f>IF(DF305=0,0,IF(LEN(CS305)=11,_xlfn.XLOOKUP(CS305,'Dispensed Ink Rates'!C:C,'Dispensed Ink Rates'!CS:CS),VLOOKUP(CS305,'Jan-2026 rates'!$E:$F,2,0)))</f>
        <v>0</v>
      </c>
      <c r="DH305" s="409"/>
      <c r="DI305" s="398">
        <f>IF(DH305=0,0,IF(LEN(CT305)=11,_xlfn.XLOOKUP(CT305,'Dispensed Ink Rates'!C:C,'Dispensed Ink Rates'!CS:CS),VLOOKUP(CT305,'Jan-2026 rates'!$E:$F,2,0)))</f>
        <v>0</v>
      </c>
      <c r="DJ305" s="409"/>
      <c r="DK305" s="398">
        <f>IF(DJ305=0,0,IF(LEN(CU305)=11,_xlfn.XLOOKUP(CU305,'Dispensed Ink Rates'!C:C,'Dispensed Ink Rates'!CS:CS),VLOOKUP(CU305,'Jan-2026 rates'!$E:$F,2,0)))</f>
        <v>0</v>
      </c>
      <c r="DL305" s="409" t="s">
        <v>1881</v>
      </c>
      <c r="DM305" s="409">
        <v>32</v>
      </c>
      <c r="DN305" s="411">
        <f t="shared" si="218"/>
        <v>0</v>
      </c>
      <c r="DO305" s="411">
        <f t="shared" si="219"/>
        <v>7.9032258064516157</v>
      </c>
      <c r="DP305" s="410">
        <f t="shared" si="220"/>
        <v>0</v>
      </c>
      <c r="DQ305" s="405" t="s">
        <v>545</v>
      </c>
      <c r="DR305" s="409" t="s">
        <v>4389</v>
      </c>
      <c r="DS305" s="420" t="str">
        <f t="shared" si="186"/>
        <v>ToyoLi - YELLOW</v>
      </c>
      <c r="DT305" s="409">
        <f>13+17</f>
        <v>30</v>
      </c>
      <c r="DU305" s="411">
        <f>IF(DT305=0,0,IF($LB305=70%,VLOOKUP($DS305,'Jan-2026 rates'!$L:$R,4,0),IF($LB305=65%,VLOOKUP($DS305,'Jan-2026 rates'!$L:$R,4,0),IF($LB305=40%,VLOOKUP($DS305,'Jan-2026 rates'!$L:$R,5,0),IF($LB305=30%,VLOOKUP($DS305,'Jan-2026 rates'!$L:$R,6,0),IF($LB305=100%,VLOOKUP($DS305,'Jan-2026 rates'!$L:$R,7,0),IF($LB305=60%,VLOOKUP($DS305,'Jan-2026 rates'!$L:$S,8,0),IF($LB305=80%,VLOOKUP($DS305,'Jan-2026 rates'!L:T,9,0),0))))))))</f>
        <v>0</v>
      </c>
      <c r="DV305" s="412" t="s">
        <v>4389</v>
      </c>
      <c r="DW305" s="409">
        <v>13</v>
      </c>
      <c r="DX305" s="411">
        <f>IF(DW305=0,0,IF($LB305=70%,VLOOKUP($DS305,'Jan-2026 rates'!$L:$R,4,0),IF($LB305=65%,VLOOKUP($DS305,'Jan-2026 rates'!$L:$R,4,0),IF($LB305=40%,VLOOKUP($DS305,'Jan-2026 rates'!$L:$R,5,0),IF($LB305=30%,VLOOKUP($DS305,'Jan-2026 rates'!$L:$R,6,0),IF($LB305=100%,VLOOKUP($DS305,'Jan-2026 rates'!$L:$R,7,0),IF($LB305=60%,VLOOKUP($DS305,'Jan-2026 rates'!$L:$S,8,0),IF($LB305=80%,VLOOKUP($DS305,'Jan-2026 rates'!L:T,9,0),0))))))))</f>
        <v>0</v>
      </c>
      <c r="DY305" s="413" t="s">
        <v>1248</v>
      </c>
      <c r="DZ305" s="413"/>
      <c r="EA305" s="412"/>
      <c r="EB305" s="412"/>
      <c r="EC305" s="412"/>
      <c r="ED305" s="412"/>
      <c r="EE305" s="412"/>
      <c r="EF305" s="412"/>
      <c r="EG305" s="409">
        <v>1</v>
      </c>
      <c r="EH305" s="398">
        <f>IF(EG305=0,0,IF(LEN(DY305)=11,_xlfn.XLOOKUP(DY305,'Dispensed Ink Rates'!C:C,'Dispensed Ink Rates'!CS:CS),VLOOKUP(DY305,'Jan-2026 rates'!$E:$F,2,0)))</f>
        <v>0</v>
      </c>
      <c r="EI305" s="409"/>
      <c r="EJ305" s="398">
        <f>IF(EI305=0,0,IF(LEN(DZ305)=11,_xlfn.XLOOKUP(DZ305,'Dispensed Ink Rates'!C:C,'Dispensed Ink Rates'!CS:CS),VLOOKUP(DZ305,'Jan-2026 rates'!$E:$F,2,0)))</f>
        <v>0</v>
      </c>
      <c r="EK305" s="409"/>
      <c r="EL305" s="398">
        <f>IF(EK305=0,0,IF(LEN(EA305)=11,_xlfn.XLOOKUP(EA305,'Dispensed Ink Rates'!C:C,'Dispensed Ink Rates'!CS:CS),VLOOKUP(EA305,'Jan-2026 rates'!$E:$F,2,0)))</f>
        <v>0</v>
      </c>
      <c r="EM305" s="409"/>
      <c r="EN305" s="398">
        <f>IF(EM305=0,0,IF(LEN(EB305)=11,_xlfn.XLOOKUP(EB305,'Dispensed Ink Rates'!C:C,'Dispensed Ink Rates'!CS:CS),VLOOKUP(EB305,'Jan-2026 rates'!$E:$F,2,0)))</f>
        <v>0</v>
      </c>
      <c r="EO305" s="409"/>
      <c r="EP305" s="398">
        <f>IF(EO305=0,0,IF(LEN(EC305)=11,_xlfn.XLOOKUP(EC305,'Dispensed Ink Rates'!C:C,'Dispensed Ink Rates'!CS:CS),VLOOKUP(EC305,'Jan-2026 rates'!$E:$F,2,0)))</f>
        <v>0</v>
      </c>
      <c r="EQ305" s="409"/>
      <c r="ER305" s="398">
        <f>IF(EQ305=0,0,IF(LEN(ED305)=11,_xlfn.XLOOKUP(ED305,'Dispensed Ink Rates'!C:C,'Dispensed Ink Rates'!CS:CS),VLOOKUP(ED305,'Jan-2026 rates'!$E:$F,2,0)))</f>
        <v>0</v>
      </c>
      <c r="ES305" s="409"/>
      <c r="ET305" s="398">
        <f>IF(ES305=0,0,IF(LEN(EE305)=11,_xlfn.XLOOKUP(EE305,'Dispensed Ink Rates'!C:C,'Dispensed Ink Rates'!CS:CS),VLOOKUP(EE305,'Jan-2026 rates'!$E:$F,2,0)))</f>
        <v>0</v>
      </c>
      <c r="EU305" s="409"/>
      <c r="EV305" s="398">
        <f>IF(EU305=0,0,IF(LEN(EF305)=11,_xlfn.XLOOKUP(EF305,'Dispensed Ink Rates'!C:C,'Dispensed Ink Rates'!CS:CS),VLOOKUP(EF305,'Jan-2026 rates'!$E:$F,2,0)))</f>
        <v>0</v>
      </c>
      <c r="EW305" s="409" t="s">
        <v>1881</v>
      </c>
      <c r="EX305" s="409">
        <v>30</v>
      </c>
      <c r="EY305" s="411">
        <f t="shared" si="221"/>
        <v>0</v>
      </c>
      <c r="EZ305" s="411">
        <f t="shared" si="222"/>
        <v>18.903225806451616</v>
      </c>
      <c r="FA305" s="410">
        <f t="shared" si="223"/>
        <v>0</v>
      </c>
      <c r="FB305" s="405" t="s">
        <v>855</v>
      </c>
      <c r="FC305" s="409" t="s">
        <v>4452</v>
      </c>
      <c r="FD305" s="420" t="str">
        <f t="shared" si="187"/>
        <v>ToyoLi - CYAN</v>
      </c>
      <c r="FE305" s="409">
        <v>26</v>
      </c>
      <c r="FF305" s="411">
        <f>IF(FE305=0,0,IF($LB305=70%,VLOOKUP($FD305,'Jan-2026 rates'!$L:$R,4,0),IF($LB305=65%,VLOOKUP($FD305,'Jan-2026 rates'!$L:$R,4,0),IF($LB305=40%,VLOOKUP($FD305,'Jan-2026 rates'!$L:$R,5,0),IF($LB305=30%,VLOOKUP($FD305,'Jan-2026 rates'!$L:$R,6,0),IF($LB305=100%,VLOOKUP($FD305,'Jan-2026 rates'!$L:$R,7,0),IF($LB305=60%,VLOOKUP($FD305,'Jan-2026 rates'!$L:$S,8,0),IF($LB305=80%,VLOOKUP($FD305,'Jan-2026 rates'!L:T,9,0),0))))))))</f>
        <v>0</v>
      </c>
      <c r="FG305" s="412"/>
      <c r="FH305" s="409"/>
      <c r="FI305" s="411">
        <f>IF(FH305=0,0,IF($LB305=70%,VLOOKUP($FD305,'Jan-2026 rates'!$L:$R,4,0),IF($LB305=65%,VLOOKUP($FD305,'Jan-2026 rates'!$L:$R,4,0),IF($LB305=40%,VLOOKUP($FD305,'Jan-2026 rates'!$L:$R,5,0),IF($LB305=30%,VLOOKUP($FD305,'Jan-2026 rates'!$L:$R,6,0),IF($LB305=100%,VLOOKUP($FD305,'Jan-2026 rates'!$L:$R,7,0),IF($LB305=60%,VLOOKUP($FD305,'Jan-2026 rates'!$L:$S,8,0),IF($LB305=80%,VLOOKUP($FD305,'Jan-2026 rates'!L:T,9,0),0))))))))</f>
        <v>0</v>
      </c>
      <c r="FJ305" s="413" t="s">
        <v>1250</v>
      </c>
      <c r="FK305" s="413"/>
      <c r="FL305" s="413"/>
      <c r="FM305" s="412"/>
      <c r="FN305" s="412"/>
      <c r="FO305" s="412"/>
      <c r="FP305" s="412"/>
      <c r="FQ305" s="412"/>
      <c r="FR305" s="409">
        <f>3+5</f>
        <v>8</v>
      </c>
      <c r="FS305" s="398">
        <f>IF(FR305=0,0,IF(LEN(FJ305)=11,_xlfn.XLOOKUP(FJ305,'Dispensed Ink Rates'!C:C,'Dispensed Ink Rates'!CS:CS),VLOOKUP(FJ305,'Jan-2026 rates'!$E:$F,2,0)))</f>
        <v>0</v>
      </c>
      <c r="FT305" s="409"/>
      <c r="FU305" s="398">
        <f>IF(FT305=0,0,IF(LEN(FK305)=11,_xlfn.XLOOKUP(FK305,'Dispensed Ink Rates'!C:C,'Dispensed Ink Rates'!CS:CS),VLOOKUP(FK305,'Jan-2026 rates'!$E:$F,2,0)))</f>
        <v>0</v>
      </c>
      <c r="FV305" s="409"/>
      <c r="FW305" s="398">
        <f>IF(FV305=0,0,IF(LEN(FL305)=11,_xlfn.XLOOKUP(FL305,'Dispensed Ink Rates'!C:C,'Dispensed Ink Rates'!CS:CS),VLOOKUP(FL305,'Jan-2026 rates'!$E:$F,2,0)))</f>
        <v>0</v>
      </c>
      <c r="FX305" s="409"/>
      <c r="FY305" s="398">
        <f>IF(FX305=0,0,IF(LEN(FM305)=11,_xlfn.XLOOKUP(FM305,'Dispensed Ink Rates'!C:C,'Dispensed Ink Rates'!CS:CS),VLOOKUP(FM305,'Jan-2026 rates'!$E:$F,2,0)))</f>
        <v>0</v>
      </c>
      <c r="FZ305" s="409"/>
      <c r="GA305" s="398">
        <f>IF(FZ305=0,0,IF(LEN(FN305)=11,_xlfn.XLOOKUP(FN305,'Dispensed Ink Rates'!C:C,'Dispensed Ink Rates'!CS:CS),VLOOKUP(FN305,'Jan-2026 rates'!$E:$F,2,0)))</f>
        <v>0</v>
      </c>
      <c r="GB305" s="409"/>
      <c r="GC305" s="398">
        <f>IF(GB305=0,0,IF(LEN(FO305)=11,_xlfn.XLOOKUP(FO305,'Dispensed Ink Rates'!C:C,'Dispensed Ink Rates'!CS:CS),VLOOKUP(FO305,'Jan-2026 rates'!$E:$F,2,0)))</f>
        <v>0</v>
      </c>
      <c r="GD305" s="409"/>
      <c r="GE305" s="398">
        <f>IF(GD305=0,0,IF(LEN(FP305)=11,_xlfn.XLOOKUP(FP305,'Dispensed Ink Rates'!C:C,'Dispensed Ink Rates'!CS:CS),VLOOKUP(FP305,'Jan-2026 rates'!$E:$F,2,0)))</f>
        <v>0</v>
      </c>
      <c r="GF305" s="409"/>
      <c r="GG305" s="398">
        <f>IF(GF305=0,0,IF(LEN(FQ305)=11,_xlfn.XLOOKUP(FQ305,'Dispensed Ink Rates'!C:C,'Dispensed Ink Rates'!CS:CS),VLOOKUP(FQ305,'Jan-2026 rates'!$E:$F,2,0)))</f>
        <v>0</v>
      </c>
      <c r="GH305" s="409" t="s">
        <v>1881</v>
      </c>
      <c r="GI305" s="409">
        <v>27</v>
      </c>
      <c r="GJ305" s="411">
        <f t="shared" si="224"/>
        <v>0</v>
      </c>
      <c r="GK305" s="411">
        <f t="shared" si="225"/>
        <v>24.161290322580641</v>
      </c>
      <c r="GL305" s="410">
        <f t="shared" si="226"/>
        <v>0</v>
      </c>
      <c r="GM305" s="405" t="s">
        <v>544</v>
      </c>
      <c r="GN305" s="409" t="s">
        <v>4453</v>
      </c>
      <c r="GO305" s="420" t="str">
        <f t="shared" si="188"/>
        <v>ToyoLi - MAGENTA</v>
      </c>
      <c r="GP305" s="409">
        <v>27</v>
      </c>
      <c r="GQ305" s="411">
        <f>IF(GP305=0,0,IF($LB305=70%,VLOOKUP($GO305,'Jan-2026 rates'!$L:$R,4,0),IF($LB305=65%,VLOOKUP($GO305,'Jan-2026 rates'!$L:$R,4,0),IF($LB305=40%,VLOOKUP($GO305,'Jan-2026 rates'!$L:$R,5,0),IF($LB305=30%,VLOOKUP($GO305,'Jan-2026 rates'!$L:$R,6,0),IF($LB305=100%,VLOOKUP($GO305,'Jan-2026 rates'!$L:$R,7,0),IF($LB305=60%,VLOOKUP($GO305,'Jan-2026 rates'!$L:$S,8,0),IF($LB305=80%,VLOOKUP($GO305,'Jan-2026 rates'!L:T,9,0),0))))))))</f>
        <v>0</v>
      </c>
      <c r="GR305" s="412"/>
      <c r="GS305" s="409"/>
      <c r="GT305" s="411">
        <f>IF(GS305=0,0,IF($LB305=70%,VLOOKUP($GO305,'Jan-2026 rates'!$L:$R,4,0),IF($LB305=65%,VLOOKUP($GO305,'Jan-2026 rates'!$L:$R,4,0),IF($LB305=40%,VLOOKUP($GO305,'Jan-2026 rates'!$L:$R,5,0),IF($LB305=30%,VLOOKUP($GO305,'Jan-2026 rates'!$L:$R,6,0),IF($LB305=100%,VLOOKUP($GO305,'Jan-2026 rates'!$L:$R,7,0),IF($LB305=60%,VLOOKUP($GO305,'Jan-2026 rates'!$L:$S,8,0),IF($LB305=80%,VLOOKUP($GO305,'Jan-2026 rates'!L:T,9,0),0))))))))</f>
        <v>0</v>
      </c>
      <c r="GU305" s="413" t="s">
        <v>1246</v>
      </c>
      <c r="GV305" s="413" t="s">
        <v>1921</v>
      </c>
      <c r="GW305" s="412"/>
      <c r="GX305" s="412"/>
      <c r="GY305" s="412"/>
      <c r="GZ305" s="412"/>
      <c r="HA305" s="412"/>
      <c r="HB305" s="412"/>
      <c r="HC305" s="409">
        <f>2+5</f>
        <v>7</v>
      </c>
      <c r="HD305" s="398">
        <f>IF(HC305=0,0,IF(LEN(GU305)=11,_xlfn.XLOOKUP(GU305,'Dispensed Ink Rates'!C:C,'Dispensed Ink Rates'!CS:CS),VLOOKUP(GU305,'Jan-2026 rates'!$E:$F,2,0)))</f>
        <v>0</v>
      </c>
      <c r="HE305" s="409">
        <v>2</v>
      </c>
      <c r="HF305" s="398">
        <f>IF(HE305=0,0,IF(LEN(GV305)=11,_xlfn.XLOOKUP(GV305,'Dispensed Ink Rates'!C:C,'Dispensed Ink Rates'!CS:CS),VLOOKUP(GV305,'Jan-2026 rates'!$E:$F,2,0)))</f>
        <v>0</v>
      </c>
      <c r="HG305" s="409"/>
      <c r="HH305" s="398">
        <f>IF(HG305=0,0,IF(LEN(GW305)=11,_xlfn.XLOOKUP(GW305,'Dispensed Ink Rates'!C:C,'Dispensed Ink Rates'!CS:CS),VLOOKUP(GW305,'Jan-2026 rates'!$E:$F,2,0)))</f>
        <v>0</v>
      </c>
      <c r="HI305" s="409"/>
      <c r="HJ305" s="398">
        <f>IF(HI305=0,0,IF(LEN(GX305)=11,_xlfn.XLOOKUP(GX305,'Dispensed Ink Rates'!C:C,'Dispensed Ink Rates'!CS:CS),VLOOKUP(GX305,'Jan-2026 rates'!$E:$F,2,0)))</f>
        <v>0</v>
      </c>
      <c r="HK305" s="409"/>
      <c r="HL305" s="398">
        <f>IF(HK305=0,0,IF(LEN(GY305)=11,_xlfn.XLOOKUP(GY305,'Dispensed Ink Rates'!C:C,'Dispensed Ink Rates'!CS:CS),VLOOKUP(GY305,'Jan-2026 rates'!$E:$F,2,0)))</f>
        <v>0</v>
      </c>
      <c r="HM305" s="409"/>
      <c r="HN305" s="398">
        <f>IF(HM305=0,0,IF(LEN(GZ305)=11,_xlfn.XLOOKUP(GZ305,'Dispensed Ink Rates'!C:C,'Dispensed Ink Rates'!CS:CS),VLOOKUP(GZ305,'Jan-2026 rates'!$E:$F,2,0)))</f>
        <v>0</v>
      </c>
      <c r="HO305" s="409"/>
      <c r="HP305" s="398">
        <f>IF(HO305=0,0,IF(LEN(HA305)=11,_xlfn.XLOOKUP(HA305,'Dispensed Ink Rates'!C:C,'Dispensed Ink Rates'!CS:CS),VLOOKUP(HA305,'Jan-2026 rates'!$E:$F,2,0)))</f>
        <v>0</v>
      </c>
      <c r="HQ305" s="409"/>
      <c r="HR305" s="398">
        <f>IF(HQ305=0,0,IF(LEN(HB305)=11,_xlfn.XLOOKUP(HB305,'Dispensed Ink Rates'!C:C,'Dispensed Ink Rates'!CS:CS),VLOOKUP(HB305,'Jan-2026 rates'!$E:$F,2,0)))</f>
        <v>0</v>
      </c>
      <c r="HS305" s="409" t="s">
        <v>1881</v>
      </c>
      <c r="HT305" s="409">
        <v>28</v>
      </c>
      <c r="HU305" s="411">
        <f t="shared" si="227"/>
        <v>0</v>
      </c>
      <c r="HV305" s="411">
        <f t="shared" si="228"/>
        <v>17.806451612903224</v>
      </c>
      <c r="HW305" s="414">
        <f t="shared" si="229"/>
        <v>0</v>
      </c>
      <c r="HX305" s="405" t="s">
        <v>545</v>
      </c>
      <c r="HY305" s="409" t="s">
        <v>4454</v>
      </c>
      <c r="HZ305" s="420" t="str">
        <f t="shared" si="189"/>
        <v>ToyoLi - YELLOW</v>
      </c>
      <c r="IA305" s="409">
        <v>29</v>
      </c>
      <c r="IB305" s="411">
        <f>IF(IA305=0,0,IF($LB305=70%,VLOOKUP($HZ305,'Jan-2026 rates'!$L:$R,4,0),IF($LB305=65%,VLOOKUP($HZ305,'Jan-2026 rates'!$L:$R,4,0),IF($LB305=40%,VLOOKUP($HZ305,'Jan-2026 rates'!$L:$R,5,0),IF($LB305=30%,VLOOKUP($HZ305,'Jan-2026 rates'!$L:$R,6,0),IF($LB305=100%,VLOOKUP($HZ305,'Jan-2026 rates'!$L:$R,7,0),IF($LB305=60%,VLOOKUP($HZ305,'Jan-2026 rates'!$L:$S,8,0),IF($LB305=80%,VLOOKUP($HZ305,'Jan-2026 rates'!L:T,9,0),0))))))))</f>
        <v>0</v>
      </c>
      <c r="IC305" s="412"/>
      <c r="ID305" s="409"/>
      <c r="IE305" s="411">
        <f>IF(ID305=0,0,IF($LB305=70%,VLOOKUP($HZ305,'Jan-2026 rates'!$L:$R,4,0),IF($LB305=65%,VLOOKUP($HZ305,'Jan-2026 rates'!$L:$R,4,0),IF($LB305=40%,VLOOKUP($HZ305,'Jan-2026 rates'!$L:$R,5,0),IF($LB305=30%,VLOOKUP($HZ305,'Jan-2026 rates'!$L:$R,6,0),IF($LB305=100%,VLOOKUP($HZ305,'Jan-2026 rates'!$L:$R,7,0),IF($LB305=60%,VLOOKUP($HZ305,'Jan-2026 rates'!$L:$S,8,0),IF($LB305=80%,VLOOKUP($HZ305,'Jan-2026 rates'!L:T,9,0),0))))))))</f>
        <v>0</v>
      </c>
      <c r="IF305" s="412" t="s">
        <v>1247</v>
      </c>
      <c r="IG305" s="413" t="s">
        <v>1921</v>
      </c>
      <c r="IH305" s="412"/>
      <c r="II305" s="412"/>
      <c r="IJ305" s="412"/>
      <c r="IK305" s="412"/>
      <c r="IL305" s="412"/>
      <c r="IM305" s="412"/>
      <c r="IN305" s="409">
        <f>3+20+10</f>
        <v>33</v>
      </c>
      <c r="IO305" s="398">
        <f>IF(IN305=0,0,IF(LEN(IF305)=11,_xlfn.XLOOKUP(IF305,'Dispensed Ink Rates'!C:C,'Dispensed Ink Rates'!CS:CS),VLOOKUP(IF305,'Jan-2026 rates'!$E:$F,2,0)))</f>
        <v>0</v>
      </c>
      <c r="IP305" s="409">
        <v>5</v>
      </c>
      <c r="IQ305" s="398">
        <f>IF(IP305=0,0,IF(LEN(IG305)=11,_xlfn.XLOOKUP(IG305,'Dispensed Ink Rates'!C:C,'Dispensed Ink Rates'!CS:CS),VLOOKUP(IG305,'Jan-2026 rates'!$E:$F,2,0)))</f>
        <v>0</v>
      </c>
      <c r="IR305" s="409"/>
      <c r="IS305" s="398">
        <f>IF(IR305=0,0,IF(LEN(IH305)=11,_xlfn.XLOOKUP(IH305,'Dispensed Ink Rates'!C:C,'Dispensed Ink Rates'!CS:CS),VLOOKUP(IH305,'Jan-2026 rates'!$E:$F,2,0)))</f>
        <v>0</v>
      </c>
      <c r="IT305" s="409"/>
      <c r="IU305" s="398">
        <f>IF(IT305=0,0,IF(LEN(II305)=11,_xlfn.XLOOKUP(II305,'Dispensed Ink Rates'!C:C,'Dispensed Ink Rates'!CS:CS),VLOOKUP(II305,'Jan-2026 rates'!$E:$F,2,0)))</f>
        <v>0</v>
      </c>
      <c r="IV305" s="409"/>
      <c r="IW305" s="398">
        <f>IF(IV305=0,0,IF(LEN(IJ305)=11,_xlfn.XLOOKUP(IJ305,'Dispensed Ink Rates'!C:C,'Dispensed Ink Rates'!CS:CS),VLOOKUP(IJ305,'Jan-2026 rates'!$E:$F,2,0)))</f>
        <v>0</v>
      </c>
      <c r="IX305" s="409"/>
      <c r="IY305" s="398">
        <f>IF(IX305=0,0,IF(LEN(IK305)=11,_xlfn.XLOOKUP(IK305,'Dispensed Ink Rates'!C:C,'Dispensed Ink Rates'!CS:CS),VLOOKUP(IK305,'Jan-2026 rates'!$E:$F,2,0)))</f>
        <v>0</v>
      </c>
      <c r="IZ305" s="409"/>
      <c r="JA305" s="398">
        <f>IF(IZ305=0,0,IF(LEN(IL305)=11,_xlfn.XLOOKUP(IL305,'Dispensed Ink Rates'!C:C,'Dispensed Ink Rates'!CS:CS),VLOOKUP(IL305,'Jan-2026 rates'!$E:$F,2,0)))</f>
        <v>0</v>
      </c>
      <c r="JB305" s="409"/>
      <c r="JC305" s="398">
        <f>IF(JB305=0,0,IF(LEN(IM305)=11,_xlfn.XLOOKUP(IM305,'Dispensed Ink Rates'!C:C,'Dispensed Ink Rates'!CS:CS),VLOOKUP(IM305,'Jan-2026 rates'!$E:$F,2,0)))</f>
        <v>0</v>
      </c>
      <c r="JD305" s="409" t="s">
        <v>1881</v>
      </c>
      <c r="JE305" s="409">
        <v>28</v>
      </c>
      <c r="JF305" s="411">
        <f t="shared" si="230"/>
        <v>0</v>
      </c>
      <c r="JG305" s="411">
        <f t="shared" si="231"/>
        <v>68.41935483870968</v>
      </c>
      <c r="JH305" s="410">
        <f t="shared" si="232"/>
        <v>0</v>
      </c>
      <c r="JI305" s="405" t="s">
        <v>856</v>
      </c>
      <c r="JJ305" s="409" t="s">
        <v>2160</v>
      </c>
      <c r="JK305" s="420" t="str">
        <f t="shared" si="190"/>
        <v>ToyoLi - WHITE</v>
      </c>
      <c r="JL305" s="409">
        <v>30</v>
      </c>
      <c r="JM305" s="411">
        <f>IF(JL305=0,0,IF($LB305=70%,VLOOKUP($JK305,'Jan-2026 rates'!$L:$R,4,0),IF($LB305=65%,VLOOKUP($JK305,'Jan-2026 rates'!$L:$R,4,0),IF($LB305=40%,VLOOKUP($JK305,'Jan-2026 rates'!$L:$R,5,0),IF($LB305=30%,VLOOKUP($JK305,'Jan-2026 rates'!$L:$R,6,0),IF($LB305=100%,VLOOKUP($JK305,'Jan-2026 rates'!$L:$R,7,0),IF($LB305=60%,VLOOKUP($JK305,'Jan-2026 rates'!$L:$S,8,0),IF($LB305=80%,VLOOKUP($JK305,'Jan-2026 rates'!L:T,9,0),0))))))))</f>
        <v>0</v>
      </c>
      <c r="JN305" s="412"/>
      <c r="JO305" s="409"/>
      <c r="JP305" s="411">
        <f>IF(JO305=0,0,IF($LB305=70%,VLOOKUP($JK305,'Jan-2026 rates'!$L:$R,4,0),IF($LB305=65%,VLOOKUP($JK305,'Jan-2026 rates'!$L:$R,4,0),IF($LB305=40%,VLOOKUP($JK305,'Jan-2026 rates'!$L:$R,5,0),IF($LB305=30%,VLOOKUP($JK305,'Jan-2026 rates'!$L:$R,6,0),IF($LB305=100%,VLOOKUP($JK305,'Jan-2026 rates'!$L:$R,7,0),IF($LB305=60%,VLOOKUP($JK305,'Jan-2026 rates'!$L:$S,8,0),IF($LB305=80%,VLOOKUP($JK305,'Jan-2026 rates'!L:T,9,0),0))))))))</f>
        <v>0</v>
      </c>
      <c r="JQ305" s="413" t="s">
        <v>1249</v>
      </c>
      <c r="JR305" s="412" t="s">
        <v>1122</v>
      </c>
      <c r="JS305" s="413"/>
      <c r="JT305" s="413"/>
      <c r="JU305" s="412"/>
      <c r="JV305" s="412"/>
      <c r="JW305" s="412"/>
      <c r="JX305" s="412"/>
      <c r="JY305" s="409">
        <f>100+100+100</f>
        <v>300</v>
      </c>
      <c r="JZ305" s="398">
        <f>IF(JY305=0,0,IF(LEN(JQ305)=11,_xlfn.XLOOKUP(JQ305,'Dispensed Ink Rates'!C:C,'Dispensed Ink Rates'!CS:CS),VLOOKUP(JQ305,'Jan-2026 rates'!$E:$F,2,0)))</f>
        <v>0</v>
      </c>
      <c r="KA305" s="409">
        <v>16.600000000000001</v>
      </c>
      <c r="KB305" s="398">
        <f>IF(KA305=0,0,IF(LEN(JR305)=11,_xlfn.XLOOKUP(JR305,'Dispensed Ink Rates'!C:C,'Dispensed Ink Rates'!CS:CS),VLOOKUP(JR305,'Jan-2026 rates'!$E:$F,2,0)))</f>
        <v>0</v>
      </c>
      <c r="KC305" s="409"/>
      <c r="KD305" s="398">
        <f>IF(KC305=0,0,IF(LEN(JS305)=11,_xlfn.XLOOKUP(JS305,'Dispensed Ink Rates'!C:C,'Dispensed Ink Rates'!CS:CS),VLOOKUP(JS305,'Jan-2026 rates'!$E:$F,2,0)))</f>
        <v>0</v>
      </c>
      <c r="KE305" s="409"/>
      <c r="KF305" s="398">
        <f>IF(KE305=0,0,IF(LEN(JT305)=11,_xlfn.XLOOKUP(JT305,'Dispensed Ink Rates'!C:C,'Dispensed Ink Rates'!CS:CS),VLOOKUP(JT305,'Jan-2026 rates'!$E:$F,2,0)))</f>
        <v>0</v>
      </c>
      <c r="KG305" s="409"/>
      <c r="KH305" s="398">
        <f>IF(KG305=0,0,IF(LEN(JU305)=11,_xlfn.XLOOKUP(JU305,'Dispensed Ink Rates'!C:C,'Dispensed Ink Rates'!CS:CS),VLOOKUP(JU305,'Jan-2026 rates'!$E:$F,2,0)))</f>
        <v>0</v>
      </c>
      <c r="KI305" s="409"/>
      <c r="KJ305" s="398">
        <f>IF(KI305=0,0,IF(LEN(JV305)=11,_xlfn.XLOOKUP(JV305,'Dispensed Ink Rates'!C:C,'Dispensed Ink Rates'!CS:CS),VLOOKUP(JV305,'Jan-2026 rates'!$E:$F,2,0)))</f>
        <v>0</v>
      </c>
      <c r="KK305" s="409"/>
      <c r="KL305" s="398">
        <f>IF(KK305=0,0,IF(LEN(JW305)=11,_xlfn.XLOOKUP(JW305,'Dispensed Ink Rates'!C:C,'Dispensed Ink Rates'!CS:CS),VLOOKUP(JW305,'Jan-2026 rates'!$E:$F,2,0)))</f>
        <v>0</v>
      </c>
      <c r="KM305" s="428"/>
      <c r="KN305" s="398">
        <f>IF(KM305=0,0,IF(LEN(JX305)=11,_xlfn.XLOOKUP(JX305,'Dispensed Ink Rates'!C:C,'Dispensed Ink Rates'!CS:CS),VLOOKUP(JX305,'Jan-2026 rates'!$E:$F,2,0)))</f>
        <v>0</v>
      </c>
      <c r="KO305" s="409" t="s">
        <v>1881</v>
      </c>
      <c r="KP305" s="409">
        <v>30</v>
      </c>
      <c r="KQ305" s="411">
        <f t="shared" si="233"/>
        <v>0</v>
      </c>
      <c r="KR305" s="411">
        <f t="shared" si="234"/>
        <v>757.89032258064515</v>
      </c>
      <c r="KS305" s="410">
        <f t="shared" si="235"/>
        <v>0</v>
      </c>
      <c r="KT305" s="409">
        <v>2</v>
      </c>
      <c r="KU305" s="409">
        <f>3+5</f>
        <v>8</v>
      </c>
      <c r="KV305" s="409">
        <v>2</v>
      </c>
      <c r="KW305" s="409">
        <v>2</v>
      </c>
      <c r="KX305" s="409">
        <f>2+5</f>
        <v>7</v>
      </c>
      <c r="KY305" s="409">
        <v>4</v>
      </c>
      <c r="KZ305" s="409">
        <v>12</v>
      </c>
      <c r="LA305" s="409">
        <f>80+100</f>
        <v>180</v>
      </c>
      <c r="LB305" s="415">
        <v>0.3</v>
      </c>
      <c r="LC305" s="415"/>
      <c r="LD305" s="424"/>
      <c r="LE305" s="415">
        <v>0.5</v>
      </c>
      <c r="LF305" s="415">
        <v>0.2</v>
      </c>
      <c r="LG305" s="409">
        <v>0</v>
      </c>
      <c r="LH305" s="409">
        <f>180+152+60+100+40</f>
        <v>532</v>
      </c>
      <c r="LI305" s="409">
        <v>0</v>
      </c>
      <c r="LJ305" s="409">
        <v>0</v>
      </c>
      <c r="LK305" s="416">
        <f t="shared" si="191"/>
        <v>532</v>
      </c>
      <c r="LL305" s="416">
        <f t="shared" si="237"/>
        <v>532</v>
      </c>
      <c r="LM305" s="417">
        <f t="shared" si="193"/>
        <v>159.6</v>
      </c>
      <c r="LN305" s="417">
        <f>VLOOKUP($LM$8,'Jan-2026 rates'!$H:$I,2,0)</f>
        <v>0</v>
      </c>
      <c r="LO305" s="417">
        <f t="shared" si="194"/>
        <v>0</v>
      </c>
      <c r="LP305" s="417">
        <f>VLOOKUP($LO$8,'Jan-2026 rates'!$H:$I,2,0)</f>
        <v>0</v>
      </c>
      <c r="LQ305" s="417">
        <f t="shared" si="195"/>
        <v>0</v>
      </c>
      <c r="LR305" s="417">
        <f>VLOOKUP($LQ$8,'Jan-2026 rates'!$H:$I,2,0)</f>
        <v>0</v>
      </c>
      <c r="LS305" s="417">
        <f t="shared" si="196"/>
        <v>266</v>
      </c>
      <c r="LT305" s="417">
        <f>VLOOKUP($LS$8,'Jan-2026 rates'!$H:$I,2,0)</f>
        <v>0</v>
      </c>
      <c r="LU305" s="417">
        <f t="shared" si="197"/>
        <v>106.4</v>
      </c>
      <c r="LV305" s="417">
        <f>VLOOKUP($LU$8,'Jan-2026 rates'!$H:$I,2,0)</f>
        <v>0</v>
      </c>
      <c r="LW305" s="417">
        <f t="shared" si="198"/>
        <v>0</v>
      </c>
      <c r="LX305" s="417">
        <f t="shared" si="199"/>
        <v>0</v>
      </c>
      <c r="LY305" s="418">
        <f t="shared" si="200"/>
        <v>0</v>
      </c>
      <c r="LZ305" s="417"/>
      <c r="MA305" s="435">
        <f t="shared" si="201"/>
        <v>445.1</v>
      </c>
      <c r="MB305" s="282">
        <f t="shared" si="202"/>
        <v>983.1</v>
      </c>
      <c r="MC305" s="283" t="s">
        <v>2044</v>
      </c>
      <c r="MD305" s="284" t="str">
        <f t="shared" si="203"/>
        <v>ToyoLiToyoLiToyoLiToyoLiToyoLiToyoLiToyoLiToyoLi</v>
      </c>
      <c r="ME305" s="293" t="str">
        <f t="shared" si="204"/>
        <v>+</v>
      </c>
      <c r="MF305" s="293" t="str">
        <f t="shared" si="205"/>
        <v>+</v>
      </c>
      <c r="MG305" s="293" t="str">
        <f t="shared" si="206"/>
        <v>+</v>
      </c>
      <c r="MH305" s="293" t="str">
        <f t="shared" si="207"/>
        <v>+</v>
      </c>
      <c r="MI305" s="293" t="str">
        <f t="shared" si="208"/>
        <v>+</v>
      </c>
      <c r="MJ305" s="293" t="str">
        <f t="shared" si="209"/>
        <v>+</v>
      </c>
      <c r="MK305" s="293" t="str">
        <f t="shared" si="210"/>
        <v>+</v>
      </c>
      <c r="ML305" s="293" t="str">
        <f t="shared" si="211"/>
        <v>+</v>
      </c>
      <c r="MM305" s="3" t="b">
        <f t="array" ref="MM305">OR(ME305:ML305="-")</f>
        <v>0</v>
      </c>
      <c r="MO305" s="401">
        <f t="shared" si="238"/>
        <v>64.635108481262321</v>
      </c>
      <c r="MP305" s="286"/>
      <c r="MR305" s="402">
        <f t="shared" si="239"/>
        <v>1.1070945945945947E-2</v>
      </c>
      <c r="MS305" s="400">
        <f t="shared" si="240"/>
        <v>0</v>
      </c>
      <c r="MT305" s="285"/>
      <c r="NH305" s="361"/>
      <c r="NJ305" s="282"/>
    </row>
    <row r="306" spans="1:374" ht="16.5">
      <c r="A306" s="403">
        <v>46043</v>
      </c>
      <c r="B306" s="404" t="s">
        <v>1015</v>
      </c>
      <c r="C306" s="405" t="s">
        <v>4455</v>
      </c>
      <c r="D306" s="404" t="s">
        <v>2045</v>
      </c>
      <c r="E306" s="404">
        <v>77</v>
      </c>
      <c r="F306" s="407">
        <v>6200</v>
      </c>
      <c r="G306" s="407" t="s">
        <v>1016</v>
      </c>
      <c r="H306" s="408" t="s">
        <v>1017</v>
      </c>
      <c r="I306" s="409">
        <v>0.88</v>
      </c>
      <c r="J306" s="405" t="s">
        <v>543</v>
      </c>
      <c r="K306" s="404" t="s">
        <v>4456</v>
      </c>
      <c r="L306" s="419" t="str">
        <f t="shared" si="184"/>
        <v>ToyoLi - BLACK</v>
      </c>
      <c r="M306" s="404">
        <v>28</v>
      </c>
      <c r="N306" s="410">
        <f>IF(M306=0,0,IF($LB306=70%,VLOOKUP($L306,'Jan-2026 rates'!$L:$R,4,0),IF($LB306=65%,VLOOKUP($L306,'Jan-2026 rates'!$L:$R,4,0),IF($LB306=40%,VLOOKUP($L306,'Jan-2026 rates'!$L:$R,5,0),IF($LB306=30%,VLOOKUP($L306,'Jan-2026 rates'!$L:$R,6,0),IF($LB306=100%,VLOOKUP($L306,'Jan-2026 rates'!$L:$R,7,0),IF($LB306=60%,VLOOKUP($L306,'Jan-2026 rates'!$L:$S,8,0),IF($LB306=80%,VLOOKUP($L306,'Jan-2026 rates'!L:T,9,0),0))))))))</f>
        <v>0</v>
      </c>
      <c r="O306" s="406"/>
      <c r="P306" s="404"/>
      <c r="Q306" s="410">
        <f>IF(P306=0,0,IF($LB306=70%,VLOOKUP($L306,'Jan-2026 rates'!$L:$R,4,0),IF($LB306=65%,VLOOKUP($L306,'Jan-2026 rates'!$L:$R,4,0),IF($LB306=40%,VLOOKUP($L306,'Jan-2026 rates'!$L:$R,5,0),IF($LB306=30%,VLOOKUP($L306,'Jan-2026 rates'!$L:$R,6,0),IF($LB306=100%,VLOOKUP($L306,'Jan-2026 rates'!$L:$R,7,0),IF($LB306=60%,VLOOKUP($L306,'Jan-2026 rates'!$L:$S,8,0),IF($LB306=80%,VLOOKUP($L306,'Jan-2026 rates'!L:T,9,0),0))))))))</f>
        <v>0</v>
      </c>
      <c r="R306" s="406" t="s">
        <v>1252</v>
      </c>
      <c r="S306" s="406"/>
      <c r="T306" s="406"/>
      <c r="U306" s="406"/>
      <c r="V306" s="406"/>
      <c r="W306" s="406"/>
      <c r="X306" s="406"/>
      <c r="Y306" s="406"/>
      <c r="Z306" s="404">
        <v>4</v>
      </c>
      <c r="AA306" s="398">
        <f>IF(Z306=0,0,IF(LEN(R306)=11,_xlfn.XLOOKUP(R306,'Dispensed Ink Rates'!C:C,'Dispensed Ink Rates'!CS:CS),VLOOKUP(R306,'Jan-2026 rates'!$E:$F,2,0)))</f>
        <v>0</v>
      </c>
      <c r="AB306" s="404"/>
      <c r="AC306" s="398">
        <f>IF(AB306=0,0,IF(LEN(S306)=11,_xlfn.XLOOKUP(S306,'Dispensed Ink Rates'!C:C,'Dispensed Ink Rates'!CS:CS),VLOOKUP(S306,'Jan-2026 rates'!$E:$F,2,0)))</f>
        <v>0</v>
      </c>
      <c r="AD306" s="404"/>
      <c r="AE306" s="398">
        <f>IF(AD306=0,0,IF(LEN(T306)=11,_xlfn.XLOOKUP(T306,'Dispensed Ink Rates'!C:C,'Dispensed Ink Rates'!CS:CS),VLOOKUP(T306,'Jan-2026 rates'!$E:$F,2,0)))</f>
        <v>0</v>
      </c>
      <c r="AF306" s="404"/>
      <c r="AG306" s="398">
        <f>IF(AF306=0,0,IF(LEN(U306)=11,_xlfn.XLOOKUP(U306,'Dispensed Ink Rates'!C:C,'Dispensed Ink Rates'!CS:CS),VLOOKUP(U306,'Jan-2026 rates'!$E:$F,2,0)))</f>
        <v>0</v>
      </c>
      <c r="AH306" s="404"/>
      <c r="AI306" s="398">
        <f>IF(AH306=0,0,IF(LEN(V306)=11,_xlfn.XLOOKUP(V306,'Dispensed Ink Rates'!C:C,'Dispensed Ink Rates'!CS:CS),VLOOKUP(V306,'Jan-2026 rates'!$E:$F,2,0)))</f>
        <v>0</v>
      </c>
      <c r="AJ306" s="404"/>
      <c r="AK306" s="398">
        <f>IF(AJ306=0,0,IF(LEN(W306)=11,_xlfn.XLOOKUP(W306,'Dispensed Ink Rates'!C:C,'Dispensed Ink Rates'!CS:CS),VLOOKUP(W306,'Jan-2026 rates'!$E:$F,2,0)))</f>
        <v>0</v>
      </c>
      <c r="AL306" s="404"/>
      <c r="AM306" s="398">
        <f>IF(AL306=0,0,IF(LEN(X306)=11,_xlfn.XLOOKUP(X306,'Dispensed Ink Rates'!C:C,'Dispensed Ink Rates'!CS:CS),VLOOKUP(X306,'Jan-2026 rates'!$E:$F,2,0)))</f>
        <v>0</v>
      </c>
      <c r="AN306" s="404"/>
      <c r="AO306" s="398">
        <f>IF(AN306=0,0,IF(LEN(Y306)=11,_xlfn.XLOOKUP(Y306,'Dispensed Ink Rates'!C:C,'Dispensed Ink Rates'!CS:CS),VLOOKUP(Y306,'Jan-2026 rates'!$E:$F,2,0)))</f>
        <v>0</v>
      </c>
      <c r="AP306" s="409" t="s">
        <v>1881</v>
      </c>
      <c r="AQ306" s="409">
        <v>30</v>
      </c>
      <c r="AR306" s="410">
        <f t="shared" si="212"/>
        <v>0</v>
      </c>
      <c r="AS306" s="411">
        <f t="shared" si="213"/>
        <v>7.1666666666666643</v>
      </c>
      <c r="AT306" s="410">
        <f t="shared" si="214"/>
        <v>0</v>
      </c>
      <c r="AU306" s="405" t="s">
        <v>543</v>
      </c>
      <c r="AV306" s="409" t="s">
        <v>4385</v>
      </c>
      <c r="AW306" s="420" t="str">
        <f t="shared" si="236"/>
        <v>ToyoLi - BLACK</v>
      </c>
      <c r="AX306" s="409">
        <f>18+3</f>
        <v>21</v>
      </c>
      <c r="AY306" s="411">
        <f>IF(AX306=0,0,IF($LB306=70%,VLOOKUP($AW306,'Jan-2026 rates'!$L:$R,4,0),IF($LB306=65%,VLOOKUP($AW306,'Jan-2026 rates'!$L:$R,4,0),IF($LB306=40%,VLOOKUP($AW306,'Jan-2026 rates'!$L:$R,5,0),IF($LB306=30%,VLOOKUP($AW306,'Jan-2026 rates'!$L:$R,6,0),IF($LB306=100%,VLOOKUP($AW306,'Jan-2026 rates'!$L:$R,7,0),IF($LB306=60%,VLOOKUP($AW306,'Jan-2026 rates'!$L:$S,8,0),IF($LB306=80%,VLOOKUP($AW306,'Jan-2026 rates'!L:T,9,0),0))))))))</f>
        <v>0</v>
      </c>
      <c r="AZ306" s="412"/>
      <c r="BA306" s="409"/>
      <c r="BB306" s="411">
        <f>IF(BA306=0,0,IF($LB306=70%,VLOOKUP($AW306,'Jan-2026 rates'!$L:$R,4,0),IF($LB306=65%,VLOOKUP($AW306,'Jan-2026 rates'!$L:$R,4,0),IF($LB306=40%,VLOOKUP($AW306,'Jan-2026 rates'!$L:$R,5,0),IF($LB306=30%,VLOOKUP($AW306,'Jan-2026 rates'!$L:$R,6,0),IF($LB306=100%,VLOOKUP($AW306,'Jan-2026 rates'!$L:$R,7,0),IF($LB306=60%,VLOOKUP($AW306,'Jan-2026 rates'!$L:$S,8,0),IF($LB306=80%,VLOOKUP($AW306,'Jan-2026 rates'!L:T,9,0),0))))))))</f>
        <v>0</v>
      </c>
      <c r="BC306" s="413" t="s">
        <v>1248</v>
      </c>
      <c r="BD306" s="412" t="s">
        <v>1246</v>
      </c>
      <c r="BE306" s="412" t="s">
        <v>1252</v>
      </c>
      <c r="BF306" s="413"/>
      <c r="BG306" s="412"/>
      <c r="BH306" s="412"/>
      <c r="BI306" s="412"/>
      <c r="BJ306" s="412"/>
      <c r="BK306" s="409">
        <v>5</v>
      </c>
      <c r="BL306" s="398">
        <f>IF(BK306=0,0,IF(LEN(BC306)=11,_xlfn.XLOOKUP(BC306,'Dispensed Ink Rates'!C:C,'Dispensed Ink Rates'!CS:CS),VLOOKUP(BC306,'Jan-2026 rates'!$E:$F,2,0)))</f>
        <v>0</v>
      </c>
      <c r="BM306" s="409">
        <v>2</v>
      </c>
      <c r="BN306" s="398">
        <f>IF(BM306=0,0,IF(LEN(BD306)=11,_xlfn.XLOOKUP(BD306,'Dispensed Ink Rates'!C:C,'Dispensed Ink Rates'!CS:CS),VLOOKUP(BD306,'Jan-2026 rates'!$E:$F,2,0)))</f>
        <v>0</v>
      </c>
      <c r="BO306" s="409">
        <v>3</v>
      </c>
      <c r="BP306" s="398">
        <f>IF(BO306=0,0,IF(LEN(BE306)=11,_xlfn.XLOOKUP(BE306,'Dispensed Ink Rates'!C:C,'Dispensed Ink Rates'!CS:CS),VLOOKUP(BE306,'Jan-2026 rates'!$E:$F,2,0)))</f>
        <v>0</v>
      </c>
      <c r="BQ306" s="409"/>
      <c r="BR306" s="398">
        <f>IF(BQ306=0,0,IF(LEN(BF306)=11,_xlfn.XLOOKUP(BF306,'Dispensed Ink Rates'!C:C,'Dispensed Ink Rates'!CS:CS),VLOOKUP(BF306,'Jan-2026 rates'!$E:$F,2,0)))</f>
        <v>0</v>
      </c>
      <c r="BS306" s="409"/>
      <c r="BT306" s="398">
        <f>IF(BS306=0,0,IF(LEN(BG306)=11,_xlfn.XLOOKUP(BG306,'Dispensed Ink Rates'!C:C,'Dispensed Ink Rates'!CS:CS),VLOOKUP(BG306,'Jan-2026 rates'!$E:$F,2,0)))</f>
        <v>0</v>
      </c>
      <c r="BU306" s="409"/>
      <c r="BV306" s="398">
        <f>IF(BU306=0,0,IF(LEN(BH306)=11,_xlfn.XLOOKUP(BH306,'Dispensed Ink Rates'!C:C,'Dispensed Ink Rates'!CS:CS),VLOOKUP(BH306,'Jan-2026 rates'!$E:$F,2,0)))</f>
        <v>0</v>
      </c>
      <c r="BW306" s="409"/>
      <c r="BX306" s="398">
        <f>IF(BW306=0,0,IF(LEN(BI306)=11,_xlfn.XLOOKUP(BI306,'Dispensed Ink Rates'!C:C,'Dispensed Ink Rates'!CS:CS),VLOOKUP(BI306,'Jan-2026 rates'!$E:$F,2,0)))</f>
        <v>0</v>
      </c>
      <c r="BY306" s="409"/>
      <c r="BZ306" s="398">
        <f>IF(BY306=0,0,IF(LEN(BJ306)=11,_xlfn.XLOOKUP(BJ306,'Dispensed Ink Rates'!C:C,'Dispensed Ink Rates'!CS:CS),VLOOKUP(BJ306,'Jan-2026 rates'!$E:$F,2,0)))</f>
        <v>0</v>
      </c>
      <c r="CA306" s="409" t="s">
        <v>1881</v>
      </c>
      <c r="CB306" s="409">
        <f>17+8</f>
        <v>25</v>
      </c>
      <c r="CC306" s="411">
        <f t="shared" si="215"/>
        <v>0</v>
      </c>
      <c r="CD306" s="411">
        <f t="shared" si="216"/>
        <v>16.333333333333329</v>
      </c>
      <c r="CE306" s="410">
        <f t="shared" si="217"/>
        <v>0</v>
      </c>
      <c r="CF306" s="404" t="s">
        <v>855</v>
      </c>
      <c r="CG306" s="409" t="s">
        <v>4457</v>
      </c>
      <c r="CH306" s="420" t="str">
        <f t="shared" si="185"/>
        <v>ToyoLi - CYAN</v>
      </c>
      <c r="CI306" s="409">
        <v>27</v>
      </c>
      <c r="CJ306" s="411">
        <f>IF(CI306=0,0,IF($LB306=70%,VLOOKUP($CH306,'Jan-2026 rates'!$L:$R,4,0),IF($LB306=65%,VLOOKUP($CH306,'Jan-2026 rates'!$L:$R,4,0),IF($LB306=40%,VLOOKUP($CH306,'Jan-2026 rates'!$L:$R,5,0),IF($LB306=30%,VLOOKUP($CH306,'Jan-2026 rates'!$L:$R,6,0),IF($LB306=100%,VLOOKUP($CH306,'Jan-2026 rates'!$L:$R,7,0),IF($LB306=60%,VLOOKUP($CH306,'Jan-2026 rates'!$L:$S,8,0),IF($LB306=80%,VLOOKUP($CH306,'Jan-2026 rates'!L:T,9,0),0))))))))</f>
        <v>0</v>
      </c>
      <c r="CK306" s="412"/>
      <c r="CL306" s="409"/>
      <c r="CM306" s="411">
        <f>IF(CL306=0,0,IF($LB306=70%,VLOOKUP($CH306,'Jan-2026 rates'!$L:$R,4,0),IF($LB306=65%,VLOOKUP($CH306,'Jan-2026 rates'!$L:$R,4,0),IF($LB306=40%,VLOOKUP($CH306,'Jan-2026 rates'!$L:$R,5,0),IF($LB306=30%,VLOOKUP($CH306,'Jan-2026 rates'!$L:$R,6,0),IF($LB306=100%,VLOOKUP($CH306,'Jan-2026 rates'!$L:$R,7,0),IF($LB306=60%,VLOOKUP($CH306,'Jan-2026 rates'!$L:$S,8,0),IF($LB306=80%,VLOOKUP($CH306,'Jan-2026 rates'!L:T,9,0),0))))))))</f>
        <v>0</v>
      </c>
      <c r="CN306" s="426" t="s">
        <v>1250</v>
      </c>
      <c r="CO306" s="427"/>
      <c r="CP306" s="426"/>
      <c r="CQ306" s="426"/>
      <c r="CR306" s="428"/>
      <c r="CS306" s="428"/>
      <c r="CT306" s="428"/>
      <c r="CU306" s="428"/>
      <c r="CV306" s="409">
        <v>3</v>
      </c>
      <c r="CW306" s="398">
        <f>IF(CV306=0,0,IF(LEN(CN306)=11,_xlfn.XLOOKUP(CN306,'Dispensed Ink Rates'!C:C,'Dispensed Ink Rates'!CS:CS),VLOOKUP(CN306,'Jan-2026 rates'!$E:$F,2,0)))</f>
        <v>0</v>
      </c>
      <c r="CX306" s="409"/>
      <c r="CY306" s="398">
        <f>IF(CX306=0,0,IF(LEN(CO306)=11,_xlfn.XLOOKUP(CO306,'Dispensed Ink Rates'!C:C,'Dispensed Ink Rates'!CS:CS),VLOOKUP(CO306,'Jan-2026 rates'!$E:$F,2,0)))</f>
        <v>0</v>
      </c>
      <c r="CZ306" s="409"/>
      <c r="DA306" s="398">
        <f>IF(CZ306=0,0,IF(LEN(CP306)=11,_xlfn.XLOOKUP(CP306,'Dispensed Ink Rates'!C:C,'Dispensed Ink Rates'!CS:CS),VLOOKUP(CP306,'Jan-2026 rates'!$E:$F,2,0)))</f>
        <v>0</v>
      </c>
      <c r="DB306" s="409"/>
      <c r="DC306" s="398">
        <f>IF(DB306=0,0,IF(LEN(CQ306)=11,_xlfn.XLOOKUP(CQ306,'Dispensed Ink Rates'!C:C,'Dispensed Ink Rates'!CS:CS),VLOOKUP(CQ306,'Jan-2026 rates'!$E:$F,2,0)))</f>
        <v>0</v>
      </c>
      <c r="DD306" s="409"/>
      <c r="DE306" s="398">
        <f>IF(DD306=0,0,IF(LEN(CR306)=11,_xlfn.XLOOKUP(CR306,'Dispensed Ink Rates'!C:C,'Dispensed Ink Rates'!CS:CS),VLOOKUP(CR306,'Jan-2026 rates'!$E:$F,2,0)))</f>
        <v>0</v>
      </c>
      <c r="DF306" s="409"/>
      <c r="DG306" s="398">
        <f>IF(DF306=0,0,IF(LEN(CS306)=11,_xlfn.XLOOKUP(CS306,'Dispensed Ink Rates'!C:C,'Dispensed Ink Rates'!CS:CS),VLOOKUP(CS306,'Jan-2026 rates'!$E:$F,2,0)))</f>
        <v>0</v>
      </c>
      <c r="DH306" s="409"/>
      <c r="DI306" s="398">
        <f>IF(DH306=0,0,IF(LEN(CT306)=11,_xlfn.XLOOKUP(CT306,'Dispensed Ink Rates'!C:C,'Dispensed Ink Rates'!CS:CS),VLOOKUP(CT306,'Jan-2026 rates'!$E:$F,2,0)))</f>
        <v>0</v>
      </c>
      <c r="DJ306" s="409"/>
      <c r="DK306" s="398">
        <f>IF(DJ306=0,0,IF(LEN(CU306)=11,_xlfn.XLOOKUP(CU306,'Dispensed Ink Rates'!C:C,'Dispensed Ink Rates'!CS:CS),VLOOKUP(CU306,'Jan-2026 rates'!$E:$F,2,0)))</f>
        <v>0</v>
      </c>
      <c r="DL306" s="409" t="s">
        <v>1881</v>
      </c>
      <c r="DM306" s="409">
        <v>28</v>
      </c>
      <c r="DN306" s="411">
        <f t="shared" si="218"/>
        <v>0</v>
      </c>
      <c r="DO306" s="411">
        <f t="shared" si="219"/>
        <v>7.1666666666666643</v>
      </c>
      <c r="DP306" s="410">
        <f t="shared" si="220"/>
        <v>0</v>
      </c>
      <c r="DQ306" s="405" t="s">
        <v>544</v>
      </c>
      <c r="DR306" s="409" t="s">
        <v>4458</v>
      </c>
      <c r="DS306" s="420" t="str">
        <f t="shared" si="186"/>
        <v>ToyoLi - MAGENTA</v>
      </c>
      <c r="DT306" s="409">
        <v>28</v>
      </c>
      <c r="DU306" s="411">
        <f>IF(DT306=0,0,IF($LB306=70%,VLOOKUP($DS306,'Jan-2026 rates'!$L:$R,4,0),IF($LB306=65%,VLOOKUP($DS306,'Jan-2026 rates'!$L:$R,4,0),IF($LB306=40%,VLOOKUP($DS306,'Jan-2026 rates'!$L:$R,5,0),IF($LB306=30%,VLOOKUP($DS306,'Jan-2026 rates'!$L:$R,6,0),IF($LB306=100%,VLOOKUP($DS306,'Jan-2026 rates'!$L:$R,7,0),IF($LB306=60%,VLOOKUP($DS306,'Jan-2026 rates'!$L:$S,8,0),IF($LB306=80%,VLOOKUP($DS306,'Jan-2026 rates'!L:T,9,0),0))))))))</f>
        <v>0</v>
      </c>
      <c r="DV306" s="412"/>
      <c r="DW306" s="409"/>
      <c r="DX306" s="411">
        <f>IF(DW306=0,0,IF($LB306=70%,VLOOKUP($DS306,'Jan-2026 rates'!$L:$R,4,0),IF($LB306=65%,VLOOKUP($DS306,'Jan-2026 rates'!$L:$R,4,0),IF($LB306=40%,VLOOKUP($DS306,'Jan-2026 rates'!$L:$R,5,0),IF($LB306=30%,VLOOKUP($DS306,'Jan-2026 rates'!$L:$R,6,0),IF($LB306=100%,VLOOKUP($DS306,'Jan-2026 rates'!$L:$R,7,0),IF($LB306=60%,VLOOKUP($DS306,'Jan-2026 rates'!$L:$S,8,0),IF($LB306=80%,VLOOKUP($DS306,'Jan-2026 rates'!L:T,9,0),0))))))))</f>
        <v>0</v>
      </c>
      <c r="DY306" s="413" t="s">
        <v>1246</v>
      </c>
      <c r="DZ306" s="413"/>
      <c r="EA306" s="412"/>
      <c r="EB306" s="412"/>
      <c r="EC306" s="412"/>
      <c r="ED306" s="412"/>
      <c r="EE306" s="412"/>
      <c r="EF306" s="412"/>
      <c r="EG306" s="409">
        <v>3</v>
      </c>
      <c r="EH306" s="398">
        <f>IF(EG306=0,0,IF(LEN(DY306)=11,_xlfn.XLOOKUP(DY306,'Dispensed Ink Rates'!C:C,'Dispensed Ink Rates'!CS:CS),VLOOKUP(DY306,'Jan-2026 rates'!$E:$F,2,0)))</f>
        <v>0</v>
      </c>
      <c r="EI306" s="409"/>
      <c r="EJ306" s="398">
        <f>IF(EI306=0,0,IF(LEN(DZ306)=11,_xlfn.XLOOKUP(DZ306,'Dispensed Ink Rates'!C:C,'Dispensed Ink Rates'!CS:CS),VLOOKUP(DZ306,'Jan-2026 rates'!$E:$F,2,0)))</f>
        <v>0</v>
      </c>
      <c r="EK306" s="409"/>
      <c r="EL306" s="398">
        <f>IF(EK306=0,0,IF(LEN(EA306)=11,_xlfn.XLOOKUP(EA306,'Dispensed Ink Rates'!C:C,'Dispensed Ink Rates'!CS:CS),VLOOKUP(EA306,'Jan-2026 rates'!$E:$F,2,0)))</f>
        <v>0</v>
      </c>
      <c r="EM306" s="409"/>
      <c r="EN306" s="398">
        <f>IF(EM306=0,0,IF(LEN(EB306)=11,_xlfn.XLOOKUP(EB306,'Dispensed Ink Rates'!C:C,'Dispensed Ink Rates'!CS:CS),VLOOKUP(EB306,'Jan-2026 rates'!$E:$F,2,0)))</f>
        <v>0</v>
      </c>
      <c r="EO306" s="409"/>
      <c r="EP306" s="398">
        <f>IF(EO306=0,0,IF(LEN(EC306)=11,_xlfn.XLOOKUP(EC306,'Dispensed Ink Rates'!C:C,'Dispensed Ink Rates'!CS:CS),VLOOKUP(EC306,'Jan-2026 rates'!$E:$F,2,0)))</f>
        <v>0</v>
      </c>
      <c r="EQ306" s="409"/>
      <c r="ER306" s="398">
        <f>IF(EQ306=0,0,IF(LEN(ED306)=11,_xlfn.XLOOKUP(ED306,'Dispensed Ink Rates'!C:C,'Dispensed Ink Rates'!CS:CS),VLOOKUP(ED306,'Jan-2026 rates'!$E:$F,2,0)))</f>
        <v>0</v>
      </c>
      <c r="ES306" s="409"/>
      <c r="ET306" s="398">
        <f>IF(ES306=0,0,IF(LEN(EE306)=11,_xlfn.XLOOKUP(EE306,'Dispensed Ink Rates'!C:C,'Dispensed Ink Rates'!CS:CS),VLOOKUP(EE306,'Jan-2026 rates'!$E:$F,2,0)))</f>
        <v>0</v>
      </c>
      <c r="EU306" s="409"/>
      <c r="EV306" s="398">
        <f>IF(EU306=0,0,IF(LEN(EF306)=11,_xlfn.XLOOKUP(EF306,'Dispensed Ink Rates'!C:C,'Dispensed Ink Rates'!CS:CS),VLOOKUP(EF306,'Jan-2026 rates'!$E:$F,2,0)))</f>
        <v>0</v>
      </c>
      <c r="EW306" s="409" t="s">
        <v>1881</v>
      </c>
      <c r="EX306" s="409">
        <v>28</v>
      </c>
      <c r="EY306" s="411">
        <f t="shared" si="221"/>
        <v>0</v>
      </c>
      <c r="EZ306" s="411">
        <f t="shared" si="222"/>
        <v>8.1666666666666643</v>
      </c>
      <c r="FA306" s="410">
        <f t="shared" si="223"/>
        <v>0</v>
      </c>
      <c r="FB306" s="405" t="s">
        <v>545</v>
      </c>
      <c r="FC306" s="409" t="s">
        <v>4459</v>
      </c>
      <c r="FD306" s="420" t="str">
        <f t="shared" si="187"/>
        <v>ToyoLi - YELLOW</v>
      </c>
      <c r="FE306" s="409">
        <v>28</v>
      </c>
      <c r="FF306" s="411">
        <f>IF(FE306=0,0,IF($LB306=70%,VLOOKUP($FD306,'Jan-2026 rates'!$L:$R,4,0),IF($LB306=65%,VLOOKUP($FD306,'Jan-2026 rates'!$L:$R,4,0),IF($LB306=40%,VLOOKUP($FD306,'Jan-2026 rates'!$L:$R,5,0),IF($LB306=30%,VLOOKUP($FD306,'Jan-2026 rates'!$L:$R,6,0),IF($LB306=100%,VLOOKUP($FD306,'Jan-2026 rates'!$L:$R,7,0),IF($LB306=60%,VLOOKUP($FD306,'Jan-2026 rates'!$L:$S,8,0),IF($LB306=80%,VLOOKUP($FD306,'Jan-2026 rates'!L:T,9,0),0))))))))</f>
        <v>0</v>
      </c>
      <c r="FG306" s="412"/>
      <c r="FH306" s="409"/>
      <c r="FI306" s="411">
        <f>IF(FH306=0,0,IF($LB306=70%,VLOOKUP($FD306,'Jan-2026 rates'!$L:$R,4,0),IF($LB306=65%,VLOOKUP($FD306,'Jan-2026 rates'!$L:$R,4,0),IF($LB306=40%,VLOOKUP($FD306,'Jan-2026 rates'!$L:$R,5,0),IF($LB306=30%,VLOOKUP($FD306,'Jan-2026 rates'!$L:$R,6,0),IF($LB306=100%,VLOOKUP($FD306,'Jan-2026 rates'!$L:$R,7,0),IF($LB306=60%,VLOOKUP($FD306,'Jan-2026 rates'!$L:$S,8,0),IF($LB306=80%,VLOOKUP($FD306,'Jan-2026 rates'!L:T,9,0),0))))))))</f>
        <v>0</v>
      </c>
      <c r="FJ306" s="413" t="s">
        <v>1247</v>
      </c>
      <c r="FK306" s="413"/>
      <c r="FL306" s="413"/>
      <c r="FM306" s="412"/>
      <c r="FN306" s="412"/>
      <c r="FO306" s="412"/>
      <c r="FP306" s="412"/>
      <c r="FQ306" s="412"/>
      <c r="FR306" s="409">
        <v>5</v>
      </c>
      <c r="FS306" s="398">
        <f>IF(FR306=0,0,IF(LEN(FJ306)=11,_xlfn.XLOOKUP(FJ306,'Dispensed Ink Rates'!C:C,'Dispensed Ink Rates'!CS:CS),VLOOKUP(FJ306,'Jan-2026 rates'!$E:$F,2,0)))</f>
        <v>0</v>
      </c>
      <c r="FT306" s="409"/>
      <c r="FU306" s="398">
        <f>IF(FT306=0,0,IF(LEN(FK306)=11,_xlfn.XLOOKUP(FK306,'Dispensed Ink Rates'!C:C,'Dispensed Ink Rates'!CS:CS),VLOOKUP(FK306,'Jan-2026 rates'!$E:$F,2,0)))</f>
        <v>0</v>
      </c>
      <c r="FV306" s="409"/>
      <c r="FW306" s="398">
        <f>IF(FV306=0,0,IF(LEN(FL306)=11,_xlfn.XLOOKUP(FL306,'Dispensed Ink Rates'!C:C,'Dispensed Ink Rates'!CS:CS),VLOOKUP(FL306,'Jan-2026 rates'!$E:$F,2,0)))</f>
        <v>0</v>
      </c>
      <c r="FX306" s="409"/>
      <c r="FY306" s="398">
        <f>IF(FX306=0,0,IF(LEN(FM306)=11,_xlfn.XLOOKUP(FM306,'Dispensed Ink Rates'!C:C,'Dispensed Ink Rates'!CS:CS),VLOOKUP(FM306,'Jan-2026 rates'!$E:$F,2,0)))</f>
        <v>0</v>
      </c>
      <c r="FZ306" s="409"/>
      <c r="GA306" s="398">
        <f>IF(FZ306=0,0,IF(LEN(FN306)=11,_xlfn.XLOOKUP(FN306,'Dispensed Ink Rates'!C:C,'Dispensed Ink Rates'!CS:CS),VLOOKUP(FN306,'Jan-2026 rates'!$E:$F,2,0)))</f>
        <v>0</v>
      </c>
      <c r="GB306" s="409"/>
      <c r="GC306" s="398">
        <f>IF(GB306=0,0,IF(LEN(FO306)=11,_xlfn.XLOOKUP(FO306,'Dispensed Ink Rates'!C:C,'Dispensed Ink Rates'!CS:CS),VLOOKUP(FO306,'Jan-2026 rates'!$E:$F,2,0)))</f>
        <v>0</v>
      </c>
      <c r="GD306" s="409"/>
      <c r="GE306" s="398">
        <f>IF(GD306=0,0,IF(LEN(FP306)=11,_xlfn.XLOOKUP(FP306,'Dispensed Ink Rates'!C:C,'Dispensed Ink Rates'!CS:CS),VLOOKUP(FP306,'Jan-2026 rates'!$E:$F,2,0)))</f>
        <v>0</v>
      </c>
      <c r="GF306" s="409"/>
      <c r="GG306" s="398">
        <f>IF(GF306=0,0,IF(LEN(FQ306)=11,_xlfn.XLOOKUP(FQ306,'Dispensed Ink Rates'!C:C,'Dispensed Ink Rates'!CS:CS),VLOOKUP(FQ306,'Jan-2026 rates'!$E:$F,2,0)))</f>
        <v>0</v>
      </c>
      <c r="GH306" s="409" t="s">
        <v>1881</v>
      </c>
      <c r="GI306" s="409">
        <v>30</v>
      </c>
      <c r="GJ306" s="411">
        <f t="shared" si="224"/>
        <v>0</v>
      </c>
      <c r="GK306" s="411">
        <f t="shared" si="225"/>
        <v>8.1666666666666643</v>
      </c>
      <c r="GL306" s="410">
        <f t="shared" si="226"/>
        <v>0</v>
      </c>
      <c r="GM306" s="405"/>
      <c r="GN306" s="409"/>
      <c r="GO306" s="420" t="str">
        <f t="shared" si="188"/>
        <v xml:space="preserve"> - </v>
      </c>
      <c r="GP306" s="409"/>
      <c r="GQ306" s="411">
        <f>IF(GP306=0,0,IF($LB306=70%,VLOOKUP($GO306,'Jan-2026 rates'!$L:$R,4,0),IF($LB306=65%,VLOOKUP($GO306,'Jan-2026 rates'!$L:$R,4,0),IF($LB306=40%,VLOOKUP($GO306,'Jan-2026 rates'!$L:$R,5,0),IF($LB306=30%,VLOOKUP($GO306,'Jan-2026 rates'!$L:$R,6,0),IF($LB306=100%,VLOOKUP($GO306,'Jan-2026 rates'!$L:$R,7,0),IF($LB306=60%,VLOOKUP($GO306,'Jan-2026 rates'!$L:$S,8,0),IF($LB306=80%,VLOOKUP($GO306,'Jan-2026 rates'!L:T,9,0),0))))))))</f>
        <v>0</v>
      </c>
      <c r="GR306" s="412"/>
      <c r="GS306" s="409"/>
      <c r="GT306" s="411">
        <f>IF(GS306=0,0,IF($LB306=70%,VLOOKUP($GO306,'Jan-2026 rates'!$L:$R,4,0),IF($LB306=65%,VLOOKUP($GO306,'Jan-2026 rates'!$L:$R,4,0),IF($LB306=40%,VLOOKUP($GO306,'Jan-2026 rates'!$L:$R,5,0),IF($LB306=30%,VLOOKUP($GO306,'Jan-2026 rates'!$L:$R,6,0),IF($LB306=100%,VLOOKUP($GO306,'Jan-2026 rates'!$L:$R,7,0),IF($LB306=60%,VLOOKUP($GO306,'Jan-2026 rates'!$L:$S,8,0),IF($LB306=80%,VLOOKUP($GO306,'Jan-2026 rates'!L:T,9,0),0))))))))</f>
        <v>0</v>
      </c>
      <c r="GU306" s="413"/>
      <c r="GV306" s="413"/>
      <c r="GW306" s="412"/>
      <c r="GX306" s="412"/>
      <c r="GY306" s="412"/>
      <c r="GZ306" s="412"/>
      <c r="HA306" s="412"/>
      <c r="HB306" s="412"/>
      <c r="HC306" s="409"/>
      <c r="HD306" s="398">
        <f>IF(HC306=0,0,IF(LEN(GU306)=11,_xlfn.XLOOKUP(GU306,'Dispensed Ink Rates'!C:C,'Dispensed Ink Rates'!CS:CS),VLOOKUP(GU306,'Jan-2026 rates'!$E:$F,2,0)))</f>
        <v>0</v>
      </c>
      <c r="HE306" s="409"/>
      <c r="HF306" s="398">
        <f>IF(HE306=0,0,IF(LEN(GV306)=11,_xlfn.XLOOKUP(GV306,'Dispensed Ink Rates'!C:C,'Dispensed Ink Rates'!CS:CS),VLOOKUP(GV306,'Jan-2026 rates'!$E:$F,2,0)))</f>
        <v>0</v>
      </c>
      <c r="HG306" s="409"/>
      <c r="HH306" s="398">
        <f>IF(HG306=0,0,IF(LEN(GW306)=11,_xlfn.XLOOKUP(GW306,'Dispensed Ink Rates'!C:C,'Dispensed Ink Rates'!CS:CS),VLOOKUP(GW306,'Jan-2026 rates'!$E:$F,2,0)))</f>
        <v>0</v>
      </c>
      <c r="HI306" s="409"/>
      <c r="HJ306" s="398">
        <f>IF(HI306=0,0,IF(LEN(GX306)=11,_xlfn.XLOOKUP(GX306,'Dispensed Ink Rates'!C:C,'Dispensed Ink Rates'!CS:CS),VLOOKUP(GX306,'Jan-2026 rates'!$E:$F,2,0)))</f>
        <v>0</v>
      </c>
      <c r="HK306" s="409"/>
      <c r="HL306" s="398">
        <f>IF(HK306=0,0,IF(LEN(GY306)=11,_xlfn.XLOOKUP(GY306,'Dispensed Ink Rates'!C:C,'Dispensed Ink Rates'!CS:CS),VLOOKUP(GY306,'Jan-2026 rates'!$E:$F,2,0)))</f>
        <v>0</v>
      </c>
      <c r="HM306" s="409"/>
      <c r="HN306" s="398">
        <f>IF(HM306=0,0,IF(LEN(GZ306)=11,_xlfn.XLOOKUP(GZ306,'Dispensed Ink Rates'!C:C,'Dispensed Ink Rates'!CS:CS),VLOOKUP(GZ306,'Jan-2026 rates'!$E:$F,2,0)))</f>
        <v>0</v>
      </c>
      <c r="HO306" s="409"/>
      <c r="HP306" s="398">
        <f>IF(HO306=0,0,IF(LEN(HA306)=11,_xlfn.XLOOKUP(HA306,'Dispensed Ink Rates'!C:C,'Dispensed Ink Rates'!CS:CS),VLOOKUP(HA306,'Jan-2026 rates'!$E:$F,2,0)))</f>
        <v>0</v>
      </c>
      <c r="HQ306" s="409"/>
      <c r="HR306" s="398">
        <f>IF(HQ306=0,0,IF(LEN(HB306)=11,_xlfn.XLOOKUP(HB306,'Dispensed Ink Rates'!C:C,'Dispensed Ink Rates'!CS:CS),VLOOKUP(HB306,'Jan-2026 rates'!$E:$F,2,0)))</f>
        <v>0</v>
      </c>
      <c r="HS306" s="409"/>
      <c r="HT306" s="409"/>
      <c r="HU306" s="411">
        <f t="shared" si="227"/>
        <v>0</v>
      </c>
      <c r="HV306" s="411">
        <f t="shared" si="228"/>
        <v>0</v>
      </c>
      <c r="HW306" s="414">
        <f t="shared" si="229"/>
        <v>0</v>
      </c>
      <c r="HX306" s="405"/>
      <c r="HY306" s="409"/>
      <c r="HZ306" s="420" t="str">
        <f t="shared" si="189"/>
        <v xml:space="preserve"> - </v>
      </c>
      <c r="IA306" s="409"/>
      <c r="IB306" s="411">
        <f>IF(IA306=0,0,IF($LB306=70%,VLOOKUP($HZ306,'Jan-2026 rates'!$L:$R,4,0),IF($LB306=65%,VLOOKUP($HZ306,'Jan-2026 rates'!$L:$R,4,0),IF($LB306=40%,VLOOKUP($HZ306,'Jan-2026 rates'!$L:$R,5,0),IF($LB306=30%,VLOOKUP($HZ306,'Jan-2026 rates'!$L:$R,6,0),IF($LB306=100%,VLOOKUP($HZ306,'Jan-2026 rates'!$L:$R,7,0),IF($LB306=60%,VLOOKUP($HZ306,'Jan-2026 rates'!$L:$S,8,0),IF($LB306=80%,VLOOKUP($HZ306,'Jan-2026 rates'!L:T,9,0),0))))))))</f>
        <v>0</v>
      </c>
      <c r="IC306" s="412"/>
      <c r="ID306" s="409"/>
      <c r="IE306" s="411">
        <f>IF(ID306=0,0,IF($LB306=70%,VLOOKUP($HZ306,'Jan-2026 rates'!$L:$R,4,0),IF($LB306=65%,VLOOKUP($HZ306,'Jan-2026 rates'!$L:$R,4,0),IF($LB306=40%,VLOOKUP($HZ306,'Jan-2026 rates'!$L:$R,5,0),IF($LB306=30%,VLOOKUP($HZ306,'Jan-2026 rates'!$L:$R,6,0),IF($LB306=100%,VLOOKUP($HZ306,'Jan-2026 rates'!$L:$R,7,0),IF($LB306=60%,VLOOKUP($HZ306,'Jan-2026 rates'!$L:$S,8,0),IF($LB306=80%,VLOOKUP($HZ306,'Jan-2026 rates'!L:T,9,0),0))))))))</f>
        <v>0</v>
      </c>
      <c r="IF306" s="412"/>
      <c r="IG306" s="413"/>
      <c r="IH306" s="412"/>
      <c r="II306" s="412"/>
      <c r="IJ306" s="412"/>
      <c r="IK306" s="412"/>
      <c r="IL306" s="412"/>
      <c r="IM306" s="412"/>
      <c r="IN306" s="409"/>
      <c r="IO306" s="398">
        <f>IF(IN306=0,0,IF(LEN(IF306)=11,_xlfn.XLOOKUP(IF306,'Dispensed Ink Rates'!C:C,'Dispensed Ink Rates'!CS:CS),VLOOKUP(IF306,'Jan-2026 rates'!$E:$F,2,0)))</f>
        <v>0</v>
      </c>
      <c r="IP306" s="409"/>
      <c r="IQ306" s="398">
        <f>IF(IP306=0,0,IF(LEN(IG306)=11,_xlfn.XLOOKUP(IG306,'Dispensed Ink Rates'!C:C,'Dispensed Ink Rates'!CS:CS),VLOOKUP(IG306,'Jan-2026 rates'!$E:$F,2,0)))</f>
        <v>0</v>
      </c>
      <c r="IR306" s="409"/>
      <c r="IS306" s="398">
        <f>IF(IR306=0,0,IF(LEN(IH306)=11,_xlfn.XLOOKUP(IH306,'Dispensed Ink Rates'!C:C,'Dispensed Ink Rates'!CS:CS),VLOOKUP(IH306,'Jan-2026 rates'!$E:$F,2,0)))</f>
        <v>0</v>
      </c>
      <c r="IT306" s="409"/>
      <c r="IU306" s="398">
        <f>IF(IT306=0,0,IF(LEN(II306)=11,_xlfn.XLOOKUP(II306,'Dispensed Ink Rates'!C:C,'Dispensed Ink Rates'!CS:CS),VLOOKUP(II306,'Jan-2026 rates'!$E:$F,2,0)))</f>
        <v>0</v>
      </c>
      <c r="IV306" s="409"/>
      <c r="IW306" s="398">
        <f>IF(IV306=0,0,IF(LEN(IJ306)=11,_xlfn.XLOOKUP(IJ306,'Dispensed Ink Rates'!C:C,'Dispensed Ink Rates'!CS:CS),VLOOKUP(IJ306,'Jan-2026 rates'!$E:$F,2,0)))</f>
        <v>0</v>
      </c>
      <c r="IX306" s="409"/>
      <c r="IY306" s="398">
        <f>IF(IX306=0,0,IF(LEN(IK306)=11,_xlfn.XLOOKUP(IK306,'Dispensed Ink Rates'!C:C,'Dispensed Ink Rates'!CS:CS),VLOOKUP(IK306,'Jan-2026 rates'!$E:$F,2,0)))</f>
        <v>0</v>
      </c>
      <c r="IZ306" s="409"/>
      <c r="JA306" s="398">
        <f>IF(IZ306=0,0,IF(LEN(IL306)=11,_xlfn.XLOOKUP(IL306,'Dispensed Ink Rates'!C:C,'Dispensed Ink Rates'!CS:CS),VLOOKUP(IL306,'Jan-2026 rates'!$E:$F,2,0)))</f>
        <v>0</v>
      </c>
      <c r="JB306" s="409"/>
      <c r="JC306" s="398">
        <f>IF(JB306=0,0,IF(LEN(IM306)=11,_xlfn.XLOOKUP(IM306,'Dispensed Ink Rates'!C:C,'Dispensed Ink Rates'!CS:CS),VLOOKUP(IM306,'Jan-2026 rates'!$E:$F,2,0)))</f>
        <v>0</v>
      </c>
      <c r="JD306" s="409"/>
      <c r="JE306" s="409"/>
      <c r="JF306" s="411">
        <f t="shared" si="230"/>
        <v>0</v>
      </c>
      <c r="JG306" s="411">
        <f t="shared" si="231"/>
        <v>0</v>
      </c>
      <c r="JH306" s="410">
        <f t="shared" si="232"/>
        <v>0</v>
      </c>
      <c r="JI306" s="405"/>
      <c r="JJ306" s="409"/>
      <c r="JK306" s="420" t="str">
        <f t="shared" si="190"/>
        <v xml:space="preserve"> - </v>
      </c>
      <c r="JL306" s="409"/>
      <c r="JM306" s="411">
        <f>IF(JL306=0,0,IF($LB306=70%,VLOOKUP($JK306,'Jan-2026 rates'!$L:$R,4,0),IF($LB306=65%,VLOOKUP($JK306,'Jan-2026 rates'!$L:$R,4,0),IF($LB306=40%,VLOOKUP($JK306,'Jan-2026 rates'!$L:$R,5,0),IF($LB306=30%,VLOOKUP($JK306,'Jan-2026 rates'!$L:$R,6,0),IF($LB306=100%,VLOOKUP($JK306,'Jan-2026 rates'!$L:$R,7,0),IF($LB306=60%,VLOOKUP($JK306,'Jan-2026 rates'!$L:$S,8,0),IF($LB306=80%,VLOOKUP($JK306,'Jan-2026 rates'!L:T,9,0),0))))))))</f>
        <v>0</v>
      </c>
      <c r="JN306" s="412"/>
      <c r="JO306" s="409"/>
      <c r="JP306" s="411">
        <f>IF(JO306=0,0,IF($LB306=70%,VLOOKUP($JK306,'Jan-2026 rates'!$L:$R,4,0),IF($LB306=65%,VLOOKUP($JK306,'Jan-2026 rates'!$L:$R,4,0),IF($LB306=40%,VLOOKUP($JK306,'Jan-2026 rates'!$L:$R,5,0),IF($LB306=30%,VLOOKUP($JK306,'Jan-2026 rates'!$L:$R,6,0),IF($LB306=100%,VLOOKUP($JK306,'Jan-2026 rates'!$L:$R,7,0),IF($LB306=60%,VLOOKUP($JK306,'Jan-2026 rates'!$L:$S,8,0),IF($LB306=80%,VLOOKUP($JK306,'Jan-2026 rates'!L:T,9,0),0))))))))</f>
        <v>0</v>
      </c>
      <c r="JQ306" s="413"/>
      <c r="JR306" s="412"/>
      <c r="JS306" s="413"/>
      <c r="JT306" s="413"/>
      <c r="JU306" s="412"/>
      <c r="JV306" s="412"/>
      <c r="JW306" s="412"/>
      <c r="JX306" s="412"/>
      <c r="JY306" s="409"/>
      <c r="JZ306" s="398">
        <f>IF(JY306=0,0,IF(LEN(JQ306)=11,_xlfn.XLOOKUP(JQ306,'Dispensed Ink Rates'!C:C,'Dispensed Ink Rates'!CS:CS),VLOOKUP(JQ306,'Jan-2026 rates'!$E:$F,2,0)))</f>
        <v>0</v>
      </c>
      <c r="KA306" s="409"/>
      <c r="KB306" s="398">
        <f>IF(KA306=0,0,IF(LEN(JR306)=11,_xlfn.XLOOKUP(JR306,'Dispensed Ink Rates'!C:C,'Dispensed Ink Rates'!CS:CS),VLOOKUP(JR306,'Jan-2026 rates'!$E:$F,2,0)))</f>
        <v>0</v>
      </c>
      <c r="KC306" s="409"/>
      <c r="KD306" s="398">
        <f>IF(KC306=0,0,IF(LEN(JS306)=11,_xlfn.XLOOKUP(JS306,'Dispensed Ink Rates'!C:C,'Dispensed Ink Rates'!CS:CS),VLOOKUP(JS306,'Jan-2026 rates'!$E:$F,2,0)))</f>
        <v>0</v>
      </c>
      <c r="KE306" s="409"/>
      <c r="KF306" s="398">
        <f>IF(KE306=0,0,IF(LEN(JT306)=11,_xlfn.XLOOKUP(JT306,'Dispensed Ink Rates'!C:C,'Dispensed Ink Rates'!CS:CS),VLOOKUP(JT306,'Jan-2026 rates'!$E:$F,2,0)))</f>
        <v>0</v>
      </c>
      <c r="KG306" s="409"/>
      <c r="KH306" s="398">
        <f>IF(KG306=0,0,IF(LEN(JU306)=11,_xlfn.XLOOKUP(JU306,'Dispensed Ink Rates'!C:C,'Dispensed Ink Rates'!CS:CS),VLOOKUP(JU306,'Jan-2026 rates'!$E:$F,2,0)))</f>
        <v>0</v>
      </c>
      <c r="KI306" s="409"/>
      <c r="KJ306" s="398">
        <f>IF(KI306=0,0,IF(LEN(JV306)=11,_xlfn.XLOOKUP(JV306,'Dispensed Ink Rates'!C:C,'Dispensed Ink Rates'!CS:CS),VLOOKUP(JV306,'Jan-2026 rates'!$E:$F,2,0)))</f>
        <v>0</v>
      </c>
      <c r="KK306" s="409"/>
      <c r="KL306" s="398">
        <f>IF(KK306=0,0,IF(LEN(JW306)=11,_xlfn.XLOOKUP(JW306,'Dispensed Ink Rates'!C:C,'Dispensed Ink Rates'!CS:CS),VLOOKUP(JW306,'Jan-2026 rates'!$E:$F,2,0)))</f>
        <v>0</v>
      </c>
      <c r="KM306" s="428"/>
      <c r="KN306" s="398">
        <f>IF(KM306=0,0,IF(LEN(JX306)=11,_xlfn.XLOOKUP(JX306,'Dispensed Ink Rates'!C:C,'Dispensed Ink Rates'!CS:CS),VLOOKUP(JX306,'Jan-2026 rates'!$E:$F,2,0)))</f>
        <v>0</v>
      </c>
      <c r="KO306" s="409"/>
      <c r="KP306" s="409"/>
      <c r="KQ306" s="411">
        <f t="shared" si="233"/>
        <v>0</v>
      </c>
      <c r="KR306" s="411">
        <f t="shared" si="234"/>
        <v>0</v>
      </c>
      <c r="KS306" s="410">
        <f t="shared" si="235"/>
        <v>0</v>
      </c>
      <c r="KT306" s="409">
        <v>2</v>
      </c>
      <c r="KU306" s="409">
        <v>4</v>
      </c>
      <c r="KV306" s="409">
        <v>2</v>
      </c>
      <c r="KW306" s="409">
        <v>2</v>
      </c>
      <c r="KX306" s="409">
        <v>2</v>
      </c>
      <c r="KY306" s="409">
        <v>0</v>
      </c>
      <c r="KZ306" s="409">
        <v>0</v>
      </c>
      <c r="LA306" s="409">
        <v>0</v>
      </c>
      <c r="LB306" s="415">
        <v>0.3</v>
      </c>
      <c r="LC306" s="415"/>
      <c r="LD306" s="424"/>
      <c r="LE306" s="415">
        <v>0.5</v>
      </c>
      <c r="LF306" s="415">
        <v>0.2</v>
      </c>
      <c r="LG306" s="409">
        <v>0</v>
      </c>
      <c r="LH306" s="409">
        <f>12+9+3+5+2</f>
        <v>31</v>
      </c>
      <c r="LI306" s="409">
        <v>0</v>
      </c>
      <c r="LJ306" s="409">
        <v>0</v>
      </c>
      <c r="LK306" s="416">
        <f t="shared" si="191"/>
        <v>31</v>
      </c>
      <c r="LL306" s="416">
        <f t="shared" si="237"/>
        <v>31</v>
      </c>
      <c r="LM306" s="417">
        <f t="shared" si="193"/>
        <v>9.2999999999999989</v>
      </c>
      <c r="LN306" s="417">
        <f>VLOOKUP($LM$8,'Jan-2026 rates'!$H:$I,2,0)</f>
        <v>0</v>
      </c>
      <c r="LO306" s="417">
        <f t="shared" si="194"/>
        <v>0</v>
      </c>
      <c r="LP306" s="417">
        <f>VLOOKUP($LO$8,'Jan-2026 rates'!$H:$I,2,0)</f>
        <v>0</v>
      </c>
      <c r="LQ306" s="417">
        <f t="shared" si="195"/>
        <v>0</v>
      </c>
      <c r="LR306" s="417">
        <f>VLOOKUP($LQ$8,'Jan-2026 rates'!$H:$I,2,0)</f>
        <v>0</v>
      </c>
      <c r="LS306" s="417">
        <f t="shared" si="196"/>
        <v>15.5</v>
      </c>
      <c r="LT306" s="417">
        <f>VLOOKUP($LS$8,'Jan-2026 rates'!$H:$I,2,0)</f>
        <v>0</v>
      </c>
      <c r="LU306" s="417">
        <f t="shared" si="197"/>
        <v>6.2</v>
      </c>
      <c r="LV306" s="417">
        <f>VLOOKUP($LU$8,'Jan-2026 rates'!$H:$I,2,0)</f>
        <v>0</v>
      </c>
      <c r="LW306" s="417">
        <f t="shared" si="198"/>
        <v>0</v>
      </c>
      <c r="LX306" s="417">
        <f t="shared" si="199"/>
        <v>0</v>
      </c>
      <c r="LY306" s="418">
        <f t="shared" si="200"/>
        <v>0</v>
      </c>
      <c r="LZ306" s="417"/>
      <c r="MA306" s="435">
        <f t="shared" si="201"/>
        <v>25</v>
      </c>
      <c r="MB306" s="282">
        <f t="shared" si="202"/>
        <v>46.999999999999986</v>
      </c>
      <c r="MC306" s="283" t="s">
        <v>2045</v>
      </c>
      <c r="MD306" s="284" t="str">
        <f t="shared" si="203"/>
        <v>ToyoLiToyoLiToyoLiToyoLiToyoLi</v>
      </c>
      <c r="ME306" s="293" t="str">
        <f t="shared" si="204"/>
        <v>+</v>
      </c>
      <c r="MF306" s="293" t="str">
        <f t="shared" si="205"/>
        <v>+</v>
      </c>
      <c r="MG306" s="293" t="str">
        <f t="shared" si="206"/>
        <v>+</v>
      </c>
      <c r="MH306" s="293" t="str">
        <f t="shared" si="207"/>
        <v>+</v>
      </c>
      <c r="MI306" s="293" t="str">
        <f t="shared" si="208"/>
        <v>+</v>
      </c>
      <c r="MJ306" s="293" t="str">
        <f t="shared" si="209"/>
        <v>NIL</v>
      </c>
      <c r="MK306" s="293" t="str">
        <f t="shared" si="210"/>
        <v>NIL</v>
      </c>
      <c r="ML306" s="293" t="str">
        <f t="shared" si="211"/>
        <v>NIL</v>
      </c>
      <c r="MM306" s="3" t="b">
        <f t="array" ref="MM306">OR(ME306:ML306="-")</f>
        <v>0</v>
      </c>
      <c r="MO306" s="401">
        <f t="shared" si="238"/>
        <v>61.038961038961027</v>
      </c>
      <c r="MP306" s="286"/>
      <c r="MR306" s="402">
        <f t="shared" si="239"/>
        <v>7.5806451612903201E-3</v>
      </c>
      <c r="MS306" s="400">
        <f t="shared" si="240"/>
        <v>0</v>
      </c>
      <c r="MT306" s="285"/>
      <c r="NH306" s="361"/>
      <c r="NJ306" s="282"/>
    </row>
    <row r="307" spans="1:374" ht="16.5">
      <c r="A307" s="403">
        <v>46043</v>
      </c>
      <c r="B307" s="404" t="s">
        <v>1018</v>
      </c>
      <c r="C307" s="405" t="s">
        <v>4460</v>
      </c>
      <c r="D307" s="404" t="s">
        <v>2046</v>
      </c>
      <c r="E307" s="404">
        <v>267</v>
      </c>
      <c r="F307" s="407">
        <v>15400</v>
      </c>
      <c r="G307" s="407" t="s">
        <v>1016</v>
      </c>
      <c r="H307" s="408" t="s">
        <v>1017</v>
      </c>
      <c r="I307" s="409">
        <v>1.65</v>
      </c>
      <c r="J307" s="405" t="s">
        <v>543</v>
      </c>
      <c r="K307" s="404" t="s">
        <v>4461</v>
      </c>
      <c r="L307" s="419" t="str">
        <f t="shared" si="184"/>
        <v>ToyoLi - BLACK</v>
      </c>
      <c r="M307" s="404">
        <v>30</v>
      </c>
      <c r="N307" s="410">
        <f>IF(M307=0,0,IF($LB307=70%,VLOOKUP($L307,'Jan-2026 rates'!$L:$R,4,0),IF($LB307=65%,VLOOKUP($L307,'Jan-2026 rates'!$L:$R,4,0),IF($LB307=40%,VLOOKUP($L307,'Jan-2026 rates'!$L:$R,5,0),IF($LB307=30%,VLOOKUP($L307,'Jan-2026 rates'!$L:$R,6,0),IF($LB307=100%,VLOOKUP($L307,'Jan-2026 rates'!$L:$R,7,0),IF($LB307=60%,VLOOKUP($L307,'Jan-2026 rates'!$L:$S,8,0),IF($LB307=80%,VLOOKUP($L307,'Jan-2026 rates'!L:T,9,0),0))))))))</f>
        <v>0</v>
      </c>
      <c r="O307" s="406"/>
      <c r="P307" s="404"/>
      <c r="Q307" s="410">
        <f>IF(P307=0,0,IF($LB307=70%,VLOOKUP($L307,'Jan-2026 rates'!$L:$R,4,0),IF($LB307=65%,VLOOKUP($L307,'Jan-2026 rates'!$L:$R,4,0),IF($LB307=40%,VLOOKUP($L307,'Jan-2026 rates'!$L:$R,5,0),IF($LB307=30%,VLOOKUP($L307,'Jan-2026 rates'!$L:$R,6,0),IF($LB307=100%,VLOOKUP($L307,'Jan-2026 rates'!$L:$R,7,0),IF($LB307=60%,VLOOKUP($L307,'Jan-2026 rates'!$L:$S,8,0),IF($LB307=80%,VLOOKUP($L307,'Jan-2026 rates'!L:T,9,0),0))))))))</f>
        <v>0</v>
      </c>
      <c r="R307" s="406" t="s">
        <v>1921</v>
      </c>
      <c r="S307" s="406"/>
      <c r="T307" s="406"/>
      <c r="U307" s="406"/>
      <c r="V307" s="406"/>
      <c r="W307" s="406"/>
      <c r="X307" s="406"/>
      <c r="Y307" s="406"/>
      <c r="Z307" s="404">
        <v>2</v>
      </c>
      <c r="AA307" s="398">
        <f>IF(Z307=0,0,IF(LEN(R307)=11,_xlfn.XLOOKUP(R307,'Dispensed Ink Rates'!C:C,'Dispensed Ink Rates'!CS:CS),VLOOKUP(R307,'Jan-2026 rates'!$E:$F,2,0)))</f>
        <v>0</v>
      </c>
      <c r="AB307" s="404"/>
      <c r="AC307" s="398">
        <f>IF(AB307=0,0,IF(LEN(S307)=11,_xlfn.XLOOKUP(S307,'Dispensed Ink Rates'!C:C,'Dispensed Ink Rates'!CS:CS),VLOOKUP(S307,'Jan-2026 rates'!$E:$F,2,0)))</f>
        <v>0</v>
      </c>
      <c r="AD307" s="404"/>
      <c r="AE307" s="398">
        <f>IF(AD307=0,0,IF(LEN(T307)=11,_xlfn.XLOOKUP(T307,'Dispensed Ink Rates'!C:C,'Dispensed Ink Rates'!CS:CS),VLOOKUP(T307,'Jan-2026 rates'!$E:$F,2,0)))</f>
        <v>0</v>
      </c>
      <c r="AF307" s="404"/>
      <c r="AG307" s="398">
        <f>IF(AF307=0,0,IF(LEN(U307)=11,_xlfn.XLOOKUP(U307,'Dispensed Ink Rates'!C:C,'Dispensed Ink Rates'!CS:CS),VLOOKUP(U307,'Jan-2026 rates'!$E:$F,2,0)))</f>
        <v>0</v>
      </c>
      <c r="AH307" s="404"/>
      <c r="AI307" s="398">
        <f>IF(AH307=0,0,IF(LEN(V307)=11,_xlfn.XLOOKUP(V307,'Dispensed Ink Rates'!C:C,'Dispensed Ink Rates'!CS:CS),VLOOKUP(V307,'Jan-2026 rates'!$E:$F,2,0)))</f>
        <v>0</v>
      </c>
      <c r="AJ307" s="404"/>
      <c r="AK307" s="398">
        <f>IF(AJ307=0,0,IF(LEN(W307)=11,_xlfn.XLOOKUP(W307,'Dispensed Ink Rates'!C:C,'Dispensed Ink Rates'!CS:CS),VLOOKUP(W307,'Jan-2026 rates'!$E:$F,2,0)))</f>
        <v>0</v>
      </c>
      <c r="AL307" s="404"/>
      <c r="AM307" s="398">
        <f>IF(AL307=0,0,IF(LEN(X307)=11,_xlfn.XLOOKUP(X307,'Dispensed Ink Rates'!C:C,'Dispensed Ink Rates'!CS:CS),VLOOKUP(X307,'Jan-2026 rates'!$E:$F,2,0)))</f>
        <v>0</v>
      </c>
      <c r="AN307" s="404"/>
      <c r="AO307" s="398">
        <f>IF(AN307=0,0,IF(LEN(Y307)=11,_xlfn.XLOOKUP(Y307,'Dispensed Ink Rates'!C:C,'Dispensed Ink Rates'!CS:CS),VLOOKUP(Y307,'Jan-2026 rates'!$E:$F,2,0)))</f>
        <v>0</v>
      </c>
      <c r="AP307" s="409" t="s">
        <v>1881</v>
      </c>
      <c r="AQ307" s="409">
        <v>30</v>
      </c>
      <c r="AR307" s="410">
        <f t="shared" si="212"/>
        <v>0</v>
      </c>
      <c r="AS307" s="411">
        <f t="shared" si="213"/>
        <v>6.6521739130434767</v>
      </c>
      <c r="AT307" s="410">
        <f t="shared" si="214"/>
        <v>0</v>
      </c>
      <c r="AU307" s="405" t="s">
        <v>857</v>
      </c>
      <c r="AV307" s="409" t="s">
        <v>4462</v>
      </c>
      <c r="AW307" s="420" t="str">
        <f t="shared" si="236"/>
        <v>ToyoLi - RED</v>
      </c>
      <c r="AX307" s="409">
        <f>20+16</f>
        <v>36</v>
      </c>
      <c r="AY307" s="411">
        <f>IF(AX307=0,0,IF($LB307=70%,VLOOKUP($AW307,'Jan-2026 rates'!$L:$R,4,0),IF($LB307=65%,VLOOKUP($AW307,'Jan-2026 rates'!$L:$R,4,0),IF($LB307=40%,VLOOKUP($AW307,'Jan-2026 rates'!$L:$R,5,0),IF($LB307=30%,VLOOKUP($AW307,'Jan-2026 rates'!$L:$R,6,0),IF($LB307=100%,VLOOKUP($AW307,'Jan-2026 rates'!$L:$R,7,0),IF($LB307=60%,VLOOKUP($AW307,'Jan-2026 rates'!$L:$S,8,0),IF($LB307=80%,VLOOKUP($AW307,'Jan-2026 rates'!L:T,9,0),0))))))))</f>
        <v>0</v>
      </c>
      <c r="AZ307" s="412"/>
      <c r="BA307" s="409"/>
      <c r="BB307" s="411">
        <f>IF(BA307=0,0,IF($LB307=70%,VLOOKUP($AW307,'Jan-2026 rates'!$L:$R,4,0),IF($LB307=65%,VLOOKUP($AW307,'Jan-2026 rates'!$L:$R,4,0),IF($LB307=40%,VLOOKUP($AW307,'Jan-2026 rates'!$L:$R,5,0),IF($LB307=30%,VLOOKUP($AW307,'Jan-2026 rates'!$L:$R,6,0),IF($LB307=100%,VLOOKUP($AW307,'Jan-2026 rates'!$L:$R,7,0),IF($LB307=60%,VLOOKUP($AW307,'Jan-2026 rates'!$L:$S,8,0),IF($LB307=80%,VLOOKUP($AW307,'Jan-2026 rates'!L:T,9,0),0))))))))</f>
        <v>0</v>
      </c>
      <c r="BC307" s="413" t="s">
        <v>1246</v>
      </c>
      <c r="BD307" s="412" t="s">
        <v>1252</v>
      </c>
      <c r="BE307" s="412"/>
      <c r="BF307" s="413"/>
      <c r="BG307" s="412"/>
      <c r="BH307" s="412"/>
      <c r="BI307" s="412"/>
      <c r="BJ307" s="412"/>
      <c r="BK307" s="409">
        <v>2</v>
      </c>
      <c r="BL307" s="398">
        <f>IF(BK307=0,0,IF(LEN(BC307)=11,_xlfn.XLOOKUP(BC307,'Dispensed Ink Rates'!C:C,'Dispensed Ink Rates'!CS:CS),VLOOKUP(BC307,'Jan-2026 rates'!$E:$F,2,0)))</f>
        <v>0</v>
      </c>
      <c r="BM307" s="409">
        <v>0.2</v>
      </c>
      <c r="BN307" s="398">
        <f>IF(BM307=0,0,IF(LEN(BD307)=11,_xlfn.XLOOKUP(BD307,'Dispensed Ink Rates'!C:C,'Dispensed Ink Rates'!CS:CS),VLOOKUP(BD307,'Jan-2026 rates'!$E:$F,2,0)))</f>
        <v>0</v>
      </c>
      <c r="BO307" s="409"/>
      <c r="BP307" s="398">
        <f>IF(BO307=0,0,IF(LEN(BE307)=11,_xlfn.XLOOKUP(BE307,'Dispensed Ink Rates'!C:C,'Dispensed Ink Rates'!CS:CS),VLOOKUP(BE307,'Jan-2026 rates'!$E:$F,2,0)))</f>
        <v>0</v>
      </c>
      <c r="BQ307" s="409"/>
      <c r="BR307" s="398">
        <f>IF(BQ307=0,0,IF(LEN(BF307)=11,_xlfn.XLOOKUP(BF307,'Dispensed Ink Rates'!C:C,'Dispensed Ink Rates'!CS:CS),VLOOKUP(BF307,'Jan-2026 rates'!$E:$F,2,0)))</f>
        <v>0</v>
      </c>
      <c r="BS307" s="409"/>
      <c r="BT307" s="398">
        <f>IF(BS307=0,0,IF(LEN(BG307)=11,_xlfn.XLOOKUP(BG307,'Dispensed Ink Rates'!C:C,'Dispensed Ink Rates'!CS:CS),VLOOKUP(BG307,'Jan-2026 rates'!$E:$F,2,0)))</f>
        <v>0</v>
      </c>
      <c r="BU307" s="409"/>
      <c r="BV307" s="398">
        <f>IF(BU307=0,0,IF(LEN(BH307)=11,_xlfn.XLOOKUP(BH307,'Dispensed Ink Rates'!C:C,'Dispensed Ink Rates'!CS:CS),VLOOKUP(BH307,'Jan-2026 rates'!$E:$F,2,0)))</f>
        <v>0</v>
      </c>
      <c r="BW307" s="409"/>
      <c r="BX307" s="398">
        <f>IF(BW307=0,0,IF(LEN(BI307)=11,_xlfn.XLOOKUP(BI307,'Dispensed Ink Rates'!C:C,'Dispensed Ink Rates'!CS:CS),VLOOKUP(BI307,'Jan-2026 rates'!$E:$F,2,0)))</f>
        <v>0</v>
      </c>
      <c r="BY307" s="409"/>
      <c r="BZ307" s="398">
        <f>IF(BY307=0,0,IF(LEN(BJ307)=11,_xlfn.XLOOKUP(BJ307,'Dispensed Ink Rates'!C:C,'Dispensed Ink Rates'!CS:CS),VLOOKUP(BJ307,'Jan-2026 rates'!$E:$F,2,0)))</f>
        <v>0</v>
      </c>
      <c r="CA307" s="409" t="s">
        <v>1881</v>
      </c>
      <c r="CB307" s="409">
        <f>20+18</f>
        <v>38</v>
      </c>
      <c r="CC307" s="411">
        <f t="shared" si="215"/>
        <v>0</v>
      </c>
      <c r="CD307" s="411">
        <f t="shared" si="216"/>
        <v>7.1782608695652215</v>
      </c>
      <c r="CE307" s="410">
        <f t="shared" si="217"/>
        <v>0</v>
      </c>
      <c r="CF307" s="404" t="s">
        <v>855</v>
      </c>
      <c r="CG307" s="409" t="s">
        <v>4463</v>
      </c>
      <c r="CH307" s="420" t="str">
        <f t="shared" si="185"/>
        <v>ToyoLi - CYAN</v>
      </c>
      <c r="CI307" s="409">
        <v>28</v>
      </c>
      <c r="CJ307" s="411">
        <f>IF(CI307=0,0,IF($LB307=70%,VLOOKUP($CH307,'Jan-2026 rates'!$L:$R,4,0),IF($LB307=65%,VLOOKUP($CH307,'Jan-2026 rates'!$L:$R,4,0),IF($LB307=40%,VLOOKUP($CH307,'Jan-2026 rates'!$L:$R,5,0),IF($LB307=30%,VLOOKUP($CH307,'Jan-2026 rates'!$L:$R,6,0),IF($LB307=100%,VLOOKUP($CH307,'Jan-2026 rates'!$L:$R,7,0),IF($LB307=60%,VLOOKUP($CH307,'Jan-2026 rates'!$L:$S,8,0),IF($LB307=80%,VLOOKUP($CH307,'Jan-2026 rates'!L:T,9,0),0))))))))</f>
        <v>0</v>
      </c>
      <c r="CK307" s="412"/>
      <c r="CL307" s="409"/>
      <c r="CM307" s="411">
        <f>IF(CL307=0,0,IF($LB307=70%,VLOOKUP($CH307,'Jan-2026 rates'!$L:$R,4,0),IF($LB307=65%,VLOOKUP($CH307,'Jan-2026 rates'!$L:$R,4,0),IF($LB307=40%,VLOOKUP($CH307,'Jan-2026 rates'!$L:$R,5,0),IF($LB307=30%,VLOOKUP($CH307,'Jan-2026 rates'!$L:$R,6,0),IF($LB307=100%,VLOOKUP($CH307,'Jan-2026 rates'!$L:$R,7,0),IF($LB307=60%,VLOOKUP($CH307,'Jan-2026 rates'!$L:$S,8,0),IF($LB307=80%,VLOOKUP($CH307,'Jan-2026 rates'!L:T,9,0),0))))))))</f>
        <v>0</v>
      </c>
      <c r="CN307" s="426" t="s">
        <v>1250</v>
      </c>
      <c r="CO307" s="427"/>
      <c r="CP307" s="426"/>
      <c r="CQ307" s="426"/>
      <c r="CR307" s="428"/>
      <c r="CS307" s="428"/>
      <c r="CT307" s="428"/>
      <c r="CU307" s="428"/>
      <c r="CV307" s="409">
        <v>2</v>
      </c>
      <c r="CW307" s="398">
        <f>IF(CV307=0,0,IF(LEN(CN307)=11,_xlfn.XLOOKUP(CN307,'Dispensed Ink Rates'!C:C,'Dispensed Ink Rates'!CS:CS),VLOOKUP(CN307,'Jan-2026 rates'!$E:$F,2,0)))</f>
        <v>0</v>
      </c>
      <c r="CX307" s="409"/>
      <c r="CY307" s="398">
        <f>IF(CX307=0,0,IF(LEN(CO307)=11,_xlfn.XLOOKUP(CO307,'Dispensed Ink Rates'!C:C,'Dispensed Ink Rates'!CS:CS),VLOOKUP(CO307,'Jan-2026 rates'!$E:$F,2,0)))</f>
        <v>0</v>
      </c>
      <c r="CZ307" s="409"/>
      <c r="DA307" s="398">
        <f>IF(CZ307=0,0,IF(LEN(CP307)=11,_xlfn.XLOOKUP(CP307,'Dispensed Ink Rates'!C:C,'Dispensed Ink Rates'!CS:CS),VLOOKUP(CP307,'Jan-2026 rates'!$E:$F,2,0)))</f>
        <v>0</v>
      </c>
      <c r="DB307" s="409"/>
      <c r="DC307" s="398">
        <f>IF(DB307=0,0,IF(LEN(CQ307)=11,_xlfn.XLOOKUP(CQ307,'Dispensed Ink Rates'!C:C,'Dispensed Ink Rates'!CS:CS),VLOOKUP(CQ307,'Jan-2026 rates'!$E:$F,2,0)))</f>
        <v>0</v>
      </c>
      <c r="DD307" s="409"/>
      <c r="DE307" s="398">
        <f>IF(DD307=0,0,IF(LEN(CR307)=11,_xlfn.XLOOKUP(CR307,'Dispensed Ink Rates'!C:C,'Dispensed Ink Rates'!CS:CS),VLOOKUP(CR307,'Jan-2026 rates'!$E:$F,2,0)))</f>
        <v>0</v>
      </c>
      <c r="DF307" s="409"/>
      <c r="DG307" s="398">
        <f>IF(DF307=0,0,IF(LEN(CS307)=11,_xlfn.XLOOKUP(CS307,'Dispensed Ink Rates'!C:C,'Dispensed Ink Rates'!CS:CS),VLOOKUP(CS307,'Jan-2026 rates'!$E:$F,2,0)))</f>
        <v>0</v>
      </c>
      <c r="DH307" s="409"/>
      <c r="DI307" s="398">
        <f>IF(DH307=0,0,IF(LEN(CT307)=11,_xlfn.XLOOKUP(CT307,'Dispensed Ink Rates'!C:C,'Dispensed Ink Rates'!CS:CS),VLOOKUP(CT307,'Jan-2026 rates'!$E:$F,2,0)))</f>
        <v>0</v>
      </c>
      <c r="DJ307" s="409"/>
      <c r="DK307" s="398">
        <f>IF(DJ307=0,0,IF(LEN(CU307)=11,_xlfn.XLOOKUP(CU307,'Dispensed Ink Rates'!C:C,'Dispensed Ink Rates'!CS:CS),VLOOKUP(CU307,'Jan-2026 rates'!$E:$F,2,0)))</f>
        <v>0</v>
      </c>
      <c r="DL307" s="409" t="s">
        <v>1881</v>
      </c>
      <c r="DM307" s="409">
        <v>29</v>
      </c>
      <c r="DN307" s="411">
        <f t="shared" si="218"/>
        <v>0</v>
      </c>
      <c r="DO307" s="411">
        <f t="shared" si="219"/>
        <v>5.6521739130434767</v>
      </c>
      <c r="DP307" s="410">
        <f t="shared" si="220"/>
        <v>0</v>
      </c>
      <c r="DQ307" s="405" t="s">
        <v>544</v>
      </c>
      <c r="DR307" s="409" t="s">
        <v>4464</v>
      </c>
      <c r="DS307" s="420" t="str">
        <f t="shared" si="186"/>
        <v>ToyoLi - MAGENTA</v>
      </c>
      <c r="DT307" s="409">
        <v>28</v>
      </c>
      <c r="DU307" s="411">
        <f>IF(DT307=0,0,IF($LB307=70%,VLOOKUP($DS307,'Jan-2026 rates'!$L:$R,4,0),IF($LB307=65%,VLOOKUP($DS307,'Jan-2026 rates'!$L:$R,4,0),IF($LB307=40%,VLOOKUP($DS307,'Jan-2026 rates'!$L:$R,5,0),IF($LB307=30%,VLOOKUP($DS307,'Jan-2026 rates'!$L:$R,6,0),IF($LB307=100%,VLOOKUP($DS307,'Jan-2026 rates'!$L:$R,7,0),IF($LB307=60%,VLOOKUP($DS307,'Jan-2026 rates'!$L:$S,8,0),IF($LB307=80%,VLOOKUP($DS307,'Jan-2026 rates'!L:T,9,0),0))))))))</f>
        <v>0</v>
      </c>
      <c r="DV307" s="412"/>
      <c r="DW307" s="409"/>
      <c r="DX307" s="411">
        <f>IF(DW307=0,0,IF($LB307=70%,VLOOKUP($DS307,'Jan-2026 rates'!$L:$R,4,0),IF($LB307=65%,VLOOKUP($DS307,'Jan-2026 rates'!$L:$R,4,0),IF($LB307=40%,VLOOKUP($DS307,'Jan-2026 rates'!$L:$R,5,0),IF($LB307=30%,VLOOKUP($DS307,'Jan-2026 rates'!$L:$R,6,0),IF($LB307=100%,VLOOKUP($DS307,'Jan-2026 rates'!$L:$R,7,0),IF($LB307=60%,VLOOKUP($DS307,'Jan-2026 rates'!$L:$S,8,0),IF($LB307=80%,VLOOKUP($DS307,'Jan-2026 rates'!L:T,9,0),0))))))))</f>
        <v>0</v>
      </c>
      <c r="DY307" s="413" t="s">
        <v>1246</v>
      </c>
      <c r="DZ307" s="413"/>
      <c r="EA307" s="412"/>
      <c r="EB307" s="412"/>
      <c r="EC307" s="412"/>
      <c r="ED307" s="412"/>
      <c r="EE307" s="412"/>
      <c r="EF307" s="412"/>
      <c r="EG307" s="409">
        <v>3</v>
      </c>
      <c r="EH307" s="398">
        <f>IF(EG307=0,0,IF(LEN(DY307)=11,_xlfn.XLOOKUP(DY307,'Dispensed Ink Rates'!C:C,'Dispensed Ink Rates'!CS:CS),VLOOKUP(DY307,'Jan-2026 rates'!$E:$F,2,0)))</f>
        <v>0</v>
      </c>
      <c r="EI307" s="409"/>
      <c r="EJ307" s="398">
        <f>IF(EI307=0,0,IF(LEN(DZ307)=11,_xlfn.XLOOKUP(DZ307,'Dispensed Ink Rates'!C:C,'Dispensed Ink Rates'!CS:CS),VLOOKUP(DZ307,'Jan-2026 rates'!$E:$F,2,0)))</f>
        <v>0</v>
      </c>
      <c r="EK307" s="409"/>
      <c r="EL307" s="398">
        <f>IF(EK307=0,0,IF(LEN(EA307)=11,_xlfn.XLOOKUP(EA307,'Dispensed Ink Rates'!C:C,'Dispensed Ink Rates'!CS:CS),VLOOKUP(EA307,'Jan-2026 rates'!$E:$F,2,0)))</f>
        <v>0</v>
      </c>
      <c r="EM307" s="409"/>
      <c r="EN307" s="398">
        <f>IF(EM307=0,0,IF(LEN(EB307)=11,_xlfn.XLOOKUP(EB307,'Dispensed Ink Rates'!C:C,'Dispensed Ink Rates'!CS:CS),VLOOKUP(EB307,'Jan-2026 rates'!$E:$F,2,0)))</f>
        <v>0</v>
      </c>
      <c r="EO307" s="409"/>
      <c r="EP307" s="398">
        <f>IF(EO307=0,0,IF(LEN(EC307)=11,_xlfn.XLOOKUP(EC307,'Dispensed Ink Rates'!C:C,'Dispensed Ink Rates'!CS:CS),VLOOKUP(EC307,'Jan-2026 rates'!$E:$F,2,0)))</f>
        <v>0</v>
      </c>
      <c r="EQ307" s="409"/>
      <c r="ER307" s="398">
        <f>IF(EQ307=0,0,IF(LEN(ED307)=11,_xlfn.XLOOKUP(ED307,'Dispensed Ink Rates'!C:C,'Dispensed Ink Rates'!CS:CS),VLOOKUP(ED307,'Jan-2026 rates'!$E:$F,2,0)))</f>
        <v>0</v>
      </c>
      <c r="ES307" s="409"/>
      <c r="ET307" s="398">
        <f>IF(ES307=0,0,IF(LEN(EE307)=11,_xlfn.XLOOKUP(EE307,'Dispensed Ink Rates'!C:C,'Dispensed Ink Rates'!CS:CS),VLOOKUP(EE307,'Jan-2026 rates'!$E:$F,2,0)))</f>
        <v>0</v>
      </c>
      <c r="EU307" s="409"/>
      <c r="EV307" s="398">
        <f>IF(EU307=0,0,IF(LEN(EF307)=11,_xlfn.XLOOKUP(EF307,'Dispensed Ink Rates'!C:C,'Dispensed Ink Rates'!CS:CS),VLOOKUP(EF307,'Jan-2026 rates'!$E:$F,2,0)))</f>
        <v>0</v>
      </c>
      <c r="EW307" s="409" t="s">
        <v>1881</v>
      </c>
      <c r="EX307" s="409">
        <v>28</v>
      </c>
      <c r="EY307" s="411">
        <f t="shared" si="221"/>
        <v>0</v>
      </c>
      <c r="EZ307" s="411">
        <f t="shared" si="222"/>
        <v>7.6521739130434767</v>
      </c>
      <c r="FA307" s="410">
        <f t="shared" si="223"/>
        <v>0</v>
      </c>
      <c r="FB307" s="405" t="s">
        <v>545</v>
      </c>
      <c r="FC307" s="409" t="s">
        <v>4465</v>
      </c>
      <c r="FD307" s="420" t="str">
        <f t="shared" si="187"/>
        <v>ToyoLi - YELLOW</v>
      </c>
      <c r="FE307" s="409">
        <v>30</v>
      </c>
      <c r="FF307" s="411">
        <f>IF(FE307=0,0,IF($LB307=70%,VLOOKUP($FD307,'Jan-2026 rates'!$L:$R,4,0),IF($LB307=65%,VLOOKUP($FD307,'Jan-2026 rates'!$L:$R,4,0),IF($LB307=40%,VLOOKUP($FD307,'Jan-2026 rates'!$L:$R,5,0),IF($LB307=30%,VLOOKUP($FD307,'Jan-2026 rates'!$L:$R,6,0),IF($LB307=100%,VLOOKUP($FD307,'Jan-2026 rates'!$L:$R,7,0),IF($LB307=60%,VLOOKUP($FD307,'Jan-2026 rates'!$L:$S,8,0),IF($LB307=80%,VLOOKUP($FD307,'Jan-2026 rates'!L:T,9,0),0))))))))</f>
        <v>0</v>
      </c>
      <c r="FG307" s="412"/>
      <c r="FH307" s="409"/>
      <c r="FI307" s="411">
        <f>IF(FH307=0,0,IF($LB307=70%,VLOOKUP($FD307,'Jan-2026 rates'!$L:$R,4,0),IF($LB307=65%,VLOOKUP($FD307,'Jan-2026 rates'!$L:$R,4,0),IF($LB307=40%,VLOOKUP($FD307,'Jan-2026 rates'!$L:$R,5,0),IF($LB307=30%,VLOOKUP($FD307,'Jan-2026 rates'!$L:$R,6,0),IF($LB307=100%,VLOOKUP($FD307,'Jan-2026 rates'!$L:$R,7,0),IF($LB307=60%,VLOOKUP($FD307,'Jan-2026 rates'!$L:$S,8,0),IF($LB307=80%,VLOOKUP($FD307,'Jan-2026 rates'!L:T,9,0),0))))))))</f>
        <v>0</v>
      </c>
      <c r="FJ307" s="413" t="s">
        <v>1247</v>
      </c>
      <c r="FK307" s="413"/>
      <c r="FL307" s="413"/>
      <c r="FM307" s="412"/>
      <c r="FN307" s="412"/>
      <c r="FO307" s="412"/>
      <c r="FP307" s="412"/>
      <c r="FQ307" s="412"/>
      <c r="FR307" s="409">
        <v>2</v>
      </c>
      <c r="FS307" s="398">
        <f>IF(FR307=0,0,IF(LEN(FJ307)=11,_xlfn.XLOOKUP(FJ307,'Dispensed Ink Rates'!C:C,'Dispensed Ink Rates'!CS:CS),VLOOKUP(FJ307,'Jan-2026 rates'!$E:$F,2,0)))</f>
        <v>0</v>
      </c>
      <c r="FT307" s="409"/>
      <c r="FU307" s="398">
        <f>IF(FT307=0,0,IF(LEN(FK307)=11,_xlfn.XLOOKUP(FK307,'Dispensed Ink Rates'!C:C,'Dispensed Ink Rates'!CS:CS),VLOOKUP(FK307,'Jan-2026 rates'!$E:$F,2,0)))</f>
        <v>0</v>
      </c>
      <c r="FV307" s="409"/>
      <c r="FW307" s="398">
        <f>IF(FV307=0,0,IF(LEN(FL307)=11,_xlfn.XLOOKUP(FL307,'Dispensed Ink Rates'!C:C,'Dispensed Ink Rates'!CS:CS),VLOOKUP(FL307,'Jan-2026 rates'!$E:$F,2,0)))</f>
        <v>0</v>
      </c>
      <c r="FX307" s="409"/>
      <c r="FY307" s="398">
        <f>IF(FX307=0,0,IF(LEN(FM307)=11,_xlfn.XLOOKUP(FM307,'Dispensed Ink Rates'!C:C,'Dispensed Ink Rates'!CS:CS),VLOOKUP(FM307,'Jan-2026 rates'!$E:$F,2,0)))</f>
        <v>0</v>
      </c>
      <c r="FZ307" s="409"/>
      <c r="GA307" s="398">
        <f>IF(FZ307=0,0,IF(LEN(FN307)=11,_xlfn.XLOOKUP(FN307,'Dispensed Ink Rates'!C:C,'Dispensed Ink Rates'!CS:CS),VLOOKUP(FN307,'Jan-2026 rates'!$E:$F,2,0)))</f>
        <v>0</v>
      </c>
      <c r="GB307" s="409"/>
      <c r="GC307" s="398">
        <f>IF(GB307=0,0,IF(LEN(FO307)=11,_xlfn.XLOOKUP(FO307,'Dispensed Ink Rates'!C:C,'Dispensed Ink Rates'!CS:CS),VLOOKUP(FO307,'Jan-2026 rates'!$E:$F,2,0)))</f>
        <v>0</v>
      </c>
      <c r="GD307" s="409"/>
      <c r="GE307" s="398">
        <f>IF(GD307=0,0,IF(LEN(FP307)=11,_xlfn.XLOOKUP(FP307,'Dispensed Ink Rates'!C:C,'Dispensed Ink Rates'!CS:CS),VLOOKUP(FP307,'Jan-2026 rates'!$E:$F,2,0)))</f>
        <v>0</v>
      </c>
      <c r="GF307" s="409"/>
      <c r="GG307" s="398">
        <f>IF(GF307=0,0,IF(LEN(FQ307)=11,_xlfn.XLOOKUP(FQ307,'Dispensed Ink Rates'!C:C,'Dispensed Ink Rates'!CS:CS),VLOOKUP(FQ307,'Jan-2026 rates'!$E:$F,2,0)))</f>
        <v>0</v>
      </c>
      <c r="GH307" s="409" t="s">
        <v>1881</v>
      </c>
      <c r="GI307" s="409">
        <v>25</v>
      </c>
      <c r="GJ307" s="411">
        <f t="shared" si="224"/>
        <v>0</v>
      </c>
      <c r="GK307" s="411">
        <f t="shared" si="225"/>
        <v>11.652173913043477</v>
      </c>
      <c r="GL307" s="410">
        <f t="shared" si="226"/>
        <v>0</v>
      </c>
      <c r="GM307" s="405" t="s">
        <v>546</v>
      </c>
      <c r="GN307" s="409" t="s">
        <v>2159</v>
      </c>
      <c r="GO307" s="420" t="str">
        <f t="shared" si="188"/>
        <v>ToyoLi - REFLEX BLUE</v>
      </c>
      <c r="GP307" s="409">
        <v>10</v>
      </c>
      <c r="GQ307" s="411">
        <f>IF(GP307=0,0,IF($LB307=70%,VLOOKUP($GO307,'Jan-2026 rates'!$L:$R,4,0),IF($LB307=65%,VLOOKUP($GO307,'Jan-2026 rates'!$L:$R,4,0),IF($LB307=40%,VLOOKUP($GO307,'Jan-2026 rates'!$L:$R,5,0),IF($LB307=30%,VLOOKUP($GO307,'Jan-2026 rates'!$L:$R,6,0),IF($LB307=100%,VLOOKUP($GO307,'Jan-2026 rates'!$L:$R,7,0),IF($LB307=60%,VLOOKUP($GO307,'Jan-2026 rates'!$L:$S,8,0),IF($LB307=80%,VLOOKUP($GO307,'Jan-2026 rates'!L:T,9,0),0))))))))</f>
        <v>0</v>
      </c>
      <c r="GR307" s="412" t="s">
        <v>4466</v>
      </c>
      <c r="GS307" s="409">
        <f>6+8+20</f>
        <v>34</v>
      </c>
      <c r="GT307" s="411">
        <f>IF(GS307=0,0,IF($LB307=70%,VLOOKUP($GO307,'Jan-2026 rates'!$L:$R,4,0),IF($LB307=65%,VLOOKUP($GO307,'Jan-2026 rates'!$L:$R,4,0),IF($LB307=40%,VLOOKUP($GO307,'Jan-2026 rates'!$L:$R,5,0),IF($LB307=30%,VLOOKUP($GO307,'Jan-2026 rates'!$L:$R,6,0),IF($LB307=100%,VLOOKUP($GO307,'Jan-2026 rates'!$L:$R,7,0),IF($LB307=60%,VLOOKUP($GO307,'Jan-2026 rates'!$L:$S,8,0),IF($LB307=80%,VLOOKUP($GO307,'Jan-2026 rates'!L:T,9,0),0))))))))</f>
        <v>0</v>
      </c>
      <c r="GU307" s="413" t="s">
        <v>1247</v>
      </c>
      <c r="GV307" s="413" t="s">
        <v>1880</v>
      </c>
      <c r="GW307" s="412" t="s">
        <v>1250</v>
      </c>
      <c r="GX307" s="412" t="s">
        <v>1252</v>
      </c>
      <c r="GY307" s="412"/>
      <c r="GZ307" s="412"/>
      <c r="HA307" s="412"/>
      <c r="HB307" s="412"/>
      <c r="HC307" s="409">
        <v>1</v>
      </c>
      <c r="HD307" s="398">
        <f>IF(HC307=0,0,IF(LEN(GU307)=11,_xlfn.XLOOKUP(GU307,'Dispensed Ink Rates'!C:C,'Dispensed Ink Rates'!CS:CS),VLOOKUP(GU307,'Jan-2026 rates'!$E:$F,2,0)))</f>
        <v>0</v>
      </c>
      <c r="HE307" s="409">
        <v>3</v>
      </c>
      <c r="HF307" s="398">
        <f>IF(HE307=0,0,IF(LEN(GV307)=11,_xlfn.XLOOKUP(GV307,'Dispensed Ink Rates'!C:C,'Dispensed Ink Rates'!CS:CS),VLOOKUP(GV307,'Jan-2026 rates'!$E:$F,2,0)))</f>
        <v>0</v>
      </c>
      <c r="HG307" s="409">
        <v>4</v>
      </c>
      <c r="HH307" s="398">
        <f>IF(HG307=0,0,IF(LEN(GW307)=11,_xlfn.XLOOKUP(GW307,'Dispensed Ink Rates'!C:C,'Dispensed Ink Rates'!CS:CS),VLOOKUP(GW307,'Jan-2026 rates'!$E:$F,2,0)))</f>
        <v>0</v>
      </c>
      <c r="HI307" s="409">
        <v>2</v>
      </c>
      <c r="HJ307" s="398">
        <f>IF(HI307=0,0,IF(LEN(GX307)=11,_xlfn.XLOOKUP(GX307,'Dispensed Ink Rates'!C:C,'Dispensed Ink Rates'!CS:CS),VLOOKUP(GX307,'Jan-2026 rates'!$E:$F,2,0)))</f>
        <v>0</v>
      </c>
      <c r="HK307" s="409"/>
      <c r="HL307" s="398">
        <f>IF(HK307=0,0,IF(LEN(GY307)=11,_xlfn.XLOOKUP(GY307,'Dispensed Ink Rates'!C:C,'Dispensed Ink Rates'!CS:CS),VLOOKUP(GY307,'Jan-2026 rates'!$E:$F,2,0)))</f>
        <v>0</v>
      </c>
      <c r="HM307" s="409"/>
      <c r="HN307" s="398">
        <f>IF(HM307=0,0,IF(LEN(GZ307)=11,_xlfn.XLOOKUP(GZ307,'Dispensed Ink Rates'!C:C,'Dispensed Ink Rates'!CS:CS),VLOOKUP(GZ307,'Jan-2026 rates'!$E:$F,2,0)))</f>
        <v>0</v>
      </c>
      <c r="HO307" s="409"/>
      <c r="HP307" s="398">
        <f>IF(HO307=0,0,IF(LEN(HA307)=11,_xlfn.XLOOKUP(HA307,'Dispensed Ink Rates'!C:C,'Dispensed Ink Rates'!CS:CS),VLOOKUP(HA307,'Jan-2026 rates'!$E:$F,2,0)))</f>
        <v>0</v>
      </c>
      <c r="HQ307" s="409"/>
      <c r="HR307" s="398">
        <f>IF(HQ307=0,0,IF(LEN(HB307)=11,_xlfn.XLOOKUP(HB307,'Dispensed Ink Rates'!C:C,'Dispensed Ink Rates'!CS:CS),VLOOKUP(HB307,'Jan-2026 rates'!$E:$F,2,0)))</f>
        <v>0</v>
      </c>
      <c r="HS307" s="409" t="s">
        <v>1881</v>
      </c>
      <c r="HT307" s="409">
        <f>18+18</f>
        <v>36</v>
      </c>
      <c r="HU307" s="411">
        <f t="shared" si="227"/>
        <v>0</v>
      </c>
      <c r="HV307" s="411">
        <f t="shared" si="228"/>
        <v>29.630434782608688</v>
      </c>
      <c r="HW307" s="414">
        <f t="shared" si="229"/>
        <v>0</v>
      </c>
      <c r="HX307" s="405" t="s">
        <v>546</v>
      </c>
      <c r="HY307" s="409" t="s">
        <v>3620</v>
      </c>
      <c r="HZ307" s="420" t="str">
        <f t="shared" si="189"/>
        <v>ToyoLi - REFLEX BLUE</v>
      </c>
      <c r="IA307" s="409">
        <v>16</v>
      </c>
      <c r="IB307" s="411">
        <f>IF(IA307=0,0,IF($LB307=70%,VLOOKUP($HZ307,'Jan-2026 rates'!$L:$R,4,0),IF($LB307=65%,VLOOKUP($HZ307,'Jan-2026 rates'!$L:$R,4,0),IF($LB307=40%,VLOOKUP($HZ307,'Jan-2026 rates'!$L:$R,5,0),IF($LB307=30%,VLOOKUP($HZ307,'Jan-2026 rates'!$L:$R,6,0),IF($LB307=100%,VLOOKUP($HZ307,'Jan-2026 rates'!$L:$R,7,0),IF($LB307=60%,VLOOKUP($HZ307,'Jan-2026 rates'!$L:$S,8,0),IF($LB307=80%,VLOOKUP($HZ307,'Jan-2026 rates'!L:T,9,0),0))))))))</f>
        <v>0</v>
      </c>
      <c r="IC307" s="412" t="s">
        <v>3576</v>
      </c>
      <c r="ID307" s="409">
        <v>15</v>
      </c>
      <c r="IE307" s="411">
        <f>IF(ID307=0,0,IF($LB307=70%,VLOOKUP($HZ307,'Jan-2026 rates'!$L:$R,4,0),IF($LB307=65%,VLOOKUP($HZ307,'Jan-2026 rates'!$L:$R,4,0),IF($LB307=40%,VLOOKUP($HZ307,'Jan-2026 rates'!$L:$R,5,0),IF($LB307=30%,VLOOKUP($HZ307,'Jan-2026 rates'!$L:$R,6,0),IF($LB307=100%,VLOOKUP($HZ307,'Jan-2026 rates'!$L:$R,7,0),IF($LB307=60%,VLOOKUP($HZ307,'Jan-2026 rates'!$L:$S,8,0),IF($LB307=80%,VLOOKUP($HZ307,'Jan-2026 rates'!L:T,9,0),0))))))))</f>
        <v>0</v>
      </c>
      <c r="IF307" s="412" t="s">
        <v>1250</v>
      </c>
      <c r="IG307" s="413" t="s">
        <v>1880</v>
      </c>
      <c r="IH307" s="412"/>
      <c r="II307" s="412"/>
      <c r="IJ307" s="412"/>
      <c r="IK307" s="412"/>
      <c r="IL307" s="412"/>
      <c r="IM307" s="412"/>
      <c r="IN307" s="409">
        <v>10</v>
      </c>
      <c r="IO307" s="398">
        <f>IF(IN307=0,0,IF(LEN(IF307)=11,_xlfn.XLOOKUP(IF307,'Dispensed Ink Rates'!C:C,'Dispensed Ink Rates'!CS:CS),VLOOKUP(IF307,'Jan-2026 rates'!$E:$F,2,0)))</f>
        <v>0</v>
      </c>
      <c r="IP307" s="409">
        <v>3</v>
      </c>
      <c r="IQ307" s="398">
        <f>IF(IP307=0,0,IF(LEN(IG307)=11,_xlfn.XLOOKUP(IG307,'Dispensed Ink Rates'!C:C,'Dispensed Ink Rates'!CS:CS),VLOOKUP(IG307,'Jan-2026 rates'!$E:$F,2,0)))</f>
        <v>0</v>
      </c>
      <c r="IR307" s="409"/>
      <c r="IS307" s="398">
        <f>IF(IR307=0,0,IF(LEN(IH307)=11,_xlfn.XLOOKUP(IH307,'Dispensed Ink Rates'!C:C,'Dispensed Ink Rates'!CS:CS),VLOOKUP(IH307,'Jan-2026 rates'!$E:$F,2,0)))</f>
        <v>0</v>
      </c>
      <c r="IT307" s="409"/>
      <c r="IU307" s="398">
        <f>IF(IT307=0,0,IF(LEN(II307)=11,_xlfn.XLOOKUP(II307,'Dispensed Ink Rates'!C:C,'Dispensed Ink Rates'!CS:CS),VLOOKUP(II307,'Jan-2026 rates'!$E:$F,2,0)))</f>
        <v>0</v>
      </c>
      <c r="IV307" s="409"/>
      <c r="IW307" s="398">
        <f>IF(IV307=0,0,IF(LEN(IJ307)=11,_xlfn.XLOOKUP(IJ307,'Dispensed Ink Rates'!C:C,'Dispensed Ink Rates'!CS:CS),VLOOKUP(IJ307,'Jan-2026 rates'!$E:$F,2,0)))</f>
        <v>0</v>
      </c>
      <c r="IX307" s="409"/>
      <c r="IY307" s="398">
        <f>IF(IX307=0,0,IF(LEN(IK307)=11,_xlfn.XLOOKUP(IK307,'Dispensed Ink Rates'!C:C,'Dispensed Ink Rates'!CS:CS),VLOOKUP(IK307,'Jan-2026 rates'!$E:$F,2,0)))</f>
        <v>0</v>
      </c>
      <c r="IZ307" s="409"/>
      <c r="JA307" s="398">
        <f>IF(IZ307=0,0,IF(LEN(IL307)=11,_xlfn.XLOOKUP(IL307,'Dispensed Ink Rates'!C:C,'Dispensed Ink Rates'!CS:CS),VLOOKUP(IL307,'Jan-2026 rates'!$E:$F,2,0)))</f>
        <v>0</v>
      </c>
      <c r="JB307" s="409"/>
      <c r="JC307" s="398">
        <f>IF(JB307=0,0,IF(LEN(IM307)=11,_xlfn.XLOOKUP(IM307,'Dispensed Ink Rates'!C:C,'Dispensed Ink Rates'!CS:CS),VLOOKUP(IM307,'Jan-2026 rates'!$E:$F,2,0)))</f>
        <v>0</v>
      </c>
      <c r="JD307" s="409" t="s">
        <v>1881</v>
      </c>
      <c r="JE307" s="409">
        <f>20+20</f>
        <v>40</v>
      </c>
      <c r="JF307" s="411">
        <f t="shared" si="230"/>
        <v>0</v>
      </c>
      <c r="JG307" s="411">
        <f t="shared" si="231"/>
        <v>27.260869565217391</v>
      </c>
      <c r="JH307" s="410">
        <f t="shared" si="232"/>
        <v>0</v>
      </c>
      <c r="JI307" s="405" t="s">
        <v>856</v>
      </c>
      <c r="JJ307" s="409" t="s">
        <v>4467</v>
      </c>
      <c r="JK307" s="420" t="str">
        <f t="shared" si="190"/>
        <v>ToyoLi - WHITE</v>
      </c>
      <c r="JL307" s="409">
        <v>30</v>
      </c>
      <c r="JM307" s="411">
        <f>IF(JL307=0,0,IF($LB307=70%,VLOOKUP($JK307,'Jan-2026 rates'!$L:$R,4,0),IF($LB307=65%,VLOOKUP($JK307,'Jan-2026 rates'!$L:$R,4,0),IF($LB307=40%,VLOOKUP($JK307,'Jan-2026 rates'!$L:$R,5,0),IF($LB307=30%,VLOOKUP($JK307,'Jan-2026 rates'!$L:$R,6,0),IF($LB307=100%,VLOOKUP($JK307,'Jan-2026 rates'!$L:$R,7,0),IF($LB307=60%,VLOOKUP($JK307,'Jan-2026 rates'!$L:$S,8,0),IF($LB307=80%,VLOOKUP($JK307,'Jan-2026 rates'!L:T,9,0),0))))))))</f>
        <v>0</v>
      </c>
      <c r="JN307" s="412"/>
      <c r="JO307" s="409"/>
      <c r="JP307" s="411">
        <f>IF(JO307=0,0,IF($LB307=70%,VLOOKUP($JK307,'Jan-2026 rates'!$L:$R,4,0),IF($LB307=65%,VLOOKUP($JK307,'Jan-2026 rates'!$L:$R,4,0),IF($LB307=40%,VLOOKUP($JK307,'Jan-2026 rates'!$L:$R,5,0),IF($LB307=30%,VLOOKUP($JK307,'Jan-2026 rates'!$L:$R,6,0),IF($LB307=100%,VLOOKUP($JK307,'Jan-2026 rates'!$L:$R,7,0),IF($LB307=60%,VLOOKUP($JK307,'Jan-2026 rates'!$L:$S,8,0),IF($LB307=80%,VLOOKUP($JK307,'Jan-2026 rates'!L:T,9,0),0))))))))</f>
        <v>0</v>
      </c>
      <c r="JQ307" s="413" t="s">
        <v>1249</v>
      </c>
      <c r="JR307" s="412"/>
      <c r="JS307" s="413"/>
      <c r="JT307" s="413"/>
      <c r="JU307" s="412"/>
      <c r="JV307" s="412"/>
      <c r="JW307" s="412"/>
      <c r="JX307" s="412"/>
      <c r="JY307" s="409">
        <v>40</v>
      </c>
      <c r="JZ307" s="398">
        <f>IF(JY307=0,0,IF(LEN(JQ307)=11,_xlfn.XLOOKUP(JQ307,'Dispensed Ink Rates'!C:C,'Dispensed Ink Rates'!CS:CS),VLOOKUP(JQ307,'Jan-2026 rates'!$E:$F,2,0)))</f>
        <v>0</v>
      </c>
      <c r="KA307" s="409"/>
      <c r="KB307" s="398">
        <f>IF(KA307=0,0,IF(LEN(JR307)=11,_xlfn.XLOOKUP(JR307,'Dispensed Ink Rates'!C:C,'Dispensed Ink Rates'!CS:CS),VLOOKUP(JR307,'Jan-2026 rates'!$E:$F,2,0)))</f>
        <v>0</v>
      </c>
      <c r="KC307" s="409"/>
      <c r="KD307" s="398">
        <f>IF(KC307=0,0,IF(LEN(JS307)=11,_xlfn.XLOOKUP(JS307,'Dispensed Ink Rates'!C:C,'Dispensed Ink Rates'!CS:CS),VLOOKUP(JS307,'Jan-2026 rates'!$E:$F,2,0)))</f>
        <v>0</v>
      </c>
      <c r="KE307" s="409"/>
      <c r="KF307" s="398">
        <f>IF(KE307=0,0,IF(LEN(JT307)=11,_xlfn.XLOOKUP(JT307,'Dispensed Ink Rates'!C:C,'Dispensed Ink Rates'!CS:CS),VLOOKUP(JT307,'Jan-2026 rates'!$E:$F,2,0)))</f>
        <v>0</v>
      </c>
      <c r="KG307" s="409"/>
      <c r="KH307" s="398">
        <f>IF(KG307=0,0,IF(LEN(JU307)=11,_xlfn.XLOOKUP(JU307,'Dispensed Ink Rates'!C:C,'Dispensed Ink Rates'!CS:CS),VLOOKUP(JU307,'Jan-2026 rates'!$E:$F,2,0)))</f>
        <v>0</v>
      </c>
      <c r="KI307" s="409"/>
      <c r="KJ307" s="398">
        <f>IF(KI307=0,0,IF(LEN(JV307)=11,_xlfn.XLOOKUP(JV307,'Dispensed Ink Rates'!C:C,'Dispensed Ink Rates'!CS:CS),VLOOKUP(JV307,'Jan-2026 rates'!$E:$F,2,0)))</f>
        <v>0</v>
      </c>
      <c r="KK307" s="409"/>
      <c r="KL307" s="398">
        <f>IF(KK307=0,0,IF(LEN(JW307)=11,_xlfn.XLOOKUP(JW307,'Dispensed Ink Rates'!C:C,'Dispensed Ink Rates'!CS:CS),VLOOKUP(JW307,'Jan-2026 rates'!$E:$F,2,0)))</f>
        <v>0</v>
      </c>
      <c r="KM307" s="428"/>
      <c r="KN307" s="398">
        <f>IF(KM307=0,0,IF(LEN(JX307)=11,_xlfn.XLOOKUP(JX307,'Dispensed Ink Rates'!C:C,'Dispensed Ink Rates'!CS:CS),VLOOKUP(JX307,'Jan-2026 rates'!$E:$F,2,0)))</f>
        <v>0</v>
      </c>
      <c r="KO307" s="409" t="s">
        <v>1881</v>
      </c>
      <c r="KP307" s="409">
        <v>20</v>
      </c>
      <c r="KQ307" s="411">
        <f t="shared" si="233"/>
        <v>0</v>
      </c>
      <c r="KR307" s="411">
        <f t="shared" si="234"/>
        <v>96.521739130434781</v>
      </c>
      <c r="KS307" s="410">
        <f t="shared" si="235"/>
        <v>0</v>
      </c>
      <c r="KT307" s="409">
        <v>2</v>
      </c>
      <c r="KU307" s="409">
        <v>3</v>
      </c>
      <c r="KV307" s="409">
        <v>2</v>
      </c>
      <c r="KW307" s="409">
        <v>2</v>
      </c>
      <c r="KX307" s="409">
        <v>2</v>
      </c>
      <c r="KY307" s="409">
        <v>5</v>
      </c>
      <c r="KZ307" s="409">
        <v>10</v>
      </c>
      <c r="LA307" s="409">
        <v>20</v>
      </c>
      <c r="LB307" s="415">
        <v>0.3</v>
      </c>
      <c r="LC307" s="415"/>
      <c r="LD307" s="424"/>
      <c r="LE307" s="415">
        <v>0.5</v>
      </c>
      <c r="LF307" s="415">
        <v>0.2</v>
      </c>
      <c r="LG307" s="409">
        <v>0</v>
      </c>
      <c r="LH307" s="409">
        <f>20+17+21+35+14</f>
        <v>107</v>
      </c>
      <c r="LI307" s="409">
        <v>0</v>
      </c>
      <c r="LJ307" s="409">
        <v>0</v>
      </c>
      <c r="LK307" s="416">
        <f t="shared" si="191"/>
        <v>107</v>
      </c>
      <c r="LL307" s="416">
        <f t="shared" si="237"/>
        <v>107</v>
      </c>
      <c r="LM307" s="417">
        <f t="shared" si="193"/>
        <v>32.1</v>
      </c>
      <c r="LN307" s="417">
        <f>VLOOKUP($LM$8,'Jan-2026 rates'!$H:$I,2,0)</f>
        <v>0</v>
      </c>
      <c r="LO307" s="417">
        <f t="shared" si="194"/>
        <v>0</v>
      </c>
      <c r="LP307" s="417">
        <f>VLOOKUP($LO$8,'Jan-2026 rates'!$H:$I,2,0)</f>
        <v>0</v>
      </c>
      <c r="LQ307" s="417">
        <f t="shared" si="195"/>
        <v>0</v>
      </c>
      <c r="LR307" s="417">
        <f>VLOOKUP($LQ$8,'Jan-2026 rates'!$H:$I,2,0)</f>
        <v>0</v>
      </c>
      <c r="LS307" s="417">
        <f t="shared" si="196"/>
        <v>53.5</v>
      </c>
      <c r="LT307" s="417">
        <f>VLOOKUP($LS$8,'Jan-2026 rates'!$H:$I,2,0)</f>
        <v>0</v>
      </c>
      <c r="LU307" s="417">
        <f t="shared" si="197"/>
        <v>21.400000000000002</v>
      </c>
      <c r="LV307" s="417">
        <f>VLOOKUP($LU$8,'Jan-2026 rates'!$H:$I,2,0)</f>
        <v>0</v>
      </c>
      <c r="LW307" s="417">
        <f t="shared" si="198"/>
        <v>0</v>
      </c>
      <c r="LX307" s="417">
        <f t="shared" si="199"/>
        <v>0</v>
      </c>
      <c r="LY307" s="418">
        <f t="shared" si="200"/>
        <v>0</v>
      </c>
      <c r="LZ307" s="417"/>
      <c r="MA307" s="435">
        <f t="shared" si="201"/>
        <v>74.2</v>
      </c>
      <c r="MB307" s="282">
        <f t="shared" si="202"/>
        <v>192.2</v>
      </c>
      <c r="MC307" s="283" t="s">
        <v>2046</v>
      </c>
      <c r="MD307" s="284" t="str">
        <f t="shared" si="203"/>
        <v>ToyoLiToyoLiToyoLiToyoLiToyoLiToyoLiToyoLiToyoLi</v>
      </c>
      <c r="ME307" s="293" t="str">
        <f t="shared" si="204"/>
        <v>+</v>
      </c>
      <c r="MF307" s="293" t="str">
        <f t="shared" si="205"/>
        <v>+</v>
      </c>
      <c r="MG307" s="293" t="str">
        <f t="shared" si="206"/>
        <v>+</v>
      </c>
      <c r="MH307" s="293" t="str">
        <f t="shared" si="207"/>
        <v>+</v>
      </c>
      <c r="MI307" s="293" t="str">
        <f t="shared" si="208"/>
        <v>+</v>
      </c>
      <c r="MJ307" s="293" t="str">
        <f t="shared" si="209"/>
        <v>+</v>
      </c>
      <c r="MK307" s="293" t="str">
        <f t="shared" si="210"/>
        <v>+</v>
      </c>
      <c r="ML307" s="293" t="str">
        <f t="shared" si="211"/>
        <v>+</v>
      </c>
      <c r="MM307" s="3" t="b">
        <f t="array" ref="MM307">OR(ME307:ML307="-")</f>
        <v>0</v>
      </c>
      <c r="MO307" s="401">
        <f t="shared" si="238"/>
        <v>71.985018726591761</v>
      </c>
      <c r="MP307" s="286"/>
      <c r="MR307" s="402">
        <f t="shared" si="239"/>
        <v>1.2480519480519479E-2</v>
      </c>
      <c r="MS307" s="400">
        <f t="shared" si="240"/>
        <v>0</v>
      </c>
      <c r="MT307" s="285"/>
      <c r="NH307" s="361"/>
      <c r="NJ307" s="282"/>
    </row>
    <row r="308" spans="1:374" ht="16.5">
      <c r="A308" s="403">
        <v>46043</v>
      </c>
      <c r="B308" s="404" t="s">
        <v>1018</v>
      </c>
      <c r="C308" s="405" t="s">
        <v>4468</v>
      </c>
      <c r="D308" s="404" t="s">
        <v>2047</v>
      </c>
      <c r="E308" s="404">
        <v>578</v>
      </c>
      <c r="F308" s="407">
        <v>26000</v>
      </c>
      <c r="G308" s="407" t="s">
        <v>1016</v>
      </c>
      <c r="H308" s="408" t="s">
        <v>1017</v>
      </c>
      <c r="I308" s="409">
        <v>1.3</v>
      </c>
      <c r="J308" s="405" t="s">
        <v>543</v>
      </c>
      <c r="K308" s="404" t="s">
        <v>4469</v>
      </c>
      <c r="L308" s="419" t="str">
        <f t="shared" si="184"/>
        <v>ToyoLi - BLACK</v>
      </c>
      <c r="M308" s="404">
        <v>30</v>
      </c>
      <c r="N308" s="410">
        <f>IF(M308=0,0,IF($LB308=70%,VLOOKUP($L308,'Jan-2026 rates'!$L:$R,4,0),IF($LB308=65%,VLOOKUP($L308,'Jan-2026 rates'!$L:$R,4,0),IF($LB308=40%,VLOOKUP($L308,'Jan-2026 rates'!$L:$R,5,0),IF($LB308=30%,VLOOKUP($L308,'Jan-2026 rates'!$L:$R,6,0),IF($LB308=100%,VLOOKUP($L308,'Jan-2026 rates'!$L:$R,7,0),IF($LB308=60%,VLOOKUP($L308,'Jan-2026 rates'!$L:$S,8,0),IF($LB308=80%,VLOOKUP($L308,'Jan-2026 rates'!L:T,9,0),0))))))))</f>
        <v>0</v>
      </c>
      <c r="O308" s="406"/>
      <c r="P308" s="404"/>
      <c r="Q308" s="410">
        <f>IF(P308=0,0,IF($LB308=70%,VLOOKUP($L308,'Jan-2026 rates'!$L:$R,4,0),IF($LB308=65%,VLOOKUP($L308,'Jan-2026 rates'!$L:$R,4,0),IF($LB308=40%,VLOOKUP($L308,'Jan-2026 rates'!$L:$R,5,0),IF($LB308=30%,VLOOKUP($L308,'Jan-2026 rates'!$L:$R,6,0),IF($LB308=100%,VLOOKUP($L308,'Jan-2026 rates'!$L:$R,7,0),IF($LB308=60%,VLOOKUP($L308,'Jan-2026 rates'!$L:$S,8,0),IF($LB308=80%,VLOOKUP($L308,'Jan-2026 rates'!L:T,9,0),0))))))))</f>
        <v>0</v>
      </c>
      <c r="R308" s="406" t="s">
        <v>1252</v>
      </c>
      <c r="S308" s="406"/>
      <c r="T308" s="406"/>
      <c r="U308" s="406"/>
      <c r="V308" s="406"/>
      <c r="W308" s="406"/>
      <c r="X308" s="406"/>
      <c r="Y308" s="406"/>
      <c r="Z308" s="404">
        <v>3</v>
      </c>
      <c r="AA308" s="398">
        <f>IF(Z308=0,0,IF(LEN(R308)=11,_xlfn.XLOOKUP(R308,'Dispensed Ink Rates'!C:C,'Dispensed Ink Rates'!CS:CS),VLOOKUP(R308,'Jan-2026 rates'!$E:$F,2,0)))</f>
        <v>0</v>
      </c>
      <c r="AB308" s="404"/>
      <c r="AC308" s="398">
        <f>IF(AB308=0,0,IF(LEN(S308)=11,_xlfn.XLOOKUP(S308,'Dispensed Ink Rates'!C:C,'Dispensed Ink Rates'!CS:CS),VLOOKUP(S308,'Jan-2026 rates'!$E:$F,2,0)))</f>
        <v>0</v>
      </c>
      <c r="AD308" s="404"/>
      <c r="AE308" s="398">
        <f>IF(AD308=0,0,IF(LEN(T308)=11,_xlfn.XLOOKUP(T308,'Dispensed Ink Rates'!C:C,'Dispensed Ink Rates'!CS:CS),VLOOKUP(T308,'Jan-2026 rates'!$E:$F,2,0)))</f>
        <v>0</v>
      </c>
      <c r="AF308" s="404"/>
      <c r="AG308" s="398">
        <f>IF(AF308=0,0,IF(LEN(U308)=11,_xlfn.XLOOKUP(U308,'Dispensed Ink Rates'!C:C,'Dispensed Ink Rates'!CS:CS),VLOOKUP(U308,'Jan-2026 rates'!$E:$F,2,0)))</f>
        <v>0</v>
      </c>
      <c r="AH308" s="404"/>
      <c r="AI308" s="398">
        <f>IF(AH308=0,0,IF(LEN(V308)=11,_xlfn.XLOOKUP(V308,'Dispensed Ink Rates'!C:C,'Dispensed Ink Rates'!CS:CS),VLOOKUP(V308,'Jan-2026 rates'!$E:$F,2,0)))</f>
        <v>0</v>
      </c>
      <c r="AJ308" s="404"/>
      <c r="AK308" s="398">
        <f>IF(AJ308=0,0,IF(LEN(W308)=11,_xlfn.XLOOKUP(W308,'Dispensed Ink Rates'!C:C,'Dispensed Ink Rates'!CS:CS),VLOOKUP(W308,'Jan-2026 rates'!$E:$F,2,0)))</f>
        <v>0</v>
      </c>
      <c r="AL308" s="404"/>
      <c r="AM308" s="398">
        <f>IF(AL308=0,0,IF(LEN(X308)=11,_xlfn.XLOOKUP(X308,'Dispensed Ink Rates'!C:C,'Dispensed Ink Rates'!CS:CS),VLOOKUP(X308,'Jan-2026 rates'!$E:$F,2,0)))</f>
        <v>0</v>
      </c>
      <c r="AN308" s="404"/>
      <c r="AO308" s="398">
        <f>IF(AN308=0,0,IF(LEN(Y308)=11,_xlfn.XLOOKUP(Y308,'Dispensed Ink Rates'!C:C,'Dispensed Ink Rates'!CS:CS),VLOOKUP(Y308,'Jan-2026 rates'!$E:$F,2,0)))</f>
        <v>0</v>
      </c>
      <c r="AP308" s="409" t="s">
        <v>1881</v>
      </c>
      <c r="AQ308" s="409">
        <v>32</v>
      </c>
      <c r="AR308" s="410">
        <f t="shared" si="212"/>
        <v>0</v>
      </c>
      <c r="AS308" s="411">
        <f t="shared" si="213"/>
        <v>6.5806451612903203</v>
      </c>
      <c r="AT308" s="410">
        <f t="shared" si="214"/>
        <v>0</v>
      </c>
      <c r="AU308" s="405" t="s">
        <v>546</v>
      </c>
      <c r="AV308" s="409" t="s">
        <v>4470</v>
      </c>
      <c r="AW308" s="420" t="str">
        <f t="shared" si="236"/>
        <v>ToyoLi - REFLEX BLUE</v>
      </c>
      <c r="AX308" s="409">
        <v>20</v>
      </c>
      <c r="AY308" s="411">
        <f>IF(AX308=0,0,IF($LB308=70%,VLOOKUP($AW308,'Jan-2026 rates'!$L:$R,4,0),IF($LB308=65%,VLOOKUP($AW308,'Jan-2026 rates'!$L:$R,4,0),IF($LB308=40%,VLOOKUP($AW308,'Jan-2026 rates'!$L:$R,5,0),IF($LB308=30%,VLOOKUP($AW308,'Jan-2026 rates'!$L:$R,6,0),IF($LB308=100%,VLOOKUP($AW308,'Jan-2026 rates'!$L:$R,7,0),IF($LB308=60%,VLOOKUP($AW308,'Jan-2026 rates'!$L:$S,8,0),IF($LB308=80%,VLOOKUP($AW308,'Jan-2026 rates'!L:T,9,0),0))))))))</f>
        <v>0</v>
      </c>
      <c r="AZ308" s="412"/>
      <c r="BA308" s="409"/>
      <c r="BB308" s="411">
        <f>IF(BA308=0,0,IF($LB308=70%,VLOOKUP($AW308,'Jan-2026 rates'!$L:$R,4,0),IF($LB308=65%,VLOOKUP($AW308,'Jan-2026 rates'!$L:$R,4,0),IF($LB308=40%,VLOOKUP($AW308,'Jan-2026 rates'!$L:$R,5,0),IF($LB308=30%,VLOOKUP($AW308,'Jan-2026 rates'!$L:$R,6,0),IF($LB308=100%,VLOOKUP($AW308,'Jan-2026 rates'!$L:$R,7,0),IF($LB308=60%,VLOOKUP($AW308,'Jan-2026 rates'!$L:$S,8,0),IF($LB308=80%,VLOOKUP($AW308,'Jan-2026 rates'!L:T,9,0),0))))))))</f>
        <v>0</v>
      </c>
      <c r="BC308" s="413" t="s">
        <v>1880</v>
      </c>
      <c r="BD308" s="412" t="s">
        <v>1252</v>
      </c>
      <c r="BE308" s="412"/>
      <c r="BF308" s="413"/>
      <c r="BG308" s="412"/>
      <c r="BH308" s="412"/>
      <c r="BI308" s="412"/>
      <c r="BJ308" s="412"/>
      <c r="BK308" s="409">
        <v>6</v>
      </c>
      <c r="BL308" s="398">
        <f>IF(BK308=0,0,IF(LEN(BC308)=11,_xlfn.XLOOKUP(BC308,'Dispensed Ink Rates'!C:C,'Dispensed Ink Rates'!CS:CS),VLOOKUP(BC308,'Jan-2026 rates'!$E:$F,2,0)))</f>
        <v>0</v>
      </c>
      <c r="BM308" s="409">
        <v>1</v>
      </c>
      <c r="BN308" s="398">
        <f>IF(BM308=0,0,IF(LEN(BD308)=11,_xlfn.XLOOKUP(BD308,'Dispensed Ink Rates'!C:C,'Dispensed Ink Rates'!CS:CS),VLOOKUP(BD308,'Jan-2026 rates'!$E:$F,2,0)))</f>
        <v>0</v>
      </c>
      <c r="BO308" s="409"/>
      <c r="BP308" s="398">
        <f>IF(BO308=0,0,IF(LEN(BE308)=11,_xlfn.XLOOKUP(BE308,'Dispensed Ink Rates'!C:C,'Dispensed Ink Rates'!CS:CS),VLOOKUP(BE308,'Jan-2026 rates'!$E:$F,2,0)))</f>
        <v>0</v>
      </c>
      <c r="BQ308" s="409"/>
      <c r="BR308" s="398">
        <f>IF(BQ308=0,0,IF(LEN(BF308)=11,_xlfn.XLOOKUP(BF308,'Dispensed Ink Rates'!C:C,'Dispensed Ink Rates'!CS:CS),VLOOKUP(BF308,'Jan-2026 rates'!$E:$F,2,0)))</f>
        <v>0</v>
      </c>
      <c r="BS308" s="409"/>
      <c r="BT308" s="398">
        <f>IF(BS308=0,0,IF(LEN(BG308)=11,_xlfn.XLOOKUP(BG308,'Dispensed Ink Rates'!C:C,'Dispensed Ink Rates'!CS:CS),VLOOKUP(BG308,'Jan-2026 rates'!$E:$F,2,0)))</f>
        <v>0</v>
      </c>
      <c r="BU308" s="409"/>
      <c r="BV308" s="398">
        <f>IF(BU308=0,0,IF(LEN(BH308)=11,_xlfn.XLOOKUP(BH308,'Dispensed Ink Rates'!C:C,'Dispensed Ink Rates'!CS:CS),VLOOKUP(BH308,'Jan-2026 rates'!$E:$F,2,0)))</f>
        <v>0</v>
      </c>
      <c r="BW308" s="409"/>
      <c r="BX308" s="398">
        <f>IF(BW308=0,0,IF(LEN(BI308)=11,_xlfn.XLOOKUP(BI308,'Dispensed Ink Rates'!C:C,'Dispensed Ink Rates'!CS:CS),VLOOKUP(BI308,'Jan-2026 rates'!$E:$F,2,0)))</f>
        <v>0</v>
      </c>
      <c r="BY308" s="409"/>
      <c r="BZ308" s="398">
        <f>IF(BY308=0,0,IF(LEN(BJ308)=11,_xlfn.XLOOKUP(BJ308,'Dispensed Ink Rates'!C:C,'Dispensed Ink Rates'!CS:CS),VLOOKUP(BJ308,'Jan-2026 rates'!$E:$F,2,0)))</f>
        <v>0</v>
      </c>
      <c r="CA308" s="409" t="s">
        <v>1881</v>
      </c>
      <c r="CB308" s="409">
        <f>20+5</f>
        <v>25</v>
      </c>
      <c r="CC308" s="411">
        <f t="shared" si="215"/>
        <v>0</v>
      </c>
      <c r="CD308" s="411">
        <f t="shared" si="216"/>
        <v>13.161290322580641</v>
      </c>
      <c r="CE308" s="410">
        <f t="shared" si="217"/>
        <v>0</v>
      </c>
      <c r="CF308" s="404" t="s">
        <v>828</v>
      </c>
      <c r="CG308" s="409" t="s">
        <v>4471</v>
      </c>
      <c r="CH308" s="420" t="str">
        <f t="shared" si="185"/>
        <v>ToyoLi - ORANGE</v>
      </c>
      <c r="CI308" s="409">
        <f>12+8</f>
        <v>20</v>
      </c>
      <c r="CJ308" s="411">
        <f>IF(CI308=0,0,IF($LB308=70%,VLOOKUP($CH308,'Jan-2026 rates'!$L:$R,4,0),IF($LB308=65%,VLOOKUP($CH308,'Jan-2026 rates'!$L:$R,4,0),IF($LB308=40%,VLOOKUP($CH308,'Jan-2026 rates'!$L:$R,5,0),IF($LB308=30%,VLOOKUP($CH308,'Jan-2026 rates'!$L:$R,6,0),IF($LB308=100%,VLOOKUP($CH308,'Jan-2026 rates'!$L:$R,7,0),IF($LB308=60%,VLOOKUP($CH308,'Jan-2026 rates'!$L:$S,8,0),IF($LB308=80%,VLOOKUP($CH308,'Jan-2026 rates'!L:T,9,0),0))))))))</f>
        <v>0</v>
      </c>
      <c r="CK308" s="412" t="s">
        <v>4472</v>
      </c>
      <c r="CL308" s="409">
        <v>20</v>
      </c>
      <c r="CM308" s="411">
        <f>IF(CL308=0,0,IF($LB308=70%,VLOOKUP($CH308,'Jan-2026 rates'!$L:$R,4,0),IF($LB308=65%,VLOOKUP($CH308,'Jan-2026 rates'!$L:$R,4,0),IF($LB308=40%,VLOOKUP($CH308,'Jan-2026 rates'!$L:$R,5,0),IF($LB308=30%,VLOOKUP($CH308,'Jan-2026 rates'!$L:$R,6,0),IF($LB308=100%,VLOOKUP($CH308,'Jan-2026 rates'!$L:$R,7,0),IF($LB308=60%,VLOOKUP($CH308,'Jan-2026 rates'!$L:$S,8,0),IF($LB308=80%,VLOOKUP($CH308,'Jan-2026 rates'!L:T,9,0),0))))))))</f>
        <v>0</v>
      </c>
      <c r="CN308" s="426" t="s">
        <v>1249</v>
      </c>
      <c r="CO308" s="427" t="s">
        <v>1247</v>
      </c>
      <c r="CP308" s="426" t="s">
        <v>1248</v>
      </c>
      <c r="CQ308" s="426" t="s">
        <v>1252</v>
      </c>
      <c r="CR308" s="428"/>
      <c r="CS308" s="428"/>
      <c r="CT308" s="428"/>
      <c r="CU308" s="428"/>
      <c r="CV308" s="409">
        <v>8</v>
      </c>
      <c r="CW308" s="398">
        <f>IF(CV308=0,0,IF(LEN(CN308)=11,_xlfn.XLOOKUP(CN308,'Dispensed Ink Rates'!C:C,'Dispensed Ink Rates'!CS:CS),VLOOKUP(CN308,'Jan-2026 rates'!$E:$F,2,0)))</f>
        <v>0</v>
      </c>
      <c r="CX308" s="409">
        <v>15</v>
      </c>
      <c r="CY308" s="398">
        <f>IF(CX308=0,0,IF(LEN(CO308)=11,_xlfn.XLOOKUP(CO308,'Dispensed Ink Rates'!C:C,'Dispensed Ink Rates'!CS:CS),VLOOKUP(CO308,'Jan-2026 rates'!$E:$F,2,0)))</f>
        <v>0</v>
      </c>
      <c r="CZ308" s="409">
        <f>5+4</f>
        <v>9</v>
      </c>
      <c r="DA308" s="398">
        <f>IF(CZ308=0,0,IF(LEN(CP308)=11,_xlfn.XLOOKUP(CP308,'Dispensed Ink Rates'!C:C,'Dispensed Ink Rates'!CS:CS),VLOOKUP(CP308,'Jan-2026 rates'!$E:$F,2,0)))</f>
        <v>0</v>
      </c>
      <c r="DB308" s="409">
        <v>0.3</v>
      </c>
      <c r="DC308" s="398">
        <f>IF(DB308=0,0,IF(LEN(CQ308)=11,_xlfn.XLOOKUP(CQ308,'Dispensed Ink Rates'!C:C,'Dispensed Ink Rates'!CS:CS),VLOOKUP(CQ308,'Jan-2026 rates'!$E:$F,2,0)))</f>
        <v>0</v>
      </c>
      <c r="DD308" s="409"/>
      <c r="DE308" s="398">
        <f>IF(DD308=0,0,IF(LEN(CR308)=11,_xlfn.XLOOKUP(CR308,'Dispensed Ink Rates'!C:C,'Dispensed Ink Rates'!CS:CS),VLOOKUP(CR308,'Jan-2026 rates'!$E:$F,2,0)))</f>
        <v>0</v>
      </c>
      <c r="DF308" s="409"/>
      <c r="DG308" s="398">
        <f>IF(DF308=0,0,IF(LEN(CS308)=11,_xlfn.XLOOKUP(CS308,'Dispensed Ink Rates'!C:C,'Dispensed Ink Rates'!CS:CS),VLOOKUP(CS308,'Jan-2026 rates'!$E:$F,2,0)))</f>
        <v>0</v>
      </c>
      <c r="DH308" s="409"/>
      <c r="DI308" s="398">
        <f>IF(DH308=0,0,IF(LEN(CT308)=11,_xlfn.XLOOKUP(CT308,'Dispensed Ink Rates'!C:C,'Dispensed Ink Rates'!CS:CS),VLOOKUP(CT308,'Jan-2026 rates'!$E:$F,2,0)))</f>
        <v>0</v>
      </c>
      <c r="DJ308" s="409"/>
      <c r="DK308" s="398">
        <f>IF(DJ308=0,0,IF(LEN(CU308)=11,_xlfn.XLOOKUP(CU308,'Dispensed Ink Rates'!C:C,'Dispensed Ink Rates'!CS:CS),VLOOKUP(CU308,'Jan-2026 rates'!$E:$F,2,0)))</f>
        <v>0</v>
      </c>
      <c r="DL308" s="409" t="s">
        <v>1881</v>
      </c>
      <c r="DM308" s="409">
        <f>20+10</f>
        <v>30</v>
      </c>
      <c r="DN308" s="411">
        <f t="shared" si="218"/>
        <v>0</v>
      </c>
      <c r="DO308" s="411">
        <f t="shared" si="219"/>
        <v>84.154838709677421</v>
      </c>
      <c r="DP308" s="410">
        <f t="shared" si="220"/>
        <v>0</v>
      </c>
      <c r="DQ308" s="405" t="s">
        <v>545</v>
      </c>
      <c r="DR308" s="409" t="s">
        <v>4473</v>
      </c>
      <c r="DS308" s="420" t="str">
        <f t="shared" si="186"/>
        <v>ToyoLi - YELLOW</v>
      </c>
      <c r="DT308" s="409">
        <v>17</v>
      </c>
      <c r="DU308" s="411">
        <f>IF(DT308=0,0,IF($LB308=70%,VLOOKUP($DS308,'Jan-2026 rates'!$L:$R,4,0),IF($LB308=65%,VLOOKUP($DS308,'Jan-2026 rates'!$L:$R,4,0),IF($LB308=40%,VLOOKUP($DS308,'Jan-2026 rates'!$L:$R,5,0),IF($LB308=30%,VLOOKUP($DS308,'Jan-2026 rates'!$L:$R,6,0),IF($LB308=100%,VLOOKUP($DS308,'Jan-2026 rates'!$L:$R,7,0),IF($LB308=60%,VLOOKUP($DS308,'Jan-2026 rates'!$L:$S,8,0),IF($LB308=80%,VLOOKUP($DS308,'Jan-2026 rates'!L:T,9,0),0))))))))</f>
        <v>0</v>
      </c>
      <c r="DV308" s="412"/>
      <c r="DW308" s="409"/>
      <c r="DX308" s="411">
        <f>IF(DW308=0,0,IF($LB308=70%,VLOOKUP($DS308,'Jan-2026 rates'!$L:$R,4,0),IF($LB308=65%,VLOOKUP($DS308,'Jan-2026 rates'!$L:$R,4,0),IF($LB308=40%,VLOOKUP($DS308,'Jan-2026 rates'!$L:$R,5,0),IF($LB308=30%,VLOOKUP($DS308,'Jan-2026 rates'!$L:$R,6,0),IF($LB308=100%,VLOOKUP($DS308,'Jan-2026 rates'!$L:$R,7,0),IF($LB308=60%,VLOOKUP($DS308,'Jan-2026 rates'!$L:$S,8,0),IF($LB308=80%,VLOOKUP($DS308,'Jan-2026 rates'!L:T,9,0),0))))))))</f>
        <v>0</v>
      </c>
      <c r="DY308" s="413" t="s">
        <v>1247</v>
      </c>
      <c r="DZ308" s="413" t="s">
        <v>1248</v>
      </c>
      <c r="EA308" s="412"/>
      <c r="EB308" s="412"/>
      <c r="EC308" s="412"/>
      <c r="ED308" s="412"/>
      <c r="EE308" s="412"/>
      <c r="EF308" s="412"/>
      <c r="EG308" s="409">
        <v>8</v>
      </c>
      <c r="EH308" s="398">
        <f>IF(EG308=0,0,IF(LEN(DY308)=11,_xlfn.XLOOKUP(DY308,'Dispensed Ink Rates'!C:C,'Dispensed Ink Rates'!CS:CS),VLOOKUP(DY308,'Jan-2026 rates'!$E:$F,2,0)))</f>
        <v>0</v>
      </c>
      <c r="EI308" s="409">
        <v>0.2</v>
      </c>
      <c r="EJ308" s="398">
        <f>IF(EI308=0,0,IF(LEN(DZ308)=11,_xlfn.XLOOKUP(DZ308,'Dispensed Ink Rates'!C:C,'Dispensed Ink Rates'!CS:CS),VLOOKUP(DZ308,'Jan-2026 rates'!$E:$F,2,0)))</f>
        <v>0</v>
      </c>
      <c r="EK308" s="409"/>
      <c r="EL308" s="398">
        <f>IF(EK308=0,0,IF(LEN(EA308)=11,_xlfn.XLOOKUP(EA308,'Dispensed Ink Rates'!C:C,'Dispensed Ink Rates'!CS:CS),VLOOKUP(EA308,'Jan-2026 rates'!$E:$F,2,0)))</f>
        <v>0</v>
      </c>
      <c r="EM308" s="409"/>
      <c r="EN308" s="398">
        <f>IF(EM308=0,0,IF(LEN(EB308)=11,_xlfn.XLOOKUP(EB308,'Dispensed Ink Rates'!C:C,'Dispensed Ink Rates'!CS:CS),VLOOKUP(EB308,'Jan-2026 rates'!$E:$F,2,0)))</f>
        <v>0</v>
      </c>
      <c r="EO308" s="409"/>
      <c r="EP308" s="398">
        <f>IF(EO308=0,0,IF(LEN(EC308)=11,_xlfn.XLOOKUP(EC308,'Dispensed Ink Rates'!C:C,'Dispensed Ink Rates'!CS:CS),VLOOKUP(EC308,'Jan-2026 rates'!$E:$F,2,0)))</f>
        <v>0</v>
      </c>
      <c r="EQ308" s="409"/>
      <c r="ER308" s="398">
        <f>IF(EQ308=0,0,IF(LEN(ED308)=11,_xlfn.XLOOKUP(ED308,'Dispensed Ink Rates'!C:C,'Dispensed Ink Rates'!CS:CS),VLOOKUP(ED308,'Jan-2026 rates'!$E:$F,2,0)))</f>
        <v>0</v>
      </c>
      <c r="ES308" s="409"/>
      <c r="ET308" s="398">
        <f>IF(ES308=0,0,IF(LEN(EE308)=11,_xlfn.XLOOKUP(EE308,'Dispensed Ink Rates'!C:C,'Dispensed Ink Rates'!CS:CS),VLOOKUP(EE308,'Jan-2026 rates'!$E:$F,2,0)))</f>
        <v>0</v>
      </c>
      <c r="EU308" s="409"/>
      <c r="EV308" s="398">
        <f>IF(EU308=0,0,IF(LEN(EF308)=11,_xlfn.XLOOKUP(EF308,'Dispensed Ink Rates'!C:C,'Dispensed Ink Rates'!CS:CS),VLOOKUP(EF308,'Jan-2026 rates'!$E:$F,2,0)))</f>
        <v>0</v>
      </c>
      <c r="EW308" s="409" t="s">
        <v>1881</v>
      </c>
      <c r="EX308" s="409">
        <v>18</v>
      </c>
      <c r="EY308" s="411">
        <f t="shared" si="221"/>
        <v>0</v>
      </c>
      <c r="EZ308" s="411">
        <f t="shared" si="222"/>
        <v>12.780645161290323</v>
      </c>
      <c r="FA308" s="410">
        <f t="shared" si="223"/>
        <v>0</v>
      </c>
      <c r="FB308" s="405" t="s">
        <v>855</v>
      </c>
      <c r="FC308" s="409" t="s">
        <v>4474</v>
      </c>
      <c r="FD308" s="420" t="str">
        <f t="shared" si="187"/>
        <v>ToyoLi - CYAN</v>
      </c>
      <c r="FE308" s="409">
        <v>29</v>
      </c>
      <c r="FF308" s="411">
        <f>IF(FE308=0,0,IF($LB308=70%,VLOOKUP($FD308,'Jan-2026 rates'!$L:$R,4,0),IF($LB308=65%,VLOOKUP($FD308,'Jan-2026 rates'!$L:$R,4,0),IF($LB308=40%,VLOOKUP($FD308,'Jan-2026 rates'!$L:$R,5,0),IF($LB308=30%,VLOOKUP($FD308,'Jan-2026 rates'!$L:$R,6,0),IF($LB308=100%,VLOOKUP($FD308,'Jan-2026 rates'!$L:$R,7,0),IF($LB308=60%,VLOOKUP($FD308,'Jan-2026 rates'!$L:$S,8,0),IF($LB308=80%,VLOOKUP($FD308,'Jan-2026 rates'!L:T,9,0),0))))))))</f>
        <v>0</v>
      </c>
      <c r="FG308" s="412"/>
      <c r="FH308" s="409"/>
      <c r="FI308" s="411">
        <f>IF(FH308=0,0,IF($LB308=70%,VLOOKUP($FD308,'Jan-2026 rates'!$L:$R,4,0),IF($LB308=65%,VLOOKUP($FD308,'Jan-2026 rates'!$L:$R,4,0),IF($LB308=40%,VLOOKUP($FD308,'Jan-2026 rates'!$L:$R,5,0),IF($LB308=30%,VLOOKUP($FD308,'Jan-2026 rates'!$L:$R,6,0),IF($LB308=100%,VLOOKUP($FD308,'Jan-2026 rates'!$L:$R,7,0),IF($LB308=60%,VLOOKUP($FD308,'Jan-2026 rates'!$L:$S,8,0),IF($LB308=80%,VLOOKUP($FD308,'Jan-2026 rates'!L:T,9,0),0))))))))</f>
        <v>0</v>
      </c>
      <c r="FJ308" s="413"/>
      <c r="FK308" s="413"/>
      <c r="FL308" s="413"/>
      <c r="FM308" s="412"/>
      <c r="FN308" s="412"/>
      <c r="FO308" s="412"/>
      <c r="FP308" s="412"/>
      <c r="FQ308" s="412"/>
      <c r="FR308" s="409"/>
      <c r="FS308" s="398">
        <f>IF(FR308=0,0,IF(LEN(FJ308)=11,_xlfn.XLOOKUP(FJ308,'Dispensed Ink Rates'!C:C,'Dispensed Ink Rates'!CS:CS),VLOOKUP(FJ308,'Jan-2026 rates'!$E:$F,2,0)))</f>
        <v>0</v>
      </c>
      <c r="FT308" s="409"/>
      <c r="FU308" s="398">
        <f>IF(FT308=0,0,IF(LEN(FK308)=11,_xlfn.XLOOKUP(FK308,'Dispensed Ink Rates'!C:C,'Dispensed Ink Rates'!CS:CS),VLOOKUP(FK308,'Jan-2026 rates'!$E:$F,2,0)))</f>
        <v>0</v>
      </c>
      <c r="FV308" s="409"/>
      <c r="FW308" s="398">
        <f>IF(FV308=0,0,IF(LEN(FL308)=11,_xlfn.XLOOKUP(FL308,'Dispensed Ink Rates'!C:C,'Dispensed Ink Rates'!CS:CS),VLOOKUP(FL308,'Jan-2026 rates'!$E:$F,2,0)))</f>
        <v>0</v>
      </c>
      <c r="FX308" s="409"/>
      <c r="FY308" s="398">
        <f>IF(FX308=0,0,IF(LEN(FM308)=11,_xlfn.XLOOKUP(FM308,'Dispensed Ink Rates'!C:C,'Dispensed Ink Rates'!CS:CS),VLOOKUP(FM308,'Jan-2026 rates'!$E:$F,2,0)))</f>
        <v>0</v>
      </c>
      <c r="FZ308" s="409"/>
      <c r="GA308" s="398">
        <f>IF(FZ308=0,0,IF(LEN(FN308)=11,_xlfn.XLOOKUP(FN308,'Dispensed Ink Rates'!C:C,'Dispensed Ink Rates'!CS:CS),VLOOKUP(FN308,'Jan-2026 rates'!$E:$F,2,0)))</f>
        <v>0</v>
      </c>
      <c r="GB308" s="409"/>
      <c r="GC308" s="398">
        <f>IF(GB308=0,0,IF(LEN(FO308)=11,_xlfn.XLOOKUP(FO308,'Dispensed Ink Rates'!C:C,'Dispensed Ink Rates'!CS:CS),VLOOKUP(FO308,'Jan-2026 rates'!$E:$F,2,0)))</f>
        <v>0</v>
      </c>
      <c r="GD308" s="409"/>
      <c r="GE308" s="398">
        <f>IF(GD308=0,0,IF(LEN(FP308)=11,_xlfn.XLOOKUP(FP308,'Dispensed Ink Rates'!C:C,'Dispensed Ink Rates'!CS:CS),VLOOKUP(FP308,'Jan-2026 rates'!$E:$F,2,0)))</f>
        <v>0</v>
      </c>
      <c r="GF308" s="409"/>
      <c r="GG308" s="398">
        <f>IF(GF308=0,0,IF(LEN(FQ308)=11,_xlfn.XLOOKUP(FQ308,'Dispensed Ink Rates'!C:C,'Dispensed Ink Rates'!CS:CS),VLOOKUP(FQ308,'Jan-2026 rates'!$E:$F,2,0)))</f>
        <v>0</v>
      </c>
      <c r="GH308" s="409" t="s">
        <v>1881</v>
      </c>
      <c r="GI308" s="409">
        <v>27</v>
      </c>
      <c r="GJ308" s="411">
        <f t="shared" si="224"/>
        <v>0</v>
      </c>
      <c r="GK308" s="411">
        <f t="shared" si="225"/>
        <v>7.5806451612903203</v>
      </c>
      <c r="GL308" s="410">
        <f t="shared" si="226"/>
        <v>0</v>
      </c>
      <c r="GM308" s="405" t="s">
        <v>544</v>
      </c>
      <c r="GN308" s="409" t="s">
        <v>4475</v>
      </c>
      <c r="GO308" s="420" t="str">
        <f t="shared" si="188"/>
        <v>ToyoLi - MAGENTA</v>
      </c>
      <c r="GP308" s="409">
        <v>28</v>
      </c>
      <c r="GQ308" s="411">
        <f>IF(GP308=0,0,IF($LB308=70%,VLOOKUP($GO308,'Jan-2026 rates'!$L:$R,4,0),IF($LB308=65%,VLOOKUP($GO308,'Jan-2026 rates'!$L:$R,4,0),IF($LB308=40%,VLOOKUP($GO308,'Jan-2026 rates'!$L:$R,5,0),IF($LB308=30%,VLOOKUP($GO308,'Jan-2026 rates'!$L:$R,6,0),IF($LB308=100%,VLOOKUP($GO308,'Jan-2026 rates'!$L:$R,7,0),IF($LB308=60%,VLOOKUP($GO308,'Jan-2026 rates'!$L:$S,8,0),IF($LB308=80%,VLOOKUP($GO308,'Jan-2026 rates'!L:T,9,0),0))))))))</f>
        <v>0</v>
      </c>
      <c r="GR308" s="412"/>
      <c r="GS308" s="409"/>
      <c r="GT308" s="411">
        <f>IF(GS308=0,0,IF($LB308=70%,VLOOKUP($GO308,'Jan-2026 rates'!$L:$R,4,0),IF($LB308=65%,VLOOKUP($GO308,'Jan-2026 rates'!$L:$R,4,0),IF($LB308=40%,VLOOKUP($GO308,'Jan-2026 rates'!$L:$R,5,0),IF($LB308=30%,VLOOKUP($GO308,'Jan-2026 rates'!$L:$R,6,0),IF($LB308=100%,VLOOKUP($GO308,'Jan-2026 rates'!$L:$R,7,0),IF($LB308=60%,VLOOKUP($GO308,'Jan-2026 rates'!$L:$S,8,0),IF($LB308=80%,VLOOKUP($GO308,'Jan-2026 rates'!L:T,9,0),0))))))))</f>
        <v>0</v>
      </c>
      <c r="GU308" s="413"/>
      <c r="GV308" s="413"/>
      <c r="GW308" s="412"/>
      <c r="GX308" s="412"/>
      <c r="GY308" s="412"/>
      <c r="GZ308" s="412"/>
      <c r="HA308" s="412"/>
      <c r="HB308" s="412"/>
      <c r="HC308" s="409"/>
      <c r="HD308" s="398">
        <f>IF(HC308=0,0,IF(LEN(GU308)=11,_xlfn.XLOOKUP(GU308,'Dispensed Ink Rates'!C:C,'Dispensed Ink Rates'!CS:CS),VLOOKUP(GU308,'Jan-2026 rates'!$E:$F,2,0)))</f>
        <v>0</v>
      </c>
      <c r="HE308" s="409"/>
      <c r="HF308" s="398">
        <f>IF(HE308=0,0,IF(LEN(GV308)=11,_xlfn.XLOOKUP(GV308,'Dispensed Ink Rates'!C:C,'Dispensed Ink Rates'!CS:CS),VLOOKUP(GV308,'Jan-2026 rates'!$E:$F,2,0)))</f>
        <v>0</v>
      </c>
      <c r="HG308" s="409"/>
      <c r="HH308" s="398">
        <f>IF(HG308=0,0,IF(LEN(GW308)=11,_xlfn.XLOOKUP(GW308,'Dispensed Ink Rates'!C:C,'Dispensed Ink Rates'!CS:CS),VLOOKUP(GW308,'Jan-2026 rates'!$E:$F,2,0)))</f>
        <v>0</v>
      </c>
      <c r="HI308" s="409"/>
      <c r="HJ308" s="398">
        <f>IF(HI308=0,0,IF(LEN(GX308)=11,_xlfn.XLOOKUP(GX308,'Dispensed Ink Rates'!C:C,'Dispensed Ink Rates'!CS:CS),VLOOKUP(GX308,'Jan-2026 rates'!$E:$F,2,0)))</f>
        <v>0</v>
      </c>
      <c r="HK308" s="409"/>
      <c r="HL308" s="398">
        <f>IF(HK308=0,0,IF(LEN(GY308)=11,_xlfn.XLOOKUP(GY308,'Dispensed Ink Rates'!C:C,'Dispensed Ink Rates'!CS:CS),VLOOKUP(GY308,'Jan-2026 rates'!$E:$F,2,0)))</f>
        <v>0</v>
      </c>
      <c r="HM308" s="409"/>
      <c r="HN308" s="398">
        <f>IF(HM308=0,0,IF(LEN(GZ308)=11,_xlfn.XLOOKUP(GZ308,'Dispensed Ink Rates'!C:C,'Dispensed Ink Rates'!CS:CS),VLOOKUP(GZ308,'Jan-2026 rates'!$E:$F,2,0)))</f>
        <v>0</v>
      </c>
      <c r="HO308" s="409"/>
      <c r="HP308" s="398">
        <f>IF(HO308=0,0,IF(LEN(HA308)=11,_xlfn.XLOOKUP(HA308,'Dispensed Ink Rates'!C:C,'Dispensed Ink Rates'!CS:CS),VLOOKUP(HA308,'Jan-2026 rates'!$E:$F,2,0)))</f>
        <v>0</v>
      </c>
      <c r="HQ308" s="409"/>
      <c r="HR308" s="398">
        <f>IF(HQ308=0,0,IF(LEN(HB308)=11,_xlfn.XLOOKUP(HB308,'Dispensed Ink Rates'!C:C,'Dispensed Ink Rates'!CS:CS),VLOOKUP(HB308,'Jan-2026 rates'!$E:$F,2,0)))</f>
        <v>0</v>
      </c>
      <c r="HS308" s="409" t="s">
        <v>1881</v>
      </c>
      <c r="HT308" s="409">
        <v>25</v>
      </c>
      <c r="HU308" s="411">
        <f t="shared" si="227"/>
        <v>0</v>
      </c>
      <c r="HV308" s="411">
        <f t="shared" si="228"/>
        <v>8.5806451612903203</v>
      </c>
      <c r="HW308" s="414">
        <f t="shared" si="229"/>
        <v>0</v>
      </c>
      <c r="HX308" s="405" t="s">
        <v>545</v>
      </c>
      <c r="HY308" s="409" t="s">
        <v>4476</v>
      </c>
      <c r="HZ308" s="420" t="str">
        <f t="shared" si="189"/>
        <v>ToyoLi - YELLOW</v>
      </c>
      <c r="IA308" s="409">
        <v>25</v>
      </c>
      <c r="IB308" s="411">
        <f>IF(IA308=0,0,IF($LB308=70%,VLOOKUP($HZ308,'Jan-2026 rates'!$L:$R,4,0),IF($LB308=65%,VLOOKUP($HZ308,'Jan-2026 rates'!$L:$R,4,0),IF($LB308=40%,VLOOKUP($HZ308,'Jan-2026 rates'!$L:$R,5,0),IF($LB308=30%,VLOOKUP($HZ308,'Jan-2026 rates'!$L:$R,6,0),IF($LB308=100%,VLOOKUP($HZ308,'Jan-2026 rates'!$L:$R,7,0),IF($LB308=60%,VLOOKUP($HZ308,'Jan-2026 rates'!$L:$S,8,0),IF($LB308=80%,VLOOKUP($HZ308,'Jan-2026 rates'!L:T,9,0),0))))))))</f>
        <v>0</v>
      </c>
      <c r="IC308" s="412"/>
      <c r="ID308" s="409"/>
      <c r="IE308" s="411">
        <f>IF(ID308=0,0,IF($LB308=70%,VLOOKUP($HZ308,'Jan-2026 rates'!$L:$R,4,0),IF($LB308=65%,VLOOKUP($HZ308,'Jan-2026 rates'!$L:$R,4,0),IF($LB308=40%,VLOOKUP($HZ308,'Jan-2026 rates'!$L:$R,5,0),IF($LB308=30%,VLOOKUP($HZ308,'Jan-2026 rates'!$L:$R,6,0),IF($LB308=100%,VLOOKUP($HZ308,'Jan-2026 rates'!$L:$R,7,0),IF($LB308=60%,VLOOKUP($HZ308,'Jan-2026 rates'!$L:$S,8,0),IF($LB308=80%,VLOOKUP($HZ308,'Jan-2026 rates'!L:T,9,0),0))))))))</f>
        <v>0</v>
      </c>
      <c r="IF308" s="412" t="s">
        <v>1247</v>
      </c>
      <c r="IG308" s="413" t="s">
        <v>1921</v>
      </c>
      <c r="IH308" s="412"/>
      <c r="II308" s="412"/>
      <c r="IJ308" s="412"/>
      <c r="IK308" s="412"/>
      <c r="IL308" s="412"/>
      <c r="IM308" s="412"/>
      <c r="IN308" s="409">
        <v>5</v>
      </c>
      <c r="IO308" s="398">
        <f>IF(IN308=0,0,IF(LEN(IF308)=11,_xlfn.XLOOKUP(IF308,'Dispensed Ink Rates'!C:C,'Dispensed Ink Rates'!CS:CS),VLOOKUP(IF308,'Jan-2026 rates'!$E:$F,2,0)))</f>
        <v>0</v>
      </c>
      <c r="IP308" s="409">
        <v>3</v>
      </c>
      <c r="IQ308" s="398">
        <f>IF(IP308=0,0,IF(LEN(IG308)=11,_xlfn.XLOOKUP(IG308,'Dispensed Ink Rates'!C:C,'Dispensed Ink Rates'!CS:CS),VLOOKUP(IG308,'Jan-2026 rates'!$E:$F,2,0)))</f>
        <v>0</v>
      </c>
      <c r="IR308" s="409"/>
      <c r="IS308" s="398">
        <f>IF(IR308=0,0,IF(LEN(IH308)=11,_xlfn.XLOOKUP(IH308,'Dispensed Ink Rates'!C:C,'Dispensed Ink Rates'!CS:CS),VLOOKUP(IH308,'Jan-2026 rates'!$E:$F,2,0)))</f>
        <v>0</v>
      </c>
      <c r="IT308" s="409"/>
      <c r="IU308" s="398">
        <f>IF(IT308=0,0,IF(LEN(II308)=11,_xlfn.XLOOKUP(II308,'Dispensed Ink Rates'!C:C,'Dispensed Ink Rates'!CS:CS),VLOOKUP(II308,'Jan-2026 rates'!$E:$F,2,0)))</f>
        <v>0</v>
      </c>
      <c r="IV308" s="409"/>
      <c r="IW308" s="398">
        <f>IF(IV308=0,0,IF(LEN(IJ308)=11,_xlfn.XLOOKUP(IJ308,'Dispensed Ink Rates'!C:C,'Dispensed Ink Rates'!CS:CS),VLOOKUP(IJ308,'Jan-2026 rates'!$E:$F,2,0)))</f>
        <v>0</v>
      </c>
      <c r="IX308" s="409"/>
      <c r="IY308" s="398">
        <f>IF(IX308=0,0,IF(LEN(IK308)=11,_xlfn.XLOOKUP(IK308,'Dispensed Ink Rates'!C:C,'Dispensed Ink Rates'!CS:CS),VLOOKUP(IK308,'Jan-2026 rates'!$E:$F,2,0)))</f>
        <v>0</v>
      </c>
      <c r="IZ308" s="409"/>
      <c r="JA308" s="398">
        <f>IF(IZ308=0,0,IF(LEN(IL308)=11,_xlfn.XLOOKUP(IL308,'Dispensed Ink Rates'!C:C,'Dispensed Ink Rates'!CS:CS),VLOOKUP(IL308,'Jan-2026 rates'!$E:$F,2,0)))</f>
        <v>0</v>
      </c>
      <c r="JB308" s="409"/>
      <c r="JC308" s="398">
        <f>IF(JB308=0,0,IF(LEN(IM308)=11,_xlfn.XLOOKUP(IM308,'Dispensed Ink Rates'!C:C,'Dispensed Ink Rates'!CS:CS),VLOOKUP(IM308,'Jan-2026 rates'!$E:$F,2,0)))</f>
        <v>0</v>
      </c>
      <c r="JD308" s="409" t="s">
        <v>1881</v>
      </c>
      <c r="JE308" s="409">
        <v>24</v>
      </c>
      <c r="JF308" s="411">
        <f t="shared" si="230"/>
        <v>0</v>
      </c>
      <c r="JG308" s="411">
        <f t="shared" si="231"/>
        <v>22.951612903225808</v>
      </c>
      <c r="JH308" s="410">
        <f t="shared" si="232"/>
        <v>0</v>
      </c>
      <c r="JI308" s="405" t="s">
        <v>856</v>
      </c>
      <c r="JJ308" s="409" t="s">
        <v>4477</v>
      </c>
      <c r="JK308" s="420" t="str">
        <f t="shared" si="190"/>
        <v>ToyoLi - WHITE</v>
      </c>
      <c r="JL308" s="409">
        <v>20</v>
      </c>
      <c r="JM308" s="411">
        <f>IF(JL308=0,0,IF($LB308=70%,VLOOKUP($JK308,'Jan-2026 rates'!$L:$R,4,0),IF($LB308=65%,VLOOKUP($JK308,'Jan-2026 rates'!$L:$R,4,0),IF($LB308=40%,VLOOKUP($JK308,'Jan-2026 rates'!$L:$R,5,0),IF($LB308=30%,VLOOKUP($JK308,'Jan-2026 rates'!$L:$R,6,0),IF($LB308=100%,VLOOKUP($JK308,'Jan-2026 rates'!$L:$R,7,0),IF($LB308=60%,VLOOKUP($JK308,'Jan-2026 rates'!$L:$S,8,0),IF($LB308=80%,VLOOKUP($JK308,'Jan-2026 rates'!L:T,9,0),0))))))))</f>
        <v>0</v>
      </c>
      <c r="JN308" s="412"/>
      <c r="JO308" s="409"/>
      <c r="JP308" s="411">
        <f>IF(JO308=0,0,IF($LB308=70%,VLOOKUP($JK308,'Jan-2026 rates'!$L:$R,4,0),IF($LB308=65%,VLOOKUP($JK308,'Jan-2026 rates'!$L:$R,4,0),IF($LB308=40%,VLOOKUP($JK308,'Jan-2026 rates'!$L:$R,5,0),IF($LB308=30%,VLOOKUP($JK308,'Jan-2026 rates'!$L:$R,6,0),IF($LB308=100%,VLOOKUP($JK308,'Jan-2026 rates'!$L:$R,7,0),IF($LB308=60%,VLOOKUP($JK308,'Jan-2026 rates'!$L:$S,8,0),IF($LB308=80%,VLOOKUP($JK308,'Jan-2026 rates'!L:T,9,0),0))))))))</f>
        <v>0</v>
      </c>
      <c r="JQ308" s="413" t="s">
        <v>1249</v>
      </c>
      <c r="JR308" s="412" t="s">
        <v>1122</v>
      </c>
      <c r="JS308" s="413"/>
      <c r="JT308" s="413"/>
      <c r="JU308" s="412"/>
      <c r="JV308" s="412"/>
      <c r="JW308" s="412"/>
      <c r="JX308" s="412"/>
      <c r="JY308" s="409">
        <f>60+40</f>
        <v>100</v>
      </c>
      <c r="JZ308" s="398">
        <f>IF(JY308=0,0,IF(LEN(JQ308)=11,_xlfn.XLOOKUP(JQ308,'Dispensed Ink Rates'!C:C,'Dispensed Ink Rates'!CS:CS),VLOOKUP(JQ308,'Jan-2026 rates'!$E:$F,2,0)))</f>
        <v>0</v>
      </c>
      <c r="KA308" s="409">
        <v>8.0500000000000007</v>
      </c>
      <c r="KB308" s="398">
        <f>IF(KA308=0,0,IF(LEN(JR308)=11,_xlfn.XLOOKUP(JR308,'Dispensed Ink Rates'!C:C,'Dispensed Ink Rates'!CS:CS),VLOOKUP(JR308,'Jan-2026 rates'!$E:$F,2,0)))</f>
        <v>0</v>
      </c>
      <c r="KC308" s="409"/>
      <c r="KD308" s="398">
        <f>IF(KC308=0,0,IF(LEN(JS308)=11,_xlfn.XLOOKUP(JS308,'Dispensed Ink Rates'!C:C,'Dispensed Ink Rates'!CS:CS),VLOOKUP(JS308,'Jan-2026 rates'!$E:$F,2,0)))</f>
        <v>0</v>
      </c>
      <c r="KE308" s="409"/>
      <c r="KF308" s="398">
        <f>IF(KE308=0,0,IF(LEN(JT308)=11,_xlfn.XLOOKUP(JT308,'Dispensed Ink Rates'!C:C,'Dispensed Ink Rates'!CS:CS),VLOOKUP(JT308,'Jan-2026 rates'!$E:$F,2,0)))</f>
        <v>0</v>
      </c>
      <c r="KG308" s="409"/>
      <c r="KH308" s="398">
        <f>IF(KG308=0,0,IF(LEN(JU308)=11,_xlfn.XLOOKUP(JU308,'Dispensed Ink Rates'!C:C,'Dispensed Ink Rates'!CS:CS),VLOOKUP(JU308,'Jan-2026 rates'!$E:$F,2,0)))</f>
        <v>0</v>
      </c>
      <c r="KI308" s="409"/>
      <c r="KJ308" s="398">
        <f>IF(KI308=0,0,IF(LEN(JV308)=11,_xlfn.XLOOKUP(JV308,'Dispensed Ink Rates'!C:C,'Dispensed Ink Rates'!CS:CS),VLOOKUP(JV308,'Jan-2026 rates'!$E:$F,2,0)))</f>
        <v>0</v>
      </c>
      <c r="KK308" s="409"/>
      <c r="KL308" s="398">
        <f>IF(KK308=0,0,IF(LEN(JW308)=11,_xlfn.XLOOKUP(JW308,'Dispensed Ink Rates'!C:C,'Dispensed Ink Rates'!CS:CS),VLOOKUP(JW308,'Jan-2026 rates'!$E:$F,2,0)))</f>
        <v>0</v>
      </c>
      <c r="KM308" s="428"/>
      <c r="KN308" s="398">
        <f>IF(KM308=0,0,IF(LEN(JX308)=11,_xlfn.XLOOKUP(JX308,'Dispensed Ink Rates'!C:C,'Dispensed Ink Rates'!CS:CS),VLOOKUP(JX308,'Jan-2026 rates'!$E:$F,2,0)))</f>
        <v>0</v>
      </c>
      <c r="KO308" s="409" t="s">
        <v>1881</v>
      </c>
      <c r="KP308" s="409">
        <v>25</v>
      </c>
      <c r="KQ308" s="411">
        <f t="shared" si="233"/>
        <v>0</v>
      </c>
      <c r="KR308" s="411">
        <f t="shared" si="234"/>
        <v>186.75967741935486</v>
      </c>
      <c r="KS308" s="410">
        <f t="shared" si="235"/>
        <v>0</v>
      </c>
      <c r="KT308" s="409">
        <v>2</v>
      </c>
      <c r="KU308" s="409">
        <v>4</v>
      </c>
      <c r="KV308" s="409">
        <v>15</v>
      </c>
      <c r="KW308" s="409">
        <v>2</v>
      </c>
      <c r="KX308" s="409">
        <v>2</v>
      </c>
      <c r="KY308" s="409">
        <v>2</v>
      </c>
      <c r="KZ308" s="409">
        <v>5</v>
      </c>
      <c r="LA308" s="409">
        <v>30</v>
      </c>
      <c r="LB308" s="415">
        <v>0.3</v>
      </c>
      <c r="LC308" s="415"/>
      <c r="LD308" s="424"/>
      <c r="LE308" s="415">
        <v>0.5</v>
      </c>
      <c r="LF308" s="415">
        <v>0.2</v>
      </c>
      <c r="LG308" s="409">
        <v>0</v>
      </c>
      <c r="LH308" s="409">
        <f>30+43+30+50+20</f>
        <v>173</v>
      </c>
      <c r="LI308" s="409">
        <v>0</v>
      </c>
      <c r="LJ308" s="409">
        <v>0</v>
      </c>
      <c r="LK308" s="416">
        <f t="shared" si="191"/>
        <v>173</v>
      </c>
      <c r="LL308" s="416">
        <f t="shared" si="237"/>
        <v>173</v>
      </c>
      <c r="LM308" s="417">
        <f t="shared" si="193"/>
        <v>51.9</v>
      </c>
      <c r="LN308" s="417">
        <f>VLOOKUP($LM$8,'Jan-2026 rates'!$H:$I,2,0)</f>
        <v>0</v>
      </c>
      <c r="LO308" s="417">
        <f t="shared" si="194"/>
        <v>0</v>
      </c>
      <c r="LP308" s="417">
        <f>VLOOKUP($LO$8,'Jan-2026 rates'!$H:$I,2,0)</f>
        <v>0</v>
      </c>
      <c r="LQ308" s="417">
        <f t="shared" si="195"/>
        <v>0</v>
      </c>
      <c r="LR308" s="417">
        <f>VLOOKUP($LQ$8,'Jan-2026 rates'!$H:$I,2,0)</f>
        <v>0</v>
      </c>
      <c r="LS308" s="417">
        <f t="shared" si="196"/>
        <v>86.5</v>
      </c>
      <c r="LT308" s="417">
        <f>VLOOKUP($LS$8,'Jan-2026 rates'!$H:$I,2,0)</f>
        <v>0</v>
      </c>
      <c r="LU308" s="417">
        <f t="shared" si="197"/>
        <v>34.6</v>
      </c>
      <c r="LV308" s="417">
        <f>VLOOKUP($LU$8,'Jan-2026 rates'!$H:$I,2,0)</f>
        <v>0</v>
      </c>
      <c r="LW308" s="417">
        <f t="shared" si="198"/>
        <v>0</v>
      </c>
      <c r="LX308" s="417">
        <f t="shared" si="199"/>
        <v>0</v>
      </c>
      <c r="LY308" s="418">
        <f t="shared" si="200"/>
        <v>0</v>
      </c>
      <c r="LZ308" s="417"/>
      <c r="MA308" s="435">
        <f t="shared" si="201"/>
        <v>166.55</v>
      </c>
      <c r="MB308" s="282">
        <f t="shared" si="202"/>
        <v>342.54999999999995</v>
      </c>
      <c r="MC308" s="283" t="s">
        <v>2047</v>
      </c>
      <c r="MD308" s="284" t="str">
        <f t="shared" si="203"/>
        <v>ToyoLiToyoLiToyoLiToyoLiToyoLiToyoLiToyoLiToyoLi</v>
      </c>
      <c r="ME308" s="293" t="str">
        <f t="shared" si="204"/>
        <v>+</v>
      </c>
      <c r="MF308" s="293" t="str">
        <f t="shared" si="205"/>
        <v>+</v>
      </c>
      <c r="MG308" s="293" t="str">
        <f t="shared" si="206"/>
        <v>+</v>
      </c>
      <c r="MH308" s="293" t="str">
        <f t="shared" si="207"/>
        <v>+</v>
      </c>
      <c r="MI308" s="293" t="str">
        <f t="shared" si="208"/>
        <v>+</v>
      </c>
      <c r="MJ308" s="293" t="str">
        <f t="shared" si="209"/>
        <v>+</v>
      </c>
      <c r="MK308" s="293" t="str">
        <f t="shared" si="210"/>
        <v>+</v>
      </c>
      <c r="ML308" s="293" t="str">
        <f t="shared" si="211"/>
        <v>+</v>
      </c>
      <c r="MM308" s="3" t="b">
        <f t="array" ref="MM308">OR(ME308:ML308="-")</f>
        <v>0</v>
      </c>
      <c r="MO308" s="401">
        <f t="shared" si="238"/>
        <v>59.264705882352928</v>
      </c>
      <c r="MP308" s="286"/>
      <c r="MR308" s="402">
        <f t="shared" si="239"/>
        <v>1.3174999999999997E-2</v>
      </c>
      <c r="MS308" s="400">
        <f t="shared" si="240"/>
        <v>0</v>
      </c>
      <c r="MT308" s="285"/>
      <c r="NH308" s="361"/>
      <c r="NJ308" s="282"/>
    </row>
    <row r="309" spans="1:374" ht="16.5">
      <c r="A309" s="403">
        <v>46043</v>
      </c>
      <c r="B309" s="404" t="s">
        <v>1018</v>
      </c>
      <c r="C309" s="405" t="s">
        <v>4478</v>
      </c>
      <c r="D309" s="404" t="s">
        <v>2048</v>
      </c>
      <c r="E309" s="404">
        <v>908</v>
      </c>
      <c r="F309" s="407">
        <v>51600</v>
      </c>
      <c r="G309" s="407" t="s">
        <v>1016</v>
      </c>
      <c r="H309" s="408" t="s">
        <v>1017</v>
      </c>
      <c r="I309" s="409">
        <v>1.7</v>
      </c>
      <c r="J309" s="405" t="s">
        <v>543</v>
      </c>
      <c r="K309" s="404" t="s">
        <v>4479</v>
      </c>
      <c r="L309" s="419" t="str">
        <f t="shared" si="184"/>
        <v>ToyoLi - BLACK</v>
      </c>
      <c r="M309" s="404">
        <v>32</v>
      </c>
      <c r="N309" s="410">
        <f>IF(M309=0,0,IF($LB309=70%,VLOOKUP($L309,'Jan-2026 rates'!$L:$R,4,0),IF($LB309=65%,VLOOKUP($L309,'Jan-2026 rates'!$L:$R,4,0),IF($LB309=40%,VLOOKUP($L309,'Jan-2026 rates'!$L:$R,5,0),IF($LB309=30%,VLOOKUP($L309,'Jan-2026 rates'!$L:$R,6,0),IF($LB309=100%,VLOOKUP($L309,'Jan-2026 rates'!$L:$R,7,0),IF($LB309=60%,VLOOKUP($L309,'Jan-2026 rates'!$L:$S,8,0),IF($LB309=80%,VLOOKUP($L309,'Jan-2026 rates'!L:T,9,0),0))))))))</f>
        <v>0</v>
      </c>
      <c r="O309" s="406"/>
      <c r="P309" s="404"/>
      <c r="Q309" s="410">
        <f>IF(P309=0,0,IF($LB309=70%,VLOOKUP($L309,'Jan-2026 rates'!$L:$R,4,0),IF($LB309=65%,VLOOKUP($L309,'Jan-2026 rates'!$L:$R,4,0),IF($LB309=40%,VLOOKUP($L309,'Jan-2026 rates'!$L:$R,5,0),IF($LB309=30%,VLOOKUP($L309,'Jan-2026 rates'!$L:$R,6,0),IF($LB309=100%,VLOOKUP($L309,'Jan-2026 rates'!$L:$R,7,0),IF($LB309=60%,VLOOKUP($L309,'Jan-2026 rates'!$L:$S,8,0),IF($LB309=80%,VLOOKUP($L309,'Jan-2026 rates'!L:T,9,0),0))))))))</f>
        <v>0</v>
      </c>
      <c r="R309" s="406" t="s">
        <v>1252</v>
      </c>
      <c r="S309" s="406" t="s">
        <v>1921</v>
      </c>
      <c r="T309" s="406"/>
      <c r="U309" s="406"/>
      <c r="V309" s="406"/>
      <c r="W309" s="406"/>
      <c r="X309" s="406"/>
      <c r="Y309" s="406"/>
      <c r="Z309" s="404">
        <v>15</v>
      </c>
      <c r="AA309" s="398">
        <f>IF(Z309=0,0,IF(LEN(R309)=11,_xlfn.XLOOKUP(R309,'Dispensed Ink Rates'!C:C,'Dispensed Ink Rates'!CS:CS),VLOOKUP(R309,'Jan-2026 rates'!$E:$F,2,0)))</f>
        <v>0</v>
      </c>
      <c r="AB309" s="404">
        <v>5</v>
      </c>
      <c r="AC309" s="398">
        <f>IF(AB309=0,0,IF(LEN(S309)=11,_xlfn.XLOOKUP(S309,'Dispensed Ink Rates'!C:C,'Dispensed Ink Rates'!CS:CS),VLOOKUP(S309,'Jan-2026 rates'!$E:$F,2,0)))</f>
        <v>0</v>
      </c>
      <c r="AD309" s="404"/>
      <c r="AE309" s="398">
        <f>IF(AD309=0,0,IF(LEN(T309)=11,_xlfn.XLOOKUP(T309,'Dispensed Ink Rates'!C:C,'Dispensed Ink Rates'!CS:CS),VLOOKUP(T309,'Jan-2026 rates'!$E:$F,2,0)))</f>
        <v>0</v>
      </c>
      <c r="AF309" s="404"/>
      <c r="AG309" s="398">
        <f>IF(AF309=0,0,IF(LEN(U309)=11,_xlfn.XLOOKUP(U309,'Dispensed Ink Rates'!C:C,'Dispensed Ink Rates'!CS:CS),VLOOKUP(U309,'Jan-2026 rates'!$E:$F,2,0)))</f>
        <v>0</v>
      </c>
      <c r="AH309" s="404"/>
      <c r="AI309" s="398">
        <f>IF(AH309=0,0,IF(LEN(V309)=11,_xlfn.XLOOKUP(V309,'Dispensed Ink Rates'!C:C,'Dispensed Ink Rates'!CS:CS),VLOOKUP(V309,'Jan-2026 rates'!$E:$F,2,0)))</f>
        <v>0</v>
      </c>
      <c r="AJ309" s="404"/>
      <c r="AK309" s="398">
        <f>IF(AJ309=0,0,IF(LEN(W309)=11,_xlfn.XLOOKUP(W309,'Dispensed Ink Rates'!C:C,'Dispensed Ink Rates'!CS:CS),VLOOKUP(W309,'Jan-2026 rates'!$E:$F,2,0)))</f>
        <v>0</v>
      </c>
      <c r="AL309" s="404"/>
      <c r="AM309" s="398">
        <f>IF(AL309=0,0,IF(LEN(X309)=11,_xlfn.XLOOKUP(X309,'Dispensed Ink Rates'!C:C,'Dispensed Ink Rates'!CS:CS),VLOOKUP(X309,'Jan-2026 rates'!$E:$F,2,0)))</f>
        <v>0</v>
      </c>
      <c r="AN309" s="404"/>
      <c r="AO309" s="398">
        <f>IF(AN309=0,0,IF(LEN(Y309)=11,_xlfn.XLOOKUP(Y309,'Dispensed Ink Rates'!C:C,'Dispensed Ink Rates'!CS:CS),VLOOKUP(Y309,'Jan-2026 rates'!$E:$F,2,0)))</f>
        <v>0</v>
      </c>
      <c r="AP309" s="409" t="s">
        <v>1881</v>
      </c>
      <c r="AQ309" s="409">
        <f>18+10+26</f>
        <v>54</v>
      </c>
      <c r="AR309" s="410">
        <f t="shared" si="212"/>
        <v>0</v>
      </c>
      <c r="AS309" s="411">
        <f t="shared" si="213"/>
        <v>19.58371040723982</v>
      </c>
      <c r="AT309" s="410">
        <f t="shared" si="214"/>
        <v>0</v>
      </c>
      <c r="AU309" s="405" t="s">
        <v>543</v>
      </c>
      <c r="AV309" s="409" t="s">
        <v>4479</v>
      </c>
      <c r="AW309" s="420" t="str">
        <f t="shared" si="236"/>
        <v>ToyoLi - BLACK</v>
      </c>
      <c r="AX309" s="409">
        <v>4</v>
      </c>
      <c r="AY309" s="411">
        <f>IF(AX309=0,0,IF($LB309=70%,VLOOKUP($AW309,'Jan-2026 rates'!$L:$R,4,0),IF($LB309=65%,VLOOKUP($AW309,'Jan-2026 rates'!$L:$R,4,0),IF($LB309=40%,VLOOKUP($AW309,'Jan-2026 rates'!$L:$R,5,0),IF($LB309=30%,VLOOKUP($AW309,'Jan-2026 rates'!$L:$R,6,0),IF($LB309=100%,VLOOKUP($AW309,'Jan-2026 rates'!$L:$R,7,0),IF($LB309=60%,VLOOKUP($AW309,'Jan-2026 rates'!$L:$S,8,0),IF($LB309=80%,VLOOKUP($AW309,'Jan-2026 rates'!L:T,9,0),0))))))))</f>
        <v>0</v>
      </c>
      <c r="AZ309" s="412"/>
      <c r="BA309" s="409"/>
      <c r="BB309" s="411">
        <f>IF(BA309=0,0,IF($LB309=70%,VLOOKUP($AW309,'Jan-2026 rates'!$L:$R,4,0),IF($LB309=65%,VLOOKUP($AW309,'Jan-2026 rates'!$L:$R,4,0),IF($LB309=40%,VLOOKUP($AW309,'Jan-2026 rates'!$L:$R,5,0),IF($LB309=30%,VLOOKUP($AW309,'Jan-2026 rates'!$L:$R,6,0),IF($LB309=100%,VLOOKUP($AW309,'Jan-2026 rates'!$L:$R,7,0),IF($LB309=60%,VLOOKUP($AW309,'Jan-2026 rates'!$L:$S,8,0),IF($LB309=80%,VLOOKUP($AW309,'Jan-2026 rates'!L:T,9,0),0))))))))</f>
        <v>0</v>
      </c>
      <c r="BC309" s="413" t="s">
        <v>1252</v>
      </c>
      <c r="BD309" s="412"/>
      <c r="BE309" s="412"/>
      <c r="BF309" s="413"/>
      <c r="BG309" s="412"/>
      <c r="BH309" s="412"/>
      <c r="BI309" s="412"/>
      <c r="BJ309" s="412"/>
      <c r="BK309" s="409">
        <v>20</v>
      </c>
      <c r="BL309" s="398">
        <f>IF(BK309=0,0,IF(LEN(BC309)=11,_xlfn.XLOOKUP(BC309,'Dispensed Ink Rates'!C:C,'Dispensed Ink Rates'!CS:CS),VLOOKUP(BC309,'Jan-2026 rates'!$E:$F,2,0)))</f>
        <v>0</v>
      </c>
      <c r="BM309" s="409"/>
      <c r="BN309" s="398">
        <f>IF(BM309=0,0,IF(LEN(BD309)=11,_xlfn.XLOOKUP(BD309,'Dispensed Ink Rates'!C:C,'Dispensed Ink Rates'!CS:CS),VLOOKUP(BD309,'Jan-2026 rates'!$E:$F,2,0)))</f>
        <v>0</v>
      </c>
      <c r="BO309" s="409"/>
      <c r="BP309" s="398">
        <f>IF(BO309=0,0,IF(LEN(BE309)=11,_xlfn.XLOOKUP(BE309,'Dispensed Ink Rates'!C:C,'Dispensed Ink Rates'!CS:CS),VLOOKUP(BE309,'Jan-2026 rates'!$E:$F,2,0)))</f>
        <v>0</v>
      </c>
      <c r="BQ309" s="409"/>
      <c r="BR309" s="398">
        <f>IF(BQ309=0,0,IF(LEN(BF309)=11,_xlfn.XLOOKUP(BF309,'Dispensed Ink Rates'!C:C,'Dispensed Ink Rates'!CS:CS),VLOOKUP(BF309,'Jan-2026 rates'!$E:$F,2,0)))</f>
        <v>0</v>
      </c>
      <c r="BS309" s="409"/>
      <c r="BT309" s="398">
        <f>IF(BS309=0,0,IF(LEN(BG309)=11,_xlfn.XLOOKUP(BG309,'Dispensed Ink Rates'!C:C,'Dispensed Ink Rates'!CS:CS),VLOOKUP(BG309,'Jan-2026 rates'!$E:$F,2,0)))</f>
        <v>0</v>
      </c>
      <c r="BU309" s="409"/>
      <c r="BV309" s="398">
        <f>IF(BU309=0,0,IF(LEN(BH309)=11,_xlfn.XLOOKUP(BH309,'Dispensed Ink Rates'!C:C,'Dispensed Ink Rates'!CS:CS),VLOOKUP(BH309,'Jan-2026 rates'!$E:$F,2,0)))</f>
        <v>0</v>
      </c>
      <c r="BW309" s="409"/>
      <c r="BX309" s="398">
        <f>IF(BW309=0,0,IF(LEN(BI309)=11,_xlfn.XLOOKUP(BI309,'Dispensed Ink Rates'!C:C,'Dispensed Ink Rates'!CS:CS),VLOOKUP(BI309,'Jan-2026 rates'!$E:$F,2,0)))</f>
        <v>0</v>
      </c>
      <c r="BY309" s="409"/>
      <c r="BZ309" s="398">
        <f>IF(BY309=0,0,IF(LEN(BJ309)=11,_xlfn.XLOOKUP(BJ309,'Dispensed Ink Rates'!C:C,'Dispensed Ink Rates'!CS:CS),VLOOKUP(BJ309,'Jan-2026 rates'!$E:$F,2,0)))</f>
        <v>0</v>
      </c>
      <c r="CA309" s="409" t="s">
        <v>1881</v>
      </c>
      <c r="CB309" s="409">
        <v>20</v>
      </c>
      <c r="CC309" s="411">
        <f t="shared" si="215"/>
        <v>0</v>
      </c>
      <c r="CD309" s="411">
        <f t="shared" si="216"/>
        <v>25.58371040723982</v>
      </c>
      <c r="CE309" s="410">
        <f t="shared" si="217"/>
        <v>0</v>
      </c>
      <c r="CF309" s="404" t="s">
        <v>543</v>
      </c>
      <c r="CG309" s="409"/>
      <c r="CH309" s="420" t="str">
        <f t="shared" si="185"/>
        <v>ToyoLi - BLACK</v>
      </c>
      <c r="CI309" s="409"/>
      <c r="CJ309" s="411">
        <f>IF(CI309=0,0,IF($LB309=70%,VLOOKUP($CH309,'Jan-2026 rates'!$L:$R,4,0),IF($LB309=65%,VLOOKUP($CH309,'Jan-2026 rates'!$L:$R,4,0),IF($LB309=40%,VLOOKUP($CH309,'Jan-2026 rates'!$L:$R,5,0),IF($LB309=30%,VLOOKUP($CH309,'Jan-2026 rates'!$L:$R,6,0),IF($LB309=100%,VLOOKUP($CH309,'Jan-2026 rates'!$L:$R,7,0),IF($LB309=60%,VLOOKUP($CH309,'Jan-2026 rates'!$L:$S,8,0),IF($LB309=80%,VLOOKUP($CH309,'Jan-2026 rates'!L:T,9,0),0))))))))</f>
        <v>0</v>
      </c>
      <c r="CK309" s="412"/>
      <c r="CL309" s="409"/>
      <c r="CM309" s="411">
        <f>IF(CL309=0,0,IF($LB309=70%,VLOOKUP($CH309,'Jan-2026 rates'!$L:$R,4,0),IF($LB309=65%,VLOOKUP($CH309,'Jan-2026 rates'!$L:$R,4,0),IF($LB309=40%,VLOOKUP($CH309,'Jan-2026 rates'!$L:$R,5,0),IF($LB309=30%,VLOOKUP($CH309,'Jan-2026 rates'!$L:$R,6,0),IF($LB309=100%,VLOOKUP($CH309,'Jan-2026 rates'!$L:$R,7,0),IF($LB309=60%,VLOOKUP($CH309,'Jan-2026 rates'!$L:$S,8,0),IF($LB309=80%,VLOOKUP($CH309,'Jan-2026 rates'!L:T,9,0),0))))))))</f>
        <v>0</v>
      </c>
      <c r="CN309" s="426" t="s">
        <v>1921</v>
      </c>
      <c r="CO309" s="427" t="s">
        <v>1252</v>
      </c>
      <c r="CP309" s="426"/>
      <c r="CQ309" s="426"/>
      <c r="CR309" s="428"/>
      <c r="CS309" s="428"/>
      <c r="CT309" s="428"/>
      <c r="CU309" s="428"/>
      <c r="CV309" s="409">
        <v>20</v>
      </c>
      <c r="CW309" s="398">
        <f>IF(CV309=0,0,IF(LEN(CN309)=11,_xlfn.XLOOKUP(CN309,'Dispensed Ink Rates'!C:C,'Dispensed Ink Rates'!CS:CS),VLOOKUP(CN309,'Jan-2026 rates'!$E:$F,2,0)))</f>
        <v>0</v>
      </c>
      <c r="CX309" s="409">
        <v>0.5</v>
      </c>
      <c r="CY309" s="398">
        <f>IF(CX309=0,0,IF(LEN(CO309)=11,_xlfn.XLOOKUP(CO309,'Dispensed Ink Rates'!C:C,'Dispensed Ink Rates'!CS:CS),VLOOKUP(CO309,'Jan-2026 rates'!$E:$F,2,0)))</f>
        <v>0</v>
      </c>
      <c r="CZ309" s="409"/>
      <c r="DA309" s="398">
        <f>IF(CZ309=0,0,IF(LEN(CP309)=11,_xlfn.XLOOKUP(CP309,'Dispensed Ink Rates'!C:C,'Dispensed Ink Rates'!CS:CS),VLOOKUP(CP309,'Jan-2026 rates'!$E:$F,2,0)))</f>
        <v>0</v>
      </c>
      <c r="DB309" s="409"/>
      <c r="DC309" s="398">
        <f>IF(DB309=0,0,IF(LEN(CQ309)=11,_xlfn.XLOOKUP(CQ309,'Dispensed Ink Rates'!C:C,'Dispensed Ink Rates'!CS:CS),VLOOKUP(CQ309,'Jan-2026 rates'!$E:$F,2,0)))</f>
        <v>0</v>
      </c>
      <c r="DD309" s="409"/>
      <c r="DE309" s="398">
        <f>IF(DD309=0,0,IF(LEN(CR309)=11,_xlfn.XLOOKUP(CR309,'Dispensed Ink Rates'!C:C,'Dispensed Ink Rates'!CS:CS),VLOOKUP(CR309,'Jan-2026 rates'!$E:$F,2,0)))</f>
        <v>0</v>
      </c>
      <c r="DF309" s="409"/>
      <c r="DG309" s="398">
        <f>IF(DF309=0,0,IF(LEN(CS309)=11,_xlfn.XLOOKUP(CS309,'Dispensed Ink Rates'!C:C,'Dispensed Ink Rates'!CS:CS),VLOOKUP(CS309,'Jan-2026 rates'!$E:$F,2,0)))</f>
        <v>0</v>
      </c>
      <c r="DH309" s="409"/>
      <c r="DI309" s="398">
        <f>IF(DH309=0,0,IF(LEN(CT309)=11,_xlfn.XLOOKUP(CT309,'Dispensed Ink Rates'!C:C,'Dispensed Ink Rates'!CS:CS),VLOOKUP(CT309,'Jan-2026 rates'!$E:$F,2,0)))</f>
        <v>0</v>
      </c>
      <c r="DJ309" s="409"/>
      <c r="DK309" s="398">
        <f>IF(DJ309=0,0,IF(LEN(CU309)=11,_xlfn.XLOOKUP(CU309,'Dispensed Ink Rates'!C:C,'Dispensed Ink Rates'!CS:CS),VLOOKUP(CU309,'Jan-2026 rates'!$E:$F,2,0)))</f>
        <v>0</v>
      </c>
      <c r="DL309" s="409" t="s">
        <v>1881</v>
      </c>
      <c r="DM309" s="409">
        <f>20+18</f>
        <v>38</v>
      </c>
      <c r="DN309" s="411">
        <f t="shared" si="218"/>
        <v>0</v>
      </c>
      <c r="DO309" s="411">
        <f t="shared" si="219"/>
        <v>8.4004524886877832</v>
      </c>
      <c r="DP309" s="410">
        <f t="shared" si="220"/>
        <v>0</v>
      </c>
      <c r="DQ309" s="405" t="s">
        <v>544</v>
      </c>
      <c r="DR309" s="409" t="s">
        <v>4480</v>
      </c>
      <c r="DS309" s="420" t="str">
        <f t="shared" si="186"/>
        <v>ToyoLi - MAGENTA</v>
      </c>
      <c r="DT309" s="409">
        <v>25</v>
      </c>
      <c r="DU309" s="411">
        <f>IF(DT309=0,0,IF($LB309=70%,VLOOKUP($DS309,'Jan-2026 rates'!$L:$R,4,0),IF($LB309=65%,VLOOKUP($DS309,'Jan-2026 rates'!$L:$R,4,0),IF($LB309=40%,VLOOKUP($DS309,'Jan-2026 rates'!$L:$R,5,0),IF($LB309=30%,VLOOKUP($DS309,'Jan-2026 rates'!$L:$R,6,0),IF($LB309=100%,VLOOKUP($DS309,'Jan-2026 rates'!$L:$R,7,0),IF($LB309=60%,VLOOKUP($DS309,'Jan-2026 rates'!$L:$S,8,0),IF($LB309=80%,VLOOKUP($DS309,'Jan-2026 rates'!L:T,9,0),0))))))))</f>
        <v>0</v>
      </c>
      <c r="DV309" s="412"/>
      <c r="DW309" s="409"/>
      <c r="DX309" s="411">
        <f>IF(DW309=0,0,IF($LB309=70%,VLOOKUP($DS309,'Jan-2026 rates'!$L:$R,4,0),IF($LB309=65%,VLOOKUP($DS309,'Jan-2026 rates'!$L:$R,4,0),IF($LB309=40%,VLOOKUP($DS309,'Jan-2026 rates'!$L:$R,5,0),IF($LB309=30%,VLOOKUP($DS309,'Jan-2026 rates'!$L:$R,6,0),IF($LB309=100%,VLOOKUP($DS309,'Jan-2026 rates'!$L:$R,7,0),IF($LB309=60%,VLOOKUP($DS309,'Jan-2026 rates'!$L:$S,8,0),IF($LB309=80%,VLOOKUP($DS309,'Jan-2026 rates'!L:T,9,0),0))))))))</f>
        <v>0</v>
      </c>
      <c r="DY309" s="413" t="s">
        <v>1921</v>
      </c>
      <c r="DZ309" s="413" t="s">
        <v>1246</v>
      </c>
      <c r="EA309" s="412"/>
      <c r="EB309" s="412"/>
      <c r="EC309" s="412"/>
      <c r="ED309" s="412"/>
      <c r="EE309" s="412"/>
      <c r="EF309" s="412"/>
      <c r="EG309" s="409">
        <v>4</v>
      </c>
      <c r="EH309" s="398">
        <f>IF(EG309=0,0,IF(LEN(DY309)=11,_xlfn.XLOOKUP(DY309,'Dispensed Ink Rates'!C:C,'Dispensed Ink Rates'!CS:CS),VLOOKUP(DY309,'Jan-2026 rates'!$E:$F,2,0)))</f>
        <v>0</v>
      </c>
      <c r="EI309" s="409">
        <v>3</v>
      </c>
      <c r="EJ309" s="398">
        <f>IF(EI309=0,0,IF(LEN(DZ309)=11,_xlfn.XLOOKUP(DZ309,'Dispensed Ink Rates'!C:C,'Dispensed Ink Rates'!CS:CS),VLOOKUP(DZ309,'Jan-2026 rates'!$E:$F,2,0)))</f>
        <v>0</v>
      </c>
      <c r="EK309" s="409"/>
      <c r="EL309" s="398">
        <f>IF(EK309=0,0,IF(LEN(EA309)=11,_xlfn.XLOOKUP(EA309,'Dispensed Ink Rates'!C:C,'Dispensed Ink Rates'!CS:CS),VLOOKUP(EA309,'Jan-2026 rates'!$E:$F,2,0)))</f>
        <v>0</v>
      </c>
      <c r="EM309" s="409"/>
      <c r="EN309" s="398">
        <f>IF(EM309=0,0,IF(LEN(EB309)=11,_xlfn.XLOOKUP(EB309,'Dispensed Ink Rates'!C:C,'Dispensed Ink Rates'!CS:CS),VLOOKUP(EB309,'Jan-2026 rates'!$E:$F,2,0)))</f>
        <v>0</v>
      </c>
      <c r="EO309" s="409"/>
      <c r="EP309" s="398">
        <f>IF(EO309=0,0,IF(LEN(EC309)=11,_xlfn.XLOOKUP(EC309,'Dispensed Ink Rates'!C:C,'Dispensed Ink Rates'!CS:CS),VLOOKUP(EC309,'Jan-2026 rates'!$E:$F,2,0)))</f>
        <v>0</v>
      </c>
      <c r="EQ309" s="409"/>
      <c r="ER309" s="398">
        <f>IF(EQ309=0,0,IF(LEN(ED309)=11,_xlfn.XLOOKUP(ED309,'Dispensed Ink Rates'!C:C,'Dispensed Ink Rates'!CS:CS),VLOOKUP(ED309,'Jan-2026 rates'!$E:$F,2,0)))</f>
        <v>0</v>
      </c>
      <c r="ES309" s="409"/>
      <c r="ET309" s="398">
        <f>IF(ES309=0,0,IF(LEN(EE309)=11,_xlfn.XLOOKUP(EE309,'Dispensed Ink Rates'!C:C,'Dispensed Ink Rates'!CS:CS),VLOOKUP(EE309,'Jan-2026 rates'!$E:$F,2,0)))</f>
        <v>0</v>
      </c>
      <c r="EU309" s="409"/>
      <c r="EV309" s="398">
        <f>IF(EU309=0,0,IF(LEN(EF309)=11,_xlfn.XLOOKUP(EF309,'Dispensed Ink Rates'!C:C,'Dispensed Ink Rates'!CS:CS),VLOOKUP(EF309,'Jan-2026 rates'!$E:$F,2,0)))</f>
        <v>0</v>
      </c>
      <c r="EW309" s="409" t="s">
        <v>1881</v>
      </c>
      <c r="EX309" s="409">
        <v>24</v>
      </c>
      <c r="EY309" s="411">
        <f t="shared" si="221"/>
        <v>0</v>
      </c>
      <c r="EZ309" s="411">
        <f t="shared" si="222"/>
        <v>16.633484162895925</v>
      </c>
      <c r="FA309" s="410">
        <f t="shared" si="223"/>
        <v>0</v>
      </c>
      <c r="FB309" s="405" t="s">
        <v>545</v>
      </c>
      <c r="FC309" s="409" t="s">
        <v>4481</v>
      </c>
      <c r="FD309" s="420" t="str">
        <f t="shared" si="187"/>
        <v>ToyoLi - YELLOW</v>
      </c>
      <c r="FE309" s="409">
        <v>24</v>
      </c>
      <c r="FF309" s="411">
        <f>IF(FE309=0,0,IF($LB309=70%,VLOOKUP($FD309,'Jan-2026 rates'!$L:$R,4,0),IF($LB309=65%,VLOOKUP($FD309,'Jan-2026 rates'!$L:$R,4,0),IF($LB309=40%,VLOOKUP($FD309,'Jan-2026 rates'!$L:$R,5,0),IF($LB309=30%,VLOOKUP($FD309,'Jan-2026 rates'!$L:$R,6,0),IF($LB309=100%,VLOOKUP($FD309,'Jan-2026 rates'!$L:$R,7,0),IF($LB309=60%,VLOOKUP($FD309,'Jan-2026 rates'!$L:$S,8,0),IF($LB309=80%,VLOOKUP($FD309,'Jan-2026 rates'!L:T,9,0),0))))))))</f>
        <v>0</v>
      </c>
      <c r="FG309" s="412"/>
      <c r="FH309" s="409"/>
      <c r="FI309" s="411">
        <f>IF(FH309=0,0,IF($LB309=70%,VLOOKUP($FD309,'Jan-2026 rates'!$L:$R,4,0),IF($LB309=65%,VLOOKUP($FD309,'Jan-2026 rates'!$L:$R,4,0),IF($LB309=40%,VLOOKUP($FD309,'Jan-2026 rates'!$L:$R,5,0),IF($LB309=30%,VLOOKUP($FD309,'Jan-2026 rates'!$L:$R,6,0),IF($LB309=100%,VLOOKUP($FD309,'Jan-2026 rates'!$L:$R,7,0),IF($LB309=60%,VLOOKUP($FD309,'Jan-2026 rates'!$L:$S,8,0),IF($LB309=80%,VLOOKUP($FD309,'Jan-2026 rates'!L:T,9,0),0))))))))</f>
        <v>0</v>
      </c>
      <c r="FJ309" s="413" t="s">
        <v>1247</v>
      </c>
      <c r="FK309" s="413" t="s">
        <v>1921</v>
      </c>
      <c r="FL309" s="413"/>
      <c r="FM309" s="412"/>
      <c r="FN309" s="412"/>
      <c r="FO309" s="412"/>
      <c r="FP309" s="412"/>
      <c r="FQ309" s="412"/>
      <c r="FR309" s="409">
        <v>8</v>
      </c>
      <c r="FS309" s="398">
        <f>IF(FR309=0,0,IF(LEN(FJ309)=11,_xlfn.XLOOKUP(FJ309,'Dispensed Ink Rates'!C:C,'Dispensed Ink Rates'!CS:CS),VLOOKUP(FJ309,'Jan-2026 rates'!$E:$F,2,0)))</f>
        <v>0</v>
      </c>
      <c r="FT309" s="409">
        <v>3</v>
      </c>
      <c r="FU309" s="398">
        <f>IF(FT309=0,0,IF(LEN(FK309)=11,_xlfn.XLOOKUP(FK309,'Dispensed Ink Rates'!C:C,'Dispensed Ink Rates'!CS:CS),VLOOKUP(FK309,'Jan-2026 rates'!$E:$F,2,0)))</f>
        <v>0</v>
      </c>
      <c r="FV309" s="409"/>
      <c r="FW309" s="398">
        <f>IF(FV309=0,0,IF(LEN(FL309)=11,_xlfn.XLOOKUP(FL309,'Dispensed Ink Rates'!C:C,'Dispensed Ink Rates'!CS:CS),VLOOKUP(FL309,'Jan-2026 rates'!$E:$F,2,0)))</f>
        <v>0</v>
      </c>
      <c r="FX309" s="409"/>
      <c r="FY309" s="398">
        <f>IF(FX309=0,0,IF(LEN(FM309)=11,_xlfn.XLOOKUP(FM309,'Dispensed Ink Rates'!C:C,'Dispensed Ink Rates'!CS:CS),VLOOKUP(FM309,'Jan-2026 rates'!$E:$F,2,0)))</f>
        <v>0</v>
      </c>
      <c r="FZ309" s="409"/>
      <c r="GA309" s="398">
        <f>IF(FZ309=0,0,IF(LEN(FN309)=11,_xlfn.XLOOKUP(FN309,'Dispensed Ink Rates'!C:C,'Dispensed Ink Rates'!CS:CS),VLOOKUP(FN309,'Jan-2026 rates'!$E:$F,2,0)))</f>
        <v>0</v>
      </c>
      <c r="GB309" s="409"/>
      <c r="GC309" s="398">
        <f>IF(GB309=0,0,IF(LEN(FO309)=11,_xlfn.XLOOKUP(FO309,'Dispensed Ink Rates'!C:C,'Dispensed Ink Rates'!CS:CS),VLOOKUP(FO309,'Jan-2026 rates'!$E:$F,2,0)))</f>
        <v>0</v>
      </c>
      <c r="GD309" s="409"/>
      <c r="GE309" s="398">
        <f>IF(GD309=0,0,IF(LEN(FP309)=11,_xlfn.XLOOKUP(FP309,'Dispensed Ink Rates'!C:C,'Dispensed Ink Rates'!CS:CS),VLOOKUP(FP309,'Jan-2026 rates'!$E:$F,2,0)))</f>
        <v>0</v>
      </c>
      <c r="GF309" s="409"/>
      <c r="GG309" s="398">
        <f>IF(GF309=0,0,IF(LEN(FQ309)=11,_xlfn.XLOOKUP(FQ309,'Dispensed Ink Rates'!C:C,'Dispensed Ink Rates'!CS:CS),VLOOKUP(FQ309,'Jan-2026 rates'!$E:$F,2,0)))</f>
        <v>0</v>
      </c>
      <c r="GH309" s="409" t="s">
        <v>1881</v>
      </c>
      <c r="GI309" s="409">
        <v>25</v>
      </c>
      <c r="GJ309" s="411">
        <f t="shared" si="224"/>
        <v>0</v>
      </c>
      <c r="GK309" s="411">
        <f t="shared" si="225"/>
        <v>20.072398190045249</v>
      </c>
      <c r="GL309" s="410">
        <f t="shared" si="226"/>
        <v>0</v>
      </c>
      <c r="GM309" s="405" t="s">
        <v>543</v>
      </c>
      <c r="GN309" s="409"/>
      <c r="GO309" s="420" t="str">
        <f t="shared" si="188"/>
        <v>ToyoLi - BLACK</v>
      </c>
      <c r="GP309" s="409"/>
      <c r="GQ309" s="411">
        <f>IF(GP309=0,0,IF($LB309=70%,VLOOKUP($GO309,'Jan-2026 rates'!$L:$R,4,0),IF($LB309=65%,VLOOKUP($GO309,'Jan-2026 rates'!$L:$R,4,0),IF($LB309=40%,VLOOKUP($GO309,'Jan-2026 rates'!$L:$R,5,0),IF($LB309=30%,VLOOKUP($GO309,'Jan-2026 rates'!$L:$R,6,0),IF($LB309=100%,VLOOKUP($GO309,'Jan-2026 rates'!$L:$R,7,0),IF($LB309=60%,VLOOKUP($GO309,'Jan-2026 rates'!$L:$S,8,0),IF($LB309=80%,VLOOKUP($GO309,'Jan-2026 rates'!L:T,9,0),0))))))))</f>
        <v>0</v>
      </c>
      <c r="GR309" s="412"/>
      <c r="GS309" s="409"/>
      <c r="GT309" s="411">
        <f>IF(GS309=0,0,IF($LB309=70%,VLOOKUP($GO309,'Jan-2026 rates'!$L:$R,4,0),IF($LB309=65%,VLOOKUP($GO309,'Jan-2026 rates'!$L:$R,4,0),IF($LB309=40%,VLOOKUP($GO309,'Jan-2026 rates'!$L:$R,5,0),IF($LB309=30%,VLOOKUP($GO309,'Jan-2026 rates'!$L:$R,6,0),IF($LB309=100%,VLOOKUP($GO309,'Jan-2026 rates'!$L:$R,7,0),IF($LB309=60%,VLOOKUP($GO309,'Jan-2026 rates'!$L:$S,8,0),IF($LB309=80%,VLOOKUP($GO309,'Jan-2026 rates'!L:T,9,0),0))))))))</f>
        <v>0</v>
      </c>
      <c r="GU309" s="413" t="s">
        <v>1921</v>
      </c>
      <c r="GV309" s="413" t="s">
        <v>1252</v>
      </c>
      <c r="GW309" s="412"/>
      <c r="GX309" s="412"/>
      <c r="GY309" s="412"/>
      <c r="GZ309" s="412"/>
      <c r="HA309" s="412"/>
      <c r="HB309" s="412"/>
      <c r="HC309" s="409">
        <f>20+10</f>
        <v>30</v>
      </c>
      <c r="HD309" s="398">
        <f>IF(HC309=0,0,IF(LEN(GU309)=11,_xlfn.XLOOKUP(GU309,'Dispensed Ink Rates'!C:C,'Dispensed Ink Rates'!CS:CS),VLOOKUP(GU309,'Jan-2026 rates'!$E:$F,2,0)))</f>
        <v>0</v>
      </c>
      <c r="HE309" s="409">
        <f>0.5+0.2</f>
        <v>0.7</v>
      </c>
      <c r="HF309" s="398">
        <f>IF(HE309=0,0,IF(LEN(GV309)=11,_xlfn.XLOOKUP(GV309,'Dispensed Ink Rates'!C:C,'Dispensed Ink Rates'!CS:CS),VLOOKUP(GV309,'Jan-2026 rates'!$E:$F,2,0)))</f>
        <v>0</v>
      </c>
      <c r="HG309" s="409"/>
      <c r="HH309" s="398">
        <f>IF(HG309=0,0,IF(LEN(GW309)=11,_xlfn.XLOOKUP(GW309,'Dispensed Ink Rates'!C:C,'Dispensed Ink Rates'!CS:CS),VLOOKUP(GW309,'Jan-2026 rates'!$E:$F,2,0)))</f>
        <v>0</v>
      </c>
      <c r="HI309" s="409"/>
      <c r="HJ309" s="398">
        <f>IF(HI309=0,0,IF(LEN(GX309)=11,_xlfn.XLOOKUP(GX309,'Dispensed Ink Rates'!C:C,'Dispensed Ink Rates'!CS:CS),VLOOKUP(GX309,'Jan-2026 rates'!$E:$F,2,0)))</f>
        <v>0</v>
      </c>
      <c r="HK309" s="409"/>
      <c r="HL309" s="398">
        <f>IF(HK309=0,0,IF(LEN(GY309)=11,_xlfn.XLOOKUP(GY309,'Dispensed Ink Rates'!C:C,'Dispensed Ink Rates'!CS:CS),VLOOKUP(GY309,'Jan-2026 rates'!$E:$F,2,0)))</f>
        <v>0</v>
      </c>
      <c r="HM309" s="409"/>
      <c r="HN309" s="398">
        <f>IF(HM309=0,0,IF(LEN(GZ309)=11,_xlfn.XLOOKUP(GZ309,'Dispensed Ink Rates'!C:C,'Dispensed Ink Rates'!CS:CS),VLOOKUP(GZ309,'Jan-2026 rates'!$E:$F,2,0)))</f>
        <v>0</v>
      </c>
      <c r="HO309" s="409"/>
      <c r="HP309" s="398">
        <f>IF(HO309=0,0,IF(LEN(HA309)=11,_xlfn.XLOOKUP(HA309,'Dispensed Ink Rates'!C:C,'Dispensed Ink Rates'!CS:CS),VLOOKUP(HA309,'Jan-2026 rates'!$E:$F,2,0)))</f>
        <v>0</v>
      </c>
      <c r="HQ309" s="409"/>
      <c r="HR309" s="398">
        <f>IF(HQ309=0,0,IF(LEN(HB309)=11,_xlfn.XLOOKUP(HB309,'Dispensed Ink Rates'!C:C,'Dispensed Ink Rates'!CS:CS),VLOOKUP(HB309,'Jan-2026 rates'!$E:$F,2,0)))</f>
        <v>0</v>
      </c>
      <c r="HS309" s="409" t="s">
        <v>1881</v>
      </c>
      <c r="HT309" s="409">
        <f>18+16+12</f>
        <v>46</v>
      </c>
      <c r="HU309" s="411">
        <f t="shared" si="227"/>
        <v>0</v>
      </c>
      <c r="HV309" s="411">
        <f t="shared" si="228"/>
        <v>13.478280542986425</v>
      </c>
      <c r="HW309" s="414">
        <f t="shared" si="229"/>
        <v>0</v>
      </c>
      <c r="HX309" s="405" t="s">
        <v>857</v>
      </c>
      <c r="HY309" s="409"/>
      <c r="HZ309" s="420" t="str">
        <f t="shared" si="189"/>
        <v>ToyoLi - RED</v>
      </c>
      <c r="IA309" s="409"/>
      <c r="IB309" s="411">
        <f>IF(IA309=0,0,IF($LB309=70%,VLOOKUP($HZ309,'Jan-2026 rates'!$L:$R,4,0),IF($LB309=65%,VLOOKUP($HZ309,'Jan-2026 rates'!$L:$R,4,0),IF($LB309=40%,VLOOKUP($HZ309,'Jan-2026 rates'!$L:$R,5,0),IF($LB309=30%,VLOOKUP($HZ309,'Jan-2026 rates'!$L:$R,6,0),IF($LB309=100%,VLOOKUP($HZ309,'Jan-2026 rates'!$L:$R,7,0),IF($LB309=60%,VLOOKUP($HZ309,'Jan-2026 rates'!$L:$S,8,0),IF($LB309=80%,VLOOKUP($HZ309,'Jan-2026 rates'!L:T,9,0),0))))))))</f>
        <v>0</v>
      </c>
      <c r="IC309" s="412"/>
      <c r="ID309" s="409"/>
      <c r="IE309" s="411">
        <f>IF(ID309=0,0,IF($LB309=70%,VLOOKUP($HZ309,'Jan-2026 rates'!$L:$R,4,0),IF($LB309=65%,VLOOKUP($HZ309,'Jan-2026 rates'!$L:$R,4,0),IF($LB309=40%,VLOOKUP($HZ309,'Jan-2026 rates'!$L:$R,5,0),IF($LB309=30%,VLOOKUP($HZ309,'Jan-2026 rates'!$L:$R,6,0),IF($LB309=100%,VLOOKUP($HZ309,'Jan-2026 rates'!$L:$R,7,0),IF($LB309=60%,VLOOKUP($HZ309,'Jan-2026 rates'!$L:$S,8,0),IF($LB309=80%,VLOOKUP($HZ309,'Jan-2026 rates'!L:T,9,0),0))))))))</f>
        <v>0</v>
      </c>
      <c r="IF309" s="412" t="s">
        <v>1921</v>
      </c>
      <c r="IG309" s="413" t="s">
        <v>1246</v>
      </c>
      <c r="IH309" s="412" t="s">
        <v>1247</v>
      </c>
      <c r="II309" s="412"/>
      <c r="IJ309" s="412"/>
      <c r="IK309" s="412"/>
      <c r="IL309" s="412"/>
      <c r="IM309" s="412"/>
      <c r="IN309" s="409">
        <f>60+60+40</f>
        <v>160</v>
      </c>
      <c r="IO309" s="398">
        <f>IF(IN309=0,0,IF(LEN(IF309)=11,_xlfn.XLOOKUP(IF309,'Dispensed Ink Rates'!C:C,'Dispensed Ink Rates'!CS:CS),VLOOKUP(IF309,'Jan-2026 rates'!$E:$F,2,0)))</f>
        <v>0</v>
      </c>
      <c r="IP309" s="409">
        <f>2+1</f>
        <v>3</v>
      </c>
      <c r="IQ309" s="398">
        <f>IF(IP309=0,0,IF(LEN(IG309)=11,_xlfn.XLOOKUP(IG309,'Dispensed Ink Rates'!C:C,'Dispensed Ink Rates'!CS:CS),VLOOKUP(IG309,'Jan-2026 rates'!$E:$F,2,0)))</f>
        <v>0</v>
      </c>
      <c r="IR309" s="409">
        <v>0.4</v>
      </c>
      <c r="IS309" s="398">
        <f>IF(IR309=0,0,IF(LEN(IH309)=11,_xlfn.XLOOKUP(IH309,'Dispensed Ink Rates'!C:C,'Dispensed Ink Rates'!CS:CS),VLOOKUP(IH309,'Jan-2026 rates'!$E:$F,2,0)))</f>
        <v>0</v>
      </c>
      <c r="IT309" s="409"/>
      <c r="IU309" s="398">
        <f>IF(IT309=0,0,IF(LEN(II309)=11,_xlfn.XLOOKUP(II309,'Dispensed Ink Rates'!C:C,'Dispensed Ink Rates'!CS:CS),VLOOKUP(II309,'Jan-2026 rates'!$E:$F,2,0)))</f>
        <v>0</v>
      </c>
      <c r="IV309" s="409"/>
      <c r="IW309" s="398">
        <f>IF(IV309=0,0,IF(LEN(IJ309)=11,_xlfn.XLOOKUP(IJ309,'Dispensed Ink Rates'!C:C,'Dispensed Ink Rates'!CS:CS),VLOOKUP(IJ309,'Jan-2026 rates'!$E:$F,2,0)))</f>
        <v>0</v>
      </c>
      <c r="IX309" s="409"/>
      <c r="IY309" s="398">
        <f>IF(IX309=0,0,IF(LEN(IK309)=11,_xlfn.XLOOKUP(IK309,'Dispensed Ink Rates'!C:C,'Dispensed Ink Rates'!CS:CS),VLOOKUP(IK309,'Jan-2026 rates'!$E:$F,2,0)))</f>
        <v>0</v>
      </c>
      <c r="IZ309" s="409"/>
      <c r="JA309" s="398">
        <f>IF(IZ309=0,0,IF(LEN(IL309)=11,_xlfn.XLOOKUP(IL309,'Dispensed Ink Rates'!C:C,'Dispensed Ink Rates'!CS:CS),VLOOKUP(IL309,'Jan-2026 rates'!$E:$F,2,0)))</f>
        <v>0</v>
      </c>
      <c r="JB309" s="409"/>
      <c r="JC309" s="398">
        <f>IF(JB309=0,0,IF(LEN(IM309)=11,_xlfn.XLOOKUP(IM309,'Dispensed Ink Rates'!C:C,'Dispensed Ink Rates'!CS:CS),VLOOKUP(IM309,'Jan-2026 rates'!$E:$F,2,0)))</f>
        <v>0</v>
      </c>
      <c r="JD309" s="409" t="s">
        <v>1881</v>
      </c>
      <c r="JE309" s="409">
        <f>20+16</f>
        <v>36</v>
      </c>
      <c r="JF309" s="411">
        <f t="shared" si="230"/>
        <v>0</v>
      </c>
      <c r="JG309" s="411">
        <f t="shared" si="231"/>
        <v>199.34570135746606</v>
      </c>
      <c r="JH309" s="410">
        <f t="shared" si="232"/>
        <v>0</v>
      </c>
      <c r="JI309" s="405" t="s">
        <v>856</v>
      </c>
      <c r="JJ309" s="409" t="s">
        <v>4482</v>
      </c>
      <c r="JK309" s="420" t="str">
        <f t="shared" si="190"/>
        <v>ToyoLi - WHITE</v>
      </c>
      <c r="JL309" s="409">
        <v>25</v>
      </c>
      <c r="JM309" s="411">
        <f>IF(JL309=0,0,IF($LB309=70%,VLOOKUP($JK309,'Jan-2026 rates'!$L:$R,4,0),IF($LB309=65%,VLOOKUP($JK309,'Jan-2026 rates'!$L:$R,4,0),IF($LB309=40%,VLOOKUP($JK309,'Jan-2026 rates'!$L:$R,5,0),IF($LB309=30%,VLOOKUP($JK309,'Jan-2026 rates'!$L:$R,6,0),IF($LB309=100%,VLOOKUP($JK309,'Jan-2026 rates'!$L:$R,7,0),IF($LB309=60%,VLOOKUP($JK309,'Jan-2026 rates'!$L:$S,8,0),IF($LB309=80%,VLOOKUP($JK309,'Jan-2026 rates'!L:T,9,0),0))))))))</f>
        <v>0</v>
      </c>
      <c r="JN309" s="412"/>
      <c r="JO309" s="409"/>
      <c r="JP309" s="411">
        <f>IF(JO309=0,0,IF($LB309=70%,VLOOKUP($JK309,'Jan-2026 rates'!$L:$R,4,0),IF($LB309=65%,VLOOKUP($JK309,'Jan-2026 rates'!$L:$R,4,0),IF($LB309=40%,VLOOKUP($JK309,'Jan-2026 rates'!$L:$R,5,0),IF($LB309=30%,VLOOKUP($JK309,'Jan-2026 rates'!$L:$R,6,0),IF($LB309=100%,VLOOKUP($JK309,'Jan-2026 rates'!$L:$R,7,0),IF($LB309=60%,VLOOKUP($JK309,'Jan-2026 rates'!$L:$S,8,0),IF($LB309=80%,VLOOKUP($JK309,'Jan-2026 rates'!L:T,9,0),0))))))))</f>
        <v>0</v>
      </c>
      <c r="JQ309" s="413" t="s">
        <v>1249</v>
      </c>
      <c r="JR309" s="412"/>
      <c r="JS309" s="413"/>
      <c r="JT309" s="413"/>
      <c r="JU309" s="412"/>
      <c r="JV309" s="412"/>
      <c r="JW309" s="412"/>
      <c r="JX309" s="412"/>
      <c r="JY309" s="409">
        <v>140</v>
      </c>
      <c r="JZ309" s="398">
        <f>IF(JY309=0,0,IF(LEN(JQ309)=11,_xlfn.XLOOKUP(JQ309,'Dispensed Ink Rates'!C:C,'Dispensed Ink Rates'!CS:CS),VLOOKUP(JQ309,'Jan-2026 rates'!$E:$F,2,0)))</f>
        <v>0</v>
      </c>
      <c r="KA309" s="409"/>
      <c r="KB309" s="398">
        <f>IF(KA309=0,0,IF(LEN(JR309)=11,_xlfn.XLOOKUP(JR309,'Dispensed Ink Rates'!C:C,'Dispensed Ink Rates'!CS:CS),VLOOKUP(JR309,'Jan-2026 rates'!$E:$F,2,0)))</f>
        <v>0</v>
      </c>
      <c r="KC309" s="409"/>
      <c r="KD309" s="398">
        <f>IF(KC309=0,0,IF(LEN(JS309)=11,_xlfn.XLOOKUP(JS309,'Dispensed Ink Rates'!C:C,'Dispensed Ink Rates'!CS:CS),VLOOKUP(JS309,'Jan-2026 rates'!$E:$F,2,0)))</f>
        <v>0</v>
      </c>
      <c r="KE309" s="409"/>
      <c r="KF309" s="398">
        <f>IF(KE309=0,0,IF(LEN(JT309)=11,_xlfn.XLOOKUP(JT309,'Dispensed Ink Rates'!C:C,'Dispensed Ink Rates'!CS:CS),VLOOKUP(JT309,'Jan-2026 rates'!$E:$F,2,0)))</f>
        <v>0</v>
      </c>
      <c r="KG309" s="409"/>
      <c r="KH309" s="398">
        <f>IF(KG309=0,0,IF(LEN(JU309)=11,_xlfn.XLOOKUP(JU309,'Dispensed Ink Rates'!C:C,'Dispensed Ink Rates'!CS:CS),VLOOKUP(JU309,'Jan-2026 rates'!$E:$F,2,0)))</f>
        <v>0</v>
      </c>
      <c r="KI309" s="409"/>
      <c r="KJ309" s="398">
        <f>IF(KI309=0,0,IF(LEN(JV309)=11,_xlfn.XLOOKUP(JV309,'Dispensed Ink Rates'!C:C,'Dispensed Ink Rates'!CS:CS),VLOOKUP(JV309,'Jan-2026 rates'!$E:$F,2,0)))</f>
        <v>0</v>
      </c>
      <c r="KK309" s="409"/>
      <c r="KL309" s="398">
        <f>IF(KK309=0,0,IF(LEN(JW309)=11,_xlfn.XLOOKUP(JW309,'Dispensed Ink Rates'!C:C,'Dispensed Ink Rates'!CS:CS),VLOOKUP(JW309,'Jan-2026 rates'!$E:$F,2,0)))</f>
        <v>0</v>
      </c>
      <c r="KM309" s="428"/>
      <c r="KN309" s="398">
        <f>IF(KM309=0,0,IF(LEN(JX309)=11,_xlfn.XLOOKUP(JX309,'Dispensed Ink Rates'!C:C,'Dispensed Ink Rates'!CS:CS),VLOOKUP(JX309,'Jan-2026 rates'!$E:$F,2,0)))</f>
        <v>0</v>
      </c>
      <c r="KO309" s="409" t="s">
        <v>1881</v>
      </c>
      <c r="KP309" s="409">
        <v>25</v>
      </c>
      <c r="KQ309" s="411">
        <f t="shared" si="233"/>
        <v>0</v>
      </c>
      <c r="KR309" s="411">
        <f t="shared" si="234"/>
        <v>269.50226244343889</v>
      </c>
      <c r="KS309" s="410">
        <f t="shared" si="235"/>
        <v>0</v>
      </c>
      <c r="KT309" s="409">
        <v>15</v>
      </c>
      <c r="KU309" s="409">
        <v>15</v>
      </c>
      <c r="KV309" s="409">
        <v>18</v>
      </c>
      <c r="KW309" s="409">
        <v>6</v>
      </c>
      <c r="KX309" s="409">
        <v>7</v>
      </c>
      <c r="KY309" s="409">
        <f>10+10</f>
        <v>20</v>
      </c>
      <c r="KZ309" s="409">
        <f>30+20</f>
        <v>50</v>
      </c>
      <c r="LA309" s="409">
        <v>90</v>
      </c>
      <c r="LB309" s="415">
        <v>0.3</v>
      </c>
      <c r="LC309" s="415"/>
      <c r="LD309" s="424"/>
      <c r="LE309" s="415">
        <v>0.5</v>
      </c>
      <c r="LF309" s="415">
        <v>0.2</v>
      </c>
      <c r="LG309" s="409">
        <v>0</v>
      </c>
      <c r="LH309" s="409">
        <f>90+70+45+75+5+3+30</f>
        <v>318</v>
      </c>
      <c r="LI309" s="409">
        <v>0</v>
      </c>
      <c r="LJ309" s="409">
        <v>0</v>
      </c>
      <c r="LK309" s="416">
        <f t="shared" si="191"/>
        <v>318</v>
      </c>
      <c r="LL309" s="416">
        <f t="shared" si="237"/>
        <v>318</v>
      </c>
      <c r="LM309" s="417">
        <f t="shared" si="193"/>
        <v>95.399999999999991</v>
      </c>
      <c r="LN309" s="417">
        <f>VLOOKUP($LM$8,'Jan-2026 rates'!$H:$I,2,0)</f>
        <v>0</v>
      </c>
      <c r="LO309" s="417">
        <f t="shared" si="194"/>
        <v>0</v>
      </c>
      <c r="LP309" s="417">
        <f>VLOOKUP($LO$8,'Jan-2026 rates'!$H:$I,2,0)</f>
        <v>0</v>
      </c>
      <c r="LQ309" s="417">
        <f t="shared" si="195"/>
        <v>0</v>
      </c>
      <c r="LR309" s="417">
        <f>VLOOKUP($LQ$8,'Jan-2026 rates'!$H:$I,2,0)</f>
        <v>0</v>
      </c>
      <c r="LS309" s="417">
        <f t="shared" si="196"/>
        <v>159</v>
      </c>
      <c r="LT309" s="417">
        <f>VLOOKUP($LS$8,'Jan-2026 rates'!$H:$I,2,0)</f>
        <v>0</v>
      </c>
      <c r="LU309" s="417">
        <f t="shared" si="197"/>
        <v>63.6</v>
      </c>
      <c r="LV309" s="417">
        <f>VLOOKUP($LU$8,'Jan-2026 rates'!$H:$I,2,0)</f>
        <v>0</v>
      </c>
      <c r="LW309" s="417">
        <f t="shared" si="198"/>
        <v>0</v>
      </c>
      <c r="LX309" s="417">
        <f t="shared" si="199"/>
        <v>0</v>
      </c>
      <c r="LY309" s="418">
        <f t="shared" si="200"/>
        <v>0</v>
      </c>
      <c r="LZ309" s="417"/>
      <c r="MA309" s="435">
        <f t="shared" si="201"/>
        <v>412.59999999999997</v>
      </c>
      <c r="MB309" s="282">
        <f t="shared" si="202"/>
        <v>572.59999999999991</v>
      </c>
      <c r="MC309" s="283" t="s">
        <v>2048</v>
      </c>
      <c r="MD309" s="284" t="str">
        <f t="shared" si="203"/>
        <v>ToyoLiToyoLiToyoLiToyoLiToyoLiToyoLiToyoLiToyoLi</v>
      </c>
      <c r="ME309" s="293" t="str">
        <f t="shared" si="204"/>
        <v>+</v>
      </c>
      <c r="MF309" s="293" t="str">
        <f t="shared" si="205"/>
        <v>+</v>
      </c>
      <c r="MG309" s="293" t="str">
        <f t="shared" si="206"/>
        <v>+</v>
      </c>
      <c r="MH309" s="293" t="str">
        <f t="shared" si="207"/>
        <v>+</v>
      </c>
      <c r="MI309" s="293" t="str">
        <f t="shared" si="208"/>
        <v>+</v>
      </c>
      <c r="MJ309" s="293" t="str">
        <f t="shared" si="209"/>
        <v>+</v>
      </c>
      <c r="MK309" s="293" t="str">
        <f t="shared" si="210"/>
        <v>+</v>
      </c>
      <c r="ML309" s="293" t="str">
        <f t="shared" si="211"/>
        <v>+</v>
      </c>
      <c r="MM309" s="3" t="b">
        <f t="array" ref="MM309">OR(ME309:ML309="-")</f>
        <v>0</v>
      </c>
      <c r="MO309" s="401">
        <f t="shared" si="238"/>
        <v>63.061674008810563</v>
      </c>
      <c r="MP309" s="286"/>
      <c r="MR309" s="402">
        <f t="shared" si="239"/>
        <v>1.10968992248062E-2</v>
      </c>
      <c r="MS309" s="400">
        <f t="shared" si="240"/>
        <v>0</v>
      </c>
      <c r="MT309" s="285"/>
      <c r="NH309" s="361"/>
      <c r="NJ309" s="282"/>
    </row>
    <row r="310" spans="1:374" ht="16.5">
      <c r="A310" s="403">
        <v>46043</v>
      </c>
      <c r="B310" s="404" t="s">
        <v>1018</v>
      </c>
      <c r="C310" s="405" t="s">
        <v>4483</v>
      </c>
      <c r="D310" s="404" t="s">
        <v>2049</v>
      </c>
      <c r="E310" s="404">
        <v>455</v>
      </c>
      <c r="F310" s="407">
        <v>26100</v>
      </c>
      <c r="G310" s="407" t="s">
        <v>1016</v>
      </c>
      <c r="H310" s="408" t="s">
        <v>1017</v>
      </c>
      <c r="I310" s="409">
        <v>1.9</v>
      </c>
      <c r="J310" s="405" t="s">
        <v>543</v>
      </c>
      <c r="K310" s="404" t="s">
        <v>4484</v>
      </c>
      <c r="L310" s="419" t="str">
        <f t="shared" si="184"/>
        <v>ToyoLi - BLACK</v>
      </c>
      <c r="M310" s="404">
        <v>26</v>
      </c>
      <c r="N310" s="410">
        <f>IF(M310=0,0,IF($LB310=70%,VLOOKUP($L310,'Jan-2026 rates'!$L:$R,4,0),IF($LB310=65%,VLOOKUP($L310,'Jan-2026 rates'!$L:$R,4,0),IF($LB310=40%,VLOOKUP($L310,'Jan-2026 rates'!$L:$R,5,0),IF($LB310=30%,VLOOKUP($L310,'Jan-2026 rates'!$L:$R,6,0),IF($LB310=100%,VLOOKUP($L310,'Jan-2026 rates'!$L:$R,7,0),IF($LB310=60%,VLOOKUP($L310,'Jan-2026 rates'!$L:$S,8,0),IF($LB310=80%,VLOOKUP($L310,'Jan-2026 rates'!L:T,9,0),0))))))))</f>
        <v>0</v>
      </c>
      <c r="O310" s="406"/>
      <c r="P310" s="404"/>
      <c r="Q310" s="410">
        <f>IF(P310=0,0,IF($LB310=70%,VLOOKUP($L310,'Jan-2026 rates'!$L:$R,4,0),IF($LB310=65%,VLOOKUP($L310,'Jan-2026 rates'!$L:$R,4,0),IF($LB310=40%,VLOOKUP($L310,'Jan-2026 rates'!$L:$R,5,0),IF($LB310=30%,VLOOKUP($L310,'Jan-2026 rates'!$L:$R,6,0),IF($LB310=100%,VLOOKUP($L310,'Jan-2026 rates'!$L:$R,7,0),IF($LB310=60%,VLOOKUP($L310,'Jan-2026 rates'!$L:$S,8,0),IF($LB310=80%,VLOOKUP($L310,'Jan-2026 rates'!L:T,9,0),0))))))))</f>
        <v>0</v>
      </c>
      <c r="R310" s="406" t="s">
        <v>1252</v>
      </c>
      <c r="S310" s="406"/>
      <c r="T310" s="406"/>
      <c r="U310" s="406"/>
      <c r="V310" s="406"/>
      <c r="W310" s="406"/>
      <c r="X310" s="406"/>
      <c r="Y310" s="406"/>
      <c r="Z310" s="404">
        <v>3</v>
      </c>
      <c r="AA310" s="398">
        <f>IF(Z310=0,0,IF(LEN(R310)=11,_xlfn.XLOOKUP(R310,'Dispensed Ink Rates'!C:C,'Dispensed Ink Rates'!CS:CS),VLOOKUP(R310,'Jan-2026 rates'!$E:$F,2,0)))</f>
        <v>0</v>
      </c>
      <c r="AB310" s="404"/>
      <c r="AC310" s="398">
        <f>IF(AB310=0,0,IF(LEN(S310)=11,_xlfn.XLOOKUP(S310,'Dispensed Ink Rates'!C:C,'Dispensed Ink Rates'!CS:CS),VLOOKUP(S310,'Jan-2026 rates'!$E:$F,2,0)))</f>
        <v>0</v>
      </c>
      <c r="AD310" s="404"/>
      <c r="AE310" s="398">
        <f>IF(AD310=0,0,IF(LEN(T310)=11,_xlfn.XLOOKUP(T310,'Dispensed Ink Rates'!C:C,'Dispensed Ink Rates'!CS:CS),VLOOKUP(T310,'Jan-2026 rates'!$E:$F,2,0)))</f>
        <v>0</v>
      </c>
      <c r="AF310" s="404"/>
      <c r="AG310" s="398">
        <f>IF(AF310=0,0,IF(LEN(U310)=11,_xlfn.XLOOKUP(U310,'Dispensed Ink Rates'!C:C,'Dispensed Ink Rates'!CS:CS),VLOOKUP(U310,'Jan-2026 rates'!$E:$F,2,0)))</f>
        <v>0</v>
      </c>
      <c r="AH310" s="404"/>
      <c r="AI310" s="398">
        <f>IF(AH310=0,0,IF(LEN(V310)=11,_xlfn.XLOOKUP(V310,'Dispensed Ink Rates'!C:C,'Dispensed Ink Rates'!CS:CS),VLOOKUP(V310,'Jan-2026 rates'!$E:$F,2,0)))</f>
        <v>0</v>
      </c>
      <c r="AJ310" s="404"/>
      <c r="AK310" s="398">
        <f>IF(AJ310=0,0,IF(LEN(W310)=11,_xlfn.XLOOKUP(W310,'Dispensed Ink Rates'!C:C,'Dispensed Ink Rates'!CS:CS),VLOOKUP(W310,'Jan-2026 rates'!$E:$F,2,0)))</f>
        <v>0</v>
      </c>
      <c r="AL310" s="404"/>
      <c r="AM310" s="398">
        <f>IF(AL310=0,0,IF(LEN(X310)=11,_xlfn.XLOOKUP(X310,'Dispensed Ink Rates'!C:C,'Dispensed Ink Rates'!CS:CS),VLOOKUP(X310,'Jan-2026 rates'!$E:$F,2,0)))</f>
        <v>0</v>
      </c>
      <c r="AN310" s="404"/>
      <c r="AO310" s="398">
        <f>IF(AN310=0,0,IF(LEN(Y310)=11,_xlfn.XLOOKUP(Y310,'Dispensed Ink Rates'!C:C,'Dispensed Ink Rates'!CS:CS),VLOOKUP(Y310,'Jan-2026 rates'!$E:$F,2,0)))</f>
        <v>0</v>
      </c>
      <c r="AP310" s="409" t="s">
        <v>1881</v>
      </c>
      <c r="AQ310" s="409">
        <v>27</v>
      </c>
      <c r="AR310" s="410">
        <f t="shared" si="212"/>
        <v>0</v>
      </c>
      <c r="AS310" s="411">
        <f t="shared" si="213"/>
        <v>6.4166666666666643</v>
      </c>
      <c r="AT310" s="410">
        <f t="shared" si="214"/>
        <v>0</v>
      </c>
      <c r="AU310" s="405" t="s">
        <v>857</v>
      </c>
      <c r="AV310" s="409"/>
      <c r="AW310" s="420" t="str">
        <f t="shared" si="236"/>
        <v>ToyoLi - RED</v>
      </c>
      <c r="AX310" s="409"/>
      <c r="AY310" s="411">
        <f>IF(AX310=0,0,IF($LB310=70%,VLOOKUP($AW310,'Jan-2026 rates'!$L:$R,4,0),IF($LB310=65%,VLOOKUP($AW310,'Jan-2026 rates'!$L:$R,4,0),IF($LB310=40%,VLOOKUP($AW310,'Jan-2026 rates'!$L:$R,5,0),IF($LB310=30%,VLOOKUP($AW310,'Jan-2026 rates'!$L:$R,6,0),IF($LB310=100%,VLOOKUP($AW310,'Jan-2026 rates'!$L:$R,7,0),IF($LB310=60%,VLOOKUP($AW310,'Jan-2026 rates'!$L:$S,8,0),IF($LB310=80%,VLOOKUP($AW310,'Jan-2026 rates'!L:T,9,0),0))))))))</f>
        <v>0</v>
      </c>
      <c r="AZ310" s="412"/>
      <c r="BA310" s="409"/>
      <c r="BB310" s="411">
        <f>IF(BA310=0,0,IF($LB310=70%,VLOOKUP($AW310,'Jan-2026 rates'!$L:$R,4,0),IF($LB310=65%,VLOOKUP($AW310,'Jan-2026 rates'!$L:$R,4,0),IF($LB310=40%,VLOOKUP($AW310,'Jan-2026 rates'!$L:$R,5,0),IF($LB310=30%,VLOOKUP($AW310,'Jan-2026 rates'!$L:$R,6,0),IF($LB310=100%,VLOOKUP($AW310,'Jan-2026 rates'!$L:$R,7,0),IF($LB310=60%,VLOOKUP($AW310,'Jan-2026 rates'!$L:$S,8,0),IF($LB310=80%,VLOOKUP($AW310,'Jan-2026 rates'!L:T,9,0),0))))))))</f>
        <v>0</v>
      </c>
      <c r="BC310" s="413" t="s">
        <v>1246</v>
      </c>
      <c r="BD310" s="412" t="s">
        <v>1248</v>
      </c>
      <c r="BE310" s="412"/>
      <c r="BF310" s="413"/>
      <c r="BG310" s="412"/>
      <c r="BH310" s="412"/>
      <c r="BI310" s="412"/>
      <c r="BJ310" s="412"/>
      <c r="BK310" s="409">
        <f>20+20</f>
        <v>40</v>
      </c>
      <c r="BL310" s="398">
        <f>IF(BK310=0,0,IF(LEN(BC310)=11,_xlfn.XLOOKUP(BC310,'Dispensed Ink Rates'!C:C,'Dispensed Ink Rates'!CS:CS),VLOOKUP(BC310,'Jan-2026 rates'!$E:$F,2,0)))</f>
        <v>0</v>
      </c>
      <c r="BM310" s="409">
        <f>20+25</f>
        <v>45</v>
      </c>
      <c r="BN310" s="398">
        <f>IF(BM310=0,0,IF(LEN(BD310)=11,_xlfn.XLOOKUP(BD310,'Dispensed Ink Rates'!C:C,'Dispensed Ink Rates'!CS:CS),VLOOKUP(BD310,'Jan-2026 rates'!$E:$F,2,0)))</f>
        <v>0</v>
      </c>
      <c r="BO310" s="409"/>
      <c r="BP310" s="398">
        <f>IF(BO310=0,0,IF(LEN(BE310)=11,_xlfn.XLOOKUP(BE310,'Dispensed Ink Rates'!C:C,'Dispensed Ink Rates'!CS:CS),VLOOKUP(BE310,'Jan-2026 rates'!$E:$F,2,0)))</f>
        <v>0</v>
      </c>
      <c r="BQ310" s="409"/>
      <c r="BR310" s="398">
        <f>IF(BQ310=0,0,IF(LEN(BF310)=11,_xlfn.XLOOKUP(BF310,'Dispensed Ink Rates'!C:C,'Dispensed Ink Rates'!CS:CS),VLOOKUP(BF310,'Jan-2026 rates'!$E:$F,2,0)))</f>
        <v>0</v>
      </c>
      <c r="BS310" s="409"/>
      <c r="BT310" s="398">
        <f>IF(BS310=0,0,IF(LEN(BG310)=11,_xlfn.XLOOKUP(BG310,'Dispensed Ink Rates'!C:C,'Dispensed Ink Rates'!CS:CS),VLOOKUP(BG310,'Jan-2026 rates'!$E:$F,2,0)))</f>
        <v>0</v>
      </c>
      <c r="BU310" s="409"/>
      <c r="BV310" s="398">
        <f>IF(BU310=0,0,IF(LEN(BH310)=11,_xlfn.XLOOKUP(BH310,'Dispensed Ink Rates'!C:C,'Dispensed Ink Rates'!CS:CS),VLOOKUP(BH310,'Jan-2026 rates'!$E:$F,2,0)))</f>
        <v>0</v>
      </c>
      <c r="BW310" s="409"/>
      <c r="BX310" s="398">
        <f>IF(BW310=0,0,IF(LEN(BI310)=11,_xlfn.XLOOKUP(BI310,'Dispensed Ink Rates'!C:C,'Dispensed Ink Rates'!CS:CS),VLOOKUP(BI310,'Jan-2026 rates'!$E:$F,2,0)))</f>
        <v>0</v>
      </c>
      <c r="BY310" s="409"/>
      <c r="BZ310" s="398">
        <f>IF(BY310=0,0,IF(LEN(BJ310)=11,_xlfn.XLOOKUP(BJ310,'Dispensed Ink Rates'!C:C,'Dispensed Ink Rates'!CS:CS),VLOOKUP(BJ310,'Jan-2026 rates'!$E:$F,2,0)))</f>
        <v>0</v>
      </c>
      <c r="CA310" s="409" t="s">
        <v>1881</v>
      </c>
      <c r="CB310" s="409">
        <f>17+15</f>
        <v>32</v>
      </c>
      <c r="CC310" s="411">
        <f t="shared" si="215"/>
        <v>0</v>
      </c>
      <c r="CD310" s="411">
        <f t="shared" si="216"/>
        <v>97.166666666666686</v>
      </c>
      <c r="CE310" s="410">
        <f t="shared" si="217"/>
        <v>0</v>
      </c>
      <c r="CF310" s="404" t="s">
        <v>547</v>
      </c>
      <c r="CG310" s="409"/>
      <c r="CH310" s="420" t="str">
        <f t="shared" si="185"/>
        <v>ToyoLi - GREEN</v>
      </c>
      <c r="CI310" s="409"/>
      <c r="CJ310" s="411">
        <f>IF(CI310=0,0,IF($LB310=70%,VLOOKUP($CH310,'Jan-2026 rates'!$L:$R,4,0),IF($LB310=65%,VLOOKUP($CH310,'Jan-2026 rates'!$L:$R,4,0),IF($LB310=40%,VLOOKUP($CH310,'Jan-2026 rates'!$L:$R,5,0),IF($LB310=30%,VLOOKUP($CH310,'Jan-2026 rates'!$L:$R,6,0),IF($LB310=100%,VLOOKUP($CH310,'Jan-2026 rates'!$L:$R,7,0),IF($LB310=60%,VLOOKUP($CH310,'Jan-2026 rates'!$L:$S,8,0),IF($LB310=80%,VLOOKUP($CH310,'Jan-2026 rates'!L:T,9,0),0))))))))</f>
        <v>0</v>
      </c>
      <c r="CK310" s="412"/>
      <c r="CL310" s="409"/>
      <c r="CM310" s="411">
        <f>IF(CL310=0,0,IF($LB310=70%,VLOOKUP($CH310,'Jan-2026 rates'!$L:$R,4,0),IF($LB310=65%,VLOOKUP($CH310,'Jan-2026 rates'!$L:$R,4,0),IF($LB310=40%,VLOOKUP($CH310,'Jan-2026 rates'!$L:$R,5,0),IF($LB310=30%,VLOOKUP($CH310,'Jan-2026 rates'!$L:$R,6,0),IF($LB310=100%,VLOOKUP($CH310,'Jan-2026 rates'!$L:$R,7,0),IF($LB310=60%,VLOOKUP($CH310,'Jan-2026 rates'!$L:$S,8,0),IF($LB310=80%,VLOOKUP($CH310,'Jan-2026 rates'!L:T,9,0),0))))))))</f>
        <v>0</v>
      </c>
      <c r="CN310" s="426" t="s">
        <v>1247</v>
      </c>
      <c r="CO310" s="427" t="s">
        <v>1251</v>
      </c>
      <c r="CP310" s="426"/>
      <c r="CQ310" s="426"/>
      <c r="CR310" s="428"/>
      <c r="CS310" s="428"/>
      <c r="CT310" s="428"/>
      <c r="CU310" s="428"/>
      <c r="CV310" s="409">
        <v>10</v>
      </c>
      <c r="CW310" s="398">
        <f>IF(CV310=0,0,IF(LEN(CN310)=11,_xlfn.XLOOKUP(CN310,'Dispensed Ink Rates'!C:C,'Dispensed Ink Rates'!CS:CS),VLOOKUP(CN310,'Jan-2026 rates'!$E:$F,2,0)))</f>
        <v>0</v>
      </c>
      <c r="CX310" s="409">
        <v>2</v>
      </c>
      <c r="CY310" s="398">
        <f>IF(CX310=0,0,IF(LEN(CO310)=11,_xlfn.XLOOKUP(CO310,'Dispensed Ink Rates'!C:C,'Dispensed Ink Rates'!CS:CS),VLOOKUP(CO310,'Jan-2026 rates'!$E:$F,2,0)))</f>
        <v>0</v>
      </c>
      <c r="CZ310" s="409"/>
      <c r="DA310" s="398">
        <f>IF(CZ310=0,0,IF(LEN(CP310)=11,_xlfn.XLOOKUP(CP310,'Dispensed Ink Rates'!C:C,'Dispensed Ink Rates'!CS:CS),VLOOKUP(CP310,'Jan-2026 rates'!$E:$F,2,0)))</f>
        <v>0</v>
      </c>
      <c r="DB310" s="409"/>
      <c r="DC310" s="398">
        <f>IF(DB310=0,0,IF(LEN(CQ310)=11,_xlfn.XLOOKUP(CQ310,'Dispensed Ink Rates'!C:C,'Dispensed Ink Rates'!CS:CS),VLOOKUP(CQ310,'Jan-2026 rates'!$E:$F,2,0)))</f>
        <v>0</v>
      </c>
      <c r="DD310" s="409"/>
      <c r="DE310" s="398">
        <f>IF(DD310=0,0,IF(LEN(CR310)=11,_xlfn.XLOOKUP(CR310,'Dispensed Ink Rates'!C:C,'Dispensed Ink Rates'!CS:CS),VLOOKUP(CR310,'Jan-2026 rates'!$E:$F,2,0)))</f>
        <v>0</v>
      </c>
      <c r="DF310" s="409"/>
      <c r="DG310" s="398">
        <f>IF(DF310=0,0,IF(LEN(CS310)=11,_xlfn.XLOOKUP(CS310,'Dispensed Ink Rates'!C:C,'Dispensed Ink Rates'!CS:CS),VLOOKUP(CS310,'Jan-2026 rates'!$E:$F,2,0)))</f>
        <v>0</v>
      </c>
      <c r="DH310" s="409"/>
      <c r="DI310" s="398">
        <f>IF(DH310=0,0,IF(LEN(CT310)=11,_xlfn.XLOOKUP(CT310,'Dispensed Ink Rates'!C:C,'Dispensed Ink Rates'!CS:CS),VLOOKUP(CT310,'Jan-2026 rates'!$E:$F,2,0)))</f>
        <v>0</v>
      </c>
      <c r="DJ310" s="409"/>
      <c r="DK310" s="398">
        <f>IF(DJ310=0,0,IF(LEN(CU310)=11,_xlfn.XLOOKUP(CU310,'Dispensed Ink Rates'!C:C,'Dispensed Ink Rates'!CS:CS),VLOOKUP(CU310,'Jan-2026 rates'!$E:$F,2,0)))</f>
        <v>0</v>
      </c>
      <c r="DL310" s="409" t="s">
        <v>1881</v>
      </c>
      <c r="DM310" s="409">
        <v>16</v>
      </c>
      <c r="DN310" s="411">
        <f t="shared" si="218"/>
        <v>0</v>
      </c>
      <c r="DO310" s="411">
        <f t="shared" si="219"/>
        <v>13.666666666666664</v>
      </c>
      <c r="DP310" s="410">
        <f t="shared" si="220"/>
        <v>0</v>
      </c>
      <c r="DQ310" s="405" t="s">
        <v>545</v>
      </c>
      <c r="DR310" s="409" t="s">
        <v>4485</v>
      </c>
      <c r="DS310" s="420" t="str">
        <f t="shared" si="186"/>
        <v>ToyoLi - YELLOW</v>
      </c>
      <c r="DT310" s="409">
        <v>25</v>
      </c>
      <c r="DU310" s="411">
        <f>IF(DT310=0,0,IF($LB310=70%,VLOOKUP($DS310,'Jan-2026 rates'!$L:$R,4,0),IF($LB310=65%,VLOOKUP($DS310,'Jan-2026 rates'!$L:$R,4,0),IF($LB310=40%,VLOOKUP($DS310,'Jan-2026 rates'!$L:$R,5,0),IF($LB310=30%,VLOOKUP($DS310,'Jan-2026 rates'!$L:$R,6,0),IF($LB310=100%,VLOOKUP($DS310,'Jan-2026 rates'!$L:$R,7,0),IF($LB310=60%,VLOOKUP($DS310,'Jan-2026 rates'!$L:$S,8,0),IF($LB310=80%,VLOOKUP($DS310,'Jan-2026 rates'!L:T,9,0),0))))))))</f>
        <v>0</v>
      </c>
      <c r="DV310" s="412"/>
      <c r="DW310" s="409"/>
      <c r="DX310" s="411">
        <f>IF(DW310=0,0,IF($LB310=70%,VLOOKUP($DS310,'Jan-2026 rates'!$L:$R,4,0),IF($LB310=65%,VLOOKUP($DS310,'Jan-2026 rates'!$L:$R,4,0),IF($LB310=40%,VLOOKUP($DS310,'Jan-2026 rates'!$L:$R,5,0),IF($LB310=30%,VLOOKUP($DS310,'Jan-2026 rates'!$L:$R,6,0),IF($LB310=100%,VLOOKUP($DS310,'Jan-2026 rates'!$L:$R,7,0),IF($LB310=60%,VLOOKUP($DS310,'Jan-2026 rates'!$L:$S,8,0),IF($LB310=80%,VLOOKUP($DS310,'Jan-2026 rates'!L:T,9,0),0))))))))</f>
        <v>0</v>
      </c>
      <c r="DY310" s="413" t="s">
        <v>1247</v>
      </c>
      <c r="DZ310" s="413"/>
      <c r="EA310" s="412"/>
      <c r="EB310" s="412"/>
      <c r="EC310" s="412"/>
      <c r="ED310" s="412"/>
      <c r="EE310" s="412"/>
      <c r="EF310" s="412"/>
      <c r="EG310" s="409">
        <v>3</v>
      </c>
      <c r="EH310" s="398">
        <f>IF(EG310=0,0,IF(LEN(DY310)=11,_xlfn.XLOOKUP(DY310,'Dispensed Ink Rates'!C:C,'Dispensed Ink Rates'!CS:CS),VLOOKUP(DY310,'Jan-2026 rates'!$E:$F,2,0)))</f>
        <v>0</v>
      </c>
      <c r="EI310" s="409"/>
      <c r="EJ310" s="398">
        <f>IF(EI310=0,0,IF(LEN(DZ310)=11,_xlfn.XLOOKUP(DZ310,'Dispensed Ink Rates'!C:C,'Dispensed Ink Rates'!CS:CS),VLOOKUP(DZ310,'Jan-2026 rates'!$E:$F,2,0)))</f>
        <v>0</v>
      </c>
      <c r="EK310" s="409"/>
      <c r="EL310" s="398">
        <f>IF(EK310=0,0,IF(LEN(EA310)=11,_xlfn.XLOOKUP(EA310,'Dispensed Ink Rates'!C:C,'Dispensed Ink Rates'!CS:CS),VLOOKUP(EA310,'Jan-2026 rates'!$E:$F,2,0)))</f>
        <v>0</v>
      </c>
      <c r="EM310" s="409"/>
      <c r="EN310" s="398">
        <f>IF(EM310=0,0,IF(LEN(EB310)=11,_xlfn.XLOOKUP(EB310,'Dispensed Ink Rates'!C:C,'Dispensed Ink Rates'!CS:CS),VLOOKUP(EB310,'Jan-2026 rates'!$E:$F,2,0)))</f>
        <v>0</v>
      </c>
      <c r="EO310" s="409"/>
      <c r="EP310" s="398">
        <f>IF(EO310=0,0,IF(LEN(EC310)=11,_xlfn.XLOOKUP(EC310,'Dispensed Ink Rates'!C:C,'Dispensed Ink Rates'!CS:CS),VLOOKUP(EC310,'Jan-2026 rates'!$E:$F,2,0)))</f>
        <v>0</v>
      </c>
      <c r="EQ310" s="409"/>
      <c r="ER310" s="398">
        <f>IF(EQ310=0,0,IF(LEN(ED310)=11,_xlfn.XLOOKUP(ED310,'Dispensed Ink Rates'!C:C,'Dispensed Ink Rates'!CS:CS),VLOOKUP(ED310,'Jan-2026 rates'!$E:$F,2,0)))</f>
        <v>0</v>
      </c>
      <c r="ES310" s="409"/>
      <c r="ET310" s="398">
        <f>IF(ES310=0,0,IF(LEN(EE310)=11,_xlfn.XLOOKUP(EE310,'Dispensed Ink Rates'!C:C,'Dispensed Ink Rates'!CS:CS),VLOOKUP(EE310,'Jan-2026 rates'!$E:$F,2,0)))</f>
        <v>0</v>
      </c>
      <c r="EU310" s="409"/>
      <c r="EV310" s="398">
        <f>IF(EU310=0,0,IF(LEN(EF310)=11,_xlfn.XLOOKUP(EF310,'Dispensed Ink Rates'!C:C,'Dispensed Ink Rates'!CS:CS),VLOOKUP(EF310,'Jan-2026 rates'!$E:$F,2,0)))</f>
        <v>0</v>
      </c>
      <c r="EW310" s="409" t="s">
        <v>1881</v>
      </c>
      <c r="EX310" s="409">
        <v>27</v>
      </c>
      <c r="EY310" s="411">
        <f t="shared" si="221"/>
        <v>0</v>
      </c>
      <c r="EZ310" s="411">
        <f t="shared" si="222"/>
        <v>5.4166666666666643</v>
      </c>
      <c r="FA310" s="410">
        <f t="shared" si="223"/>
        <v>0</v>
      </c>
      <c r="FB310" s="405" t="s">
        <v>856</v>
      </c>
      <c r="FC310" s="409" t="s">
        <v>4486</v>
      </c>
      <c r="FD310" s="420" t="str">
        <f t="shared" si="187"/>
        <v>ToyoLi - WHITE</v>
      </c>
      <c r="FE310" s="409">
        <v>25</v>
      </c>
      <c r="FF310" s="411">
        <f>IF(FE310=0,0,IF($LB310=70%,VLOOKUP($FD310,'Jan-2026 rates'!$L:$R,4,0),IF($LB310=65%,VLOOKUP($FD310,'Jan-2026 rates'!$L:$R,4,0),IF($LB310=40%,VLOOKUP($FD310,'Jan-2026 rates'!$L:$R,5,0),IF($LB310=30%,VLOOKUP($FD310,'Jan-2026 rates'!$L:$R,6,0),IF($LB310=100%,VLOOKUP($FD310,'Jan-2026 rates'!$L:$R,7,0),IF($LB310=60%,VLOOKUP($FD310,'Jan-2026 rates'!$L:$S,8,0),IF($LB310=80%,VLOOKUP($FD310,'Jan-2026 rates'!L:T,9,0),0))))))))</f>
        <v>0</v>
      </c>
      <c r="FG310" s="412"/>
      <c r="FH310" s="409"/>
      <c r="FI310" s="411">
        <f>IF(FH310=0,0,IF($LB310=70%,VLOOKUP($FD310,'Jan-2026 rates'!$L:$R,4,0),IF($LB310=65%,VLOOKUP($FD310,'Jan-2026 rates'!$L:$R,4,0),IF($LB310=40%,VLOOKUP($FD310,'Jan-2026 rates'!$L:$R,5,0),IF($LB310=30%,VLOOKUP($FD310,'Jan-2026 rates'!$L:$R,6,0),IF($LB310=100%,VLOOKUP($FD310,'Jan-2026 rates'!$L:$R,7,0),IF($LB310=60%,VLOOKUP($FD310,'Jan-2026 rates'!$L:$S,8,0),IF($LB310=80%,VLOOKUP($FD310,'Jan-2026 rates'!L:T,9,0),0))))))))</f>
        <v>0</v>
      </c>
      <c r="FJ310" s="413" t="s">
        <v>1249</v>
      </c>
      <c r="FK310" s="413" t="s">
        <v>1122</v>
      </c>
      <c r="FL310" s="413"/>
      <c r="FM310" s="412"/>
      <c r="FN310" s="412"/>
      <c r="FO310" s="412"/>
      <c r="FP310" s="412"/>
      <c r="FQ310" s="412"/>
      <c r="FR310" s="409">
        <v>80</v>
      </c>
      <c r="FS310" s="398">
        <f>IF(FR310=0,0,IF(LEN(FJ310)=11,_xlfn.XLOOKUP(FJ310,'Dispensed Ink Rates'!C:C,'Dispensed Ink Rates'!CS:CS),VLOOKUP(FJ310,'Jan-2026 rates'!$E:$F,2,0)))</f>
        <v>0</v>
      </c>
      <c r="FT310" s="409">
        <v>6.63</v>
      </c>
      <c r="FU310" s="398">
        <f>IF(FT310=0,0,IF(LEN(FK310)=11,_xlfn.XLOOKUP(FK310,'Dispensed Ink Rates'!C:C,'Dispensed Ink Rates'!CS:CS),VLOOKUP(FK310,'Jan-2026 rates'!$E:$F,2,0)))</f>
        <v>0</v>
      </c>
      <c r="FV310" s="409"/>
      <c r="FW310" s="398">
        <f>IF(FV310=0,0,IF(LEN(FL310)=11,_xlfn.XLOOKUP(FL310,'Dispensed Ink Rates'!C:C,'Dispensed Ink Rates'!CS:CS),VLOOKUP(FL310,'Jan-2026 rates'!$E:$F,2,0)))</f>
        <v>0</v>
      </c>
      <c r="FX310" s="409"/>
      <c r="FY310" s="398">
        <f>IF(FX310=0,0,IF(LEN(FM310)=11,_xlfn.XLOOKUP(FM310,'Dispensed Ink Rates'!C:C,'Dispensed Ink Rates'!CS:CS),VLOOKUP(FM310,'Jan-2026 rates'!$E:$F,2,0)))</f>
        <v>0</v>
      </c>
      <c r="FZ310" s="409"/>
      <c r="GA310" s="398">
        <f>IF(FZ310=0,0,IF(LEN(FN310)=11,_xlfn.XLOOKUP(FN310,'Dispensed Ink Rates'!C:C,'Dispensed Ink Rates'!CS:CS),VLOOKUP(FN310,'Jan-2026 rates'!$E:$F,2,0)))</f>
        <v>0</v>
      </c>
      <c r="GB310" s="409"/>
      <c r="GC310" s="398">
        <f>IF(GB310=0,0,IF(LEN(FO310)=11,_xlfn.XLOOKUP(FO310,'Dispensed Ink Rates'!C:C,'Dispensed Ink Rates'!CS:CS),VLOOKUP(FO310,'Jan-2026 rates'!$E:$F,2,0)))</f>
        <v>0</v>
      </c>
      <c r="GD310" s="409"/>
      <c r="GE310" s="398">
        <f>IF(GD310=0,0,IF(LEN(FP310)=11,_xlfn.XLOOKUP(FP310,'Dispensed Ink Rates'!C:C,'Dispensed Ink Rates'!CS:CS),VLOOKUP(FP310,'Jan-2026 rates'!$E:$F,2,0)))</f>
        <v>0</v>
      </c>
      <c r="GF310" s="409"/>
      <c r="GG310" s="398">
        <f>IF(GF310=0,0,IF(LEN(FQ310)=11,_xlfn.XLOOKUP(FQ310,'Dispensed Ink Rates'!C:C,'Dispensed Ink Rates'!CS:CS),VLOOKUP(FQ310,'Jan-2026 rates'!$E:$F,2,0)))</f>
        <v>0</v>
      </c>
      <c r="GH310" s="409" t="s">
        <v>1881</v>
      </c>
      <c r="GI310" s="409">
        <v>30</v>
      </c>
      <c r="GJ310" s="411">
        <f t="shared" si="224"/>
        <v>0</v>
      </c>
      <c r="GK310" s="411">
        <f t="shared" si="225"/>
        <v>169.96333333333334</v>
      </c>
      <c r="GL310" s="410">
        <f t="shared" si="226"/>
        <v>0</v>
      </c>
      <c r="GM310" s="405"/>
      <c r="GN310" s="409"/>
      <c r="GO310" s="420" t="str">
        <f t="shared" si="188"/>
        <v xml:space="preserve"> - </v>
      </c>
      <c r="GP310" s="409"/>
      <c r="GQ310" s="411">
        <f>IF(GP310=0,0,IF($LB310=70%,VLOOKUP($GO310,'Jan-2026 rates'!$L:$R,4,0),IF($LB310=65%,VLOOKUP($GO310,'Jan-2026 rates'!$L:$R,4,0),IF($LB310=40%,VLOOKUP($GO310,'Jan-2026 rates'!$L:$R,5,0),IF($LB310=30%,VLOOKUP($GO310,'Jan-2026 rates'!$L:$R,6,0),IF($LB310=100%,VLOOKUP($GO310,'Jan-2026 rates'!$L:$R,7,0),IF($LB310=60%,VLOOKUP($GO310,'Jan-2026 rates'!$L:$S,8,0),IF($LB310=80%,VLOOKUP($GO310,'Jan-2026 rates'!L:T,9,0),0))))))))</f>
        <v>0</v>
      </c>
      <c r="GR310" s="412"/>
      <c r="GS310" s="409"/>
      <c r="GT310" s="411">
        <f>IF(GS310=0,0,IF($LB310=70%,VLOOKUP($GO310,'Jan-2026 rates'!$L:$R,4,0),IF($LB310=65%,VLOOKUP($GO310,'Jan-2026 rates'!$L:$R,4,0),IF($LB310=40%,VLOOKUP($GO310,'Jan-2026 rates'!$L:$R,5,0),IF($LB310=30%,VLOOKUP($GO310,'Jan-2026 rates'!$L:$R,6,0),IF($LB310=100%,VLOOKUP($GO310,'Jan-2026 rates'!$L:$R,7,0),IF($LB310=60%,VLOOKUP($GO310,'Jan-2026 rates'!$L:$S,8,0),IF($LB310=80%,VLOOKUP($GO310,'Jan-2026 rates'!L:T,9,0),0))))))))</f>
        <v>0</v>
      </c>
      <c r="GU310" s="413"/>
      <c r="GV310" s="413"/>
      <c r="GW310" s="412"/>
      <c r="GX310" s="412"/>
      <c r="GY310" s="412"/>
      <c r="GZ310" s="412"/>
      <c r="HA310" s="412"/>
      <c r="HB310" s="412"/>
      <c r="HC310" s="409"/>
      <c r="HD310" s="398">
        <f>IF(HC310=0,0,IF(LEN(GU310)=11,_xlfn.XLOOKUP(GU310,'Dispensed Ink Rates'!C:C,'Dispensed Ink Rates'!CS:CS),VLOOKUP(GU310,'Jan-2026 rates'!$E:$F,2,0)))</f>
        <v>0</v>
      </c>
      <c r="HE310" s="409"/>
      <c r="HF310" s="398">
        <f>IF(HE310=0,0,IF(LEN(GV310)=11,_xlfn.XLOOKUP(GV310,'Dispensed Ink Rates'!C:C,'Dispensed Ink Rates'!CS:CS),VLOOKUP(GV310,'Jan-2026 rates'!$E:$F,2,0)))</f>
        <v>0</v>
      </c>
      <c r="HG310" s="409"/>
      <c r="HH310" s="398">
        <f>IF(HG310=0,0,IF(LEN(GW310)=11,_xlfn.XLOOKUP(GW310,'Dispensed Ink Rates'!C:C,'Dispensed Ink Rates'!CS:CS),VLOOKUP(GW310,'Jan-2026 rates'!$E:$F,2,0)))</f>
        <v>0</v>
      </c>
      <c r="HI310" s="409"/>
      <c r="HJ310" s="398">
        <f>IF(HI310=0,0,IF(LEN(GX310)=11,_xlfn.XLOOKUP(GX310,'Dispensed Ink Rates'!C:C,'Dispensed Ink Rates'!CS:CS),VLOOKUP(GX310,'Jan-2026 rates'!$E:$F,2,0)))</f>
        <v>0</v>
      </c>
      <c r="HK310" s="409"/>
      <c r="HL310" s="398">
        <f>IF(HK310=0,0,IF(LEN(GY310)=11,_xlfn.XLOOKUP(GY310,'Dispensed Ink Rates'!C:C,'Dispensed Ink Rates'!CS:CS),VLOOKUP(GY310,'Jan-2026 rates'!$E:$F,2,0)))</f>
        <v>0</v>
      </c>
      <c r="HM310" s="409"/>
      <c r="HN310" s="398">
        <f>IF(HM310=0,0,IF(LEN(GZ310)=11,_xlfn.XLOOKUP(GZ310,'Dispensed Ink Rates'!C:C,'Dispensed Ink Rates'!CS:CS),VLOOKUP(GZ310,'Jan-2026 rates'!$E:$F,2,0)))</f>
        <v>0</v>
      </c>
      <c r="HO310" s="409"/>
      <c r="HP310" s="398">
        <f>IF(HO310=0,0,IF(LEN(HA310)=11,_xlfn.XLOOKUP(HA310,'Dispensed Ink Rates'!C:C,'Dispensed Ink Rates'!CS:CS),VLOOKUP(HA310,'Jan-2026 rates'!$E:$F,2,0)))</f>
        <v>0</v>
      </c>
      <c r="HQ310" s="409"/>
      <c r="HR310" s="398">
        <f>IF(HQ310=0,0,IF(LEN(HB310)=11,_xlfn.XLOOKUP(HB310,'Dispensed Ink Rates'!C:C,'Dispensed Ink Rates'!CS:CS),VLOOKUP(HB310,'Jan-2026 rates'!$E:$F,2,0)))</f>
        <v>0</v>
      </c>
      <c r="HS310" s="409"/>
      <c r="HT310" s="409"/>
      <c r="HU310" s="411">
        <f t="shared" si="227"/>
        <v>0</v>
      </c>
      <c r="HV310" s="411">
        <f t="shared" si="228"/>
        <v>0</v>
      </c>
      <c r="HW310" s="414">
        <f t="shared" si="229"/>
        <v>0</v>
      </c>
      <c r="HX310" s="405"/>
      <c r="HY310" s="409"/>
      <c r="HZ310" s="420" t="str">
        <f t="shared" si="189"/>
        <v xml:space="preserve"> - </v>
      </c>
      <c r="IA310" s="409"/>
      <c r="IB310" s="411">
        <f>IF(IA310=0,0,IF($LB310=70%,VLOOKUP($HZ310,'Jan-2026 rates'!$L:$R,4,0),IF($LB310=65%,VLOOKUP($HZ310,'Jan-2026 rates'!$L:$R,4,0),IF($LB310=40%,VLOOKUP($HZ310,'Jan-2026 rates'!$L:$R,5,0),IF($LB310=30%,VLOOKUP($HZ310,'Jan-2026 rates'!$L:$R,6,0),IF($LB310=100%,VLOOKUP($HZ310,'Jan-2026 rates'!$L:$R,7,0),IF($LB310=60%,VLOOKUP($HZ310,'Jan-2026 rates'!$L:$S,8,0),IF($LB310=80%,VLOOKUP($HZ310,'Jan-2026 rates'!L:T,9,0),0))))))))</f>
        <v>0</v>
      </c>
      <c r="IC310" s="412"/>
      <c r="ID310" s="409"/>
      <c r="IE310" s="411">
        <f>IF(ID310=0,0,IF($LB310=70%,VLOOKUP($HZ310,'Jan-2026 rates'!$L:$R,4,0),IF($LB310=65%,VLOOKUP($HZ310,'Jan-2026 rates'!$L:$R,4,0),IF($LB310=40%,VLOOKUP($HZ310,'Jan-2026 rates'!$L:$R,5,0),IF($LB310=30%,VLOOKUP($HZ310,'Jan-2026 rates'!$L:$R,6,0),IF($LB310=100%,VLOOKUP($HZ310,'Jan-2026 rates'!$L:$R,7,0),IF($LB310=60%,VLOOKUP($HZ310,'Jan-2026 rates'!$L:$S,8,0),IF($LB310=80%,VLOOKUP($HZ310,'Jan-2026 rates'!L:T,9,0),0))))))))</f>
        <v>0</v>
      </c>
      <c r="IF310" s="412"/>
      <c r="IG310" s="413"/>
      <c r="IH310" s="412"/>
      <c r="II310" s="412"/>
      <c r="IJ310" s="412"/>
      <c r="IK310" s="412"/>
      <c r="IL310" s="412"/>
      <c r="IM310" s="412"/>
      <c r="IN310" s="409"/>
      <c r="IO310" s="398">
        <f>IF(IN310=0,0,IF(LEN(IF310)=11,_xlfn.XLOOKUP(IF310,'Dispensed Ink Rates'!C:C,'Dispensed Ink Rates'!CS:CS),VLOOKUP(IF310,'Jan-2026 rates'!$E:$F,2,0)))</f>
        <v>0</v>
      </c>
      <c r="IP310" s="409"/>
      <c r="IQ310" s="398">
        <f>IF(IP310=0,0,IF(LEN(IG310)=11,_xlfn.XLOOKUP(IG310,'Dispensed Ink Rates'!C:C,'Dispensed Ink Rates'!CS:CS),VLOOKUP(IG310,'Jan-2026 rates'!$E:$F,2,0)))</f>
        <v>0</v>
      </c>
      <c r="IR310" s="409"/>
      <c r="IS310" s="398">
        <f>IF(IR310=0,0,IF(LEN(IH310)=11,_xlfn.XLOOKUP(IH310,'Dispensed Ink Rates'!C:C,'Dispensed Ink Rates'!CS:CS),VLOOKUP(IH310,'Jan-2026 rates'!$E:$F,2,0)))</f>
        <v>0</v>
      </c>
      <c r="IT310" s="409"/>
      <c r="IU310" s="398">
        <f>IF(IT310=0,0,IF(LEN(II310)=11,_xlfn.XLOOKUP(II310,'Dispensed Ink Rates'!C:C,'Dispensed Ink Rates'!CS:CS),VLOOKUP(II310,'Jan-2026 rates'!$E:$F,2,0)))</f>
        <v>0</v>
      </c>
      <c r="IV310" s="409"/>
      <c r="IW310" s="398">
        <f>IF(IV310=0,0,IF(LEN(IJ310)=11,_xlfn.XLOOKUP(IJ310,'Dispensed Ink Rates'!C:C,'Dispensed Ink Rates'!CS:CS),VLOOKUP(IJ310,'Jan-2026 rates'!$E:$F,2,0)))</f>
        <v>0</v>
      </c>
      <c r="IX310" s="409"/>
      <c r="IY310" s="398">
        <f>IF(IX310=0,0,IF(LEN(IK310)=11,_xlfn.XLOOKUP(IK310,'Dispensed Ink Rates'!C:C,'Dispensed Ink Rates'!CS:CS),VLOOKUP(IK310,'Jan-2026 rates'!$E:$F,2,0)))</f>
        <v>0</v>
      </c>
      <c r="IZ310" s="409"/>
      <c r="JA310" s="398">
        <f>IF(IZ310=0,0,IF(LEN(IL310)=11,_xlfn.XLOOKUP(IL310,'Dispensed Ink Rates'!C:C,'Dispensed Ink Rates'!CS:CS),VLOOKUP(IL310,'Jan-2026 rates'!$E:$F,2,0)))</f>
        <v>0</v>
      </c>
      <c r="JB310" s="409"/>
      <c r="JC310" s="398">
        <f>IF(JB310=0,0,IF(LEN(IM310)=11,_xlfn.XLOOKUP(IM310,'Dispensed Ink Rates'!C:C,'Dispensed Ink Rates'!CS:CS),VLOOKUP(IM310,'Jan-2026 rates'!$E:$F,2,0)))</f>
        <v>0</v>
      </c>
      <c r="JD310" s="409"/>
      <c r="JE310" s="409"/>
      <c r="JF310" s="411">
        <f t="shared" si="230"/>
        <v>0</v>
      </c>
      <c r="JG310" s="411">
        <f t="shared" si="231"/>
        <v>0</v>
      </c>
      <c r="JH310" s="410">
        <f t="shared" si="232"/>
        <v>0</v>
      </c>
      <c r="JI310" s="405"/>
      <c r="JJ310" s="409"/>
      <c r="JK310" s="420" t="str">
        <f t="shared" si="190"/>
        <v xml:space="preserve"> - </v>
      </c>
      <c r="JL310" s="409"/>
      <c r="JM310" s="411">
        <f>IF(JL310=0,0,IF($LB310=70%,VLOOKUP($JK310,'Jan-2026 rates'!$L:$R,4,0),IF($LB310=65%,VLOOKUP($JK310,'Jan-2026 rates'!$L:$R,4,0),IF($LB310=40%,VLOOKUP($JK310,'Jan-2026 rates'!$L:$R,5,0),IF($LB310=30%,VLOOKUP($JK310,'Jan-2026 rates'!$L:$R,6,0),IF($LB310=100%,VLOOKUP($JK310,'Jan-2026 rates'!$L:$R,7,0),IF($LB310=60%,VLOOKUP($JK310,'Jan-2026 rates'!$L:$S,8,0),IF($LB310=80%,VLOOKUP($JK310,'Jan-2026 rates'!L:T,9,0),0))))))))</f>
        <v>0</v>
      </c>
      <c r="JN310" s="412"/>
      <c r="JO310" s="409"/>
      <c r="JP310" s="411">
        <f>IF(JO310=0,0,IF($LB310=70%,VLOOKUP($JK310,'Jan-2026 rates'!$L:$R,4,0),IF($LB310=65%,VLOOKUP($JK310,'Jan-2026 rates'!$L:$R,4,0),IF($LB310=40%,VLOOKUP($JK310,'Jan-2026 rates'!$L:$R,5,0),IF($LB310=30%,VLOOKUP($JK310,'Jan-2026 rates'!$L:$R,6,0),IF($LB310=100%,VLOOKUP($JK310,'Jan-2026 rates'!$L:$R,7,0),IF($LB310=60%,VLOOKUP($JK310,'Jan-2026 rates'!$L:$S,8,0),IF($LB310=80%,VLOOKUP($JK310,'Jan-2026 rates'!L:T,9,0),0))))))))</f>
        <v>0</v>
      </c>
      <c r="JQ310" s="413"/>
      <c r="JR310" s="412"/>
      <c r="JS310" s="413"/>
      <c r="JT310" s="413"/>
      <c r="JU310" s="412"/>
      <c r="JV310" s="412"/>
      <c r="JW310" s="412"/>
      <c r="JX310" s="412"/>
      <c r="JY310" s="409"/>
      <c r="JZ310" s="398">
        <f>IF(JY310=0,0,IF(LEN(JQ310)=11,_xlfn.XLOOKUP(JQ310,'Dispensed Ink Rates'!C:C,'Dispensed Ink Rates'!CS:CS),VLOOKUP(JQ310,'Jan-2026 rates'!$E:$F,2,0)))</f>
        <v>0</v>
      </c>
      <c r="KA310" s="409"/>
      <c r="KB310" s="398">
        <f>IF(KA310=0,0,IF(LEN(JR310)=11,_xlfn.XLOOKUP(JR310,'Dispensed Ink Rates'!C:C,'Dispensed Ink Rates'!CS:CS),VLOOKUP(JR310,'Jan-2026 rates'!$E:$F,2,0)))</f>
        <v>0</v>
      </c>
      <c r="KC310" s="409"/>
      <c r="KD310" s="398">
        <f>IF(KC310=0,0,IF(LEN(JS310)=11,_xlfn.XLOOKUP(JS310,'Dispensed Ink Rates'!C:C,'Dispensed Ink Rates'!CS:CS),VLOOKUP(JS310,'Jan-2026 rates'!$E:$F,2,0)))</f>
        <v>0</v>
      </c>
      <c r="KE310" s="409"/>
      <c r="KF310" s="398">
        <f>IF(KE310=0,0,IF(LEN(JT310)=11,_xlfn.XLOOKUP(JT310,'Dispensed Ink Rates'!C:C,'Dispensed Ink Rates'!CS:CS),VLOOKUP(JT310,'Jan-2026 rates'!$E:$F,2,0)))</f>
        <v>0</v>
      </c>
      <c r="KG310" s="409"/>
      <c r="KH310" s="398">
        <f>IF(KG310=0,0,IF(LEN(JU310)=11,_xlfn.XLOOKUP(JU310,'Dispensed Ink Rates'!C:C,'Dispensed Ink Rates'!CS:CS),VLOOKUP(JU310,'Jan-2026 rates'!$E:$F,2,0)))</f>
        <v>0</v>
      </c>
      <c r="KI310" s="409"/>
      <c r="KJ310" s="398">
        <f>IF(KI310=0,0,IF(LEN(JV310)=11,_xlfn.XLOOKUP(JV310,'Dispensed Ink Rates'!C:C,'Dispensed Ink Rates'!CS:CS),VLOOKUP(JV310,'Jan-2026 rates'!$E:$F,2,0)))</f>
        <v>0</v>
      </c>
      <c r="KK310" s="409"/>
      <c r="KL310" s="398">
        <f>IF(KK310=0,0,IF(LEN(JW310)=11,_xlfn.XLOOKUP(JW310,'Dispensed Ink Rates'!C:C,'Dispensed Ink Rates'!CS:CS),VLOOKUP(JW310,'Jan-2026 rates'!$E:$F,2,0)))</f>
        <v>0</v>
      </c>
      <c r="KM310" s="428"/>
      <c r="KN310" s="398">
        <f>IF(KM310=0,0,IF(LEN(JX310)=11,_xlfn.XLOOKUP(JX310,'Dispensed Ink Rates'!C:C,'Dispensed Ink Rates'!CS:CS),VLOOKUP(JX310,'Jan-2026 rates'!$E:$F,2,0)))</f>
        <v>0</v>
      </c>
      <c r="KO310" s="409"/>
      <c r="KP310" s="409"/>
      <c r="KQ310" s="411">
        <f t="shared" si="233"/>
        <v>0</v>
      </c>
      <c r="KR310" s="411">
        <f t="shared" si="234"/>
        <v>0</v>
      </c>
      <c r="KS310" s="410">
        <f t="shared" si="235"/>
        <v>0</v>
      </c>
      <c r="KT310" s="409">
        <v>2</v>
      </c>
      <c r="KU310" s="409">
        <f>15+5</f>
        <v>20</v>
      </c>
      <c r="KV310" s="409">
        <v>8</v>
      </c>
      <c r="KW310" s="409">
        <v>2</v>
      </c>
      <c r="KX310" s="409">
        <v>40</v>
      </c>
      <c r="KY310" s="409">
        <v>0</v>
      </c>
      <c r="KZ310" s="409">
        <v>0</v>
      </c>
      <c r="LA310" s="409">
        <v>0</v>
      </c>
      <c r="LB310" s="415">
        <v>0.3</v>
      </c>
      <c r="LC310" s="415"/>
      <c r="LD310" s="424"/>
      <c r="LE310" s="415">
        <v>0.5</v>
      </c>
      <c r="LF310" s="415">
        <v>0.2</v>
      </c>
      <c r="LG310" s="409">
        <v>0</v>
      </c>
      <c r="LH310" s="409">
        <f>40+39+24+40+16</f>
        <v>159</v>
      </c>
      <c r="LI310" s="409">
        <v>0</v>
      </c>
      <c r="LJ310" s="409">
        <v>0</v>
      </c>
      <c r="LK310" s="416">
        <f t="shared" si="191"/>
        <v>159</v>
      </c>
      <c r="LL310" s="416">
        <f t="shared" si="237"/>
        <v>159</v>
      </c>
      <c r="LM310" s="417">
        <f t="shared" si="193"/>
        <v>47.699999999999996</v>
      </c>
      <c r="LN310" s="417">
        <f>VLOOKUP($LM$8,'Jan-2026 rates'!$H:$I,2,0)</f>
        <v>0</v>
      </c>
      <c r="LO310" s="417">
        <f t="shared" si="194"/>
        <v>0</v>
      </c>
      <c r="LP310" s="417">
        <f>VLOOKUP($LO$8,'Jan-2026 rates'!$H:$I,2,0)</f>
        <v>0</v>
      </c>
      <c r="LQ310" s="417">
        <f t="shared" si="195"/>
        <v>0</v>
      </c>
      <c r="LR310" s="417">
        <f>VLOOKUP($LQ$8,'Jan-2026 rates'!$H:$I,2,0)</f>
        <v>0</v>
      </c>
      <c r="LS310" s="417">
        <f t="shared" si="196"/>
        <v>79.5</v>
      </c>
      <c r="LT310" s="417">
        <f>VLOOKUP($LS$8,'Jan-2026 rates'!$H:$I,2,0)</f>
        <v>0</v>
      </c>
      <c r="LU310" s="417">
        <f t="shared" si="197"/>
        <v>31.8</v>
      </c>
      <c r="LV310" s="417">
        <f>VLOOKUP($LU$8,'Jan-2026 rates'!$H:$I,2,0)</f>
        <v>0</v>
      </c>
      <c r="LW310" s="417">
        <f t="shared" si="198"/>
        <v>0</v>
      </c>
      <c r="LX310" s="417">
        <f t="shared" si="199"/>
        <v>0</v>
      </c>
      <c r="LY310" s="418">
        <f t="shared" si="200"/>
        <v>0</v>
      </c>
      <c r="LZ310" s="417"/>
      <c r="MA310" s="435">
        <f t="shared" si="201"/>
        <v>189.63</v>
      </c>
      <c r="MB310" s="282">
        <f t="shared" si="202"/>
        <v>292.63</v>
      </c>
      <c r="MC310" s="283" t="s">
        <v>2049</v>
      </c>
      <c r="MD310" s="284" t="str">
        <f t="shared" si="203"/>
        <v>ToyoLiToyoLiToyoLiToyoLiToyoLi</v>
      </c>
      <c r="ME310" s="293" t="str">
        <f t="shared" si="204"/>
        <v>+</v>
      </c>
      <c r="MF310" s="293" t="str">
        <f t="shared" si="205"/>
        <v>+</v>
      </c>
      <c r="MG310" s="293" t="str">
        <f t="shared" si="206"/>
        <v>+</v>
      </c>
      <c r="MH310" s="293" t="str">
        <f t="shared" si="207"/>
        <v>+</v>
      </c>
      <c r="MI310" s="293" t="str">
        <f t="shared" si="208"/>
        <v>+</v>
      </c>
      <c r="MJ310" s="293" t="str">
        <f t="shared" si="209"/>
        <v>NIL</v>
      </c>
      <c r="MK310" s="293" t="str">
        <f t="shared" si="210"/>
        <v>NIL</v>
      </c>
      <c r="ML310" s="293" t="str">
        <f t="shared" si="211"/>
        <v>NIL</v>
      </c>
      <c r="MM310" s="3" t="b">
        <f t="array" ref="MM310">OR(ME310:ML310="-")</f>
        <v>0</v>
      </c>
      <c r="MO310" s="401">
        <f t="shared" si="238"/>
        <v>64.314285714285717</v>
      </c>
      <c r="MP310" s="286"/>
      <c r="MR310" s="402">
        <f t="shared" si="239"/>
        <v>1.1211877394636015E-2</v>
      </c>
      <c r="MS310" s="400">
        <f t="shared" si="240"/>
        <v>0</v>
      </c>
      <c r="MT310" s="285"/>
      <c r="NH310" s="361"/>
      <c r="NJ310" s="282"/>
    </row>
    <row r="311" spans="1:374" ht="16.5">
      <c r="A311" s="403">
        <v>46043</v>
      </c>
      <c r="B311" s="404" t="s">
        <v>1015</v>
      </c>
      <c r="C311" s="405" t="s">
        <v>4487</v>
      </c>
      <c r="D311" s="404" t="s">
        <v>2050</v>
      </c>
      <c r="E311" s="404">
        <v>173</v>
      </c>
      <c r="F311" s="407">
        <v>13600</v>
      </c>
      <c r="G311" s="407" t="s">
        <v>1016</v>
      </c>
      <c r="H311" s="408" t="s">
        <v>1017</v>
      </c>
      <c r="I311" s="409">
        <f>1.43+2.71</f>
        <v>4.1399999999999997</v>
      </c>
      <c r="J311" s="405" t="s">
        <v>543</v>
      </c>
      <c r="K311" s="404" t="s">
        <v>4488</v>
      </c>
      <c r="L311" s="419" t="str">
        <f t="shared" si="184"/>
        <v>ToyoLi - BLACK</v>
      </c>
      <c r="M311" s="404">
        <v>27</v>
      </c>
      <c r="N311" s="410">
        <f>IF(M311=0,0,IF($LB311=70%,VLOOKUP($L311,'Jan-2026 rates'!$L:$R,4,0),IF($LB311=65%,VLOOKUP($L311,'Jan-2026 rates'!$L:$R,4,0),IF($LB311=40%,VLOOKUP($L311,'Jan-2026 rates'!$L:$R,5,0),IF($LB311=30%,VLOOKUP($L311,'Jan-2026 rates'!$L:$R,6,0),IF($LB311=100%,VLOOKUP($L311,'Jan-2026 rates'!$L:$R,7,0),IF($LB311=60%,VLOOKUP($L311,'Jan-2026 rates'!$L:$S,8,0),IF($LB311=80%,VLOOKUP($L311,'Jan-2026 rates'!L:T,9,0),0))))))))</f>
        <v>0</v>
      </c>
      <c r="O311" s="406"/>
      <c r="P311" s="404"/>
      <c r="Q311" s="410">
        <f>IF(P311=0,0,IF($LB311=70%,VLOOKUP($L311,'Jan-2026 rates'!$L:$R,4,0),IF($LB311=65%,VLOOKUP($L311,'Jan-2026 rates'!$L:$R,4,0),IF($LB311=40%,VLOOKUP($L311,'Jan-2026 rates'!$L:$R,5,0),IF($LB311=30%,VLOOKUP($L311,'Jan-2026 rates'!$L:$R,6,0),IF($LB311=100%,VLOOKUP($L311,'Jan-2026 rates'!$L:$R,7,0),IF($LB311=60%,VLOOKUP($L311,'Jan-2026 rates'!$L:$S,8,0),IF($LB311=80%,VLOOKUP($L311,'Jan-2026 rates'!L:T,9,0),0))))))))</f>
        <v>0</v>
      </c>
      <c r="R311" s="406" t="s">
        <v>1252</v>
      </c>
      <c r="S311" s="406"/>
      <c r="T311" s="406"/>
      <c r="U311" s="406"/>
      <c r="V311" s="406"/>
      <c r="W311" s="406"/>
      <c r="X311" s="406"/>
      <c r="Y311" s="406"/>
      <c r="Z311" s="404">
        <v>3</v>
      </c>
      <c r="AA311" s="398">
        <f>IF(Z311=0,0,IF(LEN(R311)=11,_xlfn.XLOOKUP(R311,'Dispensed Ink Rates'!C:C,'Dispensed Ink Rates'!CS:CS),VLOOKUP(R311,'Jan-2026 rates'!$E:$F,2,0)))</f>
        <v>0</v>
      </c>
      <c r="AB311" s="404"/>
      <c r="AC311" s="398">
        <f>IF(AB311=0,0,IF(LEN(S311)=11,_xlfn.XLOOKUP(S311,'Dispensed Ink Rates'!C:C,'Dispensed Ink Rates'!CS:CS),VLOOKUP(S311,'Jan-2026 rates'!$E:$F,2,0)))</f>
        <v>0</v>
      </c>
      <c r="AD311" s="404"/>
      <c r="AE311" s="398">
        <f>IF(AD311=0,0,IF(LEN(T311)=11,_xlfn.XLOOKUP(T311,'Dispensed Ink Rates'!C:C,'Dispensed Ink Rates'!CS:CS),VLOOKUP(T311,'Jan-2026 rates'!$E:$F,2,0)))</f>
        <v>0</v>
      </c>
      <c r="AF311" s="404"/>
      <c r="AG311" s="398">
        <f>IF(AF311=0,0,IF(LEN(U311)=11,_xlfn.XLOOKUP(U311,'Dispensed Ink Rates'!C:C,'Dispensed Ink Rates'!CS:CS),VLOOKUP(U311,'Jan-2026 rates'!$E:$F,2,0)))</f>
        <v>0</v>
      </c>
      <c r="AH311" s="404"/>
      <c r="AI311" s="398">
        <f>IF(AH311=0,0,IF(LEN(V311)=11,_xlfn.XLOOKUP(V311,'Dispensed Ink Rates'!C:C,'Dispensed Ink Rates'!CS:CS),VLOOKUP(V311,'Jan-2026 rates'!$E:$F,2,0)))</f>
        <v>0</v>
      </c>
      <c r="AJ311" s="404"/>
      <c r="AK311" s="398">
        <f>IF(AJ311=0,0,IF(LEN(W311)=11,_xlfn.XLOOKUP(W311,'Dispensed Ink Rates'!C:C,'Dispensed Ink Rates'!CS:CS),VLOOKUP(W311,'Jan-2026 rates'!$E:$F,2,0)))</f>
        <v>0</v>
      </c>
      <c r="AL311" s="404"/>
      <c r="AM311" s="398">
        <f>IF(AL311=0,0,IF(LEN(X311)=11,_xlfn.XLOOKUP(X311,'Dispensed Ink Rates'!C:C,'Dispensed Ink Rates'!CS:CS),VLOOKUP(X311,'Jan-2026 rates'!$E:$F,2,0)))</f>
        <v>0</v>
      </c>
      <c r="AN311" s="404"/>
      <c r="AO311" s="398">
        <f>IF(AN311=0,0,IF(LEN(Y311)=11,_xlfn.XLOOKUP(Y311,'Dispensed Ink Rates'!C:C,'Dispensed Ink Rates'!CS:CS),VLOOKUP(Y311,'Jan-2026 rates'!$E:$F,2,0)))</f>
        <v>0</v>
      </c>
      <c r="AP311" s="409" t="s">
        <v>1881</v>
      </c>
      <c r="AQ311" s="409">
        <v>28</v>
      </c>
      <c r="AR311" s="410">
        <f t="shared" si="212"/>
        <v>0</v>
      </c>
      <c r="AS311" s="411">
        <f t="shared" si="213"/>
        <v>2</v>
      </c>
      <c r="AT311" s="410">
        <f t="shared" si="214"/>
        <v>0</v>
      </c>
      <c r="AU311" s="405" t="s">
        <v>543</v>
      </c>
      <c r="AV311" s="409" t="s">
        <v>4489</v>
      </c>
      <c r="AW311" s="420" t="str">
        <f t="shared" si="236"/>
        <v>ToyoLi - BLACK</v>
      </c>
      <c r="AX311" s="409">
        <v>15</v>
      </c>
      <c r="AY311" s="411">
        <f>IF(AX311=0,0,IF($LB311=70%,VLOOKUP($AW311,'Jan-2026 rates'!$L:$R,4,0),IF($LB311=65%,VLOOKUP($AW311,'Jan-2026 rates'!$L:$R,4,0),IF($LB311=40%,VLOOKUP($AW311,'Jan-2026 rates'!$L:$R,5,0),IF($LB311=30%,VLOOKUP($AW311,'Jan-2026 rates'!$L:$R,6,0),IF($LB311=100%,VLOOKUP($AW311,'Jan-2026 rates'!$L:$R,7,0),IF($LB311=60%,VLOOKUP($AW311,'Jan-2026 rates'!$L:$S,8,0),IF($LB311=80%,VLOOKUP($AW311,'Jan-2026 rates'!L:T,9,0),0))))))))</f>
        <v>0</v>
      </c>
      <c r="AZ311" s="412" t="s">
        <v>3743</v>
      </c>
      <c r="BA311" s="409">
        <v>18</v>
      </c>
      <c r="BB311" s="411">
        <f>IF(BA311=0,0,IF($LB311=70%,VLOOKUP($AW311,'Jan-2026 rates'!$L:$R,4,0),IF($LB311=65%,VLOOKUP($AW311,'Jan-2026 rates'!$L:$R,4,0),IF($LB311=40%,VLOOKUP($AW311,'Jan-2026 rates'!$L:$R,5,0),IF($LB311=30%,VLOOKUP($AW311,'Jan-2026 rates'!$L:$R,6,0),IF($LB311=100%,VLOOKUP($AW311,'Jan-2026 rates'!$L:$R,7,0),IF($LB311=60%,VLOOKUP($AW311,'Jan-2026 rates'!$L:$S,8,0),IF($LB311=80%,VLOOKUP($AW311,'Jan-2026 rates'!L:T,9,0),0))))))))</f>
        <v>0</v>
      </c>
      <c r="BC311" s="413" t="s">
        <v>1247</v>
      </c>
      <c r="BD311" s="412"/>
      <c r="BE311" s="412"/>
      <c r="BF311" s="413"/>
      <c r="BG311" s="412"/>
      <c r="BH311" s="412"/>
      <c r="BI311" s="412"/>
      <c r="BJ311" s="412"/>
      <c r="BK311" s="409">
        <v>3</v>
      </c>
      <c r="BL311" s="398">
        <f>IF(BK311=0,0,IF(LEN(BC311)=11,_xlfn.XLOOKUP(BC311,'Dispensed Ink Rates'!C:C,'Dispensed Ink Rates'!CS:CS),VLOOKUP(BC311,'Jan-2026 rates'!$E:$F,2,0)))</f>
        <v>0</v>
      </c>
      <c r="BM311" s="409"/>
      <c r="BN311" s="398">
        <f>IF(BM311=0,0,IF(LEN(BD311)=11,_xlfn.XLOOKUP(BD311,'Dispensed Ink Rates'!C:C,'Dispensed Ink Rates'!CS:CS),VLOOKUP(BD311,'Jan-2026 rates'!$E:$F,2,0)))</f>
        <v>0</v>
      </c>
      <c r="BO311" s="409"/>
      <c r="BP311" s="398">
        <f>IF(BO311=0,0,IF(LEN(BE311)=11,_xlfn.XLOOKUP(BE311,'Dispensed Ink Rates'!C:C,'Dispensed Ink Rates'!CS:CS),VLOOKUP(BE311,'Jan-2026 rates'!$E:$F,2,0)))</f>
        <v>0</v>
      </c>
      <c r="BQ311" s="409"/>
      <c r="BR311" s="398">
        <f>IF(BQ311=0,0,IF(LEN(BF311)=11,_xlfn.XLOOKUP(BF311,'Dispensed Ink Rates'!C:C,'Dispensed Ink Rates'!CS:CS),VLOOKUP(BF311,'Jan-2026 rates'!$E:$F,2,0)))</f>
        <v>0</v>
      </c>
      <c r="BS311" s="409"/>
      <c r="BT311" s="398">
        <f>IF(BS311=0,0,IF(LEN(BG311)=11,_xlfn.XLOOKUP(BG311,'Dispensed Ink Rates'!C:C,'Dispensed Ink Rates'!CS:CS),VLOOKUP(BG311,'Jan-2026 rates'!$E:$F,2,0)))</f>
        <v>0</v>
      </c>
      <c r="BU311" s="409"/>
      <c r="BV311" s="398">
        <f>IF(BU311=0,0,IF(LEN(BH311)=11,_xlfn.XLOOKUP(BH311,'Dispensed Ink Rates'!C:C,'Dispensed Ink Rates'!CS:CS),VLOOKUP(BH311,'Jan-2026 rates'!$E:$F,2,0)))</f>
        <v>0</v>
      </c>
      <c r="BW311" s="409"/>
      <c r="BX311" s="398">
        <f>IF(BW311=0,0,IF(LEN(BI311)=11,_xlfn.XLOOKUP(BI311,'Dispensed Ink Rates'!C:C,'Dispensed Ink Rates'!CS:CS),VLOOKUP(BI311,'Jan-2026 rates'!$E:$F,2,0)))</f>
        <v>0</v>
      </c>
      <c r="BY311" s="409"/>
      <c r="BZ311" s="398">
        <f>IF(BY311=0,0,IF(LEN(BJ311)=11,_xlfn.XLOOKUP(BJ311,'Dispensed Ink Rates'!C:C,'Dispensed Ink Rates'!CS:CS),VLOOKUP(BJ311,'Jan-2026 rates'!$E:$F,2,0)))</f>
        <v>0</v>
      </c>
      <c r="CA311" s="409" t="s">
        <v>1881</v>
      </c>
      <c r="CB311" s="409">
        <v>32</v>
      </c>
      <c r="CC311" s="411">
        <f t="shared" si="215"/>
        <v>0</v>
      </c>
      <c r="CD311" s="411">
        <f t="shared" si="216"/>
        <v>11.428571428571431</v>
      </c>
      <c r="CE311" s="410">
        <f t="shared" si="217"/>
        <v>0</v>
      </c>
      <c r="CF311" s="404" t="s">
        <v>547</v>
      </c>
      <c r="CG311" s="409" t="s">
        <v>4490</v>
      </c>
      <c r="CH311" s="420" t="str">
        <f t="shared" si="185"/>
        <v>ToyoLi - GREEN</v>
      </c>
      <c r="CI311" s="409">
        <v>16</v>
      </c>
      <c r="CJ311" s="411">
        <f>IF(CI311=0,0,IF($LB311=70%,VLOOKUP($CH311,'Jan-2026 rates'!$L:$R,4,0),IF($LB311=65%,VLOOKUP($CH311,'Jan-2026 rates'!$L:$R,4,0),IF($LB311=40%,VLOOKUP($CH311,'Jan-2026 rates'!$L:$R,5,0),IF($LB311=30%,VLOOKUP($CH311,'Jan-2026 rates'!$L:$R,6,0),IF($LB311=100%,VLOOKUP($CH311,'Jan-2026 rates'!$L:$R,7,0),IF($LB311=60%,VLOOKUP($CH311,'Jan-2026 rates'!$L:$S,8,0),IF($LB311=80%,VLOOKUP($CH311,'Jan-2026 rates'!L:T,9,0),0))))))))</f>
        <v>0</v>
      </c>
      <c r="CK311" s="412" t="s">
        <v>2773</v>
      </c>
      <c r="CL311" s="409">
        <v>10</v>
      </c>
      <c r="CM311" s="411">
        <f>IF(CL311=0,0,IF($LB311=70%,VLOOKUP($CH311,'Jan-2026 rates'!$L:$R,4,0),IF($LB311=65%,VLOOKUP($CH311,'Jan-2026 rates'!$L:$R,4,0),IF($LB311=40%,VLOOKUP($CH311,'Jan-2026 rates'!$L:$R,5,0),IF($LB311=30%,VLOOKUP($CH311,'Jan-2026 rates'!$L:$R,6,0),IF($LB311=100%,VLOOKUP($CH311,'Jan-2026 rates'!$L:$R,7,0),IF($LB311=60%,VLOOKUP($CH311,'Jan-2026 rates'!$L:$S,8,0),IF($LB311=80%,VLOOKUP($CH311,'Jan-2026 rates'!L:T,9,0),0))))))))</f>
        <v>0</v>
      </c>
      <c r="CN311" s="426" t="s">
        <v>1247</v>
      </c>
      <c r="CO311" s="427" t="s">
        <v>1250</v>
      </c>
      <c r="CP311" s="426"/>
      <c r="CQ311" s="426"/>
      <c r="CR311" s="428"/>
      <c r="CS311" s="428"/>
      <c r="CT311" s="428"/>
      <c r="CU311" s="428"/>
      <c r="CV311" s="409">
        <v>3</v>
      </c>
      <c r="CW311" s="398">
        <f>IF(CV311=0,0,IF(LEN(CN311)=11,_xlfn.XLOOKUP(CN311,'Dispensed Ink Rates'!C:C,'Dispensed Ink Rates'!CS:CS),VLOOKUP(CN311,'Jan-2026 rates'!$E:$F,2,0)))</f>
        <v>0</v>
      </c>
      <c r="CX311" s="409">
        <v>1</v>
      </c>
      <c r="CY311" s="398">
        <f>IF(CX311=0,0,IF(LEN(CO311)=11,_xlfn.XLOOKUP(CO311,'Dispensed Ink Rates'!C:C,'Dispensed Ink Rates'!CS:CS),VLOOKUP(CO311,'Jan-2026 rates'!$E:$F,2,0)))</f>
        <v>0</v>
      </c>
      <c r="CZ311" s="409"/>
      <c r="DA311" s="398">
        <f>IF(CZ311=0,0,IF(LEN(CP311)=11,_xlfn.XLOOKUP(CP311,'Dispensed Ink Rates'!C:C,'Dispensed Ink Rates'!CS:CS),VLOOKUP(CP311,'Jan-2026 rates'!$E:$F,2,0)))</f>
        <v>0</v>
      </c>
      <c r="DB311" s="409"/>
      <c r="DC311" s="398">
        <f>IF(DB311=0,0,IF(LEN(CQ311)=11,_xlfn.XLOOKUP(CQ311,'Dispensed Ink Rates'!C:C,'Dispensed Ink Rates'!CS:CS),VLOOKUP(CQ311,'Jan-2026 rates'!$E:$F,2,0)))</f>
        <v>0</v>
      </c>
      <c r="DD311" s="409"/>
      <c r="DE311" s="398">
        <f>IF(DD311=0,0,IF(LEN(CR311)=11,_xlfn.XLOOKUP(CR311,'Dispensed Ink Rates'!C:C,'Dispensed Ink Rates'!CS:CS),VLOOKUP(CR311,'Jan-2026 rates'!$E:$F,2,0)))</f>
        <v>0</v>
      </c>
      <c r="DF311" s="409"/>
      <c r="DG311" s="398">
        <f>IF(DF311=0,0,IF(LEN(CS311)=11,_xlfn.XLOOKUP(CS311,'Dispensed Ink Rates'!C:C,'Dispensed Ink Rates'!CS:CS),VLOOKUP(CS311,'Jan-2026 rates'!$E:$F,2,0)))</f>
        <v>0</v>
      </c>
      <c r="DH311" s="409"/>
      <c r="DI311" s="398">
        <f>IF(DH311=0,0,IF(LEN(CT311)=11,_xlfn.XLOOKUP(CT311,'Dispensed Ink Rates'!C:C,'Dispensed Ink Rates'!CS:CS),VLOOKUP(CT311,'Jan-2026 rates'!$E:$F,2,0)))</f>
        <v>0</v>
      </c>
      <c r="DJ311" s="409"/>
      <c r="DK311" s="398">
        <f>IF(DJ311=0,0,IF(LEN(CU311)=11,_xlfn.XLOOKUP(CU311,'Dispensed Ink Rates'!C:C,'Dispensed Ink Rates'!CS:CS),VLOOKUP(CU311,'Jan-2026 rates'!$E:$F,2,0)))</f>
        <v>0</v>
      </c>
      <c r="DL311" s="409" t="s">
        <v>1881</v>
      </c>
      <c r="DM311" s="409">
        <f>15+10</f>
        <v>25</v>
      </c>
      <c r="DN311" s="411">
        <f t="shared" si="218"/>
        <v>0</v>
      </c>
      <c r="DO311" s="411">
        <f t="shared" si="219"/>
        <v>12.428571428571431</v>
      </c>
      <c r="DP311" s="410">
        <f t="shared" si="220"/>
        <v>0</v>
      </c>
      <c r="DQ311" s="405" t="s">
        <v>855</v>
      </c>
      <c r="DR311" s="409" t="s">
        <v>4491</v>
      </c>
      <c r="DS311" s="420" t="str">
        <f t="shared" si="186"/>
        <v>ToyoLi - CYAN</v>
      </c>
      <c r="DT311" s="409">
        <v>27</v>
      </c>
      <c r="DU311" s="411">
        <f>IF(DT311=0,0,IF($LB311=70%,VLOOKUP($DS311,'Jan-2026 rates'!$L:$R,4,0),IF($LB311=65%,VLOOKUP($DS311,'Jan-2026 rates'!$L:$R,4,0),IF($LB311=40%,VLOOKUP($DS311,'Jan-2026 rates'!$L:$R,5,0),IF($LB311=30%,VLOOKUP($DS311,'Jan-2026 rates'!$L:$R,6,0),IF($LB311=100%,VLOOKUP($DS311,'Jan-2026 rates'!$L:$R,7,0),IF($LB311=60%,VLOOKUP($DS311,'Jan-2026 rates'!$L:$S,8,0),IF($LB311=80%,VLOOKUP($DS311,'Jan-2026 rates'!L:T,9,0),0))))))))</f>
        <v>0</v>
      </c>
      <c r="DV311" s="412"/>
      <c r="DW311" s="409"/>
      <c r="DX311" s="411">
        <f>IF(DW311=0,0,IF($LB311=70%,VLOOKUP($DS311,'Jan-2026 rates'!$L:$R,4,0),IF($LB311=65%,VLOOKUP($DS311,'Jan-2026 rates'!$L:$R,4,0),IF($LB311=40%,VLOOKUP($DS311,'Jan-2026 rates'!$L:$R,5,0),IF($LB311=30%,VLOOKUP($DS311,'Jan-2026 rates'!$L:$R,6,0),IF($LB311=100%,VLOOKUP($DS311,'Jan-2026 rates'!$L:$R,7,0),IF($LB311=60%,VLOOKUP($DS311,'Jan-2026 rates'!$L:$S,8,0),IF($LB311=80%,VLOOKUP($DS311,'Jan-2026 rates'!L:T,9,0),0))))))))</f>
        <v>0</v>
      </c>
      <c r="DY311" s="413" t="s">
        <v>1250</v>
      </c>
      <c r="DZ311" s="413"/>
      <c r="EA311" s="412"/>
      <c r="EB311" s="412"/>
      <c r="EC311" s="412"/>
      <c r="ED311" s="412"/>
      <c r="EE311" s="412"/>
      <c r="EF311" s="412"/>
      <c r="EG311" s="409">
        <v>2</v>
      </c>
      <c r="EH311" s="398">
        <f>IF(EG311=0,0,IF(LEN(DY311)=11,_xlfn.XLOOKUP(DY311,'Dispensed Ink Rates'!C:C,'Dispensed Ink Rates'!CS:CS),VLOOKUP(DY311,'Jan-2026 rates'!$E:$F,2,0)))</f>
        <v>0</v>
      </c>
      <c r="EI311" s="409"/>
      <c r="EJ311" s="398">
        <f>IF(EI311=0,0,IF(LEN(DZ311)=11,_xlfn.XLOOKUP(DZ311,'Dispensed Ink Rates'!C:C,'Dispensed Ink Rates'!CS:CS),VLOOKUP(DZ311,'Jan-2026 rates'!$E:$F,2,0)))</f>
        <v>0</v>
      </c>
      <c r="EK311" s="409"/>
      <c r="EL311" s="398">
        <f>IF(EK311=0,0,IF(LEN(EA311)=11,_xlfn.XLOOKUP(EA311,'Dispensed Ink Rates'!C:C,'Dispensed Ink Rates'!CS:CS),VLOOKUP(EA311,'Jan-2026 rates'!$E:$F,2,0)))</f>
        <v>0</v>
      </c>
      <c r="EM311" s="409"/>
      <c r="EN311" s="398">
        <f>IF(EM311=0,0,IF(LEN(EB311)=11,_xlfn.XLOOKUP(EB311,'Dispensed Ink Rates'!C:C,'Dispensed Ink Rates'!CS:CS),VLOOKUP(EB311,'Jan-2026 rates'!$E:$F,2,0)))</f>
        <v>0</v>
      </c>
      <c r="EO311" s="409"/>
      <c r="EP311" s="398">
        <f>IF(EO311=0,0,IF(LEN(EC311)=11,_xlfn.XLOOKUP(EC311,'Dispensed Ink Rates'!C:C,'Dispensed Ink Rates'!CS:CS),VLOOKUP(EC311,'Jan-2026 rates'!$E:$F,2,0)))</f>
        <v>0</v>
      </c>
      <c r="EQ311" s="409"/>
      <c r="ER311" s="398">
        <f>IF(EQ311=0,0,IF(LEN(ED311)=11,_xlfn.XLOOKUP(ED311,'Dispensed Ink Rates'!C:C,'Dispensed Ink Rates'!CS:CS),VLOOKUP(ED311,'Jan-2026 rates'!$E:$F,2,0)))</f>
        <v>0</v>
      </c>
      <c r="ES311" s="409"/>
      <c r="ET311" s="398">
        <f>IF(ES311=0,0,IF(LEN(EE311)=11,_xlfn.XLOOKUP(EE311,'Dispensed Ink Rates'!C:C,'Dispensed Ink Rates'!CS:CS),VLOOKUP(EE311,'Jan-2026 rates'!$E:$F,2,0)))</f>
        <v>0</v>
      </c>
      <c r="EU311" s="409"/>
      <c r="EV311" s="398">
        <f>IF(EU311=0,0,IF(LEN(EF311)=11,_xlfn.XLOOKUP(EF311,'Dispensed Ink Rates'!C:C,'Dispensed Ink Rates'!CS:CS),VLOOKUP(EF311,'Jan-2026 rates'!$E:$F,2,0)))</f>
        <v>0</v>
      </c>
      <c r="EW311" s="409" t="s">
        <v>1881</v>
      </c>
      <c r="EX311" s="409">
        <v>28</v>
      </c>
      <c r="EY311" s="411">
        <f t="shared" si="221"/>
        <v>0</v>
      </c>
      <c r="EZ311" s="411">
        <f t="shared" si="222"/>
        <v>4.7142857142857153</v>
      </c>
      <c r="FA311" s="410">
        <f t="shared" si="223"/>
        <v>0</v>
      </c>
      <c r="FB311" s="405" t="s">
        <v>544</v>
      </c>
      <c r="FC311" s="409" t="s">
        <v>4492</v>
      </c>
      <c r="FD311" s="420" t="str">
        <f t="shared" si="187"/>
        <v>ToyoLi - MAGENTA</v>
      </c>
      <c r="FE311" s="409">
        <v>24</v>
      </c>
      <c r="FF311" s="411">
        <f>IF(FE311=0,0,IF($LB311=70%,VLOOKUP($FD311,'Jan-2026 rates'!$L:$R,4,0),IF($LB311=65%,VLOOKUP($FD311,'Jan-2026 rates'!$L:$R,4,0),IF($LB311=40%,VLOOKUP($FD311,'Jan-2026 rates'!$L:$R,5,0),IF($LB311=30%,VLOOKUP($FD311,'Jan-2026 rates'!$L:$R,6,0),IF($LB311=100%,VLOOKUP($FD311,'Jan-2026 rates'!$L:$R,7,0),IF($LB311=60%,VLOOKUP($FD311,'Jan-2026 rates'!$L:$S,8,0),IF($LB311=80%,VLOOKUP($FD311,'Jan-2026 rates'!L:T,9,0),0))))))))</f>
        <v>0</v>
      </c>
      <c r="FG311" s="412"/>
      <c r="FH311" s="409"/>
      <c r="FI311" s="411">
        <f>IF(FH311=0,0,IF($LB311=70%,VLOOKUP($FD311,'Jan-2026 rates'!$L:$R,4,0),IF($LB311=65%,VLOOKUP($FD311,'Jan-2026 rates'!$L:$R,4,0),IF($LB311=40%,VLOOKUP($FD311,'Jan-2026 rates'!$L:$R,5,0),IF($LB311=30%,VLOOKUP($FD311,'Jan-2026 rates'!$L:$R,6,0),IF($LB311=100%,VLOOKUP($FD311,'Jan-2026 rates'!$L:$R,7,0),IF($LB311=60%,VLOOKUP($FD311,'Jan-2026 rates'!$L:$S,8,0),IF($LB311=80%,VLOOKUP($FD311,'Jan-2026 rates'!L:T,9,0),0))))))))</f>
        <v>0</v>
      </c>
      <c r="FJ311" s="413" t="s">
        <v>1246</v>
      </c>
      <c r="FK311" s="413"/>
      <c r="FL311" s="413"/>
      <c r="FM311" s="412"/>
      <c r="FN311" s="412"/>
      <c r="FO311" s="412"/>
      <c r="FP311" s="412"/>
      <c r="FQ311" s="412"/>
      <c r="FR311" s="409">
        <v>3</v>
      </c>
      <c r="FS311" s="398">
        <f>IF(FR311=0,0,IF(LEN(FJ311)=11,_xlfn.XLOOKUP(FJ311,'Dispensed Ink Rates'!C:C,'Dispensed Ink Rates'!CS:CS),VLOOKUP(FJ311,'Jan-2026 rates'!$E:$F,2,0)))</f>
        <v>0</v>
      </c>
      <c r="FT311" s="409"/>
      <c r="FU311" s="398">
        <f>IF(FT311=0,0,IF(LEN(FK311)=11,_xlfn.XLOOKUP(FK311,'Dispensed Ink Rates'!C:C,'Dispensed Ink Rates'!CS:CS),VLOOKUP(FK311,'Jan-2026 rates'!$E:$F,2,0)))</f>
        <v>0</v>
      </c>
      <c r="FV311" s="409"/>
      <c r="FW311" s="398">
        <f>IF(FV311=0,0,IF(LEN(FL311)=11,_xlfn.XLOOKUP(FL311,'Dispensed Ink Rates'!C:C,'Dispensed Ink Rates'!CS:CS),VLOOKUP(FL311,'Jan-2026 rates'!$E:$F,2,0)))</f>
        <v>0</v>
      </c>
      <c r="FX311" s="409"/>
      <c r="FY311" s="398">
        <f>IF(FX311=0,0,IF(LEN(FM311)=11,_xlfn.XLOOKUP(FM311,'Dispensed Ink Rates'!C:C,'Dispensed Ink Rates'!CS:CS),VLOOKUP(FM311,'Jan-2026 rates'!$E:$F,2,0)))</f>
        <v>0</v>
      </c>
      <c r="FZ311" s="409"/>
      <c r="GA311" s="398">
        <f>IF(FZ311=0,0,IF(LEN(FN311)=11,_xlfn.XLOOKUP(FN311,'Dispensed Ink Rates'!C:C,'Dispensed Ink Rates'!CS:CS),VLOOKUP(FN311,'Jan-2026 rates'!$E:$F,2,0)))</f>
        <v>0</v>
      </c>
      <c r="GB311" s="409"/>
      <c r="GC311" s="398">
        <f>IF(GB311=0,0,IF(LEN(FO311)=11,_xlfn.XLOOKUP(FO311,'Dispensed Ink Rates'!C:C,'Dispensed Ink Rates'!CS:CS),VLOOKUP(FO311,'Jan-2026 rates'!$E:$F,2,0)))</f>
        <v>0</v>
      </c>
      <c r="GD311" s="409"/>
      <c r="GE311" s="398">
        <f>IF(GD311=0,0,IF(LEN(FP311)=11,_xlfn.XLOOKUP(FP311,'Dispensed Ink Rates'!C:C,'Dispensed Ink Rates'!CS:CS),VLOOKUP(FP311,'Jan-2026 rates'!$E:$F,2,0)))</f>
        <v>0</v>
      </c>
      <c r="GF311" s="409"/>
      <c r="GG311" s="398">
        <f>IF(GF311=0,0,IF(LEN(FQ311)=11,_xlfn.XLOOKUP(FQ311,'Dispensed Ink Rates'!C:C,'Dispensed Ink Rates'!CS:CS),VLOOKUP(FQ311,'Jan-2026 rates'!$E:$F,2,0)))</f>
        <v>0</v>
      </c>
      <c r="GH311" s="409" t="s">
        <v>1881</v>
      </c>
      <c r="GI311" s="409">
        <v>26</v>
      </c>
      <c r="GJ311" s="411">
        <f t="shared" si="224"/>
        <v>0</v>
      </c>
      <c r="GK311" s="411">
        <f t="shared" si="225"/>
        <v>1</v>
      </c>
      <c r="GL311" s="410">
        <f t="shared" si="226"/>
        <v>0</v>
      </c>
      <c r="GM311" s="405" t="s">
        <v>545</v>
      </c>
      <c r="GN311" s="409" t="s">
        <v>4493</v>
      </c>
      <c r="GO311" s="420" t="str">
        <f t="shared" si="188"/>
        <v>ToyoLi - YELLOW</v>
      </c>
      <c r="GP311" s="409">
        <v>27</v>
      </c>
      <c r="GQ311" s="411">
        <f>IF(GP311=0,0,IF($LB311=70%,VLOOKUP($GO311,'Jan-2026 rates'!$L:$R,4,0),IF($LB311=65%,VLOOKUP($GO311,'Jan-2026 rates'!$L:$R,4,0),IF($LB311=40%,VLOOKUP($GO311,'Jan-2026 rates'!$L:$R,5,0),IF($LB311=30%,VLOOKUP($GO311,'Jan-2026 rates'!$L:$R,6,0),IF($LB311=100%,VLOOKUP($GO311,'Jan-2026 rates'!$L:$R,7,0),IF($LB311=60%,VLOOKUP($GO311,'Jan-2026 rates'!$L:$S,8,0),IF($LB311=80%,VLOOKUP($GO311,'Jan-2026 rates'!L:T,9,0),0))))))))</f>
        <v>0</v>
      </c>
      <c r="GR311" s="412"/>
      <c r="GS311" s="409"/>
      <c r="GT311" s="411">
        <f>IF(GS311=0,0,IF($LB311=70%,VLOOKUP($GO311,'Jan-2026 rates'!$L:$R,4,0),IF($LB311=65%,VLOOKUP($GO311,'Jan-2026 rates'!$L:$R,4,0),IF($LB311=40%,VLOOKUP($GO311,'Jan-2026 rates'!$L:$R,5,0),IF($LB311=30%,VLOOKUP($GO311,'Jan-2026 rates'!$L:$R,6,0),IF($LB311=100%,VLOOKUP($GO311,'Jan-2026 rates'!$L:$R,7,0),IF($LB311=60%,VLOOKUP($GO311,'Jan-2026 rates'!$L:$S,8,0),IF($LB311=80%,VLOOKUP($GO311,'Jan-2026 rates'!L:T,9,0),0))))))))</f>
        <v>0</v>
      </c>
      <c r="GU311" s="413" t="s">
        <v>1247</v>
      </c>
      <c r="GV311" s="413"/>
      <c r="GW311" s="412"/>
      <c r="GX311" s="412"/>
      <c r="GY311" s="412"/>
      <c r="GZ311" s="412"/>
      <c r="HA311" s="412"/>
      <c r="HB311" s="412"/>
      <c r="HC311" s="409">
        <v>3</v>
      </c>
      <c r="HD311" s="398">
        <f>IF(HC311=0,0,IF(LEN(GU311)=11,_xlfn.XLOOKUP(GU311,'Dispensed Ink Rates'!C:C,'Dispensed Ink Rates'!CS:CS),VLOOKUP(GU311,'Jan-2026 rates'!$E:$F,2,0)))</f>
        <v>0</v>
      </c>
      <c r="HE311" s="409"/>
      <c r="HF311" s="398">
        <f>IF(HE311=0,0,IF(LEN(GV311)=11,_xlfn.XLOOKUP(GV311,'Dispensed Ink Rates'!C:C,'Dispensed Ink Rates'!CS:CS),VLOOKUP(GV311,'Jan-2026 rates'!$E:$F,2,0)))</f>
        <v>0</v>
      </c>
      <c r="HG311" s="409"/>
      <c r="HH311" s="398">
        <f>IF(HG311=0,0,IF(LEN(GW311)=11,_xlfn.XLOOKUP(GW311,'Dispensed Ink Rates'!C:C,'Dispensed Ink Rates'!CS:CS),VLOOKUP(GW311,'Jan-2026 rates'!$E:$F,2,0)))</f>
        <v>0</v>
      </c>
      <c r="HI311" s="409"/>
      <c r="HJ311" s="398">
        <f>IF(HI311=0,0,IF(LEN(GX311)=11,_xlfn.XLOOKUP(GX311,'Dispensed Ink Rates'!C:C,'Dispensed Ink Rates'!CS:CS),VLOOKUP(GX311,'Jan-2026 rates'!$E:$F,2,0)))</f>
        <v>0</v>
      </c>
      <c r="HK311" s="409"/>
      <c r="HL311" s="398">
        <f>IF(HK311=0,0,IF(LEN(GY311)=11,_xlfn.XLOOKUP(GY311,'Dispensed Ink Rates'!C:C,'Dispensed Ink Rates'!CS:CS),VLOOKUP(GY311,'Jan-2026 rates'!$E:$F,2,0)))</f>
        <v>0</v>
      </c>
      <c r="HM311" s="409"/>
      <c r="HN311" s="398">
        <f>IF(HM311=0,0,IF(LEN(GZ311)=11,_xlfn.XLOOKUP(GZ311,'Dispensed Ink Rates'!C:C,'Dispensed Ink Rates'!CS:CS),VLOOKUP(GZ311,'Jan-2026 rates'!$E:$F,2,0)))</f>
        <v>0</v>
      </c>
      <c r="HO311" s="409"/>
      <c r="HP311" s="398">
        <f>IF(HO311=0,0,IF(LEN(HA311)=11,_xlfn.XLOOKUP(HA311,'Dispensed Ink Rates'!C:C,'Dispensed Ink Rates'!CS:CS),VLOOKUP(HA311,'Jan-2026 rates'!$E:$F,2,0)))</f>
        <v>0</v>
      </c>
      <c r="HQ311" s="409"/>
      <c r="HR311" s="398">
        <f>IF(HQ311=0,0,IF(LEN(HB311)=11,_xlfn.XLOOKUP(HB311,'Dispensed Ink Rates'!C:C,'Dispensed Ink Rates'!CS:CS),VLOOKUP(HB311,'Jan-2026 rates'!$E:$F,2,0)))</f>
        <v>0</v>
      </c>
      <c r="HS311" s="409" t="s">
        <v>1881</v>
      </c>
      <c r="HT311" s="409">
        <v>28</v>
      </c>
      <c r="HU311" s="411">
        <f t="shared" si="227"/>
        <v>0</v>
      </c>
      <c r="HV311" s="411">
        <f t="shared" si="228"/>
        <v>2</v>
      </c>
      <c r="HW311" s="414">
        <f t="shared" si="229"/>
        <v>0</v>
      </c>
      <c r="HX311" s="405" t="s">
        <v>856</v>
      </c>
      <c r="HY311" s="409" t="s">
        <v>4494</v>
      </c>
      <c r="HZ311" s="420" t="str">
        <f t="shared" si="189"/>
        <v>ToyoLi - WHITE</v>
      </c>
      <c r="IA311" s="409">
        <v>30</v>
      </c>
      <c r="IB311" s="411">
        <f>IF(IA311=0,0,IF($LB311=70%,VLOOKUP($HZ311,'Jan-2026 rates'!$L:$R,4,0),IF($LB311=65%,VLOOKUP($HZ311,'Jan-2026 rates'!$L:$R,4,0),IF($LB311=40%,VLOOKUP($HZ311,'Jan-2026 rates'!$L:$R,5,0),IF($LB311=30%,VLOOKUP($HZ311,'Jan-2026 rates'!$L:$R,6,0),IF($LB311=100%,VLOOKUP($HZ311,'Jan-2026 rates'!$L:$R,7,0),IF($LB311=60%,VLOOKUP($HZ311,'Jan-2026 rates'!$L:$S,8,0),IF($LB311=80%,VLOOKUP($HZ311,'Jan-2026 rates'!L:T,9,0),0))))))))</f>
        <v>0</v>
      </c>
      <c r="IC311" s="412"/>
      <c r="ID311" s="409"/>
      <c r="IE311" s="411">
        <f>IF(ID311=0,0,IF($LB311=70%,VLOOKUP($HZ311,'Jan-2026 rates'!$L:$R,4,0),IF($LB311=65%,VLOOKUP($HZ311,'Jan-2026 rates'!$L:$R,4,0),IF($LB311=40%,VLOOKUP($HZ311,'Jan-2026 rates'!$L:$R,5,0),IF($LB311=30%,VLOOKUP($HZ311,'Jan-2026 rates'!$L:$R,6,0),IF($LB311=100%,VLOOKUP($HZ311,'Jan-2026 rates'!$L:$R,7,0),IF($LB311=60%,VLOOKUP($HZ311,'Jan-2026 rates'!$L:$S,8,0),IF($LB311=80%,VLOOKUP($HZ311,'Jan-2026 rates'!L:T,9,0),0))))))))</f>
        <v>0</v>
      </c>
      <c r="IF311" s="412" t="s">
        <v>1249</v>
      </c>
      <c r="IG311" s="413"/>
      <c r="IH311" s="412"/>
      <c r="II311" s="412"/>
      <c r="IJ311" s="412"/>
      <c r="IK311" s="412"/>
      <c r="IL311" s="412"/>
      <c r="IM311" s="412"/>
      <c r="IN311" s="409">
        <v>40</v>
      </c>
      <c r="IO311" s="398">
        <f>IF(IN311=0,0,IF(LEN(IF311)=11,_xlfn.XLOOKUP(IF311,'Dispensed Ink Rates'!C:C,'Dispensed Ink Rates'!CS:CS),VLOOKUP(IF311,'Jan-2026 rates'!$E:$F,2,0)))</f>
        <v>0</v>
      </c>
      <c r="IP311" s="409"/>
      <c r="IQ311" s="398">
        <f>IF(IP311=0,0,IF(LEN(IG311)=11,_xlfn.XLOOKUP(IG311,'Dispensed Ink Rates'!C:C,'Dispensed Ink Rates'!CS:CS),VLOOKUP(IG311,'Jan-2026 rates'!$E:$F,2,0)))</f>
        <v>0</v>
      </c>
      <c r="IR311" s="409"/>
      <c r="IS311" s="398">
        <f>IF(IR311=0,0,IF(LEN(IH311)=11,_xlfn.XLOOKUP(IH311,'Dispensed Ink Rates'!C:C,'Dispensed Ink Rates'!CS:CS),VLOOKUP(IH311,'Jan-2026 rates'!$E:$F,2,0)))</f>
        <v>0</v>
      </c>
      <c r="IT311" s="409"/>
      <c r="IU311" s="398">
        <f>IF(IT311=0,0,IF(LEN(II311)=11,_xlfn.XLOOKUP(II311,'Dispensed Ink Rates'!C:C,'Dispensed Ink Rates'!CS:CS),VLOOKUP(II311,'Jan-2026 rates'!$E:$F,2,0)))</f>
        <v>0</v>
      </c>
      <c r="IV311" s="409"/>
      <c r="IW311" s="398">
        <f>IF(IV311=0,0,IF(LEN(IJ311)=11,_xlfn.XLOOKUP(IJ311,'Dispensed Ink Rates'!C:C,'Dispensed Ink Rates'!CS:CS),VLOOKUP(IJ311,'Jan-2026 rates'!$E:$F,2,0)))</f>
        <v>0</v>
      </c>
      <c r="IX311" s="409"/>
      <c r="IY311" s="398">
        <f>IF(IX311=0,0,IF(LEN(IK311)=11,_xlfn.XLOOKUP(IK311,'Dispensed Ink Rates'!C:C,'Dispensed Ink Rates'!CS:CS),VLOOKUP(IK311,'Jan-2026 rates'!$E:$F,2,0)))</f>
        <v>0</v>
      </c>
      <c r="IZ311" s="409"/>
      <c r="JA311" s="398">
        <f>IF(IZ311=0,0,IF(LEN(IL311)=11,_xlfn.XLOOKUP(IL311,'Dispensed Ink Rates'!C:C,'Dispensed Ink Rates'!CS:CS),VLOOKUP(IL311,'Jan-2026 rates'!$E:$F,2,0)))</f>
        <v>0</v>
      </c>
      <c r="JB311" s="409"/>
      <c r="JC311" s="398">
        <f>IF(JB311=0,0,IF(LEN(IM311)=11,_xlfn.XLOOKUP(IM311,'Dispensed Ink Rates'!C:C,'Dispensed Ink Rates'!CS:CS),VLOOKUP(IM311,'Jan-2026 rates'!$E:$F,2,0)))</f>
        <v>0</v>
      </c>
      <c r="JD311" s="409" t="s">
        <v>1881</v>
      </c>
      <c r="JE311" s="409">
        <v>30</v>
      </c>
      <c r="JF311" s="411">
        <f t="shared" si="230"/>
        <v>0</v>
      </c>
      <c r="JG311" s="411">
        <f t="shared" si="231"/>
        <v>114.28571428571428</v>
      </c>
      <c r="JH311" s="410">
        <f t="shared" si="232"/>
        <v>0</v>
      </c>
      <c r="JI311" s="405" t="s">
        <v>605</v>
      </c>
      <c r="JJ311" s="409" t="s">
        <v>4495</v>
      </c>
      <c r="JK311" s="420" t="str">
        <f t="shared" si="190"/>
        <v>ToyoLi - MATT</v>
      </c>
      <c r="JL311" s="409">
        <v>20</v>
      </c>
      <c r="JM311" s="411">
        <f>IF(JL311=0,0,IF($LB311=70%,VLOOKUP($JK311,'Jan-2026 rates'!$L:$R,4,0),IF($LB311=65%,VLOOKUP($JK311,'Jan-2026 rates'!$L:$R,4,0),IF($LB311=40%,VLOOKUP($JK311,'Jan-2026 rates'!$L:$R,5,0),IF($LB311=30%,VLOOKUP($JK311,'Jan-2026 rates'!$L:$R,6,0),IF($LB311=100%,VLOOKUP($JK311,'Jan-2026 rates'!$L:$R,7,0),IF($LB311=60%,VLOOKUP($JK311,'Jan-2026 rates'!$L:$S,8,0),IF($LB311=80%,VLOOKUP($JK311,'Jan-2026 rates'!L:T,9,0),0))))))))</f>
        <v>0</v>
      </c>
      <c r="JN311" s="412"/>
      <c r="JO311" s="409"/>
      <c r="JP311" s="411">
        <f>IF(JO311=0,0,IF($LB311=70%,VLOOKUP($JK311,'Jan-2026 rates'!$L:$R,4,0),IF($LB311=65%,VLOOKUP($JK311,'Jan-2026 rates'!$L:$R,4,0),IF($LB311=40%,VLOOKUP($JK311,'Jan-2026 rates'!$L:$R,5,0),IF($LB311=30%,VLOOKUP($JK311,'Jan-2026 rates'!$L:$R,6,0),IF($LB311=100%,VLOOKUP($JK311,'Jan-2026 rates'!$L:$R,7,0),IF($LB311=60%,VLOOKUP($JK311,'Jan-2026 rates'!$L:$S,8,0),IF($LB311=80%,VLOOKUP($JK311,'Jan-2026 rates'!L:T,9,0),0))))))))</f>
        <v>0</v>
      </c>
      <c r="JQ311" s="413">
        <v>55</v>
      </c>
      <c r="JR311" s="412" t="s">
        <v>1902</v>
      </c>
      <c r="JS311" s="413"/>
      <c r="JT311" s="413"/>
      <c r="JU311" s="412"/>
      <c r="JV311" s="412"/>
      <c r="JW311" s="412"/>
      <c r="JX311" s="412"/>
      <c r="JY311" s="409">
        <v>60</v>
      </c>
      <c r="JZ311" s="398">
        <f>IF(JY311=0,0,IF(LEN(JQ311)=11,_xlfn.XLOOKUP(JQ311,'Dispensed Ink Rates'!C:C,'Dispensed Ink Rates'!CS:CS),VLOOKUP(JQ311,'Jan-2026 rates'!$E:$F,2,0)))</f>
        <v>0</v>
      </c>
      <c r="KA311" s="409">
        <v>15</v>
      </c>
      <c r="KB311" s="398">
        <f>IF(KA311=0,0,IF(LEN(JR311)=11,_xlfn.XLOOKUP(JR311,'Dispensed Ink Rates'!C:C,'Dispensed Ink Rates'!CS:CS),VLOOKUP(JR311,'Jan-2026 rates'!$E:$F,2,0)))</f>
        <v>0</v>
      </c>
      <c r="KC311" s="409"/>
      <c r="KD311" s="398">
        <f>IF(KC311=0,0,IF(LEN(JS311)=11,_xlfn.XLOOKUP(JS311,'Dispensed Ink Rates'!C:C,'Dispensed Ink Rates'!CS:CS),VLOOKUP(JS311,'Jan-2026 rates'!$E:$F,2,0)))</f>
        <v>0</v>
      </c>
      <c r="KE311" s="409"/>
      <c r="KF311" s="398">
        <f>IF(KE311=0,0,IF(LEN(JT311)=11,_xlfn.XLOOKUP(JT311,'Dispensed Ink Rates'!C:C,'Dispensed Ink Rates'!CS:CS),VLOOKUP(JT311,'Jan-2026 rates'!$E:$F,2,0)))</f>
        <v>0</v>
      </c>
      <c r="KG311" s="409"/>
      <c r="KH311" s="398">
        <f>IF(KG311=0,0,IF(LEN(JU311)=11,_xlfn.XLOOKUP(JU311,'Dispensed Ink Rates'!C:C,'Dispensed Ink Rates'!CS:CS),VLOOKUP(JU311,'Jan-2026 rates'!$E:$F,2,0)))</f>
        <v>0</v>
      </c>
      <c r="KI311" s="409"/>
      <c r="KJ311" s="398">
        <f>IF(KI311=0,0,IF(LEN(JV311)=11,_xlfn.XLOOKUP(JV311,'Dispensed Ink Rates'!C:C,'Dispensed Ink Rates'!CS:CS),VLOOKUP(JV311,'Jan-2026 rates'!$E:$F,2,0)))</f>
        <v>0</v>
      </c>
      <c r="KK311" s="409"/>
      <c r="KL311" s="398">
        <f>IF(KK311=0,0,IF(LEN(JW311)=11,_xlfn.XLOOKUP(JW311,'Dispensed Ink Rates'!C:C,'Dispensed Ink Rates'!CS:CS),VLOOKUP(JW311,'Jan-2026 rates'!$E:$F,2,0)))</f>
        <v>0</v>
      </c>
      <c r="KM311" s="428"/>
      <c r="KN311" s="398">
        <f>IF(KM311=0,0,IF(LEN(JX311)=11,_xlfn.XLOOKUP(JX311,'Dispensed Ink Rates'!C:C,'Dispensed Ink Rates'!CS:CS),VLOOKUP(JX311,'Jan-2026 rates'!$E:$F,2,0)))</f>
        <v>0</v>
      </c>
      <c r="KO311" s="409" t="s">
        <v>1881</v>
      </c>
      <c r="KP311" s="409">
        <v>30</v>
      </c>
      <c r="KQ311" s="411">
        <f t="shared" si="233"/>
        <v>0</v>
      </c>
      <c r="KR311" s="411">
        <f t="shared" si="234"/>
        <v>102.14285714285714</v>
      </c>
      <c r="KS311" s="410">
        <f t="shared" si="235"/>
        <v>0</v>
      </c>
      <c r="KT311" s="409">
        <v>0</v>
      </c>
      <c r="KU311" s="409">
        <v>2</v>
      </c>
      <c r="KV311" s="409">
        <v>2</v>
      </c>
      <c r="KW311" s="409">
        <v>1</v>
      </c>
      <c r="KX311" s="409">
        <v>0</v>
      </c>
      <c r="KY311" s="409">
        <v>0</v>
      </c>
      <c r="KZ311" s="409">
        <v>20</v>
      </c>
      <c r="LA311" s="409">
        <v>10</v>
      </c>
      <c r="LB311" s="415">
        <v>0.3</v>
      </c>
      <c r="LC311" s="415"/>
      <c r="LD311" s="424"/>
      <c r="LE311" s="415">
        <v>0.5</v>
      </c>
      <c r="LF311" s="415">
        <v>0.2</v>
      </c>
      <c r="LG311" s="409">
        <v>0</v>
      </c>
      <c r="LH311" s="409">
        <f>30+20+24+40+16</f>
        <v>130</v>
      </c>
      <c r="LI311" s="409">
        <v>0</v>
      </c>
      <c r="LJ311" s="409">
        <v>0</v>
      </c>
      <c r="LK311" s="416">
        <f t="shared" si="191"/>
        <v>130</v>
      </c>
      <c r="LL311" s="416">
        <f t="shared" si="237"/>
        <v>130</v>
      </c>
      <c r="LM311" s="417">
        <f t="shared" si="193"/>
        <v>39</v>
      </c>
      <c r="LN311" s="417">
        <f>VLOOKUP($LM$8,'Jan-2026 rates'!$H:$I,2,0)</f>
        <v>0</v>
      </c>
      <c r="LO311" s="417">
        <f t="shared" si="194"/>
        <v>0</v>
      </c>
      <c r="LP311" s="417">
        <f>VLOOKUP($LO$8,'Jan-2026 rates'!$H:$I,2,0)</f>
        <v>0</v>
      </c>
      <c r="LQ311" s="417">
        <f t="shared" si="195"/>
        <v>0</v>
      </c>
      <c r="LR311" s="417">
        <f>VLOOKUP($LQ$8,'Jan-2026 rates'!$H:$I,2,0)</f>
        <v>0</v>
      </c>
      <c r="LS311" s="417">
        <f t="shared" si="196"/>
        <v>65</v>
      </c>
      <c r="LT311" s="417">
        <f>VLOOKUP($LS$8,'Jan-2026 rates'!$H:$I,2,0)</f>
        <v>0</v>
      </c>
      <c r="LU311" s="417">
        <f t="shared" si="197"/>
        <v>26</v>
      </c>
      <c r="LV311" s="417">
        <f>VLOOKUP($LU$8,'Jan-2026 rates'!$H:$I,2,0)</f>
        <v>0</v>
      </c>
      <c r="LW311" s="417">
        <f t="shared" si="198"/>
        <v>0</v>
      </c>
      <c r="LX311" s="417">
        <f t="shared" si="199"/>
        <v>0</v>
      </c>
      <c r="LY311" s="418">
        <f t="shared" si="200"/>
        <v>0</v>
      </c>
      <c r="LZ311" s="417"/>
      <c r="MA311" s="435">
        <f t="shared" si="201"/>
        <v>133</v>
      </c>
      <c r="MB311" s="282">
        <f t="shared" si="202"/>
        <v>250</v>
      </c>
      <c r="MC311" s="283" t="s">
        <v>2050</v>
      </c>
      <c r="MD311" s="284" t="str">
        <f t="shared" si="203"/>
        <v>ToyoLiToyoLiToyoLiToyoLiToyoLiToyoLiToyoLiToyoLi</v>
      </c>
      <c r="ME311" s="293" t="str">
        <f t="shared" si="204"/>
        <v>+</v>
      </c>
      <c r="MF311" s="293" t="str">
        <f t="shared" si="205"/>
        <v>+</v>
      </c>
      <c r="MG311" s="293" t="str">
        <f t="shared" si="206"/>
        <v>+</v>
      </c>
      <c r="MH311" s="293" t="str">
        <f t="shared" si="207"/>
        <v>+</v>
      </c>
      <c r="MI311" s="293" t="str">
        <f t="shared" si="208"/>
        <v>+</v>
      </c>
      <c r="MJ311" s="293" t="str">
        <f t="shared" si="209"/>
        <v>+</v>
      </c>
      <c r="MK311" s="293" t="str">
        <f t="shared" si="210"/>
        <v>+</v>
      </c>
      <c r="ML311" s="293" t="str">
        <f t="shared" si="211"/>
        <v>+</v>
      </c>
      <c r="MM311" s="3" t="b">
        <f t="array" ref="MM311">OR(ME311:ML311="-")</f>
        <v>0</v>
      </c>
      <c r="MO311" s="401">
        <f t="shared" si="238"/>
        <v>144.50867052023122</v>
      </c>
      <c r="MP311" s="286"/>
      <c r="MR311" s="402">
        <f t="shared" si="239"/>
        <v>1.8382352941176471E-2</v>
      </c>
      <c r="MS311" s="400">
        <f t="shared" si="240"/>
        <v>0</v>
      </c>
      <c r="MT311" s="285"/>
      <c r="NH311" s="361"/>
      <c r="NJ311" s="282"/>
    </row>
    <row r="312" spans="1:374" ht="16.5">
      <c r="A312" s="403">
        <v>46044</v>
      </c>
      <c r="B312" s="404" t="s">
        <v>1015</v>
      </c>
      <c r="C312" s="405" t="s">
        <v>4496</v>
      </c>
      <c r="D312" s="404" t="s">
        <v>2051</v>
      </c>
      <c r="E312" s="404">
        <v>194</v>
      </c>
      <c r="F312" s="407">
        <v>13400</v>
      </c>
      <c r="G312" s="407" t="s">
        <v>1016</v>
      </c>
      <c r="H312" s="408" t="s">
        <v>1017</v>
      </c>
      <c r="I312" s="409">
        <f>2.64+1.52</f>
        <v>4.16</v>
      </c>
      <c r="J312" s="405" t="s">
        <v>543</v>
      </c>
      <c r="K312" s="404" t="s">
        <v>4497</v>
      </c>
      <c r="L312" s="419" t="str">
        <f t="shared" si="184"/>
        <v>ToyoLi - BLACK</v>
      </c>
      <c r="M312" s="404">
        <v>28</v>
      </c>
      <c r="N312" s="410">
        <f>IF(M312=0,0,IF($LB312=70%,VLOOKUP($L312,'Jan-2026 rates'!$L:$R,4,0),IF($LB312=65%,VLOOKUP($L312,'Jan-2026 rates'!$L:$R,4,0),IF($LB312=40%,VLOOKUP($L312,'Jan-2026 rates'!$L:$R,5,0),IF($LB312=30%,VLOOKUP($L312,'Jan-2026 rates'!$L:$R,6,0),IF($LB312=100%,VLOOKUP($L312,'Jan-2026 rates'!$L:$R,7,0),IF($LB312=60%,VLOOKUP($L312,'Jan-2026 rates'!$L:$S,8,0),IF($LB312=80%,VLOOKUP($L312,'Jan-2026 rates'!L:T,9,0),0))))))))</f>
        <v>0</v>
      </c>
      <c r="O312" s="406"/>
      <c r="P312" s="404"/>
      <c r="Q312" s="410">
        <f>IF(P312=0,0,IF($LB312=70%,VLOOKUP($L312,'Jan-2026 rates'!$L:$R,4,0),IF($LB312=65%,VLOOKUP($L312,'Jan-2026 rates'!$L:$R,4,0),IF($LB312=40%,VLOOKUP($L312,'Jan-2026 rates'!$L:$R,5,0),IF($LB312=30%,VLOOKUP($L312,'Jan-2026 rates'!$L:$R,6,0),IF($LB312=100%,VLOOKUP($L312,'Jan-2026 rates'!$L:$R,7,0),IF($LB312=60%,VLOOKUP($L312,'Jan-2026 rates'!$L:$S,8,0),IF($LB312=80%,VLOOKUP($L312,'Jan-2026 rates'!L:T,9,0),0))))))))</f>
        <v>0</v>
      </c>
      <c r="R312" s="406" t="s">
        <v>1252</v>
      </c>
      <c r="S312" s="406"/>
      <c r="T312" s="406"/>
      <c r="U312" s="406"/>
      <c r="V312" s="406"/>
      <c r="W312" s="406"/>
      <c r="X312" s="406"/>
      <c r="Y312" s="406"/>
      <c r="Z312" s="404">
        <v>5</v>
      </c>
      <c r="AA312" s="398">
        <f>IF(Z312=0,0,IF(LEN(R312)=11,_xlfn.XLOOKUP(R312,'Dispensed Ink Rates'!C:C,'Dispensed Ink Rates'!CS:CS),VLOOKUP(R312,'Jan-2026 rates'!$E:$F,2,0)))</f>
        <v>0</v>
      </c>
      <c r="AB312" s="404"/>
      <c r="AC312" s="398">
        <f>IF(AB312=0,0,IF(LEN(S312)=11,_xlfn.XLOOKUP(S312,'Dispensed Ink Rates'!C:C,'Dispensed Ink Rates'!CS:CS),VLOOKUP(S312,'Jan-2026 rates'!$E:$F,2,0)))</f>
        <v>0</v>
      </c>
      <c r="AD312" s="404"/>
      <c r="AE312" s="398">
        <f>IF(AD312=0,0,IF(LEN(T312)=11,_xlfn.XLOOKUP(T312,'Dispensed Ink Rates'!C:C,'Dispensed Ink Rates'!CS:CS),VLOOKUP(T312,'Jan-2026 rates'!$E:$F,2,0)))</f>
        <v>0</v>
      </c>
      <c r="AF312" s="404"/>
      <c r="AG312" s="398">
        <f>IF(AF312=0,0,IF(LEN(U312)=11,_xlfn.XLOOKUP(U312,'Dispensed Ink Rates'!C:C,'Dispensed Ink Rates'!CS:CS),VLOOKUP(U312,'Jan-2026 rates'!$E:$F,2,0)))</f>
        <v>0</v>
      </c>
      <c r="AH312" s="404"/>
      <c r="AI312" s="398">
        <f>IF(AH312=0,0,IF(LEN(V312)=11,_xlfn.XLOOKUP(V312,'Dispensed Ink Rates'!C:C,'Dispensed Ink Rates'!CS:CS),VLOOKUP(V312,'Jan-2026 rates'!$E:$F,2,0)))</f>
        <v>0</v>
      </c>
      <c r="AJ312" s="404"/>
      <c r="AK312" s="398">
        <f>IF(AJ312=0,0,IF(LEN(W312)=11,_xlfn.XLOOKUP(W312,'Dispensed Ink Rates'!C:C,'Dispensed Ink Rates'!CS:CS),VLOOKUP(W312,'Jan-2026 rates'!$E:$F,2,0)))</f>
        <v>0</v>
      </c>
      <c r="AL312" s="404"/>
      <c r="AM312" s="398">
        <f>IF(AL312=0,0,IF(LEN(X312)=11,_xlfn.XLOOKUP(X312,'Dispensed Ink Rates'!C:C,'Dispensed Ink Rates'!CS:CS),VLOOKUP(X312,'Jan-2026 rates'!$E:$F,2,0)))</f>
        <v>0</v>
      </c>
      <c r="AN312" s="404"/>
      <c r="AO312" s="398">
        <f>IF(AN312=0,0,IF(LEN(Y312)=11,_xlfn.XLOOKUP(Y312,'Dispensed Ink Rates'!C:C,'Dispensed Ink Rates'!CS:CS),VLOOKUP(Y312,'Jan-2026 rates'!$E:$F,2,0)))</f>
        <v>0</v>
      </c>
      <c r="AP312" s="409" t="s">
        <v>1881</v>
      </c>
      <c r="AQ312" s="409">
        <f>20+10</f>
        <v>30</v>
      </c>
      <c r="AR312" s="410">
        <f t="shared" si="212"/>
        <v>0</v>
      </c>
      <c r="AS312" s="411">
        <f t="shared" si="213"/>
        <v>9.3478260869565233</v>
      </c>
      <c r="AT312" s="410">
        <f t="shared" si="214"/>
        <v>0</v>
      </c>
      <c r="AU312" s="405" t="s">
        <v>543</v>
      </c>
      <c r="AV312" s="409" t="s">
        <v>4497</v>
      </c>
      <c r="AW312" s="420" t="str">
        <f t="shared" si="236"/>
        <v>ToyoLi - BLACK</v>
      </c>
      <c r="AX312" s="409">
        <v>32</v>
      </c>
      <c r="AY312" s="411">
        <f>IF(AX312=0,0,IF($LB312=70%,VLOOKUP($AW312,'Jan-2026 rates'!$L:$R,4,0),IF($LB312=65%,VLOOKUP($AW312,'Jan-2026 rates'!$L:$R,4,0),IF($LB312=40%,VLOOKUP($AW312,'Jan-2026 rates'!$L:$R,5,0),IF($LB312=30%,VLOOKUP($AW312,'Jan-2026 rates'!$L:$R,6,0),IF($LB312=100%,VLOOKUP($AW312,'Jan-2026 rates'!$L:$R,7,0),IF($LB312=60%,VLOOKUP($AW312,'Jan-2026 rates'!$L:$S,8,0),IF($LB312=80%,VLOOKUP($AW312,'Jan-2026 rates'!L:T,9,0),0))))))))</f>
        <v>0</v>
      </c>
      <c r="AZ312" s="412"/>
      <c r="BA312" s="409"/>
      <c r="BB312" s="411">
        <f>IF(BA312=0,0,IF($LB312=70%,VLOOKUP($AW312,'Jan-2026 rates'!$L:$R,4,0),IF($LB312=65%,VLOOKUP($AW312,'Jan-2026 rates'!$L:$R,4,0),IF($LB312=40%,VLOOKUP($AW312,'Jan-2026 rates'!$L:$R,5,0),IF($LB312=30%,VLOOKUP($AW312,'Jan-2026 rates'!$L:$R,6,0),IF($LB312=100%,VLOOKUP($AW312,'Jan-2026 rates'!$L:$R,7,0),IF($LB312=60%,VLOOKUP($AW312,'Jan-2026 rates'!$L:$S,8,0),IF($LB312=80%,VLOOKUP($AW312,'Jan-2026 rates'!L:T,9,0),0))))))))</f>
        <v>0</v>
      </c>
      <c r="BC312" s="413"/>
      <c r="BD312" s="412"/>
      <c r="BE312" s="412"/>
      <c r="BF312" s="413"/>
      <c r="BG312" s="412"/>
      <c r="BH312" s="412"/>
      <c r="BI312" s="412"/>
      <c r="BJ312" s="412"/>
      <c r="BK312" s="409"/>
      <c r="BL312" s="398">
        <f>IF(BK312=0,0,IF(LEN(BC312)=11,_xlfn.XLOOKUP(BC312,'Dispensed Ink Rates'!C:C,'Dispensed Ink Rates'!CS:CS),VLOOKUP(BC312,'Jan-2026 rates'!$E:$F,2,0)))</f>
        <v>0</v>
      </c>
      <c r="BM312" s="409"/>
      <c r="BN312" s="398">
        <f>IF(BM312=0,0,IF(LEN(BD312)=11,_xlfn.XLOOKUP(BD312,'Dispensed Ink Rates'!C:C,'Dispensed Ink Rates'!CS:CS),VLOOKUP(BD312,'Jan-2026 rates'!$E:$F,2,0)))</f>
        <v>0</v>
      </c>
      <c r="BO312" s="409"/>
      <c r="BP312" s="398">
        <f>IF(BO312=0,0,IF(LEN(BE312)=11,_xlfn.XLOOKUP(BE312,'Dispensed Ink Rates'!C:C,'Dispensed Ink Rates'!CS:CS),VLOOKUP(BE312,'Jan-2026 rates'!$E:$F,2,0)))</f>
        <v>0</v>
      </c>
      <c r="BQ312" s="409"/>
      <c r="BR312" s="398">
        <f>IF(BQ312=0,0,IF(LEN(BF312)=11,_xlfn.XLOOKUP(BF312,'Dispensed Ink Rates'!C:C,'Dispensed Ink Rates'!CS:CS),VLOOKUP(BF312,'Jan-2026 rates'!$E:$F,2,0)))</f>
        <v>0</v>
      </c>
      <c r="BS312" s="409"/>
      <c r="BT312" s="398">
        <f>IF(BS312=0,0,IF(LEN(BG312)=11,_xlfn.XLOOKUP(BG312,'Dispensed Ink Rates'!C:C,'Dispensed Ink Rates'!CS:CS),VLOOKUP(BG312,'Jan-2026 rates'!$E:$F,2,0)))</f>
        <v>0</v>
      </c>
      <c r="BU312" s="409"/>
      <c r="BV312" s="398">
        <f>IF(BU312=0,0,IF(LEN(BH312)=11,_xlfn.XLOOKUP(BH312,'Dispensed Ink Rates'!C:C,'Dispensed Ink Rates'!CS:CS),VLOOKUP(BH312,'Jan-2026 rates'!$E:$F,2,0)))</f>
        <v>0</v>
      </c>
      <c r="BW312" s="409"/>
      <c r="BX312" s="398">
        <f>IF(BW312=0,0,IF(LEN(BI312)=11,_xlfn.XLOOKUP(BI312,'Dispensed Ink Rates'!C:C,'Dispensed Ink Rates'!CS:CS),VLOOKUP(BI312,'Jan-2026 rates'!$E:$F,2,0)))</f>
        <v>0</v>
      </c>
      <c r="BY312" s="409"/>
      <c r="BZ312" s="398">
        <f>IF(BY312=0,0,IF(LEN(BJ312)=11,_xlfn.XLOOKUP(BJ312,'Dispensed Ink Rates'!C:C,'Dispensed Ink Rates'!CS:CS),VLOOKUP(BJ312,'Jan-2026 rates'!$E:$F,2,0)))</f>
        <v>0</v>
      </c>
      <c r="CA312" s="409" t="s">
        <v>1881</v>
      </c>
      <c r="CB312" s="409">
        <v>20</v>
      </c>
      <c r="CC312" s="411">
        <f t="shared" si="215"/>
        <v>0</v>
      </c>
      <c r="CD312" s="411">
        <f t="shared" si="216"/>
        <v>12</v>
      </c>
      <c r="CE312" s="410">
        <f t="shared" si="217"/>
        <v>0</v>
      </c>
      <c r="CF312" s="404" t="s">
        <v>543</v>
      </c>
      <c r="CG312" s="409" t="s">
        <v>3743</v>
      </c>
      <c r="CH312" s="420" t="str">
        <f t="shared" si="185"/>
        <v>ToyoLi - BLACK</v>
      </c>
      <c r="CI312" s="409">
        <v>20</v>
      </c>
      <c r="CJ312" s="411">
        <f>IF(CI312=0,0,IF($LB312=70%,VLOOKUP($CH312,'Jan-2026 rates'!$L:$R,4,0),IF($LB312=65%,VLOOKUP($CH312,'Jan-2026 rates'!$L:$R,4,0),IF($LB312=40%,VLOOKUP($CH312,'Jan-2026 rates'!$L:$R,5,0),IF($LB312=30%,VLOOKUP($CH312,'Jan-2026 rates'!$L:$R,6,0),IF($LB312=100%,VLOOKUP($CH312,'Jan-2026 rates'!$L:$R,7,0),IF($LB312=60%,VLOOKUP($CH312,'Jan-2026 rates'!$L:$S,8,0),IF($LB312=80%,VLOOKUP($CH312,'Jan-2026 rates'!L:T,9,0),0))))))))</f>
        <v>0</v>
      </c>
      <c r="CK312" s="412"/>
      <c r="CL312" s="409"/>
      <c r="CM312" s="411">
        <f>IF(CL312=0,0,IF($LB312=70%,VLOOKUP($CH312,'Jan-2026 rates'!$L:$R,4,0),IF($LB312=65%,VLOOKUP($CH312,'Jan-2026 rates'!$L:$R,4,0),IF($LB312=40%,VLOOKUP($CH312,'Jan-2026 rates'!$L:$R,5,0),IF($LB312=30%,VLOOKUP($CH312,'Jan-2026 rates'!$L:$R,6,0),IF($LB312=100%,VLOOKUP($CH312,'Jan-2026 rates'!$L:$R,7,0),IF($LB312=60%,VLOOKUP($CH312,'Jan-2026 rates'!$L:$S,8,0),IF($LB312=80%,VLOOKUP($CH312,'Jan-2026 rates'!L:T,9,0),0))))))))</f>
        <v>0</v>
      </c>
      <c r="CN312" s="426" t="s">
        <v>1246</v>
      </c>
      <c r="CO312" s="427" t="s">
        <v>1248</v>
      </c>
      <c r="CP312" s="426"/>
      <c r="CQ312" s="426"/>
      <c r="CR312" s="428"/>
      <c r="CS312" s="428"/>
      <c r="CT312" s="428"/>
      <c r="CU312" s="428"/>
      <c r="CV312" s="409">
        <v>3</v>
      </c>
      <c r="CW312" s="398">
        <f>IF(CV312=0,0,IF(LEN(CN312)=11,_xlfn.XLOOKUP(CN312,'Dispensed Ink Rates'!C:C,'Dispensed Ink Rates'!CS:CS),VLOOKUP(CN312,'Jan-2026 rates'!$E:$F,2,0)))</f>
        <v>0</v>
      </c>
      <c r="CX312" s="409">
        <v>2</v>
      </c>
      <c r="CY312" s="398">
        <f>IF(CX312=0,0,IF(LEN(CO312)=11,_xlfn.XLOOKUP(CO312,'Dispensed Ink Rates'!C:C,'Dispensed Ink Rates'!CS:CS),VLOOKUP(CO312,'Jan-2026 rates'!$E:$F,2,0)))</f>
        <v>0</v>
      </c>
      <c r="CZ312" s="409"/>
      <c r="DA312" s="398">
        <f>IF(CZ312=0,0,IF(LEN(CP312)=11,_xlfn.XLOOKUP(CP312,'Dispensed Ink Rates'!C:C,'Dispensed Ink Rates'!CS:CS),VLOOKUP(CP312,'Jan-2026 rates'!$E:$F,2,0)))</f>
        <v>0</v>
      </c>
      <c r="DB312" s="409"/>
      <c r="DC312" s="398">
        <f>IF(DB312=0,0,IF(LEN(CQ312)=11,_xlfn.XLOOKUP(CQ312,'Dispensed Ink Rates'!C:C,'Dispensed Ink Rates'!CS:CS),VLOOKUP(CQ312,'Jan-2026 rates'!$E:$F,2,0)))</f>
        <v>0</v>
      </c>
      <c r="DD312" s="409"/>
      <c r="DE312" s="398">
        <f>IF(DD312=0,0,IF(LEN(CR312)=11,_xlfn.XLOOKUP(CR312,'Dispensed Ink Rates'!C:C,'Dispensed Ink Rates'!CS:CS),VLOOKUP(CR312,'Jan-2026 rates'!$E:$F,2,0)))</f>
        <v>0</v>
      </c>
      <c r="DF312" s="409"/>
      <c r="DG312" s="398">
        <f>IF(DF312=0,0,IF(LEN(CS312)=11,_xlfn.XLOOKUP(CS312,'Dispensed Ink Rates'!C:C,'Dispensed Ink Rates'!CS:CS),VLOOKUP(CS312,'Jan-2026 rates'!$E:$F,2,0)))</f>
        <v>0</v>
      </c>
      <c r="DH312" s="409"/>
      <c r="DI312" s="398">
        <f>IF(DH312=0,0,IF(LEN(CT312)=11,_xlfn.XLOOKUP(CT312,'Dispensed Ink Rates'!C:C,'Dispensed Ink Rates'!CS:CS),VLOOKUP(CT312,'Jan-2026 rates'!$E:$F,2,0)))</f>
        <v>0</v>
      </c>
      <c r="DJ312" s="409"/>
      <c r="DK312" s="398">
        <f>IF(DJ312=0,0,IF(LEN(CU312)=11,_xlfn.XLOOKUP(CU312,'Dispensed Ink Rates'!C:C,'Dispensed Ink Rates'!CS:CS),VLOOKUP(CU312,'Jan-2026 rates'!$E:$F,2,0)))</f>
        <v>0</v>
      </c>
      <c r="DL312" s="409" t="s">
        <v>1881</v>
      </c>
      <c r="DM312" s="409">
        <f>16+10</f>
        <v>26</v>
      </c>
      <c r="DN312" s="411">
        <f t="shared" si="218"/>
        <v>0</v>
      </c>
      <c r="DO312" s="411">
        <f t="shared" si="219"/>
        <v>14.869565217391305</v>
      </c>
      <c r="DP312" s="410">
        <f t="shared" si="220"/>
        <v>0</v>
      </c>
      <c r="DQ312" s="405" t="s">
        <v>855</v>
      </c>
      <c r="DR312" s="409" t="s">
        <v>4498</v>
      </c>
      <c r="DS312" s="420" t="str">
        <f t="shared" si="186"/>
        <v>ToyoLi - CYAN</v>
      </c>
      <c r="DT312" s="409">
        <v>28</v>
      </c>
      <c r="DU312" s="411">
        <f>IF(DT312=0,0,IF($LB312=70%,VLOOKUP($DS312,'Jan-2026 rates'!$L:$R,4,0),IF($LB312=65%,VLOOKUP($DS312,'Jan-2026 rates'!$L:$R,4,0),IF($LB312=40%,VLOOKUP($DS312,'Jan-2026 rates'!$L:$R,5,0),IF($LB312=30%,VLOOKUP($DS312,'Jan-2026 rates'!$L:$R,6,0),IF($LB312=100%,VLOOKUP($DS312,'Jan-2026 rates'!$L:$R,7,0),IF($LB312=60%,VLOOKUP($DS312,'Jan-2026 rates'!$L:$S,8,0),IF($LB312=80%,VLOOKUP($DS312,'Jan-2026 rates'!L:T,9,0),0))))))))</f>
        <v>0</v>
      </c>
      <c r="DV312" s="412"/>
      <c r="DW312" s="409"/>
      <c r="DX312" s="411">
        <f>IF(DW312=0,0,IF($LB312=70%,VLOOKUP($DS312,'Jan-2026 rates'!$L:$R,4,0),IF($LB312=65%,VLOOKUP($DS312,'Jan-2026 rates'!$L:$R,4,0),IF($LB312=40%,VLOOKUP($DS312,'Jan-2026 rates'!$L:$R,5,0),IF($LB312=30%,VLOOKUP($DS312,'Jan-2026 rates'!$L:$R,6,0),IF($LB312=100%,VLOOKUP($DS312,'Jan-2026 rates'!$L:$R,7,0),IF($LB312=60%,VLOOKUP($DS312,'Jan-2026 rates'!$L:$S,8,0),IF($LB312=80%,VLOOKUP($DS312,'Jan-2026 rates'!L:T,9,0),0))))))))</f>
        <v>0</v>
      </c>
      <c r="DY312" s="413" t="s">
        <v>1250</v>
      </c>
      <c r="DZ312" s="413"/>
      <c r="EA312" s="412"/>
      <c r="EB312" s="412"/>
      <c r="EC312" s="412"/>
      <c r="ED312" s="412"/>
      <c r="EE312" s="412"/>
      <c r="EF312" s="412"/>
      <c r="EG312" s="409">
        <v>2</v>
      </c>
      <c r="EH312" s="398">
        <f>IF(EG312=0,0,IF(LEN(DY312)=11,_xlfn.XLOOKUP(DY312,'Dispensed Ink Rates'!C:C,'Dispensed Ink Rates'!CS:CS),VLOOKUP(DY312,'Jan-2026 rates'!$E:$F,2,0)))</f>
        <v>0</v>
      </c>
      <c r="EI312" s="409"/>
      <c r="EJ312" s="398">
        <f>IF(EI312=0,0,IF(LEN(DZ312)=11,_xlfn.XLOOKUP(DZ312,'Dispensed Ink Rates'!C:C,'Dispensed Ink Rates'!CS:CS),VLOOKUP(DZ312,'Jan-2026 rates'!$E:$F,2,0)))</f>
        <v>0</v>
      </c>
      <c r="EK312" s="409"/>
      <c r="EL312" s="398">
        <f>IF(EK312=0,0,IF(LEN(EA312)=11,_xlfn.XLOOKUP(EA312,'Dispensed Ink Rates'!C:C,'Dispensed Ink Rates'!CS:CS),VLOOKUP(EA312,'Jan-2026 rates'!$E:$F,2,0)))</f>
        <v>0</v>
      </c>
      <c r="EM312" s="409"/>
      <c r="EN312" s="398">
        <f>IF(EM312=0,0,IF(LEN(EB312)=11,_xlfn.XLOOKUP(EB312,'Dispensed Ink Rates'!C:C,'Dispensed Ink Rates'!CS:CS),VLOOKUP(EB312,'Jan-2026 rates'!$E:$F,2,0)))</f>
        <v>0</v>
      </c>
      <c r="EO312" s="409"/>
      <c r="EP312" s="398">
        <f>IF(EO312=0,0,IF(LEN(EC312)=11,_xlfn.XLOOKUP(EC312,'Dispensed Ink Rates'!C:C,'Dispensed Ink Rates'!CS:CS),VLOOKUP(EC312,'Jan-2026 rates'!$E:$F,2,0)))</f>
        <v>0</v>
      </c>
      <c r="EQ312" s="409"/>
      <c r="ER312" s="398">
        <f>IF(EQ312=0,0,IF(LEN(ED312)=11,_xlfn.XLOOKUP(ED312,'Dispensed Ink Rates'!C:C,'Dispensed Ink Rates'!CS:CS),VLOOKUP(ED312,'Jan-2026 rates'!$E:$F,2,0)))</f>
        <v>0</v>
      </c>
      <c r="ES312" s="409"/>
      <c r="ET312" s="398">
        <f>IF(ES312=0,0,IF(LEN(EE312)=11,_xlfn.XLOOKUP(EE312,'Dispensed Ink Rates'!C:C,'Dispensed Ink Rates'!CS:CS),VLOOKUP(EE312,'Jan-2026 rates'!$E:$F,2,0)))</f>
        <v>0</v>
      </c>
      <c r="EU312" s="409"/>
      <c r="EV312" s="398">
        <f>IF(EU312=0,0,IF(LEN(EF312)=11,_xlfn.XLOOKUP(EF312,'Dispensed Ink Rates'!C:C,'Dispensed Ink Rates'!CS:CS),VLOOKUP(EF312,'Jan-2026 rates'!$E:$F,2,0)))</f>
        <v>0</v>
      </c>
      <c r="EW312" s="409" t="s">
        <v>1881</v>
      </c>
      <c r="EX312" s="409">
        <v>28</v>
      </c>
      <c r="EY312" s="411">
        <f t="shared" si="221"/>
        <v>0</v>
      </c>
      <c r="EZ312" s="411">
        <f t="shared" si="222"/>
        <v>8.3478260869565233</v>
      </c>
      <c r="FA312" s="410">
        <f t="shared" si="223"/>
        <v>0</v>
      </c>
      <c r="FB312" s="405" t="s">
        <v>544</v>
      </c>
      <c r="FC312" s="409" t="s">
        <v>4499</v>
      </c>
      <c r="FD312" s="420" t="str">
        <f t="shared" si="187"/>
        <v>ToyoLi - MAGENTA</v>
      </c>
      <c r="FE312" s="409">
        <v>26</v>
      </c>
      <c r="FF312" s="411">
        <f>IF(FE312=0,0,IF($LB312=70%,VLOOKUP($FD312,'Jan-2026 rates'!$L:$R,4,0),IF($LB312=65%,VLOOKUP($FD312,'Jan-2026 rates'!$L:$R,4,0),IF($LB312=40%,VLOOKUP($FD312,'Jan-2026 rates'!$L:$R,5,0),IF($LB312=30%,VLOOKUP($FD312,'Jan-2026 rates'!$L:$R,6,0),IF($LB312=100%,VLOOKUP($FD312,'Jan-2026 rates'!$L:$R,7,0),IF($LB312=60%,VLOOKUP($FD312,'Jan-2026 rates'!$L:$S,8,0),IF($LB312=80%,VLOOKUP($FD312,'Jan-2026 rates'!L:T,9,0),0))))))))</f>
        <v>0</v>
      </c>
      <c r="FG312" s="412"/>
      <c r="FH312" s="409"/>
      <c r="FI312" s="411">
        <f>IF(FH312=0,0,IF($LB312=70%,VLOOKUP($FD312,'Jan-2026 rates'!$L:$R,4,0),IF($LB312=65%,VLOOKUP($FD312,'Jan-2026 rates'!$L:$R,4,0),IF($LB312=40%,VLOOKUP($FD312,'Jan-2026 rates'!$L:$R,5,0),IF($LB312=30%,VLOOKUP($FD312,'Jan-2026 rates'!$L:$R,6,0),IF($LB312=100%,VLOOKUP($FD312,'Jan-2026 rates'!$L:$R,7,0),IF($LB312=60%,VLOOKUP($FD312,'Jan-2026 rates'!$L:$S,8,0),IF($LB312=80%,VLOOKUP($FD312,'Jan-2026 rates'!L:T,9,0),0))))))))</f>
        <v>0</v>
      </c>
      <c r="FJ312" s="413" t="s">
        <v>1246</v>
      </c>
      <c r="FK312" s="413"/>
      <c r="FL312" s="413"/>
      <c r="FM312" s="412"/>
      <c r="FN312" s="412"/>
      <c r="FO312" s="412"/>
      <c r="FP312" s="412"/>
      <c r="FQ312" s="412"/>
      <c r="FR312" s="409">
        <v>3</v>
      </c>
      <c r="FS312" s="398">
        <f>IF(FR312=0,0,IF(LEN(FJ312)=11,_xlfn.XLOOKUP(FJ312,'Dispensed Ink Rates'!C:C,'Dispensed Ink Rates'!CS:CS),VLOOKUP(FJ312,'Jan-2026 rates'!$E:$F,2,0)))</f>
        <v>0</v>
      </c>
      <c r="FT312" s="409"/>
      <c r="FU312" s="398">
        <f>IF(FT312=0,0,IF(LEN(FK312)=11,_xlfn.XLOOKUP(FK312,'Dispensed Ink Rates'!C:C,'Dispensed Ink Rates'!CS:CS),VLOOKUP(FK312,'Jan-2026 rates'!$E:$F,2,0)))</f>
        <v>0</v>
      </c>
      <c r="FV312" s="409"/>
      <c r="FW312" s="398">
        <f>IF(FV312=0,0,IF(LEN(FL312)=11,_xlfn.XLOOKUP(FL312,'Dispensed Ink Rates'!C:C,'Dispensed Ink Rates'!CS:CS),VLOOKUP(FL312,'Jan-2026 rates'!$E:$F,2,0)))</f>
        <v>0</v>
      </c>
      <c r="FX312" s="409"/>
      <c r="FY312" s="398">
        <f>IF(FX312=0,0,IF(LEN(FM312)=11,_xlfn.XLOOKUP(FM312,'Dispensed Ink Rates'!C:C,'Dispensed Ink Rates'!CS:CS),VLOOKUP(FM312,'Jan-2026 rates'!$E:$F,2,0)))</f>
        <v>0</v>
      </c>
      <c r="FZ312" s="409"/>
      <c r="GA312" s="398">
        <f>IF(FZ312=0,0,IF(LEN(FN312)=11,_xlfn.XLOOKUP(FN312,'Dispensed Ink Rates'!C:C,'Dispensed Ink Rates'!CS:CS),VLOOKUP(FN312,'Jan-2026 rates'!$E:$F,2,0)))</f>
        <v>0</v>
      </c>
      <c r="GB312" s="409"/>
      <c r="GC312" s="398">
        <f>IF(GB312=0,0,IF(LEN(FO312)=11,_xlfn.XLOOKUP(FO312,'Dispensed Ink Rates'!C:C,'Dispensed Ink Rates'!CS:CS),VLOOKUP(FO312,'Jan-2026 rates'!$E:$F,2,0)))</f>
        <v>0</v>
      </c>
      <c r="GD312" s="409"/>
      <c r="GE312" s="398">
        <f>IF(GD312=0,0,IF(LEN(FP312)=11,_xlfn.XLOOKUP(FP312,'Dispensed Ink Rates'!C:C,'Dispensed Ink Rates'!CS:CS),VLOOKUP(FP312,'Jan-2026 rates'!$E:$F,2,0)))</f>
        <v>0</v>
      </c>
      <c r="GF312" s="409"/>
      <c r="GG312" s="398">
        <f>IF(GF312=0,0,IF(LEN(FQ312)=11,_xlfn.XLOOKUP(FQ312,'Dispensed Ink Rates'!C:C,'Dispensed Ink Rates'!CS:CS),VLOOKUP(FQ312,'Jan-2026 rates'!$E:$F,2,0)))</f>
        <v>0</v>
      </c>
      <c r="GH312" s="409" t="s">
        <v>1881</v>
      </c>
      <c r="GI312" s="409">
        <f>18+15</f>
        <v>33</v>
      </c>
      <c r="GJ312" s="411">
        <f t="shared" si="224"/>
        <v>0</v>
      </c>
      <c r="GK312" s="411">
        <f t="shared" si="225"/>
        <v>11.869565217391305</v>
      </c>
      <c r="GL312" s="410">
        <f t="shared" si="226"/>
        <v>0</v>
      </c>
      <c r="GM312" s="405" t="s">
        <v>545</v>
      </c>
      <c r="GN312" s="409" t="s">
        <v>4500</v>
      </c>
      <c r="GO312" s="420" t="str">
        <f t="shared" si="188"/>
        <v>ToyoLi - YELLOW</v>
      </c>
      <c r="GP312" s="409">
        <v>28</v>
      </c>
      <c r="GQ312" s="411">
        <f>IF(GP312=0,0,IF($LB312=70%,VLOOKUP($GO312,'Jan-2026 rates'!$L:$R,4,0),IF($LB312=65%,VLOOKUP($GO312,'Jan-2026 rates'!$L:$R,4,0),IF($LB312=40%,VLOOKUP($GO312,'Jan-2026 rates'!$L:$R,5,0),IF($LB312=30%,VLOOKUP($GO312,'Jan-2026 rates'!$L:$R,6,0),IF($LB312=100%,VLOOKUP($GO312,'Jan-2026 rates'!$L:$R,7,0),IF($LB312=60%,VLOOKUP($GO312,'Jan-2026 rates'!$L:$S,8,0),IF($LB312=80%,VLOOKUP($GO312,'Jan-2026 rates'!L:T,9,0),0))))))))</f>
        <v>0</v>
      </c>
      <c r="GR312" s="412"/>
      <c r="GS312" s="409"/>
      <c r="GT312" s="411">
        <f>IF(GS312=0,0,IF($LB312=70%,VLOOKUP($GO312,'Jan-2026 rates'!$L:$R,4,0),IF($LB312=65%,VLOOKUP($GO312,'Jan-2026 rates'!$L:$R,4,0),IF($LB312=40%,VLOOKUP($GO312,'Jan-2026 rates'!$L:$R,5,0),IF($LB312=30%,VLOOKUP($GO312,'Jan-2026 rates'!$L:$R,6,0),IF($LB312=100%,VLOOKUP($GO312,'Jan-2026 rates'!$L:$R,7,0),IF($LB312=60%,VLOOKUP($GO312,'Jan-2026 rates'!$L:$S,8,0),IF($LB312=80%,VLOOKUP($GO312,'Jan-2026 rates'!L:T,9,0),0))))))))</f>
        <v>0</v>
      </c>
      <c r="GU312" s="413" t="s">
        <v>1247</v>
      </c>
      <c r="GV312" s="413"/>
      <c r="GW312" s="412"/>
      <c r="GX312" s="412"/>
      <c r="GY312" s="412"/>
      <c r="GZ312" s="412"/>
      <c r="HA312" s="412"/>
      <c r="HB312" s="412"/>
      <c r="HC312" s="409">
        <v>4</v>
      </c>
      <c r="HD312" s="398">
        <f>IF(HC312=0,0,IF(LEN(GU312)=11,_xlfn.XLOOKUP(GU312,'Dispensed Ink Rates'!C:C,'Dispensed Ink Rates'!CS:CS),VLOOKUP(GU312,'Jan-2026 rates'!$E:$F,2,0)))</f>
        <v>0</v>
      </c>
      <c r="HE312" s="409"/>
      <c r="HF312" s="398">
        <f>IF(HE312=0,0,IF(LEN(GV312)=11,_xlfn.XLOOKUP(GV312,'Dispensed Ink Rates'!C:C,'Dispensed Ink Rates'!CS:CS),VLOOKUP(GV312,'Jan-2026 rates'!$E:$F,2,0)))</f>
        <v>0</v>
      </c>
      <c r="HG312" s="409"/>
      <c r="HH312" s="398">
        <f>IF(HG312=0,0,IF(LEN(GW312)=11,_xlfn.XLOOKUP(GW312,'Dispensed Ink Rates'!C:C,'Dispensed Ink Rates'!CS:CS),VLOOKUP(GW312,'Jan-2026 rates'!$E:$F,2,0)))</f>
        <v>0</v>
      </c>
      <c r="HI312" s="409"/>
      <c r="HJ312" s="398">
        <f>IF(HI312=0,0,IF(LEN(GX312)=11,_xlfn.XLOOKUP(GX312,'Dispensed Ink Rates'!C:C,'Dispensed Ink Rates'!CS:CS),VLOOKUP(GX312,'Jan-2026 rates'!$E:$F,2,0)))</f>
        <v>0</v>
      </c>
      <c r="HK312" s="409"/>
      <c r="HL312" s="398">
        <f>IF(HK312=0,0,IF(LEN(GY312)=11,_xlfn.XLOOKUP(GY312,'Dispensed Ink Rates'!C:C,'Dispensed Ink Rates'!CS:CS),VLOOKUP(GY312,'Jan-2026 rates'!$E:$F,2,0)))</f>
        <v>0</v>
      </c>
      <c r="HM312" s="409"/>
      <c r="HN312" s="398">
        <f>IF(HM312=0,0,IF(LEN(GZ312)=11,_xlfn.XLOOKUP(GZ312,'Dispensed Ink Rates'!C:C,'Dispensed Ink Rates'!CS:CS),VLOOKUP(GZ312,'Jan-2026 rates'!$E:$F,2,0)))</f>
        <v>0</v>
      </c>
      <c r="HO312" s="409"/>
      <c r="HP312" s="398">
        <f>IF(HO312=0,0,IF(LEN(HA312)=11,_xlfn.XLOOKUP(HA312,'Dispensed Ink Rates'!C:C,'Dispensed Ink Rates'!CS:CS),VLOOKUP(HA312,'Jan-2026 rates'!$E:$F,2,0)))</f>
        <v>0</v>
      </c>
      <c r="HQ312" s="409"/>
      <c r="HR312" s="398">
        <f>IF(HQ312=0,0,IF(LEN(HB312)=11,_xlfn.XLOOKUP(HB312,'Dispensed Ink Rates'!C:C,'Dispensed Ink Rates'!CS:CS),VLOOKUP(HB312,'Jan-2026 rates'!$E:$F,2,0)))</f>
        <v>0</v>
      </c>
      <c r="HS312" s="409" t="s">
        <v>1881</v>
      </c>
      <c r="HT312" s="409">
        <v>30</v>
      </c>
      <c r="HU312" s="411">
        <f t="shared" si="227"/>
        <v>0</v>
      </c>
      <c r="HV312" s="411">
        <f t="shared" si="228"/>
        <v>8.3478260869565233</v>
      </c>
      <c r="HW312" s="414">
        <f t="shared" si="229"/>
        <v>0</v>
      </c>
      <c r="HX312" s="405" t="s">
        <v>856</v>
      </c>
      <c r="HY312" s="409" t="s">
        <v>4501</v>
      </c>
      <c r="HZ312" s="420" t="str">
        <f t="shared" si="189"/>
        <v>ToyoLi - WHITE</v>
      </c>
      <c r="IA312" s="409">
        <v>30</v>
      </c>
      <c r="IB312" s="411">
        <f>IF(IA312=0,0,IF($LB312=70%,VLOOKUP($HZ312,'Jan-2026 rates'!$L:$R,4,0),IF($LB312=65%,VLOOKUP($HZ312,'Jan-2026 rates'!$L:$R,4,0),IF($LB312=40%,VLOOKUP($HZ312,'Jan-2026 rates'!$L:$R,5,0),IF($LB312=30%,VLOOKUP($HZ312,'Jan-2026 rates'!$L:$R,6,0),IF($LB312=100%,VLOOKUP($HZ312,'Jan-2026 rates'!$L:$R,7,0),IF($LB312=60%,VLOOKUP($HZ312,'Jan-2026 rates'!$L:$S,8,0),IF($LB312=80%,VLOOKUP($HZ312,'Jan-2026 rates'!L:T,9,0),0))))))))</f>
        <v>0</v>
      </c>
      <c r="IC312" s="412"/>
      <c r="ID312" s="409"/>
      <c r="IE312" s="411">
        <f>IF(ID312=0,0,IF($LB312=70%,VLOOKUP($HZ312,'Jan-2026 rates'!$L:$R,4,0),IF($LB312=65%,VLOOKUP($HZ312,'Jan-2026 rates'!$L:$R,4,0),IF($LB312=40%,VLOOKUP($HZ312,'Jan-2026 rates'!$L:$R,5,0),IF($LB312=30%,VLOOKUP($HZ312,'Jan-2026 rates'!$L:$R,6,0),IF($LB312=100%,VLOOKUP($HZ312,'Jan-2026 rates'!$L:$R,7,0),IF($LB312=60%,VLOOKUP($HZ312,'Jan-2026 rates'!$L:$S,8,0),IF($LB312=80%,VLOOKUP($HZ312,'Jan-2026 rates'!L:T,9,0),0))))))))</f>
        <v>0</v>
      </c>
      <c r="IF312" s="412" t="s">
        <v>1249</v>
      </c>
      <c r="IG312" s="413"/>
      <c r="IH312" s="412"/>
      <c r="II312" s="412"/>
      <c r="IJ312" s="412"/>
      <c r="IK312" s="412"/>
      <c r="IL312" s="412"/>
      <c r="IM312" s="412"/>
      <c r="IN312" s="409">
        <v>40</v>
      </c>
      <c r="IO312" s="398">
        <f>IF(IN312=0,0,IF(LEN(IF312)=11,_xlfn.XLOOKUP(IF312,'Dispensed Ink Rates'!C:C,'Dispensed Ink Rates'!CS:CS),VLOOKUP(IF312,'Jan-2026 rates'!$E:$F,2,0)))</f>
        <v>0</v>
      </c>
      <c r="IP312" s="409"/>
      <c r="IQ312" s="398">
        <f>IF(IP312=0,0,IF(LEN(IG312)=11,_xlfn.XLOOKUP(IG312,'Dispensed Ink Rates'!C:C,'Dispensed Ink Rates'!CS:CS),VLOOKUP(IG312,'Jan-2026 rates'!$E:$F,2,0)))</f>
        <v>0</v>
      </c>
      <c r="IR312" s="409"/>
      <c r="IS312" s="398">
        <f>IF(IR312=0,0,IF(LEN(IH312)=11,_xlfn.XLOOKUP(IH312,'Dispensed Ink Rates'!C:C,'Dispensed Ink Rates'!CS:CS),VLOOKUP(IH312,'Jan-2026 rates'!$E:$F,2,0)))</f>
        <v>0</v>
      </c>
      <c r="IT312" s="409"/>
      <c r="IU312" s="398">
        <f>IF(IT312=0,0,IF(LEN(II312)=11,_xlfn.XLOOKUP(II312,'Dispensed Ink Rates'!C:C,'Dispensed Ink Rates'!CS:CS),VLOOKUP(II312,'Jan-2026 rates'!$E:$F,2,0)))</f>
        <v>0</v>
      </c>
      <c r="IV312" s="409"/>
      <c r="IW312" s="398">
        <f>IF(IV312=0,0,IF(LEN(IJ312)=11,_xlfn.XLOOKUP(IJ312,'Dispensed Ink Rates'!C:C,'Dispensed Ink Rates'!CS:CS),VLOOKUP(IJ312,'Jan-2026 rates'!$E:$F,2,0)))</f>
        <v>0</v>
      </c>
      <c r="IX312" s="409"/>
      <c r="IY312" s="398">
        <f>IF(IX312=0,0,IF(LEN(IK312)=11,_xlfn.XLOOKUP(IK312,'Dispensed Ink Rates'!C:C,'Dispensed Ink Rates'!CS:CS),VLOOKUP(IK312,'Jan-2026 rates'!$E:$F,2,0)))</f>
        <v>0</v>
      </c>
      <c r="IZ312" s="409"/>
      <c r="JA312" s="398">
        <f>IF(IZ312=0,0,IF(LEN(IL312)=11,_xlfn.XLOOKUP(IL312,'Dispensed Ink Rates'!C:C,'Dispensed Ink Rates'!CS:CS),VLOOKUP(IL312,'Jan-2026 rates'!$E:$F,2,0)))</f>
        <v>0</v>
      </c>
      <c r="JB312" s="409"/>
      <c r="JC312" s="398">
        <f>IF(JB312=0,0,IF(LEN(IM312)=11,_xlfn.XLOOKUP(IM312,'Dispensed Ink Rates'!C:C,'Dispensed Ink Rates'!CS:CS),VLOOKUP(IM312,'Jan-2026 rates'!$E:$F,2,0)))</f>
        <v>0</v>
      </c>
      <c r="JD312" s="409" t="s">
        <v>1881</v>
      </c>
      <c r="JE312" s="409">
        <v>30</v>
      </c>
      <c r="JF312" s="411">
        <f t="shared" si="230"/>
        <v>0</v>
      </c>
      <c r="JG312" s="411">
        <f t="shared" si="231"/>
        <v>103.47826086956522</v>
      </c>
      <c r="JH312" s="410">
        <f t="shared" si="232"/>
        <v>0</v>
      </c>
      <c r="JI312" s="405" t="s">
        <v>605</v>
      </c>
      <c r="JJ312" s="409" t="s">
        <v>4499</v>
      </c>
      <c r="JK312" s="420" t="str">
        <f t="shared" si="190"/>
        <v>ToyoLi - MATT</v>
      </c>
      <c r="JL312" s="409">
        <v>30</v>
      </c>
      <c r="JM312" s="411">
        <f>IF(JL312=0,0,IF($LB312=70%,VLOOKUP($JK312,'Jan-2026 rates'!$L:$R,4,0),IF($LB312=65%,VLOOKUP($JK312,'Jan-2026 rates'!$L:$R,4,0),IF($LB312=40%,VLOOKUP($JK312,'Jan-2026 rates'!$L:$R,5,0),IF($LB312=30%,VLOOKUP($JK312,'Jan-2026 rates'!$L:$R,6,0),IF($LB312=100%,VLOOKUP($JK312,'Jan-2026 rates'!$L:$R,7,0),IF($LB312=60%,VLOOKUP($JK312,'Jan-2026 rates'!$L:$S,8,0),IF($LB312=80%,VLOOKUP($JK312,'Jan-2026 rates'!L:T,9,0),0))))))))</f>
        <v>0</v>
      </c>
      <c r="JN312" s="412"/>
      <c r="JO312" s="409"/>
      <c r="JP312" s="411">
        <f>IF(JO312=0,0,IF($LB312=70%,VLOOKUP($JK312,'Jan-2026 rates'!$L:$R,4,0),IF($LB312=65%,VLOOKUP($JK312,'Jan-2026 rates'!$L:$R,4,0),IF($LB312=40%,VLOOKUP($JK312,'Jan-2026 rates'!$L:$R,5,0),IF($LB312=30%,VLOOKUP($JK312,'Jan-2026 rates'!$L:$R,6,0),IF($LB312=100%,VLOOKUP($JK312,'Jan-2026 rates'!$L:$R,7,0),IF($LB312=60%,VLOOKUP($JK312,'Jan-2026 rates'!$L:$S,8,0),IF($LB312=80%,VLOOKUP($JK312,'Jan-2026 rates'!L:T,9,0),0))))))))</f>
        <v>0</v>
      </c>
      <c r="JQ312" s="413">
        <v>55</v>
      </c>
      <c r="JR312" s="412" t="s">
        <v>1902</v>
      </c>
      <c r="JS312" s="413"/>
      <c r="JT312" s="413"/>
      <c r="JU312" s="412"/>
      <c r="JV312" s="412"/>
      <c r="JW312" s="412"/>
      <c r="JX312" s="412"/>
      <c r="JY312" s="409">
        <v>60</v>
      </c>
      <c r="JZ312" s="398">
        <f>IF(JY312=0,0,IF(LEN(JQ312)=11,_xlfn.XLOOKUP(JQ312,'Dispensed Ink Rates'!C:C,'Dispensed Ink Rates'!CS:CS),VLOOKUP(JQ312,'Jan-2026 rates'!$E:$F,2,0)))</f>
        <v>0</v>
      </c>
      <c r="KA312" s="409">
        <v>15</v>
      </c>
      <c r="KB312" s="398">
        <f>IF(KA312=0,0,IF(LEN(JR312)=11,_xlfn.XLOOKUP(JR312,'Dispensed Ink Rates'!C:C,'Dispensed Ink Rates'!CS:CS),VLOOKUP(JR312,'Jan-2026 rates'!$E:$F,2,0)))</f>
        <v>0</v>
      </c>
      <c r="KC312" s="409"/>
      <c r="KD312" s="398">
        <f>IF(KC312=0,0,IF(LEN(JS312)=11,_xlfn.XLOOKUP(JS312,'Dispensed Ink Rates'!C:C,'Dispensed Ink Rates'!CS:CS),VLOOKUP(JS312,'Jan-2026 rates'!$E:$F,2,0)))</f>
        <v>0</v>
      </c>
      <c r="KE312" s="409"/>
      <c r="KF312" s="398">
        <f>IF(KE312=0,0,IF(LEN(JT312)=11,_xlfn.XLOOKUP(JT312,'Dispensed Ink Rates'!C:C,'Dispensed Ink Rates'!CS:CS),VLOOKUP(JT312,'Jan-2026 rates'!$E:$F,2,0)))</f>
        <v>0</v>
      </c>
      <c r="KG312" s="409"/>
      <c r="KH312" s="398">
        <f>IF(KG312=0,0,IF(LEN(JU312)=11,_xlfn.XLOOKUP(JU312,'Dispensed Ink Rates'!C:C,'Dispensed Ink Rates'!CS:CS),VLOOKUP(JU312,'Jan-2026 rates'!$E:$F,2,0)))</f>
        <v>0</v>
      </c>
      <c r="KI312" s="409"/>
      <c r="KJ312" s="398">
        <f>IF(KI312=0,0,IF(LEN(JV312)=11,_xlfn.XLOOKUP(JV312,'Dispensed Ink Rates'!C:C,'Dispensed Ink Rates'!CS:CS),VLOOKUP(JV312,'Jan-2026 rates'!$E:$F,2,0)))</f>
        <v>0</v>
      </c>
      <c r="KK312" s="409"/>
      <c r="KL312" s="398">
        <f>IF(KK312=0,0,IF(LEN(JW312)=11,_xlfn.XLOOKUP(JW312,'Dispensed Ink Rates'!C:C,'Dispensed Ink Rates'!CS:CS),VLOOKUP(JW312,'Jan-2026 rates'!$E:$F,2,0)))</f>
        <v>0</v>
      </c>
      <c r="KM312" s="428"/>
      <c r="KN312" s="398">
        <f>IF(KM312=0,0,IF(LEN(JX312)=11,_xlfn.XLOOKUP(JX312,'Dispensed Ink Rates'!C:C,'Dispensed Ink Rates'!CS:CS),VLOOKUP(JX312,'Jan-2026 rates'!$E:$F,2,0)))</f>
        <v>0</v>
      </c>
      <c r="KO312" s="409" t="s">
        <v>1881</v>
      </c>
      <c r="KP312" s="409">
        <v>30</v>
      </c>
      <c r="KQ312" s="411">
        <f t="shared" si="233"/>
        <v>0</v>
      </c>
      <c r="KR312" s="411">
        <f t="shared" si="234"/>
        <v>106.73913043478262</v>
      </c>
      <c r="KS312" s="410">
        <f t="shared" si="235"/>
        <v>0</v>
      </c>
      <c r="KT312" s="409">
        <v>2</v>
      </c>
      <c r="KU312" s="409">
        <v>0</v>
      </c>
      <c r="KV312" s="409">
        <v>5</v>
      </c>
      <c r="KW312" s="409">
        <v>2</v>
      </c>
      <c r="KX312" s="409">
        <v>5</v>
      </c>
      <c r="KY312" s="409">
        <v>2</v>
      </c>
      <c r="KZ312" s="409">
        <v>20</v>
      </c>
      <c r="LA312" s="409">
        <v>10</v>
      </c>
      <c r="LB312" s="415">
        <v>0.3</v>
      </c>
      <c r="LC312" s="415"/>
      <c r="LD312" s="424"/>
      <c r="LE312" s="415">
        <v>0.5</v>
      </c>
      <c r="LF312" s="415">
        <v>0.2</v>
      </c>
      <c r="LG312" s="409">
        <v>0</v>
      </c>
      <c r="LH312" s="409">
        <f>30+26+27+45+18</f>
        <v>146</v>
      </c>
      <c r="LI312" s="409">
        <v>0</v>
      </c>
      <c r="LJ312" s="409">
        <v>0</v>
      </c>
      <c r="LK312" s="416">
        <f t="shared" si="191"/>
        <v>146</v>
      </c>
      <c r="LL312" s="416">
        <f t="shared" si="237"/>
        <v>146</v>
      </c>
      <c r="LM312" s="417">
        <f t="shared" si="193"/>
        <v>43.8</v>
      </c>
      <c r="LN312" s="417">
        <f>VLOOKUP($LM$8,'Jan-2026 rates'!$H:$I,2,0)</f>
        <v>0</v>
      </c>
      <c r="LO312" s="417">
        <f t="shared" si="194"/>
        <v>0</v>
      </c>
      <c r="LP312" s="417">
        <f>VLOOKUP($LO$8,'Jan-2026 rates'!$H:$I,2,0)</f>
        <v>0</v>
      </c>
      <c r="LQ312" s="417">
        <f t="shared" si="195"/>
        <v>0</v>
      </c>
      <c r="LR312" s="417">
        <f>VLOOKUP($LQ$8,'Jan-2026 rates'!$H:$I,2,0)</f>
        <v>0</v>
      </c>
      <c r="LS312" s="417">
        <f t="shared" si="196"/>
        <v>73</v>
      </c>
      <c r="LT312" s="417">
        <f>VLOOKUP($LS$8,'Jan-2026 rates'!$H:$I,2,0)</f>
        <v>0</v>
      </c>
      <c r="LU312" s="417">
        <f t="shared" si="197"/>
        <v>29.200000000000003</v>
      </c>
      <c r="LV312" s="417">
        <f>VLOOKUP($LU$8,'Jan-2026 rates'!$H:$I,2,0)</f>
        <v>0</v>
      </c>
      <c r="LW312" s="417">
        <f t="shared" si="198"/>
        <v>0</v>
      </c>
      <c r="LX312" s="417">
        <f t="shared" si="199"/>
        <v>0</v>
      </c>
      <c r="LY312" s="418">
        <f t="shared" si="200"/>
        <v>0</v>
      </c>
      <c r="LZ312" s="417"/>
      <c r="MA312" s="435">
        <f t="shared" si="201"/>
        <v>134</v>
      </c>
      <c r="MB312" s="282">
        <f t="shared" si="202"/>
        <v>275</v>
      </c>
      <c r="MC312" s="283" t="s">
        <v>2051</v>
      </c>
      <c r="MD312" s="284" t="str">
        <f t="shared" si="203"/>
        <v>ToyoLiToyoLiToyoLiToyoLiToyoLiToyoLiToyoLiToyoLi</v>
      </c>
      <c r="ME312" s="293" t="str">
        <f t="shared" si="204"/>
        <v>+</v>
      </c>
      <c r="MF312" s="293" t="str">
        <f t="shared" si="205"/>
        <v>+</v>
      </c>
      <c r="MG312" s="293" t="str">
        <f t="shared" si="206"/>
        <v>+</v>
      </c>
      <c r="MH312" s="293" t="str">
        <f t="shared" si="207"/>
        <v>+</v>
      </c>
      <c r="MI312" s="293" t="str">
        <f t="shared" si="208"/>
        <v>+</v>
      </c>
      <c r="MJ312" s="293" t="str">
        <f t="shared" si="209"/>
        <v>+</v>
      </c>
      <c r="MK312" s="293" t="str">
        <f t="shared" si="210"/>
        <v>+</v>
      </c>
      <c r="ML312" s="293" t="str">
        <f t="shared" si="211"/>
        <v>+</v>
      </c>
      <c r="MM312" s="3" t="b">
        <f t="array" ref="MM312">OR(ME312:ML312="-")</f>
        <v>0</v>
      </c>
      <c r="MO312" s="401">
        <f t="shared" si="238"/>
        <v>141.75257731958763</v>
      </c>
      <c r="MP312" s="286"/>
      <c r="MR312" s="402">
        <f t="shared" si="239"/>
        <v>2.0522388059701493E-2</v>
      </c>
      <c r="MS312" s="400">
        <f t="shared" si="240"/>
        <v>0</v>
      </c>
      <c r="MT312" s="285"/>
      <c r="NH312" s="361"/>
      <c r="NJ312" s="282"/>
    </row>
    <row r="313" spans="1:374" ht="16.5">
      <c r="A313" s="403">
        <v>46044</v>
      </c>
      <c r="B313" s="404" t="s">
        <v>1015</v>
      </c>
      <c r="C313" s="405" t="s">
        <v>4502</v>
      </c>
      <c r="D313" s="404" t="s">
        <v>2052</v>
      </c>
      <c r="E313" s="404">
        <v>176</v>
      </c>
      <c r="F313" s="407">
        <v>12200</v>
      </c>
      <c r="G313" s="407" t="s">
        <v>1016</v>
      </c>
      <c r="H313" s="408" t="s">
        <v>1017</v>
      </c>
      <c r="I313" s="409">
        <f>0.37+1.69</f>
        <v>2.06</v>
      </c>
      <c r="J313" s="405" t="s">
        <v>543</v>
      </c>
      <c r="K313" s="404" t="s">
        <v>3185</v>
      </c>
      <c r="L313" s="419" t="str">
        <f t="shared" si="184"/>
        <v>ToyoLi - BLACK</v>
      </c>
      <c r="M313" s="404">
        <v>30</v>
      </c>
      <c r="N313" s="410">
        <f>IF(M313=0,0,IF($LB313=70%,VLOOKUP($L313,'Jan-2026 rates'!$L:$R,4,0),IF($LB313=65%,VLOOKUP($L313,'Jan-2026 rates'!$L:$R,4,0),IF($LB313=40%,VLOOKUP($L313,'Jan-2026 rates'!$L:$R,5,0),IF($LB313=30%,VLOOKUP($L313,'Jan-2026 rates'!$L:$R,6,0),IF($LB313=100%,VLOOKUP($L313,'Jan-2026 rates'!$L:$R,7,0),IF($LB313=60%,VLOOKUP($L313,'Jan-2026 rates'!$L:$S,8,0),IF($LB313=80%,VLOOKUP($L313,'Jan-2026 rates'!L:T,9,0),0))))))))</f>
        <v>0</v>
      </c>
      <c r="O313" s="406"/>
      <c r="P313" s="404"/>
      <c r="Q313" s="410">
        <f>IF(P313=0,0,IF($LB313=70%,VLOOKUP($L313,'Jan-2026 rates'!$L:$R,4,0),IF($LB313=65%,VLOOKUP($L313,'Jan-2026 rates'!$L:$R,4,0),IF($LB313=40%,VLOOKUP($L313,'Jan-2026 rates'!$L:$R,5,0),IF($LB313=30%,VLOOKUP($L313,'Jan-2026 rates'!$L:$R,6,0),IF($LB313=100%,VLOOKUP($L313,'Jan-2026 rates'!$L:$R,7,0),IF($LB313=60%,VLOOKUP($L313,'Jan-2026 rates'!$L:$S,8,0),IF($LB313=80%,VLOOKUP($L313,'Jan-2026 rates'!L:T,9,0),0))))))))</f>
        <v>0</v>
      </c>
      <c r="R313" s="406"/>
      <c r="S313" s="406"/>
      <c r="T313" s="406"/>
      <c r="U313" s="406"/>
      <c r="V313" s="406"/>
      <c r="W313" s="406"/>
      <c r="X313" s="406"/>
      <c r="Y313" s="406"/>
      <c r="Z313" s="404"/>
      <c r="AA313" s="398">
        <f>IF(Z313=0,0,IF(LEN(R313)=11,_xlfn.XLOOKUP(R313,'Dispensed Ink Rates'!C:C,'Dispensed Ink Rates'!CS:CS),VLOOKUP(R313,'Jan-2026 rates'!$E:$F,2,0)))</f>
        <v>0</v>
      </c>
      <c r="AB313" s="404"/>
      <c r="AC313" s="398">
        <f>IF(AB313=0,0,IF(LEN(S313)=11,_xlfn.XLOOKUP(S313,'Dispensed Ink Rates'!C:C,'Dispensed Ink Rates'!CS:CS),VLOOKUP(S313,'Jan-2026 rates'!$E:$F,2,0)))</f>
        <v>0</v>
      </c>
      <c r="AD313" s="404"/>
      <c r="AE313" s="398">
        <f>IF(AD313=0,0,IF(LEN(T313)=11,_xlfn.XLOOKUP(T313,'Dispensed Ink Rates'!C:C,'Dispensed Ink Rates'!CS:CS),VLOOKUP(T313,'Jan-2026 rates'!$E:$F,2,0)))</f>
        <v>0</v>
      </c>
      <c r="AF313" s="404"/>
      <c r="AG313" s="398">
        <f>IF(AF313=0,0,IF(LEN(U313)=11,_xlfn.XLOOKUP(U313,'Dispensed Ink Rates'!C:C,'Dispensed Ink Rates'!CS:CS),VLOOKUP(U313,'Jan-2026 rates'!$E:$F,2,0)))</f>
        <v>0</v>
      </c>
      <c r="AH313" s="404"/>
      <c r="AI313" s="398">
        <f>IF(AH313=0,0,IF(LEN(V313)=11,_xlfn.XLOOKUP(V313,'Dispensed Ink Rates'!C:C,'Dispensed Ink Rates'!CS:CS),VLOOKUP(V313,'Jan-2026 rates'!$E:$F,2,0)))</f>
        <v>0</v>
      </c>
      <c r="AJ313" s="404"/>
      <c r="AK313" s="398">
        <f>IF(AJ313=0,0,IF(LEN(W313)=11,_xlfn.XLOOKUP(W313,'Dispensed Ink Rates'!C:C,'Dispensed Ink Rates'!CS:CS),VLOOKUP(W313,'Jan-2026 rates'!$E:$F,2,0)))</f>
        <v>0</v>
      </c>
      <c r="AL313" s="404"/>
      <c r="AM313" s="398">
        <f>IF(AL313=0,0,IF(LEN(X313)=11,_xlfn.XLOOKUP(X313,'Dispensed Ink Rates'!C:C,'Dispensed Ink Rates'!CS:CS),VLOOKUP(X313,'Jan-2026 rates'!$E:$F,2,0)))</f>
        <v>0</v>
      </c>
      <c r="AN313" s="404"/>
      <c r="AO313" s="398">
        <f>IF(AN313=0,0,IF(LEN(Y313)=11,_xlfn.XLOOKUP(Y313,'Dispensed Ink Rates'!C:C,'Dispensed Ink Rates'!CS:CS),VLOOKUP(Y313,'Jan-2026 rates'!$E:$F,2,0)))</f>
        <v>0</v>
      </c>
      <c r="AP313" s="409" t="s">
        <v>1881</v>
      </c>
      <c r="AQ313" s="409">
        <v>26</v>
      </c>
      <c r="AR313" s="410">
        <f t="shared" si="212"/>
        <v>0</v>
      </c>
      <c r="AS313" s="411">
        <f t="shared" si="213"/>
        <v>7.7446808510638334</v>
      </c>
      <c r="AT313" s="410">
        <f t="shared" si="214"/>
        <v>0</v>
      </c>
      <c r="AU313" s="405" t="s">
        <v>546</v>
      </c>
      <c r="AV313" s="409" t="s">
        <v>4470</v>
      </c>
      <c r="AW313" s="420" t="str">
        <f t="shared" si="236"/>
        <v>ToyoLi - REFLEX BLUE</v>
      </c>
      <c r="AX313" s="409">
        <v>20</v>
      </c>
      <c r="AY313" s="411">
        <f>IF(AX313=0,0,IF($LB313=70%,VLOOKUP($AW313,'Jan-2026 rates'!$L:$R,4,0),IF($LB313=65%,VLOOKUP($AW313,'Jan-2026 rates'!$L:$R,4,0),IF($LB313=40%,VLOOKUP($AW313,'Jan-2026 rates'!$L:$R,5,0),IF($LB313=30%,VLOOKUP($AW313,'Jan-2026 rates'!$L:$R,6,0),IF($LB313=100%,VLOOKUP($AW313,'Jan-2026 rates'!$L:$R,7,0),IF($LB313=60%,VLOOKUP($AW313,'Jan-2026 rates'!$L:$S,8,0),IF($LB313=80%,VLOOKUP($AW313,'Jan-2026 rates'!L:T,9,0),0))))))))</f>
        <v>0</v>
      </c>
      <c r="AZ313" s="412"/>
      <c r="BA313" s="409"/>
      <c r="BB313" s="411">
        <f>IF(BA313=0,0,IF($LB313=70%,VLOOKUP($AW313,'Jan-2026 rates'!$L:$R,4,0),IF($LB313=65%,VLOOKUP($AW313,'Jan-2026 rates'!$L:$R,4,0),IF($LB313=40%,VLOOKUP($AW313,'Jan-2026 rates'!$L:$R,5,0),IF($LB313=30%,VLOOKUP($AW313,'Jan-2026 rates'!$L:$R,6,0),IF($LB313=100%,VLOOKUP($AW313,'Jan-2026 rates'!$L:$R,7,0),IF($LB313=60%,VLOOKUP($AW313,'Jan-2026 rates'!$L:$S,8,0),IF($LB313=80%,VLOOKUP($AW313,'Jan-2026 rates'!L:T,9,0),0))))))))</f>
        <v>0</v>
      </c>
      <c r="BC313" s="413" t="s">
        <v>1880</v>
      </c>
      <c r="BD313" s="412" t="s">
        <v>1246</v>
      </c>
      <c r="BE313" s="412"/>
      <c r="BF313" s="413"/>
      <c r="BG313" s="412"/>
      <c r="BH313" s="412"/>
      <c r="BI313" s="412"/>
      <c r="BJ313" s="412"/>
      <c r="BK313" s="409">
        <v>3</v>
      </c>
      <c r="BL313" s="398">
        <f>IF(BK313=0,0,IF(LEN(BC313)=11,_xlfn.XLOOKUP(BC313,'Dispensed Ink Rates'!C:C,'Dispensed Ink Rates'!CS:CS),VLOOKUP(BC313,'Jan-2026 rates'!$E:$F,2,0)))</f>
        <v>0</v>
      </c>
      <c r="BM313" s="409">
        <v>2</v>
      </c>
      <c r="BN313" s="398">
        <f>IF(BM313=0,0,IF(LEN(BD313)=11,_xlfn.XLOOKUP(BD313,'Dispensed Ink Rates'!C:C,'Dispensed Ink Rates'!CS:CS),VLOOKUP(BD313,'Jan-2026 rates'!$E:$F,2,0)))</f>
        <v>0</v>
      </c>
      <c r="BO313" s="409"/>
      <c r="BP313" s="398">
        <f>IF(BO313=0,0,IF(LEN(BE313)=11,_xlfn.XLOOKUP(BE313,'Dispensed Ink Rates'!C:C,'Dispensed Ink Rates'!CS:CS),VLOOKUP(BE313,'Jan-2026 rates'!$E:$F,2,0)))</f>
        <v>0</v>
      </c>
      <c r="BQ313" s="409"/>
      <c r="BR313" s="398">
        <f>IF(BQ313=0,0,IF(LEN(BF313)=11,_xlfn.XLOOKUP(BF313,'Dispensed Ink Rates'!C:C,'Dispensed Ink Rates'!CS:CS),VLOOKUP(BF313,'Jan-2026 rates'!$E:$F,2,0)))</f>
        <v>0</v>
      </c>
      <c r="BS313" s="409"/>
      <c r="BT313" s="398">
        <f>IF(BS313=0,0,IF(LEN(BG313)=11,_xlfn.XLOOKUP(BG313,'Dispensed Ink Rates'!C:C,'Dispensed Ink Rates'!CS:CS),VLOOKUP(BG313,'Jan-2026 rates'!$E:$F,2,0)))</f>
        <v>0</v>
      </c>
      <c r="BU313" s="409"/>
      <c r="BV313" s="398">
        <f>IF(BU313=0,0,IF(LEN(BH313)=11,_xlfn.XLOOKUP(BH313,'Dispensed Ink Rates'!C:C,'Dispensed Ink Rates'!CS:CS),VLOOKUP(BH313,'Jan-2026 rates'!$E:$F,2,0)))</f>
        <v>0</v>
      </c>
      <c r="BW313" s="409"/>
      <c r="BX313" s="398">
        <f>IF(BW313=0,0,IF(LEN(BI313)=11,_xlfn.XLOOKUP(BI313,'Dispensed Ink Rates'!C:C,'Dispensed Ink Rates'!CS:CS),VLOOKUP(BI313,'Jan-2026 rates'!$E:$F,2,0)))</f>
        <v>0</v>
      </c>
      <c r="BY313" s="409"/>
      <c r="BZ313" s="398">
        <f>IF(BY313=0,0,IF(LEN(BJ313)=11,_xlfn.XLOOKUP(BJ313,'Dispensed Ink Rates'!C:C,'Dispensed Ink Rates'!CS:CS),VLOOKUP(BJ313,'Jan-2026 rates'!$E:$F,2,0)))</f>
        <v>0</v>
      </c>
      <c r="CA313" s="409" t="s">
        <v>1881</v>
      </c>
      <c r="CB313" s="409">
        <v>18</v>
      </c>
      <c r="CC313" s="411">
        <f t="shared" si="215"/>
        <v>0</v>
      </c>
      <c r="CD313" s="411">
        <f t="shared" si="216"/>
        <v>10.74468085106383</v>
      </c>
      <c r="CE313" s="410">
        <f t="shared" si="217"/>
        <v>0</v>
      </c>
      <c r="CF313" s="404" t="s">
        <v>547</v>
      </c>
      <c r="CG313" s="409" t="s">
        <v>4503</v>
      </c>
      <c r="CH313" s="420" t="str">
        <f t="shared" si="185"/>
        <v>ToyoLi - GREEN</v>
      </c>
      <c r="CI313" s="409">
        <v>10</v>
      </c>
      <c r="CJ313" s="411">
        <f>IF(CI313=0,0,IF($LB313=70%,VLOOKUP($CH313,'Jan-2026 rates'!$L:$R,4,0),IF($LB313=65%,VLOOKUP($CH313,'Jan-2026 rates'!$L:$R,4,0),IF($LB313=40%,VLOOKUP($CH313,'Jan-2026 rates'!$L:$R,5,0),IF($LB313=30%,VLOOKUP($CH313,'Jan-2026 rates'!$L:$R,6,0),IF($LB313=100%,VLOOKUP($CH313,'Jan-2026 rates'!$L:$R,7,0),IF($LB313=60%,VLOOKUP($CH313,'Jan-2026 rates'!$L:$S,8,0),IF($LB313=80%,VLOOKUP($CH313,'Jan-2026 rates'!L:T,9,0),0))))))))</f>
        <v>0</v>
      </c>
      <c r="CK313" s="412"/>
      <c r="CL313" s="409"/>
      <c r="CM313" s="411">
        <f>IF(CL313=0,0,IF($LB313=70%,VLOOKUP($CH313,'Jan-2026 rates'!$L:$R,4,0),IF($LB313=65%,VLOOKUP($CH313,'Jan-2026 rates'!$L:$R,4,0),IF($LB313=40%,VLOOKUP($CH313,'Jan-2026 rates'!$L:$R,5,0),IF($LB313=30%,VLOOKUP($CH313,'Jan-2026 rates'!$L:$R,6,0),IF($LB313=100%,VLOOKUP($CH313,'Jan-2026 rates'!$L:$R,7,0),IF($LB313=60%,VLOOKUP($CH313,'Jan-2026 rates'!$L:$S,8,0),IF($LB313=80%,VLOOKUP($CH313,'Jan-2026 rates'!L:T,9,0),0))))))))</f>
        <v>0</v>
      </c>
      <c r="CN313" s="426" t="s">
        <v>1247</v>
      </c>
      <c r="CO313" s="427" t="s">
        <v>1250</v>
      </c>
      <c r="CP313" s="426" t="s">
        <v>1252</v>
      </c>
      <c r="CQ313" s="426"/>
      <c r="CR313" s="428"/>
      <c r="CS313" s="428"/>
      <c r="CT313" s="428"/>
      <c r="CU313" s="428"/>
      <c r="CV313" s="409">
        <f>5+3</f>
        <v>8</v>
      </c>
      <c r="CW313" s="398">
        <f>IF(CV313=0,0,IF(LEN(CN313)=11,_xlfn.XLOOKUP(CN313,'Dispensed Ink Rates'!C:C,'Dispensed Ink Rates'!CS:CS),VLOOKUP(CN313,'Jan-2026 rates'!$E:$F,2,0)))</f>
        <v>0</v>
      </c>
      <c r="CX313" s="409">
        <f>8+2</f>
        <v>10</v>
      </c>
      <c r="CY313" s="398">
        <f>IF(CX313=0,0,IF(LEN(CO313)=11,_xlfn.XLOOKUP(CO313,'Dispensed Ink Rates'!C:C,'Dispensed Ink Rates'!CS:CS),VLOOKUP(CO313,'Jan-2026 rates'!$E:$F,2,0)))</f>
        <v>0</v>
      </c>
      <c r="CZ313" s="409">
        <v>3</v>
      </c>
      <c r="DA313" s="398">
        <f>IF(CZ313=0,0,IF(LEN(CP313)=11,_xlfn.XLOOKUP(CP313,'Dispensed Ink Rates'!C:C,'Dispensed Ink Rates'!CS:CS),VLOOKUP(CP313,'Jan-2026 rates'!$E:$F,2,0)))</f>
        <v>0</v>
      </c>
      <c r="DB313" s="409"/>
      <c r="DC313" s="398">
        <f>IF(DB313=0,0,IF(LEN(CQ313)=11,_xlfn.XLOOKUP(CQ313,'Dispensed Ink Rates'!C:C,'Dispensed Ink Rates'!CS:CS),VLOOKUP(CQ313,'Jan-2026 rates'!$E:$F,2,0)))</f>
        <v>0</v>
      </c>
      <c r="DD313" s="409"/>
      <c r="DE313" s="398">
        <f>IF(DD313=0,0,IF(LEN(CR313)=11,_xlfn.XLOOKUP(CR313,'Dispensed Ink Rates'!C:C,'Dispensed Ink Rates'!CS:CS),VLOOKUP(CR313,'Jan-2026 rates'!$E:$F,2,0)))</f>
        <v>0</v>
      </c>
      <c r="DF313" s="409"/>
      <c r="DG313" s="398">
        <f>IF(DF313=0,0,IF(LEN(CS313)=11,_xlfn.XLOOKUP(CS313,'Dispensed Ink Rates'!C:C,'Dispensed Ink Rates'!CS:CS),VLOOKUP(CS313,'Jan-2026 rates'!$E:$F,2,0)))</f>
        <v>0</v>
      </c>
      <c r="DH313" s="409"/>
      <c r="DI313" s="398">
        <f>IF(DH313=0,0,IF(LEN(CT313)=11,_xlfn.XLOOKUP(CT313,'Dispensed Ink Rates'!C:C,'Dispensed Ink Rates'!CS:CS),VLOOKUP(CT313,'Jan-2026 rates'!$E:$F,2,0)))</f>
        <v>0</v>
      </c>
      <c r="DJ313" s="409"/>
      <c r="DK313" s="398">
        <f>IF(DJ313=0,0,IF(LEN(CU313)=11,_xlfn.XLOOKUP(CU313,'Dispensed Ink Rates'!C:C,'Dispensed Ink Rates'!CS:CS),VLOOKUP(CU313,'Jan-2026 rates'!$E:$F,2,0)))</f>
        <v>0</v>
      </c>
      <c r="DL313" s="409" t="s">
        <v>1881</v>
      </c>
      <c r="DM313" s="409">
        <f>16+18</f>
        <v>34</v>
      </c>
      <c r="DN313" s="411">
        <f t="shared" si="218"/>
        <v>0</v>
      </c>
      <c r="DO313" s="411">
        <f t="shared" si="219"/>
        <v>6.3617021276595764</v>
      </c>
      <c r="DP313" s="410">
        <f t="shared" si="220"/>
        <v>0</v>
      </c>
      <c r="DQ313" s="405" t="s">
        <v>547</v>
      </c>
      <c r="DR313" s="409" t="s">
        <v>2777</v>
      </c>
      <c r="DS313" s="420" t="str">
        <f t="shared" si="186"/>
        <v>ToyoLi - GREEN</v>
      </c>
      <c r="DT313" s="409">
        <v>15</v>
      </c>
      <c r="DU313" s="411">
        <f>IF(DT313=0,0,IF($LB313=70%,VLOOKUP($DS313,'Jan-2026 rates'!$L:$R,4,0),IF($LB313=65%,VLOOKUP($DS313,'Jan-2026 rates'!$L:$R,4,0),IF($LB313=40%,VLOOKUP($DS313,'Jan-2026 rates'!$L:$R,5,0),IF($LB313=30%,VLOOKUP($DS313,'Jan-2026 rates'!$L:$R,6,0),IF($LB313=100%,VLOOKUP($DS313,'Jan-2026 rates'!$L:$R,7,0),IF($LB313=60%,VLOOKUP($DS313,'Jan-2026 rates'!$L:$S,8,0),IF($LB313=80%,VLOOKUP($DS313,'Jan-2026 rates'!L:T,9,0),0))))))))</f>
        <v>0</v>
      </c>
      <c r="DV313" s="412"/>
      <c r="DW313" s="409"/>
      <c r="DX313" s="411">
        <f>IF(DW313=0,0,IF($LB313=70%,VLOOKUP($DS313,'Jan-2026 rates'!$L:$R,4,0),IF($LB313=65%,VLOOKUP($DS313,'Jan-2026 rates'!$L:$R,4,0),IF($LB313=40%,VLOOKUP($DS313,'Jan-2026 rates'!$L:$R,5,0),IF($LB313=30%,VLOOKUP($DS313,'Jan-2026 rates'!$L:$R,6,0),IF($LB313=100%,VLOOKUP($DS313,'Jan-2026 rates'!$L:$R,7,0),IF($LB313=60%,VLOOKUP($DS313,'Jan-2026 rates'!$L:$S,8,0),IF($LB313=80%,VLOOKUP($DS313,'Jan-2026 rates'!L:T,9,0),0))))))))</f>
        <v>0</v>
      </c>
      <c r="DY313" s="413" t="s">
        <v>1247</v>
      </c>
      <c r="DZ313" s="413" t="s">
        <v>1250</v>
      </c>
      <c r="EA313" s="412"/>
      <c r="EB313" s="412"/>
      <c r="EC313" s="412"/>
      <c r="ED313" s="412"/>
      <c r="EE313" s="412"/>
      <c r="EF313" s="412"/>
      <c r="EG313" s="409">
        <v>6</v>
      </c>
      <c r="EH313" s="398">
        <f>IF(EG313=0,0,IF(LEN(DY313)=11,_xlfn.XLOOKUP(DY313,'Dispensed Ink Rates'!C:C,'Dispensed Ink Rates'!CS:CS),VLOOKUP(DY313,'Jan-2026 rates'!$E:$F,2,0)))</f>
        <v>0</v>
      </c>
      <c r="EI313" s="409">
        <v>2</v>
      </c>
      <c r="EJ313" s="398">
        <f>IF(EI313=0,0,IF(LEN(DZ313)=11,_xlfn.XLOOKUP(DZ313,'Dispensed Ink Rates'!C:C,'Dispensed Ink Rates'!CS:CS),VLOOKUP(DZ313,'Jan-2026 rates'!$E:$F,2,0)))</f>
        <v>0</v>
      </c>
      <c r="EK313" s="409"/>
      <c r="EL313" s="398">
        <f>IF(EK313=0,0,IF(LEN(EA313)=11,_xlfn.XLOOKUP(EA313,'Dispensed Ink Rates'!C:C,'Dispensed Ink Rates'!CS:CS),VLOOKUP(EA313,'Jan-2026 rates'!$E:$F,2,0)))</f>
        <v>0</v>
      </c>
      <c r="EM313" s="409"/>
      <c r="EN313" s="398">
        <f>IF(EM313=0,0,IF(LEN(EB313)=11,_xlfn.XLOOKUP(EB313,'Dispensed Ink Rates'!C:C,'Dispensed Ink Rates'!CS:CS),VLOOKUP(EB313,'Jan-2026 rates'!$E:$F,2,0)))</f>
        <v>0</v>
      </c>
      <c r="EO313" s="409"/>
      <c r="EP313" s="398">
        <f>IF(EO313=0,0,IF(LEN(EC313)=11,_xlfn.XLOOKUP(EC313,'Dispensed Ink Rates'!C:C,'Dispensed Ink Rates'!CS:CS),VLOOKUP(EC313,'Jan-2026 rates'!$E:$F,2,0)))</f>
        <v>0</v>
      </c>
      <c r="EQ313" s="409"/>
      <c r="ER313" s="398">
        <f>IF(EQ313=0,0,IF(LEN(ED313)=11,_xlfn.XLOOKUP(ED313,'Dispensed Ink Rates'!C:C,'Dispensed Ink Rates'!CS:CS),VLOOKUP(ED313,'Jan-2026 rates'!$E:$F,2,0)))</f>
        <v>0</v>
      </c>
      <c r="ES313" s="409"/>
      <c r="ET313" s="398">
        <f>IF(ES313=0,0,IF(LEN(EE313)=11,_xlfn.XLOOKUP(EE313,'Dispensed Ink Rates'!C:C,'Dispensed Ink Rates'!CS:CS),VLOOKUP(EE313,'Jan-2026 rates'!$E:$F,2,0)))</f>
        <v>0</v>
      </c>
      <c r="EU313" s="409"/>
      <c r="EV313" s="398">
        <f>IF(EU313=0,0,IF(LEN(EF313)=11,_xlfn.XLOOKUP(EF313,'Dispensed Ink Rates'!C:C,'Dispensed Ink Rates'!CS:CS),VLOOKUP(EF313,'Jan-2026 rates'!$E:$F,2,0)))</f>
        <v>0</v>
      </c>
      <c r="EW313" s="409" t="s">
        <v>1881</v>
      </c>
      <c r="EX313" s="409">
        <v>23</v>
      </c>
      <c r="EY313" s="411">
        <f t="shared" si="221"/>
        <v>0</v>
      </c>
      <c r="EZ313" s="411">
        <f t="shared" si="222"/>
        <v>5.617021276595743</v>
      </c>
      <c r="FA313" s="410">
        <f t="shared" si="223"/>
        <v>0</v>
      </c>
      <c r="FB313" s="405" t="s">
        <v>855</v>
      </c>
      <c r="FC313" s="409" t="s">
        <v>4504</v>
      </c>
      <c r="FD313" s="420" t="str">
        <f t="shared" si="187"/>
        <v>ToyoLi - CYAN</v>
      </c>
      <c r="FE313" s="409">
        <v>28</v>
      </c>
      <c r="FF313" s="411">
        <f>IF(FE313=0,0,IF($LB313=70%,VLOOKUP($FD313,'Jan-2026 rates'!$L:$R,4,0),IF($LB313=65%,VLOOKUP($FD313,'Jan-2026 rates'!$L:$R,4,0),IF($LB313=40%,VLOOKUP($FD313,'Jan-2026 rates'!$L:$R,5,0),IF($LB313=30%,VLOOKUP($FD313,'Jan-2026 rates'!$L:$R,6,0),IF($LB313=100%,VLOOKUP($FD313,'Jan-2026 rates'!$L:$R,7,0),IF($LB313=60%,VLOOKUP($FD313,'Jan-2026 rates'!$L:$S,8,0),IF($LB313=80%,VLOOKUP($FD313,'Jan-2026 rates'!L:T,9,0),0))))))))</f>
        <v>0</v>
      </c>
      <c r="FG313" s="412"/>
      <c r="FH313" s="409"/>
      <c r="FI313" s="411">
        <f>IF(FH313=0,0,IF($LB313=70%,VLOOKUP($FD313,'Jan-2026 rates'!$L:$R,4,0),IF($LB313=65%,VLOOKUP($FD313,'Jan-2026 rates'!$L:$R,4,0),IF($LB313=40%,VLOOKUP($FD313,'Jan-2026 rates'!$L:$R,5,0),IF($LB313=30%,VLOOKUP($FD313,'Jan-2026 rates'!$L:$R,6,0),IF($LB313=100%,VLOOKUP($FD313,'Jan-2026 rates'!$L:$R,7,0),IF($LB313=60%,VLOOKUP($FD313,'Jan-2026 rates'!$L:$S,8,0),IF($LB313=80%,VLOOKUP($FD313,'Jan-2026 rates'!L:T,9,0),0))))))))</f>
        <v>0</v>
      </c>
      <c r="FJ313" s="413"/>
      <c r="FK313" s="413"/>
      <c r="FL313" s="413"/>
      <c r="FM313" s="412"/>
      <c r="FN313" s="412"/>
      <c r="FO313" s="412"/>
      <c r="FP313" s="412"/>
      <c r="FQ313" s="412"/>
      <c r="FR313" s="409"/>
      <c r="FS313" s="398">
        <f>IF(FR313=0,0,IF(LEN(FJ313)=11,_xlfn.XLOOKUP(FJ313,'Dispensed Ink Rates'!C:C,'Dispensed Ink Rates'!CS:CS),VLOOKUP(FJ313,'Jan-2026 rates'!$E:$F,2,0)))</f>
        <v>0</v>
      </c>
      <c r="FT313" s="409"/>
      <c r="FU313" s="398">
        <f>IF(FT313=0,0,IF(LEN(FK313)=11,_xlfn.XLOOKUP(FK313,'Dispensed Ink Rates'!C:C,'Dispensed Ink Rates'!CS:CS),VLOOKUP(FK313,'Jan-2026 rates'!$E:$F,2,0)))</f>
        <v>0</v>
      </c>
      <c r="FV313" s="409"/>
      <c r="FW313" s="398">
        <f>IF(FV313=0,0,IF(LEN(FL313)=11,_xlfn.XLOOKUP(FL313,'Dispensed Ink Rates'!C:C,'Dispensed Ink Rates'!CS:CS),VLOOKUP(FL313,'Jan-2026 rates'!$E:$F,2,0)))</f>
        <v>0</v>
      </c>
      <c r="FX313" s="409"/>
      <c r="FY313" s="398">
        <f>IF(FX313=0,0,IF(LEN(FM313)=11,_xlfn.XLOOKUP(FM313,'Dispensed Ink Rates'!C:C,'Dispensed Ink Rates'!CS:CS),VLOOKUP(FM313,'Jan-2026 rates'!$E:$F,2,0)))</f>
        <v>0</v>
      </c>
      <c r="FZ313" s="409"/>
      <c r="GA313" s="398">
        <f>IF(FZ313=0,0,IF(LEN(FN313)=11,_xlfn.XLOOKUP(FN313,'Dispensed Ink Rates'!C:C,'Dispensed Ink Rates'!CS:CS),VLOOKUP(FN313,'Jan-2026 rates'!$E:$F,2,0)))</f>
        <v>0</v>
      </c>
      <c r="GB313" s="409"/>
      <c r="GC313" s="398">
        <f>IF(GB313=0,0,IF(LEN(FO313)=11,_xlfn.XLOOKUP(FO313,'Dispensed Ink Rates'!C:C,'Dispensed Ink Rates'!CS:CS),VLOOKUP(FO313,'Jan-2026 rates'!$E:$F,2,0)))</f>
        <v>0</v>
      </c>
      <c r="GD313" s="409"/>
      <c r="GE313" s="398">
        <f>IF(GD313=0,0,IF(LEN(FP313)=11,_xlfn.XLOOKUP(FP313,'Dispensed Ink Rates'!C:C,'Dispensed Ink Rates'!CS:CS),VLOOKUP(FP313,'Jan-2026 rates'!$E:$F,2,0)))</f>
        <v>0</v>
      </c>
      <c r="GF313" s="409"/>
      <c r="GG313" s="398">
        <f>IF(GF313=0,0,IF(LEN(FQ313)=11,_xlfn.XLOOKUP(FQ313,'Dispensed Ink Rates'!C:C,'Dispensed Ink Rates'!CS:CS),VLOOKUP(FQ313,'Jan-2026 rates'!$E:$F,2,0)))</f>
        <v>0</v>
      </c>
      <c r="GH313" s="409" t="s">
        <v>1881</v>
      </c>
      <c r="GI313" s="409">
        <v>26</v>
      </c>
      <c r="GJ313" s="411">
        <f t="shared" si="224"/>
        <v>0</v>
      </c>
      <c r="GK313" s="411">
        <f t="shared" si="225"/>
        <v>5.7446808510638299</v>
      </c>
      <c r="GL313" s="410">
        <f t="shared" si="226"/>
        <v>0</v>
      </c>
      <c r="GM313" s="405" t="s">
        <v>544</v>
      </c>
      <c r="GN313" s="409"/>
      <c r="GO313" s="420" t="str">
        <f t="shared" si="188"/>
        <v>ToyoLi - MAGENTA</v>
      </c>
      <c r="GP313" s="409"/>
      <c r="GQ313" s="411">
        <f>IF(GP313=0,0,IF($LB313=70%,VLOOKUP($GO313,'Jan-2026 rates'!$L:$R,4,0),IF($LB313=65%,VLOOKUP($GO313,'Jan-2026 rates'!$L:$R,4,0),IF($LB313=40%,VLOOKUP($GO313,'Jan-2026 rates'!$L:$R,5,0),IF($LB313=30%,VLOOKUP($GO313,'Jan-2026 rates'!$L:$R,6,0),IF($LB313=100%,VLOOKUP($GO313,'Jan-2026 rates'!$L:$R,7,0),IF($LB313=60%,VLOOKUP($GO313,'Jan-2026 rates'!$L:$S,8,0),IF($LB313=80%,VLOOKUP($GO313,'Jan-2026 rates'!L:T,9,0),0))))))))</f>
        <v>0</v>
      </c>
      <c r="GR313" s="412"/>
      <c r="GS313" s="409"/>
      <c r="GT313" s="411">
        <f>IF(GS313=0,0,IF($LB313=70%,VLOOKUP($GO313,'Jan-2026 rates'!$L:$R,4,0),IF($LB313=65%,VLOOKUP($GO313,'Jan-2026 rates'!$L:$R,4,0),IF($LB313=40%,VLOOKUP($GO313,'Jan-2026 rates'!$L:$R,5,0),IF($LB313=30%,VLOOKUP($GO313,'Jan-2026 rates'!$L:$R,6,0),IF($LB313=100%,VLOOKUP($GO313,'Jan-2026 rates'!$L:$R,7,0),IF($LB313=60%,VLOOKUP($GO313,'Jan-2026 rates'!$L:$S,8,0),IF($LB313=80%,VLOOKUP($GO313,'Jan-2026 rates'!L:T,9,0),0))))))))</f>
        <v>0</v>
      </c>
      <c r="GU313" s="413" t="s">
        <v>1246</v>
      </c>
      <c r="GV313" s="413"/>
      <c r="GW313" s="412"/>
      <c r="GX313" s="412"/>
      <c r="GY313" s="412"/>
      <c r="GZ313" s="412"/>
      <c r="HA313" s="412"/>
      <c r="HB313" s="412"/>
      <c r="HC313" s="409">
        <v>16</v>
      </c>
      <c r="HD313" s="398">
        <f>IF(HC313=0,0,IF(LEN(GU313)=11,_xlfn.XLOOKUP(GU313,'Dispensed Ink Rates'!C:C,'Dispensed Ink Rates'!CS:CS),VLOOKUP(GU313,'Jan-2026 rates'!$E:$F,2,0)))</f>
        <v>0</v>
      </c>
      <c r="HE313" s="409"/>
      <c r="HF313" s="398">
        <f>IF(HE313=0,0,IF(LEN(GV313)=11,_xlfn.XLOOKUP(GV313,'Dispensed Ink Rates'!C:C,'Dispensed Ink Rates'!CS:CS),VLOOKUP(GV313,'Jan-2026 rates'!$E:$F,2,0)))</f>
        <v>0</v>
      </c>
      <c r="HG313" s="409"/>
      <c r="HH313" s="398">
        <f>IF(HG313=0,0,IF(LEN(GW313)=11,_xlfn.XLOOKUP(GW313,'Dispensed Ink Rates'!C:C,'Dispensed Ink Rates'!CS:CS),VLOOKUP(GW313,'Jan-2026 rates'!$E:$F,2,0)))</f>
        <v>0</v>
      </c>
      <c r="HI313" s="409"/>
      <c r="HJ313" s="398">
        <f>IF(HI313=0,0,IF(LEN(GX313)=11,_xlfn.XLOOKUP(GX313,'Dispensed Ink Rates'!C:C,'Dispensed Ink Rates'!CS:CS),VLOOKUP(GX313,'Jan-2026 rates'!$E:$F,2,0)))</f>
        <v>0</v>
      </c>
      <c r="HK313" s="409"/>
      <c r="HL313" s="398">
        <f>IF(HK313=0,0,IF(LEN(GY313)=11,_xlfn.XLOOKUP(GY313,'Dispensed Ink Rates'!C:C,'Dispensed Ink Rates'!CS:CS),VLOOKUP(GY313,'Jan-2026 rates'!$E:$F,2,0)))</f>
        <v>0</v>
      </c>
      <c r="HM313" s="409"/>
      <c r="HN313" s="398">
        <f>IF(HM313=0,0,IF(LEN(GZ313)=11,_xlfn.XLOOKUP(GZ313,'Dispensed Ink Rates'!C:C,'Dispensed Ink Rates'!CS:CS),VLOOKUP(GZ313,'Jan-2026 rates'!$E:$F,2,0)))</f>
        <v>0</v>
      </c>
      <c r="HO313" s="409"/>
      <c r="HP313" s="398">
        <f>IF(HO313=0,0,IF(LEN(HA313)=11,_xlfn.XLOOKUP(HA313,'Dispensed Ink Rates'!C:C,'Dispensed Ink Rates'!CS:CS),VLOOKUP(HA313,'Jan-2026 rates'!$E:$F,2,0)))</f>
        <v>0</v>
      </c>
      <c r="HQ313" s="409"/>
      <c r="HR313" s="398">
        <f>IF(HQ313=0,0,IF(LEN(HB313)=11,_xlfn.XLOOKUP(HB313,'Dispensed Ink Rates'!C:C,'Dispensed Ink Rates'!CS:CS),VLOOKUP(HB313,'Jan-2026 rates'!$E:$F,2,0)))</f>
        <v>0</v>
      </c>
      <c r="HS313" s="409" t="s">
        <v>1881</v>
      </c>
      <c r="HT313" s="409">
        <v>22</v>
      </c>
      <c r="HU313" s="411">
        <f t="shared" si="227"/>
        <v>0</v>
      </c>
      <c r="HV313" s="411">
        <f t="shared" si="228"/>
        <v>8.9787234042553195</v>
      </c>
      <c r="HW313" s="414">
        <f t="shared" si="229"/>
        <v>0</v>
      </c>
      <c r="HX313" s="405" t="s">
        <v>545</v>
      </c>
      <c r="HY313" s="409"/>
      <c r="HZ313" s="420" t="str">
        <f t="shared" si="189"/>
        <v>ToyoLi - YELLOW</v>
      </c>
      <c r="IA313" s="409"/>
      <c r="IB313" s="411">
        <f>IF(IA313=0,0,IF($LB313=70%,VLOOKUP($HZ313,'Jan-2026 rates'!$L:$R,4,0),IF($LB313=65%,VLOOKUP($HZ313,'Jan-2026 rates'!$L:$R,4,0),IF($LB313=40%,VLOOKUP($HZ313,'Jan-2026 rates'!$L:$R,5,0),IF($LB313=30%,VLOOKUP($HZ313,'Jan-2026 rates'!$L:$R,6,0),IF($LB313=100%,VLOOKUP($HZ313,'Jan-2026 rates'!$L:$R,7,0),IF($LB313=60%,VLOOKUP($HZ313,'Jan-2026 rates'!$L:$S,8,0),IF($LB313=80%,VLOOKUP($HZ313,'Jan-2026 rates'!L:T,9,0),0))))))))</f>
        <v>0</v>
      </c>
      <c r="IC313" s="412"/>
      <c r="ID313" s="409"/>
      <c r="IE313" s="411">
        <f>IF(ID313=0,0,IF($LB313=70%,VLOOKUP($HZ313,'Jan-2026 rates'!$L:$R,4,0),IF($LB313=65%,VLOOKUP($HZ313,'Jan-2026 rates'!$L:$R,4,0),IF($LB313=40%,VLOOKUP($HZ313,'Jan-2026 rates'!$L:$R,5,0),IF($LB313=30%,VLOOKUP($HZ313,'Jan-2026 rates'!$L:$R,6,0),IF($LB313=100%,VLOOKUP($HZ313,'Jan-2026 rates'!$L:$R,7,0),IF($LB313=60%,VLOOKUP($HZ313,'Jan-2026 rates'!$L:$S,8,0),IF($LB313=80%,VLOOKUP($HZ313,'Jan-2026 rates'!L:T,9,0),0))))))))</f>
        <v>0</v>
      </c>
      <c r="IF313" s="412" t="s">
        <v>1247</v>
      </c>
      <c r="IG313" s="413" t="s">
        <v>1122</v>
      </c>
      <c r="IH313" s="412"/>
      <c r="II313" s="412"/>
      <c r="IJ313" s="412"/>
      <c r="IK313" s="412"/>
      <c r="IL313" s="412"/>
      <c r="IM313" s="412"/>
      <c r="IN313" s="409">
        <v>30</v>
      </c>
      <c r="IO313" s="398">
        <f>IF(IN313=0,0,IF(LEN(IF313)=11,_xlfn.XLOOKUP(IF313,'Dispensed Ink Rates'!C:C,'Dispensed Ink Rates'!CS:CS),VLOOKUP(IF313,'Jan-2026 rates'!$E:$F,2,0)))</f>
        <v>0</v>
      </c>
      <c r="IP313" s="409">
        <v>3.93</v>
      </c>
      <c r="IQ313" s="398">
        <f>IF(IP313=0,0,IF(LEN(IG313)=11,_xlfn.XLOOKUP(IG313,'Dispensed Ink Rates'!C:C,'Dispensed Ink Rates'!CS:CS),VLOOKUP(IG313,'Jan-2026 rates'!$E:$F,2,0)))</f>
        <v>0</v>
      </c>
      <c r="IR313" s="409"/>
      <c r="IS313" s="398">
        <f>IF(IR313=0,0,IF(LEN(IH313)=11,_xlfn.XLOOKUP(IH313,'Dispensed Ink Rates'!C:C,'Dispensed Ink Rates'!CS:CS),VLOOKUP(IH313,'Jan-2026 rates'!$E:$F,2,0)))</f>
        <v>0</v>
      </c>
      <c r="IT313" s="409"/>
      <c r="IU313" s="398">
        <f>IF(IT313=0,0,IF(LEN(II313)=11,_xlfn.XLOOKUP(II313,'Dispensed Ink Rates'!C:C,'Dispensed Ink Rates'!CS:CS),VLOOKUP(II313,'Jan-2026 rates'!$E:$F,2,0)))</f>
        <v>0</v>
      </c>
      <c r="IV313" s="409"/>
      <c r="IW313" s="398">
        <f>IF(IV313=0,0,IF(LEN(IJ313)=11,_xlfn.XLOOKUP(IJ313,'Dispensed Ink Rates'!C:C,'Dispensed Ink Rates'!CS:CS),VLOOKUP(IJ313,'Jan-2026 rates'!$E:$F,2,0)))</f>
        <v>0</v>
      </c>
      <c r="IX313" s="409"/>
      <c r="IY313" s="398">
        <f>IF(IX313=0,0,IF(LEN(IK313)=11,_xlfn.XLOOKUP(IK313,'Dispensed Ink Rates'!C:C,'Dispensed Ink Rates'!CS:CS),VLOOKUP(IK313,'Jan-2026 rates'!$E:$F,2,0)))</f>
        <v>0</v>
      </c>
      <c r="IZ313" s="409"/>
      <c r="JA313" s="398">
        <f>IF(IZ313=0,0,IF(LEN(IL313)=11,_xlfn.XLOOKUP(IL313,'Dispensed Ink Rates'!C:C,'Dispensed Ink Rates'!CS:CS),VLOOKUP(IL313,'Jan-2026 rates'!$E:$F,2,0)))</f>
        <v>0</v>
      </c>
      <c r="JB313" s="409"/>
      <c r="JC313" s="398">
        <f>IF(JB313=0,0,IF(LEN(IM313)=11,_xlfn.XLOOKUP(IM313,'Dispensed Ink Rates'!C:C,'Dispensed Ink Rates'!CS:CS),VLOOKUP(IM313,'Jan-2026 rates'!$E:$F,2,0)))</f>
        <v>0</v>
      </c>
      <c r="JD313" s="409" t="s">
        <v>1881</v>
      </c>
      <c r="JE313" s="409">
        <v>30</v>
      </c>
      <c r="JF313" s="411">
        <f t="shared" si="230"/>
        <v>0</v>
      </c>
      <c r="JG313" s="411">
        <f t="shared" si="231"/>
        <v>22.653404255319145</v>
      </c>
      <c r="JH313" s="410">
        <f t="shared" si="232"/>
        <v>0</v>
      </c>
      <c r="JI313" s="405" t="s">
        <v>605</v>
      </c>
      <c r="JJ313" s="409" t="s">
        <v>4505</v>
      </c>
      <c r="JK313" s="420" t="str">
        <f t="shared" si="190"/>
        <v>ToyoLi - MATT</v>
      </c>
      <c r="JL313" s="409">
        <v>30</v>
      </c>
      <c r="JM313" s="411">
        <f>IF(JL313=0,0,IF($LB313=70%,VLOOKUP($JK313,'Jan-2026 rates'!$L:$R,4,0),IF($LB313=65%,VLOOKUP($JK313,'Jan-2026 rates'!$L:$R,4,0),IF($LB313=40%,VLOOKUP($JK313,'Jan-2026 rates'!$L:$R,5,0),IF($LB313=30%,VLOOKUP($JK313,'Jan-2026 rates'!$L:$R,6,0),IF($LB313=100%,VLOOKUP($JK313,'Jan-2026 rates'!$L:$R,7,0),IF($LB313=60%,VLOOKUP($JK313,'Jan-2026 rates'!$L:$S,8,0),IF($LB313=80%,VLOOKUP($JK313,'Jan-2026 rates'!L:T,9,0),0))))))))</f>
        <v>0</v>
      </c>
      <c r="JN313" s="412"/>
      <c r="JO313" s="409"/>
      <c r="JP313" s="411">
        <f>IF(JO313=0,0,IF($LB313=70%,VLOOKUP($JK313,'Jan-2026 rates'!$L:$R,4,0),IF($LB313=65%,VLOOKUP($JK313,'Jan-2026 rates'!$L:$R,4,0),IF($LB313=40%,VLOOKUP($JK313,'Jan-2026 rates'!$L:$R,5,0),IF($LB313=30%,VLOOKUP($JK313,'Jan-2026 rates'!$L:$R,6,0),IF($LB313=100%,VLOOKUP($JK313,'Jan-2026 rates'!$L:$R,7,0),IF($LB313=60%,VLOOKUP($JK313,'Jan-2026 rates'!$L:$S,8,0),IF($LB313=80%,VLOOKUP($JK313,'Jan-2026 rates'!L:T,9,0),0))))))))</f>
        <v>0</v>
      </c>
      <c r="JQ313" s="413">
        <v>55</v>
      </c>
      <c r="JR313" s="412" t="s">
        <v>1902</v>
      </c>
      <c r="JS313" s="413"/>
      <c r="JT313" s="413"/>
      <c r="JU313" s="412"/>
      <c r="JV313" s="412"/>
      <c r="JW313" s="412"/>
      <c r="JX313" s="412"/>
      <c r="JY313" s="409">
        <v>60</v>
      </c>
      <c r="JZ313" s="398">
        <f>IF(JY313=0,0,IF(LEN(JQ313)=11,_xlfn.XLOOKUP(JQ313,'Dispensed Ink Rates'!C:C,'Dispensed Ink Rates'!CS:CS),VLOOKUP(JQ313,'Jan-2026 rates'!$E:$F,2,0)))</f>
        <v>0</v>
      </c>
      <c r="KA313" s="409">
        <v>15</v>
      </c>
      <c r="KB313" s="398">
        <f>IF(KA313=0,0,IF(LEN(JR313)=11,_xlfn.XLOOKUP(JR313,'Dispensed Ink Rates'!C:C,'Dispensed Ink Rates'!CS:CS),VLOOKUP(JR313,'Jan-2026 rates'!$E:$F,2,0)))</f>
        <v>0</v>
      </c>
      <c r="KC313" s="409"/>
      <c r="KD313" s="398">
        <f>IF(KC313=0,0,IF(LEN(JS313)=11,_xlfn.XLOOKUP(JS313,'Dispensed Ink Rates'!C:C,'Dispensed Ink Rates'!CS:CS),VLOOKUP(JS313,'Jan-2026 rates'!$E:$F,2,0)))</f>
        <v>0</v>
      </c>
      <c r="KE313" s="409"/>
      <c r="KF313" s="398">
        <f>IF(KE313=0,0,IF(LEN(JT313)=11,_xlfn.XLOOKUP(JT313,'Dispensed Ink Rates'!C:C,'Dispensed Ink Rates'!CS:CS),VLOOKUP(JT313,'Jan-2026 rates'!$E:$F,2,0)))</f>
        <v>0</v>
      </c>
      <c r="KG313" s="409"/>
      <c r="KH313" s="398">
        <f>IF(KG313=0,0,IF(LEN(JU313)=11,_xlfn.XLOOKUP(JU313,'Dispensed Ink Rates'!C:C,'Dispensed Ink Rates'!CS:CS),VLOOKUP(JU313,'Jan-2026 rates'!$E:$F,2,0)))</f>
        <v>0</v>
      </c>
      <c r="KI313" s="409"/>
      <c r="KJ313" s="398">
        <f>IF(KI313=0,0,IF(LEN(JV313)=11,_xlfn.XLOOKUP(JV313,'Dispensed Ink Rates'!C:C,'Dispensed Ink Rates'!CS:CS),VLOOKUP(JV313,'Jan-2026 rates'!$E:$F,2,0)))</f>
        <v>0</v>
      </c>
      <c r="KK313" s="409"/>
      <c r="KL313" s="398">
        <f>IF(KK313=0,0,IF(LEN(JW313)=11,_xlfn.XLOOKUP(JW313,'Dispensed Ink Rates'!C:C,'Dispensed Ink Rates'!CS:CS),VLOOKUP(JW313,'Jan-2026 rates'!$E:$F,2,0)))</f>
        <v>0</v>
      </c>
      <c r="KM313" s="428"/>
      <c r="KN313" s="398">
        <f>IF(KM313=0,0,IF(LEN(JX313)=11,_xlfn.XLOOKUP(JX313,'Dispensed Ink Rates'!C:C,'Dispensed Ink Rates'!CS:CS),VLOOKUP(JX313,'Jan-2026 rates'!$E:$F,2,0)))</f>
        <v>0</v>
      </c>
      <c r="KO313" s="409" t="s">
        <v>1881</v>
      </c>
      <c r="KP313" s="409">
        <v>30</v>
      </c>
      <c r="KQ313" s="411">
        <f t="shared" si="233"/>
        <v>0</v>
      </c>
      <c r="KR313" s="411">
        <f t="shared" si="234"/>
        <v>103.08510638297872</v>
      </c>
      <c r="KS313" s="410">
        <f t="shared" si="235"/>
        <v>0</v>
      </c>
      <c r="KT313" s="409">
        <v>2</v>
      </c>
      <c r="KU313" s="409">
        <v>2</v>
      </c>
      <c r="KV313" s="409">
        <v>5</v>
      </c>
      <c r="KW313" s="409">
        <v>3</v>
      </c>
      <c r="KX313" s="409">
        <v>2</v>
      </c>
      <c r="KY313" s="409">
        <v>8</v>
      </c>
      <c r="KZ313" s="409">
        <v>10</v>
      </c>
      <c r="LA313" s="409">
        <v>15</v>
      </c>
      <c r="LB313" s="415">
        <v>0.3</v>
      </c>
      <c r="LC313" s="415"/>
      <c r="LD313" s="424"/>
      <c r="LE313" s="415">
        <v>0.5</v>
      </c>
      <c r="LF313" s="415">
        <v>0.2</v>
      </c>
      <c r="LG313" s="409">
        <v>0</v>
      </c>
      <c r="LH313" s="409">
        <f>25+23+12+20+8</f>
        <v>88</v>
      </c>
      <c r="LI313" s="409">
        <v>0</v>
      </c>
      <c r="LJ313" s="409">
        <v>0</v>
      </c>
      <c r="LK313" s="416">
        <f t="shared" si="191"/>
        <v>88</v>
      </c>
      <c r="LL313" s="416">
        <f t="shared" si="237"/>
        <v>88</v>
      </c>
      <c r="LM313" s="417">
        <f t="shared" si="193"/>
        <v>26.4</v>
      </c>
      <c r="LN313" s="417">
        <f>VLOOKUP($LM$8,'Jan-2026 rates'!$H:$I,2,0)</f>
        <v>0</v>
      </c>
      <c r="LO313" s="417">
        <f t="shared" si="194"/>
        <v>0</v>
      </c>
      <c r="LP313" s="417">
        <f>VLOOKUP($LO$8,'Jan-2026 rates'!$H:$I,2,0)</f>
        <v>0</v>
      </c>
      <c r="LQ313" s="417">
        <f t="shared" si="195"/>
        <v>0</v>
      </c>
      <c r="LR313" s="417">
        <f>VLOOKUP($LQ$8,'Jan-2026 rates'!$H:$I,2,0)</f>
        <v>0</v>
      </c>
      <c r="LS313" s="417">
        <f t="shared" si="196"/>
        <v>44</v>
      </c>
      <c r="LT313" s="417">
        <f>VLOOKUP($LS$8,'Jan-2026 rates'!$H:$I,2,0)</f>
        <v>0</v>
      </c>
      <c r="LU313" s="417">
        <f t="shared" si="197"/>
        <v>17.600000000000001</v>
      </c>
      <c r="LV313" s="417">
        <f>VLOOKUP($LU$8,'Jan-2026 rates'!$H:$I,2,0)</f>
        <v>0</v>
      </c>
      <c r="LW313" s="417">
        <f t="shared" si="198"/>
        <v>0</v>
      </c>
      <c r="LX313" s="417">
        <f t="shared" si="199"/>
        <v>0</v>
      </c>
      <c r="LY313" s="418">
        <f t="shared" si="200"/>
        <v>0</v>
      </c>
      <c r="LZ313" s="417"/>
      <c r="MA313" s="435">
        <f t="shared" si="201"/>
        <v>158.93</v>
      </c>
      <c r="MB313" s="282">
        <f t="shared" si="202"/>
        <v>170.93</v>
      </c>
      <c r="MC313" s="283" t="s">
        <v>2052</v>
      </c>
      <c r="MD313" s="284" t="str">
        <f t="shared" si="203"/>
        <v>ToyoLiToyoLiToyoLiToyoLiToyoLiToyoLiToyoLiToyoLi</v>
      </c>
      <c r="ME313" s="293" t="str">
        <f t="shared" si="204"/>
        <v>+</v>
      </c>
      <c r="MF313" s="293" t="str">
        <f t="shared" si="205"/>
        <v>+</v>
      </c>
      <c r="MG313" s="293" t="str">
        <f t="shared" si="206"/>
        <v>+</v>
      </c>
      <c r="MH313" s="293" t="str">
        <f t="shared" si="207"/>
        <v>+</v>
      </c>
      <c r="MI313" s="293" t="str">
        <f t="shared" si="208"/>
        <v>+</v>
      </c>
      <c r="MJ313" s="293" t="str">
        <f t="shared" si="209"/>
        <v>+</v>
      </c>
      <c r="MK313" s="293" t="str">
        <f t="shared" si="210"/>
        <v>+</v>
      </c>
      <c r="ML313" s="293" t="str">
        <f t="shared" si="211"/>
        <v>+</v>
      </c>
      <c r="MM313" s="3" t="b">
        <f t="array" ref="MM313">OR(ME313:ML313="-")</f>
        <v>0</v>
      </c>
      <c r="MO313" s="401">
        <f t="shared" si="238"/>
        <v>97.119318181818187</v>
      </c>
      <c r="MP313" s="286"/>
      <c r="MR313" s="402">
        <f t="shared" si="239"/>
        <v>1.4010655737704918E-2</v>
      </c>
      <c r="MS313" s="400">
        <f t="shared" si="240"/>
        <v>0</v>
      </c>
      <c r="MT313" s="285"/>
      <c r="NH313" s="361"/>
      <c r="NJ313" s="282"/>
    </row>
    <row r="314" spans="1:374" ht="16.5">
      <c r="A314" s="403">
        <v>46044</v>
      </c>
      <c r="B314" s="404" t="s">
        <v>1015</v>
      </c>
      <c r="C314" s="405" t="s">
        <v>4506</v>
      </c>
      <c r="D314" s="404" t="s">
        <v>2053</v>
      </c>
      <c r="E314" s="404">
        <v>329</v>
      </c>
      <c r="F314" s="407">
        <v>17600</v>
      </c>
      <c r="G314" s="407" t="s">
        <v>1016</v>
      </c>
      <c r="H314" s="408" t="s">
        <v>1017</v>
      </c>
      <c r="I314" s="409">
        <f>1.34+1.48</f>
        <v>2.8200000000000003</v>
      </c>
      <c r="J314" s="405" t="s">
        <v>546</v>
      </c>
      <c r="K314" s="404" t="s">
        <v>4507</v>
      </c>
      <c r="L314" s="419" t="str">
        <f t="shared" si="184"/>
        <v>ToyoLi - REFLEX BLUE</v>
      </c>
      <c r="M314" s="404">
        <v>8</v>
      </c>
      <c r="N314" s="410">
        <f>IF(M314=0,0,IF($LB314=70%,VLOOKUP($L314,'Jan-2026 rates'!$L:$R,4,0),IF($LB314=65%,VLOOKUP($L314,'Jan-2026 rates'!$L:$R,4,0),IF($LB314=40%,VLOOKUP($L314,'Jan-2026 rates'!$L:$R,5,0),IF($LB314=30%,VLOOKUP($L314,'Jan-2026 rates'!$L:$R,6,0),IF($LB314=100%,VLOOKUP($L314,'Jan-2026 rates'!$L:$R,7,0),IF($LB314=60%,VLOOKUP($L314,'Jan-2026 rates'!$L:$S,8,0),IF($LB314=80%,VLOOKUP($L314,'Jan-2026 rates'!L:T,9,0),0))))))))</f>
        <v>0</v>
      </c>
      <c r="O314" s="406"/>
      <c r="P314" s="404"/>
      <c r="Q314" s="410">
        <f>IF(P314=0,0,IF($LB314=70%,VLOOKUP($L314,'Jan-2026 rates'!$L:$R,4,0),IF($LB314=65%,VLOOKUP($L314,'Jan-2026 rates'!$L:$R,4,0),IF($LB314=40%,VLOOKUP($L314,'Jan-2026 rates'!$L:$R,5,0),IF($LB314=30%,VLOOKUP($L314,'Jan-2026 rates'!$L:$R,6,0),IF($LB314=100%,VLOOKUP($L314,'Jan-2026 rates'!$L:$R,7,0),IF($LB314=60%,VLOOKUP($L314,'Jan-2026 rates'!$L:$S,8,0),IF($LB314=80%,VLOOKUP($L314,'Jan-2026 rates'!L:T,9,0),0))))))))</f>
        <v>0</v>
      </c>
      <c r="R314" s="406" t="s">
        <v>1246</v>
      </c>
      <c r="S314" s="406" t="s">
        <v>1880</v>
      </c>
      <c r="T314" s="406"/>
      <c r="U314" s="406"/>
      <c r="V314" s="406"/>
      <c r="W314" s="406"/>
      <c r="X314" s="406"/>
      <c r="Y314" s="406"/>
      <c r="Z314" s="404">
        <v>10</v>
      </c>
      <c r="AA314" s="398">
        <f>IF(Z314=0,0,IF(LEN(R314)=11,_xlfn.XLOOKUP(R314,'Dispensed Ink Rates'!C:C,'Dispensed Ink Rates'!CS:CS),VLOOKUP(R314,'Jan-2026 rates'!$E:$F,2,0)))</f>
        <v>0</v>
      </c>
      <c r="AB314" s="404">
        <v>5</v>
      </c>
      <c r="AC314" s="398">
        <f>IF(AB314=0,0,IF(LEN(S314)=11,_xlfn.XLOOKUP(S314,'Dispensed Ink Rates'!C:C,'Dispensed Ink Rates'!CS:CS),VLOOKUP(S314,'Jan-2026 rates'!$E:$F,2,0)))</f>
        <v>0</v>
      </c>
      <c r="AD314" s="404"/>
      <c r="AE314" s="398">
        <f>IF(AD314=0,0,IF(LEN(T314)=11,_xlfn.XLOOKUP(T314,'Dispensed Ink Rates'!C:C,'Dispensed Ink Rates'!CS:CS),VLOOKUP(T314,'Jan-2026 rates'!$E:$F,2,0)))</f>
        <v>0</v>
      </c>
      <c r="AF314" s="404"/>
      <c r="AG314" s="398">
        <f>IF(AF314=0,0,IF(LEN(U314)=11,_xlfn.XLOOKUP(U314,'Dispensed Ink Rates'!C:C,'Dispensed Ink Rates'!CS:CS),VLOOKUP(U314,'Jan-2026 rates'!$E:$F,2,0)))</f>
        <v>0</v>
      </c>
      <c r="AH314" s="404"/>
      <c r="AI314" s="398">
        <f>IF(AH314=0,0,IF(LEN(V314)=11,_xlfn.XLOOKUP(V314,'Dispensed Ink Rates'!C:C,'Dispensed Ink Rates'!CS:CS),VLOOKUP(V314,'Jan-2026 rates'!$E:$F,2,0)))</f>
        <v>0</v>
      </c>
      <c r="AJ314" s="404"/>
      <c r="AK314" s="398">
        <f>IF(AJ314=0,0,IF(LEN(W314)=11,_xlfn.XLOOKUP(W314,'Dispensed Ink Rates'!C:C,'Dispensed Ink Rates'!CS:CS),VLOOKUP(W314,'Jan-2026 rates'!$E:$F,2,0)))</f>
        <v>0</v>
      </c>
      <c r="AL314" s="404"/>
      <c r="AM314" s="398">
        <f>IF(AL314=0,0,IF(LEN(X314)=11,_xlfn.XLOOKUP(X314,'Dispensed Ink Rates'!C:C,'Dispensed Ink Rates'!CS:CS),VLOOKUP(X314,'Jan-2026 rates'!$E:$F,2,0)))</f>
        <v>0</v>
      </c>
      <c r="AN314" s="404"/>
      <c r="AO314" s="398">
        <f>IF(AN314=0,0,IF(LEN(Y314)=11,_xlfn.XLOOKUP(Y314,'Dispensed Ink Rates'!C:C,'Dispensed Ink Rates'!CS:CS),VLOOKUP(Y314,'Jan-2026 rates'!$E:$F,2,0)))</f>
        <v>0</v>
      </c>
      <c r="AP314" s="409" t="s">
        <v>1881</v>
      </c>
      <c r="AQ314" s="409">
        <v>27</v>
      </c>
      <c r="AR314" s="410">
        <f t="shared" si="212"/>
        <v>0</v>
      </c>
      <c r="AS314" s="411">
        <f t="shared" si="213"/>
        <v>20.25</v>
      </c>
      <c r="AT314" s="410">
        <f t="shared" si="214"/>
        <v>0</v>
      </c>
      <c r="AU314" s="405" t="s">
        <v>857</v>
      </c>
      <c r="AV314" s="409" t="s">
        <v>4508</v>
      </c>
      <c r="AW314" s="420" t="str">
        <f t="shared" si="236"/>
        <v>ToyoLi - RED</v>
      </c>
      <c r="AX314" s="409">
        <f>20+19</f>
        <v>39</v>
      </c>
      <c r="AY314" s="411">
        <f>IF(AX314=0,0,IF($LB314=70%,VLOOKUP($AW314,'Jan-2026 rates'!$L:$R,4,0),IF($LB314=65%,VLOOKUP($AW314,'Jan-2026 rates'!$L:$R,4,0),IF($LB314=40%,VLOOKUP($AW314,'Jan-2026 rates'!$L:$R,5,0),IF($LB314=30%,VLOOKUP($AW314,'Jan-2026 rates'!$L:$R,6,0),IF($LB314=100%,VLOOKUP($AW314,'Jan-2026 rates'!$L:$R,7,0),IF($LB314=60%,VLOOKUP($AW314,'Jan-2026 rates'!$L:$S,8,0),IF($LB314=80%,VLOOKUP($AW314,'Jan-2026 rates'!L:T,9,0),0))))))))</f>
        <v>0</v>
      </c>
      <c r="AZ314" s="412"/>
      <c r="BA314" s="409"/>
      <c r="BB314" s="411">
        <f>IF(BA314=0,0,IF($LB314=70%,VLOOKUP($AW314,'Jan-2026 rates'!$L:$R,4,0),IF($LB314=65%,VLOOKUP($AW314,'Jan-2026 rates'!$L:$R,4,0),IF($LB314=40%,VLOOKUP($AW314,'Jan-2026 rates'!$L:$R,5,0),IF($LB314=30%,VLOOKUP($AW314,'Jan-2026 rates'!$L:$R,6,0),IF($LB314=100%,VLOOKUP($AW314,'Jan-2026 rates'!$L:$R,7,0),IF($LB314=60%,VLOOKUP($AW314,'Jan-2026 rates'!$L:$S,8,0),IF($LB314=80%,VLOOKUP($AW314,'Jan-2026 rates'!L:T,9,0),0))))))))</f>
        <v>0</v>
      </c>
      <c r="BC314" s="413" t="s">
        <v>1921</v>
      </c>
      <c r="BD314" s="412" t="s">
        <v>1505</v>
      </c>
      <c r="BE314" s="412" t="s">
        <v>1247</v>
      </c>
      <c r="BF314" s="413"/>
      <c r="BG314" s="412"/>
      <c r="BH314" s="412"/>
      <c r="BI314" s="412"/>
      <c r="BJ314" s="412"/>
      <c r="BK314" s="409">
        <v>40</v>
      </c>
      <c r="BL314" s="398">
        <f>IF(BK314=0,0,IF(LEN(BC314)=11,_xlfn.XLOOKUP(BC314,'Dispensed Ink Rates'!C:C,'Dispensed Ink Rates'!CS:CS),VLOOKUP(BC314,'Jan-2026 rates'!$E:$F,2,0)))</f>
        <v>0</v>
      </c>
      <c r="BM314" s="409">
        <v>0.5</v>
      </c>
      <c r="BN314" s="398">
        <f>IF(BM314=0,0,IF(LEN(BD314)=11,_xlfn.XLOOKUP(BD314,'Dispensed Ink Rates'!C:C,'Dispensed Ink Rates'!CS:CS),VLOOKUP(BD314,'Jan-2026 rates'!$E:$F,2,0)))</f>
        <v>0</v>
      </c>
      <c r="BO314" s="409">
        <v>0.2</v>
      </c>
      <c r="BP314" s="398">
        <f>IF(BO314=0,0,IF(LEN(BE314)=11,_xlfn.XLOOKUP(BE314,'Dispensed Ink Rates'!C:C,'Dispensed Ink Rates'!CS:CS),VLOOKUP(BE314,'Jan-2026 rates'!$E:$F,2,0)))</f>
        <v>0</v>
      </c>
      <c r="BQ314" s="409"/>
      <c r="BR314" s="398">
        <f>IF(BQ314=0,0,IF(LEN(BF314)=11,_xlfn.XLOOKUP(BF314,'Dispensed Ink Rates'!C:C,'Dispensed Ink Rates'!CS:CS),VLOOKUP(BF314,'Jan-2026 rates'!$E:$F,2,0)))</f>
        <v>0</v>
      </c>
      <c r="BS314" s="409"/>
      <c r="BT314" s="398">
        <f>IF(BS314=0,0,IF(LEN(BG314)=11,_xlfn.XLOOKUP(BG314,'Dispensed Ink Rates'!C:C,'Dispensed Ink Rates'!CS:CS),VLOOKUP(BG314,'Jan-2026 rates'!$E:$F,2,0)))</f>
        <v>0</v>
      </c>
      <c r="BU314" s="409"/>
      <c r="BV314" s="398">
        <f>IF(BU314=0,0,IF(LEN(BH314)=11,_xlfn.XLOOKUP(BH314,'Dispensed Ink Rates'!C:C,'Dispensed Ink Rates'!CS:CS),VLOOKUP(BH314,'Jan-2026 rates'!$E:$F,2,0)))</f>
        <v>0</v>
      </c>
      <c r="BW314" s="409"/>
      <c r="BX314" s="398">
        <f>IF(BW314=0,0,IF(LEN(BI314)=11,_xlfn.XLOOKUP(BI314,'Dispensed Ink Rates'!C:C,'Dispensed Ink Rates'!CS:CS),VLOOKUP(BI314,'Jan-2026 rates'!$E:$F,2,0)))</f>
        <v>0</v>
      </c>
      <c r="BY314" s="409"/>
      <c r="BZ314" s="398">
        <f>IF(BY314=0,0,IF(LEN(BJ314)=11,_xlfn.XLOOKUP(BJ314,'Dispensed Ink Rates'!C:C,'Dispensed Ink Rates'!CS:CS),VLOOKUP(BJ314,'Jan-2026 rates'!$E:$F,2,0)))</f>
        <v>0</v>
      </c>
      <c r="CA314" s="409" t="s">
        <v>1881</v>
      </c>
      <c r="CB314" s="409">
        <f>16+15</f>
        <v>31</v>
      </c>
      <c r="CC314" s="411">
        <f t="shared" si="215"/>
        <v>0</v>
      </c>
      <c r="CD314" s="411">
        <f t="shared" si="216"/>
        <v>70.25555555555556</v>
      </c>
      <c r="CE314" s="410">
        <f t="shared" si="217"/>
        <v>0</v>
      </c>
      <c r="CF314" s="404" t="s">
        <v>547</v>
      </c>
      <c r="CG314" s="409" t="s">
        <v>4509</v>
      </c>
      <c r="CH314" s="420" t="str">
        <f t="shared" si="185"/>
        <v>ToyoLi - GREEN</v>
      </c>
      <c r="CI314" s="409">
        <v>23</v>
      </c>
      <c r="CJ314" s="411">
        <f>IF(CI314=0,0,IF($LB314=70%,VLOOKUP($CH314,'Jan-2026 rates'!$L:$R,4,0),IF($LB314=65%,VLOOKUP($CH314,'Jan-2026 rates'!$L:$R,4,0),IF($LB314=40%,VLOOKUP($CH314,'Jan-2026 rates'!$L:$R,5,0),IF($LB314=30%,VLOOKUP($CH314,'Jan-2026 rates'!$L:$R,6,0),IF($LB314=100%,VLOOKUP($CH314,'Jan-2026 rates'!$L:$R,7,0),IF($LB314=60%,VLOOKUP($CH314,'Jan-2026 rates'!$L:$S,8,0),IF($LB314=80%,VLOOKUP($CH314,'Jan-2026 rates'!L:T,9,0),0))))))))</f>
        <v>0</v>
      </c>
      <c r="CK314" s="412"/>
      <c r="CL314" s="409"/>
      <c r="CM314" s="411">
        <f>IF(CL314=0,0,IF($LB314=70%,VLOOKUP($CH314,'Jan-2026 rates'!$L:$R,4,0),IF($LB314=65%,VLOOKUP($CH314,'Jan-2026 rates'!$L:$R,4,0),IF($LB314=40%,VLOOKUP($CH314,'Jan-2026 rates'!$L:$R,5,0),IF($LB314=30%,VLOOKUP($CH314,'Jan-2026 rates'!$L:$R,6,0),IF($LB314=100%,VLOOKUP($CH314,'Jan-2026 rates'!$L:$R,7,0),IF($LB314=60%,VLOOKUP($CH314,'Jan-2026 rates'!$L:$S,8,0),IF($LB314=80%,VLOOKUP($CH314,'Jan-2026 rates'!L:T,9,0),0))))))))</f>
        <v>0</v>
      </c>
      <c r="CN314" s="426"/>
      <c r="CO314" s="427"/>
      <c r="CP314" s="426"/>
      <c r="CQ314" s="426"/>
      <c r="CR314" s="428"/>
      <c r="CS314" s="428"/>
      <c r="CT314" s="428"/>
      <c r="CU314" s="428"/>
      <c r="CV314" s="409"/>
      <c r="CW314" s="398">
        <f>IF(CV314=0,0,IF(LEN(CN314)=11,_xlfn.XLOOKUP(CN314,'Dispensed Ink Rates'!C:C,'Dispensed Ink Rates'!CS:CS),VLOOKUP(CN314,'Jan-2026 rates'!$E:$F,2,0)))</f>
        <v>0</v>
      </c>
      <c r="CX314" s="409"/>
      <c r="CY314" s="398">
        <f>IF(CX314=0,0,IF(LEN(CO314)=11,_xlfn.XLOOKUP(CO314,'Dispensed Ink Rates'!C:C,'Dispensed Ink Rates'!CS:CS),VLOOKUP(CO314,'Jan-2026 rates'!$E:$F,2,0)))</f>
        <v>0</v>
      </c>
      <c r="CZ314" s="409"/>
      <c r="DA314" s="398">
        <f>IF(CZ314=0,0,IF(LEN(CP314)=11,_xlfn.XLOOKUP(CP314,'Dispensed Ink Rates'!C:C,'Dispensed Ink Rates'!CS:CS),VLOOKUP(CP314,'Jan-2026 rates'!$E:$F,2,0)))</f>
        <v>0</v>
      </c>
      <c r="DB314" s="409"/>
      <c r="DC314" s="398">
        <f>IF(DB314=0,0,IF(LEN(CQ314)=11,_xlfn.XLOOKUP(CQ314,'Dispensed Ink Rates'!C:C,'Dispensed Ink Rates'!CS:CS),VLOOKUP(CQ314,'Jan-2026 rates'!$E:$F,2,0)))</f>
        <v>0</v>
      </c>
      <c r="DD314" s="409"/>
      <c r="DE314" s="398">
        <f>IF(DD314=0,0,IF(LEN(CR314)=11,_xlfn.XLOOKUP(CR314,'Dispensed Ink Rates'!C:C,'Dispensed Ink Rates'!CS:CS),VLOOKUP(CR314,'Jan-2026 rates'!$E:$F,2,0)))</f>
        <v>0</v>
      </c>
      <c r="DF314" s="409"/>
      <c r="DG314" s="398">
        <f>IF(DF314=0,0,IF(LEN(CS314)=11,_xlfn.XLOOKUP(CS314,'Dispensed Ink Rates'!C:C,'Dispensed Ink Rates'!CS:CS),VLOOKUP(CS314,'Jan-2026 rates'!$E:$F,2,0)))</f>
        <v>0</v>
      </c>
      <c r="DH314" s="409"/>
      <c r="DI314" s="398">
        <f>IF(DH314=0,0,IF(LEN(CT314)=11,_xlfn.XLOOKUP(CT314,'Dispensed Ink Rates'!C:C,'Dispensed Ink Rates'!CS:CS),VLOOKUP(CT314,'Jan-2026 rates'!$E:$F,2,0)))</f>
        <v>0</v>
      </c>
      <c r="DJ314" s="409"/>
      <c r="DK314" s="398">
        <f>IF(DJ314=0,0,IF(LEN(CU314)=11,_xlfn.XLOOKUP(CU314,'Dispensed Ink Rates'!C:C,'Dispensed Ink Rates'!CS:CS),VLOOKUP(CU314,'Jan-2026 rates'!$E:$F,2,0)))</f>
        <v>0</v>
      </c>
      <c r="DL314" s="409" t="s">
        <v>1881</v>
      </c>
      <c r="DM314" s="409">
        <v>19</v>
      </c>
      <c r="DN314" s="411">
        <f t="shared" si="218"/>
        <v>0</v>
      </c>
      <c r="DO314" s="411">
        <f t="shared" si="219"/>
        <v>9.3888888888888893</v>
      </c>
      <c r="DP314" s="410">
        <f t="shared" si="220"/>
        <v>0</v>
      </c>
      <c r="DQ314" s="405" t="s">
        <v>855</v>
      </c>
      <c r="DR314" s="409" t="s">
        <v>4510</v>
      </c>
      <c r="DS314" s="420" t="str">
        <f t="shared" si="186"/>
        <v>ToyoLi - CYAN</v>
      </c>
      <c r="DT314" s="409">
        <v>26</v>
      </c>
      <c r="DU314" s="411">
        <f>IF(DT314=0,0,IF($LB314=70%,VLOOKUP($DS314,'Jan-2026 rates'!$L:$R,4,0),IF($LB314=65%,VLOOKUP($DS314,'Jan-2026 rates'!$L:$R,4,0),IF($LB314=40%,VLOOKUP($DS314,'Jan-2026 rates'!$L:$R,5,0),IF($LB314=30%,VLOOKUP($DS314,'Jan-2026 rates'!$L:$R,6,0),IF($LB314=100%,VLOOKUP($DS314,'Jan-2026 rates'!$L:$R,7,0),IF($LB314=60%,VLOOKUP($DS314,'Jan-2026 rates'!$L:$S,8,0),IF($LB314=80%,VLOOKUP($DS314,'Jan-2026 rates'!L:T,9,0),0))))))))</f>
        <v>0</v>
      </c>
      <c r="DV314" s="412"/>
      <c r="DW314" s="409"/>
      <c r="DX314" s="411">
        <f>IF(DW314=0,0,IF($LB314=70%,VLOOKUP($DS314,'Jan-2026 rates'!$L:$R,4,0),IF($LB314=65%,VLOOKUP($DS314,'Jan-2026 rates'!$L:$R,4,0),IF($LB314=40%,VLOOKUP($DS314,'Jan-2026 rates'!$L:$R,5,0),IF($LB314=30%,VLOOKUP($DS314,'Jan-2026 rates'!$L:$R,6,0),IF($LB314=100%,VLOOKUP($DS314,'Jan-2026 rates'!$L:$R,7,0),IF($LB314=60%,VLOOKUP($DS314,'Jan-2026 rates'!$L:$S,8,0),IF($LB314=80%,VLOOKUP($DS314,'Jan-2026 rates'!L:T,9,0),0))))))))</f>
        <v>0</v>
      </c>
      <c r="DY314" s="413" t="s">
        <v>1250</v>
      </c>
      <c r="DZ314" s="413"/>
      <c r="EA314" s="412"/>
      <c r="EB314" s="412"/>
      <c r="EC314" s="412"/>
      <c r="ED314" s="412"/>
      <c r="EE314" s="412"/>
      <c r="EF314" s="412"/>
      <c r="EG314" s="409">
        <v>3</v>
      </c>
      <c r="EH314" s="398">
        <f>IF(EG314=0,0,IF(LEN(DY314)=11,_xlfn.XLOOKUP(DY314,'Dispensed Ink Rates'!C:C,'Dispensed Ink Rates'!CS:CS),VLOOKUP(DY314,'Jan-2026 rates'!$E:$F,2,0)))</f>
        <v>0</v>
      </c>
      <c r="EI314" s="409"/>
      <c r="EJ314" s="398">
        <f>IF(EI314=0,0,IF(LEN(DZ314)=11,_xlfn.XLOOKUP(DZ314,'Dispensed Ink Rates'!C:C,'Dispensed Ink Rates'!CS:CS),VLOOKUP(DZ314,'Jan-2026 rates'!$E:$F,2,0)))</f>
        <v>0</v>
      </c>
      <c r="EK314" s="409"/>
      <c r="EL314" s="398">
        <f>IF(EK314=0,0,IF(LEN(EA314)=11,_xlfn.XLOOKUP(EA314,'Dispensed Ink Rates'!C:C,'Dispensed Ink Rates'!CS:CS),VLOOKUP(EA314,'Jan-2026 rates'!$E:$F,2,0)))</f>
        <v>0</v>
      </c>
      <c r="EM314" s="409"/>
      <c r="EN314" s="398">
        <f>IF(EM314=0,0,IF(LEN(EB314)=11,_xlfn.XLOOKUP(EB314,'Dispensed Ink Rates'!C:C,'Dispensed Ink Rates'!CS:CS),VLOOKUP(EB314,'Jan-2026 rates'!$E:$F,2,0)))</f>
        <v>0</v>
      </c>
      <c r="EO314" s="409"/>
      <c r="EP314" s="398">
        <f>IF(EO314=0,0,IF(LEN(EC314)=11,_xlfn.XLOOKUP(EC314,'Dispensed Ink Rates'!C:C,'Dispensed Ink Rates'!CS:CS),VLOOKUP(EC314,'Jan-2026 rates'!$E:$F,2,0)))</f>
        <v>0</v>
      </c>
      <c r="EQ314" s="409"/>
      <c r="ER314" s="398">
        <f>IF(EQ314=0,0,IF(LEN(ED314)=11,_xlfn.XLOOKUP(ED314,'Dispensed Ink Rates'!C:C,'Dispensed Ink Rates'!CS:CS),VLOOKUP(ED314,'Jan-2026 rates'!$E:$F,2,0)))</f>
        <v>0</v>
      </c>
      <c r="ES314" s="409"/>
      <c r="ET314" s="398">
        <f>IF(ES314=0,0,IF(LEN(EE314)=11,_xlfn.XLOOKUP(EE314,'Dispensed Ink Rates'!C:C,'Dispensed Ink Rates'!CS:CS),VLOOKUP(EE314,'Jan-2026 rates'!$E:$F,2,0)))</f>
        <v>0</v>
      </c>
      <c r="EU314" s="409"/>
      <c r="EV314" s="398">
        <f>IF(EU314=0,0,IF(LEN(EF314)=11,_xlfn.XLOOKUP(EF314,'Dispensed Ink Rates'!C:C,'Dispensed Ink Rates'!CS:CS),VLOOKUP(EF314,'Jan-2026 rates'!$E:$F,2,0)))</f>
        <v>0</v>
      </c>
      <c r="EW314" s="409" t="s">
        <v>1881</v>
      </c>
      <c r="EX314" s="409">
        <v>26</v>
      </c>
      <c r="EY314" s="411">
        <f t="shared" si="221"/>
        <v>0</v>
      </c>
      <c r="EZ314" s="411">
        <f t="shared" si="222"/>
        <v>8.3888888888888857</v>
      </c>
      <c r="FA314" s="410">
        <f t="shared" si="223"/>
        <v>0</v>
      </c>
      <c r="FB314" s="405" t="s">
        <v>544</v>
      </c>
      <c r="FC314" s="409" t="s">
        <v>4511</v>
      </c>
      <c r="FD314" s="420" t="str">
        <f t="shared" si="187"/>
        <v>ToyoLi - MAGENTA</v>
      </c>
      <c r="FE314" s="409">
        <v>22</v>
      </c>
      <c r="FF314" s="411">
        <f>IF(FE314=0,0,IF($LB314=70%,VLOOKUP($FD314,'Jan-2026 rates'!$L:$R,4,0),IF($LB314=65%,VLOOKUP($FD314,'Jan-2026 rates'!$L:$R,4,0),IF($LB314=40%,VLOOKUP($FD314,'Jan-2026 rates'!$L:$R,5,0),IF($LB314=30%,VLOOKUP($FD314,'Jan-2026 rates'!$L:$R,6,0),IF($LB314=100%,VLOOKUP($FD314,'Jan-2026 rates'!$L:$R,7,0),IF($LB314=60%,VLOOKUP($FD314,'Jan-2026 rates'!$L:$S,8,0),IF($LB314=80%,VLOOKUP($FD314,'Jan-2026 rates'!L:T,9,0),0))))))))</f>
        <v>0</v>
      </c>
      <c r="FG314" s="412"/>
      <c r="FH314" s="409"/>
      <c r="FI314" s="411">
        <f>IF(FH314=0,0,IF($LB314=70%,VLOOKUP($FD314,'Jan-2026 rates'!$L:$R,4,0),IF($LB314=65%,VLOOKUP($FD314,'Jan-2026 rates'!$L:$R,4,0),IF($LB314=40%,VLOOKUP($FD314,'Jan-2026 rates'!$L:$R,5,0),IF($LB314=30%,VLOOKUP($FD314,'Jan-2026 rates'!$L:$R,6,0),IF($LB314=100%,VLOOKUP($FD314,'Jan-2026 rates'!$L:$R,7,0),IF($LB314=60%,VLOOKUP($FD314,'Jan-2026 rates'!$L:$S,8,0),IF($LB314=80%,VLOOKUP($FD314,'Jan-2026 rates'!L:T,9,0),0))))))))</f>
        <v>0</v>
      </c>
      <c r="FJ314" s="413" t="s">
        <v>1246</v>
      </c>
      <c r="FK314" s="413"/>
      <c r="FL314" s="413"/>
      <c r="FM314" s="412"/>
      <c r="FN314" s="412"/>
      <c r="FO314" s="412"/>
      <c r="FP314" s="412"/>
      <c r="FQ314" s="412"/>
      <c r="FR314" s="409">
        <v>4</v>
      </c>
      <c r="FS314" s="398">
        <f>IF(FR314=0,0,IF(LEN(FJ314)=11,_xlfn.XLOOKUP(FJ314,'Dispensed Ink Rates'!C:C,'Dispensed Ink Rates'!CS:CS),VLOOKUP(FJ314,'Jan-2026 rates'!$E:$F,2,0)))</f>
        <v>0</v>
      </c>
      <c r="FT314" s="409"/>
      <c r="FU314" s="398">
        <f>IF(FT314=0,0,IF(LEN(FK314)=11,_xlfn.XLOOKUP(FK314,'Dispensed Ink Rates'!C:C,'Dispensed Ink Rates'!CS:CS),VLOOKUP(FK314,'Jan-2026 rates'!$E:$F,2,0)))</f>
        <v>0</v>
      </c>
      <c r="FV314" s="409"/>
      <c r="FW314" s="398">
        <f>IF(FV314=0,0,IF(LEN(FL314)=11,_xlfn.XLOOKUP(FL314,'Dispensed Ink Rates'!C:C,'Dispensed Ink Rates'!CS:CS),VLOOKUP(FL314,'Jan-2026 rates'!$E:$F,2,0)))</f>
        <v>0</v>
      </c>
      <c r="FX314" s="409"/>
      <c r="FY314" s="398">
        <f>IF(FX314=0,0,IF(LEN(FM314)=11,_xlfn.XLOOKUP(FM314,'Dispensed Ink Rates'!C:C,'Dispensed Ink Rates'!CS:CS),VLOOKUP(FM314,'Jan-2026 rates'!$E:$F,2,0)))</f>
        <v>0</v>
      </c>
      <c r="FZ314" s="409"/>
      <c r="GA314" s="398">
        <f>IF(FZ314=0,0,IF(LEN(FN314)=11,_xlfn.XLOOKUP(FN314,'Dispensed Ink Rates'!C:C,'Dispensed Ink Rates'!CS:CS),VLOOKUP(FN314,'Jan-2026 rates'!$E:$F,2,0)))</f>
        <v>0</v>
      </c>
      <c r="GB314" s="409"/>
      <c r="GC314" s="398">
        <f>IF(GB314=0,0,IF(LEN(FO314)=11,_xlfn.XLOOKUP(FO314,'Dispensed Ink Rates'!C:C,'Dispensed Ink Rates'!CS:CS),VLOOKUP(FO314,'Jan-2026 rates'!$E:$F,2,0)))</f>
        <v>0</v>
      </c>
      <c r="GD314" s="409"/>
      <c r="GE314" s="398">
        <f>IF(GD314=0,0,IF(LEN(FP314)=11,_xlfn.XLOOKUP(FP314,'Dispensed Ink Rates'!C:C,'Dispensed Ink Rates'!CS:CS),VLOOKUP(FP314,'Jan-2026 rates'!$E:$F,2,0)))</f>
        <v>0</v>
      </c>
      <c r="GF314" s="409"/>
      <c r="GG314" s="398">
        <f>IF(GF314=0,0,IF(LEN(FQ314)=11,_xlfn.XLOOKUP(FQ314,'Dispensed Ink Rates'!C:C,'Dispensed Ink Rates'!CS:CS),VLOOKUP(FQ314,'Jan-2026 rates'!$E:$F,2,0)))</f>
        <v>0</v>
      </c>
      <c r="GH314" s="409" t="s">
        <v>1881</v>
      </c>
      <c r="GI314" s="409">
        <v>26</v>
      </c>
      <c r="GJ314" s="411">
        <f t="shared" si="224"/>
        <v>0</v>
      </c>
      <c r="GK314" s="411">
        <f t="shared" si="225"/>
        <v>5.3888888888888893</v>
      </c>
      <c r="GL314" s="410">
        <f t="shared" si="226"/>
        <v>0</v>
      </c>
      <c r="GM314" s="405" t="s">
        <v>545</v>
      </c>
      <c r="GN314" s="409" t="s">
        <v>4512</v>
      </c>
      <c r="GO314" s="420" t="str">
        <f t="shared" si="188"/>
        <v>ToyoLi - YELLOW</v>
      </c>
      <c r="GP314" s="409">
        <v>30</v>
      </c>
      <c r="GQ314" s="411">
        <f>IF(GP314=0,0,IF($LB314=70%,VLOOKUP($GO314,'Jan-2026 rates'!$L:$R,4,0),IF($LB314=65%,VLOOKUP($GO314,'Jan-2026 rates'!$L:$R,4,0),IF($LB314=40%,VLOOKUP($GO314,'Jan-2026 rates'!$L:$R,5,0),IF($LB314=30%,VLOOKUP($GO314,'Jan-2026 rates'!$L:$R,6,0),IF($LB314=100%,VLOOKUP($GO314,'Jan-2026 rates'!$L:$R,7,0),IF($LB314=60%,VLOOKUP($GO314,'Jan-2026 rates'!$L:$S,8,0),IF($LB314=80%,VLOOKUP($GO314,'Jan-2026 rates'!L:T,9,0),0))))))))</f>
        <v>0</v>
      </c>
      <c r="GR314" s="412"/>
      <c r="GS314" s="409"/>
      <c r="GT314" s="411">
        <f>IF(GS314=0,0,IF($LB314=70%,VLOOKUP($GO314,'Jan-2026 rates'!$L:$R,4,0),IF($LB314=65%,VLOOKUP($GO314,'Jan-2026 rates'!$L:$R,4,0),IF($LB314=40%,VLOOKUP($GO314,'Jan-2026 rates'!$L:$R,5,0),IF($LB314=30%,VLOOKUP($GO314,'Jan-2026 rates'!$L:$R,6,0),IF($LB314=100%,VLOOKUP($GO314,'Jan-2026 rates'!$L:$R,7,0),IF($LB314=60%,VLOOKUP($GO314,'Jan-2026 rates'!$L:$S,8,0),IF($LB314=80%,VLOOKUP($GO314,'Jan-2026 rates'!L:T,9,0),0))))))))</f>
        <v>0</v>
      </c>
      <c r="GU314" s="413" t="s">
        <v>1921</v>
      </c>
      <c r="GV314" s="413"/>
      <c r="GW314" s="412"/>
      <c r="GX314" s="412"/>
      <c r="GY314" s="412"/>
      <c r="GZ314" s="412"/>
      <c r="HA314" s="412"/>
      <c r="HB314" s="412"/>
      <c r="HC314" s="409">
        <v>5</v>
      </c>
      <c r="HD314" s="398">
        <f>IF(HC314=0,0,IF(LEN(GU314)=11,_xlfn.XLOOKUP(GU314,'Dispensed Ink Rates'!C:C,'Dispensed Ink Rates'!CS:CS),VLOOKUP(GU314,'Jan-2026 rates'!$E:$F,2,0)))</f>
        <v>0</v>
      </c>
      <c r="HE314" s="409"/>
      <c r="HF314" s="398">
        <f>IF(HE314=0,0,IF(LEN(GV314)=11,_xlfn.XLOOKUP(GV314,'Dispensed Ink Rates'!C:C,'Dispensed Ink Rates'!CS:CS),VLOOKUP(GV314,'Jan-2026 rates'!$E:$F,2,0)))</f>
        <v>0</v>
      </c>
      <c r="HG314" s="409"/>
      <c r="HH314" s="398">
        <f>IF(HG314=0,0,IF(LEN(GW314)=11,_xlfn.XLOOKUP(GW314,'Dispensed Ink Rates'!C:C,'Dispensed Ink Rates'!CS:CS),VLOOKUP(GW314,'Jan-2026 rates'!$E:$F,2,0)))</f>
        <v>0</v>
      </c>
      <c r="HI314" s="409"/>
      <c r="HJ314" s="398">
        <f>IF(HI314=0,0,IF(LEN(GX314)=11,_xlfn.XLOOKUP(GX314,'Dispensed Ink Rates'!C:C,'Dispensed Ink Rates'!CS:CS),VLOOKUP(GX314,'Jan-2026 rates'!$E:$F,2,0)))</f>
        <v>0</v>
      </c>
      <c r="HK314" s="409"/>
      <c r="HL314" s="398">
        <f>IF(HK314=0,0,IF(LEN(GY314)=11,_xlfn.XLOOKUP(GY314,'Dispensed Ink Rates'!C:C,'Dispensed Ink Rates'!CS:CS),VLOOKUP(GY314,'Jan-2026 rates'!$E:$F,2,0)))</f>
        <v>0</v>
      </c>
      <c r="HM314" s="409"/>
      <c r="HN314" s="398">
        <f>IF(HM314=0,0,IF(LEN(GZ314)=11,_xlfn.XLOOKUP(GZ314,'Dispensed Ink Rates'!C:C,'Dispensed Ink Rates'!CS:CS),VLOOKUP(GZ314,'Jan-2026 rates'!$E:$F,2,0)))</f>
        <v>0</v>
      </c>
      <c r="HO314" s="409"/>
      <c r="HP314" s="398">
        <f>IF(HO314=0,0,IF(LEN(HA314)=11,_xlfn.XLOOKUP(HA314,'Dispensed Ink Rates'!C:C,'Dispensed Ink Rates'!CS:CS),VLOOKUP(HA314,'Jan-2026 rates'!$E:$F,2,0)))</f>
        <v>0</v>
      </c>
      <c r="HQ314" s="409"/>
      <c r="HR314" s="398">
        <f>IF(HQ314=0,0,IF(LEN(HB314)=11,_xlfn.XLOOKUP(HB314,'Dispensed Ink Rates'!C:C,'Dispensed Ink Rates'!CS:CS),VLOOKUP(HB314,'Jan-2026 rates'!$E:$F,2,0)))</f>
        <v>0</v>
      </c>
      <c r="HS314" s="409" t="s">
        <v>1881</v>
      </c>
      <c r="HT314" s="409">
        <v>30</v>
      </c>
      <c r="HU314" s="411">
        <f t="shared" si="227"/>
        <v>0</v>
      </c>
      <c r="HV314" s="411">
        <f t="shared" si="228"/>
        <v>15.777777777777779</v>
      </c>
      <c r="HW314" s="414">
        <f t="shared" si="229"/>
        <v>0</v>
      </c>
      <c r="HX314" s="405" t="s">
        <v>856</v>
      </c>
      <c r="HY314" s="409"/>
      <c r="HZ314" s="420" t="str">
        <f t="shared" si="189"/>
        <v>ToyoLi - WHITE</v>
      </c>
      <c r="IA314" s="409"/>
      <c r="IB314" s="411">
        <f>IF(IA314=0,0,IF($LB314=70%,VLOOKUP($HZ314,'Jan-2026 rates'!$L:$R,4,0),IF($LB314=65%,VLOOKUP($HZ314,'Jan-2026 rates'!$L:$R,4,0),IF($LB314=40%,VLOOKUP($HZ314,'Jan-2026 rates'!$L:$R,5,0),IF($LB314=30%,VLOOKUP($HZ314,'Jan-2026 rates'!$L:$R,6,0),IF($LB314=100%,VLOOKUP($HZ314,'Jan-2026 rates'!$L:$R,7,0),IF($LB314=60%,VLOOKUP($HZ314,'Jan-2026 rates'!$L:$S,8,0),IF($LB314=80%,VLOOKUP($HZ314,'Jan-2026 rates'!L:T,9,0),0))))))))</f>
        <v>0</v>
      </c>
      <c r="IC314" s="412"/>
      <c r="ID314" s="409"/>
      <c r="IE314" s="411">
        <f>IF(ID314=0,0,IF($LB314=70%,VLOOKUP($HZ314,'Jan-2026 rates'!$L:$R,4,0),IF($LB314=65%,VLOOKUP($HZ314,'Jan-2026 rates'!$L:$R,4,0),IF($LB314=40%,VLOOKUP($HZ314,'Jan-2026 rates'!$L:$R,5,0),IF($LB314=30%,VLOOKUP($HZ314,'Jan-2026 rates'!$L:$R,6,0),IF($LB314=100%,VLOOKUP($HZ314,'Jan-2026 rates'!$L:$R,7,0),IF($LB314=60%,VLOOKUP($HZ314,'Jan-2026 rates'!$L:$S,8,0),IF($LB314=80%,VLOOKUP($HZ314,'Jan-2026 rates'!L:T,9,0),0))))))))</f>
        <v>0</v>
      </c>
      <c r="IF314" s="412" t="s">
        <v>1249</v>
      </c>
      <c r="IG314" s="413" t="s">
        <v>1122</v>
      </c>
      <c r="IH314" s="412"/>
      <c r="II314" s="412"/>
      <c r="IJ314" s="412"/>
      <c r="IK314" s="412"/>
      <c r="IL314" s="412"/>
      <c r="IM314" s="412"/>
      <c r="IN314" s="409">
        <v>60</v>
      </c>
      <c r="IO314" s="398">
        <f>IF(IN314=0,0,IF(LEN(IF314)=11,_xlfn.XLOOKUP(IF314,'Dispensed Ink Rates'!C:C,'Dispensed Ink Rates'!CS:CS),VLOOKUP(IF314,'Jan-2026 rates'!$E:$F,2,0)))</f>
        <v>0</v>
      </c>
      <c r="IP314" s="409">
        <v>6.06</v>
      </c>
      <c r="IQ314" s="398">
        <f>IF(IP314=0,0,IF(LEN(IG314)=11,_xlfn.XLOOKUP(IG314,'Dispensed Ink Rates'!C:C,'Dispensed Ink Rates'!CS:CS),VLOOKUP(IG314,'Jan-2026 rates'!$E:$F,2,0)))</f>
        <v>0</v>
      </c>
      <c r="IR314" s="409"/>
      <c r="IS314" s="398">
        <f>IF(IR314=0,0,IF(LEN(IH314)=11,_xlfn.XLOOKUP(IH314,'Dispensed Ink Rates'!C:C,'Dispensed Ink Rates'!CS:CS),VLOOKUP(IH314,'Jan-2026 rates'!$E:$F,2,0)))</f>
        <v>0</v>
      </c>
      <c r="IT314" s="409"/>
      <c r="IU314" s="398">
        <f>IF(IT314=0,0,IF(LEN(II314)=11,_xlfn.XLOOKUP(II314,'Dispensed Ink Rates'!C:C,'Dispensed Ink Rates'!CS:CS),VLOOKUP(II314,'Jan-2026 rates'!$E:$F,2,0)))</f>
        <v>0</v>
      </c>
      <c r="IV314" s="409"/>
      <c r="IW314" s="398">
        <f>IF(IV314=0,0,IF(LEN(IJ314)=11,_xlfn.XLOOKUP(IJ314,'Dispensed Ink Rates'!C:C,'Dispensed Ink Rates'!CS:CS),VLOOKUP(IJ314,'Jan-2026 rates'!$E:$F,2,0)))</f>
        <v>0</v>
      </c>
      <c r="IX314" s="409"/>
      <c r="IY314" s="398">
        <f>IF(IX314=0,0,IF(LEN(IK314)=11,_xlfn.XLOOKUP(IK314,'Dispensed Ink Rates'!C:C,'Dispensed Ink Rates'!CS:CS),VLOOKUP(IK314,'Jan-2026 rates'!$E:$F,2,0)))</f>
        <v>0</v>
      </c>
      <c r="IZ314" s="409"/>
      <c r="JA314" s="398">
        <f>IF(IZ314=0,0,IF(LEN(IL314)=11,_xlfn.XLOOKUP(IL314,'Dispensed Ink Rates'!C:C,'Dispensed Ink Rates'!CS:CS),VLOOKUP(IL314,'Jan-2026 rates'!$E:$F,2,0)))</f>
        <v>0</v>
      </c>
      <c r="JB314" s="409"/>
      <c r="JC314" s="398">
        <f>IF(JB314=0,0,IF(LEN(IM314)=11,_xlfn.XLOOKUP(IM314,'Dispensed Ink Rates'!C:C,'Dispensed Ink Rates'!CS:CS),VLOOKUP(IM314,'Jan-2026 rates'!$E:$F,2,0)))</f>
        <v>0</v>
      </c>
      <c r="JD314" s="409" t="s">
        <v>1881</v>
      </c>
      <c r="JE314" s="409">
        <v>25</v>
      </c>
      <c r="JF314" s="411">
        <f t="shared" si="230"/>
        <v>0</v>
      </c>
      <c r="JG314" s="411">
        <f t="shared" si="231"/>
        <v>121.89333333333335</v>
      </c>
      <c r="JH314" s="410">
        <f t="shared" si="232"/>
        <v>0</v>
      </c>
      <c r="JI314" s="405" t="s">
        <v>605</v>
      </c>
      <c r="JJ314" s="409" t="s">
        <v>4511</v>
      </c>
      <c r="JK314" s="420" t="str">
        <f t="shared" si="190"/>
        <v>ToyoLi - MATT</v>
      </c>
      <c r="JL314" s="409">
        <v>30</v>
      </c>
      <c r="JM314" s="411">
        <f>IF(JL314=0,0,IF($LB314=70%,VLOOKUP($JK314,'Jan-2026 rates'!$L:$R,4,0),IF($LB314=65%,VLOOKUP($JK314,'Jan-2026 rates'!$L:$R,4,0),IF($LB314=40%,VLOOKUP($JK314,'Jan-2026 rates'!$L:$R,5,0),IF($LB314=30%,VLOOKUP($JK314,'Jan-2026 rates'!$L:$R,6,0),IF($LB314=100%,VLOOKUP($JK314,'Jan-2026 rates'!$L:$R,7,0),IF($LB314=60%,VLOOKUP($JK314,'Jan-2026 rates'!$L:$S,8,0),IF($LB314=80%,VLOOKUP($JK314,'Jan-2026 rates'!L:T,9,0),0))))))))</f>
        <v>0</v>
      </c>
      <c r="JN314" s="412"/>
      <c r="JO314" s="409"/>
      <c r="JP314" s="411">
        <f>IF(JO314=0,0,IF($LB314=70%,VLOOKUP($JK314,'Jan-2026 rates'!$L:$R,4,0),IF($LB314=65%,VLOOKUP($JK314,'Jan-2026 rates'!$L:$R,4,0),IF($LB314=40%,VLOOKUP($JK314,'Jan-2026 rates'!$L:$R,5,0),IF($LB314=30%,VLOOKUP($JK314,'Jan-2026 rates'!$L:$R,6,0),IF($LB314=100%,VLOOKUP($JK314,'Jan-2026 rates'!$L:$R,7,0),IF($LB314=60%,VLOOKUP($JK314,'Jan-2026 rates'!$L:$S,8,0),IF($LB314=80%,VLOOKUP($JK314,'Jan-2026 rates'!L:T,9,0),0))))))))</f>
        <v>0</v>
      </c>
      <c r="JQ314" s="413">
        <v>55</v>
      </c>
      <c r="JR314" s="412" t="s">
        <v>1902</v>
      </c>
      <c r="JS314" s="413"/>
      <c r="JT314" s="413"/>
      <c r="JU314" s="412"/>
      <c r="JV314" s="412"/>
      <c r="JW314" s="412"/>
      <c r="JX314" s="412"/>
      <c r="JY314" s="409">
        <v>60</v>
      </c>
      <c r="JZ314" s="398">
        <f>IF(JY314=0,0,IF(LEN(JQ314)=11,_xlfn.XLOOKUP(JQ314,'Dispensed Ink Rates'!C:C,'Dispensed Ink Rates'!CS:CS),VLOOKUP(JQ314,'Jan-2026 rates'!$E:$F,2,0)))</f>
        <v>0</v>
      </c>
      <c r="KA314" s="409">
        <v>15</v>
      </c>
      <c r="KB314" s="398">
        <f>IF(KA314=0,0,IF(LEN(JR314)=11,_xlfn.XLOOKUP(JR314,'Dispensed Ink Rates'!C:C,'Dispensed Ink Rates'!CS:CS),VLOOKUP(JR314,'Jan-2026 rates'!$E:$F,2,0)))</f>
        <v>0</v>
      </c>
      <c r="KC314" s="409"/>
      <c r="KD314" s="398">
        <f>IF(KC314=0,0,IF(LEN(JS314)=11,_xlfn.XLOOKUP(JS314,'Dispensed Ink Rates'!C:C,'Dispensed Ink Rates'!CS:CS),VLOOKUP(JS314,'Jan-2026 rates'!$E:$F,2,0)))</f>
        <v>0</v>
      </c>
      <c r="KE314" s="409"/>
      <c r="KF314" s="398">
        <f>IF(KE314=0,0,IF(LEN(JT314)=11,_xlfn.XLOOKUP(JT314,'Dispensed Ink Rates'!C:C,'Dispensed Ink Rates'!CS:CS),VLOOKUP(JT314,'Jan-2026 rates'!$E:$F,2,0)))</f>
        <v>0</v>
      </c>
      <c r="KG314" s="409"/>
      <c r="KH314" s="398">
        <f>IF(KG314=0,0,IF(LEN(JU314)=11,_xlfn.XLOOKUP(JU314,'Dispensed Ink Rates'!C:C,'Dispensed Ink Rates'!CS:CS),VLOOKUP(JU314,'Jan-2026 rates'!$E:$F,2,0)))</f>
        <v>0</v>
      </c>
      <c r="KI314" s="409"/>
      <c r="KJ314" s="398">
        <f>IF(KI314=0,0,IF(LEN(JV314)=11,_xlfn.XLOOKUP(JV314,'Dispensed Ink Rates'!C:C,'Dispensed Ink Rates'!CS:CS),VLOOKUP(JV314,'Jan-2026 rates'!$E:$F,2,0)))</f>
        <v>0</v>
      </c>
      <c r="KK314" s="409"/>
      <c r="KL314" s="398">
        <f>IF(KK314=0,0,IF(LEN(JW314)=11,_xlfn.XLOOKUP(JW314,'Dispensed Ink Rates'!C:C,'Dispensed Ink Rates'!CS:CS),VLOOKUP(JW314,'Jan-2026 rates'!$E:$F,2,0)))</f>
        <v>0</v>
      </c>
      <c r="KM314" s="428"/>
      <c r="KN314" s="398">
        <f>IF(KM314=0,0,IF(LEN(JX314)=11,_xlfn.XLOOKUP(JX314,'Dispensed Ink Rates'!C:C,'Dispensed Ink Rates'!CS:CS),VLOOKUP(JX314,'Jan-2026 rates'!$E:$F,2,0)))</f>
        <v>0</v>
      </c>
      <c r="KO314" s="409" t="s">
        <v>1881</v>
      </c>
      <c r="KP314" s="409">
        <v>30</v>
      </c>
      <c r="KQ314" s="411">
        <f t="shared" si="233"/>
        <v>0</v>
      </c>
      <c r="KR314" s="411">
        <f t="shared" si="234"/>
        <v>115.41666666666669</v>
      </c>
      <c r="KS314" s="410">
        <f t="shared" si="235"/>
        <v>0</v>
      </c>
      <c r="KT314" s="409">
        <f>5+4</f>
        <v>9</v>
      </c>
      <c r="KU314" s="409">
        <v>8</v>
      </c>
      <c r="KV314" s="409">
        <v>2</v>
      </c>
      <c r="KW314" s="409">
        <v>2</v>
      </c>
      <c r="KX314" s="409">
        <v>2</v>
      </c>
      <c r="KY314" s="409">
        <v>4</v>
      </c>
      <c r="KZ314" s="409">
        <v>30</v>
      </c>
      <c r="LA314" s="409">
        <v>15</v>
      </c>
      <c r="LB314" s="415">
        <v>0.3</v>
      </c>
      <c r="LC314" s="415"/>
      <c r="LD314" s="424"/>
      <c r="LE314" s="415">
        <v>0.5</v>
      </c>
      <c r="LF314" s="415">
        <v>0.2</v>
      </c>
      <c r="LG314" s="409">
        <v>0</v>
      </c>
      <c r="LH314" s="409">
        <f>45+40+30+50+5+4+20</f>
        <v>194</v>
      </c>
      <c r="LI314" s="409">
        <v>0</v>
      </c>
      <c r="LJ314" s="409">
        <v>0</v>
      </c>
      <c r="LK314" s="416">
        <f t="shared" si="191"/>
        <v>194</v>
      </c>
      <c r="LL314" s="416">
        <f t="shared" si="237"/>
        <v>194</v>
      </c>
      <c r="LM314" s="417">
        <f t="shared" si="193"/>
        <v>58.199999999999996</v>
      </c>
      <c r="LN314" s="417">
        <f>VLOOKUP($LM$8,'Jan-2026 rates'!$H:$I,2,0)</f>
        <v>0</v>
      </c>
      <c r="LO314" s="417">
        <f t="shared" si="194"/>
        <v>0</v>
      </c>
      <c r="LP314" s="417">
        <f>VLOOKUP($LO$8,'Jan-2026 rates'!$H:$I,2,0)</f>
        <v>0</v>
      </c>
      <c r="LQ314" s="417">
        <f t="shared" si="195"/>
        <v>0</v>
      </c>
      <c r="LR314" s="417">
        <f>VLOOKUP($LQ$8,'Jan-2026 rates'!$H:$I,2,0)</f>
        <v>0</v>
      </c>
      <c r="LS314" s="417">
        <f t="shared" si="196"/>
        <v>97</v>
      </c>
      <c r="LT314" s="417">
        <f>VLOOKUP($LS$8,'Jan-2026 rates'!$H:$I,2,0)</f>
        <v>0</v>
      </c>
      <c r="LU314" s="417">
        <f t="shared" si="197"/>
        <v>38.800000000000004</v>
      </c>
      <c r="LV314" s="417">
        <f>VLOOKUP($LU$8,'Jan-2026 rates'!$H:$I,2,0)</f>
        <v>0</v>
      </c>
      <c r="LW314" s="417">
        <f t="shared" si="198"/>
        <v>0</v>
      </c>
      <c r="LX314" s="417">
        <f t="shared" si="199"/>
        <v>0</v>
      </c>
      <c r="LY314" s="418">
        <f t="shared" si="200"/>
        <v>0</v>
      </c>
      <c r="LZ314" s="417"/>
      <c r="MA314" s="435">
        <f t="shared" si="201"/>
        <v>208.76</v>
      </c>
      <c r="MB314" s="282">
        <f t="shared" si="202"/>
        <v>366.76</v>
      </c>
      <c r="MC314" s="283" t="s">
        <v>2053</v>
      </c>
      <c r="MD314" s="284" t="str">
        <f t="shared" si="203"/>
        <v>ToyoLiToyoLiToyoLiToyoLiToyoLiToyoLiToyoLiToyoLi</v>
      </c>
      <c r="ME314" s="293" t="str">
        <f t="shared" si="204"/>
        <v>+</v>
      </c>
      <c r="MF314" s="293" t="str">
        <f t="shared" si="205"/>
        <v>+</v>
      </c>
      <c r="MG314" s="293" t="str">
        <f t="shared" si="206"/>
        <v>+</v>
      </c>
      <c r="MH314" s="293" t="str">
        <f t="shared" si="207"/>
        <v>+</v>
      </c>
      <c r="MI314" s="293" t="str">
        <f t="shared" si="208"/>
        <v>+</v>
      </c>
      <c r="MJ314" s="293" t="str">
        <f t="shared" si="209"/>
        <v>+</v>
      </c>
      <c r="MK314" s="293" t="str">
        <f t="shared" si="210"/>
        <v>+</v>
      </c>
      <c r="ML314" s="293" t="str">
        <f t="shared" si="211"/>
        <v>+</v>
      </c>
      <c r="MM314" s="3" t="b">
        <f t="array" ref="MM314">OR(ME314:ML314="-")</f>
        <v>0</v>
      </c>
      <c r="MO314" s="401">
        <f t="shared" si="238"/>
        <v>111.4772036474164</v>
      </c>
      <c r="MP314" s="286"/>
      <c r="MR314" s="402">
        <f t="shared" si="239"/>
        <v>2.0838636363636365E-2</v>
      </c>
      <c r="MS314" s="400">
        <f t="shared" si="240"/>
        <v>0</v>
      </c>
      <c r="MT314" s="285"/>
      <c r="NH314" s="361"/>
      <c r="NJ314" s="282"/>
    </row>
    <row r="315" spans="1:374" ht="16.5">
      <c r="A315" s="403">
        <v>46044</v>
      </c>
      <c r="B315" s="404" t="s">
        <v>1018</v>
      </c>
      <c r="C315" s="405" t="s">
        <v>4513</v>
      </c>
      <c r="D315" s="404" t="s">
        <v>2054</v>
      </c>
      <c r="E315" s="404">
        <v>168</v>
      </c>
      <c r="F315" s="407">
        <v>9000</v>
      </c>
      <c r="G315" s="407" t="s">
        <v>1016</v>
      </c>
      <c r="H315" s="408" t="s">
        <v>1017</v>
      </c>
      <c r="I315" s="409">
        <f>1.4+1.1</f>
        <v>2.5</v>
      </c>
      <c r="J315" s="405" t="s">
        <v>546</v>
      </c>
      <c r="K315" s="404" t="s">
        <v>4514</v>
      </c>
      <c r="L315" s="419" t="str">
        <f t="shared" si="184"/>
        <v>ToyoLi - REFLEX BLUE</v>
      </c>
      <c r="M315" s="404">
        <v>27</v>
      </c>
      <c r="N315" s="410">
        <f>IF(M315=0,0,IF($LB315=70%,VLOOKUP($L315,'Jan-2026 rates'!$L:$R,4,0),IF($LB315=65%,VLOOKUP($L315,'Jan-2026 rates'!$L:$R,4,0),IF($LB315=40%,VLOOKUP($L315,'Jan-2026 rates'!$L:$R,5,0),IF($LB315=30%,VLOOKUP($L315,'Jan-2026 rates'!$L:$R,6,0),IF($LB315=100%,VLOOKUP($L315,'Jan-2026 rates'!$L:$R,7,0),IF($LB315=60%,VLOOKUP($L315,'Jan-2026 rates'!$L:$S,8,0),IF($LB315=80%,VLOOKUP($L315,'Jan-2026 rates'!L:T,9,0),0))))))))</f>
        <v>0</v>
      </c>
      <c r="O315" s="406"/>
      <c r="P315" s="404"/>
      <c r="Q315" s="410">
        <f>IF(P315=0,0,IF($LB315=70%,VLOOKUP($L315,'Jan-2026 rates'!$L:$R,4,0),IF($LB315=65%,VLOOKUP($L315,'Jan-2026 rates'!$L:$R,4,0),IF($LB315=40%,VLOOKUP($L315,'Jan-2026 rates'!$L:$R,5,0),IF($LB315=30%,VLOOKUP($L315,'Jan-2026 rates'!$L:$R,6,0),IF($LB315=100%,VLOOKUP($L315,'Jan-2026 rates'!$L:$R,7,0),IF($LB315=60%,VLOOKUP($L315,'Jan-2026 rates'!$L:$S,8,0),IF($LB315=80%,VLOOKUP($L315,'Jan-2026 rates'!L:T,9,0),0))))))))</f>
        <v>0</v>
      </c>
      <c r="R315" s="406" t="s">
        <v>1880</v>
      </c>
      <c r="S315" s="406" t="s">
        <v>1250</v>
      </c>
      <c r="T315" s="406"/>
      <c r="U315" s="406"/>
      <c r="V315" s="406"/>
      <c r="W315" s="406"/>
      <c r="X315" s="406"/>
      <c r="Y315" s="406"/>
      <c r="Z315" s="404">
        <v>2</v>
      </c>
      <c r="AA315" s="398">
        <f>IF(Z315=0,0,IF(LEN(R315)=11,_xlfn.XLOOKUP(R315,'Dispensed Ink Rates'!C:C,'Dispensed Ink Rates'!CS:CS),VLOOKUP(R315,'Jan-2026 rates'!$E:$F,2,0)))</f>
        <v>0</v>
      </c>
      <c r="AB315" s="404">
        <v>2</v>
      </c>
      <c r="AC315" s="398">
        <f>IF(AB315=0,0,IF(LEN(S315)=11,_xlfn.XLOOKUP(S315,'Dispensed Ink Rates'!C:C,'Dispensed Ink Rates'!CS:CS),VLOOKUP(S315,'Jan-2026 rates'!$E:$F,2,0)))</f>
        <v>0</v>
      </c>
      <c r="AD315" s="404"/>
      <c r="AE315" s="398">
        <f>IF(AD315=0,0,IF(LEN(T315)=11,_xlfn.XLOOKUP(T315,'Dispensed Ink Rates'!C:C,'Dispensed Ink Rates'!CS:CS),VLOOKUP(T315,'Jan-2026 rates'!$E:$F,2,0)))</f>
        <v>0</v>
      </c>
      <c r="AF315" s="404"/>
      <c r="AG315" s="398">
        <f>IF(AF315=0,0,IF(LEN(U315)=11,_xlfn.XLOOKUP(U315,'Dispensed Ink Rates'!C:C,'Dispensed Ink Rates'!CS:CS),VLOOKUP(U315,'Jan-2026 rates'!$E:$F,2,0)))</f>
        <v>0</v>
      </c>
      <c r="AH315" s="404"/>
      <c r="AI315" s="398">
        <f>IF(AH315=0,0,IF(LEN(V315)=11,_xlfn.XLOOKUP(V315,'Dispensed Ink Rates'!C:C,'Dispensed Ink Rates'!CS:CS),VLOOKUP(V315,'Jan-2026 rates'!$E:$F,2,0)))</f>
        <v>0</v>
      </c>
      <c r="AJ315" s="404"/>
      <c r="AK315" s="398">
        <f>IF(AJ315=0,0,IF(LEN(W315)=11,_xlfn.XLOOKUP(W315,'Dispensed Ink Rates'!C:C,'Dispensed Ink Rates'!CS:CS),VLOOKUP(W315,'Jan-2026 rates'!$E:$F,2,0)))</f>
        <v>0</v>
      </c>
      <c r="AL315" s="404"/>
      <c r="AM315" s="398">
        <f>IF(AL315=0,0,IF(LEN(X315)=11,_xlfn.XLOOKUP(X315,'Dispensed Ink Rates'!C:C,'Dispensed Ink Rates'!CS:CS),VLOOKUP(X315,'Jan-2026 rates'!$E:$F,2,0)))</f>
        <v>0</v>
      </c>
      <c r="AN315" s="404"/>
      <c r="AO315" s="398">
        <f>IF(AN315=0,0,IF(LEN(Y315)=11,_xlfn.XLOOKUP(Y315,'Dispensed Ink Rates'!C:C,'Dispensed Ink Rates'!CS:CS),VLOOKUP(Y315,'Jan-2026 rates'!$E:$F,2,0)))</f>
        <v>0</v>
      </c>
      <c r="AP315" s="409" t="s">
        <v>1881</v>
      </c>
      <c r="AQ315" s="409">
        <v>25</v>
      </c>
      <c r="AR315" s="410">
        <f t="shared" si="212"/>
        <v>0</v>
      </c>
      <c r="AS315" s="411">
        <f t="shared" si="213"/>
        <v>8.3191489361702153</v>
      </c>
      <c r="AT315" s="410">
        <f t="shared" si="214"/>
        <v>0</v>
      </c>
      <c r="AU315" s="405" t="s">
        <v>544</v>
      </c>
      <c r="AV315" s="409" t="s">
        <v>4515</v>
      </c>
      <c r="AW315" s="420" t="str">
        <f t="shared" si="236"/>
        <v>ToyoLi - MAGENTA</v>
      </c>
      <c r="AX315" s="409">
        <v>26</v>
      </c>
      <c r="AY315" s="411">
        <f>IF(AX315=0,0,IF($LB315=70%,VLOOKUP($AW315,'Jan-2026 rates'!$L:$R,4,0),IF($LB315=65%,VLOOKUP($AW315,'Jan-2026 rates'!$L:$R,4,0),IF($LB315=40%,VLOOKUP($AW315,'Jan-2026 rates'!$L:$R,5,0),IF($LB315=30%,VLOOKUP($AW315,'Jan-2026 rates'!$L:$R,6,0),IF($LB315=100%,VLOOKUP($AW315,'Jan-2026 rates'!$L:$R,7,0),IF($LB315=60%,VLOOKUP($AW315,'Jan-2026 rates'!$L:$S,8,0),IF($LB315=80%,VLOOKUP($AW315,'Jan-2026 rates'!L:T,9,0),0))))))))</f>
        <v>0</v>
      </c>
      <c r="AZ315" s="412"/>
      <c r="BA315" s="409"/>
      <c r="BB315" s="411">
        <f>IF(BA315=0,0,IF($LB315=70%,VLOOKUP($AW315,'Jan-2026 rates'!$L:$R,4,0),IF($LB315=65%,VLOOKUP($AW315,'Jan-2026 rates'!$L:$R,4,0),IF($LB315=40%,VLOOKUP($AW315,'Jan-2026 rates'!$L:$R,5,0),IF($LB315=30%,VLOOKUP($AW315,'Jan-2026 rates'!$L:$R,6,0),IF($LB315=100%,VLOOKUP($AW315,'Jan-2026 rates'!$L:$R,7,0),IF($LB315=60%,VLOOKUP($AW315,'Jan-2026 rates'!$L:$S,8,0),IF($LB315=80%,VLOOKUP($AW315,'Jan-2026 rates'!L:T,9,0),0))))))))</f>
        <v>0</v>
      </c>
      <c r="BC315" s="413" t="s">
        <v>1246</v>
      </c>
      <c r="BD315" s="412"/>
      <c r="BE315" s="412"/>
      <c r="BF315" s="413"/>
      <c r="BG315" s="412"/>
      <c r="BH315" s="412"/>
      <c r="BI315" s="412"/>
      <c r="BJ315" s="412"/>
      <c r="BK315" s="409">
        <v>3</v>
      </c>
      <c r="BL315" s="398">
        <f>IF(BK315=0,0,IF(LEN(BC315)=11,_xlfn.XLOOKUP(BC315,'Dispensed Ink Rates'!C:C,'Dispensed Ink Rates'!CS:CS),VLOOKUP(BC315,'Jan-2026 rates'!$E:$F,2,0)))</f>
        <v>0</v>
      </c>
      <c r="BM315" s="409"/>
      <c r="BN315" s="398">
        <f>IF(BM315=0,0,IF(LEN(BD315)=11,_xlfn.XLOOKUP(BD315,'Dispensed Ink Rates'!C:C,'Dispensed Ink Rates'!CS:CS),VLOOKUP(BD315,'Jan-2026 rates'!$E:$F,2,0)))</f>
        <v>0</v>
      </c>
      <c r="BO315" s="409"/>
      <c r="BP315" s="398">
        <f>IF(BO315=0,0,IF(LEN(BE315)=11,_xlfn.XLOOKUP(BE315,'Dispensed Ink Rates'!C:C,'Dispensed Ink Rates'!CS:CS),VLOOKUP(BE315,'Jan-2026 rates'!$E:$F,2,0)))</f>
        <v>0</v>
      </c>
      <c r="BQ315" s="409"/>
      <c r="BR315" s="398">
        <f>IF(BQ315=0,0,IF(LEN(BF315)=11,_xlfn.XLOOKUP(BF315,'Dispensed Ink Rates'!C:C,'Dispensed Ink Rates'!CS:CS),VLOOKUP(BF315,'Jan-2026 rates'!$E:$F,2,0)))</f>
        <v>0</v>
      </c>
      <c r="BS315" s="409"/>
      <c r="BT315" s="398">
        <f>IF(BS315=0,0,IF(LEN(BG315)=11,_xlfn.XLOOKUP(BG315,'Dispensed Ink Rates'!C:C,'Dispensed Ink Rates'!CS:CS),VLOOKUP(BG315,'Jan-2026 rates'!$E:$F,2,0)))</f>
        <v>0</v>
      </c>
      <c r="BU315" s="409"/>
      <c r="BV315" s="398">
        <f>IF(BU315=0,0,IF(LEN(BH315)=11,_xlfn.XLOOKUP(BH315,'Dispensed Ink Rates'!C:C,'Dispensed Ink Rates'!CS:CS),VLOOKUP(BH315,'Jan-2026 rates'!$E:$F,2,0)))</f>
        <v>0</v>
      </c>
      <c r="BW315" s="409"/>
      <c r="BX315" s="398">
        <f>IF(BW315=0,0,IF(LEN(BI315)=11,_xlfn.XLOOKUP(BI315,'Dispensed Ink Rates'!C:C,'Dispensed Ink Rates'!CS:CS),VLOOKUP(BI315,'Jan-2026 rates'!$E:$F,2,0)))</f>
        <v>0</v>
      </c>
      <c r="BY315" s="409"/>
      <c r="BZ315" s="398">
        <f>IF(BY315=0,0,IF(LEN(BJ315)=11,_xlfn.XLOOKUP(BJ315,'Dispensed Ink Rates'!C:C,'Dispensed Ink Rates'!CS:CS),VLOOKUP(BJ315,'Jan-2026 rates'!$E:$F,2,0)))</f>
        <v>0</v>
      </c>
      <c r="CA315" s="409" t="s">
        <v>1881</v>
      </c>
      <c r="CB315" s="409">
        <v>25</v>
      </c>
      <c r="CC315" s="411">
        <f t="shared" si="215"/>
        <v>0</v>
      </c>
      <c r="CD315" s="411">
        <f t="shared" si="216"/>
        <v>32.98936170212766</v>
      </c>
      <c r="CE315" s="410">
        <f t="shared" si="217"/>
        <v>0</v>
      </c>
      <c r="CF315" s="404" t="s">
        <v>545</v>
      </c>
      <c r="CG315" s="409" t="s">
        <v>4516</v>
      </c>
      <c r="CH315" s="420" t="str">
        <f t="shared" si="185"/>
        <v>ToyoLi - YELLOW</v>
      </c>
      <c r="CI315" s="409">
        <v>30</v>
      </c>
      <c r="CJ315" s="411">
        <f>IF(CI315=0,0,IF($LB315=70%,VLOOKUP($CH315,'Jan-2026 rates'!$L:$R,4,0),IF($LB315=65%,VLOOKUP($CH315,'Jan-2026 rates'!$L:$R,4,0),IF($LB315=40%,VLOOKUP($CH315,'Jan-2026 rates'!$L:$R,5,0),IF($LB315=30%,VLOOKUP($CH315,'Jan-2026 rates'!$L:$R,6,0),IF($LB315=100%,VLOOKUP($CH315,'Jan-2026 rates'!$L:$R,7,0),IF($LB315=60%,VLOOKUP($CH315,'Jan-2026 rates'!$L:$S,8,0),IF($LB315=80%,VLOOKUP($CH315,'Jan-2026 rates'!L:T,9,0),0))))))))</f>
        <v>0</v>
      </c>
      <c r="CK315" s="412"/>
      <c r="CL315" s="409"/>
      <c r="CM315" s="411">
        <f>IF(CL315=0,0,IF($LB315=70%,VLOOKUP($CH315,'Jan-2026 rates'!$L:$R,4,0),IF($LB315=65%,VLOOKUP($CH315,'Jan-2026 rates'!$L:$R,4,0),IF($LB315=40%,VLOOKUP($CH315,'Jan-2026 rates'!$L:$R,5,0),IF($LB315=30%,VLOOKUP($CH315,'Jan-2026 rates'!$L:$R,6,0),IF($LB315=100%,VLOOKUP($CH315,'Jan-2026 rates'!$L:$R,7,0),IF($LB315=60%,VLOOKUP($CH315,'Jan-2026 rates'!$L:$S,8,0),IF($LB315=80%,VLOOKUP($CH315,'Jan-2026 rates'!L:T,9,0),0))))))))</f>
        <v>0</v>
      </c>
      <c r="CN315" s="426" t="s">
        <v>1247</v>
      </c>
      <c r="CO315" s="427"/>
      <c r="CP315" s="426"/>
      <c r="CQ315" s="426"/>
      <c r="CR315" s="428"/>
      <c r="CS315" s="428"/>
      <c r="CT315" s="428"/>
      <c r="CU315" s="428"/>
      <c r="CV315" s="409">
        <v>5</v>
      </c>
      <c r="CW315" s="398">
        <f>IF(CV315=0,0,IF(LEN(CN315)=11,_xlfn.XLOOKUP(CN315,'Dispensed Ink Rates'!C:C,'Dispensed Ink Rates'!CS:CS),VLOOKUP(CN315,'Jan-2026 rates'!$E:$F,2,0)))</f>
        <v>0</v>
      </c>
      <c r="CX315" s="409"/>
      <c r="CY315" s="398">
        <f>IF(CX315=0,0,IF(LEN(CO315)=11,_xlfn.XLOOKUP(CO315,'Dispensed Ink Rates'!C:C,'Dispensed Ink Rates'!CS:CS),VLOOKUP(CO315,'Jan-2026 rates'!$E:$F,2,0)))</f>
        <v>0</v>
      </c>
      <c r="CZ315" s="409"/>
      <c r="DA315" s="398">
        <f>IF(CZ315=0,0,IF(LEN(CP315)=11,_xlfn.XLOOKUP(CP315,'Dispensed Ink Rates'!C:C,'Dispensed Ink Rates'!CS:CS),VLOOKUP(CP315,'Jan-2026 rates'!$E:$F,2,0)))</f>
        <v>0</v>
      </c>
      <c r="DB315" s="409"/>
      <c r="DC315" s="398">
        <f>IF(DB315=0,0,IF(LEN(CQ315)=11,_xlfn.XLOOKUP(CQ315,'Dispensed Ink Rates'!C:C,'Dispensed Ink Rates'!CS:CS),VLOOKUP(CQ315,'Jan-2026 rates'!$E:$F,2,0)))</f>
        <v>0</v>
      </c>
      <c r="DD315" s="409"/>
      <c r="DE315" s="398">
        <f>IF(DD315=0,0,IF(LEN(CR315)=11,_xlfn.XLOOKUP(CR315,'Dispensed Ink Rates'!C:C,'Dispensed Ink Rates'!CS:CS),VLOOKUP(CR315,'Jan-2026 rates'!$E:$F,2,0)))</f>
        <v>0</v>
      </c>
      <c r="DF315" s="409"/>
      <c r="DG315" s="398">
        <f>IF(DF315=0,0,IF(LEN(CS315)=11,_xlfn.XLOOKUP(CS315,'Dispensed Ink Rates'!C:C,'Dispensed Ink Rates'!CS:CS),VLOOKUP(CS315,'Jan-2026 rates'!$E:$F,2,0)))</f>
        <v>0</v>
      </c>
      <c r="DH315" s="409"/>
      <c r="DI315" s="398">
        <f>IF(DH315=0,0,IF(LEN(CT315)=11,_xlfn.XLOOKUP(CT315,'Dispensed Ink Rates'!C:C,'Dispensed Ink Rates'!CS:CS),VLOOKUP(CT315,'Jan-2026 rates'!$E:$F,2,0)))</f>
        <v>0</v>
      </c>
      <c r="DJ315" s="409"/>
      <c r="DK315" s="398">
        <f>IF(DJ315=0,0,IF(LEN(CU315)=11,_xlfn.XLOOKUP(CU315,'Dispensed Ink Rates'!C:C,'Dispensed Ink Rates'!CS:CS),VLOOKUP(CU315,'Jan-2026 rates'!$E:$F,2,0)))</f>
        <v>0</v>
      </c>
      <c r="DL315" s="409" t="s">
        <v>1881</v>
      </c>
      <c r="DM315" s="409">
        <v>22</v>
      </c>
      <c r="DN315" s="411">
        <f t="shared" si="218"/>
        <v>0</v>
      </c>
      <c r="DO315" s="411">
        <f t="shared" si="219"/>
        <v>38.51063829787234</v>
      </c>
      <c r="DP315" s="410">
        <f t="shared" si="220"/>
        <v>0</v>
      </c>
      <c r="DQ315" s="405" t="s">
        <v>856</v>
      </c>
      <c r="DR315" s="409" t="s">
        <v>4517</v>
      </c>
      <c r="DS315" s="420" t="str">
        <f t="shared" si="186"/>
        <v>ToyoLi - WHITE</v>
      </c>
      <c r="DT315" s="409">
        <v>25</v>
      </c>
      <c r="DU315" s="411">
        <f>IF(DT315=0,0,IF($LB315=70%,VLOOKUP($DS315,'Jan-2026 rates'!$L:$R,4,0),IF($LB315=65%,VLOOKUP($DS315,'Jan-2026 rates'!$L:$R,4,0),IF($LB315=40%,VLOOKUP($DS315,'Jan-2026 rates'!$L:$R,5,0),IF($LB315=30%,VLOOKUP($DS315,'Jan-2026 rates'!$L:$R,6,0),IF($LB315=100%,VLOOKUP($DS315,'Jan-2026 rates'!$L:$R,7,0),IF($LB315=60%,VLOOKUP($DS315,'Jan-2026 rates'!$L:$S,8,0),IF($LB315=80%,VLOOKUP($DS315,'Jan-2026 rates'!L:T,9,0),0))))))))</f>
        <v>0</v>
      </c>
      <c r="DV315" s="412"/>
      <c r="DW315" s="409"/>
      <c r="DX315" s="411">
        <f>IF(DW315=0,0,IF($LB315=70%,VLOOKUP($DS315,'Jan-2026 rates'!$L:$R,4,0),IF($LB315=65%,VLOOKUP($DS315,'Jan-2026 rates'!$L:$R,4,0),IF($LB315=40%,VLOOKUP($DS315,'Jan-2026 rates'!$L:$R,5,0),IF($LB315=30%,VLOOKUP($DS315,'Jan-2026 rates'!$L:$R,6,0),IF($LB315=100%,VLOOKUP($DS315,'Jan-2026 rates'!$L:$R,7,0),IF($LB315=60%,VLOOKUP($DS315,'Jan-2026 rates'!$L:$S,8,0),IF($LB315=80%,VLOOKUP($DS315,'Jan-2026 rates'!L:T,9,0),0))))))))</f>
        <v>0</v>
      </c>
      <c r="DY315" s="413" t="s">
        <v>1249</v>
      </c>
      <c r="DZ315" s="413" t="s">
        <v>1122</v>
      </c>
      <c r="EA315" s="412"/>
      <c r="EB315" s="412"/>
      <c r="EC315" s="412"/>
      <c r="ED315" s="412"/>
      <c r="EE315" s="412"/>
      <c r="EF315" s="412"/>
      <c r="EG315" s="409">
        <v>60</v>
      </c>
      <c r="EH315" s="398">
        <f>IF(EG315=0,0,IF(LEN(DY315)=11,_xlfn.XLOOKUP(DY315,'Dispensed Ink Rates'!C:C,'Dispensed Ink Rates'!CS:CS),VLOOKUP(DY315,'Jan-2026 rates'!$E:$F,2,0)))</f>
        <v>0</v>
      </c>
      <c r="EI315" s="409">
        <v>3.78</v>
      </c>
      <c r="EJ315" s="398">
        <f>IF(EI315=0,0,IF(LEN(DZ315)=11,_xlfn.XLOOKUP(DZ315,'Dispensed Ink Rates'!C:C,'Dispensed Ink Rates'!CS:CS),VLOOKUP(DZ315,'Jan-2026 rates'!$E:$F,2,0)))</f>
        <v>0</v>
      </c>
      <c r="EK315" s="409"/>
      <c r="EL315" s="398">
        <f>IF(EK315=0,0,IF(LEN(EA315)=11,_xlfn.XLOOKUP(EA315,'Dispensed Ink Rates'!C:C,'Dispensed Ink Rates'!CS:CS),VLOOKUP(EA315,'Jan-2026 rates'!$E:$F,2,0)))</f>
        <v>0</v>
      </c>
      <c r="EM315" s="409"/>
      <c r="EN315" s="398">
        <f>IF(EM315=0,0,IF(LEN(EB315)=11,_xlfn.XLOOKUP(EB315,'Dispensed Ink Rates'!C:C,'Dispensed Ink Rates'!CS:CS),VLOOKUP(EB315,'Jan-2026 rates'!$E:$F,2,0)))</f>
        <v>0</v>
      </c>
      <c r="EO315" s="409"/>
      <c r="EP315" s="398">
        <f>IF(EO315=0,0,IF(LEN(EC315)=11,_xlfn.XLOOKUP(EC315,'Dispensed Ink Rates'!C:C,'Dispensed Ink Rates'!CS:CS),VLOOKUP(EC315,'Jan-2026 rates'!$E:$F,2,0)))</f>
        <v>0</v>
      </c>
      <c r="EQ315" s="409"/>
      <c r="ER315" s="398">
        <f>IF(EQ315=0,0,IF(LEN(ED315)=11,_xlfn.XLOOKUP(ED315,'Dispensed Ink Rates'!C:C,'Dispensed Ink Rates'!CS:CS),VLOOKUP(ED315,'Jan-2026 rates'!$E:$F,2,0)))</f>
        <v>0</v>
      </c>
      <c r="ES315" s="409"/>
      <c r="ET315" s="398">
        <f>IF(ES315=0,0,IF(LEN(EE315)=11,_xlfn.XLOOKUP(EE315,'Dispensed Ink Rates'!C:C,'Dispensed Ink Rates'!CS:CS),VLOOKUP(EE315,'Jan-2026 rates'!$E:$F,2,0)))</f>
        <v>0</v>
      </c>
      <c r="EU315" s="409"/>
      <c r="EV315" s="398">
        <f>IF(EU315=0,0,IF(LEN(EF315)=11,_xlfn.XLOOKUP(EF315,'Dispensed Ink Rates'!C:C,'Dispensed Ink Rates'!CS:CS),VLOOKUP(EF315,'Jan-2026 rates'!$E:$F,2,0)))</f>
        <v>0</v>
      </c>
      <c r="EW315" s="409" t="s">
        <v>1881</v>
      </c>
      <c r="EX315" s="409">
        <v>30</v>
      </c>
      <c r="EY315" s="411">
        <f t="shared" si="221"/>
        <v>0</v>
      </c>
      <c r="EZ315" s="411">
        <f t="shared" si="222"/>
        <v>93.567234042553196</v>
      </c>
      <c r="FA315" s="410">
        <f t="shared" si="223"/>
        <v>0</v>
      </c>
      <c r="FB315" s="405" t="s">
        <v>605</v>
      </c>
      <c r="FC315" s="409" t="s">
        <v>4515</v>
      </c>
      <c r="FD315" s="420" t="str">
        <f t="shared" si="187"/>
        <v>ToyoLi - MATT</v>
      </c>
      <c r="FE315" s="409">
        <v>30</v>
      </c>
      <c r="FF315" s="411">
        <f>IF(FE315=0,0,IF($LB315=70%,VLOOKUP($FD315,'Jan-2026 rates'!$L:$R,4,0),IF($LB315=65%,VLOOKUP($FD315,'Jan-2026 rates'!$L:$R,4,0),IF($LB315=40%,VLOOKUP($FD315,'Jan-2026 rates'!$L:$R,5,0),IF($LB315=30%,VLOOKUP($FD315,'Jan-2026 rates'!$L:$R,6,0),IF($LB315=100%,VLOOKUP($FD315,'Jan-2026 rates'!$L:$R,7,0),IF($LB315=60%,VLOOKUP($FD315,'Jan-2026 rates'!$L:$S,8,0),IF($LB315=80%,VLOOKUP($FD315,'Jan-2026 rates'!L:T,9,0),0))))))))</f>
        <v>0</v>
      </c>
      <c r="FG315" s="412"/>
      <c r="FH315" s="409"/>
      <c r="FI315" s="411">
        <f>IF(FH315=0,0,IF($LB315=70%,VLOOKUP($FD315,'Jan-2026 rates'!$L:$R,4,0),IF($LB315=65%,VLOOKUP($FD315,'Jan-2026 rates'!$L:$R,4,0),IF($LB315=40%,VLOOKUP($FD315,'Jan-2026 rates'!$L:$R,5,0),IF($LB315=30%,VLOOKUP($FD315,'Jan-2026 rates'!$L:$R,6,0),IF($LB315=100%,VLOOKUP($FD315,'Jan-2026 rates'!$L:$R,7,0),IF($LB315=60%,VLOOKUP($FD315,'Jan-2026 rates'!$L:$S,8,0),IF($LB315=80%,VLOOKUP($FD315,'Jan-2026 rates'!L:T,9,0),0))))))))</f>
        <v>0</v>
      </c>
      <c r="FJ315" s="413">
        <v>55</v>
      </c>
      <c r="FK315" s="413" t="s">
        <v>1902</v>
      </c>
      <c r="FL315" s="413"/>
      <c r="FM315" s="412"/>
      <c r="FN315" s="412"/>
      <c r="FO315" s="412"/>
      <c r="FP315" s="412"/>
      <c r="FQ315" s="412"/>
      <c r="FR315" s="409">
        <v>40</v>
      </c>
      <c r="FS315" s="398">
        <f>IF(FR315=0,0,IF(LEN(FJ315)=11,_xlfn.XLOOKUP(FJ315,'Dispensed Ink Rates'!C:C,'Dispensed Ink Rates'!CS:CS),VLOOKUP(FJ315,'Jan-2026 rates'!$E:$F,2,0)))</f>
        <v>0</v>
      </c>
      <c r="FT315" s="409">
        <v>10</v>
      </c>
      <c r="FU315" s="398">
        <f>IF(FT315=0,0,IF(LEN(FK315)=11,_xlfn.XLOOKUP(FK315,'Dispensed Ink Rates'!C:C,'Dispensed Ink Rates'!CS:CS),VLOOKUP(FK315,'Jan-2026 rates'!$E:$F,2,0)))</f>
        <v>0</v>
      </c>
      <c r="FV315" s="409"/>
      <c r="FW315" s="398">
        <f>IF(FV315=0,0,IF(LEN(FL315)=11,_xlfn.XLOOKUP(FL315,'Dispensed Ink Rates'!C:C,'Dispensed Ink Rates'!CS:CS),VLOOKUP(FL315,'Jan-2026 rates'!$E:$F,2,0)))</f>
        <v>0</v>
      </c>
      <c r="FX315" s="409"/>
      <c r="FY315" s="398">
        <f>IF(FX315=0,0,IF(LEN(FM315)=11,_xlfn.XLOOKUP(FM315,'Dispensed Ink Rates'!C:C,'Dispensed Ink Rates'!CS:CS),VLOOKUP(FM315,'Jan-2026 rates'!$E:$F,2,0)))</f>
        <v>0</v>
      </c>
      <c r="FZ315" s="409"/>
      <c r="GA315" s="398">
        <f>IF(FZ315=0,0,IF(LEN(FN315)=11,_xlfn.XLOOKUP(FN315,'Dispensed Ink Rates'!C:C,'Dispensed Ink Rates'!CS:CS),VLOOKUP(FN315,'Jan-2026 rates'!$E:$F,2,0)))</f>
        <v>0</v>
      </c>
      <c r="GB315" s="409"/>
      <c r="GC315" s="398">
        <f>IF(GB315=0,0,IF(LEN(FO315)=11,_xlfn.XLOOKUP(FO315,'Dispensed Ink Rates'!C:C,'Dispensed Ink Rates'!CS:CS),VLOOKUP(FO315,'Jan-2026 rates'!$E:$F,2,0)))</f>
        <v>0</v>
      </c>
      <c r="GD315" s="409"/>
      <c r="GE315" s="398">
        <f>IF(GD315=0,0,IF(LEN(FP315)=11,_xlfn.XLOOKUP(FP315,'Dispensed Ink Rates'!C:C,'Dispensed Ink Rates'!CS:CS),VLOOKUP(FP315,'Jan-2026 rates'!$E:$F,2,0)))</f>
        <v>0</v>
      </c>
      <c r="GF315" s="409"/>
      <c r="GG315" s="398">
        <f>IF(GF315=0,0,IF(LEN(FQ315)=11,_xlfn.XLOOKUP(FQ315,'Dispensed Ink Rates'!C:C,'Dispensed Ink Rates'!CS:CS),VLOOKUP(FQ315,'Jan-2026 rates'!$E:$F,2,0)))</f>
        <v>0</v>
      </c>
      <c r="GH315" s="409" t="s">
        <v>1881</v>
      </c>
      <c r="GI315" s="409">
        <v>20</v>
      </c>
      <c r="GJ315" s="411">
        <f t="shared" si="224"/>
        <v>0</v>
      </c>
      <c r="GK315" s="411">
        <f t="shared" si="225"/>
        <v>77.393617021276597</v>
      </c>
      <c r="GL315" s="410">
        <f t="shared" si="226"/>
        <v>0</v>
      </c>
      <c r="GM315" s="405"/>
      <c r="GN315" s="409"/>
      <c r="GO315" s="420" t="str">
        <f t="shared" si="188"/>
        <v xml:space="preserve"> - </v>
      </c>
      <c r="GP315" s="409"/>
      <c r="GQ315" s="411">
        <f>IF(GP315=0,0,IF($LB315=70%,VLOOKUP($GO315,'Jan-2026 rates'!$L:$R,4,0),IF($LB315=65%,VLOOKUP($GO315,'Jan-2026 rates'!$L:$R,4,0),IF($LB315=40%,VLOOKUP($GO315,'Jan-2026 rates'!$L:$R,5,0),IF($LB315=30%,VLOOKUP($GO315,'Jan-2026 rates'!$L:$R,6,0),IF($LB315=100%,VLOOKUP($GO315,'Jan-2026 rates'!$L:$R,7,0),IF($LB315=60%,VLOOKUP($GO315,'Jan-2026 rates'!$L:$S,8,0),IF($LB315=80%,VLOOKUP($GO315,'Jan-2026 rates'!L:T,9,0),0))))))))</f>
        <v>0</v>
      </c>
      <c r="GR315" s="412"/>
      <c r="GS315" s="409"/>
      <c r="GT315" s="411">
        <f>IF(GS315=0,0,IF($LB315=70%,VLOOKUP($GO315,'Jan-2026 rates'!$L:$R,4,0),IF($LB315=65%,VLOOKUP($GO315,'Jan-2026 rates'!$L:$R,4,0),IF($LB315=40%,VLOOKUP($GO315,'Jan-2026 rates'!$L:$R,5,0),IF($LB315=30%,VLOOKUP($GO315,'Jan-2026 rates'!$L:$R,6,0),IF($LB315=100%,VLOOKUP($GO315,'Jan-2026 rates'!$L:$R,7,0),IF($LB315=60%,VLOOKUP($GO315,'Jan-2026 rates'!$L:$S,8,0),IF($LB315=80%,VLOOKUP($GO315,'Jan-2026 rates'!L:T,9,0),0))))))))</f>
        <v>0</v>
      </c>
      <c r="GU315" s="413"/>
      <c r="GV315" s="413"/>
      <c r="GW315" s="412"/>
      <c r="GX315" s="412"/>
      <c r="GY315" s="412"/>
      <c r="GZ315" s="412"/>
      <c r="HA315" s="412"/>
      <c r="HB315" s="412"/>
      <c r="HC315" s="409"/>
      <c r="HD315" s="398">
        <f>IF(HC315=0,0,IF(LEN(GU315)=11,_xlfn.XLOOKUP(GU315,'Dispensed Ink Rates'!C:C,'Dispensed Ink Rates'!CS:CS),VLOOKUP(GU315,'Jan-2026 rates'!$E:$F,2,0)))</f>
        <v>0</v>
      </c>
      <c r="HE315" s="409"/>
      <c r="HF315" s="398">
        <f>IF(HE315=0,0,IF(LEN(GV315)=11,_xlfn.XLOOKUP(GV315,'Dispensed Ink Rates'!C:C,'Dispensed Ink Rates'!CS:CS),VLOOKUP(GV315,'Jan-2026 rates'!$E:$F,2,0)))</f>
        <v>0</v>
      </c>
      <c r="HG315" s="409"/>
      <c r="HH315" s="398">
        <f>IF(HG315=0,0,IF(LEN(GW315)=11,_xlfn.XLOOKUP(GW315,'Dispensed Ink Rates'!C:C,'Dispensed Ink Rates'!CS:CS),VLOOKUP(GW315,'Jan-2026 rates'!$E:$F,2,0)))</f>
        <v>0</v>
      </c>
      <c r="HI315" s="409"/>
      <c r="HJ315" s="398">
        <f>IF(HI315=0,0,IF(LEN(GX315)=11,_xlfn.XLOOKUP(GX315,'Dispensed Ink Rates'!C:C,'Dispensed Ink Rates'!CS:CS),VLOOKUP(GX315,'Jan-2026 rates'!$E:$F,2,0)))</f>
        <v>0</v>
      </c>
      <c r="HK315" s="409"/>
      <c r="HL315" s="398">
        <f>IF(HK315=0,0,IF(LEN(GY315)=11,_xlfn.XLOOKUP(GY315,'Dispensed Ink Rates'!C:C,'Dispensed Ink Rates'!CS:CS),VLOOKUP(GY315,'Jan-2026 rates'!$E:$F,2,0)))</f>
        <v>0</v>
      </c>
      <c r="HM315" s="409"/>
      <c r="HN315" s="398">
        <f>IF(HM315=0,0,IF(LEN(GZ315)=11,_xlfn.XLOOKUP(GZ315,'Dispensed Ink Rates'!C:C,'Dispensed Ink Rates'!CS:CS),VLOOKUP(GZ315,'Jan-2026 rates'!$E:$F,2,0)))</f>
        <v>0</v>
      </c>
      <c r="HO315" s="409"/>
      <c r="HP315" s="398">
        <f>IF(HO315=0,0,IF(LEN(HA315)=11,_xlfn.XLOOKUP(HA315,'Dispensed Ink Rates'!C:C,'Dispensed Ink Rates'!CS:CS),VLOOKUP(HA315,'Jan-2026 rates'!$E:$F,2,0)))</f>
        <v>0</v>
      </c>
      <c r="HQ315" s="409"/>
      <c r="HR315" s="398">
        <f>IF(HQ315=0,0,IF(LEN(HB315)=11,_xlfn.XLOOKUP(HB315,'Dispensed Ink Rates'!C:C,'Dispensed Ink Rates'!CS:CS),VLOOKUP(HB315,'Jan-2026 rates'!$E:$F,2,0)))</f>
        <v>0</v>
      </c>
      <c r="HS315" s="409"/>
      <c r="HT315" s="409"/>
      <c r="HU315" s="411">
        <f t="shared" si="227"/>
        <v>0</v>
      </c>
      <c r="HV315" s="411">
        <f t="shared" si="228"/>
        <v>0</v>
      </c>
      <c r="HW315" s="414">
        <f t="shared" si="229"/>
        <v>0</v>
      </c>
      <c r="HX315" s="405"/>
      <c r="HY315" s="409"/>
      <c r="HZ315" s="420" t="str">
        <f t="shared" si="189"/>
        <v xml:space="preserve"> - </v>
      </c>
      <c r="IA315" s="409"/>
      <c r="IB315" s="411">
        <f>IF(IA315=0,0,IF($LB315=70%,VLOOKUP($HZ315,'Jan-2026 rates'!$L:$R,4,0),IF($LB315=65%,VLOOKUP($HZ315,'Jan-2026 rates'!$L:$R,4,0),IF($LB315=40%,VLOOKUP($HZ315,'Jan-2026 rates'!$L:$R,5,0),IF($LB315=30%,VLOOKUP($HZ315,'Jan-2026 rates'!$L:$R,6,0),IF($LB315=100%,VLOOKUP($HZ315,'Jan-2026 rates'!$L:$R,7,0),IF($LB315=60%,VLOOKUP($HZ315,'Jan-2026 rates'!$L:$S,8,0),IF($LB315=80%,VLOOKUP($HZ315,'Jan-2026 rates'!L:T,9,0),0))))))))</f>
        <v>0</v>
      </c>
      <c r="IC315" s="412"/>
      <c r="ID315" s="409"/>
      <c r="IE315" s="411">
        <f>IF(ID315=0,0,IF($LB315=70%,VLOOKUP($HZ315,'Jan-2026 rates'!$L:$R,4,0),IF($LB315=65%,VLOOKUP($HZ315,'Jan-2026 rates'!$L:$R,4,0),IF($LB315=40%,VLOOKUP($HZ315,'Jan-2026 rates'!$L:$R,5,0),IF($LB315=30%,VLOOKUP($HZ315,'Jan-2026 rates'!$L:$R,6,0),IF($LB315=100%,VLOOKUP($HZ315,'Jan-2026 rates'!$L:$R,7,0),IF($LB315=60%,VLOOKUP($HZ315,'Jan-2026 rates'!$L:$S,8,0),IF($LB315=80%,VLOOKUP($HZ315,'Jan-2026 rates'!L:T,9,0),0))))))))</f>
        <v>0</v>
      </c>
      <c r="IF315" s="412"/>
      <c r="IG315" s="413"/>
      <c r="IH315" s="412"/>
      <c r="II315" s="412"/>
      <c r="IJ315" s="412"/>
      <c r="IK315" s="412"/>
      <c r="IL315" s="412"/>
      <c r="IM315" s="412"/>
      <c r="IN315" s="409"/>
      <c r="IO315" s="398">
        <f>IF(IN315=0,0,IF(LEN(IF315)=11,_xlfn.XLOOKUP(IF315,'Dispensed Ink Rates'!C:C,'Dispensed Ink Rates'!CS:CS),VLOOKUP(IF315,'Jan-2026 rates'!$E:$F,2,0)))</f>
        <v>0</v>
      </c>
      <c r="IP315" s="409"/>
      <c r="IQ315" s="398">
        <f>IF(IP315=0,0,IF(LEN(IG315)=11,_xlfn.XLOOKUP(IG315,'Dispensed Ink Rates'!C:C,'Dispensed Ink Rates'!CS:CS),VLOOKUP(IG315,'Jan-2026 rates'!$E:$F,2,0)))</f>
        <v>0</v>
      </c>
      <c r="IR315" s="409"/>
      <c r="IS315" s="398">
        <f>IF(IR315=0,0,IF(LEN(IH315)=11,_xlfn.XLOOKUP(IH315,'Dispensed Ink Rates'!C:C,'Dispensed Ink Rates'!CS:CS),VLOOKUP(IH315,'Jan-2026 rates'!$E:$F,2,0)))</f>
        <v>0</v>
      </c>
      <c r="IT315" s="409"/>
      <c r="IU315" s="398">
        <f>IF(IT315=0,0,IF(LEN(II315)=11,_xlfn.XLOOKUP(II315,'Dispensed Ink Rates'!C:C,'Dispensed Ink Rates'!CS:CS),VLOOKUP(II315,'Jan-2026 rates'!$E:$F,2,0)))</f>
        <v>0</v>
      </c>
      <c r="IV315" s="409"/>
      <c r="IW315" s="398">
        <f>IF(IV315=0,0,IF(LEN(IJ315)=11,_xlfn.XLOOKUP(IJ315,'Dispensed Ink Rates'!C:C,'Dispensed Ink Rates'!CS:CS),VLOOKUP(IJ315,'Jan-2026 rates'!$E:$F,2,0)))</f>
        <v>0</v>
      </c>
      <c r="IX315" s="409"/>
      <c r="IY315" s="398">
        <f>IF(IX315=0,0,IF(LEN(IK315)=11,_xlfn.XLOOKUP(IK315,'Dispensed Ink Rates'!C:C,'Dispensed Ink Rates'!CS:CS),VLOOKUP(IK315,'Jan-2026 rates'!$E:$F,2,0)))</f>
        <v>0</v>
      </c>
      <c r="IZ315" s="409"/>
      <c r="JA315" s="398">
        <f>IF(IZ315=0,0,IF(LEN(IL315)=11,_xlfn.XLOOKUP(IL315,'Dispensed Ink Rates'!C:C,'Dispensed Ink Rates'!CS:CS),VLOOKUP(IL315,'Jan-2026 rates'!$E:$F,2,0)))</f>
        <v>0</v>
      </c>
      <c r="JB315" s="409"/>
      <c r="JC315" s="398">
        <f>IF(JB315=0,0,IF(LEN(IM315)=11,_xlfn.XLOOKUP(IM315,'Dispensed Ink Rates'!C:C,'Dispensed Ink Rates'!CS:CS),VLOOKUP(IM315,'Jan-2026 rates'!$E:$F,2,0)))</f>
        <v>0</v>
      </c>
      <c r="JD315" s="409"/>
      <c r="JE315" s="409"/>
      <c r="JF315" s="411">
        <f t="shared" si="230"/>
        <v>0</v>
      </c>
      <c r="JG315" s="411">
        <f t="shared" si="231"/>
        <v>0</v>
      </c>
      <c r="JH315" s="410">
        <f t="shared" si="232"/>
        <v>0</v>
      </c>
      <c r="JI315" s="405"/>
      <c r="JJ315" s="409"/>
      <c r="JK315" s="420" t="str">
        <f t="shared" si="190"/>
        <v xml:space="preserve"> - </v>
      </c>
      <c r="JL315" s="409"/>
      <c r="JM315" s="411">
        <f>IF(JL315=0,0,IF($LB315=70%,VLOOKUP($JK315,'Jan-2026 rates'!$L:$R,4,0),IF($LB315=65%,VLOOKUP($JK315,'Jan-2026 rates'!$L:$R,4,0),IF($LB315=40%,VLOOKUP($JK315,'Jan-2026 rates'!$L:$R,5,0),IF($LB315=30%,VLOOKUP($JK315,'Jan-2026 rates'!$L:$R,6,0),IF($LB315=100%,VLOOKUP($JK315,'Jan-2026 rates'!$L:$R,7,0),IF($LB315=60%,VLOOKUP($JK315,'Jan-2026 rates'!$L:$S,8,0),IF($LB315=80%,VLOOKUP($JK315,'Jan-2026 rates'!L:T,9,0),0))))))))</f>
        <v>0</v>
      </c>
      <c r="JN315" s="412"/>
      <c r="JO315" s="409"/>
      <c r="JP315" s="411">
        <f>IF(JO315=0,0,IF($LB315=70%,VLOOKUP($JK315,'Jan-2026 rates'!$L:$R,4,0),IF($LB315=65%,VLOOKUP($JK315,'Jan-2026 rates'!$L:$R,4,0),IF($LB315=40%,VLOOKUP($JK315,'Jan-2026 rates'!$L:$R,5,0),IF($LB315=30%,VLOOKUP($JK315,'Jan-2026 rates'!$L:$R,6,0),IF($LB315=100%,VLOOKUP($JK315,'Jan-2026 rates'!$L:$R,7,0),IF($LB315=60%,VLOOKUP($JK315,'Jan-2026 rates'!$L:$S,8,0),IF($LB315=80%,VLOOKUP($JK315,'Jan-2026 rates'!L:T,9,0),0))))))))</f>
        <v>0</v>
      </c>
      <c r="JQ315" s="413"/>
      <c r="JR315" s="412"/>
      <c r="JS315" s="413"/>
      <c r="JT315" s="413"/>
      <c r="JU315" s="412"/>
      <c r="JV315" s="412"/>
      <c r="JW315" s="412"/>
      <c r="JX315" s="412"/>
      <c r="JY315" s="409"/>
      <c r="JZ315" s="398">
        <f>IF(JY315=0,0,IF(LEN(JQ315)=11,_xlfn.XLOOKUP(JQ315,'Dispensed Ink Rates'!C:C,'Dispensed Ink Rates'!CS:CS),VLOOKUP(JQ315,'Jan-2026 rates'!$E:$F,2,0)))</f>
        <v>0</v>
      </c>
      <c r="KA315" s="409"/>
      <c r="KB315" s="398">
        <f>IF(KA315=0,0,IF(LEN(JR315)=11,_xlfn.XLOOKUP(JR315,'Dispensed Ink Rates'!C:C,'Dispensed Ink Rates'!CS:CS),VLOOKUP(JR315,'Jan-2026 rates'!$E:$F,2,0)))</f>
        <v>0</v>
      </c>
      <c r="KC315" s="409"/>
      <c r="KD315" s="398">
        <f>IF(KC315=0,0,IF(LEN(JS315)=11,_xlfn.XLOOKUP(JS315,'Dispensed Ink Rates'!C:C,'Dispensed Ink Rates'!CS:CS),VLOOKUP(JS315,'Jan-2026 rates'!$E:$F,2,0)))</f>
        <v>0</v>
      </c>
      <c r="KE315" s="409"/>
      <c r="KF315" s="398">
        <f>IF(KE315=0,0,IF(LEN(JT315)=11,_xlfn.XLOOKUP(JT315,'Dispensed Ink Rates'!C:C,'Dispensed Ink Rates'!CS:CS),VLOOKUP(JT315,'Jan-2026 rates'!$E:$F,2,0)))</f>
        <v>0</v>
      </c>
      <c r="KG315" s="409"/>
      <c r="KH315" s="398">
        <f>IF(KG315=0,0,IF(LEN(JU315)=11,_xlfn.XLOOKUP(JU315,'Dispensed Ink Rates'!C:C,'Dispensed Ink Rates'!CS:CS),VLOOKUP(JU315,'Jan-2026 rates'!$E:$F,2,0)))</f>
        <v>0</v>
      </c>
      <c r="KI315" s="409"/>
      <c r="KJ315" s="398">
        <f>IF(KI315=0,0,IF(LEN(JV315)=11,_xlfn.XLOOKUP(JV315,'Dispensed Ink Rates'!C:C,'Dispensed Ink Rates'!CS:CS),VLOOKUP(JV315,'Jan-2026 rates'!$E:$F,2,0)))</f>
        <v>0</v>
      </c>
      <c r="KK315" s="409"/>
      <c r="KL315" s="398">
        <f>IF(KK315=0,0,IF(LEN(JW315)=11,_xlfn.XLOOKUP(JW315,'Dispensed Ink Rates'!C:C,'Dispensed Ink Rates'!CS:CS),VLOOKUP(JW315,'Jan-2026 rates'!$E:$F,2,0)))</f>
        <v>0</v>
      </c>
      <c r="KM315" s="428"/>
      <c r="KN315" s="398">
        <f>IF(KM315=0,0,IF(LEN(JX315)=11,_xlfn.XLOOKUP(JX315,'Dispensed Ink Rates'!C:C,'Dispensed Ink Rates'!CS:CS),VLOOKUP(JX315,'Jan-2026 rates'!$E:$F,2,0)))</f>
        <v>0</v>
      </c>
      <c r="KO315" s="409"/>
      <c r="KP315" s="409"/>
      <c r="KQ315" s="411">
        <f t="shared" si="233"/>
        <v>0</v>
      </c>
      <c r="KR315" s="411">
        <f t="shared" si="234"/>
        <v>0</v>
      </c>
      <c r="KS315" s="410">
        <f t="shared" si="235"/>
        <v>0</v>
      </c>
      <c r="KT315" s="409">
        <v>2</v>
      </c>
      <c r="KU315" s="409">
        <v>25</v>
      </c>
      <c r="KV315" s="409">
        <v>22</v>
      </c>
      <c r="KW315" s="409">
        <v>30</v>
      </c>
      <c r="KX315" s="409">
        <v>15</v>
      </c>
      <c r="KY315" s="409">
        <v>0</v>
      </c>
      <c r="KZ315" s="409">
        <v>0</v>
      </c>
      <c r="LA315" s="409">
        <v>0</v>
      </c>
      <c r="LB315" s="415">
        <v>0.3</v>
      </c>
      <c r="LC315" s="415"/>
      <c r="LD315" s="424"/>
      <c r="LE315" s="415">
        <v>0.5</v>
      </c>
      <c r="LF315" s="415">
        <v>0.2</v>
      </c>
      <c r="LG315" s="409">
        <v>0</v>
      </c>
      <c r="LH315" s="409">
        <f>45+24+12+20+8</f>
        <v>109</v>
      </c>
      <c r="LI315" s="409">
        <v>0</v>
      </c>
      <c r="LJ315" s="409">
        <v>0</v>
      </c>
      <c r="LK315" s="416">
        <f t="shared" si="191"/>
        <v>109</v>
      </c>
      <c r="LL315" s="416">
        <f t="shared" si="237"/>
        <v>109</v>
      </c>
      <c r="LM315" s="417">
        <f t="shared" si="193"/>
        <v>32.699999999999996</v>
      </c>
      <c r="LN315" s="417">
        <f>VLOOKUP($LM$8,'Jan-2026 rates'!$H:$I,2,0)</f>
        <v>0</v>
      </c>
      <c r="LO315" s="417">
        <f t="shared" si="194"/>
        <v>0</v>
      </c>
      <c r="LP315" s="417">
        <f>VLOOKUP($LO$8,'Jan-2026 rates'!$H:$I,2,0)</f>
        <v>0</v>
      </c>
      <c r="LQ315" s="417">
        <f t="shared" si="195"/>
        <v>0</v>
      </c>
      <c r="LR315" s="417">
        <f>VLOOKUP($LQ$8,'Jan-2026 rates'!$H:$I,2,0)</f>
        <v>0</v>
      </c>
      <c r="LS315" s="417">
        <f t="shared" si="196"/>
        <v>54.5</v>
      </c>
      <c r="LT315" s="417">
        <f>VLOOKUP($LS$8,'Jan-2026 rates'!$H:$I,2,0)</f>
        <v>0</v>
      </c>
      <c r="LU315" s="417">
        <f t="shared" si="197"/>
        <v>21.8</v>
      </c>
      <c r="LV315" s="417">
        <f>VLOOKUP($LU$8,'Jan-2026 rates'!$H:$I,2,0)</f>
        <v>0</v>
      </c>
      <c r="LW315" s="417">
        <f t="shared" si="198"/>
        <v>0</v>
      </c>
      <c r="LX315" s="417">
        <f t="shared" si="199"/>
        <v>0</v>
      </c>
      <c r="LY315" s="418">
        <f t="shared" si="200"/>
        <v>0</v>
      </c>
      <c r="LZ315" s="417"/>
      <c r="MA315" s="435">
        <f t="shared" si="201"/>
        <v>125.78</v>
      </c>
      <c r="MB315" s="282">
        <f t="shared" si="202"/>
        <v>250.78000000000003</v>
      </c>
      <c r="MC315" s="283" t="s">
        <v>2054</v>
      </c>
      <c r="MD315" s="284" t="str">
        <f t="shared" si="203"/>
        <v>ToyoLiToyoLiToyoLiToyoLiToyoLi</v>
      </c>
      <c r="ME315" s="293" t="str">
        <f t="shared" si="204"/>
        <v>+</v>
      </c>
      <c r="MF315" s="293" t="str">
        <f t="shared" si="205"/>
        <v>+</v>
      </c>
      <c r="MG315" s="293" t="str">
        <f t="shared" si="206"/>
        <v>+</v>
      </c>
      <c r="MH315" s="293" t="str">
        <f t="shared" si="207"/>
        <v>+</v>
      </c>
      <c r="MI315" s="293" t="str">
        <f t="shared" si="208"/>
        <v>+</v>
      </c>
      <c r="MJ315" s="293" t="str">
        <f t="shared" si="209"/>
        <v>NIL</v>
      </c>
      <c r="MK315" s="293" t="str">
        <f t="shared" si="210"/>
        <v>NIL</v>
      </c>
      <c r="ML315" s="293" t="str">
        <f t="shared" si="211"/>
        <v>NIL</v>
      </c>
      <c r="MM315" s="3" t="b">
        <f t="array" ref="MM315">OR(ME315:ML315="-")</f>
        <v>0</v>
      </c>
      <c r="MO315" s="401">
        <f t="shared" si="238"/>
        <v>149.27380952380952</v>
      </c>
      <c r="MP315" s="286"/>
      <c r="MR315" s="402">
        <f t="shared" si="239"/>
        <v>2.7864444444444449E-2</v>
      </c>
      <c r="MS315" s="400">
        <f t="shared" si="240"/>
        <v>0</v>
      </c>
      <c r="MT315" s="285"/>
      <c r="NH315" s="361"/>
      <c r="NJ315" s="282"/>
    </row>
    <row r="316" spans="1:374" ht="16.5">
      <c r="A316" s="403">
        <v>46044</v>
      </c>
      <c r="B316" s="404" t="s">
        <v>1018</v>
      </c>
      <c r="C316" s="405" t="s">
        <v>4518</v>
      </c>
      <c r="D316" s="404" t="s">
        <v>2055</v>
      </c>
      <c r="E316" s="404">
        <v>190</v>
      </c>
      <c r="F316" s="407">
        <v>9200</v>
      </c>
      <c r="G316" s="407" t="s">
        <v>1016</v>
      </c>
      <c r="H316" s="408" t="s">
        <v>1017</v>
      </c>
      <c r="I316" s="409">
        <f>2+1.4</f>
        <v>3.4</v>
      </c>
      <c r="J316" s="405" t="s">
        <v>543</v>
      </c>
      <c r="K316" s="404" t="s">
        <v>4507</v>
      </c>
      <c r="L316" s="419" t="str">
        <f t="shared" si="184"/>
        <v>ToyoLi - BLACK</v>
      </c>
      <c r="M316" s="404">
        <v>26</v>
      </c>
      <c r="N316" s="410">
        <f>IF(M316=0,0,IF($LB316=70%,VLOOKUP($L316,'Jan-2026 rates'!$L:$R,4,0),IF($LB316=65%,VLOOKUP($L316,'Jan-2026 rates'!$L:$R,4,0),IF($LB316=40%,VLOOKUP($L316,'Jan-2026 rates'!$L:$R,5,0),IF($LB316=30%,VLOOKUP($L316,'Jan-2026 rates'!$L:$R,6,0),IF($LB316=100%,VLOOKUP($L316,'Jan-2026 rates'!$L:$R,7,0),IF($LB316=60%,VLOOKUP($L316,'Jan-2026 rates'!$L:$S,8,0),IF($LB316=80%,VLOOKUP($L316,'Jan-2026 rates'!L:T,9,0),0))))))))</f>
        <v>0</v>
      </c>
      <c r="O316" s="406"/>
      <c r="P316" s="404"/>
      <c r="Q316" s="410">
        <f>IF(P316=0,0,IF($LB316=70%,VLOOKUP($L316,'Jan-2026 rates'!$L:$R,4,0),IF($LB316=65%,VLOOKUP($L316,'Jan-2026 rates'!$L:$R,4,0),IF($LB316=40%,VLOOKUP($L316,'Jan-2026 rates'!$L:$R,5,0),IF($LB316=30%,VLOOKUP($L316,'Jan-2026 rates'!$L:$R,6,0),IF($LB316=100%,VLOOKUP($L316,'Jan-2026 rates'!$L:$R,7,0),IF($LB316=60%,VLOOKUP($L316,'Jan-2026 rates'!$L:$S,8,0),IF($LB316=80%,VLOOKUP($L316,'Jan-2026 rates'!L:T,9,0),0))))))))</f>
        <v>0</v>
      </c>
      <c r="R316" s="406" t="s">
        <v>1921</v>
      </c>
      <c r="S316" s="406"/>
      <c r="T316" s="406"/>
      <c r="U316" s="406"/>
      <c r="V316" s="406"/>
      <c r="W316" s="406"/>
      <c r="X316" s="406"/>
      <c r="Y316" s="406"/>
      <c r="Z316" s="404">
        <v>3</v>
      </c>
      <c r="AA316" s="398">
        <f>IF(Z316=0,0,IF(LEN(R316)=11,_xlfn.XLOOKUP(R316,'Dispensed Ink Rates'!C:C,'Dispensed Ink Rates'!CS:CS),VLOOKUP(R316,'Jan-2026 rates'!$E:$F,2,0)))</f>
        <v>0</v>
      </c>
      <c r="AB316" s="404"/>
      <c r="AC316" s="398">
        <f>IF(AB316=0,0,IF(LEN(S316)=11,_xlfn.XLOOKUP(S316,'Dispensed Ink Rates'!C:C,'Dispensed Ink Rates'!CS:CS),VLOOKUP(S316,'Jan-2026 rates'!$E:$F,2,0)))</f>
        <v>0</v>
      </c>
      <c r="AD316" s="404"/>
      <c r="AE316" s="398">
        <f>IF(AD316=0,0,IF(LEN(T316)=11,_xlfn.XLOOKUP(T316,'Dispensed Ink Rates'!C:C,'Dispensed Ink Rates'!CS:CS),VLOOKUP(T316,'Jan-2026 rates'!$E:$F,2,0)))</f>
        <v>0</v>
      </c>
      <c r="AF316" s="404"/>
      <c r="AG316" s="398">
        <f>IF(AF316=0,0,IF(LEN(U316)=11,_xlfn.XLOOKUP(U316,'Dispensed Ink Rates'!C:C,'Dispensed Ink Rates'!CS:CS),VLOOKUP(U316,'Jan-2026 rates'!$E:$F,2,0)))</f>
        <v>0</v>
      </c>
      <c r="AH316" s="404"/>
      <c r="AI316" s="398">
        <f>IF(AH316=0,0,IF(LEN(V316)=11,_xlfn.XLOOKUP(V316,'Dispensed Ink Rates'!C:C,'Dispensed Ink Rates'!CS:CS),VLOOKUP(V316,'Jan-2026 rates'!$E:$F,2,0)))</f>
        <v>0</v>
      </c>
      <c r="AJ316" s="404"/>
      <c r="AK316" s="398">
        <f>IF(AJ316=0,0,IF(LEN(W316)=11,_xlfn.XLOOKUP(W316,'Dispensed Ink Rates'!C:C,'Dispensed Ink Rates'!CS:CS),VLOOKUP(W316,'Jan-2026 rates'!$E:$F,2,0)))</f>
        <v>0</v>
      </c>
      <c r="AL316" s="404"/>
      <c r="AM316" s="398">
        <f>IF(AL316=0,0,IF(LEN(X316)=11,_xlfn.XLOOKUP(X316,'Dispensed Ink Rates'!C:C,'Dispensed Ink Rates'!CS:CS),VLOOKUP(X316,'Jan-2026 rates'!$E:$F,2,0)))</f>
        <v>0</v>
      </c>
      <c r="AN316" s="404"/>
      <c r="AO316" s="398">
        <f>IF(AN316=0,0,IF(LEN(Y316)=11,_xlfn.XLOOKUP(Y316,'Dispensed Ink Rates'!C:C,'Dispensed Ink Rates'!CS:CS),VLOOKUP(Y316,'Jan-2026 rates'!$E:$F,2,0)))</f>
        <v>0</v>
      </c>
      <c r="AP316" s="409" t="s">
        <v>1881</v>
      </c>
      <c r="AQ316" s="409">
        <v>25</v>
      </c>
      <c r="AR316" s="410">
        <f t="shared" si="212"/>
        <v>0</v>
      </c>
      <c r="AS316" s="411">
        <f t="shared" si="213"/>
        <v>10.045454545454547</v>
      </c>
      <c r="AT316" s="410">
        <f t="shared" si="214"/>
        <v>0</v>
      </c>
      <c r="AU316" s="405" t="s">
        <v>546</v>
      </c>
      <c r="AV316" s="409" t="s">
        <v>4519</v>
      </c>
      <c r="AW316" s="420" t="str">
        <f t="shared" si="236"/>
        <v>ToyoLi - REFLEX BLUE</v>
      </c>
      <c r="AX316" s="409">
        <v>25</v>
      </c>
      <c r="AY316" s="411">
        <f>IF(AX316=0,0,IF($LB316=70%,VLOOKUP($AW316,'Jan-2026 rates'!$L:$R,4,0),IF($LB316=65%,VLOOKUP($AW316,'Jan-2026 rates'!$L:$R,4,0),IF($LB316=40%,VLOOKUP($AW316,'Jan-2026 rates'!$L:$R,5,0),IF($LB316=30%,VLOOKUP($AW316,'Jan-2026 rates'!$L:$R,6,0),IF($LB316=100%,VLOOKUP($AW316,'Jan-2026 rates'!$L:$R,7,0),IF($LB316=60%,VLOOKUP($AW316,'Jan-2026 rates'!$L:$S,8,0),IF($LB316=80%,VLOOKUP($AW316,'Jan-2026 rates'!L:T,9,0),0))))))))</f>
        <v>0</v>
      </c>
      <c r="AZ316" s="412"/>
      <c r="BA316" s="409"/>
      <c r="BB316" s="411">
        <f>IF(BA316=0,0,IF($LB316=70%,VLOOKUP($AW316,'Jan-2026 rates'!$L:$R,4,0),IF($LB316=65%,VLOOKUP($AW316,'Jan-2026 rates'!$L:$R,4,0),IF($LB316=40%,VLOOKUP($AW316,'Jan-2026 rates'!$L:$R,5,0),IF($LB316=30%,VLOOKUP($AW316,'Jan-2026 rates'!$L:$R,6,0),IF($LB316=100%,VLOOKUP($AW316,'Jan-2026 rates'!$L:$R,7,0),IF($LB316=60%,VLOOKUP($AW316,'Jan-2026 rates'!$L:$S,8,0),IF($LB316=80%,VLOOKUP($AW316,'Jan-2026 rates'!L:T,9,0),0))))))))</f>
        <v>0</v>
      </c>
      <c r="BC316" s="413" t="s">
        <v>1250</v>
      </c>
      <c r="BD316" s="412"/>
      <c r="BE316" s="412"/>
      <c r="BF316" s="413"/>
      <c r="BG316" s="412"/>
      <c r="BH316" s="412"/>
      <c r="BI316" s="412"/>
      <c r="BJ316" s="412"/>
      <c r="BK316" s="409">
        <v>2</v>
      </c>
      <c r="BL316" s="398">
        <f>IF(BK316=0,0,IF(LEN(BC316)=11,_xlfn.XLOOKUP(BC316,'Dispensed Ink Rates'!C:C,'Dispensed Ink Rates'!CS:CS),VLOOKUP(BC316,'Jan-2026 rates'!$E:$F,2,0)))</f>
        <v>0</v>
      </c>
      <c r="BM316" s="409"/>
      <c r="BN316" s="398">
        <f>IF(BM316=0,0,IF(LEN(BD316)=11,_xlfn.XLOOKUP(BD316,'Dispensed Ink Rates'!C:C,'Dispensed Ink Rates'!CS:CS),VLOOKUP(BD316,'Jan-2026 rates'!$E:$F,2,0)))</f>
        <v>0</v>
      </c>
      <c r="BO316" s="409"/>
      <c r="BP316" s="398">
        <f>IF(BO316=0,0,IF(LEN(BE316)=11,_xlfn.XLOOKUP(BE316,'Dispensed Ink Rates'!C:C,'Dispensed Ink Rates'!CS:CS),VLOOKUP(BE316,'Jan-2026 rates'!$E:$F,2,0)))</f>
        <v>0</v>
      </c>
      <c r="BQ316" s="409"/>
      <c r="BR316" s="398">
        <f>IF(BQ316=0,0,IF(LEN(BF316)=11,_xlfn.XLOOKUP(BF316,'Dispensed Ink Rates'!C:C,'Dispensed Ink Rates'!CS:CS),VLOOKUP(BF316,'Jan-2026 rates'!$E:$F,2,0)))</f>
        <v>0</v>
      </c>
      <c r="BS316" s="409"/>
      <c r="BT316" s="398">
        <f>IF(BS316=0,0,IF(LEN(BG316)=11,_xlfn.XLOOKUP(BG316,'Dispensed Ink Rates'!C:C,'Dispensed Ink Rates'!CS:CS),VLOOKUP(BG316,'Jan-2026 rates'!$E:$F,2,0)))</f>
        <v>0</v>
      </c>
      <c r="BU316" s="409"/>
      <c r="BV316" s="398">
        <f>IF(BU316=0,0,IF(LEN(BH316)=11,_xlfn.XLOOKUP(BH316,'Dispensed Ink Rates'!C:C,'Dispensed Ink Rates'!CS:CS),VLOOKUP(BH316,'Jan-2026 rates'!$E:$F,2,0)))</f>
        <v>0</v>
      </c>
      <c r="BW316" s="409"/>
      <c r="BX316" s="398">
        <f>IF(BW316=0,0,IF(LEN(BI316)=11,_xlfn.XLOOKUP(BI316,'Dispensed Ink Rates'!C:C,'Dispensed Ink Rates'!CS:CS),VLOOKUP(BI316,'Jan-2026 rates'!$E:$F,2,0)))</f>
        <v>0</v>
      </c>
      <c r="BY316" s="409"/>
      <c r="BZ316" s="398">
        <f>IF(BY316=0,0,IF(LEN(BJ316)=11,_xlfn.XLOOKUP(BJ316,'Dispensed Ink Rates'!C:C,'Dispensed Ink Rates'!CS:CS),VLOOKUP(BJ316,'Jan-2026 rates'!$E:$F,2,0)))</f>
        <v>0</v>
      </c>
      <c r="CA316" s="409" t="s">
        <v>1881</v>
      </c>
      <c r="CB316" s="409">
        <v>17</v>
      </c>
      <c r="CC316" s="411">
        <f t="shared" si="215"/>
        <v>0</v>
      </c>
      <c r="CD316" s="411">
        <f t="shared" si="216"/>
        <v>16.045454545454547</v>
      </c>
      <c r="CE316" s="410">
        <f t="shared" si="217"/>
        <v>0</v>
      </c>
      <c r="CF316" s="404" t="s">
        <v>546</v>
      </c>
      <c r="CG316" s="409" t="s">
        <v>4520</v>
      </c>
      <c r="CH316" s="420" t="str">
        <f t="shared" si="185"/>
        <v>ToyoLi - REFLEX BLUE</v>
      </c>
      <c r="CI316" s="409">
        <v>12</v>
      </c>
      <c r="CJ316" s="411">
        <f>IF(CI316=0,0,IF($LB316=70%,VLOOKUP($CH316,'Jan-2026 rates'!$L:$R,4,0),IF($LB316=65%,VLOOKUP($CH316,'Jan-2026 rates'!$L:$R,4,0),IF($LB316=40%,VLOOKUP($CH316,'Jan-2026 rates'!$L:$R,5,0),IF($LB316=30%,VLOOKUP($CH316,'Jan-2026 rates'!$L:$R,6,0),IF($LB316=100%,VLOOKUP($CH316,'Jan-2026 rates'!$L:$R,7,0),IF($LB316=60%,VLOOKUP($CH316,'Jan-2026 rates'!$L:$S,8,0),IF($LB316=80%,VLOOKUP($CH316,'Jan-2026 rates'!L:T,9,0),0))))))))</f>
        <v>0</v>
      </c>
      <c r="CK316" s="412"/>
      <c r="CL316" s="409"/>
      <c r="CM316" s="411">
        <f>IF(CL316=0,0,IF($LB316=70%,VLOOKUP($CH316,'Jan-2026 rates'!$L:$R,4,0),IF($LB316=65%,VLOOKUP($CH316,'Jan-2026 rates'!$L:$R,4,0),IF($LB316=40%,VLOOKUP($CH316,'Jan-2026 rates'!$L:$R,5,0),IF($LB316=30%,VLOOKUP($CH316,'Jan-2026 rates'!$L:$R,6,0),IF($LB316=100%,VLOOKUP($CH316,'Jan-2026 rates'!$L:$R,7,0),IF($LB316=60%,VLOOKUP($CH316,'Jan-2026 rates'!$L:$S,8,0),IF($LB316=80%,VLOOKUP($CH316,'Jan-2026 rates'!L:T,9,0),0))))))))</f>
        <v>0</v>
      </c>
      <c r="CN316" s="426" t="s">
        <v>1246</v>
      </c>
      <c r="CO316" s="427" t="s">
        <v>1880</v>
      </c>
      <c r="CP316" s="426" t="s">
        <v>1585</v>
      </c>
      <c r="CQ316" s="426" t="s">
        <v>1921</v>
      </c>
      <c r="CR316" s="428"/>
      <c r="CS316" s="428"/>
      <c r="CT316" s="428"/>
      <c r="CU316" s="428"/>
      <c r="CV316" s="409">
        <f>3+4</f>
        <v>7</v>
      </c>
      <c r="CW316" s="398">
        <f>IF(CV316=0,0,IF(LEN(CN316)=11,_xlfn.XLOOKUP(CN316,'Dispensed Ink Rates'!C:C,'Dispensed Ink Rates'!CS:CS),VLOOKUP(CN316,'Jan-2026 rates'!$E:$F,2,0)))</f>
        <v>0</v>
      </c>
      <c r="CX316" s="409">
        <v>1</v>
      </c>
      <c r="CY316" s="398">
        <f>IF(CX316=0,0,IF(LEN(CO316)=11,_xlfn.XLOOKUP(CO316,'Dispensed Ink Rates'!C:C,'Dispensed Ink Rates'!CS:CS),VLOOKUP(CO316,'Jan-2026 rates'!$E:$F,2,0)))</f>
        <v>0</v>
      </c>
      <c r="CZ316" s="409">
        <v>5</v>
      </c>
      <c r="DA316" s="398">
        <f>IF(CZ316=0,0,IF(LEN(CP316)=11,_xlfn.XLOOKUP(CP316,'Dispensed Ink Rates'!C:C,'Dispensed Ink Rates'!CS:CS),VLOOKUP(CP316,'Jan-2026 rates'!$E:$F,2,0)))</f>
        <v>0</v>
      </c>
      <c r="DB316" s="409">
        <f>5+5</f>
        <v>10</v>
      </c>
      <c r="DC316" s="398">
        <f>IF(DB316=0,0,IF(LEN(CQ316)=11,_xlfn.XLOOKUP(CQ316,'Dispensed Ink Rates'!C:C,'Dispensed Ink Rates'!CS:CS),VLOOKUP(CQ316,'Jan-2026 rates'!$E:$F,2,0)))</f>
        <v>0</v>
      </c>
      <c r="DD316" s="409"/>
      <c r="DE316" s="398">
        <f>IF(DD316=0,0,IF(LEN(CR316)=11,_xlfn.XLOOKUP(CR316,'Dispensed Ink Rates'!C:C,'Dispensed Ink Rates'!CS:CS),VLOOKUP(CR316,'Jan-2026 rates'!$E:$F,2,0)))</f>
        <v>0</v>
      </c>
      <c r="DF316" s="409"/>
      <c r="DG316" s="398">
        <f>IF(DF316=0,0,IF(LEN(CS316)=11,_xlfn.XLOOKUP(CS316,'Dispensed Ink Rates'!C:C,'Dispensed Ink Rates'!CS:CS),VLOOKUP(CS316,'Jan-2026 rates'!$E:$F,2,0)))</f>
        <v>0</v>
      </c>
      <c r="DH316" s="409"/>
      <c r="DI316" s="398">
        <f>IF(DH316=0,0,IF(LEN(CT316)=11,_xlfn.XLOOKUP(CT316,'Dispensed Ink Rates'!C:C,'Dispensed Ink Rates'!CS:CS),VLOOKUP(CT316,'Jan-2026 rates'!$E:$F,2,0)))</f>
        <v>0</v>
      </c>
      <c r="DJ316" s="409"/>
      <c r="DK316" s="398">
        <f>IF(DJ316=0,0,IF(LEN(CU316)=11,_xlfn.XLOOKUP(CU316,'Dispensed Ink Rates'!C:C,'Dispensed Ink Rates'!CS:CS),VLOOKUP(CU316,'Jan-2026 rates'!$E:$F,2,0)))</f>
        <v>0</v>
      </c>
      <c r="DL316" s="409" t="s">
        <v>1881</v>
      </c>
      <c r="DM316" s="409">
        <f>10+12</f>
        <v>22</v>
      </c>
      <c r="DN316" s="411">
        <f t="shared" si="218"/>
        <v>0</v>
      </c>
      <c r="DO316" s="411">
        <f t="shared" si="219"/>
        <v>28.11363636363636</v>
      </c>
      <c r="DP316" s="410">
        <f t="shared" si="220"/>
        <v>0</v>
      </c>
      <c r="DQ316" s="405" t="s">
        <v>855</v>
      </c>
      <c r="DR316" s="409" t="s">
        <v>4521</v>
      </c>
      <c r="DS316" s="420" t="str">
        <f t="shared" si="186"/>
        <v>ToyoLi - CYAN</v>
      </c>
      <c r="DT316" s="409">
        <v>26</v>
      </c>
      <c r="DU316" s="411">
        <f>IF(DT316=0,0,IF($LB316=70%,VLOOKUP($DS316,'Jan-2026 rates'!$L:$R,4,0),IF($LB316=65%,VLOOKUP($DS316,'Jan-2026 rates'!$L:$R,4,0),IF($LB316=40%,VLOOKUP($DS316,'Jan-2026 rates'!$L:$R,5,0),IF($LB316=30%,VLOOKUP($DS316,'Jan-2026 rates'!$L:$R,6,0),IF($LB316=100%,VLOOKUP($DS316,'Jan-2026 rates'!$L:$R,7,0),IF($LB316=60%,VLOOKUP($DS316,'Jan-2026 rates'!$L:$S,8,0),IF($LB316=80%,VLOOKUP($DS316,'Jan-2026 rates'!L:T,9,0),0))))))))</f>
        <v>0</v>
      </c>
      <c r="DV316" s="412"/>
      <c r="DW316" s="409"/>
      <c r="DX316" s="411">
        <f>IF(DW316=0,0,IF($LB316=70%,VLOOKUP($DS316,'Jan-2026 rates'!$L:$R,4,0),IF($LB316=65%,VLOOKUP($DS316,'Jan-2026 rates'!$L:$R,4,0),IF($LB316=40%,VLOOKUP($DS316,'Jan-2026 rates'!$L:$R,5,0),IF($LB316=30%,VLOOKUP($DS316,'Jan-2026 rates'!$L:$R,6,0),IF($LB316=100%,VLOOKUP($DS316,'Jan-2026 rates'!$L:$R,7,0),IF($LB316=60%,VLOOKUP($DS316,'Jan-2026 rates'!$L:$S,8,0),IF($LB316=80%,VLOOKUP($DS316,'Jan-2026 rates'!L:T,9,0),0))))))))</f>
        <v>0</v>
      </c>
      <c r="DY316" s="413"/>
      <c r="DZ316" s="413"/>
      <c r="EA316" s="412"/>
      <c r="EB316" s="412"/>
      <c r="EC316" s="412"/>
      <c r="ED316" s="412"/>
      <c r="EE316" s="412"/>
      <c r="EF316" s="412"/>
      <c r="EG316" s="409"/>
      <c r="EH316" s="398">
        <f>IF(EG316=0,0,IF(LEN(DY316)=11,_xlfn.XLOOKUP(DY316,'Dispensed Ink Rates'!C:C,'Dispensed Ink Rates'!CS:CS),VLOOKUP(DY316,'Jan-2026 rates'!$E:$F,2,0)))</f>
        <v>0</v>
      </c>
      <c r="EI316" s="409"/>
      <c r="EJ316" s="398">
        <f>IF(EI316=0,0,IF(LEN(DZ316)=11,_xlfn.XLOOKUP(DZ316,'Dispensed Ink Rates'!C:C,'Dispensed Ink Rates'!CS:CS),VLOOKUP(DZ316,'Jan-2026 rates'!$E:$F,2,0)))</f>
        <v>0</v>
      </c>
      <c r="EK316" s="409"/>
      <c r="EL316" s="398">
        <f>IF(EK316=0,0,IF(LEN(EA316)=11,_xlfn.XLOOKUP(EA316,'Dispensed Ink Rates'!C:C,'Dispensed Ink Rates'!CS:CS),VLOOKUP(EA316,'Jan-2026 rates'!$E:$F,2,0)))</f>
        <v>0</v>
      </c>
      <c r="EM316" s="409"/>
      <c r="EN316" s="398">
        <f>IF(EM316=0,0,IF(LEN(EB316)=11,_xlfn.XLOOKUP(EB316,'Dispensed Ink Rates'!C:C,'Dispensed Ink Rates'!CS:CS),VLOOKUP(EB316,'Jan-2026 rates'!$E:$F,2,0)))</f>
        <v>0</v>
      </c>
      <c r="EO316" s="409"/>
      <c r="EP316" s="398">
        <f>IF(EO316=0,0,IF(LEN(EC316)=11,_xlfn.XLOOKUP(EC316,'Dispensed Ink Rates'!C:C,'Dispensed Ink Rates'!CS:CS),VLOOKUP(EC316,'Jan-2026 rates'!$E:$F,2,0)))</f>
        <v>0</v>
      </c>
      <c r="EQ316" s="409"/>
      <c r="ER316" s="398">
        <f>IF(EQ316=0,0,IF(LEN(ED316)=11,_xlfn.XLOOKUP(ED316,'Dispensed Ink Rates'!C:C,'Dispensed Ink Rates'!CS:CS),VLOOKUP(ED316,'Jan-2026 rates'!$E:$F,2,0)))</f>
        <v>0</v>
      </c>
      <c r="ES316" s="409"/>
      <c r="ET316" s="398">
        <f>IF(ES316=0,0,IF(LEN(EE316)=11,_xlfn.XLOOKUP(EE316,'Dispensed Ink Rates'!C:C,'Dispensed Ink Rates'!CS:CS),VLOOKUP(EE316,'Jan-2026 rates'!$E:$F,2,0)))</f>
        <v>0</v>
      </c>
      <c r="EU316" s="409"/>
      <c r="EV316" s="398">
        <f>IF(EU316=0,0,IF(LEN(EF316)=11,_xlfn.XLOOKUP(EF316,'Dispensed Ink Rates'!C:C,'Dispensed Ink Rates'!CS:CS),VLOOKUP(EF316,'Jan-2026 rates'!$E:$F,2,0)))</f>
        <v>0</v>
      </c>
      <c r="EW316" s="409" t="s">
        <v>1881</v>
      </c>
      <c r="EX316" s="409">
        <v>22</v>
      </c>
      <c r="EY316" s="411">
        <f t="shared" si="221"/>
        <v>0</v>
      </c>
      <c r="EZ316" s="411">
        <f t="shared" si="222"/>
        <v>13.06818181818182</v>
      </c>
      <c r="FA316" s="410">
        <f t="shared" si="223"/>
        <v>0</v>
      </c>
      <c r="FB316" s="405" t="s">
        <v>544</v>
      </c>
      <c r="FC316" s="409" t="s">
        <v>4522</v>
      </c>
      <c r="FD316" s="420" t="str">
        <f t="shared" si="187"/>
        <v>ToyoLi - MAGENTA</v>
      </c>
      <c r="FE316" s="409">
        <v>25</v>
      </c>
      <c r="FF316" s="411">
        <f>IF(FE316=0,0,IF($LB316=70%,VLOOKUP($FD316,'Jan-2026 rates'!$L:$R,4,0),IF($LB316=65%,VLOOKUP($FD316,'Jan-2026 rates'!$L:$R,4,0),IF($LB316=40%,VLOOKUP($FD316,'Jan-2026 rates'!$L:$R,5,0),IF($LB316=30%,VLOOKUP($FD316,'Jan-2026 rates'!$L:$R,6,0),IF($LB316=100%,VLOOKUP($FD316,'Jan-2026 rates'!$L:$R,7,0),IF($LB316=60%,VLOOKUP($FD316,'Jan-2026 rates'!$L:$S,8,0),IF($LB316=80%,VLOOKUP($FD316,'Jan-2026 rates'!L:T,9,0),0))))))))</f>
        <v>0</v>
      </c>
      <c r="FG316" s="412"/>
      <c r="FH316" s="409"/>
      <c r="FI316" s="411">
        <f>IF(FH316=0,0,IF($LB316=70%,VLOOKUP($FD316,'Jan-2026 rates'!$L:$R,4,0),IF($LB316=65%,VLOOKUP($FD316,'Jan-2026 rates'!$L:$R,4,0),IF($LB316=40%,VLOOKUP($FD316,'Jan-2026 rates'!$L:$R,5,0),IF($LB316=30%,VLOOKUP($FD316,'Jan-2026 rates'!$L:$R,6,0),IF($LB316=100%,VLOOKUP($FD316,'Jan-2026 rates'!$L:$R,7,0),IF($LB316=60%,VLOOKUP($FD316,'Jan-2026 rates'!$L:$S,8,0),IF($LB316=80%,VLOOKUP($FD316,'Jan-2026 rates'!L:T,9,0),0))))))))</f>
        <v>0</v>
      </c>
      <c r="FJ316" s="413" t="s">
        <v>1921</v>
      </c>
      <c r="FK316" s="413"/>
      <c r="FL316" s="413"/>
      <c r="FM316" s="412"/>
      <c r="FN316" s="412"/>
      <c r="FO316" s="412"/>
      <c r="FP316" s="412"/>
      <c r="FQ316" s="412"/>
      <c r="FR316" s="409">
        <v>2</v>
      </c>
      <c r="FS316" s="398">
        <f>IF(FR316=0,0,IF(LEN(FJ316)=11,_xlfn.XLOOKUP(FJ316,'Dispensed Ink Rates'!C:C,'Dispensed Ink Rates'!CS:CS),VLOOKUP(FJ316,'Jan-2026 rates'!$E:$F,2,0)))</f>
        <v>0</v>
      </c>
      <c r="FT316" s="409"/>
      <c r="FU316" s="398">
        <f>IF(FT316=0,0,IF(LEN(FK316)=11,_xlfn.XLOOKUP(FK316,'Dispensed Ink Rates'!C:C,'Dispensed Ink Rates'!CS:CS),VLOOKUP(FK316,'Jan-2026 rates'!$E:$F,2,0)))</f>
        <v>0</v>
      </c>
      <c r="FV316" s="409"/>
      <c r="FW316" s="398">
        <f>IF(FV316=0,0,IF(LEN(FL316)=11,_xlfn.XLOOKUP(FL316,'Dispensed Ink Rates'!C:C,'Dispensed Ink Rates'!CS:CS),VLOOKUP(FL316,'Jan-2026 rates'!$E:$F,2,0)))</f>
        <v>0</v>
      </c>
      <c r="FX316" s="409"/>
      <c r="FY316" s="398">
        <f>IF(FX316=0,0,IF(LEN(FM316)=11,_xlfn.XLOOKUP(FM316,'Dispensed Ink Rates'!C:C,'Dispensed Ink Rates'!CS:CS),VLOOKUP(FM316,'Jan-2026 rates'!$E:$F,2,0)))</f>
        <v>0</v>
      </c>
      <c r="FZ316" s="409"/>
      <c r="GA316" s="398">
        <f>IF(FZ316=0,0,IF(LEN(FN316)=11,_xlfn.XLOOKUP(FN316,'Dispensed Ink Rates'!C:C,'Dispensed Ink Rates'!CS:CS),VLOOKUP(FN316,'Jan-2026 rates'!$E:$F,2,0)))</f>
        <v>0</v>
      </c>
      <c r="GB316" s="409"/>
      <c r="GC316" s="398">
        <f>IF(GB316=0,0,IF(LEN(FO316)=11,_xlfn.XLOOKUP(FO316,'Dispensed Ink Rates'!C:C,'Dispensed Ink Rates'!CS:CS),VLOOKUP(FO316,'Jan-2026 rates'!$E:$F,2,0)))</f>
        <v>0</v>
      </c>
      <c r="GD316" s="409"/>
      <c r="GE316" s="398">
        <f>IF(GD316=0,0,IF(LEN(FP316)=11,_xlfn.XLOOKUP(FP316,'Dispensed Ink Rates'!C:C,'Dispensed Ink Rates'!CS:CS),VLOOKUP(FP316,'Jan-2026 rates'!$E:$F,2,0)))</f>
        <v>0</v>
      </c>
      <c r="GF316" s="409"/>
      <c r="GG316" s="398">
        <f>IF(GF316=0,0,IF(LEN(FQ316)=11,_xlfn.XLOOKUP(FQ316,'Dispensed Ink Rates'!C:C,'Dispensed Ink Rates'!CS:CS),VLOOKUP(FQ316,'Jan-2026 rates'!$E:$F,2,0)))</f>
        <v>0</v>
      </c>
      <c r="GH316" s="409" t="s">
        <v>1881</v>
      </c>
      <c r="GI316" s="409">
        <v>24</v>
      </c>
      <c r="GJ316" s="411">
        <f t="shared" si="224"/>
        <v>0</v>
      </c>
      <c r="GK316" s="411">
        <f t="shared" si="225"/>
        <v>12.06818181818182</v>
      </c>
      <c r="GL316" s="410">
        <f t="shared" si="226"/>
        <v>0</v>
      </c>
      <c r="GM316" s="405" t="s">
        <v>545</v>
      </c>
      <c r="GN316" s="409" t="s">
        <v>4523</v>
      </c>
      <c r="GO316" s="420" t="str">
        <f t="shared" si="188"/>
        <v>ToyoLi - YELLOW</v>
      </c>
      <c r="GP316" s="409">
        <v>22</v>
      </c>
      <c r="GQ316" s="411">
        <f>IF(GP316=0,0,IF($LB316=70%,VLOOKUP($GO316,'Jan-2026 rates'!$L:$R,4,0),IF($LB316=65%,VLOOKUP($GO316,'Jan-2026 rates'!$L:$R,4,0),IF($LB316=40%,VLOOKUP($GO316,'Jan-2026 rates'!$L:$R,5,0),IF($LB316=30%,VLOOKUP($GO316,'Jan-2026 rates'!$L:$R,6,0),IF($LB316=100%,VLOOKUP($GO316,'Jan-2026 rates'!$L:$R,7,0),IF($LB316=60%,VLOOKUP($GO316,'Jan-2026 rates'!$L:$S,8,0),IF($LB316=80%,VLOOKUP($GO316,'Jan-2026 rates'!L:T,9,0),0))))))))</f>
        <v>0</v>
      </c>
      <c r="GR316" s="412"/>
      <c r="GS316" s="409"/>
      <c r="GT316" s="411">
        <f>IF(GS316=0,0,IF($LB316=70%,VLOOKUP($GO316,'Jan-2026 rates'!$L:$R,4,0),IF($LB316=65%,VLOOKUP($GO316,'Jan-2026 rates'!$L:$R,4,0),IF($LB316=40%,VLOOKUP($GO316,'Jan-2026 rates'!$L:$R,5,0),IF($LB316=30%,VLOOKUP($GO316,'Jan-2026 rates'!$L:$R,6,0),IF($LB316=100%,VLOOKUP($GO316,'Jan-2026 rates'!$L:$R,7,0),IF($LB316=60%,VLOOKUP($GO316,'Jan-2026 rates'!$L:$S,8,0),IF($LB316=80%,VLOOKUP($GO316,'Jan-2026 rates'!L:T,9,0),0))))))))</f>
        <v>0</v>
      </c>
      <c r="GU316" s="413" t="s">
        <v>1921</v>
      </c>
      <c r="GV316" s="413"/>
      <c r="GW316" s="412"/>
      <c r="GX316" s="412"/>
      <c r="GY316" s="412"/>
      <c r="GZ316" s="412"/>
      <c r="HA316" s="412"/>
      <c r="HB316" s="412"/>
      <c r="HC316" s="409">
        <v>4</v>
      </c>
      <c r="HD316" s="398">
        <f>IF(HC316=0,0,IF(LEN(GU316)=11,_xlfn.XLOOKUP(GU316,'Dispensed Ink Rates'!C:C,'Dispensed Ink Rates'!CS:CS),VLOOKUP(GU316,'Jan-2026 rates'!$E:$F,2,0)))</f>
        <v>0</v>
      </c>
      <c r="HE316" s="409"/>
      <c r="HF316" s="398">
        <f>IF(HE316=0,0,IF(LEN(GV316)=11,_xlfn.XLOOKUP(GV316,'Dispensed Ink Rates'!C:C,'Dispensed Ink Rates'!CS:CS),VLOOKUP(GV316,'Jan-2026 rates'!$E:$F,2,0)))</f>
        <v>0</v>
      </c>
      <c r="HG316" s="409"/>
      <c r="HH316" s="398">
        <f>IF(HG316=0,0,IF(LEN(GW316)=11,_xlfn.XLOOKUP(GW316,'Dispensed Ink Rates'!C:C,'Dispensed Ink Rates'!CS:CS),VLOOKUP(GW316,'Jan-2026 rates'!$E:$F,2,0)))</f>
        <v>0</v>
      </c>
      <c r="HI316" s="409"/>
      <c r="HJ316" s="398">
        <f>IF(HI316=0,0,IF(LEN(GX316)=11,_xlfn.XLOOKUP(GX316,'Dispensed Ink Rates'!C:C,'Dispensed Ink Rates'!CS:CS),VLOOKUP(GX316,'Jan-2026 rates'!$E:$F,2,0)))</f>
        <v>0</v>
      </c>
      <c r="HK316" s="409"/>
      <c r="HL316" s="398">
        <f>IF(HK316=0,0,IF(LEN(GY316)=11,_xlfn.XLOOKUP(GY316,'Dispensed Ink Rates'!C:C,'Dispensed Ink Rates'!CS:CS),VLOOKUP(GY316,'Jan-2026 rates'!$E:$F,2,0)))</f>
        <v>0</v>
      </c>
      <c r="HM316" s="409"/>
      <c r="HN316" s="398">
        <f>IF(HM316=0,0,IF(LEN(GZ316)=11,_xlfn.XLOOKUP(GZ316,'Dispensed Ink Rates'!C:C,'Dispensed Ink Rates'!CS:CS),VLOOKUP(GZ316,'Jan-2026 rates'!$E:$F,2,0)))</f>
        <v>0</v>
      </c>
      <c r="HO316" s="409"/>
      <c r="HP316" s="398">
        <f>IF(HO316=0,0,IF(LEN(HA316)=11,_xlfn.XLOOKUP(HA316,'Dispensed Ink Rates'!C:C,'Dispensed Ink Rates'!CS:CS),VLOOKUP(HA316,'Jan-2026 rates'!$E:$F,2,0)))</f>
        <v>0</v>
      </c>
      <c r="HQ316" s="409"/>
      <c r="HR316" s="398">
        <f>IF(HQ316=0,0,IF(LEN(HB316)=11,_xlfn.XLOOKUP(HB316,'Dispensed Ink Rates'!C:C,'Dispensed Ink Rates'!CS:CS),VLOOKUP(HB316,'Jan-2026 rates'!$E:$F,2,0)))</f>
        <v>0</v>
      </c>
      <c r="HS316" s="409" t="s">
        <v>1881</v>
      </c>
      <c r="HT316" s="409">
        <v>23</v>
      </c>
      <c r="HU316" s="411">
        <f t="shared" si="227"/>
        <v>0</v>
      </c>
      <c r="HV316" s="411">
        <f t="shared" si="228"/>
        <v>15.090909090909093</v>
      </c>
      <c r="HW316" s="414">
        <f t="shared" si="229"/>
        <v>0</v>
      </c>
      <c r="HX316" s="405" t="s">
        <v>856</v>
      </c>
      <c r="HY316" s="409" t="s">
        <v>4524</v>
      </c>
      <c r="HZ316" s="420" t="str">
        <f t="shared" si="189"/>
        <v>ToyoLi - WHITE</v>
      </c>
      <c r="IA316" s="409">
        <v>30</v>
      </c>
      <c r="IB316" s="411">
        <f>IF(IA316=0,0,IF($LB316=70%,VLOOKUP($HZ316,'Jan-2026 rates'!$L:$R,4,0),IF($LB316=65%,VLOOKUP($HZ316,'Jan-2026 rates'!$L:$R,4,0),IF($LB316=40%,VLOOKUP($HZ316,'Jan-2026 rates'!$L:$R,5,0),IF($LB316=30%,VLOOKUP($HZ316,'Jan-2026 rates'!$L:$R,6,0),IF($LB316=100%,VLOOKUP($HZ316,'Jan-2026 rates'!$L:$R,7,0),IF($LB316=60%,VLOOKUP($HZ316,'Jan-2026 rates'!$L:$S,8,0),IF($LB316=80%,VLOOKUP($HZ316,'Jan-2026 rates'!L:T,9,0),0))))))))</f>
        <v>0</v>
      </c>
      <c r="IC316" s="412"/>
      <c r="ID316" s="409"/>
      <c r="IE316" s="411">
        <f>IF(ID316=0,0,IF($LB316=70%,VLOOKUP($HZ316,'Jan-2026 rates'!$L:$R,4,0),IF($LB316=65%,VLOOKUP($HZ316,'Jan-2026 rates'!$L:$R,4,0),IF($LB316=40%,VLOOKUP($HZ316,'Jan-2026 rates'!$L:$R,5,0),IF($LB316=30%,VLOOKUP($HZ316,'Jan-2026 rates'!$L:$R,6,0),IF($LB316=100%,VLOOKUP($HZ316,'Jan-2026 rates'!$L:$R,7,0),IF($LB316=60%,VLOOKUP($HZ316,'Jan-2026 rates'!$L:$S,8,0),IF($LB316=80%,VLOOKUP($HZ316,'Jan-2026 rates'!L:T,9,0),0))))))))</f>
        <v>0</v>
      </c>
      <c r="IF316" s="412" t="s">
        <v>1249</v>
      </c>
      <c r="IG316" s="413"/>
      <c r="IH316" s="412"/>
      <c r="II316" s="412"/>
      <c r="IJ316" s="412"/>
      <c r="IK316" s="412"/>
      <c r="IL316" s="412"/>
      <c r="IM316" s="412"/>
      <c r="IN316" s="409">
        <v>30</v>
      </c>
      <c r="IO316" s="398">
        <f>IF(IN316=0,0,IF(LEN(IF316)=11,_xlfn.XLOOKUP(IF316,'Dispensed Ink Rates'!C:C,'Dispensed Ink Rates'!CS:CS),VLOOKUP(IF316,'Jan-2026 rates'!$E:$F,2,0)))</f>
        <v>0</v>
      </c>
      <c r="IP316" s="409"/>
      <c r="IQ316" s="398">
        <f>IF(IP316=0,0,IF(LEN(IG316)=11,_xlfn.XLOOKUP(IG316,'Dispensed Ink Rates'!C:C,'Dispensed Ink Rates'!CS:CS),VLOOKUP(IG316,'Jan-2026 rates'!$E:$F,2,0)))</f>
        <v>0</v>
      </c>
      <c r="IR316" s="409"/>
      <c r="IS316" s="398">
        <f>IF(IR316=0,0,IF(LEN(IH316)=11,_xlfn.XLOOKUP(IH316,'Dispensed Ink Rates'!C:C,'Dispensed Ink Rates'!CS:CS),VLOOKUP(IH316,'Jan-2026 rates'!$E:$F,2,0)))</f>
        <v>0</v>
      </c>
      <c r="IT316" s="409"/>
      <c r="IU316" s="398">
        <f>IF(IT316=0,0,IF(LEN(II316)=11,_xlfn.XLOOKUP(II316,'Dispensed Ink Rates'!C:C,'Dispensed Ink Rates'!CS:CS),VLOOKUP(II316,'Jan-2026 rates'!$E:$F,2,0)))</f>
        <v>0</v>
      </c>
      <c r="IV316" s="409"/>
      <c r="IW316" s="398">
        <f>IF(IV316=0,0,IF(LEN(IJ316)=11,_xlfn.XLOOKUP(IJ316,'Dispensed Ink Rates'!C:C,'Dispensed Ink Rates'!CS:CS),VLOOKUP(IJ316,'Jan-2026 rates'!$E:$F,2,0)))</f>
        <v>0</v>
      </c>
      <c r="IX316" s="409"/>
      <c r="IY316" s="398">
        <f>IF(IX316=0,0,IF(LEN(IK316)=11,_xlfn.XLOOKUP(IK316,'Dispensed Ink Rates'!C:C,'Dispensed Ink Rates'!CS:CS),VLOOKUP(IK316,'Jan-2026 rates'!$E:$F,2,0)))</f>
        <v>0</v>
      </c>
      <c r="IZ316" s="409"/>
      <c r="JA316" s="398">
        <f>IF(IZ316=0,0,IF(LEN(IL316)=11,_xlfn.XLOOKUP(IL316,'Dispensed Ink Rates'!C:C,'Dispensed Ink Rates'!CS:CS),VLOOKUP(IL316,'Jan-2026 rates'!$E:$F,2,0)))</f>
        <v>0</v>
      </c>
      <c r="JB316" s="409"/>
      <c r="JC316" s="398">
        <f>IF(JB316=0,0,IF(LEN(IM316)=11,_xlfn.XLOOKUP(IM316,'Dispensed Ink Rates'!C:C,'Dispensed Ink Rates'!CS:CS),VLOOKUP(IM316,'Jan-2026 rates'!$E:$F,2,0)))</f>
        <v>0</v>
      </c>
      <c r="JD316" s="409" t="s">
        <v>1881</v>
      </c>
      <c r="JE316" s="409">
        <v>30</v>
      </c>
      <c r="JF316" s="411">
        <f t="shared" si="230"/>
        <v>0</v>
      </c>
      <c r="JG316" s="411">
        <f t="shared" si="231"/>
        <v>60.22727272727272</v>
      </c>
      <c r="JH316" s="410">
        <f t="shared" si="232"/>
        <v>0</v>
      </c>
      <c r="JI316" s="405" t="s">
        <v>605</v>
      </c>
      <c r="JJ316" s="409" t="s">
        <v>4522</v>
      </c>
      <c r="JK316" s="420" t="str">
        <f t="shared" si="190"/>
        <v>ToyoLi - MATT</v>
      </c>
      <c r="JL316" s="409">
        <v>20</v>
      </c>
      <c r="JM316" s="411">
        <f>IF(JL316=0,0,IF($LB316=70%,VLOOKUP($JK316,'Jan-2026 rates'!$L:$R,4,0),IF($LB316=65%,VLOOKUP($JK316,'Jan-2026 rates'!$L:$R,4,0),IF($LB316=40%,VLOOKUP($JK316,'Jan-2026 rates'!$L:$R,5,0),IF($LB316=30%,VLOOKUP($JK316,'Jan-2026 rates'!$L:$R,6,0),IF($LB316=100%,VLOOKUP($JK316,'Jan-2026 rates'!$L:$R,7,0),IF($LB316=60%,VLOOKUP($JK316,'Jan-2026 rates'!$L:$S,8,0),IF($LB316=80%,VLOOKUP($JK316,'Jan-2026 rates'!L:T,9,0),0))))))))</f>
        <v>0</v>
      </c>
      <c r="JN316" s="412"/>
      <c r="JO316" s="409"/>
      <c r="JP316" s="411">
        <f>IF(JO316=0,0,IF($LB316=70%,VLOOKUP($JK316,'Jan-2026 rates'!$L:$R,4,0),IF($LB316=65%,VLOOKUP($JK316,'Jan-2026 rates'!$L:$R,4,0),IF($LB316=40%,VLOOKUP($JK316,'Jan-2026 rates'!$L:$R,5,0),IF($LB316=30%,VLOOKUP($JK316,'Jan-2026 rates'!$L:$R,6,0),IF($LB316=100%,VLOOKUP($JK316,'Jan-2026 rates'!$L:$R,7,0),IF($LB316=60%,VLOOKUP($JK316,'Jan-2026 rates'!$L:$S,8,0),IF($LB316=80%,VLOOKUP($JK316,'Jan-2026 rates'!L:T,9,0),0))))))))</f>
        <v>0</v>
      </c>
      <c r="JQ316" s="413">
        <v>55</v>
      </c>
      <c r="JR316" s="412" t="s">
        <v>1902</v>
      </c>
      <c r="JS316" s="413"/>
      <c r="JT316" s="413"/>
      <c r="JU316" s="412"/>
      <c r="JV316" s="412"/>
      <c r="JW316" s="412"/>
      <c r="JX316" s="412"/>
      <c r="JY316" s="409">
        <v>60</v>
      </c>
      <c r="JZ316" s="398">
        <f>IF(JY316=0,0,IF(LEN(JQ316)=11,_xlfn.XLOOKUP(JQ316,'Dispensed Ink Rates'!C:C,'Dispensed Ink Rates'!CS:CS),VLOOKUP(JQ316,'Jan-2026 rates'!$E:$F,2,0)))</f>
        <v>0</v>
      </c>
      <c r="KA316" s="409">
        <v>15</v>
      </c>
      <c r="KB316" s="398">
        <f>IF(KA316=0,0,IF(LEN(JR316)=11,_xlfn.XLOOKUP(JR316,'Dispensed Ink Rates'!C:C,'Dispensed Ink Rates'!CS:CS),VLOOKUP(JR316,'Jan-2026 rates'!$E:$F,2,0)))</f>
        <v>0</v>
      </c>
      <c r="KC316" s="409"/>
      <c r="KD316" s="398">
        <f>IF(KC316=0,0,IF(LEN(JS316)=11,_xlfn.XLOOKUP(JS316,'Dispensed Ink Rates'!C:C,'Dispensed Ink Rates'!CS:CS),VLOOKUP(JS316,'Jan-2026 rates'!$E:$F,2,0)))</f>
        <v>0</v>
      </c>
      <c r="KE316" s="409"/>
      <c r="KF316" s="398">
        <f>IF(KE316=0,0,IF(LEN(JT316)=11,_xlfn.XLOOKUP(JT316,'Dispensed Ink Rates'!C:C,'Dispensed Ink Rates'!CS:CS),VLOOKUP(JT316,'Jan-2026 rates'!$E:$F,2,0)))</f>
        <v>0</v>
      </c>
      <c r="KG316" s="409"/>
      <c r="KH316" s="398">
        <f>IF(KG316=0,0,IF(LEN(JU316)=11,_xlfn.XLOOKUP(JU316,'Dispensed Ink Rates'!C:C,'Dispensed Ink Rates'!CS:CS),VLOOKUP(JU316,'Jan-2026 rates'!$E:$F,2,0)))</f>
        <v>0</v>
      </c>
      <c r="KI316" s="409"/>
      <c r="KJ316" s="398">
        <f>IF(KI316=0,0,IF(LEN(JV316)=11,_xlfn.XLOOKUP(JV316,'Dispensed Ink Rates'!C:C,'Dispensed Ink Rates'!CS:CS),VLOOKUP(JV316,'Jan-2026 rates'!$E:$F,2,0)))</f>
        <v>0</v>
      </c>
      <c r="KK316" s="409"/>
      <c r="KL316" s="398">
        <f>IF(KK316=0,0,IF(LEN(JW316)=11,_xlfn.XLOOKUP(JW316,'Dispensed Ink Rates'!C:C,'Dispensed Ink Rates'!CS:CS),VLOOKUP(JW316,'Jan-2026 rates'!$E:$F,2,0)))</f>
        <v>0</v>
      </c>
      <c r="KM316" s="428"/>
      <c r="KN316" s="398">
        <f>IF(KM316=0,0,IF(LEN(JX316)=11,_xlfn.XLOOKUP(JX316,'Dispensed Ink Rates'!C:C,'Dispensed Ink Rates'!CS:CS),VLOOKUP(JX316,'Jan-2026 rates'!$E:$F,2,0)))</f>
        <v>0</v>
      </c>
      <c r="KO316" s="409" t="s">
        <v>1881</v>
      </c>
      <c r="KP316" s="409">
        <v>16</v>
      </c>
      <c r="KQ316" s="411">
        <f t="shared" si="233"/>
        <v>0</v>
      </c>
      <c r="KR316" s="411">
        <f t="shared" si="234"/>
        <v>124.34090909090909</v>
      </c>
      <c r="KS316" s="410">
        <f t="shared" si="235"/>
        <v>0</v>
      </c>
      <c r="KT316" s="409">
        <v>2</v>
      </c>
      <c r="KU316" s="409">
        <v>2</v>
      </c>
      <c r="KV316" s="409">
        <v>5</v>
      </c>
      <c r="KW316" s="409">
        <v>3</v>
      </c>
      <c r="KX316" s="409">
        <v>3</v>
      </c>
      <c r="KY316" s="409">
        <v>4</v>
      </c>
      <c r="KZ316" s="409">
        <v>10</v>
      </c>
      <c r="LA316" s="409">
        <v>15</v>
      </c>
      <c r="LB316" s="415">
        <v>0.3</v>
      </c>
      <c r="LC316" s="415"/>
      <c r="LD316" s="424"/>
      <c r="LE316" s="415">
        <v>0.5</v>
      </c>
      <c r="LF316" s="415">
        <v>0.2</v>
      </c>
      <c r="LG316" s="409">
        <v>0</v>
      </c>
      <c r="LH316" s="409">
        <f>25+28+24+40+16</f>
        <v>133</v>
      </c>
      <c r="LI316" s="409">
        <v>0</v>
      </c>
      <c r="LJ316" s="409">
        <v>0</v>
      </c>
      <c r="LK316" s="416">
        <f t="shared" si="191"/>
        <v>133</v>
      </c>
      <c r="LL316" s="416">
        <f t="shared" si="237"/>
        <v>133</v>
      </c>
      <c r="LM316" s="417">
        <f t="shared" si="193"/>
        <v>39.9</v>
      </c>
      <c r="LN316" s="417">
        <f>VLOOKUP($LM$8,'Jan-2026 rates'!$H:$I,2,0)</f>
        <v>0</v>
      </c>
      <c r="LO316" s="417">
        <f t="shared" si="194"/>
        <v>0</v>
      </c>
      <c r="LP316" s="417">
        <f>VLOOKUP($LO$8,'Jan-2026 rates'!$H:$I,2,0)</f>
        <v>0</v>
      </c>
      <c r="LQ316" s="417">
        <f t="shared" si="195"/>
        <v>0</v>
      </c>
      <c r="LR316" s="417">
        <f>VLOOKUP($LQ$8,'Jan-2026 rates'!$H:$I,2,0)</f>
        <v>0</v>
      </c>
      <c r="LS316" s="417">
        <f t="shared" si="196"/>
        <v>66.5</v>
      </c>
      <c r="LT316" s="417">
        <f>VLOOKUP($LS$8,'Jan-2026 rates'!$H:$I,2,0)</f>
        <v>0</v>
      </c>
      <c r="LU316" s="417">
        <f t="shared" si="197"/>
        <v>26.6</v>
      </c>
      <c r="LV316" s="417">
        <f>VLOOKUP($LU$8,'Jan-2026 rates'!$H:$I,2,0)</f>
        <v>0</v>
      </c>
      <c r="LW316" s="417">
        <f t="shared" si="198"/>
        <v>0</v>
      </c>
      <c r="LX316" s="417">
        <f t="shared" si="199"/>
        <v>0</v>
      </c>
      <c r="LY316" s="418">
        <f t="shared" si="200"/>
        <v>0</v>
      </c>
      <c r="LZ316" s="417"/>
      <c r="MA316" s="435">
        <f t="shared" si="201"/>
        <v>139</v>
      </c>
      <c r="MB316" s="282">
        <f t="shared" si="202"/>
        <v>279</v>
      </c>
      <c r="MC316" s="283" t="s">
        <v>2055</v>
      </c>
      <c r="MD316" s="284" t="str">
        <f t="shared" si="203"/>
        <v>ToyoLiToyoLiToyoLiToyoLiToyoLiToyoLiToyoLiToyoLi</v>
      </c>
      <c r="ME316" s="293" t="str">
        <f t="shared" si="204"/>
        <v>+</v>
      </c>
      <c r="MF316" s="293" t="str">
        <f t="shared" si="205"/>
        <v>+</v>
      </c>
      <c r="MG316" s="293" t="str">
        <f t="shared" si="206"/>
        <v>+</v>
      </c>
      <c r="MH316" s="293" t="str">
        <f t="shared" si="207"/>
        <v>+</v>
      </c>
      <c r="MI316" s="293" t="str">
        <f t="shared" si="208"/>
        <v>+</v>
      </c>
      <c r="MJ316" s="293" t="str">
        <f t="shared" si="209"/>
        <v>+</v>
      </c>
      <c r="MK316" s="293" t="str">
        <f t="shared" si="210"/>
        <v>+</v>
      </c>
      <c r="ML316" s="293" t="str">
        <f t="shared" si="211"/>
        <v>+</v>
      </c>
      <c r="MM316" s="3" t="b">
        <f t="array" ref="MM316">OR(ME316:ML316="-")</f>
        <v>0</v>
      </c>
      <c r="MO316" s="401">
        <f t="shared" si="238"/>
        <v>146.84210526315789</v>
      </c>
      <c r="MP316" s="286"/>
      <c r="MR316" s="402">
        <f t="shared" si="239"/>
        <v>3.0326086956521739E-2</v>
      </c>
      <c r="MS316" s="400">
        <f t="shared" si="240"/>
        <v>0</v>
      </c>
      <c r="MT316" s="285"/>
      <c r="NH316" s="361"/>
      <c r="NJ316" s="282"/>
    </row>
    <row r="317" spans="1:374" ht="16.5">
      <c r="A317" s="403">
        <v>46044</v>
      </c>
      <c r="B317" s="404" t="s">
        <v>1018</v>
      </c>
      <c r="C317" s="405" t="s">
        <v>4525</v>
      </c>
      <c r="D317" s="404" t="s">
        <v>2056</v>
      </c>
      <c r="E317" s="404">
        <f>3700+3686</f>
        <v>7386</v>
      </c>
      <c r="F317" s="407">
        <f>184000+183300</f>
        <v>367300</v>
      </c>
      <c r="G317" s="407" t="s">
        <v>1016</v>
      </c>
      <c r="H317" s="408" t="s">
        <v>1017</v>
      </c>
      <c r="I317" s="409">
        <v>1.3</v>
      </c>
      <c r="J317" s="405" t="s">
        <v>543</v>
      </c>
      <c r="K317" s="404" t="s">
        <v>4526</v>
      </c>
      <c r="L317" s="419" t="str">
        <f t="shared" si="184"/>
        <v>ToyoLi - BLACK</v>
      </c>
      <c r="M317" s="404">
        <v>25</v>
      </c>
      <c r="N317" s="410">
        <f>IF(M317=0,0,IF($LB317=70%,VLOOKUP($L317,'Jan-2026 rates'!$L:$R,4,0),IF($LB317=65%,VLOOKUP($L317,'Jan-2026 rates'!$L:$R,4,0),IF($LB317=40%,VLOOKUP($L317,'Jan-2026 rates'!$L:$R,5,0),IF($LB317=30%,VLOOKUP($L317,'Jan-2026 rates'!$L:$R,6,0),IF($LB317=100%,VLOOKUP($L317,'Jan-2026 rates'!$L:$R,7,0),IF($LB317=60%,VLOOKUP($L317,'Jan-2026 rates'!$L:$S,8,0),IF($LB317=80%,VLOOKUP($L317,'Jan-2026 rates'!L:T,9,0),0))))))))</f>
        <v>0</v>
      </c>
      <c r="O317" s="406"/>
      <c r="P317" s="404"/>
      <c r="Q317" s="410">
        <f>IF(P317=0,0,IF($LB317=70%,VLOOKUP($L317,'Jan-2026 rates'!$L:$R,4,0),IF($LB317=65%,VLOOKUP($L317,'Jan-2026 rates'!$L:$R,4,0),IF($LB317=40%,VLOOKUP($L317,'Jan-2026 rates'!$L:$R,5,0),IF($LB317=30%,VLOOKUP($L317,'Jan-2026 rates'!$L:$R,6,0),IF($LB317=100%,VLOOKUP($L317,'Jan-2026 rates'!$L:$R,7,0),IF($LB317=60%,VLOOKUP($L317,'Jan-2026 rates'!$L:$S,8,0),IF($LB317=80%,VLOOKUP($L317,'Jan-2026 rates'!L:T,9,0),0))))))))</f>
        <v>0</v>
      </c>
      <c r="R317" s="406" t="s">
        <v>1252</v>
      </c>
      <c r="S317" s="406"/>
      <c r="T317" s="406"/>
      <c r="U317" s="406"/>
      <c r="V317" s="406"/>
      <c r="W317" s="406"/>
      <c r="X317" s="406"/>
      <c r="Y317" s="406"/>
      <c r="Z317" s="404">
        <v>10</v>
      </c>
      <c r="AA317" s="398">
        <f>IF(Z317=0,0,IF(LEN(R317)=11,_xlfn.XLOOKUP(R317,'Dispensed Ink Rates'!C:C,'Dispensed Ink Rates'!CS:CS),VLOOKUP(R317,'Jan-2026 rates'!$E:$F,2,0)))</f>
        <v>0</v>
      </c>
      <c r="AB317" s="404"/>
      <c r="AC317" s="398">
        <f>IF(AB317=0,0,IF(LEN(S317)=11,_xlfn.XLOOKUP(S317,'Dispensed Ink Rates'!C:C,'Dispensed Ink Rates'!CS:CS),VLOOKUP(S317,'Jan-2026 rates'!$E:$F,2,0)))</f>
        <v>0</v>
      </c>
      <c r="AD317" s="404"/>
      <c r="AE317" s="398">
        <f>IF(AD317=0,0,IF(LEN(T317)=11,_xlfn.XLOOKUP(T317,'Dispensed Ink Rates'!C:C,'Dispensed Ink Rates'!CS:CS),VLOOKUP(T317,'Jan-2026 rates'!$E:$F,2,0)))</f>
        <v>0</v>
      </c>
      <c r="AF317" s="404"/>
      <c r="AG317" s="398">
        <f>IF(AF317=0,0,IF(LEN(U317)=11,_xlfn.XLOOKUP(U317,'Dispensed Ink Rates'!C:C,'Dispensed Ink Rates'!CS:CS),VLOOKUP(U317,'Jan-2026 rates'!$E:$F,2,0)))</f>
        <v>0</v>
      </c>
      <c r="AH317" s="404"/>
      <c r="AI317" s="398">
        <f>IF(AH317=0,0,IF(LEN(V317)=11,_xlfn.XLOOKUP(V317,'Dispensed Ink Rates'!C:C,'Dispensed Ink Rates'!CS:CS),VLOOKUP(V317,'Jan-2026 rates'!$E:$F,2,0)))</f>
        <v>0</v>
      </c>
      <c r="AJ317" s="404"/>
      <c r="AK317" s="398">
        <f>IF(AJ317=0,0,IF(LEN(W317)=11,_xlfn.XLOOKUP(W317,'Dispensed Ink Rates'!C:C,'Dispensed Ink Rates'!CS:CS),VLOOKUP(W317,'Jan-2026 rates'!$E:$F,2,0)))</f>
        <v>0</v>
      </c>
      <c r="AL317" s="404"/>
      <c r="AM317" s="398">
        <f>IF(AL317=0,0,IF(LEN(X317)=11,_xlfn.XLOOKUP(X317,'Dispensed Ink Rates'!C:C,'Dispensed Ink Rates'!CS:CS),VLOOKUP(X317,'Jan-2026 rates'!$E:$F,2,0)))</f>
        <v>0</v>
      </c>
      <c r="AN317" s="404"/>
      <c r="AO317" s="398">
        <f>IF(AN317=0,0,IF(LEN(Y317)=11,_xlfn.XLOOKUP(Y317,'Dispensed Ink Rates'!C:C,'Dispensed Ink Rates'!CS:CS),VLOOKUP(Y317,'Jan-2026 rates'!$E:$F,2,0)))</f>
        <v>0</v>
      </c>
      <c r="AP317" s="409" t="s">
        <v>1881</v>
      </c>
      <c r="AQ317" s="409">
        <v>20</v>
      </c>
      <c r="AR317" s="410">
        <f t="shared" si="212"/>
        <v>0</v>
      </c>
      <c r="AS317" s="411">
        <f t="shared" si="213"/>
        <v>25.934856175972925</v>
      </c>
      <c r="AT317" s="410">
        <f t="shared" si="214"/>
        <v>0</v>
      </c>
      <c r="AU317" s="405" t="s">
        <v>546</v>
      </c>
      <c r="AV317" s="409" t="s">
        <v>3587</v>
      </c>
      <c r="AW317" s="420" t="str">
        <f t="shared" si="236"/>
        <v>ToyoLi - REFLEX BLUE</v>
      </c>
      <c r="AX317" s="409">
        <v>17</v>
      </c>
      <c r="AY317" s="411">
        <f>IF(AX317=0,0,IF($LB317=70%,VLOOKUP($AW317,'Jan-2026 rates'!$L:$R,4,0),IF($LB317=65%,VLOOKUP($AW317,'Jan-2026 rates'!$L:$R,4,0),IF($LB317=40%,VLOOKUP($AW317,'Jan-2026 rates'!$L:$R,5,0),IF($LB317=30%,VLOOKUP($AW317,'Jan-2026 rates'!$L:$R,6,0),IF($LB317=100%,VLOOKUP($AW317,'Jan-2026 rates'!$L:$R,7,0),IF($LB317=60%,VLOOKUP($AW317,'Jan-2026 rates'!$L:$S,8,0),IF($LB317=80%,VLOOKUP($AW317,'Jan-2026 rates'!L:T,9,0),0))))))))</f>
        <v>0</v>
      </c>
      <c r="AZ317" s="412" t="s">
        <v>4527</v>
      </c>
      <c r="BA317" s="409">
        <f>20+12+17+15+10+18+5+16+20+12+10+18+19+5</f>
        <v>197</v>
      </c>
      <c r="BB317" s="411">
        <f>IF(BA317=0,0,IF($LB317=70%,VLOOKUP($AW317,'Jan-2026 rates'!$L:$R,4,0),IF($LB317=65%,VLOOKUP($AW317,'Jan-2026 rates'!$L:$R,4,0),IF($LB317=40%,VLOOKUP($AW317,'Jan-2026 rates'!$L:$R,5,0),IF($LB317=30%,VLOOKUP($AW317,'Jan-2026 rates'!$L:$R,6,0),IF($LB317=100%,VLOOKUP($AW317,'Jan-2026 rates'!$L:$R,7,0),IF($LB317=60%,VLOOKUP($AW317,'Jan-2026 rates'!$L:$S,8,0),IF($LB317=80%,VLOOKUP($AW317,'Jan-2026 rates'!L:T,9,0),0))))))))</f>
        <v>0</v>
      </c>
      <c r="BC317" s="413" t="s">
        <v>1880</v>
      </c>
      <c r="BD317" s="412" t="s">
        <v>1246</v>
      </c>
      <c r="BE317" s="412" t="s">
        <v>1880</v>
      </c>
      <c r="BF317" s="413" t="s">
        <v>1246</v>
      </c>
      <c r="BG317" s="412"/>
      <c r="BH317" s="412"/>
      <c r="BI317" s="412"/>
      <c r="BJ317" s="412"/>
      <c r="BK317" s="409">
        <f>100+40+40</f>
        <v>180</v>
      </c>
      <c r="BL317" s="398">
        <f>IF(BK317=0,0,IF(LEN(BC317)=11,_xlfn.XLOOKUP(BC317,'Dispensed Ink Rates'!C:C,'Dispensed Ink Rates'!CS:CS),VLOOKUP(BC317,'Jan-2026 rates'!$E:$F,2,0)))</f>
        <v>0</v>
      </c>
      <c r="BM317" s="409">
        <f>40+20+30</f>
        <v>90</v>
      </c>
      <c r="BN317" s="398">
        <f>IF(BM317=0,0,IF(LEN(BD317)=11,_xlfn.XLOOKUP(BD317,'Dispensed Ink Rates'!C:C,'Dispensed Ink Rates'!CS:CS),VLOOKUP(BD317,'Jan-2026 rates'!$E:$F,2,0)))</f>
        <v>0</v>
      </c>
      <c r="BO317" s="409">
        <f>40+60+60</f>
        <v>160</v>
      </c>
      <c r="BP317" s="398">
        <f>IF(BO317=0,0,IF(LEN(BE317)=11,_xlfn.XLOOKUP(BE317,'Dispensed Ink Rates'!C:C,'Dispensed Ink Rates'!CS:CS),VLOOKUP(BE317,'Jan-2026 rates'!$E:$F,2,0)))</f>
        <v>0</v>
      </c>
      <c r="BQ317" s="409">
        <f>40+50+50</f>
        <v>140</v>
      </c>
      <c r="BR317" s="398">
        <f>IF(BQ317=0,0,IF(LEN(BF317)=11,_xlfn.XLOOKUP(BF317,'Dispensed Ink Rates'!C:C,'Dispensed Ink Rates'!CS:CS),VLOOKUP(BF317,'Jan-2026 rates'!$E:$F,2,0)))</f>
        <v>0</v>
      </c>
      <c r="BS317" s="409"/>
      <c r="BT317" s="398">
        <f>IF(BS317=0,0,IF(LEN(BG317)=11,_xlfn.XLOOKUP(BG317,'Dispensed Ink Rates'!C:C,'Dispensed Ink Rates'!CS:CS),VLOOKUP(BG317,'Jan-2026 rates'!$E:$F,2,0)))</f>
        <v>0</v>
      </c>
      <c r="BU317" s="409"/>
      <c r="BV317" s="398">
        <f>IF(BU317=0,0,IF(LEN(BH317)=11,_xlfn.XLOOKUP(BH317,'Dispensed Ink Rates'!C:C,'Dispensed Ink Rates'!CS:CS),VLOOKUP(BH317,'Jan-2026 rates'!$E:$F,2,0)))</f>
        <v>0</v>
      </c>
      <c r="BW317" s="409"/>
      <c r="BX317" s="398">
        <f>IF(BW317=0,0,IF(LEN(BI317)=11,_xlfn.XLOOKUP(BI317,'Dispensed Ink Rates'!C:C,'Dispensed Ink Rates'!CS:CS),VLOOKUP(BI317,'Jan-2026 rates'!$E:$F,2,0)))</f>
        <v>0</v>
      </c>
      <c r="BY317" s="409"/>
      <c r="BZ317" s="398">
        <f>IF(BY317=0,0,IF(LEN(BJ317)=11,_xlfn.XLOOKUP(BJ317,'Dispensed Ink Rates'!C:C,'Dispensed Ink Rates'!CS:CS),VLOOKUP(BJ317,'Jan-2026 rates'!$E:$F,2,0)))</f>
        <v>0</v>
      </c>
      <c r="CA317" s="409" t="s">
        <v>1881</v>
      </c>
      <c r="CB317" s="409">
        <f>18+18</f>
        <v>36</v>
      </c>
      <c r="CC317" s="411">
        <f t="shared" si="215"/>
        <v>0</v>
      </c>
      <c r="CD317" s="411">
        <f t="shared" si="216"/>
        <v>1316.6125211505923</v>
      </c>
      <c r="CE317" s="410">
        <f t="shared" si="217"/>
        <v>0</v>
      </c>
      <c r="CF317" s="404" t="s">
        <v>544</v>
      </c>
      <c r="CG317" s="409" t="s">
        <v>4505</v>
      </c>
      <c r="CH317" s="420" t="str">
        <f t="shared" si="185"/>
        <v>ToyoLi - MAGENTA</v>
      </c>
      <c r="CI317" s="409">
        <f>18+15</f>
        <v>33</v>
      </c>
      <c r="CJ317" s="411">
        <f>IF(CI317=0,0,IF($LB317=70%,VLOOKUP($CH317,'Jan-2026 rates'!$L:$R,4,0),IF($LB317=65%,VLOOKUP($CH317,'Jan-2026 rates'!$L:$R,4,0),IF($LB317=40%,VLOOKUP($CH317,'Jan-2026 rates'!$L:$R,5,0),IF($LB317=30%,VLOOKUP($CH317,'Jan-2026 rates'!$L:$R,6,0),IF($LB317=100%,VLOOKUP($CH317,'Jan-2026 rates'!$L:$R,7,0),IF($LB317=60%,VLOOKUP($CH317,'Jan-2026 rates'!$L:$S,8,0),IF($LB317=80%,VLOOKUP($CH317,'Jan-2026 rates'!L:T,9,0),0))))))))</f>
        <v>0</v>
      </c>
      <c r="CK317" s="412"/>
      <c r="CL317" s="409"/>
      <c r="CM317" s="411">
        <f>IF(CL317=0,0,IF($LB317=70%,VLOOKUP($CH317,'Jan-2026 rates'!$L:$R,4,0),IF($LB317=65%,VLOOKUP($CH317,'Jan-2026 rates'!$L:$R,4,0),IF($LB317=40%,VLOOKUP($CH317,'Jan-2026 rates'!$L:$R,5,0),IF($LB317=30%,VLOOKUP($CH317,'Jan-2026 rates'!$L:$R,6,0),IF($LB317=100%,VLOOKUP($CH317,'Jan-2026 rates'!$L:$R,7,0),IF($LB317=60%,VLOOKUP($CH317,'Jan-2026 rates'!$L:$S,8,0),IF($LB317=80%,VLOOKUP($CH317,'Jan-2026 rates'!L:T,9,0),0))))))))</f>
        <v>0</v>
      </c>
      <c r="CN317" s="426" t="s">
        <v>1246</v>
      </c>
      <c r="CO317" s="427" t="s">
        <v>1921</v>
      </c>
      <c r="CP317" s="426"/>
      <c r="CQ317" s="426"/>
      <c r="CR317" s="428"/>
      <c r="CS317" s="428"/>
      <c r="CT317" s="428"/>
      <c r="CU317" s="428"/>
      <c r="CV317" s="409">
        <v>20</v>
      </c>
      <c r="CW317" s="398">
        <f>IF(CV317=0,0,IF(LEN(CN317)=11,_xlfn.XLOOKUP(CN317,'Dispensed Ink Rates'!C:C,'Dispensed Ink Rates'!CS:CS),VLOOKUP(CN317,'Jan-2026 rates'!$E:$F,2,0)))</f>
        <v>0</v>
      </c>
      <c r="CX317" s="409">
        <v>15</v>
      </c>
      <c r="CY317" s="398">
        <f>IF(CX317=0,0,IF(LEN(CO317)=11,_xlfn.XLOOKUP(CO317,'Dispensed Ink Rates'!C:C,'Dispensed Ink Rates'!CS:CS),VLOOKUP(CO317,'Jan-2026 rates'!$E:$F,2,0)))</f>
        <v>0</v>
      </c>
      <c r="CZ317" s="409"/>
      <c r="DA317" s="398">
        <f>IF(CZ317=0,0,IF(LEN(CP317)=11,_xlfn.XLOOKUP(CP317,'Dispensed Ink Rates'!C:C,'Dispensed Ink Rates'!CS:CS),VLOOKUP(CP317,'Jan-2026 rates'!$E:$F,2,0)))</f>
        <v>0</v>
      </c>
      <c r="DB317" s="409"/>
      <c r="DC317" s="398">
        <f>IF(DB317=0,0,IF(LEN(CQ317)=11,_xlfn.XLOOKUP(CQ317,'Dispensed Ink Rates'!C:C,'Dispensed Ink Rates'!CS:CS),VLOOKUP(CQ317,'Jan-2026 rates'!$E:$F,2,0)))</f>
        <v>0</v>
      </c>
      <c r="DD317" s="409"/>
      <c r="DE317" s="398">
        <f>IF(DD317=0,0,IF(LEN(CR317)=11,_xlfn.XLOOKUP(CR317,'Dispensed Ink Rates'!C:C,'Dispensed Ink Rates'!CS:CS),VLOOKUP(CR317,'Jan-2026 rates'!$E:$F,2,0)))</f>
        <v>0</v>
      </c>
      <c r="DF317" s="409"/>
      <c r="DG317" s="398">
        <f>IF(DF317=0,0,IF(LEN(CS317)=11,_xlfn.XLOOKUP(CS317,'Dispensed Ink Rates'!C:C,'Dispensed Ink Rates'!CS:CS),VLOOKUP(CS317,'Jan-2026 rates'!$E:$F,2,0)))</f>
        <v>0</v>
      </c>
      <c r="DH317" s="409"/>
      <c r="DI317" s="398">
        <f>IF(DH317=0,0,IF(LEN(CT317)=11,_xlfn.XLOOKUP(CT317,'Dispensed Ink Rates'!C:C,'Dispensed Ink Rates'!CS:CS),VLOOKUP(CT317,'Jan-2026 rates'!$E:$F,2,0)))</f>
        <v>0</v>
      </c>
      <c r="DJ317" s="409"/>
      <c r="DK317" s="398">
        <f>IF(DJ317=0,0,IF(LEN(CU317)=11,_xlfn.XLOOKUP(CU317,'Dispensed Ink Rates'!C:C,'Dispensed Ink Rates'!CS:CS),VLOOKUP(CU317,'Jan-2026 rates'!$E:$F,2,0)))</f>
        <v>0</v>
      </c>
      <c r="DL317" s="409" t="s">
        <v>1881</v>
      </c>
      <c r="DM317" s="409">
        <f>16+17</f>
        <v>33</v>
      </c>
      <c r="DN317" s="411">
        <f t="shared" si="218"/>
        <v>0</v>
      </c>
      <c r="DO317" s="411">
        <f t="shared" si="219"/>
        <v>100.60913705583755</v>
      </c>
      <c r="DP317" s="410">
        <f t="shared" si="220"/>
        <v>0</v>
      </c>
      <c r="DQ317" s="405" t="s">
        <v>545</v>
      </c>
      <c r="DR317" s="409"/>
      <c r="DS317" s="420" t="str">
        <f t="shared" si="186"/>
        <v>ToyoLi - YELLOW</v>
      </c>
      <c r="DT317" s="409"/>
      <c r="DU317" s="411">
        <f>IF(DT317=0,0,IF($LB317=70%,VLOOKUP($DS317,'Jan-2026 rates'!$L:$R,4,0),IF($LB317=65%,VLOOKUP($DS317,'Jan-2026 rates'!$L:$R,4,0),IF($LB317=40%,VLOOKUP($DS317,'Jan-2026 rates'!$L:$R,5,0),IF($LB317=30%,VLOOKUP($DS317,'Jan-2026 rates'!$L:$R,6,0),IF($LB317=100%,VLOOKUP($DS317,'Jan-2026 rates'!$L:$R,7,0),IF($LB317=60%,VLOOKUP($DS317,'Jan-2026 rates'!$L:$S,8,0),IF($LB317=80%,VLOOKUP($DS317,'Jan-2026 rates'!L:T,9,0),0))))))))</f>
        <v>0</v>
      </c>
      <c r="DV317" s="412"/>
      <c r="DW317" s="409"/>
      <c r="DX317" s="411">
        <f>IF(DW317=0,0,IF($LB317=70%,VLOOKUP($DS317,'Jan-2026 rates'!$L:$R,4,0),IF($LB317=65%,VLOOKUP($DS317,'Jan-2026 rates'!$L:$R,4,0),IF($LB317=40%,VLOOKUP($DS317,'Jan-2026 rates'!$L:$R,5,0),IF($LB317=30%,VLOOKUP($DS317,'Jan-2026 rates'!$L:$R,6,0),IF($LB317=100%,VLOOKUP($DS317,'Jan-2026 rates'!$L:$R,7,0),IF($LB317=60%,VLOOKUP($DS317,'Jan-2026 rates'!$L:$S,8,0),IF($LB317=80%,VLOOKUP($DS317,'Jan-2026 rates'!L:T,9,0),0))))))))</f>
        <v>0</v>
      </c>
      <c r="DY317" s="413" t="s">
        <v>1247</v>
      </c>
      <c r="DZ317" s="413" t="s">
        <v>1248</v>
      </c>
      <c r="EA317" s="412"/>
      <c r="EB317" s="412"/>
      <c r="EC317" s="412"/>
      <c r="ED317" s="412"/>
      <c r="EE317" s="412"/>
      <c r="EF317" s="412"/>
      <c r="EG317" s="409">
        <f>30+10+10</f>
        <v>50</v>
      </c>
      <c r="EH317" s="398">
        <f>IF(EG317=0,0,IF(LEN(DY317)=11,_xlfn.XLOOKUP(DY317,'Dispensed Ink Rates'!C:C,'Dispensed Ink Rates'!CS:CS),VLOOKUP(DY317,'Jan-2026 rates'!$E:$F,2,0)))</f>
        <v>0</v>
      </c>
      <c r="EI317" s="409">
        <f>0.2+0.3</f>
        <v>0.5</v>
      </c>
      <c r="EJ317" s="398">
        <f>IF(EI317=0,0,IF(LEN(DZ317)=11,_xlfn.XLOOKUP(DZ317,'Dispensed Ink Rates'!C:C,'Dispensed Ink Rates'!CS:CS),VLOOKUP(DZ317,'Jan-2026 rates'!$E:$F,2,0)))</f>
        <v>0</v>
      </c>
      <c r="EK317" s="409"/>
      <c r="EL317" s="398">
        <f>IF(EK317=0,0,IF(LEN(EA317)=11,_xlfn.XLOOKUP(EA317,'Dispensed Ink Rates'!C:C,'Dispensed Ink Rates'!CS:CS),VLOOKUP(EA317,'Jan-2026 rates'!$E:$F,2,0)))</f>
        <v>0</v>
      </c>
      <c r="EM317" s="409"/>
      <c r="EN317" s="398">
        <f>IF(EM317=0,0,IF(LEN(EB317)=11,_xlfn.XLOOKUP(EB317,'Dispensed Ink Rates'!C:C,'Dispensed Ink Rates'!CS:CS),VLOOKUP(EB317,'Jan-2026 rates'!$E:$F,2,0)))</f>
        <v>0</v>
      </c>
      <c r="EO317" s="409"/>
      <c r="EP317" s="398">
        <f>IF(EO317=0,0,IF(LEN(EC317)=11,_xlfn.XLOOKUP(EC317,'Dispensed Ink Rates'!C:C,'Dispensed Ink Rates'!CS:CS),VLOOKUP(EC317,'Jan-2026 rates'!$E:$F,2,0)))</f>
        <v>0</v>
      </c>
      <c r="EQ317" s="409"/>
      <c r="ER317" s="398">
        <f>IF(EQ317=0,0,IF(LEN(ED317)=11,_xlfn.XLOOKUP(ED317,'Dispensed Ink Rates'!C:C,'Dispensed Ink Rates'!CS:CS),VLOOKUP(ED317,'Jan-2026 rates'!$E:$F,2,0)))</f>
        <v>0</v>
      </c>
      <c r="ES317" s="409"/>
      <c r="ET317" s="398">
        <f>IF(ES317=0,0,IF(LEN(EE317)=11,_xlfn.XLOOKUP(EE317,'Dispensed Ink Rates'!C:C,'Dispensed Ink Rates'!CS:CS),VLOOKUP(EE317,'Jan-2026 rates'!$E:$F,2,0)))</f>
        <v>0</v>
      </c>
      <c r="EU317" s="409"/>
      <c r="EV317" s="398">
        <f>IF(EU317=0,0,IF(LEN(EF317)=11,_xlfn.XLOOKUP(EF317,'Dispensed Ink Rates'!C:C,'Dispensed Ink Rates'!CS:CS),VLOOKUP(EF317,'Jan-2026 rates'!$E:$F,2,0)))</f>
        <v>0</v>
      </c>
      <c r="EW317" s="409" t="s">
        <v>1881</v>
      </c>
      <c r="EX317" s="409">
        <v>25</v>
      </c>
      <c r="EY317" s="411">
        <f t="shared" si="221"/>
        <v>0</v>
      </c>
      <c r="EZ317" s="411">
        <f t="shared" si="222"/>
        <v>58.304568527918775</v>
      </c>
      <c r="FA317" s="410">
        <f t="shared" si="223"/>
        <v>0</v>
      </c>
      <c r="FB317" s="405" t="s">
        <v>855</v>
      </c>
      <c r="FC317" s="409" t="s">
        <v>4528</v>
      </c>
      <c r="FD317" s="420" t="str">
        <f t="shared" si="187"/>
        <v>ToyoLi - CYAN</v>
      </c>
      <c r="FE317" s="409">
        <v>18</v>
      </c>
      <c r="FF317" s="411">
        <f>IF(FE317=0,0,IF($LB317=70%,VLOOKUP($FD317,'Jan-2026 rates'!$L:$R,4,0),IF($LB317=65%,VLOOKUP($FD317,'Jan-2026 rates'!$L:$R,4,0),IF($LB317=40%,VLOOKUP($FD317,'Jan-2026 rates'!$L:$R,5,0),IF($LB317=30%,VLOOKUP($FD317,'Jan-2026 rates'!$L:$R,6,0),IF($LB317=100%,VLOOKUP($FD317,'Jan-2026 rates'!$L:$R,7,0),IF($LB317=60%,VLOOKUP($FD317,'Jan-2026 rates'!$L:$S,8,0),IF($LB317=80%,VLOOKUP($FD317,'Jan-2026 rates'!L:T,9,0),0))))))))</f>
        <v>0</v>
      </c>
      <c r="FG317" s="412" t="s">
        <v>4529</v>
      </c>
      <c r="FH317" s="409">
        <f>18+18+18+16+10+20+12+16+18</f>
        <v>146</v>
      </c>
      <c r="FI317" s="411">
        <f>IF(FH317=0,0,IF($LB317=70%,VLOOKUP($FD317,'Jan-2026 rates'!$L:$R,4,0),IF($LB317=65%,VLOOKUP($FD317,'Jan-2026 rates'!$L:$R,4,0),IF($LB317=40%,VLOOKUP($FD317,'Jan-2026 rates'!$L:$R,5,0),IF($LB317=30%,VLOOKUP($FD317,'Jan-2026 rates'!$L:$R,6,0),IF($LB317=100%,VLOOKUP($FD317,'Jan-2026 rates'!$L:$R,7,0),IF($LB317=60%,VLOOKUP($FD317,'Jan-2026 rates'!$L:$S,8,0),IF($LB317=80%,VLOOKUP($FD317,'Jan-2026 rates'!L:T,9,0),0))))))))</f>
        <v>0</v>
      </c>
      <c r="FJ317" s="413" t="s">
        <v>1250</v>
      </c>
      <c r="FK317" s="413" t="s">
        <v>1921</v>
      </c>
      <c r="FL317" s="413" t="s">
        <v>1921</v>
      </c>
      <c r="FM317" s="412" t="s">
        <v>1250</v>
      </c>
      <c r="FN317" s="412"/>
      <c r="FO317" s="412"/>
      <c r="FP317" s="412"/>
      <c r="FQ317" s="412"/>
      <c r="FR317" s="409">
        <f>45+40</f>
        <v>85</v>
      </c>
      <c r="FS317" s="398">
        <f>IF(FR317=0,0,IF(LEN(FJ317)=11,_xlfn.XLOOKUP(FJ317,'Dispensed Ink Rates'!C:C,'Dispensed Ink Rates'!CS:CS),VLOOKUP(FJ317,'Jan-2026 rates'!$E:$F,2,0)))</f>
        <v>0</v>
      </c>
      <c r="FT317" s="409">
        <f>50+40</f>
        <v>90</v>
      </c>
      <c r="FU317" s="398">
        <f>IF(FT317=0,0,IF(LEN(FK317)=11,_xlfn.XLOOKUP(FK317,'Dispensed Ink Rates'!C:C,'Dispensed Ink Rates'!CS:CS),VLOOKUP(FK317,'Jan-2026 rates'!$E:$F,2,0)))</f>
        <v>0</v>
      </c>
      <c r="FV317" s="409">
        <f>30+40+20+10+40</f>
        <v>140</v>
      </c>
      <c r="FW317" s="398">
        <f>IF(FV317=0,0,IF(LEN(FL317)=11,_xlfn.XLOOKUP(FL317,'Dispensed Ink Rates'!C:C,'Dispensed Ink Rates'!CS:CS),VLOOKUP(FL317,'Jan-2026 rates'!$E:$F,2,0)))</f>
        <v>0</v>
      </c>
      <c r="FX317" s="409">
        <f>20+40+60+60</f>
        <v>180</v>
      </c>
      <c r="FY317" s="398">
        <f>IF(FX317=0,0,IF(LEN(FM317)=11,_xlfn.XLOOKUP(FM317,'Dispensed Ink Rates'!C:C,'Dispensed Ink Rates'!CS:CS),VLOOKUP(FM317,'Jan-2026 rates'!$E:$F,2,0)))</f>
        <v>0</v>
      </c>
      <c r="FZ317" s="409"/>
      <c r="GA317" s="398">
        <f>IF(FZ317=0,0,IF(LEN(FN317)=11,_xlfn.XLOOKUP(FN317,'Dispensed Ink Rates'!C:C,'Dispensed Ink Rates'!CS:CS),VLOOKUP(FN317,'Jan-2026 rates'!$E:$F,2,0)))</f>
        <v>0</v>
      </c>
      <c r="GB317" s="409"/>
      <c r="GC317" s="398">
        <f>IF(GB317=0,0,IF(LEN(FO317)=11,_xlfn.XLOOKUP(FO317,'Dispensed Ink Rates'!C:C,'Dispensed Ink Rates'!CS:CS),VLOOKUP(FO317,'Jan-2026 rates'!$E:$F,2,0)))</f>
        <v>0</v>
      </c>
      <c r="GD317" s="409"/>
      <c r="GE317" s="398">
        <f>IF(GD317=0,0,IF(LEN(FP317)=11,_xlfn.XLOOKUP(FP317,'Dispensed Ink Rates'!C:C,'Dispensed Ink Rates'!CS:CS),VLOOKUP(FP317,'Jan-2026 rates'!$E:$F,2,0)))</f>
        <v>0</v>
      </c>
      <c r="GF317" s="409"/>
      <c r="GG317" s="398">
        <f>IF(GF317=0,0,IF(LEN(FQ317)=11,_xlfn.XLOOKUP(FQ317,'Dispensed Ink Rates'!C:C,'Dispensed Ink Rates'!CS:CS),VLOOKUP(FQ317,'Jan-2026 rates'!$E:$F,2,0)))</f>
        <v>0</v>
      </c>
      <c r="GH317" s="409" t="s">
        <v>1881</v>
      </c>
      <c r="GI317" s="409">
        <f>20+12</f>
        <v>32</v>
      </c>
      <c r="GJ317" s="411">
        <f t="shared" si="224"/>
        <v>0</v>
      </c>
      <c r="GK317" s="411">
        <f t="shared" si="225"/>
        <v>1261.2216582064298</v>
      </c>
      <c r="GL317" s="410">
        <f t="shared" si="226"/>
        <v>0</v>
      </c>
      <c r="GM317" s="405" t="s">
        <v>544</v>
      </c>
      <c r="GN317" s="409" t="s">
        <v>4530</v>
      </c>
      <c r="GO317" s="420" t="str">
        <f t="shared" si="188"/>
        <v>ToyoLi - MAGENTA</v>
      </c>
      <c r="GP317" s="409">
        <v>24</v>
      </c>
      <c r="GQ317" s="411">
        <f>IF(GP317=0,0,IF($LB317=70%,VLOOKUP($GO317,'Jan-2026 rates'!$L:$R,4,0),IF($LB317=65%,VLOOKUP($GO317,'Jan-2026 rates'!$L:$R,4,0),IF($LB317=40%,VLOOKUP($GO317,'Jan-2026 rates'!$L:$R,5,0),IF($LB317=30%,VLOOKUP($GO317,'Jan-2026 rates'!$L:$R,6,0),IF($LB317=100%,VLOOKUP($GO317,'Jan-2026 rates'!$L:$R,7,0),IF($LB317=60%,VLOOKUP($GO317,'Jan-2026 rates'!$L:$S,8,0),IF($LB317=80%,VLOOKUP($GO317,'Jan-2026 rates'!L:T,9,0),0))))))))</f>
        <v>0</v>
      </c>
      <c r="GR317" s="412"/>
      <c r="GS317" s="409"/>
      <c r="GT317" s="411">
        <f>IF(GS317=0,0,IF($LB317=70%,VLOOKUP($GO317,'Jan-2026 rates'!$L:$R,4,0),IF($LB317=65%,VLOOKUP($GO317,'Jan-2026 rates'!$L:$R,4,0),IF($LB317=40%,VLOOKUP($GO317,'Jan-2026 rates'!$L:$R,5,0),IF($LB317=30%,VLOOKUP($GO317,'Jan-2026 rates'!$L:$R,6,0),IF($LB317=100%,VLOOKUP($GO317,'Jan-2026 rates'!$L:$R,7,0),IF($LB317=60%,VLOOKUP($GO317,'Jan-2026 rates'!$L:$S,8,0),IF($LB317=80%,VLOOKUP($GO317,'Jan-2026 rates'!L:T,9,0),0))))))))</f>
        <v>0</v>
      </c>
      <c r="GU317" s="413" t="s">
        <v>1246</v>
      </c>
      <c r="GV317" s="413"/>
      <c r="GW317" s="412"/>
      <c r="GX317" s="412"/>
      <c r="GY317" s="412"/>
      <c r="GZ317" s="412"/>
      <c r="HA317" s="412"/>
      <c r="HB317" s="412"/>
      <c r="HC317" s="409">
        <v>5</v>
      </c>
      <c r="HD317" s="398">
        <f>IF(HC317=0,0,IF(LEN(GU317)=11,_xlfn.XLOOKUP(GU317,'Dispensed Ink Rates'!C:C,'Dispensed Ink Rates'!CS:CS),VLOOKUP(GU317,'Jan-2026 rates'!$E:$F,2,0)))</f>
        <v>0</v>
      </c>
      <c r="HE317" s="409"/>
      <c r="HF317" s="398">
        <f>IF(HE317=0,0,IF(LEN(GV317)=11,_xlfn.XLOOKUP(GV317,'Dispensed Ink Rates'!C:C,'Dispensed Ink Rates'!CS:CS),VLOOKUP(GV317,'Jan-2026 rates'!$E:$F,2,0)))</f>
        <v>0</v>
      </c>
      <c r="HG317" s="409"/>
      <c r="HH317" s="398">
        <f>IF(HG317=0,0,IF(LEN(GW317)=11,_xlfn.XLOOKUP(GW317,'Dispensed Ink Rates'!C:C,'Dispensed Ink Rates'!CS:CS),VLOOKUP(GW317,'Jan-2026 rates'!$E:$F,2,0)))</f>
        <v>0</v>
      </c>
      <c r="HI317" s="409"/>
      <c r="HJ317" s="398">
        <f>IF(HI317=0,0,IF(LEN(GX317)=11,_xlfn.XLOOKUP(GX317,'Dispensed Ink Rates'!C:C,'Dispensed Ink Rates'!CS:CS),VLOOKUP(GX317,'Jan-2026 rates'!$E:$F,2,0)))</f>
        <v>0</v>
      </c>
      <c r="HK317" s="409"/>
      <c r="HL317" s="398">
        <f>IF(HK317=0,0,IF(LEN(GY317)=11,_xlfn.XLOOKUP(GY317,'Dispensed Ink Rates'!C:C,'Dispensed Ink Rates'!CS:CS),VLOOKUP(GY317,'Jan-2026 rates'!$E:$F,2,0)))</f>
        <v>0</v>
      </c>
      <c r="HM317" s="409"/>
      <c r="HN317" s="398">
        <f>IF(HM317=0,0,IF(LEN(GZ317)=11,_xlfn.XLOOKUP(GZ317,'Dispensed Ink Rates'!C:C,'Dispensed Ink Rates'!CS:CS),VLOOKUP(GZ317,'Jan-2026 rates'!$E:$F,2,0)))</f>
        <v>0</v>
      </c>
      <c r="HO317" s="409"/>
      <c r="HP317" s="398">
        <f>IF(HO317=0,0,IF(LEN(HA317)=11,_xlfn.XLOOKUP(HA317,'Dispensed Ink Rates'!C:C,'Dispensed Ink Rates'!CS:CS),VLOOKUP(HA317,'Jan-2026 rates'!$E:$F,2,0)))</f>
        <v>0</v>
      </c>
      <c r="HQ317" s="409"/>
      <c r="HR317" s="398">
        <f>IF(HQ317=0,0,IF(LEN(HB317)=11,_xlfn.XLOOKUP(HB317,'Dispensed Ink Rates'!C:C,'Dispensed Ink Rates'!CS:CS),VLOOKUP(HB317,'Jan-2026 rates'!$E:$F,2,0)))</f>
        <v>0</v>
      </c>
      <c r="HS317" s="409" t="s">
        <v>1881</v>
      </c>
      <c r="HT317" s="409">
        <f>20+10</f>
        <v>30</v>
      </c>
      <c r="HU317" s="411">
        <f t="shared" si="227"/>
        <v>0</v>
      </c>
      <c r="HV317" s="411">
        <f t="shared" si="228"/>
        <v>14.308798646362099</v>
      </c>
      <c r="HW317" s="414">
        <f t="shared" si="229"/>
        <v>0</v>
      </c>
      <c r="HX317" s="405" t="s">
        <v>545</v>
      </c>
      <c r="HY317" s="409" t="s">
        <v>4531</v>
      </c>
      <c r="HZ317" s="420" t="str">
        <f t="shared" si="189"/>
        <v>ToyoLi - YELLOW</v>
      </c>
      <c r="IA317" s="409">
        <v>23</v>
      </c>
      <c r="IB317" s="411">
        <f>IF(IA317=0,0,IF($LB317=70%,VLOOKUP($HZ317,'Jan-2026 rates'!$L:$R,4,0),IF($LB317=65%,VLOOKUP($HZ317,'Jan-2026 rates'!$L:$R,4,0),IF($LB317=40%,VLOOKUP($HZ317,'Jan-2026 rates'!$L:$R,5,0),IF($LB317=30%,VLOOKUP($HZ317,'Jan-2026 rates'!$L:$R,6,0),IF($LB317=100%,VLOOKUP($HZ317,'Jan-2026 rates'!$L:$R,7,0),IF($LB317=60%,VLOOKUP($HZ317,'Jan-2026 rates'!$L:$S,8,0),IF($LB317=80%,VLOOKUP($HZ317,'Jan-2026 rates'!L:T,9,0),0))))))))</f>
        <v>0</v>
      </c>
      <c r="IC317" s="412"/>
      <c r="ID317" s="409"/>
      <c r="IE317" s="411">
        <f>IF(ID317=0,0,IF($LB317=70%,VLOOKUP($HZ317,'Jan-2026 rates'!$L:$R,4,0),IF($LB317=65%,VLOOKUP($HZ317,'Jan-2026 rates'!$L:$R,4,0),IF($LB317=40%,VLOOKUP($HZ317,'Jan-2026 rates'!$L:$R,5,0),IF($LB317=30%,VLOOKUP($HZ317,'Jan-2026 rates'!$L:$R,6,0),IF($LB317=100%,VLOOKUP($HZ317,'Jan-2026 rates'!$L:$R,7,0),IF($LB317=60%,VLOOKUP($HZ317,'Jan-2026 rates'!$L:$S,8,0),IF($LB317=80%,VLOOKUP($HZ317,'Jan-2026 rates'!L:T,9,0),0))))))))</f>
        <v>0</v>
      </c>
      <c r="IF317" s="412" t="s">
        <v>1247</v>
      </c>
      <c r="IG317" s="413"/>
      <c r="IH317" s="412"/>
      <c r="II317" s="412"/>
      <c r="IJ317" s="412"/>
      <c r="IK317" s="412"/>
      <c r="IL317" s="412"/>
      <c r="IM317" s="412"/>
      <c r="IN317" s="409">
        <f>40+20+80+20</f>
        <v>160</v>
      </c>
      <c r="IO317" s="398">
        <f>IF(IN317=0,0,IF(LEN(IF317)=11,_xlfn.XLOOKUP(IF317,'Dispensed Ink Rates'!C:C,'Dispensed Ink Rates'!CS:CS),VLOOKUP(IF317,'Jan-2026 rates'!$E:$F,2,0)))</f>
        <v>0</v>
      </c>
      <c r="IP317" s="409"/>
      <c r="IQ317" s="398">
        <f>IF(IP317=0,0,IF(LEN(IG317)=11,_xlfn.XLOOKUP(IG317,'Dispensed Ink Rates'!C:C,'Dispensed Ink Rates'!CS:CS),VLOOKUP(IG317,'Jan-2026 rates'!$E:$F,2,0)))</f>
        <v>0</v>
      </c>
      <c r="IR317" s="409"/>
      <c r="IS317" s="398">
        <f>IF(IR317=0,0,IF(LEN(IH317)=11,_xlfn.XLOOKUP(IH317,'Dispensed Ink Rates'!C:C,'Dispensed Ink Rates'!CS:CS),VLOOKUP(IH317,'Jan-2026 rates'!$E:$F,2,0)))</f>
        <v>0</v>
      </c>
      <c r="IT317" s="409"/>
      <c r="IU317" s="398">
        <f>IF(IT317=0,0,IF(LEN(II317)=11,_xlfn.XLOOKUP(II317,'Dispensed Ink Rates'!C:C,'Dispensed Ink Rates'!CS:CS),VLOOKUP(II317,'Jan-2026 rates'!$E:$F,2,0)))</f>
        <v>0</v>
      </c>
      <c r="IV317" s="409"/>
      <c r="IW317" s="398">
        <f>IF(IV317=0,0,IF(LEN(IJ317)=11,_xlfn.XLOOKUP(IJ317,'Dispensed Ink Rates'!C:C,'Dispensed Ink Rates'!CS:CS),VLOOKUP(IJ317,'Jan-2026 rates'!$E:$F,2,0)))</f>
        <v>0</v>
      </c>
      <c r="IX317" s="409"/>
      <c r="IY317" s="398">
        <f>IF(IX317=0,0,IF(LEN(IK317)=11,_xlfn.XLOOKUP(IK317,'Dispensed Ink Rates'!C:C,'Dispensed Ink Rates'!CS:CS),VLOOKUP(IK317,'Jan-2026 rates'!$E:$F,2,0)))</f>
        <v>0</v>
      </c>
      <c r="IZ317" s="409"/>
      <c r="JA317" s="398">
        <f>IF(IZ317=0,0,IF(LEN(IL317)=11,_xlfn.XLOOKUP(IL317,'Dispensed Ink Rates'!C:C,'Dispensed Ink Rates'!CS:CS),VLOOKUP(IL317,'Jan-2026 rates'!$E:$F,2,0)))</f>
        <v>0</v>
      </c>
      <c r="JB317" s="409"/>
      <c r="JC317" s="398">
        <f>IF(JB317=0,0,IF(LEN(IM317)=11,_xlfn.XLOOKUP(IM317,'Dispensed Ink Rates'!C:C,'Dispensed Ink Rates'!CS:CS),VLOOKUP(IM317,'Jan-2026 rates'!$E:$F,2,0)))</f>
        <v>0</v>
      </c>
      <c r="JD317" s="409" t="s">
        <v>1881</v>
      </c>
      <c r="JE317" s="409">
        <v>24</v>
      </c>
      <c r="JF317" s="411">
        <f t="shared" si="230"/>
        <v>0</v>
      </c>
      <c r="JG317" s="411">
        <f t="shared" si="231"/>
        <v>366.76226734348563</v>
      </c>
      <c r="JH317" s="410">
        <f t="shared" si="232"/>
        <v>0</v>
      </c>
      <c r="JI317" s="405" t="s">
        <v>856</v>
      </c>
      <c r="JJ317" s="409" t="s">
        <v>4532</v>
      </c>
      <c r="JK317" s="420" t="str">
        <f t="shared" si="190"/>
        <v>ToyoLi - WHITE</v>
      </c>
      <c r="JL317" s="409">
        <v>30</v>
      </c>
      <c r="JM317" s="411">
        <f>IF(JL317=0,0,IF($LB317=70%,VLOOKUP($JK317,'Jan-2026 rates'!$L:$R,4,0),IF($LB317=65%,VLOOKUP($JK317,'Jan-2026 rates'!$L:$R,4,0),IF($LB317=40%,VLOOKUP($JK317,'Jan-2026 rates'!$L:$R,5,0),IF($LB317=30%,VLOOKUP($JK317,'Jan-2026 rates'!$L:$R,6,0),IF($LB317=100%,VLOOKUP($JK317,'Jan-2026 rates'!$L:$R,7,0),IF($LB317=60%,VLOOKUP($JK317,'Jan-2026 rates'!$L:$S,8,0),IF($LB317=80%,VLOOKUP($JK317,'Jan-2026 rates'!L:T,9,0),0))))))))</f>
        <v>0</v>
      </c>
      <c r="JN317" s="412"/>
      <c r="JO317" s="409"/>
      <c r="JP317" s="411">
        <f>IF(JO317=0,0,IF($LB317=70%,VLOOKUP($JK317,'Jan-2026 rates'!$L:$R,4,0),IF($LB317=65%,VLOOKUP($JK317,'Jan-2026 rates'!$L:$R,4,0),IF($LB317=40%,VLOOKUP($JK317,'Jan-2026 rates'!$L:$R,5,0),IF($LB317=30%,VLOOKUP($JK317,'Jan-2026 rates'!$L:$R,6,0),IF($LB317=100%,VLOOKUP($JK317,'Jan-2026 rates'!$L:$R,7,0),IF($LB317=60%,VLOOKUP($JK317,'Jan-2026 rates'!$L:$S,8,0),IF($LB317=80%,VLOOKUP($JK317,'Jan-2026 rates'!L:T,9,0),0))))))))</f>
        <v>0</v>
      </c>
      <c r="JQ317" s="413" t="s">
        <v>1249</v>
      </c>
      <c r="JR317" s="412"/>
      <c r="JS317" s="413"/>
      <c r="JT317" s="413"/>
      <c r="JU317" s="412"/>
      <c r="JV317" s="412"/>
      <c r="JW317" s="412"/>
      <c r="JX317" s="412"/>
      <c r="JY317" s="409">
        <f>400+100+100+300</f>
        <v>900</v>
      </c>
      <c r="JZ317" s="398">
        <f>IF(JY317=0,0,IF(LEN(JQ317)=11,_xlfn.XLOOKUP(JQ317,'Dispensed Ink Rates'!C:C,'Dispensed Ink Rates'!CS:CS),VLOOKUP(JQ317,'Jan-2026 rates'!$E:$F,2,0)))</f>
        <v>0</v>
      </c>
      <c r="KA317" s="409"/>
      <c r="KB317" s="398">
        <f>IF(KA317=0,0,IF(LEN(JR317)=11,_xlfn.XLOOKUP(JR317,'Dispensed Ink Rates'!C:C,'Dispensed Ink Rates'!CS:CS),VLOOKUP(JR317,'Jan-2026 rates'!$E:$F,2,0)))</f>
        <v>0</v>
      </c>
      <c r="KC317" s="409"/>
      <c r="KD317" s="398">
        <f>IF(KC317=0,0,IF(LEN(JS317)=11,_xlfn.XLOOKUP(JS317,'Dispensed Ink Rates'!C:C,'Dispensed Ink Rates'!CS:CS),VLOOKUP(JS317,'Jan-2026 rates'!$E:$F,2,0)))</f>
        <v>0</v>
      </c>
      <c r="KE317" s="409"/>
      <c r="KF317" s="398">
        <f>IF(KE317=0,0,IF(LEN(JT317)=11,_xlfn.XLOOKUP(JT317,'Dispensed Ink Rates'!C:C,'Dispensed Ink Rates'!CS:CS),VLOOKUP(JT317,'Jan-2026 rates'!$E:$F,2,0)))</f>
        <v>0</v>
      </c>
      <c r="KG317" s="409"/>
      <c r="KH317" s="398">
        <f>IF(KG317=0,0,IF(LEN(JU317)=11,_xlfn.XLOOKUP(JU317,'Dispensed Ink Rates'!C:C,'Dispensed Ink Rates'!CS:CS),VLOOKUP(JU317,'Jan-2026 rates'!$E:$F,2,0)))</f>
        <v>0</v>
      </c>
      <c r="KI317" s="409"/>
      <c r="KJ317" s="398">
        <f>IF(KI317=0,0,IF(LEN(JV317)=11,_xlfn.XLOOKUP(JV317,'Dispensed Ink Rates'!C:C,'Dispensed Ink Rates'!CS:CS),VLOOKUP(JV317,'Jan-2026 rates'!$E:$F,2,0)))</f>
        <v>0</v>
      </c>
      <c r="KK317" s="409"/>
      <c r="KL317" s="398">
        <f>IF(KK317=0,0,IF(LEN(JW317)=11,_xlfn.XLOOKUP(JW317,'Dispensed Ink Rates'!C:C,'Dispensed Ink Rates'!CS:CS),VLOOKUP(JW317,'Jan-2026 rates'!$E:$F,2,0)))</f>
        <v>0</v>
      </c>
      <c r="KM317" s="428"/>
      <c r="KN317" s="398">
        <f>IF(KM317=0,0,IF(LEN(JX317)=11,_xlfn.XLOOKUP(JX317,'Dispensed Ink Rates'!C:C,'Dispensed Ink Rates'!CS:CS),VLOOKUP(JX317,'Jan-2026 rates'!$E:$F,2,0)))</f>
        <v>0</v>
      </c>
      <c r="KO317" s="409" t="s">
        <v>1881</v>
      </c>
      <c r="KP317" s="409">
        <v>25</v>
      </c>
      <c r="KQ317" s="411">
        <f t="shared" si="233"/>
        <v>0</v>
      </c>
      <c r="KR317" s="411">
        <f t="shared" si="234"/>
        <v>1954.746192893401</v>
      </c>
      <c r="KS317" s="410">
        <f t="shared" si="235"/>
        <v>0</v>
      </c>
      <c r="KT317" s="409">
        <v>5</v>
      </c>
      <c r="KU317" s="409">
        <f>50+70+40+50+50</f>
        <v>260</v>
      </c>
      <c r="KV317" s="409">
        <v>30</v>
      </c>
      <c r="KW317" s="409">
        <v>15</v>
      </c>
      <c r="KX317" s="409">
        <f>50+50+40+50+50+50</f>
        <v>290</v>
      </c>
      <c r="KY317" s="409">
        <v>7</v>
      </c>
      <c r="KZ317" s="409">
        <f>45+40+10</f>
        <v>95</v>
      </c>
      <c r="LA317" s="409">
        <f>300+180</f>
        <v>480</v>
      </c>
      <c r="LB317" s="415">
        <v>0.3</v>
      </c>
      <c r="LC317" s="415"/>
      <c r="LD317" s="424"/>
      <c r="LE317" s="415">
        <v>0.5</v>
      </c>
      <c r="LF317" s="415">
        <v>0.2</v>
      </c>
      <c r="LG317" s="409">
        <v>0</v>
      </c>
      <c r="LH317" s="409">
        <f>480+895+357+595+5+5+5+5+238</f>
        <v>2585</v>
      </c>
      <c r="LI317" s="409">
        <v>0</v>
      </c>
      <c r="LJ317" s="409">
        <v>0</v>
      </c>
      <c r="LK317" s="416">
        <f t="shared" si="191"/>
        <v>2585</v>
      </c>
      <c r="LL317" s="416">
        <f t="shared" si="237"/>
        <v>2585</v>
      </c>
      <c r="LM317" s="417">
        <f t="shared" si="193"/>
        <v>775.5</v>
      </c>
      <c r="LN317" s="417">
        <f>VLOOKUP($LM$8,'Jan-2026 rates'!$H:$I,2,0)</f>
        <v>0</v>
      </c>
      <c r="LO317" s="417">
        <f t="shared" si="194"/>
        <v>0</v>
      </c>
      <c r="LP317" s="417">
        <f>VLOOKUP($LO$8,'Jan-2026 rates'!$H:$I,2,0)</f>
        <v>0</v>
      </c>
      <c r="LQ317" s="417">
        <f t="shared" si="195"/>
        <v>0</v>
      </c>
      <c r="LR317" s="417">
        <f>VLOOKUP($LQ$8,'Jan-2026 rates'!$H:$I,2,0)</f>
        <v>0</v>
      </c>
      <c r="LS317" s="417">
        <f t="shared" si="196"/>
        <v>1292.5</v>
      </c>
      <c r="LT317" s="417">
        <f>VLOOKUP($LS$8,'Jan-2026 rates'!$H:$I,2,0)</f>
        <v>0</v>
      </c>
      <c r="LU317" s="417">
        <f t="shared" si="197"/>
        <v>517</v>
      </c>
      <c r="LV317" s="417">
        <f>VLOOKUP($LU$8,'Jan-2026 rates'!$H:$I,2,0)</f>
        <v>0</v>
      </c>
      <c r="LW317" s="417">
        <f t="shared" si="198"/>
        <v>0</v>
      </c>
      <c r="LX317" s="417">
        <f t="shared" si="199"/>
        <v>0</v>
      </c>
      <c r="LY317" s="418">
        <f t="shared" si="200"/>
        <v>0</v>
      </c>
      <c r="LZ317" s="417"/>
      <c r="MA317" s="435">
        <f t="shared" si="201"/>
        <v>2225.5</v>
      </c>
      <c r="MB317" s="282">
        <f t="shared" si="202"/>
        <v>5098.5</v>
      </c>
      <c r="MC317" s="283" t="s">
        <v>2056</v>
      </c>
      <c r="MD317" s="284" t="str">
        <f t="shared" si="203"/>
        <v>ToyoLiToyoLiToyoLiToyoLiToyoLiToyoLiToyoLiToyoLi</v>
      </c>
      <c r="ME317" s="293" t="str">
        <f t="shared" si="204"/>
        <v>+</v>
      </c>
      <c r="MF317" s="293" t="str">
        <f t="shared" si="205"/>
        <v>+</v>
      </c>
      <c r="MG317" s="293" t="str">
        <f t="shared" si="206"/>
        <v>+</v>
      </c>
      <c r="MH317" s="293" t="str">
        <f t="shared" si="207"/>
        <v>+</v>
      </c>
      <c r="MI317" s="293" t="str">
        <f t="shared" si="208"/>
        <v>+</v>
      </c>
      <c r="MJ317" s="293" t="str">
        <f t="shared" si="209"/>
        <v>+</v>
      </c>
      <c r="MK317" s="293" t="str">
        <f t="shared" si="210"/>
        <v>+</v>
      </c>
      <c r="ML317" s="293" t="str">
        <f t="shared" si="211"/>
        <v>+</v>
      </c>
      <c r="MM317" s="3" t="b">
        <f t="array" ref="MM317">OR(ME317:ML317="-")</f>
        <v>0</v>
      </c>
      <c r="MO317" s="401">
        <f t="shared" si="238"/>
        <v>69.029244516653137</v>
      </c>
      <c r="MP317" s="286"/>
      <c r="MR317" s="402">
        <f t="shared" si="239"/>
        <v>1.3881023686359923E-2</v>
      </c>
      <c r="MS317" s="400">
        <f t="shared" si="240"/>
        <v>0</v>
      </c>
      <c r="MT317" s="285"/>
      <c r="NH317" s="361"/>
      <c r="NJ317" s="282"/>
    </row>
    <row r="318" spans="1:374" ht="16.5">
      <c r="A318" s="403">
        <v>46045</v>
      </c>
      <c r="B318" s="404" t="s">
        <v>1018</v>
      </c>
      <c r="C318" s="405" t="s">
        <v>4533</v>
      </c>
      <c r="D318" s="404" t="s">
        <v>2057</v>
      </c>
      <c r="E318" s="404">
        <v>25</v>
      </c>
      <c r="F318" s="407">
        <v>1600</v>
      </c>
      <c r="G318" s="407" t="s">
        <v>1016</v>
      </c>
      <c r="H318" s="408" t="s">
        <v>1017</v>
      </c>
      <c r="I318" s="409">
        <v>0.5</v>
      </c>
      <c r="J318" s="405" t="s">
        <v>543</v>
      </c>
      <c r="K318" s="404" t="s">
        <v>4534</v>
      </c>
      <c r="L318" s="419" t="str">
        <f t="shared" si="184"/>
        <v>ToyoLi - BLACK</v>
      </c>
      <c r="M318" s="404">
        <v>20</v>
      </c>
      <c r="N318" s="410">
        <f>IF(M318=0,0,IF($LB318=70%,VLOOKUP($L318,'Jan-2026 rates'!$L:$R,4,0),IF($LB318=65%,VLOOKUP($L318,'Jan-2026 rates'!$L:$R,4,0),IF($LB318=40%,VLOOKUP($L318,'Jan-2026 rates'!$L:$R,5,0),IF($LB318=30%,VLOOKUP($L318,'Jan-2026 rates'!$L:$R,6,0),IF($LB318=100%,VLOOKUP($L318,'Jan-2026 rates'!$L:$R,7,0),IF($LB318=60%,VLOOKUP($L318,'Jan-2026 rates'!$L:$S,8,0),IF($LB318=80%,VLOOKUP($L318,'Jan-2026 rates'!L:T,9,0),0))))))))</f>
        <v>0</v>
      </c>
      <c r="O318" s="406"/>
      <c r="P318" s="404"/>
      <c r="Q318" s="410">
        <f>IF(P318=0,0,IF($LB318=70%,VLOOKUP($L318,'Jan-2026 rates'!$L:$R,4,0),IF($LB318=65%,VLOOKUP($L318,'Jan-2026 rates'!$L:$R,4,0),IF($LB318=40%,VLOOKUP($L318,'Jan-2026 rates'!$L:$R,5,0),IF($LB318=30%,VLOOKUP($L318,'Jan-2026 rates'!$L:$R,6,0),IF($LB318=100%,VLOOKUP($L318,'Jan-2026 rates'!$L:$R,7,0),IF($LB318=60%,VLOOKUP($L318,'Jan-2026 rates'!$L:$S,8,0),IF($LB318=80%,VLOOKUP($L318,'Jan-2026 rates'!L:T,9,0),0))))))))</f>
        <v>0</v>
      </c>
      <c r="R318" s="406" t="s">
        <v>1252</v>
      </c>
      <c r="S318" s="406"/>
      <c r="T318" s="406"/>
      <c r="U318" s="406"/>
      <c r="V318" s="406"/>
      <c r="W318" s="406"/>
      <c r="X318" s="406"/>
      <c r="Y318" s="406"/>
      <c r="Z318" s="404">
        <v>5</v>
      </c>
      <c r="AA318" s="398">
        <f>IF(Z318=0,0,IF(LEN(R318)=11,_xlfn.XLOOKUP(R318,'Dispensed Ink Rates'!C:C,'Dispensed Ink Rates'!CS:CS),VLOOKUP(R318,'Jan-2026 rates'!$E:$F,2,0)))</f>
        <v>0</v>
      </c>
      <c r="AB318" s="404"/>
      <c r="AC318" s="398">
        <f>IF(AB318=0,0,IF(LEN(S318)=11,_xlfn.XLOOKUP(S318,'Dispensed Ink Rates'!C:C,'Dispensed Ink Rates'!CS:CS),VLOOKUP(S318,'Jan-2026 rates'!$E:$F,2,0)))</f>
        <v>0</v>
      </c>
      <c r="AD318" s="404"/>
      <c r="AE318" s="398">
        <f>IF(AD318=0,0,IF(LEN(T318)=11,_xlfn.XLOOKUP(T318,'Dispensed Ink Rates'!C:C,'Dispensed Ink Rates'!CS:CS),VLOOKUP(T318,'Jan-2026 rates'!$E:$F,2,0)))</f>
        <v>0</v>
      </c>
      <c r="AF318" s="404"/>
      <c r="AG318" s="398">
        <f>IF(AF318=0,0,IF(LEN(U318)=11,_xlfn.XLOOKUP(U318,'Dispensed Ink Rates'!C:C,'Dispensed Ink Rates'!CS:CS),VLOOKUP(U318,'Jan-2026 rates'!$E:$F,2,0)))</f>
        <v>0</v>
      </c>
      <c r="AH318" s="404"/>
      <c r="AI318" s="398">
        <f>IF(AH318=0,0,IF(LEN(V318)=11,_xlfn.XLOOKUP(V318,'Dispensed Ink Rates'!C:C,'Dispensed Ink Rates'!CS:CS),VLOOKUP(V318,'Jan-2026 rates'!$E:$F,2,0)))</f>
        <v>0</v>
      </c>
      <c r="AJ318" s="404"/>
      <c r="AK318" s="398">
        <f>IF(AJ318=0,0,IF(LEN(W318)=11,_xlfn.XLOOKUP(W318,'Dispensed Ink Rates'!C:C,'Dispensed Ink Rates'!CS:CS),VLOOKUP(W318,'Jan-2026 rates'!$E:$F,2,0)))</f>
        <v>0</v>
      </c>
      <c r="AL318" s="404"/>
      <c r="AM318" s="398">
        <f>IF(AL318=0,0,IF(LEN(X318)=11,_xlfn.XLOOKUP(X318,'Dispensed Ink Rates'!C:C,'Dispensed Ink Rates'!CS:CS),VLOOKUP(X318,'Jan-2026 rates'!$E:$F,2,0)))</f>
        <v>0</v>
      </c>
      <c r="AN318" s="404"/>
      <c r="AO318" s="398">
        <f>IF(AN318=0,0,IF(LEN(Y318)=11,_xlfn.XLOOKUP(Y318,'Dispensed Ink Rates'!C:C,'Dispensed Ink Rates'!CS:CS),VLOOKUP(Y318,'Jan-2026 rates'!$E:$F,2,0)))</f>
        <v>0</v>
      </c>
      <c r="AP318" s="409" t="s">
        <v>1881</v>
      </c>
      <c r="AQ318" s="409">
        <v>25</v>
      </c>
      <c r="AR318" s="410">
        <f t="shared" si="212"/>
        <v>0</v>
      </c>
      <c r="AS318" s="411">
        <f t="shared" si="213"/>
        <v>12</v>
      </c>
      <c r="AT318" s="410">
        <f t="shared" si="214"/>
        <v>0</v>
      </c>
      <c r="AU318" s="405" t="s">
        <v>828</v>
      </c>
      <c r="AV318" s="409" t="s">
        <v>4535</v>
      </c>
      <c r="AW318" s="420" t="str">
        <f t="shared" si="236"/>
        <v>ToyoLi - ORANGE</v>
      </c>
      <c r="AX318" s="409">
        <v>25</v>
      </c>
      <c r="AY318" s="411">
        <f>IF(AX318=0,0,IF($LB318=70%,VLOOKUP($AW318,'Jan-2026 rates'!$L:$R,4,0),IF($LB318=65%,VLOOKUP($AW318,'Jan-2026 rates'!$L:$R,4,0),IF($LB318=40%,VLOOKUP($AW318,'Jan-2026 rates'!$L:$R,5,0),IF($LB318=30%,VLOOKUP($AW318,'Jan-2026 rates'!$L:$R,6,0),IF($LB318=100%,VLOOKUP($AW318,'Jan-2026 rates'!$L:$R,7,0),IF($LB318=60%,VLOOKUP($AW318,'Jan-2026 rates'!$L:$S,8,0),IF($LB318=80%,VLOOKUP($AW318,'Jan-2026 rates'!L:T,9,0),0))))))))</f>
        <v>0</v>
      </c>
      <c r="AZ318" s="412"/>
      <c r="BA318" s="409"/>
      <c r="BB318" s="411">
        <f>IF(BA318=0,0,IF($LB318=70%,VLOOKUP($AW318,'Jan-2026 rates'!$L:$R,4,0),IF($LB318=65%,VLOOKUP($AW318,'Jan-2026 rates'!$L:$R,4,0),IF($LB318=40%,VLOOKUP($AW318,'Jan-2026 rates'!$L:$R,5,0),IF($LB318=30%,VLOOKUP($AW318,'Jan-2026 rates'!$L:$R,6,0),IF($LB318=100%,VLOOKUP($AW318,'Jan-2026 rates'!$L:$R,7,0),IF($LB318=60%,VLOOKUP($AW318,'Jan-2026 rates'!$L:$S,8,0),IF($LB318=80%,VLOOKUP($AW318,'Jan-2026 rates'!L:T,9,0),0))))))))</f>
        <v>0</v>
      </c>
      <c r="BC318" s="413" t="s">
        <v>1247</v>
      </c>
      <c r="BD318" s="412" t="s">
        <v>1248</v>
      </c>
      <c r="BE318" s="412"/>
      <c r="BF318" s="413"/>
      <c r="BG318" s="412"/>
      <c r="BH318" s="412"/>
      <c r="BI318" s="412"/>
      <c r="BJ318" s="412"/>
      <c r="BK318" s="409">
        <v>2</v>
      </c>
      <c r="BL318" s="398">
        <f>IF(BK318=0,0,IF(LEN(BC318)=11,_xlfn.XLOOKUP(BC318,'Dispensed Ink Rates'!C:C,'Dispensed Ink Rates'!CS:CS),VLOOKUP(BC318,'Jan-2026 rates'!$E:$F,2,0)))</f>
        <v>0</v>
      </c>
      <c r="BM318" s="409">
        <v>3</v>
      </c>
      <c r="BN318" s="398">
        <f>IF(BM318=0,0,IF(LEN(BD318)=11,_xlfn.XLOOKUP(BD318,'Dispensed Ink Rates'!C:C,'Dispensed Ink Rates'!CS:CS),VLOOKUP(BD318,'Jan-2026 rates'!$E:$F,2,0)))</f>
        <v>0</v>
      </c>
      <c r="BO318" s="409"/>
      <c r="BP318" s="398">
        <f>IF(BO318=0,0,IF(LEN(BE318)=11,_xlfn.XLOOKUP(BE318,'Dispensed Ink Rates'!C:C,'Dispensed Ink Rates'!CS:CS),VLOOKUP(BE318,'Jan-2026 rates'!$E:$F,2,0)))</f>
        <v>0</v>
      </c>
      <c r="BQ318" s="409"/>
      <c r="BR318" s="398">
        <f>IF(BQ318=0,0,IF(LEN(BF318)=11,_xlfn.XLOOKUP(BF318,'Dispensed Ink Rates'!C:C,'Dispensed Ink Rates'!CS:CS),VLOOKUP(BF318,'Jan-2026 rates'!$E:$F,2,0)))</f>
        <v>0</v>
      </c>
      <c r="BS318" s="409"/>
      <c r="BT318" s="398">
        <f>IF(BS318=0,0,IF(LEN(BG318)=11,_xlfn.XLOOKUP(BG318,'Dispensed Ink Rates'!C:C,'Dispensed Ink Rates'!CS:CS),VLOOKUP(BG318,'Jan-2026 rates'!$E:$F,2,0)))</f>
        <v>0</v>
      </c>
      <c r="BU318" s="409"/>
      <c r="BV318" s="398">
        <f>IF(BU318=0,0,IF(LEN(BH318)=11,_xlfn.XLOOKUP(BH318,'Dispensed Ink Rates'!C:C,'Dispensed Ink Rates'!CS:CS),VLOOKUP(BH318,'Jan-2026 rates'!$E:$F,2,0)))</f>
        <v>0</v>
      </c>
      <c r="BW318" s="409"/>
      <c r="BX318" s="398">
        <f>IF(BW318=0,0,IF(LEN(BI318)=11,_xlfn.XLOOKUP(BI318,'Dispensed Ink Rates'!C:C,'Dispensed Ink Rates'!CS:CS),VLOOKUP(BI318,'Jan-2026 rates'!$E:$F,2,0)))</f>
        <v>0</v>
      </c>
      <c r="BY318" s="409"/>
      <c r="BZ318" s="398">
        <f>IF(BY318=0,0,IF(LEN(BJ318)=11,_xlfn.XLOOKUP(BJ318,'Dispensed Ink Rates'!C:C,'Dispensed Ink Rates'!CS:CS),VLOOKUP(BJ318,'Jan-2026 rates'!$E:$F,2,0)))</f>
        <v>0</v>
      </c>
      <c r="CA318" s="409" t="s">
        <v>1881</v>
      </c>
      <c r="CB318" s="409">
        <v>18</v>
      </c>
      <c r="CC318" s="411">
        <f t="shared" si="215"/>
        <v>0</v>
      </c>
      <c r="CD318" s="411">
        <f t="shared" si="216"/>
        <v>20</v>
      </c>
      <c r="CE318" s="410">
        <f t="shared" si="217"/>
        <v>0</v>
      </c>
      <c r="CF318" s="404"/>
      <c r="CG318" s="409"/>
      <c r="CH318" s="420" t="str">
        <f t="shared" si="185"/>
        <v xml:space="preserve"> - </v>
      </c>
      <c r="CI318" s="409"/>
      <c r="CJ318" s="411">
        <f>IF(CI318=0,0,IF($LB318=70%,VLOOKUP($CH318,'Jan-2026 rates'!$L:$R,4,0),IF($LB318=65%,VLOOKUP($CH318,'Jan-2026 rates'!$L:$R,4,0),IF($LB318=40%,VLOOKUP($CH318,'Jan-2026 rates'!$L:$R,5,0),IF($LB318=30%,VLOOKUP($CH318,'Jan-2026 rates'!$L:$R,6,0),IF($LB318=100%,VLOOKUP($CH318,'Jan-2026 rates'!$L:$R,7,0),IF($LB318=60%,VLOOKUP($CH318,'Jan-2026 rates'!$L:$S,8,0),IF($LB318=80%,VLOOKUP($CH318,'Jan-2026 rates'!L:T,9,0),0))))))))</f>
        <v>0</v>
      </c>
      <c r="CK318" s="412"/>
      <c r="CL318" s="409"/>
      <c r="CM318" s="411">
        <f>IF(CL318=0,0,IF($LB318=70%,VLOOKUP($CH318,'Jan-2026 rates'!$L:$R,4,0),IF($LB318=65%,VLOOKUP($CH318,'Jan-2026 rates'!$L:$R,4,0),IF($LB318=40%,VLOOKUP($CH318,'Jan-2026 rates'!$L:$R,5,0),IF($LB318=30%,VLOOKUP($CH318,'Jan-2026 rates'!$L:$R,6,0),IF($LB318=100%,VLOOKUP($CH318,'Jan-2026 rates'!$L:$R,7,0),IF($LB318=60%,VLOOKUP($CH318,'Jan-2026 rates'!$L:$S,8,0),IF($LB318=80%,VLOOKUP($CH318,'Jan-2026 rates'!L:T,9,0),0))))))))</f>
        <v>0</v>
      </c>
      <c r="CN318" s="426"/>
      <c r="CO318" s="427"/>
      <c r="CP318" s="426"/>
      <c r="CQ318" s="426"/>
      <c r="CR318" s="428"/>
      <c r="CS318" s="428"/>
      <c r="CT318" s="428"/>
      <c r="CU318" s="428"/>
      <c r="CV318" s="409"/>
      <c r="CW318" s="398">
        <f>IF(CV318=0,0,IF(LEN(CN318)=11,_xlfn.XLOOKUP(CN318,'Dispensed Ink Rates'!C:C,'Dispensed Ink Rates'!CS:CS),VLOOKUP(CN318,'Jan-2026 rates'!$E:$F,2,0)))</f>
        <v>0</v>
      </c>
      <c r="CX318" s="409"/>
      <c r="CY318" s="398">
        <f>IF(CX318=0,0,IF(LEN(CO318)=11,_xlfn.XLOOKUP(CO318,'Dispensed Ink Rates'!C:C,'Dispensed Ink Rates'!CS:CS),VLOOKUP(CO318,'Jan-2026 rates'!$E:$F,2,0)))</f>
        <v>0</v>
      </c>
      <c r="CZ318" s="409"/>
      <c r="DA318" s="398">
        <f>IF(CZ318=0,0,IF(LEN(CP318)=11,_xlfn.XLOOKUP(CP318,'Dispensed Ink Rates'!C:C,'Dispensed Ink Rates'!CS:CS),VLOOKUP(CP318,'Jan-2026 rates'!$E:$F,2,0)))</f>
        <v>0</v>
      </c>
      <c r="DB318" s="409"/>
      <c r="DC318" s="398">
        <f>IF(DB318=0,0,IF(LEN(CQ318)=11,_xlfn.XLOOKUP(CQ318,'Dispensed Ink Rates'!C:C,'Dispensed Ink Rates'!CS:CS),VLOOKUP(CQ318,'Jan-2026 rates'!$E:$F,2,0)))</f>
        <v>0</v>
      </c>
      <c r="DD318" s="409"/>
      <c r="DE318" s="398">
        <f>IF(DD318=0,0,IF(LEN(CR318)=11,_xlfn.XLOOKUP(CR318,'Dispensed Ink Rates'!C:C,'Dispensed Ink Rates'!CS:CS),VLOOKUP(CR318,'Jan-2026 rates'!$E:$F,2,0)))</f>
        <v>0</v>
      </c>
      <c r="DF318" s="409"/>
      <c r="DG318" s="398">
        <f>IF(DF318=0,0,IF(LEN(CS318)=11,_xlfn.XLOOKUP(CS318,'Dispensed Ink Rates'!C:C,'Dispensed Ink Rates'!CS:CS),VLOOKUP(CS318,'Jan-2026 rates'!$E:$F,2,0)))</f>
        <v>0</v>
      </c>
      <c r="DH318" s="409"/>
      <c r="DI318" s="398">
        <f>IF(DH318=0,0,IF(LEN(CT318)=11,_xlfn.XLOOKUP(CT318,'Dispensed Ink Rates'!C:C,'Dispensed Ink Rates'!CS:CS),VLOOKUP(CT318,'Jan-2026 rates'!$E:$F,2,0)))</f>
        <v>0</v>
      </c>
      <c r="DJ318" s="409"/>
      <c r="DK318" s="398">
        <f>IF(DJ318=0,0,IF(LEN(CU318)=11,_xlfn.XLOOKUP(CU318,'Dispensed Ink Rates'!C:C,'Dispensed Ink Rates'!CS:CS),VLOOKUP(CU318,'Jan-2026 rates'!$E:$F,2,0)))</f>
        <v>0</v>
      </c>
      <c r="DL318" s="409"/>
      <c r="DM318" s="409"/>
      <c r="DN318" s="411">
        <f t="shared" si="218"/>
        <v>0</v>
      </c>
      <c r="DO318" s="411">
        <f t="shared" si="219"/>
        <v>0</v>
      </c>
      <c r="DP318" s="410">
        <f t="shared" si="220"/>
        <v>0</v>
      </c>
      <c r="DQ318" s="405"/>
      <c r="DR318" s="409"/>
      <c r="DS318" s="420" t="str">
        <f t="shared" si="186"/>
        <v xml:space="preserve"> - </v>
      </c>
      <c r="DT318" s="409"/>
      <c r="DU318" s="411">
        <f>IF(DT318=0,0,IF($LB318=70%,VLOOKUP($DS318,'Jan-2026 rates'!$L:$R,4,0),IF($LB318=65%,VLOOKUP($DS318,'Jan-2026 rates'!$L:$R,4,0),IF($LB318=40%,VLOOKUP($DS318,'Jan-2026 rates'!$L:$R,5,0),IF($LB318=30%,VLOOKUP($DS318,'Jan-2026 rates'!$L:$R,6,0),IF($LB318=100%,VLOOKUP($DS318,'Jan-2026 rates'!$L:$R,7,0),IF($LB318=60%,VLOOKUP($DS318,'Jan-2026 rates'!$L:$S,8,0),IF($LB318=80%,VLOOKUP($DS318,'Jan-2026 rates'!L:T,9,0),0))))))))</f>
        <v>0</v>
      </c>
      <c r="DV318" s="412"/>
      <c r="DW318" s="409"/>
      <c r="DX318" s="411">
        <f>IF(DW318=0,0,IF($LB318=70%,VLOOKUP($DS318,'Jan-2026 rates'!$L:$R,4,0),IF($LB318=65%,VLOOKUP($DS318,'Jan-2026 rates'!$L:$R,4,0),IF($LB318=40%,VLOOKUP($DS318,'Jan-2026 rates'!$L:$R,5,0),IF($LB318=30%,VLOOKUP($DS318,'Jan-2026 rates'!$L:$R,6,0),IF($LB318=100%,VLOOKUP($DS318,'Jan-2026 rates'!$L:$R,7,0),IF($LB318=60%,VLOOKUP($DS318,'Jan-2026 rates'!$L:$S,8,0),IF($LB318=80%,VLOOKUP($DS318,'Jan-2026 rates'!L:T,9,0),0))))))))</f>
        <v>0</v>
      </c>
      <c r="DY318" s="413"/>
      <c r="DZ318" s="413"/>
      <c r="EA318" s="412"/>
      <c r="EB318" s="412"/>
      <c r="EC318" s="412"/>
      <c r="ED318" s="412"/>
      <c r="EE318" s="412"/>
      <c r="EF318" s="412"/>
      <c r="EG318" s="409"/>
      <c r="EH318" s="398">
        <f>IF(EG318=0,0,IF(LEN(DY318)=11,_xlfn.XLOOKUP(DY318,'Dispensed Ink Rates'!C:C,'Dispensed Ink Rates'!CS:CS),VLOOKUP(DY318,'Jan-2026 rates'!$E:$F,2,0)))</f>
        <v>0</v>
      </c>
      <c r="EI318" s="409"/>
      <c r="EJ318" s="398">
        <f>IF(EI318=0,0,IF(LEN(DZ318)=11,_xlfn.XLOOKUP(DZ318,'Dispensed Ink Rates'!C:C,'Dispensed Ink Rates'!CS:CS),VLOOKUP(DZ318,'Jan-2026 rates'!$E:$F,2,0)))</f>
        <v>0</v>
      </c>
      <c r="EK318" s="409"/>
      <c r="EL318" s="398">
        <f>IF(EK318=0,0,IF(LEN(EA318)=11,_xlfn.XLOOKUP(EA318,'Dispensed Ink Rates'!C:C,'Dispensed Ink Rates'!CS:CS),VLOOKUP(EA318,'Jan-2026 rates'!$E:$F,2,0)))</f>
        <v>0</v>
      </c>
      <c r="EM318" s="409"/>
      <c r="EN318" s="398">
        <f>IF(EM318=0,0,IF(LEN(EB318)=11,_xlfn.XLOOKUP(EB318,'Dispensed Ink Rates'!C:C,'Dispensed Ink Rates'!CS:CS),VLOOKUP(EB318,'Jan-2026 rates'!$E:$F,2,0)))</f>
        <v>0</v>
      </c>
      <c r="EO318" s="409"/>
      <c r="EP318" s="398">
        <f>IF(EO318=0,0,IF(LEN(EC318)=11,_xlfn.XLOOKUP(EC318,'Dispensed Ink Rates'!C:C,'Dispensed Ink Rates'!CS:CS),VLOOKUP(EC318,'Jan-2026 rates'!$E:$F,2,0)))</f>
        <v>0</v>
      </c>
      <c r="EQ318" s="409"/>
      <c r="ER318" s="398">
        <f>IF(EQ318=0,0,IF(LEN(ED318)=11,_xlfn.XLOOKUP(ED318,'Dispensed Ink Rates'!C:C,'Dispensed Ink Rates'!CS:CS),VLOOKUP(ED318,'Jan-2026 rates'!$E:$F,2,0)))</f>
        <v>0</v>
      </c>
      <c r="ES318" s="409"/>
      <c r="ET318" s="398">
        <f>IF(ES318=0,0,IF(LEN(EE318)=11,_xlfn.XLOOKUP(EE318,'Dispensed Ink Rates'!C:C,'Dispensed Ink Rates'!CS:CS),VLOOKUP(EE318,'Jan-2026 rates'!$E:$F,2,0)))</f>
        <v>0</v>
      </c>
      <c r="EU318" s="409"/>
      <c r="EV318" s="398">
        <f>IF(EU318=0,0,IF(LEN(EF318)=11,_xlfn.XLOOKUP(EF318,'Dispensed Ink Rates'!C:C,'Dispensed Ink Rates'!CS:CS),VLOOKUP(EF318,'Jan-2026 rates'!$E:$F,2,0)))</f>
        <v>0</v>
      </c>
      <c r="EW318" s="409"/>
      <c r="EX318" s="409"/>
      <c r="EY318" s="411">
        <f t="shared" si="221"/>
        <v>0</v>
      </c>
      <c r="EZ318" s="411">
        <f t="shared" si="222"/>
        <v>0</v>
      </c>
      <c r="FA318" s="410">
        <f t="shared" si="223"/>
        <v>0</v>
      </c>
      <c r="FB318" s="405"/>
      <c r="FC318" s="409"/>
      <c r="FD318" s="420" t="str">
        <f t="shared" si="187"/>
        <v xml:space="preserve"> - </v>
      </c>
      <c r="FE318" s="409"/>
      <c r="FF318" s="411">
        <f>IF(FE318=0,0,IF($LB318=70%,VLOOKUP($FD318,'Jan-2026 rates'!$L:$R,4,0),IF($LB318=65%,VLOOKUP($FD318,'Jan-2026 rates'!$L:$R,4,0),IF($LB318=40%,VLOOKUP($FD318,'Jan-2026 rates'!$L:$R,5,0),IF($LB318=30%,VLOOKUP($FD318,'Jan-2026 rates'!$L:$R,6,0),IF($LB318=100%,VLOOKUP($FD318,'Jan-2026 rates'!$L:$R,7,0),IF($LB318=60%,VLOOKUP($FD318,'Jan-2026 rates'!$L:$S,8,0),IF($LB318=80%,VLOOKUP($FD318,'Jan-2026 rates'!L:T,9,0),0))))))))</f>
        <v>0</v>
      </c>
      <c r="FG318" s="412"/>
      <c r="FH318" s="409"/>
      <c r="FI318" s="411">
        <f>IF(FH318=0,0,IF($LB318=70%,VLOOKUP($FD318,'Jan-2026 rates'!$L:$R,4,0),IF($LB318=65%,VLOOKUP($FD318,'Jan-2026 rates'!$L:$R,4,0),IF($LB318=40%,VLOOKUP($FD318,'Jan-2026 rates'!$L:$R,5,0),IF($LB318=30%,VLOOKUP($FD318,'Jan-2026 rates'!$L:$R,6,0),IF($LB318=100%,VLOOKUP($FD318,'Jan-2026 rates'!$L:$R,7,0),IF($LB318=60%,VLOOKUP($FD318,'Jan-2026 rates'!$L:$S,8,0),IF($LB318=80%,VLOOKUP($FD318,'Jan-2026 rates'!L:T,9,0),0))))))))</f>
        <v>0</v>
      </c>
      <c r="FJ318" s="413"/>
      <c r="FK318" s="413"/>
      <c r="FL318" s="413"/>
      <c r="FM318" s="412"/>
      <c r="FN318" s="412"/>
      <c r="FO318" s="412"/>
      <c r="FP318" s="412"/>
      <c r="FQ318" s="412"/>
      <c r="FR318" s="409"/>
      <c r="FS318" s="398">
        <f>IF(FR318=0,0,IF(LEN(FJ318)=11,_xlfn.XLOOKUP(FJ318,'Dispensed Ink Rates'!C:C,'Dispensed Ink Rates'!CS:CS),VLOOKUP(FJ318,'Jan-2026 rates'!$E:$F,2,0)))</f>
        <v>0</v>
      </c>
      <c r="FT318" s="409"/>
      <c r="FU318" s="398">
        <f>IF(FT318=0,0,IF(LEN(FK318)=11,_xlfn.XLOOKUP(FK318,'Dispensed Ink Rates'!C:C,'Dispensed Ink Rates'!CS:CS),VLOOKUP(FK318,'Jan-2026 rates'!$E:$F,2,0)))</f>
        <v>0</v>
      </c>
      <c r="FV318" s="409"/>
      <c r="FW318" s="398">
        <f>IF(FV318=0,0,IF(LEN(FL318)=11,_xlfn.XLOOKUP(FL318,'Dispensed Ink Rates'!C:C,'Dispensed Ink Rates'!CS:CS),VLOOKUP(FL318,'Jan-2026 rates'!$E:$F,2,0)))</f>
        <v>0</v>
      </c>
      <c r="FX318" s="409"/>
      <c r="FY318" s="398">
        <f>IF(FX318=0,0,IF(LEN(FM318)=11,_xlfn.XLOOKUP(FM318,'Dispensed Ink Rates'!C:C,'Dispensed Ink Rates'!CS:CS),VLOOKUP(FM318,'Jan-2026 rates'!$E:$F,2,0)))</f>
        <v>0</v>
      </c>
      <c r="FZ318" s="409"/>
      <c r="GA318" s="398">
        <f>IF(FZ318=0,0,IF(LEN(FN318)=11,_xlfn.XLOOKUP(FN318,'Dispensed Ink Rates'!C:C,'Dispensed Ink Rates'!CS:CS),VLOOKUP(FN318,'Jan-2026 rates'!$E:$F,2,0)))</f>
        <v>0</v>
      </c>
      <c r="GB318" s="409"/>
      <c r="GC318" s="398">
        <f>IF(GB318=0,0,IF(LEN(FO318)=11,_xlfn.XLOOKUP(FO318,'Dispensed Ink Rates'!C:C,'Dispensed Ink Rates'!CS:CS),VLOOKUP(FO318,'Jan-2026 rates'!$E:$F,2,0)))</f>
        <v>0</v>
      </c>
      <c r="GD318" s="409"/>
      <c r="GE318" s="398">
        <f>IF(GD318=0,0,IF(LEN(FP318)=11,_xlfn.XLOOKUP(FP318,'Dispensed Ink Rates'!C:C,'Dispensed Ink Rates'!CS:CS),VLOOKUP(FP318,'Jan-2026 rates'!$E:$F,2,0)))</f>
        <v>0</v>
      </c>
      <c r="GF318" s="409"/>
      <c r="GG318" s="398">
        <f>IF(GF318=0,0,IF(LEN(FQ318)=11,_xlfn.XLOOKUP(FQ318,'Dispensed Ink Rates'!C:C,'Dispensed Ink Rates'!CS:CS),VLOOKUP(FQ318,'Jan-2026 rates'!$E:$F,2,0)))</f>
        <v>0</v>
      </c>
      <c r="GH318" s="409"/>
      <c r="GI318" s="409"/>
      <c r="GJ318" s="411">
        <f t="shared" si="224"/>
        <v>0</v>
      </c>
      <c r="GK318" s="411">
        <f t="shared" si="225"/>
        <v>0</v>
      </c>
      <c r="GL318" s="410">
        <f t="shared" si="226"/>
        <v>0</v>
      </c>
      <c r="GM318" s="405"/>
      <c r="GN318" s="409"/>
      <c r="GO318" s="420" t="str">
        <f t="shared" si="188"/>
        <v xml:space="preserve"> - </v>
      </c>
      <c r="GP318" s="409"/>
      <c r="GQ318" s="411">
        <f>IF(GP318=0,0,IF($LB318=70%,VLOOKUP($GO318,'Jan-2026 rates'!$L:$R,4,0),IF($LB318=65%,VLOOKUP($GO318,'Jan-2026 rates'!$L:$R,4,0),IF($LB318=40%,VLOOKUP($GO318,'Jan-2026 rates'!$L:$R,5,0),IF($LB318=30%,VLOOKUP($GO318,'Jan-2026 rates'!$L:$R,6,0),IF($LB318=100%,VLOOKUP($GO318,'Jan-2026 rates'!$L:$R,7,0),IF($LB318=60%,VLOOKUP($GO318,'Jan-2026 rates'!$L:$S,8,0),IF($LB318=80%,VLOOKUP($GO318,'Jan-2026 rates'!L:T,9,0),0))))))))</f>
        <v>0</v>
      </c>
      <c r="GR318" s="412"/>
      <c r="GS318" s="409"/>
      <c r="GT318" s="411">
        <f>IF(GS318=0,0,IF($LB318=70%,VLOOKUP($GO318,'Jan-2026 rates'!$L:$R,4,0),IF($LB318=65%,VLOOKUP($GO318,'Jan-2026 rates'!$L:$R,4,0),IF($LB318=40%,VLOOKUP($GO318,'Jan-2026 rates'!$L:$R,5,0),IF($LB318=30%,VLOOKUP($GO318,'Jan-2026 rates'!$L:$R,6,0),IF($LB318=100%,VLOOKUP($GO318,'Jan-2026 rates'!$L:$R,7,0),IF($LB318=60%,VLOOKUP($GO318,'Jan-2026 rates'!$L:$S,8,0),IF($LB318=80%,VLOOKUP($GO318,'Jan-2026 rates'!L:T,9,0),0))))))))</f>
        <v>0</v>
      </c>
      <c r="GU318" s="413"/>
      <c r="GV318" s="413"/>
      <c r="GW318" s="412"/>
      <c r="GX318" s="412"/>
      <c r="GY318" s="412"/>
      <c r="GZ318" s="412"/>
      <c r="HA318" s="412"/>
      <c r="HB318" s="412"/>
      <c r="HC318" s="409"/>
      <c r="HD318" s="398">
        <f>IF(HC318=0,0,IF(LEN(GU318)=11,_xlfn.XLOOKUP(GU318,'Dispensed Ink Rates'!C:C,'Dispensed Ink Rates'!CS:CS),VLOOKUP(GU318,'Jan-2026 rates'!$E:$F,2,0)))</f>
        <v>0</v>
      </c>
      <c r="HE318" s="409"/>
      <c r="HF318" s="398">
        <f>IF(HE318=0,0,IF(LEN(GV318)=11,_xlfn.XLOOKUP(GV318,'Dispensed Ink Rates'!C:C,'Dispensed Ink Rates'!CS:CS),VLOOKUP(GV318,'Jan-2026 rates'!$E:$F,2,0)))</f>
        <v>0</v>
      </c>
      <c r="HG318" s="409"/>
      <c r="HH318" s="398">
        <f>IF(HG318=0,0,IF(LEN(GW318)=11,_xlfn.XLOOKUP(GW318,'Dispensed Ink Rates'!C:C,'Dispensed Ink Rates'!CS:CS),VLOOKUP(GW318,'Jan-2026 rates'!$E:$F,2,0)))</f>
        <v>0</v>
      </c>
      <c r="HI318" s="409"/>
      <c r="HJ318" s="398">
        <f>IF(HI318=0,0,IF(LEN(GX318)=11,_xlfn.XLOOKUP(GX318,'Dispensed Ink Rates'!C:C,'Dispensed Ink Rates'!CS:CS),VLOOKUP(GX318,'Jan-2026 rates'!$E:$F,2,0)))</f>
        <v>0</v>
      </c>
      <c r="HK318" s="409"/>
      <c r="HL318" s="398">
        <f>IF(HK318=0,0,IF(LEN(GY318)=11,_xlfn.XLOOKUP(GY318,'Dispensed Ink Rates'!C:C,'Dispensed Ink Rates'!CS:CS),VLOOKUP(GY318,'Jan-2026 rates'!$E:$F,2,0)))</f>
        <v>0</v>
      </c>
      <c r="HM318" s="409"/>
      <c r="HN318" s="398">
        <f>IF(HM318=0,0,IF(LEN(GZ318)=11,_xlfn.XLOOKUP(GZ318,'Dispensed Ink Rates'!C:C,'Dispensed Ink Rates'!CS:CS),VLOOKUP(GZ318,'Jan-2026 rates'!$E:$F,2,0)))</f>
        <v>0</v>
      </c>
      <c r="HO318" s="409"/>
      <c r="HP318" s="398">
        <f>IF(HO318=0,0,IF(LEN(HA318)=11,_xlfn.XLOOKUP(HA318,'Dispensed Ink Rates'!C:C,'Dispensed Ink Rates'!CS:CS),VLOOKUP(HA318,'Jan-2026 rates'!$E:$F,2,0)))</f>
        <v>0</v>
      </c>
      <c r="HQ318" s="409"/>
      <c r="HR318" s="398">
        <f>IF(HQ318=0,0,IF(LEN(HB318)=11,_xlfn.XLOOKUP(HB318,'Dispensed Ink Rates'!C:C,'Dispensed Ink Rates'!CS:CS),VLOOKUP(HB318,'Jan-2026 rates'!$E:$F,2,0)))</f>
        <v>0</v>
      </c>
      <c r="HS318" s="409"/>
      <c r="HT318" s="409"/>
      <c r="HU318" s="411">
        <f t="shared" si="227"/>
        <v>0</v>
      </c>
      <c r="HV318" s="411">
        <f t="shared" si="228"/>
        <v>0</v>
      </c>
      <c r="HW318" s="414">
        <f t="shared" si="229"/>
        <v>0</v>
      </c>
      <c r="HX318" s="405"/>
      <c r="HY318" s="409"/>
      <c r="HZ318" s="420" t="str">
        <f t="shared" si="189"/>
        <v xml:space="preserve"> - </v>
      </c>
      <c r="IA318" s="409"/>
      <c r="IB318" s="411">
        <f>IF(IA318=0,0,IF($LB318=70%,VLOOKUP($HZ318,'Jan-2026 rates'!$L:$R,4,0),IF($LB318=65%,VLOOKUP($HZ318,'Jan-2026 rates'!$L:$R,4,0),IF($LB318=40%,VLOOKUP($HZ318,'Jan-2026 rates'!$L:$R,5,0),IF($LB318=30%,VLOOKUP($HZ318,'Jan-2026 rates'!$L:$R,6,0),IF($LB318=100%,VLOOKUP($HZ318,'Jan-2026 rates'!$L:$R,7,0),IF($LB318=60%,VLOOKUP($HZ318,'Jan-2026 rates'!$L:$S,8,0),IF($LB318=80%,VLOOKUP($HZ318,'Jan-2026 rates'!L:T,9,0),0))))))))</f>
        <v>0</v>
      </c>
      <c r="IC318" s="412"/>
      <c r="ID318" s="409"/>
      <c r="IE318" s="411">
        <f>IF(ID318=0,0,IF($LB318=70%,VLOOKUP($HZ318,'Jan-2026 rates'!$L:$R,4,0),IF($LB318=65%,VLOOKUP($HZ318,'Jan-2026 rates'!$L:$R,4,0),IF($LB318=40%,VLOOKUP($HZ318,'Jan-2026 rates'!$L:$R,5,0),IF($LB318=30%,VLOOKUP($HZ318,'Jan-2026 rates'!$L:$R,6,0),IF($LB318=100%,VLOOKUP($HZ318,'Jan-2026 rates'!$L:$R,7,0),IF($LB318=60%,VLOOKUP($HZ318,'Jan-2026 rates'!$L:$S,8,0),IF($LB318=80%,VLOOKUP($HZ318,'Jan-2026 rates'!L:T,9,0),0))))))))</f>
        <v>0</v>
      </c>
      <c r="IF318" s="412"/>
      <c r="IG318" s="413"/>
      <c r="IH318" s="412"/>
      <c r="II318" s="412"/>
      <c r="IJ318" s="412"/>
      <c r="IK318" s="412"/>
      <c r="IL318" s="412"/>
      <c r="IM318" s="412"/>
      <c r="IN318" s="409"/>
      <c r="IO318" s="398">
        <f>IF(IN318=0,0,IF(LEN(IF318)=11,_xlfn.XLOOKUP(IF318,'Dispensed Ink Rates'!C:C,'Dispensed Ink Rates'!CS:CS),VLOOKUP(IF318,'Jan-2026 rates'!$E:$F,2,0)))</f>
        <v>0</v>
      </c>
      <c r="IP318" s="409"/>
      <c r="IQ318" s="398">
        <f>IF(IP318=0,0,IF(LEN(IG318)=11,_xlfn.XLOOKUP(IG318,'Dispensed Ink Rates'!C:C,'Dispensed Ink Rates'!CS:CS),VLOOKUP(IG318,'Jan-2026 rates'!$E:$F,2,0)))</f>
        <v>0</v>
      </c>
      <c r="IR318" s="409"/>
      <c r="IS318" s="398">
        <f>IF(IR318=0,0,IF(LEN(IH318)=11,_xlfn.XLOOKUP(IH318,'Dispensed Ink Rates'!C:C,'Dispensed Ink Rates'!CS:CS),VLOOKUP(IH318,'Jan-2026 rates'!$E:$F,2,0)))</f>
        <v>0</v>
      </c>
      <c r="IT318" s="409"/>
      <c r="IU318" s="398">
        <f>IF(IT318=0,0,IF(LEN(II318)=11,_xlfn.XLOOKUP(II318,'Dispensed Ink Rates'!C:C,'Dispensed Ink Rates'!CS:CS),VLOOKUP(II318,'Jan-2026 rates'!$E:$F,2,0)))</f>
        <v>0</v>
      </c>
      <c r="IV318" s="409"/>
      <c r="IW318" s="398">
        <f>IF(IV318=0,0,IF(LEN(IJ318)=11,_xlfn.XLOOKUP(IJ318,'Dispensed Ink Rates'!C:C,'Dispensed Ink Rates'!CS:CS),VLOOKUP(IJ318,'Jan-2026 rates'!$E:$F,2,0)))</f>
        <v>0</v>
      </c>
      <c r="IX318" s="409"/>
      <c r="IY318" s="398">
        <f>IF(IX318=0,0,IF(LEN(IK318)=11,_xlfn.XLOOKUP(IK318,'Dispensed Ink Rates'!C:C,'Dispensed Ink Rates'!CS:CS),VLOOKUP(IK318,'Jan-2026 rates'!$E:$F,2,0)))</f>
        <v>0</v>
      </c>
      <c r="IZ318" s="409"/>
      <c r="JA318" s="398">
        <f>IF(IZ318=0,0,IF(LEN(IL318)=11,_xlfn.XLOOKUP(IL318,'Dispensed Ink Rates'!C:C,'Dispensed Ink Rates'!CS:CS),VLOOKUP(IL318,'Jan-2026 rates'!$E:$F,2,0)))</f>
        <v>0</v>
      </c>
      <c r="JB318" s="409"/>
      <c r="JC318" s="398">
        <f>IF(JB318=0,0,IF(LEN(IM318)=11,_xlfn.XLOOKUP(IM318,'Dispensed Ink Rates'!C:C,'Dispensed Ink Rates'!CS:CS),VLOOKUP(IM318,'Jan-2026 rates'!$E:$F,2,0)))</f>
        <v>0</v>
      </c>
      <c r="JD318" s="409"/>
      <c r="JE318" s="409"/>
      <c r="JF318" s="411">
        <f t="shared" si="230"/>
        <v>0</v>
      </c>
      <c r="JG318" s="411">
        <f t="shared" si="231"/>
        <v>0</v>
      </c>
      <c r="JH318" s="410">
        <f t="shared" si="232"/>
        <v>0</v>
      </c>
      <c r="JI318" s="405"/>
      <c r="JJ318" s="409"/>
      <c r="JK318" s="420" t="str">
        <f t="shared" si="190"/>
        <v xml:space="preserve"> - </v>
      </c>
      <c r="JL318" s="409"/>
      <c r="JM318" s="411">
        <f>IF(JL318=0,0,IF($LB318=70%,VLOOKUP($JK318,'Jan-2026 rates'!$L:$R,4,0),IF($LB318=65%,VLOOKUP($JK318,'Jan-2026 rates'!$L:$R,4,0),IF($LB318=40%,VLOOKUP($JK318,'Jan-2026 rates'!$L:$R,5,0),IF($LB318=30%,VLOOKUP($JK318,'Jan-2026 rates'!$L:$R,6,0),IF($LB318=100%,VLOOKUP($JK318,'Jan-2026 rates'!$L:$R,7,0),IF($LB318=60%,VLOOKUP($JK318,'Jan-2026 rates'!$L:$S,8,0),IF($LB318=80%,VLOOKUP($JK318,'Jan-2026 rates'!L:T,9,0),0))))))))</f>
        <v>0</v>
      </c>
      <c r="JN318" s="412"/>
      <c r="JO318" s="409"/>
      <c r="JP318" s="411">
        <f>IF(JO318=0,0,IF($LB318=70%,VLOOKUP($JK318,'Jan-2026 rates'!$L:$R,4,0),IF($LB318=65%,VLOOKUP($JK318,'Jan-2026 rates'!$L:$R,4,0),IF($LB318=40%,VLOOKUP($JK318,'Jan-2026 rates'!$L:$R,5,0),IF($LB318=30%,VLOOKUP($JK318,'Jan-2026 rates'!$L:$R,6,0),IF($LB318=100%,VLOOKUP($JK318,'Jan-2026 rates'!$L:$R,7,0),IF($LB318=60%,VLOOKUP($JK318,'Jan-2026 rates'!$L:$S,8,0),IF($LB318=80%,VLOOKUP($JK318,'Jan-2026 rates'!L:T,9,0),0))))))))</f>
        <v>0</v>
      </c>
      <c r="JQ318" s="413"/>
      <c r="JR318" s="412"/>
      <c r="JS318" s="413"/>
      <c r="JT318" s="413"/>
      <c r="JU318" s="412"/>
      <c r="JV318" s="412"/>
      <c r="JW318" s="412"/>
      <c r="JX318" s="412"/>
      <c r="JY318" s="409"/>
      <c r="JZ318" s="398">
        <f>IF(JY318=0,0,IF(LEN(JQ318)=11,_xlfn.XLOOKUP(JQ318,'Dispensed Ink Rates'!C:C,'Dispensed Ink Rates'!CS:CS),VLOOKUP(JQ318,'Jan-2026 rates'!$E:$F,2,0)))</f>
        <v>0</v>
      </c>
      <c r="KA318" s="409"/>
      <c r="KB318" s="398">
        <f>IF(KA318=0,0,IF(LEN(JR318)=11,_xlfn.XLOOKUP(JR318,'Dispensed Ink Rates'!C:C,'Dispensed Ink Rates'!CS:CS),VLOOKUP(JR318,'Jan-2026 rates'!$E:$F,2,0)))</f>
        <v>0</v>
      </c>
      <c r="KC318" s="409"/>
      <c r="KD318" s="398">
        <f>IF(KC318=0,0,IF(LEN(JS318)=11,_xlfn.XLOOKUP(JS318,'Dispensed Ink Rates'!C:C,'Dispensed Ink Rates'!CS:CS),VLOOKUP(JS318,'Jan-2026 rates'!$E:$F,2,0)))</f>
        <v>0</v>
      </c>
      <c r="KE318" s="409"/>
      <c r="KF318" s="398">
        <f>IF(KE318=0,0,IF(LEN(JT318)=11,_xlfn.XLOOKUP(JT318,'Dispensed Ink Rates'!C:C,'Dispensed Ink Rates'!CS:CS),VLOOKUP(JT318,'Jan-2026 rates'!$E:$F,2,0)))</f>
        <v>0</v>
      </c>
      <c r="KG318" s="409"/>
      <c r="KH318" s="398">
        <f>IF(KG318=0,0,IF(LEN(JU318)=11,_xlfn.XLOOKUP(JU318,'Dispensed Ink Rates'!C:C,'Dispensed Ink Rates'!CS:CS),VLOOKUP(JU318,'Jan-2026 rates'!$E:$F,2,0)))</f>
        <v>0</v>
      </c>
      <c r="KI318" s="409"/>
      <c r="KJ318" s="398">
        <f>IF(KI318=0,0,IF(LEN(JV318)=11,_xlfn.XLOOKUP(JV318,'Dispensed Ink Rates'!C:C,'Dispensed Ink Rates'!CS:CS),VLOOKUP(JV318,'Jan-2026 rates'!$E:$F,2,0)))</f>
        <v>0</v>
      </c>
      <c r="KK318" s="409"/>
      <c r="KL318" s="398">
        <f>IF(KK318=0,0,IF(LEN(JW318)=11,_xlfn.XLOOKUP(JW318,'Dispensed Ink Rates'!C:C,'Dispensed Ink Rates'!CS:CS),VLOOKUP(JW318,'Jan-2026 rates'!$E:$F,2,0)))</f>
        <v>0</v>
      </c>
      <c r="KM318" s="428"/>
      <c r="KN318" s="398">
        <f>IF(KM318=0,0,IF(LEN(JX318)=11,_xlfn.XLOOKUP(JX318,'Dispensed Ink Rates'!C:C,'Dispensed Ink Rates'!CS:CS),VLOOKUP(JX318,'Jan-2026 rates'!$E:$F,2,0)))</f>
        <v>0</v>
      </c>
      <c r="KO318" s="409"/>
      <c r="KP318" s="409"/>
      <c r="KQ318" s="411">
        <f t="shared" si="233"/>
        <v>0</v>
      </c>
      <c r="KR318" s="411">
        <f t="shared" si="234"/>
        <v>0</v>
      </c>
      <c r="KS318" s="410">
        <f t="shared" si="235"/>
        <v>0</v>
      </c>
      <c r="KT318" s="409">
        <v>3</v>
      </c>
      <c r="KU318" s="409">
        <v>2</v>
      </c>
      <c r="KV318" s="409">
        <v>0</v>
      </c>
      <c r="KW318" s="409">
        <v>0</v>
      </c>
      <c r="KX318" s="409">
        <v>0</v>
      </c>
      <c r="KY318" s="409">
        <v>0</v>
      </c>
      <c r="KZ318" s="409">
        <v>0</v>
      </c>
      <c r="LA318" s="409">
        <v>0</v>
      </c>
      <c r="LB318" s="415">
        <v>0.3</v>
      </c>
      <c r="LC318" s="415"/>
      <c r="LD318" s="424"/>
      <c r="LE318" s="415">
        <v>0.5</v>
      </c>
      <c r="LF318" s="415">
        <v>0.2</v>
      </c>
      <c r="LG318" s="409">
        <v>0</v>
      </c>
      <c r="LH318" s="409">
        <f>5+5+3+5+2</f>
        <v>20</v>
      </c>
      <c r="LI318" s="409">
        <v>0</v>
      </c>
      <c r="LJ318" s="409">
        <v>0</v>
      </c>
      <c r="LK318" s="416">
        <f t="shared" si="191"/>
        <v>20</v>
      </c>
      <c r="LL318" s="416">
        <f t="shared" si="237"/>
        <v>20</v>
      </c>
      <c r="LM318" s="417">
        <f t="shared" si="193"/>
        <v>6</v>
      </c>
      <c r="LN318" s="417">
        <f>VLOOKUP($LM$8,'Jan-2026 rates'!$H:$I,2,0)</f>
        <v>0</v>
      </c>
      <c r="LO318" s="417">
        <f t="shared" si="194"/>
        <v>0</v>
      </c>
      <c r="LP318" s="417">
        <f>VLOOKUP($LO$8,'Jan-2026 rates'!$H:$I,2,0)</f>
        <v>0</v>
      </c>
      <c r="LQ318" s="417">
        <f t="shared" si="195"/>
        <v>0</v>
      </c>
      <c r="LR318" s="417">
        <f>VLOOKUP($LQ$8,'Jan-2026 rates'!$H:$I,2,0)</f>
        <v>0</v>
      </c>
      <c r="LS318" s="417">
        <f t="shared" si="196"/>
        <v>10</v>
      </c>
      <c r="LT318" s="417">
        <f>VLOOKUP($LS$8,'Jan-2026 rates'!$H:$I,2,0)</f>
        <v>0</v>
      </c>
      <c r="LU318" s="417">
        <f t="shared" si="197"/>
        <v>4</v>
      </c>
      <c r="LV318" s="417">
        <f>VLOOKUP($LU$8,'Jan-2026 rates'!$H:$I,2,0)</f>
        <v>0</v>
      </c>
      <c r="LW318" s="417">
        <f t="shared" si="198"/>
        <v>0</v>
      </c>
      <c r="LX318" s="417">
        <f t="shared" si="199"/>
        <v>0</v>
      </c>
      <c r="LY318" s="418">
        <f t="shared" si="200"/>
        <v>0</v>
      </c>
      <c r="LZ318" s="417"/>
      <c r="MA318" s="435">
        <f t="shared" si="201"/>
        <v>10</v>
      </c>
      <c r="MB318" s="282">
        <f t="shared" si="202"/>
        <v>32</v>
      </c>
      <c r="MC318" s="283" t="s">
        <v>2057</v>
      </c>
      <c r="MD318" s="284" t="str">
        <f t="shared" si="203"/>
        <v>ToyoLiToyoLi</v>
      </c>
      <c r="ME318" s="293" t="str">
        <f t="shared" si="204"/>
        <v>+</v>
      </c>
      <c r="MF318" s="293" t="str">
        <f t="shared" si="205"/>
        <v>+</v>
      </c>
      <c r="MG318" s="293" t="str">
        <f t="shared" si="206"/>
        <v>NIL</v>
      </c>
      <c r="MH318" s="293" t="str">
        <f t="shared" si="207"/>
        <v>NIL</v>
      </c>
      <c r="MI318" s="293" t="str">
        <f t="shared" si="208"/>
        <v>NIL</v>
      </c>
      <c r="MJ318" s="293" t="str">
        <f t="shared" si="209"/>
        <v>NIL</v>
      </c>
      <c r="MK318" s="293" t="str">
        <f t="shared" si="210"/>
        <v>NIL</v>
      </c>
      <c r="ML318" s="293" t="str">
        <f t="shared" si="211"/>
        <v>NIL</v>
      </c>
      <c r="MM318" s="3" t="b">
        <f t="array" ref="MM318">OR(ME318:ML318="-")</f>
        <v>0</v>
      </c>
      <c r="MO318" s="401">
        <f t="shared" si="238"/>
        <v>128</v>
      </c>
      <c r="MP318" s="286"/>
      <c r="MR318" s="402">
        <f t="shared" si="239"/>
        <v>0.02</v>
      </c>
      <c r="MS318" s="400">
        <f t="shared" si="240"/>
        <v>0</v>
      </c>
      <c r="MT318" s="285"/>
      <c r="NH318" s="361"/>
      <c r="NJ318" s="282"/>
    </row>
    <row r="319" spans="1:374" ht="16.5">
      <c r="A319" s="403">
        <v>46045</v>
      </c>
      <c r="B319" s="404" t="s">
        <v>1018</v>
      </c>
      <c r="C319" s="405" t="s">
        <v>4538</v>
      </c>
      <c r="D319" s="404" t="s">
        <v>2058</v>
      </c>
      <c r="E319" s="404">
        <v>166</v>
      </c>
      <c r="F319" s="407">
        <v>10800</v>
      </c>
      <c r="G319" s="407" t="s">
        <v>1016</v>
      </c>
      <c r="H319" s="408" t="s">
        <v>1017</v>
      </c>
      <c r="I319" s="409">
        <v>0.5</v>
      </c>
      <c r="J319" s="405" t="s">
        <v>543</v>
      </c>
      <c r="K319" s="404" t="s">
        <v>4539</v>
      </c>
      <c r="L319" s="419" t="str">
        <f t="shared" ref="L319" si="241">CONCATENATE(AP319," - ",J319)</f>
        <v>ToyoLi - BLACK</v>
      </c>
      <c r="M319" s="404">
        <v>25</v>
      </c>
      <c r="N319" s="410">
        <f>IF(M319=0,0,IF($LB319=70%,VLOOKUP($L319,'Jan-2026 rates'!$L:$R,4,0),IF($LB319=65%,VLOOKUP($L319,'Jan-2026 rates'!$L:$R,4,0),IF($LB319=40%,VLOOKUP($L319,'Jan-2026 rates'!$L:$R,5,0),IF($LB319=30%,VLOOKUP($L319,'Jan-2026 rates'!$L:$R,6,0),IF($LB319=100%,VLOOKUP($L319,'Jan-2026 rates'!$L:$R,7,0),IF($LB319=60%,VLOOKUP($L319,'Jan-2026 rates'!$L:$S,8,0),IF($LB319=80%,VLOOKUP($L319,'Jan-2026 rates'!L:T,9,0),0))))))))</f>
        <v>0</v>
      </c>
      <c r="O319" s="406"/>
      <c r="P319" s="404"/>
      <c r="Q319" s="410">
        <f>IF(P319=0,0,IF($LB319=70%,VLOOKUP($L319,'Jan-2026 rates'!$L:$R,4,0),IF($LB319=65%,VLOOKUP($L319,'Jan-2026 rates'!$L:$R,4,0),IF($LB319=40%,VLOOKUP($L319,'Jan-2026 rates'!$L:$R,5,0),IF($LB319=30%,VLOOKUP($L319,'Jan-2026 rates'!$L:$R,6,0),IF($LB319=100%,VLOOKUP($L319,'Jan-2026 rates'!$L:$R,7,0),IF($LB319=60%,VLOOKUP($L319,'Jan-2026 rates'!$L:$S,8,0),IF($LB319=80%,VLOOKUP($L319,'Jan-2026 rates'!L:T,9,0),0))))))))</f>
        <v>0</v>
      </c>
      <c r="R319" s="406" t="s">
        <v>1252</v>
      </c>
      <c r="S319" s="406"/>
      <c r="T319" s="406"/>
      <c r="U319" s="406"/>
      <c r="V319" s="406"/>
      <c r="W319" s="406"/>
      <c r="X319" s="406"/>
      <c r="Y319" s="406"/>
      <c r="Z319" s="404">
        <v>7</v>
      </c>
      <c r="AA319" s="398">
        <f>IF(Z319=0,0,IF(LEN(R319)=11,_xlfn.XLOOKUP(R319,'Dispensed Ink Rates'!C:C,'Dispensed Ink Rates'!CS:CS),VLOOKUP(R319,'Jan-2026 rates'!$E:$F,2,0)))</f>
        <v>0</v>
      </c>
      <c r="AB319" s="404"/>
      <c r="AC319" s="398">
        <f>IF(AB319=0,0,IF(LEN(S319)=11,_xlfn.XLOOKUP(S319,'Dispensed Ink Rates'!C:C,'Dispensed Ink Rates'!CS:CS),VLOOKUP(S319,'Jan-2026 rates'!$E:$F,2,0)))</f>
        <v>0</v>
      </c>
      <c r="AD319" s="404"/>
      <c r="AE319" s="398">
        <f>IF(AD319=0,0,IF(LEN(T319)=11,_xlfn.XLOOKUP(T319,'Dispensed Ink Rates'!C:C,'Dispensed Ink Rates'!CS:CS),VLOOKUP(T319,'Jan-2026 rates'!$E:$F,2,0)))</f>
        <v>0</v>
      </c>
      <c r="AF319" s="404"/>
      <c r="AG319" s="398">
        <f>IF(AF319=0,0,IF(LEN(U319)=11,_xlfn.XLOOKUP(U319,'Dispensed Ink Rates'!C:C,'Dispensed Ink Rates'!CS:CS),VLOOKUP(U319,'Jan-2026 rates'!$E:$F,2,0)))</f>
        <v>0</v>
      </c>
      <c r="AH319" s="404"/>
      <c r="AI319" s="398">
        <f>IF(AH319=0,0,IF(LEN(V319)=11,_xlfn.XLOOKUP(V319,'Dispensed Ink Rates'!C:C,'Dispensed Ink Rates'!CS:CS),VLOOKUP(V319,'Jan-2026 rates'!$E:$F,2,0)))</f>
        <v>0</v>
      </c>
      <c r="AJ319" s="404"/>
      <c r="AK319" s="398">
        <f>IF(AJ319=0,0,IF(LEN(W319)=11,_xlfn.XLOOKUP(W319,'Dispensed Ink Rates'!C:C,'Dispensed Ink Rates'!CS:CS),VLOOKUP(W319,'Jan-2026 rates'!$E:$F,2,0)))</f>
        <v>0</v>
      </c>
      <c r="AL319" s="404"/>
      <c r="AM319" s="398">
        <f>IF(AL319=0,0,IF(LEN(X319)=11,_xlfn.XLOOKUP(X319,'Dispensed Ink Rates'!C:C,'Dispensed Ink Rates'!CS:CS),VLOOKUP(X319,'Jan-2026 rates'!$E:$F,2,0)))</f>
        <v>0</v>
      </c>
      <c r="AN319" s="404"/>
      <c r="AO319" s="398">
        <f>IF(AN319=0,0,IF(LEN(Y319)=11,_xlfn.XLOOKUP(Y319,'Dispensed Ink Rates'!C:C,'Dispensed Ink Rates'!CS:CS),VLOOKUP(Y319,'Jan-2026 rates'!$E:$F,2,0)))</f>
        <v>0</v>
      </c>
      <c r="AP319" s="409" t="s">
        <v>1881</v>
      </c>
      <c r="AQ319" s="409">
        <v>24</v>
      </c>
      <c r="AR319" s="410">
        <f t="shared" ref="AR319" si="242">IFERROR(IF(AS319&lt;=0,0,(M319*N319+P319*Q319+Z319*AA319+AB319*AC319+AD319*AE319+AF319*AG319+AH319*AI319+AJ319*AK319+AL319*AM319+AN319*AO319+(KT319/SUM(KT319:LA319)*LL319)*LX319)/(M319+P319+Z319+AB319+AD319+AF319+AH319+AJ319+AL319+AN319+(KT319/SUM(KT319:LA319)*LL319))),0)</f>
        <v>0</v>
      </c>
      <c r="AS319" s="411">
        <f t="shared" ref="AS319" si="243">IFERROR((M319+P319+Z319+AB319+AD319+AF319+AH319+AJ319+AL319+AN319+(KT319/SUM(KT319:LA319)*LL319)-AQ319),0)</f>
        <v>14</v>
      </c>
      <c r="AT319" s="410">
        <f t="shared" ref="AT319" si="244">IFERROR(IF(AS319&lt;=0,0,(M319*N319+P319*Q319+Z319*AA319+AB319*AC319+AD319*AE319+AF319*AG319+AH319*AI319+AJ319*AK319+AL319*AM319+AN319*AO319-AQ319*AR319+(KT319/SUM(KT319:LA319)*LL319)*LX319)),0)</f>
        <v>0</v>
      </c>
      <c r="AU319" s="405" t="s">
        <v>545</v>
      </c>
      <c r="AV319" s="409" t="s">
        <v>4540</v>
      </c>
      <c r="AW319" s="420" t="str">
        <f t="shared" ref="AW319" si="245">CONCATENATE(CA319," - ",AU319)</f>
        <v>ToyoLi - YELLOW</v>
      </c>
      <c r="AX319" s="409">
        <v>24</v>
      </c>
      <c r="AY319" s="411">
        <f>IF(AX319=0,0,IF($LB319=70%,VLOOKUP($AW319,'Jan-2026 rates'!$L:$R,4,0),IF($LB319=65%,VLOOKUP($AW319,'Jan-2026 rates'!$L:$R,4,0),IF($LB319=40%,VLOOKUP($AW319,'Jan-2026 rates'!$L:$R,5,0),IF($LB319=30%,VLOOKUP($AW319,'Jan-2026 rates'!$L:$R,6,0),IF($LB319=100%,VLOOKUP($AW319,'Jan-2026 rates'!$L:$R,7,0),IF($LB319=60%,VLOOKUP($AW319,'Jan-2026 rates'!$L:$S,8,0),IF($LB319=80%,VLOOKUP($AW319,'Jan-2026 rates'!L:T,9,0),0))))))))</f>
        <v>0</v>
      </c>
      <c r="AZ319" s="412"/>
      <c r="BA319" s="409"/>
      <c r="BB319" s="411">
        <f>IF(BA319=0,0,IF($LB319=70%,VLOOKUP($AW319,'Jan-2026 rates'!$L:$R,4,0),IF($LB319=65%,VLOOKUP($AW319,'Jan-2026 rates'!$L:$R,4,0),IF($LB319=40%,VLOOKUP($AW319,'Jan-2026 rates'!$L:$R,5,0),IF($LB319=30%,VLOOKUP($AW319,'Jan-2026 rates'!$L:$R,6,0),IF($LB319=100%,VLOOKUP($AW319,'Jan-2026 rates'!$L:$R,7,0),IF($LB319=60%,VLOOKUP($AW319,'Jan-2026 rates'!$L:$S,8,0),IF($LB319=80%,VLOOKUP($AW319,'Jan-2026 rates'!L:T,9,0),0))))))))</f>
        <v>0</v>
      </c>
      <c r="BC319" s="413" t="s">
        <v>1247</v>
      </c>
      <c r="BD319" s="412"/>
      <c r="BE319" s="412"/>
      <c r="BF319" s="413"/>
      <c r="BG319" s="412"/>
      <c r="BH319" s="412"/>
      <c r="BI319" s="412"/>
      <c r="BJ319" s="412"/>
      <c r="BK319" s="409">
        <f>10+18</f>
        <v>28</v>
      </c>
      <c r="BL319" s="398">
        <f>IF(BK319=0,0,IF(LEN(BC319)=11,_xlfn.XLOOKUP(BC319,'Dispensed Ink Rates'!C:C,'Dispensed Ink Rates'!CS:CS),VLOOKUP(BC319,'Jan-2026 rates'!$E:$F,2,0)))</f>
        <v>0</v>
      </c>
      <c r="BM319" s="409"/>
      <c r="BN319" s="398">
        <f>IF(BM319=0,0,IF(LEN(BD319)=11,_xlfn.XLOOKUP(BD319,'Dispensed Ink Rates'!C:C,'Dispensed Ink Rates'!CS:CS),VLOOKUP(BD319,'Jan-2026 rates'!$E:$F,2,0)))</f>
        <v>0</v>
      </c>
      <c r="BO319" s="409"/>
      <c r="BP319" s="398">
        <f>IF(BO319=0,0,IF(LEN(BE319)=11,_xlfn.XLOOKUP(BE319,'Dispensed Ink Rates'!C:C,'Dispensed Ink Rates'!CS:CS),VLOOKUP(BE319,'Jan-2026 rates'!$E:$F,2,0)))</f>
        <v>0</v>
      </c>
      <c r="BQ319" s="409"/>
      <c r="BR319" s="398">
        <f>IF(BQ319=0,0,IF(LEN(BF319)=11,_xlfn.XLOOKUP(BF319,'Dispensed Ink Rates'!C:C,'Dispensed Ink Rates'!CS:CS),VLOOKUP(BF319,'Jan-2026 rates'!$E:$F,2,0)))</f>
        <v>0</v>
      </c>
      <c r="BS319" s="409"/>
      <c r="BT319" s="398">
        <f>IF(BS319=0,0,IF(LEN(BG319)=11,_xlfn.XLOOKUP(BG319,'Dispensed Ink Rates'!C:C,'Dispensed Ink Rates'!CS:CS),VLOOKUP(BG319,'Jan-2026 rates'!$E:$F,2,0)))</f>
        <v>0</v>
      </c>
      <c r="BU319" s="409"/>
      <c r="BV319" s="398">
        <f>IF(BU319=0,0,IF(LEN(BH319)=11,_xlfn.XLOOKUP(BH319,'Dispensed Ink Rates'!C:C,'Dispensed Ink Rates'!CS:CS),VLOOKUP(BH319,'Jan-2026 rates'!$E:$F,2,0)))</f>
        <v>0</v>
      </c>
      <c r="BW319" s="409"/>
      <c r="BX319" s="398">
        <f>IF(BW319=0,0,IF(LEN(BI319)=11,_xlfn.XLOOKUP(BI319,'Dispensed Ink Rates'!C:C,'Dispensed Ink Rates'!CS:CS),VLOOKUP(BI319,'Jan-2026 rates'!$E:$F,2,0)))</f>
        <v>0</v>
      </c>
      <c r="BY319" s="409"/>
      <c r="BZ319" s="398">
        <f>IF(BY319=0,0,IF(LEN(BJ319)=11,_xlfn.XLOOKUP(BJ319,'Dispensed Ink Rates'!C:C,'Dispensed Ink Rates'!CS:CS),VLOOKUP(BJ319,'Jan-2026 rates'!$E:$F,2,0)))</f>
        <v>0</v>
      </c>
      <c r="CA319" s="409" t="s">
        <v>1881</v>
      </c>
      <c r="CB319" s="409">
        <v>22</v>
      </c>
      <c r="CC319" s="411">
        <f t="shared" ref="CC319" si="246">IFERROR(IF(CD319&lt;=0,0,(AX319*AY319+BA319*BB319+BK319*BL319+BM319*BN319+BO319*BP319+BQ319*BR319+BS319*BT319+BU319*BV319+BW319*BX319+BY319*BZ319+(KU319/SUM(KT319:LA319)*LL319)*LX319)/(AX319+BA319+BK319+BM319+BO319+BQ319+BS319+BU319+BW319+BY319+(KU319/SUM(KT319:LA319)*LL319))),0)</f>
        <v>0</v>
      </c>
      <c r="CD319" s="411">
        <f t="shared" ref="CD319" si="247">IFERROR((AX319+BA319+BK319+BM319+BO319+BQ319+BS319+BU319+BW319+BY319+(KU319/SUM(KT319:LA319)*LL319)-CB319),0)</f>
        <v>64</v>
      </c>
      <c r="CE319" s="410">
        <f t="shared" ref="CE319" si="248">IFERROR(IF(CD319&lt;=0,0,(AX319*AY319+BA319*BB319+BK319*BL319+BM319*BN319+BO319*BP319+BQ319*BR319+BS319*BT319+BU319*BV319+BW319*BX319+BY319*BZ319-CB319*CC319+(KU319/SUM(KT319:LA319)*LL319)*LX319)),0)</f>
        <v>0</v>
      </c>
      <c r="CF319" s="404"/>
      <c r="CG319" s="409"/>
      <c r="CH319" s="420" t="str">
        <f t="shared" ref="CH319" si="249">CONCATENATE(DL319," - ",CF319)</f>
        <v xml:space="preserve"> - </v>
      </c>
      <c r="CI319" s="409"/>
      <c r="CJ319" s="411">
        <f>IF(CI319=0,0,IF($LB319=70%,VLOOKUP($CH319,'Jan-2026 rates'!$L:$R,4,0),IF($LB319=65%,VLOOKUP($CH319,'Jan-2026 rates'!$L:$R,4,0),IF($LB319=40%,VLOOKUP($CH319,'Jan-2026 rates'!$L:$R,5,0),IF($LB319=30%,VLOOKUP($CH319,'Jan-2026 rates'!$L:$R,6,0),IF($LB319=100%,VLOOKUP($CH319,'Jan-2026 rates'!$L:$R,7,0),IF($LB319=60%,VLOOKUP($CH319,'Jan-2026 rates'!$L:$S,8,0),IF($LB319=80%,VLOOKUP($CH319,'Jan-2026 rates'!L:T,9,0),0))))))))</f>
        <v>0</v>
      </c>
      <c r="CK319" s="412"/>
      <c r="CL319" s="409"/>
      <c r="CM319" s="411">
        <f>IF(CL319=0,0,IF($LB319=70%,VLOOKUP($CH319,'Jan-2026 rates'!$L:$R,4,0),IF($LB319=65%,VLOOKUP($CH319,'Jan-2026 rates'!$L:$R,4,0),IF($LB319=40%,VLOOKUP($CH319,'Jan-2026 rates'!$L:$R,5,0),IF($LB319=30%,VLOOKUP($CH319,'Jan-2026 rates'!$L:$R,6,0),IF($LB319=100%,VLOOKUP($CH319,'Jan-2026 rates'!$L:$R,7,0),IF($LB319=60%,VLOOKUP($CH319,'Jan-2026 rates'!$L:$S,8,0),IF($LB319=80%,VLOOKUP($CH319,'Jan-2026 rates'!L:T,9,0),0))))))))</f>
        <v>0</v>
      </c>
      <c r="CN319" s="426"/>
      <c r="CO319" s="427"/>
      <c r="CP319" s="426"/>
      <c r="CQ319" s="426"/>
      <c r="CR319" s="428"/>
      <c r="CS319" s="428"/>
      <c r="CT319" s="428"/>
      <c r="CU319" s="428"/>
      <c r="CV319" s="409"/>
      <c r="CW319" s="398">
        <f>IF(CV319=0,0,IF(LEN(CN319)=11,_xlfn.XLOOKUP(CN319,'Dispensed Ink Rates'!C:C,'Dispensed Ink Rates'!CS:CS),VLOOKUP(CN319,'Jan-2026 rates'!$E:$F,2,0)))</f>
        <v>0</v>
      </c>
      <c r="CX319" s="409"/>
      <c r="CY319" s="398">
        <f>IF(CX319=0,0,IF(LEN(CO319)=11,_xlfn.XLOOKUP(CO319,'Dispensed Ink Rates'!C:C,'Dispensed Ink Rates'!CS:CS),VLOOKUP(CO319,'Jan-2026 rates'!$E:$F,2,0)))</f>
        <v>0</v>
      </c>
      <c r="CZ319" s="409"/>
      <c r="DA319" s="398">
        <f>IF(CZ319=0,0,IF(LEN(CP319)=11,_xlfn.XLOOKUP(CP319,'Dispensed Ink Rates'!C:C,'Dispensed Ink Rates'!CS:CS),VLOOKUP(CP319,'Jan-2026 rates'!$E:$F,2,0)))</f>
        <v>0</v>
      </c>
      <c r="DB319" s="409"/>
      <c r="DC319" s="398">
        <f>IF(DB319=0,0,IF(LEN(CQ319)=11,_xlfn.XLOOKUP(CQ319,'Dispensed Ink Rates'!C:C,'Dispensed Ink Rates'!CS:CS),VLOOKUP(CQ319,'Jan-2026 rates'!$E:$F,2,0)))</f>
        <v>0</v>
      </c>
      <c r="DD319" s="409"/>
      <c r="DE319" s="398">
        <f>IF(DD319=0,0,IF(LEN(CR319)=11,_xlfn.XLOOKUP(CR319,'Dispensed Ink Rates'!C:C,'Dispensed Ink Rates'!CS:CS),VLOOKUP(CR319,'Jan-2026 rates'!$E:$F,2,0)))</f>
        <v>0</v>
      </c>
      <c r="DF319" s="409"/>
      <c r="DG319" s="398">
        <f>IF(DF319=0,0,IF(LEN(CS319)=11,_xlfn.XLOOKUP(CS319,'Dispensed Ink Rates'!C:C,'Dispensed Ink Rates'!CS:CS),VLOOKUP(CS319,'Jan-2026 rates'!$E:$F,2,0)))</f>
        <v>0</v>
      </c>
      <c r="DH319" s="409"/>
      <c r="DI319" s="398">
        <f>IF(DH319=0,0,IF(LEN(CT319)=11,_xlfn.XLOOKUP(CT319,'Dispensed Ink Rates'!C:C,'Dispensed Ink Rates'!CS:CS),VLOOKUP(CT319,'Jan-2026 rates'!$E:$F,2,0)))</f>
        <v>0</v>
      </c>
      <c r="DJ319" s="409"/>
      <c r="DK319" s="398">
        <f>IF(DJ319=0,0,IF(LEN(CU319)=11,_xlfn.XLOOKUP(CU319,'Dispensed Ink Rates'!C:C,'Dispensed Ink Rates'!CS:CS),VLOOKUP(CU319,'Jan-2026 rates'!$E:$F,2,0)))</f>
        <v>0</v>
      </c>
      <c r="DL319" s="409"/>
      <c r="DM319" s="409"/>
      <c r="DN319" s="411">
        <f t="shared" ref="DN319" si="250">IFERROR(IF(DO319&lt;=0,0,(CI319*CJ319+CL319*CM319+CV319*CW319+CX319*CY319+CZ319*DA319+DB319*DC319+DD319*DE319+DF319*DG319+DH319*DI319+DJ319*DK319+(KV319/SUM(KT319:LA319)*LL319)*LX319)/(CI319+CL319+CV319+CX319+CZ319+DB319+DD319+DF319+DH319+DJ319+(KV319/SUM(KT319:LA319)*LL319))),0)</f>
        <v>0</v>
      </c>
      <c r="DO319" s="411">
        <f t="shared" ref="DO319" si="251">IFERROR((CI319+CL319+CV319+CX319+CZ319+DB319+DD319+DF319+DH319+DJ319+(KV319/SUM(KT319:LA319)*LL319)-DM319),0)</f>
        <v>0</v>
      </c>
      <c r="DP319" s="410">
        <f t="shared" ref="DP319" si="252">IFERROR(IF(DO319&lt;=0,0,(CI319*CJ319+CL319*CM319+CV319*CW319+CX319*CY319+CZ319*DA319+DB319*DC319+DD319*DE319+DF319*DG319+DH319*DI319+DJ319*DK319-DM319*DN319+(KV319/SUM(KT319:LA319)*LL319)*LX319)),0)</f>
        <v>0</v>
      </c>
      <c r="DQ319" s="405"/>
      <c r="DR319" s="409"/>
      <c r="DS319" s="420" t="str">
        <f t="shared" ref="DS319" si="253">CONCATENATE(EW319," - ",DQ319)</f>
        <v xml:space="preserve"> - </v>
      </c>
      <c r="DT319" s="409"/>
      <c r="DU319" s="411">
        <f>IF(DT319=0,0,IF($LB319=70%,VLOOKUP($DS319,'Jan-2026 rates'!$L:$R,4,0),IF($LB319=65%,VLOOKUP($DS319,'Jan-2026 rates'!$L:$R,4,0),IF($LB319=40%,VLOOKUP($DS319,'Jan-2026 rates'!$L:$R,5,0),IF($LB319=30%,VLOOKUP($DS319,'Jan-2026 rates'!$L:$R,6,0),IF($LB319=100%,VLOOKUP($DS319,'Jan-2026 rates'!$L:$R,7,0),IF($LB319=60%,VLOOKUP($DS319,'Jan-2026 rates'!$L:$S,8,0),IF($LB319=80%,VLOOKUP($DS319,'Jan-2026 rates'!L:T,9,0),0))))))))</f>
        <v>0</v>
      </c>
      <c r="DV319" s="412"/>
      <c r="DW319" s="409"/>
      <c r="DX319" s="411">
        <f>IF(DW319=0,0,IF($LB319=70%,VLOOKUP($DS319,'Jan-2026 rates'!$L:$R,4,0),IF($LB319=65%,VLOOKUP($DS319,'Jan-2026 rates'!$L:$R,4,0),IF($LB319=40%,VLOOKUP($DS319,'Jan-2026 rates'!$L:$R,5,0),IF($LB319=30%,VLOOKUP($DS319,'Jan-2026 rates'!$L:$R,6,0),IF($LB319=100%,VLOOKUP($DS319,'Jan-2026 rates'!$L:$R,7,0),IF($LB319=60%,VLOOKUP($DS319,'Jan-2026 rates'!$L:$S,8,0),IF($LB319=80%,VLOOKUP($DS319,'Jan-2026 rates'!L:T,9,0),0))))))))</f>
        <v>0</v>
      </c>
      <c r="DY319" s="413"/>
      <c r="DZ319" s="413"/>
      <c r="EA319" s="412"/>
      <c r="EB319" s="412"/>
      <c r="EC319" s="412"/>
      <c r="ED319" s="412"/>
      <c r="EE319" s="412"/>
      <c r="EF319" s="412"/>
      <c r="EG319" s="409"/>
      <c r="EH319" s="398">
        <f>IF(EG319=0,0,IF(LEN(DY319)=11,_xlfn.XLOOKUP(DY319,'Dispensed Ink Rates'!C:C,'Dispensed Ink Rates'!CS:CS),VLOOKUP(DY319,'Jan-2026 rates'!$E:$F,2,0)))</f>
        <v>0</v>
      </c>
      <c r="EI319" s="409"/>
      <c r="EJ319" s="398">
        <f>IF(EI319=0,0,IF(LEN(DZ319)=11,_xlfn.XLOOKUP(DZ319,'Dispensed Ink Rates'!C:C,'Dispensed Ink Rates'!CS:CS),VLOOKUP(DZ319,'Jan-2026 rates'!$E:$F,2,0)))</f>
        <v>0</v>
      </c>
      <c r="EK319" s="409"/>
      <c r="EL319" s="398">
        <f>IF(EK319=0,0,IF(LEN(EA319)=11,_xlfn.XLOOKUP(EA319,'Dispensed Ink Rates'!C:C,'Dispensed Ink Rates'!CS:CS),VLOOKUP(EA319,'Jan-2026 rates'!$E:$F,2,0)))</f>
        <v>0</v>
      </c>
      <c r="EM319" s="409"/>
      <c r="EN319" s="398">
        <f>IF(EM319=0,0,IF(LEN(EB319)=11,_xlfn.XLOOKUP(EB319,'Dispensed Ink Rates'!C:C,'Dispensed Ink Rates'!CS:CS),VLOOKUP(EB319,'Jan-2026 rates'!$E:$F,2,0)))</f>
        <v>0</v>
      </c>
      <c r="EO319" s="409"/>
      <c r="EP319" s="398">
        <f>IF(EO319=0,0,IF(LEN(EC319)=11,_xlfn.XLOOKUP(EC319,'Dispensed Ink Rates'!C:C,'Dispensed Ink Rates'!CS:CS),VLOOKUP(EC319,'Jan-2026 rates'!$E:$F,2,0)))</f>
        <v>0</v>
      </c>
      <c r="EQ319" s="409"/>
      <c r="ER319" s="398">
        <f>IF(EQ319=0,0,IF(LEN(ED319)=11,_xlfn.XLOOKUP(ED319,'Dispensed Ink Rates'!C:C,'Dispensed Ink Rates'!CS:CS),VLOOKUP(ED319,'Jan-2026 rates'!$E:$F,2,0)))</f>
        <v>0</v>
      </c>
      <c r="ES319" s="409"/>
      <c r="ET319" s="398">
        <f>IF(ES319=0,0,IF(LEN(EE319)=11,_xlfn.XLOOKUP(EE319,'Dispensed Ink Rates'!C:C,'Dispensed Ink Rates'!CS:CS),VLOOKUP(EE319,'Jan-2026 rates'!$E:$F,2,0)))</f>
        <v>0</v>
      </c>
      <c r="EU319" s="409"/>
      <c r="EV319" s="398">
        <f>IF(EU319=0,0,IF(LEN(EF319)=11,_xlfn.XLOOKUP(EF319,'Dispensed Ink Rates'!C:C,'Dispensed Ink Rates'!CS:CS),VLOOKUP(EF319,'Jan-2026 rates'!$E:$F,2,0)))</f>
        <v>0</v>
      </c>
      <c r="EW319" s="409"/>
      <c r="EX319" s="409"/>
      <c r="EY319" s="411">
        <f t="shared" ref="EY319" si="254">IFERROR(IF(EZ319&lt;=0,0,(DT319*DU319+DW319*DX319+EG319*EH319+EI319*EJ319+EK319*EL319+EM319*EN319+EO319*EP319+EQ319*ER319+ES319*ET319+EU319*EV319+(KW319/SUM(KT319:LA319)*LL319)*LX319)/(DT319+DW319+EG319+EI319+EK319+EM319+EO319+EQ319+ES319+EU319+(KW319/SUM(KT319:LA319)*LL319))),0)</f>
        <v>0</v>
      </c>
      <c r="EZ319" s="411">
        <f t="shared" ref="EZ319" si="255">IFERROR((DT319+DW319+EG319+EI319+EK319+EM319+EO319+EQ319+ES319+EU319+(KW319/SUM(KT319:LA319)*LL319)-EX319),0)</f>
        <v>0</v>
      </c>
      <c r="FA319" s="410">
        <f t="shared" ref="FA319" si="256">IFERROR(IF(EZ319&lt;=0,0,(DT319*DU319+DW319*DX319+EG319*EH319+EI319*EJ319+EK319*EL319+EM319*EN319+EO319*EP319+EQ319*ER319+ES319*ET319+EU319*EV319-EX319*EY319+(KW319/SUM(KT319:LA319)*LL319)*LX319)),0)</f>
        <v>0</v>
      </c>
      <c r="FB319" s="405"/>
      <c r="FC319" s="409"/>
      <c r="FD319" s="420" t="str">
        <f t="shared" ref="FD319" si="257">CONCATENATE(GH319," - ",FB319)</f>
        <v xml:space="preserve"> - </v>
      </c>
      <c r="FE319" s="409"/>
      <c r="FF319" s="411">
        <f>IF(FE319=0,0,IF($LB319=70%,VLOOKUP($FD319,'Jan-2026 rates'!$L:$R,4,0),IF($LB319=65%,VLOOKUP($FD319,'Jan-2026 rates'!$L:$R,4,0),IF($LB319=40%,VLOOKUP($FD319,'Jan-2026 rates'!$L:$R,5,0),IF($LB319=30%,VLOOKUP($FD319,'Jan-2026 rates'!$L:$R,6,0),IF($LB319=100%,VLOOKUP($FD319,'Jan-2026 rates'!$L:$R,7,0),IF($LB319=60%,VLOOKUP($FD319,'Jan-2026 rates'!$L:$S,8,0),IF($LB319=80%,VLOOKUP($FD319,'Jan-2026 rates'!L:T,9,0),0))))))))</f>
        <v>0</v>
      </c>
      <c r="FG319" s="412"/>
      <c r="FH319" s="409"/>
      <c r="FI319" s="411">
        <f>IF(FH319=0,0,IF($LB319=70%,VLOOKUP($FD319,'Jan-2026 rates'!$L:$R,4,0),IF($LB319=65%,VLOOKUP($FD319,'Jan-2026 rates'!$L:$R,4,0),IF($LB319=40%,VLOOKUP($FD319,'Jan-2026 rates'!$L:$R,5,0),IF($LB319=30%,VLOOKUP($FD319,'Jan-2026 rates'!$L:$R,6,0),IF($LB319=100%,VLOOKUP($FD319,'Jan-2026 rates'!$L:$R,7,0),IF($LB319=60%,VLOOKUP($FD319,'Jan-2026 rates'!$L:$S,8,0),IF($LB319=80%,VLOOKUP($FD319,'Jan-2026 rates'!L:T,9,0),0))))))))</f>
        <v>0</v>
      </c>
      <c r="FJ319" s="413"/>
      <c r="FK319" s="413"/>
      <c r="FL319" s="413"/>
      <c r="FM319" s="412"/>
      <c r="FN319" s="412"/>
      <c r="FO319" s="412"/>
      <c r="FP319" s="412"/>
      <c r="FQ319" s="412"/>
      <c r="FR319" s="409"/>
      <c r="FS319" s="398">
        <f>IF(FR319=0,0,IF(LEN(FJ319)=11,_xlfn.XLOOKUP(FJ319,'Dispensed Ink Rates'!C:C,'Dispensed Ink Rates'!CS:CS),VLOOKUP(FJ319,'Jan-2026 rates'!$E:$F,2,0)))</f>
        <v>0</v>
      </c>
      <c r="FT319" s="409"/>
      <c r="FU319" s="398">
        <f>IF(FT319=0,0,IF(LEN(FK319)=11,_xlfn.XLOOKUP(FK319,'Dispensed Ink Rates'!C:C,'Dispensed Ink Rates'!CS:CS),VLOOKUP(FK319,'Jan-2026 rates'!$E:$F,2,0)))</f>
        <v>0</v>
      </c>
      <c r="FV319" s="409"/>
      <c r="FW319" s="398">
        <f>IF(FV319=0,0,IF(LEN(FL319)=11,_xlfn.XLOOKUP(FL319,'Dispensed Ink Rates'!C:C,'Dispensed Ink Rates'!CS:CS),VLOOKUP(FL319,'Jan-2026 rates'!$E:$F,2,0)))</f>
        <v>0</v>
      </c>
      <c r="FX319" s="409"/>
      <c r="FY319" s="398">
        <f>IF(FX319=0,0,IF(LEN(FM319)=11,_xlfn.XLOOKUP(FM319,'Dispensed Ink Rates'!C:C,'Dispensed Ink Rates'!CS:CS),VLOOKUP(FM319,'Jan-2026 rates'!$E:$F,2,0)))</f>
        <v>0</v>
      </c>
      <c r="FZ319" s="409"/>
      <c r="GA319" s="398">
        <f>IF(FZ319=0,0,IF(LEN(FN319)=11,_xlfn.XLOOKUP(FN319,'Dispensed Ink Rates'!C:C,'Dispensed Ink Rates'!CS:CS),VLOOKUP(FN319,'Jan-2026 rates'!$E:$F,2,0)))</f>
        <v>0</v>
      </c>
      <c r="GB319" s="409"/>
      <c r="GC319" s="398">
        <f>IF(GB319=0,0,IF(LEN(FO319)=11,_xlfn.XLOOKUP(FO319,'Dispensed Ink Rates'!C:C,'Dispensed Ink Rates'!CS:CS),VLOOKUP(FO319,'Jan-2026 rates'!$E:$F,2,0)))</f>
        <v>0</v>
      </c>
      <c r="GD319" s="409"/>
      <c r="GE319" s="398">
        <f>IF(GD319=0,0,IF(LEN(FP319)=11,_xlfn.XLOOKUP(FP319,'Dispensed Ink Rates'!C:C,'Dispensed Ink Rates'!CS:CS),VLOOKUP(FP319,'Jan-2026 rates'!$E:$F,2,0)))</f>
        <v>0</v>
      </c>
      <c r="GF319" s="409"/>
      <c r="GG319" s="398">
        <f>IF(GF319=0,0,IF(LEN(FQ319)=11,_xlfn.XLOOKUP(FQ319,'Dispensed Ink Rates'!C:C,'Dispensed Ink Rates'!CS:CS),VLOOKUP(FQ319,'Jan-2026 rates'!$E:$F,2,0)))</f>
        <v>0</v>
      </c>
      <c r="GH319" s="409"/>
      <c r="GI319" s="409"/>
      <c r="GJ319" s="411">
        <f t="shared" ref="GJ319" si="258">IFERROR(IF(GK319&lt;=0,0,(FE319*FF319+FH319*FI319+FR319*FS319+FT319*FU319+FV319*FW319+FX319*FY319+FZ319*GA319+GB319*GC319+GD319*GE319+GF319*GG319+(KX319/SUM(KT319:LA319)*LL319)*LX319)/(FE319+FH319+FR319+FT319+FV319+FX319+FZ319+GB319+GD319+GF319+(KX319/SUM(KT319:LA319)*LL319))),0)</f>
        <v>0</v>
      </c>
      <c r="GK319" s="411">
        <f t="shared" ref="GK319" si="259">IFERROR((FE319+FH319+FR319+FT319+FV319+FX319+FZ319+GB319+GD319+GF319+(KX319/SUM(KT319:LA319)*LL319)-GI319),0)</f>
        <v>0</v>
      </c>
      <c r="GL319" s="410">
        <f t="shared" ref="GL319" si="260">IFERROR(IF(GK319&lt;=0,0,(FE319*FF319+FH319*FI319+FR319*FS319+FT319*FU319+FV319*FW319+FX319*FY319+FZ319*GA319+GB319*GC319+GD319*GE319+GF319*GG319-GI319*GJ319+(KX319/SUM(KT319:LA319)*LL319)*LX319)),0)</f>
        <v>0</v>
      </c>
      <c r="GM319" s="405"/>
      <c r="GN319" s="409"/>
      <c r="GO319" s="420" t="str">
        <f t="shared" ref="GO319" si="261">CONCATENATE(HS319," - ",GM319)</f>
        <v xml:space="preserve"> - </v>
      </c>
      <c r="GP319" s="409"/>
      <c r="GQ319" s="411">
        <f>IF(GP319=0,0,IF($LB319=70%,VLOOKUP($GO319,'Jan-2026 rates'!$L:$R,4,0),IF($LB319=65%,VLOOKUP($GO319,'Jan-2026 rates'!$L:$R,4,0),IF($LB319=40%,VLOOKUP($GO319,'Jan-2026 rates'!$L:$R,5,0),IF($LB319=30%,VLOOKUP($GO319,'Jan-2026 rates'!$L:$R,6,0),IF($LB319=100%,VLOOKUP($GO319,'Jan-2026 rates'!$L:$R,7,0),IF($LB319=60%,VLOOKUP($GO319,'Jan-2026 rates'!$L:$S,8,0),IF($LB319=80%,VLOOKUP($GO319,'Jan-2026 rates'!L:T,9,0),0))))))))</f>
        <v>0</v>
      </c>
      <c r="GR319" s="412"/>
      <c r="GS319" s="409"/>
      <c r="GT319" s="411">
        <f>IF(GS319=0,0,IF($LB319=70%,VLOOKUP($GO319,'Jan-2026 rates'!$L:$R,4,0),IF($LB319=65%,VLOOKUP($GO319,'Jan-2026 rates'!$L:$R,4,0),IF($LB319=40%,VLOOKUP($GO319,'Jan-2026 rates'!$L:$R,5,0),IF($LB319=30%,VLOOKUP($GO319,'Jan-2026 rates'!$L:$R,6,0),IF($LB319=100%,VLOOKUP($GO319,'Jan-2026 rates'!$L:$R,7,0),IF($LB319=60%,VLOOKUP($GO319,'Jan-2026 rates'!$L:$S,8,0),IF($LB319=80%,VLOOKUP($GO319,'Jan-2026 rates'!L:T,9,0),0))))))))</f>
        <v>0</v>
      </c>
      <c r="GU319" s="413"/>
      <c r="GV319" s="413"/>
      <c r="GW319" s="412"/>
      <c r="GX319" s="412"/>
      <c r="GY319" s="412"/>
      <c r="GZ319" s="412"/>
      <c r="HA319" s="412"/>
      <c r="HB319" s="412"/>
      <c r="HC319" s="409"/>
      <c r="HD319" s="398">
        <f>IF(HC319=0,0,IF(LEN(GU319)=11,_xlfn.XLOOKUP(GU319,'Dispensed Ink Rates'!C:C,'Dispensed Ink Rates'!CS:CS),VLOOKUP(GU319,'Jan-2026 rates'!$E:$F,2,0)))</f>
        <v>0</v>
      </c>
      <c r="HE319" s="409"/>
      <c r="HF319" s="398">
        <f>IF(HE319=0,0,IF(LEN(GV319)=11,_xlfn.XLOOKUP(GV319,'Dispensed Ink Rates'!C:C,'Dispensed Ink Rates'!CS:CS),VLOOKUP(GV319,'Jan-2026 rates'!$E:$F,2,0)))</f>
        <v>0</v>
      </c>
      <c r="HG319" s="409"/>
      <c r="HH319" s="398">
        <f>IF(HG319=0,0,IF(LEN(GW319)=11,_xlfn.XLOOKUP(GW319,'Dispensed Ink Rates'!C:C,'Dispensed Ink Rates'!CS:CS),VLOOKUP(GW319,'Jan-2026 rates'!$E:$F,2,0)))</f>
        <v>0</v>
      </c>
      <c r="HI319" s="409"/>
      <c r="HJ319" s="398">
        <f>IF(HI319=0,0,IF(LEN(GX319)=11,_xlfn.XLOOKUP(GX319,'Dispensed Ink Rates'!C:C,'Dispensed Ink Rates'!CS:CS),VLOOKUP(GX319,'Jan-2026 rates'!$E:$F,2,0)))</f>
        <v>0</v>
      </c>
      <c r="HK319" s="409"/>
      <c r="HL319" s="398">
        <f>IF(HK319=0,0,IF(LEN(GY319)=11,_xlfn.XLOOKUP(GY319,'Dispensed Ink Rates'!C:C,'Dispensed Ink Rates'!CS:CS),VLOOKUP(GY319,'Jan-2026 rates'!$E:$F,2,0)))</f>
        <v>0</v>
      </c>
      <c r="HM319" s="409"/>
      <c r="HN319" s="398">
        <f>IF(HM319=0,0,IF(LEN(GZ319)=11,_xlfn.XLOOKUP(GZ319,'Dispensed Ink Rates'!C:C,'Dispensed Ink Rates'!CS:CS),VLOOKUP(GZ319,'Jan-2026 rates'!$E:$F,2,0)))</f>
        <v>0</v>
      </c>
      <c r="HO319" s="409"/>
      <c r="HP319" s="398">
        <f>IF(HO319=0,0,IF(LEN(HA319)=11,_xlfn.XLOOKUP(HA319,'Dispensed Ink Rates'!C:C,'Dispensed Ink Rates'!CS:CS),VLOOKUP(HA319,'Jan-2026 rates'!$E:$F,2,0)))</f>
        <v>0</v>
      </c>
      <c r="HQ319" s="409"/>
      <c r="HR319" s="398">
        <f>IF(HQ319=0,0,IF(LEN(HB319)=11,_xlfn.XLOOKUP(HB319,'Dispensed Ink Rates'!C:C,'Dispensed Ink Rates'!CS:CS),VLOOKUP(HB319,'Jan-2026 rates'!$E:$F,2,0)))</f>
        <v>0</v>
      </c>
      <c r="HS319" s="409"/>
      <c r="HT319" s="409"/>
      <c r="HU319" s="411">
        <f t="shared" ref="HU319" si="262">IFERROR(IF(HV319&lt;=0,0,(GP319*GQ319+GS319*GT319+HC319*HD319+HE319*HF319+HG319*HH319+HI319*HJ319+HK319*HL319+HM319*HN319+HO319*HP319+HQ319*HR319+(KY319/SUM(KT319:LA319)*LL319)*LX319)/(GP319+GS319+HC319+HE319+HG319+HI319+HK319+HM319+HO319+HQ319+(KY319/SUM(KT319:LA319)*LL319))),0)</f>
        <v>0</v>
      </c>
      <c r="HV319" s="411">
        <f t="shared" ref="HV319" si="263">IFERROR((GP319+GS319+HC319+HE319+HG319+HI319+HK319+HM319+HO319+HQ319+(KY319/SUM(KT319:LA319)*LL319)-HT319),0)</f>
        <v>0</v>
      </c>
      <c r="HW319" s="414">
        <f t="shared" ref="HW319" si="264">IFERROR(IF(HV319&lt;=0,0,(GP319*GQ319+GS319*GT319+HC319*HD319+HE319*HF319+HG319*HH319+HI319*HJ319+HK319*HL319+HM319*HN319+HO319*HP319+HQ319*HR319-HT319*HU319+(KY319/SUM(KT319:LA319)*LL319)*LX319)),0)</f>
        <v>0</v>
      </c>
      <c r="HX319" s="405"/>
      <c r="HY319" s="409"/>
      <c r="HZ319" s="420" t="str">
        <f t="shared" ref="HZ319" si="265">CONCATENATE(JD319," - ",HX319)</f>
        <v xml:space="preserve"> - </v>
      </c>
      <c r="IA319" s="409"/>
      <c r="IB319" s="411">
        <f>IF(IA319=0,0,IF($LB319=70%,VLOOKUP($HZ319,'Jan-2026 rates'!$L:$R,4,0),IF($LB319=65%,VLOOKUP($HZ319,'Jan-2026 rates'!$L:$R,4,0),IF($LB319=40%,VLOOKUP($HZ319,'Jan-2026 rates'!$L:$R,5,0),IF($LB319=30%,VLOOKUP($HZ319,'Jan-2026 rates'!$L:$R,6,0),IF($LB319=100%,VLOOKUP($HZ319,'Jan-2026 rates'!$L:$R,7,0),IF($LB319=60%,VLOOKUP($HZ319,'Jan-2026 rates'!$L:$S,8,0),IF($LB319=80%,VLOOKUP($HZ319,'Jan-2026 rates'!L:T,9,0),0))))))))</f>
        <v>0</v>
      </c>
      <c r="IC319" s="412"/>
      <c r="ID319" s="409"/>
      <c r="IE319" s="411">
        <f>IF(ID319=0,0,IF($LB319=70%,VLOOKUP($HZ319,'Jan-2026 rates'!$L:$R,4,0),IF($LB319=65%,VLOOKUP($HZ319,'Jan-2026 rates'!$L:$R,4,0),IF($LB319=40%,VLOOKUP($HZ319,'Jan-2026 rates'!$L:$R,5,0),IF($LB319=30%,VLOOKUP($HZ319,'Jan-2026 rates'!$L:$R,6,0),IF($LB319=100%,VLOOKUP($HZ319,'Jan-2026 rates'!$L:$R,7,0),IF($LB319=60%,VLOOKUP($HZ319,'Jan-2026 rates'!$L:$S,8,0),IF($LB319=80%,VLOOKUP($HZ319,'Jan-2026 rates'!L:T,9,0),0))))))))</f>
        <v>0</v>
      </c>
      <c r="IF319" s="412"/>
      <c r="IG319" s="413"/>
      <c r="IH319" s="412"/>
      <c r="II319" s="412"/>
      <c r="IJ319" s="412"/>
      <c r="IK319" s="412"/>
      <c r="IL319" s="412"/>
      <c r="IM319" s="412"/>
      <c r="IN319" s="409"/>
      <c r="IO319" s="398">
        <f>IF(IN319=0,0,IF(LEN(IF319)=11,_xlfn.XLOOKUP(IF319,'Dispensed Ink Rates'!C:C,'Dispensed Ink Rates'!CS:CS),VLOOKUP(IF319,'Jan-2026 rates'!$E:$F,2,0)))</f>
        <v>0</v>
      </c>
      <c r="IP319" s="409"/>
      <c r="IQ319" s="398">
        <f>IF(IP319=0,0,IF(LEN(IG319)=11,_xlfn.XLOOKUP(IG319,'Dispensed Ink Rates'!C:C,'Dispensed Ink Rates'!CS:CS),VLOOKUP(IG319,'Jan-2026 rates'!$E:$F,2,0)))</f>
        <v>0</v>
      </c>
      <c r="IR319" s="409"/>
      <c r="IS319" s="398">
        <f>IF(IR319=0,0,IF(LEN(IH319)=11,_xlfn.XLOOKUP(IH319,'Dispensed Ink Rates'!C:C,'Dispensed Ink Rates'!CS:CS),VLOOKUP(IH319,'Jan-2026 rates'!$E:$F,2,0)))</f>
        <v>0</v>
      </c>
      <c r="IT319" s="409"/>
      <c r="IU319" s="398">
        <f>IF(IT319=0,0,IF(LEN(II319)=11,_xlfn.XLOOKUP(II319,'Dispensed Ink Rates'!C:C,'Dispensed Ink Rates'!CS:CS),VLOOKUP(II319,'Jan-2026 rates'!$E:$F,2,0)))</f>
        <v>0</v>
      </c>
      <c r="IV319" s="409"/>
      <c r="IW319" s="398">
        <f>IF(IV319=0,0,IF(LEN(IJ319)=11,_xlfn.XLOOKUP(IJ319,'Dispensed Ink Rates'!C:C,'Dispensed Ink Rates'!CS:CS),VLOOKUP(IJ319,'Jan-2026 rates'!$E:$F,2,0)))</f>
        <v>0</v>
      </c>
      <c r="IX319" s="409"/>
      <c r="IY319" s="398">
        <f>IF(IX319=0,0,IF(LEN(IK319)=11,_xlfn.XLOOKUP(IK319,'Dispensed Ink Rates'!C:C,'Dispensed Ink Rates'!CS:CS),VLOOKUP(IK319,'Jan-2026 rates'!$E:$F,2,0)))</f>
        <v>0</v>
      </c>
      <c r="IZ319" s="409"/>
      <c r="JA319" s="398">
        <f>IF(IZ319=0,0,IF(LEN(IL319)=11,_xlfn.XLOOKUP(IL319,'Dispensed Ink Rates'!C:C,'Dispensed Ink Rates'!CS:CS),VLOOKUP(IL319,'Jan-2026 rates'!$E:$F,2,0)))</f>
        <v>0</v>
      </c>
      <c r="JB319" s="409"/>
      <c r="JC319" s="398">
        <f>IF(JB319=0,0,IF(LEN(IM319)=11,_xlfn.XLOOKUP(IM319,'Dispensed Ink Rates'!C:C,'Dispensed Ink Rates'!CS:CS),VLOOKUP(IM319,'Jan-2026 rates'!$E:$F,2,0)))</f>
        <v>0</v>
      </c>
      <c r="JD319" s="409"/>
      <c r="JE319" s="409"/>
      <c r="JF319" s="411">
        <f t="shared" ref="JF319" si="266">IFERROR(IF(JG319&lt;=0,0,(IA319*IB319+ID319*IE319+IN319*IO319+IP319*IQ319+IR319*IS319+IT319*IU319+IV319*IW319+IX319*IY319+IZ319*JA319+JB319*JC319+(KZ319/SUM(KT319:LA319)*LL319)*LX319)/(IA319+ID319+IN319+IP319+IR319+IT319+IV319+IX319+IZ319+JB319+(KZ319/SUM(KT319:LA319)*LL319))),0)</f>
        <v>0</v>
      </c>
      <c r="JG319" s="411">
        <f t="shared" ref="JG319" si="267">IFERROR((IA319+ID319+IN319+IP319+IR319+IT319+IV319+IX319+IZ319+JB319+(KZ319/SUM(KT319:LA319)*LL319)-JE319),0)</f>
        <v>0</v>
      </c>
      <c r="JH319" s="410">
        <f t="shared" ref="JH319" si="268">IFERROR(IF(JG319&lt;=0,0,(IA319*IB319+ID319*IE319+IN319*IO319+IP319*IQ319+IR319*IS319+IT319*IU319+IV319*IW319+IX319*IY319+IZ319*JA319+JB319*JC319-JE319*JF319+(KZ319/SUM(KT319:LA319)*LL319)*LX319)),0)</f>
        <v>0</v>
      </c>
      <c r="JI319" s="405"/>
      <c r="JJ319" s="409"/>
      <c r="JK319" s="420" t="str">
        <f t="shared" ref="JK319" si="269">CONCATENATE(KO319," - ",JI319)</f>
        <v xml:space="preserve"> - </v>
      </c>
      <c r="JL319" s="409"/>
      <c r="JM319" s="411">
        <f>IF(JL319=0,0,IF($LB319=70%,VLOOKUP($JK319,'Jan-2026 rates'!$L:$R,4,0),IF($LB319=65%,VLOOKUP($JK319,'Jan-2026 rates'!$L:$R,4,0),IF($LB319=40%,VLOOKUP($JK319,'Jan-2026 rates'!$L:$R,5,0),IF($LB319=30%,VLOOKUP($JK319,'Jan-2026 rates'!$L:$R,6,0),IF($LB319=100%,VLOOKUP($JK319,'Jan-2026 rates'!$L:$R,7,0),IF($LB319=60%,VLOOKUP($JK319,'Jan-2026 rates'!$L:$S,8,0),IF($LB319=80%,VLOOKUP($JK319,'Jan-2026 rates'!L:T,9,0),0))))))))</f>
        <v>0</v>
      </c>
      <c r="JN319" s="412"/>
      <c r="JO319" s="409"/>
      <c r="JP319" s="411">
        <f>IF(JO319=0,0,IF($LB319=70%,VLOOKUP($JK319,'Jan-2026 rates'!$L:$R,4,0),IF($LB319=65%,VLOOKUP($JK319,'Jan-2026 rates'!$L:$R,4,0),IF($LB319=40%,VLOOKUP($JK319,'Jan-2026 rates'!$L:$R,5,0),IF($LB319=30%,VLOOKUP($JK319,'Jan-2026 rates'!$L:$R,6,0),IF($LB319=100%,VLOOKUP($JK319,'Jan-2026 rates'!$L:$R,7,0),IF($LB319=60%,VLOOKUP($JK319,'Jan-2026 rates'!$L:$S,8,0),IF($LB319=80%,VLOOKUP($JK319,'Jan-2026 rates'!L:T,9,0),0))))))))</f>
        <v>0</v>
      </c>
      <c r="JQ319" s="413"/>
      <c r="JR319" s="412"/>
      <c r="JS319" s="413"/>
      <c r="JT319" s="413"/>
      <c r="JU319" s="412"/>
      <c r="JV319" s="412"/>
      <c r="JW319" s="412"/>
      <c r="JX319" s="412"/>
      <c r="JY319" s="409"/>
      <c r="JZ319" s="398">
        <f>IF(JY319=0,0,IF(LEN(JQ319)=11,_xlfn.XLOOKUP(JQ319,'Dispensed Ink Rates'!C:C,'Dispensed Ink Rates'!CS:CS),VLOOKUP(JQ319,'Jan-2026 rates'!$E:$F,2,0)))</f>
        <v>0</v>
      </c>
      <c r="KA319" s="409"/>
      <c r="KB319" s="398">
        <f>IF(KA319=0,0,IF(LEN(JR319)=11,_xlfn.XLOOKUP(JR319,'Dispensed Ink Rates'!C:C,'Dispensed Ink Rates'!CS:CS),VLOOKUP(JR319,'Jan-2026 rates'!$E:$F,2,0)))</f>
        <v>0</v>
      </c>
      <c r="KC319" s="409"/>
      <c r="KD319" s="398">
        <f>IF(KC319=0,0,IF(LEN(JS319)=11,_xlfn.XLOOKUP(JS319,'Dispensed Ink Rates'!C:C,'Dispensed Ink Rates'!CS:CS),VLOOKUP(JS319,'Jan-2026 rates'!$E:$F,2,0)))</f>
        <v>0</v>
      </c>
      <c r="KE319" s="409"/>
      <c r="KF319" s="398">
        <f>IF(KE319=0,0,IF(LEN(JT319)=11,_xlfn.XLOOKUP(JT319,'Dispensed Ink Rates'!C:C,'Dispensed Ink Rates'!CS:CS),VLOOKUP(JT319,'Jan-2026 rates'!$E:$F,2,0)))</f>
        <v>0</v>
      </c>
      <c r="KG319" s="409"/>
      <c r="KH319" s="398">
        <f>IF(KG319=0,0,IF(LEN(JU319)=11,_xlfn.XLOOKUP(JU319,'Dispensed Ink Rates'!C:C,'Dispensed Ink Rates'!CS:CS),VLOOKUP(JU319,'Jan-2026 rates'!$E:$F,2,0)))</f>
        <v>0</v>
      </c>
      <c r="KI319" s="409"/>
      <c r="KJ319" s="398">
        <f>IF(KI319=0,0,IF(LEN(JV319)=11,_xlfn.XLOOKUP(JV319,'Dispensed Ink Rates'!C:C,'Dispensed Ink Rates'!CS:CS),VLOOKUP(JV319,'Jan-2026 rates'!$E:$F,2,0)))</f>
        <v>0</v>
      </c>
      <c r="KK319" s="409"/>
      <c r="KL319" s="398">
        <f>IF(KK319=0,0,IF(LEN(JW319)=11,_xlfn.XLOOKUP(JW319,'Dispensed Ink Rates'!C:C,'Dispensed Ink Rates'!CS:CS),VLOOKUP(JW319,'Jan-2026 rates'!$E:$F,2,0)))</f>
        <v>0</v>
      </c>
      <c r="KM319" s="428"/>
      <c r="KN319" s="398">
        <f>IF(KM319=0,0,IF(LEN(JX319)=11,_xlfn.XLOOKUP(JX319,'Dispensed Ink Rates'!C:C,'Dispensed Ink Rates'!CS:CS),VLOOKUP(JX319,'Jan-2026 rates'!$E:$F,2,0)))</f>
        <v>0</v>
      </c>
      <c r="KO319" s="409"/>
      <c r="KP319" s="409"/>
      <c r="KQ319" s="411">
        <f t="shared" ref="KQ319" si="270">IFERROR(IF(KR319&lt;=0,0,(JL319*JM319+JO319*JP319+JY319*JZ319+KA319*KB319+KC319*KD319+KE319*KF319+KG319*KH319+KI319*KJ319+KK319*KL319+KM319*KN319+(LA319/SUM(KT319:LA319)*LL319)*LX319)/(JL319+JO319+JY319+KA319+KC319+KE319+KG319+KI319+KK319+KM319+(LA319/SUM(KT319:LA319)*LL319))),0)</f>
        <v>0</v>
      </c>
      <c r="KR319" s="411">
        <f t="shared" ref="KR319" si="271">IFERROR((JL319+JO319+JY319+KA319+KC319+KE319+KG319+KI319+KK319+KM319+(LA319/SUM(KT319:LA319)*LL319)-KP319),0)</f>
        <v>0</v>
      </c>
      <c r="KS319" s="410">
        <f t="shared" ref="KS319" si="272">IFERROR(IF(KR319&lt;=0,0,(JL319*JM319+JO319*JP319+JY319*JZ319+KA319*KB319+KC319*KD319+KE319*KF319+KG319*KH319+KI319*KJ319+KK319*KL319+KM319*KN319-KP319*KQ319+(LA319/SUM(KT319:LA319)*LL319)*LX319)),0)</f>
        <v>0</v>
      </c>
      <c r="KT319" s="409">
        <v>3</v>
      </c>
      <c r="KU319" s="409">
        <f>7+10</f>
        <v>17</v>
      </c>
      <c r="KV319" s="409">
        <v>0</v>
      </c>
      <c r="KW319" s="409">
        <v>0</v>
      </c>
      <c r="KX319" s="409">
        <v>0</v>
      </c>
      <c r="KY319" s="409">
        <v>0</v>
      </c>
      <c r="KZ319" s="409">
        <v>0</v>
      </c>
      <c r="LA319" s="409">
        <v>0</v>
      </c>
      <c r="LB319" s="415">
        <v>0.3</v>
      </c>
      <c r="LC319" s="415"/>
      <c r="LD319" s="424"/>
      <c r="LE319" s="415">
        <v>0.5</v>
      </c>
      <c r="LF319" s="415">
        <v>0.2</v>
      </c>
      <c r="LG319" s="409">
        <v>0</v>
      </c>
      <c r="LH319" s="409">
        <f>10+10+6+10+4</f>
        <v>40</v>
      </c>
      <c r="LI319" s="409">
        <v>0</v>
      </c>
      <c r="LJ319" s="409">
        <v>0</v>
      </c>
      <c r="LK319" s="416">
        <f t="shared" ref="LK319" si="273">LG319+LH319+LI319-LJ319</f>
        <v>40</v>
      </c>
      <c r="LL319" s="416">
        <f t="shared" ref="LL319" si="274">IF(LK319&lt;=0,SUM(KT319:LA319),LK319)</f>
        <v>40</v>
      </c>
      <c r="LM319" s="417">
        <f t="shared" ref="LM319" si="275">IFERROR($LL319*LB319,0)</f>
        <v>12</v>
      </c>
      <c r="LN319" s="417">
        <f>VLOOKUP($LM$8,'Jan-2026 rates'!$H:$I,2,0)</f>
        <v>0</v>
      </c>
      <c r="LO319" s="417">
        <f t="shared" ref="LO319" si="276">IFERROR(LL319*LC319,0)</f>
        <v>0</v>
      </c>
      <c r="LP319" s="417">
        <f>VLOOKUP($LO$8,'Jan-2026 rates'!$H:$I,2,0)</f>
        <v>0</v>
      </c>
      <c r="LQ319" s="417">
        <f t="shared" ref="LQ319" si="277">IFERROR(LL319*LD319,0)</f>
        <v>0</v>
      </c>
      <c r="LR319" s="417">
        <f>VLOOKUP($LQ$8,'Jan-2026 rates'!$H:$I,2,0)</f>
        <v>0</v>
      </c>
      <c r="LS319" s="417">
        <f t="shared" ref="LS319" si="278">IFERROR(LL319*LE319,0)</f>
        <v>20</v>
      </c>
      <c r="LT319" s="417">
        <f>VLOOKUP($LS$8,'Jan-2026 rates'!$H:$I,2,0)</f>
        <v>0</v>
      </c>
      <c r="LU319" s="417">
        <f t="shared" ref="LU319" si="279">IFERROR(LL319*LF319,0)</f>
        <v>8</v>
      </c>
      <c r="LV319" s="417">
        <f>VLOOKUP($LU$8,'Jan-2026 rates'!$H:$I,2,0)</f>
        <v>0</v>
      </c>
      <c r="LW319" s="417">
        <f t="shared" ref="LW319" si="280">(LM319*LN319+LO319*LP319+LQ319*LR319+LS319*LT319+LU319*LV319)</f>
        <v>0</v>
      </c>
      <c r="LX319" s="417">
        <f t="shared" ref="LX319" si="281">IFERROR(LW319/LL319,0)</f>
        <v>0</v>
      </c>
      <c r="LY319" s="418">
        <f t="shared" ref="LY319" si="282">AT319+CE319+DP319+FA319+GL319+HW319+JH319+KS319</f>
        <v>0</v>
      </c>
      <c r="LZ319" s="417"/>
      <c r="MA319" s="435">
        <f t="shared" ref="MA319" si="283">Z319+AB319+AD319+AF319+AH319+AJ319+AL319+AN319+BK319+BM319+BO319+BQ319+BS319+BU319+BW319+BY319+CV319+CX319+CZ319+DB319+DD319+DF319+DH319+DJ319+EG319+EI319+EK319+EM319+EO319+EQ319+ES319+EU319+FR319+FT319+FV319+FX319+FZ319+GB319+GD319+GF319+HC319+HE319+HG319+HI319+HK319+HM319+HO319+HQ319+IN319+IP319+IR319+IT319+IV319+IX319+IZ319+JB319+JY319+KA319+KC319+KE319+KG319+KI319+KK319+KM319</f>
        <v>35</v>
      </c>
      <c r="MB319" s="282">
        <f t="shared" ref="MB319" si="284">AS319+CD319+DO319+EZ319+GK319+HV319+JG319+KR319</f>
        <v>78</v>
      </c>
      <c r="MC319" s="283" t="s">
        <v>2058</v>
      </c>
      <c r="MD319" s="284" t="str">
        <f t="shared" ref="MD319" si="285">CONCATENATE(AP319,CA319,DL319,EW319,GH319,HS319,JD319,KO319)</f>
        <v>ToyoLiToyoLi</v>
      </c>
      <c r="ME319" s="293" t="str">
        <f t="shared" ref="ME319" si="286">IF(AQ319&lt;&gt;"",IF(AS319&gt;0,"+","-"),"NIL")</f>
        <v>+</v>
      </c>
      <c r="MF319" s="293" t="str">
        <f t="shared" ref="MF319" si="287">IF(CB319&lt;&gt;"",IF(CD319&gt;0,"+","-"),"NIL")</f>
        <v>+</v>
      </c>
      <c r="MG319" s="293" t="str">
        <f t="shared" ref="MG319" si="288">IF(DM319&lt;&gt;"",IF(DO319&gt;0,"+","-"),"NIL")</f>
        <v>NIL</v>
      </c>
      <c r="MH319" s="293" t="str">
        <f t="shared" ref="MH319" si="289">IF(EX319&lt;&gt;"",IF(EZ319&gt;0,"+","-"),"NIL")</f>
        <v>NIL</v>
      </c>
      <c r="MI319" s="293" t="str">
        <f t="shared" ref="MI319" si="290">IF(GI319&lt;&gt;"",IF(GK319&gt;0,"+","-"),"NIL")</f>
        <v>NIL</v>
      </c>
      <c r="MJ319" s="293" t="str">
        <f t="shared" ref="MJ319" si="291">IF(HT319&lt;&gt;"",IF(HV319&gt;0,"+","-"),"NIL")</f>
        <v>NIL</v>
      </c>
      <c r="MK319" s="293" t="str">
        <f t="shared" ref="MK319" si="292">IF(JE319&lt;&gt;"",IF(JG319&gt;0,"+","-"),"NIL")</f>
        <v>NIL</v>
      </c>
      <c r="ML319" s="293" t="str">
        <f t="shared" ref="ML319" si="293">IF(KP319&lt;&gt;"",IF(KR319&gt;0,"+","-"),"NIL")</f>
        <v>NIL</v>
      </c>
      <c r="MM319" s="3" t="b">
        <f t="array" ref="MM319">OR(ME319:ML319="-")</f>
        <v>0</v>
      </c>
      <c r="MO319" s="401">
        <f t="shared" ref="MO319" si="294">+MB319/E319*100</f>
        <v>46.987951807228917</v>
      </c>
      <c r="MP319" s="286"/>
      <c r="MR319" s="402">
        <f t="shared" ref="MR319" si="295">+MB319/F319</f>
        <v>7.2222222222222219E-3</v>
      </c>
      <c r="MS319" s="400">
        <f t="shared" ref="MS319" si="296">+LY319/MB319</f>
        <v>0</v>
      </c>
      <c r="MT319" s="285"/>
      <c r="NH319" s="361"/>
      <c r="NJ319" s="282"/>
    </row>
    <row r="320" spans="1:374" ht="16.5">
      <c r="A320" s="403">
        <v>46045</v>
      </c>
      <c r="B320" s="404" t="s">
        <v>1018</v>
      </c>
      <c r="C320" s="405" t="s">
        <v>4536</v>
      </c>
      <c r="D320" s="404" t="s">
        <v>2059</v>
      </c>
      <c r="E320" s="404">
        <v>25</v>
      </c>
      <c r="F320" s="407">
        <v>1600</v>
      </c>
      <c r="G320" s="407" t="s">
        <v>1016</v>
      </c>
      <c r="H320" s="408" t="s">
        <v>1017</v>
      </c>
      <c r="I320" s="409">
        <v>0.5</v>
      </c>
      <c r="J320" s="405" t="s">
        <v>543</v>
      </c>
      <c r="K320" s="404" t="s">
        <v>4537</v>
      </c>
      <c r="L320" s="419" t="str">
        <f t="shared" si="184"/>
        <v>ToyoLi - BLACK</v>
      </c>
      <c r="M320" s="404">
        <v>24</v>
      </c>
      <c r="N320" s="410">
        <f>IF(M320=0,0,IF($LB320=70%,VLOOKUP($L320,'Jan-2026 rates'!$L:$R,4,0),IF($LB320=65%,VLOOKUP($L320,'Jan-2026 rates'!$L:$R,4,0),IF($LB320=40%,VLOOKUP($L320,'Jan-2026 rates'!$L:$R,5,0),IF($LB320=30%,VLOOKUP($L320,'Jan-2026 rates'!$L:$R,6,0),IF($LB320=100%,VLOOKUP($L320,'Jan-2026 rates'!$L:$R,7,0),IF($LB320=60%,VLOOKUP($L320,'Jan-2026 rates'!$L:$S,8,0),IF($LB320=80%,VLOOKUP($L320,'Jan-2026 rates'!L:T,9,0),0))))))))</f>
        <v>0</v>
      </c>
      <c r="O320" s="406"/>
      <c r="P320" s="404"/>
      <c r="Q320" s="410">
        <f>IF(P320=0,0,IF($LB320=70%,VLOOKUP($L320,'Jan-2026 rates'!$L:$R,4,0),IF($LB320=65%,VLOOKUP($L320,'Jan-2026 rates'!$L:$R,4,0),IF($LB320=40%,VLOOKUP($L320,'Jan-2026 rates'!$L:$R,5,0),IF($LB320=30%,VLOOKUP($L320,'Jan-2026 rates'!$L:$R,6,0),IF($LB320=100%,VLOOKUP($L320,'Jan-2026 rates'!$L:$R,7,0),IF($LB320=60%,VLOOKUP($L320,'Jan-2026 rates'!$L:$S,8,0),IF($LB320=80%,VLOOKUP($L320,'Jan-2026 rates'!L:T,9,0),0))))))))</f>
        <v>0</v>
      </c>
      <c r="R320" s="406" t="s">
        <v>1252</v>
      </c>
      <c r="S320" s="406"/>
      <c r="T320" s="406"/>
      <c r="U320" s="406"/>
      <c r="V320" s="406"/>
      <c r="W320" s="406"/>
      <c r="X320" s="406"/>
      <c r="Y320" s="406"/>
      <c r="Z320" s="404">
        <v>1</v>
      </c>
      <c r="AA320" s="398">
        <f>IF(Z320=0,0,IF(LEN(R320)=11,_xlfn.XLOOKUP(R320,'Dispensed Ink Rates'!C:C,'Dispensed Ink Rates'!CS:CS),VLOOKUP(R320,'Jan-2026 rates'!$E:$F,2,0)))</f>
        <v>0</v>
      </c>
      <c r="AB320" s="404"/>
      <c r="AC320" s="398">
        <f>IF(AB320=0,0,IF(LEN(S320)=11,_xlfn.XLOOKUP(S320,'Dispensed Ink Rates'!C:C,'Dispensed Ink Rates'!CS:CS),VLOOKUP(S320,'Jan-2026 rates'!$E:$F,2,0)))</f>
        <v>0</v>
      </c>
      <c r="AD320" s="404"/>
      <c r="AE320" s="398">
        <f>IF(AD320=0,0,IF(LEN(T320)=11,_xlfn.XLOOKUP(T320,'Dispensed Ink Rates'!C:C,'Dispensed Ink Rates'!CS:CS),VLOOKUP(T320,'Jan-2026 rates'!$E:$F,2,0)))</f>
        <v>0</v>
      </c>
      <c r="AF320" s="404"/>
      <c r="AG320" s="398">
        <f>IF(AF320=0,0,IF(LEN(U320)=11,_xlfn.XLOOKUP(U320,'Dispensed Ink Rates'!C:C,'Dispensed Ink Rates'!CS:CS),VLOOKUP(U320,'Jan-2026 rates'!$E:$F,2,0)))</f>
        <v>0</v>
      </c>
      <c r="AH320" s="404"/>
      <c r="AI320" s="398">
        <f>IF(AH320=0,0,IF(LEN(V320)=11,_xlfn.XLOOKUP(V320,'Dispensed Ink Rates'!C:C,'Dispensed Ink Rates'!CS:CS),VLOOKUP(V320,'Jan-2026 rates'!$E:$F,2,0)))</f>
        <v>0</v>
      </c>
      <c r="AJ320" s="404"/>
      <c r="AK320" s="398">
        <f>IF(AJ320=0,0,IF(LEN(W320)=11,_xlfn.XLOOKUP(W320,'Dispensed Ink Rates'!C:C,'Dispensed Ink Rates'!CS:CS),VLOOKUP(W320,'Jan-2026 rates'!$E:$F,2,0)))</f>
        <v>0</v>
      </c>
      <c r="AL320" s="404"/>
      <c r="AM320" s="398">
        <f>IF(AL320=0,0,IF(LEN(X320)=11,_xlfn.XLOOKUP(X320,'Dispensed Ink Rates'!C:C,'Dispensed Ink Rates'!CS:CS),VLOOKUP(X320,'Jan-2026 rates'!$E:$F,2,0)))</f>
        <v>0</v>
      </c>
      <c r="AN320" s="404"/>
      <c r="AO320" s="398">
        <f>IF(AN320=0,0,IF(LEN(Y320)=11,_xlfn.XLOOKUP(Y320,'Dispensed Ink Rates'!C:C,'Dispensed Ink Rates'!CS:CS),VLOOKUP(Y320,'Jan-2026 rates'!$E:$F,2,0)))</f>
        <v>0</v>
      </c>
      <c r="AP320" s="409" t="s">
        <v>1881</v>
      </c>
      <c r="AQ320" s="409">
        <v>25</v>
      </c>
      <c r="AR320" s="410">
        <f t="shared" si="212"/>
        <v>0</v>
      </c>
      <c r="AS320" s="411">
        <f t="shared" si="213"/>
        <v>3.5714285714285694</v>
      </c>
      <c r="AT320" s="410">
        <f t="shared" si="214"/>
        <v>0</v>
      </c>
      <c r="AU320" s="405" t="s">
        <v>857</v>
      </c>
      <c r="AV320" s="409"/>
      <c r="AW320" s="420" t="str">
        <f t="shared" si="236"/>
        <v>ToyoLi - RED</v>
      </c>
      <c r="AX320" s="409"/>
      <c r="AY320" s="411">
        <f>IF(AX320=0,0,IF($LB320=70%,VLOOKUP($AW320,'Jan-2026 rates'!$L:$R,4,0),IF($LB320=65%,VLOOKUP($AW320,'Jan-2026 rates'!$L:$R,4,0),IF($LB320=40%,VLOOKUP($AW320,'Jan-2026 rates'!$L:$R,5,0),IF($LB320=30%,VLOOKUP($AW320,'Jan-2026 rates'!$L:$R,6,0),IF($LB320=100%,VLOOKUP($AW320,'Jan-2026 rates'!$L:$R,7,0),IF($LB320=60%,VLOOKUP($AW320,'Jan-2026 rates'!$L:$S,8,0),IF($LB320=80%,VLOOKUP($AW320,'Jan-2026 rates'!L:T,9,0),0))))))))</f>
        <v>0</v>
      </c>
      <c r="AZ320" s="412"/>
      <c r="BA320" s="409"/>
      <c r="BB320" s="411">
        <f>IF(BA320=0,0,IF($LB320=70%,VLOOKUP($AW320,'Jan-2026 rates'!$L:$R,4,0),IF($LB320=65%,VLOOKUP($AW320,'Jan-2026 rates'!$L:$R,4,0),IF($LB320=40%,VLOOKUP($AW320,'Jan-2026 rates'!$L:$R,5,0),IF($LB320=30%,VLOOKUP($AW320,'Jan-2026 rates'!$L:$R,6,0),IF($LB320=100%,VLOOKUP($AW320,'Jan-2026 rates'!$L:$R,7,0),IF($LB320=60%,VLOOKUP($AW320,'Jan-2026 rates'!$L:$S,8,0),IF($LB320=80%,VLOOKUP($AW320,'Jan-2026 rates'!L:T,9,0),0))))))))</f>
        <v>0</v>
      </c>
      <c r="BC320" s="413" t="s">
        <v>1246</v>
      </c>
      <c r="BD320" s="412" t="s">
        <v>1248</v>
      </c>
      <c r="BE320" s="412" t="s">
        <v>1252</v>
      </c>
      <c r="BF320" s="413"/>
      <c r="BG320" s="412"/>
      <c r="BH320" s="412"/>
      <c r="BI320" s="412"/>
      <c r="BJ320" s="412"/>
      <c r="BK320" s="409">
        <v>10</v>
      </c>
      <c r="BL320" s="398">
        <f>IF(BK320=0,0,IF(LEN(BC320)=11,_xlfn.XLOOKUP(BC320,'Dispensed Ink Rates'!C:C,'Dispensed Ink Rates'!CS:CS),VLOOKUP(BC320,'Jan-2026 rates'!$E:$F,2,0)))</f>
        <v>0</v>
      </c>
      <c r="BM320" s="409">
        <v>8</v>
      </c>
      <c r="BN320" s="398">
        <f>IF(BM320=0,0,IF(LEN(BD320)=11,_xlfn.XLOOKUP(BD320,'Dispensed Ink Rates'!C:C,'Dispensed Ink Rates'!CS:CS),VLOOKUP(BD320,'Jan-2026 rates'!$E:$F,2,0)))</f>
        <v>0</v>
      </c>
      <c r="BO320" s="409">
        <v>0.2</v>
      </c>
      <c r="BP320" s="398">
        <f>IF(BO320=0,0,IF(LEN(BE320)=11,_xlfn.XLOOKUP(BE320,'Dispensed Ink Rates'!C:C,'Dispensed Ink Rates'!CS:CS),VLOOKUP(BE320,'Jan-2026 rates'!$E:$F,2,0)))</f>
        <v>0</v>
      </c>
      <c r="BQ320" s="409"/>
      <c r="BR320" s="398">
        <f>IF(BQ320=0,0,IF(LEN(BF320)=11,_xlfn.XLOOKUP(BF320,'Dispensed Ink Rates'!C:C,'Dispensed Ink Rates'!CS:CS),VLOOKUP(BF320,'Jan-2026 rates'!$E:$F,2,0)))</f>
        <v>0</v>
      </c>
      <c r="BS320" s="409"/>
      <c r="BT320" s="398">
        <f>IF(BS320=0,0,IF(LEN(BG320)=11,_xlfn.XLOOKUP(BG320,'Dispensed Ink Rates'!C:C,'Dispensed Ink Rates'!CS:CS),VLOOKUP(BG320,'Jan-2026 rates'!$E:$F,2,0)))</f>
        <v>0</v>
      </c>
      <c r="BU320" s="409"/>
      <c r="BV320" s="398">
        <f>IF(BU320=0,0,IF(LEN(BH320)=11,_xlfn.XLOOKUP(BH320,'Dispensed Ink Rates'!C:C,'Dispensed Ink Rates'!CS:CS),VLOOKUP(BH320,'Jan-2026 rates'!$E:$F,2,0)))</f>
        <v>0</v>
      </c>
      <c r="BW320" s="409"/>
      <c r="BX320" s="398">
        <f>IF(BW320=0,0,IF(LEN(BI320)=11,_xlfn.XLOOKUP(BI320,'Dispensed Ink Rates'!C:C,'Dispensed Ink Rates'!CS:CS),VLOOKUP(BI320,'Jan-2026 rates'!$E:$F,2,0)))</f>
        <v>0</v>
      </c>
      <c r="BY320" s="409"/>
      <c r="BZ320" s="398">
        <f>IF(BY320=0,0,IF(LEN(BJ320)=11,_xlfn.XLOOKUP(BJ320,'Dispensed Ink Rates'!C:C,'Dispensed Ink Rates'!CS:CS),VLOOKUP(BJ320,'Jan-2026 rates'!$E:$F,2,0)))</f>
        <v>0</v>
      </c>
      <c r="CA320" s="409" t="s">
        <v>1881</v>
      </c>
      <c r="CB320" s="409">
        <f>19+5</f>
        <v>24</v>
      </c>
      <c r="CC320" s="411">
        <f t="shared" si="215"/>
        <v>0</v>
      </c>
      <c r="CD320" s="411">
        <f t="shared" si="216"/>
        <v>15.628571428571426</v>
      </c>
      <c r="CE320" s="410">
        <f t="shared" si="217"/>
        <v>0</v>
      </c>
      <c r="CF320" s="404"/>
      <c r="CG320" s="409"/>
      <c r="CH320" s="420" t="str">
        <f t="shared" si="185"/>
        <v xml:space="preserve"> - </v>
      </c>
      <c r="CI320" s="409"/>
      <c r="CJ320" s="411">
        <f>IF(CI320=0,0,IF($LB320=70%,VLOOKUP($CH320,'Jan-2026 rates'!$L:$R,4,0),IF($LB320=65%,VLOOKUP($CH320,'Jan-2026 rates'!$L:$R,4,0),IF($LB320=40%,VLOOKUP($CH320,'Jan-2026 rates'!$L:$R,5,0),IF($LB320=30%,VLOOKUP($CH320,'Jan-2026 rates'!$L:$R,6,0),IF($LB320=100%,VLOOKUP($CH320,'Jan-2026 rates'!$L:$R,7,0),IF($LB320=60%,VLOOKUP($CH320,'Jan-2026 rates'!$L:$S,8,0),IF($LB320=80%,VLOOKUP($CH320,'Jan-2026 rates'!L:T,9,0),0))))))))</f>
        <v>0</v>
      </c>
      <c r="CK320" s="412"/>
      <c r="CL320" s="409"/>
      <c r="CM320" s="411">
        <f>IF(CL320=0,0,IF($LB320=70%,VLOOKUP($CH320,'Jan-2026 rates'!$L:$R,4,0),IF($LB320=65%,VLOOKUP($CH320,'Jan-2026 rates'!$L:$R,4,0),IF($LB320=40%,VLOOKUP($CH320,'Jan-2026 rates'!$L:$R,5,0),IF($LB320=30%,VLOOKUP($CH320,'Jan-2026 rates'!$L:$R,6,0),IF($LB320=100%,VLOOKUP($CH320,'Jan-2026 rates'!$L:$R,7,0),IF($LB320=60%,VLOOKUP($CH320,'Jan-2026 rates'!$L:$S,8,0),IF($LB320=80%,VLOOKUP($CH320,'Jan-2026 rates'!L:T,9,0),0))))))))</f>
        <v>0</v>
      </c>
      <c r="CN320" s="426"/>
      <c r="CO320" s="427"/>
      <c r="CP320" s="426"/>
      <c r="CQ320" s="426"/>
      <c r="CR320" s="428"/>
      <c r="CS320" s="428"/>
      <c r="CT320" s="428"/>
      <c r="CU320" s="428"/>
      <c r="CV320" s="409"/>
      <c r="CW320" s="398">
        <f>IF(CV320=0,0,IF(LEN(CN320)=11,_xlfn.XLOOKUP(CN320,'Dispensed Ink Rates'!C:C,'Dispensed Ink Rates'!CS:CS),VLOOKUP(CN320,'Jan-2026 rates'!$E:$F,2,0)))</f>
        <v>0</v>
      </c>
      <c r="CX320" s="409"/>
      <c r="CY320" s="398">
        <f>IF(CX320=0,0,IF(LEN(CO320)=11,_xlfn.XLOOKUP(CO320,'Dispensed Ink Rates'!C:C,'Dispensed Ink Rates'!CS:CS),VLOOKUP(CO320,'Jan-2026 rates'!$E:$F,2,0)))</f>
        <v>0</v>
      </c>
      <c r="CZ320" s="409"/>
      <c r="DA320" s="398">
        <f>IF(CZ320=0,0,IF(LEN(CP320)=11,_xlfn.XLOOKUP(CP320,'Dispensed Ink Rates'!C:C,'Dispensed Ink Rates'!CS:CS),VLOOKUP(CP320,'Jan-2026 rates'!$E:$F,2,0)))</f>
        <v>0</v>
      </c>
      <c r="DB320" s="409"/>
      <c r="DC320" s="398">
        <f>IF(DB320=0,0,IF(LEN(CQ320)=11,_xlfn.XLOOKUP(CQ320,'Dispensed Ink Rates'!C:C,'Dispensed Ink Rates'!CS:CS),VLOOKUP(CQ320,'Jan-2026 rates'!$E:$F,2,0)))</f>
        <v>0</v>
      </c>
      <c r="DD320" s="409"/>
      <c r="DE320" s="398">
        <f>IF(DD320=0,0,IF(LEN(CR320)=11,_xlfn.XLOOKUP(CR320,'Dispensed Ink Rates'!C:C,'Dispensed Ink Rates'!CS:CS),VLOOKUP(CR320,'Jan-2026 rates'!$E:$F,2,0)))</f>
        <v>0</v>
      </c>
      <c r="DF320" s="409"/>
      <c r="DG320" s="398">
        <f>IF(DF320=0,0,IF(LEN(CS320)=11,_xlfn.XLOOKUP(CS320,'Dispensed Ink Rates'!C:C,'Dispensed Ink Rates'!CS:CS),VLOOKUP(CS320,'Jan-2026 rates'!$E:$F,2,0)))</f>
        <v>0</v>
      </c>
      <c r="DH320" s="409"/>
      <c r="DI320" s="398">
        <f>IF(DH320=0,0,IF(LEN(CT320)=11,_xlfn.XLOOKUP(CT320,'Dispensed Ink Rates'!C:C,'Dispensed Ink Rates'!CS:CS),VLOOKUP(CT320,'Jan-2026 rates'!$E:$F,2,0)))</f>
        <v>0</v>
      </c>
      <c r="DJ320" s="409"/>
      <c r="DK320" s="398">
        <f>IF(DJ320=0,0,IF(LEN(CU320)=11,_xlfn.XLOOKUP(CU320,'Dispensed Ink Rates'!C:C,'Dispensed Ink Rates'!CS:CS),VLOOKUP(CU320,'Jan-2026 rates'!$E:$F,2,0)))</f>
        <v>0</v>
      </c>
      <c r="DL320" s="409"/>
      <c r="DM320" s="409"/>
      <c r="DN320" s="411">
        <f t="shared" si="218"/>
        <v>0</v>
      </c>
      <c r="DO320" s="411">
        <f t="shared" si="219"/>
        <v>0</v>
      </c>
      <c r="DP320" s="410">
        <f t="shared" si="220"/>
        <v>0</v>
      </c>
      <c r="DQ320" s="405"/>
      <c r="DR320" s="409"/>
      <c r="DS320" s="420" t="str">
        <f t="shared" si="186"/>
        <v xml:space="preserve"> - </v>
      </c>
      <c r="DT320" s="409"/>
      <c r="DU320" s="411">
        <f>IF(DT320=0,0,IF($LB320=70%,VLOOKUP($DS320,'Jan-2026 rates'!$L:$R,4,0),IF($LB320=65%,VLOOKUP($DS320,'Jan-2026 rates'!$L:$R,4,0),IF($LB320=40%,VLOOKUP($DS320,'Jan-2026 rates'!$L:$R,5,0),IF($LB320=30%,VLOOKUP($DS320,'Jan-2026 rates'!$L:$R,6,0),IF($LB320=100%,VLOOKUP($DS320,'Jan-2026 rates'!$L:$R,7,0),IF($LB320=60%,VLOOKUP($DS320,'Jan-2026 rates'!$L:$S,8,0),IF($LB320=80%,VLOOKUP($DS320,'Jan-2026 rates'!L:T,9,0),0))))))))</f>
        <v>0</v>
      </c>
      <c r="DV320" s="412"/>
      <c r="DW320" s="409"/>
      <c r="DX320" s="411">
        <f>IF(DW320=0,0,IF($LB320=70%,VLOOKUP($DS320,'Jan-2026 rates'!$L:$R,4,0),IF($LB320=65%,VLOOKUP($DS320,'Jan-2026 rates'!$L:$R,4,0),IF($LB320=40%,VLOOKUP($DS320,'Jan-2026 rates'!$L:$R,5,0),IF($LB320=30%,VLOOKUP($DS320,'Jan-2026 rates'!$L:$R,6,0),IF($LB320=100%,VLOOKUP($DS320,'Jan-2026 rates'!$L:$R,7,0),IF($LB320=60%,VLOOKUP($DS320,'Jan-2026 rates'!$L:$S,8,0),IF($LB320=80%,VLOOKUP($DS320,'Jan-2026 rates'!L:T,9,0),0))))))))</f>
        <v>0</v>
      </c>
      <c r="DY320" s="413"/>
      <c r="DZ320" s="413"/>
      <c r="EA320" s="412"/>
      <c r="EB320" s="412"/>
      <c r="EC320" s="412"/>
      <c r="ED320" s="412"/>
      <c r="EE320" s="412"/>
      <c r="EF320" s="412"/>
      <c r="EG320" s="409"/>
      <c r="EH320" s="398">
        <f>IF(EG320=0,0,IF(LEN(DY320)=11,_xlfn.XLOOKUP(DY320,'Dispensed Ink Rates'!C:C,'Dispensed Ink Rates'!CS:CS),VLOOKUP(DY320,'Jan-2026 rates'!$E:$F,2,0)))</f>
        <v>0</v>
      </c>
      <c r="EI320" s="409"/>
      <c r="EJ320" s="398">
        <f>IF(EI320=0,0,IF(LEN(DZ320)=11,_xlfn.XLOOKUP(DZ320,'Dispensed Ink Rates'!C:C,'Dispensed Ink Rates'!CS:CS),VLOOKUP(DZ320,'Jan-2026 rates'!$E:$F,2,0)))</f>
        <v>0</v>
      </c>
      <c r="EK320" s="409"/>
      <c r="EL320" s="398">
        <f>IF(EK320=0,0,IF(LEN(EA320)=11,_xlfn.XLOOKUP(EA320,'Dispensed Ink Rates'!C:C,'Dispensed Ink Rates'!CS:CS),VLOOKUP(EA320,'Jan-2026 rates'!$E:$F,2,0)))</f>
        <v>0</v>
      </c>
      <c r="EM320" s="409"/>
      <c r="EN320" s="398">
        <f>IF(EM320=0,0,IF(LEN(EB320)=11,_xlfn.XLOOKUP(EB320,'Dispensed Ink Rates'!C:C,'Dispensed Ink Rates'!CS:CS),VLOOKUP(EB320,'Jan-2026 rates'!$E:$F,2,0)))</f>
        <v>0</v>
      </c>
      <c r="EO320" s="409"/>
      <c r="EP320" s="398">
        <f>IF(EO320=0,0,IF(LEN(EC320)=11,_xlfn.XLOOKUP(EC320,'Dispensed Ink Rates'!C:C,'Dispensed Ink Rates'!CS:CS),VLOOKUP(EC320,'Jan-2026 rates'!$E:$F,2,0)))</f>
        <v>0</v>
      </c>
      <c r="EQ320" s="409"/>
      <c r="ER320" s="398">
        <f>IF(EQ320=0,0,IF(LEN(ED320)=11,_xlfn.XLOOKUP(ED320,'Dispensed Ink Rates'!C:C,'Dispensed Ink Rates'!CS:CS),VLOOKUP(ED320,'Jan-2026 rates'!$E:$F,2,0)))</f>
        <v>0</v>
      </c>
      <c r="ES320" s="409"/>
      <c r="ET320" s="398">
        <f>IF(ES320=0,0,IF(LEN(EE320)=11,_xlfn.XLOOKUP(EE320,'Dispensed Ink Rates'!C:C,'Dispensed Ink Rates'!CS:CS),VLOOKUP(EE320,'Jan-2026 rates'!$E:$F,2,0)))</f>
        <v>0</v>
      </c>
      <c r="EU320" s="409"/>
      <c r="EV320" s="398">
        <f>IF(EU320=0,0,IF(LEN(EF320)=11,_xlfn.XLOOKUP(EF320,'Dispensed Ink Rates'!C:C,'Dispensed Ink Rates'!CS:CS),VLOOKUP(EF320,'Jan-2026 rates'!$E:$F,2,0)))</f>
        <v>0</v>
      </c>
      <c r="EW320" s="409"/>
      <c r="EX320" s="409"/>
      <c r="EY320" s="411">
        <f t="shared" si="221"/>
        <v>0</v>
      </c>
      <c r="EZ320" s="411">
        <f t="shared" si="222"/>
        <v>0</v>
      </c>
      <c r="FA320" s="410">
        <f t="shared" si="223"/>
        <v>0</v>
      </c>
      <c r="FB320" s="405"/>
      <c r="FC320" s="409"/>
      <c r="FD320" s="420" t="str">
        <f t="shared" si="187"/>
        <v xml:space="preserve"> - </v>
      </c>
      <c r="FE320" s="409"/>
      <c r="FF320" s="411">
        <f>IF(FE320=0,0,IF($LB320=70%,VLOOKUP($FD320,'Jan-2026 rates'!$L:$R,4,0),IF($LB320=65%,VLOOKUP($FD320,'Jan-2026 rates'!$L:$R,4,0),IF($LB320=40%,VLOOKUP($FD320,'Jan-2026 rates'!$L:$R,5,0),IF($LB320=30%,VLOOKUP($FD320,'Jan-2026 rates'!$L:$R,6,0),IF($LB320=100%,VLOOKUP($FD320,'Jan-2026 rates'!$L:$R,7,0),IF($LB320=60%,VLOOKUP($FD320,'Jan-2026 rates'!$L:$S,8,0),IF($LB320=80%,VLOOKUP($FD320,'Jan-2026 rates'!L:T,9,0),0))))))))</f>
        <v>0</v>
      </c>
      <c r="FG320" s="412"/>
      <c r="FH320" s="409"/>
      <c r="FI320" s="411">
        <f>IF(FH320=0,0,IF($LB320=70%,VLOOKUP($FD320,'Jan-2026 rates'!$L:$R,4,0),IF($LB320=65%,VLOOKUP($FD320,'Jan-2026 rates'!$L:$R,4,0),IF($LB320=40%,VLOOKUP($FD320,'Jan-2026 rates'!$L:$R,5,0),IF($LB320=30%,VLOOKUP($FD320,'Jan-2026 rates'!$L:$R,6,0),IF($LB320=100%,VLOOKUP($FD320,'Jan-2026 rates'!$L:$R,7,0),IF($LB320=60%,VLOOKUP($FD320,'Jan-2026 rates'!$L:$S,8,0),IF($LB320=80%,VLOOKUP($FD320,'Jan-2026 rates'!L:T,9,0),0))))))))</f>
        <v>0</v>
      </c>
      <c r="FJ320" s="413"/>
      <c r="FK320" s="413"/>
      <c r="FL320" s="413"/>
      <c r="FM320" s="412"/>
      <c r="FN320" s="412"/>
      <c r="FO320" s="412"/>
      <c r="FP320" s="412"/>
      <c r="FQ320" s="412"/>
      <c r="FR320" s="409"/>
      <c r="FS320" s="398">
        <f>IF(FR320=0,0,IF(LEN(FJ320)=11,_xlfn.XLOOKUP(FJ320,'Dispensed Ink Rates'!C:C,'Dispensed Ink Rates'!CS:CS),VLOOKUP(FJ320,'Jan-2026 rates'!$E:$F,2,0)))</f>
        <v>0</v>
      </c>
      <c r="FT320" s="409"/>
      <c r="FU320" s="398">
        <f>IF(FT320=0,0,IF(LEN(FK320)=11,_xlfn.XLOOKUP(FK320,'Dispensed Ink Rates'!C:C,'Dispensed Ink Rates'!CS:CS),VLOOKUP(FK320,'Jan-2026 rates'!$E:$F,2,0)))</f>
        <v>0</v>
      </c>
      <c r="FV320" s="409"/>
      <c r="FW320" s="398">
        <f>IF(FV320=0,0,IF(LEN(FL320)=11,_xlfn.XLOOKUP(FL320,'Dispensed Ink Rates'!C:C,'Dispensed Ink Rates'!CS:CS),VLOOKUP(FL320,'Jan-2026 rates'!$E:$F,2,0)))</f>
        <v>0</v>
      </c>
      <c r="FX320" s="409"/>
      <c r="FY320" s="398">
        <f>IF(FX320=0,0,IF(LEN(FM320)=11,_xlfn.XLOOKUP(FM320,'Dispensed Ink Rates'!C:C,'Dispensed Ink Rates'!CS:CS),VLOOKUP(FM320,'Jan-2026 rates'!$E:$F,2,0)))</f>
        <v>0</v>
      </c>
      <c r="FZ320" s="409"/>
      <c r="GA320" s="398">
        <f>IF(FZ320=0,0,IF(LEN(FN320)=11,_xlfn.XLOOKUP(FN320,'Dispensed Ink Rates'!C:C,'Dispensed Ink Rates'!CS:CS),VLOOKUP(FN320,'Jan-2026 rates'!$E:$F,2,0)))</f>
        <v>0</v>
      </c>
      <c r="GB320" s="409"/>
      <c r="GC320" s="398">
        <f>IF(GB320=0,0,IF(LEN(FO320)=11,_xlfn.XLOOKUP(FO320,'Dispensed Ink Rates'!C:C,'Dispensed Ink Rates'!CS:CS),VLOOKUP(FO320,'Jan-2026 rates'!$E:$F,2,0)))</f>
        <v>0</v>
      </c>
      <c r="GD320" s="409"/>
      <c r="GE320" s="398">
        <f>IF(GD320=0,0,IF(LEN(FP320)=11,_xlfn.XLOOKUP(FP320,'Dispensed Ink Rates'!C:C,'Dispensed Ink Rates'!CS:CS),VLOOKUP(FP320,'Jan-2026 rates'!$E:$F,2,0)))</f>
        <v>0</v>
      </c>
      <c r="GF320" s="409"/>
      <c r="GG320" s="398">
        <f>IF(GF320=0,0,IF(LEN(FQ320)=11,_xlfn.XLOOKUP(FQ320,'Dispensed Ink Rates'!C:C,'Dispensed Ink Rates'!CS:CS),VLOOKUP(FQ320,'Jan-2026 rates'!$E:$F,2,0)))</f>
        <v>0</v>
      </c>
      <c r="GH320" s="409"/>
      <c r="GI320" s="409"/>
      <c r="GJ320" s="411">
        <f t="shared" si="224"/>
        <v>0</v>
      </c>
      <c r="GK320" s="411">
        <f t="shared" si="225"/>
        <v>0</v>
      </c>
      <c r="GL320" s="410">
        <f t="shared" si="226"/>
        <v>0</v>
      </c>
      <c r="GM320" s="405"/>
      <c r="GN320" s="409"/>
      <c r="GO320" s="420" t="str">
        <f t="shared" si="188"/>
        <v xml:space="preserve"> - </v>
      </c>
      <c r="GP320" s="409"/>
      <c r="GQ320" s="411">
        <f>IF(GP320=0,0,IF($LB320=70%,VLOOKUP($GO320,'Jan-2026 rates'!$L:$R,4,0),IF($LB320=65%,VLOOKUP($GO320,'Jan-2026 rates'!$L:$R,4,0),IF($LB320=40%,VLOOKUP($GO320,'Jan-2026 rates'!$L:$R,5,0),IF($LB320=30%,VLOOKUP($GO320,'Jan-2026 rates'!$L:$R,6,0),IF($LB320=100%,VLOOKUP($GO320,'Jan-2026 rates'!$L:$R,7,0),IF($LB320=60%,VLOOKUP($GO320,'Jan-2026 rates'!$L:$S,8,0),IF($LB320=80%,VLOOKUP($GO320,'Jan-2026 rates'!L:T,9,0),0))))))))</f>
        <v>0</v>
      </c>
      <c r="GR320" s="412"/>
      <c r="GS320" s="409"/>
      <c r="GT320" s="411">
        <f>IF(GS320=0,0,IF($LB320=70%,VLOOKUP($GO320,'Jan-2026 rates'!$L:$R,4,0),IF($LB320=65%,VLOOKUP($GO320,'Jan-2026 rates'!$L:$R,4,0),IF($LB320=40%,VLOOKUP($GO320,'Jan-2026 rates'!$L:$R,5,0),IF($LB320=30%,VLOOKUP($GO320,'Jan-2026 rates'!$L:$R,6,0),IF($LB320=100%,VLOOKUP($GO320,'Jan-2026 rates'!$L:$R,7,0),IF($LB320=60%,VLOOKUP($GO320,'Jan-2026 rates'!$L:$S,8,0),IF($LB320=80%,VLOOKUP($GO320,'Jan-2026 rates'!L:T,9,0),0))))))))</f>
        <v>0</v>
      </c>
      <c r="GU320" s="413"/>
      <c r="GV320" s="413"/>
      <c r="GW320" s="412"/>
      <c r="GX320" s="412"/>
      <c r="GY320" s="412"/>
      <c r="GZ320" s="412"/>
      <c r="HA320" s="412"/>
      <c r="HB320" s="412"/>
      <c r="HC320" s="409"/>
      <c r="HD320" s="398">
        <f>IF(HC320=0,0,IF(LEN(GU320)=11,_xlfn.XLOOKUP(GU320,'Dispensed Ink Rates'!C:C,'Dispensed Ink Rates'!CS:CS),VLOOKUP(GU320,'Jan-2026 rates'!$E:$F,2,0)))</f>
        <v>0</v>
      </c>
      <c r="HE320" s="409"/>
      <c r="HF320" s="398">
        <f>IF(HE320=0,0,IF(LEN(GV320)=11,_xlfn.XLOOKUP(GV320,'Dispensed Ink Rates'!C:C,'Dispensed Ink Rates'!CS:CS),VLOOKUP(GV320,'Jan-2026 rates'!$E:$F,2,0)))</f>
        <v>0</v>
      </c>
      <c r="HG320" s="409"/>
      <c r="HH320" s="398">
        <f>IF(HG320=0,0,IF(LEN(GW320)=11,_xlfn.XLOOKUP(GW320,'Dispensed Ink Rates'!C:C,'Dispensed Ink Rates'!CS:CS),VLOOKUP(GW320,'Jan-2026 rates'!$E:$F,2,0)))</f>
        <v>0</v>
      </c>
      <c r="HI320" s="409"/>
      <c r="HJ320" s="398">
        <f>IF(HI320=0,0,IF(LEN(GX320)=11,_xlfn.XLOOKUP(GX320,'Dispensed Ink Rates'!C:C,'Dispensed Ink Rates'!CS:CS),VLOOKUP(GX320,'Jan-2026 rates'!$E:$F,2,0)))</f>
        <v>0</v>
      </c>
      <c r="HK320" s="409"/>
      <c r="HL320" s="398">
        <f>IF(HK320=0,0,IF(LEN(GY320)=11,_xlfn.XLOOKUP(GY320,'Dispensed Ink Rates'!C:C,'Dispensed Ink Rates'!CS:CS),VLOOKUP(GY320,'Jan-2026 rates'!$E:$F,2,0)))</f>
        <v>0</v>
      </c>
      <c r="HM320" s="409"/>
      <c r="HN320" s="398">
        <f>IF(HM320=0,0,IF(LEN(GZ320)=11,_xlfn.XLOOKUP(GZ320,'Dispensed Ink Rates'!C:C,'Dispensed Ink Rates'!CS:CS),VLOOKUP(GZ320,'Jan-2026 rates'!$E:$F,2,0)))</f>
        <v>0</v>
      </c>
      <c r="HO320" s="409"/>
      <c r="HP320" s="398">
        <f>IF(HO320=0,0,IF(LEN(HA320)=11,_xlfn.XLOOKUP(HA320,'Dispensed Ink Rates'!C:C,'Dispensed Ink Rates'!CS:CS),VLOOKUP(HA320,'Jan-2026 rates'!$E:$F,2,0)))</f>
        <v>0</v>
      </c>
      <c r="HQ320" s="409"/>
      <c r="HR320" s="398">
        <f>IF(HQ320=0,0,IF(LEN(HB320)=11,_xlfn.XLOOKUP(HB320,'Dispensed Ink Rates'!C:C,'Dispensed Ink Rates'!CS:CS),VLOOKUP(HB320,'Jan-2026 rates'!$E:$F,2,0)))</f>
        <v>0</v>
      </c>
      <c r="HS320" s="409"/>
      <c r="HT320" s="409"/>
      <c r="HU320" s="411">
        <f t="shared" si="227"/>
        <v>0</v>
      </c>
      <c r="HV320" s="411">
        <f t="shared" si="228"/>
        <v>0</v>
      </c>
      <c r="HW320" s="414">
        <f t="shared" si="229"/>
        <v>0</v>
      </c>
      <c r="HX320" s="405"/>
      <c r="HY320" s="409"/>
      <c r="HZ320" s="420" t="str">
        <f t="shared" si="189"/>
        <v xml:space="preserve"> - </v>
      </c>
      <c r="IA320" s="409"/>
      <c r="IB320" s="411">
        <f>IF(IA320=0,0,IF($LB320=70%,VLOOKUP($HZ320,'Jan-2026 rates'!$L:$R,4,0),IF($LB320=65%,VLOOKUP($HZ320,'Jan-2026 rates'!$L:$R,4,0),IF($LB320=40%,VLOOKUP($HZ320,'Jan-2026 rates'!$L:$R,5,0),IF($LB320=30%,VLOOKUP($HZ320,'Jan-2026 rates'!$L:$R,6,0),IF($LB320=100%,VLOOKUP($HZ320,'Jan-2026 rates'!$L:$R,7,0),IF($LB320=60%,VLOOKUP($HZ320,'Jan-2026 rates'!$L:$S,8,0),IF($LB320=80%,VLOOKUP($HZ320,'Jan-2026 rates'!L:T,9,0),0))))))))</f>
        <v>0</v>
      </c>
      <c r="IC320" s="412"/>
      <c r="ID320" s="409"/>
      <c r="IE320" s="411">
        <f>IF(ID320=0,0,IF($LB320=70%,VLOOKUP($HZ320,'Jan-2026 rates'!$L:$R,4,0),IF($LB320=65%,VLOOKUP($HZ320,'Jan-2026 rates'!$L:$R,4,0),IF($LB320=40%,VLOOKUP($HZ320,'Jan-2026 rates'!$L:$R,5,0),IF($LB320=30%,VLOOKUP($HZ320,'Jan-2026 rates'!$L:$R,6,0),IF($LB320=100%,VLOOKUP($HZ320,'Jan-2026 rates'!$L:$R,7,0),IF($LB320=60%,VLOOKUP($HZ320,'Jan-2026 rates'!$L:$S,8,0),IF($LB320=80%,VLOOKUP($HZ320,'Jan-2026 rates'!L:T,9,0),0))))))))</f>
        <v>0</v>
      </c>
      <c r="IF320" s="412"/>
      <c r="IG320" s="413"/>
      <c r="IH320" s="412"/>
      <c r="II320" s="412"/>
      <c r="IJ320" s="412"/>
      <c r="IK320" s="412"/>
      <c r="IL320" s="412"/>
      <c r="IM320" s="412"/>
      <c r="IN320" s="409"/>
      <c r="IO320" s="398">
        <f>IF(IN320=0,0,IF(LEN(IF320)=11,_xlfn.XLOOKUP(IF320,'Dispensed Ink Rates'!C:C,'Dispensed Ink Rates'!CS:CS),VLOOKUP(IF320,'Jan-2026 rates'!$E:$F,2,0)))</f>
        <v>0</v>
      </c>
      <c r="IP320" s="409"/>
      <c r="IQ320" s="398">
        <f>IF(IP320=0,0,IF(LEN(IG320)=11,_xlfn.XLOOKUP(IG320,'Dispensed Ink Rates'!C:C,'Dispensed Ink Rates'!CS:CS),VLOOKUP(IG320,'Jan-2026 rates'!$E:$F,2,0)))</f>
        <v>0</v>
      </c>
      <c r="IR320" s="409"/>
      <c r="IS320" s="398">
        <f>IF(IR320=0,0,IF(LEN(IH320)=11,_xlfn.XLOOKUP(IH320,'Dispensed Ink Rates'!C:C,'Dispensed Ink Rates'!CS:CS),VLOOKUP(IH320,'Jan-2026 rates'!$E:$F,2,0)))</f>
        <v>0</v>
      </c>
      <c r="IT320" s="409"/>
      <c r="IU320" s="398">
        <f>IF(IT320=0,0,IF(LEN(II320)=11,_xlfn.XLOOKUP(II320,'Dispensed Ink Rates'!C:C,'Dispensed Ink Rates'!CS:CS),VLOOKUP(II320,'Jan-2026 rates'!$E:$F,2,0)))</f>
        <v>0</v>
      </c>
      <c r="IV320" s="409"/>
      <c r="IW320" s="398">
        <f>IF(IV320=0,0,IF(LEN(IJ320)=11,_xlfn.XLOOKUP(IJ320,'Dispensed Ink Rates'!C:C,'Dispensed Ink Rates'!CS:CS),VLOOKUP(IJ320,'Jan-2026 rates'!$E:$F,2,0)))</f>
        <v>0</v>
      </c>
      <c r="IX320" s="409"/>
      <c r="IY320" s="398">
        <f>IF(IX320=0,0,IF(LEN(IK320)=11,_xlfn.XLOOKUP(IK320,'Dispensed Ink Rates'!C:C,'Dispensed Ink Rates'!CS:CS),VLOOKUP(IK320,'Jan-2026 rates'!$E:$F,2,0)))</f>
        <v>0</v>
      </c>
      <c r="IZ320" s="409"/>
      <c r="JA320" s="398">
        <f>IF(IZ320=0,0,IF(LEN(IL320)=11,_xlfn.XLOOKUP(IL320,'Dispensed Ink Rates'!C:C,'Dispensed Ink Rates'!CS:CS),VLOOKUP(IL320,'Jan-2026 rates'!$E:$F,2,0)))</f>
        <v>0</v>
      </c>
      <c r="JB320" s="409"/>
      <c r="JC320" s="398">
        <f>IF(JB320=0,0,IF(LEN(IM320)=11,_xlfn.XLOOKUP(IM320,'Dispensed Ink Rates'!C:C,'Dispensed Ink Rates'!CS:CS),VLOOKUP(IM320,'Jan-2026 rates'!$E:$F,2,0)))</f>
        <v>0</v>
      </c>
      <c r="JD320" s="409"/>
      <c r="JE320" s="409"/>
      <c r="JF320" s="411">
        <f t="shared" si="230"/>
        <v>0</v>
      </c>
      <c r="JG320" s="411">
        <f t="shared" si="231"/>
        <v>0</v>
      </c>
      <c r="JH320" s="410">
        <f t="shared" si="232"/>
        <v>0</v>
      </c>
      <c r="JI320" s="405"/>
      <c r="JJ320" s="409"/>
      <c r="JK320" s="420" t="str">
        <f t="shared" si="190"/>
        <v xml:space="preserve"> - </v>
      </c>
      <c r="JL320" s="409"/>
      <c r="JM320" s="411">
        <f>IF(JL320=0,0,IF($LB320=70%,VLOOKUP($JK320,'Jan-2026 rates'!$L:$R,4,0),IF($LB320=65%,VLOOKUP($JK320,'Jan-2026 rates'!$L:$R,4,0),IF($LB320=40%,VLOOKUP($JK320,'Jan-2026 rates'!$L:$R,5,0),IF($LB320=30%,VLOOKUP($JK320,'Jan-2026 rates'!$L:$R,6,0),IF($LB320=100%,VLOOKUP($JK320,'Jan-2026 rates'!$L:$R,7,0),IF($LB320=60%,VLOOKUP($JK320,'Jan-2026 rates'!$L:$S,8,0),IF($LB320=80%,VLOOKUP($JK320,'Jan-2026 rates'!L:T,9,0),0))))))))</f>
        <v>0</v>
      </c>
      <c r="JN320" s="412"/>
      <c r="JO320" s="409"/>
      <c r="JP320" s="411">
        <f>IF(JO320=0,0,IF($LB320=70%,VLOOKUP($JK320,'Jan-2026 rates'!$L:$R,4,0),IF($LB320=65%,VLOOKUP($JK320,'Jan-2026 rates'!$L:$R,4,0),IF($LB320=40%,VLOOKUP($JK320,'Jan-2026 rates'!$L:$R,5,0),IF($LB320=30%,VLOOKUP($JK320,'Jan-2026 rates'!$L:$R,6,0),IF($LB320=100%,VLOOKUP($JK320,'Jan-2026 rates'!$L:$R,7,0),IF($LB320=60%,VLOOKUP($JK320,'Jan-2026 rates'!$L:$S,8,0),IF($LB320=80%,VLOOKUP($JK320,'Jan-2026 rates'!L:T,9,0),0))))))))</f>
        <v>0</v>
      </c>
      <c r="JQ320" s="413"/>
      <c r="JR320" s="412"/>
      <c r="JS320" s="413"/>
      <c r="JT320" s="413"/>
      <c r="JU320" s="412"/>
      <c r="JV320" s="412"/>
      <c r="JW320" s="412"/>
      <c r="JX320" s="412"/>
      <c r="JY320" s="409"/>
      <c r="JZ320" s="398">
        <f>IF(JY320=0,0,IF(LEN(JQ320)=11,_xlfn.XLOOKUP(JQ320,'Dispensed Ink Rates'!C:C,'Dispensed Ink Rates'!CS:CS),VLOOKUP(JQ320,'Jan-2026 rates'!$E:$F,2,0)))</f>
        <v>0</v>
      </c>
      <c r="KA320" s="409"/>
      <c r="KB320" s="398">
        <f>IF(KA320=0,0,IF(LEN(JR320)=11,_xlfn.XLOOKUP(JR320,'Dispensed Ink Rates'!C:C,'Dispensed Ink Rates'!CS:CS),VLOOKUP(JR320,'Jan-2026 rates'!$E:$F,2,0)))</f>
        <v>0</v>
      </c>
      <c r="KC320" s="409"/>
      <c r="KD320" s="398">
        <f>IF(KC320=0,0,IF(LEN(JS320)=11,_xlfn.XLOOKUP(JS320,'Dispensed Ink Rates'!C:C,'Dispensed Ink Rates'!CS:CS),VLOOKUP(JS320,'Jan-2026 rates'!$E:$F,2,0)))</f>
        <v>0</v>
      </c>
      <c r="KE320" s="409"/>
      <c r="KF320" s="398">
        <f>IF(KE320=0,0,IF(LEN(JT320)=11,_xlfn.XLOOKUP(JT320,'Dispensed Ink Rates'!C:C,'Dispensed Ink Rates'!CS:CS),VLOOKUP(JT320,'Jan-2026 rates'!$E:$F,2,0)))</f>
        <v>0</v>
      </c>
      <c r="KG320" s="409"/>
      <c r="KH320" s="398">
        <f>IF(KG320=0,0,IF(LEN(JU320)=11,_xlfn.XLOOKUP(JU320,'Dispensed Ink Rates'!C:C,'Dispensed Ink Rates'!CS:CS),VLOOKUP(JU320,'Jan-2026 rates'!$E:$F,2,0)))</f>
        <v>0</v>
      </c>
      <c r="KI320" s="409"/>
      <c r="KJ320" s="398">
        <f>IF(KI320=0,0,IF(LEN(JV320)=11,_xlfn.XLOOKUP(JV320,'Dispensed Ink Rates'!C:C,'Dispensed Ink Rates'!CS:CS),VLOOKUP(JV320,'Jan-2026 rates'!$E:$F,2,0)))</f>
        <v>0</v>
      </c>
      <c r="KK320" s="409"/>
      <c r="KL320" s="398">
        <f>IF(KK320=0,0,IF(LEN(JW320)=11,_xlfn.XLOOKUP(JW320,'Dispensed Ink Rates'!C:C,'Dispensed Ink Rates'!CS:CS),VLOOKUP(JW320,'Jan-2026 rates'!$E:$F,2,0)))</f>
        <v>0</v>
      </c>
      <c r="KM320" s="428"/>
      <c r="KN320" s="398">
        <f>IF(KM320=0,0,IF(LEN(JX320)=11,_xlfn.XLOOKUP(JX320,'Dispensed Ink Rates'!C:C,'Dispensed Ink Rates'!CS:CS),VLOOKUP(JX320,'Jan-2026 rates'!$E:$F,2,0)))</f>
        <v>0</v>
      </c>
      <c r="KO320" s="409"/>
      <c r="KP320" s="409"/>
      <c r="KQ320" s="411">
        <f t="shared" si="233"/>
        <v>0</v>
      </c>
      <c r="KR320" s="411">
        <f t="shared" si="234"/>
        <v>0</v>
      </c>
      <c r="KS320" s="410">
        <f t="shared" si="235"/>
        <v>0</v>
      </c>
      <c r="KT320" s="409">
        <v>2</v>
      </c>
      <c r="KU320" s="409">
        <v>12</v>
      </c>
      <c r="KV320" s="409">
        <v>0</v>
      </c>
      <c r="KW320" s="409">
        <v>0</v>
      </c>
      <c r="KX320" s="409">
        <v>0</v>
      </c>
      <c r="KY320" s="409">
        <v>0</v>
      </c>
      <c r="KZ320" s="409">
        <v>0</v>
      </c>
      <c r="LA320" s="409">
        <v>0</v>
      </c>
      <c r="LB320" s="415">
        <v>0.3</v>
      </c>
      <c r="LC320" s="415"/>
      <c r="LD320" s="424"/>
      <c r="LE320" s="415">
        <v>0.5</v>
      </c>
      <c r="LF320" s="415">
        <v>0.2</v>
      </c>
      <c r="LG320" s="409">
        <v>0</v>
      </c>
      <c r="LH320" s="409">
        <f>10+5+3+5+2</f>
        <v>25</v>
      </c>
      <c r="LI320" s="409">
        <v>0</v>
      </c>
      <c r="LJ320" s="409">
        <v>0</v>
      </c>
      <c r="LK320" s="416">
        <f t="shared" si="191"/>
        <v>25</v>
      </c>
      <c r="LL320" s="416">
        <f t="shared" si="237"/>
        <v>25</v>
      </c>
      <c r="LM320" s="417">
        <f t="shared" si="193"/>
        <v>7.5</v>
      </c>
      <c r="LN320" s="417">
        <f>VLOOKUP($LM$8,'Jan-2026 rates'!$H:$I,2,0)</f>
        <v>0</v>
      </c>
      <c r="LO320" s="417">
        <f t="shared" si="194"/>
        <v>0</v>
      </c>
      <c r="LP320" s="417">
        <f>VLOOKUP($LO$8,'Jan-2026 rates'!$H:$I,2,0)</f>
        <v>0</v>
      </c>
      <c r="LQ320" s="417">
        <f t="shared" si="195"/>
        <v>0</v>
      </c>
      <c r="LR320" s="417">
        <f>VLOOKUP($LQ$8,'Jan-2026 rates'!$H:$I,2,0)</f>
        <v>0</v>
      </c>
      <c r="LS320" s="417">
        <f t="shared" si="196"/>
        <v>12.5</v>
      </c>
      <c r="LT320" s="417">
        <f>VLOOKUP($LS$8,'Jan-2026 rates'!$H:$I,2,0)</f>
        <v>0</v>
      </c>
      <c r="LU320" s="417">
        <f t="shared" si="197"/>
        <v>5</v>
      </c>
      <c r="LV320" s="417">
        <f>VLOOKUP($LU$8,'Jan-2026 rates'!$H:$I,2,0)</f>
        <v>0</v>
      </c>
      <c r="LW320" s="417">
        <f t="shared" si="198"/>
        <v>0</v>
      </c>
      <c r="LX320" s="417">
        <f t="shared" si="199"/>
        <v>0</v>
      </c>
      <c r="LY320" s="418">
        <f t="shared" si="200"/>
        <v>0</v>
      </c>
      <c r="LZ320" s="417"/>
      <c r="MA320" s="435">
        <f t="shared" si="201"/>
        <v>19.2</v>
      </c>
      <c r="MB320" s="282">
        <f t="shared" si="202"/>
        <v>19.199999999999996</v>
      </c>
      <c r="MC320" s="283" t="s">
        <v>2059</v>
      </c>
      <c r="MD320" s="284" t="str">
        <f t="shared" si="203"/>
        <v>ToyoLiToyoLi</v>
      </c>
      <c r="ME320" s="293" t="str">
        <f t="shared" si="204"/>
        <v>+</v>
      </c>
      <c r="MF320" s="293" t="str">
        <f t="shared" si="205"/>
        <v>+</v>
      </c>
      <c r="MG320" s="293" t="str">
        <f t="shared" si="206"/>
        <v>NIL</v>
      </c>
      <c r="MH320" s="293" t="str">
        <f t="shared" si="207"/>
        <v>NIL</v>
      </c>
      <c r="MI320" s="293" t="str">
        <f t="shared" si="208"/>
        <v>NIL</v>
      </c>
      <c r="MJ320" s="293" t="str">
        <f t="shared" si="209"/>
        <v>NIL</v>
      </c>
      <c r="MK320" s="293" t="str">
        <f t="shared" si="210"/>
        <v>NIL</v>
      </c>
      <c r="ML320" s="293" t="str">
        <f t="shared" si="211"/>
        <v>NIL</v>
      </c>
      <c r="MM320" s="3" t="b">
        <f t="array" ref="MM320">OR(ME320:ML320="-")</f>
        <v>0</v>
      </c>
      <c r="MO320" s="401">
        <f t="shared" si="238"/>
        <v>76.799999999999983</v>
      </c>
      <c r="MP320" s="286"/>
      <c r="MR320" s="402">
        <f t="shared" si="239"/>
        <v>1.1999999999999997E-2</v>
      </c>
      <c r="MS320" s="400">
        <f t="shared" si="240"/>
        <v>0</v>
      </c>
      <c r="MT320" s="285"/>
      <c r="NH320" s="361"/>
      <c r="NJ320" s="282"/>
    </row>
    <row r="321" spans="1:374" ht="16.5">
      <c r="A321" s="403">
        <v>46045</v>
      </c>
      <c r="B321" s="404" t="s">
        <v>1018</v>
      </c>
      <c r="C321" s="405" t="s">
        <v>4541</v>
      </c>
      <c r="D321" s="404" t="s">
        <v>2060</v>
      </c>
      <c r="E321" s="404">
        <v>41</v>
      </c>
      <c r="F321" s="407">
        <v>2700</v>
      </c>
      <c r="G321" s="407" t="s">
        <v>1016</v>
      </c>
      <c r="H321" s="408" t="s">
        <v>1017</v>
      </c>
      <c r="I321" s="409">
        <v>0.5</v>
      </c>
      <c r="J321" s="405" t="s">
        <v>543</v>
      </c>
      <c r="K321" s="404" t="s">
        <v>4542</v>
      </c>
      <c r="L321" s="419" t="str">
        <f t="shared" si="184"/>
        <v>ToyoLi - BLACK</v>
      </c>
      <c r="M321" s="404">
        <v>25</v>
      </c>
      <c r="N321" s="410">
        <f>IF(M321=0,0,IF($LB321=70%,VLOOKUP($L321,'Jan-2026 rates'!$L:$R,4,0),IF($LB321=65%,VLOOKUP($L321,'Jan-2026 rates'!$L:$R,4,0),IF($LB321=40%,VLOOKUP($L321,'Jan-2026 rates'!$L:$R,5,0),IF($LB321=30%,VLOOKUP($L321,'Jan-2026 rates'!$L:$R,6,0),IF($LB321=100%,VLOOKUP($L321,'Jan-2026 rates'!$L:$R,7,0),IF($LB321=60%,VLOOKUP($L321,'Jan-2026 rates'!$L:$S,8,0),IF($LB321=80%,VLOOKUP($L321,'Jan-2026 rates'!L:T,9,0),0))))))))</f>
        <v>0</v>
      </c>
      <c r="O321" s="406"/>
      <c r="P321" s="404"/>
      <c r="Q321" s="410">
        <f>IF(P321=0,0,IF($LB321=70%,VLOOKUP($L321,'Jan-2026 rates'!$L:$R,4,0),IF($LB321=65%,VLOOKUP($L321,'Jan-2026 rates'!$L:$R,4,0),IF($LB321=40%,VLOOKUP($L321,'Jan-2026 rates'!$L:$R,5,0),IF($LB321=30%,VLOOKUP($L321,'Jan-2026 rates'!$L:$R,6,0),IF($LB321=100%,VLOOKUP($L321,'Jan-2026 rates'!$L:$R,7,0),IF($LB321=60%,VLOOKUP($L321,'Jan-2026 rates'!$L:$S,8,0),IF($LB321=80%,VLOOKUP($L321,'Jan-2026 rates'!L:T,9,0),0))))))))</f>
        <v>0</v>
      </c>
      <c r="R321" s="406" t="s">
        <v>1252</v>
      </c>
      <c r="S321" s="406"/>
      <c r="T321" s="406"/>
      <c r="U321" s="406"/>
      <c r="V321" s="406"/>
      <c r="W321" s="406"/>
      <c r="X321" s="406"/>
      <c r="Y321" s="406"/>
      <c r="Z321" s="404">
        <v>2</v>
      </c>
      <c r="AA321" s="398">
        <f>IF(Z321=0,0,IF(LEN(R321)=11,_xlfn.XLOOKUP(R321,'Dispensed Ink Rates'!C:C,'Dispensed Ink Rates'!CS:CS),VLOOKUP(R321,'Jan-2026 rates'!$E:$F,2,0)))</f>
        <v>0</v>
      </c>
      <c r="AB321" s="404"/>
      <c r="AC321" s="398">
        <f>IF(AB321=0,0,IF(LEN(S321)=11,_xlfn.XLOOKUP(S321,'Dispensed Ink Rates'!C:C,'Dispensed Ink Rates'!CS:CS),VLOOKUP(S321,'Jan-2026 rates'!$E:$F,2,0)))</f>
        <v>0</v>
      </c>
      <c r="AD321" s="404"/>
      <c r="AE321" s="398">
        <f>IF(AD321=0,0,IF(LEN(T321)=11,_xlfn.XLOOKUP(T321,'Dispensed Ink Rates'!C:C,'Dispensed Ink Rates'!CS:CS),VLOOKUP(T321,'Jan-2026 rates'!$E:$F,2,0)))</f>
        <v>0</v>
      </c>
      <c r="AF321" s="404"/>
      <c r="AG321" s="398">
        <f>IF(AF321=0,0,IF(LEN(U321)=11,_xlfn.XLOOKUP(U321,'Dispensed Ink Rates'!C:C,'Dispensed Ink Rates'!CS:CS),VLOOKUP(U321,'Jan-2026 rates'!$E:$F,2,0)))</f>
        <v>0</v>
      </c>
      <c r="AH321" s="404"/>
      <c r="AI321" s="398">
        <f>IF(AH321=0,0,IF(LEN(V321)=11,_xlfn.XLOOKUP(V321,'Dispensed Ink Rates'!C:C,'Dispensed Ink Rates'!CS:CS),VLOOKUP(V321,'Jan-2026 rates'!$E:$F,2,0)))</f>
        <v>0</v>
      </c>
      <c r="AJ321" s="404"/>
      <c r="AK321" s="398">
        <f>IF(AJ321=0,0,IF(LEN(W321)=11,_xlfn.XLOOKUP(W321,'Dispensed Ink Rates'!C:C,'Dispensed Ink Rates'!CS:CS),VLOOKUP(W321,'Jan-2026 rates'!$E:$F,2,0)))</f>
        <v>0</v>
      </c>
      <c r="AL321" s="404"/>
      <c r="AM321" s="398">
        <f>IF(AL321=0,0,IF(LEN(X321)=11,_xlfn.XLOOKUP(X321,'Dispensed Ink Rates'!C:C,'Dispensed Ink Rates'!CS:CS),VLOOKUP(X321,'Jan-2026 rates'!$E:$F,2,0)))</f>
        <v>0</v>
      </c>
      <c r="AN321" s="404"/>
      <c r="AO321" s="398">
        <f>IF(AN321=0,0,IF(LEN(Y321)=11,_xlfn.XLOOKUP(Y321,'Dispensed Ink Rates'!C:C,'Dispensed Ink Rates'!CS:CS),VLOOKUP(Y321,'Jan-2026 rates'!$E:$F,2,0)))</f>
        <v>0</v>
      </c>
      <c r="AP321" s="409" t="s">
        <v>1881</v>
      </c>
      <c r="AQ321" s="409">
        <v>24</v>
      </c>
      <c r="AR321" s="410">
        <f t="shared" si="212"/>
        <v>0</v>
      </c>
      <c r="AS321" s="411">
        <f t="shared" si="213"/>
        <v>8.5555555555555571</v>
      </c>
      <c r="AT321" s="410">
        <f t="shared" si="214"/>
        <v>0</v>
      </c>
      <c r="AU321" s="405" t="s">
        <v>855</v>
      </c>
      <c r="AV321" s="409" t="s">
        <v>4543</v>
      </c>
      <c r="AW321" s="420" t="str">
        <f t="shared" si="236"/>
        <v>ToyoLi - CYAN</v>
      </c>
      <c r="AX321" s="409">
        <v>12</v>
      </c>
      <c r="AY321" s="411">
        <f>IF(AX321=0,0,IF($LB321=70%,VLOOKUP($AW321,'Jan-2026 rates'!$L:$R,4,0),IF($LB321=65%,VLOOKUP($AW321,'Jan-2026 rates'!$L:$R,4,0),IF($LB321=40%,VLOOKUP($AW321,'Jan-2026 rates'!$L:$R,5,0),IF($LB321=30%,VLOOKUP($AW321,'Jan-2026 rates'!$L:$R,6,0),IF($LB321=100%,VLOOKUP($AW321,'Jan-2026 rates'!$L:$R,7,0),IF($LB321=60%,VLOOKUP($AW321,'Jan-2026 rates'!$L:$S,8,0),IF($LB321=80%,VLOOKUP($AW321,'Jan-2026 rates'!L:T,9,0),0))))))))</f>
        <v>0</v>
      </c>
      <c r="AZ321" s="412"/>
      <c r="BA321" s="409"/>
      <c r="BB321" s="411">
        <f>IF(BA321=0,0,IF($LB321=70%,VLOOKUP($AW321,'Jan-2026 rates'!$L:$R,4,0),IF($LB321=65%,VLOOKUP($AW321,'Jan-2026 rates'!$L:$R,4,0),IF($LB321=40%,VLOOKUP($AW321,'Jan-2026 rates'!$L:$R,5,0),IF($LB321=30%,VLOOKUP($AW321,'Jan-2026 rates'!$L:$R,6,0),IF($LB321=100%,VLOOKUP($AW321,'Jan-2026 rates'!$L:$R,7,0),IF($LB321=60%,VLOOKUP($AW321,'Jan-2026 rates'!$L:$S,8,0),IF($LB321=80%,VLOOKUP($AW321,'Jan-2026 rates'!L:T,9,0),0))))))))</f>
        <v>0</v>
      </c>
      <c r="BC321" s="413" t="s">
        <v>1250</v>
      </c>
      <c r="BD321" s="412" t="s">
        <v>1921</v>
      </c>
      <c r="BE321" s="412"/>
      <c r="BF321" s="413"/>
      <c r="BG321" s="412"/>
      <c r="BH321" s="412"/>
      <c r="BI321" s="412"/>
      <c r="BJ321" s="412"/>
      <c r="BK321" s="409">
        <v>8</v>
      </c>
      <c r="BL321" s="398">
        <f>IF(BK321=0,0,IF(LEN(BC321)=11,_xlfn.XLOOKUP(BC321,'Dispensed Ink Rates'!C:C,'Dispensed Ink Rates'!CS:CS),VLOOKUP(BC321,'Jan-2026 rates'!$E:$F,2,0)))</f>
        <v>0</v>
      </c>
      <c r="BM321" s="409">
        <v>8</v>
      </c>
      <c r="BN321" s="398">
        <f>IF(BM321=0,0,IF(LEN(BD321)=11,_xlfn.XLOOKUP(BD321,'Dispensed Ink Rates'!C:C,'Dispensed Ink Rates'!CS:CS),VLOOKUP(BD321,'Jan-2026 rates'!$E:$F,2,0)))</f>
        <v>0</v>
      </c>
      <c r="BO321" s="409"/>
      <c r="BP321" s="398">
        <f>IF(BO321=0,0,IF(LEN(BE321)=11,_xlfn.XLOOKUP(BE321,'Dispensed Ink Rates'!C:C,'Dispensed Ink Rates'!CS:CS),VLOOKUP(BE321,'Jan-2026 rates'!$E:$F,2,0)))</f>
        <v>0</v>
      </c>
      <c r="BQ321" s="409"/>
      <c r="BR321" s="398">
        <f>IF(BQ321=0,0,IF(LEN(BF321)=11,_xlfn.XLOOKUP(BF321,'Dispensed Ink Rates'!C:C,'Dispensed Ink Rates'!CS:CS),VLOOKUP(BF321,'Jan-2026 rates'!$E:$F,2,0)))</f>
        <v>0</v>
      </c>
      <c r="BS321" s="409"/>
      <c r="BT321" s="398">
        <f>IF(BS321=0,0,IF(LEN(BG321)=11,_xlfn.XLOOKUP(BG321,'Dispensed Ink Rates'!C:C,'Dispensed Ink Rates'!CS:CS),VLOOKUP(BG321,'Jan-2026 rates'!$E:$F,2,0)))</f>
        <v>0</v>
      </c>
      <c r="BU321" s="409"/>
      <c r="BV321" s="398">
        <f>IF(BU321=0,0,IF(LEN(BH321)=11,_xlfn.XLOOKUP(BH321,'Dispensed Ink Rates'!C:C,'Dispensed Ink Rates'!CS:CS),VLOOKUP(BH321,'Jan-2026 rates'!$E:$F,2,0)))</f>
        <v>0</v>
      </c>
      <c r="BW321" s="409"/>
      <c r="BX321" s="398">
        <f>IF(BW321=0,0,IF(LEN(BI321)=11,_xlfn.XLOOKUP(BI321,'Dispensed Ink Rates'!C:C,'Dispensed Ink Rates'!CS:CS),VLOOKUP(BI321,'Jan-2026 rates'!$E:$F,2,0)))</f>
        <v>0</v>
      </c>
      <c r="BY321" s="409"/>
      <c r="BZ321" s="398">
        <f>IF(BY321=0,0,IF(LEN(BJ321)=11,_xlfn.XLOOKUP(BJ321,'Dispensed Ink Rates'!C:C,'Dispensed Ink Rates'!CS:CS),VLOOKUP(BJ321,'Jan-2026 rates'!$E:$F,2,0)))</f>
        <v>0</v>
      </c>
      <c r="CA321" s="409" t="s">
        <v>1881</v>
      </c>
      <c r="CB321" s="409">
        <f>20+5</f>
        <v>25</v>
      </c>
      <c r="CC321" s="411">
        <f t="shared" si="215"/>
        <v>0</v>
      </c>
      <c r="CD321" s="411">
        <f t="shared" si="216"/>
        <v>22.444444444444443</v>
      </c>
      <c r="CE321" s="410">
        <f t="shared" si="217"/>
        <v>0</v>
      </c>
      <c r="CF321" s="404"/>
      <c r="CG321" s="409"/>
      <c r="CH321" s="420" t="str">
        <f t="shared" si="185"/>
        <v xml:space="preserve"> - </v>
      </c>
      <c r="CI321" s="409"/>
      <c r="CJ321" s="411">
        <f>IF(CI321=0,0,IF($LB321=70%,VLOOKUP($CH321,'Jan-2026 rates'!$L:$R,4,0),IF($LB321=65%,VLOOKUP($CH321,'Jan-2026 rates'!$L:$R,4,0),IF($LB321=40%,VLOOKUP($CH321,'Jan-2026 rates'!$L:$R,5,0),IF($LB321=30%,VLOOKUP($CH321,'Jan-2026 rates'!$L:$R,6,0),IF($LB321=100%,VLOOKUP($CH321,'Jan-2026 rates'!$L:$R,7,0),IF($LB321=60%,VLOOKUP($CH321,'Jan-2026 rates'!$L:$S,8,0),IF($LB321=80%,VLOOKUP($CH321,'Jan-2026 rates'!L:T,9,0),0))))))))</f>
        <v>0</v>
      </c>
      <c r="CK321" s="412"/>
      <c r="CL321" s="409"/>
      <c r="CM321" s="411">
        <f>IF(CL321=0,0,IF($LB321=70%,VLOOKUP($CH321,'Jan-2026 rates'!$L:$R,4,0),IF($LB321=65%,VLOOKUP($CH321,'Jan-2026 rates'!$L:$R,4,0),IF($LB321=40%,VLOOKUP($CH321,'Jan-2026 rates'!$L:$R,5,0),IF($LB321=30%,VLOOKUP($CH321,'Jan-2026 rates'!$L:$R,6,0),IF($LB321=100%,VLOOKUP($CH321,'Jan-2026 rates'!$L:$R,7,0),IF($LB321=60%,VLOOKUP($CH321,'Jan-2026 rates'!$L:$S,8,0),IF($LB321=80%,VLOOKUP($CH321,'Jan-2026 rates'!L:T,9,0),0))))))))</f>
        <v>0</v>
      </c>
      <c r="CN321" s="426"/>
      <c r="CO321" s="427"/>
      <c r="CP321" s="426"/>
      <c r="CQ321" s="426"/>
      <c r="CR321" s="428"/>
      <c r="CS321" s="428"/>
      <c r="CT321" s="428"/>
      <c r="CU321" s="428"/>
      <c r="CV321" s="409"/>
      <c r="CW321" s="398">
        <f>IF(CV321=0,0,IF(LEN(CN321)=11,_xlfn.XLOOKUP(CN321,'Dispensed Ink Rates'!C:C,'Dispensed Ink Rates'!CS:CS),VLOOKUP(CN321,'Jan-2026 rates'!$E:$F,2,0)))</f>
        <v>0</v>
      </c>
      <c r="CX321" s="409"/>
      <c r="CY321" s="398">
        <f>IF(CX321=0,0,IF(LEN(CO321)=11,_xlfn.XLOOKUP(CO321,'Dispensed Ink Rates'!C:C,'Dispensed Ink Rates'!CS:CS),VLOOKUP(CO321,'Jan-2026 rates'!$E:$F,2,0)))</f>
        <v>0</v>
      </c>
      <c r="CZ321" s="409"/>
      <c r="DA321" s="398">
        <f>IF(CZ321=0,0,IF(LEN(CP321)=11,_xlfn.XLOOKUP(CP321,'Dispensed Ink Rates'!C:C,'Dispensed Ink Rates'!CS:CS),VLOOKUP(CP321,'Jan-2026 rates'!$E:$F,2,0)))</f>
        <v>0</v>
      </c>
      <c r="DB321" s="409"/>
      <c r="DC321" s="398">
        <f>IF(DB321=0,0,IF(LEN(CQ321)=11,_xlfn.XLOOKUP(CQ321,'Dispensed Ink Rates'!C:C,'Dispensed Ink Rates'!CS:CS),VLOOKUP(CQ321,'Jan-2026 rates'!$E:$F,2,0)))</f>
        <v>0</v>
      </c>
      <c r="DD321" s="409"/>
      <c r="DE321" s="398">
        <f>IF(DD321=0,0,IF(LEN(CR321)=11,_xlfn.XLOOKUP(CR321,'Dispensed Ink Rates'!C:C,'Dispensed Ink Rates'!CS:CS),VLOOKUP(CR321,'Jan-2026 rates'!$E:$F,2,0)))</f>
        <v>0</v>
      </c>
      <c r="DF321" s="409"/>
      <c r="DG321" s="398">
        <f>IF(DF321=0,0,IF(LEN(CS321)=11,_xlfn.XLOOKUP(CS321,'Dispensed Ink Rates'!C:C,'Dispensed Ink Rates'!CS:CS),VLOOKUP(CS321,'Jan-2026 rates'!$E:$F,2,0)))</f>
        <v>0</v>
      </c>
      <c r="DH321" s="409"/>
      <c r="DI321" s="398">
        <f>IF(DH321=0,0,IF(LEN(CT321)=11,_xlfn.XLOOKUP(CT321,'Dispensed Ink Rates'!C:C,'Dispensed Ink Rates'!CS:CS),VLOOKUP(CT321,'Jan-2026 rates'!$E:$F,2,0)))</f>
        <v>0</v>
      </c>
      <c r="DJ321" s="409"/>
      <c r="DK321" s="398">
        <f>IF(DJ321=0,0,IF(LEN(CU321)=11,_xlfn.XLOOKUP(CU321,'Dispensed Ink Rates'!C:C,'Dispensed Ink Rates'!CS:CS),VLOOKUP(CU321,'Jan-2026 rates'!$E:$F,2,0)))</f>
        <v>0</v>
      </c>
      <c r="DL321" s="409"/>
      <c r="DM321" s="409"/>
      <c r="DN321" s="411">
        <f t="shared" si="218"/>
        <v>0</v>
      </c>
      <c r="DO321" s="411">
        <f t="shared" si="219"/>
        <v>0</v>
      </c>
      <c r="DP321" s="410">
        <f t="shared" si="220"/>
        <v>0</v>
      </c>
      <c r="DQ321" s="405"/>
      <c r="DR321" s="409"/>
      <c r="DS321" s="420" t="str">
        <f t="shared" si="186"/>
        <v xml:space="preserve"> - </v>
      </c>
      <c r="DT321" s="409"/>
      <c r="DU321" s="411">
        <f>IF(DT321=0,0,IF($LB321=70%,VLOOKUP($DS321,'Jan-2026 rates'!$L:$R,4,0),IF($LB321=65%,VLOOKUP($DS321,'Jan-2026 rates'!$L:$R,4,0),IF($LB321=40%,VLOOKUP($DS321,'Jan-2026 rates'!$L:$R,5,0),IF($LB321=30%,VLOOKUP($DS321,'Jan-2026 rates'!$L:$R,6,0),IF($LB321=100%,VLOOKUP($DS321,'Jan-2026 rates'!$L:$R,7,0),IF($LB321=60%,VLOOKUP($DS321,'Jan-2026 rates'!$L:$S,8,0),IF($LB321=80%,VLOOKUP($DS321,'Jan-2026 rates'!L:T,9,0),0))))))))</f>
        <v>0</v>
      </c>
      <c r="DV321" s="412"/>
      <c r="DW321" s="409"/>
      <c r="DX321" s="411">
        <f>IF(DW321=0,0,IF($LB321=70%,VLOOKUP($DS321,'Jan-2026 rates'!$L:$R,4,0),IF($LB321=65%,VLOOKUP($DS321,'Jan-2026 rates'!$L:$R,4,0),IF($LB321=40%,VLOOKUP($DS321,'Jan-2026 rates'!$L:$R,5,0),IF($LB321=30%,VLOOKUP($DS321,'Jan-2026 rates'!$L:$R,6,0),IF($LB321=100%,VLOOKUP($DS321,'Jan-2026 rates'!$L:$R,7,0),IF($LB321=60%,VLOOKUP($DS321,'Jan-2026 rates'!$L:$S,8,0),IF($LB321=80%,VLOOKUP($DS321,'Jan-2026 rates'!L:T,9,0),0))))))))</f>
        <v>0</v>
      </c>
      <c r="DY321" s="413"/>
      <c r="DZ321" s="413"/>
      <c r="EA321" s="412"/>
      <c r="EB321" s="412"/>
      <c r="EC321" s="412"/>
      <c r="ED321" s="412"/>
      <c r="EE321" s="412"/>
      <c r="EF321" s="412"/>
      <c r="EG321" s="409"/>
      <c r="EH321" s="398">
        <f>IF(EG321=0,0,IF(LEN(DY321)=11,_xlfn.XLOOKUP(DY321,'Dispensed Ink Rates'!C:C,'Dispensed Ink Rates'!CS:CS),VLOOKUP(DY321,'Jan-2026 rates'!$E:$F,2,0)))</f>
        <v>0</v>
      </c>
      <c r="EI321" s="409"/>
      <c r="EJ321" s="398">
        <f>IF(EI321=0,0,IF(LEN(DZ321)=11,_xlfn.XLOOKUP(DZ321,'Dispensed Ink Rates'!C:C,'Dispensed Ink Rates'!CS:CS),VLOOKUP(DZ321,'Jan-2026 rates'!$E:$F,2,0)))</f>
        <v>0</v>
      </c>
      <c r="EK321" s="409"/>
      <c r="EL321" s="398">
        <f>IF(EK321=0,0,IF(LEN(EA321)=11,_xlfn.XLOOKUP(EA321,'Dispensed Ink Rates'!C:C,'Dispensed Ink Rates'!CS:CS),VLOOKUP(EA321,'Jan-2026 rates'!$E:$F,2,0)))</f>
        <v>0</v>
      </c>
      <c r="EM321" s="409"/>
      <c r="EN321" s="398">
        <f>IF(EM321=0,0,IF(LEN(EB321)=11,_xlfn.XLOOKUP(EB321,'Dispensed Ink Rates'!C:C,'Dispensed Ink Rates'!CS:CS),VLOOKUP(EB321,'Jan-2026 rates'!$E:$F,2,0)))</f>
        <v>0</v>
      </c>
      <c r="EO321" s="409"/>
      <c r="EP321" s="398">
        <f>IF(EO321=0,0,IF(LEN(EC321)=11,_xlfn.XLOOKUP(EC321,'Dispensed Ink Rates'!C:C,'Dispensed Ink Rates'!CS:CS),VLOOKUP(EC321,'Jan-2026 rates'!$E:$F,2,0)))</f>
        <v>0</v>
      </c>
      <c r="EQ321" s="409"/>
      <c r="ER321" s="398">
        <f>IF(EQ321=0,0,IF(LEN(ED321)=11,_xlfn.XLOOKUP(ED321,'Dispensed Ink Rates'!C:C,'Dispensed Ink Rates'!CS:CS),VLOOKUP(ED321,'Jan-2026 rates'!$E:$F,2,0)))</f>
        <v>0</v>
      </c>
      <c r="ES321" s="409"/>
      <c r="ET321" s="398">
        <f>IF(ES321=0,0,IF(LEN(EE321)=11,_xlfn.XLOOKUP(EE321,'Dispensed Ink Rates'!C:C,'Dispensed Ink Rates'!CS:CS),VLOOKUP(EE321,'Jan-2026 rates'!$E:$F,2,0)))</f>
        <v>0</v>
      </c>
      <c r="EU321" s="409"/>
      <c r="EV321" s="398">
        <f>IF(EU321=0,0,IF(LEN(EF321)=11,_xlfn.XLOOKUP(EF321,'Dispensed Ink Rates'!C:C,'Dispensed Ink Rates'!CS:CS),VLOOKUP(EF321,'Jan-2026 rates'!$E:$F,2,0)))</f>
        <v>0</v>
      </c>
      <c r="EW321" s="409"/>
      <c r="EX321" s="409"/>
      <c r="EY321" s="411">
        <f t="shared" si="221"/>
        <v>0</v>
      </c>
      <c r="EZ321" s="411">
        <f t="shared" si="222"/>
        <v>0</v>
      </c>
      <c r="FA321" s="410">
        <f t="shared" si="223"/>
        <v>0</v>
      </c>
      <c r="FB321" s="405"/>
      <c r="FC321" s="409"/>
      <c r="FD321" s="420" t="str">
        <f t="shared" si="187"/>
        <v xml:space="preserve"> - </v>
      </c>
      <c r="FE321" s="409"/>
      <c r="FF321" s="411">
        <f>IF(FE321=0,0,IF($LB321=70%,VLOOKUP($FD321,'Jan-2026 rates'!$L:$R,4,0),IF($LB321=65%,VLOOKUP($FD321,'Jan-2026 rates'!$L:$R,4,0),IF($LB321=40%,VLOOKUP($FD321,'Jan-2026 rates'!$L:$R,5,0),IF($LB321=30%,VLOOKUP($FD321,'Jan-2026 rates'!$L:$R,6,0),IF($LB321=100%,VLOOKUP($FD321,'Jan-2026 rates'!$L:$R,7,0),IF($LB321=60%,VLOOKUP($FD321,'Jan-2026 rates'!$L:$S,8,0),IF($LB321=80%,VLOOKUP($FD321,'Jan-2026 rates'!L:T,9,0),0))))))))</f>
        <v>0</v>
      </c>
      <c r="FG321" s="412"/>
      <c r="FH321" s="409"/>
      <c r="FI321" s="411">
        <f>IF(FH321=0,0,IF($LB321=70%,VLOOKUP($FD321,'Jan-2026 rates'!$L:$R,4,0),IF($LB321=65%,VLOOKUP($FD321,'Jan-2026 rates'!$L:$R,4,0),IF($LB321=40%,VLOOKUP($FD321,'Jan-2026 rates'!$L:$R,5,0),IF($LB321=30%,VLOOKUP($FD321,'Jan-2026 rates'!$L:$R,6,0),IF($LB321=100%,VLOOKUP($FD321,'Jan-2026 rates'!$L:$R,7,0),IF($LB321=60%,VLOOKUP($FD321,'Jan-2026 rates'!$L:$S,8,0),IF($LB321=80%,VLOOKUP($FD321,'Jan-2026 rates'!L:T,9,0),0))))))))</f>
        <v>0</v>
      </c>
      <c r="FJ321" s="413"/>
      <c r="FK321" s="413"/>
      <c r="FL321" s="413"/>
      <c r="FM321" s="412"/>
      <c r="FN321" s="412"/>
      <c r="FO321" s="412"/>
      <c r="FP321" s="412"/>
      <c r="FQ321" s="412"/>
      <c r="FR321" s="409"/>
      <c r="FS321" s="398">
        <f>IF(FR321=0,0,IF(LEN(FJ321)=11,_xlfn.XLOOKUP(FJ321,'Dispensed Ink Rates'!C:C,'Dispensed Ink Rates'!CS:CS),VLOOKUP(FJ321,'Jan-2026 rates'!$E:$F,2,0)))</f>
        <v>0</v>
      </c>
      <c r="FT321" s="409"/>
      <c r="FU321" s="398">
        <f>IF(FT321=0,0,IF(LEN(FK321)=11,_xlfn.XLOOKUP(FK321,'Dispensed Ink Rates'!C:C,'Dispensed Ink Rates'!CS:CS),VLOOKUP(FK321,'Jan-2026 rates'!$E:$F,2,0)))</f>
        <v>0</v>
      </c>
      <c r="FV321" s="409"/>
      <c r="FW321" s="398">
        <f>IF(FV321=0,0,IF(LEN(FL321)=11,_xlfn.XLOOKUP(FL321,'Dispensed Ink Rates'!C:C,'Dispensed Ink Rates'!CS:CS),VLOOKUP(FL321,'Jan-2026 rates'!$E:$F,2,0)))</f>
        <v>0</v>
      </c>
      <c r="FX321" s="409"/>
      <c r="FY321" s="398">
        <f>IF(FX321=0,0,IF(LEN(FM321)=11,_xlfn.XLOOKUP(FM321,'Dispensed Ink Rates'!C:C,'Dispensed Ink Rates'!CS:CS),VLOOKUP(FM321,'Jan-2026 rates'!$E:$F,2,0)))</f>
        <v>0</v>
      </c>
      <c r="FZ321" s="409"/>
      <c r="GA321" s="398">
        <f>IF(FZ321=0,0,IF(LEN(FN321)=11,_xlfn.XLOOKUP(FN321,'Dispensed Ink Rates'!C:C,'Dispensed Ink Rates'!CS:CS),VLOOKUP(FN321,'Jan-2026 rates'!$E:$F,2,0)))</f>
        <v>0</v>
      </c>
      <c r="GB321" s="409"/>
      <c r="GC321" s="398">
        <f>IF(GB321=0,0,IF(LEN(FO321)=11,_xlfn.XLOOKUP(FO321,'Dispensed Ink Rates'!C:C,'Dispensed Ink Rates'!CS:CS),VLOOKUP(FO321,'Jan-2026 rates'!$E:$F,2,0)))</f>
        <v>0</v>
      </c>
      <c r="GD321" s="409"/>
      <c r="GE321" s="398">
        <f>IF(GD321=0,0,IF(LEN(FP321)=11,_xlfn.XLOOKUP(FP321,'Dispensed Ink Rates'!C:C,'Dispensed Ink Rates'!CS:CS),VLOOKUP(FP321,'Jan-2026 rates'!$E:$F,2,0)))</f>
        <v>0</v>
      </c>
      <c r="GF321" s="409"/>
      <c r="GG321" s="398">
        <f>IF(GF321=0,0,IF(LEN(FQ321)=11,_xlfn.XLOOKUP(FQ321,'Dispensed Ink Rates'!C:C,'Dispensed Ink Rates'!CS:CS),VLOOKUP(FQ321,'Jan-2026 rates'!$E:$F,2,0)))</f>
        <v>0</v>
      </c>
      <c r="GH321" s="409"/>
      <c r="GI321" s="409"/>
      <c r="GJ321" s="411">
        <f t="shared" si="224"/>
        <v>0</v>
      </c>
      <c r="GK321" s="411">
        <f t="shared" si="225"/>
        <v>0</v>
      </c>
      <c r="GL321" s="410">
        <f t="shared" si="226"/>
        <v>0</v>
      </c>
      <c r="GM321" s="405"/>
      <c r="GN321" s="409"/>
      <c r="GO321" s="420" t="str">
        <f t="shared" si="188"/>
        <v xml:space="preserve"> - </v>
      </c>
      <c r="GP321" s="409"/>
      <c r="GQ321" s="411">
        <f>IF(GP321=0,0,IF($LB321=70%,VLOOKUP($GO321,'Jan-2026 rates'!$L:$R,4,0),IF($LB321=65%,VLOOKUP($GO321,'Jan-2026 rates'!$L:$R,4,0),IF($LB321=40%,VLOOKUP($GO321,'Jan-2026 rates'!$L:$R,5,0),IF($LB321=30%,VLOOKUP($GO321,'Jan-2026 rates'!$L:$R,6,0),IF($LB321=100%,VLOOKUP($GO321,'Jan-2026 rates'!$L:$R,7,0),IF($LB321=60%,VLOOKUP($GO321,'Jan-2026 rates'!$L:$S,8,0),IF($LB321=80%,VLOOKUP($GO321,'Jan-2026 rates'!L:T,9,0),0))))))))</f>
        <v>0</v>
      </c>
      <c r="GR321" s="412"/>
      <c r="GS321" s="409"/>
      <c r="GT321" s="411">
        <f>IF(GS321=0,0,IF($LB321=70%,VLOOKUP($GO321,'Jan-2026 rates'!$L:$R,4,0),IF($LB321=65%,VLOOKUP($GO321,'Jan-2026 rates'!$L:$R,4,0),IF($LB321=40%,VLOOKUP($GO321,'Jan-2026 rates'!$L:$R,5,0),IF($LB321=30%,VLOOKUP($GO321,'Jan-2026 rates'!$L:$R,6,0),IF($LB321=100%,VLOOKUP($GO321,'Jan-2026 rates'!$L:$R,7,0),IF($LB321=60%,VLOOKUP($GO321,'Jan-2026 rates'!$L:$S,8,0),IF($LB321=80%,VLOOKUP($GO321,'Jan-2026 rates'!L:T,9,0),0))))))))</f>
        <v>0</v>
      </c>
      <c r="GU321" s="413"/>
      <c r="GV321" s="413"/>
      <c r="GW321" s="412"/>
      <c r="GX321" s="412"/>
      <c r="GY321" s="412"/>
      <c r="GZ321" s="412"/>
      <c r="HA321" s="412"/>
      <c r="HB321" s="412"/>
      <c r="HC321" s="409"/>
      <c r="HD321" s="398">
        <f>IF(HC321=0,0,IF(LEN(GU321)=11,_xlfn.XLOOKUP(GU321,'Dispensed Ink Rates'!C:C,'Dispensed Ink Rates'!CS:CS),VLOOKUP(GU321,'Jan-2026 rates'!$E:$F,2,0)))</f>
        <v>0</v>
      </c>
      <c r="HE321" s="409"/>
      <c r="HF321" s="398">
        <f>IF(HE321=0,0,IF(LEN(GV321)=11,_xlfn.XLOOKUP(GV321,'Dispensed Ink Rates'!C:C,'Dispensed Ink Rates'!CS:CS),VLOOKUP(GV321,'Jan-2026 rates'!$E:$F,2,0)))</f>
        <v>0</v>
      </c>
      <c r="HG321" s="409"/>
      <c r="HH321" s="398">
        <f>IF(HG321=0,0,IF(LEN(GW321)=11,_xlfn.XLOOKUP(GW321,'Dispensed Ink Rates'!C:C,'Dispensed Ink Rates'!CS:CS),VLOOKUP(GW321,'Jan-2026 rates'!$E:$F,2,0)))</f>
        <v>0</v>
      </c>
      <c r="HI321" s="409"/>
      <c r="HJ321" s="398">
        <f>IF(HI321=0,0,IF(LEN(GX321)=11,_xlfn.XLOOKUP(GX321,'Dispensed Ink Rates'!C:C,'Dispensed Ink Rates'!CS:CS),VLOOKUP(GX321,'Jan-2026 rates'!$E:$F,2,0)))</f>
        <v>0</v>
      </c>
      <c r="HK321" s="409"/>
      <c r="HL321" s="398">
        <f>IF(HK321=0,0,IF(LEN(GY321)=11,_xlfn.XLOOKUP(GY321,'Dispensed Ink Rates'!C:C,'Dispensed Ink Rates'!CS:CS),VLOOKUP(GY321,'Jan-2026 rates'!$E:$F,2,0)))</f>
        <v>0</v>
      </c>
      <c r="HM321" s="409"/>
      <c r="HN321" s="398">
        <f>IF(HM321=0,0,IF(LEN(GZ321)=11,_xlfn.XLOOKUP(GZ321,'Dispensed Ink Rates'!C:C,'Dispensed Ink Rates'!CS:CS),VLOOKUP(GZ321,'Jan-2026 rates'!$E:$F,2,0)))</f>
        <v>0</v>
      </c>
      <c r="HO321" s="409"/>
      <c r="HP321" s="398">
        <f>IF(HO321=0,0,IF(LEN(HA321)=11,_xlfn.XLOOKUP(HA321,'Dispensed Ink Rates'!C:C,'Dispensed Ink Rates'!CS:CS),VLOOKUP(HA321,'Jan-2026 rates'!$E:$F,2,0)))</f>
        <v>0</v>
      </c>
      <c r="HQ321" s="409"/>
      <c r="HR321" s="398">
        <f>IF(HQ321=0,0,IF(LEN(HB321)=11,_xlfn.XLOOKUP(HB321,'Dispensed Ink Rates'!C:C,'Dispensed Ink Rates'!CS:CS),VLOOKUP(HB321,'Jan-2026 rates'!$E:$F,2,0)))</f>
        <v>0</v>
      </c>
      <c r="HS321" s="409"/>
      <c r="HT321" s="409"/>
      <c r="HU321" s="411">
        <f t="shared" si="227"/>
        <v>0</v>
      </c>
      <c r="HV321" s="411">
        <f t="shared" si="228"/>
        <v>0</v>
      </c>
      <c r="HW321" s="414">
        <f t="shared" si="229"/>
        <v>0</v>
      </c>
      <c r="HX321" s="405"/>
      <c r="HY321" s="409"/>
      <c r="HZ321" s="420" t="str">
        <f t="shared" si="189"/>
        <v xml:space="preserve"> - </v>
      </c>
      <c r="IA321" s="409"/>
      <c r="IB321" s="411">
        <f>IF(IA321=0,0,IF($LB321=70%,VLOOKUP($HZ321,'Jan-2026 rates'!$L:$R,4,0),IF($LB321=65%,VLOOKUP($HZ321,'Jan-2026 rates'!$L:$R,4,0),IF($LB321=40%,VLOOKUP($HZ321,'Jan-2026 rates'!$L:$R,5,0),IF($LB321=30%,VLOOKUP($HZ321,'Jan-2026 rates'!$L:$R,6,0),IF($LB321=100%,VLOOKUP($HZ321,'Jan-2026 rates'!$L:$R,7,0),IF($LB321=60%,VLOOKUP($HZ321,'Jan-2026 rates'!$L:$S,8,0),IF($LB321=80%,VLOOKUP($HZ321,'Jan-2026 rates'!L:T,9,0),0))))))))</f>
        <v>0</v>
      </c>
      <c r="IC321" s="412"/>
      <c r="ID321" s="409"/>
      <c r="IE321" s="411">
        <f>IF(ID321=0,0,IF($LB321=70%,VLOOKUP($HZ321,'Jan-2026 rates'!$L:$R,4,0),IF($LB321=65%,VLOOKUP($HZ321,'Jan-2026 rates'!$L:$R,4,0),IF($LB321=40%,VLOOKUP($HZ321,'Jan-2026 rates'!$L:$R,5,0),IF($LB321=30%,VLOOKUP($HZ321,'Jan-2026 rates'!$L:$R,6,0),IF($LB321=100%,VLOOKUP($HZ321,'Jan-2026 rates'!$L:$R,7,0),IF($LB321=60%,VLOOKUP($HZ321,'Jan-2026 rates'!$L:$S,8,0),IF($LB321=80%,VLOOKUP($HZ321,'Jan-2026 rates'!L:T,9,0),0))))))))</f>
        <v>0</v>
      </c>
      <c r="IF321" s="412"/>
      <c r="IG321" s="413"/>
      <c r="IH321" s="412"/>
      <c r="II321" s="412"/>
      <c r="IJ321" s="412"/>
      <c r="IK321" s="412"/>
      <c r="IL321" s="412"/>
      <c r="IM321" s="412"/>
      <c r="IN321" s="409"/>
      <c r="IO321" s="398">
        <f>IF(IN321=0,0,IF(LEN(IF321)=11,_xlfn.XLOOKUP(IF321,'Dispensed Ink Rates'!C:C,'Dispensed Ink Rates'!CS:CS),VLOOKUP(IF321,'Jan-2026 rates'!$E:$F,2,0)))</f>
        <v>0</v>
      </c>
      <c r="IP321" s="409"/>
      <c r="IQ321" s="398">
        <f>IF(IP321=0,0,IF(LEN(IG321)=11,_xlfn.XLOOKUP(IG321,'Dispensed Ink Rates'!C:C,'Dispensed Ink Rates'!CS:CS),VLOOKUP(IG321,'Jan-2026 rates'!$E:$F,2,0)))</f>
        <v>0</v>
      </c>
      <c r="IR321" s="409"/>
      <c r="IS321" s="398">
        <f>IF(IR321=0,0,IF(LEN(IH321)=11,_xlfn.XLOOKUP(IH321,'Dispensed Ink Rates'!C:C,'Dispensed Ink Rates'!CS:CS),VLOOKUP(IH321,'Jan-2026 rates'!$E:$F,2,0)))</f>
        <v>0</v>
      </c>
      <c r="IT321" s="409"/>
      <c r="IU321" s="398">
        <f>IF(IT321=0,0,IF(LEN(II321)=11,_xlfn.XLOOKUP(II321,'Dispensed Ink Rates'!C:C,'Dispensed Ink Rates'!CS:CS),VLOOKUP(II321,'Jan-2026 rates'!$E:$F,2,0)))</f>
        <v>0</v>
      </c>
      <c r="IV321" s="409"/>
      <c r="IW321" s="398">
        <f>IF(IV321=0,0,IF(LEN(IJ321)=11,_xlfn.XLOOKUP(IJ321,'Dispensed Ink Rates'!C:C,'Dispensed Ink Rates'!CS:CS),VLOOKUP(IJ321,'Jan-2026 rates'!$E:$F,2,0)))</f>
        <v>0</v>
      </c>
      <c r="IX321" s="409"/>
      <c r="IY321" s="398">
        <f>IF(IX321=0,0,IF(LEN(IK321)=11,_xlfn.XLOOKUP(IK321,'Dispensed Ink Rates'!C:C,'Dispensed Ink Rates'!CS:CS),VLOOKUP(IK321,'Jan-2026 rates'!$E:$F,2,0)))</f>
        <v>0</v>
      </c>
      <c r="IZ321" s="409"/>
      <c r="JA321" s="398">
        <f>IF(IZ321=0,0,IF(LEN(IL321)=11,_xlfn.XLOOKUP(IL321,'Dispensed Ink Rates'!C:C,'Dispensed Ink Rates'!CS:CS),VLOOKUP(IL321,'Jan-2026 rates'!$E:$F,2,0)))</f>
        <v>0</v>
      </c>
      <c r="JB321" s="409"/>
      <c r="JC321" s="398">
        <f>IF(JB321=0,0,IF(LEN(IM321)=11,_xlfn.XLOOKUP(IM321,'Dispensed Ink Rates'!C:C,'Dispensed Ink Rates'!CS:CS),VLOOKUP(IM321,'Jan-2026 rates'!$E:$F,2,0)))</f>
        <v>0</v>
      </c>
      <c r="JD321" s="409"/>
      <c r="JE321" s="409"/>
      <c r="JF321" s="411">
        <f t="shared" si="230"/>
        <v>0</v>
      </c>
      <c r="JG321" s="411">
        <f t="shared" si="231"/>
        <v>0</v>
      </c>
      <c r="JH321" s="410">
        <f t="shared" si="232"/>
        <v>0</v>
      </c>
      <c r="JI321" s="405"/>
      <c r="JJ321" s="409"/>
      <c r="JK321" s="420" t="str">
        <f t="shared" si="190"/>
        <v xml:space="preserve"> - </v>
      </c>
      <c r="JL321" s="409"/>
      <c r="JM321" s="411">
        <f>IF(JL321=0,0,IF($LB321=70%,VLOOKUP($JK321,'Jan-2026 rates'!$L:$R,4,0),IF($LB321=65%,VLOOKUP($JK321,'Jan-2026 rates'!$L:$R,4,0),IF($LB321=40%,VLOOKUP($JK321,'Jan-2026 rates'!$L:$R,5,0),IF($LB321=30%,VLOOKUP($JK321,'Jan-2026 rates'!$L:$R,6,0),IF($LB321=100%,VLOOKUP($JK321,'Jan-2026 rates'!$L:$R,7,0),IF($LB321=60%,VLOOKUP($JK321,'Jan-2026 rates'!$L:$S,8,0),IF($LB321=80%,VLOOKUP($JK321,'Jan-2026 rates'!L:T,9,0),0))))))))</f>
        <v>0</v>
      </c>
      <c r="JN321" s="412"/>
      <c r="JO321" s="409"/>
      <c r="JP321" s="411">
        <f>IF(JO321=0,0,IF($LB321=70%,VLOOKUP($JK321,'Jan-2026 rates'!$L:$R,4,0),IF($LB321=65%,VLOOKUP($JK321,'Jan-2026 rates'!$L:$R,4,0),IF($LB321=40%,VLOOKUP($JK321,'Jan-2026 rates'!$L:$R,5,0),IF($LB321=30%,VLOOKUP($JK321,'Jan-2026 rates'!$L:$R,6,0),IF($LB321=100%,VLOOKUP($JK321,'Jan-2026 rates'!$L:$R,7,0),IF($LB321=60%,VLOOKUP($JK321,'Jan-2026 rates'!$L:$S,8,0),IF($LB321=80%,VLOOKUP($JK321,'Jan-2026 rates'!L:T,9,0),0))))))))</f>
        <v>0</v>
      </c>
      <c r="JQ321" s="413"/>
      <c r="JR321" s="412"/>
      <c r="JS321" s="413"/>
      <c r="JT321" s="413"/>
      <c r="JU321" s="412"/>
      <c r="JV321" s="412"/>
      <c r="JW321" s="412"/>
      <c r="JX321" s="412"/>
      <c r="JY321" s="409"/>
      <c r="JZ321" s="398">
        <f>IF(JY321=0,0,IF(LEN(JQ321)=11,_xlfn.XLOOKUP(JQ321,'Dispensed Ink Rates'!C:C,'Dispensed Ink Rates'!CS:CS),VLOOKUP(JQ321,'Jan-2026 rates'!$E:$F,2,0)))</f>
        <v>0</v>
      </c>
      <c r="KA321" s="409"/>
      <c r="KB321" s="398">
        <f>IF(KA321=0,0,IF(LEN(JR321)=11,_xlfn.XLOOKUP(JR321,'Dispensed Ink Rates'!C:C,'Dispensed Ink Rates'!CS:CS),VLOOKUP(JR321,'Jan-2026 rates'!$E:$F,2,0)))</f>
        <v>0</v>
      </c>
      <c r="KC321" s="409"/>
      <c r="KD321" s="398">
        <f>IF(KC321=0,0,IF(LEN(JS321)=11,_xlfn.XLOOKUP(JS321,'Dispensed Ink Rates'!C:C,'Dispensed Ink Rates'!CS:CS),VLOOKUP(JS321,'Jan-2026 rates'!$E:$F,2,0)))</f>
        <v>0</v>
      </c>
      <c r="KE321" s="409"/>
      <c r="KF321" s="398">
        <f>IF(KE321=0,0,IF(LEN(JT321)=11,_xlfn.XLOOKUP(JT321,'Dispensed Ink Rates'!C:C,'Dispensed Ink Rates'!CS:CS),VLOOKUP(JT321,'Jan-2026 rates'!$E:$F,2,0)))</f>
        <v>0</v>
      </c>
      <c r="KG321" s="409"/>
      <c r="KH321" s="398">
        <f>IF(KG321=0,0,IF(LEN(JU321)=11,_xlfn.XLOOKUP(JU321,'Dispensed Ink Rates'!C:C,'Dispensed Ink Rates'!CS:CS),VLOOKUP(JU321,'Jan-2026 rates'!$E:$F,2,0)))</f>
        <v>0</v>
      </c>
      <c r="KI321" s="409"/>
      <c r="KJ321" s="398">
        <f>IF(KI321=0,0,IF(LEN(JV321)=11,_xlfn.XLOOKUP(JV321,'Dispensed Ink Rates'!C:C,'Dispensed Ink Rates'!CS:CS),VLOOKUP(JV321,'Jan-2026 rates'!$E:$F,2,0)))</f>
        <v>0</v>
      </c>
      <c r="KK321" s="409"/>
      <c r="KL321" s="398">
        <f>IF(KK321=0,0,IF(LEN(JW321)=11,_xlfn.XLOOKUP(JW321,'Dispensed Ink Rates'!C:C,'Dispensed Ink Rates'!CS:CS),VLOOKUP(JW321,'Jan-2026 rates'!$E:$F,2,0)))</f>
        <v>0</v>
      </c>
      <c r="KM321" s="428"/>
      <c r="KN321" s="398">
        <f>IF(KM321=0,0,IF(LEN(JX321)=11,_xlfn.XLOOKUP(JX321,'Dispensed Ink Rates'!C:C,'Dispensed Ink Rates'!CS:CS),VLOOKUP(JX321,'Jan-2026 rates'!$E:$F,2,0)))</f>
        <v>0</v>
      </c>
      <c r="KO321" s="409"/>
      <c r="KP321" s="409"/>
      <c r="KQ321" s="411">
        <f t="shared" si="233"/>
        <v>0</v>
      </c>
      <c r="KR321" s="411">
        <f t="shared" si="234"/>
        <v>0</v>
      </c>
      <c r="KS321" s="410">
        <f t="shared" si="235"/>
        <v>0</v>
      </c>
      <c r="KT321" s="409">
        <v>2</v>
      </c>
      <c r="KU321" s="409">
        <v>7</v>
      </c>
      <c r="KV321" s="409">
        <v>0</v>
      </c>
      <c r="KW321" s="409">
        <v>0</v>
      </c>
      <c r="KX321" s="409">
        <v>0</v>
      </c>
      <c r="KY321" s="409">
        <v>0</v>
      </c>
      <c r="KZ321" s="409">
        <v>0</v>
      </c>
      <c r="LA321" s="409">
        <v>0</v>
      </c>
      <c r="LB321" s="415">
        <v>0.3</v>
      </c>
      <c r="LC321" s="415"/>
      <c r="LD321" s="424"/>
      <c r="LE321" s="415">
        <v>0.5</v>
      </c>
      <c r="LF321" s="415">
        <v>0.2</v>
      </c>
      <c r="LG321" s="409">
        <v>0</v>
      </c>
      <c r="LH321" s="409">
        <f>10+5+3+5+2</f>
        <v>25</v>
      </c>
      <c r="LI321" s="409">
        <v>0</v>
      </c>
      <c r="LJ321" s="409">
        <v>0</v>
      </c>
      <c r="LK321" s="416">
        <f t="shared" si="191"/>
        <v>25</v>
      </c>
      <c r="LL321" s="416">
        <f t="shared" si="237"/>
        <v>25</v>
      </c>
      <c r="LM321" s="417">
        <f t="shared" si="193"/>
        <v>7.5</v>
      </c>
      <c r="LN321" s="417">
        <f>VLOOKUP($LM$8,'Jan-2026 rates'!$H:$I,2,0)</f>
        <v>0</v>
      </c>
      <c r="LO321" s="417">
        <f t="shared" si="194"/>
        <v>0</v>
      </c>
      <c r="LP321" s="417">
        <f>VLOOKUP($LO$8,'Jan-2026 rates'!$H:$I,2,0)</f>
        <v>0</v>
      </c>
      <c r="LQ321" s="417">
        <f t="shared" si="195"/>
        <v>0</v>
      </c>
      <c r="LR321" s="417">
        <f>VLOOKUP($LQ$8,'Jan-2026 rates'!$H:$I,2,0)</f>
        <v>0</v>
      </c>
      <c r="LS321" s="417">
        <f t="shared" si="196"/>
        <v>12.5</v>
      </c>
      <c r="LT321" s="417">
        <f>VLOOKUP($LS$8,'Jan-2026 rates'!$H:$I,2,0)</f>
        <v>0</v>
      </c>
      <c r="LU321" s="417">
        <f t="shared" si="197"/>
        <v>5</v>
      </c>
      <c r="LV321" s="417">
        <f>VLOOKUP($LU$8,'Jan-2026 rates'!$H:$I,2,0)</f>
        <v>0</v>
      </c>
      <c r="LW321" s="417">
        <f t="shared" si="198"/>
        <v>0</v>
      </c>
      <c r="LX321" s="417">
        <f t="shared" si="199"/>
        <v>0</v>
      </c>
      <c r="LY321" s="418">
        <f t="shared" si="200"/>
        <v>0</v>
      </c>
      <c r="LZ321" s="417"/>
      <c r="MA321" s="435">
        <f t="shared" si="201"/>
        <v>18</v>
      </c>
      <c r="MB321" s="282">
        <f t="shared" si="202"/>
        <v>31</v>
      </c>
      <c r="MC321" s="283" t="s">
        <v>2060</v>
      </c>
      <c r="MD321" s="284" t="str">
        <f t="shared" si="203"/>
        <v>ToyoLiToyoLi</v>
      </c>
      <c r="ME321" s="293" t="str">
        <f t="shared" si="204"/>
        <v>+</v>
      </c>
      <c r="MF321" s="293" t="str">
        <f t="shared" si="205"/>
        <v>+</v>
      </c>
      <c r="MG321" s="293" t="str">
        <f t="shared" si="206"/>
        <v>NIL</v>
      </c>
      <c r="MH321" s="293" t="str">
        <f t="shared" si="207"/>
        <v>NIL</v>
      </c>
      <c r="MI321" s="293" t="str">
        <f t="shared" si="208"/>
        <v>NIL</v>
      </c>
      <c r="MJ321" s="293" t="str">
        <f t="shared" si="209"/>
        <v>NIL</v>
      </c>
      <c r="MK321" s="293" t="str">
        <f t="shared" si="210"/>
        <v>NIL</v>
      </c>
      <c r="ML321" s="293" t="str">
        <f t="shared" si="211"/>
        <v>NIL</v>
      </c>
      <c r="MM321" s="3" t="b">
        <f t="array" ref="MM321">OR(ME321:ML321="-")</f>
        <v>0</v>
      </c>
      <c r="MO321" s="401">
        <f t="shared" si="238"/>
        <v>75.609756097560975</v>
      </c>
      <c r="MP321" s="286"/>
      <c r="MR321" s="402">
        <f t="shared" si="239"/>
        <v>1.1481481481481481E-2</v>
      </c>
      <c r="MS321" s="400">
        <f t="shared" si="240"/>
        <v>0</v>
      </c>
      <c r="MT321" s="285"/>
      <c r="NH321" s="361"/>
      <c r="NJ321" s="282"/>
    </row>
    <row r="322" spans="1:374" ht="16.5">
      <c r="A322" s="403">
        <v>46045</v>
      </c>
      <c r="B322" s="404" t="s">
        <v>1018</v>
      </c>
      <c r="C322" s="405" t="s">
        <v>4544</v>
      </c>
      <c r="D322" s="404" t="s">
        <v>2061</v>
      </c>
      <c r="E322" s="404">
        <v>293</v>
      </c>
      <c r="F322" s="407">
        <v>15100</v>
      </c>
      <c r="G322" s="407" t="s">
        <v>1016</v>
      </c>
      <c r="H322" s="408" t="s">
        <v>1017</v>
      </c>
      <c r="I322" s="409">
        <v>0.4</v>
      </c>
      <c r="J322" s="405" t="s">
        <v>543</v>
      </c>
      <c r="K322" s="404" t="s">
        <v>4545</v>
      </c>
      <c r="L322" s="419" t="str">
        <f t="shared" si="184"/>
        <v>ToyoLi - BLACK</v>
      </c>
      <c r="M322" s="404">
        <v>24</v>
      </c>
      <c r="N322" s="410">
        <f>IF(M322=0,0,IF($LB322=70%,VLOOKUP($L322,'Jan-2026 rates'!$L:$R,4,0),IF($LB322=65%,VLOOKUP($L322,'Jan-2026 rates'!$L:$R,4,0),IF($LB322=40%,VLOOKUP($L322,'Jan-2026 rates'!$L:$R,5,0),IF($LB322=30%,VLOOKUP($L322,'Jan-2026 rates'!$L:$R,6,0),IF($LB322=100%,VLOOKUP($L322,'Jan-2026 rates'!$L:$R,7,0),IF($LB322=60%,VLOOKUP($L322,'Jan-2026 rates'!$L:$S,8,0),IF($LB322=80%,VLOOKUP($L322,'Jan-2026 rates'!L:T,9,0),0))))))))</f>
        <v>0</v>
      </c>
      <c r="O322" s="406"/>
      <c r="P322" s="404"/>
      <c r="Q322" s="410">
        <f>IF(P322=0,0,IF($LB322=70%,VLOOKUP($L322,'Jan-2026 rates'!$L:$R,4,0),IF($LB322=65%,VLOOKUP($L322,'Jan-2026 rates'!$L:$R,4,0),IF($LB322=40%,VLOOKUP($L322,'Jan-2026 rates'!$L:$R,5,0),IF($LB322=30%,VLOOKUP($L322,'Jan-2026 rates'!$L:$R,6,0),IF($LB322=100%,VLOOKUP($L322,'Jan-2026 rates'!$L:$R,7,0),IF($LB322=60%,VLOOKUP($L322,'Jan-2026 rates'!$L:$S,8,0),IF($LB322=80%,VLOOKUP($L322,'Jan-2026 rates'!L:T,9,0),0))))))))</f>
        <v>0</v>
      </c>
      <c r="R322" s="406" t="s">
        <v>1252</v>
      </c>
      <c r="S322" s="406"/>
      <c r="T322" s="406"/>
      <c r="U322" s="406"/>
      <c r="V322" s="406"/>
      <c r="W322" s="406"/>
      <c r="X322" s="406"/>
      <c r="Y322" s="406"/>
      <c r="Z322" s="404">
        <v>2</v>
      </c>
      <c r="AA322" s="398">
        <f>IF(Z322=0,0,IF(LEN(R322)=11,_xlfn.XLOOKUP(R322,'Dispensed Ink Rates'!C:C,'Dispensed Ink Rates'!CS:CS),VLOOKUP(R322,'Jan-2026 rates'!$E:$F,2,0)))</f>
        <v>0</v>
      </c>
      <c r="AB322" s="404"/>
      <c r="AC322" s="398">
        <f>IF(AB322=0,0,IF(LEN(S322)=11,_xlfn.XLOOKUP(S322,'Dispensed Ink Rates'!C:C,'Dispensed Ink Rates'!CS:CS),VLOOKUP(S322,'Jan-2026 rates'!$E:$F,2,0)))</f>
        <v>0</v>
      </c>
      <c r="AD322" s="404"/>
      <c r="AE322" s="398">
        <f>IF(AD322=0,0,IF(LEN(T322)=11,_xlfn.XLOOKUP(T322,'Dispensed Ink Rates'!C:C,'Dispensed Ink Rates'!CS:CS),VLOOKUP(T322,'Jan-2026 rates'!$E:$F,2,0)))</f>
        <v>0</v>
      </c>
      <c r="AF322" s="404"/>
      <c r="AG322" s="398">
        <f>IF(AF322=0,0,IF(LEN(U322)=11,_xlfn.XLOOKUP(U322,'Dispensed Ink Rates'!C:C,'Dispensed Ink Rates'!CS:CS),VLOOKUP(U322,'Jan-2026 rates'!$E:$F,2,0)))</f>
        <v>0</v>
      </c>
      <c r="AH322" s="404"/>
      <c r="AI322" s="398">
        <f>IF(AH322=0,0,IF(LEN(V322)=11,_xlfn.XLOOKUP(V322,'Dispensed Ink Rates'!C:C,'Dispensed Ink Rates'!CS:CS),VLOOKUP(V322,'Jan-2026 rates'!$E:$F,2,0)))</f>
        <v>0</v>
      </c>
      <c r="AJ322" s="404"/>
      <c r="AK322" s="398">
        <f>IF(AJ322=0,0,IF(LEN(W322)=11,_xlfn.XLOOKUP(W322,'Dispensed Ink Rates'!C:C,'Dispensed Ink Rates'!CS:CS),VLOOKUP(W322,'Jan-2026 rates'!$E:$F,2,0)))</f>
        <v>0</v>
      </c>
      <c r="AL322" s="404"/>
      <c r="AM322" s="398">
        <f>IF(AL322=0,0,IF(LEN(X322)=11,_xlfn.XLOOKUP(X322,'Dispensed Ink Rates'!C:C,'Dispensed Ink Rates'!CS:CS),VLOOKUP(X322,'Jan-2026 rates'!$E:$F,2,0)))</f>
        <v>0</v>
      </c>
      <c r="AN322" s="404"/>
      <c r="AO322" s="398">
        <f>IF(AN322=0,0,IF(LEN(Y322)=11,_xlfn.XLOOKUP(Y322,'Dispensed Ink Rates'!C:C,'Dispensed Ink Rates'!CS:CS),VLOOKUP(Y322,'Jan-2026 rates'!$E:$F,2,0)))</f>
        <v>0</v>
      </c>
      <c r="AP322" s="409" t="s">
        <v>1881</v>
      </c>
      <c r="AQ322" s="409">
        <v>25</v>
      </c>
      <c r="AR322" s="410">
        <f t="shared" si="212"/>
        <v>0</v>
      </c>
      <c r="AS322" s="411">
        <f t="shared" si="213"/>
        <v>10</v>
      </c>
      <c r="AT322" s="410">
        <f t="shared" si="214"/>
        <v>0</v>
      </c>
      <c r="AU322" s="405" t="s">
        <v>545</v>
      </c>
      <c r="AV322" s="409" t="s">
        <v>4546</v>
      </c>
      <c r="AW322" s="420" t="str">
        <f t="shared" si="236"/>
        <v>ToyoLi - YELLOW</v>
      </c>
      <c r="AX322" s="409">
        <v>22</v>
      </c>
      <c r="AY322" s="411">
        <f>IF(AX322=0,0,IF($LB322=70%,VLOOKUP($AW322,'Jan-2026 rates'!$L:$R,4,0),IF($LB322=65%,VLOOKUP($AW322,'Jan-2026 rates'!$L:$R,4,0),IF($LB322=40%,VLOOKUP($AW322,'Jan-2026 rates'!$L:$R,5,0),IF($LB322=30%,VLOOKUP($AW322,'Jan-2026 rates'!$L:$R,6,0),IF($LB322=100%,VLOOKUP($AW322,'Jan-2026 rates'!$L:$R,7,0),IF($LB322=60%,VLOOKUP($AW322,'Jan-2026 rates'!$L:$S,8,0),IF($LB322=80%,VLOOKUP($AW322,'Jan-2026 rates'!L:T,9,0),0))))))))</f>
        <v>0</v>
      </c>
      <c r="AZ322" s="412"/>
      <c r="BA322" s="409"/>
      <c r="BB322" s="411">
        <f>IF(BA322=0,0,IF($LB322=70%,VLOOKUP($AW322,'Jan-2026 rates'!$L:$R,4,0),IF($LB322=65%,VLOOKUP($AW322,'Jan-2026 rates'!$L:$R,4,0),IF($LB322=40%,VLOOKUP($AW322,'Jan-2026 rates'!$L:$R,5,0),IF($LB322=30%,VLOOKUP($AW322,'Jan-2026 rates'!$L:$R,6,0),IF($LB322=100%,VLOOKUP($AW322,'Jan-2026 rates'!$L:$R,7,0),IF($LB322=60%,VLOOKUP($AW322,'Jan-2026 rates'!$L:$S,8,0),IF($LB322=80%,VLOOKUP($AW322,'Jan-2026 rates'!L:T,9,0),0))))))))</f>
        <v>0</v>
      </c>
      <c r="BC322" s="413" t="s">
        <v>1247</v>
      </c>
      <c r="BD322" s="412" t="s">
        <v>1248</v>
      </c>
      <c r="BE322" s="412"/>
      <c r="BF322" s="413"/>
      <c r="BG322" s="412"/>
      <c r="BH322" s="412"/>
      <c r="BI322" s="412"/>
      <c r="BJ322" s="412"/>
      <c r="BK322" s="409">
        <v>8</v>
      </c>
      <c r="BL322" s="398">
        <f>IF(BK322=0,0,IF(LEN(BC322)=11,_xlfn.XLOOKUP(BC322,'Dispensed Ink Rates'!C:C,'Dispensed Ink Rates'!CS:CS),VLOOKUP(BC322,'Jan-2026 rates'!$E:$F,2,0)))</f>
        <v>0</v>
      </c>
      <c r="BM322" s="409">
        <v>2</v>
      </c>
      <c r="BN322" s="398">
        <f>IF(BM322=0,0,IF(LEN(BD322)=11,_xlfn.XLOOKUP(BD322,'Dispensed Ink Rates'!C:C,'Dispensed Ink Rates'!CS:CS),VLOOKUP(BD322,'Jan-2026 rates'!$E:$F,2,0)))</f>
        <v>0</v>
      </c>
      <c r="BO322" s="409"/>
      <c r="BP322" s="398">
        <f>IF(BO322=0,0,IF(LEN(BE322)=11,_xlfn.XLOOKUP(BE322,'Dispensed Ink Rates'!C:C,'Dispensed Ink Rates'!CS:CS),VLOOKUP(BE322,'Jan-2026 rates'!$E:$F,2,0)))</f>
        <v>0</v>
      </c>
      <c r="BQ322" s="409"/>
      <c r="BR322" s="398">
        <f>IF(BQ322=0,0,IF(LEN(BF322)=11,_xlfn.XLOOKUP(BF322,'Dispensed Ink Rates'!C:C,'Dispensed Ink Rates'!CS:CS),VLOOKUP(BF322,'Jan-2026 rates'!$E:$F,2,0)))</f>
        <v>0</v>
      </c>
      <c r="BS322" s="409"/>
      <c r="BT322" s="398">
        <f>IF(BS322=0,0,IF(LEN(BG322)=11,_xlfn.XLOOKUP(BG322,'Dispensed Ink Rates'!C:C,'Dispensed Ink Rates'!CS:CS),VLOOKUP(BG322,'Jan-2026 rates'!$E:$F,2,0)))</f>
        <v>0</v>
      </c>
      <c r="BU322" s="409"/>
      <c r="BV322" s="398">
        <f>IF(BU322=0,0,IF(LEN(BH322)=11,_xlfn.XLOOKUP(BH322,'Dispensed Ink Rates'!C:C,'Dispensed Ink Rates'!CS:CS),VLOOKUP(BH322,'Jan-2026 rates'!$E:$F,2,0)))</f>
        <v>0</v>
      </c>
      <c r="BW322" s="409"/>
      <c r="BX322" s="398">
        <f>IF(BW322=0,0,IF(LEN(BI322)=11,_xlfn.XLOOKUP(BI322,'Dispensed Ink Rates'!C:C,'Dispensed Ink Rates'!CS:CS),VLOOKUP(BI322,'Jan-2026 rates'!$E:$F,2,0)))</f>
        <v>0</v>
      </c>
      <c r="BY322" s="409"/>
      <c r="BZ322" s="398">
        <f>IF(BY322=0,0,IF(LEN(BJ322)=11,_xlfn.XLOOKUP(BJ322,'Dispensed Ink Rates'!C:C,'Dispensed Ink Rates'!CS:CS),VLOOKUP(BJ322,'Jan-2026 rates'!$E:$F,2,0)))</f>
        <v>0</v>
      </c>
      <c r="CA322" s="409" t="s">
        <v>1881</v>
      </c>
      <c r="CB322" s="409">
        <v>17</v>
      </c>
      <c r="CC322" s="411">
        <f t="shared" si="215"/>
        <v>0</v>
      </c>
      <c r="CD322" s="411">
        <f t="shared" si="216"/>
        <v>28.5</v>
      </c>
      <c r="CE322" s="410">
        <f t="shared" si="217"/>
        <v>0</v>
      </c>
      <c r="CF322" s="404" t="s">
        <v>856</v>
      </c>
      <c r="CG322" s="409" t="s">
        <v>4547</v>
      </c>
      <c r="CH322" s="420" t="str">
        <f t="shared" si="185"/>
        <v>ToyoLi - WHITE</v>
      </c>
      <c r="CI322" s="409">
        <v>25</v>
      </c>
      <c r="CJ322" s="411">
        <f>IF(CI322=0,0,IF($LB322=70%,VLOOKUP($CH322,'Jan-2026 rates'!$L:$R,4,0),IF($LB322=65%,VLOOKUP($CH322,'Jan-2026 rates'!$L:$R,4,0),IF($LB322=40%,VLOOKUP($CH322,'Jan-2026 rates'!$L:$R,5,0),IF($LB322=30%,VLOOKUP($CH322,'Jan-2026 rates'!$L:$R,6,0),IF($LB322=100%,VLOOKUP($CH322,'Jan-2026 rates'!$L:$R,7,0),IF($LB322=60%,VLOOKUP($CH322,'Jan-2026 rates'!$L:$S,8,0),IF($LB322=80%,VLOOKUP($CH322,'Jan-2026 rates'!L:T,9,0),0))))))))</f>
        <v>0</v>
      </c>
      <c r="CK322" s="412"/>
      <c r="CL322" s="409"/>
      <c r="CM322" s="411">
        <f>IF(CL322=0,0,IF($LB322=70%,VLOOKUP($CH322,'Jan-2026 rates'!$L:$R,4,0),IF($LB322=65%,VLOOKUP($CH322,'Jan-2026 rates'!$L:$R,4,0),IF($LB322=40%,VLOOKUP($CH322,'Jan-2026 rates'!$L:$R,5,0),IF($LB322=30%,VLOOKUP($CH322,'Jan-2026 rates'!$L:$R,6,0),IF($LB322=100%,VLOOKUP($CH322,'Jan-2026 rates'!$L:$R,7,0),IF($LB322=60%,VLOOKUP($CH322,'Jan-2026 rates'!$L:$S,8,0),IF($LB322=80%,VLOOKUP($CH322,'Jan-2026 rates'!L:T,9,0),0))))))))</f>
        <v>0</v>
      </c>
      <c r="CN322" s="426" t="s">
        <v>1249</v>
      </c>
      <c r="CO322" s="427" t="s">
        <v>1122</v>
      </c>
      <c r="CP322" s="426"/>
      <c r="CQ322" s="426"/>
      <c r="CR322" s="428"/>
      <c r="CS322" s="428"/>
      <c r="CT322" s="428"/>
      <c r="CU322" s="428"/>
      <c r="CV322" s="409">
        <v>20</v>
      </c>
      <c r="CW322" s="398">
        <f>IF(CV322=0,0,IF(LEN(CN322)=11,_xlfn.XLOOKUP(CN322,'Dispensed Ink Rates'!C:C,'Dispensed Ink Rates'!CS:CS),VLOOKUP(CN322,'Jan-2026 rates'!$E:$F,2,0)))</f>
        <v>0</v>
      </c>
      <c r="CX322" s="409">
        <v>2.02</v>
      </c>
      <c r="CY322" s="398">
        <f>IF(CX322=0,0,IF(LEN(CO322)=11,_xlfn.XLOOKUP(CO322,'Dispensed Ink Rates'!C:C,'Dispensed Ink Rates'!CS:CS),VLOOKUP(CO322,'Jan-2026 rates'!$E:$F,2,0)))</f>
        <v>0</v>
      </c>
      <c r="CZ322" s="409"/>
      <c r="DA322" s="398">
        <f>IF(CZ322=0,0,IF(LEN(CP322)=11,_xlfn.XLOOKUP(CP322,'Dispensed Ink Rates'!C:C,'Dispensed Ink Rates'!CS:CS),VLOOKUP(CP322,'Jan-2026 rates'!$E:$F,2,0)))</f>
        <v>0</v>
      </c>
      <c r="DB322" s="409"/>
      <c r="DC322" s="398">
        <f>IF(DB322=0,0,IF(LEN(CQ322)=11,_xlfn.XLOOKUP(CQ322,'Dispensed Ink Rates'!C:C,'Dispensed Ink Rates'!CS:CS),VLOOKUP(CQ322,'Jan-2026 rates'!$E:$F,2,0)))</f>
        <v>0</v>
      </c>
      <c r="DD322" s="409"/>
      <c r="DE322" s="398">
        <f>IF(DD322=0,0,IF(LEN(CR322)=11,_xlfn.XLOOKUP(CR322,'Dispensed Ink Rates'!C:C,'Dispensed Ink Rates'!CS:CS),VLOOKUP(CR322,'Jan-2026 rates'!$E:$F,2,0)))</f>
        <v>0</v>
      </c>
      <c r="DF322" s="409"/>
      <c r="DG322" s="398">
        <f>IF(DF322=0,0,IF(LEN(CS322)=11,_xlfn.XLOOKUP(CS322,'Dispensed Ink Rates'!C:C,'Dispensed Ink Rates'!CS:CS),VLOOKUP(CS322,'Jan-2026 rates'!$E:$F,2,0)))</f>
        <v>0</v>
      </c>
      <c r="DH322" s="409"/>
      <c r="DI322" s="398">
        <f>IF(DH322=0,0,IF(LEN(CT322)=11,_xlfn.XLOOKUP(CT322,'Dispensed Ink Rates'!C:C,'Dispensed Ink Rates'!CS:CS),VLOOKUP(CT322,'Jan-2026 rates'!$E:$F,2,0)))</f>
        <v>0</v>
      </c>
      <c r="DJ322" s="409"/>
      <c r="DK322" s="398">
        <f>IF(DJ322=0,0,IF(LEN(CU322)=11,_xlfn.XLOOKUP(CU322,'Dispensed Ink Rates'!C:C,'Dispensed Ink Rates'!CS:CS),VLOOKUP(CU322,'Jan-2026 rates'!$E:$F,2,0)))</f>
        <v>0</v>
      </c>
      <c r="DL322" s="409" t="s">
        <v>1881</v>
      </c>
      <c r="DM322" s="409">
        <v>22</v>
      </c>
      <c r="DN322" s="411">
        <f t="shared" si="218"/>
        <v>0</v>
      </c>
      <c r="DO322" s="411">
        <f t="shared" si="219"/>
        <v>47.52000000000001</v>
      </c>
      <c r="DP322" s="410">
        <f t="shared" si="220"/>
        <v>0</v>
      </c>
      <c r="DQ322" s="405"/>
      <c r="DR322" s="409"/>
      <c r="DS322" s="420" t="str">
        <f t="shared" si="186"/>
        <v xml:space="preserve"> - </v>
      </c>
      <c r="DT322" s="409"/>
      <c r="DU322" s="411">
        <f>IF(DT322=0,0,IF($LB322=70%,VLOOKUP($DS322,'Jan-2026 rates'!$L:$R,4,0),IF($LB322=65%,VLOOKUP($DS322,'Jan-2026 rates'!$L:$R,4,0),IF($LB322=40%,VLOOKUP($DS322,'Jan-2026 rates'!$L:$R,5,0),IF($LB322=30%,VLOOKUP($DS322,'Jan-2026 rates'!$L:$R,6,0),IF($LB322=100%,VLOOKUP($DS322,'Jan-2026 rates'!$L:$R,7,0),IF($LB322=60%,VLOOKUP($DS322,'Jan-2026 rates'!$L:$S,8,0),IF($LB322=80%,VLOOKUP($DS322,'Jan-2026 rates'!L:T,9,0),0))))))))</f>
        <v>0</v>
      </c>
      <c r="DV322" s="412"/>
      <c r="DW322" s="409"/>
      <c r="DX322" s="411">
        <f>IF(DW322=0,0,IF($LB322=70%,VLOOKUP($DS322,'Jan-2026 rates'!$L:$R,4,0),IF($LB322=65%,VLOOKUP($DS322,'Jan-2026 rates'!$L:$R,4,0),IF($LB322=40%,VLOOKUP($DS322,'Jan-2026 rates'!$L:$R,5,0),IF($LB322=30%,VLOOKUP($DS322,'Jan-2026 rates'!$L:$R,6,0),IF($LB322=100%,VLOOKUP($DS322,'Jan-2026 rates'!$L:$R,7,0),IF($LB322=60%,VLOOKUP($DS322,'Jan-2026 rates'!$L:$S,8,0),IF($LB322=80%,VLOOKUP($DS322,'Jan-2026 rates'!L:T,9,0),0))))))))</f>
        <v>0</v>
      </c>
      <c r="DY322" s="413"/>
      <c r="DZ322" s="413"/>
      <c r="EA322" s="412"/>
      <c r="EB322" s="412"/>
      <c r="EC322" s="412"/>
      <c r="ED322" s="412"/>
      <c r="EE322" s="412"/>
      <c r="EF322" s="412"/>
      <c r="EG322" s="409"/>
      <c r="EH322" s="398">
        <f>IF(EG322=0,0,IF(LEN(DY322)=11,_xlfn.XLOOKUP(DY322,'Dispensed Ink Rates'!C:C,'Dispensed Ink Rates'!CS:CS),VLOOKUP(DY322,'Jan-2026 rates'!$E:$F,2,0)))</f>
        <v>0</v>
      </c>
      <c r="EI322" s="409"/>
      <c r="EJ322" s="398">
        <f>IF(EI322=0,0,IF(LEN(DZ322)=11,_xlfn.XLOOKUP(DZ322,'Dispensed Ink Rates'!C:C,'Dispensed Ink Rates'!CS:CS),VLOOKUP(DZ322,'Jan-2026 rates'!$E:$F,2,0)))</f>
        <v>0</v>
      </c>
      <c r="EK322" s="409"/>
      <c r="EL322" s="398">
        <f>IF(EK322=0,0,IF(LEN(EA322)=11,_xlfn.XLOOKUP(EA322,'Dispensed Ink Rates'!C:C,'Dispensed Ink Rates'!CS:CS),VLOOKUP(EA322,'Jan-2026 rates'!$E:$F,2,0)))</f>
        <v>0</v>
      </c>
      <c r="EM322" s="409"/>
      <c r="EN322" s="398">
        <f>IF(EM322=0,0,IF(LEN(EB322)=11,_xlfn.XLOOKUP(EB322,'Dispensed Ink Rates'!C:C,'Dispensed Ink Rates'!CS:CS),VLOOKUP(EB322,'Jan-2026 rates'!$E:$F,2,0)))</f>
        <v>0</v>
      </c>
      <c r="EO322" s="409"/>
      <c r="EP322" s="398">
        <f>IF(EO322=0,0,IF(LEN(EC322)=11,_xlfn.XLOOKUP(EC322,'Dispensed Ink Rates'!C:C,'Dispensed Ink Rates'!CS:CS),VLOOKUP(EC322,'Jan-2026 rates'!$E:$F,2,0)))</f>
        <v>0</v>
      </c>
      <c r="EQ322" s="409"/>
      <c r="ER322" s="398">
        <f>IF(EQ322=0,0,IF(LEN(ED322)=11,_xlfn.XLOOKUP(ED322,'Dispensed Ink Rates'!C:C,'Dispensed Ink Rates'!CS:CS),VLOOKUP(ED322,'Jan-2026 rates'!$E:$F,2,0)))</f>
        <v>0</v>
      </c>
      <c r="ES322" s="409"/>
      <c r="ET322" s="398">
        <f>IF(ES322=0,0,IF(LEN(EE322)=11,_xlfn.XLOOKUP(EE322,'Dispensed Ink Rates'!C:C,'Dispensed Ink Rates'!CS:CS),VLOOKUP(EE322,'Jan-2026 rates'!$E:$F,2,0)))</f>
        <v>0</v>
      </c>
      <c r="EU322" s="409"/>
      <c r="EV322" s="398">
        <f>IF(EU322=0,0,IF(LEN(EF322)=11,_xlfn.XLOOKUP(EF322,'Dispensed Ink Rates'!C:C,'Dispensed Ink Rates'!CS:CS),VLOOKUP(EF322,'Jan-2026 rates'!$E:$F,2,0)))</f>
        <v>0</v>
      </c>
      <c r="EW322" s="409"/>
      <c r="EX322" s="409"/>
      <c r="EY322" s="411">
        <f t="shared" si="221"/>
        <v>0</v>
      </c>
      <c r="EZ322" s="411">
        <f t="shared" si="222"/>
        <v>0</v>
      </c>
      <c r="FA322" s="410">
        <f t="shared" si="223"/>
        <v>0</v>
      </c>
      <c r="FB322" s="405"/>
      <c r="FC322" s="409"/>
      <c r="FD322" s="420" t="str">
        <f t="shared" si="187"/>
        <v xml:space="preserve"> - </v>
      </c>
      <c r="FE322" s="409"/>
      <c r="FF322" s="411">
        <f>IF(FE322=0,0,IF($LB322=70%,VLOOKUP($FD322,'Jan-2026 rates'!$L:$R,4,0),IF($LB322=65%,VLOOKUP($FD322,'Jan-2026 rates'!$L:$R,4,0),IF($LB322=40%,VLOOKUP($FD322,'Jan-2026 rates'!$L:$R,5,0),IF($LB322=30%,VLOOKUP($FD322,'Jan-2026 rates'!$L:$R,6,0),IF($LB322=100%,VLOOKUP($FD322,'Jan-2026 rates'!$L:$R,7,0),IF($LB322=60%,VLOOKUP($FD322,'Jan-2026 rates'!$L:$S,8,0),IF($LB322=80%,VLOOKUP($FD322,'Jan-2026 rates'!L:T,9,0),0))))))))</f>
        <v>0</v>
      </c>
      <c r="FG322" s="412"/>
      <c r="FH322" s="409"/>
      <c r="FI322" s="411">
        <f>IF(FH322=0,0,IF($LB322=70%,VLOOKUP($FD322,'Jan-2026 rates'!$L:$R,4,0),IF($LB322=65%,VLOOKUP($FD322,'Jan-2026 rates'!$L:$R,4,0),IF($LB322=40%,VLOOKUP($FD322,'Jan-2026 rates'!$L:$R,5,0),IF($LB322=30%,VLOOKUP($FD322,'Jan-2026 rates'!$L:$R,6,0),IF($LB322=100%,VLOOKUP($FD322,'Jan-2026 rates'!$L:$R,7,0),IF($LB322=60%,VLOOKUP($FD322,'Jan-2026 rates'!$L:$S,8,0),IF($LB322=80%,VLOOKUP($FD322,'Jan-2026 rates'!L:T,9,0),0))))))))</f>
        <v>0</v>
      </c>
      <c r="FJ322" s="413"/>
      <c r="FK322" s="413"/>
      <c r="FL322" s="413"/>
      <c r="FM322" s="412"/>
      <c r="FN322" s="412"/>
      <c r="FO322" s="412"/>
      <c r="FP322" s="412"/>
      <c r="FQ322" s="412"/>
      <c r="FR322" s="409"/>
      <c r="FS322" s="398">
        <f>IF(FR322=0,0,IF(LEN(FJ322)=11,_xlfn.XLOOKUP(FJ322,'Dispensed Ink Rates'!C:C,'Dispensed Ink Rates'!CS:CS),VLOOKUP(FJ322,'Jan-2026 rates'!$E:$F,2,0)))</f>
        <v>0</v>
      </c>
      <c r="FT322" s="409"/>
      <c r="FU322" s="398">
        <f>IF(FT322=0,0,IF(LEN(FK322)=11,_xlfn.XLOOKUP(FK322,'Dispensed Ink Rates'!C:C,'Dispensed Ink Rates'!CS:CS),VLOOKUP(FK322,'Jan-2026 rates'!$E:$F,2,0)))</f>
        <v>0</v>
      </c>
      <c r="FV322" s="409"/>
      <c r="FW322" s="398">
        <f>IF(FV322=0,0,IF(LEN(FL322)=11,_xlfn.XLOOKUP(FL322,'Dispensed Ink Rates'!C:C,'Dispensed Ink Rates'!CS:CS),VLOOKUP(FL322,'Jan-2026 rates'!$E:$F,2,0)))</f>
        <v>0</v>
      </c>
      <c r="FX322" s="409"/>
      <c r="FY322" s="398">
        <f>IF(FX322=0,0,IF(LEN(FM322)=11,_xlfn.XLOOKUP(FM322,'Dispensed Ink Rates'!C:C,'Dispensed Ink Rates'!CS:CS),VLOOKUP(FM322,'Jan-2026 rates'!$E:$F,2,0)))</f>
        <v>0</v>
      </c>
      <c r="FZ322" s="409"/>
      <c r="GA322" s="398">
        <f>IF(FZ322=0,0,IF(LEN(FN322)=11,_xlfn.XLOOKUP(FN322,'Dispensed Ink Rates'!C:C,'Dispensed Ink Rates'!CS:CS),VLOOKUP(FN322,'Jan-2026 rates'!$E:$F,2,0)))</f>
        <v>0</v>
      </c>
      <c r="GB322" s="409"/>
      <c r="GC322" s="398">
        <f>IF(GB322=0,0,IF(LEN(FO322)=11,_xlfn.XLOOKUP(FO322,'Dispensed Ink Rates'!C:C,'Dispensed Ink Rates'!CS:CS),VLOOKUP(FO322,'Jan-2026 rates'!$E:$F,2,0)))</f>
        <v>0</v>
      </c>
      <c r="GD322" s="409"/>
      <c r="GE322" s="398">
        <f>IF(GD322=0,0,IF(LEN(FP322)=11,_xlfn.XLOOKUP(FP322,'Dispensed Ink Rates'!C:C,'Dispensed Ink Rates'!CS:CS),VLOOKUP(FP322,'Jan-2026 rates'!$E:$F,2,0)))</f>
        <v>0</v>
      </c>
      <c r="GF322" s="409"/>
      <c r="GG322" s="398">
        <f>IF(GF322=0,0,IF(LEN(FQ322)=11,_xlfn.XLOOKUP(FQ322,'Dispensed Ink Rates'!C:C,'Dispensed Ink Rates'!CS:CS),VLOOKUP(FQ322,'Jan-2026 rates'!$E:$F,2,0)))</f>
        <v>0</v>
      </c>
      <c r="GH322" s="409"/>
      <c r="GI322" s="409"/>
      <c r="GJ322" s="411">
        <f t="shared" si="224"/>
        <v>0</v>
      </c>
      <c r="GK322" s="411">
        <f t="shared" si="225"/>
        <v>0</v>
      </c>
      <c r="GL322" s="410">
        <f t="shared" si="226"/>
        <v>0</v>
      </c>
      <c r="GM322" s="405"/>
      <c r="GN322" s="409"/>
      <c r="GO322" s="420" t="str">
        <f t="shared" si="188"/>
        <v xml:space="preserve"> - </v>
      </c>
      <c r="GP322" s="409"/>
      <c r="GQ322" s="411">
        <f>IF(GP322=0,0,IF($LB322=70%,VLOOKUP($GO322,'Jan-2026 rates'!$L:$R,4,0),IF($LB322=65%,VLOOKUP($GO322,'Jan-2026 rates'!$L:$R,4,0),IF($LB322=40%,VLOOKUP($GO322,'Jan-2026 rates'!$L:$R,5,0),IF($LB322=30%,VLOOKUP($GO322,'Jan-2026 rates'!$L:$R,6,0),IF($LB322=100%,VLOOKUP($GO322,'Jan-2026 rates'!$L:$R,7,0),IF($LB322=60%,VLOOKUP($GO322,'Jan-2026 rates'!$L:$S,8,0),IF($LB322=80%,VLOOKUP($GO322,'Jan-2026 rates'!L:T,9,0),0))))))))</f>
        <v>0</v>
      </c>
      <c r="GR322" s="412"/>
      <c r="GS322" s="409"/>
      <c r="GT322" s="411">
        <f>IF(GS322=0,0,IF($LB322=70%,VLOOKUP($GO322,'Jan-2026 rates'!$L:$R,4,0),IF($LB322=65%,VLOOKUP($GO322,'Jan-2026 rates'!$L:$R,4,0),IF($LB322=40%,VLOOKUP($GO322,'Jan-2026 rates'!$L:$R,5,0),IF($LB322=30%,VLOOKUP($GO322,'Jan-2026 rates'!$L:$R,6,0),IF($LB322=100%,VLOOKUP($GO322,'Jan-2026 rates'!$L:$R,7,0),IF($LB322=60%,VLOOKUP($GO322,'Jan-2026 rates'!$L:$S,8,0),IF($LB322=80%,VLOOKUP($GO322,'Jan-2026 rates'!L:T,9,0),0))))))))</f>
        <v>0</v>
      </c>
      <c r="GU322" s="413"/>
      <c r="GV322" s="413"/>
      <c r="GW322" s="412"/>
      <c r="GX322" s="412"/>
      <c r="GY322" s="412"/>
      <c r="GZ322" s="412"/>
      <c r="HA322" s="412"/>
      <c r="HB322" s="412"/>
      <c r="HC322" s="409"/>
      <c r="HD322" s="398">
        <f>IF(HC322=0,0,IF(LEN(GU322)=11,_xlfn.XLOOKUP(GU322,'Dispensed Ink Rates'!C:C,'Dispensed Ink Rates'!CS:CS),VLOOKUP(GU322,'Jan-2026 rates'!$E:$F,2,0)))</f>
        <v>0</v>
      </c>
      <c r="HE322" s="409"/>
      <c r="HF322" s="398">
        <f>IF(HE322=0,0,IF(LEN(GV322)=11,_xlfn.XLOOKUP(GV322,'Dispensed Ink Rates'!C:C,'Dispensed Ink Rates'!CS:CS),VLOOKUP(GV322,'Jan-2026 rates'!$E:$F,2,0)))</f>
        <v>0</v>
      </c>
      <c r="HG322" s="409"/>
      <c r="HH322" s="398">
        <f>IF(HG322=0,0,IF(LEN(GW322)=11,_xlfn.XLOOKUP(GW322,'Dispensed Ink Rates'!C:C,'Dispensed Ink Rates'!CS:CS),VLOOKUP(GW322,'Jan-2026 rates'!$E:$F,2,0)))</f>
        <v>0</v>
      </c>
      <c r="HI322" s="409"/>
      <c r="HJ322" s="398">
        <f>IF(HI322=0,0,IF(LEN(GX322)=11,_xlfn.XLOOKUP(GX322,'Dispensed Ink Rates'!C:C,'Dispensed Ink Rates'!CS:CS),VLOOKUP(GX322,'Jan-2026 rates'!$E:$F,2,0)))</f>
        <v>0</v>
      </c>
      <c r="HK322" s="409"/>
      <c r="HL322" s="398">
        <f>IF(HK322=0,0,IF(LEN(GY322)=11,_xlfn.XLOOKUP(GY322,'Dispensed Ink Rates'!C:C,'Dispensed Ink Rates'!CS:CS),VLOOKUP(GY322,'Jan-2026 rates'!$E:$F,2,0)))</f>
        <v>0</v>
      </c>
      <c r="HM322" s="409"/>
      <c r="HN322" s="398">
        <f>IF(HM322=0,0,IF(LEN(GZ322)=11,_xlfn.XLOOKUP(GZ322,'Dispensed Ink Rates'!C:C,'Dispensed Ink Rates'!CS:CS),VLOOKUP(GZ322,'Jan-2026 rates'!$E:$F,2,0)))</f>
        <v>0</v>
      </c>
      <c r="HO322" s="409"/>
      <c r="HP322" s="398">
        <f>IF(HO322=0,0,IF(LEN(HA322)=11,_xlfn.XLOOKUP(HA322,'Dispensed Ink Rates'!C:C,'Dispensed Ink Rates'!CS:CS),VLOOKUP(HA322,'Jan-2026 rates'!$E:$F,2,0)))</f>
        <v>0</v>
      </c>
      <c r="HQ322" s="409"/>
      <c r="HR322" s="398">
        <f>IF(HQ322=0,0,IF(LEN(HB322)=11,_xlfn.XLOOKUP(HB322,'Dispensed Ink Rates'!C:C,'Dispensed Ink Rates'!CS:CS),VLOOKUP(HB322,'Jan-2026 rates'!$E:$F,2,0)))</f>
        <v>0</v>
      </c>
      <c r="HS322" s="409"/>
      <c r="HT322" s="409"/>
      <c r="HU322" s="411">
        <f t="shared" si="227"/>
        <v>0</v>
      </c>
      <c r="HV322" s="411">
        <f t="shared" si="228"/>
        <v>0</v>
      </c>
      <c r="HW322" s="414">
        <f t="shared" si="229"/>
        <v>0</v>
      </c>
      <c r="HX322" s="405"/>
      <c r="HY322" s="409"/>
      <c r="HZ322" s="420" t="str">
        <f t="shared" si="189"/>
        <v xml:space="preserve"> - </v>
      </c>
      <c r="IA322" s="409"/>
      <c r="IB322" s="411">
        <f>IF(IA322=0,0,IF($LB322=70%,VLOOKUP($HZ322,'Jan-2026 rates'!$L:$R,4,0),IF($LB322=65%,VLOOKUP($HZ322,'Jan-2026 rates'!$L:$R,4,0),IF($LB322=40%,VLOOKUP($HZ322,'Jan-2026 rates'!$L:$R,5,0),IF($LB322=30%,VLOOKUP($HZ322,'Jan-2026 rates'!$L:$R,6,0),IF($LB322=100%,VLOOKUP($HZ322,'Jan-2026 rates'!$L:$R,7,0),IF($LB322=60%,VLOOKUP($HZ322,'Jan-2026 rates'!$L:$S,8,0),IF($LB322=80%,VLOOKUP($HZ322,'Jan-2026 rates'!L:T,9,0),0))))))))</f>
        <v>0</v>
      </c>
      <c r="IC322" s="412"/>
      <c r="ID322" s="409"/>
      <c r="IE322" s="411">
        <f>IF(ID322=0,0,IF($LB322=70%,VLOOKUP($HZ322,'Jan-2026 rates'!$L:$R,4,0),IF($LB322=65%,VLOOKUP($HZ322,'Jan-2026 rates'!$L:$R,4,0),IF($LB322=40%,VLOOKUP($HZ322,'Jan-2026 rates'!$L:$R,5,0),IF($LB322=30%,VLOOKUP($HZ322,'Jan-2026 rates'!$L:$R,6,0),IF($LB322=100%,VLOOKUP($HZ322,'Jan-2026 rates'!$L:$R,7,0),IF($LB322=60%,VLOOKUP($HZ322,'Jan-2026 rates'!$L:$S,8,0),IF($LB322=80%,VLOOKUP($HZ322,'Jan-2026 rates'!L:T,9,0),0))))))))</f>
        <v>0</v>
      </c>
      <c r="IF322" s="412"/>
      <c r="IG322" s="413"/>
      <c r="IH322" s="412"/>
      <c r="II322" s="412"/>
      <c r="IJ322" s="412"/>
      <c r="IK322" s="412"/>
      <c r="IL322" s="412"/>
      <c r="IM322" s="412"/>
      <c r="IN322" s="409"/>
      <c r="IO322" s="398">
        <f>IF(IN322=0,0,IF(LEN(IF322)=11,_xlfn.XLOOKUP(IF322,'Dispensed Ink Rates'!C:C,'Dispensed Ink Rates'!CS:CS),VLOOKUP(IF322,'Jan-2026 rates'!$E:$F,2,0)))</f>
        <v>0</v>
      </c>
      <c r="IP322" s="409"/>
      <c r="IQ322" s="398">
        <f>IF(IP322=0,0,IF(LEN(IG322)=11,_xlfn.XLOOKUP(IG322,'Dispensed Ink Rates'!C:C,'Dispensed Ink Rates'!CS:CS),VLOOKUP(IG322,'Jan-2026 rates'!$E:$F,2,0)))</f>
        <v>0</v>
      </c>
      <c r="IR322" s="409"/>
      <c r="IS322" s="398">
        <f>IF(IR322=0,0,IF(LEN(IH322)=11,_xlfn.XLOOKUP(IH322,'Dispensed Ink Rates'!C:C,'Dispensed Ink Rates'!CS:CS),VLOOKUP(IH322,'Jan-2026 rates'!$E:$F,2,0)))</f>
        <v>0</v>
      </c>
      <c r="IT322" s="409"/>
      <c r="IU322" s="398">
        <f>IF(IT322=0,0,IF(LEN(II322)=11,_xlfn.XLOOKUP(II322,'Dispensed Ink Rates'!C:C,'Dispensed Ink Rates'!CS:CS),VLOOKUP(II322,'Jan-2026 rates'!$E:$F,2,0)))</f>
        <v>0</v>
      </c>
      <c r="IV322" s="409"/>
      <c r="IW322" s="398">
        <f>IF(IV322=0,0,IF(LEN(IJ322)=11,_xlfn.XLOOKUP(IJ322,'Dispensed Ink Rates'!C:C,'Dispensed Ink Rates'!CS:CS),VLOOKUP(IJ322,'Jan-2026 rates'!$E:$F,2,0)))</f>
        <v>0</v>
      </c>
      <c r="IX322" s="409"/>
      <c r="IY322" s="398">
        <f>IF(IX322=0,0,IF(LEN(IK322)=11,_xlfn.XLOOKUP(IK322,'Dispensed Ink Rates'!C:C,'Dispensed Ink Rates'!CS:CS),VLOOKUP(IK322,'Jan-2026 rates'!$E:$F,2,0)))</f>
        <v>0</v>
      </c>
      <c r="IZ322" s="409"/>
      <c r="JA322" s="398">
        <f>IF(IZ322=0,0,IF(LEN(IL322)=11,_xlfn.XLOOKUP(IL322,'Dispensed Ink Rates'!C:C,'Dispensed Ink Rates'!CS:CS),VLOOKUP(IL322,'Jan-2026 rates'!$E:$F,2,0)))</f>
        <v>0</v>
      </c>
      <c r="JB322" s="409"/>
      <c r="JC322" s="398">
        <f>IF(JB322=0,0,IF(LEN(IM322)=11,_xlfn.XLOOKUP(IM322,'Dispensed Ink Rates'!C:C,'Dispensed Ink Rates'!CS:CS),VLOOKUP(IM322,'Jan-2026 rates'!$E:$F,2,0)))</f>
        <v>0</v>
      </c>
      <c r="JD322" s="409"/>
      <c r="JE322" s="409"/>
      <c r="JF322" s="411">
        <f t="shared" si="230"/>
        <v>0</v>
      </c>
      <c r="JG322" s="411">
        <f t="shared" si="231"/>
        <v>0</v>
      </c>
      <c r="JH322" s="410">
        <f t="shared" si="232"/>
        <v>0</v>
      </c>
      <c r="JI322" s="405"/>
      <c r="JJ322" s="409"/>
      <c r="JK322" s="420" t="str">
        <f t="shared" si="190"/>
        <v xml:space="preserve"> - </v>
      </c>
      <c r="JL322" s="409"/>
      <c r="JM322" s="411">
        <f>IF(JL322=0,0,IF($LB322=70%,VLOOKUP($JK322,'Jan-2026 rates'!$L:$R,4,0),IF($LB322=65%,VLOOKUP($JK322,'Jan-2026 rates'!$L:$R,4,0),IF($LB322=40%,VLOOKUP($JK322,'Jan-2026 rates'!$L:$R,5,0),IF($LB322=30%,VLOOKUP($JK322,'Jan-2026 rates'!$L:$R,6,0),IF($LB322=100%,VLOOKUP($JK322,'Jan-2026 rates'!$L:$R,7,0),IF($LB322=60%,VLOOKUP($JK322,'Jan-2026 rates'!$L:$S,8,0),IF($LB322=80%,VLOOKUP($JK322,'Jan-2026 rates'!L:T,9,0),0))))))))</f>
        <v>0</v>
      </c>
      <c r="JN322" s="412"/>
      <c r="JO322" s="409"/>
      <c r="JP322" s="411">
        <f>IF(JO322=0,0,IF($LB322=70%,VLOOKUP($JK322,'Jan-2026 rates'!$L:$R,4,0),IF($LB322=65%,VLOOKUP($JK322,'Jan-2026 rates'!$L:$R,4,0),IF($LB322=40%,VLOOKUP($JK322,'Jan-2026 rates'!$L:$R,5,0),IF($LB322=30%,VLOOKUP($JK322,'Jan-2026 rates'!$L:$R,6,0),IF($LB322=100%,VLOOKUP($JK322,'Jan-2026 rates'!$L:$R,7,0),IF($LB322=60%,VLOOKUP($JK322,'Jan-2026 rates'!$L:$S,8,0),IF($LB322=80%,VLOOKUP($JK322,'Jan-2026 rates'!L:T,9,0),0))))))))</f>
        <v>0</v>
      </c>
      <c r="JQ322" s="413"/>
      <c r="JR322" s="412"/>
      <c r="JS322" s="413"/>
      <c r="JT322" s="413"/>
      <c r="JU322" s="412"/>
      <c r="JV322" s="412"/>
      <c r="JW322" s="412"/>
      <c r="JX322" s="412"/>
      <c r="JY322" s="409"/>
      <c r="JZ322" s="398">
        <f>IF(JY322=0,0,IF(LEN(JQ322)=11,_xlfn.XLOOKUP(JQ322,'Dispensed Ink Rates'!C:C,'Dispensed Ink Rates'!CS:CS),VLOOKUP(JQ322,'Jan-2026 rates'!$E:$F,2,0)))</f>
        <v>0</v>
      </c>
      <c r="KA322" s="409"/>
      <c r="KB322" s="398">
        <f>IF(KA322=0,0,IF(LEN(JR322)=11,_xlfn.XLOOKUP(JR322,'Dispensed Ink Rates'!C:C,'Dispensed Ink Rates'!CS:CS),VLOOKUP(JR322,'Jan-2026 rates'!$E:$F,2,0)))</f>
        <v>0</v>
      </c>
      <c r="KC322" s="409"/>
      <c r="KD322" s="398">
        <f>IF(KC322=0,0,IF(LEN(JS322)=11,_xlfn.XLOOKUP(JS322,'Dispensed Ink Rates'!C:C,'Dispensed Ink Rates'!CS:CS),VLOOKUP(JS322,'Jan-2026 rates'!$E:$F,2,0)))</f>
        <v>0</v>
      </c>
      <c r="KE322" s="409"/>
      <c r="KF322" s="398">
        <f>IF(KE322=0,0,IF(LEN(JT322)=11,_xlfn.XLOOKUP(JT322,'Dispensed Ink Rates'!C:C,'Dispensed Ink Rates'!CS:CS),VLOOKUP(JT322,'Jan-2026 rates'!$E:$F,2,0)))</f>
        <v>0</v>
      </c>
      <c r="KG322" s="409"/>
      <c r="KH322" s="398">
        <f>IF(KG322=0,0,IF(LEN(JU322)=11,_xlfn.XLOOKUP(JU322,'Dispensed Ink Rates'!C:C,'Dispensed Ink Rates'!CS:CS),VLOOKUP(JU322,'Jan-2026 rates'!$E:$F,2,0)))</f>
        <v>0</v>
      </c>
      <c r="KI322" s="409"/>
      <c r="KJ322" s="398">
        <f>IF(KI322=0,0,IF(LEN(JV322)=11,_xlfn.XLOOKUP(JV322,'Dispensed Ink Rates'!C:C,'Dispensed Ink Rates'!CS:CS),VLOOKUP(JV322,'Jan-2026 rates'!$E:$F,2,0)))</f>
        <v>0</v>
      </c>
      <c r="KK322" s="409"/>
      <c r="KL322" s="398">
        <f>IF(KK322=0,0,IF(LEN(JW322)=11,_xlfn.XLOOKUP(JW322,'Dispensed Ink Rates'!C:C,'Dispensed Ink Rates'!CS:CS),VLOOKUP(JW322,'Jan-2026 rates'!$E:$F,2,0)))</f>
        <v>0</v>
      </c>
      <c r="KM322" s="428"/>
      <c r="KN322" s="398">
        <f>IF(KM322=0,0,IF(LEN(JX322)=11,_xlfn.XLOOKUP(JX322,'Dispensed Ink Rates'!C:C,'Dispensed Ink Rates'!CS:CS),VLOOKUP(JX322,'Jan-2026 rates'!$E:$F,2,0)))</f>
        <v>0</v>
      </c>
      <c r="KO322" s="409"/>
      <c r="KP322" s="409"/>
      <c r="KQ322" s="411">
        <f t="shared" si="233"/>
        <v>0</v>
      </c>
      <c r="KR322" s="411">
        <f t="shared" si="234"/>
        <v>0</v>
      </c>
      <c r="KS322" s="410">
        <f t="shared" si="235"/>
        <v>0</v>
      </c>
      <c r="KT322" s="409">
        <v>2</v>
      </c>
      <c r="KU322" s="409">
        <v>3</v>
      </c>
      <c r="KV322" s="409">
        <v>5</v>
      </c>
      <c r="KW322" s="409">
        <v>0</v>
      </c>
      <c r="KX322" s="409">
        <v>0</v>
      </c>
      <c r="KY322" s="409">
        <v>0</v>
      </c>
      <c r="KZ322" s="409">
        <v>0</v>
      </c>
      <c r="LA322" s="409">
        <v>0</v>
      </c>
      <c r="LB322" s="415">
        <v>0.3</v>
      </c>
      <c r="LC322" s="415"/>
      <c r="LD322" s="424"/>
      <c r="LE322" s="415">
        <v>0.5</v>
      </c>
      <c r="LF322" s="415">
        <v>0.2</v>
      </c>
      <c r="LG322" s="409">
        <v>0</v>
      </c>
      <c r="LH322" s="409">
        <f>10+5+9+15+6</f>
        <v>45</v>
      </c>
      <c r="LI322" s="409">
        <v>0</v>
      </c>
      <c r="LJ322" s="409">
        <v>0</v>
      </c>
      <c r="LK322" s="416">
        <f t="shared" si="191"/>
        <v>45</v>
      </c>
      <c r="LL322" s="416">
        <f t="shared" si="237"/>
        <v>45</v>
      </c>
      <c r="LM322" s="417">
        <f t="shared" si="193"/>
        <v>13.5</v>
      </c>
      <c r="LN322" s="417">
        <f>VLOOKUP($LM$8,'Jan-2026 rates'!$H:$I,2,0)</f>
        <v>0</v>
      </c>
      <c r="LO322" s="417">
        <f t="shared" si="194"/>
        <v>0</v>
      </c>
      <c r="LP322" s="417">
        <f>VLOOKUP($LO$8,'Jan-2026 rates'!$H:$I,2,0)</f>
        <v>0</v>
      </c>
      <c r="LQ322" s="417">
        <f t="shared" si="195"/>
        <v>0</v>
      </c>
      <c r="LR322" s="417">
        <f>VLOOKUP($LQ$8,'Jan-2026 rates'!$H:$I,2,0)</f>
        <v>0</v>
      </c>
      <c r="LS322" s="417">
        <f t="shared" si="196"/>
        <v>22.5</v>
      </c>
      <c r="LT322" s="417">
        <f>VLOOKUP($LS$8,'Jan-2026 rates'!$H:$I,2,0)</f>
        <v>0</v>
      </c>
      <c r="LU322" s="417">
        <f t="shared" si="197"/>
        <v>9</v>
      </c>
      <c r="LV322" s="417">
        <f>VLOOKUP($LU$8,'Jan-2026 rates'!$H:$I,2,0)</f>
        <v>0</v>
      </c>
      <c r="LW322" s="417">
        <f t="shared" si="198"/>
        <v>0</v>
      </c>
      <c r="LX322" s="417">
        <f t="shared" si="199"/>
        <v>0</v>
      </c>
      <c r="LY322" s="418">
        <f t="shared" si="200"/>
        <v>0</v>
      </c>
      <c r="LZ322" s="417"/>
      <c r="MA322" s="435">
        <f t="shared" si="201"/>
        <v>34.020000000000003</v>
      </c>
      <c r="MB322" s="282">
        <f t="shared" si="202"/>
        <v>86.02000000000001</v>
      </c>
      <c r="MC322" s="283" t="s">
        <v>2061</v>
      </c>
      <c r="MD322" s="284" t="str">
        <f t="shared" si="203"/>
        <v>ToyoLiToyoLiToyoLi</v>
      </c>
      <c r="ME322" s="293" t="str">
        <f t="shared" si="204"/>
        <v>+</v>
      </c>
      <c r="MF322" s="293" t="str">
        <f t="shared" si="205"/>
        <v>+</v>
      </c>
      <c r="MG322" s="293" t="str">
        <f t="shared" si="206"/>
        <v>+</v>
      </c>
      <c r="MH322" s="293" t="str">
        <f t="shared" si="207"/>
        <v>NIL</v>
      </c>
      <c r="MI322" s="293" t="str">
        <f t="shared" si="208"/>
        <v>NIL</v>
      </c>
      <c r="MJ322" s="293" t="str">
        <f t="shared" si="209"/>
        <v>NIL</v>
      </c>
      <c r="MK322" s="293" t="str">
        <f t="shared" si="210"/>
        <v>NIL</v>
      </c>
      <c r="ML322" s="293" t="str">
        <f t="shared" si="211"/>
        <v>NIL</v>
      </c>
      <c r="MM322" s="3" t="b">
        <f t="array" ref="MM322">OR(ME322:ML322="-")</f>
        <v>0</v>
      </c>
      <c r="MO322" s="401">
        <f t="shared" si="238"/>
        <v>29.358361774744029</v>
      </c>
      <c r="MP322" s="286"/>
      <c r="MR322" s="402">
        <f t="shared" si="239"/>
        <v>5.696688741721855E-3</v>
      </c>
      <c r="MS322" s="400">
        <f t="shared" si="240"/>
        <v>0</v>
      </c>
      <c r="MT322" s="285"/>
      <c r="NH322" s="361"/>
      <c r="NJ322" s="282"/>
    </row>
    <row r="323" spans="1:374" ht="16.5">
      <c r="A323" s="403">
        <v>46045</v>
      </c>
      <c r="B323" s="404" t="s">
        <v>1018</v>
      </c>
      <c r="C323" s="405" t="s">
        <v>4548</v>
      </c>
      <c r="D323" s="404" t="s">
        <v>2062</v>
      </c>
      <c r="E323" s="404">
        <v>737</v>
      </c>
      <c r="F323" s="407">
        <v>43300</v>
      </c>
      <c r="G323" s="407" t="s">
        <v>1016</v>
      </c>
      <c r="H323" s="408" t="s">
        <v>1017</v>
      </c>
      <c r="I323" s="409">
        <v>1.76</v>
      </c>
      <c r="J323" s="405" t="s">
        <v>543</v>
      </c>
      <c r="K323" s="404" t="s">
        <v>4549</v>
      </c>
      <c r="L323" s="419" t="str">
        <f t="shared" si="184"/>
        <v>ToyoLi - BLACK</v>
      </c>
      <c r="M323" s="404">
        <v>25</v>
      </c>
      <c r="N323" s="410">
        <f>IF(M323=0,0,IF($LB323=70%,VLOOKUP($L323,'Jan-2026 rates'!$L:$R,4,0),IF($LB323=65%,VLOOKUP($L323,'Jan-2026 rates'!$L:$R,4,0),IF($LB323=40%,VLOOKUP($L323,'Jan-2026 rates'!$L:$R,5,0),IF($LB323=30%,VLOOKUP($L323,'Jan-2026 rates'!$L:$R,6,0),IF($LB323=100%,VLOOKUP($L323,'Jan-2026 rates'!$L:$R,7,0),IF($LB323=60%,VLOOKUP($L323,'Jan-2026 rates'!$L:$S,8,0),IF($LB323=80%,VLOOKUP($L323,'Jan-2026 rates'!L:T,9,0),0))))))))</f>
        <v>0</v>
      </c>
      <c r="O323" s="406"/>
      <c r="P323" s="404"/>
      <c r="Q323" s="410">
        <f>IF(P323=0,0,IF($LB323=70%,VLOOKUP($L323,'Jan-2026 rates'!$L:$R,4,0),IF($LB323=65%,VLOOKUP($L323,'Jan-2026 rates'!$L:$R,4,0),IF($LB323=40%,VLOOKUP($L323,'Jan-2026 rates'!$L:$R,5,0),IF($LB323=30%,VLOOKUP($L323,'Jan-2026 rates'!$L:$R,6,0),IF($LB323=100%,VLOOKUP($L323,'Jan-2026 rates'!$L:$R,7,0),IF($LB323=60%,VLOOKUP($L323,'Jan-2026 rates'!$L:$S,8,0),IF($LB323=80%,VLOOKUP($L323,'Jan-2026 rates'!L:T,9,0),0))))))))</f>
        <v>0</v>
      </c>
      <c r="R323" s="406" t="s">
        <v>1252</v>
      </c>
      <c r="S323" s="406"/>
      <c r="T323" s="406"/>
      <c r="U323" s="406"/>
      <c r="V323" s="406"/>
      <c r="W323" s="406"/>
      <c r="X323" s="406"/>
      <c r="Y323" s="406"/>
      <c r="Z323" s="404">
        <v>5</v>
      </c>
      <c r="AA323" s="398">
        <f>IF(Z323=0,0,IF(LEN(R323)=11,_xlfn.XLOOKUP(R323,'Dispensed Ink Rates'!C:C,'Dispensed Ink Rates'!CS:CS),VLOOKUP(R323,'Jan-2026 rates'!$E:$F,2,0)))</f>
        <v>0</v>
      </c>
      <c r="AB323" s="404"/>
      <c r="AC323" s="398">
        <f>IF(AB323=0,0,IF(LEN(S323)=11,_xlfn.XLOOKUP(S323,'Dispensed Ink Rates'!C:C,'Dispensed Ink Rates'!CS:CS),VLOOKUP(S323,'Jan-2026 rates'!$E:$F,2,0)))</f>
        <v>0</v>
      </c>
      <c r="AD323" s="404"/>
      <c r="AE323" s="398">
        <f>IF(AD323=0,0,IF(LEN(T323)=11,_xlfn.XLOOKUP(T323,'Dispensed Ink Rates'!C:C,'Dispensed Ink Rates'!CS:CS),VLOOKUP(T323,'Jan-2026 rates'!$E:$F,2,0)))</f>
        <v>0</v>
      </c>
      <c r="AF323" s="404"/>
      <c r="AG323" s="398">
        <f>IF(AF323=0,0,IF(LEN(U323)=11,_xlfn.XLOOKUP(U323,'Dispensed Ink Rates'!C:C,'Dispensed Ink Rates'!CS:CS),VLOOKUP(U323,'Jan-2026 rates'!$E:$F,2,0)))</f>
        <v>0</v>
      </c>
      <c r="AH323" s="404"/>
      <c r="AI323" s="398">
        <f>IF(AH323=0,0,IF(LEN(V323)=11,_xlfn.XLOOKUP(V323,'Dispensed Ink Rates'!C:C,'Dispensed Ink Rates'!CS:CS),VLOOKUP(V323,'Jan-2026 rates'!$E:$F,2,0)))</f>
        <v>0</v>
      </c>
      <c r="AJ323" s="404"/>
      <c r="AK323" s="398">
        <f>IF(AJ323=0,0,IF(LEN(W323)=11,_xlfn.XLOOKUP(W323,'Dispensed Ink Rates'!C:C,'Dispensed Ink Rates'!CS:CS),VLOOKUP(W323,'Jan-2026 rates'!$E:$F,2,0)))</f>
        <v>0</v>
      </c>
      <c r="AL323" s="404"/>
      <c r="AM323" s="398">
        <f>IF(AL323=0,0,IF(LEN(X323)=11,_xlfn.XLOOKUP(X323,'Dispensed Ink Rates'!C:C,'Dispensed Ink Rates'!CS:CS),VLOOKUP(X323,'Jan-2026 rates'!$E:$F,2,0)))</f>
        <v>0</v>
      </c>
      <c r="AN323" s="404"/>
      <c r="AO323" s="398">
        <f>IF(AN323=0,0,IF(LEN(Y323)=11,_xlfn.XLOOKUP(Y323,'Dispensed Ink Rates'!C:C,'Dispensed Ink Rates'!CS:CS),VLOOKUP(Y323,'Jan-2026 rates'!$E:$F,2,0)))</f>
        <v>0</v>
      </c>
      <c r="AP323" s="409" t="s">
        <v>1881</v>
      </c>
      <c r="AQ323" s="409">
        <v>28</v>
      </c>
      <c r="AR323" s="410">
        <f t="shared" si="212"/>
        <v>0</v>
      </c>
      <c r="AS323" s="411">
        <f t="shared" si="213"/>
        <v>8.8800000000000026</v>
      </c>
      <c r="AT323" s="410">
        <f t="shared" si="214"/>
        <v>0</v>
      </c>
      <c r="AU323" s="405" t="s">
        <v>547</v>
      </c>
      <c r="AV323" s="409" t="s">
        <v>4550</v>
      </c>
      <c r="AW323" s="420" t="str">
        <f t="shared" si="236"/>
        <v>ToyoLi - GREEN</v>
      </c>
      <c r="AX323" s="409">
        <v>15</v>
      </c>
      <c r="AY323" s="411">
        <f>IF(AX323=0,0,IF($LB323=70%,VLOOKUP($AW323,'Jan-2026 rates'!$L:$R,4,0),IF($LB323=65%,VLOOKUP($AW323,'Jan-2026 rates'!$L:$R,4,0),IF($LB323=40%,VLOOKUP($AW323,'Jan-2026 rates'!$L:$R,5,0),IF($LB323=30%,VLOOKUP($AW323,'Jan-2026 rates'!$L:$R,6,0),IF($LB323=100%,VLOOKUP($AW323,'Jan-2026 rates'!$L:$R,7,0),IF($LB323=60%,VLOOKUP($AW323,'Jan-2026 rates'!$L:$S,8,0),IF($LB323=80%,VLOOKUP($AW323,'Jan-2026 rates'!L:T,9,0),0))))))))</f>
        <v>0</v>
      </c>
      <c r="AZ323" s="412"/>
      <c r="BA323" s="409"/>
      <c r="BB323" s="411">
        <f>IF(BA323=0,0,IF($LB323=70%,VLOOKUP($AW323,'Jan-2026 rates'!$L:$R,4,0),IF($LB323=65%,VLOOKUP($AW323,'Jan-2026 rates'!$L:$R,4,0),IF($LB323=40%,VLOOKUP($AW323,'Jan-2026 rates'!$L:$R,5,0),IF($LB323=30%,VLOOKUP($AW323,'Jan-2026 rates'!$L:$R,6,0),IF($LB323=100%,VLOOKUP($AW323,'Jan-2026 rates'!$L:$R,7,0),IF($LB323=60%,VLOOKUP($AW323,'Jan-2026 rates'!$L:$S,8,0),IF($LB323=80%,VLOOKUP($AW323,'Jan-2026 rates'!L:T,9,0),0))))))))</f>
        <v>0</v>
      </c>
      <c r="BC323" s="413" t="s">
        <v>1247</v>
      </c>
      <c r="BD323" s="412" t="s">
        <v>1251</v>
      </c>
      <c r="BE323" s="412"/>
      <c r="BF323" s="413"/>
      <c r="BG323" s="412"/>
      <c r="BH323" s="412"/>
      <c r="BI323" s="412"/>
      <c r="BJ323" s="412"/>
      <c r="BK323" s="409">
        <v>5</v>
      </c>
      <c r="BL323" s="398">
        <f>IF(BK323=0,0,IF(LEN(BC323)=11,_xlfn.XLOOKUP(BC323,'Dispensed Ink Rates'!C:C,'Dispensed Ink Rates'!CS:CS),VLOOKUP(BC323,'Jan-2026 rates'!$E:$F,2,0)))</f>
        <v>0</v>
      </c>
      <c r="BM323" s="409">
        <v>1</v>
      </c>
      <c r="BN323" s="398">
        <f>IF(BM323=0,0,IF(LEN(BD323)=11,_xlfn.XLOOKUP(BD323,'Dispensed Ink Rates'!C:C,'Dispensed Ink Rates'!CS:CS),VLOOKUP(BD323,'Jan-2026 rates'!$E:$F,2,0)))</f>
        <v>0</v>
      </c>
      <c r="BO323" s="409"/>
      <c r="BP323" s="398">
        <f>IF(BO323=0,0,IF(LEN(BE323)=11,_xlfn.XLOOKUP(BE323,'Dispensed Ink Rates'!C:C,'Dispensed Ink Rates'!CS:CS),VLOOKUP(BE323,'Jan-2026 rates'!$E:$F,2,0)))</f>
        <v>0</v>
      </c>
      <c r="BQ323" s="409"/>
      <c r="BR323" s="398">
        <f>IF(BQ323=0,0,IF(LEN(BF323)=11,_xlfn.XLOOKUP(BF323,'Dispensed Ink Rates'!C:C,'Dispensed Ink Rates'!CS:CS),VLOOKUP(BF323,'Jan-2026 rates'!$E:$F,2,0)))</f>
        <v>0</v>
      </c>
      <c r="BS323" s="409"/>
      <c r="BT323" s="398">
        <f>IF(BS323=0,0,IF(LEN(BG323)=11,_xlfn.XLOOKUP(BG323,'Dispensed Ink Rates'!C:C,'Dispensed Ink Rates'!CS:CS),VLOOKUP(BG323,'Jan-2026 rates'!$E:$F,2,0)))</f>
        <v>0</v>
      </c>
      <c r="BU323" s="409"/>
      <c r="BV323" s="398">
        <f>IF(BU323=0,0,IF(LEN(BH323)=11,_xlfn.XLOOKUP(BH323,'Dispensed Ink Rates'!C:C,'Dispensed Ink Rates'!CS:CS),VLOOKUP(BH323,'Jan-2026 rates'!$E:$F,2,0)))</f>
        <v>0</v>
      </c>
      <c r="BW323" s="409"/>
      <c r="BX323" s="398">
        <f>IF(BW323=0,0,IF(LEN(BI323)=11,_xlfn.XLOOKUP(BI323,'Dispensed Ink Rates'!C:C,'Dispensed Ink Rates'!CS:CS),VLOOKUP(BI323,'Jan-2026 rates'!$E:$F,2,0)))</f>
        <v>0</v>
      </c>
      <c r="BY323" s="409"/>
      <c r="BZ323" s="398">
        <f>IF(BY323=0,0,IF(LEN(BJ323)=11,_xlfn.XLOOKUP(BJ323,'Dispensed Ink Rates'!C:C,'Dispensed Ink Rates'!CS:CS),VLOOKUP(BJ323,'Jan-2026 rates'!$E:$F,2,0)))</f>
        <v>0</v>
      </c>
      <c r="CA323" s="409" t="s">
        <v>1881</v>
      </c>
      <c r="CB323" s="409">
        <v>20</v>
      </c>
      <c r="CC323" s="411">
        <f t="shared" si="215"/>
        <v>0</v>
      </c>
      <c r="CD323" s="411">
        <f t="shared" si="216"/>
        <v>11.32</v>
      </c>
      <c r="CE323" s="410">
        <f t="shared" si="217"/>
        <v>0</v>
      </c>
      <c r="CF323" s="404" t="s">
        <v>857</v>
      </c>
      <c r="CG323" s="409" t="s">
        <v>4551</v>
      </c>
      <c r="CH323" s="420" t="str">
        <f t="shared" si="185"/>
        <v>ToyoLi - RED</v>
      </c>
      <c r="CI323" s="409">
        <f>15+17</f>
        <v>32</v>
      </c>
      <c r="CJ323" s="411">
        <f>IF(CI323=0,0,IF($LB323=70%,VLOOKUP($CH323,'Jan-2026 rates'!$L:$R,4,0),IF($LB323=65%,VLOOKUP($CH323,'Jan-2026 rates'!$L:$R,4,0),IF($LB323=40%,VLOOKUP($CH323,'Jan-2026 rates'!$L:$R,5,0),IF($LB323=30%,VLOOKUP($CH323,'Jan-2026 rates'!$L:$R,6,0),IF($LB323=100%,VLOOKUP($CH323,'Jan-2026 rates'!$L:$R,7,0),IF($LB323=60%,VLOOKUP($CH323,'Jan-2026 rates'!$L:$S,8,0),IF($LB323=80%,VLOOKUP($CH323,'Jan-2026 rates'!L:T,9,0),0))))))))</f>
        <v>0</v>
      </c>
      <c r="CK323" s="412"/>
      <c r="CL323" s="409"/>
      <c r="CM323" s="411">
        <f>IF(CL323=0,0,IF($LB323=70%,VLOOKUP($CH323,'Jan-2026 rates'!$L:$R,4,0),IF($LB323=65%,VLOOKUP($CH323,'Jan-2026 rates'!$L:$R,4,0),IF($LB323=40%,VLOOKUP($CH323,'Jan-2026 rates'!$L:$R,5,0),IF($LB323=30%,VLOOKUP($CH323,'Jan-2026 rates'!$L:$R,6,0),IF($LB323=100%,VLOOKUP($CH323,'Jan-2026 rates'!$L:$R,7,0),IF($LB323=60%,VLOOKUP($CH323,'Jan-2026 rates'!$L:$S,8,0),IF($LB323=80%,VLOOKUP($CH323,'Jan-2026 rates'!L:T,9,0),0))))))))</f>
        <v>0</v>
      </c>
      <c r="CN323" s="426" t="s">
        <v>1246</v>
      </c>
      <c r="CO323" s="427" t="s">
        <v>1248</v>
      </c>
      <c r="CP323" s="426"/>
      <c r="CQ323" s="426"/>
      <c r="CR323" s="428"/>
      <c r="CS323" s="428"/>
      <c r="CT323" s="428"/>
      <c r="CU323" s="428"/>
      <c r="CV323" s="409">
        <f>20+20+20</f>
        <v>60</v>
      </c>
      <c r="CW323" s="398">
        <f>IF(CV323=0,0,IF(LEN(CN323)=11,_xlfn.XLOOKUP(CN323,'Dispensed Ink Rates'!C:C,'Dispensed Ink Rates'!CS:CS),VLOOKUP(CN323,'Jan-2026 rates'!$E:$F,2,0)))</f>
        <v>0</v>
      </c>
      <c r="CX323" s="409">
        <f>20+25+25</f>
        <v>70</v>
      </c>
      <c r="CY323" s="398">
        <f>IF(CX323=0,0,IF(LEN(CO323)=11,_xlfn.XLOOKUP(CO323,'Dispensed Ink Rates'!C:C,'Dispensed Ink Rates'!CS:CS),VLOOKUP(CO323,'Jan-2026 rates'!$E:$F,2,0)))</f>
        <v>0</v>
      </c>
      <c r="CZ323" s="409"/>
      <c r="DA323" s="398">
        <f>IF(CZ323=0,0,IF(LEN(CP323)=11,_xlfn.XLOOKUP(CP323,'Dispensed Ink Rates'!C:C,'Dispensed Ink Rates'!CS:CS),VLOOKUP(CP323,'Jan-2026 rates'!$E:$F,2,0)))</f>
        <v>0</v>
      </c>
      <c r="DB323" s="409"/>
      <c r="DC323" s="398">
        <f>IF(DB323=0,0,IF(LEN(CQ323)=11,_xlfn.XLOOKUP(CQ323,'Dispensed Ink Rates'!C:C,'Dispensed Ink Rates'!CS:CS),VLOOKUP(CQ323,'Jan-2026 rates'!$E:$F,2,0)))</f>
        <v>0</v>
      </c>
      <c r="DD323" s="409"/>
      <c r="DE323" s="398">
        <f>IF(DD323=0,0,IF(LEN(CR323)=11,_xlfn.XLOOKUP(CR323,'Dispensed Ink Rates'!C:C,'Dispensed Ink Rates'!CS:CS),VLOOKUP(CR323,'Jan-2026 rates'!$E:$F,2,0)))</f>
        <v>0</v>
      </c>
      <c r="DF323" s="409"/>
      <c r="DG323" s="398">
        <f>IF(DF323=0,0,IF(LEN(CS323)=11,_xlfn.XLOOKUP(CS323,'Dispensed Ink Rates'!C:C,'Dispensed Ink Rates'!CS:CS),VLOOKUP(CS323,'Jan-2026 rates'!$E:$F,2,0)))</f>
        <v>0</v>
      </c>
      <c r="DH323" s="409"/>
      <c r="DI323" s="398">
        <f>IF(DH323=0,0,IF(LEN(CT323)=11,_xlfn.XLOOKUP(CT323,'Dispensed Ink Rates'!C:C,'Dispensed Ink Rates'!CS:CS),VLOOKUP(CT323,'Jan-2026 rates'!$E:$F,2,0)))</f>
        <v>0</v>
      </c>
      <c r="DJ323" s="409"/>
      <c r="DK323" s="398">
        <f>IF(DJ323=0,0,IF(LEN(CU323)=11,_xlfn.XLOOKUP(CU323,'Dispensed Ink Rates'!C:C,'Dispensed Ink Rates'!CS:CS),VLOOKUP(CU323,'Jan-2026 rates'!$E:$F,2,0)))</f>
        <v>0</v>
      </c>
      <c r="DL323" s="409" t="s">
        <v>1881</v>
      </c>
      <c r="DM323" s="409">
        <v>30</v>
      </c>
      <c r="DN323" s="411">
        <f t="shared" si="218"/>
        <v>0</v>
      </c>
      <c r="DO323" s="411">
        <f t="shared" si="219"/>
        <v>218</v>
      </c>
      <c r="DP323" s="410">
        <f t="shared" si="220"/>
        <v>0</v>
      </c>
      <c r="DQ323" s="405" t="s">
        <v>545</v>
      </c>
      <c r="DR323" s="409" t="s">
        <v>4473</v>
      </c>
      <c r="DS323" s="420" t="str">
        <f t="shared" si="186"/>
        <v>ToyoLi - YELLOW</v>
      </c>
      <c r="DT323" s="409">
        <v>10</v>
      </c>
      <c r="DU323" s="411">
        <f>IF(DT323=0,0,IF($LB323=70%,VLOOKUP($DS323,'Jan-2026 rates'!$L:$R,4,0),IF($LB323=65%,VLOOKUP($DS323,'Jan-2026 rates'!$L:$R,4,0),IF($LB323=40%,VLOOKUP($DS323,'Jan-2026 rates'!$L:$R,5,0),IF($LB323=30%,VLOOKUP($DS323,'Jan-2026 rates'!$L:$R,6,0),IF($LB323=100%,VLOOKUP($DS323,'Jan-2026 rates'!$L:$R,7,0),IF($LB323=60%,VLOOKUP($DS323,'Jan-2026 rates'!$L:$S,8,0),IF($LB323=80%,VLOOKUP($DS323,'Jan-2026 rates'!L:T,9,0),0))))))))</f>
        <v>0</v>
      </c>
      <c r="DV323" s="412"/>
      <c r="DW323" s="409"/>
      <c r="DX323" s="411">
        <f>IF(DW323=0,0,IF($LB323=70%,VLOOKUP($DS323,'Jan-2026 rates'!$L:$R,4,0),IF($LB323=65%,VLOOKUP($DS323,'Jan-2026 rates'!$L:$R,4,0),IF($LB323=40%,VLOOKUP($DS323,'Jan-2026 rates'!$L:$R,5,0),IF($LB323=30%,VLOOKUP($DS323,'Jan-2026 rates'!$L:$R,6,0),IF($LB323=100%,VLOOKUP($DS323,'Jan-2026 rates'!$L:$R,7,0),IF($LB323=60%,VLOOKUP($DS323,'Jan-2026 rates'!$L:$S,8,0),IF($LB323=80%,VLOOKUP($DS323,'Jan-2026 rates'!L:T,9,0),0))))))))</f>
        <v>0</v>
      </c>
      <c r="DY323" s="413" t="s">
        <v>1247</v>
      </c>
      <c r="DZ323" s="413"/>
      <c r="EA323" s="412"/>
      <c r="EB323" s="412"/>
      <c r="EC323" s="412"/>
      <c r="ED323" s="412"/>
      <c r="EE323" s="412"/>
      <c r="EF323" s="412"/>
      <c r="EG323" s="409">
        <f>10+5</f>
        <v>15</v>
      </c>
      <c r="EH323" s="398">
        <f>IF(EG323=0,0,IF(LEN(DY323)=11,_xlfn.XLOOKUP(DY323,'Dispensed Ink Rates'!C:C,'Dispensed Ink Rates'!CS:CS),VLOOKUP(DY323,'Jan-2026 rates'!$E:$F,2,0)))</f>
        <v>0</v>
      </c>
      <c r="EI323" s="409"/>
      <c r="EJ323" s="398">
        <f>IF(EI323=0,0,IF(LEN(DZ323)=11,_xlfn.XLOOKUP(DZ323,'Dispensed Ink Rates'!C:C,'Dispensed Ink Rates'!CS:CS),VLOOKUP(DZ323,'Jan-2026 rates'!$E:$F,2,0)))</f>
        <v>0</v>
      </c>
      <c r="EK323" s="409"/>
      <c r="EL323" s="398">
        <f>IF(EK323=0,0,IF(LEN(EA323)=11,_xlfn.XLOOKUP(EA323,'Dispensed Ink Rates'!C:C,'Dispensed Ink Rates'!CS:CS),VLOOKUP(EA323,'Jan-2026 rates'!$E:$F,2,0)))</f>
        <v>0</v>
      </c>
      <c r="EM323" s="409"/>
      <c r="EN323" s="398">
        <f>IF(EM323=0,0,IF(LEN(EB323)=11,_xlfn.XLOOKUP(EB323,'Dispensed Ink Rates'!C:C,'Dispensed Ink Rates'!CS:CS),VLOOKUP(EB323,'Jan-2026 rates'!$E:$F,2,0)))</f>
        <v>0</v>
      </c>
      <c r="EO323" s="409"/>
      <c r="EP323" s="398">
        <f>IF(EO323=0,0,IF(LEN(EC323)=11,_xlfn.XLOOKUP(EC323,'Dispensed Ink Rates'!C:C,'Dispensed Ink Rates'!CS:CS),VLOOKUP(EC323,'Jan-2026 rates'!$E:$F,2,0)))</f>
        <v>0</v>
      </c>
      <c r="EQ323" s="409"/>
      <c r="ER323" s="398">
        <f>IF(EQ323=0,0,IF(LEN(ED323)=11,_xlfn.XLOOKUP(ED323,'Dispensed Ink Rates'!C:C,'Dispensed Ink Rates'!CS:CS),VLOOKUP(ED323,'Jan-2026 rates'!$E:$F,2,0)))</f>
        <v>0</v>
      </c>
      <c r="ES323" s="409"/>
      <c r="ET323" s="398">
        <f>IF(ES323=0,0,IF(LEN(EE323)=11,_xlfn.XLOOKUP(EE323,'Dispensed Ink Rates'!C:C,'Dispensed Ink Rates'!CS:CS),VLOOKUP(EE323,'Jan-2026 rates'!$E:$F,2,0)))</f>
        <v>0</v>
      </c>
      <c r="EU323" s="409"/>
      <c r="EV323" s="398">
        <f>IF(EU323=0,0,IF(LEN(EF323)=11,_xlfn.XLOOKUP(EF323,'Dispensed Ink Rates'!C:C,'Dispensed Ink Rates'!CS:CS),VLOOKUP(EF323,'Jan-2026 rates'!$E:$F,2,0)))</f>
        <v>0</v>
      </c>
      <c r="EW323" s="409" t="s">
        <v>1881</v>
      </c>
      <c r="EX323" s="409">
        <v>27</v>
      </c>
      <c r="EY323" s="411">
        <f t="shared" si="221"/>
        <v>0</v>
      </c>
      <c r="EZ323" s="411">
        <f t="shared" si="222"/>
        <v>15.200000000000003</v>
      </c>
      <c r="FA323" s="410">
        <f t="shared" si="223"/>
        <v>0</v>
      </c>
      <c r="FB323" s="405" t="s">
        <v>856</v>
      </c>
      <c r="FC323" s="409" t="s">
        <v>4552</v>
      </c>
      <c r="FD323" s="420" t="str">
        <f t="shared" si="187"/>
        <v>ToyoLi - WHITE</v>
      </c>
      <c r="FE323" s="409">
        <v>22</v>
      </c>
      <c r="FF323" s="411">
        <f>IF(FE323=0,0,IF($LB323=70%,VLOOKUP($FD323,'Jan-2026 rates'!$L:$R,4,0),IF($LB323=65%,VLOOKUP($FD323,'Jan-2026 rates'!$L:$R,4,0),IF($LB323=40%,VLOOKUP($FD323,'Jan-2026 rates'!$L:$R,5,0),IF($LB323=30%,VLOOKUP($FD323,'Jan-2026 rates'!$L:$R,6,0),IF($LB323=100%,VLOOKUP($FD323,'Jan-2026 rates'!$L:$R,7,0),IF($LB323=60%,VLOOKUP($FD323,'Jan-2026 rates'!$L:$S,8,0),IF($LB323=80%,VLOOKUP($FD323,'Jan-2026 rates'!L:T,9,0),0))))))))</f>
        <v>0</v>
      </c>
      <c r="FG323" s="412"/>
      <c r="FH323" s="409"/>
      <c r="FI323" s="411">
        <f>IF(FH323=0,0,IF($LB323=70%,VLOOKUP($FD323,'Jan-2026 rates'!$L:$R,4,0),IF($LB323=65%,VLOOKUP($FD323,'Jan-2026 rates'!$L:$R,4,0),IF($LB323=40%,VLOOKUP($FD323,'Jan-2026 rates'!$L:$R,5,0),IF($LB323=30%,VLOOKUP($FD323,'Jan-2026 rates'!$L:$R,6,0),IF($LB323=100%,VLOOKUP($FD323,'Jan-2026 rates'!$L:$R,7,0),IF($LB323=60%,VLOOKUP($FD323,'Jan-2026 rates'!$L:$S,8,0),IF($LB323=80%,VLOOKUP($FD323,'Jan-2026 rates'!L:T,9,0),0))))))))</f>
        <v>0</v>
      </c>
      <c r="FJ323" s="413" t="s">
        <v>1249</v>
      </c>
      <c r="FK323" s="413" t="s">
        <v>1122</v>
      </c>
      <c r="FL323" s="413"/>
      <c r="FM323" s="412"/>
      <c r="FN323" s="412"/>
      <c r="FO323" s="412"/>
      <c r="FP323" s="412"/>
      <c r="FQ323" s="412"/>
      <c r="FR323" s="409">
        <f>60+20</f>
        <v>80</v>
      </c>
      <c r="FS323" s="398">
        <f>IF(FR323=0,0,IF(LEN(FJ323)=11,_xlfn.XLOOKUP(FJ323,'Dispensed Ink Rates'!C:C,'Dispensed Ink Rates'!CS:CS),VLOOKUP(FJ323,'Jan-2026 rates'!$E:$F,2,0)))</f>
        <v>0</v>
      </c>
      <c r="FT323" s="409">
        <v>8.64</v>
      </c>
      <c r="FU323" s="398">
        <f>IF(FT323=0,0,IF(LEN(FK323)=11,_xlfn.XLOOKUP(FK323,'Dispensed Ink Rates'!C:C,'Dispensed Ink Rates'!CS:CS),VLOOKUP(FK323,'Jan-2026 rates'!$E:$F,2,0)))</f>
        <v>0</v>
      </c>
      <c r="FV323" s="409"/>
      <c r="FW323" s="398">
        <f>IF(FV323=0,0,IF(LEN(FL323)=11,_xlfn.XLOOKUP(FL323,'Dispensed Ink Rates'!C:C,'Dispensed Ink Rates'!CS:CS),VLOOKUP(FL323,'Jan-2026 rates'!$E:$F,2,0)))</f>
        <v>0</v>
      </c>
      <c r="FX323" s="409"/>
      <c r="FY323" s="398">
        <f>IF(FX323=0,0,IF(LEN(FM323)=11,_xlfn.XLOOKUP(FM323,'Dispensed Ink Rates'!C:C,'Dispensed Ink Rates'!CS:CS),VLOOKUP(FM323,'Jan-2026 rates'!$E:$F,2,0)))</f>
        <v>0</v>
      </c>
      <c r="FZ323" s="409"/>
      <c r="GA323" s="398">
        <f>IF(FZ323=0,0,IF(LEN(FN323)=11,_xlfn.XLOOKUP(FN323,'Dispensed Ink Rates'!C:C,'Dispensed Ink Rates'!CS:CS),VLOOKUP(FN323,'Jan-2026 rates'!$E:$F,2,0)))</f>
        <v>0</v>
      </c>
      <c r="GB323" s="409"/>
      <c r="GC323" s="398">
        <f>IF(GB323=0,0,IF(LEN(FO323)=11,_xlfn.XLOOKUP(FO323,'Dispensed Ink Rates'!C:C,'Dispensed Ink Rates'!CS:CS),VLOOKUP(FO323,'Jan-2026 rates'!$E:$F,2,0)))</f>
        <v>0</v>
      </c>
      <c r="GD323" s="409"/>
      <c r="GE323" s="398">
        <f>IF(GD323=0,0,IF(LEN(FP323)=11,_xlfn.XLOOKUP(FP323,'Dispensed Ink Rates'!C:C,'Dispensed Ink Rates'!CS:CS),VLOOKUP(FP323,'Jan-2026 rates'!$E:$F,2,0)))</f>
        <v>0</v>
      </c>
      <c r="GF323" s="409"/>
      <c r="GG323" s="398">
        <f>IF(GF323=0,0,IF(LEN(FQ323)=11,_xlfn.XLOOKUP(FQ323,'Dispensed Ink Rates'!C:C,'Dispensed Ink Rates'!CS:CS),VLOOKUP(FQ323,'Jan-2026 rates'!$E:$F,2,0)))</f>
        <v>0</v>
      </c>
      <c r="GH323" s="409" t="s">
        <v>1881</v>
      </c>
      <c r="GI323" s="409">
        <v>30</v>
      </c>
      <c r="GJ323" s="411">
        <f t="shared" si="224"/>
        <v>0</v>
      </c>
      <c r="GK323" s="411">
        <f t="shared" si="225"/>
        <v>218.24</v>
      </c>
      <c r="GL323" s="410">
        <f t="shared" si="226"/>
        <v>0</v>
      </c>
      <c r="GM323" s="405"/>
      <c r="GN323" s="409"/>
      <c r="GO323" s="420" t="str">
        <f t="shared" si="188"/>
        <v xml:space="preserve"> - </v>
      </c>
      <c r="GP323" s="409"/>
      <c r="GQ323" s="411">
        <f>IF(GP323=0,0,IF($LB323=70%,VLOOKUP($GO323,'Jan-2026 rates'!$L:$R,4,0),IF($LB323=65%,VLOOKUP($GO323,'Jan-2026 rates'!$L:$R,4,0),IF($LB323=40%,VLOOKUP($GO323,'Jan-2026 rates'!$L:$R,5,0),IF($LB323=30%,VLOOKUP($GO323,'Jan-2026 rates'!$L:$R,6,0),IF($LB323=100%,VLOOKUP($GO323,'Jan-2026 rates'!$L:$R,7,0),IF($LB323=60%,VLOOKUP($GO323,'Jan-2026 rates'!$L:$S,8,0),IF($LB323=80%,VLOOKUP($GO323,'Jan-2026 rates'!L:T,9,0),0))))))))</f>
        <v>0</v>
      </c>
      <c r="GR323" s="412"/>
      <c r="GS323" s="409"/>
      <c r="GT323" s="411">
        <f>IF(GS323=0,0,IF($LB323=70%,VLOOKUP($GO323,'Jan-2026 rates'!$L:$R,4,0),IF($LB323=65%,VLOOKUP($GO323,'Jan-2026 rates'!$L:$R,4,0),IF($LB323=40%,VLOOKUP($GO323,'Jan-2026 rates'!$L:$R,5,0),IF($LB323=30%,VLOOKUP($GO323,'Jan-2026 rates'!$L:$R,6,0),IF($LB323=100%,VLOOKUP($GO323,'Jan-2026 rates'!$L:$R,7,0),IF($LB323=60%,VLOOKUP($GO323,'Jan-2026 rates'!$L:$S,8,0),IF($LB323=80%,VLOOKUP($GO323,'Jan-2026 rates'!L:T,9,0),0))))))))</f>
        <v>0</v>
      </c>
      <c r="GU323" s="413"/>
      <c r="GV323" s="413"/>
      <c r="GW323" s="412"/>
      <c r="GX323" s="412"/>
      <c r="GY323" s="412"/>
      <c r="GZ323" s="412"/>
      <c r="HA323" s="412"/>
      <c r="HB323" s="412"/>
      <c r="HC323" s="409"/>
      <c r="HD323" s="398">
        <f>IF(HC323=0,0,IF(LEN(GU323)=11,_xlfn.XLOOKUP(GU323,'Dispensed Ink Rates'!C:C,'Dispensed Ink Rates'!CS:CS),VLOOKUP(GU323,'Jan-2026 rates'!$E:$F,2,0)))</f>
        <v>0</v>
      </c>
      <c r="HE323" s="409"/>
      <c r="HF323" s="398">
        <f>IF(HE323=0,0,IF(LEN(GV323)=11,_xlfn.XLOOKUP(GV323,'Dispensed Ink Rates'!C:C,'Dispensed Ink Rates'!CS:CS),VLOOKUP(GV323,'Jan-2026 rates'!$E:$F,2,0)))</f>
        <v>0</v>
      </c>
      <c r="HG323" s="409"/>
      <c r="HH323" s="398">
        <f>IF(HG323=0,0,IF(LEN(GW323)=11,_xlfn.XLOOKUP(GW323,'Dispensed Ink Rates'!C:C,'Dispensed Ink Rates'!CS:CS),VLOOKUP(GW323,'Jan-2026 rates'!$E:$F,2,0)))</f>
        <v>0</v>
      </c>
      <c r="HI323" s="409"/>
      <c r="HJ323" s="398">
        <f>IF(HI323=0,0,IF(LEN(GX323)=11,_xlfn.XLOOKUP(GX323,'Dispensed Ink Rates'!C:C,'Dispensed Ink Rates'!CS:CS),VLOOKUP(GX323,'Jan-2026 rates'!$E:$F,2,0)))</f>
        <v>0</v>
      </c>
      <c r="HK323" s="409"/>
      <c r="HL323" s="398">
        <f>IF(HK323=0,0,IF(LEN(GY323)=11,_xlfn.XLOOKUP(GY323,'Dispensed Ink Rates'!C:C,'Dispensed Ink Rates'!CS:CS),VLOOKUP(GY323,'Jan-2026 rates'!$E:$F,2,0)))</f>
        <v>0</v>
      </c>
      <c r="HM323" s="409"/>
      <c r="HN323" s="398">
        <f>IF(HM323=0,0,IF(LEN(GZ323)=11,_xlfn.XLOOKUP(GZ323,'Dispensed Ink Rates'!C:C,'Dispensed Ink Rates'!CS:CS),VLOOKUP(GZ323,'Jan-2026 rates'!$E:$F,2,0)))</f>
        <v>0</v>
      </c>
      <c r="HO323" s="409"/>
      <c r="HP323" s="398">
        <f>IF(HO323=0,0,IF(LEN(HA323)=11,_xlfn.XLOOKUP(HA323,'Dispensed Ink Rates'!C:C,'Dispensed Ink Rates'!CS:CS),VLOOKUP(HA323,'Jan-2026 rates'!$E:$F,2,0)))</f>
        <v>0</v>
      </c>
      <c r="HQ323" s="409"/>
      <c r="HR323" s="398">
        <f>IF(HQ323=0,0,IF(LEN(HB323)=11,_xlfn.XLOOKUP(HB323,'Dispensed Ink Rates'!C:C,'Dispensed Ink Rates'!CS:CS),VLOOKUP(HB323,'Jan-2026 rates'!$E:$F,2,0)))</f>
        <v>0</v>
      </c>
      <c r="HS323" s="409"/>
      <c r="HT323" s="409"/>
      <c r="HU323" s="411">
        <f t="shared" si="227"/>
        <v>0</v>
      </c>
      <c r="HV323" s="411">
        <f t="shared" si="228"/>
        <v>0</v>
      </c>
      <c r="HW323" s="414">
        <f t="shared" si="229"/>
        <v>0</v>
      </c>
      <c r="HX323" s="405"/>
      <c r="HY323" s="409"/>
      <c r="HZ323" s="420" t="str">
        <f t="shared" si="189"/>
        <v xml:space="preserve"> - </v>
      </c>
      <c r="IA323" s="409"/>
      <c r="IB323" s="411">
        <f>IF(IA323=0,0,IF($LB323=70%,VLOOKUP($HZ323,'Jan-2026 rates'!$L:$R,4,0),IF($LB323=65%,VLOOKUP($HZ323,'Jan-2026 rates'!$L:$R,4,0),IF($LB323=40%,VLOOKUP($HZ323,'Jan-2026 rates'!$L:$R,5,0),IF($LB323=30%,VLOOKUP($HZ323,'Jan-2026 rates'!$L:$R,6,0),IF($LB323=100%,VLOOKUP($HZ323,'Jan-2026 rates'!$L:$R,7,0),IF($LB323=60%,VLOOKUP($HZ323,'Jan-2026 rates'!$L:$S,8,0),IF($LB323=80%,VLOOKUP($HZ323,'Jan-2026 rates'!L:T,9,0),0))))))))</f>
        <v>0</v>
      </c>
      <c r="IC323" s="412"/>
      <c r="ID323" s="409"/>
      <c r="IE323" s="411">
        <f>IF(ID323=0,0,IF($LB323=70%,VLOOKUP($HZ323,'Jan-2026 rates'!$L:$R,4,0),IF($LB323=65%,VLOOKUP($HZ323,'Jan-2026 rates'!$L:$R,4,0),IF($LB323=40%,VLOOKUP($HZ323,'Jan-2026 rates'!$L:$R,5,0),IF($LB323=30%,VLOOKUP($HZ323,'Jan-2026 rates'!$L:$R,6,0),IF($LB323=100%,VLOOKUP($HZ323,'Jan-2026 rates'!$L:$R,7,0),IF($LB323=60%,VLOOKUP($HZ323,'Jan-2026 rates'!$L:$S,8,0),IF($LB323=80%,VLOOKUP($HZ323,'Jan-2026 rates'!L:T,9,0),0))))))))</f>
        <v>0</v>
      </c>
      <c r="IF323" s="412"/>
      <c r="IG323" s="413"/>
      <c r="IH323" s="412"/>
      <c r="II323" s="412"/>
      <c r="IJ323" s="412"/>
      <c r="IK323" s="412"/>
      <c r="IL323" s="412"/>
      <c r="IM323" s="412"/>
      <c r="IN323" s="409"/>
      <c r="IO323" s="398">
        <f>IF(IN323=0,0,IF(LEN(IF323)=11,_xlfn.XLOOKUP(IF323,'Dispensed Ink Rates'!C:C,'Dispensed Ink Rates'!CS:CS),VLOOKUP(IF323,'Jan-2026 rates'!$E:$F,2,0)))</f>
        <v>0</v>
      </c>
      <c r="IP323" s="409"/>
      <c r="IQ323" s="398">
        <f>IF(IP323=0,0,IF(LEN(IG323)=11,_xlfn.XLOOKUP(IG323,'Dispensed Ink Rates'!C:C,'Dispensed Ink Rates'!CS:CS),VLOOKUP(IG323,'Jan-2026 rates'!$E:$F,2,0)))</f>
        <v>0</v>
      </c>
      <c r="IR323" s="409"/>
      <c r="IS323" s="398">
        <f>IF(IR323=0,0,IF(LEN(IH323)=11,_xlfn.XLOOKUP(IH323,'Dispensed Ink Rates'!C:C,'Dispensed Ink Rates'!CS:CS),VLOOKUP(IH323,'Jan-2026 rates'!$E:$F,2,0)))</f>
        <v>0</v>
      </c>
      <c r="IT323" s="409"/>
      <c r="IU323" s="398">
        <f>IF(IT323=0,0,IF(LEN(II323)=11,_xlfn.XLOOKUP(II323,'Dispensed Ink Rates'!C:C,'Dispensed Ink Rates'!CS:CS),VLOOKUP(II323,'Jan-2026 rates'!$E:$F,2,0)))</f>
        <v>0</v>
      </c>
      <c r="IV323" s="409"/>
      <c r="IW323" s="398">
        <f>IF(IV323=0,0,IF(LEN(IJ323)=11,_xlfn.XLOOKUP(IJ323,'Dispensed Ink Rates'!C:C,'Dispensed Ink Rates'!CS:CS),VLOOKUP(IJ323,'Jan-2026 rates'!$E:$F,2,0)))</f>
        <v>0</v>
      </c>
      <c r="IX323" s="409"/>
      <c r="IY323" s="398">
        <f>IF(IX323=0,0,IF(LEN(IK323)=11,_xlfn.XLOOKUP(IK323,'Dispensed Ink Rates'!C:C,'Dispensed Ink Rates'!CS:CS),VLOOKUP(IK323,'Jan-2026 rates'!$E:$F,2,0)))</f>
        <v>0</v>
      </c>
      <c r="IZ323" s="409"/>
      <c r="JA323" s="398">
        <f>IF(IZ323=0,0,IF(LEN(IL323)=11,_xlfn.XLOOKUP(IL323,'Dispensed Ink Rates'!C:C,'Dispensed Ink Rates'!CS:CS),VLOOKUP(IL323,'Jan-2026 rates'!$E:$F,2,0)))</f>
        <v>0</v>
      </c>
      <c r="JB323" s="409"/>
      <c r="JC323" s="398">
        <f>IF(JB323=0,0,IF(LEN(IM323)=11,_xlfn.XLOOKUP(IM323,'Dispensed Ink Rates'!C:C,'Dispensed Ink Rates'!CS:CS),VLOOKUP(IM323,'Jan-2026 rates'!$E:$F,2,0)))</f>
        <v>0</v>
      </c>
      <c r="JD323" s="409"/>
      <c r="JE323" s="409"/>
      <c r="JF323" s="411">
        <f t="shared" si="230"/>
        <v>0</v>
      </c>
      <c r="JG323" s="411">
        <f t="shared" si="231"/>
        <v>0</v>
      </c>
      <c r="JH323" s="410">
        <f t="shared" si="232"/>
        <v>0</v>
      </c>
      <c r="JI323" s="405"/>
      <c r="JJ323" s="409"/>
      <c r="JK323" s="420" t="str">
        <f t="shared" si="190"/>
        <v xml:space="preserve"> - </v>
      </c>
      <c r="JL323" s="409"/>
      <c r="JM323" s="411">
        <f>IF(JL323=0,0,IF($LB323=70%,VLOOKUP($JK323,'Jan-2026 rates'!$L:$R,4,0),IF($LB323=65%,VLOOKUP($JK323,'Jan-2026 rates'!$L:$R,4,0),IF($LB323=40%,VLOOKUP($JK323,'Jan-2026 rates'!$L:$R,5,0),IF($LB323=30%,VLOOKUP($JK323,'Jan-2026 rates'!$L:$R,6,0),IF($LB323=100%,VLOOKUP($JK323,'Jan-2026 rates'!$L:$R,7,0),IF($LB323=60%,VLOOKUP($JK323,'Jan-2026 rates'!$L:$S,8,0),IF($LB323=80%,VLOOKUP($JK323,'Jan-2026 rates'!L:T,9,0),0))))))))</f>
        <v>0</v>
      </c>
      <c r="JN323" s="412"/>
      <c r="JO323" s="409"/>
      <c r="JP323" s="411">
        <f>IF(JO323=0,0,IF($LB323=70%,VLOOKUP($JK323,'Jan-2026 rates'!$L:$R,4,0),IF($LB323=65%,VLOOKUP($JK323,'Jan-2026 rates'!$L:$R,4,0),IF($LB323=40%,VLOOKUP($JK323,'Jan-2026 rates'!$L:$R,5,0),IF($LB323=30%,VLOOKUP($JK323,'Jan-2026 rates'!$L:$R,6,0),IF($LB323=100%,VLOOKUP($JK323,'Jan-2026 rates'!$L:$R,7,0),IF($LB323=60%,VLOOKUP($JK323,'Jan-2026 rates'!$L:$S,8,0),IF($LB323=80%,VLOOKUP($JK323,'Jan-2026 rates'!L:T,9,0),0))))))))</f>
        <v>0</v>
      </c>
      <c r="JQ323" s="413"/>
      <c r="JR323" s="412"/>
      <c r="JS323" s="413"/>
      <c r="JT323" s="413"/>
      <c r="JU323" s="412"/>
      <c r="JV323" s="412"/>
      <c r="JW323" s="412"/>
      <c r="JX323" s="412"/>
      <c r="JY323" s="409"/>
      <c r="JZ323" s="398">
        <f>IF(JY323=0,0,IF(LEN(JQ323)=11,_xlfn.XLOOKUP(JQ323,'Dispensed Ink Rates'!C:C,'Dispensed Ink Rates'!CS:CS),VLOOKUP(JQ323,'Jan-2026 rates'!$E:$F,2,0)))</f>
        <v>0</v>
      </c>
      <c r="KA323" s="409"/>
      <c r="KB323" s="398">
        <f>IF(KA323=0,0,IF(LEN(JR323)=11,_xlfn.XLOOKUP(JR323,'Dispensed Ink Rates'!C:C,'Dispensed Ink Rates'!CS:CS),VLOOKUP(JR323,'Jan-2026 rates'!$E:$F,2,0)))</f>
        <v>0</v>
      </c>
      <c r="KC323" s="409"/>
      <c r="KD323" s="398">
        <f>IF(KC323=0,0,IF(LEN(JS323)=11,_xlfn.XLOOKUP(JS323,'Dispensed Ink Rates'!C:C,'Dispensed Ink Rates'!CS:CS),VLOOKUP(JS323,'Jan-2026 rates'!$E:$F,2,0)))</f>
        <v>0</v>
      </c>
      <c r="KE323" s="409"/>
      <c r="KF323" s="398">
        <f>IF(KE323=0,0,IF(LEN(JT323)=11,_xlfn.XLOOKUP(JT323,'Dispensed Ink Rates'!C:C,'Dispensed Ink Rates'!CS:CS),VLOOKUP(JT323,'Jan-2026 rates'!$E:$F,2,0)))</f>
        <v>0</v>
      </c>
      <c r="KG323" s="409"/>
      <c r="KH323" s="398">
        <f>IF(KG323=0,0,IF(LEN(JU323)=11,_xlfn.XLOOKUP(JU323,'Dispensed Ink Rates'!C:C,'Dispensed Ink Rates'!CS:CS),VLOOKUP(JU323,'Jan-2026 rates'!$E:$F,2,0)))</f>
        <v>0</v>
      </c>
      <c r="KI323" s="409"/>
      <c r="KJ323" s="398">
        <f>IF(KI323=0,0,IF(LEN(JV323)=11,_xlfn.XLOOKUP(JV323,'Dispensed Ink Rates'!C:C,'Dispensed Ink Rates'!CS:CS),VLOOKUP(JV323,'Jan-2026 rates'!$E:$F,2,0)))</f>
        <v>0</v>
      </c>
      <c r="KK323" s="409"/>
      <c r="KL323" s="398">
        <f>IF(KK323=0,0,IF(LEN(JW323)=11,_xlfn.XLOOKUP(JW323,'Dispensed Ink Rates'!C:C,'Dispensed Ink Rates'!CS:CS),VLOOKUP(JW323,'Jan-2026 rates'!$E:$F,2,0)))</f>
        <v>0</v>
      </c>
      <c r="KM323" s="428"/>
      <c r="KN323" s="398">
        <f>IF(KM323=0,0,IF(LEN(JX323)=11,_xlfn.XLOOKUP(JX323,'Dispensed Ink Rates'!C:C,'Dispensed Ink Rates'!CS:CS),VLOOKUP(JX323,'Jan-2026 rates'!$E:$F,2,0)))</f>
        <v>0</v>
      </c>
      <c r="KO323" s="409"/>
      <c r="KP323" s="409"/>
      <c r="KQ323" s="411">
        <f t="shared" si="233"/>
        <v>0</v>
      </c>
      <c r="KR323" s="411">
        <f t="shared" si="234"/>
        <v>0</v>
      </c>
      <c r="KS323" s="410">
        <f t="shared" si="235"/>
        <v>0</v>
      </c>
      <c r="KT323" s="409">
        <v>2</v>
      </c>
      <c r="KU323" s="409">
        <v>3</v>
      </c>
      <c r="KV323" s="409">
        <f>15+10</f>
        <v>25</v>
      </c>
      <c r="KW323" s="409">
        <v>5</v>
      </c>
      <c r="KX323" s="409">
        <f>30+10</f>
        <v>40</v>
      </c>
      <c r="KY323" s="409">
        <v>0</v>
      </c>
      <c r="KZ323" s="409">
        <v>0</v>
      </c>
      <c r="LA323" s="409">
        <v>0</v>
      </c>
      <c r="LB323" s="415">
        <v>0.3</v>
      </c>
      <c r="LC323" s="415"/>
      <c r="LD323" s="424"/>
      <c r="LE323" s="415">
        <v>0.5</v>
      </c>
      <c r="LF323" s="415">
        <v>0.2</v>
      </c>
      <c r="LG323" s="409">
        <v>0</v>
      </c>
      <c r="LH323" s="409">
        <f>40+38+51+85+5+5+34</f>
        <v>258</v>
      </c>
      <c r="LI323" s="409">
        <v>0</v>
      </c>
      <c r="LJ323" s="409">
        <v>0</v>
      </c>
      <c r="LK323" s="416">
        <f t="shared" si="191"/>
        <v>258</v>
      </c>
      <c r="LL323" s="416">
        <f t="shared" si="237"/>
        <v>258</v>
      </c>
      <c r="LM323" s="417">
        <f t="shared" si="193"/>
        <v>77.399999999999991</v>
      </c>
      <c r="LN323" s="417">
        <f>VLOOKUP($LM$8,'Jan-2026 rates'!$H:$I,2,0)</f>
        <v>0</v>
      </c>
      <c r="LO323" s="417">
        <f t="shared" si="194"/>
        <v>0</v>
      </c>
      <c r="LP323" s="417">
        <f>VLOOKUP($LO$8,'Jan-2026 rates'!$H:$I,2,0)</f>
        <v>0</v>
      </c>
      <c r="LQ323" s="417">
        <f t="shared" si="195"/>
        <v>0</v>
      </c>
      <c r="LR323" s="417">
        <f>VLOOKUP($LQ$8,'Jan-2026 rates'!$H:$I,2,0)</f>
        <v>0</v>
      </c>
      <c r="LS323" s="417">
        <f t="shared" si="196"/>
        <v>129</v>
      </c>
      <c r="LT323" s="417">
        <f>VLOOKUP($LS$8,'Jan-2026 rates'!$H:$I,2,0)</f>
        <v>0</v>
      </c>
      <c r="LU323" s="417">
        <f t="shared" si="197"/>
        <v>51.6</v>
      </c>
      <c r="LV323" s="417">
        <f>VLOOKUP($LU$8,'Jan-2026 rates'!$H:$I,2,0)</f>
        <v>0</v>
      </c>
      <c r="LW323" s="417">
        <f t="shared" si="198"/>
        <v>0</v>
      </c>
      <c r="LX323" s="417">
        <f t="shared" si="199"/>
        <v>0</v>
      </c>
      <c r="LY323" s="418">
        <f t="shared" si="200"/>
        <v>0</v>
      </c>
      <c r="LZ323" s="417"/>
      <c r="MA323" s="435">
        <f t="shared" si="201"/>
        <v>244.64</v>
      </c>
      <c r="MB323" s="282">
        <f t="shared" si="202"/>
        <v>471.64</v>
      </c>
      <c r="MC323" s="283" t="s">
        <v>2062</v>
      </c>
      <c r="MD323" s="284" t="str">
        <f t="shared" si="203"/>
        <v>ToyoLiToyoLiToyoLiToyoLiToyoLi</v>
      </c>
      <c r="ME323" s="293" t="str">
        <f t="shared" si="204"/>
        <v>+</v>
      </c>
      <c r="MF323" s="293" t="str">
        <f t="shared" si="205"/>
        <v>+</v>
      </c>
      <c r="MG323" s="293" t="str">
        <f t="shared" si="206"/>
        <v>+</v>
      </c>
      <c r="MH323" s="293" t="str">
        <f t="shared" si="207"/>
        <v>+</v>
      </c>
      <c r="MI323" s="293" t="str">
        <f t="shared" si="208"/>
        <v>+</v>
      </c>
      <c r="MJ323" s="293" t="str">
        <f t="shared" si="209"/>
        <v>NIL</v>
      </c>
      <c r="MK323" s="293" t="str">
        <f t="shared" si="210"/>
        <v>NIL</v>
      </c>
      <c r="ML323" s="293" t="str">
        <f t="shared" si="211"/>
        <v>NIL</v>
      </c>
      <c r="MM323" s="3" t="b">
        <f t="array" ref="MM323">OR(ME323:ML323="-")</f>
        <v>0</v>
      </c>
      <c r="MO323" s="401">
        <f t="shared" si="238"/>
        <v>63.99457259158752</v>
      </c>
      <c r="MP323" s="286"/>
      <c r="MR323" s="402">
        <f t="shared" si="239"/>
        <v>1.0892378752886836E-2</v>
      </c>
      <c r="MS323" s="400">
        <f t="shared" si="240"/>
        <v>0</v>
      </c>
      <c r="MT323" s="285"/>
      <c r="NH323" s="361"/>
      <c r="NJ323" s="282"/>
    </row>
    <row r="324" spans="1:374" ht="16.5">
      <c r="A324" s="403">
        <v>46046</v>
      </c>
      <c r="B324" s="404" t="s">
        <v>1015</v>
      </c>
      <c r="C324" s="405" t="s">
        <v>4553</v>
      </c>
      <c r="D324" s="404" t="s">
        <v>2063</v>
      </c>
      <c r="E324" s="404">
        <v>278</v>
      </c>
      <c r="F324" s="407">
        <v>17500</v>
      </c>
      <c r="G324" s="407" t="s">
        <v>1016</v>
      </c>
      <c r="H324" s="408" t="s">
        <v>1017</v>
      </c>
      <c r="I324" s="409">
        <v>1.2</v>
      </c>
      <c r="J324" s="405" t="s">
        <v>543</v>
      </c>
      <c r="K324" s="404" t="s">
        <v>4554</v>
      </c>
      <c r="L324" s="419" t="str">
        <f t="shared" si="184"/>
        <v>ToyoLi - BLACK</v>
      </c>
      <c r="M324" s="404">
        <v>28</v>
      </c>
      <c r="N324" s="410">
        <f>IF(M324=0,0,IF($LB324=70%,VLOOKUP($L324,'Jan-2026 rates'!$L:$R,4,0),IF($LB324=65%,VLOOKUP($L324,'Jan-2026 rates'!$L:$R,4,0),IF($LB324=40%,VLOOKUP($L324,'Jan-2026 rates'!$L:$R,5,0),IF($LB324=30%,VLOOKUP($L324,'Jan-2026 rates'!$L:$R,6,0),IF($LB324=100%,VLOOKUP($L324,'Jan-2026 rates'!$L:$R,7,0),IF($LB324=60%,VLOOKUP($L324,'Jan-2026 rates'!$L:$S,8,0),IF($LB324=80%,VLOOKUP($L324,'Jan-2026 rates'!L:T,9,0),0))))))))</f>
        <v>0</v>
      </c>
      <c r="O324" s="406"/>
      <c r="P324" s="404"/>
      <c r="Q324" s="410">
        <f>IF(P324=0,0,IF($LB324=70%,VLOOKUP($L324,'Jan-2026 rates'!$L:$R,4,0),IF($LB324=65%,VLOOKUP($L324,'Jan-2026 rates'!$L:$R,4,0),IF($LB324=40%,VLOOKUP($L324,'Jan-2026 rates'!$L:$R,5,0),IF($LB324=30%,VLOOKUP($L324,'Jan-2026 rates'!$L:$R,6,0),IF($LB324=100%,VLOOKUP($L324,'Jan-2026 rates'!$L:$R,7,0),IF($LB324=60%,VLOOKUP($L324,'Jan-2026 rates'!$L:$S,8,0),IF($LB324=80%,VLOOKUP($L324,'Jan-2026 rates'!L:T,9,0),0))))))))</f>
        <v>0</v>
      </c>
      <c r="R324" s="406" t="s">
        <v>1252</v>
      </c>
      <c r="S324" s="406"/>
      <c r="T324" s="406"/>
      <c r="U324" s="406"/>
      <c r="V324" s="406"/>
      <c r="W324" s="406"/>
      <c r="X324" s="406"/>
      <c r="Y324" s="406"/>
      <c r="Z324" s="404">
        <v>2</v>
      </c>
      <c r="AA324" s="398">
        <f>IF(Z324=0,0,IF(LEN(R324)=11,_xlfn.XLOOKUP(R324,'Dispensed Ink Rates'!C:C,'Dispensed Ink Rates'!CS:CS),VLOOKUP(R324,'Jan-2026 rates'!$E:$F,2,0)))</f>
        <v>0</v>
      </c>
      <c r="AB324" s="404"/>
      <c r="AC324" s="398">
        <f>IF(AB324=0,0,IF(LEN(S324)=11,_xlfn.XLOOKUP(S324,'Dispensed Ink Rates'!C:C,'Dispensed Ink Rates'!CS:CS),VLOOKUP(S324,'Jan-2026 rates'!$E:$F,2,0)))</f>
        <v>0</v>
      </c>
      <c r="AD324" s="404"/>
      <c r="AE324" s="398">
        <f>IF(AD324=0,0,IF(LEN(T324)=11,_xlfn.XLOOKUP(T324,'Dispensed Ink Rates'!C:C,'Dispensed Ink Rates'!CS:CS),VLOOKUP(T324,'Jan-2026 rates'!$E:$F,2,0)))</f>
        <v>0</v>
      </c>
      <c r="AF324" s="404"/>
      <c r="AG324" s="398">
        <f>IF(AF324=0,0,IF(LEN(U324)=11,_xlfn.XLOOKUP(U324,'Dispensed Ink Rates'!C:C,'Dispensed Ink Rates'!CS:CS),VLOOKUP(U324,'Jan-2026 rates'!$E:$F,2,0)))</f>
        <v>0</v>
      </c>
      <c r="AH324" s="404"/>
      <c r="AI324" s="398">
        <f>IF(AH324=0,0,IF(LEN(V324)=11,_xlfn.XLOOKUP(V324,'Dispensed Ink Rates'!C:C,'Dispensed Ink Rates'!CS:CS),VLOOKUP(V324,'Jan-2026 rates'!$E:$F,2,0)))</f>
        <v>0</v>
      </c>
      <c r="AJ324" s="404"/>
      <c r="AK324" s="398">
        <f>IF(AJ324=0,0,IF(LEN(W324)=11,_xlfn.XLOOKUP(W324,'Dispensed Ink Rates'!C:C,'Dispensed Ink Rates'!CS:CS),VLOOKUP(W324,'Jan-2026 rates'!$E:$F,2,0)))</f>
        <v>0</v>
      </c>
      <c r="AL324" s="404"/>
      <c r="AM324" s="398">
        <f>IF(AL324=0,0,IF(LEN(X324)=11,_xlfn.XLOOKUP(X324,'Dispensed Ink Rates'!C:C,'Dispensed Ink Rates'!CS:CS),VLOOKUP(X324,'Jan-2026 rates'!$E:$F,2,0)))</f>
        <v>0</v>
      </c>
      <c r="AN324" s="404"/>
      <c r="AO324" s="398">
        <f>IF(AN324=0,0,IF(LEN(Y324)=11,_xlfn.XLOOKUP(Y324,'Dispensed Ink Rates'!C:C,'Dispensed Ink Rates'!CS:CS),VLOOKUP(Y324,'Jan-2026 rates'!$E:$F,2,0)))</f>
        <v>0</v>
      </c>
      <c r="AP324" s="409" t="s">
        <v>1881</v>
      </c>
      <c r="AQ324" s="409">
        <v>28</v>
      </c>
      <c r="AR324" s="410">
        <f t="shared" si="212"/>
        <v>0</v>
      </c>
      <c r="AS324" s="411">
        <f t="shared" si="213"/>
        <v>9.759999999999998</v>
      </c>
      <c r="AT324" s="410">
        <f t="shared" si="214"/>
        <v>0</v>
      </c>
      <c r="AU324" s="405" t="s">
        <v>857</v>
      </c>
      <c r="AV324" s="409" t="s">
        <v>4555</v>
      </c>
      <c r="AW324" s="420" t="str">
        <f t="shared" si="236"/>
        <v>ToyoLi - RED</v>
      </c>
      <c r="AX324" s="409">
        <v>30</v>
      </c>
      <c r="AY324" s="411">
        <f>IF(AX324=0,0,IF($LB324=70%,VLOOKUP($AW324,'Jan-2026 rates'!$L:$R,4,0),IF($LB324=65%,VLOOKUP($AW324,'Jan-2026 rates'!$L:$R,4,0),IF($LB324=40%,VLOOKUP($AW324,'Jan-2026 rates'!$L:$R,5,0),IF($LB324=30%,VLOOKUP($AW324,'Jan-2026 rates'!$L:$R,6,0),IF($LB324=100%,VLOOKUP($AW324,'Jan-2026 rates'!$L:$R,7,0),IF($LB324=60%,VLOOKUP($AW324,'Jan-2026 rates'!$L:$S,8,0),IF($LB324=80%,VLOOKUP($AW324,'Jan-2026 rates'!L:T,9,0),0))))))))</f>
        <v>0</v>
      </c>
      <c r="AZ324" s="412"/>
      <c r="BA324" s="409"/>
      <c r="BB324" s="411">
        <f>IF(BA324=0,0,IF($LB324=70%,VLOOKUP($AW324,'Jan-2026 rates'!$L:$R,4,0),IF($LB324=65%,VLOOKUP($AW324,'Jan-2026 rates'!$L:$R,4,0),IF($LB324=40%,VLOOKUP($AW324,'Jan-2026 rates'!$L:$R,5,0),IF($LB324=30%,VLOOKUP($AW324,'Jan-2026 rates'!$L:$R,6,0),IF($LB324=100%,VLOOKUP($AW324,'Jan-2026 rates'!$L:$R,7,0),IF($LB324=60%,VLOOKUP($AW324,'Jan-2026 rates'!$L:$S,8,0),IF($LB324=80%,VLOOKUP($AW324,'Jan-2026 rates'!L:T,9,0),0))))))))</f>
        <v>0</v>
      </c>
      <c r="BC324" s="413" t="s">
        <v>1246</v>
      </c>
      <c r="BD324" s="412" t="s">
        <v>1248</v>
      </c>
      <c r="BE324" s="412"/>
      <c r="BF324" s="413"/>
      <c r="BG324" s="412"/>
      <c r="BH324" s="412"/>
      <c r="BI324" s="412"/>
      <c r="BJ324" s="412"/>
      <c r="BK324" s="409">
        <v>20</v>
      </c>
      <c r="BL324" s="398">
        <f>IF(BK324=0,0,IF(LEN(BC324)=11,_xlfn.XLOOKUP(BC324,'Dispensed Ink Rates'!C:C,'Dispensed Ink Rates'!CS:CS),VLOOKUP(BC324,'Jan-2026 rates'!$E:$F,2,0)))</f>
        <v>0</v>
      </c>
      <c r="BM324" s="409">
        <v>25</v>
      </c>
      <c r="BN324" s="398">
        <f>IF(BM324=0,0,IF(LEN(BD324)=11,_xlfn.XLOOKUP(BD324,'Dispensed Ink Rates'!C:C,'Dispensed Ink Rates'!CS:CS),VLOOKUP(BD324,'Jan-2026 rates'!$E:$F,2,0)))</f>
        <v>0</v>
      </c>
      <c r="BO324" s="409"/>
      <c r="BP324" s="398">
        <f>IF(BO324=0,0,IF(LEN(BE324)=11,_xlfn.XLOOKUP(BE324,'Dispensed Ink Rates'!C:C,'Dispensed Ink Rates'!CS:CS),VLOOKUP(BE324,'Jan-2026 rates'!$E:$F,2,0)))</f>
        <v>0</v>
      </c>
      <c r="BQ324" s="409"/>
      <c r="BR324" s="398">
        <f>IF(BQ324=0,0,IF(LEN(BF324)=11,_xlfn.XLOOKUP(BF324,'Dispensed Ink Rates'!C:C,'Dispensed Ink Rates'!CS:CS),VLOOKUP(BF324,'Jan-2026 rates'!$E:$F,2,0)))</f>
        <v>0</v>
      </c>
      <c r="BS324" s="409"/>
      <c r="BT324" s="398">
        <f>IF(BS324=0,0,IF(LEN(BG324)=11,_xlfn.XLOOKUP(BG324,'Dispensed Ink Rates'!C:C,'Dispensed Ink Rates'!CS:CS),VLOOKUP(BG324,'Jan-2026 rates'!$E:$F,2,0)))</f>
        <v>0</v>
      </c>
      <c r="BU324" s="409"/>
      <c r="BV324" s="398">
        <f>IF(BU324=0,0,IF(LEN(BH324)=11,_xlfn.XLOOKUP(BH324,'Dispensed Ink Rates'!C:C,'Dispensed Ink Rates'!CS:CS),VLOOKUP(BH324,'Jan-2026 rates'!$E:$F,2,0)))</f>
        <v>0</v>
      </c>
      <c r="BW324" s="409"/>
      <c r="BX324" s="398">
        <f>IF(BW324=0,0,IF(LEN(BI324)=11,_xlfn.XLOOKUP(BI324,'Dispensed Ink Rates'!C:C,'Dispensed Ink Rates'!CS:CS),VLOOKUP(BI324,'Jan-2026 rates'!$E:$F,2,0)))</f>
        <v>0</v>
      </c>
      <c r="BY324" s="409"/>
      <c r="BZ324" s="398">
        <f>IF(BY324=0,0,IF(LEN(BJ324)=11,_xlfn.XLOOKUP(BJ324,'Dispensed Ink Rates'!C:C,'Dispensed Ink Rates'!CS:CS),VLOOKUP(BJ324,'Jan-2026 rates'!$E:$F,2,0)))</f>
        <v>0</v>
      </c>
      <c r="CA324" s="409" t="s">
        <v>1881</v>
      </c>
      <c r="CB324" s="409">
        <v>28</v>
      </c>
      <c r="CC324" s="411">
        <f t="shared" si="215"/>
        <v>0</v>
      </c>
      <c r="CD324" s="411">
        <f t="shared" si="216"/>
        <v>70.28</v>
      </c>
      <c r="CE324" s="410">
        <f t="shared" si="217"/>
        <v>0</v>
      </c>
      <c r="CF324" s="404" t="s">
        <v>547</v>
      </c>
      <c r="CG324" s="409" t="s">
        <v>4556</v>
      </c>
      <c r="CH324" s="420" t="str">
        <f t="shared" si="185"/>
        <v>ToyoLi - GREEN</v>
      </c>
      <c r="CI324" s="409">
        <v>20</v>
      </c>
      <c r="CJ324" s="411">
        <f>IF(CI324=0,0,IF($LB324=70%,VLOOKUP($CH324,'Jan-2026 rates'!$L:$R,4,0),IF($LB324=65%,VLOOKUP($CH324,'Jan-2026 rates'!$L:$R,4,0),IF($LB324=40%,VLOOKUP($CH324,'Jan-2026 rates'!$L:$R,5,0),IF($LB324=30%,VLOOKUP($CH324,'Jan-2026 rates'!$L:$R,6,0),IF($LB324=100%,VLOOKUP($CH324,'Jan-2026 rates'!$L:$R,7,0),IF($LB324=60%,VLOOKUP($CH324,'Jan-2026 rates'!$L:$S,8,0),IF($LB324=80%,VLOOKUP($CH324,'Jan-2026 rates'!L:T,9,0),0))))))))</f>
        <v>0</v>
      </c>
      <c r="CK324" s="412"/>
      <c r="CL324" s="409"/>
      <c r="CM324" s="411">
        <f>IF(CL324=0,0,IF($LB324=70%,VLOOKUP($CH324,'Jan-2026 rates'!$L:$R,4,0),IF($LB324=65%,VLOOKUP($CH324,'Jan-2026 rates'!$L:$R,4,0),IF($LB324=40%,VLOOKUP($CH324,'Jan-2026 rates'!$L:$R,5,0),IF($LB324=30%,VLOOKUP($CH324,'Jan-2026 rates'!$L:$R,6,0),IF($LB324=100%,VLOOKUP($CH324,'Jan-2026 rates'!$L:$R,7,0),IF($LB324=60%,VLOOKUP($CH324,'Jan-2026 rates'!$L:$S,8,0),IF($LB324=80%,VLOOKUP($CH324,'Jan-2026 rates'!L:T,9,0),0))))))))</f>
        <v>0</v>
      </c>
      <c r="CN324" s="426" t="s">
        <v>1247</v>
      </c>
      <c r="CO324" s="427" t="s">
        <v>1250</v>
      </c>
      <c r="CP324" s="426"/>
      <c r="CQ324" s="426"/>
      <c r="CR324" s="428"/>
      <c r="CS324" s="428"/>
      <c r="CT324" s="428"/>
      <c r="CU324" s="428"/>
      <c r="CV324" s="409">
        <v>6</v>
      </c>
      <c r="CW324" s="398">
        <f>IF(CV324=0,0,IF(LEN(CN324)=11,_xlfn.XLOOKUP(CN324,'Dispensed Ink Rates'!C:C,'Dispensed Ink Rates'!CS:CS),VLOOKUP(CN324,'Jan-2026 rates'!$E:$F,2,0)))</f>
        <v>0</v>
      </c>
      <c r="CX324" s="409">
        <v>1</v>
      </c>
      <c r="CY324" s="398">
        <f>IF(CX324=0,0,IF(LEN(CO324)=11,_xlfn.XLOOKUP(CO324,'Dispensed Ink Rates'!C:C,'Dispensed Ink Rates'!CS:CS),VLOOKUP(CO324,'Jan-2026 rates'!$E:$F,2,0)))</f>
        <v>0</v>
      </c>
      <c r="CZ324" s="409"/>
      <c r="DA324" s="398">
        <f>IF(CZ324=0,0,IF(LEN(CP324)=11,_xlfn.XLOOKUP(CP324,'Dispensed Ink Rates'!C:C,'Dispensed Ink Rates'!CS:CS),VLOOKUP(CP324,'Jan-2026 rates'!$E:$F,2,0)))</f>
        <v>0</v>
      </c>
      <c r="DB324" s="409"/>
      <c r="DC324" s="398">
        <f>IF(DB324=0,0,IF(LEN(CQ324)=11,_xlfn.XLOOKUP(CQ324,'Dispensed Ink Rates'!C:C,'Dispensed Ink Rates'!CS:CS),VLOOKUP(CQ324,'Jan-2026 rates'!$E:$F,2,0)))</f>
        <v>0</v>
      </c>
      <c r="DD324" s="409"/>
      <c r="DE324" s="398">
        <f>IF(DD324=0,0,IF(LEN(CR324)=11,_xlfn.XLOOKUP(CR324,'Dispensed Ink Rates'!C:C,'Dispensed Ink Rates'!CS:CS),VLOOKUP(CR324,'Jan-2026 rates'!$E:$F,2,0)))</f>
        <v>0</v>
      </c>
      <c r="DF324" s="409"/>
      <c r="DG324" s="398">
        <f>IF(DF324=0,0,IF(LEN(CS324)=11,_xlfn.XLOOKUP(CS324,'Dispensed Ink Rates'!C:C,'Dispensed Ink Rates'!CS:CS),VLOOKUP(CS324,'Jan-2026 rates'!$E:$F,2,0)))</f>
        <v>0</v>
      </c>
      <c r="DH324" s="409"/>
      <c r="DI324" s="398">
        <f>IF(DH324=0,0,IF(LEN(CT324)=11,_xlfn.XLOOKUP(CT324,'Dispensed Ink Rates'!C:C,'Dispensed Ink Rates'!CS:CS),VLOOKUP(CT324,'Jan-2026 rates'!$E:$F,2,0)))</f>
        <v>0</v>
      </c>
      <c r="DJ324" s="409"/>
      <c r="DK324" s="398">
        <f>IF(DJ324=0,0,IF(LEN(CU324)=11,_xlfn.XLOOKUP(CU324,'Dispensed Ink Rates'!C:C,'Dispensed Ink Rates'!CS:CS),VLOOKUP(CU324,'Jan-2026 rates'!$E:$F,2,0)))</f>
        <v>0</v>
      </c>
      <c r="DL324" s="409" t="s">
        <v>1881</v>
      </c>
      <c r="DM324" s="409">
        <v>27</v>
      </c>
      <c r="DN324" s="411">
        <f t="shared" si="218"/>
        <v>0</v>
      </c>
      <c r="DO324" s="411">
        <f t="shared" si="219"/>
        <v>7.759999999999998</v>
      </c>
      <c r="DP324" s="410">
        <f t="shared" si="220"/>
        <v>0</v>
      </c>
      <c r="DQ324" s="405" t="s">
        <v>856</v>
      </c>
      <c r="DR324" s="409" t="s">
        <v>4557</v>
      </c>
      <c r="DS324" s="420" t="str">
        <f t="shared" si="186"/>
        <v>ToyoLi - WHITE</v>
      </c>
      <c r="DT324" s="409">
        <v>30</v>
      </c>
      <c r="DU324" s="411">
        <f>IF(DT324=0,0,IF($LB324=70%,VLOOKUP($DS324,'Jan-2026 rates'!$L:$R,4,0),IF($LB324=65%,VLOOKUP($DS324,'Jan-2026 rates'!$L:$R,4,0),IF($LB324=40%,VLOOKUP($DS324,'Jan-2026 rates'!$L:$R,5,0),IF($LB324=30%,VLOOKUP($DS324,'Jan-2026 rates'!$L:$R,6,0),IF($LB324=100%,VLOOKUP($DS324,'Jan-2026 rates'!$L:$R,7,0),IF($LB324=60%,VLOOKUP($DS324,'Jan-2026 rates'!$L:$S,8,0),IF($LB324=80%,VLOOKUP($DS324,'Jan-2026 rates'!L:T,9,0),0))))))))</f>
        <v>0</v>
      </c>
      <c r="DV324" s="412"/>
      <c r="DW324" s="409"/>
      <c r="DX324" s="411">
        <f>IF(DW324=0,0,IF($LB324=70%,VLOOKUP($DS324,'Jan-2026 rates'!$L:$R,4,0),IF($LB324=65%,VLOOKUP($DS324,'Jan-2026 rates'!$L:$R,4,0),IF($LB324=40%,VLOOKUP($DS324,'Jan-2026 rates'!$L:$R,5,0),IF($LB324=30%,VLOOKUP($DS324,'Jan-2026 rates'!$L:$R,6,0),IF($LB324=100%,VLOOKUP($DS324,'Jan-2026 rates'!$L:$R,7,0),IF($LB324=60%,VLOOKUP($DS324,'Jan-2026 rates'!$L:$S,8,0),IF($LB324=80%,VLOOKUP($DS324,'Jan-2026 rates'!L:T,9,0),0))))))))</f>
        <v>0</v>
      </c>
      <c r="DY324" s="413" t="s">
        <v>1249</v>
      </c>
      <c r="DZ324" s="413" t="s">
        <v>1122</v>
      </c>
      <c r="EA324" s="412"/>
      <c r="EB324" s="412"/>
      <c r="EC324" s="412"/>
      <c r="ED324" s="412"/>
      <c r="EE324" s="412"/>
      <c r="EF324" s="412"/>
      <c r="EG324" s="409">
        <v>30</v>
      </c>
      <c r="EH324" s="398">
        <f>IF(EG324=0,0,IF(LEN(DY324)=11,_xlfn.XLOOKUP(DY324,'Dispensed Ink Rates'!C:C,'Dispensed Ink Rates'!CS:CS),VLOOKUP(DY324,'Jan-2026 rates'!$E:$F,2,0)))</f>
        <v>0</v>
      </c>
      <c r="EI324" s="409">
        <v>4.1399999999999997</v>
      </c>
      <c r="EJ324" s="398">
        <f>IF(EI324=0,0,IF(LEN(DZ324)=11,_xlfn.XLOOKUP(DZ324,'Dispensed Ink Rates'!C:C,'Dispensed Ink Rates'!CS:CS),VLOOKUP(DZ324,'Jan-2026 rates'!$E:$F,2,0)))</f>
        <v>0</v>
      </c>
      <c r="EK324" s="409"/>
      <c r="EL324" s="398">
        <f>IF(EK324=0,0,IF(LEN(EA324)=11,_xlfn.XLOOKUP(EA324,'Dispensed Ink Rates'!C:C,'Dispensed Ink Rates'!CS:CS),VLOOKUP(EA324,'Jan-2026 rates'!$E:$F,2,0)))</f>
        <v>0</v>
      </c>
      <c r="EM324" s="409"/>
      <c r="EN324" s="398">
        <f>IF(EM324=0,0,IF(LEN(EB324)=11,_xlfn.XLOOKUP(EB324,'Dispensed Ink Rates'!C:C,'Dispensed Ink Rates'!CS:CS),VLOOKUP(EB324,'Jan-2026 rates'!$E:$F,2,0)))</f>
        <v>0</v>
      </c>
      <c r="EO324" s="409"/>
      <c r="EP324" s="398">
        <f>IF(EO324=0,0,IF(LEN(EC324)=11,_xlfn.XLOOKUP(EC324,'Dispensed Ink Rates'!C:C,'Dispensed Ink Rates'!CS:CS),VLOOKUP(EC324,'Jan-2026 rates'!$E:$F,2,0)))</f>
        <v>0</v>
      </c>
      <c r="EQ324" s="409"/>
      <c r="ER324" s="398">
        <f>IF(EQ324=0,0,IF(LEN(ED324)=11,_xlfn.XLOOKUP(ED324,'Dispensed Ink Rates'!C:C,'Dispensed Ink Rates'!CS:CS),VLOOKUP(ED324,'Jan-2026 rates'!$E:$F,2,0)))</f>
        <v>0</v>
      </c>
      <c r="ES324" s="409"/>
      <c r="ET324" s="398">
        <f>IF(ES324=0,0,IF(LEN(EE324)=11,_xlfn.XLOOKUP(EE324,'Dispensed Ink Rates'!C:C,'Dispensed Ink Rates'!CS:CS),VLOOKUP(EE324,'Jan-2026 rates'!$E:$F,2,0)))</f>
        <v>0</v>
      </c>
      <c r="EU324" s="409"/>
      <c r="EV324" s="398">
        <f>IF(EU324=0,0,IF(LEN(EF324)=11,_xlfn.XLOOKUP(EF324,'Dispensed Ink Rates'!C:C,'Dispensed Ink Rates'!CS:CS),VLOOKUP(EF324,'Jan-2026 rates'!$E:$F,2,0)))</f>
        <v>0</v>
      </c>
      <c r="EW324" s="409" t="s">
        <v>1881</v>
      </c>
      <c r="EX324" s="409">
        <v>30</v>
      </c>
      <c r="EY324" s="411">
        <f t="shared" si="221"/>
        <v>0</v>
      </c>
      <c r="EZ324" s="411">
        <f t="shared" si="222"/>
        <v>92.34</v>
      </c>
      <c r="FA324" s="410">
        <f t="shared" si="223"/>
        <v>0</v>
      </c>
      <c r="FB324" s="405"/>
      <c r="FC324" s="409"/>
      <c r="FD324" s="420" t="str">
        <f t="shared" si="187"/>
        <v xml:space="preserve"> - </v>
      </c>
      <c r="FE324" s="409"/>
      <c r="FF324" s="411">
        <f>IF(FE324=0,0,IF($LB324=70%,VLOOKUP($FD324,'Jan-2026 rates'!$L:$R,4,0),IF($LB324=65%,VLOOKUP($FD324,'Jan-2026 rates'!$L:$R,4,0),IF($LB324=40%,VLOOKUP($FD324,'Jan-2026 rates'!$L:$R,5,0),IF($LB324=30%,VLOOKUP($FD324,'Jan-2026 rates'!$L:$R,6,0),IF($LB324=100%,VLOOKUP($FD324,'Jan-2026 rates'!$L:$R,7,0),IF($LB324=60%,VLOOKUP($FD324,'Jan-2026 rates'!$L:$S,8,0),IF($LB324=80%,VLOOKUP($FD324,'Jan-2026 rates'!L:T,9,0),0))))))))</f>
        <v>0</v>
      </c>
      <c r="FG324" s="412"/>
      <c r="FH324" s="409"/>
      <c r="FI324" s="411">
        <f>IF(FH324=0,0,IF($LB324=70%,VLOOKUP($FD324,'Jan-2026 rates'!$L:$R,4,0),IF($LB324=65%,VLOOKUP($FD324,'Jan-2026 rates'!$L:$R,4,0),IF($LB324=40%,VLOOKUP($FD324,'Jan-2026 rates'!$L:$R,5,0),IF($LB324=30%,VLOOKUP($FD324,'Jan-2026 rates'!$L:$R,6,0),IF($LB324=100%,VLOOKUP($FD324,'Jan-2026 rates'!$L:$R,7,0),IF($LB324=60%,VLOOKUP($FD324,'Jan-2026 rates'!$L:$S,8,0),IF($LB324=80%,VLOOKUP($FD324,'Jan-2026 rates'!L:T,9,0),0))))))))</f>
        <v>0</v>
      </c>
      <c r="FJ324" s="413"/>
      <c r="FK324" s="413"/>
      <c r="FL324" s="413"/>
      <c r="FM324" s="412"/>
      <c r="FN324" s="412"/>
      <c r="FO324" s="412"/>
      <c r="FP324" s="412"/>
      <c r="FQ324" s="412"/>
      <c r="FR324" s="409"/>
      <c r="FS324" s="398">
        <f>IF(FR324=0,0,IF(LEN(FJ324)=11,_xlfn.XLOOKUP(FJ324,'Dispensed Ink Rates'!C:C,'Dispensed Ink Rates'!CS:CS),VLOOKUP(FJ324,'Jan-2026 rates'!$E:$F,2,0)))</f>
        <v>0</v>
      </c>
      <c r="FT324" s="409"/>
      <c r="FU324" s="398">
        <f>IF(FT324=0,0,IF(LEN(FK324)=11,_xlfn.XLOOKUP(FK324,'Dispensed Ink Rates'!C:C,'Dispensed Ink Rates'!CS:CS),VLOOKUP(FK324,'Jan-2026 rates'!$E:$F,2,0)))</f>
        <v>0</v>
      </c>
      <c r="FV324" s="409"/>
      <c r="FW324" s="398">
        <f>IF(FV324=0,0,IF(LEN(FL324)=11,_xlfn.XLOOKUP(FL324,'Dispensed Ink Rates'!C:C,'Dispensed Ink Rates'!CS:CS),VLOOKUP(FL324,'Jan-2026 rates'!$E:$F,2,0)))</f>
        <v>0</v>
      </c>
      <c r="FX324" s="409"/>
      <c r="FY324" s="398">
        <f>IF(FX324=0,0,IF(LEN(FM324)=11,_xlfn.XLOOKUP(FM324,'Dispensed Ink Rates'!C:C,'Dispensed Ink Rates'!CS:CS),VLOOKUP(FM324,'Jan-2026 rates'!$E:$F,2,0)))</f>
        <v>0</v>
      </c>
      <c r="FZ324" s="409"/>
      <c r="GA324" s="398">
        <f>IF(FZ324=0,0,IF(LEN(FN324)=11,_xlfn.XLOOKUP(FN324,'Dispensed Ink Rates'!C:C,'Dispensed Ink Rates'!CS:CS),VLOOKUP(FN324,'Jan-2026 rates'!$E:$F,2,0)))</f>
        <v>0</v>
      </c>
      <c r="GB324" s="409"/>
      <c r="GC324" s="398">
        <f>IF(GB324=0,0,IF(LEN(FO324)=11,_xlfn.XLOOKUP(FO324,'Dispensed Ink Rates'!C:C,'Dispensed Ink Rates'!CS:CS),VLOOKUP(FO324,'Jan-2026 rates'!$E:$F,2,0)))</f>
        <v>0</v>
      </c>
      <c r="GD324" s="409"/>
      <c r="GE324" s="398">
        <f>IF(GD324=0,0,IF(LEN(FP324)=11,_xlfn.XLOOKUP(FP324,'Dispensed Ink Rates'!C:C,'Dispensed Ink Rates'!CS:CS),VLOOKUP(FP324,'Jan-2026 rates'!$E:$F,2,0)))</f>
        <v>0</v>
      </c>
      <c r="GF324" s="409"/>
      <c r="GG324" s="398">
        <f>IF(GF324=0,0,IF(LEN(FQ324)=11,_xlfn.XLOOKUP(FQ324,'Dispensed Ink Rates'!C:C,'Dispensed Ink Rates'!CS:CS),VLOOKUP(FQ324,'Jan-2026 rates'!$E:$F,2,0)))</f>
        <v>0</v>
      </c>
      <c r="GH324" s="409"/>
      <c r="GI324" s="409"/>
      <c r="GJ324" s="411">
        <f t="shared" si="224"/>
        <v>0</v>
      </c>
      <c r="GK324" s="411">
        <f t="shared" si="225"/>
        <v>0</v>
      </c>
      <c r="GL324" s="410">
        <f t="shared" si="226"/>
        <v>0</v>
      </c>
      <c r="GM324" s="405"/>
      <c r="GN324" s="409"/>
      <c r="GO324" s="420" t="str">
        <f t="shared" si="188"/>
        <v xml:space="preserve"> - </v>
      </c>
      <c r="GP324" s="409"/>
      <c r="GQ324" s="411">
        <f>IF(GP324=0,0,IF($LB324=70%,VLOOKUP($GO324,'Jan-2026 rates'!$L:$R,4,0),IF($LB324=65%,VLOOKUP($GO324,'Jan-2026 rates'!$L:$R,4,0),IF($LB324=40%,VLOOKUP($GO324,'Jan-2026 rates'!$L:$R,5,0),IF($LB324=30%,VLOOKUP($GO324,'Jan-2026 rates'!$L:$R,6,0),IF($LB324=100%,VLOOKUP($GO324,'Jan-2026 rates'!$L:$R,7,0),IF($LB324=60%,VLOOKUP($GO324,'Jan-2026 rates'!$L:$S,8,0),IF($LB324=80%,VLOOKUP($GO324,'Jan-2026 rates'!L:T,9,0),0))))))))</f>
        <v>0</v>
      </c>
      <c r="GR324" s="412"/>
      <c r="GS324" s="409"/>
      <c r="GT324" s="411">
        <f>IF(GS324=0,0,IF($LB324=70%,VLOOKUP($GO324,'Jan-2026 rates'!$L:$R,4,0),IF($LB324=65%,VLOOKUP($GO324,'Jan-2026 rates'!$L:$R,4,0),IF($LB324=40%,VLOOKUP($GO324,'Jan-2026 rates'!$L:$R,5,0),IF($LB324=30%,VLOOKUP($GO324,'Jan-2026 rates'!$L:$R,6,0),IF($LB324=100%,VLOOKUP($GO324,'Jan-2026 rates'!$L:$R,7,0),IF($LB324=60%,VLOOKUP($GO324,'Jan-2026 rates'!$L:$S,8,0),IF($LB324=80%,VLOOKUP($GO324,'Jan-2026 rates'!L:T,9,0),0))))))))</f>
        <v>0</v>
      </c>
      <c r="GU324" s="413"/>
      <c r="GV324" s="413"/>
      <c r="GW324" s="412"/>
      <c r="GX324" s="412"/>
      <c r="GY324" s="412"/>
      <c r="GZ324" s="412"/>
      <c r="HA324" s="412"/>
      <c r="HB324" s="412"/>
      <c r="HC324" s="409"/>
      <c r="HD324" s="398">
        <f>IF(HC324=0,0,IF(LEN(GU324)=11,_xlfn.XLOOKUP(GU324,'Dispensed Ink Rates'!C:C,'Dispensed Ink Rates'!CS:CS),VLOOKUP(GU324,'Jan-2026 rates'!$E:$F,2,0)))</f>
        <v>0</v>
      </c>
      <c r="HE324" s="409"/>
      <c r="HF324" s="398">
        <f>IF(HE324=0,0,IF(LEN(GV324)=11,_xlfn.XLOOKUP(GV324,'Dispensed Ink Rates'!C:C,'Dispensed Ink Rates'!CS:CS),VLOOKUP(GV324,'Jan-2026 rates'!$E:$F,2,0)))</f>
        <v>0</v>
      </c>
      <c r="HG324" s="409"/>
      <c r="HH324" s="398">
        <f>IF(HG324=0,0,IF(LEN(GW324)=11,_xlfn.XLOOKUP(GW324,'Dispensed Ink Rates'!C:C,'Dispensed Ink Rates'!CS:CS),VLOOKUP(GW324,'Jan-2026 rates'!$E:$F,2,0)))</f>
        <v>0</v>
      </c>
      <c r="HI324" s="409"/>
      <c r="HJ324" s="398">
        <f>IF(HI324=0,0,IF(LEN(GX324)=11,_xlfn.XLOOKUP(GX324,'Dispensed Ink Rates'!C:C,'Dispensed Ink Rates'!CS:CS),VLOOKUP(GX324,'Jan-2026 rates'!$E:$F,2,0)))</f>
        <v>0</v>
      </c>
      <c r="HK324" s="409"/>
      <c r="HL324" s="398">
        <f>IF(HK324=0,0,IF(LEN(GY324)=11,_xlfn.XLOOKUP(GY324,'Dispensed Ink Rates'!C:C,'Dispensed Ink Rates'!CS:CS),VLOOKUP(GY324,'Jan-2026 rates'!$E:$F,2,0)))</f>
        <v>0</v>
      </c>
      <c r="HM324" s="409"/>
      <c r="HN324" s="398">
        <f>IF(HM324=0,0,IF(LEN(GZ324)=11,_xlfn.XLOOKUP(GZ324,'Dispensed Ink Rates'!C:C,'Dispensed Ink Rates'!CS:CS),VLOOKUP(GZ324,'Jan-2026 rates'!$E:$F,2,0)))</f>
        <v>0</v>
      </c>
      <c r="HO324" s="409"/>
      <c r="HP324" s="398">
        <f>IF(HO324=0,0,IF(LEN(HA324)=11,_xlfn.XLOOKUP(HA324,'Dispensed Ink Rates'!C:C,'Dispensed Ink Rates'!CS:CS),VLOOKUP(HA324,'Jan-2026 rates'!$E:$F,2,0)))</f>
        <v>0</v>
      </c>
      <c r="HQ324" s="409"/>
      <c r="HR324" s="398">
        <f>IF(HQ324=0,0,IF(LEN(HB324)=11,_xlfn.XLOOKUP(HB324,'Dispensed Ink Rates'!C:C,'Dispensed Ink Rates'!CS:CS),VLOOKUP(HB324,'Jan-2026 rates'!$E:$F,2,0)))</f>
        <v>0</v>
      </c>
      <c r="HS324" s="409"/>
      <c r="HT324" s="409"/>
      <c r="HU324" s="411">
        <f t="shared" si="227"/>
        <v>0</v>
      </c>
      <c r="HV324" s="411">
        <f t="shared" si="228"/>
        <v>0</v>
      </c>
      <c r="HW324" s="414">
        <f t="shared" si="229"/>
        <v>0</v>
      </c>
      <c r="HX324" s="405"/>
      <c r="HY324" s="409"/>
      <c r="HZ324" s="420" t="str">
        <f t="shared" si="189"/>
        <v xml:space="preserve"> - </v>
      </c>
      <c r="IA324" s="409"/>
      <c r="IB324" s="411">
        <f>IF(IA324=0,0,IF($LB324=70%,VLOOKUP($HZ324,'Jan-2026 rates'!$L:$R,4,0),IF($LB324=65%,VLOOKUP($HZ324,'Jan-2026 rates'!$L:$R,4,0),IF($LB324=40%,VLOOKUP($HZ324,'Jan-2026 rates'!$L:$R,5,0),IF($LB324=30%,VLOOKUP($HZ324,'Jan-2026 rates'!$L:$R,6,0),IF($LB324=100%,VLOOKUP($HZ324,'Jan-2026 rates'!$L:$R,7,0),IF($LB324=60%,VLOOKUP($HZ324,'Jan-2026 rates'!$L:$S,8,0),IF($LB324=80%,VLOOKUP($HZ324,'Jan-2026 rates'!L:T,9,0),0))))))))</f>
        <v>0</v>
      </c>
      <c r="IC324" s="412"/>
      <c r="ID324" s="409"/>
      <c r="IE324" s="411">
        <f>IF(ID324=0,0,IF($LB324=70%,VLOOKUP($HZ324,'Jan-2026 rates'!$L:$R,4,0),IF($LB324=65%,VLOOKUP($HZ324,'Jan-2026 rates'!$L:$R,4,0),IF($LB324=40%,VLOOKUP($HZ324,'Jan-2026 rates'!$L:$R,5,0),IF($LB324=30%,VLOOKUP($HZ324,'Jan-2026 rates'!$L:$R,6,0),IF($LB324=100%,VLOOKUP($HZ324,'Jan-2026 rates'!$L:$R,7,0),IF($LB324=60%,VLOOKUP($HZ324,'Jan-2026 rates'!$L:$S,8,0),IF($LB324=80%,VLOOKUP($HZ324,'Jan-2026 rates'!L:T,9,0),0))))))))</f>
        <v>0</v>
      </c>
      <c r="IF324" s="412"/>
      <c r="IG324" s="413"/>
      <c r="IH324" s="412"/>
      <c r="II324" s="412"/>
      <c r="IJ324" s="412"/>
      <c r="IK324" s="412"/>
      <c r="IL324" s="412"/>
      <c r="IM324" s="412"/>
      <c r="IN324" s="409"/>
      <c r="IO324" s="398">
        <f>IF(IN324=0,0,IF(LEN(IF324)=11,_xlfn.XLOOKUP(IF324,'Dispensed Ink Rates'!C:C,'Dispensed Ink Rates'!CS:CS),VLOOKUP(IF324,'Jan-2026 rates'!$E:$F,2,0)))</f>
        <v>0</v>
      </c>
      <c r="IP324" s="409"/>
      <c r="IQ324" s="398">
        <f>IF(IP324=0,0,IF(LEN(IG324)=11,_xlfn.XLOOKUP(IG324,'Dispensed Ink Rates'!C:C,'Dispensed Ink Rates'!CS:CS),VLOOKUP(IG324,'Jan-2026 rates'!$E:$F,2,0)))</f>
        <v>0</v>
      </c>
      <c r="IR324" s="409"/>
      <c r="IS324" s="398">
        <f>IF(IR324=0,0,IF(LEN(IH324)=11,_xlfn.XLOOKUP(IH324,'Dispensed Ink Rates'!C:C,'Dispensed Ink Rates'!CS:CS),VLOOKUP(IH324,'Jan-2026 rates'!$E:$F,2,0)))</f>
        <v>0</v>
      </c>
      <c r="IT324" s="409"/>
      <c r="IU324" s="398">
        <f>IF(IT324=0,0,IF(LEN(II324)=11,_xlfn.XLOOKUP(II324,'Dispensed Ink Rates'!C:C,'Dispensed Ink Rates'!CS:CS),VLOOKUP(II324,'Jan-2026 rates'!$E:$F,2,0)))</f>
        <v>0</v>
      </c>
      <c r="IV324" s="409"/>
      <c r="IW324" s="398">
        <f>IF(IV324=0,0,IF(LEN(IJ324)=11,_xlfn.XLOOKUP(IJ324,'Dispensed Ink Rates'!C:C,'Dispensed Ink Rates'!CS:CS),VLOOKUP(IJ324,'Jan-2026 rates'!$E:$F,2,0)))</f>
        <v>0</v>
      </c>
      <c r="IX324" s="409"/>
      <c r="IY324" s="398">
        <f>IF(IX324=0,0,IF(LEN(IK324)=11,_xlfn.XLOOKUP(IK324,'Dispensed Ink Rates'!C:C,'Dispensed Ink Rates'!CS:CS),VLOOKUP(IK324,'Jan-2026 rates'!$E:$F,2,0)))</f>
        <v>0</v>
      </c>
      <c r="IZ324" s="409"/>
      <c r="JA324" s="398">
        <f>IF(IZ324=0,0,IF(LEN(IL324)=11,_xlfn.XLOOKUP(IL324,'Dispensed Ink Rates'!C:C,'Dispensed Ink Rates'!CS:CS),VLOOKUP(IL324,'Jan-2026 rates'!$E:$F,2,0)))</f>
        <v>0</v>
      </c>
      <c r="JB324" s="409"/>
      <c r="JC324" s="398">
        <f>IF(JB324=0,0,IF(LEN(IM324)=11,_xlfn.XLOOKUP(IM324,'Dispensed Ink Rates'!C:C,'Dispensed Ink Rates'!CS:CS),VLOOKUP(IM324,'Jan-2026 rates'!$E:$F,2,0)))</f>
        <v>0</v>
      </c>
      <c r="JD324" s="409"/>
      <c r="JE324" s="409"/>
      <c r="JF324" s="411">
        <f t="shared" si="230"/>
        <v>0</v>
      </c>
      <c r="JG324" s="411">
        <f t="shared" si="231"/>
        <v>0</v>
      </c>
      <c r="JH324" s="410">
        <f t="shared" si="232"/>
        <v>0</v>
      </c>
      <c r="JI324" s="405"/>
      <c r="JJ324" s="409"/>
      <c r="JK324" s="420" t="str">
        <f t="shared" si="190"/>
        <v xml:space="preserve"> - </v>
      </c>
      <c r="JL324" s="409"/>
      <c r="JM324" s="411">
        <f>IF(JL324=0,0,IF($LB324=70%,VLOOKUP($JK324,'Jan-2026 rates'!$L:$R,4,0),IF($LB324=65%,VLOOKUP($JK324,'Jan-2026 rates'!$L:$R,4,0),IF($LB324=40%,VLOOKUP($JK324,'Jan-2026 rates'!$L:$R,5,0),IF($LB324=30%,VLOOKUP($JK324,'Jan-2026 rates'!$L:$R,6,0),IF($LB324=100%,VLOOKUP($JK324,'Jan-2026 rates'!$L:$R,7,0),IF($LB324=60%,VLOOKUP($JK324,'Jan-2026 rates'!$L:$S,8,0),IF($LB324=80%,VLOOKUP($JK324,'Jan-2026 rates'!L:T,9,0),0))))))))</f>
        <v>0</v>
      </c>
      <c r="JN324" s="412"/>
      <c r="JO324" s="409"/>
      <c r="JP324" s="411">
        <f>IF(JO324=0,0,IF($LB324=70%,VLOOKUP($JK324,'Jan-2026 rates'!$L:$R,4,0),IF($LB324=65%,VLOOKUP($JK324,'Jan-2026 rates'!$L:$R,4,0),IF($LB324=40%,VLOOKUP($JK324,'Jan-2026 rates'!$L:$R,5,0),IF($LB324=30%,VLOOKUP($JK324,'Jan-2026 rates'!$L:$R,6,0),IF($LB324=100%,VLOOKUP($JK324,'Jan-2026 rates'!$L:$R,7,0),IF($LB324=60%,VLOOKUP($JK324,'Jan-2026 rates'!$L:$S,8,0),IF($LB324=80%,VLOOKUP($JK324,'Jan-2026 rates'!L:T,9,0),0))))))))</f>
        <v>0</v>
      </c>
      <c r="JQ324" s="413"/>
      <c r="JR324" s="412"/>
      <c r="JS324" s="413"/>
      <c r="JT324" s="413"/>
      <c r="JU324" s="412"/>
      <c r="JV324" s="412"/>
      <c r="JW324" s="412"/>
      <c r="JX324" s="412"/>
      <c r="JY324" s="409"/>
      <c r="JZ324" s="398">
        <f>IF(JY324=0,0,IF(LEN(JQ324)=11,_xlfn.XLOOKUP(JQ324,'Dispensed Ink Rates'!C:C,'Dispensed Ink Rates'!CS:CS),VLOOKUP(JQ324,'Jan-2026 rates'!$E:$F,2,0)))</f>
        <v>0</v>
      </c>
      <c r="KA324" s="409"/>
      <c r="KB324" s="398">
        <f>IF(KA324=0,0,IF(LEN(JR324)=11,_xlfn.XLOOKUP(JR324,'Dispensed Ink Rates'!C:C,'Dispensed Ink Rates'!CS:CS),VLOOKUP(JR324,'Jan-2026 rates'!$E:$F,2,0)))</f>
        <v>0</v>
      </c>
      <c r="KC324" s="409"/>
      <c r="KD324" s="398">
        <f>IF(KC324=0,0,IF(LEN(JS324)=11,_xlfn.XLOOKUP(JS324,'Dispensed Ink Rates'!C:C,'Dispensed Ink Rates'!CS:CS),VLOOKUP(JS324,'Jan-2026 rates'!$E:$F,2,0)))</f>
        <v>0</v>
      </c>
      <c r="KE324" s="409"/>
      <c r="KF324" s="398">
        <f>IF(KE324=0,0,IF(LEN(JT324)=11,_xlfn.XLOOKUP(JT324,'Dispensed Ink Rates'!C:C,'Dispensed Ink Rates'!CS:CS),VLOOKUP(JT324,'Jan-2026 rates'!$E:$F,2,0)))</f>
        <v>0</v>
      </c>
      <c r="KG324" s="409"/>
      <c r="KH324" s="398">
        <f>IF(KG324=0,0,IF(LEN(JU324)=11,_xlfn.XLOOKUP(JU324,'Dispensed Ink Rates'!C:C,'Dispensed Ink Rates'!CS:CS),VLOOKUP(JU324,'Jan-2026 rates'!$E:$F,2,0)))</f>
        <v>0</v>
      </c>
      <c r="KI324" s="409"/>
      <c r="KJ324" s="398">
        <f>IF(KI324=0,0,IF(LEN(JV324)=11,_xlfn.XLOOKUP(JV324,'Dispensed Ink Rates'!C:C,'Dispensed Ink Rates'!CS:CS),VLOOKUP(JV324,'Jan-2026 rates'!$E:$F,2,0)))</f>
        <v>0</v>
      </c>
      <c r="KK324" s="409"/>
      <c r="KL324" s="398">
        <f>IF(KK324=0,0,IF(LEN(JW324)=11,_xlfn.XLOOKUP(JW324,'Dispensed Ink Rates'!C:C,'Dispensed Ink Rates'!CS:CS),VLOOKUP(JW324,'Jan-2026 rates'!$E:$F,2,0)))</f>
        <v>0</v>
      </c>
      <c r="KM324" s="428"/>
      <c r="KN324" s="398">
        <f>IF(KM324=0,0,IF(LEN(JX324)=11,_xlfn.XLOOKUP(JX324,'Dispensed Ink Rates'!C:C,'Dispensed Ink Rates'!CS:CS),VLOOKUP(JX324,'Jan-2026 rates'!$E:$F,2,0)))</f>
        <v>0</v>
      </c>
      <c r="KO324" s="409"/>
      <c r="KP324" s="409"/>
      <c r="KQ324" s="411">
        <f t="shared" si="233"/>
        <v>0</v>
      </c>
      <c r="KR324" s="411">
        <f t="shared" si="234"/>
        <v>0</v>
      </c>
      <c r="KS324" s="410">
        <f t="shared" si="235"/>
        <v>0</v>
      </c>
      <c r="KT324" s="409">
        <v>2</v>
      </c>
      <c r="KU324" s="409">
        <v>6</v>
      </c>
      <c r="KV324" s="409">
        <v>2</v>
      </c>
      <c r="KW324" s="409">
        <v>15</v>
      </c>
      <c r="KX324" s="409">
        <v>0</v>
      </c>
      <c r="KY324" s="409">
        <v>0</v>
      </c>
      <c r="KZ324" s="409">
        <v>0</v>
      </c>
      <c r="LA324" s="409">
        <v>0</v>
      </c>
      <c r="LB324" s="415">
        <v>0.3</v>
      </c>
      <c r="LC324" s="415"/>
      <c r="LD324" s="424"/>
      <c r="LE324" s="415">
        <v>0.5</v>
      </c>
      <c r="LF324" s="415">
        <v>0.2</v>
      </c>
      <c r="LG324" s="409">
        <v>0</v>
      </c>
      <c r="LH324" s="409">
        <f>25+22+15+25+10</f>
        <v>97</v>
      </c>
      <c r="LI324" s="409">
        <v>0</v>
      </c>
      <c r="LJ324" s="409">
        <v>0</v>
      </c>
      <c r="LK324" s="416">
        <f t="shared" si="191"/>
        <v>97</v>
      </c>
      <c r="LL324" s="416">
        <f t="shared" si="237"/>
        <v>97</v>
      </c>
      <c r="LM324" s="417">
        <f t="shared" si="193"/>
        <v>29.099999999999998</v>
      </c>
      <c r="LN324" s="417">
        <f>VLOOKUP($LM$8,'Jan-2026 rates'!$H:$I,2,0)</f>
        <v>0</v>
      </c>
      <c r="LO324" s="417">
        <f t="shared" si="194"/>
        <v>0</v>
      </c>
      <c r="LP324" s="417">
        <f>VLOOKUP($LO$8,'Jan-2026 rates'!$H:$I,2,0)</f>
        <v>0</v>
      </c>
      <c r="LQ324" s="417">
        <f t="shared" si="195"/>
        <v>0</v>
      </c>
      <c r="LR324" s="417">
        <f>VLOOKUP($LQ$8,'Jan-2026 rates'!$H:$I,2,0)</f>
        <v>0</v>
      </c>
      <c r="LS324" s="417">
        <f t="shared" si="196"/>
        <v>48.5</v>
      </c>
      <c r="LT324" s="417">
        <f>VLOOKUP($LS$8,'Jan-2026 rates'!$H:$I,2,0)</f>
        <v>0</v>
      </c>
      <c r="LU324" s="417">
        <f t="shared" si="197"/>
        <v>19.400000000000002</v>
      </c>
      <c r="LV324" s="417">
        <f>VLOOKUP($LU$8,'Jan-2026 rates'!$H:$I,2,0)</f>
        <v>0</v>
      </c>
      <c r="LW324" s="417">
        <f t="shared" si="198"/>
        <v>0</v>
      </c>
      <c r="LX324" s="417">
        <f t="shared" si="199"/>
        <v>0</v>
      </c>
      <c r="LY324" s="418">
        <f t="shared" si="200"/>
        <v>0</v>
      </c>
      <c r="LZ324" s="417"/>
      <c r="MA324" s="435">
        <f t="shared" si="201"/>
        <v>88.14</v>
      </c>
      <c r="MB324" s="282">
        <f t="shared" si="202"/>
        <v>180.14</v>
      </c>
      <c r="MC324" s="283" t="s">
        <v>2063</v>
      </c>
      <c r="MD324" s="284" t="str">
        <f t="shared" si="203"/>
        <v>ToyoLiToyoLiToyoLiToyoLi</v>
      </c>
      <c r="ME324" s="293" t="str">
        <f t="shared" si="204"/>
        <v>+</v>
      </c>
      <c r="MF324" s="293" t="str">
        <f t="shared" si="205"/>
        <v>+</v>
      </c>
      <c r="MG324" s="293" t="str">
        <f t="shared" si="206"/>
        <v>+</v>
      </c>
      <c r="MH324" s="293" t="str">
        <f t="shared" si="207"/>
        <v>+</v>
      </c>
      <c r="MI324" s="293" t="str">
        <f t="shared" si="208"/>
        <v>NIL</v>
      </c>
      <c r="MJ324" s="293" t="str">
        <f t="shared" si="209"/>
        <v>NIL</v>
      </c>
      <c r="MK324" s="293" t="str">
        <f t="shared" si="210"/>
        <v>NIL</v>
      </c>
      <c r="ML324" s="293" t="str">
        <f t="shared" si="211"/>
        <v>NIL</v>
      </c>
      <c r="MM324" s="3" t="b">
        <f t="array" ref="MM324">OR(ME324:ML324="-")</f>
        <v>0</v>
      </c>
      <c r="MO324" s="401">
        <f t="shared" si="238"/>
        <v>64.798561151079141</v>
      </c>
      <c r="MP324" s="286"/>
      <c r="MR324" s="402">
        <f t="shared" si="239"/>
        <v>1.0293714285714285E-2</v>
      </c>
      <c r="MS324" s="400">
        <f t="shared" si="240"/>
        <v>0</v>
      </c>
      <c r="MT324" s="285"/>
      <c r="NH324" s="361"/>
      <c r="NJ324" s="282"/>
    </row>
    <row r="325" spans="1:374" ht="16.5">
      <c r="A325" s="403">
        <v>46046</v>
      </c>
      <c r="B325" s="404" t="s">
        <v>1015</v>
      </c>
      <c r="C325" s="405" t="s">
        <v>4558</v>
      </c>
      <c r="D325" s="404" t="s">
        <v>2064</v>
      </c>
      <c r="E325" s="404">
        <v>237</v>
      </c>
      <c r="F325" s="407">
        <v>15100</v>
      </c>
      <c r="G325" s="407" t="s">
        <v>1016</v>
      </c>
      <c r="H325" s="408" t="s">
        <v>1017</v>
      </c>
      <c r="I325" s="409">
        <v>2</v>
      </c>
      <c r="J325" s="405" t="s">
        <v>543</v>
      </c>
      <c r="K325" s="404" t="s">
        <v>4559</v>
      </c>
      <c r="L325" s="419" t="str">
        <f t="shared" si="184"/>
        <v>ToyoLi - BLACK</v>
      </c>
      <c r="M325" s="404">
        <v>28</v>
      </c>
      <c r="N325" s="410">
        <f>IF(M325=0,0,IF($LB325=70%,VLOOKUP($L325,'Jan-2026 rates'!$L:$R,4,0),IF($LB325=65%,VLOOKUP($L325,'Jan-2026 rates'!$L:$R,4,0),IF($LB325=40%,VLOOKUP($L325,'Jan-2026 rates'!$L:$R,5,0),IF($LB325=30%,VLOOKUP($L325,'Jan-2026 rates'!$L:$R,6,0),IF($LB325=100%,VLOOKUP($L325,'Jan-2026 rates'!$L:$R,7,0),IF($LB325=60%,VLOOKUP($L325,'Jan-2026 rates'!$L:$S,8,0),IF($LB325=80%,VLOOKUP($L325,'Jan-2026 rates'!L:T,9,0),0))))))))</f>
        <v>0</v>
      </c>
      <c r="O325" s="406"/>
      <c r="P325" s="404"/>
      <c r="Q325" s="410">
        <f>IF(P325=0,0,IF($LB325=70%,VLOOKUP($L325,'Jan-2026 rates'!$L:$R,4,0),IF($LB325=65%,VLOOKUP($L325,'Jan-2026 rates'!$L:$R,4,0),IF($LB325=40%,VLOOKUP($L325,'Jan-2026 rates'!$L:$R,5,0),IF($LB325=30%,VLOOKUP($L325,'Jan-2026 rates'!$L:$R,6,0),IF($LB325=100%,VLOOKUP($L325,'Jan-2026 rates'!$L:$R,7,0),IF($LB325=60%,VLOOKUP($L325,'Jan-2026 rates'!$L:$S,8,0),IF($LB325=80%,VLOOKUP($L325,'Jan-2026 rates'!L:T,9,0),0))))))))</f>
        <v>0</v>
      </c>
      <c r="R325" s="406" t="s">
        <v>1252</v>
      </c>
      <c r="S325" s="406"/>
      <c r="T325" s="406"/>
      <c r="U325" s="406"/>
      <c r="V325" s="406"/>
      <c r="W325" s="406"/>
      <c r="X325" s="406"/>
      <c r="Y325" s="406"/>
      <c r="Z325" s="404">
        <v>2</v>
      </c>
      <c r="AA325" s="398">
        <f>IF(Z325=0,0,IF(LEN(R325)=11,_xlfn.XLOOKUP(R325,'Dispensed Ink Rates'!C:C,'Dispensed Ink Rates'!CS:CS),VLOOKUP(R325,'Jan-2026 rates'!$E:$F,2,0)))</f>
        <v>0</v>
      </c>
      <c r="AB325" s="404"/>
      <c r="AC325" s="398">
        <f>IF(AB325=0,0,IF(LEN(S325)=11,_xlfn.XLOOKUP(S325,'Dispensed Ink Rates'!C:C,'Dispensed Ink Rates'!CS:CS),VLOOKUP(S325,'Jan-2026 rates'!$E:$F,2,0)))</f>
        <v>0</v>
      </c>
      <c r="AD325" s="404"/>
      <c r="AE325" s="398">
        <f>IF(AD325=0,0,IF(LEN(T325)=11,_xlfn.XLOOKUP(T325,'Dispensed Ink Rates'!C:C,'Dispensed Ink Rates'!CS:CS),VLOOKUP(T325,'Jan-2026 rates'!$E:$F,2,0)))</f>
        <v>0</v>
      </c>
      <c r="AF325" s="404"/>
      <c r="AG325" s="398">
        <f>IF(AF325=0,0,IF(LEN(U325)=11,_xlfn.XLOOKUP(U325,'Dispensed Ink Rates'!C:C,'Dispensed Ink Rates'!CS:CS),VLOOKUP(U325,'Jan-2026 rates'!$E:$F,2,0)))</f>
        <v>0</v>
      </c>
      <c r="AH325" s="404"/>
      <c r="AI325" s="398">
        <f>IF(AH325=0,0,IF(LEN(V325)=11,_xlfn.XLOOKUP(V325,'Dispensed Ink Rates'!C:C,'Dispensed Ink Rates'!CS:CS),VLOOKUP(V325,'Jan-2026 rates'!$E:$F,2,0)))</f>
        <v>0</v>
      </c>
      <c r="AJ325" s="404"/>
      <c r="AK325" s="398">
        <f>IF(AJ325=0,0,IF(LEN(W325)=11,_xlfn.XLOOKUP(W325,'Dispensed Ink Rates'!C:C,'Dispensed Ink Rates'!CS:CS),VLOOKUP(W325,'Jan-2026 rates'!$E:$F,2,0)))</f>
        <v>0</v>
      </c>
      <c r="AL325" s="404"/>
      <c r="AM325" s="398">
        <f>IF(AL325=0,0,IF(LEN(X325)=11,_xlfn.XLOOKUP(X325,'Dispensed Ink Rates'!C:C,'Dispensed Ink Rates'!CS:CS),VLOOKUP(X325,'Jan-2026 rates'!$E:$F,2,0)))</f>
        <v>0</v>
      </c>
      <c r="AN325" s="404"/>
      <c r="AO325" s="398">
        <f>IF(AN325=0,0,IF(LEN(Y325)=11,_xlfn.XLOOKUP(Y325,'Dispensed Ink Rates'!C:C,'Dispensed Ink Rates'!CS:CS),VLOOKUP(Y325,'Jan-2026 rates'!$E:$F,2,0)))</f>
        <v>0</v>
      </c>
      <c r="AP325" s="409" t="s">
        <v>1881</v>
      </c>
      <c r="AQ325" s="409">
        <v>28</v>
      </c>
      <c r="AR325" s="410">
        <f t="shared" si="212"/>
        <v>0</v>
      </c>
      <c r="AS325" s="411">
        <f t="shared" si="213"/>
        <v>9.5454545454545467</v>
      </c>
      <c r="AT325" s="410">
        <f t="shared" si="214"/>
        <v>0</v>
      </c>
      <c r="AU325" s="405" t="s">
        <v>857</v>
      </c>
      <c r="AV325" s="409" t="s">
        <v>4560</v>
      </c>
      <c r="AW325" s="420" t="str">
        <f t="shared" si="236"/>
        <v>ToyoLi - RED</v>
      </c>
      <c r="AX325" s="409">
        <v>28</v>
      </c>
      <c r="AY325" s="411">
        <f>IF(AX325=0,0,IF($LB325=70%,VLOOKUP($AW325,'Jan-2026 rates'!$L:$R,4,0),IF($LB325=65%,VLOOKUP($AW325,'Jan-2026 rates'!$L:$R,4,0),IF($LB325=40%,VLOOKUP($AW325,'Jan-2026 rates'!$L:$R,5,0),IF($LB325=30%,VLOOKUP($AW325,'Jan-2026 rates'!$L:$R,6,0),IF($LB325=100%,VLOOKUP($AW325,'Jan-2026 rates'!$L:$R,7,0),IF($LB325=60%,VLOOKUP($AW325,'Jan-2026 rates'!$L:$S,8,0),IF($LB325=80%,VLOOKUP($AW325,'Jan-2026 rates'!L:T,9,0),0))))))))</f>
        <v>0</v>
      </c>
      <c r="AZ325" s="412"/>
      <c r="BA325" s="409"/>
      <c r="BB325" s="411">
        <f>IF(BA325=0,0,IF($LB325=70%,VLOOKUP($AW325,'Jan-2026 rates'!$L:$R,4,0),IF($LB325=65%,VLOOKUP($AW325,'Jan-2026 rates'!$L:$R,4,0),IF($LB325=40%,VLOOKUP($AW325,'Jan-2026 rates'!$L:$R,5,0),IF($LB325=30%,VLOOKUP($AW325,'Jan-2026 rates'!$L:$R,6,0),IF($LB325=100%,VLOOKUP($AW325,'Jan-2026 rates'!$L:$R,7,0),IF($LB325=60%,VLOOKUP($AW325,'Jan-2026 rates'!$L:$S,8,0),IF($LB325=80%,VLOOKUP($AW325,'Jan-2026 rates'!L:T,9,0),0))))))))</f>
        <v>0</v>
      </c>
      <c r="BC325" s="413" t="s">
        <v>1246</v>
      </c>
      <c r="BD325" s="412" t="s">
        <v>1248</v>
      </c>
      <c r="BE325" s="412"/>
      <c r="BF325" s="413"/>
      <c r="BG325" s="412"/>
      <c r="BH325" s="412"/>
      <c r="BI325" s="412"/>
      <c r="BJ325" s="412"/>
      <c r="BK325" s="409">
        <v>15</v>
      </c>
      <c r="BL325" s="398">
        <f>IF(BK325=0,0,IF(LEN(BC325)=11,_xlfn.XLOOKUP(BC325,'Dispensed Ink Rates'!C:C,'Dispensed Ink Rates'!CS:CS),VLOOKUP(BC325,'Jan-2026 rates'!$E:$F,2,0)))</f>
        <v>0</v>
      </c>
      <c r="BM325" s="409">
        <v>20</v>
      </c>
      <c r="BN325" s="398">
        <f>IF(BM325=0,0,IF(LEN(BD325)=11,_xlfn.XLOOKUP(BD325,'Dispensed Ink Rates'!C:C,'Dispensed Ink Rates'!CS:CS),VLOOKUP(BD325,'Jan-2026 rates'!$E:$F,2,0)))</f>
        <v>0</v>
      </c>
      <c r="BO325" s="409"/>
      <c r="BP325" s="398">
        <f>IF(BO325=0,0,IF(LEN(BE325)=11,_xlfn.XLOOKUP(BE325,'Dispensed Ink Rates'!C:C,'Dispensed Ink Rates'!CS:CS),VLOOKUP(BE325,'Jan-2026 rates'!$E:$F,2,0)))</f>
        <v>0</v>
      </c>
      <c r="BQ325" s="409"/>
      <c r="BR325" s="398">
        <f>IF(BQ325=0,0,IF(LEN(BF325)=11,_xlfn.XLOOKUP(BF325,'Dispensed Ink Rates'!C:C,'Dispensed Ink Rates'!CS:CS),VLOOKUP(BF325,'Jan-2026 rates'!$E:$F,2,0)))</f>
        <v>0</v>
      </c>
      <c r="BS325" s="409"/>
      <c r="BT325" s="398">
        <f>IF(BS325=0,0,IF(LEN(BG325)=11,_xlfn.XLOOKUP(BG325,'Dispensed Ink Rates'!C:C,'Dispensed Ink Rates'!CS:CS),VLOOKUP(BG325,'Jan-2026 rates'!$E:$F,2,0)))</f>
        <v>0</v>
      </c>
      <c r="BU325" s="409"/>
      <c r="BV325" s="398">
        <f>IF(BU325=0,0,IF(LEN(BH325)=11,_xlfn.XLOOKUP(BH325,'Dispensed Ink Rates'!C:C,'Dispensed Ink Rates'!CS:CS),VLOOKUP(BH325,'Jan-2026 rates'!$E:$F,2,0)))</f>
        <v>0</v>
      </c>
      <c r="BW325" s="409"/>
      <c r="BX325" s="398">
        <f>IF(BW325=0,0,IF(LEN(BI325)=11,_xlfn.XLOOKUP(BI325,'Dispensed Ink Rates'!C:C,'Dispensed Ink Rates'!CS:CS),VLOOKUP(BI325,'Jan-2026 rates'!$E:$F,2,0)))</f>
        <v>0</v>
      </c>
      <c r="BY325" s="409"/>
      <c r="BZ325" s="398">
        <f>IF(BY325=0,0,IF(LEN(BJ325)=11,_xlfn.XLOOKUP(BJ325,'Dispensed Ink Rates'!C:C,'Dispensed Ink Rates'!CS:CS),VLOOKUP(BJ325,'Jan-2026 rates'!$E:$F,2,0)))</f>
        <v>0</v>
      </c>
      <c r="CA325" s="409" t="s">
        <v>1881</v>
      </c>
      <c r="CB325" s="409">
        <v>30</v>
      </c>
      <c r="CC325" s="411">
        <f t="shared" si="215"/>
        <v>0</v>
      </c>
      <c r="CD325" s="411">
        <f t="shared" si="216"/>
        <v>55.636363636363626</v>
      </c>
      <c r="CE325" s="410">
        <f t="shared" si="217"/>
        <v>0</v>
      </c>
      <c r="CF325" s="404" t="s">
        <v>547</v>
      </c>
      <c r="CG325" s="409" t="s">
        <v>4561</v>
      </c>
      <c r="CH325" s="420" t="str">
        <f t="shared" si="185"/>
        <v>ToyoLi - GREEN</v>
      </c>
      <c r="CI325" s="409">
        <v>27</v>
      </c>
      <c r="CJ325" s="411">
        <f>IF(CI325=0,0,IF($LB325=70%,VLOOKUP($CH325,'Jan-2026 rates'!$L:$R,4,0),IF($LB325=65%,VLOOKUP($CH325,'Jan-2026 rates'!$L:$R,4,0),IF($LB325=40%,VLOOKUP($CH325,'Jan-2026 rates'!$L:$R,5,0),IF($LB325=30%,VLOOKUP($CH325,'Jan-2026 rates'!$L:$R,6,0),IF($LB325=100%,VLOOKUP($CH325,'Jan-2026 rates'!$L:$R,7,0),IF($LB325=60%,VLOOKUP($CH325,'Jan-2026 rates'!$L:$S,8,0),IF($LB325=80%,VLOOKUP($CH325,'Jan-2026 rates'!L:T,9,0),0))))))))</f>
        <v>0</v>
      </c>
      <c r="CK325" s="412"/>
      <c r="CL325" s="409"/>
      <c r="CM325" s="411">
        <f>IF(CL325=0,0,IF($LB325=70%,VLOOKUP($CH325,'Jan-2026 rates'!$L:$R,4,0),IF($LB325=65%,VLOOKUP($CH325,'Jan-2026 rates'!$L:$R,4,0),IF($LB325=40%,VLOOKUP($CH325,'Jan-2026 rates'!$L:$R,5,0),IF($LB325=30%,VLOOKUP($CH325,'Jan-2026 rates'!$L:$R,6,0),IF($LB325=100%,VLOOKUP($CH325,'Jan-2026 rates'!$L:$R,7,0),IF($LB325=60%,VLOOKUP($CH325,'Jan-2026 rates'!$L:$S,8,0),IF($LB325=80%,VLOOKUP($CH325,'Jan-2026 rates'!L:T,9,0),0))))))))</f>
        <v>0</v>
      </c>
      <c r="CN325" s="426" t="s">
        <v>1247</v>
      </c>
      <c r="CO325" s="427"/>
      <c r="CP325" s="426"/>
      <c r="CQ325" s="426"/>
      <c r="CR325" s="428"/>
      <c r="CS325" s="428"/>
      <c r="CT325" s="428"/>
      <c r="CU325" s="428"/>
      <c r="CV325" s="409">
        <v>2</v>
      </c>
      <c r="CW325" s="398">
        <f>IF(CV325=0,0,IF(LEN(CN325)=11,_xlfn.XLOOKUP(CN325,'Dispensed Ink Rates'!C:C,'Dispensed Ink Rates'!CS:CS),VLOOKUP(CN325,'Jan-2026 rates'!$E:$F,2,0)))</f>
        <v>0</v>
      </c>
      <c r="CX325" s="409"/>
      <c r="CY325" s="398">
        <f>IF(CX325=0,0,IF(LEN(CO325)=11,_xlfn.XLOOKUP(CO325,'Dispensed Ink Rates'!C:C,'Dispensed Ink Rates'!CS:CS),VLOOKUP(CO325,'Jan-2026 rates'!$E:$F,2,0)))</f>
        <v>0</v>
      </c>
      <c r="CZ325" s="409"/>
      <c r="DA325" s="398">
        <f>IF(CZ325=0,0,IF(LEN(CP325)=11,_xlfn.XLOOKUP(CP325,'Dispensed Ink Rates'!C:C,'Dispensed Ink Rates'!CS:CS),VLOOKUP(CP325,'Jan-2026 rates'!$E:$F,2,0)))</f>
        <v>0</v>
      </c>
      <c r="DB325" s="409"/>
      <c r="DC325" s="398">
        <f>IF(DB325=0,0,IF(LEN(CQ325)=11,_xlfn.XLOOKUP(CQ325,'Dispensed Ink Rates'!C:C,'Dispensed Ink Rates'!CS:CS),VLOOKUP(CQ325,'Jan-2026 rates'!$E:$F,2,0)))</f>
        <v>0</v>
      </c>
      <c r="DD325" s="409"/>
      <c r="DE325" s="398">
        <f>IF(DD325=0,0,IF(LEN(CR325)=11,_xlfn.XLOOKUP(CR325,'Dispensed Ink Rates'!C:C,'Dispensed Ink Rates'!CS:CS),VLOOKUP(CR325,'Jan-2026 rates'!$E:$F,2,0)))</f>
        <v>0</v>
      </c>
      <c r="DF325" s="409"/>
      <c r="DG325" s="398">
        <f>IF(DF325=0,0,IF(LEN(CS325)=11,_xlfn.XLOOKUP(CS325,'Dispensed Ink Rates'!C:C,'Dispensed Ink Rates'!CS:CS),VLOOKUP(CS325,'Jan-2026 rates'!$E:$F,2,0)))</f>
        <v>0</v>
      </c>
      <c r="DH325" s="409"/>
      <c r="DI325" s="398">
        <f>IF(DH325=0,0,IF(LEN(CT325)=11,_xlfn.XLOOKUP(CT325,'Dispensed Ink Rates'!C:C,'Dispensed Ink Rates'!CS:CS),VLOOKUP(CT325,'Jan-2026 rates'!$E:$F,2,0)))</f>
        <v>0</v>
      </c>
      <c r="DJ325" s="409"/>
      <c r="DK325" s="398">
        <f>IF(DJ325=0,0,IF(LEN(CU325)=11,_xlfn.XLOOKUP(CU325,'Dispensed Ink Rates'!C:C,'Dispensed Ink Rates'!CS:CS),VLOOKUP(CU325,'Jan-2026 rates'!$E:$F,2,0)))</f>
        <v>0</v>
      </c>
      <c r="DL325" s="409" t="s">
        <v>1881</v>
      </c>
      <c r="DM325" s="409">
        <v>27</v>
      </c>
      <c r="DN325" s="411">
        <f t="shared" si="218"/>
        <v>0</v>
      </c>
      <c r="DO325" s="411">
        <f t="shared" si="219"/>
        <v>9.5454545454545467</v>
      </c>
      <c r="DP325" s="410">
        <f t="shared" si="220"/>
        <v>0</v>
      </c>
      <c r="DQ325" s="405" t="s">
        <v>545</v>
      </c>
      <c r="DR325" s="409" t="s">
        <v>4562</v>
      </c>
      <c r="DS325" s="420" t="str">
        <f t="shared" si="186"/>
        <v>ToyoLi - YELLOW</v>
      </c>
      <c r="DT325" s="409">
        <v>27</v>
      </c>
      <c r="DU325" s="411">
        <f>IF(DT325=0,0,IF($LB325=70%,VLOOKUP($DS325,'Jan-2026 rates'!$L:$R,4,0),IF($LB325=65%,VLOOKUP($DS325,'Jan-2026 rates'!$L:$R,4,0),IF($LB325=40%,VLOOKUP($DS325,'Jan-2026 rates'!$L:$R,5,0),IF($LB325=30%,VLOOKUP($DS325,'Jan-2026 rates'!$L:$R,6,0),IF($LB325=100%,VLOOKUP($DS325,'Jan-2026 rates'!$L:$R,7,0),IF($LB325=60%,VLOOKUP($DS325,'Jan-2026 rates'!$L:$S,8,0),IF($LB325=80%,VLOOKUP($DS325,'Jan-2026 rates'!L:T,9,0),0))))))))</f>
        <v>0</v>
      </c>
      <c r="DV325" s="412"/>
      <c r="DW325" s="409"/>
      <c r="DX325" s="411">
        <f>IF(DW325=0,0,IF($LB325=70%,VLOOKUP($DS325,'Jan-2026 rates'!$L:$R,4,0),IF($LB325=65%,VLOOKUP($DS325,'Jan-2026 rates'!$L:$R,4,0),IF($LB325=40%,VLOOKUP($DS325,'Jan-2026 rates'!$L:$R,5,0),IF($LB325=30%,VLOOKUP($DS325,'Jan-2026 rates'!$L:$R,6,0),IF($LB325=100%,VLOOKUP($DS325,'Jan-2026 rates'!$L:$R,7,0),IF($LB325=60%,VLOOKUP($DS325,'Jan-2026 rates'!$L:$S,8,0),IF($LB325=80%,VLOOKUP($DS325,'Jan-2026 rates'!L:T,9,0),0))))))))</f>
        <v>0</v>
      </c>
      <c r="DY325" s="413"/>
      <c r="DZ325" s="413"/>
      <c r="EA325" s="412"/>
      <c r="EB325" s="412"/>
      <c r="EC325" s="412"/>
      <c r="ED325" s="412"/>
      <c r="EE325" s="412"/>
      <c r="EF325" s="412"/>
      <c r="EG325" s="409"/>
      <c r="EH325" s="398">
        <f>IF(EG325=0,0,IF(LEN(DY325)=11,_xlfn.XLOOKUP(DY325,'Dispensed Ink Rates'!C:C,'Dispensed Ink Rates'!CS:CS),VLOOKUP(DY325,'Jan-2026 rates'!$E:$F,2,0)))</f>
        <v>0</v>
      </c>
      <c r="EI325" s="409"/>
      <c r="EJ325" s="398">
        <f>IF(EI325=0,0,IF(LEN(DZ325)=11,_xlfn.XLOOKUP(DZ325,'Dispensed Ink Rates'!C:C,'Dispensed Ink Rates'!CS:CS),VLOOKUP(DZ325,'Jan-2026 rates'!$E:$F,2,0)))</f>
        <v>0</v>
      </c>
      <c r="EK325" s="409"/>
      <c r="EL325" s="398">
        <f>IF(EK325=0,0,IF(LEN(EA325)=11,_xlfn.XLOOKUP(EA325,'Dispensed Ink Rates'!C:C,'Dispensed Ink Rates'!CS:CS),VLOOKUP(EA325,'Jan-2026 rates'!$E:$F,2,0)))</f>
        <v>0</v>
      </c>
      <c r="EM325" s="409"/>
      <c r="EN325" s="398">
        <f>IF(EM325=0,0,IF(LEN(EB325)=11,_xlfn.XLOOKUP(EB325,'Dispensed Ink Rates'!C:C,'Dispensed Ink Rates'!CS:CS),VLOOKUP(EB325,'Jan-2026 rates'!$E:$F,2,0)))</f>
        <v>0</v>
      </c>
      <c r="EO325" s="409"/>
      <c r="EP325" s="398">
        <f>IF(EO325=0,0,IF(LEN(EC325)=11,_xlfn.XLOOKUP(EC325,'Dispensed Ink Rates'!C:C,'Dispensed Ink Rates'!CS:CS),VLOOKUP(EC325,'Jan-2026 rates'!$E:$F,2,0)))</f>
        <v>0</v>
      </c>
      <c r="EQ325" s="409"/>
      <c r="ER325" s="398">
        <f>IF(EQ325=0,0,IF(LEN(ED325)=11,_xlfn.XLOOKUP(ED325,'Dispensed Ink Rates'!C:C,'Dispensed Ink Rates'!CS:CS),VLOOKUP(ED325,'Jan-2026 rates'!$E:$F,2,0)))</f>
        <v>0</v>
      </c>
      <c r="ES325" s="409"/>
      <c r="ET325" s="398">
        <f>IF(ES325=0,0,IF(LEN(EE325)=11,_xlfn.XLOOKUP(EE325,'Dispensed Ink Rates'!C:C,'Dispensed Ink Rates'!CS:CS),VLOOKUP(EE325,'Jan-2026 rates'!$E:$F,2,0)))</f>
        <v>0</v>
      </c>
      <c r="EU325" s="409"/>
      <c r="EV325" s="398">
        <f>IF(EU325=0,0,IF(LEN(EF325)=11,_xlfn.XLOOKUP(EF325,'Dispensed Ink Rates'!C:C,'Dispensed Ink Rates'!CS:CS),VLOOKUP(EF325,'Jan-2026 rates'!$E:$F,2,0)))</f>
        <v>0</v>
      </c>
      <c r="EW325" s="409" t="s">
        <v>1881</v>
      </c>
      <c r="EX325" s="409">
        <v>25</v>
      </c>
      <c r="EY325" s="411">
        <f t="shared" si="221"/>
        <v>0</v>
      </c>
      <c r="EZ325" s="411">
        <f t="shared" si="222"/>
        <v>9.5454545454545467</v>
      </c>
      <c r="FA325" s="410">
        <f t="shared" si="223"/>
        <v>0</v>
      </c>
      <c r="FB325" s="405" t="s">
        <v>856</v>
      </c>
      <c r="FC325" s="409" t="s">
        <v>4563</v>
      </c>
      <c r="FD325" s="420" t="str">
        <f t="shared" si="187"/>
        <v>ToyoLi - WHITE</v>
      </c>
      <c r="FE325" s="409">
        <v>30</v>
      </c>
      <c r="FF325" s="411">
        <f>IF(FE325=0,0,IF($LB325=70%,VLOOKUP($FD325,'Jan-2026 rates'!$L:$R,4,0),IF($LB325=65%,VLOOKUP($FD325,'Jan-2026 rates'!$L:$R,4,0),IF($LB325=40%,VLOOKUP($FD325,'Jan-2026 rates'!$L:$R,5,0),IF($LB325=30%,VLOOKUP($FD325,'Jan-2026 rates'!$L:$R,6,0),IF($LB325=100%,VLOOKUP($FD325,'Jan-2026 rates'!$L:$R,7,0),IF($LB325=60%,VLOOKUP($FD325,'Jan-2026 rates'!$L:$S,8,0),IF($LB325=80%,VLOOKUP($FD325,'Jan-2026 rates'!L:T,9,0),0))))))))</f>
        <v>0</v>
      </c>
      <c r="FG325" s="412"/>
      <c r="FH325" s="409"/>
      <c r="FI325" s="411">
        <f>IF(FH325=0,0,IF($LB325=70%,VLOOKUP($FD325,'Jan-2026 rates'!$L:$R,4,0),IF($LB325=65%,VLOOKUP($FD325,'Jan-2026 rates'!$L:$R,4,0),IF($LB325=40%,VLOOKUP($FD325,'Jan-2026 rates'!$L:$R,5,0),IF($LB325=30%,VLOOKUP($FD325,'Jan-2026 rates'!$L:$R,6,0),IF($LB325=100%,VLOOKUP($FD325,'Jan-2026 rates'!$L:$R,7,0),IF($LB325=60%,VLOOKUP($FD325,'Jan-2026 rates'!$L:$S,8,0),IF($LB325=80%,VLOOKUP($FD325,'Jan-2026 rates'!L:T,9,0),0))))))))</f>
        <v>0</v>
      </c>
      <c r="FJ325" s="413" t="s">
        <v>1249</v>
      </c>
      <c r="FK325" s="413" t="s">
        <v>1122</v>
      </c>
      <c r="FL325" s="413"/>
      <c r="FM325" s="412"/>
      <c r="FN325" s="412"/>
      <c r="FO325" s="412"/>
      <c r="FP325" s="412"/>
      <c r="FQ325" s="412"/>
      <c r="FR325" s="409">
        <v>25</v>
      </c>
      <c r="FS325" s="398">
        <f>IF(FR325=0,0,IF(LEN(FJ325)=11,_xlfn.XLOOKUP(FJ325,'Dispensed Ink Rates'!C:C,'Dispensed Ink Rates'!CS:CS),VLOOKUP(FJ325,'Jan-2026 rates'!$E:$F,2,0)))</f>
        <v>0</v>
      </c>
      <c r="FT325" s="409">
        <v>4.0199999999999996</v>
      </c>
      <c r="FU325" s="398">
        <f>IF(FT325=0,0,IF(LEN(FK325)=11,_xlfn.XLOOKUP(FK325,'Dispensed Ink Rates'!C:C,'Dispensed Ink Rates'!CS:CS),VLOOKUP(FK325,'Jan-2026 rates'!$E:$F,2,0)))</f>
        <v>0</v>
      </c>
      <c r="FV325" s="409"/>
      <c r="FW325" s="398">
        <f>IF(FV325=0,0,IF(LEN(FL325)=11,_xlfn.XLOOKUP(FL325,'Dispensed Ink Rates'!C:C,'Dispensed Ink Rates'!CS:CS),VLOOKUP(FL325,'Jan-2026 rates'!$E:$F,2,0)))</f>
        <v>0</v>
      </c>
      <c r="FX325" s="409"/>
      <c r="FY325" s="398">
        <f>IF(FX325=0,0,IF(LEN(FM325)=11,_xlfn.XLOOKUP(FM325,'Dispensed Ink Rates'!C:C,'Dispensed Ink Rates'!CS:CS),VLOOKUP(FM325,'Jan-2026 rates'!$E:$F,2,0)))</f>
        <v>0</v>
      </c>
      <c r="FZ325" s="409"/>
      <c r="GA325" s="398">
        <f>IF(FZ325=0,0,IF(LEN(FN325)=11,_xlfn.XLOOKUP(FN325,'Dispensed Ink Rates'!C:C,'Dispensed Ink Rates'!CS:CS),VLOOKUP(FN325,'Jan-2026 rates'!$E:$F,2,0)))</f>
        <v>0</v>
      </c>
      <c r="GB325" s="409"/>
      <c r="GC325" s="398">
        <f>IF(GB325=0,0,IF(LEN(FO325)=11,_xlfn.XLOOKUP(FO325,'Dispensed Ink Rates'!C:C,'Dispensed Ink Rates'!CS:CS),VLOOKUP(FO325,'Jan-2026 rates'!$E:$F,2,0)))</f>
        <v>0</v>
      </c>
      <c r="GD325" s="409"/>
      <c r="GE325" s="398">
        <f>IF(GD325=0,0,IF(LEN(FP325)=11,_xlfn.XLOOKUP(FP325,'Dispensed Ink Rates'!C:C,'Dispensed Ink Rates'!CS:CS),VLOOKUP(FP325,'Jan-2026 rates'!$E:$F,2,0)))</f>
        <v>0</v>
      </c>
      <c r="GF325" s="409"/>
      <c r="GG325" s="398">
        <f>IF(GF325=0,0,IF(LEN(FQ325)=11,_xlfn.XLOOKUP(FQ325,'Dispensed Ink Rates'!C:C,'Dispensed Ink Rates'!CS:CS),VLOOKUP(FQ325,'Jan-2026 rates'!$E:$F,2,0)))</f>
        <v>0</v>
      </c>
      <c r="GH325" s="409" t="s">
        <v>1881</v>
      </c>
      <c r="GI325" s="409">
        <v>30</v>
      </c>
      <c r="GJ325" s="411">
        <f t="shared" si="224"/>
        <v>0</v>
      </c>
      <c r="GK325" s="411">
        <f t="shared" si="225"/>
        <v>66.74727272727273</v>
      </c>
      <c r="GL325" s="410">
        <f t="shared" si="226"/>
        <v>0</v>
      </c>
      <c r="GM325" s="405"/>
      <c r="GN325" s="409"/>
      <c r="GO325" s="420" t="str">
        <f t="shared" si="188"/>
        <v xml:space="preserve"> - </v>
      </c>
      <c r="GP325" s="409"/>
      <c r="GQ325" s="411">
        <f>IF(GP325=0,0,IF($LB325=70%,VLOOKUP($GO325,'Jan-2026 rates'!$L:$R,4,0),IF($LB325=65%,VLOOKUP($GO325,'Jan-2026 rates'!$L:$R,4,0),IF($LB325=40%,VLOOKUP($GO325,'Jan-2026 rates'!$L:$R,5,0),IF($LB325=30%,VLOOKUP($GO325,'Jan-2026 rates'!$L:$R,6,0),IF($LB325=100%,VLOOKUP($GO325,'Jan-2026 rates'!$L:$R,7,0),IF($LB325=60%,VLOOKUP($GO325,'Jan-2026 rates'!$L:$S,8,0),IF($LB325=80%,VLOOKUP($GO325,'Jan-2026 rates'!L:T,9,0),0))))))))</f>
        <v>0</v>
      </c>
      <c r="GR325" s="412"/>
      <c r="GS325" s="409"/>
      <c r="GT325" s="411">
        <f>IF(GS325=0,0,IF($LB325=70%,VLOOKUP($GO325,'Jan-2026 rates'!$L:$R,4,0),IF($LB325=65%,VLOOKUP($GO325,'Jan-2026 rates'!$L:$R,4,0),IF($LB325=40%,VLOOKUP($GO325,'Jan-2026 rates'!$L:$R,5,0),IF($LB325=30%,VLOOKUP($GO325,'Jan-2026 rates'!$L:$R,6,0),IF($LB325=100%,VLOOKUP($GO325,'Jan-2026 rates'!$L:$R,7,0),IF($LB325=60%,VLOOKUP($GO325,'Jan-2026 rates'!$L:$S,8,0),IF($LB325=80%,VLOOKUP($GO325,'Jan-2026 rates'!L:T,9,0),0))))))))</f>
        <v>0</v>
      </c>
      <c r="GU325" s="413"/>
      <c r="GV325" s="413"/>
      <c r="GW325" s="412"/>
      <c r="GX325" s="412"/>
      <c r="GY325" s="412"/>
      <c r="GZ325" s="412"/>
      <c r="HA325" s="412"/>
      <c r="HB325" s="412"/>
      <c r="HC325" s="409"/>
      <c r="HD325" s="398">
        <f>IF(HC325=0,0,IF(LEN(GU325)=11,_xlfn.XLOOKUP(GU325,'Dispensed Ink Rates'!C:C,'Dispensed Ink Rates'!CS:CS),VLOOKUP(GU325,'Jan-2026 rates'!$E:$F,2,0)))</f>
        <v>0</v>
      </c>
      <c r="HE325" s="409"/>
      <c r="HF325" s="398">
        <f>IF(HE325=0,0,IF(LEN(GV325)=11,_xlfn.XLOOKUP(GV325,'Dispensed Ink Rates'!C:C,'Dispensed Ink Rates'!CS:CS),VLOOKUP(GV325,'Jan-2026 rates'!$E:$F,2,0)))</f>
        <v>0</v>
      </c>
      <c r="HG325" s="409"/>
      <c r="HH325" s="398">
        <f>IF(HG325=0,0,IF(LEN(GW325)=11,_xlfn.XLOOKUP(GW325,'Dispensed Ink Rates'!C:C,'Dispensed Ink Rates'!CS:CS),VLOOKUP(GW325,'Jan-2026 rates'!$E:$F,2,0)))</f>
        <v>0</v>
      </c>
      <c r="HI325" s="409"/>
      <c r="HJ325" s="398">
        <f>IF(HI325=0,0,IF(LEN(GX325)=11,_xlfn.XLOOKUP(GX325,'Dispensed Ink Rates'!C:C,'Dispensed Ink Rates'!CS:CS),VLOOKUP(GX325,'Jan-2026 rates'!$E:$F,2,0)))</f>
        <v>0</v>
      </c>
      <c r="HK325" s="409"/>
      <c r="HL325" s="398">
        <f>IF(HK325=0,0,IF(LEN(GY325)=11,_xlfn.XLOOKUP(GY325,'Dispensed Ink Rates'!C:C,'Dispensed Ink Rates'!CS:CS),VLOOKUP(GY325,'Jan-2026 rates'!$E:$F,2,0)))</f>
        <v>0</v>
      </c>
      <c r="HM325" s="409"/>
      <c r="HN325" s="398">
        <f>IF(HM325=0,0,IF(LEN(GZ325)=11,_xlfn.XLOOKUP(GZ325,'Dispensed Ink Rates'!C:C,'Dispensed Ink Rates'!CS:CS),VLOOKUP(GZ325,'Jan-2026 rates'!$E:$F,2,0)))</f>
        <v>0</v>
      </c>
      <c r="HO325" s="409"/>
      <c r="HP325" s="398">
        <f>IF(HO325=0,0,IF(LEN(HA325)=11,_xlfn.XLOOKUP(HA325,'Dispensed Ink Rates'!C:C,'Dispensed Ink Rates'!CS:CS),VLOOKUP(HA325,'Jan-2026 rates'!$E:$F,2,0)))</f>
        <v>0</v>
      </c>
      <c r="HQ325" s="409"/>
      <c r="HR325" s="398">
        <f>IF(HQ325=0,0,IF(LEN(HB325)=11,_xlfn.XLOOKUP(HB325,'Dispensed Ink Rates'!C:C,'Dispensed Ink Rates'!CS:CS),VLOOKUP(HB325,'Jan-2026 rates'!$E:$F,2,0)))</f>
        <v>0</v>
      </c>
      <c r="HS325" s="409"/>
      <c r="HT325" s="409"/>
      <c r="HU325" s="411">
        <f t="shared" si="227"/>
        <v>0</v>
      </c>
      <c r="HV325" s="411">
        <f t="shared" si="228"/>
        <v>0</v>
      </c>
      <c r="HW325" s="414">
        <f t="shared" si="229"/>
        <v>0</v>
      </c>
      <c r="HX325" s="405"/>
      <c r="HY325" s="409"/>
      <c r="HZ325" s="420" t="str">
        <f t="shared" si="189"/>
        <v xml:space="preserve"> - </v>
      </c>
      <c r="IA325" s="409"/>
      <c r="IB325" s="411">
        <f>IF(IA325=0,0,IF($LB325=70%,VLOOKUP($HZ325,'Jan-2026 rates'!$L:$R,4,0),IF($LB325=65%,VLOOKUP($HZ325,'Jan-2026 rates'!$L:$R,4,0),IF($LB325=40%,VLOOKUP($HZ325,'Jan-2026 rates'!$L:$R,5,0),IF($LB325=30%,VLOOKUP($HZ325,'Jan-2026 rates'!$L:$R,6,0),IF($LB325=100%,VLOOKUP($HZ325,'Jan-2026 rates'!$L:$R,7,0),IF($LB325=60%,VLOOKUP($HZ325,'Jan-2026 rates'!$L:$S,8,0),IF($LB325=80%,VLOOKUP($HZ325,'Jan-2026 rates'!L:T,9,0),0))))))))</f>
        <v>0</v>
      </c>
      <c r="IC325" s="412"/>
      <c r="ID325" s="409"/>
      <c r="IE325" s="411">
        <f>IF(ID325=0,0,IF($LB325=70%,VLOOKUP($HZ325,'Jan-2026 rates'!$L:$R,4,0),IF($LB325=65%,VLOOKUP($HZ325,'Jan-2026 rates'!$L:$R,4,0),IF($LB325=40%,VLOOKUP($HZ325,'Jan-2026 rates'!$L:$R,5,0),IF($LB325=30%,VLOOKUP($HZ325,'Jan-2026 rates'!$L:$R,6,0),IF($LB325=100%,VLOOKUP($HZ325,'Jan-2026 rates'!$L:$R,7,0),IF($LB325=60%,VLOOKUP($HZ325,'Jan-2026 rates'!$L:$S,8,0),IF($LB325=80%,VLOOKUP($HZ325,'Jan-2026 rates'!L:T,9,0),0))))))))</f>
        <v>0</v>
      </c>
      <c r="IF325" s="412"/>
      <c r="IG325" s="413"/>
      <c r="IH325" s="412"/>
      <c r="II325" s="412"/>
      <c r="IJ325" s="412"/>
      <c r="IK325" s="412"/>
      <c r="IL325" s="412"/>
      <c r="IM325" s="412"/>
      <c r="IN325" s="409"/>
      <c r="IO325" s="398">
        <f>IF(IN325=0,0,IF(LEN(IF325)=11,_xlfn.XLOOKUP(IF325,'Dispensed Ink Rates'!C:C,'Dispensed Ink Rates'!CS:CS),VLOOKUP(IF325,'Jan-2026 rates'!$E:$F,2,0)))</f>
        <v>0</v>
      </c>
      <c r="IP325" s="409"/>
      <c r="IQ325" s="398">
        <f>IF(IP325=0,0,IF(LEN(IG325)=11,_xlfn.XLOOKUP(IG325,'Dispensed Ink Rates'!C:C,'Dispensed Ink Rates'!CS:CS),VLOOKUP(IG325,'Jan-2026 rates'!$E:$F,2,0)))</f>
        <v>0</v>
      </c>
      <c r="IR325" s="409"/>
      <c r="IS325" s="398">
        <f>IF(IR325=0,0,IF(LEN(IH325)=11,_xlfn.XLOOKUP(IH325,'Dispensed Ink Rates'!C:C,'Dispensed Ink Rates'!CS:CS),VLOOKUP(IH325,'Jan-2026 rates'!$E:$F,2,0)))</f>
        <v>0</v>
      </c>
      <c r="IT325" s="409"/>
      <c r="IU325" s="398">
        <f>IF(IT325=0,0,IF(LEN(II325)=11,_xlfn.XLOOKUP(II325,'Dispensed Ink Rates'!C:C,'Dispensed Ink Rates'!CS:CS),VLOOKUP(II325,'Jan-2026 rates'!$E:$F,2,0)))</f>
        <v>0</v>
      </c>
      <c r="IV325" s="409"/>
      <c r="IW325" s="398">
        <f>IF(IV325=0,0,IF(LEN(IJ325)=11,_xlfn.XLOOKUP(IJ325,'Dispensed Ink Rates'!C:C,'Dispensed Ink Rates'!CS:CS),VLOOKUP(IJ325,'Jan-2026 rates'!$E:$F,2,0)))</f>
        <v>0</v>
      </c>
      <c r="IX325" s="409"/>
      <c r="IY325" s="398">
        <f>IF(IX325=0,0,IF(LEN(IK325)=11,_xlfn.XLOOKUP(IK325,'Dispensed Ink Rates'!C:C,'Dispensed Ink Rates'!CS:CS),VLOOKUP(IK325,'Jan-2026 rates'!$E:$F,2,0)))</f>
        <v>0</v>
      </c>
      <c r="IZ325" s="409"/>
      <c r="JA325" s="398">
        <f>IF(IZ325=0,0,IF(LEN(IL325)=11,_xlfn.XLOOKUP(IL325,'Dispensed Ink Rates'!C:C,'Dispensed Ink Rates'!CS:CS),VLOOKUP(IL325,'Jan-2026 rates'!$E:$F,2,0)))</f>
        <v>0</v>
      </c>
      <c r="JB325" s="409"/>
      <c r="JC325" s="398">
        <f>IF(JB325=0,0,IF(LEN(IM325)=11,_xlfn.XLOOKUP(IM325,'Dispensed Ink Rates'!C:C,'Dispensed Ink Rates'!CS:CS),VLOOKUP(IM325,'Jan-2026 rates'!$E:$F,2,0)))</f>
        <v>0</v>
      </c>
      <c r="JD325" s="409"/>
      <c r="JE325" s="409"/>
      <c r="JF325" s="411">
        <f t="shared" si="230"/>
        <v>0</v>
      </c>
      <c r="JG325" s="411">
        <f t="shared" si="231"/>
        <v>0</v>
      </c>
      <c r="JH325" s="410">
        <f t="shared" si="232"/>
        <v>0</v>
      </c>
      <c r="JI325" s="405"/>
      <c r="JJ325" s="409"/>
      <c r="JK325" s="420" t="str">
        <f t="shared" si="190"/>
        <v xml:space="preserve"> - </v>
      </c>
      <c r="JL325" s="409"/>
      <c r="JM325" s="411">
        <f>IF(JL325=0,0,IF($LB325=70%,VLOOKUP($JK325,'Jan-2026 rates'!$L:$R,4,0),IF($LB325=65%,VLOOKUP($JK325,'Jan-2026 rates'!$L:$R,4,0),IF($LB325=40%,VLOOKUP($JK325,'Jan-2026 rates'!$L:$R,5,0),IF($LB325=30%,VLOOKUP($JK325,'Jan-2026 rates'!$L:$R,6,0),IF($LB325=100%,VLOOKUP($JK325,'Jan-2026 rates'!$L:$R,7,0),IF($LB325=60%,VLOOKUP($JK325,'Jan-2026 rates'!$L:$S,8,0),IF($LB325=80%,VLOOKUP($JK325,'Jan-2026 rates'!L:T,9,0),0))))))))</f>
        <v>0</v>
      </c>
      <c r="JN325" s="412"/>
      <c r="JO325" s="409"/>
      <c r="JP325" s="411">
        <f>IF(JO325=0,0,IF($LB325=70%,VLOOKUP($JK325,'Jan-2026 rates'!$L:$R,4,0),IF($LB325=65%,VLOOKUP($JK325,'Jan-2026 rates'!$L:$R,4,0),IF($LB325=40%,VLOOKUP($JK325,'Jan-2026 rates'!$L:$R,5,0),IF($LB325=30%,VLOOKUP($JK325,'Jan-2026 rates'!$L:$R,6,0),IF($LB325=100%,VLOOKUP($JK325,'Jan-2026 rates'!$L:$R,7,0),IF($LB325=60%,VLOOKUP($JK325,'Jan-2026 rates'!$L:$S,8,0),IF($LB325=80%,VLOOKUP($JK325,'Jan-2026 rates'!L:T,9,0),0))))))))</f>
        <v>0</v>
      </c>
      <c r="JQ325" s="413"/>
      <c r="JR325" s="412"/>
      <c r="JS325" s="413"/>
      <c r="JT325" s="413"/>
      <c r="JU325" s="412"/>
      <c r="JV325" s="412"/>
      <c r="JW325" s="412"/>
      <c r="JX325" s="412"/>
      <c r="JY325" s="409"/>
      <c r="JZ325" s="398">
        <f>IF(JY325=0,0,IF(LEN(JQ325)=11,_xlfn.XLOOKUP(JQ325,'Dispensed Ink Rates'!C:C,'Dispensed Ink Rates'!CS:CS),VLOOKUP(JQ325,'Jan-2026 rates'!$E:$F,2,0)))</f>
        <v>0</v>
      </c>
      <c r="KA325" s="409"/>
      <c r="KB325" s="398">
        <f>IF(KA325=0,0,IF(LEN(JR325)=11,_xlfn.XLOOKUP(JR325,'Dispensed Ink Rates'!C:C,'Dispensed Ink Rates'!CS:CS),VLOOKUP(JR325,'Jan-2026 rates'!$E:$F,2,0)))</f>
        <v>0</v>
      </c>
      <c r="KC325" s="409"/>
      <c r="KD325" s="398">
        <f>IF(KC325=0,0,IF(LEN(JS325)=11,_xlfn.XLOOKUP(JS325,'Dispensed Ink Rates'!C:C,'Dispensed Ink Rates'!CS:CS),VLOOKUP(JS325,'Jan-2026 rates'!$E:$F,2,0)))</f>
        <v>0</v>
      </c>
      <c r="KE325" s="409"/>
      <c r="KF325" s="398">
        <f>IF(KE325=0,0,IF(LEN(JT325)=11,_xlfn.XLOOKUP(JT325,'Dispensed Ink Rates'!C:C,'Dispensed Ink Rates'!CS:CS),VLOOKUP(JT325,'Jan-2026 rates'!$E:$F,2,0)))</f>
        <v>0</v>
      </c>
      <c r="KG325" s="409"/>
      <c r="KH325" s="398">
        <f>IF(KG325=0,0,IF(LEN(JU325)=11,_xlfn.XLOOKUP(JU325,'Dispensed Ink Rates'!C:C,'Dispensed Ink Rates'!CS:CS),VLOOKUP(JU325,'Jan-2026 rates'!$E:$F,2,0)))</f>
        <v>0</v>
      </c>
      <c r="KI325" s="409"/>
      <c r="KJ325" s="398">
        <f>IF(KI325=0,0,IF(LEN(JV325)=11,_xlfn.XLOOKUP(JV325,'Dispensed Ink Rates'!C:C,'Dispensed Ink Rates'!CS:CS),VLOOKUP(JV325,'Jan-2026 rates'!$E:$F,2,0)))</f>
        <v>0</v>
      </c>
      <c r="KK325" s="409"/>
      <c r="KL325" s="398">
        <f>IF(KK325=0,0,IF(LEN(JW325)=11,_xlfn.XLOOKUP(JW325,'Dispensed Ink Rates'!C:C,'Dispensed Ink Rates'!CS:CS),VLOOKUP(JW325,'Jan-2026 rates'!$E:$F,2,0)))</f>
        <v>0</v>
      </c>
      <c r="KM325" s="428"/>
      <c r="KN325" s="398">
        <f>IF(KM325=0,0,IF(LEN(JX325)=11,_xlfn.XLOOKUP(JX325,'Dispensed Ink Rates'!C:C,'Dispensed Ink Rates'!CS:CS),VLOOKUP(JX325,'Jan-2026 rates'!$E:$F,2,0)))</f>
        <v>0</v>
      </c>
      <c r="KO325" s="409"/>
      <c r="KP325" s="409"/>
      <c r="KQ325" s="411">
        <f t="shared" si="233"/>
        <v>0</v>
      </c>
      <c r="KR325" s="411">
        <f t="shared" si="234"/>
        <v>0</v>
      </c>
      <c r="KS325" s="410">
        <f t="shared" si="235"/>
        <v>0</v>
      </c>
      <c r="KT325" s="409">
        <v>2</v>
      </c>
      <c r="KU325" s="409">
        <v>6</v>
      </c>
      <c r="KV325" s="409">
        <v>2</v>
      </c>
      <c r="KW325" s="409">
        <v>2</v>
      </c>
      <c r="KX325" s="409">
        <v>10</v>
      </c>
      <c r="KY325" s="409">
        <v>0</v>
      </c>
      <c r="KZ325" s="409">
        <v>0</v>
      </c>
      <c r="LA325" s="409">
        <v>0</v>
      </c>
      <c r="LB325" s="415">
        <v>0.3</v>
      </c>
      <c r="LC325" s="415"/>
      <c r="LD325" s="424"/>
      <c r="LE325" s="415">
        <v>0.5</v>
      </c>
      <c r="LF325" s="415">
        <v>0.2</v>
      </c>
      <c r="LG325" s="409">
        <v>0</v>
      </c>
      <c r="LH325" s="409">
        <f>22+21+12+20+8</f>
        <v>83</v>
      </c>
      <c r="LI325" s="409">
        <v>0</v>
      </c>
      <c r="LJ325" s="409">
        <v>0</v>
      </c>
      <c r="LK325" s="416">
        <f t="shared" si="191"/>
        <v>83</v>
      </c>
      <c r="LL325" s="416">
        <f t="shared" si="237"/>
        <v>83</v>
      </c>
      <c r="LM325" s="417">
        <f t="shared" si="193"/>
        <v>24.9</v>
      </c>
      <c r="LN325" s="417">
        <f>VLOOKUP($LM$8,'Jan-2026 rates'!$H:$I,2,0)</f>
        <v>0</v>
      </c>
      <c r="LO325" s="417">
        <f t="shared" si="194"/>
        <v>0</v>
      </c>
      <c r="LP325" s="417">
        <f>VLOOKUP($LO$8,'Jan-2026 rates'!$H:$I,2,0)</f>
        <v>0</v>
      </c>
      <c r="LQ325" s="417">
        <f t="shared" si="195"/>
        <v>0</v>
      </c>
      <c r="LR325" s="417">
        <f>VLOOKUP($LQ$8,'Jan-2026 rates'!$H:$I,2,0)</f>
        <v>0</v>
      </c>
      <c r="LS325" s="417">
        <f t="shared" si="196"/>
        <v>41.5</v>
      </c>
      <c r="LT325" s="417">
        <f>VLOOKUP($LS$8,'Jan-2026 rates'!$H:$I,2,0)</f>
        <v>0</v>
      </c>
      <c r="LU325" s="417">
        <f t="shared" si="197"/>
        <v>16.600000000000001</v>
      </c>
      <c r="LV325" s="417">
        <f>VLOOKUP($LU$8,'Jan-2026 rates'!$H:$I,2,0)</f>
        <v>0</v>
      </c>
      <c r="LW325" s="417">
        <f t="shared" si="198"/>
        <v>0</v>
      </c>
      <c r="LX325" s="417">
        <f t="shared" si="199"/>
        <v>0</v>
      </c>
      <c r="LY325" s="418">
        <f t="shared" si="200"/>
        <v>0</v>
      </c>
      <c r="LZ325" s="417"/>
      <c r="MA325" s="435">
        <f t="shared" si="201"/>
        <v>68.02</v>
      </c>
      <c r="MB325" s="282">
        <f t="shared" si="202"/>
        <v>151.01999999999998</v>
      </c>
      <c r="MC325" s="283" t="s">
        <v>2064</v>
      </c>
      <c r="MD325" s="284" t="str">
        <f t="shared" si="203"/>
        <v>ToyoLiToyoLiToyoLiToyoLiToyoLi</v>
      </c>
      <c r="ME325" s="293" t="str">
        <f t="shared" si="204"/>
        <v>+</v>
      </c>
      <c r="MF325" s="293" t="str">
        <f t="shared" si="205"/>
        <v>+</v>
      </c>
      <c r="MG325" s="293" t="str">
        <f t="shared" si="206"/>
        <v>+</v>
      </c>
      <c r="MH325" s="293" t="str">
        <f t="shared" si="207"/>
        <v>+</v>
      </c>
      <c r="MI325" s="293" t="str">
        <f t="shared" si="208"/>
        <v>+</v>
      </c>
      <c r="MJ325" s="293" t="str">
        <f t="shared" si="209"/>
        <v>NIL</v>
      </c>
      <c r="MK325" s="293" t="str">
        <f t="shared" si="210"/>
        <v>NIL</v>
      </c>
      <c r="ML325" s="293" t="str">
        <f t="shared" si="211"/>
        <v>NIL</v>
      </c>
      <c r="MM325" s="3" t="b">
        <f t="array" ref="MM325">OR(ME325:ML325="-")</f>
        <v>0</v>
      </c>
      <c r="MO325" s="401">
        <f t="shared" si="238"/>
        <v>63.72151898734176</v>
      </c>
      <c r="MP325" s="286"/>
      <c r="MR325" s="402">
        <f t="shared" si="239"/>
        <v>1.0001324503311258E-2</v>
      </c>
      <c r="MS325" s="400">
        <f t="shared" si="240"/>
        <v>0</v>
      </c>
      <c r="MT325" s="285"/>
      <c r="NH325" s="361"/>
      <c r="NJ325" s="282"/>
    </row>
    <row r="326" spans="1:374" ht="16.5">
      <c r="A326" s="403">
        <v>46046</v>
      </c>
      <c r="B326" s="404" t="s">
        <v>1015</v>
      </c>
      <c r="C326" s="405" t="s">
        <v>4564</v>
      </c>
      <c r="D326" s="404" t="s">
        <v>2065</v>
      </c>
      <c r="E326" s="404">
        <v>788</v>
      </c>
      <c r="F326" s="407">
        <v>65800</v>
      </c>
      <c r="G326" s="407" t="s">
        <v>1016</v>
      </c>
      <c r="H326" s="408" t="s">
        <v>1017</v>
      </c>
      <c r="I326" s="409">
        <v>1.21</v>
      </c>
      <c r="J326" s="405" t="s">
        <v>543</v>
      </c>
      <c r="K326" s="404" t="s">
        <v>4565</v>
      </c>
      <c r="L326" s="419" t="str">
        <f t="shared" si="184"/>
        <v>ToyoLi - BLACK</v>
      </c>
      <c r="M326" s="404">
        <v>28</v>
      </c>
      <c r="N326" s="410">
        <f>IF(M326=0,0,IF($LB326=70%,VLOOKUP($L326,'Jan-2026 rates'!$L:$R,4,0),IF($LB326=65%,VLOOKUP($L326,'Jan-2026 rates'!$L:$R,4,0),IF($LB326=40%,VLOOKUP($L326,'Jan-2026 rates'!$L:$R,5,0),IF($LB326=30%,VLOOKUP($L326,'Jan-2026 rates'!$L:$R,6,0),IF($LB326=100%,VLOOKUP($L326,'Jan-2026 rates'!$L:$R,7,0),IF($LB326=60%,VLOOKUP($L326,'Jan-2026 rates'!$L:$S,8,0),IF($LB326=80%,VLOOKUP($L326,'Jan-2026 rates'!L:T,9,0),0))))))))</f>
        <v>0</v>
      </c>
      <c r="O326" s="406"/>
      <c r="P326" s="404"/>
      <c r="Q326" s="410">
        <f>IF(P326=0,0,IF($LB326=70%,VLOOKUP($L326,'Jan-2026 rates'!$L:$R,4,0),IF($LB326=65%,VLOOKUP($L326,'Jan-2026 rates'!$L:$R,4,0),IF($LB326=40%,VLOOKUP($L326,'Jan-2026 rates'!$L:$R,5,0),IF($LB326=30%,VLOOKUP($L326,'Jan-2026 rates'!$L:$R,6,0),IF($LB326=100%,VLOOKUP($L326,'Jan-2026 rates'!$L:$R,7,0),IF($LB326=60%,VLOOKUP($L326,'Jan-2026 rates'!$L:$S,8,0),IF($LB326=80%,VLOOKUP($L326,'Jan-2026 rates'!L:T,9,0),0))))))))</f>
        <v>0</v>
      </c>
      <c r="R326" s="406" t="s">
        <v>1252</v>
      </c>
      <c r="S326" s="406"/>
      <c r="T326" s="406"/>
      <c r="U326" s="406"/>
      <c r="V326" s="406"/>
      <c r="W326" s="406"/>
      <c r="X326" s="406"/>
      <c r="Y326" s="406"/>
      <c r="Z326" s="404">
        <v>3</v>
      </c>
      <c r="AA326" s="398">
        <f>IF(Z326=0,0,IF(LEN(R326)=11,_xlfn.XLOOKUP(R326,'Dispensed Ink Rates'!C:C,'Dispensed Ink Rates'!CS:CS),VLOOKUP(R326,'Jan-2026 rates'!$E:$F,2,0)))</f>
        <v>0</v>
      </c>
      <c r="AB326" s="404"/>
      <c r="AC326" s="398">
        <f>IF(AB326=0,0,IF(LEN(S326)=11,_xlfn.XLOOKUP(S326,'Dispensed Ink Rates'!C:C,'Dispensed Ink Rates'!CS:CS),VLOOKUP(S326,'Jan-2026 rates'!$E:$F,2,0)))</f>
        <v>0</v>
      </c>
      <c r="AD326" s="404"/>
      <c r="AE326" s="398">
        <f>IF(AD326=0,0,IF(LEN(T326)=11,_xlfn.XLOOKUP(T326,'Dispensed Ink Rates'!C:C,'Dispensed Ink Rates'!CS:CS),VLOOKUP(T326,'Jan-2026 rates'!$E:$F,2,0)))</f>
        <v>0</v>
      </c>
      <c r="AF326" s="404"/>
      <c r="AG326" s="398">
        <f>IF(AF326=0,0,IF(LEN(U326)=11,_xlfn.XLOOKUP(U326,'Dispensed Ink Rates'!C:C,'Dispensed Ink Rates'!CS:CS),VLOOKUP(U326,'Jan-2026 rates'!$E:$F,2,0)))</f>
        <v>0</v>
      </c>
      <c r="AH326" s="404"/>
      <c r="AI326" s="398">
        <f>IF(AH326=0,0,IF(LEN(V326)=11,_xlfn.XLOOKUP(V326,'Dispensed Ink Rates'!C:C,'Dispensed Ink Rates'!CS:CS),VLOOKUP(V326,'Jan-2026 rates'!$E:$F,2,0)))</f>
        <v>0</v>
      </c>
      <c r="AJ326" s="404"/>
      <c r="AK326" s="398">
        <f>IF(AJ326=0,0,IF(LEN(W326)=11,_xlfn.XLOOKUP(W326,'Dispensed Ink Rates'!C:C,'Dispensed Ink Rates'!CS:CS),VLOOKUP(W326,'Jan-2026 rates'!$E:$F,2,0)))</f>
        <v>0</v>
      </c>
      <c r="AL326" s="404"/>
      <c r="AM326" s="398">
        <f>IF(AL326=0,0,IF(LEN(X326)=11,_xlfn.XLOOKUP(X326,'Dispensed Ink Rates'!C:C,'Dispensed Ink Rates'!CS:CS),VLOOKUP(X326,'Jan-2026 rates'!$E:$F,2,0)))</f>
        <v>0</v>
      </c>
      <c r="AN326" s="404"/>
      <c r="AO326" s="398">
        <f>IF(AN326=0,0,IF(LEN(Y326)=11,_xlfn.XLOOKUP(Y326,'Dispensed Ink Rates'!C:C,'Dispensed Ink Rates'!CS:CS),VLOOKUP(Y326,'Jan-2026 rates'!$E:$F,2,0)))</f>
        <v>0</v>
      </c>
      <c r="AP326" s="409" t="s">
        <v>1881</v>
      </c>
      <c r="AQ326" s="409">
        <v>27</v>
      </c>
      <c r="AR326" s="410">
        <f t="shared" si="212"/>
        <v>0</v>
      </c>
      <c r="AS326" s="411">
        <f t="shared" si="213"/>
        <v>10.899999999999999</v>
      </c>
      <c r="AT326" s="410">
        <f t="shared" si="214"/>
        <v>0</v>
      </c>
      <c r="AU326" s="405" t="s">
        <v>857</v>
      </c>
      <c r="AV326" s="409" t="s">
        <v>4566</v>
      </c>
      <c r="AW326" s="420" t="str">
        <f t="shared" si="236"/>
        <v>ToyoLi - RED</v>
      </c>
      <c r="AX326" s="409">
        <v>30</v>
      </c>
      <c r="AY326" s="411">
        <f>IF(AX326=0,0,IF($LB326=70%,VLOOKUP($AW326,'Jan-2026 rates'!$L:$R,4,0),IF($LB326=65%,VLOOKUP($AW326,'Jan-2026 rates'!$L:$R,4,0),IF($LB326=40%,VLOOKUP($AW326,'Jan-2026 rates'!$L:$R,5,0),IF($LB326=30%,VLOOKUP($AW326,'Jan-2026 rates'!$L:$R,6,0),IF($LB326=100%,VLOOKUP($AW326,'Jan-2026 rates'!$L:$R,7,0),IF($LB326=60%,VLOOKUP($AW326,'Jan-2026 rates'!$L:$S,8,0),IF($LB326=80%,VLOOKUP($AW326,'Jan-2026 rates'!L:T,9,0),0))))))))</f>
        <v>0</v>
      </c>
      <c r="AZ326" s="412"/>
      <c r="BA326" s="409"/>
      <c r="BB326" s="411">
        <f>IF(BA326=0,0,IF($LB326=70%,VLOOKUP($AW326,'Jan-2026 rates'!$L:$R,4,0),IF($LB326=65%,VLOOKUP($AW326,'Jan-2026 rates'!$L:$R,4,0),IF($LB326=40%,VLOOKUP($AW326,'Jan-2026 rates'!$L:$R,5,0),IF($LB326=30%,VLOOKUP($AW326,'Jan-2026 rates'!$L:$R,6,0),IF($LB326=100%,VLOOKUP($AW326,'Jan-2026 rates'!$L:$R,7,0),IF($LB326=60%,VLOOKUP($AW326,'Jan-2026 rates'!$L:$S,8,0),IF($LB326=80%,VLOOKUP($AW326,'Jan-2026 rates'!L:T,9,0),0))))))))</f>
        <v>0</v>
      </c>
      <c r="BC326" s="413" t="s">
        <v>1246</v>
      </c>
      <c r="BD326" s="412" t="s">
        <v>1248</v>
      </c>
      <c r="BE326" s="412"/>
      <c r="BF326" s="413"/>
      <c r="BG326" s="412"/>
      <c r="BH326" s="412"/>
      <c r="BI326" s="412"/>
      <c r="BJ326" s="412"/>
      <c r="BK326" s="409">
        <f>20+30</f>
        <v>50</v>
      </c>
      <c r="BL326" s="398">
        <f>IF(BK326=0,0,IF(LEN(BC326)=11,_xlfn.XLOOKUP(BC326,'Dispensed Ink Rates'!C:C,'Dispensed Ink Rates'!CS:CS),VLOOKUP(BC326,'Jan-2026 rates'!$E:$F,2,0)))</f>
        <v>0</v>
      </c>
      <c r="BM326" s="409">
        <f>25+35</f>
        <v>60</v>
      </c>
      <c r="BN326" s="398">
        <f>IF(BM326=0,0,IF(LEN(BD326)=11,_xlfn.XLOOKUP(BD326,'Dispensed Ink Rates'!C:C,'Dispensed Ink Rates'!CS:CS),VLOOKUP(BD326,'Jan-2026 rates'!$E:$F,2,0)))</f>
        <v>0</v>
      </c>
      <c r="BO326" s="409"/>
      <c r="BP326" s="398">
        <f>IF(BO326=0,0,IF(LEN(BE326)=11,_xlfn.XLOOKUP(BE326,'Dispensed Ink Rates'!C:C,'Dispensed Ink Rates'!CS:CS),VLOOKUP(BE326,'Jan-2026 rates'!$E:$F,2,0)))</f>
        <v>0</v>
      </c>
      <c r="BQ326" s="409"/>
      <c r="BR326" s="398">
        <f>IF(BQ326=0,0,IF(LEN(BF326)=11,_xlfn.XLOOKUP(BF326,'Dispensed Ink Rates'!C:C,'Dispensed Ink Rates'!CS:CS),VLOOKUP(BF326,'Jan-2026 rates'!$E:$F,2,0)))</f>
        <v>0</v>
      </c>
      <c r="BS326" s="409"/>
      <c r="BT326" s="398">
        <f>IF(BS326=0,0,IF(LEN(BG326)=11,_xlfn.XLOOKUP(BG326,'Dispensed Ink Rates'!C:C,'Dispensed Ink Rates'!CS:CS),VLOOKUP(BG326,'Jan-2026 rates'!$E:$F,2,0)))</f>
        <v>0</v>
      </c>
      <c r="BU326" s="409"/>
      <c r="BV326" s="398">
        <f>IF(BU326=0,0,IF(LEN(BH326)=11,_xlfn.XLOOKUP(BH326,'Dispensed Ink Rates'!C:C,'Dispensed Ink Rates'!CS:CS),VLOOKUP(BH326,'Jan-2026 rates'!$E:$F,2,0)))</f>
        <v>0</v>
      </c>
      <c r="BW326" s="409"/>
      <c r="BX326" s="398">
        <f>IF(BW326=0,0,IF(LEN(BI326)=11,_xlfn.XLOOKUP(BI326,'Dispensed Ink Rates'!C:C,'Dispensed Ink Rates'!CS:CS),VLOOKUP(BI326,'Jan-2026 rates'!$E:$F,2,0)))</f>
        <v>0</v>
      </c>
      <c r="BY326" s="409"/>
      <c r="BZ326" s="398">
        <f>IF(BY326=0,0,IF(LEN(BJ326)=11,_xlfn.XLOOKUP(BJ326,'Dispensed Ink Rates'!C:C,'Dispensed Ink Rates'!CS:CS),VLOOKUP(BJ326,'Jan-2026 rates'!$E:$F,2,0)))</f>
        <v>0</v>
      </c>
      <c r="CA326" s="409" t="s">
        <v>1881</v>
      </c>
      <c r="CB326" s="409">
        <f>17+10</f>
        <v>27</v>
      </c>
      <c r="CC326" s="411">
        <f t="shared" si="215"/>
        <v>0</v>
      </c>
      <c r="CD326" s="411">
        <f t="shared" si="216"/>
        <v>168.2</v>
      </c>
      <c r="CE326" s="410">
        <f t="shared" si="217"/>
        <v>0</v>
      </c>
      <c r="CF326" s="404" t="s">
        <v>547</v>
      </c>
      <c r="CG326" s="409" t="s">
        <v>4567</v>
      </c>
      <c r="CH326" s="420" t="str">
        <f t="shared" si="185"/>
        <v>ToyoLi - GREEN</v>
      </c>
      <c r="CI326" s="409">
        <v>27</v>
      </c>
      <c r="CJ326" s="411">
        <f>IF(CI326=0,0,IF($LB326=70%,VLOOKUP($CH326,'Jan-2026 rates'!$L:$R,4,0),IF($LB326=65%,VLOOKUP($CH326,'Jan-2026 rates'!$L:$R,4,0),IF($LB326=40%,VLOOKUP($CH326,'Jan-2026 rates'!$L:$R,5,0),IF($LB326=30%,VLOOKUP($CH326,'Jan-2026 rates'!$L:$R,6,0),IF($LB326=100%,VLOOKUP($CH326,'Jan-2026 rates'!$L:$R,7,0),IF($LB326=60%,VLOOKUP($CH326,'Jan-2026 rates'!$L:$S,8,0),IF($LB326=80%,VLOOKUP($CH326,'Jan-2026 rates'!L:T,9,0),0))))))))</f>
        <v>0</v>
      </c>
      <c r="CK326" s="412"/>
      <c r="CL326" s="409"/>
      <c r="CM326" s="411">
        <f>IF(CL326=0,0,IF($LB326=70%,VLOOKUP($CH326,'Jan-2026 rates'!$L:$R,4,0),IF($LB326=65%,VLOOKUP($CH326,'Jan-2026 rates'!$L:$R,4,0),IF($LB326=40%,VLOOKUP($CH326,'Jan-2026 rates'!$L:$R,5,0),IF($LB326=30%,VLOOKUP($CH326,'Jan-2026 rates'!$L:$R,6,0),IF($LB326=100%,VLOOKUP($CH326,'Jan-2026 rates'!$L:$R,7,0),IF($LB326=60%,VLOOKUP($CH326,'Jan-2026 rates'!$L:$S,8,0),IF($LB326=80%,VLOOKUP($CH326,'Jan-2026 rates'!L:T,9,0),0))))))))</f>
        <v>0</v>
      </c>
      <c r="CN326" s="426" t="s">
        <v>1247</v>
      </c>
      <c r="CO326" s="427"/>
      <c r="CP326" s="426"/>
      <c r="CQ326" s="426"/>
      <c r="CR326" s="428"/>
      <c r="CS326" s="428"/>
      <c r="CT326" s="428"/>
      <c r="CU326" s="428"/>
      <c r="CV326" s="409">
        <v>2</v>
      </c>
      <c r="CW326" s="398">
        <f>IF(CV326=0,0,IF(LEN(CN326)=11,_xlfn.XLOOKUP(CN326,'Dispensed Ink Rates'!C:C,'Dispensed Ink Rates'!CS:CS),VLOOKUP(CN326,'Jan-2026 rates'!$E:$F,2,0)))</f>
        <v>0</v>
      </c>
      <c r="CX326" s="409"/>
      <c r="CY326" s="398">
        <f>IF(CX326=0,0,IF(LEN(CO326)=11,_xlfn.XLOOKUP(CO326,'Dispensed Ink Rates'!C:C,'Dispensed Ink Rates'!CS:CS),VLOOKUP(CO326,'Jan-2026 rates'!$E:$F,2,0)))</f>
        <v>0</v>
      </c>
      <c r="CZ326" s="409"/>
      <c r="DA326" s="398">
        <f>IF(CZ326=0,0,IF(LEN(CP326)=11,_xlfn.XLOOKUP(CP326,'Dispensed Ink Rates'!C:C,'Dispensed Ink Rates'!CS:CS),VLOOKUP(CP326,'Jan-2026 rates'!$E:$F,2,0)))</f>
        <v>0</v>
      </c>
      <c r="DB326" s="409"/>
      <c r="DC326" s="398">
        <f>IF(DB326=0,0,IF(LEN(CQ326)=11,_xlfn.XLOOKUP(CQ326,'Dispensed Ink Rates'!C:C,'Dispensed Ink Rates'!CS:CS),VLOOKUP(CQ326,'Jan-2026 rates'!$E:$F,2,0)))</f>
        <v>0</v>
      </c>
      <c r="DD326" s="409"/>
      <c r="DE326" s="398">
        <f>IF(DD326=0,0,IF(LEN(CR326)=11,_xlfn.XLOOKUP(CR326,'Dispensed Ink Rates'!C:C,'Dispensed Ink Rates'!CS:CS),VLOOKUP(CR326,'Jan-2026 rates'!$E:$F,2,0)))</f>
        <v>0</v>
      </c>
      <c r="DF326" s="409"/>
      <c r="DG326" s="398">
        <f>IF(DF326=0,0,IF(LEN(CS326)=11,_xlfn.XLOOKUP(CS326,'Dispensed Ink Rates'!C:C,'Dispensed Ink Rates'!CS:CS),VLOOKUP(CS326,'Jan-2026 rates'!$E:$F,2,0)))</f>
        <v>0</v>
      </c>
      <c r="DH326" s="409"/>
      <c r="DI326" s="398">
        <f>IF(DH326=0,0,IF(LEN(CT326)=11,_xlfn.XLOOKUP(CT326,'Dispensed Ink Rates'!C:C,'Dispensed Ink Rates'!CS:CS),VLOOKUP(CT326,'Jan-2026 rates'!$E:$F,2,0)))</f>
        <v>0</v>
      </c>
      <c r="DJ326" s="409"/>
      <c r="DK326" s="398">
        <f>IF(DJ326=0,0,IF(LEN(CU326)=11,_xlfn.XLOOKUP(CU326,'Dispensed Ink Rates'!C:C,'Dispensed Ink Rates'!CS:CS),VLOOKUP(CU326,'Jan-2026 rates'!$E:$F,2,0)))</f>
        <v>0</v>
      </c>
      <c r="DL326" s="409" t="s">
        <v>1881</v>
      </c>
      <c r="DM326" s="409">
        <f>16+4</f>
        <v>20</v>
      </c>
      <c r="DN326" s="411">
        <f t="shared" si="218"/>
        <v>0</v>
      </c>
      <c r="DO326" s="411">
        <f t="shared" si="219"/>
        <v>15.899999999999999</v>
      </c>
      <c r="DP326" s="410">
        <f t="shared" si="220"/>
        <v>0</v>
      </c>
      <c r="DQ326" s="405" t="s">
        <v>856</v>
      </c>
      <c r="DR326" s="409" t="s">
        <v>4568</v>
      </c>
      <c r="DS326" s="420" t="str">
        <f t="shared" si="186"/>
        <v>ToyoLi - WHITE</v>
      </c>
      <c r="DT326" s="409">
        <v>30</v>
      </c>
      <c r="DU326" s="411">
        <f>IF(DT326=0,0,IF($LB326=70%,VLOOKUP($DS326,'Jan-2026 rates'!$L:$R,4,0),IF($LB326=65%,VLOOKUP($DS326,'Jan-2026 rates'!$L:$R,4,0),IF($LB326=40%,VLOOKUP($DS326,'Jan-2026 rates'!$L:$R,5,0),IF($LB326=30%,VLOOKUP($DS326,'Jan-2026 rates'!$L:$R,6,0),IF($LB326=100%,VLOOKUP($DS326,'Jan-2026 rates'!$L:$R,7,0),IF($LB326=60%,VLOOKUP($DS326,'Jan-2026 rates'!$L:$S,8,0),IF($LB326=80%,VLOOKUP($DS326,'Jan-2026 rates'!L:T,9,0),0))))))))</f>
        <v>0</v>
      </c>
      <c r="DV326" s="412"/>
      <c r="DW326" s="409"/>
      <c r="DX326" s="411">
        <f>IF(DW326=0,0,IF($LB326=70%,VLOOKUP($DS326,'Jan-2026 rates'!$L:$R,4,0),IF($LB326=65%,VLOOKUP($DS326,'Jan-2026 rates'!$L:$R,4,0),IF($LB326=40%,VLOOKUP($DS326,'Jan-2026 rates'!$L:$R,5,0),IF($LB326=30%,VLOOKUP($DS326,'Jan-2026 rates'!$L:$R,6,0),IF($LB326=100%,VLOOKUP($DS326,'Jan-2026 rates'!$L:$R,7,0),IF($LB326=60%,VLOOKUP($DS326,'Jan-2026 rates'!$L:$S,8,0),IF($LB326=80%,VLOOKUP($DS326,'Jan-2026 rates'!L:T,9,0),0))))))))</f>
        <v>0</v>
      </c>
      <c r="DY326" s="413" t="s">
        <v>1249</v>
      </c>
      <c r="DZ326" s="413" t="s">
        <v>1122</v>
      </c>
      <c r="EA326" s="412"/>
      <c r="EB326" s="412"/>
      <c r="EC326" s="412"/>
      <c r="ED326" s="412"/>
      <c r="EE326" s="412"/>
      <c r="EF326" s="412"/>
      <c r="EG326" s="409">
        <f>100+40</f>
        <v>140</v>
      </c>
      <c r="EH326" s="398">
        <f>IF(EG326=0,0,IF(LEN(DY326)=11,_xlfn.XLOOKUP(DY326,'Dispensed Ink Rates'!C:C,'Dispensed Ink Rates'!CS:CS),VLOOKUP(DY326,'Jan-2026 rates'!$E:$F,2,0)))</f>
        <v>0</v>
      </c>
      <c r="EI326" s="409">
        <v>9.3699999999999992</v>
      </c>
      <c r="EJ326" s="398">
        <f>IF(EI326=0,0,IF(LEN(DZ326)=11,_xlfn.XLOOKUP(DZ326,'Dispensed Ink Rates'!C:C,'Dispensed Ink Rates'!CS:CS),VLOOKUP(DZ326,'Jan-2026 rates'!$E:$F,2,0)))</f>
        <v>0</v>
      </c>
      <c r="EK326" s="409"/>
      <c r="EL326" s="398">
        <f>IF(EK326=0,0,IF(LEN(EA326)=11,_xlfn.XLOOKUP(EA326,'Dispensed Ink Rates'!C:C,'Dispensed Ink Rates'!CS:CS),VLOOKUP(EA326,'Jan-2026 rates'!$E:$F,2,0)))</f>
        <v>0</v>
      </c>
      <c r="EM326" s="409"/>
      <c r="EN326" s="398">
        <f>IF(EM326=0,0,IF(LEN(EB326)=11,_xlfn.XLOOKUP(EB326,'Dispensed Ink Rates'!C:C,'Dispensed Ink Rates'!CS:CS),VLOOKUP(EB326,'Jan-2026 rates'!$E:$F,2,0)))</f>
        <v>0</v>
      </c>
      <c r="EO326" s="409"/>
      <c r="EP326" s="398">
        <f>IF(EO326=0,0,IF(LEN(EC326)=11,_xlfn.XLOOKUP(EC326,'Dispensed Ink Rates'!C:C,'Dispensed Ink Rates'!CS:CS),VLOOKUP(EC326,'Jan-2026 rates'!$E:$F,2,0)))</f>
        <v>0</v>
      </c>
      <c r="EQ326" s="409"/>
      <c r="ER326" s="398">
        <f>IF(EQ326=0,0,IF(LEN(ED326)=11,_xlfn.XLOOKUP(ED326,'Dispensed Ink Rates'!C:C,'Dispensed Ink Rates'!CS:CS),VLOOKUP(ED326,'Jan-2026 rates'!$E:$F,2,0)))</f>
        <v>0</v>
      </c>
      <c r="ES326" s="409"/>
      <c r="ET326" s="398">
        <f>IF(ES326=0,0,IF(LEN(EE326)=11,_xlfn.XLOOKUP(EE326,'Dispensed Ink Rates'!C:C,'Dispensed Ink Rates'!CS:CS),VLOOKUP(EE326,'Jan-2026 rates'!$E:$F,2,0)))</f>
        <v>0</v>
      </c>
      <c r="EU326" s="409"/>
      <c r="EV326" s="398">
        <f>IF(EU326=0,0,IF(LEN(EF326)=11,_xlfn.XLOOKUP(EF326,'Dispensed Ink Rates'!C:C,'Dispensed Ink Rates'!CS:CS),VLOOKUP(EF326,'Jan-2026 rates'!$E:$F,2,0)))</f>
        <v>0</v>
      </c>
      <c r="EW326" s="409" t="s">
        <v>1881</v>
      </c>
      <c r="EX326" s="409">
        <v>30</v>
      </c>
      <c r="EY326" s="411">
        <f t="shared" si="221"/>
        <v>0</v>
      </c>
      <c r="EZ326" s="411">
        <f t="shared" si="222"/>
        <v>356.37</v>
      </c>
      <c r="FA326" s="410">
        <f t="shared" si="223"/>
        <v>0</v>
      </c>
      <c r="FB326" s="405"/>
      <c r="FC326" s="409"/>
      <c r="FD326" s="420" t="str">
        <f t="shared" si="187"/>
        <v xml:space="preserve"> - </v>
      </c>
      <c r="FE326" s="409"/>
      <c r="FF326" s="411">
        <f>IF(FE326=0,0,IF($LB326=70%,VLOOKUP($FD326,'Jan-2026 rates'!$L:$R,4,0),IF($LB326=65%,VLOOKUP($FD326,'Jan-2026 rates'!$L:$R,4,0),IF($LB326=40%,VLOOKUP($FD326,'Jan-2026 rates'!$L:$R,5,0),IF($LB326=30%,VLOOKUP($FD326,'Jan-2026 rates'!$L:$R,6,0),IF($LB326=100%,VLOOKUP($FD326,'Jan-2026 rates'!$L:$R,7,0),IF($LB326=60%,VLOOKUP($FD326,'Jan-2026 rates'!$L:$S,8,0),IF($LB326=80%,VLOOKUP($FD326,'Jan-2026 rates'!L:T,9,0),0))))))))</f>
        <v>0</v>
      </c>
      <c r="FG326" s="412"/>
      <c r="FH326" s="409"/>
      <c r="FI326" s="411">
        <f>IF(FH326=0,0,IF($LB326=70%,VLOOKUP($FD326,'Jan-2026 rates'!$L:$R,4,0),IF($LB326=65%,VLOOKUP($FD326,'Jan-2026 rates'!$L:$R,4,0),IF($LB326=40%,VLOOKUP($FD326,'Jan-2026 rates'!$L:$R,5,0),IF($LB326=30%,VLOOKUP($FD326,'Jan-2026 rates'!$L:$R,6,0),IF($LB326=100%,VLOOKUP($FD326,'Jan-2026 rates'!$L:$R,7,0),IF($LB326=60%,VLOOKUP($FD326,'Jan-2026 rates'!$L:$S,8,0),IF($LB326=80%,VLOOKUP($FD326,'Jan-2026 rates'!L:T,9,0),0))))))))</f>
        <v>0</v>
      </c>
      <c r="FJ326" s="413"/>
      <c r="FK326" s="413"/>
      <c r="FL326" s="413"/>
      <c r="FM326" s="412"/>
      <c r="FN326" s="412"/>
      <c r="FO326" s="412"/>
      <c r="FP326" s="412"/>
      <c r="FQ326" s="412"/>
      <c r="FR326" s="409"/>
      <c r="FS326" s="398">
        <f>IF(FR326=0,0,IF(LEN(FJ326)=11,_xlfn.XLOOKUP(FJ326,'Dispensed Ink Rates'!C:C,'Dispensed Ink Rates'!CS:CS),VLOOKUP(FJ326,'Jan-2026 rates'!$E:$F,2,0)))</f>
        <v>0</v>
      </c>
      <c r="FT326" s="409"/>
      <c r="FU326" s="398">
        <f>IF(FT326=0,0,IF(LEN(FK326)=11,_xlfn.XLOOKUP(FK326,'Dispensed Ink Rates'!C:C,'Dispensed Ink Rates'!CS:CS),VLOOKUP(FK326,'Jan-2026 rates'!$E:$F,2,0)))</f>
        <v>0</v>
      </c>
      <c r="FV326" s="409"/>
      <c r="FW326" s="398">
        <f>IF(FV326=0,0,IF(LEN(FL326)=11,_xlfn.XLOOKUP(FL326,'Dispensed Ink Rates'!C:C,'Dispensed Ink Rates'!CS:CS),VLOOKUP(FL326,'Jan-2026 rates'!$E:$F,2,0)))</f>
        <v>0</v>
      </c>
      <c r="FX326" s="409"/>
      <c r="FY326" s="398">
        <f>IF(FX326=0,0,IF(LEN(FM326)=11,_xlfn.XLOOKUP(FM326,'Dispensed Ink Rates'!C:C,'Dispensed Ink Rates'!CS:CS),VLOOKUP(FM326,'Jan-2026 rates'!$E:$F,2,0)))</f>
        <v>0</v>
      </c>
      <c r="FZ326" s="409"/>
      <c r="GA326" s="398">
        <f>IF(FZ326=0,0,IF(LEN(FN326)=11,_xlfn.XLOOKUP(FN326,'Dispensed Ink Rates'!C:C,'Dispensed Ink Rates'!CS:CS),VLOOKUP(FN326,'Jan-2026 rates'!$E:$F,2,0)))</f>
        <v>0</v>
      </c>
      <c r="GB326" s="409"/>
      <c r="GC326" s="398">
        <f>IF(GB326=0,0,IF(LEN(FO326)=11,_xlfn.XLOOKUP(FO326,'Dispensed Ink Rates'!C:C,'Dispensed Ink Rates'!CS:CS),VLOOKUP(FO326,'Jan-2026 rates'!$E:$F,2,0)))</f>
        <v>0</v>
      </c>
      <c r="GD326" s="409"/>
      <c r="GE326" s="398">
        <f>IF(GD326=0,0,IF(LEN(FP326)=11,_xlfn.XLOOKUP(FP326,'Dispensed Ink Rates'!C:C,'Dispensed Ink Rates'!CS:CS),VLOOKUP(FP326,'Jan-2026 rates'!$E:$F,2,0)))</f>
        <v>0</v>
      </c>
      <c r="GF326" s="409"/>
      <c r="GG326" s="398">
        <f>IF(GF326=0,0,IF(LEN(FQ326)=11,_xlfn.XLOOKUP(FQ326,'Dispensed Ink Rates'!C:C,'Dispensed Ink Rates'!CS:CS),VLOOKUP(FQ326,'Jan-2026 rates'!$E:$F,2,0)))</f>
        <v>0</v>
      </c>
      <c r="GH326" s="409"/>
      <c r="GI326" s="409"/>
      <c r="GJ326" s="411">
        <f t="shared" si="224"/>
        <v>0</v>
      </c>
      <c r="GK326" s="411">
        <f t="shared" si="225"/>
        <v>0</v>
      </c>
      <c r="GL326" s="410">
        <f t="shared" si="226"/>
        <v>0</v>
      </c>
      <c r="GM326" s="405"/>
      <c r="GN326" s="409"/>
      <c r="GO326" s="420" t="str">
        <f t="shared" si="188"/>
        <v xml:space="preserve"> - </v>
      </c>
      <c r="GP326" s="409"/>
      <c r="GQ326" s="411">
        <f>IF(GP326=0,0,IF($LB326=70%,VLOOKUP($GO326,'Jan-2026 rates'!$L:$R,4,0),IF($LB326=65%,VLOOKUP($GO326,'Jan-2026 rates'!$L:$R,4,0),IF($LB326=40%,VLOOKUP($GO326,'Jan-2026 rates'!$L:$R,5,0),IF($LB326=30%,VLOOKUP($GO326,'Jan-2026 rates'!$L:$R,6,0),IF($LB326=100%,VLOOKUP($GO326,'Jan-2026 rates'!$L:$R,7,0),IF($LB326=60%,VLOOKUP($GO326,'Jan-2026 rates'!$L:$S,8,0),IF($LB326=80%,VLOOKUP($GO326,'Jan-2026 rates'!L:T,9,0),0))))))))</f>
        <v>0</v>
      </c>
      <c r="GR326" s="412"/>
      <c r="GS326" s="409"/>
      <c r="GT326" s="411">
        <f>IF(GS326=0,0,IF($LB326=70%,VLOOKUP($GO326,'Jan-2026 rates'!$L:$R,4,0),IF($LB326=65%,VLOOKUP($GO326,'Jan-2026 rates'!$L:$R,4,0),IF($LB326=40%,VLOOKUP($GO326,'Jan-2026 rates'!$L:$R,5,0),IF($LB326=30%,VLOOKUP($GO326,'Jan-2026 rates'!$L:$R,6,0),IF($LB326=100%,VLOOKUP($GO326,'Jan-2026 rates'!$L:$R,7,0),IF($LB326=60%,VLOOKUP($GO326,'Jan-2026 rates'!$L:$S,8,0),IF($LB326=80%,VLOOKUP($GO326,'Jan-2026 rates'!L:T,9,0),0))))))))</f>
        <v>0</v>
      </c>
      <c r="GU326" s="413"/>
      <c r="GV326" s="413"/>
      <c r="GW326" s="412"/>
      <c r="GX326" s="412"/>
      <c r="GY326" s="412"/>
      <c r="GZ326" s="412"/>
      <c r="HA326" s="412"/>
      <c r="HB326" s="412"/>
      <c r="HC326" s="409"/>
      <c r="HD326" s="398">
        <f>IF(HC326=0,0,IF(LEN(GU326)=11,_xlfn.XLOOKUP(GU326,'Dispensed Ink Rates'!C:C,'Dispensed Ink Rates'!CS:CS),VLOOKUP(GU326,'Jan-2026 rates'!$E:$F,2,0)))</f>
        <v>0</v>
      </c>
      <c r="HE326" s="409"/>
      <c r="HF326" s="398">
        <f>IF(HE326=0,0,IF(LEN(GV326)=11,_xlfn.XLOOKUP(GV326,'Dispensed Ink Rates'!C:C,'Dispensed Ink Rates'!CS:CS),VLOOKUP(GV326,'Jan-2026 rates'!$E:$F,2,0)))</f>
        <v>0</v>
      </c>
      <c r="HG326" s="409"/>
      <c r="HH326" s="398">
        <f>IF(HG326=0,0,IF(LEN(GW326)=11,_xlfn.XLOOKUP(GW326,'Dispensed Ink Rates'!C:C,'Dispensed Ink Rates'!CS:CS),VLOOKUP(GW326,'Jan-2026 rates'!$E:$F,2,0)))</f>
        <v>0</v>
      </c>
      <c r="HI326" s="409"/>
      <c r="HJ326" s="398">
        <f>IF(HI326=0,0,IF(LEN(GX326)=11,_xlfn.XLOOKUP(GX326,'Dispensed Ink Rates'!C:C,'Dispensed Ink Rates'!CS:CS),VLOOKUP(GX326,'Jan-2026 rates'!$E:$F,2,0)))</f>
        <v>0</v>
      </c>
      <c r="HK326" s="409"/>
      <c r="HL326" s="398">
        <f>IF(HK326=0,0,IF(LEN(GY326)=11,_xlfn.XLOOKUP(GY326,'Dispensed Ink Rates'!C:C,'Dispensed Ink Rates'!CS:CS),VLOOKUP(GY326,'Jan-2026 rates'!$E:$F,2,0)))</f>
        <v>0</v>
      </c>
      <c r="HM326" s="409"/>
      <c r="HN326" s="398">
        <f>IF(HM326=0,0,IF(LEN(GZ326)=11,_xlfn.XLOOKUP(GZ326,'Dispensed Ink Rates'!C:C,'Dispensed Ink Rates'!CS:CS),VLOOKUP(GZ326,'Jan-2026 rates'!$E:$F,2,0)))</f>
        <v>0</v>
      </c>
      <c r="HO326" s="409"/>
      <c r="HP326" s="398">
        <f>IF(HO326=0,0,IF(LEN(HA326)=11,_xlfn.XLOOKUP(HA326,'Dispensed Ink Rates'!C:C,'Dispensed Ink Rates'!CS:CS),VLOOKUP(HA326,'Jan-2026 rates'!$E:$F,2,0)))</f>
        <v>0</v>
      </c>
      <c r="HQ326" s="409"/>
      <c r="HR326" s="398">
        <f>IF(HQ326=0,0,IF(LEN(HB326)=11,_xlfn.XLOOKUP(HB326,'Dispensed Ink Rates'!C:C,'Dispensed Ink Rates'!CS:CS),VLOOKUP(HB326,'Jan-2026 rates'!$E:$F,2,0)))</f>
        <v>0</v>
      </c>
      <c r="HS326" s="409"/>
      <c r="HT326" s="409"/>
      <c r="HU326" s="411">
        <f t="shared" si="227"/>
        <v>0</v>
      </c>
      <c r="HV326" s="411">
        <f t="shared" si="228"/>
        <v>0</v>
      </c>
      <c r="HW326" s="414">
        <f t="shared" si="229"/>
        <v>0</v>
      </c>
      <c r="HX326" s="405"/>
      <c r="HY326" s="409"/>
      <c r="HZ326" s="420" t="str">
        <f t="shared" si="189"/>
        <v xml:space="preserve"> - </v>
      </c>
      <c r="IA326" s="409"/>
      <c r="IB326" s="411">
        <f>IF(IA326=0,0,IF($LB326=70%,VLOOKUP($HZ326,'Jan-2026 rates'!$L:$R,4,0),IF($LB326=65%,VLOOKUP($HZ326,'Jan-2026 rates'!$L:$R,4,0),IF($LB326=40%,VLOOKUP($HZ326,'Jan-2026 rates'!$L:$R,5,0),IF($LB326=30%,VLOOKUP($HZ326,'Jan-2026 rates'!$L:$R,6,0),IF($LB326=100%,VLOOKUP($HZ326,'Jan-2026 rates'!$L:$R,7,0),IF($LB326=60%,VLOOKUP($HZ326,'Jan-2026 rates'!$L:$S,8,0),IF($LB326=80%,VLOOKUP($HZ326,'Jan-2026 rates'!L:T,9,0),0))))))))</f>
        <v>0</v>
      </c>
      <c r="IC326" s="412"/>
      <c r="ID326" s="409"/>
      <c r="IE326" s="411">
        <f>IF(ID326=0,0,IF($LB326=70%,VLOOKUP($HZ326,'Jan-2026 rates'!$L:$R,4,0),IF($LB326=65%,VLOOKUP($HZ326,'Jan-2026 rates'!$L:$R,4,0),IF($LB326=40%,VLOOKUP($HZ326,'Jan-2026 rates'!$L:$R,5,0),IF($LB326=30%,VLOOKUP($HZ326,'Jan-2026 rates'!$L:$R,6,0),IF($LB326=100%,VLOOKUP($HZ326,'Jan-2026 rates'!$L:$R,7,0),IF($LB326=60%,VLOOKUP($HZ326,'Jan-2026 rates'!$L:$S,8,0),IF($LB326=80%,VLOOKUP($HZ326,'Jan-2026 rates'!L:T,9,0),0))))))))</f>
        <v>0</v>
      </c>
      <c r="IF326" s="412"/>
      <c r="IG326" s="413"/>
      <c r="IH326" s="412"/>
      <c r="II326" s="412"/>
      <c r="IJ326" s="412"/>
      <c r="IK326" s="412"/>
      <c r="IL326" s="412"/>
      <c r="IM326" s="412"/>
      <c r="IN326" s="409"/>
      <c r="IO326" s="398">
        <f>IF(IN326=0,0,IF(LEN(IF326)=11,_xlfn.XLOOKUP(IF326,'Dispensed Ink Rates'!C:C,'Dispensed Ink Rates'!CS:CS),VLOOKUP(IF326,'Jan-2026 rates'!$E:$F,2,0)))</f>
        <v>0</v>
      </c>
      <c r="IP326" s="409"/>
      <c r="IQ326" s="398">
        <f>IF(IP326=0,0,IF(LEN(IG326)=11,_xlfn.XLOOKUP(IG326,'Dispensed Ink Rates'!C:C,'Dispensed Ink Rates'!CS:CS),VLOOKUP(IG326,'Jan-2026 rates'!$E:$F,2,0)))</f>
        <v>0</v>
      </c>
      <c r="IR326" s="409"/>
      <c r="IS326" s="398">
        <f>IF(IR326=0,0,IF(LEN(IH326)=11,_xlfn.XLOOKUP(IH326,'Dispensed Ink Rates'!C:C,'Dispensed Ink Rates'!CS:CS),VLOOKUP(IH326,'Jan-2026 rates'!$E:$F,2,0)))</f>
        <v>0</v>
      </c>
      <c r="IT326" s="409"/>
      <c r="IU326" s="398">
        <f>IF(IT326=0,0,IF(LEN(II326)=11,_xlfn.XLOOKUP(II326,'Dispensed Ink Rates'!C:C,'Dispensed Ink Rates'!CS:CS),VLOOKUP(II326,'Jan-2026 rates'!$E:$F,2,0)))</f>
        <v>0</v>
      </c>
      <c r="IV326" s="409"/>
      <c r="IW326" s="398">
        <f>IF(IV326=0,0,IF(LEN(IJ326)=11,_xlfn.XLOOKUP(IJ326,'Dispensed Ink Rates'!C:C,'Dispensed Ink Rates'!CS:CS),VLOOKUP(IJ326,'Jan-2026 rates'!$E:$F,2,0)))</f>
        <v>0</v>
      </c>
      <c r="IX326" s="409"/>
      <c r="IY326" s="398">
        <f>IF(IX326=0,0,IF(LEN(IK326)=11,_xlfn.XLOOKUP(IK326,'Dispensed Ink Rates'!C:C,'Dispensed Ink Rates'!CS:CS),VLOOKUP(IK326,'Jan-2026 rates'!$E:$F,2,0)))</f>
        <v>0</v>
      </c>
      <c r="IZ326" s="409"/>
      <c r="JA326" s="398">
        <f>IF(IZ326=0,0,IF(LEN(IL326)=11,_xlfn.XLOOKUP(IL326,'Dispensed Ink Rates'!C:C,'Dispensed Ink Rates'!CS:CS),VLOOKUP(IL326,'Jan-2026 rates'!$E:$F,2,0)))</f>
        <v>0</v>
      </c>
      <c r="JB326" s="409"/>
      <c r="JC326" s="398">
        <f>IF(JB326=0,0,IF(LEN(IM326)=11,_xlfn.XLOOKUP(IM326,'Dispensed Ink Rates'!C:C,'Dispensed Ink Rates'!CS:CS),VLOOKUP(IM326,'Jan-2026 rates'!$E:$F,2,0)))</f>
        <v>0</v>
      </c>
      <c r="JD326" s="409"/>
      <c r="JE326" s="409"/>
      <c r="JF326" s="411">
        <f t="shared" si="230"/>
        <v>0</v>
      </c>
      <c r="JG326" s="411">
        <f t="shared" si="231"/>
        <v>0</v>
      </c>
      <c r="JH326" s="410">
        <f t="shared" si="232"/>
        <v>0</v>
      </c>
      <c r="JI326" s="405"/>
      <c r="JJ326" s="409"/>
      <c r="JK326" s="420" t="str">
        <f t="shared" si="190"/>
        <v xml:space="preserve"> - </v>
      </c>
      <c r="JL326" s="409"/>
      <c r="JM326" s="411">
        <f>IF(JL326=0,0,IF($LB326=70%,VLOOKUP($JK326,'Jan-2026 rates'!$L:$R,4,0),IF($LB326=65%,VLOOKUP($JK326,'Jan-2026 rates'!$L:$R,4,0),IF($LB326=40%,VLOOKUP($JK326,'Jan-2026 rates'!$L:$R,5,0),IF($LB326=30%,VLOOKUP($JK326,'Jan-2026 rates'!$L:$R,6,0),IF($LB326=100%,VLOOKUP($JK326,'Jan-2026 rates'!$L:$R,7,0),IF($LB326=60%,VLOOKUP($JK326,'Jan-2026 rates'!$L:$S,8,0),IF($LB326=80%,VLOOKUP($JK326,'Jan-2026 rates'!L:T,9,0),0))))))))</f>
        <v>0</v>
      </c>
      <c r="JN326" s="412"/>
      <c r="JO326" s="409"/>
      <c r="JP326" s="411">
        <f>IF(JO326=0,0,IF($LB326=70%,VLOOKUP($JK326,'Jan-2026 rates'!$L:$R,4,0),IF($LB326=65%,VLOOKUP($JK326,'Jan-2026 rates'!$L:$R,4,0),IF($LB326=40%,VLOOKUP($JK326,'Jan-2026 rates'!$L:$R,5,0),IF($LB326=30%,VLOOKUP($JK326,'Jan-2026 rates'!$L:$R,6,0),IF($LB326=100%,VLOOKUP($JK326,'Jan-2026 rates'!$L:$R,7,0),IF($LB326=60%,VLOOKUP($JK326,'Jan-2026 rates'!$L:$S,8,0),IF($LB326=80%,VLOOKUP($JK326,'Jan-2026 rates'!L:T,9,0),0))))))))</f>
        <v>0</v>
      </c>
      <c r="JQ326" s="413"/>
      <c r="JR326" s="412"/>
      <c r="JS326" s="413"/>
      <c r="JT326" s="413"/>
      <c r="JU326" s="412"/>
      <c r="JV326" s="412"/>
      <c r="JW326" s="412"/>
      <c r="JX326" s="412"/>
      <c r="JY326" s="409"/>
      <c r="JZ326" s="398">
        <f>IF(JY326=0,0,IF(LEN(JQ326)=11,_xlfn.XLOOKUP(JQ326,'Dispensed Ink Rates'!C:C,'Dispensed Ink Rates'!CS:CS),VLOOKUP(JQ326,'Jan-2026 rates'!$E:$F,2,0)))</f>
        <v>0</v>
      </c>
      <c r="KA326" s="409"/>
      <c r="KB326" s="398">
        <f>IF(KA326=0,0,IF(LEN(JR326)=11,_xlfn.XLOOKUP(JR326,'Dispensed Ink Rates'!C:C,'Dispensed Ink Rates'!CS:CS),VLOOKUP(JR326,'Jan-2026 rates'!$E:$F,2,0)))</f>
        <v>0</v>
      </c>
      <c r="KC326" s="409"/>
      <c r="KD326" s="398">
        <f>IF(KC326=0,0,IF(LEN(JS326)=11,_xlfn.XLOOKUP(JS326,'Dispensed Ink Rates'!C:C,'Dispensed Ink Rates'!CS:CS),VLOOKUP(JS326,'Jan-2026 rates'!$E:$F,2,0)))</f>
        <v>0</v>
      </c>
      <c r="KE326" s="409"/>
      <c r="KF326" s="398">
        <f>IF(KE326=0,0,IF(LEN(JT326)=11,_xlfn.XLOOKUP(JT326,'Dispensed Ink Rates'!C:C,'Dispensed Ink Rates'!CS:CS),VLOOKUP(JT326,'Jan-2026 rates'!$E:$F,2,0)))</f>
        <v>0</v>
      </c>
      <c r="KG326" s="409"/>
      <c r="KH326" s="398">
        <f>IF(KG326=0,0,IF(LEN(JU326)=11,_xlfn.XLOOKUP(JU326,'Dispensed Ink Rates'!C:C,'Dispensed Ink Rates'!CS:CS),VLOOKUP(JU326,'Jan-2026 rates'!$E:$F,2,0)))</f>
        <v>0</v>
      </c>
      <c r="KI326" s="409"/>
      <c r="KJ326" s="398">
        <f>IF(KI326=0,0,IF(LEN(JV326)=11,_xlfn.XLOOKUP(JV326,'Dispensed Ink Rates'!C:C,'Dispensed Ink Rates'!CS:CS),VLOOKUP(JV326,'Jan-2026 rates'!$E:$F,2,0)))</f>
        <v>0</v>
      </c>
      <c r="KK326" s="409"/>
      <c r="KL326" s="398">
        <f>IF(KK326=0,0,IF(LEN(JW326)=11,_xlfn.XLOOKUP(JW326,'Dispensed Ink Rates'!C:C,'Dispensed Ink Rates'!CS:CS),VLOOKUP(JW326,'Jan-2026 rates'!$E:$F,2,0)))</f>
        <v>0</v>
      </c>
      <c r="KM326" s="428"/>
      <c r="KN326" s="398">
        <f>IF(KM326=0,0,IF(LEN(JX326)=11,_xlfn.XLOOKUP(JX326,'Dispensed Ink Rates'!C:C,'Dispensed Ink Rates'!CS:CS),VLOOKUP(JX326,'Jan-2026 rates'!$E:$F,2,0)))</f>
        <v>0</v>
      </c>
      <c r="KO326" s="409"/>
      <c r="KP326" s="409"/>
      <c r="KQ326" s="411">
        <f t="shared" si="233"/>
        <v>0</v>
      </c>
      <c r="KR326" s="411">
        <f t="shared" si="234"/>
        <v>0</v>
      </c>
      <c r="KS326" s="410">
        <f t="shared" si="235"/>
        <v>0</v>
      </c>
      <c r="KT326" s="409">
        <v>2</v>
      </c>
      <c r="KU326" s="409">
        <f>6+10</f>
        <v>16</v>
      </c>
      <c r="KV326" s="409">
        <v>2</v>
      </c>
      <c r="KW326" s="409">
        <f>40+20</f>
        <v>60</v>
      </c>
      <c r="KX326" s="409">
        <v>0</v>
      </c>
      <c r="KY326" s="409">
        <v>0</v>
      </c>
      <c r="KZ326" s="409">
        <v>0</v>
      </c>
      <c r="LA326" s="409">
        <v>0</v>
      </c>
      <c r="LB326" s="415">
        <v>0.3</v>
      </c>
      <c r="LC326" s="415"/>
      <c r="LD326" s="424"/>
      <c r="LE326" s="415">
        <v>0.5</v>
      </c>
      <c r="LF326" s="415">
        <v>0.2</v>
      </c>
      <c r="LG326" s="409">
        <v>0</v>
      </c>
      <c r="LH326" s="409">
        <f>60+56+45+75+5+5+30</f>
        <v>276</v>
      </c>
      <c r="LI326" s="409">
        <v>0</v>
      </c>
      <c r="LJ326" s="409">
        <v>0</v>
      </c>
      <c r="LK326" s="416">
        <f t="shared" si="191"/>
        <v>276</v>
      </c>
      <c r="LL326" s="416">
        <f t="shared" si="237"/>
        <v>276</v>
      </c>
      <c r="LM326" s="417">
        <f t="shared" si="193"/>
        <v>82.8</v>
      </c>
      <c r="LN326" s="417">
        <f>VLOOKUP($LM$8,'Jan-2026 rates'!$H:$I,2,0)</f>
        <v>0</v>
      </c>
      <c r="LO326" s="417">
        <f t="shared" si="194"/>
        <v>0</v>
      </c>
      <c r="LP326" s="417">
        <f>VLOOKUP($LO$8,'Jan-2026 rates'!$H:$I,2,0)</f>
        <v>0</v>
      </c>
      <c r="LQ326" s="417">
        <f t="shared" si="195"/>
        <v>0</v>
      </c>
      <c r="LR326" s="417">
        <f>VLOOKUP($LQ$8,'Jan-2026 rates'!$H:$I,2,0)</f>
        <v>0</v>
      </c>
      <c r="LS326" s="417">
        <f t="shared" si="196"/>
        <v>138</v>
      </c>
      <c r="LT326" s="417">
        <f>VLOOKUP($LS$8,'Jan-2026 rates'!$H:$I,2,0)</f>
        <v>0</v>
      </c>
      <c r="LU326" s="417">
        <f t="shared" si="197"/>
        <v>55.2</v>
      </c>
      <c r="LV326" s="417">
        <f>VLOOKUP($LU$8,'Jan-2026 rates'!$H:$I,2,0)</f>
        <v>0</v>
      </c>
      <c r="LW326" s="417">
        <f t="shared" si="198"/>
        <v>0</v>
      </c>
      <c r="LX326" s="417">
        <f t="shared" si="199"/>
        <v>0</v>
      </c>
      <c r="LY326" s="418">
        <f t="shared" si="200"/>
        <v>0</v>
      </c>
      <c r="LZ326" s="417"/>
      <c r="MA326" s="435">
        <f t="shared" si="201"/>
        <v>264.37</v>
      </c>
      <c r="MB326" s="282">
        <f t="shared" si="202"/>
        <v>551.37</v>
      </c>
      <c r="MC326" s="283" t="s">
        <v>2065</v>
      </c>
      <c r="MD326" s="284" t="str">
        <f t="shared" si="203"/>
        <v>ToyoLiToyoLiToyoLiToyoLi</v>
      </c>
      <c r="ME326" s="293" t="str">
        <f t="shared" si="204"/>
        <v>+</v>
      </c>
      <c r="MF326" s="293" t="str">
        <f t="shared" si="205"/>
        <v>+</v>
      </c>
      <c r="MG326" s="293" t="str">
        <f t="shared" si="206"/>
        <v>+</v>
      </c>
      <c r="MH326" s="293" t="str">
        <f t="shared" si="207"/>
        <v>+</v>
      </c>
      <c r="MI326" s="293" t="str">
        <f t="shared" si="208"/>
        <v>NIL</v>
      </c>
      <c r="MJ326" s="293" t="str">
        <f t="shared" si="209"/>
        <v>NIL</v>
      </c>
      <c r="MK326" s="293" t="str">
        <f t="shared" si="210"/>
        <v>NIL</v>
      </c>
      <c r="ML326" s="293" t="str">
        <f t="shared" si="211"/>
        <v>NIL</v>
      </c>
      <c r="MM326" s="3" t="b">
        <f t="array" ref="MM326">OR(ME326:ML326="-")</f>
        <v>0</v>
      </c>
      <c r="MO326" s="401">
        <f t="shared" si="238"/>
        <v>69.970812182741113</v>
      </c>
      <c r="MP326" s="286"/>
      <c r="MR326" s="402">
        <f t="shared" si="239"/>
        <v>8.3794832826747725E-3</v>
      </c>
      <c r="MS326" s="400">
        <f t="shared" si="240"/>
        <v>0</v>
      </c>
      <c r="MT326" s="285"/>
      <c r="NH326" s="361"/>
      <c r="NJ326" s="282"/>
    </row>
    <row r="327" spans="1:374" ht="16.5">
      <c r="A327" s="403">
        <v>46046</v>
      </c>
      <c r="B327" s="404" t="s">
        <v>1015</v>
      </c>
      <c r="C327" s="405" t="s">
        <v>4569</v>
      </c>
      <c r="D327" s="404" t="s">
        <v>2066</v>
      </c>
      <c r="E327" s="404">
        <v>254</v>
      </c>
      <c r="F327" s="407">
        <v>13600</v>
      </c>
      <c r="G327" s="407" t="s">
        <v>1016</v>
      </c>
      <c r="H327" s="408" t="s">
        <v>1017</v>
      </c>
      <c r="I327" s="409">
        <v>1.62</v>
      </c>
      <c r="J327" s="405" t="s">
        <v>543</v>
      </c>
      <c r="K327" s="404" t="s">
        <v>4570</v>
      </c>
      <c r="L327" s="419" t="str">
        <f t="shared" si="184"/>
        <v>ToyoLi - BLACK</v>
      </c>
      <c r="M327" s="404">
        <v>18</v>
      </c>
      <c r="N327" s="410">
        <f>IF(M327=0,0,IF($LB327=70%,VLOOKUP($L327,'Jan-2026 rates'!$L:$R,4,0),IF($LB327=65%,VLOOKUP($L327,'Jan-2026 rates'!$L:$R,4,0),IF($LB327=40%,VLOOKUP($L327,'Jan-2026 rates'!$L:$R,5,0),IF($LB327=30%,VLOOKUP($L327,'Jan-2026 rates'!$L:$R,6,0),IF($LB327=100%,VLOOKUP($L327,'Jan-2026 rates'!$L:$R,7,0),IF($LB327=60%,VLOOKUP($L327,'Jan-2026 rates'!$L:$S,8,0),IF($LB327=80%,VLOOKUP($L327,'Jan-2026 rates'!L:T,9,0),0))))))))</f>
        <v>0</v>
      </c>
      <c r="O327" s="406" t="s">
        <v>4571</v>
      </c>
      <c r="P327" s="404">
        <v>17</v>
      </c>
      <c r="Q327" s="410">
        <f>IF(P327=0,0,IF($LB327=70%,VLOOKUP($L327,'Jan-2026 rates'!$L:$R,4,0),IF($LB327=65%,VLOOKUP($L327,'Jan-2026 rates'!$L:$R,4,0),IF($LB327=40%,VLOOKUP($L327,'Jan-2026 rates'!$L:$R,5,0),IF($LB327=30%,VLOOKUP($L327,'Jan-2026 rates'!$L:$R,6,0),IF($LB327=100%,VLOOKUP($L327,'Jan-2026 rates'!$L:$R,7,0),IF($LB327=60%,VLOOKUP($L327,'Jan-2026 rates'!$L:$S,8,0),IF($LB327=80%,VLOOKUP($L327,'Jan-2026 rates'!L:T,9,0),0))))))))</f>
        <v>0</v>
      </c>
      <c r="R327" s="406" t="s">
        <v>1252</v>
      </c>
      <c r="S327" s="406"/>
      <c r="T327" s="406"/>
      <c r="U327" s="406"/>
      <c r="V327" s="406"/>
      <c r="W327" s="406"/>
      <c r="X327" s="406"/>
      <c r="Y327" s="406"/>
      <c r="Z327" s="404">
        <v>2</v>
      </c>
      <c r="AA327" s="398">
        <f>IF(Z327=0,0,IF(LEN(R327)=11,_xlfn.XLOOKUP(R327,'Dispensed Ink Rates'!C:C,'Dispensed Ink Rates'!CS:CS),VLOOKUP(R327,'Jan-2026 rates'!$E:$F,2,0)))</f>
        <v>0</v>
      </c>
      <c r="AB327" s="404"/>
      <c r="AC327" s="398">
        <f>IF(AB327=0,0,IF(LEN(S327)=11,_xlfn.XLOOKUP(S327,'Dispensed Ink Rates'!C:C,'Dispensed Ink Rates'!CS:CS),VLOOKUP(S327,'Jan-2026 rates'!$E:$F,2,0)))</f>
        <v>0</v>
      </c>
      <c r="AD327" s="404"/>
      <c r="AE327" s="398">
        <f>IF(AD327=0,0,IF(LEN(T327)=11,_xlfn.XLOOKUP(T327,'Dispensed Ink Rates'!C:C,'Dispensed Ink Rates'!CS:CS),VLOOKUP(T327,'Jan-2026 rates'!$E:$F,2,0)))</f>
        <v>0</v>
      </c>
      <c r="AF327" s="404"/>
      <c r="AG327" s="398">
        <f>IF(AF327=0,0,IF(LEN(U327)=11,_xlfn.XLOOKUP(U327,'Dispensed Ink Rates'!C:C,'Dispensed Ink Rates'!CS:CS),VLOOKUP(U327,'Jan-2026 rates'!$E:$F,2,0)))</f>
        <v>0</v>
      </c>
      <c r="AH327" s="404"/>
      <c r="AI327" s="398">
        <f>IF(AH327=0,0,IF(LEN(V327)=11,_xlfn.XLOOKUP(V327,'Dispensed Ink Rates'!C:C,'Dispensed Ink Rates'!CS:CS),VLOOKUP(V327,'Jan-2026 rates'!$E:$F,2,0)))</f>
        <v>0</v>
      </c>
      <c r="AJ327" s="404"/>
      <c r="AK327" s="398">
        <f>IF(AJ327=0,0,IF(LEN(W327)=11,_xlfn.XLOOKUP(W327,'Dispensed Ink Rates'!C:C,'Dispensed Ink Rates'!CS:CS),VLOOKUP(W327,'Jan-2026 rates'!$E:$F,2,0)))</f>
        <v>0</v>
      </c>
      <c r="AL327" s="404"/>
      <c r="AM327" s="398">
        <f>IF(AL327=0,0,IF(LEN(X327)=11,_xlfn.XLOOKUP(X327,'Dispensed Ink Rates'!C:C,'Dispensed Ink Rates'!CS:CS),VLOOKUP(X327,'Jan-2026 rates'!$E:$F,2,0)))</f>
        <v>0</v>
      </c>
      <c r="AN327" s="404"/>
      <c r="AO327" s="398">
        <f>IF(AN327=0,0,IF(LEN(Y327)=11,_xlfn.XLOOKUP(Y327,'Dispensed Ink Rates'!C:C,'Dispensed Ink Rates'!CS:CS),VLOOKUP(Y327,'Jan-2026 rates'!$E:$F,2,0)))</f>
        <v>0</v>
      </c>
      <c r="AP327" s="409" t="s">
        <v>1881</v>
      </c>
      <c r="AQ327" s="409">
        <f>19+5</f>
        <v>24</v>
      </c>
      <c r="AR327" s="410">
        <f t="shared" si="212"/>
        <v>0</v>
      </c>
      <c r="AS327" s="411">
        <f t="shared" si="213"/>
        <v>18.629629629629633</v>
      </c>
      <c r="AT327" s="410">
        <f t="shared" si="214"/>
        <v>0</v>
      </c>
      <c r="AU327" s="405" t="s">
        <v>543</v>
      </c>
      <c r="AV327" s="409" t="s">
        <v>4572</v>
      </c>
      <c r="AW327" s="420" t="str">
        <f t="shared" si="236"/>
        <v>ToyoLi - BLACK</v>
      </c>
      <c r="AX327" s="409">
        <v>20</v>
      </c>
      <c r="AY327" s="411">
        <f>IF(AX327=0,0,IF($LB327=70%,VLOOKUP($AW327,'Jan-2026 rates'!$L:$R,4,0),IF($LB327=65%,VLOOKUP($AW327,'Jan-2026 rates'!$L:$R,4,0),IF($LB327=40%,VLOOKUP($AW327,'Jan-2026 rates'!$L:$R,5,0),IF($LB327=30%,VLOOKUP($AW327,'Jan-2026 rates'!$L:$R,6,0),IF($LB327=100%,VLOOKUP($AW327,'Jan-2026 rates'!$L:$R,7,0),IF($LB327=60%,VLOOKUP($AW327,'Jan-2026 rates'!$L:$S,8,0),IF($LB327=80%,VLOOKUP($AW327,'Jan-2026 rates'!L:T,9,0),0))))))))</f>
        <v>0</v>
      </c>
      <c r="AZ327" s="412" t="s">
        <v>4573</v>
      </c>
      <c r="BA327" s="409">
        <f>16+10+8+8</f>
        <v>42</v>
      </c>
      <c r="BB327" s="411">
        <f>IF(BA327=0,0,IF($LB327=70%,VLOOKUP($AW327,'Jan-2026 rates'!$L:$R,4,0),IF($LB327=65%,VLOOKUP($AW327,'Jan-2026 rates'!$L:$R,4,0),IF($LB327=40%,VLOOKUP($AW327,'Jan-2026 rates'!$L:$R,5,0),IF($LB327=30%,VLOOKUP($AW327,'Jan-2026 rates'!$L:$R,6,0),IF($LB327=100%,VLOOKUP($AW327,'Jan-2026 rates'!$L:$R,7,0),IF($LB327=60%,VLOOKUP($AW327,'Jan-2026 rates'!$L:$S,8,0),IF($LB327=80%,VLOOKUP($AW327,'Jan-2026 rates'!L:T,9,0),0))))))))</f>
        <v>0</v>
      </c>
      <c r="BC327" s="413" t="s">
        <v>1252</v>
      </c>
      <c r="BD327" s="412" t="s">
        <v>1246</v>
      </c>
      <c r="BE327" s="412" t="s">
        <v>1248</v>
      </c>
      <c r="BF327" s="413"/>
      <c r="BG327" s="412"/>
      <c r="BH327" s="412"/>
      <c r="BI327" s="412"/>
      <c r="BJ327" s="412"/>
      <c r="BK327" s="409">
        <v>6</v>
      </c>
      <c r="BL327" s="398">
        <f>IF(BK327=0,0,IF(LEN(BC327)=11,_xlfn.XLOOKUP(BC327,'Dispensed Ink Rates'!C:C,'Dispensed Ink Rates'!CS:CS),VLOOKUP(BC327,'Jan-2026 rates'!$E:$F,2,0)))</f>
        <v>0</v>
      </c>
      <c r="BM327" s="409">
        <v>2</v>
      </c>
      <c r="BN327" s="398">
        <f>IF(BM327=0,0,IF(LEN(BD327)=11,_xlfn.XLOOKUP(BD327,'Dispensed Ink Rates'!C:C,'Dispensed Ink Rates'!CS:CS),VLOOKUP(BD327,'Jan-2026 rates'!$E:$F,2,0)))</f>
        <v>0</v>
      </c>
      <c r="BO327" s="409">
        <v>5</v>
      </c>
      <c r="BP327" s="398">
        <f>IF(BO327=0,0,IF(LEN(BE327)=11,_xlfn.XLOOKUP(BE327,'Dispensed Ink Rates'!C:C,'Dispensed Ink Rates'!CS:CS),VLOOKUP(BE327,'Jan-2026 rates'!$E:$F,2,0)))</f>
        <v>0</v>
      </c>
      <c r="BQ327" s="409"/>
      <c r="BR327" s="398">
        <f>IF(BQ327=0,0,IF(LEN(BF327)=11,_xlfn.XLOOKUP(BF327,'Dispensed Ink Rates'!C:C,'Dispensed Ink Rates'!CS:CS),VLOOKUP(BF327,'Jan-2026 rates'!$E:$F,2,0)))</f>
        <v>0</v>
      </c>
      <c r="BS327" s="409"/>
      <c r="BT327" s="398">
        <f>IF(BS327=0,0,IF(LEN(BG327)=11,_xlfn.XLOOKUP(BG327,'Dispensed Ink Rates'!C:C,'Dispensed Ink Rates'!CS:CS),VLOOKUP(BG327,'Jan-2026 rates'!$E:$F,2,0)))</f>
        <v>0</v>
      </c>
      <c r="BU327" s="409"/>
      <c r="BV327" s="398">
        <f>IF(BU327=0,0,IF(LEN(BH327)=11,_xlfn.XLOOKUP(BH327,'Dispensed Ink Rates'!C:C,'Dispensed Ink Rates'!CS:CS),VLOOKUP(BH327,'Jan-2026 rates'!$E:$F,2,0)))</f>
        <v>0</v>
      </c>
      <c r="BW327" s="409"/>
      <c r="BX327" s="398">
        <f>IF(BW327=0,0,IF(LEN(BI327)=11,_xlfn.XLOOKUP(BI327,'Dispensed Ink Rates'!C:C,'Dispensed Ink Rates'!CS:CS),VLOOKUP(BI327,'Jan-2026 rates'!$E:$F,2,0)))</f>
        <v>0</v>
      </c>
      <c r="BY327" s="409"/>
      <c r="BZ327" s="398">
        <f>IF(BY327=0,0,IF(LEN(BJ327)=11,_xlfn.XLOOKUP(BJ327,'Dispensed Ink Rates'!C:C,'Dispensed Ink Rates'!CS:CS),VLOOKUP(BJ327,'Jan-2026 rates'!$E:$F,2,0)))</f>
        <v>0</v>
      </c>
      <c r="CA327" s="409" t="s">
        <v>1881</v>
      </c>
      <c r="CB327" s="409">
        <f>20+16</f>
        <v>36</v>
      </c>
      <c r="CC327" s="411">
        <f t="shared" si="215"/>
        <v>0</v>
      </c>
      <c r="CD327" s="411">
        <f t="shared" si="216"/>
        <v>67.148148148148152</v>
      </c>
      <c r="CE327" s="410">
        <f t="shared" si="217"/>
        <v>0</v>
      </c>
      <c r="CF327" s="404" t="s">
        <v>856</v>
      </c>
      <c r="CG327" s="409" t="s">
        <v>4574</v>
      </c>
      <c r="CH327" s="420" t="str">
        <f t="shared" si="185"/>
        <v>ToyoLi - WHITE</v>
      </c>
      <c r="CI327" s="409">
        <v>30</v>
      </c>
      <c r="CJ327" s="411">
        <f>IF(CI327=0,0,IF($LB327=70%,VLOOKUP($CH327,'Jan-2026 rates'!$L:$R,4,0),IF($LB327=65%,VLOOKUP($CH327,'Jan-2026 rates'!$L:$R,4,0),IF($LB327=40%,VLOOKUP($CH327,'Jan-2026 rates'!$L:$R,5,0),IF($LB327=30%,VLOOKUP($CH327,'Jan-2026 rates'!$L:$R,6,0),IF($LB327=100%,VLOOKUP($CH327,'Jan-2026 rates'!$L:$R,7,0),IF($LB327=60%,VLOOKUP($CH327,'Jan-2026 rates'!$L:$S,8,0),IF($LB327=80%,VLOOKUP($CH327,'Jan-2026 rates'!L:T,9,0),0))))))))</f>
        <v>0</v>
      </c>
      <c r="CK327" s="412"/>
      <c r="CL327" s="409"/>
      <c r="CM327" s="411">
        <f>IF(CL327=0,0,IF($LB327=70%,VLOOKUP($CH327,'Jan-2026 rates'!$L:$R,4,0),IF($LB327=65%,VLOOKUP($CH327,'Jan-2026 rates'!$L:$R,4,0),IF($LB327=40%,VLOOKUP($CH327,'Jan-2026 rates'!$L:$R,5,0),IF($LB327=30%,VLOOKUP($CH327,'Jan-2026 rates'!$L:$R,6,0),IF($LB327=100%,VLOOKUP($CH327,'Jan-2026 rates'!$L:$R,7,0),IF($LB327=60%,VLOOKUP($CH327,'Jan-2026 rates'!$L:$S,8,0),IF($LB327=80%,VLOOKUP($CH327,'Jan-2026 rates'!L:T,9,0),0))))))))</f>
        <v>0</v>
      </c>
      <c r="CN327" s="426" t="s">
        <v>1249</v>
      </c>
      <c r="CO327" s="427" t="s">
        <v>1122</v>
      </c>
      <c r="CP327" s="426"/>
      <c r="CQ327" s="426"/>
      <c r="CR327" s="428"/>
      <c r="CS327" s="428"/>
      <c r="CT327" s="428"/>
      <c r="CU327" s="428"/>
      <c r="CV327" s="409">
        <v>30</v>
      </c>
      <c r="CW327" s="398">
        <f>IF(CV327=0,0,IF(LEN(CN327)=11,_xlfn.XLOOKUP(CN327,'Dispensed Ink Rates'!C:C,'Dispensed Ink Rates'!CS:CS),VLOOKUP(CN327,'Jan-2026 rates'!$E:$F,2,0)))</f>
        <v>0</v>
      </c>
      <c r="CX327" s="409">
        <v>3.25</v>
      </c>
      <c r="CY327" s="398">
        <f>IF(CX327=0,0,IF(LEN(CO327)=11,_xlfn.XLOOKUP(CO327,'Dispensed Ink Rates'!C:C,'Dispensed Ink Rates'!CS:CS),VLOOKUP(CO327,'Jan-2026 rates'!$E:$F,2,0)))</f>
        <v>0</v>
      </c>
      <c r="CZ327" s="409"/>
      <c r="DA327" s="398">
        <f>IF(CZ327=0,0,IF(LEN(CP327)=11,_xlfn.XLOOKUP(CP327,'Dispensed Ink Rates'!C:C,'Dispensed Ink Rates'!CS:CS),VLOOKUP(CP327,'Jan-2026 rates'!$E:$F,2,0)))</f>
        <v>0</v>
      </c>
      <c r="DB327" s="409"/>
      <c r="DC327" s="398">
        <f>IF(DB327=0,0,IF(LEN(CQ327)=11,_xlfn.XLOOKUP(CQ327,'Dispensed Ink Rates'!C:C,'Dispensed Ink Rates'!CS:CS),VLOOKUP(CQ327,'Jan-2026 rates'!$E:$F,2,0)))</f>
        <v>0</v>
      </c>
      <c r="DD327" s="409"/>
      <c r="DE327" s="398">
        <f>IF(DD327=0,0,IF(LEN(CR327)=11,_xlfn.XLOOKUP(CR327,'Dispensed Ink Rates'!C:C,'Dispensed Ink Rates'!CS:CS),VLOOKUP(CR327,'Jan-2026 rates'!$E:$F,2,0)))</f>
        <v>0</v>
      </c>
      <c r="DF327" s="409"/>
      <c r="DG327" s="398">
        <f>IF(DF327=0,0,IF(LEN(CS327)=11,_xlfn.XLOOKUP(CS327,'Dispensed Ink Rates'!C:C,'Dispensed Ink Rates'!CS:CS),VLOOKUP(CS327,'Jan-2026 rates'!$E:$F,2,0)))</f>
        <v>0</v>
      </c>
      <c r="DH327" s="409"/>
      <c r="DI327" s="398">
        <f>IF(DH327=0,0,IF(LEN(CT327)=11,_xlfn.XLOOKUP(CT327,'Dispensed Ink Rates'!C:C,'Dispensed Ink Rates'!CS:CS),VLOOKUP(CT327,'Jan-2026 rates'!$E:$F,2,0)))</f>
        <v>0</v>
      </c>
      <c r="DJ327" s="409"/>
      <c r="DK327" s="398">
        <f>IF(DJ327=0,0,IF(LEN(CU327)=11,_xlfn.XLOOKUP(CU327,'Dispensed Ink Rates'!C:C,'Dispensed Ink Rates'!CS:CS),VLOOKUP(CU327,'Jan-2026 rates'!$E:$F,2,0)))</f>
        <v>0</v>
      </c>
      <c r="DL327" s="409" t="s">
        <v>1881</v>
      </c>
      <c r="DM327" s="409">
        <v>25</v>
      </c>
      <c r="DN327" s="411">
        <f t="shared" si="218"/>
        <v>0</v>
      </c>
      <c r="DO327" s="411">
        <f t="shared" si="219"/>
        <v>80.472222222222229</v>
      </c>
      <c r="DP327" s="410">
        <f t="shared" si="220"/>
        <v>0</v>
      </c>
      <c r="DQ327" s="405"/>
      <c r="DR327" s="409"/>
      <c r="DS327" s="420" t="str">
        <f t="shared" si="186"/>
        <v xml:space="preserve"> - </v>
      </c>
      <c r="DT327" s="409"/>
      <c r="DU327" s="411">
        <f>IF(DT327=0,0,IF($LB327=70%,VLOOKUP($DS327,'Jan-2026 rates'!$L:$R,4,0),IF($LB327=65%,VLOOKUP($DS327,'Jan-2026 rates'!$L:$R,4,0),IF($LB327=40%,VLOOKUP($DS327,'Jan-2026 rates'!$L:$R,5,0),IF($LB327=30%,VLOOKUP($DS327,'Jan-2026 rates'!$L:$R,6,0),IF($LB327=100%,VLOOKUP($DS327,'Jan-2026 rates'!$L:$R,7,0),IF($LB327=60%,VLOOKUP($DS327,'Jan-2026 rates'!$L:$S,8,0),IF($LB327=80%,VLOOKUP($DS327,'Jan-2026 rates'!L:T,9,0),0))))))))</f>
        <v>0</v>
      </c>
      <c r="DV327" s="412"/>
      <c r="DW327" s="409"/>
      <c r="DX327" s="411">
        <f>IF(DW327=0,0,IF($LB327=70%,VLOOKUP($DS327,'Jan-2026 rates'!$L:$R,4,0),IF($LB327=65%,VLOOKUP($DS327,'Jan-2026 rates'!$L:$R,4,0),IF($LB327=40%,VLOOKUP($DS327,'Jan-2026 rates'!$L:$R,5,0),IF($LB327=30%,VLOOKUP($DS327,'Jan-2026 rates'!$L:$R,6,0),IF($LB327=100%,VLOOKUP($DS327,'Jan-2026 rates'!$L:$R,7,0),IF($LB327=60%,VLOOKUP($DS327,'Jan-2026 rates'!$L:$S,8,0),IF($LB327=80%,VLOOKUP($DS327,'Jan-2026 rates'!L:T,9,0),0))))))))</f>
        <v>0</v>
      </c>
      <c r="DY327" s="413"/>
      <c r="DZ327" s="413"/>
      <c r="EA327" s="412"/>
      <c r="EB327" s="412"/>
      <c r="EC327" s="412"/>
      <c r="ED327" s="412"/>
      <c r="EE327" s="412"/>
      <c r="EF327" s="412"/>
      <c r="EG327" s="409"/>
      <c r="EH327" s="398">
        <f>IF(EG327=0,0,IF(LEN(DY327)=11,_xlfn.XLOOKUP(DY327,'Dispensed Ink Rates'!C:C,'Dispensed Ink Rates'!CS:CS),VLOOKUP(DY327,'Jan-2026 rates'!$E:$F,2,0)))</f>
        <v>0</v>
      </c>
      <c r="EI327" s="409"/>
      <c r="EJ327" s="398">
        <f>IF(EI327=0,0,IF(LEN(DZ327)=11,_xlfn.XLOOKUP(DZ327,'Dispensed Ink Rates'!C:C,'Dispensed Ink Rates'!CS:CS),VLOOKUP(DZ327,'Jan-2026 rates'!$E:$F,2,0)))</f>
        <v>0</v>
      </c>
      <c r="EK327" s="409"/>
      <c r="EL327" s="398">
        <f>IF(EK327=0,0,IF(LEN(EA327)=11,_xlfn.XLOOKUP(EA327,'Dispensed Ink Rates'!C:C,'Dispensed Ink Rates'!CS:CS),VLOOKUP(EA327,'Jan-2026 rates'!$E:$F,2,0)))</f>
        <v>0</v>
      </c>
      <c r="EM327" s="409"/>
      <c r="EN327" s="398">
        <f>IF(EM327=0,0,IF(LEN(EB327)=11,_xlfn.XLOOKUP(EB327,'Dispensed Ink Rates'!C:C,'Dispensed Ink Rates'!CS:CS),VLOOKUP(EB327,'Jan-2026 rates'!$E:$F,2,0)))</f>
        <v>0</v>
      </c>
      <c r="EO327" s="409"/>
      <c r="EP327" s="398">
        <f>IF(EO327=0,0,IF(LEN(EC327)=11,_xlfn.XLOOKUP(EC327,'Dispensed Ink Rates'!C:C,'Dispensed Ink Rates'!CS:CS),VLOOKUP(EC327,'Jan-2026 rates'!$E:$F,2,0)))</f>
        <v>0</v>
      </c>
      <c r="EQ327" s="409"/>
      <c r="ER327" s="398">
        <f>IF(EQ327=0,0,IF(LEN(ED327)=11,_xlfn.XLOOKUP(ED327,'Dispensed Ink Rates'!C:C,'Dispensed Ink Rates'!CS:CS),VLOOKUP(ED327,'Jan-2026 rates'!$E:$F,2,0)))</f>
        <v>0</v>
      </c>
      <c r="ES327" s="409"/>
      <c r="ET327" s="398">
        <f>IF(ES327=0,0,IF(LEN(EE327)=11,_xlfn.XLOOKUP(EE327,'Dispensed Ink Rates'!C:C,'Dispensed Ink Rates'!CS:CS),VLOOKUP(EE327,'Jan-2026 rates'!$E:$F,2,0)))</f>
        <v>0</v>
      </c>
      <c r="EU327" s="409"/>
      <c r="EV327" s="398">
        <f>IF(EU327=0,0,IF(LEN(EF327)=11,_xlfn.XLOOKUP(EF327,'Dispensed Ink Rates'!C:C,'Dispensed Ink Rates'!CS:CS),VLOOKUP(EF327,'Jan-2026 rates'!$E:$F,2,0)))</f>
        <v>0</v>
      </c>
      <c r="EW327" s="409"/>
      <c r="EX327" s="409"/>
      <c r="EY327" s="411">
        <f t="shared" si="221"/>
        <v>0</v>
      </c>
      <c r="EZ327" s="411">
        <f t="shared" si="222"/>
        <v>0</v>
      </c>
      <c r="FA327" s="410">
        <f t="shared" si="223"/>
        <v>0</v>
      </c>
      <c r="FB327" s="405"/>
      <c r="FC327" s="409"/>
      <c r="FD327" s="420" t="str">
        <f t="shared" si="187"/>
        <v xml:space="preserve"> - </v>
      </c>
      <c r="FE327" s="409"/>
      <c r="FF327" s="411">
        <f>IF(FE327=0,0,IF($LB327=70%,VLOOKUP($FD327,'Jan-2026 rates'!$L:$R,4,0),IF($LB327=65%,VLOOKUP($FD327,'Jan-2026 rates'!$L:$R,4,0),IF($LB327=40%,VLOOKUP($FD327,'Jan-2026 rates'!$L:$R,5,0),IF($LB327=30%,VLOOKUP($FD327,'Jan-2026 rates'!$L:$R,6,0),IF($LB327=100%,VLOOKUP($FD327,'Jan-2026 rates'!$L:$R,7,0),IF($LB327=60%,VLOOKUP($FD327,'Jan-2026 rates'!$L:$S,8,0),IF($LB327=80%,VLOOKUP($FD327,'Jan-2026 rates'!L:T,9,0),0))))))))</f>
        <v>0</v>
      </c>
      <c r="FG327" s="412"/>
      <c r="FH327" s="409"/>
      <c r="FI327" s="411">
        <f>IF(FH327=0,0,IF($LB327=70%,VLOOKUP($FD327,'Jan-2026 rates'!$L:$R,4,0),IF($LB327=65%,VLOOKUP($FD327,'Jan-2026 rates'!$L:$R,4,0),IF($LB327=40%,VLOOKUP($FD327,'Jan-2026 rates'!$L:$R,5,0),IF($LB327=30%,VLOOKUP($FD327,'Jan-2026 rates'!$L:$R,6,0),IF($LB327=100%,VLOOKUP($FD327,'Jan-2026 rates'!$L:$R,7,0),IF($LB327=60%,VLOOKUP($FD327,'Jan-2026 rates'!$L:$S,8,0),IF($LB327=80%,VLOOKUP($FD327,'Jan-2026 rates'!L:T,9,0),0))))))))</f>
        <v>0</v>
      </c>
      <c r="FJ327" s="413"/>
      <c r="FK327" s="413"/>
      <c r="FL327" s="413"/>
      <c r="FM327" s="412"/>
      <c r="FN327" s="412"/>
      <c r="FO327" s="412"/>
      <c r="FP327" s="412"/>
      <c r="FQ327" s="412"/>
      <c r="FR327" s="409"/>
      <c r="FS327" s="398">
        <f>IF(FR327=0,0,IF(LEN(FJ327)=11,_xlfn.XLOOKUP(FJ327,'Dispensed Ink Rates'!C:C,'Dispensed Ink Rates'!CS:CS),VLOOKUP(FJ327,'Jan-2026 rates'!$E:$F,2,0)))</f>
        <v>0</v>
      </c>
      <c r="FT327" s="409"/>
      <c r="FU327" s="398">
        <f>IF(FT327=0,0,IF(LEN(FK327)=11,_xlfn.XLOOKUP(FK327,'Dispensed Ink Rates'!C:C,'Dispensed Ink Rates'!CS:CS),VLOOKUP(FK327,'Jan-2026 rates'!$E:$F,2,0)))</f>
        <v>0</v>
      </c>
      <c r="FV327" s="409"/>
      <c r="FW327" s="398">
        <f>IF(FV327=0,0,IF(LEN(FL327)=11,_xlfn.XLOOKUP(FL327,'Dispensed Ink Rates'!C:C,'Dispensed Ink Rates'!CS:CS),VLOOKUP(FL327,'Jan-2026 rates'!$E:$F,2,0)))</f>
        <v>0</v>
      </c>
      <c r="FX327" s="409"/>
      <c r="FY327" s="398">
        <f>IF(FX327=0,0,IF(LEN(FM327)=11,_xlfn.XLOOKUP(FM327,'Dispensed Ink Rates'!C:C,'Dispensed Ink Rates'!CS:CS),VLOOKUP(FM327,'Jan-2026 rates'!$E:$F,2,0)))</f>
        <v>0</v>
      </c>
      <c r="FZ327" s="409"/>
      <c r="GA327" s="398">
        <f>IF(FZ327=0,0,IF(LEN(FN327)=11,_xlfn.XLOOKUP(FN327,'Dispensed Ink Rates'!C:C,'Dispensed Ink Rates'!CS:CS),VLOOKUP(FN327,'Jan-2026 rates'!$E:$F,2,0)))</f>
        <v>0</v>
      </c>
      <c r="GB327" s="409"/>
      <c r="GC327" s="398">
        <f>IF(GB327=0,0,IF(LEN(FO327)=11,_xlfn.XLOOKUP(FO327,'Dispensed Ink Rates'!C:C,'Dispensed Ink Rates'!CS:CS),VLOOKUP(FO327,'Jan-2026 rates'!$E:$F,2,0)))</f>
        <v>0</v>
      </c>
      <c r="GD327" s="409"/>
      <c r="GE327" s="398">
        <f>IF(GD327=0,0,IF(LEN(FP327)=11,_xlfn.XLOOKUP(FP327,'Dispensed Ink Rates'!C:C,'Dispensed Ink Rates'!CS:CS),VLOOKUP(FP327,'Jan-2026 rates'!$E:$F,2,0)))</f>
        <v>0</v>
      </c>
      <c r="GF327" s="409"/>
      <c r="GG327" s="398">
        <f>IF(GF327=0,0,IF(LEN(FQ327)=11,_xlfn.XLOOKUP(FQ327,'Dispensed Ink Rates'!C:C,'Dispensed Ink Rates'!CS:CS),VLOOKUP(FQ327,'Jan-2026 rates'!$E:$F,2,0)))</f>
        <v>0</v>
      </c>
      <c r="GH327" s="409"/>
      <c r="GI327" s="409"/>
      <c r="GJ327" s="411">
        <f t="shared" si="224"/>
        <v>0</v>
      </c>
      <c r="GK327" s="411">
        <f t="shared" si="225"/>
        <v>0</v>
      </c>
      <c r="GL327" s="410">
        <f t="shared" si="226"/>
        <v>0</v>
      </c>
      <c r="GM327" s="405"/>
      <c r="GN327" s="409"/>
      <c r="GO327" s="420" t="str">
        <f t="shared" si="188"/>
        <v xml:space="preserve"> - </v>
      </c>
      <c r="GP327" s="409"/>
      <c r="GQ327" s="411">
        <f>IF(GP327=0,0,IF($LB327=70%,VLOOKUP($GO327,'Jan-2026 rates'!$L:$R,4,0),IF($LB327=65%,VLOOKUP($GO327,'Jan-2026 rates'!$L:$R,4,0),IF($LB327=40%,VLOOKUP($GO327,'Jan-2026 rates'!$L:$R,5,0),IF($LB327=30%,VLOOKUP($GO327,'Jan-2026 rates'!$L:$R,6,0),IF($LB327=100%,VLOOKUP($GO327,'Jan-2026 rates'!$L:$R,7,0),IF($LB327=60%,VLOOKUP($GO327,'Jan-2026 rates'!$L:$S,8,0),IF($LB327=80%,VLOOKUP($GO327,'Jan-2026 rates'!L:T,9,0),0))))))))</f>
        <v>0</v>
      </c>
      <c r="GR327" s="412"/>
      <c r="GS327" s="409"/>
      <c r="GT327" s="411">
        <f>IF(GS327=0,0,IF($LB327=70%,VLOOKUP($GO327,'Jan-2026 rates'!$L:$R,4,0),IF($LB327=65%,VLOOKUP($GO327,'Jan-2026 rates'!$L:$R,4,0),IF($LB327=40%,VLOOKUP($GO327,'Jan-2026 rates'!$L:$R,5,0),IF($LB327=30%,VLOOKUP($GO327,'Jan-2026 rates'!$L:$R,6,0),IF($LB327=100%,VLOOKUP($GO327,'Jan-2026 rates'!$L:$R,7,0),IF($LB327=60%,VLOOKUP($GO327,'Jan-2026 rates'!$L:$S,8,0),IF($LB327=80%,VLOOKUP($GO327,'Jan-2026 rates'!L:T,9,0),0))))))))</f>
        <v>0</v>
      </c>
      <c r="GU327" s="413"/>
      <c r="GV327" s="413"/>
      <c r="GW327" s="412"/>
      <c r="GX327" s="412"/>
      <c r="GY327" s="412"/>
      <c r="GZ327" s="412"/>
      <c r="HA327" s="412"/>
      <c r="HB327" s="412"/>
      <c r="HC327" s="409"/>
      <c r="HD327" s="398">
        <f>IF(HC327=0,0,IF(LEN(GU327)=11,_xlfn.XLOOKUP(GU327,'Dispensed Ink Rates'!C:C,'Dispensed Ink Rates'!CS:CS),VLOOKUP(GU327,'Jan-2026 rates'!$E:$F,2,0)))</f>
        <v>0</v>
      </c>
      <c r="HE327" s="409"/>
      <c r="HF327" s="398">
        <f>IF(HE327=0,0,IF(LEN(GV327)=11,_xlfn.XLOOKUP(GV327,'Dispensed Ink Rates'!C:C,'Dispensed Ink Rates'!CS:CS),VLOOKUP(GV327,'Jan-2026 rates'!$E:$F,2,0)))</f>
        <v>0</v>
      </c>
      <c r="HG327" s="409"/>
      <c r="HH327" s="398">
        <f>IF(HG327=0,0,IF(LEN(GW327)=11,_xlfn.XLOOKUP(GW327,'Dispensed Ink Rates'!C:C,'Dispensed Ink Rates'!CS:CS),VLOOKUP(GW327,'Jan-2026 rates'!$E:$F,2,0)))</f>
        <v>0</v>
      </c>
      <c r="HI327" s="409"/>
      <c r="HJ327" s="398">
        <f>IF(HI327=0,0,IF(LEN(GX327)=11,_xlfn.XLOOKUP(GX327,'Dispensed Ink Rates'!C:C,'Dispensed Ink Rates'!CS:CS),VLOOKUP(GX327,'Jan-2026 rates'!$E:$F,2,0)))</f>
        <v>0</v>
      </c>
      <c r="HK327" s="409"/>
      <c r="HL327" s="398">
        <f>IF(HK327=0,0,IF(LEN(GY327)=11,_xlfn.XLOOKUP(GY327,'Dispensed Ink Rates'!C:C,'Dispensed Ink Rates'!CS:CS),VLOOKUP(GY327,'Jan-2026 rates'!$E:$F,2,0)))</f>
        <v>0</v>
      </c>
      <c r="HM327" s="409"/>
      <c r="HN327" s="398">
        <f>IF(HM327=0,0,IF(LEN(GZ327)=11,_xlfn.XLOOKUP(GZ327,'Dispensed Ink Rates'!C:C,'Dispensed Ink Rates'!CS:CS),VLOOKUP(GZ327,'Jan-2026 rates'!$E:$F,2,0)))</f>
        <v>0</v>
      </c>
      <c r="HO327" s="409"/>
      <c r="HP327" s="398">
        <f>IF(HO327=0,0,IF(LEN(HA327)=11,_xlfn.XLOOKUP(HA327,'Dispensed Ink Rates'!C:C,'Dispensed Ink Rates'!CS:CS),VLOOKUP(HA327,'Jan-2026 rates'!$E:$F,2,0)))</f>
        <v>0</v>
      </c>
      <c r="HQ327" s="409"/>
      <c r="HR327" s="398">
        <f>IF(HQ327=0,0,IF(LEN(HB327)=11,_xlfn.XLOOKUP(HB327,'Dispensed Ink Rates'!C:C,'Dispensed Ink Rates'!CS:CS),VLOOKUP(HB327,'Jan-2026 rates'!$E:$F,2,0)))</f>
        <v>0</v>
      </c>
      <c r="HS327" s="409"/>
      <c r="HT327" s="409"/>
      <c r="HU327" s="411">
        <f t="shared" si="227"/>
        <v>0</v>
      </c>
      <c r="HV327" s="411">
        <f t="shared" si="228"/>
        <v>0</v>
      </c>
      <c r="HW327" s="414">
        <f t="shared" si="229"/>
        <v>0</v>
      </c>
      <c r="HX327" s="405"/>
      <c r="HY327" s="409"/>
      <c r="HZ327" s="420" t="str">
        <f t="shared" si="189"/>
        <v xml:space="preserve"> - </v>
      </c>
      <c r="IA327" s="409"/>
      <c r="IB327" s="411">
        <f>IF(IA327=0,0,IF($LB327=70%,VLOOKUP($HZ327,'Jan-2026 rates'!$L:$R,4,0),IF($LB327=65%,VLOOKUP($HZ327,'Jan-2026 rates'!$L:$R,4,0),IF($LB327=40%,VLOOKUP($HZ327,'Jan-2026 rates'!$L:$R,5,0),IF($LB327=30%,VLOOKUP($HZ327,'Jan-2026 rates'!$L:$R,6,0),IF($LB327=100%,VLOOKUP($HZ327,'Jan-2026 rates'!$L:$R,7,0),IF($LB327=60%,VLOOKUP($HZ327,'Jan-2026 rates'!$L:$S,8,0),IF($LB327=80%,VLOOKUP($HZ327,'Jan-2026 rates'!L:T,9,0),0))))))))</f>
        <v>0</v>
      </c>
      <c r="IC327" s="412"/>
      <c r="ID327" s="409"/>
      <c r="IE327" s="411">
        <f>IF(ID327=0,0,IF($LB327=70%,VLOOKUP($HZ327,'Jan-2026 rates'!$L:$R,4,0),IF($LB327=65%,VLOOKUP($HZ327,'Jan-2026 rates'!$L:$R,4,0),IF($LB327=40%,VLOOKUP($HZ327,'Jan-2026 rates'!$L:$R,5,0),IF($LB327=30%,VLOOKUP($HZ327,'Jan-2026 rates'!$L:$R,6,0),IF($LB327=100%,VLOOKUP($HZ327,'Jan-2026 rates'!$L:$R,7,0),IF($LB327=60%,VLOOKUP($HZ327,'Jan-2026 rates'!$L:$S,8,0),IF($LB327=80%,VLOOKUP($HZ327,'Jan-2026 rates'!L:T,9,0),0))))))))</f>
        <v>0</v>
      </c>
      <c r="IF327" s="412"/>
      <c r="IG327" s="413"/>
      <c r="IH327" s="412"/>
      <c r="II327" s="412"/>
      <c r="IJ327" s="412"/>
      <c r="IK327" s="412"/>
      <c r="IL327" s="412"/>
      <c r="IM327" s="412"/>
      <c r="IN327" s="409"/>
      <c r="IO327" s="398">
        <f>IF(IN327=0,0,IF(LEN(IF327)=11,_xlfn.XLOOKUP(IF327,'Dispensed Ink Rates'!C:C,'Dispensed Ink Rates'!CS:CS),VLOOKUP(IF327,'Jan-2026 rates'!$E:$F,2,0)))</f>
        <v>0</v>
      </c>
      <c r="IP327" s="409"/>
      <c r="IQ327" s="398">
        <f>IF(IP327=0,0,IF(LEN(IG327)=11,_xlfn.XLOOKUP(IG327,'Dispensed Ink Rates'!C:C,'Dispensed Ink Rates'!CS:CS),VLOOKUP(IG327,'Jan-2026 rates'!$E:$F,2,0)))</f>
        <v>0</v>
      </c>
      <c r="IR327" s="409"/>
      <c r="IS327" s="398">
        <f>IF(IR327=0,0,IF(LEN(IH327)=11,_xlfn.XLOOKUP(IH327,'Dispensed Ink Rates'!C:C,'Dispensed Ink Rates'!CS:CS),VLOOKUP(IH327,'Jan-2026 rates'!$E:$F,2,0)))</f>
        <v>0</v>
      </c>
      <c r="IT327" s="409"/>
      <c r="IU327" s="398">
        <f>IF(IT327=0,0,IF(LEN(II327)=11,_xlfn.XLOOKUP(II327,'Dispensed Ink Rates'!C:C,'Dispensed Ink Rates'!CS:CS),VLOOKUP(II327,'Jan-2026 rates'!$E:$F,2,0)))</f>
        <v>0</v>
      </c>
      <c r="IV327" s="409"/>
      <c r="IW327" s="398">
        <f>IF(IV327=0,0,IF(LEN(IJ327)=11,_xlfn.XLOOKUP(IJ327,'Dispensed Ink Rates'!C:C,'Dispensed Ink Rates'!CS:CS),VLOOKUP(IJ327,'Jan-2026 rates'!$E:$F,2,0)))</f>
        <v>0</v>
      </c>
      <c r="IX327" s="409"/>
      <c r="IY327" s="398">
        <f>IF(IX327=0,0,IF(LEN(IK327)=11,_xlfn.XLOOKUP(IK327,'Dispensed Ink Rates'!C:C,'Dispensed Ink Rates'!CS:CS),VLOOKUP(IK327,'Jan-2026 rates'!$E:$F,2,0)))</f>
        <v>0</v>
      </c>
      <c r="IZ327" s="409"/>
      <c r="JA327" s="398">
        <f>IF(IZ327=0,0,IF(LEN(IL327)=11,_xlfn.XLOOKUP(IL327,'Dispensed Ink Rates'!C:C,'Dispensed Ink Rates'!CS:CS),VLOOKUP(IL327,'Jan-2026 rates'!$E:$F,2,0)))</f>
        <v>0</v>
      </c>
      <c r="JB327" s="409"/>
      <c r="JC327" s="398">
        <f>IF(JB327=0,0,IF(LEN(IM327)=11,_xlfn.XLOOKUP(IM327,'Dispensed Ink Rates'!C:C,'Dispensed Ink Rates'!CS:CS),VLOOKUP(IM327,'Jan-2026 rates'!$E:$F,2,0)))</f>
        <v>0</v>
      </c>
      <c r="JD327" s="409"/>
      <c r="JE327" s="409"/>
      <c r="JF327" s="411">
        <f t="shared" si="230"/>
        <v>0</v>
      </c>
      <c r="JG327" s="411">
        <f t="shared" si="231"/>
        <v>0</v>
      </c>
      <c r="JH327" s="410">
        <f t="shared" si="232"/>
        <v>0</v>
      </c>
      <c r="JI327" s="405"/>
      <c r="JJ327" s="409"/>
      <c r="JK327" s="420" t="str">
        <f t="shared" si="190"/>
        <v xml:space="preserve"> - </v>
      </c>
      <c r="JL327" s="409"/>
      <c r="JM327" s="411">
        <f>IF(JL327=0,0,IF($LB327=70%,VLOOKUP($JK327,'Jan-2026 rates'!$L:$R,4,0),IF($LB327=65%,VLOOKUP($JK327,'Jan-2026 rates'!$L:$R,4,0),IF($LB327=40%,VLOOKUP($JK327,'Jan-2026 rates'!$L:$R,5,0),IF($LB327=30%,VLOOKUP($JK327,'Jan-2026 rates'!$L:$R,6,0),IF($LB327=100%,VLOOKUP($JK327,'Jan-2026 rates'!$L:$R,7,0),IF($LB327=60%,VLOOKUP($JK327,'Jan-2026 rates'!$L:$S,8,0),IF($LB327=80%,VLOOKUP($JK327,'Jan-2026 rates'!L:T,9,0),0))))))))</f>
        <v>0</v>
      </c>
      <c r="JN327" s="412"/>
      <c r="JO327" s="409"/>
      <c r="JP327" s="411">
        <f>IF(JO327=0,0,IF($LB327=70%,VLOOKUP($JK327,'Jan-2026 rates'!$L:$R,4,0),IF($LB327=65%,VLOOKUP($JK327,'Jan-2026 rates'!$L:$R,4,0),IF($LB327=40%,VLOOKUP($JK327,'Jan-2026 rates'!$L:$R,5,0),IF($LB327=30%,VLOOKUP($JK327,'Jan-2026 rates'!$L:$R,6,0),IF($LB327=100%,VLOOKUP($JK327,'Jan-2026 rates'!$L:$R,7,0),IF($LB327=60%,VLOOKUP($JK327,'Jan-2026 rates'!$L:$S,8,0),IF($LB327=80%,VLOOKUP($JK327,'Jan-2026 rates'!L:T,9,0),0))))))))</f>
        <v>0</v>
      </c>
      <c r="JQ327" s="413"/>
      <c r="JR327" s="412"/>
      <c r="JS327" s="413"/>
      <c r="JT327" s="413"/>
      <c r="JU327" s="412"/>
      <c r="JV327" s="412"/>
      <c r="JW327" s="412"/>
      <c r="JX327" s="412"/>
      <c r="JY327" s="409"/>
      <c r="JZ327" s="398">
        <f>IF(JY327=0,0,IF(LEN(JQ327)=11,_xlfn.XLOOKUP(JQ327,'Dispensed Ink Rates'!C:C,'Dispensed Ink Rates'!CS:CS),VLOOKUP(JQ327,'Jan-2026 rates'!$E:$F,2,0)))</f>
        <v>0</v>
      </c>
      <c r="KA327" s="409"/>
      <c r="KB327" s="398">
        <f>IF(KA327=0,0,IF(LEN(JR327)=11,_xlfn.XLOOKUP(JR327,'Dispensed Ink Rates'!C:C,'Dispensed Ink Rates'!CS:CS),VLOOKUP(JR327,'Jan-2026 rates'!$E:$F,2,0)))</f>
        <v>0</v>
      </c>
      <c r="KC327" s="409"/>
      <c r="KD327" s="398">
        <f>IF(KC327=0,0,IF(LEN(JS327)=11,_xlfn.XLOOKUP(JS327,'Dispensed Ink Rates'!C:C,'Dispensed Ink Rates'!CS:CS),VLOOKUP(JS327,'Jan-2026 rates'!$E:$F,2,0)))</f>
        <v>0</v>
      </c>
      <c r="KE327" s="409"/>
      <c r="KF327" s="398">
        <f>IF(KE327=0,0,IF(LEN(JT327)=11,_xlfn.XLOOKUP(JT327,'Dispensed Ink Rates'!C:C,'Dispensed Ink Rates'!CS:CS),VLOOKUP(JT327,'Jan-2026 rates'!$E:$F,2,0)))</f>
        <v>0</v>
      </c>
      <c r="KG327" s="409"/>
      <c r="KH327" s="398">
        <f>IF(KG327=0,0,IF(LEN(JU327)=11,_xlfn.XLOOKUP(JU327,'Dispensed Ink Rates'!C:C,'Dispensed Ink Rates'!CS:CS),VLOOKUP(JU327,'Jan-2026 rates'!$E:$F,2,0)))</f>
        <v>0</v>
      </c>
      <c r="KI327" s="409"/>
      <c r="KJ327" s="398">
        <f>IF(KI327=0,0,IF(LEN(JV327)=11,_xlfn.XLOOKUP(JV327,'Dispensed Ink Rates'!C:C,'Dispensed Ink Rates'!CS:CS),VLOOKUP(JV327,'Jan-2026 rates'!$E:$F,2,0)))</f>
        <v>0</v>
      </c>
      <c r="KK327" s="409"/>
      <c r="KL327" s="398">
        <f>IF(KK327=0,0,IF(LEN(JW327)=11,_xlfn.XLOOKUP(JW327,'Dispensed Ink Rates'!C:C,'Dispensed Ink Rates'!CS:CS),VLOOKUP(JW327,'Jan-2026 rates'!$E:$F,2,0)))</f>
        <v>0</v>
      </c>
      <c r="KM327" s="428"/>
      <c r="KN327" s="398">
        <f>IF(KM327=0,0,IF(LEN(JX327)=11,_xlfn.XLOOKUP(JX327,'Dispensed Ink Rates'!C:C,'Dispensed Ink Rates'!CS:CS),VLOOKUP(JX327,'Jan-2026 rates'!$E:$F,2,0)))</f>
        <v>0</v>
      </c>
      <c r="KO327" s="409"/>
      <c r="KP327" s="409"/>
      <c r="KQ327" s="411">
        <f t="shared" si="233"/>
        <v>0</v>
      </c>
      <c r="KR327" s="411">
        <f t="shared" si="234"/>
        <v>0</v>
      </c>
      <c r="KS327" s="410">
        <f t="shared" si="235"/>
        <v>0</v>
      </c>
      <c r="KT327" s="409">
        <v>2</v>
      </c>
      <c r="KU327" s="409">
        <v>10</v>
      </c>
      <c r="KV327" s="409">
        <v>15</v>
      </c>
      <c r="KW327" s="409">
        <v>0</v>
      </c>
      <c r="KX327" s="409">
        <v>0</v>
      </c>
      <c r="KY327" s="409">
        <v>0</v>
      </c>
      <c r="KZ327" s="409">
        <v>0</v>
      </c>
      <c r="LA327" s="409">
        <v>0</v>
      </c>
      <c r="LB327" s="415">
        <v>0.3</v>
      </c>
      <c r="LC327" s="415"/>
      <c r="LD327" s="424"/>
      <c r="LE327" s="415">
        <v>0.5</v>
      </c>
      <c r="LF327" s="415">
        <v>0.2</v>
      </c>
      <c r="LG327" s="409">
        <v>0</v>
      </c>
      <c r="LH327" s="409">
        <f>25+11+12+20+8</f>
        <v>76</v>
      </c>
      <c r="LI327" s="409">
        <v>0</v>
      </c>
      <c r="LJ327" s="409">
        <v>0</v>
      </c>
      <c r="LK327" s="416">
        <f t="shared" si="191"/>
        <v>76</v>
      </c>
      <c r="LL327" s="416">
        <f t="shared" si="237"/>
        <v>76</v>
      </c>
      <c r="LM327" s="417">
        <f t="shared" si="193"/>
        <v>22.8</v>
      </c>
      <c r="LN327" s="417">
        <f>VLOOKUP($LM$8,'Jan-2026 rates'!$H:$I,2,0)</f>
        <v>0</v>
      </c>
      <c r="LO327" s="417">
        <f t="shared" si="194"/>
        <v>0</v>
      </c>
      <c r="LP327" s="417">
        <f>VLOOKUP($LO$8,'Jan-2026 rates'!$H:$I,2,0)</f>
        <v>0</v>
      </c>
      <c r="LQ327" s="417">
        <f t="shared" si="195"/>
        <v>0</v>
      </c>
      <c r="LR327" s="417">
        <f>VLOOKUP($LQ$8,'Jan-2026 rates'!$H:$I,2,0)</f>
        <v>0</v>
      </c>
      <c r="LS327" s="417">
        <f t="shared" si="196"/>
        <v>38</v>
      </c>
      <c r="LT327" s="417">
        <f>VLOOKUP($LS$8,'Jan-2026 rates'!$H:$I,2,0)</f>
        <v>0</v>
      </c>
      <c r="LU327" s="417">
        <f t="shared" si="197"/>
        <v>15.200000000000001</v>
      </c>
      <c r="LV327" s="417">
        <f>VLOOKUP($LU$8,'Jan-2026 rates'!$H:$I,2,0)</f>
        <v>0</v>
      </c>
      <c r="LW327" s="417">
        <f t="shared" si="198"/>
        <v>0</v>
      </c>
      <c r="LX327" s="417">
        <f t="shared" si="199"/>
        <v>0</v>
      </c>
      <c r="LY327" s="418">
        <f t="shared" si="200"/>
        <v>0</v>
      </c>
      <c r="LZ327" s="417"/>
      <c r="MA327" s="435">
        <f t="shared" si="201"/>
        <v>48.25</v>
      </c>
      <c r="MB327" s="282">
        <f t="shared" si="202"/>
        <v>166.25</v>
      </c>
      <c r="MC327" s="283" t="s">
        <v>2066</v>
      </c>
      <c r="MD327" s="284" t="str">
        <f t="shared" si="203"/>
        <v>ToyoLiToyoLiToyoLi</v>
      </c>
      <c r="ME327" s="293" t="str">
        <f t="shared" si="204"/>
        <v>+</v>
      </c>
      <c r="MF327" s="293" t="str">
        <f t="shared" si="205"/>
        <v>+</v>
      </c>
      <c r="MG327" s="293" t="str">
        <f t="shared" si="206"/>
        <v>+</v>
      </c>
      <c r="MH327" s="293" t="str">
        <f t="shared" si="207"/>
        <v>NIL</v>
      </c>
      <c r="MI327" s="293" t="str">
        <f t="shared" si="208"/>
        <v>NIL</v>
      </c>
      <c r="MJ327" s="293" t="str">
        <f t="shared" si="209"/>
        <v>NIL</v>
      </c>
      <c r="MK327" s="293" t="str">
        <f t="shared" si="210"/>
        <v>NIL</v>
      </c>
      <c r="ML327" s="293" t="str">
        <f t="shared" si="211"/>
        <v>NIL</v>
      </c>
      <c r="MM327" s="3" t="b">
        <f t="array" ref="MM327">OR(ME327:ML327="-")</f>
        <v>0</v>
      </c>
      <c r="MO327" s="401">
        <f t="shared" si="238"/>
        <v>65.452755905511808</v>
      </c>
      <c r="MP327" s="286"/>
      <c r="MR327" s="402">
        <f t="shared" si="239"/>
        <v>1.2224264705882353E-2</v>
      </c>
      <c r="MS327" s="400">
        <f t="shared" si="240"/>
        <v>0</v>
      </c>
      <c r="MT327" s="285"/>
      <c r="NH327" s="361"/>
      <c r="NJ327" s="282"/>
    </row>
    <row r="328" spans="1:374" ht="16.5">
      <c r="A328" s="403">
        <v>46046</v>
      </c>
      <c r="B328" s="404" t="s">
        <v>1018</v>
      </c>
      <c r="C328" s="405" t="s">
        <v>4575</v>
      </c>
      <c r="D328" s="404" t="s">
        <v>2067</v>
      </c>
      <c r="E328" s="404">
        <v>255</v>
      </c>
      <c r="F328" s="407">
        <v>12500</v>
      </c>
      <c r="G328" s="407" t="s">
        <v>1016</v>
      </c>
      <c r="H328" s="408" t="s">
        <v>1017</v>
      </c>
      <c r="I328" s="409">
        <v>0.92</v>
      </c>
      <c r="J328" s="405" t="s">
        <v>543</v>
      </c>
      <c r="K328" s="404" t="s">
        <v>4576</v>
      </c>
      <c r="L328" s="419" t="str">
        <f t="shared" si="184"/>
        <v>ToyoLi - BLACK</v>
      </c>
      <c r="M328" s="404">
        <v>27</v>
      </c>
      <c r="N328" s="410">
        <f>IF(M328=0,0,IF($LB328=70%,VLOOKUP($L328,'Jan-2026 rates'!$L:$R,4,0),IF($LB328=65%,VLOOKUP($L328,'Jan-2026 rates'!$L:$R,4,0),IF($LB328=40%,VLOOKUP($L328,'Jan-2026 rates'!$L:$R,5,0),IF($LB328=30%,VLOOKUP($L328,'Jan-2026 rates'!$L:$R,6,0),IF($LB328=100%,VLOOKUP($L328,'Jan-2026 rates'!$L:$R,7,0),IF($LB328=60%,VLOOKUP($L328,'Jan-2026 rates'!$L:$S,8,0),IF($LB328=80%,VLOOKUP($L328,'Jan-2026 rates'!L:T,9,0),0))))))))</f>
        <v>0</v>
      </c>
      <c r="O328" s="406"/>
      <c r="P328" s="404"/>
      <c r="Q328" s="410">
        <f>IF(P328=0,0,IF($LB328=70%,VLOOKUP($L328,'Jan-2026 rates'!$L:$R,4,0),IF($LB328=65%,VLOOKUP($L328,'Jan-2026 rates'!$L:$R,4,0),IF($LB328=40%,VLOOKUP($L328,'Jan-2026 rates'!$L:$R,5,0),IF($LB328=30%,VLOOKUP($L328,'Jan-2026 rates'!$L:$R,6,0),IF($LB328=100%,VLOOKUP($L328,'Jan-2026 rates'!$L:$R,7,0),IF($LB328=60%,VLOOKUP($L328,'Jan-2026 rates'!$L:$S,8,0),IF($LB328=80%,VLOOKUP($L328,'Jan-2026 rates'!L:T,9,0),0))))))))</f>
        <v>0</v>
      </c>
      <c r="R328" s="406" t="s">
        <v>1252</v>
      </c>
      <c r="S328" s="406"/>
      <c r="T328" s="406"/>
      <c r="U328" s="406"/>
      <c r="V328" s="406"/>
      <c r="W328" s="406"/>
      <c r="X328" s="406"/>
      <c r="Y328" s="406"/>
      <c r="Z328" s="404">
        <v>1</v>
      </c>
      <c r="AA328" s="398">
        <f>IF(Z328=0,0,IF(LEN(R328)=11,_xlfn.XLOOKUP(R328,'Dispensed Ink Rates'!C:C,'Dispensed Ink Rates'!CS:CS),VLOOKUP(R328,'Jan-2026 rates'!$E:$F,2,0)))</f>
        <v>0</v>
      </c>
      <c r="AB328" s="404"/>
      <c r="AC328" s="398">
        <f>IF(AB328=0,0,IF(LEN(S328)=11,_xlfn.XLOOKUP(S328,'Dispensed Ink Rates'!C:C,'Dispensed Ink Rates'!CS:CS),VLOOKUP(S328,'Jan-2026 rates'!$E:$F,2,0)))</f>
        <v>0</v>
      </c>
      <c r="AD328" s="404"/>
      <c r="AE328" s="398">
        <f>IF(AD328=0,0,IF(LEN(T328)=11,_xlfn.XLOOKUP(T328,'Dispensed Ink Rates'!C:C,'Dispensed Ink Rates'!CS:CS),VLOOKUP(T328,'Jan-2026 rates'!$E:$F,2,0)))</f>
        <v>0</v>
      </c>
      <c r="AF328" s="404"/>
      <c r="AG328" s="398">
        <f>IF(AF328=0,0,IF(LEN(U328)=11,_xlfn.XLOOKUP(U328,'Dispensed Ink Rates'!C:C,'Dispensed Ink Rates'!CS:CS),VLOOKUP(U328,'Jan-2026 rates'!$E:$F,2,0)))</f>
        <v>0</v>
      </c>
      <c r="AH328" s="404"/>
      <c r="AI328" s="398">
        <f>IF(AH328=0,0,IF(LEN(V328)=11,_xlfn.XLOOKUP(V328,'Dispensed Ink Rates'!C:C,'Dispensed Ink Rates'!CS:CS),VLOOKUP(V328,'Jan-2026 rates'!$E:$F,2,0)))</f>
        <v>0</v>
      </c>
      <c r="AJ328" s="404"/>
      <c r="AK328" s="398">
        <f>IF(AJ328=0,0,IF(LEN(W328)=11,_xlfn.XLOOKUP(W328,'Dispensed Ink Rates'!C:C,'Dispensed Ink Rates'!CS:CS),VLOOKUP(W328,'Jan-2026 rates'!$E:$F,2,0)))</f>
        <v>0</v>
      </c>
      <c r="AL328" s="404"/>
      <c r="AM328" s="398">
        <f>IF(AL328=0,0,IF(LEN(X328)=11,_xlfn.XLOOKUP(X328,'Dispensed Ink Rates'!C:C,'Dispensed Ink Rates'!CS:CS),VLOOKUP(X328,'Jan-2026 rates'!$E:$F,2,0)))</f>
        <v>0</v>
      </c>
      <c r="AN328" s="404"/>
      <c r="AO328" s="398">
        <f>IF(AN328=0,0,IF(LEN(Y328)=11,_xlfn.XLOOKUP(Y328,'Dispensed Ink Rates'!C:C,'Dispensed Ink Rates'!CS:CS),VLOOKUP(Y328,'Jan-2026 rates'!$E:$F,2,0)))</f>
        <v>0</v>
      </c>
      <c r="AP328" s="409" t="s">
        <v>1881</v>
      </c>
      <c r="AQ328" s="409">
        <v>25</v>
      </c>
      <c r="AR328" s="410">
        <f t="shared" si="212"/>
        <v>0</v>
      </c>
      <c r="AS328" s="411">
        <f t="shared" si="213"/>
        <v>5.375</v>
      </c>
      <c r="AT328" s="410">
        <f t="shared" si="214"/>
        <v>0</v>
      </c>
      <c r="AU328" s="405" t="s">
        <v>857</v>
      </c>
      <c r="AV328" s="409" t="s">
        <v>4577</v>
      </c>
      <c r="AW328" s="420" t="str">
        <f t="shared" si="236"/>
        <v>ToyoLi - RED</v>
      </c>
      <c r="AX328" s="409">
        <f>10+17</f>
        <v>27</v>
      </c>
      <c r="AY328" s="411">
        <f>IF(AX328=0,0,IF($LB328=70%,VLOOKUP($AW328,'Jan-2026 rates'!$L:$R,4,0),IF($LB328=65%,VLOOKUP($AW328,'Jan-2026 rates'!$L:$R,4,0),IF($LB328=40%,VLOOKUP($AW328,'Jan-2026 rates'!$L:$R,5,0),IF($LB328=30%,VLOOKUP($AW328,'Jan-2026 rates'!$L:$R,6,0),IF($LB328=100%,VLOOKUP($AW328,'Jan-2026 rates'!$L:$R,7,0),IF($LB328=60%,VLOOKUP($AW328,'Jan-2026 rates'!$L:$S,8,0),IF($LB328=80%,VLOOKUP($AW328,'Jan-2026 rates'!L:T,9,0),0))))))))</f>
        <v>0</v>
      </c>
      <c r="AZ328" s="412"/>
      <c r="BA328" s="409"/>
      <c r="BB328" s="411">
        <f>IF(BA328=0,0,IF($LB328=70%,VLOOKUP($AW328,'Jan-2026 rates'!$L:$R,4,0),IF($LB328=65%,VLOOKUP($AW328,'Jan-2026 rates'!$L:$R,4,0),IF($LB328=40%,VLOOKUP($AW328,'Jan-2026 rates'!$L:$R,5,0),IF($LB328=30%,VLOOKUP($AW328,'Jan-2026 rates'!$L:$R,6,0),IF($LB328=100%,VLOOKUP($AW328,'Jan-2026 rates'!$L:$R,7,0),IF($LB328=60%,VLOOKUP($AW328,'Jan-2026 rates'!$L:$S,8,0),IF($LB328=80%,VLOOKUP($AW328,'Jan-2026 rates'!L:T,9,0),0))))))))</f>
        <v>0</v>
      </c>
      <c r="BC328" s="413" t="s">
        <v>1246</v>
      </c>
      <c r="BD328" s="412"/>
      <c r="BE328" s="412"/>
      <c r="BF328" s="413"/>
      <c r="BG328" s="412"/>
      <c r="BH328" s="412"/>
      <c r="BI328" s="412"/>
      <c r="BJ328" s="412"/>
      <c r="BK328" s="409">
        <v>2</v>
      </c>
      <c r="BL328" s="398">
        <f>IF(BK328=0,0,IF(LEN(BC328)=11,_xlfn.XLOOKUP(BC328,'Dispensed Ink Rates'!C:C,'Dispensed Ink Rates'!CS:CS),VLOOKUP(BC328,'Jan-2026 rates'!$E:$F,2,0)))</f>
        <v>0</v>
      </c>
      <c r="BM328" s="409"/>
      <c r="BN328" s="398">
        <f>IF(BM328=0,0,IF(LEN(BD328)=11,_xlfn.XLOOKUP(BD328,'Dispensed Ink Rates'!C:C,'Dispensed Ink Rates'!CS:CS),VLOOKUP(BD328,'Jan-2026 rates'!$E:$F,2,0)))</f>
        <v>0</v>
      </c>
      <c r="BO328" s="409"/>
      <c r="BP328" s="398">
        <f>IF(BO328=0,0,IF(LEN(BE328)=11,_xlfn.XLOOKUP(BE328,'Dispensed Ink Rates'!C:C,'Dispensed Ink Rates'!CS:CS),VLOOKUP(BE328,'Jan-2026 rates'!$E:$F,2,0)))</f>
        <v>0</v>
      </c>
      <c r="BQ328" s="409"/>
      <c r="BR328" s="398">
        <f>IF(BQ328=0,0,IF(LEN(BF328)=11,_xlfn.XLOOKUP(BF328,'Dispensed Ink Rates'!C:C,'Dispensed Ink Rates'!CS:CS),VLOOKUP(BF328,'Jan-2026 rates'!$E:$F,2,0)))</f>
        <v>0</v>
      </c>
      <c r="BS328" s="409"/>
      <c r="BT328" s="398">
        <f>IF(BS328=0,0,IF(LEN(BG328)=11,_xlfn.XLOOKUP(BG328,'Dispensed Ink Rates'!C:C,'Dispensed Ink Rates'!CS:CS),VLOOKUP(BG328,'Jan-2026 rates'!$E:$F,2,0)))</f>
        <v>0</v>
      </c>
      <c r="BU328" s="409"/>
      <c r="BV328" s="398">
        <f>IF(BU328=0,0,IF(LEN(BH328)=11,_xlfn.XLOOKUP(BH328,'Dispensed Ink Rates'!C:C,'Dispensed Ink Rates'!CS:CS),VLOOKUP(BH328,'Jan-2026 rates'!$E:$F,2,0)))</f>
        <v>0</v>
      </c>
      <c r="BW328" s="409"/>
      <c r="BX328" s="398">
        <f>IF(BW328=0,0,IF(LEN(BI328)=11,_xlfn.XLOOKUP(BI328,'Dispensed Ink Rates'!C:C,'Dispensed Ink Rates'!CS:CS),VLOOKUP(BI328,'Jan-2026 rates'!$E:$F,2,0)))</f>
        <v>0</v>
      </c>
      <c r="BY328" s="409"/>
      <c r="BZ328" s="398">
        <f>IF(BY328=0,0,IF(LEN(BJ328)=11,_xlfn.XLOOKUP(BJ328,'Dispensed Ink Rates'!C:C,'Dispensed Ink Rates'!CS:CS),VLOOKUP(BJ328,'Jan-2026 rates'!$E:$F,2,0)))</f>
        <v>0</v>
      </c>
      <c r="CA328" s="409" t="s">
        <v>1881</v>
      </c>
      <c r="CB328" s="409">
        <v>26</v>
      </c>
      <c r="CC328" s="411">
        <f t="shared" si="215"/>
        <v>0</v>
      </c>
      <c r="CD328" s="411">
        <f t="shared" si="216"/>
        <v>5.375</v>
      </c>
      <c r="CE328" s="410">
        <f t="shared" si="217"/>
        <v>0</v>
      </c>
      <c r="CF328" s="404" t="s">
        <v>828</v>
      </c>
      <c r="CG328" s="409"/>
      <c r="CH328" s="420" t="str">
        <f t="shared" si="185"/>
        <v>ToyoLi - ORANGE</v>
      </c>
      <c r="CI328" s="409"/>
      <c r="CJ328" s="411">
        <f>IF(CI328=0,0,IF($LB328=70%,VLOOKUP($CH328,'Jan-2026 rates'!$L:$R,4,0),IF($LB328=65%,VLOOKUP($CH328,'Jan-2026 rates'!$L:$R,4,0),IF($LB328=40%,VLOOKUP($CH328,'Jan-2026 rates'!$L:$R,5,0),IF($LB328=30%,VLOOKUP($CH328,'Jan-2026 rates'!$L:$R,6,0),IF($LB328=100%,VLOOKUP($CH328,'Jan-2026 rates'!$L:$R,7,0),IF($LB328=60%,VLOOKUP($CH328,'Jan-2026 rates'!$L:$S,8,0),IF($LB328=80%,VLOOKUP($CH328,'Jan-2026 rates'!L:T,9,0),0))))))))</f>
        <v>0</v>
      </c>
      <c r="CK328" s="412"/>
      <c r="CL328" s="409"/>
      <c r="CM328" s="411">
        <f>IF(CL328=0,0,IF($LB328=70%,VLOOKUP($CH328,'Jan-2026 rates'!$L:$R,4,0),IF($LB328=65%,VLOOKUP($CH328,'Jan-2026 rates'!$L:$R,4,0),IF($LB328=40%,VLOOKUP($CH328,'Jan-2026 rates'!$L:$R,5,0),IF($LB328=30%,VLOOKUP($CH328,'Jan-2026 rates'!$L:$R,6,0),IF($LB328=100%,VLOOKUP($CH328,'Jan-2026 rates'!$L:$R,7,0),IF($LB328=60%,VLOOKUP($CH328,'Jan-2026 rates'!$L:$S,8,0),IF($LB328=80%,VLOOKUP($CH328,'Jan-2026 rates'!L:T,9,0),0))))))))</f>
        <v>0</v>
      </c>
      <c r="CN328" s="426" t="s">
        <v>1248</v>
      </c>
      <c r="CO328" s="427" t="s">
        <v>1505</v>
      </c>
      <c r="CP328" s="426"/>
      <c r="CQ328" s="426"/>
      <c r="CR328" s="428"/>
      <c r="CS328" s="428"/>
      <c r="CT328" s="428"/>
      <c r="CU328" s="428"/>
      <c r="CV328" s="409">
        <v>20</v>
      </c>
      <c r="CW328" s="398">
        <f>IF(CV328=0,0,IF(LEN(CN328)=11,_xlfn.XLOOKUP(CN328,'Dispensed Ink Rates'!C:C,'Dispensed Ink Rates'!CS:CS),VLOOKUP(CN328,'Jan-2026 rates'!$E:$F,2,0)))</f>
        <v>0</v>
      </c>
      <c r="CX328" s="409">
        <v>8</v>
      </c>
      <c r="CY328" s="398">
        <f>IF(CX328=0,0,IF(LEN(CO328)=11,_xlfn.XLOOKUP(CO328,'Dispensed Ink Rates'!C:C,'Dispensed Ink Rates'!CS:CS),VLOOKUP(CO328,'Jan-2026 rates'!$E:$F,2,0)))</f>
        <v>0</v>
      </c>
      <c r="CZ328" s="409"/>
      <c r="DA328" s="398">
        <f>IF(CZ328=0,0,IF(LEN(CP328)=11,_xlfn.XLOOKUP(CP328,'Dispensed Ink Rates'!C:C,'Dispensed Ink Rates'!CS:CS),VLOOKUP(CP328,'Jan-2026 rates'!$E:$F,2,0)))</f>
        <v>0</v>
      </c>
      <c r="DB328" s="409"/>
      <c r="DC328" s="398">
        <f>IF(DB328=0,0,IF(LEN(CQ328)=11,_xlfn.XLOOKUP(CQ328,'Dispensed Ink Rates'!C:C,'Dispensed Ink Rates'!CS:CS),VLOOKUP(CQ328,'Jan-2026 rates'!$E:$F,2,0)))</f>
        <v>0</v>
      </c>
      <c r="DD328" s="409"/>
      <c r="DE328" s="398">
        <f>IF(DD328=0,0,IF(LEN(CR328)=11,_xlfn.XLOOKUP(CR328,'Dispensed Ink Rates'!C:C,'Dispensed Ink Rates'!CS:CS),VLOOKUP(CR328,'Jan-2026 rates'!$E:$F,2,0)))</f>
        <v>0</v>
      </c>
      <c r="DF328" s="409"/>
      <c r="DG328" s="398">
        <f>IF(DF328=0,0,IF(LEN(CS328)=11,_xlfn.XLOOKUP(CS328,'Dispensed Ink Rates'!C:C,'Dispensed Ink Rates'!CS:CS),VLOOKUP(CS328,'Jan-2026 rates'!$E:$F,2,0)))</f>
        <v>0</v>
      </c>
      <c r="DH328" s="409"/>
      <c r="DI328" s="398">
        <f>IF(DH328=0,0,IF(LEN(CT328)=11,_xlfn.XLOOKUP(CT328,'Dispensed Ink Rates'!C:C,'Dispensed Ink Rates'!CS:CS),VLOOKUP(CT328,'Jan-2026 rates'!$E:$F,2,0)))</f>
        <v>0</v>
      </c>
      <c r="DJ328" s="409"/>
      <c r="DK328" s="398">
        <f>IF(DJ328=0,0,IF(LEN(CU328)=11,_xlfn.XLOOKUP(CU328,'Dispensed Ink Rates'!C:C,'Dispensed Ink Rates'!CS:CS),VLOOKUP(CU328,'Jan-2026 rates'!$E:$F,2,0)))</f>
        <v>0</v>
      </c>
      <c r="DL328" s="409" t="s">
        <v>1881</v>
      </c>
      <c r="DM328" s="409">
        <v>22</v>
      </c>
      <c r="DN328" s="411">
        <f t="shared" si="218"/>
        <v>0</v>
      </c>
      <c r="DO328" s="411">
        <f t="shared" si="219"/>
        <v>34.5</v>
      </c>
      <c r="DP328" s="410">
        <f t="shared" si="220"/>
        <v>0</v>
      </c>
      <c r="DQ328" s="405" t="s">
        <v>547</v>
      </c>
      <c r="DR328" s="409" t="s">
        <v>4423</v>
      </c>
      <c r="DS328" s="420" t="str">
        <f t="shared" si="186"/>
        <v>ToyoLi - GREEN</v>
      </c>
      <c r="DT328" s="409">
        <v>14</v>
      </c>
      <c r="DU328" s="411">
        <f>IF(DT328=0,0,IF($LB328=70%,VLOOKUP($DS328,'Jan-2026 rates'!$L:$R,4,0),IF($LB328=65%,VLOOKUP($DS328,'Jan-2026 rates'!$L:$R,4,0),IF($LB328=40%,VLOOKUP($DS328,'Jan-2026 rates'!$L:$R,5,0),IF($LB328=30%,VLOOKUP($DS328,'Jan-2026 rates'!$L:$R,6,0),IF($LB328=100%,VLOOKUP($DS328,'Jan-2026 rates'!$L:$R,7,0),IF($LB328=60%,VLOOKUP($DS328,'Jan-2026 rates'!$L:$S,8,0),IF($LB328=80%,VLOOKUP($DS328,'Jan-2026 rates'!L:T,9,0),0))))))))</f>
        <v>0</v>
      </c>
      <c r="DV328" s="412"/>
      <c r="DW328" s="409"/>
      <c r="DX328" s="411">
        <f>IF(DW328=0,0,IF($LB328=70%,VLOOKUP($DS328,'Jan-2026 rates'!$L:$R,4,0),IF($LB328=65%,VLOOKUP($DS328,'Jan-2026 rates'!$L:$R,4,0),IF($LB328=40%,VLOOKUP($DS328,'Jan-2026 rates'!$L:$R,5,0),IF($LB328=30%,VLOOKUP($DS328,'Jan-2026 rates'!$L:$R,6,0),IF($LB328=100%,VLOOKUP($DS328,'Jan-2026 rates'!$L:$R,7,0),IF($LB328=60%,VLOOKUP($DS328,'Jan-2026 rates'!$L:$S,8,0),IF($LB328=80%,VLOOKUP($DS328,'Jan-2026 rates'!L:T,9,0),0))))))))</f>
        <v>0</v>
      </c>
      <c r="DY328" s="413" t="s">
        <v>1251</v>
      </c>
      <c r="DZ328" s="413" t="s">
        <v>1250</v>
      </c>
      <c r="EA328" s="412" t="s">
        <v>1247</v>
      </c>
      <c r="EB328" s="412"/>
      <c r="EC328" s="412"/>
      <c r="ED328" s="412"/>
      <c r="EE328" s="412"/>
      <c r="EF328" s="412"/>
      <c r="EG328" s="409">
        <v>3</v>
      </c>
      <c r="EH328" s="398">
        <f>IF(EG328=0,0,IF(LEN(DY328)=11,_xlfn.XLOOKUP(DY328,'Dispensed Ink Rates'!C:C,'Dispensed Ink Rates'!CS:CS),VLOOKUP(DY328,'Jan-2026 rates'!$E:$F,2,0)))</f>
        <v>0</v>
      </c>
      <c r="EI328" s="409">
        <v>2</v>
      </c>
      <c r="EJ328" s="398">
        <f>IF(EI328=0,0,IF(LEN(DZ328)=11,_xlfn.XLOOKUP(DZ328,'Dispensed Ink Rates'!C:C,'Dispensed Ink Rates'!CS:CS),VLOOKUP(DZ328,'Jan-2026 rates'!$E:$F,2,0)))</f>
        <v>0</v>
      </c>
      <c r="EK328" s="409">
        <v>4</v>
      </c>
      <c r="EL328" s="398">
        <f>IF(EK328=0,0,IF(LEN(EA328)=11,_xlfn.XLOOKUP(EA328,'Dispensed Ink Rates'!C:C,'Dispensed Ink Rates'!CS:CS),VLOOKUP(EA328,'Jan-2026 rates'!$E:$F,2,0)))</f>
        <v>0</v>
      </c>
      <c r="EM328" s="409"/>
      <c r="EN328" s="398">
        <f>IF(EM328=0,0,IF(LEN(EB328)=11,_xlfn.XLOOKUP(EB328,'Dispensed Ink Rates'!C:C,'Dispensed Ink Rates'!CS:CS),VLOOKUP(EB328,'Jan-2026 rates'!$E:$F,2,0)))</f>
        <v>0</v>
      </c>
      <c r="EO328" s="409"/>
      <c r="EP328" s="398">
        <f>IF(EO328=0,0,IF(LEN(EC328)=11,_xlfn.XLOOKUP(EC328,'Dispensed Ink Rates'!C:C,'Dispensed Ink Rates'!CS:CS),VLOOKUP(EC328,'Jan-2026 rates'!$E:$F,2,0)))</f>
        <v>0</v>
      </c>
      <c r="EQ328" s="409"/>
      <c r="ER328" s="398">
        <f>IF(EQ328=0,0,IF(LEN(ED328)=11,_xlfn.XLOOKUP(ED328,'Dispensed Ink Rates'!C:C,'Dispensed Ink Rates'!CS:CS),VLOOKUP(ED328,'Jan-2026 rates'!$E:$F,2,0)))</f>
        <v>0</v>
      </c>
      <c r="ES328" s="409"/>
      <c r="ET328" s="398">
        <f>IF(ES328=0,0,IF(LEN(EE328)=11,_xlfn.XLOOKUP(EE328,'Dispensed Ink Rates'!C:C,'Dispensed Ink Rates'!CS:CS),VLOOKUP(EE328,'Jan-2026 rates'!$E:$F,2,0)))</f>
        <v>0</v>
      </c>
      <c r="EU328" s="409"/>
      <c r="EV328" s="398">
        <f>IF(EU328=0,0,IF(LEN(EF328)=11,_xlfn.XLOOKUP(EF328,'Dispensed Ink Rates'!C:C,'Dispensed Ink Rates'!CS:CS),VLOOKUP(EF328,'Jan-2026 rates'!$E:$F,2,0)))</f>
        <v>0</v>
      </c>
      <c r="EW328" s="409" t="s">
        <v>1881</v>
      </c>
      <c r="EX328" s="409">
        <f>18+5</f>
        <v>23</v>
      </c>
      <c r="EY328" s="411">
        <f t="shared" si="221"/>
        <v>0</v>
      </c>
      <c r="EZ328" s="411">
        <f t="shared" si="222"/>
        <v>11.875</v>
      </c>
      <c r="FA328" s="410">
        <f t="shared" si="223"/>
        <v>0</v>
      </c>
      <c r="FB328" s="405" t="s">
        <v>545</v>
      </c>
      <c r="FC328" s="409" t="s">
        <v>4481</v>
      </c>
      <c r="FD328" s="420" t="str">
        <f t="shared" si="187"/>
        <v>ToyoLi - YELLOW</v>
      </c>
      <c r="FE328" s="409">
        <v>18</v>
      </c>
      <c r="FF328" s="411">
        <f>IF(FE328=0,0,IF($LB328=70%,VLOOKUP($FD328,'Jan-2026 rates'!$L:$R,4,0),IF($LB328=65%,VLOOKUP($FD328,'Jan-2026 rates'!$L:$R,4,0),IF($LB328=40%,VLOOKUP($FD328,'Jan-2026 rates'!$L:$R,5,0),IF($LB328=30%,VLOOKUP($FD328,'Jan-2026 rates'!$L:$R,6,0),IF($LB328=100%,VLOOKUP($FD328,'Jan-2026 rates'!$L:$R,7,0),IF($LB328=60%,VLOOKUP($FD328,'Jan-2026 rates'!$L:$S,8,0),IF($LB328=80%,VLOOKUP($FD328,'Jan-2026 rates'!L:T,9,0),0))))))))</f>
        <v>0</v>
      </c>
      <c r="FG328" s="412"/>
      <c r="FH328" s="409"/>
      <c r="FI328" s="411">
        <f>IF(FH328=0,0,IF($LB328=70%,VLOOKUP($FD328,'Jan-2026 rates'!$L:$R,4,0),IF($LB328=65%,VLOOKUP($FD328,'Jan-2026 rates'!$L:$R,4,0),IF($LB328=40%,VLOOKUP($FD328,'Jan-2026 rates'!$L:$R,5,0),IF($LB328=30%,VLOOKUP($FD328,'Jan-2026 rates'!$L:$R,6,0),IF($LB328=100%,VLOOKUP($FD328,'Jan-2026 rates'!$L:$R,7,0),IF($LB328=60%,VLOOKUP($FD328,'Jan-2026 rates'!$L:$S,8,0),IF($LB328=80%,VLOOKUP($FD328,'Jan-2026 rates'!L:T,9,0),0))))))))</f>
        <v>0</v>
      </c>
      <c r="FJ328" s="413" t="s">
        <v>1247</v>
      </c>
      <c r="FK328" s="413" t="s">
        <v>1248</v>
      </c>
      <c r="FL328" s="413" t="s">
        <v>1249</v>
      </c>
      <c r="FM328" s="412"/>
      <c r="FN328" s="412"/>
      <c r="FO328" s="412"/>
      <c r="FP328" s="412"/>
      <c r="FQ328" s="412"/>
      <c r="FR328" s="409">
        <v>2</v>
      </c>
      <c r="FS328" s="398">
        <f>IF(FR328=0,0,IF(LEN(FJ328)=11,_xlfn.XLOOKUP(FJ328,'Dispensed Ink Rates'!C:C,'Dispensed Ink Rates'!CS:CS),VLOOKUP(FJ328,'Jan-2026 rates'!$E:$F,2,0)))</f>
        <v>0</v>
      </c>
      <c r="FT328" s="409">
        <v>2</v>
      </c>
      <c r="FU328" s="398">
        <f>IF(FT328=0,0,IF(LEN(FK328)=11,_xlfn.XLOOKUP(FK328,'Dispensed Ink Rates'!C:C,'Dispensed Ink Rates'!CS:CS),VLOOKUP(FK328,'Jan-2026 rates'!$E:$F,2,0)))</f>
        <v>0</v>
      </c>
      <c r="FV328" s="409">
        <v>5</v>
      </c>
      <c r="FW328" s="398">
        <f>IF(FV328=0,0,IF(LEN(FL328)=11,_xlfn.XLOOKUP(FL328,'Dispensed Ink Rates'!C:C,'Dispensed Ink Rates'!CS:CS),VLOOKUP(FL328,'Jan-2026 rates'!$E:$F,2,0)))</f>
        <v>0</v>
      </c>
      <c r="FX328" s="409"/>
      <c r="FY328" s="398">
        <f>IF(FX328=0,0,IF(LEN(FM328)=11,_xlfn.XLOOKUP(FM328,'Dispensed Ink Rates'!C:C,'Dispensed Ink Rates'!CS:CS),VLOOKUP(FM328,'Jan-2026 rates'!$E:$F,2,0)))</f>
        <v>0</v>
      </c>
      <c r="FZ328" s="409"/>
      <c r="GA328" s="398">
        <f>IF(FZ328=0,0,IF(LEN(FN328)=11,_xlfn.XLOOKUP(FN328,'Dispensed Ink Rates'!C:C,'Dispensed Ink Rates'!CS:CS),VLOOKUP(FN328,'Jan-2026 rates'!$E:$F,2,0)))</f>
        <v>0</v>
      </c>
      <c r="GB328" s="409"/>
      <c r="GC328" s="398">
        <f>IF(GB328=0,0,IF(LEN(FO328)=11,_xlfn.XLOOKUP(FO328,'Dispensed Ink Rates'!C:C,'Dispensed Ink Rates'!CS:CS),VLOOKUP(FO328,'Jan-2026 rates'!$E:$F,2,0)))</f>
        <v>0</v>
      </c>
      <c r="GD328" s="409"/>
      <c r="GE328" s="398">
        <f>IF(GD328=0,0,IF(LEN(FP328)=11,_xlfn.XLOOKUP(FP328,'Dispensed Ink Rates'!C:C,'Dispensed Ink Rates'!CS:CS),VLOOKUP(FP328,'Jan-2026 rates'!$E:$F,2,0)))</f>
        <v>0</v>
      </c>
      <c r="GF328" s="409"/>
      <c r="GG328" s="398">
        <f>IF(GF328=0,0,IF(LEN(FQ328)=11,_xlfn.XLOOKUP(FQ328,'Dispensed Ink Rates'!C:C,'Dispensed Ink Rates'!CS:CS),VLOOKUP(FQ328,'Jan-2026 rates'!$E:$F,2,0)))</f>
        <v>0</v>
      </c>
      <c r="GH328" s="409" t="s">
        <v>1881</v>
      </c>
      <c r="GI328" s="409">
        <v>24</v>
      </c>
      <c r="GJ328" s="411">
        <f t="shared" si="224"/>
        <v>0</v>
      </c>
      <c r="GK328" s="411">
        <f t="shared" si="225"/>
        <v>10.125</v>
      </c>
      <c r="GL328" s="410">
        <f t="shared" si="226"/>
        <v>0</v>
      </c>
      <c r="GM328" s="405" t="s">
        <v>856</v>
      </c>
      <c r="GN328" s="409" t="s">
        <v>4578</v>
      </c>
      <c r="GO328" s="420" t="str">
        <f t="shared" si="188"/>
        <v>ToyoLi - WHITE</v>
      </c>
      <c r="GP328" s="409">
        <v>25</v>
      </c>
      <c r="GQ328" s="411">
        <f>IF(GP328=0,0,IF($LB328=70%,VLOOKUP($GO328,'Jan-2026 rates'!$L:$R,4,0),IF($LB328=65%,VLOOKUP($GO328,'Jan-2026 rates'!$L:$R,4,0),IF($LB328=40%,VLOOKUP($GO328,'Jan-2026 rates'!$L:$R,5,0),IF($LB328=30%,VLOOKUP($GO328,'Jan-2026 rates'!$L:$R,6,0),IF($LB328=100%,VLOOKUP($GO328,'Jan-2026 rates'!$L:$R,7,0),IF($LB328=60%,VLOOKUP($GO328,'Jan-2026 rates'!$L:$S,8,0),IF($LB328=80%,VLOOKUP($GO328,'Jan-2026 rates'!L:T,9,0),0))))))))</f>
        <v>0</v>
      </c>
      <c r="GR328" s="412"/>
      <c r="GS328" s="409"/>
      <c r="GT328" s="411">
        <f>IF(GS328=0,0,IF($LB328=70%,VLOOKUP($GO328,'Jan-2026 rates'!$L:$R,4,0),IF($LB328=65%,VLOOKUP($GO328,'Jan-2026 rates'!$L:$R,4,0),IF($LB328=40%,VLOOKUP($GO328,'Jan-2026 rates'!$L:$R,5,0),IF($LB328=30%,VLOOKUP($GO328,'Jan-2026 rates'!$L:$R,6,0),IF($LB328=100%,VLOOKUP($GO328,'Jan-2026 rates'!$L:$R,7,0),IF($LB328=60%,VLOOKUP($GO328,'Jan-2026 rates'!$L:$S,8,0),IF($LB328=80%,VLOOKUP($GO328,'Jan-2026 rates'!L:T,9,0),0))))))))</f>
        <v>0</v>
      </c>
      <c r="GU328" s="413" t="s">
        <v>1249</v>
      </c>
      <c r="GV328" s="413" t="s">
        <v>1122</v>
      </c>
      <c r="GW328" s="412"/>
      <c r="GX328" s="412"/>
      <c r="GY328" s="412"/>
      <c r="GZ328" s="412"/>
      <c r="HA328" s="412"/>
      <c r="HB328" s="412"/>
      <c r="HC328" s="409">
        <v>20</v>
      </c>
      <c r="HD328" s="398">
        <f>IF(HC328=0,0,IF(LEN(GU328)=11,_xlfn.XLOOKUP(GU328,'Dispensed Ink Rates'!C:C,'Dispensed Ink Rates'!CS:CS),VLOOKUP(GU328,'Jan-2026 rates'!$E:$F,2,0)))</f>
        <v>0</v>
      </c>
      <c r="HE328" s="409">
        <v>3.73</v>
      </c>
      <c r="HF328" s="398">
        <f>IF(HE328=0,0,IF(LEN(GV328)=11,_xlfn.XLOOKUP(GV328,'Dispensed Ink Rates'!C:C,'Dispensed Ink Rates'!CS:CS),VLOOKUP(GV328,'Jan-2026 rates'!$E:$F,2,0)))</f>
        <v>0</v>
      </c>
      <c r="HG328" s="409"/>
      <c r="HH328" s="398">
        <f>IF(HG328=0,0,IF(LEN(GW328)=11,_xlfn.XLOOKUP(GW328,'Dispensed Ink Rates'!C:C,'Dispensed Ink Rates'!CS:CS),VLOOKUP(GW328,'Jan-2026 rates'!$E:$F,2,0)))</f>
        <v>0</v>
      </c>
      <c r="HI328" s="409"/>
      <c r="HJ328" s="398">
        <f>IF(HI328=0,0,IF(LEN(GX328)=11,_xlfn.XLOOKUP(GX328,'Dispensed Ink Rates'!C:C,'Dispensed Ink Rates'!CS:CS),VLOOKUP(GX328,'Jan-2026 rates'!$E:$F,2,0)))</f>
        <v>0</v>
      </c>
      <c r="HK328" s="409"/>
      <c r="HL328" s="398">
        <f>IF(HK328=0,0,IF(LEN(GY328)=11,_xlfn.XLOOKUP(GY328,'Dispensed Ink Rates'!C:C,'Dispensed Ink Rates'!CS:CS),VLOOKUP(GY328,'Jan-2026 rates'!$E:$F,2,0)))</f>
        <v>0</v>
      </c>
      <c r="HM328" s="409"/>
      <c r="HN328" s="398">
        <f>IF(HM328=0,0,IF(LEN(GZ328)=11,_xlfn.XLOOKUP(GZ328,'Dispensed Ink Rates'!C:C,'Dispensed Ink Rates'!CS:CS),VLOOKUP(GZ328,'Jan-2026 rates'!$E:$F,2,0)))</f>
        <v>0</v>
      </c>
      <c r="HO328" s="409"/>
      <c r="HP328" s="398">
        <f>IF(HO328=0,0,IF(LEN(HA328)=11,_xlfn.XLOOKUP(HA328,'Dispensed Ink Rates'!C:C,'Dispensed Ink Rates'!CS:CS),VLOOKUP(HA328,'Jan-2026 rates'!$E:$F,2,0)))</f>
        <v>0</v>
      </c>
      <c r="HQ328" s="409"/>
      <c r="HR328" s="398">
        <f>IF(HQ328=0,0,IF(LEN(HB328)=11,_xlfn.XLOOKUP(HB328,'Dispensed Ink Rates'!C:C,'Dispensed Ink Rates'!CS:CS),VLOOKUP(HB328,'Jan-2026 rates'!$E:$F,2,0)))</f>
        <v>0</v>
      </c>
      <c r="HS328" s="409" t="s">
        <v>1881</v>
      </c>
      <c r="HT328" s="409">
        <v>20</v>
      </c>
      <c r="HU328" s="411">
        <f t="shared" si="227"/>
        <v>0</v>
      </c>
      <c r="HV328" s="411">
        <f t="shared" si="228"/>
        <v>52.47999999999999</v>
      </c>
      <c r="HW328" s="414">
        <f t="shared" si="229"/>
        <v>0</v>
      </c>
      <c r="HX328" s="405"/>
      <c r="HY328" s="409"/>
      <c r="HZ328" s="420" t="str">
        <f t="shared" si="189"/>
        <v xml:space="preserve"> - </v>
      </c>
      <c r="IA328" s="409"/>
      <c r="IB328" s="411">
        <f>IF(IA328=0,0,IF($LB328=70%,VLOOKUP($HZ328,'Jan-2026 rates'!$L:$R,4,0),IF($LB328=65%,VLOOKUP($HZ328,'Jan-2026 rates'!$L:$R,4,0),IF($LB328=40%,VLOOKUP($HZ328,'Jan-2026 rates'!$L:$R,5,0),IF($LB328=30%,VLOOKUP($HZ328,'Jan-2026 rates'!$L:$R,6,0),IF($LB328=100%,VLOOKUP($HZ328,'Jan-2026 rates'!$L:$R,7,0),IF($LB328=60%,VLOOKUP($HZ328,'Jan-2026 rates'!$L:$S,8,0),IF($LB328=80%,VLOOKUP($HZ328,'Jan-2026 rates'!L:T,9,0),0))))))))</f>
        <v>0</v>
      </c>
      <c r="IC328" s="412"/>
      <c r="ID328" s="409"/>
      <c r="IE328" s="411">
        <f>IF(ID328=0,0,IF($LB328=70%,VLOOKUP($HZ328,'Jan-2026 rates'!$L:$R,4,0),IF($LB328=65%,VLOOKUP($HZ328,'Jan-2026 rates'!$L:$R,4,0),IF($LB328=40%,VLOOKUP($HZ328,'Jan-2026 rates'!$L:$R,5,0),IF($LB328=30%,VLOOKUP($HZ328,'Jan-2026 rates'!$L:$R,6,0),IF($LB328=100%,VLOOKUP($HZ328,'Jan-2026 rates'!$L:$R,7,0),IF($LB328=60%,VLOOKUP($HZ328,'Jan-2026 rates'!$L:$S,8,0),IF($LB328=80%,VLOOKUP($HZ328,'Jan-2026 rates'!L:T,9,0),0))))))))</f>
        <v>0</v>
      </c>
      <c r="IF328" s="412"/>
      <c r="IG328" s="413"/>
      <c r="IH328" s="412"/>
      <c r="II328" s="412"/>
      <c r="IJ328" s="412"/>
      <c r="IK328" s="412"/>
      <c r="IL328" s="412"/>
      <c r="IM328" s="412"/>
      <c r="IN328" s="409"/>
      <c r="IO328" s="398">
        <f>IF(IN328=0,0,IF(LEN(IF328)=11,_xlfn.XLOOKUP(IF328,'Dispensed Ink Rates'!C:C,'Dispensed Ink Rates'!CS:CS),VLOOKUP(IF328,'Jan-2026 rates'!$E:$F,2,0)))</f>
        <v>0</v>
      </c>
      <c r="IP328" s="409"/>
      <c r="IQ328" s="398">
        <f>IF(IP328=0,0,IF(LEN(IG328)=11,_xlfn.XLOOKUP(IG328,'Dispensed Ink Rates'!C:C,'Dispensed Ink Rates'!CS:CS),VLOOKUP(IG328,'Jan-2026 rates'!$E:$F,2,0)))</f>
        <v>0</v>
      </c>
      <c r="IR328" s="409"/>
      <c r="IS328" s="398">
        <f>IF(IR328=0,0,IF(LEN(IH328)=11,_xlfn.XLOOKUP(IH328,'Dispensed Ink Rates'!C:C,'Dispensed Ink Rates'!CS:CS),VLOOKUP(IH328,'Jan-2026 rates'!$E:$F,2,0)))</f>
        <v>0</v>
      </c>
      <c r="IT328" s="409"/>
      <c r="IU328" s="398">
        <f>IF(IT328=0,0,IF(LEN(II328)=11,_xlfn.XLOOKUP(II328,'Dispensed Ink Rates'!C:C,'Dispensed Ink Rates'!CS:CS),VLOOKUP(II328,'Jan-2026 rates'!$E:$F,2,0)))</f>
        <v>0</v>
      </c>
      <c r="IV328" s="409"/>
      <c r="IW328" s="398">
        <f>IF(IV328=0,0,IF(LEN(IJ328)=11,_xlfn.XLOOKUP(IJ328,'Dispensed Ink Rates'!C:C,'Dispensed Ink Rates'!CS:CS),VLOOKUP(IJ328,'Jan-2026 rates'!$E:$F,2,0)))</f>
        <v>0</v>
      </c>
      <c r="IX328" s="409"/>
      <c r="IY328" s="398">
        <f>IF(IX328=0,0,IF(LEN(IK328)=11,_xlfn.XLOOKUP(IK328,'Dispensed Ink Rates'!C:C,'Dispensed Ink Rates'!CS:CS),VLOOKUP(IK328,'Jan-2026 rates'!$E:$F,2,0)))</f>
        <v>0</v>
      </c>
      <c r="IZ328" s="409"/>
      <c r="JA328" s="398">
        <f>IF(IZ328=0,0,IF(LEN(IL328)=11,_xlfn.XLOOKUP(IL328,'Dispensed Ink Rates'!C:C,'Dispensed Ink Rates'!CS:CS),VLOOKUP(IL328,'Jan-2026 rates'!$E:$F,2,0)))</f>
        <v>0</v>
      </c>
      <c r="JB328" s="409"/>
      <c r="JC328" s="398">
        <f>IF(JB328=0,0,IF(LEN(IM328)=11,_xlfn.XLOOKUP(IM328,'Dispensed Ink Rates'!C:C,'Dispensed Ink Rates'!CS:CS),VLOOKUP(IM328,'Jan-2026 rates'!$E:$F,2,0)))</f>
        <v>0</v>
      </c>
      <c r="JD328" s="409"/>
      <c r="JE328" s="409"/>
      <c r="JF328" s="411">
        <f t="shared" si="230"/>
        <v>0</v>
      </c>
      <c r="JG328" s="411">
        <f t="shared" si="231"/>
        <v>0</v>
      </c>
      <c r="JH328" s="410">
        <f t="shared" si="232"/>
        <v>0</v>
      </c>
      <c r="JI328" s="405"/>
      <c r="JJ328" s="409"/>
      <c r="JK328" s="420" t="str">
        <f t="shared" si="190"/>
        <v xml:space="preserve"> - </v>
      </c>
      <c r="JL328" s="409"/>
      <c r="JM328" s="411">
        <f>IF(JL328=0,0,IF($LB328=70%,VLOOKUP($JK328,'Jan-2026 rates'!$L:$R,4,0),IF($LB328=65%,VLOOKUP($JK328,'Jan-2026 rates'!$L:$R,4,0),IF($LB328=40%,VLOOKUP($JK328,'Jan-2026 rates'!$L:$R,5,0),IF($LB328=30%,VLOOKUP($JK328,'Jan-2026 rates'!$L:$R,6,0),IF($LB328=100%,VLOOKUP($JK328,'Jan-2026 rates'!$L:$R,7,0),IF($LB328=60%,VLOOKUP($JK328,'Jan-2026 rates'!$L:$S,8,0),IF($LB328=80%,VLOOKUP($JK328,'Jan-2026 rates'!L:T,9,0),0))))))))</f>
        <v>0</v>
      </c>
      <c r="JN328" s="412"/>
      <c r="JO328" s="409"/>
      <c r="JP328" s="411">
        <f>IF(JO328=0,0,IF($LB328=70%,VLOOKUP($JK328,'Jan-2026 rates'!$L:$R,4,0),IF($LB328=65%,VLOOKUP($JK328,'Jan-2026 rates'!$L:$R,4,0),IF($LB328=40%,VLOOKUP($JK328,'Jan-2026 rates'!$L:$R,5,0),IF($LB328=30%,VLOOKUP($JK328,'Jan-2026 rates'!$L:$R,6,0),IF($LB328=100%,VLOOKUP($JK328,'Jan-2026 rates'!$L:$R,7,0),IF($LB328=60%,VLOOKUP($JK328,'Jan-2026 rates'!$L:$S,8,0),IF($LB328=80%,VLOOKUP($JK328,'Jan-2026 rates'!L:T,9,0),0))))))))</f>
        <v>0</v>
      </c>
      <c r="JQ328" s="413"/>
      <c r="JR328" s="412"/>
      <c r="JS328" s="413"/>
      <c r="JT328" s="413"/>
      <c r="JU328" s="412"/>
      <c r="JV328" s="412"/>
      <c r="JW328" s="412"/>
      <c r="JX328" s="412"/>
      <c r="JY328" s="409"/>
      <c r="JZ328" s="398">
        <f>IF(JY328=0,0,IF(LEN(JQ328)=11,_xlfn.XLOOKUP(JQ328,'Dispensed Ink Rates'!C:C,'Dispensed Ink Rates'!CS:CS),VLOOKUP(JQ328,'Jan-2026 rates'!$E:$F,2,0)))</f>
        <v>0</v>
      </c>
      <c r="KA328" s="409"/>
      <c r="KB328" s="398">
        <f>IF(KA328=0,0,IF(LEN(JR328)=11,_xlfn.XLOOKUP(JR328,'Dispensed Ink Rates'!C:C,'Dispensed Ink Rates'!CS:CS),VLOOKUP(JR328,'Jan-2026 rates'!$E:$F,2,0)))</f>
        <v>0</v>
      </c>
      <c r="KC328" s="409"/>
      <c r="KD328" s="398">
        <f>IF(KC328=0,0,IF(LEN(JS328)=11,_xlfn.XLOOKUP(JS328,'Dispensed Ink Rates'!C:C,'Dispensed Ink Rates'!CS:CS),VLOOKUP(JS328,'Jan-2026 rates'!$E:$F,2,0)))</f>
        <v>0</v>
      </c>
      <c r="KE328" s="409"/>
      <c r="KF328" s="398">
        <f>IF(KE328=0,0,IF(LEN(JT328)=11,_xlfn.XLOOKUP(JT328,'Dispensed Ink Rates'!C:C,'Dispensed Ink Rates'!CS:CS),VLOOKUP(JT328,'Jan-2026 rates'!$E:$F,2,0)))</f>
        <v>0</v>
      </c>
      <c r="KG328" s="409"/>
      <c r="KH328" s="398">
        <f>IF(KG328=0,0,IF(LEN(JU328)=11,_xlfn.XLOOKUP(JU328,'Dispensed Ink Rates'!C:C,'Dispensed Ink Rates'!CS:CS),VLOOKUP(JU328,'Jan-2026 rates'!$E:$F,2,0)))</f>
        <v>0</v>
      </c>
      <c r="KI328" s="409"/>
      <c r="KJ328" s="398">
        <f>IF(KI328=0,0,IF(LEN(JV328)=11,_xlfn.XLOOKUP(JV328,'Dispensed Ink Rates'!C:C,'Dispensed Ink Rates'!CS:CS),VLOOKUP(JV328,'Jan-2026 rates'!$E:$F,2,0)))</f>
        <v>0</v>
      </c>
      <c r="KK328" s="409"/>
      <c r="KL328" s="398">
        <f>IF(KK328=0,0,IF(LEN(JW328)=11,_xlfn.XLOOKUP(JW328,'Dispensed Ink Rates'!C:C,'Dispensed Ink Rates'!CS:CS),VLOOKUP(JW328,'Jan-2026 rates'!$E:$F,2,0)))</f>
        <v>0</v>
      </c>
      <c r="KM328" s="428"/>
      <c r="KN328" s="398">
        <f>IF(KM328=0,0,IF(LEN(JX328)=11,_xlfn.XLOOKUP(JX328,'Dispensed Ink Rates'!C:C,'Dispensed Ink Rates'!CS:CS),VLOOKUP(JX328,'Jan-2026 rates'!$E:$F,2,0)))</f>
        <v>0</v>
      </c>
      <c r="KO328" s="409"/>
      <c r="KP328" s="409"/>
      <c r="KQ328" s="411">
        <f t="shared" si="233"/>
        <v>0</v>
      </c>
      <c r="KR328" s="411">
        <f t="shared" si="234"/>
        <v>0</v>
      </c>
      <c r="KS328" s="410">
        <f t="shared" si="235"/>
        <v>0</v>
      </c>
      <c r="KT328" s="409">
        <v>1</v>
      </c>
      <c r="KU328" s="409">
        <v>1</v>
      </c>
      <c r="KV328" s="409">
        <v>12</v>
      </c>
      <c r="KW328" s="409">
        <v>5</v>
      </c>
      <c r="KX328" s="409">
        <v>3</v>
      </c>
      <c r="KY328" s="409">
        <v>10</v>
      </c>
      <c r="KZ328" s="409">
        <v>0</v>
      </c>
      <c r="LA328" s="409">
        <v>0</v>
      </c>
      <c r="LB328" s="415">
        <v>0.3</v>
      </c>
      <c r="LC328" s="415"/>
      <c r="LD328" s="424"/>
      <c r="LE328" s="415">
        <v>0.5</v>
      </c>
      <c r="LF328" s="415">
        <v>0.2</v>
      </c>
      <c r="LG328" s="409">
        <v>0</v>
      </c>
      <c r="LH328" s="409">
        <f>10+26+12+20+8</f>
        <v>76</v>
      </c>
      <c r="LI328" s="409">
        <v>0</v>
      </c>
      <c r="LJ328" s="409">
        <v>0</v>
      </c>
      <c r="LK328" s="416">
        <f t="shared" si="191"/>
        <v>76</v>
      </c>
      <c r="LL328" s="416">
        <f t="shared" si="237"/>
        <v>76</v>
      </c>
      <c r="LM328" s="417">
        <f t="shared" si="193"/>
        <v>22.8</v>
      </c>
      <c r="LN328" s="417">
        <f>VLOOKUP($LM$8,'Jan-2026 rates'!$H:$I,2,0)</f>
        <v>0</v>
      </c>
      <c r="LO328" s="417">
        <f t="shared" si="194"/>
        <v>0</v>
      </c>
      <c r="LP328" s="417">
        <f>VLOOKUP($LO$8,'Jan-2026 rates'!$H:$I,2,0)</f>
        <v>0</v>
      </c>
      <c r="LQ328" s="417">
        <f t="shared" si="195"/>
        <v>0</v>
      </c>
      <c r="LR328" s="417">
        <f>VLOOKUP($LQ$8,'Jan-2026 rates'!$H:$I,2,0)</f>
        <v>0</v>
      </c>
      <c r="LS328" s="417">
        <f t="shared" si="196"/>
        <v>38</v>
      </c>
      <c r="LT328" s="417">
        <f>VLOOKUP($LS$8,'Jan-2026 rates'!$H:$I,2,0)</f>
        <v>0</v>
      </c>
      <c r="LU328" s="417">
        <f t="shared" si="197"/>
        <v>15.200000000000001</v>
      </c>
      <c r="LV328" s="417">
        <f>VLOOKUP($LU$8,'Jan-2026 rates'!$H:$I,2,0)</f>
        <v>0</v>
      </c>
      <c r="LW328" s="417">
        <f t="shared" si="198"/>
        <v>0</v>
      </c>
      <c r="LX328" s="417">
        <f t="shared" si="199"/>
        <v>0</v>
      </c>
      <c r="LY328" s="418">
        <f t="shared" si="200"/>
        <v>0</v>
      </c>
      <c r="LZ328" s="417"/>
      <c r="MA328" s="435">
        <f t="shared" si="201"/>
        <v>72.73</v>
      </c>
      <c r="MB328" s="282">
        <f t="shared" si="202"/>
        <v>119.72999999999999</v>
      </c>
      <c r="MC328" s="283" t="s">
        <v>2067</v>
      </c>
      <c r="MD328" s="284" t="str">
        <f t="shared" si="203"/>
        <v>ToyoLiToyoLiToyoLiToyoLiToyoLiToyoLi</v>
      </c>
      <c r="ME328" s="293" t="str">
        <f t="shared" si="204"/>
        <v>+</v>
      </c>
      <c r="MF328" s="293" t="str">
        <f t="shared" si="205"/>
        <v>+</v>
      </c>
      <c r="MG328" s="293" t="str">
        <f t="shared" si="206"/>
        <v>+</v>
      </c>
      <c r="MH328" s="293" t="str">
        <f t="shared" si="207"/>
        <v>+</v>
      </c>
      <c r="MI328" s="293" t="str">
        <f t="shared" si="208"/>
        <v>+</v>
      </c>
      <c r="MJ328" s="293" t="str">
        <f t="shared" si="209"/>
        <v>+</v>
      </c>
      <c r="MK328" s="293" t="str">
        <f t="shared" si="210"/>
        <v>NIL</v>
      </c>
      <c r="ML328" s="293" t="str">
        <f t="shared" si="211"/>
        <v>NIL</v>
      </c>
      <c r="MM328" s="3" t="b">
        <f t="array" ref="MM328">OR(ME328:ML328="-")</f>
        <v>0</v>
      </c>
      <c r="MO328" s="401">
        <f t="shared" si="238"/>
        <v>46.952941176470588</v>
      </c>
      <c r="MP328" s="286"/>
      <c r="MR328" s="402">
        <f t="shared" si="239"/>
        <v>9.5783999999999991E-3</v>
      </c>
      <c r="MS328" s="400">
        <f t="shared" si="240"/>
        <v>0</v>
      </c>
      <c r="MT328" s="285"/>
      <c r="NH328" s="361"/>
      <c r="NJ328" s="282"/>
    </row>
    <row r="329" spans="1:374" ht="16.5">
      <c r="A329" s="403">
        <v>46046</v>
      </c>
      <c r="B329" s="404" t="s">
        <v>1018</v>
      </c>
      <c r="C329" s="405" t="s">
        <v>4579</v>
      </c>
      <c r="D329" s="404" t="s">
        <v>2068</v>
      </c>
      <c r="E329" s="404">
        <v>80</v>
      </c>
      <c r="F329" s="407">
        <v>5200</v>
      </c>
      <c r="G329" s="407" t="s">
        <v>1016</v>
      </c>
      <c r="H329" s="408" t="s">
        <v>1017</v>
      </c>
      <c r="I329" s="409">
        <v>0.5</v>
      </c>
      <c r="J329" s="405" t="s">
        <v>543</v>
      </c>
      <c r="K329" s="404"/>
      <c r="L329" s="419" t="str">
        <f t="shared" si="184"/>
        <v>ToyoLi - BLACK</v>
      </c>
      <c r="M329" s="404"/>
      <c r="N329" s="410">
        <f>IF(M329=0,0,IF($LB329=70%,VLOOKUP($L329,'Jan-2026 rates'!$L:$R,4,0),IF($LB329=65%,VLOOKUP($L329,'Jan-2026 rates'!$L:$R,4,0),IF($LB329=40%,VLOOKUP($L329,'Jan-2026 rates'!$L:$R,5,0),IF($LB329=30%,VLOOKUP($L329,'Jan-2026 rates'!$L:$R,6,0),IF($LB329=100%,VLOOKUP($L329,'Jan-2026 rates'!$L:$R,7,0),IF($LB329=60%,VLOOKUP($L329,'Jan-2026 rates'!$L:$S,8,0),IF($LB329=80%,VLOOKUP($L329,'Jan-2026 rates'!L:T,9,0),0))))))))</f>
        <v>0</v>
      </c>
      <c r="O329" s="406"/>
      <c r="P329" s="404"/>
      <c r="Q329" s="410">
        <f>IF(P329=0,0,IF($LB329=70%,VLOOKUP($L329,'Jan-2026 rates'!$L:$R,4,0),IF($LB329=65%,VLOOKUP($L329,'Jan-2026 rates'!$L:$R,4,0),IF($LB329=40%,VLOOKUP($L329,'Jan-2026 rates'!$L:$R,5,0),IF($LB329=30%,VLOOKUP($L329,'Jan-2026 rates'!$L:$R,6,0),IF($LB329=100%,VLOOKUP($L329,'Jan-2026 rates'!$L:$R,7,0),IF($LB329=60%,VLOOKUP($L329,'Jan-2026 rates'!$L:$S,8,0),IF($LB329=80%,VLOOKUP($L329,'Jan-2026 rates'!L:T,9,0),0))))))))</f>
        <v>0</v>
      </c>
      <c r="R329" s="406" t="s">
        <v>1252</v>
      </c>
      <c r="S329" s="406"/>
      <c r="T329" s="406"/>
      <c r="U329" s="406"/>
      <c r="V329" s="406"/>
      <c r="W329" s="406"/>
      <c r="X329" s="406"/>
      <c r="Y329" s="406"/>
      <c r="Z329" s="404">
        <v>10</v>
      </c>
      <c r="AA329" s="398">
        <f>IF(Z329=0,0,IF(LEN(R329)=11,_xlfn.XLOOKUP(R329,'Dispensed Ink Rates'!C:C,'Dispensed Ink Rates'!CS:CS),VLOOKUP(R329,'Jan-2026 rates'!$E:$F,2,0)))</f>
        <v>0</v>
      </c>
      <c r="AB329" s="404"/>
      <c r="AC329" s="398">
        <f>IF(AB329=0,0,IF(LEN(S329)=11,_xlfn.XLOOKUP(S329,'Dispensed Ink Rates'!C:C,'Dispensed Ink Rates'!CS:CS),VLOOKUP(S329,'Jan-2026 rates'!$E:$F,2,0)))</f>
        <v>0</v>
      </c>
      <c r="AD329" s="404"/>
      <c r="AE329" s="398">
        <f>IF(AD329=0,0,IF(LEN(T329)=11,_xlfn.XLOOKUP(T329,'Dispensed Ink Rates'!C:C,'Dispensed Ink Rates'!CS:CS),VLOOKUP(T329,'Jan-2026 rates'!$E:$F,2,0)))</f>
        <v>0</v>
      </c>
      <c r="AF329" s="404"/>
      <c r="AG329" s="398">
        <f>IF(AF329=0,0,IF(LEN(U329)=11,_xlfn.XLOOKUP(U329,'Dispensed Ink Rates'!C:C,'Dispensed Ink Rates'!CS:CS),VLOOKUP(U329,'Jan-2026 rates'!$E:$F,2,0)))</f>
        <v>0</v>
      </c>
      <c r="AH329" s="404"/>
      <c r="AI329" s="398">
        <f>IF(AH329=0,0,IF(LEN(V329)=11,_xlfn.XLOOKUP(V329,'Dispensed Ink Rates'!C:C,'Dispensed Ink Rates'!CS:CS),VLOOKUP(V329,'Jan-2026 rates'!$E:$F,2,0)))</f>
        <v>0</v>
      </c>
      <c r="AJ329" s="404"/>
      <c r="AK329" s="398">
        <f>IF(AJ329=0,0,IF(LEN(W329)=11,_xlfn.XLOOKUP(W329,'Dispensed Ink Rates'!C:C,'Dispensed Ink Rates'!CS:CS),VLOOKUP(W329,'Jan-2026 rates'!$E:$F,2,0)))</f>
        <v>0</v>
      </c>
      <c r="AL329" s="404"/>
      <c r="AM329" s="398">
        <f>IF(AL329=0,0,IF(LEN(X329)=11,_xlfn.XLOOKUP(X329,'Dispensed Ink Rates'!C:C,'Dispensed Ink Rates'!CS:CS),VLOOKUP(X329,'Jan-2026 rates'!$E:$F,2,0)))</f>
        <v>0</v>
      </c>
      <c r="AN329" s="404"/>
      <c r="AO329" s="398">
        <f>IF(AN329=0,0,IF(LEN(Y329)=11,_xlfn.XLOOKUP(Y329,'Dispensed Ink Rates'!C:C,'Dispensed Ink Rates'!CS:CS),VLOOKUP(Y329,'Jan-2026 rates'!$E:$F,2,0)))</f>
        <v>0</v>
      </c>
      <c r="AP329" s="409" t="s">
        <v>1881</v>
      </c>
      <c r="AQ329" s="409">
        <v>16</v>
      </c>
      <c r="AR329" s="410">
        <f t="shared" si="212"/>
        <v>0</v>
      </c>
      <c r="AS329" s="411">
        <f t="shared" si="213"/>
        <v>9.6521739130434767</v>
      </c>
      <c r="AT329" s="410">
        <f t="shared" si="214"/>
        <v>0</v>
      </c>
      <c r="AU329" s="405" t="s">
        <v>857</v>
      </c>
      <c r="AV329" s="409"/>
      <c r="AW329" s="420" t="str">
        <f t="shared" si="236"/>
        <v>ToyoLi - RED</v>
      </c>
      <c r="AX329" s="409"/>
      <c r="AY329" s="411">
        <f>IF(AX329=0,0,IF($LB329=70%,VLOOKUP($AW329,'Jan-2026 rates'!$L:$R,4,0),IF($LB329=65%,VLOOKUP($AW329,'Jan-2026 rates'!$L:$R,4,0),IF($LB329=40%,VLOOKUP($AW329,'Jan-2026 rates'!$L:$R,5,0),IF($LB329=30%,VLOOKUP($AW329,'Jan-2026 rates'!$L:$R,6,0),IF($LB329=100%,VLOOKUP($AW329,'Jan-2026 rates'!$L:$R,7,0),IF($LB329=60%,VLOOKUP($AW329,'Jan-2026 rates'!$L:$S,8,0),IF($LB329=80%,VLOOKUP($AW329,'Jan-2026 rates'!L:T,9,0),0))))))))</f>
        <v>0</v>
      </c>
      <c r="AZ329" s="412"/>
      <c r="BA329" s="409"/>
      <c r="BB329" s="411">
        <f>IF(BA329=0,0,IF($LB329=70%,VLOOKUP($AW329,'Jan-2026 rates'!$L:$R,4,0),IF($LB329=65%,VLOOKUP($AW329,'Jan-2026 rates'!$L:$R,4,0),IF($LB329=40%,VLOOKUP($AW329,'Jan-2026 rates'!$L:$R,5,0),IF($LB329=30%,VLOOKUP($AW329,'Jan-2026 rates'!$L:$R,6,0),IF($LB329=100%,VLOOKUP($AW329,'Jan-2026 rates'!$L:$R,7,0),IF($LB329=60%,VLOOKUP($AW329,'Jan-2026 rates'!$L:$S,8,0),IF($LB329=80%,VLOOKUP($AW329,'Jan-2026 rates'!L:T,9,0),0))))))))</f>
        <v>0</v>
      </c>
      <c r="BC329" s="413" t="s">
        <v>1246</v>
      </c>
      <c r="BD329" s="412" t="s">
        <v>1248</v>
      </c>
      <c r="BE329" s="412" t="s">
        <v>1252</v>
      </c>
      <c r="BF329" s="413"/>
      <c r="BG329" s="412"/>
      <c r="BH329" s="412"/>
      <c r="BI329" s="412"/>
      <c r="BJ329" s="412"/>
      <c r="BK329" s="409">
        <v>10</v>
      </c>
      <c r="BL329" s="398">
        <f>IF(BK329=0,0,IF(LEN(BC329)=11,_xlfn.XLOOKUP(BC329,'Dispensed Ink Rates'!C:C,'Dispensed Ink Rates'!CS:CS),VLOOKUP(BC329,'Jan-2026 rates'!$E:$F,2,0)))</f>
        <v>0</v>
      </c>
      <c r="BM329" s="409">
        <v>5</v>
      </c>
      <c r="BN329" s="398">
        <f>IF(BM329=0,0,IF(LEN(BD329)=11,_xlfn.XLOOKUP(BD329,'Dispensed Ink Rates'!C:C,'Dispensed Ink Rates'!CS:CS),VLOOKUP(BD329,'Jan-2026 rates'!$E:$F,2,0)))</f>
        <v>0</v>
      </c>
      <c r="BO329" s="409">
        <v>0.2</v>
      </c>
      <c r="BP329" s="398">
        <f>IF(BO329=0,0,IF(LEN(BE329)=11,_xlfn.XLOOKUP(BE329,'Dispensed Ink Rates'!C:C,'Dispensed Ink Rates'!CS:CS),VLOOKUP(BE329,'Jan-2026 rates'!$E:$F,2,0)))</f>
        <v>0</v>
      </c>
      <c r="BQ329" s="409"/>
      <c r="BR329" s="398">
        <f>IF(BQ329=0,0,IF(LEN(BF329)=11,_xlfn.XLOOKUP(BF329,'Dispensed Ink Rates'!C:C,'Dispensed Ink Rates'!CS:CS),VLOOKUP(BF329,'Jan-2026 rates'!$E:$F,2,0)))</f>
        <v>0</v>
      </c>
      <c r="BS329" s="409"/>
      <c r="BT329" s="398">
        <f>IF(BS329=0,0,IF(LEN(BG329)=11,_xlfn.XLOOKUP(BG329,'Dispensed Ink Rates'!C:C,'Dispensed Ink Rates'!CS:CS),VLOOKUP(BG329,'Jan-2026 rates'!$E:$F,2,0)))</f>
        <v>0</v>
      </c>
      <c r="BU329" s="409"/>
      <c r="BV329" s="398">
        <f>IF(BU329=0,0,IF(LEN(BH329)=11,_xlfn.XLOOKUP(BH329,'Dispensed Ink Rates'!C:C,'Dispensed Ink Rates'!CS:CS),VLOOKUP(BH329,'Jan-2026 rates'!$E:$F,2,0)))</f>
        <v>0</v>
      </c>
      <c r="BW329" s="409"/>
      <c r="BX329" s="398">
        <f>IF(BW329=0,0,IF(LEN(BI329)=11,_xlfn.XLOOKUP(BI329,'Dispensed Ink Rates'!C:C,'Dispensed Ink Rates'!CS:CS),VLOOKUP(BI329,'Jan-2026 rates'!$E:$F,2,0)))</f>
        <v>0</v>
      </c>
      <c r="BY329" s="409"/>
      <c r="BZ329" s="398">
        <f>IF(BY329=0,0,IF(LEN(BJ329)=11,_xlfn.XLOOKUP(BJ329,'Dispensed Ink Rates'!C:C,'Dispensed Ink Rates'!CS:CS),VLOOKUP(BJ329,'Jan-2026 rates'!$E:$F,2,0)))</f>
        <v>0</v>
      </c>
      <c r="CA329" s="409" t="s">
        <v>1881</v>
      </c>
      <c r="CB329" s="409">
        <v>22</v>
      </c>
      <c r="CC329" s="411">
        <f t="shared" si="215"/>
        <v>0</v>
      </c>
      <c r="CD329" s="411">
        <f t="shared" si="216"/>
        <v>12.765217391304347</v>
      </c>
      <c r="CE329" s="410">
        <f t="shared" si="217"/>
        <v>0</v>
      </c>
      <c r="CF329" s="404" t="s">
        <v>545</v>
      </c>
      <c r="CG329" s="409" t="s">
        <v>4580</v>
      </c>
      <c r="CH329" s="420" t="str">
        <f t="shared" si="185"/>
        <v>ToyoLi - YELLOW</v>
      </c>
      <c r="CI329" s="409">
        <v>25</v>
      </c>
      <c r="CJ329" s="411">
        <f>IF(CI329=0,0,IF($LB329=70%,VLOOKUP($CH329,'Jan-2026 rates'!$L:$R,4,0),IF($LB329=65%,VLOOKUP($CH329,'Jan-2026 rates'!$L:$R,4,0),IF($LB329=40%,VLOOKUP($CH329,'Jan-2026 rates'!$L:$R,5,0),IF($LB329=30%,VLOOKUP($CH329,'Jan-2026 rates'!$L:$R,6,0),IF($LB329=100%,VLOOKUP($CH329,'Jan-2026 rates'!$L:$R,7,0),IF($LB329=60%,VLOOKUP($CH329,'Jan-2026 rates'!$L:$S,8,0),IF($LB329=80%,VLOOKUP($CH329,'Jan-2026 rates'!L:T,9,0),0))))))))</f>
        <v>0</v>
      </c>
      <c r="CK329" s="412"/>
      <c r="CL329" s="409"/>
      <c r="CM329" s="411">
        <f>IF(CL329=0,0,IF($LB329=70%,VLOOKUP($CH329,'Jan-2026 rates'!$L:$R,4,0),IF($LB329=65%,VLOOKUP($CH329,'Jan-2026 rates'!$L:$R,4,0),IF($LB329=40%,VLOOKUP($CH329,'Jan-2026 rates'!$L:$R,5,0),IF($LB329=30%,VLOOKUP($CH329,'Jan-2026 rates'!$L:$R,6,0),IF($LB329=100%,VLOOKUP($CH329,'Jan-2026 rates'!$L:$R,7,0),IF($LB329=60%,VLOOKUP($CH329,'Jan-2026 rates'!$L:$S,8,0),IF($LB329=80%,VLOOKUP($CH329,'Jan-2026 rates'!L:T,9,0),0))))))))</f>
        <v>0</v>
      </c>
      <c r="CN329" s="426" t="s">
        <v>1247</v>
      </c>
      <c r="CO329" s="427" t="s">
        <v>1921</v>
      </c>
      <c r="CP329" s="426"/>
      <c r="CQ329" s="426"/>
      <c r="CR329" s="428"/>
      <c r="CS329" s="428"/>
      <c r="CT329" s="428"/>
      <c r="CU329" s="428"/>
      <c r="CV329" s="409">
        <f>5+5</f>
        <v>10</v>
      </c>
      <c r="CW329" s="398">
        <f>IF(CV329=0,0,IF(LEN(CN329)=11,_xlfn.XLOOKUP(CN329,'Dispensed Ink Rates'!C:C,'Dispensed Ink Rates'!CS:CS),VLOOKUP(CN329,'Jan-2026 rates'!$E:$F,2,0)))</f>
        <v>0</v>
      </c>
      <c r="CX329" s="409">
        <v>5</v>
      </c>
      <c r="CY329" s="398">
        <f>IF(CX329=0,0,IF(LEN(CO329)=11,_xlfn.XLOOKUP(CO329,'Dispensed Ink Rates'!C:C,'Dispensed Ink Rates'!CS:CS),VLOOKUP(CO329,'Jan-2026 rates'!$E:$F,2,0)))</f>
        <v>0</v>
      </c>
      <c r="CZ329" s="409"/>
      <c r="DA329" s="398">
        <f>IF(CZ329=0,0,IF(LEN(CP329)=11,_xlfn.XLOOKUP(CP329,'Dispensed Ink Rates'!C:C,'Dispensed Ink Rates'!CS:CS),VLOOKUP(CP329,'Jan-2026 rates'!$E:$F,2,0)))</f>
        <v>0</v>
      </c>
      <c r="DB329" s="409"/>
      <c r="DC329" s="398">
        <f>IF(DB329=0,0,IF(LEN(CQ329)=11,_xlfn.XLOOKUP(CQ329,'Dispensed Ink Rates'!C:C,'Dispensed Ink Rates'!CS:CS),VLOOKUP(CQ329,'Jan-2026 rates'!$E:$F,2,0)))</f>
        <v>0</v>
      </c>
      <c r="DD329" s="409"/>
      <c r="DE329" s="398">
        <f>IF(DD329=0,0,IF(LEN(CR329)=11,_xlfn.XLOOKUP(CR329,'Dispensed Ink Rates'!C:C,'Dispensed Ink Rates'!CS:CS),VLOOKUP(CR329,'Jan-2026 rates'!$E:$F,2,0)))</f>
        <v>0</v>
      </c>
      <c r="DF329" s="409"/>
      <c r="DG329" s="398">
        <f>IF(DF329=0,0,IF(LEN(CS329)=11,_xlfn.XLOOKUP(CS329,'Dispensed Ink Rates'!C:C,'Dispensed Ink Rates'!CS:CS),VLOOKUP(CS329,'Jan-2026 rates'!$E:$F,2,0)))</f>
        <v>0</v>
      </c>
      <c r="DH329" s="409"/>
      <c r="DI329" s="398">
        <f>IF(DH329=0,0,IF(LEN(CT329)=11,_xlfn.XLOOKUP(CT329,'Dispensed Ink Rates'!C:C,'Dispensed Ink Rates'!CS:CS),VLOOKUP(CT329,'Jan-2026 rates'!$E:$F,2,0)))</f>
        <v>0</v>
      </c>
      <c r="DJ329" s="409"/>
      <c r="DK329" s="398">
        <f>IF(DJ329=0,0,IF(LEN(CU329)=11,_xlfn.XLOOKUP(CU329,'Dispensed Ink Rates'!C:C,'Dispensed Ink Rates'!CS:CS),VLOOKUP(CU329,'Jan-2026 rates'!$E:$F,2,0)))</f>
        <v>0</v>
      </c>
      <c r="DL329" s="409" t="s">
        <v>1881</v>
      </c>
      <c r="DM329" s="409">
        <v>20</v>
      </c>
      <c r="DN329" s="411">
        <f t="shared" si="218"/>
        <v>0</v>
      </c>
      <c r="DO329" s="411">
        <f t="shared" si="219"/>
        <v>29.782608695652172</v>
      </c>
      <c r="DP329" s="410">
        <f t="shared" si="220"/>
        <v>0</v>
      </c>
      <c r="DQ329" s="405"/>
      <c r="DR329" s="409"/>
      <c r="DS329" s="420" t="str">
        <f t="shared" si="186"/>
        <v xml:space="preserve"> - </v>
      </c>
      <c r="DT329" s="409"/>
      <c r="DU329" s="411">
        <f>IF(DT329=0,0,IF($LB329=70%,VLOOKUP($DS329,'Jan-2026 rates'!$L:$R,4,0),IF($LB329=65%,VLOOKUP($DS329,'Jan-2026 rates'!$L:$R,4,0),IF($LB329=40%,VLOOKUP($DS329,'Jan-2026 rates'!$L:$R,5,0),IF($LB329=30%,VLOOKUP($DS329,'Jan-2026 rates'!$L:$R,6,0),IF($LB329=100%,VLOOKUP($DS329,'Jan-2026 rates'!$L:$R,7,0),IF($LB329=60%,VLOOKUP($DS329,'Jan-2026 rates'!$L:$S,8,0),IF($LB329=80%,VLOOKUP($DS329,'Jan-2026 rates'!L:T,9,0),0))))))))</f>
        <v>0</v>
      </c>
      <c r="DV329" s="412"/>
      <c r="DW329" s="409"/>
      <c r="DX329" s="411">
        <f>IF(DW329=0,0,IF($LB329=70%,VLOOKUP($DS329,'Jan-2026 rates'!$L:$R,4,0),IF($LB329=65%,VLOOKUP($DS329,'Jan-2026 rates'!$L:$R,4,0),IF($LB329=40%,VLOOKUP($DS329,'Jan-2026 rates'!$L:$R,5,0),IF($LB329=30%,VLOOKUP($DS329,'Jan-2026 rates'!$L:$R,6,0),IF($LB329=100%,VLOOKUP($DS329,'Jan-2026 rates'!$L:$R,7,0),IF($LB329=60%,VLOOKUP($DS329,'Jan-2026 rates'!$L:$S,8,0),IF($LB329=80%,VLOOKUP($DS329,'Jan-2026 rates'!L:T,9,0),0))))))))</f>
        <v>0</v>
      </c>
      <c r="DY329" s="413"/>
      <c r="DZ329" s="413"/>
      <c r="EA329" s="412"/>
      <c r="EB329" s="412"/>
      <c r="EC329" s="412"/>
      <c r="ED329" s="412"/>
      <c r="EE329" s="412"/>
      <c r="EF329" s="412"/>
      <c r="EG329" s="409"/>
      <c r="EH329" s="398">
        <f>IF(EG329=0,0,IF(LEN(DY329)=11,_xlfn.XLOOKUP(DY329,'Dispensed Ink Rates'!C:C,'Dispensed Ink Rates'!CS:CS),VLOOKUP(DY329,'Jan-2026 rates'!$E:$F,2,0)))</f>
        <v>0</v>
      </c>
      <c r="EI329" s="409"/>
      <c r="EJ329" s="398">
        <f>IF(EI329=0,0,IF(LEN(DZ329)=11,_xlfn.XLOOKUP(DZ329,'Dispensed Ink Rates'!C:C,'Dispensed Ink Rates'!CS:CS),VLOOKUP(DZ329,'Jan-2026 rates'!$E:$F,2,0)))</f>
        <v>0</v>
      </c>
      <c r="EK329" s="409"/>
      <c r="EL329" s="398">
        <f>IF(EK329=0,0,IF(LEN(EA329)=11,_xlfn.XLOOKUP(EA329,'Dispensed Ink Rates'!C:C,'Dispensed Ink Rates'!CS:CS),VLOOKUP(EA329,'Jan-2026 rates'!$E:$F,2,0)))</f>
        <v>0</v>
      </c>
      <c r="EM329" s="409"/>
      <c r="EN329" s="398">
        <f>IF(EM329=0,0,IF(LEN(EB329)=11,_xlfn.XLOOKUP(EB329,'Dispensed Ink Rates'!C:C,'Dispensed Ink Rates'!CS:CS),VLOOKUP(EB329,'Jan-2026 rates'!$E:$F,2,0)))</f>
        <v>0</v>
      </c>
      <c r="EO329" s="409"/>
      <c r="EP329" s="398">
        <f>IF(EO329=0,0,IF(LEN(EC329)=11,_xlfn.XLOOKUP(EC329,'Dispensed Ink Rates'!C:C,'Dispensed Ink Rates'!CS:CS),VLOOKUP(EC329,'Jan-2026 rates'!$E:$F,2,0)))</f>
        <v>0</v>
      </c>
      <c r="EQ329" s="409"/>
      <c r="ER329" s="398">
        <f>IF(EQ329=0,0,IF(LEN(ED329)=11,_xlfn.XLOOKUP(ED329,'Dispensed Ink Rates'!C:C,'Dispensed Ink Rates'!CS:CS),VLOOKUP(ED329,'Jan-2026 rates'!$E:$F,2,0)))</f>
        <v>0</v>
      </c>
      <c r="ES329" s="409"/>
      <c r="ET329" s="398">
        <f>IF(ES329=0,0,IF(LEN(EE329)=11,_xlfn.XLOOKUP(EE329,'Dispensed Ink Rates'!C:C,'Dispensed Ink Rates'!CS:CS),VLOOKUP(EE329,'Jan-2026 rates'!$E:$F,2,0)))</f>
        <v>0</v>
      </c>
      <c r="EU329" s="409"/>
      <c r="EV329" s="398">
        <f>IF(EU329=0,0,IF(LEN(EF329)=11,_xlfn.XLOOKUP(EF329,'Dispensed Ink Rates'!C:C,'Dispensed Ink Rates'!CS:CS),VLOOKUP(EF329,'Jan-2026 rates'!$E:$F,2,0)))</f>
        <v>0</v>
      </c>
      <c r="EW329" s="409"/>
      <c r="EX329" s="409"/>
      <c r="EY329" s="411">
        <f t="shared" si="221"/>
        <v>0</v>
      </c>
      <c r="EZ329" s="411">
        <f t="shared" si="222"/>
        <v>0</v>
      </c>
      <c r="FA329" s="410">
        <f t="shared" si="223"/>
        <v>0</v>
      </c>
      <c r="FB329" s="405"/>
      <c r="FC329" s="409"/>
      <c r="FD329" s="420" t="str">
        <f t="shared" si="187"/>
        <v xml:space="preserve"> - </v>
      </c>
      <c r="FE329" s="409"/>
      <c r="FF329" s="411">
        <f>IF(FE329=0,0,IF($LB329=70%,VLOOKUP($FD329,'Jan-2026 rates'!$L:$R,4,0),IF($LB329=65%,VLOOKUP($FD329,'Jan-2026 rates'!$L:$R,4,0),IF($LB329=40%,VLOOKUP($FD329,'Jan-2026 rates'!$L:$R,5,0),IF($LB329=30%,VLOOKUP($FD329,'Jan-2026 rates'!$L:$R,6,0),IF($LB329=100%,VLOOKUP($FD329,'Jan-2026 rates'!$L:$R,7,0),IF($LB329=60%,VLOOKUP($FD329,'Jan-2026 rates'!$L:$S,8,0),IF($LB329=80%,VLOOKUP($FD329,'Jan-2026 rates'!L:T,9,0),0))))))))</f>
        <v>0</v>
      </c>
      <c r="FG329" s="412"/>
      <c r="FH329" s="409"/>
      <c r="FI329" s="411">
        <f>IF(FH329=0,0,IF($LB329=70%,VLOOKUP($FD329,'Jan-2026 rates'!$L:$R,4,0),IF($LB329=65%,VLOOKUP($FD329,'Jan-2026 rates'!$L:$R,4,0),IF($LB329=40%,VLOOKUP($FD329,'Jan-2026 rates'!$L:$R,5,0),IF($LB329=30%,VLOOKUP($FD329,'Jan-2026 rates'!$L:$R,6,0),IF($LB329=100%,VLOOKUP($FD329,'Jan-2026 rates'!$L:$R,7,0),IF($LB329=60%,VLOOKUP($FD329,'Jan-2026 rates'!$L:$S,8,0),IF($LB329=80%,VLOOKUP($FD329,'Jan-2026 rates'!L:T,9,0),0))))))))</f>
        <v>0</v>
      </c>
      <c r="FJ329" s="413"/>
      <c r="FK329" s="413"/>
      <c r="FL329" s="413"/>
      <c r="FM329" s="412"/>
      <c r="FN329" s="412"/>
      <c r="FO329" s="412"/>
      <c r="FP329" s="412"/>
      <c r="FQ329" s="412"/>
      <c r="FR329" s="409"/>
      <c r="FS329" s="398">
        <f>IF(FR329=0,0,IF(LEN(FJ329)=11,_xlfn.XLOOKUP(FJ329,'Dispensed Ink Rates'!C:C,'Dispensed Ink Rates'!CS:CS),VLOOKUP(FJ329,'Jan-2026 rates'!$E:$F,2,0)))</f>
        <v>0</v>
      </c>
      <c r="FT329" s="409"/>
      <c r="FU329" s="398">
        <f>IF(FT329=0,0,IF(LEN(FK329)=11,_xlfn.XLOOKUP(FK329,'Dispensed Ink Rates'!C:C,'Dispensed Ink Rates'!CS:CS),VLOOKUP(FK329,'Jan-2026 rates'!$E:$F,2,0)))</f>
        <v>0</v>
      </c>
      <c r="FV329" s="409"/>
      <c r="FW329" s="398">
        <f>IF(FV329=0,0,IF(LEN(FL329)=11,_xlfn.XLOOKUP(FL329,'Dispensed Ink Rates'!C:C,'Dispensed Ink Rates'!CS:CS),VLOOKUP(FL329,'Jan-2026 rates'!$E:$F,2,0)))</f>
        <v>0</v>
      </c>
      <c r="FX329" s="409"/>
      <c r="FY329" s="398">
        <f>IF(FX329=0,0,IF(LEN(FM329)=11,_xlfn.XLOOKUP(FM329,'Dispensed Ink Rates'!C:C,'Dispensed Ink Rates'!CS:CS),VLOOKUP(FM329,'Jan-2026 rates'!$E:$F,2,0)))</f>
        <v>0</v>
      </c>
      <c r="FZ329" s="409"/>
      <c r="GA329" s="398">
        <f>IF(FZ329=0,0,IF(LEN(FN329)=11,_xlfn.XLOOKUP(FN329,'Dispensed Ink Rates'!C:C,'Dispensed Ink Rates'!CS:CS),VLOOKUP(FN329,'Jan-2026 rates'!$E:$F,2,0)))</f>
        <v>0</v>
      </c>
      <c r="GB329" s="409"/>
      <c r="GC329" s="398">
        <f>IF(GB329=0,0,IF(LEN(FO329)=11,_xlfn.XLOOKUP(FO329,'Dispensed Ink Rates'!C:C,'Dispensed Ink Rates'!CS:CS),VLOOKUP(FO329,'Jan-2026 rates'!$E:$F,2,0)))</f>
        <v>0</v>
      </c>
      <c r="GD329" s="409"/>
      <c r="GE329" s="398">
        <f>IF(GD329=0,0,IF(LEN(FP329)=11,_xlfn.XLOOKUP(FP329,'Dispensed Ink Rates'!C:C,'Dispensed Ink Rates'!CS:CS),VLOOKUP(FP329,'Jan-2026 rates'!$E:$F,2,0)))</f>
        <v>0</v>
      </c>
      <c r="GF329" s="409"/>
      <c r="GG329" s="398">
        <f>IF(GF329=0,0,IF(LEN(FQ329)=11,_xlfn.XLOOKUP(FQ329,'Dispensed Ink Rates'!C:C,'Dispensed Ink Rates'!CS:CS),VLOOKUP(FQ329,'Jan-2026 rates'!$E:$F,2,0)))</f>
        <v>0</v>
      </c>
      <c r="GH329" s="409"/>
      <c r="GI329" s="409"/>
      <c r="GJ329" s="411">
        <f t="shared" si="224"/>
        <v>0</v>
      </c>
      <c r="GK329" s="411">
        <f t="shared" si="225"/>
        <v>0</v>
      </c>
      <c r="GL329" s="410">
        <f t="shared" si="226"/>
        <v>0</v>
      </c>
      <c r="GM329" s="405"/>
      <c r="GN329" s="409"/>
      <c r="GO329" s="420" t="str">
        <f t="shared" si="188"/>
        <v xml:space="preserve"> - </v>
      </c>
      <c r="GP329" s="409"/>
      <c r="GQ329" s="411">
        <f>IF(GP329=0,0,IF($LB329=70%,VLOOKUP($GO329,'Jan-2026 rates'!$L:$R,4,0),IF($LB329=65%,VLOOKUP($GO329,'Jan-2026 rates'!$L:$R,4,0),IF($LB329=40%,VLOOKUP($GO329,'Jan-2026 rates'!$L:$R,5,0),IF($LB329=30%,VLOOKUP($GO329,'Jan-2026 rates'!$L:$R,6,0),IF($LB329=100%,VLOOKUP($GO329,'Jan-2026 rates'!$L:$R,7,0),IF($LB329=60%,VLOOKUP($GO329,'Jan-2026 rates'!$L:$S,8,0),IF($LB329=80%,VLOOKUP($GO329,'Jan-2026 rates'!L:T,9,0),0))))))))</f>
        <v>0</v>
      </c>
      <c r="GR329" s="412"/>
      <c r="GS329" s="409"/>
      <c r="GT329" s="411">
        <f>IF(GS329=0,0,IF($LB329=70%,VLOOKUP($GO329,'Jan-2026 rates'!$L:$R,4,0),IF($LB329=65%,VLOOKUP($GO329,'Jan-2026 rates'!$L:$R,4,0),IF($LB329=40%,VLOOKUP($GO329,'Jan-2026 rates'!$L:$R,5,0),IF($LB329=30%,VLOOKUP($GO329,'Jan-2026 rates'!$L:$R,6,0),IF($LB329=100%,VLOOKUP($GO329,'Jan-2026 rates'!$L:$R,7,0),IF($LB329=60%,VLOOKUP($GO329,'Jan-2026 rates'!$L:$S,8,0),IF($LB329=80%,VLOOKUP($GO329,'Jan-2026 rates'!L:T,9,0),0))))))))</f>
        <v>0</v>
      </c>
      <c r="GU329" s="413"/>
      <c r="GV329" s="413"/>
      <c r="GW329" s="412"/>
      <c r="GX329" s="412"/>
      <c r="GY329" s="412"/>
      <c r="GZ329" s="412"/>
      <c r="HA329" s="412"/>
      <c r="HB329" s="412"/>
      <c r="HC329" s="409"/>
      <c r="HD329" s="398">
        <f>IF(HC329=0,0,IF(LEN(GU329)=11,_xlfn.XLOOKUP(GU329,'Dispensed Ink Rates'!C:C,'Dispensed Ink Rates'!CS:CS),VLOOKUP(GU329,'Jan-2026 rates'!$E:$F,2,0)))</f>
        <v>0</v>
      </c>
      <c r="HE329" s="409"/>
      <c r="HF329" s="398">
        <f>IF(HE329=0,0,IF(LEN(GV329)=11,_xlfn.XLOOKUP(GV329,'Dispensed Ink Rates'!C:C,'Dispensed Ink Rates'!CS:CS),VLOOKUP(GV329,'Jan-2026 rates'!$E:$F,2,0)))</f>
        <v>0</v>
      </c>
      <c r="HG329" s="409"/>
      <c r="HH329" s="398">
        <f>IF(HG329=0,0,IF(LEN(GW329)=11,_xlfn.XLOOKUP(GW329,'Dispensed Ink Rates'!C:C,'Dispensed Ink Rates'!CS:CS),VLOOKUP(GW329,'Jan-2026 rates'!$E:$F,2,0)))</f>
        <v>0</v>
      </c>
      <c r="HI329" s="409"/>
      <c r="HJ329" s="398">
        <f>IF(HI329=0,0,IF(LEN(GX329)=11,_xlfn.XLOOKUP(GX329,'Dispensed Ink Rates'!C:C,'Dispensed Ink Rates'!CS:CS),VLOOKUP(GX329,'Jan-2026 rates'!$E:$F,2,0)))</f>
        <v>0</v>
      </c>
      <c r="HK329" s="409"/>
      <c r="HL329" s="398">
        <f>IF(HK329=0,0,IF(LEN(GY329)=11,_xlfn.XLOOKUP(GY329,'Dispensed Ink Rates'!C:C,'Dispensed Ink Rates'!CS:CS),VLOOKUP(GY329,'Jan-2026 rates'!$E:$F,2,0)))</f>
        <v>0</v>
      </c>
      <c r="HM329" s="409"/>
      <c r="HN329" s="398">
        <f>IF(HM329=0,0,IF(LEN(GZ329)=11,_xlfn.XLOOKUP(GZ329,'Dispensed Ink Rates'!C:C,'Dispensed Ink Rates'!CS:CS),VLOOKUP(GZ329,'Jan-2026 rates'!$E:$F,2,0)))</f>
        <v>0</v>
      </c>
      <c r="HO329" s="409"/>
      <c r="HP329" s="398">
        <f>IF(HO329=0,0,IF(LEN(HA329)=11,_xlfn.XLOOKUP(HA329,'Dispensed Ink Rates'!C:C,'Dispensed Ink Rates'!CS:CS),VLOOKUP(HA329,'Jan-2026 rates'!$E:$F,2,0)))</f>
        <v>0</v>
      </c>
      <c r="HQ329" s="409"/>
      <c r="HR329" s="398">
        <f>IF(HQ329=0,0,IF(LEN(HB329)=11,_xlfn.XLOOKUP(HB329,'Dispensed Ink Rates'!C:C,'Dispensed Ink Rates'!CS:CS),VLOOKUP(HB329,'Jan-2026 rates'!$E:$F,2,0)))</f>
        <v>0</v>
      </c>
      <c r="HS329" s="409"/>
      <c r="HT329" s="409"/>
      <c r="HU329" s="411">
        <f t="shared" si="227"/>
        <v>0</v>
      </c>
      <c r="HV329" s="411">
        <f t="shared" si="228"/>
        <v>0</v>
      </c>
      <c r="HW329" s="414">
        <f t="shared" si="229"/>
        <v>0</v>
      </c>
      <c r="HX329" s="405"/>
      <c r="HY329" s="409"/>
      <c r="HZ329" s="420" t="str">
        <f t="shared" si="189"/>
        <v xml:space="preserve"> - </v>
      </c>
      <c r="IA329" s="409"/>
      <c r="IB329" s="411">
        <f>IF(IA329=0,0,IF($LB329=70%,VLOOKUP($HZ329,'Jan-2026 rates'!$L:$R,4,0),IF($LB329=65%,VLOOKUP($HZ329,'Jan-2026 rates'!$L:$R,4,0),IF($LB329=40%,VLOOKUP($HZ329,'Jan-2026 rates'!$L:$R,5,0),IF($LB329=30%,VLOOKUP($HZ329,'Jan-2026 rates'!$L:$R,6,0),IF($LB329=100%,VLOOKUP($HZ329,'Jan-2026 rates'!$L:$R,7,0),IF($LB329=60%,VLOOKUP($HZ329,'Jan-2026 rates'!$L:$S,8,0),IF($LB329=80%,VLOOKUP($HZ329,'Jan-2026 rates'!L:T,9,0),0))))))))</f>
        <v>0</v>
      </c>
      <c r="IC329" s="412"/>
      <c r="ID329" s="409"/>
      <c r="IE329" s="411">
        <f>IF(ID329=0,0,IF($LB329=70%,VLOOKUP($HZ329,'Jan-2026 rates'!$L:$R,4,0),IF($LB329=65%,VLOOKUP($HZ329,'Jan-2026 rates'!$L:$R,4,0),IF($LB329=40%,VLOOKUP($HZ329,'Jan-2026 rates'!$L:$R,5,0),IF($LB329=30%,VLOOKUP($HZ329,'Jan-2026 rates'!$L:$R,6,0),IF($LB329=100%,VLOOKUP($HZ329,'Jan-2026 rates'!$L:$R,7,0),IF($LB329=60%,VLOOKUP($HZ329,'Jan-2026 rates'!$L:$S,8,0),IF($LB329=80%,VLOOKUP($HZ329,'Jan-2026 rates'!L:T,9,0),0))))))))</f>
        <v>0</v>
      </c>
      <c r="IF329" s="412"/>
      <c r="IG329" s="413"/>
      <c r="IH329" s="412"/>
      <c r="II329" s="412"/>
      <c r="IJ329" s="412"/>
      <c r="IK329" s="412"/>
      <c r="IL329" s="412"/>
      <c r="IM329" s="412"/>
      <c r="IN329" s="409"/>
      <c r="IO329" s="398">
        <f>IF(IN329=0,0,IF(LEN(IF329)=11,_xlfn.XLOOKUP(IF329,'Dispensed Ink Rates'!C:C,'Dispensed Ink Rates'!CS:CS),VLOOKUP(IF329,'Jan-2026 rates'!$E:$F,2,0)))</f>
        <v>0</v>
      </c>
      <c r="IP329" s="409"/>
      <c r="IQ329" s="398">
        <f>IF(IP329=0,0,IF(LEN(IG329)=11,_xlfn.XLOOKUP(IG329,'Dispensed Ink Rates'!C:C,'Dispensed Ink Rates'!CS:CS),VLOOKUP(IG329,'Jan-2026 rates'!$E:$F,2,0)))</f>
        <v>0</v>
      </c>
      <c r="IR329" s="409"/>
      <c r="IS329" s="398">
        <f>IF(IR329=0,0,IF(LEN(IH329)=11,_xlfn.XLOOKUP(IH329,'Dispensed Ink Rates'!C:C,'Dispensed Ink Rates'!CS:CS),VLOOKUP(IH329,'Jan-2026 rates'!$E:$F,2,0)))</f>
        <v>0</v>
      </c>
      <c r="IT329" s="409"/>
      <c r="IU329" s="398">
        <f>IF(IT329=0,0,IF(LEN(II329)=11,_xlfn.XLOOKUP(II329,'Dispensed Ink Rates'!C:C,'Dispensed Ink Rates'!CS:CS),VLOOKUP(II329,'Jan-2026 rates'!$E:$F,2,0)))</f>
        <v>0</v>
      </c>
      <c r="IV329" s="409"/>
      <c r="IW329" s="398">
        <f>IF(IV329=0,0,IF(LEN(IJ329)=11,_xlfn.XLOOKUP(IJ329,'Dispensed Ink Rates'!C:C,'Dispensed Ink Rates'!CS:CS),VLOOKUP(IJ329,'Jan-2026 rates'!$E:$F,2,0)))</f>
        <v>0</v>
      </c>
      <c r="IX329" s="409"/>
      <c r="IY329" s="398">
        <f>IF(IX329=0,0,IF(LEN(IK329)=11,_xlfn.XLOOKUP(IK329,'Dispensed Ink Rates'!C:C,'Dispensed Ink Rates'!CS:CS),VLOOKUP(IK329,'Jan-2026 rates'!$E:$F,2,0)))</f>
        <v>0</v>
      </c>
      <c r="IZ329" s="409"/>
      <c r="JA329" s="398">
        <f>IF(IZ329=0,0,IF(LEN(IL329)=11,_xlfn.XLOOKUP(IL329,'Dispensed Ink Rates'!C:C,'Dispensed Ink Rates'!CS:CS),VLOOKUP(IL329,'Jan-2026 rates'!$E:$F,2,0)))</f>
        <v>0</v>
      </c>
      <c r="JB329" s="409"/>
      <c r="JC329" s="398">
        <f>IF(JB329=0,0,IF(LEN(IM329)=11,_xlfn.XLOOKUP(IM329,'Dispensed Ink Rates'!C:C,'Dispensed Ink Rates'!CS:CS),VLOOKUP(IM329,'Jan-2026 rates'!$E:$F,2,0)))</f>
        <v>0</v>
      </c>
      <c r="JD329" s="409"/>
      <c r="JE329" s="409"/>
      <c r="JF329" s="411">
        <f t="shared" si="230"/>
        <v>0</v>
      </c>
      <c r="JG329" s="411">
        <f t="shared" si="231"/>
        <v>0</v>
      </c>
      <c r="JH329" s="410">
        <f t="shared" si="232"/>
        <v>0</v>
      </c>
      <c r="JI329" s="405"/>
      <c r="JJ329" s="409"/>
      <c r="JK329" s="420" t="str">
        <f t="shared" si="190"/>
        <v xml:space="preserve"> - </v>
      </c>
      <c r="JL329" s="409"/>
      <c r="JM329" s="411">
        <f>IF(JL329=0,0,IF($LB329=70%,VLOOKUP($JK329,'Jan-2026 rates'!$L:$R,4,0),IF($LB329=65%,VLOOKUP($JK329,'Jan-2026 rates'!$L:$R,4,0),IF($LB329=40%,VLOOKUP($JK329,'Jan-2026 rates'!$L:$R,5,0),IF($LB329=30%,VLOOKUP($JK329,'Jan-2026 rates'!$L:$R,6,0),IF($LB329=100%,VLOOKUP($JK329,'Jan-2026 rates'!$L:$R,7,0),IF($LB329=60%,VLOOKUP($JK329,'Jan-2026 rates'!$L:$S,8,0),IF($LB329=80%,VLOOKUP($JK329,'Jan-2026 rates'!L:T,9,0),0))))))))</f>
        <v>0</v>
      </c>
      <c r="JN329" s="412"/>
      <c r="JO329" s="409"/>
      <c r="JP329" s="411">
        <f>IF(JO329=0,0,IF($LB329=70%,VLOOKUP($JK329,'Jan-2026 rates'!$L:$R,4,0),IF($LB329=65%,VLOOKUP($JK329,'Jan-2026 rates'!$L:$R,4,0),IF($LB329=40%,VLOOKUP($JK329,'Jan-2026 rates'!$L:$R,5,0),IF($LB329=30%,VLOOKUP($JK329,'Jan-2026 rates'!$L:$R,6,0),IF($LB329=100%,VLOOKUP($JK329,'Jan-2026 rates'!$L:$R,7,0),IF($LB329=60%,VLOOKUP($JK329,'Jan-2026 rates'!$L:$S,8,0),IF($LB329=80%,VLOOKUP($JK329,'Jan-2026 rates'!L:T,9,0),0))))))))</f>
        <v>0</v>
      </c>
      <c r="JQ329" s="413"/>
      <c r="JR329" s="412"/>
      <c r="JS329" s="413"/>
      <c r="JT329" s="413"/>
      <c r="JU329" s="412"/>
      <c r="JV329" s="412"/>
      <c r="JW329" s="412"/>
      <c r="JX329" s="412"/>
      <c r="JY329" s="409"/>
      <c r="JZ329" s="398">
        <f>IF(JY329=0,0,IF(LEN(JQ329)=11,_xlfn.XLOOKUP(JQ329,'Dispensed Ink Rates'!C:C,'Dispensed Ink Rates'!CS:CS),VLOOKUP(JQ329,'Jan-2026 rates'!$E:$F,2,0)))</f>
        <v>0</v>
      </c>
      <c r="KA329" s="409"/>
      <c r="KB329" s="398">
        <f>IF(KA329=0,0,IF(LEN(JR329)=11,_xlfn.XLOOKUP(JR329,'Dispensed Ink Rates'!C:C,'Dispensed Ink Rates'!CS:CS),VLOOKUP(JR329,'Jan-2026 rates'!$E:$F,2,0)))</f>
        <v>0</v>
      </c>
      <c r="KC329" s="409"/>
      <c r="KD329" s="398">
        <f>IF(KC329=0,0,IF(LEN(JS329)=11,_xlfn.XLOOKUP(JS329,'Dispensed Ink Rates'!C:C,'Dispensed Ink Rates'!CS:CS),VLOOKUP(JS329,'Jan-2026 rates'!$E:$F,2,0)))</f>
        <v>0</v>
      </c>
      <c r="KE329" s="409"/>
      <c r="KF329" s="398">
        <f>IF(KE329=0,0,IF(LEN(JT329)=11,_xlfn.XLOOKUP(JT329,'Dispensed Ink Rates'!C:C,'Dispensed Ink Rates'!CS:CS),VLOOKUP(JT329,'Jan-2026 rates'!$E:$F,2,0)))</f>
        <v>0</v>
      </c>
      <c r="KG329" s="409"/>
      <c r="KH329" s="398">
        <f>IF(KG329=0,0,IF(LEN(JU329)=11,_xlfn.XLOOKUP(JU329,'Dispensed Ink Rates'!C:C,'Dispensed Ink Rates'!CS:CS),VLOOKUP(JU329,'Jan-2026 rates'!$E:$F,2,0)))</f>
        <v>0</v>
      </c>
      <c r="KI329" s="409"/>
      <c r="KJ329" s="398">
        <f>IF(KI329=0,0,IF(LEN(JV329)=11,_xlfn.XLOOKUP(JV329,'Dispensed Ink Rates'!C:C,'Dispensed Ink Rates'!CS:CS),VLOOKUP(JV329,'Jan-2026 rates'!$E:$F,2,0)))</f>
        <v>0</v>
      </c>
      <c r="KK329" s="409"/>
      <c r="KL329" s="398">
        <f>IF(KK329=0,0,IF(LEN(JW329)=11,_xlfn.XLOOKUP(JW329,'Dispensed Ink Rates'!C:C,'Dispensed Ink Rates'!CS:CS),VLOOKUP(JW329,'Jan-2026 rates'!$E:$F,2,0)))</f>
        <v>0</v>
      </c>
      <c r="KM329" s="428"/>
      <c r="KN329" s="398">
        <f>IF(KM329=0,0,IF(LEN(JX329)=11,_xlfn.XLOOKUP(JX329,'Dispensed Ink Rates'!C:C,'Dispensed Ink Rates'!CS:CS),VLOOKUP(JX329,'Jan-2026 rates'!$E:$F,2,0)))</f>
        <v>0</v>
      </c>
      <c r="KO329" s="409"/>
      <c r="KP329" s="409"/>
      <c r="KQ329" s="411">
        <f t="shared" si="233"/>
        <v>0</v>
      </c>
      <c r="KR329" s="411">
        <f t="shared" si="234"/>
        <v>0</v>
      </c>
      <c r="KS329" s="410">
        <f t="shared" si="235"/>
        <v>0</v>
      </c>
      <c r="KT329" s="409">
        <v>8</v>
      </c>
      <c r="KU329" s="409">
        <v>10</v>
      </c>
      <c r="KV329" s="409">
        <v>5</v>
      </c>
      <c r="KW329" s="409">
        <v>0</v>
      </c>
      <c r="KX329" s="409">
        <v>0</v>
      </c>
      <c r="KY329" s="409">
        <v>0</v>
      </c>
      <c r="KZ329" s="409">
        <v>0</v>
      </c>
      <c r="LA329" s="409">
        <v>0</v>
      </c>
      <c r="LB329" s="415">
        <v>0.3</v>
      </c>
      <c r="LC329" s="415"/>
      <c r="LD329" s="424"/>
      <c r="LE329" s="415">
        <v>0.5</v>
      </c>
      <c r="LF329" s="415">
        <v>0.2</v>
      </c>
      <c r="LG329" s="409">
        <v>0</v>
      </c>
      <c r="LH329" s="409">
        <f>15+10+6+10+4</f>
        <v>45</v>
      </c>
      <c r="LI329" s="409">
        <v>0</v>
      </c>
      <c r="LJ329" s="409">
        <v>0</v>
      </c>
      <c r="LK329" s="416">
        <f t="shared" si="191"/>
        <v>45</v>
      </c>
      <c r="LL329" s="416">
        <f t="shared" si="237"/>
        <v>45</v>
      </c>
      <c r="LM329" s="417">
        <f t="shared" si="193"/>
        <v>13.5</v>
      </c>
      <c r="LN329" s="417">
        <f>VLOOKUP($LM$8,'Jan-2026 rates'!$H:$I,2,0)</f>
        <v>0</v>
      </c>
      <c r="LO329" s="417">
        <f t="shared" si="194"/>
        <v>0</v>
      </c>
      <c r="LP329" s="417">
        <f>VLOOKUP($LO$8,'Jan-2026 rates'!$H:$I,2,0)</f>
        <v>0</v>
      </c>
      <c r="LQ329" s="417">
        <f t="shared" si="195"/>
        <v>0</v>
      </c>
      <c r="LR329" s="417">
        <f>VLOOKUP($LQ$8,'Jan-2026 rates'!$H:$I,2,0)</f>
        <v>0</v>
      </c>
      <c r="LS329" s="417">
        <f t="shared" si="196"/>
        <v>22.5</v>
      </c>
      <c r="LT329" s="417">
        <f>VLOOKUP($LS$8,'Jan-2026 rates'!$H:$I,2,0)</f>
        <v>0</v>
      </c>
      <c r="LU329" s="417">
        <f t="shared" si="197"/>
        <v>9</v>
      </c>
      <c r="LV329" s="417">
        <f>VLOOKUP($LU$8,'Jan-2026 rates'!$H:$I,2,0)</f>
        <v>0</v>
      </c>
      <c r="LW329" s="417">
        <f t="shared" si="198"/>
        <v>0</v>
      </c>
      <c r="LX329" s="417">
        <f t="shared" si="199"/>
        <v>0</v>
      </c>
      <c r="LY329" s="418">
        <f t="shared" si="200"/>
        <v>0</v>
      </c>
      <c r="LZ329" s="417"/>
      <c r="MA329" s="435">
        <f t="shared" si="201"/>
        <v>40.200000000000003</v>
      </c>
      <c r="MB329" s="282">
        <f t="shared" si="202"/>
        <v>52.199999999999996</v>
      </c>
      <c r="MC329" s="283" t="s">
        <v>2068</v>
      </c>
      <c r="MD329" s="284" t="str">
        <f t="shared" si="203"/>
        <v>ToyoLiToyoLiToyoLi</v>
      </c>
      <c r="ME329" s="293" t="str">
        <f t="shared" si="204"/>
        <v>+</v>
      </c>
      <c r="MF329" s="293" t="str">
        <f t="shared" si="205"/>
        <v>+</v>
      </c>
      <c r="MG329" s="293" t="str">
        <f t="shared" si="206"/>
        <v>+</v>
      </c>
      <c r="MH329" s="293" t="str">
        <f t="shared" si="207"/>
        <v>NIL</v>
      </c>
      <c r="MI329" s="293" t="str">
        <f t="shared" si="208"/>
        <v>NIL</v>
      </c>
      <c r="MJ329" s="293" t="str">
        <f t="shared" si="209"/>
        <v>NIL</v>
      </c>
      <c r="MK329" s="293" t="str">
        <f t="shared" si="210"/>
        <v>NIL</v>
      </c>
      <c r="ML329" s="293" t="str">
        <f t="shared" si="211"/>
        <v>NIL</v>
      </c>
      <c r="MM329" s="3" t="b">
        <f t="array" ref="MM329">OR(ME329:ML329="-")</f>
        <v>0</v>
      </c>
      <c r="MO329" s="401">
        <f t="shared" si="238"/>
        <v>65.25</v>
      </c>
      <c r="MP329" s="286"/>
      <c r="MR329" s="402">
        <f t="shared" si="239"/>
        <v>1.0038461538461538E-2</v>
      </c>
      <c r="MS329" s="400">
        <f t="shared" si="240"/>
        <v>0</v>
      </c>
      <c r="MT329" s="285"/>
      <c r="NH329" s="361"/>
      <c r="NJ329" s="282"/>
    </row>
    <row r="330" spans="1:374" ht="16.5">
      <c r="A330" s="403">
        <v>46046</v>
      </c>
      <c r="B330" s="404" t="s">
        <v>1018</v>
      </c>
      <c r="C330" s="405" t="s">
        <v>4581</v>
      </c>
      <c r="D330" s="404" t="s">
        <v>2069</v>
      </c>
      <c r="E330" s="404">
        <v>705</v>
      </c>
      <c r="F330" s="407">
        <v>41400</v>
      </c>
      <c r="G330" s="407" t="s">
        <v>1016</v>
      </c>
      <c r="H330" s="408" t="s">
        <v>1017</v>
      </c>
      <c r="I330" s="409">
        <v>1.4</v>
      </c>
      <c r="J330" s="405" t="s">
        <v>543</v>
      </c>
      <c r="K330" s="404" t="s">
        <v>4582</v>
      </c>
      <c r="L330" s="419" t="str">
        <f t="shared" si="184"/>
        <v>ToyoLi - BLACK</v>
      </c>
      <c r="M330" s="404">
        <v>16</v>
      </c>
      <c r="N330" s="410">
        <f>IF(M330=0,0,IF($LB330=70%,VLOOKUP($L330,'Jan-2026 rates'!$L:$R,4,0),IF($LB330=65%,VLOOKUP($L330,'Jan-2026 rates'!$L:$R,4,0),IF($LB330=40%,VLOOKUP($L330,'Jan-2026 rates'!$L:$R,5,0),IF($LB330=30%,VLOOKUP($L330,'Jan-2026 rates'!$L:$R,6,0),IF($LB330=100%,VLOOKUP($L330,'Jan-2026 rates'!$L:$R,7,0),IF($LB330=60%,VLOOKUP($L330,'Jan-2026 rates'!$L:$S,8,0),IF($LB330=80%,VLOOKUP($L330,'Jan-2026 rates'!L:T,9,0),0))))))))</f>
        <v>0</v>
      </c>
      <c r="O330" s="406" t="s">
        <v>4583</v>
      </c>
      <c r="P330" s="404">
        <v>15</v>
      </c>
      <c r="Q330" s="410">
        <f>IF(P330=0,0,IF($LB330=70%,VLOOKUP($L330,'Jan-2026 rates'!$L:$R,4,0),IF($LB330=65%,VLOOKUP($L330,'Jan-2026 rates'!$L:$R,4,0),IF($LB330=40%,VLOOKUP($L330,'Jan-2026 rates'!$L:$R,5,0),IF($LB330=30%,VLOOKUP($L330,'Jan-2026 rates'!$L:$R,6,0),IF($LB330=100%,VLOOKUP($L330,'Jan-2026 rates'!$L:$R,7,0),IF($LB330=60%,VLOOKUP($L330,'Jan-2026 rates'!$L:$S,8,0),IF($LB330=80%,VLOOKUP($L330,'Jan-2026 rates'!L:T,9,0),0))))))))</f>
        <v>0</v>
      </c>
      <c r="R330" s="406" t="s">
        <v>1252</v>
      </c>
      <c r="S330" s="406"/>
      <c r="T330" s="406"/>
      <c r="U330" s="406"/>
      <c r="V330" s="406"/>
      <c r="W330" s="406"/>
      <c r="X330" s="406"/>
      <c r="Y330" s="406"/>
      <c r="Z330" s="404">
        <v>2</v>
      </c>
      <c r="AA330" s="398">
        <f>IF(Z330=0,0,IF(LEN(R330)=11,_xlfn.XLOOKUP(R330,'Dispensed Ink Rates'!C:C,'Dispensed Ink Rates'!CS:CS),VLOOKUP(R330,'Jan-2026 rates'!$E:$F,2,0)))</f>
        <v>0</v>
      </c>
      <c r="AB330" s="404"/>
      <c r="AC330" s="398">
        <f>IF(AB330=0,0,IF(LEN(S330)=11,_xlfn.XLOOKUP(S330,'Dispensed Ink Rates'!C:C,'Dispensed Ink Rates'!CS:CS),VLOOKUP(S330,'Jan-2026 rates'!$E:$F,2,0)))</f>
        <v>0</v>
      </c>
      <c r="AD330" s="404"/>
      <c r="AE330" s="398">
        <f>IF(AD330=0,0,IF(LEN(T330)=11,_xlfn.XLOOKUP(T330,'Dispensed Ink Rates'!C:C,'Dispensed Ink Rates'!CS:CS),VLOOKUP(T330,'Jan-2026 rates'!$E:$F,2,0)))</f>
        <v>0</v>
      </c>
      <c r="AF330" s="404"/>
      <c r="AG330" s="398">
        <f>IF(AF330=0,0,IF(LEN(U330)=11,_xlfn.XLOOKUP(U330,'Dispensed Ink Rates'!C:C,'Dispensed Ink Rates'!CS:CS),VLOOKUP(U330,'Jan-2026 rates'!$E:$F,2,0)))</f>
        <v>0</v>
      </c>
      <c r="AH330" s="404"/>
      <c r="AI330" s="398">
        <f>IF(AH330=0,0,IF(LEN(V330)=11,_xlfn.XLOOKUP(V330,'Dispensed Ink Rates'!C:C,'Dispensed Ink Rates'!CS:CS),VLOOKUP(V330,'Jan-2026 rates'!$E:$F,2,0)))</f>
        <v>0</v>
      </c>
      <c r="AJ330" s="404"/>
      <c r="AK330" s="398">
        <f>IF(AJ330=0,0,IF(LEN(W330)=11,_xlfn.XLOOKUP(W330,'Dispensed Ink Rates'!C:C,'Dispensed Ink Rates'!CS:CS),VLOOKUP(W330,'Jan-2026 rates'!$E:$F,2,0)))</f>
        <v>0</v>
      </c>
      <c r="AL330" s="404"/>
      <c r="AM330" s="398">
        <f>IF(AL330=0,0,IF(LEN(X330)=11,_xlfn.XLOOKUP(X330,'Dispensed Ink Rates'!C:C,'Dispensed Ink Rates'!CS:CS),VLOOKUP(X330,'Jan-2026 rates'!$E:$F,2,0)))</f>
        <v>0</v>
      </c>
      <c r="AN330" s="404"/>
      <c r="AO330" s="398">
        <f>IF(AN330=0,0,IF(LEN(Y330)=11,_xlfn.XLOOKUP(Y330,'Dispensed Ink Rates'!C:C,'Dispensed Ink Rates'!CS:CS),VLOOKUP(Y330,'Jan-2026 rates'!$E:$F,2,0)))</f>
        <v>0</v>
      </c>
      <c r="AP330" s="409" t="s">
        <v>1881</v>
      </c>
      <c r="AQ330" s="409">
        <v>27</v>
      </c>
      <c r="AR330" s="410">
        <f t="shared" si="212"/>
        <v>0</v>
      </c>
      <c r="AS330" s="411">
        <f t="shared" si="213"/>
        <v>11.678160919540232</v>
      </c>
      <c r="AT330" s="410">
        <f t="shared" si="214"/>
        <v>0</v>
      </c>
      <c r="AU330" s="405" t="s">
        <v>546</v>
      </c>
      <c r="AV330" s="409"/>
      <c r="AW330" s="420" t="str">
        <f t="shared" si="236"/>
        <v>ToyoLi - REFLEX BLUE</v>
      </c>
      <c r="AX330" s="409"/>
      <c r="AY330" s="411">
        <f>IF(AX330=0,0,IF($LB330=70%,VLOOKUP($AW330,'Jan-2026 rates'!$L:$R,4,0),IF($LB330=65%,VLOOKUP($AW330,'Jan-2026 rates'!$L:$R,4,0),IF($LB330=40%,VLOOKUP($AW330,'Jan-2026 rates'!$L:$R,5,0),IF($LB330=30%,VLOOKUP($AW330,'Jan-2026 rates'!$L:$R,6,0),IF($LB330=100%,VLOOKUP($AW330,'Jan-2026 rates'!$L:$R,7,0),IF($LB330=60%,VLOOKUP($AW330,'Jan-2026 rates'!$L:$S,8,0),IF($LB330=80%,VLOOKUP($AW330,'Jan-2026 rates'!L:T,9,0),0))))))))</f>
        <v>0</v>
      </c>
      <c r="AZ330" s="412"/>
      <c r="BA330" s="409"/>
      <c r="BB330" s="411">
        <f>IF(BA330=0,0,IF($LB330=70%,VLOOKUP($AW330,'Jan-2026 rates'!$L:$R,4,0),IF($LB330=65%,VLOOKUP($AW330,'Jan-2026 rates'!$L:$R,4,0),IF($LB330=40%,VLOOKUP($AW330,'Jan-2026 rates'!$L:$R,5,0),IF($LB330=30%,VLOOKUP($AW330,'Jan-2026 rates'!$L:$R,6,0),IF($LB330=100%,VLOOKUP($AW330,'Jan-2026 rates'!$L:$R,7,0),IF($LB330=60%,VLOOKUP($AW330,'Jan-2026 rates'!$L:$S,8,0),IF($LB330=80%,VLOOKUP($AW330,'Jan-2026 rates'!L:T,9,0),0))))))))</f>
        <v>0</v>
      </c>
      <c r="BC330" s="413" t="s">
        <v>1246</v>
      </c>
      <c r="BD330" s="412" t="s">
        <v>1585</v>
      </c>
      <c r="BE330" s="412" t="s">
        <v>1880</v>
      </c>
      <c r="BF330" s="413" t="s">
        <v>1252</v>
      </c>
      <c r="BG330" s="412"/>
      <c r="BH330" s="412"/>
      <c r="BI330" s="412"/>
      <c r="BJ330" s="412"/>
      <c r="BK330" s="409">
        <v>10</v>
      </c>
      <c r="BL330" s="398">
        <f>IF(BK330=0,0,IF(LEN(BC330)=11,_xlfn.XLOOKUP(BC330,'Dispensed Ink Rates'!C:C,'Dispensed Ink Rates'!CS:CS),VLOOKUP(BC330,'Jan-2026 rates'!$E:$F,2,0)))</f>
        <v>0</v>
      </c>
      <c r="BM330" s="409">
        <v>5</v>
      </c>
      <c r="BN330" s="398">
        <f>IF(BM330=0,0,IF(LEN(BD330)=11,_xlfn.XLOOKUP(BD330,'Dispensed Ink Rates'!C:C,'Dispensed Ink Rates'!CS:CS),VLOOKUP(BD330,'Jan-2026 rates'!$E:$F,2,0)))</f>
        <v>0</v>
      </c>
      <c r="BO330" s="409">
        <v>3</v>
      </c>
      <c r="BP330" s="398">
        <f>IF(BO330=0,0,IF(LEN(BE330)=11,_xlfn.XLOOKUP(BE330,'Dispensed Ink Rates'!C:C,'Dispensed Ink Rates'!CS:CS),VLOOKUP(BE330,'Jan-2026 rates'!$E:$F,2,0)))</f>
        <v>0</v>
      </c>
      <c r="BQ330" s="409">
        <v>4</v>
      </c>
      <c r="BR330" s="398">
        <f>IF(BQ330=0,0,IF(LEN(BF330)=11,_xlfn.XLOOKUP(BF330,'Dispensed Ink Rates'!C:C,'Dispensed Ink Rates'!CS:CS),VLOOKUP(BF330,'Jan-2026 rates'!$E:$F,2,0)))</f>
        <v>0</v>
      </c>
      <c r="BS330" s="409"/>
      <c r="BT330" s="398">
        <f>IF(BS330=0,0,IF(LEN(BG330)=11,_xlfn.XLOOKUP(BG330,'Dispensed Ink Rates'!C:C,'Dispensed Ink Rates'!CS:CS),VLOOKUP(BG330,'Jan-2026 rates'!$E:$F,2,0)))</f>
        <v>0</v>
      </c>
      <c r="BU330" s="409"/>
      <c r="BV330" s="398">
        <f>IF(BU330=0,0,IF(LEN(BH330)=11,_xlfn.XLOOKUP(BH330,'Dispensed Ink Rates'!C:C,'Dispensed Ink Rates'!CS:CS),VLOOKUP(BH330,'Jan-2026 rates'!$E:$F,2,0)))</f>
        <v>0</v>
      </c>
      <c r="BW330" s="409"/>
      <c r="BX330" s="398">
        <f>IF(BW330=0,0,IF(LEN(BI330)=11,_xlfn.XLOOKUP(BI330,'Dispensed Ink Rates'!C:C,'Dispensed Ink Rates'!CS:CS),VLOOKUP(BI330,'Jan-2026 rates'!$E:$F,2,0)))</f>
        <v>0</v>
      </c>
      <c r="BY330" s="409"/>
      <c r="BZ330" s="398">
        <f>IF(BY330=0,0,IF(LEN(BJ330)=11,_xlfn.XLOOKUP(BJ330,'Dispensed Ink Rates'!C:C,'Dispensed Ink Rates'!CS:CS),VLOOKUP(BJ330,'Jan-2026 rates'!$E:$F,2,0)))</f>
        <v>0</v>
      </c>
      <c r="CA330" s="409" t="s">
        <v>1881</v>
      </c>
      <c r="CB330" s="409">
        <f>16+10</f>
        <v>26</v>
      </c>
      <c r="CC330" s="411">
        <f t="shared" si="215"/>
        <v>0</v>
      </c>
      <c r="CD330" s="411">
        <f t="shared" si="216"/>
        <v>17.293103448275865</v>
      </c>
      <c r="CE330" s="410">
        <f t="shared" si="217"/>
        <v>0</v>
      </c>
      <c r="CF330" s="404" t="s">
        <v>857</v>
      </c>
      <c r="CG330" s="409" t="s">
        <v>4584</v>
      </c>
      <c r="CH330" s="420" t="str">
        <f t="shared" si="185"/>
        <v>ToyoLi - RED</v>
      </c>
      <c r="CI330" s="409">
        <v>22</v>
      </c>
      <c r="CJ330" s="411">
        <f>IF(CI330=0,0,IF($LB330=70%,VLOOKUP($CH330,'Jan-2026 rates'!$L:$R,4,0),IF($LB330=65%,VLOOKUP($CH330,'Jan-2026 rates'!$L:$R,4,0),IF($LB330=40%,VLOOKUP($CH330,'Jan-2026 rates'!$L:$R,5,0),IF($LB330=30%,VLOOKUP($CH330,'Jan-2026 rates'!$L:$R,6,0),IF($LB330=100%,VLOOKUP($CH330,'Jan-2026 rates'!$L:$R,7,0),IF($LB330=60%,VLOOKUP($CH330,'Jan-2026 rates'!$L:$S,8,0),IF($LB330=80%,VLOOKUP($CH330,'Jan-2026 rates'!L:T,9,0),0))))))))</f>
        <v>0</v>
      </c>
      <c r="CK330" s="412" t="s">
        <v>4585</v>
      </c>
      <c r="CL330" s="409">
        <v>10</v>
      </c>
      <c r="CM330" s="411">
        <f>IF(CL330=0,0,IF($LB330=70%,VLOOKUP($CH330,'Jan-2026 rates'!$L:$R,4,0),IF($LB330=65%,VLOOKUP($CH330,'Jan-2026 rates'!$L:$R,4,0),IF($LB330=40%,VLOOKUP($CH330,'Jan-2026 rates'!$L:$R,5,0),IF($LB330=30%,VLOOKUP($CH330,'Jan-2026 rates'!$L:$R,6,0),IF($LB330=100%,VLOOKUP($CH330,'Jan-2026 rates'!$L:$R,7,0),IF($LB330=60%,VLOOKUP($CH330,'Jan-2026 rates'!$L:$S,8,0),IF($LB330=80%,VLOOKUP($CH330,'Jan-2026 rates'!L:T,9,0),0))))))))</f>
        <v>0</v>
      </c>
      <c r="CN330" s="426" t="s">
        <v>1246</v>
      </c>
      <c r="CO330" s="427"/>
      <c r="CP330" s="426"/>
      <c r="CQ330" s="426"/>
      <c r="CR330" s="428"/>
      <c r="CS330" s="428"/>
      <c r="CT330" s="428"/>
      <c r="CU330" s="428"/>
      <c r="CV330" s="409">
        <v>5</v>
      </c>
      <c r="CW330" s="398">
        <f>IF(CV330=0,0,IF(LEN(CN330)=11,_xlfn.XLOOKUP(CN330,'Dispensed Ink Rates'!C:C,'Dispensed Ink Rates'!CS:CS),VLOOKUP(CN330,'Jan-2026 rates'!$E:$F,2,0)))</f>
        <v>0</v>
      </c>
      <c r="CX330" s="409"/>
      <c r="CY330" s="398">
        <f>IF(CX330=0,0,IF(LEN(CO330)=11,_xlfn.XLOOKUP(CO330,'Dispensed Ink Rates'!C:C,'Dispensed Ink Rates'!CS:CS),VLOOKUP(CO330,'Jan-2026 rates'!$E:$F,2,0)))</f>
        <v>0</v>
      </c>
      <c r="CZ330" s="409"/>
      <c r="DA330" s="398">
        <f>IF(CZ330=0,0,IF(LEN(CP330)=11,_xlfn.XLOOKUP(CP330,'Dispensed Ink Rates'!C:C,'Dispensed Ink Rates'!CS:CS),VLOOKUP(CP330,'Jan-2026 rates'!$E:$F,2,0)))</f>
        <v>0</v>
      </c>
      <c r="DB330" s="409"/>
      <c r="DC330" s="398">
        <f>IF(DB330=0,0,IF(LEN(CQ330)=11,_xlfn.XLOOKUP(CQ330,'Dispensed Ink Rates'!C:C,'Dispensed Ink Rates'!CS:CS),VLOOKUP(CQ330,'Jan-2026 rates'!$E:$F,2,0)))</f>
        <v>0</v>
      </c>
      <c r="DD330" s="409"/>
      <c r="DE330" s="398">
        <f>IF(DD330=0,0,IF(LEN(CR330)=11,_xlfn.XLOOKUP(CR330,'Dispensed Ink Rates'!C:C,'Dispensed Ink Rates'!CS:CS),VLOOKUP(CR330,'Jan-2026 rates'!$E:$F,2,0)))</f>
        <v>0</v>
      </c>
      <c r="DF330" s="409"/>
      <c r="DG330" s="398">
        <f>IF(DF330=0,0,IF(LEN(CS330)=11,_xlfn.XLOOKUP(CS330,'Dispensed Ink Rates'!C:C,'Dispensed Ink Rates'!CS:CS),VLOOKUP(CS330,'Jan-2026 rates'!$E:$F,2,0)))</f>
        <v>0</v>
      </c>
      <c r="DH330" s="409"/>
      <c r="DI330" s="398">
        <f>IF(DH330=0,0,IF(LEN(CT330)=11,_xlfn.XLOOKUP(CT330,'Dispensed Ink Rates'!C:C,'Dispensed Ink Rates'!CS:CS),VLOOKUP(CT330,'Jan-2026 rates'!$E:$F,2,0)))</f>
        <v>0</v>
      </c>
      <c r="DJ330" s="409"/>
      <c r="DK330" s="398">
        <f>IF(DJ330=0,0,IF(LEN(CU330)=11,_xlfn.XLOOKUP(CU330,'Dispensed Ink Rates'!C:C,'Dispensed Ink Rates'!CS:CS),VLOOKUP(CU330,'Jan-2026 rates'!$E:$F,2,0)))</f>
        <v>0</v>
      </c>
      <c r="DL330" s="409" t="s">
        <v>1881</v>
      </c>
      <c r="DM330" s="409">
        <v>22</v>
      </c>
      <c r="DN330" s="411">
        <f t="shared" si="218"/>
        <v>0</v>
      </c>
      <c r="DO330" s="411">
        <f t="shared" si="219"/>
        <v>19.258620689655174</v>
      </c>
      <c r="DP330" s="410">
        <f t="shared" si="220"/>
        <v>0</v>
      </c>
      <c r="DQ330" s="405" t="s">
        <v>546</v>
      </c>
      <c r="DR330" s="409" t="s">
        <v>4586</v>
      </c>
      <c r="DS330" s="420" t="str">
        <f t="shared" si="186"/>
        <v>ToyoLi - REFLEX BLUE</v>
      </c>
      <c r="DT330" s="409">
        <v>20</v>
      </c>
      <c r="DU330" s="411">
        <f>IF(DT330=0,0,IF($LB330=70%,VLOOKUP($DS330,'Jan-2026 rates'!$L:$R,4,0),IF($LB330=65%,VLOOKUP($DS330,'Jan-2026 rates'!$L:$R,4,0),IF($LB330=40%,VLOOKUP($DS330,'Jan-2026 rates'!$L:$R,5,0),IF($LB330=30%,VLOOKUP($DS330,'Jan-2026 rates'!$L:$R,6,0),IF($LB330=100%,VLOOKUP($DS330,'Jan-2026 rates'!$L:$R,7,0),IF($LB330=60%,VLOOKUP($DS330,'Jan-2026 rates'!$L:$S,8,0),IF($LB330=80%,VLOOKUP($DS330,'Jan-2026 rates'!L:T,9,0),0))))))))</f>
        <v>0</v>
      </c>
      <c r="DV330" s="412" t="s">
        <v>4545</v>
      </c>
      <c r="DW330" s="409">
        <f>20+5</f>
        <v>25</v>
      </c>
      <c r="DX330" s="411">
        <f>IF(DW330=0,0,IF($LB330=70%,VLOOKUP($DS330,'Jan-2026 rates'!$L:$R,4,0),IF($LB330=65%,VLOOKUP($DS330,'Jan-2026 rates'!$L:$R,4,0),IF($LB330=40%,VLOOKUP($DS330,'Jan-2026 rates'!$L:$R,5,0),IF($LB330=30%,VLOOKUP($DS330,'Jan-2026 rates'!$L:$R,6,0),IF($LB330=100%,VLOOKUP($DS330,'Jan-2026 rates'!$L:$R,7,0),IF($LB330=60%,VLOOKUP($DS330,'Jan-2026 rates'!$L:$S,8,0),IF($LB330=80%,VLOOKUP($DS330,'Jan-2026 rates'!L:T,9,0),0))))))))</f>
        <v>0</v>
      </c>
      <c r="DY330" s="413" t="s">
        <v>1250</v>
      </c>
      <c r="DZ330" s="413" t="s">
        <v>1921</v>
      </c>
      <c r="EA330" s="412" t="s">
        <v>1247</v>
      </c>
      <c r="EB330" s="412"/>
      <c r="EC330" s="412"/>
      <c r="ED330" s="412"/>
      <c r="EE330" s="412"/>
      <c r="EF330" s="412"/>
      <c r="EG330" s="409">
        <v>20</v>
      </c>
      <c r="EH330" s="398">
        <f>IF(EG330=0,0,IF(LEN(DY330)=11,_xlfn.XLOOKUP(DY330,'Dispensed Ink Rates'!C:C,'Dispensed Ink Rates'!CS:CS),VLOOKUP(DY330,'Jan-2026 rates'!$E:$F,2,0)))</f>
        <v>0</v>
      </c>
      <c r="EI330" s="409">
        <v>20</v>
      </c>
      <c r="EJ330" s="398">
        <f>IF(EI330=0,0,IF(LEN(DZ330)=11,_xlfn.XLOOKUP(DZ330,'Dispensed Ink Rates'!C:C,'Dispensed Ink Rates'!CS:CS),VLOOKUP(DZ330,'Jan-2026 rates'!$E:$F,2,0)))</f>
        <v>0</v>
      </c>
      <c r="EK330" s="409">
        <v>1</v>
      </c>
      <c r="EL330" s="398">
        <f>IF(EK330=0,0,IF(LEN(EA330)=11,_xlfn.XLOOKUP(EA330,'Dispensed Ink Rates'!C:C,'Dispensed Ink Rates'!CS:CS),VLOOKUP(EA330,'Jan-2026 rates'!$E:$F,2,0)))</f>
        <v>0</v>
      </c>
      <c r="EM330" s="409"/>
      <c r="EN330" s="398">
        <f>IF(EM330=0,0,IF(LEN(EB330)=11,_xlfn.XLOOKUP(EB330,'Dispensed Ink Rates'!C:C,'Dispensed Ink Rates'!CS:CS),VLOOKUP(EB330,'Jan-2026 rates'!$E:$F,2,0)))</f>
        <v>0</v>
      </c>
      <c r="EO330" s="409"/>
      <c r="EP330" s="398">
        <f>IF(EO330=0,0,IF(LEN(EC330)=11,_xlfn.XLOOKUP(EC330,'Dispensed Ink Rates'!C:C,'Dispensed Ink Rates'!CS:CS),VLOOKUP(EC330,'Jan-2026 rates'!$E:$F,2,0)))</f>
        <v>0</v>
      </c>
      <c r="EQ330" s="409"/>
      <c r="ER330" s="398">
        <f>IF(EQ330=0,0,IF(LEN(ED330)=11,_xlfn.XLOOKUP(ED330,'Dispensed Ink Rates'!C:C,'Dispensed Ink Rates'!CS:CS),VLOOKUP(ED330,'Jan-2026 rates'!$E:$F,2,0)))</f>
        <v>0</v>
      </c>
      <c r="ES330" s="409"/>
      <c r="ET330" s="398">
        <f>IF(ES330=0,0,IF(LEN(EE330)=11,_xlfn.XLOOKUP(EE330,'Dispensed Ink Rates'!C:C,'Dispensed Ink Rates'!CS:CS),VLOOKUP(EE330,'Jan-2026 rates'!$E:$F,2,0)))</f>
        <v>0</v>
      </c>
      <c r="EU330" s="409"/>
      <c r="EV330" s="398">
        <f>IF(EU330=0,0,IF(LEN(EF330)=11,_xlfn.XLOOKUP(EF330,'Dispensed Ink Rates'!C:C,'Dispensed Ink Rates'!CS:CS),VLOOKUP(EF330,'Jan-2026 rates'!$E:$F,2,0)))</f>
        <v>0</v>
      </c>
      <c r="EW330" s="409" t="s">
        <v>1881</v>
      </c>
      <c r="EX330" s="409">
        <f>20+2</f>
        <v>22</v>
      </c>
      <c r="EY330" s="411">
        <f t="shared" si="221"/>
        <v>0</v>
      </c>
      <c r="EZ330" s="411">
        <f t="shared" si="222"/>
        <v>89.551724137931032</v>
      </c>
      <c r="FA330" s="410">
        <f t="shared" si="223"/>
        <v>0</v>
      </c>
      <c r="FB330" s="405" t="s">
        <v>855</v>
      </c>
      <c r="FC330" s="409"/>
      <c r="FD330" s="420" t="str">
        <f t="shared" si="187"/>
        <v>ToyoLi - CYAN</v>
      </c>
      <c r="FE330" s="409"/>
      <c r="FF330" s="411">
        <f>IF(FE330=0,0,IF($LB330=70%,VLOOKUP($FD330,'Jan-2026 rates'!$L:$R,4,0),IF($LB330=65%,VLOOKUP($FD330,'Jan-2026 rates'!$L:$R,4,0),IF($LB330=40%,VLOOKUP($FD330,'Jan-2026 rates'!$L:$R,5,0),IF($LB330=30%,VLOOKUP($FD330,'Jan-2026 rates'!$L:$R,6,0),IF($LB330=100%,VLOOKUP($FD330,'Jan-2026 rates'!$L:$R,7,0),IF($LB330=60%,VLOOKUP($FD330,'Jan-2026 rates'!$L:$S,8,0),IF($LB330=80%,VLOOKUP($FD330,'Jan-2026 rates'!L:T,9,0),0))))))))</f>
        <v>0</v>
      </c>
      <c r="FG330" s="412"/>
      <c r="FH330" s="409"/>
      <c r="FI330" s="411">
        <f>IF(FH330=0,0,IF($LB330=70%,VLOOKUP($FD330,'Jan-2026 rates'!$L:$R,4,0),IF($LB330=65%,VLOOKUP($FD330,'Jan-2026 rates'!$L:$R,4,0),IF($LB330=40%,VLOOKUP($FD330,'Jan-2026 rates'!$L:$R,5,0),IF($LB330=30%,VLOOKUP($FD330,'Jan-2026 rates'!$L:$R,6,0),IF($LB330=100%,VLOOKUP($FD330,'Jan-2026 rates'!$L:$R,7,0),IF($LB330=60%,VLOOKUP($FD330,'Jan-2026 rates'!$L:$S,8,0),IF($LB330=80%,VLOOKUP($FD330,'Jan-2026 rates'!L:T,9,0),0))))))))</f>
        <v>0</v>
      </c>
      <c r="FJ330" s="413" t="s">
        <v>1250</v>
      </c>
      <c r="FK330" s="413" t="s">
        <v>1921</v>
      </c>
      <c r="FL330" s="413"/>
      <c r="FM330" s="412"/>
      <c r="FN330" s="412"/>
      <c r="FO330" s="412"/>
      <c r="FP330" s="412"/>
      <c r="FQ330" s="412"/>
      <c r="FR330" s="409">
        <v>15</v>
      </c>
      <c r="FS330" s="398">
        <f>IF(FR330=0,0,IF(LEN(FJ330)=11,_xlfn.XLOOKUP(FJ330,'Dispensed Ink Rates'!C:C,'Dispensed Ink Rates'!CS:CS),VLOOKUP(FJ330,'Jan-2026 rates'!$E:$F,2,0)))</f>
        <v>0</v>
      </c>
      <c r="FT330" s="409">
        <v>10</v>
      </c>
      <c r="FU330" s="398">
        <f>IF(FT330=0,0,IF(LEN(FK330)=11,_xlfn.XLOOKUP(FK330,'Dispensed Ink Rates'!C:C,'Dispensed Ink Rates'!CS:CS),VLOOKUP(FK330,'Jan-2026 rates'!$E:$F,2,0)))</f>
        <v>0</v>
      </c>
      <c r="FV330" s="409"/>
      <c r="FW330" s="398">
        <f>IF(FV330=0,0,IF(LEN(FL330)=11,_xlfn.XLOOKUP(FL330,'Dispensed Ink Rates'!C:C,'Dispensed Ink Rates'!CS:CS),VLOOKUP(FL330,'Jan-2026 rates'!$E:$F,2,0)))</f>
        <v>0</v>
      </c>
      <c r="FX330" s="409"/>
      <c r="FY330" s="398">
        <f>IF(FX330=0,0,IF(LEN(FM330)=11,_xlfn.XLOOKUP(FM330,'Dispensed Ink Rates'!C:C,'Dispensed Ink Rates'!CS:CS),VLOOKUP(FM330,'Jan-2026 rates'!$E:$F,2,0)))</f>
        <v>0</v>
      </c>
      <c r="FZ330" s="409"/>
      <c r="GA330" s="398">
        <f>IF(FZ330=0,0,IF(LEN(FN330)=11,_xlfn.XLOOKUP(FN330,'Dispensed Ink Rates'!C:C,'Dispensed Ink Rates'!CS:CS),VLOOKUP(FN330,'Jan-2026 rates'!$E:$F,2,0)))</f>
        <v>0</v>
      </c>
      <c r="GB330" s="409"/>
      <c r="GC330" s="398">
        <f>IF(GB330=0,0,IF(LEN(FO330)=11,_xlfn.XLOOKUP(FO330,'Dispensed Ink Rates'!C:C,'Dispensed Ink Rates'!CS:CS),VLOOKUP(FO330,'Jan-2026 rates'!$E:$F,2,0)))</f>
        <v>0</v>
      </c>
      <c r="GD330" s="409"/>
      <c r="GE330" s="398">
        <f>IF(GD330=0,0,IF(LEN(FP330)=11,_xlfn.XLOOKUP(FP330,'Dispensed Ink Rates'!C:C,'Dispensed Ink Rates'!CS:CS),VLOOKUP(FP330,'Jan-2026 rates'!$E:$F,2,0)))</f>
        <v>0</v>
      </c>
      <c r="GF330" s="409"/>
      <c r="GG330" s="398">
        <f>IF(GF330=0,0,IF(LEN(FQ330)=11,_xlfn.XLOOKUP(FQ330,'Dispensed Ink Rates'!C:C,'Dispensed Ink Rates'!CS:CS),VLOOKUP(FQ330,'Jan-2026 rates'!$E:$F,2,0)))</f>
        <v>0</v>
      </c>
      <c r="GH330" s="409" t="s">
        <v>1881</v>
      </c>
      <c r="GI330" s="409">
        <v>30</v>
      </c>
      <c r="GJ330" s="411">
        <f t="shared" si="224"/>
        <v>0</v>
      </c>
      <c r="GK330" s="411">
        <f t="shared" si="225"/>
        <v>16.293103448275865</v>
      </c>
      <c r="GL330" s="410">
        <f t="shared" si="226"/>
        <v>0</v>
      </c>
      <c r="GM330" s="405" t="s">
        <v>544</v>
      </c>
      <c r="GN330" s="409"/>
      <c r="GO330" s="420" t="str">
        <f t="shared" si="188"/>
        <v>ToyoLi - MAGENTA</v>
      </c>
      <c r="GP330" s="409"/>
      <c r="GQ330" s="411">
        <f>IF(GP330=0,0,IF($LB330=70%,VLOOKUP($GO330,'Jan-2026 rates'!$L:$R,4,0),IF($LB330=65%,VLOOKUP($GO330,'Jan-2026 rates'!$L:$R,4,0),IF($LB330=40%,VLOOKUP($GO330,'Jan-2026 rates'!$L:$R,5,0),IF($LB330=30%,VLOOKUP($GO330,'Jan-2026 rates'!$L:$R,6,0),IF($LB330=100%,VLOOKUP($GO330,'Jan-2026 rates'!$L:$R,7,0),IF($LB330=60%,VLOOKUP($GO330,'Jan-2026 rates'!$L:$S,8,0),IF($LB330=80%,VLOOKUP($GO330,'Jan-2026 rates'!L:T,9,0),0))))))))</f>
        <v>0</v>
      </c>
      <c r="GR330" s="412"/>
      <c r="GS330" s="409"/>
      <c r="GT330" s="411">
        <f>IF(GS330=0,0,IF($LB330=70%,VLOOKUP($GO330,'Jan-2026 rates'!$L:$R,4,0),IF($LB330=65%,VLOOKUP($GO330,'Jan-2026 rates'!$L:$R,4,0),IF($LB330=40%,VLOOKUP($GO330,'Jan-2026 rates'!$L:$R,5,0),IF($LB330=30%,VLOOKUP($GO330,'Jan-2026 rates'!$L:$R,6,0),IF($LB330=100%,VLOOKUP($GO330,'Jan-2026 rates'!$L:$R,7,0),IF($LB330=60%,VLOOKUP($GO330,'Jan-2026 rates'!$L:$S,8,0),IF($LB330=80%,VLOOKUP($GO330,'Jan-2026 rates'!L:T,9,0),0))))))))</f>
        <v>0</v>
      </c>
      <c r="GU330" s="413" t="s">
        <v>1246</v>
      </c>
      <c r="GV330" s="413" t="s">
        <v>1921</v>
      </c>
      <c r="GW330" s="412"/>
      <c r="GX330" s="412"/>
      <c r="GY330" s="412"/>
      <c r="GZ330" s="412"/>
      <c r="HA330" s="412"/>
      <c r="HB330" s="412"/>
      <c r="HC330" s="409">
        <v>10</v>
      </c>
      <c r="HD330" s="398">
        <f>IF(HC330=0,0,IF(LEN(GU330)=11,_xlfn.XLOOKUP(GU330,'Dispensed Ink Rates'!C:C,'Dispensed Ink Rates'!CS:CS),VLOOKUP(GU330,'Jan-2026 rates'!$E:$F,2,0)))</f>
        <v>0</v>
      </c>
      <c r="HE330" s="409">
        <v>8</v>
      </c>
      <c r="HF330" s="398">
        <f>IF(HE330=0,0,IF(LEN(GV330)=11,_xlfn.XLOOKUP(GV330,'Dispensed Ink Rates'!C:C,'Dispensed Ink Rates'!CS:CS),VLOOKUP(GV330,'Jan-2026 rates'!$E:$F,2,0)))</f>
        <v>0</v>
      </c>
      <c r="HG330" s="409"/>
      <c r="HH330" s="398">
        <f>IF(HG330=0,0,IF(LEN(GW330)=11,_xlfn.XLOOKUP(GW330,'Dispensed Ink Rates'!C:C,'Dispensed Ink Rates'!CS:CS),VLOOKUP(GW330,'Jan-2026 rates'!$E:$F,2,0)))</f>
        <v>0</v>
      </c>
      <c r="HI330" s="409"/>
      <c r="HJ330" s="398">
        <f>IF(HI330=0,0,IF(LEN(GX330)=11,_xlfn.XLOOKUP(GX330,'Dispensed Ink Rates'!C:C,'Dispensed Ink Rates'!CS:CS),VLOOKUP(GX330,'Jan-2026 rates'!$E:$F,2,0)))</f>
        <v>0</v>
      </c>
      <c r="HK330" s="409"/>
      <c r="HL330" s="398">
        <f>IF(HK330=0,0,IF(LEN(GY330)=11,_xlfn.XLOOKUP(GY330,'Dispensed Ink Rates'!C:C,'Dispensed Ink Rates'!CS:CS),VLOOKUP(GY330,'Jan-2026 rates'!$E:$F,2,0)))</f>
        <v>0</v>
      </c>
      <c r="HM330" s="409"/>
      <c r="HN330" s="398">
        <f>IF(HM330=0,0,IF(LEN(GZ330)=11,_xlfn.XLOOKUP(GZ330,'Dispensed Ink Rates'!C:C,'Dispensed Ink Rates'!CS:CS),VLOOKUP(GZ330,'Jan-2026 rates'!$E:$F,2,0)))</f>
        <v>0</v>
      </c>
      <c r="HO330" s="409"/>
      <c r="HP330" s="398">
        <f>IF(HO330=0,0,IF(LEN(HA330)=11,_xlfn.XLOOKUP(HA330,'Dispensed Ink Rates'!C:C,'Dispensed Ink Rates'!CS:CS),VLOOKUP(HA330,'Jan-2026 rates'!$E:$F,2,0)))</f>
        <v>0</v>
      </c>
      <c r="HQ330" s="409"/>
      <c r="HR330" s="398">
        <f>IF(HQ330=0,0,IF(LEN(HB330)=11,_xlfn.XLOOKUP(HB330,'Dispensed Ink Rates'!C:C,'Dispensed Ink Rates'!CS:CS),VLOOKUP(HB330,'Jan-2026 rates'!$E:$F,2,0)))</f>
        <v>0</v>
      </c>
      <c r="HS330" s="409" t="s">
        <v>1881</v>
      </c>
      <c r="HT330" s="409">
        <v>26</v>
      </c>
      <c r="HU330" s="411">
        <f t="shared" si="227"/>
        <v>0</v>
      </c>
      <c r="HV330" s="411">
        <f t="shared" si="228"/>
        <v>11.8735632183908</v>
      </c>
      <c r="HW330" s="414">
        <f t="shared" si="229"/>
        <v>0</v>
      </c>
      <c r="HX330" s="405" t="s">
        <v>545</v>
      </c>
      <c r="HY330" s="409" t="s">
        <v>4587</v>
      </c>
      <c r="HZ330" s="420" t="str">
        <f t="shared" si="189"/>
        <v>ToyoLi - YELLOW</v>
      </c>
      <c r="IA330" s="409">
        <v>20</v>
      </c>
      <c r="IB330" s="411">
        <f>IF(IA330=0,0,IF($LB330=70%,VLOOKUP($HZ330,'Jan-2026 rates'!$L:$R,4,0),IF($LB330=65%,VLOOKUP($HZ330,'Jan-2026 rates'!$L:$R,4,0),IF($LB330=40%,VLOOKUP($HZ330,'Jan-2026 rates'!$L:$R,5,0),IF($LB330=30%,VLOOKUP($HZ330,'Jan-2026 rates'!$L:$R,6,0),IF($LB330=100%,VLOOKUP($HZ330,'Jan-2026 rates'!$L:$R,7,0),IF($LB330=60%,VLOOKUP($HZ330,'Jan-2026 rates'!$L:$S,8,0),IF($LB330=80%,VLOOKUP($HZ330,'Jan-2026 rates'!L:T,9,0),0))))))))</f>
        <v>0</v>
      </c>
      <c r="IC330" s="412"/>
      <c r="ID330" s="409"/>
      <c r="IE330" s="411">
        <f>IF(ID330=0,0,IF($LB330=70%,VLOOKUP($HZ330,'Jan-2026 rates'!$L:$R,4,0),IF($LB330=65%,VLOOKUP($HZ330,'Jan-2026 rates'!$L:$R,4,0),IF($LB330=40%,VLOOKUP($HZ330,'Jan-2026 rates'!$L:$R,5,0),IF($LB330=30%,VLOOKUP($HZ330,'Jan-2026 rates'!$L:$R,6,0),IF($LB330=100%,VLOOKUP($HZ330,'Jan-2026 rates'!$L:$R,7,0),IF($LB330=60%,VLOOKUP($HZ330,'Jan-2026 rates'!$L:$S,8,0),IF($LB330=80%,VLOOKUP($HZ330,'Jan-2026 rates'!L:T,9,0),0))))))))</f>
        <v>0</v>
      </c>
      <c r="IF330" s="412" t="s">
        <v>1921</v>
      </c>
      <c r="IG330" s="413"/>
      <c r="IH330" s="412"/>
      <c r="II330" s="412"/>
      <c r="IJ330" s="412"/>
      <c r="IK330" s="412"/>
      <c r="IL330" s="412"/>
      <c r="IM330" s="412"/>
      <c r="IN330" s="409">
        <v>5</v>
      </c>
      <c r="IO330" s="398">
        <f>IF(IN330=0,0,IF(LEN(IF330)=11,_xlfn.XLOOKUP(IF330,'Dispensed Ink Rates'!C:C,'Dispensed Ink Rates'!CS:CS),VLOOKUP(IF330,'Jan-2026 rates'!$E:$F,2,0)))</f>
        <v>0</v>
      </c>
      <c r="IP330" s="409"/>
      <c r="IQ330" s="398">
        <f>IF(IP330=0,0,IF(LEN(IG330)=11,_xlfn.XLOOKUP(IG330,'Dispensed Ink Rates'!C:C,'Dispensed Ink Rates'!CS:CS),VLOOKUP(IG330,'Jan-2026 rates'!$E:$F,2,0)))</f>
        <v>0</v>
      </c>
      <c r="IR330" s="409"/>
      <c r="IS330" s="398">
        <f>IF(IR330=0,0,IF(LEN(IH330)=11,_xlfn.XLOOKUP(IH330,'Dispensed Ink Rates'!C:C,'Dispensed Ink Rates'!CS:CS),VLOOKUP(IH330,'Jan-2026 rates'!$E:$F,2,0)))</f>
        <v>0</v>
      </c>
      <c r="IT330" s="409"/>
      <c r="IU330" s="398">
        <f>IF(IT330=0,0,IF(LEN(II330)=11,_xlfn.XLOOKUP(II330,'Dispensed Ink Rates'!C:C,'Dispensed Ink Rates'!CS:CS),VLOOKUP(II330,'Jan-2026 rates'!$E:$F,2,0)))</f>
        <v>0</v>
      </c>
      <c r="IV330" s="409"/>
      <c r="IW330" s="398">
        <f>IF(IV330=0,0,IF(LEN(IJ330)=11,_xlfn.XLOOKUP(IJ330,'Dispensed Ink Rates'!C:C,'Dispensed Ink Rates'!CS:CS),VLOOKUP(IJ330,'Jan-2026 rates'!$E:$F,2,0)))</f>
        <v>0</v>
      </c>
      <c r="IX330" s="409"/>
      <c r="IY330" s="398">
        <f>IF(IX330=0,0,IF(LEN(IK330)=11,_xlfn.XLOOKUP(IK330,'Dispensed Ink Rates'!C:C,'Dispensed Ink Rates'!CS:CS),VLOOKUP(IK330,'Jan-2026 rates'!$E:$F,2,0)))</f>
        <v>0</v>
      </c>
      <c r="IZ330" s="409"/>
      <c r="JA330" s="398">
        <f>IF(IZ330=0,0,IF(LEN(IL330)=11,_xlfn.XLOOKUP(IL330,'Dispensed Ink Rates'!C:C,'Dispensed Ink Rates'!CS:CS),VLOOKUP(IL330,'Jan-2026 rates'!$E:$F,2,0)))</f>
        <v>0</v>
      </c>
      <c r="JB330" s="409"/>
      <c r="JC330" s="398">
        <f>IF(JB330=0,0,IF(LEN(IM330)=11,_xlfn.XLOOKUP(IM330,'Dispensed Ink Rates'!C:C,'Dispensed Ink Rates'!CS:CS),VLOOKUP(IM330,'Jan-2026 rates'!$E:$F,2,0)))</f>
        <v>0</v>
      </c>
      <c r="JD330" s="409" t="s">
        <v>1881</v>
      </c>
      <c r="JE330" s="409">
        <v>25</v>
      </c>
      <c r="JF330" s="411">
        <f t="shared" si="230"/>
        <v>0</v>
      </c>
      <c r="JG330" s="411">
        <f t="shared" si="231"/>
        <v>7.0977011494252906</v>
      </c>
      <c r="JH330" s="410">
        <f t="shared" si="232"/>
        <v>0</v>
      </c>
      <c r="JI330" s="405" t="s">
        <v>856</v>
      </c>
      <c r="JJ330" s="409" t="s">
        <v>4588</v>
      </c>
      <c r="JK330" s="420" t="str">
        <f t="shared" si="190"/>
        <v>ToyoLi - WHITE</v>
      </c>
      <c r="JL330" s="409">
        <v>20</v>
      </c>
      <c r="JM330" s="411">
        <f>IF(JL330=0,0,IF($LB330=70%,VLOOKUP($JK330,'Jan-2026 rates'!$L:$R,4,0),IF($LB330=65%,VLOOKUP($JK330,'Jan-2026 rates'!$L:$R,4,0),IF($LB330=40%,VLOOKUP($JK330,'Jan-2026 rates'!$L:$R,5,0),IF($LB330=30%,VLOOKUP($JK330,'Jan-2026 rates'!$L:$R,6,0),IF($LB330=100%,VLOOKUP($JK330,'Jan-2026 rates'!$L:$R,7,0),IF($LB330=60%,VLOOKUP($JK330,'Jan-2026 rates'!$L:$S,8,0),IF($LB330=80%,VLOOKUP($JK330,'Jan-2026 rates'!L:T,9,0),0))))))))</f>
        <v>0</v>
      </c>
      <c r="JN330" s="412"/>
      <c r="JO330" s="409"/>
      <c r="JP330" s="411">
        <f>IF(JO330=0,0,IF($LB330=70%,VLOOKUP($JK330,'Jan-2026 rates'!$L:$R,4,0),IF($LB330=65%,VLOOKUP($JK330,'Jan-2026 rates'!$L:$R,4,0),IF($LB330=40%,VLOOKUP($JK330,'Jan-2026 rates'!$L:$R,5,0),IF($LB330=30%,VLOOKUP($JK330,'Jan-2026 rates'!$L:$R,6,0),IF($LB330=100%,VLOOKUP($JK330,'Jan-2026 rates'!$L:$R,7,0),IF($LB330=60%,VLOOKUP($JK330,'Jan-2026 rates'!$L:$S,8,0),IF($LB330=80%,VLOOKUP($JK330,'Jan-2026 rates'!L:T,9,0),0))))))))</f>
        <v>0</v>
      </c>
      <c r="JQ330" s="413" t="s">
        <v>1249</v>
      </c>
      <c r="JR330" s="412" t="s">
        <v>1122</v>
      </c>
      <c r="JS330" s="413"/>
      <c r="JT330" s="413"/>
      <c r="JU330" s="412"/>
      <c r="JV330" s="412"/>
      <c r="JW330" s="412"/>
      <c r="JX330" s="412"/>
      <c r="JY330" s="409">
        <f>60+30+60</f>
        <v>150</v>
      </c>
      <c r="JZ330" s="398">
        <f>IF(JY330=0,0,IF(LEN(JQ330)=11,_xlfn.XLOOKUP(JQ330,'Dispensed Ink Rates'!C:C,'Dispensed Ink Rates'!CS:CS),VLOOKUP(JQ330,'Jan-2026 rates'!$E:$F,2,0)))</f>
        <v>0</v>
      </c>
      <c r="KA330" s="409">
        <v>9.9600000000000009</v>
      </c>
      <c r="KB330" s="398">
        <f>IF(KA330=0,0,IF(LEN(JR330)=11,_xlfn.XLOOKUP(JR330,'Dispensed Ink Rates'!C:C,'Dispensed Ink Rates'!CS:CS),VLOOKUP(JR330,'Jan-2026 rates'!$E:$F,2,0)))</f>
        <v>0</v>
      </c>
      <c r="KC330" s="409"/>
      <c r="KD330" s="398">
        <f>IF(KC330=0,0,IF(LEN(JS330)=11,_xlfn.XLOOKUP(JS330,'Dispensed Ink Rates'!C:C,'Dispensed Ink Rates'!CS:CS),VLOOKUP(JS330,'Jan-2026 rates'!$E:$F,2,0)))</f>
        <v>0</v>
      </c>
      <c r="KE330" s="409"/>
      <c r="KF330" s="398">
        <f>IF(KE330=0,0,IF(LEN(JT330)=11,_xlfn.XLOOKUP(JT330,'Dispensed Ink Rates'!C:C,'Dispensed Ink Rates'!CS:CS),VLOOKUP(JT330,'Jan-2026 rates'!$E:$F,2,0)))</f>
        <v>0</v>
      </c>
      <c r="KG330" s="409"/>
      <c r="KH330" s="398">
        <f>IF(KG330=0,0,IF(LEN(JU330)=11,_xlfn.XLOOKUP(JU330,'Dispensed Ink Rates'!C:C,'Dispensed Ink Rates'!CS:CS),VLOOKUP(JU330,'Jan-2026 rates'!$E:$F,2,0)))</f>
        <v>0</v>
      </c>
      <c r="KI330" s="409"/>
      <c r="KJ330" s="398">
        <f>IF(KI330=0,0,IF(LEN(JV330)=11,_xlfn.XLOOKUP(JV330,'Dispensed Ink Rates'!C:C,'Dispensed Ink Rates'!CS:CS),VLOOKUP(JV330,'Jan-2026 rates'!$E:$F,2,0)))</f>
        <v>0</v>
      </c>
      <c r="KK330" s="409"/>
      <c r="KL330" s="398">
        <f>IF(KK330=0,0,IF(LEN(JW330)=11,_xlfn.XLOOKUP(JW330,'Dispensed Ink Rates'!C:C,'Dispensed Ink Rates'!CS:CS),VLOOKUP(JW330,'Jan-2026 rates'!$E:$F,2,0)))</f>
        <v>0</v>
      </c>
      <c r="KM330" s="428"/>
      <c r="KN330" s="398">
        <f>IF(KM330=0,0,IF(LEN(JX330)=11,_xlfn.XLOOKUP(JX330,'Dispensed Ink Rates'!C:C,'Dispensed Ink Rates'!CS:CS),VLOOKUP(JX330,'Jan-2026 rates'!$E:$F,2,0)))</f>
        <v>0</v>
      </c>
      <c r="KO330" s="409" t="s">
        <v>1881</v>
      </c>
      <c r="KP330" s="409">
        <f>20+20</f>
        <v>40</v>
      </c>
      <c r="KQ330" s="411">
        <f t="shared" si="233"/>
        <v>0</v>
      </c>
      <c r="KR330" s="411">
        <f t="shared" si="234"/>
        <v>281.91402298850574</v>
      </c>
      <c r="KS330" s="410">
        <f t="shared" si="235"/>
        <v>0</v>
      </c>
      <c r="KT330" s="409">
        <v>4</v>
      </c>
      <c r="KU330" s="409">
        <v>15</v>
      </c>
      <c r="KV330" s="409">
        <v>3</v>
      </c>
      <c r="KW330" s="409">
        <v>18</v>
      </c>
      <c r="KX330" s="409">
        <v>15</v>
      </c>
      <c r="KY330" s="409">
        <v>14</v>
      </c>
      <c r="KZ330" s="409">
        <v>5</v>
      </c>
      <c r="LA330" s="409">
        <f>40+20+40</f>
        <v>100</v>
      </c>
      <c r="LB330" s="415">
        <v>0.3</v>
      </c>
      <c r="LC330" s="415"/>
      <c r="LD330" s="424"/>
      <c r="LE330" s="415">
        <v>0.5</v>
      </c>
      <c r="LF330" s="415">
        <v>0.2</v>
      </c>
      <c r="LG330" s="409">
        <v>0</v>
      </c>
      <c r="LH330" s="409">
        <f>100+47+30+50+20</f>
        <v>247</v>
      </c>
      <c r="LI330" s="409">
        <v>0</v>
      </c>
      <c r="LJ330" s="409">
        <v>0</v>
      </c>
      <c r="LK330" s="416">
        <f t="shared" si="191"/>
        <v>247</v>
      </c>
      <c r="LL330" s="416">
        <f t="shared" si="237"/>
        <v>247</v>
      </c>
      <c r="LM330" s="417">
        <f t="shared" si="193"/>
        <v>74.099999999999994</v>
      </c>
      <c r="LN330" s="417">
        <f>VLOOKUP($LM$8,'Jan-2026 rates'!$H:$I,2,0)</f>
        <v>0</v>
      </c>
      <c r="LO330" s="417">
        <f t="shared" si="194"/>
        <v>0</v>
      </c>
      <c r="LP330" s="417">
        <f>VLOOKUP($LO$8,'Jan-2026 rates'!$H:$I,2,0)</f>
        <v>0</v>
      </c>
      <c r="LQ330" s="417">
        <f t="shared" si="195"/>
        <v>0</v>
      </c>
      <c r="LR330" s="417">
        <f>VLOOKUP($LQ$8,'Jan-2026 rates'!$H:$I,2,0)</f>
        <v>0</v>
      </c>
      <c r="LS330" s="417">
        <f t="shared" si="196"/>
        <v>123.5</v>
      </c>
      <c r="LT330" s="417">
        <f>VLOOKUP($LS$8,'Jan-2026 rates'!$H:$I,2,0)</f>
        <v>0</v>
      </c>
      <c r="LU330" s="417">
        <f t="shared" si="197"/>
        <v>49.400000000000006</v>
      </c>
      <c r="LV330" s="417">
        <f>VLOOKUP($LU$8,'Jan-2026 rates'!$H:$I,2,0)</f>
        <v>0</v>
      </c>
      <c r="LW330" s="417">
        <f t="shared" si="198"/>
        <v>0</v>
      </c>
      <c r="LX330" s="417">
        <f t="shared" si="199"/>
        <v>0</v>
      </c>
      <c r="LY330" s="418">
        <f t="shared" si="200"/>
        <v>0</v>
      </c>
      <c r="LZ330" s="417"/>
      <c r="MA330" s="435">
        <f t="shared" si="201"/>
        <v>277.95999999999998</v>
      </c>
      <c r="MB330" s="282">
        <f t="shared" si="202"/>
        <v>454.96</v>
      </c>
      <c r="MC330" s="283" t="s">
        <v>2069</v>
      </c>
      <c r="MD330" s="284" t="str">
        <f t="shared" si="203"/>
        <v>ToyoLiToyoLiToyoLiToyoLiToyoLiToyoLiToyoLiToyoLi</v>
      </c>
      <c r="ME330" s="293" t="str">
        <f t="shared" si="204"/>
        <v>+</v>
      </c>
      <c r="MF330" s="293" t="str">
        <f t="shared" si="205"/>
        <v>+</v>
      </c>
      <c r="MG330" s="293" t="str">
        <f t="shared" si="206"/>
        <v>+</v>
      </c>
      <c r="MH330" s="293" t="str">
        <f t="shared" si="207"/>
        <v>+</v>
      </c>
      <c r="MI330" s="293" t="str">
        <f t="shared" si="208"/>
        <v>+</v>
      </c>
      <c r="MJ330" s="293" t="str">
        <f t="shared" si="209"/>
        <v>+</v>
      </c>
      <c r="MK330" s="293" t="str">
        <f t="shared" si="210"/>
        <v>+</v>
      </c>
      <c r="ML330" s="293" t="str">
        <f t="shared" si="211"/>
        <v>+</v>
      </c>
      <c r="MM330" s="3" t="b">
        <f t="array" ref="MM330">OR(ME330:ML330="-")</f>
        <v>0</v>
      </c>
      <c r="MO330" s="401">
        <f t="shared" si="238"/>
        <v>64.533333333333331</v>
      </c>
      <c r="MP330" s="286"/>
      <c r="MR330" s="402">
        <f t="shared" si="239"/>
        <v>1.0989371980676328E-2</v>
      </c>
      <c r="MS330" s="400">
        <f t="shared" si="240"/>
        <v>0</v>
      </c>
      <c r="MT330" s="285"/>
      <c r="NH330" s="361"/>
      <c r="NJ330" s="282"/>
    </row>
    <row r="331" spans="1:374" ht="16.5">
      <c r="A331" s="403">
        <v>46046</v>
      </c>
      <c r="B331" s="404" t="s">
        <v>1018</v>
      </c>
      <c r="C331" s="405" t="s">
        <v>4589</v>
      </c>
      <c r="D331" s="404" t="s">
        <v>2070</v>
      </c>
      <c r="E331" s="404">
        <v>705</v>
      </c>
      <c r="F331" s="407">
        <v>41400</v>
      </c>
      <c r="G331" s="407" t="s">
        <v>1016</v>
      </c>
      <c r="H331" s="408" t="s">
        <v>1017</v>
      </c>
      <c r="I331" s="409">
        <v>1.4</v>
      </c>
      <c r="J331" s="405" t="s">
        <v>543</v>
      </c>
      <c r="K331" s="404" t="s">
        <v>4590</v>
      </c>
      <c r="L331" s="419" t="str">
        <f t="shared" si="184"/>
        <v>ToyoLi - BLACK</v>
      </c>
      <c r="M331" s="404">
        <v>27</v>
      </c>
      <c r="N331" s="410">
        <f>IF(M331=0,0,IF($LB331=70%,VLOOKUP($L331,'Jan-2026 rates'!$L:$R,4,0),IF($LB331=65%,VLOOKUP($L331,'Jan-2026 rates'!$L:$R,4,0),IF($LB331=40%,VLOOKUP($L331,'Jan-2026 rates'!$L:$R,5,0),IF($LB331=30%,VLOOKUP($L331,'Jan-2026 rates'!$L:$R,6,0),IF($LB331=100%,VLOOKUP($L331,'Jan-2026 rates'!$L:$R,7,0),IF($LB331=60%,VLOOKUP($L331,'Jan-2026 rates'!$L:$S,8,0),IF($LB331=80%,VLOOKUP($L331,'Jan-2026 rates'!L:T,9,0),0))))))))</f>
        <v>0</v>
      </c>
      <c r="O331" s="406"/>
      <c r="P331" s="404"/>
      <c r="Q331" s="410">
        <f>IF(P331=0,0,IF($LB331=70%,VLOOKUP($L331,'Jan-2026 rates'!$L:$R,4,0),IF($LB331=65%,VLOOKUP($L331,'Jan-2026 rates'!$L:$R,4,0),IF($LB331=40%,VLOOKUP($L331,'Jan-2026 rates'!$L:$R,5,0),IF($LB331=30%,VLOOKUP($L331,'Jan-2026 rates'!$L:$R,6,0),IF($LB331=100%,VLOOKUP($L331,'Jan-2026 rates'!$L:$R,7,0),IF($LB331=60%,VLOOKUP($L331,'Jan-2026 rates'!$L:$S,8,0),IF($LB331=80%,VLOOKUP($L331,'Jan-2026 rates'!L:T,9,0),0))))))))</f>
        <v>0</v>
      </c>
      <c r="R331" s="406" t="s">
        <v>1252</v>
      </c>
      <c r="S331" s="406"/>
      <c r="T331" s="406"/>
      <c r="U331" s="406"/>
      <c r="V331" s="406"/>
      <c r="W331" s="406"/>
      <c r="X331" s="406"/>
      <c r="Y331" s="406"/>
      <c r="Z331" s="404">
        <v>2</v>
      </c>
      <c r="AA331" s="398">
        <f>IF(Z331=0,0,IF(LEN(R331)=11,_xlfn.XLOOKUP(R331,'Dispensed Ink Rates'!C:C,'Dispensed Ink Rates'!CS:CS),VLOOKUP(R331,'Jan-2026 rates'!$E:$F,2,0)))</f>
        <v>0</v>
      </c>
      <c r="AB331" s="404"/>
      <c r="AC331" s="398">
        <f>IF(AB331=0,0,IF(LEN(S331)=11,_xlfn.XLOOKUP(S331,'Dispensed Ink Rates'!C:C,'Dispensed Ink Rates'!CS:CS),VLOOKUP(S331,'Jan-2026 rates'!$E:$F,2,0)))</f>
        <v>0</v>
      </c>
      <c r="AD331" s="404"/>
      <c r="AE331" s="398">
        <f>IF(AD331=0,0,IF(LEN(T331)=11,_xlfn.XLOOKUP(T331,'Dispensed Ink Rates'!C:C,'Dispensed Ink Rates'!CS:CS),VLOOKUP(T331,'Jan-2026 rates'!$E:$F,2,0)))</f>
        <v>0</v>
      </c>
      <c r="AF331" s="404"/>
      <c r="AG331" s="398">
        <f>IF(AF331=0,0,IF(LEN(U331)=11,_xlfn.XLOOKUP(U331,'Dispensed Ink Rates'!C:C,'Dispensed Ink Rates'!CS:CS),VLOOKUP(U331,'Jan-2026 rates'!$E:$F,2,0)))</f>
        <v>0</v>
      </c>
      <c r="AH331" s="404"/>
      <c r="AI331" s="398">
        <f>IF(AH331=0,0,IF(LEN(V331)=11,_xlfn.XLOOKUP(V331,'Dispensed Ink Rates'!C:C,'Dispensed Ink Rates'!CS:CS),VLOOKUP(V331,'Jan-2026 rates'!$E:$F,2,0)))</f>
        <v>0</v>
      </c>
      <c r="AJ331" s="404"/>
      <c r="AK331" s="398">
        <f>IF(AJ331=0,0,IF(LEN(W331)=11,_xlfn.XLOOKUP(W331,'Dispensed Ink Rates'!C:C,'Dispensed Ink Rates'!CS:CS),VLOOKUP(W331,'Jan-2026 rates'!$E:$F,2,0)))</f>
        <v>0</v>
      </c>
      <c r="AL331" s="404"/>
      <c r="AM331" s="398">
        <f>IF(AL331=0,0,IF(LEN(X331)=11,_xlfn.XLOOKUP(X331,'Dispensed Ink Rates'!C:C,'Dispensed Ink Rates'!CS:CS),VLOOKUP(X331,'Jan-2026 rates'!$E:$F,2,0)))</f>
        <v>0</v>
      </c>
      <c r="AN331" s="404"/>
      <c r="AO331" s="398">
        <f>IF(AN331=0,0,IF(LEN(Y331)=11,_xlfn.XLOOKUP(Y331,'Dispensed Ink Rates'!C:C,'Dispensed Ink Rates'!CS:CS),VLOOKUP(Y331,'Jan-2026 rates'!$E:$F,2,0)))</f>
        <v>0</v>
      </c>
      <c r="AP331" s="409" t="s">
        <v>1881</v>
      </c>
      <c r="AQ331" s="409">
        <v>24</v>
      </c>
      <c r="AR331" s="410">
        <f t="shared" si="212"/>
        <v>0</v>
      </c>
      <c r="AS331" s="411">
        <f t="shared" si="213"/>
        <v>9.2586206896551744</v>
      </c>
      <c r="AT331" s="410">
        <f t="shared" si="214"/>
        <v>0</v>
      </c>
      <c r="AU331" s="405" t="s">
        <v>546</v>
      </c>
      <c r="AV331" s="409" t="s">
        <v>4479</v>
      </c>
      <c r="AW331" s="420" t="str">
        <f t="shared" si="236"/>
        <v>ToyoLi - REFLEX BLUE</v>
      </c>
      <c r="AX331" s="409">
        <v>20</v>
      </c>
      <c r="AY331" s="411">
        <f>IF(AX331=0,0,IF($LB331=70%,VLOOKUP($AW331,'Jan-2026 rates'!$L:$R,4,0),IF($LB331=65%,VLOOKUP($AW331,'Jan-2026 rates'!$L:$R,4,0),IF($LB331=40%,VLOOKUP($AW331,'Jan-2026 rates'!$L:$R,5,0),IF($LB331=30%,VLOOKUP($AW331,'Jan-2026 rates'!$L:$R,6,0),IF($LB331=100%,VLOOKUP($AW331,'Jan-2026 rates'!$L:$R,7,0),IF($LB331=60%,VLOOKUP($AW331,'Jan-2026 rates'!$L:$S,8,0),IF($LB331=80%,VLOOKUP($AW331,'Jan-2026 rates'!L:T,9,0),0))))))))</f>
        <v>0</v>
      </c>
      <c r="AZ331" s="412"/>
      <c r="BA331" s="409"/>
      <c r="BB331" s="411">
        <f>IF(BA331=0,0,IF($LB331=70%,VLOOKUP($AW331,'Jan-2026 rates'!$L:$R,4,0),IF($LB331=65%,VLOOKUP($AW331,'Jan-2026 rates'!$L:$R,4,0),IF($LB331=40%,VLOOKUP($AW331,'Jan-2026 rates'!$L:$R,5,0),IF($LB331=30%,VLOOKUP($AW331,'Jan-2026 rates'!$L:$R,6,0),IF($LB331=100%,VLOOKUP($AW331,'Jan-2026 rates'!$L:$R,7,0),IF($LB331=60%,VLOOKUP($AW331,'Jan-2026 rates'!$L:$S,8,0),IF($LB331=80%,VLOOKUP($AW331,'Jan-2026 rates'!L:T,9,0),0))))))))</f>
        <v>0</v>
      </c>
      <c r="BC331" s="413" t="s">
        <v>1585</v>
      </c>
      <c r="BD331" s="412" t="s">
        <v>1921</v>
      </c>
      <c r="BE331" s="412"/>
      <c r="BF331" s="413"/>
      <c r="BG331" s="412"/>
      <c r="BH331" s="412"/>
      <c r="BI331" s="412"/>
      <c r="BJ331" s="412"/>
      <c r="BK331" s="409">
        <v>3</v>
      </c>
      <c r="BL331" s="398">
        <f>IF(BK331=0,0,IF(LEN(BC331)=11,_xlfn.XLOOKUP(BC331,'Dispensed Ink Rates'!C:C,'Dispensed Ink Rates'!CS:CS),VLOOKUP(BC331,'Jan-2026 rates'!$E:$F,2,0)))</f>
        <v>0</v>
      </c>
      <c r="BM331" s="409">
        <v>3</v>
      </c>
      <c r="BN331" s="398">
        <f>IF(BM331=0,0,IF(LEN(BD331)=11,_xlfn.XLOOKUP(BD331,'Dispensed Ink Rates'!C:C,'Dispensed Ink Rates'!CS:CS),VLOOKUP(BD331,'Jan-2026 rates'!$E:$F,2,0)))</f>
        <v>0</v>
      </c>
      <c r="BO331" s="409"/>
      <c r="BP331" s="398">
        <f>IF(BO331=0,0,IF(LEN(BE331)=11,_xlfn.XLOOKUP(BE331,'Dispensed Ink Rates'!C:C,'Dispensed Ink Rates'!CS:CS),VLOOKUP(BE331,'Jan-2026 rates'!$E:$F,2,0)))</f>
        <v>0</v>
      </c>
      <c r="BQ331" s="409"/>
      <c r="BR331" s="398">
        <f>IF(BQ331=0,0,IF(LEN(BF331)=11,_xlfn.XLOOKUP(BF331,'Dispensed Ink Rates'!C:C,'Dispensed Ink Rates'!CS:CS),VLOOKUP(BF331,'Jan-2026 rates'!$E:$F,2,0)))</f>
        <v>0</v>
      </c>
      <c r="BS331" s="409"/>
      <c r="BT331" s="398">
        <f>IF(BS331=0,0,IF(LEN(BG331)=11,_xlfn.XLOOKUP(BG331,'Dispensed Ink Rates'!C:C,'Dispensed Ink Rates'!CS:CS),VLOOKUP(BG331,'Jan-2026 rates'!$E:$F,2,0)))</f>
        <v>0</v>
      </c>
      <c r="BU331" s="409"/>
      <c r="BV331" s="398">
        <f>IF(BU331=0,0,IF(LEN(BH331)=11,_xlfn.XLOOKUP(BH331,'Dispensed Ink Rates'!C:C,'Dispensed Ink Rates'!CS:CS),VLOOKUP(BH331,'Jan-2026 rates'!$E:$F,2,0)))</f>
        <v>0</v>
      </c>
      <c r="BW331" s="409"/>
      <c r="BX331" s="398">
        <f>IF(BW331=0,0,IF(LEN(BI331)=11,_xlfn.XLOOKUP(BI331,'Dispensed Ink Rates'!C:C,'Dispensed Ink Rates'!CS:CS),VLOOKUP(BI331,'Jan-2026 rates'!$E:$F,2,0)))</f>
        <v>0</v>
      </c>
      <c r="BY331" s="409"/>
      <c r="BZ331" s="398">
        <f>IF(BY331=0,0,IF(LEN(BJ331)=11,_xlfn.XLOOKUP(BJ331,'Dispensed Ink Rates'!C:C,'Dispensed Ink Rates'!CS:CS),VLOOKUP(BJ331,'Jan-2026 rates'!$E:$F,2,0)))</f>
        <v>0</v>
      </c>
      <c r="CA331" s="409" t="s">
        <v>1881</v>
      </c>
      <c r="CB331" s="409">
        <v>23</v>
      </c>
      <c r="CC331" s="411">
        <f t="shared" si="215"/>
        <v>0</v>
      </c>
      <c r="CD331" s="411">
        <f t="shared" si="216"/>
        <v>7.2586206896551744</v>
      </c>
      <c r="CE331" s="410">
        <f t="shared" si="217"/>
        <v>0</v>
      </c>
      <c r="CF331" s="404" t="s">
        <v>857</v>
      </c>
      <c r="CG331" s="409" t="s">
        <v>4591</v>
      </c>
      <c r="CH331" s="420" t="str">
        <f t="shared" si="185"/>
        <v>ToyoLi - RED</v>
      </c>
      <c r="CI331" s="409">
        <v>22</v>
      </c>
      <c r="CJ331" s="411">
        <f>IF(CI331=0,0,IF($LB331=70%,VLOOKUP($CH331,'Jan-2026 rates'!$L:$R,4,0),IF($LB331=65%,VLOOKUP($CH331,'Jan-2026 rates'!$L:$R,4,0),IF($LB331=40%,VLOOKUP($CH331,'Jan-2026 rates'!$L:$R,5,0),IF($LB331=30%,VLOOKUP($CH331,'Jan-2026 rates'!$L:$R,6,0),IF($LB331=100%,VLOOKUP($CH331,'Jan-2026 rates'!$L:$R,7,0),IF($LB331=60%,VLOOKUP($CH331,'Jan-2026 rates'!$L:$S,8,0),IF($LB331=80%,VLOOKUP($CH331,'Jan-2026 rates'!L:T,9,0),0))))))))</f>
        <v>0</v>
      </c>
      <c r="CK331" s="412"/>
      <c r="CL331" s="409"/>
      <c r="CM331" s="411">
        <f>IF(CL331=0,0,IF($LB331=70%,VLOOKUP($CH331,'Jan-2026 rates'!$L:$R,4,0),IF($LB331=65%,VLOOKUP($CH331,'Jan-2026 rates'!$L:$R,4,0),IF($LB331=40%,VLOOKUP($CH331,'Jan-2026 rates'!$L:$R,5,0),IF($LB331=30%,VLOOKUP($CH331,'Jan-2026 rates'!$L:$R,6,0),IF($LB331=100%,VLOOKUP($CH331,'Jan-2026 rates'!$L:$R,7,0),IF($LB331=60%,VLOOKUP($CH331,'Jan-2026 rates'!$L:$S,8,0),IF($LB331=80%,VLOOKUP($CH331,'Jan-2026 rates'!L:T,9,0),0))))))))</f>
        <v>0</v>
      </c>
      <c r="CN331" s="426" t="s">
        <v>1246</v>
      </c>
      <c r="CO331" s="427"/>
      <c r="CP331" s="426"/>
      <c r="CQ331" s="426"/>
      <c r="CR331" s="428"/>
      <c r="CS331" s="428"/>
      <c r="CT331" s="428"/>
      <c r="CU331" s="428"/>
      <c r="CV331" s="409">
        <v>2</v>
      </c>
      <c r="CW331" s="398">
        <f>IF(CV331=0,0,IF(LEN(CN331)=11,_xlfn.XLOOKUP(CN331,'Dispensed Ink Rates'!C:C,'Dispensed Ink Rates'!CS:CS),VLOOKUP(CN331,'Jan-2026 rates'!$E:$F,2,0)))</f>
        <v>0</v>
      </c>
      <c r="CX331" s="409"/>
      <c r="CY331" s="398">
        <f>IF(CX331=0,0,IF(LEN(CO331)=11,_xlfn.XLOOKUP(CO331,'Dispensed Ink Rates'!C:C,'Dispensed Ink Rates'!CS:CS),VLOOKUP(CO331,'Jan-2026 rates'!$E:$F,2,0)))</f>
        <v>0</v>
      </c>
      <c r="CZ331" s="409"/>
      <c r="DA331" s="398">
        <f>IF(CZ331=0,0,IF(LEN(CP331)=11,_xlfn.XLOOKUP(CP331,'Dispensed Ink Rates'!C:C,'Dispensed Ink Rates'!CS:CS),VLOOKUP(CP331,'Jan-2026 rates'!$E:$F,2,0)))</f>
        <v>0</v>
      </c>
      <c r="DB331" s="409"/>
      <c r="DC331" s="398">
        <f>IF(DB331=0,0,IF(LEN(CQ331)=11,_xlfn.XLOOKUP(CQ331,'Dispensed Ink Rates'!C:C,'Dispensed Ink Rates'!CS:CS),VLOOKUP(CQ331,'Jan-2026 rates'!$E:$F,2,0)))</f>
        <v>0</v>
      </c>
      <c r="DD331" s="409"/>
      <c r="DE331" s="398">
        <f>IF(DD331=0,0,IF(LEN(CR331)=11,_xlfn.XLOOKUP(CR331,'Dispensed Ink Rates'!C:C,'Dispensed Ink Rates'!CS:CS),VLOOKUP(CR331,'Jan-2026 rates'!$E:$F,2,0)))</f>
        <v>0</v>
      </c>
      <c r="DF331" s="409"/>
      <c r="DG331" s="398">
        <f>IF(DF331=0,0,IF(LEN(CS331)=11,_xlfn.XLOOKUP(CS331,'Dispensed Ink Rates'!C:C,'Dispensed Ink Rates'!CS:CS),VLOOKUP(CS331,'Jan-2026 rates'!$E:$F,2,0)))</f>
        <v>0</v>
      </c>
      <c r="DH331" s="409"/>
      <c r="DI331" s="398">
        <f>IF(DH331=0,0,IF(LEN(CT331)=11,_xlfn.XLOOKUP(CT331,'Dispensed Ink Rates'!C:C,'Dispensed Ink Rates'!CS:CS),VLOOKUP(CT331,'Jan-2026 rates'!$E:$F,2,0)))</f>
        <v>0</v>
      </c>
      <c r="DJ331" s="409"/>
      <c r="DK331" s="398">
        <f>IF(DJ331=0,0,IF(LEN(CU331)=11,_xlfn.XLOOKUP(CU331,'Dispensed Ink Rates'!C:C,'Dispensed Ink Rates'!CS:CS),VLOOKUP(CU331,'Jan-2026 rates'!$E:$F,2,0)))</f>
        <v>0</v>
      </c>
      <c r="DL331" s="409" t="s">
        <v>1881</v>
      </c>
      <c r="DM331" s="409">
        <v>20</v>
      </c>
      <c r="DN331" s="411">
        <f t="shared" si="218"/>
        <v>0</v>
      </c>
      <c r="DO331" s="411">
        <f t="shared" si="219"/>
        <v>4</v>
      </c>
      <c r="DP331" s="410">
        <f t="shared" si="220"/>
        <v>0</v>
      </c>
      <c r="DQ331" s="405" t="s">
        <v>545</v>
      </c>
      <c r="DR331" s="409" t="s">
        <v>4592</v>
      </c>
      <c r="DS331" s="420" t="str">
        <f t="shared" si="186"/>
        <v>ToyoLi - YELLOW</v>
      </c>
      <c r="DT331" s="409">
        <v>24</v>
      </c>
      <c r="DU331" s="411">
        <f>IF(DT331=0,0,IF($LB331=70%,VLOOKUP($DS331,'Jan-2026 rates'!$L:$R,4,0),IF($LB331=65%,VLOOKUP($DS331,'Jan-2026 rates'!$L:$R,4,0),IF($LB331=40%,VLOOKUP($DS331,'Jan-2026 rates'!$L:$R,5,0),IF($LB331=30%,VLOOKUP($DS331,'Jan-2026 rates'!$L:$R,6,0),IF($LB331=100%,VLOOKUP($DS331,'Jan-2026 rates'!$L:$R,7,0),IF($LB331=60%,VLOOKUP($DS331,'Jan-2026 rates'!$L:$S,8,0),IF($LB331=80%,VLOOKUP($DS331,'Jan-2026 rates'!L:T,9,0),0))))))))</f>
        <v>0</v>
      </c>
      <c r="DV331" s="412" t="s">
        <v>4593</v>
      </c>
      <c r="DW331" s="409">
        <v>5</v>
      </c>
      <c r="DX331" s="411">
        <f>IF(DW331=0,0,IF($LB331=70%,VLOOKUP($DS331,'Jan-2026 rates'!$L:$R,4,0),IF($LB331=65%,VLOOKUP($DS331,'Jan-2026 rates'!$L:$R,4,0),IF($LB331=40%,VLOOKUP($DS331,'Jan-2026 rates'!$L:$R,5,0),IF($LB331=30%,VLOOKUP($DS331,'Jan-2026 rates'!$L:$R,6,0),IF($LB331=100%,VLOOKUP($DS331,'Jan-2026 rates'!$L:$R,7,0),IF($LB331=60%,VLOOKUP($DS331,'Jan-2026 rates'!$L:$S,8,0),IF($LB331=80%,VLOOKUP($DS331,'Jan-2026 rates'!L:T,9,0),0))))))))</f>
        <v>0</v>
      </c>
      <c r="DY331" s="413" t="s">
        <v>1247</v>
      </c>
      <c r="DZ331" s="413" t="s">
        <v>1252</v>
      </c>
      <c r="EA331" s="412" t="s">
        <v>1248</v>
      </c>
      <c r="EB331" s="412"/>
      <c r="EC331" s="412"/>
      <c r="ED331" s="412"/>
      <c r="EE331" s="412"/>
      <c r="EF331" s="412"/>
      <c r="EG331" s="409">
        <v>20</v>
      </c>
      <c r="EH331" s="398">
        <f>IF(EG331=0,0,IF(LEN(DY331)=11,_xlfn.XLOOKUP(DY331,'Dispensed Ink Rates'!C:C,'Dispensed Ink Rates'!CS:CS),VLOOKUP(DY331,'Jan-2026 rates'!$E:$F,2,0)))</f>
        <v>0</v>
      </c>
      <c r="EI331" s="409">
        <v>0.3</v>
      </c>
      <c r="EJ331" s="398">
        <f>IF(EI331=0,0,IF(LEN(DZ331)=11,_xlfn.XLOOKUP(DZ331,'Dispensed Ink Rates'!C:C,'Dispensed Ink Rates'!CS:CS),VLOOKUP(DZ331,'Jan-2026 rates'!$E:$F,2,0)))</f>
        <v>0</v>
      </c>
      <c r="EK331" s="409">
        <v>8</v>
      </c>
      <c r="EL331" s="398">
        <f>IF(EK331=0,0,IF(LEN(EA331)=11,_xlfn.XLOOKUP(EA331,'Dispensed Ink Rates'!C:C,'Dispensed Ink Rates'!CS:CS),VLOOKUP(EA331,'Jan-2026 rates'!$E:$F,2,0)))</f>
        <v>0</v>
      </c>
      <c r="EM331" s="409"/>
      <c r="EN331" s="398">
        <f>IF(EM331=0,0,IF(LEN(EB331)=11,_xlfn.XLOOKUP(EB331,'Dispensed Ink Rates'!C:C,'Dispensed Ink Rates'!CS:CS),VLOOKUP(EB331,'Jan-2026 rates'!$E:$F,2,0)))</f>
        <v>0</v>
      </c>
      <c r="EO331" s="409"/>
      <c r="EP331" s="398">
        <f>IF(EO331=0,0,IF(LEN(EC331)=11,_xlfn.XLOOKUP(EC331,'Dispensed Ink Rates'!C:C,'Dispensed Ink Rates'!CS:CS),VLOOKUP(EC331,'Jan-2026 rates'!$E:$F,2,0)))</f>
        <v>0</v>
      </c>
      <c r="EQ331" s="409"/>
      <c r="ER331" s="398">
        <f>IF(EQ331=0,0,IF(LEN(ED331)=11,_xlfn.XLOOKUP(ED331,'Dispensed Ink Rates'!C:C,'Dispensed Ink Rates'!CS:CS),VLOOKUP(ED331,'Jan-2026 rates'!$E:$F,2,0)))</f>
        <v>0</v>
      </c>
      <c r="ES331" s="409"/>
      <c r="ET331" s="398">
        <f>IF(ES331=0,0,IF(LEN(EE331)=11,_xlfn.XLOOKUP(EE331,'Dispensed Ink Rates'!C:C,'Dispensed Ink Rates'!CS:CS),VLOOKUP(EE331,'Jan-2026 rates'!$E:$F,2,0)))</f>
        <v>0</v>
      </c>
      <c r="EU331" s="409"/>
      <c r="EV331" s="398">
        <f>IF(EU331=0,0,IF(LEN(EF331)=11,_xlfn.XLOOKUP(EF331,'Dispensed Ink Rates'!C:C,'Dispensed Ink Rates'!CS:CS),VLOOKUP(EF331,'Jan-2026 rates'!$E:$F,2,0)))</f>
        <v>0</v>
      </c>
      <c r="EW331" s="409" t="s">
        <v>1881</v>
      </c>
      <c r="EX331" s="409">
        <v>21</v>
      </c>
      <c r="EY331" s="411">
        <f t="shared" si="221"/>
        <v>0</v>
      </c>
      <c r="EZ331" s="411">
        <f t="shared" si="222"/>
        <v>61.851724137931029</v>
      </c>
      <c r="FA331" s="410">
        <f t="shared" si="223"/>
        <v>0</v>
      </c>
      <c r="FB331" s="405" t="s">
        <v>855</v>
      </c>
      <c r="FC331" s="409" t="s">
        <v>4594</v>
      </c>
      <c r="FD331" s="420" t="str">
        <f t="shared" si="187"/>
        <v>ToyoLi - CYAN</v>
      </c>
      <c r="FE331" s="409">
        <v>30</v>
      </c>
      <c r="FF331" s="411">
        <f>IF(FE331=0,0,IF($LB331=70%,VLOOKUP($FD331,'Jan-2026 rates'!$L:$R,4,0),IF($LB331=65%,VLOOKUP($FD331,'Jan-2026 rates'!$L:$R,4,0),IF($LB331=40%,VLOOKUP($FD331,'Jan-2026 rates'!$L:$R,5,0),IF($LB331=30%,VLOOKUP($FD331,'Jan-2026 rates'!$L:$R,6,0),IF($LB331=100%,VLOOKUP($FD331,'Jan-2026 rates'!$L:$R,7,0),IF($LB331=60%,VLOOKUP($FD331,'Jan-2026 rates'!$L:$S,8,0),IF($LB331=80%,VLOOKUP($FD331,'Jan-2026 rates'!L:T,9,0),0))))))))</f>
        <v>0</v>
      </c>
      <c r="FG331" s="412"/>
      <c r="FH331" s="409"/>
      <c r="FI331" s="411">
        <f>IF(FH331=0,0,IF($LB331=70%,VLOOKUP($FD331,'Jan-2026 rates'!$L:$R,4,0),IF($LB331=65%,VLOOKUP($FD331,'Jan-2026 rates'!$L:$R,4,0),IF($LB331=40%,VLOOKUP($FD331,'Jan-2026 rates'!$L:$R,5,0),IF($LB331=30%,VLOOKUP($FD331,'Jan-2026 rates'!$L:$R,6,0),IF($LB331=100%,VLOOKUP($FD331,'Jan-2026 rates'!$L:$R,7,0),IF($LB331=60%,VLOOKUP($FD331,'Jan-2026 rates'!$L:$S,8,0),IF($LB331=80%,VLOOKUP($FD331,'Jan-2026 rates'!L:T,9,0),0))))))))</f>
        <v>0</v>
      </c>
      <c r="FJ331" s="413" t="s">
        <v>1250</v>
      </c>
      <c r="FK331" s="413" t="s">
        <v>1921</v>
      </c>
      <c r="FL331" s="413"/>
      <c r="FM331" s="412"/>
      <c r="FN331" s="412"/>
      <c r="FO331" s="412"/>
      <c r="FP331" s="412"/>
      <c r="FQ331" s="412"/>
      <c r="FR331" s="409">
        <f>20+15</f>
        <v>35</v>
      </c>
      <c r="FS331" s="398">
        <f>IF(FR331=0,0,IF(LEN(FJ331)=11,_xlfn.XLOOKUP(FJ331,'Dispensed Ink Rates'!C:C,'Dispensed Ink Rates'!CS:CS),VLOOKUP(FJ331,'Jan-2026 rates'!$E:$F,2,0)))</f>
        <v>0</v>
      </c>
      <c r="FT331" s="409">
        <v>10</v>
      </c>
      <c r="FU331" s="398">
        <f>IF(FT331=0,0,IF(LEN(FK331)=11,_xlfn.XLOOKUP(FK331,'Dispensed Ink Rates'!C:C,'Dispensed Ink Rates'!CS:CS),VLOOKUP(FK331,'Jan-2026 rates'!$E:$F,2,0)))</f>
        <v>0</v>
      </c>
      <c r="FV331" s="409"/>
      <c r="FW331" s="398">
        <f>IF(FV331=0,0,IF(LEN(FL331)=11,_xlfn.XLOOKUP(FL331,'Dispensed Ink Rates'!C:C,'Dispensed Ink Rates'!CS:CS),VLOOKUP(FL331,'Jan-2026 rates'!$E:$F,2,0)))</f>
        <v>0</v>
      </c>
      <c r="FX331" s="409"/>
      <c r="FY331" s="398">
        <f>IF(FX331=0,0,IF(LEN(FM331)=11,_xlfn.XLOOKUP(FM331,'Dispensed Ink Rates'!C:C,'Dispensed Ink Rates'!CS:CS),VLOOKUP(FM331,'Jan-2026 rates'!$E:$F,2,0)))</f>
        <v>0</v>
      </c>
      <c r="FZ331" s="409"/>
      <c r="GA331" s="398">
        <f>IF(FZ331=0,0,IF(LEN(FN331)=11,_xlfn.XLOOKUP(FN331,'Dispensed Ink Rates'!C:C,'Dispensed Ink Rates'!CS:CS),VLOOKUP(FN331,'Jan-2026 rates'!$E:$F,2,0)))</f>
        <v>0</v>
      </c>
      <c r="GB331" s="409"/>
      <c r="GC331" s="398">
        <f>IF(GB331=0,0,IF(LEN(FO331)=11,_xlfn.XLOOKUP(FO331,'Dispensed Ink Rates'!C:C,'Dispensed Ink Rates'!CS:CS),VLOOKUP(FO331,'Jan-2026 rates'!$E:$F,2,0)))</f>
        <v>0</v>
      </c>
      <c r="GD331" s="409"/>
      <c r="GE331" s="398">
        <f>IF(GD331=0,0,IF(LEN(FP331)=11,_xlfn.XLOOKUP(FP331,'Dispensed Ink Rates'!C:C,'Dispensed Ink Rates'!CS:CS),VLOOKUP(FP331,'Jan-2026 rates'!$E:$F,2,0)))</f>
        <v>0</v>
      </c>
      <c r="GF331" s="409"/>
      <c r="GG331" s="398">
        <f>IF(GF331=0,0,IF(LEN(FQ331)=11,_xlfn.XLOOKUP(FQ331,'Dispensed Ink Rates'!C:C,'Dispensed Ink Rates'!CS:CS),VLOOKUP(FQ331,'Jan-2026 rates'!$E:$F,2,0)))</f>
        <v>0</v>
      </c>
      <c r="GH331" s="409" t="s">
        <v>1881</v>
      </c>
      <c r="GI331" s="409">
        <f>40+25</f>
        <v>65</v>
      </c>
      <c r="GJ331" s="411">
        <f t="shared" si="224"/>
        <v>0</v>
      </c>
      <c r="GK331" s="411">
        <f t="shared" si="225"/>
        <v>52.58620689655173</v>
      </c>
      <c r="GL331" s="410">
        <f t="shared" si="226"/>
        <v>0</v>
      </c>
      <c r="GM331" s="405" t="s">
        <v>544</v>
      </c>
      <c r="GN331" s="409" t="s">
        <v>4595</v>
      </c>
      <c r="GO331" s="420" t="str">
        <f t="shared" si="188"/>
        <v>ToyoLi - MAGENTA</v>
      </c>
      <c r="GP331" s="409">
        <v>26</v>
      </c>
      <c r="GQ331" s="411">
        <f>IF(GP331=0,0,IF($LB331=70%,VLOOKUP($GO331,'Jan-2026 rates'!$L:$R,4,0),IF($LB331=65%,VLOOKUP($GO331,'Jan-2026 rates'!$L:$R,4,0),IF($LB331=40%,VLOOKUP($GO331,'Jan-2026 rates'!$L:$R,5,0),IF($LB331=30%,VLOOKUP($GO331,'Jan-2026 rates'!$L:$R,6,0),IF($LB331=100%,VLOOKUP($GO331,'Jan-2026 rates'!$L:$R,7,0),IF($LB331=60%,VLOOKUP($GO331,'Jan-2026 rates'!$L:$S,8,0),IF($LB331=80%,VLOOKUP($GO331,'Jan-2026 rates'!L:T,9,0),0))))))))</f>
        <v>0</v>
      </c>
      <c r="GR331" s="412"/>
      <c r="GS331" s="409"/>
      <c r="GT331" s="411">
        <f>IF(GS331=0,0,IF($LB331=70%,VLOOKUP($GO331,'Jan-2026 rates'!$L:$R,4,0),IF($LB331=65%,VLOOKUP($GO331,'Jan-2026 rates'!$L:$R,4,0),IF($LB331=40%,VLOOKUP($GO331,'Jan-2026 rates'!$L:$R,5,0),IF($LB331=30%,VLOOKUP($GO331,'Jan-2026 rates'!$L:$R,6,0),IF($LB331=100%,VLOOKUP($GO331,'Jan-2026 rates'!$L:$R,7,0),IF($LB331=60%,VLOOKUP($GO331,'Jan-2026 rates'!$L:$S,8,0),IF($LB331=80%,VLOOKUP($GO331,'Jan-2026 rates'!L:T,9,0),0))))))))</f>
        <v>0</v>
      </c>
      <c r="GU331" s="413" t="s">
        <v>1246</v>
      </c>
      <c r="GV331" s="413" t="s">
        <v>1921</v>
      </c>
      <c r="GW331" s="412"/>
      <c r="GX331" s="412"/>
      <c r="GY331" s="412"/>
      <c r="GZ331" s="412"/>
      <c r="HA331" s="412"/>
      <c r="HB331" s="412"/>
      <c r="HC331" s="409">
        <v>5</v>
      </c>
      <c r="HD331" s="398">
        <f>IF(HC331=0,0,IF(LEN(GU331)=11,_xlfn.XLOOKUP(GU331,'Dispensed Ink Rates'!C:C,'Dispensed Ink Rates'!CS:CS),VLOOKUP(GU331,'Jan-2026 rates'!$E:$F,2,0)))</f>
        <v>0</v>
      </c>
      <c r="HE331" s="409">
        <v>3</v>
      </c>
      <c r="HF331" s="398">
        <f>IF(HE331=0,0,IF(LEN(GV331)=11,_xlfn.XLOOKUP(GV331,'Dispensed Ink Rates'!C:C,'Dispensed Ink Rates'!CS:CS),VLOOKUP(GV331,'Jan-2026 rates'!$E:$F,2,0)))</f>
        <v>0</v>
      </c>
      <c r="HG331" s="409"/>
      <c r="HH331" s="398">
        <f>IF(HG331=0,0,IF(LEN(GW331)=11,_xlfn.XLOOKUP(GW331,'Dispensed Ink Rates'!C:C,'Dispensed Ink Rates'!CS:CS),VLOOKUP(GW331,'Jan-2026 rates'!$E:$F,2,0)))</f>
        <v>0</v>
      </c>
      <c r="HI331" s="409"/>
      <c r="HJ331" s="398">
        <f>IF(HI331=0,0,IF(LEN(GX331)=11,_xlfn.XLOOKUP(GX331,'Dispensed Ink Rates'!C:C,'Dispensed Ink Rates'!CS:CS),VLOOKUP(GX331,'Jan-2026 rates'!$E:$F,2,0)))</f>
        <v>0</v>
      </c>
      <c r="HK331" s="409"/>
      <c r="HL331" s="398">
        <f>IF(HK331=0,0,IF(LEN(GY331)=11,_xlfn.XLOOKUP(GY331,'Dispensed Ink Rates'!C:C,'Dispensed Ink Rates'!CS:CS),VLOOKUP(GY331,'Jan-2026 rates'!$E:$F,2,0)))</f>
        <v>0</v>
      </c>
      <c r="HM331" s="409"/>
      <c r="HN331" s="398">
        <f>IF(HM331=0,0,IF(LEN(GZ331)=11,_xlfn.XLOOKUP(GZ331,'Dispensed Ink Rates'!C:C,'Dispensed Ink Rates'!CS:CS),VLOOKUP(GZ331,'Jan-2026 rates'!$E:$F,2,0)))</f>
        <v>0</v>
      </c>
      <c r="HO331" s="409"/>
      <c r="HP331" s="398">
        <f>IF(HO331=0,0,IF(LEN(HA331)=11,_xlfn.XLOOKUP(HA331,'Dispensed Ink Rates'!C:C,'Dispensed Ink Rates'!CS:CS),VLOOKUP(HA331,'Jan-2026 rates'!$E:$F,2,0)))</f>
        <v>0</v>
      </c>
      <c r="HQ331" s="409"/>
      <c r="HR331" s="398">
        <f>IF(HQ331=0,0,IF(LEN(HB331)=11,_xlfn.XLOOKUP(HB331,'Dispensed Ink Rates'!C:C,'Dispensed Ink Rates'!CS:CS),VLOOKUP(HB331,'Jan-2026 rates'!$E:$F,2,0)))</f>
        <v>0</v>
      </c>
      <c r="HS331" s="409" t="s">
        <v>1881</v>
      </c>
      <c r="HT331" s="409">
        <v>24</v>
      </c>
      <c r="HU331" s="411">
        <f t="shared" si="227"/>
        <v>0</v>
      </c>
      <c r="HV331" s="411">
        <f t="shared" si="228"/>
        <v>20.646551724137936</v>
      </c>
      <c r="HW331" s="414">
        <f t="shared" si="229"/>
        <v>0</v>
      </c>
      <c r="HX331" s="405" t="s">
        <v>545</v>
      </c>
      <c r="HY331" s="409" t="s">
        <v>4596</v>
      </c>
      <c r="HZ331" s="420" t="str">
        <f t="shared" si="189"/>
        <v>ToyoLi - YELLOW</v>
      </c>
      <c r="IA331" s="409">
        <v>25</v>
      </c>
      <c r="IB331" s="411">
        <f>IF(IA331=0,0,IF($LB331=70%,VLOOKUP($HZ331,'Jan-2026 rates'!$L:$R,4,0),IF($LB331=65%,VLOOKUP($HZ331,'Jan-2026 rates'!$L:$R,4,0),IF($LB331=40%,VLOOKUP($HZ331,'Jan-2026 rates'!$L:$R,5,0),IF($LB331=30%,VLOOKUP($HZ331,'Jan-2026 rates'!$L:$R,6,0),IF($LB331=100%,VLOOKUP($HZ331,'Jan-2026 rates'!$L:$R,7,0),IF($LB331=60%,VLOOKUP($HZ331,'Jan-2026 rates'!$L:$S,8,0),IF($LB331=80%,VLOOKUP($HZ331,'Jan-2026 rates'!L:T,9,0),0))))))))</f>
        <v>0</v>
      </c>
      <c r="IC331" s="412"/>
      <c r="ID331" s="409"/>
      <c r="IE331" s="411">
        <f>IF(ID331=0,0,IF($LB331=70%,VLOOKUP($HZ331,'Jan-2026 rates'!$L:$R,4,0),IF($LB331=65%,VLOOKUP($HZ331,'Jan-2026 rates'!$L:$R,4,0),IF($LB331=40%,VLOOKUP($HZ331,'Jan-2026 rates'!$L:$R,5,0),IF($LB331=30%,VLOOKUP($HZ331,'Jan-2026 rates'!$L:$R,6,0),IF($LB331=100%,VLOOKUP($HZ331,'Jan-2026 rates'!$L:$R,7,0),IF($LB331=60%,VLOOKUP($HZ331,'Jan-2026 rates'!$L:$S,8,0),IF($LB331=80%,VLOOKUP($HZ331,'Jan-2026 rates'!L:T,9,0),0))))))))</f>
        <v>0</v>
      </c>
      <c r="IF331" s="412" t="s">
        <v>1247</v>
      </c>
      <c r="IG331" s="413" t="s">
        <v>1921</v>
      </c>
      <c r="IH331" s="412"/>
      <c r="II331" s="412"/>
      <c r="IJ331" s="412"/>
      <c r="IK331" s="412"/>
      <c r="IL331" s="412"/>
      <c r="IM331" s="412"/>
      <c r="IN331" s="409">
        <v>30</v>
      </c>
      <c r="IO331" s="398">
        <f>IF(IN331=0,0,IF(LEN(IF331)=11,_xlfn.XLOOKUP(IF331,'Dispensed Ink Rates'!C:C,'Dispensed Ink Rates'!CS:CS),VLOOKUP(IF331,'Jan-2026 rates'!$E:$F,2,0)))</f>
        <v>0</v>
      </c>
      <c r="IP331" s="409">
        <v>15</v>
      </c>
      <c r="IQ331" s="398">
        <f>IF(IP331=0,0,IF(LEN(IG331)=11,_xlfn.XLOOKUP(IG331,'Dispensed Ink Rates'!C:C,'Dispensed Ink Rates'!CS:CS),VLOOKUP(IG331,'Jan-2026 rates'!$E:$F,2,0)))</f>
        <v>0</v>
      </c>
      <c r="IR331" s="409"/>
      <c r="IS331" s="398">
        <f>IF(IR331=0,0,IF(LEN(IH331)=11,_xlfn.XLOOKUP(IH331,'Dispensed Ink Rates'!C:C,'Dispensed Ink Rates'!CS:CS),VLOOKUP(IH331,'Jan-2026 rates'!$E:$F,2,0)))</f>
        <v>0</v>
      </c>
      <c r="IT331" s="409"/>
      <c r="IU331" s="398">
        <f>IF(IT331=0,0,IF(LEN(II331)=11,_xlfn.XLOOKUP(II331,'Dispensed Ink Rates'!C:C,'Dispensed Ink Rates'!CS:CS),VLOOKUP(II331,'Jan-2026 rates'!$E:$F,2,0)))</f>
        <v>0</v>
      </c>
      <c r="IV331" s="409"/>
      <c r="IW331" s="398">
        <f>IF(IV331=0,0,IF(LEN(IJ331)=11,_xlfn.XLOOKUP(IJ331,'Dispensed Ink Rates'!C:C,'Dispensed Ink Rates'!CS:CS),VLOOKUP(IJ331,'Jan-2026 rates'!$E:$F,2,0)))</f>
        <v>0</v>
      </c>
      <c r="IX331" s="409"/>
      <c r="IY331" s="398">
        <f>IF(IX331=0,0,IF(LEN(IK331)=11,_xlfn.XLOOKUP(IK331,'Dispensed Ink Rates'!C:C,'Dispensed Ink Rates'!CS:CS),VLOOKUP(IK331,'Jan-2026 rates'!$E:$F,2,0)))</f>
        <v>0</v>
      </c>
      <c r="IZ331" s="409"/>
      <c r="JA331" s="398">
        <f>IF(IZ331=0,0,IF(LEN(IL331)=11,_xlfn.XLOOKUP(IL331,'Dispensed Ink Rates'!C:C,'Dispensed Ink Rates'!CS:CS),VLOOKUP(IL331,'Jan-2026 rates'!$E:$F,2,0)))</f>
        <v>0</v>
      </c>
      <c r="JB331" s="409"/>
      <c r="JC331" s="398">
        <f>IF(JB331=0,0,IF(LEN(IM331)=11,_xlfn.XLOOKUP(IM331,'Dispensed Ink Rates'!C:C,'Dispensed Ink Rates'!CS:CS),VLOOKUP(IM331,'Jan-2026 rates'!$E:$F,2,0)))</f>
        <v>0</v>
      </c>
      <c r="JD331" s="409" t="s">
        <v>1881</v>
      </c>
      <c r="JE331" s="409">
        <v>25</v>
      </c>
      <c r="JF331" s="411">
        <f t="shared" si="230"/>
        <v>0</v>
      </c>
      <c r="JG331" s="411">
        <f t="shared" si="231"/>
        <v>98.232758620689651</v>
      </c>
      <c r="JH331" s="410">
        <f t="shared" si="232"/>
        <v>0</v>
      </c>
      <c r="JI331" s="405" t="s">
        <v>856</v>
      </c>
      <c r="JJ331" s="409" t="s">
        <v>4597</v>
      </c>
      <c r="JK331" s="420" t="str">
        <f t="shared" si="190"/>
        <v>ToyoLi - WHITE</v>
      </c>
      <c r="JL331" s="409">
        <v>40</v>
      </c>
      <c r="JM331" s="411">
        <f>IF(JL331=0,0,IF($LB331=70%,VLOOKUP($JK331,'Jan-2026 rates'!$L:$R,4,0),IF($LB331=65%,VLOOKUP($JK331,'Jan-2026 rates'!$L:$R,4,0),IF($LB331=40%,VLOOKUP($JK331,'Jan-2026 rates'!$L:$R,5,0),IF($LB331=30%,VLOOKUP($JK331,'Jan-2026 rates'!$L:$R,6,0),IF($LB331=100%,VLOOKUP($JK331,'Jan-2026 rates'!$L:$R,7,0),IF($LB331=60%,VLOOKUP($JK331,'Jan-2026 rates'!$L:$S,8,0),IF($LB331=80%,VLOOKUP($JK331,'Jan-2026 rates'!L:T,9,0),0))))))))</f>
        <v>0</v>
      </c>
      <c r="JN331" s="412"/>
      <c r="JO331" s="409"/>
      <c r="JP331" s="411">
        <f>IF(JO331=0,0,IF($LB331=70%,VLOOKUP($JK331,'Jan-2026 rates'!$L:$R,4,0),IF($LB331=65%,VLOOKUP($JK331,'Jan-2026 rates'!$L:$R,4,0),IF($LB331=40%,VLOOKUP($JK331,'Jan-2026 rates'!$L:$R,5,0),IF($LB331=30%,VLOOKUP($JK331,'Jan-2026 rates'!$L:$R,6,0),IF($LB331=100%,VLOOKUP($JK331,'Jan-2026 rates'!$L:$R,7,0),IF($LB331=60%,VLOOKUP($JK331,'Jan-2026 rates'!$L:$S,8,0),IF($LB331=80%,VLOOKUP($JK331,'Jan-2026 rates'!L:T,9,0),0))))))))</f>
        <v>0</v>
      </c>
      <c r="JQ331" s="413" t="s">
        <v>1249</v>
      </c>
      <c r="JR331" s="412" t="s">
        <v>1122</v>
      </c>
      <c r="JS331" s="413"/>
      <c r="JT331" s="413"/>
      <c r="JU331" s="412"/>
      <c r="JV331" s="412"/>
      <c r="JW331" s="412"/>
      <c r="JX331" s="412"/>
      <c r="JY331" s="409">
        <v>80</v>
      </c>
      <c r="JZ331" s="398">
        <f>IF(JY331=0,0,IF(LEN(JQ331)=11,_xlfn.XLOOKUP(JQ331,'Dispensed Ink Rates'!C:C,'Dispensed Ink Rates'!CS:CS),VLOOKUP(JQ331,'Jan-2026 rates'!$E:$F,2,0)))</f>
        <v>0</v>
      </c>
      <c r="KA331" s="409">
        <v>9.4600000000000009</v>
      </c>
      <c r="KB331" s="398">
        <f>IF(KA331=0,0,IF(LEN(JR331)=11,_xlfn.XLOOKUP(JR331,'Dispensed Ink Rates'!C:C,'Dispensed Ink Rates'!CS:CS),VLOOKUP(JR331,'Jan-2026 rates'!$E:$F,2,0)))</f>
        <v>0</v>
      </c>
      <c r="KC331" s="409"/>
      <c r="KD331" s="398">
        <f>IF(KC331=0,0,IF(LEN(JS331)=11,_xlfn.XLOOKUP(JS331,'Dispensed Ink Rates'!C:C,'Dispensed Ink Rates'!CS:CS),VLOOKUP(JS331,'Jan-2026 rates'!$E:$F,2,0)))</f>
        <v>0</v>
      </c>
      <c r="KE331" s="409"/>
      <c r="KF331" s="398">
        <f>IF(KE331=0,0,IF(LEN(JT331)=11,_xlfn.XLOOKUP(JT331,'Dispensed Ink Rates'!C:C,'Dispensed Ink Rates'!CS:CS),VLOOKUP(JT331,'Jan-2026 rates'!$E:$F,2,0)))</f>
        <v>0</v>
      </c>
      <c r="KG331" s="409"/>
      <c r="KH331" s="398">
        <f>IF(KG331=0,0,IF(LEN(JU331)=11,_xlfn.XLOOKUP(JU331,'Dispensed Ink Rates'!C:C,'Dispensed Ink Rates'!CS:CS),VLOOKUP(JU331,'Jan-2026 rates'!$E:$F,2,0)))</f>
        <v>0</v>
      </c>
      <c r="KI331" s="409"/>
      <c r="KJ331" s="398">
        <f>IF(KI331=0,0,IF(LEN(JV331)=11,_xlfn.XLOOKUP(JV331,'Dispensed Ink Rates'!C:C,'Dispensed Ink Rates'!CS:CS),VLOOKUP(JV331,'Jan-2026 rates'!$E:$F,2,0)))</f>
        <v>0</v>
      </c>
      <c r="KK331" s="409"/>
      <c r="KL331" s="398">
        <f>IF(KK331=0,0,IF(LEN(JW331)=11,_xlfn.XLOOKUP(JW331,'Dispensed Ink Rates'!C:C,'Dispensed Ink Rates'!CS:CS),VLOOKUP(JW331,'Jan-2026 rates'!$E:$F,2,0)))</f>
        <v>0</v>
      </c>
      <c r="KM331" s="428"/>
      <c r="KN331" s="398">
        <f>IF(KM331=0,0,IF(LEN(JX331)=11,_xlfn.XLOOKUP(JX331,'Dispensed Ink Rates'!C:C,'Dispensed Ink Rates'!CS:CS),VLOOKUP(JX331,'Jan-2026 rates'!$E:$F,2,0)))</f>
        <v>0</v>
      </c>
      <c r="KO331" s="409" t="s">
        <v>1881</v>
      </c>
      <c r="KP331" s="409">
        <v>30</v>
      </c>
      <c r="KQ331" s="411">
        <f t="shared" si="233"/>
        <v>0</v>
      </c>
      <c r="KR331" s="411">
        <f t="shared" si="234"/>
        <v>205.92551724137931</v>
      </c>
      <c r="KS331" s="410">
        <f t="shared" si="235"/>
        <v>0</v>
      </c>
      <c r="KT331" s="409">
        <v>2</v>
      </c>
      <c r="KU331" s="409">
        <v>2</v>
      </c>
      <c r="KV331" s="409">
        <v>0</v>
      </c>
      <c r="KW331" s="409">
        <v>12</v>
      </c>
      <c r="KX331" s="409">
        <v>20</v>
      </c>
      <c r="KY331" s="409">
        <v>5</v>
      </c>
      <c r="KZ331" s="409">
        <v>25</v>
      </c>
      <c r="LA331" s="409">
        <v>50</v>
      </c>
      <c r="LB331" s="415">
        <v>0.3</v>
      </c>
      <c r="LC331" s="415"/>
      <c r="LD331" s="424"/>
      <c r="LE331" s="415">
        <v>0.5</v>
      </c>
      <c r="LF331" s="415">
        <v>0.2</v>
      </c>
      <c r="LG331" s="409">
        <v>0</v>
      </c>
      <c r="LH331" s="409">
        <f>50+47+45+75+30</f>
        <v>247</v>
      </c>
      <c r="LI331" s="409">
        <v>0</v>
      </c>
      <c r="LJ331" s="409">
        <v>0</v>
      </c>
      <c r="LK331" s="416">
        <f t="shared" si="191"/>
        <v>247</v>
      </c>
      <c r="LL331" s="416">
        <f t="shared" si="237"/>
        <v>247</v>
      </c>
      <c r="LM331" s="417">
        <f t="shared" si="193"/>
        <v>74.099999999999994</v>
      </c>
      <c r="LN331" s="417">
        <f>VLOOKUP($LM$8,'Jan-2026 rates'!$H:$I,2,0)</f>
        <v>0</v>
      </c>
      <c r="LO331" s="417">
        <f t="shared" si="194"/>
        <v>0</v>
      </c>
      <c r="LP331" s="417">
        <f>VLOOKUP($LO$8,'Jan-2026 rates'!$H:$I,2,0)</f>
        <v>0</v>
      </c>
      <c r="LQ331" s="417">
        <f t="shared" si="195"/>
        <v>0</v>
      </c>
      <c r="LR331" s="417">
        <f>VLOOKUP($LQ$8,'Jan-2026 rates'!$H:$I,2,0)</f>
        <v>0</v>
      </c>
      <c r="LS331" s="417">
        <f t="shared" si="196"/>
        <v>123.5</v>
      </c>
      <c r="LT331" s="417">
        <f>VLOOKUP($LS$8,'Jan-2026 rates'!$H:$I,2,0)</f>
        <v>0</v>
      </c>
      <c r="LU331" s="417">
        <f t="shared" si="197"/>
        <v>49.400000000000006</v>
      </c>
      <c r="LV331" s="417">
        <f>VLOOKUP($LU$8,'Jan-2026 rates'!$H:$I,2,0)</f>
        <v>0</v>
      </c>
      <c r="LW331" s="417">
        <f t="shared" si="198"/>
        <v>0</v>
      </c>
      <c r="LX331" s="417">
        <f t="shared" si="199"/>
        <v>0</v>
      </c>
      <c r="LY331" s="418">
        <f t="shared" si="200"/>
        <v>0</v>
      </c>
      <c r="LZ331" s="417"/>
      <c r="MA331" s="435">
        <f t="shared" si="201"/>
        <v>225.76000000000002</v>
      </c>
      <c r="MB331" s="282">
        <f t="shared" si="202"/>
        <v>459.76</v>
      </c>
      <c r="MC331" s="283" t="s">
        <v>2070</v>
      </c>
      <c r="MD331" s="284" t="str">
        <f t="shared" si="203"/>
        <v>ToyoLiToyoLiToyoLiToyoLiToyoLiToyoLiToyoLiToyoLi</v>
      </c>
      <c r="ME331" s="293" t="str">
        <f t="shared" si="204"/>
        <v>+</v>
      </c>
      <c r="MF331" s="293" t="str">
        <f t="shared" si="205"/>
        <v>+</v>
      </c>
      <c r="MG331" s="293" t="str">
        <f t="shared" si="206"/>
        <v>+</v>
      </c>
      <c r="MH331" s="293" t="str">
        <f t="shared" si="207"/>
        <v>+</v>
      </c>
      <c r="MI331" s="293" t="str">
        <f t="shared" si="208"/>
        <v>+</v>
      </c>
      <c r="MJ331" s="293" t="str">
        <f t="shared" si="209"/>
        <v>+</v>
      </c>
      <c r="MK331" s="293" t="str">
        <f t="shared" si="210"/>
        <v>+</v>
      </c>
      <c r="ML331" s="293" t="str">
        <f t="shared" si="211"/>
        <v>+</v>
      </c>
      <c r="MM331" s="3" t="b">
        <f t="array" ref="MM331">OR(ME331:ML331="-")</f>
        <v>0</v>
      </c>
      <c r="MO331" s="401">
        <f t="shared" si="238"/>
        <v>65.214184397163123</v>
      </c>
      <c r="MP331" s="286"/>
      <c r="MR331" s="402">
        <f t="shared" si="239"/>
        <v>1.1105314009661835E-2</v>
      </c>
      <c r="MS331" s="400">
        <f t="shared" si="240"/>
        <v>0</v>
      </c>
      <c r="MT331" s="285"/>
      <c r="NH331" s="361"/>
      <c r="NJ331" s="282"/>
    </row>
    <row r="332" spans="1:374" ht="16.5">
      <c r="A332" s="403">
        <v>46046</v>
      </c>
      <c r="B332" s="404" t="s">
        <v>1018</v>
      </c>
      <c r="C332" s="405" t="s">
        <v>4598</v>
      </c>
      <c r="D332" s="404" t="s">
        <v>2071</v>
      </c>
      <c r="E332" s="404">
        <v>710</v>
      </c>
      <c r="F332" s="407">
        <v>41700</v>
      </c>
      <c r="G332" s="407" t="s">
        <v>1016</v>
      </c>
      <c r="H332" s="408" t="s">
        <v>1017</v>
      </c>
      <c r="I332" s="409">
        <v>1.25</v>
      </c>
      <c r="J332" s="405" t="s">
        <v>543</v>
      </c>
      <c r="K332" s="404" t="s">
        <v>4599</v>
      </c>
      <c r="L332" s="419" t="str">
        <f t="shared" si="184"/>
        <v>ToyoLi - BLACK</v>
      </c>
      <c r="M332" s="404">
        <v>24</v>
      </c>
      <c r="N332" s="410">
        <f>IF(M332=0,0,IF($LB332=70%,VLOOKUP($L332,'Jan-2026 rates'!$L:$R,4,0),IF($LB332=65%,VLOOKUP($L332,'Jan-2026 rates'!$L:$R,4,0),IF($LB332=40%,VLOOKUP($L332,'Jan-2026 rates'!$L:$R,5,0),IF($LB332=30%,VLOOKUP($L332,'Jan-2026 rates'!$L:$R,6,0),IF($LB332=100%,VLOOKUP($L332,'Jan-2026 rates'!$L:$R,7,0),IF($LB332=60%,VLOOKUP($L332,'Jan-2026 rates'!$L:$S,8,0),IF($LB332=80%,VLOOKUP($L332,'Jan-2026 rates'!L:T,9,0),0))))))))</f>
        <v>0</v>
      </c>
      <c r="O332" s="406"/>
      <c r="P332" s="404"/>
      <c r="Q332" s="410">
        <f>IF(P332=0,0,IF($LB332=70%,VLOOKUP($L332,'Jan-2026 rates'!$L:$R,4,0),IF($LB332=65%,VLOOKUP($L332,'Jan-2026 rates'!$L:$R,4,0),IF($LB332=40%,VLOOKUP($L332,'Jan-2026 rates'!$L:$R,5,0),IF($LB332=30%,VLOOKUP($L332,'Jan-2026 rates'!$L:$R,6,0),IF($LB332=100%,VLOOKUP($L332,'Jan-2026 rates'!$L:$R,7,0),IF($LB332=60%,VLOOKUP($L332,'Jan-2026 rates'!$L:$S,8,0),IF($LB332=80%,VLOOKUP($L332,'Jan-2026 rates'!L:T,9,0),0))))))))</f>
        <v>0</v>
      </c>
      <c r="R332" s="406" t="s">
        <v>1252</v>
      </c>
      <c r="S332" s="406"/>
      <c r="T332" s="406"/>
      <c r="U332" s="406"/>
      <c r="V332" s="406"/>
      <c r="W332" s="406"/>
      <c r="X332" s="406"/>
      <c r="Y332" s="406"/>
      <c r="Z332" s="404">
        <v>3</v>
      </c>
      <c r="AA332" s="398">
        <f>IF(Z332=0,0,IF(LEN(R332)=11,_xlfn.XLOOKUP(R332,'Dispensed Ink Rates'!C:C,'Dispensed Ink Rates'!CS:CS),VLOOKUP(R332,'Jan-2026 rates'!$E:$F,2,0)))</f>
        <v>0</v>
      </c>
      <c r="AB332" s="404"/>
      <c r="AC332" s="398">
        <f>IF(AB332=0,0,IF(LEN(S332)=11,_xlfn.XLOOKUP(S332,'Dispensed Ink Rates'!C:C,'Dispensed Ink Rates'!CS:CS),VLOOKUP(S332,'Jan-2026 rates'!$E:$F,2,0)))</f>
        <v>0</v>
      </c>
      <c r="AD332" s="404"/>
      <c r="AE332" s="398">
        <f>IF(AD332=0,0,IF(LEN(T332)=11,_xlfn.XLOOKUP(T332,'Dispensed Ink Rates'!C:C,'Dispensed Ink Rates'!CS:CS),VLOOKUP(T332,'Jan-2026 rates'!$E:$F,2,0)))</f>
        <v>0</v>
      </c>
      <c r="AF332" s="404"/>
      <c r="AG332" s="398">
        <f>IF(AF332=0,0,IF(LEN(U332)=11,_xlfn.XLOOKUP(U332,'Dispensed Ink Rates'!C:C,'Dispensed Ink Rates'!CS:CS),VLOOKUP(U332,'Jan-2026 rates'!$E:$F,2,0)))</f>
        <v>0</v>
      </c>
      <c r="AH332" s="404"/>
      <c r="AI332" s="398">
        <f>IF(AH332=0,0,IF(LEN(V332)=11,_xlfn.XLOOKUP(V332,'Dispensed Ink Rates'!C:C,'Dispensed Ink Rates'!CS:CS),VLOOKUP(V332,'Jan-2026 rates'!$E:$F,2,0)))</f>
        <v>0</v>
      </c>
      <c r="AJ332" s="404"/>
      <c r="AK332" s="398">
        <f>IF(AJ332=0,0,IF(LEN(W332)=11,_xlfn.XLOOKUP(W332,'Dispensed Ink Rates'!C:C,'Dispensed Ink Rates'!CS:CS),VLOOKUP(W332,'Jan-2026 rates'!$E:$F,2,0)))</f>
        <v>0</v>
      </c>
      <c r="AL332" s="404"/>
      <c r="AM332" s="398">
        <f>IF(AL332=0,0,IF(LEN(X332)=11,_xlfn.XLOOKUP(X332,'Dispensed Ink Rates'!C:C,'Dispensed Ink Rates'!CS:CS),VLOOKUP(X332,'Jan-2026 rates'!$E:$F,2,0)))</f>
        <v>0</v>
      </c>
      <c r="AN332" s="404"/>
      <c r="AO332" s="398">
        <f>IF(AN332=0,0,IF(LEN(Y332)=11,_xlfn.XLOOKUP(Y332,'Dispensed Ink Rates'!C:C,'Dispensed Ink Rates'!CS:CS),VLOOKUP(Y332,'Jan-2026 rates'!$E:$F,2,0)))</f>
        <v>0</v>
      </c>
      <c r="AP332" s="409" t="s">
        <v>1881</v>
      </c>
      <c r="AQ332" s="409">
        <v>22</v>
      </c>
      <c r="AR332" s="410">
        <f t="shared" si="212"/>
        <v>0</v>
      </c>
      <c r="AS332" s="411">
        <f t="shared" si="213"/>
        <v>8.7368421052631575</v>
      </c>
      <c r="AT332" s="410">
        <f t="shared" si="214"/>
        <v>0</v>
      </c>
      <c r="AU332" s="405" t="s">
        <v>546</v>
      </c>
      <c r="AV332" s="409" t="s">
        <v>4599</v>
      </c>
      <c r="AW332" s="420" t="str">
        <f t="shared" si="236"/>
        <v>ToyoLi - REFLEX BLUE</v>
      </c>
      <c r="AX332" s="409">
        <v>23</v>
      </c>
      <c r="AY332" s="411">
        <f>IF(AX332=0,0,IF($LB332=70%,VLOOKUP($AW332,'Jan-2026 rates'!$L:$R,4,0),IF($LB332=65%,VLOOKUP($AW332,'Jan-2026 rates'!$L:$R,4,0),IF($LB332=40%,VLOOKUP($AW332,'Jan-2026 rates'!$L:$R,5,0),IF($LB332=30%,VLOOKUP($AW332,'Jan-2026 rates'!$L:$R,6,0),IF($LB332=100%,VLOOKUP($AW332,'Jan-2026 rates'!$L:$R,7,0),IF($LB332=60%,VLOOKUP($AW332,'Jan-2026 rates'!$L:$S,8,0),IF($LB332=80%,VLOOKUP($AW332,'Jan-2026 rates'!L:T,9,0),0))))))))</f>
        <v>0</v>
      </c>
      <c r="AZ332" s="412"/>
      <c r="BA332" s="409"/>
      <c r="BB332" s="411">
        <f>IF(BA332=0,0,IF($LB332=70%,VLOOKUP($AW332,'Jan-2026 rates'!$L:$R,4,0),IF($LB332=65%,VLOOKUP($AW332,'Jan-2026 rates'!$L:$R,4,0),IF($LB332=40%,VLOOKUP($AW332,'Jan-2026 rates'!$L:$R,5,0),IF($LB332=30%,VLOOKUP($AW332,'Jan-2026 rates'!$L:$R,6,0),IF($LB332=100%,VLOOKUP($AW332,'Jan-2026 rates'!$L:$R,7,0),IF($LB332=60%,VLOOKUP($AW332,'Jan-2026 rates'!$L:$S,8,0),IF($LB332=80%,VLOOKUP($AW332,'Jan-2026 rates'!L:T,9,0),0))))))))</f>
        <v>0</v>
      </c>
      <c r="BC332" s="413" t="s">
        <v>1921</v>
      </c>
      <c r="BD332" s="412"/>
      <c r="BE332" s="412"/>
      <c r="BF332" s="413"/>
      <c r="BG332" s="412"/>
      <c r="BH332" s="412"/>
      <c r="BI332" s="412"/>
      <c r="BJ332" s="412"/>
      <c r="BK332" s="409">
        <v>4</v>
      </c>
      <c r="BL332" s="398">
        <f>IF(BK332=0,0,IF(LEN(BC332)=11,_xlfn.XLOOKUP(BC332,'Dispensed Ink Rates'!C:C,'Dispensed Ink Rates'!CS:CS),VLOOKUP(BC332,'Jan-2026 rates'!$E:$F,2,0)))</f>
        <v>0</v>
      </c>
      <c r="BM332" s="409"/>
      <c r="BN332" s="398">
        <f>IF(BM332=0,0,IF(LEN(BD332)=11,_xlfn.XLOOKUP(BD332,'Dispensed Ink Rates'!C:C,'Dispensed Ink Rates'!CS:CS),VLOOKUP(BD332,'Jan-2026 rates'!$E:$F,2,0)))</f>
        <v>0</v>
      </c>
      <c r="BO332" s="409"/>
      <c r="BP332" s="398">
        <f>IF(BO332=0,0,IF(LEN(BE332)=11,_xlfn.XLOOKUP(BE332,'Dispensed Ink Rates'!C:C,'Dispensed Ink Rates'!CS:CS),VLOOKUP(BE332,'Jan-2026 rates'!$E:$F,2,0)))</f>
        <v>0</v>
      </c>
      <c r="BQ332" s="409"/>
      <c r="BR332" s="398">
        <f>IF(BQ332=0,0,IF(LEN(BF332)=11,_xlfn.XLOOKUP(BF332,'Dispensed Ink Rates'!C:C,'Dispensed Ink Rates'!CS:CS),VLOOKUP(BF332,'Jan-2026 rates'!$E:$F,2,0)))</f>
        <v>0</v>
      </c>
      <c r="BS332" s="409"/>
      <c r="BT332" s="398">
        <f>IF(BS332=0,0,IF(LEN(BG332)=11,_xlfn.XLOOKUP(BG332,'Dispensed Ink Rates'!C:C,'Dispensed Ink Rates'!CS:CS),VLOOKUP(BG332,'Jan-2026 rates'!$E:$F,2,0)))</f>
        <v>0</v>
      </c>
      <c r="BU332" s="409"/>
      <c r="BV332" s="398">
        <f>IF(BU332=0,0,IF(LEN(BH332)=11,_xlfn.XLOOKUP(BH332,'Dispensed Ink Rates'!C:C,'Dispensed Ink Rates'!CS:CS),VLOOKUP(BH332,'Jan-2026 rates'!$E:$F,2,0)))</f>
        <v>0</v>
      </c>
      <c r="BW332" s="409"/>
      <c r="BX332" s="398">
        <f>IF(BW332=0,0,IF(LEN(BI332)=11,_xlfn.XLOOKUP(BI332,'Dispensed Ink Rates'!C:C,'Dispensed Ink Rates'!CS:CS),VLOOKUP(BI332,'Jan-2026 rates'!$E:$F,2,0)))</f>
        <v>0</v>
      </c>
      <c r="BY332" s="409"/>
      <c r="BZ332" s="398">
        <f>IF(BY332=0,0,IF(LEN(BJ332)=11,_xlfn.XLOOKUP(BJ332,'Dispensed Ink Rates'!C:C,'Dispensed Ink Rates'!CS:CS),VLOOKUP(BJ332,'Jan-2026 rates'!$E:$F,2,0)))</f>
        <v>0</v>
      </c>
      <c r="CA332" s="409" t="s">
        <v>1881</v>
      </c>
      <c r="CB332" s="409">
        <f>15+16</f>
        <v>31</v>
      </c>
      <c r="CC332" s="411">
        <f t="shared" si="215"/>
        <v>0</v>
      </c>
      <c r="CD332" s="411">
        <f t="shared" si="216"/>
        <v>1.6052631578947398</v>
      </c>
      <c r="CE332" s="410">
        <f t="shared" si="217"/>
        <v>0</v>
      </c>
      <c r="CF332" s="404" t="s">
        <v>857</v>
      </c>
      <c r="CG332" s="409" t="s">
        <v>4600</v>
      </c>
      <c r="CH332" s="420" t="str">
        <f t="shared" si="185"/>
        <v>ToyoLi - RED</v>
      </c>
      <c r="CI332" s="409">
        <v>20</v>
      </c>
      <c r="CJ332" s="411">
        <f>IF(CI332=0,0,IF($LB332=70%,VLOOKUP($CH332,'Jan-2026 rates'!$L:$R,4,0),IF($LB332=65%,VLOOKUP($CH332,'Jan-2026 rates'!$L:$R,4,0),IF($LB332=40%,VLOOKUP($CH332,'Jan-2026 rates'!$L:$R,5,0),IF($LB332=30%,VLOOKUP($CH332,'Jan-2026 rates'!$L:$R,6,0),IF($LB332=100%,VLOOKUP($CH332,'Jan-2026 rates'!$L:$R,7,0),IF($LB332=60%,VLOOKUP($CH332,'Jan-2026 rates'!$L:$S,8,0),IF($LB332=80%,VLOOKUP($CH332,'Jan-2026 rates'!L:T,9,0),0))))))))</f>
        <v>0</v>
      </c>
      <c r="CK332" s="412" t="s">
        <v>4601</v>
      </c>
      <c r="CL332" s="409">
        <v>18</v>
      </c>
      <c r="CM332" s="411">
        <f>IF(CL332=0,0,IF($LB332=70%,VLOOKUP($CH332,'Jan-2026 rates'!$L:$R,4,0),IF($LB332=65%,VLOOKUP($CH332,'Jan-2026 rates'!$L:$R,4,0),IF($LB332=40%,VLOOKUP($CH332,'Jan-2026 rates'!$L:$R,5,0),IF($LB332=30%,VLOOKUP($CH332,'Jan-2026 rates'!$L:$R,6,0),IF($LB332=100%,VLOOKUP($CH332,'Jan-2026 rates'!$L:$R,7,0),IF($LB332=60%,VLOOKUP($CH332,'Jan-2026 rates'!$L:$S,8,0),IF($LB332=80%,VLOOKUP($CH332,'Jan-2026 rates'!L:T,9,0),0))))))))</f>
        <v>0</v>
      </c>
      <c r="CN332" s="426" t="s">
        <v>1248</v>
      </c>
      <c r="CO332" s="427"/>
      <c r="CP332" s="426"/>
      <c r="CQ332" s="426"/>
      <c r="CR332" s="428"/>
      <c r="CS332" s="428"/>
      <c r="CT332" s="428"/>
      <c r="CU332" s="428"/>
      <c r="CV332" s="409">
        <v>2</v>
      </c>
      <c r="CW332" s="398">
        <f>IF(CV332=0,0,IF(LEN(CN332)=11,_xlfn.XLOOKUP(CN332,'Dispensed Ink Rates'!C:C,'Dispensed Ink Rates'!CS:CS),VLOOKUP(CN332,'Jan-2026 rates'!$E:$F,2,0)))</f>
        <v>0</v>
      </c>
      <c r="CX332" s="409"/>
      <c r="CY332" s="398">
        <f>IF(CX332=0,0,IF(LEN(CO332)=11,_xlfn.XLOOKUP(CO332,'Dispensed Ink Rates'!C:C,'Dispensed Ink Rates'!CS:CS),VLOOKUP(CO332,'Jan-2026 rates'!$E:$F,2,0)))</f>
        <v>0</v>
      </c>
      <c r="CZ332" s="409"/>
      <c r="DA332" s="398">
        <f>IF(CZ332=0,0,IF(LEN(CP332)=11,_xlfn.XLOOKUP(CP332,'Dispensed Ink Rates'!C:C,'Dispensed Ink Rates'!CS:CS),VLOOKUP(CP332,'Jan-2026 rates'!$E:$F,2,0)))</f>
        <v>0</v>
      </c>
      <c r="DB332" s="409"/>
      <c r="DC332" s="398">
        <f>IF(DB332=0,0,IF(LEN(CQ332)=11,_xlfn.XLOOKUP(CQ332,'Dispensed Ink Rates'!C:C,'Dispensed Ink Rates'!CS:CS),VLOOKUP(CQ332,'Jan-2026 rates'!$E:$F,2,0)))</f>
        <v>0</v>
      </c>
      <c r="DD332" s="409"/>
      <c r="DE332" s="398">
        <f>IF(DD332=0,0,IF(LEN(CR332)=11,_xlfn.XLOOKUP(CR332,'Dispensed Ink Rates'!C:C,'Dispensed Ink Rates'!CS:CS),VLOOKUP(CR332,'Jan-2026 rates'!$E:$F,2,0)))</f>
        <v>0</v>
      </c>
      <c r="DF332" s="409"/>
      <c r="DG332" s="398">
        <f>IF(DF332=0,0,IF(LEN(CS332)=11,_xlfn.XLOOKUP(CS332,'Dispensed Ink Rates'!C:C,'Dispensed Ink Rates'!CS:CS),VLOOKUP(CS332,'Jan-2026 rates'!$E:$F,2,0)))</f>
        <v>0</v>
      </c>
      <c r="DH332" s="409"/>
      <c r="DI332" s="398">
        <f>IF(DH332=0,0,IF(LEN(CT332)=11,_xlfn.XLOOKUP(CT332,'Dispensed Ink Rates'!C:C,'Dispensed Ink Rates'!CS:CS),VLOOKUP(CT332,'Jan-2026 rates'!$E:$F,2,0)))</f>
        <v>0</v>
      </c>
      <c r="DJ332" s="409"/>
      <c r="DK332" s="398">
        <f>IF(DJ332=0,0,IF(LEN(CU332)=11,_xlfn.XLOOKUP(CU332,'Dispensed Ink Rates'!C:C,'Dispensed Ink Rates'!CS:CS),VLOOKUP(CU332,'Jan-2026 rates'!$E:$F,2,0)))</f>
        <v>0</v>
      </c>
      <c r="DL332" s="409" t="s">
        <v>1881</v>
      </c>
      <c r="DM332" s="409">
        <v>18</v>
      </c>
      <c r="DN332" s="411">
        <f t="shared" si="218"/>
        <v>0</v>
      </c>
      <c r="DO332" s="411">
        <f t="shared" si="219"/>
        <v>27.60526315789474</v>
      </c>
      <c r="DP332" s="410">
        <f t="shared" si="220"/>
        <v>0</v>
      </c>
      <c r="DQ332" s="405" t="s">
        <v>857</v>
      </c>
      <c r="DR332" s="409" t="s">
        <v>4602</v>
      </c>
      <c r="DS332" s="420" t="str">
        <f t="shared" si="186"/>
        <v>ToyoLi - RED</v>
      </c>
      <c r="DT332" s="409">
        <v>20</v>
      </c>
      <c r="DU332" s="411">
        <f>IF(DT332=0,0,IF($LB332=70%,VLOOKUP($DS332,'Jan-2026 rates'!$L:$R,4,0),IF($LB332=65%,VLOOKUP($DS332,'Jan-2026 rates'!$L:$R,4,0),IF($LB332=40%,VLOOKUP($DS332,'Jan-2026 rates'!$L:$R,5,0),IF($LB332=30%,VLOOKUP($DS332,'Jan-2026 rates'!$L:$R,6,0),IF($LB332=100%,VLOOKUP($DS332,'Jan-2026 rates'!$L:$R,7,0),IF($LB332=60%,VLOOKUP($DS332,'Jan-2026 rates'!$L:$S,8,0),IF($LB332=80%,VLOOKUP($DS332,'Jan-2026 rates'!L:T,9,0),0))))))))</f>
        <v>0</v>
      </c>
      <c r="DV332" s="412" t="s">
        <v>4585</v>
      </c>
      <c r="DW332" s="409">
        <v>22</v>
      </c>
      <c r="DX332" s="411">
        <f>IF(DW332=0,0,IF($LB332=70%,VLOOKUP($DS332,'Jan-2026 rates'!$L:$R,4,0),IF($LB332=65%,VLOOKUP($DS332,'Jan-2026 rates'!$L:$R,4,0),IF($LB332=40%,VLOOKUP($DS332,'Jan-2026 rates'!$L:$R,5,0),IF($LB332=30%,VLOOKUP($DS332,'Jan-2026 rates'!$L:$R,6,0),IF($LB332=100%,VLOOKUP($DS332,'Jan-2026 rates'!$L:$R,7,0),IF($LB332=60%,VLOOKUP($DS332,'Jan-2026 rates'!$L:$S,8,0),IF($LB332=80%,VLOOKUP($DS332,'Jan-2026 rates'!L:T,9,0),0))))))))</f>
        <v>0</v>
      </c>
      <c r="DY332" s="413" t="s">
        <v>1246</v>
      </c>
      <c r="DZ332" s="413"/>
      <c r="EA332" s="412"/>
      <c r="EB332" s="412"/>
      <c r="EC332" s="412"/>
      <c r="ED332" s="412"/>
      <c r="EE332" s="412"/>
      <c r="EF332" s="412"/>
      <c r="EG332" s="409">
        <v>30</v>
      </c>
      <c r="EH332" s="398">
        <f>IF(EG332=0,0,IF(LEN(DY332)=11,_xlfn.XLOOKUP(DY332,'Dispensed Ink Rates'!C:C,'Dispensed Ink Rates'!CS:CS),VLOOKUP(DY332,'Jan-2026 rates'!$E:$F,2,0)))</f>
        <v>0</v>
      </c>
      <c r="EI332" s="409"/>
      <c r="EJ332" s="398">
        <f>IF(EI332=0,0,IF(LEN(DZ332)=11,_xlfn.XLOOKUP(DZ332,'Dispensed Ink Rates'!C:C,'Dispensed Ink Rates'!CS:CS),VLOOKUP(DZ332,'Jan-2026 rates'!$E:$F,2,0)))</f>
        <v>0</v>
      </c>
      <c r="EK332" s="409"/>
      <c r="EL332" s="398">
        <f>IF(EK332=0,0,IF(LEN(EA332)=11,_xlfn.XLOOKUP(EA332,'Dispensed Ink Rates'!C:C,'Dispensed Ink Rates'!CS:CS),VLOOKUP(EA332,'Jan-2026 rates'!$E:$F,2,0)))</f>
        <v>0</v>
      </c>
      <c r="EM332" s="409"/>
      <c r="EN332" s="398">
        <f>IF(EM332=0,0,IF(LEN(EB332)=11,_xlfn.XLOOKUP(EB332,'Dispensed Ink Rates'!C:C,'Dispensed Ink Rates'!CS:CS),VLOOKUP(EB332,'Jan-2026 rates'!$E:$F,2,0)))</f>
        <v>0</v>
      </c>
      <c r="EO332" s="409"/>
      <c r="EP332" s="398">
        <f>IF(EO332=0,0,IF(LEN(EC332)=11,_xlfn.XLOOKUP(EC332,'Dispensed Ink Rates'!C:C,'Dispensed Ink Rates'!CS:CS),VLOOKUP(EC332,'Jan-2026 rates'!$E:$F,2,0)))</f>
        <v>0</v>
      </c>
      <c r="EQ332" s="409"/>
      <c r="ER332" s="398">
        <f>IF(EQ332=0,0,IF(LEN(ED332)=11,_xlfn.XLOOKUP(ED332,'Dispensed Ink Rates'!C:C,'Dispensed Ink Rates'!CS:CS),VLOOKUP(ED332,'Jan-2026 rates'!$E:$F,2,0)))</f>
        <v>0</v>
      </c>
      <c r="ES332" s="409"/>
      <c r="ET332" s="398">
        <f>IF(ES332=0,0,IF(LEN(EE332)=11,_xlfn.XLOOKUP(EE332,'Dispensed Ink Rates'!C:C,'Dispensed Ink Rates'!CS:CS),VLOOKUP(EE332,'Jan-2026 rates'!$E:$F,2,0)))</f>
        <v>0</v>
      </c>
      <c r="EU332" s="409"/>
      <c r="EV332" s="398">
        <f>IF(EU332=0,0,IF(LEN(EF332)=11,_xlfn.XLOOKUP(EF332,'Dispensed Ink Rates'!C:C,'Dispensed Ink Rates'!CS:CS),VLOOKUP(EF332,'Jan-2026 rates'!$E:$F,2,0)))</f>
        <v>0</v>
      </c>
      <c r="EW332" s="409" t="s">
        <v>1881</v>
      </c>
      <c r="EX332" s="409">
        <f>19+17</f>
        <v>36</v>
      </c>
      <c r="EY332" s="411">
        <f t="shared" si="221"/>
        <v>0</v>
      </c>
      <c r="EZ332" s="411">
        <f t="shared" si="222"/>
        <v>64.026315789473685</v>
      </c>
      <c r="FA332" s="410">
        <f t="shared" si="223"/>
        <v>0</v>
      </c>
      <c r="FB332" s="405" t="s">
        <v>855</v>
      </c>
      <c r="FC332" s="409" t="s">
        <v>4603</v>
      </c>
      <c r="FD332" s="420" t="str">
        <f t="shared" si="187"/>
        <v>ToyoLi - CYAN</v>
      </c>
      <c r="FE332" s="409">
        <v>25</v>
      </c>
      <c r="FF332" s="411">
        <f>IF(FE332=0,0,IF($LB332=70%,VLOOKUP($FD332,'Jan-2026 rates'!$L:$R,4,0),IF($LB332=65%,VLOOKUP($FD332,'Jan-2026 rates'!$L:$R,4,0),IF($LB332=40%,VLOOKUP($FD332,'Jan-2026 rates'!$L:$R,5,0),IF($LB332=30%,VLOOKUP($FD332,'Jan-2026 rates'!$L:$R,6,0),IF($LB332=100%,VLOOKUP($FD332,'Jan-2026 rates'!$L:$R,7,0),IF($LB332=60%,VLOOKUP($FD332,'Jan-2026 rates'!$L:$S,8,0),IF($LB332=80%,VLOOKUP($FD332,'Jan-2026 rates'!L:T,9,0),0))))))))</f>
        <v>0</v>
      </c>
      <c r="FG332" s="412"/>
      <c r="FH332" s="409"/>
      <c r="FI332" s="411">
        <f>IF(FH332=0,0,IF($LB332=70%,VLOOKUP($FD332,'Jan-2026 rates'!$L:$R,4,0),IF($LB332=65%,VLOOKUP($FD332,'Jan-2026 rates'!$L:$R,4,0),IF($LB332=40%,VLOOKUP($FD332,'Jan-2026 rates'!$L:$R,5,0),IF($LB332=30%,VLOOKUP($FD332,'Jan-2026 rates'!$L:$R,6,0),IF($LB332=100%,VLOOKUP($FD332,'Jan-2026 rates'!$L:$R,7,0),IF($LB332=60%,VLOOKUP($FD332,'Jan-2026 rates'!$L:$S,8,0),IF($LB332=80%,VLOOKUP($FD332,'Jan-2026 rates'!L:T,9,0),0))))))))</f>
        <v>0</v>
      </c>
      <c r="FJ332" s="413" t="s">
        <v>1921</v>
      </c>
      <c r="FK332" s="413"/>
      <c r="FL332" s="413"/>
      <c r="FM332" s="412"/>
      <c r="FN332" s="412"/>
      <c r="FO332" s="412"/>
      <c r="FP332" s="412"/>
      <c r="FQ332" s="412"/>
      <c r="FR332" s="409">
        <v>4</v>
      </c>
      <c r="FS332" s="398">
        <f>IF(FR332=0,0,IF(LEN(FJ332)=11,_xlfn.XLOOKUP(FJ332,'Dispensed Ink Rates'!C:C,'Dispensed Ink Rates'!CS:CS),VLOOKUP(FJ332,'Jan-2026 rates'!$E:$F,2,0)))</f>
        <v>0</v>
      </c>
      <c r="FT332" s="409"/>
      <c r="FU332" s="398">
        <f>IF(FT332=0,0,IF(LEN(FK332)=11,_xlfn.XLOOKUP(FK332,'Dispensed Ink Rates'!C:C,'Dispensed Ink Rates'!CS:CS),VLOOKUP(FK332,'Jan-2026 rates'!$E:$F,2,0)))</f>
        <v>0</v>
      </c>
      <c r="FV332" s="409"/>
      <c r="FW332" s="398">
        <f>IF(FV332=0,0,IF(LEN(FL332)=11,_xlfn.XLOOKUP(FL332,'Dispensed Ink Rates'!C:C,'Dispensed Ink Rates'!CS:CS),VLOOKUP(FL332,'Jan-2026 rates'!$E:$F,2,0)))</f>
        <v>0</v>
      </c>
      <c r="FX332" s="409"/>
      <c r="FY332" s="398">
        <f>IF(FX332=0,0,IF(LEN(FM332)=11,_xlfn.XLOOKUP(FM332,'Dispensed Ink Rates'!C:C,'Dispensed Ink Rates'!CS:CS),VLOOKUP(FM332,'Jan-2026 rates'!$E:$F,2,0)))</f>
        <v>0</v>
      </c>
      <c r="FZ332" s="409"/>
      <c r="GA332" s="398">
        <f>IF(FZ332=0,0,IF(LEN(FN332)=11,_xlfn.XLOOKUP(FN332,'Dispensed Ink Rates'!C:C,'Dispensed Ink Rates'!CS:CS),VLOOKUP(FN332,'Jan-2026 rates'!$E:$F,2,0)))</f>
        <v>0</v>
      </c>
      <c r="GB332" s="409"/>
      <c r="GC332" s="398">
        <f>IF(GB332=0,0,IF(LEN(FO332)=11,_xlfn.XLOOKUP(FO332,'Dispensed Ink Rates'!C:C,'Dispensed Ink Rates'!CS:CS),VLOOKUP(FO332,'Jan-2026 rates'!$E:$F,2,0)))</f>
        <v>0</v>
      </c>
      <c r="GD332" s="409"/>
      <c r="GE332" s="398">
        <f>IF(GD332=0,0,IF(LEN(FP332)=11,_xlfn.XLOOKUP(FP332,'Dispensed Ink Rates'!C:C,'Dispensed Ink Rates'!CS:CS),VLOOKUP(FP332,'Jan-2026 rates'!$E:$F,2,0)))</f>
        <v>0</v>
      </c>
      <c r="GF332" s="409"/>
      <c r="GG332" s="398">
        <f>IF(GF332=0,0,IF(LEN(FQ332)=11,_xlfn.XLOOKUP(FQ332,'Dispensed Ink Rates'!C:C,'Dispensed Ink Rates'!CS:CS),VLOOKUP(FQ332,'Jan-2026 rates'!$E:$F,2,0)))</f>
        <v>0</v>
      </c>
      <c r="GH332" s="409" t="s">
        <v>1881</v>
      </c>
      <c r="GI332" s="409">
        <f>16+18</f>
        <v>34</v>
      </c>
      <c r="GJ332" s="411">
        <f t="shared" si="224"/>
        <v>0</v>
      </c>
      <c r="GK332" s="411">
        <f t="shared" si="225"/>
        <v>0.60526315789473983</v>
      </c>
      <c r="GL332" s="410">
        <f t="shared" si="226"/>
        <v>0</v>
      </c>
      <c r="GM332" s="405" t="s">
        <v>544</v>
      </c>
      <c r="GN332" s="409" t="s">
        <v>4604</v>
      </c>
      <c r="GO332" s="420" t="str">
        <f t="shared" si="188"/>
        <v>ToyoLi - MAGENTA</v>
      </c>
      <c r="GP332" s="409">
        <v>24</v>
      </c>
      <c r="GQ332" s="411">
        <f>IF(GP332=0,0,IF($LB332=70%,VLOOKUP($GO332,'Jan-2026 rates'!$L:$R,4,0),IF($LB332=65%,VLOOKUP($GO332,'Jan-2026 rates'!$L:$R,4,0),IF($LB332=40%,VLOOKUP($GO332,'Jan-2026 rates'!$L:$R,5,0),IF($LB332=30%,VLOOKUP($GO332,'Jan-2026 rates'!$L:$R,6,0),IF($LB332=100%,VLOOKUP($GO332,'Jan-2026 rates'!$L:$R,7,0),IF($LB332=60%,VLOOKUP($GO332,'Jan-2026 rates'!$L:$S,8,0),IF($LB332=80%,VLOOKUP($GO332,'Jan-2026 rates'!L:T,9,0),0))))))))</f>
        <v>0</v>
      </c>
      <c r="GR332" s="412" t="s">
        <v>4605</v>
      </c>
      <c r="GS332" s="409">
        <v>14</v>
      </c>
      <c r="GT332" s="411">
        <f>IF(GS332=0,0,IF($LB332=70%,VLOOKUP($GO332,'Jan-2026 rates'!$L:$R,4,0),IF($LB332=65%,VLOOKUP($GO332,'Jan-2026 rates'!$L:$R,4,0),IF($LB332=40%,VLOOKUP($GO332,'Jan-2026 rates'!$L:$R,5,0),IF($LB332=30%,VLOOKUP($GO332,'Jan-2026 rates'!$L:$R,6,0),IF($LB332=100%,VLOOKUP($GO332,'Jan-2026 rates'!$L:$R,7,0),IF($LB332=60%,VLOOKUP($GO332,'Jan-2026 rates'!$L:$S,8,0),IF($LB332=80%,VLOOKUP($GO332,'Jan-2026 rates'!L:T,9,0),0))))))))</f>
        <v>0</v>
      </c>
      <c r="GU332" s="413" t="s">
        <v>1246</v>
      </c>
      <c r="GV332" s="413"/>
      <c r="GW332" s="412"/>
      <c r="GX332" s="412"/>
      <c r="GY332" s="412"/>
      <c r="GZ332" s="412"/>
      <c r="HA332" s="412"/>
      <c r="HB332" s="412"/>
      <c r="HC332" s="409">
        <v>2</v>
      </c>
      <c r="HD332" s="398">
        <f>IF(HC332=0,0,IF(LEN(GU332)=11,_xlfn.XLOOKUP(GU332,'Dispensed Ink Rates'!C:C,'Dispensed Ink Rates'!CS:CS),VLOOKUP(GU332,'Jan-2026 rates'!$E:$F,2,0)))</f>
        <v>0</v>
      </c>
      <c r="HE332" s="409"/>
      <c r="HF332" s="398">
        <f>IF(HE332=0,0,IF(LEN(GV332)=11,_xlfn.XLOOKUP(GV332,'Dispensed Ink Rates'!C:C,'Dispensed Ink Rates'!CS:CS),VLOOKUP(GV332,'Jan-2026 rates'!$E:$F,2,0)))</f>
        <v>0</v>
      </c>
      <c r="HG332" s="409"/>
      <c r="HH332" s="398">
        <f>IF(HG332=0,0,IF(LEN(GW332)=11,_xlfn.XLOOKUP(GW332,'Dispensed Ink Rates'!C:C,'Dispensed Ink Rates'!CS:CS),VLOOKUP(GW332,'Jan-2026 rates'!$E:$F,2,0)))</f>
        <v>0</v>
      </c>
      <c r="HI332" s="409"/>
      <c r="HJ332" s="398">
        <f>IF(HI332=0,0,IF(LEN(GX332)=11,_xlfn.XLOOKUP(GX332,'Dispensed Ink Rates'!C:C,'Dispensed Ink Rates'!CS:CS),VLOOKUP(GX332,'Jan-2026 rates'!$E:$F,2,0)))</f>
        <v>0</v>
      </c>
      <c r="HK332" s="409"/>
      <c r="HL332" s="398">
        <f>IF(HK332=0,0,IF(LEN(GY332)=11,_xlfn.XLOOKUP(GY332,'Dispensed Ink Rates'!C:C,'Dispensed Ink Rates'!CS:CS),VLOOKUP(GY332,'Jan-2026 rates'!$E:$F,2,0)))</f>
        <v>0</v>
      </c>
      <c r="HM332" s="409"/>
      <c r="HN332" s="398">
        <f>IF(HM332=0,0,IF(LEN(GZ332)=11,_xlfn.XLOOKUP(GZ332,'Dispensed Ink Rates'!C:C,'Dispensed Ink Rates'!CS:CS),VLOOKUP(GZ332,'Jan-2026 rates'!$E:$F,2,0)))</f>
        <v>0</v>
      </c>
      <c r="HO332" s="409"/>
      <c r="HP332" s="398">
        <f>IF(HO332=0,0,IF(LEN(HA332)=11,_xlfn.XLOOKUP(HA332,'Dispensed Ink Rates'!C:C,'Dispensed Ink Rates'!CS:CS),VLOOKUP(HA332,'Jan-2026 rates'!$E:$F,2,0)))</f>
        <v>0</v>
      </c>
      <c r="HQ332" s="409"/>
      <c r="HR332" s="398">
        <f>IF(HQ332=0,0,IF(LEN(HB332)=11,_xlfn.XLOOKUP(HB332,'Dispensed Ink Rates'!C:C,'Dispensed Ink Rates'!CS:CS),VLOOKUP(HB332,'Jan-2026 rates'!$E:$F,2,0)))</f>
        <v>0</v>
      </c>
      <c r="HS332" s="409" t="s">
        <v>1881</v>
      </c>
      <c r="HT332" s="409">
        <f>18+8</f>
        <v>26</v>
      </c>
      <c r="HU332" s="411">
        <f t="shared" si="227"/>
        <v>0</v>
      </c>
      <c r="HV332" s="411">
        <f t="shared" si="228"/>
        <v>19.60526315789474</v>
      </c>
      <c r="HW332" s="414">
        <f t="shared" si="229"/>
        <v>0</v>
      </c>
      <c r="HX332" s="405" t="s">
        <v>545</v>
      </c>
      <c r="HY332" s="409" t="s">
        <v>4606</v>
      </c>
      <c r="HZ332" s="420" t="str">
        <f t="shared" si="189"/>
        <v>ToyoLi - YELLOW</v>
      </c>
      <c r="IA332" s="409">
        <v>25</v>
      </c>
      <c r="IB332" s="411">
        <f>IF(IA332=0,0,IF($LB332=70%,VLOOKUP($HZ332,'Jan-2026 rates'!$L:$R,4,0),IF($LB332=65%,VLOOKUP($HZ332,'Jan-2026 rates'!$L:$R,4,0),IF($LB332=40%,VLOOKUP($HZ332,'Jan-2026 rates'!$L:$R,5,0),IF($LB332=30%,VLOOKUP($HZ332,'Jan-2026 rates'!$L:$R,6,0),IF($LB332=100%,VLOOKUP($HZ332,'Jan-2026 rates'!$L:$R,7,0),IF($LB332=60%,VLOOKUP($HZ332,'Jan-2026 rates'!$L:$S,8,0),IF($LB332=80%,VLOOKUP($HZ332,'Jan-2026 rates'!L:T,9,0),0))))))))</f>
        <v>0</v>
      </c>
      <c r="IC332" s="412"/>
      <c r="ID332" s="409"/>
      <c r="IE332" s="411">
        <f>IF(ID332=0,0,IF($LB332=70%,VLOOKUP($HZ332,'Jan-2026 rates'!$L:$R,4,0),IF($LB332=65%,VLOOKUP($HZ332,'Jan-2026 rates'!$L:$R,4,0),IF($LB332=40%,VLOOKUP($HZ332,'Jan-2026 rates'!$L:$R,5,0),IF($LB332=30%,VLOOKUP($HZ332,'Jan-2026 rates'!$L:$R,6,0),IF($LB332=100%,VLOOKUP($HZ332,'Jan-2026 rates'!$L:$R,7,0),IF($LB332=60%,VLOOKUP($HZ332,'Jan-2026 rates'!$L:$S,8,0),IF($LB332=80%,VLOOKUP($HZ332,'Jan-2026 rates'!L:T,9,0),0))))))))</f>
        <v>0</v>
      </c>
      <c r="IF332" s="412" t="s">
        <v>1247</v>
      </c>
      <c r="IG332" s="413" t="s">
        <v>1921</v>
      </c>
      <c r="IH332" s="412"/>
      <c r="II332" s="412"/>
      <c r="IJ332" s="412"/>
      <c r="IK332" s="412"/>
      <c r="IL332" s="412"/>
      <c r="IM332" s="412"/>
      <c r="IN332" s="409">
        <v>20</v>
      </c>
      <c r="IO332" s="398">
        <f>IF(IN332=0,0,IF(LEN(IF332)=11,_xlfn.XLOOKUP(IF332,'Dispensed Ink Rates'!C:C,'Dispensed Ink Rates'!CS:CS),VLOOKUP(IF332,'Jan-2026 rates'!$E:$F,2,0)))</f>
        <v>0</v>
      </c>
      <c r="IP332" s="409">
        <v>10</v>
      </c>
      <c r="IQ332" s="398">
        <f>IF(IP332=0,0,IF(LEN(IG332)=11,_xlfn.XLOOKUP(IG332,'Dispensed Ink Rates'!C:C,'Dispensed Ink Rates'!CS:CS),VLOOKUP(IG332,'Jan-2026 rates'!$E:$F,2,0)))</f>
        <v>0</v>
      </c>
      <c r="IR332" s="409"/>
      <c r="IS332" s="398">
        <f>IF(IR332=0,0,IF(LEN(IH332)=11,_xlfn.XLOOKUP(IH332,'Dispensed Ink Rates'!C:C,'Dispensed Ink Rates'!CS:CS),VLOOKUP(IH332,'Jan-2026 rates'!$E:$F,2,0)))</f>
        <v>0</v>
      </c>
      <c r="IT332" s="409"/>
      <c r="IU332" s="398">
        <f>IF(IT332=0,0,IF(LEN(II332)=11,_xlfn.XLOOKUP(II332,'Dispensed Ink Rates'!C:C,'Dispensed Ink Rates'!CS:CS),VLOOKUP(II332,'Jan-2026 rates'!$E:$F,2,0)))</f>
        <v>0</v>
      </c>
      <c r="IV332" s="409"/>
      <c r="IW332" s="398">
        <f>IF(IV332=0,0,IF(LEN(IJ332)=11,_xlfn.XLOOKUP(IJ332,'Dispensed Ink Rates'!C:C,'Dispensed Ink Rates'!CS:CS),VLOOKUP(IJ332,'Jan-2026 rates'!$E:$F,2,0)))</f>
        <v>0</v>
      </c>
      <c r="IX332" s="409"/>
      <c r="IY332" s="398">
        <f>IF(IX332=0,0,IF(LEN(IK332)=11,_xlfn.XLOOKUP(IK332,'Dispensed Ink Rates'!C:C,'Dispensed Ink Rates'!CS:CS),VLOOKUP(IK332,'Jan-2026 rates'!$E:$F,2,0)))</f>
        <v>0</v>
      </c>
      <c r="IZ332" s="409"/>
      <c r="JA332" s="398">
        <f>IF(IZ332=0,0,IF(LEN(IL332)=11,_xlfn.XLOOKUP(IL332,'Dispensed Ink Rates'!C:C,'Dispensed Ink Rates'!CS:CS),VLOOKUP(IL332,'Jan-2026 rates'!$E:$F,2,0)))</f>
        <v>0</v>
      </c>
      <c r="JB332" s="409"/>
      <c r="JC332" s="398">
        <f>IF(JB332=0,0,IF(LEN(IM332)=11,_xlfn.XLOOKUP(IM332,'Dispensed Ink Rates'!C:C,'Dispensed Ink Rates'!CS:CS),VLOOKUP(IM332,'Jan-2026 rates'!$E:$F,2,0)))</f>
        <v>0</v>
      </c>
      <c r="JD332" s="409" t="s">
        <v>1881</v>
      </c>
      <c r="JE332" s="409">
        <f>81+18</f>
        <v>99</v>
      </c>
      <c r="JF332" s="411">
        <f t="shared" si="230"/>
        <v>0</v>
      </c>
      <c r="JG332" s="411">
        <f t="shared" si="231"/>
        <v>2.7105263157894797</v>
      </c>
      <c r="JH332" s="410">
        <f t="shared" si="232"/>
        <v>0</v>
      </c>
      <c r="JI332" s="405" t="s">
        <v>856</v>
      </c>
      <c r="JJ332" s="409" t="s">
        <v>4607</v>
      </c>
      <c r="JK332" s="420" t="str">
        <f t="shared" si="190"/>
        <v>ToyoLi - WHITE</v>
      </c>
      <c r="JL332" s="409">
        <v>30</v>
      </c>
      <c r="JM332" s="411">
        <f>IF(JL332=0,0,IF($LB332=70%,VLOOKUP($JK332,'Jan-2026 rates'!$L:$R,4,0),IF($LB332=65%,VLOOKUP($JK332,'Jan-2026 rates'!$L:$R,4,0),IF($LB332=40%,VLOOKUP($JK332,'Jan-2026 rates'!$L:$R,5,0),IF($LB332=30%,VLOOKUP($JK332,'Jan-2026 rates'!$L:$R,6,0),IF($LB332=100%,VLOOKUP($JK332,'Jan-2026 rates'!$L:$R,7,0),IF($LB332=60%,VLOOKUP($JK332,'Jan-2026 rates'!$L:$S,8,0),IF($LB332=80%,VLOOKUP($JK332,'Jan-2026 rates'!L:T,9,0),0))))))))</f>
        <v>0</v>
      </c>
      <c r="JN332" s="412"/>
      <c r="JO332" s="409"/>
      <c r="JP332" s="411">
        <f>IF(JO332=0,0,IF($LB332=70%,VLOOKUP($JK332,'Jan-2026 rates'!$L:$R,4,0),IF($LB332=65%,VLOOKUP($JK332,'Jan-2026 rates'!$L:$R,4,0),IF($LB332=40%,VLOOKUP($JK332,'Jan-2026 rates'!$L:$R,5,0),IF($LB332=30%,VLOOKUP($JK332,'Jan-2026 rates'!$L:$R,6,0),IF($LB332=100%,VLOOKUP($JK332,'Jan-2026 rates'!$L:$R,7,0),IF($LB332=60%,VLOOKUP($JK332,'Jan-2026 rates'!$L:$S,8,0),IF($LB332=80%,VLOOKUP($JK332,'Jan-2026 rates'!L:T,9,0),0))))))))</f>
        <v>0</v>
      </c>
      <c r="JQ332" s="413" t="s">
        <v>1249</v>
      </c>
      <c r="JR332" s="412" t="s">
        <v>1122</v>
      </c>
      <c r="JS332" s="413"/>
      <c r="JT332" s="413"/>
      <c r="JU332" s="412"/>
      <c r="JV332" s="412"/>
      <c r="JW332" s="412"/>
      <c r="JX332" s="412"/>
      <c r="JY332" s="409">
        <f>60+40</f>
        <v>100</v>
      </c>
      <c r="JZ332" s="398">
        <f>IF(JY332=0,0,IF(LEN(JQ332)=11,_xlfn.XLOOKUP(JQ332,'Dispensed Ink Rates'!C:C,'Dispensed Ink Rates'!CS:CS),VLOOKUP(JQ332,'Jan-2026 rates'!$E:$F,2,0)))</f>
        <v>0</v>
      </c>
      <c r="KA332" s="409">
        <v>8.8800000000000008</v>
      </c>
      <c r="KB332" s="398">
        <f>IF(KA332=0,0,IF(LEN(JR332)=11,_xlfn.XLOOKUP(JR332,'Dispensed Ink Rates'!C:C,'Dispensed Ink Rates'!CS:CS),VLOOKUP(JR332,'Jan-2026 rates'!$E:$F,2,0)))</f>
        <v>0</v>
      </c>
      <c r="KC332" s="409"/>
      <c r="KD332" s="398">
        <f>IF(KC332=0,0,IF(LEN(JS332)=11,_xlfn.XLOOKUP(JS332,'Dispensed Ink Rates'!C:C,'Dispensed Ink Rates'!CS:CS),VLOOKUP(JS332,'Jan-2026 rates'!$E:$F,2,0)))</f>
        <v>0</v>
      </c>
      <c r="KE332" s="409"/>
      <c r="KF332" s="398">
        <f>IF(KE332=0,0,IF(LEN(JT332)=11,_xlfn.XLOOKUP(JT332,'Dispensed Ink Rates'!C:C,'Dispensed Ink Rates'!CS:CS),VLOOKUP(JT332,'Jan-2026 rates'!$E:$F,2,0)))</f>
        <v>0</v>
      </c>
      <c r="KG332" s="409"/>
      <c r="KH332" s="398">
        <f>IF(KG332=0,0,IF(LEN(JU332)=11,_xlfn.XLOOKUP(JU332,'Dispensed Ink Rates'!C:C,'Dispensed Ink Rates'!CS:CS),VLOOKUP(JU332,'Jan-2026 rates'!$E:$F,2,0)))</f>
        <v>0</v>
      </c>
      <c r="KI332" s="409"/>
      <c r="KJ332" s="398">
        <f>IF(KI332=0,0,IF(LEN(JV332)=11,_xlfn.XLOOKUP(JV332,'Dispensed Ink Rates'!C:C,'Dispensed Ink Rates'!CS:CS),VLOOKUP(JV332,'Jan-2026 rates'!$E:$F,2,0)))</f>
        <v>0</v>
      </c>
      <c r="KK332" s="409"/>
      <c r="KL332" s="398">
        <f>IF(KK332=0,0,IF(LEN(JW332)=11,_xlfn.XLOOKUP(JW332,'Dispensed Ink Rates'!C:C,'Dispensed Ink Rates'!CS:CS),VLOOKUP(JW332,'Jan-2026 rates'!$E:$F,2,0)))</f>
        <v>0</v>
      </c>
      <c r="KM332" s="428"/>
      <c r="KN332" s="398">
        <f>IF(KM332=0,0,IF(LEN(JX332)=11,_xlfn.XLOOKUP(JX332,'Dispensed Ink Rates'!C:C,'Dispensed Ink Rates'!CS:CS),VLOOKUP(JX332,'Jan-2026 rates'!$E:$F,2,0)))</f>
        <v>0</v>
      </c>
      <c r="KO332" s="409" t="s">
        <v>1881</v>
      </c>
      <c r="KP332" s="409">
        <v>30</v>
      </c>
      <c r="KQ332" s="411">
        <f t="shared" si="233"/>
        <v>0</v>
      </c>
      <c r="KR332" s="411">
        <f t="shared" si="234"/>
        <v>220.98526315789474</v>
      </c>
      <c r="KS332" s="410">
        <f t="shared" si="235"/>
        <v>0</v>
      </c>
      <c r="KT332" s="409">
        <v>2</v>
      </c>
      <c r="KU332" s="409">
        <v>3</v>
      </c>
      <c r="KV332" s="409">
        <v>3</v>
      </c>
      <c r="KW332" s="409">
        <v>15</v>
      </c>
      <c r="KX332" s="409">
        <v>3</v>
      </c>
      <c r="KY332" s="409">
        <v>3</v>
      </c>
      <c r="KZ332" s="409">
        <v>25</v>
      </c>
      <c r="LA332" s="409">
        <f>40+20</f>
        <v>60</v>
      </c>
      <c r="LB332" s="415">
        <v>0.3</v>
      </c>
      <c r="LC332" s="415"/>
      <c r="LD332" s="424"/>
      <c r="LE332" s="415">
        <v>0.5</v>
      </c>
      <c r="LF332" s="415">
        <v>0.2</v>
      </c>
      <c r="LG332" s="409">
        <v>0</v>
      </c>
      <c r="LH332" s="409">
        <f>60+53+30+50+20</f>
        <v>213</v>
      </c>
      <c r="LI332" s="409">
        <v>0</v>
      </c>
      <c r="LJ332" s="409">
        <v>0</v>
      </c>
      <c r="LK332" s="416">
        <f t="shared" si="191"/>
        <v>213</v>
      </c>
      <c r="LL332" s="416">
        <f t="shared" si="237"/>
        <v>213</v>
      </c>
      <c r="LM332" s="417">
        <f t="shared" si="193"/>
        <v>63.9</v>
      </c>
      <c r="LN332" s="417">
        <f>VLOOKUP($LM$8,'Jan-2026 rates'!$H:$I,2,0)</f>
        <v>0</v>
      </c>
      <c r="LO332" s="417">
        <f t="shared" si="194"/>
        <v>0</v>
      </c>
      <c r="LP332" s="417">
        <f>VLOOKUP($LO$8,'Jan-2026 rates'!$H:$I,2,0)</f>
        <v>0</v>
      </c>
      <c r="LQ332" s="417">
        <f t="shared" si="195"/>
        <v>0</v>
      </c>
      <c r="LR332" s="417">
        <f>VLOOKUP($LQ$8,'Jan-2026 rates'!$H:$I,2,0)</f>
        <v>0</v>
      </c>
      <c r="LS332" s="417">
        <f t="shared" si="196"/>
        <v>106.5</v>
      </c>
      <c r="LT332" s="417">
        <f>VLOOKUP($LS$8,'Jan-2026 rates'!$H:$I,2,0)</f>
        <v>0</v>
      </c>
      <c r="LU332" s="417">
        <f t="shared" si="197"/>
        <v>42.6</v>
      </c>
      <c r="LV332" s="417">
        <f>VLOOKUP($LU$8,'Jan-2026 rates'!$H:$I,2,0)</f>
        <v>0</v>
      </c>
      <c r="LW332" s="417">
        <f t="shared" si="198"/>
        <v>0</v>
      </c>
      <c r="LX332" s="417">
        <f t="shared" si="199"/>
        <v>0</v>
      </c>
      <c r="LY332" s="418">
        <f t="shared" si="200"/>
        <v>0</v>
      </c>
      <c r="LZ332" s="417"/>
      <c r="MA332" s="435">
        <f t="shared" si="201"/>
        <v>183.88</v>
      </c>
      <c r="MB332" s="282">
        <f t="shared" si="202"/>
        <v>345.88</v>
      </c>
      <c r="MC332" s="283" t="s">
        <v>2071</v>
      </c>
      <c r="MD332" s="284" t="str">
        <f t="shared" si="203"/>
        <v>ToyoLiToyoLiToyoLiToyoLiToyoLiToyoLiToyoLiToyoLi</v>
      </c>
      <c r="ME332" s="293" t="str">
        <f t="shared" si="204"/>
        <v>+</v>
      </c>
      <c r="MF332" s="293" t="str">
        <f t="shared" si="205"/>
        <v>+</v>
      </c>
      <c r="MG332" s="293" t="str">
        <f t="shared" si="206"/>
        <v>+</v>
      </c>
      <c r="MH332" s="293" t="str">
        <f t="shared" si="207"/>
        <v>+</v>
      </c>
      <c r="MI332" s="293" t="str">
        <f t="shared" si="208"/>
        <v>+</v>
      </c>
      <c r="MJ332" s="293" t="str">
        <f t="shared" si="209"/>
        <v>+</v>
      </c>
      <c r="MK332" s="293" t="str">
        <f t="shared" si="210"/>
        <v>+</v>
      </c>
      <c r="ML332" s="293" t="str">
        <f t="shared" si="211"/>
        <v>+</v>
      </c>
      <c r="MM332" s="3" t="b">
        <f t="array" ref="MM332">OR(ME332:ML332="-")</f>
        <v>0</v>
      </c>
      <c r="MO332" s="401">
        <f t="shared" si="238"/>
        <v>48.715492957746477</v>
      </c>
      <c r="MP332" s="286"/>
      <c r="MR332" s="402">
        <f t="shared" si="239"/>
        <v>8.2944844124700247E-3</v>
      </c>
      <c r="MS332" s="400">
        <f t="shared" si="240"/>
        <v>0</v>
      </c>
      <c r="MT332" s="285"/>
      <c r="NH332" s="361"/>
      <c r="NJ332" s="282"/>
    </row>
    <row r="333" spans="1:374" ht="16.5">
      <c r="A333" s="403">
        <v>46047</v>
      </c>
      <c r="B333" s="404" t="s">
        <v>1015</v>
      </c>
      <c r="C333" s="405" t="s">
        <v>4608</v>
      </c>
      <c r="D333" s="404" t="s">
        <v>2072</v>
      </c>
      <c r="E333" s="404">
        <v>293</v>
      </c>
      <c r="F333" s="407">
        <v>15100</v>
      </c>
      <c r="G333" s="407" t="s">
        <v>1016</v>
      </c>
      <c r="H333" s="408" t="s">
        <v>1017</v>
      </c>
      <c r="I333" s="409">
        <v>0.31</v>
      </c>
      <c r="J333" s="405" t="s">
        <v>543</v>
      </c>
      <c r="K333" s="404" t="s">
        <v>4609</v>
      </c>
      <c r="L333" s="419" t="str">
        <f t="shared" si="184"/>
        <v>ToyoLi - BLACK</v>
      </c>
      <c r="M333" s="404">
        <v>22</v>
      </c>
      <c r="N333" s="410">
        <f>IF(M333=0,0,IF($LB333=70%,VLOOKUP($L333,'Jan-2026 rates'!$L:$R,4,0),IF($LB333=65%,VLOOKUP($L333,'Jan-2026 rates'!$L:$R,4,0),IF($LB333=40%,VLOOKUP($L333,'Jan-2026 rates'!$L:$R,5,0),IF($LB333=30%,VLOOKUP($L333,'Jan-2026 rates'!$L:$R,6,0),IF($LB333=100%,VLOOKUP($L333,'Jan-2026 rates'!$L:$R,7,0),IF($LB333=60%,VLOOKUP($L333,'Jan-2026 rates'!$L:$S,8,0),IF($LB333=80%,VLOOKUP($L333,'Jan-2026 rates'!L:T,9,0),0))))))))</f>
        <v>0</v>
      </c>
      <c r="O333" s="406"/>
      <c r="P333" s="404"/>
      <c r="Q333" s="410">
        <f>IF(P333=0,0,IF($LB333=70%,VLOOKUP($L333,'Jan-2026 rates'!$L:$R,4,0),IF($LB333=65%,VLOOKUP($L333,'Jan-2026 rates'!$L:$R,4,0),IF($LB333=40%,VLOOKUP($L333,'Jan-2026 rates'!$L:$R,5,0),IF($LB333=30%,VLOOKUP($L333,'Jan-2026 rates'!$L:$R,6,0),IF($LB333=100%,VLOOKUP($L333,'Jan-2026 rates'!$L:$R,7,0),IF($LB333=60%,VLOOKUP($L333,'Jan-2026 rates'!$L:$S,8,0),IF($LB333=80%,VLOOKUP($L333,'Jan-2026 rates'!L:T,9,0),0))))))))</f>
        <v>0</v>
      </c>
      <c r="R333" s="406" t="s">
        <v>1252</v>
      </c>
      <c r="S333" s="406"/>
      <c r="T333" s="406"/>
      <c r="U333" s="406"/>
      <c r="V333" s="406"/>
      <c r="W333" s="406"/>
      <c r="X333" s="406"/>
      <c r="Y333" s="406"/>
      <c r="Z333" s="404">
        <v>5</v>
      </c>
      <c r="AA333" s="398">
        <f>IF(Z333=0,0,IF(LEN(R333)=11,_xlfn.XLOOKUP(R333,'Dispensed Ink Rates'!C:C,'Dispensed Ink Rates'!CS:CS),VLOOKUP(R333,'Jan-2026 rates'!$E:$F,2,0)))</f>
        <v>0</v>
      </c>
      <c r="AB333" s="404"/>
      <c r="AC333" s="398">
        <f>IF(AB333=0,0,IF(LEN(S333)=11,_xlfn.XLOOKUP(S333,'Dispensed Ink Rates'!C:C,'Dispensed Ink Rates'!CS:CS),VLOOKUP(S333,'Jan-2026 rates'!$E:$F,2,0)))</f>
        <v>0</v>
      </c>
      <c r="AD333" s="404"/>
      <c r="AE333" s="398">
        <f>IF(AD333=0,0,IF(LEN(T333)=11,_xlfn.XLOOKUP(T333,'Dispensed Ink Rates'!C:C,'Dispensed Ink Rates'!CS:CS),VLOOKUP(T333,'Jan-2026 rates'!$E:$F,2,0)))</f>
        <v>0</v>
      </c>
      <c r="AF333" s="404"/>
      <c r="AG333" s="398">
        <f>IF(AF333=0,0,IF(LEN(U333)=11,_xlfn.XLOOKUP(U333,'Dispensed Ink Rates'!C:C,'Dispensed Ink Rates'!CS:CS),VLOOKUP(U333,'Jan-2026 rates'!$E:$F,2,0)))</f>
        <v>0</v>
      </c>
      <c r="AH333" s="404"/>
      <c r="AI333" s="398">
        <f>IF(AH333=0,0,IF(LEN(V333)=11,_xlfn.XLOOKUP(V333,'Dispensed Ink Rates'!C:C,'Dispensed Ink Rates'!CS:CS),VLOOKUP(V333,'Jan-2026 rates'!$E:$F,2,0)))</f>
        <v>0</v>
      </c>
      <c r="AJ333" s="404"/>
      <c r="AK333" s="398">
        <f>IF(AJ333=0,0,IF(LEN(W333)=11,_xlfn.XLOOKUP(W333,'Dispensed Ink Rates'!C:C,'Dispensed Ink Rates'!CS:CS),VLOOKUP(W333,'Jan-2026 rates'!$E:$F,2,0)))</f>
        <v>0</v>
      </c>
      <c r="AL333" s="404"/>
      <c r="AM333" s="398">
        <f>IF(AL333=0,0,IF(LEN(X333)=11,_xlfn.XLOOKUP(X333,'Dispensed Ink Rates'!C:C,'Dispensed Ink Rates'!CS:CS),VLOOKUP(X333,'Jan-2026 rates'!$E:$F,2,0)))</f>
        <v>0</v>
      </c>
      <c r="AN333" s="404"/>
      <c r="AO333" s="398">
        <f>IF(AN333=0,0,IF(LEN(Y333)=11,_xlfn.XLOOKUP(Y333,'Dispensed Ink Rates'!C:C,'Dispensed Ink Rates'!CS:CS),VLOOKUP(Y333,'Jan-2026 rates'!$E:$F,2,0)))</f>
        <v>0</v>
      </c>
      <c r="AP333" s="409" t="s">
        <v>1881</v>
      </c>
      <c r="AQ333" s="409">
        <v>24</v>
      </c>
      <c r="AR333" s="410">
        <f t="shared" si="212"/>
        <v>0</v>
      </c>
      <c r="AS333" s="411">
        <f t="shared" si="213"/>
        <v>10.333333333333336</v>
      </c>
      <c r="AT333" s="410">
        <f t="shared" si="214"/>
        <v>0</v>
      </c>
      <c r="AU333" s="405" t="s">
        <v>856</v>
      </c>
      <c r="AV333" s="409" t="s">
        <v>4610</v>
      </c>
      <c r="AW333" s="420" t="str">
        <f t="shared" si="236"/>
        <v>ToyoLi - WHITE</v>
      </c>
      <c r="AX333" s="409">
        <v>30</v>
      </c>
      <c r="AY333" s="411">
        <f>IF(AX333=0,0,IF($LB333=70%,VLOOKUP($AW333,'Jan-2026 rates'!$L:$R,4,0),IF($LB333=65%,VLOOKUP($AW333,'Jan-2026 rates'!$L:$R,4,0),IF($LB333=40%,VLOOKUP($AW333,'Jan-2026 rates'!$L:$R,5,0),IF($LB333=30%,VLOOKUP($AW333,'Jan-2026 rates'!$L:$R,6,0),IF($LB333=100%,VLOOKUP($AW333,'Jan-2026 rates'!$L:$R,7,0),IF($LB333=60%,VLOOKUP($AW333,'Jan-2026 rates'!$L:$S,8,0),IF($LB333=80%,VLOOKUP($AW333,'Jan-2026 rates'!L:T,9,0),0))))))))</f>
        <v>0</v>
      </c>
      <c r="AZ333" s="412"/>
      <c r="BA333" s="409"/>
      <c r="BB333" s="411">
        <f>IF(BA333=0,0,IF($LB333=70%,VLOOKUP($AW333,'Jan-2026 rates'!$L:$R,4,0),IF($LB333=65%,VLOOKUP($AW333,'Jan-2026 rates'!$L:$R,4,0),IF($LB333=40%,VLOOKUP($AW333,'Jan-2026 rates'!$L:$R,5,0),IF($LB333=30%,VLOOKUP($AW333,'Jan-2026 rates'!$L:$R,6,0),IF($LB333=100%,VLOOKUP($AW333,'Jan-2026 rates'!$L:$R,7,0),IF($LB333=60%,VLOOKUP($AW333,'Jan-2026 rates'!$L:$S,8,0),IF($LB333=80%,VLOOKUP($AW333,'Jan-2026 rates'!L:T,9,0),0))))))))</f>
        <v>0</v>
      </c>
      <c r="BC333" s="413" t="s">
        <v>1249</v>
      </c>
      <c r="BD333" s="412" t="s">
        <v>1122</v>
      </c>
      <c r="BE333" s="412"/>
      <c r="BF333" s="413"/>
      <c r="BG333" s="412"/>
      <c r="BH333" s="412"/>
      <c r="BI333" s="412"/>
      <c r="BJ333" s="412"/>
      <c r="BK333" s="409">
        <v>20</v>
      </c>
      <c r="BL333" s="398">
        <f>IF(BK333=0,0,IF(LEN(BC333)=11,_xlfn.XLOOKUP(BC333,'Dispensed Ink Rates'!C:C,'Dispensed Ink Rates'!CS:CS),VLOOKUP(BC333,'Jan-2026 rates'!$E:$F,2,0)))</f>
        <v>0</v>
      </c>
      <c r="BM333" s="409">
        <v>1.5</v>
      </c>
      <c r="BN333" s="398">
        <f>IF(BM333=0,0,IF(LEN(BD333)=11,_xlfn.XLOOKUP(BD333,'Dispensed Ink Rates'!C:C,'Dispensed Ink Rates'!CS:CS),VLOOKUP(BD333,'Jan-2026 rates'!$E:$F,2,0)))</f>
        <v>0</v>
      </c>
      <c r="BO333" s="409"/>
      <c r="BP333" s="398">
        <f>IF(BO333=0,0,IF(LEN(BE333)=11,_xlfn.XLOOKUP(BE333,'Dispensed Ink Rates'!C:C,'Dispensed Ink Rates'!CS:CS),VLOOKUP(BE333,'Jan-2026 rates'!$E:$F,2,0)))</f>
        <v>0</v>
      </c>
      <c r="BQ333" s="409"/>
      <c r="BR333" s="398">
        <f>IF(BQ333=0,0,IF(LEN(BF333)=11,_xlfn.XLOOKUP(BF333,'Dispensed Ink Rates'!C:C,'Dispensed Ink Rates'!CS:CS),VLOOKUP(BF333,'Jan-2026 rates'!$E:$F,2,0)))</f>
        <v>0</v>
      </c>
      <c r="BS333" s="409"/>
      <c r="BT333" s="398">
        <f>IF(BS333=0,0,IF(LEN(BG333)=11,_xlfn.XLOOKUP(BG333,'Dispensed Ink Rates'!C:C,'Dispensed Ink Rates'!CS:CS),VLOOKUP(BG333,'Jan-2026 rates'!$E:$F,2,0)))</f>
        <v>0</v>
      </c>
      <c r="BU333" s="409"/>
      <c r="BV333" s="398">
        <f>IF(BU333=0,0,IF(LEN(BH333)=11,_xlfn.XLOOKUP(BH333,'Dispensed Ink Rates'!C:C,'Dispensed Ink Rates'!CS:CS),VLOOKUP(BH333,'Jan-2026 rates'!$E:$F,2,0)))</f>
        <v>0</v>
      </c>
      <c r="BW333" s="409"/>
      <c r="BX333" s="398">
        <f>IF(BW333=0,0,IF(LEN(BI333)=11,_xlfn.XLOOKUP(BI333,'Dispensed Ink Rates'!C:C,'Dispensed Ink Rates'!CS:CS),VLOOKUP(BI333,'Jan-2026 rates'!$E:$F,2,0)))</f>
        <v>0</v>
      </c>
      <c r="BY333" s="409"/>
      <c r="BZ333" s="398">
        <f>IF(BY333=0,0,IF(LEN(BJ333)=11,_xlfn.XLOOKUP(BJ333,'Dispensed Ink Rates'!C:C,'Dispensed Ink Rates'!CS:CS),VLOOKUP(BJ333,'Jan-2026 rates'!$E:$F,2,0)))</f>
        <v>0</v>
      </c>
      <c r="CA333" s="409" t="s">
        <v>1881</v>
      </c>
      <c r="CB333" s="409">
        <v>30</v>
      </c>
      <c r="CC333" s="411">
        <f t="shared" si="215"/>
        <v>0</v>
      </c>
      <c r="CD333" s="411">
        <f t="shared" si="216"/>
        <v>58.166666666666671</v>
      </c>
      <c r="CE333" s="410">
        <f t="shared" si="217"/>
        <v>0</v>
      </c>
      <c r="CF333" s="404"/>
      <c r="CG333" s="409"/>
      <c r="CH333" s="420" t="str">
        <f t="shared" si="185"/>
        <v xml:space="preserve"> - </v>
      </c>
      <c r="CI333" s="409"/>
      <c r="CJ333" s="411">
        <f>IF(CI333=0,0,IF($LB333=70%,VLOOKUP($CH333,'Jan-2026 rates'!$L:$R,4,0),IF($LB333=65%,VLOOKUP($CH333,'Jan-2026 rates'!$L:$R,4,0),IF($LB333=40%,VLOOKUP($CH333,'Jan-2026 rates'!$L:$R,5,0),IF($LB333=30%,VLOOKUP($CH333,'Jan-2026 rates'!$L:$R,6,0),IF($LB333=100%,VLOOKUP($CH333,'Jan-2026 rates'!$L:$R,7,0),IF($LB333=60%,VLOOKUP($CH333,'Jan-2026 rates'!$L:$S,8,0),IF($LB333=80%,VLOOKUP($CH333,'Jan-2026 rates'!L:T,9,0),0))))))))</f>
        <v>0</v>
      </c>
      <c r="CK333" s="412"/>
      <c r="CL333" s="409"/>
      <c r="CM333" s="411">
        <f>IF(CL333=0,0,IF($LB333=70%,VLOOKUP($CH333,'Jan-2026 rates'!$L:$R,4,0),IF($LB333=65%,VLOOKUP($CH333,'Jan-2026 rates'!$L:$R,4,0),IF($LB333=40%,VLOOKUP($CH333,'Jan-2026 rates'!$L:$R,5,0),IF($LB333=30%,VLOOKUP($CH333,'Jan-2026 rates'!$L:$R,6,0),IF($LB333=100%,VLOOKUP($CH333,'Jan-2026 rates'!$L:$R,7,0),IF($LB333=60%,VLOOKUP($CH333,'Jan-2026 rates'!$L:$S,8,0),IF($LB333=80%,VLOOKUP($CH333,'Jan-2026 rates'!L:T,9,0),0))))))))</f>
        <v>0</v>
      </c>
      <c r="CN333" s="426"/>
      <c r="CO333" s="427"/>
      <c r="CP333" s="426"/>
      <c r="CQ333" s="426"/>
      <c r="CR333" s="428"/>
      <c r="CS333" s="428"/>
      <c r="CT333" s="428"/>
      <c r="CU333" s="428"/>
      <c r="CV333" s="409"/>
      <c r="CW333" s="398">
        <f>IF(CV333=0,0,IF(LEN(CN333)=11,_xlfn.XLOOKUP(CN333,'Dispensed Ink Rates'!C:C,'Dispensed Ink Rates'!CS:CS),VLOOKUP(CN333,'Jan-2026 rates'!$E:$F,2,0)))</f>
        <v>0</v>
      </c>
      <c r="CX333" s="409"/>
      <c r="CY333" s="398">
        <f>IF(CX333=0,0,IF(LEN(CO333)=11,_xlfn.XLOOKUP(CO333,'Dispensed Ink Rates'!C:C,'Dispensed Ink Rates'!CS:CS),VLOOKUP(CO333,'Jan-2026 rates'!$E:$F,2,0)))</f>
        <v>0</v>
      </c>
      <c r="CZ333" s="409"/>
      <c r="DA333" s="398">
        <f>IF(CZ333=0,0,IF(LEN(CP333)=11,_xlfn.XLOOKUP(CP333,'Dispensed Ink Rates'!C:C,'Dispensed Ink Rates'!CS:CS),VLOOKUP(CP333,'Jan-2026 rates'!$E:$F,2,0)))</f>
        <v>0</v>
      </c>
      <c r="DB333" s="409"/>
      <c r="DC333" s="398">
        <f>IF(DB333=0,0,IF(LEN(CQ333)=11,_xlfn.XLOOKUP(CQ333,'Dispensed Ink Rates'!C:C,'Dispensed Ink Rates'!CS:CS),VLOOKUP(CQ333,'Jan-2026 rates'!$E:$F,2,0)))</f>
        <v>0</v>
      </c>
      <c r="DD333" s="409"/>
      <c r="DE333" s="398">
        <f>IF(DD333=0,0,IF(LEN(CR333)=11,_xlfn.XLOOKUP(CR333,'Dispensed Ink Rates'!C:C,'Dispensed Ink Rates'!CS:CS),VLOOKUP(CR333,'Jan-2026 rates'!$E:$F,2,0)))</f>
        <v>0</v>
      </c>
      <c r="DF333" s="409"/>
      <c r="DG333" s="398">
        <f>IF(DF333=0,0,IF(LEN(CS333)=11,_xlfn.XLOOKUP(CS333,'Dispensed Ink Rates'!C:C,'Dispensed Ink Rates'!CS:CS),VLOOKUP(CS333,'Jan-2026 rates'!$E:$F,2,0)))</f>
        <v>0</v>
      </c>
      <c r="DH333" s="409"/>
      <c r="DI333" s="398">
        <f>IF(DH333=0,0,IF(LEN(CT333)=11,_xlfn.XLOOKUP(CT333,'Dispensed Ink Rates'!C:C,'Dispensed Ink Rates'!CS:CS),VLOOKUP(CT333,'Jan-2026 rates'!$E:$F,2,0)))</f>
        <v>0</v>
      </c>
      <c r="DJ333" s="409"/>
      <c r="DK333" s="398">
        <f>IF(DJ333=0,0,IF(LEN(CU333)=11,_xlfn.XLOOKUP(CU333,'Dispensed Ink Rates'!C:C,'Dispensed Ink Rates'!CS:CS),VLOOKUP(CU333,'Jan-2026 rates'!$E:$F,2,0)))</f>
        <v>0</v>
      </c>
      <c r="DL333" s="409"/>
      <c r="DM333" s="409"/>
      <c r="DN333" s="411">
        <f t="shared" si="218"/>
        <v>0</v>
      </c>
      <c r="DO333" s="411">
        <f t="shared" si="219"/>
        <v>0</v>
      </c>
      <c r="DP333" s="410">
        <f t="shared" si="220"/>
        <v>0</v>
      </c>
      <c r="DQ333" s="405"/>
      <c r="DR333" s="409"/>
      <c r="DS333" s="420" t="str">
        <f t="shared" si="186"/>
        <v xml:space="preserve"> - </v>
      </c>
      <c r="DT333" s="409"/>
      <c r="DU333" s="411">
        <f>IF(DT333=0,0,IF($LB333=70%,VLOOKUP($DS333,'Jan-2026 rates'!$L:$R,4,0),IF($LB333=65%,VLOOKUP($DS333,'Jan-2026 rates'!$L:$R,4,0),IF($LB333=40%,VLOOKUP($DS333,'Jan-2026 rates'!$L:$R,5,0),IF($LB333=30%,VLOOKUP($DS333,'Jan-2026 rates'!$L:$R,6,0),IF($LB333=100%,VLOOKUP($DS333,'Jan-2026 rates'!$L:$R,7,0),IF($LB333=60%,VLOOKUP($DS333,'Jan-2026 rates'!$L:$S,8,0),IF($LB333=80%,VLOOKUP($DS333,'Jan-2026 rates'!L:T,9,0),0))))))))</f>
        <v>0</v>
      </c>
      <c r="DV333" s="412"/>
      <c r="DW333" s="409"/>
      <c r="DX333" s="411">
        <f>IF(DW333=0,0,IF($LB333=70%,VLOOKUP($DS333,'Jan-2026 rates'!$L:$R,4,0),IF($LB333=65%,VLOOKUP($DS333,'Jan-2026 rates'!$L:$R,4,0),IF($LB333=40%,VLOOKUP($DS333,'Jan-2026 rates'!$L:$R,5,0),IF($LB333=30%,VLOOKUP($DS333,'Jan-2026 rates'!$L:$R,6,0),IF($LB333=100%,VLOOKUP($DS333,'Jan-2026 rates'!$L:$R,7,0),IF($LB333=60%,VLOOKUP($DS333,'Jan-2026 rates'!$L:$S,8,0),IF($LB333=80%,VLOOKUP($DS333,'Jan-2026 rates'!L:T,9,0),0))))))))</f>
        <v>0</v>
      </c>
      <c r="DY333" s="413"/>
      <c r="DZ333" s="413"/>
      <c r="EA333" s="412"/>
      <c r="EB333" s="412"/>
      <c r="EC333" s="412"/>
      <c r="ED333" s="412"/>
      <c r="EE333" s="412"/>
      <c r="EF333" s="412"/>
      <c r="EG333" s="409"/>
      <c r="EH333" s="398">
        <f>IF(EG333=0,0,IF(LEN(DY333)=11,_xlfn.XLOOKUP(DY333,'Dispensed Ink Rates'!C:C,'Dispensed Ink Rates'!CS:CS),VLOOKUP(DY333,'Jan-2026 rates'!$E:$F,2,0)))</f>
        <v>0</v>
      </c>
      <c r="EI333" s="409"/>
      <c r="EJ333" s="398">
        <f>IF(EI333=0,0,IF(LEN(DZ333)=11,_xlfn.XLOOKUP(DZ333,'Dispensed Ink Rates'!C:C,'Dispensed Ink Rates'!CS:CS),VLOOKUP(DZ333,'Jan-2026 rates'!$E:$F,2,0)))</f>
        <v>0</v>
      </c>
      <c r="EK333" s="409"/>
      <c r="EL333" s="398">
        <f>IF(EK333=0,0,IF(LEN(EA333)=11,_xlfn.XLOOKUP(EA333,'Dispensed Ink Rates'!C:C,'Dispensed Ink Rates'!CS:CS),VLOOKUP(EA333,'Jan-2026 rates'!$E:$F,2,0)))</f>
        <v>0</v>
      </c>
      <c r="EM333" s="409"/>
      <c r="EN333" s="398">
        <f>IF(EM333=0,0,IF(LEN(EB333)=11,_xlfn.XLOOKUP(EB333,'Dispensed Ink Rates'!C:C,'Dispensed Ink Rates'!CS:CS),VLOOKUP(EB333,'Jan-2026 rates'!$E:$F,2,0)))</f>
        <v>0</v>
      </c>
      <c r="EO333" s="409"/>
      <c r="EP333" s="398">
        <f>IF(EO333=0,0,IF(LEN(EC333)=11,_xlfn.XLOOKUP(EC333,'Dispensed Ink Rates'!C:C,'Dispensed Ink Rates'!CS:CS),VLOOKUP(EC333,'Jan-2026 rates'!$E:$F,2,0)))</f>
        <v>0</v>
      </c>
      <c r="EQ333" s="409"/>
      <c r="ER333" s="398">
        <f>IF(EQ333=0,0,IF(LEN(ED333)=11,_xlfn.XLOOKUP(ED333,'Dispensed Ink Rates'!C:C,'Dispensed Ink Rates'!CS:CS),VLOOKUP(ED333,'Jan-2026 rates'!$E:$F,2,0)))</f>
        <v>0</v>
      </c>
      <c r="ES333" s="409"/>
      <c r="ET333" s="398">
        <f>IF(ES333=0,0,IF(LEN(EE333)=11,_xlfn.XLOOKUP(EE333,'Dispensed Ink Rates'!C:C,'Dispensed Ink Rates'!CS:CS),VLOOKUP(EE333,'Jan-2026 rates'!$E:$F,2,0)))</f>
        <v>0</v>
      </c>
      <c r="EU333" s="409"/>
      <c r="EV333" s="398">
        <f>IF(EU333=0,0,IF(LEN(EF333)=11,_xlfn.XLOOKUP(EF333,'Dispensed Ink Rates'!C:C,'Dispensed Ink Rates'!CS:CS),VLOOKUP(EF333,'Jan-2026 rates'!$E:$F,2,0)))</f>
        <v>0</v>
      </c>
      <c r="EW333" s="409"/>
      <c r="EX333" s="409"/>
      <c r="EY333" s="411">
        <f t="shared" si="221"/>
        <v>0</v>
      </c>
      <c r="EZ333" s="411">
        <f t="shared" si="222"/>
        <v>0</v>
      </c>
      <c r="FA333" s="410">
        <f t="shared" si="223"/>
        <v>0</v>
      </c>
      <c r="FB333" s="405"/>
      <c r="FC333" s="409"/>
      <c r="FD333" s="420" t="str">
        <f t="shared" si="187"/>
        <v xml:space="preserve"> - </v>
      </c>
      <c r="FE333" s="409"/>
      <c r="FF333" s="411">
        <f>IF(FE333=0,0,IF($LB333=70%,VLOOKUP($FD333,'Jan-2026 rates'!$L:$R,4,0),IF($LB333=65%,VLOOKUP($FD333,'Jan-2026 rates'!$L:$R,4,0),IF($LB333=40%,VLOOKUP($FD333,'Jan-2026 rates'!$L:$R,5,0),IF($LB333=30%,VLOOKUP($FD333,'Jan-2026 rates'!$L:$R,6,0),IF($LB333=100%,VLOOKUP($FD333,'Jan-2026 rates'!$L:$R,7,0),IF($LB333=60%,VLOOKUP($FD333,'Jan-2026 rates'!$L:$S,8,0),IF($LB333=80%,VLOOKUP($FD333,'Jan-2026 rates'!L:T,9,0),0))))))))</f>
        <v>0</v>
      </c>
      <c r="FG333" s="412"/>
      <c r="FH333" s="409"/>
      <c r="FI333" s="411">
        <f>IF(FH333=0,0,IF($LB333=70%,VLOOKUP($FD333,'Jan-2026 rates'!$L:$R,4,0),IF($LB333=65%,VLOOKUP($FD333,'Jan-2026 rates'!$L:$R,4,0),IF($LB333=40%,VLOOKUP($FD333,'Jan-2026 rates'!$L:$R,5,0),IF($LB333=30%,VLOOKUP($FD333,'Jan-2026 rates'!$L:$R,6,0),IF($LB333=100%,VLOOKUP($FD333,'Jan-2026 rates'!$L:$R,7,0),IF($LB333=60%,VLOOKUP($FD333,'Jan-2026 rates'!$L:$S,8,0),IF($LB333=80%,VLOOKUP($FD333,'Jan-2026 rates'!L:T,9,0),0))))))))</f>
        <v>0</v>
      </c>
      <c r="FJ333" s="413"/>
      <c r="FK333" s="413"/>
      <c r="FL333" s="413"/>
      <c r="FM333" s="412"/>
      <c r="FN333" s="412"/>
      <c r="FO333" s="412"/>
      <c r="FP333" s="412"/>
      <c r="FQ333" s="412"/>
      <c r="FR333" s="409"/>
      <c r="FS333" s="398">
        <f>IF(FR333=0,0,IF(LEN(FJ333)=11,_xlfn.XLOOKUP(FJ333,'Dispensed Ink Rates'!C:C,'Dispensed Ink Rates'!CS:CS),VLOOKUP(FJ333,'Jan-2026 rates'!$E:$F,2,0)))</f>
        <v>0</v>
      </c>
      <c r="FT333" s="409"/>
      <c r="FU333" s="398">
        <f>IF(FT333=0,0,IF(LEN(FK333)=11,_xlfn.XLOOKUP(FK333,'Dispensed Ink Rates'!C:C,'Dispensed Ink Rates'!CS:CS),VLOOKUP(FK333,'Jan-2026 rates'!$E:$F,2,0)))</f>
        <v>0</v>
      </c>
      <c r="FV333" s="409"/>
      <c r="FW333" s="398">
        <f>IF(FV333=0,0,IF(LEN(FL333)=11,_xlfn.XLOOKUP(FL333,'Dispensed Ink Rates'!C:C,'Dispensed Ink Rates'!CS:CS),VLOOKUP(FL333,'Jan-2026 rates'!$E:$F,2,0)))</f>
        <v>0</v>
      </c>
      <c r="FX333" s="409"/>
      <c r="FY333" s="398">
        <f>IF(FX333=0,0,IF(LEN(FM333)=11,_xlfn.XLOOKUP(FM333,'Dispensed Ink Rates'!C:C,'Dispensed Ink Rates'!CS:CS),VLOOKUP(FM333,'Jan-2026 rates'!$E:$F,2,0)))</f>
        <v>0</v>
      </c>
      <c r="FZ333" s="409"/>
      <c r="GA333" s="398">
        <f>IF(FZ333=0,0,IF(LEN(FN333)=11,_xlfn.XLOOKUP(FN333,'Dispensed Ink Rates'!C:C,'Dispensed Ink Rates'!CS:CS),VLOOKUP(FN333,'Jan-2026 rates'!$E:$F,2,0)))</f>
        <v>0</v>
      </c>
      <c r="GB333" s="409"/>
      <c r="GC333" s="398">
        <f>IF(GB333=0,0,IF(LEN(FO333)=11,_xlfn.XLOOKUP(FO333,'Dispensed Ink Rates'!C:C,'Dispensed Ink Rates'!CS:CS),VLOOKUP(FO333,'Jan-2026 rates'!$E:$F,2,0)))</f>
        <v>0</v>
      </c>
      <c r="GD333" s="409"/>
      <c r="GE333" s="398">
        <f>IF(GD333=0,0,IF(LEN(FP333)=11,_xlfn.XLOOKUP(FP333,'Dispensed Ink Rates'!C:C,'Dispensed Ink Rates'!CS:CS),VLOOKUP(FP333,'Jan-2026 rates'!$E:$F,2,0)))</f>
        <v>0</v>
      </c>
      <c r="GF333" s="409"/>
      <c r="GG333" s="398">
        <f>IF(GF333=0,0,IF(LEN(FQ333)=11,_xlfn.XLOOKUP(FQ333,'Dispensed Ink Rates'!C:C,'Dispensed Ink Rates'!CS:CS),VLOOKUP(FQ333,'Jan-2026 rates'!$E:$F,2,0)))</f>
        <v>0</v>
      </c>
      <c r="GH333" s="409"/>
      <c r="GI333" s="409"/>
      <c r="GJ333" s="411">
        <f t="shared" si="224"/>
        <v>0</v>
      </c>
      <c r="GK333" s="411">
        <f t="shared" si="225"/>
        <v>0</v>
      </c>
      <c r="GL333" s="410">
        <f t="shared" si="226"/>
        <v>0</v>
      </c>
      <c r="GM333" s="405"/>
      <c r="GN333" s="409"/>
      <c r="GO333" s="420" t="str">
        <f t="shared" si="188"/>
        <v xml:space="preserve"> - </v>
      </c>
      <c r="GP333" s="409"/>
      <c r="GQ333" s="411">
        <f>IF(GP333=0,0,IF($LB333=70%,VLOOKUP($GO333,'Jan-2026 rates'!$L:$R,4,0),IF($LB333=65%,VLOOKUP($GO333,'Jan-2026 rates'!$L:$R,4,0),IF($LB333=40%,VLOOKUP($GO333,'Jan-2026 rates'!$L:$R,5,0),IF($LB333=30%,VLOOKUP($GO333,'Jan-2026 rates'!$L:$R,6,0),IF($LB333=100%,VLOOKUP($GO333,'Jan-2026 rates'!$L:$R,7,0),IF($LB333=60%,VLOOKUP($GO333,'Jan-2026 rates'!$L:$S,8,0),IF($LB333=80%,VLOOKUP($GO333,'Jan-2026 rates'!L:T,9,0),0))))))))</f>
        <v>0</v>
      </c>
      <c r="GR333" s="412"/>
      <c r="GS333" s="409"/>
      <c r="GT333" s="411">
        <f>IF(GS333=0,0,IF($LB333=70%,VLOOKUP($GO333,'Jan-2026 rates'!$L:$R,4,0),IF($LB333=65%,VLOOKUP($GO333,'Jan-2026 rates'!$L:$R,4,0),IF($LB333=40%,VLOOKUP($GO333,'Jan-2026 rates'!$L:$R,5,0),IF($LB333=30%,VLOOKUP($GO333,'Jan-2026 rates'!$L:$R,6,0),IF($LB333=100%,VLOOKUP($GO333,'Jan-2026 rates'!$L:$R,7,0),IF($LB333=60%,VLOOKUP($GO333,'Jan-2026 rates'!$L:$S,8,0),IF($LB333=80%,VLOOKUP($GO333,'Jan-2026 rates'!L:T,9,0),0))))))))</f>
        <v>0</v>
      </c>
      <c r="GU333" s="413"/>
      <c r="GV333" s="413"/>
      <c r="GW333" s="412"/>
      <c r="GX333" s="412"/>
      <c r="GY333" s="412"/>
      <c r="GZ333" s="412"/>
      <c r="HA333" s="412"/>
      <c r="HB333" s="412"/>
      <c r="HC333" s="409"/>
      <c r="HD333" s="398">
        <f>IF(HC333=0,0,IF(LEN(GU333)=11,_xlfn.XLOOKUP(GU333,'Dispensed Ink Rates'!C:C,'Dispensed Ink Rates'!CS:CS),VLOOKUP(GU333,'Jan-2026 rates'!$E:$F,2,0)))</f>
        <v>0</v>
      </c>
      <c r="HE333" s="409"/>
      <c r="HF333" s="398">
        <f>IF(HE333=0,0,IF(LEN(GV333)=11,_xlfn.XLOOKUP(GV333,'Dispensed Ink Rates'!C:C,'Dispensed Ink Rates'!CS:CS),VLOOKUP(GV333,'Jan-2026 rates'!$E:$F,2,0)))</f>
        <v>0</v>
      </c>
      <c r="HG333" s="409"/>
      <c r="HH333" s="398">
        <f>IF(HG333=0,0,IF(LEN(GW333)=11,_xlfn.XLOOKUP(GW333,'Dispensed Ink Rates'!C:C,'Dispensed Ink Rates'!CS:CS),VLOOKUP(GW333,'Jan-2026 rates'!$E:$F,2,0)))</f>
        <v>0</v>
      </c>
      <c r="HI333" s="409"/>
      <c r="HJ333" s="398">
        <f>IF(HI333=0,0,IF(LEN(GX333)=11,_xlfn.XLOOKUP(GX333,'Dispensed Ink Rates'!C:C,'Dispensed Ink Rates'!CS:CS),VLOOKUP(GX333,'Jan-2026 rates'!$E:$F,2,0)))</f>
        <v>0</v>
      </c>
      <c r="HK333" s="409"/>
      <c r="HL333" s="398">
        <f>IF(HK333=0,0,IF(LEN(GY333)=11,_xlfn.XLOOKUP(GY333,'Dispensed Ink Rates'!C:C,'Dispensed Ink Rates'!CS:CS),VLOOKUP(GY333,'Jan-2026 rates'!$E:$F,2,0)))</f>
        <v>0</v>
      </c>
      <c r="HM333" s="409"/>
      <c r="HN333" s="398">
        <f>IF(HM333=0,0,IF(LEN(GZ333)=11,_xlfn.XLOOKUP(GZ333,'Dispensed Ink Rates'!C:C,'Dispensed Ink Rates'!CS:CS),VLOOKUP(GZ333,'Jan-2026 rates'!$E:$F,2,0)))</f>
        <v>0</v>
      </c>
      <c r="HO333" s="409"/>
      <c r="HP333" s="398">
        <f>IF(HO333=0,0,IF(LEN(HA333)=11,_xlfn.XLOOKUP(HA333,'Dispensed Ink Rates'!C:C,'Dispensed Ink Rates'!CS:CS),VLOOKUP(HA333,'Jan-2026 rates'!$E:$F,2,0)))</f>
        <v>0</v>
      </c>
      <c r="HQ333" s="409"/>
      <c r="HR333" s="398">
        <f>IF(HQ333=0,0,IF(LEN(HB333)=11,_xlfn.XLOOKUP(HB333,'Dispensed Ink Rates'!C:C,'Dispensed Ink Rates'!CS:CS),VLOOKUP(HB333,'Jan-2026 rates'!$E:$F,2,0)))</f>
        <v>0</v>
      </c>
      <c r="HS333" s="409"/>
      <c r="HT333" s="409"/>
      <c r="HU333" s="411">
        <f t="shared" si="227"/>
        <v>0</v>
      </c>
      <c r="HV333" s="411">
        <f t="shared" si="228"/>
        <v>0</v>
      </c>
      <c r="HW333" s="414">
        <f t="shared" si="229"/>
        <v>0</v>
      </c>
      <c r="HX333" s="405"/>
      <c r="HY333" s="409"/>
      <c r="HZ333" s="420" t="str">
        <f t="shared" si="189"/>
        <v xml:space="preserve"> - </v>
      </c>
      <c r="IA333" s="409"/>
      <c r="IB333" s="411">
        <f>IF(IA333=0,0,IF($LB333=70%,VLOOKUP($HZ333,'Jan-2026 rates'!$L:$R,4,0),IF($LB333=65%,VLOOKUP($HZ333,'Jan-2026 rates'!$L:$R,4,0),IF($LB333=40%,VLOOKUP($HZ333,'Jan-2026 rates'!$L:$R,5,0),IF($LB333=30%,VLOOKUP($HZ333,'Jan-2026 rates'!$L:$R,6,0),IF($LB333=100%,VLOOKUP($HZ333,'Jan-2026 rates'!$L:$R,7,0),IF($LB333=60%,VLOOKUP($HZ333,'Jan-2026 rates'!$L:$S,8,0),IF($LB333=80%,VLOOKUP($HZ333,'Jan-2026 rates'!L:T,9,0),0))))))))</f>
        <v>0</v>
      </c>
      <c r="IC333" s="412"/>
      <c r="ID333" s="409"/>
      <c r="IE333" s="411">
        <f>IF(ID333=0,0,IF($LB333=70%,VLOOKUP($HZ333,'Jan-2026 rates'!$L:$R,4,0),IF($LB333=65%,VLOOKUP($HZ333,'Jan-2026 rates'!$L:$R,4,0),IF($LB333=40%,VLOOKUP($HZ333,'Jan-2026 rates'!$L:$R,5,0),IF($LB333=30%,VLOOKUP($HZ333,'Jan-2026 rates'!$L:$R,6,0),IF($LB333=100%,VLOOKUP($HZ333,'Jan-2026 rates'!$L:$R,7,0),IF($LB333=60%,VLOOKUP($HZ333,'Jan-2026 rates'!$L:$S,8,0),IF($LB333=80%,VLOOKUP($HZ333,'Jan-2026 rates'!L:T,9,0),0))))))))</f>
        <v>0</v>
      </c>
      <c r="IF333" s="412"/>
      <c r="IG333" s="413"/>
      <c r="IH333" s="412"/>
      <c r="II333" s="412"/>
      <c r="IJ333" s="412"/>
      <c r="IK333" s="412"/>
      <c r="IL333" s="412"/>
      <c r="IM333" s="412"/>
      <c r="IN333" s="409"/>
      <c r="IO333" s="398">
        <f>IF(IN333=0,0,IF(LEN(IF333)=11,_xlfn.XLOOKUP(IF333,'Dispensed Ink Rates'!C:C,'Dispensed Ink Rates'!CS:CS),VLOOKUP(IF333,'Jan-2026 rates'!$E:$F,2,0)))</f>
        <v>0</v>
      </c>
      <c r="IP333" s="409"/>
      <c r="IQ333" s="398">
        <f>IF(IP333=0,0,IF(LEN(IG333)=11,_xlfn.XLOOKUP(IG333,'Dispensed Ink Rates'!C:C,'Dispensed Ink Rates'!CS:CS),VLOOKUP(IG333,'Jan-2026 rates'!$E:$F,2,0)))</f>
        <v>0</v>
      </c>
      <c r="IR333" s="409"/>
      <c r="IS333" s="398">
        <f>IF(IR333=0,0,IF(LEN(IH333)=11,_xlfn.XLOOKUP(IH333,'Dispensed Ink Rates'!C:C,'Dispensed Ink Rates'!CS:CS),VLOOKUP(IH333,'Jan-2026 rates'!$E:$F,2,0)))</f>
        <v>0</v>
      </c>
      <c r="IT333" s="409"/>
      <c r="IU333" s="398">
        <f>IF(IT333=0,0,IF(LEN(II333)=11,_xlfn.XLOOKUP(II333,'Dispensed Ink Rates'!C:C,'Dispensed Ink Rates'!CS:CS),VLOOKUP(II333,'Jan-2026 rates'!$E:$F,2,0)))</f>
        <v>0</v>
      </c>
      <c r="IV333" s="409"/>
      <c r="IW333" s="398">
        <f>IF(IV333=0,0,IF(LEN(IJ333)=11,_xlfn.XLOOKUP(IJ333,'Dispensed Ink Rates'!C:C,'Dispensed Ink Rates'!CS:CS),VLOOKUP(IJ333,'Jan-2026 rates'!$E:$F,2,0)))</f>
        <v>0</v>
      </c>
      <c r="IX333" s="409"/>
      <c r="IY333" s="398">
        <f>IF(IX333=0,0,IF(LEN(IK333)=11,_xlfn.XLOOKUP(IK333,'Dispensed Ink Rates'!C:C,'Dispensed Ink Rates'!CS:CS),VLOOKUP(IK333,'Jan-2026 rates'!$E:$F,2,0)))</f>
        <v>0</v>
      </c>
      <c r="IZ333" s="409"/>
      <c r="JA333" s="398">
        <f>IF(IZ333=0,0,IF(LEN(IL333)=11,_xlfn.XLOOKUP(IL333,'Dispensed Ink Rates'!C:C,'Dispensed Ink Rates'!CS:CS),VLOOKUP(IL333,'Jan-2026 rates'!$E:$F,2,0)))</f>
        <v>0</v>
      </c>
      <c r="JB333" s="409"/>
      <c r="JC333" s="398">
        <f>IF(JB333=0,0,IF(LEN(IM333)=11,_xlfn.XLOOKUP(IM333,'Dispensed Ink Rates'!C:C,'Dispensed Ink Rates'!CS:CS),VLOOKUP(IM333,'Jan-2026 rates'!$E:$F,2,0)))</f>
        <v>0</v>
      </c>
      <c r="JD333" s="409"/>
      <c r="JE333" s="409"/>
      <c r="JF333" s="411">
        <f t="shared" si="230"/>
        <v>0</v>
      </c>
      <c r="JG333" s="411">
        <f t="shared" si="231"/>
        <v>0</v>
      </c>
      <c r="JH333" s="410">
        <f t="shared" si="232"/>
        <v>0</v>
      </c>
      <c r="JI333" s="405"/>
      <c r="JJ333" s="409"/>
      <c r="JK333" s="420" t="str">
        <f t="shared" si="190"/>
        <v xml:space="preserve"> - </v>
      </c>
      <c r="JL333" s="409"/>
      <c r="JM333" s="411">
        <f>IF(JL333=0,0,IF($LB333=70%,VLOOKUP($JK333,'Jan-2026 rates'!$L:$R,4,0),IF($LB333=65%,VLOOKUP($JK333,'Jan-2026 rates'!$L:$R,4,0),IF($LB333=40%,VLOOKUP($JK333,'Jan-2026 rates'!$L:$R,5,0),IF($LB333=30%,VLOOKUP($JK333,'Jan-2026 rates'!$L:$R,6,0),IF($LB333=100%,VLOOKUP($JK333,'Jan-2026 rates'!$L:$R,7,0),IF($LB333=60%,VLOOKUP($JK333,'Jan-2026 rates'!$L:$S,8,0),IF($LB333=80%,VLOOKUP($JK333,'Jan-2026 rates'!L:T,9,0),0))))))))</f>
        <v>0</v>
      </c>
      <c r="JN333" s="412"/>
      <c r="JO333" s="409"/>
      <c r="JP333" s="411">
        <f>IF(JO333=0,0,IF($LB333=70%,VLOOKUP($JK333,'Jan-2026 rates'!$L:$R,4,0),IF($LB333=65%,VLOOKUP($JK333,'Jan-2026 rates'!$L:$R,4,0),IF($LB333=40%,VLOOKUP($JK333,'Jan-2026 rates'!$L:$R,5,0),IF($LB333=30%,VLOOKUP($JK333,'Jan-2026 rates'!$L:$R,6,0),IF($LB333=100%,VLOOKUP($JK333,'Jan-2026 rates'!$L:$R,7,0),IF($LB333=60%,VLOOKUP($JK333,'Jan-2026 rates'!$L:$S,8,0),IF($LB333=80%,VLOOKUP($JK333,'Jan-2026 rates'!L:T,9,0),0))))))))</f>
        <v>0</v>
      </c>
      <c r="JQ333" s="413"/>
      <c r="JR333" s="412"/>
      <c r="JS333" s="413"/>
      <c r="JT333" s="413"/>
      <c r="JU333" s="412"/>
      <c r="JV333" s="412"/>
      <c r="JW333" s="412"/>
      <c r="JX333" s="412"/>
      <c r="JY333" s="409"/>
      <c r="JZ333" s="398">
        <f>IF(JY333=0,0,IF(LEN(JQ333)=11,_xlfn.XLOOKUP(JQ333,'Dispensed Ink Rates'!C:C,'Dispensed Ink Rates'!CS:CS),VLOOKUP(JQ333,'Jan-2026 rates'!$E:$F,2,0)))</f>
        <v>0</v>
      </c>
      <c r="KA333" s="409"/>
      <c r="KB333" s="398">
        <f>IF(KA333=0,0,IF(LEN(JR333)=11,_xlfn.XLOOKUP(JR333,'Dispensed Ink Rates'!C:C,'Dispensed Ink Rates'!CS:CS),VLOOKUP(JR333,'Jan-2026 rates'!$E:$F,2,0)))</f>
        <v>0</v>
      </c>
      <c r="KC333" s="409"/>
      <c r="KD333" s="398">
        <f>IF(KC333=0,0,IF(LEN(JS333)=11,_xlfn.XLOOKUP(JS333,'Dispensed Ink Rates'!C:C,'Dispensed Ink Rates'!CS:CS),VLOOKUP(JS333,'Jan-2026 rates'!$E:$F,2,0)))</f>
        <v>0</v>
      </c>
      <c r="KE333" s="409"/>
      <c r="KF333" s="398">
        <f>IF(KE333=0,0,IF(LEN(JT333)=11,_xlfn.XLOOKUP(JT333,'Dispensed Ink Rates'!C:C,'Dispensed Ink Rates'!CS:CS),VLOOKUP(JT333,'Jan-2026 rates'!$E:$F,2,0)))</f>
        <v>0</v>
      </c>
      <c r="KG333" s="409"/>
      <c r="KH333" s="398">
        <f>IF(KG333=0,0,IF(LEN(JU333)=11,_xlfn.XLOOKUP(JU333,'Dispensed Ink Rates'!C:C,'Dispensed Ink Rates'!CS:CS),VLOOKUP(JU333,'Jan-2026 rates'!$E:$F,2,0)))</f>
        <v>0</v>
      </c>
      <c r="KI333" s="409"/>
      <c r="KJ333" s="398">
        <f>IF(KI333=0,0,IF(LEN(JV333)=11,_xlfn.XLOOKUP(JV333,'Dispensed Ink Rates'!C:C,'Dispensed Ink Rates'!CS:CS),VLOOKUP(JV333,'Jan-2026 rates'!$E:$F,2,0)))</f>
        <v>0</v>
      </c>
      <c r="KK333" s="409"/>
      <c r="KL333" s="398">
        <f>IF(KK333=0,0,IF(LEN(JW333)=11,_xlfn.XLOOKUP(JW333,'Dispensed Ink Rates'!C:C,'Dispensed Ink Rates'!CS:CS),VLOOKUP(JW333,'Jan-2026 rates'!$E:$F,2,0)))</f>
        <v>0</v>
      </c>
      <c r="KM333" s="428"/>
      <c r="KN333" s="398">
        <f>IF(KM333=0,0,IF(LEN(JX333)=11,_xlfn.XLOOKUP(JX333,'Dispensed Ink Rates'!C:C,'Dispensed Ink Rates'!CS:CS),VLOOKUP(JX333,'Jan-2026 rates'!$E:$F,2,0)))</f>
        <v>0</v>
      </c>
      <c r="KO333" s="409"/>
      <c r="KP333" s="409"/>
      <c r="KQ333" s="411">
        <f t="shared" si="233"/>
        <v>0</v>
      </c>
      <c r="KR333" s="411">
        <f t="shared" si="234"/>
        <v>0</v>
      </c>
      <c r="KS333" s="410">
        <f t="shared" si="235"/>
        <v>0</v>
      </c>
      <c r="KT333" s="409">
        <v>2</v>
      </c>
      <c r="KU333" s="409">
        <v>10</v>
      </c>
      <c r="KV333" s="409">
        <v>0</v>
      </c>
      <c r="KW333" s="409">
        <v>0</v>
      </c>
      <c r="KX333" s="409">
        <v>0</v>
      </c>
      <c r="KY333" s="409">
        <v>0</v>
      </c>
      <c r="KZ333" s="409">
        <v>0</v>
      </c>
      <c r="LA333" s="409">
        <v>0</v>
      </c>
      <c r="LB333" s="415">
        <v>0.3</v>
      </c>
      <c r="LC333" s="415"/>
      <c r="LD333" s="424"/>
      <c r="LE333" s="415">
        <v>0.5</v>
      </c>
      <c r="LF333" s="415">
        <v>0.2</v>
      </c>
      <c r="LG333" s="409">
        <v>0</v>
      </c>
      <c r="LH333" s="409">
        <f>12+12+6+10+4</f>
        <v>44</v>
      </c>
      <c r="LI333" s="409">
        <v>0</v>
      </c>
      <c r="LJ333" s="409">
        <v>0</v>
      </c>
      <c r="LK333" s="416">
        <f t="shared" si="191"/>
        <v>44</v>
      </c>
      <c r="LL333" s="416">
        <f t="shared" si="237"/>
        <v>44</v>
      </c>
      <c r="LM333" s="417">
        <f t="shared" si="193"/>
        <v>13.2</v>
      </c>
      <c r="LN333" s="417">
        <f>VLOOKUP($LM$8,'Jan-2026 rates'!$H:$I,2,0)</f>
        <v>0</v>
      </c>
      <c r="LO333" s="417">
        <f t="shared" si="194"/>
        <v>0</v>
      </c>
      <c r="LP333" s="417">
        <f>VLOOKUP($LO$8,'Jan-2026 rates'!$H:$I,2,0)</f>
        <v>0</v>
      </c>
      <c r="LQ333" s="417">
        <f t="shared" si="195"/>
        <v>0</v>
      </c>
      <c r="LR333" s="417">
        <f>VLOOKUP($LQ$8,'Jan-2026 rates'!$H:$I,2,0)</f>
        <v>0</v>
      </c>
      <c r="LS333" s="417">
        <f t="shared" si="196"/>
        <v>22</v>
      </c>
      <c r="LT333" s="417">
        <f>VLOOKUP($LS$8,'Jan-2026 rates'!$H:$I,2,0)</f>
        <v>0</v>
      </c>
      <c r="LU333" s="417">
        <f t="shared" si="197"/>
        <v>8.8000000000000007</v>
      </c>
      <c r="LV333" s="417">
        <f>VLOOKUP($LU$8,'Jan-2026 rates'!$H:$I,2,0)</f>
        <v>0</v>
      </c>
      <c r="LW333" s="417">
        <f t="shared" si="198"/>
        <v>0</v>
      </c>
      <c r="LX333" s="417">
        <f t="shared" si="199"/>
        <v>0</v>
      </c>
      <c r="LY333" s="418">
        <f t="shared" si="200"/>
        <v>0</v>
      </c>
      <c r="LZ333" s="417"/>
      <c r="MA333" s="435">
        <f t="shared" si="201"/>
        <v>26.5</v>
      </c>
      <c r="MB333" s="282">
        <f t="shared" si="202"/>
        <v>68.5</v>
      </c>
      <c r="MC333" s="283" t="s">
        <v>2072</v>
      </c>
      <c r="MD333" s="284" t="str">
        <f t="shared" si="203"/>
        <v>ToyoLiToyoLi</v>
      </c>
      <c r="ME333" s="293" t="str">
        <f t="shared" si="204"/>
        <v>+</v>
      </c>
      <c r="MF333" s="293" t="str">
        <f t="shared" si="205"/>
        <v>+</v>
      </c>
      <c r="MG333" s="293" t="str">
        <f t="shared" si="206"/>
        <v>NIL</v>
      </c>
      <c r="MH333" s="293" t="str">
        <f t="shared" si="207"/>
        <v>NIL</v>
      </c>
      <c r="MI333" s="293" t="str">
        <f t="shared" si="208"/>
        <v>NIL</v>
      </c>
      <c r="MJ333" s="293" t="str">
        <f t="shared" si="209"/>
        <v>NIL</v>
      </c>
      <c r="MK333" s="293" t="str">
        <f t="shared" si="210"/>
        <v>NIL</v>
      </c>
      <c r="ML333" s="293" t="str">
        <f t="shared" si="211"/>
        <v>NIL</v>
      </c>
      <c r="MM333" s="3" t="b">
        <f t="array" ref="MM333">OR(ME333:ML333="-")</f>
        <v>0</v>
      </c>
      <c r="MO333" s="401">
        <f t="shared" si="238"/>
        <v>23.378839590443686</v>
      </c>
      <c r="MP333" s="286"/>
      <c r="MR333" s="402">
        <f t="shared" si="239"/>
        <v>4.5364238410596025E-3</v>
      </c>
      <c r="MS333" s="400">
        <f t="shared" si="240"/>
        <v>0</v>
      </c>
      <c r="MT333" s="285"/>
      <c r="NH333" s="361"/>
      <c r="NJ333" s="282"/>
    </row>
    <row r="334" spans="1:374" ht="16.5">
      <c r="A334" s="403">
        <v>46048</v>
      </c>
      <c r="B334" s="404" t="s">
        <v>1015</v>
      </c>
      <c r="C334" s="405" t="s">
        <v>4611</v>
      </c>
      <c r="D334" s="404" t="s">
        <v>2073</v>
      </c>
      <c r="E334" s="404">
        <v>3599</v>
      </c>
      <c r="F334" s="407">
        <v>220200</v>
      </c>
      <c r="G334" s="407" t="s">
        <v>1016</v>
      </c>
      <c r="H334" s="408" t="s">
        <v>1017</v>
      </c>
      <c r="I334" s="409">
        <v>1.95</v>
      </c>
      <c r="J334" s="405" t="s">
        <v>543</v>
      </c>
      <c r="K334" s="404"/>
      <c r="L334" s="419" t="str">
        <f t="shared" si="184"/>
        <v>ToyoLi - BLACK</v>
      </c>
      <c r="M334" s="404"/>
      <c r="N334" s="410">
        <f>IF(M334=0,0,IF($LB334=70%,VLOOKUP($L334,'Jan-2026 rates'!$L:$R,4,0),IF($LB334=65%,VLOOKUP($L334,'Jan-2026 rates'!$L:$R,4,0),IF($LB334=40%,VLOOKUP($L334,'Jan-2026 rates'!$L:$R,5,0),IF($LB334=30%,VLOOKUP($L334,'Jan-2026 rates'!$L:$R,6,0),IF($LB334=100%,VLOOKUP($L334,'Jan-2026 rates'!$L:$R,7,0),IF($LB334=60%,VLOOKUP($L334,'Jan-2026 rates'!$L:$S,8,0),IF($LB334=80%,VLOOKUP($L334,'Jan-2026 rates'!L:T,9,0),0))))))))</f>
        <v>0</v>
      </c>
      <c r="O334" s="406"/>
      <c r="P334" s="404"/>
      <c r="Q334" s="410">
        <f>IF(P334=0,0,IF($LB334=70%,VLOOKUP($L334,'Jan-2026 rates'!$L:$R,4,0),IF($LB334=65%,VLOOKUP($L334,'Jan-2026 rates'!$L:$R,4,0),IF($LB334=40%,VLOOKUP($L334,'Jan-2026 rates'!$L:$R,5,0),IF($LB334=30%,VLOOKUP($L334,'Jan-2026 rates'!$L:$R,6,0),IF($LB334=100%,VLOOKUP($L334,'Jan-2026 rates'!$L:$R,7,0),IF($LB334=60%,VLOOKUP($L334,'Jan-2026 rates'!$L:$S,8,0),IF($LB334=80%,VLOOKUP($L334,'Jan-2026 rates'!L:T,9,0),0))))))))</f>
        <v>0</v>
      </c>
      <c r="R334" s="406" t="s">
        <v>1252</v>
      </c>
      <c r="S334" s="406" t="s">
        <v>1921</v>
      </c>
      <c r="T334" s="406"/>
      <c r="U334" s="406"/>
      <c r="V334" s="406"/>
      <c r="W334" s="406"/>
      <c r="X334" s="406"/>
      <c r="Y334" s="406"/>
      <c r="Z334" s="404">
        <f>15+10</f>
        <v>25</v>
      </c>
      <c r="AA334" s="398">
        <f>IF(Z334=0,0,IF(LEN(R334)=11,_xlfn.XLOOKUP(R334,'Dispensed Ink Rates'!C:C,'Dispensed Ink Rates'!CS:CS),VLOOKUP(R334,'Jan-2026 rates'!$E:$F,2,0)))</f>
        <v>0</v>
      </c>
      <c r="AB334" s="404">
        <v>5</v>
      </c>
      <c r="AC334" s="398">
        <f>IF(AB334=0,0,IF(LEN(S334)=11,_xlfn.XLOOKUP(S334,'Dispensed Ink Rates'!C:C,'Dispensed Ink Rates'!CS:CS),VLOOKUP(S334,'Jan-2026 rates'!$E:$F,2,0)))</f>
        <v>0</v>
      </c>
      <c r="AD334" s="404"/>
      <c r="AE334" s="398">
        <f>IF(AD334=0,0,IF(LEN(T334)=11,_xlfn.XLOOKUP(T334,'Dispensed Ink Rates'!C:C,'Dispensed Ink Rates'!CS:CS),VLOOKUP(T334,'Jan-2026 rates'!$E:$F,2,0)))</f>
        <v>0</v>
      </c>
      <c r="AF334" s="404"/>
      <c r="AG334" s="398">
        <f>IF(AF334=0,0,IF(LEN(U334)=11,_xlfn.XLOOKUP(U334,'Dispensed Ink Rates'!C:C,'Dispensed Ink Rates'!CS:CS),VLOOKUP(U334,'Jan-2026 rates'!$E:$F,2,0)))</f>
        <v>0</v>
      </c>
      <c r="AH334" s="404"/>
      <c r="AI334" s="398">
        <f>IF(AH334=0,0,IF(LEN(V334)=11,_xlfn.XLOOKUP(V334,'Dispensed Ink Rates'!C:C,'Dispensed Ink Rates'!CS:CS),VLOOKUP(V334,'Jan-2026 rates'!$E:$F,2,0)))</f>
        <v>0</v>
      </c>
      <c r="AJ334" s="404"/>
      <c r="AK334" s="398">
        <f>IF(AJ334=0,0,IF(LEN(W334)=11,_xlfn.XLOOKUP(W334,'Dispensed Ink Rates'!C:C,'Dispensed Ink Rates'!CS:CS),VLOOKUP(W334,'Jan-2026 rates'!$E:$F,2,0)))</f>
        <v>0</v>
      </c>
      <c r="AL334" s="404"/>
      <c r="AM334" s="398">
        <f>IF(AL334=0,0,IF(LEN(X334)=11,_xlfn.XLOOKUP(X334,'Dispensed Ink Rates'!C:C,'Dispensed Ink Rates'!CS:CS),VLOOKUP(X334,'Jan-2026 rates'!$E:$F,2,0)))</f>
        <v>0</v>
      </c>
      <c r="AN334" s="404"/>
      <c r="AO334" s="398">
        <f>IF(AN334=0,0,IF(LEN(Y334)=11,_xlfn.XLOOKUP(Y334,'Dispensed Ink Rates'!C:C,'Dispensed Ink Rates'!CS:CS),VLOOKUP(Y334,'Jan-2026 rates'!$E:$F,2,0)))</f>
        <v>0</v>
      </c>
      <c r="AP334" s="409" t="s">
        <v>1881</v>
      </c>
      <c r="AQ334" s="409">
        <f>13+15</f>
        <v>28</v>
      </c>
      <c r="AR334" s="410">
        <f t="shared" si="212"/>
        <v>0</v>
      </c>
      <c r="AS334" s="411">
        <f t="shared" si="213"/>
        <v>56.966442953020135</v>
      </c>
      <c r="AT334" s="410">
        <f t="shared" si="214"/>
        <v>0</v>
      </c>
      <c r="AU334" s="405" t="s">
        <v>543</v>
      </c>
      <c r="AV334" s="409" t="s">
        <v>4612</v>
      </c>
      <c r="AW334" s="420" t="str">
        <f t="shared" si="236"/>
        <v>ToyoLi - BLACK</v>
      </c>
      <c r="AX334" s="409">
        <v>16</v>
      </c>
      <c r="AY334" s="411">
        <f>IF(AX334=0,0,IF($LB334=70%,VLOOKUP($AW334,'Jan-2026 rates'!$L:$R,4,0),IF($LB334=65%,VLOOKUP($AW334,'Jan-2026 rates'!$L:$R,4,0),IF($LB334=40%,VLOOKUP($AW334,'Jan-2026 rates'!$L:$R,5,0),IF($LB334=30%,VLOOKUP($AW334,'Jan-2026 rates'!$L:$R,6,0),IF($LB334=100%,VLOOKUP($AW334,'Jan-2026 rates'!$L:$R,7,0),IF($LB334=60%,VLOOKUP($AW334,'Jan-2026 rates'!$L:$S,8,0),IF($LB334=80%,VLOOKUP($AW334,'Jan-2026 rates'!L:T,9,0),0))))))))</f>
        <v>0</v>
      </c>
      <c r="AZ334" s="412" t="s">
        <v>4613</v>
      </c>
      <c r="BA334" s="409">
        <f>20+18</f>
        <v>38</v>
      </c>
      <c r="BB334" s="411">
        <f>IF(BA334=0,0,IF($LB334=70%,VLOOKUP($AW334,'Jan-2026 rates'!$L:$R,4,0),IF($LB334=65%,VLOOKUP($AW334,'Jan-2026 rates'!$L:$R,4,0),IF($LB334=40%,VLOOKUP($AW334,'Jan-2026 rates'!$L:$R,5,0),IF($LB334=30%,VLOOKUP($AW334,'Jan-2026 rates'!$L:$R,6,0),IF($LB334=100%,VLOOKUP($AW334,'Jan-2026 rates'!$L:$R,7,0),IF($LB334=60%,VLOOKUP($AW334,'Jan-2026 rates'!$L:$S,8,0),IF($LB334=80%,VLOOKUP($AW334,'Jan-2026 rates'!L:T,9,0),0))))))))</f>
        <v>0</v>
      </c>
      <c r="BC334" s="413" t="s">
        <v>1252</v>
      </c>
      <c r="BD334" s="412"/>
      <c r="BE334" s="412"/>
      <c r="BF334" s="413"/>
      <c r="BG334" s="412"/>
      <c r="BH334" s="412"/>
      <c r="BI334" s="412"/>
      <c r="BJ334" s="412"/>
      <c r="BK334" s="409">
        <f>20+10+10</f>
        <v>40</v>
      </c>
      <c r="BL334" s="398">
        <f>IF(BK334=0,0,IF(LEN(BC334)=11,_xlfn.XLOOKUP(BC334,'Dispensed Ink Rates'!C:C,'Dispensed Ink Rates'!CS:CS),VLOOKUP(BC334,'Jan-2026 rates'!$E:$F,2,0)))</f>
        <v>0</v>
      </c>
      <c r="BM334" s="409"/>
      <c r="BN334" s="398">
        <f>IF(BM334=0,0,IF(LEN(BD334)=11,_xlfn.XLOOKUP(BD334,'Dispensed Ink Rates'!C:C,'Dispensed Ink Rates'!CS:CS),VLOOKUP(BD334,'Jan-2026 rates'!$E:$F,2,0)))</f>
        <v>0</v>
      </c>
      <c r="BO334" s="409"/>
      <c r="BP334" s="398">
        <f>IF(BO334=0,0,IF(LEN(BE334)=11,_xlfn.XLOOKUP(BE334,'Dispensed Ink Rates'!C:C,'Dispensed Ink Rates'!CS:CS),VLOOKUP(BE334,'Jan-2026 rates'!$E:$F,2,0)))</f>
        <v>0</v>
      </c>
      <c r="BQ334" s="409"/>
      <c r="BR334" s="398">
        <f>IF(BQ334=0,0,IF(LEN(BF334)=11,_xlfn.XLOOKUP(BF334,'Dispensed Ink Rates'!C:C,'Dispensed Ink Rates'!CS:CS),VLOOKUP(BF334,'Jan-2026 rates'!$E:$F,2,0)))</f>
        <v>0</v>
      </c>
      <c r="BS334" s="409"/>
      <c r="BT334" s="398">
        <f>IF(BS334=0,0,IF(LEN(BG334)=11,_xlfn.XLOOKUP(BG334,'Dispensed Ink Rates'!C:C,'Dispensed Ink Rates'!CS:CS),VLOOKUP(BG334,'Jan-2026 rates'!$E:$F,2,0)))</f>
        <v>0</v>
      </c>
      <c r="BU334" s="409"/>
      <c r="BV334" s="398">
        <f>IF(BU334=0,0,IF(LEN(BH334)=11,_xlfn.XLOOKUP(BH334,'Dispensed Ink Rates'!C:C,'Dispensed Ink Rates'!CS:CS),VLOOKUP(BH334,'Jan-2026 rates'!$E:$F,2,0)))</f>
        <v>0</v>
      </c>
      <c r="BW334" s="409"/>
      <c r="BX334" s="398">
        <f>IF(BW334=0,0,IF(LEN(BI334)=11,_xlfn.XLOOKUP(BI334,'Dispensed Ink Rates'!C:C,'Dispensed Ink Rates'!CS:CS),VLOOKUP(BI334,'Jan-2026 rates'!$E:$F,2,0)))</f>
        <v>0</v>
      </c>
      <c r="BY334" s="409"/>
      <c r="BZ334" s="398">
        <f>IF(BY334=0,0,IF(LEN(BJ334)=11,_xlfn.XLOOKUP(BJ334,'Dispensed Ink Rates'!C:C,'Dispensed Ink Rates'!CS:CS),VLOOKUP(BJ334,'Jan-2026 rates'!$E:$F,2,0)))</f>
        <v>0</v>
      </c>
      <c r="CA334" s="409" t="s">
        <v>1881</v>
      </c>
      <c r="CB334" s="409">
        <f>11+13</f>
        <v>24</v>
      </c>
      <c r="CC334" s="411">
        <f t="shared" si="215"/>
        <v>0</v>
      </c>
      <c r="CD334" s="411">
        <f t="shared" si="216"/>
        <v>137.65100671140939</v>
      </c>
      <c r="CE334" s="410">
        <f t="shared" si="217"/>
        <v>0</v>
      </c>
      <c r="CF334" s="404" t="s">
        <v>857</v>
      </c>
      <c r="CG334" s="409" t="s">
        <v>4614</v>
      </c>
      <c r="CH334" s="420" t="str">
        <f t="shared" si="185"/>
        <v>ToyoLi - RED</v>
      </c>
      <c r="CI334" s="409">
        <v>18</v>
      </c>
      <c r="CJ334" s="411">
        <f>IF(CI334=0,0,IF($LB334=70%,VLOOKUP($CH334,'Jan-2026 rates'!$L:$R,4,0),IF($LB334=65%,VLOOKUP($CH334,'Jan-2026 rates'!$L:$R,4,0),IF($LB334=40%,VLOOKUP($CH334,'Jan-2026 rates'!$L:$R,5,0),IF($LB334=30%,VLOOKUP($CH334,'Jan-2026 rates'!$L:$R,6,0),IF($LB334=100%,VLOOKUP($CH334,'Jan-2026 rates'!$L:$R,7,0),IF($LB334=60%,VLOOKUP($CH334,'Jan-2026 rates'!$L:$S,8,0),IF($LB334=80%,VLOOKUP($CH334,'Jan-2026 rates'!L:T,9,0),0))))))))</f>
        <v>0</v>
      </c>
      <c r="CK334" s="412" t="s">
        <v>4615</v>
      </c>
      <c r="CL334" s="409">
        <v>8</v>
      </c>
      <c r="CM334" s="411">
        <f>IF(CL334=0,0,IF($LB334=70%,VLOOKUP($CH334,'Jan-2026 rates'!$L:$R,4,0),IF($LB334=65%,VLOOKUP($CH334,'Jan-2026 rates'!$L:$R,4,0),IF($LB334=40%,VLOOKUP($CH334,'Jan-2026 rates'!$L:$R,5,0),IF($LB334=30%,VLOOKUP($CH334,'Jan-2026 rates'!$L:$R,6,0),IF($LB334=100%,VLOOKUP($CH334,'Jan-2026 rates'!$L:$R,7,0),IF($LB334=60%,VLOOKUP($CH334,'Jan-2026 rates'!$L:$S,8,0),IF($LB334=80%,VLOOKUP($CH334,'Jan-2026 rates'!L:T,9,0),0))))))))</f>
        <v>0</v>
      </c>
      <c r="CN334" s="426" t="s">
        <v>1248</v>
      </c>
      <c r="CO334" s="427" t="s">
        <v>1246</v>
      </c>
      <c r="CP334" s="426" t="s">
        <v>1505</v>
      </c>
      <c r="CQ334" s="426"/>
      <c r="CR334" s="428"/>
      <c r="CS334" s="428"/>
      <c r="CT334" s="428"/>
      <c r="CU334" s="428"/>
      <c r="CV334" s="409">
        <f>60+80+60+15</f>
        <v>215</v>
      </c>
      <c r="CW334" s="398">
        <f>IF(CV334=0,0,IF(LEN(CN334)=11,_xlfn.XLOOKUP(CN334,'Dispensed Ink Rates'!C:C,'Dispensed Ink Rates'!CS:CS),VLOOKUP(CN334,'Jan-2026 rates'!$E:$F,2,0)))</f>
        <v>0</v>
      </c>
      <c r="CX334" s="409">
        <f>60+80+60+15</f>
        <v>215</v>
      </c>
      <c r="CY334" s="398">
        <f>IF(CX334=0,0,IF(LEN(CO334)=11,_xlfn.XLOOKUP(CO334,'Dispensed Ink Rates'!C:C,'Dispensed Ink Rates'!CS:CS),VLOOKUP(CO334,'Jan-2026 rates'!$E:$F,2,0)))</f>
        <v>0</v>
      </c>
      <c r="CZ334" s="409">
        <v>10</v>
      </c>
      <c r="DA334" s="398">
        <f>IF(CZ334=0,0,IF(LEN(CP334)=11,_xlfn.XLOOKUP(CP334,'Dispensed Ink Rates'!C:C,'Dispensed Ink Rates'!CS:CS),VLOOKUP(CP334,'Jan-2026 rates'!$E:$F,2,0)))</f>
        <v>0</v>
      </c>
      <c r="DB334" s="409"/>
      <c r="DC334" s="398">
        <f>IF(DB334=0,0,IF(LEN(CQ334)=11,_xlfn.XLOOKUP(CQ334,'Dispensed Ink Rates'!C:C,'Dispensed Ink Rates'!CS:CS),VLOOKUP(CQ334,'Jan-2026 rates'!$E:$F,2,0)))</f>
        <v>0</v>
      </c>
      <c r="DD334" s="409"/>
      <c r="DE334" s="398">
        <f>IF(DD334=0,0,IF(LEN(CR334)=11,_xlfn.XLOOKUP(CR334,'Dispensed Ink Rates'!C:C,'Dispensed Ink Rates'!CS:CS),VLOOKUP(CR334,'Jan-2026 rates'!$E:$F,2,0)))</f>
        <v>0</v>
      </c>
      <c r="DF334" s="409"/>
      <c r="DG334" s="398">
        <f>IF(DF334=0,0,IF(LEN(CS334)=11,_xlfn.XLOOKUP(CS334,'Dispensed Ink Rates'!C:C,'Dispensed Ink Rates'!CS:CS),VLOOKUP(CS334,'Jan-2026 rates'!$E:$F,2,0)))</f>
        <v>0</v>
      </c>
      <c r="DH334" s="409"/>
      <c r="DI334" s="398">
        <f>IF(DH334=0,0,IF(LEN(CT334)=11,_xlfn.XLOOKUP(CT334,'Dispensed Ink Rates'!C:C,'Dispensed Ink Rates'!CS:CS),VLOOKUP(CT334,'Jan-2026 rates'!$E:$F,2,0)))</f>
        <v>0</v>
      </c>
      <c r="DJ334" s="409"/>
      <c r="DK334" s="398">
        <f>IF(DJ334=0,0,IF(LEN(CU334)=11,_xlfn.XLOOKUP(CU334,'Dispensed Ink Rates'!C:C,'Dispensed Ink Rates'!CS:CS),VLOOKUP(CU334,'Jan-2026 rates'!$E:$F,2,0)))</f>
        <v>0</v>
      </c>
      <c r="DL334" s="409" t="s">
        <v>1881</v>
      </c>
      <c r="DM334" s="409">
        <f>19+15+5</f>
        <v>39</v>
      </c>
      <c r="DN334" s="411">
        <f t="shared" si="218"/>
        <v>0</v>
      </c>
      <c r="DO334" s="411">
        <f t="shared" si="219"/>
        <v>680.69127516778519</v>
      </c>
      <c r="DP334" s="410">
        <f t="shared" si="220"/>
        <v>0</v>
      </c>
      <c r="DQ334" s="405" t="s">
        <v>855</v>
      </c>
      <c r="DR334" s="409" t="s">
        <v>4616</v>
      </c>
      <c r="DS334" s="420" t="str">
        <f t="shared" si="186"/>
        <v>ToyoLi - CYAN</v>
      </c>
      <c r="DT334" s="409">
        <v>10</v>
      </c>
      <c r="DU334" s="411">
        <f>IF(DT334=0,0,IF($LB334=70%,VLOOKUP($DS334,'Jan-2026 rates'!$L:$R,4,0),IF($LB334=65%,VLOOKUP($DS334,'Jan-2026 rates'!$L:$R,4,0),IF($LB334=40%,VLOOKUP($DS334,'Jan-2026 rates'!$L:$R,5,0),IF($LB334=30%,VLOOKUP($DS334,'Jan-2026 rates'!$L:$R,6,0),IF($LB334=100%,VLOOKUP($DS334,'Jan-2026 rates'!$L:$R,7,0),IF($LB334=60%,VLOOKUP($DS334,'Jan-2026 rates'!$L:$S,8,0),IF($LB334=80%,VLOOKUP($DS334,'Jan-2026 rates'!L:T,9,0),0))))))))</f>
        <v>0</v>
      </c>
      <c r="DV334" s="412"/>
      <c r="DW334" s="409"/>
      <c r="DX334" s="411">
        <f>IF(DW334=0,0,IF($LB334=70%,VLOOKUP($DS334,'Jan-2026 rates'!$L:$R,4,0),IF($LB334=65%,VLOOKUP($DS334,'Jan-2026 rates'!$L:$R,4,0),IF($LB334=40%,VLOOKUP($DS334,'Jan-2026 rates'!$L:$R,5,0),IF($LB334=30%,VLOOKUP($DS334,'Jan-2026 rates'!$L:$R,6,0),IF($LB334=100%,VLOOKUP($DS334,'Jan-2026 rates'!$L:$R,7,0),IF($LB334=60%,VLOOKUP($DS334,'Jan-2026 rates'!$L:$S,8,0),IF($LB334=80%,VLOOKUP($DS334,'Jan-2026 rates'!L:T,9,0),0))))))))</f>
        <v>0</v>
      </c>
      <c r="DY334" s="413" t="s">
        <v>1250</v>
      </c>
      <c r="DZ334" s="413"/>
      <c r="EA334" s="412"/>
      <c r="EB334" s="412"/>
      <c r="EC334" s="412"/>
      <c r="ED334" s="412"/>
      <c r="EE334" s="412"/>
      <c r="EF334" s="412"/>
      <c r="EG334" s="409">
        <f>3+8</f>
        <v>11</v>
      </c>
      <c r="EH334" s="398">
        <f>IF(EG334=0,0,IF(LEN(DY334)=11,_xlfn.XLOOKUP(DY334,'Dispensed Ink Rates'!C:C,'Dispensed Ink Rates'!CS:CS),VLOOKUP(DY334,'Jan-2026 rates'!$E:$F,2,0)))</f>
        <v>0</v>
      </c>
      <c r="EI334" s="409"/>
      <c r="EJ334" s="398">
        <f>IF(EI334=0,0,IF(LEN(DZ334)=11,_xlfn.XLOOKUP(DZ334,'Dispensed Ink Rates'!C:C,'Dispensed Ink Rates'!CS:CS),VLOOKUP(DZ334,'Jan-2026 rates'!$E:$F,2,0)))</f>
        <v>0</v>
      </c>
      <c r="EK334" s="409"/>
      <c r="EL334" s="398">
        <f>IF(EK334=0,0,IF(LEN(EA334)=11,_xlfn.XLOOKUP(EA334,'Dispensed Ink Rates'!C:C,'Dispensed Ink Rates'!CS:CS),VLOOKUP(EA334,'Jan-2026 rates'!$E:$F,2,0)))</f>
        <v>0</v>
      </c>
      <c r="EM334" s="409"/>
      <c r="EN334" s="398">
        <f>IF(EM334=0,0,IF(LEN(EB334)=11,_xlfn.XLOOKUP(EB334,'Dispensed Ink Rates'!C:C,'Dispensed Ink Rates'!CS:CS),VLOOKUP(EB334,'Jan-2026 rates'!$E:$F,2,0)))</f>
        <v>0</v>
      </c>
      <c r="EO334" s="409"/>
      <c r="EP334" s="398">
        <f>IF(EO334=0,0,IF(LEN(EC334)=11,_xlfn.XLOOKUP(EC334,'Dispensed Ink Rates'!C:C,'Dispensed Ink Rates'!CS:CS),VLOOKUP(EC334,'Jan-2026 rates'!$E:$F,2,0)))</f>
        <v>0</v>
      </c>
      <c r="EQ334" s="409"/>
      <c r="ER334" s="398">
        <f>IF(EQ334=0,0,IF(LEN(ED334)=11,_xlfn.XLOOKUP(ED334,'Dispensed Ink Rates'!C:C,'Dispensed Ink Rates'!CS:CS),VLOOKUP(ED334,'Jan-2026 rates'!$E:$F,2,0)))</f>
        <v>0</v>
      </c>
      <c r="ES334" s="409"/>
      <c r="ET334" s="398">
        <f>IF(ES334=0,0,IF(LEN(EE334)=11,_xlfn.XLOOKUP(EE334,'Dispensed Ink Rates'!C:C,'Dispensed Ink Rates'!CS:CS),VLOOKUP(EE334,'Jan-2026 rates'!$E:$F,2,0)))</f>
        <v>0</v>
      </c>
      <c r="EU334" s="409"/>
      <c r="EV334" s="398">
        <f>IF(EU334=0,0,IF(LEN(EF334)=11,_xlfn.XLOOKUP(EF334,'Dispensed Ink Rates'!C:C,'Dispensed Ink Rates'!CS:CS),VLOOKUP(EF334,'Jan-2026 rates'!$E:$F,2,0)))</f>
        <v>0</v>
      </c>
      <c r="EW334" s="409" t="s">
        <v>1881</v>
      </c>
      <c r="EX334" s="409">
        <f>12+12</f>
        <v>24</v>
      </c>
      <c r="EY334" s="411">
        <f t="shared" si="221"/>
        <v>0</v>
      </c>
      <c r="EZ334" s="411">
        <f t="shared" si="222"/>
        <v>13.912751677852349</v>
      </c>
      <c r="FA334" s="410">
        <f t="shared" si="223"/>
        <v>0</v>
      </c>
      <c r="FB334" s="405" t="s">
        <v>544</v>
      </c>
      <c r="FC334" s="409" t="s">
        <v>4617</v>
      </c>
      <c r="FD334" s="420" t="str">
        <f t="shared" si="187"/>
        <v>ToyoLi - MAGENTA</v>
      </c>
      <c r="FE334" s="409">
        <f>18+8</f>
        <v>26</v>
      </c>
      <c r="FF334" s="411">
        <f>IF(FE334=0,0,IF($LB334=70%,VLOOKUP($FD334,'Jan-2026 rates'!$L:$R,4,0),IF($LB334=65%,VLOOKUP($FD334,'Jan-2026 rates'!$L:$R,4,0),IF($LB334=40%,VLOOKUP($FD334,'Jan-2026 rates'!$L:$R,5,0),IF($LB334=30%,VLOOKUP($FD334,'Jan-2026 rates'!$L:$R,6,0),IF($LB334=100%,VLOOKUP($FD334,'Jan-2026 rates'!$L:$R,7,0),IF($LB334=60%,VLOOKUP($FD334,'Jan-2026 rates'!$L:$S,8,0),IF($LB334=80%,VLOOKUP($FD334,'Jan-2026 rates'!L:T,9,0),0))))))))</f>
        <v>0</v>
      </c>
      <c r="FG334" s="412" t="s">
        <v>4618</v>
      </c>
      <c r="FH334" s="409">
        <v>18</v>
      </c>
      <c r="FI334" s="411">
        <f>IF(FH334=0,0,IF($LB334=70%,VLOOKUP($FD334,'Jan-2026 rates'!$L:$R,4,0),IF($LB334=65%,VLOOKUP($FD334,'Jan-2026 rates'!$L:$R,4,0),IF($LB334=40%,VLOOKUP($FD334,'Jan-2026 rates'!$L:$R,5,0),IF($LB334=30%,VLOOKUP($FD334,'Jan-2026 rates'!$L:$R,6,0),IF($LB334=100%,VLOOKUP($FD334,'Jan-2026 rates'!$L:$R,7,0),IF($LB334=60%,VLOOKUP($FD334,'Jan-2026 rates'!$L:$S,8,0),IF($LB334=80%,VLOOKUP($FD334,'Jan-2026 rates'!L:T,9,0),0))))))))</f>
        <v>0</v>
      </c>
      <c r="FJ334" s="413" t="s">
        <v>1921</v>
      </c>
      <c r="FK334" s="413"/>
      <c r="FL334" s="413"/>
      <c r="FM334" s="412"/>
      <c r="FN334" s="412"/>
      <c r="FO334" s="412"/>
      <c r="FP334" s="412"/>
      <c r="FQ334" s="412"/>
      <c r="FR334" s="409">
        <v>5</v>
      </c>
      <c r="FS334" s="398">
        <f>IF(FR334=0,0,IF(LEN(FJ334)=11,_xlfn.XLOOKUP(FJ334,'Dispensed Ink Rates'!C:C,'Dispensed Ink Rates'!CS:CS),VLOOKUP(FJ334,'Jan-2026 rates'!$E:$F,2,0)))</f>
        <v>0</v>
      </c>
      <c r="FT334" s="409"/>
      <c r="FU334" s="398">
        <f>IF(FT334=0,0,IF(LEN(FK334)=11,_xlfn.XLOOKUP(FK334,'Dispensed Ink Rates'!C:C,'Dispensed Ink Rates'!CS:CS),VLOOKUP(FK334,'Jan-2026 rates'!$E:$F,2,0)))</f>
        <v>0</v>
      </c>
      <c r="FV334" s="409"/>
      <c r="FW334" s="398">
        <f>IF(FV334=0,0,IF(LEN(FL334)=11,_xlfn.XLOOKUP(FL334,'Dispensed Ink Rates'!C:C,'Dispensed Ink Rates'!CS:CS),VLOOKUP(FL334,'Jan-2026 rates'!$E:$F,2,0)))</f>
        <v>0</v>
      </c>
      <c r="FX334" s="409"/>
      <c r="FY334" s="398">
        <f>IF(FX334=0,0,IF(LEN(FM334)=11,_xlfn.XLOOKUP(FM334,'Dispensed Ink Rates'!C:C,'Dispensed Ink Rates'!CS:CS),VLOOKUP(FM334,'Jan-2026 rates'!$E:$F,2,0)))</f>
        <v>0</v>
      </c>
      <c r="FZ334" s="409"/>
      <c r="GA334" s="398">
        <f>IF(FZ334=0,0,IF(LEN(FN334)=11,_xlfn.XLOOKUP(FN334,'Dispensed Ink Rates'!C:C,'Dispensed Ink Rates'!CS:CS),VLOOKUP(FN334,'Jan-2026 rates'!$E:$F,2,0)))</f>
        <v>0</v>
      </c>
      <c r="GB334" s="409"/>
      <c r="GC334" s="398">
        <f>IF(GB334=0,0,IF(LEN(FO334)=11,_xlfn.XLOOKUP(FO334,'Dispensed Ink Rates'!C:C,'Dispensed Ink Rates'!CS:CS),VLOOKUP(FO334,'Jan-2026 rates'!$E:$F,2,0)))</f>
        <v>0</v>
      </c>
      <c r="GD334" s="409"/>
      <c r="GE334" s="398">
        <f>IF(GD334=0,0,IF(LEN(FP334)=11,_xlfn.XLOOKUP(FP334,'Dispensed Ink Rates'!C:C,'Dispensed Ink Rates'!CS:CS),VLOOKUP(FP334,'Jan-2026 rates'!$E:$F,2,0)))</f>
        <v>0</v>
      </c>
      <c r="GF334" s="409"/>
      <c r="GG334" s="398">
        <f>IF(GF334=0,0,IF(LEN(FQ334)=11,_xlfn.XLOOKUP(FQ334,'Dispensed Ink Rates'!C:C,'Dispensed Ink Rates'!CS:CS),VLOOKUP(FQ334,'Jan-2026 rates'!$E:$F,2,0)))</f>
        <v>0</v>
      </c>
      <c r="GH334" s="409" t="s">
        <v>1881</v>
      </c>
      <c r="GI334" s="409">
        <f>15+13</f>
        <v>28</v>
      </c>
      <c r="GJ334" s="411">
        <f t="shared" si="224"/>
        <v>0</v>
      </c>
      <c r="GK334" s="411">
        <f t="shared" si="225"/>
        <v>31.570469798657719</v>
      </c>
      <c r="GL334" s="410">
        <f t="shared" si="226"/>
        <v>0</v>
      </c>
      <c r="GM334" s="405" t="s">
        <v>545</v>
      </c>
      <c r="GN334" s="409" t="s">
        <v>4619</v>
      </c>
      <c r="GO334" s="420" t="str">
        <f t="shared" si="188"/>
        <v>ToyoLi - YELLOW</v>
      </c>
      <c r="GP334" s="409">
        <v>10</v>
      </c>
      <c r="GQ334" s="411">
        <f>IF(GP334=0,0,IF($LB334=70%,VLOOKUP($GO334,'Jan-2026 rates'!$L:$R,4,0),IF($LB334=65%,VLOOKUP($GO334,'Jan-2026 rates'!$L:$R,4,0),IF($LB334=40%,VLOOKUP($GO334,'Jan-2026 rates'!$L:$R,5,0),IF($LB334=30%,VLOOKUP($GO334,'Jan-2026 rates'!$L:$R,6,0),IF($LB334=100%,VLOOKUP($GO334,'Jan-2026 rates'!$L:$R,7,0),IF($LB334=60%,VLOOKUP($GO334,'Jan-2026 rates'!$L:$S,8,0),IF($LB334=80%,VLOOKUP($GO334,'Jan-2026 rates'!L:T,9,0),0))))))))</f>
        <v>0</v>
      </c>
      <c r="GR334" s="412"/>
      <c r="GS334" s="409"/>
      <c r="GT334" s="411">
        <f>IF(GS334=0,0,IF($LB334=70%,VLOOKUP($GO334,'Jan-2026 rates'!$L:$R,4,0),IF($LB334=65%,VLOOKUP($GO334,'Jan-2026 rates'!$L:$R,4,0),IF($LB334=40%,VLOOKUP($GO334,'Jan-2026 rates'!$L:$R,5,0),IF($LB334=30%,VLOOKUP($GO334,'Jan-2026 rates'!$L:$R,6,0),IF($LB334=100%,VLOOKUP($GO334,'Jan-2026 rates'!$L:$R,7,0),IF($LB334=60%,VLOOKUP($GO334,'Jan-2026 rates'!$L:$S,8,0),IF($LB334=80%,VLOOKUP($GO334,'Jan-2026 rates'!L:T,9,0),0))))))))</f>
        <v>0</v>
      </c>
      <c r="GU334" s="413" t="s">
        <v>1247</v>
      </c>
      <c r="GV334" s="413"/>
      <c r="GW334" s="412"/>
      <c r="GX334" s="412"/>
      <c r="GY334" s="412"/>
      <c r="GZ334" s="412"/>
      <c r="HA334" s="412"/>
      <c r="HB334" s="412"/>
      <c r="HC334" s="409">
        <f>20+20+20</f>
        <v>60</v>
      </c>
      <c r="HD334" s="398">
        <f>IF(HC334=0,0,IF(LEN(GU334)=11,_xlfn.XLOOKUP(GU334,'Dispensed Ink Rates'!C:C,'Dispensed Ink Rates'!CS:CS),VLOOKUP(GU334,'Jan-2026 rates'!$E:$F,2,0)))</f>
        <v>0</v>
      </c>
      <c r="HE334" s="409"/>
      <c r="HF334" s="398">
        <f>IF(HE334=0,0,IF(LEN(GV334)=11,_xlfn.XLOOKUP(GV334,'Dispensed Ink Rates'!C:C,'Dispensed Ink Rates'!CS:CS),VLOOKUP(GV334,'Jan-2026 rates'!$E:$F,2,0)))</f>
        <v>0</v>
      </c>
      <c r="HG334" s="409"/>
      <c r="HH334" s="398">
        <f>IF(HG334=0,0,IF(LEN(GW334)=11,_xlfn.XLOOKUP(GW334,'Dispensed Ink Rates'!C:C,'Dispensed Ink Rates'!CS:CS),VLOOKUP(GW334,'Jan-2026 rates'!$E:$F,2,0)))</f>
        <v>0</v>
      </c>
      <c r="HI334" s="409"/>
      <c r="HJ334" s="398">
        <f>IF(HI334=0,0,IF(LEN(GX334)=11,_xlfn.XLOOKUP(GX334,'Dispensed Ink Rates'!C:C,'Dispensed Ink Rates'!CS:CS),VLOOKUP(GX334,'Jan-2026 rates'!$E:$F,2,0)))</f>
        <v>0</v>
      </c>
      <c r="HK334" s="409"/>
      <c r="HL334" s="398">
        <f>IF(HK334=0,0,IF(LEN(GY334)=11,_xlfn.XLOOKUP(GY334,'Dispensed Ink Rates'!C:C,'Dispensed Ink Rates'!CS:CS),VLOOKUP(GY334,'Jan-2026 rates'!$E:$F,2,0)))</f>
        <v>0</v>
      </c>
      <c r="HM334" s="409"/>
      <c r="HN334" s="398">
        <f>IF(HM334=0,0,IF(LEN(GZ334)=11,_xlfn.XLOOKUP(GZ334,'Dispensed Ink Rates'!C:C,'Dispensed Ink Rates'!CS:CS),VLOOKUP(GZ334,'Jan-2026 rates'!$E:$F,2,0)))</f>
        <v>0</v>
      </c>
      <c r="HO334" s="409"/>
      <c r="HP334" s="398">
        <f>IF(HO334=0,0,IF(LEN(HA334)=11,_xlfn.XLOOKUP(HA334,'Dispensed Ink Rates'!C:C,'Dispensed Ink Rates'!CS:CS),VLOOKUP(HA334,'Jan-2026 rates'!$E:$F,2,0)))</f>
        <v>0</v>
      </c>
      <c r="HQ334" s="409"/>
      <c r="HR334" s="398">
        <f>IF(HQ334=0,0,IF(LEN(HB334)=11,_xlfn.XLOOKUP(HB334,'Dispensed Ink Rates'!C:C,'Dispensed Ink Rates'!CS:CS),VLOOKUP(HB334,'Jan-2026 rates'!$E:$F,2,0)))</f>
        <v>0</v>
      </c>
      <c r="HS334" s="409" t="s">
        <v>1881</v>
      </c>
      <c r="HT334" s="409">
        <f>16+15</f>
        <v>31</v>
      </c>
      <c r="HU334" s="411">
        <f t="shared" si="227"/>
        <v>0</v>
      </c>
      <c r="HV334" s="411">
        <f t="shared" si="228"/>
        <v>134.13422818791946</v>
      </c>
      <c r="HW334" s="414">
        <f t="shared" si="229"/>
        <v>0</v>
      </c>
      <c r="HX334" s="405" t="s">
        <v>856</v>
      </c>
      <c r="HY334" s="409"/>
      <c r="HZ334" s="420" t="str">
        <f t="shared" si="189"/>
        <v>ToyoLi - WHITE</v>
      </c>
      <c r="IA334" s="409"/>
      <c r="IB334" s="411">
        <f>IF(IA334=0,0,IF($LB334=70%,VLOOKUP($HZ334,'Jan-2026 rates'!$L:$R,4,0),IF($LB334=65%,VLOOKUP($HZ334,'Jan-2026 rates'!$L:$R,4,0),IF($LB334=40%,VLOOKUP($HZ334,'Jan-2026 rates'!$L:$R,5,0),IF($LB334=30%,VLOOKUP($HZ334,'Jan-2026 rates'!$L:$R,6,0),IF($LB334=100%,VLOOKUP($HZ334,'Jan-2026 rates'!$L:$R,7,0),IF($LB334=60%,VLOOKUP($HZ334,'Jan-2026 rates'!$L:$S,8,0),IF($LB334=80%,VLOOKUP($HZ334,'Jan-2026 rates'!L:T,9,0),0))))))))</f>
        <v>0</v>
      </c>
      <c r="IC334" s="412"/>
      <c r="ID334" s="409"/>
      <c r="IE334" s="411">
        <f>IF(ID334=0,0,IF($LB334=70%,VLOOKUP($HZ334,'Jan-2026 rates'!$L:$R,4,0),IF($LB334=65%,VLOOKUP($HZ334,'Jan-2026 rates'!$L:$R,4,0),IF($LB334=40%,VLOOKUP($HZ334,'Jan-2026 rates'!$L:$R,5,0),IF($LB334=30%,VLOOKUP($HZ334,'Jan-2026 rates'!$L:$R,6,0),IF($LB334=100%,VLOOKUP($HZ334,'Jan-2026 rates'!$L:$R,7,0),IF($LB334=60%,VLOOKUP($HZ334,'Jan-2026 rates'!$L:$S,8,0),IF($LB334=80%,VLOOKUP($HZ334,'Jan-2026 rates'!L:T,9,0),0))))))))</f>
        <v>0</v>
      </c>
      <c r="IF334" s="412" t="s">
        <v>1249</v>
      </c>
      <c r="IG334" s="413"/>
      <c r="IH334" s="412"/>
      <c r="II334" s="412"/>
      <c r="IJ334" s="412"/>
      <c r="IK334" s="412"/>
      <c r="IL334" s="412"/>
      <c r="IM334" s="412"/>
      <c r="IN334" s="409">
        <f>200+200+200</f>
        <v>600</v>
      </c>
      <c r="IO334" s="398">
        <f>IF(IN334=0,0,IF(LEN(IF334)=11,_xlfn.XLOOKUP(IF334,'Dispensed Ink Rates'!C:C,'Dispensed Ink Rates'!CS:CS),VLOOKUP(IF334,'Jan-2026 rates'!$E:$F,2,0)))</f>
        <v>0</v>
      </c>
      <c r="IP334" s="409"/>
      <c r="IQ334" s="398">
        <f>IF(IP334=0,0,IF(LEN(IG334)=11,_xlfn.XLOOKUP(IG334,'Dispensed Ink Rates'!C:C,'Dispensed Ink Rates'!CS:CS),VLOOKUP(IG334,'Jan-2026 rates'!$E:$F,2,0)))</f>
        <v>0</v>
      </c>
      <c r="IR334" s="409"/>
      <c r="IS334" s="398">
        <f>IF(IR334=0,0,IF(LEN(IH334)=11,_xlfn.XLOOKUP(IH334,'Dispensed Ink Rates'!C:C,'Dispensed Ink Rates'!CS:CS),VLOOKUP(IH334,'Jan-2026 rates'!$E:$F,2,0)))</f>
        <v>0</v>
      </c>
      <c r="IT334" s="409"/>
      <c r="IU334" s="398">
        <f>IF(IT334=0,0,IF(LEN(II334)=11,_xlfn.XLOOKUP(II334,'Dispensed Ink Rates'!C:C,'Dispensed Ink Rates'!CS:CS),VLOOKUP(II334,'Jan-2026 rates'!$E:$F,2,0)))</f>
        <v>0</v>
      </c>
      <c r="IV334" s="409"/>
      <c r="IW334" s="398">
        <f>IF(IV334=0,0,IF(LEN(IJ334)=11,_xlfn.XLOOKUP(IJ334,'Dispensed Ink Rates'!C:C,'Dispensed Ink Rates'!CS:CS),VLOOKUP(IJ334,'Jan-2026 rates'!$E:$F,2,0)))</f>
        <v>0</v>
      </c>
      <c r="IX334" s="409"/>
      <c r="IY334" s="398">
        <f>IF(IX334=0,0,IF(LEN(IK334)=11,_xlfn.XLOOKUP(IK334,'Dispensed Ink Rates'!C:C,'Dispensed Ink Rates'!CS:CS),VLOOKUP(IK334,'Jan-2026 rates'!$E:$F,2,0)))</f>
        <v>0</v>
      </c>
      <c r="IZ334" s="409"/>
      <c r="JA334" s="398">
        <f>IF(IZ334=0,0,IF(LEN(IL334)=11,_xlfn.XLOOKUP(IL334,'Dispensed Ink Rates'!C:C,'Dispensed Ink Rates'!CS:CS),VLOOKUP(IL334,'Jan-2026 rates'!$E:$F,2,0)))</f>
        <v>0</v>
      </c>
      <c r="JB334" s="409"/>
      <c r="JC334" s="398">
        <f>IF(JB334=0,0,IF(LEN(IM334)=11,_xlfn.XLOOKUP(IM334,'Dispensed Ink Rates'!C:C,'Dispensed Ink Rates'!CS:CS),VLOOKUP(IM334,'Jan-2026 rates'!$E:$F,2,0)))</f>
        <v>0</v>
      </c>
      <c r="JD334" s="409" t="s">
        <v>1881</v>
      </c>
      <c r="JE334" s="409">
        <v>21</v>
      </c>
      <c r="JF334" s="411">
        <f t="shared" si="230"/>
        <v>0</v>
      </c>
      <c r="JG334" s="411">
        <f t="shared" si="231"/>
        <v>1340.0738255033557</v>
      </c>
      <c r="JH334" s="410">
        <f t="shared" si="232"/>
        <v>0</v>
      </c>
      <c r="JI334" s="405"/>
      <c r="JJ334" s="409"/>
      <c r="JK334" s="420" t="str">
        <f t="shared" si="190"/>
        <v xml:space="preserve"> - </v>
      </c>
      <c r="JL334" s="409"/>
      <c r="JM334" s="411">
        <f>IF(JL334=0,0,IF($LB334=70%,VLOOKUP($JK334,'Jan-2026 rates'!$L:$R,4,0),IF($LB334=65%,VLOOKUP($JK334,'Jan-2026 rates'!$L:$R,4,0),IF($LB334=40%,VLOOKUP($JK334,'Jan-2026 rates'!$L:$R,5,0),IF($LB334=30%,VLOOKUP($JK334,'Jan-2026 rates'!$L:$R,6,0),IF($LB334=100%,VLOOKUP($JK334,'Jan-2026 rates'!$L:$R,7,0),IF($LB334=60%,VLOOKUP($JK334,'Jan-2026 rates'!$L:$S,8,0),IF($LB334=80%,VLOOKUP($JK334,'Jan-2026 rates'!L:T,9,0),0))))))))</f>
        <v>0</v>
      </c>
      <c r="JN334" s="412"/>
      <c r="JO334" s="409"/>
      <c r="JP334" s="411">
        <f>IF(JO334=0,0,IF($LB334=70%,VLOOKUP($JK334,'Jan-2026 rates'!$L:$R,4,0),IF($LB334=65%,VLOOKUP($JK334,'Jan-2026 rates'!$L:$R,4,0),IF($LB334=40%,VLOOKUP($JK334,'Jan-2026 rates'!$L:$R,5,0),IF($LB334=30%,VLOOKUP($JK334,'Jan-2026 rates'!$L:$R,6,0),IF($LB334=100%,VLOOKUP($JK334,'Jan-2026 rates'!$L:$R,7,0),IF($LB334=60%,VLOOKUP($JK334,'Jan-2026 rates'!$L:$S,8,0),IF($LB334=80%,VLOOKUP($JK334,'Jan-2026 rates'!L:T,9,0),0))))))))</f>
        <v>0</v>
      </c>
      <c r="JQ334" s="413"/>
      <c r="JR334" s="412"/>
      <c r="JS334" s="413"/>
      <c r="JT334" s="413"/>
      <c r="JU334" s="412"/>
      <c r="JV334" s="412"/>
      <c r="JW334" s="412"/>
      <c r="JX334" s="412"/>
      <c r="JY334" s="409"/>
      <c r="JZ334" s="398">
        <f>IF(JY334=0,0,IF(LEN(JQ334)=11,_xlfn.XLOOKUP(JQ334,'Dispensed Ink Rates'!C:C,'Dispensed Ink Rates'!CS:CS),VLOOKUP(JQ334,'Jan-2026 rates'!$E:$F,2,0)))</f>
        <v>0</v>
      </c>
      <c r="KA334" s="409"/>
      <c r="KB334" s="398">
        <f>IF(KA334=0,0,IF(LEN(JR334)=11,_xlfn.XLOOKUP(JR334,'Dispensed Ink Rates'!C:C,'Dispensed Ink Rates'!CS:CS),VLOOKUP(JR334,'Jan-2026 rates'!$E:$F,2,0)))</f>
        <v>0</v>
      </c>
      <c r="KC334" s="409"/>
      <c r="KD334" s="398">
        <f>IF(KC334=0,0,IF(LEN(JS334)=11,_xlfn.XLOOKUP(JS334,'Dispensed Ink Rates'!C:C,'Dispensed Ink Rates'!CS:CS),VLOOKUP(JS334,'Jan-2026 rates'!$E:$F,2,0)))</f>
        <v>0</v>
      </c>
      <c r="KE334" s="409"/>
      <c r="KF334" s="398">
        <f>IF(KE334=0,0,IF(LEN(JT334)=11,_xlfn.XLOOKUP(JT334,'Dispensed Ink Rates'!C:C,'Dispensed Ink Rates'!CS:CS),VLOOKUP(JT334,'Jan-2026 rates'!$E:$F,2,0)))</f>
        <v>0</v>
      </c>
      <c r="KG334" s="409"/>
      <c r="KH334" s="398">
        <f>IF(KG334=0,0,IF(LEN(JU334)=11,_xlfn.XLOOKUP(JU334,'Dispensed Ink Rates'!C:C,'Dispensed Ink Rates'!CS:CS),VLOOKUP(JU334,'Jan-2026 rates'!$E:$F,2,0)))</f>
        <v>0</v>
      </c>
      <c r="KI334" s="409"/>
      <c r="KJ334" s="398">
        <f>IF(KI334=0,0,IF(LEN(JV334)=11,_xlfn.XLOOKUP(JV334,'Dispensed Ink Rates'!C:C,'Dispensed Ink Rates'!CS:CS),VLOOKUP(JV334,'Jan-2026 rates'!$E:$F,2,0)))</f>
        <v>0</v>
      </c>
      <c r="KK334" s="409"/>
      <c r="KL334" s="398">
        <f>IF(KK334=0,0,IF(LEN(JW334)=11,_xlfn.XLOOKUP(JW334,'Dispensed Ink Rates'!C:C,'Dispensed Ink Rates'!CS:CS),VLOOKUP(JW334,'Jan-2026 rates'!$E:$F,2,0)))</f>
        <v>0</v>
      </c>
      <c r="KM334" s="428"/>
      <c r="KN334" s="398">
        <f>IF(KM334=0,0,IF(LEN(JX334)=11,_xlfn.XLOOKUP(JX334,'Dispensed Ink Rates'!C:C,'Dispensed Ink Rates'!CS:CS),VLOOKUP(JX334,'Jan-2026 rates'!$E:$F,2,0)))</f>
        <v>0</v>
      </c>
      <c r="KO334" s="409"/>
      <c r="KP334" s="409"/>
      <c r="KQ334" s="411">
        <f t="shared" si="233"/>
        <v>0</v>
      </c>
      <c r="KR334" s="411">
        <f t="shared" si="234"/>
        <v>0</v>
      </c>
      <c r="KS334" s="410">
        <f t="shared" si="235"/>
        <v>0</v>
      </c>
      <c r="KT334" s="409">
        <f>16+10</f>
        <v>26</v>
      </c>
      <c r="KU334" s="409">
        <f>15+7+10</f>
        <v>32</v>
      </c>
      <c r="KV334" s="409">
        <f>20+20+40+30+10</f>
        <v>120</v>
      </c>
      <c r="KW334" s="409">
        <f>2+6</f>
        <v>8</v>
      </c>
      <c r="KX334" s="409">
        <v>5</v>
      </c>
      <c r="KY334" s="409">
        <f>15+15+15</f>
        <v>45</v>
      </c>
      <c r="KZ334" s="409">
        <f>80+80+40+40+120</f>
        <v>360</v>
      </c>
      <c r="LA334" s="409">
        <v>0</v>
      </c>
      <c r="LB334" s="415">
        <v>0.3</v>
      </c>
      <c r="LC334" s="415"/>
      <c r="LD334" s="424"/>
      <c r="LE334" s="415">
        <v>0.5</v>
      </c>
      <c r="LF334" s="415">
        <v>0.2</v>
      </c>
      <c r="LG334" s="409">
        <v>0</v>
      </c>
      <c r="LH334" s="409">
        <f>360+300+180+300+120</f>
        <v>1260</v>
      </c>
      <c r="LI334" s="409">
        <v>0</v>
      </c>
      <c r="LJ334" s="409">
        <v>0</v>
      </c>
      <c r="LK334" s="416">
        <f t="shared" si="191"/>
        <v>1260</v>
      </c>
      <c r="LL334" s="416">
        <f t="shared" si="237"/>
        <v>1260</v>
      </c>
      <c r="LM334" s="417">
        <f t="shared" si="193"/>
        <v>378</v>
      </c>
      <c r="LN334" s="417">
        <f>VLOOKUP($LM$8,'Jan-2026 rates'!$H:$I,2,0)</f>
        <v>0</v>
      </c>
      <c r="LO334" s="417">
        <f t="shared" si="194"/>
        <v>0</v>
      </c>
      <c r="LP334" s="417">
        <f>VLOOKUP($LO$8,'Jan-2026 rates'!$H:$I,2,0)</f>
        <v>0</v>
      </c>
      <c r="LQ334" s="417">
        <f t="shared" si="195"/>
        <v>0</v>
      </c>
      <c r="LR334" s="417">
        <f>VLOOKUP($LQ$8,'Jan-2026 rates'!$H:$I,2,0)</f>
        <v>0</v>
      </c>
      <c r="LS334" s="417">
        <f t="shared" si="196"/>
        <v>630</v>
      </c>
      <c r="LT334" s="417">
        <f>VLOOKUP($LS$8,'Jan-2026 rates'!$H:$I,2,0)</f>
        <v>0</v>
      </c>
      <c r="LU334" s="417">
        <f t="shared" si="197"/>
        <v>252</v>
      </c>
      <c r="LV334" s="417">
        <f>VLOOKUP($LU$8,'Jan-2026 rates'!$H:$I,2,0)</f>
        <v>0</v>
      </c>
      <c r="LW334" s="417">
        <f t="shared" si="198"/>
        <v>0</v>
      </c>
      <c r="LX334" s="417">
        <f t="shared" si="199"/>
        <v>0</v>
      </c>
      <c r="LY334" s="418">
        <f t="shared" si="200"/>
        <v>0</v>
      </c>
      <c r="LZ334" s="417"/>
      <c r="MA334" s="435">
        <f t="shared" si="201"/>
        <v>1186</v>
      </c>
      <c r="MB334" s="282">
        <f t="shared" si="202"/>
        <v>2395</v>
      </c>
      <c r="MC334" s="283" t="s">
        <v>2073</v>
      </c>
      <c r="MD334" s="284" t="str">
        <f t="shared" si="203"/>
        <v>ToyoLiToyoLiToyoLiToyoLiToyoLiToyoLiToyoLi</v>
      </c>
      <c r="ME334" s="293" t="str">
        <f t="shared" si="204"/>
        <v>+</v>
      </c>
      <c r="MF334" s="293" t="str">
        <f t="shared" si="205"/>
        <v>+</v>
      </c>
      <c r="MG334" s="293" t="str">
        <f t="shared" si="206"/>
        <v>+</v>
      </c>
      <c r="MH334" s="293" t="str">
        <f t="shared" si="207"/>
        <v>+</v>
      </c>
      <c r="MI334" s="293" t="str">
        <f t="shared" si="208"/>
        <v>+</v>
      </c>
      <c r="MJ334" s="293" t="str">
        <f t="shared" si="209"/>
        <v>+</v>
      </c>
      <c r="MK334" s="293" t="str">
        <f t="shared" si="210"/>
        <v>+</v>
      </c>
      <c r="ML334" s="293" t="str">
        <f t="shared" si="211"/>
        <v>NIL</v>
      </c>
      <c r="MM334" s="3" t="b">
        <f t="array" ref="MM334">OR(ME334:ML334="-")</f>
        <v>0</v>
      </c>
      <c r="MO334" s="401">
        <f t="shared" si="238"/>
        <v>66.546262850791877</v>
      </c>
      <c r="MP334" s="286"/>
      <c r="MR334" s="402">
        <f t="shared" si="239"/>
        <v>1.0876475930971843E-2</v>
      </c>
      <c r="MS334" s="400">
        <f t="shared" si="240"/>
        <v>0</v>
      </c>
      <c r="MT334" s="285"/>
      <c r="NH334" s="361"/>
      <c r="NJ334" s="282"/>
    </row>
    <row r="335" spans="1:374" ht="16.5">
      <c r="A335" s="403">
        <v>46049</v>
      </c>
      <c r="B335" s="404" t="s">
        <v>1015</v>
      </c>
      <c r="C335" s="405" t="s">
        <v>4620</v>
      </c>
      <c r="D335" s="404" t="s">
        <v>2074</v>
      </c>
      <c r="E335" s="404">
        <v>597</v>
      </c>
      <c r="F335" s="407">
        <v>52600</v>
      </c>
      <c r="G335" s="407" t="s">
        <v>1016</v>
      </c>
      <c r="H335" s="408" t="s">
        <v>1017</v>
      </c>
      <c r="I335" s="409">
        <v>1.5</v>
      </c>
      <c r="J335" s="405" t="s">
        <v>543</v>
      </c>
      <c r="K335" s="404" t="s">
        <v>4621</v>
      </c>
      <c r="L335" s="419" t="str">
        <f t="shared" si="184"/>
        <v>ToyoLi - BLACK</v>
      </c>
      <c r="M335" s="404">
        <f>11+13</f>
        <v>24</v>
      </c>
      <c r="N335" s="410">
        <f>IF(M335=0,0,IF($LB335=70%,VLOOKUP($L335,'Jan-2026 rates'!$L:$R,4,0),IF($LB335=65%,VLOOKUP($L335,'Jan-2026 rates'!$L:$R,4,0),IF($LB335=40%,VLOOKUP($L335,'Jan-2026 rates'!$L:$R,5,0),IF($LB335=30%,VLOOKUP($L335,'Jan-2026 rates'!$L:$R,6,0),IF($LB335=100%,VLOOKUP($L335,'Jan-2026 rates'!$L:$R,7,0),IF($LB335=60%,VLOOKUP($L335,'Jan-2026 rates'!$L:$S,8,0),IF($LB335=80%,VLOOKUP($L335,'Jan-2026 rates'!L:T,9,0),0))))))))</f>
        <v>0</v>
      </c>
      <c r="O335" s="406"/>
      <c r="P335" s="404"/>
      <c r="Q335" s="410">
        <f>IF(P335=0,0,IF($LB335=70%,VLOOKUP($L335,'Jan-2026 rates'!$L:$R,4,0),IF($LB335=65%,VLOOKUP($L335,'Jan-2026 rates'!$L:$R,4,0),IF($LB335=40%,VLOOKUP($L335,'Jan-2026 rates'!$L:$R,5,0),IF($LB335=30%,VLOOKUP($L335,'Jan-2026 rates'!$L:$R,6,0),IF($LB335=100%,VLOOKUP($L335,'Jan-2026 rates'!$L:$R,7,0),IF($LB335=60%,VLOOKUP($L335,'Jan-2026 rates'!$L:$S,8,0),IF($LB335=80%,VLOOKUP($L335,'Jan-2026 rates'!L:T,9,0),0))))))))</f>
        <v>0</v>
      </c>
      <c r="R335" s="406" t="s">
        <v>1252</v>
      </c>
      <c r="S335" s="406"/>
      <c r="T335" s="406"/>
      <c r="U335" s="406"/>
      <c r="V335" s="406"/>
      <c r="W335" s="406"/>
      <c r="X335" s="406"/>
      <c r="Y335" s="406"/>
      <c r="Z335" s="404">
        <v>5</v>
      </c>
      <c r="AA335" s="398">
        <f>IF(Z335=0,0,IF(LEN(R335)=11,_xlfn.XLOOKUP(R335,'Dispensed Ink Rates'!C:C,'Dispensed Ink Rates'!CS:CS),VLOOKUP(R335,'Jan-2026 rates'!$E:$F,2,0)))</f>
        <v>0</v>
      </c>
      <c r="AB335" s="404"/>
      <c r="AC335" s="398">
        <f>IF(AB335=0,0,IF(LEN(S335)=11,_xlfn.XLOOKUP(S335,'Dispensed Ink Rates'!C:C,'Dispensed Ink Rates'!CS:CS),VLOOKUP(S335,'Jan-2026 rates'!$E:$F,2,0)))</f>
        <v>0</v>
      </c>
      <c r="AD335" s="404"/>
      <c r="AE335" s="398">
        <f>IF(AD335=0,0,IF(LEN(T335)=11,_xlfn.XLOOKUP(T335,'Dispensed Ink Rates'!C:C,'Dispensed Ink Rates'!CS:CS),VLOOKUP(T335,'Jan-2026 rates'!$E:$F,2,0)))</f>
        <v>0</v>
      </c>
      <c r="AF335" s="404"/>
      <c r="AG335" s="398">
        <f>IF(AF335=0,0,IF(LEN(U335)=11,_xlfn.XLOOKUP(U335,'Dispensed Ink Rates'!C:C,'Dispensed Ink Rates'!CS:CS),VLOOKUP(U335,'Jan-2026 rates'!$E:$F,2,0)))</f>
        <v>0</v>
      </c>
      <c r="AH335" s="404"/>
      <c r="AI335" s="398">
        <f>IF(AH335=0,0,IF(LEN(V335)=11,_xlfn.XLOOKUP(V335,'Dispensed Ink Rates'!C:C,'Dispensed Ink Rates'!CS:CS),VLOOKUP(V335,'Jan-2026 rates'!$E:$F,2,0)))</f>
        <v>0</v>
      </c>
      <c r="AJ335" s="404"/>
      <c r="AK335" s="398">
        <f>IF(AJ335=0,0,IF(LEN(W335)=11,_xlfn.XLOOKUP(W335,'Dispensed Ink Rates'!C:C,'Dispensed Ink Rates'!CS:CS),VLOOKUP(W335,'Jan-2026 rates'!$E:$F,2,0)))</f>
        <v>0</v>
      </c>
      <c r="AL335" s="404"/>
      <c r="AM335" s="398">
        <f>IF(AL335=0,0,IF(LEN(X335)=11,_xlfn.XLOOKUP(X335,'Dispensed Ink Rates'!C:C,'Dispensed Ink Rates'!CS:CS),VLOOKUP(X335,'Jan-2026 rates'!$E:$F,2,0)))</f>
        <v>0</v>
      </c>
      <c r="AN335" s="404"/>
      <c r="AO335" s="398">
        <f>IF(AN335=0,0,IF(LEN(Y335)=11,_xlfn.XLOOKUP(Y335,'Dispensed Ink Rates'!C:C,'Dispensed Ink Rates'!CS:CS),VLOOKUP(Y335,'Jan-2026 rates'!$E:$F,2,0)))</f>
        <v>0</v>
      </c>
      <c r="AP335" s="409" t="s">
        <v>1881</v>
      </c>
      <c r="AQ335" s="409">
        <v>25</v>
      </c>
      <c r="AR335" s="410">
        <f t="shared" si="212"/>
        <v>0</v>
      </c>
      <c r="AS335" s="411">
        <f t="shared" si="213"/>
        <v>10.712499999999999</v>
      </c>
      <c r="AT335" s="410">
        <f t="shared" si="214"/>
        <v>0</v>
      </c>
      <c r="AU335" s="405" t="s">
        <v>828</v>
      </c>
      <c r="AV335" s="409" t="s">
        <v>4622</v>
      </c>
      <c r="AW335" s="420" t="str">
        <f t="shared" si="236"/>
        <v>ToyoLi - ORANGE</v>
      </c>
      <c r="AX335" s="409">
        <v>20</v>
      </c>
      <c r="AY335" s="411">
        <f>IF(AX335=0,0,IF($LB335=70%,VLOOKUP($AW335,'Jan-2026 rates'!$L:$R,4,0),IF($LB335=65%,VLOOKUP($AW335,'Jan-2026 rates'!$L:$R,4,0),IF($LB335=40%,VLOOKUP($AW335,'Jan-2026 rates'!$L:$R,5,0),IF($LB335=30%,VLOOKUP($AW335,'Jan-2026 rates'!$L:$R,6,0),IF($LB335=100%,VLOOKUP($AW335,'Jan-2026 rates'!$L:$R,7,0),IF($LB335=60%,VLOOKUP($AW335,'Jan-2026 rates'!$L:$S,8,0),IF($LB335=80%,VLOOKUP($AW335,'Jan-2026 rates'!L:T,9,0),0))))))))</f>
        <v>0</v>
      </c>
      <c r="AZ335" s="412" t="s">
        <v>4623</v>
      </c>
      <c r="BA335" s="409">
        <f>20+18+20+10</f>
        <v>68</v>
      </c>
      <c r="BB335" s="411">
        <f>IF(BA335=0,0,IF($LB335=70%,VLOOKUP($AW335,'Jan-2026 rates'!$L:$R,4,0),IF($LB335=65%,VLOOKUP($AW335,'Jan-2026 rates'!$L:$R,4,0),IF($LB335=40%,VLOOKUP($AW335,'Jan-2026 rates'!$L:$R,5,0),IF($LB335=30%,VLOOKUP($AW335,'Jan-2026 rates'!$L:$R,6,0),IF($LB335=100%,VLOOKUP($AW335,'Jan-2026 rates'!$L:$R,7,0),IF($LB335=60%,VLOOKUP($AW335,'Jan-2026 rates'!$L:$S,8,0),IF($LB335=80%,VLOOKUP($AW335,'Jan-2026 rates'!L:T,9,0),0))))))))</f>
        <v>0</v>
      </c>
      <c r="BC335" s="413" t="s">
        <v>1248</v>
      </c>
      <c r="BD335" s="412" t="s">
        <v>1246</v>
      </c>
      <c r="BE335" s="412" t="s">
        <v>1247</v>
      </c>
      <c r="BF335" s="413"/>
      <c r="BG335" s="412"/>
      <c r="BH335" s="412"/>
      <c r="BI335" s="412"/>
      <c r="BJ335" s="412"/>
      <c r="BK335" s="409">
        <v>15</v>
      </c>
      <c r="BL335" s="398">
        <f>IF(BK335=0,0,IF(LEN(BC335)=11,_xlfn.XLOOKUP(BC335,'Dispensed Ink Rates'!C:C,'Dispensed Ink Rates'!CS:CS),VLOOKUP(BC335,'Jan-2026 rates'!$E:$F,2,0)))</f>
        <v>0</v>
      </c>
      <c r="BM335" s="409">
        <v>2</v>
      </c>
      <c r="BN335" s="398">
        <f>IF(BM335=0,0,IF(LEN(BD335)=11,_xlfn.XLOOKUP(BD335,'Dispensed Ink Rates'!C:C,'Dispensed Ink Rates'!CS:CS),VLOOKUP(BD335,'Jan-2026 rates'!$E:$F,2,0)))</f>
        <v>0</v>
      </c>
      <c r="BO335" s="409">
        <v>10</v>
      </c>
      <c r="BP335" s="398">
        <f>IF(BO335=0,0,IF(LEN(BE335)=11,_xlfn.XLOOKUP(BE335,'Dispensed Ink Rates'!C:C,'Dispensed Ink Rates'!CS:CS),VLOOKUP(BE335,'Jan-2026 rates'!$E:$F,2,0)))</f>
        <v>0</v>
      </c>
      <c r="BQ335" s="409"/>
      <c r="BR335" s="398">
        <f>IF(BQ335=0,0,IF(LEN(BF335)=11,_xlfn.XLOOKUP(BF335,'Dispensed Ink Rates'!C:C,'Dispensed Ink Rates'!CS:CS),VLOOKUP(BF335,'Jan-2026 rates'!$E:$F,2,0)))</f>
        <v>0</v>
      </c>
      <c r="BS335" s="409"/>
      <c r="BT335" s="398">
        <f>IF(BS335=0,0,IF(LEN(BG335)=11,_xlfn.XLOOKUP(BG335,'Dispensed Ink Rates'!C:C,'Dispensed Ink Rates'!CS:CS),VLOOKUP(BG335,'Jan-2026 rates'!$E:$F,2,0)))</f>
        <v>0</v>
      </c>
      <c r="BU335" s="409"/>
      <c r="BV335" s="398">
        <f>IF(BU335=0,0,IF(LEN(BH335)=11,_xlfn.XLOOKUP(BH335,'Dispensed Ink Rates'!C:C,'Dispensed Ink Rates'!CS:CS),VLOOKUP(BH335,'Jan-2026 rates'!$E:$F,2,0)))</f>
        <v>0</v>
      </c>
      <c r="BW335" s="409"/>
      <c r="BX335" s="398">
        <f>IF(BW335=0,0,IF(LEN(BI335)=11,_xlfn.XLOOKUP(BI335,'Dispensed Ink Rates'!C:C,'Dispensed Ink Rates'!CS:CS),VLOOKUP(BI335,'Jan-2026 rates'!$E:$F,2,0)))</f>
        <v>0</v>
      </c>
      <c r="BY335" s="409"/>
      <c r="BZ335" s="398">
        <f>IF(BY335=0,0,IF(LEN(BJ335)=11,_xlfn.XLOOKUP(BJ335,'Dispensed Ink Rates'!C:C,'Dispensed Ink Rates'!CS:CS),VLOOKUP(BJ335,'Jan-2026 rates'!$E:$F,2,0)))</f>
        <v>0</v>
      </c>
      <c r="CA335" s="409" t="s">
        <v>1881</v>
      </c>
      <c r="CB335" s="409">
        <f>20+6</f>
        <v>26</v>
      </c>
      <c r="CC335" s="411">
        <f t="shared" si="215"/>
        <v>0</v>
      </c>
      <c r="CD335" s="411">
        <f t="shared" si="216"/>
        <v>100.1875</v>
      </c>
      <c r="CE335" s="410">
        <f t="shared" si="217"/>
        <v>0</v>
      </c>
      <c r="CF335" s="404" t="s">
        <v>855</v>
      </c>
      <c r="CG335" s="409" t="s">
        <v>4624</v>
      </c>
      <c r="CH335" s="420" t="str">
        <f t="shared" si="185"/>
        <v>ToyoLi - CYAN</v>
      </c>
      <c r="CI335" s="409">
        <f>12+12</f>
        <v>24</v>
      </c>
      <c r="CJ335" s="411">
        <f>IF(CI335=0,0,IF($LB335=70%,VLOOKUP($CH335,'Jan-2026 rates'!$L:$R,4,0),IF($LB335=65%,VLOOKUP($CH335,'Jan-2026 rates'!$L:$R,4,0),IF($LB335=40%,VLOOKUP($CH335,'Jan-2026 rates'!$L:$R,5,0),IF($LB335=30%,VLOOKUP($CH335,'Jan-2026 rates'!$L:$R,6,0),IF($LB335=100%,VLOOKUP($CH335,'Jan-2026 rates'!$L:$R,7,0),IF($LB335=60%,VLOOKUP($CH335,'Jan-2026 rates'!$L:$S,8,0),IF($LB335=80%,VLOOKUP($CH335,'Jan-2026 rates'!L:T,9,0),0))))))))</f>
        <v>0</v>
      </c>
      <c r="CK335" s="412"/>
      <c r="CL335" s="409"/>
      <c r="CM335" s="411">
        <f>IF(CL335=0,0,IF($LB335=70%,VLOOKUP($CH335,'Jan-2026 rates'!$L:$R,4,0),IF($LB335=65%,VLOOKUP($CH335,'Jan-2026 rates'!$L:$R,4,0),IF($LB335=40%,VLOOKUP($CH335,'Jan-2026 rates'!$L:$R,5,0),IF($LB335=30%,VLOOKUP($CH335,'Jan-2026 rates'!$L:$R,6,0),IF($LB335=100%,VLOOKUP($CH335,'Jan-2026 rates'!$L:$R,7,0),IF($LB335=60%,VLOOKUP($CH335,'Jan-2026 rates'!$L:$S,8,0),IF($LB335=80%,VLOOKUP($CH335,'Jan-2026 rates'!L:T,9,0),0))))))))</f>
        <v>0</v>
      </c>
      <c r="CN335" s="426" t="s">
        <v>1250</v>
      </c>
      <c r="CO335" s="427"/>
      <c r="CP335" s="426"/>
      <c r="CQ335" s="426"/>
      <c r="CR335" s="428"/>
      <c r="CS335" s="428"/>
      <c r="CT335" s="428"/>
      <c r="CU335" s="428"/>
      <c r="CV335" s="409">
        <v>3</v>
      </c>
      <c r="CW335" s="398">
        <f>IF(CV335=0,0,IF(LEN(CN335)=11,_xlfn.XLOOKUP(CN335,'Dispensed Ink Rates'!C:C,'Dispensed Ink Rates'!CS:CS),VLOOKUP(CN335,'Jan-2026 rates'!$E:$F,2,0)))</f>
        <v>0</v>
      </c>
      <c r="CX335" s="409"/>
      <c r="CY335" s="398">
        <f>IF(CX335=0,0,IF(LEN(CO335)=11,_xlfn.XLOOKUP(CO335,'Dispensed Ink Rates'!C:C,'Dispensed Ink Rates'!CS:CS),VLOOKUP(CO335,'Jan-2026 rates'!$E:$F,2,0)))</f>
        <v>0</v>
      </c>
      <c r="CZ335" s="409"/>
      <c r="DA335" s="398">
        <f>IF(CZ335=0,0,IF(LEN(CP335)=11,_xlfn.XLOOKUP(CP335,'Dispensed Ink Rates'!C:C,'Dispensed Ink Rates'!CS:CS),VLOOKUP(CP335,'Jan-2026 rates'!$E:$F,2,0)))</f>
        <v>0</v>
      </c>
      <c r="DB335" s="409"/>
      <c r="DC335" s="398">
        <f>IF(DB335=0,0,IF(LEN(CQ335)=11,_xlfn.XLOOKUP(CQ335,'Dispensed Ink Rates'!C:C,'Dispensed Ink Rates'!CS:CS),VLOOKUP(CQ335,'Jan-2026 rates'!$E:$F,2,0)))</f>
        <v>0</v>
      </c>
      <c r="DD335" s="409"/>
      <c r="DE335" s="398">
        <f>IF(DD335=0,0,IF(LEN(CR335)=11,_xlfn.XLOOKUP(CR335,'Dispensed Ink Rates'!C:C,'Dispensed Ink Rates'!CS:CS),VLOOKUP(CR335,'Jan-2026 rates'!$E:$F,2,0)))</f>
        <v>0</v>
      </c>
      <c r="DF335" s="409"/>
      <c r="DG335" s="398">
        <f>IF(DF335=0,0,IF(LEN(CS335)=11,_xlfn.XLOOKUP(CS335,'Dispensed Ink Rates'!C:C,'Dispensed Ink Rates'!CS:CS),VLOOKUP(CS335,'Jan-2026 rates'!$E:$F,2,0)))</f>
        <v>0</v>
      </c>
      <c r="DH335" s="409"/>
      <c r="DI335" s="398">
        <f>IF(DH335=0,0,IF(LEN(CT335)=11,_xlfn.XLOOKUP(CT335,'Dispensed Ink Rates'!C:C,'Dispensed Ink Rates'!CS:CS),VLOOKUP(CT335,'Jan-2026 rates'!$E:$F,2,0)))</f>
        <v>0</v>
      </c>
      <c r="DJ335" s="409"/>
      <c r="DK335" s="398">
        <f>IF(DJ335=0,0,IF(LEN(CU335)=11,_xlfn.XLOOKUP(CU335,'Dispensed Ink Rates'!C:C,'Dispensed Ink Rates'!CS:CS),VLOOKUP(CU335,'Jan-2026 rates'!$E:$F,2,0)))</f>
        <v>0</v>
      </c>
      <c r="DL335" s="409" t="s">
        <v>1881</v>
      </c>
      <c r="DM335" s="409">
        <v>24</v>
      </c>
      <c r="DN335" s="411">
        <f t="shared" si="218"/>
        <v>0</v>
      </c>
      <c r="DO335" s="411">
        <f t="shared" si="219"/>
        <v>7.4750000000000014</v>
      </c>
      <c r="DP335" s="410">
        <f t="shared" si="220"/>
        <v>0</v>
      </c>
      <c r="DQ335" s="405" t="s">
        <v>544</v>
      </c>
      <c r="DR335" s="409" t="s">
        <v>4625</v>
      </c>
      <c r="DS335" s="420" t="str">
        <f t="shared" si="186"/>
        <v>ToyoLi - MAGENTA</v>
      </c>
      <c r="DT335" s="409">
        <f>15+13</f>
        <v>28</v>
      </c>
      <c r="DU335" s="411">
        <f>IF(DT335=0,0,IF($LB335=70%,VLOOKUP($DS335,'Jan-2026 rates'!$L:$R,4,0),IF($LB335=65%,VLOOKUP($DS335,'Jan-2026 rates'!$L:$R,4,0),IF($LB335=40%,VLOOKUP($DS335,'Jan-2026 rates'!$L:$R,5,0),IF($LB335=30%,VLOOKUP($DS335,'Jan-2026 rates'!$L:$R,6,0),IF($LB335=100%,VLOOKUP($DS335,'Jan-2026 rates'!$L:$R,7,0),IF($LB335=60%,VLOOKUP($DS335,'Jan-2026 rates'!$L:$S,8,0),IF($LB335=80%,VLOOKUP($DS335,'Jan-2026 rates'!L:T,9,0),0))))))))</f>
        <v>0</v>
      </c>
      <c r="DV335" s="412"/>
      <c r="DW335" s="409"/>
      <c r="DX335" s="411">
        <f>IF(DW335=0,0,IF($LB335=70%,VLOOKUP($DS335,'Jan-2026 rates'!$L:$R,4,0),IF($LB335=65%,VLOOKUP($DS335,'Jan-2026 rates'!$L:$R,4,0),IF($LB335=40%,VLOOKUP($DS335,'Jan-2026 rates'!$L:$R,5,0),IF($LB335=30%,VLOOKUP($DS335,'Jan-2026 rates'!$L:$R,6,0),IF($LB335=100%,VLOOKUP($DS335,'Jan-2026 rates'!$L:$R,7,0),IF($LB335=60%,VLOOKUP($DS335,'Jan-2026 rates'!$L:$S,8,0),IF($LB335=80%,VLOOKUP($DS335,'Jan-2026 rates'!L:T,9,0),0))))))))</f>
        <v>0</v>
      </c>
      <c r="DY335" s="413" t="s">
        <v>1246</v>
      </c>
      <c r="DZ335" s="413"/>
      <c r="EA335" s="412"/>
      <c r="EB335" s="412"/>
      <c r="EC335" s="412"/>
      <c r="ED335" s="412"/>
      <c r="EE335" s="412"/>
      <c r="EF335" s="412"/>
      <c r="EG335" s="409">
        <v>3</v>
      </c>
      <c r="EH335" s="398">
        <f>IF(EG335=0,0,IF(LEN(DY335)=11,_xlfn.XLOOKUP(DY335,'Dispensed Ink Rates'!C:C,'Dispensed Ink Rates'!CS:CS),VLOOKUP(DY335,'Jan-2026 rates'!$E:$F,2,0)))</f>
        <v>0</v>
      </c>
      <c r="EI335" s="409"/>
      <c r="EJ335" s="398">
        <f>IF(EI335=0,0,IF(LEN(DZ335)=11,_xlfn.XLOOKUP(DZ335,'Dispensed Ink Rates'!C:C,'Dispensed Ink Rates'!CS:CS),VLOOKUP(DZ335,'Jan-2026 rates'!$E:$F,2,0)))</f>
        <v>0</v>
      </c>
      <c r="EK335" s="409"/>
      <c r="EL335" s="398">
        <f>IF(EK335=0,0,IF(LEN(EA335)=11,_xlfn.XLOOKUP(EA335,'Dispensed Ink Rates'!C:C,'Dispensed Ink Rates'!CS:CS),VLOOKUP(EA335,'Jan-2026 rates'!$E:$F,2,0)))</f>
        <v>0</v>
      </c>
      <c r="EM335" s="409"/>
      <c r="EN335" s="398">
        <f>IF(EM335=0,0,IF(LEN(EB335)=11,_xlfn.XLOOKUP(EB335,'Dispensed Ink Rates'!C:C,'Dispensed Ink Rates'!CS:CS),VLOOKUP(EB335,'Jan-2026 rates'!$E:$F,2,0)))</f>
        <v>0</v>
      </c>
      <c r="EO335" s="409"/>
      <c r="EP335" s="398">
        <f>IF(EO335=0,0,IF(LEN(EC335)=11,_xlfn.XLOOKUP(EC335,'Dispensed Ink Rates'!C:C,'Dispensed Ink Rates'!CS:CS),VLOOKUP(EC335,'Jan-2026 rates'!$E:$F,2,0)))</f>
        <v>0</v>
      </c>
      <c r="EQ335" s="409"/>
      <c r="ER335" s="398">
        <f>IF(EQ335=0,0,IF(LEN(ED335)=11,_xlfn.XLOOKUP(ED335,'Dispensed Ink Rates'!C:C,'Dispensed Ink Rates'!CS:CS),VLOOKUP(ED335,'Jan-2026 rates'!$E:$F,2,0)))</f>
        <v>0</v>
      </c>
      <c r="ES335" s="409"/>
      <c r="ET335" s="398">
        <f>IF(ES335=0,0,IF(LEN(EE335)=11,_xlfn.XLOOKUP(EE335,'Dispensed Ink Rates'!C:C,'Dispensed Ink Rates'!CS:CS),VLOOKUP(EE335,'Jan-2026 rates'!$E:$F,2,0)))</f>
        <v>0</v>
      </c>
      <c r="EU335" s="409"/>
      <c r="EV335" s="398">
        <f>IF(EU335=0,0,IF(LEN(EF335)=11,_xlfn.XLOOKUP(EF335,'Dispensed Ink Rates'!C:C,'Dispensed Ink Rates'!CS:CS),VLOOKUP(EF335,'Jan-2026 rates'!$E:$F,2,0)))</f>
        <v>0</v>
      </c>
      <c r="EW335" s="409" t="s">
        <v>1881</v>
      </c>
      <c r="EX335" s="409">
        <v>26</v>
      </c>
      <c r="EY335" s="411">
        <f t="shared" si="221"/>
        <v>0</v>
      </c>
      <c r="EZ335" s="411">
        <f t="shared" si="222"/>
        <v>9.4750000000000014</v>
      </c>
      <c r="FA335" s="410">
        <f t="shared" si="223"/>
        <v>0</v>
      </c>
      <c r="FB335" s="405" t="s">
        <v>545</v>
      </c>
      <c r="FC335" s="409" t="s">
        <v>4619</v>
      </c>
      <c r="FD335" s="420" t="str">
        <f t="shared" si="187"/>
        <v>ToyoLi - YELLOW</v>
      </c>
      <c r="FE335" s="409">
        <f>10+18</f>
        <v>28</v>
      </c>
      <c r="FF335" s="411">
        <f>IF(FE335=0,0,IF($LB335=70%,VLOOKUP($FD335,'Jan-2026 rates'!$L:$R,4,0),IF($LB335=65%,VLOOKUP($FD335,'Jan-2026 rates'!$L:$R,4,0),IF($LB335=40%,VLOOKUP($FD335,'Jan-2026 rates'!$L:$R,5,0),IF($LB335=30%,VLOOKUP($FD335,'Jan-2026 rates'!$L:$R,6,0),IF($LB335=100%,VLOOKUP($FD335,'Jan-2026 rates'!$L:$R,7,0),IF($LB335=60%,VLOOKUP($FD335,'Jan-2026 rates'!$L:$S,8,0),IF($LB335=80%,VLOOKUP($FD335,'Jan-2026 rates'!L:T,9,0),0))))))))</f>
        <v>0</v>
      </c>
      <c r="FG335" s="412"/>
      <c r="FH335" s="409"/>
      <c r="FI335" s="411">
        <f>IF(FH335=0,0,IF($LB335=70%,VLOOKUP($FD335,'Jan-2026 rates'!$L:$R,4,0),IF($LB335=65%,VLOOKUP($FD335,'Jan-2026 rates'!$L:$R,4,0),IF($LB335=40%,VLOOKUP($FD335,'Jan-2026 rates'!$L:$R,5,0),IF($LB335=30%,VLOOKUP($FD335,'Jan-2026 rates'!$L:$R,6,0),IF($LB335=100%,VLOOKUP($FD335,'Jan-2026 rates'!$L:$R,7,0),IF($LB335=60%,VLOOKUP($FD335,'Jan-2026 rates'!$L:$S,8,0),IF($LB335=80%,VLOOKUP($FD335,'Jan-2026 rates'!L:T,9,0),0))))))))</f>
        <v>0</v>
      </c>
      <c r="FJ335" s="413" t="s">
        <v>1247</v>
      </c>
      <c r="FK335" s="413"/>
      <c r="FL335" s="413"/>
      <c r="FM335" s="412"/>
      <c r="FN335" s="412"/>
      <c r="FO335" s="412"/>
      <c r="FP335" s="412"/>
      <c r="FQ335" s="412"/>
      <c r="FR335" s="409">
        <v>5</v>
      </c>
      <c r="FS335" s="398">
        <f>IF(FR335=0,0,IF(LEN(FJ335)=11,_xlfn.XLOOKUP(FJ335,'Dispensed Ink Rates'!C:C,'Dispensed Ink Rates'!CS:CS),VLOOKUP(FJ335,'Jan-2026 rates'!$E:$F,2,0)))</f>
        <v>0</v>
      </c>
      <c r="FT335" s="409"/>
      <c r="FU335" s="398">
        <f>IF(FT335=0,0,IF(LEN(FK335)=11,_xlfn.XLOOKUP(FK335,'Dispensed Ink Rates'!C:C,'Dispensed Ink Rates'!CS:CS),VLOOKUP(FK335,'Jan-2026 rates'!$E:$F,2,0)))</f>
        <v>0</v>
      </c>
      <c r="FV335" s="409"/>
      <c r="FW335" s="398">
        <f>IF(FV335=0,0,IF(LEN(FL335)=11,_xlfn.XLOOKUP(FL335,'Dispensed Ink Rates'!C:C,'Dispensed Ink Rates'!CS:CS),VLOOKUP(FL335,'Jan-2026 rates'!$E:$F,2,0)))</f>
        <v>0</v>
      </c>
      <c r="FX335" s="409"/>
      <c r="FY335" s="398">
        <f>IF(FX335=0,0,IF(LEN(FM335)=11,_xlfn.XLOOKUP(FM335,'Dispensed Ink Rates'!C:C,'Dispensed Ink Rates'!CS:CS),VLOOKUP(FM335,'Jan-2026 rates'!$E:$F,2,0)))</f>
        <v>0</v>
      </c>
      <c r="FZ335" s="409"/>
      <c r="GA335" s="398">
        <f>IF(FZ335=0,0,IF(LEN(FN335)=11,_xlfn.XLOOKUP(FN335,'Dispensed Ink Rates'!C:C,'Dispensed Ink Rates'!CS:CS),VLOOKUP(FN335,'Jan-2026 rates'!$E:$F,2,0)))</f>
        <v>0</v>
      </c>
      <c r="GB335" s="409"/>
      <c r="GC335" s="398">
        <f>IF(GB335=0,0,IF(LEN(FO335)=11,_xlfn.XLOOKUP(FO335,'Dispensed Ink Rates'!C:C,'Dispensed Ink Rates'!CS:CS),VLOOKUP(FO335,'Jan-2026 rates'!$E:$F,2,0)))</f>
        <v>0</v>
      </c>
      <c r="GD335" s="409"/>
      <c r="GE335" s="398">
        <f>IF(GD335=0,0,IF(LEN(FP335)=11,_xlfn.XLOOKUP(FP335,'Dispensed Ink Rates'!C:C,'Dispensed Ink Rates'!CS:CS),VLOOKUP(FP335,'Jan-2026 rates'!$E:$F,2,0)))</f>
        <v>0</v>
      </c>
      <c r="GF335" s="409"/>
      <c r="GG335" s="398">
        <f>IF(GF335=0,0,IF(LEN(FQ335)=11,_xlfn.XLOOKUP(FQ335,'Dispensed Ink Rates'!C:C,'Dispensed Ink Rates'!CS:CS),VLOOKUP(FQ335,'Jan-2026 rates'!$E:$F,2,0)))</f>
        <v>0</v>
      </c>
      <c r="GH335" s="409" t="s">
        <v>1881</v>
      </c>
      <c r="GI335" s="409">
        <v>25</v>
      </c>
      <c r="GJ335" s="411">
        <f t="shared" si="224"/>
        <v>0</v>
      </c>
      <c r="GK335" s="411">
        <f t="shared" si="225"/>
        <v>14.712499999999999</v>
      </c>
      <c r="GL335" s="410">
        <f t="shared" si="226"/>
        <v>0</v>
      </c>
      <c r="GM335" s="405" t="s">
        <v>545</v>
      </c>
      <c r="GN335" s="409" t="s">
        <v>4626</v>
      </c>
      <c r="GO335" s="420" t="str">
        <f t="shared" si="188"/>
        <v>ToyoLi - YELLOW</v>
      </c>
      <c r="GP335" s="409">
        <f>15+16</f>
        <v>31</v>
      </c>
      <c r="GQ335" s="411">
        <f>IF(GP335=0,0,IF($LB335=70%,VLOOKUP($GO335,'Jan-2026 rates'!$L:$R,4,0),IF($LB335=65%,VLOOKUP($GO335,'Jan-2026 rates'!$L:$R,4,0),IF($LB335=40%,VLOOKUP($GO335,'Jan-2026 rates'!$L:$R,5,0),IF($LB335=30%,VLOOKUP($GO335,'Jan-2026 rates'!$L:$R,6,0),IF($LB335=100%,VLOOKUP($GO335,'Jan-2026 rates'!$L:$R,7,0),IF($LB335=60%,VLOOKUP($GO335,'Jan-2026 rates'!$L:$S,8,0),IF($LB335=80%,VLOOKUP($GO335,'Jan-2026 rates'!L:T,9,0),0))))))))</f>
        <v>0</v>
      </c>
      <c r="GR335" s="412"/>
      <c r="GS335" s="409"/>
      <c r="GT335" s="411">
        <f>IF(GS335=0,0,IF($LB335=70%,VLOOKUP($GO335,'Jan-2026 rates'!$L:$R,4,0),IF($LB335=65%,VLOOKUP($GO335,'Jan-2026 rates'!$L:$R,4,0),IF($LB335=40%,VLOOKUP($GO335,'Jan-2026 rates'!$L:$R,5,0),IF($LB335=30%,VLOOKUP($GO335,'Jan-2026 rates'!$L:$R,6,0),IF($LB335=100%,VLOOKUP($GO335,'Jan-2026 rates'!$L:$R,7,0),IF($LB335=60%,VLOOKUP($GO335,'Jan-2026 rates'!$L:$S,8,0),IF($LB335=80%,VLOOKUP($GO335,'Jan-2026 rates'!L:T,9,0),0))))))))</f>
        <v>0</v>
      </c>
      <c r="GU335" s="413" t="s">
        <v>1247</v>
      </c>
      <c r="GV335" s="413" t="s">
        <v>1248</v>
      </c>
      <c r="GW335" s="412"/>
      <c r="GX335" s="412"/>
      <c r="GY335" s="412"/>
      <c r="GZ335" s="412"/>
      <c r="HA335" s="412"/>
      <c r="HB335" s="412"/>
      <c r="HC335" s="409">
        <v>15</v>
      </c>
      <c r="HD335" s="398">
        <f>IF(HC335=0,0,IF(LEN(GU335)=11,_xlfn.XLOOKUP(GU335,'Dispensed Ink Rates'!C:C,'Dispensed Ink Rates'!CS:CS),VLOOKUP(GU335,'Jan-2026 rates'!$E:$F,2,0)))</f>
        <v>0</v>
      </c>
      <c r="HE335" s="409">
        <v>0.1</v>
      </c>
      <c r="HF335" s="398">
        <f>IF(HE335=0,0,IF(LEN(GV335)=11,_xlfn.XLOOKUP(GV335,'Dispensed Ink Rates'!C:C,'Dispensed Ink Rates'!CS:CS),VLOOKUP(GV335,'Jan-2026 rates'!$E:$F,2,0)))</f>
        <v>0</v>
      </c>
      <c r="HG335" s="409"/>
      <c r="HH335" s="398">
        <f>IF(HG335=0,0,IF(LEN(GW335)=11,_xlfn.XLOOKUP(GW335,'Dispensed Ink Rates'!C:C,'Dispensed Ink Rates'!CS:CS),VLOOKUP(GW335,'Jan-2026 rates'!$E:$F,2,0)))</f>
        <v>0</v>
      </c>
      <c r="HI335" s="409"/>
      <c r="HJ335" s="398">
        <f>IF(HI335=0,0,IF(LEN(GX335)=11,_xlfn.XLOOKUP(GX335,'Dispensed Ink Rates'!C:C,'Dispensed Ink Rates'!CS:CS),VLOOKUP(GX335,'Jan-2026 rates'!$E:$F,2,0)))</f>
        <v>0</v>
      </c>
      <c r="HK335" s="409"/>
      <c r="HL335" s="398">
        <f>IF(HK335=0,0,IF(LEN(GY335)=11,_xlfn.XLOOKUP(GY335,'Dispensed Ink Rates'!C:C,'Dispensed Ink Rates'!CS:CS),VLOOKUP(GY335,'Jan-2026 rates'!$E:$F,2,0)))</f>
        <v>0</v>
      </c>
      <c r="HM335" s="409"/>
      <c r="HN335" s="398">
        <f>IF(HM335=0,0,IF(LEN(GZ335)=11,_xlfn.XLOOKUP(GZ335,'Dispensed Ink Rates'!C:C,'Dispensed Ink Rates'!CS:CS),VLOOKUP(GZ335,'Jan-2026 rates'!$E:$F,2,0)))</f>
        <v>0</v>
      </c>
      <c r="HO335" s="409"/>
      <c r="HP335" s="398">
        <f>IF(HO335=0,0,IF(LEN(HA335)=11,_xlfn.XLOOKUP(HA335,'Dispensed Ink Rates'!C:C,'Dispensed Ink Rates'!CS:CS),VLOOKUP(HA335,'Jan-2026 rates'!$E:$F,2,0)))</f>
        <v>0</v>
      </c>
      <c r="HQ335" s="409"/>
      <c r="HR335" s="398">
        <f>IF(HQ335=0,0,IF(LEN(HB335)=11,_xlfn.XLOOKUP(HB335,'Dispensed Ink Rates'!C:C,'Dispensed Ink Rates'!CS:CS),VLOOKUP(HB335,'Jan-2026 rates'!$E:$F,2,0)))</f>
        <v>0</v>
      </c>
      <c r="HS335" s="409" t="s">
        <v>1881</v>
      </c>
      <c r="HT335" s="409">
        <v>20</v>
      </c>
      <c r="HU335" s="411">
        <f t="shared" si="227"/>
        <v>0</v>
      </c>
      <c r="HV335" s="411">
        <f t="shared" si="228"/>
        <v>37.287500000000001</v>
      </c>
      <c r="HW335" s="414">
        <f t="shared" si="229"/>
        <v>0</v>
      </c>
      <c r="HX335" s="405" t="s">
        <v>856</v>
      </c>
      <c r="HY335" s="409"/>
      <c r="HZ335" s="420" t="str">
        <f t="shared" si="189"/>
        <v>ToyoLi - WHITE</v>
      </c>
      <c r="IA335" s="409"/>
      <c r="IB335" s="411">
        <f>IF(IA335=0,0,IF($LB335=70%,VLOOKUP($HZ335,'Jan-2026 rates'!$L:$R,4,0),IF($LB335=65%,VLOOKUP($HZ335,'Jan-2026 rates'!$L:$R,4,0),IF($LB335=40%,VLOOKUP($HZ335,'Jan-2026 rates'!$L:$R,5,0),IF($LB335=30%,VLOOKUP($HZ335,'Jan-2026 rates'!$L:$R,6,0),IF($LB335=100%,VLOOKUP($HZ335,'Jan-2026 rates'!$L:$R,7,0),IF($LB335=60%,VLOOKUP($HZ335,'Jan-2026 rates'!$L:$S,8,0),IF($LB335=80%,VLOOKUP($HZ335,'Jan-2026 rates'!L:T,9,0),0))))))))</f>
        <v>0</v>
      </c>
      <c r="IC335" s="412"/>
      <c r="ID335" s="409"/>
      <c r="IE335" s="411">
        <f>IF(ID335=0,0,IF($LB335=70%,VLOOKUP($HZ335,'Jan-2026 rates'!$L:$R,4,0),IF($LB335=65%,VLOOKUP($HZ335,'Jan-2026 rates'!$L:$R,4,0),IF($LB335=40%,VLOOKUP($HZ335,'Jan-2026 rates'!$L:$R,5,0),IF($LB335=30%,VLOOKUP($HZ335,'Jan-2026 rates'!$L:$R,6,0),IF($LB335=100%,VLOOKUP($HZ335,'Jan-2026 rates'!$L:$R,7,0),IF($LB335=60%,VLOOKUP($HZ335,'Jan-2026 rates'!$L:$S,8,0),IF($LB335=80%,VLOOKUP($HZ335,'Jan-2026 rates'!L:T,9,0),0))))))))</f>
        <v>0</v>
      </c>
      <c r="IF335" s="412" t="s">
        <v>1249</v>
      </c>
      <c r="IG335" s="413" t="s">
        <v>1122</v>
      </c>
      <c r="IH335" s="412"/>
      <c r="II335" s="412"/>
      <c r="IJ335" s="412"/>
      <c r="IK335" s="412"/>
      <c r="IL335" s="412"/>
      <c r="IM335" s="412"/>
      <c r="IN335" s="409">
        <f>60+20</f>
        <v>80</v>
      </c>
      <c r="IO335" s="398">
        <f>IF(IN335=0,0,IF(LEN(IF335)=11,_xlfn.XLOOKUP(IF335,'Dispensed Ink Rates'!C:C,'Dispensed Ink Rates'!CS:CS),VLOOKUP(IF335,'Jan-2026 rates'!$E:$F,2,0)))</f>
        <v>0</v>
      </c>
      <c r="IP335" s="409">
        <v>7.24</v>
      </c>
      <c r="IQ335" s="398">
        <f>IF(IP335=0,0,IF(LEN(IG335)=11,_xlfn.XLOOKUP(IG335,'Dispensed Ink Rates'!C:C,'Dispensed Ink Rates'!CS:CS),VLOOKUP(IG335,'Jan-2026 rates'!$E:$F,2,0)))</f>
        <v>0</v>
      </c>
      <c r="IR335" s="409"/>
      <c r="IS335" s="398">
        <f>IF(IR335=0,0,IF(LEN(IH335)=11,_xlfn.XLOOKUP(IH335,'Dispensed Ink Rates'!C:C,'Dispensed Ink Rates'!CS:CS),VLOOKUP(IH335,'Jan-2026 rates'!$E:$F,2,0)))</f>
        <v>0</v>
      </c>
      <c r="IT335" s="409"/>
      <c r="IU335" s="398">
        <f>IF(IT335=0,0,IF(LEN(II335)=11,_xlfn.XLOOKUP(II335,'Dispensed Ink Rates'!C:C,'Dispensed Ink Rates'!CS:CS),VLOOKUP(II335,'Jan-2026 rates'!$E:$F,2,0)))</f>
        <v>0</v>
      </c>
      <c r="IV335" s="409"/>
      <c r="IW335" s="398">
        <f>IF(IV335=0,0,IF(LEN(IJ335)=11,_xlfn.XLOOKUP(IJ335,'Dispensed Ink Rates'!C:C,'Dispensed Ink Rates'!CS:CS),VLOOKUP(IJ335,'Jan-2026 rates'!$E:$F,2,0)))</f>
        <v>0</v>
      </c>
      <c r="IX335" s="409"/>
      <c r="IY335" s="398">
        <f>IF(IX335=0,0,IF(LEN(IK335)=11,_xlfn.XLOOKUP(IK335,'Dispensed Ink Rates'!C:C,'Dispensed Ink Rates'!CS:CS),VLOOKUP(IK335,'Jan-2026 rates'!$E:$F,2,0)))</f>
        <v>0</v>
      </c>
      <c r="IZ335" s="409"/>
      <c r="JA335" s="398">
        <f>IF(IZ335=0,0,IF(LEN(IL335)=11,_xlfn.XLOOKUP(IL335,'Dispensed Ink Rates'!C:C,'Dispensed Ink Rates'!CS:CS),VLOOKUP(IL335,'Jan-2026 rates'!$E:$F,2,0)))</f>
        <v>0</v>
      </c>
      <c r="JB335" s="409"/>
      <c r="JC335" s="398">
        <f>IF(JB335=0,0,IF(LEN(IM335)=11,_xlfn.XLOOKUP(IM335,'Dispensed Ink Rates'!C:C,'Dispensed Ink Rates'!CS:CS),VLOOKUP(IM335,'Jan-2026 rates'!$E:$F,2,0)))</f>
        <v>0</v>
      </c>
      <c r="JD335" s="409" t="s">
        <v>1881</v>
      </c>
      <c r="JE335" s="409">
        <v>20</v>
      </c>
      <c r="JF335" s="411">
        <f t="shared" si="230"/>
        <v>0</v>
      </c>
      <c r="JG335" s="411">
        <f t="shared" si="231"/>
        <v>201.49</v>
      </c>
      <c r="JH335" s="410">
        <f t="shared" si="232"/>
        <v>0</v>
      </c>
      <c r="JI335" s="405"/>
      <c r="JJ335" s="409"/>
      <c r="JK335" s="420" t="str">
        <f t="shared" si="190"/>
        <v xml:space="preserve"> - </v>
      </c>
      <c r="JL335" s="409"/>
      <c r="JM335" s="411">
        <f>IF(JL335=0,0,IF($LB335=70%,VLOOKUP($JK335,'Jan-2026 rates'!$L:$R,4,0),IF($LB335=65%,VLOOKUP($JK335,'Jan-2026 rates'!$L:$R,4,0),IF($LB335=40%,VLOOKUP($JK335,'Jan-2026 rates'!$L:$R,5,0),IF($LB335=30%,VLOOKUP($JK335,'Jan-2026 rates'!$L:$R,6,0),IF($LB335=100%,VLOOKUP($JK335,'Jan-2026 rates'!$L:$R,7,0),IF($LB335=60%,VLOOKUP($JK335,'Jan-2026 rates'!$L:$S,8,0),IF($LB335=80%,VLOOKUP($JK335,'Jan-2026 rates'!L:T,9,0),0))))))))</f>
        <v>0</v>
      </c>
      <c r="JN335" s="412"/>
      <c r="JO335" s="409"/>
      <c r="JP335" s="411">
        <f>IF(JO335=0,0,IF($LB335=70%,VLOOKUP($JK335,'Jan-2026 rates'!$L:$R,4,0),IF($LB335=65%,VLOOKUP($JK335,'Jan-2026 rates'!$L:$R,4,0),IF($LB335=40%,VLOOKUP($JK335,'Jan-2026 rates'!$L:$R,5,0),IF($LB335=30%,VLOOKUP($JK335,'Jan-2026 rates'!$L:$R,6,0),IF($LB335=100%,VLOOKUP($JK335,'Jan-2026 rates'!$L:$R,7,0),IF($LB335=60%,VLOOKUP($JK335,'Jan-2026 rates'!$L:$S,8,0),IF($LB335=80%,VLOOKUP($JK335,'Jan-2026 rates'!L:T,9,0),0))))))))</f>
        <v>0</v>
      </c>
      <c r="JQ335" s="413"/>
      <c r="JR335" s="412"/>
      <c r="JS335" s="413"/>
      <c r="JT335" s="413"/>
      <c r="JU335" s="412"/>
      <c r="JV335" s="412"/>
      <c r="JW335" s="412"/>
      <c r="JX335" s="412"/>
      <c r="JY335" s="409"/>
      <c r="JZ335" s="398">
        <f>IF(JY335=0,0,IF(LEN(JQ335)=11,_xlfn.XLOOKUP(JQ335,'Dispensed Ink Rates'!C:C,'Dispensed Ink Rates'!CS:CS),VLOOKUP(JQ335,'Jan-2026 rates'!$E:$F,2,0)))</f>
        <v>0</v>
      </c>
      <c r="KA335" s="409"/>
      <c r="KB335" s="398">
        <f>IF(KA335=0,0,IF(LEN(JR335)=11,_xlfn.XLOOKUP(JR335,'Dispensed Ink Rates'!C:C,'Dispensed Ink Rates'!CS:CS),VLOOKUP(JR335,'Jan-2026 rates'!$E:$F,2,0)))</f>
        <v>0</v>
      </c>
      <c r="KC335" s="409"/>
      <c r="KD335" s="398">
        <f>IF(KC335=0,0,IF(LEN(JS335)=11,_xlfn.XLOOKUP(JS335,'Dispensed Ink Rates'!C:C,'Dispensed Ink Rates'!CS:CS),VLOOKUP(JS335,'Jan-2026 rates'!$E:$F,2,0)))</f>
        <v>0</v>
      </c>
      <c r="KE335" s="409"/>
      <c r="KF335" s="398">
        <f>IF(KE335=0,0,IF(LEN(JT335)=11,_xlfn.XLOOKUP(JT335,'Dispensed Ink Rates'!C:C,'Dispensed Ink Rates'!CS:CS),VLOOKUP(JT335,'Jan-2026 rates'!$E:$F,2,0)))</f>
        <v>0</v>
      </c>
      <c r="KG335" s="409"/>
      <c r="KH335" s="398">
        <f>IF(KG335=0,0,IF(LEN(JU335)=11,_xlfn.XLOOKUP(JU335,'Dispensed Ink Rates'!C:C,'Dispensed Ink Rates'!CS:CS),VLOOKUP(JU335,'Jan-2026 rates'!$E:$F,2,0)))</f>
        <v>0</v>
      </c>
      <c r="KI335" s="409"/>
      <c r="KJ335" s="398">
        <f>IF(KI335=0,0,IF(LEN(JV335)=11,_xlfn.XLOOKUP(JV335,'Dispensed Ink Rates'!C:C,'Dispensed Ink Rates'!CS:CS),VLOOKUP(JV335,'Jan-2026 rates'!$E:$F,2,0)))</f>
        <v>0</v>
      </c>
      <c r="KK335" s="409"/>
      <c r="KL335" s="398">
        <f>IF(KK335=0,0,IF(LEN(JW335)=11,_xlfn.XLOOKUP(JW335,'Dispensed Ink Rates'!C:C,'Dispensed Ink Rates'!CS:CS),VLOOKUP(JW335,'Jan-2026 rates'!$E:$F,2,0)))</f>
        <v>0</v>
      </c>
      <c r="KM335" s="428"/>
      <c r="KN335" s="398">
        <f>IF(KM335=0,0,IF(LEN(JX335)=11,_xlfn.XLOOKUP(JX335,'Dispensed Ink Rates'!C:C,'Dispensed Ink Rates'!CS:CS),VLOOKUP(JX335,'Jan-2026 rates'!$E:$F,2,0)))</f>
        <v>0</v>
      </c>
      <c r="KO335" s="409"/>
      <c r="KP335" s="409"/>
      <c r="KQ335" s="411">
        <f t="shared" si="233"/>
        <v>0</v>
      </c>
      <c r="KR335" s="411">
        <f t="shared" si="234"/>
        <v>0</v>
      </c>
      <c r="KS335" s="410">
        <f t="shared" si="235"/>
        <v>0</v>
      </c>
      <c r="KT335" s="409">
        <v>3</v>
      </c>
      <c r="KU335" s="409">
        <v>5</v>
      </c>
      <c r="KV335" s="409">
        <v>2</v>
      </c>
      <c r="KW335" s="409">
        <v>2</v>
      </c>
      <c r="KX335" s="409">
        <v>3</v>
      </c>
      <c r="KY335" s="409">
        <v>5</v>
      </c>
      <c r="KZ335" s="409">
        <v>60</v>
      </c>
      <c r="LA335" s="409">
        <v>0</v>
      </c>
      <c r="LB335" s="415">
        <v>0.3</v>
      </c>
      <c r="LC335" s="415"/>
      <c r="LD335" s="424"/>
      <c r="LE335" s="415">
        <v>0.5</v>
      </c>
      <c r="LF335" s="415">
        <v>0.2</v>
      </c>
      <c r="LG335" s="409">
        <v>0</v>
      </c>
      <c r="LH335" s="409">
        <f>60+39+24+40+16</f>
        <v>179</v>
      </c>
      <c r="LI335" s="409">
        <v>0</v>
      </c>
      <c r="LJ335" s="409">
        <v>0</v>
      </c>
      <c r="LK335" s="416">
        <f t="shared" si="191"/>
        <v>179</v>
      </c>
      <c r="LL335" s="416">
        <f t="shared" si="237"/>
        <v>179</v>
      </c>
      <c r="LM335" s="417">
        <f t="shared" si="193"/>
        <v>53.699999999999996</v>
      </c>
      <c r="LN335" s="417">
        <f>VLOOKUP($LM$8,'Jan-2026 rates'!$H:$I,2,0)</f>
        <v>0</v>
      </c>
      <c r="LO335" s="417">
        <f t="shared" si="194"/>
        <v>0</v>
      </c>
      <c r="LP335" s="417">
        <f>VLOOKUP($LO$8,'Jan-2026 rates'!$H:$I,2,0)</f>
        <v>0</v>
      </c>
      <c r="LQ335" s="417">
        <f t="shared" si="195"/>
        <v>0</v>
      </c>
      <c r="LR335" s="417">
        <f>VLOOKUP($LQ$8,'Jan-2026 rates'!$H:$I,2,0)</f>
        <v>0</v>
      </c>
      <c r="LS335" s="417">
        <f t="shared" si="196"/>
        <v>89.5</v>
      </c>
      <c r="LT335" s="417">
        <f>VLOOKUP($LS$8,'Jan-2026 rates'!$H:$I,2,0)</f>
        <v>0</v>
      </c>
      <c r="LU335" s="417">
        <f t="shared" si="197"/>
        <v>35.800000000000004</v>
      </c>
      <c r="LV335" s="417">
        <f>VLOOKUP($LU$8,'Jan-2026 rates'!$H:$I,2,0)</f>
        <v>0</v>
      </c>
      <c r="LW335" s="417">
        <f t="shared" si="198"/>
        <v>0</v>
      </c>
      <c r="LX335" s="417">
        <f t="shared" si="199"/>
        <v>0</v>
      </c>
      <c r="LY335" s="418">
        <f t="shared" si="200"/>
        <v>0</v>
      </c>
      <c r="LZ335" s="417"/>
      <c r="MA335" s="435">
        <f t="shared" si="201"/>
        <v>145.34</v>
      </c>
      <c r="MB335" s="282">
        <f t="shared" si="202"/>
        <v>381.34000000000003</v>
      </c>
      <c r="MC335" s="283" t="s">
        <v>2074</v>
      </c>
      <c r="MD335" s="284" t="str">
        <f t="shared" si="203"/>
        <v>ToyoLiToyoLiToyoLiToyoLiToyoLiToyoLiToyoLi</v>
      </c>
      <c r="ME335" s="293" t="str">
        <f t="shared" si="204"/>
        <v>+</v>
      </c>
      <c r="MF335" s="293" t="str">
        <f t="shared" si="205"/>
        <v>+</v>
      </c>
      <c r="MG335" s="293" t="str">
        <f t="shared" si="206"/>
        <v>+</v>
      </c>
      <c r="MH335" s="293" t="str">
        <f t="shared" si="207"/>
        <v>+</v>
      </c>
      <c r="MI335" s="293" t="str">
        <f t="shared" si="208"/>
        <v>+</v>
      </c>
      <c r="MJ335" s="293" t="str">
        <f t="shared" si="209"/>
        <v>+</v>
      </c>
      <c r="MK335" s="293" t="str">
        <f t="shared" si="210"/>
        <v>+</v>
      </c>
      <c r="ML335" s="293" t="str">
        <f t="shared" si="211"/>
        <v>NIL</v>
      </c>
      <c r="MM335" s="3" t="b">
        <f t="array" ref="MM335">OR(ME335:ML335="-")</f>
        <v>0</v>
      </c>
      <c r="MO335" s="401">
        <f t="shared" si="238"/>
        <v>63.876046901172536</v>
      </c>
      <c r="MP335" s="286"/>
      <c r="MR335" s="402">
        <f t="shared" si="239"/>
        <v>7.2498098859315593E-3</v>
      </c>
      <c r="MS335" s="400">
        <f t="shared" si="240"/>
        <v>0</v>
      </c>
      <c r="MT335" s="285"/>
      <c r="NH335" s="361"/>
      <c r="NJ335" s="282"/>
    </row>
    <row r="336" spans="1:374" ht="16.5">
      <c r="A336" s="403">
        <v>46049</v>
      </c>
      <c r="B336" s="404" t="s">
        <v>1015</v>
      </c>
      <c r="C336" s="405" t="s">
        <v>4627</v>
      </c>
      <c r="D336" s="404" t="s">
        <v>2075</v>
      </c>
      <c r="E336" s="404">
        <v>596</v>
      </c>
      <c r="F336" s="407">
        <v>52500</v>
      </c>
      <c r="G336" s="407" t="s">
        <v>1016</v>
      </c>
      <c r="H336" s="408" t="s">
        <v>1017</v>
      </c>
      <c r="I336" s="409">
        <v>1.5</v>
      </c>
      <c r="J336" s="405" t="s">
        <v>543</v>
      </c>
      <c r="K336" s="404" t="s">
        <v>4633</v>
      </c>
      <c r="L336" s="419" t="str">
        <f t="shared" si="184"/>
        <v>ToyoLi - BLACK</v>
      </c>
      <c r="M336" s="404">
        <v>25</v>
      </c>
      <c r="N336" s="410">
        <f>IF(M336=0,0,IF($LB336=70%,VLOOKUP($L336,'Jan-2026 rates'!$L:$R,4,0),IF($LB336=65%,VLOOKUP($L336,'Jan-2026 rates'!$L:$R,4,0),IF($LB336=40%,VLOOKUP($L336,'Jan-2026 rates'!$L:$R,5,0),IF($LB336=30%,VLOOKUP($L336,'Jan-2026 rates'!$L:$R,6,0),IF($LB336=100%,VLOOKUP($L336,'Jan-2026 rates'!$L:$R,7,0),IF($LB336=60%,VLOOKUP($L336,'Jan-2026 rates'!$L:$S,8,0),IF($LB336=80%,VLOOKUP($L336,'Jan-2026 rates'!L:T,9,0),0))))))))</f>
        <v>0</v>
      </c>
      <c r="O336" s="406"/>
      <c r="P336" s="404"/>
      <c r="Q336" s="410">
        <f>IF(P336=0,0,IF($LB336=70%,VLOOKUP($L336,'Jan-2026 rates'!$L:$R,4,0),IF($LB336=65%,VLOOKUP($L336,'Jan-2026 rates'!$L:$R,4,0),IF($LB336=40%,VLOOKUP($L336,'Jan-2026 rates'!$L:$R,5,0),IF($LB336=30%,VLOOKUP($L336,'Jan-2026 rates'!$L:$R,6,0),IF($LB336=100%,VLOOKUP($L336,'Jan-2026 rates'!$L:$R,7,0),IF($LB336=60%,VLOOKUP($L336,'Jan-2026 rates'!$L:$S,8,0),IF($LB336=80%,VLOOKUP($L336,'Jan-2026 rates'!L:T,9,0),0))))))))</f>
        <v>0</v>
      </c>
      <c r="R336" s="406" t="s">
        <v>1921</v>
      </c>
      <c r="S336" s="406"/>
      <c r="T336" s="406"/>
      <c r="U336" s="406"/>
      <c r="V336" s="406"/>
      <c r="W336" s="406"/>
      <c r="X336" s="406"/>
      <c r="Y336" s="406"/>
      <c r="Z336" s="404">
        <v>3</v>
      </c>
      <c r="AA336" s="398">
        <f>IF(Z336=0,0,IF(LEN(R336)=11,_xlfn.XLOOKUP(R336,'Dispensed Ink Rates'!C:C,'Dispensed Ink Rates'!CS:CS),VLOOKUP(R336,'Jan-2026 rates'!$E:$F,2,0)))</f>
        <v>0</v>
      </c>
      <c r="AB336" s="404"/>
      <c r="AC336" s="398">
        <f>IF(AB336=0,0,IF(LEN(S336)=11,_xlfn.XLOOKUP(S336,'Dispensed Ink Rates'!C:C,'Dispensed Ink Rates'!CS:CS),VLOOKUP(S336,'Jan-2026 rates'!$E:$F,2,0)))</f>
        <v>0</v>
      </c>
      <c r="AD336" s="404"/>
      <c r="AE336" s="398">
        <f>IF(AD336=0,0,IF(LEN(T336)=11,_xlfn.XLOOKUP(T336,'Dispensed Ink Rates'!C:C,'Dispensed Ink Rates'!CS:CS),VLOOKUP(T336,'Jan-2026 rates'!$E:$F,2,0)))</f>
        <v>0</v>
      </c>
      <c r="AF336" s="404"/>
      <c r="AG336" s="398">
        <f>IF(AF336=0,0,IF(LEN(U336)=11,_xlfn.XLOOKUP(U336,'Dispensed Ink Rates'!C:C,'Dispensed Ink Rates'!CS:CS),VLOOKUP(U336,'Jan-2026 rates'!$E:$F,2,0)))</f>
        <v>0</v>
      </c>
      <c r="AH336" s="404"/>
      <c r="AI336" s="398">
        <f>IF(AH336=0,0,IF(LEN(V336)=11,_xlfn.XLOOKUP(V336,'Dispensed Ink Rates'!C:C,'Dispensed Ink Rates'!CS:CS),VLOOKUP(V336,'Jan-2026 rates'!$E:$F,2,0)))</f>
        <v>0</v>
      </c>
      <c r="AJ336" s="404"/>
      <c r="AK336" s="398">
        <f>IF(AJ336=0,0,IF(LEN(W336)=11,_xlfn.XLOOKUP(W336,'Dispensed Ink Rates'!C:C,'Dispensed Ink Rates'!CS:CS),VLOOKUP(W336,'Jan-2026 rates'!$E:$F,2,0)))</f>
        <v>0</v>
      </c>
      <c r="AL336" s="404"/>
      <c r="AM336" s="398">
        <f>IF(AL336=0,0,IF(LEN(X336)=11,_xlfn.XLOOKUP(X336,'Dispensed Ink Rates'!C:C,'Dispensed Ink Rates'!CS:CS),VLOOKUP(X336,'Jan-2026 rates'!$E:$F,2,0)))</f>
        <v>0</v>
      </c>
      <c r="AN336" s="404"/>
      <c r="AO336" s="398">
        <f>IF(AN336=0,0,IF(LEN(Y336)=11,_xlfn.XLOOKUP(Y336,'Dispensed Ink Rates'!C:C,'Dispensed Ink Rates'!CS:CS),VLOOKUP(Y336,'Jan-2026 rates'!$E:$F,2,0)))</f>
        <v>0</v>
      </c>
      <c r="AP336" s="409" t="s">
        <v>1881</v>
      </c>
      <c r="AQ336" s="409">
        <v>28</v>
      </c>
      <c r="AR336" s="410">
        <f t="shared" si="212"/>
        <v>0</v>
      </c>
      <c r="AS336" s="411">
        <f t="shared" si="213"/>
        <v>4.0192307692307665</v>
      </c>
      <c r="AT336" s="410">
        <f t="shared" si="214"/>
        <v>0</v>
      </c>
      <c r="AU336" s="405" t="s">
        <v>546</v>
      </c>
      <c r="AV336" s="409" t="s">
        <v>4609</v>
      </c>
      <c r="AW336" s="420" t="str">
        <f t="shared" si="236"/>
        <v>ToyoLi - REFLEX BLUE</v>
      </c>
      <c r="AX336" s="409">
        <v>16</v>
      </c>
      <c r="AY336" s="411">
        <f>IF(AX336=0,0,IF($LB336=70%,VLOOKUP($AW336,'Jan-2026 rates'!$L:$R,4,0),IF($LB336=65%,VLOOKUP($AW336,'Jan-2026 rates'!$L:$R,4,0),IF($LB336=40%,VLOOKUP($AW336,'Jan-2026 rates'!$L:$R,5,0),IF($LB336=30%,VLOOKUP($AW336,'Jan-2026 rates'!$L:$R,6,0),IF($LB336=100%,VLOOKUP($AW336,'Jan-2026 rates'!$L:$R,7,0),IF($LB336=60%,VLOOKUP($AW336,'Jan-2026 rates'!$L:$S,8,0),IF($LB336=80%,VLOOKUP($AW336,'Jan-2026 rates'!L:T,9,0),0))))))))</f>
        <v>0</v>
      </c>
      <c r="AZ336" s="412" t="s">
        <v>4534</v>
      </c>
      <c r="BA336" s="409">
        <f>18+18</f>
        <v>36</v>
      </c>
      <c r="BB336" s="411">
        <f>IF(BA336=0,0,IF($LB336=70%,VLOOKUP($AW336,'Jan-2026 rates'!$L:$R,4,0),IF($LB336=65%,VLOOKUP($AW336,'Jan-2026 rates'!$L:$R,4,0),IF($LB336=40%,VLOOKUP($AW336,'Jan-2026 rates'!$L:$R,5,0),IF($LB336=30%,VLOOKUP($AW336,'Jan-2026 rates'!$L:$R,6,0),IF($LB336=100%,VLOOKUP($AW336,'Jan-2026 rates'!$L:$R,7,0),IF($LB336=60%,VLOOKUP($AW336,'Jan-2026 rates'!$L:$S,8,0),IF($LB336=80%,VLOOKUP($AW336,'Jan-2026 rates'!L:T,9,0),0))))))))</f>
        <v>0</v>
      </c>
      <c r="BC336" s="413" t="s">
        <v>1880</v>
      </c>
      <c r="BD336" s="412" t="s">
        <v>1250</v>
      </c>
      <c r="BE336" s="412"/>
      <c r="BF336" s="413"/>
      <c r="BG336" s="412"/>
      <c r="BH336" s="412"/>
      <c r="BI336" s="412"/>
      <c r="BJ336" s="412"/>
      <c r="BK336" s="409">
        <v>40</v>
      </c>
      <c r="BL336" s="398">
        <f>IF(BK336=0,0,IF(LEN(BC336)=11,_xlfn.XLOOKUP(BC336,'Dispensed Ink Rates'!C:C,'Dispensed Ink Rates'!CS:CS),VLOOKUP(BC336,'Jan-2026 rates'!$E:$F,2,0)))</f>
        <v>0</v>
      </c>
      <c r="BM336" s="409">
        <v>15</v>
      </c>
      <c r="BN336" s="398">
        <f>IF(BM336=0,0,IF(LEN(BD336)=11,_xlfn.XLOOKUP(BD336,'Dispensed Ink Rates'!C:C,'Dispensed Ink Rates'!CS:CS),VLOOKUP(BD336,'Jan-2026 rates'!$E:$F,2,0)))</f>
        <v>0</v>
      </c>
      <c r="BO336" s="409"/>
      <c r="BP336" s="398">
        <f>IF(BO336=0,0,IF(LEN(BE336)=11,_xlfn.XLOOKUP(BE336,'Dispensed Ink Rates'!C:C,'Dispensed Ink Rates'!CS:CS),VLOOKUP(BE336,'Jan-2026 rates'!$E:$F,2,0)))</f>
        <v>0</v>
      </c>
      <c r="BQ336" s="409"/>
      <c r="BR336" s="398">
        <f>IF(BQ336=0,0,IF(LEN(BF336)=11,_xlfn.XLOOKUP(BF336,'Dispensed Ink Rates'!C:C,'Dispensed Ink Rates'!CS:CS),VLOOKUP(BF336,'Jan-2026 rates'!$E:$F,2,0)))</f>
        <v>0</v>
      </c>
      <c r="BS336" s="409"/>
      <c r="BT336" s="398">
        <f>IF(BS336=0,0,IF(LEN(BG336)=11,_xlfn.XLOOKUP(BG336,'Dispensed Ink Rates'!C:C,'Dispensed Ink Rates'!CS:CS),VLOOKUP(BG336,'Jan-2026 rates'!$E:$F,2,0)))</f>
        <v>0</v>
      </c>
      <c r="BU336" s="409"/>
      <c r="BV336" s="398">
        <f>IF(BU336=0,0,IF(LEN(BH336)=11,_xlfn.XLOOKUP(BH336,'Dispensed Ink Rates'!C:C,'Dispensed Ink Rates'!CS:CS),VLOOKUP(BH336,'Jan-2026 rates'!$E:$F,2,0)))</f>
        <v>0</v>
      </c>
      <c r="BW336" s="409"/>
      <c r="BX336" s="398">
        <f>IF(BW336=0,0,IF(LEN(BI336)=11,_xlfn.XLOOKUP(BI336,'Dispensed Ink Rates'!C:C,'Dispensed Ink Rates'!CS:CS),VLOOKUP(BI336,'Jan-2026 rates'!$E:$F,2,0)))</f>
        <v>0</v>
      </c>
      <c r="BY336" s="409"/>
      <c r="BZ336" s="398">
        <f>IF(BY336=0,0,IF(LEN(BJ336)=11,_xlfn.XLOOKUP(BJ336,'Dispensed Ink Rates'!C:C,'Dispensed Ink Rates'!CS:CS),VLOOKUP(BJ336,'Jan-2026 rates'!$E:$F,2,0)))</f>
        <v>0</v>
      </c>
      <c r="CA336" s="409" t="s">
        <v>1881</v>
      </c>
      <c r="CB336" s="409">
        <v>20</v>
      </c>
      <c r="CC336" s="411">
        <f t="shared" si="215"/>
        <v>0</v>
      </c>
      <c r="CD336" s="411">
        <f t="shared" si="216"/>
        <v>137.24038461538461</v>
      </c>
      <c r="CE336" s="410">
        <f t="shared" si="217"/>
        <v>0</v>
      </c>
      <c r="CF336" s="404" t="s">
        <v>855</v>
      </c>
      <c r="CG336" s="409" t="s">
        <v>4628</v>
      </c>
      <c r="CH336" s="420" t="str">
        <f t="shared" si="185"/>
        <v>ToyoLi - CYAN</v>
      </c>
      <c r="CI336" s="409">
        <v>24</v>
      </c>
      <c r="CJ336" s="411">
        <f>IF(CI336=0,0,IF($LB336=70%,VLOOKUP($CH336,'Jan-2026 rates'!$L:$R,4,0),IF($LB336=65%,VLOOKUP($CH336,'Jan-2026 rates'!$L:$R,4,0),IF($LB336=40%,VLOOKUP($CH336,'Jan-2026 rates'!$L:$R,5,0),IF($LB336=30%,VLOOKUP($CH336,'Jan-2026 rates'!$L:$R,6,0),IF($LB336=100%,VLOOKUP($CH336,'Jan-2026 rates'!$L:$R,7,0),IF($LB336=60%,VLOOKUP($CH336,'Jan-2026 rates'!$L:$S,8,0),IF($LB336=80%,VLOOKUP($CH336,'Jan-2026 rates'!L:T,9,0),0))))))))</f>
        <v>0</v>
      </c>
      <c r="CK336" s="412"/>
      <c r="CL336" s="409"/>
      <c r="CM336" s="411">
        <f>IF(CL336=0,0,IF($LB336=70%,VLOOKUP($CH336,'Jan-2026 rates'!$L:$R,4,0),IF($LB336=65%,VLOOKUP($CH336,'Jan-2026 rates'!$L:$R,4,0),IF($LB336=40%,VLOOKUP($CH336,'Jan-2026 rates'!$L:$R,5,0),IF($LB336=30%,VLOOKUP($CH336,'Jan-2026 rates'!$L:$R,6,0),IF($LB336=100%,VLOOKUP($CH336,'Jan-2026 rates'!$L:$R,7,0),IF($LB336=60%,VLOOKUP($CH336,'Jan-2026 rates'!$L:$S,8,0),IF($LB336=80%,VLOOKUP($CH336,'Jan-2026 rates'!L:T,9,0),0))))))))</f>
        <v>0</v>
      </c>
      <c r="CN336" s="426" t="s">
        <v>1250</v>
      </c>
      <c r="CO336" s="427"/>
      <c r="CP336" s="426"/>
      <c r="CQ336" s="426"/>
      <c r="CR336" s="428"/>
      <c r="CS336" s="428"/>
      <c r="CT336" s="428"/>
      <c r="CU336" s="428"/>
      <c r="CV336" s="409">
        <v>2</v>
      </c>
      <c r="CW336" s="398">
        <f>IF(CV336=0,0,IF(LEN(CN336)=11,_xlfn.XLOOKUP(CN336,'Dispensed Ink Rates'!C:C,'Dispensed Ink Rates'!CS:CS),VLOOKUP(CN336,'Jan-2026 rates'!$E:$F,2,0)))</f>
        <v>0</v>
      </c>
      <c r="CX336" s="409"/>
      <c r="CY336" s="398">
        <f>IF(CX336=0,0,IF(LEN(CO336)=11,_xlfn.XLOOKUP(CO336,'Dispensed Ink Rates'!C:C,'Dispensed Ink Rates'!CS:CS),VLOOKUP(CO336,'Jan-2026 rates'!$E:$F,2,0)))</f>
        <v>0</v>
      </c>
      <c r="CZ336" s="409"/>
      <c r="DA336" s="398">
        <f>IF(CZ336=0,0,IF(LEN(CP336)=11,_xlfn.XLOOKUP(CP336,'Dispensed Ink Rates'!C:C,'Dispensed Ink Rates'!CS:CS),VLOOKUP(CP336,'Jan-2026 rates'!$E:$F,2,0)))</f>
        <v>0</v>
      </c>
      <c r="DB336" s="409"/>
      <c r="DC336" s="398">
        <f>IF(DB336=0,0,IF(LEN(CQ336)=11,_xlfn.XLOOKUP(CQ336,'Dispensed Ink Rates'!C:C,'Dispensed Ink Rates'!CS:CS),VLOOKUP(CQ336,'Jan-2026 rates'!$E:$F,2,0)))</f>
        <v>0</v>
      </c>
      <c r="DD336" s="409"/>
      <c r="DE336" s="398">
        <f>IF(DD336=0,0,IF(LEN(CR336)=11,_xlfn.XLOOKUP(CR336,'Dispensed Ink Rates'!C:C,'Dispensed Ink Rates'!CS:CS),VLOOKUP(CR336,'Jan-2026 rates'!$E:$F,2,0)))</f>
        <v>0</v>
      </c>
      <c r="DF336" s="409"/>
      <c r="DG336" s="398">
        <f>IF(DF336=0,0,IF(LEN(CS336)=11,_xlfn.XLOOKUP(CS336,'Dispensed Ink Rates'!C:C,'Dispensed Ink Rates'!CS:CS),VLOOKUP(CS336,'Jan-2026 rates'!$E:$F,2,0)))</f>
        <v>0</v>
      </c>
      <c r="DH336" s="409"/>
      <c r="DI336" s="398">
        <f>IF(DH336=0,0,IF(LEN(CT336)=11,_xlfn.XLOOKUP(CT336,'Dispensed Ink Rates'!C:C,'Dispensed Ink Rates'!CS:CS),VLOOKUP(CT336,'Jan-2026 rates'!$E:$F,2,0)))</f>
        <v>0</v>
      </c>
      <c r="DJ336" s="409"/>
      <c r="DK336" s="398">
        <f>IF(DJ336=0,0,IF(LEN(CU336)=11,_xlfn.XLOOKUP(CU336,'Dispensed Ink Rates'!C:C,'Dispensed Ink Rates'!CS:CS),VLOOKUP(CU336,'Jan-2026 rates'!$E:$F,2,0)))</f>
        <v>0</v>
      </c>
      <c r="DL336" s="409" t="s">
        <v>1881</v>
      </c>
      <c r="DM336" s="409">
        <v>28</v>
      </c>
      <c r="DN336" s="411">
        <f t="shared" si="218"/>
        <v>0</v>
      </c>
      <c r="DO336" s="411">
        <f t="shared" si="219"/>
        <v>4.0288461538461533</v>
      </c>
      <c r="DP336" s="410">
        <f t="shared" si="220"/>
        <v>0</v>
      </c>
      <c r="DQ336" s="405" t="s">
        <v>544</v>
      </c>
      <c r="DR336" s="409" t="s">
        <v>4629</v>
      </c>
      <c r="DS336" s="420" t="str">
        <f t="shared" si="186"/>
        <v>ToyoLi - MAGENTA</v>
      </c>
      <c r="DT336" s="409">
        <v>26</v>
      </c>
      <c r="DU336" s="411">
        <f>IF(DT336=0,0,IF($LB336=70%,VLOOKUP($DS336,'Jan-2026 rates'!$L:$R,4,0),IF($LB336=65%,VLOOKUP($DS336,'Jan-2026 rates'!$L:$R,4,0),IF($LB336=40%,VLOOKUP($DS336,'Jan-2026 rates'!$L:$R,5,0),IF($LB336=30%,VLOOKUP($DS336,'Jan-2026 rates'!$L:$R,6,0),IF($LB336=100%,VLOOKUP($DS336,'Jan-2026 rates'!$L:$R,7,0),IF($LB336=60%,VLOOKUP($DS336,'Jan-2026 rates'!$L:$S,8,0),IF($LB336=80%,VLOOKUP($DS336,'Jan-2026 rates'!L:T,9,0),0))))))))</f>
        <v>0</v>
      </c>
      <c r="DV336" s="412"/>
      <c r="DW336" s="409"/>
      <c r="DX336" s="411">
        <f>IF(DW336=0,0,IF($LB336=70%,VLOOKUP($DS336,'Jan-2026 rates'!$L:$R,4,0),IF($LB336=65%,VLOOKUP($DS336,'Jan-2026 rates'!$L:$R,4,0),IF($LB336=40%,VLOOKUP($DS336,'Jan-2026 rates'!$L:$R,5,0),IF($LB336=30%,VLOOKUP($DS336,'Jan-2026 rates'!$L:$R,6,0),IF($LB336=100%,VLOOKUP($DS336,'Jan-2026 rates'!$L:$R,7,0),IF($LB336=60%,VLOOKUP($DS336,'Jan-2026 rates'!$L:$S,8,0),IF($LB336=80%,VLOOKUP($DS336,'Jan-2026 rates'!L:T,9,0),0))))))))</f>
        <v>0</v>
      </c>
      <c r="DY336" s="413" t="s">
        <v>1246</v>
      </c>
      <c r="DZ336" s="413"/>
      <c r="EA336" s="412"/>
      <c r="EB336" s="412"/>
      <c r="EC336" s="412"/>
      <c r="ED336" s="412"/>
      <c r="EE336" s="412"/>
      <c r="EF336" s="412"/>
      <c r="EG336" s="409">
        <v>4</v>
      </c>
      <c r="EH336" s="398">
        <f>IF(EG336=0,0,IF(LEN(DY336)=11,_xlfn.XLOOKUP(DY336,'Dispensed Ink Rates'!C:C,'Dispensed Ink Rates'!CS:CS),VLOOKUP(DY336,'Jan-2026 rates'!$E:$F,2,0)))</f>
        <v>0</v>
      </c>
      <c r="EI336" s="409"/>
      <c r="EJ336" s="398">
        <f>IF(EI336=0,0,IF(LEN(DZ336)=11,_xlfn.XLOOKUP(DZ336,'Dispensed Ink Rates'!C:C,'Dispensed Ink Rates'!CS:CS),VLOOKUP(DZ336,'Jan-2026 rates'!$E:$F,2,0)))</f>
        <v>0</v>
      </c>
      <c r="EK336" s="409"/>
      <c r="EL336" s="398">
        <f>IF(EK336=0,0,IF(LEN(EA336)=11,_xlfn.XLOOKUP(EA336,'Dispensed Ink Rates'!C:C,'Dispensed Ink Rates'!CS:CS),VLOOKUP(EA336,'Jan-2026 rates'!$E:$F,2,0)))</f>
        <v>0</v>
      </c>
      <c r="EM336" s="409"/>
      <c r="EN336" s="398">
        <f>IF(EM336=0,0,IF(LEN(EB336)=11,_xlfn.XLOOKUP(EB336,'Dispensed Ink Rates'!C:C,'Dispensed Ink Rates'!CS:CS),VLOOKUP(EB336,'Jan-2026 rates'!$E:$F,2,0)))</f>
        <v>0</v>
      </c>
      <c r="EO336" s="409"/>
      <c r="EP336" s="398">
        <f>IF(EO336=0,0,IF(LEN(EC336)=11,_xlfn.XLOOKUP(EC336,'Dispensed Ink Rates'!C:C,'Dispensed Ink Rates'!CS:CS),VLOOKUP(EC336,'Jan-2026 rates'!$E:$F,2,0)))</f>
        <v>0</v>
      </c>
      <c r="EQ336" s="409"/>
      <c r="ER336" s="398">
        <f>IF(EQ336=0,0,IF(LEN(ED336)=11,_xlfn.XLOOKUP(ED336,'Dispensed Ink Rates'!C:C,'Dispensed Ink Rates'!CS:CS),VLOOKUP(ED336,'Jan-2026 rates'!$E:$F,2,0)))</f>
        <v>0</v>
      </c>
      <c r="ES336" s="409"/>
      <c r="ET336" s="398">
        <f>IF(ES336=0,0,IF(LEN(EE336)=11,_xlfn.XLOOKUP(EE336,'Dispensed Ink Rates'!C:C,'Dispensed Ink Rates'!CS:CS),VLOOKUP(EE336,'Jan-2026 rates'!$E:$F,2,0)))</f>
        <v>0</v>
      </c>
      <c r="EU336" s="409"/>
      <c r="EV336" s="398">
        <f>IF(EU336=0,0,IF(LEN(EF336)=11,_xlfn.XLOOKUP(EF336,'Dispensed Ink Rates'!C:C,'Dispensed Ink Rates'!CS:CS),VLOOKUP(EF336,'Jan-2026 rates'!$E:$F,2,0)))</f>
        <v>0</v>
      </c>
      <c r="EW336" s="409" t="s">
        <v>1881</v>
      </c>
      <c r="EX336" s="409">
        <v>26</v>
      </c>
      <c r="EY336" s="411">
        <f t="shared" si="221"/>
        <v>0</v>
      </c>
      <c r="EZ336" s="411">
        <f t="shared" si="222"/>
        <v>10.028846153846153</v>
      </c>
      <c r="FA336" s="410">
        <f t="shared" si="223"/>
        <v>0</v>
      </c>
      <c r="FB336" s="405" t="s">
        <v>545</v>
      </c>
      <c r="FC336" s="409" t="s">
        <v>4630</v>
      </c>
      <c r="FD336" s="420" t="str">
        <f t="shared" si="187"/>
        <v>ToyoLi - YELLOW</v>
      </c>
      <c r="FE336" s="409">
        <v>25</v>
      </c>
      <c r="FF336" s="411">
        <f>IF(FE336=0,0,IF($LB336=70%,VLOOKUP($FD336,'Jan-2026 rates'!$L:$R,4,0),IF($LB336=65%,VLOOKUP($FD336,'Jan-2026 rates'!$L:$R,4,0),IF($LB336=40%,VLOOKUP($FD336,'Jan-2026 rates'!$L:$R,5,0),IF($LB336=30%,VLOOKUP($FD336,'Jan-2026 rates'!$L:$R,6,0),IF($LB336=100%,VLOOKUP($FD336,'Jan-2026 rates'!$L:$R,7,0),IF($LB336=60%,VLOOKUP($FD336,'Jan-2026 rates'!$L:$S,8,0),IF($LB336=80%,VLOOKUP($FD336,'Jan-2026 rates'!L:T,9,0),0))))))))</f>
        <v>0</v>
      </c>
      <c r="FG336" s="412"/>
      <c r="FH336" s="409"/>
      <c r="FI336" s="411">
        <f>IF(FH336=0,0,IF($LB336=70%,VLOOKUP($FD336,'Jan-2026 rates'!$L:$R,4,0),IF($LB336=65%,VLOOKUP($FD336,'Jan-2026 rates'!$L:$R,4,0),IF($LB336=40%,VLOOKUP($FD336,'Jan-2026 rates'!$L:$R,5,0),IF($LB336=30%,VLOOKUP($FD336,'Jan-2026 rates'!$L:$R,6,0),IF($LB336=100%,VLOOKUP($FD336,'Jan-2026 rates'!$L:$R,7,0),IF($LB336=60%,VLOOKUP($FD336,'Jan-2026 rates'!$L:$S,8,0),IF($LB336=80%,VLOOKUP($FD336,'Jan-2026 rates'!L:T,9,0),0))))))))</f>
        <v>0</v>
      </c>
      <c r="FJ336" s="413" t="s">
        <v>1247</v>
      </c>
      <c r="FK336" s="413"/>
      <c r="FL336" s="413"/>
      <c r="FM336" s="412"/>
      <c r="FN336" s="412"/>
      <c r="FO336" s="412"/>
      <c r="FP336" s="412"/>
      <c r="FQ336" s="412"/>
      <c r="FR336" s="409">
        <v>10</v>
      </c>
      <c r="FS336" s="398">
        <f>IF(FR336=0,0,IF(LEN(FJ336)=11,_xlfn.XLOOKUP(FJ336,'Dispensed Ink Rates'!C:C,'Dispensed Ink Rates'!CS:CS),VLOOKUP(FJ336,'Jan-2026 rates'!$E:$F,2,0)))</f>
        <v>0</v>
      </c>
      <c r="FT336" s="409"/>
      <c r="FU336" s="398">
        <f>IF(FT336=0,0,IF(LEN(FK336)=11,_xlfn.XLOOKUP(FK336,'Dispensed Ink Rates'!C:C,'Dispensed Ink Rates'!CS:CS),VLOOKUP(FK336,'Jan-2026 rates'!$E:$F,2,0)))</f>
        <v>0</v>
      </c>
      <c r="FV336" s="409"/>
      <c r="FW336" s="398">
        <f>IF(FV336=0,0,IF(LEN(FL336)=11,_xlfn.XLOOKUP(FL336,'Dispensed Ink Rates'!C:C,'Dispensed Ink Rates'!CS:CS),VLOOKUP(FL336,'Jan-2026 rates'!$E:$F,2,0)))</f>
        <v>0</v>
      </c>
      <c r="FX336" s="409"/>
      <c r="FY336" s="398">
        <f>IF(FX336=0,0,IF(LEN(FM336)=11,_xlfn.XLOOKUP(FM336,'Dispensed Ink Rates'!C:C,'Dispensed Ink Rates'!CS:CS),VLOOKUP(FM336,'Jan-2026 rates'!$E:$F,2,0)))</f>
        <v>0</v>
      </c>
      <c r="FZ336" s="409"/>
      <c r="GA336" s="398">
        <f>IF(FZ336=0,0,IF(LEN(FN336)=11,_xlfn.XLOOKUP(FN336,'Dispensed Ink Rates'!C:C,'Dispensed Ink Rates'!CS:CS),VLOOKUP(FN336,'Jan-2026 rates'!$E:$F,2,0)))</f>
        <v>0</v>
      </c>
      <c r="GB336" s="409"/>
      <c r="GC336" s="398">
        <f>IF(GB336=0,0,IF(LEN(FO336)=11,_xlfn.XLOOKUP(FO336,'Dispensed Ink Rates'!C:C,'Dispensed Ink Rates'!CS:CS),VLOOKUP(FO336,'Jan-2026 rates'!$E:$F,2,0)))</f>
        <v>0</v>
      </c>
      <c r="GD336" s="409"/>
      <c r="GE336" s="398">
        <f>IF(GD336=0,0,IF(LEN(FP336)=11,_xlfn.XLOOKUP(FP336,'Dispensed Ink Rates'!C:C,'Dispensed Ink Rates'!CS:CS),VLOOKUP(FP336,'Jan-2026 rates'!$E:$F,2,0)))</f>
        <v>0</v>
      </c>
      <c r="GF336" s="409"/>
      <c r="GG336" s="398">
        <f>IF(GF336=0,0,IF(LEN(FQ336)=11,_xlfn.XLOOKUP(FQ336,'Dispensed Ink Rates'!C:C,'Dispensed Ink Rates'!CS:CS),VLOOKUP(FQ336,'Jan-2026 rates'!$E:$F,2,0)))</f>
        <v>0</v>
      </c>
      <c r="GH336" s="409" t="s">
        <v>1881</v>
      </c>
      <c r="GI336" s="409">
        <v>30</v>
      </c>
      <c r="GJ336" s="411">
        <f t="shared" si="224"/>
        <v>0</v>
      </c>
      <c r="GK336" s="411">
        <f t="shared" si="225"/>
        <v>15.04807692307692</v>
      </c>
      <c r="GL336" s="410">
        <f t="shared" si="226"/>
        <v>0</v>
      </c>
      <c r="GM336" s="405" t="s">
        <v>546</v>
      </c>
      <c r="GN336" s="409"/>
      <c r="GO336" s="420" t="str">
        <f t="shared" si="188"/>
        <v>ToyoLi - REFLEX BLUE</v>
      </c>
      <c r="GP336" s="409"/>
      <c r="GQ336" s="411">
        <f>IF(GP336=0,0,IF($LB336=70%,VLOOKUP($GO336,'Jan-2026 rates'!$L:$R,4,0),IF($LB336=65%,VLOOKUP($GO336,'Jan-2026 rates'!$L:$R,4,0),IF($LB336=40%,VLOOKUP($GO336,'Jan-2026 rates'!$L:$R,5,0),IF($LB336=30%,VLOOKUP($GO336,'Jan-2026 rates'!$L:$R,6,0),IF($LB336=100%,VLOOKUP($GO336,'Jan-2026 rates'!$L:$R,7,0),IF($LB336=60%,VLOOKUP($GO336,'Jan-2026 rates'!$L:$S,8,0),IF($LB336=80%,VLOOKUP($GO336,'Jan-2026 rates'!L:T,9,0),0))))))))</f>
        <v>0</v>
      </c>
      <c r="GR336" s="412"/>
      <c r="GS336" s="409"/>
      <c r="GT336" s="411">
        <f>IF(GS336=0,0,IF($LB336=70%,VLOOKUP($GO336,'Jan-2026 rates'!$L:$R,4,0),IF($LB336=65%,VLOOKUP($GO336,'Jan-2026 rates'!$L:$R,4,0),IF($LB336=40%,VLOOKUP($GO336,'Jan-2026 rates'!$L:$R,5,0),IF($LB336=30%,VLOOKUP($GO336,'Jan-2026 rates'!$L:$R,6,0),IF($LB336=100%,VLOOKUP($GO336,'Jan-2026 rates'!$L:$R,7,0),IF($LB336=60%,VLOOKUP($GO336,'Jan-2026 rates'!$L:$S,8,0),IF($LB336=80%,VLOOKUP($GO336,'Jan-2026 rates'!L:T,9,0),0))))))))</f>
        <v>0</v>
      </c>
      <c r="GU336" s="413" t="s">
        <v>1250</v>
      </c>
      <c r="GV336" s="413" t="s">
        <v>1921</v>
      </c>
      <c r="GW336" s="412"/>
      <c r="GX336" s="412"/>
      <c r="GY336" s="412"/>
      <c r="GZ336" s="412"/>
      <c r="HA336" s="412"/>
      <c r="HB336" s="412"/>
      <c r="HC336" s="409">
        <v>5</v>
      </c>
      <c r="HD336" s="398">
        <f>IF(HC336=0,0,IF(LEN(GU336)=11,_xlfn.XLOOKUP(GU336,'Dispensed Ink Rates'!C:C,'Dispensed Ink Rates'!CS:CS),VLOOKUP(GU336,'Jan-2026 rates'!$E:$F,2,0)))</f>
        <v>0</v>
      </c>
      <c r="HE336" s="409">
        <v>20</v>
      </c>
      <c r="HF336" s="398">
        <f>IF(HE336=0,0,IF(LEN(GV336)=11,_xlfn.XLOOKUP(GV336,'Dispensed Ink Rates'!C:C,'Dispensed Ink Rates'!CS:CS),VLOOKUP(GV336,'Jan-2026 rates'!$E:$F,2,0)))</f>
        <v>0</v>
      </c>
      <c r="HG336" s="409"/>
      <c r="HH336" s="398">
        <f>IF(HG336=0,0,IF(LEN(GW336)=11,_xlfn.XLOOKUP(GW336,'Dispensed Ink Rates'!C:C,'Dispensed Ink Rates'!CS:CS),VLOOKUP(GW336,'Jan-2026 rates'!$E:$F,2,0)))</f>
        <v>0</v>
      </c>
      <c r="HI336" s="409"/>
      <c r="HJ336" s="398">
        <f>IF(HI336=0,0,IF(LEN(GX336)=11,_xlfn.XLOOKUP(GX336,'Dispensed Ink Rates'!C:C,'Dispensed Ink Rates'!CS:CS),VLOOKUP(GX336,'Jan-2026 rates'!$E:$F,2,0)))</f>
        <v>0</v>
      </c>
      <c r="HK336" s="409"/>
      <c r="HL336" s="398">
        <f>IF(HK336=0,0,IF(LEN(GY336)=11,_xlfn.XLOOKUP(GY336,'Dispensed Ink Rates'!C:C,'Dispensed Ink Rates'!CS:CS),VLOOKUP(GY336,'Jan-2026 rates'!$E:$F,2,0)))</f>
        <v>0</v>
      </c>
      <c r="HM336" s="409"/>
      <c r="HN336" s="398">
        <f>IF(HM336=0,0,IF(LEN(GZ336)=11,_xlfn.XLOOKUP(GZ336,'Dispensed Ink Rates'!C:C,'Dispensed Ink Rates'!CS:CS),VLOOKUP(GZ336,'Jan-2026 rates'!$E:$F,2,0)))</f>
        <v>0</v>
      </c>
      <c r="HO336" s="409"/>
      <c r="HP336" s="398">
        <f>IF(HO336=0,0,IF(LEN(HA336)=11,_xlfn.XLOOKUP(HA336,'Dispensed Ink Rates'!C:C,'Dispensed Ink Rates'!CS:CS),VLOOKUP(HA336,'Jan-2026 rates'!$E:$F,2,0)))</f>
        <v>0</v>
      </c>
      <c r="HQ336" s="409"/>
      <c r="HR336" s="398">
        <f>IF(HQ336=0,0,IF(LEN(HB336)=11,_xlfn.XLOOKUP(HB336,'Dispensed Ink Rates'!C:C,'Dispensed Ink Rates'!CS:CS),VLOOKUP(HB336,'Jan-2026 rates'!$E:$F,2,0)))</f>
        <v>0</v>
      </c>
      <c r="HS336" s="409" t="s">
        <v>1881</v>
      </c>
      <c r="HT336" s="409">
        <v>20</v>
      </c>
      <c r="HU336" s="411">
        <f t="shared" si="227"/>
        <v>0</v>
      </c>
      <c r="HV336" s="411">
        <f t="shared" si="228"/>
        <v>37.153846153846153</v>
      </c>
      <c r="HW336" s="414">
        <f t="shared" si="229"/>
        <v>0</v>
      </c>
      <c r="HX336" s="405" t="s">
        <v>856</v>
      </c>
      <c r="HY336" s="409" t="s">
        <v>4631</v>
      </c>
      <c r="HZ336" s="420" t="str">
        <f t="shared" si="189"/>
        <v>ToyoLi - WHITE</v>
      </c>
      <c r="IA336" s="409">
        <v>20</v>
      </c>
      <c r="IB336" s="411">
        <f>IF(IA336=0,0,IF($LB336=70%,VLOOKUP($HZ336,'Jan-2026 rates'!$L:$R,4,0),IF($LB336=65%,VLOOKUP($HZ336,'Jan-2026 rates'!$L:$R,4,0),IF($LB336=40%,VLOOKUP($HZ336,'Jan-2026 rates'!$L:$R,5,0),IF($LB336=30%,VLOOKUP($HZ336,'Jan-2026 rates'!$L:$R,6,0),IF($LB336=100%,VLOOKUP($HZ336,'Jan-2026 rates'!$L:$R,7,0),IF($LB336=60%,VLOOKUP($HZ336,'Jan-2026 rates'!$L:$S,8,0),IF($LB336=80%,VLOOKUP($HZ336,'Jan-2026 rates'!L:T,9,0),0))))))))</f>
        <v>0</v>
      </c>
      <c r="IC336" s="412"/>
      <c r="ID336" s="409"/>
      <c r="IE336" s="411">
        <f>IF(ID336=0,0,IF($LB336=70%,VLOOKUP($HZ336,'Jan-2026 rates'!$L:$R,4,0),IF($LB336=65%,VLOOKUP($HZ336,'Jan-2026 rates'!$L:$R,4,0),IF($LB336=40%,VLOOKUP($HZ336,'Jan-2026 rates'!$L:$R,5,0),IF($LB336=30%,VLOOKUP($HZ336,'Jan-2026 rates'!$L:$R,6,0),IF($LB336=100%,VLOOKUP($HZ336,'Jan-2026 rates'!$L:$R,7,0),IF($LB336=60%,VLOOKUP($HZ336,'Jan-2026 rates'!$L:$S,8,0),IF($LB336=80%,VLOOKUP($HZ336,'Jan-2026 rates'!L:T,9,0),0))))))))</f>
        <v>0</v>
      </c>
      <c r="IF336" s="412" t="s">
        <v>1249</v>
      </c>
      <c r="IG336" s="413" t="s">
        <v>1122</v>
      </c>
      <c r="IH336" s="412"/>
      <c r="II336" s="412"/>
      <c r="IJ336" s="412"/>
      <c r="IK336" s="412"/>
      <c r="IL336" s="412"/>
      <c r="IM336" s="412"/>
      <c r="IN336" s="409">
        <f>70+20</f>
        <v>90</v>
      </c>
      <c r="IO336" s="398">
        <f>IF(IN336=0,0,IF(LEN(IF336)=11,_xlfn.XLOOKUP(IF336,'Dispensed Ink Rates'!C:C,'Dispensed Ink Rates'!CS:CS),VLOOKUP(IF336,'Jan-2026 rates'!$E:$F,2,0)))</f>
        <v>0</v>
      </c>
      <c r="IP336" s="409">
        <v>8.25</v>
      </c>
      <c r="IQ336" s="398">
        <f>IF(IP336=0,0,IF(LEN(IG336)=11,_xlfn.XLOOKUP(IG336,'Dispensed Ink Rates'!C:C,'Dispensed Ink Rates'!CS:CS),VLOOKUP(IG336,'Jan-2026 rates'!$E:$F,2,0)))</f>
        <v>0</v>
      </c>
      <c r="IR336" s="409"/>
      <c r="IS336" s="398">
        <f>IF(IR336=0,0,IF(LEN(IH336)=11,_xlfn.XLOOKUP(IH336,'Dispensed Ink Rates'!C:C,'Dispensed Ink Rates'!CS:CS),VLOOKUP(IH336,'Jan-2026 rates'!$E:$F,2,0)))</f>
        <v>0</v>
      </c>
      <c r="IT336" s="409"/>
      <c r="IU336" s="398">
        <f>IF(IT336=0,0,IF(LEN(II336)=11,_xlfn.XLOOKUP(II336,'Dispensed Ink Rates'!C:C,'Dispensed Ink Rates'!CS:CS),VLOOKUP(II336,'Jan-2026 rates'!$E:$F,2,0)))</f>
        <v>0</v>
      </c>
      <c r="IV336" s="409"/>
      <c r="IW336" s="398">
        <f>IF(IV336=0,0,IF(LEN(IJ336)=11,_xlfn.XLOOKUP(IJ336,'Dispensed Ink Rates'!C:C,'Dispensed Ink Rates'!CS:CS),VLOOKUP(IJ336,'Jan-2026 rates'!$E:$F,2,0)))</f>
        <v>0</v>
      </c>
      <c r="IX336" s="409"/>
      <c r="IY336" s="398">
        <f>IF(IX336=0,0,IF(LEN(IK336)=11,_xlfn.XLOOKUP(IK336,'Dispensed Ink Rates'!C:C,'Dispensed Ink Rates'!CS:CS),VLOOKUP(IK336,'Jan-2026 rates'!$E:$F,2,0)))</f>
        <v>0</v>
      </c>
      <c r="IZ336" s="409"/>
      <c r="JA336" s="398">
        <f>IF(IZ336=0,0,IF(LEN(IL336)=11,_xlfn.XLOOKUP(IL336,'Dispensed Ink Rates'!C:C,'Dispensed Ink Rates'!CS:CS),VLOOKUP(IL336,'Jan-2026 rates'!$E:$F,2,0)))</f>
        <v>0</v>
      </c>
      <c r="JB336" s="409"/>
      <c r="JC336" s="398">
        <f>IF(JB336=0,0,IF(LEN(IM336)=11,_xlfn.XLOOKUP(IM336,'Dispensed Ink Rates'!C:C,'Dispensed Ink Rates'!CS:CS),VLOOKUP(IM336,'Jan-2026 rates'!$E:$F,2,0)))</f>
        <v>0</v>
      </c>
      <c r="JD336" s="409" t="s">
        <v>1881</v>
      </c>
      <c r="JE336" s="409">
        <v>30</v>
      </c>
      <c r="JF336" s="411">
        <f t="shared" si="230"/>
        <v>0</v>
      </c>
      <c r="JG336" s="411">
        <f t="shared" si="231"/>
        <v>188.73076923076923</v>
      </c>
      <c r="JH336" s="410">
        <f t="shared" si="232"/>
        <v>0</v>
      </c>
      <c r="JI336" s="405"/>
      <c r="JJ336" s="409"/>
      <c r="JK336" s="420" t="str">
        <f t="shared" si="190"/>
        <v xml:space="preserve"> - </v>
      </c>
      <c r="JL336" s="409"/>
      <c r="JM336" s="411">
        <f>IF(JL336=0,0,IF($LB336=70%,VLOOKUP($JK336,'Jan-2026 rates'!$L:$R,4,0),IF($LB336=65%,VLOOKUP($JK336,'Jan-2026 rates'!$L:$R,4,0),IF($LB336=40%,VLOOKUP($JK336,'Jan-2026 rates'!$L:$R,5,0),IF($LB336=30%,VLOOKUP($JK336,'Jan-2026 rates'!$L:$R,6,0),IF($LB336=100%,VLOOKUP($JK336,'Jan-2026 rates'!$L:$R,7,0),IF($LB336=60%,VLOOKUP($JK336,'Jan-2026 rates'!$L:$S,8,0),IF($LB336=80%,VLOOKUP($JK336,'Jan-2026 rates'!L:T,9,0),0))))))))</f>
        <v>0</v>
      </c>
      <c r="JN336" s="412"/>
      <c r="JO336" s="409"/>
      <c r="JP336" s="411">
        <f>IF(JO336=0,0,IF($LB336=70%,VLOOKUP($JK336,'Jan-2026 rates'!$L:$R,4,0),IF($LB336=65%,VLOOKUP($JK336,'Jan-2026 rates'!$L:$R,4,0),IF($LB336=40%,VLOOKUP($JK336,'Jan-2026 rates'!$L:$R,5,0),IF($LB336=30%,VLOOKUP($JK336,'Jan-2026 rates'!$L:$R,6,0),IF($LB336=100%,VLOOKUP($JK336,'Jan-2026 rates'!$L:$R,7,0),IF($LB336=60%,VLOOKUP($JK336,'Jan-2026 rates'!$L:$S,8,0),IF($LB336=80%,VLOOKUP($JK336,'Jan-2026 rates'!L:T,9,0),0))))))))</f>
        <v>0</v>
      </c>
      <c r="JQ336" s="413"/>
      <c r="JR336" s="412"/>
      <c r="JS336" s="413"/>
      <c r="JT336" s="413"/>
      <c r="JU336" s="412"/>
      <c r="JV336" s="412"/>
      <c r="JW336" s="412"/>
      <c r="JX336" s="412"/>
      <c r="JY336" s="409"/>
      <c r="JZ336" s="398">
        <f>IF(JY336=0,0,IF(LEN(JQ336)=11,_xlfn.XLOOKUP(JQ336,'Dispensed Ink Rates'!C:C,'Dispensed Ink Rates'!CS:CS),VLOOKUP(JQ336,'Jan-2026 rates'!$E:$F,2,0)))</f>
        <v>0</v>
      </c>
      <c r="KA336" s="409"/>
      <c r="KB336" s="398">
        <f>IF(KA336=0,0,IF(LEN(JR336)=11,_xlfn.XLOOKUP(JR336,'Dispensed Ink Rates'!C:C,'Dispensed Ink Rates'!CS:CS),VLOOKUP(JR336,'Jan-2026 rates'!$E:$F,2,0)))</f>
        <v>0</v>
      </c>
      <c r="KC336" s="409"/>
      <c r="KD336" s="398">
        <f>IF(KC336=0,0,IF(LEN(JS336)=11,_xlfn.XLOOKUP(JS336,'Dispensed Ink Rates'!C:C,'Dispensed Ink Rates'!CS:CS),VLOOKUP(JS336,'Jan-2026 rates'!$E:$F,2,0)))</f>
        <v>0</v>
      </c>
      <c r="KE336" s="409"/>
      <c r="KF336" s="398">
        <f>IF(KE336=0,0,IF(LEN(JT336)=11,_xlfn.XLOOKUP(JT336,'Dispensed Ink Rates'!C:C,'Dispensed Ink Rates'!CS:CS),VLOOKUP(JT336,'Jan-2026 rates'!$E:$F,2,0)))</f>
        <v>0</v>
      </c>
      <c r="KG336" s="409"/>
      <c r="KH336" s="398">
        <f>IF(KG336=0,0,IF(LEN(JU336)=11,_xlfn.XLOOKUP(JU336,'Dispensed Ink Rates'!C:C,'Dispensed Ink Rates'!CS:CS),VLOOKUP(JU336,'Jan-2026 rates'!$E:$F,2,0)))</f>
        <v>0</v>
      </c>
      <c r="KI336" s="409"/>
      <c r="KJ336" s="398">
        <f>IF(KI336=0,0,IF(LEN(JV336)=11,_xlfn.XLOOKUP(JV336,'Dispensed Ink Rates'!C:C,'Dispensed Ink Rates'!CS:CS),VLOOKUP(JV336,'Jan-2026 rates'!$E:$F,2,0)))</f>
        <v>0</v>
      </c>
      <c r="KK336" s="409"/>
      <c r="KL336" s="398">
        <f>IF(KK336=0,0,IF(LEN(JW336)=11,_xlfn.XLOOKUP(JW336,'Dispensed Ink Rates'!C:C,'Dispensed Ink Rates'!CS:CS),VLOOKUP(JW336,'Jan-2026 rates'!$E:$F,2,0)))</f>
        <v>0</v>
      </c>
      <c r="KM336" s="428"/>
      <c r="KN336" s="398">
        <f>IF(KM336=0,0,IF(LEN(JX336)=11,_xlfn.XLOOKUP(JX336,'Dispensed Ink Rates'!C:C,'Dispensed Ink Rates'!CS:CS),VLOOKUP(JX336,'Jan-2026 rates'!$E:$F,2,0)))</f>
        <v>0</v>
      </c>
      <c r="KO336" s="409"/>
      <c r="KP336" s="409"/>
      <c r="KQ336" s="411">
        <f t="shared" si="233"/>
        <v>0</v>
      </c>
      <c r="KR336" s="411">
        <f t="shared" si="234"/>
        <v>0</v>
      </c>
      <c r="KS336" s="410">
        <f t="shared" si="235"/>
        <v>0</v>
      </c>
      <c r="KT336" s="409">
        <v>2</v>
      </c>
      <c r="KU336" s="409">
        <v>25</v>
      </c>
      <c r="KV336" s="409">
        <v>3</v>
      </c>
      <c r="KW336" s="409">
        <v>3</v>
      </c>
      <c r="KX336" s="409">
        <v>5</v>
      </c>
      <c r="KY336" s="409">
        <v>16</v>
      </c>
      <c r="KZ336" s="409">
        <f>40+10</f>
        <v>50</v>
      </c>
      <c r="LA336" s="409">
        <v>0</v>
      </c>
      <c r="LB336" s="415">
        <v>0.3</v>
      </c>
      <c r="LC336" s="415"/>
      <c r="LD336" s="424"/>
      <c r="LE336" s="415">
        <v>0.5</v>
      </c>
      <c r="LF336" s="415">
        <v>0.2</v>
      </c>
      <c r="LG336" s="409">
        <v>0</v>
      </c>
      <c r="LH336" s="409">
        <f>50+49+30+50+5+5+20</f>
        <v>209</v>
      </c>
      <c r="LI336" s="409">
        <v>0</v>
      </c>
      <c r="LJ336" s="409">
        <v>0</v>
      </c>
      <c r="LK336" s="416">
        <f t="shared" si="191"/>
        <v>209</v>
      </c>
      <c r="LL336" s="416">
        <f t="shared" si="237"/>
        <v>209</v>
      </c>
      <c r="LM336" s="417">
        <f t="shared" si="193"/>
        <v>62.699999999999996</v>
      </c>
      <c r="LN336" s="417">
        <f>VLOOKUP($LM$8,'Jan-2026 rates'!$H:$I,2,0)</f>
        <v>0</v>
      </c>
      <c r="LO336" s="417">
        <f t="shared" si="194"/>
        <v>0</v>
      </c>
      <c r="LP336" s="417">
        <f>VLOOKUP($LO$8,'Jan-2026 rates'!$H:$I,2,0)</f>
        <v>0</v>
      </c>
      <c r="LQ336" s="417">
        <f t="shared" si="195"/>
        <v>0</v>
      </c>
      <c r="LR336" s="417">
        <f>VLOOKUP($LQ$8,'Jan-2026 rates'!$H:$I,2,0)</f>
        <v>0</v>
      </c>
      <c r="LS336" s="417">
        <f t="shared" si="196"/>
        <v>104.5</v>
      </c>
      <c r="LT336" s="417">
        <f>VLOOKUP($LS$8,'Jan-2026 rates'!$H:$I,2,0)</f>
        <v>0</v>
      </c>
      <c r="LU336" s="417">
        <f t="shared" si="197"/>
        <v>41.800000000000004</v>
      </c>
      <c r="LV336" s="417">
        <f>VLOOKUP($LU$8,'Jan-2026 rates'!$H:$I,2,0)</f>
        <v>0</v>
      </c>
      <c r="LW336" s="417">
        <f t="shared" si="198"/>
        <v>0</v>
      </c>
      <c r="LX336" s="417">
        <f t="shared" si="199"/>
        <v>0</v>
      </c>
      <c r="LY336" s="418">
        <f t="shared" si="200"/>
        <v>0</v>
      </c>
      <c r="LZ336" s="417"/>
      <c r="MA336" s="435">
        <f t="shared" si="201"/>
        <v>197.25</v>
      </c>
      <c r="MB336" s="282">
        <f t="shared" si="202"/>
        <v>396.25</v>
      </c>
      <c r="MC336" s="283" t="s">
        <v>2075</v>
      </c>
      <c r="MD336" s="284" t="str">
        <f t="shared" si="203"/>
        <v>ToyoLiToyoLiToyoLiToyoLiToyoLiToyoLiToyoLi</v>
      </c>
      <c r="ME336" s="293" t="str">
        <f t="shared" si="204"/>
        <v>+</v>
      </c>
      <c r="MF336" s="293" t="str">
        <f t="shared" si="205"/>
        <v>+</v>
      </c>
      <c r="MG336" s="293" t="str">
        <f t="shared" si="206"/>
        <v>+</v>
      </c>
      <c r="MH336" s="293" t="str">
        <f t="shared" si="207"/>
        <v>+</v>
      </c>
      <c r="MI336" s="293" t="str">
        <f t="shared" si="208"/>
        <v>+</v>
      </c>
      <c r="MJ336" s="293" t="str">
        <f t="shared" si="209"/>
        <v>+</v>
      </c>
      <c r="MK336" s="293" t="str">
        <f t="shared" si="210"/>
        <v>+</v>
      </c>
      <c r="ML336" s="293" t="str">
        <f t="shared" si="211"/>
        <v>NIL</v>
      </c>
      <c r="MM336" s="3" t="b">
        <f t="array" ref="MM336">OR(ME336:ML336="-")</f>
        <v>0</v>
      </c>
      <c r="MO336" s="401">
        <f t="shared" si="238"/>
        <v>66.484899328859058</v>
      </c>
      <c r="MP336" s="286"/>
      <c r="MR336" s="402">
        <f t="shared" si="239"/>
        <v>7.5476190476190478E-3</v>
      </c>
      <c r="MS336" s="400">
        <f t="shared" si="240"/>
        <v>0</v>
      </c>
      <c r="MT336" s="285"/>
      <c r="NH336" s="361"/>
      <c r="NJ336" s="282"/>
    </row>
    <row r="337" spans="1:374" ht="16.5">
      <c r="A337" s="403">
        <v>46049</v>
      </c>
      <c r="B337" s="404" t="s">
        <v>1018</v>
      </c>
      <c r="C337" s="405" t="s">
        <v>4632</v>
      </c>
      <c r="D337" s="404" t="s">
        <v>2076</v>
      </c>
      <c r="E337" s="404">
        <v>596</v>
      </c>
      <c r="F337" s="407">
        <v>52500</v>
      </c>
      <c r="G337" s="407" t="s">
        <v>1016</v>
      </c>
      <c r="H337" s="408" t="s">
        <v>1017</v>
      </c>
      <c r="I337" s="409">
        <v>1.5</v>
      </c>
      <c r="J337" s="405" t="s">
        <v>543</v>
      </c>
      <c r="K337" s="404" t="s">
        <v>4634</v>
      </c>
      <c r="L337" s="419" t="str">
        <f t="shared" si="184"/>
        <v>ToyoLi - BLACK</v>
      </c>
      <c r="M337" s="404">
        <v>28</v>
      </c>
      <c r="N337" s="410">
        <f>IF(M337=0,0,IF($LB337=70%,VLOOKUP($L337,'Jan-2026 rates'!$L:$R,4,0),IF($LB337=65%,VLOOKUP($L337,'Jan-2026 rates'!$L:$R,4,0),IF($LB337=40%,VLOOKUP($L337,'Jan-2026 rates'!$L:$R,5,0),IF($LB337=30%,VLOOKUP($L337,'Jan-2026 rates'!$L:$R,6,0),IF($LB337=100%,VLOOKUP($L337,'Jan-2026 rates'!$L:$R,7,0),IF($LB337=60%,VLOOKUP($L337,'Jan-2026 rates'!$L:$S,8,0),IF($LB337=80%,VLOOKUP($L337,'Jan-2026 rates'!L:T,9,0),0))))))))</f>
        <v>0</v>
      </c>
      <c r="O337" s="406"/>
      <c r="P337" s="404"/>
      <c r="Q337" s="410">
        <f>IF(P337=0,0,IF($LB337=70%,VLOOKUP($L337,'Jan-2026 rates'!$L:$R,4,0),IF($LB337=65%,VLOOKUP($L337,'Jan-2026 rates'!$L:$R,4,0),IF($LB337=40%,VLOOKUP($L337,'Jan-2026 rates'!$L:$R,5,0),IF($LB337=30%,VLOOKUP($L337,'Jan-2026 rates'!$L:$R,6,0),IF($LB337=100%,VLOOKUP($L337,'Jan-2026 rates'!$L:$R,7,0),IF($LB337=60%,VLOOKUP($L337,'Jan-2026 rates'!$L:$S,8,0),IF($LB337=80%,VLOOKUP($L337,'Jan-2026 rates'!L:T,9,0),0))))))))</f>
        <v>0</v>
      </c>
      <c r="R337" s="406" t="s">
        <v>1252</v>
      </c>
      <c r="S337" s="406"/>
      <c r="T337" s="406"/>
      <c r="U337" s="406"/>
      <c r="V337" s="406"/>
      <c r="W337" s="406"/>
      <c r="X337" s="406"/>
      <c r="Y337" s="406"/>
      <c r="Z337" s="404">
        <v>5</v>
      </c>
      <c r="AA337" s="398">
        <f>IF(Z337=0,0,IF(LEN(R337)=11,_xlfn.XLOOKUP(R337,'Dispensed Ink Rates'!C:C,'Dispensed Ink Rates'!CS:CS),VLOOKUP(R337,'Jan-2026 rates'!$E:$F,2,0)))</f>
        <v>0</v>
      </c>
      <c r="AB337" s="404"/>
      <c r="AC337" s="398">
        <f>IF(AB337=0,0,IF(LEN(S337)=11,_xlfn.XLOOKUP(S337,'Dispensed Ink Rates'!C:C,'Dispensed Ink Rates'!CS:CS),VLOOKUP(S337,'Jan-2026 rates'!$E:$F,2,0)))</f>
        <v>0</v>
      </c>
      <c r="AD337" s="404"/>
      <c r="AE337" s="398">
        <f>IF(AD337=0,0,IF(LEN(T337)=11,_xlfn.XLOOKUP(T337,'Dispensed Ink Rates'!C:C,'Dispensed Ink Rates'!CS:CS),VLOOKUP(T337,'Jan-2026 rates'!$E:$F,2,0)))</f>
        <v>0</v>
      </c>
      <c r="AF337" s="404"/>
      <c r="AG337" s="398">
        <f>IF(AF337=0,0,IF(LEN(U337)=11,_xlfn.XLOOKUP(U337,'Dispensed Ink Rates'!C:C,'Dispensed Ink Rates'!CS:CS),VLOOKUP(U337,'Jan-2026 rates'!$E:$F,2,0)))</f>
        <v>0</v>
      </c>
      <c r="AH337" s="404"/>
      <c r="AI337" s="398">
        <f>IF(AH337=0,0,IF(LEN(V337)=11,_xlfn.XLOOKUP(V337,'Dispensed Ink Rates'!C:C,'Dispensed Ink Rates'!CS:CS),VLOOKUP(V337,'Jan-2026 rates'!$E:$F,2,0)))</f>
        <v>0</v>
      </c>
      <c r="AJ337" s="404"/>
      <c r="AK337" s="398">
        <f>IF(AJ337=0,0,IF(LEN(W337)=11,_xlfn.XLOOKUP(W337,'Dispensed Ink Rates'!C:C,'Dispensed Ink Rates'!CS:CS),VLOOKUP(W337,'Jan-2026 rates'!$E:$F,2,0)))</f>
        <v>0</v>
      </c>
      <c r="AL337" s="404"/>
      <c r="AM337" s="398">
        <f>IF(AL337=0,0,IF(LEN(X337)=11,_xlfn.XLOOKUP(X337,'Dispensed Ink Rates'!C:C,'Dispensed Ink Rates'!CS:CS),VLOOKUP(X337,'Jan-2026 rates'!$E:$F,2,0)))</f>
        <v>0</v>
      </c>
      <c r="AN337" s="404"/>
      <c r="AO337" s="398">
        <f>IF(AN337=0,0,IF(LEN(Y337)=11,_xlfn.XLOOKUP(Y337,'Dispensed Ink Rates'!C:C,'Dispensed Ink Rates'!CS:CS),VLOOKUP(Y337,'Jan-2026 rates'!$E:$F,2,0)))</f>
        <v>0</v>
      </c>
      <c r="AP337" s="409" t="s">
        <v>1881</v>
      </c>
      <c r="AQ337" s="409">
        <v>28</v>
      </c>
      <c r="AR337" s="410">
        <f t="shared" si="212"/>
        <v>0</v>
      </c>
      <c r="AS337" s="411">
        <f t="shared" si="213"/>
        <v>5</v>
      </c>
      <c r="AT337" s="410">
        <f t="shared" si="214"/>
        <v>0</v>
      </c>
      <c r="AU337" s="405" t="s">
        <v>547</v>
      </c>
      <c r="AV337" s="409" t="s">
        <v>4503</v>
      </c>
      <c r="AW337" s="420" t="str">
        <f t="shared" si="236"/>
        <v>ToyoLi - GREEN</v>
      </c>
      <c r="AX337" s="409">
        <v>10</v>
      </c>
      <c r="AY337" s="411">
        <f>IF(AX337=0,0,IF($LB337=70%,VLOOKUP($AW337,'Jan-2026 rates'!$L:$R,4,0),IF($LB337=65%,VLOOKUP($AW337,'Jan-2026 rates'!$L:$R,4,0),IF($LB337=40%,VLOOKUP($AW337,'Jan-2026 rates'!$L:$R,5,0),IF($LB337=30%,VLOOKUP($AW337,'Jan-2026 rates'!$L:$R,6,0),IF($LB337=100%,VLOOKUP($AW337,'Jan-2026 rates'!$L:$R,7,0),IF($LB337=60%,VLOOKUP($AW337,'Jan-2026 rates'!$L:$S,8,0),IF($LB337=80%,VLOOKUP($AW337,'Jan-2026 rates'!L:T,9,0),0))))))))</f>
        <v>0</v>
      </c>
      <c r="AZ337" s="412" t="s">
        <v>4635</v>
      </c>
      <c r="BA337" s="409">
        <f>16+18+17</f>
        <v>51</v>
      </c>
      <c r="BB337" s="411">
        <f>IF(BA337=0,0,IF($LB337=70%,VLOOKUP($AW337,'Jan-2026 rates'!$L:$R,4,0),IF($LB337=65%,VLOOKUP($AW337,'Jan-2026 rates'!$L:$R,4,0),IF($LB337=40%,VLOOKUP($AW337,'Jan-2026 rates'!$L:$R,5,0),IF($LB337=30%,VLOOKUP($AW337,'Jan-2026 rates'!$L:$R,6,0),IF($LB337=100%,VLOOKUP($AW337,'Jan-2026 rates'!$L:$R,7,0),IF($LB337=60%,VLOOKUP($AW337,'Jan-2026 rates'!$L:$S,8,0),IF($LB337=80%,VLOOKUP($AW337,'Jan-2026 rates'!L:T,9,0),0))))))))</f>
        <v>0</v>
      </c>
      <c r="BC337" s="413" t="s">
        <v>1250</v>
      </c>
      <c r="BD337" s="412" t="s">
        <v>1247</v>
      </c>
      <c r="BE337" s="412" t="s">
        <v>1252</v>
      </c>
      <c r="BF337" s="413" t="s">
        <v>1921</v>
      </c>
      <c r="BG337" s="412"/>
      <c r="BH337" s="412"/>
      <c r="BI337" s="412"/>
      <c r="BJ337" s="412"/>
      <c r="BK337" s="409">
        <f>15+10</f>
        <v>25</v>
      </c>
      <c r="BL337" s="398">
        <f>IF(BK337=0,0,IF(LEN(BC337)=11,_xlfn.XLOOKUP(BC337,'Dispensed Ink Rates'!C:C,'Dispensed Ink Rates'!CS:CS),VLOOKUP(BC337,'Jan-2026 rates'!$E:$F,2,0)))</f>
        <v>0</v>
      </c>
      <c r="BM337" s="409">
        <v>5</v>
      </c>
      <c r="BN337" s="398">
        <f>IF(BM337=0,0,IF(LEN(BD337)=11,_xlfn.XLOOKUP(BD337,'Dispensed Ink Rates'!C:C,'Dispensed Ink Rates'!CS:CS),VLOOKUP(BD337,'Jan-2026 rates'!$E:$F,2,0)))</f>
        <v>0</v>
      </c>
      <c r="BO337" s="409">
        <v>0.5</v>
      </c>
      <c r="BP337" s="398">
        <f>IF(BO337=0,0,IF(LEN(BE337)=11,_xlfn.XLOOKUP(BE337,'Dispensed Ink Rates'!C:C,'Dispensed Ink Rates'!CS:CS),VLOOKUP(BE337,'Jan-2026 rates'!$E:$F,2,0)))</f>
        <v>0</v>
      </c>
      <c r="BQ337" s="409">
        <v>3</v>
      </c>
      <c r="BR337" s="398">
        <f>IF(BQ337=0,0,IF(LEN(BF337)=11,_xlfn.XLOOKUP(BF337,'Dispensed Ink Rates'!C:C,'Dispensed Ink Rates'!CS:CS),VLOOKUP(BF337,'Jan-2026 rates'!$E:$F,2,0)))</f>
        <v>0</v>
      </c>
      <c r="BS337" s="409"/>
      <c r="BT337" s="398">
        <f>IF(BS337=0,0,IF(LEN(BG337)=11,_xlfn.XLOOKUP(BG337,'Dispensed Ink Rates'!C:C,'Dispensed Ink Rates'!CS:CS),VLOOKUP(BG337,'Jan-2026 rates'!$E:$F,2,0)))</f>
        <v>0</v>
      </c>
      <c r="BU337" s="409"/>
      <c r="BV337" s="398">
        <f>IF(BU337=0,0,IF(LEN(BH337)=11,_xlfn.XLOOKUP(BH337,'Dispensed Ink Rates'!C:C,'Dispensed Ink Rates'!CS:CS),VLOOKUP(BH337,'Jan-2026 rates'!$E:$F,2,0)))</f>
        <v>0</v>
      </c>
      <c r="BW337" s="409"/>
      <c r="BX337" s="398">
        <f>IF(BW337=0,0,IF(LEN(BI337)=11,_xlfn.XLOOKUP(BI337,'Dispensed Ink Rates'!C:C,'Dispensed Ink Rates'!CS:CS),VLOOKUP(BI337,'Jan-2026 rates'!$E:$F,2,0)))</f>
        <v>0</v>
      </c>
      <c r="BY337" s="409"/>
      <c r="BZ337" s="398">
        <f>IF(BY337=0,0,IF(LEN(BJ337)=11,_xlfn.XLOOKUP(BJ337,'Dispensed Ink Rates'!C:C,'Dispensed Ink Rates'!CS:CS),VLOOKUP(BJ337,'Jan-2026 rates'!$E:$F,2,0)))</f>
        <v>0</v>
      </c>
      <c r="CA337" s="409" t="s">
        <v>1881</v>
      </c>
      <c r="CB337" s="409">
        <f>17+12</f>
        <v>29</v>
      </c>
      <c r="CC337" s="411">
        <f t="shared" si="215"/>
        <v>0</v>
      </c>
      <c r="CD337" s="411">
        <f t="shared" si="216"/>
        <v>78.661764705882348</v>
      </c>
      <c r="CE337" s="410">
        <f t="shared" si="217"/>
        <v>0</v>
      </c>
      <c r="CF337" s="404" t="s">
        <v>855</v>
      </c>
      <c r="CG337" s="409" t="s">
        <v>4636</v>
      </c>
      <c r="CH337" s="420" t="str">
        <f t="shared" si="185"/>
        <v>ToyoLi - CYAN</v>
      </c>
      <c r="CI337" s="409">
        <v>28</v>
      </c>
      <c r="CJ337" s="411">
        <f>IF(CI337=0,0,IF($LB337=70%,VLOOKUP($CH337,'Jan-2026 rates'!$L:$R,4,0),IF($LB337=65%,VLOOKUP($CH337,'Jan-2026 rates'!$L:$R,4,0),IF($LB337=40%,VLOOKUP($CH337,'Jan-2026 rates'!$L:$R,5,0),IF($LB337=30%,VLOOKUP($CH337,'Jan-2026 rates'!$L:$R,6,0),IF($LB337=100%,VLOOKUP($CH337,'Jan-2026 rates'!$L:$R,7,0),IF($LB337=60%,VLOOKUP($CH337,'Jan-2026 rates'!$L:$S,8,0),IF($LB337=80%,VLOOKUP($CH337,'Jan-2026 rates'!L:T,9,0),0))))))))</f>
        <v>0</v>
      </c>
      <c r="CK337" s="412"/>
      <c r="CL337" s="409"/>
      <c r="CM337" s="411">
        <f>IF(CL337=0,0,IF($LB337=70%,VLOOKUP($CH337,'Jan-2026 rates'!$L:$R,4,0),IF($LB337=65%,VLOOKUP($CH337,'Jan-2026 rates'!$L:$R,4,0),IF($LB337=40%,VLOOKUP($CH337,'Jan-2026 rates'!$L:$R,5,0),IF($LB337=30%,VLOOKUP($CH337,'Jan-2026 rates'!$L:$R,6,0),IF($LB337=100%,VLOOKUP($CH337,'Jan-2026 rates'!$L:$R,7,0),IF($LB337=60%,VLOOKUP($CH337,'Jan-2026 rates'!$L:$S,8,0),IF($LB337=80%,VLOOKUP($CH337,'Jan-2026 rates'!L:T,9,0),0))))))))</f>
        <v>0</v>
      </c>
      <c r="CN337" s="426" t="s">
        <v>1250</v>
      </c>
      <c r="CO337" s="427"/>
      <c r="CP337" s="426"/>
      <c r="CQ337" s="426"/>
      <c r="CR337" s="428"/>
      <c r="CS337" s="428"/>
      <c r="CT337" s="428"/>
      <c r="CU337" s="428"/>
      <c r="CV337" s="409">
        <v>6</v>
      </c>
      <c r="CW337" s="398">
        <f>IF(CV337=0,0,IF(LEN(CN337)=11,_xlfn.XLOOKUP(CN337,'Dispensed Ink Rates'!C:C,'Dispensed Ink Rates'!CS:CS),VLOOKUP(CN337,'Jan-2026 rates'!$E:$F,2,0)))</f>
        <v>0</v>
      </c>
      <c r="CX337" s="409"/>
      <c r="CY337" s="398">
        <f>IF(CX337=0,0,IF(LEN(CO337)=11,_xlfn.XLOOKUP(CO337,'Dispensed Ink Rates'!C:C,'Dispensed Ink Rates'!CS:CS),VLOOKUP(CO337,'Jan-2026 rates'!$E:$F,2,0)))</f>
        <v>0</v>
      </c>
      <c r="CZ337" s="409"/>
      <c r="DA337" s="398">
        <f>IF(CZ337=0,0,IF(LEN(CP337)=11,_xlfn.XLOOKUP(CP337,'Dispensed Ink Rates'!C:C,'Dispensed Ink Rates'!CS:CS),VLOOKUP(CP337,'Jan-2026 rates'!$E:$F,2,0)))</f>
        <v>0</v>
      </c>
      <c r="DB337" s="409"/>
      <c r="DC337" s="398">
        <f>IF(DB337=0,0,IF(LEN(CQ337)=11,_xlfn.XLOOKUP(CQ337,'Dispensed Ink Rates'!C:C,'Dispensed Ink Rates'!CS:CS),VLOOKUP(CQ337,'Jan-2026 rates'!$E:$F,2,0)))</f>
        <v>0</v>
      </c>
      <c r="DD337" s="409"/>
      <c r="DE337" s="398">
        <f>IF(DD337=0,0,IF(LEN(CR337)=11,_xlfn.XLOOKUP(CR337,'Dispensed Ink Rates'!C:C,'Dispensed Ink Rates'!CS:CS),VLOOKUP(CR337,'Jan-2026 rates'!$E:$F,2,0)))</f>
        <v>0</v>
      </c>
      <c r="DF337" s="409"/>
      <c r="DG337" s="398">
        <f>IF(DF337=0,0,IF(LEN(CS337)=11,_xlfn.XLOOKUP(CS337,'Dispensed Ink Rates'!C:C,'Dispensed Ink Rates'!CS:CS),VLOOKUP(CS337,'Jan-2026 rates'!$E:$F,2,0)))</f>
        <v>0</v>
      </c>
      <c r="DH337" s="409"/>
      <c r="DI337" s="398">
        <f>IF(DH337=0,0,IF(LEN(CT337)=11,_xlfn.XLOOKUP(CT337,'Dispensed Ink Rates'!C:C,'Dispensed Ink Rates'!CS:CS),VLOOKUP(CT337,'Jan-2026 rates'!$E:$F,2,0)))</f>
        <v>0</v>
      </c>
      <c r="DJ337" s="409"/>
      <c r="DK337" s="398">
        <f>IF(DJ337=0,0,IF(LEN(CU337)=11,_xlfn.XLOOKUP(CU337,'Dispensed Ink Rates'!C:C,'Dispensed Ink Rates'!CS:CS),VLOOKUP(CU337,'Jan-2026 rates'!$E:$F,2,0)))</f>
        <v>0</v>
      </c>
      <c r="DL337" s="409" t="s">
        <v>1881</v>
      </c>
      <c r="DM337" s="409">
        <v>30</v>
      </c>
      <c r="DN337" s="411">
        <f t="shared" si="218"/>
        <v>0</v>
      </c>
      <c r="DO337" s="411">
        <f t="shared" si="219"/>
        <v>9.264705882352942</v>
      </c>
      <c r="DP337" s="410">
        <f t="shared" si="220"/>
        <v>0</v>
      </c>
      <c r="DQ337" s="405" t="s">
        <v>544</v>
      </c>
      <c r="DR337" s="409" t="s">
        <v>4637</v>
      </c>
      <c r="DS337" s="420" t="str">
        <f t="shared" si="186"/>
        <v>ToyoLi - MAGENTA</v>
      </c>
      <c r="DT337" s="409">
        <v>26</v>
      </c>
      <c r="DU337" s="411">
        <f>IF(DT337=0,0,IF($LB337=70%,VLOOKUP($DS337,'Jan-2026 rates'!$L:$R,4,0),IF($LB337=65%,VLOOKUP($DS337,'Jan-2026 rates'!$L:$R,4,0),IF($LB337=40%,VLOOKUP($DS337,'Jan-2026 rates'!$L:$R,5,0),IF($LB337=30%,VLOOKUP($DS337,'Jan-2026 rates'!$L:$R,6,0),IF($LB337=100%,VLOOKUP($DS337,'Jan-2026 rates'!$L:$R,7,0),IF($LB337=60%,VLOOKUP($DS337,'Jan-2026 rates'!$L:$S,8,0),IF($LB337=80%,VLOOKUP($DS337,'Jan-2026 rates'!L:T,9,0),0))))))))</f>
        <v>0</v>
      </c>
      <c r="DV337" s="412"/>
      <c r="DW337" s="409"/>
      <c r="DX337" s="411">
        <f>IF(DW337=0,0,IF($LB337=70%,VLOOKUP($DS337,'Jan-2026 rates'!$L:$R,4,0),IF($LB337=65%,VLOOKUP($DS337,'Jan-2026 rates'!$L:$R,4,0),IF($LB337=40%,VLOOKUP($DS337,'Jan-2026 rates'!$L:$R,5,0),IF($LB337=30%,VLOOKUP($DS337,'Jan-2026 rates'!$L:$R,6,0),IF($LB337=100%,VLOOKUP($DS337,'Jan-2026 rates'!$L:$R,7,0),IF($LB337=60%,VLOOKUP($DS337,'Jan-2026 rates'!$L:$S,8,0),IF($LB337=80%,VLOOKUP($DS337,'Jan-2026 rates'!L:T,9,0),0))))))))</f>
        <v>0</v>
      </c>
      <c r="DY337" s="413" t="s">
        <v>1246</v>
      </c>
      <c r="DZ337" s="413"/>
      <c r="EA337" s="412"/>
      <c r="EB337" s="412"/>
      <c r="EC337" s="412"/>
      <c r="ED337" s="412"/>
      <c r="EE337" s="412"/>
      <c r="EF337" s="412"/>
      <c r="EG337" s="409">
        <v>2</v>
      </c>
      <c r="EH337" s="398">
        <f>IF(EG337=0,0,IF(LEN(DY337)=11,_xlfn.XLOOKUP(DY337,'Dispensed Ink Rates'!C:C,'Dispensed Ink Rates'!CS:CS),VLOOKUP(DY337,'Jan-2026 rates'!$E:$F,2,0)))</f>
        <v>0</v>
      </c>
      <c r="EI337" s="409"/>
      <c r="EJ337" s="398">
        <f>IF(EI337=0,0,IF(LEN(DZ337)=11,_xlfn.XLOOKUP(DZ337,'Dispensed Ink Rates'!C:C,'Dispensed Ink Rates'!CS:CS),VLOOKUP(DZ337,'Jan-2026 rates'!$E:$F,2,0)))</f>
        <v>0</v>
      </c>
      <c r="EK337" s="409"/>
      <c r="EL337" s="398">
        <f>IF(EK337=0,0,IF(LEN(EA337)=11,_xlfn.XLOOKUP(EA337,'Dispensed Ink Rates'!C:C,'Dispensed Ink Rates'!CS:CS),VLOOKUP(EA337,'Jan-2026 rates'!$E:$F,2,0)))</f>
        <v>0</v>
      </c>
      <c r="EM337" s="409"/>
      <c r="EN337" s="398">
        <f>IF(EM337=0,0,IF(LEN(EB337)=11,_xlfn.XLOOKUP(EB337,'Dispensed Ink Rates'!C:C,'Dispensed Ink Rates'!CS:CS),VLOOKUP(EB337,'Jan-2026 rates'!$E:$F,2,0)))</f>
        <v>0</v>
      </c>
      <c r="EO337" s="409"/>
      <c r="EP337" s="398">
        <f>IF(EO337=0,0,IF(LEN(EC337)=11,_xlfn.XLOOKUP(EC337,'Dispensed Ink Rates'!C:C,'Dispensed Ink Rates'!CS:CS),VLOOKUP(EC337,'Jan-2026 rates'!$E:$F,2,0)))</f>
        <v>0</v>
      </c>
      <c r="EQ337" s="409"/>
      <c r="ER337" s="398">
        <f>IF(EQ337=0,0,IF(LEN(ED337)=11,_xlfn.XLOOKUP(ED337,'Dispensed Ink Rates'!C:C,'Dispensed Ink Rates'!CS:CS),VLOOKUP(ED337,'Jan-2026 rates'!$E:$F,2,0)))</f>
        <v>0</v>
      </c>
      <c r="ES337" s="409"/>
      <c r="ET337" s="398">
        <f>IF(ES337=0,0,IF(LEN(EE337)=11,_xlfn.XLOOKUP(EE337,'Dispensed Ink Rates'!C:C,'Dispensed Ink Rates'!CS:CS),VLOOKUP(EE337,'Jan-2026 rates'!$E:$F,2,0)))</f>
        <v>0</v>
      </c>
      <c r="EU337" s="409"/>
      <c r="EV337" s="398">
        <f>IF(EU337=0,0,IF(LEN(EF337)=11,_xlfn.XLOOKUP(EF337,'Dispensed Ink Rates'!C:C,'Dispensed Ink Rates'!CS:CS),VLOOKUP(EF337,'Jan-2026 rates'!$E:$F,2,0)))</f>
        <v>0</v>
      </c>
      <c r="EW337" s="409" t="s">
        <v>1881</v>
      </c>
      <c r="EX337" s="409">
        <v>28</v>
      </c>
      <c r="EY337" s="411">
        <f t="shared" si="221"/>
        <v>0</v>
      </c>
      <c r="EZ337" s="411">
        <f t="shared" si="222"/>
        <v>7.897058823529413</v>
      </c>
      <c r="FA337" s="410">
        <f t="shared" si="223"/>
        <v>0</v>
      </c>
      <c r="FB337" s="405" t="s">
        <v>545</v>
      </c>
      <c r="FC337" s="409" t="s">
        <v>4638</v>
      </c>
      <c r="FD337" s="420" t="str">
        <f t="shared" si="187"/>
        <v>ToyoLi - YELLOW</v>
      </c>
      <c r="FE337" s="409">
        <v>30</v>
      </c>
      <c r="FF337" s="411">
        <f>IF(FE337=0,0,IF($LB337=70%,VLOOKUP($FD337,'Jan-2026 rates'!$L:$R,4,0),IF($LB337=65%,VLOOKUP($FD337,'Jan-2026 rates'!$L:$R,4,0),IF($LB337=40%,VLOOKUP($FD337,'Jan-2026 rates'!$L:$R,5,0),IF($LB337=30%,VLOOKUP($FD337,'Jan-2026 rates'!$L:$R,6,0),IF($LB337=100%,VLOOKUP($FD337,'Jan-2026 rates'!$L:$R,7,0),IF($LB337=60%,VLOOKUP($FD337,'Jan-2026 rates'!$L:$S,8,0),IF($LB337=80%,VLOOKUP($FD337,'Jan-2026 rates'!L:T,9,0),0))))))))</f>
        <v>0</v>
      </c>
      <c r="FG337" s="412"/>
      <c r="FH337" s="409"/>
      <c r="FI337" s="411">
        <f>IF(FH337=0,0,IF($LB337=70%,VLOOKUP($FD337,'Jan-2026 rates'!$L:$R,4,0),IF($LB337=65%,VLOOKUP($FD337,'Jan-2026 rates'!$L:$R,4,0),IF($LB337=40%,VLOOKUP($FD337,'Jan-2026 rates'!$L:$R,5,0),IF($LB337=30%,VLOOKUP($FD337,'Jan-2026 rates'!$L:$R,6,0),IF($LB337=100%,VLOOKUP($FD337,'Jan-2026 rates'!$L:$R,7,0),IF($LB337=60%,VLOOKUP($FD337,'Jan-2026 rates'!$L:$S,8,0),IF($LB337=80%,VLOOKUP($FD337,'Jan-2026 rates'!L:T,9,0),0))))))))</f>
        <v>0</v>
      </c>
      <c r="FJ337" s="413" t="s">
        <v>1247</v>
      </c>
      <c r="FK337" s="413"/>
      <c r="FL337" s="413"/>
      <c r="FM337" s="412"/>
      <c r="FN337" s="412"/>
      <c r="FO337" s="412"/>
      <c r="FP337" s="412"/>
      <c r="FQ337" s="412"/>
      <c r="FR337" s="409">
        <v>5</v>
      </c>
      <c r="FS337" s="398">
        <f>IF(FR337=0,0,IF(LEN(FJ337)=11,_xlfn.XLOOKUP(FJ337,'Dispensed Ink Rates'!C:C,'Dispensed Ink Rates'!CS:CS),VLOOKUP(FJ337,'Jan-2026 rates'!$E:$F,2,0)))</f>
        <v>0</v>
      </c>
      <c r="FT337" s="409"/>
      <c r="FU337" s="398">
        <f>IF(FT337=0,0,IF(LEN(FK337)=11,_xlfn.XLOOKUP(FK337,'Dispensed Ink Rates'!C:C,'Dispensed Ink Rates'!CS:CS),VLOOKUP(FK337,'Jan-2026 rates'!$E:$F,2,0)))</f>
        <v>0</v>
      </c>
      <c r="FV337" s="409"/>
      <c r="FW337" s="398">
        <f>IF(FV337=0,0,IF(LEN(FL337)=11,_xlfn.XLOOKUP(FL337,'Dispensed Ink Rates'!C:C,'Dispensed Ink Rates'!CS:CS),VLOOKUP(FL337,'Jan-2026 rates'!$E:$F,2,0)))</f>
        <v>0</v>
      </c>
      <c r="FX337" s="409"/>
      <c r="FY337" s="398">
        <f>IF(FX337=0,0,IF(LEN(FM337)=11,_xlfn.XLOOKUP(FM337,'Dispensed Ink Rates'!C:C,'Dispensed Ink Rates'!CS:CS),VLOOKUP(FM337,'Jan-2026 rates'!$E:$F,2,0)))</f>
        <v>0</v>
      </c>
      <c r="FZ337" s="409"/>
      <c r="GA337" s="398">
        <f>IF(FZ337=0,0,IF(LEN(FN337)=11,_xlfn.XLOOKUP(FN337,'Dispensed Ink Rates'!C:C,'Dispensed Ink Rates'!CS:CS),VLOOKUP(FN337,'Jan-2026 rates'!$E:$F,2,0)))</f>
        <v>0</v>
      </c>
      <c r="GB337" s="409"/>
      <c r="GC337" s="398">
        <f>IF(GB337=0,0,IF(LEN(FO337)=11,_xlfn.XLOOKUP(FO337,'Dispensed Ink Rates'!C:C,'Dispensed Ink Rates'!CS:CS),VLOOKUP(FO337,'Jan-2026 rates'!$E:$F,2,0)))</f>
        <v>0</v>
      </c>
      <c r="GD337" s="409"/>
      <c r="GE337" s="398">
        <f>IF(GD337=0,0,IF(LEN(FP337)=11,_xlfn.XLOOKUP(FP337,'Dispensed Ink Rates'!C:C,'Dispensed Ink Rates'!CS:CS),VLOOKUP(FP337,'Jan-2026 rates'!$E:$F,2,0)))</f>
        <v>0</v>
      </c>
      <c r="GF337" s="409"/>
      <c r="GG337" s="398">
        <f>IF(GF337=0,0,IF(LEN(FQ337)=11,_xlfn.XLOOKUP(FQ337,'Dispensed Ink Rates'!C:C,'Dispensed Ink Rates'!CS:CS),VLOOKUP(FQ337,'Jan-2026 rates'!$E:$F,2,0)))</f>
        <v>0</v>
      </c>
      <c r="GH337" s="409" t="s">
        <v>1881</v>
      </c>
      <c r="GI337" s="409">
        <v>27</v>
      </c>
      <c r="GJ337" s="411">
        <f t="shared" si="224"/>
        <v>0</v>
      </c>
      <c r="GK337" s="411">
        <f t="shared" si="225"/>
        <v>15.897058823529413</v>
      </c>
      <c r="GL337" s="410">
        <f t="shared" si="226"/>
        <v>0</v>
      </c>
      <c r="GM337" s="405" t="s">
        <v>547</v>
      </c>
      <c r="GN337" s="409" t="s">
        <v>4639</v>
      </c>
      <c r="GO337" s="420" t="str">
        <f t="shared" si="188"/>
        <v>ToyoLi - GREEN</v>
      </c>
      <c r="GP337" s="409">
        <v>20</v>
      </c>
      <c r="GQ337" s="411">
        <f>IF(GP337=0,0,IF($LB337=70%,VLOOKUP($GO337,'Jan-2026 rates'!$L:$R,4,0),IF($LB337=65%,VLOOKUP($GO337,'Jan-2026 rates'!$L:$R,4,0),IF($LB337=40%,VLOOKUP($GO337,'Jan-2026 rates'!$L:$R,5,0),IF($LB337=30%,VLOOKUP($GO337,'Jan-2026 rates'!$L:$R,6,0),IF($LB337=100%,VLOOKUP($GO337,'Jan-2026 rates'!$L:$R,7,0),IF($LB337=60%,VLOOKUP($GO337,'Jan-2026 rates'!$L:$S,8,0),IF($LB337=80%,VLOOKUP($GO337,'Jan-2026 rates'!L:T,9,0),0))))))))</f>
        <v>0</v>
      </c>
      <c r="GR337" s="412"/>
      <c r="GS337" s="409"/>
      <c r="GT337" s="411">
        <f>IF(GS337=0,0,IF($LB337=70%,VLOOKUP($GO337,'Jan-2026 rates'!$L:$R,4,0),IF($LB337=65%,VLOOKUP($GO337,'Jan-2026 rates'!$L:$R,4,0),IF($LB337=40%,VLOOKUP($GO337,'Jan-2026 rates'!$L:$R,5,0),IF($LB337=30%,VLOOKUP($GO337,'Jan-2026 rates'!$L:$R,6,0),IF($LB337=100%,VLOOKUP($GO337,'Jan-2026 rates'!$L:$R,7,0),IF($LB337=60%,VLOOKUP($GO337,'Jan-2026 rates'!$L:$S,8,0),IF($LB337=80%,VLOOKUP($GO337,'Jan-2026 rates'!L:T,9,0),0))))))))</f>
        <v>0</v>
      </c>
      <c r="GU337" s="413" t="s">
        <v>1247</v>
      </c>
      <c r="GV337" s="413" t="s">
        <v>1249</v>
      </c>
      <c r="GW337" s="412" t="s">
        <v>1251</v>
      </c>
      <c r="GX337" s="412" t="s">
        <v>1921</v>
      </c>
      <c r="GY337" s="412"/>
      <c r="GZ337" s="412"/>
      <c r="HA337" s="412"/>
      <c r="HB337" s="412"/>
      <c r="HC337" s="409">
        <v>5</v>
      </c>
      <c r="HD337" s="398">
        <f>IF(HC337=0,0,IF(LEN(GU337)=11,_xlfn.XLOOKUP(GU337,'Dispensed Ink Rates'!C:C,'Dispensed Ink Rates'!CS:CS),VLOOKUP(GU337,'Jan-2026 rates'!$E:$F,2,0)))</f>
        <v>0</v>
      </c>
      <c r="HE337" s="409">
        <v>5</v>
      </c>
      <c r="HF337" s="398">
        <f>IF(HE337=0,0,IF(LEN(GV337)=11,_xlfn.XLOOKUP(GV337,'Dispensed Ink Rates'!C:C,'Dispensed Ink Rates'!CS:CS),VLOOKUP(GV337,'Jan-2026 rates'!$E:$F,2,0)))</f>
        <v>0</v>
      </c>
      <c r="HG337" s="409">
        <v>1</v>
      </c>
      <c r="HH337" s="398">
        <f>IF(HG337=0,0,IF(LEN(GW337)=11,_xlfn.XLOOKUP(GW337,'Dispensed Ink Rates'!C:C,'Dispensed Ink Rates'!CS:CS),VLOOKUP(GW337,'Jan-2026 rates'!$E:$F,2,0)))</f>
        <v>0</v>
      </c>
      <c r="HI337" s="409">
        <v>5</v>
      </c>
      <c r="HJ337" s="398">
        <f>IF(HI337=0,0,IF(LEN(GX337)=11,_xlfn.XLOOKUP(GX337,'Dispensed Ink Rates'!C:C,'Dispensed Ink Rates'!CS:CS),VLOOKUP(GX337,'Jan-2026 rates'!$E:$F,2,0)))</f>
        <v>0</v>
      </c>
      <c r="HK337" s="409"/>
      <c r="HL337" s="398">
        <f>IF(HK337=0,0,IF(LEN(GY337)=11,_xlfn.XLOOKUP(GY337,'Dispensed Ink Rates'!C:C,'Dispensed Ink Rates'!CS:CS),VLOOKUP(GY337,'Jan-2026 rates'!$E:$F,2,0)))</f>
        <v>0</v>
      </c>
      <c r="HM337" s="409"/>
      <c r="HN337" s="398">
        <f>IF(HM337=0,0,IF(LEN(GZ337)=11,_xlfn.XLOOKUP(GZ337,'Dispensed Ink Rates'!C:C,'Dispensed Ink Rates'!CS:CS),VLOOKUP(GZ337,'Jan-2026 rates'!$E:$F,2,0)))</f>
        <v>0</v>
      </c>
      <c r="HO337" s="409"/>
      <c r="HP337" s="398">
        <f>IF(HO337=0,0,IF(LEN(HA337)=11,_xlfn.XLOOKUP(HA337,'Dispensed Ink Rates'!C:C,'Dispensed Ink Rates'!CS:CS),VLOOKUP(HA337,'Jan-2026 rates'!$E:$F,2,0)))</f>
        <v>0</v>
      </c>
      <c r="HQ337" s="409"/>
      <c r="HR337" s="398">
        <f>IF(HQ337=0,0,IF(LEN(HB337)=11,_xlfn.XLOOKUP(HB337,'Dispensed Ink Rates'!C:C,'Dispensed Ink Rates'!CS:CS),VLOOKUP(HB337,'Jan-2026 rates'!$E:$F,2,0)))</f>
        <v>0</v>
      </c>
      <c r="HS337" s="409" t="s">
        <v>1881</v>
      </c>
      <c r="HT337" s="409">
        <f>20+5</f>
        <v>25</v>
      </c>
      <c r="HU337" s="411">
        <f t="shared" si="227"/>
        <v>0</v>
      </c>
      <c r="HV337" s="411">
        <f t="shared" si="228"/>
        <v>24.161764705882355</v>
      </c>
      <c r="HW337" s="414">
        <f t="shared" si="229"/>
        <v>0</v>
      </c>
      <c r="HX337" s="405" t="s">
        <v>856</v>
      </c>
      <c r="HY337" s="409" t="s">
        <v>4640</v>
      </c>
      <c r="HZ337" s="420" t="str">
        <f t="shared" si="189"/>
        <v>ToyoLi - WHITE</v>
      </c>
      <c r="IA337" s="409">
        <v>30</v>
      </c>
      <c r="IB337" s="411">
        <f>IF(IA337=0,0,IF($LB337=70%,VLOOKUP($HZ337,'Jan-2026 rates'!$L:$R,4,0),IF($LB337=65%,VLOOKUP($HZ337,'Jan-2026 rates'!$L:$R,4,0),IF($LB337=40%,VLOOKUP($HZ337,'Jan-2026 rates'!$L:$R,5,0),IF($LB337=30%,VLOOKUP($HZ337,'Jan-2026 rates'!$L:$R,6,0),IF($LB337=100%,VLOOKUP($HZ337,'Jan-2026 rates'!$L:$R,7,0),IF($LB337=60%,VLOOKUP($HZ337,'Jan-2026 rates'!$L:$S,8,0),IF($LB337=80%,VLOOKUP($HZ337,'Jan-2026 rates'!L:T,9,0),0))))))))</f>
        <v>0</v>
      </c>
      <c r="IC337" s="412"/>
      <c r="ID337" s="409"/>
      <c r="IE337" s="411">
        <f>IF(ID337=0,0,IF($LB337=70%,VLOOKUP($HZ337,'Jan-2026 rates'!$L:$R,4,0),IF($LB337=65%,VLOOKUP($HZ337,'Jan-2026 rates'!$L:$R,4,0),IF($LB337=40%,VLOOKUP($HZ337,'Jan-2026 rates'!$L:$R,5,0),IF($LB337=30%,VLOOKUP($HZ337,'Jan-2026 rates'!$L:$R,6,0),IF($LB337=100%,VLOOKUP($HZ337,'Jan-2026 rates'!$L:$R,7,0),IF($LB337=60%,VLOOKUP($HZ337,'Jan-2026 rates'!$L:$S,8,0),IF($LB337=80%,VLOOKUP($HZ337,'Jan-2026 rates'!L:T,9,0),0))))))))</f>
        <v>0</v>
      </c>
      <c r="IF337" s="412" t="s">
        <v>1249</v>
      </c>
      <c r="IG337" s="413" t="s">
        <v>1122</v>
      </c>
      <c r="IH337" s="412"/>
      <c r="II337" s="412"/>
      <c r="IJ337" s="412"/>
      <c r="IK337" s="412"/>
      <c r="IL337" s="412"/>
      <c r="IM337" s="412"/>
      <c r="IN337" s="409">
        <v>80</v>
      </c>
      <c r="IO337" s="398">
        <f>IF(IN337=0,0,IF(LEN(IF337)=11,_xlfn.XLOOKUP(IF337,'Dispensed Ink Rates'!C:C,'Dispensed Ink Rates'!CS:CS),VLOOKUP(IF337,'Jan-2026 rates'!$E:$F,2,0)))</f>
        <v>0</v>
      </c>
      <c r="IP337" s="409">
        <v>7.78</v>
      </c>
      <c r="IQ337" s="398">
        <f>IF(IP337=0,0,IF(LEN(IG337)=11,_xlfn.XLOOKUP(IG337,'Dispensed Ink Rates'!C:C,'Dispensed Ink Rates'!CS:CS),VLOOKUP(IG337,'Jan-2026 rates'!$E:$F,2,0)))</f>
        <v>0</v>
      </c>
      <c r="IR337" s="409"/>
      <c r="IS337" s="398">
        <f>IF(IR337=0,0,IF(LEN(IH337)=11,_xlfn.XLOOKUP(IH337,'Dispensed Ink Rates'!C:C,'Dispensed Ink Rates'!CS:CS),VLOOKUP(IH337,'Jan-2026 rates'!$E:$F,2,0)))</f>
        <v>0</v>
      </c>
      <c r="IT337" s="409"/>
      <c r="IU337" s="398">
        <f>IF(IT337=0,0,IF(LEN(II337)=11,_xlfn.XLOOKUP(II337,'Dispensed Ink Rates'!C:C,'Dispensed Ink Rates'!CS:CS),VLOOKUP(II337,'Jan-2026 rates'!$E:$F,2,0)))</f>
        <v>0</v>
      </c>
      <c r="IV337" s="409"/>
      <c r="IW337" s="398">
        <f>IF(IV337=0,0,IF(LEN(IJ337)=11,_xlfn.XLOOKUP(IJ337,'Dispensed Ink Rates'!C:C,'Dispensed Ink Rates'!CS:CS),VLOOKUP(IJ337,'Jan-2026 rates'!$E:$F,2,0)))</f>
        <v>0</v>
      </c>
      <c r="IX337" s="409"/>
      <c r="IY337" s="398">
        <f>IF(IX337=0,0,IF(LEN(IK337)=11,_xlfn.XLOOKUP(IK337,'Dispensed Ink Rates'!C:C,'Dispensed Ink Rates'!CS:CS),VLOOKUP(IK337,'Jan-2026 rates'!$E:$F,2,0)))</f>
        <v>0</v>
      </c>
      <c r="IZ337" s="409"/>
      <c r="JA337" s="398">
        <f>IF(IZ337=0,0,IF(LEN(IL337)=11,_xlfn.XLOOKUP(IL337,'Dispensed Ink Rates'!C:C,'Dispensed Ink Rates'!CS:CS),VLOOKUP(IL337,'Jan-2026 rates'!$E:$F,2,0)))</f>
        <v>0</v>
      </c>
      <c r="JB337" s="409"/>
      <c r="JC337" s="398">
        <f>IF(JB337=0,0,IF(LEN(IM337)=11,_xlfn.XLOOKUP(IM337,'Dispensed Ink Rates'!C:C,'Dispensed Ink Rates'!CS:CS),VLOOKUP(IM337,'Jan-2026 rates'!$E:$F,2,0)))</f>
        <v>0</v>
      </c>
      <c r="JD337" s="409" t="s">
        <v>1881</v>
      </c>
      <c r="JE337" s="409">
        <v>30</v>
      </c>
      <c r="JF337" s="411">
        <f t="shared" si="230"/>
        <v>0</v>
      </c>
      <c r="JG337" s="411">
        <f t="shared" si="231"/>
        <v>219.39764705882354</v>
      </c>
      <c r="JH337" s="410">
        <f t="shared" si="232"/>
        <v>0</v>
      </c>
      <c r="JI337" s="405"/>
      <c r="JJ337" s="409"/>
      <c r="JK337" s="420" t="str">
        <f t="shared" si="190"/>
        <v xml:space="preserve"> - </v>
      </c>
      <c r="JL337" s="409"/>
      <c r="JM337" s="411">
        <f>IF(JL337=0,0,IF($LB337=70%,VLOOKUP($JK337,'Jan-2026 rates'!$L:$R,4,0),IF($LB337=65%,VLOOKUP($JK337,'Jan-2026 rates'!$L:$R,4,0),IF($LB337=40%,VLOOKUP($JK337,'Jan-2026 rates'!$L:$R,5,0),IF($LB337=30%,VLOOKUP($JK337,'Jan-2026 rates'!$L:$R,6,0),IF($LB337=100%,VLOOKUP($JK337,'Jan-2026 rates'!$L:$R,7,0),IF($LB337=60%,VLOOKUP($JK337,'Jan-2026 rates'!$L:$S,8,0),IF($LB337=80%,VLOOKUP($JK337,'Jan-2026 rates'!L:T,9,0),0))))))))</f>
        <v>0</v>
      </c>
      <c r="JN337" s="412"/>
      <c r="JO337" s="409"/>
      <c r="JP337" s="411">
        <f>IF(JO337=0,0,IF($LB337=70%,VLOOKUP($JK337,'Jan-2026 rates'!$L:$R,4,0),IF($LB337=65%,VLOOKUP($JK337,'Jan-2026 rates'!$L:$R,4,0),IF($LB337=40%,VLOOKUP($JK337,'Jan-2026 rates'!$L:$R,5,0),IF($LB337=30%,VLOOKUP($JK337,'Jan-2026 rates'!$L:$R,6,0),IF($LB337=100%,VLOOKUP($JK337,'Jan-2026 rates'!$L:$R,7,0),IF($LB337=60%,VLOOKUP($JK337,'Jan-2026 rates'!$L:$S,8,0),IF($LB337=80%,VLOOKUP($JK337,'Jan-2026 rates'!L:T,9,0),0))))))))</f>
        <v>0</v>
      </c>
      <c r="JQ337" s="413"/>
      <c r="JR337" s="412"/>
      <c r="JS337" s="413"/>
      <c r="JT337" s="413"/>
      <c r="JU337" s="412"/>
      <c r="JV337" s="412"/>
      <c r="JW337" s="412"/>
      <c r="JX337" s="412"/>
      <c r="JY337" s="409"/>
      <c r="JZ337" s="398">
        <f>IF(JY337=0,0,IF(LEN(JQ337)=11,_xlfn.XLOOKUP(JQ337,'Dispensed Ink Rates'!C:C,'Dispensed Ink Rates'!CS:CS),VLOOKUP(JQ337,'Jan-2026 rates'!$E:$F,2,0)))</f>
        <v>0</v>
      </c>
      <c r="KA337" s="409"/>
      <c r="KB337" s="398">
        <f>IF(KA337=0,0,IF(LEN(JR337)=11,_xlfn.XLOOKUP(JR337,'Dispensed Ink Rates'!C:C,'Dispensed Ink Rates'!CS:CS),VLOOKUP(JR337,'Jan-2026 rates'!$E:$F,2,0)))</f>
        <v>0</v>
      </c>
      <c r="KC337" s="409"/>
      <c r="KD337" s="398">
        <f>IF(KC337=0,0,IF(LEN(JS337)=11,_xlfn.XLOOKUP(JS337,'Dispensed Ink Rates'!C:C,'Dispensed Ink Rates'!CS:CS),VLOOKUP(JS337,'Jan-2026 rates'!$E:$F,2,0)))</f>
        <v>0</v>
      </c>
      <c r="KE337" s="409"/>
      <c r="KF337" s="398">
        <f>IF(KE337=0,0,IF(LEN(JT337)=11,_xlfn.XLOOKUP(JT337,'Dispensed Ink Rates'!C:C,'Dispensed Ink Rates'!CS:CS),VLOOKUP(JT337,'Jan-2026 rates'!$E:$F,2,0)))</f>
        <v>0</v>
      </c>
      <c r="KG337" s="409"/>
      <c r="KH337" s="398">
        <f>IF(KG337=0,0,IF(LEN(JU337)=11,_xlfn.XLOOKUP(JU337,'Dispensed Ink Rates'!C:C,'Dispensed Ink Rates'!CS:CS),VLOOKUP(JU337,'Jan-2026 rates'!$E:$F,2,0)))</f>
        <v>0</v>
      </c>
      <c r="KI337" s="409"/>
      <c r="KJ337" s="398">
        <f>IF(KI337=0,0,IF(LEN(JV337)=11,_xlfn.XLOOKUP(JV337,'Dispensed Ink Rates'!C:C,'Dispensed Ink Rates'!CS:CS),VLOOKUP(JV337,'Jan-2026 rates'!$E:$F,2,0)))</f>
        <v>0</v>
      </c>
      <c r="KK337" s="409"/>
      <c r="KL337" s="398">
        <f>IF(KK337=0,0,IF(LEN(JW337)=11,_xlfn.XLOOKUP(JW337,'Dispensed Ink Rates'!C:C,'Dispensed Ink Rates'!CS:CS),VLOOKUP(JW337,'Jan-2026 rates'!$E:$F,2,0)))</f>
        <v>0</v>
      </c>
      <c r="KM337" s="428"/>
      <c r="KN337" s="398">
        <f>IF(KM337=0,0,IF(LEN(JX337)=11,_xlfn.XLOOKUP(JX337,'Dispensed Ink Rates'!C:C,'Dispensed Ink Rates'!CS:CS),VLOOKUP(JX337,'Jan-2026 rates'!$E:$F,2,0)))</f>
        <v>0</v>
      </c>
      <c r="KO337" s="409"/>
      <c r="KP337" s="409"/>
      <c r="KQ337" s="411">
        <f t="shared" si="233"/>
        <v>0</v>
      </c>
      <c r="KR337" s="411">
        <f t="shared" si="234"/>
        <v>0</v>
      </c>
      <c r="KS337" s="410">
        <f t="shared" si="235"/>
        <v>0</v>
      </c>
      <c r="KT337" s="409">
        <v>0</v>
      </c>
      <c r="KU337" s="409">
        <v>5</v>
      </c>
      <c r="KV337" s="409">
        <v>2</v>
      </c>
      <c r="KW337" s="409">
        <v>3</v>
      </c>
      <c r="KX337" s="409">
        <v>3</v>
      </c>
      <c r="KY337" s="409">
        <v>5</v>
      </c>
      <c r="KZ337" s="409">
        <v>50</v>
      </c>
      <c r="LA337" s="409">
        <v>0</v>
      </c>
      <c r="LB337" s="415">
        <v>0.3</v>
      </c>
      <c r="LC337" s="415"/>
      <c r="LD337" s="424"/>
      <c r="LE337" s="415">
        <v>0.5</v>
      </c>
      <c r="LF337" s="415">
        <v>0.2</v>
      </c>
      <c r="LG337" s="409">
        <v>0</v>
      </c>
      <c r="LH337" s="409">
        <f>50+39+24+40+5+5+16</f>
        <v>179</v>
      </c>
      <c r="LI337" s="409">
        <v>0</v>
      </c>
      <c r="LJ337" s="409">
        <v>0</v>
      </c>
      <c r="LK337" s="416">
        <f t="shared" si="191"/>
        <v>179</v>
      </c>
      <c r="LL337" s="416">
        <f t="shared" si="237"/>
        <v>179</v>
      </c>
      <c r="LM337" s="417">
        <f t="shared" si="193"/>
        <v>53.699999999999996</v>
      </c>
      <c r="LN337" s="417">
        <f>VLOOKUP($LM$8,'Jan-2026 rates'!$H:$I,2,0)</f>
        <v>0</v>
      </c>
      <c r="LO337" s="417">
        <f t="shared" si="194"/>
        <v>0</v>
      </c>
      <c r="LP337" s="417">
        <f>VLOOKUP($LO$8,'Jan-2026 rates'!$H:$I,2,0)</f>
        <v>0</v>
      </c>
      <c r="LQ337" s="417">
        <f t="shared" si="195"/>
        <v>0</v>
      </c>
      <c r="LR337" s="417">
        <f>VLOOKUP($LQ$8,'Jan-2026 rates'!$H:$I,2,0)</f>
        <v>0</v>
      </c>
      <c r="LS337" s="417">
        <f t="shared" si="196"/>
        <v>89.5</v>
      </c>
      <c r="LT337" s="417">
        <f>VLOOKUP($LS$8,'Jan-2026 rates'!$H:$I,2,0)</f>
        <v>0</v>
      </c>
      <c r="LU337" s="417">
        <f t="shared" si="197"/>
        <v>35.800000000000004</v>
      </c>
      <c r="LV337" s="417">
        <f>VLOOKUP($LU$8,'Jan-2026 rates'!$H:$I,2,0)</f>
        <v>0</v>
      </c>
      <c r="LW337" s="417">
        <f t="shared" si="198"/>
        <v>0</v>
      </c>
      <c r="LX337" s="417">
        <f t="shared" si="199"/>
        <v>0</v>
      </c>
      <c r="LY337" s="418">
        <f t="shared" si="200"/>
        <v>0</v>
      </c>
      <c r="LZ337" s="417"/>
      <c r="MA337" s="435">
        <f t="shared" si="201"/>
        <v>155.28</v>
      </c>
      <c r="MB337" s="282">
        <f t="shared" si="202"/>
        <v>360.28</v>
      </c>
      <c r="MC337" s="283" t="s">
        <v>2076</v>
      </c>
      <c r="MD337" s="284" t="str">
        <f t="shared" si="203"/>
        <v>ToyoLiToyoLiToyoLiToyoLiToyoLiToyoLiToyoLi</v>
      </c>
      <c r="ME337" s="293" t="str">
        <f t="shared" si="204"/>
        <v>+</v>
      </c>
      <c r="MF337" s="293" t="str">
        <f t="shared" si="205"/>
        <v>+</v>
      </c>
      <c r="MG337" s="293" t="str">
        <f t="shared" si="206"/>
        <v>+</v>
      </c>
      <c r="MH337" s="293" t="str">
        <f t="shared" si="207"/>
        <v>+</v>
      </c>
      <c r="MI337" s="293" t="str">
        <f t="shared" si="208"/>
        <v>+</v>
      </c>
      <c r="MJ337" s="293" t="str">
        <f t="shared" si="209"/>
        <v>+</v>
      </c>
      <c r="MK337" s="293" t="str">
        <f t="shared" si="210"/>
        <v>+</v>
      </c>
      <c r="ML337" s="293" t="str">
        <f t="shared" si="211"/>
        <v>NIL</v>
      </c>
      <c r="MM337" s="3" t="b">
        <f t="array" ref="MM337">OR(ME337:ML337="-")</f>
        <v>0</v>
      </c>
      <c r="MO337" s="401">
        <f t="shared" si="238"/>
        <v>60.449664429530195</v>
      </c>
      <c r="MP337" s="286"/>
      <c r="MR337" s="402">
        <f t="shared" si="239"/>
        <v>6.8624761904761897E-3</v>
      </c>
      <c r="MS337" s="400">
        <f t="shared" si="240"/>
        <v>0</v>
      </c>
      <c r="MT337" s="285"/>
      <c r="NH337" s="361"/>
      <c r="NJ337" s="282"/>
    </row>
    <row r="338" spans="1:374" ht="16.5">
      <c r="A338" s="403">
        <v>46049</v>
      </c>
      <c r="B338" s="404" t="s">
        <v>1018</v>
      </c>
      <c r="C338" s="405" t="s">
        <v>4641</v>
      </c>
      <c r="D338" s="404" t="s">
        <v>2077</v>
      </c>
      <c r="E338" s="404">
        <v>163</v>
      </c>
      <c r="F338" s="407">
        <v>8000</v>
      </c>
      <c r="G338" s="407" t="s">
        <v>1016</v>
      </c>
      <c r="H338" s="408" t="s">
        <v>1017</v>
      </c>
      <c r="I338" s="409">
        <v>1.98</v>
      </c>
      <c r="J338" s="405" t="s">
        <v>543</v>
      </c>
      <c r="K338" s="404" t="s">
        <v>4642</v>
      </c>
      <c r="L338" s="419" t="str">
        <f t="shared" si="184"/>
        <v>ToyoLi - BLACK</v>
      </c>
      <c r="M338" s="404">
        <v>28</v>
      </c>
      <c r="N338" s="410">
        <f>IF(M338=0,0,IF($LB338=70%,VLOOKUP($L338,'Jan-2026 rates'!$L:$R,4,0),IF($LB338=65%,VLOOKUP($L338,'Jan-2026 rates'!$L:$R,4,0),IF($LB338=40%,VLOOKUP($L338,'Jan-2026 rates'!$L:$R,5,0),IF($LB338=30%,VLOOKUP($L338,'Jan-2026 rates'!$L:$R,6,0),IF($LB338=100%,VLOOKUP($L338,'Jan-2026 rates'!$L:$R,7,0),IF($LB338=60%,VLOOKUP($L338,'Jan-2026 rates'!$L:$S,8,0),IF($LB338=80%,VLOOKUP($L338,'Jan-2026 rates'!L:T,9,0),0))))))))</f>
        <v>0</v>
      </c>
      <c r="O338" s="406"/>
      <c r="P338" s="404"/>
      <c r="Q338" s="410">
        <f>IF(P338=0,0,IF($LB338=70%,VLOOKUP($L338,'Jan-2026 rates'!$L:$R,4,0),IF($LB338=65%,VLOOKUP($L338,'Jan-2026 rates'!$L:$R,4,0),IF($LB338=40%,VLOOKUP($L338,'Jan-2026 rates'!$L:$R,5,0),IF($LB338=30%,VLOOKUP($L338,'Jan-2026 rates'!$L:$R,6,0),IF($LB338=100%,VLOOKUP($L338,'Jan-2026 rates'!$L:$R,7,0),IF($LB338=60%,VLOOKUP($L338,'Jan-2026 rates'!$L:$S,8,0),IF($LB338=80%,VLOOKUP($L338,'Jan-2026 rates'!L:T,9,0),0))))))))</f>
        <v>0</v>
      </c>
      <c r="R338" s="406"/>
      <c r="S338" s="406"/>
      <c r="T338" s="406"/>
      <c r="U338" s="406"/>
      <c r="V338" s="406"/>
      <c r="W338" s="406"/>
      <c r="X338" s="406"/>
      <c r="Y338" s="406"/>
      <c r="Z338" s="404"/>
      <c r="AA338" s="398">
        <f>IF(Z338=0,0,IF(LEN(R338)=11,_xlfn.XLOOKUP(R338,'Dispensed Ink Rates'!C:C,'Dispensed Ink Rates'!CS:CS),VLOOKUP(R338,'Jan-2026 rates'!$E:$F,2,0)))</f>
        <v>0</v>
      </c>
      <c r="AB338" s="404"/>
      <c r="AC338" s="398">
        <f>IF(AB338=0,0,IF(LEN(S338)=11,_xlfn.XLOOKUP(S338,'Dispensed Ink Rates'!C:C,'Dispensed Ink Rates'!CS:CS),VLOOKUP(S338,'Jan-2026 rates'!$E:$F,2,0)))</f>
        <v>0</v>
      </c>
      <c r="AD338" s="404"/>
      <c r="AE338" s="398">
        <f>IF(AD338=0,0,IF(LEN(T338)=11,_xlfn.XLOOKUP(T338,'Dispensed Ink Rates'!C:C,'Dispensed Ink Rates'!CS:CS),VLOOKUP(T338,'Jan-2026 rates'!$E:$F,2,0)))</f>
        <v>0</v>
      </c>
      <c r="AF338" s="404"/>
      <c r="AG338" s="398">
        <f>IF(AF338=0,0,IF(LEN(U338)=11,_xlfn.XLOOKUP(U338,'Dispensed Ink Rates'!C:C,'Dispensed Ink Rates'!CS:CS),VLOOKUP(U338,'Jan-2026 rates'!$E:$F,2,0)))</f>
        <v>0</v>
      </c>
      <c r="AH338" s="404"/>
      <c r="AI338" s="398">
        <f>IF(AH338=0,0,IF(LEN(V338)=11,_xlfn.XLOOKUP(V338,'Dispensed Ink Rates'!C:C,'Dispensed Ink Rates'!CS:CS),VLOOKUP(V338,'Jan-2026 rates'!$E:$F,2,0)))</f>
        <v>0</v>
      </c>
      <c r="AJ338" s="404"/>
      <c r="AK338" s="398">
        <f>IF(AJ338=0,0,IF(LEN(W338)=11,_xlfn.XLOOKUP(W338,'Dispensed Ink Rates'!C:C,'Dispensed Ink Rates'!CS:CS),VLOOKUP(W338,'Jan-2026 rates'!$E:$F,2,0)))</f>
        <v>0</v>
      </c>
      <c r="AL338" s="404"/>
      <c r="AM338" s="398">
        <f>IF(AL338=0,0,IF(LEN(X338)=11,_xlfn.XLOOKUP(X338,'Dispensed Ink Rates'!C:C,'Dispensed Ink Rates'!CS:CS),VLOOKUP(X338,'Jan-2026 rates'!$E:$F,2,0)))</f>
        <v>0</v>
      </c>
      <c r="AN338" s="404"/>
      <c r="AO338" s="398">
        <f>IF(AN338=0,0,IF(LEN(Y338)=11,_xlfn.XLOOKUP(Y338,'Dispensed Ink Rates'!C:C,'Dispensed Ink Rates'!CS:CS),VLOOKUP(Y338,'Jan-2026 rates'!$E:$F,2,0)))</f>
        <v>0</v>
      </c>
      <c r="AP338" s="409" t="s">
        <v>1881</v>
      </c>
      <c r="AQ338" s="409">
        <v>28</v>
      </c>
      <c r="AR338" s="410">
        <f t="shared" si="212"/>
        <v>0</v>
      </c>
      <c r="AS338" s="411">
        <f t="shared" si="213"/>
        <v>2.9545454545454533</v>
      </c>
      <c r="AT338" s="410">
        <f t="shared" si="214"/>
        <v>0</v>
      </c>
      <c r="AU338" s="405" t="s">
        <v>857</v>
      </c>
      <c r="AV338" s="409" t="s">
        <v>4643</v>
      </c>
      <c r="AW338" s="420" t="str">
        <f t="shared" si="236"/>
        <v>ToyoLi - RED</v>
      </c>
      <c r="AX338" s="409">
        <v>19</v>
      </c>
      <c r="AY338" s="411">
        <f>IF(AX338=0,0,IF($LB338=70%,VLOOKUP($AW338,'Jan-2026 rates'!$L:$R,4,0),IF($LB338=65%,VLOOKUP($AW338,'Jan-2026 rates'!$L:$R,4,0),IF($LB338=40%,VLOOKUP($AW338,'Jan-2026 rates'!$L:$R,5,0),IF($LB338=30%,VLOOKUP($AW338,'Jan-2026 rates'!$L:$R,6,0),IF($LB338=100%,VLOOKUP($AW338,'Jan-2026 rates'!$L:$R,7,0),IF($LB338=60%,VLOOKUP($AW338,'Jan-2026 rates'!$L:$S,8,0),IF($LB338=80%,VLOOKUP($AW338,'Jan-2026 rates'!L:T,9,0),0))))))))</f>
        <v>0</v>
      </c>
      <c r="AZ338" s="412"/>
      <c r="BA338" s="409"/>
      <c r="BB338" s="411">
        <f>IF(BA338=0,0,IF($LB338=70%,VLOOKUP($AW338,'Jan-2026 rates'!$L:$R,4,0),IF($LB338=65%,VLOOKUP($AW338,'Jan-2026 rates'!$L:$R,4,0),IF($LB338=40%,VLOOKUP($AW338,'Jan-2026 rates'!$L:$R,5,0),IF($LB338=30%,VLOOKUP($AW338,'Jan-2026 rates'!$L:$R,6,0),IF($LB338=100%,VLOOKUP($AW338,'Jan-2026 rates'!$L:$R,7,0),IF($LB338=60%,VLOOKUP($AW338,'Jan-2026 rates'!$L:$S,8,0),IF($LB338=80%,VLOOKUP($AW338,'Jan-2026 rates'!L:T,9,0),0))))))))</f>
        <v>0</v>
      </c>
      <c r="BC338" s="413" t="s">
        <v>1246</v>
      </c>
      <c r="BD338" s="412" t="s">
        <v>1248</v>
      </c>
      <c r="BE338" s="412"/>
      <c r="BF338" s="413"/>
      <c r="BG338" s="412"/>
      <c r="BH338" s="412"/>
      <c r="BI338" s="412"/>
      <c r="BJ338" s="412"/>
      <c r="BK338" s="409">
        <v>10</v>
      </c>
      <c r="BL338" s="398">
        <f>IF(BK338=0,0,IF(LEN(BC338)=11,_xlfn.XLOOKUP(BC338,'Dispensed Ink Rates'!C:C,'Dispensed Ink Rates'!CS:CS),VLOOKUP(BC338,'Jan-2026 rates'!$E:$F,2,0)))</f>
        <v>0</v>
      </c>
      <c r="BM338" s="409">
        <v>8</v>
      </c>
      <c r="BN338" s="398">
        <f>IF(BM338=0,0,IF(LEN(BD338)=11,_xlfn.XLOOKUP(BD338,'Dispensed Ink Rates'!C:C,'Dispensed Ink Rates'!CS:CS),VLOOKUP(BD338,'Jan-2026 rates'!$E:$F,2,0)))</f>
        <v>0</v>
      </c>
      <c r="BO338" s="409"/>
      <c r="BP338" s="398">
        <f>IF(BO338=0,0,IF(LEN(BE338)=11,_xlfn.XLOOKUP(BE338,'Dispensed Ink Rates'!C:C,'Dispensed Ink Rates'!CS:CS),VLOOKUP(BE338,'Jan-2026 rates'!$E:$F,2,0)))</f>
        <v>0</v>
      </c>
      <c r="BQ338" s="409"/>
      <c r="BR338" s="398">
        <f>IF(BQ338=0,0,IF(LEN(BF338)=11,_xlfn.XLOOKUP(BF338,'Dispensed Ink Rates'!C:C,'Dispensed Ink Rates'!CS:CS),VLOOKUP(BF338,'Jan-2026 rates'!$E:$F,2,0)))</f>
        <v>0</v>
      </c>
      <c r="BS338" s="409"/>
      <c r="BT338" s="398">
        <f>IF(BS338=0,0,IF(LEN(BG338)=11,_xlfn.XLOOKUP(BG338,'Dispensed Ink Rates'!C:C,'Dispensed Ink Rates'!CS:CS),VLOOKUP(BG338,'Jan-2026 rates'!$E:$F,2,0)))</f>
        <v>0</v>
      </c>
      <c r="BU338" s="409"/>
      <c r="BV338" s="398">
        <f>IF(BU338=0,0,IF(LEN(BH338)=11,_xlfn.XLOOKUP(BH338,'Dispensed Ink Rates'!C:C,'Dispensed Ink Rates'!CS:CS),VLOOKUP(BH338,'Jan-2026 rates'!$E:$F,2,0)))</f>
        <v>0</v>
      </c>
      <c r="BW338" s="409"/>
      <c r="BX338" s="398">
        <f>IF(BW338=0,0,IF(LEN(BI338)=11,_xlfn.XLOOKUP(BI338,'Dispensed Ink Rates'!C:C,'Dispensed Ink Rates'!CS:CS),VLOOKUP(BI338,'Jan-2026 rates'!$E:$F,2,0)))</f>
        <v>0</v>
      </c>
      <c r="BY338" s="409"/>
      <c r="BZ338" s="398">
        <f>IF(BY338=0,0,IF(LEN(BJ338)=11,_xlfn.XLOOKUP(BJ338,'Dispensed Ink Rates'!C:C,'Dispensed Ink Rates'!CS:CS),VLOOKUP(BJ338,'Jan-2026 rates'!$E:$F,2,0)))</f>
        <v>0</v>
      </c>
      <c r="CA338" s="409" t="s">
        <v>1881</v>
      </c>
      <c r="CB338" s="409">
        <f>18+22</f>
        <v>40</v>
      </c>
      <c r="CC338" s="411">
        <f t="shared" si="215"/>
        <v>0</v>
      </c>
      <c r="CD338" s="411">
        <f t="shared" si="216"/>
        <v>7.3409090909090935</v>
      </c>
      <c r="CE338" s="410">
        <f t="shared" si="217"/>
        <v>0</v>
      </c>
      <c r="CF338" s="404" t="s">
        <v>857</v>
      </c>
      <c r="CG338" s="409"/>
      <c r="CH338" s="420" t="str">
        <f t="shared" si="185"/>
        <v>ToyoLi - RED</v>
      </c>
      <c r="CI338" s="409"/>
      <c r="CJ338" s="411">
        <f>IF(CI338=0,0,IF($LB338=70%,VLOOKUP($CH338,'Jan-2026 rates'!$L:$R,4,0),IF($LB338=65%,VLOOKUP($CH338,'Jan-2026 rates'!$L:$R,4,0),IF($LB338=40%,VLOOKUP($CH338,'Jan-2026 rates'!$L:$R,5,0),IF($LB338=30%,VLOOKUP($CH338,'Jan-2026 rates'!$L:$R,6,0),IF($LB338=100%,VLOOKUP($CH338,'Jan-2026 rates'!$L:$R,7,0),IF($LB338=60%,VLOOKUP($CH338,'Jan-2026 rates'!$L:$S,8,0),IF($LB338=80%,VLOOKUP($CH338,'Jan-2026 rates'!L:T,9,0),0))))))))</f>
        <v>0</v>
      </c>
      <c r="CK338" s="412"/>
      <c r="CL338" s="409"/>
      <c r="CM338" s="411">
        <f>IF(CL338=0,0,IF($LB338=70%,VLOOKUP($CH338,'Jan-2026 rates'!$L:$R,4,0),IF($LB338=65%,VLOOKUP($CH338,'Jan-2026 rates'!$L:$R,4,0),IF($LB338=40%,VLOOKUP($CH338,'Jan-2026 rates'!$L:$R,5,0),IF($LB338=30%,VLOOKUP($CH338,'Jan-2026 rates'!$L:$R,6,0),IF($LB338=100%,VLOOKUP($CH338,'Jan-2026 rates'!$L:$R,7,0),IF($LB338=60%,VLOOKUP($CH338,'Jan-2026 rates'!$L:$S,8,0),IF($LB338=80%,VLOOKUP($CH338,'Jan-2026 rates'!L:T,9,0),0))))))))</f>
        <v>0</v>
      </c>
      <c r="CN338" s="426" t="s">
        <v>1921</v>
      </c>
      <c r="CO338" s="427" t="s">
        <v>1246</v>
      </c>
      <c r="CP338" s="426" t="s">
        <v>1505</v>
      </c>
      <c r="CQ338" s="426"/>
      <c r="CR338" s="428"/>
      <c r="CS338" s="428"/>
      <c r="CT338" s="428"/>
      <c r="CU338" s="428"/>
      <c r="CV338" s="409">
        <v>15</v>
      </c>
      <c r="CW338" s="398">
        <f>IF(CV338=0,0,IF(LEN(CN338)=11,_xlfn.XLOOKUP(CN338,'Dispensed Ink Rates'!C:C,'Dispensed Ink Rates'!CS:CS),VLOOKUP(CN338,'Jan-2026 rates'!$E:$F,2,0)))</f>
        <v>0</v>
      </c>
      <c r="CX338" s="409">
        <v>1</v>
      </c>
      <c r="CY338" s="398">
        <f>IF(CX338=0,0,IF(LEN(CO338)=11,_xlfn.XLOOKUP(CO338,'Dispensed Ink Rates'!C:C,'Dispensed Ink Rates'!CS:CS),VLOOKUP(CO338,'Jan-2026 rates'!$E:$F,2,0)))</f>
        <v>0</v>
      </c>
      <c r="CZ338" s="409">
        <v>0.5</v>
      </c>
      <c r="DA338" s="398">
        <f>IF(CZ338=0,0,IF(LEN(CP338)=11,_xlfn.XLOOKUP(CP338,'Dispensed Ink Rates'!C:C,'Dispensed Ink Rates'!CS:CS),VLOOKUP(CP338,'Jan-2026 rates'!$E:$F,2,0)))</f>
        <v>0</v>
      </c>
      <c r="DB338" s="409"/>
      <c r="DC338" s="398">
        <f>IF(DB338=0,0,IF(LEN(CQ338)=11,_xlfn.XLOOKUP(CQ338,'Dispensed Ink Rates'!C:C,'Dispensed Ink Rates'!CS:CS),VLOOKUP(CQ338,'Jan-2026 rates'!$E:$F,2,0)))</f>
        <v>0</v>
      </c>
      <c r="DD338" s="409"/>
      <c r="DE338" s="398">
        <f>IF(DD338=0,0,IF(LEN(CR338)=11,_xlfn.XLOOKUP(CR338,'Dispensed Ink Rates'!C:C,'Dispensed Ink Rates'!CS:CS),VLOOKUP(CR338,'Jan-2026 rates'!$E:$F,2,0)))</f>
        <v>0</v>
      </c>
      <c r="DF338" s="409"/>
      <c r="DG338" s="398">
        <f>IF(DF338=0,0,IF(LEN(CS338)=11,_xlfn.XLOOKUP(CS338,'Dispensed Ink Rates'!C:C,'Dispensed Ink Rates'!CS:CS),VLOOKUP(CS338,'Jan-2026 rates'!$E:$F,2,0)))</f>
        <v>0</v>
      </c>
      <c r="DH338" s="409"/>
      <c r="DI338" s="398">
        <f>IF(DH338=0,0,IF(LEN(CT338)=11,_xlfn.XLOOKUP(CT338,'Dispensed Ink Rates'!C:C,'Dispensed Ink Rates'!CS:CS),VLOOKUP(CT338,'Jan-2026 rates'!$E:$F,2,0)))</f>
        <v>0</v>
      </c>
      <c r="DJ338" s="409"/>
      <c r="DK338" s="398">
        <f>IF(DJ338=0,0,IF(LEN(CU338)=11,_xlfn.XLOOKUP(CU338,'Dispensed Ink Rates'!C:C,'Dispensed Ink Rates'!CS:CS),VLOOKUP(CU338,'Jan-2026 rates'!$E:$F,2,0)))</f>
        <v>0</v>
      </c>
      <c r="DL338" s="409" t="s">
        <v>1881</v>
      </c>
      <c r="DM338" s="409">
        <v>20</v>
      </c>
      <c r="DN338" s="411">
        <f t="shared" si="218"/>
        <v>0</v>
      </c>
      <c r="DO338" s="411">
        <f t="shared" si="219"/>
        <v>11.272727272727273</v>
      </c>
      <c r="DP338" s="410">
        <f t="shared" si="220"/>
        <v>0</v>
      </c>
      <c r="DQ338" s="405" t="s">
        <v>547</v>
      </c>
      <c r="DR338" s="409" t="s">
        <v>4644</v>
      </c>
      <c r="DS338" s="420" t="str">
        <f t="shared" si="186"/>
        <v>ToyoLi - GREEN</v>
      </c>
      <c r="DT338" s="409">
        <v>16</v>
      </c>
      <c r="DU338" s="411">
        <f>IF(DT338=0,0,IF($LB338=70%,VLOOKUP($DS338,'Jan-2026 rates'!$L:$R,4,0),IF($LB338=65%,VLOOKUP($DS338,'Jan-2026 rates'!$L:$R,4,0),IF($LB338=40%,VLOOKUP($DS338,'Jan-2026 rates'!$L:$R,5,0),IF($LB338=30%,VLOOKUP($DS338,'Jan-2026 rates'!$L:$R,6,0),IF($LB338=100%,VLOOKUP($DS338,'Jan-2026 rates'!$L:$R,7,0),IF($LB338=60%,VLOOKUP($DS338,'Jan-2026 rates'!$L:$S,8,0),IF($LB338=80%,VLOOKUP($DS338,'Jan-2026 rates'!L:T,9,0),0))))))))</f>
        <v>0</v>
      </c>
      <c r="DV338" s="412"/>
      <c r="DW338" s="409"/>
      <c r="DX338" s="411">
        <f>IF(DW338=0,0,IF($LB338=70%,VLOOKUP($DS338,'Jan-2026 rates'!$L:$R,4,0),IF($LB338=65%,VLOOKUP($DS338,'Jan-2026 rates'!$L:$R,4,0),IF($LB338=40%,VLOOKUP($DS338,'Jan-2026 rates'!$L:$R,5,0),IF($LB338=30%,VLOOKUP($DS338,'Jan-2026 rates'!$L:$R,6,0),IF($LB338=100%,VLOOKUP($DS338,'Jan-2026 rates'!$L:$R,7,0),IF($LB338=60%,VLOOKUP($DS338,'Jan-2026 rates'!$L:$S,8,0),IF($LB338=80%,VLOOKUP($DS338,'Jan-2026 rates'!L:T,9,0),0))))))))</f>
        <v>0</v>
      </c>
      <c r="DY338" s="413" t="s">
        <v>1247</v>
      </c>
      <c r="DZ338" s="413" t="s">
        <v>1250</v>
      </c>
      <c r="EA338" s="412" t="s">
        <v>1921</v>
      </c>
      <c r="EB338" s="412"/>
      <c r="EC338" s="412"/>
      <c r="ED338" s="412"/>
      <c r="EE338" s="412"/>
      <c r="EF338" s="412"/>
      <c r="EG338" s="409">
        <v>5</v>
      </c>
      <c r="EH338" s="398">
        <f>IF(EG338=0,0,IF(LEN(DY338)=11,_xlfn.XLOOKUP(DY338,'Dispensed Ink Rates'!C:C,'Dispensed Ink Rates'!CS:CS),VLOOKUP(DY338,'Jan-2026 rates'!$E:$F,2,0)))</f>
        <v>0</v>
      </c>
      <c r="EI338" s="409">
        <v>1</v>
      </c>
      <c r="EJ338" s="398">
        <f>IF(EI338=0,0,IF(LEN(DZ338)=11,_xlfn.XLOOKUP(DZ338,'Dispensed Ink Rates'!C:C,'Dispensed Ink Rates'!CS:CS),VLOOKUP(DZ338,'Jan-2026 rates'!$E:$F,2,0)))</f>
        <v>0</v>
      </c>
      <c r="EK338" s="409">
        <v>3</v>
      </c>
      <c r="EL338" s="398">
        <f>IF(EK338=0,0,IF(LEN(EA338)=11,_xlfn.XLOOKUP(EA338,'Dispensed Ink Rates'!C:C,'Dispensed Ink Rates'!CS:CS),VLOOKUP(EA338,'Jan-2026 rates'!$E:$F,2,0)))</f>
        <v>0</v>
      </c>
      <c r="EM338" s="409"/>
      <c r="EN338" s="398">
        <f>IF(EM338=0,0,IF(LEN(EB338)=11,_xlfn.XLOOKUP(EB338,'Dispensed Ink Rates'!C:C,'Dispensed Ink Rates'!CS:CS),VLOOKUP(EB338,'Jan-2026 rates'!$E:$F,2,0)))</f>
        <v>0</v>
      </c>
      <c r="EO338" s="409"/>
      <c r="EP338" s="398">
        <f>IF(EO338=0,0,IF(LEN(EC338)=11,_xlfn.XLOOKUP(EC338,'Dispensed Ink Rates'!C:C,'Dispensed Ink Rates'!CS:CS),VLOOKUP(EC338,'Jan-2026 rates'!$E:$F,2,0)))</f>
        <v>0</v>
      </c>
      <c r="EQ338" s="409"/>
      <c r="ER338" s="398">
        <f>IF(EQ338=0,0,IF(LEN(ED338)=11,_xlfn.XLOOKUP(ED338,'Dispensed Ink Rates'!C:C,'Dispensed Ink Rates'!CS:CS),VLOOKUP(ED338,'Jan-2026 rates'!$E:$F,2,0)))</f>
        <v>0</v>
      </c>
      <c r="ES338" s="409"/>
      <c r="ET338" s="398">
        <f>IF(ES338=0,0,IF(LEN(EE338)=11,_xlfn.XLOOKUP(EE338,'Dispensed Ink Rates'!C:C,'Dispensed Ink Rates'!CS:CS),VLOOKUP(EE338,'Jan-2026 rates'!$E:$F,2,0)))</f>
        <v>0</v>
      </c>
      <c r="EU338" s="409"/>
      <c r="EV338" s="398">
        <f>IF(EU338=0,0,IF(LEN(EF338)=11,_xlfn.XLOOKUP(EF338,'Dispensed Ink Rates'!C:C,'Dispensed Ink Rates'!CS:CS),VLOOKUP(EF338,'Jan-2026 rates'!$E:$F,2,0)))</f>
        <v>0</v>
      </c>
      <c r="EW338" s="409" t="s">
        <v>1881</v>
      </c>
      <c r="EX338" s="409">
        <v>25</v>
      </c>
      <c r="EY338" s="411">
        <f t="shared" si="221"/>
        <v>0</v>
      </c>
      <c r="EZ338" s="411">
        <f t="shared" si="222"/>
        <v>5.9090909090909101</v>
      </c>
      <c r="FA338" s="410">
        <f t="shared" si="223"/>
        <v>0</v>
      </c>
      <c r="FB338" s="405" t="s">
        <v>855</v>
      </c>
      <c r="FC338" s="409" t="s">
        <v>4645</v>
      </c>
      <c r="FD338" s="420" t="str">
        <f t="shared" si="187"/>
        <v>ToyoLi - CYAN</v>
      </c>
      <c r="FE338" s="409">
        <v>30</v>
      </c>
      <c r="FF338" s="411">
        <f>IF(FE338=0,0,IF($LB338=70%,VLOOKUP($FD338,'Jan-2026 rates'!$L:$R,4,0),IF($LB338=65%,VLOOKUP($FD338,'Jan-2026 rates'!$L:$R,4,0),IF($LB338=40%,VLOOKUP($FD338,'Jan-2026 rates'!$L:$R,5,0),IF($LB338=30%,VLOOKUP($FD338,'Jan-2026 rates'!$L:$R,6,0),IF($LB338=100%,VLOOKUP($FD338,'Jan-2026 rates'!$L:$R,7,0),IF($LB338=60%,VLOOKUP($FD338,'Jan-2026 rates'!$L:$S,8,0),IF($LB338=80%,VLOOKUP($FD338,'Jan-2026 rates'!L:T,9,0),0))))))))</f>
        <v>0</v>
      </c>
      <c r="FG338" s="412"/>
      <c r="FH338" s="409"/>
      <c r="FI338" s="411">
        <f>IF(FH338=0,0,IF($LB338=70%,VLOOKUP($FD338,'Jan-2026 rates'!$L:$R,4,0),IF($LB338=65%,VLOOKUP($FD338,'Jan-2026 rates'!$L:$R,4,0),IF($LB338=40%,VLOOKUP($FD338,'Jan-2026 rates'!$L:$R,5,0),IF($LB338=30%,VLOOKUP($FD338,'Jan-2026 rates'!$L:$R,6,0),IF($LB338=100%,VLOOKUP($FD338,'Jan-2026 rates'!$L:$R,7,0),IF($LB338=60%,VLOOKUP($FD338,'Jan-2026 rates'!$L:$S,8,0),IF($LB338=80%,VLOOKUP($FD338,'Jan-2026 rates'!L:T,9,0),0))))))))</f>
        <v>0</v>
      </c>
      <c r="FJ338" s="413" t="s">
        <v>1921</v>
      </c>
      <c r="FK338" s="413"/>
      <c r="FL338" s="413"/>
      <c r="FM338" s="412"/>
      <c r="FN338" s="412"/>
      <c r="FO338" s="412"/>
      <c r="FP338" s="412"/>
      <c r="FQ338" s="412"/>
      <c r="FR338" s="409">
        <v>2</v>
      </c>
      <c r="FS338" s="398">
        <f>IF(FR338=0,0,IF(LEN(FJ338)=11,_xlfn.XLOOKUP(FJ338,'Dispensed Ink Rates'!C:C,'Dispensed Ink Rates'!CS:CS),VLOOKUP(FJ338,'Jan-2026 rates'!$E:$F,2,0)))</f>
        <v>0</v>
      </c>
      <c r="FT338" s="409"/>
      <c r="FU338" s="398">
        <f>IF(FT338=0,0,IF(LEN(FK338)=11,_xlfn.XLOOKUP(FK338,'Dispensed Ink Rates'!C:C,'Dispensed Ink Rates'!CS:CS),VLOOKUP(FK338,'Jan-2026 rates'!$E:$F,2,0)))</f>
        <v>0</v>
      </c>
      <c r="FV338" s="409"/>
      <c r="FW338" s="398">
        <f>IF(FV338=0,0,IF(LEN(FL338)=11,_xlfn.XLOOKUP(FL338,'Dispensed Ink Rates'!C:C,'Dispensed Ink Rates'!CS:CS),VLOOKUP(FL338,'Jan-2026 rates'!$E:$F,2,0)))</f>
        <v>0</v>
      </c>
      <c r="FX338" s="409"/>
      <c r="FY338" s="398">
        <f>IF(FX338=0,0,IF(LEN(FM338)=11,_xlfn.XLOOKUP(FM338,'Dispensed Ink Rates'!C:C,'Dispensed Ink Rates'!CS:CS),VLOOKUP(FM338,'Jan-2026 rates'!$E:$F,2,0)))</f>
        <v>0</v>
      </c>
      <c r="FZ338" s="409"/>
      <c r="GA338" s="398">
        <f>IF(FZ338=0,0,IF(LEN(FN338)=11,_xlfn.XLOOKUP(FN338,'Dispensed Ink Rates'!C:C,'Dispensed Ink Rates'!CS:CS),VLOOKUP(FN338,'Jan-2026 rates'!$E:$F,2,0)))</f>
        <v>0</v>
      </c>
      <c r="GB338" s="409"/>
      <c r="GC338" s="398">
        <f>IF(GB338=0,0,IF(LEN(FO338)=11,_xlfn.XLOOKUP(FO338,'Dispensed Ink Rates'!C:C,'Dispensed Ink Rates'!CS:CS),VLOOKUP(FO338,'Jan-2026 rates'!$E:$F,2,0)))</f>
        <v>0</v>
      </c>
      <c r="GD338" s="409"/>
      <c r="GE338" s="398">
        <f>IF(GD338=0,0,IF(LEN(FP338)=11,_xlfn.XLOOKUP(FP338,'Dispensed Ink Rates'!C:C,'Dispensed Ink Rates'!CS:CS),VLOOKUP(FP338,'Jan-2026 rates'!$E:$F,2,0)))</f>
        <v>0</v>
      </c>
      <c r="GF338" s="409"/>
      <c r="GG338" s="398">
        <f>IF(GF338=0,0,IF(LEN(FQ338)=11,_xlfn.XLOOKUP(FQ338,'Dispensed Ink Rates'!C:C,'Dispensed Ink Rates'!CS:CS),VLOOKUP(FQ338,'Jan-2026 rates'!$E:$F,2,0)))</f>
        <v>0</v>
      </c>
      <c r="GH338" s="409" t="s">
        <v>1881</v>
      </c>
      <c r="GI338" s="409">
        <v>30</v>
      </c>
      <c r="GJ338" s="411">
        <f t="shared" si="224"/>
        <v>0</v>
      </c>
      <c r="GK338" s="411">
        <f t="shared" si="225"/>
        <v>4.9545454545454533</v>
      </c>
      <c r="GL338" s="410">
        <f t="shared" si="226"/>
        <v>0</v>
      </c>
      <c r="GM338" s="405" t="s">
        <v>544</v>
      </c>
      <c r="GN338" s="409" t="s">
        <v>4646</v>
      </c>
      <c r="GO338" s="420" t="str">
        <f t="shared" si="188"/>
        <v>ToyoLi - MAGENTA</v>
      </c>
      <c r="GP338" s="409">
        <v>28</v>
      </c>
      <c r="GQ338" s="411">
        <f>IF(GP338=0,0,IF($LB338=70%,VLOOKUP($GO338,'Jan-2026 rates'!$L:$R,4,0),IF($LB338=65%,VLOOKUP($GO338,'Jan-2026 rates'!$L:$R,4,0),IF($LB338=40%,VLOOKUP($GO338,'Jan-2026 rates'!$L:$R,5,0),IF($LB338=30%,VLOOKUP($GO338,'Jan-2026 rates'!$L:$R,6,0),IF($LB338=100%,VLOOKUP($GO338,'Jan-2026 rates'!$L:$R,7,0),IF($LB338=60%,VLOOKUP($GO338,'Jan-2026 rates'!$L:$S,8,0),IF($LB338=80%,VLOOKUP($GO338,'Jan-2026 rates'!L:T,9,0),0))))))))</f>
        <v>0</v>
      </c>
      <c r="GR338" s="412"/>
      <c r="GS338" s="409"/>
      <c r="GT338" s="411">
        <f>IF(GS338=0,0,IF($LB338=70%,VLOOKUP($GO338,'Jan-2026 rates'!$L:$R,4,0),IF($LB338=65%,VLOOKUP($GO338,'Jan-2026 rates'!$L:$R,4,0),IF($LB338=40%,VLOOKUP($GO338,'Jan-2026 rates'!$L:$R,5,0),IF($LB338=30%,VLOOKUP($GO338,'Jan-2026 rates'!$L:$R,6,0),IF($LB338=100%,VLOOKUP($GO338,'Jan-2026 rates'!$L:$R,7,0),IF($LB338=60%,VLOOKUP($GO338,'Jan-2026 rates'!$L:$S,8,0),IF($LB338=80%,VLOOKUP($GO338,'Jan-2026 rates'!L:T,9,0),0))))))))</f>
        <v>0</v>
      </c>
      <c r="GU338" s="413" t="s">
        <v>1921</v>
      </c>
      <c r="GV338" s="413"/>
      <c r="GW338" s="412"/>
      <c r="GX338" s="412"/>
      <c r="GY338" s="412"/>
      <c r="GZ338" s="412"/>
      <c r="HA338" s="412"/>
      <c r="HB338" s="412"/>
      <c r="HC338" s="409">
        <v>3</v>
      </c>
      <c r="HD338" s="398">
        <f>IF(HC338=0,0,IF(LEN(GU338)=11,_xlfn.XLOOKUP(GU338,'Dispensed Ink Rates'!C:C,'Dispensed Ink Rates'!CS:CS),VLOOKUP(GU338,'Jan-2026 rates'!$E:$F,2,0)))</f>
        <v>0</v>
      </c>
      <c r="HE338" s="409"/>
      <c r="HF338" s="398">
        <f>IF(HE338=0,0,IF(LEN(GV338)=11,_xlfn.XLOOKUP(GV338,'Dispensed Ink Rates'!C:C,'Dispensed Ink Rates'!CS:CS),VLOOKUP(GV338,'Jan-2026 rates'!$E:$F,2,0)))</f>
        <v>0</v>
      </c>
      <c r="HG338" s="409"/>
      <c r="HH338" s="398">
        <f>IF(HG338=0,0,IF(LEN(GW338)=11,_xlfn.XLOOKUP(GW338,'Dispensed Ink Rates'!C:C,'Dispensed Ink Rates'!CS:CS),VLOOKUP(GW338,'Jan-2026 rates'!$E:$F,2,0)))</f>
        <v>0</v>
      </c>
      <c r="HI338" s="409"/>
      <c r="HJ338" s="398">
        <f>IF(HI338=0,0,IF(LEN(GX338)=11,_xlfn.XLOOKUP(GX338,'Dispensed Ink Rates'!C:C,'Dispensed Ink Rates'!CS:CS),VLOOKUP(GX338,'Jan-2026 rates'!$E:$F,2,0)))</f>
        <v>0</v>
      </c>
      <c r="HK338" s="409"/>
      <c r="HL338" s="398">
        <f>IF(HK338=0,0,IF(LEN(GY338)=11,_xlfn.XLOOKUP(GY338,'Dispensed Ink Rates'!C:C,'Dispensed Ink Rates'!CS:CS),VLOOKUP(GY338,'Jan-2026 rates'!$E:$F,2,0)))</f>
        <v>0</v>
      </c>
      <c r="HM338" s="409"/>
      <c r="HN338" s="398">
        <f>IF(HM338=0,0,IF(LEN(GZ338)=11,_xlfn.XLOOKUP(GZ338,'Dispensed Ink Rates'!C:C,'Dispensed Ink Rates'!CS:CS),VLOOKUP(GZ338,'Jan-2026 rates'!$E:$F,2,0)))</f>
        <v>0</v>
      </c>
      <c r="HO338" s="409"/>
      <c r="HP338" s="398">
        <f>IF(HO338=0,0,IF(LEN(HA338)=11,_xlfn.XLOOKUP(HA338,'Dispensed Ink Rates'!C:C,'Dispensed Ink Rates'!CS:CS),VLOOKUP(HA338,'Jan-2026 rates'!$E:$F,2,0)))</f>
        <v>0</v>
      </c>
      <c r="HQ338" s="409"/>
      <c r="HR338" s="398">
        <f>IF(HQ338=0,0,IF(LEN(HB338)=11,_xlfn.XLOOKUP(HB338,'Dispensed Ink Rates'!C:C,'Dispensed Ink Rates'!CS:CS),VLOOKUP(HB338,'Jan-2026 rates'!$E:$F,2,0)))</f>
        <v>0</v>
      </c>
      <c r="HS338" s="409" t="s">
        <v>1881</v>
      </c>
      <c r="HT338" s="409">
        <v>29</v>
      </c>
      <c r="HU338" s="411">
        <f t="shared" si="227"/>
        <v>0</v>
      </c>
      <c r="HV338" s="411">
        <f t="shared" si="228"/>
        <v>4.9545454545454533</v>
      </c>
      <c r="HW338" s="414">
        <f t="shared" si="229"/>
        <v>0</v>
      </c>
      <c r="HX338" s="405" t="s">
        <v>545</v>
      </c>
      <c r="HY338" s="409" t="s">
        <v>4647</v>
      </c>
      <c r="HZ338" s="420" t="str">
        <f t="shared" si="189"/>
        <v>ToyoLi - YELLOW</v>
      </c>
      <c r="IA338" s="409">
        <v>27</v>
      </c>
      <c r="IB338" s="411">
        <f>IF(IA338=0,0,IF($LB338=70%,VLOOKUP($HZ338,'Jan-2026 rates'!$L:$R,4,0),IF($LB338=65%,VLOOKUP($HZ338,'Jan-2026 rates'!$L:$R,4,0),IF($LB338=40%,VLOOKUP($HZ338,'Jan-2026 rates'!$L:$R,5,0),IF($LB338=30%,VLOOKUP($HZ338,'Jan-2026 rates'!$L:$R,6,0),IF($LB338=100%,VLOOKUP($HZ338,'Jan-2026 rates'!$L:$R,7,0),IF($LB338=60%,VLOOKUP($HZ338,'Jan-2026 rates'!$L:$S,8,0),IF($LB338=80%,VLOOKUP($HZ338,'Jan-2026 rates'!L:T,9,0),0))))))))</f>
        <v>0</v>
      </c>
      <c r="IC338" s="412"/>
      <c r="ID338" s="409"/>
      <c r="IE338" s="411">
        <f>IF(ID338=0,0,IF($LB338=70%,VLOOKUP($HZ338,'Jan-2026 rates'!$L:$R,4,0),IF($LB338=65%,VLOOKUP($HZ338,'Jan-2026 rates'!$L:$R,4,0),IF($LB338=40%,VLOOKUP($HZ338,'Jan-2026 rates'!$L:$R,5,0),IF($LB338=30%,VLOOKUP($HZ338,'Jan-2026 rates'!$L:$R,6,0),IF($LB338=100%,VLOOKUP($HZ338,'Jan-2026 rates'!$L:$R,7,0),IF($LB338=60%,VLOOKUP($HZ338,'Jan-2026 rates'!$L:$S,8,0),IF($LB338=80%,VLOOKUP($HZ338,'Jan-2026 rates'!L:T,9,0),0))))))))</f>
        <v>0</v>
      </c>
      <c r="IF338" s="412" t="s">
        <v>1247</v>
      </c>
      <c r="IG338" s="413"/>
      <c r="IH338" s="412"/>
      <c r="II338" s="412"/>
      <c r="IJ338" s="412"/>
      <c r="IK338" s="412"/>
      <c r="IL338" s="412"/>
      <c r="IM338" s="412"/>
      <c r="IN338" s="409">
        <v>2</v>
      </c>
      <c r="IO338" s="398">
        <f>IF(IN338=0,0,IF(LEN(IF338)=11,_xlfn.XLOOKUP(IF338,'Dispensed Ink Rates'!C:C,'Dispensed Ink Rates'!CS:CS),VLOOKUP(IF338,'Jan-2026 rates'!$E:$F,2,0)))</f>
        <v>0</v>
      </c>
      <c r="IP338" s="409"/>
      <c r="IQ338" s="398">
        <f>IF(IP338=0,0,IF(LEN(IG338)=11,_xlfn.XLOOKUP(IG338,'Dispensed Ink Rates'!C:C,'Dispensed Ink Rates'!CS:CS),VLOOKUP(IG338,'Jan-2026 rates'!$E:$F,2,0)))</f>
        <v>0</v>
      </c>
      <c r="IR338" s="409"/>
      <c r="IS338" s="398">
        <f>IF(IR338=0,0,IF(LEN(IH338)=11,_xlfn.XLOOKUP(IH338,'Dispensed Ink Rates'!C:C,'Dispensed Ink Rates'!CS:CS),VLOOKUP(IH338,'Jan-2026 rates'!$E:$F,2,0)))</f>
        <v>0</v>
      </c>
      <c r="IT338" s="409"/>
      <c r="IU338" s="398">
        <f>IF(IT338=0,0,IF(LEN(II338)=11,_xlfn.XLOOKUP(II338,'Dispensed Ink Rates'!C:C,'Dispensed Ink Rates'!CS:CS),VLOOKUP(II338,'Jan-2026 rates'!$E:$F,2,0)))</f>
        <v>0</v>
      </c>
      <c r="IV338" s="409"/>
      <c r="IW338" s="398">
        <f>IF(IV338=0,0,IF(LEN(IJ338)=11,_xlfn.XLOOKUP(IJ338,'Dispensed Ink Rates'!C:C,'Dispensed Ink Rates'!CS:CS),VLOOKUP(IJ338,'Jan-2026 rates'!$E:$F,2,0)))</f>
        <v>0</v>
      </c>
      <c r="IX338" s="409"/>
      <c r="IY338" s="398">
        <f>IF(IX338=0,0,IF(LEN(IK338)=11,_xlfn.XLOOKUP(IK338,'Dispensed Ink Rates'!C:C,'Dispensed Ink Rates'!CS:CS),VLOOKUP(IK338,'Jan-2026 rates'!$E:$F,2,0)))</f>
        <v>0</v>
      </c>
      <c r="IZ338" s="409"/>
      <c r="JA338" s="398">
        <f>IF(IZ338=0,0,IF(LEN(IL338)=11,_xlfn.XLOOKUP(IL338,'Dispensed Ink Rates'!C:C,'Dispensed Ink Rates'!CS:CS),VLOOKUP(IL338,'Jan-2026 rates'!$E:$F,2,0)))</f>
        <v>0</v>
      </c>
      <c r="JB338" s="409"/>
      <c r="JC338" s="398">
        <f>IF(JB338=0,0,IF(LEN(IM338)=11,_xlfn.XLOOKUP(IM338,'Dispensed Ink Rates'!C:C,'Dispensed Ink Rates'!CS:CS),VLOOKUP(IM338,'Jan-2026 rates'!$E:$F,2,0)))</f>
        <v>0</v>
      </c>
      <c r="JD338" s="409" t="s">
        <v>1881</v>
      </c>
      <c r="JE338" s="409">
        <v>27</v>
      </c>
      <c r="JF338" s="411">
        <f t="shared" si="230"/>
        <v>0</v>
      </c>
      <c r="JG338" s="411">
        <f t="shared" si="231"/>
        <v>4.9545454545454533</v>
      </c>
      <c r="JH338" s="410">
        <f t="shared" si="232"/>
        <v>0</v>
      </c>
      <c r="JI338" s="405" t="s">
        <v>856</v>
      </c>
      <c r="JJ338" s="409" t="s">
        <v>4648</v>
      </c>
      <c r="JK338" s="420" t="str">
        <f t="shared" si="190"/>
        <v>ToyoLi - WHITE</v>
      </c>
      <c r="JL338" s="409">
        <v>30</v>
      </c>
      <c r="JM338" s="411">
        <f>IF(JL338=0,0,IF($LB338=70%,VLOOKUP($JK338,'Jan-2026 rates'!$L:$R,4,0),IF($LB338=65%,VLOOKUP($JK338,'Jan-2026 rates'!$L:$R,4,0),IF($LB338=40%,VLOOKUP($JK338,'Jan-2026 rates'!$L:$R,5,0),IF($LB338=30%,VLOOKUP($JK338,'Jan-2026 rates'!$L:$R,6,0),IF($LB338=100%,VLOOKUP($JK338,'Jan-2026 rates'!$L:$R,7,0),IF($LB338=60%,VLOOKUP($JK338,'Jan-2026 rates'!$L:$S,8,0),IF($LB338=80%,VLOOKUP($JK338,'Jan-2026 rates'!L:T,9,0),0))))))))</f>
        <v>0</v>
      </c>
      <c r="JN338" s="412"/>
      <c r="JO338" s="409"/>
      <c r="JP338" s="411">
        <f>IF(JO338=0,0,IF($LB338=70%,VLOOKUP($JK338,'Jan-2026 rates'!$L:$R,4,0),IF($LB338=65%,VLOOKUP($JK338,'Jan-2026 rates'!$L:$R,4,0),IF($LB338=40%,VLOOKUP($JK338,'Jan-2026 rates'!$L:$R,5,0),IF($LB338=30%,VLOOKUP($JK338,'Jan-2026 rates'!$L:$R,6,0),IF($LB338=100%,VLOOKUP($JK338,'Jan-2026 rates'!$L:$R,7,0),IF($LB338=60%,VLOOKUP($JK338,'Jan-2026 rates'!$L:$S,8,0),IF($LB338=80%,VLOOKUP($JK338,'Jan-2026 rates'!L:T,9,0),0))))))))</f>
        <v>0</v>
      </c>
      <c r="JQ338" s="413" t="s">
        <v>1249</v>
      </c>
      <c r="JR338" s="412"/>
      <c r="JS338" s="413"/>
      <c r="JT338" s="413"/>
      <c r="JU338" s="412"/>
      <c r="JV338" s="412"/>
      <c r="JW338" s="412"/>
      <c r="JX338" s="412"/>
      <c r="JY338" s="409">
        <v>30</v>
      </c>
      <c r="JZ338" s="398">
        <f>IF(JY338=0,0,IF(LEN(JQ338)=11,_xlfn.XLOOKUP(JQ338,'Dispensed Ink Rates'!C:C,'Dispensed Ink Rates'!CS:CS),VLOOKUP(JQ338,'Jan-2026 rates'!$E:$F,2,0)))</f>
        <v>0</v>
      </c>
      <c r="KA338" s="409"/>
      <c r="KB338" s="398">
        <f>IF(KA338=0,0,IF(LEN(JR338)=11,_xlfn.XLOOKUP(JR338,'Dispensed Ink Rates'!C:C,'Dispensed Ink Rates'!CS:CS),VLOOKUP(JR338,'Jan-2026 rates'!$E:$F,2,0)))</f>
        <v>0</v>
      </c>
      <c r="KC338" s="409"/>
      <c r="KD338" s="398">
        <f>IF(KC338=0,0,IF(LEN(JS338)=11,_xlfn.XLOOKUP(JS338,'Dispensed Ink Rates'!C:C,'Dispensed Ink Rates'!CS:CS),VLOOKUP(JS338,'Jan-2026 rates'!$E:$F,2,0)))</f>
        <v>0</v>
      </c>
      <c r="KE338" s="409"/>
      <c r="KF338" s="398">
        <f>IF(KE338=0,0,IF(LEN(JT338)=11,_xlfn.XLOOKUP(JT338,'Dispensed Ink Rates'!C:C,'Dispensed Ink Rates'!CS:CS),VLOOKUP(JT338,'Jan-2026 rates'!$E:$F,2,0)))</f>
        <v>0</v>
      </c>
      <c r="KG338" s="409"/>
      <c r="KH338" s="398">
        <f>IF(KG338=0,0,IF(LEN(JU338)=11,_xlfn.XLOOKUP(JU338,'Dispensed Ink Rates'!C:C,'Dispensed Ink Rates'!CS:CS),VLOOKUP(JU338,'Jan-2026 rates'!$E:$F,2,0)))</f>
        <v>0</v>
      </c>
      <c r="KI338" s="409"/>
      <c r="KJ338" s="398">
        <f>IF(KI338=0,0,IF(LEN(JV338)=11,_xlfn.XLOOKUP(JV338,'Dispensed Ink Rates'!C:C,'Dispensed Ink Rates'!CS:CS),VLOOKUP(JV338,'Jan-2026 rates'!$E:$F,2,0)))</f>
        <v>0</v>
      </c>
      <c r="KK338" s="409"/>
      <c r="KL338" s="398">
        <f>IF(KK338=0,0,IF(LEN(JW338)=11,_xlfn.XLOOKUP(JW338,'Dispensed Ink Rates'!C:C,'Dispensed Ink Rates'!CS:CS),VLOOKUP(JW338,'Jan-2026 rates'!$E:$F,2,0)))</f>
        <v>0</v>
      </c>
      <c r="KM338" s="428"/>
      <c r="KN338" s="398">
        <f>IF(KM338=0,0,IF(LEN(JX338)=11,_xlfn.XLOOKUP(JX338,'Dispensed Ink Rates'!C:C,'Dispensed Ink Rates'!CS:CS),VLOOKUP(JX338,'Jan-2026 rates'!$E:$F,2,0)))</f>
        <v>0</v>
      </c>
      <c r="KO338" s="409" t="s">
        <v>1881</v>
      </c>
      <c r="KP338" s="409">
        <v>30</v>
      </c>
      <c r="KQ338" s="411">
        <f t="shared" si="233"/>
        <v>0</v>
      </c>
      <c r="KR338" s="411">
        <f t="shared" si="234"/>
        <v>52.159090909090907</v>
      </c>
      <c r="KS338" s="410">
        <f t="shared" si="235"/>
        <v>0</v>
      </c>
      <c r="KT338" s="409">
        <v>2</v>
      </c>
      <c r="KU338" s="409">
        <v>7</v>
      </c>
      <c r="KV338" s="409">
        <v>10</v>
      </c>
      <c r="KW338" s="409">
        <v>4</v>
      </c>
      <c r="KX338" s="409">
        <v>2</v>
      </c>
      <c r="KY338" s="409">
        <v>2</v>
      </c>
      <c r="KZ338" s="409">
        <v>2</v>
      </c>
      <c r="LA338" s="409">
        <v>15</v>
      </c>
      <c r="LB338" s="415">
        <v>0.3</v>
      </c>
      <c r="LC338" s="415"/>
      <c r="LD338" s="424"/>
      <c r="LE338" s="415">
        <v>0.5</v>
      </c>
      <c r="LF338" s="415">
        <v>0.2</v>
      </c>
      <c r="LG338" s="409">
        <v>0</v>
      </c>
      <c r="LH338" s="409">
        <f>15+10+12+20+8</f>
        <v>65</v>
      </c>
      <c r="LI338" s="409">
        <v>0</v>
      </c>
      <c r="LJ338" s="409">
        <v>0</v>
      </c>
      <c r="LK338" s="416">
        <f t="shared" si="191"/>
        <v>65</v>
      </c>
      <c r="LL338" s="416">
        <f t="shared" si="237"/>
        <v>65</v>
      </c>
      <c r="LM338" s="417">
        <f t="shared" si="193"/>
        <v>19.5</v>
      </c>
      <c r="LN338" s="417">
        <f>VLOOKUP($LM$8,'Jan-2026 rates'!$H:$I,2,0)</f>
        <v>0</v>
      </c>
      <c r="LO338" s="417">
        <f t="shared" si="194"/>
        <v>0</v>
      </c>
      <c r="LP338" s="417">
        <f>VLOOKUP($LO$8,'Jan-2026 rates'!$H:$I,2,0)</f>
        <v>0</v>
      </c>
      <c r="LQ338" s="417">
        <f t="shared" si="195"/>
        <v>0</v>
      </c>
      <c r="LR338" s="417">
        <f>VLOOKUP($LQ$8,'Jan-2026 rates'!$H:$I,2,0)</f>
        <v>0</v>
      </c>
      <c r="LS338" s="417">
        <f t="shared" si="196"/>
        <v>32.5</v>
      </c>
      <c r="LT338" s="417">
        <f>VLOOKUP($LS$8,'Jan-2026 rates'!$H:$I,2,0)</f>
        <v>0</v>
      </c>
      <c r="LU338" s="417">
        <f t="shared" si="197"/>
        <v>13</v>
      </c>
      <c r="LV338" s="417">
        <f>VLOOKUP($LU$8,'Jan-2026 rates'!$H:$I,2,0)</f>
        <v>0</v>
      </c>
      <c r="LW338" s="417">
        <f t="shared" si="198"/>
        <v>0</v>
      </c>
      <c r="LX338" s="417">
        <f t="shared" si="199"/>
        <v>0</v>
      </c>
      <c r="LY338" s="418">
        <f t="shared" si="200"/>
        <v>0</v>
      </c>
      <c r="LZ338" s="417"/>
      <c r="MA338" s="435">
        <f t="shared" si="201"/>
        <v>80.5</v>
      </c>
      <c r="MB338" s="282">
        <f t="shared" si="202"/>
        <v>94.5</v>
      </c>
      <c r="MC338" s="283" t="s">
        <v>2077</v>
      </c>
      <c r="MD338" s="284" t="str">
        <f t="shared" si="203"/>
        <v>ToyoLiToyoLiToyoLiToyoLiToyoLiToyoLiToyoLiToyoLi</v>
      </c>
      <c r="ME338" s="293" t="str">
        <f t="shared" si="204"/>
        <v>+</v>
      </c>
      <c r="MF338" s="293" t="str">
        <f t="shared" si="205"/>
        <v>+</v>
      </c>
      <c r="MG338" s="293" t="str">
        <f t="shared" si="206"/>
        <v>+</v>
      </c>
      <c r="MH338" s="293" t="str">
        <f t="shared" si="207"/>
        <v>+</v>
      </c>
      <c r="MI338" s="293" t="str">
        <f t="shared" si="208"/>
        <v>+</v>
      </c>
      <c r="MJ338" s="293" t="str">
        <f t="shared" si="209"/>
        <v>+</v>
      </c>
      <c r="MK338" s="293" t="str">
        <f t="shared" si="210"/>
        <v>+</v>
      </c>
      <c r="ML338" s="293" t="str">
        <f t="shared" si="211"/>
        <v>+</v>
      </c>
      <c r="MM338" s="3" t="b">
        <f t="array" ref="MM338">OR(ME338:ML338="-")</f>
        <v>0</v>
      </c>
      <c r="MO338" s="401">
        <f t="shared" si="238"/>
        <v>57.975460122699388</v>
      </c>
      <c r="MP338" s="286"/>
      <c r="MR338" s="402">
        <f t="shared" si="239"/>
        <v>1.18125E-2</v>
      </c>
      <c r="MS338" s="400">
        <f t="shared" si="240"/>
        <v>0</v>
      </c>
      <c r="MT338" s="285"/>
      <c r="NH338" s="361"/>
      <c r="NJ338" s="282"/>
    </row>
    <row r="339" spans="1:374" ht="16.5">
      <c r="A339" s="403">
        <v>46049</v>
      </c>
      <c r="B339" s="404" t="s">
        <v>1018</v>
      </c>
      <c r="C339" s="405" t="s">
        <v>4649</v>
      </c>
      <c r="D339" s="404" t="s">
        <v>2078</v>
      </c>
      <c r="E339" s="404">
        <v>372</v>
      </c>
      <c r="F339" s="407">
        <v>18900</v>
      </c>
      <c r="G339" s="407" t="s">
        <v>1016</v>
      </c>
      <c r="H339" s="408" t="s">
        <v>1017</v>
      </c>
      <c r="I339" s="409">
        <v>0.8</v>
      </c>
      <c r="J339" s="405" t="s">
        <v>547</v>
      </c>
      <c r="K339" s="404" t="s">
        <v>3400</v>
      </c>
      <c r="L339" s="419" t="str">
        <f t="shared" si="184"/>
        <v>ToyoLi - GREEN</v>
      </c>
      <c r="M339" s="404">
        <v>18</v>
      </c>
      <c r="N339" s="410">
        <f>IF(M339=0,0,IF($LB339=70%,VLOOKUP($L339,'Jan-2026 rates'!$L:$R,4,0),IF($LB339=65%,VLOOKUP($L339,'Jan-2026 rates'!$L:$R,4,0),IF($LB339=40%,VLOOKUP($L339,'Jan-2026 rates'!$L:$R,5,0),IF($LB339=30%,VLOOKUP($L339,'Jan-2026 rates'!$L:$R,6,0),IF($LB339=100%,VLOOKUP($L339,'Jan-2026 rates'!$L:$R,7,0),IF($LB339=60%,VLOOKUP($L339,'Jan-2026 rates'!$L:$S,8,0),IF($LB339=80%,VLOOKUP($L339,'Jan-2026 rates'!L:T,9,0),0))))))))</f>
        <v>0</v>
      </c>
      <c r="O339" s="406" t="s">
        <v>4406</v>
      </c>
      <c r="P339" s="404">
        <v>7</v>
      </c>
      <c r="Q339" s="410">
        <f>IF(P339=0,0,IF($LB339=70%,VLOOKUP($L339,'Jan-2026 rates'!$L:$R,4,0),IF($LB339=65%,VLOOKUP($L339,'Jan-2026 rates'!$L:$R,4,0),IF($LB339=40%,VLOOKUP($L339,'Jan-2026 rates'!$L:$R,5,0),IF($LB339=30%,VLOOKUP($L339,'Jan-2026 rates'!$L:$R,6,0),IF($LB339=100%,VLOOKUP($L339,'Jan-2026 rates'!$L:$R,7,0),IF($LB339=60%,VLOOKUP($L339,'Jan-2026 rates'!$L:$S,8,0),IF($LB339=80%,VLOOKUP($L339,'Jan-2026 rates'!L:T,9,0),0))))))))</f>
        <v>0</v>
      </c>
      <c r="R339" s="406" t="s">
        <v>1250</v>
      </c>
      <c r="S339" s="406" t="s">
        <v>1247</v>
      </c>
      <c r="T339" s="406" t="s">
        <v>1251</v>
      </c>
      <c r="U339" s="406"/>
      <c r="V339" s="406"/>
      <c r="W339" s="406"/>
      <c r="X339" s="406"/>
      <c r="Y339" s="406"/>
      <c r="Z339" s="404">
        <v>2</v>
      </c>
      <c r="AA339" s="398">
        <f>IF(Z339=0,0,IF(LEN(R339)=11,_xlfn.XLOOKUP(R339,'Dispensed Ink Rates'!C:C,'Dispensed Ink Rates'!CS:CS),VLOOKUP(R339,'Jan-2026 rates'!$E:$F,2,0)))</f>
        <v>0</v>
      </c>
      <c r="AB339" s="404">
        <v>2</v>
      </c>
      <c r="AC339" s="398">
        <f>IF(AB339=0,0,IF(LEN(S339)=11,_xlfn.XLOOKUP(S339,'Dispensed Ink Rates'!C:C,'Dispensed Ink Rates'!CS:CS),VLOOKUP(S339,'Jan-2026 rates'!$E:$F,2,0)))</f>
        <v>0</v>
      </c>
      <c r="AD339" s="404">
        <v>1</v>
      </c>
      <c r="AE339" s="398">
        <f>IF(AD339=0,0,IF(LEN(T339)=11,_xlfn.XLOOKUP(T339,'Dispensed Ink Rates'!C:C,'Dispensed Ink Rates'!CS:CS),VLOOKUP(T339,'Jan-2026 rates'!$E:$F,2,0)))</f>
        <v>0</v>
      </c>
      <c r="AF339" s="404"/>
      <c r="AG339" s="398">
        <f>IF(AF339=0,0,IF(LEN(U339)=11,_xlfn.XLOOKUP(U339,'Dispensed Ink Rates'!C:C,'Dispensed Ink Rates'!CS:CS),VLOOKUP(U339,'Jan-2026 rates'!$E:$F,2,0)))</f>
        <v>0</v>
      </c>
      <c r="AH339" s="404"/>
      <c r="AI339" s="398">
        <f>IF(AH339=0,0,IF(LEN(V339)=11,_xlfn.XLOOKUP(V339,'Dispensed Ink Rates'!C:C,'Dispensed Ink Rates'!CS:CS),VLOOKUP(V339,'Jan-2026 rates'!$E:$F,2,0)))</f>
        <v>0</v>
      </c>
      <c r="AJ339" s="404"/>
      <c r="AK339" s="398">
        <f>IF(AJ339=0,0,IF(LEN(W339)=11,_xlfn.XLOOKUP(W339,'Dispensed Ink Rates'!C:C,'Dispensed Ink Rates'!CS:CS),VLOOKUP(W339,'Jan-2026 rates'!$E:$F,2,0)))</f>
        <v>0</v>
      </c>
      <c r="AL339" s="404"/>
      <c r="AM339" s="398">
        <f>IF(AL339=0,0,IF(LEN(X339)=11,_xlfn.XLOOKUP(X339,'Dispensed Ink Rates'!C:C,'Dispensed Ink Rates'!CS:CS),VLOOKUP(X339,'Jan-2026 rates'!$E:$F,2,0)))</f>
        <v>0</v>
      </c>
      <c r="AN339" s="404"/>
      <c r="AO339" s="398">
        <f>IF(AN339=0,0,IF(LEN(Y339)=11,_xlfn.XLOOKUP(Y339,'Dispensed Ink Rates'!C:C,'Dispensed Ink Rates'!CS:CS),VLOOKUP(Y339,'Jan-2026 rates'!$E:$F,2,0)))</f>
        <v>0</v>
      </c>
      <c r="AP339" s="409" t="s">
        <v>1881</v>
      </c>
      <c r="AQ339" s="409">
        <f>20+7</f>
        <v>27</v>
      </c>
      <c r="AR339" s="410">
        <f t="shared" si="212"/>
        <v>0</v>
      </c>
      <c r="AS339" s="411">
        <f t="shared" si="213"/>
        <v>10.047619047619051</v>
      </c>
      <c r="AT339" s="410">
        <f t="shared" si="214"/>
        <v>0</v>
      </c>
      <c r="AU339" s="405" t="s">
        <v>547</v>
      </c>
      <c r="AV339" s="409" t="s">
        <v>4650</v>
      </c>
      <c r="AW339" s="420" t="str">
        <f t="shared" si="236"/>
        <v>ToyoLi - GREEN</v>
      </c>
      <c r="AX339" s="409">
        <v>25</v>
      </c>
      <c r="AY339" s="411">
        <f>IF(AX339=0,0,IF($LB339=70%,VLOOKUP($AW339,'Jan-2026 rates'!$L:$R,4,0),IF($LB339=65%,VLOOKUP($AW339,'Jan-2026 rates'!$L:$R,4,0),IF($LB339=40%,VLOOKUP($AW339,'Jan-2026 rates'!$L:$R,5,0),IF($LB339=30%,VLOOKUP($AW339,'Jan-2026 rates'!$L:$R,6,0),IF($LB339=100%,VLOOKUP($AW339,'Jan-2026 rates'!$L:$R,7,0),IF($LB339=60%,VLOOKUP($AW339,'Jan-2026 rates'!$L:$S,8,0),IF($LB339=80%,VLOOKUP($AW339,'Jan-2026 rates'!L:T,9,0),0))))))))</f>
        <v>0</v>
      </c>
      <c r="AZ339" s="412"/>
      <c r="BA339" s="409"/>
      <c r="BB339" s="411">
        <f>IF(BA339=0,0,IF($LB339=70%,VLOOKUP($AW339,'Jan-2026 rates'!$L:$R,4,0),IF($LB339=65%,VLOOKUP($AW339,'Jan-2026 rates'!$L:$R,4,0),IF($LB339=40%,VLOOKUP($AW339,'Jan-2026 rates'!$L:$R,5,0),IF($LB339=30%,VLOOKUP($AW339,'Jan-2026 rates'!$L:$R,6,0),IF($LB339=100%,VLOOKUP($AW339,'Jan-2026 rates'!$L:$R,7,0),IF($LB339=60%,VLOOKUP($AW339,'Jan-2026 rates'!$L:$S,8,0),IF($LB339=80%,VLOOKUP($AW339,'Jan-2026 rates'!L:T,9,0),0))))))))</f>
        <v>0</v>
      </c>
      <c r="BC339" s="413" t="s">
        <v>1247</v>
      </c>
      <c r="BD339" s="412" t="s">
        <v>1250</v>
      </c>
      <c r="BE339" s="412"/>
      <c r="BF339" s="413"/>
      <c r="BG339" s="412"/>
      <c r="BH339" s="412"/>
      <c r="BI339" s="412"/>
      <c r="BJ339" s="412"/>
      <c r="BK339" s="409">
        <v>4</v>
      </c>
      <c r="BL339" s="398">
        <f>IF(BK339=0,0,IF(LEN(BC339)=11,_xlfn.XLOOKUP(BC339,'Dispensed Ink Rates'!C:C,'Dispensed Ink Rates'!CS:CS),VLOOKUP(BC339,'Jan-2026 rates'!$E:$F,2,0)))</f>
        <v>0</v>
      </c>
      <c r="BM339" s="409">
        <v>1</v>
      </c>
      <c r="BN339" s="398">
        <f>IF(BM339=0,0,IF(LEN(BD339)=11,_xlfn.XLOOKUP(BD339,'Dispensed Ink Rates'!C:C,'Dispensed Ink Rates'!CS:CS),VLOOKUP(BD339,'Jan-2026 rates'!$E:$F,2,0)))</f>
        <v>0</v>
      </c>
      <c r="BO339" s="409"/>
      <c r="BP339" s="398">
        <f>IF(BO339=0,0,IF(LEN(BE339)=11,_xlfn.XLOOKUP(BE339,'Dispensed Ink Rates'!C:C,'Dispensed Ink Rates'!CS:CS),VLOOKUP(BE339,'Jan-2026 rates'!$E:$F,2,0)))</f>
        <v>0</v>
      </c>
      <c r="BQ339" s="409"/>
      <c r="BR339" s="398">
        <f>IF(BQ339=0,0,IF(LEN(BF339)=11,_xlfn.XLOOKUP(BF339,'Dispensed Ink Rates'!C:C,'Dispensed Ink Rates'!CS:CS),VLOOKUP(BF339,'Jan-2026 rates'!$E:$F,2,0)))</f>
        <v>0</v>
      </c>
      <c r="BS339" s="409"/>
      <c r="BT339" s="398">
        <f>IF(BS339=0,0,IF(LEN(BG339)=11,_xlfn.XLOOKUP(BG339,'Dispensed Ink Rates'!C:C,'Dispensed Ink Rates'!CS:CS),VLOOKUP(BG339,'Jan-2026 rates'!$E:$F,2,0)))</f>
        <v>0</v>
      </c>
      <c r="BU339" s="409"/>
      <c r="BV339" s="398">
        <f>IF(BU339=0,0,IF(LEN(BH339)=11,_xlfn.XLOOKUP(BH339,'Dispensed Ink Rates'!C:C,'Dispensed Ink Rates'!CS:CS),VLOOKUP(BH339,'Jan-2026 rates'!$E:$F,2,0)))</f>
        <v>0</v>
      </c>
      <c r="BW339" s="409"/>
      <c r="BX339" s="398">
        <f>IF(BW339=0,0,IF(LEN(BI339)=11,_xlfn.XLOOKUP(BI339,'Dispensed Ink Rates'!C:C,'Dispensed Ink Rates'!CS:CS),VLOOKUP(BI339,'Jan-2026 rates'!$E:$F,2,0)))</f>
        <v>0</v>
      </c>
      <c r="BY339" s="409"/>
      <c r="BZ339" s="398">
        <f>IF(BY339=0,0,IF(LEN(BJ339)=11,_xlfn.XLOOKUP(BJ339,'Dispensed Ink Rates'!C:C,'Dispensed Ink Rates'!CS:CS),VLOOKUP(BJ339,'Jan-2026 rates'!$E:$F,2,0)))</f>
        <v>0</v>
      </c>
      <c r="CA339" s="409" t="s">
        <v>1881</v>
      </c>
      <c r="CB339" s="409">
        <v>26</v>
      </c>
      <c r="CC339" s="411">
        <f t="shared" si="215"/>
        <v>0</v>
      </c>
      <c r="CD339" s="411">
        <f t="shared" si="216"/>
        <v>11.047619047619051</v>
      </c>
      <c r="CE339" s="410">
        <f t="shared" si="217"/>
        <v>0</v>
      </c>
      <c r="CF339" s="404" t="s">
        <v>857</v>
      </c>
      <c r="CG339" s="409" t="s">
        <v>4651</v>
      </c>
      <c r="CH339" s="420" t="str">
        <f t="shared" si="185"/>
        <v>ToyoLi - RED</v>
      </c>
      <c r="CI339" s="409">
        <f>22+18</f>
        <v>40</v>
      </c>
      <c r="CJ339" s="411">
        <f>IF(CI339=0,0,IF($LB339=70%,VLOOKUP($CH339,'Jan-2026 rates'!$L:$R,4,0),IF($LB339=65%,VLOOKUP($CH339,'Jan-2026 rates'!$L:$R,4,0),IF($LB339=40%,VLOOKUP($CH339,'Jan-2026 rates'!$L:$R,5,0),IF($LB339=30%,VLOOKUP($CH339,'Jan-2026 rates'!$L:$R,6,0),IF($LB339=100%,VLOOKUP($CH339,'Jan-2026 rates'!$L:$R,7,0),IF($LB339=60%,VLOOKUP($CH339,'Jan-2026 rates'!$L:$S,8,0),IF($LB339=80%,VLOOKUP($CH339,'Jan-2026 rates'!L:T,9,0),0))))))))</f>
        <v>0</v>
      </c>
      <c r="CK339" s="412"/>
      <c r="CL339" s="409"/>
      <c r="CM339" s="411">
        <f>IF(CL339=0,0,IF($LB339=70%,VLOOKUP($CH339,'Jan-2026 rates'!$L:$R,4,0),IF($LB339=65%,VLOOKUP($CH339,'Jan-2026 rates'!$L:$R,4,0),IF($LB339=40%,VLOOKUP($CH339,'Jan-2026 rates'!$L:$R,5,0),IF($LB339=30%,VLOOKUP($CH339,'Jan-2026 rates'!$L:$R,6,0),IF($LB339=100%,VLOOKUP($CH339,'Jan-2026 rates'!$L:$R,7,0),IF($LB339=60%,VLOOKUP($CH339,'Jan-2026 rates'!$L:$S,8,0),IF($LB339=80%,VLOOKUP($CH339,'Jan-2026 rates'!L:T,9,0),0))))))))</f>
        <v>0</v>
      </c>
      <c r="CN339" s="426" t="s">
        <v>1246</v>
      </c>
      <c r="CO339" s="427" t="s">
        <v>1248</v>
      </c>
      <c r="CP339" s="426"/>
      <c r="CQ339" s="426"/>
      <c r="CR339" s="428"/>
      <c r="CS339" s="428"/>
      <c r="CT339" s="428"/>
      <c r="CU339" s="428"/>
      <c r="CV339" s="409">
        <v>6</v>
      </c>
      <c r="CW339" s="398">
        <f>IF(CV339=0,0,IF(LEN(CN339)=11,_xlfn.XLOOKUP(CN339,'Dispensed Ink Rates'!C:C,'Dispensed Ink Rates'!CS:CS),VLOOKUP(CN339,'Jan-2026 rates'!$E:$F,2,0)))</f>
        <v>0</v>
      </c>
      <c r="CX339" s="409">
        <v>2</v>
      </c>
      <c r="CY339" s="398">
        <f>IF(CX339=0,0,IF(LEN(CO339)=11,_xlfn.XLOOKUP(CO339,'Dispensed Ink Rates'!C:C,'Dispensed Ink Rates'!CS:CS),VLOOKUP(CO339,'Jan-2026 rates'!$E:$F,2,0)))</f>
        <v>0</v>
      </c>
      <c r="CZ339" s="409"/>
      <c r="DA339" s="398">
        <f>IF(CZ339=0,0,IF(LEN(CP339)=11,_xlfn.XLOOKUP(CP339,'Dispensed Ink Rates'!C:C,'Dispensed Ink Rates'!CS:CS),VLOOKUP(CP339,'Jan-2026 rates'!$E:$F,2,0)))</f>
        <v>0</v>
      </c>
      <c r="DB339" s="409"/>
      <c r="DC339" s="398">
        <f>IF(DB339=0,0,IF(LEN(CQ339)=11,_xlfn.XLOOKUP(CQ339,'Dispensed Ink Rates'!C:C,'Dispensed Ink Rates'!CS:CS),VLOOKUP(CQ339,'Jan-2026 rates'!$E:$F,2,0)))</f>
        <v>0</v>
      </c>
      <c r="DD339" s="409"/>
      <c r="DE339" s="398">
        <f>IF(DD339=0,0,IF(LEN(CR339)=11,_xlfn.XLOOKUP(CR339,'Dispensed Ink Rates'!C:C,'Dispensed Ink Rates'!CS:CS),VLOOKUP(CR339,'Jan-2026 rates'!$E:$F,2,0)))</f>
        <v>0</v>
      </c>
      <c r="DF339" s="409"/>
      <c r="DG339" s="398">
        <f>IF(DF339=0,0,IF(LEN(CS339)=11,_xlfn.XLOOKUP(CS339,'Dispensed Ink Rates'!C:C,'Dispensed Ink Rates'!CS:CS),VLOOKUP(CS339,'Jan-2026 rates'!$E:$F,2,0)))</f>
        <v>0</v>
      </c>
      <c r="DH339" s="409"/>
      <c r="DI339" s="398">
        <f>IF(DH339=0,0,IF(LEN(CT339)=11,_xlfn.XLOOKUP(CT339,'Dispensed Ink Rates'!C:C,'Dispensed Ink Rates'!CS:CS),VLOOKUP(CT339,'Jan-2026 rates'!$E:$F,2,0)))</f>
        <v>0</v>
      </c>
      <c r="DJ339" s="409"/>
      <c r="DK339" s="398">
        <f>IF(DJ339=0,0,IF(LEN(CU339)=11,_xlfn.XLOOKUP(CU339,'Dispensed Ink Rates'!C:C,'Dispensed Ink Rates'!CS:CS),VLOOKUP(CU339,'Jan-2026 rates'!$E:$F,2,0)))</f>
        <v>0</v>
      </c>
      <c r="DL339" s="409" t="s">
        <v>1881</v>
      </c>
      <c r="DM339" s="409">
        <f>19+18</f>
        <v>37</v>
      </c>
      <c r="DN339" s="411">
        <f t="shared" si="218"/>
        <v>0</v>
      </c>
      <c r="DO339" s="411">
        <f t="shared" si="219"/>
        <v>18.047619047619051</v>
      </c>
      <c r="DP339" s="410">
        <f t="shared" si="220"/>
        <v>0</v>
      </c>
      <c r="DQ339" s="405" t="s">
        <v>856</v>
      </c>
      <c r="DR339" s="409" t="s">
        <v>4652</v>
      </c>
      <c r="DS339" s="420" t="str">
        <f t="shared" si="186"/>
        <v>ToyoLi - WHITE</v>
      </c>
      <c r="DT339" s="409">
        <v>30</v>
      </c>
      <c r="DU339" s="411">
        <f>IF(DT339=0,0,IF($LB339=70%,VLOOKUP($DS339,'Jan-2026 rates'!$L:$R,4,0),IF($LB339=65%,VLOOKUP($DS339,'Jan-2026 rates'!$L:$R,4,0),IF($LB339=40%,VLOOKUP($DS339,'Jan-2026 rates'!$L:$R,5,0),IF($LB339=30%,VLOOKUP($DS339,'Jan-2026 rates'!$L:$R,6,0),IF($LB339=100%,VLOOKUP($DS339,'Jan-2026 rates'!$L:$R,7,0),IF($LB339=60%,VLOOKUP($DS339,'Jan-2026 rates'!$L:$S,8,0),IF($LB339=80%,VLOOKUP($DS339,'Jan-2026 rates'!L:T,9,0),0))))))))</f>
        <v>0</v>
      </c>
      <c r="DV339" s="412"/>
      <c r="DW339" s="409"/>
      <c r="DX339" s="411">
        <f>IF(DW339=0,0,IF($LB339=70%,VLOOKUP($DS339,'Jan-2026 rates'!$L:$R,4,0),IF($LB339=65%,VLOOKUP($DS339,'Jan-2026 rates'!$L:$R,4,0),IF($LB339=40%,VLOOKUP($DS339,'Jan-2026 rates'!$L:$R,5,0),IF($LB339=30%,VLOOKUP($DS339,'Jan-2026 rates'!$L:$R,6,0),IF($LB339=100%,VLOOKUP($DS339,'Jan-2026 rates'!$L:$R,7,0),IF($LB339=60%,VLOOKUP($DS339,'Jan-2026 rates'!$L:$S,8,0),IF($LB339=80%,VLOOKUP($DS339,'Jan-2026 rates'!L:T,9,0),0))))))))</f>
        <v>0</v>
      </c>
      <c r="DY339" s="413" t="s">
        <v>1249</v>
      </c>
      <c r="DZ339" s="413" t="s">
        <v>1122</v>
      </c>
      <c r="EA339" s="412"/>
      <c r="EB339" s="412"/>
      <c r="EC339" s="412"/>
      <c r="ED339" s="412"/>
      <c r="EE339" s="412"/>
      <c r="EF339" s="412"/>
      <c r="EG339" s="409">
        <v>30</v>
      </c>
      <c r="EH339" s="398">
        <f>IF(EG339=0,0,IF(LEN(DY339)=11,_xlfn.XLOOKUP(DY339,'Dispensed Ink Rates'!C:C,'Dispensed Ink Rates'!CS:CS),VLOOKUP(DY339,'Jan-2026 rates'!$E:$F,2,0)))</f>
        <v>0</v>
      </c>
      <c r="EI339" s="409">
        <v>3.18</v>
      </c>
      <c r="EJ339" s="398">
        <f>IF(EI339=0,0,IF(LEN(DZ339)=11,_xlfn.XLOOKUP(DZ339,'Dispensed Ink Rates'!C:C,'Dispensed Ink Rates'!CS:CS),VLOOKUP(DZ339,'Jan-2026 rates'!$E:$F,2,0)))</f>
        <v>0</v>
      </c>
      <c r="EK339" s="409"/>
      <c r="EL339" s="398">
        <f>IF(EK339=0,0,IF(LEN(EA339)=11,_xlfn.XLOOKUP(EA339,'Dispensed Ink Rates'!C:C,'Dispensed Ink Rates'!CS:CS),VLOOKUP(EA339,'Jan-2026 rates'!$E:$F,2,0)))</f>
        <v>0</v>
      </c>
      <c r="EM339" s="409"/>
      <c r="EN339" s="398">
        <f>IF(EM339=0,0,IF(LEN(EB339)=11,_xlfn.XLOOKUP(EB339,'Dispensed Ink Rates'!C:C,'Dispensed Ink Rates'!CS:CS),VLOOKUP(EB339,'Jan-2026 rates'!$E:$F,2,0)))</f>
        <v>0</v>
      </c>
      <c r="EO339" s="409"/>
      <c r="EP339" s="398">
        <f>IF(EO339=0,0,IF(LEN(EC339)=11,_xlfn.XLOOKUP(EC339,'Dispensed Ink Rates'!C:C,'Dispensed Ink Rates'!CS:CS),VLOOKUP(EC339,'Jan-2026 rates'!$E:$F,2,0)))</f>
        <v>0</v>
      </c>
      <c r="EQ339" s="409"/>
      <c r="ER339" s="398">
        <f>IF(EQ339=0,0,IF(LEN(ED339)=11,_xlfn.XLOOKUP(ED339,'Dispensed Ink Rates'!C:C,'Dispensed Ink Rates'!CS:CS),VLOOKUP(ED339,'Jan-2026 rates'!$E:$F,2,0)))</f>
        <v>0</v>
      </c>
      <c r="ES339" s="409"/>
      <c r="ET339" s="398">
        <f>IF(ES339=0,0,IF(LEN(EE339)=11,_xlfn.XLOOKUP(EE339,'Dispensed Ink Rates'!C:C,'Dispensed Ink Rates'!CS:CS),VLOOKUP(EE339,'Jan-2026 rates'!$E:$F,2,0)))</f>
        <v>0</v>
      </c>
      <c r="EU339" s="409"/>
      <c r="EV339" s="398">
        <f>IF(EU339=0,0,IF(LEN(EF339)=11,_xlfn.XLOOKUP(EF339,'Dispensed Ink Rates'!C:C,'Dispensed Ink Rates'!CS:CS),VLOOKUP(EF339,'Jan-2026 rates'!$E:$F,2,0)))</f>
        <v>0</v>
      </c>
      <c r="EW339" s="409" t="s">
        <v>1881</v>
      </c>
      <c r="EX339" s="409">
        <v>30</v>
      </c>
      <c r="EY339" s="411">
        <f t="shared" si="221"/>
        <v>0</v>
      </c>
      <c r="EZ339" s="411">
        <f t="shared" si="222"/>
        <v>86.037142857142868</v>
      </c>
      <c r="FA339" s="410">
        <f t="shared" si="223"/>
        <v>0</v>
      </c>
      <c r="FB339" s="405"/>
      <c r="FC339" s="409"/>
      <c r="FD339" s="420" t="str">
        <f t="shared" si="187"/>
        <v xml:space="preserve"> - </v>
      </c>
      <c r="FE339" s="409"/>
      <c r="FF339" s="411">
        <f>IF(FE339=0,0,IF($LB339=70%,VLOOKUP($FD339,'Jan-2026 rates'!$L:$R,4,0),IF($LB339=65%,VLOOKUP($FD339,'Jan-2026 rates'!$L:$R,4,0),IF($LB339=40%,VLOOKUP($FD339,'Jan-2026 rates'!$L:$R,5,0),IF($LB339=30%,VLOOKUP($FD339,'Jan-2026 rates'!$L:$R,6,0),IF($LB339=100%,VLOOKUP($FD339,'Jan-2026 rates'!$L:$R,7,0),IF($LB339=60%,VLOOKUP($FD339,'Jan-2026 rates'!$L:$S,8,0),IF($LB339=80%,VLOOKUP($FD339,'Jan-2026 rates'!L:T,9,0),0))))))))</f>
        <v>0</v>
      </c>
      <c r="FG339" s="412"/>
      <c r="FH339" s="409"/>
      <c r="FI339" s="411">
        <f>IF(FH339=0,0,IF($LB339=70%,VLOOKUP($FD339,'Jan-2026 rates'!$L:$R,4,0),IF($LB339=65%,VLOOKUP($FD339,'Jan-2026 rates'!$L:$R,4,0),IF($LB339=40%,VLOOKUP($FD339,'Jan-2026 rates'!$L:$R,5,0),IF($LB339=30%,VLOOKUP($FD339,'Jan-2026 rates'!$L:$R,6,0),IF($LB339=100%,VLOOKUP($FD339,'Jan-2026 rates'!$L:$R,7,0),IF($LB339=60%,VLOOKUP($FD339,'Jan-2026 rates'!$L:$S,8,0),IF($LB339=80%,VLOOKUP($FD339,'Jan-2026 rates'!L:T,9,0),0))))))))</f>
        <v>0</v>
      </c>
      <c r="FJ339" s="413"/>
      <c r="FK339" s="413"/>
      <c r="FL339" s="413"/>
      <c r="FM339" s="412"/>
      <c r="FN339" s="412"/>
      <c r="FO339" s="412"/>
      <c r="FP339" s="412"/>
      <c r="FQ339" s="412"/>
      <c r="FR339" s="409"/>
      <c r="FS339" s="398">
        <f>IF(FR339=0,0,IF(LEN(FJ339)=11,_xlfn.XLOOKUP(FJ339,'Dispensed Ink Rates'!C:C,'Dispensed Ink Rates'!CS:CS),VLOOKUP(FJ339,'Jan-2026 rates'!$E:$F,2,0)))</f>
        <v>0</v>
      </c>
      <c r="FT339" s="409"/>
      <c r="FU339" s="398">
        <f>IF(FT339=0,0,IF(LEN(FK339)=11,_xlfn.XLOOKUP(FK339,'Dispensed Ink Rates'!C:C,'Dispensed Ink Rates'!CS:CS),VLOOKUP(FK339,'Jan-2026 rates'!$E:$F,2,0)))</f>
        <v>0</v>
      </c>
      <c r="FV339" s="409"/>
      <c r="FW339" s="398">
        <f>IF(FV339=0,0,IF(LEN(FL339)=11,_xlfn.XLOOKUP(FL339,'Dispensed Ink Rates'!C:C,'Dispensed Ink Rates'!CS:CS),VLOOKUP(FL339,'Jan-2026 rates'!$E:$F,2,0)))</f>
        <v>0</v>
      </c>
      <c r="FX339" s="409"/>
      <c r="FY339" s="398">
        <f>IF(FX339=0,0,IF(LEN(FM339)=11,_xlfn.XLOOKUP(FM339,'Dispensed Ink Rates'!C:C,'Dispensed Ink Rates'!CS:CS),VLOOKUP(FM339,'Jan-2026 rates'!$E:$F,2,0)))</f>
        <v>0</v>
      </c>
      <c r="FZ339" s="409"/>
      <c r="GA339" s="398">
        <f>IF(FZ339=0,0,IF(LEN(FN339)=11,_xlfn.XLOOKUP(FN339,'Dispensed Ink Rates'!C:C,'Dispensed Ink Rates'!CS:CS),VLOOKUP(FN339,'Jan-2026 rates'!$E:$F,2,0)))</f>
        <v>0</v>
      </c>
      <c r="GB339" s="409"/>
      <c r="GC339" s="398">
        <f>IF(GB339=0,0,IF(LEN(FO339)=11,_xlfn.XLOOKUP(FO339,'Dispensed Ink Rates'!C:C,'Dispensed Ink Rates'!CS:CS),VLOOKUP(FO339,'Jan-2026 rates'!$E:$F,2,0)))</f>
        <v>0</v>
      </c>
      <c r="GD339" s="409"/>
      <c r="GE339" s="398">
        <f>IF(GD339=0,0,IF(LEN(FP339)=11,_xlfn.XLOOKUP(FP339,'Dispensed Ink Rates'!C:C,'Dispensed Ink Rates'!CS:CS),VLOOKUP(FP339,'Jan-2026 rates'!$E:$F,2,0)))</f>
        <v>0</v>
      </c>
      <c r="GF339" s="409"/>
      <c r="GG339" s="398">
        <f>IF(GF339=0,0,IF(LEN(FQ339)=11,_xlfn.XLOOKUP(FQ339,'Dispensed Ink Rates'!C:C,'Dispensed Ink Rates'!CS:CS),VLOOKUP(FQ339,'Jan-2026 rates'!$E:$F,2,0)))</f>
        <v>0</v>
      </c>
      <c r="GH339" s="409"/>
      <c r="GI339" s="409"/>
      <c r="GJ339" s="411">
        <f t="shared" si="224"/>
        <v>0</v>
      </c>
      <c r="GK339" s="411">
        <f t="shared" si="225"/>
        <v>0</v>
      </c>
      <c r="GL339" s="410">
        <f t="shared" si="226"/>
        <v>0</v>
      </c>
      <c r="GM339" s="405"/>
      <c r="GN339" s="409"/>
      <c r="GO339" s="420" t="str">
        <f t="shared" si="188"/>
        <v xml:space="preserve"> - </v>
      </c>
      <c r="GP339" s="409"/>
      <c r="GQ339" s="411">
        <f>IF(GP339=0,0,IF($LB339=70%,VLOOKUP($GO339,'Jan-2026 rates'!$L:$R,4,0),IF($LB339=65%,VLOOKUP($GO339,'Jan-2026 rates'!$L:$R,4,0),IF($LB339=40%,VLOOKUP($GO339,'Jan-2026 rates'!$L:$R,5,0),IF($LB339=30%,VLOOKUP($GO339,'Jan-2026 rates'!$L:$R,6,0),IF($LB339=100%,VLOOKUP($GO339,'Jan-2026 rates'!$L:$R,7,0),IF($LB339=60%,VLOOKUP($GO339,'Jan-2026 rates'!$L:$S,8,0),IF($LB339=80%,VLOOKUP($GO339,'Jan-2026 rates'!L:T,9,0),0))))))))</f>
        <v>0</v>
      </c>
      <c r="GR339" s="412"/>
      <c r="GS339" s="409"/>
      <c r="GT339" s="411">
        <f>IF(GS339=0,0,IF($LB339=70%,VLOOKUP($GO339,'Jan-2026 rates'!$L:$R,4,0),IF($LB339=65%,VLOOKUP($GO339,'Jan-2026 rates'!$L:$R,4,0),IF($LB339=40%,VLOOKUP($GO339,'Jan-2026 rates'!$L:$R,5,0),IF($LB339=30%,VLOOKUP($GO339,'Jan-2026 rates'!$L:$R,6,0),IF($LB339=100%,VLOOKUP($GO339,'Jan-2026 rates'!$L:$R,7,0),IF($LB339=60%,VLOOKUP($GO339,'Jan-2026 rates'!$L:$S,8,0),IF($LB339=80%,VLOOKUP($GO339,'Jan-2026 rates'!L:T,9,0),0))))))))</f>
        <v>0</v>
      </c>
      <c r="GU339" s="413"/>
      <c r="GV339" s="413"/>
      <c r="GW339" s="412"/>
      <c r="GX339" s="412"/>
      <c r="GY339" s="412"/>
      <c r="GZ339" s="412"/>
      <c r="HA339" s="412"/>
      <c r="HB339" s="412"/>
      <c r="HC339" s="409"/>
      <c r="HD339" s="398">
        <f>IF(HC339=0,0,IF(LEN(GU339)=11,_xlfn.XLOOKUP(GU339,'Dispensed Ink Rates'!C:C,'Dispensed Ink Rates'!CS:CS),VLOOKUP(GU339,'Jan-2026 rates'!$E:$F,2,0)))</f>
        <v>0</v>
      </c>
      <c r="HE339" s="409"/>
      <c r="HF339" s="398">
        <f>IF(HE339=0,0,IF(LEN(GV339)=11,_xlfn.XLOOKUP(GV339,'Dispensed Ink Rates'!C:C,'Dispensed Ink Rates'!CS:CS),VLOOKUP(GV339,'Jan-2026 rates'!$E:$F,2,0)))</f>
        <v>0</v>
      </c>
      <c r="HG339" s="409"/>
      <c r="HH339" s="398">
        <f>IF(HG339=0,0,IF(LEN(GW339)=11,_xlfn.XLOOKUP(GW339,'Dispensed Ink Rates'!C:C,'Dispensed Ink Rates'!CS:CS),VLOOKUP(GW339,'Jan-2026 rates'!$E:$F,2,0)))</f>
        <v>0</v>
      </c>
      <c r="HI339" s="409"/>
      <c r="HJ339" s="398">
        <f>IF(HI339=0,0,IF(LEN(GX339)=11,_xlfn.XLOOKUP(GX339,'Dispensed Ink Rates'!C:C,'Dispensed Ink Rates'!CS:CS),VLOOKUP(GX339,'Jan-2026 rates'!$E:$F,2,0)))</f>
        <v>0</v>
      </c>
      <c r="HK339" s="409"/>
      <c r="HL339" s="398">
        <f>IF(HK339=0,0,IF(LEN(GY339)=11,_xlfn.XLOOKUP(GY339,'Dispensed Ink Rates'!C:C,'Dispensed Ink Rates'!CS:CS),VLOOKUP(GY339,'Jan-2026 rates'!$E:$F,2,0)))</f>
        <v>0</v>
      </c>
      <c r="HM339" s="409"/>
      <c r="HN339" s="398">
        <f>IF(HM339=0,0,IF(LEN(GZ339)=11,_xlfn.XLOOKUP(GZ339,'Dispensed Ink Rates'!C:C,'Dispensed Ink Rates'!CS:CS),VLOOKUP(GZ339,'Jan-2026 rates'!$E:$F,2,0)))</f>
        <v>0</v>
      </c>
      <c r="HO339" s="409"/>
      <c r="HP339" s="398">
        <f>IF(HO339=0,0,IF(LEN(HA339)=11,_xlfn.XLOOKUP(HA339,'Dispensed Ink Rates'!C:C,'Dispensed Ink Rates'!CS:CS),VLOOKUP(HA339,'Jan-2026 rates'!$E:$F,2,0)))</f>
        <v>0</v>
      </c>
      <c r="HQ339" s="409"/>
      <c r="HR339" s="398">
        <f>IF(HQ339=0,0,IF(LEN(HB339)=11,_xlfn.XLOOKUP(HB339,'Dispensed Ink Rates'!C:C,'Dispensed Ink Rates'!CS:CS),VLOOKUP(HB339,'Jan-2026 rates'!$E:$F,2,0)))</f>
        <v>0</v>
      </c>
      <c r="HS339" s="409"/>
      <c r="HT339" s="409"/>
      <c r="HU339" s="411">
        <f t="shared" si="227"/>
        <v>0</v>
      </c>
      <c r="HV339" s="411">
        <f t="shared" si="228"/>
        <v>0</v>
      </c>
      <c r="HW339" s="414">
        <f t="shared" si="229"/>
        <v>0</v>
      </c>
      <c r="HX339" s="405"/>
      <c r="HY339" s="409"/>
      <c r="HZ339" s="420" t="str">
        <f t="shared" si="189"/>
        <v xml:space="preserve"> - </v>
      </c>
      <c r="IA339" s="409"/>
      <c r="IB339" s="411">
        <f>IF(IA339=0,0,IF($LB339=70%,VLOOKUP($HZ339,'Jan-2026 rates'!$L:$R,4,0),IF($LB339=65%,VLOOKUP($HZ339,'Jan-2026 rates'!$L:$R,4,0),IF($LB339=40%,VLOOKUP($HZ339,'Jan-2026 rates'!$L:$R,5,0),IF($LB339=30%,VLOOKUP($HZ339,'Jan-2026 rates'!$L:$R,6,0),IF($LB339=100%,VLOOKUP($HZ339,'Jan-2026 rates'!$L:$R,7,0),IF($LB339=60%,VLOOKUP($HZ339,'Jan-2026 rates'!$L:$S,8,0),IF($LB339=80%,VLOOKUP($HZ339,'Jan-2026 rates'!L:T,9,0),0))))))))</f>
        <v>0</v>
      </c>
      <c r="IC339" s="412"/>
      <c r="ID339" s="409"/>
      <c r="IE339" s="411">
        <f>IF(ID339=0,0,IF($LB339=70%,VLOOKUP($HZ339,'Jan-2026 rates'!$L:$R,4,0),IF($LB339=65%,VLOOKUP($HZ339,'Jan-2026 rates'!$L:$R,4,0),IF($LB339=40%,VLOOKUP($HZ339,'Jan-2026 rates'!$L:$R,5,0),IF($LB339=30%,VLOOKUP($HZ339,'Jan-2026 rates'!$L:$R,6,0),IF($LB339=100%,VLOOKUP($HZ339,'Jan-2026 rates'!$L:$R,7,0),IF($LB339=60%,VLOOKUP($HZ339,'Jan-2026 rates'!$L:$S,8,0),IF($LB339=80%,VLOOKUP($HZ339,'Jan-2026 rates'!L:T,9,0),0))))))))</f>
        <v>0</v>
      </c>
      <c r="IF339" s="412"/>
      <c r="IG339" s="413"/>
      <c r="IH339" s="412"/>
      <c r="II339" s="412"/>
      <c r="IJ339" s="412"/>
      <c r="IK339" s="412"/>
      <c r="IL339" s="412"/>
      <c r="IM339" s="412"/>
      <c r="IN339" s="409"/>
      <c r="IO339" s="398">
        <f>IF(IN339=0,0,IF(LEN(IF339)=11,_xlfn.XLOOKUP(IF339,'Dispensed Ink Rates'!C:C,'Dispensed Ink Rates'!CS:CS),VLOOKUP(IF339,'Jan-2026 rates'!$E:$F,2,0)))</f>
        <v>0</v>
      </c>
      <c r="IP339" s="409"/>
      <c r="IQ339" s="398">
        <f>IF(IP339=0,0,IF(LEN(IG339)=11,_xlfn.XLOOKUP(IG339,'Dispensed Ink Rates'!C:C,'Dispensed Ink Rates'!CS:CS),VLOOKUP(IG339,'Jan-2026 rates'!$E:$F,2,0)))</f>
        <v>0</v>
      </c>
      <c r="IR339" s="409"/>
      <c r="IS339" s="398">
        <f>IF(IR339=0,0,IF(LEN(IH339)=11,_xlfn.XLOOKUP(IH339,'Dispensed Ink Rates'!C:C,'Dispensed Ink Rates'!CS:CS),VLOOKUP(IH339,'Jan-2026 rates'!$E:$F,2,0)))</f>
        <v>0</v>
      </c>
      <c r="IT339" s="409"/>
      <c r="IU339" s="398">
        <f>IF(IT339=0,0,IF(LEN(II339)=11,_xlfn.XLOOKUP(II339,'Dispensed Ink Rates'!C:C,'Dispensed Ink Rates'!CS:CS),VLOOKUP(II339,'Jan-2026 rates'!$E:$F,2,0)))</f>
        <v>0</v>
      </c>
      <c r="IV339" s="409"/>
      <c r="IW339" s="398">
        <f>IF(IV339=0,0,IF(LEN(IJ339)=11,_xlfn.XLOOKUP(IJ339,'Dispensed Ink Rates'!C:C,'Dispensed Ink Rates'!CS:CS),VLOOKUP(IJ339,'Jan-2026 rates'!$E:$F,2,0)))</f>
        <v>0</v>
      </c>
      <c r="IX339" s="409"/>
      <c r="IY339" s="398">
        <f>IF(IX339=0,0,IF(LEN(IK339)=11,_xlfn.XLOOKUP(IK339,'Dispensed Ink Rates'!C:C,'Dispensed Ink Rates'!CS:CS),VLOOKUP(IK339,'Jan-2026 rates'!$E:$F,2,0)))</f>
        <v>0</v>
      </c>
      <c r="IZ339" s="409"/>
      <c r="JA339" s="398">
        <f>IF(IZ339=0,0,IF(LEN(IL339)=11,_xlfn.XLOOKUP(IL339,'Dispensed Ink Rates'!C:C,'Dispensed Ink Rates'!CS:CS),VLOOKUP(IL339,'Jan-2026 rates'!$E:$F,2,0)))</f>
        <v>0</v>
      </c>
      <c r="JB339" s="409"/>
      <c r="JC339" s="398">
        <f>IF(JB339=0,0,IF(LEN(IM339)=11,_xlfn.XLOOKUP(IM339,'Dispensed Ink Rates'!C:C,'Dispensed Ink Rates'!CS:CS),VLOOKUP(IM339,'Jan-2026 rates'!$E:$F,2,0)))</f>
        <v>0</v>
      </c>
      <c r="JD339" s="409"/>
      <c r="JE339" s="409"/>
      <c r="JF339" s="411">
        <f t="shared" si="230"/>
        <v>0</v>
      </c>
      <c r="JG339" s="411">
        <f t="shared" si="231"/>
        <v>0</v>
      </c>
      <c r="JH339" s="410">
        <f t="shared" si="232"/>
        <v>0</v>
      </c>
      <c r="JI339" s="405"/>
      <c r="JJ339" s="409"/>
      <c r="JK339" s="420" t="str">
        <f t="shared" si="190"/>
        <v xml:space="preserve"> - </v>
      </c>
      <c r="JL339" s="409"/>
      <c r="JM339" s="411">
        <f>IF(JL339=0,0,IF($LB339=70%,VLOOKUP($JK339,'Jan-2026 rates'!$L:$R,4,0),IF($LB339=65%,VLOOKUP($JK339,'Jan-2026 rates'!$L:$R,4,0),IF($LB339=40%,VLOOKUP($JK339,'Jan-2026 rates'!$L:$R,5,0),IF($LB339=30%,VLOOKUP($JK339,'Jan-2026 rates'!$L:$R,6,0),IF($LB339=100%,VLOOKUP($JK339,'Jan-2026 rates'!$L:$R,7,0),IF($LB339=60%,VLOOKUP($JK339,'Jan-2026 rates'!$L:$S,8,0),IF($LB339=80%,VLOOKUP($JK339,'Jan-2026 rates'!L:T,9,0),0))))))))</f>
        <v>0</v>
      </c>
      <c r="JN339" s="412"/>
      <c r="JO339" s="409"/>
      <c r="JP339" s="411">
        <f>IF(JO339=0,0,IF($LB339=70%,VLOOKUP($JK339,'Jan-2026 rates'!$L:$R,4,0),IF($LB339=65%,VLOOKUP($JK339,'Jan-2026 rates'!$L:$R,4,0),IF($LB339=40%,VLOOKUP($JK339,'Jan-2026 rates'!$L:$R,5,0),IF($LB339=30%,VLOOKUP($JK339,'Jan-2026 rates'!$L:$R,6,0),IF($LB339=100%,VLOOKUP($JK339,'Jan-2026 rates'!$L:$R,7,0),IF($LB339=60%,VLOOKUP($JK339,'Jan-2026 rates'!$L:$S,8,0),IF($LB339=80%,VLOOKUP($JK339,'Jan-2026 rates'!L:T,9,0),0))))))))</f>
        <v>0</v>
      </c>
      <c r="JQ339" s="413"/>
      <c r="JR339" s="412"/>
      <c r="JS339" s="413"/>
      <c r="JT339" s="413"/>
      <c r="JU339" s="412"/>
      <c r="JV339" s="412"/>
      <c r="JW339" s="412"/>
      <c r="JX339" s="412"/>
      <c r="JY339" s="409"/>
      <c r="JZ339" s="398">
        <f>IF(JY339=0,0,IF(LEN(JQ339)=11,_xlfn.XLOOKUP(JQ339,'Dispensed Ink Rates'!C:C,'Dispensed Ink Rates'!CS:CS),VLOOKUP(JQ339,'Jan-2026 rates'!$E:$F,2,0)))</f>
        <v>0</v>
      </c>
      <c r="KA339" s="409"/>
      <c r="KB339" s="398">
        <f>IF(KA339=0,0,IF(LEN(JR339)=11,_xlfn.XLOOKUP(JR339,'Dispensed Ink Rates'!C:C,'Dispensed Ink Rates'!CS:CS),VLOOKUP(JR339,'Jan-2026 rates'!$E:$F,2,0)))</f>
        <v>0</v>
      </c>
      <c r="KC339" s="409"/>
      <c r="KD339" s="398">
        <f>IF(KC339=0,0,IF(LEN(JS339)=11,_xlfn.XLOOKUP(JS339,'Dispensed Ink Rates'!C:C,'Dispensed Ink Rates'!CS:CS),VLOOKUP(JS339,'Jan-2026 rates'!$E:$F,2,0)))</f>
        <v>0</v>
      </c>
      <c r="KE339" s="409"/>
      <c r="KF339" s="398">
        <f>IF(KE339=0,0,IF(LEN(JT339)=11,_xlfn.XLOOKUP(JT339,'Dispensed Ink Rates'!C:C,'Dispensed Ink Rates'!CS:CS),VLOOKUP(JT339,'Jan-2026 rates'!$E:$F,2,0)))</f>
        <v>0</v>
      </c>
      <c r="KG339" s="409"/>
      <c r="KH339" s="398">
        <f>IF(KG339=0,0,IF(LEN(JU339)=11,_xlfn.XLOOKUP(JU339,'Dispensed Ink Rates'!C:C,'Dispensed Ink Rates'!CS:CS),VLOOKUP(JU339,'Jan-2026 rates'!$E:$F,2,0)))</f>
        <v>0</v>
      </c>
      <c r="KI339" s="409"/>
      <c r="KJ339" s="398">
        <f>IF(KI339=0,0,IF(LEN(JV339)=11,_xlfn.XLOOKUP(JV339,'Dispensed Ink Rates'!C:C,'Dispensed Ink Rates'!CS:CS),VLOOKUP(JV339,'Jan-2026 rates'!$E:$F,2,0)))</f>
        <v>0</v>
      </c>
      <c r="KK339" s="409"/>
      <c r="KL339" s="398">
        <f>IF(KK339=0,0,IF(LEN(JW339)=11,_xlfn.XLOOKUP(JW339,'Dispensed Ink Rates'!C:C,'Dispensed Ink Rates'!CS:CS),VLOOKUP(JW339,'Jan-2026 rates'!$E:$F,2,0)))</f>
        <v>0</v>
      </c>
      <c r="KM339" s="428"/>
      <c r="KN339" s="398">
        <f>IF(KM339=0,0,IF(LEN(JX339)=11,_xlfn.XLOOKUP(JX339,'Dispensed Ink Rates'!C:C,'Dispensed Ink Rates'!CS:CS),VLOOKUP(JX339,'Jan-2026 rates'!$E:$F,2,0)))</f>
        <v>0</v>
      </c>
      <c r="KO339" s="409"/>
      <c r="KP339" s="409"/>
      <c r="KQ339" s="411">
        <f t="shared" si="233"/>
        <v>0</v>
      </c>
      <c r="KR339" s="411">
        <f t="shared" si="234"/>
        <v>0</v>
      </c>
      <c r="KS339" s="410">
        <f t="shared" si="235"/>
        <v>0</v>
      </c>
      <c r="KT339" s="409">
        <v>2</v>
      </c>
      <c r="KU339" s="409">
        <v>2</v>
      </c>
      <c r="KV339" s="409">
        <v>2</v>
      </c>
      <c r="KW339" s="409">
        <v>15</v>
      </c>
      <c r="KX339" s="409">
        <v>0</v>
      </c>
      <c r="KY339" s="409">
        <v>0</v>
      </c>
      <c r="KZ339" s="409">
        <v>0</v>
      </c>
      <c r="LA339" s="409">
        <v>0</v>
      </c>
      <c r="LB339" s="415">
        <v>0.3</v>
      </c>
      <c r="LC339" s="415"/>
      <c r="LD339" s="424"/>
      <c r="LE339" s="415">
        <v>0.5</v>
      </c>
      <c r="LF339" s="415">
        <v>0.2</v>
      </c>
      <c r="LG339" s="409">
        <v>0</v>
      </c>
      <c r="LH339" s="409">
        <f>15+19+12+20+8</f>
        <v>74</v>
      </c>
      <c r="LI339" s="409">
        <v>0</v>
      </c>
      <c r="LJ339" s="409">
        <v>0</v>
      </c>
      <c r="LK339" s="416">
        <f t="shared" si="191"/>
        <v>74</v>
      </c>
      <c r="LL339" s="416">
        <f t="shared" si="237"/>
        <v>74</v>
      </c>
      <c r="LM339" s="417">
        <f t="shared" si="193"/>
        <v>22.2</v>
      </c>
      <c r="LN339" s="417">
        <f>VLOOKUP($LM$8,'Jan-2026 rates'!$H:$I,2,0)</f>
        <v>0</v>
      </c>
      <c r="LO339" s="417">
        <f t="shared" si="194"/>
        <v>0</v>
      </c>
      <c r="LP339" s="417">
        <f>VLOOKUP($LO$8,'Jan-2026 rates'!$H:$I,2,0)</f>
        <v>0</v>
      </c>
      <c r="LQ339" s="417">
        <f t="shared" si="195"/>
        <v>0</v>
      </c>
      <c r="LR339" s="417">
        <f>VLOOKUP($LQ$8,'Jan-2026 rates'!$H:$I,2,0)</f>
        <v>0</v>
      </c>
      <c r="LS339" s="417">
        <f t="shared" si="196"/>
        <v>37</v>
      </c>
      <c r="LT339" s="417">
        <f>VLOOKUP($LS$8,'Jan-2026 rates'!$H:$I,2,0)</f>
        <v>0</v>
      </c>
      <c r="LU339" s="417">
        <f t="shared" si="197"/>
        <v>14.8</v>
      </c>
      <c r="LV339" s="417">
        <f>VLOOKUP($LU$8,'Jan-2026 rates'!$H:$I,2,0)</f>
        <v>0</v>
      </c>
      <c r="LW339" s="417">
        <f t="shared" si="198"/>
        <v>0</v>
      </c>
      <c r="LX339" s="417">
        <f t="shared" si="199"/>
        <v>0</v>
      </c>
      <c r="LY339" s="418">
        <f t="shared" si="200"/>
        <v>0</v>
      </c>
      <c r="LZ339" s="417"/>
      <c r="MA339" s="435">
        <f t="shared" si="201"/>
        <v>51.18</v>
      </c>
      <c r="MB339" s="282">
        <f t="shared" si="202"/>
        <v>125.18000000000002</v>
      </c>
      <c r="MC339" s="283" t="s">
        <v>2078</v>
      </c>
      <c r="MD339" s="284" t="str">
        <f t="shared" si="203"/>
        <v>ToyoLiToyoLiToyoLiToyoLi</v>
      </c>
      <c r="ME339" s="293" t="str">
        <f t="shared" si="204"/>
        <v>+</v>
      </c>
      <c r="MF339" s="293" t="str">
        <f t="shared" si="205"/>
        <v>+</v>
      </c>
      <c r="MG339" s="293" t="str">
        <f t="shared" si="206"/>
        <v>+</v>
      </c>
      <c r="MH339" s="293" t="str">
        <f t="shared" si="207"/>
        <v>+</v>
      </c>
      <c r="MI339" s="293" t="str">
        <f t="shared" si="208"/>
        <v>NIL</v>
      </c>
      <c r="MJ339" s="293" t="str">
        <f t="shared" si="209"/>
        <v>NIL</v>
      </c>
      <c r="MK339" s="293" t="str">
        <f t="shared" si="210"/>
        <v>NIL</v>
      </c>
      <c r="ML339" s="293" t="str">
        <f t="shared" si="211"/>
        <v>NIL</v>
      </c>
      <c r="MM339" s="3" t="b">
        <f t="array" ref="MM339">OR(ME339:ML339="-")</f>
        <v>0</v>
      </c>
      <c r="MO339" s="401">
        <f t="shared" si="238"/>
        <v>33.650537634408607</v>
      </c>
      <c r="MP339" s="286"/>
      <c r="MR339" s="402">
        <f t="shared" si="239"/>
        <v>6.6232804232804242E-3</v>
      </c>
      <c r="MS339" s="400">
        <f t="shared" si="240"/>
        <v>0</v>
      </c>
      <c r="MT339" s="285"/>
      <c r="NH339" s="361"/>
      <c r="NJ339" s="282"/>
    </row>
    <row r="340" spans="1:374" ht="16.5">
      <c r="A340" s="403">
        <v>46049</v>
      </c>
      <c r="B340" s="404" t="s">
        <v>1018</v>
      </c>
      <c r="C340" s="405" t="s">
        <v>4653</v>
      </c>
      <c r="D340" s="404" t="s">
        <v>2079</v>
      </c>
      <c r="E340" s="404">
        <v>482</v>
      </c>
      <c r="F340" s="407">
        <v>27500</v>
      </c>
      <c r="G340" s="407" t="s">
        <v>1016</v>
      </c>
      <c r="H340" s="408" t="s">
        <v>1017</v>
      </c>
      <c r="I340" s="409">
        <v>1.1499999999999999</v>
      </c>
      <c r="J340" s="405" t="s">
        <v>548</v>
      </c>
      <c r="K340" s="404" t="s">
        <v>4654</v>
      </c>
      <c r="L340" s="419" t="str">
        <f t="shared" si="184"/>
        <v>ToyoLi - GOLD</v>
      </c>
      <c r="M340" s="404">
        <v>16</v>
      </c>
      <c r="N340" s="410">
        <f>IF(M340=0,0,IF($LB340=70%,VLOOKUP($L340,'Jan-2026 rates'!$L:$R,4,0),IF($LB340=65%,VLOOKUP($L340,'Jan-2026 rates'!$L:$R,4,0),IF($LB340=40%,VLOOKUP($L340,'Jan-2026 rates'!$L:$R,5,0),IF($LB340=30%,VLOOKUP($L340,'Jan-2026 rates'!$L:$R,6,0),IF($LB340=100%,VLOOKUP($L340,'Jan-2026 rates'!$L:$R,7,0),IF($LB340=60%,VLOOKUP($L340,'Jan-2026 rates'!$L:$S,8,0),IF($LB340=80%,VLOOKUP($L340,'Jan-2026 rates'!L:T,9,0),0))))))))</f>
        <v>0</v>
      </c>
      <c r="O340" s="406" t="s">
        <v>4655</v>
      </c>
      <c r="P340" s="404">
        <v>10</v>
      </c>
      <c r="Q340" s="410">
        <f>IF(P340=0,0,IF($LB340=70%,VLOOKUP($L340,'Jan-2026 rates'!$L:$R,4,0),IF($LB340=65%,VLOOKUP($L340,'Jan-2026 rates'!$L:$R,4,0),IF($LB340=40%,VLOOKUP($L340,'Jan-2026 rates'!$L:$R,5,0),IF($LB340=30%,VLOOKUP($L340,'Jan-2026 rates'!$L:$R,6,0),IF($LB340=100%,VLOOKUP($L340,'Jan-2026 rates'!$L:$R,7,0),IF($LB340=60%,VLOOKUP($L340,'Jan-2026 rates'!$L:$S,8,0),IF($LB340=80%,VLOOKUP($L340,'Jan-2026 rates'!L:T,9,0),0))))))))</f>
        <v>0</v>
      </c>
      <c r="R340" s="406" t="s">
        <v>1891</v>
      </c>
      <c r="S340" s="406"/>
      <c r="T340" s="406"/>
      <c r="U340" s="406"/>
      <c r="V340" s="406"/>
      <c r="W340" s="406"/>
      <c r="X340" s="406"/>
      <c r="Y340" s="406"/>
      <c r="Z340" s="404">
        <v>6</v>
      </c>
      <c r="AA340" s="398">
        <f>IF(Z340=0,0,IF(LEN(R340)=11,_xlfn.XLOOKUP(R340,'Dispensed Ink Rates'!C:C,'Dispensed Ink Rates'!CS:CS),VLOOKUP(R340,'Jan-2026 rates'!$E:$F,2,0)))</f>
        <v>0</v>
      </c>
      <c r="AB340" s="404"/>
      <c r="AC340" s="398">
        <f>IF(AB340=0,0,IF(LEN(S340)=11,_xlfn.XLOOKUP(S340,'Dispensed Ink Rates'!C:C,'Dispensed Ink Rates'!CS:CS),VLOOKUP(S340,'Jan-2026 rates'!$E:$F,2,0)))</f>
        <v>0</v>
      </c>
      <c r="AD340" s="404"/>
      <c r="AE340" s="398">
        <f>IF(AD340=0,0,IF(LEN(T340)=11,_xlfn.XLOOKUP(T340,'Dispensed Ink Rates'!C:C,'Dispensed Ink Rates'!CS:CS),VLOOKUP(T340,'Jan-2026 rates'!$E:$F,2,0)))</f>
        <v>0</v>
      </c>
      <c r="AF340" s="404"/>
      <c r="AG340" s="398">
        <f>IF(AF340=0,0,IF(LEN(U340)=11,_xlfn.XLOOKUP(U340,'Dispensed Ink Rates'!C:C,'Dispensed Ink Rates'!CS:CS),VLOOKUP(U340,'Jan-2026 rates'!$E:$F,2,0)))</f>
        <v>0</v>
      </c>
      <c r="AH340" s="404"/>
      <c r="AI340" s="398">
        <f>IF(AH340=0,0,IF(LEN(V340)=11,_xlfn.XLOOKUP(V340,'Dispensed Ink Rates'!C:C,'Dispensed Ink Rates'!CS:CS),VLOOKUP(V340,'Jan-2026 rates'!$E:$F,2,0)))</f>
        <v>0</v>
      </c>
      <c r="AJ340" s="404"/>
      <c r="AK340" s="398">
        <f>IF(AJ340=0,0,IF(LEN(W340)=11,_xlfn.XLOOKUP(W340,'Dispensed Ink Rates'!C:C,'Dispensed Ink Rates'!CS:CS),VLOOKUP(W340,'Jan-2026 rates'!$E:$F,2,0)))</f>
        <v>0</v>
      </c>
      <c r="AL340" s="404"/>
      <c r="AM340" s="398">
        <f>IF(AL340=0,0,IF(LEN(X340)=11,_xlfn.XLOOKUP(X340,'Dispensed Ink Rates'!C:C,'Dispensed Ink Rates'!CS:CS),VLOOKUP(X340,'Jan-2026 rates'!$E:$F,2,0)))</f>
        <v>0</v>
      </c>
      <c r="AN340" s="404"/>
      <c r="AO340" s="398">
        <f>IF(AN340=0,0,IF(LEN(Y340)=11,_xlfn.XLOOKUP(Y340,'Dispensed Ink Rates'!C:C,'Dispensed Ink Rates'!CS:CS),VLOOKUP(Y340,'Jan-2026 rates'!$E:$F,2,0)))</f>
        <v>0</v>
      </c>
      <c r="AP340" s="409" t="s">
        <v>1881</v>
      </c>
      <c r="AQ340" s="409">
        <f>8+17</f>
        <v>25</v>
      </c>
      <c r="AR340" s="410">
        <f t="shared" si="212"/>
        <v>0</v>
      </c>
      <c r="AS340" s="411">
        <f t="shared" si="213"/>
        <v>21.519999999999996</v>
      </c>
      <c r="AT340" s="410">
        <f t="shared" si="214"/>
        <v>0</v>
      </c>
      <c r="AU340" s="405" t="s">
        <v>546</v>
      </c>
      <c r="AV340" s="409" t="s">
        <v>4609</v>
      </c>
      <c r="AW340" s="420" t="str">
        <f t="shared" si="236"/>
        <v>ToyoLi - REFLEX BLUE</v>
      </c>
      <c r="AX340" s="409">
        <v>15</v>
      </c>
      <c r="AY340" s="411">
        <f>IF(AX340=0,0,IF($LB340=70%,VLOOKUP($AW340,'Jan-2026 rates'!$L:$R,4,0),IF($LB340=65%,VLOOKUP($AW340,'Jan-2026 rates'!$L:$R,4,0),IF($LB340=40%,VLOOKUP($AW340,'Jan-2026 rates'!$L:$R,5,0),IF($LB340=30%,VLOOKUP($AW340,'Jan-2026 rates'!$L:$R,6,0),IF($LB340=100%,VLOOKUP($AW340,'Jan-2026 rates'!$L:$R,7,0),IF($LB340=60%,VLOOKUP($AW340,'Jan-2026 rates'!$L:$S,8,0),IF($LB340=80%,VLOOKUP($AW340,'Jan-2026 rates'!L:T,9,0),0))))))))</f>
        <v>0</v>
      </c>
      <c r="AZ340" s="412"/>
      <c r="BA340" s="409"/>
      <c r="BB340" s="411">
        <f>IF(BA340=0,0,IF($LB340=70%,VLOOKUP($AW340,'Jan-2026 rates'!$L:$R,4,0),IF($LB340=65%,VLOOKUP($AW340,'Jan-2026 rates'!$L:$R,4,0),IF($LB340=40%,VLOOKUP($AW340,'Jan-2026 rates'!$L:$R,5,0),IF($LB340=30%,VLOOKUP($AW340,'Jan-2026 rates'!$L:$R,6,0),IF($LB340=100%,VLOOKUP($AW340,'Jan-2026 rates'!$L:$R,7,0),IF($LB340=60%,VLOOKUP($AW340,'Jan-2026 rates'!$L:$S,8,0),IF($LB340=80%,VLOOKUP($AW340,'Jan-2026 rates'!L:T,9,0),0))))))))</f>
        <v>0</v>
      </c>
      <c r="BC340" s="413" t="s">
        <v>1880</v>
      </c>
      <c r="BD340" s="412" t="s">
        <v>1246</v>
      </c>
      <c r="BE340" s="412"/>
      <c r="BF340" s="413"/>
      <c r="BG340" s="412"/>
      <c r="BH340" s="412"/>
      <c r="BI340" s="412"/>
      <c r="BJ340" s="412"/>
      <c r="BK340" s="409">
        <f>5+3</f>
        <v>8</v>
      </c>
      <c r="BL340" s="398">
        <f>IF(BK340=0,0,IF(LEN(BC340)=11,_xlfn.XLOOKUP(BC340,'Dispensed Ink Rates'!C:C,'Dispensed Ink Rates'!CS:CS),VLOOKUP(BC340,'Jan-2026 rates'!$E:$F,2,0)))</f>
        <v>0</v>
      </c>
      <c r="BM340" s="409">
        <v>3</v>
      </c>
      <c r="BN340" s="398">
        <f>IF(BM340=0,0,IF(LEN(BD340)=11,_xlfn.XLOOKUP(BD340,'Dispensed Ink Rates'!C:C,'Dispensed Ink Rates'!CS:CS),VLOOKUP(BD340,'Jan-2026 rates'!$E:$F,2,0)))</f>
        <v>0</v>
      </c>
      <c r="BO340" s="409"/>
      <c r="BP340" s="398">
        <f>IF(BO340=0,0,IF(LEN(BE340)=11,_xlfn.XLOOKUP(BE340,'Dispensed Ink Rates'!C:C,'Dispensed Ink Rates'!CS:CS),VLOOKUP(BE340,'Jan-2026 rates'!$E:$F,2,0)))</f>
        <v>0</v>
      </c>
      <c r="BQ340" s="409"/>
      <c r="BR340" s="398">
        <f>IF(BQ340=0,0,IF(LEN(BF340)=11,_xlfn.XLOOKUP(BF340,'Dispensed Ink Rates'!C:C,'Dispensed Ink Rates'!CS:CS),VLOOKUP(BF340,'Jan-2026 rates'!$E:$F,2,0)))</f>
        <v>0</v>
      </c>
      <c r="BS340" s="409"/>
      <c r="BT340" s="398">
        <f>IF(BS340=0,0,IF(LEN(BG340)=11,_xlfn.XLOOKUP(BG340,'Dispensed Ink Rates'!C:C,'Dispensed Ink Rates'!CS:CS),VLOOKUP(BG340,'Jan-2026 rates'!$E:$F,2,0)))</f>
        <v>0</v>
      </c>
      <c r="BU340" s="409"/>
      <c r="BV340" s="398">
        <f>IF(BU340=0,0,IF(LEN(BH340)=11,_xlfn.XLOOKUP(BH340,'Dispensed Ink Rates'!C:C,'Dispensed Ink Rates'!CS:CS),VLOOKUP(BH340,'Jan-2026 rates'!$E:$F,2,0)))</f>
        <v>0</v>
      </c>
      <c r="BW340" s="409"/>
      <c r="BX340" s="398">
        <f>IF(BW340=0,0,IF(LEN(BI340)=11,_xlfn.XLOOKUP(BI340,'Dispensed Ink Rates'!C:C,'Dispensed Ink Rates'!CS:CS),VLOOKUP(BI340,'Jan-2026 rates'!$E:$F,2,0)))</f>
        <v>0</v>
      </c>
      <c r="BY340" s="409"/>
      <c r="BZ340" s="398">
        <f>IF(BY340=0,0,IF(LEN(BJ340)=11,_xlfn.XLOOKUP(BJ340,'Dispensed Ink Rates'!C:C,'Dispensed Ink Rates'!CS:CS),VLOOKUP(BJ340,'Jan-2026 rates'!$E:$F,2,0)))</f>
        <v>0</v>
      </c>
      <c r="CA340" s="409" t="s">
        <v>1881</v>
      </c>
      <c r="CB340" s="409">
        <f>17+18</f>
        <v>35</v>
      </c>
      <c r="CC340" s="411">
        <f t="shared" si="215"/>
        <v>0</v>
      </c>
      <c r="CD340" s="411">
        <f t="shared" si="216"/>
        <v>0.67999999999999972</v>
      </c>
      <c r="CE340" s="410">
        <f t="shared" si="217"/>
        <v>0</v>
      </c>
      <c r="CF340" s="404" t="s">
        <v>547</v>
      </c>
      <c r="CG340" s="409" t="s">
        <v>4656</v>
      </c>
      <c r="CH340" s="420" t="str">
        <f t="shared" si="185"/>
        <v>ToyoLi - GREEN</v>
      </c>
      <c r="CI340" s="409">
        <v>26</v>
      </c>
      <c r="CJ340" s="411">
        <f>IF(CI340=0,0,IF($LB340=70%,VLOOKUP($CH340,'Jan-2026 rates'!$L:$R,4,0),IF($LB340=65%,VLOOKUP($CH340,'Jan-2026 rates'!$L:$R,4,0),IF($LB340=40%,VLOOKUP($CH340,'Jan-2026 rates'!$L:$R,5,0),IF($LB340=30%,VLOOKUP($CH340,'Jan-2026 rates'!$L:$R,6,0),IF($LB340=100%,VLOOKUP($CH340,'Jan-2026 rates'!$L:$R,7,0),IF($LB340=60%,VLOOKUP($CH340,'Jan-2026 rates'!$L:$S,8,0),IF($LB340=80%,VLOOKUP($CH340,'Jan-2026 rates'!L:T,9,0),0))))))))</f>
        <v>0</v>
      </c>
      <c r="CK340" s="412"/>
      <c r="CL340" s="409"/>
      <c r="CM340" s="411">
        <f>IF(CL340=0,0,IF($LB340=70%,VLOOKUP($CH340,'Jan-2026 rates'!$L:$R,4,0),IF($LB340=65%,VLOOKUP($CH340,'Jan-2026 rates'!$L:$R,4,0),IF($LB340=40%,VLOOKUP($CH340,'Jan-2026 rates'!$L:$R,5,0),IF($LB340=30%,VLOOKUP($CH340,'Jan-2026 rates'!$L:$R,6,0),IF($LB340=100%,VLOOKUP($CH340,'Jan-2026 rates'!$L:$R,7,0),IF($LB340=60%,VLOOKUP($CH340,'Jan-2026 rates'!$L:$S,8,0),IF($LB340=80%,VLOOKUP($CH340,'Jan-2026 rates'!L:T,9,0),0))))))))</f>
        <v>0</v>
      </c>
      <c r="CN340" s="426" t="s">
        <v>1247</v>
      </c>
      <c r="CO340" s="427" t="s">
        <v>1250</v>
      </c>
      <c r="CP340" s="426"/>
      <c r="CQ340" s="426"/>
      <c r="CR340" s="428"/>
      <c r="CS340" s="428"/>
      <c r="CT340" s="428"/>
      <c r="CU340" s="428"/>
      <c r="CV340" s="409">
        <v>4</v>
      </c>
      <c r="CW340" s="398">
        <f>IF(CV340=0,0,IF(LEN(CN340)=11,_xlfn.XLOOKUP(CN340,'Dispensed Ink Rates'!C:C,'Dispensed Ink Rates'!CS:CS),VLOOKUP(CN340,'Jan-2026 rates'!$E:$F,2,0)))</f>
        <v>0</v>
      </c>
      <c r="CX340" s="409">
        <v>1</v>
      </c>
      <c r="CY340" s="398">
        <f>IF(CX340=0,0,IF(LEN(CO340)=11,_xlfn.XLOOKUP(CO340,'Dispensed Ink Rates'!C:C,'Dispensed Ink Rates'!CS:CS),VLOOKUP(CO340,'Jan-2026 rates'!$E:$F,2,0)))</f>
        <v>0</v>
      </c>
      <c r="CZ340" s="409"/>
      <c r="DA340" s="398">
        <f>IF(CZ340=0,0,IF(LEN(CP340)=11,_xlfn.XLOOKUP(CP340,'Dispensed Ink Rates'!C:C,'Dispensed Ink Rates'!CS:CS),VLOOKUP(CP340,'Jan-2026 rates'!$E:$F,2,0)))</f>
        <v>0</v>
      </c>
      <c r="DB340" s="409"/>
      <c r="DC340" s="398">
        <f>IF(DB340=0,0,IF(LEN(CQ340)=11,_xlfn.XLOOKUP(CQ340,'Dispensed Ink Rates'!C:C,'Dispensed Ink Rates'!CS:CS),VLOOKUP(CQ340,'Jan-2026 rates'!$E:$F,2,0)))</f>
        <v>0</v>
      </c>
      <c r="DD340" s="409"/>
      <c r="DE340" s="398">
        <f>IF(DD340=0,0,IF(LEN(CR340)=11,_xlfn.XLOOKUP(CR340,'Dispensed Ink Rates'!C:C,'Dispensed Ink Rates'!CS:CS),VLOOKUP(CR340,'Jan-2026 rates'!$E:$F,2,0)))</f>
        <v>0</v>
      </c>
      <c r="DF340" s="409"/>
      <c r="DG340" s="398">
        <f>IF(DF340=0,0,IF(LEN(CS340)=11,_xlfn.XLOOKUP(CS340,'Dispensed Ink Rates'!C:C,'Dispensed Ink Rates'!CS:CS),VLOOKUP(CS340,'Jan-2026 rates'!$E:$F,2,0)))</f>
        <v>0</v>
      </c>
      <c r="DH340" s="409"/>
      <c r="DI340" s="398">
        <f>IF(DH340=0,0,IF(LEN(CT340)=11,_xlfn.XLOOKUP(CT340,'Dispensed Ink Rates'!C:C,'Dispensed Ink Rates'!CS:CS),VLOOKUP(CT340,'Jan-2026 rates'!$E:$F,2,0)))</f>
        <v>0</v>
      </c>
      <c r="DJ340" s="409"/>
      <c r="DK340" s="398">
        <f>IF(DJ340=0,0,IF(LEN(CU340)=11,_xlfn.XLOOKUP(CU340,'Dispensed Ink Rates'!C:C,'Dispensed Ink Rates'!CS:CS),VLOOKUP(CU340,'Jan-2026 rates'!$E:$F,2,0)))</f>
        <v>0</v>
      </c>
      <c r="DL340" s="409" t="s">
        <v>1881</v>
      </c>
      <c r="DM340" s="409">
        <v>27</v>
      </c>
      <c r="DN340" s="411">
        <f t="shared" si="218"/>
        <v>0</v>
      </c>
      <c r="DO340" s="411">
        <f t="shared" si="219"/>
        <v>8.8400000000000034</v>
      </c>
      <c r="DP340" s="410">
        <f t="shared" si="220"/>
        <v>0</v>
      </c>
      <c r="DQ340" s="405" t="s">
        <v>545</v>
      </c>
      <c r="DR340" s="409" t="s">
        <v>4657</v>
      </c>
      <c r="DS340" s="420" t="str">
        <f t="shared" si="186"/>
        <v>ToyoLi - YELLOW</v>
      </c>
      <c r="DT340" s="409">
        <v>27</v>
      </c>
      <c r="DU340" s="411">
        <f>IF(DT340=0,0,IF($LB340=70%,VLOOKUP($DS340,'Jan-2026 rates'!$L:$R,4,0),IF($LB340=65%,VLOOKUP($DS340,'Jan-2026 rates'!$L:$R,4,0),IF($LB340=40%,VLOOKUP($DS340,'Jan-2026 rates'!$L:$R,5,0),IF($LB340=30%,VLOOKUP($DS340,'Jan-2026 rates'!$L:$R,6,0),IF($LB340=100%,VLOOKUP($DS340,'Jan-2026 rates'!$L:$R,7,0),IF($LB340=60%,VLOOKUP($DS340,'Jan-2026 rates'!$L:$S,8,0),IF($LB340=80%,VLOOKUP($DS340,'Jan-2026 rates'!L:T,9,0),0))))))))</f>
        <v>0</v>
      </c>
      <c r="DV340" s="412"/>
      <c r="DW340" s="409"/>
      <c r="DX340" s="411">
        <f>IF(DW340=0,0,IF($LB340=70%,VLOOKUP($DS340,'Jan-2026 rates'!$L:$R,4,0),IF($LB340=65%,VLOOKUP($DS340,'Jan-2026 rates'!$L:$R,4,0),IF($LB340=40%,VLOOKUP($DS340,'Jan-2026 rates'!$L:$R,5,0),IF($LB340=30%,VLOOKUP($DS340,'Jan-2026 rates'!$L:$R,6,0),IF($LB340=100%,VLOOKUP($DS340,'Jan-2026 rates'!$L:$R,7,0),IF($LB340=60%,VLOOKUP($DS340,'Jan-2026 rates'!$L:$S,8,0),IF($LB340=80%,VLOOKUP($DS340,'Jan-2026 rates'!L:T,9,0),0))))))))</f>
        <v>0</v>
      </c>
      <c r="DY340" s="413" t="s">
        <v>1247</v>
      </c>
      <c r="DZ340" s="413"/>
      <c r="EA340" s="412"/>
      <c r="EB340" s="412"/>
      <c r="EC340" s="412"/>
      <c r="ED340" s="412"/>
      <c r="EE340" s="412"/>
      <c r="EF340" s="412"/>
      <c r="EG340" s="409">
        <f>10+5</f>
        <v>15</v>
      </c>
      <c r="EH340" s="398">
        <f>IF(EG340=0,0,IF(LEN(DY340)=11,_xlfn.XLOOKUP(DY340,'Dispensed Ink Rates'!C:C,'Dispensed Ink Rates'!CS:CS),VLOOKUP(DY340,'Jan-2026 rates'!$E:$F,2,0)))</f>
        <v>0</v>
      </c>
      <c r="EI340" s="409"/>
      <c r="EJ340" s="398">
        <f>IF(EI340=0,0,IF(LEN(DZ340)=11,_xlfn.XLOOKUP(DZ340,'Dispensed Ink Rates'!C:C,'Dispensed Ink Rates'!CS:CS),VLOOKUP(DZ340,'Jan-2026 rates'!$E:$F,2,0)))</f>
        <v>0</v>
      </c>
      <c r="EK340" s="409"/>
      <c r="EL340" s="398">
        <f>IF(EK340=0,0,IF(LEN(EA340)=11,_xlfn.XLOOKUP(EA340,'Dispensed Ink Rates'!C:C,'Dispensed Ink Rates'!CS:CS),VLOOKUP(EA340,'Jan-2026 rates'!$E:$F,2,0)))</f>
        <v>0</v>
      </c>
      <c r="EM340" s="409"/>
      <c r="EN340" s="398">
        <f>IF(EM340=0,0,IF(LEN(EB340)=11,_xlfn.XLOOKUP(EB340,'Dispensed Ink Rates'!C:C,'Dispensed Ink Rates'!CS:CS),VLOOKUP(EB340,'Jan-2026 rates'!$E:$F,2,0)))</f>
        <v>0</v>
      </c>
      <c r="EO340" s="409"/>
      <c r="EP340" s="398">
        <f>IF(EO340=0,0,IF(LEN(EC340)=11,_xlfn.XLOOKUP(EC340,'Dispensed Ink Rates'!C:C,'Dispensed Ink Rates'!CS:CS),VLOOKUP(EC340,'Jan-2026 rates'!$E:$F,2,0)))</f>
        <v>0</v>
      </c>
      <c r="EQ340" s="409"/>
      <c r="ER340" s="398">
        <f>IF(EQ340=0,0,IF(LEN(ED340)=11,_xlfn.XLOOKUP(ED340,'Dispensed Ink Rates'!C:C,'Dispensed Ink Rates'!CS:CS),VLOOKUP(ED340,'Jan-2026 rates'!$E:$F,2,0)))</f>
        <v>0</v>
      </c>
      <c r="ES340" s="409"/>
      <c r="ET340" s="398">
        <f>IF(ES340=0,0,IF(LEN(EE340)=11,_xlfn.XLOOKUP(EE340,'Dispensed Ink Rates'!C:C,'Dispensed Ink Rates'!CS:CS),VLOOKUP(EE340,'Jan-2026 rates'!$E:$F,2,0)))</f>
        <v>0</v>
      </c>
      <c r="EU340" s="409"/>
      <c r="EV340" s="398">
        <f>IF(EU340=0,0,IF(LEN(EF340)=11,_xlfn.XLOOKUP(EF340,'Dispensed Ink Rates'!C:C,'Dispensed Ink Rates'!CS:CS),VLOOKUP(EF340,'Jan-2026 rates'!$E:$F,2,0)))</f>
        <v>0</v>
      </c>
      <c r="EW340" s="409" t="s">
        <v>1881</v>
      </c>
      <c r="EX340" s="409">
        <v>28</v>
      </c>
      <c r="EY340" s="411">
        <f t="shared" si="221"/>
        <v>0</v>
      </c>
      <c r="EZ340" s="411">
        <f t="shared" si="222"/>
        <v>21.259999999999998</v>
      </c>
      <c r="FA340" s="410">
        <f t="shared" si="223"/>
        <v>0</v>
      </c>
      <c r="FB340" s="405" t="s">
        <v>856</v>
      </c>
      <c r="FC340" s="409" t="s">
        <v>4658</v>
      </c>
      <c r="FD340" s="420" t="str">
        <f t="shared" si="187"/>
        <v>ToyoLi - WHITE</v>
      </c>
      <c r="FE340" s="409">
        <v>30</v>
      </c>
      <c r="FF340" s="411">
        <f>IF(FE340=0,0,IF($LB340=70%,VLOOKUP($FD340,'Jan-2026 rates'!$L:$R,4,0),IF($LB340=65%,VLOOKUP($FD340,'Jan-2026 rates'!$L:$R,4,0),IF($LB340=40%,VLOOKUP($FD340,'Jan-2026 rates'!$L:$R,5,0),IF($LB340=30%,VLOOKUP($FD340,'Jan-2026 rates'!$L:$R,6,0),IF($LB340=100%,VLOOKUP($FD340,'Jan-2026 rates'!$L:$R,7,0),IF($LB340=60%,VLOOKUP($FD340,'Jan-2026 rates'!$L:$S,8,0),IF($LB340=80%,VLOOKUP($FD340,'Jan-2026 rates'!L:T,9,0),0))))))))</f>
        <v>0</v>
      </c>
      <c r="FG340" s="412"/>
      <c r="FH340" s="409"/>
      <c r="FI340" s="411">
        <f>IF(FH340=0,0,IF($LB340=70%,VLOOKUP($FD340,'Jan-2026 rates'!$L:$R,4,0),IF($LB340=65%,VLOOKUP($FD340,'Jan-2026 rates'!$L:$R,4,0),IF($LB340=40%,VLOOKUP($FD340,'Jan-2026 rates'!$L:$R,5,0),IF($LB340=30%,VLOOKUP($FD340,'Jan-2026 rates'!$L:$R,6,0),IF($LB340=100%,VLOOKUP($FD340,'Jan-2026 rates'!$L:$R,7,0),IF($LB340=60%,VLOOKUP($FD340,'Jan-2026 rates'!$L:$S,8,0),IF($LB340=80%,VLOOKUP($FD340,'Jan-2026 rates'!L:T,9,0),0))))))))</f>
        <v>0</v>
      </c>
      <c r="FJ340" s="413" t="s">
        <v>1249</v>
      </c>
      <c r="FK340" s="413" t="s">
        <v>1122</v>
      </c>
      <c r="FL340" s="413"/>
      <c r="FM340" s="412"/>
      <c r="FN340" s="412"/>
      <c r="FO340" s="412"/>
      <c r="FP340" s="412"/>
      <c r="FQ340" s="412"/>
      <c r="FR340" s="409">
        <f>40+30</f>
        <v>70</v>
      </c>
      <c r="FS340" s="398">
        <f>IF(FR340=0,0,IF(LEN(FJ340)=11,_xlfn.XLOOKUP(FJ340,'Dispensed Ink Rates'!C:C,'Dispensed Ink Rates'!CS:CS),VLOOKUP(FJ340,'Jan-2026 rates'!$E:$F,2,0)))</f>
        <v>0</v>
      </c>
      <c r="FT340" s="409">
        <v>5.07</v>
      </c>
      <c r="FU340" s="398">
        <f>IF(FT340=0,0,IF(LEN(FK340)=11,_xlfn.XLOOKUP(FK340,'Dispensed Ink Rates'!C:C,'Dispensed Ink Rates'!CS:CS),VLOOKUP(FK340,'Jan-2026 rates'!$E:$F,2,0)))</f>
        <v>0</v>
      </c>
      <c r="FV340" s="409"/>
      <c r="FW340" s="398">
        <f>IF(FV340=0,0,IF(LEN(FL340)=11,_xlfn.XLOOKUP(FL340,'Dispensed Ink Rates'!C:C,'Dispensed Ink Rates'!CS:CS),VLOOKUP(FL340,'Jan-2026 rates'!$E:$F,2,0)))</f>
        <v>0</v>
      </c>
      <c r="FX340" s="409"/>
      <c r="FY340" s="398">
        <f>IF(FX340=0,0,IF(LEN(FM340)=11,_xlfn.XLOOKUP(FM340,'Dispensed Ink Rates'!C:C,'Dispensed Ink Rates'!CS:CS),VLOOKUP(FM340,'Jan-2026 rates'!$E:$F,2,0)))</f>
        <v>0</v>
      </c>
      <c r="FZ340" s="409"/>
      <c r="GA340" s="398">
        <f>IF(FZ340=0,0,IF(LEN(FN340)=11,_xlfn.XLOOKUP(FN340,'Dispensed Ink Rates'!C:C,'Dispensed Ink Rates'!CS:CS),VLOOKUP(FN340,'Jan-2026 rates'!$E:$F,2,0)))</f>
        <v>0</v>
      </c>
      <c r="GB340" s="409"/>
      <c r="GC340" s="398">
        <f>IF(GB340=0,0,IF(LEN(FO340)=11,_xlfn.XLOOKUP(FO340,'Dispensed Ink Rates'!C:C,'Dispensed Ink Rates'!CS:CS),VLOOKUP(FO340,'Jan-2026 rates'!$E:$F,2,0)))</f>
        <v>0</v>
      </c>
      <c r="GD340" s="409"/>
      <c r="GE340" s="398">
        <f>IF(GD340=0,0,IF(LEN(FP340)=11,_xlfn.XLOOKUP(FP340,'Dispensed Ink Rates'!C:C,'Dispensed Ink Rates'!CS:CS),VLOOKUP(FP340,'Jan-2026 rates'!$E:$F,2,0)))</f>
        <v>0</v>
      </c>
      <c r="GF340" s="409"/>
      <c r="GG340" s="398">
        <f>IF(GF340=0,0,IF(LEN(FQ340)=11,_xlfn.XLOOKUP(FQ340,'Dispensed Ink Rates'!C:C,'Dispensed Ink Rates'!CS:CS),VLOOKUP(FQ340,'Jan-2026 rates'!$E:$F,2,0)))</f>
        <v>0</v>
      </c>
      <c r="GH340" s="409" t="s">
        <v>1881</v>
      </c>
      <c r="GI340" s="409">
        <v>25</v>
      </c>
      <c r="GJ340" s="411">
        <f t="shared" si="224"/>
        <v>0</v>
      </c>
      <c r="GK340" s="411">
        <f t="shared" si="225"/>
        <v>164.76999999999998</v>
      </c>
      <c r="GL340" s="410">
        <f t="shared" si="226"/>
        <v>0</v>
      </c>
      <c r="GM340" s="405"/>
      <c r="GN340" s="409"/>
      <c r="GO340" s="420" t="str">
        <f t="shared" si="188"/>
        <v xml:space="preserve"> - </v>
      </c>
      <c r="GP340" s="409"/>
      <c r="GQ340" s="411">
        <f>IF(GP340=0,0,IF($LB340=70%,VLOOKUP($GO340,'Jan-2026 rates'!$L:$R,4,0),IF($LB340=65%,VLOOKUP($GO340,'Jan-2026 rates'!$L:$R,4,0),IF($LB340=40%,VLOOKUP($GO340,'Jan-2026 rates'!$L:$R,5,0),IF($LB340=30%,VLOOKUP($GO340,'Jan-2026 rates'!$L:$R,6,0),IF($LB340=100%,VLOOKUP($GO340,'Jan-2026 rates'!$L:$R,7,0),IF($LB340=60%,VLOOKUP($GO340,'Jan-2026 rates'!$L:$S,8,0),IF($LB340=80%,VLOOKUP($GO340,'Jan-2026 rates'!L:T,9,0),0))))))))</f>
        <v>0</v>
      </c>
      <c r="GR340" s="412"/>
      <c r="GS340" s="409"/>
      <c r="GT340" s="411">
        <f>IF(GS340=0,0,IF($LB340=70%,VLOOKUP($GO340,'Jan-2026 rates'!$L:$R,4,0),IF($LB340=65%,VLOOKUP($GO340,'Jan-2026 rates'!$L:$R,4,0),IF($LB340=40%,VLOOKUP($GO340,'Jan-2026 rates'!$L:$R,5,0),IF($LB340=30%,VLOOKUP($GO340,'Jan-2026 rates'!$L:$R,6,0),IF($LB340=100%,VLOOKUP($GO340,'Jan-2026 rates'!$L:$R,7,0),IF($LB340=60%,VLOOKUP($GO340,'Jan-2026 rates'!$L:$S,8,0),IF($LB340=80%,VLOOKUP($GO340,'Jan-2026 rates'!L:T,9,0),0))))))))</f>
        <v>0</v>
      </c>
      <c r="GU340" s="413"/>
      <c r="GV340" s="413"/>
      <c r="GW340" s="412"/>
      <c r="GX340" s="412"/>
      <c r="GY340" s="412"/>
      <c r="GZ340" s="412"/>
      <c r="HA340" s="412"/>
      <c r="HB340" s="412"/>
      <c r="HC340" s="409"/>
      <c r="HD340" s="398">
        <f>IF(HC340=0,0,IF(LEN(GU340)=11,_xlfn.XLOOKUP(GU340,'Dispensed Ink Rates'!C:C,'Dispensed Ink Rates'!CS:CS),VLOOKUP(GU340,'Jan-2026 rates'!$E:$F,2,0)))</f>
        <v>0</v>
      </c>
      <c r="HE340" s="409"/>
      <c r="HF340" s="398">
        <f>IF(HE340=0,0,IF(LEN(GV340)=11,_xlfn.XLOOKUP(GV340,'Dispensed Ink Rates'!C:C,'Dispensed Ink Rates'!CS:CS),VLOOKUP(GV340,'Jan-2026 rates'!$E:$F,2,0)))</f>
        <v>0</v>
      </c>
      <c r="HG340" s="409"/>
      <c r="HH340" s="398">
        <f>IF(HG340=0,0,IF(LEN(GW340)=11,_xlfn.XLOOKUP(GW340,'Dispensed Ink Rates'!C:C,'Dispensed Ink Rates'!CS:CS),VLOOKUP(GW340,'Jan-2026 rates'!$E:$F,2,0)))</f>
        <v>0</v>
      </c>
      <c r="HI340" s="409"/>
      <c r="HJ340" s="398">
        <f>IF(HI340=0,0,IF(LEN(GX340)=11,_xlfn.XLOOKUP(GX340,'Dispensed Ink Rates'!C:C,'Dispensed Ink Rates'!CS:CS),VLOOKUP(GX340,'Jan-2026 rates'!$E:$F,2,0)))</f>
        <v>0</v>
      </c>
      <c r="HK340" s="409"/>
      <c r="HL340" s="398">
        <f>IF(HK340=0,0,IF(LEN(GY340)=11,_xlfn.XLOOKUP(GY340,'Dispensed Ink Rates'!C:C,'Dispensed Ink Rates'!CS:CS),VLOOKUP(GY340,'Jan-2026 rates'!$E:$F,2,0)))</f>
        <v>0</v>
      </c>
      <c r="HM340" s="409"/>
      <c r="HN340" s="398">
        <f>IF(HM340=0,0,IF(LEN(GZ340)=11,_xlfn.XLOOKUP(GZ340,'Dispensed Ink Rates'!C:C,'Dispensed Ink Rates'!CS:CS),VLOOKUP(GZ340,'Jan-2026 rates'!$E:$F,2,0)))</f>
        <v>0</v>
      </c>
      <c r="HO340" s="409"/>
      <c r="HP340" s="398">
        <f>IF(HO340=0,0,IF(LEN(HA340)=11,_xlfn.XLOOKUP(HA340,'Dispensed Ink Rates'!C:C,'Dispensed Ink Rates'!CS:CS),VLOOKUP(HA340,'Jan-2026 rates'!$E:$F,2,0)))</f>
        <v>0</v>
      </c>
      <c r="HQ340" s="409"/>
      <c r="HR340" s="398">
        <f>IF(HQ340=0,0,IF(LEN(HB340)=11,_xlfn.XLOOKUP(HB340,'Dispensed Ink Rates'!C:C,'Dispensed Ink Rates'!CS:CS),VLOOKUP(HB340,'Jan-2026 rates'!$E:$F,2,0)))</f>
        <v>0</v>
      </c>
      <c r="HS340" s="409"/>
      <c r="HT340" s="409"/>
      <c r="HU340" s="411">
        <f t="shared" si="227"/>
        <v>0</v>
      </c>
      <c r="HV340" s="411">
        <f t="shared" si="228"/>
        <v>0</v>
      </c>
      <c r="HW340" s="414">
        <f t="shared" si="229"/>
        <v>0</v>
      </c>
      <c r="HX340" s="405"/>
      <c r="HY340" s="409"/>
      <c r="HZ340" s="420" t="str">
        <f t="shared" si="189"/>
        <v xml:space="preserve"> - </v>
      </c>
      <c r="IA340" s="409"/>
      <c r="IB340" s="411">
        <f>IF(IA340=0,0,IF($LB340=70%,VLOOKUP($HZ340,'Jan-2026 rates'!$L:$R,4,0),IF($LB340=65%,VLOOKUP($HZ340,'Jan-2026 rates'!$L:$R,4,0),IF($LB340=40%,VLOOKUP($HZ340,'Jan-2026 rates'!$L:$R,5,0),IF($LB340=30%,VLOOKUP($HZ340,'Jan-2026 rates'!$L:$R,6,0),IF($LB340=100%,VLOOKUP($HZ340,'Jan-2026 rates'!$L:$R,7,0),IF($LB340=60%,VLOOKUP($HZ340,'Jan-2026 rates'!$L:$S,8,0),IF($LB340=80%,VLOOKUP($HZ340,'Jan-2026 rates'!L:T,9,0),0))))))))</f>
        <v>0</v>
      </c>
      <c r="IC340" s="412"/>
      <c r="ID340" s="409"/>
      <c r="IE340" s="411">
        <f>IF(ID340=0,0,IF($LB340=70%,VLOOKUP($HZ340,'Jan-2026 rates'!$L:$R,4,0),IF($LB340=65%,VLOOKUP($HZ340,'Jan-2026 rates'!$L:$R,4,0),IF($LB340=40%,VLOOKUP($HZ340,'Jan-2026 rates'!$L:$R,5,0),IF($LB340=30%,VLOOKUP($HZ340,'Jan-2026 rates'!$L:$R,6,0),IF($LB340=100%,VLOOKUP($HZ340,'Jan-2026 rates'!$L:$R,7,0),IF($LB340=60%,VLOOKUP($HZ340,'Jan-2026 rates'!$L:$S,8,0),IF($LB340=80%,VLOOKUP($HZ340,'Jan-2026 rates'!L:T,9,0),0))))))))</f>
        <v>0</v>
      </c>
      <c r="IF340" s="412"/>
      <c r="IG340" s="413"/>
      <c r="IH340" s="412"/>
      <c r="II340" s="412"/>
      <c r="IJ340" s="412"/>
      <c r="IK340" s="412"/>
      <c r="IL340" s="412"/>
      <c r="IM340" s="412"/>
      <c r="IN340" s="409"/>
      <c r="IO340" s="398">
        <f>IF(IN340=0,0,IF(LEN(IF340)=11,_xlfn.XLOOKUP(IF340,'Dispensed Ink Rates'!C:C,'Dispensed Ink Rates'!CS:CS),VLOOKUP(IF340,'Jan-2026 rates'!$E:$F,2,0)))</f>
        <v>0</v>
      </c>
      <c r="IP340" s="409"/>
      <c r="IQ340" s="398">
        <f>IF(IP340=0,0,IF(LEN(IG340)=11,_xlfn.XLOOKUP(IG340,'Dispensed Ink Rates'!C:C,'Dispensed Ink Rates'!CS:CS),VLOOKUP(IG340,'Jan-2026 rates'!$E:$F,2,0)))</f>
        <v>0</v>
      </c>
      <c r="IR340" s="409"/>
      <c r="IS340" s="398">
        <f>IF(IR340=0,0,IF(LEN(IH340)=11,_xlfn.XLOOKUP(IH340,'Dispensed Ink Rates'!C:C,'Dispensed Ink Rates'!CS:CS),VLOOKUP(IH340,'Jan-2026 rates'!$E:$F,2,0)))</f>
        <v>0</v>
      </c>
      <c r="IT340" s="409"/>
      <c r="IU340" s="398">
        <f>IF(IT340=0,0,IF(LEN(II340)=11,_xlfn.XLOOKUP(II340,'Dispensed Ink Rates'!C:C,'Dispensed Ink Rates'!CS:CS),VLOOKUP(II340,'Jan-2026 rates'!$E:$F,2,0)))</f>
        <v>0</v>
      </c>
      <c r="IV340" s="409"/>
      <c r="IW340" s="398">
        <f>IF(IV340=0,0,IF(LEN(IJ340)=11,_xlfn.XLOOKUP(IJ340,'Dispensed Ink Rates'!C:C,'Dispensed Ink Rates'!CS:CS),VLOOKUP(IJ340,'Jan-2026 rates'!$E:$F,2,0)))</f>
        <v>0</v>
      </c>
      <c r="IX340" s="409"/>
      <c r="IY340" s="398">
        <f>IF(IX340=0,0,IF(LEN(IK340)=11,_xlfn.XLOOKUP(IK340,'Dispensed Ink Rates'!C:C,'Dispensed Ink Rates'!CS:CS),VLOOKUP(IK340,'Jan-2026 rates'!$E:$F,2,0)))</f>
        <v>0</v>
      </c>
      <c r="IZ340" s="409"/>
      <c r="JA340" s="398">
        <f>IF(IZ340=0,0,IF(LEN(IL340)=11,_xlfn.XLOOKUP(IL340,'Dispensed Ink Rates'!C:C,'Dispensed Ink Rates'!CS:CS),VLOOKUP(IL340,'Jan-2026 rates'!$E:$F,2,0)))</f>
        <v>0</v>
      </c>
      <c r="JB340" s="409"/>
      <c r="JC340" s="398">
        <f>IF(JB340=0,0,IF(LEN(IM340)=11,_xlfn.XLOOKUP(IM340,'Dispensed Ink Rates'!C:C,'Dispensed Ink Rates'!CS:CS),VLOOKUP(IM340,'Jan-2026 rates'!$E:$F,2,0)))</f>
        <v>0</v>
      </c>
      <c r="JD340" s="409"/>
      <c r="JE340" s="409"/>
      <c r="JF340" s="411">
        <f t="shared" si="230"/>
        <v>0</v>
      </c>
      <c r="JG340" s="411">
        <f t="shared" si="231"/>
        <v>0</v>
      </c>
      <c r="JH340" s="410">
        <f t="shared" si="232"/>
        <v>0</v>
      </c>
      <c r="JI340" s="405"/>
      <c r="JJ340" s="409"/>
      <c r="JK340" s="420" t="str">
        <f t="shared" si="190"/>
        <v xml:space="preserve"> - </v>
      </c>
      <c r="JL340" s="409"/>
      <c r="JM340" s="411">
        <f>IF(JL340=0,0,IF($LB340=70%,VLOOKUP($JK340,'Jan-2026 rates'!$L:$R,4,0),IF($LB340=65%,VLOOKUP($JK340,'Jan-2026 rates'!$L:$R,4,0),IF($LB340=40%,VLOOKUP($JK340,'Jan-2026 rates'!$L:$R,5,0),IF($LB340=30%,VLOOKUP($JK340,'Jan-2026 rates'!$L:$R,6,0),IF($LB340=100%,VLOOKUP($JK340,'Jan-2026 rates'!$L:$R,7,0),IF($LB340=60%,VLOOKUP($JK340,'Jan-2026 rates'!$L:$S,8,0),IF($LB340=80%,VLOOKUP($JK340,'Jan-2026 rates'!L:T,9,0),0))))))))</f>
        <v>0</v>
      </c>
      <c r="JN340" s="412"/>
      <c r="JO340" s="409"/>
      <c r="JP340" s="411">
        <f>IF(JO340=0,0,IF($LB340=70%,VLOOKUP($JK340,'Jan-2026 rates'!$L:$R,4,0),IF($LB340=65%,VLOOKUP($JK340,'Jan-2026 rates'!$L:$R,4,0),IF($LB340=40%,VLOOKUP($JK340,'Jan-2026 rates'!$L:$R,5,0),IF($LB340=30%,VLOOKUP($JK340,'Jan-2026 rates'!$L:$R,6,0),IF($LB340=100%,VLOOKUP($JK340,'Jan-2026 rates'!$L:$R,7,0),IF($LB340=60%,VLOOKUP($JK340,'Jan-2026 rates'!$L:$S,8,0),IF($LB340=80%,VLOOKUP($JK340,'Jan-2026 rates'!L:T,9,0),0))))))))</f>
        <v>0</v>
      </c>
      <c r="JQ340" s="413"/>
      <c r="JR340" s="412"/>
      <c r="JS340" s="413"/>
      <c r="JT340" s="413"/>
      <c r="JU340" s="412"/>
      <c r="JV340" s="412"/>
      <c r="JW340" s="412"/>
      <c r="JX340" s="412"/>
      <c r="JY340" s="409"/>
      <c r="JZ340" s="398">
        <f>IF(JY340=0,0,IF(LEN(JQ340)=11,_xlfn.XLOOKUP(JQ340,'Dispensed Ink Rates'!C:C,'Dispensed Ink Rates'!CS:CS),VLOOKUP(JQ340,'Jan-2026 rates'!$E:$F,2,0)))</f>
        <v>0</v>
      </c>
      <c r="KA340" s="409"/>
      <c r="KB340" s="398">
        <f>IF(KA340=0,0,IF(LEN(JR340)=11,_xlfn.XLOOKUP(JR340,'Dispensed Ink Rates'!C:C,'Dispensed Ink Rates'!CS:CS),VLOOKUP(JR340,'Jan-2026 rates'!$E:$F,2,0)))</f>
        <v>0</v>
      </c>
      <c r="KC340" s="409"/>
      <c r="KD340" s="398">
        <f>IF(KC340=0,0,IF(LEN(JS340)=11,_xlfn.XLOOKUP(JS340,'Dispensed Ink Rates'!C:C,'Dispensed Ink Rates'!CS:CS),VLOOKUP(JS340,'Jan-2026 rates'!$E:$F,2,0)))</f>
        <v>0</v>
      </c>
      <c r="KE340" s="409"/>
      <c r="KF340" s="398">
        <f>IF(KE340=0,0,IF(LEN(JT340)=11,_xlfn.XLOOKUP(JT340,'Dispensed Ink Rates'!C:C,'Dispensed Ink Rates'!CS:CS),VLOOKUP(JT340,'Jan-2026 rates'!$E:$F,2,0)))</f>
        <v>0</v>
      </c>
      <c r="KG340" s="409"/>
      <c r="KH340" s="398">
        <f>IF(KG340=0,0,IF(LEN(JU340)=11,_xlfn.XLOOKUP(JU340,'Dispensed Ink Rates'!C:C,'Dispensed Ink Rates'!CS:CS),VLOOKUP(JU340,'Jan-2026 rates'!$E:$F,2,0)))</f>
        <v>0</v>
      </c>
      <c r="KI340" s="409"/>
      <c r="KJ340" s="398">
        <f>IF(KI340=0,0,IF(LEN(JV340)=11,_xlfn.XLOOKUP(JV340,'Dispensed Ink Rates'!C:C,'Dispensed Ink Rates'!CS:CS),VLOOKUP(JV340,'Jan-2026 rates'!$E:$F,2,0)))</f>
        <v>0</v>
      </c>
      <c r="KK340" s="409"/>
      <c r="KL340" s="398">
        <f>IF(KK340=0,0,IF(LEN(JW340)=11,_xlfn.XLOOKUP(JW340,'Dispensed Ink Rates'!C:C,'Dispensed Ink Rates'!CS:CS),VLOOKUP(JW340,'Jan-2026 rates'!$E:$F,2,0)))</f>
        <v>0</v>
      </c>
      <c r="KM340" s="428"/>
      <c r="KN340" s="398">
        <f>IF(KM340=0,0,IF(LEN(JX340)=11,_xlfn.XLOOKUP(JX340,'Dispensed Ink Rates'!C:C,'Dispensed Ink Rates'!CS:CS),VLOOKUP(JX340,'Jan-2026 rates'!$E:$F,2,0)))</f>
        <v>0</v>
      </c>
      <c r="KO340" s="409"/>
      <c r="KP340" s="409"/>
      <c r="KQ340" s="411">
        <f t="shared" si="233"/>
        <v>0</v>
      </c>
      <c r="KR340" s="411">
        <f t="shared" si="234"/>
        <v>0</v>
      </c>
      <c r="KS340" s="410">
        <f t="shared" si="235"/>
        <v>0</v>
      </c>
      <c r="KT340" s="409">
        <v>6</v>
      </c>
      <c r="KU340" s="409">
        <v>4</v>
      </c>
      <c r="KV340" s="409">
        <v>2</v>
      </c>
      <c r="KW340" s="409">
        <v>3</v>
      </c>
      <c r="KX340" s="409">
        <f>20+15</f>
        <v>35</v>
      </c>
      <c r="KY340" s="409">
        <v>0</v>
      </c>
      <c r="KZ340" s="409">
        <v>0</v>
      </c>
      <c r="LA340" s="409">
        <v>0</v>
      </c>
      <c r="LB340" s="415">
        <v>0.3</v>
      </c>
      <c r="LC340" s="415"/>
      <c r="LD340" s="424"/>
      <c r="LE340" s="415">
        <v>0.5</v>
      </c>
      <c r="LF340" s="415">
        <v>0.2</v>
      </c>
      <c r="LG340" s="409">
        <v>0</v>
      </c>
      <c r="LH340" s="409">
        <f>35+26+18+30+12</f>
        <v>121</v>
      </c>
      <c r="LI340" s="409">
        <v>0</v>
      </c>
      <c r="LJ340" s="409">
        <v>0</v>
      </c>
      <c r="LK340" s="416">
        <f t="shared" si="191"/>
        <v>121</v>
      </c>
      <c r="LL340" s="416">
        <f t="shared" si="237"/>
        <v>121</v>
      </c>
      <c r="LM340" s="417">
        <f t="shared" si="193"/>
        <v>36.299999999999997</v>
      </c>
      <c r="LN340" s="417">
        <f>VLOOKUP($LM$8,'Jan-2026 rates'!$H:$I,2,0)</f>
        <v>0</v>
      </c>
      <c r="LO340" s="417">
        <f t="shared" si="194"/>
        <v>0</v>
      </c>
      <c r="LP340" s="417">
        <f>VLOOKUP($LO$8,'Jan-2026 rates'!$H:$I,2,0)</f>
        <v>0</v>
      </c>
      <c r="LQ340" s="417">
        <f t="shared" si="195"/>
        <v>0</v>
      </c>
      <c r="LR340" s="417">
        <f>VLOOKUP($LQ$8,'Jan-2026 rates'!$H:$I,2,0)</f>
        <v>0</v>
      </c>
      <c r="LS340" s="417">
        <f t="shared" si="196"/>
        <v>60.5</v>
      </c>
      <c r="LT340" s="417">
        <f>VLOOKUP($LS$8,'Jan-2026 rates'!$H:$I,2,0)</f>
        <v>0</v>
      </c>
      <c r="LU340" s="417">
        <f t="shared" si="197"/>
        <v>24.200000000000003</v>
      </c>
      <c r="LV340" s="417">
        <f>VLOOKUP($LU$8,'Jan-2026 rates'!$H:$I,2,0)</f>
        <v>0</v>
      </c>
      <c r="LW340" s="417">
        <f t="shared" si="198"/>
        <v>0</v>
      </c>
      <c r="LX340" s="417">
        <f t="shared" si="199"/>
        <v>0</v>
      </c>
      <c r="LY340" s="418">
        <f t="shared" si="200"/>
        <v>0</v>
      </c>
      <c r="LZ340" s="417"/>
      <c r="MA340" s="435">
        <f t="shared" si="201"/>
        <v>112.07</v>
      </c>
      <c r="MB340" s="282">
        <f t="shared" si="202"/>
        <v>217.07</v>
      </c>
      <c r="MC340" s="283" t="s">
        <v>2079</v>
      </c>
      <c r="MD340" s="284" t="str">
        <f t="shared" si="203"/>
        <v>ToyoLiToyoLiToyoLiToyoLiToyoLi</v>
      </c>
      <c r="ME340" s="293" t="str">
        <f t="shared" si="204"/>
        <v>+</v>
      </c>
      <c r="MF340" s="293" t="str">
        <f t="shared" si="205"/>
        <v>+</v>
      </c>
      <c r="MG340" s="293" t="str">
        <f t="shared" si="206"/>
        <v>+</v>
      </c>
      <c r="MH340" s="293" t="str">
        <f t="shared" si="207"/>
        <v>+</v>
      </c>
      <c r="MI340" s="293" t="str">
        <f t="shared" si="208"/>
        <v>+</v>
      </c>
      <c r="MJ340" s="293" t="str">
        <f t="shared" si="209"/>
        <v>NIL</v>
      </c>
      <c r="MK340" s="293" t="str">
        <f t="shared" si="210"/>
        <v>NIL</v>
      </c>
      <c r="ML340" s="293" t="str">
        <f t="shared" si="211"/>
        <v>NIL</v>
      </c>
      <c r="MM340" s="3" t="b">
        <f t="array" ref="MM340">OR(ME340:ML340="-")</f>
        <v>0</v>
      </c>
      <c r="MO340" s="401">
        <f t="shared" si="238"/>
        <v>45.03526970954357</v>
      </c>
      <c r="MP340" s="286"/>
      <c r="MR340" s="402">
        <f t="shared" si="239"/>
        <v>7.8934545454545455E-3</v>
      </c>
      <c r="MS340" s="400">
        <f t="shared" si="240"/>
        <v>0</v>
      </c>
      <c r="MT340" s="285"/>
      <c r="NH340" s="361"/>
      <c r="NJ340" s="282"/>
    </row>
    <row r="341" spans="1:374" ht="16.5">
      <c r="A341" s="403">
        <v>46050</v>
      </c>
      <c r="B341" s="404" t="s">
        <v>1015</v>
      </c>
      <c r="C341" s="405" t="s">
        <v>4659</v>
      </c>
      <c r="D341" s="404" t="s">
        <v>2081</v>
      </c>
      <c r="E341" s="404">
        <v>241</v>
      </c>
      <c r="F341" s="407">
        <v>15700</v>
      </c>
      <c r="G341" s="407" t="s">
        <v>1016</v>
      </c>
      <c r="H341" s="408" t="s">
        <v>1017</v>
      </c>
      <c r="I341" s="409">
        <v>0.4</v>
      </c>
      <c r="J341" s="405" t="s">
        <v>547</v>
      </c>
      <c r="K341" s="404" t="s">
        <v>4660</v>
      </c>
      <c r="L341" s="419" t="str">
        <f t="shared" si="184"/>
        <v>ToyoLi - GREEN</v>
      </c>
      <c r="M341" s="404">
        <v>27</v>
      </c>
      <c r="N341" s="410">
        <f>IF(M341=0,0,IF($LB341=70%,VLOOKUP($L341,'Jan-2026 rates'!$L:$R,4,0),IF($LB341=65%,VLOOKUP($L341,'Jan-2026 rates'!$L:$R,4,0),IF($LB341=40%,VLOOKUP($L341,'Jan-2026 rates'!$L:$R,5,0),IF($LB341=30%,VLOOKUP($L341,'Jan-2026 rates'!$L:$R,6,0),IF($LB341=100%,VLOOKUP($L341,'Jan-2026 rates'!$L:$R,7,0),IF($LB341=60%,VLOOKUP($L341,'Jan-2026 rates'!$L:$S,8,0),IF($LB341=80%,VLOOKUP($L341,'Jan-2026 rates'!L:T,9,0),0))))))))</f>
        <v>0</v>
      </c>
      <c r="O341" s="406"/>
      <c r="P341" s="404"/>
      <c r="Q341" s="410">
        <f>IF(P341=0,0,IF($LB341=70%,VLOOKUP($L341,'Jan-2026 rates'!$L:$R,4,0),IF($LB341=65%,VLOOKUP($L341,'Jan-2026 rates'!$L:$R,4,0),IF($LB341=40%,VLOOKUP($L341,'Jan-2026 rates'!$L:$R,5,0),IF($LB341=30%,VLOOKUP($L341,'Jan-2026 rates'!$L:$R,6,0),IF($LB341=100%,VLOOKUP($L341,'Jan-2026 rates'!$L:$R,7,0),IF($LB341=60%,VLOOKUP($L341,'Jan-2026 rates'!$L:$S,8,0),IF($LB341=80%,VLOOKUP($L341,'Jan-2026 rates'!L:T,9,0),0))))))))</f>
        <v>0</v>
      </c>
      <c r="R341" s="406" t="s">
        <v>1247</v>
      </c>
      <c r="S341" s="406" t="s">
        <v>1250</v>
      </c>
      <c r="T341" s="406"/>
      <c r="U341" s="406"/>
      <c r="V341" s="406"/>
      <c r="W341" s="406"/>
      <c r="X341" s="406"/>
      <c r="Y341" s="406"/>
      <c r="Z341" s="404">
        <v>2</v>
      </c>
      <c r="AA341" s="398">
        <f>IF(Z341=0,0,IF(LEN(R341)=11,_xlfn.XLOOKUP(R341,'Dispensed Ink Rates'!C:C,'Dispensed Ink Rates'!CS:CS),VLOOKUP(R341,'Jan-2026 rates'!$E:$F,2,0)))</f>
        <v>0</v>
      </c>
      <c r="AB341" s="404">
        <v>3</v>
      </c>
      <c r="AC341" s="398">
        <f>IF(AB341=0,0,IF(LEN(S341)=11,_xlfn.XLOOKUP(S341,'Dispensed Ink Rates'!C:C,'Dispensed Ink Rates'!CS:CS),VLOOKUP(S341,'Jan-2026 rates'!$E:$F,2,0)))</f>
        <v>0</v>
      </c>
      <c r="AD341" s="404"/>
      <c r="AE341" s="398">
        <f>IF(AD341=0,0,IF(LEN(T341)=11,_xlfn.XLOOKUP(T341,'Dispensed Ink Rates'!C:C,'Dispensed Ink Rates'!CS:CS),VLOOKUP(T341,'Jan-2026 rates'!$E:$F,2,0)))</f>
        <v>0</v>
      </c>
      <c r="AF341" s="404"/>
      <c r="AG341" s="398">
        <f>IF(AF341=0,0,IF(LEN(U341)=11,_xlfn.XLOOKUP(U341,'Dispensed Ink Rates'!C:C,'Dispensed Ink Rates'!CS:CS),VLOOKUP(U341,'Jan-2026 rates'!$E:$F,2,0)))</f>
        <v>0</v>
      </c>
      <c r="AH341" s="404"/>
      <c r="AI341" s="398">
        <f>IF(AH341=0,0,IF(LEN(V341)=11,_xlfn.XLOOKUP(V341,'Dispensed Ink Rates'!C:C,'Dispensed Ink Rates'!CS:CS),VLOOKUP(V341,'Jan-2026 rates'!$E:$F,2,0)))</f>
        <v>0</v>
      </c>
      <c r="AJ341" s="404"/>
      <c r="AK341" s="398">
        <f>IF(AJ341=0,0,IF(LEN(W341)=11,_xlfn.XLOOKUP(W341,'Dispensed Ink Rates'!C:C,'Dispensed Ink Rates'!CS:CS),VLOOKUP(W341,'Jan-2026 rates'!$E:$F,2,0)))</f>
        <v>0</v>
      </c>
      <c r="AL341" s="404"/>
      <c r="AM341" s="398">
        <f>IF(AL341=0,0,IF(LEN(X341)=11,_xlfn.XLOOKUP(X341,'Dispensed Ink Rates'!C:C,'Dispensed Ink Rates'!CS:CS),VLOOKUP(X341,'Jan-2026 rates'!$E:$F,2,0)))</f>
        <v>0</v>
      </c>
      <c r="AN341" s="404"/>
      <c r="AO341" s="398">
        <f>IF(AN341=0,0,IF(LEN(Y341)=11,_xlfn.XLOOKUP(Y341,'Dispensed Ink Rates'!C:C,'Dispensed Ink Rates'!CS:CS),VLOOKUP(Y341,'Jan-2026 rates'!$E:$F,2,0)))</f>
        <v>0</v>
      </c>
      <c r="AP341" s="409" t="s">
        <v>1881</v>
      </c>
      <c r="AQ341" s="409">
        <f>16+17</f>
        <v>33</v>
      </c>
      <c r="AR341" s="410">
        <f t="shared" si="212"/>
        <v>0</v>
      </c>
      <c r="AS341" s="411">
        <f t="shared" si="213"/>
        <v>10.428571428571431</v>
      </c>
      <c r="AT341" s="410">
        <f t="shared" si="214"/>
        <v>0</v>
      </c>
      <c r="AU341" s="405" t="s">
        <v>857</v>
      </c>
      <c r="AV341" s="409" t="s">
        <v>4661</v>
      </c>
      <c r="AW341" s="420" t="str">
        <f t="shared" si="236"/>
        <v>ToyoLi - RED</v>
      </c>
      <c r="AX341" s="409">
        <v>18</v>
      </c>
      <c r="AY341" s="411">
        <f>IF(AX341=0,0,IF($LB341=70%,VLOOKUP($AW341,'Jan-2026 rates'!$L:$R,4,0),IF($LB341=65%,VLOOKUP($AW341,'Jan-2026 rates'!$L:$R,4,0),IF($LB341=40%,VLOOKUP($AW341,'Jan-2026 rates'!$L:$R,5,0),IF($LB341=30%,VLOOKUP($AW341,'Jan-2026 rates'!$L:$R,6,0),IF($LB341=100%,VLOOKUP($AW341,'Jan-2026 rates'!$L:$R,7,0),IF($LB341=60%,VLOOKUP($AW341,'Jan-2026 rates'!$L:$S,8,0),IF($LB341=80%,VLOOKUP($AW341,'Jan-2026 rates'!L:T,9,0),0))))))))</f>
        <v>0</v>
      </c>
      <c r="AZ341" s="412"/>
      <c r="BA341" s="409"/>
      <c r="BB341" s="411">
        <f>IF(BA341=0,0,IF($LB341=70%,VLOOKUP($AW341,'Jan-2026 rates'!$L:$R,4,0),IF($LB341=65%,VLOOKUP($AW341,'Jan-2026 rates'!$L:$R,4,0),IF($LB341=40%,VLOOKUP($AW341,'Jan-2026 rates'!$L:$R,5,0),IF($LB341=30%,VLOOKUP($AW341,'Jan-2026 rates'!$L:$R,6,0),IF($LB341=100%,VLOOKUP($AW341,'Jan-2026 rates'!$L:$R,7,0),IF($LB341=60%,VLOOKUP($AW341,'Jan-2026 rates'!$L:$S,8,0),IF($LB341=80%,VLOOKUP($AW341,'Jan-2026 rates'!L:T,9,0),0))))))))</f>
        <v>0</v>
      </c>
      <c r="BC341" s="413" t="s">
        <v>1248</v>
      </c>
      <c r="BD341" s="412" t="s">
        <v>1246</v>
      </c>
      <c r="BE341" s="412"/>
      <c r="BF341" s="413"/>
      <c r="BG341" s="412"/>
      <c r="BH341" s="412"/>
      <c r="BI341" s="412"/>
      <c r="BJ341" s="412"/>
      <c r="BK341" s="409">
        <v>5</v>
      </c>
      <c r="BL341" s="398">
        <f>IF(BK341=0,0,IF(LEN(BC341)=11,_xlfn.XLOOKUP(BC341,'Dispensed Ink Rates'!C:C,'Dispensed Ink Rates'!CS:CS),VLOOKUP(BC341,'Jan-2026 rates'!$E:$F,2,0)))</f>
        <v>0</v>
      </c>
      <c r="BM341" s="409">
        <v>2</v>
      </c>
      <c r="BN341" s="398">
        <f>IF(BM341=0,0,IF(LEN(BD341)=11,_xlfn.XLOOKUP(BD341,'Dispensed Ink Rates'!C:C,'Dispensed Ink Rates'!CS:CS),VLOOKUP(BD341,'Jan-2026 rates'!$E:$F,2,0)))</f>
        <v>0</v>
      </c>
      <c r="BO341" s="409"/>
      <c r="BP341" s="398">
        <f>IF(BO341=0,0,IF(LEN(BE341)=11,_xlfn.XLOOKUP(BE341,'Dispensed Ink Rates'!C:C,'Dispensed Ink Rates'!CS:CS),VLOOKUP(BE341,'Jan-2026 rates'!$E:$F,2,0)))</f>
        <v>0</v>
      </c>
      <c r="BQ341" s="409"/>
      <c r="BR341" s="398">
        <f>IF(BQ341=0,0,IF(LEN(BF341)=11,_xlfn.XLOOKUP(BF341,'Dispensed Ink Rates'!C:C,'Dispensed Ink Rates'!CS:CS),VLOOKUP(BF341,'Jan-2026 rates'!$E:$F,2,0)))</f>
        <v>0</v>
      </c>
      <c r="BS341" s="409"/>
      <c r="BT341" s="398">
        <f>IF(BS341=0,0,IF(LEN(BG341)=11,_xlfn.XLOOKUP(BG341,'Dispensed Ink Rates'!C:C,'Dispensed Ink Rates'!CS:CS),VLOOKUP(BG341,'Jan-2026 rates'!$E:$F,2,0)))</f>
        <v>0</v>
      </c>
      <c r="BU341" s="409"/>
      <c r="BV341" s="398">
        <f>IF(BU341=0,0,IF(LEN(BH341)=11,_xlfn.XLOOKUP(BH341,'Dispensed Ink Rates'!C:C,'Dispensed Ink Rates'!CS:CS),VLOOKUP(BH341,'Jan-2026 rates'!$E:$F,2,0)))</f>
        <v>0</v>
      </c>
      <c r="BW341" s="409"/>
      <c r="BX341" s="398">
        <f>IF(BW341=0,0,IF(LEN(BI341)=11,_xlfn.XLOOKUP(BI341,'Dispensed Ink Rates'!C:C,'Dispensed Ink Rates'!CS:CS),VLOOKUP(BI341,'Jan-2026 rates'!$E:$F,2,0)))</f>
        <v>0</v>
      </c>
      <c r="BY341" s="409"/>
      <c r="BZ341" s="398">
        <f>IF(BY341=0,0,IF(LEN(BJ341)=11,_xlfn.XLOOKUP(BJ341,'Dispensed Ink Rates'!C:C,'Dispensed Ink Rates'!CS:CS),VLOOKUP(BJ341,'Jan-2026 rates'!$E:$F,2,0)))</f>
        <v>0</v>
      </c>
      <c r="CA341" s="409" t="s">
        <v>1881</v>
      </c>
      <c r="CB341" s="409">
        <f>11+15</f>
        <v>26</v>
      </c>
      <c r="CC341" s="411">
        <f t="shared" si="215"/>
        <v>0</v>
      </c>
      <c r="CD341" s="411">
        <f t="shared" si="216"/>
        <v>5.8571428571428577</v>
      </c>
      <c r="CE341" s="410">
        <f t="shared" si="217"/>
        <v>0</v>
      </c>
      <c r="CF341" s="404" t="s">
        <v>545</v>
      </c>
      <c r="CG341" s="409" t="s">
        <v>4662</v>
      </c>
      <c r="CH341" s="420" t="str">
        <f t="shared" si="185"/>
        <v>ToyoLi - YELLOW</v>
      </c>
      <c r="CI341" s="409">
        <v>28</v>
      </c>
      <c r="CJ341" s="411">
        <f>IF(CI341=0,0,IF($LB341=70%,VLOOKUP($CH341,'Jan-2026 rates'!$L:$R,4,0),IF($LB341=65%,VLOOKUP($CH341,'Jan-2026 rates'!$L:$R,4,0),IF($LB341=40%,VLOOKUP($CH341,'Jan-2026 rates'!$L:$R,5,0),IF($LB341=30%,VLOOKUP($CH341,'Jan-2026 rates'!$L:$R,6,0),IF($LB341=100%,VLOOKUP($CH341,'Jan-2026 rates'!$L:$R,7,0),IF($LB341=60%,VLOOKUP($CH341,'Jan-2026 rates'!$L:$S,8,0),IF($LB341=80%,VLOOKUP($CH341,'Jan-2026 rates'!L:T,9,0),0))))))))</f>
        <v>0</v>
      </c>
      <c r="CK341" s="412"/>
      <c r="CL341" s="409"/>
      <c r="CM341" s="411">
        <f>IF(CL341=0,0,IF($LB341=70%,VLOOKUP($CH341,'Jan-2026 rates'!$L:$R,4,0),IF($LB341=65%,VLOOKUP($CH341,'Jan-2026 rates'!$L:$R,4,0),IF($LB341=40%,VLOOKUP($CH341,'Jan-2026 rates'!$L:$R,5,0),IF($LB341=30%,VLOOKUP($CH341,'Jan-2026 rates'!$L:$R,6,0),IF($LB341=100%,VLOOKUP($CH341,'Jan-2026 rates'!$L:$R,7,0),IF($LB341=60%,VLOOKUP($CH341,'Jan-2026 rates'!$L:$S,8,0),IF($LB341=80%,VLOOKUP($CH341,'Jan-2026 rates'!L:T,9,0),0))))))))</f>
        <v>0</v>
      </c>
      <c r="CN341" s="426"/>
      <c r="CO341" s="427"/>
      <c r="CP341" s="426"/>
      <c r="CQ341" s="426"/>
      <c r="CR341" s="428"/>
      <c r="CS341" s="428"/>
      <c r="CT341" s="428"/>
      <c r="CU341" s="428"/>
      <c r="CV341" s="409"/>
      <c r="CW341" s="398">
        <f>IF(CV341=0,0,IF(LEN(CN341)=11,_xlfn.XLOOKUP(CN341,'Dispensed Ink Rates'!C:C,'Dispensed Ink Rates'!CS:CS),VLOOKUP(CN341,'Jan-2026 rates'!$E:$F,2,0)))</f>
        <v>0</v>
      </c>
      <c r="CX341" s="409"/>
      <c r="CY341" s="398">
        <f>IF(CX341=0,0,IF(LEN(CO341)=11,_xlfn.XLOOKUP(CO341,'Dispensed Ink Rates'!C:C,'Dispensed Ink Rates'!CS:CS),VLOOKUP(CO341,'Jan-2026 rates'!$E:$F,2,0)))</f>
        <v>0</v>
      </c>
      <c r="CZ341" s="409"/>
      <c r="DA341" s="398">
        <f>IF(CZ341=0,0,IF(LEN(CP341)=11,_xlfn.XLOOKUP(CP341,'Dispensed Ink Rates'!C:C,'Dispensed Ink Rates'!CS:CS),VLOOKUP(CP341,'Jan-2026 rates'!$E:$F,2,0)))</f>
        <v>0</v>
      </c>
      <c r="DB341" s="409"/>
      <c r="DC341" s="398">
        <f>IF(DB341=0,0,IF(LEN(CQ341)=11,_xlfn.XLOOKUP(CQ341,'Dispensed Ink Rates'!C:C,'Dispensed Ink Rates'!CS:CS),VLOOKUP(CQ341,'Jan-2026 rates'!$E:$F,2,0)))</f>
        <v>0</v>
      </c>
      <c r="DD341" s="409"/>
      <c r="DE341" s="398">
        <f>IF(DD341=0,0,IF(LEN(CR341)=11,_xlfn.XLOOKUP(CR341,'Dispensed Ink Rates'!C:C,'Dispensed Ink Rates'!CS:CS),VLOOKUP(CR341,'Jan-2026 rates'!$E:$F,2,0)))</f>
        <v>0</v>
      </c>
      <c r="DF341" s="409"/>
      <c r="DG341" s="398">
        <f>IF(DF341=0,0,IF(LEN(CS341)=11,_xlfn.XLOOKUP(CS341,'Dispensed Ink Rates'!C:C,'Dispensed Ink Rates'!CS:CS),VLOOKUP(CS341,'Jan-2026 rates'!$E:$F,2,0)))</f>
        <v>0</v>
      </c>
      <c r="DH341" s="409"/>
      <c r="DI341" s="398">
        <f>IF(DH341=0,0,IF(LEN(CT341)=11,_xlfn.XLOOKUP(CT341,'Dispensed Ink Rates'!C:C,'Dispensed Ink Rates'!CS:CS),VLOOKUP(CT341,'Jan-2026 rates'!$E:$F,2,0)))</f>
        <v>0</v>
      </c>
      <c r="DJ341" s="409"/>
      <c r="DK341" s="398">
        <f>IF(DJ341=0,0,IF(LEN(CU341)=11,_xlfn.XLOOKUP(CU341,'Dispensed Ink Rates'!C:C,'Dispensed Ink Rates'!CS:CS),VLOOKUP(CU341,'Jan-2026 rates'!$E:$F,2,0)))</f>
        <v>0</v>
      </c>
      <c r="DL341" s="409" t="s">
        <v>1881</v>
      </c>
      <c r="DM341" s="409">
        <v>20</v>
      </c>
      <c r="DN341" s="411">
        <f t="shared" si="218"/>
        <v>0</v>
      </c>
      <c r="DO341" s="411">
        <f t="shared" si="219"/>
        <v>19.428571428571431</v>
      </c>
      <c r="DP341" s="410">
        <f t="shared" si="220"/>
        <v>0</v>
      </c>
      <c r="DQ341" s="405" t="s">
        <v>856</v>
      </c>
      <c r="DR341" s="409" t="s">
        <v>4663</v>
      </c>
      <c r="DS341" s="420" t="str">
        <f t="shared" si="186"/>
        <v>ToyoLi - WHITE</v>
      </c>
      <c r="DT341" s="409">
        <v>25</v>
      </c>
      <c r="DU341" s="411">
        <f>IF(DT341=0,0,IF($LB341=70%,VLOOKUP($DS341,'Jan-2026 rates'!$L:$R,4,0),IF($LB341=65%,VLOOKUP($DS341,'Jan-2026 rates'!$L:$R,4,0),IF($LB341=40%,VLOOKUP($DS341,'Jan-2026 rates'!$L:$R,5,0),IF($LB341=30%,VLOOKUP($DS341,'Jan-2026 rates'!$L:$R,6,0),IF($LB341=100%,VLOOKUP($DS341,'Jan-2026 rates'!$L:$R,7,0),IF($LB341=60%,VLOOKUP($DS341,'Jan-2026 rates'!$L:$S,8,0),IF($LB341=80%,VLOOKUP($DS341,'Jan-2026 rates'!L:T,9,0),0))))))))</f>
        <v>0</v>
      </c>
      <c r="DV341" s="412"/>
      <c r="DW341" s="409"/>
      <c r="DX341" s="411">
        <f>IF(DW341=0,0,IF($LB341=70%,VLOOKUP($DS341,'Jan-2026 rates'!$L:$R,4,0),IF($LB341=65%,VLOOKUP($DS341,'Jan-2026 rates'!$L:$R,4,0),IF($LB341=40%,VLOOKUP($DS341,'Jan-2026 rates'!$L:$R,5,0),IF($LB341=30%,VLOOKUP($DS341,'Jan-2026 rates'!$L:$R,6,0),IF($LB341=100%,VLOOKUP($DS341,'Jan-2026 rates'!$L:$R,7,0),IF($LB341=60%,VLOOKUP($DS341,'Jan-2026 rates'!$L:$S,8,0),IF($LB341=80%,VLOOKUP($DS341,'Jan-2026 rates'!L:T,9,0),0))))))))</f>
        <v>0</v>
      </c>
      <c r="DY341" s="413" t="s">
        <v>1249</v>
      </c>
      <c r="DZ341" s="413" t="s">
        <v>1122</v>
      </c>
      <c r="EA341" s="412"/>
      <c r="EB341" s="412"/>
      <c r="EC341" s="412"/>
      <c r="ED341" s="412"/>
      <c r="EE341" s="412"/>
      <c r="EF341" s="412"/>
      <c r="EG341" s="409">
        <v>15</v>
      </c>
      <c r="EH341" s="398">
        <f>IF(EG341=0,0,IF(LEN(DY341)=11,_xlfn.XLOOKUP(DY341,'Dispensed Ink Rates'!C:C,'Dispensed Ink Rates'!CS:CS),VLOOKUP(DY341,'Jan-2026 rates'!$E:$F,2,0)))</f>
        <v>0</v>
      </c>
      <c r="EI341" s="409">
        <v>2.2799999999999998</v>
      </c>
      <c r="EJ341" s="398">
        <f>IF(EI341=0,0,IF(LEN(DZ341)=11,_xlfn.XLOOKUP(DZ341,'Dispensed Ink Rates'!C:C,'Dispensed Ink Rates'!CS:CS),VLOOKUP(DZ341,'Jan-2026 rates'!$E:$F,2,0)))</f>
        <v>0</v>
      </c>
      <c r="EK341" s="409"/>
      <c r="EL341" s="398">
        <f>IF(EK341=0,0,IF(LEN(EA341)=11,_xlfn.XLOOKUP(EA341,'Dispensed Ink Rates'!C:C,'Dispensed Ink Rates'!CS:CS),VLOOKUP(EA341,'Jan-2026 rates'!$E:$F,2,0)))</f>
        <v>0</v>
      </c>
      <c r="EM341" s="409"/>
      <c r="EN341" s="398">
        <f>IF(EM341=0,0,IF(LEN(EB341)=11,_xlfn.XLOOKUP(EB341,'Dispensed Ink Rates'!C:C,'Dispensed Ink Rates'!CS:CS),VLOOKUP(EB341,'Jan-2026 rates'!$E:$F,2,0)))</f>
        <v>0</v>
      </c>
      <c r="EO341" s="409"/>
      <c r="EP341" s="398">
        <f>IF(EO341=0,0,IF(LEN(EC341)=11,_xlfn.XLOOKUP(EC341,'Dispensed Ink Rates'!C:C,'Dispensed Ink Rates'!CS:CS),VLOOKUP(EC341,'Jan-2026 rates'!$E:$F,2,0)))</f>
        <v>0</v>
      </c>
      <c r="EQ341" s="409"/>
      <c r="ER341" s="398">
        <f>IF(EQ341=0,0,IF(LEN(ED341)=11,_xlfn.XLOOKUP(ED341,'Dispensed Ink Rates'!C:C,'Dispensed Ink Rates'!CS:CS),VLOOKUP(ED341,'Jan-2026 rates'!$E:$F,2,0)))</f>
        <v>0</v>
      </c>
      <c r="ES341" s="409"/>
      <c r="ET341" s="398">
        <f>IF(ES341=0,0,IF(LEN(EE341)=11,_xlfn.XLOOKUP(EE341,'Dispensed Ink Rates'!C:C,'Dispensed Ink Rates'!CS:CS),VLOOKUP(EE341,'Jan-2026 rates'!$E:$F,2,0)))</f>
        <v>0</v>
      </c>
      <c r="EU341" s="409"/>
      <c r="EV341" s="398">
        <f>IF(EU341=0,0,IF(LEN(EF341)=11,_xlfn.XLOOKUP(EF341,'Dispensed Ink Rates'!C:C,'Dispensed Ink Rates'!CS:CS),VLOOKUP(EF341,'Jan-2026 rates'!$E:$F,2,0)))</f>
        <v>0</v>
      </c>
      <c r="EW341" s="409" t="s">
        <v>1881</v>
      </c>
      <c r="EX341" s="409">
        <v>27</v>
      </c>
      <c r="EY341" s="411">
        <f t="shared" si="221"/>
        <v>0</v>
      </c>
      <c r="EZ341" s="411">
        <f t="shared" si="222"/>
        <v>33.565714285714286</v>
      </c>
      <c r="FA341" s="410">
        <f t="shared" si="223"/>
        <v>0</v>
      </c>
      <c r="FB341" s="405"/>
      <c r="FC341" s="409"/>
      <c r="FD341" s="420" t="str">
        <f t="shared" si="187"/>
        <v xml:space="preserve"> - </v>
      </c>
      <c r="FE341" s="409"/>
      <c r="FF341" s="411">
        <f>IF(FE341=0,0,IF($LB341=70%,VLOOKUP($FD341,'Jan-2026 rates'!$L:$R,4,0),IF($LB341=65%,VLOOKUP($FD341,'Jan-2026 rates'!$L:$R,4,0),IF($LB341=40%,VLOOKUP($FD341,'Jan-2026 rates'!$L:$R,5,0),IF($LB341=30%,VLOOKUP($FD341,'Jan-2026 rates'!$L:$R,6,0),IF($LB341=100%,VLOOKUP($FD341,'Jan-2026 rates'!$L:$R,7,0),IF($LB341=60%,VLOOKUP($FD341,'Jan-2026 rates'!$L:$S,8,0),IF($LB341=80%,VLOOKUP($FD341,'Jan-2026 rates'!L:T,9,0),0))))))))</f>
        <v>0</v>
      </c>
      <c r="FG341" s="412"/>
      <c r="FH341" s="409"/>
      <c r="FI341" s="411">
        <f>IF(FH341=0,0,IF($LB341=70%,VLOOKUP($FD341,'Jan-2026 rates'!$L:$R,4,0),IF($LB341=65%,VLOOKUP($FD341,'Jan-2026 rates'!$L:$R,4,0),IF($LB341=40%,VLOOKUP($FD341,'Jan-2026 rates'!$L:$R,5,0),IF($LB341=30%,VLOOKUP($FD341,'Jan-2026 rates'!$L:$R,6,0),IF($LB341=100%,VLOOKUP($FD341,'Jan-2026 rates'!$L:$R,7,0),IF($LB341=60%,VLOOKUP($FD341,'Jan-2026 rates'!$L:$S,8,0),IF($LB341=80%,VLOOKUP($FD341,'Jan-2026 rates'!L:T,9,0),0))))))))</f>
        <v>0</v>
      </c>
      <c r="FJ341" s="413"/>
      <c r="FK341" s="413"/>
      <c r="FL341" s="413"/>
      <c r="FM341" s="412"/>
      <c r="FN341" s="412"/>
      <c r="FO341" s="412"/>
      <c r="FP341" s="412"/>
      <c r="FQ341" s="412"/>
      <c r="FR341" s="409"/>
      <c r="FS341" s="398">
        <f>IF(FR341=0,0,IF(LEN(FJ341)=11,_xlfn.XLOOKUP(FJ341,'Dispensed Ink Rates'!C:C,'Dispensed Ink Rates'!CS:CS),VLOOKUP(FJ341,'Jan-2026 rates'!$E:$F,2,0)))</f>
        <v>0</v>
      </c>
      <c r="FT341" s="409"/>
      <c r="FU341" s="398">
        <f>IF(FT341=0,0,IF(LEN(FK341)=11,_xlfn.XLOOKUP(FK341,'Dispensed Ink Rates'!C:C,'Dispensed Ink Rates'!CS:CS),VLOOKUP(FK341,'Jan-2026 rates'!$E:$F,2,0)))</f>
        <v>0</v>
      </c>
      <c r="FV341" s="409"/>
      <c r="FW341" s="398">
        <f>IF(FV341=0,0,IF(LEN(FL341)=11,_xlfn.XLOOKUP(FL341,'Dispensed Ink Rates'!C:C,'Dispensed Ink Rates'!CS:CS),VLOOKUP(FL341,'Jan-2026 rates'!$E:$F,2,0)))</f>
        <v>0</v>
      </c>
      <c r="FX341" s="409"/>
      <c r="FY341" s="398">
        <f>IF(FX341=0,0,IF(LEN(FM341)=11,_xlfn.XLOOKUP(FM341,'Dispensed Ink Rates'!C:C,'Dispensed Ink Rates'!CS:CS),VLOOKUP(FM341,'Jan-2026 rates'!$E:$F,2,0)))</f>
        <v>0</v>
      </c>
      <c r="FZ341" s="409"/>
      <c r="GA341" s="398">
        <f>IF(FZ341=0,0,IF(LEN(FN341)=11,_xlfn.XLOOKUP(FN341,'Dispensed Ink Rates'!C:C,'Dispensed Ink Rates'!CS:CS),VLOOKUP(FN341,'Jan-2026 rates'!$E:$F,2,0)))</f>
        <v>0</v>
      </c>
      <c r="GB341" s="409"/>
      <c r="GC341" s="398">
        <f>IF(GB341=0,0,IF(LEN(FO341)=11,_xlfn.XLOOKUP(FO341,'Dispensed Ink Rates'!C:C,'Dispensed Ink Rates'!CS:CS),VLOOKUP(FO341,'Jan-2026 rates'!$E:$F,2,0)))</f>
        <v>0</v>
      </c>
      <c r="GD341" s="409"/>
      <c r="GE341" s="398">
        <f>IF(GD341=0,0,IF(LEN(FP341)=11,_xlfn.XLOOKUP(FP341,'Dispensed Ink Rates'!C:C,'Dispensed Ink Rates'!CS:CS),VLOOKUP(FP341,'Jan-2026 rates'!$E:$F,2,0)))</f>
        <v>0</v>
      </c>
      <c r="GF341" s="409"/>
      <c r="GG341" s="398">
        <f>IF(GF341=0,0,IF(LEN(FQ341)=11,_xlfn.XLOOKUP(FQ341,'Dispensed Ink Rates'!C:C,'Dispensed Ink Rates'!CS:CS),VLOOKUP(FQ341,'Jan-2026 rates'!$E:$F,2,0)))</f>
        <v>0</v>
      </c>
      <c r="GH341" s="409"/>
      <c r="GI341" s="409"/>
      <c r="GJ341" s="411">
        <f t="shared" si="224"/>
        <v>0</v>
      </c>
      <c r="GK341" s="411">
        <f t="shared" si="225"/>
        <v>0</v>
      </c>
      <c r="GL341" s="410">
        <f t="shared" si="226"/>
        <v>0</v>
      </c>
      <c r="GM341" s="405"/>
      <c r="GN341" s="409"/>
      <c r="GO341" s="420" t="str">
        <f t="shared" si="188"/>
        <v xml:space="preserve"> - </v>
      </c>
      <c r="GP341" s="409"/>
      <c r="GQ341" s="411">
        <f>IF(GP341=0,0,IF($LB341=70%,VLOOKUP($GO341,'Jan-2026 rates'!$L:$R,4,0),IF($LB341=65%,VLOOKUP($GO341,'Jan-2026 rates'!$L:$R,4,0),IF($LB341=40%,VLOOKUP($GO341,'Jan-2026 rates'!$L:$R,5,0),IF($LB341=30%,VLOOKUP($GO341,'Jan-2026 rates'!$L:$R,6,0),IF($LB341=100%,VLOOKUP($GO341,'Jan-2026 rates'!$L:$R,7,0),IF($LB341=60%,VLOOKUP($GO341,'Jan-2026 rates'!$L:$S,8,0),IF($LB341=80%,VLOOKUP($GO341,'Jan-2026 rates'!L:T,9,0),0))))))))</f>
        <v>0</v>
      </c>
      <c r="GR341" s="412"/>
      <c r="GS341" s="409"/>
      <c r="GT341" s="411">
        <f>IF(GS341=0,0,IF($LB341=70%,VLOOKUP($GO341,'Jan-2026 rates'!$L:$R,4,0),IF($LB341=65%,VLOOKUP($GO341,'Jan-2026 rates'!$L:$R,4,0),IF($LB341=40%,VLOOKUP($GO341,'Jan-2026 rates'!$L:$R,5,0),IF($LB341=30%,VLOOKUP($GO341,'Jan-2026 rates'!$L:$R,6,0),IF($LB341=100%,VLOOKUP($GO341,'Jan-2026 rates'!$L:$R,7,0),IF($LB341=60%,VLOOKUP($GO341,'Jan-2026 rates'!$L:$S,8,0),IF($LB341=80%,VLOOKUP($GO341,'Jan-2026 rates'!L:T,9,0),0))))))))</f>
        <v>0</v>
      </c>
      <c r="GU341" s="413"/>
      <c r="GV341" s="413"/>
      <c r="GW341" s="412"/>
      <c r="GX341" s="412"/>
      <c r="GY341" s="412"/>
      <c r="GZ341" s="412"/>
      <c r="HA341" s="412"/>
      <c r="HB341" s="412"/>
      <c r="HC341" s="409"/>
      <c r="HD341" s="398">
        <f>IF(HC341=0,0,IF(LEN(GU341)=11,_xlfn.XLOOKUP(GU341,'Dispensed Ink Rates'!C:C,'Dispensed Ink Rates'!CS:CS),VLOOKUP(GU341,'Jan-2026 rates'!$E:$F,2,0)))</f>
        <v>0</v>
      </c>
      <c r="HE341" s="409"/>
      <c r="HF341" s="398">
        <f>IF(HE341=0,0,IF(LEN(GV341)=11,_xlfn.XLOOKUP(GV341,'Dispensed Ink Rates'!C:C,'Dispensed Ink Rates'!CS:CS),VLOOKUP(GV341,'Jan-2026 rates'!$E:$F,2,0)))</f>
        <v>0</v>
      </c>
      <c r="HG341" s="409"/>
      <c r="HH341" s="398">
        <f>IF(HG341=0,0,IF(LEN(GW341)=11,_xlfn.XLOOKUP(GW341,'Dispensed Ink Rates'!C:C,'Dispensed Ink Rates'!CS:CS),VLOOKUP(GW341,'Jan-2026 rates'!$E:$F,2,0)))</f>
        <v>0</v>
      </c>
      <c r="HI341" s="409"/>
      <c r="HJ341" s="398">
        <f>IF(HI341=0,0,IF(LEN(GX341)=11,_xlfn.XLOOKUP(GX341,'Dispensed Ink Rates'!C:C,'Dispensed Ink Rates'!CS:CS),VLOOKUP(GX341,'Jan-2026 rates'!$E:$F,2,0)))</f>
        <v>0</v>
      </c>
      <c r="HK341" s="409"/>
      <c r="HL341" s="398">
        <f>IF(HK341=0,0,IF(LEN(GY341)=11,_xlfn.XLOOKUP(GY341,'Dispensed Ink Rates'!C:C,'Dispensed Ink Rates'!CS:CS),VLOOKUP(GY341,'Jan-2026 rates'!$E:$F,2,0)))</f>
        <v>0</v>
      </c>
      <c r="HM341" s="409"/>
      <c r="HN341" s="398">
        <f>IF(HM341=0,0,IF(LEN(GZ341)=11,_xlfn.XLOOKUP(GZ341,'Dispensed Ink Rates'!C:C,'Dispensed Ink Rates'!CS:CS),VLOOKUP(GZ341,'Jan-2026 rates'!$E:$F,2,0)))</f>
        <v>0</v>
      </c>
      <c r="HO341" s="409"/>
      <c r="HP341" s="398">
        <f>IF(HO341=0,0,IF(LEN(HA341)=11,_xlfn.XLOOKUP(HA341,'Dispensed Ink Rates'!C:C,'Dispensed Ink Rates'!CS:CS),VLOOKUP(HA341,'Jan-2026 rates'!$E:$F,2,0)))</f>
        <v>0</v>
      </c>
      <c r="HQ341" s="409"/>
      <c r="HR341" s="398">
        <f>IF(HQ341=0,0,IF(LEN(HB341)=11,_xlfn.XLOOKUP(HB341,'Dispensed Ink Rates'!C:C,'Dispensed Ink Rates'!CS:CS),VLOOKUP(HB341,'Jan-2026 rates'!$E:$F,2,0)))</f>
        <v>0</v>
      </c>
      <c r="HS341" s="409"/>
      <c r="HT341" s="409"/>
      <c r="HU341" s="411">
        <f t="shared" si="227"/>
        <v>0</v>
      </c>
      <c r="HV341" s="411">
        <f t="shared" si="228"/>
        <v>0</v>
      </c>
      <c r="HW341" s="414">
        <f t="shared" si="229"/>
        <v>0</v>
      </c>
      <c r="HX341" s="405"/>
      <c r="HY341" s="409"/>
      <c r="HZ341" s="420" t="str">
        <f t="shared" si="189"/>
        <v xml:space="preserve"> - </v>
      </c>
      <c r="IA341" s="409"/>
      <c r="IB341" s="411">
        <f>IF(IA341=0,0,IF($LB341=70%,VLOOKUP($HZ341,'Jan-2026 rates'!$L:$R,4,0),IF($LB341=65%,VLOOKUP($HZ341,'Jan-2026 rates'!$L:$R,4,0),IF($LB341=40%,VLOOKUP($HZ341,'Jan-2026 rates'!$L:$R,5,0),IF($LB341=30%,VLOOKUP($HZ341,'Jan-2026 rates'!$L:$R,6,0),IF($LB341=100%,VLOOKUP($HZ341,'Jan-2026 rates'!$L:$R,7,0),IF($LB341=60%,VLOOKUP($HZ341,'Jan-2026 rates'!$L:$S,8,0),IF($LB341=80%,VLOOKUP($HZ341,'Jan-2026 rates'!L:T,9,0),0))))))))</f>
        <v>0</v>
      </c>
      <c r="IC341" s="412"/>
      <c r="ID341" s="409"/>
      <c r="IE341" s="411">
        <f>IF(ID341=0,0,IF($LB341=70%,VLOOKUP($HZ341,'Jan-2026 rates'!$L:$R,4,0),IF($LB341=65%,VLOOKUP($HZ341,'Jan-2026 rates'!$L:$R,4,0),IF($LB341=40%,VLOOKUP($HZ341,'Jan-2026 rates'!$L:$R,5,0),IF($LB341=30%,VLOOKUP($HZ341,'Jan-2026 rates'!$L:$R,6,0),IF($LB341=100%,VLOOKUP($HZ341,'Jan-2026 rates'!$L:$R,7,0),IF($LB341=60%,VLOOKUP($HZ341,'Jan-2026 rates'!$L:$S,8,0),IF($LB341=80%,VLOOKUP($HZ341,'Jan-2026 rates'!L:T,9,0),0))))))))</f>
        <v>0</v>
      </c>
      <c r="IF341" s="412"/>
      <c r="IG341" s="413"/>
      <c r="IH341" s="412"/>
      <c r="II341" s="412"/>
      <c r="IJ341" s="412"/>
      <c r="IK341" s="412"/>
      <c r="IL341" s="412"/>
      <c r="IM341" s="412"/>
      <c r="IN341" s="409"/>
      <c r="IO341" s="398">
        <f>IF(IN341=0,0,IF(LEN(IF341)=11,_xlfn.XLOOKUP(IF341,'Dispensed Ink Rates'!C:C,'Dispensed Ink Rates'!CS:CS),VLOOKUP(IF341,'Jan-2026 rates'!$E:$F,2,0)))</f>
        <v>0</v>
      </c>
      <c r="IP341" s="409"/>
      <c r="IQ341" s="398">
        <f>IF(IP341=0,0,IF(LEN(IG341)=11,_xlfn.XLOOKUP(IG341,'Dispensed Ink Rates'!C:C,'Dispensed Ink Rates'!CS:CS),VLOOKUP(IG341,'Jan-2026 rates'!$E:$F,2,0)))</f>
        <v>0</v>
      </c>
      <c r="IR341" s="409"/>
      <c r="IS341" s="398">
        <f>IF(IR341=0,0,IF(LEN(IH341)=11,_xlfn.XLOOKUP(IH341,'Dispensed Ink Rates'!C:C,'Dispensed Ink Rates'!CS:CS),VLOOKUP(IH341,'Jan-2026 rates'!$E:$F,2,0)))</f>
        <v>0</v>
      </c>
      <c r="IT341" s="409"/>
      <c r="IU341" s="398">
        <f>IF(IT341=0,0,IF(LEN(II341)=11,_xlfn.XLOOKUP(II341,'Dispensed Ink Rates'!C:C,'Dispensed Ink Rates'!CS:CS),VLOOKUP(II341,'Jan-2026 rates'!$E:$F,2,0)))</f>
        <v>0</v>
      </c>
      <c r="IV341" s="409"/>
      <c r="IW341" s="398">
        <f>IF(IV341=0,0,IF(LEN(IJ341)=11,_xlfn.XLOOKUP(IJ341,'Dispensed Ink Rates'!C:C,'Dispensed Ink Rates'!CS:CS),VLOOKUP(IJ341,'Jan-2026 rates'!$E:$F,2,0)))</f>
        <v>0</v>
      </c>
      <c r="IX341" s="409"/>
      <c r="IY341" s="398">
        <f>IF(IX341=0,0,IF(LEN(IK341)=11,_xlfn.XLOOKUP(IK341,'Dispensed Ink Rates'!C:C,'Dispensed Ink Rates'!CS:CS),VLOOKUP(IK341,'Jan-2026 rates'!$E:$F,2,0)))</f>
        <v>0</v>
      </c>
      <c r="IZ341" s="409"/>
      <c r="JA341" s="398">
        <f>IF(IZ341=0,0,IF(LEN(IL341)=11,_xlfn.XLOOKUP(IL341,'Dispensed Ink Rates'!C:C,'Dispensed Ink Rates'!CS:CS),VLOOKUP(IL341,'Jan-2026 rates'!$E:$F,2,0)))</f>
        <v>0</v>
      </c>
      <c r="JB341" s="409"/>
      <c r="JC341" s="398">
        <f>IF(JB341=0,0,IF(LEN(IM341)=11,_xlfn.XLOOKUP(IM341,'Dispensed Ink Rates'!C:C,'Dispensed Ink Rates'!CS:CS),VLOOKUP(IM341,'Jan-2026 rates'!$E:$F,2,0)))</f>
        <v>0</v>
      </c>
      <c r="JD341" s="409"/>
      <c r="JE341" s="409"/>
      <c r="JF341" s="411">
        <f t="shared" si="230"/>
        <v>0</v>
      </c>
      <c r="JG341" s="411">
        <f t="shared" si="231"/>
        <v>0</v>
      </c>
      <c r="JH341" s="410">
        <f t="shared" si="232"/>
        <v>0</v>
      </c>
      <c r="JI341" s="405"/>
      <c r="JJ341" s="409"/>
      <c r="JK341" s="420" t="str">
        <f t="shared" si="190"/>
        <v xml:space="preserve"> - </v>
      </c>
      <c r="JL341" s="409"/>
      <c r="JM341" s="411">
        <f>IF(JL341=0,0,IF($LB341=70%,VLOOKUP($JK341,'Jan-2026 rates'!$L:$R,4,0),IF($LB341=65%,VLOOKUP($JK341,'Jan-2026 rates'!$L:$R,4,0),IF($LB341=40%,VLOOKUP($JK341,'Jan-2026 rates'!$L:$R,5,0),IF($LB341=30%,VLOOKUP($JK341,'Jan-2026 rates'!$L:$R,6,0),IF($LB341=100%,VLOOKUP($JK341,'Jan-2026 rates'!$L:$R,7,0),IF($LB341=60%,VLOOKUP($JK341,'Jan-2026 rates'!$L:$S,8,0),IF($LB341=80%,VLOOKUP($JK341,'Jan-2026 rates'!L:T,9,0),0))))))))</f>
        <v>0</v>
      </c>
      <c r="JN341" s="412"/>
      <c r="JO341" s="409"/>
      <c r="JP341" s="411">
        <f>IF(JO341=0,0,IF($LB341=70%,VLOOKUP($JK341,'Jan-2026 rates'!$L:$R,4,0),IF($LB341=65%,VLOOKUP($JK341,'Jan-2026 rates'!$L:$R,4,0),IF($LB341=40%,VLOOKUP($JK341,'Jan-2026 rates'!$L:$R,5,0),IF($LB341=30%,VLOOKUP($JK341,'Jan-2026 rates'!$L:$R,6,0),IF($LB341=100%,VLOOKUP($JK341,'Jan-2026 rates'!$L:$R,7,0),IF($LB341=60%,VLOOKUP($JK341,'Jan-2026 rates'!$L:$S,8,0),IF($LB341=80%,VLOOKUP($JK341,'Jan-2026 rates'!L:T,9,0),0))))))))</f>
        <v>0</v>
      </c>
      <c r="JQ341" s="413"/>
      <c r="JR341" s="412"/>
      <c r="JS341" s="413"/>
      <c r="JT341" s="413"/>
      <c r="JU341" s="412"/>
      <c r="JV341" s="412"/>
      <c r="JW341" s="412"/>
      <c r="JX341" s="412"/>
      <c r="JY341" s="409"/>
      <c r="JZ341" s="398">
        <f>IF(JY341=0,0,IF(LEN(JQ341)=11,_xlfn.XLOOKUP(JQ341,'Dispensed Ink Rates'!C:C,'Dispensed Ink Rates'!CS:CS),VLOOKUP(JQ341,'Jan-2026 rates'!$E:$F,2,0)))</f>
        <v>0</v>
      </c>
      <c r="KA341" s="409"/>
      <c r="KB341" s="398">
        <f>IF(KA341=0,0,IF(LEN(JR341)=11,_xlfn.XLOOKUP(JR341,'Dispensed Ink Rates'!C:C,'Dispensed Ink Rates'!CS:CS),VLOOKUP(JR341,'Jan-2026 rates'!$E:$F,2,0)))</f>
        <v>0</v>
      </c>
      <c r="KC341" s="409"/>
      <c r="KD341" s="398">
        <f>IF(KC341=0,0,IF(LEN(JS341)=11,_xlfn.XLOOKUP(JS341,'Dispensed Ink Rates'!C:C,'Dispensed Ink Rates'!CS:CS),VLOOKUP(JS341,'Jan-2026 rates'!$E:$F,2,0)))</f>
        <v>0</v>
      </c>
      <c r="KE341" s="409"/>
      <c r="KF341" s="398">
        <f>IF(KE341=0,0,IF(LEN(JT341)=11,_xlfn.XLOOKUP(JT341,'Dispensed Ink Rates'!C:C,'Dispensed Ink Rates'!CS:CS),VLOOKUP(JT341,'Jan-2026 rates'!$E:$F,2,0)))</f>
        <v>0</v>
      </c>
      <c r="KG341" s="409"/>
      <c r="KH341" s="398">
        <f>IF(KG341=0,0,IF(LEN(JU341)=11,_xlfn.XLOOKUP(JU341,'Dispensed Ink Rates'!C:C,'Dispensed Ink Rates'!CS:CS),VLOOKUP(JU341,'Jan-2026 rates'!$E:$F,2,0)))</f>
        <v>0</v>
      </c>
      <c r="KI341" s="409"/>
      <c r="KJ341" s="398">
        <f>IF(KI341=0,0,IF(LEN(JV341)=11,_xlfn.XLOOKUP(JV341,'Dispensed Ink Rates'!C:C,'Dispensed Ink Rates'!CS:CS),VLOOKUP(JV341,'Jan-2026 rates'!$E:$F,2,0)))</f>
        <v>0</v>
      </c>
      <c r="KK341" s="409"/>
      <c r="KL341" s="398">
        <f>IF(KK341=0,0,IF(LEN(JW341)=11,_xlfn.XLOOKUP(JW341,'Dispensed Ink Rates'!C:C,'Dispensed Ink Rates'!CS:CS),VLOOKUP(JW341,'Jan-2026 rates'!$E:$F,2,0)))</f>
        <v>0</v>
      </c>
      <c r="KM341" s="428"/>
      <c r="KN341" s="398">
        <f>IF(KM341=0,0,IF(LEN(JX341)=11,_xlfn.XLOOKUP(JX341,'Dispensed Ink Rates'!C:C,'Dispensed Ink Rates'!CS:CS),VLOOKUP(JX341,'Jan-2026 rates'!$E:$F,2,0)))</f>
        <v>0</v>
      </c>
      <c r="KO341" s="409"/>
      <c r="KP341" s="409"/>
      <c r="KQ341" s="411">
        <f t="shared" si="233"/>
        <v>0</v>
      </c>
      <c r="KR341" s="411">
        <f t="shared" si="234"/>
        <v>0</v>
      </c>
      <c r="KS341" s="410">
        <f t="shared" si="235"/>
        <v>0</v>
      </c>
      <c r="KT341" s="409">
        <v>5</v>
      </c>
      <c r="KU341" s="409">
        <v>3</v>
      </c>
      <c r="KV341" s="409">
        <v>5</v>
      </c>
      <c r="KW341" s="409">
        <v>8</v>
      </c>
      <c r="KX341" s="409">
        <v>0</v>
      </c>
      <c r="KY341" s="409">
        <v>0</v>
      </c>
      <c r="KZ341" s="409">
        <v>0</v>
      </c>
      <c r="LA341" s="409">
        <v>0</v>
      </c>
      <c r="LB341" s="415">
        <v>0.3</v>
      </c>
      <c r="LC341" s="415"/>
      <c r="LD341" s="424"/>
      <c r="LE341" s="415">
        <v>0.5</v>
      </c>
      <c r="LF341" s="415">
        <v>0.2</v>
      </c>
      <c r="LG341" s="409">
        <v>0</v>
      </c>
      <c r="LH341" s="409">
        <f>8+10+9+15+6</f>
        <v>48</v>
      </c>
      <c r="LI341" s="409">
        <v>0</v>
      </c>
      <c r="LJ341" s="409">
        <v>0</v>
      </c>
      <c r="LK341" s="416">
        <f t="shared" si="191"/>
        <v>48</v>
      </c>
      <c r="LL341" s="416">
        <f t="shared" si="237"/>
        <v>48</v>
      </c>
      <c r="LM341" s="417">
        <f t="shared" si="193"/>
        <v>14.399999999999999</v>
      </c>
      <c r="LN341" s="417">
        <f>VLOOKUP($LM$8,'Jan-2026 rates'!$H:$I,2,0)</f>
        <v>0</v>
      </c>
      <c r="LO341" s="417">
        <f t="shared" si="194"/>
        <v>0</v>
      </c>
      <c r="LP341" s="417">
        <f>VLOOKUP($LO$8,'Jan-2026 rates'!$H:$I,2,0)</f>
        <v>0</v>
      </c>
      <c r="LQ341" s="417">
        <f t="shared" si="195"/>
        <v>0</v>
      </c>
      <c r="LR341" s="417">
        <f>VLOOKUP($LQ$8,'Jan-2026 rates'!$H:$I,2,0)</f>
        <v>0</v>
      </c>
      <c r="LS341" s="417">
        <f t="shared" si="196"/>
        <v>24</v>
      </c>
      <c r="LT341" s="417">
        <f>VLOOKUP($LS$8,'Jan-2026 rates'!$H:$I,2,0)</f>
        <v>0</v>
      </c>
      <c r="LU341" s="417">
        <f t="shared" si="197"/>
        <v>9.6000000000000014</v>
      </c>
      <c r="LV341" s="417">
        <f>VLOOKUP($LU$8,'Jan-2026 rates'!$H:$I,2,0)</f>
        <v>0</v>
      </c>
      <c r="LW341" s="417">
        <f t="shared" si="198"/>
        <v>0</v>
      </c>
      <c r="LX341" s="417">
        <f t="shared" si="199"/>
        <v>0</v>
      </c>
      <c r="LY341" s="418">
        <f t="shared" si="200"/>
        <v>0</v>
      </c>
      <c r="LZ341" s="417"/>
      <c r="MA341" s="435">
        <f t="shared" si="201"/>
        <v>29.28</v>
      </c>
      <c r="MB341" s="282">
        <f t="shared" si="202"/>
        <v>69.28</v>
      </c>
      <c r="MC341" s="283" t="s">
        <v>2081</v>
      </c>
      <c r="MD341" s="284" t="str">
        <f t="shared" si="203"/>
        <v>ToyoLiToyoLiToyoLiToyoLi</v>
      </c>
      <c r="ME341" s="293" t="str">
        <f t="shared" si="204"/>
        <v>+</v>
      </c>
      <c r="MF341" s="293" t="str">
        <f t="shared" si="205"/>
        <v>+</v>
      </c>
      <c r="MG341" s="293" t="str">
        <f t="shared" si="206"/>
        <v>+</v>
      </c>
      <c r="MH341" s="293" t="str">
        <f t="shared" si="207"/>
        <v>+</v>
      </c>
      <c r="MI341" s="293" t="str">
        <f t="shared" si="208"/>
        <v>NIL</v>
      </c>
      <c r="MJ341" s="293" t="str">
        <f t="shared" si="209"/>
        <v>NIL</v>
      </c>
      <c r="MK341" s="293" t="str">
        <f t="shared" si="210"/>
        <v>NIL</v>
      </c>
      <c r="ML341" s="293" t="str">
        <f t="shared" si="211"/>
        <v>NIL</v>
      </c>
      <c r="MM341" s="3" t="b">
        <f t="array" ref="MM341">OR(ME341:ML341="-")</f>
        <v>0</v>
      </c>
      <c r="MO341" s="401">
        <f t="shared" si="238"/>
        <v>28.74688796680498</v>
      </c>
      <c r="MP341" s="286"/>
      <c r="MR341" s="402">
        <f t="shared" si="239"/>
        <v>4.412738853503185E-3</v>
      </c>
      <c r="MS341" s="400">
        <f t="shared" si="240"/>
        <v>0</v>
      </c>
      <c r="MT341" s="285"/>
      <c r="NH341" s="361"/>
      <c r="NJ341" s="282"/>
    </row>
    <row r="342" spans="1:374" ht="16.5">
      <c r="A342" s="403">
        <v>46050</v>
      </c>
      <c r="B342" s="404" t="s">
        <v>1015</v>
      </c>
      <c r="C342" s="405" t="s">
        <v>4664</v>
      </c>
      <c r="D342" s="404" t="s">
        <v>2437</v>
      </c>
      <c r="E342" s="404">
        <v>84</v>
      </c>
      <c r="F342" s="407">
        <v>4500</v>
      </c>
      <c r="G342" s="407" t="s">
        <v>1016</v>
      </c>
      <c r="H342" s="408" t="s">
        <v>1017</v>
      </c>
      <c r="I342" s="409">
        <v>1.2</v>
      </c>
      <c r="J342" s="405" t="s">
        <v>543</v>
      </c>
      <c r="K342" s="404" t="s">
        <v>4665</v>
      </c>
      <c r="L342" s="419" t="str">
        <f t="shared" si="184"/>
        <v>ToyoLi - BLACK</v>
      </c>
      <c r="M342" s="404">
        <v>28</v>
      </c>
      <c r="N342" s="410">
        <f>IF(M342=0,0,IF($LB342=70%,VLOOKUP($L342,'Jan-2026 rates'!$L:$R,4,0),IF($LB342=65%,VLOOKUP($L342,'Jan-2026 rates'!$L:$R,4,0),IF($LB342=40%,VLOOKUP($L342,'Jan-2026 rates'!$L:$R,5,0),IF($LB342=30%,VLOOKUP($L342,'Jan-2026 rates'!$L:$R,6,0),IF($LB342=100%,VLOOKUP($L342,'Jan-2026 rates'!$L:$R,7,0),IF($LB342=60%,VLOOKUP($L342,'Jan-2026 rates'!$L:$S,8,0),IF($LB342=80%,VLOOKUP($L342,'Jan-2026 rates'!L:T,9,0),0))))))))</f>
        <v>0</v>
      </c>
      <c r="O342" s="406"/>
      <c r="P342" s="404"/>
      <c r="Q342" s="410">
        <f>IF(P342=0,0,IF($LB342=70%,VLOOKUP($L342,'Jan-2026 rates'!$L:$R,4,0),IF($LB342=65%,VLOOKUP($L342,'Jan-2026 rates'!$L:$R,4,0),IF($LB342=40%,VLOOKUP($L342,'Jan-2026 rates'!$L:$R,5,0),IF($LB342=30%,VLOOKUP($L342,'Jan-2026 rates'!$L:$R,6,0),IF($LB342=100%,VLOOKUP($L342,'Jan-2026 rates'!$L:$R,7,0),IF($LB342=60%,VLOOKUP($L342,'Jan-2026 rates'!$L:$S,8,0),IF($LB342=80%,VLOOKUP($L342,'Jan-2026 rates'!L:T,9,0),0))))))))</f>
        <v>0</v>
      </c>
      <c r="R342" s="406" t="s">
        <v>1252</v>
      </c>
      <c r="S342" s="406"/>
      <c r="T342" s="406"/>
      <c r="U342" s="406"/>
      <c r="V342" s="406"/>
      <c r="W342" s="406"/>
      <c r="X342" s="406"/>
      <c r="Y342" s="406"/>
      <c r="Z342" s="404">
        <v>2</v>
      </c>
      <c r="AA342" s="398">
        <f>IF(Z342=0,0,IF(LEN(R342)=11,_xlfn.XLOOKUP(R342,'Dispensed Ink Rates'!C:C,'Dispensed Ink Rates'!CS:CS),VLOOKUP(R342,'Jan-2026 rates'!$E:$F,2,0)))</f>
        <v>0</v>
      </c>
      <c r="AB342" s="404"/>
      <c r="AC342" s="398">
        <f>IF(AB342=0,0,IF(LEN(S342)=11,_xlfn.XLOOKUP(S342,'Dispensed Ink Rates'!C:C,'Dispensed Ink Rates'!CS:CS),VLOOKUP(S342,'Jan-2026 rates'!$E:$F,2,0)))</f>
        <v>0</v>
      </c>
      <c r="AD342" s="404"/>
      <c r="AE342" s="398">
        <f>IF(AD342=0,0,IF(LEN(T342)=11,_xlfn.XLOOKUP(T342,'Dispensed Ink Rates'!C:C,'Dispensed Ink Rates'!CS:CS),VLOOKUP(T342,'Jan-2026 rates'!$E:$F,2,0)))</f>
        <v>0</v>
      </c>
      <c r="AF342" s="404"/>
      <c r="AG342" s="398">
        <f>IF(AF342=0,0,IF(LEN(U342)=11,_xlfn.XLOOKUP(U342,'Dispensed Ink Rates'!C:C,'Dispensed Ink Rates'!CS:CS),VLOOKUP(U342,'Jan-2026 rates'!$E:$F,2,0)))</f>
        <v>0</v>
      </c>
      <c r="AH342" s="404"/>
      <c r="AI342" s="398">
        <f>IF(AH342=0,0,IF(LEN(V342)=11,_xlfn.XLOOKUP(V342,'Dispensed Ink Rates'!C:C,'Dispensed Ink Rates'!CS:CS),VLOOKUP(V342,'Jan-2026 rates'!$E:$F,2,0)))</f>
        <v>0</v>
      </c>
      <c r="AJ342" s="404"/>
      <c r="AK342" s="398">
        <f>IF(AJ342=0,0,IF(LEN(W342)=11,_xlfn.XLOOKUP(W342,'Dispensed Ink Rates'!C:C,'Dispensed Ink Rates'!CS:CS),VLOOKUP(W342,'Jan-2026 rates'!$E:$F,2,0)))</f>
        <v>0</v>
      </c>
      <c r="AL342" s="404"/>
      <c r="AM342" s="398">
        <f>IF(AL342=0,0,IF(LEN(X342)=11,_xlfn.XLOOKUP(X342,'Dispensed Ink Rates'!C:C,'Dispensed Ink Rates'!CS:CS),VLOOKUP(X342,'Jan-2026 rates'!$E:$F,2,0)))</f>
        <v>0</v>
      </c>
      <c r="AN342" s="404"/>
      <c r="AO342" s="398">
        <f>IF(AN342=0,0,IF(LEN(Y342)=11,_xlfn.XLOOKUP(Y342,'Dispensed Ink Rates'!C:C,'Dispensed Ink Rates'!CS:CS),VLOOKUP(Y342,'Jan-2026 rates'!$E:$F,2,0)))</f>
        <v>0</v>
      </c>
      <c r="AP342" s="409" t="s">
        <v>1881</v>
      </c>
      <c r="AQ342" s="409">
        <v>25</v>
      </c>
      <c r="AR342" s="410">
        <f t="shared" si="212"/>
        <v>0</v>
      </c>
      <c r="AS342" s="411">
        <f t="shared" si="213"/>
        <v>7.3999999999999986</v>
      </c>
      <c r="AT342" s="410">
        <f t="shared" si="214"/>
        <v>0</v>
      </c>
      <c r="AU342" s="405" t="s">
        <v>546</v>
      </c>
      <c r="AV342" s="409" t="s">
        <v>4666</v>
      </c>
      <c r="AW342" s="420" t="str">
        <f t="shared" si="236"/>
        <v>ToyoLi - REFLEX BLUE</v>
      </c>
      <c r="AX342" s="409">
        <v>10</v>
      </c>
      <c r="AY342" s="411">
        <f>IF(AX342=0,0,IF($LB342=70%,VLOOKUP($AW342,'Jan-2026 rates'!$L:$R,4,0),IF($LB342=65%,VLOOKUP($AW342,'Jan-2026 rates'!$L:$R,4,0),IF($LB342=40%,VLOOKUP($AW342,'Jan-2026 rates'!$L:$R,5,0),IF($LB342=30%,VLOOKUP($AW342,'Jan-2026 rates'!$L:$R,6,0),IF($LB342=100%,VLOOKUP($AW342,'Jan-2026 rates'!$L:$R,7,0),IF($LB342=60%,VLOOKUP($AW342,'Jan-2026 rates'!$L:$S,8,0),IF($LB342=80%,VLOOKUP($AW342,'Jan-2026 rates'!L:T,9,0),0))))))))</f>
        <v>0</v>
      </c>
      <c r="AZ342" s="412"/>
      <c r="BA342" s="409"/>
      <c r="BB342" s="411">
        <f>IF(BA342=0,0,IF($LB342=70%,VLOOKUP($AW342,'Jan-2026 rates'!$L:$R,4,0),IF($LB342=65%,VLOOKUP($AW342,'Jan-2026 rates'!$L:$R,4,0),IF($LB342=40%,VLOOKUP($AW342,'Jan-2026 rates'!$L:$R,5,0),IF($LB342=30%,VLOOKUP($AW342,'Jan-2026 rates'!$L:$R,6,0),IF($LB342=100%,VLOOKUP($AW342,'Jan-2026 rates'!$L:$R,7,0),IF($LB342=60%,VLOOKUP($AW342,'Jan-2026 rates'!$L:$S,8,0),IF($LB342=80%,VLOOKUP($AW342,'Jan-2026 rates'!L:T,9,0),0))))))))</f>
        <v>0</v>
      </c>
      <c r="BC342" s="413" t="s">
        <v>1880</v>
      </c>
      <c r="BD342" s="412" t="s">
        <v>1246</v>
      </c>
      <c r="BE342" s="412" t="s">
        <v>1585</v>
      </c>
      <c r="BF342" s="413" t="s">
        <v>1252</v>
      </c>
      <c r="BG342" s="412" t="s">
        <v>827</v>
      </c>
      <c r="BH342" s="412"/>
      <c r="BI342" s="412"/>
      <c r="BJ342" s="412"/>
      <c r="BK342" s="409">
        <v>2</v>
      </c>
      <c r="BL342" s="398">
        <f>IF(BK342=0,0,IF(LEN(BC342)=11,_xlfn.XLOOKUP(BC342,'Dispensed Ink Rates'!C:C,'Dispensed Ink Rates'!CS:CS),VLOOKUP(BC342,'Jan-2026 rates'!$E:$F,2,0)))</f>
        <v>0</v>
      </c>
      <c r="BM342" s="409">
        <v>8</v>
      </c>
      <c r="BN342" s="398">
        <f>IF(BM342=0,0,IF(LEN(BD342)=11,_xlfn.XLOOKUP(BD342,'Dispensed Ink Rates'!C:C,'Dispensed Ink Rates'!CS:CS),VLOOKUP(BD342,'Jan-2026 rates'!$E:$F,2,0)))</f>
        <v>0</v>
      </c>
      <c r="BO342" s="409">
        <v>5</v>
      </c>
      <c r="BP342" s="398">
        <f>IF(BO342=0,0,IF(LEN(BE342)=11,_xlfn.XLOOKUP(BE342,'Dispensed Ink Rates'!C:C,'Dispensed Ink Rates'!CS:CS),VLOOKUP(BE342,'Jan-2026 rates'!$E:$F,2,0)))</f>
        <v>0</v>
      </c>
      <c r="BQ342" s="409">
        <v>2</v>
      </c>
      <c r="BR342" s="398">
        <f>IF(BQ342=0,0,IF(LEN(BF342)=11,_xlfn.XLOOKUP(BF342,'Dispensed Ink Rates'!C:C,'Dispensed Ink Rates'!CS:CS),VLOOKUP(BF342,'Jan-2026 rates'!$E:$F,2,0)))</f>
        <v>0</v>
      </c>
      <c r="BS342" s="409">
        <v>4</v>
      </c>
      <c r="BT342" s="398">
        <f>IF(BS342=0,0,IF(LEN(BG342)=11,_xlfn.XLOOKUP(BG342,'Dispensed Ink Rates'!C:C,'Dispensed Ink Rates'!CS:CS),VLOOKUP(BG342,'Jan-2026 rates'!$E:$F,2,0)))</f>
        <v>0</v>
      </c>
      <c r="BU342" s="409"/>
      <c r="BV342" s="398">
        <f>IF(BU342=0,0,IF(LEN(BH342)=11,_xlfn.XLOOKUP(BH342,'Dispensed Ink Rates'!C:C,'Dispensed Ink Rates'!CS:CS),VLOOKUP(BH342,'Jan-2026 rates'!$E:$F,2,0)))</f>
        <v>0</v>
      </c>
      <c r="BW342" s="409"/>
      <c r="BX342" s="398">
        <f>IF(BW342=0,0,IF(LEN(BI342)=11,_xlfn.XLOOKUP(BI342,'Dispensed Ink Rates'!C:C,'Dispensed Ink Rates'!CS:CS),VLOOKUP(BI342,'Jan-2026 rates'!$E:$F,2,0)))</f>
        <v>0</v>
      </c>
      <c r="BY342" s="409"/>
      <c r="BZ342" s="398">
        <f>IF(BY342=0,0,IF(LEN(BJ342)=11,_xlfn.XLOOKUP(BJ342,'Dispensed Ink Rates'!C:C,'Dispensed Ink Rates'!CS:CS),VLOOKUP(BJ342,'Jan-2026 rates'!$E:$F,2,0)))</f>
        <v>0</v>
      </c>
      <c r="CA342" s="409" t="s">
        <v>1881</v>
      </c>
      <c r="CB342" s="409">
        <v>18</v>
      </c>
      <c r="CC342" s="411">
        <f t="shared" si="215"/>
        <v>0</v>
      </c>
      <c r="CD342" s="411">
        <f t="shared" si="216"/>
        <v>16.600000000000001</v>
      </c>
      <c r="CE342" s="410">
        <f t="shared" si="217"/>
        <v>0</v>
      </c>
      <c r="CF342" s="404" t="s">
        <v>857</v>
      </c>
      <c r="CG342" s="409"/>
      <c r="CH342" s="420" t="str">
        <f t="shared" si="185"/>
        <v>ToyoLi - RED</v>
      </c>
      <c r="CI342" s="409"/>
      <c r="CJ342" s="411">
        <f>IF(CI342=0,0,IF($LB342=70%,VLOOKUP($CH342,'Jan-2026 rates'!$L:$R,4,0),IF($LB342=65%,VLOOKUP($CH342,'Jan-2026 rates'!$L:$R,4,0),IF($LB342=40%,VLOOKUP($CH342,'Jan-2026 rates'!$L:$R,5,0),IF($LB342=30%,VLOOKUP($CH342,'Jan-2026 rates'!$L:$R,6,0),IF($LB342=100%,VLOOKUP($CH342,'Jan-2026 rates'!$L:$R,7,0),IF($LB342=60%,VLOOKUP($CH342,'Jan-2026 rates'!$L:$S,8,0),IF($LB342=80%,VLOOKUP($CH342,'Jan-2026 rates'!L:T,9,0),0))))))))</f>
        <v>0</v>
      </c>
      <c r="CK342" s="412"/>
      <c r="CL342" s="409"/>
      <c r="CM342" s="411">
        <f>IF(CL342=0,0,IF($LB342=70%,VLOOKUP($CH342,'Jan-2026 rates'!$L:$R,4,0),IF($LB342=65%,VLOOKUP($CH342,'Jan-2026 rates'!$L:$R,4,0),IF($LB342=40%,VLOOKUP($CH342,'Jan-2026 rates'!$L:$R,5,0),IF($LB342=30%,VLOOKUP($CH342,'Jan-2026 rates'!$L:$R,6,0),IF($LB342=100%,VLOOKUP($CH342,'Jan-2026 rates'!$L:$R,7,0),IF($LB342=60%,VLOOKUP($CH342,'Jan-2026 rates'!$L:$S,8,0),IF($LB342=80%,VLOOKUP($CH342,'Jan-2026 rates'!L:T,9,0),0))))))))</f>
        <v>0</v>
      </c>
      <c r="CN342" s="426" t="s">
        <v>1248</v>
      </c>
      <c r="CO342" s="427" t="s">
        <v>1246</v>
      </c>
      <c r="CP342" s="426" t="s">
        <v>1505</v>
      </c>
      <c r="CQ342" s="426"/>
      <c r="CR342" s="428"/>
      <c r="CS342" s="428"/>
      <c r="CT342" s="428"/>
      <c r="CU342" s="428"/>
      <c r="CV342" s="409">
        <v>10</v>
      </c>
      <c r="CW342" s="398">
        <f>IF(CV342=0,0,IF(LEN(CN342)=11,_xlfn.XLOOKUP(CN342,'Dispensed Ink Rates'!C:C,'Dispensed Ink Rates'!CS:CS),VLOOKUP(CN342,'Jan-2026 rates'!$E:$F,2,0)))</f>
        <v>0</v>
      </c>
      <c r="CX342" s="409">
        <v>8</v>
      </c>
      <c r="CY342" s="398">
        <f>IF(CX342=0,0,IF(LEN(CO342)=11,_xlfn.XLOOKUP(CO342,'Dispensed Ink Rates'!C:C,'Dispensed Ink Rates'!CS:CS),VLOOKUP(CO342,'Jan-2026 rates'!$E:$F,2,0)))</f>
        <v>0</v>
      </c>
      <c r="CZ342" s="409">
        <v>5</v>
      </c>
      <c r="DA342" s="398">
        <f>IF(CZ342=0,0,IF(LEN(CP342)=11,_xlfn.XLOOKUP(CP342,'Dispensed Ink Rates'!C:C,'Dispensed Ink Rates'!CS:CS),VLOOKUP(CP342,'Jan-2026 rates'!$E:$F,2,0)))</f>
        <v>0</v>
      </c>
      <c r="DB342" s="409"/>
      <c r="DC342" s="398">
        <f>IF(DB342=0,0,IF(LEN(CQ342)=11,_xlfn.XLOOKUP(CQ342,'Dispensed Ink Rates'!C:C,'Dispensed Ink Rates'!CS:CS),VLOOKUP(CQ342,'Jan-2026 rates'!$E:$F,2,0)))</f>
        <v>0</v>
      </c>
      <c r="DD342" s="409"/>
      <c r="DE342" s="398">
        <f>IF(DD342=0,0,IF(LEN(CR342)=11,_xlfn.XLOOKUP(CR342,'Dispensed Ink Rates'!C:C,'Dispensed Ink Rates'!CS:CS),VLOOKUP(CR342,'Jan-2026 rates'!$E:$F,2,0)))</f>
        <v>0</v>
      </c>
      <c r="DF342" s="409"/>
      <c r="DG342" s="398">
        <f>IF(DF342=0,0,IF(LEN(CS342)=11,_xlfn.XLOOKUP(CS342,'Dispensed Ink Rates'!C:C,'Dispensed Ink Rates'!CS:CS),VLOOKUP(CS342,'Jan-2026 rates'!$E:$F,2,0)))</f>
        <v>0</v>
      </c>
      <c r="DH342" s="409"/>
      <c r="DI342" s="398">
        <f>IF(DH342=0,0,IF(LEN(CT342)=11,_xlfn.XLOOKUP(CT342,'Dispensed Ink Rates'!C:C,'Dispensed Ink Rates'!CS:CS),VLOOKUP(CT342,'Jan-2026 rates'!$E:$F,2,0)))</f>
        <v>0</v>
      </c>
      <c r="DJ342" s="409"/>
      <c r="DK342" s="398">
        <f>IF(DJ342=0,0,IF(LEN(CU342)=11,_xlfn.XLOOKUP(CU342,'Dispensed Ink Rates'!C:C,'Dispensed Ink Rates'!CS:CS),VLOOKUP(CU342,'Jan-2026 rates'!$E:$F,2,0)))</f>
        <v>0</v>
      </c>
      <c r="DL342" s="409" t="s">
        <v>1881</v>
      </c>
      <c r="DM342" s="409">
        <f>12+13+10</f>
        <v>35</v>
      </c>
      <c r="DN342" s="411">
        <f t="shared" si="218"/>
        <v>0</v>
      </c>
      <c r="DO342" s="411">
        <f t="shared" si="219"/>
        <v>6</v>
      </c>
      <c r="DP342" s="410">
        <f t="shared" si="220"/>
        <v>0</v>
      </c>
      <c r="DQ342" s="405" t="s">
        <v>855</v>
      </c>
      <c r="DR342" s="409" t="s">
        <v>4667</v>
      </c>
      <c r="DS342" s="420" t="str">
        <f t="shared" si="186"/>
        <v>ToyoLi - CYAN</v>
      </c>
      <c r="DT342" s="409">
        <v>30</v>
      </c>
      <c r="DU342" s="411">
        <f>IF(DT342=0,0,IF($LB342=70%,VLOOKUP($DS342,'Jan-2026 rates'!$L:$R,4,0),IF($LB342=65%,VLOOKUP($DS342,'Jan-2026 rates'!$L:$R,4,0),IF($LB342=40%,VLOOKUP($DS342,'Jan-2026 rates'!$L:$R,5,0),IF($LB342=30%,VLOOKUP($DS342,'Jan-2026 rates'!$L:$R,6,0),IF($LB342=100%,VLOOKUP($DS342,'Jan-2026 rates'!$L:$R,7,0),IF($LB342=60%,VLOOKUP($DS342,'Jan-2026 rates'!$L:$S,8,0),IF($LB342=80%,VLOOKUP($DS342,'Jan-2026 rates'!L:T,9,0),0))))))))</f>
        <v>0</v>
      </c>
      <c r="DV342" s="412"/>
      <c r="DW342" s="409"/>
      <c r="DX342" s="411">
        <f>IF(DW342=0,0,IF($LB342=70%,VLOOKUP($DS342,'Jan-2026 rates'!$L:$R,4,0),IF($LB342=65%,VLOOKUP($DS342,'Jan-2026 rates'!$L:$R,4,0),IF($LB342=40%,VLOOKUP($DS342,'Jan-2026 rates'!$L:$R,5,0),IF($LB342=30%,VLOOKUP($DS342,'Jan-2026 rates'!$L:$R,6,0),IF($LB342=100%,VLOOKUP($DS342,'Jan-2026 rates'!$L:$R,7,0),IF($LB342=60%,VLOOKUP($DS342,'Jan-2026 rates'!$L:$S,8,0),IF($LB342=80%,VLOOKUP($DS342,'Jan-2026 rates'!L:T,9,0),0))))))))</f>
        <v>0</v>
      </c>
      <c r="DY342" s="413" t="s">
        <v>1250</v>
      </c>
      <c r="DZ342" s="413"/>
      <c r="EA342" s="412"/>
      <c r="EB342" s="412"/>
      <c r="EC342" s="412"/>
      <c r="ED342" s="412"/>
      <c r="EE342" s="412"/>
      <c r="EF342" s="412"/>
      <c r="EG342" s="409">
        <v>1</v>
      </c>
      <c r="EH342" s="398">
        <f>IF(EG342=0,0,IF(LEN(DY342)=11,_xlfn.XLOOKUP(DY342,'Dispensed Ink Rates'!C:C,'Dispensed Ink Rates'!CS:CS),VLOOKUP(DY342,'Jan-2026 rates'!$E:$F,2,0)))</f>
        <v>0</v>
      </c>
      <c r="EI342" s="409"/>
      <c r="EJ342" s="398">
        <f>IF(EI342=0,0,IF(LEN(DZ342)=11,_xlfn.XLOOKUP(DZ342,'Dispensed Ink Rates'!C:C,'Dispensed Ink Rates'!CS:CS),VLOOKUP(DZ342,'Jan-2026 rates'!$E:$F,2,0)))</f>
        <v>0</v>
      </c>
      <c r="EK342" s="409"/>
      <c r="EL342" s="398">
        <f>IF(EK342=0,0,IF(LEN(EA342)=11,_xlfn.XLOOKUP(EA342,'Dispensed Ink Rates'!C:C,'Dispensed Ink Rates'!CS:CS),VLOOKUP(EA342,'Jan-2026 rates'!$E:$F,2,0)))</f>
        <v>0</v>
      </c>
      <c r="EM342" s="409"/>
      <c r="EN342" s="398">
        <f>IF(EM342=0,0,IF(LEN(EB342)=11,_xlfn.XLOOKUP(EB342,'Dispensed Ink Rates'!C:C,'Dispensed Ink Rates'!CS:CS),VLOOKUP(EB342,'Jan-2026 rates'!$E:$F,2,0)))</f>
        <v>0</v>
      </c>
      <c r="EO342" s="409"/>
      <c r="EP342" s="398">
        <f>IF(EO342=0,0,IF(LEN(EC342)=11,_xlfn.XLOOKUP(EC342,'Dispensed Ink Rates'!C:C,'Dispensed Ink Rates'!CS:CS),VLOOKUP(EC342,'Jan-2026 rates'!$E:$F,2,0)))</f>
        <v>0</v>
      </c>
      <c r="EQ342" s="409"/>
      <c r="ER342" s="398">
        <f>IF(EQ342=0,0,IF(LEN(ED342)=11,_xlfn.XLOOKUP(ED342,'Dispensed Ink Rates'!C:C,'Dispensed Ink Rates'!CS:CS),VLOOKUP(ED342,'Jan-2026 rates'!$E:$F,2,0)))</f>
        <v>0</v>
      </c>
      <c r="ES342" s="409"/>
      <c r="ET342" s="398">
        <f>IF(ES342=0,0,IF(LEN(EE342)=11,_xlfn.XLOOKUP(EE342,'Dispensed Ink Rates'!C:C,'Dispensed Ink Rates'!CS:CS),VLOOKUP(EE342,'Jan-2026 rates'!$E:$F,2,0)))</f>
        <v>0</v>
      </c>
      <c r="EU342" s="409"/>
      <c r="EV342" s="398">
        <f>IF(EU342=0,0,IF(LEN(EF342)=11,_xlfn.XLOOKUP(EF342,'Dispensed Ink Rates'!C:C,'Dispensed Ink Rates'!CS:CS),VLOOKUP(EF342,'Jan-2026 rates'!$E:$F,2,0)))</f>
        <v>0</v>
      </c>
      <c r="EW342" s="409" t="s">
        <v>1881</v>
      </c>
      <c r="EX342" s="409">
        <v>29</v>
      </c>
      <c r="EY342" s="411">
        <f t="shared" si="221"/>
        <v>0</v>
      </c>
      <c r="EZ342" s="411">
        <f t="shared" si="222"/>
        <v>3.2000000000000028</v>
      </c>
      <c r="FA342" s="410">
        <f t="shared" si="223"/>
        <v>0</v>
      </c>
      <c r="FB342" s="405" t="s">
        <v>544</v>
      </c>
      <c r="FC342" s="409" t="s">
        <v>4668</v>
      </c>
      <c r="FD342" s="420" t="str">
        <f t="shared" si="187"/>
        <v>ToyoLi - MAGENTA</v>
      </c>
      <c r="FE342" s="409">
        <v>29</v>
      </c>
      <c r="FF342" s="411">
        <f>IF(FE342=0,0,IF($LB342=70%,VLOOKUP($FD342,'Jan-2026 rates'!$L:$R,4,0),IF($LB342=65%,VLOOKUP($FD342,'Jan-2026 rates'!$L:$R,4,0),IF($LB342=40%,VLOOKUP($FD342,'Jan-2026 rates'!$L:$R,5,0),IF($LB342=30%,VLOOKUP($FD342,'Jan-2026 rates'!$L:$R,6,0),IF($LB342=100%,VLOOKUP($FD342,'Jan-2026 rates'!$L:$R,7,0),IF($LB342=60%,VLOOKUP($FD342,'Jan-2026 rates'!$L:$S,8,0),IF($LB342=80%,VLOOKUP($FD342,'Jan-2026 rates'!L:T,9,0),0))))))))</f>
        <v>0</v>
      </c>
      <c r="FG342" s="412"/>
      <c r="FH342" s="409"/>
      <c r="FI342" s="411">
        <f>IF(FH342=0,0,IF($LB342=70%,VLOOKUP($FD342,'Jan-2026 rates'!$L:$R,4,0),IF($LB342=65%,VLOOKUP($FD342,'Jan-2026 rates'!$L:$R,4,0),IF($LB342=40%,VLOOKUP($FD342,'Jan-2026 rates'!$L:$R,5,0),IF($LB342=30%,VLOOKUP($FD342,'Jan-2026 rates'!$L:$R,6,0),IF($LB342=100%,VLOOKUP($FD342,'Jan-2026 rates'!$L:$R,7,0),IF($LB342=60%,VLOOKUP($FD342,'Jan-2026 rates'!$L:$S,8,0),IF($LB342=80%,VLOOKUP($FD342,'Jan-2026 rates'!L:T,9,0),0))))))))</f>
        <v>0</v>
      </c>
      <c r="FJ342" s="413" t="s">
        <v>1246</v>
      </c>
      <c r="FK342" s="413"/>
      <c r="FL342" s="413"/>
      <c r="FM342" s="412"/>
      <c r="FN342" s="412"/>
      <c r="FO342" s="412"/>
      <c r="FP342" s="412"/>
      <c r="FQ342" s="412"/>
      <c r="FR342" s="409">
        <v>2</v>
      </c>
      <c r="FS342" s="398">
        <f>IF(FR342=0,0,IF(LEN(FJ342)=11,_xlfn.XLOOKUP(FJ342,'Dispensed Ink Rates'!C:C,'Dispensed Ink Rates'!CS:CS),VLOOKUP(FJ342,'Jan-2026 rates'!$E:$F,2,0)))</f>
        <v>0</v>
      </c>
      <c r="FT342" s="409"/>
      <c r="FU342" s="398">
        <f>IF(FT342=0,0,IF(LEN(FK342)=11,_xlfn.XLOOKUP(FK342,'Dispensed Ink Rates'!C:C,'Dispensed Ink Rates'!CS:CS),VLOOKUP(FK342,'Jan-2026 rates'!$E:$F,2,0)))</f>
        <v>0</v>
      </c>
      <c r="FV342" s="409"/>
      <c r="FW342" s="398">
        <f>IF(FV342=0,0,IF(LEN(FL342)=11,_xlfn.XLOOKUP(FL342,'Dispensed Ink Rates'!C:C,'Dispensed Ink Rates'!CS:CS),VLOOKUP(FL342,'Jan-2026 rates'!$E:$F,2,0)))</f>
        <v>0</v>
      </c>
      <c r="FX342" s="409"/>
      <c r="FY342" s="398">
        <f>IF(FX342=0,0,IF(LEN(FM342)=11,_xlfn.XLOOKUP(FM342,'Dispensed Ink Rates'!C:C,'Dispensed Ink Rates'!CS:CS),VLOOKUP(FM342,'Jan-2026 rates'!$E:$F,2,0)))</f>
        <v>0</v>
      </c>
      <c r="FZ342" s="409"/>
      <c r="GA342" s="398">
        <f>IF(FZ342=0,0,IF(LEN(FN342)=11,_xlfn.XLOOKUP(FN342,'Dispensed Ink Rates'!C:C,'Dispensed Ink Rates'!CS:CS),VLOOKUP(FN342,'Jan-2026 rates'!$E:$F,2,0)))</f>
        <v>0</v>
      </c>
      <c r="GB342" s="409"/>
      <c r="GC342" s="398">
        <f>IF(GB342=0,0,IF(LEN(FO342)=11,_xlfn.XLOOKUP(FO342,'Dispensed Ink Rates'!C:C,'Dispensed Ink Rates'!CS:CS),VLOOKUP(FO342,'Jan-2026 rates'!$E:$F,2,0)))</f>
        <v>0</v>
      </c>
      <c r="GD342" s="409"/>
      <c r="GE342" s="398">
        <f>IF(GD342=0,0,IF(LEN(FP342)=11,_xlfn.XLOOKUP(FP342,'Dispensed Ink Rates'!C:C,'Dispensed Ink Rates'!CS:CS),VLOOKUP(FP342,'Jan-2026 rates'!$E:$F,2,0)))</f>
        <v>0</v>
      </c>
      <c r="GF342" s="409"/>
      <c r="GG342" s="398">
        <f>IF(GF342=0,0,IF(LEN(FQ342)=11,_xlfn.XLOOKUP(FQ342,'Dispensed Ink Rates'!C:C,'Dispensed Ink Rates'!CS:CS),VLOOKUP(FQ342,'Jan-2026 rates'!$E:$F,2,0)))</f>
        <v>0</v>
      </c>
      <c r="GH342" s="409" t="s">
        <v>1881</v>
      </c>
      <c r="GI342" s="409">
        <v>27</v>
      </c>
      <c r="GJ342" s="411">
        <f t="shared" si="224"/>
        <v>0</v>
      </c>
      <c r="GK342" s="411">
        <f t="shared" si="225"/>
        <v>6.3999999999999986</v>
      </c>
      <c r="GL342" s="410">
        <f t="shared" si="226"/>
        <v>0</v>
      </c>
      <c r="GM342" s="405" t="s">
        <v>545</v>
      </c>
      <c r="GN342" s="409" t="s">
        <v>4669</v>
      </c>
      <c r="GO342" s="420" t="str">
        <f t="shared" si="188"/>
        <v>ToyoLi - YELLOW</v>
      </c>
      <c r="GP342" s="409">
        <v>20</v>
      </c>
      <c r="GQ342" s="411">
        <f>IF(GP342=0,0,IF($LB342=70%,VLOOKUP($GO342,'Jan-2026 rates'!$L:$R,4,0),IF($LB342=65%,VLOOKUP($GO342,'Jan-2026 rates'!$L:$R,4,0),IF($LB342=40%,VLOOKUP($GO342,'Jan-2026 rates'!$L:$R,5,0),IF($LB342=30%,VLOOKUP($GO342,'Jan-2026 rates'!$L:$R,6,0),IF($LB342=100%,VLOOKUP($GO342,'Jan-2026 rates'!$L:$R,7,0),IF($LB342=60%,VLOOKUP($GO342,'Jan-2026 rates'!$L:$S,8,0),IF($LB342=80%,VLOOKUP($GO342,'Jan-2026 rates'!L:T,9,0),0))))))))</f>
        <v>0</v>
      </c>
      <c r="GR342" s="412"/>
      <c r="GS342" s="409"/>
      <c r="GT342" s="411">
        <f>IF(GS342=0,0,IF($LB342=70%,VLOOKUP($GO342,'Jan-2026 rates'!$L:$R,4,0),IF($LB342=65%,VLOOKUP($GO342,'Jan-2026 rates'!$L:$R,4,0),IF($LB342=40%,VLOOKUP($GO342,'Jan-2026 rates'!$L:$R,5,0),IF($LB342=30%,VLOOKUP($GO342,'Jan-2026 rates'!$L:$R,6,0),IF($LB342=100%,VLOOKUP($GO342,'Jan-2026 rates'!$L:$R,7,0),IF($LB342=60%,VLOOKUP($GO342,'Jan-2026 rates'!$L:$S,8,0),IF($LB342=80%,VLOOKUP($GO342,'Jan-2026 rates'!L:T,9,0),0))))))))</f>
        <v>0</v>
      </c>
      <c r="GU342" s="413" t="s">
        <v>1247</v>
      </c>
      <c r="GV342" s="413"/>
      <c r="GW342" s="412"/>
      <c r="GX342" s="412"/>
      <c r="GY342" s="412"/>
      <c r="GZ342" s="412"/>
      <c r="HA342" s="412"/>
      <c r="HB342" s="412"/>
      <c r="HC342" s="409">
        <v>5</v>
      </c>
      <c r="HD342" s="398">
        <f>IF(HC342=0,0,IF(LEN(GU342)=11,_xlfn.XLOOKUP(GU342,'Dispensed Ink Rates'!C:C,'Dispensed Ink Rates'!CS:CS),VLOOKUP(GU342,'Jan-2026 rates'!$E:$F,2,0)))</f>
        <v>0</v>
      </c>
      <c r="HE342" s="409"/>
      <c r="HF342" s="398">
        <f>IF(HE342=0,0,IF(LEN(GV342)=11,_xlfn.XLOOKUP(GV342,'Dispensed Ink Rates'!C:C,'Dispensed Ink Rates'!CS:CS),VLOOKUP(GV342,'Jan-2026 rates'!$E:$F,2,0)))</f>
        <v>0</v>
      </c>
      <c r="HG342" s="409"/>
      <c r="HH342" s="398">
        <f>IF(HG342=0,0,IF(LEN(GW342)=11,_xlfn.XLOOKUP(GW342,'Dispensed Ink Rates'!C:C,'Dispensed Ink Rates'!CS:CS),VLOOKUP(GW342,'Jan-2026 rates'!$E:$F,2,0)))</f>
        <v>0</v>
      </c>
      <c r="HI342" s="409"/>
      <c r="HJ342" s="398">
        <f>IF(HI342=0,0,IF(LEN(GX342)=11,_xlfn.XLOOKUP(GX342,'Dispensed Ink Rates'!C:C,'Dispensed Ink Rates'!CS:CS),VLOOKUP(GX342,'Jan-2026 rates'!$E:$F,2,0)))</f>
        <v>0</v>
      </c>
      <c r="HK342" s="409"/>
      <c r="HL342" s="398">
        <f>IF(HK342=0,0,IF(LEN(GY342)=11,_xlfn.XLOOKUP(GY342,'Dispensed Ink Rates'!C:C,'Dispensed Ink Rates'!CS:CS),VLOOKUP(GY342,'Jan-2026 rates'!$E:$F,2,0)))</f>
        <v>0</v>
      </c>
      <c r="HM342" s="409"/>
      <c r="HN342" s="398">
        <f>IF(HM342=0,0,IF(LEN(GZ342)=11,_xlfn.XLOOKUP(GZ342,'Dispensed Ink Rates'!C:C,'Dispensed Ink Rates'!CS:CS),VLOOKUP(GZ342,'Jan-2026 rates'!$E:$F,2,0)))</f>
        <v>0</v>
      </c>
      <c r="HO342" s="409"/>
      <c r="HP342" s="398">
        <f>IF(HO342=0,0,IF(LEN(HA342)=11,_xlfn.XLOOKUP(HA342,'Dispensed Ink Rates'!C:C,'Dispensed Ink Rates'!CS:CS),VLOOKUP(HA342,'Jan-2026 rates'!$E:$F,2,0)))</f>
        <v>0</v>
      </c>
      <c r="HQ342" s="409"/>
      <c r="HR342" s="398">
        <f>IF(HQ342=0,0,IF(LEN(HB342)=11,_xlfn.XLOOKUP(HB342,'Dispensed Ink Rates'!C:C,'Dispensed Ink Rates'!CS:CS),VLOOKUP(HB342,'Jan-2026 rates'!$E:$F,2,0)))</f>
        <v>0</v>
      </c>
      <c r="HS342" s="409" t="s">
        <v>1881</v>
      </c>
      <c r="HT342" s="409">
        <v>23</v>
      </c>
      <c r="HU342" s="411">
        <f t="shared" si="227"/>
        <v>0</v>
      </c>
      <c r="HV342" s="411">
        <f t="shared" si="228"/>
        <v>8</v>
      </c>
      <c r="HW342" s="414">
        <f t="shared" si="229"/>
        <v>0</v>
      </c>
      <c r="HX342" s="405" t="s">
        <v>548</v>
      </c>
      <c r="HY342" s="409" t="s">
        <v>4660</v>
      </c>
      <c r="HZ342" s="420" t="str">
        <f t="shared" si="189"/>
        <v>ToyoLi - GOLD</v>
      </c>
      <c r="IA342" s="409">
        <v>17</v>
      </c>
      <c r="IB342" s="411">
        <f>IF(IA342=0,0,IF($LB342=70%,VLOOKUP($HZ342,'Jan-2026 rates'!$L:$R,4,0),IF($LB342=65%,VLOOKUP($HZ342,'Jan-2026 rates'!$L:$R,4,0),IF($LB342=40%,VLOOKUP($HZ342,'Jan-2026 rates'!$L:$R,5,0),IF($LB342=30%,VLOOKUP($HZ342,'Jan-2026 rates'!$L:$R,6,0),IF($LB342=100%,VLOOKUP($HZ342,'Jan-2026 rates'!$L:$R,7,0),IF($LB342=60%,VLOOKUP($HZ342,'Jan-2026 rates'!$L:$S,8,0),IF($LB342=80%,VLOOKUP($HZ342,'Jan-2026 rates'!L:T,9,0),0))))))))</f>
        <v>0</v>
      </c>
      <c r="IC342" s="412"/>
      <c r="ID342" s="409"/>
      <c r="IE342" s="411">
        <f>IF(ID342=0,0,IF($LB342=70%,VLOOKUP($HZ342,'Jan-2026 rates'!$L:$R,4,0),IF($LB342=65%,VLOOKUP($HZ342,'Jan-2026 rates'!$L:$R,4,0),IF($LB342=40%,VLOOKUP($HZ342,'Jan-2026 rates'!$L:$R,5,0),IF($LB342=30%,VLOOKUP($HZ342,'Jan-2026 rates'!$L:$R,6,0),IF($LB342=100%,VLOOKUP($HZ342,'Jan-2026 rates'!$L:$R,7,0),IF($LB342=60%,VLOOKUP($HZ342,'Jan-2026 rates'!$L:$S,8,0),IF($LB342=80%,VLOOKUP($HZ342,'Jan-2026 rates'!L:T,9,0),0))))))))</f>
        <v>0</v>
      </c>
      <c r="IF342" s="412" t="s">
        <v>1892</v>
      </c>
      <c r="IG342" s="413"/>
      <c r="IH342" s="412"/>
      <c r="II342" s="412"/>
      <c r="IJ342" s="412"/>
      <c r="IK342" s="412"/>
      <c r="IL342" s="412"/>
      <c r="IM342" s="412"/>
      <c r="IN342" s="409">
        <v>5</v>
      </c>
      <c r="IO342" s="398">
        <f>IF(IN342=0,0,IF(LEN(IF342)=11,_xlfn.XLOOKUP(IF342,'Dispensed Ink Rates'!C:C,'Dispensed Ink Rates'!CS:CS),VLOOKUP(IF342,'Jan-2026 rates'!$E:$F,2,0)))</f>
        <v>0</v>
      </c>
      <c r="IP342" s="409"/>
      <c r="IQ342" s="398">
        <f>IF(IP342=0,0,IF(LEN(IG342)=11,_xlfn.XLOOKUP(IG342,'Dispensed Ink Rates'!C:C,'Dispensed Ink Rates'!CS:CS),VLOOKUP(IG342,'Jan-2026 rates'!$E:$F,2,0)))</f>
        <v>0</v>
      </c>
      <c r="IR342" s="409"/>
      <c r="IS342" s="398">
        <f>IF(IR342=0,0,IF(LEN(IH342)=11,_xlfn.XLOOKUP(IH342,'Dispensed Ink Rates'!C:C,'Dispensed Ink Rates'!CS:CS),VLOOKUP(IH342,'Jan-2026 rates'!$E:$F,2,0)))</f>
        <v>0</v>
      </c>
      <c r="IT342" s="409"/>
      <c r="IU342" s="398">
        <f>IF(IT342=0,0,IF(LEN(II342)=11,_xlfn.XLOOKUP(II342,'Dispensed Ink Rates'!C:C,'Dispensed Ink Rates'!CS:CS),VLOOKUP(II342,'Jan-2026 rates'!$E:$F,2,0)))</f>
        <v>0</v>
      </c>
      <c r="IV342" s="409"/>
      <c r="IW342" s="398">
        <f>IF(IV342=0,0,IF(LEN(IJ342)=11,_xlfn.XLOOKUP(IJ342,'Dispensed Ink Rates'!C:C,'Dispensed Ink Rates'!CS:CS),VLOOKUP(IJ342,'Jan-2026 rates'!$E:$F,2,0)))</f>
        <v>0</v>
      </c>
      <c r="IX342" s="409"/>
      <c r="IY342" s="398">
        <f>IF(IX342=0,0,IF(LEN(IK342)=11,_xlfn.XLOOKUP(IK342,'Dispensed Ink Rates'!C:C,'Dispensed Ink Rates'!CS:CS),VLOOKUP(IK342,'Jan-2026 rates'!$E:$F,2,0)))</f>
        <v>0</v>
      </c>
      <c r="IZ342" s="409"/>
      <c r="JA342" s="398">
        <f>IF(IZ342=0,0,IF(LEN(IL342)=11,_xlfn.XLOOKUP(IL342,'Dispensed Ink Rates'!C:C,'Dispensed Ink Rates'!CS:CS),VLOOKUP(IL342,'Jan-2026 rates'!$E:$F,2,0)))</f>
        <v>0</v>
      </c>
      <c r="JB342" s="409"/>
      <c r="JC342" s="398">
        <f>IF(JB342=0,0,IF(LEN(IM342)=11,_xlfn.XLOOKUP(IM342,'Dispensed Ink Rates'!C:C,'Dispensed Ink Rates'!CS:CS),VLOOKUP(IM342,'Jan-2026 rates'!$E:$F,2,0)))</f>
        <v>0</v>
      </c>
      <c r="JD342" s="409" t="s">
        <v>1881</v>
      </c>
      <c r="JE342" s="409">
        <v>19</v>
      </c>
      <c r="JF342" s="411">
        <f t="shared" si="230"/>
        <v>0</v>
      </c>
      <c r="JG342" s="411">
        <f t="shared" si="231"/>
        <v>5.3999999999999986</v>
      </c>
      <c r="JH342" s="410">
        <f t="shared" si="232"/>
        <v>0</v>
      </c>
      <c r="JI342" s="405" t="s">
        <v>856</v>
      </c>
      <c r="JJ342" s="409" t="s">
        <v>4670</v>
      </c>
      <c r="JK342" s="420" t="str">
        <f t="shared" si="190"/>
        <v>ToyoLi - WHITE</v>
      </c>
      <c r="JL342" s="409">
        <v>27</v>
      </c>
      <c r="JM342" s="411">
        <f>IF(JL342=0,0,IF($LB342=70%,VLOOKUP($JK342,'Jan-2026 rates'!$L:$R,4,0),IF($LB342=65%,VLOOKUP($JK342,'Jan-2026 rates'!$L:$R,4,0),IF($LB342=40%,VLOOKUP($JK342,'Jan-2026 rates'!$L:$R,5,0),IF($LB342=30%,VLOOKUP($JK342,'Jan-2026 rates'!$L:$R,6,0),IF($LB342=100%,VLOOKUP($JK342,'Jan-2026 rates'!$L:$R,7,0),IF($LB342=60%,VLOOKUP($JK342,'Jan-2026 rates'!$L:$S,8,0),IF($LB342=80%,VLOOKUP($JK342,'Jan-2026 rates'!L:T,9,0),0))))))))</f>
        <v>0</v>
      </c>
      <c r="JN342" s="412"/>
      <c r="JO342" s="409"/>
      <c r="JP342" s="411">
        <f>IF(JO342=0,0,IF($LB342=70%,VLOOKUP($JK342,'Jan-2026 rates'!$L:$R,4,0),IF($LB342=65%,VLOOKUP($JK342,'Jan-2026 rates'!$L:$R,4,0),IF($LB342=40%,VLOOKUP($JK342,'Jan-2026 rates'!$L:$R,5,0),IF($LB342=30%,VLOOKUP($JK342,'Jan-2026 rates'!$L:$R,6,0),IF($LB342=100%,VLOOKUP($JK342,'Jan-2026 rates'!$L:$R,7,0),IF($LB342=60%,VLOOKUP($JK342,'Jan-2026 rates'!$L:$S,8,0),IF($LB342=80%,VLOOKUP($JK342,'Jan-2026 rates'!L:T,9,0),0))))))))</f>
        <v>0</v>
      </c>
      <c r="JQ342" s="413" t="s">
        <v>1249</v>
      </c>
      <c r="JR342" s="412"/>
      <c r="JS342" s="413"/>
      <c r="JT342" s="413"/>
      <c r="JU342" s="412"/>
      <c r="JV342" s="412"/>
      <c r="JW342" s="412"/>
      <c r="JX342" s="412"/>
      <c r="JY342" s="409">
        <v>10</v>
      </c>
      <c r="JZ342" s="398">
        <f>IF(JY342=0,0,IF(LEN(JQ342)=11,_xlfn.XLOOKUP(JQ342,'Dispensed Ink Rates'!C:C,'Dispensed Ink Rates'!CS:CS),VLOOKUP(JQ342,'Jan-2026 rates'!$E:$F,2,0)))</f>
        <v>0</v>
      </c>
      <c r="KA342" s="409"/>
      <c r="KB342" s="398">
        <f>IF(KA342=0,0,IF(LEN(JR342)=11,_xlfn.XLOOKUP(JR342,'Dispensed Ink Rates'!C:C,'Dispensed Ink Rates'!CS:CS),VLOOKUP(JR342,'Jan-2026 rates'!$E:$F,2,0)))</f>
        <v>0</v>
      </c>
      <c r="KC342" s="409"/>
      <c r="KD342" s="398">
        <f>IF(KC342=0,0,IF(LEN(JS342)=11,_xlfn.XLOOKUP(JS342,'Dispensed Ink Rates'!C:C,'Dispensed Ink Rates'!CS:CS),VLOOKUP(JS342,'Jan-2026 rates'!$E:$F,2,0)))</f>
        <v>0</v>
      </c>
      <c r="KE342" s="409"/>
      <c r="KF342" s="398">
        <f>IF(KE342=0,0,IF(LEN(JT342)=11,_xlfn.XLOOKUP(JT342,'Dispensed Ink Rates'!C:C,'Dispensed Ink Rates'!CS:CS),VLOOKUP(JT342,'Jan-2026 rates'!$E:$F,2,0)))</f>
        <v>0</v>
      </c>
      <c r="KG342" s="409"/>
      <c r="KH342" s="398">
        <f>IF(KG342=0,0,IF(LEN(JU342)=11,_xlfn.XLOOKUP(JU342,'Dispensed Ink Rates'!C:C,'Dispensed Ink Rates'!CS:CS),VLOOKUP(JU342,'Jan-2026 rates'!$E:$F,2,0)))</f>
        <v>0</v>
      </c>
      <c r="KI342" s="409"/>
      <c r="KJ342" s="398">
        <f>IF(KI342=0,0,IF(LEN(JV342)=11,_xlfn.XLOOKUP(JV342,'Dispensed Ink Rates'!C:C,'Dispensed Ink Rates'!CS:CS),VLOOKUP(JV342,'Jan-2026 rates'!$E:$F,2,0)))</f>
        <v>0</v>
      </c>
      <c r="KK342" s="409"/>
      <c r="KL342" s="398">
        <f>IF(KK342=0,0,IF(LEN(JW342)=11,_xlfn.XLOOKUP(JW342,'Dispensed Ink Rates'!C:C,'Dispensed Ink Rates'!CS:CS),VLOOKUP(JW342,'Jan-2026 rates'!$E:$F,2,0)))</f>
        <v>0</v>
      </c>
      <c r="KM342" s="428"/>
      <c r="KN342" s="398">
        <f>IF(KM342=0,0,IF(LEN(JX342)=11,_xlfn.XLOOKUP(JX342,'Dispensed Ink Rates'!C:C,'Dispensed Ink Rates'!CS:CS),VLOOKUP(JX342,'Jan-2026 rates'!$E:$F,2,0)))</f>
        <v>0</v>
      </c>
      <c r="KO342" s="409" t="s">
        <v>1881</v>
      </c>
      <c r="KP342" s="409">
        <v>25</v>
      </c>
      <c r="KQ342" s="411">
        <f t="shared" si="233"/>
        <v>0</v>
      </c>
      <c r="KR342" s="411">
        <f t="shared" si="234"/>
        <v>18</v>
      </c>
      <c r="KS342" s="410">
        <f t="shared" si="235"/>
        <v>0</v>
      </c>
      <c r="KT342" s="409">
        <v>2</v>
      </c>
      <c r="KU342" s="409">
        <v>3</v>
      </c>
      <c r="KV342" s="409">
        <v>15</v>
      </c>
      <c r="KW342" s="409">
        <v>1</v>
      </c>
      <c r="KX342" s="409">
        <v>2</v>
      </c>
      <c r="KY342" s="409">
        <v>5</v>
      </c>
      <c r="KZ342" s="409">
        <v>2</v>
      </c>
      <c r="LA342" s="409">
        <v>5</v>
      </c>
      <c r="LB342" s="415">
        <v>0.3</v>
      </c>
      <c r="LC342" s="415"/>
      <c r="LD342" s="424"/>
      <c r="LE342" s="415">
        <v>0.5</v>
      </c>
      <c r="LF342" s="415">
        <v>0.2</v>
      </c>
      <c r="LG342" s="409">
        <v>0</v>
      </c>
      <c r="LH342" s="409">
        <f>16+10+5+8+3</f>
        <v>42</v>
      </c>
      <c r="LI342" s="409">
        <v>0</v>
      </c>
      <c r="LJ342" s="409">
        <v>0</v>
      </c>
      <c r="LK342" s="416">
        <f t="shared" si="191"/>
        <v>42</v>
      </c>
      <c r="LL342" s="416">
        <f t="shared" si="237"/>
        <v>42</v>
      </c>
      <c r="LM342" s="417">
        <f t="shared" si="193"/>
        <v>12.6</v>
      </c>
      <c r="LN342" s="417">
        <f>VLOOKUP($LM$8,'Jan-2026 rates'!$H:$I,2,0)</f>
        <v>0</v>
      </c>
      <c r="LO342" s="417">
        <f t="shared" si="194"/>
        <v>0</v>
      </c>
      <c r="LP342" s="417">
        <f>VLOOKUP($LO$8,'Jan-2026 rates'!$H:$I,2,0)</f>
        <v>0</v>
      </c>
      <c r="LQ342" s="417">
        <f t="shared" si="195"/>
        <v>0</v>
      </c>
      <c r="LR342" s="417">
        <f>VLOOKUP($LQ$8,'Jan-2026 rates'!$H:$I,2,0)</f>
        <v>0</v>
      </c>
      <c r="LS342" s="417">
        <f t="shared" si="196"/>
        <v>21</v>
      </c>
      <c r="LT342" s="417">
        <f>VLOOKUP($LS$8,'Jan-2026 rates'!$H:$I,2,0)</f>
        <v>0</v>
      </c>
      <c r="LU342" s="417">
        <f t="shared" si="197"/>
        <v>8.4</v>
      </c>
      <c r="LV342" s="417">
        <f>VLOOKUP($LU$8,'Jan-2026 rates'!$H:$I,2,0)</f>
        <v>0</v>
      </c>
      <c r="LW342" s="417">
        <f t="shared" si="198"/>
        <v>0</v>
      </c>
      <c r="LX342" s="417">
        <f t="shared" si="199"/>
        <v>0</v>
      </c>
      <c r="LY342" s="418">
        <f t="shared" si="200"/>
        <v>0</v>
      </c>
      <c r="LZ342" s="417"/>
      <c r="MA342" s="435">
        <f t="shared" si="201"/>
        <v>69</v>
      </c>
      <c r="MB342" s="282">
        <f t="shared" si="202"/>
        <v>71</v>
      </c>
      <c r="MC342" s="283" t="s">
        <v>2437</v>
      </c>
      <c r="MD342" s="284" t="str">
        <f t="shared" si="203"/>
        <v>ToyoLiToyoLiToyoLiToyoLiToyoLiToyoLiToyoLiToyoLi</v>
      </c>
      <c r="ME342" s="293" t="str">
        <f t="shared" si="204"/>
        <v>+</v>
      </c>
      <c r="MF342" s="293" t="str">
        <f t="shared" si="205"/>
        <v>+</v>
      </c>
      <c r="MG342" s="293" t="str">
        <f t="shared" si="206"/>
        <v>+</v>
      </c>
      <c r="MH342" s="293" t="str">
        <f t="shared" si="207"/>
        <v>+</v>
      </c>
      <c r="MI342" s="293" t="str">
        <f t="shared" si="208"/>
        <v>+</v>
      </c>
      <c r="MJ342" s="293" t="str">
        <f t="shared" si="209"/>
        <v>+</v>
      </c>
      <c r="MK342" s="293" t="str">
        <f t="shared" si="210"/>
        <v>+</v>
      </c>
      <c r="ML342" s="293" t="str">
        <f t="shared" si="211"/>
        <v>+</v>
      </c>
      <c r="MM342" s="3" t="b">
        <f t="array" ref="MM342">OR(ME342:ML342="-")</f>
        <v>0</v>
      </c>
      <c r="MO342" s="401">
        <f t="shared" si="238"/>
        <v>84.523809523809518</v>
      </c>
      <c r="MP342" s="286"/>
      <c r="MR342" s="402">
        <f t="shared" si="239"/>
        <v>1.5777777777777779E-2</v>
      </c>
      <c r="MS342" s="400">
        <f t="shared" si="240"/>
        <v>0</v>
      </c>
      <c r="MT342" s="285"/>
      <c r="NH342" s="361"/>
      <c r="NJ342" s="282"/>
    </row>
    <row r="343" spans="1:374" ht="16.5">
      <c r="A343" s="403">
        <v>46050</v>
      </c>
      <c r="B343" s="404" t="s">
        <v>1015</v>
      </c>
      <c r="C343" s="405" t="s">
        <v>4671</v>
      </c>
      <c r="D343" s="404" t="s">
        <v>4672</v>
      </c>
      <c r="E343" s="404">
        <v>5926</v>
      </c>
      <c r="F343" s="407">
        <v>300700</v>
      </c>
      <c r="G343" s="407" t="s">
        <v>1016</v>
      </c>
      <c r="H343" s="408" t="s">
        <v>1017</v>
      </c>
      <c r="I343" s="409">
        <v>0.6</v>
      </c>
      <c r="J343" s="405" t="s">
        <v>543</v>
      </c>
      <c r="K343" s="404"/>
      <c r="L343" s="419" t="str">
        <f t="shared" si="184"/>
        <v>ToyoLi - BLACK</v>
      </c>
      <c r="M343" s="404"/>
      <c r="N343" s="410">
        <f>IF(M343=0,0,IF($LB343=70%,VLOOKUP($L343,'Jan-2026 rates'!$L:$R,4,0),IF($LB343=65%,VLOOKUP($L343,'Jan-2026 rates'!$L:$R,4,0),IF($LB343=40%,VLOOKUP($L343,'Jan-2026 rates'!$L:$R,5,0),IF($LB343=30%,VLOOKUP($L343,'Jan-2026 rates'!$L:$R,6,0),IF($LB343=100%,VLOOKUP($L343,'Jan-2026 rates'!$L:$R,7,0),IF($LB343=60%,VLOOKUP($L343,'Jan-2026 rates'!$L:$S,8,0),IF($LB343=80%,VLOOKUP($L343,'Jan-2026 rates'!L:T,9,0),0))))))))</f>
        <v>0</v>
      </c>
      <c r="O343" s="406"/>
      <c r="P343" s="404"/>
      <c r="Q343" s="410">
        <f>IF(P343=0,0,IF($LB343=70%,VLOOKUP($L343,'Jan-2026 rates'!$L:$R,4,0),IF($LB343=65%,VLOOKUP($L343,'Jan-2026 rates'!$L:$R,4,0),IF($LB343=40%,VLOOKUP($L343,'Jan-2026 rates'!$L:$R,5,0),IF($LB343=30%,VLOOKUP($L343,'Jan-2026 rates'!$L:$R,6,0),IF($LB343=100%,VLOOKUP($L343,'Jan-2026 rates'!$L:$R,7,0),IF($LB343=60%,VLOOKUP($L343,'Jan-2026 rates'!$L:$S,8,0),IF($LB343=80%,VLOOKUP($L343,'Jan-2026 rates'!L:T,9,0),0))))))))</f>
        <v>0</v>
      </c>
      <c r="R343" s="406" t="s">
        <v>1252</v>
      </c>
      <c r="S343" s="406" t="s">
        <v>1921</v>
      </c>
      <c r="T343" s="406"/>
      <c r="U343" s="406"/>
      <c r="V343" s="406"/>
      <c r="W343" s="406"/>
      <c r="X343" s="406"/>
      <c r="Y343" s="406"/>
      <c r="Z343" s="404">
        <v>15</v>
      </c>
      <c r="AA343" s="398">
        <f>IF(Z343=0,0,IF(LEN(R343)=11,_xlfn.XLOOKUP(R343,'Dispensed Ink Rates'!C:C,'Dispensed Ink Rates'!CS:CS),VLOOKUP(R343,'Jan-2026 rates'!$E:$F,2,0)))</f>
        <v>0</v>
      </c>
      <c r="AB343" s="404">
        <v>5</v>
      </c>
      <c r="AC343" s="398">
        <f>IF(AB343=0,0,IF(LEN(S343)=11,_xlfn.XLOOKUP(S343,'Dispensed Ink Rates'!C:C,'Dispensed Ink Rates'!CS:CS),VLOOKUP(S343,'Jan-2026 rates'!$E:$F,2,0)))</f>
        <v>0</v>
      </c>
      <c r="AD343" s="404"/>
      <c r="AE343" s="398">
        <f>IF(AD343=0,0,IF(LEN(T343)=11,_xlfn.XLOOKUP(T343,'Dispensed Ink Rates'!C:C,'Dispensed Ink Rates'!CS:CS),VLOOKUP(T343,'Jan-2026 rates'!$E:$F,2,0)))</f>
        <v>0</v>
      </c>
      <c r="AF343" s="404"/>
      <c r="AG343" s="398">
        <f>IF(AF343=0,0,IF(LEN(U343)=11,_xlfn.XLOOKUP(U343,'Dispensed Ink Rates'!C:C,'Dispensed Ink Rates'!CS:CS),VLOOKUP(U343,'Jan-2026 rates'!$E:$F,2,0)))</f>
        <v>0</v>
      </c>
      <c r="AH343" s="404"/>
      <c r="AI343" s="398">
        <f>IF(AH343=0,0,IF(LEN(V343)=11,_xlfn.XLOOKUP(V343,'Dispensed Ink Rates'!C:C,'Dispensed Ink Rates'!CS:CS),VLOOKUP(V343,'Jan-2026 rates'!$E:$F,2,0)))</f>
        <v>0</v>
      </c>
      <c r="AJ343" s="404"/>
      <c r="AK343" s="398">
        <f>IF(AJ343=0,0,IF(LEN(W343)=11,_xlfn.XLOOKUP(W343,'Dispensed Ink Rates'!C:C,'Dispensed Ink Rates'!CS:CS),VLOOKUP(W343,'Jan-2026 rates'!$E:$F,2,0)))</f>
        <v>0</v>
      </c>
      <c r="AL343" s="404"/>
      <c r="AM343" s="398">
        <f>IF(AL343=0,0,IF(LEN(X343)=11,_xlfn.XLOOKUP(X343,'Dispensed Ink Rates'!C:C,'Dispensed Ink Rates'!CS:CS),VLOOKUP(X343,'Jan-2026 rates'!$E:$F,2,0)))</f>
        <v>0</v>
      </c>
      <c r="AN343" s="404"/>
      <c r="AO343" s="398">
        <f>IF(AN343=0,0,IF(LEN(Y343)=11,_xlfn.XLOOKUP(Y343,'Dispensed Ink Rates'!C:C,'Dispensed Ink Rates'!CS:CS),VLOOKUP(Y343,'Jan-2026 rates'!$E:$F,2,0)))</f>
        <v>0</v>
      </c>
      <c r="AP343" s="409" t="s">
        <v>1881</v>
      </c>
      <c r="AQ343" s="409">
        <f>15+10</f>
        <v>25</v>
      </c>
      <c r="AR343" s="410">
        <f t="shared" si="212"/>
        <v>0</v>
      </c>
      <c r="AS343" s="411">
        <f t="shared" si="213"/>
        <v>40.492813141683769</v>
      </c>
      <c r="AT343" s="410">
        <f t="shared" si="214"/>
        <v>0</v>
      </c>
      <c r="AU343" s="405" t="s">
        <v>546</v>
      </c>
      <c r="AV343" s="409"/>
      <c r="AW343" s="420" t="str">
        <f t="shared" si="236"/>
        <v>ToyoLi - REFLEX BLUE</v>
      </c>
      <c r="AX343" s="409"/>
      <c r="AY343" s="411">
        <f>IF(AX343=0,0,IF($LB343=70%,VLOOKUP($AW343,'Jan-2026 rates'!$L:$R,4,0),IF($LB343=65%,VLOOKUP($AW343,'Jan-2026 rates'!$L:$R,4,0),IF($LB343=40%,VLOOKUP($AW343,'Jan-2026 rates'!$L:$R,5,0),IF($LB343=30%,VLOOKUP($AW343,'Jan-2026 rates'!$L:$R,6,0),IF($LB343=100%,VLOOKUP($AW343,'Jan-2026 rates'!$L:$R,7,0),IF($LB343=60%,VLOOKUP($AW343,'Jan-2026 rates'!$L:$S,8,0),IF($LB343=80%,VLOOKUP($AW343,'Jan-2026 rates'!L:T,9,0),0))))))))</f>
        <v>0</v>
      </c>
      <c r="AZ343" s="412"/>
      <c r="BA343" s="409"/>
      <c r="BB343" s="411">
        <f>IF(BA343=0,0,IF($LB343=70%,VLOOKUP($AW343,'Jan-2026 rates'!$L:$R,4,0),IF($LB343=65%,VLOOKUP($AW343,'Jan-2026 rates'!$L:$R,4,0),IF($LB343=40%,VLOOKUP($AW343,'Jan-2026 rates'!$L:$R,5,0),IF($LB343=30%,VLOOKUP($AW343,'Jan-2026 rates'!$L:$R,6,0),IF($LB343=100%,VLOOKUP($AW343,'Jan-2026 rates'!$L:$R,7,0),IF($LB343=60%,VLOOKUP($AW343,'Jan-2026 rates'!$L:$S,8,0),IF($LB343=80%,VLOOKUP($AW343,'Jan-2026 rates'!L:T,9,0),0))))))))</f>
        <v>0</v>
      </c>
      <c r="BC343" s="413" t="s">
        <v>1880</v>
      </c>
      <c r="BD343" s="412" t="s">
        <v>1246</v>
      </c>
      <c r="BE343" s="412" t="s">
        <v>1252</v>
      </c>
      <c r="BF343" s="413"/>
      <c r="BG343" s="412"/>
      <c r="BH343" s="412"/>
      <c r="BI343" s="412"/>
      <c r="BJ343" s="412"/>
      <c r="BK343" s="409">
        <f>80+25+45</f>
        <v>150</v>
      </c>
      <c r="BL343" s="398">
        <f>IF(BK343=0,0,IF(LEN(BC343)=11,_xlfn.XLOOKUP(BC343,'Dispensed Ink Rates'!C:C,'Dispensed Ink Rates'!CS:CS),VLOOKUP(BC343,'Jan-2026 rates'!$E:$F,2,0)))</f>
        <v>0</v>
      </c>
      <c r="BM343" s="409">
        <f>10+3+8</f>
        <v>21</v>
      </c>
      <c r="BN343" s="398">
        <f>IF(BM343=0,0,IF(LEN(BD343)=11,_xlfn.XLOOKUP(BD343,'Dispensed Ink Rates'!C:C,'Dispensed Ink Rates'!CS:CS),VLOOKUP(BD343,'Jan-2026 rates'!$E:$F,2,0)))</f>
        <v>0</v>
      </c>
      <c r="BO343" s="409">
        <f>4+1+1</f>
        <v>6</v>
      </c>
      <c r="BP343" s="398">
        <f>IF(BO343=0,0,IF(LEN(BE343)=11,_xlfn.XLOOKUP(BE343,'Dispensed Ink Rates'!C:C,'Dispensed Ink Rates'!CS:CS),VLOOKUP(BE343,'Jan-2026 rates'!$E:$F,2,0)))</f>
        <v>0</v>
      </c>
      <c r="BQ343" s="409"/>
      <c r="BR343" s="398">
        <f>IF(BQ343=0,0,IF(LEN(BF343)=11,_xlfn.XLOOKUP(BF343,'Dispensed Ink Rates'!C:C,'Dispensed Ink Rates'!CS:CS),VLOOKUP(BF343,'Jan-2026 rates'!$E:$F,2,0)))</f>
        <v>0</v>
      </c>
      <c r="BS343" s="409"/>
      <c r="BT343" s="398">
        <f>IF(BS343=0,0,IF(LEN(BG343)=11,_xlfn.XLOOKUP(BG343,'Dispensed Ink Rates'!C:C,'Dispensed Ink Rates'!CS:CS),VLOOKUP(BG343,'Jan-2026 rates'!$E:$F,2,0)))</f>
        <v>0</v>
      </c>
      <c r="BU343" s="409"/>
      <c r="BV343" s="398">
        <f>IF(BU343=0,0,IF(LEN(BH343)=11,_xlfn.XLOOKUP(BH343,'Dispensed Ink Rates'!C:C,'Dispensed Ink Rates'!CS:CS),VLOOKUP(BH343,'Jan-2026 rates'!$E:$F,2,0)))</f>
        <v>0</v>
      </c>
      <c r="BW343" s="409"/>
      <c r="BX343" s="398">
        <f>IF(BW343=0,0,IF(LEN(BI343)=11,_xlfn.XLOOKUP(BI343,'Dispensed Ink Rates'!C:C,'Dispensed Ink Rates'!CS:CS),VLOOKUP(BI343,'Jan-2026 rates'!$E:$F,2,0)))</f>
        <v>0</v>
      </c>
      <c r="BY343" s="409"/>
      <c r="BZ343" s="398">
        <f>IF(BY343=0,0,IF(LEN(BJ343)=11,_xlfn.XLOOKUP(BJ343,'Dispensed Ink Rates'!C:C,'Dispensed Ink Rates'!CS:CS),VLOOKUP(BJ343,'Jan-2026 rates'!$E:$F,2,0)))</f>
        <v>0</v>
      </c>
      <c r="CA343" s="409" t="s">
        <v>1881</v>
      </c>
      <c r="CB343" s="409">
        <f>15+7</f>
        <v>22</v>
      </c>
      <c r="CC343" s="411">
        <f t="shared" si="215"/>
        <v>0</v>
      </c>
      <c r="CD343" s="411">
        <f t="shared" si="216"/>
        <v>352.13552361396307</v>
      </c>
      <c r="CE343" s="410">
        <f t="shared" si="217"/>
        <v>0</v>
      </c>
      <c r="CF343" s="404" t="s">
        <v>828</v>
      </c>
      <c r="CG343" s="409"/>
      <c r="CH343" s="420" t="str">
        <f t="shared" si="185"/>
        <v>ToyoLi - ORANGE</v>
      </c>
      <c r="CI343" s="409"/>
      <c r="CJ343" s="411">
        <f>IF(CI343=0,0,IF($LB343=70%,VLOOKUP($CH343,'Jan-2026 rates'!$L:$R,4,0),IF($LB343=65%,VLOOKUP($CH343,'Jan-2026 rates'!$L:$R,4,0),IF($LB343=40%,VLOOKUP($CH343,'Jan-2026 rates'!$L:$R,5,0),IF($LB343=30%,VLOOKUP($CH343,'Jan-2026 rates'!$L:$R,6,0),IF($LB343=100%,VLOOKUP($CH343,'Jan-2026 rates'!$L:$R,7,0),IF($LB343=60%,VLOOKUP($CH343,'Jan-2026 rates'!$L:$S,8,0),IF($LB343=80%,VLOOKUP($CH343,'Jan-2026 rates'!L:T,9,0),0))))))))</f>
        <v>0</v>
      </c>
      <c r="CK343" s="412"/>
      <c r="CL343" s="409"/>
      <c r="CM343" s="411">
        <f>IF(CL343=0,0,IF($LB343=70%,VLOOKUP($CH343,'Jan-2026 rates'!$L:$R,4,0),IF($LB343=65%,VLOOKUP($CH343,'Jan-2026 rates'!$L:$R,4,0),IF($LB343=40%,VLOOKUP($CH343,'Jan-2026 rates'!$L:$R,5,0),IF($LB343=30%,VLOOKUP($CH343,'Jan-2026 rates'!$L:$R,6,0),IF($LB343=100%,VLOOKUP($CH343,'Jan-2026 rates'!$L:$R,7,0),IF($LB343=60%,VLOOKUP($CH343,'Jan-2026 rates'!$L:$S,8,0),IF($LB343=80%,VLOOKUP($CH343,'Jan-2026 rates'!L:T,9,0),0))))))))</f>
        <v>0</v>
      </c>
      <c r="CN343" s="426" t="s">
        <v>1247</v>
      </c>
      <c r="CO343" s="427" t="s">
        <v>1248</v>
      </c>
      <c r="CP343" s="426"/>
      <c r="CQ343" s="426"/>
      <c r="CR343" s="428"/>
      <c r="CS343" s="428"/>
      <c r="CT343" s="428"/>
      <c r="CU343" s="428"/>
      <c r="CV343" s="409">
        <f>40+20</f>
        <v>60</v>
      </c>
      <c r="CW343" s="398">
        <f>IF(CV343=0,0,IF(LEN(CN343)=11,_xlfn.XLOOKUP(CN343,'Dispensed Ink Rates'!C:C,'Dispensed Ink Rates'!CS:CS),VLOOKUP(CN343,'Jan-2026 rates'!$E:$F,2,0)))</f>
        <v>0</v>
      </c>
      <c r="CX343" s="409">
        <f>3+2</f>
        <v>5</v>
      </c>
      <c r="CY343" s="398">
        <f>IF(CX343=0,0,IF(LEN(CO343)=11,_xlfn.XLOOKUP(CO343,'Dispensed Ink Rates'!C:C,'Dispensed Ink Rates'!CS:CS),VLOOKUP(CO343,'Jan-2026 rates'!$E:$F,2,0)))</f>
        <v>0</v>
      </c>
      <c r="CZ343" s="409"/>
      <c r="DA343" s="398">
        <f>IF(CZ343=0,0,IF(LEN(CP343)=11,_xlfn.XLOOKUP(CP343,'Dispensed Ink Rates'!C:C,'Dispensed Ink Rates'!CS:CS),VLOOKUP(CP343,'Jan-2026 rates'!$E:$F,2,0)))</f>
        <v>0</v>
      </c>
      <c r="DB343" s="409"/>
      <c r="DC343" s="398">
        <f>IF(DB343=0,0,IF(LEN(CQ343)=11,_xlfn.XLOOKUP(CQ343,'Dispensed Ink Rates'!C:C,'Dispensed Ink Rates'!CS:CS),VLOOKUP(CQ343,'Jan-2026 rates'!$E:$F,2,0)))</f>
        <v>0</v>
      </c>
      <c r="DD343" s="409"/>
      <c r="DE343" s="398">
        <f>IF(DD343=0,0,IF(LEN(CR343)=11,_xlfn.XLOOKUP(CR343,'Dispensed Ink Rates'!C:C,'Dispensed Ink Rates'!CS:CS),VLOOKUP(CR343,'Jan-2026 rates'!$E:$F,2,0)))</f>
        <v>0</v>
      </c>
      <c r="DF343" s="409"/>
      <c r="DG343" s="398">
        <f>IF(DF343=0,0,IF(LEN(CS343)=11,_xlfn.XLOOKUP(CS343,'Dispensed Ink Rates'!C:C,'Dispensed Ink Rates'!CS:CS),VLOOKUP(CS343,'Jan-2026 rates'!$E:$F,2,0)))</f>
        <v>0</v>
      </c>
      <c r="DH343" s="409"/>
      <c r="DI343" s="398">
        <f>IF(DH343=0,0,IF(LEN(CT343)=11,_xlfn.XLOOKUP(CT343,'Dispensed Ink Rates'!C:C,'Dispensed Ink Rates'!CS:CS),VLOOKUP(CT343,'Jan-2026 rates'!$E:$F,2,0)))</f>
        <v>0</v>
      </c>
      <c r="DJ343" s="409"/>
      <c r="DK343" s="398">
        <f>IF(DJ343=0,0,IF(LEN(CU343)=11,_xlfn.XLOOKUP(CU343,'Dispensed Ink Rates'!C:C,'Dispensed Ink Rates'!CS:CS),VLOOKUP(CU343,'Jan-2026 rates'!$E:$F,2,0)))</f>
        <v>0</v>
      </c>
      <c r="DL343" s="409" t="s">
        <v>1881</v>
      </c>
      <c r="DM343" s="409">
        <f>11+12</f>
        <v>23</v>
      </c>
      <c r="DN343" s="411">
        <f t="shared" si="218"/>
        <v>0</v>
      </c>
      <c r="DO343" s="411">
        <f t="shared" si="219"/>
        <v>154.21560574948666</v>
      </c>
      <c r="DP343" s="410">
        <f t="shared" si="220"/>
        <v>0</v>
      </c>
      <c r="DQ343" s="405" t="s">
        <v>546</v>
      </c>
      <c r="DR343" s="409"/>
      <c r="DS343" s="420" t="str">
        <f t="shared" si="186"/>
        <v>ToyoLi - REFLEX BLUE</v>
      </c>
      <c r="DT343" s="409"/>
      <c r="DU343" s="411">
        <f>IF(DT343=0,0,IF($LB343=70%,VLOOKUP($DS343,'Jan-2026 rates'!$L:$R,4,0),IF($LB343=65%,VLOOKUP($DS343,'Jan-2026 rates'!$L:$R,4,0),IF($LB343=40%,VLOOKUP($DS343,'Jan-2026 rates'!$L:$R,5,0),IF($LB343=30%,VLOOKUP($DS343,'Jan-2026 rates'!$L:$R,6,0),IF($LB343=100%,VLOOKUP($DS343,'Jan-2026 rates'!$L:$R,7,0),IF($LB343=60%,VLOOKUP($DS343,'Jan-2026 rates'!$L:$S,8,0),IF($LB343=80%,VLOOKUP($DS343,'Jan-2026 rates'!L:T,9,0),0))))))))</f>
        <v>0</v>
      </c>
      <c r="DV343" s="412"/>
      <c r="DW343" s="409"/>
      <c r="DX343" s="411">
        <f>IF(DW343=0,0,IF($LB343=70%,VLOOKUP($DS343,'Jan-2026 rates'!$L:$R,4,0),IF($LB343=65%,VLOOKUP($DS343,'Jan-2026 rates'!$L:$R,4,0),IF($LB343=40%,VLOOKUP($DS343,'Jan-2026 rates'!$L:$R,5,0),IF($LB343=30%,VLOOKUP($DS343,'Jan-2026 rates'!$L:$R,6,0),IF($LB343=100%,VLOOKUP($DS343,'Jan-2026 rates'!$L:$R,7,0),IF($LB343=60%,VLOOKUP($DS343,'Jan-2026 rates'!$L:$S,8,0),IF($LB343=80%,VLOOKUP($DS343,'Jan-2026 rates'!L:T,9,0),0))))))))</f>
        <v>0</v>
      </c>
      <c r="DY343" s="413" t="s">
        <v>1921</v>
      </c>
      <c r="DZ343" s="413" t="s">
        <v>1250</v>
      </c>
      <c r="EA343" s="412" t="s">
        <v>1246</v>
      </c>
      <c r="EB343" s="412" t="s">
        <v>1880</v>
      </c>
      <c r="EC343" s="412"/>
      <c r="ED343" s="412"/>
      <c r="EE343" s="412"/>
      <c r="EF343" s="412"/>
      <c r="EG343" s="409">
        <f>60+20+40</f>
        <v>120</v>
      </c>
      <c r="EH343" s="398">
        <f>IF(EG343=0,0,IF(LEN(DY343)=11,_xlfn.XLOOKUP(DY343,'Dispensed Ink Rates'!C:C,'Dispensed Ink Rates'!CS:CS),VLOOKUP(DY343,'Jan-2026 rates'!$E:$F,2,0)))</f>
        <v>0</v>
      </c>
      <c r="EI343" s="409">
        <f>10+2+6</f>
        <v>18</v>
      </c>
      <c r="EJ343" s="398">
        <f>IF(EI343=0,0,IF(LEN(DZ343)=11,_xlfn.XLOOKUP(DZ343,'Dispensed Ink Rates'!C:C,'Dispensed Ink Rates'!CS:CS),VLOOKUP(DZ343,'Jan-2026 rates'!$E:$F,2,0)))</f>
        <v>0</v>
      </c>
      <c r="EK343" s="409">
        <v>0.3</v>
      </c>
      <c r="EL343" s="398">
        <f>IF(EK343=0,0,IF(LEN(EA343)=11,_xlfn.XLOOKUP(EA343,'Dispensed Ink Rates'!C:C,'Dispensed Ink Rates'!CS:CS),VLOOKUP(EA343,'Jan-2026 rates'!$E:$F,2,0)))</f>
        <v>0</v>
      </c>
      <c r="EM343" s="409">
        <f>1+0.2+2</f>
        <v>3.2</v>
      </c>
      <c r="EN343" s="398">
        <f>IF(EM343=0,0,IF(LEN(EB343)=11,_xlfn.XLOOKUP(EB343,'Dispensed Ink Rates'!C:C,'Dispensed Ink Rates'!CS:CS),VLOOKUP(EB343,'Jan-2026 rates'!$E:$F,2,0)))</f>
        <v>0</v>
      </c>
      <c r="EO343" s="409"/>
      <c r="EP343" s="398">
        <f>IF(EO343=0,0,IF(LEN(EC343)=11,_xlfn.XLOOKUP(EC343,'Dispensed Ink Rates'!C:C,'Dispensed Ink Rates'!CS:CS),VLOOKUP(EC343,'Jan-2026 rates'!$E:$F,2,0)))</f>
        <v>0</v>
      </c>
      <c r="EQ343" s="409"/>
      <c r="ER343" s="398">
        <f>IF(EQ343=0,0,IF(LEN(ED343)=11,_xlfn.XLOOKUP(ED343,'Dispensed Ink Rates'!C:C,'Dispensed Ink Rates'!CS:CS),VLOOKUP(ED343,'Jan-2026 rates'!$E:$F,2,0)))</f>
        <v>0</v>
      </c>
      <c r="ES343" s="409"/>
      <c r="ET343" s="398">
        <f>IF(ES343=0,0,IF(LEN(EE343)=11,_xlfn.XLOOKUP(EE343,'Dispensed Ink Rates'!C:C,'Dispensed Ink Rates'!CS:CS),VLOOKUP(EE343,'Jan-2026 rates'!$E:$F,2,0)))</f>
        <v>0</v>
      </c>
      <c r="EU343" s="409"/>
      <c r="EV343" s="398">
        <f>IF(EU343=0,0,IF(LEN(EF343)=11,_xlfn.XLOOKUP(EF343,'Dispensed Ink Rates'!C:C,'Dispensed Ink Rates'!CS:CS),VLOOKUP(EF343,'Jan-2026 rates'!$E:$F,2,0)))</f>
        <v>0</v>
      </c>
      <c r="EW343" s="409" t="s">
        <v>1881</v>
      </c>
      <c r="EX343" s="409">
        <f>15+19</f>
        <v>34</v>
      </c>
      <c r="EY343" s="411">
        <f t="shared" si="221"/>
        <v>0</v>
      </c>
      <c r="EZ343" s="411">
        <f t="shared" si="222"/>
        <v>319.79979466119096</v>
      </c>
      <c r="FA343" s="410">
        <f t="shared" si="223"/>
        <v>0</v>
      </c>
      <c r="FB343" s="405" t="s">
        <v>855</v>
      </c>
      <c r="FC343" s="409"/>
      <c r="FD343" s="420" t="str">
        <f t="shared" si="187"/>
        <v>ToyoLi - CYAN</v>
      </c>
      <c r="FE343" s="409"/>
      <c r="FF343" s="411">
        <f>IF(FE343=0,0,IF($LB343=70%,VLOOKUP($FD343,'Jan-2026 rates'!$L:$R,4,0),IF($LB343=65%,VLOOKUP($FD343,'Jan-2026 rates'!$L:$R,4,0),IF($LB343=40%,VLOOKUP($FD343,'Jan-2026 rates'!$L:$R,5,0),IF($LB343=30%,VLOOKUP($FD343,'Jan-2026 rates'!$L:$R,6,0),IF($LB343=100%,VLOOKUP($FD343,'Jan-2026 rates'!$L:$R,7,0),IF($LB343=60%,VLOOKUP($FD343,'Jan-2026 rates'!$L:$S,8,0),IF($LB343=80%,VLOOKUP($FD343,'Jan-2026 rates'!L:T,9,0),0))))))))</f>
        <v>0</v>
      </c>
      <c r="FG343" s="412"/>
      <c r="FH343" s="409"/>
      <c r="FI343" s="411">
        <f>IF(FH343=0,0,IF($LB343=70%,VLOOKUP($FD343,'Jan-2026 rates'!$L:$R,4,0),IF($LB343=65%,VLOOKUP($FD343,'Jan-2026 rates'!$L:$R,4,0),IF($LB343=40%,VLOOKUP($FD343,'Jan-2026 rates'!$L:$R,5,0),IF($LB343=30%,VLOOKUP($FD343,'Jan-2026 rates'!$L:$R,6,0),IF($LB343=100%,VLOOKUP($FD343,'Jan-2026 rates'!$L:$R,7,0),IF($LB343=60%,VLOOKUP($FD343,'Jan-2026 rates'!$L:$S,8,0),IF($LB343=80%,VLOOKUP($FD343,'Jan-2026 rates'!L:T,9,0),0))))))))</f>
        <v>0</v>
      </c>
      <c r="FJ343" s="413" t="s">
        <v>1250</v>
      </c>
      <c r="FK343" s="413" t="s">
        <v>1921</v>
      </c>
      <c r="FL343" s="413"/>
      <c r="FM343" s="412"/>
      <c r="FN343" s="412"/>
      <c r="FO343" s="412"/>
      <c r="FP343" s="412"/>
      <c r="FQ343" s="412"/>
      <c r="FR343" s="409">
        <v>15</v>
      </c>
      <c r="FS343" s="398">
        <f>IF(FR343=0,0,IF(LEN(FJ343)=11,_xlfn.XLOOKUP(FJ343,'Dispensed Ink Rates'!C:C,'Dispensed Ink Rates'!CS:CS),VLOOKUP(FJ343,'Jan-2026 rates'!$E:$F,2,0)))</f>
        <v>0</v>
      </c>
      <c r="FT343" s="409">
        <v>5</v>
      </c>
      <c r="FU343" s="398">
        <f>IF(FT343=0,0,IF(LEN(FK343)=11,_xlfn.XLOOKUP(FK343,'Dispensed Ink Rates'!C:C,'Dispensed Ink Rates'!CS:CS),VLOOKUP(FK343,'Jan-2026 rates'!$E:$F,2,0)))</f>
        <v>0</v>
      </c>
      <c r="FV343" s="409"/>
      <c r="FW343" s="398">
        <f>IF(FV343=0,0,IF(LEN(FL343)=11,_xlfn.XLOOKUP(FL343,'Dispensed Ink Rates'!C:C,'Dispensed Ink Rates'!CS:CS),VLOOKUP(FL343,'Jan-2026 rates'!$E:$F,2,0)))</f>
        <v>0</v>
      </c>
      <c r="FX343" s="409"/>
      <c r="FY343" s="398">
        <f>IF(FX343=0,0,IF(LEN(FM343)=11,_xlfn.XLOOKUP(FM343,'Dispensed Ink Rates'!C:C,'Dispensed Ink Rates'!CS:CS),VLOOKUP(FM343,'Jan-2026 rates'!$E:$F,2,0)))</f>
        <v>0</v>
      </c>
      <c r="FZ343" s="409"/>
      <c r="GA343" s="398">
        <f>IF(FZ343=0,0,IF(LEN(FN343)=11,_xlfn.XLOOKUP(FN343,'Dispensed Ink Rates'!C:C,'Dispensed Ink Rates'!CS:CS),VLOOKUP(FN343,'Jan-2026 rates'!$E:$F,2,0)))</f>
        <v>0</v>
      </c>
      <c r="GB343" s="409"/>
      <c r="GC343" s="398">
        <f>IF(GB343=0,0,IF(LEN(FO343)=11,_xlfn.XLOOKUP(FO343,'Dispensed Ink Rates'!C:C,'Dispensed Ink Rates'!CS:CS),VLOOKUP(FO343,'Jan-2026 rates'!$E:$F,2,0)))</f>
        <v>0</v>
      </c>
      <c r="GD343" s="409"/>
      <c r="GE343" s="398">
        <f>IF(GD343=0,0,IF(LEN(FP343)=11,_xlfn.XLOOKUP(FP343,'Dispensed Ink Rates'!C:C,'Dispensed Ink Rates'!CS:CS),VLOOKUP(FP343,'Jan-2026 rates'!$E:$F,2,0)))</f>
        <v>0</v>
      </c>
      <c r="GF343" s="409"/>
      <c r="GG343" s="398">
        <f>IF(GF343=0,0,IF(LEN(FQ343)=11,_xlfn.XLOOKUP(FQ343,'Dispensed Ink Rates'!C:C,'Dispensed Ink Rates'!CS:CS),VLOOKUP(FQ343,'Jan-2026 rates'!$E:$F,2,0)))</f>
        <v>0</v>
      </c>
      <c r="GH343" s="409" t="s">
        <v>1881</v>
      </c>
      <c r="GI343" s="409">
        <f>18+11</f>
        <v>29</v>
      </c>
      <c r="GJ343" s="411">
        <f t="shared" si="224"/>
        <v>0</v>
      </c>
      <c r="GK343" s="411">
        <f t="shared" si="225"/>
        <v>39.525667351129357</v>
      </c>
      <c r="GL343" s="410">
        <f t="shared" si="226"/>
        <v>0</v>
      </c>
      <c r="GM343" s="405" t="s">
        <v>544</v>
      </c>
      <c r="GN343" s="409"/>
      <c r="GO343" s="420" t="str">
        <f t="shared" si="188"/>
        <v>ToyoLi - MAGENTA</v>
      </c>
      <c r="GP343" s="409"/>
      <c r="GQ343" s="411">
        <f>IF(GP343=0,0,IF($LB343=70%,VLOOKUP($GO343,'Jan-2026 rates'!$L:$R,4,0),IF($LB343=65%,VLOOKUP($GO343,'Jan-2026 rates'!$L:$R,4,0),IF($LB343=40%,VLOOKUP($GO343,'Jan-2026 rates'!$L:$R,5,0),IF($LB343=30%,VLOOKUP($GO343,'Jan-2026 rates'!$L:$R,6,0),IF($LB343=100%,VLOOKUP($GO343,'Jan-2026 rates'!$L:$R,7,0),IF($LB343=60%,VLOOKUP($GO343,'Jan-2026 rates'!$L:$S,8,0),IF($LB343=80%,VLOOKUP($GO343,'Jan-2026 rates'!L:T,9,0),0))))))))</f>
        <v>0</v>
      </c>
      <c r="GR343" s="412"/>
      <c r="GS343" s="409"/>
      <c r="GT343" s="411">
        <f>IF(GS343=0,0,IF($LB343=70%,VLOOKUP($GO343,'Jan-2026 rates'!$L:$R,4,0),IF($LB343=65%,VLOOKUP($GO343,'Jan-2026 rates'!$L:$R,4,0),IF($LB343=40%,VLOOKUP($GO343,'Jan-2026 rates'!$L:$R,5,0),IF($LB343=30%,VLOOKUP($GO343,'Jan-2026 rates'!$L:$R,6,0),IF($LB343=100%,VLOOKUP($GO343,'Jan-2026 rates'!$L:$R,7,0),IF($LB343=60%,VLOOKUP($GO343,'Jan-2026 rates'!$L:$S,8,0),IF($LB343=80%,VLOOKUP($GO343,'Jan-2026 rates'!L:T,9,0),0))))))))</f>
        <v>0</v>
      </c>
      <c r="GU343" s="413" t="s">
        <v>1246</v>
      </c>
      <c r="GV343" s="413" t="s">
        <v>1921</v>
      </c>
      <c r="GW343" s="412"/>
      <c r="GX343" s="412"/>
      <c r="GY343" s="412"/>
      <c r="GZ343" s="412"/>
      <c r="HA343" s="412"/>
      <c r="HB343" s="412"/>
      <c r="HC343" s="409">
        <f>10+10</f>
        <v>20</v>
      </c>
      <c r="HD343" s="398">
        <f>IF(HC343=0,0,IF(LEN(GU343)=11,_xlfn.XLOOKUP(GU343,'Dispensed Ink Rates'!C:C,'Dispensed Ink Rates'!CS:CS),VLOOKUP(GU343,'Jan-2026 rates'!$E:$F,2,0)))</f>
        <v>0</v>
      </c>
      <c r="HE343" s="409">
        <f>10+8</f>
        <v>18</v>
      </c>
      <c r="HF343" s="398">
        <f>IF(HE343=0,0,IF(LEN(GV343)=11,_xlfn.XLOOKUP(GV343,'Dispensed Ink Rates'!C:C,'Dispensed Ink Rates'!CS:CS),VLOOKUP(GV343,'Jan-2026 rates'!$E:$F,2,0)))</f>
        <v>0</v>
      </c>
      <c r="HG343" s="409"/>
      <c r="HH343" s="398">
        <f>IF(HG343=0,0,IF(LEN(GW343)=11,_xlfn.XLOOKUP(GW343,'Dispensed Ink Rates'!C:C,'Dispensed Ink Rates'!CS:CS),VLOOKUP(GW343,'Jan-2026 rates'!$E:$F,2,0)))</f>
        <v>0</v>
      </c>
      <c r="HI343" s="409"/>
      <c r="HJ343" s="398">
        <f>IF(HI343=0,0,IF(LEN(GX343)=11,_xlfn.XLOOKUP(GX343,'Dispensed Ink Rates'!C:C,'Dispensed Ink Rates'!CS:CS),VLOOKUP(GX343,'Jan-2026 rates'!$E:$F,2,0)))</f>
        <v>0</v>
      </c>
      <c r="HK343" s="409"/>
      <c r="HL343" s="398">
        <f>IF(HK343=0,0,IF(LEN(GY343)=11,_xlfn.XLOOKUP(GY343,'Dispensed Ink Rates'!C:C,'Dispensed Ink Rates'!CS:CS),VLOOKUP(GY343,'Jan-2026 rates'!$E:$F,2,0)))</f>
        <v>0</v>
      </c>
      <c r="HM343" s="409"/>
      <c r="HN343" s="398">
        <f>IF(HM343=0,0,IF(LEN(GZ343)=11,_xlfn.XLOOKUP(GZ343,'Dispensed Ink Rates'!C:C,'Dispensed Ink Rates'!CS:CS),VLOOKUP(GZ343,'Jan-2026 rates'!$E:$F,2,0)))</f>
        <v>0</v>
      </c>
      <c r="HO343" s="409"/>
      <c r="HP343" s="398">
        <f>IF(HO343=0,0,IF(LEN(HA343)=11,_xlfn.XLOOKUP(HA343,'Dispensed Ink Rates'!C:C,'Dispensed Ink Rates'!CS:CS),VLOOKUP(HA343,'Jan-2026 rates'!$E:$F,2,0)))</f>
        <v>0</v>
      </c>
      <c r="HQ343" s="409"/>
      <c r="HR343" s="398">
        <f>IF(HQ343=0,0,IF(LEN(HB343)=11,_xlfn.XLOOKUP(HB343,'Dispensed Ink Rates'!C:C,'Dispensed Ink Rates'!CS:CS),VLOOKUP(HB343,'Jan-2026 rates'!$E:$F,2,0)))</f>
        <v>0</v>
      </c>
      <c r="HS343" s="409" t="s">
        <v>1881</v>
      </c>
      <c r="HT343" s="409">
        <f>14+12</f>
        <v>26</v>
      </c>
      <c r="HU343" s="411">
        <f t="shared" si="227"/>
        <v>0</v>
      </c>
      <c r="HV343" s="411">
        <f t="shared" si="228"/>
        <v>99.952772073921977</v>
      </c>
      <c r="HW343" s="414">
        <f t="shared" si="229"/>
        <v>0</v>
      </c>
      <c r="HX343" s="405" t="s">
        <v>545</v>
      </c>
      <c r="HY343" s="409"/>
      <c r="HZ343" s="420" t="str">
        <f t="shared" si="189"/>
        <v>ToyoLi - YELLOW</v>
      </c>
      <c r="IA343" s="409"/>
      <c r="IB343" s="411">
        <f>IF(IA343=0,0,IF($LB343=70%,VLOOKUP($HZ343,'Jan-2026 rates'!$L:$R,4,0),IF($LB343=65%,VLOOKUP($HZ343,'Jan-2026 rates'!$L:$R,4,0),IF($LB343=40%,VLOOKUP($HZ343,'Jan-2026 rates'!$L:$R,5,0),IF($LB343=30%,VLOOKUP($HZ343,'Jan-2026 rates'!$L:$R,6,0),IF($LB343=100%,VLOOKUP($HZ343,'Jan-2026 rates'!$L:$R,7,0),IF($LB343=60%,VLOOKUP($HZ343,'Jan-2026 rates'!$L:$S,8,0),IF($LB343=80%,VLOOKUP($HZ343,'Jan-2026 rates'!L:T,9,0),0))))))))</f>
        <v>0</v>
      </c>
      <c r="IC343" s="412"/>
      <c r="ID343" s="409"/>
      <c r="IE343" s="411">
        <f>IF(ID343=0,0,IF($LB343=70%,VLOOKUP($HZ343,'Jan-2026 rates'!$L:$R,4,0),IF($LB343=65%,VLOOKUP($HZ343,'Jan-2026 rates'!$L:$R,4,0),IF($LB343=40%,VLOOKUP($HZ343,'Jan-2026 rates'!$L:$R,5,0),IF($LB343=30%,VLOOKUP($HZ343,'Jan-2026 rates'!$L:$R,6,0),IF($LB343=100%,VLOOKUP($HZ343,'Jan-2026 rates'!$L:$R,7,0),IF($LB343=60%,VLOOKUP($HZ343,'Jan-2026 rates'!$L:$S,8,0),IF($LB343=80%,VLOOKUP($HZ343,'Jan-2026 rates'!L:T,9,0),0))))))))</f>
        <v>0</v>
      </c>
      <c r="IF343" s="412" t="s">
        <v>1247</v>
      </c>
      <c r="IG343" s="413" t="s">
        <v>1921</v>
      </c>
      <c r="IH343" s="412"/>
      <c r="II343" s="412"/>
      <c r="IJ343" s="412"/>
      <c r="IK343" s="412"/>
      <c r="IL343" s="412"/>
      <c r="IM343" s="412"/>
      <c r="IN343" s="409">
        <f>80+40</f>
        <v>120</v>
      </c>
      <c r="IO343" s="398">
        <f>IF(IN343=0,0,IF(LEN(IF343)=11,_xlfn.XLOOKUP(IF343,'Dispensed Ink Rates'!C:C,'Dispensed Ink Rates'!CS:CS),VLOOKUP(IF343,'Jan-2026 rates'!$E:$F,2,0)))</f>
        <v>0</v>
      </c>
      <c r="IP343" s="409">
        <f>20+8</f>
        <v>28</v>
      </c>
      <c r="IQ343" s="398">
        <f>IF(IP343=0,0,IF(LEN(IG343)=11,_xlfn.XLOOKUP(IG343,'Dispensed Ink Rates'!C:C,'Dispensed Ink Rates'!CS:CS),VLOOKUP(IG343,'Jan-2026 rates'!$E:$F,2,0)))</f>
        <v>0</v>
      </c>
      <c r="IR343" s="409"/>
      <c r="IS343" s="398">
        <f>IF(IR343=0,0,IF(LEN(IH343)=11,_xlfn.XLOOKUP(IH343,'Dispensed Ink Rates'!C:C,'Dispensed Ink Rates'!CS:CS),VLOOKUP(IH343,'Jan-2026 rates'!$E:$F,2,0)))</f>
        <v>0</v>
      </c>
      <c r="IT343" s="409"/>
      <c r="IU343" s="398">
        <f>IF(IT343=0,0,IF(LEN(II343)=11,_xlfn.XLOOKUP(II343,'Dispensed Ink Rates'!C:C,'Dispensed Ink Rates'!CS:CS),VLOOKUP(II343,'Jan-2026 rates'!$E:$F,2,0)))</f>
        <v>0</v>
      </c>
      <c r="IV343" s="409"/>
      <c r="IW343" s="398">
        <f>IF(IV343=0,0,IF(LEN(IJ343)=11,_xlfn.XLOOKUP(IJ343,'Dispensed Ink Rates'!C:C,'Dispensed Ink Rates'!CS:CS),VLOOKUP(IJ343,'Jan-2026 rates'!$E:$F,2,0)))</f>
        <v>0</v>
      </c>
      <c r="IX343" s="409"/>
      <c r="IY343" s="398">
        <f>IF(IX343=0,0,IF(LEN(IK343)=11,_xlfn.XLOOKUP(IK343,'Dispensed Ink Rates'!C:C,'Dispensed Ink Rates'!CS:CS),VLOOKUP(IK343,'Jan-2026 rates'!$E:$F,2,0)))</f>
        <v>0</v>
      </c>
      <c r="IZ343" s="409"/>
      <c r="JA343" s="398">
        <f>IF(IZ343=0,0,IF(LEN(IL343)=11,_xlfn.XLOOKUP(IL343,'Dispensed Ink Rates'!C:C,'Dispensed Ink Rates'!CS:CS),VLOOKUP(IL343,'Jan-2026 rates'!$E:$F,2,0)))</f>
        <v>0</v>
      </c>
      <c r="JB343" s="409"/>
      <c r="JC343" s="398">
        <f>IF(JB343=0,0,IF(LEN(IM343)=11,_xlfn.XLOOKUP(IM343,'Dispensed Ink Rates'!C:C,'Dispensed Ink Rates'!CS:CS),VLOOKUP(IM343,'Jan-2026 rates'!$E:$F,2,0)))</f>
        <v>0</v>
      </c>
      <c r="JD343" s="409" t="s">
        <v>1881</v>
      </c>
      <c r="JE343" s="409">
        <f>21+12</f>
        <v>33</v>
      </c>
      <c r="JF343" s="411">
        <f t="shared" si="230"/>
        <v>0</v>
      </c>
      <c r="JG343" s="411">
        <f t="shared" si="231"/>
        <v>372.79260780287473</v>
      </c>
      <c r="JH343" s="410">
        <f t="shared" si="232"/>
        <v>0</v>
      </c>
      <c r="JI343" s="405" t="s">
        <v>856</v>
      </c>
      <c r="JJ343" s="409"/>
      <c r="JK343" s="420" t="str">
        <f t="shared" si="190"/>
        <v>ToyoLi - WHITE</v>
      </c>
      <c r="JL343" s="409"/>
      <c r="JM343" s="411">
        <f>IF(JL343=0,0,IF($LB343=70%,VLOOKUP($JK343,'Jan-2026 rates'!$L:$R,4,0),IF($LB343=65%,VLOOKUP($JK343,'Jan-2026 rates'!$L:$R,4,0),IF($LB343=40%,VLOOKUP($JK343,'Jan-2026 rates'!$L:$R,5,0),IF($LB343=30%,VLOOKUP($JK343,'Jan-2026 rates'!$L:$R,6,0),IF($LB343=100%,VLOOKUP($JK343,'Jan-2026 rates'!$L:$R,7,0),IF($LB343=60%,VLOOKUP($JK343,'Jan-2026 rates'!$L:$S,8,0),IF($LB343=80%,VLOOKUP($JK343,'Jan-2026 rates'!L:T,9,0),0))))))))</f>
        <v>0</v>
      </c>
      <c r="JN343" s="412"/>
      <c r="JO343" s="409"/>
      <c r="JP343" s="411">
        <f>IF(JO343=0,0,IF($LB343=70%,VLOOKUP($JK343,'Jan-2026 rates'!$L:$R,4,0),IF($LB343=65%,VLOOKUP($JK343,'Jan-2026 rates'!$L:$R,4,0),IF($LB343=40%,VLOOKUP($JK343,'Jan-2026 rates'!$L:$R,5,0),IF($LB343=30%,VLOOKUP($JK343,'Jan-2026 rates'!$L:$R,6,0),IF($LB343=100%,VLOOKUP($JK343,'Jan-2026 rates'!$L:$R,7,0),IF($LB343=60%,VLOOKUP($JK343,'Jan-2026 rates'!$L:$S,8,0),IF($LB343=80%,VLOOKUP($JK343,'Jan-2026 rates'!L:T,9,0),0))))))))</f>
        <v>0</v>
      </c>
      <c r="JQ343" s="413" t="s">
        <v>1249</v>
      </c>
      <c r="JR343" s="412" t="s">
        <v>1122</v>
      </c>
      <c r="JS343" s="413"/>
      <c r="JT343" s="413"/>
      <c r="JU343" s="412"/>
      <c r="JV343" s="412"/>
      <c r="JW343" s="412"/>
      <c r="JX343" s="412"/>
      <c r="JY343" s="409">
        <f>120+140+60</f>
        <v>320</v>
      </c>
      <c r="JZ343" s="398">
        <f>IF(JY343=0,0,IF(LEN(JQ343)=11,_xlfn.XLOOKUP(JQ343,'Dispensed Ink Rates'!C:C,'Dispensed Ink Rates'!CS:CS),VLOOKUP(JQ343,'Jan-2026 rates'!$E:$F,2,0)))</f>
        <v>0</v>
      </c>
      <c r="KA343" s="409">
        <v>27.9</v>
      </c>
      <c r="KB343" s="398">
        <f>IF(KA343=0,0,IF(LEN(JR343)=11,_xlfn.XLOOKUP(JR343,'Dispensed Ink Rates'!C:C,'Dispensed Ink Rates'!CS:CS),VLOOKUP(JR343,'Jan-2026 rates'!$E:$F,2,0)))</f>
        <v>0</v>
      </c>
      <c r="KC343" s="409"/>
      <c r="KD343" s="398">
        <f>IF(KC343=0,0,IF(LEN(JS343)=11,_xlfn.XLOOKUP(JS343,'Dispensed Ink Rates'!C:C,'Dispensed Ink Rates'!CS:CS),VLOOKUP(JS343,'Jan-2026 rates'!$E:$F,2,0)))</f>
        <v>0</v>
      </c>
      <c r="KE343" s="409"/>
      <c r="KF343" s="398">
        <f>IF(KE343=0,0,IF(LEN(JT343)=11,_xlfn.XLOOKUP(JT343,'Dispensed Ink Rates'!C:C,'Dispensed Ink Rates'!CS:CS),VLOOKUP(JT343,'Jan-2026 rates'!$E:$F,2,0)))</f>
        <v>0</v>
      </c>
      <c r="KG343" s="409"/>
      <c r="KH343" s="398">
        <f>IF(KG343=0,0,IF(LEN(JU343)=11,_xlfn.XLOOKUP(JU343,'Dispensed Ink Rates'!C:C,'Dispensed Ink Rates'!CS:CS),VLOOKUP(JU343,'Jan-2026 rates'!$E:$F,2,0)))</f>
        <v>0</v>
      </c>
      <c r="KI343" s="409"/>
      <c r="KJ343" s="398">
        <f>IF(KI343=0,0,IF(LEN(JV343)=11,_xlfn.XLOOKUP(JV343,'Dispensed Ink Rates'!C:C,'Dispensed Ink Rates'!CS:CS),VLOOKUP(JV343,'Jan-2026 rates'!$E:$F,2,0)))</f>
        <v>0</v>
      </c>
      <c r="KK343" s="409"/>
      <c r="KL343" s="398">
        <f>IF(KK343=0,0,IF(LEN(JW343)=11,_xlfn.XLOOKUP(JW343,'Dispensed Ink Rates'!C:C,'Dispensed Ink Rates'!CS:CS),VLOOKUP(JW343,'Jan-2026 rates'!$E:$F,2,0)))</f>
        <v>0</v>
      </c>
      <c r="KM343" s="428"/>
      <c r="KN343" s="398">
        <f>IF(KM343=0,0,IF(LEN(JX343)=11,_xlfn.XLOOKUP(JX343,'Dispensed Ink Rates'!C:C,'Dispensed Ink Rates'!CS:CS),VLOOKUP(JX343,'Jan-2026 rates'!$E:$F,2,0)))</f>
        <v>0</v>
      </c>
      <c r="KO343" s="409" t="s">
        <v>1881</v>
      </c>
      <c r="KP343" s="409">
        <v>29</v>
      </c>
      <c r="KQ343" s="411">
        <f t="shared" si="233"/>
        <v>0</v>
      </c>
      <c r="KR343" s="411">
        <f t="shared" si="234"/>
        <v>834.48521560574943</v>
      </c>
      <c r="KS343" s="410">
        <f t="shared" si="235"/>
        <v>0</v>
      </c>
      <c r="KT343" s="409">
        <v>15</v>
      </c>
      <c r="KU343" s="409">
        <f>40+25</f>
        <v>65</v>
      </c>
      <c r="KV343" s="409">
        <f>25+12</f>
        <v>37</v>
      </c>
      <c r="KW343" s="409">
        <f>45+25</f>
        <v>70</v>
      </c>
      <c r="KX343" s="409">
        <v>16</v>
      </c>
      <c r="KY343" s="409">
        <f>17+12</f>
        <v>29</v>
      </c>
      <c r="KZ343" s="409">
        <f>70+15</f>
        <v>85</v>
      </c>
      <c r="LA343" s="409">
        <f>60+70+40</f>
        <v>170</v>
      </c>
      <c r="LB343" s="415">
        <v>0.3</v>
      </c>
      <c r="LC343" s="415"/>
      <c r="LD343" s="424"/>
      <c r="LE343" s="415">
        <v>0.5</v>
      </c>
      <c r="LF343" s="415">
        <v>0.2</v>
      </c>
      <c r="LG343" s="409">
        <v>0</v>
      </c>
      <c r="LH343" s="409">
        <f>170+160+130+300+500+5+5+5+2+200</f>
        <v>1477</v>
      </c>
      <c r="LI343" s="409">
        <v>0</v>
      </c>
      <c r="LJ343" s="409">
        <v>0</v>
      </c>
      <c r="LK343" s="416">
        <f t="shared" si="191"/>
        <v>1477</v>
      </c>
      <c r="LL343" s="416">
        <f t="shared" si="237"/>
        <v>1477</v>
      </c>
      <c r="LM343" s="417">
        <f t="shared" si="193"/>
        <v>443.09999999999997</v>
      </c>
      <c r="LN343" s="417">
        <f>VLOOKUP($LM$8,'Jan-2026 rates'!$H:$I,2,0)</f>
        <v>0</v>
      </c>
      <c r="LO343" s="417">
        <f t="shared" si="194"/>
        <v>0</v>
      </c>
      <c r="LP343" s="417">
        <f>VLOOKUP($LO$8,'Jan-2026 rates'!$H:$I,2,0)</f>
        <v>0</v>
      </c>
      <c r="LQ343" s="417">
        <f t="shared" si="195"/>
        <v>0</v>
      </c>
      <c r="LR343" s="417">
        <f>VLOOKUP($LQ$8,'Jan-2026 rates'!$H:$I,2,0)</f>
        <v>0</v>
      </c>
      <c r="LS343" s="417">
        <f t="shared" si="196"/>
        <v>738.5</v>
      </c>
      <c r="LT343" s="417">
        <f>VLOOKUP($LS$8,'Jan-2026 rates'!$H:$I,2,0)</f>
        <v>0</v>
      </c>
      <c r="LU343" s="417">
        <f t="shared" si="197"/>
        <v>295.40000000000003</v>
      </c>
      <c r="LV343" s="417">
        <f>VLOOKUP($LU$8,'Jan-2026 rates'!$H:$I,2,0)</f>
        <v>0</v>
      </c>
      <c r="LW343" s="417">
        <f t="shared" si="198"/>
        <v>0</v>
      </c>
      <c r="LX343" s="417">
        <f t="shared" si="199"/>
        <v>0</v>
      </c>
      <c r="LY343" s="418">
        <f t="shared" si="200"/>
        <v>0</v>
      </c>
      <c r="LZ343" s="417"/>
      <c r="MA343" s="435">
        <f t="shared" si="201"/>
        <v>957.4</v>
      </c>
      <c r="MB343" s="282">
        <f t="shared" si="202"/>
        <v>2213.4</v>
      </c>
      <c r="MC343" s="283" t="s">
        <v>4672</v>
      </c>
      <c r="MD343" s="284" t="str">
        <f t="shared" si="203"/>
        <v>ToyoLiToyoLiToyoLiToyoLiToyoLiToyoLiToyoLiToyoLi</v>
      </c>
      <c r="ME343" s="293" t="str">
        <f t="shared" si="204"/>
        <v>+</v>
      </c>
      <c r="MF343" s="293" t="str">
        <f t="shared" si="205"/>
        <v>+</v>
      </c>
      <c r="MG343" s="293" t="str">
        <f t="shared" si="206"/>
        <v>+</v>
      </c>
      <c r="MH343" s="293" t="str">
        <f t="shared" si="207"/>
        <v>+</v>
      </c>
      <c r="MI343" s="293" t="str">
        <f t="shared" si="208"/>
        <v>+</v>
      </c>
      <c r="MJ343" s="293" t="str">
        <f t="shared" si="209"/>
        <v>+</v>
      </c>
      <c r="MK343" s="293" t="str">
        <f t="shared" si="210"/>
        <v>+</v>
      </c>
      <c r="ML343" s="293" t="str">
        <f t="shared" si="211"/>
        <v>+</v>
      </c>
      <c r="MM343" s="3" t="b">
        <f t="array" ref="MM343">OR(ME343:ML343="-")</f>
        <v>0</v>
      </c>
      <c r="MO343" s="401">
        <f t="shared" si="238"/>
        <v>37.350658116773545</v>
      </c>
      <c r="MP343" s="286"/>
      <c r="MR343" s="402">
        <f t="shared" si="239"/>
        <v>7.3608247422680415E-3</v>
      </c>
      <c r="MS343" s="400">
        <f t="shared" si="240"/>
        <v>0</v>
      </c>
      <c r="MT343" s="285"/>
      <c r="NH343" s="361"/>
      <c r="NJ343" s="282"/>
    </row>
    <row r="344" spans="1:374" ht="16.5">
      <c r="A344" s="403">
        <v>46046</v>
      </c>
      <c r="B344" s="404" t="s">
        <v>1015</v>
      </c>
      <c r="C344" s="405" t="s">
        <v>4673</v>
      </c>
      <c r="D344" s="404">
        <v>187</v>
      </c>
      <c r="E344" s="404">
        <v>1024</v>
      </c>
      <c r="F344" s="407">
        <v>53200</v>
      </c>
      <c r="G344" s="407" t="s">
        <v>1016</v>
      </c>
      <c r="H344" s="408" t="s">
        <v>1017</v>
      </c>
      <c r="I344" s="409">
        <v>2.11</v>
      </c>
      <c r="J344" s="405" t="s">
        <v>543</v>
      </c>
      <c r="K344" s="404" t="s">
        <v>4674</v>
      </c>
      <c r="L344" s="419" t="str">
        <f t="shared" si="184"/>
        <v>FLINTSL - BLACK</v>
      </c>
      <c r="M344" s="404">
        <v>30</v>
      </c>
      <c r="N344" s="410">
        <f>IF(M344=0,0,IF($LB344=70%,VLOOKUP($L344,'Jan-2026 rates'!$L:$R,4,0),IF($LB344=65%,VLOOKUP($L344,'Jan-2026 rates'!$L:$R,4,0),IF($LB344=40%,VLOOKUP($L344,'Jan-2026 rates'!$L:$R,5,0),IF($LB344=30%,VLOOKUP($L344,'Jan-2026 rates'!$L:$R,6,0),IF($LB344=100%,VLOOKUP($L344,'Jan-2026 rates'!$L:$R,7,0),IF($LB344=60%,VLOOKUP($L344,'Jan-2026 rates'!$L:$S,8,0),IF($LB344=80%,VLOOKUP($L344,'Jan-2026 rates'!L:T,9,0),0))))))))</f>
        <v>0</v>
      </c>
      <c r="O344" s="406"/>
      <c r="P344" s="404"/>
      <c r="Q344" s="410">
        <f>IF(P344=0,0,IF($LB344=70%,VLOOKUP($L344,'Jan-2026 rates'!$L:$R,4,0),IF($LB344=65%,VLOOKUP($L344,'Jan-2026 rates'!$L:$R,4,0),IF($LB344=40%,VLOOKUP($L344,'Jan-2026 rates'!$L:$R,5,0),IF($LB344=30%,VLOOKUP($L344,'Jan-2026 rates'!$L:$R,6,0),IF($LB344=100%,VLOOKUP($L344,'Jan-2026 rates'!$L:$R,7,0),IF($LB344=60%,VLOOKUP($L344,'Jan-2026 rates'!$L:$S,8,0),IF($LB344=80%,VLOOKUP($L344,'Jan-2026 rates'!L:T,9,0),0))))))))</f>
        <v>0</v>
      </c>
      <c r="R344" s="406" t="s">
        <v>1266</v>
      </c>
      <c r="S344" s="406"/>
      <c r="T344" s="406"/>
      <c r="U344" s="406"/>
      <c r="V344" s="406"/>
      <c r="W344" s="406"/>
      <c r="X344" s="406"/>
      <c r="Y344" s="406"/>
      <c r="Z344" s="404">
        <f>6+2</f>
        <v>8</v>
      </c>
      <c r="AA344" s="398">
        <f>IF(Z344=0,0,IF(LEN(R344)=11,_xlfn.XLOOKUP(R344,'Dispensed Ink Rates'!C:C,'Dispensed Ink Rates'!CS:CS),VLOOKUP(R344,'Jan-2026 rates'!$E:$F,2,0)))</f>
        <v>0</v>
      </c>
      <c r="AB344" s="404"/>
      <c r="AC344" s="398">
        <f>IF(AB344=0,0,IF(LEN(S344)=11,_xlfn.XLOOKUP(S344,'Dispensed Ink Rates'!C:C,'Dispensed Ink Rates'!CS:CS),VLOOKUP(S344,'Jan-2026 rates'!$E:$F,2,0)))</f>
        <v>0</v>
      </c>
      <c r="AD344" s="404"/>
      <c r="AE344" s="398">
        <f>IF(AD344=0,0,IF(LEN(T344)=11,_xlfn.XLOOKUP(T344,'Dispensed Ink Rates'!C:C,'Dispensed Ink Rates'!CS:CS),VLOOKUP(T344,'Jan-2026 rates'!$E:$F,2,0)))</f>
        <v>0</v>
      </c>
      <c r="AF344" s="404"/>
      <c r="AG344" s="398">
        <f>IF(AF344=0,0,IF(LEN(U344)=11,_xlfn.XLOOKUP(U344,'Dispensed Ink Rates'!C:C,'Dispensed Ink Rates'!CS:CS),VLOOKUP(U344,'Jan-2026 rates'!$E:$F,2,0)))</f>
        <v>0</v>
      </c>
      <c r="AH344" s="404"/>
      <c r="AI344" s="398">
        <f>IF(AH344=0,0,IF(LEN(V344)=11,_xlfn.XLOOKUP(V344,'Dispensed Ink Rates'!C:C,'Dispensed Ink Rates'!CS:CS),VLOOKUP(V344,'Jan-2026 rates'!$E:$F,2,0)))</f>
        <v>0</v>
      </c>
      <c r="AJ344" s="404"/>
      <c r="AK344" s="398">
        <f>IF(AJ344=0,0,IF(LEN(W344)=11,_xlfn.XLOOKUP(W344,'Dispensed Ink Rates'!C:C,'Dispensed Ink Rates'!CS:CS),VLOOKUP(W344,'Jan-2026 rates'!$E:$F,2,0)))</f>
        <v>0</v>
      </c>
      <c r="AL344" s="404"/>
      <c r="AM344" s="398">
        <f>IF(AL344=0,0,IF(LEN(X344)=11,_xlfn.XLOOKUP(X344,'Dispensed Ink Rates'!C:C,'Dispensed Ink Rates'!CS:CS),VLOOKUP(X344,'Jan-2026 rates'!$E:$F,2,0)))</f>
        <v>0</v>
      </c>
      <c r="AN344" s="404"/>
      <c r="AO344" s="398">
        <f>IF(AN344=0,0,IF(LEN(Y344)=11,_xlfn.XLOOKUP(Y344,'Dispensed Ink Rates'!C:C,'Dispensed Ink Rates'!CS:CS),VLOOKUP(Y344,'Jan-2026 rates'!$E:$F,2,0)))</f>
        <v>0</v>
      </c>
      <c r="AP344" s="409" t="s">
        <v>1443</v>
      </c>
      <c r="AQ344" s="409">
        <v>40</v>
      </c>
      <c r="AR344" s="410">
        <f t="shared" si="212"/>
        <v>0</v>
      </c>
      <c r="AS344" s="411">
        <f t="shared" si="213"/>
        <v>30.252252252252248</v>
      </c>
      <c r="AT344" s="410">
        <f t="shared" si="214"/>
        <v>0</v>
      </c>
      <c r="AU344" s="405" t="s">
        <v>857</v>
      </c>
      <c r="AV344" s="409"/>
      <c r="AW344" s="420" t="str">
        <f t="shared" si="236"/>
        <v>FLINTSL - RED</v>
      </c>
      <c r="AX344" s="409"/>
      <c r="AY344" s="411">
        <f>IF(AX344=0,0,IF($LB344=70%,VLOOKUP($AW344,'Jan-2026 rates'!$L:$R,4,0),IF($LB344=65%,VLOOKUP($AW344,'Jan-2026 rates'!$L:$R,4,0),IF($LB344=40%,VLOOKUP($AW344,'Jan-2026 rates'!$L:$R,5,0),IF($LB344=30%,VLOOKUP($AW344,'Jan-2026 rates'!$L:$R,6,0),IF($LB344=100%,VLOOKUP($AW344,'Jan-2026 rates'!$L:$R,7,0),IF($LB344=60%,VLOOKUP($AW344,'Jan-2026 rates'!$L:$S,8,0),IF($LB344=80%,VLOOKUP($AW344,'Jan-2026 rates'!L:T,9,0),0))))))))</f>
        <v>0</v>
      </c>
      <c r="AZ344" s="412"/>
      <c r="BA344" s="409"/>
      <c r="BB344" s="411">
        <f>IF(BA344=0,0,IF($LB344=70%,VLOOKUP($AW344,'Jan-2026 rates'!$L:$R,4,0),IF($LB344=65%,VLOOKUP($AW344,'Jan-2026 rates'!$L:$R,4,0),IF($LB344=40%,VLOOKUP($AW344,'Jan-2026 rates'!$L:$R,5,0),IF($LB344=30%,VLOOKUP($AW344,'Jan-2026 rates'!$L:$R,6,0),IF($LB344=100%,VLOOKUP($AW344,'Jan-2026 rates'!$L:$R,7,0),IF($LB344=60%,VLOOKUP($AW344,'Jan-2026 rates'!$L:$S,8,0),IF($LB344=80%,VLOOKUP($AW344,'Jan-2026 rates'!L:T,9,0),0))))))))</f>
        <v>0</v>
      </c>
      <c r="BC344" s="413">
        <v>26525000003</v>
      </c>
      <c r="BD344" s="412">
        <v>26524000006</v>
      </c>
      <c r="BE344" s="412">
        <v>26529000011</v>
      </c>
      <c r="BF344" s="413"/>
      <c r="BG344" s="412"/>
      <c r="BH344" s="412"/>
      <c r="BI344" s="412"/>
      <c r="BJ344" s="412"/>
      <c r="BK344" s="409">
        <v>15</v>
      </c>
      <c r="BL344" s="398" t="e">
        <f>IF(BK344=0,0,IF(LEN(BC344)=11,_xlfn.XLOOKUP(BC344,'Dispensed Ink Rates'!C:C,'Dispensed Ink Rates'!CS:CS),VLOOKUP(BC344,'Jan-2026 rates'!$E:$F,2,0)))</f>
        <v>#N/A</v>
      </c>
      <c r="BM344" s="409">
        <v>1</v>
      </c>
      <c r="BN344" s="398" t="e">
        <f>IF(BM344=0,0,IF(LEN(BD344)=11,_xlfn.XLOOKUP(BD344,'Dispensed Ink Rates'!C:C,'Dispensed Ink Rates'!CS:CS),VLOOKUP(BD344,'Jan-2026 rates'!$E:$F,2,0)))</f>
        <v>#N/A</v>
      </c>
      <c r="BO344" s="409">
        <v>7</v>
      </c>
      <c r="BP344" s="398" t="e">
        <f>IF(BO344=0,0,IF(LEN(BE344)=11,_xlfn.XLOOKUP(BE344,'Dispensed Ink Rates'!C:C,'Dispensed Ink Rates'!CS:CS),VLOOKUP(BE344,'Jan-2026 rates'!$E:$F,2,0)))</f>
        <v>#N/A</v>
      </c>
      <c r="BQ344" s="409"/>
      <c r="BR344" s="398">
        <f>IF(BQ344=0,0,IF(LEN(BF344)=11,_xlfn.XLOOKUP(BF344,'Dispensed Ink Rates'!C:C,'Dispensed Ink Rates'!CS:CS),VLOOKUP(BF344,'Jan-2026 rates'!$E:$F,2,0)))</f>
        <v>0</v>
      </c>
      <c r="BS344" s="409"/>
      <c r="BT344" s="398">
        <f>IF(BS344=0,0,IF(LEN(BG344)=11,_xlfn.XLOOKUP(BG344,'Dispensed Ink Rates'!C:C,'Dispensed Ink Rates'!CS:CS),VLOOKUP(BG344,'Jan-2026 rates'!$E:$F,2,0)))</f>
        <v>0</v>
      </c>
      <c r="BU344" s="409"/>
      <c r="BV344" s="398">
        <f>IF(BU344=0,0,IF(LEN(BH344)=11,_xlfn.XLOOKUP(BH344,'Dispensed Ink Rates'!C:C,'Dispensed Ink Rates'!CS:CS),VLOOKUP(BH344,'Jan-2026 rates'!$E:$F,2,0)))</f>
        <v>0</v>
      </c>
      <c r="BW344" s="409"/>
      <c r="BX344" s="398">
        <f>IF(BW344=0,0,IF(LEN(BI344)=11,_xlfn.XLOOKUP(BI344,'Dispensed Ink Rates'!C:C,'Dispensed Ink Rates'!CS:CS),VLOOKUP(BI344,'Jan-2026 rates'!$E:$F,2,0)))</f>
        <v>0</v>
      </c>
      <c r="BY344" s="409"/>
      <c r="BZ344" s="398">
        <f>IF(BY344=0,0,IF(LEN(BJ344)=11,_xlfn.XLOOKUP(BJ344,'Dispensed Ink Rates'!C:C,'Dispensed Ink Rates'!CS:CS),VLOOKUP(BJ344,'Jan-2026 rates'!$E:$F,2,0)))</f>
        <v>0</v>
      </c>
      <c r="CA344" s="409" t="s">
        <v>1443</v>
      </c>
      <c r="CB344" s="409">
        <v>25</v>
      </c>
      <c r="CC344" s="411">
        <f t="shared" si="215"/>
        <v>0</v>
      </c>
      <c r="CD344" s="411">
        <f t="shared" si="216"/>
        <v>30.252252252252248</v>
      </c>
      <c r="CE344" s="410">
        <f t="shared" si="217"/>
        <v>0</v>
      </c>
      <c r="CF344" s="404" t="s">
        <v>546</v>
      </c>
      <c r="CG344" s="409"/>
      <c r="CH344" s="420" t="str">
        <f t="shared" si="185"/>
        <v>FLINTSL - REFLEX BLUE</v>
      </c>
      <c r="CI344" s="409"/>
      <c r="CJ344" s="411">
        <f>IF(CI344=0,0,IF($LB344=70%,VLOOKUP($CH344,'Jan-2026 rates'!$L:$R,4,0),IF($LB344=65%,VLOOKUP($CH344,'Jan-2026 rates'!$L:$R,4,0),IF($LB344=40%,VLOOKUP($CH344,'Jan-2026 rates'!$L:$R,5,0),IF($LB344=30%,VLOOKUP($CH344,'Jan-2026 rates'!$L:$R,6,0),IF($LB344=100%,VLOOKUP($CH344,'Jan-2026 rates'!$L:$R,7,0),IF($LB344=60%,VLOOKUP($CH344,'Jan-2026 rates'!$L:$S,8,0),IF($LB344=80%,VLOOKUP($CH344,'Jan-2026 rates'!L:T,9,0),0))))))))</f>
        <v>0</v>
      </c>
      <c r="CK344" s="412"/>
      <c r="CL344" s="409"/>
      <c r="CM344" s="411">
        <f>IF(CL344=0,0,IF($LB344=70%,VLOOKUP($CH344,'Jan-2026 rates'!$L:$R,4,0),IF($LB344=65%,VLOOKUP($CH344,'Jan-2026 rates'!$L:$R,4,0),IF($LB344=40%,VLOOKUP($CH344,'Jan-2026 rates'!$L:$R,5,0),IF($LB344=30%,VLOOKUP($CH344,'Jan-2026 rates'!$L:$R,6,0),IF($LB344=100%,VLOOKUP($CH344,'Jan-2026 rates'!$L:$R,7,0),IF($LB344=60%,VLOOKUP($CH344,'Jan-2026 rates'!$L:$S,8,0),IF($LB344=80%,VLOOKUP($CH344,'Jan-2026 rates'!L:T,9,0),0))))))))</f>
        <v>0</v>
      </c>
      <c r="CN344" s="426">
        <v>26524000023</v>
      </c>
      <c r="CO344" s="427">
        <v>26524000021</v>
      </c>
      <c r="CP344" s="426"/>
      <c r="CQ344" s="426"/>
      <c r="CR344" s="428"/>
      <c r="CS344" s="428"/>
      <c r="CT344" s="428"/>
      <c r="CU344" s="428"/>
      <c r="CV344" s="409">
        <v>40</v>
      </c>
      <c r="CW344" s="398" t="e">
        <f>IF(CV344=0,0,IF(LEN(CN344)=11,_xlfn.XLOOKUP(CN344,'Dispensed Ink Rates'!C:C,'Dispensed Ink Rates'!CS:CS),VLOOKUP(CN344,'Jan-2026 rates'!$E:$F,2,0)))</f>
        <v>#N/A</v>
      </c>
      <c r="CX344" s="409">
        <v>35</v>
      </c>
      <c r="CY344" s="398" t="e">
        <f>IF(CX344=0,0,IF(LEN(CO344)=11,_xlfn.XLOOKUP(CO344,'Dispensed Ink Rates'!C:C,'Dispensed Ink Rates'!CS:CS),VLOOKUP(CO344,'Jan-2026 rates'!$E:$F,2,0)))</f>
        <v>#N/A</v>
      </c>
      <c r="CZ344" s="409"/>
      <c r="DA344" s="398">
        <f>IF(CZ344=0,0,IF(LEN(CP344)=11,_xlfn.XLOOKUP(CP344,'Dispensed Ink Rates'!C:C,'Dispensed Ink Rates'!CS:CS),VLOOKUP(CP344,'Jan-2026 rates'!$E:$F,2,0)))</f>
        <v>0</v>
      </c>
      <c r="DB344" s="409"/>
      <c r="DC344" s="398">
        <f>IF(DB344=0,0,IF(LEN(CQ344)=11,_xlfn.XLOOKUP(CQ344,'Dispensed Ink Rates'!C:C,'Dispensed Ink Rates'!CS:CS),VLOOKUP(CQ344,'Jan-2026 rates'!$E:$F,2,0)))</f>
        <v>0</v>
      </c>
      <c r="DD344" s="409"/>
      <c r="DE344" s="398">
        <f>IF(DD344=0,0,IF(LEN(CR344)=11,_xlfn.XLOOKUP(CR344,'Dispensed Ink Rates'!C:C,'Dispensed Ink Rates'!CS:CS),VLOOKUP(CR344,'Jan-2026 rates'!$E:$F,2,0)))</f>
        <v>0</v>
      </c>
      <c r="DF344" s="409"/>
      <c r="DG344" s="398">
        <f>IF(DF344=0,0,IF(LEN(CS344)=11,_xlfn.XLOOKUP(CS344,'Dispensed Ink Rates'!C:C,'Dispensed Ink Rates'!CS:CS),VLOOKUP(CS344,'Jan-2026 rates'!$E:$F,2,0)))</f>
        <v>0</v>
      </c>
      <c r="DH344" s="409"/>
      <c r="DI344" s="398">
        <f>IF(DH344=0,0,IF(LEN(CT344)=11,_xlfn.XLOOKUP(CT344,'Dispensed Ink Rates'!C:C,'Dispensed Ink Rates'!CS:CS),VLOOKUP(CT344,'Jan-2026 rates'!$E:$F,2,0)))</f>
        <v>0</v>
      </c>
      <c r="DJ344" s="409"/>
      <c r="DK344" s="398">
        <f>IF(DJ344=0,0,IF(LEN(CU344)=11,_xlfn.XLOOKUP(CU344,'Dispensed Ink Rates'!C:C,'Dispensed Ink Rates'!CS:CS),VLOOKUP(CU344,'Jan-2026 rates'!$E:$F,2,0)))</f>
        <v>0</v>
      </c>
      <c r="DL344" s="409" t="s">
        <v>1443</v>
      </c>
      <c r="DM344" s="409">
        <v>20</v>
      </c>
      <c r="DN344" s="411">
        <f t="shared" si="218"/>
        <v>0</v>
      </c>
      <c r="DO344" s="411">
        <f t="shared" si="219"/>
        <v>55</v>
      </c>
      <c r="DP344" s="410">
        <f t="shared" si="220"/>
        <v>0</v>
      </c>
      <c r="DQ344" s="405" t="s">
        <v>547</v>
      </c>
      <c r="DR344" s="409" t="s">
        <v>4255</v>
      </c>
      <c r="DS344" s="420" t="str">
        <f t="shared" si="186"/>
        <v>FLINTSL - GREEN</v>
      </c>
      <c r="DT344" s="409">
        <v>23</v>
      </c>
      <c r="DU344" s="411">
        <f>IF(DT344=0,0,IF($LB344=70%,VLOOKUP($DS344,'Jan-2026 rates'!$L:$R,4,0),IF($LB344=65%,VLOOKUP($DS344,'Jan-2026 rates'!$L:$R,4,0),IF($LB344=40%,VLOOKUP($DS344,'Jan-2026 rates'!$L:$R,5,0),IF($LB344=30%,VLOOKUP($DS344,'Jan-2026 rates'!$L:$R,6,0),IF($LB344=100%,VLOOKUP($DS344,'Jan-2026 rates'!$L:$R,7,0),IF($LB344=60%,VLOOKUP($DS344,'Jan-2026 rates'!$L:$S,8,0),IF($LB344=80%,VLOOKUP($DS344,'Jan-2026 rates'!L:T,9,0),0))))))))</f>
        <v>0</v>
      </c>
      <c r="DV344" s="412"/>
      <c r="DW344" s="409"/>
      <c r="DX344" s="411">
        <f>IF(DW344=0,0,IF($LB344=70%,VLOOKUP($DS344,'Jan-2026 rates'!$L:$R,4,0),IF($LB344=65%,VLOOKUP($DS344,'Jan-2026 rates'!$L:$R,4,0),IF($LB344=40%,VLOOKUP($DS344,'Jan-2026 rates'!$L:$R,5,0),IF($LB344=30%,VLOOKUP($DS344,'Jan-2026 rates'!$L:$R,6,0),IF($LB344=100%,VLOOKUP($DS344,'Jan-2026 rates'!$L:$R,7,0),IF($LB344=60%,VLOOKUP($DS344,'Jan-2026 rates'!$L:$S,8,0),IF($LB344=80%,VLOOKUP($DS344,'Jan-2026 rates'!L:T,9,0),0))))))))</f>
        <v>0</v>
      </c>
      <c r="DY344" s="413">
        <v>26524000005</v>
      </c>
      <c r="DZ344" s="413"/>
      <c r="EA344" s="412"/>
      <c r="EB344" s="412"/>
      <c r="EC344" s="412"/>
      <c r="ED344" s="412"/>
      <c r="EE344" s="412"/>
      <c r="EF344" s="412"/>
      <c r="EG344" s="409">
        <f>2+1</f>
        <v>3</v>
      </c>
      <c r="EH344" s="398" t="e">
        <f>IF(EG344=0,0,IF(LEN(DY344)=11,_xlfn.XLOOKUP(DY344,'Dispensed Ink Rates'!C:C,'Dispensed Ink Rates'!CS:CS),VLOOKUP(DY344,'Jan-2026 rates'!$E:$F,2,0)))</f>
        <v>#N/A</v>
      </c>
      <c r="EI344" s="409"/>
      <c r="EJ344" s="398">
        <f>IF(EI344=0,0,IF(LEN(DZ344)=11,_xlfn.XLOOKUP(DZ344,'Dispensed Ink Rates'!C:C,'Dispensed Ink Rates'!CS:CS),VLOOKUP(DZ344,'Jan-2026 rates'!$E:$F,2,0)))</f>
        <v>0</v>
      </c>
      <c r="EK344" s="409"/>
      <c r="EL344" s="398">
        <f>IF(EK344=0,0,IF(LEN(EA344)=11,_xlfn.XLOOKUP(EA344,'Dispensed Ink Rates'!C:C,'Dispensed Ink Rates'!CS:CS),VLOOKUP(EA344,'Jan-2026 rates'!$E:$F,2,0)))</f>
        <v>0</v>
      </c>
      <c r="EM344" s="409"/>
      <c r="EN344" s="398">
        <f>IF(EM344=0,0,IF(LEN(EB344)=11,_xlfn.XLOOKUP(EB344,'Dispensed Ink Rates'!C:C,'Dispensed Ink Rates'!CS:CS),VLOOKUP(EB344,'Jan-2026 rates'!$E:$F,2,0)))</f>
        <v>0</v>
      </c>
      <c r="EO344" s="409"/>
      <c r="EP344" s="398">
        <f>IF(EO344=0,0,IF(LEN(EC344)=11,_xlfn.XLOOKUP(EC344,'Dispensed Ink Rates'!C:C,'Dispensed Ink Rates'!CS:CS),VLOOKUP(EC344,'Jan-2026 rates'!$E:$F,2,0)))</f>
        <v>0</v>
      </c>
      <c r="EQ344" s="409"/>
      <c r="ER344" s="398">
        <f>IF(EQ344=0,0,IF(LEN(ED344)=11,_xlfn.XLOOKUP(ED344,'Dispensed Ink Rates'!C:C,'Dispensed Ink Rates'!CS:CS),VLOOKUP(ED344,'Jan-2026 rates'!$E:$F,2,0)))</f>
        <v>0</v>
      </c>
      <c r="ES344" s="409"/>
      <c r="ET344" s="398">
        <f>IF(ES344=0,0,IF(LEN(EE344)=11,_xlfn.XLOOKUP(EE344,'Dispensed Ink Rates'!C:C,'Dispensed Ink Rates'!CS:CS),VLOOKUP(EE344,'Jan-2026 rates'!$E:$F,2,0)))</f>
        <v>0</v>
      </c>
      <c r="EU344" s="409"/>
      <c r="EV344" s="398">
        <f>IF(EU344=0,0,IF(LEN(EF344)=11,_xlfn.XLOOKUP(EF344,'Dispensed Ink Rates'!C:C,'Dispensed Ink Rates'!CS:CS),VLOOKUP(EF344,'Jan-2026 rates'!$E:$F,2,0)))</f>
        <v>0</v>
      </c>
      <c r="EW344" s="409" t="s">
        <v>1443</v>
      </c>
      <c r="EX344" s="409">
        <v>26</v>
      </c>
      <c r="EY344" s="411">
        <f t="shared" si="221"/>
        <v>0</v>
      </c>
      <c r="EZ344" s="411">
        <f t="shared" si="222"/>
        <v>16.126126126126124</v>
      </c>
      <c r="FA344" s="410">
        <f t="shared" si="223"/>
        <v>0</v>
      </c>
      <c r="FB344" s="405" t="s">
        <v>544</v>
      </c>
      <c r="FC344" s="409" t="s">
        <v>4675</v>
      </c>
      <c r="FD344" s="420" t="str">
        <f t="shared" si="187"/>
        <v>FLINTSL - MAGENTA</v>
      </c>
      <c r="FE344" s="409">
        <v>30</v>
      </c>
      <c r="FF344" s="411">
        <f>IF(FE344=0,0,IF($LB344=70%,VLOOKUP($FD344,'Jan-2026 rates'!$L:$R,4,0),IF($LB344=65%,VLOOKUP($FD344,'Jan-2026 rates'!$L:$R,4,0),IF($LB344=40%,VLOOKUP($FD344,'Jan-2026 rates'!$L:$R,5,0),IF($LB344=30%,VLOOKUP($FD344,'Jan-2026 rates'!$L:$R,6,0),IF($LB344=100%,VLOOKUP($FD344,'Jan-2026 rates'!$L:$R,7,0),IF($LB344=60%,VLOOKUP($FD344,'Jan-2026 rates'!$L:$S,8,0),IF($LB344=80%,VLOOKUP($FD344,'Jan-2026 rates'!L:T,9,0),0))))))))</f>
        <v>0</v>
      </c>
      <c r="FG344" s="412"/>
      <c r="FH344" s="409"/>
      <c r="FI344" s="411">
        <f>IF(FH344=0,0,IF($LB344=70%,VLOOKUP($FD344,'Jan-2026 rates'!$L:$R,4,0),IF($LB344=65%,VLOOKUP($FD344,'Jan-2026 rates'!$L:$R,4,0),IF($LB344=40%,VLOOKUP($FD344,'Jan-2026 rates'!$L:$R,5,0),IF($LB344=30%,VLOOKUP($FD344,'Jan-2026 rates'!$L:$R,6,0),IF($LB344=100%,VLOOKUP($FD344,'Jan-2026 rates'!$L:$R,7,0),IF($LB344=60%,VLOOKUP($FD344,'Jan-2026 rates'!$L:$S,8,0),IF($LB344=80%,VLOOKUP($FD344,'Jan-2026 rates'!L:T,9,0),0))))))))</f>
        <v>0</v>
      </c>
      <c r="FJ344" s="413">
        <v>26524000028</v>
      </c>
      <c r="FK344" s="413" t="s">
        <v>1266</v>
      </c>
      <c r="FL344" s="413"/>
      <c r="FM344" s="412"/>
      <c r="FN344" s="412"/>
      <c r="FO344" s="412"/>
      <c r="FP344" s="412"/>
      <c r="FQ344" s="412"/>
      <c r="FR344" s="409">
        <v>7</v>
      </c>
      <c r="FS344" s="398" t="e">
        <f>IF(FR344=0,0,IF(LEN(FJ344)=11,_xlfn.XLOOKUP(FJ344,'Dispensed Ink Rates'!C:C,'Dispensed Ink Rates'!CS:CS),VLOOKUP(FJ344,'Jan-2026 rates'!$E:$F,2,0)))</f>
        <v>#N/A</v>
      </c>
      <c r="FT344" s="409">
        <v>6</v>
      </c>
      <c r="FU344" s="398">
        <f>IF(FT344=0,0,IF(LEN(FK344)=11,_xlfn.XLOOKUP(FK344,'Dispensed Ink Rates'!C:C,'Dispensed Ink Rates'!CS:CS),VLOOKUP(FK344,'Jan-2026 rates'!$E:$F,2,0)))</f>
        <v>0</v>
      </c>
      <c r="FV344" s="409"/>
      <c r="FW344" s="398">
        <f>IF(FV344=0,0,IF(LEN(FL344)=11,_xlfn.XLOOKUP(FL344,'Dispensed Ink Rates'!C:C,'Dispensed Ink Rates'!CS:CS),VLOOKUP(FL344,'Jan-2026 rates'!$E:$F,2,0)))</f>
        <v>0</v>
      </c>
      <c r="FX344" s="409"/>
      <c r="FY344" s="398">
        <f>IF(FX344=0,0,IF(LEN(FM344)=11,_xlfn.XLOOKUP(FM344,'Dispensed Ink Rates'!C:C,'Dispensed Ink Rates'!CS:CS),VLOOKUP(FM344,'Jan-2026 rates'!$E:$F,2,0)))</f>
        <v>0</v>
      </c>
      <c r="FZ344" s="409"/>
      <c r="GA344" s="398">
        <f>IF(FZ344=0,0,IF(LEN(FN344)=11,_xlfn.XLOOKUP(FN344,'Dispensed Ink Rates'!C:C,'Dispensed Ink Rates'!CS:CS),VLOOKUP(FN344,'Jan-2026 rates'!$E:$F,2,0)))</f>
        <v>0</v>
      </c>
      <c r="GB344" s="409"/>
      <c r="GC344" s="398">
        <f>IF(GB344=0,0,IF(LEN(FO344)=11,_xlfn.XLOOKUP(FO344,'Dispensed Ink Rates'!C:C,'Dispensed Ink Rates'!CS:CS),VLOOKUP(FO344,'Jan-2026 rates'!$E:$F,2,0)))</f>
        <v>0</v>
      </c>
      <c r="GD344" s="409"/>
      <c r="GE344" s="398">
        <f>IF(GD344=0,0,IF(LEN(FP344)=11,_xlfn.XLOOKUP(FP344,'Dispensed Ink Rates'!C:C,'Dispensed Ink Rates'!CS:CS),VLOOKUP(FP344,'Jan-2026 rates'!$E:$F,2,0)))</f>
        <v>0</v>
      </c>
      <c r="GF344" s="409"/>
      <c r="GG344" s="398">
        <f>IF(GF344=0,0,IF(LEN(FQ344)=11,_xlfn.XLOOKUP(FQ344,'Dispensed Ink Rates'!C:C,'Dispensed Ink Rates'!CS:CS),VLOOKUP(FQ344,'Jan-2026 rates'!$E:$F,2,0)))</f>
        <v>0</v>
      </c>
      <c r="GH344" s="409" t="s">
        <v>1443</v>
      </c>
      <c r="GI344" s="409">
        <v>40</v>
      </c>
      <c r="GJ344" s="411">
        <f t="shared" si="224"/>
        <v>0</v>
      </c>
      <c r="GK344" s="411">
        <f t="shared" si="225"/>
        <v>35.252252252252248</v>
      </c>
      <c r="GL344" s="410">
        <f t="shared" si="226"/>
        <v>0</v>
      </c>
      <c r="GM344" s="405" t="s">
        <v>545</v>
      </c>
      <c r="GN344" s="409" t="s">
        <v>4676</v>
      </c>
      <c r="GO344" s="420" t="str">
        <f t="shared" si="188"/>
        <v>FLINTSL - YELLOW</v>
      </c>
      <c r="GP344" s="409">
        <v>27</v>
      </c>
      <c r="GQ344" s="411">
        <f>IF(GP344=0,0,IF($LB344=70%,VLOOKUP($GO344,'Jan-2026 rates'!$L:$R,4,0),IF($LB344=65%,VLOOKUP($GO344,'Jan-2026 rates'!$L:$R,4,0),IF($LB344=40%,VLOOKUP($GO344,'Jan-2026 rates'!$L:$R,5,0),IF($LB344=30%,VLOOKUP($GO344,'Jan-2026 rates'!$L:$R,6,0),IF($LB344=100%,VLOOKUP($GO344,'Jan-2026 rates'!$L:$R,7,0),IF($LB344=60%,VLOOKUP($GO344,'Jan-2026 rates'!$L:$S,8,0),IF($LB344=80%,VLOOKUP($GO344,'Jan-2026 rates'!L:T,9,0),0))))))))</f>
        <v>0</v>
      </c>
      <c r="GR344" s="412"/>
      <c r="GS344" s="409"/>
      <c r="GT344" s="411">
        <f>IF(GS344=0,0,IF($LB344=70%,VLOOKUP($GO344,'Jan-2026 rates'!$L:$R,4,0),IF($LB344=65%,VLOOKUP($GO344,'Jan-2026 rates'!$L:$R,4,0),IF($LB344=40%,VLOOKUP($GO344,'Jan-2026 rates'!$L:$R,5,0),IF($LB344=30%,VLOOKUP($GO344,'Jan-2026 rates'!$L:$R,6,0),IF($LB344=100%,VLOOKUP($GO344,'Jan-2026 rates'!$L:$R,7,0),IF($LB344=60%,VLOOKUP($GO344,'Jan-2026 rates'!$L:$S,8,0),IF($LB344=80%,VLOOKUP($GO344,'Jan-2026 rates'!L:T,9,0),0))))))))</f>
        <v>0</v>
      </c>
      <c r="GU344" s="413">
        <v>26526000035</v>
      </c>
      <c r="GV344" s="413" t="s">
        <v>1266</v>
      </c>
      <c r="GW344" s="412"/>
      <c r="GX344" s="412"/>
      <c r="GY344" s="412"/>
      <c r="GZ344" s="412"/>
      <c r="HA344" s="412"/>
      <c r="HB344" s="412"/>
      <c r="HC344" s="409">
        <f>10+6</f>
        <v>16</v>
      </c>
      <c r="HD344" s="398" t="e">
        <f>IF(HC344=0,0,IF(LEN(GU344)=11,_xlfn.XLOOKUP(GU344,'Dispensed Ink Rates'!C:C,'Dispensed Ink Rates'!CS:CS),VLOOKUP(GU344,'Jan-2026 rates'!$E:$F,2,0)))</f>
        <v>#N/A</v>
      </c>
      <c r="HE344" s="409">
        <v>10</v>
      </c>
      <c r="HF344" s="398">
        <f>IF(HE344=0,0,IF(LEN(GV344)=11,_xlfn.XLOOKUP(GV344,'Dispensed Ink Rates'!C:C,'Dispensed Ink Rates'!CS:CS),VLOOKUP(GV344,'Jan-2026 rates'!$E:$F,2,0)))</f>
        <v>0</v>
      </c>
      <c r="HG344" s="409"/>
      <c r="HH344" s="398">
        <f>IF(HG344=0,0,IF(LEN(GW344)=11,_xlfn.XLOOKUP(GW344,'Dispensed Ink Rates'!C:C,'Dispensed Ink Rates'!CS:CS),VLOOKUP(GW344,'Jan-2026 rates'!$E:$F,2,0)))</f>
        <v>0</v>
      </c>
      <c r="HI344" s="409"/>
      <c r="HJ344" s="398">
        <f>IF(HI344=0,0,IF(LEN(GX344)=11,_xlfn.XLOOKUP(GX344,'Dispensed Ink Rates'!C:C,'Dispensed Ink Rates'!CS:CS),VLOOKUP(GX344,'Jan-2026 rates'!$E:$F,2,0)))</f>
        <v>0</v>
      </c>
      <c r="HK344" s="409"/>
      <c r="HL344" s="398">
        <f>IF(HK344=0,0,IF(LEN(GY344)=11,_xlfn.XLOOKUP(GY344,'Dispensed Ink Rates'!C:C,'Dispensed Ink Rates'!CS:CS),VLOOKUP(GY344,'Jan-2026 rates'!$E:$F,2,0)))</f>
        <v>0</v>
      </c>
      <c r="HM344" s="409"/>
      <c r="HN344" s="398">
        <f>IF(HM344=0,0,IF(LEN(GZ344)=11,_xlfn.XLOOKUP(GZ344,'Dispensed Ink Rates'!C:C,'Dispensed Ink Rates'!CS:CS),VLOOKUP(GZ344,'Jan-2026 rates'!$E:$F,2,0)))</f>
        <v>0</v>
      </c>
      <c r="HO344" s="409"/>
      <c r="HP344" s="398">
        <f>IF(HO344=0,0,IF(LEN(HA344)=11,_xlfn.XLOOKUP(HA344,'Dispensed Ink Rates'!C:C,'Dispensed Ink Rates'!CS:CS),VLOOKUP(HA344,'Jan-2026 rates'!$E:$F,2,0)))</f>
        <v>0</v>
      </c>
      <c r="HQ344" s="409"/>
      <c r="HR344" s="398">
        <f>IF(HQ344=0,0,IF(LEN(HB344)=11,_xlfn.XLOOKUP(HB344,'Dispensed Ink Rates'!C:C,'Dispensed Ink Rates'!CS:CS),VLOOKUP(HB344,'Jan-2026 rates'!$E:$F,2,0)))</f>
        <v>0</v>
      </c>
      <c r="HS344" s="409" t="s">
        <v>1443</v>
      </c>
      <c r="HT344" s="409">
        <v>30</v>
      </c>
      <c r="HU344" s="411">
        <f t="shared" si="227"/>
        <v>0</v>
      </c>
      <c r="HV344" s="411">
        <f t="shared" si="228"/>
        <v>55.252252252252248</v>
      </c>
      <c r="HW344" s="414">
        <f t="shared" si="229"/>
        <v>0</v>
      </c>
      <c r="HX344" s="405" t="s">
        <v>545</v>
      </c>
      <c r="HY344" s="409"/>
      <c r="HZ344" s="420" t="str">
        <f t="shared" si="189"/>
        <v>FLINTSL - YELLOW</v>
      </c>
      <c r="IA344" s="409"/>
      <c r="IB344" s="411">
        <f>IF(IA344=0,0,IF($LB344=70%,VLOOKUP($HZ344,'Jan-2026 rates'!$L:$R,4,0),IF($LB344=65%,VLOOKUP($HZ344,'Jan-2026 rates'!$L:$R,4,0),IF($LB344=40%,VLOOKUP($HZ344,'Jan-2026 rates'!$L:$R,5,0),IF($LB344=30%,VLOOKUP($HZ344,'Jan-2026 rates'!$L:$R,6,0),IF($LB344=100%,VLOOKUP($HZ344,'Jan-2026 rates'!$L:$R,7,0),IF($LB344=60%,VLOOKUP($HZ344,'Jan-2026 rates'!$L:$S,8,0),IF($LB344=80%,VLOOKUP($HZ344,'Jan-2026 rates'!L:T,9,0),0))))))))</f>
        <v>0</v>
      </c>
      <c r="IC344" s="412"/>
      <c r="ID344" s="409"/>
      <c r="IE344" s="411">
        <f>IF(ID344=0,0,IF($LB344=70%,VLOOKUP($HZ344,'Jan-2026 rates'!$L:$R,4,0),IF($LB344=65%,VLOOKUP($HZ344,'Jan-2026 rates'!$L:$R,4,0),IF($LB344=40%,VLOOKUP($HZ344,'Jan-2026 rates'!$L:$R,5,0),IF($LB344=30%,VLOOKUP($HZ344,'Jan-2026 rates'!$L:$R,6,0),IF($LB344=100%,VLOOKUP($HZ344,'Jan-2026 rates'!$L:$R,7,0),IF($LB344=60%,VLOOKUP($HZ344,'Jan-2026 rates'!$L:$S,8,0),IF($LB344=80%,VLOOKUP($HZ344,'Jan-2026 rates'!L:T,9,0),0))))))))</f>
        <v>0</v>
      </c>
      <c r="IF344" s="412">
        <v>26524000020</v>
      </c>
      <c r="IG344" s="413">
        <v>26524000025</v>
      </c>
      <c r="IH344" s="412">
        <v>26524000024</v>
      </c>
      <c r="II344" s="412">
        <v>26524000026</v>
      </c>
      <c r="IJ344" s="412">
        <v>26524000019</v>
      </c>
      <c r="IK344" s="412">
        <v>26524000022</v>
      </c>
      <c r="IL344" s="412"/>
      <c r="IM344" s="412"/>
      <c r="IN344" s="409">
        <v>40</v>
      </c>
      <c r="IO344" s="398" t="e">
        <f>IF(IN344=0,0,IF(LEN(IF344)=11,_xlfn.XLOOKUP(IF344,'Dispensed Ink Rates'!C:C,'Dispensed Ink Rates'!CS:CS),VLOOKUP(IF344,'Jan-2026 rates'!$E:$F,2,0)))</f>
        <v>#N/A</v>
      </c>
      <c r="IP344" s="409">
        <v>40</v>
      </c>
      <c r="IQ344" s="398" t="e">
        <f>IF(IP344=0,0,IF(LEN(IG344)=11,_xlfn.XLOOKUP(IG344,'Dispensed Ink Rates'!C:C,'Dispensed Ink Rates'!CS:CS),VLOOKUP(IG344,'Jan-2026 rates'!$E:$F,2,0)))</f>
        <v>#N/A</v>
      </c>
      <c r="IR344" s="409">
        <v>35</v>
      </c>
      <c r="IS344" s="398" t="e">
        <f>IF(IR344=0,0,IF(LEN(IH344)=11,_xlfn.XLOOKUP(IH344,'Dispensed Ink Rates'!C:C,'Dispensed Ink Rates'!CS:CS),VLOOKUP(IH344,'Jan-2026 rates'!$E:$F,2,0)))</f>
        <v>#N/A</v>
      </c>
      <c r="IT344" s="409">
        <v>40</v>
      </c>
      <c r="IU344" s="398" t="e">
        <f>IF(IT344=0,0,IF(LEN(II344)=11,_xlfn.XLOOKUP(II344,'Dispensed Ink Rates'!C:C,'Dispensed Ink Rates'!CS:CS),VLOOKUP(II344,'Jan-2026 rates'!$E:$F,2,0)))</f>
        <v>#N/A</v>
      </c>
      <c r="IV344" s="409">
        <v>40</v>
      </c>
      <c r="IW344" s="398" t="e">
        <f>IF(IV344=0,0,IF(LEN(IJ344)=11,_xlfn.XLOOKUP(IJ344,'Dispensed Ink Rates'!C:C,'Dispensed Ink Rates'!CS:CS),VLOOKUP(IJ344,'Jan-2026 rates'!$E:$F,2,0)))</f>
        <v>#N/A</v>
      </c>
      <c r="IX344" s="409">
        <v>20</v>
      </c>
      <c r="IY344" s="398" t="e">
        <f>IF(IX344=0,0,IF(LEN(IK344)=11,_xlfn.XLOOKUP(IK344,'Dispensed Ink Rates'!C:C,'Dispensed Ink Rates'!CS:CS),VLOOKUP(IK344,'Jan-2026 rates'!$E:$F,2,0)))</f>
        <v>#N/A</v>
      </c>
      <c r="IZ344" s="409"/>
      <c r="JA344" s="398">
        <f>IF(IZ344=0,0,IF(LEN(IL344)=11,_xlfn.XLOOKUP(IL344,'Dispensed Ink Rates'!C:C,'Dispensed Ink Rates'!CS:CS),VLOOKUP(IL344,'Jan-2026 rates'!$E:$F,2,0)))</f>
        <v>0</v>
      </c>
      <c r="JB344" s="409"/>
      <c r="JC344" s="398">
        <f>IF(JB344=0,0,IF(LEN(IM344)=11,_xlfn.XLOOKUP(IM344,'Dispensed Ink Rates'!C:C,'Dispensed Ink Rates'!CS:CS),VLOOKUP(IM344,'Jan-2026 rates'!$E:$F,2,0)))</f>
        <v>0</v>
      </c>
      <c r="JD344" s="409" t="s">
        <v>1443</v>
      </c>
      <c r="JE344" s="409">
        <v>28</v>
      </c>
      <c r="JF344" s="411">
        <f t="shared" si="230"/>
        <v>0</v>
      </c>
      <c r="JG344" s="411">
        <f t="shared" si="231"/>
        <v>187</v>
      </c>
      <c r="JH344" s="410">
        <f t="shared" si="232"/>
        <v>0</v>
      </c>
      <c r="JI344" s="405" t="s">
        <v>856</v>
      </c>
      <c r="JJ344" s="409" t="s">
        <v>4677</v>
      </c>
      <c r="JK344" s="420" t="str">
        <f t="shared" si="190"/>
        <v>FLINTSL - WHITE</v>
      </c>
      <c r="JL344" s="409">
        <v>24</v>
      </c>
      <c r="JM344" s="411">
        <f>IF(JL344=0,0,IF($LB344=70%,VLOOKUP($JK344,'Jan-2026 rates'!$L:$R,4,0),IF($LB344=65%,VLOOKUP($JK344,'Jan-2026 rates'!$L:$R,4,0),IF($LB344=40%,VLOOKUP($JK344,'Jan-2026 rates'!$L:$R,5,0),IF($LB344=30%,VLOOKUP($JK344,'Jan-2026 rates'!$L:$R,6,0),IF($LB344=100%,VLOOKUP($JK344,'Jan-2026 rates'!$L:$R,7,0),IF($LB344=60%,VLOOKUP($JK344,'Jan-2026 rates'!$L:$S,8,0),IF($LB344=80%,VLOOKUP($JK344,'Jan-2026 rates'!L:T,9,0),0))))))))</f>
        <v>0</v>
      </c>
      <c r="JN344" s="412"/>
      <c r="JO344" s="409"/>
      <c r="JP344" s="411">
        <f>IF(JO344=0,0,IF($LB344=70%,VLOOKUP($JK344,'Jan-2026 rates'!$L:$R,4,0),IF($LB344=65%,VLOOKUP($JK344,'Jan-2026 rates'!$L:$R,4,0),IF($LB344=40%,VLOOKUP($JK344,'Jan-2026 rates'!$L:$R,5,0),IF($LB344=30%,VLOOKUP($JK344,'Jan-2026 rates'!$L:$R,6,0),IF($LB344=100%,VLOOKUP($JK344,'Jan-2026 rates'!$L:$R,7,0),IF($LB344=60%,VLOOKUP($JK344,'Jan-2026 rates'!$L:$S,8,0),IF($LB344=80%,VLOOKUP($JK344,'Jan-2026 rates'!L:T,9,0),0))))))))</f>
        <v>0</v>
      </c>
      <c r="JQ344" s="413" t="s">
        <v>484</v>
      </c>
      <c r="JR344" s="412" t="s">
        <v>1924</v>
      </c>
      <c r="JS344" s="413"/>
      <c r="JT344" s="413"/>
      <c r="JU344" s="412"/>
      <c r="JV344" s="412"/>
      <c r="JW344" s="412"/>
      <c r="JX344" s="412"/>
      <c r="JY344" s="409">
        <f>100+100</f>
        <v>200</v>
      </c>
      <c r="JZ344" s="398">
        <f>IF(JY344=0,0,IF(LEN(JQ344)=11,_xlfn.XLOOKUP(JQ344,'Dispensed Ink Rates'!C:C,'Dispensed Ink Rates'!CS:CS),VLOOKUP(JQ344,'Jan-2026 rates'!$E:$F,2,0)))</f>
        <v>0</v>
      </c>
      <c r="KA344" s="409">
        <v>6</v>
      </c>
      <c r="KB344" s="398">
        <f>IF(KA344=0,0,IF(LEN(JR344)=11,_xlfn.XLOOKUP(JR344,'Dispensed Ink Rates'!C:C,'Dispensed Ink Rates'!CS:CS),VLOOKUP(JR344,'Jan-2026 rates'!$E:$F,2,0)))</f>
        <v>0</v>
      </c>
      <c r="KC344" s="409"/>
      <c r="KD344" s="398">
        <f>IF(KC344=0,0,IF(LEN(JS344)=11,_xlfn.XLOOKUP(JS344,'Dispensed Ink Rates'!C:C,'Dispensed Ink Rates'!CS:CS),VLOOKUP(JS344,'Jan-2026 rates'!$E:$F,2,0)))</f>
        <v>0</v>
      </c>
      <c r="KE344" s="409"/>
      <c r="KF344" s="398">
        <f>IF(KE344=0,0,IF(LEN(JT344)=11,_xlfn.XLOOKUP(JT344,'Dispensed Ink Rates'!C:C,'Dispensed Ink Rates'!CS:CS),VLOOKUP(JT344,'Jan-2026 rates'!$E:$F,2,0)))</f>
        <v>0</v>
      </c>
      <c r="KG344" s="409"/>
      <c r="KH344" s="398">
        <f>IF(KG344=0,0,IF(LEN(JU344)=11,_xlfn.XLOOKUP(JU344,'Dispensed Ink Rates'!C:C,'Dispensed Ink Rates'!CS:CS),VLOOKUP(JU344,'Jan-2026 rates'!$E:$F,2,0)))</f>
        <v>0</v>
      </c>
      <c r="KI344" s="409"/>
      <c r="KJ344" s="398">
        <f>IF(KI344=0,0,IF(LEN(JV344)=11,_xlfn.XLOOKUP(JV344,'Dispensed Ink Rates'!C:C,'Dispensed Ink Rates'!CS:CS),VLOOKUP(JV344,'Jan-2026 rates'!$E:$F,2,0)))</f>
        <v>0</v>
      </c>
      <c r="KK344" s="409"/>
      <c r="KL344" s="398">
        <f>IF(KK344=0,0,IF(LEN(JW344)=11,_xlfn.XLOOKUP(JW344,'Dispensed Ink Rates'!C:C,'Dispensed Ink Rates'!CS:CS),VLOOKUP(JW344,'Jan-2026 rates'!$E:$F,2,0)))</f>
        <v>0</v>
      </c>
      <c r="KM344" s="428"/>
      <c r="KN344" s="398">
        <f>IF(KM344=0,0,IF(LEN(JX344)=11,_xlfn.XLOOKUP(JX344,'Dispensed Ink Rates'!C:C,'Dispensed Ink Rates'!CS:CS),VLOOKUP(JX344,'Jan-2026 rates'!$E:$F,2,0)))</f>
        <v>0</v>
      </c>
      <c r="KO344" s="409" t="s">
        <v>1443</v>
      </c>
      <c r="KP344" s="409">
        <v>30</v>
      </c>
      <c r="KQ344" s="411">
        <f t="shared" si="233"/>
        <v>0</v>
      </c>
      <c r="KR344" s="411">
        <f t="shared" si="234"/>
        <v>412.8648648648649</v>
      </c>
      <c r="KS344" s="410">
        <f t="shared" si="235"/>
        <v>0</v>
      </c>
      <c r="KT344" s="409">
        <v>10</v>
      </c>
      <c r="KU344" s="409">
        <v>10</v>
      </c>
      <c r="KV344" s="409">
        <v>0</v>
      </c>
      <c r="KW344" s="409">
        <v>5</v>
      </c>
      <c r="KX344" s="409">
        <v>10</v>
      </c>
      <c r="KY344" s="409">
        <v>10</v>
      </c>
      <c r="KZ344" s="409">
        <v>0</v>
      </c>
      <c r="LA344" s="409">
        <f>60+6</f>
        <v>66</v>
      </c>
      <c r="LB344" s="415">
        <v>0.3</v>
      </c>
      <c r="LC344" s="415"/>
      <c r="LD344" s="424"/>
      <c r="LE344" s="415">
        <v>0.5</v>
      </c>
      <c r="LF344" s="415">
        <v>0.2</v>
      </c>
      <c r="LG344" s="409">
        <v>0</v>
      </c>
      <c r="LH344" s="409">
        <f>120+80+120+30+5+3</f>
        <v>358</v>
      </c>
      <c r="LI344" s="409">
        <v>0</v>
      </c>
      <c r="LJ344" s="409">
        <v>0</v>
      </c>
      <c r="LK344" s="416">
        <f t="shared" si="191"/>
        <v>358</v>
      </c>
      <c r="LL344" s="416">
        <f t="shared" si="237"/>
        <v>358</v>
      </c>
      <c r="LM344" s="417">
        <f t="shared" si="193"/>
        <v>107.39999999999999</v>
      </c>
      <c r="LN344" s="417">
        <f>VLOOKUP($LM$8,'Jan-2026 rates'!$H:$I,2,0)</f>
        <v>0</v>
      </c>
      <c r="LO344" s="417">
        <f t="shared" si="194"/>
        <v>0</v>
      </c>
      <c r="LP344" s="417">
        <f>VLOOKUP($LO$8,'Jan-2026 rates'!$H:$I,2,0)</f>
        <v>0</v>
      </c>
      <c r="LQ344" s="417">
        <f t="shared" si="195"/>
        <v>0</v>
      </c>
      <c r="LR344" s="417">
        <f>VLOOKUP($LQ$8,'Jan-2026 rates'!$H:$I,2,0)</f>
        <v>0</v>
      </c>
      <c r="LS344" s="417">
        <f t="shared" si="196"/>
        <v>179</v>
      </c>
      <c r="LT344" s="417">
        <f>VLOOKUP($LS$8,'Jan-2026 rates'!$H:$I,2,0)</f>
        <v>0</v>
      </c>
      <c r="LU344" s="417">
        <f t="shared" si="197"/>
        <v>71.600000000000009</v>
      </c>
      <c r="LV344" s="417">
        <f>VLOOKUP($LU$8,'Jan-2026 rates'!$H:$I,2,0)</f>
        <v>0</v>
      </c>
      <c r="LW344" s="417">
        <f t="shared" si="198"/>
        <v>0</v>
      </c>
      <c r="LX344" s="417">
        <f t="shared" si="199"/>
        <v>0</v>
      </c>
      <c r="LY344" s="418">
        <f t="shared" si="200"/>
        <v>0</v>
      </c>
      <c r="LZ344" s="417"/>
      <c r="MA344" s="435">
        <f t="shared" si="201"/>
        <v>569</v>
      </c>
      <c r="MB344" s="282">
        <f t="shared" si="202"/>
        <v>822</v>
      </c>
      <c r="MC344" s="283">
        <v>187</v>
      </c>
      <c r="MD344" s="284" t="str">
        <f t="shared" si="203"/>
        <v>FLINTSLFLINTSLFLINTSLFLINTSLFLINTSLFLINTSLFLINTSLFLINTSL</v>
      </c>
      <c r="ME344" s="293" t="str">
        <f t="shared" si="204"/>
        <v>+</v>
      </c>
      <c r="MF344" s="293" t="str">
        <f t="shared" si="205"/>
        <v>+</v>
      </c>
      <c r="MG344" s="293" t="str">
        <f t="shared" si="206"/>
        <v>+</v>
      </c>
      <c r="MH344" s="293" t="str">
        <f t="shared" si="207"/>
        <v>+</v>
      </c>
      <c r="MI344" s="293" t="str">
        <f t="shared" si="208"/>
        <v>+</v>
      </c>
      <c r="MJ344" s="293" t="str">
        <f t="shared" si="209"/>
        <v>+</v>
      </c>
      <c r="MK344" s="293" t="str">
        <f t="shared" si="210"/>
        <v>+</v>
      </c>
      <c r="ML344" s="293" t="str">
        <f t="shared" si="211"/>
        <v>+</v>
      </c>
      <c r="MM344" s="3" t="b">
        <f t="array" ref="MM344">OR(ME344:ML344="-")</f>
        <v>0</v>
      </c>
      <c r="MO344" s="401">
        <f t="shared" si="238"/>
        <v>80.2734375</v>
      </c>
      <c r="MP344" s="286"/>
      <c r="MR344" s="402">
        <f t="shared" si="239"/>
        <v>1.5451127819548872E-2</v>
      </c>
      <c r="MS344" s="400">
        <f t="shared" si="240"/>
        <v>0</v>
      </c>
      <c r="MT344" s="285"/>
      <c r="NH344" s="361"/>
      <c r="NJ344" s="282"/>
    </row>
    <row r="345" spans="1:374" ht="16.5">
      <c r="A345" s="403">
        <v>46046</v>
      </c>
      <c r="B345" s="404" t="s">
        <v>1018</v>
      </c>
      <c r="C345" s="405" t="s">
        <v>4369</v>
      </c>
      <c r="D345" s="404">
        <v>188</v>
      </c>
      <c r="E345" s="404">
        <v>199</v>
      </c>
      <c r="F345" s="407">
        <v>8900</v>
      </c>
      <c r="G345" s="407" t="s">
        <v>1016</v>
      </c>
      <c r="H345" s="408" t="s">
        <v>1017</v>
      </c>
      <c r="I345" s="409">
        <v>1.2</v>
      </c>
      <c r="J345" s="405" t="s">
        <v>543</v>
      </c>
      <c r="K345" s="404" t="s">
        <v>4678</v>
      </c>
      <c r="L345" s="419" t="str">
        <f t="shared" si="184"/>
        <v>FLINTSL - BLACK</v>
      </c>
      <c r="M345" s="404">
        <v>40</v>
      </c>
      <c r="N345" s="410">
        <f>IF(M345=0,0,IF($LB345=70%,VLOOKUP($L345,'Jan-2026 rates'!$L:$R,4,0),IF($LB345=65%,VLOOKUP($L345,'Jan-2026 rates'!$L:$R,4,0),IF($LB345=40%,VLOOKUP($L345,'Jan-2026 rates'!$L:$R,5,0),IF($LB345=30%,VLOOKUP($L345,'Jan-2026 rates'!$L:$R,6,0),IF($LB345=100%,VLOOKUP($L345,'Jan-2026 rates'!$L:$R,7,0),IF($LB345=60%,VLOOKUP($L345,'Jan-2026 rates'!$L:$S,8,0),IF($LB345=80%,VLOOKUP($L345,'Jan-2026 rates'!L:T,9,0),0))))))))</f>
        <v>0</v>
      </c>
      <c r="O345" s="406"/>
      <c r="P345" s="404"/>
      <c r="Q345" s="410">
        <f>IF(P345=0,0,IF($LB345=70%,VLOOKUP($L345,'Jan-2026 rates'!$L:$R,4,0),IF($LB345=65%,VLOOKUP($L345,'Jan-2026 rates'!$L:$R,4,0),IF($LB345=40%,VLOOKUP($L345,'Jan-2026 rates'!$L:$R,5,0),IF($LB345=30%,VLOOKUP($L345,'Jan-2026 rates'!$L:$R,6,0),IF($LB345=100%,VLOOKUP($L345,'Jan-2026 rates'!$L:$R,7,0),IF($LB345=60%,VLOOKUP($L345,'Jan-2026 rates'!$L:$S,8,0),IF($LB345=80%,VLOOKUP($L345,'Jan-2026 rates'!L:T,9,0),0))))))))</f>
        <v>0</v>
      </c>
      <c r="R345" s="406">
        <v>26526000029</v>
      </c>
      <c r="S345" s="406"/>
      <c r="T345" s="406"/>
      <c r="U345" s="406"/>
      <c r="V345" s="406"/>
      <c r="W345" s="406"/>
      <c r="X345" s="406"/>
      <c r="Y345" s="406"/>
      <c r="Z345" s="404">
        <v>2</v>
      </c>
      <c r="AA345" s="398" t="e">
        <f>IF(Z345=0,0,IF(LEN(R345)=11,_xlfn.XLOOKUP(R345,'Dispensed Ink Rates'!C:C,'Dispensed Ink Rates'!CS:CS),VLOOKUP(R345,'Jan-2026 rates'!$E:$F,2,0)))</f>
        <v>#N/A</v>
      </c>
      <c r="AB345" s="404"/>
      <c r="AC345" s="398">
        <f>IF(AB345=0,0,IF(LEN(S345)=11,_xlfn.XLOOKUP(S345,'Dispensed Ink Rates'!C:C,'Dispensed Ink Rates'!CS:CS),VLOOKUP(S345,'Jan-2026 rates'!$E:$F,2,0)))</f>
        <v>0</v>
      </c>
      <c r="AD345" s="404"/>
      <c r="AE345" s="398">
        <f>IF(AD345=0,0,IF(LEN(T345)=11,_xlfn.XLOOKUP(T345,'Dispensed Ink Rates'!C:C,'Dispensed Ink Rates'!CS:CS),VLOOKUP(T345,'Jan-2026 rates'!$E:$F,2,0)))</f>
        <v>0</v>
      </c>
      <c r="AF345" s="404"/>
      <c r="AG345" s="398">
        <f>IF(AF345=0,0,IF(LEN(U345)=11,_xlfn.XLOOKUP(U345,'Dispensed Ink Rates'!C:C,'Dispensed Ink Rates'!CS:CS),VLOOKUP(U345,'Jan-2026 rates'!$E:$F,2,0)))</f>
        <v>0</v>
      </c>
      <c r="AH345" s="404"/>
      <c r="AI345" s="398">
        <f>IF(AH345=0,0,IF(LEN(V345)=11,_xlfn.XLOOKUP(V345,'Dispensed Ink Rates'!C:C,'Dispensed Ink Rates'!CS:CS),VLOOKUP(V345,'Jan-2026 rates'!$E:$F,2,0)))</f>
        <v>0</v>
      </c>
      <c r="AJ345" s="404"/>
      <c r="AK345" s="398">
        <f>IF(AJ345=0,0,IF(LEN(W345)=11,_xlfn.XLOOKUP(W345,'Dispensed Ink Rates'!C:C,'Dispensed Ink Rates'!CS:CS),VLOOKUP(W345,'Jan-2026 rates'!$E:$F,2,0)))</f>
        <v>0</v>
      </c>
      <c r="AL345" s="404"/>
      <c r="AM345" s="398">
        <f>IF(AL345=0,0,IF(LEN(X345)=11,_xlfn.XLOOKUP(X345,'Dispensed Ink Rates'!C:C,'Dispensed Ink Rates'!CS:CS),VLOOKUP(X345,'Jan-2026 rates'!$E:$F,2,0)))</f>
        <v>0</v>
      </c>
      <c r="AN345" s="404"/>
      <c r="AO345" s="398">
        <f>IF(AN345=0,0,IF(LEN(Y345)=11,_xlfn.XLOOKUP(Y345,'Dispensed Ink Rates'!C:C,'Dispensed Ink Rates'!CS:CS),VLOOKUP(Y345,'Jan-2026 rates'!$E:$F,2,0)))</f>
        <v>0</v>
      </c>
      <c r="AP345" s="409" t="s">
        <v>1443</v>
      </c>
      <c r="AQ345" s="409">
        <v>38</v>
      </c>
      <c r="AR345" s="410">
        <f t="shared" si="212"/>
        <v>0</v>
      </c>
      <c r="AS345" s="411">
        <f t="shared" si="213"/>
        <v>7.4146341463414629</v>
      </c>
      <c r="AT345" s="410">
        <f t="shared" si="214"/>
        <v>0</v>
      </c>
      <c r="AU345" s="405" t="s">
        <v>548</v>
      </c>
      <c r="AV345" s="409" t="s">
        <v>4679</v>
      </c>
      <c r="AW345" s="420" t="str">
        <f t="shared" si="236"/>
        <v>FLINTSL - GOLD</v>
      </c>
      <c r="AX345" s="409">
        <v>35</v>
      </c>
      <c r="AY345" s="411">
        <f>IF(AX345=0,0,IF($LB345=70%,VLOOKUP($AW345,'Jan-2026 rates'!$L:$R,4,0),IF($LB345=65%,VLOOKUP($AW345,'Jan-2026 rates'!$L:$R,4,0),IF($LB345=40%,VLOOKUP($AW345,'Jan-2026 rates'!$L:$R,5,0),IF($LB345=30%,VLOOKUP($AW345,'Jan-2026 rates'!$L:$R,6,0),IF($LB345=100%,VLOOKUP($AW345,'Jan-2026 rates'!$L:$R,7,0),IF($LB345=60%,VLOOKUP($AW345,'Jan-2026 rates'!$L:$S,8,0),IF($LB345=80%,VLOOKUP($AW345,'Jan-2026 rates'!L:T,9,0),0))))))))</f>
        <v>0</v>
      </c>
      <c r="AZ345" s="412"/>
      <c r="BA345" s="409"/>
      <c r="BB345" s="411">
        <f>IF(BA345=0,0,IF($LB345=70%,VLOOKUP($AW345,'Jan-2026 rates'!$L:$R,4,0),IF($LB345=65%,VLOOKUP($AW345,'Jan-2026 rates'!$L:$R,4,0),IF($LB345=40%,VLOOKUP($AW345,'Jan-2026 rates'!$L:$R,5,0),IF($LB345=30%,VLOOKUP($AW345,'Jan-2026 rates'!$L:$R,6,0),IF($LB345=100%,VLOOKUP($AW345,'Jan-2026 rates'!$L:$R,7,0),IF($LB345=60%,VLOOKUP($AW345,'Jan-2026 rates'!$L:$S,8,0),IF($LB345=80%,VLOOKUP($AW345,'Jan-2026 rates'!L:T,9,0),0))))))))</f>
        <v>0</v>
      </c>
      <c r="BC345" s="413">
        <v>26525000003</v>
      </c>
      <c r="BD345" s="412"/>
      <c r="BE345" s="412"/>
      <c r="BF345" s="413"/>
      <c r="BG345" s="412"/>
      <c r="BH345" s="412"/>
      <c r="BI345" s="412"/>
      <c r="BJ345" s="412"/>
      <c r="BK345" s="409">
        <v>0.3</v>
      </c>
      <c r="BL345" s="398" t="e">
        <f>IF(BK345=0,0,IF(LEN(BC345)=11,_xlfn.XLOOKUP(BC345,'Dispensed Ink Rates'!C:C,'Dispensed Ink Rates'!CS:CS),VLOOKUP(BC345,'Jan-2026 rates'!$E:$F,2,0)))</f>
        <v>#N/A</v>
      </c>
      <c r="BM345" s="409"/>
      <c r="BN345" s="398">
        <f>IF(BM345=0,0,IF(LEN(BD345)=11,_xlfn.XLOOKUP(BD345,'Dispensed Ink Rates'!C:C,'Dispensed Ink Rates'!CS:CS),VLOOKUP(BD345,'Jan-2026 rates'!$E:$F,2,0)))</f>
        <v>0</v>
      </c>
      <c r="BO345" s="409"/>
      <c r="BP345" s="398">
        <f>IF(BO345=0,0,IF(LEN(BE345)=11,_xlfn.XLOOKUP(BE345,'Dispensed Ink Rates'!C:C,'Dispensed Ink Rates'!CS:CS),VLOOKUP(BE345,'Jan-2026 rates'!$E:$F,2,0)))</f>
        <v>0</v>
      </c>
      <c r="BQ345" s="409"/>
      <c r="BR345" s="398">
        <f>IF(BQ345=0,0,IF(LEN(BF345)=11,_xlfn.XLOOKUP(BF345,'Dispensed Ink Rates'!C:C,'Dispensed Ink Rates'!CS:CS),VLOOKUP(BF345,'Jan-2026 rates'!$E:$F,2,0)))</f>
        <v>0</v>
      </c>
      <c r="BS345" s="409"/>
      <c r="BT345" s="398">
        <f>IF(BS345=0,0,IF(LEN(BG345)=11,_xlfn.XLOOKUP(BG345,'Dispensed Ink Rates'!C:C,'Dispensed Ink Rates'!CS:CS),VLOOKUP(BG345,'Jan-2026 rates'!$E:$F,2,0)))</f>
        <v>0</v>
      </c>
      <c r="BU345" s="409"/>
      <c r="BV345" s="398">
        <f>IF(BU345=0,0,IF(LEN(BH345)=11,_xlfn.XLOOKUP(BH345,'Dispensed Ink Rates'!C:C,'Dispensed Ink Rates'!CS:CS),VLOOKUP(BH345,'Jan-2026 rates'!$E:$F,2,0)))</f>
        <v>0</v>
      </c>
      <c r="BW345" s="409"/>
      <c r="BX345" s="398">
        <f>IF(BW345=0,0,IF(LEN(BI345)=11,_xlfn.XLOOKUP(BI345,'Dispensed Ink Rates'!C:C,'Dispensed Ink Rates'!CS:CS),VLOOKUP(BI345,'Jan-2026 rates'!$E:$F,2,0)))</f>
        <v>0</v>
      </c>
      <c r="BY345" s="409"/>
      <c r="BZ345" s="398">
        <f>IF(BY345=0,0,IF(LEN(BJ345)=11,_xlfn.XLOOKUP(BJ345,'Dispensed Ink Rates'!C:C,'Dispensed Ink Rates'!CS:CS),VLOOKUP(BJ345,'Jan-2026 rates'!$E:$F,2,0)))</f>
        <v>0</v>
      </c>
      <c r="CA345" s="409" t="s">
        <v>1443</v>
      </c>
      <c r="CB345" s="409">
        <v>30</v>
      </c>
      <c r="CC345" s="411">
        <f t="shared" si="215"/>
        <v>0</v>
      </c>
      <c r="CD345" s="411">
        <f t="shared" si="216"/>
        <v>8.7146341463414601</v>
      </c>
      <c r="CE345" s="410">
        <f t="shared" si="217"/>
        <v>0</v>
      </c>
      <c r="CF345" s="404" t="s">
        <v>857</v>
      </c>
      <c r="CG345" s="409" t="s">
        <v>4680</v>
      </c>
      <c r="CH345" s="420" t="str">
        <f t="shared" si="185"/>
        <v>FLINTSL - RED</v>
      </c>
      <c r="CI345" s="409">
        <v>25</v>
      </c>
      <c r="CJ345" s="411">
        <f>IF(CI345=0,0,IF($LB345=70%,VLOOKUP($CH345,'Jan-2026 rates'!$L:$R,4,0),IF($LB345=65%,VLOOKUP($CH345,'Jan-2026 rates'!$L:$R,4,0),IF($LB345=40%,VLOOKUP($CH345,'Jan-2026 rates'!$L:$R,5,0),IF($LB345=30%,VLOOKUP($CH345,'Jan-2026 rates'!$L:$R,6,0),IF($LB345=100%,VLOOKUP($CH345,'Jan-2026 rates'!$L:$R,7,0),IF($LB345=60%,VLOOKUP($CH345,'Jan-2026 rates'!$L:$S,8,0),IF($LB345=80%,VLOOKUP($CH345,'Jan-2026 rates'!L:T,9,0),0))))))))</f>
        <v>0</v>
      </c>
      <c r="CK345" s="412"/>
      <c r="CL345" s="409"/>
      <c r="CM345" s="411">
        <f>IF(CL345=0,0,IF($LB345=70%,VLOOKUP($CH345,'Jan-2026 rates'!$L:$R,4,0),IF($LB345=65%,VLOOKUP($CH345,'Jan-2026 rates'!$L:$R,4,0),IF($LB345=40%,VLOOKUP($CH345,'Jan-2026 rates'!$L:$R,5,0),IF($LB345=30%,VLOOKUP($CH345,'Jan-2026 rates'!$L:$R,6,0),IF($LB345=100%,VLOOKUP($CH345,'Jan-2026 rates'!$L:$R,7,0),IF($LB345=60%,VLOOKUP($CH345,'Jan-2026 rates'!$L:$S,8,0),IF($LB345=80%,VLOOKUP($CH345,'Jan-2026 rates'!L:T,9,0),0))))))))</f>
        <v>0</v>
      </c>
      <c r="CN345" s="426" t="s">
        <v>1266</v>
      </c>
      <c r="CO345" s="427">
        <v>26524000028</v>
      </c>
      <c r="CP345" s="426">
        <v>26525000003</v>
      </c>
      <c r="CQ345" s="426">
        <v>26529000011</v>
      </c>
      <c r="CR345" s="428"/>
      <c r="CS345" s="428"/>
      <c r="CT345" s="428"/>
      <c r="CU345" s="428"/>
      <c r="CV345" s="409">
        <v>5</v>
      </c>
      <c r="CW345" s="398">
        <f>IF(CV345=0,0,IF(LEN(CN345)=11,_xlfn.XLOOKUP(CN345,'Dispensed Ink Rates'!C:C,'Dispensed Ink Rates'!CS:CS),VLOOKUP(CN345,'Jan-2026 rates'!$E:$F,2,0)))</f>
        <v>0</v>
      </c>
      <c r="CX345" s="409">
        <v>5</v>
      </c>
      <c r="CY345" s="398" t="e">
        <f>IF(CX345=0,0,IF(LEN(CO345)=11,_xlfn.XLOOKUP(CO345,'Dispensed Ink Rates'!C:C,'Dispensed Ink Rates'!CS:CS),VLOOKUP(CO345,'Jan-2026 rates'!$E:$F,2,0)))</f>
        <v>#N/A</v>
      </c>
      <c r="CZ345" s="409">
        <v>7</v>
      </c>
      <c r="DA345" s="398" t="e">
        <f>IF(CZ345=0,0,IF(LEN(CP345)=11,_xlfn.XLOOKUP(CP345,'Dispensed Ink Rates'!C:C,'Dispensed Ink Rates'!CS:CS),VLOOKUP(CP345,'Jan-2026 rates'!$E:$F,2,0)))</f>
        <v>#N/A</v>
      </c>
      <c r="DB345" s="409">
        <v>10</v>
      </c>
      <c r="DC345" s="398" t="e">
        <f>IF(DB345=0,0,IF(LEN(CQ345)=11,_xlfn.XLOOKUP(CQ345,'Dispensed Ink Rates'!C:C,'Dispensed Ink Rates'!CS:CS),VLOOKUP(CQ345,'Jan-2026 rates'!$E:$F,2,0)))</f>
        <v>#N/A</v>
      </c>
      <c r="DD345" s="409"/>
      <c r="DE345" s="398">
        <f>IF(DD345=0,0,IF(LEN(CR345)=11,_xlfn.XLOOKUP(CR345,'Dispensed Ink Rates'!C:C,'Dispensed Ink Rates'!CS:CS),VLOOKUP(CR345,'Jan-2026 rates'!$E:$F,2,0)))</f>
        <v>0</v>
      </c>
      <c r="DF345" s="409"/>
      <c r="DG345" s="398">
        <f>IF(DF345=0,0,IF(LEN(CS345)=11,_xlfn.XLOOKUP(CS345,'Dispensed Ink Rates'!C:C,'Dispensed Ink Rates'!CS:CS),VLOOKUP(CS345,'Jan-2026 rates'!$E:$F,2,0)))</f>
        <v>0</v>
      </c>
      <c r="DH345" s="409"/>
      <c r="DI345" s="398">
        <f>IF(DH345=0,0,IF(LEN(CT345)=11,_xlfn.XLOOKUP(CT345,'Dispensed Ink Rates'!C:C,'Dispensed Ink Rates'!CS:CS),VLOOKUP(CT345,'Jan-2026 rates'!$E:$F,2,0)))</f>
        <v>0</v>
      </c>
      <c r="DJ345" s="409"/>
      <c r="DK345" s="398">
        <f>IF(DJ345=0,0,IF(LEN(CU345)=11,_xlfn.XLOOKUP(CU345,'Dispensed Ink Rates'!C:C,'Dispensed Ink Rates'!CS:CS),VLOOKUP(CU345,'Jan-2026 rates'!$E:$F,2,0)))</f>
        <v>0</v>
      </c>
      <c r="DL345" s="409" t="s">
        <v>1443</v>
      </c>
      <c r="DM345" s="409">
        <v>33</v>
      </c>
      <c r="DN345" s="411">
        <f t="shared" si="218"/>
        <v>0</v>
      </c>
      <c r="DO345" s="411">
        <f t="shared" si="219"/>
        <v>36.073170731707322</v>
      </c>
      <c r="DP345" s="410">
        <f t="shared" si="220"/>
        <v>0</v>
      </c>
      <c r="DQ345" s="405" t="s">
        <v>855</v>
      </c>
      <c r="DR345" s="409" t="s">
        <v>4365</v>
      </c>
      <c r="DS345" s="420" t="str">
        <f t="shared" si="186"/>
        <v>FLINTSL - CYAN</v>
      </c>
      <c r="DT345" s="409">
        <v>26</v>
      </c>
      <c r="DU345" s="411">
        <f>IF(DT345=0,0,IF($LB345=70%,VLOOKUP($DS345,'Jan-2026 rates'!$L:$R,4,0),IF($LB345=65%,VLOOKUP($DS345,'Jan-2026 rates'!$L:$R,4,0),IF($LB345=40%,VLOOKUP($DS345,'Jan-2026 rates'!$L:$R,5,0),IF($LB345=30%,VLOOKUP($DS345,'Jan-2026 rates'!$L:$R,6,0),IF($LB345=100%,VLOOKUP($DS345,'Jan-2026 rates'!$L:$R,7,0),IF($LB345=60%,VLOOKUP($DS345,'Jan-2026 rates'!$L:$S,8,0),IF($LB345=80%,VLOOKUP($DS345,'Jan-2026 rates'!L:T,9,0),0))))))))</f>
        <v>0</v>
      </c>
      <c r="DV345" s="412"/>
      <c r="DW345" s="409"/>
      <c r="DX345" s="411">
        <f>IF(DW345=0,0,IF($LB345=70%,VLOOKUP($DS345,'Jan-2026 rates'!$L:$R,4,0),IF($LB345=65%,VLOOKUP($DS345,'Jan-2026 rates'!$L:$R,4,0),IF($LB345=40%,VLOOKUP($DS345,'Jan-2026 rates'!$L:$R,5,0),IF($LB345=30%,VLOOKUP($DS345,'Jan-2026 rates'!$L:$R,6,0),IF($LB345=100%,VLOOKUP($DS345,'Jan-2026 rates'!$L:$R,7,0),IF($LB345=60%,VLOOKUP($DS345,'Jan-2026 rates'!$L:$S,8,0),IF($LB345=80%,VLOOKUP($DS345,'Jan-2026 rates'!L:T,9,0),0))))))))</f>
        <v>0</v>
      </c>
      <c r="DY345" s="413">
        <v>26523000026</v>
      </c>
      <c r="DZ345" s="413"/>
      <c r="EA345" s="412"/>
      <c r="EB345" s="412"/>
      <c r="EC345" s="412"/>
      <c r="ED345" s="412"/>
      <c r="EE345" s="412"/>
      <c r="EF345" s="412"/>
      <c r="EG345" s="409">
        <f>4+1</f>
        <v>5</v>
      </c>
      <c r="EH345" s="398" t="e">
        <f>IF(EG345=0,0,IF(LEN(DY345)=11,_xlfn.XLOOKUP(DY345,'Dispensed Ink Rates'!C:C,'Dispensed Ink Rates'!CS:CS),VLOOKUP(DY345,'Jan-2026 rates'!$E:$F,2,0)))</f>
        <v>#N/A</v>
      </c>
      <c r="EI345" s="409"/>
      <c r="EJ345" s="398">
        <f>IF(EI345=0,0,IF(LEN(DZ345)=11,_xlfn.XLOOKUP(DZ345,'Dispensed Ink Rates'!C:C,'Dispensed Ink Rates'!CS:CS),VLOOKUP(DZ345,'Jan-2026 rates'!$E:$F,2,0)))</f>
        <v>0</v>
      </c>
      <c r="EK345" s="409"/>
      <c r="EL345" s="398">
        <f>IF(EK345=0,0,IF(LEN(EA345)=11,_xlfn.XLOOKUP(EA345,'Dispensed Ink Rates'!C:C,'Dispensed Ink Rates'!CS:CS),VLOOKUP(EA345,'Jan-2026 rates'!$E:$F,2,0)))</f>
        <v>0</v>
      </c>
      <c r="EM345" s="409"/>
      <c r="EN345" s="398">
        <f>IF(EM345=0,0,IF(LEN(EB345)=11,_xlfn.XLOOKUP(EB345,'Dispensed Ink Rates'!C:C,'Dispensed Ink Rates'!CS:CS),VLOOKUP(EB345,'Jan-2026 rates'!$E:$F,2,0)))</f>
        <v>0</v>
      </c>
      <c r="EO345" s="409"/>
      <c r="EP345" s="398">
        <f>IF(EO345=0,0,IF(LEN(EC345)=11,_xlfn.XLOOKUP(EC345,'Dispensed Ink Rates'!C:C,'Dispensed Ink Rates'!CS:CS),VLOOKUP(EC345,'Jan-2026 rates'!$E:$F,2,0)))</f>
        <v>0</v>
      </c>
      <c r="EQ345" s="409"/>
      <c r="ER345" s="398">
        <f>IF(EQ345=0,0,IF(LEN(ED345)=11,_xlfn.XLOOKUP(ED345,'Dispensed Ink Rates'!C:C,'Dispensed Ink Rates'!CS:CS),VLOOKUP(ED345,'Jan-2026 rates'!$E:$F,2,0)))</f>
        <v>0</v>
      </c>
      <c r="ES345" s="409"/>
      <c r="ET345" s="398">
        <f>IF(ES345=0,0,IF(LEN(EE345)=11,_xlfn.XLOOKUP(EE345,'Dispensed Ink Rates'!C:C,'Dispensed Ink Rates'!CS:CS),VLOOKUP(EE345,'Jan-2026 rates'!$E:$F,2,0)))</f>
        <v>0</v>
      </c>
      <c r="EU345" s="409"/>
      <c r="EV345" s="398">
        <f>IF(EU345=0,0,IF(LEN(EF345)=11,_xlfn.XLOOKUP(EF345,'Dispensed Ink Rates'!C:C,'Dispensed Ink Rates'!CS:CS),VLOOKUP(EF345,'Jan-2026 rates'!$E:$F,2,0)))</f>
        <v>0</v>
      </c>
      <c r="EW345" s="409" t="s">
        <v>1443</v>
      </c>
      <c r="EX345" s="409">
        <v>30</v>
      </c>
      <c r="EY345" s="411">
        <f t="shared" si="221"/>
        <v>0</v>
      </c>
      <c r="EZ345" s="411">
        <f t="shared" si="222"/>
        <v>4.4146341463414629</v>
      </c>
      <c r="FA345" s="410">
        <f t="shared" si="223"/>
        <v>0</v>
      </c>
      <c r="FB345" s="405" t="s">
        <v>544</v>
      </c>
      <c r="FC345" s="409" t="s">
        <v>4681</v>
      </c>
      <c r="FD345" s="420" t="str">
        <f t="shared" si="187"/>
        <v>FLINTSL - MAGENTA</v>
      </c>
      <c r="FE345" s="409">
        <v>40</v>
      </c>
      <c r="FF345" s="411">
        <f>IF(FE345=0,0,IF($LB345=70%,VLOOKUP($FD345,'Jan-2026 rates'!$L:$R,4,0),IF($LB345=65%,VLOOKUP($FD345,'Jan-2026 rates'!$L:$R,4,0),IF($LB345=40%,VLOOKUP($FD345,'Jan-2026 rates'!$L:$R,5,0),IF($LB345=30%,VLOOKUP($FD345,'Jan-2026 rates'!$L:$R,6,0),IF($LB345=100%,VLOOKUP($FD345,'Jan-2026 rates'!$L:$R,7,0),IF($LB345=60%,VLOOKUP($FD345,'Jan-2026 rates'!$L:$S,8,0),IF($LB345=80%,VLOOKUP($FD345,'Jan-2026 rates'!L:T,9,0),0))))))))</f>
        <v>0</v>
      </c>
      <c r="FG345" s="412"/>
      <c r="FH345" s="409"/>
      <c r="FI345" s="411">
        <f>IF(FH345=0,0,IF($LB345=70%,VLOOKUP($FD345,'Jan-2026 rates'!$L:$R,4,0),IF($LB345=65%,VLOOKUP($FD345,'Jan-2026 rates'!$L:$R,4,0),IF($LB345=40%,VLOOKUP($FD345,'Jan-2026 rates'!$L:$R,5,0),IF($LB345=30%,VLOOKUP($FD345,'Jan-2026 rates'!$L:$R,6,0),IF($LB345=100%,VLOOKUP($FD345,'Jan-2026 rates'!$L:$R,7,0),IF($LB345=60%,VLOOKUP($FD345,'Jan-2026 rates'!$L:$S,8,0),IF($LB345=80%,VLOOKUP($FD345,'Jan-2026 rates'!L:T,9,0),0))))))))</f>
        <v>0</v>
      </c>
      <c r="FJ345" s="413">
        <v>26524000028</v>
      </c>
      <c r="FK345" s="413"/>
      <c r="FL345" s="413"/>
      <c r="FM345" s="412"/>
      <c r="FN345" s="412"/>
      <c r="FO345" s="412"/>
      <c r="FP345" s="412"/>
      <c r="FQ345" s="412"/>
      <c r="FR345" s="409">
        <v>2</v>
      </c>
      <c r="FS345" s="398" t="e">
        <f>IF(FR345=0,0,IF(LEN(FJ345)=11,_xlfn.XLOOKUP(FJ345,'Dispensed Ink Rates'!C:C,'Dispensed Ink Rates'!CS:CS),VLOOKUP(FJ345,'Jan-2026 rates'!$E:$F,2,0)))</f>
        <v>#N/A</v>
      </c>
      <c r="FT345" s="409"/>
      <c r="FU345" s="398">
        <f>IF(FT345=0,0,IF(LEN(FK345)=11,_xlfn.XLOOKUP(FK345,'Dispensed Ink Rates'!C:C,'Dispensed Ink Rates'!CS:CS),VLOOKUP(FK345,'Jan-2026 rates'!$E:$F,2,0)))</f>
        <v>0</v>
      </c>
      <c r="FV345" s="409"/>
      <c r="FW345" s="398">
        <f>IF(FV345=0,0,IF(LEN(FL345)=11,_xlfn.XLOOKUP(FL345,'Dispensed Ink Rates'!C:C,'Dispensed Ink Rates'!CS:CS),VLOOKUP(FL345,'Jan-2026 rates'!$E:$F,2,0)))</f>
        <v>0</v>
      </c>
      <c r="FX345" s="409"/>
      <c r="FY345" s="398">
        <f>IF(FX345=0,0,IF(LEN(FM345)=11,_xlfn.XLOOKUP(FM345,'Dispensed Ink Rates'!C:C,'Dispensed Ink Rates'!CS:CS),VLOOKUP(FM345,'Jan-2026 rates'!$E:$F,2,0)))</f>
        <v>0</v>
      </c>
      <c r="FZ345" s="409"/>
      <c r="GA345" s="398">
        <f>IF(FZ345=0,0,IF(LEN(FN345)=11,_xlfn.XLOOKUP(FN345,'Dispensed Ink Rates'!C:C,'Dispensed Ink Rates'!CS:CS),VLOOKUP(FN345,'Jan-2026 rates'!$E:$F,2,0)))</f>
        <v>0</v>
      </c>
      <c r="GB345" s="409"/>
      <c r="GC345" s="398">
        <f>IF(GB345=0,0,IF(LEN(FO345)=11,_xlfn.XLOOKUP(FO345,'Dispensed Ink Rates'!C:C,'Dispensed Ink Rates'!CS:CS),VLOOKUP(FO345,'Jan-2026 rates'!$E:$F,2,0)))</f>
        <v>0</v>
      </c>
      <c r="GD345" s="409"/>
      <c r="GE345" s="398">
        <f>IF(GD345=0,0,IF(LEN(FP345)=11,_xlfn.XLOOKUP(FP345,'Dispensed Ink Rates'!C:C,'Dispensed Ink Rates'!CS:CS),VLOOKUP(FP345,'Jan-2026 rates'!$E:$F,2,0)))</f>
        <v>0</v>
      </c>
      <c r="GF345" s="409"/>
      <c r="GG345" s="398">
        <f>IF(GF345=0,0,IF(LEN(FQ345)=11,_xlfn.XLOOKUP(FQ345,'Dispensed Ink Rates'!C:C,'Dispensed Ink Rates'!CS:CS),VLOOKUP(FQ345,'Jan-2026 rates'!$E:$F,2,0)))</f>
        <v>0</v>
      </c>
      <c r="GH345" s="409" t="s">
        <v>1443</v>
      </c>
      <c r="GI345" s="409">
        <v>38</v>
      </c>
      <c r="GJ345" s="411">
        <f t="shared" si="224"/>
        <v>0</v>
      </c>
      <c r="GK345" s="411">
        <f t="shared" si="225"/>
        <v>9.1219512195121979</v>
      </c>
      <c r="GL345" s="410">
        <f t="shared" si="226"/>
        <v>0</v>
      </c>
      <c r="GM345" s="405" t="s">
        <v>545</v>
      </c>
      <c r="GN345" s="409" t="s">
        <v>4682</v>
      </c>
      <c r="GO345" s="420" t="str">
        <f t="shared" si="188"/>
        <v>FLINTSL - YELLOW</v>
      </c>
      <c r="GP345" s="409">
        <v>30</v>
      </c>
      <c r="GQ345" s="411">
        <f>IF(GP345=0,0,IF($LB345=70%,VLOOKUP($GO345,'Jan-2026 rates'!$L:$R,4,0),IF($LB345=65%,VLOOKUP($GO345,'Jan-2026 rates'!$L:$R,4,0),IF($LB345=40%,VLOOKUP($GO345,'Jan-2026 rates'!$L:$R,5,0),IF($LB345=30%,VLOOKUP($GO345,'Jan-2026 rates'!$L:$R,6,0),IF($LB345=100%,VLOOKUP($GO345,'Jan-2026 rates'!$L:$R,7,0),IF($LB345=60%,VLOOKUP($GO345,'Jan-2026 rates'!$L:$S,8,0),IF($LB345=80%,VLOOKUP($GO345,'Jan-2026 rates'!L:T,9,0),0))))))))</f>
        <v>0</v>
      </c>
      <c r="GR345" s="412"/>
      <c r="GS345" s="409"/>
      <c r="GT345" s="411">
        <f>IF(GS345=0,0,IF($LB345=70%,VLOOKUP($GO345,'Jan-2026 rates'!$L:$R,4,0),IF($LB345=65%,VLOOKUP($GO345,'Jan-2026 rates'!$L:$R,4,0),IF($LB345=40%,VLOOKUP($GO345,'Jan-2026 rates'!$L:$R,5,0),IF($LB345=30%,VLOOKUP($GO345,'Jan-2026 rates'!$L:$R,6,0),IF($LB345=100%,VLOOKUP($GO345,'Jan-2026 rates'!$L:$R,7,0),IF($LB345=60%,VLOOKUP($GO345,'Jan-2026 rates'!$L:$S,8,0),IF($LB345=80%,VLOOKUP($GO345,'Jan-2026 rates'!L:T,9,0),0))))))))</f>
        <v>0</v>
      </c>
      <c r="GU345" s="413"/>
      <c r="GV345" s="413"/>
      <c r="GW345" s="412"/>
      <c r="GX345" s="412"/>
      <c r="GY345" s="412"/>
      <c r="GZ345" s="412"/>
      <c r="HA345" s="412"/>
      <c r="HB345" s="412"/>
      <c r="HC345" s="409"/>
      <c r="HD345" s="398">
        <f>IF(HC345=0,0,IF(LEN(GU345)=11,_xlfn.XLOOKUP(GU345,'Dispensed Ink Rates'!C:C,'Dispensed Ink Rates'!CS:CS),VLOOKUP(GU345,'Jan-2026 rates'!$E:$F,2,0)))</f>
        <v>0</v>
      </c>
      <c r="HE345" s="409"/>
      <c r="HF345" s="398">
        <f>IF(HE345=0,0,IF(LEN(GV345)=11,_xlfn.XLOOKUP(GV345,'Dispensed Ink Rates'!C:C,'Dispensed Ink Rates'!CS:CS),VLOOKUP(GV345,'Jan-2026 rates'!$E:$F,2,0)))</f>
        <v>0</v>
      </c>
      <c r="HG345" s="409"/>
      <c r="HH345" s="398">
        <f>IF(HG345=0,0,IF(LEN(GW345)=11,_xlfn.XLOOKUP(GW345,'Dispensed Ink Rates'!C:C,'Dispensed Ink Rates'!CS:CS),VLOOKUP(GW345,'Jan-2026 rates'!$E:$F,2,0)))</f>
        <v>0</v>
      </c>
      <c r="HI345" s="409"/>
      <c r="HJ345" s="398">
        <f>IF(HI345=0,0,IF(LEN(GX345)=11,_xlfn.XLOOKUP(GX345,'Dispensed Ink Rates'!C:C,'Dispensed Ink Rates'!CS:CS),VLOOKUP(GX345,'Jan-2026 rates'!$E:$F,2,0)))</f>
        <v>0</v>
      </c>
      <c r="HK345" s="409"/>
      <c r="HL345" s="398">
        <f>IF(HK345=0,0,IF(LEN(GY345)=11,_xlfn.XLOOKUP(GY345,'Dispensed Ink Rates'!C:C,'Dispensed Ink Rates'!CS:CS),VLOOKUP(GY345,'Jan-2026 rates'!$E:$F,2,0)))</f>
        <v>0</v>
      </c>
      <c r="HM345" s="409"/>
      <c r="HN345" s="398">
        <f>IF(HM345=0,0,IF(LEN(GZ345)=11,_xlfn.XLOOKUP(GZ345,'Dispensed Ink Rates'!C:C,'Dispensed Ink Rates'!CS:CS),VLOOKUP(GZ345,'Jan-2026 rates'!$E:$F,2,0)))</f>
        <v>0</v>
      </c>
      <c r="HO345" s="409"/>
      <c r="HP345" s="398">
        <f>IF(HO345=0,0,IF(LEN(HA345)=11,_xlfn.XLOOKUP(HA345,'Dispensed Ink Rates'!C:C,'Dispensed Ink Rates'!CS:CS),VLOOKUP(HA345,'Jan-2026 rates'!$E:$F,2,0)))</f>
        <v>0</v>
      </c>
      <c r="HQ345" s="409"/>
      <c r="HR345" s="398">
        <f>IF(HQ345=0,0,IF(LEN(HB345)=11,_xlfn.XLOOKUP(HB345,'Dispensed Ink Rates'!C:C,'Dispensed Ink Rates'!CS:CS),VLOOKUP(HB345,'Jan-2026 rates'!$E:$F,2,0)))</f>
        <v>0</v>
      </c>
      <c r="HS345" s="409" t="s">
        <v>1443</v>
      </c>
      <c r="HT345" s="409">
        <v>29</v>
      </c>
      <c r="HU345" s="411">
        <f t="shared" si="227"/>
        <v>0</v>
      </c>
      <c r="HV345" s="411">
        <f t="shared" si="228"/>
        <v>4.4146341463414629</v>
      </c>
      <c r="HW345" s="414">
        <f t="shared" si="229"/>
        <v>0</v>
      </c>
      <c r="HX345" s="405" t="s">
        <v>856</v>
      </c>
      <c r="HY345" s="409" t="s">
        <v>4683</v>
      </c>
      <c r="HZ345" s="420" t="str">
        <f t="shared" si="189"/>
        <v>FLINTSL - WHITE</v>
      </c>
      <c r="IA345" s="409">
        <v>30</v>
      </c>
      <c r="IB345" s="411">
        <f>IF(IA345=0,0,IF($LB345=70%,VLOOKUP($HZ345,'Jan-2026 rates'!$L:$R,4,0),IF($LB345=65%,VLOOKUP($HZ345,'Jan-2026 rates'!$L:$R,4,0),IF($LB345=40%,VLOOKUP($HZ345,'Jan-2026 rates'!$L:$R,5,0),IF($LB345=30%,VLOOKUP($HZ345,'Jan-2026 rates'!$L:$R,6,0),IF($LB345=100%,VLOOKUP($HZ345,'Jan-2026 rates'!$L:$R,7,0),IF($LB345=60%,VLOOKUP($HZ345,'Jan-2026 rates'!$L:$S,8,0),IF($LB345=80%,VLOOKUP($HZ345,'Jan-2026 rates'!L:T,9,0),0))))))))</f>
        <v>0</v>
      </c>
      <c r="IC345" s="412"/>
      <c r="ID345" s="409"/>
      <c r="IE345" s="411">
        <f>IF(ID345=0,0,IF($LB345=70%,VLOOKUP($HZ345,'Jan-2026 rates'!$L:$R,4,0),IF($LB345=65%,VLOOKUP($HZ345,'Jan-2026 rates'!$L:$R,4,0),IF($LB345=40%,VLOOKUP($HZ345,'Jan-2026 rates'!$L:$R,5,0),IF($LB345=30%,VLOOKUP($HZ345,'Jan-2026 rates'!$L:$R,6,0),IF($LB345=100%,VLOOKUP($HZ345,'Jan-2026 rates'!$L:$R,7,0),IF($LB345=60%,VLOOKUP($HZ345,'Jan-2026 rates'!$L:$S,8,0),IF($LB345=80%,VLOOKUP($HZ345,'Jan-2026 rates'!L:T,9,0),0))))))))</f>
        <v>0</v>
      </c>
      <c r="IF345" s="412" t="s">
        <v>484</v>
      </c>
      <c r="IG345" s="413"/>
      <c r="IH345" s="412"/>
      <c r="II345" s="412"/>
      <c r="IJ345" s="412"/>
      <c r="IK345" s="412"/>
      <c r="IL345" s="412"/>
      <c r="IM345" s="412"/>
      <c r="IN345" s="409">
        <v>30</v>
      </c>
      <c r="IO345" s="398">
        <f>IF(IN345=0,0,IF(LEN(IF345)=11,_xlfn.XLOOKUP(IF345,'Dispensed Ink Rates'!C:C,'Dispensed Ink Rates'!CS:CS),VLOOKUP(IF345,'Jan-2026 rates'!$E:$F,2,0)))</f>
        <v>0</v>
      </c>
      <c r="IP345" s="409"/>
      <c r="IQ345" s="398">
        <f>IF(IP345=0,0,IF(LEN(IG345)=11,_xlfn.XLOOKUP(IG345,'Dispensed Ink Rates'!C:C,'Dispensed Ink Rates'!CS:CS),VLOOKUP(IG345,'Jan-2026 rates'!$E:$F,2,0)))</f>
        <v>0</v>
      </c>
      <c r="IR345" s="409"/>
      <c r="IS345" s="398">
        <f>IF(IR345=0,0,IF(LEN(IH345)=11,_xlfn.XLOOKUP(IH345,'Dispensed Ink Rates'!C:C,'Dispensed Ink Rates'!CS:CS),VLOOKUP(IH345,'Jan-2026 rates'!$E:$F,2,0)))</f>
        <v>0</v>
      </c>
      <c r="IT345" s="409"/>
      <c r="IU345" s="398">
        <f>IF(IT345=0,0,IF(LEN(II345)=11,_xlfn.XLOOKUP(II345,'Dispensed Ink Rates'!C:C,'Dispensed Ink Rates'!CS:CS),VLOOKUP(II345,'Jan-2026 rates'!$E:$F,2,0)))</f>
        <v>0</v>
      </c>
      <c r="IV345" s="409"/>
      <c r="IW345" s="398">
        <f>IF(IV345=0,0,IF(LEN(IJ345)=11,_xlfn.XLOOKUP(IJ345,'Dispensed Ink Rates'!C:C,'Dispensed Ink Rates'!CS:CS),VLOOKUP(IJ345,'Jan-2026 rates'!$E:$F,2,0)))</f>
        <v>0</v>
      </c>
      <c r="IX345" s="409"/>
      <c r="IY345" s="398">
        <f>IF(IX345=0,0,IF(LEN(IK345)=11,_xlfn.XLOOKUP(IK345,'Dispensed Ink Rates'!C:C,'Dispensed Ink Rates'!CS:CS),VLOOKUP(IK345,'Jan-2026 rates'!$E:$F,2,0)))</f>
        <v>0</v>
      </c>
      <c r="IZ345" s="409"/>
      <c r="JA345" s="398">
        <f>IF(IZ345=0,0,IF(LEN(IL345)=11,_xlfn.XLOOKUP(IL345,'Dispensed Ink Rates'!C:C,'Dispensed Ink Rates'!CS:CS),VLOOKUP(IL345,'Jan-2026 rates'!$E:$F,2,0)))</f>
        <v>0</v>
      </c>
      <c r="JB345" s="409"/>
      <c r="JC345" s="398">
        <f>IF(JB345=0,0,IF(LEN(IM345)=11,_xlfn.XLOOKUP(IM345,'Dispensed Ink Rates'!C:C,'Dispensed Ink Rates'!CS:CS),VLOOKUP(IM345,'Jan-2026 rates'!$E:$F,2,0)))</f>
        <v>0</v>
      </c>
      <c r="JD345" s="409" t="s">
        <v>1443</v>
      </c>
      <c r="JE345" s="409">
        <v>30</v>
      </c>
      <c r="JF345" s="411">
        <f t="shared" si="230"/>
        <v>0</v>
      </c>
      <c r="JG345" s="411">
        <f t="shared" si="231"/>
        <v>64.146341463414643</v>
      </c>
      <c r="JH345" s="410">
        <f t="shared" si="232"/>
        <v>0</v>
      </c>
      <c r="JI345" s="405"/>
      <c r="JJ345" s="409"/>
      <c r="JK345" s="420" t="str">
        <f t="shared" si="190"/>
        <v xml:space="preserve"> - </v>
      </c>
      <c r="JL345" s="409"/>
      <c r="JM345" s="411">
        <f>IF(JL345=0,0,IF($LB345=70%,VLOOKUP($JK345,'Jan-2026 rates'!$L:$R,4,0),IF($LB345=65%,VLOOKUP($JK345,'Jan-2026 rates'!$L:$R,4,0),IF($LB345=40%,VLOOKUP($JK345,'Jan-2026 rates'!$L:$R,5,0),IF($LB345=30%,VLOOKUP($JK345,'Jan-2026 rates'!$L:$R,6,0),IF($LB345=100%,VLOOKUP($JK345,'Jan-2026 rates'!$L:$R,7,0),IF($LB345=60%,VLOOKUP($JK345,'Jan-2026 rates'!$L:$S,8,0),IF($LB345=80%,VLOOKUP($JK345,'Jan-2026 rates'!L:T,9,0),0))))))))</f>
        <v>0</v>
      </c>
      <c r="JN345" s="412"/>
      <c r="JO345" s="409"/>
      <c r="JP345" s="411">
        <f>IF(JO345=0,0,IF($LB345=70%,VLOOKUP($JK345,'Jan-2026 rates'!$L:$R,4,0),IF($LB345=65%,VLOOKUP($JK345,'Jan-2026 rates'!$L:$R,4,0),IF($LB345=40%,VLOOKUP($JK345,'Jan-2026 rates'!$L:$R,5,0),IF($LB345=30%,VLOOKUP($JK345,'Jan-2026 rates'!$L:$R,6,0),IF($LB345=100%,VLOOKUP($JK345,'Jan-2026 rates'!$L:$R,7,0),IF($LB345=60%,VLOOKUP($JK345,'Jan-2026 rates'!$L:$S,8,0),IF($LB345=80%,VLOOKUP($JK345,'Jan-2026 rates'!L:T,9,0),0))))))))</f>
        <v>0</v>
      </c>
      <c r="JQ345" s="413"/>
      <c r="JR345" s="412"/>
      <c r="JS345" s="413"/>
      <c r="JT345" s="413"/>
      <c r="JU345" s="412"/>
      <c r="JV345" s="412"/>
      <c r="JW345" s="412"/>
      <c r="JX345" s="412"/>
      <c r="JY345" s="409"/>
      <c r="JZ345" s="398">
        <f>IF(JY345=0,0,IF(LEN(JQ345)=11,_xlfn.XLOOKUP(JQ345,'Dispensed Ink Rates'!C:C,'Dispensed Ink Rates'!CS:CS),VLOOKUP(JQ345,'Jan-2026 rates'!$E:$F,2,0)))</f>
        <v>0</v>
      </c>
      <c r="KA345" s="409"/>
      <c r="KB345" s="398">
        <f>IF(KA345=0,0,IF(LEN(JR345)=11,_xlfn.XLOOKUP(JR345,'Dispensed Ink Rates'!C:C,'Dispensed Ink Rates'!CS:CS),VLOOKUP(JR345,'Jan-2026 rates'!$E:$F,2,0)))</f>
        <v>0</v>
      </c>
      <c r="KC345" s="409"/>
      <c r="KD345" s="398">
        <f>IF(KC345=0,0,IF(LEN(JS345)=11,_xlfn.XLOOKUP(JS345,'Dispensed Ink Rates'!C:C,'Dispensed Ink Rates'!CS:CS),VLOOKUP(JS345,'Jan-2026 rates'!$E:$F,2,0)))</f>
        <v>0</v>
      </c>
      <c r="KE345" s="409"/>
      <c r="KF345" s="398">
        <f>IF(KE345=0,0,IF(LEN(JT345)=11,_xlfn.XLOOKUP(JT345,'Dispensed Ink Rates'!C:C,'Dispensed Ink Rates'!CS:CS),VLOOKUP(JT345,'Jan-2026 rates'!$E:$F,2,0)))</f>
        <v>0</v>
      </c>
      <c r="KG345" s="409"/>
      <c r="KH345" s="398">
        <f>IF(KG345=0,0,IF(LEN(JU345)=11,_xlfn.XLOOKUP(JU345,'Dispensed Ink Rates'!C:C,'Dispensed Ink Rates'!CS:CS),VLOOKUP(JU345,'Jan-2026 rates'!$E:$F,2,0)))</f>
        <v>0</v>
      </c>
      <c r="KI345" s="409"/>
      <c r="KJ345" s="398">
        <f>IF(KI345=0,0,IF(LEN(JV345)=11,_xlfn.XLOOKUP(JV345,'Dispensed Ink Rates'!C:C,'Dispensed Ink Rates'!CS:CS),VLOOKUP(JV345,'Jan-2026 rates'!$E:$F,2,0)))</f>
        <v>0</v>
      </c>
      <c r="KK345" s="409"/>
      <c r="KL345" s="398">
        <f>IF(KK345=0,0,IF(LEN(JW345)=11,_xlfn.XLOOKUP(JW345,'Dispensed Ink Rates'!C:C,'Dispensed Ink Rates'!CS:CS),VLOOKUP(JW345,'Jan-2026 rates'!$E:$F,2,0)))</f>
        <v>0</v>
      </c>
      <c r="KM345" s="428"/>
      <c r="KN345" s="398">
        <f>IF(KM345=0,0,IF(LEN(JX345)=11,_xlfn.XLOOKUP(JX345,'Dispensed Ink Rates'!C:C,'Dispensed Ink Rates'!CS:CS),VLOOKUP(JX345,'Jan-2026 rates'!$E:$F,2,0)))</f>
        <v>0</v>
      </c>
      <c r="KO345" s="409"/>
      <c r="KP345" s="409"/>
      <c r="KQ345" s="411">
        <f t="shared" si="233"/>
        <v>0</v>
      </c>
      <c r="KR345" s="411">
        <f t="shared" si="234"/>
        <v>0</v>
      </c>
      <c r="KS345" s="410">
        <f t="shared" si="235"/>
        <v>0</v>
      </c>
      <c r="KT345" s="409">
        <v>2</v>
      </c>
      <c r="KU345" s="409">
        <v>2</v>
      </c>
      <c r="KV345" s="409">
        <v>10</v>
      </c>
      <c r="KW345" s="409">
        <v>2</v>
      </c>
      <c r="KX345" s="409">
        <v>3</v>
      </c>
      <c r="KY345" s="409">
        <v>2</v>
      </c>
      <c r="KZ345" s="409">
        <v>20</v>
      </c>
      <c r="LA345" s="409">
        <v>0</v>
      </c>
      <c r="LB345" s="415">
        <v>0.8</v>
      </c>
      <c r="LC345" s="415">
        <v>0.2</v>
      </c>
      <c r="LD345" s="424"/>
      <c r="LE345" s="415"/>
      <c r="LF345" s="415"/>
      <c r="LG345" s="409">
        <v>0</v>
      </c>
      <c r="LH345" s="409">
        <f>20+20+24+6</f>
        <v>70</v>
      </c>
      <c r="LI345" s="409">
        <v>0</v>
      </c>
      <c r="LJ345" s="409">
        <v>0</v>
      </c>
      <c r="LK345" s="416">
        <f t="shared" si="191"/>
        <v>70</v>
      </c>
      <c r="LL345" s="416">
        <f t="shared" si="237"/>
        <v>70</v>
      </c>
      <c r="LM345" s="417">
        <f t="shared" si="193"/>
        <v>56</v>
      </c>
      <c r="LN345" s="417">
        <f>VLOOKUP($LM$8,'Jan-2026 rates'!$H:$I,2,0)</f>
        <v>0</v>
      </c>
      <c r="LO345" s="417">
        <f t="shared" si="194"/>
        <v>14</v>
      </c>
      <c r="LP345" s="417">
        <f>VLOOKUP($LO$8,'Jan-2026 rates'!$H:$I,2,0)</f>
        <v>0</v>
      </c>
      <c r="LQ345" s="417">
        <f t="shared" si="195"/>
        <v>0</v>
      </c>
      <c r="LR345" s="417">
        <f>VLOOKUP($LQ$8,'Jan-2026 rates'!$H:$I,2,0)</f>
        <v>0</v>
      </c>
      <c r="LS345" s="417">
        <f t="shared" si="196"/>
        <v>0</v>
      </c>
      <c r="LT345" s="417">
        <f>VLOOKUP($LS$8,'Jan-2026 rates'!$H:$I,2,0)</f>
        <v>0</v>
      </c>
      <c r="LU345" s="417">
        <f t="shared" si="197"/>
        <v>0</v>
      </c>
      <c r="LV345" s="417">
        <f>VLOOKUP($LU$8,'Jan-2026 rates'!$H:$I,2,0)</f>
        <v>0</v>
      </c>
      <c r="LW345" s="417">
        <f t="shared" si="198"/>
        <v>0</v>
      </c>
      <c r="LX345" s="417">
        <f t="shared" si="199"/>
        <v>0</v>
      </c>
      <c r="LY345" s="418">
        <f t="shared" si="200"/>
        <v>0</v>
      </c>
      <c r="LZ345" s="417"/>
      <c r="MA345" s="435">
        <f t="shared" si="201"/>
        <v>66.3</v>
      </c>
      <c r="MB345" s="282">
        <f t="shared" si="202"/>
        <v>134.30000000000001</v>
      </c>
      <c r="MC345" s="283">
        <v>188</v>
      </c>
      <c r="MD345" s="284" t="str">
        <f t="shared" si="203"/>
        <v>FLINTSLFLINTSLFLINTSLFLINTSLFLINTSLFLINTSLFLINTSL</v>
      </c>
      <c r="ME345" s="293" t="str">
        <f t="shared" si="204"/>
        <v>+</v>
      </c>
      <c r="MF345" s="293" t="str">
        <f t="shared" si="205"/>
        <v>+</v>
      </c>
      <c r="MG345" s="293" t="str">
        <f t="shared" si="206"/>
        <v>+</v>
      </c>
      <c r="MH345" s="293" t="str">
        <f t="shared" si="207"/>
        <v>+</v>
      </c>
      <c r="MI345" s="293" t="str">
        <f t="shared" si="208"/>
        <v>+</v>
      </c>
      <c r="MJ345" s="293" t="str">
        <f t="shared" si="209"/>
        <v>+</v>
      </c>
      <c r="MK345" s="293" t="str">
        <f t="shared" si="210"/>
        <v>+</v>
      </c>
      <c r="ML345" s="293" t="str">
        <f t="shared" si="211"/>
        <v>NIL</v>
      </c>
      <c r="MM345" s="3" t="b">
        <f t="array" ref="MM345">OR(ME345:ML345="-")</f>
        <v>0</v>
      </c>
      <c r="MO345" s="401">
        <f t="shared" si="238"/>
        <v>67.48743718592965</v>
      </c>
      <c r="MP345" s="286"/>
      <c r="MR345" s="402">
        <f t="shared" si="239"/>
        <v>1.508988764044944E-2</v>
      </c>
      <c r="MS345" s="400">
        <f t="shared" si="240"/>
        <v>0</v>
      </c>
      <c r="MT345" s="285"/>
      <c r="NH345" s="361"/>
      <c r="NJ345" s="282"/>
    </row>
    <row r="346" spans="1:374" ht="16.5">
      <c r="A346" s="403">
        <v>46046</v>
      </c>
      <c r="B346" s="404" t="s">
        <v>1018</v>
      </c>
      <c r="C346" s="405" t="s">
        <v>4684</v>
      </c>
      <c r="D346" s="404">
        <v>189</v>
      </c>
      <c r="E346" s="404">
        <v>479</v>
      </c>
      <c r="F346" s="407">
        <v>25600</v>
      </c>
      <c r="G346" s="407" t="s">
        <v>1016</v>
      </c>
      <c r="H346" s="408" t="s">
        <v>1017</v>
      </c>
      <c r="I346" s="409">
        <v>2</v>
      </c>
      <c r="J346" s="405" t="s">
        <v>543</v>
      </c>
      <c r="K346" s="404" t="s">
        <v>4362</v>
      </c>
      <c r="L346" s="419" t="str">
        <f t="shared" si="184"/>
        <v>FLINTSL - BLACK</v>
      </c>
      <c r="M346" s="404">
        <v>38</v>
      </c>
      <c r="N346" s="410">
        <f>IF(M346=0,0,IF($LB346=70%,VLOOKUP($L346,'Jan-2026 rates'!$L:$R,4,0),IF($LB346=65%,VLOOKUP($L346,'Jan-2026 rates'!$L:$R,4,0),IF($LB346=40%,VLOOKUP($L346,'Jan-2026 rates'!$L:$R,5,0),IF($LB346=30%,VLOOKUP($L346,'Jan-2026 rates'!$L:$R,6,0),IF($LB346=100%,VLOOKUP($L346,'Jan-2026 rates'!$L:$R,7,0),IF($LB346=60%,VLOOKUP($L346,'Jan-2026 rates'!$L:$S,8,0),IF($LB346=80%,VLOOKUP($L346,'Jan-2026 rates'!L:T,9,0),0))))))))</f>
        <v>0</v>
      </c>
      <c r="O346" s="406"/>
      <c r="P346" s="404"/>
      <c r="Q346" s="410">
        <f>IF(P346=0,0,IF($LB346=70%,VLOOKUP($L346,'Jan-2026 rates'!$L:$R,4,0),IF($LB346=65%,VLOOKUP($L346,'Jan-2026 rates'!$L:$R,4,0),IF($LB346=40%,VLOOKUP($L346,'Jan-2026 rates'!$L:$R,5,0),IF($LB346=30%,VLOOKUP($L346,'Jan-2026 rates'!$L:$R,6,0),IF($LB346=100%,VLOOKUP($L346,'Jan-2026 rates'!$L:$R,7,0),IF($LB346=60%,VLOOKUP($L346,'Jan-2026 rates'!$L:$S,8,0),IF($LB346=80%,VLOOKUP($L346,'Jan-2026 rates'!L:T,9,0),0))))))))</f>
        <v>0</v>
      </c>
      <c r="R346" s="406"/>
      <c r="S346" s="406"/>
      <c r="T346" s="406"/>
      <c r="U346" s="406"/>
      <c r="V346" s="406"/>
      <c r="W346" s="406"/>
      <c r="X346" s="406"/>
      <c r="Y346" s="406"/>
      <c r="Z346" s="404"/>
      <c r="AA346" s="398">
        <f>IF(Z346=0,0,IF(LEN(R346)=11,_xlfn.XLOOKUP(R346,'Dispensed Ink Rates'!C:C,'Dispensed Ink Rates'!CS:CS),VLOOKUP(R346,'Jan-2026 rates'!$E:$F,2,0)))</f>
        <v>0</v>
      </c>
      <c r="AB346" s="404"/>
      <c r="AC346" s="398">
        <f>IF(AB346=0,0,IF(LEN(S346)=11,_xlfn.XLOOKUP(S346,'Dispensed Ink Rates'!C:C,'Dispensed Ink Rates'!CS:CS),VLOOKUP(S346,'Jan-2026 rates'!$E:$F,2,0)))</f>
        <v>0</v>
      </c>
      <c r="AD346" s="404"/>
      <c r="AE346" s="398">
        <f>IF(AD346=0,0,IF(LEN(T346)=11,_xlfn.XLOOKUP(T346,'Dispensed Ink Rates'!C:C,'Dispensed Ink Rates'!CS:CS),VLOOKUP(T346,'Jan-2026 rates'!$E:$F,2,0)))</f>
        <v>0</v>
      </c>
      <c r="AF346" s="404"/>
      <c r="AG346" s="398">
        <f>IF(AF346=0,0,IF(LEN(U346)=11,_xlfn.XLOOKUP(U346,'Dispensed Ink Rates'!C:C,'Dispensed Ink Rates'!CS:CS),VLOOKUP(U346,'Jan-2026 rates'!$E:$F,2,0)))</f>
        <v>0</v>
      </c>
      <c r="AH346" s="404"/>
      <c r="AI346" s="398">
        <f>IF(AH346=0,0,IF(LEN(V346)=11,_xlfn.XLOOKUP(V346,'Dispensed Ink Rates'!C:C,'Dispensed Ink Rates'!CS:CS),VLOOKUP(V346,'Jan-2026 rates'!$E:$F,2,0)))</f>
        <v>0</v>
      </c>
      <c r="AJ346" s="404"/>
      <c r="AK346" s="398">
        <f>IF(AJ346=0,0,IF(LEN(W346)=11,_xlfn.XLOOKUP(W346,'Dispensed Ink Rates'!C:C,'Dispensed Ink Rates'!CS:CS),VLOOKUP(W346,'Jan-2026 rates'!$E:$F,2,0)))</f>
        <v>0</v>
      </c>
      <c r="AL346" s="404"/>
      <c r="AM346" s="398">
        <f>IF(AL346=0,0,IF(LEN(X346)=11,_xlfn.XLOOKUP(X346,'Dispensed Ink Rates'!C:C,'Dispensed Ink Rates'!CS:CS),VLOOKUP(X346,'Jan-2026 rates'!$E:$F,2,0)))</f>
        <v>0</v>
      </c>
      <c r="AN346" s="404"/>
      <c r="AO346" s="398">
        <f>IF(AN346=0,0,IF(LEN(Y346)=11,_xlfn.XLOOKUP(Y346,'Dispensed Ink Rates'!C:C,'Dispensed Ink Rates'!CS:CS),VLOOKUP(Y346,'Jan-2026 rates'!$E:$F,2,0)))</f>
        <v>0</v>
      </c>
      <c r="AP346" s="409" t="s">
        <v>1443</v>
      </c>
      <c r="AQ346" s="409">
        <v>35</v>
      </c>
      <c r="AR346" s="410">
        <f t="shared" si="212"/>
        <v>0</v>
      </c>
      <c r="AS346" s="411">
        <f t="shared" si="213"/>
        <v>10</v>
      </c>
      <c r="AT346" s="410">
        <f t="shared" si="214"/>
        <v>0</v>
      </c>
      <c r="AU346" s="405" t="s">
        <v>828</v>
      </c>
      <c r="AV346" s="409"/>
      <c r="AW346" s="420" t="str">
        <f t="shared" si="236"/>
        <v>FLINTSL - ORANGE</v>
      </c>
      <c r="AX346" s="409"/>
      <c r="AY346" s="411">
        <f>IF(AX346=0,0,IF($LB346=70%,VLOOKUP($AW346,'Jan-2026 rates'!$L:$R,4,0),IF($LB346=65%,VLOOKUP($AW346,'Jan-2026 rates'!$L:$R,4,0),IF($LB346=40%,VLOOKUP($AW346,'Jan-2026 rates'!$L:$R,5,0),IF($LB346=30%,VLOOKUP($AW346,'Jan-2026 rates'!$L:$R,6,0),IF($LB346=100%,VLOOKUP($AW346,'Jan-2026 rates'!$L:$R,7,0),IF($LB346=60%,VLOOKUP($AW346,'Jan-2026 rates'!$L:$S,8,0),IF($LB346=80%,VLOOKUP($AW346,'Jan-2026 rates'!L:T,9,0),0))))))))</f>
        <v>0</v>
      </c>
      <c r="AZ346" s="412"/>
      <c r="BA346" s="409"/>
      <c r="BB346" s="411">
        <f>IF(BA346=0,0,IF($LB346=70%,VLOOKUP($AW346,'Jan-2026 rates'!$L:$R,4,0),IF($LB346=65%,VLOOKUP($AW346,'Jan-2026 rates'!$L:$R,4,0),IF($LB346=40%,VLOOKUP($AW346,'Jan-2026 rates'!$L:$R,5,0),IF($LB346=30%,VLOOKUP($AW346,'Jan-2026 rates'!$L:$R,6,0),IF($LB346=100%,VLOOKUP($AW346,'Jan-2026 rates'!$L:$R,7,0),IF($LB346=60%,VLOOKUP($AW346,'Jan-2026 rates'!$L:$S,8,0),IF($LB346=80%,VLOOKUP($AW346,'Jan-2026 rates'!L:T,9,0),0))))))))</f>
        <v>0</v>
      </c>
      <c r="BC346" s="413">
        <v>26524000030</v>
      </c>
      <c r="BD346" s="412">
        <v>26524000029</v>
      </c>
      <c r="BE346" s="412">
        <v>26524000031</v>
      </c>
      <c r="BF346" s="413">
        <v>26525000022</v>
      </c>
      <c r="BG346" s="412"/>
      <c r="BH346" s="412"/>
      <c r="BI346" s="412"/>
      <c r="BJ346" s="412"/>
      <c r="BK346" s="409">
        <v>40</v>
      </c>
      <c r="BL346" s="398" t="e">
        <f>IF(BK346=0,0,IF(LEN(BC346)=11,_xlfn.XLOOKUP(BC346,'Dispensed Ink Rates'!C:C,'Dispensed Ink Rates'!CS:CS),VLOOKUP(BC346,'Jan-2026 rates'!$E:$F,2,0)))</f>
        <v>#N/A</v>
      </c>
      <c r="BM346" s="409">
        <v>40</v>
      </c>
      <c r="BN346" s="398" t="e">
        <f>IF(BM346=0,0,IF(LEN(BD346)=11,_xlfn.XLOOKUP(BD346,'Dispensed Ink Rates'!C:C,'Dispensed Ink Rates'!CS:CS),VLOOKUP(BD346,'Jan-2026 rates'!$E:$F,2,0)))</f>
        <v>#N/A</v>
      </c>
      <c r="BO346" s="409">
        <v>20</v>
      </c>
      <c r="BP346" s="398" t="e">
        <f>IF(BO346=0,0,IF(LEN(BE346)=11,_xlfn.XLOOKUP(BE346,'Dispensed Ink Rates'!C:C,'Dispensed Ink Rates'!CS:CS),VLOOKUP(BE346,'Jan-2026 rates'!$E:$F,2,0)))</f>
        <v>#N/A</v>
      </c>
      <c r="BQ346" s="409">
        <v>15</v>
      </c>
      <c r="BR346" s="398" t="e">
        <f>IF(BQ346=0,0,IF(LEN(BF346)=11,_xlfn.XLOOKUP(BF346,'Dispensed Ink Rates'!C:C,'Dispensed Ink Rates'!CS:CS),VLOOKUP(BF346,'Jan-2026 rates'!$E:$F,2,0)))</f>
        <v>#N/A</v>
      </c>
      <c r="BS346" s="409"/>
      <c r="BT346" s="398">
        <f>IF(BS346=0,0,IF(LEN(BG346)=11,_xlfn.XLOOKUP(BG346,'Dispensed Ink Rates'!C:C,'Dispensed Ink Rates'!CS:CS),VLOOKUP(BG346,'Jan-2026 rates'!$E:$F,2,0)))</f>
        <v>0</v>
      </c>
      <c r="BU346" s="409"/>
      <c r="BV346" s="398">
        <f>IF(BU346=0,0,IF(LEN(BH346)=11,_xlfn.XLOOKUP(BH346,'Dispensed Ink Rates'!C:C,'Dispensed Ink Rates'!CS:CS),VLOOKUP(BH346,'Jan-2026 rates'!$E:$F,2,0)))</f>
        <v>0</v>
      </c>
      <c r="BW346" s="409"/>
      <c r="BX346" s="398">
        <f>IF(BW346=0,0,IF(LEN(BI346)=11,_xlfn.XLOOKUP(BI346,'Dispensed Ink Rates'!C:C,'Dispensed Ink Rates'!CS:CS),VLOOKUP(BI346,'Jan-2026 rates'!$E:$F,2,0)))</f>
        <v>0</v>
      </c>
      <c r="BY346" s="409"/>
      <c r="BZ346" s="398">
        <f>IF(BY346=0,0,IF(LEN(BJ346)=11,_xlfn.XLOOKUP(BJ346,'Dispensed Ink Rates'!C:C,'Dispensed Ink Rates'!CS:CS),VLOOKUP(BJ346,'Jan-2026 rates'!$E:$F,2,0)))</f>
        <v>0</v>
      </c>
      <c r="CA346" s="409" t="s">
        <v>1443</v>
      </c>
      <c r="CB346" s="409">
        <v>18</v>
      </c>
      <c r="CC346" s="411">
        <f t="shared" si="215"/>
        <v>0</v>
      </c>
      <c r="CD346" s="411">
        <f t="shared" si="216"/>
        <v>118</v>
      </c>
      <c r="CE346" s="410">
        <f t="shared" si="217"/>
        <v>0</v>
      </c>
      <c r="CF346" s="404" t="s">
        <v>545</v>
      </c>
      <c r="CG346" s="409" t="s">
        <v>4682</v>
      </c>
      <c r="CH346" s="420" t="str">
        <f t="shared" si="185"/>
        <v>FLINTSL - YELLOW</v>
      </c>
      <c r="CI346" s="409">
        <v>28</v>
      </c>
      <c r="CJ346" s="411">
        <f>IF(CI346=0,0,IF($LB346=70%,VLOOKUP($CH346,'Jan-2026 rates'!$L:$R,4,0),IF($LB346=65%,VLOOKUP($CH346,'Jan-2026 rates'!$L:$R,4,0),IF($LB346=40%,VLOOKUP($CH346,'Jan-2026 rates'!$L:$R,5,0),IF($LB346=30%,VLOOKUP($CH346,'Jan-2026 rates'!$L:$R,6,0),IF($LB346=100%,VLOOKUP($CH346,'Jan-2026 rates'!$L:$R,7,0),IF($LB346=60%,VLOOKUP($CH346,'Jan-2026 rates'!$L:$S,8,0),IF($LB346=80%,VLOOKUP($CH346,'Jan-2026 rates'!L:T,9,0),0))))))))</f>
        <v>0</v>
      </c>
      <c r="CK346" s="412"/>
      <c r="CL346" s="409"/>
      <c r="CM346" s="411">
        <f>IF(CL346=0,0,IF($LB346=70%,VLOOKUP($CH346,'Jan-2026 rates'!$L:$R,4,0),IF($LB346=65%,VLOOKUP($CH346,'Jan-2026 rates'!$L:$R,4,0),IF($LB346=40%,VLOOKUP($CH346,'Jan-2026 rates'!$L:$R,5,0),IF($LB346=30%,VLOOKUP($CH346,'Jan-2026 rates'!$L:$R,6,0),IF($LB346=100%,VLOOKUP($CH346,'Jan-2026 rates'!$L:$R,7,0),IF($LB346=60%,VLOOKUP($CH346,'Jan-2026 rates'!$L:$S,8,0),IF($LB346=80%,VLOOKUP($CH346,'Jan-2026 rates'!L:T,9,0),0))))))))</f>
        <v>0</v>
      </c>
      <c r="CN346" s="426">
        <v>26525000014</v>
      </c>
      <c r="CO346" s="427">
        <v>26525000003</v>
      </c>
      <c r="CP346" s="426"/>
      <c r="CQ346" s="426"/>
      <c r="CR346" s="428"/>
      <c r="CS346" s="428"/>
      <c r="CT346" s="428"/>
      <c r="CU346" s="428"/>
      <c r="CV346" s="409">
        <v>5</v>
      </c>
      <c r="CW346" s="398" t="e">
        <f>IF(CV346=0,0,IF(LEN(CN346)=11,_xlfn.XLOOKUP(CN346,'Dispensed Ink Rates'!C:C,'Dispensed Ink Rates'!CS:CS),VLOOKUP(CN346,'Jan-2026 rates'!$E:$F,2,0)))</f>
        <v>#N/A</v>
      </c>
      <c r="CX346" s="409">
        <v>0.3</v>
      </c>
      <c r="CY346" s="398" t="e">
        <f>IF(CX346=0,0,IF(LEN(CO346)=11,_xlfn.XLOOKUP(CO346,'Dispensed Ink Rates'!C:C,'Dispensed Ink Rates'!CS:CS),VLOOKUP(CO346,'Jan-2026 rates'!$E:$F,2,0)))</f>
        <v>#N/A</v>
      </c>
      <c r="CZ346" s="409"/>
      <c r="DA346" s="398">
        <f>IF(CZ346=0,0,IF(LEN(CP346)=11,_xlfn.XLOOKUP(CP346,'Dispensed Ink Rates'!C:C,'Dispensed Ink Rates'!CS:CS),VLOOKUP(CP346,'Jan-2026 rates'!$E:$F,2,0)))</f>
        <v>0</v>
      </c>
      <c r="DB346" s="409"/>
      <c r="DC346" s="398">
        <f>IF(DB346=0,0,IF(LEN(CQ346)=11,_xlfn.XLOOKUP(CQ346,'Dispensed Ink Rates'!C:C,'Dispensed Ink Rates'!CS:CS),VLOOKUP(CQ346,'Jan-2026 rates'!$E:$F,2,0)))</f>
        <v>0</v>
      </c>
      <c r="DD346" s="409"/>
      <c r="DE346" s="398">
        <f>IF(DD346=0,0,IF(LEN(CR346)=11,_xlfn.XLOOKUP(CR346,'Dispensed Ink Rates'!C:C,'Dispensed Ink Rates'!CS:CS),VLOOKUP(CR346,'Jan-2026 rates'!$E:$F,2,0)))</f>
        <v>0</v>
      </c>
      <c r="DF346" s="409"/>
      <c r="DG346" s="398">
        <f>IF(DF346=0,0,IF(LEN(CS346)=11,_xlfn.XLOOKUP(CS346,'Dispensed Ink Rates'!C:C,'Dispensed Ink Rates'!CS:CS),VLOOKUP(CS346,'Jan-2026 rates'!$E:$F,2,0)))</f>
        <v>0</v>
      </c>
      <c r="DH346" s="409"/>
      <c r="DI346" s="398">
        <f>IF(DH346=0,0,IF(LEN(CT346)=11,_xlfn.XLOOKUP(CT346,'Dispensed Ink Rates'!C:C,'Dispensed Ink Rates'!CS:CS),VLOOKUP(CT346,'Jan-2026 rates'!$E:$F,2,0)))</f>
        <v>0</v>
      </c>
      <c r="DJ346" s="409"/>
      <c r="DK346" s="398">
        <f>IF(DJ346=0,0,IF(LEN(CU346)=11,_xlfn.XLOOKUP(CU346,'Dispensed Ink Rates'!C:C,'Dispensed Ink Rates'!CS:CS),VLOOKUP(CU346,'Jan-2026 rates'!$E:$F,2,0)))</f>
        <v>0</v>
      </c>
      <c r="DL346" s="409" t="s">
        <v>1443</v>
      </c>
      <c r="DM346" s="409">
        <v>24</v>
      </c>
      <c r="DN346" s="411">
        <f t="shared" si="218"/>
        <v>0</v>
      </c>
      <c r="DO346" s="411">
        <f t="shared" si="219"/>
        <v>23.299999999999997</v>
      </c>
      <c r="DP346" s="410">
        <f t="shared" si="220"/>
        <v>0</v>
      </c>
      <c r="DQ346" s="405" t="s">
        <v>855</v>
      </c>
      <c r="DR346" s="409" t="s">
        <v>4365</v>
      </c>
      <c r="DS346" s="420" t="str">
        <f t="shared" si="186"/>
        <v>FLINTSL - CYAN</v>
      </c>
      <c r="DT346" s="409">
        <v>30</v>
      </c>
      <c r="DU346" s="411">
        <f>IF(DT346=0,0,IF($LB346=70%,VLOOKUP($DS346,'Jan-2026 rates'!$L:$R,4,0),IF($LB346=65%,VLOOKUP($DS346,'Jan-2026 rates'!$L:$R,4,0),IF($LB346=40%,VLOOKUP($DS346,'Jan-2026 rates'!$L:$R,5,0),IF($LB346=30%,VLOOKUP($DS346,'Jan-2026 rates'!$L:$R,6,0),IF($LB346=100%,VLOOKUP($DS346,'Jan-2026 rates'!$L:$R,7,0),IF($LB346=60%,VLOOKUP($DS346,'Jan-2026 rates'!$L:$S,8,0),IF($LB346=80%,VLOOKUP($DS346,'Jan-2026 rates'!L:T,9,0),0))))))))</f>
        <v>0</v>
      </c>
      <c r="DV346" s="412"/>
      <c r="DW346" s="409"/>
      <c r="DX346" s="411">
        <f>IF(DW346=0,0,IF($LB346=70%,VLOOKUP($DS346,'Jan-2026 rates'!$L:$R,4,0),IF($LB346=65%,VLOOKUP($DS346,'Jan-2026 rates'!$L:$R,4,0),IF($LB346=40%,VLOOKUP($DS346,'Jan-2026 rates'!$L:$R,5,0),IF($LB346=30%,VLOOKUP($DS346,'Jan-2026 rates'!$L:$R,6,0),IF($LB346=100%,VLOOKUP($DS346,'Jan-2026 rates'!$L:$R,7,0),IF($LB346=60%,VLOOKUP($DS346,'Jan-2026 rates'!$L:$S,8,0),IF($LB346=80%,VLOOKUP($DS346,'Jan-2026 rates'!L:T,9,0),0))))))))</f>
        <v>0</v>
      </c>
      <c r="DY346" s="413">
        <v>26523000028</v>
      </c>
      <c r="DZ346" s="413"/>
      <c r="EA346" s="412"/>
      <c r="EB346" s="412"/>
      <c r="EC346" s="412"/>
      <c r="ED346" s="412"/>
      <c r="EE346" s="412"/>
      <c r="EF346" s="412"/>
      <c r="EG346" s="409">
        <v>2</v>
      </c>
      <c r="EH346" s="398" t="e">
        <f>IF(EG346=0,0,IF(LEN(DY346)=11,_xlfn.XLOOKUP(DY346,'Dispensed Ink Rates'!C:C,'Dispensed Ink Rates'!CS:CS),VLOOKUP(DY346,'Jan-2026 rates'!$E:$F,2,0)))</f>
        <v>#N/A</v>
      </c>
      <c r="EI346" s="409"/>
      <c r="EJ346" s="398">
        <f>IF(EI346=0,0,IF(LEN(DZ346)=11,_xlfn.XLOOKUP(DZ346,'Dispensed Ink Rates'!C:C,'Dispensed Ink Rates'!CS:CS),VLOOKUP(DZ346,'Jan-2026 rates'!$E:$F,2,0)))</f>
        <v>0</v>
      </c>
      <c r="EK346" s="409"/>
      <c r="EL346" s="398">
        <f>IF(EK346=0,0,IF(LEN(EA346)=11,_xlfn.XLOOKUP(EA346,'Dispensed Ink Rates'!C:C,'Dispensed Ink Rates'!CS:CS),VLOOKUP(EA346,'Jan-2026 rates'!$E:$F,2,0)))</f>
        <v>0</v>
      </c>
      <c r="EM346" s="409"/>
      <c r="EN346" s="398">
        <f>IF(EM346=0,0,IF(LEN(EB346)=11,_xlfn.XLOOKUP(EB346,'Dispensed Ink Rates'!C:C,'Dispensed Ink Rates'!CS:CS),VLOOKUP(EB346,'Jan-2026 rates'!$E:$F,2,0)))</f>
        <v>0</v>
      </c>
      <c r="EO346" s="409"/>
      <c r="EP346" s="398">
        <f>IF(EO346=0,0,IF(LEN(EC346)=11,_xlfn.XLOOKUP(EC346,'Dispensed Ink Rates'!C:C,'Dispensed Ink Rates'!CS:CS),VLOOKUP(EC346,'Jan-2026 rates'!$E:$F,2,0)))</f>
        <v>0</v>
      </c>
      <c r="EQ346" s="409"/>
      <c r="ER346" s="398">
        <f>IF(EQ346=0,0,IF(LEN(ED346)=11,_xlfn.XLOOKUP(ED346,'Dispensed Ink Rates'!C:C,'Dispensed Ink Rates'!CS:CS),VLOOKUP(ED346,'Jan-2026 rates'!$E:$F,2,0)))</f>
        <v>0</v>
      </c>
      <c r="ES346" s="409"/>
      <c r="ET346" s="398">
        <f>IF(ES346=0,0,IF(LEN(EE346)=11,_xlfn.XLOOKUP(EE346,'Dispensed Ink Rates'!C:C,'Dispensed Ink Rates'!CS:CS),VLOOKUP(EE346,'Jan-2026 rates'!$E:$F,2,0)))</f>
        <v>0</v>
      </c>
      <c r="EU346" s="409"/>
      <c r="EV346" s="398">
        <f>IF(EU346=0,0,IF(LEN(EF346)=11,_xlfn.XLOOKUP(EF346,'Dispensed Ink Rates'!C:C,'Dispensed Ink Rates'!CS:CS),VLOOKUP(EF346,'Jan-2026 rates'!$E:$F,2,0)))</f>
        <v>0</v>
      </c>
      <c r="EW346" s="409" t="s">
        <v>1443</v>
      </c>
      <c r="EX346" s="409">
        <v>29</v>
      </c>
      <c r="EY346" s="411">
        <f t="shared" si="221"/>
        <v>0</v>
      </c>
      <c r="EZ346" s="411">
        <f t="shared" si="222"/>
        <v>13.5</v>
      </c>
      <c r="FA346" s="410">
        <f t="shared" si="223"/>
        <v>0</v>
      </c>
      <c r="FB346" s="405" t="s">
        <v>544</v>
      </c>
      <c r="FC346" s="409" t="s">
        <v>4366</v>
      </c>
      <c r="FD346" s="420" t="str">
        <f t="shared" si="187"/>
        <v>FLINTSL - MAGENTA</v>
      </c>
      <c r="FE346" s="409">
        <v>38</v>
      </c>
      <c r="FF346" s="411">
        <f>IF(FE346=0,0,IF($LB346=70%,VLOOKUP($FD346,'Jan-2026 rates'!$L:$R,4,0),IF($LB346=65%,VLOOKUP($FD346,'Jan-2026 rates'!$L:$R,4,0),IF($LB346=40%,VLOOKUP($FD346,'Jan-2026 rates'!$L:$R,5,0),IF($LB346=30%,VLOOKUP($FD346,'Jan-2026 rates'!$L:$R,6,0),IF($LB346=100%,VLOOKUP($FD346,'Jan-2026 rates'!$L:$R,7,0),IF($LB346=60%,VLOOKUP($FD346,'Jan-2026 rates'!$L:$S,8,0),IF($LB346=80%,VLOOKUP($FD346,'Jan-2026 rates'!L:T,9,0),0))))))))</f>
        <v>0</v>
      </c>
      <c r="FG346" s="412"/>
      <c r="FH346" s="409"/>
      <c r="FI346" s="411">
        <f>IF(FH346=0,0,IF($LB346=70%,VLOOKUP($FD346,'Jan-2026 rates'!$L:$R,4,0),IF($LB346=65%,VLOOKUP($FD346,'Jan-2026 rates'!$L:$R,4,0),IF($LB346=40%,VLOOKUP($FD346,'Jan-2026 rates'!$L:$R,5,0),IF($LB346=30%,VLOOKUP($FD346,'Jan-2026 rates'!$L:$R,6,0),IF($LB346=100%,VLOOKUP($FD346,'Jan-2026 rates'!$L:$R,7,0),IF($LB346=60%,VLOOKUP($FD346,'Jan-2026 rates'!$L:$S,8,0),IF($LB346=80%,VLOOKUP($FD346,'Jan-2026 rates'!L:T,9,0),0))))))))</f>
        <v>0</v>
      </c>
      <c r="FJ346" s="413"/>
      <c r="FK346" s="413"/>
      <c r="FL346" s="413"/>
      <c r="FM346" s="412"/>
      <c r="FN346" s="412"/>
      <c r="FO346" s="412"/>
      <c r="FP346" s="412"/>
      <c r="FQ346" s="412"/>
      <c r="FR346" s="409"/>
      <c r="FS346" s="398">
        <f>IF(FR346=0,0,IF(LEN(FJ346)=11,_xlfn.XLOOKUP(FJ346,'Dispensed Ink Rates'!C:C,'Dispensed Ink Rates'!CS:CS),VLOOKUP(FJ346,'Jan-2026 rates'!$E:$F,2,0)))</f>
        <v>0</v>
      </c>
      <c r="FT346" s="409"/>
      <c r="FU346" s="398">
        <f>IF(FT346=0,0,IF(LEN(FK346)=11,_xlfn.XLOOKUP(FK346,'Dispensed Ink Rates'!C:C,'Dispensed Ink Rates'!CS:CS),VLOOKUP(FK346,'Jan-2026 rates'!$E:$F,2,0)))</f>
        <v>0</v>
      </c>
      <c r="FV346" s="409"/>
      <c r="FW346" s="398">
        <f>IF(FV346=0,0,IF(LEN(FL346)=11,_xlfn.XLOOKUP(FL346,'Dispensed Ink Rates'!C:C,'Dispensed Ink Rates'!CS:CS),VLOOKUP(FL346,'Jan-2026 rates'!$E:$F,2,0)))</f>
        <v>0</v>
      </c>
      <c r="FX346" s="409"/>
      <c r="FY346" s="398">
        <f>IF(FX346=0,0,IF(LEN(FM346)=11,_xlfn.XLOOKUP(FM346,'Dispensed Ink Rates'!C:C,'Dispensed Ink Rates'!CS:CS),VLOOKUP(FM346,'Jan-2026 rates'!$E:$F,2,0)))</f>
        <v>0</v>
      </c>
      <c r="FZ346" s="409"/>
      <c r="GA346" s="398">
        <f>IF(FZ346=0,0,IF(LEN(FN346)=11,_xlfn.XLOOKUP(FN346,'Dispensed Ink Rates'!C:C,'Dispensed Ink Rates'!CS:CS),VLOOKUP(FN346,'Jan-2026 rates'!$E:$F,2,0)))</f>
        <v>0</v>
      </c>
      <c r="GB346" s="409"/>
      <c r="GC346" s="398">
        <f>IF(GB346=0,0,IF(LEN(FO346)=11,_xlfn.XLOOKUP(FO346,'Dispensed Ink Rates'!C:C,'Dispensed Ink Rates'!CS:CS),VLOOKUP(FO346,'Jan-2026 rates'!$E:$F,2,0)))</f>
        <v>0</v>
      </c>
      <c r="GD346" s="409"/>
      <c r="GE346" s="398">
        <f>IF(GD346=0,0,IF(LEN(FP346)=11,_xlfn.XLOOKUP(FP346,'Dispensed Ink Rates'!C:C,'Dispensed Ink Rates'!CS:CS),VLOOKUP(FP346,'Jan-2026 rates'!$E:$F,2,0)))</f>
        <v>0</v>
      </c>
      <c r="GF346" s="409"/>
      <c r="GG346" s="398">
        <f>IF(GF346=0,0,IF(LEN(FQ346)=11,_xlfn.XLOOKUP(FQ346,'Dispensed Ink Rates'!C:C,'Dispensed Ink Rates'!CS:CS),VLOOKUP(FQ346,'Jan-2026 rates'!$E:$F,2,0)))</f>
        <v>0</v>
      </c>
      <c r="GH346" s="409" t="s">
        <v>1443</v>
      </c>
      <c r="GI346" s="409">
        <v>36</v>
      </c>
      <c r="GJ346" s="411">
        <f t="shared" si="224"/>
        <v>0</v>
      </c>
      <c r="GK346" s="411">
        <f t="shared" si="225"/>
        <v>5.5</v>
      </c>
      <c r="GL346" s="410">
        <f t="shared" si="226"/>
        <v>0</v>
      </c>
      <c r="GM346" s="405" t="s">
        <v>545</v>
      </c>
      <c r="GN346" s="409" t="s">
        <v>4367</v>
      </c>
      <c r="GO346" s="420" t="str">
        <f t="shared" si="188"/>
        <v>FLINTSL - YELLOW</v>
      </c>
      <c r="GP346" s="409">
        <v>29</v>
      </c>
      <c r="GQ346" s="411">
        <f>IF(GP346=0,0,IF($LB346=70%,VLOOKUP($GO346,'Jan-2026 rates'!$L:$R,4,0),IF($LB346=65%,VLOOKUP($GO346,'Jan-2026 rates'!$L:$R,4,0),IF($LB346=40%,VLOOKUP($GO346,'Jan-2026 rates'!$L:$R,5,0),IF($LB346=30%,VLOOKUP($GO346,'Jan-2026 rates'!$L:$R,6,0),IF($LB346=100%,VLOOKUP($GO346,'Jan-2026 rates'!$L:$R,7,0),IF($LB346=60%,VLOOKUP($GO346,'Jan-2026 rates'!$L:$S,8,0),IF($LB346=80%,VLOOKUP($GO346,'Jan-2026 rates'!L:T,9,0),0))))))))</f>
        <v>0</v>
      </c>
      <c r="GR346" s="412"/>
      <c r="GS346" s="409"/>
      <c r="GT346" s="411">
        <f>IF(GS346=0,0,IF($LB346=70%,VLOOKUP($GO346,'Jan-2026 rates'!$L:$R,4,0),IF($LB346=65%,VLOOKUP($GO346,'Jan-2026 rates'!$L:$R,4,0),IF($LB346=40%,VLOOKUP($GO346,'Jan-2026 rates'!$L:$R,5,0),IF($LB346=30%,VLOOKUP($GO346,'Jan-2026 rates'!$L:$R,6,0),IF($LB346=100%,VLOOKUP($GO346,'Jan-2026 rates'!$L:$R,7,0),IF($LB346=60%,VLOOKUP($GO346,'Jan-2026 rates'!$L:$S,8,0),IF($LB346=80%,VLOOKUP($GO346,'Jan-2026 rates'!L:T,9,0),0))))))))</f>
        <v>0</v>
      </c>
      <c r="GU346" s="413">
        <v>26526000035</v>
      </c>
      <c r="GV346" s="413"/>
      <c r="GW346" s="412"/>
      <c r="GX346" s="412"/>
      <c r="GY346" s="412"/>
      <c r="GZ346" s="412"/>
      <c r="HA346" s="412"/>
      <c r="HB346" s="412"/>
      <c r="HC346" s="409">
        <v>8</v>
      </c>
      <c r="HD346" s="398" t="e">
        <f>IF(HC346=0,0,IF(LEN(GU346)=11,_xlfn.XLOOKUP(GU346,'Dispensed Ink Rates'!C:C,'Dispensed Ink Rates'!CS:CS),VLOOKUP(GU346,'Jan-2026 rates'!$E:$F,2,0)))</f>
        <v>#N/A</v>
      </c>
      <c r="HE346" s="409"/>
      <c r="HF346" s="398">
        <f>IF(HE346=0,0,IF(LEN(GV346)=11,_xlfn.XLOOKUP(GV346,'Dispensed Ink Rates'!C:C,'Dispensed Ink Rates'!CS:CS),VLOOKUP(GV346,'Jan-2026 rates'!$E:$F,2,0)))</f>
        <v>0</v>
      </c>
      <c r="HG346" s="409"/>
      <c r="HH346" s="398">
        <f>IF(HG346=0,0,IF(LEN(GW346)=11,_xlfn.XLOOKUP(GW346,'Dispensed Ink Rates'!C:C,'Dispensed Ink Rates'!CS:CS),VLOOKUP(GW346,'Jan-2026 rates'!$E:$F,2,0)))</f>
        <v>0</v>
      </c>
      <c r="HI346" s="409"/>
      <c r="HJ346" s="398">
        <f>IF(HI346=0,0,IF(LEN(GX346)=11,_xlfn.XLOOKUP(GX346,'Dispensed Ink Rates'!C:C,'Dispensed Ink Rates'!CS:CS),VLOOKUP(GX346,'Jan-2026 rates'!$E:$F,2,0)))</f>
        <v>0</v>
      </c>
      <c r="HK346" s="409"/>
      <c r="HL346" s="398">
        <f>IF(HK346=0,0,IF(LEN(GY346)=11,_xlfn.XLOOKUP(GY346,'Dispensed Ink Rates'!C:C,'Dispensed Ink Rates'!CS:CS),VLOOKUP(GY346,'Jan-2026 rates'!$E:$F,2,0)))</f>
        <v>0</v>
      </c>
      <c r="HM346" s="409"/>
      <c r="HN346" s="398">
        <f>IF(HM346=0,0,IF(LEN(GZ346)=11,_xlfn.XLOOKUP(GZ346,'Dispensed Ink Rates'!C:C,'Dispensed Ink Rates'!CS:CS),VLOOKUP(GZ346,'Jan-2026 rates'!$E:$F,2,0)))</f>
        <v>0</v>
      </c>
      <c r="HO346" s="409"/>
      <c r="HP346" s="398">
        <f>IF(HO346=0,0,IF(LEN(HA346)=11,_xlfn.XLOOKUP(HA346,'Dispensed Ink Rates'!C:C,'Dispensed Ink Rates'!CS:CS),VLOOKUP(HA346,'Jan-2026 rates'!$E:$F,2,0)))</f>
        <v>0</v>
      </c>
      <c r="HQ346" s="409"/>
      <c r="HR346" s="398">
        <f>IF(HQ346=0,0,IF(LEN(HB346)=11,_xlfn.XLOOKUP(HB346,'Dispensed Ink Rates'!C:C,'Dispensed Ink Rates'!CS:CS),VLOOKUP(HB346,'Jan-2026 rates'!$E:$F,2,0)))</f>
        <v>0</v>
      </c>
      <c r="HS346" s="409" t="s">
        <v>1443</v>
      </c>
      <c r="HT346" s="409">
        <v>30</v>
      </c>
      <c r="HU346" s="411">
        <f t="shared" si="227"/>
        <v>0</v>
      </c>
      <c r="HV346" s="411">
        <f t="shared" si="228"/>
        <v>14</v>
      </c>
      <c r="HW346" s="414">
        <f t="shared" si="229"/>
        <v>0</v>
      </c>
      <c r="HX346" s="405" t="s">
        <v>856</v>
      </c>
      <c r="HY346" s="409" t="s">
        <v>4368</v>
      </c>
      <c r="HZ346" s="420" t="str">
        <f t="shared" si="189"/>
        <v>FLINTSL - WHITE</v>
      </c>
      <c r="IA346" s="409">
        <v>30</v>
      </c>
      <c r="IB346" s="411">
        <f>IF(IA346=0,0,IF($LB346=70%,VLOOKUP($HZ346,'Jan-2026 rates'!$L:$R,4,0),IF($LB346=65%,VLOOKUP($HZ346,'Jan-2026 rates'!$L:$R,4,0),IF($LB346=40%,VLOOKUP($HZ346,'Jan-2026 rates'!$L:$R,5,0),IF($LB346=30%,VLOOKUP($HZ346,'Jan-2026 rates'!$L:$R,6,0),IF($LB346=100%,VLOOKUP($HZ346,'Jan-2026 rates'!$L:$R,7,0),IF($LB346=60%,VLOOKUP($HZ346,'Jan-2026 rates'!$L:$S,8,0),IF($LB346=80%,VLOOKUP($HZ346,'Jan-2026 rates'!L:T,9,0),0))))))))</f>
        <v>0</v>
      </c>
      <c r="IC346" s="412"/>
      <c r="ID346" s="409"/>
      <c r="IE346" s="411">
        <f>IF(ID346=0,0,IF($LB346=70%,VLOOKUP($HZ346,'Jan-2026 rates'!$L:$R,4,0),IF($LB346=65%,VLOOKUP($HZ346,'Jan-2026 rates'!$L:$R,4,0),IF($LB346=40%,VLOOKUP($HZ346,'Jan-2026 rates'!$L:$R,5,0),IF($LB346=30%,VLOOKUP($HZ346,'Jan-2026 rates'!$L:$R,6,0),IF($LB346=100%,VLOOKUP($HZ346,'Jan-2026 rates'!$L:$R,7,0),IF($LB346=60%,VLOOKUP($HZ346,'Jan-2026 rates'!$L:$S,8,0),IF($LB346=80%,VLOOKUP($HZ346,'Jan-2026 rates'!L:T,9,0),0))))))))</f>
        <v>0</v>
      </c>
      <c r="IF346" s="412" t="s">
        <v>484</v>
      </c>
      <c r="IG346" s="413"/>
      <c r="IH346" s="412"/>
      <c r="II346" s="412"/>
      <c r="IJ346" s="412"/>
      <c r="IK346" s="412"/>
      <c r="IL346" s="412"/>
      <c r="IM346" s="412"/>
      <c r="IN346" s="409">
        <v>60</v>
      </c>
      <c r="IO346" s="398">
        <f>IF(IN346=0,0,IF(LEN(IF346)=11,_xlfn.XLOOKUP(IF346,'Dispensed Ink Rates'!C:C,'Dispensed Ink Rates'!CS:CS),VLOOKUP(IF346,'Jan-2026 rates'!$E:$F,2,0)))</f>
        <v>0</v>
      </c>
      <c r="IP346" s="409"/>
      <c r="IQ346" s="398">
        <f>IF(IP346=0,0,IF(LEN(IG346)=11,_xlfn.XLOOKUP(IG346,'Dispensed Ink Rates'!C:C,'Dispensed Ink Rates'!CS:CS),VLOOKUP(IG346,'Jan-2026 rates'!$E:$F,2,0)))</f>
        <v>0</v>
      </c>
      <c r="IR346" s="409"/>
      <c r="IS346" s="398">
        <f>IF(IR346=0,0,IF(LEN(IH346)=11,_xlfn.XLOOKUP(IH346,'Dispensed Ink Rates'!C:C,'Dispensed Ink Rates'!CS:CS),VLOOKUP(IH346,'Jan-2026 rates'!$E:$F,2,0)))</f>
        <v>0</v>
      </c>
      <c r="IT346" s="409"/>
      <c r="IU346" s="398">
        <f>IF(IT346=0,0,IF(LEN(II346)=11,_xlfn.XLOOKUP(II346,'Dispensed Ink Rates'!C:C,'Dispensed Ink Rates'!CS:CS),VLOOKUP(II346,'Jan-2026 rates'!$E:$F,2,0)))</f>
        <v>0</v>
      </c>
      <c r="IV346" s="409"/>
      <c r="IW346" s="398">
        <f>IF(IV346=0,0,IF(LEN(IJ346)=11,_xlfn.XLOOKUP(IJ346,'Dispensed Ink Rates'!C:C,'Dispensed Ink Rates'!CS:CS),VLOOKUP(IJ346,'Jan-2026 rates'!$E:$F,2,0)))</f>
        <v>0</v>
      </c>
      <c r="IX346" s="409"/>
      <c r="IY346" s="398">
        <f>IF(IX346=0,0,IF(LEN(IK346)=11,_xlfn.XLOOKUP(IK346,'Dispensed Ink Rates'!C:C,'Dispensed Ink Rates'!CS:CS),VLOOKUP(IK346,'Jan-2026 rates'!$E:$F,2,0)))</f>
        <v>0</v>
      </c>
      <c r="IZ346" s="409"/>
      <c r="JA346" s="398">
        <f>IF(IZ346=0,0,IF(LEN(IL346)=11,_xlfn.XLOOKUP(IL346,'Dispensed Ink Rates'!C:C,'Dispensed Ink Rates'!CS:CS),VLOOKUP(IL346,'Jan-2026 rates'!$E:$F,2,0)))</f>
        <v>0</v>
      </c>
      <c r="JB346" s="409"/>
      <c r="JC346" s="398">
        <f>IF(JB346=0,0,IF(LEN(IM346)=11,_xlfn.XLOOKUP(IM346,'Dispensed Ink Rates'!C:C,'Dispensed Ink Rates'!CS:CS),VLOOKUP(IM346,'Jan-2026 rates'!$E:$F,2,0)))</f>
        <v>0</v>
      </c>
      <c r="JD346" s="409" t="s">
        <v>1443</v>
      </c>
      <c r="JE346" s="409">
        <v>30</v>
      </c>
      <c r="JF346" s="411">
        <f t="shared" si="230"/>
        <v>0</v>
      </c>
      <c r="JG346" s="411">
        <f t="shared" si="231"/>
        <v>165</v>
      </c>
      <c r="JH346" s="410">
        <f t="shared" si="232"/>
        <v>0</v>
      </c>
      <c r="JI346" s="405"/>
      <c r="JJ346" s="409"/>
      <c r="JK346" s="420" t="str">
        <f t="shared" si="190"/>
        <v xml:space="preserve"> - </v>
      </c>
      <c r="JL346" s="409"/>
      <c r="JM346" s="411">
        <f>IF(JL346=0,0,IF($LB346=70%,VLOOKUP($JK346,'Jan-2026 rates'!$L:$R,4,0),IF($LB346=65%,VLOOKUP($JK346,'Jan-2026 rates'!$L:$R,4,0),IF($LB346=40%,VLOOKUP($JK346,'Jan-2026 rates'!$L:$R,5,0),IF($LB346=30%,VLOOKUP($JK346,'Jan-2026 rates'!$L:$R,6,0),IF($LB346=100%,VLOOKUP($JK346,'Jan-2026 rates'!$L:$R,7,0),IF($LB346=60%,VLOOKUP($JK346,'Jan-2026 rates'!$L:$S,8,0),IF($LB346=80%,VLOOKUP($JK346,'Jan-2026 rates'!L:T,9,0),0))))))))</f>
        <v>0</v>
      </c>
      <c r="JN346" s="412"/>
      <c r="JO346" s="409"/>
      <c r="JP346" s="411">
        <f>IF(JO346=0,0,IF($LB346=70%,VLOOKUP($JK346,'Jan-2026 rates'!$L:$R,4,0),IF($LB346=65%,VLOOKUP($JK346,'Jan-2026 rates'!$L:$R,4,0),IF($LB346=40%,VLOOKUP($JK346,'Jan-2026 rates'!$L:$R,5,0),IF($LB346=30%,VLOOKUP($JK346,'Jan-2026 rates'!$L:$R,6,0),IF($LB346=100%,VLOOKUP($JK346,'Jan-2026 rates'!$L:$R,7,0),IF($LB346=60%,VLOOKUP($JK346,'Jan-2026 rates'!$L:$S,8,0),IF($LB346=80%,VLOOKUP($JK346,'Jan-2026 rates'!L:T,9,0),0))))))))</f>
        <v>0</v>
      </c>
      <c r="JQ346" s="413"/>
      <c r="JR346" s="412"/>
      <c r="JS346" s="413"/>
      <c r="JT346" s="413"/>
      <c r="JU346" s="412"/>
      <c r="JV346" s="412"/>
      <c r="JW346" s="412"/>
      <c r="JX346" s="412"/>
      <c r="JY346" s="409"/>
      <c r="JZ346" s="398">
        <f>IF(JY346=0,0,IF(LEN(JQ346)=11,_xlfn.XLOOKUP(JQ346,'Dispensed Ink Rates'!C:C,'Dispensed Ink Rates'!CS:CS),VLOOKUP(JQ346,'Jan-2026 rates'!$E:$F,2,0)))</f>
        <v>0</v>
      </c>
      <c r="KA346" s="409"/>
      <c r="KB346" s="398">
        <f>IF(KA346=0,0,IF(LEN(JR346)=11,_xlfn.XLOOKUP(JR346,'Dispensed Ink Rates'!C:C,'Dispensed Ink Rates'!CS:CS),VLOOKUP(JR346,'Jan-2026 rates'!$E:$F,2,0)))</f>
        <v>0</v>
      </c>
      <c r="KC346" s="409"/>
      <c r="KD346" s="398">
        <f>IF(KC346=0,0,IF(LEN(JS346)=11,_xlfn.XLOOKUP(JS346,'Dispensed Ink Rates'!C:C,'Dispensed Ink Rates'!CS:CS),VLOOKUP(JS346,'Jan-2026 rates'!$E:$F,2,0)))</f>
        <v>0</v>
      </c>
      <c r="KE346" s="409"/>
      <c r="KF346" s="398">
        <f>IF(KE346=0,0,IF(LEN(JT346)=11,_xlfn.XLOOKUP(JT346,'Dispensed Ink Rates'!C:C,'Dispensed Ink Rates'!CS:CS),VLOOKUP(JT346,'Jan-2026 rates'!$E:$F,2,0)))</f>
        <v>0</v>
      </c>
      <c r="KG346" s="409"/>
      <c r="KH346" s="398">
        <f>IF(KG346=0,0,IF(LEN(JU346)=11,_xlfn.XLOOKUP(JU346,'Dispensed Ink Rates'!C:C,'Dispensed Ink Rates'!CS:CS),VLOOKUP(JU346,'Jan-2026 rates'!$E:$F,2,0)))</f>
        <v>0</v>
      </c>
      <c r="KI346" s="409"/>
      <c r="KJ346" s="398">
        <f>IF(KI346=0,0,IF(LEN(JV346)=11,_xlfn.XLOOKUP(JV346,'Dispensed Ink Rates'!C:C,'Dispensed Ink Rates'!CS:CS),VLOOKUP(JV346,'Jan-2026 rates'!$E:$F,2,0)))</f>
        <v>0</v>
      </c>
      <c r="KK346" s="409"/>
      <c r="KL346" s="398">
        <f>IF(KK346=0,0,IF(LEN(JW346)=11,_xlfn.XLOOKUP(JW346,'Dispensed Ink Rates'!C:C,'Dispensed Ink Rates'!CS:CS),VLOOKUP(JW346,'Jan-2026 rates'!$E:$F,2,0)))</f>
        <v>0</v>
      </c>
      <c r="KM346" s="428"/>
      <c r="KN346" s="398">
        <f>IF(KM346=0,0,IF(LEN(JX346)=11,_xlfn.XLOOKUP(JX346,'Dispensed Ink Rates'!C:C,'Dispensed Ink Rates'!CS:CS),VLOOKUP(JX346,'Jan-2026 rates'!$E:$F,2,0)))</f>
        <v>0</v>
      </c>
      <c r="KO346" s="409"/>
      <c r="KP346" s="409"/>
      <c r="KQ346" s="411">
        <f t="shared" si="233"/>
        <v>0</v>
      </c>
      <c r="KR346" s="411">
        <f t="shared" si="234"/>
        <v>0</v>
      </c>
      <c r="KS346" s="410">
        <f t="shared" si="235"/>
        <v>0</v>
      </c>
      <c r="KT346" s="409">
        <v>2</v>
      </c>
      <c r="KU346" s="409">
        <v>6</v>
      </c>
      <c r="KV346" s="409">
        <v>4</v>
      </c>
      <c r="KW346" s="409">
        <v>3</v>
      </c>
      <c r="KX346" s="409">
        <v>1</v>
      </c>
      <c r="KY346" s="409">
        <v>2</v>
      </c>
      <c r="KZ346" s="409">
        <v>30</v>
      </c>
      <c r="LA346" s="409">
        <v>0</v>
      </c>
      <c r="LB346" s="415">
        <v>0.8</v>
      </c>
      <c r="LC346" s="415">
        <v>0.2</v>
      </c>
      <c r="LD346" s="424"/>
      <c r="LE346" s="415"/>
      <c r="LF346" s="415"/>
      <c r="LG346" s="409">
        <v>0</v>
      </c>
      <c r="LH346" s="409">
        <f>30+30+80+20+5+3</f>
        <v>168</v>
      </c>
      <c r="LI346" s="409">
        <v>0</v>
      </c>
      <c r="LJ346" s="409">
        <v>0</v>
      </c>
      <c r="LK346" s="416">
        <f t="shared" si="191"/>
        <v>168</v>
      </c>
      <c r="LL346" s="416">
        <f t="shared" si="237"/>
        <v>168</v>
      </c>
      <c r="LM346" s="417">
        <f t="shared" si="193"/>
        <v>134.4</v>
      </c>
      <c r="LN346" s="417">
        <f>VLOOKUP($LM$8,'Jan-2026 rates'!$H:$I,2,0)</f>
        <v>0</v>
      </c>
      <c r="LO346" s="417">
        <f t="shared" si="194"/>
        <v>33.6</v>
      </c>
      <c r="LP346" s="417">
        <f>VLOOKUP($LO$8,'Jan-2026 rates'!$H:$I,2,0)</f>
        <v>0</v>
      </c>
      <c r="LQ346" s="417">
        <f t="shared" si="195"/>
        <v>0</v>
      </c>
      <c r="LR346" s="417">
        <f>VLOOKUP($LQ$8,'Jan-2026 rates'!$H:$I,2,0)</f>
        <v>0</v>
      </c>
      <c r="LS346" s="417">
        <f t="shared" si="196"/>
        <v>0</v>
      </c>
      <c r="LT346" s="417">
        <f>VLOOKUP($LS$8,'Jan-2026 rates'!$H:$I,2,0)</f>
        <v>0</v>
      </c>
      <c r="LU346" s="417">
        <f t="shared" si="197"/>
        <v>0</v>
      </c>
      <c r="LV346" s="417">
        <f>VLOOKUP($LU$8,'Jan-2026 rates'!$H:$I,2,0)</f>
        <v>0</v>
      </c>
      <c r="LW346" s="417">
        <f t="shared" si="198"/>
        <v>0</v>
      </c>
      <c r="LX346" s="417">
        <f t="shared" si="199"/>
        <v>0</v>
      </c>
      <c r="LY346" s="418">
        <f t="shared" si="200"/>
        <v>0</v>
      </c>
      <c r="LZ346" s="417"/>
      <c r="MA346" s="435">
        <f t="shared" si="201"/>
        <v>190.3</v>
      </c>
      <c r="MB346" s="282">
        <f t="shared" si="202"/>
        <v>349.3</v>
      </c>
      <c r="MC346" s="283">
        <v>189</v>
      </c>
      <c r="MD346" s="284" t="str">
        <f t="shared" si="203"/>
        <v>FLINTSLFLINTSLFLINTSLFLINTSLFLINTSLFLINTSLFLINTSL</v>
      </c>
      <c r="ME346" s="293" t="str">
        <f t="shared" si="204"/>
        <v>+</v>
      </c>
      <c r="MF346" s="293" t="str">
        <f t="shared" si="205"/>
        <v>+</v>
      </c>
      <c r="MG346" s="293" t="str">
        <f t="shared" si="206"/>
        <v>+</v>
      </c>
      <c r="MH346" s="293" t="str">
        <f t="shared" si="207"/>
        <v>+</v>
      </c>
      <c r="MI346" s="293" t="str">
        <f t="shared" si="208"/>
        <v>+</v>
      </c>
      <c r="MJ346" s="293" t="str">
        <f t="shared" si="209"/>
        <v>+</v>
      </c>
      <c r="MK346" s="293" t="str">
        <f t="shared" si="210"/>
        <v>+</v>
      </c>
      <c r="ML346" s="293" t="str">
        <f t="shared" si="211"/>
        <v>NIL</v>
      </c>
      <c r="MM346" s="3" t="b">
        <f t="array" ref="MM346">OR(ME346:ML346="-")</f>
        <v>0</v>
      </c>
      <c r="MO346" s="401">
        <f t="shared" si="238"/>
        <v>72.922755741127361</v>
      </c>
      <c r="MP346" s="286"/>
      <c r="MR346" s="402">
        <f t="shared" si="239"/>
        <v>1.3644531250000001E-2</v>
      </c>
      <c r="MS346" s="400">
        <f t="shared" si="240"/>
        <v>0</v>
      </c>
      <c r="MT346" s="285"/>
      <c r="NH346" s="361"/>
      <c r="NJ346" s="282"/>
    </row>
    <row r="347" spans="1:374" ht="16.5">
      <c r="A347" s="403">
        <v>46046</v>
      </c>
      <c r="B347" s="404" t="s">
        <v>1018</v>
      </c>
      <c r="C347" s="405" t="s">
        <v>4685</v>
      </c>
      <c r="D347" s="404">
        <v>190</v>
      </c>
      <c r="E347" s="404">
        <v>504</v>
      </c>
      <c r="F347" s="407">
        <v>26800</v>
      </c>
      <c r="G347" s="407" t="s">
        <v>1016</v>
      </c>
      <c r="H347" s="408" t="s">
        <v>1017</v>
      </c>
      <c r="I347" s="409">
        <v>2.1</v>
      </c>
      <c r="J347" s="405" t="s">
        <v>543</v>
      </c>
      <c r="K347" s="404" t="s">
        <v>4686</v>
      </c>
      <c r="L347" s="419" t="str">
        <f t="shared" si="184"/>
        <v>FLINTSL - BLACK</v>
      </c>
      <c r="M347" s="404">
        <v>35</v>
      </c>
      <c r="N347" s="410">
        <f>IF(M347=0,0,IF($LB347=70%,VLOOKUP($L347,'Jan-2026 rates'!$L:$R,4,0),IF($LB347=65%,VLOOKUP($L347,'Jan-2026 rates'!$L:$R,4,0),IF($LB347=40%,VLOOKUP($L347,'Jan-2026 rates'!$L:$R,5,0),IF($LB347=30%,VLOOKUP($L347,'Jan-2026 rates'!$L:$R,6,0),IF($LB347=100%,VLOOKUP($L347,'Jan-2026 rates'!$L:$R,7,0),IF($LB347=60%,VLOOKUP($L347,'Jan-2026 rates'!$L:$S,8,0),IF($LB347=80%,VLOOKUP($L347,'Jan-2026 rates'!L:T,9,0),0))))))))</f>
        <v>0</v>
      </c>
      <c r="O347" s="406"/>
      <c r="P347" s="404"/>
      <c r="Q347" s="410">
        <f>IF(P347=0,0,IF($LB347=70%,VLOOKUP($L347,'Jan-2026 rates'!$L:$R,4,0),IF($LB347=65%,VLOOKUP($L347,'Jan-2026 rates'!$L:$R,4,0),IF($LB347=40%,VLOOKUP($L347,'Jan-2026 rates'!$L:$R,5,0),IF($LB347=30%,VLOOKUP($L347,'Jan-2026 rates'!$L:$R,6,0),IF($LB347=100%,VLOOKUP($L347,'Jan-2026 rates'!$L:$R,7,0),IF($LB347=60%,VLOOKUP($L347,'Jan-2026 rates'!$L:$S,8,0),IF($LB347=80%,VLOOKUP($L347,'Jan-2026 rates'!L:T,9,0),0))))))))</f>
        <v>0</v>
      </c>
      <c r="R347" s="406"/>
      <c r="S347" s="406"/>
      <c r="T347" s="406"/>
      <c r="U347" s="406"/>
      <c r="V347" s="406"/>
      <c r="W347" s="406"/>
      <c r="X347" s="406"/>
      <c r="Y347" s="406"/>
      <c r="Z347" s="404"/>
      <c r="AA347" s="398">
        <f>IF(Z347=0,0,IF(LEN(R347)=11,_xlfn.XLOOKUP(R347,'Dispensed Ink Rates'!C:C,'Dispensed Ink Rates'!CS:CS),VLOOKUP(R347,'Jan-2026 rates'!$E:$F,2,0)))</f>
        <v>0</v>
      </c>
      <c r="AB347" s="404"/>
      <c r="AC347" s="398">
        <f>IF(AB347=0,0,IF(LEN(S347)=11,_xlfn.XLOOKUP(S347,'Dispensed Ink Rates'!C:C,'Dispensed Ink Rates'!CS:CS),VLOOKUP(S347,'Jan-2026 rates'!$E:$F,2,0)))</f>
        <v>0</v>
      </c>
      <c r="AD347" s="404"/>
      <c r="AE347" s="398">
        <f>IF(AD347=0,0,IF(LEN(T347)=11,_xlfn.XLOOKUP(T347,'Dispensed Ink Rates'!C:C,'Dispensed Ink Rates'!CS:CS),VLOOKUP(T347,'Jan-2026 rates'!$E:$F,2,0)))</f>
        <v>0</v>
      </c>
      <c r="AF347" s="404"/>
      <c r="AG347" s="398">
        <f>IF(AF347=0,0,IF(LEN(U347)=11,_xlfn.XLOOKUP(U347,'Dispensed Ink Rates'!C:C,'Dispensed Ink Rates'!CS:CS),VLOOKUP(U347,'Jan-2026 rates'!$E:$F,2,0)))</f>
        <v>0</v>
      </c>
      <c r="AH347" s="404"/>
      <c r="AI347" s="398">
        <f>IF(AH347=0,0,IF(LEN(V347)=11,_xlfn.XLOOKUP(V347,'Dispensed Ink Rates'!C:C,'Dispensed Ink Rates'!CS:CS),VLOOKUP(V347,'Jan-2026 rates'!$E:$F,2,0)))</f>
        <v>0</v>
      </c>
      <c r="AJ347" s="404"/>
      <c r="AK347" s="398">
        <f>IF(AJ347=0,0,IF(LEN(W347)=11,_xlfn.XLOOKUP(W347,'Dispensed Ink Rates'!C:C,'Dispensed Ink Rates'!CS:CS),VLOOKUP(W347,'Jan-2026 rates'!$E:$F,2,0)))</f>
        <v>0</v>
      </c>
      <c r="AL347" s="404"/>
      <c r="AM347" s="398">
        <f>IF(AL347=0,0,IF(LEN(X347)=11,_xlfn.XLOOKUP(X347,'Dispensed Ink Rates'!C:C,'Dispensed Ink Rates'!CS:CS),VLOOKUP(X347,'Jan-2026 rates'!$E:$F,2,0)))</f>
        <v>0</v>
      </c>
      <c r="AN347" s="404"/>
      <c r="AO347" s="398">
        <f>IF(AN347=0,0,IF(LEN(Y347)=11,_xlfn.XLOOKUP(Y347,'Dispensed Ink Rates'!C:C,'Dispensed Ink Rates'!CS:CS),VLOOKUP(Y347,'Jan-2026 rates'!$E:$F,2,0)))</f>
        <v>0</v>
      </c>
      <c r="AP347" s="409" t="s">
        <v>1443</v>
      </c>
      <c r="AQ347" s="409">
        <v>30</v>
      </c>
      <c r="AR347" s="410">
        <f t="shared" si="212"/>
        <v>0</v>
      </c>
      <c r="AS347" s="411">
        <f t="shared" si="213"/>
        <v>5</v>
      </c>
      <c r="AT347" s="410">
        <f t="shared" si="214"/>
        <v>0</v>
      </c>
      <c r="AU347" s="405" t="s">
        <v>857</v>
      </c>
      <c r="AV347" s="409" t="s">
        <v>4363</v>
      </c>
      <c r="AW347" s="420" t="str">
        <f t="shared" si="236"/>
        <v>FLINTSL - RED</v>
      </c>
      <c r="AX347" s="409">
        <v>33</v>
      </c>
      <c r="AY347" s="411">
        <f>IF(AX347=0,0,IF($LB347=70%,VLOOKUP($AW347,'Jan-2026 rates'!$L:$R,4,0),IF($LB347=65%,VLOOKUP($AW347,'Jan-2026 rates'!$L:$R,4,0),IF($LB347=40%,VLOOKUP($AW347,'Jan-2026 rates'!$L:$R,5,0),IF($LB347=30%,VLOOKUP($AW347,'Jan-2026 rates'!$L:$R,6,0),IF($LB347=100%,VLOOKUP($AW347,'Jan-2026 rates'!$L:$R,7,0),IF($LB347=60%,VLOOKUP($AW347,'Jan-2026 rates'!$L:$S,8,0),IF($LB347=80%,VLOOKUP($AW347,'Jan-2026 rates'!L:T,9,0),0))))))))</f>
        <v>0</v>
      </c>
      <c r="AZ347" s="412"/>
      <c r="BA347" s="409"/>
      <c r="BB347" s="411">
        <f>IF(BA347=0,0,IF($LB347=70%,VLOOKUP($AW347,'Jan-2026 rates'!$L:$R,4,0),IF($LB347=65%,VLOOKUP($AW347,'Jan-2026 rates'!$L:$R,4,0),IF($LB347=40%,VLOOKUP($AW347,'Jan-2026 rates'!$L:$R,5,0),IF($LB347=30%,VLOOKUP($AW347,'Jan-2026 rates'!$L:$R,6,0),IF($LB347=100%,VLOOKUP($AW347,'Jan-2026 rates'!$L:$R,7,0),IF($LB347=60%,VLOOKUP($AW347,'Jan-2026 rates'!$L:$S,8,0),IF($LB347=80%,VLOOKUP($AW347,'Jan-2026 rates'!L:T,9,0),0))))))))</f>
        <v>0</v>
      </c>
      <c r="BC347" s="413">
        <v>26525000001</v>
      </c>
      <c r="BD347" s="412">
        <v>26524000028</v>
      </c>
      <c r="BE347" s="412">
        <v>26525000022</v>
      </c>
      <c r="BF347" s="413"/>
      <c r="BG347" s="412"/>
      <c r="BH347" s="412"/>
      <c r="BI347" s="412"/>
      <c r="BJ347" s="412"/>
      <c r="BK347" s="409">
        <v>40</v>
      </c>
      <c r="BL347" s="398" t="e">
        <f>IF(BK347=0,0,IF(LEN(BC347)=11,_xlfn.XLOOKUP(BC347,'Dispensed Ink Rates'!C:C,'Dispensed Ink Rates'!CS:CS),VLOOKUP(BC347,'Jan-2026 rates'!$E:$F,2,0)))</f>
        <v>#N/A</v>
      </c>
      <c r="BM347" s="409">
        <v>6</v>
      </c>
      <c r="BN347" s="398" t="e">
        <f>IF(BM347=0,0,IF(LEN(BD347)=11,_xlfn.XLOOKUP(BD347,'Dispensed Ink Rates'!C:C,'Dispensed Ink Rates'!CS:CS),VLOOKUP(BD347,'Jan-2026 rates'!$E:$F,2,0)))</f>
        <v>#N/A</v>
      </c>
      <c r="BO347" s="409">
        <v>4</v>
      </c>
      <c r="BP347" s="398" t="e">
        <f>IF(BO347=0,0,IF(LEN(BE347)=11,_xlfn.XLOOKUP(BE347,'Dispensed Ink Rates'!C:C,'Dispensed Ink Rates'!CS:CS),VLOOKUP(BE347,'Jan-2026 rates'!$E:$F,2,0)))</f>
        <v>#N/A</v>
      </c>
      <c r="BQ347" s="409"/>
      <c r="BR347" s="398">
        <f>IF(BQ347=0,0,IF(LEN(BF347)=11,_xlfn.XLOOKUP(BF347,'Dispensed Ink Rates'!C:C,'Dispensed Ink Rates'!CS:CS),VLOOKUP(BF347,'Jan-2026 rates'!$E:$F,2,0)))</f>
        <v>0</v>
      </c>
      <c r="BS347" s="409"/>
      <c r="BT347" s="398">
        <f>IF(BS347=0,0,IF(LEN(BG347)=11,_xlfn.XLOOKUP(BG347,'Dispensed Ink Rates'!C:C,'Dispensed Ink Rates'!CS:CS),VLOOKUP(BG347,'Jan-2026 rates'!$E:$F,2,0)))</f>
        <v>0</v>
      </c>
      <c r="BU347" s="409"/>
      <c r="BV347" s="398">
        <f>IF(BU347=0,0,IF(LEN(BH347)=11,_xlfn.XLOOKUP(BH347,'Dispensed Ink Rates'!C:C,'Dispensed Ink Rates'!CS:CS),VLOOKUP(BH347,'Jan-2026 rates'!$E:$F,2,0)))</f>
        <v>0</v>
      </c>
      <c r="BW347" s="409"/>
      <c r="BX347" s="398">
        <f>IF(BW347=0,0,IF(LEN(BI347)=11,_xlfn.XLOOKUP(BI347,'Dispensed Ink Rates'!C:C,'Dispensed Ink Rates'!CS:CS),VLOOKUP(BI347,'Jan-2026 rates'!$E:$F,2,0)))</f>
        <v>0</v>
      </c>
      <c r="BY347" s="409"/>
      <c r="BZ347" s="398">
        <f>IF(BY347=0,0,IF(LEN(BJ347)=11,_xlfn.XLOOKUP(BJ347,'Dispensed Ink Rates'!C:C,'Dispensed Ink Rates'!CS:CS),VLOOKUP(BJ347,'Jan-2026 rates'!$E:$F,2,0)))</f>
        <v>0</v>
      </c>
      <c r="CA347" s="409" t="s">
        <v>1443</v>
      </c>
      <c r="CB347" s="409">
        <v>27</v>
      </c>
      <c r="CC347" s="411">
        <f t="shared" si="215"/>
        <v>0</v>
      </c>
      <c r="CD347" s="411">
        <f t="shared" si="216"/>
        <v>74.414634146341456</v>
      </c>
      <c r="CE347" s="410">
        <f t="shared" si="217"/>
        <v>0</v>
      </c>
      <c r="CF347" s="404" t="s">
        <v>546</v>
      </c>
      <c r="CG347" s="409" t="s">
        <v>4315</v>
      </c>
      <c r="CH347" s="420" t="str">
        <f t="shared" si="185"/>
        <v>FLINTSL - REFLEX BLUE</v>
      </c>
      <c r="CI347" s="409">
        <v>17</v>
      </c>
      <c r="CJ347" s="411">
        <f>IF(CI347=0,0,IF($LB347=70%,VLOOKUP($CH347,'Jan-2026 rates'!$L:$R,4,0),IF($LB347=65%,VLOOKUP($CH347,'Jan-2026 rates'!$L:$R,4,0),IF($LB347=40%,VLOOKUP($CH347,'Jan-2026 rates'!$L:$R,5,0),IF($LB347=30%,VLOOKUP($CH347,'Jan-2026 rates'!$L:$R,6,0),IF($LB347=100%,VLOOKUP($CH347,'Jan-2026 rates'!$L:$R,7,0),IF($LB347=60%,VLOOKUP($CH347,'Jan-2026 rates'!$L:$S,8,0),IF($LB347=80%,VLOOKUP($CH347,'Jan-2026 rates'!L:T,9,0),0))))))))</f>
        <v>0</v>
      </c>
      <c r="CK347" s="412" t="s">
        <v>4107</v>
      </c>
      <c r="CL347" s="409">
        <v>10</v>
      </c>
      <c r="CM347" s="411">
        <f>IF(CL347=0,0,IF($LB347=70%,VLOOKUP($CH347,'Jan-2026 rates'!$L:$R,4,0),IF($LB347=65%,VLOOKUP($CH347,'Jan-2026 rates'!$L:$R,4,0),IF($LB347=40%,VLOOKUP($CH347,'Jan-2026 rates'!$L:$R,5,0),IF($LB347=30%,VLOOKUP($CH347,'Jan-2026 rates'!$L:$R,6,0),IF($LB347=100%,VLOOKUP($CH347,'Jan-2026 rates'!$L:$R,7,0),IF($LB347=60%,VLOOKUP($CH347,'Jan-2026 rates'!$L:$S,8,0),IF($LB347=80%,VLOOKUP($CH347,'Jan-2026 rates'!L:T,9,0),0))))))))</f>
        <v>0</v>
      </c>
      <c r="CN347" s="426">
        <v>26525000002</v>
      </c>
      <c r="CO347" s="427">
        <v>26524000028</v>
      </c>
      <c r="CP347" s="426"/>
      <c r="CQ347" s="426"/>
      <c r="CR347" s="428"/>
      <c r="CS347" s="428"/>
      <c r="CT347" s="428"/>
      <c r="CU347" s="428"/>
      <c r="CV347" s="409">
        <v>6</v>
      </c>
      <c r="CW347" s="398" t="e">
        <f>IF(CV347=0,0,IF(LEN(CN347)=11,_xlfn.XLOOKUP(CN347,'Dispensed Ink Rates'!C:C,'Dispensed Ink Rates'!CS:CS),VLOOKUP(CN347,'Jan-2026 rates'!$E:$F,2,0)))</f>
        <v>#N/A</v>
      </c>
      <c r="CX347" s="409">
        <v>1</v>
      </c>
      <c r="CY347" s="398" t="e">
        <f>IF(CX347=0,0,IF(LEN(CO347)=11,_xlfn.XLOOKUP(CO347,'Dispensed Ink Rates'!C:C,'Dispensed Ink Rates'!CS:CS),VLOOKUP(CO347,'Jan-2026 rates'!$E:$F,2,0)))</f>
        <v>#N/A</v>
      </c>
      <c r="CZ347" s="409"/>
      <c r="DA347" s="398">
        <f>IF(CZ347=0,0,IF(LEN(CP347)=11,_xlfn.XLOOKUP(CP347,'Dispensed Ink Rates'!C:C,'Dispensed Ink Rates'!CS:CS),VLOOKUP(CP347,'Jan-2026 rates'!$E:$F,2,0)))</f>
        <v>0</v>
      </c>
      <c r="DB347" s="409"/>
      <c r="DC347" s="398">
        <f>IF(DB347=0,0,IF(LEN(CQ347)=11,_xlfn.XLOOKUP(CQ347,'Dispensed Ink Rates'!C:C,'Dispensed Ink Rates'!CS:CS),VLOOKUP(CQ347,'Jan-2026 rates'!$E:$F,2,0)))</f>
        <v>0</v>
      </c>
      <c r="DD347" s="409"/>
      <c r="DE347" s="398">
        <f>IF(DD347=0,0,IF(LEN(CR347)=11,_xlfn.XLOOKUP(CR347,'Dispensed Ink Rates'!C:C,'Dispensed Ink Rates'!CS:CS),VLOOKUP(CR347,'Jan-2026 rates'!$E:$F,2,0)))</f>
        <v>0</v>
      </c>
      <c r="DF347" s="409"/>
      <c r="DG347" s="398">
        <f>IF(DF347=0,0,IF(LEN(CS347)=11,_xlfn.XLOOKUP(CS347,'Dispensed Ink Rates'!C:C,'Dispensed Ink Rates'!CS:CS),VLOOKUP(CS347,'Jan-2026 rates'!$E:$F,2,0)))</f>
        <v>0</v>
      </c>
      <c r="DH347" s="409"/>
      <c r="DI347" s="398">
        <f>IF(DH347=0,0,IF(LEN(CT347)=11,_xlfn.XLOOKUP(CT347,'Dispensed Ink Rates'!C:C,'Dispensed Ink Rates'!CS:CS),VLOOKUP(CT347,'Jan-2026 rates'!$E:$F,2,0)))</f>
        <v>0</v>
      </c>
      <c r="DJ347" s="409"/>
      <c r="DK347" s="398">
        <f>IF(DJ347=0,0,IF(LEN(CU347)=11,_xlfn.XLOOKUP(CU347,'Dispensed Ink Rates'!C:C,'Dispensed Ink Rates'!CS:CS),VLOOKUP(CU347,'Jan-2026 rates'!$E:$F,2,0)))</f>
        <v>0</v>
      </c>
      <c r="DL347" s="409" t="s">
        <v>1443</v>
      </c>
      <c r="DM347" s="409">
        <v>28</v>
      </c>
      <c r="DN347" s="411">
        <f t="shared" si="218"/>
        <v>0</v>
      </c>
      <c r="DO347" s="411">
        <f t="shared" si="219"/>
        <v>17.048780487804876</v>
      </c>
      <c r="DP347" s="410">
        <f t="shared" si="220"/>
        <v>0</v>
      </c>
      <c r="DQ347" s="405" t="s">
        <v>855</v>
      </c>
      <c r="DR347" s="409" t="s">
        <v>4687</v>
      </c>
      <c r="DS347" s="420" t="str">
        <f t="shared" si="186"/>
        <v>FLINTSL - CYAN</v>
      </c>
      <c r="DT347" s="409">
        <v>29</v>
      </c>
      <c r="DU347" s="411">
        <f>IF(DT347=0,0,IF($LB347=70%,VLOOKUP($DS347,'Jan-2026 rates'!$L:$R,4,0),IF($LB347=65%,VLOOKUP($DS347,'Jan-2026 rates'!$L:$R,4,0),IF($LB347=40%,VLOOKUP($DS347,'Jan-2026 rates'!$L:$R,5,0),IF($LB347=30%,VLOOKUP($DS347,'Jan-2026 rates'!$L:$R,6,0),IF($LB347=100%,VLOOKUP($DS347,'Jan-2026 rates'!$L:$R,7,0),IF($LB347=60%,VLOOKUP($DS347,'Jan-2026 rates'!$L:$S,8,0),IF($LB347=80%,VLOOKUP($DS347,'Jan-2026 rates'!L:T,9,0),0))))))))</f>
        <v>0</v>
      </c>
      <c r="DV347" s="412"/>
      <c r="DW347" s="409"/>
      <c r="DX347" s="411">
        <f>IF(DW347=0,0,IF($LB347=70%,VLOOKUP($DS347,'Jan-2026 rates'!$L:$R,4,0),IF($LB347=65%,VLOOKUP($DS347,'Jan-2026 rates'!$L:$R,4,0),IF($LB347=40%,VLOOKUP($DS347,'Jan-2026 rates'!$L:$R,5,0),IF($LB347=30%,VLOOKUP($DS347,'Jan-2026 rates'!$L:$R,6,0),IF($LB347=100%,VLOOKUP($DS347,'Jan-2026 rates'!$L:$R,7,0),IF($LB347=60%,VLOOKUP($DS347,'Jan-2026 rates'!$L:$S,8,0),IF($LB347=80%,VLOOKUP($DS347,'Jan-2026 rates'!L:T,9,0),0))))))))</f>
        <v>0</v>
      </c>
      <c r="DY347" s="413"/>
      <c r="DZ347" s="413"/>
      <c r="EA347" s="412"/>
      <c r="EB347" s="412"/>
      <c r="EC347" s="412"/>
      <c r="ED347" s="412"/>
      <c r="EE347" s="412"/>
      <c r="EF347" s="412"/>
      <c r="EG347" s="409"/>
      <c r="EH347" s="398">
        <f>IF(EG347=0,0,IF(LEN(DY347)=11,_xlfn.XLOOKUP(DY347,'Dispensed Ink Rates'!C:C,'Dispensed Ink Rates'!CS:CS),VLOOKUP(DY347,'Jan-2026 rates'!$E:$F,2,0)))</f>
        <v>0</v>
      </c>
      <c r="EI347" s="409"/>
      <c r="EJ347" s="398">
        <f>IF(EI347=0,0,IF(LEN(DZ347)=11,_xlfn.XLOOKUP(DZ347,'Dispensed Ink Rates'!C:C,'Dispensed Ink Rates'!CS:CS),VLOOKUP(DZ347,'Jan-2026 rates'!$E:$F,2,0)))</f>
        <v>0</v>
      </c>
      <c r="EK347" s="409"/>
      <c r="EL347" s="398">
        <f>IF(EK347=0,0,IF(LEN(EA347)=11,_xlfn.XLOOKUP(EA347,'Dispensed Ink Rates'!C:C,'Dispensed Ink Rates'!CS:CS),VLOOKUP(EA347,'Jan-2026 rates'!$E:$F,2,0)))</f>
        <v>0</v>
      </c>
      <c r="EM347" s="409"/>
      <c r="EN347" s="398">
        <f>IF(EM347=0,0,IF(LEN(EB347)=11,_xlfn.XLOOKUP(EB347,'Dispensed Ink Rates'!C:C,'Dispensed Ink Rates'!CS:CS),VLOOKUP(EB347,'Jan-2026 rates'!$E:$F,2,0)))</f>
        <v>0</v>
      </c>
      <c r="EO347" s="409"/>
      <c r="EP347" s="398">
        <f>IF(EO347=0,0,IF(LEN(EC347)=11,_xlfn.XLOOKUP(EC347,'Dispensed Ink Rates'!C:C,'Dispensed Ink Rates'!CS:CS),VLOOKUP(EC347,'Jan-2026 rates'!$E:$F,2,0)))</f>
        <v>0</v>
      </c>
      <c r="EQ347" s="409"/>
      <c r="ER347" s="398">
        <f>IF(EQ347=0,0,IF(LEN(ED347)=11,_xlfn.XLOOKUP(ED347,'Dispensed Ink Rates'!C:C,'Dispensed Ink Rates'!CS:CS),VLOOKUP(ED347,'Jan-2026 rates'!$E:$F,2,0)))</f>
        <v>0</v>
      </c>
      <c r="ES347" s="409"/>
      <c r="ET347" s="398">
        <f>IF(ES347=0,0,IF(LEN(EE347)=11,_xlfn.XLOOKUP(EE347,'Dispensed Ink Rates'!C:C,'Dispensed Ink Rates'!CS:CS),VLOOKUP(EE347,'Jan-2026 rates'!$E:$F,2,0)))</f>
        <v>0</v>
      </c>
      <c r="EU347" s="409"/>
      <c r="EV347" s="398">
        <f>IF(EU347=0,0,IF(LEN(EF347)=11,_xlfn.XLOOKUP(EF347,'Dispensed Ink Rates'!C:C,'Dispensed Ink Rates'!CS:CS),VLOOKUP(EF347,'Jan-2026 rates'!$E:$F,2,0)))</f>
        <v>0</v>
      </c>
      <c r="EW347" s="409" t="s">
        <v>1443</v>
      </c>
      <c r="EX347" s="409">
        <v>28</v>
      </c>
      <c r="EY347" s="411">
        <f t="shared" si="221"/>
        <v>0</v>
      </c>
      <c r="EZ347" s="411">
        <f t="shared" si="222"/>
        <v>4.6829268292682897</v>
      </c>
      <c r="FA347" s="410">
        <f t="shared" si="223"/>
        <v>0</v>
      </c>
      <c r="FB347" s="405" t="s">
        <v>544</v>
      </c>
      <c r="FC347" s="409" t="s">
        <v>4688</v>
      </c>
      <c r="FD347" s="420" t="str">
        <f t="shared" si="187"/>
        <v>FLINTSL - MAGENTA</v>
      </c>
      <c r="FE347" s="409">
        <v>36</v>
      </c>
      <c r="FF347" s="411">
        <f>IF(FE347=0,0,IF($LB347=70%,VLOOKUP($FD347,'Jan-2026 rates'!$L:$R,4,0),IF($LB347=65%,VLOOKUP($FD347,'Jan-2026 rates'!$L:$R,4,0),IF($LB347=40%,VLOOKUP($FD347,'Jan-2026 rates'!$L:$R,5,0),IF($LB347=30%,VLOOKUP($FD347,'Jan-2026 rates'!$L:$R,6,0),IF($LB347=100%,VLOOKUP($FD347,'Jan-2026 rates'!$L:$R,7,0),IF($LB347=60%,VLOOKUP($FD347,'Jan-2026 rates'!$L:$S,8,0),IF($LB347=80%,VLOOKUP($FD347,'Jan-2026 rates'!L:T,9,0),0))))))))</f>
        <v>0</v>
      </c>
      <c r="FG347" s="412"/>
      <c r="FH347" s="409"/>
      <c r="FI347" s="411">
        <f>IF(FH347=0,0,IF($LB347=70%,VLOOKUP($FD347,'Jan-2026 rates'!$L:$R,4,0),IF($LB347=65%,VLOOKUP($FD347,'Jan-2026 rates'!$L:$R,4,0),IF($LB347=40%,VLOOKUP($FD347,'Jan-2026 rates'!$L:$R,5,0),IF($LB347=30%,VLOOKUP($FD347,'Jan-2026 rates'!$L:$R,6,0),IF($LB347=100%,VLOOKUP($FD347,'Jan-2026 rates'!$L:$R,7,0),IF($LB347=60%,VLOOKUP($FD347,'Jan-2026 rates'!$L:$S,8,0),IF($LB347=80%,VLOOKUP($FD347,'Jan-2026 rates'!L:T,9,0),0))))))))</f>
        <v>0</v>
      </c>
      <c r="FJ347" s="413">
        <v>26524000028</v>
      </c>
      <c r="FK347" s="413"/>
      <c r="FL347" s="413"/>
      <c r="FM347" s="412"/>
      <c r="FN347" s="412"/>
      <c r="FO347" s="412"/>
      <c r="FP347" s="412"/>
      <c r="FQ347" s="412"/>
      <c r="FR347" s="409">
        <v>2</v>
      </c>
      <c r="FS347" s="398" t="e">
        <f>IF(FR347=0,0,IF(LEN(FJ347)=11,_xlfn.XLOOKUP(FJ347,'Dispensed Ink Rates'!C:C,'Dispensed Ink Rates'!CS:CS),VLOOKUP(FJ347,'Jan-2026 rates'!$E:$F,2,0)))</f>
        <v>#N/A</v>
      </c>
      <c r="FT347" s="409"/>
      <c r="FU347" s="398">
        <f>IF(FT347=0,0,IF(LEN(FK347)=11,_xlfn.XLOOKUP(FK347,'Dispensed Ink Rates'!C:C,'Dispensed Ink Rates'!CS:CS),VLOOKUP(FK347,'Jan-2026 rates'!$E:$F,2,0)))</f>
        <v>0</v>
      </c>
      <c r="FV347" s="409"/>
      <c r="FW347" s="398">
        <f>IF(FV347=0,0,IF(LEN(FL347)=11,_xlfn.XLOOKUP(FL347,'Dispensed Ink Rates'!C:C,'Dispensed Ink Rates'!CS:CS),VLOOKUP(FL347,'Jan-2026 rates'!$E:$F,2,0)))</f>
        <v>0</v>
      </c>
      <c r="FX347" s="409"/>
      <c r="FY347" s="398">
        <f>IF(FX347=0,0,IF(LEN(FM347)=11,_xlfn.XLOOKUP(FM347,'Dispensed Ink Rates'!C:C,'Dispensed Ink Rates'!CS:CS),VLOOKUP(FM347,'Jan-2026 rates'!$E:$F,2,0)))</f>
        <v>0</v>
      </c>
      <c r="FZ347" s="409"/>
      <c r="GA347" s="398">
        <f>IF(FZ347=0,0,IF(LEN(FN347)=11,_xlfn.XLOOKUP(FN347,'Dispensed Ink Rates'!C:C,'Dispensed Ink Rates'!CS:CS),VLOOKUP(FN347,'Jan-2026 rates'!$E:$F,2,0)))</f>
        <v>0</v>
      </c>
      <c r="GB347" s="409"/>
      <c r="GC347" s="398">
        <f>IF(GB347=0,0,IF(LEN(FO347)=11,_xlfn.XLOOKUP(FO347,'Dispensed Ink Rates'!C:C,'Dispensed Ink Rates'!CS:CS),VLOOKUP(FO347,'Jan-2026 rates'!$E:$F,2,0)))</f>
        <v>0</v>
      </c>
      <c r="GD347" s="409"/>
      <c r="GE347" s="398">
        <f>IF(GD347=0,0,IF(LEN(FP347)=11,_xlfn.XLOOKUP(FP347,'Dispensed Ink Rates'!C:C,'Dispensed Ink Rates'!CS:CS),VLOOKUP(FP347,'Jan-2026 rates'!$E:$F,2,0)))</f>
        <v>0</v>
      </c>
      <c r="GF347" s="409"/>
      <c r="GG347" s="398">
        <f>IF(GF347=0,0,IF(LEN(FQ347)=11,_xlfn.XLOOKUP(FQ347,'Dispensed Ink Rates'!C:C,'Dispensed Ink Rates'!CS:CS),VLOOKUP(FQ347,'Jan-2026 rates'!$E:$F,2,0)))</f>
        <v>0</v>
      </c>
      <c r="GH347" s="409" t="s">
        <v>1443</v>
      </c>
      <c r="GI347" s="409">
        <v>33</v>
      </c>
      <c r="GJ347" s="411">
        <f t="shared" si="224"/>
        <v>0</v>
      </c>
      <c r="GK347" s="411">
        <f t="shared" si="225"/>
        <v>6.8414634146341484</v>
      </c>
      <c r="GL347" s="410">
        <f t="shared" si="226"/>
        <v>0</v>
      </c>
      <c r="GM347" s="405" t="s">
        <v>545</v>
      </c>
      <c r="GN347" s="409" t="s">
        <v>4689</v>
      </c>
      <c r="GO347" s="420" t="str">
        <f t="shared" si="188"/>
        <v>FLINTSL - YELLOW</v>
      </c>
      <c r="GP347" s="409">
        <v>30</v>
      </c>
      <c r="GQ347" s="411">
        <f>IF(GP347=0,0,IF($LB347=70%,VLOOKUP($GO347,'Jan-2026 rates'!$L:$R,4,0),IF($LB347=65%,VLOOKUP($GO347,'Jan-2026 rates'!$L:$R,4,0),IF($LB347=40%,VLOOKUP($GO347,'Jan-2026 rates'!$L:$R,5,0),IF($LB347=30%,VLOOKUP($GO347,'Jan-2026 rates'!$L:$R,6,0),IF($LB347=100%,VLOOKUP($GO347,'Jan-2026 rates'!$L:$R,7,0),IF($LB347=60%,VLOOKUP($GO347,'Jan-2026 rates'!$L:$S,8,0),IF($LB347=80%,VLOOKUP($GO347,'Jan-2026 rates'!L:T,9,0),0))))))))</f>
        <v>0</v>
      </c>
      <c r="GR347" s="412"/>
      <c r="GS347" s="409"/>
      <c r="GT347" s="411">
        <f>IF(GS347=0,0,IF($LB347=70%,VLOOKUP($GO347,'Jan-2026 rates'!$L:$R,4,0),IF($LB347=65%,VLOOKUP($GO347,'Jan-2026 rates'!$L:$R,4,0),IF($LB347=40%,VLOOKUP($GO347,'Jan-2026 rates'!$L:$R,5,0),IF($LB347=30%,VLOOKUP($GO347,'Jan-2026 rates'!$L:$R,6,0),IF($LB347=100%,VLOOKUP($GO347,'Jan-2026 rates'!$L:$R,7,0),IF($LB347=60%,VLOOKUP($GO347,'Jan-2026 rates'!$L:$S,8,0),IF($LB347=80%,VLOOKUP($GO347,'Jan-2026 rates'!L:T,9,0),0))))))))</f>
        <v>0</v>
      </c>
      <c r="GU347" s="413">
        <v>26526000035</v>
      </c>
      <c r="GV347" s="413"/>
      <c r="GW347" s="412"/>
      <c r="GX347" s="412"/>
      <c r="GY347" s="412"/>
      <c r="GZ347" s="412"/>
      <c r="HA347" s="412"/>
      <c r="HB347" s="412"/>
      <c r="HC347" s="409">
        <v>2</v>
      </c>
      <c r="HD347" s="398" t="e">
        <f>IF(HC347=0,0,IF(LEN(GU347)=11,_xlfn.XLOOKUP(GU347,'Dispensed Ink Rates'!C:C,'Dispensed Ink Rates'!CS:CS),VLOOKUP(GU347,'Jan-2026 rates'!$E:$F,2,0)))</f>
        <v>#N/A</v>
      </c>
      <c r="HE347" s="409"/>
      <c r="HF347" s="398">
        <f>IF(HE347=0,0,IF(LEN(GV347)=11,_xlfn.XLOOKUP(GV347,'Dispensed Ink Rates'!C:C,'Dispensed Ink Rates'!CS:CS),VLOOKUP(GV347,'Jan-2026 rates'!$E:$F,2,0)))</f>
        <v>0</v>
      </c>
      <c r="HG347" s="409"/>
      <c r="HH347" s="398">
        <f>IF(HG347=0,0,IF(LEN(GW347)=11,_xlfn.XLOOKUP(GW347,'Dispensed Ink Rates'!C:C,'Dispensed Ink Rates'!CS:CS),VLOOKUP(GW347,'Jan-2026 rates'!$E:$F,2,0)))</f>
        <v>0</v>
      </c>
      <c r="HI347" s="409"/>
      <c r="HJ347" s="398">
        <f>IF(HI347=0,0,IF(LEN(GX347)=11,_xlfn.XLOOKUP(GX347,'Dispensed Ink Rates'!C:C,'Dispensed Ink Rates'!CS:CS),VLOOKUP(GX347,'Jan-2026 rates'!$E:$F,2,0)))</f>
        <v>0</v>
      </c>
      <c r="HK347" s="409"/>
      <c r="HL347" s="398">
        <f>IF(HK347=0,0,IF(LEN(GY347)=11,_xlfn.XLOOKUP(GY347,'Dispensed Ink Rates'!C:C,'Dispensed Ink Rates'!CS:CS),VLOOKUP(GY347,'Jan-2026 rates'!$E:$F,2,0)))</f>
        <v>0</v>
      </c>
      <c r="HM347" s="409"/>
      <c r="HN347" s="398">
        <f>IF(HM347=0,0,IF(LEN(GZ347)=11,_xlfn.XLOOKUP(GZ347,'Dispensed Ink Rates'!C:C,'Dispensed Ink Rates'!CS:CS),VLOOKUP(GZ347,'Jan-2026 rates'!$E:$F,2,0)))</f>
        <v>0</v>
      </c>
      <c r="HO347" s="409"/>
      <c r="HP347" s="398">
        <f>IF(HO347=0,0,IF(LEN(HA347)=11,_xlfn.XLOOKUP(HA347,'Dispensed Ink Rates'!C:C,'Dispensed Ink Rates'!CS:CS),VLOOKUP(HA347,'Jan-2026 rates'!$E:$F,2,0)))</f>
        <v>0</v>
      </c>
      <c r="HQ347" s="409"/>
      <c r="HR347" s="398">
        <f>IF(HQ347=0,0,IF(LEN(HB347)=11,_xlfn.XLOOKUP(HB347,'Dispensed Ink Rates'!C:C,'Dispensed Ink Rates'!CS:CS),VLOOKUP(HB347,'Jan-2026 rates'!$E:$F,2,0)))</f>
        <v>0</v>
      </c>
      <c r="HS347" s="409" t="s">
        <v>1443</v>
      </c>
      <c r="HT347" s="409">
        <v>30</v>
      </c>
      <c r="HU347" s="411">
        <f t="shared" si="227"/>
        <v>0</v>
      </c>
      <c r="HV347" s="411">
        <f t="shared" si="228"/>
        <v>7.5243902439024382</v>
      </c>
      <c r="HW347" s="414">
        <f t="shared" si="229"/>
        <v>0</v>
      </c>
      <c r="HX347" s="405" t="s">
        <v>856</v>
      </c>
      <c r="HY347" s="409" t="s">
        <v>4690</v>
      </c>
      <c r="HZ347" s="420" t="str">
        <f t="shared" si="189"/>
        <v>FLINTSL - WHITE</v>
      </c>
      <c r="IA347" s="409">
        <v>30</v>
      </c>
      <c r="IB347" s="411">
        <f>IF(IA347=0,0,IF($LB347=70%,VLOOKUP($HZ347,'Jan-2026 rates'!$L:$R,4,0),IF($LB347=65%,VLOOKUP($HZ347,'Jan-2026 rates'!$L:$R,4,0),IF($LB347=40%,VLOOKUP($HZ347,'Jan-2026 rates'!$L:$R,5,0),IF($LB347=30%,VLOOKUP($HZ347,'Jan-2026 rates'!$L:$R,6,0),IF($LB347=100%,VLOOKUP($HZ347,'Jan-2026 rates'!$L:$R,7,0),IF($LB347=60%,VLOOKUP($HZ347,'Jan-2026 rates'!$L:$S,8,0),IF($LB347=80%,VLOOKUP($HZ347,'Jan-2026 rates'!L:T,9,0),0))))))))</f>
        <v>0</v>
      </c>
      <c r="IC347" s="412"/>
      <c r="ID347" s="409"/>
      <c r="IE347" s="411">
        <f>IF(ID347=0,0,IF($LB347=70%,VLOOKUP($HZ347,'Jan-2026 rates'!$L:$R,4,0),IF($LB347=65%,VLOOKUP($HZ347,'Jan-2026 rates'!$L:$R,4,0),IF($LB347=40%,VLOOKUP($HZ347,'Jan-2026 rates'!$L:$R,5,0),IF($LB347=30%,VLOOKUP($HZ347,'Jan-2026 rates'!$L:$R,6,0),IF($LB347=100%,VLOOKUP($HZ347,'Jan-2026 rates'!$L:$R,7,0),IF($LB347=60%,VLOOKUP($HZ347,'Jan-2026 rates'!$L:$S,8,0),IF($LB347=80%,VLOOKUP($HZ347,'Jan-2026 rates'!L:T,9,0),0))))))))</f>
        <v>0</v>
      </c>
      <c r="IF347" s="412" t="s">
        <v>484</v>
      </c>
      <c r="IG347" s="413"/>
      <c r="IH347" s="412"/>
      <c r="II347" s="412"/>
      <c r="IJ347" s="412"/>
      <c r="IK347" s="412"/>
      <c r="IL347" s="412"/>
      <c r="IM347" s="412"/>
      <c r="IN347" s="409">
        <f>50+50</f>
        <v>100</v>
      </c>
      <c r="IO347" s="398">
        <f>IF(IN347=0,0,IF(LEN(IF347)=11,_xlfn.XLOOKUP(IF347,'Dispensed Ink Rates'!C:C,'Dispensed Ink Rates'!CS:CS),VLOOKUP(IF347,'Jan-2026 rates'!$E:$F,2,0)))</f>
        <v>0</v>
      </c>
      <c r="IP347" s="409"/>
      <c r="IQ347" s="398">
        <f>IF(IP347=0,0,IF(LEN(IG347)=11,_xlfn.XLOOKUP(IG347,'Dispensed Ink Rates'!C:C,'Dispensed Ink Rates'!CS:CS),VLOOKUP(IG347,'Jan-2026 rates'!$E:$F,2,0)))</f>
        <v>0</v>
      </c>
      <c r="IR347" s="409"/>
      <c r="IS347" s="398">
        <f>IF(IR347=0,0,IF(LEN(IH347)=11,_xlfn.XLOOKUP(IH347,'Dispensed Ink Rates'!C:C,'Dispensed Ink Rates'!CS:CS),VLOOKUP(IH347,'Jan-2026 rates'!$E:$F,2,0)))</f>
        <v>0</v>
      </c>
      <c r="IT347" s="409"/>
      <c r="IU347" s="398">
        <f>IF(IT347=0,0,IF(LEN(II347)=11,_xlfn.XLOOKUP(II347,'Dispensed Ink Rates'!C:C,'Dispensed Ink Rates'!CS:CS),VLOOKUP(II347,'Jan-2026 rates'!$E:$F,2,0)))</f>
        <v>0</v>
      </c>
      <c r="IV347" s="409"/>
      <c r="IW347" s="398">
        <f>IF(IV347=0,0,IF(LEN(IJ347)=11,_xlfn.XLOOKUP(IJ347,'Dispensed Ink Rates'!C:C,'Dispensed Ink Rates'!CS:CS),VLOOKUP(IJ347,'Jan-2026 rates'!$E:$F,2,0)))</f>
        <v>0</v>
      </c>
      <c r="IX347" s="409"/>
      <c r="IY347" s="398">
        <f>IF(IX347=0,0,IF(LEN(IK347)=11,_xlfn.XLOOKUP(IK347,'Dispensed Ink Rates'!C:C,'Dispensed Ink Rates'!CS:CS),VLOOKUP(IK347,'Jan-2026 rates'!$E:$F,2,0)))</f>
        <v>0</v>
      </c>
      <c r="IZ347" s="409"/>
      <c r="JA347" s="398">
        <f>IF(IZ347=0,0,IF(LEN(IL347)=11,_xlfn.XLOOKUP(IL347,'Dispensed Ink Rates'!C:C,'Dispensed Ink Rates'!CS:CS),VLOOKUP(IL347,'Jan-2026 rates'!$E:$F,2,0)))</f>
        <v>0</v>
      </c>
      <c r="JB347" s="409"/>
      <c r="JC347" s="398">
        <f>IF(JB347=0,0,IF(LEN(IM347)=11,_xlfn.XLOOKUP(IM347,'Dispensed Ink Rates'!C:C,'Dispensed Ink Rates'!CS:CS),VLOOKUP(IM347,'Jan-2026 rates'!$E:$F,2,0)))</f>
        <v>0</v>
      </c>
      <c r="JD347" s="409" t="s">
        <v>1443</v>
      </c>
      <c r="JE347" s="409">
        <v>30</v>
      </c>
      <c r="JF347" s="411">
        <f t="shared" si="230"/>
        <v>0</v>
      </c>
      <c r="JG347" s="411">
        <f t="shared" si="231"/>
        <v>210.48780487804879</v>
      </c>
      <c r="JH347" s="410">
        <f t="shared" si="232"/>
        <v>0</v>
      </c>
      <c r="JI347" s="405"/>
      <c r="JJ347" s="409"/>
      <c r="JK347" s="420" t="str">
        <f t="shared" si="190"/>
        <v xml:space="preserve"> - </v>
      </c>
      <c r="JL347" s="409"/>
      <c r="JM347" s="411">
        <f>IF(JL347=0,0,IF($LB347=70%,VLOOKUP($JK347,'Jan-2026 rates'!$L:$R,4,0),IF($LB347=65%,VLOOKUP($JK347,'Jan-2026 rates'!$L:$R,4,0),IF($LB347=40%,VLOOKUP($JK347,'Jan-2026 rates'!$L:$R,5,0),IF($LB347=30%,VLOOKUP($JK347,'Jan-2026 rates'!$L:$R,6,0),IF($LB347=100%,VLOOKUP($JK347,'Jan-2026 rates'!$L:$R,7,0),IF($LB347=60%,VLOOKUP($JK347,'Jan-2026 rates'!$L:$S,8,0),IF($LB347=80%,VLOOKUP($JK347,'Jan-2026 rates'!L:T,9,0),0))))))))</f>
        <v>0</v>
      </c>
      <c r="JN347" s="412"/>
      <c r="JO347" s="409"/>
      <c r="JP347" s="411">
        <f>IF(JO347=0,0,IF($LB347=70%,VLOOKUP($JK347,'Jan-2026 rates'!$L:$R,4,0),IF($LB347=65%,VLOOKUP($JK347,'Jan-2026 rates'!$L:$R,4,0),IF($LB347=40%,VLOOKUP($JK347,'Jan-2026 rates'!$L:$R,5,0),IF($LB347=30%,VLOOKUP($JK347,'Jan-2026 rates'!$L:$R,6,0),IF($LB347=100%,VLOOKUP($JK347,'Jan-2026 rates'!$L:$R,7,0),IF($LB347=60%,VLOOKUP($JK347,'Jan-2026 rates'!$L:$S,8,0),IF($LB347=80%,VLOOKUP($JK347,'Jan-2026 rates'!L:T,9,0),0))))))))</f>
        <v>0</v>
      </c>
      <c r="JQ347" s="413"/>
      <c r="JR347" s="412"/>
      <c r="JS347" s="413"/>
      <c r="JT347" s="413"/>
      <c r="JU347" s="412"/>
      <c r="JV347" s="412"/>
      <c r="JW347" s="412"/>
      <c r="JX347" s="412"/>
      <c r="JY347" s="409"/>
      <c r="JZ347" s="398">
        <f>IF(JY347=0,0,IF(LEN(JQ347)=11,_xlfn.XLOOKUP(JQ347,'Dispensed Ink Rates'!C:C,'Dispensed Ink Rates'!CS:CS),VLOOKUP(JQ347,'Jan-2026 rates'!$E:$F,2,0)))</f>
        <v>0</v>
      </c>
      <c r="KA347" s="409"/>
      <c r="KB347" s="398">
        <f>IF(KA347=0,0,IF(LEN(JR347)=11,_xlfn.XLOOKUP(JR347,'Dispensed Ink Rates'!C:C,'Dispensed Ink Rates'!CS:CS),VLOOKUP(JR347,'Jan-2026 rates'!$E:$F,2,0)))</f>
        <v>0</v>
      </c>
      <c r="KC347" s="409"/>
      <c r="KD347" s="398">
        <f>IF(KC347=0,0,IF(LEN(JS347)=11,_xlfn.XLOOKUP(JS347,'Dispensed Ink Rates'!C:C,'Dispensed Ink Rates'!CS:CS),VLOOKUP(JS347,'Jan-2026 rates'!$E:$F,2,0)))</f>
        <v>0</v>
      </c>
      <c r="KE347" s="409"/>
      <c r="KF347" s="398">
        <f>IF(KE347=0,0,IF(LEN(JT347)=11,_xlfn.XLOOKUP(JT347,'Dispensed Ink Rates'!C:C,'Dispensed Ink Rates'!CS:CS),VLOOKUP(JT347,'Jan-2026 rates'!$E:$F,2,0)))</f>
        <v>0</v>
      </c>
      <c r="KG347" s="409"/>
      <c r="KH347" s="398">
        <f>IF(KG347=0,0,IF(LEN(JU347)=11,_xlfn.XLOOKUP(JU347,'Dispensed Ink Rates'!C:C,'Dispensed Ink Rates'!CS:CS),VLOOKUP(JU347,'Jan-2026 rates'!$E:$F,2,0)))</f>
        <v>0</v>
      </c>
      <c r="KI347" s="409"/>
      <c r="KJ347" s="398">
        <f>IF(KI347=0,0,IF(LEN(JV347)=11,_xlfn.XLOOKUP(JV347,'Dispensed Ink Rates'!C:C,'Dispensed Ink Rates'!CS:CS),VLOOKUP(JV347,'Jan-2026 rates'!$E:$F,2,0)))</f>
        <v>0</v>
      </c>
      <c r="KK347" s="409"/>
      <c r="KL347" s="398">
        <f>IF(KK347=0,0,IF(LEN(JW347)=11,_xlfn.XLOOKUP(JW347,'Dispensed Ink Rates'!C:C,'Dispensed Ink Rates'!CS:CS),VLOOKUP(JW347,'Jan-2026 rates'!$E:$F,2,0)))</f>
        <v>0</v>
      </c>
      <c r="KM347" s="428"/>
      <c r="KN347" s="398">
        <f>IF(KM347=0,0,IF(LEN(JX347)=11,_xlfn.XLOOKUP(JX347,'Dispensed Ink Rates'!C:C,'Dispensed Ink Rates'!CS:CS),VLOOKUP(JX347,'Jan-2026 rates'!$E:$F,2,0)))</f>
        <v>0</v>
      </c>
      <c r="KO347" s="409"/>
      <c r="KP347" s="409"/>
      <c r="KQ347" s="411">
        <f t="shared" si="233"/>
        <v>0</v>
      </c>
      <c r="KR347" s="411">
        <f t="shared" si="234"/>
        <v>0</v>
      </c>
      <c r="KS347" s="410">
        <f t="shared" si="235"/>
        <v>0</v>
      </c>
      <c r="KT347" s="409">
        <v>0</v>
      </c>
      <c r="KU347" s="409">
        <v>10</v>
      </c>
      <c r="KV347" s="409">
        <v>6</v>
      </c>
      <c r="KW347" s="409">
        <v>2</v>
      </c>
      <c r="KX347" s="409">
        <v>1</v>
      </c>
      <c r="KY347" s="409">
        <v>3</v>
      </c>
      <c r="KZ347" s="409">
        <f>30+30</f>
        <v>60</v>
      </c>
      <c r="LA347" s="409">
        <v>0</v>
      </c>
      <c r="LB347" s="415">
        <v>0.8</v>
      </c>
      <c r="LC347" s="415">
        <v>0.2</v>
      </c>
      <c r="LD347" s="424"/>
      <c r="LE347" s="415"/>
      <c r="LF347" s="415"/>
      <c r="LG347" s="409">
        <v>0</v>
      </c>
      <c r="LH347" s="409">
        <f>60+41+40+10</f>
        <v>151</v>
      </c>
      <c r="LI347" s="409">
        <v>0</v>
      </c>
      <c r="LJ347" s="409">
        <v>0</v>
      </c>
      <c r="LK347" s="416">
        <f t="shared" si="191"/>
        <v>151</v>
      </c>
      <c r="LL347" s="416">
        <f t="shared" si="237"/>
        <v>151</v>
      </c>
      <c r="LM347" s="417">
        <f t="shared" si="193"/>
        <v>120.80000000000001</v>
      </c>
      <c r="LN347" s="417">
        <f>VLOOKUP($LM$8,'Jan-2026 rates'!$H:$I,2,0)</f>
        <v>0</v>
      </c>
      <c r="LO347" s="417">
        <f t="shared" si="194"/>
        <v>30.200000000000003</v>
      </c>
      <c r="LP347" s="417">
        <f>VLOOKUP($LO$8,'Jan-2026 rates'!$H:$I,2,0)</f>
        <v>0</v>
      </c>
      <c r="LQ347" s="417">
        <f t="shared" si="195"/>
        <v>0</v>
      </c>
      <c r="LR347" s="417">
        <f>VLOOKUP($LQ$8,'Jan-2026 rates'!$H:$I,2,0)</f>
        <v>0</v>
      </c>
      <c r="LS347" s="417">
        <f t="shared" si="196"/>
        <v>0</v>
      </c>
      <c r="LT347" s="417">
        <f>VLOOKUP($LS$8,'Jan-2026 rates'!$H:$I,2,0)</f>
        <v>0</v>
      </c>
      <c r="LU347" s="417">
        <f t="shared" si="197"/>
        <v>0</v>
      </c>
      <c r="LV347" s="417">
        <f>VLOOKUP($LU$8,'Jan-2026 rates'!$H:$I,2,0)</f>
        <v>0</v>
      </c>
      <c r="LW347" s="417">
        <f t="shared" si="198"/>
        <v>0</v>
      </c>
      <c r="LX347" s="417">
        <f t="shared" si="199"/>
        <v>0</v>
      </c>
      <c r="LY347" s="418">
        <f t="shared" si="200"/>
        <v>0</v>
      </c>
      <c r="LZ347" s="417"/>
      <c r="MA347" s="435">
        <f t="shared" si="201"/>
        <v>161</v>
      </c>
      <c r="MB347" s="282">
        <f t="shared" si="202"/>
        <v>326</v>
      </c>
      <c r="MC347" s="283">
        <v>190</v>
      </c>
      <c r="MD347" s="284" t="str">
        <f t="shared" si="203"/>
        <v>FLINTSLFLINTSLFLINTSLFLINTSLFLINTSLFLINTSLFLINTSL</v>
      </c>
      <c r="ME347" s="293" t="str">
        <f t="shared" si="204"/>
        <v>+</v>
      </c>
      <c r="MF347" s="293" t="str">
        <f t="shared" si="205"/>
        <v>+</v>
      </c>
      <c r="MG347" s="293" t="str">
        <f t="shared" si="206"/>
        <v>+</v>
      </c>
      <c r="MH347" s="293" t="str">
        <f t="shared" si="207"/>
        <v>+</v>
      </c>
      <c r="MI347" s="293" t="str">
        <f t="shared" si="208"/>
        <v>+</v>
      </c>
      <c r="MJ347" s="293" t="str">
        <f t="shared" si="209"/>
        <v>+</v>
      </c>
      <c r="MK347" s="293" t="str">
        <f t="shared" si="210"/>
        <v>+</v>
      </c>
      <c r="ML347" s="293" t="str">
        <f t="shared" si="211"/>
        <v>NIL</v>
      </c>
      <c r="MM347" s="3" t="b">
        <f t="array" ref="MM347">OR(ME347:ML347="-")</f>
        <v>0</v>
      </c>
      <c r="MO347" s="401">
        <f t="shared" si="238"/>
        <v>64.682539682539684</v>
      </c>
      <c r="MP347" s="286"/>
      <c r="MR347" s="402">
        <f t="shared" si="239"/>
        <v>1.2164179104477611E-2</v>
      </c>
      <c r="MS347" s="400">
        <f t="shared" si="240"/>
        <v>0</v>
      </c>
      <c r="MT347" s="285"/>
      <c r="NH347" s="361"/>
      <c r="NJ347" s="282"/>
    </row>
    <row r="348" spans="1:374" ht="16.5">
      <c r="A348" s="403">
        <v>46046</v>
      </c>
      <c r="B348" s="404" t="s">
        <v>1018</v>
      </c>
      <c r="C348" s="405" t="s">
        <v>4691</v>
      </c>
      <c r="D348" s="404">
        <v>191</v>
      </c>
      <c r="E348" s="404">
        <v>299</v>
      </c>
      <c r="F348" s="407">
        <v>10000</v>
      </c>
      <c r="G348" s="407" t="s">
        <v>1016</v>
      </c>
      <c r="H348" s="408" t="s">
        <v>1017</v>
      </c>
      <c r="I348" s="409">
        <v>2</v>
      </c>
      <c r="J348" s="405" t="s">
        <v>543</v>
      </c>
      <c r="K348" s="404" t="s">
        <v>4692</v>
      </c>
      <c r="L348" s="419" t="str">
        <f t="shared" si="184"/>
        <v>FLINTSL - BLACK</v>
      </c>
      <c r="M348" s="404">
        <v>30</v>
      </c>
      <c r="N348" s="410">
        <f>IF(M348=0,0,IF($LB348=70%,VLOOKUP($L348,'Jan-2026 rates'!$L:$R,4,0),IF($LB348=65%,VLOOKUP($L348,'Jan-2026 rates'!$L:$R,4,0),IF($LB348=40%,VLOOKUP($L348,'Jan-2026 rates'!$L:$R,5,0),IF($LB348=30%,VLOOKUP($L348,'Jan-2026 rates'!$L:$R,6,0),IF($LB348=100%,VLOOKUP($L348,'Jan-2026 rates'!$L:$R,7,0),IF($LB348=60%,VLOOKUP($L348,'Jan-2026 rates'!$L:$S,8,0),IF($LB348=80%,VLOOKUP($L348,'Jan-2026 rates'!L:T,9,0),0))))))))</f>
        <v>0</v>
      </c>
      <c r="O348" s="406"/>
      <c r="P348" s="404"/>
      <c r="Q348" s="410">
        <f>IF(P348=0,0,IF($LB348=70%,VLOOKUP($L348,'Jan-2026 rates'!$L:$R,4,0),IF($LB348=65%,VLOOKUP($L348,'Jan-2026 rates'!$L:$R,4,0),IF($LB348=40%,VLOOKUP($L348,'Jan-2026 rates'!$L:$R,5,0),IF($LB348=30%,VLOOKUP($L348,'Jan-2026 rates'!$L:$R,6,0),IF($LB348=100%,VLOOKUP($L348,'Jan-2026 rates'!$L:$R,7,0),IF($LB348=60%,VLOOKUP($L348,'Jan-2026 rates'!$L:$S,8,0),IF($LB348=80%,VLOOKUP($L348,'Jan-2026 rates'!L:T,9,0),0))))))))</f>
        <v>0</v>
      </c>
      <c r="R348" s="406"/>
      <c r="S348" s="406"/>
      <c r="T348" s="406"/>
      <c r="U348" s="406"/>
      <c r="V348" s="406"/>
      <c r="W348" s="406"/>
      <c r="X348" s="406"/>
      <c r="Y348" s="406"/>
      <c r="Z348" s="404"/>
      <c r="AA348" s="398">
        <f>IF(Z348=0,0,IF(LEN(R348)=11,_xlfn.XLOOKUP(R348,'Dispensed Ink Rates'!C:C,'Dispensed Ink Rates'!CS:CS),VLOOKUP(R348,'Jan-2026 rates'!$E:$F,2,0)))</f>
        <v>0</v>
      </c>
      <c r="AB348" s="404"/>
      <c r="AC348" s="398">
        <f>IF(AB348=0,0,IF(LEN(S348)=11,_xlfn.XLOOKUP(S348,'Dispensed Ink Rates'!C:C,'Dispensed Ink Rates'!CS:CS),VLOOKUP(S348,'Jan-2026 rates'!$E:$F,2,0)))</f>
        <v>0</v>
      </c>
      <c r="AD348" s="404"/>
      <c r="AE348" s="398">
        <f>IF(AD348=0,0,IF(LEN(T348)=11,_xlfn.XLOOKUP(T348,'Dispensed Ink Rates'!C:C,'Dispensed Ink Rates'!CS:CS),VLOOKUP(T348,'Jan-2026 rates'!$E:$F,2,0)))</f>
        <v>0</v>
      </c>
      <c r="AF348" s="404"/>
      <c r="AG348" s="398">
        <f>IF(AF348=0,0,IF(LEN(U348)=11,_xlfn.XLOOKUP(U348,'Dispensed Ink Rates'!C:C,'Dispensed Ink Rates'!CS:CS),VLOOKUP(U348,'Jan-2026 rates'!$E:$F,2,0)))</f>
        <v>0</v>
      </c>
      <c r="AH348" s="404"/>
      <c r="AI348" s="398">
        <f>IF(AH348=0,0,IF(LEN(V348)=11,_xlfn.XLOOKUP(V348,'Dispensed Ink Rates'!C:C,'Dispensed Ink Rates'!CS:CS),VLOOKUP(V348,'Jan-2026 rates'!$E:$F,2,0)))</f>
        <v>0</v>
      </c>
      <c r="AJ348" s="404"/>
      <c r="AK348" s="398">
        <f>IF(AJ348=0,0,IF(LEN(W348)=11,_xlfn.XLOOKUP(W348,'Dispensed Ink Rates'!C:C,'Dispensed Ink Rates'!CS:CS),VLOOKUP(W348,'Jan-2026 rates'!$E:$F,2,0)))</f>
        <v>0</v>
      </c>
      <c r="AL348" s="404"/>
      <c r="AM348" s="398">
        <f>IF(AL348=0,0,IF(LEN(X348)=11,_xlfn.XLOOKUP(X348,'Dispensed Ink Rates'!C:C,'Dispensed Ink Rates'!CS:CS),VLOOKUP(X348,'Jan-2026 rates'!$E:$F,2,0)))</f>
        <v>0</v>
      </c>
      <c r="AN348" s="404"/>
      <c r="AO348" s="398">
        <f>IF(AN348=0,0,IF(LEN(Y348)=11,_xlfn.XLOOKUP(Y348,'Dispensed Ink Rates'!C:C,'Dispensed Ink Rates'!CS:CS),VLOOKUP(Y348,'Jan-2026 rates'!$E:$F,2,0)))</f>
        <v>0</v>
      </c>
      <c r="AP348" s="409" t="s">
        <v>1443</v>
      </c>
      <c r="AQ348" s="409">
        <v>30</v>
      </c>
      <c r="AR348" s="410">
        <f t="shared" si="212"/>
        <v>0</v>
      </c>
      <c r="AS348" s="411">
        <f t="shared" si="213"/>
        <v>2.8571428571428541</v>
      </c>
      <c r="AT348" s="410">
        <f t="shared" si="214"/>
        <v>0</v>
      </c>
      <c r="AU348" s="405" t="s">
        <v>543</v>
      </c>
      <c r="AV348" s="409" t="s">
        <v>4674</v>
      </c>
      <c r="AW348" s="420" t="str">
        <f t="shared" si="236"/>
        <v>FLINTSL - BLACK</v>
      </c>
      <c r="AX348" s="409">
        <v>23</v>
      </c>
      <c r="AY348" s="411">
        <f>IF(AX348=0,0,IF($LB348=70%,VLOOKUP($AW348,'Jan-2026 rates'!$L:$R,4,0),IF($LB348=65%,VLOOKUP($AW348,'Jan-2026 rates'!$L:$R,4,0),IF($LB348=40%,VLOOKUP($AW348,'Jan-2026 rates'!$L:$R,5,0),IF($LB348=30%,VLOOKUP($AW348,'Jan-2026 rates'!$L:$R,6,0),IF($LB348=100%,VLOOKUP($AW348,'Jan-2026 rates'!$L:$R,7,0),IF($LB348=60%,VLOOKUP($AW348,'Jan-2026 rates'!$L:$S,8,0),IF($LB348=80%,VLOOKUP($AW348,'Jan-2026 rates'!L:T,9,0),0))))))))</f>
        <v>0</v>
      </c>
      <c r="AZ348" s="412" t="s">
        <v>3960</v>
      </c>
      <c r="BA348" s="409">
        <v>20</v>
      </c>
      <c r="BB348" s="411">
        <f>IF(BA348=0,0,IF($LB348=70%,VLOOKUP($AW348,'Jan-2026 rates'!$L:$R,4,0),IF($LB348=65%,VLOOKUP($AW348,'Jan-2026 rates'!$L:$R,4,0),IF($LB348=40%,VLOOKUP($AW348,'Jan-2026 rates'!$L:$R,5,0),IF($LB348=30%,VLOOKUP($AW348,'Jan-2026 rates'!$L:$R,6,0),IF($LB348=100%,VLOOKUP($AW348,'Jan-2026 rates'!$L:$R,7,0),IF($LB348=60%,VLOOKUP($AW348,'Jan-2026 rates'!$L:$S,8,0),IF($LB348=80%,VLOOKUP($AW348,'Jan-2026 rates'!L:T,9,0),0))))))))</f>
        <v>0</v>
      </c>
      <c r="BC348" s="413">
        <v>26526000035</v>
      </c>
      <c r="BD348" s="412">
        <v>26524000028</v>
      </c>
      <c r="BE348" s="412">
        <v>26525000002</v>
      </c>
      <c r="BF348" s="413">
        <v>26526000029</v>
      </c>
      <c r="BG348" s="412"/>
      <c r="BH348" s="412"/>
      <c r="BI348" s="412"/>
      <c r="BJ348" s="412"/>
      <c r="BK348" s="409">
        <v>4</v>
      </c>
      <c r="BL348" s="398" t="e">
        <f>IF(BK348=0,0,IF(LEN(BC348)=11,_xlfn.XLOOKUP(BC348,'Dispensed Ink Rates'!C:C,'Dispensed Ink Rates'!CS:CS),VLOOKUP(BC348,'Jan-2026 rates'!$E:$F,2,0)))</f>
        <v>#N/A</v>
      </c>
      <c r="BM348" s="409">
        <v>5</v>
      </c>
      <c r="BN348" s="398" t="e">
        <f>IF(BM348=0,0,IF(LEN(BD348)=11,_xlfn.XLOOKUP(BD348,'Dispensed Ink Rates'!C:C,'Dispensed Ink Rates'!CS:CS),VLOOKUP(BD348,'Jan-2026 rates'!$E:$F,2,0)))</f>
        <v>#N/A</v>
      </c>
      <c r="BO348" s="409">
        <v>5</v>
      </c>
      <c r="BP348" s="398" t="e">
        <f>IF(BO348=0,0,IF(LEN(BE348)=11,_xlfn.XLOOKUP(BE348,'Dispensed Ink Rates'!C:C,'Dispensed Ink Rates'!CS:CS),VLOOKUP(BE348,'Jan-2026 rates'!$E:$F,2,0)))</f>
        <v>#N/A</v>
      </c>
      <c r="BQ348" s="409">
        <v>2</v>
      </c>
      <c r="BR348" s="398" t="e">
        <f>IF(BQ348=0,0,IF(LEN(BF348)=11,_xlfn.XLOOKUP(BF348,'Dispensed Ink Rates'!C:C,'Dispensed Ink Rates'!CS:CS),VLOOKUP(BF348,'Jan-2026 rates'!$E:$F,2,0)))</f>
        <v>#N/A</v>
      </c>
      <c r="BS348" s="409"/>
      <c r="BT348" s="398">
        <f>IF(BS348=0,0,IF(LEN(BG348)=11,_xlfn.XLOOKUP(BG348,'Dispensed Ink Rates'!C:C,'Dispensed Ink Rates'!CS:CS),VLOOKUP(BG348,'Jan-2026 rates'!$E:$F,2,0)))</f>
        <v>0</v>
      </c>
      <c r="BU348" s="409"/>
      <c r="BV348" s="398">
        <f>IF(BU348=0,0,IF(LEN(BH348)=11,_xlfn.XLOOKUP(BH348,'Dispensed Ink Rates'!C:C,'Dispensed Ink Rates'!CS:CS),VLOOKUP(BH348,'Jan-2026 rates'!$E:$F,2,0)))</f>
        <v>0</v>
      </c>
      <c r="BW348" s="409"/>
      <c r="BX348" s="398">
        <f>IF(BW348=0,0,IF(LEN(BI348)=11,_xlfn.XLOOKUP(BI348,'Dispensed Ink Rates'!C:C,'Dispensed Ink Rates'!CS:CS),VLOOKUP(BI348,'Jan-2026 rates'!$E:$F,2,0)))</f>
        <v>0</v>
      </c>
      <c r="BY348" s="409"/>
      <c r="BZ348" s="398">
        <f>IF(BY348=0,0,IF(LEN(BJ348)=11,_xlfn.XLOOKUP(BJ348,'Dispensed Ink Rates'!C:C,'Dispensed Ink Rates'!CS:CS),VLOOKUP(BJ348,'Jan-2026 rates'!$E:$F,2,0)))</f>
        <v>0</v>
      </c>
      <c r="CA348" s="409" t="s">
        <v>1443</v>
      </c>
      <c r="CB348" s="409">
        <v>30</v>
      </c>
      <c r="CC348" s="411">
        <f t="shared" si="215"/>
        <v>0</v>
      </c>
      <c r="CD348" s="411">
        <f t="shared" si="216"/>
        <v>43.285714285714278</v>
      </c>
      <c r="CE348" s="410">
        <f t="shared" si="217"/>
        <v>0</v>
      </c>
      <c r="CF348" s="404" t="s">
        <v>857</v>
      </c>
      <c r="CG348" s="409" t="s">
        <v>4693</v>
      </c>
      <c r="CH348" s="420" t="str">
        <f t="shared" si="185"/>
        <v>FLINTSL - RED</v>
      </c>
      <c r="CI348" s="409">
        <v>28</v>
      </c>
      <c r="CJ348" s="411">
        <f>IF(CI348=0,0,IF($LB348=70%,VLOOKUP($CH348,'Jan-2026 rates'!$L:$R,4,0),IF($LB348=65%,VLOOKUP($CH348,'Jan-2026 rates'!$L:$R,4,0),IF($LB348=40%,VLOOKUP($CH348,'Jan-2026 rates'!$L:$R,5,0),IF($LB348=30%,VLOOKUP($CH348,'Jan-2026 rates'!$L:$R,6,0),IF($LB348=100%,VLOOKUP($CH348,'Jan-2026 rates'!$L:$R,7,0),IF($LB348=60%,VLOOKUP($CH348,'Jan-2026 rates'!$L:$S,8,0),IF($LB348=80%,VLOOKUP($CH348,'Jan-2026 rates'!L:T,9,0),0))))))))</f>
        <v>0</v>
      </c>
      <c r="CK348" s="412"/>
      <c r="CL348" s="409"/>
      <c r="CM348" s="411">
        <f>IF(CL348=0,0,IF($LB348=70%,VLOOKUP($CH348,'Jan-2026 rates'!$L:$R,4,0),IF($LB348=65%,VLOOKUP($CH348,'Jan-2026 rates'!$L:$R,4,0),IF($LB348=40%,VLOOKUP($CH348,'Jan-2026 rates'!$L:$R,5,0),IF($LB348=30%,VLOOKUP($CH348,'Jan-2026 rates'!$L:$R,6,0),IF($LB348=100%,VLOOKUP($CH348,'Jan-2026 rates'!$L:$R,7,0),IF($LB348=60%,VLOOKUP($CH348,'Jan-2026 rates'!$L:$S,8,0),IF($LB348=80%,VLOOKUP($CH348,'Jan-2026 rates'!L:T,9,0),0))))))))</f>
        <v>0</v>
      </c>
      <c r="CN348" s="426" t="s">
        <v>1266</v>
      </c>
      <c r="CO348" s="427"/>
      <c r="CP348" s="426"/>
      <c r="CQ348" s="426"/>
      <c r="CR348" s="428"/>
      <c r="CS348" s="428"/>
      <c r="CT348" s="428"/>
      <c r="CU348" s="428"/>
      <c r="CV348" s="409">
        <v>3</v>
      </c>
      <c r="CW348" s="398">
        <f>IF(CV348=0,0,IF(LEN(CN348)=11,_xlfn.XLOOKUP(CN348,'Dispensed Ink Rates'!C:C,'Dispensed Ink Rates'!CS:CS),VLOOKUP(CN348,'Jan-2026 rates'!$E:$F,2,0)))</f>
        <v>0</v>
      </c>
      <c r="CX348" s="409"/>
      <c r="CY348" s="398">
        <f>IF(CX348=0,0,IF(LEN(CO348)=11,_xlfn.XLOOKUP(CO348,'Dispensed Ink Rates'!C:C,'Dispensed Ink Rates'!CS:CS),VLOOKUP(CO348,'Jan-2026 rates'!$E:$F,2,0)))</f>
        <v>0</v>
      </c>
      <c r="CZ348" s="409"/>
      <c r="DA348" s="398">
        <f>IF(CZ348=0,0,IF(LEN(CP348)=11,_xlfn.XLOOKUP(CP348,'Dispensed Ink Rates'!C:C,'Dispensed Ink Rates'!CS:CS),VLOOKUP(CP348,'Jan-2026 rates'!$E:$F,2,0)))</f>
        <v>0</v>
      </c>
      <c r="DB348" s="409"/>
      <c r="DC348" s="398">
        <f>IF(DB348=0,0,IF(LEN(CQ348)=11,_xlfn.XLOOKUP(CQ348,'Dispensed Ink Rates'!C:C,'Dispensed Ink Rates'!CS:CS),VLOOKUP(CQ348,'Jan-2026 rates'!$E:$F,2,0)))</f>
        <v>0</v>
      </c>
      <c r="DD348" s="409"/>
      <c r="DE348" s="398">
        <f>IF(DD348=0,0,IF(LEN(CR348)=11,_xlfn.XLOOKUP(CR348,'Dispensed Ink Rates'!C:C,'Dispensed Ink Rates'!CS:CS),VLOOKUP(CR348,'Jan-2026 rates'!$E:$F,2,0)))</f>
        <v>0</v>
      </c>
      <c r="DF348" s="409"/>
      <c r="DG348" s="398">
        <f>IF(DF348=0,0,IF(LEN(CS348)=11,_xlfn.XLOOKUP(CS348,'Dispensed Ink Rates'!C:C,'Dispensed Ink Rates'!CS:CS),VLOOKUP(CS348,'Jan-2026 rates'!$E:$F,2,0)))</f>
        <v>0</v>
      </c>
      <c r="DH348" s="409"/>
      <c r="DI348" s="398">
        <f>IF(DH348=0,0,IF(LEN(CT348)=11,_xlfn.XLOOKUP(CT348,'Dispensed Ink Rates'!C:C,'Dispensed Ink Rates'!CS:CS),VLOOKUP(CT348,'Jan-2026 rates'!$E:$F,2,0)))</f>
        <v>0</v>
      </c>
      <c r="DJ348" s="409"/>
      <c r="DK348" s="398">
        <f>IF(DJ348=0,0,IF(LEN(CU348)=11,_xlfn.XLOOKUP(CU348,'Dispensed Ink Rates'!C:C,'Dispensed Ink Rates'!CS:CS),VLOOKUP(CU348,'Jan-2026 rates'!$E:$F,2,0)))</f>
        <v>0</v>
      </c>
      <c r="DL348" s="409" t="s">
        <v>1443</v>
      </c>
      <c r="DM348" s="409">
        <v>29</v>
      </c>
      <c r="DN348" s="411">
        <f t="shared" si="218"/>
        <v>0</v>
      </c>
      <c r="DO348" s="411">
        <f t="shared" si="219"/>
        <v>4.8571428571428541</v>
      </c>
      <c r="DP348" s="410">
        <f t="shared" si="220"/>
        <v>0</v>
      </c>
      <c r="DQ348" s="405" t="s">
        <v>855</v>
      </c>
      <c r="DR348" s="409" t="s">
        <v>4694</v>
      </c>
      <c r="DS348" s="420" t="str">
        <f t="shared" si="186"/>
        <v>FLINTSL - CYAN</v>
      </c>
      <c r="DT348" s="409">
        <v>28</v>
      </c>
      <c r="DU348" s="411">
        <f>IF(DT348=0,0,IF($LB348=70%,VLOOKUP($DS348,'Jan-2026 rates'!$L:$R,4,0),IF($LB348=65%,VLOOKUP($DS348,'Jan-2026 rates'!$L:$R,4,0),IF($LB348=40%,VLOOKUP($DS348,'Jan-2026 rates'!$L:$R,5,0),IF($LB348=30%,VLOOKUP($DS348,'Jan-2026 rates'!$L:$R,6,0),IF($LB348=100%,VLOOKUP($DS348,'Jan-2026 rates'!$L:$R,7,0),IF($LB348=60%,VLOOKUP($DS348,'Jan-2026 rates'!$L:$S,8,0),IF($LB348=80%,VLOOKUP($DS348,'Jan-2026 rates'!L:T,9,0),0))))))))</f>
        <v>0</v>
      </c>
      <c r="DV348" s="412"/>
      <c r="DW348" s="409"/>
      <c r="DX348" s="411">
        <f>IF(DW348=0,0,IF($LB348=70%,VLOOKUP($DS348,'Jan-2026 rates'!$L:$R,4,0),IF($LB348=65%,VLOOKUP($DS348,'Jan-2026 rates'!$L:$R,4,0),IF($LB348=40%,VLOOKUP($DS348,'Jan-2026 rates'!$L:$R,5,0),IF($LB348=30%,VLOOKUP($DS348,'Jan-2026 rates'!$L:$R,6,0),IF($LB348=100%,VLOOKUP($DS348,'Jan-2026 rates'!$L:$R,7,0),IF($LB348=60%,VLOOKUP($DS348,'Jan-2026 rates'!$L:$S,8,0),IF($LB348=80%,VLOOKUP($DS348,'Jan-2026 rates'!L:T,9,0),0))))))))</f>
        <v>0</v>
      </c>
      <c r="DY348" s="413">
        <v>26523000028</v>
      </c>
      <c r="DZ348" s="413"/>
      <c r="EA348" s="412"/>
      <c r="EB348" s="412"/>
      <c r="EC348" s="412"/>
      <c r="ED348" s="412"/>
      <c r="EE348" s="412"/>
      <c r="EF348" s="412"/>
      <c r="EG348" s="409">
        <v>4</v>
      </c>
      <c r="EH348" s="398" t="e">
        <f>IF(EG348=0,0,IF(LEN(DY348)=11,_xlfn.XLOOKUP(DY348,'Dispensed Ink Rates'!C:C,'Dispensed Ink Rates'!CS:CS),VLOOKUP(DY348,'Jan-2026 rates'!$E:$F,2,0)))</f>
        <v>#N/A</v>
      </c>
      <c r="EI348" s="409"/>
      <c r="EJ348" s="398">
        <f>IF(EI348=0,0,IF(LEN(DZ348)=11,_xlfn.XLOOKUP(DZ348,'Dispensed Ink Rates'!C:C,'Dispensed Ink Rates'!CS:CS),VLOOKUP(DZ348,'Jan-2026 rates'!$E:$F,2,0)))</f>
        <v>0</v>
      </c>
      <c r="EK348" s="409"/>
      <c r="EL348" s="398">
        <f>IF(EK348=0,0,IF(LEN(EA348)=11,_xlfn.XLOOKUP(EA348,'Dispensed Ink Rates'!C:C,'Dispensed Ink Rates'!CS:CS),VLOOKUP(EA348,'Jan-2026 rates'!$E:$F,2,0)))</f>
        <v>0</v>
      </c>
      <c r="EM348" s="409"/>
      <c r="EN348" s="398">
        <f>IF(EM348=0,0,IF(LEN(EB348)=11,_xlfn.XLOOKUP(EB348,'Dispensed Ink Rates'!C:C,'Dispensed Ink Rates'!CS:CS),VLOOKUP(EB348,'Jan-2026 rates'!$E:$F,2,0)))</f>
        <v>0</v>
      </c>
      <c r="EO348" s="409"/>
      <c r="EP348" s="398">
        <f>IF(EO348=0,0,IF(LEN(EC348)=11,_xlfn.XLOOKUP(EC348,'Dispensed Ink Rates'!C:C,'Dispensed Ink Rates'!CS:CS),VLOOKUP(EC348,'Jan-2026 rates'!$E:$F,2,0)))</f>
        <v>0</v>
      </c>
      <c r="EQ348" s="409"/>
      <c r="ER348" s="398">
        <f>IF(EQ348=0,0,IF(LEN(ED348)=11,_xlfn.XLOOKUP(ED348,'Dispensed Ink Rates'!C:C,'Dispensed Ink Rates'!CS:CS),VLOOKUP(ED348,'Jan-2026 rates'!$E:$F,2,0)))</f>
        <v>0</v>
      </c>
      <c r="ES348" s="409"/>
      <c r="ET348" s="398">
        <f>IF(ES348=0,0,IF(LEN(EE348)=11,_xlfn.XLOOKUP(EE348,'Dispensed Ink Rates'!C:C,'Dispensed Ink Rates'!CS:CS),VLOOKUP(EE348,'Jan-2026 rates'!$E:$F,2,0)))</f>
        <v>0</v>
      </c>
      <c r="EU348" s="409"/>
      <c r="EV348" s="398">
        <f>IF(EU348=0,0,IF(LEN(EF348)=11,_xlfn.XLOOKUP(EF348,'Dispensed Ink Rates'!C:C,'Dispensed Ink Rates'!CS:CS),VLOOKUP(EF348,'Jan-2026 rates'!$E:$F,2,0)))</f>
        <v>0</v>
      </c>
      <c r="EW348" s="409" t="s">
        <v>1443</v>
      </c>
      <c r="EX348" s="409">
        <v>27</v>
      </c>
      <c r="EY348" s="411">
        <f t="shared" si="221"/>
        <v>0</v>
      </c>
      <c r="EZ348" s="411">
        <f t="shared" si="222"/>
        <v>7.8571428571428541</v>
      </c>
      <c r="FA348" s="410">
        <f t="shared" si="223"/>
        <v>0</v>
      </c>
      <c r="FB348" s="405" t="s">
        <v>544</v>
      </c>
      <c r="FC348" s="409" t="s">
        <v>4695</v>
      </c>
      <c r="FD348" s="420" t="str">
        <f t="shared" si="187"/>
        <v>FLINTSL - MAGENTA</v>
      </c>
      <c r="FE348" s="409">
        <v>33</v>
      </c>
      <c r="FF348" s="411">
        <f>IF(FE348=0,0,IF($LB348=70%,VLOOKUP($FD348,'Jan-2026 rates'!$L:$R,4,0),IF($LB348=65%,VLOOKUP($FD348,'Jan-2026 rates'!$L:$R,4,0),IF($LB348=40%,VLOOKUP($FD348,'Jan-2026 rates'!$L:$R,5,0),IF($LB348=30%,VLOOKUP($FD348,'Jan-2026 rates'!$L:$R,6,0),IF($LB348=100%,VLOOKUP($FD348,'Jan-2026 rates'!$L:$R,7,0),IF($LB348=60%,VLOOKUP($FD348,'Jan-2026 rates'!$L:$S,8,0),IF($LB348=80%,VLOOKUP($FD348,'Jan-2026 rates'!L:T,9,0),0))))))))</f>
        <v>0</v>
      </c>
      <c r="FG348" s="412"/>
      <c r="FH348" s="409"/>
      <c r="FI348" s="411">
        <f>IF(FH348=0,0,IF($LB348=70%,VLOOKUP($FD348,'Jan-2026 rates'!$L:$R,4,0),IF($LB348=65%,VLOOKUP($FD348,'Jan-2026 rates'!$L:$R,4,0),IF($LB348=40%,VLOOKUP($FD348,'Jan-2026 rates'!$L:$R,5,0),IF($LB348=30%,VLOOKUP($FD348,'Jan-2026 rates'!$L:$R,6,0),IF($LB348=100%,VLOOKUP($FD348,'Jan-2026 rates'!$L:$R,7,0),IF($LB348=60%,VLOOKUP($FD348,'Jan-2026 rates'!$L:$S,8,0),IF($LB348=80%,VLOOKUP($FD348,'Jan-2026 rates'!L:T,9,0),0))))))))</f>
        <v>0</v>
      </c>
      <c r="FJ348" s="413">
        <v>26524000028</v>
      </c>
      <c r="FK348" s="413">
        <v>26525000002</v>
      </c>
      <c r="FL348" s="413"/>
      <c r="FM348" s="412"/>
      <c r="FN348" s="412"/>
      <c r="FO348" s="412"/>
      <c r="FP348" s="412"/>
      <c r="FQ348" s="412"/>
      <c r="FR348" s="409">
        <v>2</v>
      </c>
      <c r="FS348" s="398" t="e">
        <f>IF(FR348=0,0,IF(LEN(FJ348)=11,_xlfn.XLOOKUP(FJ348,'Dispensed Ink Rates'!C:C,'Dispensed Ink Rates'!CS:CS),VLOOKUP(FJ348,'Jan-2026 rates'!$E:$F,2,0)))</f>
        <v>#N/A</v>
      </c>
      <c r="FT348" s="409">
        <v>0.3</v>
      </c>
      <c r="FU348" s="398" t="e">
        <f>IF(FT348=0,0,IF(LEN(FK348)=11,_xlfn.XLOOKUP(FK348,'Dispensed Ink Rates'!C:C,'Dispensed Ink Rates'!CS:CS),VLOOKUP(FK348,'Jan-2026 rates'!$E:$F,2,0)))</f>
        <v>#N/A</v>
      </c>
      <c r="FV348" s="409"/>
      <c r="FW348" s="398">
        <f>IF(FV348=0,0,IF(LEN(FL348)=11,_xlfn.XLOOKUP(FL348,'Dispensed Ink Rates'!C:C,'Dispensed Ink Rates'!CS:CS),VLOOKUP(FL348,'Jan-2026 rates'!$E:$F,2,0)))</f>
        <v>0</v>
      </c>
      <c r="FX348" s="409"/>
      <c r="FY348" s="398">
        <f>IF(FX348=0,0,IF(LEN(FM348)=11,_xlfn.XLOOKUP(FM348,'Dispensed Ink Rates'!C:C,'Dispensed Ink Rates'!CS:CS),VLOOKUP(FM348,'Jan-2026 rates'!$E:$F,2,0)))</f>
        <v>0</v>
      </c>
      <c r="FZ348" s="409"/>
      <c r="GA348" s="398">
        <f>IF(FZ348=0,0,IF(LEN(FN348)=11,_xlfn.XLOOKUP(FN348,'Dispensed Ink Rates'!C:C,'Dispensed Ink Rates'!CS:CS),VLOOKUP(FN348,'Jan-2026 rates'!$E:$F,2,0)))</f>
        <v>0</v>
      </c>
      <c r="GB348" s="409"/>
      <c r="GC348" s="398">
        <f>IF(GB348=0,0,IF(LEN(FO348)=11,_xlfn.XLOOKUP(FO348,'Dispensed Ink Rates'!C:C,'Dispensed Ink Rates'!CS:CS),VLOOKUP(FO348,'Jan-2026 rates'!$E:$F,2,0)))</f>
        <v>0</v>
      </c>
      <c r="GD348" s="409"/>
      <c r="GE348" s="398">
        <f>IF(GD348=0,0,IF(LEN(FP348)=11,_xlfn.XLOOKUP(FP348,'Dispensed Ink Rates'!C:C,'Dispensed Ink Rates'!CS:CS),VLOOKUP(FP348,'Jan-2026 rates'!$E:$F,2,0)))</f>
        <v>0</v>
      </c>
      <c r="GF348" s="409"/>
      <c r="GG348" s="398">
        <f>IF(GF348=0,0,IF(LEN(FQ348)=11,_xlfn.XLOOKUP(FQ348,'Dispensed Ink Rates'!C:C,'Dispensed Ink Rates'!CS:CS),VLOOKUP(FQ348,'Jan-2026 rates'!$E:$F,2,0)))</f>
        <v>0</v>
      </c>
      <c r="GH348" s="409" t="s">
        <v>1443</v>
      </c>
      <c r="GI348" s="409">
        <v>29</v>
      </c>
      <c r="GJ348" s="411">
        <f t="shared" si="224"/>
        <v>0</v>
      </c>
      <c r="GK348" s="411">
        <f t="shared" si="225"/>
        <v>9.1571428571428513</v>
      </c>
      <c r="GL348" s="410">
        <f t="shared" si="226"/>
        <v>0</v>
      </c>
      <c r="GM348" s="405" t="s">
        <v>545</v>
      </c>
      <c r="GN348" s="409" t="s">
        <v>4696</v>
      </c>
      <c r="GO348" s="420" t="str">
        <f t="shared" si="188"/>
        <v>FLINTSL - YELLOW</v>
      </c>
      <c r="GP348" s="409">
        <v>30</v>
      </c>
      <c r="GQ348" s="411">
        <f>IF(GP348=0,0,IF($LB348=70%,VLOOKUP($GO348,'Jan-2026 rates'!$L:$R,4,0),IF($LB348=65%,VLOOKUP($GO348,'Jan-2026 rates'!$L:$R,4,0),IF($LB348=40%,VLOOKUP($GO348,'Jan-2026 rates'!$L:$R,5,0),IF($LB348=30%,VLOOKUP($GO348,'Jan-2026 rates'!$L:$R,6,0),IF($LB348=100%,VLOOKUP($GO348,'Jan-2026 rates'!$L:$R,7,0),IF($LB348=60%,VLOOKUP($GO348,'Jan-2026 rates'!$L:$S,8,0),IF($LB348=80%,VLOOKUP($GO348,'Jan-2026 rates'!L:T,9,0),0))))))))</f>
        <v>0</v>
      </c>
      <c r="GR348" s="412"/>
      <c r="GS348" s="409"/>
      <c r="GT348" s="411">
        <f>IF(GS348=0,0,IF($LB348=70%,VLOOKUP($GO348,'Jan-2026 rates'!$L:$R,4,0),IF($LB348=65%,VLOOKUP($GO348,'Jan-2026 rates'!$L:$R,4,0),IF($LB348=40%,VLOOKUP($GO348,'Jan-2026 rates'!$L:$R,5,0),IF($LB348=30%,VLOOKUP($GO348,'Jan-2026 rates'!$L:$R,6,0),IF($LB348=100%,VLOOKUP($GO348,'Jan-2026 rates'!$L:$R,7,0),IF($LB348=60%,VLOOKUP($GO348,'Jan-2026 rates'!$L:$S,8,0),IF($LB348=80%,VLOOKUP($GO348,'Jan-2026 rates'!L:T,9,0),0))))))))</f>
        <v>0</v>
      </c>
      <c r="GU348" s="413">
        <v>26527000009</v>
      </c>
      <c r="GV348" s="413"/>
      <c r="GW348" s="412"/>
      <c r="GX348" s="412"/>
      <c r="GY348" s="412"/>
      <c r="GZ348" s="412"/>
      <c r="HA348" s="412"/>
      <c r="HB348" s="412"/>
      <c r="HC348" s="409">
        <v>6</v>
      </c>
      <c r="HD348" s="398" t="e">
        <f>IF(HC348=0,0,IF(LEN(GU348)=11,_xlfn.XLOOKUP(GU348,'Dispensed Ink Rates'!C:C,'Dispensed Ink Rates'!CS:CS),VLOOKUP(GU348,'Jan-2026 rates'!$E:$F,2,0)))</f>
        <v>#N/A</v>
      </c>
      <c r="HE348" s="409"/>
      <c r="HF348" s="398">
        <f>IF(HE348=0,0,IF(LEN(GV348)=11,_xlfn.XLOOKUP(GV348,'Dispensed Ink Rates'!C:C,'Dispensed Ink Rates'!CS:CS),VLOOKUP(GV348,'Jan-2026 rates'!$E:$F,2,0)))</f>
        <v>0</v>
      </c>
      <c r="HG348" s="409"/>
      <c r="HH348" s="398">
        <f>IF(HG348=0,0,IF(LEN(GW348)=11,_xlfn.XLOOKUP(GW348,'Dispensed Ink Rates'!C:C,'Dispensed Ink Rates'!CS:CS),VLOOKUP(GW348,'Jan-2026 rates'!$E:$F,2,0)))</f>
        <v>0</v>
      </c>
      <c r="HI348" s="409"/>
      <c r="HJ348" s="398">
        <f>IF(HI348=0,0,IF(LEN(GX348)=11,_xlfn.XLOOKUP(GX348,'Dispensed Ink Rates'!C:C,'Dispensed Ink Rates'!CS:CS),VLOOKUP(GX348,'Jan-2026 rates'!$E:$F,2,0)))</f>
        <v>0</v>
      </c>
      <c r="HK348" s="409"/>
      <c r="HL348" s="398">
        <f>IF(HK348=0,0,IF(LEN(GY348)=11,_xlfn.XLOOKUP(GY348,'Dispensed Ink Rates'!C:C,'Dispensed Ink Rates'!CS:CS),VLOOKUP(GY348,'Jan-2026 rates'!$E:$F,2,0)))</f>
        <v>0</v>
      </c>
      <c r="HM348" s="409"/>
      <c r="HN348" s="398">
        <f>IF(HM348=0,0,IF(LEN(GZ348)=11,_xlfn.XLOOKUP(GZ348,'Dispensed Ink Rates'!C:C,'Dispensed Ink Rates'!CS:CS),VLOOKUP(GZ348,'Jan-2026 rates'!$E:$F,2,0)))</f>
        <v>0</v>
      </c>
      <c r="HO348" s="409"/>
      <c r="HP348" s="398">
        <f>IF(HO348=0,0,IF(LEN(HA348)=11,_xlfn.XLOOKUP(HA348,'Dispensed Ink Rates'!C:C,'Dispensed Ink Rates'!CS:CS),VLOOKUP(HA348,'Jan-2026 rates'!$E:$F,2,0)))</f>
        <v>0</v>
      </c>
      <c r="HQ348" s="409"/>
      <c r="HR348" s="398">
        <f>IF(HQ348=0,0,IF(LEN(HB348)=11,_xlfn.XLOOKUP(HB348,'Dispensed Ink Rates'!C:C,'Dispensed Ink Rates'!CS:CS),VLOOKUP(HB348,'Jan-2026 rates'!$E:$F,2,0)))</f>
        <v>0</v>
      </c>
      <c r="HS348" s="409" t="s">
        <v>1443</v>
      </c>
      <c r="HT348" s="409">
        <v>29</v>
      </c>
      <c r="HU348" s="411">
        <f t="shared" si="227"/>
        <v>0</v>
      </c>
      <c r="HV348" s="411">
        <f t="shared" si="228"/>
        <v>12.714285714285715</v>
      </c>
      <c r="HW348" s="414">
        <f t="shared" si="229"/>
        <v>0</v>
      </c>
      <c r="HX348" s="405" t="s">
        <v>856</v>
      </c>
      <c r="HY348" s="409" t="s">
        <v>4697</v>
      </c>
      <c r="HZ348" s="420" t="str">
        <f t="shared" si="189"/>
        <v>FLINTSL - WHITE</v>
      </c>
      <c r="IA348" s="409">
        <v>30</v>
      </c>
      <c r="IB348" s="411">
        <f>IF(IA348=0,0,IF($LB348=70%,VLOOKUP($HZ348,'Jan-2026 rates'!$L:$R,4,0),IF($LB348=65%,VLOOKUP($HZ348,'Jan-2026 rates'!$L:$R,4,0),IF($LB348=40%,VLOOKUP($HZ348,'Jan-2026 rates'!$L:$R,5,0),IF($LB348=30%,VLOOKUP($HZ348,'Jan-2026 rates'!$L:$R,6,0),IF($LB348=100%,VLOOKUP($HZ348,'Jan-2026 rates'!$L:$R,7,0),IF($LB348=60%,VLOOKUP($HZ348,'Jan-2026 rates'!$L:$S,8,0),IF($LB348=80%,VLOOKUP($HZ348,'Jan-2026 rates'!L:T,9,0),0))))))))</f>
        <v>0</v>
      </c>
      <c r="IC348" s="412"/>
      <c r="ID348" s="409"/>
      <c r="IE348" s="411">
        <f>IF(ID348=0,0,IF($LB348=70%,VLOOKUP($HZ348,'Jan-2026 rates'!$L:$R,4,0),IF($LB348=65%,VLOOKUP($HZ348,'Jan-2026 rates'!$L:$R,4,0),IF($LB348=40%,VLOOKUP($HZ348,'Jan-2026 rates'!$L:$R,5,0),IF($LB348=30%,VLOOKUP($HZ348,'Jan-2026 rates'!$L:$R,6,0),IF($LB348=100%,VLOOKUP($HZ348,'Jan-2026 rates'!$L:$R,7,0),IF($LB348=60%,VLOOKUP($HZ348,'Jan-2026 rates'!$L:$S,8,0),IF($LB348=80%,VLOOKUP($HZ348,'Jan-2026 rates'!L:T,9,0),0))))))))</f>
        <v>0</v>
      </c>
      <c r="IF348" s="412" t="s">
        <v>484</v>
      </c>
      <c r="IG348" s="413"/>
      <c r="IH348" s="412"/>
      <c r="II348" s="412"/>
      <c r="IJ348" s="412"/>
      <c r="IK348" s="412"/>
      <c r="IL348" s="412"/>
      <c r="IM348" s="412"/>
      <c r="IN348" s="409">
        <v>30</v>
      </c>
      <c r="IO348" s="398">
        <f>IF(IN348=0,0,IF(LEN(IF348)=11,_xlfn.XLOOKUP(IF348,'Dispensed Ink Rates'!C:C,'Dispensed Ink Rates'!CS:CS),VLOOKUP(IF348,'Jan-2026 rates'!$E:$F,2,0)))</f>
        <v>0</v>
      </c>
      <c r="IP348" s="409"/>
      <c r="IQ348" s="398">
        <f>IF(IP348=0,0,IF(LEN(IG348)=11,_xlfn.XLOOKUP(IG348,'Dispensed Ink Rates'!C:C,'Dispensed Ink Rates'!CS:CS),VLOOKUP(IG348,'Jan-2026 rates'!$E:$F,2,0)))</f>
        <v>0</v>
      </c>
      <c r="IR348" s="409"/>
      <c r="IS348" s="398">
        <f>IF(IR348=0,0,IF(LEN(IH348)=11,_xlfn.XLOOKUP(IH348,'Dispensed Ink Rates'!C:C,'Dispensed Ink Rates'!CS:CS),VLOOKUP(IH348,'Jan-2026 rates'!$E:$F,2,0)))</f>
        <v>0</v>
      </c>
      <c r="IT348" s="409"/>
      <c r="IU348" s="398">
        <f>IF(IT348=0,0,IF(LEN(II348)=11,_xlfn.XLOOKUP(II348,'Dispensed Ink Rates'!C:C,'Dispensed Ink Rates'!CS:CS),VLOOKUP(II348,'Jan-2026 rates'!$E:$F,2,0)))</f>
        <v>0</v>
      </c>
      <c r="IV348" s="409"/>
      <c r="IW348" s="398">
        <f>IF(IV348=0,0,IF(LEN(IJ348)=11,_xlfn.XLOOKUP(IJ348,'Dispensed Ink Rates'!C:C,'Dispensed Ink Rates'!CS:CS),VLOOKUP(IJ348,'Jan-2026 rates'!$E:$F,2,0)))</f>
        <v>0</v>
      </c>
      <c r="IX348" s="409"/>
      <c r="IY348" s="398">
        <f>IF(IX348=0,0,IF(LEN(IK348)=11,_xlfn.XLOOKUP(IK348,'Dispensed Ink Rates'!C:C,'Dispensed Ink Rates'!CS:CS),VLOOKUP(IK348,'Jan-2026 rates'!$E:$F,2,0)))</f>
        <v>0</v>
      </c>
      <c r="IZ348" s="409"/>
      <c r="JA348" s="398">
        <f>IF(IZ348=0,0,IF(LEN(IL348)=11,_xlfn.XLOOKUP(IL348,'Dispensed Ink Rates'!C:C,'Dispensed Ink Rates'!CS:CS),VLOOKUP(IL348,'Jan-2026 rates'!$E:$F,2,0)))</f>
        <v>0</v>
      </c>
      <c r="JB348" s="409"/>
      <c r="JC348" s="398">
        <f>IF(JB348=0,0,IF(LEN(IM348)=11,_xlfn.XLOOKUP(IM348,'Dispensed Ink Rates'!C:C,'Dispensed Ink Rates'!CS:CS),VLOOKUP(IM348,'Jan-2026 rates'!$E:$F,2,0)))</f>
        <v>0</v>
      </c>
      <c r="JD348" s="409" t="s">
        <v>1443</v>
      </c>
      <c r="JE348" s="409">
        <v>30</v>
      </c>
      <c r="JF348" s="411">
        <f t="shared" si="230"/>
        <v>0</v>
      </c>
      <c r="JG348" s="411">
        <f t="shared" si="231"/>
        <v>58.571428571428569</v>
      </c>
      <c r="JH348" s="410">
        <f t="shared" si="232"/>
        <v>0</v>
      </c>
      <c r="JI348" s="405"/>
      <c r="JJ348" s="409"/>
      <c r="JK348" s="420" t="str">
        <f t="shared" si="190"/>
        <v xml:space="preserve"> - </v>
      </c>
      <c r="JL348" s="409"/>
      <c r="JM348" s="411">
        <f>IF(JL348=0,0,IF($LB348=70%,VLOOKUP($JK348,'Jan-2026 rates'!$L:$R,4,0),IF($LB348=65%,VLOOKUP($JK348,'Jan-2026 rates'!$L:$R,4,0),IF($LB348=40%,VLOOKUP($JK348,'Jan-2026 rates'!$L:$R,5,0),IF($LB348=30%,VLOOKUP($JK348,'Jan-2026 rates'!$L:$R,6,0),IF($LB348=100%,VLOOKUP($JK348,'Jan-2026 rates'!$L:$R,7,0),IF($LB348=60%,VLOOKUP($JK348,'Jan-2026 rates'!$L:$S,8,0),IF($LB348=80%,VLOOKUP($JK348,'Jan-2026 rates'!L:T,9,0),0))))))))</f>
        <v>0</v>
      </c>
      <c r="JN348" s="412"/>
      <c r="JO348" s="409"/>
      <c r="JP348" s="411">
        <f>IF(JO348=0,0,IF($LB348=70%,VLOOKUP($JK348,'Jan-2026 rates'!$L:$R,4,0),IF($LB348=65%,VLOOKUP($JK348,'Jan-2026 rates'!$L:$R,4,0),IF($LB348=40%,VLOOKUP($JK348,'Jan-2026 rates'!$L:$R,5,0),IF($LB348=30%,VLOOKUP($JK348,'Jan-2026 rates'!$L:$R,6,0),IF($LB348=100%,VLOOKUP($JK348,'Jan-2026 rates'!$L:$R,7,0),IF($LB348=60%,VLOOKUP($JK348,'Jan-2026 rates'!$L:$S,8,0),IF($LB348=80%,VLOOKUP($JK348,'Jan-2026 rates'!L:T,9,0),0))))))))</f>
        <v>0</v>
      </c>
      <c r="JQ348" s="413"/>
      <c r="JR348" s="412"/>
      <c r="JS348" s="413"/>
      <c r="JT348" s="413"/>
      <c r="JU348" s="412"/>
      <c r="JV348" s="412"/>
      <c r="JW348" s="412"/>
      <c r="JX348" s="412"/>
      <c r="JY348" s="409"/>
      <c r="JZ348" s="398">
        <f>IF(JY348=0,0,IF(LEN(JQ348)=11,_xlfn.XLOOKUP(JQ348,'Dispensed Ink Rates'!C:C,'Dispensed Ink Rates'!CS:CS),VLOOKUP(JQ348,'Jan-2026 rates'!$E:$F,2,0)))</f>
        <v>0</v>
      </c>
      <c r="KA348" s="409"/>
      <c r="KB348" s="398">
        <f>IF(KA348=0,0,IF(LEN(JR348)=11,_xlfn.XLOOKUP(JR348,'Dispensed Ink Rates'!C:C,'Dispensed Ink Rates'!CS:CS),VLOOKUP(JR348,'Jan-2026 rates'!$E:$F,2,0)))</f>
        <v>0</v>
      </c>
      <c r="KC348" s="409"/>
      <c r="KD348" s="398">
        <f>IF(KC348=0,0,IF(LEN(JS348)=11,_xlfn.XLOOKUP(JS348,'Dispensed Ink Rates'!C:C,'Dispensed Ink Rates'!CS:CS),VLOOKUP(JS348,'Jan-2026 rates'!$E:$F,2,0)))</f>
        <v>0</v>
      </c>
      <c r="KE348" s="409"/>
      <c r="KF348" s="398">
        <f>IF(KE348=0,0,IF(LEN(JT348)=11,_xlfn.XLOOKUP(JT348,'Dispensed Ink Rates'!C:C,'Dispensed Ink Rates'!CS:CS),VLOOKUP(JT348,'Jan-2026 rates'!$E:$F,2,0)))</f>
        <v>0</v>
      </c>
      <c r="KG348" s="409"/>
      <c r="KH348" s="398">
        <f>IF(KG348=0,0,IF(LEN(JU348)=11,_xlfn.XLOOKUP(JU348,'Dispensed Ink Rates'!C:C,'Dispensed Ink Rates'!CS:CS),VLOOKUP(JU348,'Jan-2026 rates'!$E:$F,2,0)))</f>
        <v>0</v>
      </c>
      <c r="KI348" s="409"/>
      <c r="KJ348" s="398">
        <f>IF(KI348=0,0,IF(LEN(JV348)=11,_xlfn.XLOOKUP(JV348,'Dispensed Ink Rates'!C:C,'Dispensed Ink Rates'!CS:CS),VLOOKUP(JV348,'Jan-2026 rates'!$E:$F,2,0)))</f>
        <v>0</v>
      </c>
      <c r="KK348" s="409"/>
      <c r="KL348" s="398">
        <f>IF(KK348=0,0,IF(LEN(JW348)=11,_xlfn.XLOOKUP(JW348,'Dispensed Ink Rates'!C:C,'Dispensed Ink Rates'!CS:CS),VLOOKUP(JW348,'Jan-2026 rates'!$E:$F,2,0)))</f>
        <v>0</v>
      </c>
      <c r="KM348" s="428"/>
      <c r="KN348" s="398">
        <f>IF(KM348=0,0,IF(LEN(JX348)=11,_xlfn.XLOOKUP(JX348,'Dispensed Ink Rates'!C:C,'Dispensed Ink Rates'!CS:CS),VLOOKUP(JX348,'Jan-2026 rates'!$E:$F,2,0)))</f>
        <v>0</v>
      </c>
      <c r="KO348" s="409"/>
      <c r="KP348" s="409"/>
      <c r="KQ348" s="411">
        <f t="shared" si="233"/>
        <v>0</v>
      </c>
      <c r="KR348" s="411">
        <f t="shared" si="234"/>
        <v>0</v>
      </c>
      <c r="KS348" s="410">
        <f t="shared" si="235"/>
        <v>0</v>
      </c>
      <c r="KT348" s="409">
        <v>2</v>
      </c>
      <c r="KU348" s="409">
        <v>10</v>
      </c>
      <c r="KV348" s="409">
        <v>2</v>
      </c>
      <c r="KW348" s="409">
        <v>2</v>
      </c>
      <c r="KX348" s="409">
        <v>2</v>
      </c>
      <c r="KY348" s="409">
        <v>4</v>
      </c>
      <c r="KZ348" s="409">
        <v>20</v>
      </c>
      <c r="LA348" s="409">
        <v>0</v>
      </c>
      <c r="LB348" s="415">
        <v>0.8</v>
      </c>
      <c r="LC348" s="415">
        <v>0.2</v>
      </c>
      <c r="LD348" s="424"/>
      <c r="LE348" s="415"/>
      <c r="LF348" s="415"/>
      <c r="LG348" s="409">
        <v>0</v>
      </c>
      <c r="LH348" s="409">
        <f>20+10+24+6</f>
        <v>60</v>
      </c>
      <c r="LI348" s="409">
        <v>0</v>
      </c>
      <c r="LJ348" s="409">
        <v>0</v>
      </c>
      <c r="LK348" s="416">
        <f t="shared" si="191"/>
        <v>60</v>
      </c>
      <c r="LL348" s="416">
        <f t="shared" si="237"/>
        <v>60</v>
      </c>
      <c r="LM348" s="417">
        <f t="shared" si="193"/>
        <v>48</v>
      </c>
      <c r="LN348" s="417">
        <f>VLOOKUP($LM$8,'Jan-2026 rates'!$H:$I,2,0)</f>
        <v>0</v>
      </c>
      <c r="LO348" s="417">
        <f t="shared" si="194"/>
        <v>12</v>
      </c>
      <c r="LP348" s="417">
        <f>VLOOKUP($LO$8,'Jan-2026 rates'!$H:$I,2,0)</f>
        <v>0</v>
      </c>
      <c r="LQ348" s="417">
        <f t="shared" si="195"/>
        <v>0</v>
      </c>
      <c r="LR348" s="417">
        <f>VLOOKUP($LQ$8,'Jan-2026 rates'!$H:$I,2,0)</f>
        <v>0</v>
      </c>
      <c r="LS348" s="417">
        <f t="shared" si="196"/>
        <v>0</v>
      </c>
      <c r="LT348" s="417">
        <f>VLOOKUP($LS$8,'Jan-2026 rates'!$H:$I,2,0)</f>
        <v>0</v>
      </c>
      <c r="LU348" s="417">
        <f t="shared" si="197"/>
        <v>0</v>
      </c>
      <c r="LV348" s="417">
        <f>VLOOKUP($LU$8,'Jan-2026 rates'!$H:$I,2,0)</f>
        <v>0</v>
      </c>
      <c r="LW348" s="417">
        <f t="shared" si="198"/>
        <v>0</v>
      </c>
      <c r="LX348" s="417">
        <f t="shared" si="199"/>
        <v>0</v>
      </c>
      <c r="LY348" s="418">
        <f t="shared" si="200"/>
        <v>0</v>
      </c>
      <c r="LZ348" s="417"/>
      <c r="MA348" s="435">
        <f t="shared" si="201"/>
        <v>61.3</v>
      </c>
      <c r="MB348" s="282">
        <f t="shared" si="202"/>
        <v>139.29999999999995</v>
      </c>
      <c r="MC348" s="283">
        <v>191</v>
      </c>
      <c r="MD348" s="284" t="str">
        <f t="shared" si="203"/>
        <v>FLINTSLFLINTSLFLINTSLFLINTSLFLINTSLFLINTSLFLINTSL</v>
      </c>
      <c r="ME348" s="293" t="str">
        <f t="shared" si="204"/>
        <v>+</v>
      </c>
      <c r="MF348" s="293" t="str">
        <f t="shared" si="205"/>
        <v>+</v>
      </c>
      <c r="MG348" s="293" t="str">
        <f t="shared" si="206"/>
        <v>+</v>
      </c>
      <c r="MH348" s="293" t="str">
        <f t="shared" si="207"/>
        <v>+</v>
      </c>
      <c r="MI348" s="293" t="str">
        <f t="shared" si="208"/>
        <v>+</v>
      </c>
      <c r="MJ348" s="293" t="str">
        <f t="shared" si="209"/>
        <v>+</v>
      </c>
      <c r="MK348" s="293" t="str">
        <f t="shared" si="210"/>
        <v>+</v>
      </c>
      <c r="ML348" s="293" t="str">
        <f t="shared" si="211"/>
        <v>NIL</v>
      </c>
      <c r="MM348" s="3" t="b">
        <f t="array" ref="MM348">OR(ME348:ML348="-")</f>
        <v>0</v>
      </c>
      <c r="MO348" s="401">
        <f t="shared" si="238"/>
        <v>46.588628762541788</v>
      </c>
      <c r="MP348" s="286"/>
      <c r="MR348" s="402">
        <f t="shared" si="239"/>
        <v>1.3929999999999996E-2</v>
      </c>
      <c r="MS348" s="400">
        <f t="shared" si="240"/>
        <v>0</v>
      </c>
      <c r="MT348" s="285"/>
      <c r="NH348" s="361"/>
      <c r="NJ348" s="282"/>
    </row>
    <row r="349" spans="1:374" ht="16.5">
      <c r="A349" s="403">
        <v>46046</v>
      </c>
      <c r="B349" s="404" t="s">
        <v>1018</v>
      </c>
      <c r="C349" s="405" t="s">
        <v>4698</v>
      </c>
      <c r="D349" s="404">
        <v>192</v>
      </c>
      <c r="E349" s="404">
        <v>402</v>
      </c>
      <c r="F349" s="407">
        <v>23600</v>
      </c>
      <c r="G349" s="407" t="s">
        <v>1016</v>
      </c>
      <c r="H349" s="408" t="s">
        <v>1017</v>
      </c>
      <c r="I349" s="409">
        <v>0.65</v>
      </c>
      <c r="J349" s="405" t="s">
        <v>543</v>
      </c>
      <c r="K349" s="404" t="s">
        <v>4699</v>
      </c>
      <c r="L349" s="419" t="str">
        <f t="shared" si="184"/>
        <v>FLINTSL - BLACK</v>
      </c>
      <c r="M349" s="404">
        <v>30</v>
      </c>
      <c r="N349" s="410">
        <f>IF(M349=0,0,IF($LB349=70%,VLOOKUP($L349,'Jan-2026 rates'!$L:$R,4,0),IF($LB349=65%,VLOOKUP($L349,'Jan-2026 rates'!$L:$R,4,0),IF($LB349=40%,VLOOKUP($L349,'Jan-2026 rates'!$L:$R,5,0),IF($LB349=30%,VLOOKUP($L349,'Jan-2026 rates'!$L:$R,6,0),IF($LB349=100%,VLOOKUP($L349,'Jan-2026 rates'!$L:$R,7,0),IF($LB349=60%,VLOOKUP($L349,'Jan-2026 rates'!$L:$S,8,0),IF($LB349=80%,VLOOKUP($L349,'Jan-2026 rates'!L:T,9,0),0))))))))</f>
        <v>0</v>
      </c>
      <c r="O349" s="406"/>
      <c r="P349" s="404"/>
      <c r="Q349" s="410">
        <f>IF(P349=0,0,IF($LB349=70%,VLOOKUP($L349,'Jan-2026 rates'!$L:$R,4,0),IF($LB349=65%,VLOOKUP($L349,'Jan-2026 rates'!$L:$R,4,0),IF($LB349=40%,VLOOKUP($L349,'Jan-2026 rates'!$L:$R,5,0),IF($LB349=30%,VLOOKUP($L349,'Jan-2026 rates'!$L:$R,6,0),IF($LB349=100%,VLOOKUP($L349,'Jan-2026 rates'!$L:$R,7,0),IF($LB349=60%,VLOOKUP($L349,'Jan-2026 rates'!$L:$S,8,0),IF($LB349=80%,VLOOKUP($L349,'Jan-2026 rates'!L:T,9,0),0))))))))</f>
        <v>0</v>
      </c>
      <c r="R349" s="406" t="s">
        <v>1266</v>
      </c>
      <c r="S349" s="406"/>
      <c r="T349" s="406"/>
      <c r="U349" s="406"/>
      <c r="V349" s="406"/>
      <c r="W349" s="406"/>
      <c r="X349" s="406"/>
      <c r="Y349" s="406"/>
      <c r="Z349" s="404">
        <v>2</v>
      </c>
      <c r="AA349" s="398">
        <f>IF(Z349=0,0,IF(LEN(R349)=11,_xlfn.XLOOKUP(R349,'Dispensed Ink Rates'!C:C,'Dispensed Ink Rates'!CS:CS),VLOOKUP(R349,'Jan-2026 rates'!$E:$F,2,0)))</f>
        <v>0</v>
      </c>
      <c r="AB349" s="404"/>
      <c r="AC349" s="398">
        <f>IF(AB349=0,0,IF(LEN(S349)=11,_xlfn.XLOOKUP(S349,'Dispensed Ink Rates'!C:C,'Dispensed Ink Rates'!CS:CS),VLOOKUP(S349,'Jan-2026 rates'!$E:$F,2,0)))</f>
        <v>0</v>
      </c>
      <c r="AD349" s="404"/>
      <c r="AE349" s="398">
        <f>IF(AD349=0,0,IF(LEN(T349)=11,_xlfn.XLOOKUP(T349,'Dispensed Ink Rates'!C:C,'Dispensed Ink Rates'!CS:CS),VLOOKUP(T349,'Jan-2026 rates'!$E:$F,2,0)))</f>
        <v>0</v>
      </c>
      <c r="AF349" s="404"/>
      <c r="AG349" s="398">
        <f>IF(AF349=0,0,IF(LEN(U349)=11,_xlfn.XLOOKUP(U349,'Dispensed Ink Rates'!C:C,'Dispensed Ink Rates'!CS:CS),VLOOKUP(U349,'Jan-2026 rates'!$E:$F,2,0)))</f>
        <v>0</v>
      </c>
      <c r="AH349" s="404"/>
      <c r="AI349" s="398">
        <f>IF(AH349=0,0,IF(LEN(V349)=11,_xlfn.XLOOKUP(V349,'Dispensed Ink Rates'!C:C,'Dispensed Ink Rates'!CS:CS),VLOOKUP(V349,'Jan-2026 rates'!$E:$F,2,0)))</f>
        <v>0</v>
      </c>
      <c r="AJ349" s="404"/>
      <c r="AK349" s="398">
        <f>IF(AJ349=0,0,IF(LEN(W349)=11,_xlfn.XLOOKUP(W349,'Dispensed Ink Rates'!C:C,'Dispensed Ink Rates'!CS:CS),VLOOKUP(W349,'Jan-2026 rates'!$E:$F,2,0)))</f>
        <v>0</v>
      </c>
      <c r="AL349" s="404"/>
      <c r="AM349" s="398">
        <f>IF(AL349=0,0,IF(LEN(X349)=11,_xlfn.XLOOKUP(X349,'Dispensed Ink Rates'!C:C,'Dispensed Ink Rates'!CS:CS),VLOOKUP(X349,'Jan-2026 rates'!$E:$F,2,0)))</f>
        <v>0</v>
      </c>
      <c r="AN349" s="404"/>
      <c r="AO349" s="398">
        <f>IF(AN349=0,0,IF(LEN(Y349)=11,_xlfn.XLOOKUP(Y349,'Dispensed Ink Rates'!C:C,'Dispensed Ink Rates'!CS:CS),VLOOKUP(Y349,'Jan-2026 rates'!$E:$F,2,0)))</f>
        <v>0</v>
      </c>
      <c r="AP349" s="409" t="s">
        <v>1443</v>
      </c>
      <c r="AQ349" s="409">
        <v>30</v>
      </c>
      <c r="AR349" s="410">
        <f t="shared" si="212"/>
        <v>0</v>
      </c>
      <c r="AS349" s="411">
        <f t="shared" si="213"/>
        <v>7.1063829787234027</v>
      </c>
      <c r="AT349" s="410">
        <f t="shared" si="214"/>
        <v>0</v>
      </c>
      <c r="AU349" s="405" t="s">
        <v>857</v>
      </c>
      <c r="AV349" s="409" t="s">
        <v>4700</v>
      </c>
      <c r="AW349" s="420" t="str">
        <f t="shared" si="236"/>
        <v>FLINTSL - RED</v>
      </c>
      <c r="AX349" s="409">
        <v>29</v>
      </c>
      <c r="AY349" s="411">
        <f>IF(AX349=0,0,IF($LB349=70%,VLOOKUP($AW349,'Jan-2026 rates'!$L:$R,4,0),IF($LB349=65%,VLOOKUP($AW349,'Jan-2026 rates'!$L:$R,4,0),IF($LB349=40%,VLOOKUP($AW349,'Jan-2026 rates'!$L:$R,5,0),IF($LB349=30%,VLOOKUP($AW349,'Jan-2026 rates'!$L:$R,6,0),IF($LB349=100%,VLOOKUP($AW349,'Jan-2026 rates'!$L:$R,7,0),IF($LB349=60%,VLOOKUP($AW349,'Jan-2026 rates'!$L:$S,8,0),IF($LB349=80%,VLOOKUP($AW349,'Jan-2026 rates'!L:T,9,0),0))))))))</f>
        <v>0</v>
      </c>
      <c r="AZ349" s="412"/>
      <c r="BA349" s="409"/>
      <c r="BB349" s="411">
        <f>IF(BA349=0,0,IF($LB349=70%,VLOOKUP($AW349,'Jan-2026 rates'!$L:$R,4,0),IF($LB349=65%,VLOOKUP($AW349,'Jan-2026 rates'!$L:$R,4,0),IF($LB349=40%,VLOOKUP($AW349,'Jan-2026 rates'!$L:$R,5,0),IF($LB349=30%,VLOOKUP($AW349,'Jan-2026 rates'!$L:$R,6,0),IF($LB349=100%,VLOOKUP($AW349,'Jan-2026 rates'!$L:$R,7,0),IF($LB349=60%,VLOOKUP($AW349,'Jan-2026 rates'!$L:$S,8,0),IF($LB349=80%,VLOOKUP($AW349,'Jan-2026 rates'!L:T,9,0),0))))))))</f>
        <v>0</v>
      </c>
      <c r="BC349" s="413">
        <v>26524000028</v>
      </c>
      <c r="BD349" s="412">
        <v>26526000027</v>
      </c>
      <c r="BE349" s="412"/>
      <c r="BF349" s="413"/>
      <c r="BG349" s="412"/>
      <c r="BH349" s="412"/>
      <c r="BI349" s="412"/>
      <c r="BJ349" s="412"/>
      <c r="BK349" s="409">
        <v>6</v>
      </c>
      <c r="BL349" s="398" t="e">
        <f>IF(BK349=0,0,IF(LEN(BC349)=11,_xlfn.XLOOKUP(BC349,'Dispensed Ink Rates'!C:C,'Dispensed Ink Rates'!CS:CS),VLOOKUP(BC349,'Jan-2026 rates'!$E:$F,2,0)))</f>
        <v>#N/A</v>
      </c>
      <c r="BM349" s="409">
        <v>11</v>
      </c>
      <c r="BN349" s="398" t="e">
        <f>IF(BM349=0,0,IF(LEN(BD349)=11,_xlfn.XLOOKUP(BD349,'Dispensed Ink Rates'!C:C,'Dispensed Ink Rates'!CS:CS),VLOOKUP(BD349,'Jan-2026 rates'!$E:$F,2,0)))</f>
        <v>#N/A</v>
      </c>
      <c r="BO349" s="409"/>
      <c r="BP349" s="398">
        <f>IF(BO349=0,0,IF(LEN(BE349)=11,_xlfn.XLOOKUP(BE349,'Dispensed Ink Rates'!C:C,'Dispensed Ink Rates'!CS:CS),VLOOKUP(BE349,'Jan-2026 rates'!$E:$F,2,0)))</f>
        <v>0</v>
      </c>
      <c r="BQ349" s="409"/>
      <c r="BR349" s="398">
        <f>IF(BQ349=0,0,IF(LEN(BF349)=11,_xlfn.XLOOKUP(BF349,'Dispensed Ink Rates'!C:C,'Dispensed Ink Rates'!CS:CS),VLOOKUP(BF349,'Jan-2026 rates'!$E:$F,2,0)))</f>
        <v>0</v>
      </c>
      <c r="BS349" s="409"/>
      <c r="BT349" s="398">
        <f>IF(BS349=0,0,IF(LEN(BG349)=11,_xlfn.XLOOKUP(BG349,'Dispensed Ink Rates'!C:C,'Dispensed Ink Rates'!CS:CS),VLOOKUP(BG349,'Jan-2026 rates'!$E:$F,2,0)))</f>
        <v>0</v>
      </c>
      <c r="BU349" s="409"/>
      <c r="BV349" s="398">
        <f>IF(BU349=0,0,IF(LEN(BH349)=11,_xlfn.XLOOKUP(BH349,'Dispensed Ink Rates'!C:C,'Dispensed Ink Rates'!CS:CS),VLOOKUP(BH349,'Jan-2026 rates'!$E:$F,2,0)))</f>
        <v>0</v>
      </c>
      <c r="BW349" s="409"/>
      <c r="BX349" s="398">
        <f>IF(BW349=0,0,IF(LEN(BI349)=11,_xlfn.XLOOKUP(BI349,'Dispensed Ink Rates'!C:C,'Dispensed Ink Rates'!CS:CS),VLOOKUP(BI349,'Jan-2026 rates'!$E:$F,2,0)))</f>
        <v>0</v>
      </c>
      <c r="BY349" s="409"/>
      <c r="BZ349" s="398">
        <f>IF(BY349=0,0,IF(LEN(BJ349)=11,_xlfn.XLOOKUP(BJ349,'Dispensed Ink Rates'!C:C,'Dispensed Ink Rates'!CS:CS),VLOOKUP(BJ349,'Jan-2026 rates'!$E:$F,2,0)))</f>
        <v>0</v>
      </c>
      <c r="CA349" s="409" t="s">
        <v>1443</v>
      </c>
      <c r="CB349" s="409">
        <v>30</v>
      </c>
      <c r="CC349" s="411">
        <f t="shared" si="215"/>
        <v>0</v>
      </c>
      <c r="CD349" s="411">
        <f t="shared" si="216"/>
        <v>26.212765957446805</v>
      </c>
      <c r="CE349" s="410">
        <f t="shared" si="217"/>
        <v>0</v>
      </c>
      <c r="CF349" s="404" t="s">
        <v>547</v>
      </c>
      <c r="CG349" s="409" t="s">
        <v>4701</v>
      </c>
      <c r="CH349" s="420" t="str">
        <f t="shared" si="185"/>
        <v>FLINTSL - GREEN</v>
      </c>
      <c r="CI349" s="409">
        <v>27</v>
      </c>
      <c r="CJ349" s="411">
        <f>IF(CI349=0,0,IF($LB349=70%,VLOOKUP($CH349,'Jan-2026 rates'!$L:$R,4,0),IF($LB349=65%,VLOOKUP($CH349,'Jan-2026 rates'!$L:$R,4,0),IF($LB349=40%,VLOOKUP($CH349,'Jan-2026 rates'!$L:$R,5,0),IF($LB349=30%,VLOOKUP($CH349,'Jan-2026 rates'!$L:$R,6,0),IF($LB349=100%,VLOOKUP($CH349,'Jan-2026 rates'!$L:$R,7,0),IF($LB349=60%,VLOOKUP($CH349,'Jan-2026 rates'!$L:$S,8,0),IF($LB349=80%,VLOOKUP($CH349,'Jan-2026 rates'!L:T,9,0),0))))))))</f>
        <v>0</v>
      </c>
      <c r="CK349" s="412"/>
      <c r="CL349" s="409"/>
      <c r="CM349" s="411">
        <f>IF(CL349=0,0,IF($LB349=70%,VLOOKUP($CH349,'Jan-2026 rates'!$L:$R,4,0),IF($LB349=65%,VLOOKUP($CH349,'Jan-2026 rates'!$L:$R,4,0),IF($LB349=40%,VLOOKUP($CH349,'Jan-2026 rates'!$L:$R,5,0),IF($LB349=30%,VLOOKUP($CH349,'Jan-2026 rates'!$L:$R,6,0),IF($LB349=100%,VLOOKUP($CH349,'Jan-2026 rates'!$L:$R,7,0),IF($LB349=60%,VLOOKUP($CH349,'Jan-2026 rates'!$L:$S,8,0),IF($LB349=80%,VLOOKUP($CH349,'Jan-2026 rates'!L:T,9,0),0))))))))</f>
        <v>0</v>
      </c>
      <c r="CN349" s="426">
        <v>26525000002</v>
      </c>
      <c r="CO349" s="427">
        <v>26526000029</v>
      </c>
      <c r="CP349" s="426"/>
      <c r="CQ349" s="426"/>
      <c r="CR349" s="428"/>
      <c r="CS349" s="428"/>
      <c r="CT349" s="428"/>
      <c r="CU349" s="428"/>
      <c r="CV349" s="409">
        <v>4</v>
      </c>
      <c r="CW349" s="398" t="e">
        <f>IF(CV349=0,0,IF(LEN(CN349)=11,_xlfn.XLOOKUP(CN349,'Dispensed Ink Rates'!C:C,'Dispensed Ink Rates'!CS:CS),VLOOKUP(CN349,'Jan-2026 rates'!$E:$F,2,0)))</f>
        <v>#N/A</v>
      </c>
      <c r="CX349" s="409">
        <v>1.5</v>
      </c>
      <c r="CY349" s="398" t="e">
        <f>IF(CX349=0,0,IF(LEN(CO349)=11,_xlfn.XLOOKUP(CO349,'Dispensed Ink Rates'!C:C,'Dispensed Ink Rates'!CS:CS),VLOOKUP(CO349,'Jan-2026 rates'!$E:$F,2,0)))</f>
        <v>#N/A</v>
      </c>
      <c r="CZ349" s="409"/>
      <c r="DA349" s="398">
        <f>IF(CZ349=0,0,IF(LEN(CP349)=11,_xlfn.XLOOKUP(CP349,'Dispensed Ink Rates'!C:C,'Dispensed Ink Rates'!CS:CS),VLOOKUP(CP349,'Jan-2026 rates'!$E:$F,2,0)))</f>
        <v>0</v>
      </c>
      <c r="DB349" s="409"/>
      <c r="DC349" s="398">
        <f>IF(DB349=0,0,IF(LEN(CQ349)=11,_xlfn.XLOOKUP(CQ349,'Dispensed Ink Rates'!C:C,'Dispensed Ink Rates'!CS:CS),VLOOKUP(CQ349,'Jan-2026 rates'!$E:$F,2,0)))</f>
        <v>0</v>
      </c>
      <c r="DD349" s="409"/>
      <c r="DE349" s="398">
        <f>IF(DD349=0,0,IF(LEN(CR349)=11,_xlfn.XLOOKUP(CR349,'Dispensed Ink Rates'!C:C,'Dispensed Ink Rates'!CS:CS),VLOOKUP(CR349,'Jan-2026 rates'!$E:$F,2,0)))</f>
        <v>0</v>
      </c>
      <c r="DF349" s="409"/>
      <c r="DG349" s="398">
        <f>IF(DF349=0,0,IF(LEN(CS349)=11,_xlfn.XLOOKUP(CS349,'Dispensed Ink Rates'!C:C,'Dispensed Ink Rates'!CS:CS),VLOOKUP(CS349,'Jan-2026 rates'!$E:$F,2,0)))</f>
        <v>0</v>
      </c>
      <c r="DH349" s="409"/>
      <c r="DI349" s="398">
        <f>IF(DH349=0,0,IF(LEN(CT349)=11,_xlfn.XLOOKUP(CT349,'Dispensed Ink Rates'!C:C,'Dispensed Ink Rates'!CS:CS),VLOOKUP(CT349,'Jan-2026 rates'!$E:$F,2,0)))</f>
        <v>0</v>
      </c>
      <c r="DJ349" s="409"/>
      <c r="DK349" s="398">
        <f>IF(DJ349=0,0,IF(LEN(CU349)=11,_xlfn.XLOOKUP(CU349,'Dispensed Ink Rates'!C:C,'Dispensed Ink Rates'!CS:CS),VLOOKUP(CU349,'Jan-2026 rates'!$E:$F,2,0)))</f>
        <v>0</v>
      </c>
      <c r="DL349" s="409" t="s">
        <v>1443</v>
      </c>
      <c r="DM349" s="409">
        <v>37</v>
      </c>
      <c r="DN349" s="411">
        <f t="shared" si="218"/>
        <v>0</v>
      </c>
      <c r="DO349" s="411">
        <f t="shared" si="219"/>
        <v>2.3085106382978751</v>
      </c>
      <c r="DP349" s="410">
        <f t="shared" si="220"/>
        <v>0</v>
      </c>
      <c r="DQ349" s="405" t="s">
        <v>855</v>
      </c>
      <c r="DR349" s="409" t="s">
        <v>4702</v>
      </c>
      <c r="DS349" s="420" t="str">
        <f t="shared" si="186"/>
        <v>FLINTSL - CYAN</v>
      </c>
      <c r="DT349" s="409">
        <v>27</v>
      </c>
      <c r="DU349" s="411">
        <f>IF(DT349=0,0,IF($LB349=70%,VLOOKUP($DS349,'Jan-2026 rates'!$L:$R,4,0),IF($LB349=65%,VLOOKUP($DS349,'Jan-2026 rates'!$L:$R,4,0),IF($LB349=40%,VLOOKUP($DS349,'Jan-2026 rates'!$L:$R,5,0),IF($LB349=30%,VLOOKUP($DS349,'Jan-2026 rates'!$L:$R,6,0),IF($LB349=100%,VLOOKUP($DS349,'Jan-2026 rates'!$L:$R,7,0),IF($LB349=60%,VLOOKUP($DS349,'Jan-2026 rates'!$L:$S,8,0),IF($LB349=80%,VLOOKUP($DS349,'Jan-2026 rates'!L:T,9,0),0))))))))</f>
        <v>0</v>
      </c>
      <c r="DV349" s="412"/>
      <c r="DW349" s="409"/>
      <c r="DX349" s="411">
        <f>IF(DW349=0,0,IF($LB349=70%,VLOOKUP($DS349,'Jan-2026 rates'!$L:$R,4,0),IF($LB349=65%,VLOOKUP($DS349,'Jan-2026 rates'!$L:$R,4,0),IF($LB349=40%,VLOOKUP($DS349,'Jan-2026 rates'!$L:$R,5,0),IF($LB349=30%,VLOOKUP($DS349,'Jan-2026 rates'!$L:$R,6,0),IF($LB349=100%,VLOOKUP($DS349,'Jan-2026 rates'!$L:$R,7,0),IF($LB349=60%,VLOOKUP($DS349,'Jan-2026 rates'!$L:$S,8,0),IF($LB349=80%,VLOOKUP($DS349,'Jan-2026 rates'!L:T,9,0),0))))))))</f>
        <v>0</v>
      </c>
      <c r="DY349" s="413">
        <v>26523000028</v>
      </c>
      <c r="DZ349" s="413"/>
      <c r="EA349" s="412"/>
      <c r="EB349" s="412"/>
      <c r="EC349" s="412"/>
      <c r="ED349" s="412"/>
      <c r="EE349" s="412"/>
      <c r="EF349" s="412"/>
      <c r="EG349" s="409">
        <v>2</v>
      </c>
      <c r="EH349" s="398" t="e">
        <f>IF(EG349=0,0,IF(LEN(DY349)=11,_xlfn.XLOOKUP(DY349,'Dispensed Ink Rates'!C:C,'Dispensed Ink Rates'!CS:CS),VLOOKUP(DY349,'Jan-2026 rates'!$E:$F,2,0)))</f>
        <v>#N/A</v>
      </c>
      <c r="EI349" s="409"/>
      <c r="EJ349" s="398">
        <f>IF(EI349=0,0,IF(LEN(DZ349)=11,_xlfn.XLOOKUP(DZ349,'Dispensed Ink Rates'!C:C,'Dispensed Ink Rates'!CS:CS),VLOOKUP(DZ349,'Jan-2026 rates'!$E:$F,2,0)))</f>
        <v>0</v>
      </c>
      <c r="EK349" s="409"/>
      <c r="EL349" s="398">
        <f>IF(EK349=0,0,IF(LEN(EA349)=11,_xlfn.XLOOKUP(EA349,'Dispensed Ink Rates'!C:C,'Dispensed Ink Rates'!CS:CS),VLOOKUP(EA349,'Jan-2026 rates'!$E:$F,2,0)))</f>
        <v>0</v>
      </c>
      <c r="EM349" s="409"/>
      <c r="EN349" s="398">
        <f>IF(EM349=0,0,IF(LEN(EB349)=11,_xlfn.XLOOKUP(EB349,'Dispensed Ink Rates'!C:C,'Dispensed Ink Rates'!CS:CS),VLOOKUP(EB349,'Jan-2026 rates'!$E:$F,2,0)))</f>
        <v>0</v>
      </c>
      <c r="EO349" s="409"/>
      <c r="EP349" s="398">
        <f>IF(EO349=0,0,IF(LEN(EC349)=11,_xlfn.XLOOKUP(EC349,'Dispensed Ink Rates'!C:C,'Dispensed Ink Rates'!CS:CS),VLOOKUP(EC349,'Jan-2026 rates'!$E:$F,2,0)))</f>
        <v>0</v>
      </c>
      <c r="EQ349" s="409"/>
      <c r="ER349" s="398">
        <f>IF(EQ349=0,0,IF(LEN(ED349)=11,_xlfn.XLOOKUP(ED349,'Dispensed Ink Rates'!C:C,'Dispensed Ink Rates'!CS:CS),VLOOKUP(ED349,'Jan-2026 rates'!$E:$F,2,0)))</f>
        <v>0</v>
      </c>
      <c r="ES349" s="409"/>
      <c r="ET349" s="398">
        <f>IF(ES349=0,0,IF(LEN(EE349)=11,_xlfn.XLOOKUP(EE349,'Dispensed Ink Rates'!C:C,'Dispensed Ink Rates'!CS:CS),VLOOKUP(EE349,'Jan-2026 rates'!$E:$F,2,0)))</f>
        <v>0</v>
      </c>
      <c r="EU349" s="409"/>
      <c r="EV349" s="398">
        <f>IF(EU349=0,0,IF(LEN(EF349)=11,_xlfn.XLOOKUP(EF349,'Dispensed Ink Rates'!C:C,'Dispensed Ink Rates'!CS:CS),VLOOKUP(EF349,'Jan-2026 rates'!$E:$F,2,0)))</f>
        <v>0</v>
      </c>
      <c r="EW349" s="409" t="s">
        <v>1443</v>
      </c>
      <c r="EX349" s="409">
        <v>30</v>
      </c>
      <c r="EY349" s="411">
        <f t="shared" si="221"/>
        <v>0</v>
      </c>
      <c r="EZ349" s="411">
        <f t="shared" si="222"/>
        <v>0.70212765957446877</v>
      </c>
      <c r="FA349" s="410">
        <f t="shared" si="223"/>
        <v>0</v>
      </c>
      <c r="FB349" s="405" t="s">
        <v>544</v>
      </c>
      <c r="FC349" s="409" t="s">
        <v>4703</v>
      </c>
      <c r="FD349" s="420" t="str">
        <f t="shared" si="187"/>
        <v>FLINTSL - MAGENTA</v>
      </c>
      <c r="FE349" s="409">
        <v>29</v>
      </c>
      <c r="FF349" s="411">
        <f>IF(FE349=0,0,IF($LB349=70%,VLOOKUP($FD349,'Jan-2026 rates'!$L:$R,4,0),IF($LB349=65%,VLOOKUP($FD349,'Jan-2026 rates'!$L:$R,4,0),IF($LB349=40%,VLOOKUP($FD349,'Jan-2026 rates'!$L:$R,5,0),IF($LB349=30%,VLOOKUP($FD349,'Jan-2026 rates'!$L:$R,6,0),IF($LB349=100%,VLOOKUP($FD349,'Jan-2026 rates'!$L:$R,7,0),IF($LB349=60%,VLOOKUP($FD349,'Jan-2026 rates'!$L:$S,8,0),IF($LB349=80%,VLOOKUP($FD349,'Jan-2026 rates'!L:T,9,0),0))))))))</f>
        <v>0</v>
      </c>
      <c r="FG349" s="412"/>
      <c r="FH349" s="409"/>
      <c r="FI349" s="411">
        <f>IF(FH349=0,0,IF($LB349=70%,VLOOKUP($FD349,'Jan-2026 rates'!$L:$R,4,0),IF($LB349=65%,VLOOKUP($FD349,'Jan-2026 rates'!$L:$R,4,0),IF($LB349=40%,VLOOKUP($FD349,'Jan-2026 rates'!$L:$R,5,0),IF($LB349=30%,VLOOKUP($FD349,'Jan-2026 rates'!$L:$R,6,0),IF($LB349=100%,VLOOKUP($FD349,'Jan-2026 rates'!$L:$R,7,0),IF($LB349=60%,VLOOKUP($FD349,'Jan-2026 rates'!$L:$S,8,0),IF($LB349=80%,VLOOKUP($FD349,'Jan-2026 rates'!L:T,9,0),0))))))))</f>
        <v>0</v>
      </c>
      <c r="FJ349" s="413">
        <v>26524000028</v>
      </c>
      <c r="FK349" s="413"/>
      <c r="FL349" s="413"/>
      <c r="FM349" s="412"/>
      <c r="FN349" s="412"/>
      <c r="FO349" s="412"/>
      <c r="FP349" s="412"/>
      <c r="FQ349" s="412"/>
      <c r="FR349" s="409">
        <f>2+2</f>
        <v>4</v>
      </c>
      <c r="FS349" s="398" t="e">
        <f>IF(FR349=0,0,IF(LEN(FJ349)=11,_xlfn.XLOOKUP(FJ349,'Dispensed Ink Rates'!C:C,'Dispensed Ink Rates'!CS:CS),VLOOKUP(FJ349,'Jan-2026 rates'!$E:$F,2,0)))</f>
        <v>#N/A</v>
      </c>
      <c r="FT349" s="409"/>
      <c r="FU349" s="398">
        <f>IF(FT349=0,0,IF(LEN(FK349)=11,_xlfn.XLOOKUP(FK349,'Dispensed Ink Rates'!C:C,'Dispensed Ink Rates'!CS:CS),VLOOKUP(FK349,'Jan-2026 rates'!$E:$F,2,0)))</f>
        <v>0</v>
      </c>
      <c r="FV349" s="409"/>
      <c r="FW349" s="398">
        <f>IF(FV349=0,0,IF(LEN(FL349)=11,_xlfn.XLOOKUP(FL349,'Dispensed Ink Rates'!C:C,'Dispensed Ink Rates'!CS:CS),VLOOKUP(FL349,'Jan-2026 rates'!$E:$F,2,0)))</f>
        <v>0</v>
      </c>
      <c r="FX349" s="409"/>
      <c r="FY349" s="398">
        <f>IF(FX349=0,0,IF(LEN(FM349)=11,_xlfn.XLOOKUP(FM349,'Dispensed Ink Rates'!C:C,'Dispensed Ink Rates'!CS:CS),VLOOKUP(FM349,'Jan-2026 rates'!$E:$F,2,0)))</f>
        <v>0</v>
      </c>
      <c r="FZ349" s="409"/>
      <c r="GA349" s="398">
        <f>IF(FZ349=0,0,IF(LEN(FN349)=11,_xlfn.XLOOKUP(FN349,'Dispensed Ink Rates'!C:C,'Dispensed Ink Rates'!CS:CS),VLOOKUP(FN349,'Jan-2026 rates'!$E:$F,2,0)))</f>
        <v>0</v>
      </c>
      <c r="GB349" s="409"/>
      <c r="GC349" s="398">
        <f>IF(GB349=0,0,IF(LEN(FO349)=11,_xlfn.XLOOKUP(FO349,'Dispensed Ink Rates'!C:C,'Dispensed Ink Rates'!CS:CS),VLOOKUP(FO349,'Jan-2026 rates'!$E:$F,2,0)))</f>
        <v>0</v>
      </c>
      <c r="GD349" s="409"/>
      <c r="GE349" s="398">
        <f>IF(GD349=0,0,IF(LEN(FP349)=11,_xlfn.XLOOKUP(FP349,'Dispensed Ink Rates'!C:C,'Dispensed Ink Rates'!CS:CS),VLOOKUP(FP349,'Jan-2026 rates'!$E:$F,2,0)))</f>
        <v>0</v>
      </c>
      <c r="GF349" s="409"/>
      <c r="GG349" s="398">
        <f>IF(GF349=0,0,IF(LEN(FQ349)=11,_xlfn.XLOOKUP(FQ349,'Dispensed Ink Rates'!C:C,'Dispensed Ink Rates'!CS:CS),VLOOKUP(FQ349,'Jan-2026 rates'!$E:$F,2,0)))</f>
        <v>0</v>
      </c>
      <c r="GH349" s="409" t="s">
        <v>1443</v>
      </c>
      <c r="GI349" s="409">
        <v>30</v>
      </c>
      <c r="GJ349" s="411">
        <f t="shared" si="224"/>
        <v>0</v>
      </c>
      <c r="GK349" s="411">
        <f t="shared" si="225"/>
        <v>4.7021276595744652</v>
      </c>
      <c r="GL349" s="410">
        <f t="shared" si="226"/>
        <v>0</v>
      </c>
      <c r="GM349" s="405" t="s">
        <v>545</v>
      </c>
      <c r="GN349" s="409" t="s">
        <v>4704</v>
      </c>
      <c r="GO349" s="420" t="str">
        <f t="shared" si="188"/>
        <v>FLINTSL - YELLOW</v>
      </c>
      <c r="GP349" s="409">
        <v>29</v>
      </c>
      <c r="GQ349" s="411">
        <f>IF(GP349=0,0,IF($LB349=70%,VLOOKUP($GO349,'Jan-2026 rates'!$L:$R,4,0),IF($LB349=65%,VLOOKUP($GO349,'Jan-2026 rates'!$L:$R,4,0),IF($LB349=40%,VLOOKUP($GO349,'Jan-2026 rates'!$L:$R,5,0),IF($LB349=30%,VLOOKUP($GO349,'Jan-2026 rates'!$L:$R,6,0),IF($LB349=100%,VLOOKUP($GO349,'Jan-2026 rates'!$L:$R,7,0),IF($LB349=60%,VLOOKUP($GO349,'Jan-2026 rates'!$L:$S,8,0),IF($LB349=80%,VLOOKUP($GO349,'Jan-2026 rates'!L:T,9,0),0))))))))</f>
        <v>0</v>
      </c>
      <c r="GR349" s="412"/>
      <c r="GS349" s="409"/>
      <c r="GT349" s="411">
        <f>IF(GS349=0,0,IF($LB349=70%,VLOOKUP($GO349,'Jan-2026 rates'!$L:$R,4,0),IF($LB349=65%,VLOOKUP($GO349,'Jan-2026 rates'!$L:$R,4,0),IF($LB349=40%,VLOOKUP($GO349,'Jan-2026 rates'!$L:$R,5,0),IF($LB349=30%,VLOOKUP($GO349,'Jan-2026 rates'!$L:$R,6,0),IF($LB349=100%,VLOOKUP($GO349,'Jan-2026 rates'!$L:$R,7,0),IF($LB349=60%,VLOOKUP($GO349,'Jan-2026 rates'!$L:$S,8,0),IF($LB349=80%,VLOOKUP($GO349,'Jan-2026 rates'!L:T,9,0),0))))))))</f>
        <v>0</v>
      </c>
      <c r="GU349" s="413">
        <v>26525000014</v>
      </c>
      <c r="GV349" s="413"/>
      <c r="GW349" s="412"/>
      <c r="GX349" s="412"/>
      <c r="GY349" s="412"/>
      <c r="GZ349" s="412"/>
      <c r="HA349" s="412"/>
      <c r="HB349" s="412"/>
      <c r="HC349" s="409">
        <v>2</v>
      </c>
      <c r="HD349" s="398" t="e">
        <f>IF(HC349=0,0,IF(LEN(GU349)=11,_xlfn.XLOOKUP(GU349,'Dispensed Ink Rates'!C:C,'Dispensed Ink Rates'!CS:CS),VLOOKUP(GU349,'Jan-2026 rates'!$E:$F,2,0)))</f>
        <v>#N/A</v>
      </c>
      <c r="HE349" s="409"/>
      <c r="HF349" s="398">
        <f>IF(HE349=0,0,IF(LEN(GV349)=11,_xlfn.XLOOKUP(GV349,'Dispensed Ink Rates'!C:C,'Dispensed Ink Rates'!CS:CS),VLOOKUP(GV349,'Jan-2026 rates'!$E:$F,2,0)))</f>
        <v>0</v>
      </c>
      <c r="HG349" s="409"/>
      <c r="HH349" s="398">
        <f>IF(HG349=0,0,IF(LEN(GW349)=11,_xlfn.XLOOKUP(GW349,'Dispensed Ink Rates'!C:C,'Dispensed Ink Rates'!CS:CS),VLOOKUP(GW349,'Jan-2026 rates'!$E:$F,2,0)))</f>
        <v>0</v>
      </c>
      <c r="HI349" s="409"/>
      <c r="HJ349" s="398">
        <f>IF(HI349=0,0,IF(LEN(GX349)=11,_xlfn.XLOOKUP(GX349,'Dispensed Ink Rates'!C:C,'Dispensed Ink Rates'!CS:CS),VLOOKUP(GX349,'Jan-2026 rates'!$E:$F,2,0)))</f>
        <v>0</v>
      </c>
      <c r="HK349" s="409"/>
      <c r="HL349" s="398">
        <f>IF(HK349=0,0,IF(LEN(GY349)=11,_xlfn.XLOOKUP(GY349,'Dispensed Ink Rates'!C:C,'Dispensed Ink Rates'!CS:CS),VLOOKUP(GY349,'Jan-2026 rates'!$E:$F,2,0)))</f>
        <v>0</v>
      </c>
      <c r="HM349" s="409"/>
      <c r="HN349" s="398">
        <f>IF(HM349=0,0,IF(LEN(GZ349)=11,_xlfn.XLOOKUP(GZ349,'Dispensed Ink Rates'!C:C,'Dispensed Ink Rates'!CS:CS),VLOOKUP(GZ349,'Jan-2026 rates'!$E:$F,2,0)))</f>
        <v>0</v>
      </c>
      <c r="HO349" s="409"/>
      <c r="HP349" s="398">
        <f>IF(HO349=0,0,IF(LEN(HA349)=11,_xlfn.XLOOKUP(HA349,'Dispensed Ink Rates'!C:C,'Dispensed Ink Rates'!CS:CS),VLOOKUP(HA349,'Jan-2026 rates'!$E:$F,2,0)))</f>
        <v>0</v>
      </c>
      <c r="HQ349" s="409"/>
      <c r="HR349" s="398">
        <f>IF(HQ349=0,0,IF(LEN(HB349)=11,_xlfn.XLOOKUP(HB349,'Dispensed Ink Rates'!C:C,'Dispensed Ink Rates'!CS:CS),VLOOKUP(HB349,'Jan-2026 rates'!$E:$F,2,0)))</f>
        <v>0</v>
      </c>
      <c r="HS349" s="409" t="s">
        <v>1443</v>
      </c>
      <c r="HT349" s="409">
        <v>30</v>
      </c>
      <c r="HU349" s="411">
        <f t="shared" si="227"/>
        <v>0</v>
      </c>
      <c r="HV349" s="411">
        <f t="shared" si="228"/>
        <v>4.4042553191489375</v>
      </c>
      <c r="HW349" s="414">
        <f t="shared" si="229"/>
        <v>0</v>
      </c>
      <c r="HX349" s="405" t="s">
        <v>856</v>
      </c>
      <c r="HY349" s="409" t="s">
        <v>4705</v>
      </c>
      <c r="HZ349" s="420" t="str">
        <f t="shared" si="189"/>
        <v>FLINTSL - WHITE</v>
      </c>
      <c r="IA349" s="409">
        <v>30</v>
      </c>
      <c r="IB349" s="411">
        <f>IF(IA349=0,0,IF($LB349=70%,VLOOKUP($HZ349,'Jan-2026 rates'!$L:$R,4,0),IF($LB349=65%,VLOOKUP($HZ349,'Jan-2026 rates'!$L:$R,4,0),IF($LB349=40%,VLOOKUP($HZ349,'Jan-2026 rates'!$L:$R,5,0),IF($LB349=30%,VLOOKUP($HZ349,'Jan-2026 rates'!$L:$R,6,0),IF($LB349=100%,VLOOKUP($HZ349,'Jan-2026 rates'!$L:$R,7,0),IF($LB349=60%,VLOOKUP($HZ349,'Jan-2026 rates'!$L:$S,8,0),IF($LB349=80%,VLOOKUP($HZ349,'Jan-2026 rates'!L:T,9,0),0))))))))</f>
        <v>0</v>
      </c>
      <c r="IC349" s="412"/>
      <c r="ID349" s="409"/>
      <c r="IE349" s="411">
        <f>IF(ID349=0,0,IF($LB349=70%,VLOOKUP($HZ349,'Jan-2026 rates'!$L:$R,4,0),IF($LB349=65%,VLOOKUP($HZ349,'Jan-2026 rates'!$L:$R,4,0),IF($LB349=40%,VLOOKUP($HZ349,'Jan-2026 rates'!$L:$R,5,0),IF($LB349=30%,VLOOKUP($HZ349,'Jan-2026 rates'!$L:$R,6,0),IF($LB349=100%,VLOOKUP($HZ349,'Jan-2026 rates'!$L:$R,7,0),IF($LB349=60%,VLOOKUP($HZ349,'Jan-2026 rates'!$L:$S,8,0),IF($LB349=80%,VLOOKUP($HZ349,'Jan-2026 rates'!L:T,9,0),0))))))))</f>
        <v>0</v>
      </c>
      <c r="IF349" s="412" t="s">
        <v>484</v>
      </c>
      <c r="IG349" s="413"/>
      <c r="IH349" s="412"/>
      <c r="II349" s="412"/>
      <c r="IJ349" s="412"/>
      <c r="IK349" s="412"/>
      <c r="IL349" s="412"/>
      <c r="IM349" s="412"/>
      <c r="IN349" s="409">
        <v>50</v>
      </c>
      <c r="IO349" s="398">
        <f>IF(IN349=0,0,IF(LEN(IF349)=11,_xlfn.XLOOKUP(IF349,'Dispensed Ink Rates'!C:C,'Dispensed Ink Rates'!CS:CS),VLOOKUP(IF349,'Jan-2026 rates'!$E:$F,2,0)))</f>
        <v>0</v>
      </c>
      <c r="IP349" s="409"/>
      <c r="IQ349" s="398">
        <f>IF(IP349=0,0,IF(LEN(IG349)=11,_xlfn.XLOOKUP(IG349,'Dispensed Ink Rates'!C:C,'Dispensed Ink Rates'!CS:CS),VLOOKUP(IG349,'Jan-2026 rates'!$E:$F,2,0)))</f>
        <v>0</v>
      </c>
      <c r="IR349" s="409"/>
      <c r="IS349" s="398">
        <f>IF(IR349=0,0,IF(LEN(IH349)=11,_xlfn.XLOOKUP(IH349,'Dispensed Ink Rates'!C:C,'Dispensed Ink Rates'!CS:CS),VLOOKUP(IH349,'Jan-2026 rates'!$E:$F,2,0)))</f>
        <v>0</v>
      </c>
      <c r="IT349" s="409"/>
      <c r="IU349" s="398">
        <f>IF(IT349=0,0,IF(LEN(II349)=11,_xlfn.XLOOKUP(II349,'Dispensed Ink Rates'!C:C,'Dispensed Ink Rates'!CS:CS),VLOOKUP(II349,'Jan-2026 rates'!$E:$F,2,0)))</f>
        <v>0</v>
      </c>
      <c r="IV349" s="409"/>
      <c r="IW349" s="398">
        <f>IF(IV349=0,0,IF(LEN(IJ349)=11,_xlfn.XLOOKUP(IJ349,'Dispensed Ink Rates'!C:C,'Dispensed Ink Rates'!CS:CS),VLOOKUP(IJ349,'Jan-2026 rates'!$E:$F,2,0)))</f>
        <v>0</v>
      </c>
      <c r="IX349" s="409"/>
      <c r="IY349" s="398">
        <f>IF(IX349=0,0,IF(LEN(IK349)=11,_xlfn.XLOOKUP(IK349,'Dispensed Ink Rates'!C:C,'Dispensed Ink Rates'!CS:CS),VLOOKUP(IK349,'Jan-2026 rates'!$E:$F,2,0)))</f>
        <v>0</v>
      </c>
      <c r="IZ349" s="409"/>
      <c r="JA349" s="398">
        <f>IF(IZ349=0,0,IF(LEN(IL349)=11,_xlfn.XLOOKUP(IL349,'Dispensed Ink Rates'!C:C,'Dispensed Ink Rates'!CS:CS),VLOOKUP(IL349,'Jan-2026 rates'!$E:$F,2,0)))</f>
        <v>0</v>
      </c>
      <c r="JB349" s="409"/>
      <c r="JC349" s="398">
        <f>IF(JB349=0,0,IF(LEN(IM349)=11,_xlfn.XLOOKUP(IM349,'Dispensed Ink Rates'!C:C,'Dispensed Ink Rates'!CS:CS),VLOOKUP(IM349,'Jan-2026 rates'!$E:$F,2,0)))</f>
        <v>0</v>
      </c>
      <c r="JD349" s="409" t="s">
        <v>1443</v>
      </c>
      <c r="JE349" s="409">
        <v>24</v>
      </c>
      <c r="JF349" s="411">
        <f t="shared" si="230"/>
        <v>0</v>
      </c>
      <c r="JG349" s="411">
        <f t="shared" si="231"/>
        <v>107.06382978723406</v>
      </c>
      <c r="JH349" s="410">
        <f t="shared" si="232"/>
        <v>0</v>
      </c>
      <c r="JI349" s="405"/>
      <c r="JJ349" s="409"/>
      <c r="JK349" s="420" t="str">
        <f t="shared" si="190"/>
        <v xml:space="preserve"> - </v>
      </c>
      <c r="JL349" s="409"/>
      <c r="JM349" s="411">
        <f>IF(JL349=0,0,IF($LB349=70%,VLOOKUP($JK349,'Jan-2026 rates'!$L:$R,4,0),IF($LB349=65%,VLOOKUP($JK349,'Jan-2026 rates'!$L:$R,4,0),IF($LB349=40%,VLOOKUP($JK349,'Jan-2026 rates'!$L:$R,5,0),IF($LB349=30%,VLOOKUP($JK349,'Jan-2026 rates'!$L:$R,6,0),IF($LB349=100%,VLOOKUP($JK349,'Jan-2026 rates'!$L:$R,7,0),IF($LB349=60%,VLOOKUP($JK349,'Jan-2026 rates'!$L:$S,8,0),IF($LB349=80%,VLOOKUP($JK349,'Jan-2026 rates'!L:T,9,0),0))))))))</f>
        <v>0</v>
      </c>
      <c r="JN349" s="412"/>
      <c r="JO349" s="409"/>
      <c r="JP349" s="411">
        <f>IF(JO349=0,0,IF($LB349=70%,VLOOKUP($JK349,'Jan-2026 rates'!$L:$R,4,0),IF($LB349=65%,VLOOKUP($JK349,'Jan-2026 rates'!$L:$R,4,0),IF($LB349=40%,VLOOKUP($JK349,'Jan-2026 rates'!$L:$R,5,0),IF($LB349=30%,VLOOKUP($JK349,'Jan-2026 rates'!$L:$R,6,0),IF($LB349=100%,VLOOKUP($JK349,'Jan-2026 rates'!$L:$R,7,0),IF($LB349=60%,VLOOKUP($JK349,'Jan-2026 rates'!$L:$S,8,0),IF($LB349=80%,VLOOKUP($JK349,'Jan-2026 rates'!L:T,9,0),0))))))))</f>
        <v>0</v>
      </c>
      <c r="JQ349" s="413"/>
      <c r="JR349" s="412"/>
      <c r="JS349" s="413"/>
      <c r="JT349" s="413"/>
      <c r="JU349" s="412"/>
      <c r="JV349" s="412"/>
      <c r="JW349" s="412"/>
      <c r="JX349" s="412"/>
      <c r="JY349" s="409"/>
      <c r="JZ349" s="398">
        <f>IF(JY349=0,0,IF(LEN(JQ349)=11,_xlfn.XLOOKUP(JQ349,'Dispensed Ink Rates'!C:C,'Dispensed Ink Rates'!CS:CS),VLOOKUP(JQ349,'Jan-2026 rates'!$E:$F,2,0)))</f>
        <v>0</v>
      </c>
      <c r="KA349" s="409"/>
      <c r="KB349" s="398">
        <f>IF(KA349=0,0,IF(LEN(JR349)=11,_xlfn.XLOOKUP(JR349,'Dispensed Ink Rates'!C:C,'Dispensed Ink Rates'!CS:CS),VLOOKUP(JR349,'Jan-2026 rates'!$E:$F,2,0)))</f>
        <v>0</v>
      </c>
      <c r="KC349" s="409"/>
      <c r="KD349" s="398">
        <f>IF(KC349=0,0,IF(LEN(JS349)=11,_xlfn.XLOOKUP(JS349,'Dispensed Ink Rates'!C:C,'Dispensed Ink Rates'!CS:CS),VLOOKUP(JS349,'Jan-2026 rates'!$E:$F,2,0)))</f>
        <v>0</v>
      </c>
      <c r="KE349" s="409"/>
      <c r="KF349" s="398">
        <f>IF(KE349=0,0,IF(LEN(JT349)=11,_xlfn.XLOOKUP(JT349,'Dispensed Ink Rates'!C:C,'Dispensed Ink Rates'!CS:CS),VLOOKUP(JT349,'Jan-2026 rates'!$E:$F,2,0)))</f>
        <v>0</v>
      </c>
      <c r="KG349" s="409"/>
      <c r="KH349" s="398">
        <f>IF(KG349=0,0,IF(LEN(JU349)=11,_xlfn.XLOOKUP(JU349,'Dispensed Ink Rates'!C:C,'Dispensed Ink Rates'!CS:CS),VLOOKUP(JU349,'Jan-2026 rates'!$E:$F,2,0)))</f>
        <v>0</v>
      </c>
      <c r="KI349" s="409"/>
      <c r="KJ349" s="398">
        <f>IF(KI349=0,0,IF(LEN(JV349)=11,_xlfn.XLOOKUP(JV349,'Dispensed Ink Rates'!C:C,'Dispensed Ink Rates'!CS:CS),VLOOKUP(JV349,'Jan-2026 rates'!$E:$F,2,0)))</f>
        <v>0</v>
      </c>
      <c r="KK349" s="409"/>
      <c r="KL349" s="398">
        <f>IF(KK349=0,0,IF(LEN(JW349)=11,_xlfn.XLOOKUP(JW349,'Dispensed Ink Rates'!C:C,'Dispensed Ink Rates'!CS:CS),VLOOKUP(JW349,'Jan-2026 rates'!$E:$F,2,0)))</f>
        <v>0</v>
      </c>
      <c r="KM349" s="428"/>
      <c r="KN349" s="398">
        <f>IF(KM349=0,0,IF(LEN(JX349)=11,_xlfn.XLOOKUP(JX349,'Dispensed Ink Rates'!C:C,'Dispensed Ink Rates'!CS:CS),VLOOKUP(JX349,'Jan-2026 rates'!$E:$F,2,0)))</f>
        <v>0</v>
      </c>
      <c r="KO349" s="409"/>
      <c r="KP349" s="409"/>
      <c r="KQ349" s="411">
        <f t="shared" si="233"/>
        <v>0</v>
      </c>
      <c r="KR349" s="411">
        <f t="shared" si="234"/>
        <v>0</v>
      </c>
      <c r="KS349" s="410">
        <f t="shared" si="235"/>
        <v>0</v>
      </c>
      <c r="KT349" s="409">
        <v>3</v>
      </c>
      <c r="KU349" s="409">
        <v>6</v>
      </c>
      <c r="KV349" s="409">
        <v>4</v>
      </c>
      <c r="KW349" s="409">
        <v>1</v>
      </c>
      <c r="KX349" s="409">
        <v>1</v>
      </c>
      <c r="KY349" s="409">
        <v>2</v>
      </c>
      <c r="KZ349" s="409">
        <v>30</v>
      </c>
      <c r="LA349" s="409">
        <v>0</v>
      </c>
      <c r="LB349" s="415">
        <v>0.8</v>
      </c>
      <c r="LC349" s="415">
        <v>0.2</v>
      </c>
      <c r="LD349" s="424"/>
      <c r="LE349" s="415"/>
      <c r="LF349" s="415"/>
      <c r="LG349" s="409">
        <v>0</v>
      </c>
      <c r="LH349" s="409">
        <f>30+20+24+6</f>
        <v>80</v>
      </c>
      <c r="LI349" s="409">
        <v>0</v>
      </c>
      <c r="LJ349" s="409">
        <v>0</v>
      </c>
      <c r="LK349" s="416">
        <f t="shared" si="191"/>
        <v>80</v>
      </c>
      <c r="LL349" s="416">
        <f t="shared" si="237"/>
        <v>80</v>
      </c>
      <c r="LM349" s="417">
        <f t="shared" si="193"/>
        <v>64</v>
      </c>
      <c r="LN349" s="417">
        <f>VLOOKUP($LM$8,'Jan-2026 rates'!$H:$I,2,0)</f>
        <v>0</v>
      </c>
      <c r="LO349" s="417">
        <f t="shared" si="194"/>
        <v>16</v>
      </c>
      <c r="LP349" s="417">
        <f>VLOOKUP($LO$8,'Jan-2026 rates'!$H:$I,2,0)</f>
        <v>0</v>
      </c>
      <c r="LQ349" s="417">
        <f t="shared" si="195"/>
        <v>0</v>
      </c>
      <c r="LR349" s="417">
        <f>VLOOKUP($LQ$8,'Jan-2026 rates'!$H:$I,2,0)</f>
        <v>0</v>
      </c>
      <c r="LS349" s="417">
        <f t="shared" si="196"/>
        <v>0</v>
      </c>
      <c r="LT349" s="417">
        <f>VLOOKUP($LS$8,'Jan-2026 rates'!$H:$I,2,0)</f>
        <v>0</v>
      </c>
      <c r="LU349" s="417">
        <f t="shared" si="197"/>
        <v>0</v>
      </c>
      <c r="LV349" s="417">
        <f>VLOOKUP($LU$8,'Jan-2026 rates'!$H:$I,2,0)</f>
        <v>0</v>
      </c>
      <c r="LW349" s="417">
        <f t="shared" si="198"/>
        <v>0</v>
      </c>
      <c r="LX349" s="417">
        <f t="shared" si="199"/>
        <v>0</v>
      </c>
      <c r="LY349" s="418">
        <f t="shared" si="200"/>
        <v>0</v>
      </c>
      <c r="LZ349" s="417"/>
      <c r="MA349" s="435">
        <f t="shared" si="201"/>
        <v>82.5</v>
      </c>
      <c r="MB349" s="282">
        <f t="shared" si="202"/>
        <v>152.5</v>
      </c>
      <c r="MC349" s="283">
        <v>192</v>
      </c>
      <c r="MD349" s="284" t="str">
        <f t="shared" si="203"/>
        <v>FLINTSLFLINTSLFLINTSLFLINTSLFLINTSLFLINTSLFLINTSL</v>
      </c>
      <c r="ME349" s="293" t="str">
        <f t="shared" si="204"/>
        <v>+</v>
      </c>
      <c r="MF349" s="293" t="str">
        <f t="shared" si="205"/>
        <v>+</v>
      </c>
      <c r="MG349" s="293" t="str">
        <f t="shared" si="206"/>
        <v>+</v>
      </c>
      <c r="MH349" s="293" t="str">
        <f t="shared" si="207"/>
        <v>+</v>
      </c>
      <c r="MI349" s="293" t="str">
        <f t="shared" si="208"/>
        <v>+</v>
      </c>
      <c r="MJ349" s="293" t="str">
        <f t="shared" si="209"/>
        <v>+</v>
      </c>
      <c r="MK349" s="293" t="str">
        <f t="shared" si="210"/>
        <v>+</v>
      </c>
      <c r="ML349" s="293" t="str">
        <f t="shared" si="211"/>
        <v>NIL</v>
      </c>
      <c r="MM349" s="3" t="b">
        <f t="array" ref="MM349">OR(ME349:ML349="-")</f>
        <v>0</v>
      </c>
      <c r="MO349" s="401">
        <f t="shared" si="238"/>
        <v>37.93532338308458</v>
      </c>
      <c r="MP349" s="286"/>
      <c r="MR349" s="402">
        <f t="shared" si="239"/>
        <v>6.4618644067796606E-3</v>
      </c>
      <c r="MS349" s="400">
        <f t="shared" si="240"/>
        <v>0</v>
      </c>
      <c r="MT349" s="285"/>
      <c r="NH349" s="361"/>
      <c r="NJ349" s="282"/>
    </row>
    <row r="350" spans="1:374" ht="16.5">
      <c r="A350" s="403">
        <v>46047</v>
      </c>
      <c r="B350" s="404" t="s">
        <v>1018</v>
      </c>
      <c r="C350" s="405" t="s">
        <v>4706</v>
      </c>
      <c r="D350" s="404">
        <v>193</v>
      </c>
      <c r="E350" s="404">
        <v>406</v>
      </c>
      <c r="F350" s="407">
        <v>19900</v>
      </c>
      <c r="G350" s="407" t="s">
        <v>1016</v>
      </c>
      <c r="H350" s="408" t="s">
        <v>1017</v>
      </c>
      <c r="I350" s="409">
        <v>0.74</v>
      </c>
      <c r="J350" s="405" t="s">
        <v>543</v>
      </c>
      <c r="K350" s="404" t="s">
        <v>4707</v>
      </c>
      <c r="L350" s="419" t="str">
        <f t="shared" si="184"/>
        <v>FLINTSL - BLACK</v>
      </c>
      <c r="M350" s="404">
        <v>30</v>
      </c>
      <c r="N350" s="410">
        <f>IF(M350=0,0,IF($LB350=70%,VLOOKUP($L350,'Jan-2026 rates'!$L:$R,4,0),IF($LB350=65%,VLOOKUP($L350,'Jan-2026 rates'!$L:$R,4,0),IF($LB350=40%,VLOOKUP($L350,'Jan-2026 rates'!$L:$R,5,0),IF($LB350=30%,VLOOKUP($L350,'Jan-2026 rates'!$L:$R,6,0),IF($LB350=100%,VLOOKUP($L350,'Jan-2026 rates'!$L:$R,7,0),IF($LB350=60%,VLOOKUP($L350,'Jan-2026 rates'!$L:$S,8,0),IF($LB350=80%,VLOOKUP($L350,'Jan-2026 rates'!L:T,9,0),0))))))))</f>
        <v>0</v>
      </c>
      <c r="O350" s="406"/>
      <c r="P350" s="404"/>
      <c r="Q350" s="410">
        <f>IF(P350=0,0,IF($LB350=70%,VLOOKUP($L350,'Jan-2026 rates'!$L:$R,4,0),IF($LB350=65%,VLOOKUP($L350,'Jan-2026 rates'!$L:$R,4,0),IF($LB350=40%,VLOOKUP($L350,'Jan-2026 rates'!$L:$R,5,0),IF($LB350=30%,VLOOKUP($L350,'Jan-2026 rates'!$L:$R,6,0),IF($LB350=100%,VLOOKUP($L350,'Jan-2026 rates'!$L:$R,7,0),IF($LB350=60%,VLOOKUP($L350,'Jan-2026 rates'!$L:$S,8,0),IF($LB350=80%,VLOOKUP($L350,'Jan-2026 rates'!L:T,9,0),0))))))))</f>
        <v>0</v>
      </c>
      <c r="R350" s="406" t="s">
        <v>1266</v>
      </c>
      <c r="S350" s="406"/>
      <c r="T350" s="406"/>
      <c r="U350" s="406"/>
      <c r="V350" s="406"/>
      <c r="W350" s="406"/>
      <c r="X350" s="406"/>
      <c r="Y350" s="406"/>
      <c r="Z350" s="404">
        <v>6</v>
      </c>
      <c r="AA350" s="398">
        <f>IF(Z350=0,0,IF(LEN(R350)=11,_xlfn.XLOOKUP(R350,'Dispensed Ink Rates'!C:C,'Dispensed Ink Rates'!CS:CS),VLOOKUP(R350,'Jan-2026 rates'!$E:$F,2,0)))</f>
        <v>0</v>
      </c>
      <c r="AB350" s="404"/>
      <c r="AC350" s="398">
        <f>IF(AB350=0,0,IF(LEN(S350)=11,_xlfn.XLOOKUP(S350,'Dispensed Ink Rates'!C:C,'Dispensed Ink Rates'!CS:CS),VLOOKUP(S350,'Jan-2026 rates'!$E:$F,2,0)))</f>
        <v>0</v>
      </c>
      <c r="AD350" s="404"/>
      <c r="AE350" s="398">
        <f>IF(AD350=0,0,IF(LEN(T350)=11,_xlfn.XLOOKUP(T350,'Dispensed Ink Rates'!C:C,'Dispensed Ink Rates'!CS:CS),VLOOKUP(T350,'Jan-2026 rates'!$E:$F,2,0)))</f>
        <v>0</v>
      </c>
      <c r="AF350" s="404"/>
      <c r="AG350" s="398">
        <f>IF(AF350=0,0,IF(LEN(U350)=11,_xlfn.XLOOKUP(U350,'Dispensed Ink Rates'!C:C,'Dispensed Ink Rates'!CS:CS),VLOOKUP(U350,'Jan-2026 rates'!$E:$F,2,0)))</f>
        <v>0</v>
      </c>
      <c r="AH350" s="404"/>
      <c r="AI350" s="398">
        <f>IF(AH350=0,0,IF(LEN(V350)=11,_xlfn.XLOOKUP(V350,'Dispensed Ink Rates'!C:C,'Dispensed Ink Rates'!CS:CS),VLOOKUP(V350,'Jan-2026 rates'!$E:$F,2,0)))</f>
        <v>0</v>
      </c>
      <c r="AJ350" s="404"/>
      <c r="AK350" s="398">
        <f>IF(AJ350=0,0,IF(LEN(W350)=11,_xlfn.XLOOKUP(W350,'Dispensed Ink Rates'!C:C,'Dispensed Ink Rates'!CS:CS),VLOOKUP(W350,'Jan-2026 rates'!$E:$F,2,0)))</f>
        <v>0</v>
      </c>
      <c r="AL350" s="404"/>
      <c r="AM350" s="398">
        <f>IF(AL350=0,0,IF(LEN(X350)=11,_xlfn.XLOOKUP(X350,'Dispensed Ink Rates'!C:C,'Dispensed Ink Rates'!CS:CS),VLOOKUP(X350,'Jan-2026 rates'!$E:$F,2,0)))</f>
        <v>0</v>
      </c>
      <c r="AN350" s="404"/>
      <c r="AO350" s="398">
        <f>IF(AN350=0,0,IF(LEN(Y350)=11,_xlfn.XLOOKUP(Y350,'Dispensed Ink Rates'!C:C,'Dispensed Ink Rates'!CS:CS),VLOOKUP(Y350,'Jan-2026 rates'!$E:$F,2,0)))</f>
        <v>0</v>
      </c>
      <c r="AP350" s="409" t="s">
        <v>1443</v>
      </c>
      <c r="AQ350" s="409">
        <v>30</v>
      </c>
      <c r="AR350" s="410">
        <f t="shared" si="212"/>
        <v>0</v>
      </c>
      <c r="AS350" s="411">
        <f t="shared" si="213"/>
        <v>12.228070175438596</v>
      </c>
      <c r="AT350" s="410">
        <f t="shared" si="214"/>
        <v>0</v>
      </c>
      <c r="AU350" s="405" t="s">
        <v>857</v>
      </c>
      <c r="AV350" s="409" t="s">
        <v>4708</v>
      </c>
      <c r="AW350" s="420" t="str">
        <f t="shared" si="236"/>
        <v>FLINTSL - RED</v>
      </c>
      <c r="AX350" s="409">
        <v>30</v>
      </c>
      <c r="AY350" s="411">
        <f>IF(AX350=0,0,IF($LB350=70%,VLOOKUP($AW350,'Jan-2026 rates'!$L:$R,4,0),IF($LB350=65%,VLOOKUP($AW350,'Jan-2026 rates'!$L:$R,4,0),IF($LB350=40%,VLOOKUP($AW350,'Jan-2026 rates'!$L:$R,5,0),IF($LB350=30%,VLOOKUP($AW350,'Jan-2026 rates'!$L:$R,6,0),IF($LB350=100%,VLOOKUP($AW350,'Jan-2026 rates'!$L:$R,7,0),IF($LB350=60%,VLOOKUP($AW350,'Jan-2026 rates'!$L:$S,8,0),IF($LB350=80%,VLOOKUP($AW350,'Jan-2026 rates'!L:T,9,0),0))))))))</f>
        <v>0</v>
      </c>
      <c r="AZ350" s="412"/>
      <c r="BA350" s="409"/>
      <c r="BB350" s="411">
        <f>IF(BA350=0,0,IF($LB350=70%,VLOOKUP($AW350,'Jan-2026 rates'!$L:$R,4,0),IF($LB350=65%,VLOOKUP($AW350,'Jan-2026 rates'!$L:$R,4,0),IF($LB350=40%,VLOOKUP($AW350,'Jan-2026 rates'!$L:$R,5,0),IF($LB350=30%,VLOOKUP($AW350,'Jan-2026 rates'!$L:$R,6,0),IF($LB350=100%,VLOOKUP($AW350,'Jan-2026 rates'!$L:$R,7,0),IF($LB350=60%,VLOOKUP($AW350,'Jan-2026 rates'!$L:$S,8,0),IF($LB350=80%,VLOOKUP($AW350,'Jan-2026 rates'!L:T,9,0),0))))))))</f>
        <v>0</v>
      </c>
      <c r="BC350" s="413"/>
      <c r="BD350" s="412"/>
      <c r="BE350" s="412"/>
      <c r="BF350" s="413"/>
      <c r="BG350" s="412"/>
      <c r="BH350" s="412"/>
      <c r="BI350" s="412"/>
      <c r="BJ350" s="412"/>
      <c r="BK350" s="409"/>
      <c r="BL350" s="398">
        <f>IF(BK350=0,0,IF(LEN(BC350)=11,_xlfn.XLOOKUP(BC350,'Dispensed Ink Rates'!C:C,'Dispensed Ink Rates'!CS:CS),VLOOKUP(BC350,'Jan-2026 rates'!$E:$F,2,0)))</f>
        <v>0</v>
      </c>
      <c r="BM350" s="409"/>
      <c r="BN350" s="398">
        <f>IF(BM350=0,0,IF(LEN(BD350)=11,_xlfn.XLOOKUP(BD350,'Dispensed Ink Rates'!C:C,'Dispensed Ink Rates'!CS:CS),VLOOKUP(BD350,'Jan-2026 rates'!$E:$F,2,0)))</f>
        <v>0</v>
      </c>
      <c r="BO350" s="409"/>
      <c r="BP350" s="398">
        <f>IF(BO350=0,0,IF(LEN(BE350)=11,_xlfn.XLOOKUP(BE350,'Dispensed Ink Rates'!C:C,'Dispensed Ink Rates'!CS:CS),VLOOKUP(BE350,'Jan-2026 rates'!$E:$F,2,0)))</f>
        <v>0</v>
      </c>
      <c r="BQ350" s="409"/>
      <c r="BR350" s="398">
        <f>IF(BQ350=0,0,IF(LEN(BF350)=11,_xlfn.XLOOKUP(BF350,'Dispensed Ink Rates'!C:C,'Dispensed Ink Rates'!CS:CS),VLOOKUP(BF350,'Jan-2026 rates'!$E:$F,2,0)))</f>
        <v>0</v>
      </c>
      <c r="BS350" s="409"/>
      <c r="BT350" s="398">
        <f>IF(BS350=0,0,IF(LEN(BG350)=11,_xlfn.XLOOKUP(BG350,'Dispensed Ink Rates'!C:C,'Dispensed Ink Rates'!CS:CS),VLOOKUP(BG350,'Jan-2026 rates'!$E:$F,2,0)))</f>
        <v>0</v>
      </c>
      <c r="BU350" s="409"/>
      <c r="BV350" s="398">
        <f>IF(BU350=0,0,IF(LEN(BH350)=11,_xlfn.XLOOKUP(BH350,'Dispensed Ink Rates'!C:C,'Dispensed Ink Rates'!CS:CS),VLOOKUP(BH350,'Jan-2026 rates'!$E:$F,2,0)))</f>
        <v>0</v>
      </c>
      <c r="BW350" s="409"/>
      <c r="BX350" s="398">
        <f>IF(BW350=0,0,IF(LEN(BI350)=11,_xlfn.XLOOKUP(BI350,'Dispensed Ink Rates'!C:C,'Dispensed Ink Rates'!CS:CS),VLOOKUP(BI350,'Jan-2026 rates'!$E:$F,2,0)))</f>
        <v>0</v>
      </c>
      <c r="BY350" s="409"/>
      <c r="BZ350" s="398">
        <f>IF(BY350=0,0,IF(LEN(BJ350)=11,_xlfn.XLOOKUP(BJ350,'Dispensed Ink Rates'!C:C,'Dispensed Ink Rates'!CS:CS),VLOOKUP(BJ350,'Jan-2026 rates'!$E:$F,2,0)))</f>
        <v>0</v>
      </c>
      <c r="CA350" s="409" t="s">
        <v>1443</v>
      </c>
      <c r="CB350" s="409">
        <v>29</v>
      </c>
      <c r="CC350" s="411">
        <f t="shared" si="215"/>
        <v>0</v>
      </c>
      <c r="CD350" s="411">
        <f t="shared" si="216"/>
        <v>7.2280701754385959</v>
      </c>
      <c r="CE350" s="410">
        <f t="shared" si="217"/>
        <v>0</v>
      </c>
      <c r="CF350" s="404" t="s">
        <v>547</v>
      </c>
      <c r="CG350" s="409" t="s">
        <v>4709</v>
      </c>
      <c r="CH350" s="420" t="str">
        <f t="shared" si="185"/>
        <v>FLINTSL - GREEN</v>
      </c>
      <c r="CI350" s="409">
        <v>37</v>
      </c>
      <c r="CJ350" s="411">
        <f>IF(CI350=0,0,IF($LB350=70%,VLOOKUP($CH350,'Jan-2026 rates'!$L:$R,4,0),IF($LB350=65%,VLOOKUP($CH350,'Jan-2026 rates'!$L:$R,4,0),IF($LB350=40%,VLOOKUP($CH350,'Jan-2026 rates'!$L:$R,5,0),IF($LB350=30%,VLOOKUP($CH350,'Jan-2026 rates'!$L:$R,6,0),IF($LB350=100%,VLOOKUP($CH350,'Jan-2026 rates'!$L:$R,7,0),IF($LB350=60%,VLOOKUP($CH350,'Jan-2026 rates'!$L:$S,8,0),IF($LB350=80%,VLOOKUP($CH350,'Jan-2026 rates'!L:T,9,0),0))))))))</f>
        <v>0</v>
      </c>
      <c r="CK350" s="412"/>
      <c r="CL350" s="409"/>
      <c r="CM350" s="411">
        <f>IF(CL350=0,0,IF($LB350=70%,VLOOKUP($CH350,'Jan-2026 rates'!$L:$R,4,0),IF($LB350=65%,VLOOKUP($CH350,'Jan-2026 rates'!$L:$R,4,0),IF($LB350=40%,VLOOKUP($CH350,'Jan-2026 rates'!$L:$R,5,0),IF($LB350=30%,VLOOKUP($CH350,'Jan-2026 rates'!$L:$R,6,0),IF($LB350=100%,VLOOKUP($CH350,'Jan-2026 rates'!$L:$R,7,0),IF($LB350=60%,VLOOKUP($CH350,'Jan-2026 rates'!$L:$S,8,0),IF($LB350=80%,VLOOKUP($CH350,'Jan-2026 rates'!L:T,9,0),0))))))))</f>
        <v>0</v>
      </c>
      <c r="CN350" s="426"/>
      <c r="CO350" s="427"/>
      <c r="CP350" s="426"/>
      <c r="CQ350" s="426"/>
      <c r="CR350" s="428"/>
      <c r="CS350" s="428"/>
      <c r="CT350" s="428"/>
      <c r="CU350" s="428"/>
      <c r="CV350" s="409"/>
      <c r="CW350" s="398">
        <f>IF(CV350=0,0,IF(LEN(CN350)=11,_xlfn.XLOOKUP(CN350,'Dispensed Ink Rates'!C:C,'Dispensed Ink Rates'!CS:CS),VLOOKUP(CN350,'Jan-2026 rates'!$E:$F,2,0)))</f>
        <v>0</v>
      </c>
      <c r="CX350" s="409"/>
      <c r="CY350" s="398">
        <f>IF(CX350=0,0,IF(LEN(CO350)=11,_xlfn.XLOOKUP(CO350,'Dispensed Ink Rates'!C:C,'Dispensed Ink Rates'!CS:CS),VLOOKUP(CO350,'Jan-2026 rates'!$E:$F,2,0)))</f>
        <v>0</v>
      </c>
      <c r="CZ350" s="409"/>
      <c r="DA350" s="398">
        <f>IF(CZ350=0,0,IF(LEN(CP350)=11,_xlfn.XLOOKUP(CP350,'Dispensed Ink Rates'!C:C,'Dispensed Ink Rates'!CS:CS),VLOOKUP(CP350,'Jan-2026 rates'!$E:$F,2,0)))</f>
        <v>0</v>
      </c>
      <c r="DB350" s="409"/>
      <c r="DC350" s="398">
        <f>IF(DB350=0,0,IF(LEN(CQ350)=11,_xlfn.XLOOKUP(CQ350,'Dispensed Ink Rates'!C:C,'Dispensed Ink Rates'!CS:CS),VLOOKUP(CQ350,'Jan-2026 rates'!$E:$F,2,0)))</f>
        <v>0</v>
      </c>
      <c r="DD350" s="409"/>
      <c r="DE350" s="398">
        <f>IF(DD350=0,0,IF(LEN(CR350)=11,_xlfn.XLOOKUP(CR350,'Dispensed Ink Rates'!C:C,'Dispensed Ink Rates'!CS:CS),VLOOKUP(CR350,'Jan-2026 rates'!$E:$F,2,0)))</f>
        <v>0</v>
      </c>
      <c r="DF350" s="409"/>
      <c r="DG350" s="398">
        <f>IF(DF350=0,0,IF(LEN(CS350)=11,_xlfn.XLOOKUP(CS350,'Dispensed Ink Rates'!C:C,'Dispensed Ink Rates'!CS:CS),VLOOKUP(CS350,'Jan-2026 rates'!$E:$F,2,0)))</f>
        <v>0</v>
      </c>
      <c r="DH350" s="409"/>
      <c r="DI350" s="398">
        <f>IF(DH350=0,0,IF(LEN(CT350)=11,_xlfn.XLOOKUP(CT350,'Dispensed Ink Rates'!C:C,'Dispensed Ink Rates'!CS:CS),VLOOKUP(CT350,'Jan-2026 rates'!$E:$F,2,0)))</f>
        <v>0</v>
      </c>
      <c r="DJ350" s="409"/>
      <c r="DK350" s="398">
        <f>IF(DJ350=0,0,IF(LEN(CU350)=11,_xlfn.XLOOKUP(CU350,'Dispensed Ink Rates'!C:C,'Dispensed Ink Rates'!CS:CS),VLOOKUP(CU350,'Jan-2026 rates'!$E:$F,2,0)))</f>
        <v>0</v>
      </c>
      <c r="DL350" s="409" t="s">
        <v>1443</v>
      </c>
      <c r="DM350" s="409">
        <v>36</v>
      </c>
      <c r="DN350" s="411">
        <f t="shared" si="218"/>
        <v>0</v>
      </c>
      <c r="DO350" s="411">
        <f t="shared" si="219"/>
        <v>3.4912280701754383</v>
      </c>
      <c r="DP350" s="410">
        <f t="shared" si="220"/>
        <v>0</v>
      </c>
      <c r="DQ350" s="405" t="s">
        <v>546</v>
      </c>
      <c r="DR350" s="409"/>
      <c r="DS350" s="420" t="str">
        <f t="shared" si="186"/>
        <v>FLINTSL - REFLEX BLUE</v>
      </c>
      <c r="DT350" s="409"/>
      <c r="DU350" s="411">
        <f>IF(DT350=0,0,IF($LB350=70%,VLOOKUP($DS350,'Jan-2026 rates'!$L:$R,4,0),IF($LB350=65%,VLOOKUP($DS350,'Jan-2026 rates'!$L:$R,4,0),IF($LB350=40%,VLOOKUP($DS350,'Jan-2026 rates'!$L:$R,5,0),IF($LB350=30%,VLOOKUP($DS350,'Jan-2026 rates'!$L:$R,6,0),IF($LB350=100%,VLOOKUP($DS350,'Jan-2026 rates'!$L:$R,7,0),IF($LB350=60%,VLOOKUP($DS350,'Jan-2026 rates'!$L:$S,8,0),IF($LB350=80%,VLOOKUP($DS350,'Jan-2026 rates'!L:T,9,0),0))))))))</f>
        <v>0</v>
      </c>
      <c r="DV350" s="412"/>
      <c r="DW350" s="409"/>
      <c r="DX350" s="411">
        <f>IF(DW350=0,0,IF($LB350=70%,VLOOKUP($DS350,'Jan-2026 rates'!$L:$R,4,0),IF($LB350=65%,VLOOKUP($DS350,'Jan-2026 rates'!$L:$R,4,0),IF($LB350=40%,VLOOKUP($DS350,'Jan-2026 rates'!$L:$R,5,0),IF($LB350=30%,VLOOKUP($DS350,'Jan-2026 rates'!$L:$R,6,0),IF($LB350=100%,VLOOKUP($DS350,'Jan-2026 rates'!$L:$R,7,0),IF($LB350=60%,VLOOKUP($DS350,'Jan-2026 rates'!$L:$S,8,0),IF($LB350=80%,VLOOKUP($DS350,'Jan-2026 rates'!L:T,9,0),0))))))))</f>
        <v>0</v>
      </c>
      <c r="DY350" s="413">
        <v>26526000026</v>
      </c>
      <c r="DZ350" s="413" t="s">
        <v>1266</v>
      </c>
      <c r="EA350" s="412">
        <v>26523000017</v>
      </c>
      <c r="EB350" s="412">
        <v>26525000002</v>
      </c>
      <c r="EC350" s="412"/>
      <c r="ED350" s="412"/>
      <c r="EE350" s="412"/>
      <c r="EF350" s="412"/>
      <c r="EG350" s="409">
        <v>10</v>
      </c>
      <c r="EH350" s="398" t="e">
        <f>IF(EG350=0,0,IF(LEN(DY350)=11,_xlfn.XLOOKUP(DY350,'Dispensed Ink Rates'!C:C,'Dispensed Ink Rates'!CS:CS),VLOOKUP(DY350,'Jan-2026 rates'!$E:$F,2,0)))</f>
        <v>#N/A</v>
      </c>
      <c r="EI350" s="409">
        <v>25</v>
      </c>
      <c r="EJ350" s="398">
        <f>IF(EI350=0,0,IF(LEN(DZ350)=11,_xlfn.XLOOKUP(DZ350,'Dispensed Ink Rates'!C:C,'Dispensed Ink Rates'!CS:CS),VLOOKUP(DZ350,'Jan-2026 rates'!$E:$F,2,0)))</f>
        <v>0</v>
      </c>
      <c r="EK350" s="409">
        <v>1</v>
      </c>
      <c r="EL350" s="398" t="e">
        <f>IF(EK350=0,0,IF(LEN(EA350)=11,_xlfn.XLOOKUP(EA350,'Dispensed Ink Rates'!C:C,'Dispensed Ink Rates'!CS:CS),VLOOKUP(EA350,'Jan-2026 rates'!$E:$F,2,0)))</f>
        <v>#N/A</v>
      </c>
      <c r="EM350" s="409">
        <v>1</v>
      </c>
      <c r="EN350" s="398" t="e">
        <f>IF(EM350=0,0,IF(LEN(EB350)=11,_xlfn.XLOOKUP(EB350,'Dispensed Ink Rates'!C:C,'Dispensed Ink Rates'!CS:CS),VLOOKUP(EB350,'Jan-2026 rates'!$E:$F,2,0)))</f>
        <v>#N/A</v>
      </c>
      <c r="EO350" s="409"/>
      <c r="EP350" s="398">
        <f>IF(EO350=0,0,IF(LEN(EC350)=11,_xlfn.XLOOKUP(EC350,'Dispensed Ink Rates'!C:C,'Dispensed Ink Rates'!CS:CS),VLOOKUP(EC350,'Jan-2026 rates'!$E:$F,2,0)))</f>
        <v>0</v>
      </c>
      <c r="EQ350" s="409"/>
      <c r="ER350" s="398">
        <f>IF(EQ350=0,0,IF(LEN(ED350)=11,_xlfn.XLOOKUP(ED350,'Dispensed Ink Rates'!C:C,'Dispensed Ink Rates'!CS:CS),VLOOKUP(ED350,'Jan-2026 rates'!$E:$F,2,0)))</f>
        <v>0</v>
      </c>
      <c r="ES350" s="409"/>
      <c r="ET350" s="398">
        <f>IF(ES350=0,0,IF(LEN(EE350)=11,_xlfn.XLOOKUP(EE350,'Dispensed Ink Rates'!C:C,'Dispensed Ink Rates'!CS:CS),VLOOKUP(EE350,'Jan-2026 rates'!$E:$F,2,0)))</f>
        <v>0</v>
      </c>
      <c r="EU350" s="409"/>
      <c r="EV350" s="398">
        <f>IF(EU350=0,0,IF(LEN(EF350)=11,_xlfn.XLOOKUP(EF350,'Dispensed Ink Rates'!C:C,'Dispensed Ink Rates'!CS:CS),VLOOKUP(EF350,'Jan-2026 rates'!$E:$F,2,0)))</f>
        <v>0</v>
      </c>
      <c r="EW350" s="409" t="s">
        <v>1443</v>
      </c>
      <c r="EX350" s="409">
        <v>25</v>
      </c>
      <c r="EY350" s="411">
        <f t="shared" si="221"/>
        <v>0</v>
      </c>
      <c r="EZ350" s="411">
        <f t="shared" si="222"/>
        <v>30.684210526315788</v>
      </c>
      <c r="FA350" s="410">
        <f t="shared" si="223"/>
        <v>0</v>
      </c>
      <c r="FB350" s="405" t="s">
        <v>855</v>
      </c>
      <c r="FC350" s="409" t="s">
        <v>4710</v>
      </c>
      <c r="FD350" s="420" t="str">
        <f t="shared" si="187"/>
        <v>FLINTSL - CYAN</v>
      </c>
      <c r="FE350" s="409">
        <v>30</v>
      </c>
      <c r="FF350" s="411">
        <f>IF(FE350=0,0,IF($LB350=70%,VLOOKUP($FD350,'Jan-2026 rates'!$L:$R,4,0),IF($LB350=65%,VLOOKUP($FD350,'Jan-2026 rates'!$L:$R,4,0),IF($LB350=40%,VLOOKUP($FD350,'Jan-2026 rates'!$L:$R,5,0),IF($LB350=30%,VLOOKUP($FD350,'Jan-2026 rates'!$L:$R,6,0),IF($LB350=100%,VLOOKUP($FD350,'Jan-2026 rates'!$L:$R,7,0),IF($LB350=60%,VLOOKUP($FD350,'Jan-2026 rates'!$L:$S,8,0),IF($LB350=80%,VLOOKUP($FD350,'Jan-2026 rates'!L:T,9,0),0))))))))</f>
        <v>0</v>
      </c>
      <c r="FG350" s="412"/>
      <c r="FH350" s="409"/>
      <c r="FI350" s="411">
        <f>IF(FH350=0,0,IF($LB350=70%,VLOOKUP($FD350,'Jan-2026 rates'!$L:$R,4,0),IF($LB350=65%,VLOOKUP($FD350,'Jan-2026 rates'!$L:$R,4,0),IF($LB350=40%,VLOOKUP($FD350,'Jan-2026 rates'!$L:$R,5,0),IF($LB350=30%,VLOOKUP($FD350,'Jan-2026 rates'!$L:$R,6,0),IF($LB350=100%,VLOOKUP($FD350,'Jan-2026 rates'!$L:$R,7,0),IF($LB350=60%,VLOOKUP($FD350,'Jan-2026 rates'!$L:$S,8,0),IF($LB350=80%,VLOOKUP($FD350,'Jan-2026 rates'!L:T,9,0),0))))))))</f>
        <v>0</v>
      </c>
      <c r="FJ350" s="413">
        <v>26523000028</v>
      </c>
      <c r="FK350" s="413"/>
      <c r="FL350" s="413"/>
      <c r="FM350" s="412"/>
      <c r="FN350" s="412"/>
      <c r="FO350" s="412"/>
      <c r="FP350" s="412"/>
      <c r="FQ350" s="412"/>
      <c r="FR350" s="409">
        <v>4</v>
      </c>
      <c r="FS350" s="398" t="e">
        <f>IF(FR350=0,0,IF(LEN(FJ350)=11,_xlfn.XLOOKUP(FJ350,'Dispensed Ink Rates'!C:C,'Dispensed Ink Rates'!CS:CS),VLOOKUP(FJ350,'Jan-2026 rates'!$E:$F,2,0)))</f>
        <v>#N/A</v>
      </c>
      <c r="FT350" s="409"/>
      <c r="FU350" s="398">
        <f>IF(FT350=0,0,IF(LEN(FK350)=11,_xlfn.XLOOKUP(FK350,'Dispensed Ink Rates'!C:C,'Dispensed Ink Rates'!CS:CS),VLOOKUP(FK350,'Jan-2026 rates'!$E:$F,2,0)))</f>
        <v>0</v>
      </c>
      <c r="FV350" s="409"/>
      <c r="FW350" s="398">
        <f>IF(FV350=0,0,IF(LEN(FL350)=11,_xlfn.XLOOKUP(FL350,'Dispensed Ink Rates'!C:C,'Dispensed Ink Rates'!CS:CS),VLOOKUP(FL350,'Jan-2026 rates'!$E:$F,2,0)))</f>
        <v>0</v>
      </c>
      <c r="FX350" s="409"/>
      <c r="FY350" s="398">
        <f>IF(FX350=0,0,IF(LEN(FM350)=11,_xlfn.XLOOKUP(FM350,'Dispensed Ink Rates'!C:C,'Dispensed Ink Rates'!CS:CS),VLOOKUP(FM350,'Jan-2026 rates'!$E:$F,2,0)))</f>
        <v>0</v>
      </c>
      <c r="FZ350" s="409"/>
      <c r="GA350" s="398">
        <f>IF(FZ350=0,0,IF(LEN(FN350)=11,_xlfn.XLOOKUP(FN350,'Dispensed Ink Rates'!C:C,'Dispensed Ink Rates'!CS:CS),VLOOKUP(FN350,'Jan-2026 rates'!$E:$F,2,0)))</f>
        <v>0</v>
      </c>
      <c r="GB350" s="409"/>
      <c r="GC350" s="398">
        <f>IF(GB350=0,0,IF(LEN(FO350)=11,_xlfn.XLOOKUP(FO350,'Dispensed Ink Rates'!C:C,'Dispensed Ink Rates'!CS:CS),VLOOKUP(FO350,'Jan-2026 rates'!$E:$F,2,0)))</f>
        <v>0</v>
      </c>
      <c r="GD350" s="409"/>
      <c r="GE350" s="398">
        <f>IF(GD350=0,0,IF(LEN(FP350)=11,_xlfn.XLOOKUP(FP350,'Dispensed Ink Rates'!C:C,'Dispensed Ink Rates'!CS:CS),VLOOKUP(FP350,'Jan-2026 rates'!$E:$F,2,0)))</f>
        <v>0</v>
      </c>
      <c r="GF350" s="409"/>
      <c r="GG350" s="398">
        <f>IF(GF350=0,0,IF(LEN(FQ350)=11,_xlfn.XLOOKUP(FQ350,'Dispensed Ink Rates'!C:C,'Dispensed Ink Rates'!CS:CS),VLOOKUP(FQ350,'Jan-2026 rates'!$E:$F,2,0)))</f>
        <v>0</v>
      </c>
      <c r="GH350" s="409" t="s">
        <v>1443</v>
      </c>
      <c r="GI350" s="409">
        <v>30</v>
      </c>
      <c r="GJ350" s="411">
        <f t="shared" si="224"/>
        <v>0</v>
      </c>
      <c r="GK350" s="411">
        <f t="shared" si="225"/>
        <v>10.228070175438596</v>
      </c>
      <c r="GL350" s="410">
        <f t="shared" si="226"/>
        <v>0</v>
      </c>
      <c r="GM350" s="405" t="s">
        <v>544</v>
      </c>
      <c r="GN350" s="409" t="s">
        <v>4711</v>
      </c>
      <c r="GO350" s="420" t="str">
        <f t="shared" si="188"/>
        <v>FLINTSL - MAGENTA</v>
      </c>
      <c r="GP350" s="409">
        <v>30</v>
      </c>
      <c r="GQ350" s="411">
        <f>IF(GP350=0,0,IF($LB350=70%,VLOOKUP($GO350,'Jan-2026 rates'!$L:$R,4,0),IF($LB350=65%,VLOOKUP($GO350,'Jan-2026 rates'!$L:$R,4,0),IF($LB350=40%,VLOOKUP($GO350,'Jan-2026 rates'!$L:$R,5,0),IF($LB350=30%,VLOOKUP($GO350,'Jan-2026 rates'!$L:$R,6,0),IF($LB350=100%,VLOOKUP($GO350,'Jan-2026 rates'!$L:$R,7,0),IF($LB350=60%,VLOOKUP($GO350,'Jan-2026 rates'!$L:$S,8,0),IF($LB350=80%,VLOOKUP($GO350,'Jan-2026 rates'!L:T,9,0),0))))))))</f>
        <v>0</v>
      </c>
      <c r="GR350" s="412"/>
      <c r="GS350" s="409"/>
      <c r="GT350" s="411">
        <f>IF(GS350=0,0,IF($LB350=70%,VLOOKUP($GO350,'Jan-2026 rates'!$L:$R,4,0),IF($LB350=65%,VLOOKUP($GO350,'Jan-2026 rates'!$L:$R,4,0),IF($LB350=40%,VLOOKUP($GO350,'Jan-2026 rates'!$L:$R,5,0),IF($LB350=30%,VLOOKUP($GO350,'Jan-2026 rates'!$L:$R,6,0),IF($LB350=100%,VLOOKUP($GO350,'Jan-2026 rates'!$L:$R,7,0),IF($LB350=60%,VLOOKUP($GO350,'Jan-2026 rates'!$L:$S,8,0),IF($LB350=80%,VLOOKUP($GO350,'Jan-2026 rates'!L:T,9,0),0))))))))</f>
        <v>0</v>
      </c>
      <c r="GU350" s="413" t="s">
        <v>1266</v>
      </c>
      <c r="GV350" s="413"/>
      <c r="GW350" s="412"/>
      <c r="GX350" s="412"/>
      <c r="GY350" s="412"/>
      <c r="GZ350" s="412"/>
      <c r="HA350" s="412"/>
      <c r="HB350" s="412"/>
      <c r="HC350" s="409">
        <v>4</v>
      </c>
      <c r="HD350" s="398">
        <f>IF(HC350=0,0,IF(LEN(GU350)=11,_xlfn.XLOOKUP(GU350,'Dispensed Ink Rates'!C:C,'Dispensed Ink Rates'!CS:CS),VLOOKUP(GU350,'Jan-2026 rates'!$E:$F,2,0)))</f>
        <v>0</v>
      </c>
      <c r="HE350" s="409"/>
      <c r="HF350" s="398">
        <f>IF(HE350=0,0,IF(LEN(GV350)=11,_xlfn.XLOOKUP(GV350,'Dispensed Ink Rates'!C:C,'Dispensed Ink Rates'!CS:CS),VLOOKUP(GV350,'Jan-2026 rates'!$E:$F,2,0)))</f>
        <v>0</v>
      </c>
      <c r="HG350" s="409"/>
      <c r="HH350" s="398">
        <f>IF(HG350=0,0,IF(LEN(GW350)=11,_xlfn.XLOOKUP(GW350,'Dispensed Ink Rates'!C:C,'Dispensed Ink Rates'!CS:CS),VLOOKUP(GW350,'Jan-2026 rates'!$E:$F,2,0)))</f>
        <v>0</v>
      </c>
      <c r="HI350" s="409"/>
      <c r="HJ350" s="398">
        <f>IF(HI350=0,0,IF(LEN(GX350)=11,_xlfn.XLOOKUP(GX350,'Dispensed Ink Rates'!C:C,'Dispensed Ink Rates'!CS:CS),VLOOKUP(GX350,'Jan-2026 rates'!$E:$F,2,0)))</f>
        <v>0</v>
      </c>
      <c r="HK350" s="409"/>
      <c r="HL350" s="398">
        <f>IF(HK350=0,0,IF(LEN(GY350)=11,_xlfn.XLOOKUP(GY350,'Dispensed Ink Rates'!C:C,'Dispensed Ink Rates'!CS:CS),VLOOKUP(GY350,'Jan-2026 rates'!$E:$F,2,0)))</f>
        <v>0</v>
      </c>
      <c r="HM350" s="409"/>
      <c r="HN350" s="398">
        <f>IF(HM350=0,0,IF(LEN(GZ350)=11,_xlfn.XLOOKUP(GZ350,'Dispensed Ink Rates'!C:C,'Dispensed Ink Rates'!CS:CS),VLOOKUP(GZ350,'Jan-2026 rates'!$E:$F,2,0)))</f>
        <v>0</v>
      </c>
      <c r="HO350" s="409"/>
      <c r="HP350" s="398">
        <f>IF(HO350=0,0,IF(LEN(HA350)=11,_xlfn.XLOOKUP(HA350,'Dispensed Ink Rates'!C:C,'Dispensed Ink Rates'!CS:CS),VLOOKUP(HA350,'Jan-2026 rates'!$E:$F,2,0)))</f>
        <v>0</v>
      </c>
      <c r="HQ350" s="409"/>
      <c r="HR350" s="398">
        <f>IF(HQ350=0,0,IF(LEN(HB350)=11,_xlfn.XLOOKUP(HB350,'Dispensed Ink Rates'!C:C,'Dispensed Ink Rates'!CS:CS),VLOOKUP(HB350,'Jan-2026 rates'!$E:$F,2,0)))</f>
        <v>0</v>
      </c>
      <c r="HS350" s="409" t="s">
        <v>1443</v>
      </c>
      <c r="HT350" s="409">
        <v>29</v>
      </c>
      <c r="HU350" s="411">
        <f t="shared" si="227"/>
        <v>0</v>
      </c>
      <c r="HV350" s="411">
        <f t="shared" si="228"/>
        <v>11.228070175438596</v>
      </c>
      <c r="HW350" s="414">
        <f t="shared" si="229"/>
        <v>0</v>
      </c>
      <c r="HX350" s="405" t="s">
        <v>545</v>
      </c>
      <c r="HY350" s="409" t="s">
        <v>4712</v>
      </c>
      <c r="HZ350" s="420" t="str">
        <f t="shared" si="189"/>
        <v>FLINTSL - YELLOW</v>
      </c>
      <c r="IA350" s="409">
        <v>30</v>
      </c>
      <c r="IB350" s="411">
        <f>IF(IA350=0,0,IF($LB350=70%,VLOOKUP($HZ350,'Jan-2026 rates'!$L:$R,4,0),IF($LB350=65%,VLOOKUP($HZ350,'Jan-2026 rates'!$L:$R,4,0),IF($LB350=40%,VLOOKUP($HZ350,'Jan-2026 rates'!$L:$R,5,0),IF($LB350=30%,VLOOKUP($HZ350,'Jan-2026 rates'!$L:$R,6,0),IF($LB350=100%,VLOOKUP($HZ350,'Jan-2026 rates'!$L:$R,7,0),IF($LB350=60%,VLOOKUP($HZ350,'Jan-2026 rates'!$L:$S,8,0),IF($LB350=80%,VLOOKUP($HZ350,'Jan-2026 rates'!L:T,9,0),0))))))))</f>
        <v>0</v>
      </c>
      <c r="IC350" s="412"/>
      <c r="ID350" s="409"/>
      <c r="IE350" s="411">
        <f>IF(ID350=0,0,IF($LB350=70%,VLOOKUP($HZ350,'Jan-2026 rates'!$L:$R,4,0),IF($LB350=65%,VLOOKUP($HZ350,'Jan-2026 rates'!$L:$R,4,0),IF($LB350=40%,VLOOKUP($HZ350,'Jan-2026 rates'!$L:$R,5,0),IF($LB350=30%,VLOOKUP($HZ350,'Jan-2026 rates'!$L:$R,6,0),IF($LB350=100%,VLOOKUP($HZ350,'Jan-2026 rates'!$L:$R,7,0),IF($LB350=60%,VLOOKUP($HZ350,'Jan-2026 rates'!$L:$S,8,0),IF($LB350=80%,VLOOKUP($HZ350,'Jan-2026 rates'!L:T,9,0),0))))))))</f>
        <v>0</v>
      </c>
      <c r="IF350" s="412">
        <v>26525000014</v>
      </c>
      <c r="IG350" s="413" t="s">
        <v>1266</v>
      </c>
      <c r="IH350" s="412"/>
      <c r="II350" s="412"/>
      <c r="IJ350" s="412"/>
      <c r="IK350" s="412"/>
      <c r="IL350" s="412"/>
      <c r="IM350" s="412"/>
      <c r="IN350" s="409">
        <f>2+1</f>
        <v>3</v>
      </c>
      <c r="IO350" s="398" t="e">
        <f>IF(IN350=0,0,IF(LEN(IF350)=11,_xlfn.XLOOKUP(IF350,'Dispensed Ink Rates'!C:C,'Dispensed Ink Rates'!CS:CS),VLOOKUP(IF350,'Jan-2026 rates'!$E:$F,2,0)))</f>
        <v>#N/A</v>
      </c>
      <c r="IP350" s="409">
        <v>4</v>
      </c>
      <c r="IQ350" s="398">
        <f>IF(IP350=0,0,IF(LEN(IG350)=11,_xlfn.XLOOKUP(IG350,'Dispensed Ink Rates'!C:C,'Dispensed Ink Rates'!CS:CS),VLOOKUP(IG350,'Jan-2026 rates'!$E:$F,2,0)))</f>
        <v>0</v>
      </c>
      <c r="IR350" s="409"/>
      <c r="IS350" s="398">
        <f>IF(IR350=0,0,IF(LEN(IH350)=11,_xlfn.XLOOKUP(IH350,'Dispensed Ink Rates'!C:C,'Dispensed Ink Rates'!CS:CS),VLOOKUP(IH350,'Jan-2026 rates'!$E:$F,2,0)))</f>
        <v>0</v>
      </c>
      <c r="IT350" s="409"/>
      <c r="IU350" s="398">
        <f>IF(IT350=0,0,IF(LEN(II350)=11,_xlfn.XLOOKUP(II350,'Dispensed Ink Rates'!C:C,'Dispensed Ink Rates'!CS:CS),VLOOKUP(II350,'Jan-2026 rates'!$E:$F,2,0)))</f>
        <v>0</v>
      </c>
      <c r="IV350" s="409"/>
      <c r="IW350" s="398">
        <f>IF(IV350=0,0,IF(LEN(IJ350)=11,_xlfn.XLOOKUP(IJ350,'Dispensed Ink Rates'!C:C,'Dispensed Ink Rates'!CS:CS),VLOOKUP(IJ350,'Jan-2026 rates'!$E:$F,2,0)))</f>
        <v>0</v>
      </c>
      <c r="IX350" s="409"/>
      <c r="IY350" s="398">
        <f>IF(IX350=0,0,IF(LEN(IK350)=11,_xlfn.XLOOKUP(IK350,'Dispensed Ink Rates'!C:C,'Dispensed Ink Rates'!CS:CS),VLOOKUP(IK350,'Jan-2026 rates'!$E:$F,2,0)))</f>
        <v>0</v>
      </c>
      <c r="IZ350" s="409"/>
      <c r="JA350" s="398">
        <f>IF(IZ350=0,0,IF(LEN(IL350)=11,_xlfn.XLOOKUP(IL350,'Dispensed Ink Rates'!C:C,'Dispensed Ink Rates'!CS:CS),VLOOKUP(IL350,'Jan-2026 rates'!$E:$F,2,0)))</f>
        <v>0</v>
      </c>
      <c r="JB350" s="409"/>
      <c r="JC350" s="398">
        <f>IF(JB350=0,0,IF(LEN(IM350)=11,_xlfn.XLOOKUP(IM350,'Dispensed Ink Rates'!C:C,'Dispensed Ink Rates'!CS:CS),VLOOKUP(IM350,'Jan-2026 rates'!$E:$F,2,0)))</f>
        <v>0</v>
      </c>
      <c r="JD350" s="409" t="s">
        <v>1443</v>
      </c>
      <c r="JE350" s="409">
        <v>30</v>
      </c>
      <c r="JF350" s="411">
        <f t="shared" si="230"/>
        <v>0</v>
      </c>
      <c r="JG350" s="411">
        <f t="shared" si="231"/>
        <v>13.228070175438596</v>
      </c>
      <c r="JH350" s="410">
        <f t="shared" si="232"/>
        <v>0</v>
      </c>
      <c r="JI350" s="405" t="s">
        <v>856</v>
      </c>
      <c r="JJ350" s="409" t="s">
        <v>4713</v>
      </c>
      <c r="JK350" s="420" t="str">
        <f t="shared" si="190"/>
        <v>FLINTSL - WHITE</v>
      </c>
      <c r="JL350" s="409">
        <v>29</v>
      </c>
      <c r="JM350" s="411">
        <f>IF(JL350=0,0,IF($LB350=70%,VLOOKUP($JK350,'Jan-2026 rates'!$L:$R,4,0),IF($LB350=65%,VLOOKUP($JK350,'Jan-2026 rates'!$L:$R,4,0),IF($LB350=40%,VLOOKUP($JK350,'Jan-2026 rates'!$L:$R,5,0),IF($LB350=30%,VLOOKUP($JK350,'Jan-2026 rates'!$L:$R,6,0),IF($LB350=100%,VLOOKUP($JK350,'Jan-2026 rates'!$L:$R,7,0),IF($LB350=60%,VLOOKUP($JK350,'Jan-2026 rates'!$L:$S,8,0),IF($LB350=80%,VLOOKUP($JK350,'Jan-2026 rates'!L:T,9,0),0))))))))</f>
        <v>0</v>
      </c>
      <c r="JN350" s="412"/>
      <c r="JO350" s="409"/>
      <c r="JP350" s="411">
        <f>IF(JO350=0,0,IF($LB350=70%,VLOOKUP($JK350,'Jan-2026 rates'!$L:$R,4,0),IF($LB350=65%,VLOOKUP($JK350,'Jan-2026 rates'!$L:$R,4,0),IF($LB350=40%,VLOOKUP($JK350,'Jan-2026 rates'!$L:$R,5,0),IF($LB350=30%,VLOOKUP($JK350,'Jan-2026 rates'!$L:$R,6,0),IF($LB350=100%,VLOOKUP($JK350,'Jan-2026 rates'!$L:$R,7,0),IF($LB350=60%,VLOOKUP($JK350,'Jan-2026 rates'!$L:$S,8,0),IF($LB350=80%,VLOOKUP($JK350,'Jan-2026 rates'!L:T,9,0),0))))))))</f>
        <v>0</v>
      </c>
      <c r="JQ350" s="413" t="s">
        <v>484</v>
      </c>
      <c r="JR350" s="412"/>
      <c r="JS350" s="413"/>
      <c r="JT350" s="413"/>
      <c r="JU350" s="412"/>
      <c r="JV350" s="412"/>
      <c r="JW350" s="412"/>
      <c r="JX350" s="412"/>
      <c r="JY350" s="409">
        <v>25</v>
      </c>
      <c r="JZ350" s="398">
        <f>IF(JY350=0,0,IF(LEN(JQ350)=11,_xlfn.XLOOKUP(JQ350,'Dispensed Ink Rates'!C:C,'Dispensed Ink Rates'!CS:CS),VLOOKUP(JQ350,'Jan-2026 rates'!$E:$F,2,0)))</f>
        <v>0</v>
      </c>
      <c r="KA350" s="409"/>
      <c r="KB350" s="398">
        <f>IF(KA350=0,0,IF(LEN(JR350)=11,_xlfn.XLOOKUP(JR350,'Dispensed Ink Rates'!C:C,'Dispensed Ink Rates'!CS:CS),VLOOKUP(JR350,'Jan-2026 rates'!$E:$F,2,0)))</f>
        <v>0</v>
      </c>
      <c r="KC350" s="409"/>
      <c r="KD350" s="398">
        <f>IF(KC350=0,0,IF(LEN(JS350)=11,_xlfn.XLOOKUP(JS350,'Dispensed Ink Rates'!C:C,'Dispensed Ink Rates'!CS:CS),VLOOKUP(JS350,'Jan-2026 rates'!$E:$F,2,0)))</f>
        <v>0</v>
      </c>
      <c r="KE350" s="409"/>
      <c r="KF350" s="398">
        <f>IF(KE350=0,0,IF(LEN(JT350)=11,_xlfn.XLOOKUP(JT350,'Dispensed Ink Rates'!C:C,'Dispensed Ink Rates'!CS:CS),VLOOKUP(JT350,'Jan-2026 rates'!$E:$F,2,0)))</f>
        <v>0</v>
      </c>
      <c r="KG350" s="409"/>
      <c r="KH350" s="398">
        <f>IF(KG350=0,0,IF(LEN(JU350)=11,_xlfn.XLOOKUP(JU350,'Dispensed Ink Rates'!C:C,'Dispensed Ink Rates'!CS:CS),VLOOKUP(JU350,'Jan-2026 rates'!$E:$F,2,0)))</f>
        <v>0</v>
      </c>
      <c r="KI350" s="409"/>
      <c r="KJ350" s="398">
        <f>IF(KI350=0,0,IF(LEN(JV350)=11,_xlfn.XLOOKUP(JV350,'Dispensed Ink Rates'!C:C,'Dispensed Ink Rates'!CS:CS),VLOOKUP(JV350,'Jan-2026 rates'!$E:$F,2,0)))</f>
        <v>0</v>
      </c>
      <c r="KK350" s="409"/>
      <c r="KL350" s="398">
        <f>IF(KK350=0,0,IF(LEN(JW350)=11,_xlfn.XLOOKUP(JW350,'Dispensed Ink Rates'!C:C,'Dispensed Ink Rates'!CS:CS),VLOOKUP(JW350,'Jan-2026 rates'!$E:$F,2,0)))</f>
        <v>0</v>
      </c>
      <c r="KM350" s="428"/>
      <c r="KN350" s="398">
        <f>IF(KM350=0,0,IF(LEN(JX350)=11,_xlfn.XLOOKUP(JX350,'Dispensed Ink Rates'!C:C,'Dispensed Ink Rates'!CS:CS),VLOOKUP(JX350,'Jan-2026 rates'!$E:$F,2,0)))</f>
        <v>0</v>
      </c>
      <c r="KO350" s="409" t="s">
        <v>1443</v>
      </c>
      <c r="KP350" s="409">
        <v>24</v>
      </c>
      <c r="KQ350" s="411">
        <f t="shared" si="233"/>
        <v>0</v>
      </c>
      <c r="KR350" s="411">
        <f t="shared" si="234"/>
        <v>48.68421052631578</v>
      </c>
      <c r="KS350" s="410">
        <f t="shared" si="235"/>
        <v>0</v>
      </c>
      <c r="KT350" s="409">
        <v>5</v>
      </c>
      <c r="KU350" s="409">
        <v>5</v>
      </c>
      <c r="KV350" s="409">
        <v>2</v>
      </c>
      <c r="KW350" s="409">
        <v>15</v>
      </c>
      <c r="KX350" s="409">
        <v>5</v>
      </c>
      <c r="KY350" s="409">
        <v>5</v>
      </c>
      <c r="KZ350" s="409">
        <v>5</v>
      </c>
      <c r="LA350" s="409">
        <v>15</v>
      </c>
      <c r="LB350" s="415">
        <v>0.8</v>
      </c>
      <c r="LC350" s="415">
        <v>0.2</v>
      </c>
      <c r="LD350" s="424"/>
      <c r="LE350" s="415"/>
      <c r="LF350" s="415"/>
      <c r="LG350" s="409">
        <v>0</v>
      </c>
      <c r="LH350" s="409">
        <f>15+16+32+8</f>
        <v>71</v>
      </c>
      <c r="LI350" s="409">
        <v>0</v>
      </c>
      <c r="LJ350" s="409">
        <v>0</v>
      </c>
      <c r="LK350" s="416">
        <f t="shared" si="191"/>
        <v>71</v>
      </c>
      <c r="LL350" s="416">
        <f t="shared" si="237"/>
        <v>71</v>
      </c>
      <c r="LM350" s="417">
        <f t="shared" si="193"/>
        <v>56.800000000000004</v>
      </c>
      <c r="LN350" s="417">
        <f>VLOOKUP($LM$8,'Jan-2026 rates'!$H:$I,2,0)</f>
        <v>0</v>
      </c>
      <c r="LO350" s="417">
        <f t="shared" si="194"/>
        <v>14.200000000000001</v>
      </c>
      <c r="LP350" s="417">
        <f>VLOOKUP($LO$8,'Jan-2026 rates'!$H:$I,2,0)</f>
        <v>0</v>
      </c>
      <c r="LQ350" s="417">
        <f t="shared" si="195"/>
        <v>0</v>
      </c>
      <c r="LR350" s="417">
        <f>VLOOKUP($LQ$8,'Jan-2026 rates'!$H:$I,2,0)</f>
        <v>0</v>
      </c>
      <c r="LS350" s="417">
        <f t="shared" si="196"/>
        <v>0</v>
      </c>
      <c r="LT350" s="417">
        <f>VLOOKUP($LS$8,'Jan-2026 rates'!$H:$I,2,0)</f>
        <v>0</v>
      </c>
      <c r="LU350" s="417">
        <f t="shared" si="197"/>
        <v>0</v>
      </c>
      <c r="LV350" s="417">
        <f>VLOOKUP($LU$8,'Jan-2026 rates'!$H:$I,2,0)</f>
        <v>0</v>
      </c>
      <c r="LW350" s="417">
        <f t="shared" si="198"/>
        <v>0</v>
      </c>
      <c r="LX350" s="417">
        <f t="shared" si="199"/>
        <v>0</v>
      </c>
      <c r="LY350" s="418">
        <f t="shared" si="200"/>
        <v>0</v>
      </c>
      <c r="LZ350" s="417"/>
      <c r="MA350" s="435">
        <f t="shared" si="201"/>
        <v>83</v>
      </c>
      <c r="MB350" s="282">
        <f t="shared" si="202"/>
        <v>137</v>
      </c>
      <c r="MC350" s="283">
        <v>193</v>
      </c>
      <c r="MD350" s="284" t="str">
        <f t="shared" si="203"/>
        <v>FLINTSLFLINTSLFLINTSLFLINTSLFLINTSLFLINTSLFLINTSLFLINTSL</v>
      </c>
      <c r="ME350" s="293" t="str">
        <f t="shared" si="204"/>
        <v>+</v>
      </c>
      <c r="MF350" s="293" t="str">
        <f t="shared" si="205"/>
        <v>+</v>
      </c>
      <c r="MG350" s="293" t="str">
        <f t="shared" si="206"/>
        <v>+</v>
      </c>
      <c r="MH350" s="293" t="str">
        <f t="shared" si="207"/>
        <v>+</v>
      </c>
      <c r="MI350" s="293" t="str">
        <f t="shared" si="208"/>
        <v>+</v>
      </c>
      <c r="MJ350" s="293" t="str">
        <f t="shared" si="209"/>
        <v>+</v>
      </c>
      <c r="MK350" s="293" t="str">
        <f t="shared" si="210"/>
        <v>+</v>
      </c>
      <c r="ML350" s="293" t="str">
        <f t="shared" si="211"/>
        <v>+</v>
      </c>
      <c r="MM350" s="3" t="b">
        <f t="array" ref="MM350">OR(ME350:ML350="-")</f>
        <v>0</v>
      </c>
      <c r="MO350" s="401">
        <f t="shared" si="238"/>
        <v>33.743842364532014</v>
      </c>
      <c r="MP350" s="286"/>
      <c r="MR350" s="402">
        <f t="shared" si="239"/>
        <v>6.8844221105527634E-3</v>
      </c>
      <c r="MS350" s="400">
        <f t="shared" si="240"/>
        <v>0</v>
      </c>
      <c r="MT350" s="285"/>
      <c r="NH350" s="361"/>
      <c r="NJ350" s="282"/>
    </row>
    <row r="351" spans="1:374" ht="16.5">
      <c r="A351" s="403">
        <v>46047</v>
      </c>
      <c r="B351" s="404" t="s">
        <v>1018</v>
      </c>
      <c r="C351" s="405" t="s">
        <v>4714</v>
      </c>
      <c r="D351" s="404">
        <v>194</v>
      </c>
      <c r="E351" s="404">
        <v>404</v>
      </c>
      <c r="F351" s="407">
        <v>19800</v>
      </c>
      <c r="G351" s="407" t="s">
        <v>1016</v>
      </c>
      <c r="H351" s="408" t="s">
        <v>1017</v>
      </c>
      <c r="I351" s="409">
        <v>1.23</v>
      </c>
      <c r="J351" s="405" t="s">
        <v>543</v>
      </c>
      <c r="K351" s="404" t="s">
        <v>4707</v>
      </c>
      <c r="L351" s="419" t="str">
        <f t="shared" si="184"/>
        <v>FLINTSL - BLACK</v>
      </c>
      <c r="M351" s="404">
        <v>20</v>
      </c>
      <c r="N351" s="410">
        <f>IF(M351=0,0,IF($LB351=70%,VLOOKUP($L351,'Jan-2026 rates'!$L:$R,4,0),IF($LB351=65%,VLOOKUP($L351,'Jan-2026 rates'!$L:$R,4,0),IF($LB351=40%,VLOOKUP($L351,'Jan-2026 rates'!$L:$R,5,0),IF($LB351=30%,VLOOKUP($L351,'Jan-2026 rates'!$L:$R,6,0),IF($LB351=100%,VLOOKUP($L351,'Jan-2026 rates'!$L:$R,7,0),IF($LB351=60%,VLOOKUP($L351,'Jan-2026 rates'!$L:$S,8,0),IF($LB351=80%,VLOOKUP($L351,'Jan-2026 rates'!L:T,9,0),0))))))))</f>
        <v>0</v>
      </c>
      <c r="O351" s="406"/>
      <c r="P351" s="404"/>
      <c r="Q351" s="410">
        <f>IF(P351=0,0,IF($LB351=70%,VLOOKUP($L351,'Jan-2026 rates'!$L:$R,4,0),IF($LB351=65%,VLOOKUP($L351,'Jan-2026 rates'!$L:$R,4,0),IF($LB351=40%,VLOOKUP($L351,'Jan-2026 rates'!$L:$R,5,0),IF($LB351=30%,VLOOKUP($L351,'Jan-2026 rates'!$L:$R,6,0),IF($LB351=100%,VLOOKUP($L351,'Jan-2026 rates'!$L:$R,7,0),IF($LB351=60%,VLOOKUP($L351,'Jan-2026 rates'!$L:$S,8,0),IF($LB351=80%,VLOOKUP($L351,'Jan-2026 rates'!L:T,9,0),0))))))))</f>
        <v>0</v>
      </c>
      <c r="R351" s="406">
        <v>26526000029</v>
      </c>
      <c r="S351" s="406"/>
      <c r="T351" s="406"/>
      <c r="U351" s="406"/>
      <c r="V351" s="406"/>
      <c r="W351" s="406"/>
      <c r="X351" s="406"/>
      <c r="Y351" s="406"/>
      <c r="Z351" s="404">
        <v>10</v>
      </c>
      <c r="AA351" s="398" t="e">
        <f>IF(Z351=0,0,IF(LEN(R351)=11,_xlfn.XLOOKUP(R351,'Dispensed Ink Rates'!C:C,'Dispensed Ink Rates'!CS:CS),VLOOKUP(R351,'Jan-2026 rates'!$E:$F,2,0)))</f>
        <v>#N/A</v>
      </c>
      <c r="AB351" s="404"/>
      <c r="AC351" s="398">
        <f>IF(AB351=0,0,IF(LEN(S351)=11,_xlfn.XLOOKUP(S351,'Dispensed Ink Rates'!C:C,'Dispensed Ink Rates'!CS:CS),VLOOKUP(S351,'Jan-2026 rates'!$E:$F,2,0)))</f>
        <v>0</v>
      </c>
      <c r="AD351" s="404"/>
      <c r="AE351" s="398">
        <f>IF(AD351=0,0,IF(LEN(T351)=11,_xlfn.XLOOKUP(T351,'Dispensed Ink Rates'!C:C,'Dispensed Ink Rates'!CS:CS),VLOOKUP(T351,'Jan-2026 rates'!$E:$F,2,0)))</f>
        <v>0</v>
      </c>
      <c r="AF351" s="404"/>
      <c r="AG351" s="398">
        <f>IF(AF351=0,0,IF(LEN(U351)=11,_xlfn.XLOOKUP(U351,'Dispensed Ink Rates'!C:C,'Dispensed Ink Rates'!CS:CS),VLOOKUP(U351,'Jan-2026 rates'!$E:$F,2,0)))</f>
        <v>0</v>
      </c>
      <c r="AH351" s="404"/>
      <c r="AI351" s="398">
        <f>IF(AH351=0,0,IF(LEN(V351)=11,_xlfn.XLOOKUP(V351,'Dispensed Ink Rates'!C:C,'Dispensed Ink Rates'!CS:CS),VLOOKUP(V351,'Jan-2026 rates'!$E:$F,2,0)))</f>
        <v>0</v>
      </c>
      <c r="AJ351" s="404"/>
      <c r="AK351" s="398">
        <f>IF(AJ351=0,0,IF(LEN(W351)=11,_xlfn.XLOOKUP(W351,'Dispensed Ink Rates'!C:C,'Dispensed Ink Rates'!CS:CS),VLOOKUP(W351,'Jan-2026 rates'!$E:$F,2,0)))</f>
        <v>0</v>
      </c>
      <c r="AL351" s="404"/>
      <c r="AM351" s="398">
        <f>IF(AL351=0,0,IF(LEN(X351)=11,_xlfn.XLOOKUP(X351,'Dispensed Ink Rates'!C:C,'Dispensed Ink Rates'!CS:CS),VLOOKUP(X351,'Jan-2026 rates'!$E:$F,2,0)))</f>
        <v>0</v>
      </c>
      <c r="AN351" s="404"/>
      <c r="AO351" s="398">
        <f>IF(AN351=0,0,IF(LEN(Y351)=11,_xlfn.XLOOKUP(Y351,'Dispensed Ink Rates'!C:C,'Dispensed Ink Rates'!CS:CS),VLOOKUP(Y351,'Jan-2026 rates'!$E:$F,2,0)))</f>
        <v>0</v>
      </c>
      <c r="AP351" s="409" t="s">
        <v>1443</v>
      </c>
      <c r="AQ351" s="409">
        <v>29</v>
      </c>
      <c r="AR351" s="410">
        <f t="shared" si="212"/>
        <v>0</v>
      </c>
      <c r="AS351" s="411">
        <f t="shared" si="213"/>
        <v>16.512820512820511</v>
      </c>
      <c r="AT351" s="410">
        <f t="shared" si="214"/>
        <v>0</v>
      </c>
      <c r="AU351" s="405" t="s">
        <v>543</v>
      </c>
      <c r="AV351" s="409" t="s">
        <v>3926</v>
      </c>
      <c r="AW351" s="420" t="str">
        <f t="shared" si="236"/>
        <v>FLINTSL - BLACK</v>
      </c>
      <c r="AX351" s="409">
        <v>19</v>
      </c>
      <c r="AY351" s="411">
        <f>IF(AX351=0,0,IF($LB351=70%,VLOOKUP($AW351,'Jan-2026 rates'!$L:$R,4,0),IF($LB351=65%,VLOOKUP($AW351,'Jan-2026 rates'!$L:$R,4,0),IF($LB351=40%,VLOOKUP($AW351,'Jan-2026 rates'!$L:$R,5,0),IF($LB351=30%,VLOOKUP($AW351,'Jan-2026 rates'!$L:$R,6,0),IF($LB351=100%,VLOOKUP($AW351,'Jan-2026 rates'!$L:$R,7,0),IF($LB351=60%,VLOOKUP($AW351,'Jan-2026 rates'!$L:$S,8,0),IF($LB351=80%,VLOOKUP($AW351,'Jan-2026 rates'!L:T,9,0),0))))))))</f>
        <v>0</v>
      </c>
      <c r="AZ351" s="412"/>
      <c r="BA351" s="409"/>
      <c r="BB351" s="411">
        <f>IF(BA351=0,0,IF($LB351=70%,VLOOKUP($AW351,'Jan-2026 rates'!$L:$R,4,0),IF($LB351=65%,VLOOKUP($AW351,'Jan-2026 rates'!$L:$R,4,0),IF($LB351=40%,VLOOKUP($AW351,'Jan-2026 rates'!$L:$R,5,0),IF($LB351=30%,VLOOKUP($AW351,'Jan-2026 rates'!$L:$R,6,0),IF($LB351=100%,VLOOKUP($AW351,'Jan-2026 rates'!$L:$R,7,0),IF($LB351=60%,VLOOKUP($AW351,'Jan-2026 rates'!$L:$S,8,0),IF($LB351=80%,VLOOKUP($AW351,'Jan-2026 rates'!L:T,9,0),0))))))))</f>
        <v>0</v>
      </c>
      <c r="BC351" s="413">
        <v>26526000026</v>
      </c>
      <c r="BD351" s="412">
        <v>26527000009</v>
      </c>
      <c r="BE351" s="412"/>
      <c r="BF351" s="413"/>
      <c r="BG351" s="412"/>
      <c r="BH351" s="412"/>
      <c r="BI351" s="412"/>
      <c r="BJ351" s="412"/>
      <c r="BK351" s="409">
        <v>4</v>
      </c>
      <c r="BL351" s="398" t="e">
        <f>IF(BK351=0,0,IF(LEN(BC351)=11,_xlfn.XLOOKUP(BC351,'Dispensed Ink Rates'!C:C,'Dispensed Ink Rates'!CS:CS),VLOOKUP(BC351,'Jan-2026 rates'!$E:$F,2,0)))</f>
        <v>#N/A</v>
      </c>
      <c r="BM351" s="409">
        <v>2</v>
      </c>
      <c r="BN351" s="398" t="e">
        <f>IF(BM351=0,0,IF(LEN(BD351)=11,_xlfn.XLOOKUP(BD351,'Dispensed Ink Rates'!C:C,'Dispensed Ink Rates'!CS:CS),VLOOKUP(BD351,'Jan-2026 rates'!$E:$F,2,0)))</f>
        <v>#N/A</v>
      </c>
      <c r="BO351" s="409"/>
      <c r="BP351" s="398">
        <f>IF(BO351=0,0,IF(LEN(BE351)=11,_xlfn.XLOOKUP(BE351,'Dispensed Ink Rates'!C:C,'Dispensed Ink Rates'!CS:CS),VLOOKUP(BE351,'Jan-2026 rates'!$E:$F,2,0)))</f>
        <v>0</v>
      </c>
      <c r="BQ351" s="409"/>
      <c r="BR351" s="398">
        <f>IF(BQ351=0,0,IF(LEN(BF351)=11,_xlfn.XLOOKUP(BF351,'Dispensed Ink Rates'!C:C,'Dispensed Ink Rates'!CS:CS),VLOOKUP(BF351,'Jan-2026 rates'!$E:$F,2,0)))</f>
        <v>0</v>
      </c>
      <c r="BS351" s="409"/>
      <c r="BT351" s="398">
        <f>IF(BS351=0,0,IF(LEN(BG351)=11,_xlfn.XLOOKUP(BG351,'Dispensed Ink Rates'!C:C,'Dispensed Ink Rates'!CS:CS),VLOOKUP(BG351,'Jan-2026 rates'!$E:$F,2,0)))</f>
        <v>0</v>
      </c>
      <c r="BU351" s="409"/>
      <c r="BV351" s="398">
        <f>IF(BU351=0,0,IF(LEN(BH351)=11,_xlfn.XLOOKUP(BH351,'Dispensed Ink Rates'!C:C,'Dispensed Ink Rates'!CS:CS),VLOOKUP(BH351,'Jan-2026 rates'!$E:$F,2,0)))</f>
        <v>0</v>
      </c>
      <c r="BW351" s="409"/>
      <c r="BX351" s="398">
        <f>IF(BW351=0,0,IF(LEN(BI351)=11,_xlfn.XLOOKUP(BI351,'Dispensed Ink Rates'!C:C,'Dispensed Ink Rates'!CS:CS),VLOOKUP(BI351,'Jan-2026 rates'!$E:$F,2,0)))</f>
        <v>0</v>
      </c>
      <c r="BY351" s="409"/>
      <c r="BZ351" s="398">
        <f>IF(BY351=0,0,IF(LEN(BJ351)=11,_xlfn.XLOOKUP(BJ351,'Dispensed Ink Rates'!C:C,'Dispensed Ink Rates'!CS:CS),VLOOKUP(BJ351,'Jan-2026 rates'!$E:$F,2,0)))</f>
        <v>0</v>
      </c>
      <c r="CA351" s="409" t="s">
        <v>1443</v>
      </c>
      <c r="CB351" s="409">
        <v>25</v>
      </c>
      <c r="CC351" s="411">
        <f t="shared" si="215"/>
        <v>0</v>
      </c>
      <c r="CD351" s="411">
        <f t="shared" si="216"/>
        <v>7.7564102564102555</v>
      </c>
      <c r="CE351" s="410">
        <f t="shared" si="217"/>
        <v>0</v>
      </c>
      <c r="CF351" s="404" t="s">
        <v>857</v>
      </c>
      <c r="CG351" s="409" t="s">
        <v>4708</v>
      </c>
      <c r="CH351" s="420" t="str">
        <f t="shared" si="185"/>
        <v>FLINTSL - RED</v>
      </c>
      <c r="CI351" s="409">
        <v>29</v>
      </c>
      <c r="CJ351" s="411">
        <f>IF(CI351=0,0,IF($LB351=70%,VLOOKUP($CH351,'Jan-2026 rates'!$L:$R,4,0),IF($LB351=65%,VLOOKUP($CH351,'Jan-2026 rates'!$L:$R,4,0),IF($LB351=40%,VLOOKUP($CH351,'Jan-2026 rates'!$L:$R,5,0),IF($LB351=30%,VLOOKUP($CH351,'Jan-2026 rates'!$L:$R,6,0),IF($LB351=100%,VLOOKUP($CH351,'Jan-2026 rates'!$L:$R,7,0),IF($LB351=60%,VLOOKUP($CH351,'Jan-2026 rates'!$L:$S,8,0),IF($LB351=80%,VLOOKUP($CH351,'Jan-2026 rates'!L:T,9,0),0))))))))</f>
        <v>0</v>
      </c>
      <c r="CK351" s="412" t="s">
        <v>4715</v>
      </c>
      <c r="CL351" s="409">
        <v>30</v>
      </c>
      <c r="CM351" s="411">
        <f>IF(CL351=0,0,IF($LB351=70%,VLOOKUP($CH351,'Jan-2026 rates'!$L:$R,4,0),IF($LB351=65%,VLOOKUP($CH351,'Jan-2026 rates'!$L:$R,4,0),IF($LB351=40%,VLOOKUP($CH351,'Jan-2026 rates'!$L:$R,5,0),IF($LB351=30%,VLOOKUP($CH351,'Jan-2026 rates'!$L:$R,6,0),IF($LB351=100%,VLOOKUP($CH351,'Jan-2026 rates'!$L:$R,7,0),IF($LB351=60%,VLOOKUP($CH351,'Jan-2026 rates'!$L:$S,8,0),IF($LB351=80%,VLOOKUP($CH351,'Jan-2026 rates'!L:T,9,0),0))))))))</f>
        <v>0</v>
      </c>
      <c r="CN351" s="426">
        <v>26526000027</v>
      </c>
      <c r="CO351" s="427"/>
      <c r="CP351" s="426"/>
      <c r="CQ351" s="426"/>
      <c r="CR351" s="428"/>
      <c r="CS351" s="428"/>
      <c r="CT351" s="428"/>
      <c r="CU351" s="428"/>
      <c r="CV351" s="409">
        <v>10</v>
      </c>
      <c r="CW351" s="398" t="e">
        <f>IF(CV351=0,0,IF(LEN(CN351)=11,_xlfn.XLOOKUP(CN351,'Dispensed Ink Rates'!C:C,'Dispensed Ink Rates'!CS:CS),VLOOKUP(CN351,'Jan-2026 rates'!$E:$F,2,0)))</f>
        <v>#N/A</v>
      </c>
      <c r="CX351" s="409"/>
      <c r="CY351" s="398">
        <f>IF(CX351=0,0,IF(LEN(CO351)=11,_xlfn.XLOOKUP(CO351,'Dispensed Ink Rates'!C:C,'Dispensed Ink Rates'!CS:CS),VLOOKUP(CO351,'Jan-2026 rates'!$E:$F,2,0)))</f>
        <v>0</v>
      </c>
      <c r="CZ351" s="409"/>
      <c r="DA351" s="398">
        <f>IF(CZ351=0,0,IF(LEN(CP351)=11,_xlfn.XLOOKUP(CP351,'Dispensed Ink Rates'!C:C,'Dispensed Ink Rates'!CS:CS),VLOOKUP(CP351,'Jan-2026 rates'!$E:$F,2,0)))</f>
        <v>0</v>
      </c>
      <c r="DB351" s="409"/>
      <c r="DC351" s="398">
        <f>IF(DB351=0,0,IF(LEN(CQ351)=11,_xlfn.XLOOKUP(CQ351,'Dispensed Ink Rates'!C:C,'Dispensed Ink Rates'!CS:CS),VLOOKUP(CQ351,'Jan-2026 rates'!$E:$F,2,0)))</f>
        <v>0</v>
      </c>
      <c r="DD351" s="409"/>
      <c r="DE351" s="398">
        <f>IF(DD351=0,0,IF(LEN(CR351)=11,_xlfn.XLOOKUP(CR351,'Dispensed Ink Rates'!C:C,'Dispensed Ink Rates'!CS:CS),VLOOKUP(CR351,'Jan-2026 rates'!$E:$F,2,0)))</f>
        <v>0</v>
      </c>
      <c r="DF351" s="409"/>
      <c r="DG351" s="398">
        <f>IF(DF351=0,0,IF(LEN(CS351)=11,_xlfn.XLOOKUP(CS351,'Dispensed Ink Rates'!C:C,'Dispensed Ink Rates'!CS:CS),VLOOKUP(CS351,'Jan-2026 rates'!$E:$F,2,0)))</f>
        <v>0</v>
      </c>
      <c r="DH351" s="409"/>
      <c r="DI351" s="398">
        <f>IF(DH351=0,0,IF(LEN(CT351)=11,_xlfn.XLOOKUP(CT351,'Dispensed Ink Rates'!C:C,'Dispensed Ink Rates'!CS:CS),VLOOKUP(CT351,'Jan-2026 rates'!$E:$F,2,0)))</f>
        <v>0</v>
      </c>
      <c r="DJ351" s="409"/>
      <c r="DK351" s="398">
        <f>IF(DJ351=0,0,IF(LEN(CU351)=11,_xlfn.XLOOKUP(CU351,'Dispensed Ink Rates'!C:C,'Dispensed Ink Rates'!CS:CS),VLOOKUP(CU351,'Jan-2026 rates'!$E:$F,2,0)))</f>
        <v>0</v>
      </c>
      <c r="DL351" s="409" t="s">
        <v>1443</v>
      </c>
      <c r="DM351" s="409">
        <v>25</v>
      </c>
      <c r="DN351" s="411">
        <f t="shared" si="218"/>
        <v>0</v>
      </c>
      <c r="DO351" s="411">
        <f t="shared" si="219"/>
        <v>56.410256410256409</v>
      </c>
      <c r="DP351" s="410">
        <f t="shared" si="220"/>
        <v>0</v>
      </c>
      <c r="DQ351" s="405" t="s">
        <v>547</v>
      </c>
      <c r="DR351" s="409" t="s">
        <v>4716</v>
      </c>
      <c r="DS351" s="420" t="str">
        <f t="shared" si="186"/>
        <v>FLINTSL - GREEN</v>
      </c>
      <c r="DT351" s="409">
        <v>24</v>
      </c>
      <c r="DU351" s="411">
        <f>IF(DT351=0,0,IF($LB351=70%,VLOOKUP($DS351,'Jan-2026 rates'!$L:$R,4,0),IF($LB351=65%,VLOOKUP($DS351,'Jan-2026 rates'!$L:$R,4,0),IF($LB351=40%,VLOOKUP($DS351,'Jan-2026 rates'!$L:$R,5,0),IF($LB351=30%,VLOOKUP($DS351,'Jan-2026 rates'!$L:$R,6,0),IF($LB351=100%,VLOOKUP($DS351,'Jan-2026 rates'!$L:$R,7,0),IF($LB351=60%,VLOOKUP($DS351,'Jan-2026 rates'!$L:$S,8,0),IF($LB351=80%,VLOOKUP($DS351,'Jan-2026 rates'!L:T,9,0),0))))))))</f>
        <v>0</v>
      </c>
      <c r="DV351" s="412"/>
      <c r="DW351" s="409"/>
      <c r="DX351" s="411">
        <f>IF(DW351=0,0,IF($LB351=70%,VLOOKUP($DS351,'Jan-2026 rates'!$L:$R,4,0),IF($LB351=65%,VLOOKUP($DS351,'Jan-2026 rates'!$L:$R,4,0),IF($LB351=40%,VLOOKUP($DS351,'Jan-2026 rates'!$L:$R,5,0),IF($LB351=30%,VLOOKUP($DS351,'Jan-2026 rates'!$L:$R,6,0),IF($LB351=100%,VLOOKUP($DS351,'Jan-2026 rates'!$L:$R,7,0),IF($LB351=60%,VLOOKUP($DS351,'Jan-2026 rates'!$L:$S,8,0),IF($LB351=80%,VLOOKUP($DS351,'Jan-2026 rates'!L:T,9,0),0))))))))</f>
        <v>0</v>
      </c>
      <c r="DY351" s="413">
        <v>26523000028</v>
      </c>
      <c r="DZ351" s="413">
        <v>26527000009</v>
      </c>
      <c r="EA351" s="412"/>
      <c r="EB351" s="412"/>
      <c r="EC351" s="412"/>
      <c r="ED351" s="412"/>
      <c r="EE351" s="412"/>
      <c r="EF351" s="412"/>
      <c r="EG351" s="409">
        <v>4</v>
      </c>
      <c r="EH351" s="398" t="e">
        <f>IF(EG351=0,0,IF(LEN(DY351)=11,_xlfn.XLOOKUP(DY351,'Dispensed Ink Rates'!C:C,'Dispensed Ink Rates'!CS:CS),VLOOKUP(DY351,'Jan-2026 rates'!$E:$F,2,0)))</f>
        <v>#N/A</v>
      </c>
      <c r="EI351" s="409">
        <v>6</v>
      </c>
      <c r="EJ351" s="398" t="e">
        <f>IF(EI351=0,0,IF(LEN(DZ351)=11,_xlfn.XLOOKUP(DZ351,'Dispensed Ink Rates'!C:C,'Dispensed Ink Rates'!CS:CS),VLOOKUP(DZ351,'Jan-2026 rates'!$E:$F,2,0)))</f>
        <v>#N/A</v>
      </c>
      <c r="EK351" s="409"/>
      <c r="EL351" s="398">
        <f>IF(EK351=0,0,IF(LEN(EA351)=11,_xlfn.XLOOKUP(EA351,'Dispensed Ink Rates'!C:C,'Dispensed Ink Rates'!CS:CS),VLOOKUP(EA351,'Jan-2026 rates'!$E:$F,2,0)))</f>
        <v>0</v>
      </c>
      <c r="EM351" s="409"/>
      <c r="EN351" s="398">
        <f>IF(EM351=0,0,IF(LEN(EB351)=11,_xlfn.XLOOKUP(EB351,'Dispensed Ink Rates'!C:C,'Dispensed Ink Rates'!CS:CS),VLOOKUP(EB351,'Jan-2026 rates'!$E:$F,2,0)))</f>
        <v>0</v>
      </c>
      <c r="EO351" s="409"/>
      <c r="EP351" s="398">
        <f>IF(EO351=0,0,IF(LEN(EC351)=11,_xlfn.XLOOKUP(EC351,'Dispensed Ink Rates'!C:C,'Dispensed Ink Rates'!CS:CS),VLOOKUP(EC351,'Jan-2026 rates'!$E:$F,2,0)))</f>
        <v>0</v>
      </c>
      <c r="EQ351" s="409"/>
      <c r="ER351" s="398">
        <f>IF(EQ351=0,0,IF(LEN(ED351)=11,_xlfn.XLOOKUP(ED351,'Dispensed Ink Rates'!C:C,'Dispensed Ink Rates'!CS:CS),VLOOKUP(ED351,'Jan-2026 rates'!$E:$F,2,0)))</f>
        <v>0</v>
      </c>
      <c r="ES351" s="409"/>
      <c r="ET351" s="398">
        <f>IF(ES351=0,0,IF(LEN(EE351)=11,_xlfn.XLOOKUP(EE351,'Dispensed Ink Rates'!C:C,'Dispensed Ink Rates'!CS:CS),VLOOKUP(EE351,'Jan-2026 rates'!$E:$F,2,0)))</f>
        <v>0</v>
      </c>
      <c r="EU351" s="409"/>
      <c r="EV351" s="398">
        <f>IF(EU351=0,0,IF(LEN(EF351)=11,_xlfn.XLOOKUP(EF351,'Dispensed Ink Rates'!C:C,'Dispensed Ink Rates'!CS:CS),VLOOKUP(EF351,'Jan-2026 rates'!$E:$F,2,0)))</f>
        <v>0</v>
      </c>
      <c r="EW351" s="409" t="s">
        <v>1443</v>
      </c>
      <c r="EX351" s="409">
        <v>30</v>
      </c>
      <c r="EY351" s="411">
        <f t="shared" si="221"/>
        <v>0</v>
      </c>
      <c r="EZ351" s="411">
        <f t="shared" si="222"/>
        <v>11.756410256410255</v>
      </c>
      <c r="FA351" s="410">
        <f t="shared" si="223"/>
        <v>0</v>
      </c>
      <c r="FB351" s="405" t="s">
        <v>855</v>
      </c>
      <c r="FC351" s="409" t="s">
        <v>4717</v>
      </c>
      <c r="FD351" s="420" t="str">
        <f t="shared" si="187"/>
        <v>FLINTSL - CYAN</v>
      </c>
      <c r="FE351" s="409">
        <v>30</v>
      </c>
      <c r="FF351" s="411">
        <f>IF(FE351=0,0,IF($LB351=70%,VLOOKUP($FD351,'Jan-2026 rates'!$L:$R,4,0),IF($LB351=65%,VLOOKUP($FD351,'Jan-2026 rates'!$L:$R,4,0),IF($LB351=40%,VLOOKUP($FD351,'Jan-2026 rates'!$L:$R,5,0),IF($LB351=30%,VLOOKUP($FD351,'Jan-2026 rates'!$L:$R,6,0),IF($LB351=100%,VLOOKUP($FD351,'Jan-2026 rates'!$L:$R,7,0),IF($LB351=60%,VLOOKUP($FD351,'Jan-2026 rates'!$L:$S,8,0),IF($LB351=80%,VLOOKUP($FD351,'Jan-2026 rates'!L:T,9,0),0))))))))</f>
        <v>0</v>
      </c>
      <c r="FG351" s="412"/>
      <c r="FH351" s="409"/>
      <c r="FI351" s="411">
        <f>IF(FH351=0,0,IF($LB351=70%,VLOOKUP($FD351,'Jan-2026 rates'!$L:$R,4,0),IF($LB351=65%,VLOOKUP($FD351,'Jan-2026 rates'!$L:$R,4,0),IF($LB351=40%,VLOOKUP($FD351,'Jan-2026 rates'!$L:$R,5,0),IF($LB351=30%,VLOOKUP($FD351,'Jan-2026 rates'!$L:$R,6,0),IF($LB351=100%,VLOOKUP($FD351,'Jan-2026 rates'!$L:$R,7,0),IF($LB351=60%,VLOOKUP($FD351,'Jan-2026 rates'!$L:$S,8,0),IF($LB351=80%,VLOOKUP($FD351,'Jan-2026 rates'!L:T,9,0),0))))))))</f>
        <v>0</v>
      </c>
      <c r="FJ351" s="413" t="s">
        <v>1266</v>
      </c>
      <c r="FK351" s="413"/>
      <c r="FL351" s="413"/>
      <c r="FM351" s="412"/>
      <c r="FN351" s="412"/>
      <c r="FO351" s="412"/>
      <c r="FP351" s="412"/>
      <c r="FQ351" s="412"/>
      <c r="FR351" s="409">
        <v>4</v>
      </c>
      <c r="FS351" s="398">
        <f>IF(FR351=0,0,IF(LEN(FJ351)=11,_xlfn.XLOOKUP(FJ351,'Dispensed Ink Rates'!C:C,'Dispensed Ink Rates'!CS:CS),VLOOKUP(FJ351,'Jan-2026 rates'!$E:$F,2,0)))</f>
        <v>0</v>
      </c>
      <c r="FT351" s="409"/>
      <c r="FU351" s="398">
        <f>IF(FT351=0,0,IF(LEN(FK351)=11,_xlfn.XLOOKUP(FK351,'Dispensed Ink Rates'!C:C,'Dispensed Ink Rates'!CS:CS),VLOOKUP(FK351,'Jan-2026 rates'!$E:$F,2,0)))</f>
        <v>0</v>
      </c>
      <c r="FV351" s="409"/>
      <c r="FW351" s="398">
        <f>IF(FV351=0,0,IF(LEN(FL351)=11,_xlfn.XLOOKUP(FL351,'Dispensed Ink Rates'!C:C,'Dispensed Ink Rates'!CS:CS),VLOOKUP(FL351,'Jan-2026 rates'!$E:$F,2,0)))</f>
        <v>0</v>
      </c>
      <c r="FX351" s="409"/>
      <c r="FY351" s="398">
        <f>IF(FX351=0,0,IF(LEN(FM351)=11,_xlfn.XLOOKUP(FM351,'Dispensed Ink Rates'!C:C,'Dispensed Ink Rates'!CS:CS),VLOOKUP(FM351,'Jan-2026 rates'!$E:$F,2,0)))</f>
        <v>0</v>
      </c>
      <c r="FZ351" s="409"/>
      <c r="GA351" s="398">
        <f>IF(FZ351=0,0,IF(LEN(FN351)=11,_xlfn.XLOOKUP(FN351,'Dispensed Ink Rates'!C:C,'Dispensed Ink Rates'!CS:CS),VLOOKUP(FN351,'Jan-2026 rates'!$E:$F,2,0)))</f>
        <v>0</v>
      </c>
      <c r="GB351" s="409"/>
      <c r="GC351" s="398">
        <f>IF(GB351=0,0,IF(LEN(FO351)=11,_xlfn.XLOOKUP(FO351,'Dispensed Ink Rates'!C:C,'Dispensed Ink Rates'!CS:CS),VLOOKUP(FO351,'Jan-2026 rates'!$E:$F,2,0)))</f>
        <v>0</v>
      </c>
      <c r="GD351" s="409"/>
      <c r="GE351" s="398">
        <f>IF(GD351=0,0,IF(LEN(FP351)=11,_xlfn.XLOOKUP(FP351,'Dispensed Ink Rates'!C:C,'Dispensed Ink Rates'!CS:CS),VLOOKUP(FP351,'Jan-2026 rates'!$E:$F,2,0)))</f>
        <v>0</v>
      </c>
      <c r="GF351" s="409"/>
      <c r="GG351" s="398">
        <f>IF(GF351=0,0,IF(LEN(FQ351)=11,_xlfn.XLOOKUP(FQ351,'Dispensed Ink Rates'!C:C,'Dispensed Ink Rates'!CS:CS),VLOOKUP(FQ351,'Jan-2026 rates'!$E:$F,2,0)))</f>
        <v>0</v>
      </c>
      <c r="GH351" s="409" t="s">
        <v>1443</v>
      </c>
      <c r="GI351" s="409">
        <v>31</v>
      </c>
      <c r="GJ351" s="411">
        <f t="shared" si="224"/>
        <v>0</v>
      </c>
      <c r="GK351" s="411">
        <f t="shared" si="225"/>
        <v>10.756410256410255</v>
      </c>
      <c r="GL351" s="410">
        <f t="shared" si="226"/>
        <v>0</v>
      </c>
      <c r="GM351" s="405" t="s">
        <v>544</v>
      </c>
      <c r="GN351" s="409" t="s">
        <v>4711</v>
      </c>
      <c r="GO351" s="420" t="str">
        <f t="shared" si="188"/>
        <v>FLINTSL - MAGENTA</v>
      </c>
      <c r="GP351" s="409">
        <v>29</v>
      </c>
      <c r="GQ351" s="411">
        <f>IF(GP351=0,0,IF($LB351=70%,VLOOKUP($GO351,'Jan-2026 rates'!$L:$R,4,0),IF($LB351=65%,VLOOKUP($GO351,'Jan-2026 rates'!$L:$R,4,0),IF($LB351=40%,VLOOKUP($GO351,'Jan-2026 rates'!$L:$R,5,0),IF($LB351=30%,VLOOKUP($GO351,'Jan-2026 rates'!$L:$R,6,0),IF($LB351=100%,VLOOKUP($GO351,'Jan-2026 rates'!$L:$R,7,0),IF($LB351=60%,VLOOKUP($GO351,'Jan-2026 rates'!$L:$S,8,0),IF($LB351=80%,VLOOKUP($GO351,'Jan-2026 rates'!L:T,9,0),0))))))))</f>
        <v>0</v>
      </c>
      <c r="GR351" s="412"/>
      <c r="GS351" s="409"/>
      <c r="GT351" s="411">
        <f>IF(GS351=0,0,IF($LB351=70%,VLOOKUP($GO351,'Jan-2026 rates'!$L:$R,4,0),IF($LB351=65%,VLOOKUP($GO351,'Jan-2026 rates'!$L:$R,4,0),IF($LB351=40%,VLOOKUP($GO351,'Jan-2026 rates'!$L:$R,5,0),IF($LB351=30%,VLOOKUP($GO351,'Jan-2026 rates'!$L:$R,6,0),IF($LB351=100%,VLOOKUP($GO351,'Jan-2026 rates'!$L:$R,7,0),IF($LB351=60%,VLOOKUP($GO351,'Jan-2026 rates'!$L:$S,8,0),IF($LB351=80%,VLOOKUP($GO351,'Jan-2026 rates'!L:T,9,0),0))))))))</f>
        <v>0</v>
      </c>
      <c r="GU351" s="413">
        <v>26526000026</v>
      </c>
      <c r="GV351" s="413"/>
      <c r="GW351" s="412"/>
      <c r="GX351" s="412"/>
      <c r="GY351" s="412"/>
      <c r="GZ351" s="412"/>
      <c r="HA351" s="412"/>
      <c r="HB351" s="412"/>
      <c r="HC351" s="409">
        <v>4</v>
      </c>
      <c r="HD351" s="398" t="e">
        <f>IF(HC351=0,0,IF(LEN(GU351)=11,_xlfn.XLOOKUP(GU351,'Dispensed Ink Rates'!C:C,'Dispensed Ink Rates'!CS:CS),VLOOKUP(GU351,'Jan-2026 rates'!$E:$F,2,0)))</f>
        <v>#N/A</v>
      </c>
      <c r="HE351" s="409"/>
      <c r="HF351" s="398">
        <f>IF(HE351=0,0,IF(LEN(GV351)=11,_xlfn.XLOOKUP(GV351,'Dispensed Ink Rates'!C:C,'Dispensed Ink Rates'!CS:CS),VLOOKUP(GV351,'Jan-2026 rates'!$E:$F,2,0)))</f>
        <v>0</v>
      </c>
      <c r="HG351" s="409"/>
      <c r="HH351" s="398">
        <f>IF(HG351=0,0,IF(LEN(GW351)=11,_xlfn.XLOOKUP(GW351,'Dispensed Ink Rates'!C:C,'Dispensed Ink Rates'!CS:CS),VLOOKUP(GW351,'Jan-2026 rates'!$E:$F,2,0)))</f>
        <v>0</v>
      </c>
      <c r="HI351" s="409"/>
      <c r="HJ351" s="398">
        <f>IF(HI351=0,0,IF(LEN(GX351)=11,_xlfn.XLOOKUP(GX351,'Dispensed Ink Rates'!C:C,'Dispensed Ink Rates'!CS:CS),VLOOKUP(GX351,'Jan-2026 rates'!$E:$F,2,0)))</f>
        <v>0</v>
      </c>
      <c r="HK351" s="409"/>
      <c r="HL351" s="398">
        <f>IF(HK351=0,0,IF(LEN(GY351)=11,_xlfn.XLOOKUP(GY351,'Dispensed Ink Rates'!C:C,'Dispensed Ink Rates'!CS:CS),VLOOKUP(GY351,'Jan-2026 rates'!$E:$F,2,0)))</f>
        <v>0</v>
      </c>
      <c r="HM351" s="409"/>
      <c r="HN351" s="398">
        <f>IF(HM351=0,0,IF(LEN(GZ351)=11,_xlfn.XLOOKUP(GZ351,'Dispensed Ink Rates'!C:C,'Dispensed Ink Rates'!CS:CS),VLOOKUP(GZ351,'Jan-2026 rates'!$E:$F,2,0)))</f>
        <v>0</v>
      </c>
      <c r="HO351" s="409"/>
      <c r="HP351" s="398">
        <f>IF(HO351=0,0,IF(LEN(HA351)=11,_xlfn.XLOOKUP(HA351,'Dispensed Ink Rates'!C:C,'Dispensed Ink Rates'!CS:CS),VLOOKUP(HA351,'Jan-2026 rates'!$E:$F,2,0)))</f>
        <v>0</v>
      </c>
      <c r="HQ351" s="409"/>
      <c r="HR351" s="398">
        <f>IF(HQ351=0,0,IF(LEN(HB351)=11,_xlfn.XLOOKUP(HB351,'Dispensed Ink Rates'!C:C,'Dispensed Ink Rates'!CS:CS),VLOOKUP(HB351,'Jan-2026 rates'!$E:$F,2,0)))</f>
        <v>0</v>
      </c>
      <c r="HS351" s="409" t="s">
        <v>1443</v>
      </c>
      <c r="HT351" s="409">
        <v>30</v>
      </c>
      <c r="HU351" s="411">
        <f t="shared" si="227"/>
        <v>0</v>
      </c>
      <c r="HV351" s="411">
        <f t="shared" si="228"/>
        <v>10.756410256410255</v>
      </c>
      <c r="HW351" s="414">
        <f t="shared" si="229"/>
        <v>0</v>
      </c>
      <c r="HX351" s="405" t="s">
        <v>545</v>
      </c>
      <c r="HY351" s="409" t="s">
        <v>4712</v>
      </c>
      <c r="HZ351" s="420" t="str">
        <f t="shared" si="189"/>
        <v>FLINTSL - YELLOW</v>
      </c>
      <c r="IA351" s="409">
        <v>30</v>
      </c>
      <c r="IB351" s="411">
        <f>IF(IA351=0,0,IF($LB351=70%,VLOOKUP($HZ351,'Jan-2026 rates'!$L:$R,4,0),IF($LB351=65%,VLOOKUP($HZ351,'Jan-2026 rates'!$L:$R,4,0),IF($LB351=40%,VLOOKUP($HZ351,'Jan-2026 rates'!$L:$R,5,0),IF($LB351=30%,VLOOKUP($HZ351,'Jan-2026 rates'!$L:$R,6,0),IF($LB351=100%,VLOOKUP($HZ351,'Jan-2026 rates'!$L:$R,7,0),IF($LB351=60%,VLOOKUP($HZ351,'Jan-2026 rates'!$L:$S,8,0),IF($LB351=80%,VLOOKUP($HZ351,'Jan-2026 rates'!L:T,9,0),0))))))))</f>
        <v>0</v>
      </c>
      <c r="IC351" s="412"/>
      <c r="ID351" s="409"/>
      <c r="IE351" s="411">
        <f>IF(ID351=0,0,IF($LB351=70%,VLOOKUP($HZ351,'Jan-2026 rates'!$L:$R,4,0),IF($LB351=65%,VLOOKUP($HZ351,'Jan-2026 rates'!$L:$R,4,0),IF($LB351=40%,VLOOKUP($HZ351,'Jan-2026 rates'!$L:$R,5,0),IF($LB351=30%,VLOOKUP($HZ351,'Jan-2026 rates'!$L:$R,6,0),IF($LB351=100%,VLOOKUP($HZ351,'Jan-2026 rates'!$L:$R,7,0),IF($LB351=60%,VLOOKUP($HZ351,'Jan-2026 rates'!$L:$S,8,0),IF($LB351=80%,VLOOKUP($HZ351,'Jan-2026 rates'!L:T,9,0),0))))))))</f>
        <v>0</v>
      </c>
      <c r="IF351" s="412">
        <v>26527000009</v>
      </c>
      <c r="IG351" s="413"/>
      <c r="IH351" s="412"/>
      <c r="II351" s="412"/>
      <c r="IJ351" s="412"/>
      <c r="IK351" s="412"/>
      <c r="IL351" s="412"/>
      <c r="IM351" s="412"/>
      <c r="IN351" s="409">
        <v>6</v>
      </c>
      <c r="IO351" s="398" t="e">
        <f>IF(IN351=0,0,IF(LEN(IF351)=11,_xlfn.XLOOKUP(IF351,'Dispensed Ink Rates'!C:C,'Dispensed Ink Rates'!CS:CS),VLOOKUP(IF351,'Jan-2026 rates'!$E:$F,2,0)))</f>
        <v>#N/A</v>
      </c>
      <c r="IP351" s="409"/>
      <c r="IQ351" s="398">
        <f>IF(IP351=0,0,IF(LEN(IG351)=11,_xlfn.XLOOKUP(IG351,'Dispensed Ink Rates'!C:C,'Dispensed Ink Rates'!CS:CS),VLOOKUP(IG351,'Jan-2026 rates'!$E:$F,2,0)))</f>
        <v>0</v>
      </c>
      <c r="IR351" s="409"/>
      <c r="IS351" s="398">
        <f>IF(IR351=0,0,IF(LEN(IH351)=11,_xlfn.XLOOKUP(IH351,'Dispensed Ink Rates'!C:C,'Dispensed Ink Rates'!CS:CS),VLOOKUP(IH351,'Jan-2026 rates'!$E:$F,2,0)))</f>
        <v>0</v>
      </c>
      <c r="IT351" s="409"/>
      <c r="IU351" s="398">
        <f>IF(IT351=0,0,IF(LEN(II351)=11,_xlfn.XLOOKUP(II351,'Dispensed Ink Rates'!C:C,'Dispensed Ink Rates'!CS:CS),VLOOKUP(II351,'Jan-2026 rates'!$E:$F,2,0)))</f>
        <v>0</v>
      </c>
      <c r="IV351" s="409"/>
      <c r="IW351" s="398">
        <f>IF(IV351=0,0,IF(LEN(IJ351)=11,_xlfn.XLOOKUP(IJ351,'Dispensed Ink Rates'!C:C,'Dispensed Ink Rates'!CS:CS),VLOOKUP(IJ351,'Jan-2026 rates'!$E:$F,2,0)))</f>
        <v>0</v>
      </c>
      <c r="IX351" s="409"/>
      <c r="IY351" s="398">
        <f>IF(IX351=0,0,IF(LEN(IK351)=11,_xlfn.XLOOKUP(IK351,'Dispensed Ink Rates'!C:C,'Dispensed Ink Rates'!CS:CS),VLOOKUP(IK351,'Jan-2026 rates'!$E:$F,2,0)))</f>
        <v>0</v>
      </c>
      <c r="IZ351" s="409"/>
      <c r="JA351" s="398">
        <f>IF(IZ351=0,0,IF(LEN(IL351)=11,_xlfn.XLOOKUP(IL351,'Dispensed Ink Rates'!C:C,'Dispensed Ink Rates'!CS:CS),VLOOKUP(IL351,'Jan-2026 rates'!$E:$F,2,0)))</f>
        <v>0</v>
      </c>
      <c r="JB351" s="409"/>
      <c r="JC351" s="398">
        <f>IF(JB351=0,0,IF(LEN(IM351)=11,_xlfn.XLOOKUP(IM351,'Dispensed Ink Rates'!C:C,'Dispensed Ink Rates'!CS:CS),VLOOKUP(IM351,'Jan-2026 rates'!$E:$F,2,0)))</f>
        <v>0</v>
      </c>
      <c r="JD351" s="409" t="s">
        <v>1443</v>
      </c>
      <c r="JE351" s="409">
        <v>24</v>
      </c>
      <c r="JF351" s="411">
        <f t="shared" si="230"/>
        <v>0</v>
      </c>
      <c r="JG351" s="411">
        <f t="shared" si="231"/>
        <v>19.756410256410255</v>
      </c>
      <c r="JH351" s="410">
        <f t="shared" si="232"/>
        <v>0</v>
      </c>
      <c r="JI351" s="405" t="s">
        <v>856</v>
      </c>
      <c r="JJ351" s="409" t="s">
        <v>4713</v>
      </c>
      <c r="JK351" s="420" t="str">
        <f t="shared" si="190"/>
        <v>FLINTSL - WHITE</v>
      </c>
      <c r="JL351" s="409">
        <v>24</v>
      </c>
      <c r="JM351" s="411">
        <f>IF(JL351=0,0,IF($LB351=70%,VLOOKUP($JK351,'Jan-2026 rates'!$L:$R,4,0),IF($LB351=65%,VLOOKUP($JK351,'Jan-2026 rates'!$L:$R,4,0),IF($LB351=40%,VLOOKUP($JK351,'Jan-2026 rates'!$L:$R,5,0),IF($LB351=30%,VLOOKUP($JK351,'Jan-2026 rates'!$L:$R,6,0),IF($LB351=100%,VLOOKUP($JK351,'Jan-2026 rates'!$L:$R,7,0),IF($LB351=60%,VLOOKUP($JK351,'Jan-2026 rates'!$L:$S,8,0),IF($LB351=80%,VLOOKUP($JK351,'Jan-2026 rates'!L:T,9,0),0))))))))</f>
        <v>0</v>
      </c>
      <c r="JN351" s="412"/>
      <c r="JO351" s="409"/>
      <c r="JP351" s="411">
        <f>IF(JO351=0,0,IF($LB351=70%,VLOOKUP($JK351,'Jan-2026 rates'!$L:$R,4,0),IF($LB351=65%,VLOOKUP($JK351,'Jan-2026 rates'!$L:$R,4,0),IF($LB351=40%,VLOOKUP($JK351,'Jan-2026 rates'!$L:$R,5,0),IF($LB351=30%,VLOOKUP($JK351,'Jan-2026 rates'!$L:$R,6,0),IF($LB351=100%,VLOOKUP($JK351,'Jan-2026 rates'!$L:$R,7,0),IF($LB351=60%,VLOOKUP($JK351,'Jan-2026 rates'!$L:$S,8,0),IF($LB351=80%,VLOOKUP($JK351,'Jan-2026 rates'!L:T,9,0),0))))))))</f>
        <v>0</v>
      </c>
      <c r="JQ351" s="413" t="s">
        <v>484</v>
      </c>
      <c r="JR351" s="412"/>
      <c r="JS351" s="413"/>
      <c r="JT351" s="413"/>
      <c r="JU351" s="412"/>
      <c r="JV351" s="412"/>
      <c r="JW351" s="412"/>
      <c r="JX351" s="412"/>
      <c r="JY351" s="409">
        <f>25+10+25</f>
        <v>60</v>
      </c>
      <c r="JZ351" s="398">
        <f>IF(JY351=0,0,IF(LEN(JQ351)=11,_xlfn.XLOOKUP(JQ351,'Dispensed Ink Rates'!C:C,'Dispensed Ink Rates'!CS:CS),VLOOKUP(JQ351,'Jan-2026 rates'!$E:$F,2,0)))</f>
        <v>0</v>
      </c>
      <c r="KA351" s="409"/>
      <c r="KB351" s="398">
        <f>IF(KA351=0,0,IF(LEN(JR351)=11,_xlfn.XLOOKUP(JR351,'Dispensed Ink Rates'!C:C,'Dispensed Ink Rates'!CS:CS),VLOOKUP(JR351,'Jan-2026 rates'!$E:$F,2,0)))</f>
        <v>0</v>
      </c>
      <c r="KC351" s="409"/>
      <c r="KD351" s="398">
        <f>IF(KC351=0,0,IF(LEN(JS351)=11,_xlfn.XLOOKUP(JS351,'Dispensed Ink Rates'!C:C,'Dispensed Ink Rates'!CS:CS),VLOOKUP(JS351,'Jan-2026 rates'!$E:$F,2,0)))</f>
        <v>0</v>
      </c>
      <c r="KE351" s="409"/>
      <c r="KF351" s="398">
        <f>IF(KE351=0,0,IF(LEN(JT351)=11,_xlfn.XLOOKUP(JT351,'Dispensed Ink Rates'!C:C,'Dispensed Ink Rates'!CS:CS),VLOOKUP(JT351,'Jan-2026 rates'!$E:$F,2,0)))</f>
        <v>0</v>
      </c>
      <c r="KG351" s="409"/>
      <c r="KH351" s="398">
        <f>IF(KG351=0,0,IF(LEN(JU351)=11,_xlfn.XLOOKUP(JU351,'Dispensed Ink Rates'!C:C,'Dispensed Ink Rates'!CS:CS),VLOOKUP(JU351,'Jan-2026 rates'!$E:$F,2,0)))</f>
        <v>0</v>
      </c>
      <c r="KI351" s="409"/>
      <c r="KJ351" s="398">
        <f>IF(KI351=0,0,IF(LEN(JV351)=11,_xlfn.XLOOKUP(JV351,'Dispensed Ink Rates'!C:C,'Dispensed Ink Rates'!CS:CS),VLOOKUP(JV351,'Jan-2026 rates'!$E:$F,2,0)))</f>
        <v>0</v>
      </c>
      <c r="KK351" s="409"/>
      <c r="KL351" s="398">
        <f>IF(KK351=0,0,IF(LEN(JW351)=11,_xlfn.XLOOKUP(JW351,'Dispensed Ink Rates'!C:C,'Dispensed Ink Rates'!CS:CS),VLOOKUP(JW351,'Jan-2026 rates'!$E:$F,2,0)))</f>
        <v>0</v>
      </c>
      <c r="KM351" s="428"/>
      <c r="KN351" s="398">
        <f>IF(KM351=0,0,IF(LEN(JX351)=11,_xlfn.XLOOKUP(JX351,'Dispensed Ink Rates'!C:C,'Dispensed Ink Rates'!CS:CS),VLOOKUP(JX351,'Jan-2026 rates'!$E:$F,2,0)))</f>
        <v>0</v>
      </c>
      <c r="KO351" s="409" t="s">
        <v>1443</v>
      </c>
      <c r="KP351" s="409">
        <v>24</v>
      </c>
      <c r="KQ351" s="411">
        <f t="shared" si="233"/>
        <v>0</v>
      </c>
      <c r="KR351" s="411">
        <f t="shared" si="234"/>
        <v>114.2948717948718</v>
      </c>
      <c r="KS351" s="410">
        <f t="shared" si="235"/>
        <v>0</v>
      </c>
      <c r="KT351" s="409">
        <v>10</v>
      </c>
      <c r="KU351" s="409">
        <v>5</v>
      </c>
      <c r="KV351" s="409">
        <v>8</v>
      </c>
      <c r="KW351" s="409">
        <v>5</v>
      </c>
      <c r="KX351" s="409">
        <v>5</v>
      </c>
      <c r="KY351" s="409">
        <v>5</v>
      </c>
      <c r="KZ351" s="409">
        <v>5</v>
      </c>
      <c r="LA351" s="409">
        <f>15+20</f>
        <v>35</v>
      </c>
      <c r="LB351" s="415">
        <v>0.8</v>
      </c>
      <c r="LC351" s="415">
        <v>0.2</v>
      </c>
      <c r="LD351" s="424"/>
      <c r="LE351" s="415"/>
      <c r="LF351" s="415"/>
      <c r="LG351" s="409">
        <v>0</v>
      </c>
      <c r="LH351" s="409">
        <f>35+26+48+12</f>
        <v>121</v>
      </c>
      <c r="LI351" s="409">
        <v>0</v>
      </c>
      <c r="LJ351" s="409">
        <v>0</v>
      </c>
      <c r="LK351" s="416">
        <f t="shared" si="191"/>
        <v>121</v>
      </c>
      <c r="LL351" s="416">
        <f t="shared" si="237"/>
        <v>121</v>
      </c>
      <c r="LM351" s="417">
        <f t="shared" si="193"/>
        <v>96.800000000000011</v>
      </c>
      <c r="LN351" s="417">
        <f>VLOOKUP($LM$8,'Jan-2026 rates'!$H:$I,2,0)</f>
        <v>0</v>
      </c>
      <c r="LO351" s="417">
        <f t="shared" si="194"/>
        <v>24.200000000000003</v>
      </c>
      <c r="LP351" s="417">
        <f>VLOOKUP($LO$8,'Jan-2026 rates'!$H:$I,2,0)</f>
        <v>0</v>
      </c>
      <c r="LQ351" s="417">
        <f t="shared" si="195"/>
        <v>0</v>
      </c>
      <c r="LR351" s="417">
        <f>VLOOKUP($LQ$8,'Jan-2026 rates'!$H:$I,2,0)</f>
        <v>0</v>
      </c>
      <c r="LS351" s="417">
        <f t="shared" si="196"/>
        <v>0</v>
      </c>
      <c r="LT351" s="417">
        <f>VLOOKUP($LS$8,'Jan-2026 rates'!$H:$I,2,0)</f>
        <v>0</v>
      </c>
      <c r="LU351" s="417">
        <f t="shared" si="197"/>
        <v>0</v>
      </c>
      <c r="LV351" s="417">
        <f>VLOOKUP($LU$8,'Jan-2026 rates'!$H:$I,2,0)</f>
        <v>0</v>
      </c>
      <c r="LW351" s="417">
        <f t="shared" si="198"/>
        <v>0</v>
      </c>
      <c r="LX351" s="417">
        <f t="shared" si="199"/>
        <v>0</v>
      </c>
      <c r="LY351" s="418">
        <f t="shared" si="200"/>
        <v>0</v>
      </c>
      <c r="LZ351" s="417"/>
      <c r="MA351" s="435">
        <f t="shared" si="201"/>
        <v>110</v>
      </c>
      <c r="MB351" s="282">
        <f t="shared" si="202"/>
        <v>247.99999999999997</v>
      </c>
      <c r="MC351" s="283">
        <v>194</v>
      </c>
      <c r="MD351" s="284" t="str">
        <f t="shared" si="203"/>
        <v>FLINTSLFLINTSLFLINTSLFLINTSLFLINTSLFLINTSLFLINTSLFLINTSL</v>
      </c>
      <c r="ME351" s="293" t="str">
        <f t="shared" si="204"/>
        <v>+</v>
      </c>
      <c r="MF351" s="293" t="str">
        <f t="shared" si="205"/>
        <v>+</v>
      </c>
      <c r="MG351" s="293" t="str">
        <f t="shared" si="206"/>
        <v>+</v>
      </c>
      <c r="MH351" s="293" t="str">
        <f t="shared" si="207"/>
        <v>+</v>
      </c>
      <c r="MI351" s="293" t="str">
        <f t="shared" si="208"/>
        <v>+</v>
      </c>
      <c r="MJ351" s="293" t="str">
        <f t="shared" si="209"/>
        <v>+</v>
      </c>
      <c r="MK351" s="293" t="str">
        <f t="shared" si="210"/>
        <v>+</v>
      </c>
      <c r="ML351" s="293" t="str">
        <f t="shared" si="211"/>
        <v>+</v>
      </c>
      <c r="MM351" s="3" t="b">
        <f t="array" ref="MM351">OR(ME351:ML351="-")</f>
        <v>0</v>
      </c>
      <c r="MO351" s="401">
        <f t="shared" si="238"/>
        <v>61.386138613861377</v>
      </c>
      <c r="MP351" s="286"/>
      <c r="MR351" s="402">
        <f t="shared" si="239"/>
        <v>1.2525252525252524E-2</v>
      </c>
      <c r="MS351" s="400">
        <f t="shared" si="240"/>
        <v>0</v>
      </c>
      <c r="MT351" s="285"/>
      <c r="NH351" s="361"/>
      <c r="NJ351" s="282"/>
    </row>
    <row r="352" spans="1:374" ht="16.5">
      <c r="A352" s="403">
        <v>46047</v>
      </c>
      <c r="B352" s="404" t="s">
        <v>1018</v>
      </c>
      <c r="C352" s="405" t="s">
        <v>4718</v>
      </c>
      <c r="D352" s="404">
        <v>195</v>
      </c>
      <c r="E352" s="404">
        <v>6267</v>
      </c>
      <c r="F352" s="407">
        <v>322700</v>
      </c>
      <c r="G352" s="407" t="s">
        <v>1019</v>
      </c>
      <c r="H352" s="408" t="s">
        <v>1017</v>
      </c>
      <c r="I352" s="409">
        <v>1.54</v>
      </c>
      <c r="J352" s="405" t="s">
        <v>543</v>
      </c>
      <c r="K352" s="404" t="s">
        <v>4719</v>
      </c>
      <c r="L352" s="419" t="str">
        <f t="shared" si="184"/>
        <v>FLINTSL - BLACK</v>
      </c>
      <c r="M352" s="404">
        <v>29</v>
      </c>
      <c r="N352" s="410">
        <f>IF(M352=0,0,IF($LB352=70%,VLOOKUP($L352,'Jan-2026 rates'!$L:$R,4,0),IF($LB352=65%,VLOOKUP($L352,'Jan-2026 rates'!$L:$R,4,0),IF($LB352=40%,VLOOKUP($L352,'Jan-2026 rates'!$L:$R,5,0),IF($LB352=30%,VLOOKUP($L352,'Jan-2026 rates'!$L:$R,6,0),IF($LB352=100%,VLOOKUP($L352,'Jan-2026 rates'!$L:$R,7,0),IF($LB352=60%,VLOOKUP($L352,'Jan-2026 rates'!$L:$S,8,0),IF($LB352=80%,VLOOKUP($L352,'Jan-2026 rates'!L:T,9,0),0))))))))</f>
        <v>0</v>
      </c>
      <c r="O352" s="406" t="s">
        <v>4720</v>
      </c>
      <c r="P352" s="404">
        <v>30</v>
      </c>
      <c r="Q352" s="410">
        <f>IF(P352=0,0,IF($LB352=70%,VLOOKUP($L352,'Jan-2026 rates'!$L:$R,4,0),IF($LB352=65%,VLOOKUP($L352,'Jan-2026 rates'!$L:$R,4,0),IF($LB352=40%,VLOOKUP($L352,'Jan-2026 rates'!$L:$R,5,0),IF($LB352=30%,VLOOKUP($L352,'Jan-2026 rates'!$L:$R,6,0),IF($LB352=100%,VLOOKUP($L352,'Jan-2026 rates'!$L:$R,7,0),IF($LB352=60%,VLOOKUP($L352,'Jan-2026 rates'!$L:$S,8,0),IF($LB352=80%,VLOOKUP($L352,'Jan-2026 rates'!L:T,9,0),0))))))))</f>
        <v>0</v>
      </c>
      <c r="R352" s="406">
        <v>26526000029</v>
      </c>
      <c r="S352" s="406"/>
      <c r="T352" s="406"/>
      <c r="U352" s="406"/>
      <c r="V352" s="406"/>
      <c r="W352" s="406"/>
      <c r="X352" s="406"/>
      <c r="Y352" s="406"/>
      <c r="Z352" s="404">
        <v>10</v>
      </c>
      <c r="AA352" s="398" t="e">
        <f>IF(Z352=0,0,IF(LEN(R352)=11,_xlfn.XLOOKUP(R352,'Dispensed Ink Rates'!C:C,'Dispensed Ink Rates'!CS:CS),VLOOKUP(R352,'Jan-2026 rates'!$E:$F,2,0)))</f>
        <v>#N/A</v>
      </c>
      <c r="AB352" s="404"/>
      <c r="AC352" s="398">
        <f>IF(AB352=0,0,IF(LEN(S352)=11,_xlfn.XLOOKUP(S352,'Dispensed Ink Rates'!C:C,'Dispensed Ink Rates'!CS:CS),VLOOKUP(S352,'Jan-2026 rates'!$E:$F,2,0)))</f>
        <v>0</v>
      </c>
      <c r="AD352" s="404"/>
      <c r="AE352" s="398">
        <f>IF(AD352=0,0,IF(LEN(T352)=11,_xlfn.XLOOKUP(T352,'Dispensed Ink Rates'!C:C,'Dispensed Ink Rates'!CS:CS),VLOOKUP(T352,'Jan-2026 rates'!$E:$F,2,0)))</f>
        <v>0</v>
      </c>
      <c r="AF352" s="404"/>
      <c r="AG352" s="398">
        <f>IF(AF352=0,0,IF(LEN(U352)=11,_xlfn.XLOOKUP(U352,'Dispensed Ink Rates'!C:C,'Dispensed Ink Rates'!CS:CS),VLOOKUP(U352,'Jan-2026 rates'!$E:$F,2,0)))</f>
        <v>0</v>
      </c>
      <c r="AH352" s="404"/>
      <c r="AI352" s="398">
        <f>IF(AH352=0,0,IF(LEN(V352)=11,_xlfn.XLOOKUP(V352,'Dispensed Ink Rates'!C:C,'Dispensed Ink Rates'!CS:CS),VLOOKUP(V352,'Jan-2026 rates'!$E:$F,2,0)))</f>
        <v>0</v>
      </c>
      <c r="AJ352" s="404"/>
      <c r="AK352" s="398">
        <f>IF(AJ352=0,0,IF(LEN(W352)=11,_xlfn.XLOOKUP(W352,'Dispensed Ink Rates'!C:C,'Dispensed Ink Rates'!CS:CS),VLOOKUP(W352,'Jan-2026 rates'!$E:$F,2,0)))</f>
        <v>0</v>
      </c>
      <c r="AL352" s="404"/>
      <c r="AM352" s="398">
        <f>IF(AL352=0,0,IF(LEN(X352)=11,_xlfn.XLOOKUP(X352,'Dispensed Ink Rates'!C:C,'Dispensed Ink Rates'!CS:CS),VLOOKUP(X352,'Jan-2026 rates'!$E:$F,2,0)))</f>
        <v>0</v>
      </c>
      <c r="AN352" s="404"/>
      <c r="AO352" s="398">
        <f>IF(AN352=0,0,IF(LEN(Y352)=11,_xlfn.XLOOKUP(Y352,'Dispensed Ink Rates'!C:C,'Dispensed Ink Rates'!CS:CS),VLOOKUP(Y352,'Jan-2026 rates'!$E:$F,2,0)))</f>
        <v>0</v>
      </c>
      <c r="AP352" s="409" t="s">
        <v>1443</v>
      </c>
      <c r="AQ352" s="409">
        <v>20</v>
      </c>
      <c r="AR352" s="410">
        <f t="shared" si="212"/>
        <v>0</v>
      </c>
      <c r="AS352" s="411">
        <f t="shared" si="213"/>
        <v>80.25</v>
      </c>
      <c r="AT352" s="410">
        <f t="shared" si="214"/>
        <v>0</v>
      </c>
      <c r="AU352" s="405" t="s">
        <v>546</v>
      </c>
      <c r="AV352" s="409" t="s">
        <v>4721</v>
      </c>
      <c r="AW352" s="420" t="str">
        <f t="shared" si="236"/>
        <v>FLINTSL - REFLEX BLUE</v>
      </c>
      <c r="AX352" s="409">
        <v>10</v>
      </c>
      <c r="AY352" s="411">
        <f>IF(AX352=0,0,IF($LB352=70%,VLOOKUP($AW352,'Jan-2026 rates'!$L:$R,4,0),IF($LB352=65%,VLOOKUP($AW352,'Jan-2026 rates'!$L:$R,4,0),IF($LB352=40%,VLOOKUP($AW352,'Jan-2026 rates'!$L:$R,5,0),IF($LB352=30%,VLOOKUP($AW352,'Jan-2026 rates'!$L:$R,6,0),IF($LB352=100%,VLOOKUP($AW352,'Jan-2026 rates'!$L:$R,7,0),IF($LB352=60%,VLOOKUP($AW352,'Jan-2026 rates'!$L:$S,8,0),IF($LB352=80%,VLOOKUP($AW352,'Jan-2026 rates'!L:T,9,0),0))))))))</f>
        <v>0</v>
      </c>
      <c r="AZ352" s="412"/>
      <c r="BA352" s="409"/>
      <c r="BB352" s="411">
        <f>IF(BA352=0,0,IF($LB352=70%,VLOOKUP($AW352,'Jan-2026 rates'!$L:$R,4,0),IF($LB352=65%,VLOOKUP($AW352,'Jan-2026 rates'!$L:$R,4,0),IF($LB352=40%,VLOOKUP($AW352,'Jan-2026 rates'!$L:$R,5,0),IF($LB352=30%,VLOOKUP($AW352,'Jan-2026 rates'!$L:$R,6,0),IF($LB352=100%,VLOOKUP($AW352,'Jan-2026 rates'!$L:$R,7,0),IF($LB352=60%,VLOOKUP($AW352,'Jan-2026 rates'!$L:$S,8,0),IF($LB352=80%,VLOOKUP($AW352,'Jan-2026 rates'!L:T,9,0),0))))))))</f>
        <v>0</v>
      </c>
      <c r="BC352" s="413">
        <v>26525000006</v>
      </c>
      <c r="BD352" s="412">
        <v>26524000018</v>
      </c>
      <c r="BE352" s="412"/>
      <c r="BF352" s="413"/>
      <c r="BG352" s="412"/>
      <c r="BH352" s="412"/>
      <c r="BI352" s="412"/>
      <c r="BJ352" s="412"/>
      <c r="BK352" s="409">
        <f>10+3</f>
        <v>13</v>
      </c>
      <c r="BL352" s="398" t="e">
        <f>IF(BK352=0,0,IF(LEN(BC352)=11,_xlfn.XLOOKUP(BC352,'Dispensed Ink Rates'!C:C,'Dispensed Ink Rates'!CS:CS),VLOOKUP(BC352,'Jan-2026 rates'!$E:$F,2,0)))</f>
        <v>#N/A</v>
      </c>
      <c r="BM352" s="409">
        <f>10+10</f>
        <v>20</v>
      </c>
      <c r="BN352" s="398" t="e">
        <f>IF(BM352=0,0,IF(LEN(BD352)=11,_xlfn.XLOOKUP(BD352,'Dispensed Ink Rates'!C:C,'Dispensed Ink Rates'!CS:CS),VLOOKUP(BD352,'Jan-2026 rates'!$E:$F,2,0)))</f>
        <v>#N/A</v>
      </c>
      <c r="BO352" s="409"/>
      <c r="BP352" s="398">
        <f>IF(BO352=0,0,IF(LEN(BE352)=11,_xlfn.XLOOKUP(BE352,'Dispensed Ink Rates'!C:C,'Dispensed Ink Rates'!CS:CS),VLOOKUP(BE352,'Jan-2026 rates'!$E:$F,2,0)))</f>
        <v>0</v>
      </c>
      <c r="BQ352" s="409"/>
      <c r="BR352" s="398">
        <f>IF(BQ352=0,0,IF(LEN(BF352)=11,_xlfn.XLOOKUP(BF352,'Dispensed Ink Rates'!C:C,'Dispensed Ink Rates'!CS:CS),VLOOKUP(BF352,'Jan-2026 rates'!$E:$F,2,0)))</f>
        <v>0</v>
      </c>
      <c r="BS352" s="409"/>
      <c r="BT352" s="398">
        <f>IF(BS352=0,0,IF(LEN(BG352)=11,_xlfn.XLOOKUP(BG352,'Dispensed Ink Rates'!C:C,'Dispensed Ink Rates'!CS:CS),VLOOKUP(BG352,'Jan-2026 rates'!$E:$F,2,0)))</f>
        <v>0</v>
      </c>
      <c r="BU352" s="409"/>
      <c r="BV352" s="398">
        <f>IF(BU352=0,0,IF(LEN(BH352)=11,_xlfn.XLOOKUP(BH352,'Dispensed Ink Rates'!C:C,'Dispensed Ink Rates'!CS:CS),VLOOKUP(BH352,'Jan-2026 rates'!$E:$F,2,0)))</f>
        <v>0</v>
      </c>
      <c r="BW352" s="409"/>
      <c r="BX352" s="398">
        <f>IF(BW352=0,0,IF(LEN(BI352)=11,_xlfn.XLOOKUP(BI352,'Dispensed Ink Rates'!C:C,'Dispensed Ink Rates'!CS:CS),VLOOKUP(BI352,'Jan-2026 rates'!$E:$F,2,0)))</f>
        <v>0</v>
      </c>
      <c r="BY352" s="409"/>
      <c r="BZ352" s="398">
        <f>IF(BY352=0,0,IF(LEN(BJ352)=11,_xlfn.XLOOKUP(BJ352,'Dispensed Ink Rates'!C:C,'Dispensed Ink Rates'!CS:CS),VLOOKUP(BJ352,'Jan-2026 rates'!$E:$F,2,0)))</f>
        <v>0</v>
      </c>
      <c r="CA352" s="409" t="s">
        <v>1443</v>
      </c>
      <c r="CB352" s="409">
        <v>22</v>
      </c>
      <c r="CC352" s="411">
        <f t="shared" si="215"/>
        <v>0</v>
      </c>
      <c r="CD352" s="411">
        <f t="shared" si="216"/>
        <v>55.375</v>
      </c>
      <c r="CE352" s="410">
        <f t="shared" si="217"/>
        <v>0</v>
      </c>
      <c r="CF352" s="404" t="s">
        <v>857</v>
      </c>
      <c r="CG352" s="409"/>
      <c r="CH352" s="420"/>
      <c r="CI352" s="409"/>
      <c r="CJ352" s="411">
        <f>IF(CI352=0,0,IF($LB352=70%,VLOOKUP($CH352,'Jan-2026 rates'!$L:$R,4,0),IF($LB352=65%,VLOOKUP($CH352,'Jan-2026 rates'!$L:$R,4,0),IF($LB352=40%,VLOOKUP($CH352,'Jan-2026 rates'!$L:$R,5,0),IF($LB352=30%,VLOOKUP($CH352,'Jan-2026 rates'!$L:$R,6,0),IF($LB352=100%,VLOOKUP($CH352,'Jan-2026 rates'!$L:$R,7,0),IF($LB352=60%,VLOOKUP($CH352,'Jan-2026 rates'!$L:$S,8,0),IF($LB352=80%,VLOOKUP($CH352,'Jan-2026 rates'!L:T,9,0),0))))))))</f>
        <v>0</v>
      </c>
      <c r="CK352" s="412"/>
      <c r="CL352" s="409"/>
      <c r="CM352" s="411">
        <f>IF(CL352=0,0,IF($LB352=70%,VLOOKUP($CH352,'Jan-2026 rates'!$L:$R,4,0),IF($LB352=65%,VLOOKUP($CH352,'Jan-2026 rates'!$L:$R,4,0),IF($LB352=40%,VLOOKUP($CH352,'Jan-2026 rates'!$L:$R,5,0),IF($LB352=30%,VLOOKUP($CH352,'Jan-2026 rates'!$L:$R,6,0),IF($LB352=100%,VLOOKUP($CH352,'Jan-2026 rates'!$L:$R,7,0),IF($LB352=60%,VLOOKUP($CH352,'Jan-2026 rates'!$L:$S,8,0),IF($LB352=80%,VLOOKUP($CH352,'Jan-2026 rates'!L:T,9,0),0))))))))</f>
        <v>0</v>
      </c>
      <c r="CN352" s="426">
        <v>26525000013</v>
      </c>
      <c r="CO352" s="427">
        <v>26525000010</v>
      </c>
      <c r="CP352" s="426">
        <v>26525000009</v>
      </c>
      <c r="CQ352" s="426">
        <v>26525000007</v>
      </c>
      <c r="CR352" s="428">
        <v>26527000022</v>
      </c>
      <c r="CS352" s="428">
        <v>26527000012</v>
      </c>
      <c r="CT352" s="428">
        <v>26526000012</v>
      </c>
      <c r="CU352" s="428">
        <v>26526000008</v>
      </c>
      <c r="CV352" s="409">
        <v>40</v>
      </c>
      <c r="CW352" s="398" t="e">
        <f>IF(CV352=0,0,IF(LEN(CN352)=11,_xlfn.XLOOKUP(CN352,'Dispensed Ink Rates'!C:C,'Dispensed Ink Rates'!CS:CS),VLOOKUP(CN352,'Jan-2026 rates'!$E:$F,2,0)))</f>
        <v>#N/A</v>
      </c>
      <c r="CX352" s="409">
        <v>30</v>
      </c>
      <c r="CY352" s="398" t="e">
        <f>IF(CX352=0,0,IF(LEN(CO352)=11,_xlfn.XLOOKUP(CO352,'Dispensed Ink Rates'!C:C,'Dispensed Ink Rates'!CS:CS),VLOOKUP(CO352,'Jan-2026 rates'!$E:$F,2,0)))</f>
        <v>#N/A</v>
      </c>
      <c r="CZ352" s="409">
        <v>40</v>
      </c>
      <c r="DA352" s="398" t="e">
        <f>IF(CZ352=0,0,IF(LEN(CP352)=11,_xlfn.XLOOKUP(CP352,'Dispensed Ink Rates'!C:C,'Dispensed Ink Rates'!CS:CS),VLOOKUP(CP352,'Jan-2026 rates'!$E:$F,2,0)))</f>
        <v>#N/A</v>
      </c>
      <c r="DB352" s="409">
        <v>40</v>
      </c>
      <c r="DC352" s="398" t="e">
        <f>IF(DB352=0,0,IF(LEN(CQ352)=11,_xlfn.XLOOKUP(CQ352,'Dispensed Ink Rates'!C:C,'Dispensed Ink Rates'!CS:CS),VLOOKUP(CQ352,'Jan-2026 rates'!$E:$F,2,0)))</f>
        <v>#N/A</v>
      </c>
      <c r="DD352" s="409">
        <f>20+6</f>
        <v>26</v>
      </c>
      <c r="DE352" s="398" t="e">
        <f>IF(DD352=0,0,IF(LEN(CR352)=11,_xlfn.XLOOKUP(CR352,'Dispensed Ink Rates'!C:C,'Dispensed Ink Rates'!CS:CS),VLOOKUP(CR352,'Jan-2026 rates'!$E:$F,2,0)))</f>
        <v>#N/A</v>
      </c>
      <c r="DF352" s="409">
        <f>20+10</f>
        <v>30</v>
      </c>
      <c r="DG352" s="398" t="e">
        <f>IF(DF352=0,0,IF(LEN(CS352)=11,_xlfn.XLOOKUP(CS352,'Dispensed Ink Rates'!C:C,'Dispensed Ink Rates'!CS:CS),VLOOKUP(CS352,'Jan-2026 rates'!$E:$F,2,0)))</f>
        <v>#N/A</v>
      </c>
      <c r="DH352" s="409">
        <v>100</v>
      </c>
      <c r="DI352" s="398" t="e">
        <f>IF(DH352=0,0,IF(LEN(CT352)=11,_xlfn.XLOOKUP(CT352,'Dispensed Ink Rates'!C:C,'Dispensed Ink Rates'!CS:CS),VLOOKUP(CT352,'Jan-2026 rates'!$E:$F,2,0)))</f>
        <v>#N/A</v>
      </c>
      <c r="DJ352" s="409">
        <v>50</v>
      </c>
      <c r="DK352" s="398" t="e">
        <f>IF(DJ352=0,0,IF(LEN(CU352)=11,_xlfn.XLOOKUP(CU352,'Dispensed Ink Rates'!C:C,'Dispensed Ink Rates'!CS:CS),VLOOKUP(CU352,'Jan-2026 rates'!$E:$F,2,0)))</f>
        <v>#N/A</v>
      </c>
      <c r="DL352" s="409" t="s">
        <v>1443</v>
      </c>
      <c r="DM352" s="409">
        <v>35</v>
      </c>
      <c r="DN352" s="411">
        <f t="shared" si="218"/>
        <v>0</v>
      </c>
      <c r="DO352" s="411">
        <f t="shared" si="219"/>
        <v>352.25</v>
      </c>
      <c r="DP352" s="410">
        <f t="shared" si="220"/>
        <v>0</v>
      </c>
      <c r="DQ352" s="405" t="s">
        <v>547</v>
      </c>
      <c r="DR352" s="409" t="s">
        <v>4722</v>
      </c>
      <c r="DS352" s="420" t="str">
        <f t="shared" si="186"/>
        <v>FLINTSL - GREEN</v>
      </c>
      <c r="DT352" s="409">
        <v>30</v>
      </c>
      <c r="DU352" s="411">
        <f>IF(DT352=0,0,IF($LB352=70%,VLOOKUP($DS352,'Jan-2026 rates'!$L:$R,4,0),IF($LB352=65%,VLOOKUP($DS352,'Jan-2026 rates'!$L:$R,4,0),IF($LB352=40%,VLOOKUP($DS352,'Jan-2026 rates'!$L:$R,5,0),IF($LB352=30%,VLOOKUP($DS352,'Jan-2026 rates'!$L:$R,6,0),IF($LB352=100%,VLOOKUP($DS352,'Jan-2026 rates'!$L:$R,7,0),IF($LB352=60%,VLOOKUP($DS352,'Jan-2026 rates'!$L:$S,8,0),IF($LB352=80%,VLOOKUP($DS352,'Jan-2026 rates'!L:T,9,0),0))))))))</f>
        <v>0</v>
      </c>
      <c r="DV352" s="412"/>
      <c r="DW352" s="409"/>
      <c r="DX352" s="411">
        <f>IF(DW352=0,0,IF($LB352=70%,VLOOKUP($DS352,'Jan-2026 rates'!$L:$R,4,0),IF($LB352=65%,VLOOKUP($DS352,'Jan-2026 rates'!$L:$R,4,0),IF($LB352=40%,VLOOKUP($DS352,'Jan-2026 rates'!$L:$R,5,0),IF($LB352=30%,VLOOKUP($DS352,'Jan-2026 rates'!$L:$R,6,0),IF($LB352=100%,VLOOKUP($DS352,'Jan-2026 rates'!$L:$R,7,0),IF($LB352=60%,VLOOKUP($DS352,'Jan-2026 rates'!$L:$S,8,0),IF($LB352=80%,VLOOKUP($DS352,'Jan-2026 rates'!L:T,9,0),0))))))))</f>
        <v>0</v>
      </c>
      <c r="DY352" s="413">
        <v>26526000029</v>
      </c>
      <c r="DZ352" s="413">
        <v>26523000028</v>
      </c>
      <c r="EA352" s="412"/>
      <c r="EB352" s="412"/>
      <c r="EC352" s="412"/>
      <c r="ED352" s="412"/>
      <c r="EE352" s="412"/>
      <c r="EF352" s="412"/>
      <c r="EG352" s="409">
        <v>1</v>
      </c>
      <c r="EH352" s="398" t="e">
        <f>IF(EG352=0,0,IF(LEN(DY352)=11,_xlfn.XLOOKUP(DY352,'Dispensed Ink Rates'!C:C,'Dispensed Ink Rates'!CS:CS),VLOOKUP(DY352,'Jan-2026 rates'!$E:$F,2,0)))</f>
        <v>#N/A</v>
      </c>
      <c r="EI352" s="409">
        <v>2</v>
      </c>
      <c r="EJ352" s="398" t="e">
        <f>IF(EI352=0,0,IF(LEN(DZ352)=11,_xlfn.XLOOKUP(DZ352,'Dispensed Ink Rates'!C:C,'Dispensed Ink Rates'!CS:CS),VLOOKUP(DZ352,'Jan-2026 rates'!$E:$F,2,0)))</f>
        <v>#N/A</v>
      </c>
      <c r="EK352" s="409"/>
      <c r="EL352" s="398">
        <f>IF(EK352=0,0,IF(LEN(EA352)=11,_xlfn.XLOOKUP(EA352,'Dispensed Ink Rates'!C:C,'Dispensed Ink Rates'!CS:CS),VLOOKUP(EA352,'Jan-2026 rates'!$E:$F,2,0)))</f>
        <v>0</v>
      </c>
      <c r="EM352" s="409"/>
      <c r="EN352" s="398">
        <f>IF(EM352=0,0,IF(LEN(EB352)=11,_xlfn.XLOOKUP(EB352,'Dispensed Ink Rates'!C:C,'Dispensed Ink Rates'!CS:CS),VLOOKUP(EB352,'Jan-2026 rates'!$E:$F,2,0)))</f>
        <v>0</v>
      </c>
      <c r="EO352" s="409"/>
      <c r="EP352" s="398">
        <f>IF(EO352=0,0,IF(LEN(EC352)=11,_xlfn.XLOOKUP(EC352,'Dispensed Ink Rates'!C:C,'Dispensed Ink Rates'!CS:CS),VLOOKUP(EC352,'Jan-2026 rates'!$E:$F,2,0)))</f>
        <v>0</v>
      </c>
      <c r="EQ352" s="409"/>
      <c r="ER352" s="398">
        <f>IF(EQ352=0,0,IF(LEN(ED352)=11,_xlfn.XLOOKUP(ED352,'Dispensed Ink Rates'!C:C,'Dispensed Ink Rates'!CS:CS),VLOOKUP(ED352,'Jan-2026 rates'!$E:$F,2,0)))</f>
        <v>0</v>
      </c>
      <c r="ES352" s="409"/>
      <c r="ET352" s="398">
        <f>IF(ES352=0,0,IF(LEN(EE352)=11,_xlfn.XLOOKUP(EE352,'Dispensed Ink Rates'!C:C,'Dispensed Ink Rates'!CS:CS),VLOOKUP(EE352,'Jan-2026 rates'!$E:$F,2,0)))</f>
        <v>0</v>
      </c>
      <c r="EU352" s="409"/>
      <c r="EV352" s="398">
        <f>IF(EU352=0,0,IF(LEN(EF352)=11,_xlfn.XLOOKUP(EF352,'Dispensed Ink Rates'!C:C,'Dispensed Ink Rates'!CS:CS),VLOOKUP(EF352,'Jan-2026 rates'!$E:$F,2,0)))</f>
        <v>0</v>
      </c>
      <c r="EW352" s="409" t="s">
        <v>1443</v>
      </c>
      <c r="EX352" s="409">
        <v>28</v>
      </c>
      <c r="EY352" s="411">
        <f t="shared" si="221"/>
        <v>0</v>
      </c>
      <c r="EZ352" s="411">
        <f t="shared" si="222"/>
        <v>14.375</v>
      </c>
      <c r="FA352" s="410">
        <f t="shared" si="223"/>
        <v>0</v>
      </c>
      <c r="FB352" s="405" t="s">
        <v>855</v>
      </c>
      <c r="FC352" s="409" t="s">
        <v>4723</v>
      </c>
      <c r="FD352" s="420" t="str">
        <f t="shared" si="187"/>
        <v>FLINTSL - CYAN</v>
      </c>
      <c r="FE352" s="409">
        <v>31</v>
      </c>
      <c r="FF352" s="411">
        <f>IF(FE352=0,0,IF($LB352=70%,VLOOKUP($FD352,'Jan-2026 rates'!$L:$R,4,0),IF($LB352=65%,VLOOKUP($FD352,'Jan-2026 rates'!$L:$R,4,0),IF($LB352=40%,VLOOKUP($FD352,'Jan-2026 rates'!$L:$R,5,0),IF($LB352=30%,VLOOKUP($FD352,'Jan-2026 rates'!$L:$R,6,0),IF($LB352=100%,VLOOKUP($FD352,'Jan-2026 rates'!$L:$R,7,0),IF($LB352=60%,VLOOKUP($FD352,'Jan-2026 rates'!$L:$S,8,0),IF($LB352=80%,VLOOKUP($FD352,'Jan-2026 rates'!L:T,9,0),0))))))))</f>
        <v>0</v>
      </c>
      <c r="FG352" s="412" t="s">
        <v>4724</v>
      </c>
      <c r="FH352" s="409">
        <v>25</v>
      </c>
      <c r="FI352" s="411">
        <f>IF(FH352=0,0,IF($LB352=70%,VLOOKUP($FD352,'Jan-2026 rates'!$L:$R,4,0),IF($LB352=65%,VLOOKUP($FD352,'Jan-2026 rates'!$L:$R,4,0),IF($LB352=40%,VLOOKUP($FD352,'Jan-2026 rates'!$L:$R,5,0),IF($LB352=30%,VLOOKUP($FD352,'Jan-2026 rates'!$L:$R,6,0),IF($LB352=100%,VLOOKUP($FD352,'Jan-2026 rates'!$L:$R,7,0),IF($LB352=60%,VLOOKUP($FD352,'Jan-2026 rates'!$L:$S,8,0),IF($LB352=80%,VLOOKUP($FD352,'Jan-2026 rates'!L:T,9,0),0))))))))</f>
        <v>0</v>
      </c>
      <c r="FJ352" s="413">
        <v>26523000028</v>
      </c>
      <c r="FK352" s="413"/>
      <c r="FL352" s="413"/>
      <c r="FM352" s="412"/>
      <c r="FN352" s="412"/>
      <c r="FO352" s="412"/>
      <c r="FP352" s="412"/>
      <c r="FQ352" s="412"/>
      <c r="FR352" s="409">
        <v>10</v>
      </c>
      <c r="FS352" s="398" t="e">
        <f>IF(FR352=0,0,IF(LEN(FJ352)=11,_xlfn.XLOOKUP(FJ352,'Dispensed Ink Rates'!C:C,'Dispensed Ink Rates'!CS:CS),VLOOKUP(FJ352,'Jan-2026 rates'!$E:$F,2,0)))</f>
        <v>#N/A</v>
      </c>
      <c r="FT352" s="409"/>
      <c r="FU352" s="398">
        <f>IF(FT352=0,0,IF(LEN(FK352)=11,_xlfn.XLOOKUP(FK352,'Dispensed Ink Rates'!C:C,'Dispensed Ink Rates'!CS:CS),VLOOKUP(FK352,'Jan-2026 rates'!$E:$F,2,0)))</f>
        <v>0</v>
      </c>
      <c r="FV352" s="409"/>
      <c r="FW352" s="398">
        <f>IF(FV352=0,0,IF(LEN(FL352)=11,_xlfn.XLOOKUP(FL352,'Dispensed Ink Rates'!C:C,'Dispensed Ink Rates'!CS:CS),VLOOKUP(FL352,'Jan-2026 rates'!$E:$F,2,0)))</f>
        <v>0</v>
      </c>
      <c r="FX352" s="409"/>
      <c r="FY352" s="398">
        <f>IF(FX352=0,0,IF(LEN(FM352)=11,_xlfn.XLOOKUP(FM352,'Dispensed Ink Rates'!C:C,'Dispensed Ink Rates'!CS:CS),VLOOKUP(FM352,'Jan-2026 rates'!$E:$F,2,0)))</f>
        <v>0</v>
      </c>
      <c r="FZ352" s="409"/>
      <c r="GA352" s="398">
        <f>IF(FZ352=0,0,IF(LEN(FN352)=11,_xlfn.XLOOKUP(FN352,'Dispensed Ink Rates'!C:C,'Dispensed Ink Rates'!CS:CS),VLOOKUP(FN352,'Jan-2026 rates'!$E:$F,2,0)))</f>
        <v>0</v>
      </c>
      <c r="GB352" s="409"/>
      <c r="GC352" s="398">
        <f>IF(GB352=0,0,IF(LEN(FO352)=11,_xlfn.XLOOKUP(FO352,'Dispensed Ink Rates'!C:C,'Dispensed Ink Rates'!CS:CS),VLOOKUP(FO352,'Jan-2026 rates'!$E:$F,2,0)))</f>
        <v>0</v>
      </c>
      <c r="GD352" s="409"/>
      <c r="GE352" s="398">
        <f>IF(GD352=0,0,IF(LEN(FP352)=11,_xlfn.XLOOKUP(FP352,'Dispensed Ink Rates'!C:C,'Dispensed Ink Rates'!CS:CS),VLOOKUP(FP352,'Jan-2026 rates'!$E:$F,2,0)))</f>
        <v>0</v>
      </c>
      <c r="GF352" s="409"/>
      <c r="GG352" s="398">
        <f>IF(GF352=0,0,IF(LEN(FQ352)=11,_xlfn.XLOOKUP(FQ352,'Dispensed Ink Rates'!C:C,'Dispensed Ink Rates'!CS:CS),VLOOKUP(FQ352,'Jan-2026 rates'!$E:$F,2,0)))</f>
        <v>0</v>
      </c>
      <c r="GH352" s="409" t="s">
        <v>1443</v>
      </c>
      <c r="GI352" s="409">
        <v>25</v>
      </c>
      <c r="GJ352" s="411">
        <f t="shared" si="224"/>
        <v>0</v>
      </c>
      <c r="GK352" s="411">
        <f t="shared" si="225"/>
        <v>72.25</v>
      </c>
      <c r="GL352" s="410">
        <f t="shared" si="226"/>
        <v>0</v>
      </c>
      <c r="GM352" s="405" t="s">
        <v>544</v>
      </c>
      <c r="GN352" s="409" t="s">
        <v>4725</v>
      </c>
      <c r="GO352" s="420" t="str">
        <f t="shared" si="188"/>
        <v>FLINTSL - MAGENTA</v>
      </c>
      <c r="GP352" s="409">
        <v>30</v>
      </c>
      <c r="GQ352" s="411">
        <f>IF(GP352=0,0,IF($LB352=70%,VLOOKUP($GO352,'Jan-2026 rates'!$L:$R,4,0),IF($LB352=65%,VLOOKUP($GO352,'Jan-2026 rates'!$L:$R,4,0),IF($LB352=40%,VLOOKUP($GO352,'Jan-2026 rates'!$L:$R,5,0),IF($LB352=30%,VLOOKUP($GO352,'Jan-2026 rates'!$L:$R,6,0),IF($LB352=100%,VLOOKUP($GO352,'Jan-2026 rates'!$L:$R,7,0),IF($LB352=60%,VLOOKUP($GO352,'Jan-2026 rates'!$L:$S,8,0),IF($LB352=80%,VLOOKUP($GO352,'Jan-2026 rates'!L:T,9,0),0))))))))</f>
        <v>0</v>
      </c>
      <c r="GR352" s="412"/>
      <c r="GS352" s="409"/>
      <c r="GT352" s="411">
        <f>IF(GS352=0,0,IF($LB352=70%,VLOOKUP($GO352,'Jan-2026 rates'!$L:$R,4,0),IF($LB352=65%,VLOOKUP($GO352,'Jan-2026 rates'!$L:$R,4,0),IF($LB352=40%,VLOOKUP($GO352,'Jan-2026 rates'!$L:$R,5,0),IF($LB352=30%,VLOOKUP($GO352,'Jan-2026 rates'!$L:$R,6,0),IF($LB352=100%,VLOOKUP($GO352,'Jan-2026 rates'!$L:$R,7,0),IF($LB352=60%,VLOOKUP($GO352,'Jan-2026 rates'!$L:$S,8,0),IF($LB352=80%,VLOOKUP($GO352,'Jan-2026 rates'!L:T,9,0),0))))))))</f>
        <v>0</v>
      </c>
      <c r="GU352" s="413">
        <v>26527000022</v>
      </c>
      <c r="GV352" s="413" t="s">
        <v>1266</v>
      </c>
      <c r="GW352" s="412"/>
      <c r="GX352" s="412"/>
      <c r="GY352" s="412"/>
      <c r="GZ352" s="412"/>
      <c r="HA352" s="412"/>
      <c r="HB352" s="412"/>
      <c r="HC352" s="409">
        <f>10+15</f>
        <v>25</v>
      </c>
      <c r="HD352" s="398" t="e">
        <f>IF(HC352=0,0,IF(LEN(GU352)=11,_xlfn.XLOOKUP(GU352,'Dispensed Ink Rates'!C:C,'Dispensed Ink Rates'!CS:CS),VLOOKUP(GU352,'Jan-2026 rates'!$E:$F,2,0)))</f>
        <v>#N/A</v>
      </c>
      <c r="HE352" s="409">
        <f>6+8</f>
        <v>14</v>
      </c>
      <c r="HF352" s="398">
        <f>IF(HE352=0,0,IF(LEN(GV352)=11,_xlfn.XLOOKUP(GV352,'Dispensed Ink Rates'!C:C,'Dispensed Ink Rates'!CS:CS),VLOOKUP(GV352,'Jan-2026 rates'!$E:$F,2,0)))</f>
        <v>0</v>
      </c>
      <c r="HG352" s="409"/>
      <c r="HH352" s="398">
        <f>IF(HG352=0,0,IF(LEN(GW352)=11,_xlfn.XLOOKUP(GW352,'Dispensed Ink Rates'!C:C,'Dispensed Ink Rates'!CS:CS),VLOOKUP(GW352,'Jan-2026 rates'!$E:$F,2,0)))</f>
        <v>0</v>
      </c>
      <c r="HI352" s="409"/>
      <c r="HJ352" s="398">
        <f>IF(HI352=0,0,IF(LEN(GX352)=11,_xlfn.XLOOKUP(GX352,'Dispensed Ink Rates'!C:C,'Dispensed Ink Rates'!CS:CS),VLOOKUP(GX352,'Jan-2026 rates'!$E:$F,2,0)))</f>
        <v>0</v>
      </c>
      <c r="HK352" s="409"/>
      <c r="HL352" s="398">
        <f>IF(HK352=0,0,IF(LEN(GY352)=11,_xlfn.XLOOKUP(GY352,'Dispensed Ink Rates'!C:C,'Dispensed Ink Rates'!CS:CS),VLOOKUP(GY352,'Jan-2026 rates'!$E:$F,2,0)))</f>
        <v>0</v>
      </c>
      <c r="HM352" s="409"/>
      <c r="HN352" s="398">
        <f>IF(HM352=0,0,IF(LEN(GZ352)=11,_xlfn.XLOOKUP(GZ352,'Dispensed Ink Rates'!C:C,'Dispensed Ink Rates'!CS:CS),VLOOKUP(GZ352,'Jan-2026 rates'!$E:$F,2,0)))</f>
        <v>0</v>
      </c>
      <c r="HO352" s="409"/>
      <c r="HP352" s="398">
        <f>IF(HO352=0,0,IF(LEN(HA352)=11,_xlfn.XLOOKUP(HA352,'Dispensed Ink Rates'!C:C,'Dispensed Ink Rates'!CS:CS),VLOOKUP(HA352,'Jan-2026 rates'!$E:$F,2,0)))</f>
        <v>0</v>
      </c>
      <c r="HQ352" s="409"/>
      <c r="HR352" s="398">
        <f>IF(HQ352=0,0,IF(LEN(HB352)=11,_xlfn.XLOOKUP(HB352,'Dispensed Ink Rates'!C:C,'Dispensed Ink Rates'!CS:CS),VLOOKUP(HB352,'Jan-2026 rates'!$E:$F,2,0)))</f>
        <v>0</v>
      </c>
      <c r="HS352" s="409" t="s">
        <v>1443</v>
      </c>
      <c r="HT352" s="409">
        <v>24</v>
      </c>
      <c r="HU352" s="411">
        <f t="shared" si="227"/>
        <v>0</v>
      </c>
      <c r="HV352" s="411">
        <f t="shared" si="228"/>
        <v>107.5</v>
      </c>
      <c r="HW352" s="414">
        <f t="shared" si="229"/>
        <v>0</v>
      </c>
      <c r="HX352" s="405" t="s">
        <v>545</v>
      </c>
      <c r="HY352" s="409" t="s">
        <v>4726</v>
      </c>
      <c r="HZ352" s="420" t="str">
        <f t="shared" si="189"/>
        <v>FLINTSL - YELLOW</v>
      </c>
      <c r="IA352" s="409">
        <v>24</v>
      </c>
      <c r="IB352" s="411">
        <f>IF(IA352=0,0,IF($LB352=70%,VLOOKUP($HZ352,'Jan-2026 rates'!$L:$R,4,0),IF($LB352=65%,VLOOKUP($HZ352,'Jan-2026 rates'!$L:$R,4,0),IF($LB352=40%,VLOOKUP($HZ352,'Jan-2026 rates'!$L:$R,5,0),IF($LB352=30%,VLOOKUP($HZ352,'Jan-2026 rates'!$L:$R,6,0),IF($LB352=100%,VLOOKUP($HZ352,'Jan-2026 rates'!$L:$R,7,0),IF($LB352=60%,VLOOKUP($HZ352,'Jan-2026 rates'!$L:$S,8,0),IF($LB352=80%,VLOOKUP($HZ352,'Jan-2026 rates'!L:T,9,0),0))))))))</f>
        <v>0</v>
      </c>
      <c r="IC352" s="412" t="s">
        <v>4727</v>
      </c>
      <c r="ID352" s="409">
        <v>32</v>
      </c>
      <c r="IE352" s="411">
        <f>IF(ID352=0,0,IF($LB352=70%,VLOOKUP($HZ352,'Jan-2026 rates'!$L:$R,4,0),IF($LB352=65%,VLOOKUP($HZ352,'Jan-2026 rates'!$L:$R,4,0),IF($LB352=40%,VLOOKUP($HZ352,'Jan-2026 rates'!$L:$R,5,0),IF($LB352=30%,VLOOKUP($HZ352,'Jan-2026 rates'!$L:$R,6,0),IF($LB352=100%,VLOOKUP($HZ352,'Jan-2026 rates'!$L:$R,7,0),IF($LB352=60%,VLOOKUP($HZ352,'Jan-2026 rates'!$L:$S,8,0),IF($LB352=80%,VLOOKUP($HZ352,'Jan-2026 rates'!L:T,9,0),0))))))))</f>
        <v>0</v>
      </c>
      <c r="IF352" s="412">
        <v>26525000008</v>
      </c>
      <c r="IG352" s="413">
        <v>26527000009</v>
      </c>
      <c r="IH352" s="412" t="s">
        <v>1266</v>
      </c>
      <c r="II352" s="412">
        <v>26525000021</v>
      </c>
      <c r="IJ352" s="412">
        <v>26525000019</v>
      </c>
      <c r="IK352" s="412">
        <v>26526000004</v>
      </c>
      <c r="IL352" s="412">
        <v>26526000016</v>
      </c>
      <c r="IM352" s="412">
        <v>26526000013</v>
      </c>
      <c r="IN352" s="409">
        <v>40</v>
      </c>
      <c r="IO352" s="398" t="e">
        <f>IF(IN352=0,0,IF(LEN(IF352)=11,_xlfn.XLOOKUP(IF352,'Dispensed Ink Rates'!C:C,'Dispensed Ink Rates'!CS:CS),VLOOKUP(IF352,'Jan-2026 rates'!$E:$F,2,0)))</f>
        <v>#N/A</v>
      </c>
      <c r="IP352" s="409">
        <f>6+5</f>
        <v>11</v>
      </c>
      <c r="IQ352" s="398" t="e">
        <f>IF(IP352=0,0,IF(LEN(IG352)=11,_xlfn.XLOOKUP(IG352,'Dispensed Ink Rates'!C:C,'Dispensed Ink Rates'!CS:CS),VLOOKUP(IG352,'Jan-2026 rates'!$E:$F,2,0)))</f>
        <v>#N/A</v>
      </c>
      <c r="IR352" s="409">
        <v>10</v>
      </c>
      <c r="IS352" s="398">
        <f>IF(IR352=0,0,IF(LEN(IH352)=11,_xlfn.XLOOKUP(IH352,'Dispensed Ink Rates'!C:C,'Dispensed Ink Rates'!CS:CS),VLOOKUP(IH352,'Jan-2026 rates'!$E:$F,2,0)))</f>
        <v>0</v>
      </c>
      <c r="IT352" s="409">
        <v>40</v>
      </c>
      <c r="IU352" s="398" t="e">
        <f>IF(IT352=0,0,IF(LEN(II352)=11,_xlfn.XLOOKUP(II352,'Dispensed Ink Rates'!C:C,'Dispensed Ink Rates'!CS:CS),VLOOKUP(II352,'Jan-2026 rates'!$E:$F,2,0)))</f>
        <v>#N/A</v>
      </c>
      <c r="IV352" s="409">
        <v>40</v>
      </c>
      <c r="IW352" s="398" t="e">
        <f>IF(IV352=0,0,IF(LEN(IJ352)=11,_xlfn.XLOOKUP(IJ352,'Dispensed Ink Rates'!C:C,'Dispensed Ink Rates'!CS:CS),VLOOKUP(IJ352,'Jan-2026 rates'!$E:$F,2,0)))</f>
        <v>#N/A</v>
      </c>
      <c r="IX352" s="409">
        <v>40</v>
      </c>
      <c r="IY352" s="398" t="e">
        <f>IF(IX352=0,0,IF(LEN(IK352)=11,_xlfn.XLOOKUP(IK352,'Dispensed Ink Rates'!C:C,'Dispensed Ink Rates'!CS:CS),VLOOKUP(IK352,'Jan-2026 rates'!$E:$F,2,0)))</f>
        <v>#N/A</v>
      </c>
      <c r="IZ352" s="409">
        <v>40</v>
      </c>
      <c r="JA352" s="398" t="e">
        <f>IF(IZ352=0,0,IF(LEN(IL352)=11,_xlfn.XLOOKUP(IL352,'Dispensed Ink Rates'!C:C,'Dispensed Ink Rates'!CS:CS),VLOOKUP(IL352,'Jan-2026 rates'!$E:$F,2,0)))</f>
        <v>#N/A</v>
      </c>
      <c r="JB352" s="409">
        <v>40</v>
      </c>
      <c r="JC352" s="398" t="e">
        <f>IF(JB352=0,0,IF(LEN(IM352)=11,_xlfn.XLOOKUP(IM352,'Dispensed Ink Rates'!C:C,'Dispensed Ink Rates'!CS:CS),VLOOKUP(IM352,'Jan-2026 rates'!$E:$F,2,0)))</f>
        <v>#N/A</v>
      </c>
      <c r="JD352" s="409" t="s">
        <v>1443</v>
      </c>
      <c r="JE352" s="409">
        <v>25</v>
      </c>
      <c r="JF352" s="411">
        <f t="shared" si="230"/>
        <v>0</v>
      </c>
      <c r="JG352" s="411">
        <f t="shared" si="231"/>
        <v>292</v>
      </c>
      <c r="JH352" s="410">
        <f t="shared" si="232"/>
        <v>0</v>
      </c>
      <c r="JI352" s="405" t="s">
        <v>856</v>
      </c>
      <c r="JJ352" s="409" t="s">
        <v>4728</v>
      </c>
      <c r="JK352" s="420" t="str">
        <f t="shared" si="190"/>
        <v>FLINTSL - WHITE</v>
      </c>
      <c r="JL352" s="409">
        <v>24</v>
      </c>
      <c r="JM352" s="411">
        <f>IF(JL352=0,0,IF($LB352=70%,VLOOKUP($JK352,'Jan-2026 rates'!$L:$R,4,0),IF($LB352=65%,VLOOKUP($JK352,'Jan-2026 rates'!$L:$R,4,0),IF($LB352=40%,VLOOKUP($JK352,'Jan-2026 rates'!$L:$R,5,0),IF($LB352=30%,VLOOKUP($JK352,'Jan-2026 rates'!$L:$R,6,0),IF($LB352=100%,VLOOKUP($JK352,'Jan-2026 rates'!$L:$R,7,0),IF($LB352=60%,VLOOKUP($JK352,'Jan-2026 rates'!$L:$S,8,0),IF($LB352=80%,VLOOKUP($JK352,'Jan-2026 rates'!L:T,9,0),0))))))))</f>
        <v>0</v>
      </c>
      <c r="JN352" s="412"/>
      <c r="JO352" s="409"/>
      <c r="JP352" s="411">
        <f>IF(JO352=0,0,IF($LB352=70%,VLOOKUP($JK352,'Jan-2026 rates'!$L:$R,4,0),IF($LB352=65%,VLOOKUP($JK352,'Jan-2026 rates'!$L:$R,4,0),IF($LB352=40%,VLOOKUP($JK352,'Jan-2026 rates'!$L:$R,5,0),IF($LB352=30%,VLOOKUP($JK352,'Jan-2026 rates'!$L:$R,6,0),IF($LB352=100%,VLOOKUP($JK352,'Jan-2026 rates'!$L:$R,7,0),IF($LB352=60%,VLOOKUP($JK352,'Jan-2026 rates'!$L:$S,8,0),IF($LB352=80%,VLOOKUP($JK352,'Jan-2026 rates'!L:T,9,0),0))))))))</f>
        <v>0</v>
      </c>
      <c r="JQ352" s="413" t="s">
        <v>484</v>
      </c>
      <c r="JR352" s="412"/>
      <c r="JS352" s="413"/>
      <c r="JT352" s="413"/>
      <c r="JU352" s="412"/>
      <c r="JV352" s="412"/>
      <c r="JW352" s="412"/>
      <c r="JX352" s="412"/>
      <c r="JY352" s="409">
        <f>100+100+100+200+300</f>
        <v>800</v>
      </c>
      <c r="JZ352" s="398">
        <f>IF(JY352=0,0,IF(LEN(JQ352)=11,_xlfn.XLOOKUP(JQ352,'Dispensed Ink Rates'!C:C,'Dispensed Ink Rates'!CS:CS),VLOOKUP(JQ352,'Jan-2026 rates'!$E:$F,2,0)))</f>
        <v>0</v>
      </c>
      <c r="KA352" s="409"/>
      <c r="KB352" s="398">
        <f>IF(KA352=0,0,IF(LEN(JR352)=11,_xlfn.XLOOKUP(JR352,'Dispensed Ink Rates'!C:C,'Dispensed Ink Rates'!CS:CS),VLOOKUP(JR352,'Jan-2026 rates'!$E:$F,2,0)))</f>
        <v>0</v>
      </c>
      <c r="KC352" s="409"/>
      <c r="KD352" s="398">
        <f>IF(KC352=0,0,IF(LEN(JS352)=11,_xlfn.XLOOKUP(JS352,'Dispensed Ink Rates'!C:C,'Dispensed Ink Rates'!CS:CS),VLOOKUP(JS352,'Jan-2026 rates'!$E:$F,2,0)))</f>
        <v>0</v>
      </c>
      <c r="KE352" s="409"/>
      <c r="KF352" s="398">
        <f>IF(KE352=0,0,IF(LEN(JT352)=11,_xlfn.XLOOKUP(JT352,'Dispensed Ink Rates'!C:C,'Dispensed Ink Rates'!CS:CS),VLOOKUP(JT352,'Jan-2026 rates'!$E:$F,2,0)))</f>
        <v>0</v>
      </c>
      <c r="KG352" s="409"/>
      <c r="KH352" s="398">
        <f>IF(KG352=0,0,IF(LEN(JU352)=11,_xlfn.XLOOKUP(JU352,'Dispensed Ink Rates'!C:C,'Dispensed Ink Rates'!CS:CS),VLOOKUP(JU352,'Jan-2026 rates'!$E:$F,2,0)))</f>
        <v>0</v>
      </c>
      <c r="KI352" s="409"/>
      <c r="KJ352" s="398">
        <f>IF(KI352=0,0,IF(LEN(JV352)=11,_xlfn.XLOOKUP(JV352,'Dispensed Ink Rates'!C:C,'Dispensed Ink Rates'!CS:CS),VLOOKUP(JV352,'Jan-2026 rates'!$E:$F,2,0)))</f>
        <v>0</v>
      </c>
      <c r="KK352" s="409"/>
      <c r="KL352" s="398">
        <f>IF(KK352=0,0,IF(LEN(JW352)=11,_xlfn.XLOOKUP(JW352,'Dispensed Ink Rates'!C:C,'Dispensed Ink Rates'!CS:CS),VLOOKUP(JW352,'Jan-2026 rates'!$E:$F,2,0)))</f>
        <v>0</v>
      </c>
      <c r="KM352" s="428"/>
      <c r="KN352" s="398">
        <f>IF(KM352=0,0,IF(LEN(JX352)=11,_xlfn.XLOOKUP(JX352,'Dispensed Ink Rates'!C:C,'Dispensed Ink Rates'!CS:CS),VLOOKUP(JX352,'Jan-2026 rates'!$E:$F,2,0)))</f>
        <v>0</v>
      </c>
      <c r="KO352" s="409" t="s">
        <v>1443</v>
      </c>
      <c r="KP352" s="409">
        <v>30</v>
      </c>
      <c r="KQ352" s="411">
        <f t="shared" si="233"/>
        <v>0</v>
      </c>
      <c r="KR352" s="411">
        <f t="shared" si="234"/>
        <v>2294</v>
      </c>
      <c r="KS352" s="410">
        <f t="shared" si="235"/>
        <v>0</v>
      </c>
      <c r="KT352" s="409">
        <f>5+5</f>
        <v>10</v>
      </c>
      <c r="KU352" s="409">
        <f>6+5</f>
        <v>11</v>
      </c>
      <c r="KV352" s="409">
        <v>10</v>
      </c>
      <c r="KW352" s="409">
        <v>3</v>
      </c>
      <c r="KX352" s="409">
        <v>10</v>
      </c>
      <c r="KY352" s="409">
        <f>10+10</f>
        <v>20</v>
      </c>
      <c r="KZ352" s="409">
        <v>0</v>
      </c>
      <c r="LA352" s="409">
        <f>60+60+60+120+180</f>
        <v>480</v>
      </c>
      <c r="LB352" s="415">
        <v>0.8</v>
      </c>
      <c r="LC352" s="415">
        <v>0.2</v>
      </c>
      <c r="LD352" s="424"/>
      <c r="LE352" s="415"/>
      <c r="LF352" s="415"/>
      <c r="LG352" s="409">
        <v>0</v>
      </c>
      <c r="LH352" s="409">
        <f>490+390+800+20</f>
        <v>1700</v>
      </c>
      <c r="LI352" s="409">
        <v>0</v>
      </c>
      <c r="LJ352" s="409">
        <v>0</v>
      </c>
      <c r="LK352" s="416">
        <f t="shared" si="191"/>
        <v>1700</v>
      </c>
      <c r="LL352" s="416">
        <f t="shared" si="237"/>
        <v>1700</v>
      </c>
      <c r="LM352" s="417">
        <f t="shared" si="193"/>
        <v>1360</v>
      </c>
      <c r="LN352" s="417">
        <f>VLOOKUP($LM$8,'Jan-2026 rates'!$H:$I,2,0)</f>
        <v>0</v>
      </c>
      <c r="LO352" s="417">
        <f t="shared" si="194"/>
        <v>340</v>
      </c>
      <c r="LP352" s="417">
        <f>VLOOKUP($LO$8,'Jan-2026 rates'!$H:$I,2,0)</f>
        <v>0</v>
      </c>
      <c r="LQ352" s="417">
        <f t="shared" si="195"/>
        <v>0</v>
      </c>
      <c r="LR352" s="417">
        <f>VLOOKUP($LQ$8,'Jan-2026 rates'!$H:$I,2,0)</f>
        <v>0</v>
      </c>
      <c r="LS352" s="417">
        <f t="shared" si="196"/>
        <v>0</v>
      </c>
      <c r="LT352" s="417">
        <f>VLOOKUP($LS$8,'Jan-2026 rates'!$H:$I,2,0)</f>
        <v>0</v>
      </c>
      <c r="LU352" s="417">
        <f t="shared" si="197"/>
        <v>0</v>
      </c>
      <c r="LV352" s="417">
        <f>VLOOKUP($LU$8,'Jan-2026 rates'!$H:$I,2,0)</f>
        <v>0</v>
      </c>
      <c r="LW352" s="417">
        <f t="shared" si="198"/>
        <v>0</v>
      </c>
      <c r="LX352" s="417">
        <f t="shared" si="199"/>
        <v>0</v>
      </c>
      <c r="LY352" s="418">
        <f t="shared" si="200"/>
        <v>0</v>
      </c>
      <c r="LZ352" s="417"/>
      <c r="MA352" s="435">
        <f t="shared" si="201"/>
        <v>1512</v>
      </c>
      <c r="MB352" s="282">
        <f t="shared" si="202"/>
        <v>3268</v>
      </c>
      <c r="MC352" s="283">
        <v>195</v>
      </c>
      <c r="MD352" s="284" t="str">
        <f t="shared" si="203"/>
        <v>FLINTSLFLINTSLFLINTSLFLINTSLFLINTSLFLINTSLFLINTSLFLINTSL</v>
      </c>
      <c r="ME352" s="293" t="str">
        <f t="shared" si="204"/>
        <v>+</v>
      </c>
      <c r="MF352" s="293" t="str">
        <f t="shared" si="205"/>
        <v>+</v>
      </c>
      <c r="MG352" s="293" t="str">
        <f t="shared" si="206"/>
        <v>+</v>
      </c>
      <c r="MH352" s="293" t="str">
        <f t="shared" si="207"/>
        <v>+</v>
      </c>
      <c r="MI352" s="293" t="str">
        <f t="shared" si="208"/>
        <v>+</v>
      </c>
      <c r="MJ352" s="293" t="str">
        <f t="shared" si="209"/>
        <v>+</v>
      </c>
      <c r="MK352" s="293" t="str">
        <f t="shared" si="210"/>
        <v>+</v>
      </c>
      <c r="ML352" s="293" t="str">
        <f t="shared" si="211"/>
        <v>+</v>
      </c>
      <c r="MM352" s="3" t="b">
        <f t="array" ref="MM352">OR(ME352:ML352="-")</f>
        <v>0</v>
      </c>
      <c r="MO352" s="401">
        <f t="shared" si="238"/>
        <v>52.14616243816819</v>
      </c>
      <c r="MP352" s="286"/>
      <c r="MR352" s="402">
        <f t="shared" si="239"/>
        <v>1.0127052990393555E-2</v>
      </c>
      <c r="MS352" s="400">
        <f t="shared" si="240"/>
        <v>0</v>
      </c>
      <c r="MT352" s="285"/>
      <c r="NH352" s="361"/>
      <c r="NJ352" s="282"/>
    </row>
    <row r="353" spans="1:374" ht="16.5">
      <c r="A353" s="403">
        <v>46047</v>
      </c>
      <c r="B353" s="404" t="s">
        <v>1018</v>
      </c>
      <c r="C353" s="405" t="s">
        <v>4718</v>
      </c>
      <c r="D353" s="404">
        <v>195</v>
      </c>
      <c r="E353" s="404">
        <v>0</v>
      </c>
      <c r="F353" s="407">
        <v>0</v>
      </c>
      <c r="G353" s="407" t="s">
        <v>1019</v>
      </c>
      <c r="H353" s="408" t="s">
        <v>1017</v>
      </c>
      <c r="I353" s="409">
        <v>0</v>
      </c>
      <c r="J353" s="405" t="s">
        <v>857</v>
      </c>
      <c r="K353" s="404">
        <v>0</v>
      </c>
      <c r="L353" s="419" t="str">
        <f t="shared" ref="L353" si="297">CONCATENATE(AP353," - ",J353)</f>
        <v>0 - RED</v>
      </c>
      <c r="M353" s="404">
        <v>0</v>
      </c>
      <c r="N353" s="410">
        <f>IF(M353=0,0,IF($LB353=70%,VLOOKUP($L353,'Jan-2026 rates'!$L:$R,4,0),IF($LB353=65%,VLOOKUP($L353,'Jan-2026 rates'!$L:$R,4,0),IF($LB353=40%,VLOOKUP($L353,'Jan-2026 rates'!$L:$R,5,0),IF($LB353=30%,VLOOKUP($L353,'Jan-2026 rates'!$L:$R,6,0),IF($LB353=100%,VLOOKUP($L353,'Jan-2026 rates'!$L:$R,7,0),IF($LB353=60%,VLOOKUP($L353,'Jan-2026 rates'!$L:$S,8,0),IF($LB353=80%,VLOOKUP($L353,'Jan-2026 rates'!L:T,9,0),0))))))))</f>
        <v>0</v>
      </c>
      <c r="O353" s="406"/>
      <c r="P353" s="404"/>
      <c r="Q353" s="410">
        <f>IF(P353=0,0,IF($LB353=70%,VLOOKUP($L353,'Jan-2026 rates'!$L:$R,4,0),IF($LB353=65%,VLOOKUP($L353,'Jan-2026 rates'!$L:$R,4,0),IF($LB353=40%,VLOOKUP($L353,'Jan-2026 rates'!$L:$R,5,0),IF($LB353=30%,VLOOKUP($L353,'Jan-2026 rates'!$L:$R,6,0),IF($LB353=100%,VLOOKUP($L353,'Jan-2026 rates'!$L:$R,7,0),IF($LB353=60%,VLOOKUP($L353,'Jan-2026 rates'!$L:$S,8,0),IF($LB353=80%,VLOOKUP($L353,'Jan-2026 rates'!L:T,9,0),0))))))))</f>
        <v>0</v>
      </c>
      <c r="R353" s="406">
        <v>26526000007</v>
      </c>
      <c r="S353" s="406">
        <v>26526000006</v>
      </c>
      <c r="T353" s="406">
        <v>26526000017</v>
      </c>
      <c r="U353" s="406">
        <v>26526000024</v>
      </c>
      <c r="V353" s="406"/>
      <c r="W353" s="406"/>
      <c r="X353" s="406"/>
      <c r="Y353" s="406"/>
      <c r="Z353" s="404">
        <v>50</v>
      </c>
      <c r="AA353" s="398" t="e">
        <f>IF(Z353=0,0,IF(LEN(R353)=11,_xlfn.XLOOKUP(R353,'Dispensed Ink Rates'!C:C,'Dispensed Ink Rates'!CS:CS),VLOOKUP(R353,'Jan-2026 rates'!$E:$F,2,0)))</f>
        <v>#N/A</v>
      </c>
      <c r="AB353" s="404">
        <v>40</v>
      </c>
      <c r="AC353" s="398" t="e">
        <f>IF(AB353=0,0,IF(LEN(S353)=11,_xlfn.XLOOKUP(S353,'Dispensed Ink Rates'!C:C,'Dispensed Ink Rates'!CS:CS),VLOOKUP(S353,'Jan-2026 rates'!$E:$F,2,0)))</f>
        <v>#N/A</v>
      </c>
      <c r="AD353" s="404">
        <v>30</v>
      </c>
      <c r="AE353" s="398" t="e">
        <f>IF(AD353=0,0,IF(LEN(T353)=11,_xlfn.XLOOKUP(T353,'Dispensed Ink Rates'!C:C,'Dispensed Ink Rates'!CS:CS),VLOOKUP(T353,'Jan-2026 rates'!$E:$F,2,0)))</f>
        <v>#N/A</v>
      </c>
      <c r="AF353" s="404">
        <f>130+10</f>
        <v>140</v>
      </c>
      <c r="AG353" s="398" t="e">
        <f>IF(AF353=0,0,IF(LEN(U353)=11,_xlfn.XLOOKUP(U353,'Dispensed Ink Rates'!C:C,'Dispensed Ink Rates'!CS:CS),VLOOKUP(U353,'Jan-2026 rates'!$E:$F,2,0)))</f>
        <v>#N/A</v>
      </c>
      <c r="AH353" s="404"/>
      <c r="AI353" s="398">
        <f>IF(AH353=0,0,IF(LEN(V353)=11,_xlfn.XLOOKUP(V353,'Dispensed Ink Rates'!C:C,'Dispensed Ink Rates'!CS:CS),VLOOKUP(V353,'Jan-2026 rates'!$E:$F,2,0)))</f>
        <v>0</v>
      </c>
      <c r="AJ353" s="404"/>
      <c r="AK353" s="398">
        <f>IF(AJ353=0,0,IF(LEN(W353)=11,_xlfn.XLOOKUP(W353,'Dispensed Ink Rates'!C:C,'Dispensed Ink Rates'!CS:CS),VLOOKUP(W353,'Jan-2026 rates'!$E:$F,2,0)))</f>
        <v>0</v>
      </c>
      <c r="AL353" s="404"/>
      <c r="AM353" s="398">
        <f>IF(AL353=0,0,IF(LEN(X353)=11,_xlfn.XLOOKUP(X353,'Dispensed Ink Rates'!C:C,'Dispensed Ink Rates'!CS:CS),VLOOKUP(X353,'Jan-2026 rates'!$E:$F,2,0)))</f>
        <v>0</v>
      </c>
      <c r="AN353" s="404"/>
      <c r="AO353" s="398">
        <f>IF(AN353=0,0,IF(LEN(Y353)=11,_xlfn.XLOOKUP(Y353,'Dispensed Ink Rates'!C:C,'Dispensed Ink Rates'!CS:CS),VLOOKUP(Y353,'Jan-2026 rates'!$E:$F,2,0)))</f>
        <v>0</v>
      </c>
      <c r="AP353" s="409">
        <v>0</v>
      </c>
      <c r="AQ353" s="409">
        <v>0</v>
      </c>
      <c r="AR353" s="410">
        <f t="shared" ref="AR353" si="298">IFERROR(IF(AS353&lt;=0,0,(M353*N353+P353*Q353+Z353*AA353+AB353*AC353+AD353*AE353+AF353*AG353+AH353*AI353+AJ353*AK353+AL353*AM353+AN353*AO353+(KT353/SUM(KT353:LA353)*LL353)*LX353)/(M353+P353+Z353+AB353+AD353+AF353+AH353+AJ353+AL353+AN353+(KT353/SUM(KT353:LA353)*LL353))),0)</f>
        <v>0</v>
      </c>
      <c r="AS353" s="411">
        <f t="shared" ref="AS353" si="299">IFERROR((M353+P353+Z353+AB353+AD353+AF353+AH353+AJ353+AL353+AN353+(KT353/SUM(KT353:LA353)*LL353)-AQ353),0)</f>
        <v>0</v>
      </c>
      <c r="AT353" s="410">
        <f t="shared" ref="AT353" si="300">IFERROR(IF(AS353&lt;=0,0,(M353*N353+P353*Q353+Z353*AA353+AB353*AC353+AD353*AE353+AF353*AG353+AH353*AI353+AJ353*AK353+AL353*AM353+AN353*AO353-AQ353*AR353+(KT353/SUM(KT353:LA353)*LL353)*LX353)),0)</f>
        <v>0</v>
      </c>
      <c r="AU353" s="405" t="s">
        <v>856</v>
      </c>
      <c r="AV353" s="409">
        <v>0</v>
      </c>
      <c r="AW353" s="420" t="str">
        <f t="shared" si="236"/>
        <v xml:space="preserve"> - WHITE</v>
      </c>
      <c r="AX353" s="409">
        <v>0</v>
      </c>
      <c r="AY353" s="411">
        <f>IF(AX353=0,0,IF($LB353=70%,VLOOKUP($AW353,'Jan-2026 rates'!$L:$R,4,0),IF($LB353=65%,VLOOKUP($AW353,'Jan-2026 rates'!$L:$R,4,0),IF($LB353=40%,VLOOKUP($AW353,'Jan-2026 rates'!$L:$R,5,0),IF($LB353=30%,VLOOKUP($AW353,'Jan-2026 rates'!$L:$R,6,0),IF($LB353=100%,VLOOKUP($AW353,'Jan-2026 rates'!$L:$R,7,0),IF($LB353=60%,VLOOKUP($AW353,'Jan-2026 rates'!$L:$S,8,0),IF($LB353=80%,VLOOKUP($AW353,'Jan-2026 rates'!L:T,9,0),0))))))))</f>
        <v>0</v>
      </c>
      <c r="AZ353" s="412"/>
      <c r="BA353" s="409"/>
      <c r="BB353" s="411">
        <f>IF(BA353=0,0,IF($LB353=70%,VLOOKUP($AW353,'Jan-2026 rates'!$L:$R,4,0),IF($LB353=65%,VLOOKUP($AW353,'Jan-2026 rates'!$L:$R,4,0),IF($LB353=40%,VLOOKUP($AW353,'Jan-2026 rates'!$L:$R,5,0),IF($LB353=30%,VLOOKUP($AW353,'Jan-2026 rates'!$L:$R,6,0),IF($LB353=100%,VLOOKUP($AW353,'Jan-2026 rates'!$L:$R,7,0),IF($LB353=60%,VLOOKUP($AW353,'Jan-2026 rates'!$L:$S,8,0),IF($LB353=80%,VLOOKUP($AW353,'Jan-2026 rates'!L:T,9,0),0))))))))</f>
        <v>0</v>
      </c>
      <c r="BC353" s="412">
        <v>26525000011</v>
      </c>
      <c r="BD353" s="413">
        <v>26526000009</v>
      </c>
      <c r="BE353" s="413">
        <v>26525000008</v>
      </c>
      <c r="BF353" s="412">
        <v>26526000011</v>
      </c>
      <c r="BG353" s="412">
        <v>26526000019</v>
      </c>
      <c r="BH353" s="412">
        <v>26526000025</v>
      </c>
      <c r="BI353" s="412"/>
      <c r="BJ353" s="412"/>
      <c r="BK353" s="409">
        <v>40</v>
      </c>
      <c r="BL353" s="398" t="e">
        <f>IF(BK353=0,0,IF(LEN(BC353)=11,_xlfn.XLOOKUP(BC353,'Dispensed Ink Rates'!C:C,'Dispensed Ink Rates'!CS:CS),VLOOKUP(BC353,'Jan-2026 rates'!$E:$F,2,0)))</f>
        <v>#N/A</v>
      </c>
      <c r="BM353" s="409">
        <v>40</v>
      </c>
      <c r="BN353" s="398" t="e">
        <f>IF(BM353=0,0,IF(LEN(BD353)=11,_xlfn.XLOOKUP(BD353,'Dispensed Ink Rates'!C:C,'Dispensed Ink Rates'!CS:CS),VLOOKUP(BD353,'Jan-2026 rates'!$E:$F,2,0)))</f>
        <v>#N/A</v>
      </c>
      <c r="BO353" s="409">
        <v>40</v>
      </c>
      <c r="BP353" s="398" t="e">
        <f>IF(BO353=0,0,IF(LEN(BE353)=11,_xlfn.XLOOKUP(BE353,'Dispensed Ink Rates'!C:C,'Dispensed Ink Rates'!CS:CS),VLOOKUP(BE353,'Jan-2026 rates'!$E:$F,2,0)))</f>
        <v>#N/A</v>
      </c>
      <c r="BQ353" s="409">
        <v>40</v>
      </c>
      <c r="BR353" s="398" t="e">
        <f>IF(BQ353=0,0,IF(LEN(BF353)=11,_xlfn.XLOOKUP(BF353,'Dispensed Ink Rates'!C:C,'Dispensed Ink Rates'!CS:CS),VLOOKUP(BF353,'Jan-2026 rates'!$E:$F,2,0)))</f>
        <v>#N/A</v>
      </c>
      <c r="BS353" s="409">
        <v>40</v>
      </c>
      <c r="BT353" s="398" t="e">
        <f>IF(BS353=0,0,IF(LEN(BG353)=11,_xlfn.XLOOKUP(BG353,'Dispensed Ink Rates'!C:C,'Dispensed Ink Rates'!CS:CS),VLOOKUP(BG353,'Jan-2026 rates'!$E:$F,2,0)))</f>
        <v>#N/A</v>
      </c>
      <c r="BU353" s="409">
        <v>40</v>
      </c>
      <c r="BV353" s="398" t="e">
        <f>IF(BU353=0,0,IF(LEN(BH353)=11,_xlfn.XLOOKUP(BH353,'Dispensed Ink Rates'!C:C,'Dispensed Ink Rates'!CS:CS),VLOOKUP(BH353,'Jan-2026 rates'!$E:$F,2,0)))</f>
        <v>#N/A</v>
      </c>
      <c r="BW353" s="409"/>
      <c r="BX353" s="398">
        <f>IF(BW353=0,0,IF(LEN(BI353)=11,_xlfn.XLOOKUP(BI353,'Dispensed Ink Rates'!C:C,'Dispensed Ink Rates'!CS:CS),VLOOKUP(BI353,'Jan-2026 rates'!$E:$F,2,0)))</f>
        <v>0</v>
      </c>
      <c r="BY353" s="409"/>
      <c r="BZ353" s="398">
        <f>IF(BY353=0,0,IF(LEN(BJ353)=11,_xlfn.XLOOKUP(BJ353,'Dispensed Ink Rates'!C:C,'Dispensed Ink Rates'!CS:CS),VLOOKUP(BJ353,'Jan-2026 rates'!$E:$F,2,0)))</f>
        <v>0</v>
      </c>
      <c r="CA353" s="409"/>
      <c r="CB353" s="409"/>
      <c r="CC353" s="411">
        <f t="shared" ref="CC353" si="301">IFERROR(IF(CD353&lt;=0,0,(AX353*AY353+BA353*BB353+BK353*BL353+BM353*BN353+BO353*BP353+BQ353*BR353+BS353*BT353+BU353*BV353+BW353*BX353+BY353*BZ353+(KU353/SUM(KT353:LA353)*LL353)*LX353)/(AX353+BA353+BK353+BM353+BO353+BQ353+BS353+BU353+BW353+BY353+(KU353/SUM(KT353:LA353)*LL353))),0)</f>
        <v>0</v>
      </c>
      <c r="CD353" s="411">
        <f t="shared" ref="CD353" si="302">IFERROR((AX353+BA353+BK353+BM353+BO353+BQ353+BS353+BU353+BW353+BY353+(KU353/SUM(KT353:LA353)*LL353)-CB353),0)</f>
        <v>0</v>
      </c>
      <c r="CE353" s="410">
        <f t="shared" ref="CE353" si="303">IFERROR(IF(CD353&lt;=0,0,(AX353*AY353+BA353*BB353+BK353*BL353+BM353*BN353+BO353*BP353+BQ353*BR353+BS353*BT353+BU353*BV353+BW353*BX353+BY353*BZ353-CB353*CC353+(KU353/SUM(KT353:LA353)*LL353)*LX353)),0)</f>
        <v>0</v>
      </c>
      <c r="CF353" s="404"/>
      <c r="CG353" s="409"/>
      <c r="CH353" s="420" t="str">
        <f t="shared" ref="CH353" si="304">CONCATENATE(DL353," - ",CF353)</f>
        <v xml:space="preserve"> - </v>
      </c>
      <c r="CI353" s="409"/>
      <c r="CJ353" s="411">
        <f>IF(CI353=0,0,IF($LB353=70%,VLOOKUP($CH353,'Jan-2026 rates'!$L:$R,4,0),IF($LB353=65%,VLOOKUP($CH353,'Jan-2026 rates'!$L:$R,4,0),IF($LB353=40%,VLOOKUP($CH353,'Jan-2026 rates'!$L:$R,5,0),IF($LB353=30%,VLOOKUP($CH353,'Jan-2026 rates'!$L:$R,6,0),IF($LB353=100%,VLOOKUP($CH353,'Jan-2026 rates'!$L:$R,7,0),IF($LB353=60%,VLOOKUP($CH353,'Jan-2026 rates'!$L:$S,8,0),IF($LB353=80%,VLOOKUP($CH353,'Jan-2026 rates'!L:T,9,0),0))))))))</f>
        <v>0</v>
      </c>
      <c r="CK353" s="412"/>
      <c r="CL353" s="409"/>
      <c r="CM353" s="411">
        <f>IF(CL353=0,0,IF($LB353=70%,VLOOKUP($CH353,'Jan-2026 rates'!$L:$R,4,0),IF($LB353=65%,VLOOKUP($CH353,'Jan-2026 rates'!$L:$R,4,0),IF($LB353=40%,VLOOKUP($CH353,'Jan-2026 rates'!$L:$R,5,0),IF($LB353=30%,VLOOKUP($CH353,'Jan-2026 rates'!$L:$R,6,0),IF($LB353=100%,VLOOKUP($CH353,'Jan-2026 rates'!$L:$R,7,0),IF($LB353=60%,VLOOKUP($CH353,'Jan-2026 rates'!$L:$S,8,0),IF($LB353=80%,VLOOKUP($CH353,'Jan-2026 rates'!L:T,9,0),0))))))))</f>
        <v>0</v>
      </c>
      <c r="CN353" s="426"/>
      <c r="CO353" s="427"/>
      <c r="CP353" s="426"/>
      <c r="CQ353" s="426"/>
      <c r="CR353" s="428"/>
      <c r="CS353" s="428"/>
      <c r="CT353" s="428"/>
      <c r="CU353" s="428"/>
      <c r="CV353" s="409"/>
      <c r="CW353" s="398">
        <f>IF(CV353=0,0,IF(LEN(CN353)=11,_xlfn.XLOOKUP(CN353,'Dispensed Ink Rates'!C:C,'Dispensed Ink Rates'!CS:CS),VLOOKUP(CN353,'Jan-2026 rates'!$E:$F,2,0)))</f>
        <v>0</v>
      </c>
      <c r="CX353" s="409"/>
      <c r="CY353" s="398">
        <f>IF(CX353=0,0,IF(LEN(CO353)=11,_xlfn.XLOOKUP(CO353,'Dispensed Ink Rates'!C:C,'Dispensed Ink Rates'!CS:CS),VLOOKUP(CO353,'Jan-2026 rates'!$E:$F,2,0)))</f>
        <v>0</v>
      </c>
      <c r="CZ353" s="409"/>
      <c r="DA353" s="398">
        <f>IF(CZ353=0,0,IF(LEN(CP353)=11,_xlfn.XLOOKUP(CP353,'Dispensed Ink Rates'!C:C,'Dispensed Ink Rates'!CS:CS),VLOOKUP(CP353,'Jan-2026 rates'!$E:$F,2,0)))</f>
        <v>0</v>
      </c>
      <c r="DB353" s="409"/>
      <c r="DC353" s="398">
        <f>IF(DB353=0,0,IF(LEN(CQ353)=11,_xlfn.XLOOKUP(CQ353,'Dispensed Ink Rates'!C:C,'Dispensed Ink Rates'!CS:CS),VLOOKUP(CQ353,'Jan-2026 rates'!$E:$F,2,0)))</f>
        <v>0</v>
      </c>
      <c r="DD353" s="409"/>
      <c r="DE353" s="398">
        <f>IF(DD353=0,0,IF(LEN(CR353)=11,_xlfn.XLOOKUP(CR353,'Dispensed Ink Rates'!C:C,'Dispensed Ink Rates'!CS:CS),VLOOKUP(CR353,'Jan-2026 rates'!$E:$F,2,0)))</f>
        <v>0</v>
      </c>
      <c r="DF353" s="409"/>
      <c r="DG353" s="398">
        <f>IF(DF353=0,0,IF(LEN(CS353)=11,_xlfn.XLOOKUP(CS353,'Dispensed Ink Rates'!C:C,'Dispensed Ink Rates'!CS:CS),VLOOKUP(CS353,'Jan-2026 rates'!$E:$F,2,0)))</f>
        <v>0</v>
      </c>
      <c r="DH353" s="409"/>
      <c r="DI353" s="398">
        <f>IF(DH353=0,0,IF(LEN(CT353)=11,_xlfn.XLOOKUP(CT353,'Dispensed Ink Rates'!C:C,'Dispensed Ink Rates'!CS:CS),VLOOKUP(CT353,'Jan-2026 rates'!$E:$F,2,0)))</f>
        <v>0</v>
      </c>
      <c r="DJ353" s="409"/>
      <c r="DK353" s="398">
        <f>IF(DJ353=0,0,IF(LEN(CU353)=11,_xlfn.XLOOKUP(CU353,'Dispensed Ink Rates'!C:C,'Dispensed Ink Rates'!CS:CS),VLOOKUP(CU353,'Jan-2026 rates'!$E:$F,2,0)))</f>
        <v>0</v>
      </c>
      <c r="DL353" s="409"/>
      <c r="DM353" s="409"/>
      <c r="DN353" s="411">
        <f t="shared" ref="DN353" si="305">IFERROR(IF(DO353&lt;=0,0,(CI353*CJ353+CL353*CM353+CV353*CW353+CX353*CY353+CZ353*DA353+DB353*DC353+DD353*DE353+DF353*DG353+DH353*DI353+DJ353*DK353+(KV353/SUM(KT353:LA353)*LL353)*LX353)/(CI353+CL353+CV353+CX353+CZ353+DB353+DD353+DF353+DH353+DJ353+(KV353/SUM(KT353:LA353)*LL353))),0)</f>
        <v>0</v>
      </c>
      <c r="DO353" s="411">
        <f t="shared" ref="DO353" si="306">IFERROR((CI353+CL353+CV353+CX353+CZ353+DB353+DD353+DF353+DH353+DJ353+(KV353/SUM(KT353:LA353)*LL353)-DM353),0)</f>
        <v>0</v>
      </c>
      <c r="DP353" s="410">
        <f t="shared" ref="DP353" si="307">IFERROR(IF(DO353&lt;=0,0,(CI353*CJ353+CL353*CM353+CV353*CW353+CX353*CY353+CZ353*DA353+DB353*DC353+DD353*DE353+DF353*DG353+DH353*DI353+DJ353*DK353-DM353*DN353+(KV353/SUM(KT353:LA353)*LL353)*LX353)),0)</f>
        <v>0</v>
      </c>
      <c r="DQ353" s="405"/>
      <c r="DR353" s="409"/>
      <c r="DS353" s="420" t="str">
        <f t="shared" ref="DS353" si="308">CONCATENATE(EW353," - ",DQ353)</f>
        <v xml:space="preserve"> - </v>
      </c>
      <c r="DT353" s="409"/>
      <c r="DU353" s="411">
        <f>IF(DT353=0,0,IF($LB353=70%,VLOOKUP($DS353,'Jan-2026 rates'!$L:$R,4,0),IF($LB353=65%,VLOOKUP($DS353,'Jan-2026 rates'!$L:$R,4,0),IF($LB353=40%,VLOOKUP($DS353,'Jan-2026 rates'!$L:$R,5,0),IF($LB353=30%,VLOOKUP($DS353,'Jan-2026 rates'!$L:$R,6,0),IF($LB353=100%,VLOOKUP($DS353,'Jan-2026 rates'!$L:$R,7,0),IF($LB353=60%,VLOOKUP($DS353,'Jan-2026 rates'!$L:$S,8,0),IF($LB353=80%,VLOOKUP($DS353,'Jan-2026 rates'!L:T,9,0),0))))))))</f>
        <v>0</v>
      </c>
      <c r="DV353" s="412"/>
      <c r="DW353" s="409"/>
      <c r="DX353" s="411">
        <f>IF(DW353=0,0,IF($LB353=70%,VLOOKUP($DS353,'Jan-2026 rates'!$L:$R,4,0),IF($LB353=65%,VLOOKUP($DS353,'Jan-2026 rates'!$L:$R,4,0),IF($LB353=40%,VLOOKUP($DS353,'Jan-2026 rates'!$L:$R,5,0),IF($LB353=30%,VLOOKUP($DS353,'Jan-2026 rates'!$L:$R,6,0),IF($LB353=100%,VLOOKUP($DS353,'Jan-2026 rates'!$L:$R,7,0),IF($LB353=60%,VLOOKUP($DS353,'Jan-2026 rates'!$L:$S,8,0),IF($LB353=80%,VLOOKUP($DS353,'Jan-2026 rates'!L:T,9,0),0))))))))</f>
        <v>0</v>
      </c>
      <c r="DY353" s="413"/>
      <c r="DZ353" s="413"/>
      <c r="EA353" s="412"/>
      <c r="EB353" s="412"/>
      <c r="EC353" s="412"/>
      <c r="ED353" s="412"/>
      <c r="EE353" s="412"/>
      <c r="EF353" s="412"/>
      <c r="EG353" s="409"/>
      <c r="EH353" s="398">
        <f>IF(EG353=0,0,IF(LEN(DY353)=11,_xlfn.XLOOKUP(DY353,'Dispensed Ink Rates'!C:C,'Dispensed Ink Rates'!CS:CS),VLOOKUP(DY353,'Jan-2026 rates'!$E:$F,2,0)))</f>
        <v>0</v>
      </c>
      <c r="EI353" s="409"/>
      <c r="EJ353" s="398">
        <f>IF(EI353=0,0,IF(LEN(DZ353)=11,_xlfn.XLOOKUP(DZ353,'Dispensed Ink Rates'!C:C,'Dispensed Ink Rates'!CS:CS),VLOOKUP(DZ353,'Jan-2026 rates'!$E:$F,2,0)))</f>
        <v>0</v>
      </c>
      <c r="EK353" s="409"/>
      <c r="EL353" s="398">
        <f>IF(EK353=0,0,IF(LEN(EA353)=11,_xlfn.XLOOKUP(EA353,'Dispensed Ink Rates'!C:C,'Dispensed Ink Rates'!CS:CS),VLOOKUP(EA353,'Jan-2026 rates'!$E:$F,2,0)))</f>
        <v>0</v>
      </c>
      <c r="EM353" s="409"/>
      <c r="EN353" s="398">
        <f>IF(EM353=0,0,IF(LEN(EB353)=11,_xlfn.XLOOKUP(EB353,'Dispensed Ink Rates'!C:C,'Dispensed Ink Rates'!CS:CS),VLOOKUP(EB353,'Jan-2026 rates'!$E:$F,2,0)))</f>
        <v>0</v>
      </c>
      <c r="EO353" s="409"/>
      <c r="EP353" s="398">
        <f>IF(EO353=0,0,IF(LEN(EC353)=11,_xlfn.XLOOKUP(EC353,'Dispensed Ink Rates'!C:C,'Dispensed Ink Rates'!CS:CS),VLOOKUP(EC353,'Jan-2026 rates'!$E:$F,2,0)))</f>
        <v>0</v>
      </c>
      <c r="EQ353" s="409"/>
      <c r="ER353" s="398">
        <f>IF(EQ353=0,0,IF(LEN(ED353)=11,_xlfn.XLOOKUP(ED353,'Dispensed Ink Rates'!C:C,'Dispensed Ink Rates'!CS:CS),VLOOKUP(ED353,'Jan-2026 rates'!$E:$F,2,0)))</f>
        <v>0</v>
      </c>
      <c r="ES353" s="409"/>
      <c r="ET353" s="398">
        <f>IF(ES353=0,0,IF(LEN(EE353)=11,_xlfn.XLOOKUP(EE353,'Dispensed Ink Rates'!C:C,'Dispensed Ink Rates'!CS:CS),VLOOKUP(EE353,'Jan-2026 rates'!$E:$F,2,0)))</f>
        <v>0</v>
      </c>
      <c r="EU353" s="409"/>
      <c r="EV353" s="398">
        <f>IF(EU353=0,0,IF(LEN(EF353)=11,_xlfn.XLOOKUP(EF353,'Dispensed Ink Rates'!C:C,'Dispensed Ink Rates'!CS:CS),VLOOKUP(EF353,'Jan-2026 rates'!$E:$F,2,0)))</f>
        <v>0</v>
      </c>
      <c r="EW353" s="409"/>
      <c r="EX353" s="409"/>
      <c r="EY353" s="411">
        <f t="shared" ref="EY353" si="309">IFERROR(IF(EZ353&lt;=0,0,(DT353*DU353+DW353*DX353+EG353*EH353+EI353*EJ353+EK353*EL353+EM353*EN353+EO353*EP353+EQ353*ER353+ES353*ET353+EU353*EV353+(KW353/SUM(KT353:LA353)*LL353)*LX353)/(DT353+DW353+EG353+EI353+EK353+EM353+EO353+EQ353+ES353+EU353+(KW353/SUM(KT353:LA353)*LL353))),0)</f>
        <v>0</v>
      </c>
      <c r="EZ353" s="411">
        <f t="shared" ref="EZ353" si="310">IFERROR((DT353+DW353+EG353+EI353+EK353+EM353+EO353+EQ353+ES353+EU353+(KW353/SUM(KT353:LA353)*LL353)-EX353),0)</f>
        <v>0</v>
      </c>
      <c r="FA353" s="410">
        <f t="shared" ref="FA353" si="311">IFERROR(IF(EZ353&lt;=0,0,(DT353*DU353+DW353*DX353+EG353*EH353+EI353*EJ353+EK353*EL353+EM353*EN353+EO353*EP353+EQ353*ER353+ES353*ET353+EU353*EV353-EX353*EY353+(KW353/SUM(KT353:LA353)*LL353)*LX353)),0)</f>
        <v>0</v>
      </c>
      <c r="FB353" s="405"/>
      <c r="FC353" s="409"/>
      <c r="FD353" s="420" t="str">
        <f t="shared" ref="FD353" si="312">CONCATENATE(GH353," - ",FB353)</f>
        <v xml:space="preserve"> - </v>
      </c>
      <c r="FE353" s="409"/>
      <c r="FF353" s="411">
        <f>IF(FE353=0,0,IF($LB353=70%,VLOOKUP($FD353,'Jan-2026 rates'!$L:$R,4,0),IF($LB353=65%,VLOOKUP($FD353,'Jan-2026 rates'!$L:$R,4,0),IF($LB353=40%,VLOOKUP($FD353,'Jan-2026 rates'!$L:$R,5,0),IF($LB353=30%,VLOOKUP($FD353,'Jan-2026 rates'!$L:$R,6,0),IF($LB353=100%,VLOOKUP($FD353,'Jan-2026 rates'!$L:$R,7,0),IF($LB353=60%,VLOOKUP($FD353,'Jan-2026 rates'!$L:$S,8,0),IF($LB353=80%,VLOOKUP($FD353,'Jan-2026 rates'!L:T,9,0),0))))))))</f>
        <v>0</v>
      </c>
      <c r="FG353" s="412"/>
      <c r="FH353" s="409"/>
      <c r="FI353" s="411">
        <f>IF(FH353=0,0,IF($LB353=70%,VLOOKUP($FD353,'Jan-2026 rates'!$L:$R,4,0),IF($LB353=65%,VLOOKUP($FD353,'Jan-2026 rates'!$L:$R,4,0),IF($LB353=40%,VLOOKUP($FD353,'Jan-2026 rates'!$L:$R,5,0),IF($LB353=30%,VLOOKUP($FD353,'Jan-2026 rates'!$L:$R,6,0),IF($LB353=100%,VLOOKUP($FD353,'Jan-2026 rates'!$L:$R,7,0),IF($LB353=60%,VLOOKUP($FD353,'Jan-2026 rates'!$L:$S,8,0),IF($LB353=80%,VLOOKUP($FD353,'Jan-2026 rates'!L:T,9,0),0))))))))</f>
        <v>0</v>
      </c>
      <c r="FJ353" s="413"/>
      <c r="FK353" s="413"/>
      <c r="FL353" s="413"/>
      <c r="FM353" s="412"/>
      <c r="FN353" s="412"/>
      <c r="FO353" s="412"/>
      <c r="FP353" s="412"/>
      <c r="FQ353" s="412"/>
      <c r="FR353" s="409"/>
      <c r="FS353" s="398">
        <f>IF(FR353=0,0,IF(LEN(FJ353)=11,_xlfn.XLOOKUP(FJ353,'Dispensed Ink Rates'!C:C,'Dispensed Ink Rates'!CS:CS),VLOOKUP(FJ353,'Jan-2026 rates'!$E:$F,2,0)))</f>
        <v>0</v>
      </c>
      <c r="FT353" s="409"/>
      <c r="FU353" s="398">
        <f>IF(FT353=0,0,IF(LEN(FK353)=11,_xlfn.XLOOKUP(FK353,'Dispensed Ink Rates'!C:C,'Dispensed Ink Rates'!CS:CS),VLOOKUP(FK353,'Jan-2026 rates'!$E:$F,2,0)))</f>
        <v>0</v>
      </c>
      <c r="FV353" s="409"/>
      <c r="FW353" s="398">
        <f>IF(FV353=0,0,IF(LEN(FL353)=11,_xlfn.XLOOKUP(FL353,'Dispensed Ink Rates'!C:C,'Dispensed Ink Rates'!CS:CS),VLOOKUP(FL353,'Jan-2026 rates'!$E:$F,2,0)))</f>
        <v>0</v>
      </c>
      <c r="FX353" s="409"/>
      <c r="FY353" s="398">
        <f>IF(FX353=0,0,IF(LEN(FM353)=11,_xlfn.XLOOKUP(FM353,'Dispensed Ink Rates'!C:C,'Dispensed Ink Rates'!CS:CS),VLOOKUP(FM353,'Jan-2026 rates'!$E:$F,2,0)))</f>
        <v>0</v>
      </c>
      <c r="FZ353" s="409"/>
      <c r="GA353" s="398">
        <f>IF(FZ353=0,0,IF(LEN(FN353)=11,_xlfn.XLOOKUP(FN353,'Dispensed Ink Rates'!C:C,'Dispensed Ink Rates'!CS:CS),VLOOKUP(FN353,'Jan-2026 rates'!$E:$F,2,0)))</f>
        <v>0</v>
      </c>
      <c r="GB353" s="409"/>
      <c r="GC353" s="398">
        <f>IF(GB353=0,0,IF(LEN(FO353)=11,_xlfn.XLOOKUP(FO353,'Dispensed Ink Rates'!C:C,'Dispensed Ink Rates'!CS:CS),VLOOKUP(FO353,'Jan-2026 rates'!$E:$F,2,0)))</f>
        <v>0</v>
      </c>
      <c r="GD353" s="409"/>
      <c r="GE353" s="398">
        <f>IF(GD353=0,0,IF(LEN(FP353)=11,_xlfn.XLOOKUP(FP353,'Dispensed Ink Rates'!C:C,'Dispensed Ink Rates'!CS:CS),VLOOKUP(FP353,'Jan-2026 rates'!$E:$F,2,0)))</f>
        <v>0</v>
      </c>
      <c r="GF353" s="409"/>
      <c r="GG353" s="398">
        <f>IF(GF353=0,0,IF(LEN(FQ353)=11,_xlfn.XLOOKUP(FQ353,'Dispensed Ink Rates'!C:C,'Dispensed Ink Rates'!CS:CS),VLOOKUP(FQ353,'Jan-2026 rates'!$E:$F,2,0)))</f>
        <v>0</v>
      </c>
      <c r="GH353" s="409"/>
      <c r="GI353" s="409"/>
      <c r="GJ353" s="411">
        <f t="shared" ref="GJ353" si="313">IFERROR(IF(GK353&lt;=0,0,(FE353*FF353+FH353*FI353+FR353*FS353+FT353*FU353+FV353*FW353+FX353*FY353+FZ353*GA353+GB353*GC353+GD353*GE353+GF353*GG353+(KX353/SUM(KT353:LA353)*LL353)*LX353)/(FE353+FH353+FR353+FT353+FV353+FX353+FZ353+GB353+GD353+GF353+(KX353/SUM(KT353:LA353)*LL353))),0)</f>
        <v>0</v>
      </c>
      <c r="GK353" s="411">
        <f t="shared" ref="GK353" si="314">IFERROR((FE353+FH353+FR353+FT353+FV353+FX353+FZ353+GB353+GD353+GF353+(KX353/SUM(KT353:LA353)*LL353)-GI353),0)</f>
        <v>0</v>
      </c>
      <c r="GL353" s="410">
        <f t="shared" ref="GL353" si="315">IFERROR(IF(GK353&lt;=0,0,(FE353*FF353+FH353*FI353+FR353*FS353+FT353*FU353+FV353*FW353+FX353*FY353+FZ353*GA353+GB353*GC353+GD353*GE353+GF353*GG353-GI353*GJ353+(KX353/SUM(KT353:LA353)*LL353)*LX353)),0)</f>
        <v>0</v>
      </c>
      <c r="GM353" s="405"/>
      <c r="GN353" s="409"/>
      <c r="GO353" s="420" t="str">
        <f t="shared" ref="GO353" si="316">CONCATENATE(HS353," - ",GM353)</f>
        <v xml:space="preserve"> - </v>
      </c>
      <c r="GP353" s="409"/>
      <c r="GQ353" s="411">
        <f>IF(GP353=0,0,IF($LB353=70%,VLOOKUP($GO353,'Jan-2026 rates'!$L:$R,4,0),IF($LB353=65%,VLOOKUP($GO353,'Jan-2026 rates'!$L:$R,4,0),IF($LB353=40%,VLOOKUP($GO353,'Jan-2026 rates'!$L:$R,5,0),IF($LB353=30%,VLOOKUP($GO353,'Jan-2026 rates'!$L:$R,6,0),IF($LB353=100%,VLOOKUP($GO353,'Jan-2026 rates'!$L:$R,7,0),IF($LB353=60%,VLOOKUP($GO353,'Jan-2026 rates'!$L:$S,8,0),IF($LB353=80%,VLOOKUP($GO353,'Jan-2026 rates'!L:T,9,0),0))))))))</f>
        <v>0</v>
      </c>
      <c r="GR353" s="412"/>
      <c r="GS353" s="409"/>
      <c r="GT353" s="411">
        <f>IF(GS353=0,0,IF($LB353=70%,VLOOKUP($GO353,'Jan-2026 rates'!$L:$R,4,0),IF($LB353=65%,VLOOKUP($GO353,'Jan-2026 rates'!$L:$R,4,0),IF($LB353=40%,VLOOKUP($GO353,'Jan-2026 rates'!$L:$R,5,0),IF($LB353=30%,VLOOKUP($GO353,'Jan-2026 rates'!$L:$R,6,0),IF($LB353=100%,VLOOKUP($GO353,'Jan-2026 rates'!$L:$R,7,0),IF($LB353=60%,VLOOKUP($GO353,'Jan-2026 rates'!$L:$S,8,0),IF($LB353=80%,VLOOKUP($GO353,'Jan-2026 rates'!L:T,9,0),0))))))))</f>
        <v>0</v>
      </c>
      <c r="GU353" s="413"/>
      <c r="GV353" s="413"/>
      <c r="GW353" s="412"/>
      <c r="GX353" s="412"/>
      <c r="GY353" s="412"/>
      <c r="GZ353" s="412"/>
      <c r="HA353" s="412"/>
      <c r="HB353" s="412"/>
      <c r="HC353" s="409"/>
      <c r="HD353" s="398">
        <f>IF(HC353=0,0,IF(LEN(GU353)=11,_xlfn.XLOOKUP(GU353,'Dispensed Ink Rates'!C:C,'Dispensed Ink Rates'!CS:CS),VLOOKUP(GU353,'Jan-2026 rates'!$E:$F,2,0)))</f>
        <v>0</v>
      </c>
      <c r="HE353" s="409"/>
      <c r="HF353" s="398">
        <f>IF(HE353=0,0,IF(LEN(GV353)=11,_xlfn.XLOOKUP(GV353,'Dispensed Ink Rates'!C:C,'Dispensed Ink Rates'!CS:CS),VLOOKUP(GV353,'Jan-2026 rates'!$E:$F,2,0)))</f>
        <v>0</v>
      </c>
      <c r="HG353" s="409"/>
      <c r="HH353" s="398">
        <f>IF(HG353=0,0,IF(LEN(GW353)=11,_xlfn.XLOOKUP(GW353,'Dispensed Ink Rates'!C:C,'Dispensed Ink Rates'!CS:CS),VLOOKUP(GW353,'Jan-2026 rates'!$E:$F,2,0)))</f>
        <v>0</v>
      </c>
      <c r="HI353" s="409"/>
      <c r="HJ353" s="398">
        <f>IF(HI353=0,0,IF(LEN(GX353)=11,_xlfn.XLOOKUP(GX353,'Dispensed Ink Rates'!C:C,'Dispensed Ink Rates'!CS:CS),VLOOKUP(GX353,'Jan-2026 rates'!$E:$F,2,0)))</f>
        <v>0</v>
      </c>
      <c r="HK353" s="409"/>
      <c r="HL353" s="398">
        <f>IF(HK353=0,0,IF(LEN(GY353)=11,_xlfn.XLOOKUP(GY353,'Dispensed Ink Rates'!C:C,'Dispensed Ink Rates'!CS:CS),VLOOKUP(GY353,'Jan-2026 rates'!$E:$F,2,0)))</f>
        <v>0</v>
      </c>
      <c r="HM353" s="409"/>
      <c r="HN353" s="398">
        <f>IF(HM353=0,0,IF(LEN(GZ353)=11,_xlfn.XLOOKUP(GZ353,'Dispensed Ink Rates'!C:C,'Dispensed Ink Rates'!CS:CS),VLOOKUP(GZ353,'Jan-2026 rates'!$E:$F,2,0)))</f>
        <v>0</v>
      </c>
      <c r="HO353" s="409"/>
      <c r="HP353" s="398">
        <f>IF(HO353=0,0,IF(LEN(HA353)=11,_xlfn.XLOOKUP(HA353,'Dispensed Ink Rates'!C:C,'Dispensed Ink Rates'!CS:CS),VLOOKUP(HA353,'Jan-2026 rates'!$E:$F,2,0)))</f>
        <v>0</v>
      </c>
      <c r="HQ353" s="409"/>
      <c r="HR353" s="398">
        <f>IF(HQ353=0,0,IF(LEN(HB353)=11,_xlfn.XLOOKUP(HB353,'Dispensed Ink Rates'!C:C,'Dispensed Ink Rates'!CS:CS),VLOOKUP(HB353,'Jan-2026 rates'!$E:$F,2,0)))</f>
        <v>0</v>
      </c>
      <c r="HS353" s="409"/>
      <c r="HT353" s="409"/>
      <c r="HU353" s="411">
        <f t="shared" ref="HU353" si="317">IFERROR(IF(HV353&lt;=0,0,(GP353*GQ353+GS353*GT353+HC353*HD353+HE353*HF353+HG353*HH353+HI353*HJ353+HK353*HL353+HM353*HN353+HO353*HP353+HQ353*HR353+(KY353/SUM(KT353:LA353)*LL353)*LX353)/(GP353+GS353+HC353+HE353+HG353+HI353+HK353+HM353+HO353+HQ353+(KY353/SUM(KT353:LA353)*LL353))),0)</f>
        <v>0</v>
      </c>
      <c r="HV353" s="411">
        <f t="shared" ref="HV353" si="318">IFERROR((GP353+GS353+HC353+HE353+HG353+HI353+HK353+HM353+HO353+HQ353+(KY353/SUM(KT353:LA353)*LL353)-HT353),0)</f>
        <v>0</v>
      </c>
      <c r="HW353" s="414">
        <f t="shared" ref="HW353" si="319">IFERROR(IF(HV353&lt;=0,0,(GP353*GQ353+GS353*GT353+HC353*HD353+HE353*HF353+HG353*HH353+HI353*HJ353+HK353*HL353+HM353*HN353+HO353*HP353+HQ353*HR353-HT353*HU353+(KY353/SUM(KT353:LA353)*LL353)*LX353)),0)</f>
        <v>0</v>
      </c>
      <c r="HX353" s="405"/>
      <c r="HY353" s="409"/>
      <c r="HZ353" s="420" t="str">
        <f t="shared" ref="HZ353" si="320">CONCATENATE(JD353," - ",HX353)</f>
        <v xml:space="preserve"> - </v>
      </c>
      <c r="IA353" s="409"/>
      <c r="IB353" s="411">
        <f>IF(IA353=0,0,IF($LB353=70%,VLOOKUP($HZ353,'Jan-2026 rates'!$L:$R,4,0),IF($LB353=65%,VLOOKUP($HZ353,'Jan-2026 rates'!$L:$R,4,0),IF($LB353=40%,VLOOKUP($HZ353,'Jan-2026 rates'!$L:$R,5,0),IF($LB353=30%,VLOOKUP($HZ353,'Jan-2026 rates'!$L:$R,6,0),IF($LB353=100%,VLOOKUP($HZ353,'Jan-2026 rates'!$L:$R,7,0),IF($LB353=60%,VLOOKUP($HZ353,'Jan-2026 rates'!$L:$S,8,0),IF($LB353=80%,VLOOKUP($HZ353,'Jan-2026 rates'!L:T,9,0),0))))))))</f>
        <v>0</v>
      </c>
      <c r="IC353" s="412"/>
      <c r="ID353" s="409"/>
      <c r="IE353" s="411">
        <f>IF(ID353=0,0,IF($LB353=70%,VLOOKUP($HZ353,'Jan-2026 rates'!$L:$R,4,0),IF($LB353=65%,VLOOKUP($HZ353,'Jan-2026 rates'!$L:$R,4,0),IF($LB353=40%,VLOOKUP($HZ353,'Jan-2026 rates'!$L:$R,5,0),IF($LB353=30%,VLOOKUP($HZ353,'Jan-2026 rates'!$L:$R,6,0),IF($LB353=100%,VLOOKUP($HZ353,'Jan-2026 rates'!$L:$R,7,0),IF($LB353=60%,VLOOKUP($HZ353,'Jan-2026 rates'!$L:$S,8,0),IF($LB353=80%,VLOOKUP($HZ353,'Jan-2026 rates'!L:T,9,0),0))))))))</f>
        <v>0</v>
      </c>
      <c r="IF353" s="412"/>
      <c r="IG353" s="413"/>
      <c r="IH353" s="412"/>
      <c r="II353" s="412"/>
      <c r="IJ353" s="412"/>
      <c r="IK353" s="412"/>
      <c r="IL353" s="412"/>
      <c r="IM353" s="412"/>
      <c r="IN353" s="409"/>
      <c r="IO353" s="398">
        <f>IF(IN353=0,0,IF(LEN(IF353)=11,_xlfn.XLOOKUP(IF353,'Dispensed Ink Rates'!C:C,'Dispensed Ink Rates'!CS:CS),VLOOKUP(IF353,'Jan-2026 rates'!$E:$F,2,0)))</f>
        <v>0</v>
      </c>
      <c r="IP353" s="409"/>
      <c r="IQ353" s="398">
        <f>IF(IP353=0,0,IF(LEN(IG353)=11,_xlfn.XLOOKUP(IG353,'Dispensed Ink Rates'!C:C,'Dispensed Ink Rates'!CS:CS),VLOOKUP(IG353,'Jan-2026 rates'!$E:$F,2,0)))</f>
        <v>0</v>
      </c>
      <c r="IR353" s="409"/>
      <c r="IS353" s="398">
        <f>IF(IR353=0,0,IF(LEN(IH353)=11,_xlfn.XLOOKUP(IH353,'Dispensed Ink Rates'!C:C,'Dispensed Ink Rates'!CS:CS),VLOOKUP(IH353,'Jan-2026 rates'!$E:$F,2,0)))</f>
        <v>0</v>
      </c>
      <c r="IT353" s="409"/>
      <c r="IU353" s="398">
        <f>IF(IT353=0,0,IF(LEN(II353)=11,_xlfn.XLOOKUP(II353,'Dispensed Ink Rates'!C:C,'Dispensed Ink Rates'!CS:CS),VLOOKUP(II353,'Jan-2026 rates'!$E:$F,2,0)))</f>
        <v>0</v>
      </c>
      <c r="IV353" s="409"/>
      <c r="IW353" s="398">
        <f>IF(IV353=0,0,IF(LEN(IJ353)=11,_xlfn.XLOOKUP(IJ353,'Dispensed Ink Rates'!C:C,'Dispensed Ink Rates'!CS:CS),VLOOKUP(IJ353,'Jan-2026 rates'!$E:$F,2,0)))</f>
        <v>0</v>
      </c>
      <c r="IX353" s="409"/>
      <c r="IY353" s="398">
        <f>IF(IX353=0,0,IF(LEN(IK353)=11,_xlfn.XLOOKUP(IK353,'Dispensed Ink Rates'!C:C,'Dispensed Ink Rates'!CS:CS),VLOOKUP(IK353,'Jan-2026 rates'!$E:$F,2,0)))</f>
        <v>0</v>
      </c>
      <c r="IZ353" s="409"/>
      <c r="JA353" s="398">
        <f>IF(IZ353=0,0,IF(LEN(IL353)=11,_xlfn.XLOOKUP(IL353,'Dispensed Ink Rates'!C:C,'Dispensed Ink Rates'!CS:CS),VLOOKUP(IL353,'Jan-2026 rates'!$E:$F,2,0)))</f>
        <v>0</v>
      </c>
      <c r="JB353" s="409"/>
      <c r="JC353" s="398">
        <f>IF(JB353=0,0,IF(LEN(IM353)=11,_xlfn.XLOOKUP(IM353,'Dispensed Ink Rates'!C:C,'Dispensed Ink Rates'!CS:CS),VLOOKUP(IM353,'Jan-2026 rates'!$E:$F,2,0)))</f>
        <v>0</v>
      </c>
      <c r="JD353" s="409"/>
      <c r="JE353" s="409"/>
      <c r="JF353" s="411">
        <f t="shared" ref="JF353" si="321">IFERROR(IF(JG353&lt;=0,0,(IA353*IB353+ID353*IE353+IN353*IO353+IP353*IQ353+IR353*IS353+IT353*IU353+IV353*IW353+IX353*IY353+IZ353*JA353+JB353*JC353+(KZ353/SUM(KT353:LA353)*LL353)*LX353)/(IA353+ID353+IN353+IP353+IR353+IT353+IV353+IX353+IZ353+JB353+(KZ353/SUM(KT353:LA353)*LL353))),0)</f>
        <v>0</v>
      </c>
      <c r="JG353" s="411">
        <f t="shared" ref="JG353" si="322">IFERROR((IA353+ID353+IN353+IP353+IR353+IT353+IV353+IX353+IZ353+JB353+(KZ353/SUM(KT353:LA353)*LL353)-JE353),0)</f>
        <v>0</v>
      </c>
      <c r="JH353" s="410">
        <f t="shared" ref="JH353" si="323">IFERROR(IF(JG353&lt;=0,0,(IA353*IB353+ID353*IE353+IN353*IO353+IP353*IQ353+IR353*IS353+IT353*IU353+IV353*IW353+IX353*IY353+IZ353*JA353+JB353*JC353-JE353*JF353+(KZ353/SUM(KT353:LA353)*LL353)*LX353)),0)</f>
        <v>0</v>
      </c>
      <c r="JI353" s="405"/>
      <c r="JJ353" s="409"/>
      <c r="JK353" s="420" t="str">
        <f t="shared" ref="JK353" si="324">CONCATENATE(KO353," - ",JI353)</f>
        <v xml:space="preserve"> - </v>
      </c>
      <c r="JL353" s="409"/>
      <c r="JM353" s="411">
        <f>IF(JL353=0,0,IF($LB353=70%,VLOOKUP($JK353,'Jan-2026 rates'!$L:$R,4,0),IF($LB353=65%,VLOOKUP($JK353,'Jan-2026 rates'!$L:$R,4,0),IF($LB353=40%,VLOOKUP($JK353,'Jan-2026 rates'!$L:$R,5,0),IF($LB353=30%,VLOOKUP($JK353,'Jan-2026 rates'!$L:$R,6,0),IF($LB353=100%,VLOOKUP($JK353,'Jan-2026 rates'!$L:$R,7,0),IF($LB353=60%,VLOOKUP($JK353,'Jan-2026 rates'!$L:$S,8,0),IF($LB353=80%,VLOOKUP($JK353,'Jan-2026 rates'!L:T,9,0),0))))))))</f>
        <v>0</v>
      </c>
      <c r="JN353" s="412"/>
      <c r="JO353" s="409"/>
      <c r="JP353" s="411">
        <f>IF(JO353=0,0,IF($LB353=70%,VLOOKUP($JK353,'Jan-2026 rates'!$L:$R,4,0),IF($LB353=65%,VLOOKUP($JK353,'Jan-2026 rates'!$L:$R,4,0),IF($LB353=40%,VLOOKUP($JK353,'Jan-2026 rates'!$L:$R,5,0),IF($LB353=30%,VLOOKUP($JK353,'Jan-2026 rates'!$L:$R,6,0),IF($LB353=100%,VLOOKUP($JK353,'Jan-2026 rates'!$L:$R,7,0),IF($LB353=60%,VLOOKUP($JK353,'Jan-2026 rates'!$L:$S,8,0),IF($LB353=80%,VLOOKUP($JK353,'Jan-2026 rates'!L:T,9,0),0))))))))</f>
        <v>0</v>
      </c>
      <c r="JQ353" s="413"/>
      <c r="JR353" s="412"/>
      <c r="JS353" s="413"/>
      <c r="JT353" s="413"/>
      <c r="JU353" s="412"/>
      <c r="JV353" s="412"/>
      <c r="JW353" s="412"/>
      <c r="JX353" s="412"/>
      <c r="JY353" s="409"/>
      <c r="JZ353" s="398">
        <f>IF(JY353=0,0,IF(LEN(JQ353)=11,_xlfn.XLOOKUP(JQ353,'Dispensed Ink Rates'!C:C,'Dispensed Ink Rates'!CS:CS),VLOOKUP(JQ353,'Jan-2026 rates'!$E:$F,2,0)))</f>
        <v>0</v>
      </c>
      <c r="KA353" s="409"/>
      <c r="KB353" s="398">
        <f>IF(KA353=0,0,IF(LEN(JR353)=11,_xlfn.XLOOKUP(JR353,'Dispensed Ink Rates'!C:C,'Dispensed Ink Rates'!CS:CS),VLOOKUP(JR353,'Jan-2026 rates'!$E:$F,2,0)))</f>
        <v>0</v>
      </c>
      <c r="KC353" s="409"/>
      <c r="KD353" s="398">
        <f>IF(KC353=0,0,IF(LEN(JS353)=11,_xlfn.XLOOKUP(JS353,'Dispensed Ink Rates'!C:C,'Dispensed Ink Rates'!CS:CS),VLOOKUP(JS353,'Jan-2026 rates'!$E:$F,2,0)))</f>
        <v>0</v>
      </c>
      <c r="KE353" s="409"/>
      <c r="KF353" s="398">
        <f>IF(KE353=0,0,IF(LEN(JT353)=11,_xlfn.XLOOKUP(JT353,'Dispensed Ink Rates'!C:C,'Dispensed Ink Rates'!CS:CS),VLOOKUP(JT353,'Jan-2026 rates'!$E:$F,2,0)))</f>
        <v>0</v>
      </c>
      <c r="KG353" s="409"/>
      <c r="KH353" s="398">
        <f>IF(KG353=0,0,IF(LEN(JU353)=11,_xlfn.XLOOKUP(JU353,'Dispensed Ink Rates'!C:C,'Dispensed Ink Rates'!CS:CS),VLOOKUP(JU353,'Jan-2026 rates'!$E:$F,2,0)))</f>
        <v>0</v>
      </c>
      <c r="KI353" s="409"/>
      <c r="KJ353" s="398">
        <f>IF(KI353=0,0,IF(LEN(JV353)=11,_xlfn.XLOOKUP(JV353,'Dispensed Ink Rates'!C:C,'Dispensed Ink Rates'!CS:CS),VLOOKUP(JV353,'Jan-2026 rates'!$E:$F,2,0)))</f>
        <v>0</v>
      </c>
      <c r="KK353" s="409"/>
      <c r="KL353" s="398">
        <f>IF(KK353=0,0,IF(LEN(JW353)=11,_xlfn.XLOOKUP(JW353,'Dispensed Ink Rates'!C:C,'Dispensed Ink Rates'!CS:CS),VLOOKUP(JW353,'Jan-2026 rates'!$E:$F,2,0)))</f>
        <v>0</v>
      </c>
      <c r="KM353" s="428"/>
      <c r="KN353" s="398">
        <f>IF(KM353=0,0,IF(LEN(JX353)=11,_xlfn.XLOOKUP(JX353,'Dispensed Ink Rates'!C:C,'Dispensed Ink Rates'!CS:CS),VLOOKUP(JX353,'Jan-2026 rates'!$E:$F,2,0)))</f>
        <v>0</v>
      </c>
      <c r="KO353" s="409"/>
      <c r="KP353" s="409"/>
      <c r="KQ353" s="411">
        <f t="shared" ref="KQ353" si="325">IFERROR(IF(KR353&lt;=0,0,(JL353*JM353+JO353*JP353+JY353*JZ353+KA353*KB353+KC353*KD353+KE353*KF353+KG353*KH353+KI353*KJ353+KK353*KL353+KM353*KN353+(LA353/SUM(KT353:LA353)*LL353)*LX353)/(JL353+JO353+JY353+KA353+KC353+KE353+KG353+KI353+KK353+KM353+(LA353/SUM(KT353:LA353)*LL353))),0)</f>
        <v>0</v>
      </c>
      <c r="KR353" s="411">
        <f t="shared" ref="KR353" si="326">IFERROR((JL353+JO353+JY353+KA353+KC353+KE353+KG353+KI353+KK353+KM353+(LA353/SUM(KT353:LA353)*LL353)-KP353),0)</f>
        <v>0</v>
      </c>
      <c r="KS353" s="410">
        <f t="shared" ref="KS353" si="327">IFERROR(IF(KR353&lt;=0,0,(JL353*JM353+JO353*JP353+JY353*JZ353+KA353*KB353+KC353*KD353+KE353*KF353+KG353*KH353+KI353*KJ353+KK353*KL353+KM353*KN353-KP353*KQ353+(LA353/SUM(KT353:LA353)*LL353)*LX353)),0)</f>
        <v>0</v>
      </c>
      <c r="KT353" s="409"/>
      <c r="KU353" s="409"/>
      <c r="KV353" s="409"/>
      <c r="KW353" s="409"/>
      <c r="KX353" s="409"/>
      <c r="KY353" s="409"/>
      <c r="KZ353" s="409"/>
      <c r="LA353" s="409"/>
      <c r="LB353" s="415"/>
      <c r="LC353" s="415"/>
      <c r="LD353" s="424"/>
      <c r="LE353" s="415"/>
      <c r="LF353" s="415"/>
      <c r="LG353" s="409">
        <v>0</v>
      </c>
      <c r="LH353" s="409">
        <v>0</v>
      </c>
      <c r="LI353" s="409">
        <v>0</v>
      </c>
      <c r="LJ353" s="409">
        <v>0</v>
      </c>
      <c r="LK353" s="416">
        <f t="shared" ref="LK353" si="328">LG353+LH353+LI353-LJ353</f>
        <v>0</v>
      </c>
      <c r="LL353" s="416">
        <f t="shared" si="237"/>
        <v>0</v>
      </c>
      <c r="LM353" s="417">
        <f t="shared" ref="LM353" si="329">IFERROR($LL353*LB353,0)</f>
        <v>0</v>
      </c>
      <c r="LN353" s="417">
        <f>VLOOKUP($LM$8,'Jan-2026 rates'!$H:$I,2,0)</f>
        <v>0</v>
      </c>
      <c r="LO353" s="417">
        <f t="shared" ref="LO353" si="330">IFERROR(LL353*LC353,0)</f>
        <v>0</v>
      </c>
      <c r="LP353" s="417">
        <f>VLOOKUP($LO$8,'Jan-2026 rates'!$H:$I,2,0)</f>
        <v>0</v>
      </c>
      <c r="LQ353" s="417">
        <f t="shared" ref="LQ353" si="331">IFERROR(LL353*LD353,0)</f>
        <v>0</v>
      </c>
      <c r="LR353" s="417">
        <f>VLOOKUP($LQ$8,'Jan-2026 rates'!$H:$I,2,0)</f>
        <v>0</v>
      </c>
      <c r="LS353" s="417">
        <f t="shared" ref="LS353" si="332">IFERROR(LL353*LE353,0)</f>
        <v>0</v>
      </c>
      <c r="LT353" s="417">
        <f>VLOOKUP($LS$8,'Jan-2026 rates'!$H:$I,2,0)</f>
        <v>0</v>
      </c>
      <c r="LU353" s="417">
        <f t="shared" ref="LU353" si="333">IFERROR(LL353*LF353,0)</f>
        <v>0</v>
      </c>
      <c r="LV353" s="417">
        <f>VLOOKUP($LU$8,'Jan-2026 rates'!$H:$I,2,0)</f>
        <v>0</v>
      </c>
      <c r="LW353" s="417">
        <f t="shared" ref="LW353" si="334">(LM353*LN353+LO353*LP353+LQ353*LR353+LS353*LT353+LU353*LV353)</f>
        <v>0</v>
      </c>
      <c r="LX353" s="417">
        <f t="shared" ref="LX353" si="335">IFERROR(LW353/LL353,0)</f>
        <v>0</v>
      </c>
      <c r="LY353" s="418">
        <f t="shared" ref="LY353" si="336">AT353+CE353+DP353+FA353+GL353+HW353+JH353+KS353</f>
        <v>0</v>
      </c>
      <c r="LZ353" s="417"/>
      <c r="MA353" s="435">
        <f t="shared" ref="MA353" si="337">Z353+AB353+AD353+AF353+AH353+AJ353+AL353+AN353+BK353+BM353+BO353+BQ353+BS353+BU353+BW353+BY353+CV353+CX353+CZ353+DB353+DD353+DF353+DH353+DJ353+EG353+EI353+EK353+EM353+EO353+EQ353+ES353+EU353+FR353+FT353+FV353+FX353+FZ353+GB353+GD353+GF353+HC353+HE353+HG353+HI353+HK353+HM353+HO353+HQ353+IN353+IP353+IR353+IT353+IV353+IX353+IZ353+JB353+JY353+KA353+KC353+KE353+KG353+KI353+KK353+KM353</f>
        <v>500</v>
      </c>
      <c r="MB353" s="282">
        <f t="shared" ref="MB353" si="338">AS353+CD353+DO353+EZ353+GK353+HV353+JG353+KR353</f>
        <v>0</v>
      </c>
      <c r="MC353" s="283">
        <v>195</v>
      </c>
      <c r="MD353" s="284" t="str">
        <f t="shared" ref="MD353" si="339">CONCATENATE(AP353,CA353,DL353,EW353,GH353,HS353,JD353,KO353)</f>
        <v>0</v>
      </c>
      <c r="ME353" s="293" t="str">
        <f t="shared" ref="ME353" si="340">IF(AQ353&lt;&gt;"",IF(AS353&gt;0,"+","-"),"NIL")</f>
        <v>-</v>
      </c>
      <c r="MF353" s="293" t="str">
        <f t="shared" ref="MF353" si="341">IF(CB353&lt;&gt;"",IF(CD353&gt;0,"+","-"),"NIL")</f>
        <v>NIL</v>
      </c>
      <c r="MG353" s="293" t="str">
        <f t="shared" ref="MG353" si="342">IF(DM353&lt;&gt;"",IF(DO353&gt;0,"+","-"),"NIL")</f>
        <v>NIL</v>
      </c>
      <c r="MH353" s="293" t="str">
        <f t="shared" ref="MH353" si="343">IF(EX353&lt;&gt;"",IF(EZ353&gt;0,"+","-"),"NIL")</f>
        <v>NIL</v>
      </c>
      <c r="MI353" s="293" t="str">
        <f t="shared" ref="MI353" si="344">IF(GI353&lt;&gt;"",IF(GK353&gt;0,"+","-"),"NIL")</f>
        <v>NIL</v>
      </c>
      <c r="MJ353" s="293" t="str">
        <f t="shared" ref="MJ353" si="345">IF(HT353&lt;&gt;"",IF(HV353&gt;0,"+","-"),"NIL")</f>
        <v>NIL</v>
      </c>
      <c r="MK353" s="293" t="str">
        <f t="shared" ref="MK353" si="346">IF(JE353&lt;&gt;"",IF(JG353&gt;0,"+","-"),"NIL")</f>
        <v>NIL</v>
      </c>
      <c r="ML353" s="293" t="str">
        <f t="shared" ref="ML353" si="347">IF(KP353&lt;&gt;"",IF(KR353&gt;0,"+","-"),"NIL")</f>
        <v>NIL</v>
      </c>
      <c r="MM353" s="3" t="b">
        <f t="array" ref="MM353">OR(ME353:ML353="-")</f>
        <v>1</v>
      </c>
      <c r="MO353" s="401" t="e">
        <f t="shared" si="238"/>
        <v>#DIV/0!</v>
      </c>
      <c r="MP353" s="286"/>
      <c r="MR353" s="402" t="e">
        <f t="shared" si="239"/>
        <v>#DIV/0!</v>
      </c>
      <c r="MS353" s="400" t="e">
        <f t="shared" si="240"/>
        <v>#DIV/0!</v>
      </c>
      <c r="MT353" s="285"/>
      <c r="NH353" s="361"/>
      <c r="NJ353" s="282"/>
    </row>
    <row r="354" spans="1:374" ht="16.5">
      <c r="A354" s="403">
        <v>46047</v>
      </c>
      <c r="B354" s="404" t="s">
        <v>1015</v>
      </c>
      <c r="C354" s="405" t="s">
        <v>4729</v>
      </c>
      <c r="D354" s="404">
        <v>196</v>
      </c>
      <c r="E354" s="404">
        <v>2065</v>
      </c>
      <c r="F354" s="407">
        <v>106600</v>
      </c>
      <c r="G354" s="407" t="s">
        <v>1016</v>
      </c>
      <c r="H354" s="408" t="s">
        <v>1017</v>
      </c>
      <c r="I354" s="409">
        <v>1.76</v>
      </c>
      <c r="J354" s="405" t="s">
        <v>546</v>
      </c>
      <c r="K354" s="404" t="s">
        <v>4322</v>
      </c>
      <c r="L354" s="419" t="str">
        <f t="shared" si="184"/>
        <v>FLINTSL - REFLEX BLUE</v>
      </c>
      <c r="M354" s="404">
        <v>30</v>
      </c>
      <c r="N354" s="410">
        <f>IF(M354=0,0,IF($LB354=70%,VLOOKUP($L354,'Jan-2026 rates'!$L:$R,4,0),IF($LB354=65%,VLOOKUP($L354,'Jan-2026 rates'!$L:$R,4,0),IF($LB354=40%,VLOOKUP($L354,'Jan-2026 rates'!$L:$R,5,0),IF($LB354=30%,VLOOKUP($L354,'Jan-2026 rates'!$L:$R,6,0),IF($LB354=100%,VLOOKUP($L354,'Jan-2026 rates'!$L:$R,7,0),IF($LB354=60%,VLOOKUP($L354,'Jan-2026 rates'!$L:$S,8,0),IF($LB354=80%,VLOOKUP($L354,'Jan-2026 rates'!L:T,9,0),0))))))))</f>
        <v>0</v>
      </c>
      <c r="O354" s="406"/>
      <c r="P354" s="404"/>
      <c r="Q354" s="410">
        <f>IF(P354=0,0,IF($LB354=70%,VLOOKUP($L354,'Jan-2026 rates'!$L:$R,4,0),IF($LB354=65%,VLOOKUP($L354,'Jan-2026 rates'!$L:$R,4,0),IF($LB354=40%,VLOOKUP($L354,'Jan-2026 rates'!$L:$R,5,0),IF($LB354=30%,VLOOKUP($L354,'Jan-2026 rates'!$L:$R,6,0),IF($LB354=100%,VLOOKUP($L354,'Jan-2026 rates'!$L:$R,7,0),IF($LB354=60%,VLOOKUP($L354,'Jan-2026 rates'!$L:$S,8,0),IF($LB354=80%,VLOOKUP($L354,'Jan-2026 rates'!L:T,9,0),0))))))))</f>
        <v>0</v>
      </c>
      <c r="R354" s="406">
        <v>26523000016</v>
      </c>
      <c r="S354" s="406"/>
      <c r="T354" s="406"/>
      <c r="U354" s="406"/>
      <c r="V354" s="406"/>
      <c r="W354" s="406"/>
      <c r="X354" s="406"/>
      <c r="Y354" s="406"/>
      <c r="Z354" s="404">
        <f>6+4</f>
        <v>10</v>
      </c>
      <c r="AA354" s="398" t="e">
        <f>IF(Z354=0,0,IF(LEN(R354)=11,_xlfn.XLOOKUP(R354,'Dispensed Ink Rates'!C:C,'Dispensed Ink Rates'!CS:CS),VLOOKUP(R354,'Jan-2026 rates'!$E:$F,2,0)))</f>
        <v>#N/A</v>
      </c>
      <c r="AB354" s="404"/>
      <c r="AC354" s="398">
        <f>IF(AB354=0,0,IF(LEN(S354)=11,_xlfn.XLOOKUP(S354,'Dispensed Ink Rates'!C:C,'Dispensed Ink Rates'!CS:CS),VLOOKUP(S354,'Jan-2026 rates'!$E:$F,2,0)))</f>
        <v>0</v>
      </c>
      <c r="AD354" s="404"/>
      <c r="AE354" s="398">
        <f>IF(AD354=0,0,IF(LEN(T354)=11,_xlfn.XLOOKUP(T354,'Dispensed Ink Rates'!C:C,'Dispensed Ink Rates'!CS:CS),VLOOKUP(T354,'Jan-2026 rates'!$E:$F,2,0)))</f>
        <v>0</v>
      </c>
      <c r="AF354" s="404"/>
      <c r="AG354" s="398">
        <f>IF(AF354=0,0,IF(LEN(U354)=11,_xlfn.XLOOKUP(U354,'Dispensed Ink Rates'!C:C,'Dispensed Ink Rates'!CS:CS),VLOOKUP(U354,'Jan-2026 rates'!$E:$F,2,0)))</f>
        <v>0</v>
      </c>
      <c r="AH354" s="404"/>
      <c r="AI354" s="398">
        <f>IF(AH354=0,0,IF(LEN(V354)=11,_xlfn.XLOOKUP(V354,'Dispensed Ink Rates'!C:C,'Dispensed Ink Rates'!CS:CS),VLOOKUP(V354,'Jan-2026 rates'!$E:$F,2,0)))</f>
        <v>0</v>
      </c>
      <c r="AJ354" s="404"/>
      <c r="AK354" s="398">
        <f>IF(AJ354=0,0,IF(LEN(W354)=11,_xlfn.XLOOKUP(W354,'Dispensed Ink Rates'!C:C,'Dispensed Ink Rates'!CS:CS),VLOOKUP(W354,'Jan-2026 rates'!$E:$F,2,0)))</f>
        <v>0</v>
      </c>
      <c r="AL354" s="404"/>
      <c r="AM354" s="398">
        <f>IF(AL354=0,0,IF(LEN(X354)=11,_xlfn.XLOOKUP(X354,'Dispensed Ink Rates'!C:C,'Dispensed Ink Rates'!CS:CS),VLOOKUP(X354,'Jan-2026 rates'!$E:$F,2,0)))</f>
        <v>0</v>
      </c>
      <c r="AN354" s="404"/>
      <c r="AO354" s="398">
        <f>IF(AN354=0,0,IF(LEN(Y354)=11,_xlfn.XLOOKUP(Y354,'Dispensed Ink Rates'!C:C,'Dispensed Ink Rates'!CS:CS),VLOOKUP(Y354,'Jan-2026 rates'!$E:$F,2,0)))</f>
        <v>0</v>
      </c>
      <c r="AP354" s="409" t="s">
        <v>1443</v>
      </c>
      <c r="AQ354" s="409">
        <v>15</v>
      </c>
      <c r="AR354" s="410">
        <f t="shared" si="212"/>
        <v>0</v>
      </c>
      <c r="AS354" s="411">
        <f t="shared" si="213"/>
        <v>33.086956521739133</v>
      </c>
      <c r="AT354" s="410">
        <f t="shared" si="214"/>
        <v>0</v>
      </c>
      <c r="AU354" s="405" t="s">
        <v>547</v>
      </c>
      <c r="AV354" s="409" t="s">
        <v>4730</v>
      </c>
      <c r="AW354" s="420" t="str">
        <f t="shared" si="236"/>
        <v>FLINTSL - GREEN</v>
      </c>
      <c r="AX354" s="409">
        <v>26</v>
      </c>
      <c r="AY354" s="411">
        <f>IF(AX354=0,0,IF($LB354=70%,VLOOKUP($AW354,'Jan-2026 rates'!$L:$R,4,0),IF($LB354=65%,VLOOKUP($AW354,'Jan-2026 rates'!$L:$R,4,0),IF($LB354=40%,VLOOKUP($AW354,'Jan-2026 rates'!$L:$R,5,0),IF($LB354=30%,VLOOKUP($AW354,'Jan-2026 rates'!$L:$R,6,0),IF($LB354=100%,VLOOKUP($AW354,'Jan-2026 rates'!$L:$R,7,0),IF($LB354=60%,VLOOKUP($AW354,'Jan-2026 rates'!$L:$S,8,0),IF($LB354=80%,VLOOKUP($AW354,'Jan-2026 rates'!L:T,9,0),0))))))))</f>
        <v>0</v>
      </c>
      <c r="AZ354" s="412"/>
      <c r="BA354" s="409"/>
      <c r="BB354" s="411">
        <f>IF(BA354=0,0,IF($LB354=70%,VLOOKUP($AW354,'Jan-2026 rates'!$L:$R,4,0),IF($LB354=65%,VLOOKUP($AW354,'Jan-2026 rates'!$L:$R,4,0),IF($LB354=40%,VLOOKUP($AW354,'Jan-2026 rates'!$L:$R,5,0),IF($LB354=30%,VLOOKUP($AW354,'Jan-2026 rates'!$L:$R,6,0),IF($LB354=100%,VLOOKUP($AW354,'Jan-2026 rates'!$L:$R,7,0),IF($LB354=60%,VLOOKUP($AW354,'Jan-2026 rates'!$L:$S,8,0),IF($LB354=80%,VLOOKUP($AW354,'Jan-2026 rates'!L:T,9,0),0))))))))</f>
        <v>0</v>
      </c>
      <c r="BC354" s="413">
        <v>26526000029</v>
      </c>
      <c r="BD354" s="412"/>
      <c r="BE354" s="412"/>
      <c r="BF354" s="413"/>
      <c r="BG354" s="412"/>
      <c r="BH354" s="412"/>
      <c r="BI354" s="412"/>
      <c r="BJ354" s="412"/>
      <c r="BK354" s="409">
        <v>3</v>
      </c>
      <c r="BL354" s="398" t="e">
        <f>IF(BK354=0,0,IF(LEN(BC354)=11,_xlfn.XLOOKUP(BC354,'Dispensed Ink Rates'!C:C,'Dispensed Ink Rates'!CS:CS),VLOOKUP(BC354,'Jan-2026 rates'!$E:$F,2,0)))</f>
        <v>#N/A</v>
      </c>
      <c r="BM354" s="409"/>
      <c r="BN354" s="398">
        <f>IF(BM354=0,0,IF(LEN(BD354)=11,_xlfn.XLOOKUP(BD354,'Dispensed Ink Rates'!C:C,'Dispensed Ink Rates'!CS:CS),VLOOKUP(BD354,'Jan-2026 rates'!$E:$F,2,0)))</f>
        <v>0</v>
      </c>
      <c r="BO354" s="409"/>
      <c r="BP354" s="398">
        <f>IF(BO354=0,0,IF(LEN(BE354)=11,_xlfn.XLOOKUP(BE354,'Dispensed Ink Rates'!C:C,'Dispensed Ink Rates'!CS:CS),VLOOKUP(BE354,'Jan-2026 rates'!$E:$F,2,0)))</f>
        <v>0</v>
      </c>
      <c r="BQ354" s="409"/>
      <c r="BR354" s="398">
        <f>IF(BQ354=0,0,IF(LEN(BF354)=11,_xlfn.XLOOKUP(BF354,'Dispensed Ink Rates'!C:C,'Dispensed Ink Rates'!CS:CS),VLOOKUP(BF354,'Jan-2026 rates'!$E:$F,2,0)))</f>
        <v>0</v>
      </c>
      <c r="BS354" s="409"/>
      <c r="BT354" s="398">
        <f>IF(BS354=0,0,IF(LEN(BG354)=11,_xlfn.XLOOKUP(BG354,'Dispensed Ink Rates'!C:C,'Dispensed Ink Rates'!CS:CS),VLOOKUP(BG354,'Jan-2026 rates'!$E:$F,2,0)))</f>
        <v>0</v>
      </c>
      <c r="BU354" s="409"/>
      <c r="BV354" s="398">
        <f>IF(BU354=0,0,IF(LEN(BH354)=11,_xlfn.XLOOKUP(BH354,'Dispensed Ink Rates'!C:C,'Dispensed Ink Rates'!CS:CS),VLOOKUP(BH354,'Jan-2026 rates'!$E:$F,2,0)))</f>
        <v>0</v>
      </c>
      <c r="BW354" s="409"/>
      <c r="BX354" s="398">
        <f>IF(BW354=0,0,IF(LEN(BI354)=11,_xlfn.XLOOKUP(BI354,'Dispensed Ink Rates'!C:C,'Dispensed Ink Rates'!CS:CS),VLOOKUP(BI354,'Jan-2026 rates'!$E:$F,2,0)))</f>
        <v>0</v>
      </c>
      <c r="BY354" s="409"/>
      <c r="BZ354" s="398">
        <f>IF(BY354=0,0,IF(LEN(BJ354)=11,_xlfn.XLOOKUP(BJ354,'Dispensed Ink Rates'!C:C,'Dispensed Ink Rates'!CS:CS),VLOOKUP(BJ354,'Jan-2026 rates'!$E:$F,2,0)))</f>
        <v>0</v>
      </c>
      <c r="CA354" s="409" t="s">
        <v>1443</v>
      </c>
      <c r="CB354" s="409">
        <v>20</v>
      </c>
      <c r="CC354" s="411">
        <f t="shared" si="215"/>
        <v>0</v>
      </c>
      <c r="CD354" s="411">
        <f t="shared" si="216"/>
        <v>14.391304347826086</v>
      </c>
      <c r="CE354" s="410">
        <f t="shared" si="217"/>
        <v>0</v>
      </c>
      <c r="CF354" s="404" t="s">
        <v>855</v>
      </c>
      <c r="CG354" s="409"/>
      <c r="CH354" s="420" t="str">
        <f t="shared" si="185"/>
        <v>FLINTSL - CYAN</v>
      </c>
      <c r="CI354" s="409"/>
      <c r="CJ354" s="411">
        <f>IF(CI354=0,0,IF($LB354=70%,VLOOKUP($CH354,'Jan-2026 rates'!$L:$R,4,0),IF($LB354=65%,VLOOKUP($CH354,'Jan-2026 rates'!$L:$R,4,0),IF($LB354=40%,VLOOKUP($CH354,'Jan-2026 rates'!$L:$R,5,0),IF($LB354=30%,VLOOKUP($CH354,'Jan-2026 rates'!$L:$R,6,0),IF($LB354=100%,VLOOKUP($CH354,'Jan-2026 rates'!$L:$R,7,0),IF($LB354=60%,VLOOKUP($CH354,'Jan-2026 rates'!$L:$S,8,0),IF($LB354=80%,VLOOKUP($CH354,'Jan-2026 rates'!L:T,9,0),0))))))))</f>
        <v>0</v>
      </c>
      <c r="CK354" s="412"/>
      <c r="CL354" s="409"/>
      <c r="CM354" s="411">
        <f>IF(CL354=0,0,IF($LB354=70%,VLOOKUP($CH354,'Jan-2026 rates'!$L:$R,4,0),IF($LB354=65%,VLOOKUP($CH354,'Jan-2026 rates'!$L:$R,4,0),IF($LB354=40%,VLOOKUP($CH354,'Jan-2026 rates'!$L:$R,5,0),IF($LB354=30%,VLOOKUP($CH354,'Jan-2026 rates'!$L:$R,6,0),IF($LB354=100%,VLOOKUP($CH354,'Jan-2026 rates'!$L:$R,7,0),IF($LB354=60%,VLOOKUP($CH354,'Jan-2026 rates'!$L:$S,8,0),IF($LB354=80%,VLOOKUP($CH354,'Jan-2026 rates'!L:T,9,0),0))))))))</f>
        <v>0</v>
      </c>
      <c r="CN354" s="426">
        <v>26525000004</v>
      </c>
      <c r="CO354" s="427">
        <v>26525000005</v>
      </c>
      <c r="CP354" s="426"/>
      <c r="CQ354" s="426"/>
      <c r="CR354" s="428"/>
      <c r="CS354" s="428"/>
      <c r="CT354" s="428"/>
      <c r="CU354" s="428"/>
      <c r="CV354" s="409">
        <v>40</v>
      </c>
      <c r="CW354" s="398" t="e">
        <f>IF(CV354=0,0,IF(LEN(CN354)=11,_xlfn.XLOOKUP(CN354,'Dispensed Ink Rates'!C:C,'Dispensed Ink Rates'!CS:CS),VLOOKUP(CN354,'Jan-2026 rates'!$E:$F,2,0)))</f>
        <v>#N/A</v>
      </c>
      <c r="CX354" s="409">
        <v>40</v>
      </c>
      <c r="CY354" s="398" t="e">
        <f>IF(CX354=0,0,IF(LEN(CO354)=11,_xlfn.XLOOKUP(CO354,'Dispensed Ink Rates'!C:C,'Dispensed Ink Rates'!CS:CS),VLOOKUP(CO354,'Jan-2026 rates'!$E:$F,2,0)))</f>
        <v>#N/A</v>
      </c>
      <c r="CZ354" s="409"/>
      <c r="DA354" s="398">
        <f>IF(CZ354=0,0,IF(LEN(CP354)=11,_xlfn.XLOOKUP(CP354,'Dispensed Ink Rates'!C:C,'Dispensed Ink Rates'!CS:CS),VLOOKUP(CP354,'Jan-2026 rates'!$E:$F,2,0)))</f>
        <v>0</v>
      </c>
      <c r="DB354" s="409"/>
      <c r="DC354" s="398">
        <f>IF(DB354=0,0,IF(LEN(CQ354)=11,_xlfn.XLOOKUP(CQ354,'Dispensed Ink Rates'!C:C,'Dispensed Ink Rates'!CS:CS),VLOOKUP(CQ354,'Jan-2026 rates'!$E:$F,2,0)))</f>
        <v>0</v>
      </c>
      <c r="DD354" s="409"/>
      <c r="DE354" s="398">
        <f>IF(DD354=0,0,IF(LEN(CR354)=11,_xlfn.XLOOKUP(CR354,'Dispensed Ink Rates'!C:C,'Dispensed Ink Rates'!CS:CS),VLOOKUP(CR354,'Jan-2026 rates'!$E:$F,2,0)))</f>
        <v>0</v>
      </c>
      <c r="DF354" s="409"/>
      <c r="DG354" s="398">
        <f>IF(DF354=0,0,IF(LEN(CS354)=11,_xlfn.XLOOKUP(CS354,'Dispensed Ink Rates'!C:C,'Dispensed Ink Rates'!CS:CS),VLOOKUP(CS354,'Jan-2026 rates'!$E:$F,2,0)))</f>
        <v>0</v>
      </c>
      <c r="DH354" s="409"/>
      <c r="DI354" s="398">
        <f>IF(DH354=0,0,IF(LEN(CT354)=11,_xlfn.XLOOKUP(CT354,'Dispensed Ink Rates'!C:C,'Dispensed Ink Rates'!CS:CS),VLOOKUP(CT354,'Jan-2026 rates'!$E:$F,2,0)))</f>
        <v>0</v>
      </c>
      <c r="DJ354" s="409"/>
      <c r="DK354" s="398">
        <f>IF(DJ354=0,0,IF(LEN(CU354)=11,_xlfn.XLOOKUP(CU354,'Dispensed Ink Rates'!C:C,'Dispensed Ink Rates'!CS:CS),VLOOKUP(CU354,'Jan-2026 rates'!$E:$F,2,0)))</f>
        <v>0</v>
      </c>
      <c r="DL354" s="409" t="s">
        <v>1443</v>
      </c>
      <c r="DM354" s="409">
        <v>25</v>
      </c>
      <c r="DN354" s="411">
        <f t="shared" si="218"/>
        <v>0</v>
      </c>
      <c r="DO354" s="411">
        <f t="shared" si="219"/>
        <v>55</v>
      </c>
      <c r="DP354" s="410">
        <f t="shared" si="220"/>
        <v>0</v>
      </c>
      <c r="DQ354" s="405" t="s">
        <v>857</v>
      </c>
      <c r="DR354" s="409"/>
      <c r="DS354" s="420" t="str">
        <f t="shared" si="186"/>
        <v>FLINTSL - RED</v>
      </c>
      <c r="DT354" s="409"/>
      <c r="DU354" s="411">
        <f>IF(DT354=0,0,IF($LB354=70%,VLOOKUP($DS354,'Jan-2026 rates'!$L:$R,4,0),IF($LB354=65%,VLOOKUP($DS354,'Jan-2026 rates'!$L:$R,4,0),IF($LB354=40%,VLOOKUP($DS354,'Jan-2026 rates'!$L:$R,5,0),IF($LB354=30%,VLOOKUP($DS354,'Jan-2026 rates'!$L:$R,6,0),IF($LB354=100%,VLOOKUP($DS354,'Jan-2026 rates'!$L:$R,7,0),IF($LB354=60%,VLOOKUP($DS354,'Jan-2026 rates'!$L:$S,8,0),IF($LB354=80%,VLOOKUP($DS354,'Jan-2026 rates'!L:T,9,0),0))))))))</f>
        <v>0</v>
      </c>
      <c r="DV354" s="412"/>
      <c r="DW354" s="409"/>
      <c r="DX354" s="411">
        <f>IF(DW354=0,0,IF($LB354=70%,VLOOKUP($DS354,'Jan-2026 rates'!$L:$R,4,0),IF($LB354=65%,VLOOKUP($DS354,'Jan-2026 rates'!$L:$R,4,0),IF($LB354=40%,VLOOKUP($DS354,'Jan-2026 rates'!$L:$R,5,0),IF($LB354=30%,VLOOKUP($DS354,'Jan-2026 rates'!$L:$R,6,0),IF($LB354=100%,VLOOKUP($DS354,'Jan-2026 rates'!$L:$R,7,0),IF($LB354=60%,VLOOKUP($DS354,'Jan-2026 rates'!$L:$S,8,0),IF($LB354=80%,VLOOKUP($DS354,'Jan-2026 rates'!L:T,9,0),0))))))))</f>
        <v>0</v>
      </c>
      <c r="DY354" s="413">
        <v>26526000026</v>
      </c>
      <c r="DZ354" s="413">
        <v>26526000027</v>
      </c>
      <c r="EA354" s="412"/>
      <c r="EB354" s="412"/>
      <c r="EC354" s="412"/>
      <c r="ED354" s="412"/>
      <c r="EE354" s="412"/>
      <c r="EF354" s="412"/>
      <c r="EG354" s="409">
        <v>15</v>
      </c>
      <c r="EH354" s="398" t="e">
        <f>IF(EG354=0,0,IF(LEN(DY354)=11,_xlfn.XLOOKUP(DY354,'Dispensed Ink Rates'!C:C,'Dispensed Ink Rates'!CS:CS),VLOOKUP(DY354,'Jan-2026 rates'!$E:$F,2,0)))</f>
        <v>#N/A</v>
      </c>
      <c r="EI354" s="409">
        <v>10</v>
      </c>
      <c r="EJ354" s="398" t="e">
        <f>IF(EI354=0,0,IF(LEN(DZ354)=11,_xlfn.XLOOKUP(DZ354,'Dispensed Ink Rates'!C:C,'Dispensed Ink Rates'!CS:CS),VLOOKUP(DZ354,'Jan-2026 rates'!$E:$F,2,0)))</f>
        <v>#N/A</v>
      </c>
      <c r="EK354" s="409"/>
      <c r="EL354" s="398">
        <f>IF(EK354=0,0,IF(LEN(EA354)=11,_xlfn.XLOOKUP(EA354,'Dispensed Ink Rates'!C:C,'Dispensed Ink Rates'!CS:CS),VLOOKUP(EA354,'Jan-2026 rates'!$E:$F,2,0)))</f>
        <v>0</v>
      </c>
      <c r="EM354" s="409"/>
      <c r="EN354" s="398">
        <f>IF(EM354=0,0,IF(LEN(EB354)=11,_xlfn.XLOOKUP(EB354,'Dispensed Ink Rates'!C:C,'Dispensed Ink Rates'!CS:CS),VLOOKUP(EB354,'Jan-2026 rates'!$E:$F,2,0)))</f>
        <v>0</v>
      </c>
      <c r="EO354" s="409"/>
      <c r="EP354" s="398">
        <f>IF(EO354=0,0,IF(LEN(EC354)=11,_xlfn.XLOOKUP(EC354,'Dispensed Ink Rates'!C:C,'Dispensed Ink Rates'!CS:CS),VLOOKUP(EC354,'Jan-2026 rates'!$E:$F,2,0)))</f>
        <v>0</v>
      </c>
      <c r="EQ354" s="409"/>
      <c r="ER354" s="398">
        <f>IF(EQ354=0,0,IF(LEN(ED354)=11,_xlfn.XLOOKUP(ED354,'Dispensed Ink Rates'!C:C,'Dispensed Ink Rates'!CS:CS),VLOOKUP(ED354,'Jan-2026 rates'!$E:$F,2,0)))</f>
        <v>0</v>
      </c>
      <c r="ES354" s="409"/>
      <c r="ET354" s="398">
        <f>IF(ES354=0,0,IF(LEN(EE354)=11,_xlfn.XLOOKUP(EE354,'Dispensed Ink Rates'!C:C,'Dispensed Ink Rates'!CS:CS),VLOOKUP(EE354,'Jan-2026 rates'!$E:$F,2,0)))</f>
        <v>0</v>
      </c>
      <c r="EU354" s="409"/>
      <c r="EV354" s="398">
        <f>IF(EU354=0,0,IF(LEN(EF354)=11,_xlfn.XLOOKUP(EF354,'Dispensed Ink Rates'!C:C,'Dispensed Ink Rates'!CS:CS),VLOOKUP(EF354,'Jan-2026 rates'!$E:$F,2,0)))</f>
        <v>0</v>
      </c>
      <c r="EW354" s="409" t="s">
        <v>1443</v>
      </c>
      <c r="EX354" s="409">
        <v>22</v>
      </c>
      <c r="EY354" s="411">
        <f t="shared" si="221"/>
        <v>0</v>
      </c>
      <c r="EZ354" s="411">
        <f t="shared" si="222"/>
        <v>29.956521739130437</v>
      </c>
      <c r="FA354" s="410">
        <f t="shared" si="223"/>
        <v>0</v>
      </c>
      <c r="FB354" s="405" t="s">
        <v>857</v>
      </c>
      <c r="FC354" s="409"/>
      <c r="FD354" s="420" t="str">
        <f t="shared" si="187"/>
        <v>FLINTSL - RED</v>
      </c>
      <c r="FE354" s="409"/>
      <c r="FF354" s="411">
        <f>IF(FE354=0,0,IF($LB354=70%,VLOOKUP($FD354,'Jan-2026 rates'!$L:$R,4,0),IF($LB354=65%,VLOOKUP($FD354,'Jan-2026 rates'!$L:$R,4,0),IF($LB354=40%,VLOOKUP($FD354,'Jan-2026 rates'!$L:$R,5,0),IF($LB354=30%,VLOOKUP($FD354,'Jan-2026 rates'!$L:$R,6,0),IF($LB354=100%,VLOOKUP($FD354,'Jan-2026 rates'!$L:$R,7,0),IF($LB354=60%,VLOOKUP($FD354,'Jan-2026 rates'!$L:$S,8,0),IF($LB354=80%,VLOOKUP($FD354,'Jan-2026 rates'!L:T,9,0),0))))))))</f>
        <v>0</v>
      </c>
      <c r="FG354" s="412"/>
      <c r="FH354" s="409"/>
      <c r="FI354" s="411">
        <f>IF(FH354=0,0,IF($LB354=70%,VLOOKUP($FD354,'Jan-2026 rates'!$L:$R,4,0),IF($LB354=65%,VLOOKUP($FD354,'Jan-2026 rates'!$L:$R,4,0),IF($LB354=40%,VLOOKUP($FD354,'Jan-2026 rates'!$L:$R,5,0),IF($LB354=30%,VLOOKUP($FD354,'Jan-2026 rates'!$L:$R,6,0),IF($LB354=100%,VLOOKUP($FD354,'Jan-2026 rates'!$L:$R,7,0),IF($LB354=60%,VLOOKUP($FD354,'Jan-2026 rates'!$L:$S,8,0),IF($LB354=80%,VLOOKUP($FD354,'Jan-2026 rates'!L:T,9,0),0))))))))</f>
        <v>0</v>
      </c>
      <c r="FJ354" s="413">
        <v>26527000022</v>
      </c>
      <c r="FK354" s="413">
        <v>26526000027</v>
      </c>
      <c r="FL354" s="413"/>
      <c r="FM354" s="412"/>
      <c r="FN354" s="412"/>
      <c r="FO354" s="412"/>
      <c r="FP354" s="412"/>
      <c r="FQ354" s="412"/>
      <c r="FR354" s="409">
        <v>15</v>
      </c>
      <c r="FS354" s="398" t="e">
        <f>IF(FR354=0,0,IF(LEN(FJ354)=11,_xlfn.XLOOKUP(FJ354,'Dispensed Ink Rates'!C:C,'Dispensed Ink Rates'!CS:CS),VLOOKUP(FJ354,'Jan-2026 rates'!$E:$F,2,0)))</f>
        <v>#N/A</v>
      </c>
      <c r="FT354" s="409">
        <f>8+1</f>
        <v>9</v>
      </c>
      <c r="FU354" s="398" t="e">
        <f>IF(FT354=0,0,IF(LEN(FK354)=11,_xlfn.XLOOKUP(FK354,'Dispensed Ink Rates'!C:C,'Dispensed Ink Rates'!CS:CS),VLOOKUP(FK354,'Jan-2026 rates'!$E:$F,2,0)))</f>
        <v>#N/A</v>
      </c>
      <c r="FV354" s="409"/>
      <c r="FW354" s="398">
        <f>IF(FV354=0,0,IF(LEN(FL354)=11,_xlfn.XLOOKUP(FL354,'Dispensed Ink Rates'!C:C,'Dispensed Ink Rates'!CS:CS),VLOOKUP(FL354,'Jan-2026 rates'!$E:$F,2,0)))</f>
        <v>0</v>
      </c>
      <c r="FX354" s="409"/>
      <c r="FY354" s="398">
        <f>IF(FX354=0,0,IF(LEN(FM354)=11,_xlfn.XLOOKUP(FM354,'Dispensed Ink Rates'!C:C,'Dispensed Ink Rates'!CS:CS),VLOOKUP(FM354,'Jan-2026 rates'!$E:$F,2,0)))</f>
        <v>0</v>
      </c>
      <c r="FZ354" s="409"/>
      <c r="GA354" s="398">
        <f>IF(FZ354=0,0,IF(LEN(FN354)=11,_xlfn.XLOOKUP(FN354,'Dispensed Ink Rates'!C:C,'Dispensed Ink Rates'!CS:CS),VLOOKUP(FN354,'Jan-2026 rates'!$E:$F,2,0)))</f>
        <v>0</v>
      </c>
      <c r="GB354" s="409"/>
      <c r="GC354" s="398">
        <f>IF(GB354=0,0,IF(LEN(FO354)=11,_xlfn.XLOOKUP(FO354,'Dispensed Ink Rates'!C:C,'Dispensed Ink Rates'!CS:CS),VLOOKUP(FO354,'Jan-2026 rates'!$E:$F,2,0)))</f>
        <v>0</v>
      </c>
      <c r="GD354" s="409"/>
      <c r="GE354" s="398">
        <f>IF(GD354=0,0,IF(LEN(FP354)=11,_xlfn.XLOOKUP(FP354,'Dispensed Ink Rates'!C:C,'Dispensed Ink Rates'!CS:CS),VLOOKUP(FP354,'Jan-2026 rates'!$E:$F,2,0)))</f>
        <v>0</v>
      </c>
      <c r="GF354" s="409"/>
      <c r="GG354" s="398">
        <f>IF(GF354=0,0,IF(LEN(FQ354)=11,_xlfn.XLOOKUP(FQ354,'Dispensed Ink Rates'!C:C,'Dispensed Ink Rates'!CS:CS),VLOOKUP(FQ354,'Jan-2026 rates'!$E:$F,2,0)))</f>
        <v>0</v>
      </c>
      <c r="GH354" s="409" t="s">
        <v>1443</v>
      </c>
      <c r="GI354" s="409">
        <v>20</v>
      </c>
      <c r="GJ354" s="411">
        <f t="shared" si="224"/>
        <v>0</v>
      </c>
      <c r="GK354" s="411">
        <f t="shared" si="225"/>
        <v>36.347826086956523</v>
      </c>
      <c r="GL354" s="410">
        <f t="shared" si="226"/>
        <v>0</v>
      </c>
      <c r="GM354" s="405" t="s">
        <v>855</v>
      </c>
      <c r="GN354" s="409" t="s">
        <v>4731</v>
      </c>
      <c r="GO354" s="420" t="str">
        <f t="shared" si="188"/>
        <v>FLINTSL - CYAN</v>
      </c>
      <c r="GP354" s="409">
        <v>35</v>
      </c>
      <c r="GQ354" s="411">
        <f>IF(GP354=0,0,IF($LB354=70%,VLOOKUP($GO354,'Jan-2026 rates'!$L:$R,4,0),IF($LB354=65%,VLOOKUP($GO354,'Jan-2026 rates'!$L:$R,4,0),IF($LB354=40%,VLOOKUP($GO354,'Jan-2026 rates'!$L:$R,5,0),IF($LB354=30%,VLOOKUP($GO354,'Jan-2026 rates'!$L:$R,6,0),IF($LB354=100%,VLOOKUP($GO354,'Jan-2026 rates'!$L:$R,7,0),IF($LB354=60%,VLOOKUP($GO354,'Jan-2026 rates'!$L:$S,8,0),IF($LB354=80%,VLOOKUP($GO354,'Jan-2026 rates'!L:T,9,0),0))))))))</f>
        <v>0</v>
      </c>
      <c r="GR354" s="412"/>
      <c r="GS354" s="409"/>
      <c r="GT354" s="411">
        <f>IF(GS354=0,0,IF($LB354=70%,VLOOKUP($GO354,'Jan-2026 rates'!$L:$R,4,0),IF($LB354=65%,VLOOKUP($GO354,'Jan-2026 rates'!$L:$R,4,0),IF($LB354=40%,VLOOKUP($GO354,'Jan-2026 rates'!$L:$R,5,0),IF($LB354=30%,VLOOKUP($GO354,'Jan-2026 rates'!$L:$R,6,0),IF($LB354=100%,VLOOKUP($GO354,'Jan-2026 rates'!$L:$R,7,0),IF($LB354=60%,VLOOKUP($GO354,'Jan-2026 rates'!$L:$S,8,0),IF($LB354=80%,VLOOKUP($GO354,'Jan-2026 rates'!L:T,9,0),0))))))))</f>
        <v>0</v>
      </c>
      <c r="GU354" s="413">
        <v>26525000012</v>
      </c>
      <c r="GV354" s="413">
        <v>26525000018</v>
      </c>
      <c r="GW354" s="412">
        <v>26524000018</v>
      </c>
      <c r="GX354" s="412">
        <v>26527000009</v>
      </c>
      <c r="GY354" s="412">
        <v>26525000020</v>
      </c>
      <c r="GZ354" s="412"/>
      <c r="HA354" s="412"/>
      <c r="HB354" s="412"/>
      <c r="HC354" s="409">
        <v>30</v>
      </c>
      <c r="HD354" s="398" t="e">
        <f>IF(HC354=0,0,IF(LEN(GU354)=11,_xlfn.XLOOKUP(GU354,'Dispensed Ink Rates'!C:C,'Dispensed Ink Rates'!CS:CS),VLOOKUP(GU354,'Jan-2026 rates'!$E:$F,2,0)))</f>
        <v>#N/A</v>
      </c>
      <c r="HE354" s="409">
        <v>30</v>
      </c>
      <c r="HF354" s="398" t="e">
        <f>IF(HE354=0,0,IF(LEN(GV354)=11,_xlfn.XLOOKUP(GV354,'Dispensed Ink Rates'!C:C,'Dispensed Ink Rates'!CS:CS),VLOOKUP(GV354,'Jan-2026 rates'!$E:$F,2,0)))</f>
        <v>#N/A</v>
      </c>
      <c r="HG354" s="409">
        <f>20+5</f>
        <v>25</v>
      </c>
      <c r="HH354" s="398" t="e">
        <f>IF(HG354=0,0,IF(LEN(GW354)=11,_xlfn.XLOOKUP(GW354,'Dispensed Ink Rates'!C:C,'Dispensed Ink Rates'!CS:CS),VLOOKUP(GW354,'Jan-2026 rates'!$E:$F,2,0)))</f>
        <v>#N/A</v>
      </c>
      <c r="HI354" s="409">
        <f>2+1</f>
        <v>3</v>
      </c>
      <c r="HJ354" s="398" t="e">
        <f>IF(HI354=0,0,IF(LEN(GX354)=11,_xlfn.XLOOKUP(GX354,'Dispensed Ink Rates'!C:C,'Dispensed Ink Rates'!CS:CS),VLOOKUP(GX354,'Jan-2026 rates'!$E:$F,2,0)))</f>
        <v>#N/A</v>
      </c>
      <c r="HK354" s="409">
        <v>20</v>
      </c>
      <c r="HL354" s="398" t="e">
        <f>IF(HK354=0,0,IF(LEN(GY354)=11,_xlfn.XLOOKUP(GY354,'Dispensed Ink Rates'!C:C,'Dispensed Ink Rates'!CS:CS),VLOOKUP(GY354,'Jan-2026 rates'!$E:$F,2,0)))</f>
        <v>#N/A</v>
      </c>
      <c r="HM354" s="409"/>
      <c r="HN354" s="398">
        <f>IF(HM354=0,0,IF(LEN(GZ354)=11,_xlfn.XLOOKUP(GZ354,'Dispensed Ink Rates'!C:C,'Dispensed Ink Rates'!CS:CS),VLOOKUP(GZ354,'Jan-2026 rates'!$E:$F,2,0)))</f>
        <v>0</v>
      </c>
      <c r="HO354" s="409"/>
      <c r="HP354" s="398">
        <f>IF(HO354=0,0,IF(LEN(HA354)=11,_xlfn.XLOOKUP(HA354,'Dispensed Ink Rates'!C:C,'Dispensed Ink Rates'!CS:CS),VLOOKUP(HA354,'Jan-2026 rates'!$E:$F,2,0)))</f>
        <v>0</v>
      </c>
      <c r="HQ354" s="409"/>
      <c r="HR354" s="398">
        <f>IF(HQ354=0,0,IF(LEN(HB354)=11,_xlfn.XLOOKUP(HB354,'Dispensed Ink Rates'!C:C,'Dispensed Ink Rates'!CS:CS),VLOOKUP(HB354,'Jan-2026 rates'!$E:$F,2,0)))</f>
        <v>0</v>
      </c>
      <c r="HS354" s="409" t="s">
        <v>1443</v>
      </c>
      <c r="HT354" s="409">
        <v>23</v>
      </c>
      <c r="HU354" s="411">
        <f t="shared" si="227"/>
        <v>0</v>
      </c>
      <c r="HV354" s="411">
        <f t="shared" si="228"/>
        <v>120</v>
      </c>
      <c r="HW354" s="414">
        <f t="shared" si="229"/>
        <v>0</v>
      </c>
      <c r="HX354" s="405" t="s">
        <v>545</v>
      </c>
      <c r="HY354" s="409"/>
      <c r="HZ354" s="420" t="str">
        <f t="shared" si="189"/>
        <v>FLINTSL - YELLOW</v>
      </c>
      <c r="IA354" s="409"/>
      <c r="IB354" s="411">
        <f>IF(IA354=0,0,IF($LB354=70%,VLOOKUP($HZ354,'Jan-2026 rates'!$L:$R,4,0),IF($LB354=65%,VLOOKUP($HZ354,'Jan-2026 rates'!$L:$R,4,0),IF($LB354=40%,VLOOKUP($HZ354,'Jan-2026 rates'!$L:$R,5,0),IF($LB354=30%,VLOOKUP($HZ354,'Jan-2026 rates'!$L:$R,6,0),IF($LB354=100%,VLOOKUP($HZ354,'Jan-2026 rates'!$L:$R,7,0),IF($LB354=60%,VLOOKUP($HZ354,'Jan-2026 rates'!$L:$S,8,0),IF($LB354=80%,VLOOKUP($HZ354,'Jan-2026 rates'!L:T,9,0),0))))))))</f>
        <v>0</v>
      </c>
      <c r="IC354" s="412"/>
      <c r="ID354" s="409"/>
      <c r="IE354" s="411">
        <f>IF(ID354=0,0,IF($LB354=70%,VLOOKUP($HZ354,'Jan-2026 rates'!$L:$R,4,0),IF($LB354=65%,VLOOKUP($HZ354,'Jan-2026 rates'!$L:$R,4,0),IF($LB354=40%,VLOOKUP($HZ354,'Jan-2026 rates'!$L:$R,5,0),IF($LB354=30%,VLOOKUP($HZ354,'Jan-2026 rates'!$L:$R,6,0),IF($LB354=100%,VLOOKUP($HZ354,'Jan-2026 rates'!$L:$R,7,0),IF($LB354=60%,VLOOKUP($HZ354,'Jan-2026 rates'!$L:$S,8,0),IF($LB354=80%,VLOOKUP($HZ354,'Jan-2026 rates'!L:T,9,0),0))))))))</f>
        <v>0</v>
      </c>
      <c r="IF354" s="412">
        <v>26527000024</v>
      </c>
      <c r="IG354" s="413" t="s">
        <v>1266</v>
      </c>
      <c r="IH354" s="412"/>
      <c r="II354" s="412"/>
      <c r="IJ354" s="412"/>
      <c r="IK354" s="412"/>
      <c r="IL354" s="412"/>
      <c r="IM354" s="412"/>
      <c r="IN354" s="409">
        <f>30+15</f>
        <v>45</v>
      </c>
      <c r="IO354" s="398" t="e">
        <f>IF(IN354=0,0,IF(LEN(IF354)=11,_xlfn.XLOOKUP(IF354,'Dispensed Ink Rates'!C:C,'Dispensed Ink Rates'!CS:CS),VLOOKUP(IF354,'Jan-2026 rates'!$E:$F,2,0)))</f>
        <v>#N/A</v>
      </c>
      <c r="IP354" s="409">
        <f>10+8</f>
        <v>18</v>
      </c>
      <c r="IQ354" s="398">
        <f>IF(IP354=0,0,IF(LEN(IG354)=11,_xlfn.XLOOKUP(IG354,'Dispensed Ink Rates'!C:C,'Dispensed Ink Rates'!CS:CS),VLOOKUP(IG354,'Jan-2026 rates'!$E:$F,2,0)))</f>
        <v>0</v>
      </c>
      <c r="IR354" s="409"/>
      <c r="IS354" s="398">
        <f>IF(IR354=0,0,IF(LEN(IH354)=11,_xlfn.XLOOKUP(IH354,'Dispensed Ink Rates'!C:C,'Dispensed Ink Rates'!CS:CS),VLOOKUP(IH354,'Jan-2026 rates'!$E:$F,2,0)))</f>
        <v>0</v>
      </c>
      <c r="IT354" s="409"/>
      <c r="IU354" s="398">
        <f>IF(IT354=0,0,IF(LEN(II354)=11,_xlfn.XLOOKUP(II354,'Dispensed Ink Rates'!C:C,'Dispensed Ink Rates'!CS:CS),VLOOKUP(II354,'Jan-2026 rates'!$E:$F,2,0)))</f>
        <v>0</v>
      </c>
      <c r="IV354" s="409"/>
      <c r="IW354" s="398">
        <f>IF(IV354=0,0,IF(LEN(IJ354)=11,_xlfn.XLOOKUP(IJ354,'Dispensed Ink Rates'!C:C,'Dispensed Ink Rates'!CS:CS),VLOOKUP(IJ354,'Jan-2026 rates'!$E:$F,2,0)))</f>
        <v>0</v>
      </c>
      <c r="IX354" s="409"/>
      <c r="IY354" s="398">
        <f>IF(IX354=0,0,IF(LEN(IK354)=11,_xlfn.XLOOKUP(IK354,'Dispensed Ink Rates'!C:C,'Dispensed Ink Rates'!CS:CS),VLOOKUP(IK354,'Jan-2026 rates'!$E:$F,2,0)))</f>
        <v>0</v>
      </c>
      <c r="IZ354" s="409"/>
      <c r="JA354" s="398">
        <f>IF(IZ354=0,0,IF(LEN(IL354)=11,_xlfn.XLOOKUP(IL354,'Dispensed Ink Rates'!C:C,'Dispensed Ink Rates'!CS:CS),VLOOKUP(IL354,'Jan-2026 rates'!$E:$F,2,0)))</f>
        <v>0</v>
      </c>
      <c r="JB354" s="409"/>
      <c r="JC354" s="398">
        <f>IF(JB354=0,0,IF(LEN(IM354)=11,_xlfn.XLOOKUP(IM354,'Dispensed Ink Rates'!C:C,'Dispensed Ink Rates'!CS:CS),VLOOKUP(IM354,'Jan-2026 rates'!$E:$F,2,0)))</f>
        <v>0</v>
      </c>
      <c r="JD354" s="409" t="s">
        <v>1443</v>
      </c>
      <c r="JE354" s="409">
        <v>32</v>
      </c>
      <c r="JF354" s="411">
        <f t="shared" si="230"/>
        <v>0</v>
      </c>
      <c r="JG354" s="411">
        <f t="shared" si="231"/>
        <v>93</v>
      </c>
      <c r="JH354" s="410">
        <f t="shared" si="232"/>
        <v>0</v>
      </c>
      <c r="JI354" s="405" t="s">
        <v>856</v>
      </c>
      <c r="JJ354" s="409"/>
      <c r="JK354" s="420" t="str">
        <f t="shared" si="190"/>
        <v>FLINTSL - WHITE</v>
      </c>
      <c r="JL354" s="409"/>
      <c r="JM354" s="411">
        <f>IF(JL354=0,0,IF($LB354=70%,VLOOKUP($JK354,'Jan-2026 rates'!$L:$R,4,0),IF($LB354=65%,VLOOKUP($JK354,'Jan-2026 rates'!$L:$R,4,0),IF($LB354=40%,VLOOKUP($JK354,'Jan-2026 rates'!$L:$R,5,0),IF($LB354=30%,VLOOKUP($JK354,'Jan-2026 rates'!$L:$R,6,0),IF($LB354=100%,VLOOKUP($JK354,'Jan-2026 rates'!$L:$R,7,0),IF($LB354=60%,VLOOKUP($JK354,'Jan-2026 rates'!$L:$S,8,0),IF($LB354=80%,VLOOKUP($JK354,'Jan-2026 rates'!L:T,9,0),0))))))))</f>
        <v>0</v>
      </c>
      <c r="JN354" s="412"/>
      <c r="JO354" s="409"/>
      <c r="JP354" s="411">
        <f>IF(JO354=0,0,IF($LB354=70%,VLOOKUP($JK354,'Jan-2026 rates'!$L:$R,4,0),IF($LB354=65%,VLOOKUP($JK354,'Jan-2026 rates'!$L:$R,4,0),IF($LB354=40%,VLOOKUP($JK354,'Jan-2026 rates'!$L:$R,5,0),IF($LB354=30%,VLOOKUP($JK354,'Jan-2026 rates'!$L:$R,6,0),IF($LB354=100%,VLOOKUP($JK354,'Jan-2026 rates'!$L:$R,7,0),IF($LB354=60%,VLOOKUP($JK354,'Jan-2026 rates'!$L:$S,8,0),IF($LB354=80%,VLOOKUP($JK354,'Jan-2026 rates'!L:T,9,0),0))))))))</f>
        <v>0</v>
      </c>
      <c r="JQ354" s="413" t="s">
        <v>484</v>
      </c>
      <c r="JR354" s="412"/>
      <c r="JS354" s="413"/>
      <c r="JT354" s="413"/>
      <c r="JU354" s="412"/>
      <c r="JV354" s="412"/>
      <c r="JW354" s="412"/>
      <c r="JX354" s="412"/>
      <c r="JY354" s="409">
        <f>100+100+100</f>
        <v>300</v>
      </c>
      <c r="JZ354" s="398">
        <f>IF(JY354=0,0,IF(LEN(JQ354)=11,_xlfn.XLOOKUP(JQ354,'Dispensed Ink Rates'!C:C,'Dispensed Ink Rates'!CS:CS),VLOOKUP(JQ354,'Jan-2026 rates'!$E:$F,2,0)))</f>
        <v>0</v>
      </c>
      <c r="KA354" s="409"/>
      <c r="KB354" s="398">
        <f>IF(KA354=0,0,IF(LEN(JR354)=11,_xlfn.XLOOKUP(JR354,'Dispensed Ink Rates'!C:C,'Dispensed Ink Rates'!CS:CS),VLOOKUP(JR354,'Jan-2026 rates'!$E:$F,2,0)))</f>
        <v>0</v>
      </c>
      <c r="KC354" s="409"/>
      <c r="KD354" s="398">
        <f>IF(KC354=0,0,IF(LEN(JS354)=11,_xlfn.XLOOKUP(JS354,'Dispensed Ink Rates'!C:C,'Dispensed Ink Rates'!CS:CS),VLOOKUP(JS354,'Jan-2026 rates'!$E:$F,2,0)))</f>
        <v>0</v>
      </c>
      <c r="KE354" s="409"/>
      <c r="KF354" s="398">
        <f>IF(KE354=0,0,IF(LEN(JT354)=11,_xlfn.XLOOKUP(JT354,'Dispensed Ink Rates'!C:C,'Dispensed Ink Rates'!CS:CS),VLOOKUP(JT354,'Jan-2026 rates'!$E:$F,2,0)))</f>
        <v>0</v>
      </c>
      <c r="KG354" s="409"/>
      <c r="KH354" s="398">
        <f>IF(KG354=0,0,IF(LEN(JU354)=11,_xlfn.XLOOKUP(JU354,'Dispensed Ink Rates'!C:C,'Dispensed Ink Rates'!CS:CS),VLOOKUP(JU354,'Jan-2026 rates'!$E:$F,2,0)))</f>
        <v>0</v>
      </c>
      <c r="KI354" s="409"/>
      <c r="KJ354" s="398">
        <f>IF(KI354=0,0,IF(LEN(JV354)=11,_xlfn.XLOOKUP(JV354,'Dispensed Ink Rates'!C:C,'Dispensed Ink Rates'!CS:CS),VLOOKUP(JV354,'Jan-2026 rates'!$E:$F,2,0)))</f>
        <v>0</v>
      </c>
      <c r="KK354" s="409"/>
      <c r="KL354" s="398">
        <f>IF(KK354=0,0,IF(LEN(JW354)=11,_xlfn.XLOOKUP(JW354,'Dispensed Ink Rates'!C:C,'Dispensed Ink Rates'!CS:CS),VLOOKUP(JW354,'Jan-2026 rates'!$E:$F,2,0)))</f>
        <v>0</v>
      </c>
      <c r="KM354" s="428"/>
      <c r="KN354" s="398">
        <f>IF(KM354=0,0,IF(LEN(JX354)=11,_xlfn.XLOOKUP(JX354,'Dispensed Ink Rates'!C:C,'Dispensed Ink Rates'!CS:CS),VLOOKUP(JX354,'Jan-2026 rates'!$E:$F,2,0)))</f>
        <v>0</v>
      </c>
      <c r="KO354" s="409" t="s">
        <v>1443</v>
      </c>
      <c r="KP354" s="409">
        <v>29</v>
      </c>
      <c r="KQ354" s="411">
        <f t="shared" si="233"/>
        <v>0</v>
      </c>
      <c r="KR354" s="411">
        <f t="shared" si="234"/>
        <v>756.21739130434787</v>
      </c>
      <c r="KS354" s="410">
        <f t="shared" si="235"/>
        <v>0</v>
      </c>
      <c r="KT354" s="409">
        <v>3</v>
      </c>
      <c r="KU354" s="409">
        <v>2</v>
      </c>
      <c r="KV354" s="409">
        <v>0</v>
      </c>
      <c r="KW354" s="409">
        <v>10</v>
      </c>
      <c r="KX354" s="409">
        <v>12</v>
      </c>
      <c r="KY354" s="409">
        <v>0</v>
      </c>
      <c r="KZ354" s="409">
        <f>15+8</f>
        <v>23</v>
      </c>
      <c r="LA354" s="409">
        <f>60+60+60</f>
        <v>180</v>
      </c>
      <c r="LB354" s="415">
        <v>0.8</v>
      </c>
      <c r="LC354" s="415">
        <v>0.2</v>
      </c>
      <c r="LD354" s="424"/>
      <c r="LE354" s="415"/>
      <c r="LF354" s="415"/>
      <c r="LG354" s="409">
        <v>0</v>
      </c>
      <c r="LH354" s="409">
        <f>180+140+240+60</f>
        <v>620</v>
      </c>
      <c r="LI354" s="409">
        <v>0</v>
      </c>
      <c r="LJ354" s="409">
        <v>0</v>
      </c>
      <c r="LK354" s="416">
        <f t="shared" si="191"/>
        <v>620</v>
      </c>
      <c r="LL354" s="416">
        <f t="shared" si="237"/>
        <v>620</v>
      </c>
      <c r="LM354" s="417">
        <f t="shared" si="193"/>
        <v>496</v>
      </c>
      <c r="LN354" s="417">
        <f>VLOOKUP($LM$8,'Jan-2026 rates'!$H:$I,2,0)</f>
        <v>0</v>
      </c>
      <c r="LO354" s="417">
        <f t="shared" si="194"/>
        <v>124</v>
      </c>
      <c r="LP354" s="417">
        <f>VLOOKUP($LO$8,'Jan-2026 rates'!$H:$I,2,0)</f>
        <v>0</v>
      </c>
      <c r="LQ354" s="417">
        <f t="shared" si="195"/>
        <v>0</v>
      </c>
      <c r="LR354" s="417">
        <f>VLOOKUP($LQ$8,'Jan-2026 rates'!$H:$I,2,0)</f>
        <v>0</v>
      </c>
      <c r="LS354" s="417">
        <f t="shared" si="196"/>
        <v>0</v>
      </c>
      <c r="LT354" s="417">
        <f>VLOOKUP($LS$8,'Jan-2026 rates'!$H:$I,2,0)</f>
        <v>0</v>
      </c>
      <c r="LU354" s="417">
        <f t="shared" si="197"/>
        <v>0</v>
      </c>
      <c r="LV354" s="417">
        <f>VLOOKUP($LU$8,'Jan-2026 rates'!$H:$I,2,0)</f>
        <v>0</v>
      </c>
      <c r="LW354" s="417">
        <f t="shared" si="198"/>
        <v>0</v>
      </c>
      <c r="LX354" s="417">
        <f t="shared" si="199"/>
        <v>0</v>
      </c>
      <c r="LY354" s="418">
        <f t="shared" si="200"/>
        <v>0</v>
      </c>
      <c r="LZ354" s="417"/>
      <c r="MA354" s="435">
        <f t="shared" si="201"/>
        <v>613</v>
      </c>
      <c r="MB354" s="282">
        <f t="shared" si="202"/>
        <v>1138</v>
      </c>
      <c r="MC354" s="283">
        <v>196</v>
      </c>
      <c r="MD354" s="284" t="str">
        <f t="shared" si="203"/>
        <v>FLINTSLFLINTSLFLINTSLFLINTSLFLINTSLFLINTSLFLINTSLFLINTSL</v>
      </c>
      <c r="ME354" s="293" t="str">
        <f t="shared" si="204"/>
        <v>+</v>
      </c>
      <c r="MF354" s="293" t="str">
        <f t="shared" si="205"/>
        <v>+</v>
      </c>
      <c r="MG354" s="293" t="str">
        <f t="shared" si="206"/>
        <v>+</v>
      </c>
      <c r="MH354" s="293" t="str">
        <f t="shared" si="207"/>
        <v>+</v>
      </c>
      <c r="MI354" s="293" t="str">
        <f t="shared" si="208"/>
        <v>+</v>
      </c>
      <c r="MJ354" s="293" t="str">
        <f t="shared" si="209"/>
        <v>+</v>
      </c>
      <c r="MK354" s="293" t="str">
        <f t="shared" si="210"/>
        <v>+</v>
      </c>
      <c r="ML354" s="293" t="str">
        <f t="shared" si="211"/>
        <v>+</v>
      </c>
      <c r="MM354" s="3" t="b">
        <f t="array" ref="MM354">OR(ME354:ML354="-")</f>
        <v>0</v>
      </c>
      <c r="MO354" s="401">
        <f t="shared" si="238"/>
        <v>55.108958837772391</v>
      </c>
      <c r="MP354" s="286"/>
      <c r="MR354" s="402">
        <f t="shared" si="239"/>
        <v>1.0675422138836772E-2</v>
      </c>
      <c r="MS354" s="400">
        <f t="shared" si="240"/>
        <v>0</v>
      </c>
      <c r="MT354" s="285"/>
      <c r="NH354" s="361"/>
      <c r="NJ354" s="282"/>
    </row>
    <row r="355" spans="1:374" ht="16.5">
      <c r="A355" s="403">
        <v>46048</v>
      </c>
      <c r="B355" s="404" t="s">
        <v>1015</v>
      </c>
      <c r="C355" s="405" t="s">
        <v>4732</v>
      </c>
      <c r="D355" s="404">
        <v>197</v>
      </c>
      <c r="E355" s="404">
        <v>501</v>
      </c>
      <c r="F355" s="407">
        <v>22800</v>
      </c>
      <c r="G355" s="407" t="s">
        <v>1016</v>
      </c>
      <c r="H355" s="408" t="s">
        <v>1017</v>
      </c>
      <c r="I355" s="409">
        <v>1.95</v>
      </c>
      <c r="J355" s="405" t="s">
        <v>543</v>
      </c>
      <c r="K355" s="404" t="s">
        <v>4287</v>
      </c>
      <c r="L355" s="419" t="str">
        <f t="shared" si="184"/>
        <v>FLINTSL - BLACK</v>
      </c>
      <c r="M355" s="404">
        <v>15</v>
      </c>
      <c r="N355" s="410">
        <f>IF(M355=0,0,IF($LB355=70%,VLOOKUP($L355,'Jan-2026 rates'!$L:$R,4,0),IF($LB355=65%,VLOOKUP($L355,'Jan-2026 rates'!$L:$R,4,0),IF($LB355=40%,VLOOKUP($L355,'Jan-2026 rates'!$L:$R,5,0),IF($LB355=30%,VLOOKUP($L355,'Jan-2026 rates'!$L:$R,6,0),IF($LB355=100%,VLOOKUP($L355,'Jan-2026 rates'!$L:$R,7,0),IF($LB355=60%,VLOOKUP($L355,'Jan-2026 rates'!$L:$S,8,0),IF($LB355=80%,VLOOKUP($L355,'Jan-2026 rates'!L:T,9,0),0))))))))</f>
        <v>0</v>
      </c>
      <c r="O355" s="406"/>
      <c r="P355" s="404"/>
      <c r="Q355" s="410">
        <f>IF(P355=0,0,IF($LB355=70%,VLOOKUP($L355,'Jan-2026 rates'!$L:$R,4,0),IF($LB355=65%,VLOOKUP($L355,'Jan-2026 rates'!$L:$R,4,0),IF($LB355=40%,VLOOKUP($L355,'Jan-2026 rates'!$L:$R,5,0),IF($LB355=30%,VLOOKUP($L355,'Jan-2026 rates'!$L:$R,6,0),IF($LB355=100%,VLOOKUP($L355,'Jan-2026 rates'!$L:$R,7,0),IF($LB355=60%,VLOOKUP($L355,'Jan-2026 rates'!$L:$S,8,0),IF($LB355=80%,VLOOKUP($L355,'Jan-2026 rates'!L:T,9,0),0))))))))</f>
        <v>0</v>
      </c>
      <c r="R355" s="406">
        <v>26526000029</v>
      </c>
      <c r="S355" s="406" t="s">
        <v>1266</v>
      </c>
      <c r="T355" s="406"/>
      <c r="U355" s="406"/>
      <c r="V355" s="406"/>
      <c r="W355" s="406"/>
      <c r="X355" s="406"/>
      <c r="Y355" s="406"/>
      <c r="Z355" s="404">
        <v>6</v>
      </c>
      <c r="AA355" s="398" t="e">
        <f>IF(Z355=0,0,IF(LEN(R355)=11,_xlfn.XLOOKUP(R355,'Dispensed Ink Rates'!C:C,'Dispensed Ink Rates'!CS:CS),VLOOKUP(R355,'Jan-2026 rates'!$E:$F,2,0)))</f>
        <v>#N/A</v>
      </c>
      <c r="AB355" s="404">
        <v>4</v>
      </c>
      <c r="AC355" s="398">
        <f>IF(AB355=0,0,IF(LEN(S355)=11,_xlfn.XLOOKUP(S355,'Dispensed Ink Rates'!C:C,'Dispensed Ink Rates'!CS:CS),VLOOKUP(S355,'Jan-2026 rates'!$E:$F,2,0)))</f>
        <v>0</v>
      </c>
      <c r="AD355" s="404"/>
      <c r="AE355" s="398">
        <f>IF(AD355=0,0,IF(LEN(T355)=11,_xlfn.XLOOKUP(T355,'Dispensed Ink Rates'!C:C,'Dispensed Ink Rates'!CS:CS),VLOOKUP(T355,'Jan-2026 rates'!$E:$F,2,0)))</f>
        <v>0</v>
      </c>
      <c r="AF355" s="404"/>
      <c r="AG355" s="398">
        <f>IF(AF355=0,0,IF(LEN(U355)=11,_xlfn.XLOOKUP(U355,'Dispensed Ink Rates'!C:C,'Dispensed Ink Rates'!CS:CS),VLOOKUP(U355,'Jan-2026 rates'!$E:$F,2,0)))</f>
        <v>0</v>
      </c>
      <c r="AH355" s="404"/>
      <c r="AI355" s="398">
        <f>IF(AH355=0,0,IF(LEN(V355)=11,_xlfn.XLOOKUP(V355,'Dispensed Ink Rates'!C:C,'Dispensed Ink Rates'!CS:CS),VLOOKUP(V355,'Jan-2026 rates'!$E:$F,2,0)))</f>
        <v>0</v>
      </c>
      <c r="AJ355" s="404"/>
      <c r="AK355" s="398">
        <f>IF(AJ355=0,0,IF(LEN(W355)=11,_xlfn.XLOOKUP(W355,'Dispensed Ink Rates'!C:C,'Dispensed Ink Rates'!CS:CS),VLOOKUP(W355,'Jan-2026 rates'!$E:$F,2,0)))</f>
        <v>0</v>
      </c>
      <c r="AL355" s="404"/>
      <c r="AM355" s="398">
        <f>IF(AL355=0,0,IF(LEN(X355)=11,_xlfn.XLOOKUP(X355,'Dispensed Ink Rates'!C:C,'Dispensed Ink Rates'!CS:CS),VLOOKUP(X355,'Jan-2026 rates'!$E:$F,2,0)))</f>
        <v>0</v>
      </c>
      <c r="AN355" s="404"/>
      <c r="AO355" s="398">
        <f>IF(AN355=0,0,IF(LEN(Y355)=11,_xlfn.XLOOKUP(Y355,'Dispensed Ink Rates'!C:C,'Dispensed Ink Rates'!CS:CS),VLOOKUP(Y355,'Jan-2026 rates'!$E:$F,2,0)))</f>
        <v>0</v>
      </c>
      <c r="AP355" s="409" t="s">
        <v>1443</v>
      </c>
      <c r="AQ355" s="409">
        <v>29</v>
      </c>
      <c r="AR355" s="410">
        <f t="shared" si="212"/>
        <v>0</v>
      </c>
      <c r="AS355" s="411">
        <f t="shared" si="213"/>
        <v>4.720930232558139</v>
      </c>
      <c r="AT355" s="410">
        <f t="shared" si="214"/>
        <v>0</v>
      </c>
      <c r="AU355" s="405" t="s">
        <v>857</v>
      </c>
      <c r="AV355" s="409"/>
      <c r="AW355" s="420" t="str">
        <f t="shared" si="236"/>
        <v>FLINTSL - RED</v>
      </c>
      <c r="AX355" s="409"/>
      <c r="AY355" s="411">
        <f>IF(AX355=0,0,IF($LB355=70%,VLOOKUP($AW355,'Jan-2026 rates'!$L:$R,4,0),IF($LB355=65%,VLOOKUP($AW355,'Jan-2026 rates'!$L:$R,4,0),IF($LB355=40%,VLOOKUP($AW355,'Jan-2026 rates'!$L:$R,5,0),IF($LB355=30%,VLOOKUP($AW355,'Jan-2026 rates'!$L:$R,6,0),IF($LB355=100%,VLOOKUP($AW355,'Jan-2026 rates'!$L:$R,7,0),IF($LB355=60%,VLOOKUP($AW355,'Jan-2026 rates'!$L:$S,8,0),IF($LB355=80%,VLOOKUP($AW355,'Jan-2026 rates'!L:T,9,0),0))))))))</f>
        <v>0</v>
      </c>
      <c r="AZ355" s="412"/>
      <c r="BA355" s="409"/>
      <c r="BB355" s="411">
        <f>IF(BA355=0,0,IF($LB355=70%,VLOOKUP($AW355,'Jan-2026 rates'!$L:$R,4,0),IF($LB355=65%,VLOOKUP($AW355,'Jan-2026 rates'!$L:$R,4,0),IF($LB355=40%,VLOOKUP($AW355,'Jan-2026 rates'!$L:$R,5,0),IF($LB355=30%,VLOOKUP($AW355,'Jan-2026 rates'!$L:$R,6,0),IF($LB355=100%,VLOOKUP($AW355,'Jan-2026 rates'!$L:$R,7,0),IF($LB355=60%,VLOOKUP($AW355,'Jan-2026 rates'!$L:$S,8,0),IF($LB355=80%,VLOOKUP($AW355,'Jan-2026 rates'!L:T,9,0),0))))))))</f>
        <v>0</v>
      </c>
      <c r="BC355" s="413">
        <v>26526000033</v>
      </c>
      <c r="BD355" s="412">
        <v>26526000032</v>
      </c>
      <c r="BE355" s="412" t="s">
        <v>1266</v>
      </c>
      <c r="BF355" s="413"/>
      <c r="BG355" s="412"/>
      <c r="BH355" s="412"/>
      <c r="BI355" s="412"/>
      <c r="BJ355" s="412"/>
      <c r="BK355" s="409">
        <v>25</v>
      </c>
      <c r="BL355" s="398" t="e">
        <f>IF(BK355=0,0,IF(LEN(BC355)=11,_xlfn.XLOOKUP(BC355,'Dispensed Ink Rates'!C:C,'Dispensed Ink Rates'!CS:CS),VLOOKUP(BC355,'Jan-2026 rates'!$E:$F,2,0)))</f>
        <v>#N/A</v>
      </c>
      <c r="BM355" s="409">
        <v>40</v>
      </c>
      <c r="BN355" s="398" t="e">
        <f>IF(BM355=0,0,IF(LEN(BD355)=11,_xlfn.XLOOKUP(BD355,'Dispensed Ink Rates'!C:C,'Dispensed Ink Rates'!CS:CS),VLOOKUP(BD355,'Jan-2026 rates'!$E:$F,2,0)))</f>
        <v>#N/A</v>
      </c>
      <c r="BO355" s="409">
        <v>6</v>
      </c>
      <c r="BP355" s="398">
        <f>IF(BO355=0,0,IF(LEN(BE355)=11,_xlfn.XLOOKUP(BE355,'Dispensed Ink Rates'!C:C,'Dispensed Ink Rates'!CS:CS),VLOOKUP(BE355,'Jan-2026 rates'!$E:$F,2,0)))</f>
        <v>0</v>
      </c>
      <c r="BQ355" s="409"/>
      <c r="BR355" s="398">
        <f>IF(BQ355=0,0,IF(LEN(BF355)=11,_xlfn.XLOOKUP(BF355,'Dispensed Ink Rates'!C:C,'Dispensed Ink Rates'!CS:CS),VLOOKUP(BF355,'Jan-2026 rates'!$E:$F,2,0)))</f>
        <v>0</v>
      </c>
      <c r="BS355" s="409"/>
      <c r="BT355" s="398">
        <f>IF(BS355=0,0,IF(LEN(BG355)=11,_xlfn.XLOOKUP(BG355,'Dispensed Ink Rates'!C:C,'Dispensed Ink Rates'!CS:CS),VLOOKUP(BG355,'Jan-2026 rates'!$E:$F,2,0)))</f>
        <v>0</v>
      </c>
      <c r="BU355" s="409"/>
      <c r="BV355" s="398">
        <f>IF(BU355=0,0,IF(LEN(BH355)=11,_xlfn.XLOOKUP(BH355,'Dispensed Ink Rates'!C:C,'Dispensed Ink Rates'!CS:CS),VLOOKUP(BH355,'Jan-2026 rates'!$E:$F,2,0)))</f>
        <v>0</v>
      </c>
      <c r="BW355" s="409"/>
      <c r="BX355" s="398">
        <f>IF(BW355=0,0,IF(LEN(BI355)=11,_xlfn.XLOOKUP(BI355,'Dispensed Ink Rates'!C:C,'Dispensed Ink Rates'!CS:CS),VLOOKUP(BI355,'Jan-2026 rates'!$E:$F,2,0)))</f>
        <v>0</v>
      </c>
      <c r="BY355" s="409"/>
      <c r="BZ355" s="398">
        <f>IF(BY355=0,0,IF(LEN(BJ355)=11,_xlfn.XLOOKUP(BJ355,'Dispensed Ink Rates'!C:C,'Dispensed Ink Rates'!CS:CS),VLOOKUP(BJ355,'Jan-2026 rates'!$E:$F,2,0)))</f>
        <v>0</v>
      </c>
      <c r="CA355" s="409" t="s">
        <v>1443</v>
      </c>
      <c r="CB355" s="409">
        <v>30</v>
      </c>
      <c r="CC355" s="411">
        <f t="shared" si="215"/>
        <v>0</v>
      </c>
      <c r="CD355" s="411">
        <f t="shared" si="216"/>
        <v>49.720930232558146</v>
      </c>
      <c r="CE355" s="410">
        <f t="shared" si="217"/>
        <v>0</v>
      </c>
      <c r="CF355" s="404" t="s">
        <v>543</v>
      </c>
      <c r="CG355" s="409"/>
      <c r="CH355" s="420" t="str">
        <f t="shared" si="185"/>
        <v>FLINTSL - BLACK</v>
      </c>
      <c r="CI355" s="409"/>
      <c r="CJ355" s="411">
        <f>IF(CI355=0,0,IF($LB355=70%,VLOOKUP($CH355,'Jan-2026 rates'!$L:$R,4,0),IF($LB355=65%,VLOOKUP($CH355,'Jan-2026 rates'!$L:$R,4,0),IF($LB355=40%,VLOOKUP($CH355,'Jan-2026 rates'!$L:$R,5,0),IF($LB355=30%,VLOOKUP($CH355,'Jan-2026 rates'!$L:$R,6,0),IF($LB355=100%,VLOOKUP($CH355,'Jan-2026 rates'!$L:$R,7,0),IF($LB355=60%,VLOOKUP($CH355,'Jan-2026 rates'!$L:$S,8,0),IF($LB355=80%,VLOOKUP($CH355,'Jan-2026 rates'!L:T,9,0),0))))))))</f>
        <v>0</v>
      </c>
      <c r="CK355" s="412"/>
      <c r="CL355" s="409"/>
      <c r="CM355" s="411">
        <f>IF(CL355=0,0,IF($LB355=70%,VLOOKUP($CH355,'Jan-2026 rates'!$L:$R,4,0),IF($LB355=65%,VLOOKUP($CH355,'Jan-2026 rates'!$L:$R,4,0),IF($LB355=40%,VLOOKUP($CH355,'Jan-2026 rates'!$L:$R,5,0),IF($LB355=30%,VLOOKUP($CH355,'Jan-2026 rates'!$L:$R,6,0),IF($LB355=100%,VLOOKUP($CH355,'Jan-2026 rates'!$L:$R,7,0),IF($LB355=60%,VLOOKUP($CH355,'Jan-2026 rates'!$L:$S,8,0),IF($LB355=80%,VLOOKUP($CH355,'Jan-2026 rates'!L:T,9,0),0))))))))</f>
        <v>0</v>
      </c>
      <c r="CN355" s="426">
        <v>26526000034</v>
      </c>
      <c r="CO355" s="427">
        <v>26526000031</v>
      </c>
      <c r="CP355" s="426">
        <v>26527000009</v>
      </c>
      <c r="CQ355" s="426">
        <v>26526000029</v>
      </c>
      <c r="CR355" s="428"/>
      <c r="CS355" s="428"/>
      <c r="CT355" s="428"/>
      <c r="CU355" s="428"/>
      <c r="CV355" s="409">
        <v>25</v>
      </c>
      <c r="CW355" s="398" t="e">
        <f>IF(CV355=0,0,IF(LEN(CN355)=11,_xlfn.XLOOKUP(CN355,'Dispensed Ink Rates'!C:C,'Dispensed Ink Rates'!CS:CS),VLOOKUP(CN355,'Jan-2026 rates'!$E:$F,2,0)))</f>
        <v>#N/A</v>
      </c>
      <c r="CX355" s="409">
        <v>40</v>
      </c>
      <c r="CY355" s="398" t="e">
        <f>IF(CX355=0,0,IF(LEN(CO355)=11,_xlfn.XLOOKUP(CO355,'Dispensed Ink Rates'!C:C,'Dispensed Ink Rates'!CS:CS),VLOOKUP(CO355,'Jan-2026 rates'!$E:$F,2,0)))</f>
        <v>#N/A</v>
      </c>
      <c r="CZ355" s="409">
        <v>6</v>
      </c>
      <c r="DA355" s="398" t="e">
        <f>IF(CZ355=0,0,IF(LEN(CP355)=11,_xlfn.XLOOKUP(CP355,'Dispensed Ink Rates'!C:C,'Dispensed Ink Rates'!CS:CS),VLOOKUP(CP355,'Jan-2026 rates'!$E:$F,2,0)))</f>
        <v>#N/A</v>
      </c>
      <c r="DB355" s="409">
        <v>0.2</v>
      </c>
      <c r="DC355" s="398" t="e">
        <f>IF(DB355=0,0,IF(LEN(CQ355)=11,_xlfn.XLOOKUP(CQ355,'Dispensed Ink Rates'!C:C,'Dispensed Ink Rates'!CS:CS),VLOOKUP(CQ355,'Jan-2026 rates'!$E:$F,2,0)))</f>
        <v>#N/A</v>
      </c>
      <c r="DD355" s="409"/>
      <c r="DE355" s="398">
        <f>IF(DD355=0,0,IF(LEN(CR355)=11,_xlfn.XLOOKUP(CR355,'Dispensed Ink Rates'!C:C,'Dispensed Ink Rates'!CS:CS),VLOOKUP(CR355,'Jan-2026 rates'!$E:$F,2,0)))</f>
        <v>0</v>
      </c>
      <c r="DF355" s="409"/>
      <c r="DG355" s="398">
        <f>IF(DF355=0,0,IF(LEN(CS355)=11,_xlfn.XLOOKUP(CS355,'Dispensed Ink Rates'!C:C,'Dispensed Ink Rates'!CS:CS),VLOOKUP(CS355,'Jan-2026 rates'!$E:$F,2,0)))</f>
        <v>0</v>
      </c>
      <c r="DH355" s="409"/>
      <c r="DI355" s="398">
        <f>IF(DH355=0,0,IF(LEN(CT355)=11,_xlfn.XLOOKUP(CT355,'Dispensed Ink Rates'!C:C,'Dispensed Ink Rates'!CS:CS),VLOOKUP(CT355,'Jan-2026 rates'!$E:$F,2,0)))</f>
        <v>0</v>
      </c>
      <c r="DJ355" s="409"/>
      <c r="DK355" s="398">
        <f>IF(DJ355=0,0,IF(LEN(CU355)=11,_xlfn.XLOOKUP(CU355,'Dispensed Ink Rates'!C:C,'Dispensed Ink Rates'!CS:CS),VLOOKUP(CU355,'Jan-2026 rates'!$E:$F,2,0)))</f>
        <v>0</v>
      </c>
      <c r="DL355" s="409" t="s">
        <v>1443</v>
      </c>
      <c r="DM355" s="409">
        <v>32</v>
      </c>
      <c r="DN355" s="411">
        <f t="shared" si="218"/>
        <v>0</v>
      </c>
      <c r="DO355" s="411">
        <f t="shared" si="219"/>
        <v>47.920930232558135</v>
      </c>
      <c r="DP355" s="410">
        <f t="shared" si="220"/>
        <v>0</v>
      </c>
      <c r="DQ355" s="405" t="s">
        <v>547</v>
      </c>
      <c r="DR355" s="409" t="s">
        <v>4226</v>
      </c>
      <c r="DS355" s="420" t="str">
        <f t="shared" si="186"/>
        <v>FLINTSL - GREEN</v>
      </c>
      <c r="DT355" s="409">
        <v>27</v>
      </c>
      <c r="DU355" s="411">
        <f>IF(DT355=0,0,IF($LB355=70%,VLOOKUP($DS355,'Jan-2026 rates'!$L:$R,4,0),IF($LB355=65%,VLOOKUP($DS355,'Jan-2026 rates'!$L:$R,4,0),IF($LB355=40%,VLOOKUP($DS355,'Jan-2026 rates'!$L:$R,5,0),IF($LB355=30%,VLOOKUP($DS355,'Jan-2026 rates'!$L:$R,6,0),IF($LB355=100%,VLOOKUP($DS355,'Jan-2026 rates'!$L:$R,7,0),IF($LB355=60%,VLOOKUP($DS355,'Jan-2026 rates'!$L:$S,8,0),IF($LB355=80%,VLOOKUP($DS355,'Jan-2026 rates'!L:T,9,0),0))))))))</f>
        <v>0</v>
      </c>
      <c r="DV355" s="412"/>
      <c r="DW355" s="409"/>
      <c r="DX355" s="411">
        <f>IF(DW355=0,0,IF($LB355=70%,VLOOKUP($DS355,'Jan-2026 rates'!$L:$R,4,0),IF($LB355=65%,VLOOKUP($DS355,'Jan-2026 rates'!$L:$R,4,0),IF($LB355=40%,VLOOKUP($DS355,'Jan-2026 rates'!$L:$R,5,0),IF($LB355=30%,VLOOKUP($DS355,'Jan-2026 rates'!$L:$R,6,0),IF($LB355=100%,VLOOKUP($DS355,'Jan-2026 rates'!$L:$R,7,0),IF($LB355=60%,VLOOKUP($DS355,'Jan-2026 rates'!$L:$S,8,0),IF($LB355=80%,VLOOKUP($DS355,'Jan-2026 rates'!L:T,9,0),0))))))))</f>
        <v>0</v>
      </c>
      <c r="DY355" s="413"/>
      <c r="DZ355" s="413"/>
      <c r="EA355" s="412"/>
      <c r="EB355" s="412"/>
      <c r="EC355" s="412"/>
      <c r="ED355" s="412"/>
      <c r="EE355" s="412"/>
      <c r="EF355" s="412"/>
      <c r="EG355" s="409"/>
      <c r="EH355" s="398">
        <f>IF(EG355=0,0,IF(LEN(DY355)=11,_xlfn.XLOOKUP(DY355,'Dispensed Ink Rates'!C:C,'Dispensed Ink Rates'!CS:CS),VLOOKUP(DY355,'Jan-2026 rates'!$E:$F,2,0)))</f>
        <v>0</v>
      </c>
      <c r="EI355" s="409"/>
      <c r="EJ355" s="398">
        <f>IF(EI355=0,0,IF(LEN(DZ355)=11,_xlfn.XLOOKUP(DZ355,'Dispensed Ink Rates'!C:C,'Dispensed Ink Rates'!CS:CS),VLOOKUP(DZ355,'Jan-2026 rates'!$E:$F,2,0)))</f>
        <v>0</v>
      </c>
      <c r="EK355" s="409"/>
      <c r="EL355" s="398">
        <f>IF(EK355=0,0,IF(LEN(EA355)=11,_xlfn.XLOOKUP(EA355,'Dispensed Ink Rates'!C:C,'Dispensed Ink Rates'!CS:CS),VLOOKUP(EA355,'Jan-2026 rates'!$E:$F,2,0)))</f>
        <v>0</v>
      </c>
      <c r="EM355" s="409"/>
      <c r="EN355" s="398">
        <f>IF(EM355=0,0,IF(LEN(EB355)=11,_xlfn.XLOOKUP(EB355,'Dispensed Ink Rates'!C:C,'Dispensed Ink Rates'!CS:CS),VLOOKUP(EB355,'Jan-2026 rates'!$E:$F,2,0)))</f>
        <v>0</v>
      </c>
      <c r="EO355" s="409"/>
      <c r="EP355" s="398">
        <f>IF(EO355=0,0,IF(LEN(EC355)=11,_xlfn.XLOOKUP(EC355,'Dispensed Ink Rates'!C:C,'Dispensed Ink Rates'!CS:CS),VLOOKUP(EC355,'Jan-2026 rates'!$E:$F,2,0)))</f>
        <v>0</v>
      </c>
      <c r="EQ355" s="409"/>
      <c r="ER355" s="398">
        <f>IF(EQ355=0,0,IF(LEN(ED355)=11,_xlfn.XLOOKUP(ED355,'Dispensed Ink Rates'!C:C,'Dispensed Ink Rates'!CS:CS),VLOOKUP(ED355,'Jan-2026 rates'!$E:$F,2,0)))</f>
        <v>0</v>
      </c>
      <c r="ES355" s="409"/>
      <c r="ET355" s="398">
        <f>IF(ES355=0,0,IF(LEN(EE355)=11,_xlfn.XLOOKUP(EE355,'Dispensed Ink Rates'!C:C,'Dispensed Ink Rates'!CS:CS),VLOOKUP(EE355,'Jan-2026 rates'!$E:$F,2,0)))</f>
        <v>0</v>
      </c>
      <c r="EU355" s="409"/>
      <c r="EV355" s="398">
        <f>IF(EU355=0,0,IF(LEN(EF355)=11,_xlfn.XLOOKUP(EF355,'Dispensed Ink Rates'!C:C,'Dispensed Ink Rates'!CS:CS),VLOOKUP(EF355,'Jan-2026 rates'!$E:$F,2,0)))</f>
        <v>0</v>
      </c>
      <c r="EW355" s="409" t="s">
        <v>1443</v>
      </c>
      <c r="EX355" s="409">
        <v>26</v>
      </c>
      <c r="EY355" s="411">
        <f t="shared" si="221"/>
        <v>0</v>
      </c>
      <c r="EZ355" s="411">
        <f t="shared" si="222"/>
        <v>1</v>
      </c>
      <c r="FA355" s="410">
        <f t="shared" si="223"/>
        <v>0</v>
      </c>
      <c r="FB355" s="405" t="s">
        <v>544</v>
      </c>
      <c r="FC355" s="409"/>
      <c r="FD355" s="420" t="str">
        <f t="shared" si="187"/>
        <v>FLINTSL - MAGENTA</v>
      </c>
      <c r="FE355" s="409"/>
      <c r="FF355" s="411">
        <f>IF(FE355=0,0,IF($LB355=70%,VLOOKUP($FD355,'Jan-2026 rates'!$L:$R,4,0),IF($LB355=65%,VLOOKUP($FD355,'Jan-2026 rates'!$L:$R,4,0),IF($LB355=40%,VLOOKUP($FD355,'Jan-2026 rates'!$L:$R,5,0),IF($LB355=30%,VLOOKUP($FD355,'Jan-2026 rates'!$L:$R,6,0),IF($LB355=100%,VLOOKUP($FD355,'Jan-2026 rates'!$L:$R,7,0),IF($LB355=60%,VLOOKUP($FD355,'Jan-2026 rates'!$L:$S,8,0),IF($LB355=80%,VLOOKUP($FD355,'Jan-2026 rates'!L:T,9,0),0))))))))</f>
        <v>0</v>
      </c>
      <c r="FG355" s="412"/>
      <c r="FH355" s="409"/>
      <c r="FI355" s="411">
        <f>IF(FH355=0,0,IF($LB355=70%,VLOOKUP($FD355,'Jan-2026 rates'!$L:$R,4,0),IF($LB355=65%,VLOOKUP($FD355,'Jan-2026 rates'!$L:$R,4,0),IF($LB355=40%,VLOOKUP($FD355,'Jan-2026 rates'!$L:$R,5,0),IF($LB355=30%,VLOOKUP($FD355,'Jan-2026 rates'!$L:$R,6,0),IF($LB355=100%,VLOOKUP($FD355,'Jan-2026 rates'!$L:$R,7,0),IF($LB355=60%,VLOOKUP($FD355,'Jan-2026 rates'!$L:$S,8,0),IF($LB355=80%,VLOOKUP($FD355,'Jan-2026 rates'!L:T,9,0),0))))))))</f>
        <v>0</v>
      </c>
      <c r="FJ355" s="413">
        <v>26527000022</v>
      </c>
      <c r="FK355" s="413" t="s">
        <v>1266</v>
      </c>
      <c r="FL355" s="413"/>
      <c r="FM355" s="412"/>
      <c r="FN355" s="412"/>
      <c r="FO355" s="412"/>
      <c r="FP355" s="412"/>
      <c r="FQ355" s="412"/>
      <c r="FR355" s="409">
        <v>10</v>
      </c>
      <c r="FS355" s="398" t="e">
        <f>IF(FR355=0,0,IF(LEN(FJ355)=11,_xlfn.XLOOKUP(FJ355,'Dispensed Ink Rates'!C:C,'Dispensed Ink Rates'!CS:CS),VLOOKUP(FJ355,'Jan-2026 rates'!$E:$F,2,0)))</f>
        <v>#N/A</v>
      </c>
      <c r="FT355" s="409">
        <v>10</v>
      </c>
      <c r="FU355" s="398">
        <f>IF(FT355=0,0,IF(LEN(FK355)=11,_xlfn.XLOOKUP(FK355,'Dispensed Ink Rates'!C:C,'Dispensed Ink Rates'!CS:CS),VLOOKUP(FK355,'Jan-2026 rates'!$E:$F,2,0)))</f>
        <v>0</v>
      </c>
      <c r="FV355" s="409"/>
      <c r="FW355" s="398">
        <f>IF(FV355=0,0,IF(LEN(FL355)=11,_xlfn.XLOOKUP(FL355,'Dispensed Ink Rates'!C:C,'Dispensed Ink Rates'!CS:CS),VLOOKUP(FL355,'Jan-2026 rates'!$E:$F,2,0)))</f>
        <v>0</v>
      </c>
      <c r="FX355" s="409"/>
      <c r="FY355" s="398">
        <f>IF(FX355=0,0,IF(LEN(FM355)=11,_xlfn.XLOOKUP(FM355,'Dispensed Ink Rates'!C:C,'Dispensed Ink Rates'!CS:CS),VLOOKUP(FM355,'Jan-2026 rates'!$E:$F,2,0)))</f>
        <v>0</v>
      </c>
      <c r="FZ355" s="409"/>
      <c r="GA355" s="398">
        <f>IF(FZ355=0,0,IF(LEN(FN355)=11,_xlfn.XLOOKUP(FN355,'Dispensed Ink Rates'!C:C,'Dispensed Ink Rates'!CS:CS),VLOOKUP(FN355,'Jan-2026 rates'!$E:$F,2,0)))</f>
        <v>0</v>
      </c>
      <c r="GB355" s="409"/>
      <c r="GC355" s="398">
        <f>IF(GB355=0,0,IF(LEN(FO355)=11,_xlfn.XLOOKUP(FO355,'Dispensed Ink Rates'!C:C,'Dispensed Ink Rates'!CS:CS),VLOOKUP(FO355,'Jan-2026 rates'!$E:$F,2,0)))</f>
        <v>0</v>
      </c>
      <c r="GD355" s="409"/>
      <c r="GE355" s="398">
        <f>IF(GD355=0,0,IF(LEN(FP355)=11,_xlfn.XLOOKUP(FP355,'Dispensed Ink Rates'!C:C,'Dispensed Ink Rates'!CS:CS),VLOOKUP(FP355,'Jan-2026 rates'!$E:$F,2,0)))</f>
        <v>0</v>
      </c>
      <c r="GF355" s="409"/>
      <c r="GG355" s="398">
        <f>IF(GF355=0,0,IF(LEN(FQ355)=11,_xlfn.XLOOKUP(FQ355,'Dispensed Ink Rates'!C:C,'Dispensed Ink Rates'!CS:CS),VLOOKUP(FQ355,'Jan-2026 rates'!$E:$F,2,0)))</f>
        <v>0</v>
      </c>
      <c r="GH355" s="409" t="s">
        <v>1443</v>
      </c>
      <c r="GI355" s="409">
        <v>25</v>
      </c>
      <c r="GJ355" s="411">
        <f t="shared" si="224"/>
        <v>0</v>
      </c>
      <c r="GK355" s="411">
        <f t="shared" si="225"/>
        <v>12.441860465116278</v>
      </c>
      <c r="GL355" s="410">
        <f t="shared" si="226"/>
        <v>0</v>
      </c>
      <c r="GM355" s="405" t="s">
        <v>545</v>
      </c>
      <c r="GN355" s="409"/>
      <c r="GO355" s="420" t="str">
        <f t="shared" si="188"/>
        <v>FLINTSL - YELLOW</v>
      </c>
      <c r="GP355" s="409"/>
      <c r="GQ355" s="411">
        <f>IF(GP355=0,0,IF($LB355=70%,VLOOKUP($GO355,'Jan-2026 rates'!$L:$R,4,0),IF($LB355=65%,VLOOKUP($GO355,'Jan-2026 rates'!$L:$R,4,0),IF($LB355=40%,VLOOKUP($GO355,'Jan-2026 rates'!$L:$R,5,0),IF($LB355=30%,VLOOKUP($GO355,'Jan-2026 rates'!$L:$R,6,0),IF($LB355=100%,VLOOKUP($GO355,'Jan-2026 rates'!$L:$R,7,0),IF($LB355=60%,VLOOKUP($GO355,'Jan-2026 rates'!$L:$S,8,0),IF($LB355=80%,VLOOKUP($GO355,'Jan-2026 rates'!L:T,9,0),0))))))))</f>
        <v>0</v>
      </c>
      <c r="GR355" s="412"/>
      <c r="GS355" s="409"/>
      <c r="GT355" s="411">
        <f>IF(GS355=0,0,IF($LB355=70%,VLOOKUP($GO355,'Jan-2026 rates'!$L:$R,4,0),IF($LB355=65%,VLOOKUP($GO355,'Jan-2026 rates'!$L:$R,4,0),IF($LB355=40%,VLOOKUP($GO355,'Jan-2026 rates'!$L:$R,5,0),IF($LB355=30%,VLOOKUP($GO355,'Jan-2026 rates'!$L:$R,6,0),IF($LB355=100%,VLOOKUP($GO355,'Jan-2026 rates'!$L:$R,7,0),IF($LB355=60%,VLOOKUP($GO355,'Jan-2026 rates'!$L:$S,8,0),IF($LB355=80%,VLOOKUP($GO355,'Jan-2026 rates'!L:T,9,0),0))))))))</f>
        <v>0</v>
      </c>
      <c r="GU355" s="413">
        <v>26527000011</v>
      </c>
      <c r="GV355" s="413" t="s">
        <v>1266</v>
      </c>
      <c r="GW355" s="412"/>
      <c r="GX355" s="412"/>
      <c r="GY355" s="412"/>
      <c r="GZ355" s="412"/>
      <c r="HA355" s="412"/>
      <c r="HB355" s="412"/>
      <c r="HC355" s="409">
        <v>20</v>
      </c>
      <c r="HD355" s="398" t="e">
        <f>IF(HC355=0,0,IF(LEN(GU355)=11,_xlfn.XLOOKUP(GU355,'Dispensed Ink Rates'!C:C,'Dispensed Ink Rates'!CS:CS),VLOOKUP(GU355,'Jan-2026 rates'!$E:$F,2,0)))</f>
        <v>#N/A</v>
      </c>
      <c r="HE355" s="409">
        <v>10</v>
      </c>
      <c r="HF355" s="398">
        <f>IF(HE355=0,0,IF(LEN(GV355)=11,_xlfn.XLOOKUP(GV355,'Dispensed Ink Rates'!C:C,'Dispensed Ink Rates'!CS:CS),VLOOKUP(GV355,'Jan-2026 rates'!$E:$F,2,0)))</f>
        <v>0</v>
      </c>
      <c r="HG355" s="409"/>
      <c r="HH355" s="398">
        <f>IF(HG355=0,0,IF(LEN(GW355)=11,_xlfn.XLOOKUP(GW355,'Dispensed Ink Rates'!C:C,'Dispensed Ink Rates'!CS:CS),VLOOKUP(GW355,'Jan-2026 rates'!$E:$F,2,0)))</f>
        <v>0</v>
      </c>
      <c r="HI355" s="409"/>
      <c r="HJ355" s="398">
        <f>IF(HI355=0,0,IF(LEN(GX355)=11,_xlfn.XLOOKUP(GX355,'Dispensed Ink Rates'!C:C,'Dispensed Ink Rates'!CS:CS),VLOOKUP(GX355,'Jan-2026 rates'!$E:$F,2,0)))</f>
        <v>0</v>
      </c>
      <c r="HK355" s="409"/>
      <c r="HL355" s="398">
        <f>IF(HK355=0,0,IF(LEN(GY355)=11,_xlfn.XLOOKUP(GY355,'Dispensed Ink Rates'!C:C,'Dispensed Ink Rates'!CS:CS),VLOOKUP(GY355,'Jan-2026 rates'!$E:$F,2,0)))</f>
        <v>0</v>
      </c>
      <c r="HM355" s="409"/>
      <c r="HN355" s="398">
        <f>IF(HM355=0,0,IF(LEN(GZ355)=11,_xlfn.XLOOKUP(GZ355,'Dispensed Ink Rates'!C:C,'Dispensed Ink Rates'!CS:CS),VLOOKUP(GZ355,'Jan-2026 rates'!$E:$F,2,0)))</f>
        <v>0</v>
      </c>
      <c r="HO355" s="409"/>
      <c r="HP355" s="398">
        <f>IF(HO355=0,0,IF(LEN(HA355)=11,_xlfn.XLOOKUP(HA355,'Dispensed Ink Rates'!C:C,'Dispensed Ink Rates'!CS:CS),VLOOKUP(HA355,'Jan-2026 rates'!$E:$F,2,0)))</f>
        <v>0</v>
      </c>
      <c r="HQ355" s="409"/>
      <c r="HR355" s="398">
        <f>IF(HQ355=0,0,IF(LEN(HB355)=11,_xlfn.XLOOKUP(HB355,'Dispensed Ink Rates'!C:C,'Dispensed Ink Rates'!CS:CS),VLOOKUP(HB355,'Jan-2026 rates'!$E:$F,2,0)))</f>
        <v>0</v>
      </c>
      <c r="HS355" s="409" t="s">
        <v>1443</v>
      </c>
      <c r="HT355" s="409">
        <v>24</v>
      </c>
      <c r="HU355" s="411">
        <f t="shared" si="227"/>
        <v>0</v>
      </c>
      <c r="HV355" s="411">
        <f t="shared" si="228"/>
        <v>7.7441860465116292</v>
      </c>
      <c r="HW355" s="414">
        <f t="shared" si="229"/>
        <v>0</v>
      </c>
      <c r="HX355" s="405" t="s">
        <v>856</v>
      </c>
      <c r="HY355" s="409"/>
      <c r="HZ355" s="420" t="str">
        <f t="shared" si="189"/>
        <v>FLINTSL - WHITE</v>
      </c>
      <c r="IA355" s="409"/>
      <c r="IB355" s="411">
        <f>IF(IA355=0,0,IF($LB355=70%,VLOOKUP($HZ355,'Jan-2026 rates'!$L:$R,4,0),IF($LB355=65%,VLOOKUP($HZ355,'Jan-2026 rates'!$L:$R,4,0),IF($LB355=40%,VLOOKUP($HZ355,'Jan-2026 rates'!$L:$R,5,0),IF($LB355=30%,VLOOKUP($HZ355,'Jan-2026 rates'!$L:$R,6,0),IF($LB355=100%,VLOOKUP($HZ355,'Jan-2026 rates'!$L:$R,7,0),IF($LB355=60%,VLOOKUP($HZ355,'Jan-2026 rates'!$L:$S,8,0),IF($LB355=80%,VLOOKUP($HZ355,'Jan-2026 rates'!L:T,9,0),0))))))))</f>
        <v>0</v>
      </c>
      <c r="IC355" s="412"/>
      <c r="ID355" s="409"/>
      <c r="IE355" s="411">
        <f>IF(ID355=0,0,IF($LB355=70%,VLOOKUP($HZ355,'Jan-2026 rates'!$L:$R,4,0),IF($LB355=65%,VLOOKUP($HZ355,'Jan-2026 rates'!$L:$R,4,0),IF($LB355=40%,VLOOKUP($HZ355,'Jan-2026 rates'!$L:$R,5,0),IF($LB355=30%,VLOOKUP($HZ355,'Jan-2026 rates'!$L:$R,6,0),IF($LB355=100%,VLOOKUP($HZ355,'Jan-2026 rates'!$L:$R,7,0),IF($LB355=60%,VLOOKUP($HZ355,'Jan-2026 rates'!$L:$S,8,0),IF($LB355=80%,VLOOKUP($HZ355,'Jan-2026 rates'!L:T,9,0),0))))))))</f>
        <v>0</v>
      </c>
      <c r="IF355" s="412" t="s">
        <v>484</v>
      </c>
      <c r="IG355" s="413"/>
      <c r="IH355" s="412"/>
      <c r="II355" s="412"/>
      <c r="IJ355" s="412"/>
      <c r="IK355" s="412"/>
      <c r="IL355" s="412"/>
      <c r="IM355" s="412"/>
      <c r="IN355" s="409">
        <v>100</v>
      </c>
      <c r="IO355" s="398">
        <f>IF(IN355=0,0,IF(LEN(IF355)=11,_xlfn.XLOOKUP(IF355,'Dispensed Ink Rates'!C:C,'Dispensed Ink Rates'!CS:CS),VLOOKUP(IF355,'Jan-2026 rates'!$E:$F,2,0)))</f>
        <v>0</v>
      </c>
      <c r="IP355" s="409"/>
      <c r="IQ355" s="398">
        <f>IF(IP355=0,0,IF(LEN(IG355)=11,_xlfn.XLOOKUP(IG355,'Dispensed Ink Rates'!C:C,'Dispensed Ink Rates'!CS:CS),VLOOKUP(IG355,'Jan-2026 rates'!$E:$F,2,0)))</f>
        <v>0</v>
      </c>
      <c r="IR355" s="409"/>
      <c r="IS355" s="398">
        <f>IF(IR355=0,0,IF(LEN(IH355)=11,_xlfn.XLOOKUP(IH355,'Dispensed Ink Rates'!C:C,'Dispensed Ink Rates'!CS:CS),VLOOKUP(IH355,'Jan-2026 rates'!$E:$F,2,0)))</f>
        <v>0</v>
      </c>
      <c r="IT355" s="409"/>
      <c r="IU355" s="398">
        <f>IF(IT355=0,0,IF(LEN(II355)=11,_xlfn.XLOOKUP(II355,'Dispensed Ink Rates'!C:C,'Dispensed Ink Rates'!CS:CS),VLOOKUP(II355,'Jan-2026 rates'!$E:$F,2,0)))</f>
        <v>0</v>
      </c>
      <c r="IV355" s="409"/>
      <c r="IW355" s="398">
        <f>IF(IV355=0,0,IF(LEN(IJ355)=11,_xlfn.XLOOKUP(IJ355,'Dispensed Ink Rates'!C:C,'Dispensed Ink Rates'!CS:CS),VLOOKUP(IJ355,'Jan-2026 rates'!$E:$F,2,0)))</f>
        <v>0</v>
      </c>
      <c r="IX355" s="409"/>
      <c r="IY355" s="398">
        <f>IF(IX355=0,0,IF(LEN(IK355)=11,_xlfn.XLOOKUP(IK355,'Dispensed Ink Rates'!C:C,'Dispensed Ink Rates'!CS:CS),VLOOKUP(IK355,'Jan-2026 rates'!$E:$F,2,0)))</f>
        <v>0</v>
      </c>
      <c r="IZ355" s="409"/>
      <c r="JA355" s="398">
        <f>IF(IZ355=0,0,IF(LEN(IL355)=11,_xlfn.XLOOKUP(IL355,'Dispensed Ink Rates'!C:C,'Dispensed Ink Rates'!CS:CS),VLOOKUP(IL355,'Jan-2026 rates'!$E:$F,2,0)))</f>
        <v>0</v>
      </c>
      <c r="JB355" s="409"/>
      <c r="JC355" s="398">
        <f>IF(JB355=0,0,IF(LEN(IM355)=11,_xlfn.XLOOKUP(IM355,'Dispensed Ink Rates'!C:C,'Dispensed Ink Rates'!CS:CS),VLOOKUP(IM355,'Jan-2026 rates'!$E:$F,2,0)))</f>
        <v>0</v>
      </c>
      <c r="JD355" s="409" t="s">
        <v>1443</v>
      </c>
      <c r="JE355" s="409">
        <v>29</v>
      </c>
      <c r="JF355" s="411">
        <f t="shared" si="230"/>
        <v>0</v>
      </c>
      <c r="JG355" s="411">
        <f t="shared" si="231"/>
        <v>175.6511627906977</v>
      </c>
      <c r="JH355" s="410">
        <f t="shared" si="232"/>
        <v>0</v>
      </c>
      <c r="JI355" s="405"/>
      <c r="JJ355" s="409"/>
      <c r="JK355" s="420" t="str">
        <f t="shared" si="190"/>
        <v xml:space="preserve"> - </v>
      </c>
      <c r="JL355" s="409"/>
      <c r="JM355" s="411">
        <f>IF(JL355=0,0,IF($LB355=70%,VLOOKUP($JK355,'Jan-2026 rates'!$L:$R,4,0),IF($LB355=65%,VLOOKUP($JK355,'Jan-2026 rates'!$L:$R,4,0),IF($LB355=40%,VLOOKUP($JK355,'Jan-2026 rates'!$L:$R,5,0),IF($LB355=30%,VLOOKUP($JK355,'Jan-2026 rates'!$L:$R,6,0),IF($LB355=100%,VLOOKUP($JK355,'Jan-2026 rates'!$L:$R,7,0),IF($LB355=60%,VLOOKUP($JK355,'Jan-2026 rates'!$L:$S,8,0),IF($LB355=80%,VLOOKUP($JK355,'Jan-2026 rates'!L:T,9,0),0))))))))</f>
        <v>0</v>
      </c>
      <c r="JN355" s="412"/>
      <c r="JO355" s="409"/>
      <c r="JP355" s="411">
        <f>IF(JO355=0,0,IF($LB355=70%,VLOOKUP($JK355,'Jan-2026 rates'!$L:$R,4,0),IF($LB355=65%,VLOOKUP($JK355,'Jan-2026 rates'!$L:$R,4,0),IF($LB355=40%,VLOOKUP($JK355,'Jan-2026 rates'!$L:$R,5,0),IF($LB355=30%,VLOOKUP($JK355,'Jan-2026 rates'!$L:$R,6,0),IF($LB355=100%,VLOOKUP($JK355,'Jan-2026 rates'!$L:$R,7,0),IF($LB355=60%,VLOOKUP($JK355,'Jan-2026 rates'!$L:$S,8,0),IF($LB355=80%,VLOOKUP($JK355,'Jan-2026 rates'!L:T,9,0),0))))))))</f>
        <v>0</v>
      </c>
      <c r="JQ355" s="413"/>
      <c r="JR355" s="412"/>
      <c r="JS355" s="413"/>
      <c r="JT355" s="413"/>
      <c r="JU355" s="412"/>
      <c r="JV355" s="412"/>
      <c r="JW355" s="412"/>
      <c r="JX355" s="412"/>
      <c r="JY355" s="409"/>
      <c r="JZ355" s="398">
        <f>IF(JY355=0,0,IF(LEN(JQ355)=11,_xlfn.XLOOKUP(JQ355,'Dispensed Ink Rates'!C:C,'Dispensed Ink Rates'!CS:CS),VLOOKUP(JQ355,'Jan-2026 rates'!$E:$F,2,0)))</f>
        <v>0</v>
      </c>
      <c r="KA355" s="409"/>
      <c r="KB355" s="398">
        <f>IF(KA355=0,0,IF(LEN(JR355)=11,_xlfn.XLOOKUP(JR355,'Dispensed Ink Rates'!C:C,'Dispensed Ink Rates'!CS:CS),VLOOKUP(JR355,'Jan-2026 rates'!$E:$F,2,0)))</f>
        <v>0</v>
      </c>
      <c r="KC355" s="409"/>
      <c r="KD355" s="398">
        <f>IF(KC355=0,0,IF(LEN(JS355)=11,_xlfn.XLOOKUP(JS355,'Dispensed Ink Rates'!C:C,'Dispensed Ink Rates'!CS:CS),VLOOKUP(JS355,'Jan-2026 rates'!$E:$F,2,0)))</f>
        <v>0</v>
      </c>
      <c r="KE355" s="409"/>
      <c r="KF355" s="398">
        <f>IF(KE355=0,0,IF(LEN(JT355)=11,_xlfn.XLOOKUP(JT355,'Dispensed Ink Rates'!C:C,'Dispensed Ink Rates'!CS:CS),VLOOKUP(JT355,'Jan-2026 rates'!$E:$F,2,0)))</f>
        <v>0</v>
      </c>
      <c r="KG355" s="409"/>
      <c r="KH355" s="398">
        <f>IF(KG355=0,0,IF(LEN(JU355)=11,_xlfn.XLOOKUP(JU355,'Dispensed Ink Rates'!C:C,'Dispensed Ink Rates'!CS:CS),VLOOKUP(JU355,'Jan-2026 rates'!$E:$F,2,0)))</f>
        <v>0</v>
      </c>
      <c r="KI355" s="409"/>
      <c r="KJ355" s="398">
        <f>IF(KI355=0,0,IF(LEN(JV355)=11,_xlfn.XLOOKUP(JV355,'Dispensed Ink Rates'!C:C,'Dispensed Ink Rates'!CS:CS),VLOOKUP(JV355,'Jan-2026 rates'!$E:$F,2,0)))</f>
        <v>0</v>
      </c>
      <c r="KK355" s="409"/>
      <c r="KL355" s="398">
        <f>IF(KK355=0,0,IF(LEN(JW355)=11,_xlfn.XLOOKUP(JW355,'Dispensed Ink Rates'!C:C,'Dispensed Ink Rates'!CS:CS),VLOOKUP(JW355,'Jan-2026 rates'!$E:$F,2,0)))</f>
        <v>0</v>
      </c>
      <c r="KM355" s="428"/>
      <c r="KN355" s="398">
        <f>IF(KM355=0,0,IF(LEN(JX355)=11,_xlfn.XLOOKUP(JX355,'Dispensed Ink Rates'!C:C,'Dispensed Ink Rates'!CS:CS),VLOOKUP(JX355,'Jan-2026 rates'!$E:$F,2,0)))</f>
        <v>0</v>
      </c>
      <c r="KO355" s="409"/>
      <c r="KP355" s="409"/>
      <c r="KQ355" s="411">
        <f t="shared" si="233"/>
        <v>0</v>
      </c>
      <c r="KR355" s="411">
        <f t="shared" si="234"/>
        <v>0</v>
      </c>
      <c r="KS355" s="410">
        <f t="shared" si="235"/>
        <v>0</v>
      </c>
      <c r="KT355" s="409">
        <v>5</v>
      </c>
      <c r="KU355" s="409">
        <v>5</v>
      </c>
      <c r="KV355" s="409">
        <v>5</v>
      </c>
      <c r="KW355" s="409">
        <v>0</v>
      </c>
      <c r="KX355" s="409">
        <v>10</v>
      </c>
      <c r="KY355" s="409">
        <v>1</v>
      </c>
      <c r="KZ355" s="409">
        <v>60</v>
      </c>
      <c r="LA355" s="409">
        <v>0</v>
      </c>
      <c r="LB355" s="415">
        <v>0.8</v>
      </c>
      <c r="LC355" s="415">
        <v>0.2</v>
      </c>
      <c r="LD355" s="424"/>
      <c r="LE355" s="415"/>
      <c r="LF355" s="415"/>
      <c r="LG355" s="409">
        <v>0</v>
      </c>
      <c r="LH355" s="409">
        <f>60+30+48+12</f>
        <v>150</v>
      </c>
      <c r="LI355" s="409">
        <v>0</v>
      </c>
      <c r="LJ355" s="409">
        <v>0</v>
      </c>
      <c r="LK355" s="416">
        <f t="shared" si="191"/>
        <v>150</v>
      </c>
      <c r="LL355" s="416">
        <f t="shared" si="237"/>
        <v>150</v>
      </c>
      <c r="LM355" s="417">
        <f t="shared" si="193"/>
        <v>120</v>
      </c>
      <c r="LN355" s="417">
        <f>VLOOKUP($LM$8,'Jan-2026 rates'!$H:$I,2,0)</f>
        <v>0</v>
      </c>
      <c r="LO355" s="417">
        <f t="shared" si="194"/>
        <v>30</v>
      </c>
      <c r="LP355" s="417">
        <f>VLOOKUP($LO$8,'Jan-2026 rates'!$H:$I,2,0)</f>
        <v>0</v>
      </c>
      <c r="LQ355" s="417">
        <f t="shared" si="195"/>
        <v>0</v>
      </c>
      <c r="LR355" s="417">
        <f>VLOOKUP($LQ$8,'Jan-2026 rates'!$H:$I,2,0)</f>
        <v>0</v>
      </c>
      <c r="LS355" s="417">
        <f t="shared" si="196"/>
        <v>0</v>
      </c>
      <c r="LT355" s="417">
        <f>VLOOKUP($LS$8,'Jan-2026 rates'!$H:$I,2,0)</f>
        <v>0</v>
      </c>
      <c r="LU355" s="417">
        <f t="shared" si="197"/>
        <v>0</v>
      </c>
      <c r="LV355" s="417">
        <f>VLOOKUP($LU$8,'Jan-2026 rates'!$H:$I,2,0)</f>
        <v>0</v>
      </c>
      <c r="LW355" s="417">
        <f t="shared" si="198"/>
        <v>0</v>
      </c>
      <c r="LX355" s="417">
        <f t="shared" si="199"/>
        <v>0</v>
      </c>
      <c r="LY355" s="418">
        <f t="shared" si="200"/>
        <v>0</v>
      </c>
      <c r="LZ355" s="417"/>
      <c r="MA355" s="435">
        <f t="shared" si="201"/>
        <v>302.2</v>
      </c>
      <c r="MB355" s="282">
        <f t="shared" si="202"/>
        <v>299.20000000000005</v>
      </c>
      <c r="MC355" s="283">
        <v>197</v>
      </c>
      <c r="MD355" s="284" t="str">
        <f t="shared" si="203"/>
        <v>FLINTSLFLINTSLFLINTSLFLINTSLFLINTSLFLINTSLFLINTSL</v>
      </c>
      <c r="ME355" s="293" t="str">
        <f t="shared" si="204"/>
        <v>+</v>
      </c>
      <c r="MF355" s="293" t="str">
        <f t="shared" si="205"/>
        <v>+</v>
      </c>
      <c r="MG355" s="293" t="str">
        <f t="shared" si="206"/>
        <v>+</v>
      </c>
      <c r="MH355" s="293" t="str">
        <f t="shared" si="207"/>
        <v>+</v>
      </c>
      <c r="MI355" s="293" t="str">
        <f t="shared" si="208"/>
        <v>+</v>
      </c>
      <c r="MJ355" s="293" t="str">
        <f t="shared" si="209"/>
        <v>+</v>
      </c>
      <c r="MK355" s="293" t="str">
        <f t="shared" si="210"/>
        <v>+</v>
      </c>
      <c r="ML355" s="293" t="str">
        <f t="shared" si="211"/>
        <v>NIL</v>
      </c>
      <c r="MM355" s="3" t="b">
        <f t="array" ref="MM355">OR(ME355:ML355="-")</f>
        <v>0</v>
      </c>
      <c r="MO355" s="401">
        <f t="shared" si="238"/>
        <v>59.720558882235544</v>
      </c>
      <c r="MP355" s="286"/>
      <c r="MR355" s="402">
        <f t="shared" si="239"/>
        <v>1.3122807017543862E-2</v>
      </c>
      <c r="MS355" s="400">
        <f t="shared" si="240"/>
        <v>0</v>
      </c>
      <c r="MT355" s="285"/>
      <c r="NH355" s="361"/>
      <c r="NJ355" s="282"/>
    </row>
    <row r="356" spans="1:374" ht="16.5">
      <c r="A356" s="403">
        <v>46048</v>
      </c>
      <c r="B356" s="404" t="s">
        <v>1018</v>
      </c>
      <c r="C356" s="405" t="s">
        <v>4733</v>
      </c>
      <c r="D356" s="404">
        <v>198</v>
      </c>
      <c r="E356" s="404">
        <v>246</v>
      </c>
      <c r="F356" s="407">
        <v>10500</v>
      </c>
      <c r="G356" s="407" t="s">
        <v>1019</v>
      </c>
      <c r="H356" s="408" t="s">
        <v>1017</v>
      </c>
      <c r="I356" s="409">
        <v>1.9</v>
      </c>
      <c r="J356" s="405" t="s">
        <v>547</v>
      </c>
      <c r="K356" s="404" t="s">
        <v>4734</v>
      </c>
      <c r="L356" s="419" t="str">
        <f t="shared" si="184"/>
        <v>FLINTSL - GREEN</v>
      </c>
      <c r="M356" s="404">
        <v>10</v>
      </c>
      <c r="N356" s="410">
        <f>IF(M356=0,0,IF($LB356=70%,VLOOKUP($L356,'Jan-2026 rates'!$L:$R,4,0),IF($LB356=65%,VLOOKUP($L356,'Jan-2026 rates'!$L:$R,4,0),IF($LB356=40%,VLOOKUP($L356,'Jan-2026 rates'!$L:$R,5,0),IF($LB356=30%,VLOOKUP($L356,'Jan-2026 rates'!$L:$R,6,0),IF($LB356=100%,VLOOKUP($L356,'Jan-2026 rates'!$L:$R,7,0),IF($LB356=60%,VLOOKUP($L356,'Jan-2026 rates'!$L:$S,8,0),IF($LB356=80%,VLOOKUP($L356,'Jan-2026 rates'!L:T,9,0),0))))))))</f>
        <v>0</v>
      </c>
      <c r="O356" s="406" t="s">
        <v>2197</v>
      </c>
      <c r="P356" s="404">
        <v>7</v>
      </c>
      <c r="Q356" s="410">
        <f>IF(P356=0,0,IF($LB356=70%,VLOOKUP($L356,'Jan-2026 rates'!$L:$R,4,0),IF($LB356=65%,VLOOKUP($L356,'Jan-2026 rates'!$L:$R,4,0),IF($LB356=40%,VLOOKUP($L356,'Jan-2026 rates'!$L:$R,5,0),IF($LB356=30%,VLOOKUP($L356,'Jan-2026 rates'!$L:$R,6,0),IF($LB356=100%,VLOOKUP($L356,'Jan-2026 rates'!$L:$R,7,0),IF($LB356=60%,VLOOKUP($L356,'Jan-2026 rates'!$L:$S,8,0),IF($LB356=80%,VLOOKUP($L356,'Jan-2026 rates'!L:T,9,0),0))))))))</f>
        <v>0</v>
      </c>
      <c r="R356" s="406">
        <v>26523000028</v>
      </c>
      <c r="S356" s="406">
        <v>26527000010</v>
      </c>
      <c r="T356" s="406"/>
      <c r="U356" s="406"/>
      <c r="V356" s="406"/>
      <c r="W356" s="406"/>
      <c r="X356" s="406"/>
      <c r="Y356" s="406"/>
      <c r="Z356" s="404">
        <v>3</v>
      </c>
      <c r="AA356" s="398" t="e">
        <f>IF(Z356=0,0,IF(LEN(R356)=11,_xlfn.XLOOKUP(R356,'Dispensed Ink Rates'!C:C,'Dispensed Ink Rates'!CS:CS),VLOOKUP(R356,'Jan-2026 rates'!$E:$F,2,0)))</f>
        <v>#N/A</v>
      </c>
      <c r="AB356" s="404">
        <v>7</v>
      </c>
      <c r="AC356" s="398" t="e">
        <f>IF(AB356=0,0,IF(LEN(S356)=11,_xlfn.XLOOKUP(S356,'Dispensed Ink Rates'!C:C,'Dispensed Ink Rates'!CS:CS),VLOOKUP(S356,'Jan-2026 rates'!$E:$F,2,0)))</f>
        <v>#N/A</v>
      </c>
      <c r="AD356" s="404"/>
      <c r="AE356" s="398">
        <f>IF(AD356=0,0,IF(LEN(T356)=11,_xlfn.XLOOKUP(T356,'Dispensed Ink Rates'!C:C,'Dispensed Ink Rates'!CS:CS),VLOOKUP(T356,'Jan-2026 rates'!$E:$F,2,0)))</f>
        <v>0</v>
      </c>
      <c r="AF356" s="404"/>
      <c r="AG356" s="398">
        <f>IF(AF356=0,0,IF(LEN(U356)=11,_xlfn.XLOOKUP(U356,'Dispensed Ink Rates'!C:C,'Dispensed Ink Rates'!CS:CS),VLOOKUP(U356,'Jan-2026 rates'!$E:$F,2,0)))</f>
        <v>0</v>
      </c>
      <c r="AH356" s="404"/>
      <c r="AI356" s="398">
        <f>IF(AH356=0,0,IF(LEN(V356)=11,_xlfn.XLOOKUP(V356,'Dispensed Ink Rates'!C:C,'Dispensed Ink Rates'!CS:CS),VLOOKUP(V356,'Jan-2026 rates'!$E:$F,2,0)))</f>
        <v>0</v>
      </c>
      <c r="AJ356" s="404"/>
      <c r="AK356" s="398">
        <f>IF(AJ356=0,0,IF(LEN(W356)=11,_xlfn.XLOOKUP(W356,'Dispensed Ink Rates'!C:C,'Dispensed Ink Rates'!CS:CS),VLOOKUP(W356,'Jan-2026 rates'!$E:$F,2,0)))</f>
        <v>0</v>
      </c>
      <c r="AL356" s="404"/>
      <c r="AM356" s="398">
        <f>IF(AL356=0,0,IF(LEN(X356)=11,_xlfn.XLOOKUP(X356,'Dispensed Ink Rates'!C:C,'Dispensed Ink Rates'!CS:CS),VLOOKUP(X356,'Jan-2026 rates'!$E:$F,2,0)))</f>
        <v>0</v>
      </c>
      <c r="AN356" s="404"/>
      <c r="AO356" s="398">
        <f>IF(AN356=0,0,IF(LEN(Y356)=11,_xlfn.XLOOKUP(Y356,'Dispensed Ink Rates'!C:C,'Dispensed Ink Rates'!CS:CS),VLOOKUP(Y356,'Jan-2026 rates'!$E:$F,2,0)))</f>
        <v>0</v>
      </c>
      <c r="AP356" s="409" t="s">
        <v>1443</v>
      </c>
      <c r="AQ356" s="409">
        <v>29</v>
      </c>
      <c r="AR356" s="410">
        <f t="shared" si="212"/>
        <v>0</v>
      </c>
      <c r="AS356" s="411">
        <f t="shared" si="213"/>
        <v>5.0491803278688536</v>
      </c>
      <c r="AT356" s="410">
        <f t="shared" si="214"/>
        <v>0</v>
      </c>
      <c r="AU356" s="405" t="s">
        <v>547</v>
      </c>
      <c r="AV356" s="409" t="s">
        <v>3383</v>
      </c>
      <c r="AW356" s="420" t="str">
        <f t="shared" si="236"/>
        <v>FLINTSL - GREEN</v>
      </c>
      <c r="AX356" s="409">
        <v>20</v>
      </c>
      <c r="AY356" s="411">
        <f>IF(AX356=0,0,IF($LB356=70%,VLOOKUP($AW356,'Jan-2026 rates'!$L:$R,4,0),IF($LB356=65%,VLOOKUP($AW356,'Jan-2026 rates'!$L:$R,4,0),IF($LB356=40%,VLOOKUP($AW356,'Jan-2026 rates'!$L:$R,5,0),IF($LB356=30%,VLOOKUP($AW356,'Jan-2026 rates'!$L:$R,6,0),IF($LB356=100%,VLOOKUP($AW356,'Jan-2026 rates'!$L:$R,7,0),IF($LB356=60%,VLOOKUP($AW356,'Jan-2026 rates'!$L:$S,8,0),IF($LB356=80%,VLOOKUP($AW356,'Jan-2026 rates'!L:T,9,0),0))))))))</f>
        <v>0</v>
      </c>
      <c r="AZ356" s="412"/>
      <c r="BA356" s="409"/>
      <c r="BB356" s="411">
        <f>IF(BA356=0,0,IF($LB356=70%,VLOOKUP($AW356,'Jan-2026 rates'!$L:$R,4,0),IF($LB356=65%,VLOOKUP($AW356,'Jan-2026 rates'!$L:$R,4,0),IF($LB356=40%,VLOOKUP($AW356,'Jan-2026 rates'!$L:$R,5,0),IF($LB356=30%,VLOOKUP($AW356,'Jan-2026 rates'!$L:$R,6,0),IF($LB356=100%,VLOOKUP($AW356,'Jan-2026 rates'!$L:$R,7,0),IF($LB356=60%,VLOOKUP($AW356,'Jan-2026 rates'!$L:$S,8,0),IF($LB356=80%,VLOOKUP($AW356,'Jan-2026 rates'!L:T,9,0),0))))))))</f>
        <v>0</v>
      </c>
      <c r="BC356" s="413">
        <v>26527000010</v>
      </c>
      <c r="BD356" s="412">
        <v>26523000028</v>
      </c>
      <c r="BE356" s="412"/>
      <c r="BF356" s="413"/>
      <c r="BG356" s="412"/>
      <c r="BH356" s="412"/>
      <c r="BI356" s="412"/>
      <c r="BJ356" s="412"/>
      <c r="BK356" s="409">
        <v>4</v>
      </c>
      <c r="BL356" s="398" t="e">
        <f>IF(BK356=0,0,IF(LEN(BC356)=11,_xlfn.XLOOKUP(BC356,'Dispensed Ink Rates'!C:C,'Dispensed Ink Rates'!CS:CS),VLOOKUP(BC356,'Jan-2026 rates'!$E:$F,2,0)))</f>
        <v>#N/A</v>
      </c>
      <c r="BM356" s="409">
        <v>1</v>
      </c>
      <c r="BN356" s="398" t="e">
        <f>IF(BM356=0,0,IF(LEN(BD356)=11,_xlfn.XLOOKUP(BD356,'Dispensed Ink Rates'!C:C,'Dispensed Ink Rates'!CS:CS),VLOOKUP(BD356,'Jan-2026 rates'!$E:$F,2,0)))</f>
        <v>#N/A</v>
      </c>
      <c r="BO356" s="409"/>
      <c r="BP356" s="398">
        <f>IF(BO356=0,0,IF(LEN(BE356)=11,_xlfn.XLOOKUP(BE356,'Dispensed Ink Rates'!C:C,'Dispensed Ink Rates'!CS:CS),VLOOKUP(BE356,'Jan-2026 rates'!$E:$F,2,0)))</f>
        <v>0</v>
      </c>
      <c r="BQ356" s="409"/>
      <c r="BR356" s="398">
        <f>IF(BQ356=0,0,IF(LEN(BF356)=11,_xlfn.XLOOKUP(BF356,'Dispensed Ink Rates'!C:C,'Dispensed Ink Rates'!CS:CS),VLOOKUP(BF356,'Jan-2026 rates'!$E:$F,2,0)))</f>
        <v>0</v>
      </c>
      <c r="BS356" s="409"/>
      <c r="BT356" s="398">
        <f>IF(BS356=0,0,IF(LEN(BG356)=11,_xlfn.XLOOKUP(BG356,'Dispensed Ink Rates'!C:C,'Dispensed Ink Rates'!CS:CS),VLOOKUP(BG356,'Jan-2026 rates'!$E:$F,2,0)))</f>
        <v>0</v>
      </c>
      <c r="BU356" s="409"/>
      <c r="BV356" s="398">
        <f>IF(BU356=0,0,IF(LEN(BH356)=11,_xlfn.XLOOKUP(BH356,'Dispensed Ink Rates'!C:C,'Dispensed Ink Rates'!CS:CS),VLOOKUP(BH356,'Jan-2026 rates'!$E:$F,2,0)))</f>
        <v>0</v>
      </c>
      <c r="BW356" s="409"/>
      <c r="BX356" s="398">
        <f>IF(BW356=0,0,IF(LEN(BI356)=11,_xlfn.XLOOKUP(BI356,'Dispensed Ink Rates'!C:C,'Dispensed Ink Rates'!CS:CS),VLOOKUP(BI356,'Jan-2026 rates'!$E:$F,2,0)))</f>
        <v>0</v>
      </c>
      <c r="BY356" s="409"/>
      <c r="BZ356" s="398">
        <f>IF(BY356=0,0,IF(LEN(BJ356)=11,_xlfn.XLOOKUP(BJ356,'Dispensed Ink Rates'!C:C,'Dispensed Ink Rates'!CS:CS),VLOOKUP(BJ356,'Jan-2026 rates'!$E:$F,2,0)))</f>
        <v>0</v>
      </c>
      <c r="CA356" s="409" t="s">
        <v>1443</v>
      </c>
      <c r="CB356" s="409">
        <v>24</v>
      </c>
      <c r="CC356" s="411">
        <f t="shared" si="215"/>
        <v>0</v>
      </c>
      <c r="CD356" s="411">
        <f t="shared" si="216"/>
        <v>5.2295081967213122</v>
      </c>
      <c r="CE356" s="410">
        <f t="shared" si="217"/>
        <v>0</v>
      </c>
      <c r="CF356" s="404" t="s">
        <v>857</v>
      </c>
      <c r="CG356" s="409" t="s">
        <v>4735</v>
      </c>
      <c r="CH356" s="420" t="str">
        <f t="shared" si="185"/>
        <v>FLINTSL - RED</v>
      </c>
      <c r="CI356" s="409">
        <v>7</v>
      </c>
      <c r="CJ356" s="411">
        <f>IF(CI356=0,0,IF($LB356=70%,VLOOKUP($CH356,'Jan-2026 rates'!$L:$R,4,0),IF($LB356=65%,VLOOKUP($CH356,'Jan-2026 rates'!$L:$R,4,0),IF($LB356=40%,VLOOKUP($CH356,'Jan-2026 rates'!$L:$R,5,0),IF($LB356=30%,VLOOKUP($CH356,'Jan-2026 rates'!$L:$R,6,0),IF($LB356=100%,VLOOKUP($CH356,'Jan-2026 rates'!$L:$R,7,0),IF($LB356=60%,VLOOKUP($CH356,'Jan-2026 rates'!$L:$S,8,0),IF($LB356=80%,VLOOKUP($CH356,'Jan-2026 rates'!L:T,9,0),0))))))))</f>
        <v>0</v>
      </c>
      <c r="CK356" s="412"/>
      <c r="CL356" s="409"/>
      <c r="CM356" s="411">
        <f>IF(CL356=0,0,IF($LB356=70%,VLOOKUP($CH356,'Jan-2026 rates'!$L:$R,4,0),IF($LB356=65%,VLOOKUP($CH356,'Jan-2026 rates'!$L:$R,4,0),IF($LB356=40%,VLOOKUP($CH356,'Jan-2026 rates'!$L:$R,5,0),IF($LB356=30%,VLOOKUP($CH356,'Jan-2026 rates'!$L:$R,6,0),IF($LB356=100%,VLOOKUP($CH356,'Jan-2026 rates'!$L:$R,7,0),IF($LB356=60%,VLOOKUP($CH356,'Jan-2026 rates'!$L:$S,8,0),IF($LB356=80%,VLOOKUP($CH356,'Jan-2026 rates'!L:T,9,0),0))))))))</f>
        <v>0</v>
      </c>
      <c r="CN356" s="426">
        <v>26529000010</v>
      </c>
      <c r="CO356" s="427">
        <v>26527000005</v>
      </c>
      <c r="CP356" s="426">
        <v>26526000026</v>
      </c>
      <c r="CQ356" s="426"/>
      <c r="CR356" s="428"/>
      <c r="CS356" s="428"/>
      <c r="CT356" s="428"/>
      <c r="CU356" s="428"/>
      <c r="CV356" s="409">
        <v>5</v>
      </c>
      <c r="CW356" s="398" t="e">
        <f>IF(CV356=0,0,IF(LEN(CN356)=11,_xlfn.XLOOKUP(CN356,'Dispensed Ink Rates'!C:C,'Dispensed Ink Rates'!CS:CS),VLOOKUP(CN356,'Jan-2026 rates'!$E:$F,2,0)))</f>
        <v>#N/A</v>
      </c>
      <c r="CX356" s="409">
        <v>10</v>
      </c>
      <c r="CY356" s="398" t="e">
        <f>IF(CX356=0,0,IF(LEN(CO356)=11,_xlfn.XLOOKUP(CO356,'Dispensed Ink Rates'!C:C,'Dispensed Ink Rates'!CS:CS),VLOOKUP(CO356,'Jan-2026 rates'!$E:$F,2,0)))</f>
        <v>#N/A</v>
      </c>
      <c r="CZ356" s="409">
        <v>5</v>
      </c>
      <c r="DA356" s="398" t="e">
        <f>IF(CZ356=0,0,IF(LEN(CP356)=11,_xlfn.XLOOKUP(CP356,'Dispensed Ink Rates'!C:C,'Dispensed Ink Rates'!CS:CS),VLOOKUP(CP356,'Jan-2026 rates'!$E:$F,2,0)))</f>
        <v>#N/A</v>
      </c>
      <c r="DB356" s="409"/>
      <c r="DC356" s="398">
        <f>IF(DB356=0,0,IF(LEN(CQ356)=11,_xlfn.XLOOKUP(CQ356,'Dispensed Ink Rates'!C:C,'Dispensed Ink Rates'!CS:CS),VLOOKUP(CQ356,'Jan-2026 rates'!$E:$F,2,0)))</f>
        <v>0</v>
      </c>
      <c r="DD356" s="409"/>
      <c r="DE356" s="398">
        <f>IF(DD356=0,0,IF(LEN(CR356)=11,_xlfn.XLOOKUP(CR356,'Dispensed Ink Rates'!C:C,'Dispensed Ink Rates'!CS:CS),VLOOKUP(CR356,'Jan-2026 rates'!$E:$F,2,0)))</f>
        <v>0</v>
      </c>
      <c r="DF356" s="409"/>
      <c r="DG356" s="398">
        <f>IF(DF356=0,0,IF(LEN(CS356)=11,_xlfn.XLOOKUP(CS356,'Dispensed Ink Rates'!C:C,'Dispensed Ink Rates'!CS:CS),VLOOKUP(CS356,'Jan-2026 rates'!$E:$F,2,0)))</f>
        <v>0</v>
      </c>
      <c r="DH356" s="409"/>
      <c r="DI356" s="398">
        <f>IF(DH356=0,0,IF(LEN(CT356)=11,_xlfn.XLOOKUP(CT356,'Dispensed Ink Rates'!C:C,'Dispensed Ink Rates'!CS:CS),VLOOKUP(CT356,'Jan-2026 rates'!$E:$F,2,0)))</f>
        <v>0</v>
      </c>
      <c r="DJ356" s="409"/>
      <c r="DK356" s="398">
        <f>IF(DJ356=0,0,IF(LEN(CU356)=11,_xlfn.XLOOKUP(CU356,'Dispensed Ink Rates'!C:C,'Dispensed Ink Rates'!CS:CS),VLOOKUP(CU356,'Jan-2026 rates'!$E:$F,2,0)))</f>
        <v>0</v>
      </c>
      <c r="DL356" s="409" t="s">
        <v>1443</v>
      </c>
      <c r="DM356" s="409">
        <v>28</v>
      </c>
      <c r="DN356" s="411">
        <f t="shared" si="218"/>
        <v>0</v>
      </c>
      <c r="DO356" s="411">
        <f t="shared" si="219"/>
        <v>8.8688524590163951</v>
      </c>
      <c r="DP356" s="410">
        <f t="shared" si="220"/>
        <v>0</v>
      </c>
      <c r="DQ356" s="405" t="s">
        <v>857</v>
      </c>
      <c r="DR356" s="409" t="s">
        <v>4735</v>
      </c>
      <c r="DS356" s="420" t="str">
        <f t="shared" si="186"/>
        <v>FLINTSL - RED</v>
      </c>
      <c r="DT356" s="409">
        <v>15</v>
      </c>
      <c r="DU356" s="411">
        <f>IF(DT356=0,0,IF($LB356=70%,VLOOKUP($DS356,'Jan-2026 rates'!$L:$R,4,0),IF($LB356=65%,VLOOKUP($DS356,'Jan-2026 rates'!$L:$R,4,0),IF($LB356=40%,VLOOKUP($DS356,'Jan-2026 rates'!$L:$R,5,0),IF($LB356=30%,VLOOKUP($DS356,'Jan-2026 rates'!$L:$R,6,0),IF($LB356=100%,VLOOKUP($DS356,'Jan-2026 rates'!$L:$R,7,0),IF($LB356=60%,VLOOKUP($DS356,'Jan-2026 rates'!$L:$S,8,0),IF($LB356=80%,VLOOKUP($DS356,'Jan-2026 rates'!L:T,9,0),0))))))))</f>
        <v>0</v>
      </c>
      <c r="DV356" s="412"/>
      <c r="DW356" s="409"/>
      <c r="DX356" s="411">
        <f>IF(DW356=0,0,IF($LB356=70%,VLOOKUP($DS356,'Jan-2026 rates'!$L:$R,4,0),IF($LB356=65%,VLOOKUP($DS356,'Jan-2026 rates'!$L:$R,4,0),IF($LB356=40%,VLOOKUP($DS356,'Jan-2026 rates'!$L:$R,5,0),IF($LB356=30%,VLOOKUP($DS356,'Jan-2026 rates'!$L:$R,6,0),IF($LB356=100%,VLOOKUP($DS356,'Jan-2026 rates'!$L:$R,7,0),IF($LB356=60%,VLOOKUP($DS356,'Jan-2026 rates'!$L:$S,8,0),IF($LB356=80%,VLOOKUP($DS356,'Jan-2026 rates'!L:T,9,0),0))))))))</f>
        <v>0</v>
      </c>
      <c r="DY356" s="413">
        <v>26526000030</v>
      </c>
      <c r="DZ356" s="413" t="s">
        <v>1266</v>
      </c>
      <c r="EA356" s="412"/>
      <c r="EB356" s="412"/>
      <c r="EC356" s="412"/>
      <c r="ED356" s="412"/>
      <c r="EE356" s="412"/>
      <c r="EF356" s="412"/>
      <c r="EG356" s="409">
        <f>2+2</f>
        <v>4</v>
      </c>
      <c r="EH356" s="398" t="e">
        <f>IF(EG356=0,0,IF(LEN(DY356)=11,_xlfn.XLOOKUP(DY356,'Dispensed Ink Rates'!C:C,'Dispensed Ink Rates'!CS:CS),VLOOKUP(DY356,'Jan-2026 rates'!$E:$F,2,0)))</f>
        <v>#N/A</v>
      </c>
      <c r="EI356" s="409">
        <v>4</v>
      </c>
      <c r="EJ356" s="398">
        <f>IF(EI356=0,0,IF(LEN(DZ356)=11,_xlfn.XLOOKUP(DZ356,'Dispensed Ink Rates'!C:C,'Dispensed Ink Rates'!CS:CS),VLOOKUP(DZ356,'Jan-2026 rates'!$E:$F,2,0)))</f>
        <v>0</v>
      </c>
      <c r="EK356" s="409"/>
      <c r="EL356" s="398">
        <f>IF(EK356=0,0,IF(LEN(EA356)=11,_xlfn.XLOOKUP(EA356,'Dispensed Ink Rates'!C:C,'Dispensed Ink Rates'!CS:CS),VLOOKUP(EA356,'Jan-2026 rates'!$E:$F,2,0)))</f>
        <v>0</v>
      </c>
      <c r="EM356" s="409"/>
      <c r="EN356" s="398">
        <f>IF(EM356=0,0,IF(LEN(EB356)=11,_xlfn.XLOOKUP(EB356,'Dispensed Ink Rates'!C:C,'Dispensed Ink Rates'!CS:CS),VLOOKUP(EB356,'Jan-2026 rates'!$E:$F,2,0)))</f>
        <v>0</v>
      </c>
      <c r="EO356" s="409"/>
      <c r="EP356" s="398">
        <f>IF(EO356=0,0,IF(LEN(EC356)=11,_xlfn.XLOOKUP(EC356,'Dispensed Ink Rates'!C:C,'Dispensed Ink Rates'!CS:CS),VLOOKUP(EC356,'Jan-2026 rates'!$E:$F,2,0)))</f>
        <v>0</v>
      </c>
      <c r="EQ356" s="409"/>
      <c r="ER356" s="398">
        <f>IF(EQ356=0,0,IF(LEN(ED356)=11,_xlfn.XLOOKUP(ED356,'Dispensed Ink Rates'!C:C,'Dispensed Ink Rates'!CS:CS),VLOOKUP(ED356,'Jan-2026 rates'!$E:$F,2,0)))</f>
        <v>0</v>
      </c>
      <c r="ES356" s="409"/>
      <c r="ET356" s="398">
        <f>IF(ES356=0,0,IF(LEN(EE356)=11,_xlfn.XLOOKUP(EE356,'Dispensed Ink Rates'!C:C,'Dispensed Ink Rates'!CS:CS),VLOOKUP(EE356,'Jan-2026 rates'!$E:$F,2,0)))</f>
        <v>0</v>
      </c>
      <c r="EU356" s="409"/>
      <c r="EV356" s="398">
        <f>IF(EU356=0,0,IF(LEN(EF356)=11,_xlfn.XLOOKUP(EF356,'Dispensed Ink Rates'!C:C,'Dispensed Ink Rates'!CS:CS),VLOOKUP(EF356,'Jan-2026 rates'!$E:$F,2,0)))</f>
        <v>0</v>
      </c>
      <c r="EW356" s="409" t="s">
        <v>1443</v>
      </c>
      <c r="EX356" s="409">
        <v>20</v>
      </c>
      <c r="EY356" s="411">
        <f t="shared" si="221"/>
        <v>0</v>
      </c>
      <c r="EZ356" s="411">
        <f t="shared" si="222"/>
        <v>10.049180327868854</v>
      </c>
      <c r="FA356" s="410">
        <f t="shared" si="223"/>
        <v>0</v>
      </c>
      <c r="FB356" s="405" t="s">
        <v>855</v>
      </c>
      <c r="FC356" s="409" t="s">
        <v>4736</v>
      </c>
      <c r="FD356" s="420" t="str">
        <f t="shared" si="187"/>
        <v>FLINTSL - CYAN</v>
      </c>
      <c r="FE356" s="409">
        <v>24</v>
      </c>
      <c r="FF356" s="411">
        <f>IF(FE356=0,0,IF($LB356=70%,VLOOKUP($FD356,'Jan-2026 rates'!$L:$R,4,0),IF($LB356=65%,VLOOKUP($FD356,'Jan-2026 rates'!$L:$R,4,0),IF($LB356=40%,VLOOKUP($FD356,'Jan-2026 rates'!$L:$R,5,0),IF($LB356=30%,VLOOKUP($FD356,'Jan-2026 rates'!$L:$R,6,0),IF($LB356=100%,VLOOKUP($FD356,'Jan-2026 rates'!$L:$R,7,0),IF($LB356=60%,VLOOKUP($FD356,'Jan-2026 rates'!$L:$S,8,0),IF($LB356=80%,VLOOKUP($FD356,'Jan-2026 rates'!L:T,9,0),0))))))))</f>
        <v>0</v>
      </c>
      <c r="FG356" s="412"/>
      <c r="FH356" s="409"/>
      <c r="FI356" s="411">
        <f>IF(FH356=0,0,IF($LB356=70%,VLOOKUP($FD356,'Jan-2026 rates'!$L:$R,4,0),IF($LB356=65%,VLOOKUP($FD356,'Jan-2026 rates'!$L:$R,4,0),IF($LB356=40%,VLOOKUP($FD356,'Jan-2026 rates'!$L:$R,5,0),IF($LB356=30%,VLOOKUP($FD356,'Jan-2026 rates'!$L:$R,6,0),IF($LB356=100%,VLOOKUP($FD356,'Jan-2026 rates'!$L:$R,7,0),IF($LB356=60%,VLOOKUP($FD356,'Jan-2026 rates'!$L:$S,8,0),IF($LB356=80%,VLOOKUP($FD356,'Jan-2026 rates'!L:T,9,0),0))))))))</f>
        <v>0</v>
      </c>
      <c r="FJ356" s="413">
        <v>26524000018</v>
      </c>
      <c r="FK356" s="413"/>
      <c r="FL356" s="413"/>
      <c r="FM356" s="412"/>
      <c r="FN356" s="412"/>
      <c r="FO356" s="412"/>
      <c r="FP356" s="412"/>
      <c r="FQ356" s="412"/>
      <c r="FR356" s="409">
        <v>2</v>
      </c>
      <c r="FS356" s="398" t="e">
        <f>IF(FR356=0,0,IF(LEN(FJ356)=11,_xlfn.XLOOKUP(FJ356,'Dispensed Ink Rates'!C:C,'Dispensed Ink Rates'!CS:CS),VLOOKUP(FJ356,'Jan-2026 rates'!$E:$F,2,0)))</f>
        <v>#N/A</v>
      </c>
      <c r="FT356" s="409"/>
      <c r="FU356" s="398">
        <f>IF(FT356=0,0,IF(LEN(FK356)=11,_xlfn.XLOOKUP(FK356,'Dispensed Ink Rates'!C:C,'Dispensed Ink Rates'!CS:CS),VLOOKUP(FK356,'Jan-2026 rates'!$E:$F,2,0)))</f>
        <v>0</v>
      </c>
      <c r="FV356" s="409"/>
      <c r="FW356" s="398">
        <f>IF(FV356=0,0,IF(LEN(FL356)=11,_xlfn.XLOOKUP(FL356,'Dispensed Ink Rates'!C:C,'Dispensed Ink Rates'!CS:CS),VLOOKUP(FL356,'Jan-2026 rates'!$E:$F,2,0)))</f>
        <v>0</v>
      </c>
      <c r="FX356" s="409"/>
      <c r="FY356" s="398">
        <f>IF(FX356=0,0,IF(LEN(FM356)=11,_xlfn.XLOOKUP(FM356,'Dispensed Ink Rates'!C:C,'Dispensed Ink Rates'!CS:CS),VLOOKUP(FM356,'Jan-2026 rates'!$E:$F,2,0)))</f>
        <v>0</v>
      </c>
      <c r="FZ356" s="409"/>
      <c r="GA356" s="398">
        <f>IF(FZ356=0,0,IF(LEN(FN356)=11,_xlfn.XLOOKUP(FN356,'Dispensed Ink Rates'!C:C,'Dispensed Ink Rates'!CS:CS),VLOOKUP(FN356,'Jan-2026 rates'!$E:$F,2,0)))</f>
        <v>0</v>
      </c>
      <c r="GB356" s="409"/>
      <c r="GC356" s="398">
        <f>IF(GB356=0,0,IF(LEN(FO356)=11,_xlfn.XLOOKUP(FO356,'Dispensed Ink Rates'!C:C,'Dispensed Ink Rates'!CS:CS),VLOOKUP(FO356,'Jan-2026 rates'!$E:$F,2,0)))</f>
        <v>0</v>
      </c>
      <c r="GD356" s="409"/>
      <c r="GE356" s="398">
        <f>IF(GD356=0,0,IF(LEN(FP356)=11,_xlfn.XLOOKUP(FP356,'Dispensed Ink Rates'!C:C,'Dispensed Ink Rates'!CS:CS),VLOOKUP(FP356,'Jan-2026 rates'!$E:$F,2,0)))</f>
        <v>0</v>
      </c>
      <c r="GF356" s="409"/>
      <c r="GG356" s="398">
        <f>IF(GF356=0,0,IF(LEN(FQ356)=11,_xlfn.XLOOKUP(FQ356,'Dispensed Ink Rates'!C:C,'Dispensed Ink Rates'!CS:CS),VLOOKUP(FQ356,'Jan-2026 rates'!$E:$F,2,0)))</f>
        <v>0</v>
      </c>
      <c r="GH356" s="409" t="s">
        <v>1443</v>
      </c>
      <c r="GI356" s="409">
        <v>22</v>
      </c>
      <c r="GJ356" s="411">
        <f t="shared" si="224"/>
        <v>0</v>
      </c>
      <c r="GK356" s="411">
        <f t="shared" si="225"/>
        <v>8.2295081967213122</v>
      </c>
      <c r="GL356" s="410">
        <f t="shared" si="226"/>
        <v>0</v>
      </c>
      <c r="GM356" s="405" t="s">
        <v>544</v>
      </c>
      <c r="GN356" s="409" t="s">
        <v>4737</v>
      </c>
      <c r="GO356" s="420" t="str">
        <f t="shared" si="188"/>
        <v>FLINTSL - MAGENTA</v>
      </c>
      <c r="GP356" s="409">
        <v>25</v>
      </c>
      <c r="GQ356" s="411">
        <f>IF(GP356=0,0,IF($LB356=70%,VLOOKUP($GO356,'Jan-2026 rates'!$L:$R,4,0),IF($LB356=65%,VLOOKUP($GO356,'Jan-2026 rates'!$L:$R,4,0),IF($LB356=40%,VLOOKUP($GO356,'Jan-2026 rates'!$L:$R,5,0),IF($LB356=30%,VLOOKUP($GO356,'Jan-2026 rates'!$L:$R,6,0),IF($LB356=100%,VLOOKUP($GO356,'Jan-2026 rates'!$L:$R,7,0),IF($LB356=60%,VLOOKUP($GO356,'Jan-2026 rates'!$L:$S,8,0),IF($LB356=80%,VLOOKUP($GO356,'Jan-2026 rates'!L:T,9,0),0))))))))</f>
        <v>0</v>
      </c>
      <c r="GR356" s="412"/>
      <c r="GS356" s="409"/>
      <c r="GT356" s="411">
        <f>IF(GS356=0,0,IF($LB356=70%,VLOOKUP($GO356,'Jan-2026 rates'!$L:$R,4,0),IF($LB356=65%,VLOOKUP($GO356,'Jan-2026 rates'!$L:$R,4,0),IF($LB356=40%,VLOOKUP($GO356,'Jan-2026 rates'!$L:$R,5,0),IF($LB356=30%,VLOOKUP($GO356,'Jan-2026 rates'!$L:$R,6,0),IF($LB356=100%,VLOOKUP($GO356,'Jan-2026 rates'!$L:$R,7,0),IF($LB356=60%,VLOOKUP($GO356,'Jan-2026 rates'!$L:$S,8,0),IF($LB356=80%,VLOOKUP($GO356,'Jan-2026 rates'!L:T,9,0),0))))))))</f>
        <v>0</v>
      </c>
      <c r="GU356" s="413" t="s">
        <v>1266</v>
      </c>
      <c r="GV356" s="413"/>
      <c r="GW356" s="412"/>
      <c r="GX356" s="412"/>
      <c r="GY356" s="412"/>
      <c r="GZ356" s="412"/>
      <c r="HA356" s="412"/>
      <c r="HB356" s="412"/>
      <c r="HC356" s="409">
        <v>10</v>
      </c>
      <c r="HD356" s="398">
        <f>IF(HC356=0,0,IF(LEN(GU356)=11,_xlfn.XLOOKUP(GU356,'Dispensed Ink Rates'!C:C,'Dispensed Ink Rates'!CS:CS),VLOOKUP(GU356,'Jan-2026 rates'!$E:$F,2,0)))</f>
        <v>0</v>
      </c>
      <c r="HE356" s="409"/>
      <c r="HF356" s="398">
        <f>IF(HE356=0,0,IF(LEN(GV356)=11,_xlfn.XLOOKUP(GV356,'Dispensed Ink Rates'!C:C,'Dispensed Ink Rates'!CS:CS),VLOOKUP(GV356,'Jan-2026 rates'!$E:$F,2,0)))</f>
        <v>0</v>
      </c>
      <c r="HG356" s="409"/>
      <c r="HH356" s="398">
        <f>IF(HG356=0,0,IF(LEN(GW356)=11,_xlfn.XLOOKUP(GW356,'Dispensed Ink Rates'!C:C,'Dispensed Ink Rates'!CS:CS),VLOOKUP(GW356,'Jan-2026 rates'!$E:$F,2,0)))</f>
        <v>0</v>
      </c>
      <c r="HI356" s="409"/>
      <c r="HJ356" s="398">
        <f>IF(HI356=0,0,IF(LEN(GX356)=11,_xlfn.XLOOKUP(GX356,'Dispensed Ink Rates'!C:C,'Dispensed Ink Rates'!CS:CS),VLOOKUP(GX356,'Jan-2026 rates'!$E:$F,2,0)))</f>
        <v>0</v>
      </c>
      <c r="HK356" s="409"/>
      <c r="HL356" s="398">
        <f>IF(HK356=0,0,IF(LEN(GY356)=11,_xlfn.XLOOKUP(GY356,'Dispensed Ink Rates'!C:C,'Dispensed Ink Rates'!CS:CS),VLOOKUP(GY356,'Jan-2026 rates'!$E:$F,2,0)))</f>
        <v>0</v>
      </c>
      <c r="HM356" s="409"/>
      <c r="HN356" s="398">
        <f>IF(HM356=0,0,IF(LEN(GZ356)=11,_xlfn.XLOOKUP(GZ356,'Dispensed Ink Rates'!C:C,'Dispensed Ink Rates'!CS:CS),VLOOKUP(GZ356,'Jan-2026 rates'!$E:$F,2,0)))</f>
        <v>0</v>
      </c>
      <c r="HO356" s="409"/>
      <c r="HP356" s="398">
        <f>IF(HO356=0,0,IF(LEN(HA356)=11,_xlfn.XLOOKUP(HA356,'Dispensed Ink Rates'!C:C,'Dispensed Ink Rates'!CS:CS),VLOOKUP(HA356,'Jan-2026 rates'!$E:$F,2,0)))</f>
        <v>0</v>
      </c>
      <c r="HQ356" s="409"/>
      <c r="HR356" s="398">
        <f>IF(HQ356=0,0,IF(LEN(HB356)=11,_xlfn.XLOOKUP(HB356,'Dispensed Ink Rates'!C:C,'Dispensed Ink Rates'!CS:CS),VLOOKUP(HB356,'Jan-2026 rates'!$E:$F,2,0)))</f>
        <v>0</v>
      </c>
      <c r="HS356" s="409" t="s">
        <v>1443</v>
      </c>
      <c r="HT356" s="409">
        <v>24</v>
      </c>
      <c r="HU356" s="411">
        <f t="shared" si="227"/>
        <v>0</v>
      </c>
      <c r="HV356" s="411">
        <f t="shared" si="228"/>
        <v>18.049180327868854</v>
      </c>
      <c r="HW356" s="414">
        <f t="shared" si="229"/>
        <v>0</v>
      </c>
      <c r="HX356" s="405" t="s">
        <v>545</v>
      </c>
      <c r="HY356" s="409" t="s">
        <v>4739</v>
      </c>
      <c r="HZ356" s="420" t="str">
        <f t="shared" si="189"/>
        <v>FLINTSL - YELLOW</v>
      </c>
      <c r="IA356" s="409">
        <v>25</v>
      </c>
      <c r="IB356" s="411">
        <f>IF(IA356=0,0,IF($LB356=70%,VLOOKUP($HZ356,'Jan-2026 rates'!$L:$R,4,0),IF($LB356=65%,VLOOKUP($HZ356,'Jan-2026 rates'!$L:$R,4,0),IF($LB356=40%,VLOOKUP($HZ356,'Jan-2026 rates'!$L:$R,5,0),IF($LB356=30%,VLOOKUP($HZ356,'Jan-2026 rates'!$L:$R,6,0),IF($LB356=100%,VLOOKUP($HZ356,'Jan-2026 rates'!$L:$R,7,0),IF($LB356=60%,VLOOKUP($HZ356,'Jan-2026 rates'!$L:$S,8,0),IF($LB356=80%,VLOOKUP($HZ356,'Jan-2026 rates'!L:T,9,0),0))))))))</f>
        <v>0</v>
      </c>
      <c r="IC356" s="412"/>
      <c r="ID356" s="409"/>
      <c r="IE356" s="411">
        <f>IF(ID356=0,0,IF($LB356=70%,VLOOKUP($HZ356,'Jan-2026 rates'!$L:$R,4,0),IF($LB356=65%,VLOOKUP($HZ356,'Jan-2026 rates'!$L:$R,4,0),IF($LB356=40%,VLOOKUP($HZ356,'Jan-2026 rates'!$L:$R,5,0),IF($LB356=30%,VLOOKUP($HZ356,'Jan-2026 rates'!$L:$R,6,0),IF($LB356=100%,VLOOKUP($HZ356,'Jan-2026 rates'!$L:$R,7,0),IF($LB356=60%,VLOOKUP($HZ356,'Jan-2026 rates'!$L:$S,8,0),IF($LB356=80%,VLOOKUP($HZ356,'Jan-2026 rates'!L:T,9,0),0))))))))</f>
        <v>0</v>
      </c>
      <c r="IF356" s="412">
        <v>26527000010</v>
      </c>
      <c r="IG356" s="413" t="s">
        <v>1266</v>
      </c>
      <c r="IH356" s="412"/>
      <c r="II356" s="412"/>
      <c r="IJ356" s="412"/>
      <c r="IK356" s="412"/>
      <c r="IL356" s="412"/>
      <c r="IM356" s="412"/>
      <c r="IN356" s="409">
        <v>25</v>
      </c>
      <c r="IO356" s="398" t="e">
        <f>IF(IN356=0,0,IF(LEN(IF356)=11,_xlfn.XLOOKUP(IF356,'Dispensed Ink Rates'!C:C,'Dispensed Ink Rates'!CS:CS),VLOOKUP(IF356,'Jan-2026 rates'!$E:$F,2,0)))</f>
        <v>#N/A</v>
      </c>
      <c r="IP356" s="409">
        <v>2</v>
      </c>
      <c r="IQ356" s="398">
        <f>IF(IP356=0,0,IF(LEN(IG356)=11,_xlfn.XLOOKUP(IG356,'Dispensed Ink Rates'!C:C,'Dispensed Ink Rates'!CS:CS),VLOOKUP(IG356,'Jan-2026 rates'!$E:$F,2,0)))</f>
        <v>0</v>
      </c>
      <c r="IR356" s="409"/>
      <c r="IS356" s="398">
        <f>IF(IR356=0,0,IF(LEN(IH356)=11,_xlfn.XLOOKUP(IH356,'Dispensed Ink Rates'!C:C,'Dispensed Ink Rates'!CS:CS),VLOOKUP(IH356,'Jan-2026 rates'!$E:$F,2,0)))</f>
        <v>0</v>
      </c>
      <c r="IT356" s="409"/>
      <c r="IU356" s="398">
        <f>IF(IT356=0,0,IF(LEN(II356)=11,_xlfn.XLOOKUP(II356,'Dispensed Ink Rates'!C:C,'Dispensed Ink Rates'!CS:CS),VLOOKUP(II356,'Jan-2026 rates'!$E:$F,2,0)))</f>
        <v>0</v>
      </c>
      <c r="IV356" s="409"/>
      <c r="IW356" s="398">
        <f>IF(IV356=0,0,IF(LEN(IJ356)=11,_xlfn.XLOOKUP(IJ356,'Dispensed Ink Rates'!C:C,'Dispensed Ink Rates'!CS:CS),VLOOKUP(IJ356,'Jan-2026 rates'!$E:$F,2,0)))</f>
        <v>0</v>
      </c>
      <c r="IX356" s="409"/>
      <c r="IY356" s="398">
        <f>IF(IX356=0,0,IF(LEN(IK356)=11,_xlfn.XLOOKUP(IK356,'Dispensed Ink Rates'!C:C,'Dispensed Ink Rates'!CS:CS),VLOOKUP(IK356,'Jan-2026 rates'!$E:$F,2,0)))</f>
        <v>0</v>
      </c>
      <c r="IZ356" s="409"/>
      <c r="JA356" s="398">
        <f>IF(IZ356=0,0,IF(LEN(IL356)=11,_xlfn.XLOOKUP(IL356,'Dispensed Ink Rates'!C:C,'Dispensed Ink Rates'!CS:CS),VLOOKUP(IL356,'Jan-2026 rates'!$E:$F,2,0)))</f>
        <v>0</v>
      </c>
      <c r="JB356" s="409"/>
      <c r="JC356" s="398">
        <f>IF(JB356=0,0,IF(LEN(IM356)=11,_xlfn.XLOOKUP(IM356,'Dispensed Ink Rates'!C:C,'Dispensed Ink Rates'!CS:CS),VLOOKUP(IM356,'Jan-2026 rates'!$E:$F,2,0)))</f>
        <v>0</v>
      </c>
      <c r="JD356" s="409" t="s">
        <v>1443</v>
      </c>
      <c r="JE356" s="409">
        <v>23</v>
      </c>
      <c r="JF356" s="411">
        <f t="shared" si="230"/>
        <v>0</v>
      </c>
      <c r="JG356" s="411">
        <f t="shared" si="231"/>
        <v>47.327868852459019</v>
      </c>
      <c r="JH356" s="410">
        <f t="shared" si="232"/>
        <v>0</v>
      </c>
      <c r="JI356" s="405" t="s">
        <v>856</v>
      </c>
      <c r="JJ356" s="409" t="s">
        <v>4738</v>
      </c>
      <c r="JK356" s="420" t="str">
        <f t="shared" si="190"/>
        <v>FLINTSL - WHITE</v>
      </c>
      <c r="JL356" s="409">
        <v>30</v>
      </c>
      <c r="JM356" s="411">
        <f>IF(JL356=0,0,IF($LB356=70%,VLOOKUP($JK356,'Jan-2026 rates'!$L:$R,4,0),IF($LB356=65%,VLOOKUP($JK356,'Jan-2026 rates'!$L:$R,4,0),IF($LB356=40%,VLOOKUP($JK356,'Jan-2026 rates'!$L:$R,5,0),IF($LB356=30%,VLOOKUP($JK356,'Jan-2026 rates'!$L:$R,6,0),IF($LB356=100%,VLOOKUP($JK356,'Jan-2026 rates'!$L:$R,7,0),IF($LB356=60%,VLOOKUP($JK356,'Jan-2026 rates'!$L:$S,8,0),IF($LB356=80%,VLOOKUP($JK356,'Jan-2026 rates'!L:T,9,0),0))))))))</f>
        <v>0</v>
      </c>
      <c r="JN356" s="412"/>
      <c r="JO356" s="409"/>
      <c r="JP356" s="411">
        <f>IF(JO356=0,0,IF($LB356=70%,VLOOKUP($JK356,'Jan-2026 rates'!$L:$R,4,0),IF($LB356=65%,VLOOKUP($JK356,'Jan-2026 rates'!$L:$R,4,0),IF($LB356=40%,VLOOKUP($JK356,'Jan-2026 rates'!$L:$R,5,0),IF($LB356=30%,VLOOKUP($JK356,'Jan-2026 rates'!$L:$R,6,0),IF($LB356=100%,VLOOKUP($JK356,'Jan-2026 rates'!$L:$R,7,0),IF($LB356=60%,VLOOKUP($JK356,'Jan-2026 rates'!$L:$S,8,0),IF($LB356=80%,VLOOKUP($JK356,'Jan-2026 rates'!L:T,9,0),0))))))))</f>
        <v>0</v>
      </c>
      <c r="JQ356" s="413" t="s">
        <v>484</v>
      </c>
      <c r="JR356" s="412"/>
      <c r="JS356" s="413"/>
      <c r="JT356" s="413"/>
      <c r="JU356" s="412"/>
      <c r="JV356" s="412"/>
      <c r="JW356" s="412"/>
      <c r="JX356" s="412"/>
      <c r="JY356" s="409">
        <v>40</v>
      </c>
      <c r="JZ356" s="398">
        <f>IF(JY356=0,0,IF(LEN(JQ356)=11,_xlfn.XLOOKUP(JQ356,'Dispensed Ink Rates'!C:C,'Dispensed Ink Rates'!CS:CS),VLOOKUP(JQ356,'Jan-2026 rates'!$E:$F,2,0)))</f>
        <v>0</v>
      </c>
      <c r="KA356" s="409"/>
      <c r="KB356" s="398">
        <f>IF(KA356=0,0,IF(LEN(JR356)=11,_xlfn.XLOOKUP(JR356,'Dispensed Ink Rates'!C:C,'Dispensed Ink Rates'!CS:CS),VLOOKUP(JR356,'Jan-2026 rates'!$E:$F,2,0)))</f>
        <v>0</v>
      </c>
      <c r="KC356" s="409"/>
      <c r="KD356" s="398">
        <f>IF(KC356=0,0,IF(LEN(JS356)=11,_xlfn.XLOOKUP(JS356,'Dispensed Ink Rates'!C:C,'Dispensed Ink Rates'!CS:CS),VLOOKUP(JS356,'Jan-2026 rates'!$E:$F,2,0)))</f>
        <v>0</v>
      </c>
      <c r="KE356" s="409"/>
      <c r="KF356" s="398">
        <f>IF(KE356=0,0,IF(LEN(JT356)=11,_xlfn.XLOOKUP(JT356,'Dispensed Ink Rates'!C:C,'Dispensed Ink Rates'!CS:CS),VLOOKUP(JT356,'Jan-2026 rates'!$E:$F,2,0)))</f>
        <v>0</v>
      </c>
      <c r="KG356" s="409"/>
      <c r="KH356" s="398">
        <f>IF(KG356=0,0,IF(LEN(JU356)=11,_xlfn.XLOOKUP(JU356,'Dispensed Ink Rates'!C:C,'Dispensed Ink Rates'!CS:CS),VLOOKUP(JU356,'Jan-2026 rates'!$E:$F,2,0)))</f>
        <v>0</v>
      </c>
      <c r="KI356" s="409"/>
      <c r="KJ356" s="398">
        <f>IF(KI356=0,0,IF(LEN(JV356)=11,_xlfn.XLOOKUP(JV356,'Dispensed Ink Rates'!C:C,'Dispensed Ink Rates'!CS:CS),VLOOKUP(JV356,'Jan-2026 rates'!$E:$F,2,0)))</f>
        <v>0</v>
      </c>
      <c r="KK356" s="409"/>
      <c r="KL356" s="398">
        <f>IF(KK356=0,0,IF(LEN(JW356)=11,_xlfn.XLOOKUP(JW356,'Dispensed Ink Rates'!C:C,'Dispensed Ink Rates'!CS:CS),VLOOKUP(JW356,'Jan-2026 rates'!$E:$F,2,0)))</f>
        <v>0</v>
      </c>
      <c r="KM356" s="428"/>
      <c r="KN356" s="398">
        <f>IF(KM356=0,0,IF(LEN(JX356)=11,_xlfn.XLOOKUP(JX356,'Dispensed Ink Rates'!C:C,'Dispensed Ink Rates'!CS:CS),VLOOKUP(JX356,'Jan-2026 rates'!$E:$F,2,0)))</f>
        <v>0</v>
      </c>
      <c r="KO356" s="409" t="s">
        <v>1443</v>
      </c>
      <c r="KP356" s="409">
        <v>25</v>
      </c>
      <c r="KQ356" s="411">
        <f t="shared" si="233"/>
        <v>0</v>
      </c>
      <c r="KR356" s="411">
        <f t="shared" si="234"/>
        <v>73.196721311475414</v>
      </c>
      <c r="KS356" s="410">
        <f t="shared" si="235"/>
        <v>0</v>
      </c>
      <c r="KT356" s="409">
        <v>5</v>
      </c>
      <c r="KU356" s="409">
        <v>3</v>
      </c>
      <c r="KV356" s="409">
        <v>7</v>
      </c>
      <c r="KW356" s="409">
        <v>5</v>
      </c>
      <c r="KX356" s="409">
        <v>3</v>
      </c>
      <c r="KY356" s="409">
        <v>5</v>
      </c>
      <c r="KZ356" s="409">
        <v>13</v>
      </c>
      <c r="LA356" s="409">
        <v>20</v>
      </c>
      <c r="LB356" s="415">
        <v>0.8</v>
      </c>
      <c r="LC356" s="415">
        <v>0.2</v>
      </c>
      <c r="LD356" s="424"/>
      <c r="LE356" s="415"/>
      <c r="LF356" s="415"/>
      <c r="LG356" s="409">
        <v>0</v>
      </c>
      <c r="LH356" s="409">
        <f>20+16+40+10</f>
        <v>86</v>
      </c>
      <c r="LI356" s="409">
        <v>0</v>
      </c>
      <c r="LJ356" s="409">
        <v>0</v>
      </c>
      <c r="LK356" s="416">
        <f t="shared" si="191"/>
        <v>86</v>
      </c>
      <c r="LL356" s="416">
        <f t="shared" si="237"/>
        <v>86</v>
      </c>
      <c r="LM356" s="417">
        <f t="shared" si="193"/>
        <v>68.8</v>
      </c>
      <c r="LN356" s="417">
        <f>VLOOKUP($LM$8,'Jan-2026 rates'!$H:$I,2,0)</f>
        <v>0</v>
      </c>
      <c r="LO356" s="417">
        <f t="shared" si="194"/>
        <v>17.2</v>
      </c>
      <c r="LP356" s="417">
        <f>VLOOKUP($LO$8,'Jan-2026 rates'!$H:$I,2,0)</f>
        <v>0</v>
      </c>
      <c r="LQ356" s="417">
        <f t="shared" si="195"/>
        <v>0</v>
      </c>
      <c r="LR356" s="417">
        <f>VLOOKUP($LQ$8,'Jan-2026 rates'!$H:$I,2,0)</f>
        <v>0</v>
      </c>
      <c r="LS356" s="417">
        <f t="shared" si="196"/>
        <v>0</v>
      </c>
      <c r="LT356" s="417">
        <f>VLOOKUP($LS$8,'Jan-2026 rates'!$H:$I,2,0)</f>
        <v>0</v>
      </c>
      <c r="LU356" s="417">
        <f t="shared" si="197"/>
        <v>0</v>
      </c>
      <c r="LV356" s="417">
        <f>VLOOKUP($LU$8,'Jan-2026 rates'!$H:$I,2,0)</f>
        <v>0</v>
      </c>
      <c r="LW356" s="417">
        <f t="shared" si="198"/>
        <v>0</v>
      </c>
      <c r="LX356" s="417">
        <f t="shared" si="199"/>
        <v>0</v>
      </c>
      <c r="LY356" s="418">
        <f t="shared" si="200"/>
        <v>0</v>
      </c>
      <c r="LZ356" s="417"/>
      <c r="MA356" s="435">
        <f t="shared" si="201"/>
        <v>122</v>
      </c>
      <c r="MB356" s="282">
        <f t="shared" si="202"/>
        <v>176</v>
      </c>
      <c r="MC356" s="283">
        <v>198</v>
      </c>
      <c r="MD356" s="284" t="str">
        <f t="shared" si="203"/>
        <v>FLINTSLFLINTSLFLINTSLFLINTSLFLINTSLFLINTSLFLINTSLFLINTSL</v>
      </c>
      <c r="ME356" s="293" t="str">
        <f t="shared" si="204"/>
        <v>+</v>
      </c>
      <c r="MF356" s="293" t="str">
        <f t="shared" si="205"/>
        <v>+</v>
      </c>
      <c r="MG356" s="293" t="str">
        <f t="shared" si="206"/>
        <v>+</v>
      </c>
      <c r="MH356" s="293" t="str">
        <f t="shared" si="207"/>
        <v>+</v>
      </c>
      <c r="MI356" s="293" t="str">
        <f t="shared" si="208"/>
        <v>+</v>
      </c>
      <c r="MJ356" s="293" t="str">
        <f t="shared" si="209"/>
        <v>+</v>
      </c>
      <c r="MK356" s="293" t="str">
        <f t="shared" si="210"/>
        <v>+</v>
      </c>
      <c r="ML356" s="293" t="str">
        <f t="shared" si="211"/>
        <v>+</v>
      </c>
      <c r="MM356" s="3" t="b">
        <f t="array" ref="MM356">OR(ME356:ML356="-")</f>
        <v>0</v>
      </c>
      <c r="MO356" s="401">
        <f t="shared" si="238"/>
        <v>71.544715447154474</v>
      </c>
      <c r="MP356" s="286"/>
      <c r="MR356" s="402">
        <f t="shared" si="239"/>
        <v>1.6761904761904763E-2</v>
      </c>
      <c r="MS356" s="400">
        <f t="shared" si="240"/>
        <v>0</v>
      </c>
      <c r="MT356" s="285"/>
      <c r="NH356" s="361"/>
      <c r="NJ356" s="282"/>
    </row>
    <row r="357" spans="1:374" ht="16.5">
      <c r="A357" s="403">
        <v>46048</v>
      </c>
      <c r="B357" s="404" t="s">
        <v>1018</v>
      </c>
      <c r="C357" s="405" t="s">
        <v>4740</v>
      </c>
      <c r="D357" s="404">
        <v>199</v>
      </c>
      <c r="E357" s="404">
        <v>791</v>
      </c>
      <c r="F357" s="407">
        <v>41700</v>
      </c>
      <c r="G357" s="407" t="s">
        <v>1016</v>
      </c>
      <c r="H357" s="408" t="s">
        <v>1017</v>
      </c>
      <c r="I357" s="409">
        <v>1.21</v>
      </c>
      <c r="J357" s="405" t="s">
        <v>543</v>
      </c>
      <c r="K357" s="404" t="s">
        <v>4741</v>
      </c>
      <c r="L357" s="419" t="str">
        <f t="shared" si="184"/>
        <v>FLINTSL - BLACK</v>
      </c>
      <c r="M357" s="404">
        <v>29</v>
      </c>
      <c r="N357" s="410">
        <f>IF(M357=0,0,IF($LB357=70%,VLOOKUP($L357,'Jan-2026 rates'!$L:$R,4,0),IF($LB357=65%,VLOOKUP($L357,'Jan-2026 rates'!$L:$R,4,0),IF($LB357=40%,VLOOKUP($L357,'Jan-2026 rates'!$L:$R,5,0),IF($LB357=30%,VLOOKUP($L357,'Jan-2026 rates'!$L:$R,6,0),IF($LB357=100%,VLOOKUP($L357,'Jan-2026 rates'!$L:$R,7,0),IF($LB357=60%,VLOOKUP($L357,'Jan-2026 rates'!$L:$S,8,0),IF($LB357=80%,VLOOKUP($L357,'Jan-2026 rates'!L:T,9,0),0))))))))</f>
        <v>0</v>
      </c>
      <c r="O357" s="406"/>
      <c r="P357" s="404"/>
      <c r="Q357" s="410">
        <f>IF(P357=0,0,IF($LB357=70%,VLOOKUP($L357,'Jan-2026 rates'!$L:$R,4,0),IF($LB357=65%,VLOOKUP($L357,'Jan-2026 rates'!$L:$R,4,0),IF($LB357=40%,VLOOKUP($L357,'Jan-2026 rates'!$L:$R,5,0),IF($LB357=30%,VLOOKUP($L357,'Jan-2026 rates'!$L:$R,6,0),IF($LB357=100%,VLOOKUP($L357,'Jan-2026 rates'!$L:$R,7,0),IF($LB357=60%,VLOOKUP($L357,'Jan-2026 rates'!$L:$S,8,0),IF($LB357=80%,VLOOKUP($L357,'Jan-2026 rates'!L:T,9,0),0))))))))</f>
        <v>0</v>
      </c>
      <c r="R357" s="406">
        <v>26526000029</v>
      </c>
      <c r="S357" s="406"/>
      <c r="T357" s="406"/>
      <c r="U357" s="406"/>
      <c r="V357" s="406"/>
      <c r="W357" s="406"/>
      <c r="X357" s="406"/>
      <c r="Y357" s="406"/>
      <c r="Z357" s="404">
        <v>5</v>
      </c>
      <c r="AA357" s="398" t="e">
        <f>IF(Z357=0,0,IF(LEN(R357)=11,_xlfn.XLOOKUP(R357,'Dispensed Ink Rates'!C:C,'Dispensed Ink Rates'!CS:CS),VLOOKUP(R357,'Jan-2026 rates'!$E:$F,2,0)))</f>
        <v>#N/A</v>
      </c>
      <c r="AB357" s="404"/>
      <c r="AC357" s="398">
        <f>IF(AB357=0,0,IF(LEN(S357)=11,_xlfn.XLOOKUP(S357,'Dispensed Ink Rates'!C:C,'Dispensed Ink Rates'!CS:CS),VLOOKUP(S357,'Jan-2026 rates'!$E:$F,2,0)))</f>
        <v>0</v>
      </c>
      <c r="AD357" s="404"/>
      <c r="AE357" s="398">
        <f>IF(AD357=0,0,IF(LEN(T357)=11,_xlfn.XLOOKUP(T357,'Dispensed Ink Rates'!C:C,'Dispensed Ink Rates'!CS:CS),VLOOKUP(T357,'Jan-2026 rates'!$E:$F,2,0)))</f>
        <v>0</v>
      </c>
      <c r="AF357" s="404"/>
      <c r="AG357" s="398">
        <f>IF(AF357=0,0,IF(LEN(U357)=11,_xlfn.XLOOKUP(U357,'Dispensed Ink Rates'!C:C,'Dispensed Ink Rates'!CS:CS),VLOOKUP(U357,'Jan-2026 rates'!$E:$F,2,0)))</f>
        <v>0</v>
      </c>
      <c r="AH357" s="404"/>
      <c r="AI357" s="398">
        <f>IF(AH357=0,0,IF(LEN(V357)=11,_xlfn.XLOOKUP(V357,'Dispensed Ink Rates'!C:C,'Dispensed Ink Rates'!CS:CS),VLOOKUP(V357,'Jan-2026 rates'!$E:$F,2,0)))</f>
        <v>0</v>
      </c>
      <c r="AJ357" s="404"/>
      <c r="AK357" s="398">
        <f>IF(AJ357=0,0,IF(LEN(W357)=11,_xlfn.XLOOKUP(W357,'Dispensed Ink Rates'!C:C,'Dispensed Ink Rates'!CS:CS),VLOOKUP(W357,'Jan-2026 rates'!$E:$F,2,0)))</f>
        <v>0</v>
      </c>
      <c r="AL357" s="404"/>
      <c r="AM357" s="398">
        <f>IF(AL357=0,0,IF(LEN(X357)=11,_xlfn.XLOOKUP(X357,'Dispensed Ink Rates'!C:C,'Dispensed Ink Rates'!CS:CS),VLOOKUP(X357,'Jan-2026 rates'!$E:$F,2,0)))</f>
        <v>0</v>
      </c>
      <c r="AN357" s="404"/>
      <c r="AO357" s="398">
        <f>IF(AN357=0,0,IF(LEN(Y357)=11,_xlfn.XLOOKUP(Y357,'Dispensed Ink Rates'!C:C,'Dispensed Ink Rates'!CS:CS),VLOOKUP(Y357,'Jan-2026 rates'!$E:$F,2,0)))</f>
        <v>0</v>
      </c>
      <c r="AP357" s="409" t="s">
        <v>1443</v>
      </c>
      <c r="AQ357" s="409">
        <v>24</v>
      </c>
      <c r="AR357" s="410">
        <f t="shared" si="212"/>
        <v>0</v>
      </c>
      <c r="AS357" s="411">
        <f t="shared" si="213"/>
        <v>19.480000000000004</v>
      </c>
      <c r="AT357" s="410">
        <f t="shared" si="214"/>
        <v>0</v>
      </c>
      <c r="AU357" s="405" t="s">
        <v>857</v>
      </c>
      <c r="AV357" s="409" t="s">
        <v>4742</v>
      </c>
      <c r="AW357" s="420" t="str">
        <f t="shared" si="236"/>
        <v>FLINTSL - RED</v>
      </c>
      <c r="AX357" s="409">
        <v>30</v>
      </c>
      <c r="AY357" s="411">
        <f>IF(AX357=0,0,IF($LB357=70%,VLOOKUP($AW357,'Jan-2026 rates'!$L:$R,4,0),IF($LB357=65%,VLOOKUP($AW357,'Jan-2026 rates'!$L:$R,4,0),IF($LB357=40%,VLOOKUP($AW357,'Jan-2026 rates'!$L:$R,5,0),IF($LB357=30%,VLOOKUP($AW357,'Jan-2026 rates'!$L:$R,6,0),IF($LB357=100%,VLOOKUP($AW357,'Jan-2026 rates'!$L:$R,7,0),IF($LB357=60%,VLOOKUP($AW357,'Jan-2026 rates'!$L:$S,8,0),IF($LB357=80%,VLOOKUP($AW357,'Jan-2026 rates'!L:T,9,0),0))))))))</f>
        <v>0</v>
      </c>
      <c r="AZ357" s="412"/>
      <c r="BA357" s="409"/>
      <c r="BB357" s="411">
        <f>IF(BA357=0,0,IF($LB357=70%,VLOOKUP($AW357,'Jan-2026 rates'!$L:$R,4,0),IF($LB357=65%,VLOOKUP($AW357,'Jan-2026 rates'!$L:$R,4,0),IF($LB357=40%,VLOOKUP($AW357,'Jan-2026 rates'!$L:$R,5,0),IF($LB357=30%,VLOOKUP($AW357,'Jan-2026 rates'!$L:$R,6,0),IF($LB357=100%,VLOOKUP($AW357,'Jan-2026 rates'!$L:$R,7,0),IF($LB357=60%,VLOOKUP($AW357,'Jan-2026 rates'!$L:$S,8,0),IF($LB357=80%,VLOOKUP($AW357,'Jan-2026 rates'!L:T,9,0),0))))))))</f>
        <v>0</v>
      </c>
      <c r="BC357" s="413">
        <v>26527000005</v>
      </c>
      <c r="BD357" s="412">
        <v>26528000002</v>
      </c>
      <c r="BE357" s="412">
        <v>26529000011</v>
      </c>
      <c r="BF357" s="413"/>
      <c r="BG357" s="412"/>
      <c r="BH357" s="412"/>
      <c r="BI357" s="412"/>
      <c r="BJ357" s="412"/>
      <c r="BK357" s="409">
        <v>10</v>
      </c>
      <c r="BL357" s="398" t="e">
        <f>IF(BK357=0,0,IF(LEN(BC357)=11,_xlfn.XLOOKUP(BC357,'Dispensed Ink Rates'!C:C,'Dispensed Ink Rates'!CS:CS),VLOOKUP(BC357,'Jan-2026 rates'!$E:$F,2,0)))</f>
        <v>#N/A</v>
      </c>
      <c r="BM357" s="409">
        <v>12</v>
      </c>
      <c r="BN357" s="398" t="e">
        <f>IF(BM357=0,0,IF(LEN(BD357)=11,_xlfn.XLOOKUP(BD357,'Dispensed Ink Rates'!C:C,'Dispensed Ink Rates'!CS:CS),VLOOKUP(BD357,'Jan-2026 rates'!$E:$F,2,0)))</f>
        <v>#N/A</v>
      </c>
      <c r="BO357" s="409">
        <v>6</v>
      </c>
      <c r="BP357" s="398" t="e">
        <f>IF(BO357=0,0,IF(LEN(BE357)=11,_xlfn.XLOOKUP(BE357,'Dispensed Ink Rates'!C:C,'Dispensed Ink Rates'!CS:CS),VLOOKUP(BE357,'Jan-2026 rates'!$E:$F,2,0)))</f>
        <v>#N/A</v>
      </c>
      <c r="BQ357" s="409"/>
      <c r="BR357" s="398">
        <f>IF(BQ357=0,0,IF(LEN(BF357)=11,_xlfn.XLOOKUP(BF357,'Dispensed Ink Rates'!C:C,'Dispensed Ink Rates'!CS:CS),VLOOKUP(BF357,'Jan-2026 rates'!$E:$F,2,0)))</f>
        <v>0</v>
      </c>
      <c r="BS357" s="409"/>
      <c r="BT357" s="398">
        <f>IF(BS357=0,0,IF(LEN(BG357)=11,_xlfn.XLOOKUP(BG357,'Dispensed Ink Rates'!C:C,'Dispensed Ink Rates'!CS:CS),VLOOKUP(BG357,'Jan-2026 rates'!$E:$F,2,0)))</f>
        <v>0</v>
      </c>
      <c r="BU357" s="409"/>
      <c r="BV357" s="398">
        <f>IF(BU357=0,0,IF(LEN(BH357)=11,_xlfn.XLOOKUP(BH357,'Dispensed Ink Rates'!C:C,'Dispensed Ink Rates'!CS:CS),VLOOKUP(BH357,'Jan-2026 rates'!$E:$F,2,0)))</f>
        <v>0</v>
      </c>
      <c r="BW357" s="409"/>
      <c r="BX357" s="398">
        <f>IF(BW357=0,0,IF(LEN(BI357)=11,_xlfn.XLOOKUP(BI357,'Dispensed Ink Rates'!C:C,'Dispensed Ink Rates'!CS:CS),VLOOKUP(BI357,'Jan-2026 rates'!$E:$F,2,0)))</f>
        <v>0</v>
      </c>
      <c r="BY357" s="409"/>
      <c r="BZ357" s="398">
        <f>IF(BY357=0,0,IF(LEN(BJ357)=11,_xlfn.XLOOKUP(BJ357,'Dispensed Ink Rates'!C:C,'Dispensed Ink Rates'!CS:CS),VLOOKUP(BJ357,'Jan-2026 rates'!$E:$F,2,0)))</f>
        <v>0</v>
      </c>
      <c r="CA357" s="409" t="s">
        <v>1443</v>
      </c>
      <c r="CB357" s="409">
        <v>30</v>
      </c>
      <c r="CC357" s="411">
        <f t="shared" si="215"/>
        <v>0</v>
      </c>
      <c r="CD357" s="411">
        <f t="shared" si="216"/>
        <v>46.960000000000008</v>
      </c>
      <c r="CE357" s="410">
        <f t="shared" si="217"/>
        <v>0</v>
      </c>
      <c r="CF357" s="404" t="s">
        <v>855</v>
      </c>
      <c r="CG357" s="409"/>
      <c r="CH357" s="420" t="str">
        <f t="shared" si="185"/>
        <v>FLINTSL - CYAN</v>
      </c>
      <c r="CI357" s="409"/>
      <c r="CJ357" s="411">
        <f>IF(CI357=0,0,IF($LB357=70%,VLOOKUP($CH357,'Jan-2026 rates'!$L:$R,4,0),IF($LB357=65%,VLOOKUP($CH357,'Jan-2026 rates'!$L:$R,4,0),IF($LB357=40%,VLOOKUP($CH357,'Jan-2026 rates'!$L:$R,5,0),IF($LB357=30%,VLOOKUP($CH357,'Jan-2026 rates'!$L:$R,6,0),IF($LB357=100%,VLOOKUP($CH357,'Jan-2026 rates'!$L:$R,7,0),IF($LB357=60%,VLOOKUP($CH357,'Jan-2026 rates'!$L:$S,8,0),IF($LB357=80%,VLOOKUP($CH357,'Jan-2026 rates'!L:T,9,0),0))))))))</f>
        <v>0</v>
      </c>
      <c r="CK357" s="412"/>
      <c r="CL357" s="409"/>
      <c r="CM357" s="411">
        <f>IF(CL357=0,0,IF($LB357=70%,VLOOKUP($CH357,'Jan-2026 rates'!$L:$R,4,0),IF($LB357=65%,VLOOKUP($CH357,'Jan-2026 rates'!$L:$R,4,0),IF($LB357=40%,VLOOKUP($CH357,'Jan-2026 rates'!$L:$R,5,0),IF($LB357=30%,VLOOKUP($CH357,'Jan-2026 rates'!$L:$R,6,0),IF($LB357=100%,VLOOKUP($CH357,'Jan-2026 rates'!$L:$R,7,0),IF($LB357=60%,VLOOKUP($CH357,'Jan-2026 rates'!$L:$S,8,0),IF($LB357=80%,VLOOKUP($CH357,'Jan-2026 rates'!L:T,9,0),0))))))))</f>
        <v>0</v>
      </c>
      <c r="CN357" s="426">
        <v>26524000018</v>
      </c>
      <c r="CO357" s="427" t="s">
        <v>1266</v>
      </c>
      <c r="CP357" s="426"/>
      <c r="CQ357" s="426"/>
      <c r="CR357" s="428"/>
      <c r="CS357" s="428"/>
      <c r="CT357" s="428"/>
      <c r="CU357" s="428"/>
      <c r="CV357" s="409">
        <v>10</v>
      </c>
      <c r="CW357" s="398" t="e">
        <f>IF(CV357=0,0,IF(LEN(CN357)=11,_xlfn.XLOOKUP(CN357,'Dispensed Ink Rates'!C:C,'Dispensed Ink Rates'!CS:CS),VLOOKUP(CN357,'Jan-2026 rates'!$E:$F,2,0)))</f>
        <v>#N/A</v>
      </c>
      <c r="CX357" s="409">
        <v>6</v>
      </c>
      <c r="CY357" s="398">
        <f>IF(CX357=0,0,IF(LEN(CO357)=11,_xlfn.XLOOKUP(CO357,'Dispensed Ink Rates'!C:C,'Dispensed Ink Rates'!CS:CS),VLOOKUP(CO357,'Jan-2026 rates'!$E:$F,2,0)))</f>
        <v>0</v>
      </c>
      <c r="CZ357" s="409"/>
      <c r="DA357" s="398">
        <f>IF(CZ357=0,0,IF(LEN(CP357)=11,_xlfn.XLOOKUP(CP357,'Dispensed Ink Rates'!C:C,'Dispensed Ink Rates'!CS:CS),VLOOKUP(CP357,'Jan-2026 rates'!$E:$F,2,0)))</f>
        <v>0</v>
      </c>
      <c r="DB357" s="409"/>
      <c r="DC357" s="398">
        <f>IF(DB357=0,0,IF(LEN(CQ357)=11,_xlfn.XLOOKUP(CQ357,'Dispensed Ink Rates'!C:C,'Dispensed Ink Rates'!CS:CS),VLOOKUP(CQ357,'Jan-2026 rates'!$E:$F,2,0)))</f>
        <v>0</v>
      </c>
      <c r="DD357" s="409"/>
      <c r="DE357" s="398">
        <f>IF(DD357=0,0,IF(LEN(CR357)=11,_xlfn.XLOOKUP(CR357,'Dispensed Ink Rates'!C:C,'Dispensed Ink Rates'!CS:CS),VLOOKUP(CR357,'Jan-2026 rates'!$E:$F,2,0)))</f>
        <v>0</v>
      </c>
      <c r="DF357" s="409"/>
      <c r="DG357" s="398">
        <f>IF(DF357=0,0,IF(LEN(CS357)=11,_xlfn.XLOOKUP(CS357,'Dispensed Ink Rates'!C:C,'Dispensed Ink Rates'!CS:CS),VLOOKUP(CS357,'Jan-2026 rates'!$E:$F,2,0)))</f>
        <v>0</v>
      </c>
      <c r="DH357" s="409"/>
      <c r="DI357" s="398">
        <f>IF(DH357=0,0,IF(LEN(CT357)=11,_xlfn.XLOOKUP(CT357,'Dispensed Ink Rates'!C:C,'Dispensed Ink Rates'!CS:CS),VLOOKUP(CT357,'Jan-2026 rates'!$E:$F,2,0)))</f>
        <v>0</v>
      </c>
      <c r="DJ357" s="409"/>
      <c r="DK357" s="398">
        <f>IF(DJ357=0,0,IF(LEN(CU357)=11,_xlfn.XLOOKUP(CU357,'Dispensed Ink Rates'!C:C,'Dispensed Ink Rates'!CS:CS),VLOOKUP(CU357,'Jan-2026 rates'!$E:$F,2,0)))</f>
        <v>0</v>
      </c>
      <c r="DL357" s="409" t="s">
        <v>1443</v>
      </c>
      <c r="DM357" s="409">
        <v>24</v>
      </c>
      <c r="DN357" s="411">
        <f t="shared" si="218"/>
        <v>0</v>
      </c>
      <c r="DO357" s="411">
        <f t="shared" si="219"/>
        <v>10.96</v>
      </c>
      <c r="DP357" s="410">
        <f t="shared" si="220"/>
        <v>0</v>
      </c>
      <c r="DQ357" s="405" t="s">
        <v>544</v>
      </c>
      <c r="DR357" s="409" t="s">
        <v>4743</v>
      </c>
      <c r="DS357" s="420" t="str">
        <f t="shared" si="186"/>
        <v>FLINTSL - MAGENTA</v>
      </c>
      <c r="DT357" s="409">
        <v>25</v>
      </c>
      <c r="DU357" s="411">
        <f>IF(DT357=0,0,IF($LB357=70%,VLOOKUP($DS357,'Jan-2026 rates'!$L:$R,4,0),IF($LB357=65%,VLOOKUP($DS357,'Jan-2026 rates'!$L:$R,4,0),IF($LB357=40%,VLOOKUP($DS357,'Jan-2026 rates'!$L:$R,5,0),IF($LB357=30%,VLOOKUP($DS357,'Jan-2026 rates'!$L:$R,6,0),IF($LB357=100%,VLOOKUP($DS357,'Jan-2026 rates'!$L:$R,7,0),IF($LB357=60%,VLOOKUP($DS357,'Jan-2026 rates'!$L:$S,8,0),IF($LB357=80%,VLOOKUP($DS357,'Jan-2026 rates'!L:T,9,0),0))))))))</f>
        <v>0</v>
      </c>
      <c r="DV357" s="412"/>
      <c r="DW357" s="409"/>
      <c r="DX357" s="411">
        <f>IF(DW357=0,0,IF($LB357=70%,VLOOKUP($DS357,'Jan-2026 rates'!$L:$R,4,0),IF($LB357=65%,VLOOKUP($DS357,'Jan-2026 rates'!$L:$R,4,0),IF($LB357=40%,VLOOKUP($DS357,'Jan-2026 rates'!$L:$R,5,0),IF($LB357=30%,VLOOKUP($DS357,'Jan-2026 rates'!$L:$R,6,0),IF($LB357=100%,VLOOKUP($DS357,'Jan-2026 rates'!$L:$R,7,0),IF($LB357=60%,VLOOKUP($DS357,'Jan-2026 rates'!$L:$S,8,0),IF($LB357=80%,VLOOKUP($DS357,'Jan-2026 rates'!L:T,9,0),0))))))))</f>
        <v>0</v>
      </c>
      <c r="DY357" s="413">
        <v>26528000002</v>
      </c>
      <c r="DZ357" s="413"/>
      <c r="EA357" s="412"/>
      <c r="EB357" s="412"/>
      <c r="EC357" s="412"/>
      <c r="ED357" s="412"/>
      <c r="EE357" s="412"/>
      <c r="EF357" s="412"/>
      <c r="EG357" s="409">
        <v>6</v>
      </c>
      <c r="EH357" s="398" t="e">
        <f>IF(EG357=0,0,IF(LEN(DY357)=11,_xlfn.XLOOKUP(DY357,'Dispensed Ink Rates'!C:C,'Dispensed Ink Rates'!CS:CS),VLOOKUP(DY357,'Jan-2026 rates'!$E:$F,2,0)))</f>
        <v>#N/A</v>
      </c>
      <c r="EI357" s="409"/>
      <c r="EJ357" s="398">
        <f>IF(EI357=0,0,IF(LEN(DZ357)=11,_xlfn.XLOOKUP(DZ357,'Dispensed Ink Rates'!C:C,'Dispensed Ink Rates'!CS:CS),VLOOKUP(DZ357,'Jan-2026 rates'!$E:$F,2,0)))</f>
        <v>0</v>
      </c>
      <c r="EK357" s="409"/>
      <c r="EL357" s="398">
        <f>IF(EK357=0,0,IF(LEN(EA357)=11,_xlfn.XLOOKUP(EA357,'Dispensed Ink Rates'!C:C,'Dispensed Ink Rates'!CS:CS),VLOOKUP(EA357,'Jan-2026 rates'!$E:$F,2,0)))</f>
        <v>0</v>
      </c>
      <c r="EM357" s="409"/>
      <c r="EN357" s="398">
        <f>IF(EM357=0,0,IF(LEN(EB357)=11,_xlfn.XLOOKUP(EB357,'Dispensed Ink Rates'!C:C,'Dispensed Ink Rates'!CS:CS),VLOOKUP(EB357,'Jan-2026 rates'!$E:$F,2,0)))</f>
        <v>0</v>
      </c>
      <c r="EO357" s="409"/>
      <c r="EP357" s="398">
        <f>IF(EO357=0,0,IF(LEN(EC357)=11,_xlfn.XLOOKUP(EC357,'Dispensed Ink Rates'!C:C,'Dispensed Ink Rates'!CS:CS),VLOOKUP(EC357,'Jan-2026 rates'!$E:$F,2,0)))</f>
        <v>0</v>
      </c>
      <c r="EQ357" s="409"/>
      <c r="ER357" s="398">
        <f>IF(EQ357=0,0,IF(LEN(ED357)=11,_xlfn.XLOOKUP(ED357,'Dispensed Ink Rates'!C:C,'Dispensed Ink Rates'!CS:CS),VLOOKUP(ED357,'Jan-2026 rates'!$E:$F,2,0)))</f>
        <v>0</v>
      </c>
      <c r="ES357" s="409"/>
      <c r="ET357" s="398">
        <f>IF(ES357=0,0,IF(LEN(EE357)=11,_xlfn.XLOOKUP(EE357,'Dispensed Ink Rates'!C:C,'Dispensed Ink Rates'!CS:CS),VLOOKUP(EE357,'Jan-2026 rates'!$E:$F,2,0)))</f>
        <v>0</v>
      </c>
      <c r="EU357" s="409"/>
      <c r="EV357" s="398">
        <f>IF(EU357=0,0,IF(LEN(EF357)=11,_xlfn.XLOOKUP(EF357,'Dispensed Ink Rates'!C:C,'Dispensed Ink Rates'!CS:CS),VLOOKUP(EF357,'Jan-2026 rates'!$E:$F,2,0)))</f>
        <v>0</v>
      </c>
      <c r="EW357" s="409" t="s">
        <v>1443</v>
      </c>
      <c r="EX357" s="409">
        <v>26</v>
      </c>
      <c r="EY357" s="411">
        <f t="shared" si="221"/>
        <v>0</v>
      </c>
      <c r="EZ357" s="411">
        <f t="shared" si="222"/>
        <v>14.480000000000004</v>
      </c>
      <c r="FA357" s="410">
        <f t="shared" si="223"/>
        <v>0</v>
      </c>
      <c r="FB357" s="405" t="s">
        <v>545</v>
      </c>
      <c r="FC357" s="409" t="s">
        <v>4744</v>
      </c>
      <c r="FD357" s="420" t="str">
        <f t="shared" si="187"/>
        <v>FLINTSL - YELLOW</v>
      </c>
      <c r="FE357" s="409">
        <v>24</v>
      </c>
      <c r="FF357" s="411">
        <f>IF(FE357=0,0,IF($LB357=70%,VLOOKUP($FD357,'Jan-2026 rates'!$L:$R,4,0),IF($LB357=65%,VLOOKUP($FD357,'Jan-2026 rates'!$L:$R,4,0),IF($LB357=40%,VLOOKUP($FD357,'Jan-2026 rates'!$L:$R,5,0),IF($LB357=30%,VLOOKUP($FD357,'Jan-2026 rates'!$L:$R,6,0),IF($LB357=100%,VLOOKUP($FD357,'Jan-2026 rates'!$L:$R,7,0),IF($LB357=60%,VLOOKUP($FD357,'Jan-2026 rates'!$L:$S,8,0),IF($LB357=80%,VLOOKUP($FD357,'Jan-2026 rates'!L:T,9,0),0))))))))</f>
        <v>0</v>
      </c>
      <c r="FG357" s="412"/>
      <c r="FH357" s="409"/>
      <c r="FI357" s="411">
        <f>IF(FH357=0,0,IF($LB357=70%,VLOOKUP($FD357,'Jan-2026 rates'!$L:$R,4,0),IF($LB357=65%,VLOOKUP($FD357,'Jan-2026 rates'!$L:$R,4,0),IF($LB357=40%,VLOOKUP($FD357,'Jan-2026 rates'!$L:$R,5,0),IF($LB357=30%,VLOOKUP($FD357,'Jan-2026 rates'!$L:$R,6,0),IF($LB357=100%,VLOOKUP($FD357,'Jan-2026 rates'!$L:$R,7,0),IF($LB357=60%,VLOOKUP($FD357,'Jan-2026 rates'!$L:$S,8,0),IF($LB357=80%,VLOOKUP($FD357,'Jan-2026 rates'!L:T,9,0),0))))))))</f>
        <v>0</v>
      </c>
      <c r="FJ357" s="413">
        <v>26527000018</v>
      </c>
      <c r="FK357" s="413" t="s">
        <v>1266</v>
      </c>
      <c r="FL357" s="413"/>
      <c r="FM357" s="412"/>
      <c r="FN357" s="412"/>
      <c r="FO357" s="412"/>
      <c r="FP357" s="412"/>
      <c r="FQ357" s="412"/>
      <c r="FR357" s="409">
        <f>6+2</f>
        <v>8</v>
      </c>
      <c r="FS357" s="398" t="e">
        <f>IF(FR357=0,0,IF(LEN(FJ357)=11,_xlfn.XLOOKUP(FJ357,'Dispensed Ink Rates'!C:C,'Dispensed Ink Rates'!CS:CS),VLOOKUP(FJ357,'Jan-2026 rates'!$E:$F,2,0)))</f>
        <v>#N/A</v>
      </c>
      <c r="FT357" s="409">
        <v>4</v>
      </c>
      <c r="FU357" s="398">
        <f>IF(FT357=0,0,IF(LEN(FK357)=11,_xlfn.XLOOKUP(FK357,'Dispensed Ink Rates'!C:C,'Dispensed Ink Rates'!CS:CS),VLOOKUP(FK357,'Jan-2026 rates'!$E:$F,2,0)))</f>
        <v>0</v>
      </c>
      <c r="FV357" s="409"/>
      <c r="FW357" s="398">
        <f>IF(FV357=0,0,IF(LEN(FL357)=11,_xlfn.XLOOKUP(FL357,'Dispensed Ink Rates'!C:C,'Dispensed Ink Rates'!CS:CS),VLOOKUP(FL357,'Jan-2026 rates'!$E:$F,2,0)))</f>
        <v>0</v>
      </c>
      <c r="FX357" s="409"/>
      <c r="FY357" s="398">
        <f>IF(FX357=0,0,IF(LEN(FM357)=11,_xlfn.XLOOKUP(FM357,'Dispensed Ink Rates'!C:C,'Dispensed Ink Rates'!CS:CS),VLOOKUP(FM357,'Jan-2026 rates'!$E:$F,2,0)))</f>
        <v>0</v>
      </c>
      <c r="FZ357" s="409"/>
      <c r="GA357" s="398">
        <f>IF(FZ357=0,0,IF(LEN(FN357)=11,_xlfn.XLOOKUP(FN357,'Dispensed Ink Rates'!C:C,'Dispensed Ink Rates'!CS:CS),VLOOKUP(FN357,'Jan-2026 rates'!$E:$F,2,0)))</f>
        <v>0</v>
      </c>
      <c r="GB357" s="409"/>
      <c r="GC357" s="398">
        <f>IF(GB357=0,0,IF(LEN(FO357)=11,_xlfn.XLOOKUP(FO357,'Dispensed Ink Rates'!C:C,'Dispensed Ink Rates'!CS:CS),VLOOKUP(FO357,'Jan-2026 rates'!$E:$F,2,0)))</f>
        <v>0</v>
      </c>
      <c r="GD357" s="409"/>
      <c r="GE357" s="398">
        <f>IF(GD357=0,0,IF(LEN(FP357)=11,_xlfn.XLOOKUP(FP357,'Dispensed Ink Rates'!C:C,'Dispensed Ink Rates'!CS:CS),VLOOKUP(FP357,'Jan-2026 rates'!$E:$F,2,0)))</f>
        <v>0</v>
      </c>
      <c r="GF357" s="409"/>
      <c r="GG357" s="398">
        <f>IF(GF357=0,0,IF(LEN(FQ357)=11,_xlfn.XLOOKUP(FQ357,'Dispensed Ink Rates'!C:C,'Dispensed Ink Rates'!CS:CS),VLOOKUP(FQ357,'Jan-2026 rates'!$E:$F,2,0)))</f>
        <v>0</v>
      </c>
      <c r="GH357" s="409" t="s">
        <v>1443</v>
      </c>
      <c r="GI357" s="409">
        <v>30</v>
      </c>
      <c r="GJ357" s="411">
        <f t="shared" si="224"/>
        <v>0</v>
      </c>
      <c r="GK357" s="411">
        <f t="shared" si="225"/>
        <v>15.480000000000004</v>
      </c>
      <c r="GL357" s="410">
        <f t="shared" si="226"/>
        <v>0</v>
      </c>
      <c r="GM357" s="405" t="s">
        <v>548</v>
      </c>
      <c r="GN357" s="409" t="s">
        <v>4679</v>
      </c>
      <c r="GO357" s="420" t="str">
        <f t="shared" si="188"/>
        <v>FLINTSL - GOLD</v>
      </c>
      <c r="GP357" s="409">
        <v>30</v>
      </c>
      <c r="GQ357" s="411">
        <f>IF(GP357=0,0,IF($LB357=70%,VLOOKUP($GO357,'Jan-2026 rates'!$L:$R,4,0),IF($LB357=65%,VLOOKUP($GO357,'Jan-2026 rates'!$L:$R,4,0),IF($LB357=40%,VLOOKUP($GO357,'Jan-2026 rates'!$L:$R,5,0),IF($LB357=30%,VLOOKUP($GO357,'Jan-2026 rates'!$L:$R,6,0),IF($LB357=100%,VLOOKUP($GO357,'Jan-2026 rates'!$L:$R,7,0),IF($LB357=60%,VLOOKUP($GO357,'Jan-2026 rates'!$L:$S,8,0),IF($LB357=80%,VLOOKUP($GO357,'Jan-2026 rates'!L:T,9,0),0))))))))</f>
        <v>0</v>
      </c>
      <c r="GR357" s="412"/>
      <c r="GS357" s="409"/>
      <c r="GT357" s="411">
        <f>IF(GS357=0,0,IF($LB357=70%,VLOOKUP($GO357,'Jan-2026 rates'!$L:$R,4,0),IF($LB357=65%,VLOOKUP($GO357,'Jan-2026 rates'!$L:$R,4,0),IF($LB357=40%,VLOOKUP($GO357,'Jan-2026 rates'!$L:$R,5,0),IF($LB357=30%,VLOOKUP($GO357,'Jan-2026 rates'!$L:$R,6,0),IF($LB357=100%,VLOOKUP($GO357,'Jan-2026 rates'!$L:$R,7,0),IF($LB357=60%,VLOOKUP($GO357,'Jan-2026 rates'!$L:$S,8,0),IF($LB357=80%,VLOOKUP($GO357,'Jan-2026 rates'!L:T,9,0),0))))))))</f>
        <v>0</v>
      </c>
      <c r="GU357" s="413" t="s">
        <v>1340</v>
      </c>
      <c r="GV357" s="413" t="s">
        <v>1341</v>
      </c>
      <c r="GW357" s="412"/>
      <c r="GX357" s="412"/>
      <c r="GY357" s="412"/>
      <c r="GZ357" s="412"/>
      <c r="HA357" s="412"/>
      <c r="HB357" s="412"/>
      <c r="HC357" s="409">
        <v>6</v>
      </c>
      <c r="HD357" s="398">
        <f>IF(HC357=0,0,IF(LEN(GU357)=11,_xlfn.XLOOKUP(GU357,'Dispensed Ink Rates'!C:C,'Dispensed Ink Rates'!CS:CS),VLOOKUP(GU357,'Jan-2026 rates'!$E:$F,2,0)))</f>
        <v>0</v>
      </c>
      <c r="HE357" s="409">
        <v>6</v>
      </c>
      <c r="HF357" s="398">
        <f>IF(HE357=0,0,IF(LEN(GV357)=11,_xlfn.XLOOKUP(GV357,'Dispensed Ink Rates'!C:C,'Dispensed Ink Rates'!CS:CS),VLOOKUP(GV357,'Jan-2026 rates'!$E:$F,2,0)))</f>
        <v>0</v>
      </c>
      <c r="HG357" s="409"/>
      <c r="HH357" s="398">
        <f>IF(HG357=0,0,IF(LEN(GW357)=11,_xlfn.XLOOKUP(GW357,'Dispensed Ink Rates'!C:C,'Dispensed Ink Rates'!CS:CS),VLOOKUP(GW357,'Jan-2026 rates'!$E:$F,2,0)))</f>
        <v>0</v>
      </c>
      <c r="HI357" s="409"/>
      <c r="HJ357" s="398">
        <f>IF(HI357=0,0,IF(LEN(GX357)=11,_xlfn.XLOOKUP(GX357,'Dispensed Ink Rates'!C:C,'Dispensed Ink Rates'!CS:CS),VLOOKUP(GX357,'Jan-2026 rates'!$E:$F,2,0)))</f>
        <v>0</v>
      </c>
      <c r="HK357" s="409"/>
      <c r="HL357" s="398">
        <f>IF(HK357=0,0,IF(LEN(GY357)=11,_xlfn.XLOOKUP(GY357,'Dispensed Ink Rates'!C:C,'Dispensed Ink Rates'!CS:CS),VLOOKUP(GY357,'Jan-2026 rates'!$E:$F,2,0)))</f>
        <v>0</v>
      </c>
      <c r="HM357" s="409"/>
      <c r="HN357" s="398">
        <f>IF(HM357=0,0,IF(LEN(GZ357)=11,_xlfn.XLOOKUP(GZ357,'Dispensed Ink Rates'!C:C,'Dispensed Ink Rates'!CS:CS),VLOOKUP(GZ357,'Jan-2026 rates'!$E:$F,2,0)))</f>
        <v>0</v>
      </c>
      <c r="HO357" s="409"/>
      <c r="HP357" s="398">
        <f>IF(HO357=0,0,IF(LEN(HA357)=11,_xlfn.XLOOKUP(HA357,'Dispensed Ink Rates'!C:C,'Dispensed Ink Rates'!CS:CS),VLOOKUP(HA357,'Jan-2026 rates'!$E:$F,2,0)))</f>
        <v>0</v>
      </c>
      <c r="HQ357" s="409"/>
      <c r="HR357" s="398">
        <f>IF(HQ357=0,0,IF(LEN(HB357)=11,_xlfn.XLOOKUP(HB357,'Dispensed Ink Rates'!C:C,'Dispensed Ink Rates'!CS:CS),VLOOKUP(HB357,'Jan-2026 rates'!$E:$F,2,0)))</f>
        <v>0</v>
      </c>
      <c r="HS357" s="409" t="s">
        <v>1443</v>
      </c>
      <c r="HT357" s="409">
        <v>30</v>
      </c>
      <c r="HU357" s="411">
        <f t="shared" si="227"/>
        <v>0</v>
      </c>
      <c r="HV357" s="411">
        <f t="shared" si="228"/>
        <v>21.480000000000004</v>
      </c>
      <c r="HW357" s="414">
        <f t="shared" si="229"/>
        <v>0</v>
      </c>
      <c r="HX357" s="405" t="s">
        <v>856</v>
      </c>
      <c r="HY357" s="409" t="s">
        <v>4745</v>
      </c>
      <c r="HZ357" s="420" t="str">
        <f t="shared" si="189"/>
        <v>FLINTSL - WHITE</v>
      </c>
      <c r="IA357" s="409">
        <v>29</v>
      </c>
      <c r="IB357" s="411">
        <f>IF(IA357=0,0,IF($LB357=70%,VLOOKUP($HZ357,'Jan-2026 rates'!$L:$R,4,0),IF($LB357=65%,VLOOKUP($HZ357,'Jan-2026 rates'!$L:$R,4,0),IF($LB357=40%,VLOOKUP($HZ357,'Jan-2026 rates'!$L:$R,5,0),IF($LB357=30%,VLOOKUP($HZ357,'Jan-2026 rates'!$L:$R,6,0),IF($LB357=100%,VLOOKUP($HZ357,'Jan-2026 rates'!$L:$R,7,0),IF($LB357=60%,VLOOKUP($HZ357,'Jan-2026 rates'!$L:$S,8,0),IF($LB357=80%,VLOOKUP($HZ357,'Jan-2026 rates'!L:T,9,0),0))))))))</f>
        <v>0</v>
      </c>
      <c r="IC357" s="412"/>
      <c r="ID357" s="409"/>
      <c r="IE357" s="411">
        <f>IF(ID357=0,0,IF($LB357=70%,VLOOKUP($HZ357,'Jan-2026 rates'!$L:$R,4,0),IF($LB357=65%,VLOOKUP($HZ357,'Jan-2026 rates'!$L:$R,4,0),IF($LB357=40%,VLOOKUP($HZ357,'Jan-2026 rates'!$L:$R,5,0),IF($LB357=30%,VLOOKUP($HZ357,'Jan-2026 rates'!$L:$R,6,0),IF($LB357=100%,VLOOKUP($HZ357,'Jan-2026 rates'!$L:$R,7,0),IF($LB357=60%,VLOOKUP($HZ357,'Jan-2026 rates'!$L:$S,8,0),IF($LB357=80%,VLOOKUP($HZ357,'Jan-2026 rates'!L:T,9,0),0))))))))</f>
        <v>0</v>
      </c>
      <c r="IF357" s="412" t="s">
        <v>484</v>
      </c>
      <c r="IG357" s="413" t="s">
        <v>5040</v>
      </c>
      <c r="IH357" s="412"/>
      <c r="II357" s="412"/>
      <c r="IJ357" s="412"/>
      <c r="IK357" s="412"/>
      <c r="IL357" s="412"/>
      <c r="IM357" s="412"/>
      <c r="IN357" s="409">
        <f>25+25</f>
        <v>50</v>
      </c>
      <c r="IO357" s="398">
        <f>IF(IN357=0,0,IF(LEN(IF357)=11,_xlfn.XLOOKUP(IF357,'Dispensed Ink Rates'!C:C,'Dispensed Ink Rates'!CS:CS),VLOOKUP(IF357,'Jan-2026 rates'!$E:$F,2,0)))</f>
        <v>0</v>
      </c>
      <c r="IP357" s="409">
        <f>25+25+50</f>
        <v>100</v>
      </c>
      <c r="IQ357" s="398">
        <f>IF(IP357=0,0,IF(LEN(IG357)=11,_xlfn.XLOOKUP(IG357,'Dispensed Ink Rates'!C:C,'Dispensed Ink Rates'!CS:CS),VLOOKUP(IG357,'Jan-2026 rates'!$E:$F,2,0)))</f>
        <v>0</v>
      </c>
      <c r="IR357" s="409"/>
      <c r="IS357" s="398">
        <f>IF(IR357=0,0,IF(LEN(IH357)=11,_xlfn.XLOOKUP(IH357,'Dispensed Ink Rates'!C:C,'Dispensed Ink Rates'!CS:CS),VLOOKUP(IH357,'Jan-2026 rates'!$E:$F,2,0)))</f>
        <v>0</v>
      </c>
      <c r="IT357" s="409"/>
      <c r="IU357" s="398">
        <f>IF(IT357=0,0,IF(LEN(II357)=11,_xlfn.XLOOKUP(II357,'Dispensed Ink Rates'!C:C,'Dispensed Ink Rates'!CS:CS),VLOOKUP(II357,'Jan-2026 rates'!$E:$F,2,0)))</f>
        <v>0</v>
      </c>
      <c r="IV357" s="409"/>
      <c r="IW357" s="398">
        <f>IF(IV357=0,0,IF(LEN(IJ357)=11,_xlfn.XLOOKUP(IJ357,'Dispensed Ink Rates'!C:C,'Dispensed Ink Rates'!CS:CS),VLOOKUP(IJ357,'Jan-2026 rates'!$E:$F,2,0)))</f>
        <v>0</v>
      </c>
      <c r="IX357" s="409"/>
      <c r="IY357" s="398">
        <f>IF(IX357=0,0,IF(LEN(IK357)=11,_xlfn.XLOOKUP(IK357,'Dispensed Ink Rates'!C:C,'Dispensed Ink Rates'!CS:CS),VLOOKUP(IK357,'Jan-2026 rates'!$E:$F,2,0)))</f>
        <v>0</v>
      </c>
      <c r="IZ357" s="409"/>
      <c r="JA357" s="398">
        <f>IF(IZ357=0,0,IF(LEN(IL357)=11,_xlfn.XLOOKUP(IL357,'Dispensed Ink Rates'!C:C,'Dispensed Ink Rates'!CS:CS),VLOOKUP(IL357,'Jan-2026 rates'!$E:$F,2,0)))</f>
        <v>0</v>
      </c>
      <c r="JB357" s="409"/>
      <c r="JC357" s="398">
        <f>IF(JB357=0,0,IF(LEN(IM357)=11,_xlfn.XLOOKUP(IM357,'Dispensed Ink Rates'!C:C,'Dispensed Ink Rates'!CS:CS),VLOOKUP(IM357,'Jan-2026 rates'!$E:$F,2,0)))</f>
        <v>0</v>
      </c>
      <c r="JD357" s="409" t="s">
        <v>1443</v>
      </c>
      <c r="JE357" s="409">
        <v>24</v>
      </c>
      <c r="JF357" s="411">
        <f t="shared" si="230"/>
        <v>0</v>
      </c>
      <c r="JG357" s="411">
        <f t="shared" si="231"/>
        <v>316.16000000000003</v>
      </c>
      <c r="JH357" s="410">
        <f t="shared" si="232"/>
        <v>0</v>
      </c>
      <c r="JI357" s="405"/>
      <c r="JJ357" s="409"/>
      <c r="JK357" s="420" t="str">
        <f t="shared" si="190"/>
        <v xml:space="preserve"> - </v>
      </c>
      <c r="JL357" s="409"/>
      <c r="JM357" s="411">
        <f>IF(JL357=0,0,IF($LB357=70%,VLOOKUP($JK357,'Jan-2026 rates'!$L:$R,4,0),IF($LB357=65%,VLOOKUP($JK357,'Jan-2026 rates'!$L:$R,4,0),IF($LB357=40%,VLOOKUP($JK357,'Jan-2026 rates'!$L:$R,5,0),IF($LB357=30%,VLOOKUP($JK357,'Jan-2026 rates'!$L:$R,6,0),IF($LB357=100%,VLOOKUP($JK357,'Jan-2026 rates'!$L:$R,7,0),IF($LB357=60%,VLOOKUP($JK357,'Jan-2026 rates'!$L:$S,8,0),IF($LB357=80%,VLOOKUP($JK357,'Jan-2026 rates'!L:T,9,0),0))))))))</f>
        <v>0</v>
      </c>
      <c r="JN357" s="412"/>
      <c r="JO357" s="409"/>
      <c r="JP357" s="411">
        <f>IF(JO357=0,0,IF($LB357=70%,VLOOKUP($JK357,'Jan-2026 rates'!$L:$R,4,0),IF($LB357=65%,VLOOKUP($JK357,'Jan-2026 rates'!$L:$R,4,0),IF($LB357=40%,VLOOKUP($JK357,'Jan-2026 rates'!$L:$R,5,0),IF($LB357=30%,VLOOKUP($JK357,'Jan-2026 rates'!$L:$R,6,0),IF($LB357=100%,VLOOKUP($JK357,'Jan-2026 rates'!$L:$R,7,0),IF($LB357=60%,VLOOKUP($JK357,'Jan-2026 rates'!$L:$S,8,0),IF($LB357=80%,VLOOKUP($JK357,'Jan-2026 rates'!L:T,9,0),0))))))))</f>
        <v>0</v>
      </c>
      <c r="JQ357" s="413"/>
      <c r="JR357" s="412"/>
      <c r="JS357" s="413"/>
      <c r="JT357" s="413"/>
      <c r="JU357" s="412"/>
      <c r="JV357" s="412"/>
      <c r="JW357" s="412"/>
      <c r="JX357" s="412"/>
      <c r="JY357" s="409"/>
      <c r="JZ357" s="398">
        <f>IF(JY357=0,0,IF(LEN(JQ357)=11,_xlfn.XLOOKUP(JQ357,'Dispensed Ink Rates'!C:C,'Dispensed Ink Rates'!CS:CS),VLOOKUP(JQ357,'Jan-2026 rates'!$E:$F,2,0)))</f>
        <v>0</v>
      </c>
      <c r="KA357" s="409"/>
      <c r="KB357" s="398">
        <f>IF(KA357=0,0,IF(LEN(JR357)=11,_xlfn.XLOOKUP(JR357,'Dispensed Ink Rates'!C:C,'Dispensed Ink Rates'!CS:CS),VLOOKUP(JR357,'Jan-2026 rates'!$E:$F,2,0)))</f>
        <v>0</v>
      </c>
      <c r="KC357" s="409"/>
      <c r="KD357" s="398">
        <f>IF(KC357=0,0,IF(LEN(JS357)=11,_xlfn.XLOOKUP(JS357,'Dispensed Ink Rates'!C:C,'Dispensed Ink Rates'!CS:CS),VLOOKUP(JS357,'Jan-2026 rates'!$E:$F,2,0)))</f>
        <v>0</v>
      </c>
      <c r="KE357" s="409"/>
      <c r="KF357" s="398">
        <f>IF(KE357=0,0,IF(LEN(JT357)=11,_xlfn.XLOOKUP(JT357,'Dispensed Ink Rates'!C:C,'Dispensed Ink Rates'!CS:CS),VLOOKUP(JT357,'Jan-2026 rates'!$E:$F,2,0)))</f>
        <v>0</v>
      </c>
      <c r="KG357" s="409"/>
      <c r="KH357" s="398">
        <f>IF(KG357=0,0,IF(LEN(JU357)=11,_xlfn.XLOOKUP(JU357,'Dispensed Ink Rates'!C:C,'Dispensed Ink Rates'!CS:CS),VLOOKUP(JU357,'Jan-2026 rates'!$E:$F,2,0)))</f>
        <v>0</v>
      </c>
      <c r="KI357" s="409"/>
      <c r="KJ357" s="398">
        <f>IF(KI357=0,0,IF(LEN(JV357)=11,_xlfn.XLOOKUP(JV357,'Dispensed Ink Rates'!C:C,'Dispensed Ink Rates'!CS:CS),VLOOKUP(JV357,'Jan-2026 rates'!$E:$F,2,0)))</f>
        <v>0</v>
      </c>
      <c r="KK357" s="409"/>
      <c r="KL357" s="398">
        <f>IF(KK357=0,0,IF(LEN(JW357)=11,_xlfn.XLOOKUP(JW357,'Dispensed Ink Rates'!C:C,'Dispensed Ink Rates'!CS:CS),VLOOKUP(JW357,'Jan-2026 rates'!$E:$F,2,0)))</f>
        <v>0</v>
      </c>
      <c r="KM357" s="428"/>
      <c r="KN357" s="398">
        <f>IF(KM357=0,0,IF(LEN(JX357)=11,_xlfn.XLOOKUP(JX357,'Dispensed Ink Rates'!C:C,'Dispensed Ink Rates'!CS:CS),VLOOKUP(JX357,'Jan-2026 rates'!$E:$F,2,0)))</f>
        <v>0</v>
      </c>
      <c r="KO357" s="409"/>
      <c r="KP357" s="409"/>
      <c r="KQ357" s="411">
        <f t="shared" si="233"/>
        <v>0</v>
      </c>
      <c r="KR357" s="411">
        <f t="shared" si="234"/>
        <v>0</v>
      </c>
      <c r="KS357" s="410">
        <f t="shared" si="235"/>
        <v>0</v>
      </c>
      <c r="KT357" s="409">
        <v>5</v>
      </c>
      <c r="KU357" s="409">
        <v>10</v>
      </c>
      <c r="KV357" s="409">
        <v>10</v>
      </c>
      <c r="KW357" s="409">
        <v>5</v>
      </c>
      <c r="KX357" s="409">
        <v>5</v>
      </c>
      <c r="KY357" s="409">
        <v>5</v>
      </c>
      <c r="KZ357" s="409">
        <f>10+15+10+15+35</f>
        <v>85</v>
      </c>
      <c r="LA357" s="409">
        <v>0</v>
      </c>
      <c r="LB357" s="415">
        <v>0.8</v>
      </c>
      <c r="LC357" s="415">
        <v>0.2</v>
      </c>
      <c r="LD357" s="424"/>
      <c r="LE357" s="415"/>
      <c r="LF357" s="415"/>
      <c r="LG357" s="409">
        <v>0</v>
      </c>
      <c r="LH357" s="409">
        <f>85+52+80+20</f>
        <v>237</v>
      </c>
      <c r="LI357" s="409">
        <v>0</v>
      </c>
      <c r="LJ357" s="409">
        <v>0</v>
      </c>
      <c r="LK357" s="416">
        <f t="shared" si="191"/>
        <v>237</v>
      </c>
      <c r="LL357" s="416">
        <f t="shared" si="237"/>
        <v>237</v>
      </c>
      <c r="LM357" s="417">
        <f t="shared" si="193"/>
        <v>189.60000000000002</v>
      </c>
      <c r="LN357" s="417">
        <f>VLOOKUP($LM$8,'Jan-2026 rates'!$H:$I,2,0)</f>
        <v>0</v>
      </c>
      <c r="LO357" s="417">
        <f t="shared" si="194"/>
        <v>47.400000000000006</v>
      </c>
      <c r="LP357" s="417">
        <f>VLOOKUP($LO$8,'Jan-2026 rates'!$H:$I,2,0)</f>
        <v>0</v>
      </c>
      <c r="LQ357" s="417">
        <f t="shared" si="195"/>
        <v>0</v>
      </c>
      <c r="LR357" s="417">
        <f>VLOOKUP($LQ$8,'Jan-2026 rates'!$H:$I,2,0)</f>
        <v>0</v>
      </c>
      <c r="LS357" s="417">
        <f t="shared" si="196"/>
        <v>0</v>
      </c>
      <c r="LT357" s="417">
        <f>VLOOKUP($LS$8,'Jan-2026 rates'!$H:$I,2,0)</f>
        <v>0</v>
      </c>
      <c r="LU357" s="417">
        <f t="shared" si="197"/>
        <v>0</v>
      </c>
      <c r="LV357" s="417">
        <f>VLOOKUP($LU$8,'Jan-2026 rates'!$H:$I,2,0)</f>
        <v>0</v>
      </c>
      <c r="LW357" s="417">
        <f t="shared" si="198"/>
        <v>0</v>
      </c>
      <c r="LX357" s="417">
        <f t="shared" si="199"/>
        <v>0</v>
      </c>
      <c r="LY357" s="418">
        <f t="shared" si="200"/>
        <v>0</v>
      </c>
      <c r="LZ357" s="417"/>
      <c r="MA357" s="435">
        <f t="shared" si="201"/>
        <v>229</v>
      </c>
      <c r="MB357" s="282">
        <f t="shared" si="202"/>
        <v>445.00000000000006</v>
      </c>
      <c r="MC357" s="283">
        <v>199</v>
      </c>
      <c r="MD357" s="284" t="str">
        <f t="shared" si="203"/>
        <v>FLINTSLFLINTSLFLINTSLFLINTSLFLINTSLFLINTSLFLINTSL</v>
      </c>
      <c r="ME357" s="293" t="str">
        <f t="shared" si="204"/>
        <v>+</v>
      </c>
      <c r="MF357" s="293" t="str">
        <f t="shared" si="205"/>
        <v>+</v>
      </c>
      <c r="MG357" s="293" t="str">
        <f t="shared" si="206"/>
        <v>+</v>
      </c>
      <c r="MH357" s="293" t="str">
        <f t="shared" si="207"/>
        <v>+</v>
      </c>
      <c r="MI357" s="293" t="str">
        <f t="shared" si="208"/>
        <v>+</v>
      </c>
      <c r="MJ357" s="293" t="str">
        <f t="shared" si="209"/>
        <v>+</v>
      </c>
      <c r="MK357" s="293" t="str">
        <f t="shared" si="210"/>
        <v>+</v>
      </c>
      <c r="ML357" s="293" t="str">
        <f t="shared" si="211"/>
        <v>NIL</v>
      </c>
      <c r="MM357" s="3" t="b">
        <f t="array" ref="MM357">OR(ME357:ML357="-")</f>
        <v>0</v>
      </c>
      <c r="MO357" s="401">
        <f t="shared" si="238"/>
        <v>56.257901390644761</v>
      </c>
      <c r="MP357" s="286"/>
      <c r="MR357" s="402">
        <f t="shared" si="239"/>
        <v>1.0671462829736212E-2</v>
      </c>
      <c r="MS357" s="400">
        <f t="shared" si="240"/>
        <v>0</v>
      </c>
      <c r="MT357" s="285"/>
      <c r="NH357" s="361"/>
      <c r="NJ357" s="282"/>
    </row>
    <row r="358" spans="1:374" ht="16.5">
      <c r="A358" s="403">
        <v>46048</v>
      </c>
      <c r="B358" s="404" t="s">
        <v>1018</v>
      </c>
      <c r="C358" s="405" t="s">
        <v>4746</v>
      </c>
      <c r="D358" s="404">
        <v>200</v>
      </c>
      <c r="E358" s="404">
        <v>1690</v>
      </c>
      <c r="F358" s="407">
        <v>99300</v>
      </c>
      <c r="G358" s="407" t="s">
        <v>1016</v>
      </c>
      <c r="H358" s="408" t="s">
        <v>1017</v>
      </c>
      <c r="I358" s="409">
        <v>2</v>
      </c>
      <c r="J358" s="405" t="s">
        <v>543</v>
      </c>
      <c r="K358" s="404" t="s">
        <v>4747</v>
      </c>
      <c r="L358" s="419" t="str">
        <f t="shared" si="184"/>
        <v>FLINTSL - BLACK</v>
      </c>
      <c r="M358" s="404">
        <v>24</v>
      </c>
      <c r="N358" s="410">
        <f>IF(M358=0,0,IF($LB358=70%,VLOOKUP($L358,'Jan-2026 rates'!$L:$R,4,0),IF($LB358=65%,VLOOKUP($L358,'Jan-2026 rates'!$L:$R,4,0),IF($LB358=40%,VLOOKUP($L358,'Jan-2026 rates'!$L:$R,5,0),IF($LB358=30%,VLOOKUP($L358,'Jan-2026 rates'!$L:$R,6,0),IF($LB358=100%,VLOOKUP($L358,'Jan-2026 rates'!$L:$R,7,0),IF($LB358=60%,VLOOKUP($L358,'Jan-2026 rates'!$L:$S,8,0),IF($LB358=80%,VLOOKUP($L358,'Jan-2026 rates'!L:T,9,0),0))))))))</f>
        <v>0</v>
      </c>
      <c r="O358" s="406"/>
      <c r="P358" s="404"/>
      <c r="Q358" s="410">
        <f>IF(P358=0,0,IF($LB358=70%,VLOOKUP($L358,'Jan-2026 rates'!$L:$R,4,0),IF($LB358=65%,VLOOKUP($L358,'Jan-2026 rates'!$L:$R,4,0),IF($LB358=40%,VLOOKUP($L358,'Jan-2026 rates'!$L:$R,5,0),IF($LB358=30%,VLOOKUP($L358,'Jan-2026 rates'!$L:$R,6,0),IF($LB358=100%,VLOOKUP($L358,'Jan-2026 rates'!$L:$R,7,0),IF($LB358=60%,VLOOKUP($L358,'Jan-2026 rates'!$L:$S,8,0),IF($LB358=80%,VLOOKUP($L358,'Jan-2026 rates'!L:T,9,0),0))))))))</f>
        <v>0</v>
      </c>
      <c r="R358" s="406"/>
      <c r="S358" s="406"/>
      <c r="T358" s="406"/>
      <c r="U358" s="406"/>
      <c r="V358" s="406"/>
      <c r="W358" s="406"/>
      <c r="X358" s="406"/>
      <c r="Y358" s="406"/>
      <c r="Z358" s="404"/>
      <c r="AA358" s="398">
        <f>IF(Z358=0,0,IF(LEN(R358)=11,_xlfn.XLOOKUP(R358,'Dispensed Ink Rates'!C:C,'Dispensed Ink Rates'!CS:CS),VLOOKUP(R358,'Jan-2026 rates'!$E:$F,2,0)))</f>
        <v>0</v>
      </c>
      <c r="AB358" s="404"/>
      <c r="AC358" s="398">
        <f>IF(AB358=0,0,IF(LEN(S358)=11,_xlfn.XLOOKUP(S358,'Dispensed Ink Rates'!C:C,'Dispensed Ink Rates'!CS:CS),VLOOKUP(S358,'Jan-2026 rates'!$E:$F,2,0)))</f>
        <v>0</v>
      </c>
      <c r="AD358" s="404"/>
      <c r="AE358" s="398">
        <f>IF(AD358=0,0,IF(LEN(T358)=11,_xlfn.XLOOKUP(T358,'Dispensed Ink Rates'!C:C,'Dispensed Ink Rates'!CS:CS),VLOOKUP(T358,'Jan-2026 rates'!$E:$F,2,0)))</f>
        <v>0</v>
      </c>
      <c r="AF358" s="404"/>
      <c r="AG358" s="398">
        <f>IF(AF358=0,0,IF(LEN(U358)=11,_xlfn.XLOOKUP(U358,'Dispensed Ink Rates'!C:C,'Dispensed Ink Rates'!CS:CS),VLOOKUP(U358,'Jan-2026 rates'!$E:$F,2,0)))</f>
        <v>0</v>
      </c>
      <c r="AH358" s="404"/>
      <c r="AI358" s="398">
        <f>IF(AH358=0,0,IF(LEN(V358)=11,_xlfn.XLOOKUP(V358,'Dispensed Ink Rates'!C:C,'Dispensed Ink Rates'!CS:CS),VLOOKUP(V358,'Jan-2026 rates'!$E:$F,2,0)))</f>
        <v>0</v>
      </c>
      <c r="AJ358" s="404"/>
      <c r="AK358" s="398">
        <f>IF(AJ358=0,0,IF(LEN(W358)=11,_xlfn.XLOOKUP(W358,'Dispensed Ink Rates'!C:C,'Dispensed Ink Rates'!CS:CS),VLOOKUP(W358,'Jan-2026 rates'!$E:$F,2,0)))</f>
        <v>0</v>
      </c>
      <c r="AL358" s="404"/>
      <c r="AM358" s="398">
        <f>IF(AL358=0,0,IF(LEN(X358)=11,_xlfn.XLOOKUP(X358,'Dispensed Ink Rates'!C:C,'Dispensed Ink Rates'!CS:CS),VLOOKUP(X358,'Jan-2026 rates'!$E:$F,2,0)))</f>
        <v>0</v>
      </c>
      <c r="AN358" s="404"/>
      <c r="AO358" s="398">
        <f>IF(AN358=0,0,IF(LEN(Y358)=11,_xlfn.XLOOKUP(Y358,'Dispensed Ink Rates'!C:C,'Dispensed Ink Rates'!CS:CS),VLOOKUP(Y358,'Jan-2026 rates'!$E:$F,2,0)))</f>
        <v>0</v>
      </c>
      <c r="AP358" s="409" t="s">
        <v>1443</v>
      </c>
      <c r="AQ358" s="409">
        <v>26</v>
      </c>
      <c r="AR358" s="410">
        <f t="shared" si="212"/>
        <v>0</v>
      </c>
      <c r="AS358" s="411">
        <f t="shared" si="213"/>
        <v>11.640552995391708</v>
      </c>
      <c r="AT358" s="410">
        <f t="shared" si="214"/>
        <v>0</v>
      </c>
      <c r="AU358" s="405" t="s">
        <v>857</v>
      </c>
      <c r="AV358" s="409" t="s">
        <v>4356</v>
      </c>
      <c r="AW358" s="420" t="str">
        <f t="shared" si="236"/>
        <v>FLINTSL - RED</v>
      </c>
      <c r="AX358" s="409">
        <v>10</v>
      </c>
      <c r="AY358" s="411">
        <f>IF(AX358=0,0,IF($LB358=70%,VLOOKUP($AW358,'Jan-2026 rates'!$L:$R,4,0),IF($LB358=65%,VLOOKUP($AW358,'Jan-2026 rates'!$L:$R,4,0),IF($LB358=40%,VLOOKUP($AW358,'Jan-2026 rates'!$L:$R,5,0),IF($LB358=30%,VLOOKUP($AW358,'Jan-2026 rates'!$L:$R,6,0),IF($LB358=100%,VLOOKUP($AW358,'Jan-2026 rates'!$L:$R,7,0),IF($LB358=60%,VLOOKUP($AW358,'Jan-2026 rates'!$L:$S,8,0),IF($LB358=80%,VLOOKUP($AW358,'Jan-2026 rates'!L:T,9,0),0))))))))</f>
        <v>0</v>
      </c>
      <c r="AZ358" s="412"/>
      <c r="BA358" s="409"/>
      <c r="BB358" s="411">
        <f>IF(BA358=0,0,IF($LB358=70%,VLOOKUP($AW358,'Jan-2026 rates'!$L:$R,4,0),IF($LB358=65%,VLOOKUP($AW358,'Jan-2026 rates'!$L:$R,4,0),IF($LB358=40%,VLOOKUP($AW358,'Jan-2026 rates'!$L:$R,5,0),IF($LB358=30%,VLOOKUP($AW358,'Jan-2026 rates'!$L:$R,6,0),IF($LB358=100%,VLOOKUP($AW358,'Jan-2026 rates'!$L:$R,7,0),IF($LB358=60%,VLOOKUP($AW358,'Jan-2026 rates'!$L:$S,8,0),IF($LB358=80%,VLOOKUP($AW358,'Jan-2026 rates'!L:T,9,0),0))))))))</f>
        <v>0</v>
      </c>
      <c r="BC358" s="413">
        <v>26528000002</v>
      </c>
      <c r="BD358" s="412">
        <v>26527000012</v>
      </c>
      <c r="BE358" s="412">
        <v>26527000015</v>
      </c>
      <c r="BF358" s="413"/>
      <c r="BG358" s="412"/>
      <c r="BH358" s="412"/>
      <c r="BI358" s="412"/>
      <c r="BJ358" s="412"/>
      <c r="BK358" s="409">
        <v>10</v>
      </c>
      <c r="BL358" s="398" t="e">
        <f>IF(BK358=0,0,IF(LEN(BC358)=11,_xlfn.XLOOKUP(BC358,'Dispensed Ink Rates'!C:C,'Dispensed Ink Rates'!CS:CS),VLOOKUP(BC358,'Jan-2026 rates'!$E:$F,2,0)))</f>
        <v>#N/A</v>
      </c>
      <c r="BM358" s="409">
        <v>8</v>
      </c>
      <c r="BN358" s="398" t="e">
        <f>IF(BM358=0,0,IF(LEN(BD358)=11,_xlfn.XLOOKUP(BD358,'Dispensed Ink Rates'!C:C,'Dispensed Ink Rates'!CS:CS),VLOOKUP(BD358,'Jan-2026 rates'!$E:$F,2,0)))</f>
        <v>#N/A</v>
      </c>
      <c r="BO358" s="409">
        <v>0.2</v>
      </c>
      <c r="BP358" s="398" t="e">
        <f>IF(BO358=0,0,IF(LEN(BE358)=11,_xlfn.XLOOKUP(BE358,'Dispensed Ink Rates'!C:C,'Dispensed Ink Rates'!CS:CS),VLOOKUP(BE358,'Jan-2026 rates'!$E:$F,2,0)))</f>
        <v>#N/A</v>
      </c>
      <c r="BQ358" s="409"/>
      <c r="BR358" s="398">
        <f>IF(BQ358=0,0,IF(LEN(BF358)=11,_xlfn.XLOOKUP(BF358,'Dispensed Ink Rates'!C:C,'Dispensed Ink Rates'!CS:CS),VLOOKUP(BF358,'Jan-2026 rates'!$E:$F,2,0)))</f>
        <v>0</v>
      </c>
      <c r="BS358" s="409"/>
      <c r="BT358" s="398">
        <f>IF(BS358=0,0,IF(LEN(BG358)=11,_xlfn.XLOOKUP(BG358,'Dispensed Ink Rates'!C:C,'Dispensed Ink Rates'!CS:CS),VLOOKUP(BG358,'Jan-2026 rates'!$E:$F,2,0)))</f>
        <v>0</v>
      </c>
      <c r="BU358" s="409"/>
      <c r="BV358" s="398">
        <f>IF(BU358=0,0,IF(LEN(BH358)=11,_xlfn.XLOOKUP(BH358,'Dispensed Ink Rates'!C:C,'Dispensed Ink Rates'!CS:CS),VLOOKUP(BH358,'Jan-2026 rates'!$E:$F,2,0)))</f>
        <v>0</v>
      </c>
      <c r="BW358" s="409"/>
      <c r="BX358" s="398">
        <f>IF(BW358=0,0,IF(LEN(BI358)=11,_xlfn.XLOOKUP(BI358,'Dispensed Ink Rates'!C:C,'Dispensed Ink Rates'!CS:CS),VLOOKUP(BI358,'Jan-2026 rates'!$E:$F,2,0)))</f>
        <v>0</v>
      </c>
      <c r="BY358" s="409"/>
      <c r="BZ358" s="398">
        <f>IF(BY358=0,0,IF(LEN(BJ358)=11,_xlfn.XLOOKUP(BJ358,'Dispensed Ink Rates'!C:C,'Dispensed Ink Rates'!CS:CS),VLOOKUP(BJ358,'Jan-2026 rates'!$E:$F,2,0)))</f>
        <v>0</v>
      </c>
      <c r="CA358" s="409" t="s">
        <v>1443</v>
      </c>
      <c r="CB358" s="409">
        <v>25</v>
      </c>
      <c r="CC358" s="411">
        <f t="shared" si="215"/>
        <v>0</v>
      </c>
      <c r="CD358" s="411">
        <f t="shared" si="216"/>
        <v>30.481105990783412</v>
      </c>
      <c r="CE358" s="410">
        <f t="shared" si="217"/>
        <v>0</v>
      </c>
      <c r="CF358" s="404" t="s">
        <v>543</v>
      </c>
      <c r="CG358" s="409" t="s">
        <v>4741</v>
      </c>
      <c r="CH358" s="420" t="str">
        <f t="shared" si="185"/>
        <v>FLINTSL - BLACK</v>
      </c>
      <c r="CI358" s="409">
        <v>32</v>
      </c>
      <c r="CJ358" s="411">
        <f>IF(CI358=0,0,IF($LB358=70%,VLOOKUP($CH358,'Jan-2026 rates'!$L:$R,4,0),IF($LB358=65%,VLOOKUP($CH358,'Jan-2026 rates'!$L:$R,4,0),IF($LB358=40%,VLOOKUP($CH358,'Jan-2026 rates'!$L:$R,5,0),IF($LB358=30%,VLOOKUP($CH358,'Jan-2026 rates'!$L:$R,6,0),IF($LB358=100%,VLOOKUP($CH358,'Jan-2026 rates'!$L:$R,7,0),IF($LB358=60%,VLOOKUP($CH358,'Jan-2026 rates'!$L:$S,8,0),IF($LB358=80%,VLOOKUP($CH358,'Jan-2026 rates'!L:T,9,0),0))))))))</f>
        <v>0</v>
      </c>
      <c r="CK358" s="412"/>
      <c r="CL358" s="409"/>
      <c r="CM358" s="411">
        <f>IF(CL358=0,0,IF($LB358=70%,VLOOKUP($CH358,'Jan-2026 rates'!$L:$R,4,0),IF($LB358=65%,VLOOKUP($CH358,'Jan-2026 rates'!$L:$R,4,0),IF($LB358=40%,VLOOKUP($CH358,'Jan-2026 rates'!$L:$R,5,0),IF($LB358=30%,VLOOKUP($CH358,'Jan-2026 rates'!$L:$R,6,0),IF($LB358=100%,VLOOKUP($CH358,'Jan-2026 rates'!$L:$R,7,0),IF($LB358=60%,VLOOKUP($CH358,'Jan-2026 rates'!$L:$S,8,0),IF($LB358=80%,VLOOKUP($CH358,'Jan-2026 rates'!L:T,9,0),0))))))))</f>
        <v>0</v>
      </c>
      <c r="CN358" s="426">
        <v>26527000002</v>
      </c>
      <c r="CO358" s="427"/>
      <c r="CP358" s="426"/>
      <c r="CQ358" s="426"/>
      <c r="CR358" s="428"/>
      <c r="CS358" s="428"/>
      <c r="CT358" s="428"/>
      <c r="CU358" s="428"/>
      <c r="CV358" s="409">
        <v>130</v>
      </c>
      <c r="CW358" s="398" t="e">
        <f>IF(CV358=0,0,IF(LEN(CN358)=11,_xlfn.XLOOKUP(CN358,'Dispensed Ink Rates'!C:C,'Dispensed Ink Rates'!CS:CS),VLOOKUP(CN358,'Jan-2026 rates'!$E:$F,2,0)))</f>
        <v>#N/A</v>
      </c>
      <c r="CX358" s="409"/>
      <c r="CY358" s="398">
        <f>IF(CX358=0,0,IF(LEN(CO358)=11,_xlfn.XLOOKUP(CO358,'Dispensed Ink Rates'!C:C,'Dispensed Ink Rates'!CS:CS),VLOOKUP(CO358,'Jan-2026 rates'!$E:$F,2,0)))</f>
        <v>0</v>
      </c>
      <c r="CZ358" s="409"/>
      <c r="DA358" s="398">
        <f>IF(CZ358=0,0,IF(LEN(CP358)=11,_xlfn.XLOOKUP(CP358,'Dispensed Ink Rates'!C:C,'Dispensed Ink Rates'!CS:CS),VLOOKUP(CP358,'Jan-2026 rates'!$E:$F,2,0)))</f>
        <v>0</v>
      </c>
      <c r="DB358" s="409"/>
      <c r="DC358" s="398">
        <f>IF(DB358=0,0,IF(LEN(CQ358)=11,_xlfn.XLOOKUP(CQ358,'Dispensed Ink Rates'!C:C,'Dispensed Ink Rates'!CS:CS),VLOOKUP(CQ358,'Jan-2026 rates'!$E:$F,2,0)))</f>
        <v>0</v>
      </c>
      <c r="DD358" s="409"/>
      <c r="DE358" s="398">
        <f>IF(DD358=0,0,IF(LEN(CR358)=11,_xlfn.XLOOKUP(CR358,'Dispensed Ink Rates'!C:C,'Dispensed Ink Rates'!CS:CS),VLOOKUP(CR358,'Jan-2026 rates'!$E:$F,2,0)))</f>
        <v>0</v>
      </c>
      <c r="DF358" s="409"/>
      <c r="DG358" s="398">
        <f>IF(DF358=0,0,IF(LEN(CS358)=11,_xlfn.XLOOKUP(CS358,'Dispensed Ink Rates'!C:C,'Dispensed Ink Rates'!CS:CS),VLOOKUP(CS358,'Jan-2026 rates'!$E:$F,2,0)))</f>
        <v>0</v>
      </c>
      <c r="DH358" s="409"/>
      <c r="DI358" s="398">
        <f>IF(DH358=0,0,IF(LEN(CT358)=11,_xlfn.XLOOKUP(CT358,'Dispensed Ink Rates'!C:C,'Dispensed Ink Rates'!CS:CS),VLOOKUP(CT358,'Jan-2026 rates'!$E:$F,2,0)))</f>
        <v>0</v>
      </c>
      <c r="DJ358" s="409"/>
      <c r="DK358" s="398">
        <f>IF(DJ358=0,0,IF(LEN(CU358)=11,_xlfn.XLOOKUP(CU358,'Dispensed Ink Rates'!C:C,'Dispensed Ink Rates'!CS:CS),VLOOKUP(CU358,'Jan-2026 rates'!$E:$F,2,0)))</f>
        <v>0</v>
      </c>
      <c r="DL358" s="409" t="s">
        <v>1443</v>
      </c>
      <c r="DM358" s="409">
        <v>40</v>
      </c>
      <c r="DN358" s="411">
        <f t="shared" si="218"/>
        <v>0</v>
      </c>
      <c r="DO358" s="411">
        <f t="shared" si="219"/>
        <v>135.64055299539172</v>
      </c>
      <c r="DP358" s="410">
        <f t="shared" si="220"/>
        <v>0</v>
      </c>
      <c r="DQ358" s="405" t="s">
        <v>547</v>
      </c>
      <c r="DR358" s="409" t="s">
        <v>4748</v>
      </c>
      <c r="DS358" s="420" t="str">
        <f t="shared" si="186"/>
        <v>FLINTSL - GREEN</v>
      </c>
      <c r="DT358" s="409">
        <v>24</v>
      </c>
      <c r="DU358" s="411">
        <f>IF(DT358=0,0,IF($LB358=70%,VLOOKUP($DS358,'Jan-2026 rates'!$L:$R,4,0),IF($LB358=65%,VLOOKUP($DS358,'Jan-2026 rates'!$L:$R,4,0),IF($LB358=40%,VLOOKUP($DS358,'Jan-2026 rates'!$L:$R,5,0),IF($LB358=30%,VLOOKUP($DS358,'Jan-2026 rates'!$L:$R,6,0),IF($LB358=100%,VLOOKUP($DS358,'Jan-2026 rates'!$L:$R,7,0),IF($LB358=60%,VLOOKUP($DS358,'Jan-2026 rates'!$L:$S,8,0),IF($LB358=80%,VLOOKUP($DS358,'Jan-2026 rates'!L:T,9,0),0))))))))</f>
        <v>0</v>
      </c>
      <c r="DV358" s="412"/>
      <c r="DW358" s="409"/>
      <c r="DX358" s="411">
        <f>IF(DW358=0,0,IF($LB358=70%,VLOOKUP($DS358,'Jan-2026 rates'!$L:$R,4,0),IF($LB358=65%,VLOOKUP($DS358,'Jan-2026 rates'!$L:$R,4,0),IF($LB358=40%,VLOOKUP($DS358,'Jan-2026 rates'!$L:$R,5,0),IF($LB358=30%,VLOOKUP($DS358,'Jan-2026 rates'!$L:$R,6,0),IF($LB358=100%,VLOOKUP($DS358,'Jan-2026 rates'!$L:$R,7,0),IF($LB358=60%,VLOOKUP($DS358,'Jan-2026 rates'!$L:$S,8,0),IF($LB358=80%,VLOOKUP($DS358,'Jan-2026 rates'!L:T,9,0),0))))))))</f>
        <v>0</v>
      </c>
      <c r="DY358" s="413">
        <v>26524000018</v>
      </c>
      <c r="DZ358" s="413"/>
      <c r="EA358" s="412"/>
      <c r="EB358" s="412"/>
      <c r="EC358" s="412"/>
      <c r="ED358" s="412"/>
      <c r="EE358" s="412"/>
      <c r="EF358" s="412"/>
      <c r="EG358" s="409">
        <v>6</v>
      </c>
      <c r="EH358" s="398" t="e">
        <f>IF(EG358=0,0,IF(LEN(DY358)=11,_xlfn.XLOOKUP(DY358,'Dispensed Ink Rates'!C:C,'Dispensed Ink Rates'!CS:CS),VLOOKUP(DY358,'Jan-2026 rates'!$E:$F,2,0)))</f>
        <v>#N/A</v>
      </c>
      <c r="EI358" s="409"/>
      <c r="EJ358" s="398">
        <f>IF(EI358=0,0,IF(LEN(DZ358)=11,_xlfn.XLOOKUP(DZ358,'Dispensed Ink Rates'!C:C,'Dispensed Ink Rates'!CS:CS),VLOOKUP(DZ358,'Jan-2026 rates'!$E:$F,2,0)))</f>
        <v>0</v>
      </c>
      <c r="EK358" s="409"/>
      <c r="EL358" s="398">
        <f>IF(EK358=0,0,IF(LEN(EA358)=11,_xlfn.XLOOKUP(EA358,'Dispensed Ink Rates'!C:C,'Dispensed Ink Rates'!CS:CS),VLOOKUP(EA358,'Jan-2026 rates'!$E:$F,2,0)))</f>
        <v>0</v>
      </c>
      <c r="EM358" s="409"/>
      <c r="EN358" s="398">
        <f>IF(EM358=0,0,IF(LEN(EB358)=11,_xlfn.XLOOKUP(EB358,'Dispensed Ink Rates'!C:C,'Dispensed Ink Rates'!CS:CS),VLOOKUP(EB358,'Jan-2026 rates'!$E:$F,2,0)))</f>
        <v>0</v>
      </c>
      <c r="EO358" s="409"/>
      <c r="EP358" s="398">
        <f>IF(EO358=0,0,IF(LEN(EC358)=11,_xlfn.XLOOKUP(EC358,'Dispensed Ink Rates'!C:C,'Dispensed Ink Rates'!CS:CS),VLOOKUP(EC358,'Jan-2026 rates'!$E:$F,2,0)))</f>
        <v>0</v>
      </c>
      <c r="EQ358" s="409"/>
      <c r="ER358" s="398">
        <f>IF(EQ358=0,0,IF(LEN(ED358)=11,_xlfn.XLOOKUP(ED358,'Dispensed Ink Rates'!C:C,'Dispensed Ink Rates'!CS:CS),VLOOKUP(ED358,'Jan-2026 rates'!$E:$F,2,0)))</f>
        <v>0</v>
      </c>
      <c r="ES358" s="409"/>
      <c r="ET358" s="398">
        <f>IF(ES358=0,0,IF(LEN(EE358)=11,_xlfn.XLOOKUP(EE358,'Dispensed Ink Rates'!C:C,'Dispensed Ink Rates'!CS:CS),VLOOKUP(EE358,'Jan-2026 rates'!$E:$F,2,0)))</f>
        <v>0</v>
      </c>
      <c r="EU358" s="409"/>
      <c r="EV358" s="398">
        <f>IF(EU358=0,0,IF(LEN(EF358)=11,_xlfn.XLOOKUP(EF358,'Dispensed Ink Rates'!C:C,'Dispensed Ink Rates'!CS:CS),VLOOKUP(EF358,'Jan-2026 rates'!$E:$F,2,0)))</f>
        <v>0</v>
      </c>
      <c r="EW358" s="409" t="s">
        <v>1443</v>
      </c>
      <c r="EX358" s="409">
        <v>21</v>
      </c>
      <c r="EY358" s="411">
        <f t="shared" si="221"/>
        <v>0</v>
      </c>
      <c r="EZ358" s="411">
        <f t="shared" si="222"/>
        <v>22.640552995391708</v>
      </c>
      <c r="FA358" s="410">
        <f t="shared" si="223"/>
        <v>0</v>
      </c>
      <c r="FB358" s="405" t="s">
        <v>544</v>
      </c>
      <c r="FC358" s="409" t="s">
        <v>4749</v>
      </c>
      <c r="FD358" s="420" t="str">
        <f t="shared" si="187"/>
        <v>FLINTSL - MAGENTA</v>
      </c>
      <c r="FE358" s="409">
        <v>30</v>
      </c>
      <c r="FF358" s="411">
        <f>IF(FE358=0,0,IF($LB358=70%,VLOOKUP($FD358,'Jan-2026 rates'!$L:$R,4,0),IF($LB358=65%,VLOOKUP($FD358,'Jan-2026 rates'!$L:$R,4,0),IF($LB358=40%,VLOOKUP($FD358,'Jan-2026 rates'!$L:$R,5,0),IF($LB358=30%,VLOOKUP($FD358,'Jan-2026 rates'!$L:$R,6,0),IF($LB358=100%,VLOOKUP($FD358,'Jan-2026 rates'!$L:$R,7,0),IF($LB358=60%,VLOOKUP($FD358,'Jan-2026 rates'!$L:$S,8,0),IF($LB358=80%,VLOOKUP($FD358,'Jan-2026 rates'!L:T,9,0),0))))))))</f>
        <v>0</v>
      </c>
      <c r="FG358" s="412"/>
      <c r="FH358" s="409"/>
      <c r="FI358" s="411">
        <f>IF(FH358=0,0,IF($LB358=70%,VLOOKUP($FD358,'Jan-2026 rates'!$L:$R,4,0),IF($LB358=65%,VLOOKUP($FD358,'Jan-2026 rates'!$L:$R,4,0),IF($LB358=40%,VLOOKUP($FD358,'Jan-2026 rates'!$L:$R,5,0),IF($LB358=30%,VLOOKUP($FD358,'Jan-2026 rates'!$L:$R,6,0),IF($LB358=100%,VLOOKUP($FD358,'Jan-2026 rates'!$L:$R,7,0),IF($LB358=60%,VLOOKUP($FD358,'Jan-2026 rates'!$L:$S,8,0),IF($LB358=80%,VLOOKUP($FD358,'Jan-2026 rates'!L:T,9,0),0))))))))</f>
        <v>0</v>
      </c>
      <c r="FJ358" s="413">
        <v>26528000002</v>
      </c>
      <c r="FK358" s="413"/>
      <c r="FL358" s="413"/>
      <c r="FM358" s="412"/>
      <c r="FN358" s="412"/>
      <c r="FO358" s="412"/>
      <c r="FP358" s="412"/>
      <c r="FQ358" s="412"/>
      <c r="FR358" s="409">
        <v>4</v>
      </c>
      <c r="FS358" s="398" t="e">
        <f>IF(FR358=0,0,IF(LEN(FJ358)=11,_xlfn.XLOOKUP(FJ358,'Dispensed Ink Rates'!C:C,'Dispensed Ink Rates'!CS:CS),VLOOKUP(FJ358,'Jan-2026 rates'!$E:$F,2,0)))</f>
        <v>#N/A</v>
      </c>
      <c r="FT358" s="409"/>
      <c r="FU358" s="398">
        <f>IF(FT358=0,0,IF(LEN(FK358)=11,_xlfn.XLOOKUP(FK358,'Dispensed Ink Rates'!C:C,'Dispensed Ink Rates'!CS:CS),VLOOKUP(FK358,'Jan-2026 rates'!$E:$F,2,0)))</f>
        <v>0</v>
      </c>
      <c r="FV358" s="409"/>
      <c r="FW358" s="398">
        <f>IF(FV358=0,0,IF(LEN(FL358)=11,_xlfn.XLOOKUP(FL358,'Dispensed Ink Rates'!C:C,'Dispensed Ink Rates'!CS:CS),VLOOKUP(FL358,'Jan-2026 rates'!$E:$F,2,0)))</f>
        <v>0</v>
      </c>
      <c r="FX358" s="409"/>
      <c r="FY358" s="398">
        <f>IF(FX358=0,0,IF(LEN(FM358)=11,_xlfn.XLOOKUP(FM358,'Dispensed Ink Rates'!C:C,'Dispensed Ink Rates'!CS:CS),VLOOKUP(FM358,'Jan-2026 rates'!$E:$F,2,0)))</f>
        <v>0</v>
      </c>
      <c r="FZ358" s="409"/>
      <c r="GA358" s="398">
        <f>IF(FZ358=0,0,IF(LEN(FN358)=11,_xlfn.XLOOKUP(FN358,'Dispensed Ink Rates'!C:C,'Dispensed Ink Rates'!CS:CS),VLOOKUP(FN358,'Jan-2026 rates'!$E:$F,2,0)))</f>
        <v>0</v>
      </c>
      <c r="GB358" s="409"/>
      <c r="GC358" s="398">
        <f>IF(GB358=0,0,IF(LEN(FO358)=11,_xlfn.XLOOKUP(FO358,'Dispensed Ink Rates'!C:C,'Dispensed Ink Rates'!CS:CS),VLOOKUP(FO358,'Jan-2026 rates'!$E:$F,2,0)))</f>
        <v>0</v>
      </c>
      <c r="GD358" s="409"/>
      <c r="GE358" s="398">
        <f>IF(GD358=0,0,IF(LEN(FP358)=11,_xlfn.XLOOKUP(FP358,'Dispensed Ink Rates'!C:C,'Dispensed Ink Rates'!CS:CS),VLOOKUP(FP358,'Jan-2026 rates'!$E:$F,2,0)))</f>
        <v>0</v>
      </c>
      <c r="GF358" s="409"/>
      <c r="GG358" s="398">
        <f>IF(GF358=0,0,IF(LEN(FQ358)=11,_xlfn.XLOOKUP(FQ358,'Dispensed Ink Rates'!C:C,'Dispensed Ink Rates'!CS:CS),VLOOKUP(FQ358,'Jan-2026 rates'!$E:$F,2,0)))</f>
        <v>0</v>
      </c>
      <c r="GH358" s="409" t="s">
        <v>1443</v>
      </c>
      <c r="GI358" s="409">
        <v>27</v>
      </c>
      <c r="GJ358" s="411">
        <f t="shared" si="224"/>
        <v>0</v>
      </c>
      <c r="GK358" s="411">
        <f t="shared" si="225"/>
        <v>20.640552995391708</v>
      </c>
      <c r="GL358" s="410">
        <f t="shared" si="226"/>
        <v>0</v>
      </c>
      <c r="GM358" s="405" t="s">
        <v>545</v>
      </c>
      <c r="GN358" s="409" t="s">
        <v>4750</v>
      </c>
      <c r="GO358" s="420" t="str">
        <f t="shared" si="188"/>
        <v>FLINTSL - YELLOW</v>
      </c>
      <c r="GP358" s="409">
        <v>30</v>
      </c>
      <c r="GQ358" s="411">
        <f>IF(GP358=0,0,IF($LB358=70%,VLOOKUP($GO358,'Jan-2026 rates'!$L:$R,4,0),IF($LB358=65%,VLOOKUP($GO358,'Jan-2026 rates'!$L:$R,4,0),IF($LB358=40%,VLOOKUP($GO358,'Jan-2026 rates'!$L:$R,5,0),IF($LB358=30%,VLOOKUP($GO358,'Jan-2026 rates'!$L:$R,6,0),IF($LB358=100%,VLOOKUP($GO358,'Jan-2026 rates'!$L:$R,7,0),IF($LB358=60%,VLOOKUP($GO358,'Jan-2026 rates'!$L:$S,8,0),IF($LB358=80%,VLOOKUP($GO358,'Jan-2026 rates'!L:T,9,0),0))))))))</f>
        <v>0</v>
      </c>
      <c r="GR358" s="412"/>
      <c r="GS358" s="409"/>
      <c r="GT358" s="411">
        <f>IF(GS358=0,0,IF($LB358=70%,VLOOKUP($GO358,'Jan-2026 rates'!$L:$R,4,0),IF($LB358=65%,VLOOKUP($GO358,'Jan-2026 rates'!$L:$R,4,0),IF($LB358=40%,VLOOKUP($GO358,'Jan-2026 rates'!$L:$R,5,0),IF($LB358=30%,VLOOKUP($GO358,'Jan-2026 rates'!$L:$R,6,0),IF($LB358=100%,VLOOKUP($GO358,'Jan-2026 rates'!$L:$R,7,0),IF($LB358=60%,VLOOKUP($GO358,'Jan-2026 rates'!$L:$S,8,0),IF($LB358=80%,VLOOKUP($GO358,'Jan-2026 rates'!L:T,9,0),0))))))))</f>
        <v>0</v>
      </c>
      <c r="GU358" s="413" t="s">
        <v>1266</v>
      </c>
      <c r="GV358" s="413">
        <v>26527000018</v>
      </c>
      <c r="GW358" s="412"/>
      <c r="GX358" s="412"/>
      <c r="GY358" s="412"/>
      <c r="GZ358" s="412"/>
      <c r="HA358" s="412"/>
      <c r="HB358" s="412"/>
      <c r="HC358" s="409">
        <v>6</v>
      </c>
      <c r="HD358" s="398">
        <f>IF(HC358=0,0,IF(LEN(GU358)=11,_xlfn.XLOOKUP(GU358,'Dispensed Ink Rates'!C:C,'Dispensed Ink Rates'!CS:CS),VLOOKUP(GU358,'Jan-2026 rates'!$E:$F,2,0)))</f>
        <v>0</v>
      </c>
      <c r="HE358" s="409">
        <v>6</v>
      </c>
      <c r="HF358" s="398" t="e">
        <f>IF(HE358=0,0,IF(LEN(GV358)=11,_xlfn.XLOOKUP(GV358,'Dispensed Ink Rates'!C:C,'Dispensed Ink Rates'!CS:CS),VLOOKUP(GV358,'Jan-2026 rates'!$E:$F,2,0)))</f>
        <v>#N/A</v>
      </c>
      <c r="HG358" s="409"/>
      <c r="HH358" s="398">
        <f>IF(HG358=0,0,IF(LEN(GW358)=11,_xlfn.XLOOKUP(GW358,'Dispensed Ink Rates'!C:C,'Dispensed Ink Rates'!CS:CS),VLOOKUP(GW358,'Jan-2026 rates'!$E:$F,2,0)))</f>
        <v>0</v>
      </c>
      <c r="HI358" s="409"/>
      <c r="HJ358" s="398">
        <f>IF(HI358=0,0,IF(LEN(GX358)=11,_xlfn.XLOOKUP(GX358,'Dispensed Ink Rates'!C:C,'Dispensed Ink Rates'!CS:CS),VLOOKUP(GX358,'Jan-2026 rates'!$E:$F,2,0)))</f>
        <v>0</v>
      </c>
      <c r="HK358" s="409"/>
      <c r="HL358" s="398">
        <f>IF(HK358=0,0,IF(LEN(GY358)=11,_xlfn.XLOOKUP(GY358,'Dispensed Ink Rates'!C:C,'Dispensed Ink Rates'!CS:CS),VLOOKUP(GY358,'Jan-2026 rates'!$E:$F,2,0)))</f>
        <v>0</v>
      </c>
      <c r="HM358" s="409"/>
      <c r="HN358" s="398">
        <f>IF(HM358=0,0,IF(LEN(GZ358)=11,_xlfn.XLOOKUP(GZ358,'Dispensed Ink Rates'!C:C,'Dispensed Ink Rates'!CS:CS),VLOOKUP(GZ358,'Jan-2026 rates'!$E:$F,2,0)))</f>
        <v>0</v>
      </c>
      <c r="HO358" s="409"/>
      <c r="HP358" s="398">
        <f>IF(HO358=0,0,IF(LEN(HA358)=11,_xlfn.XLOOKUP(HA358,'Dispensed Ink Rates'!C:C,'Dispensed Ink Rates'!CS:CS),VLOOKUP(HA358,'Jan-2026 rates'!$E:$F,2,0)))</f>
        <v>0</v>
      </c>
      <c r="HQ358" s="409"/>
      <c r="HR358" s="398">
        <f>IF(HQ358=0,0,IF(LEN(HB358)=11,_xlfn.XLOOKUP(HB358,'Dispensed Ink Rates'!C:C,'Dispensed Ink Rates'!CS:CS),VLOOKUP(HB358,'Jan-2026 rates'!$E:$F,2,0)))</f>
        <v>0</v>
      </c>
      <c r="HS358" s="409" t="s">
        <v>1443</v>
      </c>
      <c r="HT358" s="409">
        <v>30</v>
      </c>
      <c r="HU358" s="411">
        <f t="shared" si="227"/>
        <v>0</v>
      </c>
      <c r="HV358" s="411">
        <f t="shared" si="228"/>
        <v>25.640552995391708</v>
      </c>
      <c r="HW358" s="414">
        <f t="shared" si="229"/>
        <v>0</v>
      </c>
      <c r="HX358" s="405" t="s">
        <v>829</v>
      </c>
      <c r="HY358" s="409"/>
      <c r="HZ358" s="420" t="str">
        <f t="shared" si="189"/>
        <v>FLINTSL - MEDIUM</v>
      </c>
      <c r="IA358" s="409"/>
      <c r="IB358" s="411">
        <f>IF(IA358=0,0,IF($LB358=70%,VLOOKUP($HZ358,'Jan-2026 rates'!$L:$R,4,0),IF($LB358=65%,VLOOKUP($HZ358,'Jan-2026 rates'!$L:$R,4,0),IF($LB358=40%,VLOOKUP($HZ358,'Jan-2026 rates'!$L:$R,5,0),IF($LB358=30%,VLOOKUP($HZ358,'Jan-2026 rates'!$L:$R,6,0),IF($LB358=100%,VLOOKUP($HZ358,'Jan-2026 rates'!$L:$R,7,0),IF($LB358=60%,VLOOKUP($HZ358,'Jan-2026 rates'!$L:$S,8,0),IF($LB358=80%,VLOOKUP($HZ358,'Jan-2026 rates'!L:T,9,0),0))))))))</f>
        <v>0</v>
      </c>
      <c r="IC358" s="412"/>
      <c r="ID358" s="409"/>
      <c r="IE358" s="411">
        <f>IF(ID358=0,0,IF($LB358=70%,VLOOKUP($HZ358,'Jan-2026 rates'!$L:$R,4,0),IF($LB358=65%,VLOOKUP($HZ358,'Jan-2026 rates'!$L:$R,4,0),IF($LB358=40%,VLOOKUP($HZ358,'Jan-2026 rates'!$L:$R,5,0),IF($LB358=30%,VLOOKUP($HZ358,'Jan-2026 rates'!$L:$R,6,0),IF($LB358=100%,VLOOKUP($HZ358,'Jan-2026 rates'!$L:$R,7,0),IF($LB358=60%,VLOOKUP($HZ358,'Jan-2026 rates'!$L:$S,8,0),IF($LB358=80%,VLOOKUP($HZ358,'Jan-2026 rates'!L:T,9,0),0))))))))</f>
        <v>0</v>
      </c>
      <c r="IF358" s="412">
        <v>26527000001</v>
      </c>
      <c r="IG358" s="413"/>
      <c r="IH358" s="412"/>
      <c r="II358" s="412"/>
      <c r="IJ358" s="412"/>
      <c r="IK358" s="412"/>
      <c r="IL358" s="412"/>
      <c r="IM358" s="412"/>
      <c r="IN358" s="409">
        <v>120</v>
      </c>
      <c r="IO358" s="398" t="e">
        <f>IF(IN358=0,0,IF(LEN(IF358)=11,_xlfn.XLOOKUP(IF358,'Dispensed Ink Rates'!C:C,'Dispensed Ink Rates'!CS:CS),VLOOKUP(IF358,'Jan-2026 rates'!$E:$F,2,0)))</f>
        <v>#N/A</v>
      </c>
      <c r="IP358" s="409"/>
      <c r="IQ358" s="398">
        <f>IF(IP358=0,0,IF(LEN(IG358)=11,_xlfn.XLOOKUP(IG358,'Dispensed Ink Rates'!C:C,'Dispensed Ink Rates'!CS:CS),VLOOKUP(IG358,'Jan-2026 rates'!$E:$F,2,0)))</f>
        <v>0</v>
      </c>
      <c r="IR358" s="409"/>
      <c r="IS358" s="398">
        <f>IF(IR358=0,0,IF(LEN(IH358)=11,_xlfn.XLOOKUP(IH358,'Dispensed Ink Rates'!C:C,'Dispensed Ink Rates'!CS:CS),VLOOKUP(IH358,'Jan-2026 rates'!$E:$F,2,0)))</f>
        <v>0</v>
      </c>
      <c r="IT358" s="409"/>
      <c r="IU358" s="398">
        <f>IF(IT358=0,0,IF(LEN(II358)=11,_xlfn.XLOOKUP(II358,'Dispensed Ink Rates'!C:C,'Dispensed Ink Rates'!CS:CS),VLOOKUP(II358,'Jan-2026 rates'!$E:$F,2,0)))</f>
        <v>0</v>
      </c>
      <c r="IV358" s="409"/>
      <c r="IW358" s="398">
        <f>IF(IV358=0,0,IF(LEN(IJ358)=11,_xlfn.XLOOKUP(IJ358,'Dispensed Ink Rates'!C:C,'Dispensed Ink Rates'!CS:CS),VLOOKUP(IJ358,'Jan-2026 rates'!$E:$F,2,0)))</f>
        <v>0</v>
      </c>
      <c r="IX358" s="409"/>
      <c r="IY358" s="398">
        <f>IF(IX358=0,0,IF(LEN(IK358)=11,_xlfn.XLOOKUP(IK358,'Dispensed Ink Rates'!C:C,'Dispensed Ink Rates'!CS:CS),VLOOKUP(IK358,'Jan-2026 rates'!$E:$F,2,0)))</f>
        <v>0</v>
      </c>
      <c r="IZ358" s="409"/>
      <c r="JA358" s="398">
        <f>IF(IZ358=0,0,IF(LEN(IL358)=11,_xlfn.XLOOKUP(IL358,'Dispensed Ink Rates'!C:C,'Dispensed Ink Rates'!CS:CS),VLOOKUP(IL358,'Jan-2026 rates'!$E:$F,2,0)))</f>
        <v>0</v>
      </c>
      <c r="JB358" s="409"/>
      <c r="JC358" s="398">
        <f>IF(JB358=0,0,IF(LEN(IM358)=11,_xlfn.XLOOKUP(IM358,'Dispensed Ink Rates'!C:C,'Dispensed Ink Rates'!CS:CS),VLOOKUP(IM358,'Jan-2026 rates'!$E:$F,2,0)))</f>
        <v>0</v>
      </c>
      <c r="JD358" s="409" t="s">
        <v>1443</v>
      </c>
      <c r="JE358" s="409">
        <v>25</v>
      </c>
      <c r="JF358" s="411">
        <f t="shared" si="230"/>
        <v>0</v>
      </c>
      <c r="JG358" s="411">
        <f t="shared" si="231"/>
        <v>100.45622119815668</v>
      </c>
      <c r="JH358" s="410">
        <f t="shared" si="232"/>
        <v>0</v>
      </c>
      <c r="JI358" s="405" t="s">
        <v>856</v>
      </c>
      <c r="JJ358" s="409" t="s">
        <v>4751</v>
      </c>
      <c r="JK358" s="420" t="str">
        <f t="shared" si="190"/>
        <v>FLINTSL - WHITE</v>
      </c>
      <c r="JL358" s="409">
        <v>24</v>
      </c>
      <c r="JM358" s="411">
        <f>IF(JL358=0,0,IF($LB358=70%,VLOOKUP($JK358,'Jan-2026 rates'!$L:$R,4,0),IF($LB358=65%,VLOOKUP($JK358,'Jan-2026 rates'!$L:$R,4,0),IF($LB358=40%,VLOOKUP($JK358,'Jan-2026 rates'!$L:$R,5,0),IF($LB358=30%,VLOOKUP($JK358,'Jan-2026 rates'!$L:$R,6,0),IF($LB358=100%,VLOOKUP($JK358,'Jan-2026 rates'!$L:$R,7,0),IF($LB358=60%,VLOOKUP($JK358,'Jan-2026 rates'!$L:$S,8,0),IF($LB358=80%,VLOOKUP($JK358,'Jan-2026 rates'!L:T,9,0),0))))))))</f>
        <v>0</v>
      </c>
      <c r="JN358" s="412"/>
      <c r="JO358" s="409"/>
      <c r="JP358" s="411">
        <f>IF(JO358=0,0,IF($LB358=70%,VLOOKUP($JK358,'Jan-2026 rates'!$L:$R,4,0),IF($LB358=65%,VLOOKUP($JK358,'Jan-2026 rates'!$L:$R,4,0),IF($LB358=40%,VLOOKUP($JK358,'Jan-2026 rates'!$L:$R,5,0),IF($LB358=30%,VLOOKUP($JK358,'Jan-2026 rates'!$L:$R,6,0),IF($LB358=100%,VLOOKUP($JK358,'Jan-2026 rates'!$L:$R,7,0),IF($LB358=60%,VLOOKUP($JK358,'Jan-2026 rates'!$L:$S,8,0),IF($LB358=80%,VLOOKUP($JK358,'Jan-2026 rates'!L:T,9,0),0))))))))</f>
        <v>0</v>
      </c>
      <c r="JQ358" s="413" t="s">
        <v>484</v>
      </c>
      <c r="JR358" s="412" t="s">
        <v>1924</v>
      </c>
      <c r="JS358" s="413"/>
      <c r="JT358" s="413"/>
      <c r="JU358" s="412"/>
      <c r="JV358" s="412"/>
      <c r="JW358" s="412"/>
      <c r="JX358" s="412"/>
      <c r="JY358" s="409">
        <f>100+100+100</f>
        <v>300</v>
      </c>
      <c r="JZ358" s="398">
        <f>IF(JY358=0,0,IF(LEN(JQ358)=11,_xlfn.XLOOKUP(JQ358,'Dispensed Ink Rates'!C:C,'Dispensed Ink Rates'!CS:CS),VLOOKUP(JQ358,'Jan-2026 rates'!$E:$F,2,0)))</f>
        <v>0</v>
      </c>
      <c r="KA358" s="409">
        <v>9</v>
      </c>
      <c r="KB358" s="398">
        <f>IF(KA358=0,0,IF(LEN(JR358)=11,_xlfn.XLOOKUP(JR358,'Dispensed Ink Rates'!C:C,'Dispensed Ink Rates'!CS:CS),VLOOKUP(JR358,'Jan-2026 rates'!$E:$F,2,0)))</f>
        <v>0</v>
      </c>
      <c r="KC358" s="409"/>
      <c r="KD358" s="398">
        <f>IF(KC358=0,0,IF(LEN(JS358)=11,_xlfn.XLOOKUP(JS358,'Dispensed Ink Rates'!C:C,'Dispensed Ink Rates'!CS:CS),VLOOKUP(JS358,'Jan-2026 rates'!$E:$F,2,0)))</f>
        <v>0</v>
      </c>
      <c r="KE358" s="409"/>
      <c r="KF358" s="398">
        <f>IF(KE358=0,0,IF(LEN(JT358)=11,_xlfn.XLOOKUP(JT358,'Dispensed Ink Rates'!C:C,'Dispensed Ink Rates'!CS:CS),VLOOKUP(JT358,'Jan-2026 rates'!$E:$F,2,0)))</f>
        <v>0</v>
      </c>
      <c r="KG358" s="409"/>
      <c r="KH358" s="398">
        <f>IF(KG358=0,0,IF(LEN(JU358)=11,_xlfn.XLOOKUP(JU358,'Dispensed Ink Rates'!C:C,'Dispensed Ink Rates'!CS:CS),VLOOKUP(JU358,'Jan-2026 rates'!$E:$F,2,0)))</f>
        <v>0</v>
      </c>
      <c r="KI358" s="409"/>
      <c r="KJ358" s="398">
        <f>IF(KI358=0,0,IF(LEN(JV358)=11,_xlfn.XLOOKUP(JV358,'Dispensed Ink Rates'!C:C,'Dispensed Ink Rates'!CS:CS),VLOOKUP(JV358,'Jan-2026 rates'!$E:$F,2,0)))</f>
        <v>0</v>
      </c>
      <c r="KK358" s="409"/>
      <c r="KL358" s="398">
        <f>IF(KK358=0,0,IF(LEN(JW358)=11,_xlfn.XLOOKUP(JW358,'Dispensed Ink Rates'!C:C,'Dispensed Ink Rates'!CS:CS),VLOOKUP(JW358,'Jan-2026 rates'!$E:$F,2,0)))</f>
        <v>0</v>
      </c>
      <c r="KM358" s="428"/>
      <c r="KN358" s="398">
        <f>IF(KM358=0,0,IF(LEN(JX358)=11,_xlfn.XLOOKUP(JX358,'Dispensed Ink Rates'!C:C,'Dispensed Ink Rates'!CS:CS),VLOOKUP(JX358,'Jan-2026 rates'!$E:$F,2,0)))</f>
        <v>0</v>
      </c>
      <c r="KO358" s="409" t="s">
        <v>1443</v>
      </c>
      <c r="KP358" s="409">
        <v>50</v>
      </c>
      <c r="KQ358" s="411">
        <f t="shared" si="233"/>
        <v>0</v>
      </c>
      <c r="KR358" s="411">
        <f t="shared" si="234"/>
        <v>774.0599078341013</v>
      </c>
      <c r="KS358" s="410">
        <f t="shared" si="235"/>
        <v>0</v>
      </c>
      <c r="KT358" s="409">
        <v>5</v>
      </c>
      <c r="KU358" s="409">
        <v>10</v>
      </c>
      <c r="KV358" s="409">
        <v>5</v>
      </c>
      <c r="KW358" s="409">
        <v>5</v>
      </c>
      <c r="KX358" s="409">
        <v>5</v>
      </c>
      <c r="KY358" s="409">
        <v>5</v>
      </c>
      <c r="KZ358" s="409">
        <v>2</v>
      </c>
      <c r="LA358" s="409">
        <f>60+60+60</f>
        <v>180</v>
      </c>
      <c r="LB358" s="415">
        <v>0.8</v>
      </c>
      <c r="LC358" s="415">
        <v>0.2</v>
      </c>
      <c r="LD358" s="424"/>
      <c r="LE358" s="415"/>
      <c r="LF358" s="415"/>
      <c r="LG358" s="409">
        <v>0</v>
      </c>
      <c r="LH358" s="409">
        <f>180+112+240+60</f>
        <v>592</v>
      </c>
      <c r="LI358" s="409">
        <v>0</v>
      </c>
      <c r="LJ358" s="409">
        <v>0</v>
      </c>
      <c r="LK358" s="416">
        <f t="shared" si="191"/>
        <v>592</v>
      </c>
      <c r="LL358" s="416">
        <f t="shared" si="237"/>
        <v>592</v>
      </c>
      <c r="LM358" s="417">
        <f t="shared" si="193"/>
        <v>473.6</v>
      </c>
      <c r="LN358" s="417">
        <f>VLOOKUP($LM$8,'Jan-2026 rates'!$H:$I,2,0)</f>
        <v>0</v>
      </c>
      <c r="LO358" s="417">
        <f t="shared" si="194"/>
        <v>118.4</v>
      </c>
      <c r="LP358" s="417">
        <f>VLOOKUP($LO$8,'Jan-2026 rates'!$H:$I,2,0)</f>
        <v>0</v>
      </c>
      <c r="LQ358" s="417">
        <f t="shared" si="195"/>
        <v>0</v>
      </c>
      <c r="LR358" s="417">
        <f>VLOOKUP($LQ$8,'Jan-2026 rates'!$H:$I,2,0)</f>
        <v>0</v>
      </c>
      <c r="LS358" s="417">
        <f t="shared" si="196"/>
        <v>0</v>
      </c>
      <c r="LT358" s="417">
        <f>VLOOKUP($LS$8,'Jan-2026 rates'!$H:$I,2,0)</f>
        <v>0</v>
      </c>
      <c r="LU358" s="417">
        <f t="shared" si="197"/>
        <v>0</v>
      </c>
      <c r="LV358" s="417">
        <f>VLOOKUP($LU$8,'Jan-2026 rates'!$H:$I,2,0)</f>
        <v>0</v>
      </c>
      <c r="LW358" s="417">
        <f t="shared" si="198"/>
        <v>0</v>
      </c>
      <c r="LX358" s="417">
        <f t="shared" si="199"/>
        <v>0</v>
      </c>
      <c r="LY358" s="418">
        <f t="shared" si="200"/>
        <v>0</v>
      </c>
      <c r="LZ358" s="417"/>
      <c r="MA358" s="435">
        <f t="shared" si="201"/>
        <v>599.20000000000005</v>
      </c>
      <c r="MB358" s="282">
        <f t="shared" si="202"/>
        <v>1121.2</v>
      </c>
      <c r="MC358" s="283">
        <v>200</v>
      </c>
      <c r="MD358" s="284" t="str">
        <f t="shared" si="203"/>
        <v>FLINTSLFLINTSLFLINTSLFLINTSLFLINTSLFLINTSLFLINTSLFLINTSL</v>
      </c>
      <c r="ME358" s="293" t="str">
        <f t="shared" si="204"/>
        <v>+</v>
      </c>
      <c r="MF358" s="293" t="str">
        <f t="shared" si="205"/>
        <v>+</v>
      </c>
      <c r="MG358" s="293" t="str">
        <f t="shared" si="206"/>
        <v>+</v>
      </c>
      <c r="MH358" s="293" t="str">
        <f t="shared" si="207"/>
        <v>+</v>
      </c>
      <c r="MI358" s="293" t="str">
        <f t="shared" si="208"/>
        <v>+</v>
      </c>
      <c r="MJ358" s="293" t="str">
        <f t="shared" si="209"/>
        <v>+</v>
      </c>
      <c r="MK358" s="293" t="str">
        <f t="shared" si="210"/>
        <v>+</v>
      </c>
      <c r="ML358" s="293" t="str">
        <f t="shared" si="211"/>
        <v>+</v>
      </c>
      <c r="MM358" s="3" t="b">
        <f t="array" ref="MM358">OR(ME358:ML358="-")</f>
        <v>0</v>
      </c>
      <c r="MO358" s="401">
        <f t="shared" si="238"/>
        <v>66.34319526627219</v>
      </c>
      <c r="MP358" s="286"/>
      <c r="MR358" s="402">
        <f t="shared" si="239"/>
        <v>1.1291037260825781E-2</v>
      </c>
      <c r="MS358" s="400">
        <f t="shared" si="240"/>
        <v>0</v>
      </c>
      <c r="MT358" s="285"/>
      <c r="NH358" s="361"/>
      <c r="NJ358" s="282"/>
    </row>
    <row r="359" spans="1:374" ht="16.5">
      <c r="A359" s="403">
        <v>46048</v>
      </c>
      <c r="B359" s="404" t="s">
        <v>1018</v>
      </c>
      <c r="C359" s="405" t="s">
        <v>4752</v>
      </c>
      <c r="D359" s="404">
        <v>201</v>
      </c>
      <c r="E359" s="404">
        <v>950</v>
      </c>
      <c r="F359" s="407">
        <v>44100</v>
      </c>
      <c r="G359" s="407" t="s">
        <v>1019</v>
      </c>
      <c r="H359" s="408" t="s">
        <v>1017</v>
      </c>
      <c r="I359" s="409">
        <v>1.93</v>
      </c>
      <c r="J359" s="405" t="s">
        <v>543</v>
      </c>
      <c r="K359" s="404" t="s">
        <v>4753</v>
      </c>
      <c r="L359" s="419" t="str">
        <f t="shared" si="184"/>
        <v>FLINTSL - BLACK</v>
      </c>
      <c r="M359" s="404">
        <v>20</v>
      </c>
      <c r="N359" s="410">
        <f>IF(M359=0,0,IF($LB359=70%,VLOOKUP($L359,'Jan-2026 rates'!$L:$R,4,0),IF($LB359=65%,VLOOKUP($L359,'Jan-2026 rates'!$L:$R,4,0),IF($LB359=40%,VLOOKUP($L359,'Jan-2026 rates'!$L:$R,5,0),IF($LB359=30%,VLOOKUP($L359,'Jan-2026 rates'!$L:$R,6,0),IF($LB359=100%,VLOOKUP($L359,'Jan-2026 rates'!$L:$R,7,0),IF($LB359=60%,VLOOKUP($L359,'Jan-2026 rates'!$L:$S,8,0),IF($LB359=80%,VLOOKUP($L359,'Jan-2026 rates'!L:T,9,0),0))))))))</f>
        <v>0</v>
      </c>
      <c r="O359" s="406"/>
      <c r="P359" s="404"/>
      <c r="Q359" s="410">
        <f>IF(P359=0,0,IF($LB359=70%,VLOOKUP($L359,'Jan-2026 rates'!$L:$R,4,0),IF($LB359=65%,VLOOKUP($L359,'Jan-2026 rates'!$L:$R,4,0),IF($LB359=40%,VLOOKUP($L359,'Jan-2026 rates'!$L:$R,5,0),IF($LB359=30%,VLOOKUP($L359,'Jan-2026 rates'!$L:$R,6,0),IF($LB359=100%,VLOOKUP($L359,'Jan-2026 rates'!$L:$R,7,0),IF($LB359=60%,VLOOKUP($L359,'Jan-2026 rates'!$L:$S,8,0),IF($LB359=80%,VLOOKUP($L359,'Jan-2026 rates'!L:T,9,0),0))))))))</f>
        <v>0</v>
      </c>
      <c r="R359" s="406" t="s">
        <v>1266</v>
      </c>
      <c r="S359" s="406"/>
      <c r="T359" s="406"/>
      <c r="U359" s="406"/>
      <c r="V359" s="406"/>
      <c r="W359" s="406"/>
      <c r="X359" s="406"/>
      <c r="Y359" s="406"/>
      <c r="Z359" s="404">
        <v>5</v>
      </c>
      <c r="AA359" s="398">
        <f>IF(Z359=0,0,IF(LEN(R359)=11,_xlfn.XLOOKUP(R359,'Dispensed Ink Rates'!C:C,'Dispensed Ink Rates'!CS:CS),VLOOKUP(R359,'Jan-2026 rates'!$E:$F,2,0)))</f>
        <v>0</v>
      </c>
      <c r="AB359" s="404"/>
      <c r="AC359" s="398">
        <f>IF(AB359=0,0,IF(LEN(S359)=11,_xlfn.XLOOKUP(S359,'Dispensed Ink Rates'!C:C,'Dispensed Ink Rates'!CS:CS),VLOOKUP(S359,'Jan-2026 rates'!$E:$F,2,0)))</f>
        <v>0</v>
      </c>
      <c r="AD359" s="404"/>
      <c r="AE359" s="398">
        <f>IF(AD359=0,0,IF(LEN(T359)=11,_xlfn.XLOOKUP(T359,'Dispensed Ink Rates'!C:C,'Dispensed Ink Rates'!CS:CS),VLOOKUP(T359,'Jan-2026 rates'!$E:$F,2,0)))</f>
        <v>0</v>
      </c>
      <c r="AF359" s="404"/>
      <c r="AG359" s="398">
        <f>IF(AF359=0,0,IF(LEN(U359)=11,_xlfn.XLOOKUP(U359,'Dispensed Ink Rates'!C:C,'Dispensed Ink Rates'!CS:CS),VLOOKUP(U359,'Jan-2026 rates'!$E:$F,2,0)))</f>
        <v>0</v>
      </c>
      <c r="AH359" s="404"/>
      <c r="AI359" s="398">
        <f>IF(AH359=0,0,IF(LEN(V359)=11,_xlfn.XLOOKUP(V359,'Dispensed Ink Rates'!C:C,'Dispensed Ink Rates'!CS:CS),VLOOKUP(V359,'Jan-2026 rates'!$E:$F,2,0)))</f>
        <v>0</v>
      </c>
      <c r="AJ359" s="404"/>
      <c r="AK359" s="398">
        <f>IF(AJ359=0,0,IF(LEN(W359)=11,_xlfn.XLOOKUP(W359,'Dispensed Ink Rates'!C:C,'Dispensed Ink Rates'!CS:CS),VLOOKUP(W359,'Jan-2026 rates'!$E:$F,2,0)))</f>
        <v>0</v>
      </c>
      <c r="AL359" s="404"/>
      <c r="AM359" s="398">
        <f>IF(AL359=0,0,IF(LEN(X359)=11,_xlfn.XLOOKUP(X359,'Dispensed Ink Rates'!C:C,'Dispensed Ink Rates'!CS:CS),VLOOKUP(X359,'Jan-2026 rates'!$E:$F,2,0)))</f>
        <v>0</v>
      </c>
      <c r="AN359" s="404"/>
      <c r="AO359" s="398">
        <f>IF(AN359=0,0,IF(LEN(Y359)=11,_xlfn.XLOOKUP(Y359,'Dispensed Ink Rates'!C:C,'Dispensed Ink Rates'!CS:CS),VLOOKUP(Y359,'Jan-2026 rates'!$E:$F,2,0)))</f>
        <v>0</v>
      </c>
      <c r="AP359" s="409" t="s">
        <v>1443</v>
      </c>
      <c r="AQ359" s="409">
        <v>22</v>
      </c>
      <c r="AR359" s="410">
        <f t="shared" si="212"/>
        <v>0</v>
      </c>
      <c r="AS359" s="411">
        <f t="shared" si="213"/>
        <v>14.482758620689651</v>
      </c>
      <c r="AT359" s="410">
        <f t="shared" si="214"/>
        <v>0</v>
      </c>
      <c r="AU359" s="405" t="s">
        <v>546</v>
      </c>
      <c r="AV359" s="409" t="s">
        <v>4754</v>
      </c>
      <c r="AW359" s="420" t="str">
        <f t="shared" si="236"/>
        <v>FLINTSL - REFLEX BLUE</v>
      </c>
      <c r="AX359" s="409">
        <v>20</v>
      </c>
      <c r="AY359" s="411">
        <f>IF(AX359=0,0,IF($LB359=70%,VLOOKUP($AW359,'Jan-2026 rates'!$L:$R,4,0),IF($LB359=65%,VLOOKUP($AW359,'Jan-2026 rates'!$L:$R,4,0),IF($LB359=40%,VLOOKUP($AW359,'Jan-2026 rates'!$L:$R,5,0),IF($LB359=30%,VLOOKUP($AW359,'Jan-2026 rates'!$L:$R,6,0),IF($LB359=100%,VLOOKUP($AW359,'Jan-2026 rates'!$L:$R,7,0),IF($LB359=60%,VLOOKUP($AW359,'Jan-2026 rates'!$L:$S,8,0),IF($LB359=80%,VLOOKUP($AW359,'Jan-2026 rates'!L:T,9,0),0))))))))</f>
        <v>0</v>
      </c>
      <c r="AZ359" s="412" t="s">
        <v>4755</v>
      </c>
      <c r="BA359" s="409">
        <v>7</v>
      </c>
      <c r="BB359" s="411">
        <f>IF(BA359=0,0,IF($LB359=70%,VLOOKUP($AW359,'Jan-2026 rates'!$L:$R,4,0),IF($LB359=65%,VLOOKUP($AW359,'Jan-2026 rates'!$L:$R,4,0),IF($LB359=40%,VLOOKUP($AW359,'Jan-2026 rates'!$L:$R,5,0),IF($LB359=30%,VLOOKUP($AW359,'Jan-2026 rates'!$L:$R,6,0),IF($LB359=100%,VLOOKUP($AW359,'Jan-2026 rates'!$L:$R,7,0),IF($LB359=60%,VLOOKUP($AW359,'Jan-2026 rates'!$L:$S,8,0),IF($LB359=80%,VLOOKUP($AW359,'Jan-2026 rates'!L:T,9,0),0))))))))</f>
        <v>0</v>
      </c>
      <c r="BC359" s="413">
        <v>26523000017</v>
      </c>
      <c r="BD359" s="412"/>
      <c r="BE359" s="412"/>
      <c r="BF359" s="413"/>
      <c r="BG359" s="412"/>
      <c r="BH359" s="412"/>
      <c r="BI359" s="412"/>
      <c r="BJ359" s="412"/>
      <c r="BK359" s="409">
        <f>2+3</f>
        <v>5</v>
      </c>
      <c r="BL359" s="398" t="e">
        <f>IF(BK359=0,0,IF(LEN(BC359)=11,_xlfn.XLOOKUP(BC359,'Dispensed Ink Rates'!C:C,'Dispensed Ink Rates'!CS:CS),VLOOKUP(BC359,'Jan-2026 rates'!$E:$F,2,0)))</f>
        <v>#N/A</v>
      </c>
      <c r="BM359" s="409"/>
      <c r="BN359" s="398">
        <f>IF(BM359=0,0,IF(LEN(BD359)=11,_xlfn.XLOOKUP(BD359,'Dispensed Ink Rates'!C:C,'Dispensed Ink Rates'!CS:CS),VLOOKUP(BD359,'Jan-2026 rates'!$E:$F,2,0)))</f>
        <v>0</v>
      </c>
      <c r="BO359" s="409"/>
      <c r="BP359" s="398">
        <f>IF(BO359=0,0,IF(LEN(BE359)=11,_xlfn.XLOOKUP(BE359,'Dispensed Ink Rates'!C:C,'Dispensed Ink Rates'!CS:CS),VLOOKUP(BE359,'Jan-2026 rates'!$E:$F,2,0)))</f>
        <v>0</v>
      </c>
      <c r="BQ359" s="409"/>
      <c r="BR359" s="398">
        <f>IF(BQ359=0,0,IF(LEN(BF359)=11,_xlfn.XLOOKUP(BF359,'Dispensed Ink Rates'!C:C,'Dispensed Ink Rates'!CS:CS),VLOOKUP(BF359,'Jan-2026 rates'!$E:$F,2,0)))</f>
        <v>0</v>
      </c>
      <c r="BS359" s="409"/>
      <c r="BT359" s="398">
        <f>IF(BS359=0,0,IF(LEN(BG359)=11,_xlfn.XLOOKUP(BG359,'Dispensed Ink Rates'!C:C,'Dispensed Ink Rates'!CS:CS),VLOOKUP(BG359,'Jan-2026 rates'!$E:$F,2,0)))</f>
        <v>0</v>
      </c>
      <c r="BU359" s="409"/>
      <c r="BV359" s="398">
        <f>IF(BU359=0,0,IF(LEN(BH359)=11,_xlfn.XLOOKUP(BH359,'Dispensed Ink Rates'!C:C,'Dispensed Ink Rates'!CS:CS),VLOOKUP(BH359,'Jan-2026 rates'!$E:$F,2,0)))</f>
        <v>0</v>
      </c>
      <c r="BW359" s="409"/>
      <c r="BX359" s="398">
        <f>IF(BW359=0,0,IF(LEN(BI359)=11,_xlfn.XLOOKUP(BI359,'Dispensed Ink Rates'!C:C,'Dispensed Ink Rates'!CS:CS),VLOOKUP(BI359,'Jan-2026 rates'!$E:$F,2,0)))</f>
        <v>0</v>
      </c>
      <c r="BY359" s="409"/>
      <c r="BZ359" s="398">
        <f>IF(BY359=0,0,IF(LEN(BJ359)=11,_xlfn.XLOOKUP(BJ359,'Dispensed Ink Rates'!C:C,'Dispensed Ink Rates'!CS:CS),VLOOKUP(BJ359,'Jan-2026 rates'!$E:$F,2,0)))</f>
        <v>0</v>
      </c>
      <c r="CA359" s="409" t="s">
        <v>1443</v>
      </c>
      <c r="CB359" s="409">
        <v>20</v>
      </c>
      <c r="CC359" s="411">
        <f t="shared" si="215"/>
        <v>0</v>
      </c>
      <c r="CD359" s="411">
        <f t="shared" si="216"/>
        <v>23.482758620689651</v>
      </c>
      <c r="CE359" s="410">
        <f t="shared" si="217"/>
        <v>0</v>
      </c>
      <c r="CF359" s="404" t="s">
        <v>547</v>
      </c>
      <c r="CG359" s="409" t="s">
        <v>4748</v>
      </c>
      <c r="CH359" s="420" t="str">
        <f t="shared" si="185"/>
        <v>FLINTSL - GREEN</v>
      </c>
      <c r="CI359" s="409">
        <v>24</v>
      </c>
      <c r="CJ359" s="411">
        <f>IF(CI359=0,0,IF($LB359=70%,VLOOKUP($CH359,'Jan-2026 rates'!$L:$R,4,0),IF($LB359=65%,VLOOKUP($CH359,'Jan-2026 rates'!$L:$R,4,0),IF($LB359=40%,VLOOKUP($CH359,'Jan-2026 rates'!$L:$R,5,0),IF($LB359=30%,VLOOKUP($CH359,'Jan-2026 rates'!$L:$R,6,0),IF($LB359=100%,VLOOKUP($CH359,'Jan-2026 rates'!$L:$R,7,0),IF($LB359=60%,VLOOKUP($CH359,'Jan-2026 rates'!$L:$S,8,0),IF($LB359=80%,VLOOKUP($CH359,'Jan-2026 rates'!L:T,9,0),0))))))))</f>
        <v>0</v>
      </c>
      <c r="CK359" s="412"/>
      <c r="CL359" s="409"/>
      <c r="CM359" s="411">
        <f>IF(CL359=0,0,IF($LB359=70%,VLOOKUP($CH359,'Jan-2026 rates'!$L:$R,4,0),IF($LB359=65%,VLOOKUP($CH359,'Jan-2026 rates'!$L:$R,4,0),IF($LB359=40%,VLOOKUP($CH359,'Jan-2026 rates'!$L:$R,5,0),IF($LB359=30%,VLOOKUP($CH359,'Jan-2026 rates'!$L:$R,6,0),IF($LB359=100%,VLOOKUP($CH359,'Jan-2026 rates'!$L:$R,7,0),IF($LB359=60%,VLOOKUP($CH359,'Jan-2026 rates'!$L:$S,8,0),IF($LB359=80%,VLOOKUP($CH359,'Jan-2026 rates'!L:T,9,0),0))))))))</f>
        <v>0</v>
      </c>
      <c r="CN359" s="426">
        <v>26524000018</v>
      </c>
      <c r="CO359" s="427"/>
      <c r="CP359" s="426"/>
      <c r="CQ359" s="426"/>
      <c r="CR359" s="428"/>
      <c r="CS359" s="428"/>
      <c r="CT359" s="428"/>
      <c r="CU359" s="428"/>
      <c r="CV359" s="409">
        <v>3</v>
      </c>
      <c r="CW359" s="398" t="e">
        <f>IF(CV359=0,0,IF(LEN(CN359)=11,_xlfn.XLOOKUP(CN359,'Dispensed Ink Rates'!C:C,'Dispensed Ink Rates'!CS:CS),VLOOKUP(CN359,'Jan-2026 rates'!$E:$F,2,0)))</f>
        <v>#N/A</v>
      </c>
      <c r="CX359" s="409"/>
      <c r="CY359" s="398">
        <f>IF(CX359=0,0,IF(LEN(CO359)=11,_xlfn.XLOOKUP(CO359,'Dispensed Ink Rates'!C:C,'Dispensed Ink Rates'!CS:CS),VLOOKUP(CO359,'Jan-2026 rates'!$E:$F,2,0)))</f>
        <v>0</v>
      </c>
      <c r="CZ359" s="409"/>
      <c r="DA359" s="398">
        <f>IF(CZ359=0,0,IF(LEN(CP359)=11,_xlfn.XLOOKUP(CP359,'Dispensed Ink Rates'!C:C,'Dispensed Ink Rates'!CS:CS),VLOOKUP(CP359,'Jan-2026 rates'!$E:$F,2,0)))</f>
        <v>0</v>
      </c>
      <c r="DB359" s="409"/>
      <c r="DC359" s="398">
        <f>IF(DB359=0,0,IF(LEN(CQ359)=11,_xlfn.XLOOKUP(CQ359,'Dispensed Ink Rates'!C:C,'Dispensed Ink Rates'!CS:CS),VLOOKUP(CQ359,'Jan-2026 rates'!$E:$F,2,0)))</f>
        <v>0</v>
      </c>
      <c r="DD359" s="409"/>
      <c r="DE359" s="398">
        <f>IF(DD359=0,0,IF(LEN(CR359)=11,_xlfn.XLOOKUP(CR359,'Dispensed Ink Rates'!C:C,'Dispensed Ink Rates'!CS:CS),VLOOKUP(CR359,'Jan-2026 rates'!$E:$F,2,0)))</f>
        <v>0</v>
      </c>
      <c r="DF359" s="409"/>
      <c r="DG359" s="398">
        <f>IF(DF359=0,0,IF(LEN(CS359)=11,_xlfn.XLOOKUP(CS359,'Dispensed Ink Rates'!C:C,'Dispensed Ink Rates'!CS:CS),VLOOKUP(CS359,'Jan-2026 rates'!$E:$F,2,0)))</f>
        <v>0</v>
      </c>
      <c r="DH359" s="409"/>
      <c r="DI359" s="398">
        <f>IF(DH359=0,0,IF(LEN(CT359)=11,_xlfn.XLOOKUP(CT359,'Dispensed Ink Rates'!C:C,'Dispensed Ink Rates'!CS:CS),VLOOKUP(CT359,'Jan-2026 rates'!$E:$F,2,0)))</f>
        <v>0</v>
      </c>
      <c r="DJ359" s="409"/>
      <c r="DK359" s="398">
        <f>IF(DJ359=0,0,IF(LEN(CU359)=11,_xlfn.XLOOKUP(CU359,'Dispensed Ink Rates'!C:C,'Dispensed Ink Rates'!CS:CS),VLOOKUP(CU359,'Jan-2026 rates'!$E:$F,2,0)))</f>
        <v>0</v>
      </c>
      <c r="DL359" s="409" t="s">
        <v>1443</v>
      </c>
      <c r="DM359" s="409">
        <v>28</v>
      </c>
      <c r="DN359" s="411">
        <f t="shared" si="218"/>
        <v>0</v>
      </c>
      <c r="DO359" s="411">
        <f t="shared" si="219"/>
        <v>8.1862068965517238</v>
      </c>
      <c r="DP359" s="410">
        <f t="shared" si="220"/>
        <v>0</v>
      </c>
      <c r="DQ359" s="405" t="s">
        <v>855</v>
      </c>
      <c r="DR359" s="409" t="s">
        <v>4756</v>
      </c>
      <c r="DS359" s="420" t="str">
        <f t="shared" si="186"/>
        <v>FLINTSL - CYAN</v>
      </c>
      <c r="DT359" s="409">
        <v>22</v>
      </c>
      <c r="DU359" s="411">
        <f>IF(DT359=0,0,IF($LB359=70%,VLOOKUP($DS359,'Jan-2026 rates'!$L:$R,4,0),IF($LB359=65%,VLOOKUP($DS359,'Jan-2026 rates'!$L:$R,4,0),IF($LB359=40%,VLOOKUP($DS359,'Jan-2026 rates'!$L:$R,5,0),IF($LB359=30%,VLOOKUP($DS359,'Jan-2026 rates'!$L:$R,6,0),IF($LB359=100%,VLOOKUP($DS359,'Jan-2026 rates'!$L:$R,7,0),IF($LB359=60%,VLOOKUP($DS359,'Jan-2026 rates'!$L:$S,8,0),IF($LB359=80%,VLOOKUP($DS359,'Jan-2026 rates'!L:T,9,0),0))))))))</f>
        <v>0</v>
      </c>
      <c r="DV359" s="412"/>
      <c r="DW359" s="409"/>
      <c r="DX359" s="411">
        <f>IF(DW359=0,0,IF($LB359=70%,VLOOKUP($DS359,'Jan-2026 rates'!$L:$R,4,0),IF($LB359=65%,VLOOKUP($DS359,'Jan-2026 rates'!$L:$R,4,0),IF($LB359=40%,VLOOKUP($DS359,'Jan-2026 rates'!$L:$R,5,0),IF($LB359=30%,VLOOKUP($DS359,'Jan-2026 rates'!$L:$R,6,0),IF($LB359=100%,VLOOKUP($DS359,'Jan-2026 rates'!$L:$R,7,0),IF($LB359=60%,VLOOKUP($DS359,'Jan-2026 rates'!$L:$S,8,0),IF($LB359=80%,VLOOKUP($DS359,'Jan-2026 rates'!L:T,9,0),0))))))))</f>
        <v>0</v>
      </c>
      <c r="DY359" s="413">
        <v>26524000018</v>
      </c>
      <c r="DZ359" s="413"/>
      <c r="EA359" s="412"/>
      <c r="EB359" s="412"/>
      <c r="EC359" s="412"/>
      <c r="ED359" s="412"/>
      <c r="EE359" s="412"/>
      <c r="EF359" s="412"/>
      <c r="EG359" s="409">
        <v>2</v>
      </c>
      <c r="EH359" s="398" t="e">
        <f>IF(EG359=0,0,IF(LEN(DY359)=11,_xlfn.XLOOKUP(DY359,'Dispensed Ink Rates'!C:C,'Dispensed Ink Rates'!CS:CS),VLOOKUP(DY359,'Jan-2026 rates'!$E:$F,2,0)))</f>
        <v>#N/A</v>
      </c>
      <c r="EI359" s="409"/>
      <c r="EJ359" s="398">
        <f>IF(EI359=0,0,IF(LEN(DZ359)=11,_xlfn.XLOOKUP(DZ359,'Dispensed Ink Rates'!C:C,'Dispensed Ink Rates'!CS:CS),VLOOKUP(DZ359,'Jan-2026 rates'!$E:$F,2,0)))</f>
        <v>0</v>
      </c>
      <c r="EK359" s="409"/>
      <c r="EL359" s="398">
        <f>IF(EK359=0,0,IF(LEN(EA359)=11,_xlfn.XLOOKUP(EA359,'Dispensed Ink Rates'!C:C,'Dispensed Ink Rates'!CS:CS),VLOOKUP(EA359,'Jan-2026 rates'!$E:$F,2,0)))</f>
        <v>0</v>
      </c>
      <c r="EM359" s="409"/>
      <c r="EN359" s="398">
        <f>IF(EM359=0,0,IF(LEN(EB359)=11,_xlfn.XLOOKUP(EB359,'Dispensed Ink Rates'!C:C,'Dispensed Ink Rates'!CS:CS),VLOOKUP(EB359,'Jan-2026 rates'!$E:$F,2,0)))</f>
        <v>0</v>
      </c>
      <c r="EO359" s="409"/>
      <c r="EP359" s="398">
        <f>IF(EO359=0,0,IF(LEN(EC359)=11,_xlfn.XLOOKUP(EC359,'Dispensed Ink Rates'!C:C,'Dispensed Ink Rates'!CS:CS),VLOOKUP(EC359,'Jan-2026 rates'!$E:$F,2,0)))</f>
        <v>0</v>
      </c>
      <c r="EQ359" s="409"/>
      <c r="ER359" s="398">
        <f>IF(EQ359=0,0,IF(LEN(ED359)=11,_xlfn.XLOOKUP(ED359,'Dispensed Ink Rates'!C:C,'Dispensed Ink Rates'!CS:CS),VLOOKUP(ED359,'Jan-2026 rates'!$E:$F,2,0)))</f>
        <v>0</v>
      </c>
      <c r="ES359" s="409"/>
      <c r="ET359" s="398">
        <f>IF(ES359=0,0,IF(LEN(EE359)=11,_xlfn.XLOOKUP(EE359,'Dispensed Ink Rates'!C:C,'Dispensed Ink Rates'!CS:CS),VLOOKUP(EE359,'Jan-2026 rates'!$E:$F,2,0)))</f>
        <v>0</v>
      </c>
      <c r="EU359" s="409"/>
      <c r="EV359" s="398">
        <f>IF(EU359=0,0,IF(LEN(EF359)=11,_xlfn.XLOOKUP(EF359,'Dispensed Ink Rates'!C:C,'Dispensed Ink Rates'!CS:CS),VLOOKUP(EF359,'Jan-2026 rates'!$E:$F,2,0)))</f>
        <v>0</v>
      </c>
      <c r="EW359" s="409" t="s">
        <v>1443</v>
      </c>
      <c r="EX359" s="409">
        <v>21</v>
      </c>
      <c r="EY359" s="411">
        <f t="shared" si="221"/>
        <v>0</v>
      </c>
      <c r="EZ359" s="411">
        <f t="shared" si="222"/>
        <v>12.186206896551724</v>
      </c>
      <c r="FA359" s="410">
        <f t="shared" si="223"/>
        <v>0</v>
      </c>
      <c r="FB359" s="405" t="s">
        <v>544</v>
      </c>
      <c r="FC359" s="409" t="s">
        <v>4757</v>
      </c>
      <c r="FD359" s="420" t="str">
        <f t="shared" si="187"/>
        <v>FLINTSL - MAGENTA</v>
      </c>
      <c r="FE359" s="409">
        <v>24</v>
      </c>
      <c r="FF359" s="411">
        <f>IF(FE359=0,0,IF($LB359=70%,VLOOKUP($FD359,'Jan-2026 rates'!$L:$R,4,0),IF($LB359=65%,VLOOKUP($FD359,'Jan-2026 rates'!$L:$R,4,0),IF($LB359=40%,VLOOKUP($FD359,'Jan-2026 rates'!$L:$R,5,0),IF($LB359=30%,VLOOKUP($FD359,'Jan-2026 rates'!$L:$R,6,0),IF($LB359=100%,VLOOKUP($FD359,'Jan-2026 rates'!$L:$R,7,0),IF($LB359=60%,VLOOKUP($FD359,'Jan-2026 rates'!$L:$S,8,0),IF($LB359=80%,VLOOKUP($FD359,'Jan-2026 rates'!L:T,9,0),0))))))))</f>
        <v>0</v>
      </c>
      <c r="FG359" s="412"/>
      <c r="FH359" s="409"/>
      <c r="FI359" s="411">
        <f>IF(FH359=0,0,IF($LB359=70%,VLOOKUP($FD359,'Jan-2026 rates'!$L:$R,4,0),IF($LB359=65%,VLOOKUP($FD359,'Jan-2026 rates'!$L:$R,4,0),IF($LB359=40%,VLOOKUP($FD359,'Jan-2026 rates'!$L:$R,5,0),IF($LB359=30%,VLOOKUP($FD359,'Jan-2026 rates'!$L:$R,6,0),IF($LB359=100%,VLOOKUP($FD359,'Jan-2026 rates'!$L:$R,7,0),IF($LB359=60%,VLOOKUP($FD359,'Jan-2026 rates'!$L:$S,8,0),IF($LB359=80%,VLOOKUP($FD359,'Jan-2026 rates'!L:T,9,0),0))))))))</f>
        <v>0</v>
      </c>
      <c r="FJ359" s="413" t="s">
        <v>1266</v>
      </c>
      <c r="FK359" s="413">
        <v>26528000002</v>
      </c>
      <c r="FL359" s="413"/>
      <c r="FM359" s="412"/>
      <c r="FN359" s="412"/>
      <c r="FO359" s="412"/>
      <c r="FP359" s="412"/>
      <c r="FQ359" s="412"/>
      <c r="FR359" s="409">
        <v>5</v>
      </c>
      <c r="FS359" s="398">
        <f>IF(FR359=0,0,IF(LEN(FJ359)=11,_xlfn.XLOOKUP(FJ359,'Dispensed Ink Rates'!C:C,'Dispensed Ink Rates'!CS:CS),VLOOKUP(FJ359,'Jan-2026 rates'!$E:$F,2,0)))</f>
        <v>0</v>
      </c>
      <c r="FT359" s="409">
        <v>3</v>
      </c>
      <c r="FU359" s="398" t="e">
        <f>IF(FT359=0,0,IF(LEN(FK359)=11,_xlfn.XLOOKUP(FK359,'Dispensed Ink Rates'!C:C,'Dispensed Ink Rates'!CS:CS),VLOOKUP(FK359,'Jan-2026 rates'!$E:$F,2,0)))</f>
        <v>#N/A</v>
      </c>
      <c r="FV359" s="409"/>
      <c r="FW359" s="398">
        <f>IF(FV359=0,0,IF(LEN(FL359)=11,_xlfn.XLOOKUP(FL359,'Dispensed Ink Rates'!C:C,'Dispensed Ink Rates'!CS:CS),VLOOKUP(FL359,'Jan-2026 rates'!$E:$F,2,0)))</f>
        <v>0</v>
      </c>
      <c r="FX359" s="409"/>
      <c r="FY359" s="398">
        <f>IF(FX359=0,0,IF(LEN(FM359)=11,_xlfn.XLOOKUP(FM359,'Dispensed Ink Rates'!C:C,'Dispensed Ink Rates'!CS:CS),VLOOKUP(FM359,'Jan-2026 rates'!$E:$F,2,0)))</f>
        <v>0</v>
      </c>
      <c r="FZ359" s="409"/>
      <c r="GA359" s="398">
        <f>IF(FZ359=0,0,IF(LEN(FN359)=11,_xlfn.XLOOKUP(FN359,'Dispensed Ink Rates'!C:C,'Dispensed Ink Rates'!CS:CS),VLOOKUP(FN359,'Jan-2026 rates'!$E:$F,2,0)))</f>
        <v>0</v>
      </c>
      <c r="GB359" s="409"/>
      <c r="GC359" s="398">
        <f>IF(GB359=0,0,IF(LEN(FO359)=11,_xlfn.XLOOKUP(FO359,'Dispensed Ink Rates'!C:C,'Dispensed Ink Rates'!CS:CS),VLOOKUP(FO359,'Jan-2026 rates'!$E:$F,2,0)))</f>
        <v>0</v>
      </c>
      <c r="GD359" s="409"/>
      <c r="GE359" s="398">
        <f>IF(GD359=0,0,IF(LEN(FP359)=11,_xlfn.XLOOKUP(FP359,'Dispensed Ink Rates'!C:C,'Dispensed Ink Rates'!CS:CS),VLOOKUP(FP359,'Jan-2026 rates'!$E:$F,2,0)))</f>
        <v>0</v>
      </c>
      <c r="GF359" s="409"/>
      <c r="GG359" s="398">
        <f>IF(GF359=0,0,IF(LEN(FQ359)=11,_xlfn.XLOOKUP(FQ359,'Dispensed Ink Rates'!C:C,'Dispensed Ink Rates'!CS:CS),VLOOKUP(FQ359,'Jan-2026 rates'!$E:$F,2,0)))</f>
        <v>0</v>
      </c>
      <c r="GH359" s="409" t="s">
        <v>1443</v>
      </c>
      <c r="GI359" s="409">
        <v>22</v>
      </c>
      <c r="GJ359" s="411">
        <f t="shared" si="224"/>
        <v>0</v>
      </c>
      <c r="GK359" s="411">
        <f t="shared" si="225"/>
        <v>21.482758620689651</v>
      </c>
      <c r="GL359" s="410">
        <f t="shared" si="226"/>
        <v>0</v>
      </c>
      <c r="GM359" s="405" t="s">
        <v>545</v>
      </c>
      <c r="GN359" s="409" t="s">
        <v>4758</v>
      </c>
      <c r="GO359" s="420" t="str">
        <f t="shared" si="188"/>
        <v>FLINTSL - YELLOW</v>
      </c>
      <c r="GP359" s="409">
        <v>23</v>
      </c>
      <c r="GQ359" s="411">
        <f>IF(GP359=0,0,IF($LB359=70%,VLOOKUP($GO359,'Jan-2026 rates'!$L:$R,4,0),IF($LB359=65%,VLOOKUP($GO359,'Jan-2026 rates'!$L:$R,4,0),IF($LB359=40%,VLOOKUP($GO359,'Jan-2026 rates'!$L:$R,5,0),IF($LB359=30%,VLOOKUP($GO359,'Jan-2026 rates'!$L:$R,6,0),IF($LB359=100%,VLOOKUP($GO359,'Jan-2026 rates'!$L:$R,7,0),IF($LB359=60%,VLOOKUP($GO359,'Jan-2026 rates'!$L:$S,8,0),IF($LB359=80%,VLOOKUP($GO359,'Jan-2026 rates'!L:T,9,0),0))))))))</f>
        <v>0</v>
      </c>
      <c r="GR359" s="412"/>
      <c r="GS359" s="409"/>
      <c r="GT359" s="411">
        <f>IF(GS359=0,0,IF($LB359=70%,VLOOKUP($GO359,'Jan-2026 rates'!$L:$R,4,0),IF($LB359=65%,VLOOKUP($GO359,'Jan-2026 rates'!$L:$R,4,0),IF($LB359=40%,VLOOKUP($GO359,'Jan-2026 rates'!$L:$R,5,0),IF($LB359=30%,VLOOKUP($GO359,'Jan-2026 rates'!$L:$R,6,0),IF($LB359=100%,VLOOKUP($GO359,'Jan-2026 rates'!$L:$R,7,0),IF($LB359=60%,VLOOKUP($GO359,'Jan-2026 rates'!$L:$S,8,0),IF($LB359=80%,VLOOKUP($GO359,'Jan-2026 rates'!L:T,9,0),0))))))))</f>
        <v>0</v>
      </c>
      <c r="GU359" s="413" t="s">
        <v>1266</v>
      </c>
      <c r="GV359" s="413">
        <v>26527000011</v>
      </c>
      <c r="GW359" s="412"/>
      <c r="GX359" s="412"/>
      <c r="GY359" s="412"/>
      <c r="GZ359" s="412"/>
      <c r="HA359" s="412"/>
      <c r="HB359" s="412"/>
      <c r="HC359" s="409">
        <v>10</v>
      </c>
      <c r="HD359" s="398">
        <f>IF(HC359=0,0,IF(LEN(GU359)=11,_xlfn.XLOOKUP(GU359,'Dispensed Ink Rates'!C:C,'Dispensed Ink Rates'!CS:CS),VLOOKUP(GU359,'Jan-2026 rates'!$E:$F,2,0)))</f>
        <v>0</v>
      </c>
      <c r="HE359" s="409">
        <v>5</v>
      </c>
      <c r="HF359" s="398" t="e">
        <f>IF(HE359=0,0,IF(LEN(GV359)=11,_xlfn.XLOOKUP(GV359,'Dispensed Ink Rates'!C:C,'Dispensed Ink Rates'!CS:CS),VLOOKUP(GV359,'Jan-2026 rates'!$E:$F,2,0)))</f>
        <v>#N/A</v>
      </c>
      <c r="HG359" s="409"/>
      <c r="HH359" s="398">
        <f>IF(HG359=0,0,IF(LEN(GW359)=11,_xlfn.XLOOKUP(GW359,'Dispensed Ink Rates'!C:C,'Dispensed Ink Rates'!CS:CS),VLOOKUP(GW359,'Jan-2026 rates'!$E:$F,2,0)))</f>
        <v>0</v>
      </c>
      <c r="HI359" s="409"/>
      <c r="HJ359" s="398">
        <f>IF(HI359=0,0,IF(LEN(GX359)=11,_xlfn.XLOOKUP(GX359,'Dispensed Ink Rates'!C:C,'Dispensed Ink Rates'!CS:CS),VLOOKUP(GX359,'Jan-2026 rates'!$E:$F,2,0)))</f>
        <v>0</v>
      </c>
      <c r="HK359" s="409"/>
      <c r="HL359" s="398">
        <f>IF(HK359=0,0,IF(LEN(GY359)=11,_xlfn.XLOOKUP(GY359,'Dispensed Ink Rates'!C:C,'Dispensed Ink Rates'!CS:CS),VLOOKUP(GY359,'Jan-2026 rates'!$E:$F,2,0)))</f>
        <v>0</v>
      </c>
      <c r="HM359" s="409"/>
      <c r="HN359" s="398">
        <f>IF(HM359=0,0,IF(LEN(GZ359)=11,_xlfn.XLOOKUP(GZ359,'Dispensed Ink Rates'!C:C,'Dispensed Ink Rates'!CS:CS),VLOOKUP(GZ359,'Jan-2026 rates'!$E:$F,2,0)))</f>
        <v>0</v>
      </c>
      <c r="HO359" s="409"/>
      <c r="HP359" s="398">
        <f>IF(HO359=0,0,IF(LEN(HA359)=11,_xlfn.XLOOKUP(HA359,'Dispensed Ink Rates'!C:C,'Dispensed Ink Rates'!CS:CS),VLOOKUP(HA359,'Jan-2026 rates'!$E:$F,2,0)))</f>
        <v>0</v>
      </c>
      <c r="HQ359" s="409"/>
      <c r="HR359" s="398">
        <f>IF(HQ359=0,0,IF(LEN(HB359)=11,_xlfn.XLOOKUP(HB359,'Dispensed Ink Rates'!C:C,'Dispensed Ink Rates'!CS:CS),VLOOKUP(HB359,'Jan-2026 rates'!$E:$F,2,0)))</f>
        <v>0</v>
      </c>
      <c r="HS359" s="409" t="s">
        <v>1443</v>
      </c>
      <c r="HT359" s="409">
        <v>21</v>
      </c>
      <c r="HU359" s="411">
        <f t="shared" si="227"/>
        <v>0</v>
      </c>
      <c r="HV359" s="411">
        <f t="shared" si="228"/>
        <v>44.558620689655172</v>
      </c>
      <c r="HW359" s="414">
        <f t="shared" si="229"/>
        <v>0</v>
      </c>
      <c r="HX359" s="405" t="s">
        <v>545</v>
      </c>
      <c r="HY359" s="409"/>
      <c r="HZ359" s="420" t="str">
        <f t="shared" si="189"/>
        <v>FLINTSL - YELLOW</v>
      </c>
      <c r="IA359" s="409"/>
      <c r="IB359" s="411">
        <f>IF(IA359=0,0,IF($LB359=70%,VLOOKUP($HZ359,'Jan-2026 rates'!$L:$R,4,0),IF($LB359=65%,VLOOKUP($HZ359,'Jan-2026 rates'!$L:$R,4,0),IF($LB359=40%,VLOOKUP($HZ359,'Jan-2026 rates'!$L:$R,5,0),IF($LB359=30%,VLOOKUP($HZ359,'Jan-2026 rates'!$L:$R,6,0),IF($LB359=100%,VLOOKUP($HZ359,'Jan-2026 rates'!$L:$R,7,0),IF($LB359=60%,VLOOKUP($HZ359,'Jan-2026 rates'!$L:$S,8,0),IF($LB359=80%,VLOOKUP($HZ359,'Jan-2026 rates'!L:T,9,0),0))))))))</f>
        <v>0</v>
      </c>
      <c r="IC359" s="412"/>
      <c r="ID359" s="409"/>
      <c r="IE359" s="411">
        <f>IF(ID359=0,0,IF($LB359=70%,VLOOKUP($HZ359,'Jan-2026 rates'!$L:$R,4,0),IF($LB359=65%,VLOOKUP($HZ359,'Jan-2026 rates'!$L:$R,4,0),IF($LB359=40%,VLOOKUP($HZ359,'Jan-2026 rates'!$L:$R,5,0),IF($LB359=30%,VLOOKUP($HZ359,'Jan-2026 rates'!$L:$R,6,0),IF($LB359=100%,VLOOKUP($HZ359,'Jan-2026 rates'!$L:$R,7,0),IF($LB359=60%,VLOOKUP($HZ359,'Jan-2026 rates'!$L:$S,8,0),IF($LB359=80%,VLOOKUP($HZ359,'Jan-2026 rates'!L:T,9,0),0))))))))</f>
        <v>0</v>
      </c>
      <c r="IF359" s="412">
        <v>26526000037</v>
      </c>
      <c r="IG359" s="413">
        <v>26526000036</v>
      </c>
      <c r="IH359" s="412">
        <v>26527000003</v>
      </c>
      <c r="II359" s="412">
        <v>26527000018</v>
      </c>
      <c r="IJ359" s="412">
        <v>26525000003</v>
      </c>
      <c r="IK359" s="412"/>
      <c r="IL359" s="412"/>
      <c r="IM359" s="412"/>
      <c r="IN359" s="409">
        <v>100</v>
      </c>
      <c r="IO359" s="398" t="e">
        <f>IF(IN359=0,0,IF(LEN(IF359)=11,_xlfn.XLOOKUP(IF359,'Dispensed Ink Rates'!C:C,'Dispensed Ink Rates'!CS:CS),VLOOKUP(IF359,'Jan-2026 rates'!$E:$F,2,0)))</f>
        <v>#N/A</v>
      </c>
      <c r="IP359" s="409">
        <v>40</v>
      </c>
      <c r="IQ359" s="398" t="e">
        <f>IF(IP359=0,0,IF(LEN(IG359)=11,_xlfn.XLOOKUP(IG359,'Dispensed Ink Rates'!C:C,'Dispensed Ink Rates'!CS:CS),VLOOKUP(IG359,'Jan-2026 rates'!$E:$F,2,0)))</f>
        <v>#N/A</v>
      </c>
      <c r="IR359" s="409">
        <v>10</v>
      </c>
      <c r="IS359" s="398" t="e">
        <f>IF(IR359=0,0,IF(LEN(IH359)=11,_xlfn.XLOOKUP(IH359,'Dispensed Ink Rates'!C:C,'Dispensed Ink Rates'!CS:CS),VLOOKUP(IH359,'Jan-2026 rates'!$E:$F,2,0)))</f>
        <v>#N/A</v>
      </c>
      <c r="IT359" s="409">
        <v>5</v>
      </c>
      <c r="IU359" s="398" t="e">
        <f>IF(IT359=0,0,IF(LEN(II359)=11,_xlfn.XLOOKUP(II359,'Dispensed Ink Rates'!C:C,'Dispensed Ink Rates'!CS:CS),VLOOKUP(II359,'Jan-2026 rates'!$E:$F,2,0)))</f>
        <v>#N/A</v>
      </c>
      <c r="IV359" s="409">
        <v>0.4</v>
      </c>
      <c r="IW359" s="398" t="e">
        <f>IF(IV359=0,0,IF(LEN(IJ359)=11,_xlfn.XLOOKUP(IJ359,'Dispensed Ink Rates'!C:C,'Dispensed Ink Rates'!CS:CS),VLOOKUP(IJ359,'Jan-2026 rates'!$E:$F,2,0)))</f>
        <v>#N/A</v>
      </c>
      <c r="IX359" s="409"/>
      <c r="IY359" s="398">
        <f>IF(IX359=0,0,IF(LEN(IK359)=11,_xlfn.XLOOKUP(IK359,'Dispensed Ink Rates'!C:C,'Dispensed Ink Rates'!CS:CS),VLOOKUP(IK359,'Jan-2026 rates'!$E:$F,2,0)))</f>
        <v>0</v>
      </c>
      <c r="IZ359" s="409"/>
      <c r="JA359" s="398">
        <f>IF(IZ359=0,0,IF(LEN(IL359)=11,_xlfn.XLOOKUP(IL359,'Dispensed Ink Rates'!C:C,'Dispensed Ink Rates'!CS:CS),VLOOKUP(IL359,'Jan-2026 rates'!$E:$F,2,0)))</f>
        <v>0</v>
      </c>
      <c r="JB359" s="409"/>
      <c r="JC359" s="398">
        <f>IF(JB359=0,0,IF(LEN(IM359)=11,_xlfn.XLOOKUP(IM359,'Dispensed Ink Rates'!C:C,'Dispensed Ink Rates'!CS:CS),VLOOKUP(IM359,'Jan-2026 rates'!$E:$F,2,0)))</f>
        <v>0</v>
      </c>
      <c r="JD359" s="409" t="s">
        <v>1443</v>
      </c>
      <c r="JE359" s="409">
        <v>30</v>
      </c>
      <c r="JF359" s="411">
        <f t="shared" si="230"/>
        <v>0</v>
      </c>
      <c r="JG359" s="411">
        <f t="shared" si="231"/>
        <v>148.36551724137931</v>
      </c>
      <c r="JH359" s="410">
        <f t="shared" si="232"/>
        <v>0</v>
      </c>
      <c r="JI359" s="405" t="s">
        <v>856</v>
      </c>
      <c r="JJ359" s="409" t="s">
        <v>4759</v>
      </c>
      <c r="JK359" s="420" t="str">
        <f t="shared" si="190"/>
        <v>FLINTSL - WHITE</v>
      </c>
      <c r="JL359" s="409">
        <v>25</v>
      </c>
      <c r="JM359" s="411">
        <f>IF(JL359=0,0,IF($LB359=70%,VLOOKUP($JK359,'Jan-2026 rates'!$L:$R,4,0),IF($LB359=65%,VLOOKUP($JK359,'Jan-2026 rates'!$L:$R,4,0),IF($LB359=40%,VLOOKUP($JK359,'Jan-2026 rates'!$L:$R,5,0),IF($LB359=30%,VLOOKUP($JK359,'Jan-2026 rates'!$L:$R,6,0),IF($LB359=100%,VLOOKUP($JK359,'Jan-2026 rates'!$L:$R,7,0),IF($LB359=60%,VLOOKUP($JK359,'Jan-2026 rates'!$L:$S,8,0),IF($LB359=80%,VLOOKUP($JK359,'Jan-2026 rates'!L:T,9,0),0))))))))</f>
        <v>0</v>
      </c>
      <c r="JN359" s="412"/>
      <c r="JO359" s="409"/>
      <c r="JP359" s="411">
        <f>IF(JO359=0,0,IF($LB359=70%,VLOOKUP($JK359,'Jan-2026 rates'!$L:$R,4,0),IF($LB359=65%,VLOOKUP($JK359,'Jan-2026 rates'!$L:$R,4,0),IF($LB359=40%,VLOOKUP($JK359,'Jan-2026 rates'!$L:$R,5,0),IF($LB359=30%,VLOOKUP($JK359,'Jan-2026 rates'!$L:$R,6,0),IF($LB359=100%,VLOOKUP($JK359,'Jan-2026 rates'!$L:$R,7,0),IF($LB359=60%,VLOOKUP($JK359,'Jan-2026 rates'!$L:$S,8,0),IF($LB359=80%,VLOOKUP($JK359,'Jan-2026 rates'!L:T,9,0),0))))))))</f>
        <v>0</v>
      </c>
      <c r="JQ359" s="413" t="s">
        <v>484</v>
      </c>
      <c r="JR359" s="412"/>
      <c r="JS359" s="413"/>
      <c r="JT359" s="413"/>
      <c r="JU359" s="412"/>
      <c r="JV359" s="412"/>
      <c r="JW359" s="412"/>
      <c r="JX359" s="412"/>
      <c r="JY359" s="409">
        <f>100+60</f>
        <v>160</v>
      </c>
      <c r="JZ359" s="398">
        <f>IF(JY359=0,0,IF(LEN(JQ359)=11,_xlfn.XLOOKUP(JQ359,'Dispensed Ink Rates'!C:C,'Dispensed Ink Rates'!CS:CS),VLOOKUP(JQ359,'Jan-2026 rates'!$E:$F,2,0)))</f>
        <v>0</v>
      </c>
      <c r="KA359" s="409"/>
      <c r="KB359" s="398">
        <f>IF(KA359=0,0,IF(LEN(JR359)=11,_xlfn.XLOOKUP(JR359,'Dispensed Ink Rates'!C:C,'Dispensed Ink Rates'!CS:CS),VLOOKUP(JR359,'Jan-2026 rates'!$E:$F,2,0)))</f>
        <v>0</v>
      </c>
      <c r="KC359" s="409"/>
      <c r="KD359" s="398">
        <f>IF(KC359=0,0,IF(LEN(JS359)=11,_xlfn.XLOOKUP(JS359,'Dispensed Ink Rates'!C:C,'Dispensed Ink Rates'!CS:CS),VLOOKUP(JS359,'Jan-2026 rates'!$E:$F,2,0)))</f>
        <v>0</v>
      </c>
      <c r="KE359" s="409"/>
      <c r="KF359" s="398">
        <f>IF(KE359=0,0,IF(LEN(JT359)=11,_xlfn.XLOOKUP(JT359,'Dispensed Ink Rates'!C:C,'Dispensed Ink Rates'!CS:CS),VLOOKUP(JT359,'Jan-2026 rates'!$E:$F,2,0)))</f>
        <v>0</v>
      </c>
      <c r="KG359" s="409"/>
      <c r="KH359" s="398">
        <f>IF(KG359=0,0,IF(LEN(JU359)=11,_xlfn.XLOOKUP(JU359,'Dispensed Ink Rates'!C:C,'Dispensed Ink Rates'!CS:CS),VLOOKUP(JU359,'Jan-2026 rates'!$E:$F,2,0)))</f>
        <v>0</v>
      </c>
      <c r="KI359" s="409"/>
      <c r="KJ359" s="398">
        <f>IF(KI359=0,0,IF(LEN(JV359)=11,_xlfn.XLOOKUP(JV359,'Dispensed Ink Rates'!C:C,'Dispensed Ink Rates'!CS:CS),VLOOKUP(JV359,'Jan-2026 rates'!$E:$F,2,0)))</f>
        <v>0</v>
      </c>
      <c r="KK359" s="409"/>
      <c r="KL359" s="398">
        <f>IF(KK359=0,0,IF(LEN(JW359)=11,_xlfn.XLOOKUP(JW359,'Dispensed Ink Rates'!C:C,'Dispensed Ink Rates'!CS:CS),VLOOKUP(JW359,'Jan-2026 rates'!$E:$F,2,0)))</f>
        <v>0</v>
      </c>
      <c r="KM359" s="428"/>
      <c r="KN359" s="398">
        <f>IF(KM359=0,0,IF(LEN(JX359)=11,_xlfn.XLOOKUP(JX359,'Dispensed Ink Rates'!C:C,'Dispensed Ink Rates'!CS:CS),VLOOKUP(JX359,'Jan-2026 rates'!$E:$F,2,0)))</f>
        <v>0</v>
      </c>
      <c r="KO359" s="409" t="s">
        <v>1443</v>
      </c>
      <c r="KP359" s="409">
        <v>20</v>
      </c>
      <c r="KQ359" s="411">
        <f t="shared" si="233"/>
        <v>0</v>
      </c>
      <c r="KR359" s="411">
        <f t="shared" si="234"/>
        <v>394.65517241379314</v>
      </c>
      <c r="KS359" s="410">
        <f t="shared" si="235"/>
        <v>0</v>
      </c>
      <c r="KT359" s="409">
        <v>5</v>
      </c>
      <c r="KU359" s="409">
        <v>5</v>
      </c>
      <c r="KV359" s="409">
        <v>4</v>
      </c>
      <c r="KW359" s="409">
        <v>4</v>
      </c>
      <c r="KX359" s="409">
        <v>5</v>
      </c>
      <c r="KY359" s="409">
        <v>12</v>
      </c>
      <c r="KZ359" s="409">
        <v>10</v>
      </c>
      <c r="LA359" s="409">
        <f>60+40</f>
        <v>100</v>
      </c>
      <c r="LB359" s="415">
        <v>0.8</v>
      </c>
      <c r="LC359" s="415">
        <v>0.2</v>
      </c>
      <c r="LD359" s="424"/>
      <c r="LE359" s="415"/>
      <c r="LF359" s="415"/>
      <c r="LG359" s="409">
        <v>0</v>
      </c>
      <c r="LH359" s="409">
        <f>100+80+112+28+8+5</f>
        <v>333</v>
      </c>
      <c r="LI359" s="409">
        <v>0</v>
      </c>
      <c r="LJ359" s="409">
        <v>0</v>
      </c>
      <c r="LK359" s="416">
        <f t="shared" si="191"/>
        <v>333</v>
      </c>
      <c r="LL359" s="416">
        <f t="shared" si="237"/>
        <v>333</v>
      </c>
      <c r="LM359" s="417">
        <f t="shared" si="193"/>
        <v>266.40000000000003</v>
      </c>
      <c r="LN359" s="417">
        <f>VLOOKUP($LM$8,'Jan-2026 rates'!$H:$I,2,0)</f>
        <v>0</v>
      </c>
      <c r="LO359" s="417">
        <f t="shared" si="194"/>
        <v>66.600000000000009</v>
      </c>
      <c r="LP359" s="417">
        <f>VLOOKUP($LO$8,'Jan-2026 rates'!$H:$I,2,0)</f>
        <v>0</v>
      </c>
      <c r="LQ359" s="417">
        <f t="shared" si="195"/>
        <v>0</v>
      </c>
      <c r="LR359" s="417">
        <f>VLOOKUP($LQ$8,'Jan-2026 rates'!$H:$I,2,0)</f>
        <v>0</v>
      </c>
      <c r="LS359" s="417">
        <f t="shared" si="196"/>
        <v>0</v>
      </c>
      <c r="LT359" s="417">
        <f>VLOOKUP($LS$8,'Jan-2026 rates'!$H:$I,2,0)</f>
        <v>0</v>
      </c>
      <c r="LU359" s="417">
        <f t="shared" si="197"/>
        <v>0</v>
      </c>
      <c r="LV359" s="417">
        <f>VLOOKUP($LU$8,'Jan-2026 rates'!$H:$I,2,0)</f>
        <v>0</v>
      </c>
      <c r="LW359" s="417">
        <f t="shared" si="198"/>
        <v>0</v>
      </c>
      <c r="LX359" s="417">
        <f t="shared" si="199"/>
        <v>0</v>
      </c>
      <c r="LY359" s="418">
        <f t="shared" si="200"/>
        <v>0</v>
      </c>
      <c r="LZ359" s="417"/>
      <c r="MA359" s="435">
        <f t="shared" si="201"/>
        <v>353.4</v>
      </c>
      <c r="MB359" s="282">
        <f t="shared" si="202"/>
        <v>667.40000000000009</v>
      </c>
      <c r="MC359" s="283">
        <v>201</v>
      </c>
      <c r="MD359" s="284" t="str">
        <f t="shared" si="203"/>
        <v>FLINTSLFLINTSLFLINTSLFLINTSLFLINTSLFLINTSLFLINTSLFLINTSL</v>
      </c>
      <c r="ME359" s="293" t="str">
        <f t="shared" si="204"/>
        <v>+</v>
      </c>
      <c r="MF359" s="293" t="str">
        <f t="shared" si="205"/>
        <v>+</v>
      </c>
      <c r="MG359" s="293" t="str">
        <f t="shared" si="206"/>
        <v>+</v>
      </c>
      <c r="MH359" s="293" t="str">
        <f t="shared" si="207"/>
        <v>+</v>
      </c>
      <c r="MI359" s="293" t="str">
        <f t="shared" si="208"/>
        <v>+</v>
      </c>
      <c r="MJ359" s="293" t="str">
        <f t="shared" si="209"/>
        <v>+</v>
      </c>
      <c r="MK359" s="293" t="str">
        <f t="shared" si="210"/>
        <v>+</v>
      </c>
      <c r="ML359" s="293" t="str">
        <f t="shared" si="211"/>
        <v>+</v>
      </c>
      <c r="MM359" s="3" t="b">
        <f t="array" ref="MM359">OR(ME359:ML359="-")</f>
        <v>0</v>
      </c>
      <c r="MO359" s="401">
        <f t="shared" si="238"/>
        <v>70.252631578947373</v>
      </c>
      <c r="MP359" s="286"/>
      <c r="MR359" s="402">
        <f t="shared" si="239"/>
        <v>1.5133786848072565E-2</v>
      </c>
      <c r="MS359" s="400">
        <f t="shared" si="240"/>
        <v>0</v>
      </c>
      <c r="MT359" s="285"/>
      <c r="NH359" s="361"/>
      <c r="NJ359" s="282"/>
    </row>
    <row r="360" spans="1:374" ht="16.5">
      <c r="A360" s="403">
        <v>46048</v>
      </c>
      <c r="B360" s="404" t="s">
        <v>1018</v>
      </c>
      <c r="C360" s="405" t="s">
        <v>4760</v>
      </c>
      <c r="D360" s="404">
        <v>202</v>
      </c>
      <c r="E360" s="404">
        <v>752</v>
      </c>
      <c r="F360" s="407">
        <v>25800</v>
      </c>
      <c r="G360" s="407" t="s">
        <v>1019</v>
      </c>
      <c r="H360" s="408" t="s">
        <v>1017</v>
      </c>
      <c r="I360" s="409">
        <v>1.26</v>
      </c>
      <c r="J360" s="405" t="s">
        <v>543</v>
      </c>
      <c r="K360" s="404" t="s">
        <v>4761</v>
      </c>
      <c r="L360" s="419" t="str">
        <f t="shared" si="184"/>
        <v>FLINTSL - BLACK</v>
      </c>
      <c r="M360" s="404">
        <v>22</v>
      </c>
      <c r="N360" s="410">
        <f>IF(M360=0,0,IF($LB360=70%,VLOOKUP($L360,'Jan-2026 rates'!$L:$R,4,0),IF($LB360=65%,VLOOKUP($L360,'Jan-2026 rates'!$L:$R,4,0),IF($LB360=40%,VLOOKUP($L360,'Jan-2026 rates'!$L:$R,5,0),IF($LB360=30%,VLOOKUP($L360,'Jan-2026 rates'!$L:$R,6,0),IF($LB360=100%,VLOOKUP($L360,'Jan-2026 rates'!$L:$R,7,0),IF($LB360=60%,VLOOKUP($L360,'Jan-2026 rates'!$L:$S,8,0),IF($LB360=80%,VLOOKUP($L360,'Jan-2026 rates'!L:T,9,0),0))))))))</f>
        <v>0</v>
      </c>
      <c r="O360" s="406"/>
      <c r="P360" s="404"/>
      <c r="Q360" s="410">
        <f>IF(P360=0,0,IF($LB360=70%,VLOOKUP($L360,'Jan-2026 rates'!$L:$R,4,0),IF($LB360=65%,VLOOKUP($L360,'Jan-2026 rates'!$L:$R,4,0),IF($LB360=40%,VLOOKUP($L360,'Jan-2026 rates'!$L:$R,5,0),IF($LB360=30%,VLOOKUP($L360,'Jan-2026 rates'!$L:$R,6,0),IF($LB360=100%,VLOOKUP($L360,'Jan-2026 rates'!$L:$R,7,0),IF($LB360=60%,VLOOKUP($L360,'Jan-2026 rates'!$L:$S,8,0),IF($LB360=80%,VLOOKUP($L360,'Jan-2026 rates'!L:T,9,0),0))))))))</f>
        <v>0</v>
      </c>
      <c r="R360" s="406">
        <v>26527000015</v>
      </c>
      <c r="S360" s="406"/>
      <c r="T360" s="406"/>
      <c r="U360" s="406"/>
      <c r="V360" s="406"/>
      <c r="W360" s="406"/>
      <c r="X360" s="406"/>
      <c r="Y360" s="406"/>
      <c r="Z360" s="404">
        <v>5</v>
      </c>
      <c r="AA360" s="398" t="e">
        <f>IF(Z360=0,0,IF(LEN(R360)=11,_xlfn.XLOOKUP(R360,'Dispensed Ink Rates'!C:C,'Dispensed Ink Rates'!CS:CS),VLOOKUP(R360,'Jan-2026 rates'!$E:$F,2,0)))</f>
        <v>#N/A</v>
      </c>
      <c r="AB360" s="404"/>
      <c r="AC360" s="398">
        <f>IF(AB360=0,0,IF(LEN(S360)=11,_xlfn.XLOOKUP(S360,'Dispensed Ink Rates'!C:C,'Dispensed Ink Rates'!CS:CS),VLOOKUP(S360,'Jan-2026 rates'!$E:$F,2,0)))</f>
        <v>0</v>
      </c>
      <c r="AD360" s="404"/>
      <c r="AE360" s="398">
        <f>IF(AD360=0,0,IF(LEN(T360)=11,_xlfn.XLOOKUP(T360,'Dispensed Ink Rates'!C:C,'Dispensed Ink Rates'!CS:CS),VLOOKUP(T360,'Jan-2026 rates'!$E:$F,2,0)))</f>
        <v>0</v>
      </c>
      <c r="AF360" s="404"/>
      <c r="AG360" s="398">
        <f>IF(AF360=0,0,IF(LEN(U360)=11,_xlfn.XLOOKUP(U360,'Dispensed Ink Rates'!C:C,'Dispensed Ink Rates'!CS:CS),VLOOKUP(U360,'Jan-2026 rates'!$E:$F,2,0)))</f>
        <v>0</v>
      </c>
      <c r="AH360" s="404"/>
      <c r="AI360" s="398">
        <f>IF(AH360=0,0,IF(LEN(V360)=11,_xlfn.XLOOKUP(V360,'Dispensed Ink Rates'!C:C,'Dispensed Ink Rates'!CS:CS),VLOOKUP(V360,'Jan-2026 rates'!$E:$F,2,0)))</f>
        <v>0</v>
      </c>
      <c r="AJ360" s="404"/>
      <c r="AK360" s="398">
        <f>IF(AJ360=0,0,IF(LEN(W360)=11,_xlfn.XLOOKUP(W360,'Dispensed Ink Rates'!C:C,'Dispensed Ink Rates'!CS:CS),VLOOKUP(W360,'Jan-2026 rates'!$E:$F,2,0)))</f>
        <v>0</v>
      </c>
      <c r="AL360" s="404"/>
      <c r="AM360" s="398">
        <f>IF(AL360=0,0,IF(LEN(X360)=11,_xlfn.XLOOKUP(X360,'Dispensed Ink Rates'!C:C,'Dispensed Ink Rates'!CS:CS),VLOOKUP(X360,'Jan-2026 rates'!$E:$F,2,0)))</f>
        <v>0</v>
      </c>
      <c r="AN360" s="404"/>
      <c r="AO360" s="398">
        <f>IF(AN360=0,0,IF(LEN(Y360)=11,_xlfn.XLOOKUP(Y360,'Dispensed Ink Rates'!C:C,'Dispensed Ink Rates'!CS:CS),VLOOKUP(Y360,'Jan-2026 rates'!$E:$F,2,0)))</f>
        <v>0</v>
      </c>
      <c r="AP360" s="409" t="s">
        <v>1443</v>
      </c>
      <c r="AQ360" s="409">
        <v>26</v>
      </c>
      <c r="AR360" s="410">
        <f t="shared" si="212"/>
        <v>0</v>
      </c>
      <c r="AS360" s="411">
        <f t="shared" si="213"/>
        <v>5.9450549450549453</v>
      </c>
      <c r="AT360" s="410">
        <f t="shared" si="214"/>
        <v>0</v>
      </c>
      <c r="AU360" s="405" t="s">
        <v>546</v>
      </c>
      <c r="AV360" s="409" t="s">
        <v>4315</v>
      </c>
      <c r="AW360" s="420" t="str">
        <f t="shared" ref="AW360:AW403" si="348">CONCATENATE(CA360," - ",AU360)</f>
        <v>FLINTSL - REFLEX BLUE</v>
      </c>
      <c r="AX360" s="409">
        <v>16</v>
      </c>
      <c r="AY360" s="411">
        <f>IF(AX360=0,0,IF($LB360=70%,VLOOKUP($AW360,'Jan-2026 rates'!$L:$R,4,0),IF($LB360=65%,VLOOKUP($AW360,'Jan-2026 rates'!$L:$R,4,0),IF($LB360=40%,VLOOKUP($AW360,'Jan-2026 rates'!$L:$R,5,0),IF($LB360=30%,VLOOKUP($AW360,'Jan-2026 rates'!$L:$R,6,0),IF($LB360=100%,VLOOKUP($AW360,'Jan-2026 rates'!$L:$R,7,0),IF($LB360=60%,VLOOKUP($AW360,'Jan-2026 rates'!$L:$S,8,0),IF($LB360=80%,VLOOKUP($AW360,'Jan-2026 rates'!L:T,9,0),0))))))))</f>
        <v>0</v>
      </c>
      <c r="AZ360" s="412"/>
      <c r="BA360" s="409"/>
      <c r="BB360" s="411">
        <f>IF(BA360=0,0,IF($LB360=70%,VLOOKUP($AW360,'Jan-2026 rates'!$L:$R,4,0),IF($LB360=65%,VLOOKUP($AW360,'Jan-2026 rates'!$L:$R,4,0),IF($LB360=40%,VLOOKUP($AW360,'Jan-2026 rates'!$L:$R,5,0),IF($LB360=30%,VLOOKUP($AW360,'Jan-2026 rates'!$L:$R,6,0),IF($LB360=100%,VLOOKUP($AW360,'Jan-2026 rates'!$L:$R,7,0),IF($LB360=60%,VLOOKUP($AW360,'Jan-2026 rates'!$L:$S,8,0),IF($LB360=80%,VLOOKUP($AW360,'Jan-2026 rates'!L:T,9,0),0))))))))</f>
        <v>0</v>
      </c>
      <c r="BC360" s="413">
        <v>26524000018</v>
      </c>
      <c r="BD360" s="412">
        <v>26526000026</v>
      </c>
      <c r="BE360" s="412"/>
      <c r="BF360" s="413"/>
      <c r="BG360" s="412"/>
      <c r="BH360" s="412"/>
      <c r="BI360" s="412"/>
      <c r="BJ360" s="412"/>
      <c r="BK360" s="409">
        <v>5</v>
      </c>
      <c r="BL360" s="398" t="e">
        <f>IF(BK360=0,0,IF(LEN(BC360)=11,_xlfn.XLOOKUP(BC360,'Dispensed Ink Rates'!C:C,'Dispensed Ink Rates'!CS:CS),VLOOKUP(BC360,'Jan-2026 rates'!$E:$F,2,0)))</f>
        <v>#N/A</v>
      </c>
      <c r="BM360" s="409">
        <v>2</v>
      </c>
      <c r="BN360" s="398" t="e">
        <f>IF(BM360=0,0,IF(LEN(BD360)=11,_xlfn.XLOOKUP(BD360,'Dispensed Ink Rates'!C:C,'Dispensed Ink Rates'!CS:CS),VLOOKUP(BD360,'Jan-2026 rates'!$E:$F,2,0)))</f>
        <v>#N/A</v>
      </c>
      <c r="BO360" s="409"/>
      <c r="BP360" s="398">
        <f>IF(BO360=0,0,IF(LEN(BE360)=11,_xlfn.XLOOKUP(BE360,'Dispensed Ink Rates'!C:C,'Dispensed Ink Rates'!CS:CS),VLOOKUP(BE360,'Jan-2026 rates'!$E:$F,2,0)))</f>
        <v>0</v>
      </c>
      <c r="BQ360" s="409"/>
      <c r="BR360" s="398">
        <f>IF(BQ360=0,0,IF(LEN(BF360)=11,_xlfn.XLOOKUP(BF360,'Dispensed Ink Rates'!C:C,'Dispensed Ink Rates'!CS:CS),VLOOKUP(BF360,'Jan-2026 rates'!$E:$F,2,0)))</f>
        <v>0</v>
      </c>
      <c r="BS360" s="409"/>
      <c r="BT360" s="398">
        <f>IF(BS360=0,0,IF(LEN(BG360)=11,_xlfn.XLOOKUP(BG360,'Dispensed Ink Rates'!C:C,'Dispensed Ink Rates'!CS:CS),VLOOKUP(BG360,'Jan-2026 rates'!$E:$F,2,0)))</f>
        <v>0</v>
      </c>
      <c r="BU360" s="409"/>
      <c r="BV360" s="398">
        <f>IF(BU360=0,0,IF(LEN(BH360)=11,_xlfn.XLOOKUP(BH360,'Dispensed Ink Rates'!C:C,'Dispensed Ink Rates'!CS:CS),VLOOKUP(BH360,'Jan-2026 rates'!$E:$F,2,0)))</f>
        <v>0</v>
      </c>
      <c r="BW360" s="409"/>
      <c r="BX360" s="398">
        <f>IF(BW360=0,0,IF(LEN(BI360)=11,_xlfn.XLOOKUP(BI360,'Dispensed Ink Rates'!C:C,'Dispensed Ink Rates'!CS:CS),VLOOKUP(BI360,'Jan-2026 rates'!$E:$F,2,0)))</f>
        <v>0</v>
      </c>
      <c r="BY360" s="409"/>
      <c r="BZ360" s="398">
        <f>IF(BY360=0,0,IF(LEN(BJ360)=11,_xlfn.XLOOKUP(BJ360,'Dispensed Ink Rates'!C:C,'Dispensed Ink Rates'!CS:CS),VLOOKUP(BJ360,'Jan-2026 rates'!$E:$F,2,0)))</f>
        <v>0</v>
      </c>
      <c r="CA360" s="409" t="s">
        <v>1443</v>
      </c>
      <c r="CB360" s="409">
        <v>23</v>
      </c>
      <c r="CC360" s="411">
        <f t="shared" si="215"/>
        <v>0</v>
      </c>
      <c r="CD360" s="411">
        <f t="shared" si="216"/>
        <v>11.53846153846154</v>
      </c>
      <c r="CE360" s="410">
        <f t="shared" si="217"/>
        <v>0</v>
      </c>
      <c r="CF360" s="404" t="s">
        <v>546</v>
      </c>
      <c r="CG360" s="409"/>
      <c r="CH360" s="420" t="str">
        <f t="shared" si="185"/>
        <v>FLINTSL - REFLEX BLUE</v>
      </c>
      <c r="CI360" s="409"/>
      <c r="CJ360" s="411">
        <f>IF(CI360=0,0,IF($LB360=70%,VLOOKUP($CH360,'Jan-2026 rates'!$L:$R,4,0),IF($LB360=65%,VLOOKUP($CH360,'Jan-2026 rates'!$L:$R,4,0),IF($LB360=40%,VLOOKUP($CH360,'Jan-2026 rates'!$L:$R,5,0),IF($LB360=30%,VLOOKUP($CH360,'Jan-2026 rates'!$L:$R,6,0),IF($LB360=100%,VLOOKUP($CH360,'Jan-2026 rates'!$L:$R,7,0),IF($LB360=60%,VLOOKUP($CH360,'Jan-2026 rates'!$L:$S,8,0),IF($LB360=80%,VLOOKUP($CH360,'Jan-2026 rates'!L:T,9,0),0))))))))</f>
        <v>0</v>
      </c>
      <c r="CK360" s="412"/>
      <c r="CL360" s="409"/>
      <c r="CM360" s="411">
        <f>IF(CL360=0,0,IF($LB360=70%,VLOOKUP($CH360,'Jan-2026 rates'!$L:$R,4,0),IF($LB360=65%,VLOOKUP($CH360,'Jan-2026 rates'!$L:$R,4,0),IF($LB360=40%,VLOOKUP($CH360,'Jan-2026 rates'!$L:$R,5,0),IF($LB360=30%,VLOOKUP($CH360,'Jan-2026 rates'!$L:$R,6,0),IF($LB360=100%,VLOOKUP($CH360,'Jan-2026 rates'!$L:$R,7,0),IF($LB360=60%,VLOOKUP($CH360,'Jan-2026 rates'!$L:$S,8,0),IF($LB360=80%,VLOOKUP($CH360,'Jan-2026 rates'!L:T,9,0),0))))))))</f>
        <v>0</v>
      </c>
      <c r="CN360" s="426">
        <v>26527000004</v>
      </c>
      <c r="CO360" s="427">
        <v>26527000006</v>
      </c>
      <c r="CP360" s="426" t="s">
        <v>1266</v>
      </c>
      <c r="CQ360" s="426"/>
      <c r="CR360" s="428"/>
      <c r="CS360" s="428"/>
      <c r="CT360" s="428"/>
      <c r="CU360" s="428"/>
      <c r="CV360" s="409">
        <v>40</v>
      </c>
      <c r="CW360" s="398" t="e">
        <f>IF(CV360=0,0,IF(LEN(CN360)=11,_xlfn.XLOOKUP(CN360,'Dispensed Ink Rates'!C:C,'Dispensed Ink Rates'!CS:CS),VLOOKUP(CN360,'Jan-2026 rates'!$E:$F,2,0)))</f>
        <v>#N/A</v>
      </c>
      <c r="CX360" s="409">
        <v>10</v>
      </c>
      <c r="CY360" s="398" t="e">
        <f>IF(CX360=0,0,IF(LEN(CO360)=11,_xlfn.XLOOKUP(CO360,'Dispensed Ink Rates'!C:C,'Dispensed Ink Rates'!CS:CS),VLOOKUP(CO360,'Jan-2026 rates'!$E:$F,2,0)))</f>
        <v>#N/A</v>
      </c>
      <c r="CZ360" s="409">
        <v>10</v>
      </c>
      <c r="DA360" s="398">
        <f>IF(CZ360=0,0,IF(LEN(CP360)=11,_xlfn.XLOOKUP(CP360,'Dispensed Ink Rates'!C:C,'Dispensed Ink Rates'!CS:CS),VLOOKUP(CP360,'Jan-2026 rates'!$E:$F,2,0)))</f>
        <v>0</v>
      </c>
      <c r="DB360" s="409"/>
      <c r="DC360" s="398">
        <f>IF(DB360=0,0,IF(LEN(CQ360)=11,_xlfn.XLOOKUP(CQ360,'Dispensed Ink Rates'!C:C,'Dispensed Ink Rates'!CS:CS),VLOOKUP(CQ360,'Jan-2026 rates'!$E:$F,2,0)))</f>
        <v>0</v>
      </c>
      <c r="DD360" s="409"/>
      <c r="DE360" s="398">
        <f>IF(DD360=0,0,IF(LEN(CR360)=11,_xlfn.XLOOKUP(CR360,'Dispensed Ink Rates'!C:C,'Dispensed Ink Rates'!CS:CS),VLOOKUP(CR360,'Jan-2026 rates'!$E:$F,2,0)))</f>
        <v>0</v>
      </c>
      <c r="DF360" s="409"/>
      <c r="DG360" s="398">
        <f>IF(DF360=0,0,IF(LEN(CS360)=11,_xlfn.XLOOKUP(CS360,'Dispensed Ink Rates'!C:C,'Dispensed Ink Rates'!CS:CS),VLOOKUP(CS360,'Jan-2026 rates'!$E:$F,2,0)))</f>
        <v>0</v>
      </c>
      <c r="DH360" s="409"/>
      <c r="DI360" s="398">
        <f>IF(DH360=0,0,IF(LEN(CT360)=11,_xlfn.XLOOKUP(CT360,'Dispensed Ink Rates'!C:C,'Dispensed Ink Rates'!CS:CS),VLOOKUP(CT360,'Jan-2026 rates'!$E:$F,2,0)))</f>
        <v>0</v>
      </c>
      <c r="DJ360" s="409"/>
      <c r="DK360" s="398">
        <f>IF(DJ360=0,0,IF(LEN(CU360)=11,_xlfn.XLOOKUP(CU360,'Dispensed Ink Rates'!C:C,'Dispensed Ink Rates'!CS:CS),VLOOKUP(CU360,'Jan-2026 rates'!$E:$F,2,0)))</f>
        <v>0</v>
      </c>
      <c r="DL360" s="409" t="s">
        <v>1443</v>
      </c>
      <c r="DM360" s="409">
        <v>25</v>
      </c>
      <c r="DN360" s="411">
        <f t="shared" si="218"/>
        <v>0</v>
      </c>
      <c r="DO360" s="411">
        <f t="shared" si="219"/>
        <v>46.538461538461533</v>
      </c>
      <c r="DP360" s="410">
        <f t="shared" si="220"/>
        <v>0</v>
      </c>
      <c r="DQ360" s="405" t="s">
        <v>855</v>
      </c>
      <c r="DR360" s="409" t="s">
        <v>4762</v>
      </c>
      <c r="DS360" s="420" t="str">
        <f t="shared" si="186"/>
        <v>FLINTSL - CYAN</v>
      </c>
      <c r="DT360" s="409">
        <v>21</v>
      </c>
      <c r="DU360" s="411">
        <f>IF(DT360=0,0,IF($LB360=70%,VLOOKUP($DS360,'Jan-2026 rates'!$L:$R,4,0),IF($LB360=65%,VLOOKUP($DS360,'Jan-2026 rates'!$L:$R,4,0),IF($LB360=40%,VLOOKUP($DS360,'Jan-2026 rates'!$L:$R,5,0),IF($LB360=30%,VLOOKUP($DS360,'Jan-2026 rates'!$L:$R,6,0),IF($LB360=100%,VLOOKUP($DS360,'Jan-2026 rates'!$L:$R,7,0),IF($LB360=60%,VLOOKUP($DS360,'Jan-2026 rates'!$L:$S,8,0),IF($LB360=80%,VLOOKUP($DS360,'Jan-2026 rates'!L:T,9,0),0))))))))</f>
        <v>0</v>
      </c>
      <c r="DV360" s="412"/>
      <c r="DW360" s="409"/>
      <c r="DX360" s="411">
        <f>IF(DW360=0,0,IF($LB360=70%,VLOOKUP($DS360,'Jan-2026 rates'!$L:$R,4,0),IF($LB360=65%,VLOOKUP($DS360,'Jan-2026 rates'!$L:$R,4,0),IF($LB360=40%,VLOOKUP($DS360,'Jan-2026 rates'!$L:$R,5,0),IF($LB360=30%,VLOOKUP($DS360,'Jan-2026 rates'!$L:$R,6,0),IF($LB360=100%,VLOOKUP($DS360,'Jan-2026 rates'!$L:$R,7,0),IF($LB360=60%,VLOOKUP($DS360,'Jan-2026 rates'!$L:$S,8,0),IF($LB360=80%,VLOOKUP($DS360,'Jan-2026 rates'!L:T,9,0),0))))))))</f>
        <v>0</v>
      </c>
      <c r="DY360" s="413">
        <v>26524000018</v>
      </c>
      <c r="DZ360" s="413">
        <v>26525000002</v>
      </c>
      <c r="EA360" s="412" t="s">
        <v>1266</v>
      </c>
      <c r="EB360" s="412"/>
      <c r="EC360" s="412"/>
      <c r="ED360" s="412"/>
      <c r="EE360" s="412"/>
      <c r="EF360" s="412"/>
      <c r="EG360" s="409">
        <v>7</v>
      </c>
      <c r="EH360" s="398" t="e">
        <f>IF(EG360=0,0,IF(LEN(DY360)=11,_xlfn.XLOOKUP(DY360,'Dispensed Ink Rates'!C:C,'Dispensed Ink Rates'!CS:CS),VLOOKUP(DY360,'Jan-2026 rates'!$E:$F,2,0)))</f>
        <v>#N/A</v>
      </c>
      <c r="EI360" s="409">
        <v>0.5</v>
      </c>
      <c r="EJ360" s="398" t="e">
        <f>IF(EI360=0,0,IF(LEN(DZ360)=11,_xlfn.XLOOKUP(DZ360,'Dispensed Ink Rates'!C:C,'Dispensed Ink Rates'!CS:CS),VLOOKUP(DZ360,'Jan-2026 rates'!$E:$F,2,0)))</f>
        <v>#N/A</v>
      </c>
      <c r="EK360" s="409">
        <v>4</v>
      </c>
      <c r="EL360" s="398">
        <f>IF(EK360=0,0,IF(LEN(EA360)=11,_xlfn.XLOOKUP(EA360,'Dispensed Ink Rates'!C:C,'Dispensed Ink Rates'!CS:CS),VLOOKUP(EA360,'Jan-2026 rates'!$E:$F,2,0)))</f>
        <v>0</v>
      </c>
      <c r="EM360" s="409"/>
      <c r="EN360" s="398">
        <f>IF(EM360=0,0,IF(LEN(EB360)=11,_xlfn.XLOOKUP(EB360,'Dispensed Ink Rates'!C:C,'Dispensed Ink Rates'!CS:CS),VLOOKUP(EB360,'Jan-2026 rates'!$E:$F,2,0)))</f>
        <v>0</v>
      </c>
      <c r="EO360" s="409"/>
      <c r="EP360" s="398">
        <f>IF(EO360=0,0,IF(LEN(EC360)=11,_xlfn.XLOOKUP(EC360,'Dispensed Ink Rates'!C:C,'Dispensed Ink Rates'!CS:CS),VLOOKUP(EC360,'Jan-2026 rates'!$E:$F,2,0)))</f>
        <v>0</v>
      </c>
      <c r="EQ360" s="409"/>
      <c r="ER360" s="398">
        <f>IF(EQ360=0,0,IF(LEN(ED360)=11,_xlfn.XLOOKUP(ED360,'Dispensed Ink Rates'!C:C,'Dispensed Ink Rates'!CS:CS),VLOOKUP(ED360,'Jan-2026 rates'!$E:$F,2,0)))</f>
        <v>0</v>
      </c>
      <c r="ES360" s="409"/>
      <c r="ET360" s="398">
        <f>IF(ES360=0,0,IF(LEN(EE360)=11,_xlfn.XLOOKUP(EE360,'Dispensed Ink Rates'!C:C,'Dispensed Ink Rates'!CS:CS),VLOOKUP(EE360,'Jan-2026 rates'!$E:$F,2,0)))</f>
        <v>0</v>
      </c>
      <c r="EU360" s="409"/>
      <c r="EV360" s="398">
        <f>IF(EU360=0,0,IF(LEN(EF360)=11,_xlfn.XLOOKUP(EF360,'Dispensed Ink Rates'!C:C,'Dispensed Ink Rates'!CS:CS),VLOOKUP(EF360,'Jan-2026 rates'!$E:$F,2,0)))</f>
        <v>0</v>
      </c>
      <c r="EW360" s="409" t="s">
        <v>1443</v>
      </c>
      <c r="EX360" s="409">
        <v>25</v>
      </c>
      <c r="EY360" s="411">
        <f t="shared" si="221"/>
        <v>0</v>
      </c>
      <c r="EZ360" s="411">
        <f t="shared" si="222"/>
        <v>15.741758241758241</v>
      </c>
      <c r="FA360" s="410">
        <f t="shared" si="223"/>
        <v>0</v>
      </c>
      <c r="FB360" s="405" t="s">
        <v>544</v>
      </c>
      <c r="FC360" s="409" t="s">
        <v>4763</v>
      </c>
      <c r="FD360" s="420" t="str">
        <f t="shared" si="187"/>
        <v>FLINTSL - MAGENTA</v>
      </c>
      <c r="FE360" s="409">
        <v>22</v>
      </c>
      <c r="FF360" s="411">
        <f>IF(FE360=0,0,IF($LB360=70%,VLOOKUP($FD360,'Jan-2026 rates'!$L:$R,4,0),IF($LB360=65%,VLOOKUP($FD360,'Jan-2026 rates'!$L:$R,4,0),IF($LB360=40%,VLOOKUP($FD360,'Jan-2026 rates'!$L:$R,5,0),IF($LB360=30%,VLOOKUP($FD360,'Jan-2026 rates'!$L:$R,6,0),IF($LB360=100%,VLOOKUP($FD360,'Jan-2026 rates'!$L:$R,7,0),IF($LB360=60%,VLOOKUP($FD360,'Jan-2026 rates'!$L:$S,8,0),IF($LB360=80%,VLOOKUP($FD360,'Jan-2026 rates'!L:T,9,0),0))))))))</f>
        <v>0</v>
      </c>
      <c r="FG360" s="412"/>
      <c r="FH360" s="409"/>
      <c r="FI360" s="411">
        <f>IF(FH360=0,0,IF($LB360=70%,VLOOKUP($FD360,'Jan-2026 rates'!$L:$R,4,0),IF($LB360=65%,VLOOKUP($FD360,'Jan-2026 rates'!$L:$R,4,0),IF($LB360=40%,VLOOKUP($FD360,'Jan-2026 rates'!$L:$R,5,0),IF($LB360=30%,VLOOKUP($FD360,'Jan-2026 rates'!$L:$R,6,0),IF($LB360=100%,VLOOKUP($FD360,'Jan-2026 rates'!$L:$R,7,0),IF($LB360=60%,VLOOKUP($FD360,'Jan-2026 rates'!$L:$S,8,0),IF($LB360=80%,VLOOKUP($FD360,'Jan-2026 rates'!L:T,9,0),0))))))))</f>
        <v>0</v>
      </c>
      <c r="FJ360" s="413">
        <v>26528000002</v>
      </c>
      <c r="FK360" s="413" t="s">
        <v>1266</v>
      </c>
      <c r="FL360" s="413"/>
      <c r="FM360" s="412"/>
      <c r="FN360" s="412"/>
      <c r="FO360" s="412"/>
      <c r="FP360" s="412"/>
      <c r="FQ360" s="412"/>
      <c r="FR360" s="409">
        <v>5</v>
      </c>
      <c r="FS360" s="398" t="e">
        <f>IF(FR360=0,0,IF(LEN(FJ360)=11,_xlfn.XLOOKUP(FJ360,'Dispensed Ink Rates'!C:C,'Dispensed Ink Rates'!CS:CS),VLOOKUP(FJ360,'Jan-2026 rates'!$E:$F,2,0)))</f>
        <v>#N/A</v>
      </c>
      <c r="FT360" s="409">
        <v>6</v>
      </c>
      <c r="FU360" s="398">
        <f>IF(FT360=0,0,IF(LEN(FK360)=11,_xlfn.XLOOKUP(FK360,'Dispensed Ink Rates'!C:C,'Dispensed Ink Rates'!CS:CS),VLOOKUP(FK360,'Jan-2026 rates'!$E:$F,2,0)))</f>
        <v>0</v>
      </c>
      <c r="FV360" s="409"/>
      <c r="FW360" s="398">
        <f>IF(FV360=0,0,IF(LEN(FL360)=11,_xlfn.XLOOKUP(FL360,'Dispensed Ink Rates'!C:C,'Dispensed Ink Rates'!CS:CS),VLOOKUP(FL360,'Jan-2026 rates'!$E:$F,2,0)))</f>
        <v>0</v>
      </c>
      <c r="FX360" s="409"/>
      <c r="FY360" s="398">
        <f>IF(FX360=0,0,IF(LEN(FM360)=11,_xlfn.XLOOKUP(FM360,'Dispensed Ink Rates'!C:C,'Dispensed Ink Rates'!CS:CS),VLOOKUP(FM360,'Jan-2026 rates'!$E:$F,2,0)))</f>
        <v>0</v>
      </c>
      <c r="FZ360" s="409"/>
      <c r="GA360" s="398">
        <f>IF(FZ360=0,0,IF(LEN(FN360)=11,_xlfn.XLOOKUP(FN360,'Dispensed Ink Rates'!C:C,'Dispensed Ink Rates'!CS:CS),VLOOKUP(FN360,'Jan-2026 rates'!$E:$F,2,0)))</f>
        <v>0</v>
      </c>
      <c r="GB360" s="409"/>
      <c r="GC360" s="398">
        <f>IF(GB360=0,0,IF(LEN(FO360)=11,_xlfn.XLOOKUP(FO360,'Dispensed Ink Rates'!C:C,'Dispensed Ink Rates'!CS:CS),VLOOKUP(FO360,'Jan-2026 rates'!$E:$F,2,0)))</f>
        <v>0</v>
      </c>
      <c r="GD360" s="409"/>
      <c r="GE360" s="398">
        <f>IF(GD360=0,0,IF(LEN(FP360)=11,_xlfn.XLOOKUP(FP360,'Dispensed Ink Rates'!C:C,'Dispensed Ink Rates'!CS:CS),VLOOKUP(FP360,'Jan-2026 rates'!$E:$F,2,0)))</f>
        <v>0</v>
      </c>
      <c r="GF360" s="409"/>
      <c r="GG360" s="398">
        <f>IF(GF360=0,0,IF(LEN(FQ360)=11,_xlfn.XLOOKUP(FQ360,'Dispensed Ink Rates'!C:C,'Dispensed Ink Rates'!CS:CS),VLOOKUP(FQ360,'Jan-2026 rates'!$E:$F,2,0)))</f>
        <v>0</v>
      </c>
      <c r="GH360" s="409" t="s">
        <v>1443</v>
      </c>
      <c r="GI360" s="409">
        <v>28</v>
      </c>
      <c r="GJ360" s="411">
        <f t="shared" si="224"/>
        <v>0</v>
      </c>
      <c r="GK360" s="411">
        <f t="shared" si="225"/>
        <v>11.593406593406591</v>
      </c>
      <c r="GL360" s="410">
        <f t="shared" si="226"/>
        <v>0</v>
      </c>
      <c r="GM360" s="405" t="s">
        <v>545</v>
      </c>
      <c r="GN360" s="409" t="s">
        <v>4764</v>
      </c>
      <c r="GO360" s="420" t="str">
        <f t="shared" si="188"/>
        <v>FLINTSL - YELLOW</v>
      </c>
      <c r="GP360" s="409">
        <v>21</v>
      </c>
      <c r="GQ360" s="411">
        <f>IF(GP360=0,0,IF($LB360=70%,VLOOKUP($GO360,'Jan-2026 rates'!$L:$R,4,0),IF($LB360=65%,VLOOKUP($GO360,'Jan-2026 rates'!$L:$R,4,0),IF($LB360=40%,VLOOKUP($GO360,'Jan-2026 rates'!$L:$R,5,0),IF($LB360=30%,VLOOKUP($GO360,'Jan-2026 rates'!$L:$R,6,0),IF($LB360=100%,VLOOKUP($GO360,'Jan-2026 rates'!$L:$R,7,0),IF($LB360=60%,VLOOKUP($GO360,'Jan-2026 rates'!$L:$S,8,0),IF($LB360=80%,VLOOKUP($GO360,'Jan-2026 rates'!L:T,9,0),0))))))))</f>
        <v>0</v>
      </c>
      <c r="GR360" s="412"/>
      <c r="GS360" s="409"/>
      <c r="GT360" s="411">
        <f>IF(GS360=0,0,IF($LB360=70%,VLOOKUP($GO360,'Jan-2026 rates'!$L:$R,4,0),IF($LB360=65%,VLOOKUP($GO360,'Jan-2026 rates'!$L:$R,4,0),IF($LB360=40%,VLOOKUP($GO360,'Jan-2026 rates'!$L:$R,5,0),IF($LB360=30%,VLOOKUP($GO360,'Jan-2026 rates'!$L:$R,6,0),IF($LB360=100%,VLOOKUP($GO360,'Jan-2026 rates'!$L:$R,7,0),IF($LB360=60%,VLOOKUP($GO360,'Jan-2026 rates'!$L:$S,8,0),IF($LB360=80%,VLOOKUP($GO360,'Jan-2026 rates'!L:T,9,0),0))))))))</f>
        <v>0</v>
      </c>
      <c r="GU360" s="413">
        <v>26527000018</v>
      </c>
      <c r="GV360" s="413"/>
      <c r="GW360" s="412"/>
      <c r="GX360" s="412"/>
      <c r="GY360" s="412"/>
      <c r="GZ360" s="412"/>
      <c r="HA360" s="412"/>
      <c r="HB360" s="412"/>
      <c r="HC360" s="409">
        <v>7</v>
      </c>
      <c r="HD360" s="398" t="e">
        <f>IF(HC360=0,0,IF(LEN(GU360)=11,_xlfn.XLOOKUP(GU360,'Dispensed Ink Rates'!C:C,'Dispensed Ink Rates'!CS:CS),VLOOKUP(GU360,'Jan-2026 rates'!$E:$F,2,0)))</f>
        <v>#N/A</v>
      </c>
      <c r="HE360" s="409"/>
      <c r="HF360" s="398">
        <f>IF(HE360=0,0,IF(LEN(GV360)=11,_xlfn.XLOOKUP(GV360,'Dispensed Ink Rates'!C:C,'Dispensed Ink Rates'!CS:CS),VLOOKUP(GV360,'Jan-2026 rates'!$E:$F,2,0)))</f>
        <v>0</v>
      </c>
      <c r="HG360" s="409"/>
      <c r="HH360" s="398">
        <f>IF(HG360=0,0,IF(LEN(GW360)=11,_xlfn.XLOOKUP(GW360,'Dispensed Ink Rates'!C:C,'Dispensed Ink Rates'!CS:CS),VLOOKUP(GW360,'Jan-2026 rates'!$E:$F,2,0)))</f>
        <v>0</v>
      </c>
      <c r="HI360" s="409"/>
      <c r="HJ360" s="398">
        <f>IF(HI360=0,0,IF(LEN(GX360)=11,_xlfn.XLOOKUP(GX360,'Dispensed Ink Rates'!C:C,'Dispensed Ink Rates'!CS:CS),VLOOKUP(GX360,'Jan-2026 rates'!$E:$F,2,0)))</f>
        <v>0</v>
      </c>
      <c r="HK360" s="409"/>
      <c r="HL360" s="398">
        <f>IF(HK360=0,0,IF(LEN(GY360)=11,_xlfn.XLOOKUP(GY360,'Dispensed Ink Rates'!C:C,'Dispensed Ink Rates'!CS:CS),VLOOKUP(GY360,'Jan-2026 rates'!$E:$F,2,0)))</f>
        <v>0</v>
      </c>
      <c r="HM360" s="409"/>
      <c r="HN360" s="398">
        <f>IF(HM360=0,0,IF(LEN(GZ360)=11,_xlfn.XLOOKUP(GZ360,'Dispensed Ink Rates'!C:C,'Dispensed Ink Rates'!CS:CS),VLOOKUP(GZ360,'Jan-2026 rates'!$E:$F,2,0)))</f>
        <v>0</v>
      </c>
      <c r="HO360" s="409"/>
      <c r="HP360" s="398">
        <f>IF(HO360=0,0,IF(LEN(HA360)=11,_xlfn.XLOOKUP(HA360,'Dispensed Ink Rates'!C:C,'Dispensed Ink Rates'!CS:CS),VLOOKUP(HA360,'Jan-2026 rates'!$E:$F,2,0)))</f>
        <v>0</v>
      </c>
      <c r="HQ360" s="409"/>
      <c r="HR360" s="398">
        <f>IF(HQ360=0,0,IF(LEN(HB360)=11,_xlfn.XLOOKUP(HB360,'Dispensed Ink Rates'!C:C,'Dispensed Ink Rates'!CS:CS),VLOOKUP(HB360,'Jan-2026 rates'!$E:$F,2,0)))</f>
        <v>0</v>
      </c>
      <c r="HS360" s="409" t="s">
        <v>1443</v>
      </c>
      <c r="HT360" s="409">
        <v>26</v>
      </c>
      <c r="HU360" s="411">
        <f t="shared" si="227"/>
        <v>0</v>
      </c>
      <c r="HV360" s="411">
        <f t="shared" si="228"/>
        <v>10.241758241758241</v>
      </c>
      <c r="HW360" s="414">
        <f t="shared" si="229"/>
        <v>0</v>
      </c>
      <c r="HX360" s="405" t="s">
        <v>856</v>
      </c>
      <c r="HY360" s="409" t="s">
        <v>4765</v>
      </c>
      <c r="HZ360" s="420" t="str">
        <f t="shared" si="189"/>
        <v>FLINTSL - WHITE</v>
      </c>
      <c r="IA360" s="409">
        <v>20</v>
      </c>
      <c r="IB360" s="411">
        <f>IF(IA360=0,0,IF($LB360=70%,VLOOKUP($HZ360,'Jan-2026 rates'!$L:$R,4,0),IF($LB360=65%,VLOOKUP($HZ360,'Jan-2026 rates'!$L:$R,4,0),IF($LB360=40%,VLOOKUP($HZ360,'Jan-2026 rates'!$L:$R,5,0),IF($LB360=30%,VLOOKUP($HZ360,'Jan-2026 rates'!$L:$R,6,0),IF($LB360=100%,VLOOKUP($HZ360,'Jan-2026 rates'!$L:$R,7,0),IF($LB360=60%,VLOOKUP($HZ360,'Jan-2026 rates'!$L:$S,8,0),IF($LB360=80%,VLOOKUP($HZ360,'Jan-2026 rates'!L:T,9,0),0))))))))</f>
        <v>0</v>
      </c>
      <c r="IC360" s="412"/>
      <c r="ID360" s="409"/>
      <c r="IE360" s="411">
        <f>IF(ID360=0,0,IF($LB360=70%,VLOOKUP($HZ360,'Jan-2026 rates'!$L:$R,4,0),IF($LB360=65%,VLOOKUP($HZ360,'Jan-2026 rates'!$L:$R,4,0),IF($LB360=40%,VLOOKUP($HZ360,'Jan-2026 rates'!$L:$R,5,0),IF($LB360=30%,VLOOKUP($HZ360,'Jan-2026 rates'!$L:$R,6,0),IF($LB360=100%,VLOOKUP($HZ360,'Jan-2026 rates'!$L:$R,7,0),IF($LB360=60%,VLOOKUP($HZ360,'Jan-2026 rates'!$L:$S,8,0),IF($LB360=80%,VLOOKUP($HZ360,'Jan-2026 rates'!L:T,9,0),0))))))))</f>
        <v>0</v>
      </c>
      <c r="IF360" s="412" t="s">
        <v>484</v>
      </c>
      <c r="IG360" s="413"/>
      <c r="IH360" s="412"/>
      <c r="II360" s="412"/>
      <c r="IJ360" s="412"/>
      <c r="IK360" s="412"/>
      <c r="IL360" s="412"/>
      <c r="IM360" s="412"/>
      <c r="IN360" s="409">
        <v>100</v>
      </c>
      <c r="IO360" s="398">
        <f>IF(IN360=0,0,IF(LEN(IF360)=11,_xlfn.XLOOKUP(IF360,'Dispensed Ink Rates'!C:C,'Dispensed Ink Rates'!CS:CS),VLOOKUP(IF360,'Jan-2026 rates'!$E:$F,2,0)))</f>
        <v>0</v>
      </c>
      <c r="IP360" s="409"/>
      <c r="IQ360" s="398">
        <f>IF(IP360=0,0,IF(LEN(IG360)=11,_xlfn.XLOOKUP(IG360,'Dispensed Ink Rates'!C:C,'Dispensed Ink Rates'!CS:CS),VLOOKUP(IG360,'Jan-2026 rates'!$E:$F,2,0)))</f>
        <v>0</v>
      </c>
      <c r="IR360" s="409"/>
      <c r="IS360" s="398">
        <f>IF(IR360=0,0,IF(LEN(IH360)=11,_xlfn.XLOOKUP(IH360,'Dispensed Ink Rates'!C:C,'Dispensed Ink Rates'!CS:CS),VLOOKUP(IH360,'Jan-2026 rates'!$E:$F,2,0)))</f>
        <v>0</v>
      </c>
      <c r="IT360" s="409"/>
      <c r="IU360" s="398">
        <f>IF(IT360=0,0,IF(LEN(II360)=11,_xlfn.XLOOKUP(II360,'Dispensed Ink Rates'!C:C,'Dispensed Ink Rates'!CS:CS),VLOOKUP(II360,'Jan-2026 rates'!$E:$F,2,0)))</f>
        <v>0</v>
      </c>
      <c r="IV360" s="409"/>
      <c r="IW360" s="398">
        <f>IF(IV360=0,0,IF(LEN(IJ360)=11,_xlfn.XLOOKUP(IJ360,'Dispensed Ink Rates'!C:C,'Dispensed Ink Rates'!CS:CS),VLOOKUP(IJ360,'Jan-2026 rates'!$E:$F,2,0)))</f>
        <v>0</v>
      </c>
      <c r="IX360" s="409"/>
      <c r="IY360" s="398">
        <f>IF(IX360=0,0,IF(LEN(IK360)=11,_xlfn.XLOOKUP(IK360,'Dispensed Ink Rates'!C:C,'Dispensed Ink Rates'!CS:CS),VLOOKUP(IK360,'Jan-2026 rates'!$E:$F,2,0)))</f>
        <v>0</v>
      </c>
      <c r="IZ360" s="409"/>
      <c r="JA360" s="398">
        <f>IF(IZ360=0,0,IF(LEN(IL360)=11,_xlfn.XLOOKUP(IL360,'Dispensed Ink Rates'!C:C,'Dispensed Ink Rates'!CS:CS),VLOOKUP(IL360,'Jan-2026 rates'!$E:$F,2,0)))</f>
        <v>0</v>
      </c>
      <c r="JB360" s="409"/>
      <c r="JC360" s="398">
        <f>IF(JB360=0,0,IF(LEN(IM360)=11,_xlfn.XLOOKUP(IM360,'Dispensed Ink Rates'!C:C,'Dispensed Ink Rates'!CS:CS),VLOOKUP(IM360,'Jan-2026 rates'!$E:$F,2,0)))</f>
        <v>0</v>
      </c>
      <c r="JD360" s="409" t="s">
        <v>1443</v>
      </c>
      <c r="JE360" s="409">
        <v>32</v>
      </c>
      <c r="JF360" s="411">
        <f t="shared" si="230"/>
        <v>0</v>
      </c>
      <c r="JG360" s="411">
        <f t="shared" si="231"/>
        <v>186.90109890109892</v>
      </c>
      <c r="JH360" s="410">
        <f t="shared" si="232"/>
        <v>0</v>
      </c>
      <c r="JI360" s="405"/>
      <c r="JJ360" s="409"/>
      <c r="JK360" s="420" t="str">
        <f t="shared" si="190"/>
        <v xml:space="preserve"> - </v>
      </c>
      <c r="JL360" s="409"/>
      <c r="JM360" s="411">
        <f>IF(JL360=0,0,IF($LB360=70%,VLOOKUP($JK360,'Jan-2026 rates'!$L:$R,4,0),IF($LB360=65%,VLOOKUP($JK360,'Jan-2026 rates'!$L:$R,4,0),IF($LB360=40%,VLOOKUP($JK360,'Jan-2026 rates'!$L:$R,5,0),IF($LB360=30%,VLOOKUP($JK360,'Jan-2026 rates'!$L:$R,6,0),IF($LB360=100%,VLOOKUP($JK360,'Jan-2026 rates'!$L:$R,7,0),IF($LB360=60%,VLOOKUP($JK360,'Jan-2026 rates'!$L:$S,8,0),IF($LB360=80%,VLOOKUP($JK360,'Jan-2026 rates'!L:T,9,0),0))))))))</f>
        <v>0</v>
      </c>
      <c r="JN360" s="412"/>
      <c r="JO360" s="409"/>
      <c r="JP360" s="411">
        <f>IF(JO360=0,0,IF($LB360=70%,VLOOKUP($JK360,'Jan-2026 rates'!$L:$R,4,0),IF($LB360=65%,VLOOKUP($JK360,'Jan-2026 rates'!$L:$R,4,0),IF($LB360=40%,VLOOKUP($JK360,'Jan-2026 rates'!$L:$R,5,0),IF($LB360=30%,VLOOKUP($JK360,'Jan-2026 rates'!$L:$R,6,0),IF($LB360=100%,VLOOKUP($JK360,'Jan-2026 rates'!$L:$R,7,0),IF($LB360=60%,VLOOKUP($JK360,'Jan-2026 rates'!$L:$S,8,0),IF($LB360=80%,VLOOKUP($JK360,'Jan-2026 rates'!L:T,9,0),0))))))))</f>
        <v>0</v>
      </c>
      <c r="JQ360" s="413"/>
      <c r="JR360" s="412"/>
      <c r="JS360" s="413"/>
      <c r="JT360" s="413"/>
      <c r="JU360" s="412"/>
      <c r="JV360" s="412"/>
      <c r="JW360" s="412"/>
      <c r="JX360" s="412"/>
      <c r="JY360" s="409"/>
      <c r="JZ360" s="398">
        <f>IF(JY360=0,0,IF(LEN(JQ360)=11,_xlfn.XLOOKUP(JQ360,'Dispensed Ink Rates'!C:C,'Dispensed Ink Rates'!CS:CS),VLOOKUP(JQ360,'Jan-2026 rates'!$E:$F,2,0)))</f>
        <v>0</v>
      </c>
      <c r="KA360" s="409"/>
      <c r="KB360" s="398">
        <f>IF(KA360=0,0,IF(LEN(JR360)=11,_xlfn.XLOOKUP(JR360,'Dispensed Ink Rates'!C:C,'Dispensed Ink Rates'!CS:CS),VLOOKUP(JR360,'Jan-2026 rates'!$E:$F,2,0)))</f>
        <v>0</v>
      </c>
      <c r="KC360" s="409"/>
      <c r="KD360" s="398">
        <f>IF(KC360=0,0,IF(LEN(JS360)=11,_xlfn.XLOOKUP(JS360,'Dispensed Ink Rates'!C:C,'Dispensed Ink Rates'!CS:CS),VLOOKUP(JS360,'Jan-2026 rates'!$E:$F,2,0)))</f>
        <v>0</v>
      </c>
      <c r="KE360" s="409"/>
      <c r="KF360" s="398">
        <f>IF(KE360=0,0,IF(LEN(JT360)=11,_xlfn.XLOOKUP(JT360,'Dispensed Ink Rates'!C:C,'Dispensed Ink Rates'!CS:CS),VLOOKUP(JT360,'Jan-2026 rates'!$E:$F,2,0)))</f>
        <v>0</v>
      </c>
      <c r="KG360" s="409"/>
      <c r="KH360" s="398">
        <f>IF(KG360=0,0,IF(LEN(JU360)=11,_xlfn.XLOOKUP(JU360,'Dispensed Ink Rates'!C:C,'Dispensed Ink Rates'!CS:CS),VLOOKUP(JU360,'Jan-2026 rates'!$E:$F,2,0)))</f>
        <v>0</v>
      </c>
      <c r="KI360" s="409"/>
      <c r="KJ360" s="398">
        <f>IF(KI360=0,0,IF(LEN(JV360)=11,_xlfn.XLOOKUP(JV360,'Dispensed Ink Rates'!C:C,'Dispensed Ink Rates'!CS:CS),VLOOKUP(JV360,'Jan-2026 rates'!$E:$F,2,0)))</f>
        <v>0</v>
      </c>
      <c r="KK360" s="409"/>
      <c r="KL360" s="398">
        <f>IF(KK360=0,0,IF(LEN(JW360)=11,_xlfn.XLOOKUP(JW360,'Dispensed Ink Rates'!C:C,'Dispensed Ink Rates'!CS:CS),VLOOKUP(JW360,'Jan-2026 rates'!$E:$F,2,0)))</f>
        <v>0</v>
      </c>
      <c r="KM360" s="428"/>
      <c r="KN360" s="398">
        <f>IF(KM360=0,0,IF(LEN(JX360)=11,_xlfn.XLOOKUP(JX360,'Dispensed Ink Rates'!C:C,'Dispensed Ink Rates'!CS:CS),VLOOKUP(JX360,'Jan-2026 rates'!$E:$F,2,0)))</f>
        <v>0</v>
      </c>
      <c r="KO360" s="409"/>
      <c r="KP360" s="409"/>
      <c r="KQ360" s="411">
        <f t="shared" si="233"/>
        <v>0</v>
      </c>
      <c r="KR360" s="411">
        <f t="shared" si="234"/>
        <v>0</v>
      </c>
      <c r="KS360" s="410">
        <f t="shared" si="235"/>
        <v>0</v>
      </c>
      <c r="KT360" s="409">
        <v>3</v>
      </c>
      <c r="KU360" s="409">
        <v>7</v>
      </c>
      <c r="KV360" s="409">
        <v>7</v>
      </c>
      <c r="KW360" s="409">
        <v>5</v>
      </c>
      <c r="KX360" s="409">
        <v>4</v>
      </c>
      <c r="KY360" s="409">
        <v>5</v>
      </c>
      <c r="KZ360" s="409">
        <f>30+30</f>
        <v>60</v>
      </c>
      <c r="LA360" s="409">
        <v>0</v>
      </c>
      <c r="LB360" s="415">
        <v>0.8</v>
      </c>
      <c r="LC360" s="415">
        <v>0.2</v>
      </c>
      <c r="LD360" s="424"/>
      <c r="LE360" s="415"/>
      <c r="LF360" s="415"/>
      <c r="LG360" s="409">
        <v>0</v>
      </c>
      <c r="LH360" s="409">
        <f>60+40+40+10</f>
        <v>150</v>
      </c>
      <c r="LI360" s="409">
        <v>0</v>
      </c>
      <c r="LJ360" s="409">
        <v>0</v>
      </c>
      <c r="LK360" s="416">
        <f t="shared" si="191"/>
        <v>150</v>
      </c>
      <c r="LL360" s="416">
        <f t="shared" ref="LL360:LL403" si="349">IF(LK360&lt;=0,SUM(KT360:LA360),LK360)</f>
        <v>150</v>
      </c>
      <c r="LM360" s="417">
        <f t="shared" si="193"/>
        <v>120</v>
      </c>
      <c r="LN360" s="417">
        <f>VLOOKUP($LM$8,'Jan-2026 rates'!$H:$I,2,0)</f>
        <v>0</v>
      </c>
      <c r="LO360" s="417">
        <f t="shared" si="194"/>
        <v>30</v>
      </c>
      <c r="LP360" s="417">
        <f>VLOOKUP($LO$8,'Jan-2026 rates'!$H:$I,2,0)</f>
        <v>0</v>
      </c>
      <c r="LQ360" s="417">
        <f t="shared" si="195"/>
        <v>0</v>
      </c>
      <c r="LR360" s="417">
        <f>VLOOKUP($LQ$8,'Jan-2026 rates'!$H:$I,2,0)</f>
        <v>0</v>
      </c>
      <c r="LS360" s="417">
        <f t="shared" si="196"/>
        <v>0</v>
      </c>
      <c r="LT360" s="417">
        <f>VLOOKUP($LS$8,'Jan-2026 rates'!$H:$I,2,0)</f>
        <v>0</v>
      </c>
      <c r="LU360" s="417">
        <f t="shared" si="197"/>
        <v>0</v>
      </c>
      <c r="LV360" s="417">
        <f>VLOOKUP($LU$8,'Jan-2026 rates'!$H:$I,2,0)</f>
        <v>0</v>
      </c>
      <c r="LW360" s="417">
        <f t="shared" si="198"/>
        <v>0</v>
      </c>
      <c r="LX360" s="417">
        <f t="shared" si="199"/>
        <v>0</v>
      </c>
      <c r="LY360" s="418">
        <f t="shared" si="200"/>
        <v>0</v>
      </c>
      <c r="LZ360" s="417"/>
      <c r="MA360" s="435">
        <f t="shared" si="201"/>
        <v>201.5</v>
      </c>
      <c r="MB360" s="282">
        <f t="shared" si="202"/>
        <v>288.5</v>
      </c>
      <c r="MC360" s="283">
        <v>202</v>
      </c>
      <c r="MD360" s="284" t="str">
        <f t="shared" si="203"/>
        <v>FLINTSLFLINTSLFLINTSLFLINTSLFLINTSLFLINTSLFLINTSL</v>
      </c>
      <c r="ME360" s="293" t="str">
        <f t="shared" si="204"/>
        <v>+</v>
      </c>
      <c r="MF360" s="293" t="str">
        <f t="shared" si="205"/>
        <v>+</v>
      </c>
      <c r="MG360" s="293" t="str">
        <f t="shared" si="206"/>
        <v>+</v>
      </c>
      <c r="MH360" s="293" t="str">
        <f t="shared" si="207"/>
        <v>+</v>
      </c>
      <c r="MI360" s="293" t="str">
        <f t="shared" si="208"/>
        <v>+</v>
      </c>
      <c r="MJ360" s="293" t="str">
        <f t="shared" si="209"/>
        <v>+</v>
      </c>
      <c r="MK360" s="293" t="str">
        <f t="shared" si="210"/>
        <v>+</v>
      </c>
      <c r="ML360" s="293" t="str">
        <f t="shared" si="211"/>
        <v>NIL</v>
      </c>
      <c r="MM360" s="3" t="b">
        <f t="array" ref="MM360">OR(ME360:ML360="-")</f>
        <v>0</v>
      </c>
      <c r="MO360" s="401">
        <f t="shared" ref="MO360:MO403" si="350">+MB360/E360*100</f>
        <v>38.36436170212766</v>
      </c>
      <c r="MP360" s="286"/>
      <c r="MR360" s="402">
        <f t="shared" ref="MR360:MR403" si="351">+MB360/F360</f>
        <v>1.1182170542635659E-2</v>
      </c>
      <c r="MS360" s="400">
        <f t="shared" ref="MS360:MS403" si="352">+LY360/MB360</f>
        <v>0</v>
      </c>
      <c r="MT360" s="285"/>
      <c r="NH360" s="361"/>
      <c r="NJ360" s="282"/>
    </row>
    <row r="361" spans="1:374" ht="16.5">
      <c r="A361" s="403">
        <v>46048</v>
      </c>
      <c r="B361" s="404" t="s">
        <v>1018</v>
      </c>
      <c r="C361" s="405" t="s">
        <v>4766</v>
      </c>
      <c r="D361" s="404">
        <v>203</v>
      </c>
      <c r="E361" s="404">
        <v>938</v>
      </c>
      <c r="F361" s="407">
        <v>52700</v>
      </c>
      <c r="G361" s="407" t="s">
        <v>1019</v>
      </c>
      <c r="H361" s="408" t="s">
        <v>1017</v>
      </c>
      <c r="I361" s="409">
        <v>2</v>
      </c>
      <c r="J361" s="405" t="s">
        <v>543</v>
      </c>
      <c r="K361" s="404" t="s">
        <v>4767</v>
      </c>
      <c r="L361" s="419" t="str">
        <f t="shared" si="184"/>
        <v>FLINTSL - BLACK</v>
      </c>
      <c r="M361" s="404">
        <v>26</v>
      </c>
      <c r="N361" s="410">
        <f>IF(M361=0,0,IF($LB361=70%,VLOOKUP($L361,'Jan-2026 rates'!$L:$R,4,0),IF($LB361=65%,VLOOKUP($L361,'Jan-2026 rates'!$L:$R,4,0),IF($LB361=40%,VLOOKUP($L361,'Jan-2026 rates'!$L:$R,5,0),IF($LB361=30%,VLOOKUP($L361,'Jan-2026 rates'!$L:$R,6,0),IF($LB361=100%,VLOOKUP($L361,'Jan-2026 rates'!$L:$R,7,0),IF($LB361=60%,VLOOKUP($L361,'Jan-2026 rates'!$L:$S,8,0),IF($LB361=80%,VLOOKUP($L361,'Jan-2026 rates'!L:T,9,0),0))))))))</f>
        <v>0</v>
      </c>
      <c r="O361" s="406"/>
      <c r="P361" s="404"/>
      <c r="Q361" s="410">
        <f>IF(P361=0,0,IF($LB361=70%,VLOOKUP($L361,'Jan-2026 rates'!$L:$R,4,0),IF($LB361=65%,VLOOKUP($L361,'Jan-2026 rates'!$L:$R,4,0),IF($LB361=40%,VLOOKUP($L361,'Jan-2026 rates'!$L:$R,5,0),IF($LB361=30%,VLOOKUP($L361,'Jan-2026 rates'!$L:$R,6,0),IF($LB361=100%,VLOOKUP($L361,'Jan-2026 rates'!$L:$R,7,0),IF($LB361=60%,VLOOKUP($L361,'Jan-2026 rates'!$L:$S,8,0),IF($LB361=80%,VLOOKUP($L361,'Jan-2026 rates'!L:T,9,0),0))))))))</f>
        <v>0</v>
      </c>
      <c r="R361" s="406">
        <v>26527000015</v>
      </c>
      <c r="S361" s="406"/>
      <c r="T361" s="406"/>
      <c r="U361" s="406"/>
      <c r="V361" s="406"/>
      <c r="W361" s="406"/>
      <c r="X361" s="406"/>
      <c r="Y361" s="406"/>
      <c r="Z361" s="404">
        <v>2</v>
      </c>
      <c r="AA361" s="398" t="e">
        <f>IF(Z361=0,0,IF(LEN(R361)=11,_xlfn.XLOOKUP(R361,'Dispensed Ink Rates'!C:C,'Dispensed Ink Rates'!CS:CS),VLOOKUP(R361,'Jan-2026 rates'!$E:$F,2,0)))</f>
        <v>#N/A</v>
      </c>
      <c r="AB361" s="404"/>
      <c r="AC361" s="398">
        <f>IF(AB361=0,0,IF(LEN(S361)=11,_xlfn.XLOOKUP(S361,'Dispensed Ink Rates'!C:C,'Dispensed Ink Rates'!CS:CS),VLOOKUP(S361,'Jan-2026 rates'!$E:$F,2,0)))</f>
        <v>0</v>
      </c>
      <c r="AD361" s="404"/>
      <c r="AE361" s="398">
        <f>IF(AD361=0,0,IF(LEN(T361)=11,_xlfn.XLOOKUP(T361,'Dispensed Ink Rates'!C:C,'Dispensed Ink Rates'!CS:CS),VLOOKUP(T361,'Jan-2026 rates'!$E:$F,2,0)))</f>
        <v>0</v>
      </c>
      <c r="AF361" s="404"/>
      <c r="AG361" s="398">
        <f>IF(AF361=0,0,IF(LEN(U361)=11,_xlfn.XLOOKUP(U361,'Dispensed Ink Rates'!C:C,'Dispensed Ink Rates'!CS:CS),VLOOKUP(U361,'Jan-2026 rates'!$E:$F,2,0)))</f>
        <v>0</v>
      </c>
      <c r="AH361" s="404"/>
      <c r="AI361" s="398">
        <f>IF(AH361=0,0,IF(LEN(V361)=11,_xlfn.XLOOKUP(V361,'Dispensed Ink Rates'!C:C,'Dispensed Ink Rates'!CS:CS),VLOOKUP(V361,'Jan-2026 rates'!$E:$F,2,0)))</f>
        <v>0</v>
      </c>
      <c r="AJ361" s="404"/>
      <c r="AK361" s="398">
        <f>IF(AJ361=0,0,IF(LEN(W361)=11,_xlfn.XLOOKUP(W361,'Dispensed Ink Rates'!C:C,'Dispensed Ink Rates'!CS:CS),VLOOKUP(W361,'Jan-2026 rates'!$E:$F,2,0)))</f>
        <v>0</v>
      </c>
      <c r="AL361" s="404"/>
      <c r="AM361" s="398">
        <f>IF(AL361=0,0,IF(LEN(X361)=11,_xlfn.XLOOKUP(X361,'Dispensed Ink Rates'!C:C,'Dispensed Ink Rates'!CS:CS),VLOOKUP(X361,'Jan-2026 rates'!$E:$F,2,0)))</f>
        <v>0</v>
      </c>
      <c r="AN361" s="404"/>
      <c r="AO361" s="398">
        <f>IF(AN361=0,0,IF(LEN(Y361)=11,_xlfn.XLOOKUP(Y361,'Dispensed Ink Rates'!C:C,'Dispensed Ink Rates'!CS:CS),VLOOKUP(Y361,'Jan-2026 rates'!$E:$F,2,0)))</f>
        <v>0</v>
      </c>
      <c r="AP361" s="409" t="s">
        <v>1443</v>
      </c>
      <c r="AQ361" s="409">
        <v>25</v>
      </c>
      <c r="AR361" s="410">
        <f t="shared" si="212"/>
        <v>0</v>
      </c>
      <c r="AS361" s="411">
        <f t="shared" si="213"/>
        <v>8.3478260869565233</v>
      </c>
      <c r="AT361" s="410">
        <f t="shared" si="214"/>
        <v>0</v>
      </c>
      <c r="AU361" s="405" t="s">
        <v>546</v>
      </c>
      <c r="AV361" s="409" t="s">
        <v>4767</v>
      </c>
      <c r="AW361" s="420" t="str">
        <f t="shared" si="348"/>
        <v>FLINTSL - REFLEX BLUE</v>
      </c>
      <c r="AX361" s="409">
        <v>23</v>
      </c>
      <c r="AY361" s="411">
        <f>IF(AX361=0,0,IF($LB361=70%,VLOOKUP($AW361,'Jan-2026 rates'!$L:$R,4,0),IF($LB361=65%,VLOOKUP($AW361,'Jan-2026 rates'!$L:$R,4,0),IF($LB361=40%,VLOOKUP($AW361,'Jan-2026 rates'!$L:$R,5,0),IF($LB361=30%,VLOOKUP($AW361,'Jan-2026 rates'!$L:$R,6,0),IF($LB361=100%,VLOOKUP($AW361,'Jan-2026 rates'!$L:$R,7,0),IF($LB361=60%,VLOOKUP($AW361,'Jan-2026 rates'!$L:$S,8,0),IF($LB361=80%,VLOOKUP($AW361,'Jan-2026 rates'!L:T,9,0),0))))))))</f>
        <v>0</v>
      </c>
      <c r="AZ361" s="412"/>
      <c r="BA361" s="409"/>
      <c r="BB361" s="411">
        <f>IF(BA361=0,0,IF($LB361=70%,VLOOKUP($AW361,'Jan-2026 rates'!$L:$R,4,0),IF($LB361=65%,VLOOKUP($AW361,'Jan-2026 rates'!$L:$R,4,0),IF($LB361=40%,VLOOKUP($AW361,'Jan-2026 rates'!$L:$R,5,0),IF($LB361=30%,VLOOKUP($AW361,'Jan-2026 rates'!$L:$R,6,0),IF($LB361=100%,VLOOKUP($AW361,'Jan-2026 rates'!$L:$R,7,0),IF($LB361=60%,VLOOKUP($AW361,'Jan-2026 rates'!$L:$S,8,0),IF($LB361=80%,VLOOKUP($AW361,'Jan-2026 rates'!L:T,9,0),0))))))))</f>
        <v>0</v>
      </c>
      <c r="BC361" s="413">
        <v>26524000018</v>
      </c>
      <c r="BD361" s="412"/>
      <c r="BE361" s="412"/>
      <c r="BF361" s="413"/>
      <c r="BG361" s="412"/>
      <c r="BH361" s="412"/>
      <c r="BI361" s="412"/>
      <c r="BJ361" s="412"/>
      <c r="BK361" s="409">
        <v>5</v>
      </c>
      <c r="BL361" s="398" t="e">
        <f>IF(BK361=0,0,IF(LEN(BC361)=11,_xlfn.XLOOKUP(BC361,'Dispensed Ink Rates'!C:C,'Dispensed Ink Rates'!CS:CS),VLOOKUP(BC361,'Jan-2026 rates'!$E:$F,2,0)))</f>
        <v>#N/A</v>
      </c>
      <c r="BM361" s="409"/>
      <c r="BN361" s="398">
        <f>IF(BM361=0,0,IF(LEN(BD361)=11,_xlfn.XLOOKUP(BD361,'Dispensed Ink Rates'!C:C,'Dispensed Ink Rates'!CS:CS),VLOOKUP(BD361,'Jan-2026 rates'!$E:$F,2,0)))</f>
        <v>0</v>
      </c>
      <c r="BO361" s="409"/>
      <c r="BP361" s="398">
        <f>IF(BO361=0,0,IF(LEN(BE361)=11,_xlfn.XLOOKUP(BE361,'Dispensed Ink Rates'!C:C,'Dispensed Ink Rates'!CS:CS),VLOOKUP(BE361,'Jan-2026 rates'!$E:$F,2,0)))</f>
        <v>0</v>
      </c>
      <c r="BQ361" s="409"/>
      <c r="BR361" s="398">
        <f>IF(BQ361=0,0,IF(LEN(BF361)=11,_xlfn.XLOOKUP(BF361,'Dispensed Ink Rates'!C:C,'Dispensed Ink Rates'!CS:CS),VLOOKUP(BF361,'Jan-2026 rates'!$E:$F,2,0)))</f>
        <v>0</v>
      </c>
      <c r="BS361" s="409"/>
      <c r="BT361" s="398">
        <f>IF(BS361=0,0,IF(LEN(BG361)=11,_xlfn.XLOOKUP(BG361,'Dispensed Ink Rates'!C:C,'Dispensed Ink Rates'!CS:CS),VLOOKUP(BG361,'Jan-2026 rates'!$E:$F,2,0)))</f>
        <v>0</v>
      </c>
      <c r="BU361" s="409"/>
      <c r="BV361" s="398">
        <f>IF(BU361=0,0,IF(LEN(BH361)=11,_xlfn.XLOOKUP(BH361,'Dispensed Ink Rates'!C:C,'Dispensed Ink Rates'!CS:CS),VLOOKUP(BH361,'Jan-2026 rates'!$E:$F,2,0)))</f>
        <v>0</v>
      </c>
      <c r="BW361" s="409"/>
      <c r="BX361" s="398">
        <f>IF(BW361=0,0,IF(LEN(BI361)=11,_xlfn.XLOOKUP(BI361,'Dispensed Ink Rates'!C:C,'Dispensed Ink Rates'!CS:CS),VLOOKUP(BI361,'Jan-2026 rates'!$E:$F,2,0)))</f>
        <v>0</v>
      </c>
      <c r="BY361" s="409"/>
      <c r="BZ361" s="398">
        <f>IF(BY361=0,0,IF(LEN(BJ361)=11,_xlfn.XLOOKUP(BJ361,'Dispensed Ink Rates'!C:C,'Dispensed Ink Rates'!CS:CS),VLOOKUP(BJ361,'Jan-2026 rates'!$E:$F,2,0)))</f>
        <v>0</v>
      </c>
      <c r="CA361" s="409" t="s">
        <v>1443</v>
      </c>
      <c r="CB361" s="409">
        <v>30</v>
      </c>
      <c r="CC361" s="411">
        <f t="shared" si="215"/>
        <v>0</v>
      </c>
      <c r="CD361" s="411">
        <f t="shared" si="216"/>
        <v>6.9130434782608674</v>
      </c>
      <c r="CE361" s="410">
        <f t="shared" si="217"/>
        <v>0</v>
      </c>
      <c r="CF361" s="404" t="s">
        <v>547</v>
      </c>
      <c r="CG361" s="409" t="s">
        <v>4701</v>
      </c>
      <c r="CH361" s="420" t="str">
        <f t="shared" si="185"/>
        <v>FLINTSL - GREEN</v>
      </c>
      <c r="CI361" s="409">
        <v>27</v>
      </c>
      <c r="CJ361" s="411">
        <f>IF(CI361=0,0,IF($LB361=70%,VLOOKUP($CH361,'Jan-2026 rates'!$L:$R,4,0),IF($LB361=65%,VLOOKUP($CH361,'Jan-2026 rates'!$L:$R,4,0),IF($LB361=40%,VLOOKUP($CH361,'Jan-2026 rates'!$L:$R,5,0),IF($LB361=30%,VLOOKUP($CH361,'Jan-2026 rates'!$L:$R,6,0),IF($LB361=100%,VLOOKUP($CH361,'Jan-2026 rates'!$L:$R,7,0),IF($LB361=60%,VLOOKUP($CH361,'Jan-2026 rates'!$L:$S,8,0),IF($LB361=80%,VLOOKUP($CH361,'Jan-2026 rates'!L:T,9,0),0))))))))</f>
        <v>0</v>
      </c>
      <c r="CK361" s="412"/>
      <c r="CL361" s="409"/>
      <c r="CM361" s="411">
        <f>IF(CL361=0,0,IF($LB361=70%,VLOOKUP($CH361,'Jan-2026 rates'!$L:$R,4,0),IF($LB361=65%,VLOOKUP($CH361,'Jan-2026 rates'!$L:$R,4,0),IF($LB361=40%,VLOOKUP($CH361,'Jan-2026 rates'!$L:$R,5,0),IF($LB361=30%,VLOOKUP($CH361,'Jan-2026 rates'!$L:$R,6,0),IF($LB361=100%,VLOOKUP($CH361,'Jan-2026 rates'!$L:$R,7,0),IF($LB361=60%,VLOOKUP($CH361,'Jan-2026 rates'!$L:$S,8,0),IF($LB361=80%,VLOOKUP($CH361,'Jan-2026 rates'!L:T,9,0),0))))))))</f>
        <v>0</v>
      </c>
      <c r="CN361" s="426">
        <v>26527000010</v>
      </c>
      <c r="CO361" s="427"/>
      <c r="CP361" s="426"/>
      <c r="CQ361" s="426"/>
      <c r="CR361" s="428"/>
      <c r="CS361" s="428"/>
      <c r="CT361" s="428"/>
      <c r="CU361" s="428"/>
      <c r="CV361" s="409">
        <f>2+2</f>
        <v>4</v>
      </c>
      <c r="CW361" s="398" t="e">
        <f>IF(CV361=0,0,IF(LEN(CN361)=11,_xlfn.XLOOKUP(CN361,'Dispensed Ink Rates'!C:C,'Dispensed Ink Rates'!CS:CS),VLOOKUP(CN361,'Jan-2026 rates'!$E:$F,2,0)))</f>
        <v>#N/A</v>
      </c>
      <c r="CX361" s="409"/>
      <c r="CY361" s="398">
        <f>IF(CX361=0,0,IF(LEN(CO361)=11,_xlfn.XLOOKUP(CO361,'Dispensed Ink Rates'!C:C,'Dispensed Ink Rates'!CS:CS),VLOOKUP(CO361,'Jan-2026 rates'!$E:$F,2,0)))</f>
        <v>0</v>
      </c>
      <c r="CZ361" s="409"/>
      <c r="DA361" s="398">
        <f>IF(CZ361=0,0,IF(LEN(CP361)=11,_xlfn.XLOOKUP(CP361,'Dispensed Ink Rates'!C:C,'Dispensed Ink Rates'!CS:CS),VLOOKUP(CP361,'Jan-2026 rates'!$E:$F,2,0)))</f>
        <v>0</v>
      </c>
      <c r="DB361" s="409"/>
      <c r="DC361" s="398">
        <f>IF(DB361=0,0,IF(LEN(CQ361)=11,_xlfn.XLOOKUP(CQ361,'Dispensed Ink Rates'!C:C,'Dispensed Ink Rates'!CS:CS),VLOOKUP(CQ361,'Jan-2026 rates'!$E:$F,2,0)))</f>
        <v>0</v>
      </c>
      <c r="DD361" s="409"/>
      <c r="DE361" s="398">
        <f>IF(DD361=0,0,IF(LEN(CR361)=11,_xlfn.XLOOKUP(CR361,'Dispensed Ink Rates'!C:C,'Dispensed Ink Rates'!CS:CS),VLOOKUP(CR361,'Jan-2026 rates'!$E:$F,2,0)))</f>
        <v>0</v>
      </c>
      <c r="DF361" s="409"/>
      <c r="DG361" s="398">
        <f>IF(DF361=0,0,IF(LEN(CS361)=11,_xlfn.XLOOKUP(CS361,'Dispensed Ink Rates'!C:C,'Dispensed Ink Rates'!CS:CS),VLOOKUP(CS361,'Jan-2026 rates'!$E:$F,2,0)))</f>
        <v>0</v>
      </c>
      <c r="DH361" s="409"/>
      <c r="DI361" s="398">
        <f>IF(DH361=0,0,IF(LEN(CT361)=11,_xlfn.XLOOKUP(CT361,'Dispensed Ink Rates'!C:C,'Dispensed Ink Rates'!CS:CS),VLOOKUP(CT361,'Jan-2026 rates'!$E:$F,2,0)))</f>
        <v>0</v>
      </c>
      <c r="DJ361" s="409"/>
      <c r="DK361" s="398">
        <f>IF(DJ361=0,0,IF(LEN(CU361)=11,_xlfn.XLOOKUP(CU361,'Dispensed Ink Rates'!C:C,'Dispensed Ink Rates'!CS:CS),VLOOKUP(CU361,'Jan-2026 rates'!$E:$F,2,0)))</f>
        <v>0</v>
      </c>
      <c r="DL361" s="409" t="s">
        <v>1443</v>
      </c>
      <c r="DM361" s="409">
        <v>22</v>
      </c>
      <c r="DN361" s="411">
        <f t="shared" si="218"/>
        <v>0</v>
      </c>
      <c r="DO361" s="411">
        <f t="shared" si="219"/>
        <v>9</v>
      </c>
      <c r="DP361" s="410">
        <f t="shared" si="220"/>
        <v>0</v>
      </c>
      <c r="DQ361" s="405" t="s">
        <v>857</v>
      </c>
      <c r="DR361" s="409" t="s">
        <v>4768</v>
      </c>
      <c r="DS361" s="420" t="str">
        <f t="shared" si="186"/>
        <v>FLINTSL - RED</v>
      </c>
      <c r="DT361" s="409">
        <v>28</v>
      </c>
      <c r="DU361" s="411">
        <f>IF(DT361=0,0,IF($LB361=70%,VLOOKUP($DS361,'Jan-2026 rates'!$L:$R,4,0),IF($LB361=65%,VLOOKUP($DS361,'Jan-2026 rates'!$L:$R,4,0),IF($LB361=40%,VLOOKUP($DS361,'Jan-2026 rates'!$L:$R,5,0),IF($LB361=30%,VLOOKUP($DS361,'Jan-2026 rates'!$L:$R,6,0),IF($LB361=100%,VLOOKUP($DS361,'Jan-2026 rates'!$L:$R,7,0),IF($LB361=60%,VLOOKUP($DS361,'Jan-2026 rates'!$L:$S,8,0),IF($LB361=80%,VLOOKUP($DS361,'Jan-2026 rates'!L:T,9,0),0))))))))</f>
        <v>0</v>
      </c>
      <c r="DV361" s="412"/>
      <c r="DW361" s="409"/>
      <c r="DX361" s="411">
        <f>IF(DW361=0,0,IF($LB361=70%,VLOOKUP($DS361,'Jan-2026 rates'!$L:$R,4,0),IF($LB361=65%,VLOOKUP($DS361,'Jan-2026 rates'!$L:$R,4,0),IF($LB361=40%,VLOOKUP($DS361,'Jan-2026 rates'!$L:$R,5,0),IF($LB361=30%,VLOOKUP($DS361,'Jan-2026 rates'!$L:$R,6,0),IF($LB361=100%,VLOOKUP($DS361,'Jan-2026 rates'!$L:$R,7,0),IF($LB361=60%,VLOOKUP($DS361,'Jan-2026 rates'!$L:$S,8,0),IF($LB361=80%,VLOOKUP($DS361,'Jan-2026 rates'!L:T,9,0),0))))))))</f>
        <v>0</v>
      </c>
      <c r="DY361" s="413">
        <v>26525000022</v>
      </c>
      <c r="DZ361" s="413">
        <v>26528000020</v>
      </c>
      <c r="EA361" s="412"/>
      <c r="EB361" s="412"/>
      <c r="EC361" s="412"/>
      <c r="ED361" s="412"/>
      <c r="EE361" s="412"/>
      <c r="EF361" s="412"/>
      <c r="EG361" s="409">
        <v>6</v>
      </c>
      <c r="EH361" s="398" t="e">
        <f>IF(EG361=0,0,IF(LEN(DY361)=11,_xlfn.XLOOKUP(DY361,'Dispensed Ink Rates'!C:C,'Dispensed Ink Rates'!CS:CS),VLOOKUP(DY361,'Jan-2026 rates'!$E:$F,2,0)))</f>
        <v>#N/A</v>
      </c>
      <c r="EI361" s="409">
        <v>5</v>
      </c>
      <c r="EJ361" s="398" t="e">
        <f>IF(EI361=0,0,IF(LEN(DZ361)=11,_xlfn.XLOOKUP(DZ361,'Dispensed Ink Rates'!C:C,'Dispensed Ink Rates'!CS:CS),VLOOKUP(DZ361,'Jan-2026 rates'!$E:$F,2,0)))</f>
        <v>#N/A</v>
      </c>
      <c r="EK361" s="409"/>
      <c r="EL361" s="398">
        <f>IF(EK361=0,0,IF(LEN(EA361)=11,_xlfn.XLOOKUP(EA361,'Dispensed Ink Rates'!C:C,'Dispensed Ink Rates'!CS:CS),VLOOKUP(EA361,'Jan-2026 rates'!$E:$F,2,0)))</f>
        <v>0</v>
      </c>
      <c r="EM361" s="409"/>
      <c r="EN361" s="398">
        <f>IF(EM361=0,0,IF(LEN(EB361)=11,_xlfn.XLOOKUP(EB361,'Dispensed Ink Rates'!C:C,'Dispensed Ink Rates'!CS:CS),VLOOKUP(EB361,'Jan-2026 rates'!$E:$F,2,0)))</f>
        <v>0</v>
      </c>
      <c r="EO361" s="409"/>
      <c r="EP361" s="398">
        <f>IF(EO361=0,0,IF(LEN(EC361)=11,_xlfn.XLOOKUP(EC361,'Dispensed Ink Rates'!C:C,'Dispensed Ink Rates'!CS:CS),VLOOKUP(EC361,'Jan-2026 rates'!$E:$F,2,0)))</f>
        <v>0</v>
      </c>
      <c r="EQ361" s="409"/>
      <c r="ER361" s="398">
        <f>IF(EQ361=0,0,IF(LEN(ED361)=11,_xlfn.XLOOKUP(ED361,'Dispensed Ink Rates'!C:C,'Dispensed Ink Rates'!CS:CS),VLOOKUP(ED361,'Jan-2026 rates'!$E:$F,2,0)))</f>
        <v>0</v>
      </c>
      <c r="ES361" s="409"/>
      <c r="ET361" s="398">
        <f>IF(ES361=0,0,IF(LEN(EE361)=11,_xlfn.XLOOKUP(EE361,'Dispensed Ink Rates'!C:C,'Dispensed Ink Rates'!CS:CS),VLOOKUP(EE361,'Jan-2026 rates'!$E:$F,2,0)))</f>
        <v>0</v>
      </c>
      <c r="EU361" s="409"/>
      <c r="EV361" s="398">
        <f>IF(EU361=0,0,IF(LEN(EF361)=11,_xlfn.XLOOKUP(EF361,'Dispensed Ink Rates'!C:C,'Dispensed Ink Rates'!CS:CS),VLOOKUP(EF361,'Jan-2026 rates'!$E:$F,2,0)))</f>
        <v>0</v>
      </c>
      <c r="EW361" s="409" t="s">
        <v>1443</v>
      </c>
      <c r="EX361" s="409">
        <v>28</v>
      </c>
      <c r="EY361" s="411">
        <f t="shared" si="221"/>
        <v>0</v>
      </c>
      <c r="EZ361" s="411">
        <f t="shared" si="222"/>
        <v>25.260869565217391</v>
      </c>
      <c r="FA361" s="410">
        <f t="shared" si="223"/>
        <v>0</v>
      </c>
      <c r="FB361" s="405" t="s">
        <v>855</v>
      </c>
      <c r="FC361" s="409" t="s">
        <v>4769</v>
      </c>
      <c r="FD361" s="420" t="str">
        <f t="shared" si="187"/>
        <v>FLINTSL - CYAN</v>
      </c>
      <c r="FE361" s="409">
        <v>25</v>
      </c>
      <c r="FF361" s="411">
        <f>IF(FE361=0,0,IF($LB361=70%,VLOOKUP($FD361,'Jan-2026 rates'!$L:$R,4,0),IF($LB361=65%,VLOOKUP($FD361,'Jan-2026 rates'!$L:$R,4,0),IF($LB361=40%,VLOOKUP($FD361,'Jan-2026 rates'!$L:$R,5,0),IF($LB361=30%,VLOOKUP($FD361,'Jan-2026 rates'!$L:$R,6,0),IF($LB361=100%,VLOOKUP($FD361,'Jan-2026 rates'!$L:$R,7,0),IF($LB361=60%,VLOOKUP($FD361,'Jan-2026 rates'!$L:$S,8,0),IF($LB361=80%,VLOOKUP($FD361,'Jan-2026 rates'!L:T,9,0),0))))))))</f>
        <v>0</v>
      </c>
      <c r="FG361" s="412"/>
      <c r="FH361" s="409"/>
      <c r="FI361" s="411">
        <f>IF(FH361=0,0,IF($LB361=70%,VLOOKUP($FD361,'Jan-2026 rates'!$L:$R,4,0),IF($LB361=65%,VLOOKUP($FD361,'Jan-2026 rates'!$L:$R,4,0),IF($LB361=40%,VLOOKUP($FD361,'Jan-2026 rates'!$L:$R,5,0),IF($LB361=30%,VLOOKUP($FD361,'Jan-2026 rates'!$L:$R,6,0),IF($LB361=100%,VLOOKUP($FD361,'Jan-2026 rates'!$L:$R,7,0),IF($LB361=60%,VLOOKUP($FD361,'Jan-2026 rates'!$L:$S,8,0),IF($LB361=80%,VLOOKUP($FD361,'Jan-2026 rates'!L:T,9,0),0))))))))</f>
        <v>0</v>
      </c>
      <c r="FJ361" s="413">
        <v>26524000018</v>
      </c>
      <c r="FK361" s="413"/>
      <c r="FL361" s="413"/>
      <c r="FM361" s="412"/>
      <c r="FN361" s="412"/>
      <c r="FO361" s="412"/>
      <c r="FP361" s="412"/>
      <c r="FQ361" s="412"/>
      <c r="FR361" s="409">
        <v>4</v>
      </c>
      <c r="FS361" s="398" t="e">
        <f>IF(FR361=0,0,IF(LEN(FJ361)=11,_xlfn.XLOOKUP(FJ361,'Dispensed Ink Rates'!C:C,'Dispensed Ink Rates'!CS:CS),VLOOKUP(FJ361,'Jan-2026 rates'!$E:$F,2,0)))</f>
        <v>#N/A</v>
      </c>
      <c r="FT361" s="409"/>
      <c r="FU361" s="398">
        <f>IF(FT361=0,0,IF(LEN(FK361)=11,_xlfn.XLOOKUP(FK361,'Dispensed Ink Rates'!C:C,'Dispensed Ink Rates'!CS:CS),VLOOKUP(FK361,'Jan-2026 rates'!$E:$F,2,0)))</f>
        <v>0</v>
      </c>
      <c r="FV361" s="409"/>
      <c r="FW361" s="398">
        <f>IF(FV361=0,0,IF(LEN(FL361)=11,_xlfn.XLOOKUP(FL361,'Dispensed Ink Rates'!C:C,'Dispensed Ink Rates'!CS:CS),VLOOKUP(FL361,'Jan-2026 rates'!$E:$F,2,0)))</f>
        <v>0</v>
      </c>
      <c r="FX361" s="409"/>
      <c r="FY361" s="398">
        <f>IF(FX361=0,0,IF(LEN(FM361)=11,_xlfn.XLOOKUP(FM361,'Dispensed Ink Rates'!C:C,'Dispensed Ink Rates'!CS:CS),VLOOKUP(FM361,'Jan-2026 rates'!$E:$F,2,0)))</f>
        <v>0</v>
      </c>
      <c r="FZ361" s="409"/>
      <c r="GA361" s="398">
        <f>IF(FZ361=0,0,IF(LEN(FN361)=11,_xlfn.XLOOKUP(FN361,'Dispensed Ink Rates'!C:C,'Dispensed Ink Rates'!CS:CS),VLOOKUP(FN361,'Jan-2026 rates'!$E:$F,2,0)))</f>
        <v>0</v>
      </c>
      <c r="GB361" s="409"/>
      <c r="GC361" s="398">
        <f>IF(GB361=0,0,IF(LEN(FO361)=11,_xlfn.XLOOKUP(FO361,'Dispensed Ink Rates'!C:C,'Dispensed Ink Rates'!CS:CS),VLOOKUP(FO361,'Jan-2026 rates'!$E:$F,2,0)))</f>
        <v>0</v>
      </c>
      <c r="GD361" s="409"/>
      <c r="GE361" s="398">
        <f>IF(GD361=0,0,IF(LEN(FP361)=11,_xlfn.XLOOKUP(FP361,'Dispensed Ink Rates'!C:C,'Dispensed Ink Rates'!CS:CS),VLOOKUP(FP361,'Jan-2026 rates'!$E:$F,2,0)))</f>
        <v>0</v>
      </c>
      <c r="GF361" s="409"/>
      <c r="GG361" s="398">
        <f>IF(GF361=0,0,IF(LEN(FQ361)=11,_xlfn.XLOOKUP(FQ361,'Dispensed Ink Rates'!C:C,'Dispensed Ink Rates'!CS:CS),VLOOKUP(FQ361,'Jan-2026 rates'!$E:$F,2,0)))</f>
        <v>0</v>
      </c>
      <c r="GH361" s="409" t="s">
        <v>1443</v>
      </c>
      <c r="GI361" s="409">
        <v>24</v>
      </c>
      <c r="GJ361" s="411">
        <f t="shared" si="224"/>
        <v>0</v>
      </c>
      <c r="GK361" s="411">
        <f t="shared" si="225"/>
        <v>13.913043478260867</v>
      </c>
      <c r="GL361" s="410">
        <f t="shared" si="226"/>
        <v>0</v>
      </c>
      <c r="GM361" s="405" t="s">
        <v>544</v>
      </c>
      <c r="GN361" s="409" t="s">
        <v>4770</v>
      </c>
      <c r="GO361" s="420" t="str">
        <f t="shared" si="188"/>
        <v>FLINTSL - MAGENTA</v>
      </c>
      <c r="GP361" s="409">
        <v>28</v>
      </c>
      <c r="GQ361" s="411">
        <f>IF(GP361=0,0,IF($LB361=70%,VLOOKUP($GO361,'Jan-2026 rates'!$L:$R,4,0),IF($LB361=65%,VLOOKUP($GO361,'Jan-2026 rates'!$L:$R,4,0),IF($LB361=40%,VLOOKUP($GO361,'Jan-2026 rates'!$L:$R,5,0),IF($LB361=30%,VLOOKUP($GO361,'Jan-2026 rates'!$L:$R,6,0),IF($LB361=100%,VLOOKUP($GO361,'Jan-2026 rates'!$L:$R,7,0),IF($LB361=60%,VLOOKUP($GO361,'Jan-2026 rates'!$L:$S,8,0),IF($LB361=80%,VLOOKUP($GO361,'Jan-2026 rates'!L:T,9,0),0))))))))</f>
        <v>0</v>
      </c>
      <c r="GR361" s="412"/>
      <c r="GS361" s="409"/>
      <c r="GT361" s="411">
        <f>IF(GS361=0,0,IF($LB361=70%,VLOOKUP($GO361,'Jan-2026 rates'!$L:$R,4,0),IF($LB361=65%,VLOOKUP($GO361,'Jan-2026 rates'!$L:$R,4,0),IF($LB361=40%,VLOOKUP($GO361,'Jan-2026 rates'!$L:$R,5,0),IF($LB361=30%,VLOOKUP($GO361,'Jan-2026 rates'!$L:$R,6,0),IF($LB361=100%,VLOOKUP($GO361,'Jan-2026 rates'!$L:$R,7,0),IF($LB361=60%,VLOOKUP($GO361,'Jan-2026 rates'!$L:$S,8,0),IF($LB361=80%,VLOOKUP($GO361,'Jan-2026 rates'!L:T,9,0),0))))))))</f>
        <v>0</v>
      </c>
      <c r="GU361" s="413"/>
      <c r="GV361" s="413"/>
      <c r="GW361" s="412"/>
      <c r="GX361" s="412"/>
      <c r="GY361" s="412"/>
      <c r="GZ361" s="412"/>
      <c r="HA361" s="412"/>
      <c r="HB361" s="412"/>
      <c r="HC361" s="409"/>
      <c r="HD361" s="398">
        <f>IF(HC361=0,0,IF(LEN(GU361)=11,_xlfn.XLOOKUP(GU361,'Dispensed Ink Rates'!C:C,'Dispensed Ink Rates'!CS:CS),VLOOKUP(GU361,'Jan-2026 rates'!$E:$F,2,0)))</f>
        <v>0</v>
      </c>
      <c r="HE361" s="409"/>
      <c r="HF361" s="398">
        <f>IF(HE361=0,0,IF(LEN(GV361)=11,_xlfn.XLOOKUP(GV361,'Dispensed Ink Rates'!C:C,'Dispensed Ink Rates'!CS:CS),VLOOKUP(GV361,'Jan-2026 rates'!$E:$F,2,0)))</f>
        <v>0</v>
      </c>
      <c r="HG361" s="409"/>
      <c r="HH361" s="398">
        <f>IF(HG361=0,0,IF(LEN(GW361)=11,_xlfn.XLOOKUP(GW361,'Dispensed Ink Rates'!C:C,'Dispensed Ink Rates'!CS:CS),VLOOKUP(GW361,'Jan-2026 rates'!$E:$F,2,0)))</f>
        <v>0</v>
      </c>
      <c r="HI361" s="409"/>
      <c r="HJ361" s="398">
        <f>IF(HI361=0,0,IF(LEN(GX361)=11,_xlfn.XLOOKUP(GX361,'Dispensed Ink Rates'!C:C,'Dispensed Ink Rates'!CS:CS),VLOOKUP(GX361,'Jan-2026 rates'!$E:$F,2,0)))</f>
        <v>0</v>
      </c>
      <c r="HK361" s="409"/>
      <c r="HL361" s="398">
        <f>IF(HK361=0,0,IF(LEN(GY361)=11,_xlfn.XLOOKUP(GY361,'Dispensed Ink Rates'!C:C,'Dispensed Ink Rates'!CS:CS),VLOOKUP(GY361,'Jan-2026 rates'!$E:$F,2,0)))</f>
        <v>0</v>
      </c>
      <c r="HM361" s="409"/>
      <c r="HN361" s="398">
        <f>IF(HM361=0,0,IF(LEN(GZ361)=11,_xlfn.XLOOKUP(GZ361,'Dispensed Ink Rates'!C:C,'Dispensed Ink Rates'!CS:CS),VLOOKUP(GZ361,'Jan-2026 rates'!$E:$F,2,0)))</f>
        <v>0</v>
      </c>
      <c r="HO361" s="409"/>
      <c r="HP361" s="398">
        <f>IF(HO361=0,0,IF(LEN(HA361)=11,_xlfn.XLOOKUP(HA361,'Dispensed Ink Rates'!C:C,'Dispensed Ink Rates'!CS:CS),VLOOKUP(HA361,'Jan-2026 rates'!$E:$F,2,0)))</f>
        <v>0</v>
      </c>
      <c r="HQ361" s="409"/>
      <c r="HR361" s="398">
        <f>IF(HQ361=0,0,IF(LEN(HB361)=11,_xlfn.XLOOKUP(HB361,'Dispensed Ink Rates'!C:C,'Dispensed Ink Rates'!CS:CS),VLOOKUP(HB361,'Jan-2026 rates'!$E:$F,2,0)))</f>
        <v>0</v>
      </c>
      <c r="HS361" s="409" t="s">
        <v>1443</v>
      </c>
      <c r="HT361" s="409">
        <v>15</v>
      </c>
      <c r="HU361" s="411">
        <f t="shared" si="227"/>
        <v>0</v>
      </c>
      <c r="HV361" s="411">
        <f t="shared" si="228"/>
        <v>18.347826086956523</v>
      </c>
      <c r="HW361" s="414">
        <f t="shared" si="229"/>
        <v>0</v>
      </c>
      <c r="HX361" s="405" t="s">
        <v>545</v>
      </c>
      <c r="HY361" s="409" t="s">
        <v>4771</v>
      </c>
      <c r="HZ361" s="420" t="str">
        <f t="shared" si="189"/>
        <v>FLINTSL - YELLOW</v>
      </c>
      <c r="IA361" s="409">
        <v>26</v>
      </c>
      <c r="IB361" s="411">
        <f>IF(IA361=0,0,IF($LB361=70%,VLOOKUP($HZ361,'Jan-2026 rates'!$L:$R,4,0),IF($LB361=65%,VLOOKUP($HZ361,'Jan-2026 rates'!$L:$R,4,0),IF($LB361=40%,VLOOKUP($HZ361,'Jan-2026 rates'!$L:$R,5,0),IF($LB361=30%,VLOOKUP($HZ361,'Jan-2026 rates'!$L:$R,6,0),IF($LB361=100%,VLOOKUP($HZ361,'Jan-2026 rates'!$L:$R,7,0),IF($LB361=60%,VLOOKUP($HZ361,'Jan-2026 rates'!$L:$S,8,0),IF($LB361=80%,VLOOKUP($HZ361,'Jan-2026 rates'!L:T,9,0),0))))))))</f>
        <v>0</v>
      </c>
      <c r="IC361" s="412"/>
      <c r="ID361" s="409"/>
      <c r="IE361" s="411">
        <f>IF(ID361=0,0,IF($LB361=70%,VLOOKUP($HZ361,'Jan-2026 rates'!$L:$R,4,0),IF($LB361=65%,VLOOKUP($HZ361,'Jan-2026 rates'!$L:$R,4,0),IF($LB361=40%,VLOOKUP($HZ361,'Jan-2026 rates'!$L:$R,5,0),IF($LB361=30%,VLOOKUP($HZ361,'Jan-2026 rates'!$L:$R,6,0),IF($LB361=100%,VLOOKUP($HZ361,'Jan-2026 rates'!$L:$R,7,0),IF($LB361=60%,VLOOKUP($HZ361,'Jan-2026 rates'!$L:$S,8,0),IF($LB361=80%,VLOOKUP($HZ361,'Jan-2026 rates'!L:T,9,0),0))))))))</f>
        <v>0</v>
      </c>
      <c r="IF361" s="412">
        <v>26527000020</v>
      </c>
      <c r="IG361" s="413">
        <v>26527000024</v>
      </c>
      <c r="IH361" s="412" t="s">
        <v>1266</v>
      </c>
      <c r="II361" s="412"/>
      <c r="IJ361" s="412"/>
      <c r="IK361" s="412"/>
      <c r="IL361" s="412"/>
      <c r="IM361" s="412"/>
      <c r="IN361" s="409">
        <v>40</v>
      </c>
      <c r="IO361" s="398" t="e">
        <f>IF(IN361=0,0,IF(LEN(IF361)=11,_xlfn.XLOOKUP(IF361,'Dispensed Ink Rates'!C:C,'Dispensed Ink Rates'!CS:CS),VLOOKUP(IF361,'Jan-2026 rates'!$E:$F,2,0)))</f>
        <v>#N/A</v>
      </c>
      <c r="IP361" s="409">
        <v>60</v>
      </c>
      <c r="IQ361" s="398" t="e">
        <f>IF(IP361=0,0,IF(LEN(IG361)=11,_xlfn.XLOOKUP(IG361,'Dispensed Ink Rates'!C:C,'Dispensed Ink Rates'!CS:CS),VLOOKUP(IG361,'Jan-2026 rates'!$E:$F,2,0)))</f>
        <v>#N/A</v>
      </c>
      <c r="IR361" s="409">
        <v>15</v>
      </c>
      <c r="IS361" s="398">
        <f>IF(IR361=0,0,IF(LEN(IH361)=11,_xlfn.XLOOKUP(IH361,'Dispensed Ink Rates'!C:C,'Dispensed Ink Rates'!CS:CS),VLOOKUP(IH361,'Jan-2026 rates'!$E:$F,2,0)))</f>
        <v>0</v>
      </c>
      <c r="IT361" s="409"/>
      <c r="IU361" s="398">
        <f>IF(IT361=0,0,IF(LEN(II361)=11,_xlfn.XLOOKUP(II361,'Dispensed Ink Rates'!C:C,'Dispensed Ink Rates'!CS:CS),VLOOKUP(II361,'Jan-2026 rates'!$E:$F,2,0)))</f>
        <v>0</v>
      </c>
      <c r="IV361" s="409"/>
      <c r="IW361" s="398">
        <f>IF(IV361=0,0,IF(LEN(IJ361)=11,_xlfn.XLOOKUP(IJ361,'Dispensed Ink Rates'!C:C,'Dispensed Ink Rates'!CS:CS),VLOOKUP(IJ361,'Jan-2026 rates'!$E:$F,2,0)))</f>
        <v>0</v>
      </c>
      <c r="IX361" s="409"/>
      <c r="IY361" s="398">
        <f>IF(IX361=0,0,IF(LEN(IK361)=11,_xlfn.XLOOKUP(IK361,'Dispensed Ink Rates'!C:C,'Dispensed Ink Rates'!CS:CS),VLOOKUP(IK361,'Jan-2026 rates'!$E:$F,2,0)))</f>
        <v>0</v>
      </c>
      <c r="IZ361" s="409"/>
      <c r="JA361" s="398">
        <f>IF(IZ361=0,0,IF(LEN(IL361)=11,_xlfn.XLOOKUP(IL361,'Dispensed Ink Rates'!C:C,'Dispensed Ink Rates'!CS:CS),VLOOKUP(IL361,'Jan-2026 rates'!$E:$F,2,0)))</f>
        <v>0</v>
      </c>
      <c r="JB361" s="409"/>
      <c r="JC361" s="398">
        <f>IF(JB361=0,0,IF(LEN(IM361)=11,_xlfn.XLOOKUP(IM361,'Dispensed Ink Rates'!C:C,'Dispensed Ink Rates'!CS:CS),VLOOKUP(IM361,'Jan-2026 rates'!$E:$F,2,0)))</f>
        <v>0</v>
      </c>
      <c r="JD361" s="409" t="s">
        <v>1443</v>
      </c>
      <c r="JE361" s="409">
        <v>30</v>
      </c>
      <c r="JF361" s="411">
        <f t="shared" si="230"/>
        <v>0</v>
      </c>
      <c r="JG361" s="411">
        <f t="shared" si="231"/>
        <v>217.95652173913044</v>
      </c>
      <c r="JH361" s="410">
        <f t="shared" si="232"/>
        <v>0</v>
      </c>
      <c r="JI361" s="405" t="s">
        <v>856</v>
      </c>
      <c r="JJ361" s="409" t="s">
        <v>4772</v>
      </c>
      <c r="JK361" s="420" t="str">
        <f t="shared" si="190"/>
        <v>FLINTSL - WHITE</v>
      </c>
      <c r="JL361" s="409">
        <v>32</v>
      </c>
      <c r="JM361" s="411">
        <f>IF(JL361=0,0,IF($LB361=70%,VLOOKUP($JK361,'Jan-2026 rates'!$L:$R,4,0),IF($LB361=65%,VLOOKUP($JK361,'Jan-2026 rates'!$L:$R,4,0),IF($LB361=40%,VLOOKUP($JK361,'Jan-2026 rates'!$L:$R,5,0),IF($LB361=30%,VLOOKUP($JK361,'Jan-2026 rates'!$L:$R,6,0),IF($LB361=100%,VLOOKUP($JK361,'Jan-2026 rates'!$L:$R,7,0),IF($LB361=60%,VLOOKUP($JK361,'Jan-2026 rates'!$L:$S,8,0),IF($LB361=80%,VLOOKUP($JK361,'Jan-2026 rates'!L:T,9,0),0))))))))</f>
        <v>0</v>
      </c>
      <c r="JN361" s="412"/>
      <c r="JO361" s="409"/>
      <c r="JP361" s="411">
        <f>IF(JO361=0,0,IF($LB361=70%,VLOOKUP($JK361,'Jan-2026 rates'!$L:$R,4,0),IF($LB361=65%,VLOOKUP($JK361,'Jan-2026 rates'!$L:$R,4,0),IF($LB361=40%,VLOOKUP($JK361,'Jan-2026 rates'!$L:$R,5,0),IF($LB361=30%,VLOOKUP($JK361,'Jan-2026 rates'!$L:$R,6,0),IF($LB361=100%,VLOOKUP($JK361,'Jan-2026 rates'!$L:$R,7,0),IF($LB361=60%,VLOOKUP($JK361,'Jan-2026 rates'!$L:$S,8,0),IF($LB361=80%,VLOOKUP($JK361,'Jan-2026 rates'!L:T,9,0),0))))))))</f>
        <v>0</v>
      </c>
      <c r="JQ361" s="413" t="s">
        <v>484</v>
      </c>
      <c r="JR361" s="412"/>
      <c r="JS361" s="413"/>
      <c r="JT361" s="413"/>
      <c r="JU361" s="412"/>
      <c r="JV361" s="412"/>
      <c r="JW361" s="412"/>
      <c r="JX361" s="412"/>
      <c r="JY361" s="409">
        <f>100+60</f>
        <v>160</v>
      </c>
      <c r="JZ361" s="398">
        <f>IF(JY361=0,0,IF(LEN(JQ361)=11,_xlfn.XLOOKUP(JQ361,'Dispensed Ink Rates'!C:C,'Dispensed Ink Rates'!CS:CS),VLOOKUP(JQ361,'Jan-2026 rates'!$E:$F,2,0)))</f>
        <v>0</v>
      </c>
      <c r="KA361" s="409"/>
      <c r="KB361" s="398">
        <f>IF(KA361=0,0,IF(LEN(JR361)=11,_xlfn.XLOOKUP(JR361,'Dispensed Ink Rates'!C:C,'Dispensed Ink Rates'!CS:CS),VLOOKUP(JR361,'Jan-2026 rates'!$E:$F,2,0)))</f>
        <v>0</v>
      </c>
      <c r="KC361" s="409"/>
      <c r="KD361" s="398">
        <f>IF(KC361=0,0,IF(LEN(JS361)=11,_xlfn.XLOOKUP(JS361,'Dispensed Ink Rates'!C:C,'Dispensed Ink Rates'!CS:CS),VLOOKUP(JS361,'Jan-2026 rates'!$E:$F,2,0)))</f>
        <v>0</v>
      </c>
      <c r="KE361" s="409"/>
      <c r="KF361" s="398">
        <f>IF(KE361=0,0,IF(LEN(JT361)=11,_xlfn.XLOOKUP(JT361,'Dispensed Ink Rates'!C:C,'Dispensed Ink Rates'!CS:CS),VLOOKUP(JT361,'Jan-2026 rates'!$E:$F,2,0)))</f>
        <v>0</v>
      </c>
      <c r="KG361" s="409"/>
      <c r="KH361" s="398">
        <f>IF(KG361=0,0,IF(LEN(JU361)=11,_xlfn.XLOOKUP(JU361,'Dispensed Ink Rates'!C:C,'Dispensed Ink Rates'!CS:CS),VLOOKUP(JU361,'Jan-2026 rates'!$E:$F,2,0)))</f>
        <v>0</v>
      </c>
      <c r="KI361" s="409"/>
      <c r="KJ361" s="398">
        <f>IF(KI361=0,0,IF(LEN(JV361)=11,_xlfn.XLOOKUP(JV361,'Dispensed Ink Rates'!C:C,'Dispensed Ink Rates'!CS:CS),VLOOKUP(JV361,'Jan-2026 rates'!$E:$F,2,0)))</f>
        <v>0</v>
      </c>
      <c r="KK361" s="409"/>
      <c r="KL361" s="398">
        <f>IF(KK361=0,0,IF(LEN(JW361)=11,_xlfn.XLOOKUP(JW361,'Dispensed Ink Rates'!C:C,'Dispensed Ink Rates'!CS:CS),VLOOKUP(JW361,'Jan-2026 rates'!$E:$F,2,0)))</f>
        <v>0</v>
      </c>
      <c r="KM361" s="428"/>
      <c r="KN361" s="398">
        <f>IF(KM361=0,0,IF(LEN(JX361)=11,_xlfn.XLOOKUP(JX361,'Dispensed Ink Rates'!C:C,'Dispensed Ink Rates'!CS:CS),VLOOKUP(JX361,'Jan-2026 rates'!$E:$F,2,0)))</f>
        <v>0</v>
      </c>
      <c r="KO361" s="409" t="s">
        <v>1443</v>
      </c>
      <c r="KP361" s="409">
        <v>30</v>
      </c>
      <c r="KQ361" s="411">
        <f t="shared" si="233"/>
        <v>0</v>
      </c>
      <c r="KR361" s="411">
        <f t="shared" si="234"/>
        <v>340.26086956521738</v>
      </c>
      <c r="KS361" s="410">
        <f t="shared" si="235"/>
        <v>0</v>
      </c>
      <c r="KT361" s="409">
        <v>3</v>
      </c>
      <c r="KU361" s="409">
        <v>5</v>
      </c>
      <c r="KV361" s="409">
        <v>0</v>
      </c>
      <c r="KW361" s="409">
        <v>8</v>
      </c>
      <c r="KX361" s="409">
        <v>5</v>
      </c>
      <c r="KY361" s="409">
        <v>3</v>
      </c>
      <c r="KZ361" s="409">
        <v>60</v>
      </c>
      <c r="LA361" s="409">
        <f>60+40</f>
        <v>100</v>
      </c>
      <c r="LB361" s="415">
        <v>0.8</v>
      </c>
      <c r="LC361" s="415">
        <v>0.2</v>
      </c>
      <c r="LD361" s="424"/>
      <c r="LE361" s="415"/>
      <c r="LF361" s="415"/>
      <c r="LG361" s="409">
        <v>0</v>
      </c>
      <c r="LH361" s="409">
        <f>100+70+120+30+5+3</f>
        <v>328</v>
      </c>
      <c r="LI361" s="409">
        <v>0</v>
      </c>
      <c r="LJ361" s="409">
        <v>0</v>
      </c>
      <c r="LK361" s="416">
        <f t="shared" si="191"/>
        <v>328</v>
      </c>
      <c r="LL361" s="416">
        <f t="shared" si="349"/>
        <v>328</v>
      </c>
      <c r="LM361" s="417">
        <f t="shared" si="193"/>
        <v>262.40000000000003</v>
      </c>
      <c r="LN361" s="417">
        <f>VLOOKUP($LM$8,'Jan-2026 rates'!$H:$I,2,0)</f>
        <v>0</v>
      </c>
      <c r="LO361" s="417">
        <f t="shared" si="194"/>
        <v>65.600000000000009</v>
      </c>
      <c r="LP361" s="417">
        <f>VLOOKUP($LO$8,'Jan-2026 rates'!$H:$I,2,0)</f>
        <v>0</v>
      </c>
      <c r="LQ361" s="417">
        <f t="shared" si="195"/>
        <v>0</v>
      </c>
      <c r="LR361" s="417">
        <f>VLOOKUP($LQ$8,'Jan-2026 rates'!$H:$I,2,0)</f>
        <v>0</v>
      </c>
      <c r="LS361" s="417">
        <f t="shared" si="196"/>
        <v>0</v>
      </c>
      <c r="LT361" s="417">
        <f>VLOOKUP($LS$8,'Jan-2026 rates'!$H:$I,2,0)</f>
        <v>0</v>
      </c>
      <c r="LU361" s="417">
        <f t="shared" si="197"/>
        <v>0</v>
      </c>
      <c r="LV361" s="417">
        <f>VLOOKUP($LU$8,'Jan-2026 rates'!$H:$I,2,0)</f>
        <v>0</v>
      </c>
      <c r="LW361" s="417">
        <f t="shared" si="198"/>
        <v>0</v>
      </c>
      <c r="LX361" s="417">
        <f t="shared" si="199"/>
        <v>0</v>
      </c>
      <c r="LY361" s="418">
        <f t="shared" si="200"/>
        <v>0</v>
      </c>
      <c r="LZ361" s="417"/>
      <c r="MA361" s="435">
        <f t="shared" si="201"/>
        <v>301</v>
      </c>
      <c r="MB361" s="282">
        <f t="shared" si="202"/>
        <v>640</v>
      </c>
      <c r="MC361" s="283">
        <v>203</v>
      </c>
      <c r="MD361" s="284" t="str">
        <f t="shared" si="203"/>
        <v>FLINTSLFLINTSLFLINTSLFLINTSLFLINTSLFLINTSLFLINTSLFLINTSL</v>
      </c>
      <c r="ME361" s="293" t="str">
        <f t="shared" si="204"/>
        <v>+</v>
      </c>
      <c r="MF361" s="293" t="str">
        <f t="shared" si="205"/>
        <v>+</v>
      </c>
      <c r="MG361" s="293" t="str">
        <f t="shared" si="206"/>
        <v>+</v>
      </c>
      <c r="MH361" s="293" t="str">
        <f t="shared" si="207"/>
        <v>+</v>
      </c>
      <c r="MI361" s="293" t="str">
        <f t="shared" si="208"/>
        <v>+</v>
      </c>
      <c r="MJ361" s="293" t="str">
        <f t="shared" si="209"/>
        <v>+</v>
      </c>
      <c r="MK361" s="293" t="str">
        <f t="shared" si="210"/>
        <v>+</v>
      </c>
      <c r="ML361" s="293" t="str">
        <f t="shared" si="211"/>
        <v>+</v>
      </c>
      <c r="MM361" s="3" t="b">
        <f t="array" ref="MM361">OR(ME361:ML361="-")</f>
        <v>0</v>
      </c>
      <c r="MO361" s="401">
        <f t="shared" si="350"/>
        <v>68.230277185501066</v>
      </c>
      <c r="MP361" s="286"/>
      <c r="MR361" s="402">
        <f t="shared" si="351"/>
        <v>1.2144212523719165E-2</v>
      </c>
      <c r="MS361" s="400">
        <f t="shared" si="352"/>
        <v>0</v>
      </c>
      <c r="MT361" s="285"/>
      <c r="NH361" s="361"/>
      <c r="NJ361" s="282"/>
    </row>
    <row r="362" spans="1:374" ht="16.5">
      <c r="A362" s="403">
        <v>46049</v>
      </c>
      <c r="B362" s="404" t="s">
        <v>1015</v>
      </c>
      <c r="C362" s="405" t="s">
        <v>4773</v>
      </c>
      <c r="D362" s="404">
        <v>204</v>
      </c>
      <c r="E362" s="404">
        <v>1261</v>
      </c>
      <c r="F362" s="407">
        <v>47500</v>
      </c>
      <c r="G362" s="407" t="s">
        <v>1019</v>
      </c>
      <c r="H362" s="408" t="s">
        <v>1017</v>
      </c>
      <c r="I362" s="409">
        <v>1.1000000000000001</v>
      </c>
      <c r="J362" s="405" t="s">
        <v>543</v>
      </c>
      <c r="K362" s="404" t="s">
        <v>4774</v>
      </c>
      <c r="L362" s="419" t="str">
        <f t="shared" si="184"/>
        <v>FLINTSL - BLACK</v>
      </c>
      <c r="M362" s="404">
        <v>25</v>
      </c>
      <c r="N362" s="410">
        <f>IF(M362=0,0,IF($LB362=70%,VLOOKUP($L362,'Jan-2026 rates'!$L:$R,4,0),IF($LB362=65%,VLOOKUP($L362,'Jan-2026 rates'!$L:$R,4,0),IF($LB362=40%,VLOOKUP($L362,'Jan-2026 rates'!$L:$R,5,0),IF($LB362=30%,VLOOKUP($L362,'Jan-2026 rates'!$L:$R,6,0),IF($LB362=100%,VLOOKUP($L362,'Jan-2026 rates'!$L:$R,7,0),IF($LB362=60%,VLOOKUP($L362,'Jan-2026 rates'!$L:$S,8,0),IF($LB362=80%,VLOOKUP($L362,'Jan-2026 rates'!L:T,9,0),0))))))))</f>
        <v>0</v>
      </c>
      <c r="O362" s="406"/>
      <c r="P362" s="404"/>
      <c r="Q362" s="410">
        <f>IF(P362=0,0,IF($LB362=70%,VLOOKUP($L362,'Jan-2026 rates'!$L:$R,4,0),IF($LB362=65%,VLOOKUP($L362,'Jan-2026 rates'!$L:$R,4,0),IF($LB362=40%,VLOOKUP($L362,'Jan-2026 rates'!$L:$R,5,0),IF($LB362=30%,VLOOKUP($L362,'Jan-2026 rates'!$L:$R,6,0),IF($LB362=100%,VLOOKUP($L362,'Jan-2026 rates'!$L:$R,7,0),IF($LB362=60%,VLOOKUP($L362,'Jan-2026 rates'!$L:$S,8,0),IF($LB362=80%,VLOOKUP($L362,'Jan-2026 rates'!L:T,9,0),0))))))))</f>
        <v>0</v>
      </c>
      <c r="R362" s="406">
        <v>26527000015</v>
      </c>
      <c r="S362" s="406"/>
      <c r="T362" s="406"/>
      <c r="U362" s="406"/>
      <c r="V362" s="406"/>
      <c r="W362" s="406"/>
      <c r="X362" s="406"/>
      <c r="Y362" s="406"/>
      <c r="Z362" s="404">
        <v>5</v>
      </c>
      <c r="AA362" s="398" t="e">
        <f>IF(Z362=0,0,IF(LEN(R362)=11,_xlfn.XLOOKUP(R362,'Dispensed Ink Rates'!C:C,'Dispensed Ink Rates'!CS:CS),VLOOKUP(R362,'Jan-2026 rates'!$E:$F,2,0)))</f>
        <v>#N/A</v>
      </c>
      <c r="AB362" s="404"/>
      <c r="AC362" s="398">
        <f>IF(AB362=0,0,IF(LEN(S362)=11,_xlfn.XLOOKUP(S362,'Dispensed Ink Rates'!C:C,'Dispensed Ink Rates'!CS:CS),VLOOKUP(S362,'Jan-2026 rates'!$E:$F,2,0)))</f>
        <v>0</v>
      </c>
      <c r="AD362" s="404"/>
      <c r="AE362" s="398">
        <f>IF(AD362=0,0,IF(LEN(T362)=11,_xlfn.XLOOKUP(T362,'Dispensed Ink Rates'!C:C,'Dispensed Ink Rates'!CS:CS),VLOOKUP(T362,'Jan-2026 rates'!$E:$F,2,0)))</f>
        <v>0</v>
      </c>
      <c r="AF362" s="404"/>
      <c r="AG362" s="398">
        <f>IF(AF362=0,0,IF(LEN(U362)=11,_xlfn.XLOOKUP(U362,'Dispensed Ink Rates'!C:C,'Dispensed Ink Rates'!CS:CS),VLOOKUP(U362,'Jan-2026 rates'!$E:$F,2,0)))</f>
        <v>0</v>
      </c>
      <c r="AH362" s="404"/>
      <c r="AI362" s="398">
        <f>IF(AH362=0,0,IF(LEN(V362)=11,_xlfn.XLOOKUP(V362,'Dispensed Ink Rates'!C:C,'Dispensed Ink Rates'!CS:CS),VLOOKUP(V362,'Jan-2026 rates'!$E:$F,2,0)))</f>
        <v>0</v>
      </c>
      <c r="AJ362" s="404"/>
      <c r="AK362" s="398">
        <f>IF(AJ362=0,0,IF(LEN(W362)=11,_xlfn.XLOOKUP(W362,'Dispensed Ink Rates'!C:C,'Dispensed Ink Rates'!CS:CS),VLOOKUP(W362,'Jan-2026 rates'!$E:$F,2,0)))</f>
        <v>0</v>
      </c>
      <c r="AL362" s="404"/>
      <c r="AM362" s="398">
        <f>IF(AL362=0,0,IF(LEN(X362)=11,_xlfn.XLOOKUP(X362,'Dispensed Ink Rates'!C:C,'Dispensed Ink Rates'!CS:CS),VLOOKUP(X362,'Jan-2026 rates'!$E:$F,2,0)))</f>
        <v>0</v>
      </c>
      <c r="AN362" s="404"/>
      <c r="AO362" s="398">
        <f>IF(AN362=0,0,IF(LEN(Y362)=11,_xlfn.XLOOKUP(Y362,'Dispensed Ink Rates'!C:C,'Dispensed Ink Rates'!CS:CS),VLOOKUP(Y362,'Jan-2026 rates'!$E:$F,2,0)))</f>
        <v>0</v>
      </c>
      <c r="AP362" s="409" t="s">
        <v>1443</v>
      </c>
      <c r="AQ362" s="409">
        <v>25</v>
      </c>
      <c r="AR362" s="410">
        <f t="shared" si="212"/>
        <v>0</v>
      </c>
      <c r="AS362" s="411">
        <f t="shared" si="213"/>
        <v>10.90625</v>
      </c>
      <c r="AT362" s="410">
        <f t="shared" si="214"/>
        <v>0</v>
      </c>
      <c r="AU362" s="405" t="s">
        <v>546</v>
      </c>
      <c r="AV362" s="409"/>
      <c r="AW362" s="420" t="str">
        <f t="shared" si="348"/>
        <v>FLINTSL - REFLEX BLUE</v>
      </c>
      <c r="AX362" s="409"/>
      <c r="AY362" s="411">
        <f>IF(AX362=0,0,IF($LB362=70%,VLOOKUP($AW362,'Jan-2026 rates'!$L:$R,4,0),IF($LB362=65%,VLOOKUP($AW362,'Jan-2026 rates'!$L:$R,4,0),IF($LB362=40%,VLOOKUP($AW362,'Jan-2026 rates'!$L:$R,5,0),IF($LB362=30%,VLOOKUP($AW362,'Jan-2026 rates'!$L:$R,6,0),IF($LB362=100%,VLOOKUP($AW362,'Jan-2026 rates'!$L:$R,7,0),IF($LB362=60%,VLOOKUP($AW362,'Jan-2026 rates'!$L:$S,8,0),IF($LB362=80%,VLOOKUP($AW362,'Jan-2026 rates'!L:T,9,0),0))))))))</f>
        <v>0</v>
      </c>
      <c r="AZ362" s="412"/>
      <c r="BA362" s="409"/>
      <c r="BB362" s="411">
        <f>IF(BA362=0,0,IF($LB362=70%,VLOOKUP($AW362,'Jan-2026 rates'!$L:$R,4,0),IF($LB362=65%,VLOOKUP($AW362,'Jan-2026 rates'!$L:$R,4,0),IF($LB362=40%,VLOOKUP($AW362,'Jan-2026 rates'!$L:$R,5,0),IF($LB362=30%,VLOOKUP($AW362,'Jan-2026 rates'!$L:$R,6,0),IF($LB362=100%,VLOOKUP($AW362,'Jan-2026 rates'!$L:$R,7,0),IF($LB362=60%,VLOOKUP($AW362,'Jan-2026 rates'!$L:$S,8,0),IF($LB362=80%,VLOOKUP($AW362,'Jan-2026 rates'!L:T,9,0),0))))))))</f>
        <v>0</v>
      </c>
      <c r="BC362" s="413" t="s">
        <v>1266</v>
      </c>
      <c r="BD362" s="412">
        <v>26524000018</v>
      </c>
      <c r="BE362" s="412">
        <v>26523000020</v>
      </c>
      <c r="BF362" s="413"/>
      <c r="BG362" s="412"/>
      <c r="BH362" s="412"/>
      <c r="BI362" s="412"/>
      <c r="BJ362" s="412"/>
      <c r="BK362" s="409">
        <v>7</v>
      </c>
      <c r="BL362" s="398">
        <f>IF(BK362=0,0,IF(LEN(BC362)=11,_xlfn.XLOOKUP(BC362,'Dispensed Ink Rates'!C:C,'Dispensed Ink Rates'!CS:CS),VLOOKUP(BC362,'Jan-2026 rates'!$E:$F,2,0)))</f>
        <v>0</v>
      </c>
      <c r="BM362" s="409">
        <v>6</v>
      </c>
      <c r="BN362" s="398" t="e">
        <f>IF(BM362=0,0,IF(LEN(BD362)=11,_xlfn.XLOOKUP(BD362,'Dispensed Ink Rates'!C:C,'Dispensed Ink Rates'!CS:CS),VLOOKUP(BD362,'Jan-2026 rates'!$E:$F,2,0)))</f>
        <v>#N/A</v>
      </c>
      <c r="BO362" s="409">
        <v>10</v>
      </c>
      <c r="BP362" s="398" t="e">
        <f>IF(BO362=0,0,IF(LEN(BE362)=11,_xlfn.XLOOKUP(BE362,'Dispensed Ink Rates'!C:C,'Dispensed Ink Rates'!CS:CS),VLOOKUP(BE362,'Jan-2026 rates'!$E:$F,2,0)))</f>
        <v>#N/A</v>
      </c>
      <c r="BQ362" s="409"/>
      <c r="BR362" s="398">
        <f>IF(BQ362=0,0,IF(LEN(BF362)=11,_xlfn.XLOOKUP(BF362,'Dispensed Ink Rates'!C:C,'Dispensed Ink Rates'!CS:CS),VLOOKUP(BF362,'Jan-2026 rates'!$E:$F,2,0)))</f>
        <v>0</v>
      </c>
      <c r="BS362" s="409"/>
      <c r="BT362" s="398">
        <f>IF(BS362=0,0,IF(LEN(BG362)=11,_xlfn.XLOOKUP(BG362,'Dispensed Ink Rates'!C:C,'Dispensed Ink Rates'!CS:CS),VLOOKUP(BG362,'Jan-2026 rates'!$E:$F,2,0)))</f>
        <v>0</v>
      </c>
      <c r="BU362" s="409"/>
      <c r="BV362" s="398">
        <f>IF(BU362=0,0,IF(LEN(BH362)=11,_xlfn.XLOOKUP(BH362,'Dispensed Ink Rates'!C:C,'Dispensed Ink Rates'!CS:CS),VLOOKUP(BH362,'Jan-2026 rates'!$E:$F,2,0)))</f>
        <v>0</v>
      </c>
      <c r="BW362" s="409"/>
      <c r="BX362" s="398">
        <f>IF(BW362=0,0,IF(LEN(BI362)=11,_xlfn.XLOOKUP(BI362,'Dispensed Ink Rates'!C:C,'Dispensed Ink Rates'!CS:CS),VLOOKUP(BI362,'Jan-2026 rates'!$E:$F,2,0)))</f>
        <v>0</v>
      </c>
      <c r="BY362" s="409"/>
      <c r="BZ362" s="398">
        <f>IF(BY362=0,0,IF(LEN(BJ362)=11,_xlfn.XLOOKUP(BJ362,'Dispensed Ink Rates'!C:C,'Dispensed Ink Rates'!CS:CS),VLOOKUP(BJ362,'Jan-2026 rates'!$E:$F,2,0)))</f>
        <v>0</v>
      </c>
      <c r="CA362" s="409" t="s">
        <v>1443</v>
      </c>
      <c r="CB362" s="409">
        <v>24</v>
      </c>
      <c r="CC362" s="411">
        <f t="shared" si="215"/>
        <v>0</v>
      </c>
      <c r="CD362" s="411">
        <f t="shared" si="216"/>
        <v>18.6875</v>
      </c>
      <c r="CE362" s="410">
        <f t="shared" si="217"/>
        <v>0</v>
      </c>
      <c r="CF362" s="404" t="s">
        <v>855</v>
      </c>
      <c r="CG362" s="409" t="s">
        <v>4775</v>
      </c>
      <c r="CH362" s="420" t="str">
        <f t="shared" si="185"/>
        <v>FLINTSL - CYAN</v>
      </c>
      <c r="CI362" s="409">
        <v>24</v>
      </c>
      <c r="CJ362" s="411">
        <f>IF(CI362=0,0,IF($LB362=70%,VLOOKUP($CH362,'Jan-2026 rates'!$L:$R,4,0),IF($LB362=65%,VLOOKUP($CH362,'Jan-2026 rates'!$L:$R,4,0),IF($LB362=40%,VLOOKUP($CH362,'Jan-2026 rates'!$L:$R,5,0),IF($LB362=30%,VLOOKUP($CH362,'Jan-2026 rates'!$L:$R,6,0),IF($LB362=100%,VLOOKUP($CH362,'Jan-2026 rates'!$L:$R,7,0),IF($LB362=60%,VLOOKUP($CH362,'Jan-2026 rates'!$L:$S,8,0),IF($LB362=80%,VLOOKUP($CH362,'Jan-2026 rates'!L:T,9,0),0))))))))</f>
        <v>0</v>
      </c>
      <c r="CK362" s="412"/>
      <c r="CL362" s="409"/>
      <c r="CM362" s="411">
        <f>IF(CL362=0,0,IF($LB362=70%,VLOOKUP($CH362,'Jan-2026 rates'!$L:$R,4,0),IF($LB362=65%,VLOOKUP($CH362,'Jan-2026 rates'!$L:$R,4,0),IF($LB362=40%,VLOOKUP($CH362,'Jan-2026 rates'!$L:$R,5,0),IF($LB362=30%,VLOOKUP($CH362,'Jan-2026 rates'!$L:$R,6,0),IF($LB362=100%,VLOOKUP($CH362,'Jan-2026 rates'!$L:$R,7,0),IF($LB362=60%,VLOOKUP($CH362,'Jan-2026 rates'!$L:$S,8,0),IF($LB362=80%,VLOOKUP($CH362,'Jan-2026 rates'!L:T,9,0),0))))))))</f>
        <v>0</v>
      </c>
      <c r="CN362" s="426" t="s">
        <v>1266</v>
      </c>
      <c r="CO362" s="427">
        <v>26524000018</v>
      </c>
      <c r="CP362" s="426"/>
      <c r="CQ362" s="426"/>
      <c r="CR362" s="428"/>
      <c r="CS362" s="428"/>
      <c r="CT362" s="428"/>
      <c r="CU362" s="428"/>
      <c r="CV362" s="409">
        <v>28</v>
      </c>
      <c r="CW362" s="398">
        <f>IF(CV362=0,0,IF(LEN(CN362)=11,_xlfn.XLOOKUP(CN362,'Dispensed Ink Rates'!C:C,'Dispensed Ink Rates'!CS:CS),VLOOKUP(CN362,'Jan-2026 rates'!$E:$F,2,0)))</f>
        <v>0</v>
      </c>
      <c r="CX362" s="409">
        <v>10</v>
      </c>
      <c r="CY362" s="398" t="e">
        <f>IF(CX362=0,0,IF(LEN(CO362)=11,_xlfn.XLOOKUP(CO362,'Dispensed Ink Rates'!C:C,'Dispensed Ink Rates'!CS:CS),VLOOKUP(CO362,'Jan-2026 rates'!$E:$F,2,0)))</f>
        <v>#N/A</v>
      </c>
      <c r="CZ362" s="409"/>
      <c r="DA362" s="398">
        <f>IF(CZ362=0,0,IF(LEN(CP362)=11,_xlfn.XLOOKUP(CP362,'Dispensed Ink Rates'!C:C,'Dispensed Ink Rates'!CS:CS),VLOOKUP(CP362,'Jan-2026 rates'!$E:$F,2,0)))</f>
        <v>0</v>
      </c>
      <c r="DB362" s="409"/>
      <c r="DC362" s="398">
        <f>IF(DB362=0,0,IF(LEN(CQ362)=11,_xlfn.XLOOKUP(CQ362,'Dispensed Ink Rates'!C:C,'Dispensed Ink Rates'!CS:CS),VLOOKUP(CQ362,'Jan-2026 rates'!$E:$F,2,0)))</f>
        <v>0</v>
      </c>
      <c r="DD362" s="409"/>
      <c r="DE362" s="398">
        <f>IF(DD362=0,0,IF(LEN(CR362)=11,_xlfn.XLOOKUP(CR362,'Dispensed Ink Rates'!C:C,'Dispensed Ink Rates'!CS:CS),VLOOKUP(CR362,'Jan-2026 rates'!$E:$F,2,0)))</f>
        <v>0</v>
      </c>
      <c r="DF362" s="409"/>
      <c r="DG362" s="398">
        <f>IF(DF362=0,0,IF(LEN(CS362)=11,_xlfn.XLOOKUP(CS362,'Dispensed Ink Rates'!C:C,'Dispensed Ink Rates'!CS:CS),VLOOKUP(CS362,'Jan-2026 rates'!$E:$F,2,0)))</f>
        <v>0</v>
      </c>
      <c r="DH362" s="409"/>
      <c r="DI362" s="398">
        <f>IF(DH362=0,0,IF(LEN(CT362)=11,_xlfn.XLOOKUP(CT362,'Dispensed Ink Rates'!C:C,'Dispensed Ink Rates'!CS:CS),VLOOKUP(CT362,'Jan-2026 rates'!$E:$F,2,0)))</f>
        <v>0</v>
      </c>
      <c r="DJ362" s="409"/>
      <c r="DK362" s="398">
        <f>IF(DJ362=0,0,IF(LEN(CU362)=11,_xlfn.XLOOKUP(CU362,'Dispensed Ink Rates'!C:C,'Dispensed Ink Rates'!CS:CS),VLOOKUP(CU362,'Jan-2026 rates'!$E:$F,2,0)))</f>
        <v>0</v>
      </c>
      <c r="DL362" s="409" t="s">
        <v>1443</v>
      </c>
      <c r="DM362" s="409">
        <v>24</v>
      </c>
      <c r="DN362" s="411">
        <f t="shared" si="218"/>
        <v>0</v>
      </c>
      <c r="DO362" s="411">
        <f t="shared" si="219"/>
        <v>67.53125</v>
      </c>
      <c r="DP362" s="410">
        <f t="shared" si="220"/>
        <v>0</v>
      </c>
      <c r="DQ362" s="405" t="s">
        <v>546</v>
      </c>
      <c r="DR362" s="409" t="s">
        <v>4776</v>
      </c>
      <c r="DS362" s="420" t="str">
        <f t="shared" si="186"/>
        <v>FLINTSL - REFLEX BLUE</v>
      </c>
      <c r="DT362" s="409">
        <v>6</v>
      </c>
      <c r="DU362" s="411">
        <f>IF(DT362=0,0,IF($LB362=70%,VLOOKUP($DS362,'Jan-2026 rates'!$L:$R,4,0),IF($LB362=65%,VLOOKUP($DS362,'Jan-2026 rates'!$L:$R,4,0),IF($LB362=40%,VLOOKUP($DS362,'Jan-2026 rates'!$L:$R,5,0),IF($LB362=30%,VLOOKUP($DS362,'Jan-2026 rates'!$L:$R,6,0),IF($LB362=100%,VLOOKUP($DS362,'Jan-2026 rates'!$L:$R,7,0),IF($LB362=60%,VLOOKUP($DS362,'Jan-2026 rates'!$L:$S,8,0),IF($LB362=80%,VLOOKUP($DS362,'Jan-2026 rates'!L:T,9,0),0))))))))</f>
        <v>0</v>
      </c>
      <c r="DV362" s="412" t="s">
        <v>4777</v>
      </c>
      <c r="DW362" s="409">
        <f>16+27</f>
        <v>43</v>
      </c>
      <c r="DX362" s="411">
        <f>IF(DW362=0,0,IF($LB362=70%,VLOOKUP($DS362,'Jan-2026 rates'!$L:$R,4,0),IF($LB362=65%,VLOOKUP($DS362,'Jan-2026 rates'!$L:$R,4,0),IF($LB362=40%,VLOOKUP($DS362,'Jan-2026 rates'!$L:$R,5,0),IF($LB362=30%,VLOOKUP($DS362,'Jan-2026 rates'!$L:$R,6,0),IF($LB362=100%,VLOOKUP($DS362,'Jan-2026 rates'!$L:$R,7,0),IF($LB362=60%,VLOOKUP($DS362,'Jan-2026 rates'!$L:$S,8,0),IF($LB362=80%,VLOOKUP($DS362,'Jan-2026 rates'!L:T,9,0),0))))))))</f>
        <v>0</v>
      </c>
      <c r="DY362" s="413">
        <v>26525000006</v>
      </c>
      <c r="DZ362" s="413" t="s">
        <v>1266</v>
      </c>
      <c r="EA362" s="412">
        <v>26524000018</v>
      </c>
      <c r="EB362" s="412"/>
      <c r="EC362" s="412"/>
      <c r="ED362" s="412"/>
      <c r="EE362" s="412"/>
      <c r="EF362" s="412"/>
      <c r="EG362" s="409">
        <v>10</v>
      </c>
      <c r="EH362" s="398" t="e">
        <f>IF(EG362=0,0,IF(LEN(DY362)=11,_xlfn.XLOOKUP(DY362,'Dispensed Ink Rates'!C:C,'Dispensed Ink Rates'!CS:CS),VLOOKUP(DY362,'Jan-2026 rates'!$E:$F,2,0)))</f>
        <v>#N/A</v>
      </c>
      <c r="EI362" s="409">
        <v>10</v>
      </c>
      <c r="EJ362" s="398">
        <f>IF(EI362=0,0,IF(LEN(DZ362)=11,_xlfn.XLOOKUP(DZ362,'Dispensed Ink Rates'!C:C,'Dispensed Ink Rates'!CS:CS),VLOOKUP(DZ362,'Jan-2026 rates'!$E:$F,2,0)))</f>
        <v>0</v>
      </c>
      <c r="EK362" s="409">
        <v>8</v>
      </c>
      <c r="EL362" s="398" t="e">
        <f>IF(EK362=0,0,IF(LEN(EA362)=11,_xlfn.XLOOKUP(EA362,'Dispensed Ink Rates'!C:C,'Dispensed Ink Rates'!CS:CS),VLOOKUP(EA362,'Jan-2026 rates'!$E:$F,2,0)))</f>
        <v>#N/A</v>
      </c>
      <c r="EM362" s="409"/>
      <c r="EN362" s="398">
        <f>IF(EM362=0,0,IF(LEN(EB362)=11,_xlfn.XLOOKUP(EB362,'Dispensed Ink Rates'!C:C,'Dispensed Ink Rates'!CS:CS),VLOOKUP(EB362,'Jan-2026 rates'!$E:$F,2,0)))</f>
        <v>0</v>
      </c>
      <c r="EO362" s="409"/>
      <c r="EP362" s="398">
        <f>IF(EO362=0,0,IF(LEN(EC362)=11,_xlfn.XLOOKUP(EC362,'Dispensed Ink Rates'!C:C,'Dispensed Ink Rates'!CS:CS),VLOOKUP(EC362,'Jan-2026 rates'!$E:$F,2,0)))</f>
        <v>0</v>
      </c>
      <c r="EQ362" s="409"/>
      <c r="ER362" s="398">
        <f>IF(EQ362=0,0,IF(LEN(ED362)=11,_xlfn.XLOOKUP(ED362,'Dispensed Ink Rates'!C:C,'Dispensed Ink Rates'!CS:CS),VLOOKUP(ED362,'Jan-2026 rates'!$E:$F,2,0)))</f>
        <v>0</v>
      </c>
      <c r="ES362" s="409"/>
      <c r="ET362" s="398">
        <f>IF(ES362=0,0,IF(LEN(EE362)=11,_xlfn.XLOOKUP(EE362,'Dispensed Ink Rates'!C:C,'Dispensed Ink Rates'!CS:CS),VLOOKUP(EE362,'Jan-2026 rates'!$E:$F,2,0)))</f>
        <v>0</v>
      </c>
      <c r="EU362" s="409"/>
      <c r="EV362" s="398">
        <f>IF(EU362=0,0,IF(LEN(EF362)=11,_xlfn.XLOOKUP(EF362,'Dispensed Ink Rates'!C:C,'Dispensed Ink Rates'!CS:CS),VLOOKUP(EF362,'Jan-2026 rates'!$E:$F,2,0)))</f>
        <v>0</v>
      </c>
      <c r="EW362" s="409" t="s">
        <v>1443</v>
      </c>
      <c r="EX362" s="409">
        <v>30</v>
      </c>
      <c r="EY362" s="411">
        <f t="shared" si="221"/>
        <v>0</v>
      </c>
      <c r="EZ362" s="411">
        <f t="shared" si="222"/>
        <v>66.6875</v>
      </c>
      <c r="FA362" s="410">
        <f t="shared" si="223"/>
        <v>0</v>
      </c>
      <c r="FB362" s="405" t="s">
        <v>546</v>
      </c>
      <c r="FC362" s="409" t="s">
        <v>3874</v>
      </c>
      <c r="FD362" s="420" t="str">
        <f t="shared" si="187"/>
        <v>FLINTSL - REFLEX BLUE</v>
      </c>
      <c r="FE362" s="409">
        <v>23</v>
      </c>
      <c r="FF362" s="411">
        <f>IF(FE362=0,0,IF($LB362=70%,VLOOKUP($FD362,'Jan-2026 rates'!$L:$R,4,0),IF($LB362=65%,VLOOKUP($FD362,'Jan-2026 rates'!$L:$R,4,0),IF($LB362=40%,VLOOKUP($FD362,'Jan-2026 rates'!$L:$R,5,0),IF($LB362=30%,VLOOKUP($FD362,'Jan-2026 rates'!$L:$R,6,0),IF($LB362=100%,VLOOKUP($FD362,'Jan-2026 rates'!$L:$R,7,0),IF($LB362=60%,VLOOKUP($FD362,'Jan-2026 rates'!$L:$S,8,0),IF($LB362=80%,VLOOKUP($FD362,'Jan-2026 rates'!L:T,9,0),0))))))))</f>
        <v>0</v>
      </c>
      <c r="FG362" s="412" t="s">
        <v>4778</v>
      </c>
      <c r="FH362" s="409">
        <f>23+20+22</f>
        <v>65</v>
      </c>
      <c r="FI362" s="411">
        <f>IF(FH362=0,0,IF($LB362=70%,VLOOKUP($FD362,'Jan-2026 rates'!$L:$R,4,0),IF($LB362=65%,VLOOKUP($FD362,'Jan-2026 rates'!$L:$R,4,0),IF($LB362=40%,VLOOKUP($FD362,'Jan-2026 rates'!$L:$R,5,0),IF($LB362=30%,VLOOKUP($FD362,'Jan-2026 rates'!$L:$R,6,0),IF($LB362=100%,VLOOKUP($FD362,'Jan-2026 rates'!$L:$R,7,0),IF($LB362=60%,VLOOKUP($FD362,'Jan-2026 rates'!$L:$S,8,0),IF($LB362=80%,VLOOKUP($FD362,'Jan-2026 rates'!L:T,9,0),0))))))))</f>
        <v>0</v>
      </c>
      <c r="FJ362" s="413">
        <v>26527000015</v>
      </c>
      <c r="FK362" s="413">
        <v>26524000018</v>
      </c>
      <c r="FL362" s="413"/>
      <c r="FM362" s="412"/>
      <c r="FN362" s="412"/>
      <c r="FO362" s="412"/>
      <c r="FP362" s="412"/>
      <c r="FQ362" s="412"/>
      <c r="FR362" s="409">
        <v>15</v>
      </c>
      <c r="FS362" s="398" t="e">
        <f>IF(FR362=0,0,IF(LEN(FJ362)=11,_xlfn.XLOOKUP(FJ362,'Dispensed Ink Rates'!C:C,'Dispensed Ink Rates'!CS:CS),VLOOKUP(FJ362,'Jan-2026 rates'!$E:$F,2,0)))</f>
        <v>#N/A</v>
      </c>
      <c r="FT362" s="409">
        <v>10</v>
      </c>
      <c r="FU362" s="398" t="e">
        <f>IF(FT362=0,0,IF(LEN(FK362)=11,_xlfn.XLOOKUP(FK362,'Dispensed Ink Rates'!C:C,'Dispensed Ink Rates'!CS:CS),VLOOKUP(FK362,'Jan-2026 rates'!$E:$F,2,0)))</f>
        <v>#N/A</v>
      </c>
      <c r="FV362" s="409"/>
      <c r="FW362" s="398">
        <f>IF(FV362=0,0,IF(LEN(FL362)=11,_xlfn.XLOOKUP(FL362,'Dispensed Ink Rates'!C:C,'Dispensed Ink Rates'!CS:CS),VLOOKUP(FL362,'Jan-2026 rates'!$E:$F,2,0)))</f>
        <v>0</v>
      </c>
      <c r="FX362" s="409"/>
      <c r="FY362" s="398">
        <f>IF(FX362=0,0,IF(LEN(FM362)=11,_xlfn.XLOOKUP(FM362,'Dispensed Ink Rates'!C:C,'Dispensed Ink Rates'!CS:CS),VLOOKUP(FM362,'Jan-2026 rates'!$E:$F,2,0)))</f>
        <v>0</v>
      </c>
      <c r="FZ362" s="409"/>
      <c r="GA362" s="398">
        <f>IF(FZ362=0,0,IF(LEN(FN362)=11,_xlfn.XLOOKUP(FN362,'Dispensed Ink Rates'!C:C,'Dispensed Ink Rates'!CS:CS),VLOOKUP(FN362,'Jan-2026 rates'!$E:$F,2,0)))</f>
        <v>0</v>
      </c>
      <c r="GB362" s="409"/>
      <c r="GC362" s="398">
        <f>IF(GB362=0,0,IF(LEN(FO362)=11,_xlfn.XLOOKUP(FO362,'Dispensed Ink Rates'!C:C,'Dispensed Ink Rates'!CS:CS),VLOOKUP(FO362,'Jan-2026 rates'!$E:$F,2,0)))</f>
        <v>0</v>
      </c>
      <c r="GD362" s="409"/>
      <c r="GE362" s="398">
        <f>IF(GD362=0,0,IF(LEN(FP362)=11,_xlfn.XLOOKUP(FP362,'Dispensed Ink Rates'!C:C,'Dispensed Ink Rates'!CS:CS),VLOOKUP(FP362,'Jan-2026 rates'!$E:$F,2,0)))</f>
        <v>0</v>
      </c>
      <c r="GF362" s="409"/>
      <c r="GG362" s="398">
        <f>IF(GF362=0,0,IF(LEN(FQ362)=11,_xlfn.XLOOKUP(FQ362,'Dispensed Ink Rates'!C:C,'Dispensed Ink Rates'!CS:CS),VLOOKUP(FQ362,'Jan-2026 rates'!$E:$F,2,0)))</f>
        <v>0</v>
      </c>
      <c r="GH362" s="409" t="s">
        <v>1443</v>
      </c>
      <c r="GI362" s="409">
        <v>30</v>
      </c>
      <c r="GJ362" s="411">
        <f t="shared" si="224"/>
        <v>0</v>
      </c>
      <c r="GK362" s="411">
        <f t="shared" si="225"/>
        <v>122.375</v>
      </c>
      <c r="GL362" s="410">
        <f t="shared" si="226"/>
        <v>0</v>
      </c>
      <c r="GM362" s="405" t="s">
        <v>318</v>
      </c>
      <c r="GN362" s="409" t="s">
        <v>4779</v>
      </c>
      <c r="GO362" s="420" t="str">
        <f t="shared" si="188"/>
        <v>INK PRODUCT - OPV</v>
      </c>
      <c r="GP362" s="409">
        <v>18</v>
      </c>
      <c r="GQ362" s="411">
        <f>IF(GP362=0,0,IF($LB362=70%,VLOOKUP($GO362,'Jan-2026 rates'!$L:$R,4,0),IF($LB362=65%,VLOOKUP($GO362,'Jan-2026 rates'!$L:$R,4,0),IF($LB362=40%,VLOOKUP($GO362,'Jan-2026 rates'!$L:$R,5,0),IF($LB362=30%,VLOOKUP($GO362,'Jan-2026 rates'!$L:$R,6,0),IF($LB362=100%,VLOOKUP($GO362,'Jan-2026 rates'!$L:$R,7,0),IF($LB362=60%,VLOOKUP($GO362,'Jan-2026 rates'!$L:$S,8,0),IF($LB362=80%,VLOOKUP($GO362,'Jan-2026 rates'!L:T,9,0),0))))))))</f>
        <v>0</v>
      </c>
      <c r="GR362" s="412"/>
      <c r="GS362" s="409"/>
      <c r="GT362" s="411">
        <f>IF(GS362=0,0,IF($LB362=70%,VLOOKUP($GO362,'Jan-2026 rates'!$L:$R,4,0),IF($LB362=65%,VLOOKUP($GO362,'Jan-2026 rates'!$L:$R,4,0),IF($LB362=40%,VLOOKUP($GO362,'Jan-2026 rates'!$L:$R,5,0),IF($LB362=30%,VLOOKUP($GO362,'Jan-2026 rates'!$L:$R,6,0),IF($LB362=100%,VLOOKUP($GO362,'Jan-2026 rates'!$L:$R,7,0),IF($LB362=60%,VLOOKUP($GO362,'Jan-2026 rates'!$L:$S,8,0),IF($LB362=80%,VLOOKUP($GO362,'Jan-2026 rates'!L:T,9,0),0))))))))</f>
        <v>0</v>
      </c>
      <c r="GU362" s="413" t="s">
        <v>1020</v>
      </c>
      <c r="GV362" s="413" t="s">
        <v>975</v>
      </c>
      <c r="GW362" s="412"/>
      <c r="GX362" s="412"/>
      <c r="GY362" s="412"/>
      <c r="GZ362" s="412"/>
      <c r="HA362" s="412"/>
      <c r="HB362" s="412"/>
      <c r="HC362" s="409">
        <v>90</v>
      </c>
      <c r="HD362" s="398">
        <f>IF(HC362=0,0,IF(LEN(GU362)=11,_xlfn.XLOOKUP(GU362,'Dispensed Ink Rates'!C:C,'Dispensed Ink Rates'!CS:CS),VLOOKUP(GU362,'Jan-2026 rates'!$E:$F,2,0)))</f>
        <v>0</v>
      </c>
      <c r="HE362" s="409">
        <v>90</v>
      </c>
      <c r="HF362" s="398">
        <f>IF(HE362=0,0,IF(LEN(GV362)=11,_xlfn.XLOOKUP(GV362,'Dispensed Ink Rates'!C:C,'Dispensed Ink Rates'!CS:CS),VLOOKUP(GV362,'Jan-2026 rates'!$E:$F,2,0)))</f>
        <v>0</v>
      </c>
      <c r="HG362" s="409"/>
      <c r="HH362" s="398">
        <f>IF(HG362=0,0,IF(LEN(GW362)=11,_xlfn.XLOOKUP(GW362,'Dispensed Ink Rates'!C:C,'Dispensed Ink Rates'!CS:CS),VLOOKUP(GW362,'Jan-2026 rates'!$E:$F,2,0)))</f>
        <v>0</v>
      </c>
      <c r="HI362" s="409"/>
      <c r="HJ362" s="398">
        <f>IF(HI362=0,0,IF(LEN(GX362)=11,_xlfn.XLOOKUP(GX362,'Dispensed Ink Rates'!C:C,'Dispensed Ink Rates'!CS:CS),VLOOKUP(GX362,'Jan-2026 rates'!$E:$F,2,0)))</f>
        <v>0</v>
      </c>
      <c r="HK362" s="409"/>
      <c r="HL362" s="398">
        <f>IF(HK362=0,0,IF(LEN(GY362)=11,_xlfn.XLOOKUP(GY362,'Dispensed Ink Rates'!C:C,'Dispensed Ink Rates'!CS:CS),VLOOKUP(GY362,'Jan-2026 rates'!$E:$F,2,0)))</f>
        <v>0</v>
      </c>
      <c r="HM362" s="409"/>
      <c r="HN362" s="398">
        <f>IF(HM362=0,0,IF(LEN(GZ362)=11,_xlfn.XLOOKUP(GZ362,'Dispensed Ink Rates'!C:C,'Dispensed Ink Rates'!CS:CS),VLOOKUP(GZ362,'Jan-2026 rates'!$E:$F,2,0)))</f>
        <v>0</v>
      </c>
      <c r="HO362" s="409"/>
      <c r="HP362" s="398">
        <f>IF(HO362=0,0,IF(LEN(HA362)=11,_xlfn.XLOOKUP(HA362,'Dispensed Ink Rates'!C:C,'Dispensed Ink Rates'!CS:CS),VLOOKUP(HA362,'Jan-2026 rates'!$E:$F,2,0)))</f>
        <v>0</v>
      </c>
      <c r="HQ362" s="409"/>
      <c r="HR362" s="398">
        <f>IF(HQ362=0,0,IF(LEN(HB362)=11,_xlfn.XLOOKUP(HB362,'Dispensed Ink Rates'!C:C,'Dispensed Ink Rates'!CS:CS),VLOOKUP(HB362,'Jan-2026 rates'!$E:$F,2,0)))</f>
        <v>0</v>
      </c>
      <c r="HS362" s="409" t="s">
        <v>719</v>
      </c>
      <c r="HT362" s="409">
        <f>18+18</f>
        <v>36</v>
      </c>
      <c r="HU362" s="411">
        <f t="shared" si="227"/>
        <v>0</v>
      </c>
      <c r="HV362" s="411">
        <f t="shared" si="228"/>
        <v>299.8125</v>
      </c>
      <c r="HW362" s="414">
        <f t="shared" si="229"/>
        <v>0</v>
      </c>
      <c r="HX362" s="405"/>
      <c r="HY362" s="409"/>
      <c r="HZ362" s="420" t="str">
        <f t="shared" si="189"/>
        <v xml:space="preserve"> - </v>
      </c>
      <c r="IA362" s="409"/>
      <c r="IB362" s="411">
        <f>IF(IA362=0,0,IF($LB362=70%,VLOOKUP($HZ362,'Jan-2026 rates'!$L:$R,4,0),IF($LB362=65%,VLOOKUP($HZ362,'Jan-2026 rates'!$L:$R,4,0),IF($LB362=40%,VLOOKUP($HZ362,'Jan-2026 rates'!$L:$R,5,0),IF($LB362=30%,VLOOKUP($HZ362,'Jan-2026 rates'!$L:$R,6,0),IF($LB362=100%,VLOOKUP($HZ362,'Jan-2026 rates'!$L:$R,7,0),IF($LB362=60%,VLOOKUP($HZ362,'Jan-2026 rates'!$L:$S,8,0),IF($LB362=80%,VLOOKUP($HZ362,'Jan-2026 rates'!L:T,9,0),0))))))))</f>
        <v>0</v>
      </c>
      <c r="IC362" s="412"/>
      <c r="ID362" s="409"/>
      <c r="IE362" s="411">
        <f>IF(ID362=0,0,IF($LB362=70%,VLOOKUP($HZ362,'Jan-2026 rates'!$L:$R,4,0),IF($LB362=65%,VLOOKUP($HZ362,'Jan-2026 rates'!$L:$R,4,0),IF($LB362=40%,VLOOKUP($HZ362,'Jan-2026 rates'!$L:$R,5,0),IF($LB362=30%,VLOOKUP($HZ362,'Jan-2026 rates'!$L:$R,6,0),IF($LB362=100%,VLOOKUP($HZ362,'Jan-2026 rates'!$L:$R,7,0),IF($LB362=60%,VLOOKUP($HZ362,'Jan-2026 rates'!$L:$S,8,0),IF($LB362=80%,VLOOKUP($HZ362,'Jan-2026 rates'!L:T,9,0),0))))))))</f>
        <v>0</v>
      </c>
      <c r="IF362" s="412"/>
      <c r="IG362" s="413"/>
      <c r="IH362" s="412"/>
      <c r="II362" s="412"/>
      <c r="IJ362" s="412"/>
      <c r="IK362" s="412"/>
      <c r="IL362" s="412"/>
      <c r="IM362" s="412"/>
      <c r="IN362" s="409"/>
      <c r="IO362" s="398">
        <f>IF(IN362=0,0,IF(LEN(IF362)=11,_xlfn.XLOOKUP(IF362,'Dispensed Ink Rates'!C:C,'Dispensed Ink Rates'!CS:CS),VLOOKUP(IF362,'Jan-2026 rates'!$E:$F,2,0)))</f>
        <v>0</v>
      </c>
      <c r="IP362" s="409"/>
      <c r="IQ362" s="398">
        <f>IF(IP362=0,0,IF(LEN(IG362)=11,_xlfn.XLOOKUP(IG362,'Dispensed Ink Rates'!C:C,'Dispensed Ink Rates'!CS:CS),VLOOKUP(IG362,'Jan-2026 rates'!$E:$F,2,0)))</f>
        <v>0</v>
      </c>
      <c r="IR362" s="409"/>
      <c r="IS362" s="398">
        <f>IF(IR362=0,0,IF(LEN(IH362)=11,_xlfn.XLOOKUP(IH362,'Dispensed Ink Rates'!C:C,'Dispensed Ink Rates'!CS:CS),VLOOKUP(IH362,'Jan-2026 rates'!$E:$F,2,0)))</f>
        <v>0</v>
      </c>
      <c r="IT362" s="409"/>
      <c r="IU362" s="398">
        <f>IF(IT362=0,0,IF(LEN(II362)=11,_xlfn.XLOOKUP(II362,'Dispensed Ink Rates'!C:C,'Dispensed Ink Rates'!CS:CS),VLOOKUP(II362,'Jan-2026 rates'!$E:$F,2,0)))</f>
        <v>0</v>
      </c>
      <c r="IV362" s="409"/>
      <c r="IW362" s="398">
        <f>IF(IV362=0,0,IF(LEN(IJ362)=11,_xlfn.XLOOKUP(IJ362,'Dispensed Ink Rates'!C:C,'Dispensed Ink Rates'!CS:CS),VLOOKUP(IJ362,'Jan-2026 rates'!$E:$F,2,0)))</f>
        <v>0</v>
      </c>
      <c r="IX362" s="409"/>
      <c r="IY362" s="398">
        <f>IF(IX362=0,0,IF(LEN(IK362)=11,_xlfn.XLOOKUP(IK362,'Dispensed Ink Rates'!C:C,'Dispensed Ink Rates'!CS:CS),VLOOKUP(IK362,'Jan-2026 rates'!$E:$F,2,0)))</f>
        <v>0</v>
      </c>
      <c r="IZ362" s="409"/>
      <c r="JA362" s="398">
        <f>IF(IZ362=0,0,IF(LEN(IL362)=11,_xlfn.XLOOKUP(IL362,'Dispensed Ink Rates'!C:C,'Dispensed Ink Rates'!CS:CS),VLOOKUP(IL362,'Jan-2026 rates'!$E:$F,2,0)))</f>
        <v>0</v>
      </c>
      <c r="JB362" s="409"/>
      <c r="JC362" s="398">
        <f>IF(JB362=0,0,IF(LEN(IM362)=11,_xlfn.XLOOKUP(IM362,'Dispensed Ink Rates'!C:C,'Dispensed Ink Rates'!CS:CS),VLOOKUP(IM362,'Jan-2026 rates'!$E:$F,2,0)))</f>
        <v>0</v>
      </c>
      <c r="JD362" s="409"/>
      <c r="JE362" s="409"/>
      <c r="JF362" s="411">
        <f t="shared" si="230"/>
        <v>0</v>
      </c>
      <c r="JG362" s="411">
        <f t="shared" si="231"/>
        <v>0</v>
      </c>
      <c r="JH362" s="410">
        <f t="shared" si="232"/>
        <v>0</v>
      </c>
      <c r="JI362" s="405"/>
      <c r="JJ362" s="409"/>
      <c r="JK362" s="420" t="str">
        <f t="shared" si="190"/>
        <v xml:space="preserve"> - </v>
      </c>
      <c r="JL362" s="409"/>
      <c r="JM362" s="411">
        <f>IF(JL362=0,0,IF($LB362=70%,VLOOKUP($JK362,'Jan-2026 rates'!$L:$R,4,0),IF($LB362=65%,VLOOKUP($JK362,'Jan-2026 rates'!$L:$R,4,0),IF($LB362=40%,VLOOKUP($JK362,'Jan-2026 rates'!$L:$R,5,0),IF($LB362=30%,VLOOKUP($JK362,'Jan-2026 rates'!$L:$R,6,0),IF($LB362=100%,VLOOKUP($JK362,'Jan-2026 rates'!$L:$R,7,0),IF($LB362=60%,VLOOKUP($JK362,'Jan-2026 rates'!$L:$S,8,0),IF($LB362=80%,VLOOKUP($JK362,'Jan-2026 rates'!L:T,9,0),0))))))))</f>
        <v>0</v>
      </c>
      <c r="JN362" s="412"/>
      <c r="JO362" s="409"/>
      <c r="JP362" s="411">
        <f>IF(JO362=0,0,IF($LB362=70%,VLOOKUP($JK362,'Jan-2026 rates'!$L:$R,4,0),IF($LB362=65%,VLOOKUP($JK362,'Jan-2026 rates'!$L:$R,4,0),IF($LB362=40%,VLOOKUP($JK362,'Jan-2026 rates'!$L:$R,5,0),IF($LB362=30%,VLOOKUP($JK362,'Jan-2026 rates'!$L:$R,6,0),IF($LB362=100%,VLOOKUP($JK362,'Jan-2026 rates'!$L:$R,7,0),IF($LB362=60%,VLOOKUP($JK362,'Jan-2026 rates'!$L:$S,8,0),IF($LB362=80%,VLOOKUP($JK362,'Jan-2026 rates'!L:T,9,0),0))))))))</f>
        <v>0</v>
      </c>
      <c r="JQ362" s="413"/>
      <c r="JR362" s="412"/>
      <c r="JS362" s="413"/>
      <c r="JT362" s="413"/>
      <c r="JU362" s="412"/>
      <c r="JV362" s="412"/>
      <c r="JW362" s="412"/>
      <c r="JX362" s="412"/>
      <c r="JY362" s="409"/>
      <c r="JZ362" s="398">
        <f>IF(JY362=0,0,IF(LEN(JQ362)=11,_xlfn.XLOOKUP(JQ362,'Dispensed Ink Rates'!C:C,'Dispensed Ink Rates'!CS:CS),VLOOKUP(JQ362,'Jan-2026 rates'!$E:$F,2,0)))</f>
        <v>0</v>
      </c>
      <c r="KA362" s="409"/>
      <c r="KB362" s="398">
        <f>IF(KA362=0,0,IF(LEN(JR362)=11,_xlfn.XLOOKUP(JR362,'Dispensed Ink Rates'!C:C,'Dispensed Ink Rates'!CS:CS),VLOOKUP(JR362,'Jan-2026 rates'!$E:$F,2,0)))</f>
        <v>0</v>
      </c>
      <c r="KC362" s="409"/>
      <c r="KD362" s="398">
        <f>IF(KC362=0,0,IF(LEN(JS362)=11,_xlfn.XLOOKUP(JS362,'Dispensed Ink Rates'!C:C,'Dispensed Ink Rates'!CS:CS),VLOOKUP(JS362,'Jan-2026 rates'!$E:$F,2,0)))</f>
        <v>0</v>
      </c>
      <c r="KE362" s="409"/>
      <c r="KF362" s="398">
        <f>IF(KE362=0,0,IF(LEN(JT362)=11,_xlfn.XLOOKUP(JT362,'Dispensed Ink Rates'!C:C,'Dispensed Ink Rates'!CS:CS),VLOOKUP(JT362,'Jan-2026 rates'!$E:$F,2,0)))</f>
        <v>0</v>
      </c>
      <c r="KG362" s="409"/>
      <c r="KH362" s="398">
        <f>IF(KG362=0,0,IF(LEN(JU362)=11,_xlfn.XLOOKUP(JU362,'Dispensed Ink Rates'!C:C,'Dispensed Ink Rates'!CS:CS),VLOOKUP(JU362,'Jan-2026 rates'!$E:$F,2,0)))</f>
        <v>0</v>
      </c>
      <c r="KI362" s="409"/>
      <c r="KJ362" s="398">
        <f>IF(KI362=0,0,IF(LEN(JV362)=11,_xlfn.XLOOKUP(JV362,'Dispensed Ink Rates'!C:C,'Dispensed Ink Rates'!CS:CS),VLOOKUP(JV362,'Jan-2026 rates'!$E:$F,2,0)))</f>
        <v>0</v>
      </c>
      <c r="KK362" s="409"/>
      <c r="KL362" s="398">
        <f>IF(KK362=0,0,IF(LEN(JW362)=11,_xlfn.XLOOKUP(JW362,'Dispensed Ink Rates'!C:C,'Dispensed Ink Rates'!CS:CS),VLOOKUP(JW362,'Jan-2026 rates'!$E:$F,2,0)))</f>
        <v>0</v>
      </c>
      <c r="KM362" s="428"/>
      <c r="KN362" s="398">
        <f>IF(KM362=0,0,IF(LEN(JX362)=11,_xlfn.XLOOKUP(JX362,'Dispensed Ink Rates'!C:C,'Dispensed Ink Rates'!CS:CS),VLOOKUP(JX362,'Jan-2026 rates'!$E:$F,2,0)))</f>
        <v>0</v>
      </c>
      <c r="KO362" s="409"/>
      <c r="KP362" s="409"/>
      <c r="KQ362" s="411">
        <f t="shared" si="233"/>
        <v>0</v>
      </c>
      <c r="KR362" s="411">
        <f t="shared" si="234"/>
        <v>0</v>
      </c>
      <c r="KS362" s="410">
        <f t="shared" si="235"/>
        <v>0</v>
      </c>
      <c r="KT362" s="409">
        <v>3</v>
      </c>
      <c r="KU362" s="409">
        <v>10</v>
      </c>
      <c r="KV362" s="409">
        <v>15</v>
      </c>
      <c r="KW362" s="409">
        <v>10</v>
      </c>
      <c r="KX362" s="409">
        <v>20</v>
      </c>
      <c r="KY362" s="409">
        <v>70</v>
      </c>
      <c r="KZ362" s="409">
        <v>0</v>
      </c>
      <c r="LA362" s="409">
        <v>0</v>
      </c>
      <c r="LB362" s="415">
        <v>0.8</v>
      </c>
      <c r="LC362" s="415">
        <v>0.2</v>
      </c>
      <c r="LD362" s="424"/>
      <c r="LE362" s="415"/>
      <c r="LF362" s="415"/>
      <c r="LG362" s="409">
        <v>0</v>
      </c>
      <c r="LH362" s="409">
        <f>70+60+88+22+6+6</f>
        <v>252</v>
      </c>
      <c r="LI362" s="409">
        <v>0</v>
      </c>
      <c r="LJ362" s="409">
        <v>0</v>
      </c>
      <c r="LK362" s="416">
        <f t="shared" si="191"/>
        <v>252</v>
      </c>
      <c r="LL362" s="416">
        <f t="shared" si="349"/>
        <v>252</v>
      </c>
      <c r="LM362" s="417">
        <f t="shared" si="193"/>
        <v>201.60000000000002</v>
      </c>
      <c r="LN362" s="417">
        <f>VLOOKUP($LM$8,'Jan-2026 rates'!$H:$I,2,0)</f>
        <v>0</v>
      </c>
      <c r="LO362" s="417">
        <f t="shared" si="194"/>
        <v>50.400000000000006</v>
      </c>
      <c r="LP362" s="417">
        <f>VLOOKUP($LO$8,'Jan-2026 rates'!$H:$I,2,0)</f>
        <v>0</v>
      </c>
      <c r="LQ362" s="417">
        <f t="shared" si="195"/>
        <v>0</v>
      </c>
      <c r="LR362" s="417">
        <f>VLOOKUP($LQ$8,'Jan-2026 rates'!$H:$I,2,0)</f>
        <v>0</v>
      </c>
      <c r="LS362" s="417">
        <f t="shared" si="196"/>
        <v>0</v>
      </c>
      <c r="LT362" s="417">
        <f>VLOOKUP($LS$8,'Jan-2026 rates'!$H:$I,2,0)</f>
        <v>0</v>
      </c>
      <c r="LU362" s="417">
        <f t="shared" si="197"/>
        <v>0</v>
      </c>
      <c r="LV362" s="417">
        <f>VLOOKUP($LU$8,'Jan-2026 rates'!$H:$I,2,0)</f>
        <v>0</v>
      </c>
      <c r="LW362" s="417">
        <f t="shared" si="198"/>
        <v>0</v>
      </c>
      <c r="LX362" s="417">
        <f t="shared" si="199"/>
        <v>0</v>
      </c>
      <c r="LY362" s="418">
        <f t="shared" si="200"/>
        <v>0</v>
      </c>
      <c r="LZ362" s="417"/>
      <c r="MA362" s="435">
        <f t="shared" si="201"/>
        <v>299</v>
      </c>
      <c r="MB362" s="282">
        <f t="shared" si="202"/>
        <v>586</v>
      </c>
      <c r="MC362" s="283">
        <v>204</v>
      </c>
      <c r="MD362" s="284" t="str">
        <f t="shared" si="203"/>
        <v>FLINTSLFLINTSLFLINTSLFLINTSLFLINTSLINK PRODUCT</v>
      </c>
      <c r="ME362" s="293" t="str">
        <f t="shared" si="204"/>
        <v>+</v>
      </c>
      <c r="MF362" s="293" t="str">
        <f t="shared" si="205"/>
        <v>+</v>
      </c>
      <c r="MG362" s="293" t="str">
        <f t="shared" si="206"/>
        <v>+</v>
      </c>
      <c r="MH362" s="293" t="str">
        <f t="shared" si="207"/>
        <v>+</v>
      </c>
      <c r="MI362" s="293" t="str">
        <f t="shared" si="208"/>
        <v>+</v>
      </c>
      <c r="MJ362" s="293" t="str">
        <f t="shared" si="209"/>
        <v>+</v>
      </c>
      <c r="MK362" s="293" t="str">
        <f t="shared" si="210"/>
        <v>NIL</v>
      </c>
      <c r="ML362" s="293" t="str">
        <f t="shared" si="211"/>
        <v>NIL</v>
      </c>
      <c r="MM362" s="3" t="b">
        <f t="array" ref="MM362">OR(ME362:ML362="-")</f>
        <v>0</v>
      </c>
      <c r="MO362" s="401">
        <f t="shared" si="350"/>
        <v>46.471054718477397</v>
      </c>
      <c r="MP362" s="286"/>
      <c r="MR362" s="402">
        <f t="shared" si="351"/>
        <v>1.2336842105263158E-2</v>
      </c>
      <c r="MS362" s="400">
        <f t="shared" si="352"/>
        <v>0</v>
      </c>
      <c r="MT362" s="285"/>
      <c r="NH362" s="361"/>
      <c r="NJ362" s="282"/>
    </row>
    <row r="363" spans="1:374" ht="16.5">
      <c r="A363" s="403">
        <v>46049</v>
      </c>
      <c r="B363" s="404" t="s">
        <v>1015</v>
      </c>
      <c r="C363" s="405" t="s">
        <v>4780</v>
      </c>
      <c r="D363" s="404">
        <v>205</v>
      </c>
      <c r="E363" s="404">
        <v>1877</v>
      </c>
      <c r="F363" s="407">
        <v>95600</v>
      </c>
      <c r="G363" s="407" t="s">
        <v>1019</v>
      </c>
      <c r="H363" s="408" t="s">
        <v>1017</v>
      </c>
      <c r="I363" s="409">
        <v>1.8</v>
      </c>
      <c r="J363" s="405" t="s">
        <v>543</v>
      </c>
      <c r="K363" s="404" t="s">
        <v>4781</v>
      </c>
      <c r="L363" s="419" t="str">
        <f t="shared" si="184"/>
        <v>FLINTSL - BLACK</v>
      </c>
      <c r="M363" s="404">
        <v>25</v>
      </c>
      <c r="N363" s="410">
        <f>IF(M363=0,0,IF($LB363=70%,VLOOKUP($L363,'Jan-2026 rates'!$L:$R,4,0),IF($LB363=65%,VLOOKUP($L363,'Jan-2026 rates'!$L:$R,4,0),IF($LB363=40%,VLOOKUP($L363,'Jan-2026 rates'!$L:$R,5,0),IF($LB363=30%,VLOOKUP($L363,'Jan-2026 rates'!$L:$R,6,0),IF($LB363=100%,VLOOKUP($L363,'Jan-2026 rates'!$L:$R,7,0),IF($LB363=60%,VLOOKUP($L363,'Jan-2026 rates'!$L:$S,8,0),IF($LB363=80%,VLOOKUP($L363,'Jan-2026 rates'!L:T,9,0),0))))))))</f>
        <v>0</v>
      </c>
      <c r="O363" s="406"/>
      <c r="P363" s="404"/>
      <c r="Q363" s="410">
        <f>IF(P363=0,0,IF($LB363=70%,VLOOKUP($L363,'Jan-2026 rates'!$L:$R,4,0),IF($LB363=65%,VLOOKUP($L363,'Jan-2026 rates'!$L:$R,4,0),IF($LB363=40%,VLOOKUP($L363,'Jan-2026 rates'!$L:$R,5,0),IF($LB363=30%,VLOOKUP($L363,'Jan-2026 rates'!$L:$R,6,0),IF($LB363=100%,VLOOKUP($L363,'Jan-2026 rates'!$L:$R,7,0),IF($LB363=60%,VLOOKUP($L363,'Jan-2026 rates'!$L:$S,8,0),IF($LB363=80%,VLOOKUP($L363,'Jan-2026 rates'!L:T,9,0),0))))))))</f>
        <v>0</v>
      </c>
      <c r="R363" s="406" t="s">
        <v>1266</v>
      </c>
      <c r="S363" s="406"/>
      <c r="T363" s="406"/>
      <c r="U363" s="406"/>
      <c r="V363" s="406"/>
      <c r="W363" s="406"/>
      <c r="X363" s="406"/>
      <c r="Y363" s="406"/>
      <c r="Z363" s="404">
        <v>4</v>
      </c>
      <c r="AA363" s="398">
        <f>IF(Z363=0,0,IF(LEN(R363)=11,_xlfn.XLOOKUP(R363,'Dispensed Ink Rates'!C:C,'Dispensed Ink Rates'!CS:CS),VLOOKUP(R363,'Jan-2026 rates'!$E:$F,2,0)))</f>
        <v>0</v>
      </c>
      <c r="AB363" s="404"/>
      <c r="AC363" s="398">
        <f>IF(AB363=0,0,IF(LEN(S363)=11,_xlfn.XLOOKUP(S363,'Dispensed Ink Rates'!C:C,'Dispensed Ink Rates'!CS:CS),VLOOKUP(S363,'Jan-2026 rates'!$E:$F,2,0)))</f>
        <v>0</v>
      </c>
      <c r="AD363" s="404"/>
      <c r="AE363" s="398">
        <f>IF(AD363=0,0,IF(LEN(T363)=11,_xlfn.XLOOKUP(T363,'Dispensed Ink Rates'!C:C,'Dispensed Ink Rates'!CS:CS),VLOOKUP(T363,'Jan-2026 rates'!$E:$F,2,0)))</f>
        <v>0</v>
      </c>
      <c r="AF363" s="404"/>
      <c r="AG363" s="398">
        <f>IF(AF363=0,0,IF(LEN(U363)=11,_xlfn.XLOOKUP(U363,'Dispensed Ink Rates'!C:C,'Dispensed Ink Rates'!CS:CS),VLOOKUP(U363,'Jan-2026 rates'!$E:$F,2,0)))</f>
        <v>0</v>
      </c>
      <c r="AH363" s="404"/>
      <c r="AI363" s="398">
        <f>IF(AH363=0,0,IF(LEN(V363)=11,_xlfn.XLOOKUP(V363,'Dispensed Ink Rates'!C:C,'Dispensed Ink Rates'!CS:CS),VLOOKUP(V363,'Jan-2026 rates'!$E:$F,2,0)))</f>
        <v>0</v>
      </c>
      <c r="AJ363" s="404"/>
      <c r="AK363" s="398">
        <f>IF(AJ363=0,0,IF(LEN(W363)=11,_xlfn.XLOOKUP(W363,'Dispensed Ink Rates'!C:C,'Dispensed Ink Rates'!CS:CS),VLOOKUP(W363,'Jan-2026 rates'!$E:$F,2,0)))</f>
        <v>0</v>
      </c>
      <c r="AL363" s="404"/>
      <c r="AM363" s="398">
        <f>IF(AL363=0,0,IF(LEN(X363)=11,_xlfn.XLOOKUP(X363,'Dispensed Ink Rates'!C:C,'Dispensed Ink Rates'!CS:CS),VLOOKUP(X363,'Jan-2026 rates'!$E:$F,2,0)))</f>
        <v>0</v>
      </c>
      <c r="AN363" s="404"/>
      <c r="AO363" s="398">
        <f>IF(AN363=0,0,IF(LEN(Y363)=11,_xlfn.XLOOKUP(Y363,'Dispensed Ink Rates'!C:C,'Dispensed Ink Rates'!CS:CS),VLOOKUP(Y363,'Jan-2026 rates'!$E:$F,2,0)))</f>
        <v>0</v>
      </c>
      <c r="AP363" s="409" t="s">
        <v>1443</v>
      </c>
      <c r="AQ363" s="409">
        <v>26</v>
      </c>
      <c r="AR363" s="410">
        <f t="shared" si="212"/>
        <v>0</v>
      </c>
      <c r="AS363" s="411">
        <f t="shared" si="213"/>
        <v>9.7040816326530575</v>
      </c>
      <c r="AT363" s="410">
        <f t="shared" si="214"/>
        <v>0</v>
      </c>
      <c r="AU363" s="405" t="s">
        <v>546</v>
      </c>
      <c r="AV363" s="409"/>
      <c r="AW363" s="420" t="str">
        <f t="shared" si="348"/>
        <v>FLINTSL - REFLEX BLUE</v>
      </c>
      <c r="AX363" s="409"/>
      <c r="AY363" s="411">
        <f>IF(AX363=0,0,IF($LB363=70%,VLOOKUP($AW363,'Jan-2026 rates'!$L:$R,4,0),IF($LB363=65%,VLOOKUP($AW363,'Jan-2026 rates'!$L:$R,4,0),IF($LB363=40%,VLOOKUP($AW363,'Jan-2026 rates'!$L:$R,5,0),IF($LB363=30%,VLOOKUP($AW363,'Jan-2026 rates'!$L:$R,6,0),IF($LB363=100%,VLOOKUP($AW363,'Jan-2026 rates'!$L:$R,7,0),IF($LB363=60%,VLOOKUP($AW363,'Jan-2026 rates'!$L:$S,8,0),IF($LB363=80%,VLOOKUP($AW363,'Jan-2026 rates'!L:T,9,0),0))))))))</f>
        <v>0</v>
      </c>
      <c r="AZ363" s="412"/>
      <c r="BA363" s="409"/>
      <c r="BB363" s="411">
        <f>IF(BA363=0,0,IF($LB363=70%,VLOOKUP($AW363,'Jan-2026 rates'!$L:$R,4,0),IF($LB363=65%,VLOOKUP($AW363,'Jan-2026 rates'!$L:$R,4,0),IF($LB363=40%,VLOOKUP($AW363,'Jan-2026 rates'!$L:$R,5,0),IF($LB363=30%,VLOOKUP($AW363,'Jan-2026 rates'!$L:$R,6,0),IF($LB363=100%,VLOOKUP($AW363,'Jan-2026 rates'!$L:$R,7,0),IF($LB363=60%,VLOOKUP($AW363,'Jan-2026 rates'!$L:$S,8,0),IF($LB363=80%,VLOOKUP($AW363,'Jan-2026 rates'!L:T,9,0),0))))))))</f>
        <v>0</v>
      </c>
      <c r="BC363" s="413">
        <v>26527000017</v>
      </c>
      <c r="BD363" s="412">
        <v>26524000018</v>
      </c>
      <c r="BE363" s="412"/>
      <c r="BF363" s="413"/>
      <c r="BG363" s="412"/>
      <c r="BH363" s="412"/>
      <c r="BI363" s="412"/>
      <c r="BJ363" s="412"/>
      <c r="BK363" s="409">
        <v>30</v>
      </c>
      <c r="BL363" s="398" t="e">
        <f>IF(BK363=0,0,IF(LEN(BC363)=11,_xlfn.XLOOKUP(BC363,'Dispensed Ink Rates'!C:C,'Dispensed Ink Rates'!CS:CS),VLOOKUP(BC363,'Jan-2026 rates'!$E:$F,2,0)))</f>
        <v>#N/A</v>
      </c>
      <c r="BM363" s="409">
        <v>4</v>
      </c>
      <c r="BN363" s="398" t="e">
        <f>IF(BM363=0,0,IF(LEN(BD363)=11,_xlfn.XLOOKUP(BD363,'Dispensed Ink Rates'!C:C,'Dispensed Ink Rates'!CS:CS),VLOOKUP(BD363,'Jan-2026 rates'!$E:$F,2,0)))</f>
        <v>#N/A</v>
      </c>
      <c r="BO363" s="409"/>
      <c r="BP363" s="398">
        <f>IF(BO363=0,0,IF(LEN(BE363)=11,_xlfn.XLOOKUP(BE363,'Dispensed Ink Rates'!C:C,'Dispensed Ink Rates'!CS:CS),VLOOKUP(BE363,'Jan-2026 rates'!$E:$F,2,0)))</f>
        <v>0</v>
      </c>
      <c r="BQ363" s="409"/>
      <c r="BR363" s="398">
        <f>IF(BQ363=0,0,IF(LEN(BF363)=11,_xlfn.XLOOKUP(BF363,'Dispensed Ink Rates'!C:C,'Dispensed Ink Rates'!CS:CS),VLOOKUP(BF363,'Jan-2026 rates'!$E:$F,2,0)))</f>
        <v>0</v>
      </c>
      <c r="BS363" s="409"/>
      <c r="BT363" s="398">
        <f>IF(BS363=0,0,IF(LEN(BG363)=11,_xlfn.XLOOKUP(BG363,'Dispensed Ink Rates'!C:C,'Dispensed Ink Rates'!CS:CS),VLOOKUP(BG363,'Jan-2026 rates'!$E:$F,2,0)))</f>
        <v>0</v>
      </c>
      <c r="BU363" s="409"/>
      <c r="BV363" s="398">
        <f>IF(BU363=0,0,IF(LEN(BH363)=11,_xlfn.XLOOKUP(BH363,'Dispensed Ink Rates'!C:C,'Dispensed Ink Rates'!CS:CS),VLOOKUP(BH363,'Jan-2026 rates'!$E:$F,2,0)))</f>
        <v>0</v>
      </c>
      <c r="BW363" s="409"/>
      <c r="BX363" s="398">
        <f>IF(BW363=0,0,IF(LEN(BI363)=11,_xlfn.XLOOKUP(BI363,'Dispensed Ink Rates'!C:C,'Dispensed Ink Rates'!CS:CS),VLOOKUP(BI363,'Jan-2026 rates'!$E:$F,2,0)))</f>
        <v>0</v>
      </c>
      <c r="BY363" s="409"/>
      <c r="BZ363" s="398">
        <f>IF(BY363=0,0,IF(LEN(BJ363)=11,_xlfn.XLOOKUP(BJ363,'Dispensed Ink Rates'!C:C,'Dispensed Ink Rates'!CS:CS),VLOOKUP(BJ363,'Jan-2026 rates'!$E:$F,2,0)))</f>
        <v>0</v>
      </c>
      <c r="CA363" s="409" t="s">
        <v>1443</v>
      </c>
      <c r="CB363" s="409">
        <v>26</v>
      </c>
      <c r="CC363" s="411">
        <f t="shared" si="215"/>
        <v>0</v>
      </c>
      <c r="CD363" s="411">
        <f t="shared" si="216"/>
        <v>19.173469387755105</v>
      </c>
      <c r="CE363" s="410">
        <f t="shared" si="217"/>
        <v>0</v>
      </c>
      <c r="CF363" s="404" t="s">
        <v>547</v>
      </c>
      <c r="CG363" s="409"/>
      <c r="CH363" s="420" t="str">
        <f t="shared" si="185"/>
        <v>FLINTSL - GREEN</v>
      </c>
      <c r="CI363" s="409"/>
      <c r="CJ363" s="411">
        <f>IF(CI363=0,0,IF($LB363=70%,VLOOKUP($CH363,'Jan-2026 rates'!$L:$R,4,0),IF($LB363=65%,VLOOKUP($CH363,'Jan-2026 rates'!$L:$R,4,0),IF($LB363=40%,VLOOKUP($CH363,'Jan-2026 rates'!$L:$R,5,0),IF($LB363=30%,VLOOKUP($CH363,'Jan-2026 rates'!$L:$R,6,0),IF($LB363=100%,VLOOKUP($CH363,'Jan-2026 rates'!$L:$R,7,0),IF($LB363=60%,VLOOKUP($CH363,'Jan-2026 rates'!$L:$S,8,0),IF($LB363=80%,VLOOKUP($CH363,'Jan-2026 rates'!L:T,9,0),0))))))))</f>
        <v>0</v>
      </c>
      <c r="CK363" s="412"/>
      <c r="CL363" s="409"/>
      <c r="CM363" s="411">
        <f>IF(CL363=0,0,IF($LB363=70%,VLOOKUP($CH363,'Jan-2026 rates'!$L:$R,4,0),IF($LB363=65%,VLOOKUP($CH363,'Jan-2026 rates'!$L:$R,4,0),IF($LB363=40%,VLOOKUP($CH363,'Jan-2026 rates'!$L:$R,5,0),IF($LB363=30%,VLOOKUP($CH363,'Jan-2026 rates'!$L:$R,6,0),IF($LB363=100%,VLOOKUP($CH363,'Jan-2026 rates'!$L:$R,7,0),IF($LB363=60%,VLOOKUP($CH363,'Jan-2026 rates'!$L:$S,8,0),IF($LB363=80%,VLOOKUP($CH363,'Jan-2026 rates'!L:T,9,0),0))))))))</f>
        <v>0</v>
      </c>
      <c r="CN363" s="426">
        <v>26527000024</v>
      </c>
      <c r="CO363" s="427">
        <v>26527000023</v>
      </c>
      <c r="CP363" s="426"/>
      <c r="CQ363" s="426"/>
      <c r="CR363" s="428"/>
      <c r="CS363" s="428"/>
      <c r="CT363" s="428"/>
      <c r="CU363" s="428"/>
      <c r="CV363" s="409">
        <f>15+5</f>
        <v>20</v>
      </c>
      <c r="CW363" s="398" t="e">
        <f>IF(CV363=0,0,IF(LEN(CN363)=11,_xlfn.XLOOKUP(CN363,'Dispensed Ink Rates'!C:C,'Dispensed Ink Rates'!CS:CS),VLOOKUP(CN363,'Jan-2026 rates'!$E:$F,2,0)))</f>
        <v>#N/A</v>
      </c>
      <c r="CX363" s="409">
        <v>3</v>
      </c>
      <c r="CY363" s="398" t="e">
        <f>IF(CX363=0,0,IF(LEN(CO363)=11,_xlfn.XLOOKUP(CO363,'Dispensed Ink Rates'!C:C,'Dispensed Ink Rates'!CS:CS),VLOOKUP(CO363,'Jan-2026 rates'!$E:$F,2,0)))</f>
        <v>#N/A</v>
      </c>
      <c r="CZ363" s="409"/>
      <c r="DA363" s="398">
        <f>IF(CZ363=0,0,IF(LEN(CP363)=11,_xlfn.XLOOKUP(CP363,'Dispensed Ink Rates'!C:C,'Dispensed Ink Rates'!CS:CS),VLOOKUP(CP363,'Jan-2026 rates'!$E:$F,2,0)))</f>
        <v>0</v>
      </c>
      <c r="DB363" s="409"/>
      <c r="DC363" s="398">
        <f>IF(DB363=0,0,IF(LEN(CQ363)=11,_xlfn.XLOOKUP(CQ363,'Dispensed Ink Rates'!C:C,'Dispensed Ink Rates'!CS:CS),VLOOKUP(CQ363,'Jan-2026 rates'!$E:$F,2,0)))</f>
        <v>0</v>
      </c>
      <c r="DD363" s="409"/>
      <c r="DE363" s="398">
        <f>IF(DD363=0,0,IF(LEN(CR363)=11,_xlfn.XLOOKUP(CR363,'Dispensed Ink Rates'!C:C,'Dispensed Ink Rates'!CS:CS),VLOOKUP(CR363,'Jan-2026 rates'!$E:$F,2,0)))</f>
        <v>0</v>
      </c>
      <c r="DF363" s="409"/>
      <c r="DG363" s="398">
        <f>IF(DF363=0,0,IF(LEN(CS363)=11,_xlfn.XLOOKUP(CS363,'Dispensed Ink Rates'!C:C,'Dispensed Ink Rates'!CS:CS),VLOOKUP(CS363,'Jan-2026 rates'!$E:$F,2,0)))</f>
        <v>0</v>
      </c>
      <c r="DH363" s="409"/>
      <c r="DI363" s="398">
        <f>IF(DH363=0,0,IF(LEN(CT363)=11,_xlfn.XLOOKUP(CT363,'Dispensed Ink Rates'!C:C,'Dispensed Ink Rates'!CS:CS),VLOOKUP(CT363,'Jan-2026 rates'!$E:$F,2,0)))</f>
        <v>0</v>
      </c>
      <c r="DJ363" s="409"/>
      <c r="DK363" s="398">
        <f>IF(DJ363=0,0,IF(LEN(CU363)=11,_xlfn.XLOOKUP(CU363,'Dispensed Ink Rates'!C:C,'Dispensed Ink Rates'!CS:CS),VLOOKUP(CU363,'Jan-2026 rates'!$E:$F,2,0)))</f>
        <v>0</v>
      </c>
      <c r="DL363" s="409" t="s">
        <v>1443</v>
      </c>
      <c r="DM363" s="409">
        <v>24</v>
      </c>
      <c r="DN363" s="411">
        <f t="shared" si="218"/>
        <v>0</v>
      </c>
      <c r="DO363" s="411">
        <f t="shared" si="219"/>
        <v>21.34693877551021</v>
      </c>
      <c r="DP363" s="410">
        <f t="shared" si="220"/>
        <v>0</v>
      </c>
      <c r="DQ363" s="405" t="s">
        <v>857</v>
      </c>
      <c r="DR363" s="409" t="s">
        <v>4782</v>
      </c>
      <c r="DS363" s="420" t="str">
        <f t="shared" si="186"/>
        <v>FLINTSL - RED</v>
      </c>
      <c r="DT363" s="409">
        <v>28</v>
      </c>
      <c r="DU363" s="411">
        <f>IF(DT363=0,0,IF($LB363=70%,VLOOKUP($DS363,'Jan-2026 rates'!$L:$R,4,0),IF($LB363=65%,VLOOKUP($DS363,'Jan-2026 rates'!$L:$R,4,0),IF($LB363=40%,VLOOKUP($DS363,'Jan-2026 rates'!$L:$R,5,0),IF($LB363=30%,VLOOKUP($DS363,'Jan-2026 rates'!$L:$R,6,0),IF($LB363=100%,VLOOKUP($DS363,'Jan-2026 rates'!$L:$R,7,0),IF($LB363=60%,VLOOKUP($DS363,'Jan-2026 rates'!$L:$S,8,0),IF($LB363=80%,VLOOKUP($DS363,'Jan-2026 rates'!L:T,9,0),0))))))))</f>
        <v>0</v>
      </c>
      <c r="DV363" s="412"/>
      <c r="DW363" s="409"/>
      <c r="DX363" s="411">
        <f>IF(DW363=0,0,IF($LB363=70%,VLOOKUP($DS363,'Jan-2026 rates'!$L:$R,4,0),IF($LB363=65%,VLOOKUP($DS363,'Jan-2026 rates'!$L:$R,4,0),IF($LB363=40%,VLOOKUP($DS363,'Jan-2026 rates'!$L:$R,5,0),IF($LB363=30%,VLOOKUP($DS363,'Jan-2026 rates'!$L:$R,6,0),IF($LB363=100%,VLOOKUP($DS363,'Jan-2026 rates'!$L:$R,7,0),IF($LB363=60%,VLOOKUP($DS363,'Jan-2026 rates'!$L:$S,8,0),IF($LB363=80%,VLOOKUP($DS363,'Jan-2026 rates'!L:T,9,0),0))))))))</f>
        <v>0</v>
      </c>
      <c r="DY363" s="413">
        <v>26527000012</v>
      </c>
      <c r="DZ363" s="413">
        <v>26528000020</v>
      </c>
      <c r="EA363" s="412"/>
      <c r="EB363" s="412"/>
      <c r="EC363" s="412"/>
      <c r="ED363" s="412"/>
      <c r="EE363" s="412"/>
      <c r="EF363" s="412"/>
      <c r="EG363" s="409">
        <f>4+5</f>
        <v>9</v>
      </c>
      <c r="EH363" s="398" t="e">
        <f>IF(EG363=0,0,IF(LEN(DY363)=11,_xlfn.XLOOKUP(DY363,'Dispensed Ink Rates'!C:C,'Dispensed Ink Rates'!CS:CS),VLOOKUP(DY363,'Jan-2026 rates'!$E:$F,2,0)))</f>
        <v>#N/A</v>
      </c>
      <c r="EI363" s="409">
        <f>2+1</f>
        <v>3</v>
      </c>
      <c r="EJ363" s="398" t="e">
        <f>IF(EI363=0,0,IF(LEN(DZ363)=11,_xlfn.XLOOKUP(DZ363,'Dispensed Ink Rates'!C:C,'Dispensed Ink Rates'!CS:CS),VLOOKUP(DZ363,'Jan-2026 rates'!$E:$F,2,0)))</f>
        <v>#N/A</v>
      </c>
      <c r="EK363" s="409"/>
      <c r="EL363" s="398">
        <f>IF(EK363=0,0,IF(LEN(EA363)=11,_xlfn.XLOOKUP(EA363,'Dispensed Ink Rates'!C:C,'Dispensed Ink Rates'!CS:CS),VLOOKUP(EA363,'Jan-2026 rates'!$E:$F,2,0)))</f>
        <v>0</v>
      </c>
      <c r="EM363" s="409"/>
      <c r="EN363" s="398">
        <f>IF(EM363=0,0,IF(LEN(EB363)=11,_xlfn.XLOOKUP(EB363,'Dispensed Ink Rates'!C:C,'Dispensed Ink Rates'!CS:CS),VLOOKUP(EB363,'Jan-2026 rates'!$E:$F,2,0)))</f>
        <v>0</v>
      </c>
      <c r="EO363" s="409"/>
      <c r="EP363" s="398">
        <f>IF(EO363=0,0,IF(LEN(EC363)=11,_xlfn.XLOOKUP(EC363,'Dispensed Ink Rates'!C:C,'Dispensed Ink Rates'!CS:CS),VLOOKUP(EC363,'Jan-2026 rates'!$E:$F,2,0)))</f>
        <v>0</v>
      </c>
      <c r="EQ363" s="409"/>
      <c r="ER363" s="398">
        <f>IF(EQ363=0,0,IF(LEN(ED363)=11,_xlfn.XLOOKUP(ED363,'Dispensed Ink Rates'!C:C,'Dispensed Ink Rates'!CS:CS),VLOOKUP(ED363,'Jan-2026 rates'!$E:$F,2,0)))</f>
        <v>0</v>
      </c>
      <c r="ES363" s="409"/>
      <c r="ET363" s="398">
        <f>IF(ES363=0,0,IF(LEN(EE363)=11,_xlfn.XLOOKUP(EE363,'Dispensed Ink Rates'!C:C,'Dispensed Ink Rates'!CS:CS),VLOOKUP(EE363,'Jan-2026 rates'!$E:$F,2,0)))</f>
        <v>0</v>
      </c>
      <c r="EU363" s="409"/>
      <c r="EV363" s="398">
        <f>IF(EU363=0,0,IF(LEN(EF363)=11,_xlfn.XLOOKUP(EF363,'Dispensed Ink Rates'!C:C,'Dispensed Ink Rates'!CS:CS),VLOOKUP(EF363,'Jan-2026 rates'!$E:$F,2,0)))</f>
        <v>0</v>
      </c>
      <c r="EW363" s="409" t="s">
        <v>1443</v>
      </c>
      <c r="EX363" s="409">
        <v>26</v>
      </c>
      <c r="EY363" s="411">
        <f t="shared" si="221"/>
        <v>0</v>
      </c>
      <c r="EZ363" s="411">
        <f t="shared" si="222"/>
        <v>38.58163265306122</v>
      </c>
      <c r="FA363" s="410">
        <f t="shared" si="223"/>
        <v>0</v>
      </c>
      <c r="FB363" s="405" t="s">
        <v>855</v>
      </c>
      <c r="FC363" s="409" t="s">
        <v>4775</v>
      </c>
      <c r="FD363" s="420" t="str">
        <f t="shared" si="187"/>
        <v>FLINTSL - CYAN</v>
      </c>
      <c r="FE363" s="409">
        <v>24</v>
      </c>
      <c r="FF363" s="411">
        <f>IF(FE363=0,0,IF($LB363=70%,VLOOKUP($FD363,'Jan-2026 rates'!$L:$R,4,0),IF($LB363=65%,VLOOKUP($FD363,'Jan-2026 rates'!$L:$R,4,0),IF($LB363=40%,VLOOKUP($FD363,'Jan-2026 rates'!$L:$R,5,0),IF($LB363=30%,VLOOKUP($FD363,'Jan-2026 rates'!$L:$R,6,0),IF($LB363=100%,VLOOKUP($FD363,'Jan-2026 rates'!$L:$R,7,0),IF($LB363=60%,VLOOKUP($FD363,'Jan-2026 rates'!$L:$S,8,0),IF($LB363=80%,VLOOKUP($FD363,'Jan-2026 rates'!L:T,9,0),0))))))))</f>
        <v>0</v>
      </c>
      <c r="FG363" s="412" t="s">
        <v>4783</v>
      </c>
      <c r="FH363" s="409">
        <v>24</v>
      </c>
      <c r="FI363" s="411">
        <f>IF(FH363=0,0,IF($LB363=70%,VLOOKUP($FD363,'Jan-2026 rates'!$L:$R,4,0),IF($LB363=65%,VLOOKUP($FD363,'Jan-2026 rates'!$L:$R,4,0),IF($LB363=40%,VLOOKUP($FD363,'Jan-2026 rates'!$L:$R,5,0),IF($LB363=30%,VLOOKUP($FD363,'Jan-2026 rates'!$L:$R,6,0),IF($LB363=100%,VLOOKUP($FD363,'Jan-2026 rates'!$L:$R,7,0),IF($LB363=60%,VLOOKUP($FD363,'Jan-2026 rates'!$L:$S,8,0),IF($LB363=80%,VLOOKUP($FD363,'Jan-2026 rates'!L:T,9,0),0))))))))</f>
        <v>0</v>
      </c>
      <c r="FJ363" s="413">
        <v>26526000010</v>
      </c>
      <c r="FK363" s="413" t="s">
        <v>1266</v>
      </c>
      <c r="FL363" s="413"/>
      <c r="FM363" s="412"/>
      <c r="FN363" s="412"/>
      <c r="FO363" s="412"/>
      <c r="FP363" s="412"/>
      <c r="FQ363" s="412"/>
      <c r="FR363" s="409">
        <f>19+10</f>
        <v>29</v>
      </c>
      <c r="FS363" s="398" t="e">
        <f>IF(FR363=0,0,IF(LEN(FJ363)=11,_xlfn.XLOOKUP(FJ363,'Dispensed Ink Rates'!C:C,'Dispensed Ink Rates'!CS:CS),VLOOKUP(FJ363,'Jan-2026 rates'!$E:$F,2,0)))</f>
        <v>#N/A</v>
      </c>
      <c r="FT363" s="409">
        <f>7+7</f>
        <v>14</v>
      </c>
      <c r="FU363" s="398">
        <f>IF(FT363=0,0,IF(LEN(FK363)=11,_xlfn.XLOOKUP(FK363,'Dispensed Ink Rates'!C:C,'Dispensed Ink Rates'!CS:CS),VLOOKUP(FK363,'Jan-2026 rates'!$E:$F,2,0)))</f>
        <v>0</v>
      </c>
      <c r="FV363" s="409"/>
      <c r="FW363" s="398">
        <f>IF(FV363=0,0,IF(LEN(FL363)=11,_xlfn.XLOOKUP(FL363,'Dispensed Ink Rates'!C:C,'Dispensed Ink Rates'!CS:CS),VLOOKUP(FL363,'Jan-2026 rates'!$E:$F,2,0)))</f>
        <v>0</v>
      </c>
      <c r="FX363" s="409"/>
      <c r="FY363" s="398">
        <f>IF(FX363=0,0,IF(LEN(FM363)=11,_xlfn.XLOOKUP(FM363,'Dispensed Ink Rates'!C:C,'Dispensed Ink Rates'!CS:CS),VLOOKUP(FM363,'Jan-2026 rates'!$E:$F,2,0)))</f>
        <v>0</v>
      </c>
      <c r="FZ363" s="409"/>
      <c r="GA363" s="398">
        <f>IF(FZ363=0,0,IF(LEN(FN363)=11,_xlfn.XLOOKUP(FN363,'Dispensed Ink Rates'!C:C,'Dispensed Ink Rates'!CS:CS),VLOOKUP(FN363,'Jan-2026 rates'!$E:$F,2,0)))</f>
        <v>0</v>
      </c>
      <c r="GB363" s="409"/>
      <c r="GC363" s="398">
        <f>IF(GB363=0,0,IF(LEN(FO363)=11,_xlfn.XLOOKUP(FO363,'Dispensed Ink Rates'!C:C,'Dispensed Ink Rates'!CS:CS),VLOOKUP(FO363,'Jan-2026 rates'!$E:$F,2,0)))</f>
        <v>0</v>
      </c>
      <c r="GD363" s="409"/>
      <c r="GE363" s="398">
        <f>IF(GD363=0,0,IF(LEN(FP363)=11,_xlfn.XLOOKUP(FP363,'Dispensed Ink Rates'!C:C,'Dispensed Ink Rates'!CS:CS),VLOOKUP(FP363,'Jan-2026 rates'!$E:$F,2,0)))</f>
        <v>0</v>
      </c>
      <c r="GF363" s="409"/>
      <c r="GG363" s="398">
        <f>IF(GF363=0,0,IF(LEN(FQ363)=11,_xlfn.XLOOKUP(FQ363,'Dispensed Ink Rates'!C:C,'Dispensed Ink Rates'!CS:CS),VLOOKUP(FQ363,'Jan-2026 rates'!$E:$F,2,0)))</f>
        <v>0</v>
      </c>
      <c r="GH363" s="409" t="s">
        <v>1443</v>
      </c>
      <c r="GI363" s="409">
        <v>32</v>
      </c>
      <c r="GJ363" s="411">
        <f t="shared" si="224"/>
        <v>0</v>
      </c>
      <c r="GK363" s="411">
        <f t="shared" si="225"/>
        <v>114.86734693877551</v>
      </c>
      <c r="GL363" s="410">
        <f t="shared" si="226"/>
        <v>0</v>
      </c>
      <c r="GM363" s="405" t="s">
        <v>544</v>
      </c>
      <c r="GN363" s="409" t="s">
        <v>4784</v>
      </c>
      <c r="GO363" s="420" t="str">
        <f t="shared" si="188"/>
        <v>FLINTSL - MAGENTA</v>
      </c>
      <c r="GP363" s="409">
        <v>15</v>
      </c>
      <c r="GQ363" s="411">
        <f>IF(GP363=0,0,IF($LB363=70%,VLOOKUP($GO363,'Jan-2026 rates'!$L:$R,4,0),IF($LB363=65%,VLOOKUP($GO363,'Jan-2026 rates'!$L:$R,4,0),IF($LB363=40%,VLOOKUP($GO363,'Jan-2026 rates'!$L:$R,5,0),IF($LB363=30%,VLOOKUP($GO363,'Jan-2026 rates'!$L:$R,6,0),IF($LB363=100%,VLOOKUP($GO363,'Jan-2026 rates'!$L:$R,7,0),IF($LB363=60%,VLOOKUP($GO363,'Jan-2026 rates'!$L:$S,8,0),IF($LB363=80%,VLOOKUP($GO363,'Jan-2026 rates'!L:T,9,0),0))))))))</f>
        <v>0</v>
      </c>
      <c r="GR363" s="412" t="s">
        <v>4785</v>
      </c>
      <c r="GS363" s="409">
        <v>27</v>
      </c>
      <c r="GT363" s="411">
        <f>IF(GS363=0,0,IF($LB363=70%,VLOOKUP($GO363,'Jan-2026 rates'!$L:$R,4,0),IF($LB363=65%,VLOOKUP($GO363,'Jan-2026 rates'!$L:$R,4,0),IF($LB363=40%,VLOOKUP($GO363,'Jan-2026 rates'!$L:$R,5,0),IF($LB363=30%,VLOOKUP($GO363,'Jan-2026 rates'!$L:$R,6,0),IF($LB363=100%,VLOOKUP($GO363,'Jan-2026 rates'!$L:$R,7,0),IF($LB363=60%,VLOOKUP($GO363,'Jan-2026 rates'!$L:$S,8,0),IF($LB363=80%,VLOOKUP($GO363,'Jan-2026 rates'!L:T,9,0),0))))))))</f>
        <v>0</v>
      </c>
      <c r="GU363" s="413">
        <v>26528000020</v>
      </c>
      <c r="GV363" s="413" t="s">
        <v>1266</v>
      </c>
      <c r="GW363" s="412"/>
      <c r="GX363" s="412"/>
      <c r="GY363" s="412"/>
      <c r="GZ363" s="412"/>
      <c r="HA363" s="412"/>
      <c r="HB363" s="412"/>
      <c r="HC363" s="409">
        <v>8</v>
      </c>
      <c r="HD363" s="398" t="e">
        <f>IF(HC363=0,0,IF(LEN(GU363)=11,_xlfn.XLOOKUP(GU363,'Dispensed Ink Rates'!C:C,'Dispensed Ink Rates'!CS:CS),VLOOKUP(GU363,'Jan-2026 rates'!$E:$F,2,0)))</f>
        <v>#N/A</v>
      </c>
      <c r="HE363" s="409">
        <v>10</v>
      </c>
      <c r="HF363" s="398">
        <f>IF(HE363=0,0,IF(LEN(GV363)=11,_xlfn.XLOOKUP(GV363,'Dispensed Ink Rates'!C:C,'Dispensed Ink Rates'!CS:CS),VLOOKUP(GV363,'Jan-2026 rates'!$E:$F,2,0)))</f>
        <v>0</v>
      </c>
      <c r="HG363" s="409"/>
      <c r="HH363" s="398">
        <f>IF(HG363=0,0,IF(LEN(GW363)=11,_xlfn.XLOOKUP(GW363,'Dispensed Ink Rates'!C:C,'Dispensed Ink Rates'!CS:CS),VLOOKUP(GW363,'Jan-2026 rates'!$E:$F,2,0)))</f>
        <v>0</v>
      </c>
      <c r="HI363" s="409"/>
      <c r="HJ363" s="398">
        <f>IF(HI363=0,0,IF(LEN(GX363)=11,_xlfn.XLOOKUP(GX363,'Dispensed Ink Rates'!C:C,'Dispensed Ink Rates'!CS:CS),VLOOKUP(GX363,'Jan-2026 rates'!$E:$F,2,0)))</f>
        <v>0</v>
      </c>
      <c r="HK363" s="409"/>
      <c r="HL363" s="398">
        <f>IF(HK363=0,0,IF(LEN(GY363)=11,_xlfn.XLOOKUP(GY363,'Dispensed Ink Rates'!C:C,'Dispensed Ink Rates'!CS:CS),VLOOKUP(GY363,'Jan-2026 rates'!$E:$F,2,0)))</f>
        <v>0</v>
      </c>
      <c r="HM363" s="409"/>
      <c r="HN363" s="398">
        <f>IF(HM363=0,0,IF(LEN(GZ363)=11,_xlfn.XLOOKUP(GZ363,'Dispensed Ink Rates'!C:C,'Dispensed Ink Rates'!CS:CS),VLOOKUP(GZ363,'Jan-2026 rates'!$E:$F,2,0)))</f>
        <v>0</v>
      </c>
      <c r="HO363" s="409"/>
      <c r="HP363" s="398">
        <f>IF(HO363=0,0,IF(LEN(HA363)=11,_xlfn.XLOOKUP(HA363,'Dispensed Ink Rates'!C:C,'Dispensed Ink Rates'!CS:CS),VLOOKUP(HA363,'Jan-2026 rates'!$E:$F,2,0)))</f>
        <v>0</v>
      </c>
      <c r="HQ363" s="409"/>
      <c r="HR363" s="398">
        <f>IF(HQ363=0,0,IF(LEN(HB363)=11,_xlfn.XLOOKUP(HB363,'Dispensed Ink Rates'!C:C,'Dispensed Ink Rates'!CS:CS),VLOOKUP(HB363,'Jan-2026 rates'!$E:$F,2,0)))</f>
        <v>0</v>
      </c>
      <c r="HS363" s="409" t="s">
        <v>1443</v>
      </c>
      <c r="HT363" s="409">
        <v>30</v>
      </c>
      <c r="HU363" s="411">
        <f t="shared" si="227"/>
        <v>0</v>
      </c>
      <c r="HV363" s="411">
        <f t="shared" si="228"/>
        <v>56.816326530612244</v>
      </c>
      <c r="HW363" s="414">
        <f t="shared" si="229"/>
        <v>0</v>
      </c>
      <c r="HX363" s="405" t="s">
        <v>545</v>
      </c>
      <c r="HY363" s="409" t="s">
        <v>4786</v>
      </c>
      <c r="HZ363" s="420" t="str">
        <f t="shared" si="189"/>
        <v>FLINTSL - YELLOW</v>
      </c>
      <c r="IA363" s="409">
        <v>30</v>
      </c>
      <c r="IB363" s="411">
        <f>IF(IA363=0,0,IF($LB363=70%,VLOOKUP($HZ363,'Jan-2026 rates'!$L:$R,4,0),IF($LB363=65%,VLOOKUP($HZ363,'Jan-2026 rates'!$L:$R,4,0),IF($LB363=40%,VLOOKUP($HZ363,'Jan-2026 rates'!$L:$R,5,0),IF($LB363=30%,VLOOKUP($HZ363,'Jan-2026 rates'!$L:$R,6,0),IF($LB363=100%,VLOOKUP($HZ363,'Jan-2026 rates'!$L:$R,7,0),IF($LB363=60%,VLOOKUP($HZ363,'Jan-2026 rates'!$L:$S,8,0),IF($LB363=80%,VLOOKUP($HZ363,'Jan-2026 rates'!L:T,9,0),0))))))))</f>
        <v>0</v>
      </c>
      <c r="IC363" s="412"/>
      <c r="ID363" s="409"/>
      <c r="IE363" s="411">
        <f>IF(ID363=0,0,IF($LB363=70%,VLOOKUP($HZ363,'Jan-2026 rates'!$L:$R,4,0),IF($LB363=65%,VLOOKUP($HZ363,'Jan-2026 rates'!$L:$R,4,0),IF($LB363=40%,VLOOKUP($HZ363,'Jan-2026 rates'!$L:$R,5,0),IF($LB363=30%,VLOOKUP($HZ363,'Jan-2026 rates'!$L:$R,6,0),IF($LB363=100%,VLOOKUP($HZ363,'Jan-2026 rates'!$L:$R,7,0),IF($LB363=60%,VLOOKUP($HZ363,'Jan-2026 rates'!$L:$S,8,0),IF($LB363=80%,VLOOKUP($HZ363,'Jan-2026 rates'!L:T,9,0),0))))))))</f>
        <v>0</v>
      </c>
      <c r="IF363" s="412" t="s">
        <v>1646</v>
      </c>
      <c r="IG363" s="413" t="s">
        <v>1266</v>
      </c>
      <c r="IH363" s="412"/>
      <c r="II363" s="412"/>
      <c r="IJ363" s="412"/>
      <c r="IK363" s="412"/>
      <c r="IL363" s="412"/>
      <c r="IM363" s="412"/>
      <c r="IN363" s="409">
        <f>5+40+40</f>
        <v>85</v>
      </c>
      <c r="IO363" s="398">
        <f>IF(IN363=0,0,IF(LEN(IF363)=11,_xlfn.XLOOKUP(IF363,'Dispensed Ink Rates'!C:C,'Dispensed Ink Rates'!CS:CS),VLOOKUP(IF363,'Jan-2026 rates'!$E:$F,2,0)))</f>
        <v>0</v>
      </c>
      <c r="IP363" s="409">
        <f>10+10</f>
        <v>20</v>
      </c>
      <c r="IQ363" s="398">
        <f>IF(IP363=0,0,IF(LEN(IG363)=11,_xlfn.XLOOKUP(IG363,'Dispensed Ink Rates'!C:C,'Dispensed Ink Rates'!CS:CS),VLOOKUP(IG363,'Jan-2026 rates'!$E:$F,2,0)))</f>
        <v>0</v>
      </c>
      <c r="IR363" s="409"/>
      <c r="IS363" s="398">
        <f>IF(IR363=0,0,IF(LEN(IH363)=11,_xlfn.XLOOKUP(IH363,'Dispensed Ink Rates'!C:C,'Dispensed Ink Rates'!CS:CS),VLOOKUP(IH363,'Jan-2026 rates'!$E:$F,2,0)))</f>
        <v>0</v>
      </c>
      <c r="IT363" s="409"/>
      <c r="IU363" s="398">
        <f>IF(IT363=0,0,IF(LEN(II363)=11,_xlfn.XLOOKUP(II363,'Dispensed Ink Rates'!C:C,'Dispensed Ink Rates'!CS:CS),VLOOKUP(II363,'Jan-2026 rates'!$E:$F,2,0)))</f>
        <v>0</v>
      </c>
      <c r="IV363" s="409"/>
      <c r="IW363" s="398">
        <f>IF(IV363=0,0,IF(LEN(IJ363)=11,_xlfn.XLOOKUP(IJ363,'Dispensed Ink Rates'!C:C,'Dispensed Ink Rates'!CS:CS),VLOOKUP(IJ363,'Jan-2026 rates'!$E:$F,2,0)))</f>
        <v>0</v>
      </c>
      <c r="IX363" s="409"/>
      <c r="IY363" s="398">
        <f>IF(IX363=0,0,IF(LEN(IK363)=11,_xlfn.XLOOKUP(IK363,'Dispensed Ink Rates'!C:C,'Dispensed Ink Rates'!CS:CS),VLOOKUP(IK363,'Jan-2026 rates'!$E:$F,2,0)))</f>
        <v>0</v>
      </c>
      <c r="IZ363" s="409"/>
      <c r="JA363" s="398">
        <f>IF(IZ363=0,0,IF(LEN(IL363)=11,_xlfn.XLOOKUP(IL363,'Dispensed Ink Rates'!C:C,'Dispensed Ink Rates'!CS:CS),VLOOKUP(IL363,'Jan-2026 rates'!$E:$F,2,0)))</f>
        <v>0</v>
      </c>
      <c r="JB363" s="409"/>
      <c r="JC363" s="398">
        <f>IF(JB363=0,0,IF(LEN(IM363)=11,_xlfn.XLOOKUP(IM363,'Dispensed Ink Rates'!C:C,'Dispensed Ink Rates'!CS:CS),VLOOKUP(IM363,'Jan-2026 rates'!$E:$F,2,0)))</f>
        <v>0</v>
      </c>
      <c r="JD363" s="409" t="s">
        <v>1443</v>
      </c>
      <c r="JE363" s="409">
        <v>38</v>
      </c>
      <c r="JF363" s="411">
        <f t="shared" si="230"/>
        <v>0</v>
      </c>
      <c r="JG363" s="411">
        <f t="shared" si="231"/>
        <v>137.22448979591837</v>
      </c>
      <c r="JH363" s="410">
        <f t="shared" si="232"/>
        <v>0</v>
      </c>
      <c r="JI363" s="405" t="s">
        <v>856</v>
      </c>
      <c r="JJ363" s="409" t="s">
        <v>4787</v>
      </c>
      <c r="JK363" s="420" t="str">
        <f t="shared" si="190"/>
        <v>FLINTSL - WHITE</v>
      </c>
      <c r="JL363" s="409">
        <v>30</v>
      </c>
      <c r="JM363" s="411">
        <f>IF(JL363=0,0,IF($LB363=70%,VLOOKUP($JK363,'Jan-2026 rates'!$L:$R,4,0),IF($LB363=65%,VLOOKUP($JK363,'Jan-2026 rates'!$L:$R,4,0),IF($LB363=40%,VLOOKUP($JK363,'Jan-2026 rates'!$L:$R,5,0),IF($LB363=30%,VLOOKUP($JK363,'Jan-2026 rates'!$L:$R,6,0),IF($LB363=100%,VLOOKUP($JK363,'Jan-2026 rates'!$L:$R,7,0),IF($LB363=60%,VLOOKUP($JK363,'Jan-2026 rates'!$L:$S,8,0),IF($LB363=80%,VLOOKUP($JK363,'Jan-2026 rates'!L:T,9,0),0))))))))</f>
        <v>0</v>
      </c>
      <c r="JN363" s="412"/>
      <c r="JO363" s="409"/>
      <c r="JP363" s="411">
        <f>IF(JO363=0,0,IF($LB363=70%,VLOOKUP($JK363,'Jan-2026 rates'!$L:$R,4,0),IF($LB363=65%,VLOOKUP($JK363,'Jan-2026 rates'!$L:$R,4,0),IF($LB363=40%,VLOOKUP($JK363,'Jan-2026 rates'!$L:$R,5,0),IF($LB363=30%,VLOOKUP($JK363,'Jan-2026 rates'!$L:$R,6,0),IF($LB363=100%,VLOOKUP($JK363,'Jan-2026 rates'!$L:$R,7,0),IF($LB363=60%,VLOOKUP($JK363,'Jan-2026 rates'!$L:$S,8,0),IF($LB363=80%,VLOOKUP($JK363,'Jan-2026 rates'!L:T,9,0),0))))))))</f>
        <v>0</v>
      </c>
      <c r="JQ363" s="413" t="s">
        <v>484</v>
      </c>
      <c r="JR363" s="412"/>
      <c r="JS363" s="413"/>
      <c r="JT363" s="413"/>
      <c r="JU363" s="412"/>
      <c r="JV363" s="412"/>
      <c r="JW363" s="412"/>
      <c r="JX363" s="412"/>
      <c r="JY363" s="409">
        <f>50+150+100+60</f>
        <v>360</v>
      </c>
      <c r="JZ363" s="398">
        <f>IF(JY363=0,0,IF(LEN(JQ363)=11,_xlfn.XLOOKUP(JQ363,'Dispensed Ink Rates'!C:C,'Dispensed Ink Rates'!CS:CS),VLOOKUP(JQ363,'Jan-2026 rates'!$E:$F,2,0)))</f>
        <v>0</v>
      </c>
      <c r="KA363" s="409"/>
      <c r="KB363" s="398">
        <f>IF(KA363=0,0,IF(LEN(JR363)=11,_xlfn.XLOOKUP(JR363,'Dispensed Ink Rates'!C:C,'Dispensed Ink Rates'!CS:CS),VLOOKUP(JR363,'Jan-2026 rates'!$E:$F,2,0)))</f>
        <v>0</v>
      </c>
      <c r="KC363" s="409"/>
      <c r="KD363" s="398">
        <f>IF(KC363=0,0,IF(LEN(JS363)=11,_xlfn.XLOOKUP(JS363,'Dispensed Ink Rates'!C:C,'Dispensed Ink Rates'!CS:CS),VLOOKUP(JS363,'Jan-2026 rates'!$E:$F,2,0)))</f>
        <v>0</v>
      </c>
      <c r="KE363" s="409"/>
      <c r="KF363" s="398">
        <f>IF(KE363=0,0,IF(LEN(JT363)=11,_xlfn.XLOOKUP(JT363,'Dispensed Ink Rates'!C:C,'Dispensed Ink Rates'!CS:CS),VLOOKUP(JT363,'Jan-2026 rates'!$E:$F,2,0)))</f>
        <v>0</v>
      </c>
      <c r="KG363" s="409"/>
      <c r="KH363" s="398">
        <f>IF(KG363=0,0,IF(LEN(JU363)=11,_xlfn.XLOOKUP(JU363,'Dispensed Ink Rates'!C:C,'Dispensed Ink Rates'!CS:CS),VLOOKUP(JU363,'Jan-2026 rates'!$E:$F,2,0)))</f>
        <v>0</v>
      </c>
      <c r="KI363" s="409"/>
      <c r="KJ363" s="398">
        <f>IF(KI363=0,0,IF(LEN(JV363)=11,_xlfn.XLOOKUP(JV363,'Dispensed Ink Rates'!C:C,'Dispensed Ink Rates'!CS:CS),VLOOKUP(JV363,'Jan-2026 rates'!$E:$F,2,0)))</f>
        <v>0</v>
      </c>
      <c r="KK363" s="409"/>
      <c r="KL363" s="398">
        <f>IF(KK363=0,0,IF(LEN(JW363)=11,_xlfn.XLOOKUP(JW363,'Dispensed Ink Rates'!C:C,'Dispensed Ink Rates'!CS:CS),VLOOKUP(JW363,'Jan-2026 rates'!$E:$F,2,0)))</f>
        <v>0</v>
      </c>
      <c r="KM363" s="428"/>
      <c r="KN363" s="398">
        <f>IF(KM363=0,0,IF(LEN(JX363)=11,_xlfn.XLOOKUP(JX363,'Dispensed Ink Rates'!C:C,'Dispensed Ink Rates'!CS:CS),VLOOKUP(JX363,'Jan-2026 rates'!$E:$F,2,0)))</f>
        <v>0</v>
      </c>
      <c r="KO363" s="409" t="s">
        <v>1443</v>
      </c>
      <c r="KP363" s="409">
        <v>27</v>
      </c>
      <c r="KQ363" s="411">
        <f t="shared" si="233"/>
        <v>0</v>
      </c>
      <c r="KR363" s="411">
        <f t="shared" si="234"/>
        <v>832.28571428571422</v>
      </c>
      <c r="KS363" s="410">
        <f t="shared" si="235"/>
        <v>0</v>
      </c>
      <c r="KT363" s="409">
        <v>3</v>
      </c>
      <c r="KU363" s="409">
        <v>5</v>
      </c>
      <c r="KV363" s="409">
        <v>10</v>
      </c>
      <c r="KW363" s="409">
        <f>5+6</f>
        <v>11</v>
      </c>
      <c r="KX363" s="409">
        <f>15+10</f>
        <v>25</v>
      </c>
      <c r="KY363" s="409">
        <v>12</v>
      </c>
      <c r="KZ363" s="409">
        <f>3+15</f>
        <v>18</v>
      </c>
      <c r="LA363" s="409">
        <f>30+90+90</f>
        <v>210</v>
      </c>
      <c r="LB363" s="415">
        <v>0.8</v>
      </c>
      <c r="LC363" s="415">
        <v>0.2</v>
      </c>
      <c r="LD363" s="424"/>
      <c r="LE363" s="415"/>
      <c r="LF363" s="415"/>
      <c r="LG363" s="409">
        <v>0</v>
      </c>
      <c r="LH363" s="409">
        <f>210+147+240+60</f>
        <v>657</v>
      </c>
      <c r="LI363" s="409">
        <v>0</v>
      </c>
      <c r="LJ363" s="409">
        <v>0</v>
      </c>
      <c r="LK363" s="416">
        <f t="shared" si="191"/>
        <v>657</v>
      </c>
      <c r="LL363" s="416">
        <f t="shared" si="349"/>
        <v>657</v>
      </c>
      <c r="LM363" s="417">
        <f t="shared" si="193"/>
        <v>525.6</v>
      </c>
      <c r="LN363" s="417">
        <f>VLOOKUP($LM$8,'Jan-2026 rates'!$H:$I,2,0)</f>
        <v>0</v>
      </c>
      <c r="LO363" s="417">
        <f t="shared" si="194"/>
        <v>131.4</v>
      </c>
      <c r="LP363" s="417">
        <f>VLOOKUP($LO$8,'Jan-2026 rates'!$H:$I,2,0)</f>
        <v>0</v>
      </c>
      <c r="LQ363" s="417">
        <f t="shared" si="195"/>
        <v>0</v>
      </c>
      <c r="LR363" s="417">
        <f>VLOOKUP($LQ$8,'Jan-2026 rates'!$H:$I,2,0)</f>
        <v>0</v>
      </c>
      <c r="LS363" s="417">
        <f t="shared" si="196"/>
        <v>0</v>
      </c>
      <c r="LT363" s="417">
        <f>VLOOKUP($LS$8,'Jan-2026 rates'!$H:$I,2,0)</f>
        <v>0</v>
      </c>
      <c r="LU363" s="417">
        <f t="shared" si="197"/>
        <v>0</v>
      </c>
      <c r="LV363" s="417">
        <f>VLOOKUP($LU$8,'Jan-2026 rates'!$H:$I,2,0)</f>
        <v>0</v>
      </c>
      <c r="LW363" s="417">
        <f t="shared" si="198"/>
        <v>0</v>
      </c>
      <c r="LX363" s="417">
        <f t="shared" si="199"/>
        <v>0</v>
      </c>
      <c r="LY363" s="418">
        <f t="shared" si="200"/>
        <v>0</v>
      </c>
      <c r="LZ363" s="417"/>
      <c r="MA363" s="435">
        <f t="shared" si="201"/>
        <v>599</v>
      </c>
      <c r="MB363" s="282">
        <f t="shared" si="202"/>
        <v>1230</v>
      </c>
      <c r="MC363" s="283">
        <v>205</v>
      </c>
      <c r="MD363" s="284" t="str">
        <f t="shared" si="203"/>
        <v>FLINTSLFLINTSLFLINTSLFLINTSLFLINTSLFLINTSLFLINTSLFLINTSL</v>
      </c>
      <c r="ME363" s="293" t="str">
        <f t="shared" si="204"/>
        <v>+</v>
      </c>
      <c r="MF363" s="293" t="str">
        <f t="shared" si="205"/>
        <v>+</v>
      </c>
      <c r="MG363" s="293" t="str">
        <f t="shared" si="206"/>
        <v>+</v>
      </c>
      <c r="MH363" s="293" t="str">
        <f t="shared" si="207"/>
        <v>+</v>
      </c>
      <c r="MI363" s="293" t="str">
        <f t="shared" si="208"/>
        <v>+</v>
      </c>
      <c r="MJ363" s="293" t="str">
        <f t="shared" si="209"/>
        <v>+</v>
      </c>
      <c r="MK363" s="293" t="str">
        <f t="shared" si="210"/>
        <v>+</v>
      </c>
      <c r="ML363" s="293" t="str">
        <f t="shared" si="211"/>
        <v>+</v>
      </c>
      <c r="MM363" s="3" t="b">
        <f t="array" ref="MM363">OR(ME363:ML363="-")</f>
        <v>0</v>
      </c>
      <c r="MO363" s="401">
        <f t="shared" si="350"/>
        <v>65.530101225359616</v>
      </c>
      <c r="MP363" s="286"/>
      <c r="MR363" s="402">
        <f t="shared" si="351"/>
        <v>1.2866108786610878E-2</v>
      </c>
      <c r="MS363" s="400">
        <f t="shared" si="352"/>
        <v>0</v>
      </c>
      <c r="MT363" s="285"/>
      <c r="NH363" s="361"/>
      <c r="NJ363" s="282"/>
    </row>
    <row r="364" spans="1:374" ht="16.5">
      <c r="A364" s="403">
        <v>46049</v>
      </c>
      <c r="B364" s="404" t="s">
        <v>1015</v>
      </c>
      <c r="C364" s="405" t="s">
        <v>4788</v>
      </c>
      <c r="D364" s="404">
        <v>206</v>
      </c>
      <c r="E364" s="404">
        <v>989</v>
      </c>
      <c r="F364" s="407">
        <v>48000</v>
      </c>
      <c r="G364" s="407" t="s">
        <v>1019</v>
      </c>
      <c r="H364" s="408" t="s">
        <v>1017</v>
      </c>
      <c r="I364" s="409">
        <v>2.2000000000000002</v>
      </c>
      <c r="J364" s="405" t="s">
        <v>543</v>
      </c>
      <c r="K364" s="404" t="s">
        <v>4789</v>
      </c>
      <c r="L364" s="419" t="str">
        <f t="shared" si="184"/>
        <v>FLINTSL - BLACK</v>
      </c>
      <c r="M364" s="404">
        <v>26</v>
      </c>
      <c r="N364" s="410">
        <f>IF(M364=0,0,IF($LB364=70%,VLOOKUP($L364,'Jan-2026 rates'!$L:$R,4,0),IF($LB364=65%,VLOOKUP($L364,'Jan-2026 rates'!$L:$R,4,0),IF($LB364=40%,VLOOKUP($L364,'Jan-2026 rates'!$L:$R,5,0),IF($LB364=30%,VLOOKUP($L364,'Jan-2026 rates'!$L:$R,6,0),IF($LB364=100%,VLOOKUP($L364,'Jan-2026 rates'!$L:$R,7,0),IF($LB364=60%,VLOOKUP($L364,'Jan-2026 rates'!$L:$S,8,0),IF($LB364=80%,VLOOKUP($L364,'Jan-2026 rates'!L:T,9,0),0))))))))</f>
        <v>0</v>
      </c>
      <c r="O364" s="406"/>
      <c r="P364" s="404"/>
      <c r="Q364" s="410">
        <f>IF(P364=0,0,IF($LB364=70%,VLOOKUP($L364,'Jan-2026 rates'!$L:$R,4,0),IF($LB364=65%,VLOOKUP($L364,'Jan-2026 rates'!$L:$R,4,0),IF($LB364=40%,VLOOKUP($L364,'Jan-2026 rates'!$L:$R,5,0),IF($LB364=30%,VLOOKUP($L364,'Jan-2026 rates'!$L:$R,6,0),IF($LB364=100%,VLOOKUP($L364,'Jan-2026 rates'!$L:$R,7,0),IF($LB364=60%,VLOOKUP($L364,'Jan-2026 rates'!$L:$S,8,0),IF($LB364=80%,VLOOKUP($L364,'Jan-2026 rates'!L:T,9,0),0))))))))</f>
        <v>0</v>
      </c>
      <c r="R364" s="406">
        <v>26527000021</v>
      </c>
      <c r="S364" s="406"/>
      <c r="T364" s="406"/>
      <c r="U364" s="406"/>
      <c r="V364" s="406"/>
      <c r="W364" s="406"/>
      <c r="X364" s="406"/>
      <c r="Y364" s="406"/>
      <c r="Z364" s="404">
        <f>6+2</f>
        <v>8</v>
      </c>
      <c r="AA364" s="398" t="e">
        <f>IF(Z364=0,0,IF(LEN(R364)=11,_xlfn.XLOOKUP(R364,'Dispensed Ink Rates'!C:C,'Dispensed Ink Rates'!CS:CS),VLOOKUP(R364,'Jan-2026 rates'!$E:$F,2,0)))</f>
        <v>#N/A</v>
      </c>
      <c r="AB364" s="404"/>
      <c r="AC364" s="398">
        <f>IF(AB364=0,0,IF(LEN(S364)=11,_xlfn.XLOOKUP(S364,'Dispensed Ink Rates'!C:C,'Dispensed Ink Rates'!CS:CS),VLOOKUP(S364,'Jan-2026 rates'!$E:$F,2,0)))</f>
        <v>0</v>
      </c>
      <c r="AD364" s="404"/>
      <c r="AE364" s="398">
        <f>IF(AD364=0,0,IF(LEN(T364)=11,_xlfn.XLOOKUP(T364,'Dispensed Ink Rates'!C:C,'Dispensed Ink Rates'!CS:CS),VLOOKUP(T364,'Jan-2026 rates'!$E:$F,2,0)))</f>
        <v>0</v>
      </c>
      <c r="AF364" s="404"/>
      <c r="AG364" s="398">
        <f>IF(AF364=0,0,IF(LEN(U364)=11,_xlfn.XLOOKUP(U364,'Dispensed Ink Rates'!C:C,'Dispensed Ink Rates'!CS:CS),VLOOKUP(U364,'Jan-2026 rates'!$E:$F,2,0)))</f>
        <v>0</v>
      </c>
      <c r="AH364" s="404"/>
      <c r="AI364" s="398">
        <f>IF(AH364=0,0,IF(LEN(V364)=11,_xlfn.XLOOKUP(V364,'Dispensed Ink Rates'!C:C,'Dispensed Ink Rates'!CS:CS),VLOOKUP(V364,'Jan-2026 rates'!$E:$F,2,0)))</f>
        <v>0</v>
      </c>
      <c r="AJ364" s="404"/>
      <c r="AK364" s="398">
        <f>IF(AJ364=0,0,IF(LEN(W364)=11,_xlfn.XLOOKUP(W364,'Dispensed Ink Rates'!C:C,'Dispensed Ink Rates'!CS:CS),VLOOKUP(W364,'Jan-2026 rates'!$E:$F,2,0)))</f>
        <v>0</v>
      </c>
      <c r="AL364" s="404"/>
      <c r="AM364" s="398">
        <f>IF(AL364=0,0,IF(LEN(X364)=11,_xlfn.XLOOKUP(X364,'Dispensed Ink Rates'!C:C,'Dispensed Ink Rates'!CS:CS),VLOOKUP(X364,'Jan-2026 rates'!$E:$F,2,0)))</f>
        <v>0</v>
      </c>
      <c r="AN364" s="404"/>
      <c r="AO364" s="398">
        <f>IF(AN364=0,0,IF(LEN(Y364)=11,_xlfn.XLOOKUP(Y364,'Dispensed Ink Rates'!C:C,'Dispensed Ink Rates'!CS:CS),VLOOKUP(Y364,'Jan-2026 rates'!$E:$F,2,0)))</f>
        <v>0</v>
      </c>
      <c r="AP364" s="409" t="s">
        <v>1443</v>
      </c>
      <c r="AQ364" s="409">
        <v>26</v>
      </c>
      <c r="AR364" s="410">
        <f t="shared" si="212"/>
        <v>0</v>
      </c>
      <c r="AS364" s="411">
        <f t="shared" si="213"/>
        <v>16.649999999999999</v>
      </c>
      <c r="AT364" s="410">
        <f t="shared" si="214"/>
        <v>0</v>
      </c>
      <c r="AU364" s="405" t="s">
        <v>857</v>
      </c>
      <c r="AV364" s="409" t="s">
        <v>4790</v>
      </c>
      <c r="AW364" s="420" t="str">
        <f t="shared" si="348"/>
        <v>FLINTSL - RED</v>
      </c>
      <c r="AX364" s="409">
        <v>26</v>
      </c>
      <c r="AY364" s="411">
        <f>IF(AX364=0,0,IF($LB364=70%,VLOOKUP($AW364,'Jan-2026 rates'!$L:$R,4,0),IF($LB364=65%,VLOOKUP($AW364,'Jan-2026 rates'!$L:$R,4,0),IF($LB364=40%,VLOOKUP($AW364,'Jan-2026 rates'!$L:$R,5,0),IF($LB364=30%,VLOOKUP($AW364,'Jan-2026 rates'!$L:$R,6,0),IF($LB364=100%,VLOOKUP($AW364,'Jan-2026 rates'!$L:$R,7,0),IF($LB364=60%,VLOOKUP($AW364,'Jan-2026 rates'!$L:$S,8,0),IF($LB364=80%,VLOOKUP($AW364,'Jan-2026 rates'!L:T,9,0),0))))))))</f>
        <v>0</v>
      </c>
      <c r="AZ364" s="412"/>
      <c r="BA364" s="409"/>
      <c r="BB364" s="411">
        <f>IF(BA364=0,0,IF($LB364=70%,VLOOKUP($AW364,'Jan-2026 rates'!$L:$R,4,0),IF($LB364=65%,VLOOKUP($AW364,'Jan-2026 rates'!$L:$R,4,0),IF($LB364=40%,VLOOKUP($AW364,'Jan-2026 rates'!$L:$R,5,0),IF($LB364=30%,VLOOKUP($AW364,'Jan-2026 rates'!$L:$R,6,0),IF($LB364=100%,VLOOKUP($AW364,'Jan-2026 rates'!$L:$R,7,0),IF($LB364=60%,VLOOKUP($AW364,'Jan-2026 rates'!$L:$S,8,0),IF($LB364=80%,VLOOKUP($AW364,'Jan-2026 rates'!L:T,9,0),0))))))))</f>
        <v>0</v>
      </c>
      <c r="BC364" s="413">
        <v>26527000012</v>
      </c>
      <c r="BD364" s="412">
        <v>26527000022</v>
      </c>
      <c r="BE364" s="412"/>
      <c r="BF364" s="413"/>
      <c r="BG364" s="412"/>
      <c r="BH364" s="412"/>
      <c r="BI364" s="412"/>
      <c r="BJ364" s="412"/>
      <c r="BK364" s="409">
        <v>6</v>
      </c>
      <c r="BL364" s="398" t="e">
        <f>IF(BK364=0,0,IF(LEN(BC364)=11,_xlfn.XLOOKUP(BC364,'Dispensed Ink Rates'!C:C,'Dispensed Ink Rates'!CS:CS),VLOOKUP(BC364,'Jan-2026 rates'!$E:$F,2,0)))</f>
        <v>#N/A</v>
      </c>
      <c r="BM364" s="409">
        <v>2</v>
      </c>
      <c r="BN364" s="398" t="e">
        <f>IF(BM364=0,0,IF(LEN(BD364)=11,_xlfn.XLOOKUP(BD364,'Dispensed Ink Rates'!C:C,'Dispensed Ink Rates'!CS:CS),VLOOKUP(BD364,'Jan-2026 rates'!$E:$F,2,0)))</f>
        <v>#N/A</v>
      </c>
      <c r="BO364" s="409"/>
      <c r="BP364" s="398">
        <f>IF(BO364=0,0,IF(LEN(BE364)=11,_xlfn.XLOOKUP(BE364,'Dispensed Ink Rates'!C:C,'Dispensed Ink Rates'!CS:CS),VLOOKUP(BE364,'Jan-2026 rates'!$E:$F,2,0)))</f>
        <v>0</v>
      </c>
      <c r="BQ364" s="409"/>
      <c r="BR364" s="398">
        <f>IF(BQ364=0,0,IF(LEN(BF364)=11,_xlfn.XLOOKUP(BF364,'Dispensed Ink Rates'!C:C,'Dispensed Ink Rates'!CS:CS),VLOOKUP(BF364,'Jan-2026 rates'!$E:$F,2,0)))</f>
        <v>0</v>
      </c>
      <c r="BS364" s="409"/>
      <c r="BT364" s="398">
        <f>IF(BS364=0,0,IF(LEN(BG364)=11,_xlfn.XLOOKUP(BG364,'Dispensed Ink Rates'!C:C,'Dispensed Ink Rates'!CS:CS),VLOOKUP(BG364,'Jan-2026 rates'!$E:$F,2,0)))</f>
        <v>0</v>
      </c>
      <c r="BU364" s="409"/>
      <c r="BV364" s="398">
        <f>IF(BU364=0,0,IF(LEN(BH364)=11,_xlfn.XLOOKUP(BH364,'Dispensed Ink Rates'!C:C,'Dispensed Ink Rates'!CS:CS),VLOOKUP(BH364,'Jan-2026 rates'!$E:$F,2,0)))</f>
        <v>0</v>
      </c>
      <c r="BW364" s="409"/>
      <c r="BX364" s="398">
        <f>IF(BW364=0,0,IF(LEN(BI364)=11,_xlfn.XLOOKUP(BI364,'Dispensed Ink Rates'!C:C,'Dispensed Ink Rates'!CS:CS),VLOOKUP(BI364,'Jan-2026 rates'!$E:$F,2,0)))</f>
        <v>0</v>
      </c>
      <c r="BY364" s="409"/>
      <c r="BZ364" s="398">
        <f>IF(BY364=0,0,IF(LEN(BJ364)=11,_xlfn.XLOOKUP(BJ364,'Dispensed Ink Rates'!C:C,'Dispensed Ink Rates'!CS:CS),VLOOKUP(BJ364,'Jan-2026 rates'!$E:$F,2,0)))</f>
        <v>0</v>
      </c>
      <c r="CA364" s="409" t="s">
        <v>1443</v>
      </c>
      <c r="CB364" s="409">
        <v>29</v>
      </c>
      <c r="CC364" s="411">
        <f t="shared" si="215"/>
        <v>0</v>
      </c>
      <c r="CD364" s="411">
        <f t="shared" si="216"/>
        <v>13.649999999999999</v>
      </c>
      <c r="CE364" s="410">
        <f t="shared" si="217"/>
        <v>0</v>
      </c>
      <c r="CF364" s="404" t="s">
        <v>855</v>
      </c>
      <c r="CG364" s="409" t="s">
        <v>4791</v>
      </c>
      <c r="CH364" s="420" t="str">
        <f t="shared" si="185"/>
        <v>FLINTSL - CYAN</v>
      </c>
      <c r="CI364" s="409">
        <v>20</v>
      </c>
      <c r="CJ364" s="411">
        <f>IF(CI364=0,0,IF($LB364=70%,VLOOKUP($CH364,'Jan-2026 rates'!$L:$R,4,0),IF($LB364=65%,VLOOKUP($CH364,'Jan-2026 rates'!$L:$R,4,0),IF($LB364=40%,VLOOKUP($CH364,'Jan-2026 rates'!$L:$R,5,0),IF($LB364=30%,VLOOKUP($CH364,'Jan-2026 rates'!$L:$R,6,0),IF($LB364=100%,VLOOKUP($CH364,'Jan-2026 rates'!$L:$R,7,0),IF($LB364=60%,VLOOKUP($CH364,'Jan-2026 rates'!$L:$S,8,0),IF($LB364=80%,VLOOKUP($CH364,'Jan-2026 rates'!L:T,9,0),0))))))))</f>
        <v>0</v>
      </c>
      <c r="CK364" s="412"/>
      <c r="CL364" s="409"/>
      <c r="CM364" s="411">
        <f>IF(CL364=0,0,IF($LB364=70%,VLOOKUP($CH364,'Jan-2026 rates'!$L:$R,4,0),IF($LB364=65%,VLOOKUP($CH364,'Jan-2026 rates'!$L:$R,4,0),IF($LB364=40%,VLOOKUP($CH364,'Jan-2026 rates'!$L:$R,5,0),IF($LB364=30%,VLOOKUP($CH364,'Jan-2026 rates'!$L:$R,6,0),IF($LB364=100%,VLOOKUP($CH364,'Jan-2026 rates'!$L:$R,7,0),IF($LB364=60%,VLOOKUP($CH364,'Jan-2026 rates'!$L:$S,8,0),IF($LB364=80%,VLOOKUP($CH364,'Jan-2026 rates'!L:T,9,0),0))))))))</f>
        <v>0</v>
      </c>
      <c r="CN364" s="426">
        <v>26524000018</v>
      </c>
      <c r="CO364" s="427" t="s">
        <v>1266</v>
      </c>
      <c r="CP364" s="426"/>
      <c r="CQ364" s="426"/>
      <c r="CR364" s="428"/>
      <c r="CS364" s="428"/>
      <c r="CT364" s="428"/>
      <c r="CU364" s="428"/>
      <c r="CV364" s="409">
        <v>1</v>
      </c>
      <c r="CW364" s="398" t="e">
        <f>IF(CV364=0,0,IF(LEN(CN364)=11,_xlfn.XLOOKUP(CN364,'Dispensed Ink Rates'!C:C,'Dispensed Ink Rates'!CS:CS),VLOOKUP(CN364,'Jan-2026 rates'!$E:$F,2,0)))</f>
        <v>#N/A</v>
      </c>
      <c r="CX364" s="409">
        <v>6</v>
      </c>
      <c r="CY364" s="398">
        <f>IF(CX364=0,0,IF(LEN(CO364)=11,_xlfn.XLOOKUP(CO364,'Dispensed Ink Rates'!C:C,'Dispensed Ink Rates'!CS:CS),VLOOKUP(CO364,'Jan-2026 rates'!$E:$F,2,0)))</f>
        <v>0</v>
      </c>
      <c r="CZ364" s="409"/>
      <c r="DA364" s="398">
        <f>IF(CZ364=0,0,IF(LEN(CP364)=11,_xlfn.XLOOKUP(CP364,'Dispensed Ink Rates'!C:C,'Dispensed Ink Rates'!CS:CS),VLOOKUP(CP364,'Jan-2026 rates'!$E:$F,2,0)))</f>
        <v>0</v>
      </c>
      <c r="DB364" s="409"/>
      <c r="DC364" s="398">
        <f>IF(DB364=0,0,IF(LEN(CQ364)=11,_xlfn.XLOOKUP(CQ364,'Dispensed Ink Rates'!C:C,'Dispensed Ink Rates'!CS:CS),VLOOKUP(CQ364,'Jan-2026 rates'!$E:$F,2,0)))</f>
        <v>0</v>
      </c>
      <c r="DD364" s="409"/>
      <c r="DE364" s="398">
        <f>IF(DD364=0,0,IF(LEN(CR364)=11,_xlfn.XLOOKUP(CR364,'Dispensed Ink Rates'!C:C,'Dispensed Ink Rates'!CS:CS),VLOOKUP(CR364,'Jan-2026 rates'!$E:$F,2,0)))</f>
        <v>0</v>
      </c>
      <c r="DF364" s="409"/>
      <c r="DG364" s="398">
        <f>IF(DF364=0,0,IF(LEN(CS364)=11,_xlfn.XLOOKUP(CS364,'Dispensed Ink Rates'!C:C,'Dispensed Ink Rates'!CS:CS),VLOOKUP(CS364,'Jan-2026 rates'!$E:$F,2,0)))</f>
        <v>0</v>
      </c>
      <c r="DH364" s="409"/>
      <c r="DI364" s="398">
        <f>IF(DH364=0,0,IF(LEN(CT364)=11,_xlfn.XLOOKUP(CT364,'Dispensed Ink Rates'!C:C,'Dispensed Ink Rates'!CS:CS),VLOOKUP(CT364,'Jan-2026 rates'!$E:$F,2,0)))</f>
        <v>0</v>
      </c>
      <c r="DJ364" s="409"/>
      <c r="DK364" s="398">
        <f>IF(DJ364=0,0,IF(LEN(CU364)=11,_xlfn.XLOOKUP(CU364,'Dispensed Ink Rates'!C:C,'Dispensed Ink Rates'!CS:CS),VLOOKUP(CU364,'Jan-2026 rates'!$E:$F,2,0)))</f>
        <v>0</v>
      </c>
      <c r="DL364" s="409" t="s">
        <v>1443</v>
      </c>
      <c r="DM364" s="409">
        <v>24</v>
      </c>
      <c r="DN364" s="411">
        <f t="shared" si="218"/>
        <v>0</v>
      </c>
      <c r="DO364" s="411">
        <f t="shared" si="219"/>
        <v>11.649999999999999</v>
      </c>
      <c r="DP364" s="410">
        <f t="shared" si="220"/>
        <v>0</v>
      </c>
      <c r="DQ364" s="405" t="s">
        <v>544</v>
      </c>
      <c r="DR364" s="409" t="s">
        <v>4792</v>
      </c>
      <c r="DS364" s="420" t="str">
        <f t="shared" si="186"/>
        <v>FLINTSL - MAGENTA</v>
      </c>
      <c r="DT364" s="409">
        <f>20+10</f>
        <v>30</v>
      </c>
      <c r="DU364" s="411">
        <f>IF(DT364=0,0,IF($LB364=70%,VLOOKUP($DS364,'Jan-2026 rates'!$L:$R,4,0),IF($LB364=65%,VLOOKUP($DS364,'Jan-2026 rates'!$L:$R,4,0),IF($LB364=40%,VLOOKUP($DS364,'Jan-2026 rates'!$L:$R,5,0),IF($LB364=30%,VLOOKUP($DS364,'Jan-2026 rates'!$L:$R,6,0),IF($LB364=100%,VLOOKUP($DS364,'Jan-2026 rates'!$L:$R,7,0),IF($LB364=60%,VLOOKUP($DS364,'Jan-2026 rates'!$L:$S,8,0),IF($LB364=80%,VLOOKUP($DS364,'Jan-2026 rates'!L:T,9,0),0))))))))</f>
        <v>0</v>
      </c>
      <c r="DV364" s="412"/>
      <c r="DW364" s="409"/>
      <c r="DX364" s="411">
        <f>IF(DW364=0,0,IF($LB364=70%,VLOOKUP($DS364,'Jan-2026 rates'!$L:$R,4,0),IF($LB364=65%,VLOOKUP($DS364,'Jan-2026 rates'!$L:$R,4,0),IF($LB364=40%,VLOOKUP($DS364,'Jan-2026 rates'!$L:$R,5,0),IF($LB364=30%,VLOOKUP($DS364,'Jan-2026 rates'!$L:$R,6,0),IF($LB364=100%,VLOOKUP($DS364,'Jan-2026 rates'!$L:$R,7,0),IF($LB364=60%,VLOOKUP($DS364,'Jan-2026 rates'!$L:$S,8,0),IF($LB364=80%,VLOOKUP($DS364,'Jan-2026 rates'!L:T,9,0),0))))))))</f>
        <v>0</v>
      </c>
      <c r="DY364" s="413">
        <v>26528000020</v>
      </c>
      <c r="DZ364" s="413" t="s">
        <v>1266</v>
      </c>
      <c r="EA364" s="412"/>
      <c r="EB364" s="412"/>
      <c r="EC364" s="412"/>
      <c r="ED364" s="412"/>
      <c r="EE364" s="412"/>
      <c r="EF364" s="412"/>
      <c r="EG364" s="409">
        <v>2</v>
      </c>
      <c r="EH364" s="398" t="e">
        <f>IF(EG364=0,0,IF(LEN(DY364)=11,_xlfn.XLOOKUP(DY364,'Dispensed Ink Rates'!C:C,'Dispensed Ink Rates'!CS:CS),VLOOKUP(DY364,'Jan-2026 rates'!$E:$F,2,0)))</f>
        <v>#N/A</v>
      </c>
      <c r="EI364" s="409">
        <v>6</v>
      </c>
      <c r="EJ364" s="398">
        <f>IF(EI364=0,0,IF(LEN(DZ364)=11,_xlfn.XLOOKUP(DZ364,'Dispensed Ink Rates'!C:C,'Dispensed Ink Rates'!CS:CS),VLOOKUP(DZ364,'Jan-2026 rates'!$E:$F,2,0)))</f>
        <v>0</v>
      </c>
      <c r="EK364" s="409"/>
      <c r="EL364" s="398">
        <f>IF(EK364=0,0,IF(LEN(EA364)=11,_xlfn.XLOOKUP(EA364,'Dispensed Ink Rates'!C:C,'Dispensed Ink Rates'!CS:CS),VLOOKUP(EA364,'Jan-2026 rates'!$E:$F,2,0)))</f>
        <v>0</v>
      </c>
      <c r="EM364" s="409"/>
      <c r="EN364" s="398">
        <f>IF(EM364=0,0,IF(LEN(EB364)=11,_xlfn.XLOOKUP(EB364,'Dispensed Ink Rates'!C:C,'Dispensed Ink Rates'!CS:CS),VLOOKUP(EB364,'Jan-2026 rates'!$E:$F,2,0)))</f>
        <v>0</v>
      </c>
      <c r="EO364" s="409"/>
      <c r="EP364" s="398">
        <f>IF(EO364=0,0,IF(LEN(EC364)=11,_xlfn.XLOOKUP(EC364,'Dispensed Ink Rates'!C:C,'Dispensed Ink Rates'!CS:CS),VLOOKUP(EC364,'Jan-2026 rates'!$E:$F,2,0)))</f>
        <v>0</v>
      </c>
      <c r="EQ364" s="409"/>
      <c r="ER364" s="398">
        <f>IF(EQ364=0,0,IF(LEN(ED364)=11,_xlfn.XLOOKUP(ED364,'Dispensed Ink Rates'!C:C,'Dispensed Ink Rates'!CS:CS),VLOOKUP(ED364,'Jan-2026 rates'!$E:$F,2,0)))</f>
        <v>0</v>
      </c>
      <c r="ES364" s="409"/>
      <c r="ET364" s="398">
        <f>IF(ES364=0,0,IF(LEN(EE364)=11,_xlfn.XLOOKUP(EE364,'Dispensed Ink Rates'!C:C,'Dispensed Ink Rates'!CS:CS),VLOOKUP(EE364,'Jan-2026 rates'!$E:$F,2,0)))</f>
        <v>0</v>
      </c>
      <c r="EU364" s="409"/>
      <c r="EV364" s="398">
        <f>IF(EU364=0,0,IF(LEN(EF364)=11,_xlfn.XLOOKUP(EF364,'Dispensed Ink Rates'!C:C,'Dispensed Ink Rates'!CS:CS),VLOOKUP(EF364,'Jan-2026 rates'!$E:$F,2,0)))</f>
        <v>0</v>
      </c>
      <c r="EW364" s="409" t="s">
        <v>1443</v>
      </c>
      <c r="EX364" s="409">
        <v>23</v>
      </c>
      <c r="EY364" s="411">
        <f t="shared" si="221"/>
        <v>0</v>
      </c>
      <c r="EZ364" s="411">
        <f t="shared" si="222"/>
        <v>23.65</v>
      </c>
      <c r="FA364" s="410">
        <f t="shared" si="223"/>
        <v>0</v>
      </c>
      <c r="FB364" s="405" t="s">
        <v>545</v>
      </c>
      <c r="FC364" s="409"/>
      <c r="FD364" s="420" t="str">
        <f t="shared" si="187"/>
        <v>FLINTSL - YELLOW</v>
      </c>
      <c r="FE364" s="409"/>
      <c r="FF364" s="411">
        <f>IF(FE364=0,0,IF($LB364=70%,VLOOKUP($FD364,'Jan-2026 rates'!$L:$R,4,0),IF($LB364=65%,VLOOKUP($FD364,'Jan-2026 rates'!$L:$R,4,0),IF($LB364=40%,VLOOKUP($FD364,'Jan-2026 rates'!$L:$R,5,0),IF($LB364=30%,VLOOKUP($FD364,'Jan-2026 rates'!$L:$R,6,0),IF($LB364=100%,VLOOKUP($FD364,'Jan-2026 rates'!$L:$R,7,0),IF($LB364=60%,VLOOKUP($FD364,'Jan-2026 rates'!$L:$S,8,0),IF($LB364=80%,VLOOKUP($FD364,'Jan-2026 rates'!L:T,9,0),0))))))))</f>
        <v>0</v>
      </c>
      <c r="FG364" s="412"/>
      <c r="FH364" s="409"/>
      <c r="FI364" s="411">
        <f>IF(FH364=0,0,IF($LB364=70%,VLOOKUP($FD364,'Jan-2026 rates'!$L:$R,4,0),IF($LB364=65%,VLOOKUP($FD364,'Jan-2026 rates'!$L:$R,4,0),IF($LB364=40%,VLOOKUP($FD364,'Jan-2026 rates'!$L:$R,5,0),IF($LB364=30%,VLOOKUP($FD364,'Jan-2026 rates'!$L:$R,6,0),IF($LB364=100%,VLOOKUP($FD364,'Jan-2026 rates'!$L:$R,7,0),IF($LB364=60%,VLOOKUP($FD364,'Jan-2026 rates'!$L:$S,8,0),IF($LB364=80%,VLOOKUP($FD364,'Jan-2026 rates'!L:T,9,0),0))))))))</f>
        <v>0</v>
      </c>
      <c r="FJ364" s="413">
        <v>26527000018</v>
      </c>
      <c r="FK364" s="413" t="s">
        <v>1266</v>
      </c>
      <c r="FL364" s="413"/>
      <c r="FM364" s="412"/>
      <c r="FN364" s="412"/>
      <c r="FO364" s="412"/>
      <c r="FP364" s="412"/>
      <c r="FQ364" s="412"/>
      <c r="FR364" s="409">
        <v>10</v>
      </c>
      <c r="FS364" s="398" t="e">
        <f>IF(FR364=0,0,IF(LEN(FJ364)=11,_xlfn.XLOOKUP(FJ364,'Dispensed Ink Rates'!C:C,'Dispensed Ink Rates'!CS:CS),VLOOKUP(FJ364,'Jan-2026 rates'!$E:$F,2,0)))</f>
        <v>#N/A</v>
      </c>
      <c r="FT364" s="409">
        <v>7</v>
      </c>
      <c r="FU364" s="398">
        <f>IF(FT364=0,0,IF(LEN(FK364)=11,_xlfn.XLOOKUP(FK364,'Dispensed Ink Rates'!C:C,'Dispensed Ink Rates'!CS:CS),VLOOKUP(FK364,'Jan-2026 rates'!$E:$F,2,0)))</f>
        <v>0</v>
      </c>
      <c r="FV364" s="409"/>
      <c r="FW364" s="398">
        <f>IF(FV364=0,0,IF(LEN(FL364)=11,_xlfn.XLOOKUP(FL364,'Dispensed Ink Rates'!C:C,'Dispensed Ink Rates'!CS:CS),VLOOKUP(FL364,'Jan-2026 rates'!$E:$F,2,0)))</f>
        <v>0</v>
      </c>
      <c r="FX364" s="409"/>
      <c r="FY364" s="398">
        <f>IF(FX364=0,0,IF(LEN(FM364)=11,_xlfn.XLOOKUP(FM364,'Dispensed Ink Rates'!C:C,'Dispensed Ink Rates'!CS:CS),VLOOKUP(FM364,'Jan-2026 rates'!$E:$F,2,0)))</f>
        <v>0</v>
      </c>
      <c r="FZ364" s="409"/>
      <c r="GA364" s="398">
        <f>IF(FZ364=0,0,IF(LEN(FN364)=11,_xlfn.XLOOKUP(FN364,'Dispensed Ink Rates'!C:C,'Dispensed Ink Rates'!CS:CS),VLOOKUP(FN364,'Jan-2026 rates'!$E:$F,2,0)))</f>
        <v>0</v>
      </c>
      <c r="GB364" s="409"/>
      <c r="GC364" s="398">
        <f>IF(GB364=0,0,IF(LEN(FO364)=11,_xlfn.XLOOKUP(FO364,'Dispensed Ink Rates'!C:C,'Dispensed Ink Rates'!CS:CS),VLOOKUP(FO364,'Jan-2026 rates'!$E:$F,2,0)))</f>
        <v>0</v>
      </c>
      <c r="GD364" s="409"/>
      <c r="GE364" s="398">
        <f>IF(GD364=0,0,IF(LEN(FP364)=11,_xlfn.XLOOKUP(FP364,'Dispensed Ink Rates'!C:C,'Dispensed Ink Rates'!CS:CS),VLOOKUP(FP364,'Jan-2026 rates'!$E:$F,2,0)))</f>
        <v>0</v>
      </c>
      <c r="GF364" s="409"/>
      <c r="GG364" s="398">
        <f>IF(GF364=0,0,IF(LEN(FQ364)=11,_xlfn.XLOOKUP(FQ364,'Dispensed Ink Rates'!C:C,'Dispensed Ink Rates'!CS:CS),VLOOKUP(FQ364,'Jan-2026 rates'!$E:$F,2,0)))</f>
        <v>0</v>
      </c>
      <c r="GH364" s="409" t="s">
        <v>1443</v>
      </c>
      <c r="GI364" s="409">
        <v>24</v>
      </c>
      <c r="GJ364" s="411">
        <f t="shared" si="224"/>
        <v>0</v>
      </c>
      <c r="GK364" s="411">
        <f t="shared" si="225"/>
        <v>1.6499999999999986</v>
      </c>
      <c r="GL364" s="410">
        <f t="shared" si="226"/>
        <v>0</v>
      </c>
      <c r="GM364" s="405" t="s">
        <v>829</v>
      </c>
      <c r="GN364" s="409" t="s">
        <v>4793</v>
      </c>
      <c r="GO364" s="420" t="str">
        <f t="shared" si="188"/>
        <v>FLINTSL - MEDIUM</v>
      </c>
      <c r="GP364" s="409">
        <v>40</v>
      </c>
      <c r="GQ364" s="411">
        <f>IF(GP364=0,0,IF($LB364=70%,VLOOKUP($GO364,'Jan-2026 rates'!$L:$R,4,0),IF($LB364=65%,VLOOKUP($GO364,'Jan-2026 rates'!$L:$R,4,0),IF($LB364=40%,VLOOKUP($GO364,'Jan-2026 rates'!$L:$R,5,0),IF($LB364=30%,VLOOKUP($GO364,'Jan-2026 rates'!$L:$R,6,0),IF($LB364=100%,VLOOKUP($GO364,'Jan-2026 rates'!$L:$R,7,0),IF($LB364=60%,VLOOKUP($GO364,'Jan-2026 rates'!$L:$S,8,0),IF($LB364=80%,VLOOKUP($GO364,'Jan-2026 rates'!L:T,9,0),0))))))))</f>
        <v>0</v>
      </c>
      <c r="GR364" s="412" t="s">
        <v>4763</v>
      </c>
      <c r="GS364" s="409">
        <v>22</v>
      </c>
      <c r="GT364" s="411">
        <f>IF(GS364=0,0,IF($LB364=70%,VLOOKUP($GO364,'Jan-2026 rates'!$L:$R,4,0),IF($LB364=65%,VLOOKUP($GO364,'Jan-2026 rates'!$L:$R,4,0),IF($LB364=40%,VLOOKUP($GO364,'Jan-2026 rates'!$L:$R,5,0),IF($LB364=30%,VLOOKUP($GO364,'Jan-2026 rates'!$L:$R,6,0),IF($LB364=100%,VLOOKUP($GO364,'Jan-2026 rates'!$L:$R,7,0),IF($LB364=60%,VLOOKUP($GO364,'Jan-2026 rates'!$L:$S,8,0),IF($LB364=80%,VLOOKUP($GO364,'Jan-2026 rates'!L:T,9,0),0))))))))</f>
        <v>0</v>
      </c>
      <c r="GU364" s="413">
        <v>26528000001</v>
      </c>
      <c r="GV364" s="413">
        <v>26527000026</v>
      </c>
      <c r="GW364" s="412" t="s">
        <v>1266</v>
      </c>
      <c r="GX364" s="412" t="s">
        <v>484</v>
      </c>
      <c r="GY364" s="412"/>
      <c r="GZ364" s="412"/>
      <c r="HA364" s="412"/>
      <c r="HB364" s="412"/>
      <c r="HC364" s="409">
        <v>30</v>
      </c>
      <c r="HD364" s="398" t="e">
        <f>IF(HC364=0,0,IF(LEN(GU364)=11,_xlfn.XLOOKUP(GU364,'Dispensed Ink Rates'!C:C,'Dispensed Ink Rates'!CS:CS),VLOOKUP(GU364,'Jan-2026 rates'!$E:$F,2,0)))</f>
        <v>#N/A</v>
      </c>
      <c r="HE364" s="409">
        <v>25</v>
      </c>
      <c r="HF364" s="398" t="e">
        <f>IF(HE364=0,0,IF(LEN(GV364)=11,_xlfn.XLOOKUP(GV364,'Dispensed Ink Rates'!C:C,'Dispensed Ink Rates'!CS:CS),VLOOKUP(GV364,'Jan-2026 rates'!$E:$F,2,0)))</f>
        <v>#N/A</v>
      </c>
      <c r="HG364" s="409">
        <v>20</v>
      </c>
      <c r="HH364" s="398">
        <f>IF(HG364=0,0,IF(LEN(GW364)=11,_xlfn.XLOOKUP(GW364,'Dispensed Ink Rates'!C:C,'Dispensed Ink Rates'!CS:CS),VLOOKUP(GW364,'Jan-2026 rates'!$E:$F,2,0)))</f>
        <v>0</v>
      </c>
      <c r="HI364" s="409">
        <v>10</v>
      </c>
      <c r="HJ364" s="398">
        <f>IF(HI364=0,0,IF(LEN(GX364)=11,_xlfn.XLOOKUP(GX364,'Dispensed Ink Rates'!C:C,'Dispensed Ink Rates'!CS:CS),VLOOKUP(GX364,'Jan-2026 rates'!$E:$F,2,0)))</f>
        <v>0</v>
      </c>
      <c r="HK364" s="409"/>
      <c r="HL364" s="398">
        <f>IF(HK364=0,0,IF(LEN(GY364)=11,_xlfn.XLOOKUP(GY364,'Dispensed Ink Rates'!C:C,'Dispensed Ink Rates'!CS:CS),VLOOKUP(GY364,'Jan-2026 rates'!$E:$F,2,0)))</f>
        <v>0</v>
      </c>
      <c r="HM364" s="409"/>
      <c r="HN364" s="398">
        <f>IF(HM364=0,0,IF(LEN(GZ364)=11,_xlfn.XLOOKUP(GZ364,'Dispensed Ink Rates'!C:C,'Dispensed Ink Rates'!CS:CS),VLOOKUP(GZ364,'Jan-2026 rates'!$E:$F,2,0)))</f>
        <v>0</v>
      </c>
      <c r="HO364" s="409"/>
      <c r="HP364" s="398">
        <f>IF(HO364=0,0,IF(LEN(HA364)=11,_xlfn.XLOOKUP(HA364,'Dispensed Ink Rates'!C:C,'Dispensed Ink Rates'!CS:CS),VLOOKUP(HA364,'Jan-2026 rates'!$E:$F,2,0)))</f>
        <v>0</v>
      </c>
      <c r="HQ364" s="409"/>
      <c r="HR364" s="398">
        <f>IF(HQ364=0,0,IF(LEN(HB364)=11,_xlfn.XLOOKUP(HB364,'Dispensed Ink Rates'!C:C,'Dispensed Ink Rates'!CS:CS),VLOOKUP(HB364,'Jan-2026 rates'!$E:$F,2,0)))</f>
        <v>0</v>
      </c>
      <c r="HS364" s="409" t="s">
        <v>1443</v>
      </c>
      <c r="HT364" s="409">
        <v>30</v>
      </c>
      <c r="HU364" s="411">
        <f t="shared" si="227"/>
        <v>0</v>
      </c>
      <c r="HV364" s="411">
        <f t="shared" si="228"/>
        <v>117</v>
      </c>
      <c r="HW364" s="414">
        <f t="shared" si="229"/>
        <v>0</v>
      </c>
      <c r="HX364" s="405" t="s">
        <v>548</v>
      </c>
      <c r="HY364" s="409" t="s">
        <v>4794</v>
      </c>
      <c r="HZ364" s="420" t="str">
        <f t="shared" si="189"/>
        <v>FLINTSL - GOLD</v>
      </c>
      <c r="IA364" s="409">
        <v>30</v>
      </c>
      <c r="IB364" s="411">
        <f>IF(IA364=0,0,IF($LB364=70%,VLOOKUP($HZ364,'Jan-2026 rates'!$L:$R,4,0),IF($LB364=65%,VLOOKUP($HZ364,'Jan-2026 rates'!$L:$R,4,0),IF($LB364=40%,VLOOKUP($HZ364,'Jan-2026 rates'!$L:$R,5,0),IF($LB364=30%,VLOOKUP($HZ364,'Jan-2026 rates'!$L:$R,6,0),IF($LB364=100%,VLOOKUP($HZ364,'Jan-2026 rates'!$L:$R,7,0),IF($LB364=60%,VLOOKUP($HZ364,'Jan-2026 rates'!$L:$S,8,0),IF($LB364=80%,VLOOKUP($HZ364,'Jan-2026 rates'!L:T,9,0),0))))))))</f>
        <v>0</v>
      </c>
      <c r="IC364" s="412"/>
      <c r="ID364" s="409"/>
      <c r="IE364" s="411">
        <f>IF(ID364=0,0,IF($LB364=70%,VLOOKUP($HZ364,'Jan-2026 rates'!$L:$R,4,0),IF($LB364=65%,VLOOKUP($HZ364,'Jan-2026 rates'!$L:$R,4,0),IF($LB364=40%,VLOOKUP($HZ364,'Jan-2026 rates'!$L:$R,5,0),IF($LB364=30%,VLOOKUP($HZ364,'Jan-2026 rates'!$L:$R,6,0),IF($LB364=100%,VLOOKUP($HZ364,'Jan-2026 rates'!$L:$R,7,0),IF($LB364=60%,VLOOKUP($HZ364,'Jan-2026 rates'!$L:$S,8,0),IF($LB364=80%,VLOOKUP($HZ364,'Jan-2026 rates'!L:T,9,0),0))))))))</f>
        <v>0</v>
      </c>
      <c r="IF364" s="412">
        <v>70271</v>
      </c>
      <c r="IG364" s="413">
        <v>26527000024</v>
      </c>
      <c r="IH364" s="412">
        <v>165</v>
      </c>
      <c r="II364" s="412"/>
      <c r="IJ364" s="412"/>
      <c r="IK364" s="412"/>
      <c r="IL364" s="412"/>
      <c r="IM364" s="412"/>
      <c r="IN364" s="409">
        <f>6+2</f>
        <v>8</v>
      </c>
      <c r="IO364" s="398">
        <f>IF(IN364=0,0,IF(LEN(IF364)=11,_xlfn.XLOOKUP(IF364,'Dispensed Ink Rates'!C:C,'Dispensed Ink Rates'!CS:CS),VLOOKUP(IF364,'Jan-2026 rates'!$E:$F,2,0)))</f>
        <v>0</v>
      </c>
      <c r="IP364" s="409">
        <v>2</v>
      </c>
      <c r="IQ364" s="398" t="e">
        <f>IF(IP364=0,0,IF(LEN(IG364)=11,_xlfn.XLOOKUP(IG364,'Dispensed Ink Rates'!C:C,'Dispensed Ink Rates'!CS:CS),VLOOKUP(IG364,'Jan-2026 rates'!$E:$F,2,0)))</f>
        <v>#N/A</v>
      </c>
      <c r="IR364" s="409">
        <v>0.75</v>
      </c>
      <c r="IS364" s="398">
        <f>IF(IR364=0,0,IF(LEN(IH364)=11,_xlfn.XLOOKUP(IH364,'Dispensed Ink Rates'!C:C,'Dispensed Ink Rates'!CS:CS),VLOOKUP(IH364,'Jan-2026 rates'!$E:$F,2,0)))</f>
        <v>0</v>
      </c>
      <c r="IT364" s="409"/>
      <c r="IU364" s="398">
        <f>IF(IT364=0,0,IF(LEN(II364)=11,_xlfn.XLOOKUP(II364,'Dispensed Ink Rates'!C:C,'Dispensed Ink Rates'!CS:CS),VLOOKUP(II364,'Jan-2026 rates'!$E:$F,2,0)))</f>
        <v>0</v>
      </c>
      <c r="IV364" s="409"/>
      <c r="IW364" s="398">
        <f>IF(IV364=0,0,IF(LEN(IJ364)=11,_xlfn.XLOOKUP(IJ364,'Dispensed Ink Rates'!C:C,'Dispensed Ink Rates'!CS:CS),VLOOKUP(IJ364,'Jan-2026 rates'!$E:$F,2,0)))</f>
        <v>0</v>
      </c>
      <c r="IX364" s="409"/>
      <c r="IY364" s="398">
        <f>IF(IX364=0,0,IF(LEN(IK364)=11,_xlfn.XLOOKUP(IK364,'Dispensed Ink Rates'!C:C,'Dispensed Ink Rates'!CS:CS),VLOOKUP(IK364,'Jan-2026 rates'!$E:$F,2,0)))</f>
        <v>0</v>
      </c>
      <c r="IZ364" s="409"/>
      <c r="JA364" s="398">
        <f>IF(IZ364=0,0,IF(LEN(IL364)=11,_xlfn.XLOOKUP(IL364,'Dispensed Ink Rates'!C:C,'Dispensed Ink Rates'!CS:CS),VLOOKUP(IL364,'Jan-2026 rates'!$E:$F,2,0)))</f>
        <v>0</v>
      </c>
      <c r="JB364" s="409"/>
      <c r="JC364" s="398">
        <f>IF(JB364=0,0,IF(LEN(IM364)=11,_xlfn.XLOOKUP(IM364,'Dispensed Ink Rates'!C:C,'Dispensed Ink Rates'!CS:CS),VLOOKUP(IM364,'Jan-2026 rates'!$E:$F,2,0)))</f>
        <v>0</v>
      </c>
      <c r="JD364" s="409" t="s">
        <v>1443</v>
      </c>
      <c r="JE364" s="409">
        <v>30</v>
      </c>
      <c r="JF364" s="411">
        <f t="shared" si="230"/>
        <v>0</v>
      </c>
      <c r="JG364" s="411">
        <f t="shared" si="231"/>
        <v>28.049999999999997</v>
      </c>
      <c r="JH364" s="410">
        <f t="shared" si="232"/>
        <v>0</v>
      </c>
      <c r="JI364" s="405" t="s">
        <v>856</v>
      </c>
      <c r="JJ364" s="409" t="s">
        <v>4795</v>
      </c>
      <c r="JK364" s="420" t="str">
        <f t="shared" si="190"/>
        <v>FLINTSL - WHITE</v>
      </c>
      <c r="JL364" s="409">
        <v>27</v>
      </c>
      <c r="JM364" s="411">
        <f>IF(JL364=0,0,IF($LB364=70%,VLOOKUP($JK364,'Jan-2026 rates'!$L:$R,4,0),IF($LB364=65%,VLOOKUP($JK364,'Jan-2026 rates'!$L:$R,4,0),IF($LB364=40%,VLOOKUP($JK364,'Jan-2026 rates'!$L:$R,5,0),IF($LB364=30%,VLOOKUP($JK364,'Jan-2026 rates'!$L:$R,6,0),IF($LB364=100%,VLOOKUP($JK364,'Jan-2026 rates'!$L:$R,7,0),IF($LB364=60%,VLOOKUP($JK364,'Jan-2026 rates'!$L:$S,8,0),IF($LB364=80%,VLOOKUP($JK364,'Jan-2026 rates'!L:T,9,0),0))))))))</f>
        <v>0</v>
      </c>
      <c r="JN364" s="412"/>
      <c r="JO364" s="409"/>
      <c r="JP364" s="411">
        <f>IF(JO364=0,0,IF($LB364=70%,VLOOKUP($JK364,'Jan-2026 rates'!$L:$R,4,0),IF($LB364=65%,VLOOKUP($JK364,'Jan-2026 rates'!$L:$R,4,0),IF($LB364=40%,VLOOKUP($JK364,'Jan-2026 rates'!$L:$R,5,0),IF($LB364=30%,VLOOKUP($JK364,'Jan-2026 rates'!$L:$R,6,0),IF($LB364=100%,VLOOKUP($JK364,'Jan-2026 rates'!$L:$R,7,0),IF($LB364=60%,VLOOKUP($JK364,'Jan-2026 rates'!$L:$S,8,0),IF($LB364=80%,VLOOKUP($JK364,'Jan-2026 rates'!L:T,9,0),0))))))))</f>
        <v>0</v>
      </c>
      <c r="JQ364" s="413" t="s">
        <v>484</v>
      </c>
      <c r="JR364" s="412"/>
      <c r="JS364" s="413"/>
      <c r="JT364" s="413"/>
      <c r="JU364" s="412"/>
      <c r="JV364" s="412"/>
      <c r="JW364" s="412"/>
      <c r="JX364" s="412"/>
      <c r="JY364" s="409">
        <f>100+100+25+50</f>
        <v>275</v>
      </c>
      <c r="JZ364" s="398">
        <f>IF(JY364=0,0,IF(LEN(JQ364)=11,_xlfn.XLOOKUP(JQ364,'Dispensed Ink Rates'!C:C,'Dispensed Ink Rates'!CS:CS),VLOOKUP(JQ364,'Jan-2026 rates'!$E:$F,2,0)))</f>
        <v>0</v>
      </c>
      <c r="KA364" s="409"/>
      <c r="KB364" s="398">
        <f>IF(KA364=0,0,IF(LEN(JR364)=11,_xlfn.XLOOKUP(JR364,'Dispensed Ink Rates'!C:C,'Dispensed Ink Rates'!CS:CS),VLOOKUP(JR364,'Jan-2026 rates'!$E:$F,2,0)))</f>
        <v>0</v>
      </c>
      <c r="KC364" s="409"/>
      <c r="KD364" s="398">
        <f>IF(KC364=0,0,IF(LEN(JS364)=11,_xlfn.XLOOKUP(JS364,'Dispensed Ink Rates'!C:C,'Dispensed Ink Rates'!CS:CS),VLOOKUP(JS364,'Jan-2026 rates'!$E:$F,2,0)))</f>
        <v>0</v>
      </c>
      <c r="KE364" s="409"/>
      <c r="KF364" s="398">
        <f>IF(KE364=0,0,IF(LEN(JT364)=11,_xlfn.XLOOKUP(JT364,'Dispensed Ink Rates'!C:C,'Dispensed Ink Rates'!CS:CS),VLOOKUP(JT364,'Jan-2026 rates'!$E:$F,2,0)))</f>
        <v>0</v>
      </c>
      <c r="KG364" s="409"/>
      <c r="KH364" s="398">
        <f>IF(KG364=0,0,IF(LEN(JU364)=11,_xlfn.XLOOKUP(JU364,'Dispensed Ink Rates'!C:C,'Dispensed Ink Rates'!CS:CS),VLOOKUP(JU364,'Jan-2026 rates'!$E:$F,2,0)))</f>
        <v>0</v>
      </c>
      <c r="KI364" s="409"/>
      <c r="KJ364" s="398">
        <f>IF(KI364=0,0,IF(LEN(JV364)=11,_xlfn.XLOOKUP(JV364,'Dispensed Ink Rates'!C:C,'Dispensed Ink Rates'!CS:CS),VLOOKUP(JV364,'Jan-2026 rates'!$E:$F,2,0)))</f>
        <v>0</v>
      </c>
      <c r="KK364" s="409"/>
      <c r="KL364" s="398">
        <f>IF(KK364=0,0,IF(LEN(JW364)=11,_xlfn.XLOOKUP(JW364,'Dispensed Ink Rates'!C:C,'Dispensed Ink Rates'!CS:CS),VLOOKUP(JW364,'Jan-2026 rates'!$E:$F,2,0)))</f>
        <v>0</v>
      </c>
      <c r="KM364" s="428"/>
      <c r="KN364" s="398">
        <f>IF(KM364=0,0,IF(LEN(JX364)=11,_xlfn.XLOOKUP(JX364,'Dispensed Ink Rates'!C:C,'Dispensed Ink Rates'!CS:CS),VLOOKUP(JX364,'Jan-2026 rates'!$E:$F,2,0)))</f>
        <v>0</v>
      </c>
      <c r="KO364" s="409" t="s">
        <v>1443</v>
      </c>
      <c r="KP364" s="409">
        <v>24</v>
      </c>
      <c r="KQ364" s="411">
        <f t="shared" si="233"/>
        <v>0</v>
      </c>
      <c r="KR364" s="411">
        <f t="shared" si="234"/>
        <v>563.45000000000005</v>
      </c>
      <c r="KS364" s="410">
        <f t="shared" si="235"/>
        <v>0</v>
      </c>
      <c r="KT364" s="409">
        <v>5</v>
      </c>
      <c r="KU364" s="409">
        <v>5</v>
      </c>
      <c r="KV364" s="409">
        <v>5</v>
      </c>
      <c r="KW364" s="409">
        <v>5</v>
      </c>
      <c r="KX364" s="409">
        <v>5</v>
      </c>
      <c r="KY364" s="409">
        <v>0</v>
      </c>
      <c r="KZ364" s="409">
        <f>5+5</f>
        <v>10</v>
      </c>
      <c r="LA364" s="409">
        <f>60+60+30+15</f>
        <v>165</v>
      </c>
      <c r="LB364" s="415">
        <v>0.8</v>
      </c>
      <c r="LC364" s="415">
        <v>0.2</v>
      </c>
      <c r="LD364" s="424"/>
      <c r="LE364" s="415"/>
      <c r="LF364" s="415"/>
      <c r="LG364" s="409">
        <v>0</v>
      </c>
      <c r="LH364" s="409">
        <f>165+31+120+30</f>
        <v>346</v>
      </c>
      <c r="LI364" s="409">
        <v>0</v>
      </c>
      <c r="LJ364" s="409">
        <v>0</v>
      </c>
      <c r="LK364" s="416">
        <f t="shared" si="191"/>
        <v>346</v>
      </c>
      <c r="LL364" s="416">
        <f t="shared" si="349"/>
        <v>346</v>
      </c>
      <c r="LM364" s="417">
        <f t="shared" si="193"/>
        <v>276.8</v>
      </c>
      <c r="LN364" s="417">
        <f>VLOOKUP($LM$8,'Jan-2026 rates'!$H:$I,2,0)</f>
        <v>0</v>
      </c>
      <c r="LO364" s="417">
        <f t="shared" si="194"/>
        <v>69.2</v>
      </c>
      <c r="LP364" s="417">
        <f>VLOOKUP($LO$8,'Jan-2026 rates'!$H:$I,2,0)</f>
        <v>0</v>
      </c>
      <c r="LQ364" s="417">
        <f t="shared" si="195"/>
        <v>0</v>
      </c>
      <c r="LR364" s="417">
        <f>VLOOKUP($LQ$8,'Jan-2026 rates'!$H:$I,2,0)</f>
        <v>0</v>
      </c>
      <c r="LS364" s="417">
        <f t="shared" si="196"/>
        <v>0</v>
      </c>
      <c r="LT364" s="417">
        <f>VLOOKUP($LS$8,'Jan-2026 rates'!$H:$I,2,0)</f>
        <v>0</v>
      </c>
      <c r="LU364" s="417">
        <f t="shared" si="197"/>
        <v>0</v>
      </c>
      <c r="LV364" s="417">
        <f>VLOOKUP($LU$8,'Jan-2026 rates'!$H:$I,2,0)</f>
        <v>0</v>
      </c>
      <c r="LW364" s="417">
        <f t="shared" si="198"/>
        <v>0</v>
      </c>
      <c r="LX364" s="417">
        <f t="shared" si="199"/>
        <v>0</v>
      </c>
      <c r="LY364" s="418">
        <f t="shared" si="200"/>
        <v>0</v>
      </c>
      <c r="LZ364" s="417"/>
      <c r="MA364" s="435">
        <f t="shared" si="201"/>
        <v>418.75</v>
      </c>
      <c r="MB364" s="282">
        <f t="shared" si="202"/>
        <v>775.75</v>
      </c>
      <c r="MC364" s="283">
        <v>206</v>
      </c>
      <c r="MD364" s="284" t="str">
        <f t="shared" si="203"/>
        <v>FLINTSLFLINTSLFLINTSLFLINTSLFLINTSLFLINTSLFLINTSLFLINTSL</v>
      </c>
      <c r="ME364" s="293" t="str">
        <f t="shared" si="204"/>
        <v>+</v>
      </c>
      <c r="MF364" s="293" t="str">
        <f t="shared" si="205"/>
        <v>+</v>
      </c>
      <c r="MG364" s="293" t="str">
        <f t="shared" si="206"/>
        <v>+</v>
      </c>
      <c r="MH364" s="293" t="str">
        <f t="shared" si="207"/>
        <v>+</v>
      </c>
      <c r="MI364" s="293" t="str">
        <f t="shared" si="208"/>
        <v>+</v>
      </c>
      <c r="MJ364" s="293" t="str">
        <f t="shared" si="209"/>
        <v>+</v>
      </c>
      <c r="MK364" s="293" t="str">
        <f t="shared" si="210"/>
        <v>+</v>
      </c>
      <c r="ML364" s="293" t="str">
        <f t="shared" si="211"/>
        <v>+</v>
      </c>
      <c r="MM364" s="3" t="b">
        <f t="array" ref="MM364">OR(ME364:ML364="-")</f>
        <v>0</v>
      </c>
      <c r="MO364" s="401">
        <f t="shared" si="350"/>
        <v>78.437815975733059</v>
      </c>
      <c r="MP364" s="286"/>
      <c r="MR364" s="402">
        <f t="shared" si="351"/>
        <v>1.6161458333333333E-2</v>
      </c>
      <c r="MS364" s="400">
        <f t="shared" si="352"/>
        <v>0</v>
      </c>
      <c r="MT364" s="285"/>
      <c r="NH364" s="361"/>
      <c r="NJ364" s="282"/>
    </row>
    <row r="365" spans="1:374" ht="16.5">
      <c r="A365" s="403">
        <v>46049</v>
      </c>
      <c r="B365" s="404" t="s">
        <v>1015</v>
      </c>
      <c r="C365" s="405" t="s">
        <v>4796</v>
      </c>
      <c r="D365" s="404">
        <v>207</v>
      </c>
      <c r="E365" s="404">
        <v>8527</v>
      </c>
      <c r="F365" s="407">
        <v>100300</v>
      </c>
      <c r="G365" s="407" t="s">
        <v>1019</v>
      </c>
      <c r="H365" s="408" t="s">
        <v>1017</v>
      </c>
      <c r="I365" s="409">
        <v>1.1299999999999999</v>
      </c>
      <c r="J365" s="405" t="s">
        <v>543</v>
      </c>
      <c r="K365" s="404" t="s">
        <v>4797</v>
      </c>
      <c r="L365" s="419" t="str">
        <f t="shared" si="184"/>
        <v>FLINTSL - BLACK</v>
      </c>
      <c r="M365" s="404">
        <v>26</v>
      </c>
      <c r="N365" s="410">
        <f>IF(M365=0,0,IF($LB365=70%,VLOOKUP($L365,'Jan-2026 rates'!$L:$R,4,0),IF($LB365=65%,VLOOKUP($L365,'Jan-2026 rates'!$L:$R,4,0),IF($LB365=40%,VLOOKUP($L365,'Jan-2026 rates'!$L:$R,5,0),IF($LB365=30%,VLOOKUP($L365,'Jan-2026 rates'!$L:$R,6,0),IF($LB365=100%,VLOOKUP($L365,'Jan-2026 rates'!$L:$R,7,0),IF($LB365=60%,VLOOKUP($L365,'Jan-2026 rates'!$L:$S,8,0),IF($LB365=80%,VLOOKUP($L365,'Jan-2026 rates'!L:T,9,0),0))))))))</f>
        <v>0</v>
      </c>
      <c r="O365" s="406"/>
      <c r="P365" s="404"/>
      <c r="Q365" s="410">
        <f>IF(P365=0,0,IF($LB365=70%,VLOOKUP($L365,'Jan-2026 rates'!$L:$R,4,0),IF($LB365=65%,VLOOKUP($L365,'Jan-2026 rates'!$L:$R,4,0),IF($LB365=40%,VLOOKUP($L365,'Jan-2026 rates'!$L:$R,5,0),IF($LB365=30%,VLOOKUP($L365,'Jan-2026 rates'!$L:$R,6,0),IF($LB365=100%,VLOOKUP($L365,'Jan-2026 rates'!$L:$R,7,0),IF($LB365=60%,VLOOKUP($L365,'Jan-2026 rates'!$L:$S,8,0),IF($LB365=80%,VLOOKUP($L365,'Jan-2026 rates'!L:T,9,0),0))))))))</f>
        <v>0</v>
      </c>
      <c r="R365" s="406">
        <v>26527000021</v>
      </c>
      <c r="S365" s="406" t="s">
        <v>1266</v>
      </c>
      <c r="T365" s="406">
        <v>26527000018</v>
      </c>
      <c r="U365" s="406"/>
      <c r="V365" s="406"/>
      <c r="W365" s="406"/>
      <c r="X365" s="406"/>
      <c r="Y365" s="406"/>
      <c r="Z365" s="404">
        <f>6+5</f>
        <v>11</v>
      </c>
      <c r="AA365" s="398" t="e">
        <f>IF(Z365=0,0,IF(LEN(R365)=11,_xlfn.XLOOKUP(R365,'Dispensed Ink Rates'!C:C,'Dispensed Ink Rates'!CS:CS),VLOOKUP(R365,'Jan-2026 rates'!$E:$F,2,0)))</f>
        <v>#N/A</v>
      </c>
      <c r="AB365" s="404">
        <v>4</v>
      </c>
      <c r="AC365" s="398">
        <f>IF(AB365=0,0,IF(LEN(S365)=11,_xlfn.XLOOKUP(S365,'Dispensed Ink Rates'!C:C,'Dispensed Ink Rates'!CS:CS),VLOOKUP(S365,'Jan-2026 rates'!$E:$F,2,0)))</f>
        <v>0</v>
      </c>
      <c r="AD365" s="404">
        <v>4</v>
      </c>
      <c r="AE365" s="398" t="e">
        <f>IF(AD365=0,0,IF(LEN(T365)=11,_xlfn.XLOOKUP(T365,'Dispensed Ink Rates'!C:C,'Dispensed Ink Rates'!CS:CS),VLOOKUP(T365,'Jan-2026 rates'!$E:$F,2,0)))</f>
        <v>#N/A</v>
      </c>
      <c r="AF365" s="404"/>
      <c r="AG365" s="398">
        <f>IF(AF365=0,0,IF(LEN(U365)=11,_xlfn.XLOOKUP(U365,'Dispensed Ink Rates'!C:C,'Dispensed Ink Rates'!CS:CS),VLOOKUP(U365,'Jan-2026 rates'!$E:$F,2,0)))</f>
        <v>0</v>
      </c>
      <c r="AH365" s="404"/>
      <c r="AI365" s="398">
        <f>IF(AH365=0,0,IF(LEN(V365)=11,_xlfn.XLOOKUP(V365,'Dispensed Ink Rates'!C:C,'Dispensed Ink Rates'!CS:CS),VLOOKUP(V365,'Jan-2026 rates'!$E:$F,2,0)))</f>
        <v>0</v>
      </c>
      <c r="AJ365" s="404"/>
      <c r="AK365" s="398">
        <f>IF(AJ365=0,0,IF(LEN(W365)=11,_xlfn.XLOOKUP(W365,'Dispensed Ink Rates'!C:C,'Dispensed Ink Rates'!CS:CS),VLOOKUP(W365,'Jan-2026 rates'!$E:$F,2,0)))</f>
        <v>0</v>
      </c>
      <c r="AL365" s="404"/>
      <c r="AM365" s="398">
        <f>IF(AL365=0,0,IF(LEN(X365)=11,_xlfn.XLOOKUP(X365,'Dispensed Ink Rates'!C:C,'Dispensed Ink Rates'!CS:CS),VLOOKUP(X365,'Jan-2026 rates'!$E:$F,2,0)))</f>
        <v>0</v>
      </c>
      <c r="AN365" s="404"/>
      <c r="AO365" s="398">
        <f>IF(AN365=0,0,IF(LEN(Y365)=11,_xlfn.XLOOKUP(Y365,'Dispensed Ink Rates'!C:C,'Dispensed Ink Rates'!CS:CS),VLOOKUP(Y365,'Jan-2026 rates'!$E:$F,2,0)))</f>
        <v>0</v>
      </c>
      <c r="AP365" s="409" t="s">
        <v>1443</v>
      </c>
      <c r="AQ365" s="409">
        <v>28</v>
      </c>
      <c r="AR365" s="410">
        <f t="shared" si="212"/>
        <v>0</v>
      </c>
      <c r="AS365" s="411">
        <f t="shared" si="213"/>
        <v>46.190114068441062</v>
      </c>
      <c r="AT365" s="410">
        <f t="shared" si="214"/>
        <v>0</v>
      </c>
      <c r="AU365" s="405" t="s">
        <v>548</v>
      </c>
      <c r="AV365" s="409" t="s">
        <v>4798</v>
      </c>
      <c r="AW365" s="420" t="str">
        <f t="shared" si="348"/>
        <v>FLINTSL - GOLD</v>
      </c>
      <c r="AX365" s="409">
        <v>30</v>
      </c>
      <c r="AY365" s="411">
        <f>IF(AX365=0,0,IF($LB365=70%,VLOOKUP($AW365,'Jan-2026 rates'!$L:$R,4,0),IF($LB365=65%,VLOOKUP($AW365,'Jan-2026 rates'!$L:$R,4,0),IF($LB365=40%,VLOOKUP($AW365,'Jan-2026 rates'!$L:$R,5,0),IF($LB365=30%,VLOOKUP($AW365,'Jan-2026 rates'!$L:$R,6,0),IF($LB365=100%,VLOOKUP($AW365,'Jan-2026 rates'!$L:$R,7,0),IF($LB365=60%,VLOOKUP($AW365,'Jan-2026 rates'!$L:$S,8,0),IF($LB365=80%,VLOOKUP($AW365,'Jan-2026 rates'!L:T,9,0),0))))))))</f>
        <v>0</v>
      </c>
      <c r="AZ365" s="412"/>
      <c r="BA365" s="409"/>
      <c r="BB365" s="411">
        <f>IF(BA365=0,0,IF($LB365=70%,VLOOKUP($AW365,'Jan-2026 rates'!$L:$R,4,0),IF($LB365=65%,VLOOKUP($AW365,'Jan-2026 rates'!$L:$R,4,0),IF($LB365=40%,VLOOKUP($AW365,'Jan-2026 rates'!$L:$R,5,0),IF($LB365=30%,VLOOKUP($AW365,'Jan-2026 rates'!$L:$R,6,0),IF($LB365=100%,VLOOKUP($AW365,'Jan-2026 rates'!$L:$R,7,0),IF($LB365=60%,VLOOKUP($AW365,'Jan-2026 rates'!$L:$S,8,0),IF($LB365=80%,VLOOKUP($AW365,'Jan-2026 rates'!L:T,9,0),0))))))))</f>
        <v>0</v>
      </c>
      <c r="BC365" s="413">
        <v>70271</v>
      </c>
      <c r="BD365" s="412">
        <v>24161</v>
      </c>
      <c r="BE365" s="412" t="s">
        <v>1266</v>
      </c>
      <c r="BF365" s="413"/>
      <c r="BG365" s="412"/>
      <c r="BH365" s="412"/>
      <c r="BI365" s="412"/>
      <c r="BJ365" s="412"/>
      <c r="BK365" s="409">
        <f>6+5</f>
        <v>11</v>
      </c>
      <c r="BL365" s="398">
        <f>IF(BK365=0,0,IF(LEN(BC365)=11,_xlfn.XLOOKUP(BC365,'Dispensed Ink Rates'!C:C,'Dispensed Ink Rates'!CS:CS),VLOOKUP(BC365,'Jan-2026 rates'!$E:$F,2,0)))</f>
        <v>0</v>
      </c>
      <c r="BM365" s="409">
        <f>6+2+2</f>
        <v>10</v>
      </c>
      <c r="BN365" s="398">
        <f>IF(BM365=0,0,IF(LEN(BD365)=11,_xlfn.XLOOKUP(BD365,'Dispensed Ink Rates'!C:C,'Dispensed Ink Rates'!CS:CS),VLOOKUP(BD365,'Jan-2026 rates'!$E:$F,2,0)))</f>
        <v>0</v>
      </c>
      <c r="BO365" s="409">
        <v>3</v>
      </c>
      <c r="BP365" s="398">
        <f>IF(BO365=0,0,IF(LEN(BE365)=11,_xlfn.XLOOKUP(BE365,'Dispensed Ink Rates'!C:C,'Dispensed Ink Rates'!CS:CS),VLOOKUP(BE365,'Jan-2026 rates'!$E:$F,2,0)))</f>
        <v>0</v>
      </c>
      <c r="BQ365" s="409"/>
      <c r="BR365" s="398">
        <f>IF(BQ365=0,0,IF(LEN(BF365)=11,_xlfn.XLOOKUP(BF365,'Dispensed Ink Rates'!C:C,'Dispensed Ink Rates'!CS:CS),VLOOKUP(BF365,'Jan-2026 rates'!$E:$F,2,0)))</f>
        <v>0</v>
      </c>
      <c r="BS365" s="409"/>
      <c r="BT365" s="398">
        <f>IF(BS365=0,0,IF(LEN(BG365)=11,_xlfn.XLOOKUP(BG365,'Dispensed Ink Rates'!C:C,'Dispensed Ink Rates'!CS:CS),VLOOKUP(BG365,'Jan-2026 rates'!$E:$F,2,0)))</f>
        <v>0</v>
      </c>
      <c r="BU365" s="409"/>
      <c r="BV365" s="398">
        <f>IF(BU365=0,0,IF(LEN(BH365)=11,_xlfn.XLOOKUP(BH365,'Dispensed Ink Rates'!C:C,'Dispensed Ink Rates'!CS:CS),VLOOKUP(BH365,'Jan-2026 rates'!$E:$F,2,0)))</f>
        <v>0</v>
      </c>
      <c r="BW365" s="409"/>
      <c r="BX365" s="398">
        <f>IF(BW365=0,0,IF(LEN(BI365)=11,_xlfn.XLOOKUP(BI365,'Dispensed Ink Rates'!C:C,'Dispensed Ink Rates'!CS:CS),VLOOKUP(BI365,'Jan-2026 rates'!$E:$F,2,0)))</f>
        <v>0</v>
      </c>
      <c r="BY365" s="409"/>
      <c r="BZ365" s="398">
        <f>IF(BY365=0,0,IF(LEN(BJ365)=11,_xlfn.XLOOKUP(BJ365,'Dispensed Ink Rates'!C:C,'Dispensed Ink Rates'!CS:CS),VLOOKUP(BJ365,'Jan-2026 rates'!$E:$F,2,0)))</f>
        <v>0</v>
      </c>
      <c r="CA365" s="409" t="s">
        <v>1443</v>
      </c>
      <c r="CB365" s="409">
        <v>36</v>
      </c>
      <c r="CC365" s="411">
        <f t="shared" si="215"/>
        <v>0</v>
      </c>
      <c r="CD365" s="411">
        <f t="shared" si="216"/>
        <v>43.946768060836504</v>
      </c>
      <c r="CE365" s="410">
        <f t="shared" si="217"/>
        <v>0</v>
      </c>
      <c r="CF365" s="404" t="s">
        <v>857</v>
      </c>
      <c r="CG365" s="409"/>
      <c r="CH365" s="420" t="str">
        <f t="shared" si="185"/>
        <v>FLINTSL - RED</v>
      </c>
      <c r="CI365" s="409"/>
      <c r="CJ365" s="411">
        <f>IF(CI365=0,0,IF($LB365=70%,VLOOKUP($CH365,'Jan-2026 rates'!$L:$R,4,0),IF($LB365=65%,VLOOKUP($CH365,'Jan-2026 rates'!$L:$R,4,0),IF($LB365=40%,VLOOKUP($CH365,'Jan-2026 rates'!$L:$R,5,0),IF($LB365=30%,VLOOKUP($CH365,'Jan-2026 rates'!$L:$R,6,0),IF($LB365=100%,VLOOKUP($CH365,'Jan-2026 rates'!$L:$R,7,0),IF($LB365=60%,VLOOKUP($CH365,'Jan-2026 rates'!$L:$S,8,0),IF($LB365=80%,VLOOKUP($CH365,'Jan-2026 rates'!L:T,9,0),0))))))))</f>
        <v>0</v>
      </c>
      <c r="CK365" s="412"/>
      <c r="CL365" s="409"/>
      <c r="CM365" s="411">
        <f>IF(CL365=0,0,IF($LB365=70%,VLOOKUP($CH365,'Jan-2026 rates'!$L:$R,4,0),IF($LB365=65%,VLOOKUP($CH365,'Jan-2026 rates'!$L:$R,4,0),IF($LB365=40%,VLOOKUP($CH365,'Jan-2026 rates'!$L:$R,5,0),IF($LB365=30%,VLOOKUP($CH365,'Jan-2026 rates'!$L:$R,6,0),IF($LB365=100%,VLOOKUP($CH365,'Jan-2026 rates'!$L:$R,7,0),IF($LB365=60%,VLOOKUP($CH365,'Jan-2026 rates'!$L:$S,8,0),IF($LB365=80%,VLOOKUP($CH365,'Jan-2026 rates'!L:T,9,0),0))))))))</f>
        <v>0</v>
      </c>
      <c r="CN365" s="426">
        <v>26529000008</v>
      </c>
      <c r="CO365" s="427" t="s">
        <v>1266</v>
      </c>
      <c r="CP365" s="426">
        <v>26528000003</v>
      </c>
      <c r="CQ365" s="426"/>
      <c r="CR365" s="428"/>
      <c r="CS365" s="428"/>
      <c r="CT365" s="428"/>
      <c r="CU365" s="428"/>
      <c r="CV365" s="409">
        <f>10+20+7</f>
        <v>37</v>
      </c>
      <c r="CW365" s="398" t="e">
        <f>IF(CV365=0,0,IF(LEN(CN365)=11,_xlfn.XLOOKUP(CN365,'Dispensed Ink Rates'!C:C,'Dispensed Ink Rates'!CS:CS),VLOOKUP(CN365,'Jan-2026 rates'!$E:$F,2,0)))</f>
        <v>#N/A</v>
      </c>
      <c r="CX365" s="409">
        <f>10+10+15</f>
        <v>35</v>
      </c>
      <c r="CY365" s="398">
        <f>IF(CX365=0,0,IF(LEN(CO365)=11,_xlfn.XLOOKUP(CO365,'Dispensed Ink Rates'!C:C,'Dispensed Ink Rates'!CS:CS),VLOOKUP(CO365,'Jan-2026 rates'!$E:$F,2,0)))</f>
        <v>0</v>
      </c>
      <c r="CZ365" s="409">
        <v>40</v>
      </c>
      <c r="DA365" s="398" t="e">
        <f>IF(CZ365=0,0,IF(LEN(CP365)=11,_xlfn.XLOOKUP(CP365,'Dispensed Ink Rates'!C:C,'Dispensed Ink Rates'!CS:CS),VLOOKUP(CP365,'Jan-2026 rates'!$E:$F,2,0)))</f>
        <v>#N/A</v>
      </c>
      <c r="DB365" s="409"/>
      <c r="DC365" s="398">
        <f>IF(DB365=0,0,IF(LEN(CQ365)=11,_xlfn.XLOOKUP(CQ365,'Dispensed Ink Rates'!C:C,'Dispensed Ink Rates'!CS:CS),VLOOKUP(CQ365,'Jan-2026 rates'!$E:$F,2,0)))</f>
        <v>0</v>
      </c>
      <c r="DD365" s="409"/>
      <c r="DE365" s="398">
        <f>IF(DD365=0,0,IF(LEN(CR365)=11,_xlfn.XLOOKUP(CR365,'Dispensed Ink Rates'!C:C,'Dispensed Ink Rates'!CS:CS),VLOOKUP(CR365,'Jan-2026 rates'!$E:$F,2,0)))</f>
        <v>0</v>
      </c>
      <c r="DF365" s="409"/>
      <c r="DG365" s="398">
        <f>IF(DF365=0,0,IF(LEN(CS365)=11,_xlfn.XLOOKUP(CS365,'Dispensed Ink Rates'!C:C,'Dispensed Ink Rates'!CS:CS),VLOOKUP(CS365,'Jan-2026 rates'!$E:$F,2,0)))</f>
        <v>0</v>
      </c>
      <c r="DH365" s="409"/>
      <c r="DI365" s="398">
        <f>IF(DH365=0,0,IF(LEN(CT365)=11,_xlfn.XLOOKUP(CT365,'Dispensed Ink Rates'!C:C,'Dispensed Ink Rates'!CS:CS),VLOOKUP(CT365,'Jan-2026 rates'!$E:$F,2,0)))</f>
        <v>0</v>
      </c>
      <c r="DJ365" s="409"/>
      <c r="DK365" s="398">
        <f>IF(DJ365=0,0,IF(LEN(CU365)=11,_xlfn.XLOOKUP(CU365,'Dispensed Ink Rates'!C:C,'Dispensed Ink Rates'!CS:CS),VLOOKUP(CU365,'Jan-2026 rates'!$E:$F,2,0)))</f>
        <v>0</v>
      </c>
      <c r="DL365" s="409" t="s">
        <v>1443</v>
      </c>
      <c r="DM365" s="409">
        <v>32</v>
      </c>
      <c r="DN365" s="411">
        <f t="shared" si="218"/>
        <v>0</v>
      </c>
      <c r="DO365" s="411">
        <f t="shared" si="219"/>
        <v>200.00380228136885</v>
      </c>
      <c r="DP365" s="410">
        <f t="shared" si="220"/>
        <v>0</v>
      </c>
      <c r="DQ365" s="405" t="s">
        <v>855</v>
      </c>
      <c r="DR365" s="409" t="s">
        <v>4791</v>
      </c>
      <c r="DS365" s="420" t="str">
        <f t="shared" si="186"/>
        <v>FLINTSL - CYAN</v>
      </c>
      <c r="DT365" s="409">
        <v>12</v>
      </c>
      <c r="DU365" s="411">
        <f>IF(DT365=0,0,IF($LB365=70%,VLOOKUP($DS365,'Jan-2026 rates'!$L:$R,4,0),IF($LB365=65%,VLOOKUP($DS365,'Jan-2026 rates'!$L:$R,4,0),IF($LB365=40%,VLOOKUP($DS365,'Jan-2026 rates'!$L:$R,5,0),IF($LB365=30%,VLOOKUP($DS365,'Jan-2026 rates'!$L:$R,6,0),IF($LB365=100%,VLOOKUP($DS365,'Jan-2026 rates'!$L:$R,7,0),IF($LB365=60%,VLOOKUP($DS365,'Jan-2026 rates'!$L:$S,8,0),IF($LB365=80%,VLOOKUP($DS365,'Jan-2026 rates'!L:T,9,0),0))))))))</f>
        <v>0</v>
      </c>
      <c r="DV365" s="412"/>
      <c r="DW365" s="409"/>
      <c r="DX365" s="411">
        <f>IF(DW365=0,0,IF($LB365=70%,VLOOKUP($DS365,'Jan-2026 rates'!$L:$R,4,0),IF($LB365=65%,VLOOKUP($DS365,'Jan-2026 rates'!$L:$R,4,0),IF($LB365=40%,VLOOKUP($DS365,'Jan-2026 rates'!$L:$R,5,0),IF($LB365=30%,VLOOKUP($DS365,'Jan-2026 rates'!$L:$R,6,0),IF($LB365=100%,VLOOKUP($DS365,'Jan-2026 rates'!$L:$R,7,0),IF($LB365=60%,VLOOKUP($DS365,'Jan-2026 rates'!$L:$S,8,0),IF($LB365=80%,VLOOKUP($DS365,'Jan-2026 rates'!L:T,9,0),0))))))))</f>
        <v>0</v>
      </c>
      <c r="DY365" s="413">
        <v>26527000016</v>
      </c>
      <c r="DZ365" s="413"/>
      <c r="EA365" s="412"/>
      <c r="EB365" s="412"/>
      <c r="EC365" s="412"/>
      <c r="ED365" s="412"/>
      <c r="EE365" s="412"/>
      <c r="EF365" s="412"/>
      <c r="EG365" s="409">
        <f>10+4</f>
        <v>14</v>
      </c>
      <c r="EH365" s="398" t="e">
        <f>IF(EG365=0,0,IF(LEN(DY365)=11,_xlfn.XLOOKUP(DY365,'Dispensed Ink Rates'!C:C,'Dispensed Ink Rates'!CS:CS),VLOOKUP(DY365,'Jan-2026 rates'!$E:$F,2,0)))</f>
        <v>#N/A</v>
      </c>
      <c r="EI365" s="409"/>
      <c r="EJ365" s="398">
        <f>IF(EI365=0,0,IF(LEN(DZ365)=11,_xlfn.XLOOKUP(DZ365,'Dispensed Ink Rates'!C:C,'Dispensed Ink Rates'!CS:CS),VLOOKUP(DZ365,'Jan-2026 rates'!$E:$F,2,0)))</f>
        <v>0</v>
      </c>
      <c r="EK365" s="409"/>
      <c r="EL365" s="398">
        <f>IF(EK365=0,0,IF(LEN(EA365)=11,_xlfn.XLOOKUP(EA365,'Dispensed Ink Rates'!C:C,'Dispensed Ink Rates'!CS:CS),VLOOKUP(EA365,'Jan-2026 rates'!$E:$F,2,0)))</f>
        <v>0</v>
      </c>
      <c r="EM365" s="409"/>
      <c r="EN365" s="398">
        <f>IF(EM365=0,0,IF(LEN(EB365)=11,_xlfn.XLOOKUP(EB365,'Dispensed Ink Rates'!C:C,'Dispensed Ink Rates'!CS:CS),VLOOKUP(EB365,'Jan-2026 rates'!$E:$F,2,0)))</f>
        <v>0</v>
      </c>
      <c r="EO365" s="409"/>
      <c r="EP365" s="398">
        <f>IF(EO365=0,0,IF(LEN(EC365)=11,_xlfn.XLOOKUP(EC365,'Dispensed Ink Rates'!C:C,'Dispensed Ink Rates'!CS:CS),VLOOKUP(EC365,'Jan-2026 rates'!$E:$F,2,0)))</f>
        <v>0</v>
      </c>
      <c r="EQ365" s="409"/>
      <c r="ER365" s="398">
        <f>IF(EQ365=0,0,IF(LEN(ED365)=11,_xlfn.XLOOKUP(ED365,'Dispensed Ink Rates'!C:C,'Dispensed Ink Rates'!CS:CS),VLOOKUP(ED365,'Jan-2026 rates'!$E:$F,2,0)))</f>
        <v>0</v>
      </c>
      <c r="ES365" s="409"/>
      <c r="ET365" s="398">
        <f>IF(ES365=0,0,IF(LEN(EE365)=11,_xlfn.XLOOKUP(EE365,'Dispensed Ink Rates'!C:C,'Dispensed Ink Rates'!CS:CS),VLOOKUP(EE365,'Jan-2026 rates'!$E:$F,2,0)))</f>
        <v>0</v>
      </c>
      <c r="EU365" s="409"/>
      <c r="EV365" s="398">
        <f>IF(EU365=0,0,IF(LEN(EF365)=11,_xlfn.XLOOKUP(EF365,'Dispensed Ink Rates'!C:C,'Dispensed Ink Rates'!CS:CS),VLOOKUP(EF365,'Jan-2026 rates'!$E:$F,2,0)))</f>
        <v>0</v>
      </c>
      <c r="EW365" s="409" t="s">
        <v>1443</v>
      </c>
      <c r="EX365" s="409">
        <v>30</v>
      </c>
      <c r="EY365" s="411">
        <f t="shared" si="221"/>
        <v>0</v>
      </c>
      <c r="EZ365" s="411">
        <f t="shared" si="222"/>
        <v>38.163498098859321</v>
      </c>
      <c r="FA365" s="410">
        <f t="shared" si="223"/>
        <v>0</v>
      </c>
      <c r="FB365" s="405" t="s">
        <v>544</v>
      </c>
      <c r="FC365" s="409" t="s">
        <v>4799</v>
      </c>
      <c r="FD365" s="420" t="str">
        <f t="shared" si="187"/>
        <v>FLINTSL - MAGENTA</v>
      </c>
      <c r="FE365" s="409">
        <v>23</v>
      </c>
      <c r="FF365" s="411">
        <f>IF(FE365=0,0,IF($LB365=70%,VLOOKUP($FD365,'Jan-2026 rates'!$L:$R,4,0),IF($LB365=65%,VLOOKUP($FD365,'Jan-2026 rates'!$L:$R,4,0),IF($LB365=40%,VLOOKUP($FD365,'Jan-2026 rates'!$L:$R,5,0),IF($LB365=30%,VLOOKUP($FD365,'Jan-2026 rates'!$L:$R,6,0),IF($LB365=100%,VLOOKUP($FD365,'Jan-2026 rates'!$L:$R,7,0),IF($LB365=60%,VLOOKUP($FD365,'Jan-2026 rates'!$L:$S,8,0),IF($LB365=80%,VLOOKUP($FD365,'Jan-2026 rates'!L:T,9,0),0))))))))</f>
        <v>0</v>
      </c>
      <c r="FG365" s="412"/>
      <c r="FH365" s="409"/>
      <c r="FI365" s="411">
        <f>IF(FH365=0,0,IF($LB365=70%,VLOOKUP($FD365,'Jan-2026 rates'!$L:$R,4,0),IF($LB365=65%,VLOOKUP($FD365,'Jan-2026 rates'!$L:$R,4,0),IF($LB365=40%,VLOOKUP($FD365,'Jan-2026 rates'!$L:$R,5,0),IF($LB365=30%,VLOOKUP($FD365,'Jan-2026 rates'!$L:$R,6,0),IF($LB365=100%,VLOOKUP($FD365,'Jan-2026 rates'!$L:$R,7,0),IF($LB365=60%,VLOOKUP($FD365,'Jan-2026 rates'!$L:$S,8,0),IF($LB365=80%,VLOOKUP($FD365,'Jan-2026 rates'!L:T,9,0),0))))))))</f>
        <v>0</v>
      </c>
      <c r="FJ365" s="413">
        <v>26528000020</v>
      </c>
      <c r="FK365" s="413"/>
      <c r="FL365" s="413"/>
      <c r="FM365" s="412"/>
      <c r="FN365" s="412"/>
      <c r="FO365" s="412"/>
      <c r="FP365" s="412"/>
      <c r="FQ365" s="412"/>
      <c r="FR365" s="409">
        <f>6+2</f>
        <v>8</v>
      </c>
      <c r="FS365" s="398" t="e">
        <f>IF(FR365=0,0,IF(LEN(FJ365)=11,_xlfn.XLOOKUP(FJ365,'Dispensed Ink Rates'!C:C,'Dispensed Ink Rates'!CS:CS),VLOOKUP(FJ365,'Jan-2026 rates'!$E:$F,2,0)))</f>
        <v>#N/A</v>
      </c>
      <c r="FT365" s="409"/>
      <c r="FU365" s="398">
        <f>IF(FT365=0,0,IF(LEN(FK365)=11,_xlfn.XLOOKUP(FK365,'Dispensed Ink Rates'!C:C,'Dispensed Ink Rates'!CS:CS),VLOOKUP(FK365,'Jan-2026 rates'!$E:$F,2,0)))</f>
        <v>0</v>
      </c>
      <c r="FV365" s="409"/>
      <c r="FW365" s="398">
        <f>IF(FV365=0,0,IF(LEN(FL365)=11,_xlfn.XLOOKUP(FL365,'Dispensed Ink Rates'!C:C,'Dispensed Ink Rates'!CS:CS),VLOOKUP(FL365,'Jan-2026 rates'!$E:$F,2,0)))</f>
        <v>0</v>
      </c>
      <c r="FX365" s="409"/>
      <c r="FY365" s="398">
        <f>IF(FX365=0,0,IF(LEN(FM365)=11,_xlfn.XLOOKUP(FM365,'Dispensed Ink Rates'!C:C,'Dispensed Ink Rates'!CS:CS),VLOOKUP(FM365,'Jan-2026 rates'!$E:$F,2,0)))</f>
        <v>0</v>
      </c>
      <c r="FZ365" s="409"/>
      <c r="GA365" s="398">
        <f>IF(FZ365=0,0,IF(LEN(FN365)=11,_xlfn.XLOOKUP(FN365,'Dispensed Ink Rates'!C:C,'Dispensed Ink Rates'!CS:CS),VLOOKUP(FN365,'Jan-2026 rates'!$E:$F,2,0)))</f>
        <v>0</v>
      </c>
      <c r="GB365" s="409"/>
      <c r="GC365" s="398">
        <f>IF(GB365=0,0,IF(LEN(FO365)=11,_xlfn.XLOOKUP(FO365,'Dispensed Ink Rates'!C:C,'Dispensed Ink Rates'!CS:CS),VLOOKUP(FO365,'Jan-2026 rates'!$E:$F,2,0)))</f>
        <v>0</v>
      </c>
      <c r="GD365" s="409"/>
      <c r="GE365" s="398">
        <f>IF(GD365=0,0,IF(LEN(FP365)=11,_xlfn.XLOOKUP(FP365,'Dispensed Ink Rates'!C:C,'Dispensed Ink Rates'!CS:CS),VLOOKUP(FP365,'Jan-2026 rates'!$E:$F,2,0)))</f>
        <v>0</v>
      </c>
      <c r="GF365" s="409"/>
      <c r="GG365" s="398">
        <f>IF(GF365=0,0,IF(LEN(FQ365)=11,_xlfn.XLOOKUP(FQ365,'Dispensed Ink Rates'!C:C,'Dispensed Ink Rates'!CS:CS),VLOOKUP(FQ365,'Jan-2026 rates'!$E:$F,2,0)))</f>
        <v>0</v>
      </c>
      <c r="GH365" s="409" t="s">
        <v>1443</v>
      </c>
      <c r="GI365" s="409">
        <v>30</v>
      </c>
      <c r="GJ365" s="411">
        <f t="shared" si="224"/>
        <v>0</v>
      </c>
      <c r="GK365" s="411">
        <f t="shared" si="225"/>
        <v>17.216730038022817</v>
      </c>
      <c r="GL365" s="410">
        <f t="shared" si="226"/>
        <v>0</v>
      </c>
      <c r="GM365" s="405" t="s">
        <v>545</v>
      </c>
      <c r="GN365" s="409" t="s">
        <v>4800</v>
      </c>
      <c r="GO365" s="420" t="str">
        <f t="shared" si="188"/>
        <v>FLINTSL - YELLOW</v>
      </c>
      <c r="GP365" s="409">
        <v>24</v>
      </c>
      <c r="GQ365" s="411">
        <f>IF(GP365=0,0,IF($LB365=70%,VLOOKUP($GO365,'Jan-2026 rates'!$L:$R,4,0),IF($LB365=65%,VLOOKUP($GO365,'Jan-2026 rates'!$L:$R,4,0),IF($LB365=40%,VLOOKUP($GO365,'Jan-2026 rates'!$L:$R,5,0),IF($LB365=30%,VLOOKUP($GO365,'Jan-2026 rates'!$L:$R,6,0),IF($LB365=100%,VLOOKUP($GO365,'Jan-2026 rates'!$L:$R,7,0),IF($LB365=60%,VLOOKUP($GO365,'Jan-2026 rates'!$L:$S,8,0),IF($LB365=80%,VLOOKUP($GO365,'Jan-2026 rates'!L:T,9,0),0))))))))</f>
        <v>0</v>
      </c>
      <c r="GR365" s="412"/>
      <c r="GS365" s="409"/>
      <c r="GT365" s="411">
        <f>IF(GS365=0,0,IF($LB365=70%,VLOOKUP($GO365,'Jan-2026 rates'!$L:$R,4,0),IF($LB365=65%,VLOOKUP($GO365,'Jan-2026 rates'!$L:$R,4,0),IF($LB365=40%,VLOOKUP($GO365,'Jan-2026 rates'!$L:$R,5,0),IF($LB365=30%,VLOOKUP($GO365,'Jan-2026 rates'!$L:$R,6,0),IF($LB365=100%,VLOOKUP($GO365,'Jan-2026 rates'!$L:$R,7,0),IF($LB365=60%,VLOOKUP($GO365,'Jan-2026 rates'!$L:$S,8,0),IF($LB365=80%,VLOOKUP($GO365,'Jan-2026 rates'!L:T,9,0),0))))))))</f>
        <v>0</v>
      </c>
      <c r="GU365" s="413" t="s">
        <v>1266</v>
      </c>
      <c r="GV365" s="413">
        <v>26527000025</v>
      </c>
      <c r="GW365" s="412"/>
      <c r="GX365" s="412"/>
      <c r="GY365" s="412"/>
      <c r="GZ365" s="412"/>
      <c r="HA365" s="412"/>
      <c r="HB365" s="412"/>
      <c r="HC365" s="409">
        <f>6+6</f>
        <v>12</v>
      </c>
      <c r="HD365" s="398">
        <f>IF(HC365=0,0,IF(LEN(GU365)=11,_xlfn.XLOOKUP(GU365,'Dispensed Ink Rates'!C:C,'Dispensed Ink Rates'!CS:CS),VLOOKUP(GU365,'Jan-2026 rates'!$E:$F,2,0)))</f>
        <v>0</v>
      </c>
      <c r="HE365" s="409">
        <f>6+10</f>
        <v>16</v>
      </c>
      <c r="HF365" s="398" t="e">
        <f>IF(HE365=0,0,IF(LEN(GV365)=11,_xlfn.XLOOKUP(GV365,'Dispensed Ink Rates'!C:C,'Dispensed Ink Rates'!CS:CS),VLOOKUP(GV365,'Jan-2026 rates'!$E:$F,2,0)))</f>
        <v>#N/A</v>
      </c>
      <c r="HG365" s="409"/>
      <c r="HH365" s="398">
        <f>IF(HG365=0,0,IF(LEN(GW365)=11,_xlfn.XLOOKUP(GW365,'Dispensed Ink Rates'!C:C,'Dispensed Ink Rates'!CS:CS),VLOOKUP(GW365,'Jan-2026 rates'!$E:$F,2,0)))</f>
        <v>0</v>
      </c>
      <c r="HI365" s="409"/>
      <c r="HJ365" s="398">
        <f>IF(HI365=0,0,IF(LEN(GX365)=11,_xlfn.XLOOKUP(GX365,'Dispensed Ink Rates'!C:C,'Dispensed Ink Rates'!CS:CS),VLOOKUP(GX365,'Jan-2026 rates'!$E:$F,2,0)))</f>
        <v>0</v>
      </c>
      <c r="HK365" s="409"/>
      <c r="HL365" s="398">
        <f>IF(HK365=0,0,IF(LEN(GY365)=11,_xlfn.XLOOKUP(GY365,'Dispensed Ink Rates'!C:C,'Dispensed Ink Rates'!CS:CS),VLOOKUP(GY365,'Jan-2026 rates'!$E:$F,2,0)))</f>
        <v>0</v>
      </c>
      <c r="HM365" s="409"/>
      <c r="HN365" s="398">
        <f>IF(HM365=0,0,IF(LEN(GZ365)=11,_xlfn.XLOOKUP(GZ365,'Dispensed Ink Rates'!C:C,'Dispensed Ink Rates'!CS:CS),VLOOKUP(GZ365,'Jan-2026 rates'!$E:$F,2,0)))</f>
        <v>0</v>
      </c>
      <c r="HO365" s="409"/>
      <c r="HP365" s="398">
        <f>IF(HO365=0,0,IF(LEN(HA365)=11,_xlfn.XLOOKUP(HA365,'Dispensed Ink Rates'!C:C,'Dispensed Ink Rates'!CS:CS),VLOOKUP(HA365,'Jan-2026 rates'!$E:$F,2,0)))</f>
        <v>0</v>
      </c>
      <c r="HQ365" s="409"/>
      <c r="HR365" s="398">
        <f>IF(HQ365=0,0,IF(LEN(HB365)=11,_xlfn.XLOOKUP(HB365,'Dispensed Ink Rates'!C:C,'Dispensed Ink Rates'!CS:CS),VLOOKUP(HB365,'Jan-2026 rates'!$E:$F,2,0)))</f>
        <v>0</v>
      </c>
      <c r="HS365" s="409" t="s">
        <v>1443</v>
      </c>
      <c r="HT365" s="409">
        <v>28</v>
      </c>
      <c r="HU365" s="411">
        <f t="shared" si="227"/>
        <v>0</v>
      </c>
      <c r="HV365" s="411">
        <f t="shared" si="228"/>
        <v>59.676806083650177</v>
      </c>
      <c r="HW365" s="414">
        <f t="shared" si="229"/>
        <v>0</v>
      </c>
      <c r="HX365" s="405" t="s">
        <v>856</v>
      </c>
      <c r="HY365" s="409" t="s">
        <v>4801</v>
      </c>
      <c r="HZ365" s="420" t="str">
        <f t="shared" si="189"/>
        <v>FLINTSL - WHITE</v>
      </c>
      <c r="IA365" s="409">
        <v>24</v>
      </c>
      <c r="IB365" s="411">
        <f>IF(IA365=0,0,IF($LB365=70%,VLOOKUP($HZ365,'Jan-2026 rates'!$L:$R,4,0),IF($LB365=65%,VLOOKUP($HZ365,'Jan-2026 rates'!$L:$R,4,0),IF($LB365=40%,VLOOKUP($HZ365,'Jan-2026 rates'!$L:$R,5,0),IF($LB365=30%,VLOOKUP($HZ365,'Jan-2026 rates'!$L:$R,6,0),IF($LB365=100%,VLOOKUP($HZ365,'Jan-2026 rates'!$L:$R,7,0),IF($LB365=60%,VLOOKUP($HZ365,'Jan-2026 rates'!$L:$S,8,0),IF($LB365=80%,VLOOKUP($HZ365,'Jan-2026 rates'!L:T,9,0),0))))))))</f>
        <v>0</v>
      </c>
      <c r="IC365" s="412"/>
      <c r="ID365" s="409"/>
      <c r="IE365" s="411">
        <f>IF(ID365=0,0,IF($LB365=70%,VLOOKUP($HZ365,'Jan-2026 rates'!$L:$R,4,0),IF($LB365=65%,VLOOKUP($HZ365,'Jan-2026 rates'!$L:$R,4,0),IF($LB365=40%,VLOOKUP($HZ365,'Jan-2026 rates'!$L:$R,5,0),IF($LB365=30%,VLOOKUP($HZ365,'Jan-2026 rates'!$L:$R,6,0),IF($LB365=100%,VLOOKUP($HZ365,'Jan-2026 rates'!$L:$R,7,0),IF($LB365=60%,VLOOKUP($HZ365,'Jan-2026 rates'!$L:$S,8,0),IF($LB365=80%,VLOOKUP($HZ365,'Jan-2026 rates'!L:T,9,0),0))))))))</f>
        <v>0</v>
      </c>
      <c r="IF365" s="412" t="s">
        <v>484</v>
      </c>
      <c r="IG365" s="413"/>
      <c r="IH365" s="412"/>
      <c r="II365" s="412"/>
      <c r="IJ365" s="412"/>
      <c r="IK365" s="412"/>
      <c r="IL365" s="412"/>
      <c r="IM365" s="412"/>
      <c r="IN365" s="409">
        <f>50+100+50+100</f>
        <v>300</v>
      </c>
      <c r="IO365" s="398">
        <f>IF(IN365=0,0,IF(LEN(IF365)=11,_xlfn.XLOOKUP(IF365,'Dispensed Ink Rates'!C:C,'Dispensed Ink Rates'!CS:CS),VLOOKUP(IF365,'Jan-2026 rates'!$E:$F,2,0)))</f>
        <v>0</v>
      </c>
      <c r="IP365" s="409"/>
      <c r="IQ365" s="398">
        <f>IF(IP365=0,0,IF(LEN(IG365)=11,_xlfn.XLOOKUP(IG365,'Dispensed Ink Rates'!C:C,'Dispensed Ink Rates'!CS:CS),VLOOKUP(IG365,'Jan-2026 rates'!$E:$F,2,0)))</f>
        <v>0</v>
      </c>
      <c r="IR365" s="409"/>
      <c r="IS365" s="398">
        <f>IF(IR365=0,0,IF(LEN(IH365)=11,_xlfn.XLOOKUP(IH365,'Dispensed Ink Rates'!C:C,'Dispensed Ink Rates'!CS:CS),VLOOKUP(IH365,'Jan-2026 rates'!$E:$F,2,0)))</f>
        <v>0</v>
      </c>
      <c r="IT365" s="409"/>
      <c r="IU365" s="398">
        <f>IF(IT365=0,0,IF(LEN(II365)=11,_xlfn.XLOOKUP(II365,'Dispensed Ink Rates'!C:C,'Dispensed Ink Rates'!CS:CS),VLOOKUP(II365,'Jan-2026 rates'!$E:$F,2,0)))</f>
        <v>0</v>
      </c>
      <c r="IV365" s="409"/>
      <c r="IW365" s="398">
        <f>IF(IV365=0,0,IF(LEN(IJ365)=11,_xlfn.XLOOKUP(IJ365,'Dispensed Ink Rates'!C:C,'Dispensed Ink Rates'!CS:CS),VLOOKUP(IJ365,'Jan-2026 rates'!$E:$F,2,0)))</f>
        <v>0</v>
      </c>
      <c r="IX365" s="409"/>
      <c r="IY365" s="398">
        <f>IF(IX365=0,0,IF(LEN(IK365)=11,_xlfn.XLOOKUP(IK365,'Dispensed Ink Rates'!C:C,'Dispensed Ink Rates'!CS:CS),VLOOKUP(IK365,'Jan-2026 rates'!$E:$F,2,0)))</f>
        <v>0</v>
      </c>
      <c r="IZ365" s="409"/>
      <c r="JA365" s="398">
        <f>IF(IZ365=0,0,IF(LEN(IL365)=11,_xlfn.XLOOKUP(IL365,'Dispensed Ink Rates'!C:C,'Dispensed Ink Rates'!CS:CS),VLOOKUP(IL365,'Jan-2026 rates'!$E:$F,2,0)))</f>
        <v>0</v>
      </c>
      <c r="JB365" s="409"/>
      <c r="JC365" s="398">
        <f>IF(JB365=0,0,IF(LEN(IM365)=11,_xlfn.XLOOKUP(IM365,'Dispensed Ink Rates'!C:C,'Dispensed Ink Rates'!CS:CS),VLOOKUP(IM365,'Jan-2026 rates'!$E:$F,2,0)))</f>
        <v>0</v>
      </c>
      <c r="JD365" s="409" t="s">
        <v>1443</v>
      </c>
      <c r="JE365" s="409">
        <v>30</v>
      </c>
      <c r="JF365" s="411">
        <f t="shared" si="230"/>
        <v>0</v>
      </c>
      <c r="JG365" s="411">
        <f t="shared" si="231"/>
        <v>877.80228136882124</v>
      </c>
      <c r="JH365" s="410">
        <f t="shared" si="232"/>
        <v>0</v>
      </c>
      <c r="JI365" s="405"/>
      <c r="JJ365" s="409"/>
      <c r="JK365" s="420" t="str">
        <f t="shared" si="190"/>
        <v xml:space="preserve"> - </v>
      </c>
      <c r="JL365" s="409"/>
      <c r="JM365" s="411">
        <f>IF(JL365=0,0,IF($LB365=70%,VLOOKUP($JK365,'Jan-2026 rates'!$L:$R,4,0),IF($LB365=65%,VLOOKUP($JK365,'Jan-2026 rates'!$L:$R,4,0),IF($LB365=40%,VLOOKUP($JK365,'Jan-2026 rates'!$L:$R,5,0),IF($LB365=30%,VLOOKUP($JK365,'Jan-2026 rates'!$L:$R,6,0),IF($LB365=100%,VLOOKUP($JK365,'Jan-2026 rates'!$L:$R,7,0),IF($LB365=60%,VLOOKUP($JK365,'Jan-2026 rates'!$L:$S,8,0),IF($LB365=80%,VLOOKUP($JK365,'Jan-2026 rates'!L:T,9,0),0))))))))</f>
        <v>0</v>
      </c>
      <c r="JN365" s="412"/>
      <c r="JO365" s="409"/>
      <c r="JP365" s="411">
        <f>IF(JO365=0,0,IF($LB365=70%,VLOOKUP($JK365,'Jan-2026 rates'!$L:$R,4,0),IF($LB365=65%,VLOOKUP($JK365,'Jan-2026 rates'!$L:$R,4,0),IF($LB365=40%,VLOOKUP($JK365,'Jan-2026 rates'!$L:$R,5,0),IF($LB365=30%,VLOOKUP($JK365,'Jan-2026 rates'!$L:$R,6,0),IF($LB365=100%,VLOOKUP($JK365,'Jan-2026 rates'!$L:$R,7,0),IF($LB365=60%,VLOOKUP($JK365,'Jan-2026 rates'!$L:$S,8,0),IF($LB365=80%,VLOOKUP($JK365,'Jan-2026 rates'!L:T,9,0),0))))))))</f>
        <v>0</v>
      </c>
      <c r="JQ365" s="413"/>
      <c r="JR365" s="412"/>
      <c r="JS365" s="413"/>
      <c r="JT365" s="413"/>
      <c r="JU365" s="412"/>
      <c r="JV365" s="412"/>
      <c r="JW365" s="412"/>
      <c r="JX365" s="412"/>
      <c r="JY365" s="409"/>
      <c r="JZ365" s="398">
        <f>IF(JY365=0,0,IF(LEN(JQ365)=11,_xlfn.XLOOKUP(JQ365,'Dispensed Ink Rates'!C:C,'Dispensed Ink Rates'!CS:CS),VLOOKUP(JQ365,'Jan-2026 rates'!$E:$F,2,0)))</f>
        <v>0</v>
      </c>
      <c r="KA365" s="409"/>
      <c r="KB365" s="398">
        <f>IF(KA365=0,0,IF(LEN(JR365)=11,_xlfn.XLOOKUP(JR365,'Dispensed Ink Rates'!C:C,'Dispensed Ink Rates'!CS:CS),VLOOKUP(JR365,'Jan-2026 rates'!$E:$F,2,0)))</f>
        <v>0</v>
      </c>
      <c r="KC365" s="409"/>
      <c r="KD365" s="398">
        <f>IF(KC365=0,0,IF(LEN(JS365)=11,_xlfn.XLOOKUP(JS365,'Dispensed Ink Rates'!C:C,'Dispensed Ink Rates'!CS:CS),VLOOKUP(JS365,'Jan-2026 rates'!$E:$F,2,0)))</f>
        <v>0</v>
      </c>
      <c r="KE365" s="409"/>
      <c r="KF365" s="398">
        <f>IF(KE365=0,0,IF(LEN(JT365)=11,_xlfn.XLOOKUP(JT365,'Dispensed Ink Rates'!C:C,'Dispensed Ink Rates'!CS:CS),VLOOKUP(JT365,'Jan-2026 rates'!$E:$F,2,0)))</f>
        <v>0</v>
      </c>
      <c r="KG365" s="409"/>
      <c r="KH365" s="398">
        <f>IF(KG365=0,0,IF(LEN(JU365)=11,_xlfn.XLOOKUP(JU365,'Dispensed Ink Rates'!C:C,'Dispensed Ink Rates'!CS:CS),VLOOKUP(JU365,'Jan-2026 rates'!$E:$F,2,0)))</f>
        <v>0</v>
      </c>
      <c r="KI365" s="409"/>
      <c r="KJ365" s="398">
        <f>IF(KI365=0,0,IF(LEN(JV365)=11,_xlfn.XLOOKUP(JV365,'Dispensed Ink Rates'!C:C,'Dispensed Ink Rates'!CS:CS),VLOOKUP(JV365,'Jan-2026 rates'!$E:$F,2,0)))</f>
        <v>0</v>
      </c>
      <c r="KK365" s="409"/>
      <c r="KL365" s="398">
        <f>IF(KK365=0,0,IF(LEN(JW365)=11,_xlfn.XLOOKUP(JW365,'Dispensed Ink Rates'!C:C,'Dispensed Ink Rates'!CS:CS),VLOOKUP(JW365,'Jan-2026 rates'!$E:$F,2,0)))</f>
        <v>0</v>
      </c>
      <c r="KM365" s="428"/>
      <c r="KN365" s="398">
        <f>IF(KM365=0,0,IF(LEN(JX365)=11,_xlfn.XLOOKUP(JX365,'Dispensed Ink Rates'!C:C,'Dispensed Ink Rates'!CS:CS),VLOOKUP(JX365,'Jan-2026 rates'!$E:$F,2,0)))</f>
        <v>0</v>
      </c>
      <c r="KO365" s="409"/>
      <c r="KP365" s="409"/>
      <c r="KQ365" s="411">
        <f t="shared" si="233"/>
        <v>0</v>
      </c>
      <c r="KR365" s="411">
        <f t="shared" si="234"/>
        <v>0</v>
      </c>
      <c r="KS365" s="410">
        <f t="shared" si="235"/>
        <v>0</v>
      </c>
      <c r="KT365" s="409">
        <f>5+4</f>
        <v>9</v>
      </c>
      <c r="KU365" s="409">
        <v>8</v>
      </c>
      <c r="KV365" s="409">
        <f>25+12</f>
        <v>37</v>
      </c>
      <c r="KW365" s="409">
        <f>10+3</f>
        <v>13</v>
      </c>
      <c r="KX365" s="409">
        <v>5</v>
      </c>
      <c r="KY365" s="409">
        <f>5+6</f>
        <v>11</v>
      </c>
      <c r="KZ365" s="409">
        <f>30+60+30+60</f>
        <v>180</v>
      </c>
      <c r="LA365" s="409">
        <v>0</v>
      </c>
      <c r="LB365" s="415">
        <v>0.8</v>
      </c>
      <c r="LC365" s="415">
        <v>0.2</v>
      </c>
      <c r="LD365" s="424"/>
      <c r="LE365" s="415"/>
      <c r="LF365" s="415"/>
      <c r="LG365" s="409">
        <v>0</v>
      </c>
      <c r="LH365" s="409">
        <f>180+173+400+100</f>
        <v>853</v>
      </c>
      <c r="LI365" s="409">
        <v>0</v>
      </c>
      <c r="LJ365" s="409">
        <v>0</v>
      </c>
      <c r="LK365" s="416">
        <f t="shared" si="191"/>
        <v>853</v>
      </c>
      <c r="LL365" s="416">
        <f t="shared" si="349"/>
        <v>853</v>
      </c>
      <c r="LM365" s="417">
        <f t="shared" si="193"/>
        <v>682.40000000000009</v>
      </c>
      <c r="LN365" s="417">
        <f>VLOOKUP($LM$8,'Jan-2026 rates'!$H:$I,2,0)</f>
        <v>0</v>
      </c>
      <c r="LO365" s="417">
        <f t="shared" si="194"/>
        <v>170.60000000000002</v>
      </c>
      <c r="LP365" s="417">
        <f>VLOOKUP($LO$8,'Jan-2026 rates'!$H:$I,2,0)</f>
        <v>0</v>
      </c>
      <c r="LQ365" s="417">
        <f t="shared" si="195"/>
        <v>0</v>
      </c>
      <c r="LR365" s="417">
        <f>VLOOKUP($LQ$8,'Jan-2026 rates'!$H:$I,2,0)</f>
        <v>0</v>
      </c>
      <c r="LS365" s="417">
        <f t="shared" si="196"/>
        <v>0</v>
      </c>
      <c r="LT365" s="417">
        <f>VLOOKUP($LS$8,'Jan-2026 rates'!$H:$I,2,0)</f>
        <v>0</v>
      </c>
      <c r="LU365" s="417">
        <f t="shared" si="197"/>
        <v>0</v>
      </c>
      <c r="LV365" s="417">
        <f>VLOOKUP($LU$8,'Jan-2026 rates'!$H:$I,2,0)</f>
        <v>0</v>
      </c>
      <c r="LW365" s="417">
        <f t="shared" si="198"/>
        <v>0</v>
      </c>
      <c r="LX365" s="417">
        <f t="shared" si="199"/>
        <v>0</v>
      </c>
      <c r="LY365" s="418">
        <f t="shared" si="200"/>
        <v>0</v>
      </c>
      <c r="LZ365" s="417"/>
      <c r="MA365" s="435">
        <f t="shared" si="201"/>
        <v>505</v>
      </c>
      <c r="MB365" s="282">
        <f t="shared" si="202"/>
        <v>1283</v>
      </c>
      <c r="MC365" s="283">
        <v>207</v>
      </c>
      <c r="MD365" s="284" t="str">
        <f t="shared" si="203"/>
        <v>FLINTSLFLINTSLFLINTSLFLINTSLFLINTSLFLINTSLFLINTSL</v>
      </c>
      <c r="ME365" s="293" t="str">
        <f t="shared" si="204"/>
        <v>+</v>
      </c>
      <c r="MF365" s="293" t="str">
        <f t="shared" si="205"/>
        <v>+</v>
      </c>
      <c r="MG365" s="293" t="str">
        <f t="shared" si="206"/>
        <v>+</v>
      </c>
      <c r="MH365" s="293" t="str">
        <f t="shared" si="207"/>
        <v>+</v>
      </c>
      <c r="MI365" s="293" t="str">
        <f t="shared" si="208"/>
        <v>+</v>
      </c>
      <c r="MJ365" s="293" t="str">
        <f t="shared" si="209"/>
        <v>+</v>
      </c>
      <c r="MK365" s="293" t="str">
        <f t="shared" si="210"/>
        <v>+</v>
      </c>
      <c r="ML365" s="293" t="str">
        <f t="shared" si="211"/>
        <v>NIL</v>
      </c>
      <c r="MM365" s="3" t="b">
        <f t="array" ref="MM365">OR(ME365:ML365="-")</f>
        <v>0</v>
      </c>
      <c r="MO365" s="401">
        <f t="shared" si="350"/>
        <v>15.046323443180484</v>
      </c>
      <c r="MP365" s="286"/>
      <c r="MR365" s="402">
        <f t="shared" si="351"/>
        <v>1.2791625124626121E-2</v>
      </c>
      <c r="MS365" s="400">
        <f t="shared" si="352"/>
        <v>0</v>
      </c>
      <c r="MT365" s="285"/>
      <c r="NH365" s="361"/>
      <c r="NJ365" s="282"/>
    </row>
    <row r="366" spans="1:374" ht="16.5">
      <c r="A366" s="403">
        <v>46050</v>
      </c>
      <c r="B366" s="404" t="s">
        <v>1015</v>
      </c>
      <c r="C366" s="405" t="s">
        <v>4215</v>
      </c>
      <c r="D366" s="404">
        <v>208</v>
      </c>
      <c r="E366" s="404">
        <v>612</v>
      </c>
      <c r="F366" s="407">
        <v>7200</v>
      </c>
      <c r="G366" s="407" t="s">
        <v>1019</v>
      </c>
      <c r="H366" s="408" t="s">
        <v>1017</v>
      </c>
      <c r="I366" s="409">
        <v>1.6</v>
      </c>
      <c r="J366" s="405" t="s">
        <v>543</v>
      </c>
      <c r="K366" s="404" t="s">
        <v>4802</v>
      </c>
      <c r="L366" s="419" t="str">
        <f t="shared" si="184"/>
        <v>FLINTSL - BLACK</v>
      </c>
      <c r="M366" s="404">
        <v>28</v>
      </c>
      <c r="N366" s="410">
        <f>IF(M366=0,0,IF($LB366=70%,VLOOKUP($L366,'Jan-2026 rates'!$L:$R,4,0),IF($LB366=65%,VLOOKUP($L366,'Jan-2026 rates'!$L:$R,4,0),IF($LB366=40%,VLOOKUP($L366,'Jan-2026 rates'!$L:$R,5,0),IF($LB366=30%,VLOOKUP($L366,'Jan-2026 rates'!$L:$R,6,0),IF($LB366=100%,VLOOKUP($L366,'Jan-2026 rates'!$L:$R,7,0),IF($LB366=60%,VLOOKUP($L366,'Jan-2026 rates'!$L:$S,8,0),IF($LB366=80%,VLOOKUP($L366,'Jan-2026 rates'!L:T,9,0),0))))))))</f>
        <v>0</v>
      </c>
      <c r="O366" s="406"/>
      <c r="P366" s="404"/>
      <c r="Q366" s="410">
        <f>IF(P366=0,0,IF($LB366=70%,VLOOKUP($L366,'Jan-2026 rates'!$L:$R,4,0),IF($LB366=65%,VLOOKUP($L366,'Jan-2026 rates'!$L:$R,4,0),IF($LB366=40%,VLOOKUP($L366,'Jan-2026 rates'!$L:$R,5,0),IF($LB366=30%,VLOOKUP($L366,'Jan-2026 rates'!$L:$R,6,0),IF($LB366=100%,VLOOKUP($L366,'Jan-2026 rates'!$L:$R,7,0),IF($LB366=60%,VLOOKUP($L366,'Jan-2026 rates'!$L:$S,8,0),IF($LB366=80%,VLOOKUP($L366,'Jan-2026 rates'!L:T,9,0),0))))))))</f>
        <v>0</v>
      </c>
      <c r="R366" s="406">
        <v>26527000015</v>
      </c>
      <c r="S366" s="406"/>
      <c r="T366" s="406"/>
      <c r="U366" s="406"/>
      <c r="V366" s="406"/>
      <c r="W366" s="406"/>
      <c r="X366" s="406"/>
      <c r="Y366" s="406"/>
      <c r="Z366" s="404">
        <v>2</v>
      </c>
      <c r="AA366" s="398" t="e">
        <f>IF(Z366=0,0,IF(LEN(R366)=11,_xlfn.XLOOKUP(R366,'Dispensed Ink Rates'!C:C,'Dispensed Ink Rates'!CS:CS),VLOOKUP(R366,'Jan-2026 rates'!$E:$F,2,0)))</f>
        <v>#N/A</v>
      </c>
      <c r="AB366" s="404"/>
      <c r="AC366" s="398">
        <f>IF(AB366=0,0,IF(LEN(S366)=11,_xlfn.XLOOKUP(S366,'Dispensed Ink Rates'!C:C,'Dispensed Ink Rates'!CS:CS),VLOOKUP(S366,'Jan-2026 rates'!$E:$F,2,0)))</f>
        <v>0</v>
      </c>
      <c r="AD366" s="404"/>
      <c r="AE366" s="398">
        <f>IF(AD366=0,0,IF(LEN(T366)=11,_xlfn.XLOOKUP(T366,'Dispensed Ink Rates'!C:C,'Dispensed Ink Rates'!CS:CS),VLOOKUP(T366,'Jan-2026 rates'!$E:$F,2,0)))</f>
        <v>0</v>
      </c>
      <c r="AF366" s="404"/>
      <c r="AG366" s="398">
        <f>IF(AF366=0,0,IF(LEN(U366)=11,_xlfn.XLOOKUP(U366,'Dispensed Ink Rates'!C:C,'Dispensed Ink Rates'!CS:CS),VLOOKUP(U366,'Jan-2026 rates'!$E:$F,2,0)))</f>
        <v>0</v>
      </c>
      <c r="AH366" s="404"/>
      <c r="AI366" s="398">
        <f>IF(AH366=0,0,IF(LEN(V366)=11,_xlfn.XLOOKUP(V366,'Dispensed Ink Rates'!C:C,'Dispensed Ink Rates'!CS:CS),VLOOKUP(V366,'Jan-2026 rates'!$E:$F,2,0)))</f>
        <v>0</v>
      </c>
      <c r="AJ366" s="404"/>
      <c r="AK366" s="398">
        <f>IF(AJ366=0,0,IF(LEN(W366)=11,_xlfn.XLOOKUP(W366,'Dispensed Ink Rates'!C:C,'Dispensed Ink Rates'!CS:CS),VLOOKUP(W366,'Jan-2026 rates'!$E:$F,2,0)))</f>
        <v>0</v>
      </c>
      <c r="AL366" s="404"/>
      <c r="AM366" s="398">
        <f>IF(AL366=0,0,IF(LEN(X366)=11,_xlfn.XLOOKUP(X366,'Dispensed Ink Rates'!C:C,'Dispensed Ink Rates'!CS:CS),VLOOKUP(X366,'Jan-2026 rates'!$E:$F,2,0)))</f>
        <v>0</v>
      </c>
      <c r="AN366" s="404"/>
      <c r="AO366" s="398">
        <f>IF(AN366=0,0,IF(LEN(Y366)=11,_xlfn.XLOOKUP(Y366,'Dispensed Ink Rates'!C:C,'Dispensed Ink Rates'!CS:CS),VLOOKUP(Y366,'Jan-2026 rates'!$E:$F,2,0)))</f>
        <v>0</v>
      </c>
      <c r="AP366" s="409" t="s">
        <v>1443</v>
      </c>
      <c r="AQ366" s="409">
        <v>28</v>
      </c>
      <c r="AR366" s="410">
        <f t="shared" si="212"/>
        <v>0</v>
      </c>
      <c r="AS366" s="411">
        <f t="shared" si="213"/>
        <v>4.6521739130434767</v>
      </c>
      <c r="AT366" s="410">
        <f t="shared" si="214"/>
        <v>0</v>
      </c>
      <c r="AU366" s="405" t="s">
        <v>546</v>
      </c>
      <c r="AV366" s="409" t="s">
        <v>4692</v>
      </c>
      <c r="AW366" s="420" t="str">
        <f t="shared" si="348"/>
        <v>FLINTSL - REFLEX BLUE</v>
      </c>
      <c r="AX366" s="409">
        <v>28</v>
      </c>
      <c r="AY366" s="411">
        <f>IF(AX366=0,0,IF($LB366=70%,VLOOKUP($AW366,'Jan-2026 rates'!$L:$R,4,0),IF($LB366=65%,VLOOKUP($AW366,'Jan-2026 rates'!$L:$R,4,0),IF($LB366=40%,VLOOKUP($AW366,'Jan-2026 rates'!$L:$R,5,0),IF($LB366=30%,VLOOKUP($AW366,'Jan-2026 rates'!$L:$R,6,0),IF($LB366=100%,VLOOKUP($AW366,'Jan-2026 rates'!$L:$R,7,0),IF($LB366=60%,VLOOKUP($AW366,'Jan-2026 rates'!$L:$S,8,0),IF($LB366=80%,VLOOKUP($AW366,'Jan-2026 rates'!L:T,9,0),0))))))))</f>
        <v>0</v>
      </c>
      <c r="AZ366" s="412" t="s">
        <v>4761</v>
      </c>
      <c r="BA366" s="409">
        <v>10</v>
      </c>
      <c r="BB366" s="411">
        <f>IF(BA366=0,0,IF($LB366=70%,VLOOKUP($AW366,'Jan-2026 rates'!$L:$R,4,0),IF($LB366=65%,VLOOKUP($AW366,'Jan-2026 rates'!$L:$R,4,0),IF($LB366=40%,VLOOKUP($AW366,'Jan-2026 rates'!$L:$R,5,0),IF($LB366=30%,VLOOKUP($AW366,'Jan-2026 rates'!$L:$R,6,0),IF($LB366=100%,VLOOKUP($AW366,'Jan-2026 rates'!$L:$R,7,0),IF($LB366=60%,VLOOKUP($AW366,'Jan-2026 rates'!$L:$S,8,0),IF($LB366=80%,VLOOKUP($AW366,'Jan-2026 rates'!L:T,9,0),0))))))))</f>
        <v>0</v>
      </c>
      <c r="BC366" s="413">
        <v>26524000018</v>
      </c>
      <c r="BD366" s="412">
        <v>26527000015</v>
      </c>
      <c r="BE366" s="412"/>
      <c r="BF366" s="413"/>
      <c r="BG366" s="412"/>
      <c r="BH366" s="412"/>
      <c r="BI366" s="412"/>
      <c r="BJ366" s="412"/>
      <c r="BK366" s="409">
        <v>2</v>
      </c>
      <c r="BL366" s="398" t="e">
        <f>IF(BK366=0,0,IF(LEN(BC366)=11,_xlfn.XLOOKUP(BC366,'Dispensed Ink Rates'!C:C,'Dispensed Ink Rates'!CS:CS),VLOOKUP(BC366,'Jan-2026 rates'!$E:$F,2,0)))</f>
        <v>#N/A</v>
      </c>
      <c r="BM366" s="409">
        <v>0.3</v>
      </c>
      <c r="BN366" s="398" t="e">
        <f>IF(BM366=0,0,IF(LEN(BD366)=11,_xlfn.XLOOKUP(BD366,'Dispensed Ink Rates'!C:C,'Dispensed Ink Rates'!CS:CS),VLOOKUP(BD366,'Jan-2026 rates'!$E:$F,2,0)))</f>
        <v>#N/A</v>
      </c>
      <c r="BO366" s="409"/>
      <c r="BP366" s="398">
        <f>IF(BO366=0,0,IF(LEN(BE366)=11,_xlfn.XLOOKUP(BE366,'Dispensed Ink Rates'!C:C,'Dispensed Ink Rates'!CS:CS),VLOOKUP(BE366,'Jan-2026 rates'!$E:$F,2,0)))</f>
        <v>0</v>
      </c>
      <c r="BQ366" s="409"/>
      <c r="BR366" s="398">
        <f>IF(BQ366=0,0,IF(LEN(BF366)=11,_xlfn.XLOOKUP(BF366,'Dispensed Ink Rates'!C:C,'Dispensed Ink Rates'!CS:CS),VLOOKUP(BF366,'Jan-2026 rates'!$E:$F,2,0)))</f>
        <v>0</v>
      </c>
      <c r="BS366" s="409"/>
      <c r="BT366" s="398">
        <f>IF(BS366=0,0,IF(LEN(BG366)=11,_xlfn.XLOOKUP(BG366,'Dispensed Ink Rates'!C:C,'Dispensed Ink Rates'!CS:CS),VLOOKUP(BG366,'Jan-2026 rates'!$E:$F,2,0)))</f>
        <v>0</v>
      </c>
      <c r="BU366" s="409"/>
      <c r="BV366" s="398">
        <f>IF(BU366=0,0,IF(LEN(BH366)=11,_xlfn.XLOOKUP(BH366,'Dispensed Ink Rates'!C:C,'Dispensed Ink Rates'!CS:CS),VLOOKUP(BH366,'Jan-2026 rates'!$E:$F,2,0)))</f>
        <v>0</v>
      </c>
      <c r="BW366" s="409"/>
      <c r="BX366" s="398">
        <f>IF(BW366=0,0,IF(LEN(BI366)=11,_xlfn.XLOOKUP(BI366,'Dispensed Ink Rates'!C:C,'Dispensed Ink Rates'!CS:CS),VLOOKUP(BI366,'Jan-2026 rates'!$E:$F,2,0)))</f>
        <v>0</v>
      </c>
      <c r="BY366" s="409"/>
      <c r="BZ366" s="398">
        <f>IF(BY366=0,0,IF(LEN(BJ366)=11,_xlfn.XLOOKUP(BJ366,'Dispensed Ink Rates'!C:C,'Dispensed Ink Rates'!CS:CS),VLOOKUP(BJ366,'Jan-2026 rates'!$E:$F,2,0)))</f>
        <v>0</v>
      </c>
      <c r="CA366" s="409" t="s">
        <v>1443</v>
      </c>
      <c r="CB366" s="409">
        <v>30</v>
      </c>
      <c r="CC366" s="411">
        <f t="shared" si="215"/>
        <v>0</v>
      </c>
      <c r="CD366" s="411">
        <f t="shared" si="216"/>
        <v>15.604347826086951</v>
      </c>
      <c r="CE366" s="410">
        <f t="shared" si="217"/>
        <v>0</v>
      </c>
      <c r="CF366" s="404" t="s">
        <v>857</v>
      </c>
      <c r="CG366" s="409" t="s">
        <v>4803</v>
      </c>
      <c r="CH366" s="420" t="str">
        <f t="shared" si="185"/>
        <v>FLINTSL - RED</v>
      </c>
      <c r="CI366" s="409">
        <v>26</v>
      </c>
      <c r="CJ366" s="411">
        <f>IF(CI366=0,0,IF($LB366=70%,VLOOKUP($CH366,'Jan-2026 rates'!$L:$R,4,0),IF($LB366=65%,VLOOKUP($CH366,'Jan-2026 rates'!$L:$R,4,0),IF($LB366=40%,VLOOKUP($CH366,'Jan-2026 rates'!$L:$R,5,0),IF($LB366=30%,VLOOKUP($CH366,'Jan-2026 rates'!$L:$R,6,0),IF($LB366=100%,VLOOKUP($CH366,'Jan-2026 rates'!$L:$R,7,0),IF($LB366=60%,VLOOKUP($CH366,'Jan-2026 rates'!$L:$S,8,0),IF($LB366=80%,VLOOKUP($CH366,'Jan-2026 rates'!L:T,9,0),0))))))))</f>
        <v>0</v>
      </c>
      <c r="CK366" s="412" t="s">
        <v>4735</v>
      </c>
      <c r="CL366" s="409">
        <v>10</v>
      </c>
      <c r="CM366" s="411">
        <f>IF(CL366=0,0,IF($LB366=70%,VLOOKUP($CH366,'Jan-2026 rates'!$L:$R,4,0),IF($LB366=65%,VLOOKUP($CH366,'Jan-2026 rates'!$L:$R,4,0),IF($LB366=40%,VLOOKUP($CH366,'Jan-2026 rates'!$L:$R,5,0),IF($LB366=30%,VLOOKUP($CH366,'Jan-2026 rates'!$L:$R,6,0),IF($LB366=100%,VLOOKUP($CH366,'Jan-2026 rates'!$L:$R,7,0),IF($LB366=60%,VLOOKUP($CH366,'Jan-2026 rates'!$L:$S,8,0),IF($LB366=80%,VLOOKUP($CH366,'Jan-2026 rates'!L:T,9,0),0))))))))</f>
        <v>0</v>
      </c>
      <c r="CN366" s="426">
        <v>26527000015</v>
      </c>
      <c r="CO366" s="427">
        <v>26529000007</v>
      </c>
      <c r="CP366" s="426">
        <v>26527000005</v>
      </c>
      <c r="CQ366" s="426"/>
      <c r="CR366" s="428"/>
      <c r="CS366" s="428"/>
      <c r="CT366" s="428"/>
      <c r="CU366" s="428"/>
      <c r="CV366" s="409">
        <v>0.3</v>
      </c>
      <c r="CW366" s="398" t="e">
        <f>IF(CV366=0,0,IF(LEN(CN366)=11,_xlfn.XLOOKUP(CN366,'Dispensed Ink Rates'!C:C,'Dispensed Ink Rates'!CS:CS),VLOOKUP(CN366,'Jan-2026 rates'!$E:$F,2,0)))</f>
        <v>#N/A</v>
      </c>
      <c r="CX366" s="409">
        <v>5</v>
      </c>
      <c r="CY366" s="398" t="e">
        <f>IF(CX366=0,0,IF(LEN(CO366)=11,_xlfn.XLOOKUP(CO366,'Dispensed Ink Rates'!C:C,'Dispensed Ink Rates'!CS:CS),VLOOKUP(CO366,'Jan-2026 rates'!$E:$F,2,0)))</f>
        <v>#N/A</v>
      </c>
      <c r="CZ366" s="409">
        <v>2</v>
      </c>
      <c r="DA366" s="398" t="e">
        <f>IF(CZ366=0,0,IF(LEN(CP366)=11,_xlfn.XLOOKUP(CP366,'Dispensed Ink Rates'!C:C,'Dispensed Ink Rates'!CS:CS),VLOOKUP(CP366,'Jan-2026 rates'!$E:$F,2,0)))</f>
        <v>#N/A</v>
      </c>
      <c r="DB366" s="409"/>
      <c r="DC366" s="398">
        <f>IF(DB366=0,0,IF(LEN(CQ366)=11,_xlfn.XLOOKUP(CQ366,'Dispensed Ink Rates'!C:C,'Dispensed Ink Rates'!CS:CS),VLOOKUP(CQ366,'Jan-2026 rates'!$E:$F,2,0)))</f>
        <v>0</v>
      </c>
      <c r="DD366" s="409"/>
      <c r="DE366" s="398">
        <f>IF(DD366=0,0,IF(LEN(CR366)=11,_xlfn.XLOOKUP(CR366,'Dispensed Ink Rates'!C:C,'Dispensed Ink Rates'!CS:CS),VLOOKUP(CR366,'Jan-2026 rates'!$E:$F,2,0)))</f>
        <v>0</v>
      </c>
      <c r="DF366" s="409"/>
      <c r="DG366" s="398">
        <f>IF(DF366=0,0,IF(LEN(CS366)=11,_xlfn.XLOOKUP(CS366,'Dispensed Ink Rates'!C:C,'Dispensed Ink Rates'!CS:CS),VLOOKUP(CS366,'Jan-2026 rates'!$E:$F,2,0)))</f>
        <v>0</v>
      </c>
      <c r="DH366" s="409"/>
      <c r="DI366" s="398">
        <f>IF(DH366=0,0,IF(LEN(CT366)=11,_xlfn.XLOOKUP(CT366,'Dispensed Ink Rates'!C:C,'Dispensed Ink Rates'!CS:CS),VLOOKUP(CT366,'Jan-2026 rates'!$E:$F,2,0)))</f>
        <v>0</v>
      </c>
      <c r="DJ366" s="409"/>
      <c r="DK366" s="398">
        <f>IF(DJ366=0,0,IF(LEN(CU366)=11,_xlfn.XLOOKUP(CU366,'Dispensed Ink Rates'!C:C,'Dispensed Ink Rates'!CS:CS),VLOOKUP(CU366,'Jan-2026 rates'!$E:$F,2,0)))</f>
        <v>0</v>
      </c>
      <c r="DL366" s="409" t="s">
        <v>1443</v>
      </c>
      <c r="DM366" s="409">
        <v>22</v>
      </c>
      <c r="DN366" s="411">
        <f t="shared" si="218"/>
        <v>0</v>
      </c>
      <c r="DO366" s="411">
        <f t="shared" si="219"/>
        <v>29.256521739130434</v>
      </c>
      <c r="DP366" s="410">
        <f t="shared" si="220"/>
        <v>0</v>
      </c>
      <c r="DQ366" s="405" t="s">
        <v>857</v>
      </c>
      <c r="DR366" s="409" t="s">
        <v>4804</v>
      </c>
      <c r="DS366" s="420" t="str">
        <f t="shared" si="186"/>
        <v>FLINTSL - RED</v>
      </c>
      <c r="DT366" s="409">
        <v>30</v>
      </c>
      <c r="DU366" s="411">
        <f>IF(DT366=0,0,IF($LB366=70%,VLOOKUP($DS366,'Jan-2026 rates'!$L:$R,4,0),IF($LB366=65%,VLOOKUP($DS366,'Jan-2026 rates'!$L:$R,4,0),IF($LB366=40%,VLOOKUP($DS366,'Jan-2026 rates'!$L:$R,5,0),IF($LB366=30%,VLOOKUP($DS366,'Jan-2026 rates'!$L:$R,6,0),IF($LB366=100%,VLOOKUP($DS366,'Jan-2026 rates'!$L:$R,7,0),IF($LB366=60%,VLOOKUP($DS366,'Jan-2026 rates'!$L:$S,8,0),IF($LB366=80%,VLOOKUP($DS366,'Jan-2026 rates'!L:T,9,0),0))))))))</f>
        <v>0</v>
      </c>
      <c r="DV366" s="412"/>
      <c r="DW366" s="409"/>
      <c r="DX366" s="411">
        <f>IF(DW366=0,0,IF($LB366=70%,VLOOKUP($DS366,'Jan-2026 rates'!$L:$R,4,0),IF($LB366=65%,VLOOKUP($DS366,'Jan-2026 rates'!$L:$R,4,0),IF($LB366=40%,VLOOKUP($DS366,'Jan-2026 rates'!$L:$R,5,0),IF($LB366=30%,VLOOKUP($DS366,'Jan-2026 rates'!$L:$R,6,0),IF($LB366=100%,VLOOKUP($DS366,'Jan-2026 rates'!$L:$R,7,0),IF($LB366=60%,VLOOKUP($DS366,'Jan-2026 rates'!$L:$S,8,0),IF($LB366=80%,VLOOKUP($DS366,'Jan-2026 rates'!L:T,9,0),0))))))))</f>
        <v>0</v>
      </c>
      <c r="DY366" s="413">
        <v>26527000005</v>
      </c>
      <c r="DZ366" s="413">
        <v>26529000011</v>
      </c>
      <c r="EA366" s="412" t="s">
        <v>1266</v>
      </c>
      <c r="EB366" s="412"/>
      <c r="EC366" s="412"/>
      <c r="ED366" s="412"/>
      <c r="EE366" s="412"/>
      <c r="EF366" s="412"/>
      <c r="EG366" s="409">
        <f>2+1</f>
        <v>3</v>
      </c>
      <c r="EH366" s="398" t="e">
        <f>IF(EG366=0,0,IF(LEN(DY366)=11,_xlfn.XLOOKUP(DY366,'Dispensed Ink Rates'!C:C,'Dispensed Ink Rates'!CS:CS),VLOOKUP(DY366,'Jan-2026 rates'!$E:$F,2,0)))</f>
        <v>#N/A</v>
      </c>
      <c r="EI366" s="409">
        <v>2</v>
      </c>
      <c r="EJ366" s="398" t="e">
        <f>IF(EI366=0,0,IF(LEN(DZ366)=11,_xlfn.XLOOKUP(DZ366,'Dispensed Ink Rates'!C:C,'Dispensed Ink Rates'!CS:CS),VLOOKUP(DZ366,'Jan-2026 rates'!$E:$F,2,0)))</f>
        <v>#N/A</v>
      </c>
      <c r="EK366" s="409">
        <v>3</v>
      </c>
      <c r="EL366" s="398">
        <f>IF(EK366=0,0,IF(LEN(EA366)=11,_xlfn.XLOOKUP(EA366,'Dispensed Ink Rates'!C:C,'Dispensed Ink Rates'!CS:CS),VLOOKUP(EA366,'Jan-2026 rates'!$E:$F,2,0)))</f>
        <v>0</v>
      </c>
      <c r="EM366" s="409"/>
      <c r="EN366" s="398">
        <f>IF(EM366=0,0,IF(LEN(EB366)=11,_xlfn.XLOOKUP(EB366,'Dispensed Ink Rates'!C:C,'Dispensed Ink Rates'!CS:CS),VLOOKUP(EB366,'Jan-2026 rates'!$E:$F,2,0)))</f>
        <v>0</v>
      </c>
      <c r="EO366" s="409"/>
      <c r="EP366" s="398">
        <f>IF(EO366=0,0,IF(LEN(EC366)=11,_xlfn.XLOOKUP(EC366,'Dispensed Ink Rates'!C:C,'Dispensed Ink Rates'!CS:CS),VLOOKUP(EC366,'Jan-2026 rates'!$E:$F,2,0)))</f>
        <v>0</v>
      </c>
      <c r="EQ366" s="409"/>
      <c r="ER366" s="398">
        <f>IF(EQ366=0,0,IF(LEN(ED366)=11,_xlfn.XLOOKUP(ED366,'Dispensed Ink Rates'!C:C,'Dispensed Ink Rates'!CS:CS),VLOOKUP(ED366,'Jan-2026 rates'!$E:$F,2,0)))</f>
        <v>0</v>
      </c>
      <c r="ES366" s="409"/>
      <c r="ET366" s="398">
        <f>IF(ES366=0,0,IF(LEN(EE366)=11,_xlfn.XLOOKUP(EE366,'Dispensed Ink Rates'!C:C,'Dispensed Ink Rates'!CS:CS),VLOOKUP(EE366,'Jan-2026 rates'!$E:$F,2,0)))</f>
        <v>0</v>
      </c>
      <c r="EU366" s="409"/>
      <c r="EV366" s="398">
        <f>IF(EU366=0,0,IF(LEN(EF366)=11,_xlfn.XLOOKUP(EF366,'Dispensed Ink Rates'!C:C,'Dispensed Ink Rates'!CS:CS),VLOOKUP(EF366,'Jan-2026 rates'!$E:$F,2,0)))</f>
        <v>0</v>
      </c>
      <c r="EW366" s="409" t="s">
        <v>1443</v>
      </c>
      <c r="EX366" s="409">
        <v>20</v>
      </c>
      <c r="EY366" s="411">
        <f t="shared" si="221"/>
        <v>0</v>
      </c>
      <c r="EZ366" s="411">
        <f t="shared" si="222"/>
        <v>25.956521739130437</v>
      </c>
      <c r="FA366" s="410">
        <f t="shared" si="223"/>
        <v>0</v>
      </c>
      <c r="FB366" s="405" t="s">
        <v>855</v>
      </c>
      <c r="FC366" s="409" t="s">
        <v>4805</v>
      </c>
      <c r="FD366" s="420" t="str">
        <f t="shared" si="187"/>
        <v>FLINTSL - CYAN</v>
      </c>
      <c r="FE366" s="409">
        <v>30</v>
      </c>
      <c r="FF366" s="411">
        <f>IF(FE366=0,0,IF($LB366=70%,VLOOKUP($FD366,'Jan-2026 rates'!$L:$R,4,0),IF($LB366=65%,VLOOKUP($FD366,'Jan-2026 rates'!$L:$R,4,0),IF($LB366=40%,VLOOKUP($FD366,'Jan-2026 rates'!$L:$R,5,0),IF($LB366=30%,VLOOKUP($FD366,'Jan-2026 rates'!$L:$R,6,0),IF($LB366=100%,VLOOKUP($FD366,'Jan-2026 rates'!$L:$R,7,0),IF($LB366=60%,VLOOKUP($FD366,'Jan-2026 rates'!$L:$S,8,0),IF($LB366=80%,VLOOKUP($FD366,'Jan-2026 rates'!L:T,9,0),0))))))))</f>
        <v>0</v>
      </c>
      <c r="FG366" s="412"/>
      <c r="FH366" s="409"/>
      <c r="FI366" s="411">
        <f>IF(FH366=0,0,IF($LB366=70%,VLOOKUP($FD366,'Jan-2026 rates'!$L:$R,4,0),IF($LB366=65%,VLOOKUP($FD366,'Jan-2026 rates'!$L:$R,4,0),IF($LB366=40%,VLOOKUP($FD366,'Jan-2026 rates'!$L:$R,5,0),IF($LB366=30%,VLOOKUP($FD366,'Jan-2026 rates'!$L:$R,6,0),IF($LB366=100%,VLOOKUP($FD366,'Jan-2026 rates'!$L:$R,7,0),IF($LB366=60%,VLOOKUP($FD366,'Jan-2026 rates'!$L:$S,8,0),IF($LB366=80%,VLOOKUP($FD366,'Jan-2026 rates'!L:T,9,0),0))))))))</f>
        <v>0</v>
      </c>
      <c r="FJ366" s="413" t="s">
        <v>1266</v>
      </c>
      <c r="FK366" s="413"/>
      <c r="FL366" s="413"/>
      <c r="FM366" s="412"/>
      <c r="FN366" s="412"/>
      <c r="FO366" s="412"/>
      <c r="FP366" s="412"/>
      <c r="FQ366" s="412"/>
      <c r="FR366" s="409">
        <v>2</v>
      </c>
      <c r="FS366" s="398">
        <f>IF(FR366=0,0,IF(LEN(FJ366)=11,_xlfn.XLOOKUP(FJ366,'Dispensed Ink Rates'!C:C,'Dispensed Ink Rates'!CS:CS),VLOOKUP(FJ366,'Jan-2026 rates'!$E:$F,2,0)))</f>
        <v>0</v>
      </c>
      <c r="FT366" s="409"/>
      <c r="FU366" s="398">
        <f>IF(FT366=0,0,IF(LEN(FK366)=11,_xlfn.XLOOKUP(FK366,'Dispensed Ink Rates'!C:C,'Dispensed Ink Rates'!CS:CS),VLOOKUP(FK366,'Jan-2026 rates'!$E:$F,2,0)))</f>
        <v>0</v>
      </c>
      <c r="FV366" s="409"/>
      <c r="FW366" s="398">
        <f>IF(FV366=0,0,IF(LEN(FL366)=11,_xlfn.XLOOKUP(FL366,'Dispensed Ink Rates'!C:C,'Dispensed Ink Rates'!CS:CS),VLOOKUP(FL366,'Jan-2026 rates'!$E:$F,2,0)))</f>
        <v>0</v>
      </c>
      <c r="FX366" s="409"/>
      <c r="FY366" s="398">
        <f>IF(FX366=0,0,IF(LEN(FM366)=11,_xlfn.XLOOKUP(FM366,'Dispensed Ink Rates'!C:C,'Dispensed Ink Rates'!CS:CS),VLOOKUP(FM366,'Jan-2026 rates'!$E:$F,2,0)))</f>
        <v>0</v>
      </c>
      <c r="FZ366" s="409"/>
      <c r="GA366" s="398">
        <f>IF(FZ366=0,0,IF(LEN(FN366)=11,_xlfn.XLOOKUP(FN366,'Dispensed Ink Rates'!C:C,'Dispensed Ink Rates'!CS:CS),VLOOKUP(FN366,'Jan-2026 rates'!$E:$F,2,0)))</f>
        <v>0</v>
      </c>
      <c r="GB366" s="409"/>
      <c r="GC366" s="398">
        <f>IF(GB366=0,0,IF(LEN(FO366)=11,_xlfn.XLOOKUP(FO366,'Dispensed Ink Rates'!C:C,'Dispensed Ink Rates'!CS:CS),VLOOKUP(FO366,'Jan-2026 rates'!$E:$F,2,0)))</f>
        <v>0</v>
      </c>
      <c r="GD366" s="409"/>
      <c r="GE366" s="398">
        <f>IF(GD366=0,0,IF(LEN(FP366)=11,_xlfn.XLOOKUP(FP366,'Dispensed Ink Rates'!C:C,'Dispensed Ink Rates'!CS:CS),VLOOKUP(FP366,'Jan-2026 rates'!$E:$F,2,0)))</f>
        <v>0</v>
      </c>
      <c r="GF366" s="409"/>
      <c r="GG366" s="398">
        <f>IF(GF366=0,0,IF(LEN(FQ366)=11,_xlfn.XLOOKUP(FQ366,'Dispensed Ink Rates'!C:C,'Dispensed Ink Rates'!CS:CS),VLOOKUP(FQ366,'Jan-2026 rates'!$E:$F,2,0)))</f>
        <v>0</v>
      </c>
      <c r="GH366" s="409" t="s">
        <v>1443</v>
      </c>
      <c r="GI366" s="409">
        <v>30</v>
      </c>
      <c r="GJ366" s="411">
        <f t="shared" si="224"/>
        <v>0</v>
      </c>
      <c r="GK366" s="411">
        <f t="shared" si="225"/>
        <v>4.6521739130434767</v>
      </c>
      <c r="GL366" s="410">
        <f t="shared" si="226"/>
        <v>0</v>
      </c>
      <c r="GM366" s="405" t="s">
        <v>544</v>
      </c>
      <c r="GN366" s="409" t="s">
        <v>4806</v>
      </c>
      <c r="GO366" s="420" t="str">
        <f t="shared" si="188"/>
        <v>FLINTSL - MAGENTA</v>
      </c>
      <c r="GP366" s="409">
        <v>30</v>
      </c>
      <c r="GQ366" s="411">
        <f>IF(GP366=0,0,IF($LB366=70%,VLOOKUP($GO366,'Jan-2026 rates'!$L:$R,4,0),IF($LB366=65%,VLOOKUP($GO366,'Jan-2026 rates'!$L:$R,4,0),IF($LB366=40%,VLOOKUP($GO366,'Jan-2026 rates'!$L:$R,5,0),IF($LB366=30%,VLOOKUP($GO366,'Jan-2026 rates'!$L:$R,6,0),IF($LB366=100%,VLOOKUP($GO366,'Jan-2026 rates'!$L:$R,7,0),IF($LB366=60%,VLOOKUP($GO366,'Jan-2026 rates'!$L:$S,8,0),IF($LB366=80%,VLOOKUP($GO366,'Jan-2026 rates'!L:T,9,0),0))))))))</f>
        <v>0</v>
      </c>
      <c r="GR366" s="412"/>
      <c r="GS366" s="409"/>
      <c r="GT366" s="411">
        <f>IF(GS366=0,0,IF($LB366=70%,VLOOKUP($GO366,'Jan-2026 rates'!$L:$R,4,0),IF($LB366=65%,VLOOKUP($GO366,'Jan-2026 rates'!$L:$R,4,0),IF($LB366=40%,VLOOKUP($GO366,'Jan-2026 rates'!$L:$R,5,0),IF($LB366=30%,VLOOKUP($GO366,'Jan-2026 rates'!$L:$R,6,0),IF($LB366=100%,VLOOKUP($GO366,'Jan-2026 rates'!$L:$R,7,0),IF($LB366=60%,VLOOKUP($GO366,'Jan-2026 rates'!$L:$S,8,0),IF($LB366=80%,VLOOKUP($GO366,'Jan-2026 rates'!L:T,9,0),0))))))))</f>
        <v>0</v>
      </c>
      <c r="GU366" s="413">
        <v>26528000020</v>
      </c>
      <c r="GV366" s="413"/>
      <c r="GW366" s="412"/>
      <c r="GX366" s="412"/>
      <c r="GY366" s="412"/>
      <c r="GZ366" s="412"/>
      <c r="HA366" s="412"/>
      <c r="HB366" s="412"/>
      <c r="HC366" s="409">
        <v>2</v>
      </c>
      <c r="HD366" s="398" t="e">
        <f>IF(HC366=0,0,IF(LEN(GU366)=11,_xlfn.XLOOKUP(GU366,'Dispensed Ink Rates'!C:C,'Dispensed Ink Rates'!CS:CS),VLOOKUP(GU366,'Jan-2026 rates'!$E:$F,2,0)))</f>
        <v>#N/A</v>
      </c>
      <c r="HE366" s="409"/>
      <c r="HF366" s="398">
        <f>IF(HE366=0,0,IF(LEN(GV366)=11,_xlfn.XLOOKUP(GV366,'Dispensed Ink Rates'!C:C,'Dispensed Ink Rates'!CS:CS),VLOOKUP(GV366,'Jan-2026 rates'!$E:$F,2,0)))</f>
        <v>0</v>
      </c>
      <c r="HG366" s="409"/>
      <c r="HH366" s="398">
        <f>IF(HG366=0,0,IF(LEN(GW366)=11,_xlfn.XLOOKUP(GW366,'Dispensed Ink Rates'!C:C,'Dispensed Ink Rates'!CS:CS),VLOOKUP(GW366,'Jan-2026 rates'!$E:$F,2,0)))</f>
        <v>0</v>
      </c>
      <c r="HI366" s="409"/>
      <c r="HJ366" s="398">
        <f>IF(HI366=0,0,IF(LEN(GX366)=11,_xlfn.XLOOKUP(GX366,'Dispensed Ink Rates'!C:C,'Dispensed Ink Rates'!CS:CS),VLOOKUP(GX366,'Jan-2026 rates'!$E:$F,2,0)))</f>
        <v>0</v>
      </c>
      <c r="HK366" s="409"/>
      <c r="HL366" s="398">
        <f>IF(HK366=0,0,IF(LEN(GY366)=11,_xlfn.XLOOKUP(GY366,'Dispensed Ink Rates'!C:C,'Dispensed Ink Rates'!CS:CS),VLOOKUP(GY366,'Jan-2026 rates'!$E:$F,2,0)))</f>
        <v>0</v>
      </c>
      <c r="HM366" s="409"/>
      <c r="HN366" s="398">
        <f>IF(HM366=0,0,IF(LEN(GZ366)=11,_xlfn.XLOOKUP(GZ366,'Dispensed Ink Rates'!C:C,'Dispensed Ink Rates'!CS:CS),VLOOKUP(GZ366,'Jan-2026 rates'!$E:$F,2,0)))</f>
        <v>0</v>
      </c>
      <c r="HO366" s="409"/>
      <c r="HP366" s="398">
        <f>IF(HO366=0,0,IF(LEN(HA366)=11,_xlfn.XLOOKUP(HA366,'Dispensed Ink Rates'!C:C,'Dispensed Ink Rates'!CS:CS),VLOOKUP(HA366,'Jan-2026 rates'!$E:$F,2,0)))</f>
        <v>0</v>
      </c>
      <c r="HQ366" s="409"/>
      <c r="HR366" s="398">
        <f>IF(HQ366=0,0,IF(LEN(HB366)=11,_xlfn.XLOOKUP(HB366,'Dispensed Ink Rates'!C:C,'Dispensed Ink Rates'!CS:CS),VLOOKUP(HB366,'Jan-2026 rates'!$E:$F,2,0)))</f>
        <v>0</v>
      </c>
      <c r="HS366" s="409" t="s">
        <v>1443</v>
      </c>
      <c r="HT366" s="409">
        <v>30</v>
      </c>
      <c r="HU366" s="411">
        <f t="shared" si="227"/>
        <v>0</v>
      </c>
      <c r="HV366" s="411">
        <f t="shared" si="228"/>
        <v>4.6521739130434767</v>
      </c>
      <c r="HW366" s="414">
        <f t="shared" si="229"/>
        <v>0</v>
      </c>
      <c r="HX366" s="405" t="s">
        <v>545</v>
      </c>
      <c r="HY366" s="409" t="s">
        <v>4807</v>
      </c>
      <c r="HZ366" s="420" t="str">
        <f t="shared" si="189"/>
        <v>FLINTSL - YELLOW</v>
      </c>
      <c r="IA366" s="409">
        <v>28</v>
      </c>
      <c r="IB366" s="411">
        <f>IF(IA366=0,0,IF($LB366=70%,VLOOKUP($HZ366,'Jan-2026 rates'!$L:$R,4,0),IF($LB366=65%,VLOOKUP($HZ366,'Jan-2026 rates'!$L:$R,4,0),IF($LB366=40%,VLOOKUP($HZ366,'Jan-2026 rates'!$L:$R,5,0),IF($LB366=30%,VLOOKUP($HZ366,'Jan-2026 rates'!$L:$R,6,0),IF($LB366=100%,VLOOKUP($HZ366,'Jan-2026 rates'!$L:$R,7,0),IF($LB366=60%,VLOOKUP($HZ366,'Jan-2026 rates'!$L:$S,8,0),IF($LB366=80%,VLOOKUP($HZ366,'Jan-2026 rates'!L:T,9,0),0))))))))</f>
        <v>0</v>
      </c>
      <c r="IC366" s="412"/>
      <c r="ID366" s="409"/>
      <c r="IE366" s="411">
        <f>IF(ID366=0,0,IF($LB366=70%,VLOOKUP($HZ366,'Jan-2026 rates'!$L:$R,4,0),IF($LB366=65%,VLOOKUP($HZ366,'Jan-2026 rates'!$L:$R,4,0),IF($LB366=40%,VLOOKUP($HZ366,'Jan-2026 rates'!$L:$R,5,0),IF($LB366=30%,VLOOKUP($HZ366,'Jan-2026 rates'!$L:$R,6,0),IF($LB366=100%,VLOOKUP($HZ366,'Jan-2026 rates'!$L:$R,7,0),IF($LB366=60%,VLOOKUP($HZ366,'Jan-2026 rates'!$L:$S,8,0),IF($LB366=80%,VLOOKUP($HZ366,'Jan-2026 rates'!L:T,9,0),0))))))))</f>
        <v>0</v>
      </c>
      <c r="IF366" s="412">
        <v>26527000025</v>
      </c>
      <c r="IG366" s="413"/>
      <c r="IH366" s="412"/>
      <c r="II366" s="412"/>
      <c r="IJ366" s="412"/>
      <c r="IK366" s="412"/>
      <c r="IL366" s="412"/>
      <c r="IM366" s="412"/>
      <c r="IN366" s="409">
        <v>3</v>
      </c>
      <c r="IO366" s="398" t="e">
        <f>IF(IN366=0,0,IF(LEN(IF366)=11,_xlfn.XLOOKUP(IF366,'Dispensed Ink Rates'!C:C,'Dispensed Ink Rates'!CS:CS),VLOOKUP(IF366,'Jan-2026 rates'!$E:$F,2,0)))</f>
        <v>#N/A</v>
      </c>
      <c r="IP366" s="409"/>
      <c r="IQ366" s="398">
        <f>IF(IP366=0,0,IF(LEN(IG366)=11,_xlfn.XLOOKUP(IG366,'Dispensed Ink Rates'!C:C,'Dispensed Ink Rates'!CS:CS),VLOOKUP(IG366,'Jan-2026 rates'!$E:$F,2,0)))</f>
        <v>0</v>
      </c>
      <c r="IR366" s="409"/>
      <c r="IS366" s="398">
        <f>IF(IR366=0,0,IF(LEN(IH366)=11,_xlfn.XLOOKUP(IH366,'Dispensed Ink Rates'!C:C,'Dispensed Ink Rates'!CS:CS),VLOOKUP(IH366,'Jan-2026 rates'!$E:$F,2,0)))</f>
        <v>0</v>
      </c>
      <c r="IT366" s="409"/>
      <c r="IU366" s="398">
        <f>IF(IT366=0,0,IF(LEN(II366)=11,_xlfn.XLOOKUP(II366,'Dispensed Ink Rates'!C:C,'Dispensed Ink Rates'!CS:CS),VLOOKUP(II366,'Jan-2026 rates'!$E:$F,2,0)))</f>
        <v>0</v>
      </c>
      <c r="IV366" s="409"/>
      <c r="IW366" s="398">
        <f>IF(IV366=0,0,IF(LEN(IJ366)=11,_xlfn.XLOOKUP(IJ366,'Dispensed Ink Rates'!C:C,'Dispensed Ink Rates'!CS:CS),VLOOKUP(IJ366,'Jan-2026 rates'!$E:$F,2,0)))</f>
        <v>0</v>
      </c>
      <c r="IX366" s="409"/>
      <c r="IY366" s="398">
        <f>IF(IX366=0,0,IF(LEN(IK366)=11,_xlfn.XLOOKUP(IK366,'Dispensed Ink Rates'!C:C,'Dispensed Ink Rates'!CS:CS),VLOOKUP(IK366,'Jan-2026 rates'!$E:$F,2,0)))</f>
        <v>0</v>
      </c>
      <c r="IZ366" s="409"/>
      <c r="JA366" s="398">
        <f>IF(IZ366=0,0,IF(LEN(IL366)=11,_xlfn.XLOOKUP(IL366,'Dispensed Ink Rates'!C:C,'Dispensed Ink Rates'!CS:CS),VLOOKUP(IL366,'Jan-2026 rates'!$E:$F,2,0)))</f>
        <v>0</v>
      </c>
      <c r="JB366" s="409"/>
      <c r="JC366" s="398">
        <f>IF(JB366=0,0,IF(LEN(IM366)=11,_xlfn.XLOOKUP(IM366,'Dispensed Ink Rates'!C:C,'Dispensed Ink Rates'!CS:CS),VLOOKUP(IM366,'Jan-2026 rates'!$E:$F,2,0)))</f>
        <v>0</v>
      </c>
      <c r="JD366" s="409" t="s">
        <v>1443</v>
      </c>
      <c r="JE366" s="409">
        <v>28</v>
      </c>
      <c r="JF366" s="411">
        <f t="shared" si="230"/>
        <v>0</v>
      </c>
      <c r="JG366" s="411">
        <f t="shared" si="231"/>
        <v>8.3043478260869534</v>
      </c>
      <c r="JH366" s="410">
        <f t="shared" si="232"/>
        <v>0</v>
      </c>
      <c r="JI366" s="405" t="s">
        <v>856</v>
      </c>
      <c r="JJ366" s="409" t="s">
        <v>4808</v>
      </c>
      <c r="JK366" s="420" t="str">
        <f t="shared" si="190"/>
        <v>FLINTSL - WHITE</v>
      </c>
      <c r="JL366" s="409">
        <v>30</v>
      </c>
      <c r="JM366" s="411">
        <f>IF(JL366=0,0,IF($LB366=70%,VLOOKUP($JK366,'Jan-2026 rates'!$L:$R,4,0),IF($LB366=65%,VLOOKUP($JK366,'Jan-2026 rates'!$L:$R,4,0),IF($LB366=40%,VLOOKUP($JK366,'Jan-2026 rates'!$L:$R,5,0),IF($LB366=30%,VLOOKUP($JK366,'Jan-2026 rates'!$L:$R,6,0),IF($LB366=100%,VLOOKUP($JK366,'Jan-2026 rates'!$L:$R,7,0),IF($LB366=60%,VLOOKUP($JK366,'Jan-2026 rates'!$L:$S,8,0),IF($LB366=80%,VLOOKUP($JK366,'Jan-2026 rates'!L:T,9,0),0))))))))</f>
        <v>0</v>
      </c>
      <c r="JN366" s="412"/>
      <c r="JO366" s="409"/>
      <c r="JP366" s="411">
        <f>IF(JO366=0,0,IF($LB366=70%,VLOOKUP($JK366,'Jan-2026 rates'!$L:$R,4,0),IF($LB366=65%,VLOOKUP($JK366,'Jan-2026 rates'!$L:$R,4,0),IF($LB366=40%,VLOOKUP($JK366,'Jan-2026 rates'!$L:$R,5,0),IF($LB366=30%,VLOOKUP($JK366,'Jan-2026 rates'!$L:$R,6,0),IF($LB366=100%,VLOOKUP($JK366,'Jan-2026 rates'!$L:$R,7,0),IF($LB366=60%,VLOOKUP($JK366,'Jan-2026 rates'!$L:$S,8,0),IF($LB366=80%,VLOOKUP($JK366,'Jan-2026 rates'!L:T,9,0),0))))))))</f>
        <v>0</v>
      </c>
      <c r="JQ366" s="413" t="s">
        <v>484</v>
      </c>
      <c r="JR366" s="412"/>
      <c r="JS366" s="413"/>
      <c r="JT366" s="413"/>
      <c r="JU366" s="412"/>
      <c r="JV366" s="412"/>
      <c r="JW366" s="412"/>
      <c r="JX366" s="412"/>
      <c r="JY366" s="409">
        <v>20</v>
      </c>
      <c r="JZ366" s="398">
        <f>IF(JY366=0,0,IF(LEN(JQ366)=11,_xlfn.XLOOKUP(JQ366,'Dispensed Ink Rates'!C:C,'Dispensed Ink Rates'!CS:CS),VLOOKUP(JQ366,'Jan-2026 rates'!$E:$F,2,0)))</f>
        <v>0</v>
      </c>
      <c r="KA366" s="409"/>
      <c r="KB366" s="398">
        <f>IF(KA366=0,0,IF(LEN(JR366)=11,_xlfn.XLOOKUP(JR366,'Dispensed Ink Rates'!C:C,'Dispensed Ink Rates'!CS:CS),VLOOKUP(JR366,'Jan-2026 rates'!$E:$F,2,0)))</f>
        <v>0</v>
      </c>
      <c r="KC366" s="409"/>
      <c r="KD366" s="398">
        <f>IF(KC366=0,0,IF(LEN(JS366)=11,_xlfn.XLOOKUP(JS366,'Dispensed Ink Rates'!C:C,'Dispensed Ink Rates'!CS:CS),VLOOKUP(JS366,'Jan-2026 rates'!$E:$F,2,0)))</f>
        <v>0</v>
      </c>
      <c r="KE366" s="409"/>
      <c r="KF366" s="398">
        <f>IF(KE366=0,0,IF(LEN(JT366)=11,_xlfn.XLOOKUP(JT366,'Dispensed Ink Rates'!C:C,'Dispensed Ink Rates'!CS:CS),VLOOKUP(JT366,'Jan-2026 rates'!$E:$F,2,0)))</f>
        <v>0</v>
      </c>
      <c r="KG366" s="409"/>
      <c r="KH366" s="398">
        <f>IF(KG366=0,0,IF(LEN(JU366)=11,_xlfn.XLOOKUP(JU366,'Dispensed Ink Rates'!C:C,'Dispensed Ink Rates'!CS:CS),VLOOKUP(JU366,'Jan-2026 rates'!$E:$F,2,0)))</f>
        <v>0</v>
      </c>
      <c r="KI366" s="409"/>
      <c r="KJ366" s="398">
        <f>IF(KI366=0,0,IF(LEN(JV366)=11,_xlfn.XLOOKUP(JV366,'Dispensed Ink Rates'!C:C,'Dispensed Ink Rates'!CS:CS),VLOOKUP(JV366,'Jan-2026 rates'!$E:$F,2,0)))</f>
        <v>0</v>
      </c>
      <c r="KK366" s="409"/>
      <c r="KL366" s="398">
        <f>IF(KK366=0,0,IF(LEN(JW366)=11,_xlfn.XLOOKUP(JW366,'Dispensed Ink Rates'!C:C,'Dispensed Ink Rates'!CS:CS),VLOOKUP(JW366,'Jan-2026 rates'!$E:$F,2,0)))</f>
        <v>0</v>
      </c>
      <c r="KM366" s="428"/>
      <c r="KN366" s="398">
        <f>IF(KM366=0,0,IF(LEN(JX366)=11,_xlfn.XLOOKUP(JX366,'Dispensed Ink Rates'!C:C,'Dispensed Ink Rates'!CS:CS),VLOOKUP(JX366,'Jan-2026 rates'!$E:$F,2,0)))</f>
        <v>0</v>
      </c>
      <c r="KO366" s="409" t="s">
        <v>1443</v>
      </c>
      <c r="KP366" s="409">
        <v>30</v>
      </c>
      <c r="KQ366" s="411">
        <f t="shared" si="233"/>
        <v>0</v>
      </c>
      <c r="KR366" s="411">
        <f t="shared" si="234"/>
        <v>46.521739130434781</v>
      </c>
      <c r="KS366" s="410">
        <f t="shared" si="235"/>
        <v>0</v>
      </c>
      <c r="KT366" s="409">
        <v>1</v>
      </c>
      <c r="KU366" s="409">
        <v>2</v>
      </c>
      <c r="KV366" s="409">
        <v>3</v>
      </c>
      <c r="KW366" s="409">
        <v>3</v>
      </c>
      <c r="KX366" s="409">
        <v>1</v>
      </c>
      <c r="KY366" s="409">
        <v>1</v>
      </c>
      <c r="KZ366" s="409">
        <v>2</v>
      </c>
      <c r="LA366" s="409">
        <v>10</v>
      </c>
      <c r="LB366" s="415">
        <v>0.8</v>
      </c>
      <c r="LC366" s="415">
        <v>0.2</v>
      </c>
      <c r="LD366" s="424"/>
      <c r="LE366" s="415"/>
      <c r="LF366" s="415"/>
      <c r="LG366" s="409">
        <v>0</v>
      </c>
      <c r="LH366" s="409">
        <f>10+11+32+8</f>
        <v>61</v>
      </c>
      <c r="LI366" s="409">
        <v>0</v>
      </c>
      <c r="LJ366" s="409">
        <v>0</v>
      </c>
      <c r="LK366" s="416">
        <f t="shared" si="191"/>
        <v>61</v>
      </c>
      <c r="LL366" s="416">
        <f t="shared" si="349"/>
        <v>61</v>
      </c>
      <c r="LM366" s="417">
        <f t="shared" si="193"/>
        <v>48.800000000000004</v>
      </c>
      <c r="LN366" s="417">
        <f>VLOOKUP($LM$8,'Jan-2026 rates'!$H:$I,2,0)</f>
        <v>0</v>
      </c>
      <c r="LO366" s="417">
        <f t="shared" si="194"/>
        <v>12.200000000000001</v>
      </c>
      <c r="LP366" s="417">
        <f>VLOOKUP($LO$8,'Jan-2026 rates'!$H:$I,2,0)</f>
        <v>0</v>
      </c>
      <c r="LQ366" s="417">
        <f t="shared" si="195"/>
        <v>0</v>
      </c>
      <c r="LR366" s="417">
        <f>VLOOKUP($LQ$8,'Jan-2026 rates'!$H:$I,2,0)</f>
        <v>0</v>
      </c>
      <c r="LS366" s="417">
        <f t="shared" si="196"/>
        <v>0</v>
      </c>
      <c r="LT366" s="417">
        <f>VLOOKUP($LS$8,'Jan-2026 rates'!$H:$I,2,0)</f>
        <v>0</v>
      </c>
      <c r="LU366" s="417">
        <f t="shared" si="197"/>
        <v>0</v>
      </c>
      <c r="LV366" s="417">
        <f>VLOOKUP($LU$8,'Jan-2026 rates'!$H:$I,2,0)</f>
        <v>0</v>
      </c>
      <c r="LW366" s="417">
        <f t="shared" si="198"/>
        <v>0</v>
      </c>
      <c r="LX366" s="417">
        <f t="shared" si="199"/>
        <v>0</v>
      </c>
      <c r="LY366" s="418">
        <f t="shared" si="200"/>
        <v>0</v>
      </c>
      <c r="LZ366" s="417"/>
      <c r="MA366" s="435">
        <f t="shared" si="201"/>
        <v>46.6</v>
      </c>
      <c r="MB366" s="282">
        <f t="shared" si="202"/>
        <v>139.59999999999997</v>
      </c>
      <c r="MC366" s="283">
        <v>208</v>
      </c>
      <c r="MD366" s="284" t="str">
        <f t="shared" si="203"/>
        <v>FLINTSLFLINTSLFLINTSLFLINTSLFLINTSLFLINTSLFLINTSLFLINTSL</v>
      </c>
      <c r="ME366" s="293" t="str">
        <f t="shared" si="204"/>
        <v>+</v>
      </c>
      <c r="MF366" s="293" t="str">
        <f t="shared" si="205"/>
        <v>+</v>
      </c>
      <c r="MG366" s="293" t="str">
        <f t="shared" si="206"/>
        <v>+</v>
      </c>
      <c r="MH366" s="293" t="str">
        <f t="shared" si="207"/>
        <v>+</v>
      </c>
      <c r="MI366" s="293" t="str">
        <f t="shared" si="208"/>
        <v>+</v>
      </c>
      <c r="MJ366" s="293" t="str">
        <f t="shared" si="209"/>
        <v>+</v>
      </c>
      <c r="MK366" s="293" t="str">
        <f t="shared" si="210"/>
        <v>+</v>
      </c>
      <c r="ML366" s="293" t="str">
        <f t="shared" si="211"/>
        <v>+</v>
      </c>
      <c r="MM366" s="3" t="b">
        <f t="array" ref="MM366">OR(ME366:ML366="-")</f>
        <v>0</v>
      </c>
      <c r="MO366" s="401">
        <f t="shared" si="350"/>
        <v>22.810457516339863</v>
      </c>
      <c r="MP366" s="286"/>
      <c r="MR366" s="402">
        <f t="shared" si="351"/>
        <v>1.9388888888888883E-2</v>
      </c>
      <c r="MS366" s="400">
        <f t="shared" si="352"/>
        <v>0</v>
      </c>
      <c r="MT366" s="285"/>
      <c r="NH366" s="361"/>
      <c r="NJ366" s="282"/>
    </row>
    <row r="367" spans="1:374" ht="16.5">
      <c r="A367" s="403">
        <v>46050</v>
      </c>
      <c r="B367" s="404" t="s">
        <v>1015</v>
      </c>
      <c r="C367" s="405" t="s">
        <v>4809</v>
      </c>
      <c r="D367" s="404">
        <v>209</v>
      </c>
      <c r="E367" s="404">
        <v>498</v>
      </c>
      <c r="F367" s="407">
        <v>22700</v>
      </c>
      <c r="G367" s="407" t="s">
        <v>1019</v>
      </c>
      <c r="H367" s="408" t="s">
        <v>1017</v>
      </c>
      <c r="I367" s="409">
        <v>2</v>
      </c>
      <c r="J367" s="405" t="s">
        <v>543</v>
      </c>
      <c r="K367" s="404" t="s">
        <v>4223</v>
      </c>
      <c r="L367" s="419" t="str">
        <f t="shared" si="184"/>
        <v>FLINTSL - BLACK</v>
      </c>
      <c r="M367" s="404">
        <v>28</v>
      </c>
      <c r="N367" s="410">
        <f>IF(M367=0,0,IF($LB367=70%,VLOOKUP($L367,'Jan-2026 rates'!$L:$R,4,0),IF($LB367=65%,VLOOKUP($L367,'Jan-2026 rates'!$L:$R,4,0),IF($LB367=40%,VLOOKUP($L367,'Jan-2026 rates'!$L:$R,5,0),IF($LB367=30%,VLOOKUP($L367,'Jan-2026 rates'!$L:$R,6,0),IF($LB367=100%,VLOOKUP($L367,'Jan-2026 rates'!$L:$R,7,0),IF($LB367=60%,VLOOKUP($L367,'Jan-2026 rates'!$L:$S,8,0),IF($LB367=80%,VLOOKUP($L367,'Jan-2026 rates'!L:T,9,0),0))))))))</f>
        <v>0</v>
      </c>
      <c r="O367" s="406"/>
      <c r="P367" s="404"/>
      <c r="Q367" s="410">
        <f>IF(P367=0,0,IF($LB367=70%,VLOOKUP($L367,'Jan-2026 rates'!$L:$R,4,0),IF($LB367=65%,VLOOKUP($L367,'Jan-2026 rates'!$L:$R,4,0),IF($LB367=40%,VLOOKUP($L367,'Jan-2026 rates'!$L:$R,5,0),IF($LB367=30%,VLOOKUP($L367,'Jan-2026 rates'!$L:$R,6,0),IF($LB367=100%,VLOOKUP($L367,'Jan-2026 rates'!$L:$R,7,0),IF($LB367=60%,VLOOKUP($L367,'Jan-2026 rates'!$L:$S,8,0),IF($LB367=80%,VLOOKUP($L367,'Jan-2026 rates'!L:T,9,0),0))))))))</f>
        <v>0</v>
      </c>
      <c r="R367" s="406">
        <v>26527000021</v>
      </c>
      <c r="S367" s="406"/>
      <c r="T367" s="406"/>
      <c r="U367" s="406"/>
      <c r="V367" s="406"/>
      <c r="W367" s="406"/>
      <c r="X367" s="406"/>
      <c r="Y367" s="406"/>
      <c r="Z367" s="404">
        <v>2</v>
      </c>
      <c r="AA367" s="398" t="e">
        <f>IF(Z367=0,0,IF(LEN(R367)=11,_xlfn.XLOOKUP(R367,'Dispensed Ink Rates'!C:C,'Dispensed Ink Rates'!CS:CS),VLOOKUP(R367,'Jan-2026 rates'!$E:$F,2,0)))</f>
        <v>#N/A</v>
      </c>
      <c r="AB367" s="404"/>
      <c r="AC367" s="398">
        <f>IF(AB367=0,0,IF(LEN(S367)=11,_xlfn.XLOOKUP(S367,'Dispensed Ink Rates'!C:C,'Dispensed Ink Rates'!CS:CS),VLOOKUP(S367,'Jan-2026 rates'!$E:$F,2,0)))</f>
        <v>0</v>
      </c>
      <c r="AD367" s="404"/>
      <c r="AE367" s="398">
        <f>IF(AD367=0,0,IF(LEN(T367)=11,_xlfn.XLOOKUP(T367,'Dispensed Ink Rates'!C:C,'Dispensed Ink Rates'!CS:CS),VLOOKUP(T367,'Jan-2026 rates'!$E:$F,2,0)))</f>
        <v>0</v>
      </c>
      <c r="AF367" s="404"/>
      <c r="AG367" s="398">
        <f>IF(AF367=0,0,IF(LEN(U367)=11,_xlfn.XLOOKUP(U367,'Dispensed Ink Rates'!C:C,'Dispensed Ink Rates'!CS:CS),VLOOKUP(U367,'Jan-2026 rates'!$E:$F,2,0)))</f>
        <v>0</v>
      </c>
      <c r="AH367" s="404"/>
      <c r="AI367" s="398">
        <f>IF(AH367=0,0,IF(LEN(V367)=11,_xlfn.XLOOKUP(V367,'Dispensed Ink Rates'!C:C,'Dispensed Ink Rates'!CS:CS),VLOOKUP(V367,'Jan-2026 rates'!$E:$F,2,0)))</f>
        <v>0</v>
      </c>
      <c r="AJ367" s="404"/>
      <c r="AK367" s="398">
        <f>IF(AJ367=0,0,IF(LEN(W367)=11,_xlfn.XLOOKUP(W367,'Dispensed Ink Rates'!C:C,'Dispensed Ink Rates'!CS:CS),VLOOKUP(W367,'Jan-2026 rates'!$E:$F,2,0)))</f>
        <v>0</v>
      </c>
      <c r="AL367" s="404"/>
      <c r="AM367" s="398">
        <f>IF(AL367=0,0,IF(LEN(X367)=11,_xlfn.XLOOKUP(X367,'Dispensed Ink Rates'!C:C,'Dispensed Ink Rates'!CS:CS),VLOOKUP(X367,'Jan-2026 rates'!$E:$F,2,0)))</f>
        <v>0</v>
      </c>
      <c r="AN367" s="404"/>
      <c r="AO367" s="398">
        <f>IF(AN367=0,0,IF(LEN(Y367)=11,_xlfn.XLOOKUP(Y367,'Dispensed Ink Rates'!C:C,'Dispensed Ink Rates'!CS:CS),VLOOKUP(Y367,'Jan-2026 rates'!$E:$F,2,0)))</f>
        <v>0</v>
      </c>
      <c r="AP367" s="409" t="s">
        <v>1443</v>
      </c>
      <c r="AQ367" s="409">
        <v>28</v>
      </c>
      <c r="AR367" s="410">
        <f t="shared" si="212"/>
        <v>0</v>
      </c>
      <c r="AS367" s="411">
        <f t="shared" si="213"/>
        <v>6.0465116279069804</v>
      </c>
      <c r="AT367" s="410">
        <f t="shared" si="214"/>
        <v>0</v>
      </c>
      <c r="AU367" s="405" t="s">
        <v>547</v>
      </c>
      <c r="AV367" s="409" t="s">
        <v>4810</v>
      </c>
      <c r="AW367" s="420" t="str">
        <f t="shared" si="348"/>
        <v>FLINTSL - GREEN</v>
      </c>
      <c r="AX367" s="409">
        <v>22</v>
      </c>
      <c r="AY367" s="411">
        <f>IF(AX367=0,0,IF($LB367=70%,VLOOKUP($AW367,'Jan-2026 rates'!$L:$R,4,0),IF($LB367=65%,VLOOKUP($AW367,'Jan-2026 rates'!$L:$R,4,0),IF($LB367=40%,VLOOKUP($AW367,'Jan-2026 rates'!$L:$R,5,0),IF($LB367=30%,VLOOKUP($AW367,'Jan-2026 rates'!$L:$R,6,0),IF($LB367=100%,VLOOKUP($AW367,'Jan-2026 rates'!$L:$R,7,0),IF($LB367=60%,VLOOKUP($AW367,'Jan-2026 rates'!$L:$S,8,0),IF($LB367=80%,VLOOKUP($AW367,'Jan-2026 rates'!L:T,9,0),0))))))))</f>
        <v>0</v>
      </c>
      <c r="AZ367" s="412"/>
      <c r="BA367" s="409"/>
      <c r="BB367" s="411">
        <f>IF(BA367=0,0,IF($LB367=70%,VLOOKUP($AW367,'Jan-2026 rates'!$L:$R,4,0),IF($LB367=65%,VLOOKUP($AW367,'Jan-2026 rates'!$L:$R,4,0),IF($LB367=40%,VLOOKUP($AW367,'Jan-2026 rates'!$L:$R,5,0),IF($LB367=30%,VLOOKUP($AW367,'Jan-2026 rates'!$L:$R,6,0),IF($LB367=100%,VLOOKUP($AW367,'Jan-2026 rates'!$L:$R,7,0),IF($LB367=60%,VLOOKUP($AW367,'Jan-2026 rates'!$L:$S,8,0),IF($LB367=80%,VLOOKUP($AW367,'Jan-2026 rates'!L:T,9,0),0))))))))</f>
        <v>0</v>
      </c>
      <c r="BC367" s="413">
        <v>26524000018</v>
      </c>
      <c r="BD367" s="412">
        <v>26525000002</v>
      </c>
      <c r="BE367" s="412"/>
      <c r="BF367" s="413"/>
      <c r="BG367" s="412"/>
      <c r="BH367" s="412"/>
      <c r="BI367" s="412"/>
      <c r="BJ367" s="412"/>
      <c r="BK367" s="409">
        <v>2</v>
      </c>
      <c r="BL367" s="398" t="e">
        <f>IF(BK367=0,0,IF(LEN(BC367)=11,_xlfn.XLOOKUP(BC367,'Dispensed Ink Rates'!C:C,'Dispensed Ink Rates'!CS:CS),VLOOKUP(BC367,'Jan-2026 rates'!$E:$F,2,0)))</f>
        <v>#N/A</v>
      </c>
      <c r="BM367" s="409">
        <v>1</v>
      </c>
      <c r="BN367" s="398" t="e">
        <f>IF(BM367=0,0,IF(LEN(BD367)=11,_xlfn.XLOOKUP(BD367,'Dispensed Ink Rates'!C:C,'Dispensed Ink Rates'!CS:CS),VLOOKUP(BD367,'Jan-2026 rates'!$E:$F,2,0)))</f>
        <v>#N/A</v>
      </c>
      <c r="BO367" s="409"/>
      <c r="BP367" s="398">
        <f>IF(BO367=0,0,IF(LEN(BE367)=11,_xlfn.XLOOKUP(BE367,'Dispensed Ink Rates'!C:C,'Dispensed Ink Rates'!CS:CS),VLOOKUP(BE367,'Jan-2026 rates'!$E:$F,2,0)))</f>
        <v>0</v>
      </c>
      <c r="BQ367" s="409"/>
      <c r="BR367" s="398">
        <f>IF(BQ367=0,0,IF(LEN(BF367)=11,_xlfn.XLOOKUP(BF367,'Dispensed Ink Rates'!C:C,'Dispensed Ink Rates'!CS:CS),VLOOKUP(BF367,'Jan-2026 rates'!$E:$F,2,0)))</f>
        <v>0</v>
      </c>
      <c r="BS367" s="409"/>
      <c r="BT367" s="398">
        <f>IF(BS367=0,0,IF(LEN(BG367)=11,_xlfn.XLOOKUP(BG367,'Dispensed Ink Rates'!C:C,'Dispensed Ink Rates'!CS:CS),VLOOKUP(BG367,'Jan-2026 rates'!$E:$F,2,0)))</f>
        <v>0</v>
      </c>
      <c r="BU367" s="409"/>
      <c r="BV367" s="398">
        <f>IF(BU367=0,0,IF(LEN(BH367)=11,_xlfn.XLOOKUP(BH367,'Dispensed Ink Rates'!C:C,'Dispensed Ink Rates'!CS:CS),VLOOKUP(BH367,'Jan-2026 rates'!$E:$F,2,0)))</f>
        <v>0</v>
      </c>
      <c r="BW367" s="409"/>
      <c r="BX367" s="398">
        <f>IF(BW367=0,0,IF(LEN(BI367)=11,_xlfn.XLOOKUP(BI367,'Dispensed Ink Rates'!C:C,'Dispensed Ink Rates'!CS:CS),VLOOKUP(BI367,'Jan-2026 rates'!$E:$F,2,0)))</f>
        <v>0</v>
      </c>
      <c r="BY367" s="409"/>
      <c r="BZ367" s="398">
        <f>IF(BY367=0,0,IF(LEN(BJ367)=11,_xlfn.XLOOKUP(BJ367,'Dispensed Ink Rates'!C:C,'Dispensed Ink Rates'!CS:CS),VLOOKUP(BJ367,'Jan-2026 rates'!$E:$F,2,0)))</f>
        <v>0</v>
      </c>
      <c r="CA367" s="409" t="s">
        <v>1443</v>
      </c>
      <c r="CB367" s="409">
        <v>28</v>
      </c>
      <c r="CC367" s="411">
        <f t="shared" si="215"/>
        <v>0</v>
      </c>
      <c r="CD367" s="411">
        <f t="shared" si="216"/>
        <v>17.232558139534888</v>
      </c>
      <c r="CE367" s="410">
        <f t="shared" si="217"/>
        <v>0</v>
      </c>
      <c r="CF367" s="404" t="s">
        <v>855</v>
      </c>
      <c r="CG367" s="409" t="s">
        <v>4238</v>
      </c>
      <c r="CH367" s="420" t="str">
        <f t="shared" si="185"/>
        <v>FLINTSL - CYAN</v>
      </c>
      <c r="CI367" s="409">
        <v>30</v>
      </c>
      <c r="CJ367" s="411">
        <f>IF(CI367=0,0,IF($LB367=70%,VLOOKUP($CH367,'Jan-2026 rates'!$L:$R,4,0),IF($LB367=65%,VLOOKUP($CH367,'Jan-2026 rates'!$L:$R,4,0),IF($LB367=40%,VLOOKUP($CH367,'Jan-2026 rates'!$L:$R,5,0),IF($LB367=30%,VLOOKUP($CH367,'Jan-2026 rates'!$L:$R,6,0),IF($LB367=100%,VLOOKUP($CH367,'Jan-2026 rates'!$L:$R,7,0),IF($LB367=60%,VLOOKUP($CH367,'Jan-2026 rates'!$L:$S,8,0),IF($LB367=80%,VLOOKUP($CH367,'Jan-2026 rates'!L:T,9,0),0))))))))</f>
        <v>0</v>
      </c>
      <c r="CK367" s="412"/>
      <c r="CL367" s="409"/>
      <c r="CM367" s="411">
        <f>IF(CL367=0,0,IF($LB367=70%,VLOOKUP($CH367,'Jan-2026 rates'!$L:$R,4,0),IF($LB367=65%,VLOOKUP($CH367,'Jan-2026 rates'!$L:$R,4,0),IF($LB367=40%,VLOOKUP($CH367,'Jan-2026 rates'!$L:$R,5,0),IF($LB367=30%,VLOOKUP($CH367,'Jan-2026 rates'!$L:$R,6,0),IF($LB367=100%,VLOOKUP($CH367,'Jan-2026 rates'!$L:$R,7,0),IF($LB367=60%,VLOOKUP($CH367,'Jan-2026 rates'!$L:$S,8,0),IF($LB367=80%,VLOOKUP($CH367,'Jan-2026 rates'!L:T,9,0),0))))))))</f>
        <v>0</v>
      </c>
      <c r="CN367" s="426" t="s">
        <v>1266</v>
      </c>
      <c r="CO367" s="427"/>
      <c r="CP367" s="426"/>
      <c r="CQ367" s="426"/>
      <c r="CR367" s="428"/>
      <c r="CS367" s="428"/>
      <c r="CT367" s="428"/>
      <c r="CU367" s="428"/>
      <c r="CV367" s="409">
        <v>2</v>
      </c>
      <c r="CW367" s="398">
        <f>IF(CV367=0,0,IF(LEN(CN367)=11,_xlfn.XLOOKUP(CN367,'Dispensed Ink Rates'!C:C,'Dispensed Ink Rates'!CS:CS),VLOOKUP(CN367,'Jan-2026 rates'!$E:$F,2,0)))</f>
        <v>0</v>
      </c>
      <c r="CX367" s="409"/>
      <c r="CY367" s="398">
        <f>IF(CX367=0,0,IF(LEN(CO367)=11,_xlfn.XLOOKUP(CO367,'Dispensed Ink Rates'!C:C,'Dispensed Ink Rates'!CS:CS),VLOOKUP(CO367,'Jan-2026 rates'!$E:$F,2,0)))</f>
        <v>0</v>
      </c>
      <c r="CZ367" s="409"/>
      <c r="DA367" s="398">
        <f>IF(CZ367=0,0,IF(LEN(CP367)=11,_xlfn.XLOOKUP(CP367,'Dispensed Ink Rates'!C:C,'Dispensed Ink Rates'!CS:CS),VLOOKUP(CP367,'Jan-2026 rates'!$E:$F,2,0)))</f>
        <v>0</v>
      </c>
      <c r="DB367" s="409"/>
      <c r="DC367" s="398">
        <f>IF(DB367=0,0,IF(LEN(CQ367)=11,_xlfn.XLOOKUP(CQ367,'Dispensed Ink Rates'!C:C,'Dispensed Ink Rates'!CS:CS),VLOOKUP(CQ367,'Jan-2026 rates'!$E:$F,2,0)))</f>
        <v>0</v>
      </c>
      <c r="DD367" s="409"/>
      <c r="DE367" s="398">
        <f>IF(DD367=0,0,IF(LEN(CR367)=11,_xlfn.XLOOKUP(CR367,'Dispensed Ink Rates'!C:C,'Dispensed Ink Rates'!CS:CS),VLOOKUP(CR367,'Jan-2026 rates'!$E:$F,2,0)))</f>
        <v>0</v>
      </c>
      <c r="DF367" s="409"/>
      <c r="DG367" s="398">
        <f>IF(DF367=0,0,IF(LEN(CS367)=11,_xlfn.XLOOKUP(CS367,'Dispensed Ink Rates'!C:C,'Dispensed Ink Rates'!CS:CS),VLOOKUP(CS367,'Jan-2026 rates'!$E:$F,2,0)))</f>
        <v>0</v>
      </c>
      <c r="DH367" s="409"/>
      <c r="DI367" s="398">
        <f>IF(DH367=0,0,IF(LEN(CT367)=11,_xlfn.XLOOKUP(CT367,'Dispensed Ink Rates'!C:C,'Dispensed Ink Rates'!CS:CS),VLOOKUP(CT367,'Jan-2026 rates'!$E:$F,2,0)))</f>
        <v>0</v>
      </c>
      <c r="DJ367" s="409"/>
      <c r="DK367" s="398">
        <f>IF(DJ367=0,0,IF(LEN(CU367)=11,_xlfn.XLOOKUP(CU367,'Dispensed Ink Rates'!C:C,'Dispensed Ink Rates'!CS:CS),VLOOKUP(CU367,'Jan-2026 rates'!$E:$F,2,0)))</f>
        <v>0</v>
      </c>
      <c r="DL367" s="409" t="s">
        <v>1443</v>
      </c>
      <c r="DM367" s="409">
        <v>30</v>
      </c>
      <c r="DN367" s="411">
        <f t="shared" si="218"/>
        <v>0</v>
      </c>
      <c r="DO367" s="411">
        <f t="shared" si="219"/>
        <v>6.0465116279069804</v>
      </c>
      <c r="DP367" s="410">
        <f t="shared" si="220"/>
        <v>0</v>
      </c>
      <c r="DQ367" s="405" t="s">
        <v>544</v>
      </c>
      <c r="DR367" s="409" t="s">
        <v>4227</v>
      </c>
      <c r="DS367" s="420" t="str">
        <f t="shared" si="186"/>
        <v>FLINTSL - MAGENTA</v>
      </c>
      <c r="DT367" s="409">
        <v>30</v>
      </c>
      <c r="DU367" s="411">
        <f>IF(DT367=0,0,IF($LB367=70%,VLOOKUP($DS367,'Jan-2026 rates'!$L:$R,4,0),IF($LB367=65%,VLOOKUP($DS367,'Jan-2026 rates'!$L:$R,4,0),IF($LB367=40%,VLOOKUP($DS367,'Jan-2026 rates'!$L:$R,5,0),IF($LB367=30%,VLOOKUP($DS367,'Jan-2026 rates'!$L:$R,6,0),IF($LB367=100%,VLOOKUP($DS367,'Jan-2026 rates'!$L:$R,7,0),IF($LB367=60%,VLOOKUP($DS367,'Jan-2026 rates'!$L:$S,8,0),IF($LB367=80%,VLOOKUP($DS367,'Jan-2026 rates'!L:T,9,0),0))))))))</f>
        <v>0</v>
      </c>
      <c r="DV367" s="412"/>
      <c r="DW367" s="409"/>
      <c r="DX367" s="411">
        <f>IF(DW367=0,0,IF($LB367=70%,VLOOKUP($DS367,'Jan-2026 rates'!$L:$R,4,0),IF($LB367=65%,VLOOKUP($DS367,'Jan-2026 rates'!$L:$R,4,0),IF($LB367=40%,VLOOKUP($DS367,'Jan-2026 rates'!$L:$R,5,0),IF($LB367=30%,VLOOKUP($DS367,'Jan-2026 rates'!$L:$R,6,0),IF($LB367=100%,VLOOKUP($DS367,'Jan-2026 rates'!$L:$R,7,0),IF($LB367=60%,VLOOKUP($DS367,'Jan-2026 rates'!$L:$S,8,0),IF($LB367=80%,VLOOKUP($DS367,'Jan-2026 rates'!L:T,9,0),0))))))))</f>
        <v>0</v>
      </c>
      <c r="DY367" s="413" t="s">
        <v>1266</v>
      </c>
      <c r="DZ367" s="413"/>
      <c r="EA367" s="412"/>
      <c r="EB367" s="412"/>
      <c r="EC367" s="412"/>
      <c r="ED367" s="412"/>
      <c r="EE367" s="412"/>
      <c r="EF367" s="412"/>
      <c r="EG367" s="409">
        <v>3</v>
      </c>
      <c r="EH367" s="398">
        <f>IF(EG367=0,0,IF(LEN(DY367)=11,_xlfn.XLOOKUP(DY367,'Dispensed Ink Rates'!C:C,'Dispensed Ink Rates'!CS:CS),VLOOKUP(DY367,'Jan-2026 rates'!$E:$F,2,0)))</f>
        <v>0</v>
      </c>
      <c r="EI367" s="409"/>
      <c r="EJ367" s="398">
        <f>IF(EI367=0,0,IF(LEN(DZ367)=11,_xlfn.XLOOKUP(DZ367,'Dispensed Ink Rates'!C:C,'Dispensed Ink Rates'!CS:CS),VLOOKUP(DZ367,'Jan-2026 rates'!$E:$F,2,0)))</f>
        <v>0</v>
      </c>
      <c r="EK367" s="409"/>
      <c r="EL367" s="398">
        <f>IF(EK367=0,0,IF(LEN(EA367)=11,_xlfn.XLOOKUP(EA367,'Dispensed Ink Rates'!C:C,'Dispensed Ink Rates'!CS:CS),VLOOKUP(EA367,'Jan-2026 rates'!$E:$F,2,0)))</f>
        <v>0</v>
      </c>
      <c r="EM367" s="409"/>
      <c r="EN367" s="398">
        <f>IF(EM367=0,0,IF(LEN(EB367)=11,_xlfn.XLOOKUP(EB367,'Dispensed Ink Rates'!C:C,'Dispensed Ink Rates'!CS:CS),VLOOKUP(EB367,'Jan-2026 rates'!$E:$F,2,0)))</f>
        <v>0</v>
      </c>
      <c r="EO367" s="409"/>
      <c r="EP367" s="398">
        <f>IF(EO367=0,0,IF(LEN(EC367)=11,_xlfn.XLOOKUP(EC367,'Dispensed Ink Rates'!C:C,'Dispensed Ink Rates'!CS:CS),VLOOKUP(EC367,'Jan-2026 rates'!$E:$F,2,0)))</f>
        <v>0</v>
      </c>
      <c r="EQ367" s="409"/>
      <c r="ER367" s="398">
        <f>IF(EQ367=0,0,IF(LEN(ED367)=11,_xlfn.XLOOKUP(ED367,'Dispensed Ink Rates'!C:C,'Dispensed Ink Rates'!CS:CS),VLOOKUP(ED367,'Jan-2026 rates'!$E:$F,2,0)))</f>
        <v>0</v>
      </c>
      <c r="ES367" s="409"/>
      <c r="ET367" s="398">
        <f>IF(ES367=0,0,IF(LEN(EE367)=11,_xlfn.XLOOKUP(EE367,'Dispensed Ink Rates'!C:C,'Dispensed Ink Rates'!CS:CS),VLOOKUP(EE367,'Jan-2026 rates'!$E:$F,2,0)))</f>
        <v>0</v>
      </c>
      <c r="EU367" s="409"/>
      <c r="EV367" s="398">
        <f>IF(EU367=0,0,IF(LEN(EF367)=11,_xlfn.XLOOKUP(EF367,'Dispensed Ink Rates'!C:C,'Dispensed Ink Rates'!CS:CS),VLOOKUP(EF367,'Jan-2026 rates'!$E:$F,2,0)))</f>
        <v>0</v>
      </c>
      <c r="EW367" s="409" t="s">
        <v>1443</v>
      </c>
      <c r="EX367" s="409">
        <v>30</v>
      </c>
      <c r="EY367" s="411">
        <f t="shared" si="221"/>
        <v>0</v>
      </c>
      <c r="EZ367" s="411">
        <f t="shared" si="222"/>
        <v>11.093023255813954</v>
      </c>
      <c r="FA367" s="410">
        <f t="shared" si="223"/>
        <v>0</v>
      </c>
      <c r="FB367" s="405" t="s">
        <v>545</v>
      </c>
      <c r="FC367" s="409" t="s">
        <v>4228</v>
      </c>
      <c r="FD367" s="420" t="str">
        <f t="shared" si="187"/>
        <v>FLINTSL - YELLOW</v>
      </c>
      <c r="FE367" s="409">
        <v>28</v>
      </c>
      <c r="FF367" s="411">
        <f>IF(FE367=0,0,IF($LB367=70%,VLOOKUP($FD367,'Jan-2026 rates'!$L:$R,4,0),IF($LB367=65%,VLOOKUP($FD367,'Jan-2026 rates'!$L:$R,4,0),IF($LB367=40%,VLOOKUP($FD367,'Jan-2026 rates'!$L:$R,5,0),IF($LB367=30%,VLOOKUP($FD367,'Jan-2026 rates'!$L:$R,6,0),IF($LB367=100%,VLOOKUP($FD367,'Jan-2026 rates'!$L:$R,7,0),IF($LB367=60%,VLOOKUP($FD367,'Jan-2026 rates'!$L:$S,8,0),IF($LB367=80%,VLOOKUP($FD367,'Jan-2026 rates'!L:T,9,0),0))))))))</f>
        <v>0</v>
      </c>
      <c r="FG367" s="412"/>
      <c r="FH367" s="409"/>
      <c r="FI367" s="411">
        <f>IF(FH367=0,0,IF($LB367=70%,VLOOKUP($FD367,'Jan-2026 rates'!$L:$R,4,0),IF($LB367=65%,VLOOKUP($FD367,'Jan-2026 rates'!$L:$R,4,0),IF($LB367=40%,VLOOKUP($FD367,'Jan-2026 rates'!$L:$R,5,0),IF($LB367=30%,VLOOKUP($FD367,'Jan-2026 rates'!$L:$R,6,0),IF($LB367=100%,VLOOKUP($FD367,'Jan-2026 rates'!$L:$R,7,0),IF($LB367=60%,VLOOKUP($FD367,'Jan-2026 rates'!$L:$S,8,0),IF($LB367=80%,VLOOKUP($FD367,'Jan-2026 rates'!L:T,9,0),0))))))))</f>
        <v>0</v>
      </c>
      <c r="FJ367" s="413">
        <v>26527000025</v>
      </c>
      <c r="FK367" s="413"/>
      <c r="FL367" s="413"/>
      <c r="FM367" s="412"/>
      <c r="FN367" s="412"/>
      <c r="FO367" s="412"/>
      <c r="FP367" s="412"/>
      <c r="FQ367" s="412"/>
      <c r="FR367" s="409">
        <v>5</v>
      </c>
      <c r="FS367" s="398" t="e">
        <f>IF(FR367=0,0,IF(LEN(FJ367)=11,_xlfn.XLOOKUP(FJ367,'Dispensed Ink Rates'!C:C,'Dispensed Ink Rates'!CS:CS),VLOOKUP(FJ367,'Jan-2026 rates'!$E:$F,2,0)))</f>
        <v>#N/A</v>
      </c>
      <c r="FT367" s="409"/>
      <c r="FU367" s="398">
        <f>IF(FT367=0,0,IF(LEN(FK367)=11,_xlfn.XLOOKUP(FK367,'Dispensed Ink Rates'!C:C,'Dispensed Ink Rates'!CS:CS),VLOOKUP(FK367,'Jan-2026 rates'!$E:$F,2,0)))</f>
        <v>0</v>
      </c>
      <c r="FV367" s="409"/>
      <c r="FW367" s="398">
        <f>IF(FV367=0,0,IF(LEN(FL367)=11,_xlfn.XLOOKUP(FL367,'Dispensed Ink Rates'!C:C,'Dispensed Ink Rates'!CS:CS),VLOOKUP(FL367,'Jan-2026 rates'!$E:$F,2,0)))</f>
        <v>0</v>
      </c>
      <c r="FX367" s="409"/>
      <c r="FY367" s="398">
        <f>IF(FX367=0,0,IF(LEN(FM367)=11,_xlfn.XLOOKUP(FM367,'Dispensed Ink Rates'!C:C,'Dispensed Ink Rates'!CS:CS),VLOOKUP(FM367,'Jan-2026 rates'!$E:$F,2,0)))</f>
        <v>0</v>
      </c>
      <c r="FZ367" s="409"/>
      <c r="GA367" s="398">
        <f>IF(FZ367=0,0,IF(LEN(FN367)=11,_xlfn.XLOOKUP(FN367,'Dispensed Ink Rates'!C:C,'Dispensed Ink Rates'!CS:CS),VLOOKUP(FN367,'Jan-2026 rates'!$E:$F,2,0)))</f>
        <v>0</v>
      </c>
      <c r="GB367" s="409"/>
      <c r="GC367" s="398">
        <f>IF(GB367=0,0,IF(LEN(FO367)=11,_xlfn.XLOOKUP(FO367,'Dispensed Ink Rates'!C:C,'Dispensed Ink Rates'!CS:CS),VLOOKUP(FO367,'Jan-2026 rates'!$E:$F,2,0)))</f>
        <v>0</v>
      </c>
      <c r="GD367" s="409"/>
      <c r="GE367" s="398">
        <f>IF(GD367=0,0,IF(LEN(FP367)=11,_xlfn.XLOOKUP(FP367,'Dispensed Ink Rates'!C:C,'Dispensed Ink Rates'!CS:CS),VLOOKUP(FP367,'Jan-2026 rates'!$E:$F,2,0)))</f>
        <v>0</v>
      </c>
      <c r="GF367" s="409"/>
      <c r="GG367" s="398">
        <f>IF(GF367=0,0,IF(LEN(FQ367)=11,_xlfn.XLOOKUP(FQ367,'Dispensed Ink Rates'!C:C,'Dispensed Ink Rates'!CS:CS),VLOOKUP(FQ367,'Jan-2026 rates'!$E:$F,2,0)))</f>
        <v>0</v>
      </c>
      <c r="GH367" s="409" t="s">
        <v>1443</v>
      </c>
      <c r="GI367" s="409">
        <v>29</v>
      </c>
      <c r="GJ367" s="411">
        <f t="shared" si="224"/>
        <v>0</v>
      </c>
      <c r="GK367" s="411">
        <f t="shared" si="225"/>
        <v>12.093023255813954</v>
      </c>
      <c r="GL367" s="410">
        <f t="shared" si="226"/>
        <v>0</v>
      </c>
      <c r="GM367" s="405" t="s">
        <v>829</v>
      </c>
      <c r="GN367" s="409"/>
      <c r="GO367" s="420" t="str">
        <f t="shared" si="188"/>
        <v>FLINTSL - MEDIUM</v>
      </c>
      <c r="GP367" s="409"/>
      <c r="GQ367" s="411">
        <f>IF(GP367=0,0,IF($LB367=70%,VLOOKUP($GO367,'Jan-2026 rates'!$L:$R,4,0),IF($LB367=65%,VLOOKUP($GO367,'Jan-2026 rates'!$L:$R,4,0),IF($LB367=40%,VLOOKUP($GO367,'Jan-2026 rates'!$L:$R,5,0),IF($LB367=30%,VLOOKUP($GO367,'Jan-2026 rates'!$L:$R,6,0),IF($LB367=100%,VLOOKUP($GO367,'Jan-2026 rates'!$L:$R,7,0),IF($LB367=60%,VLOOKUP($GO367,'Jan-2026 rates'!$L:$S,8,0),IF($LB367=80%,VLOOKUP($GO367,'Jan-2026 rates'!L:T,9,0),0))))))))</f>
        <v>0</v>
      </c>
      <c r="GR367" s="412"/>
      <c r="GS367" s="409"/>
      <c r="GT367" s="411">
        <f>IF(GS367=0,0,IF($LB367=70%,VLOOKUP($GO367,'Jan-2026 rates'!$L:$R,4,0),IF($LB367=65%,VLOOKUP($GO367,'Jan-2026 rates'!$L:$R,4,0),IF($LB367=40%,VLOOKUP($GO367,'Jan-2026 rates'!$L:$R,5,0),IF($LB367=30%,VLOOKUP($GO367,'Jan-2026 rates'!$L:$R,6,0),IF($LB367=100%,VLOOKUP($GO367,'Jan-2026 rates'!$L:$R,7,0),IF($LB367=60%,VLOOKUP($GO367,'Jan-2026 rates'!$L:$S,8,0),IF($LB367=80%,VLOOKUP($GO367,'Jan-2026 rates'!L:T,9,0),0))))))))</f>
        <v>0</v>
      </c>
      <c r="GU367" s="413">
        <v>26528000007</v>
      </c>
      <c r="GV367" s="413">
        <v>26528000004</v>
      </c>
      <c r="GW367" s="412">
        <v>26528000008</v>
      </c>
      <c r="GX367" s="412">
        <v>26528000009</v>
      </c>
      <c r="GY367" s="412">
        <v>26528000010</v>
      </c>
      <c r="GZ367" s="412"/>
      <c r="HA367" s="412"/>
      <c r="HB367" s="412"/>
      <c r="HC367" s="409">
        <v>35</v>
      </c>
      <c r="HD367" s="398" t="e">
        <f>IF(HC367=0,0,IF(LEN(GU367)=11,_xlfn.XLOOKUP(GU367,'Dispensed Ink Rates'!C:C,'Dispensed Ink Rates'!CS:CS),VLOOKUP(GU367,'Jan-2026 rates'!$E:$F,2,0)))</f>
        <v>#N/A</v>
      </c>
      <c r="HE367" s="409">
        <v>30</v>
      </c>
      <c r="HF367" s="398" t="e">
        <f>IF(HE367=0,0,IF(LEN(GV367)=11,_xlfn.XLOOKUP(GV367,'Dispensed Ink Rates'!C:C,'Dispensed Ink Rates'!CS:CS),VLOOKUP(GV367,'Jan-2026 rates'!$E:$F,2,0)))</f>
        <v>#N/A</v>
      </c>
      <c r="HG367" s="409">
        <v>40</v>
      </c>
      <c r="HH367" s="398" t="e">
        <f>IF(HG367=0,0,IF(LEN(GW367)=11,_xlfn.XLOOKUP(GW367,'Dispensed Ink Rates'!C:C,'Dispensed Ink Rates'!CS:CS),VLOOKUP(GW367,'Jan-2026 rates'!$E:$F,2,0)))</f>
        <v>#N/A</v>
      </c>
      <c r="HI367" s="409">
        <v>20</v>
      </c>
      <c r="HJ367" s="398" t="e">
        <f>IF(HI367=0,0,IF(LEN(GX367)=11,_xlfn.XLOOKUP(GX367,'Dispensed Ink Rates'!C:C,'Dispensed Ink Rates'!CS:CS),VLOOKUP(GX367,'Jan-2026 rates'!$E:$F,2,0)))</f>
        <v>#N/A</v>
      </c>
      <c r="HK367" s="409">
        <v>10</v>
      </c>
      <c r="HL367" s="398" t="e">
        <f>IF(HK367=0,0,IF(LEN(GY367)=11,_xlfn.XLOOKUP(GY367,'Dispensed Ink Rates'!C:C,'Dispensed Ink Rates'!CS:CS),VLOOKUP(GY367,'Jan-2026 rates'!$E:$F,2,0)))</f>
        <v>#N/A</v>
      </c>
      <c r="HM367" s="409"/>
      <c r="HN367" s="398">
        <f>IF(HM367=0,0,IF(LEN(GZ367)=11,_xlfn.XLOOKUP(GZ367,'Dispensed Ink Rates'!C:C,'Dispensed Ink Rates'!CS:CS),VLOOKUP(GZ367,'Jan-2026 rates'!$E:$F,2,0)))</f>
        <v>0</v>
      </c>
      <c r="HO367" s="409"/>
      <c r="HP367" s="398">
        <f>IF(HO367=0,0,IF(LEN(HA367)=11,_xlfn.XLOOKUP(HA367,'Dispensed Ink Rates'!C:C,'Dispensed Ink Rates'!CS:CS),VLOOKUP(HA367,'Jan-2026 rates'!$E:$F,2,0)))</f>
        <v>0</v>
      </c>
      <c r="HQ367" s="409"/>
      <c r="HR367" s="398">
        <f>IF(HQ367=0,0,IF(LEN(HB367)=11,_xlfn.XLOOKUP(HB367,'Dispensed Ink Rates'!C:C,'Dispensed Ink Rates'!CS:CS),VLOOKUP(HB367,'Jan-2026 rates'!$E:$F,2,0)))</f>
        <v>0</v>
      </c>
      <c r="HS367" s="409" t="s">
        <v>1443</v>
      </c>
      <c r="HT367" s="409">
        <v>12</v>
      </c>
      <c r="HU367" s="411">
        <f t="shared" si="227"/>
        <v>0</v>
      </c>
      <c r="HV367" s="411">
        <f t="shared" si="228"/>
        <v>123</v>
      </c>
      <c r="HW367" s="414">
        <f t="shared" si="229"/>
        <v>0</v>
      </c>
      <c r="HX367" s="405" t="s">
        <v>828</v>
      </c>
      <c r="HY367" s="409" t="s">
        <v>4811</v>
      </c>
      <c r="HZ367" s="420" t="str">
        <f t="shared" si="189"/>
        <v>FLINTSL - ORANGE</v>
      </c>
      <c r="IA367" s="409">
        <v>25</v>
      </c>
      <c r="IB367" s="411">
        <f>IF(IA367=0,0,IF($LB367=70%,VLOOKUP($HZ367,'Jan-2026 rates'!$L:$R,4,0),IF($LB367=65%,VLOOKUP($HZ367,'Jan-2026 rates'!$L:$R,4,0),IF($LB367=40%,VLOOKUP($HZ367,'Jan-2026 rates'!$L:$R,5,0),IF($LB367=30%,VLOOKUP($HZ367,'Jan-2026 rates'!$L:$R,6,0),IF($LB367=100%,VLOOKUP($HZ367,'Jan-2026 rates'!$L:$R,7,0),IF($LB367=60%,VLOOKUP($HZ367,'Jan-2026 rates'!$L:$S,8,0),IF($LB367=80%,VLOOKUP($HZ367,'Jan-2026 rates'!L:T,9,0),0))))))))</f>
        <v>0</v>
      </c>
      <c r="IC367" s="412"/>
      <c r="ID367" s="409"/>
      <c r="IE367" s="411">
        <f>IF(ID367=0,0,IF($LB367=70%,VLOOKUP($HZ367,'Jan-2026 rates'!$L:$R,4,0),IF($LB367=65%,VLOOKUP($HZ367,'Jan-2026 rates'!$L:$R,4,0),IF($LB367=40%,VLOOKUP($HZ367,'Jan-2026 rates'!$L:$R,5,0),IF($LB367=30%,VLOOKUP($HZ367,'Jan-2026 rates'!$L:$R,6,0),IF($LB367=100%,VLOOKUP($HZ367,'Jan-2026 rates'!$L:$R,7,0),IF($LB367=60%,VLOOKUP($HZ367,'Jan-2026 rates'!$L:$S,8,0),IF($LB367=80%,VLOOKUP($HZ367,'Jan-2026 rates'!L:T,9,0),0))))))))</f>
        <v>0</v>
      </c>
      <c r="IF367" s="412">
        <v>26527000012</v>
      </c>
      <c r="IG367" s="413"/>
      <c r="IH367" s="412"/>
      <c r="II367" s="412"/>
      <c r="IJ367" s="412"/>
      <c r="IK367" s="412"/>
      <c r="IL367" s="412"/>
      <c r="IM367" s="412"/>
      <c r="IN367" s="409">
        <v>4</v>
      </c>
      <c r="IO367" s="398" t="e">
        <f>IF(IN367=0,0,IF(LEN(IF367)=11,_xlfn.XLOOKUP(IF367,'Dispensed Ink Rates'!C:C,'Dispensed Ink Rates'!CS:CS),VLOOKUP(IF367,'Jan-2026 rates'!$E:$F,2,0)))</f>
        <v>#N/A</v>
      </c>
      <c r="IP367" s="409"/>
      <c r="IQ367" s="398">
        <f>IF(IP367=0,0,IF(LEN(IG367)=11,_xlfn.XLOOKUP(IG367,'Dispensed Ink Rates'!C:C,'Dispensed Ink Rates'!CS:CS),VLOOKUP(IG367,'Jan-2026 rates'!$E:$F,2,0)))</f>
        <v>0</v>
      </c>
      <c r="IR367" s="409"/>
      <c r="IS367" s="398">
        <f>IF(IR367=0,0,IF(LEN(IH367)=11,_xlfn.XLOOKUP(IH367,'Dispensed Ink Rates'!C:C,'Dispensed Ink Rates'!CS:CS),VLOOKUP(IH367,'Jan-2026 rates'!$E:$F,2,0)))</f>
        <v>0</v>
      </c>
      <c r="IT367" s="409"/>
      <c r="IU367" s="398">
        <f>IF(IT367=0,0,IF(LEN(II367)=11,_xlfn.XLOOKUP(II367,'Dispensed Ink Rates'!C:C,'Dispensed Ink Rates'!CS:CS),VLOOKUP(II367,'Jan-2026 rates'!$E:$F,2,0)))</f>
        <v>0</v>
      </c>
      <c r="IV367" s="409"/>
      <c r="IW367" s="398">
        <f>IF(IV367=0,0,IF(LEN(IJ367)=11,_xlfn.XLOOKUP(IJ367,'Dispensed Ink Rates'!C:C,'Dispensed Ink Rates'!CS:CS),VLOOKUP(IJ367,'Jan-2026 rates'!$E:$F,2,0)))</f>
        <v>0</v>
      </c>
      <c r="IX367" s="409"/>
      <c r="IY367" s="398">
        <f>IF(IX367=0,0,IF(LEN(IK367)=11,_xlfn.XLOOKUP(IK367,'Dispensed Ink Rates'!C:C,'Dispensed Ink Rates'!CS:CS),VLOOKUP(IK367,'Jan-2026 rates'!$E:$F,2,0)))</f>
        <v>0</v>
      </c>
      <c r="IZ367" s="409"/>
      <c r="JA367" s="398">
        <f>IF(IZ367=0,0,IF(LEN(IL367)=11,_xlfn.XLOOKUP(IL367,'Dispensed Ink Rates'!C:C,'Dispensed Ink Rates'!CS:CS),VLOOKUP(IL367,'Jan-2026 rates'!$E:$F,2,0)))</f>
        <v>0</v>
      </c>
      <c r="JB367" s="409"/>
      <c r="JC367" s="398">
        <f>IF(JB367=0,0,IF(LEN(IM367)=11,_xlfn.XLOOKUP(IM367,'Dispensed Ink Rates'!C:C,'Dispensed Ink Rates'!CS:CS),VLOOKUP(IM367,'Jan-2026 rates'!$E:$F,2,0)))</f>
        <v>0</v>
      </c>
      <c r="JD367" s="409" t="s">
        <v>1443</v>
      </c>
      <c r="JE367" s="409">
        <v>28</v>
      </c>
      <c r="JF367" s="411">
        <f t="shared" si="230"/>
        <v>0</v>
      </c>
      <c r="JG367" s="411">
        <f t="shared" si="231"/>
        <v>9.0930232558139537</v>
      </c>
      <c r="JH367" s="410">
        <f t="shared" si="232"/>
        <v>0</v>
      </c>
      <c r="JI367" s="405" t="s">
        <v>856</v>
      </c>
      <c r="JJ367" s="409" t="s">
        <v>4229</v>
      </c>
      <c r="JK367" s="420" t="str">
        <f t="shared" si="190"/>
        <v>FLINTSL - WHITE</v>
      </c>
      <c r="JL367" s="409">
        <v>30</v>
      </c>
      <c r="JM367" s="411">
        <f>IF(JL367=0,0,IF($LB367=70%,VLOOKUP($JK367,'Jan-2026 rates'!$L:$R,4,0),IF($LB367=65%,VLOOKUP($JK367,'Jan-2026 rates'!$L:$R,4,0),IF($LB367=40%,VLOOKUP($JK367,'Jan-2026 rates'!$L:$R,5,0),IF($LB367=30%,VLOOKUP($JK367,'Jan-2026 rates'!$L:$R,6,0),IF($LB367=100%,VLOOKUP($JK367,'Jan-2026 rates'!$L:$R,7,0),IF($LB367=60%,VLOOKUP($JK367,'Jan-2026 rates'!$L:$S,8,0),IF($LB367=80%,VLOOKUP($JK367,'Jan-2026 rates'!L:T,9,0),0))))))))</f>
        <v>0</v>
      </c>
      <c r="JN367" s="412"/>
      <c r="JO367" s="409"/>
      <c r="JP367" s="411">
        <f>IF(JO367=0,0,IF($LB367=70%,VLOOKUP($JK367,'Jan-2026 rates'!$L:$R,4,0),IF($LB367=65%,VLOOKUP($JK367,'Jan-2026 rates'!$L:$R,4,0),IF($LB367=40%,VLOOKUP($JK367,'Jan-2026 rates'!$L:$R,5,0),IF($LB367=30%,VLOOKUP($JK367,'Jan-2026 rates'!$L:$R,6,0),IF($LB367=100%,VLOOKUP($JK367,'Jan-2026 rates'!$L:$R,7,0),IF($LB367=60%,VLOOKUP($JK367,'Jan-2026 rates'!$L:$S,8,0),IF($LB367=80%,VLOOKUP($JK367,'Jan-2026 rates'!L:T,9,0),0))))))))</f>
        <v>0</v>
      </c>
      <c r="JQ367" s="413" t="s">
        <v>484</v>
      </c>
      <c r="JR367" s="412"/>
      <c r="JS367" s="413"/>
      <c r="JT367" s="413"/>
      <c r="JU367" s="412"/>
      <c r="JV367" s="412"/>
      <c r="JW367" s="412"/>
      <c r="JX367" s="412"/>
      <c r="JY367" s="409">
        <v>60</v>
      </c>
      <c r="JZ367" s="398">
        <f>IF(JY367=0,0,IF(LEN(JQ367)=11,_xlfn.XLOOKUP(JQ367,'Dispensed Ink Rates'!C:C,'Dispensed Ink Rates'!CS:CS),VLOOKUP(JQ367,'Jan-2026 rates'!$E:$F,2,0)))</f>
        <v>0</v>
      </c>
      <c r="KA367" s="409"/>
      <c r="KB367" s="398">
        <f>IF(KA367=0,0,IF(LEN(JR367)=11,_xlfn.XLOOKUP(JR367,'Dispensed Ink Rates'!C:C,'Dispensed Ink Rates'!CS:CS),VLOOKUP(JR367,'Jan-2026 rates'!$E:$F,2,0)))</f>
        <v>0</v>
      </c>
      <c r="KC367" s="409"/>
      <c r="KD367" s="398">
        <f>IF(KC367=0,0,IF(LEN(JS367)=11,_xlfn.XLOOKUP(JS367,'Dispensed Ink Rates'!C:C,'Dispensed Ink Rates'!CS:CS),VLOOKUP(JS367,'Jan-2026 rates'!$E:$F,2,0)))</f>
        <v>0</v>
      </c>
      <c r="KE367" s="409"/>
      <c r="KF367" s="398">
        <f>IF(KE367=0,0,IF(LEN(JT367)=11,_xlfn.XLOOKUP(JT367,'Dispensed Ink Rates'!C:C,'Dispensed Ink Rates'!CS:CS),VLOOKUP(JT367,'Jan-2026 rates'!$E:$F,2,0)))</f>
        <v>0</v>
      </c>
      <c r="KG367" s="409"/>
      <c r="KH367" s="398">
        <f>IF(KG367=0,0,IF(LEN(JU367)=11,_xlfn.XLOOKUP(JU367,'Dispensed Ink Rates'!C:C,'Dispensed Ink Rates'!CS:CS),VLOOKUP(JU367,'Jan-2026 rates'!$E:$F,2,0)))</f>
        <v>0</v>
      </c>
      <c r="KI367" s="409"/>
      <c r="KJ367" s="398">
        <f>IF(KI367=0,0,IF(LEN(JV367)=11,_xlfn.XLOOKUP(JV367,'Dispensed Ink Rates'!C:C,'Dispensed Ink Rates'!CS:CS),VLOOKUP(JV367,'Jan-2026 rates'!$E:$F,2,0)))</f>
        <v>0</v>
      </c>
      <c r="KK367" s="409"/>
      <c r="KL367" s="398">
        <f>IF(KK367=0,0,IF(LEN(JW367)=11,_xlfn.XLOOKUP(JW367,'Dispensed Ink Rates'!C:C,'Dispensed Ink Rates'!CS:CS),VLOOKUP(JW367,'Jan-2026 rates'!$E:$F,2,0)))</f>
        <v>0</v>
      </c>
      <c r="KM367" s="428"/>
      <c r="KN367" s="398">
        <f>IF(KM367=0,0,IF(LEN(JX367)=11,_xlfn.XLOOKUP(JX367,'Dispensed Ink Rates'!C:C,'Dispensed Ink Rates'!CS:CS),VLOOKUP(JX367,'Jan-2026 rates'!$E:$F,2,0)))</f>
        <v>0</v>
      </c>
      <c r="KO367" s="409" t="s">
        <v>1443</v>
      </c>
      <c r="KP367" s="409">
        <v>30</v>
      </c>
      <c r="KQ367" s="411">
        <f t="shared" si="233"/>
        <v>0</v>
      </c>
      <c r="KR367" s="411">
        <f t="shared" si="234"/>
        <v>181.39534883720933</v>
      </c>
      <c r="KS367" s="410">
        <f t="shared" si="235"/>
        <v>0</v>
      </c>
      <c r="KT367" s="409">
        <v>1</v>
      </c>
      <c r="KU367" s="409">
        <v>5</v>
      </c>
      <c r="KV367" s="409">
        <v>1</v>
      </c>
      <c r="KW367" s="409">
        <v>2</v>
      </c>
      <c r="KX367" s="409">
        <v>2</v>
      </c>
      <c r="KY367" s="409">
        <v>0</v>
      </c>
      <c r="KZ367" s="409">
        <v>2</v>
      </c>
      <c r="LA367" s="409">
        <v>30</v>
      </c>
      <c r="LB367" s="415">
        <v>0.8</v>
      </c>
      <c r="LC367" s="415">
        <v>0.2</v>
      </c>
      <c r="LD367" s="424"/>
      <c r="LE367" s="415"/>
      <c r="LF367" s="415"/>
      <c r="LG367" s="409">
        <v>0</v>
      </c>
      <c r="LH367" s="409">
        <f>30+30+80+20+5+5+4</f>
        <v>174</v>
      </c>
      <c r="LI367" s="409">
        <v>0</v>
      </c>
      <c r="LJ367" s="409">
        <v>0</v>
      </c>
      <c r="LK367" s="416">
        <f t="shared" si="191"/>
        <v>174</v>
      </c>
      <c r="LL367" s="416">
        <f t="shared" si="349"/>
        <v>174</v>
      </c>
      <c r="LM367" s="417">
        <f t="shared" si="193"/>
        <v>139.20000000000002</v>
      </c>
      <c r="LN367" s="417">
        <f>VLOOKUP($LM$8,'Jan-2026 rates'!$H:$I,2,0)</f>
        <v>0</v>
      </c>
      <c r="LO367" s="417">
        <f t="shared" si="194"/>
        <v>34.800000000000004</v>
      </c>
      <c r="LP367" s="417">
        <f>VLOOKUP($LO$8,'Jan-2026 rates'!$H:$I,2,0)</f>
        <v>0</v>
      </c>
      <c r="LQ367" s="417">
        <f t="shared" si="195"/>
        <v>0</v>
      </c>
      <c r="LR367" s="417">
        <f>VLOOKUP($LQ$8,'Jan-2026 rates'!$H:$I,2,0)</f>
        <v>0</v>
      </c>
      <c r="LS367" s="417">
        <f t="shared" si="196"/>
        <v>0</v>
      </c>
      <c r="LT367" s="417">
        <f>VLOOKUP($LS$8,'Jan-2026 rates'!$H:$I,2,0)</f>
        <v>0</v>
      </c>
      <c r="LU367" s="417">
        <f t="shared" si="197"/>
        <v>0</v>
      </c>
      <c r="LV367" s="417">
        <f>VLOOKUP($LU$8,'Jan-2026 rates'!$H:$I,2,0)</f>
        <v>0</v>
      </c>
      <c r="LW367" s="417">
        <f t="shared" si="198"/>
        <v>0</v>
      </c>
      <c r="LX367" s="417">
        <f t="shared" si="199"/>
        <v>0</v>
      </c>
      <c r="LY367" s="418">
        <f t="shared" si="200"/>
        <v>0</v>
      </c>
      <c r="LZ367" s="417"/>
      <c r="MA367" s="435">
        <f t="shared" si="201"/>
        <v>214</v>
      </c>
      <c r="MB367" s="282">
        <f t="shared" si="202"/>
        <v>366</v>
      </c>
      <c r="MC367" s="283">
        <v>209</v>
      </c>
      <c r="MD367" s="284" t="str">
        <f t="shared" si="203"/>
        <v>FLINTSLFLINTSLFLINTSLFLINTSLFLINTSLFLINTSLFLINTSLFLINTSL</v>
      </c>
      <c r="ME367" s="293" t="str">
        <f t="shared" si="204"/>
        <v>+</v>
      </c>
      <c r="MF367" s="293" t="str">
        <f t="shared" si="205"/>
        <v>+</v>
      </c>
      <c r="MG367" s="293" t="str">
        <f t="shared" si="206"/>
        <v>+</v>
      </c>
      <c r="MH367" s="293" t="str">
        <f t="shared" si="207"/>
        <v>+</v>
      </c>
      <c r="MI367" s="293" t="str">
        <f t="shared" si="208"/>
        <v>+</v>
      </c>
      <c r="MJ367" s="293" t="str">
        <f t="shared" si="209"/>
        <v>+</v>
      </c>
      <c r="MK367" s="293" t="str">
        <f t="shared" si="210"/>
        <v>+</v>
      </c>
      <c r="ML367" s="293" t="str">
        <f t="shared" si="211"/>
        <v>+</v>
      </c>
      <c r="MM367" s="3" t="b">
        <f t="array" ref="MM367">OR(ME367:ML367="-")</f>
        <v>0</v>
      </c>
      <c r="MO367" s="401">
        <f t="shared" si="350"/>
        <v>73.493975903614455</v>
      </c>
      <c r="MP367" s="286"/>
      <c r="MR367" s="402">
        <f t="shared" si="351"/>
        <v>1.6123348017621147E-2</v>
      </c>
      <c r="MS367" s="400">
        <f t="shared" si="352"/>
        <v>0</v>
      </c>
      <c r="MT367" s="285"/>
      <c r="NH367" s="361"/>
      <c r="NJ367" s="282"/>
    </row>
    <row r="368" spans="1:374" ht="16.5">
      <c r="A368" s="403">
        <v>46050</v>
      </c>
      <c r="B368" s="404" t="s">
        <v>1015</v>
      </c>
      <c r="C368" s="405" t="s">
        <v>4812</v>
      </c>
      <c r="D368" s="404">
        <v>210</v>
      </c>
      <c r="E368" s="404">
        <v>494</v>
      </c>
      <c r="F368" s="407">
        <v>22500</v>
      </c>
      <c r="G368" s="407" t="s">
        <v>1019</v>
      </c>
      <c r="H368" s="408" t="s">
        <v>1017</v>
      </c>
      <c r="I368" s="409">
        <v>2</v>
      </c>
      <c r="J368" s="405" t="s">
        <v>543</v>
      </c>
      <c r="K368" s="404" t="s">
        <v>4813</v>
      </c>
      <c r="L368" s="419" t="str">
        <f t="shared" si="184"/>
        <v>FLINTSL - BLACK</v>
      </c>
      <c r="M368" s="404">
        <v>28</v>
      </c>
      <c r="N368" s="410">
        <f>IF(M368=0,0,IF($LB368=70%,VLOOKUP($L368,'Jan-2026 rates'!$L:$R,4,0),IF($LB368=65%,VLOOKUP($L368,'Jan-2026 rates'!$L:$R,4,0),IF($LB368=40%,VLOOKUP($L368,'Jan-2026 rates'!$L:$R,5,0),IF($LB368=30%,VLOOKUP($L368,'Jan-2026 rates'!$L:$R,6,0),IF($LB368=100%,VLOOKUP($L368,'Jan-2026 rates'!$L:$R,7,0),IF($LB368=60%,VLOOKUP($L368,'Jan-2026 rates'!$L:$S,8,0),IF($LB368=80%,VLOOKUP($L368,'Jan-2026 rates'!L:T,9,0),0))))))))</f>
        <v>0</v>
      </c>
      <c r="O368" s="406"/>
      <c r="P368" s="404"/>
      <c r="Q368" s="410">
        <f>IF(P368=0,0,IF($LB368=70%,VLOOKUP($L368,'Jan-2026 rates'!$L:$R,4,0),IF($LB368=65%,VLOOKUP($L368,'Jan-2026 rates'!$L:$R,4,0),IF($LB368=40%,VLOOKUP($L368,'Jan-2026 rates'!$L:$R,5,0),IF($LB368=30%,VLOOKUP($L368,'Jan-2026 rates'!$L:$R,6,0),IF($LB368=100%,VLOOKUP($L368,'Jan-2026 rates'!$L:$R,7,0),IF($LB368=60%,VLOOKUP($L368,'Jan-2026 rates'!$L:$S,8,0),IF($LB368=80%,VLOOKUP($L368,'Jan-2026 rates'!L:T,9,0),0))))))))</f>
        <v>0</v>
      </c>
      <c r="R368" s="406">
        <v>26527000021</v>
      </c>
      <c r="S368" s="406"/>
      <c r="T368" s="406"/>
      <c r="U368" s="406"/>
      <c r="V368" s="406"/>
      <c r="W368" s="406"/>
      <c r="X368" s="406"/>
      <c r="Y368" s="406"/>
      <c r="Z368" s="404">
        <v>1</v>
      </c>
      <c r="AA368" s="398" t="e">
        <f>IF(Z368=0,0,IF(LEN(R368)=11,_xlfn.XLOOKUP(R368,'Dispensed Ink Rates'!C:C,'Dispensed Ink Rates'!CS:CS),VLOOKUP(R368,'Jan-2026 rates'!$E:$F,2,0)))</f>
        <v>#N/A</v>
      </c>
      <c r="AB368" s="404"/>
      <c r="AC368" s="398">
        <f>IF(AB368=0,0,IF(LEN(S368)=11,_xlfn.XLOOKUP(S368,'Dispensed Ink Rates'!C:C,'Dispensed Ink Rates'!CS:CS),VLOOKUP(S368,'Jan-2026 rates'!$E:$F,2,0)))</f>
        <v>0</v>
      </c>
      <c r="AD368" s="404"/>
      <c r="AE368" s="398">
        <f>IF(AD368=0,0,IF(LEN(T368)=11,_xlfn.XLOOKUP(T368,'Dispensed Ink Rates'!C:C,'Dispensed Ink Rates'!CS:CS),VLOOKUP(T368,'Jan-2026 rates'!$E:$F,2,0)))</f>
        <v>0</v>
      </c>
      <c r="AF368" s="404"/>
      <c r="AG368" s="398">
        <f>IF(AF368=0,0,IF(LEN(U368)=11,_xlfn.XLOOKUP(U368,'Dispensed Ink Rates'!C:C,'Dispensed Ink Rates'!CS:CS),VLOOKUP(U368,'Jan-2026 rates'!$E:$F,2,0)))</f>
        <v>0</v>
      </c>
      <c r="AH368" s="404"/>
      <c r="AI368" s="398">
        <f>IF(AH368=0,0,IF(LEN(V368)=11,_xlfn.XLOOKUP(V368,'Dispensed Ink Rates'!C:C,'Dispensed Ink Rates'!CS:CS),VLOOKUP(V368,'Jan-2026 rates'!$E:$F,2,0)))</f>
        <v>0</v>
      </c>
      <c r="AJ368" s="404"/>
      <c r="AK368" s="398">
        <f>IF(AJ368=0,0,IF(LEN(W368)=11,_xlfn.XLOOKUP(W368,'Dispensed Ink Rates'!C:C,'Dispensed Ink Rates'!CS:CS),VLOOKUP(W368,'Jan-2026 rates'!$E:$F,2,0)))</f>
        <v>0</v>
      </c>
      <c r="AL368" s="404"/>
      <c r="AM368" s="398">
        <f>IF(AL368=0,0,IF(LEN(X368)=11,_xlfn.XLOOKUP(X368,'Dispensed Ink Rates'!C:C,'Dispensed Ink Rates'!CS:CS),VLOOKUP(X368,'Jan-2026 rates'!$E:$F,2,0)))</f>
        <v>0</v>
      </c>
      <c r="AN368" s="404"/>
      <c r="AO368" s="398">
        <f>IF(AN368=0,0,IF(LEN(Y368)=11,_xlfn.XLOOKUP(Y368,'Dispensed Ink Rates'!C:C,'Dispensed Ink Rates'!CS:CS),VLOOKUP(Y368,'Jan-2026 rates'!$E:$F,2,0)))</f>
        <v>0</v>
      </c>
      <c r="AP368" s="409" t="s">
        <v>1443</v>
      </c>
      <c r="AQ368" s="409">
        <v>30</v>
      </c>
      <c r="AR368" s="410">
        <f t="shared" si="212"/>
        <v>0</v>
      </c>
      <c r="AS368" s="411">
        <f t="shared" si="213"/>
        <v>4.9200000000000017</v>
      </c>
      <c r="AT368" s="410">
        <f t="shared" si="214"/>
        <v>0</v>
      </c>
      <c r="AU368" s="405" t="s">
        <v>547</v>
      </c>
      <c r="AV368" s="409" t="s">
        <v>4814</v>
      </c>
      <c r="AW368" s="420" t="str">
        <f t="shared" si="348"/>
        <v>FLINTSL - GREEN</v>
      </c>
      <c r="AX368" s="409">
        <v>28</v>
      </c>
      <c r="AY368" s="411">
        <f>IF(AX368=0,0,IF($LB368=70%,VLOOKUP($AW368,'Jan-2026 rates'!$L:$R,4,0),IF($LB368=65%,VLOOKUP($AW368,'Jan-2026 rates'!$L:$R,4,0),IF($LB368=40%,VLOOKUP($AW368,'Jan-2026 rates'!$L:$R,5,0),IF($LB368=30%,VLOOKUP($AW368,'Jan-2026 rates'!$L:$R,6,0),IF($LB368=100%,VLOOKUP($AW368,'Jan-2026 rates'!$L:$R,7,0),IF($LB368=60%,VLOOKUP($AW368,'Jan-2026 rates'!$L:$S,8,0),IF($LB368=80%,VLOOKUP($AW368,'Jan-2026 rates'!L:T,9,0),0))))))))</f>
        <v>0</v>
      </c>
      <c r="AZ368" s="412"/>
      <c r="BA368" s="409"/>
      <c r="BB368" s="411">
        <f>IF(BA368=0,0,IF($LB368=70%,VLOOKUP($AW368,'Jan-2026 rates'!$L:$R,4,0),IF($LB368=65%,VLOOKUP($AW368,'Jan-2026 rates'!$L:$R,4,0),IF($LB368=40%,VLOOKUP($AW368,'Jan-2026 rates'!$L:$R,5,0),IF($LB368=30%,VLOOKUP($AW368,'Jan-2026 rates'!$L:$R,6,0),IF($LB368=100%,VLOOKUP($AW368,'Jan-2026 rates'!$L:$R,7,0),IF($LB368=60%,VLOOKUP($AW368,'Jan-2026 rates'!$L:$S,8,0),IF($LB368=80%,VLOOKUP($AW368,'Jan-2026 rates'!L:T,9,0),0))))))))</f>
        <v>0</v>
      </c>
      <c r="BC368" s="413">
        <v>26524000018</v>
      </c>
      <c r="BD368" s="412"/>
      <c r="BE368" s="412"/>
      <c r="BF368" s="413"/>
      <c r="BG368" s="412"/>
      <c r="BH368" s="412"/>
      <c r="BI368" s="412"/>
      <c r="BJ368" s="412"/>
      <c r="BK368" s="409">
        <v>1</v>
      </c>
      <c r="BL368" s="398" t="e">
        <f>IF(BK368=0,0,IF(LEN(BC368)=11,_xlfn.XLOOKUP(BC368,'Dispensed Ink Rates'!C:C,'Dispensed Ink Rates'!CS:CS),VLOOKUP(BC368,'Jan-2026 rates'!$E:$F,2,0)))</f>
        <v>#N/A</v>
      </c>
      <c r="BM368" s="409"/>
      <c r="BN368" s="398">
        <f>IF(BM368=0,0,IF(LEN(BD368)=11,_xlfn.XLOOKUP(BD368,'Dispensed Ink Rates'!C:C,'Dispensed Ink Rates'!CS:CS),VLOOKUP(BD368,'Jan-2026 rates'!$E:$F,2,0)))</f>
        <v>0</v>
      </c>
      <c r="BO368" s="409"/>
      <c r="BP368" s="398">
        <f>IF(BO368=0,0,IF(LEN(BE368)=11,_xlfn.XLOOKUP(BE368,'Dispensed Ink Rates'!C:C,'Dispensed Ink Rates'!CS:CS),VLOOKUP(BE368,'Jan-2026 rates'!$E:$F,2,0)))</f>
        <v>0</v>
      </c>
      <c r="BQ368" s="409"/>
      <c r="BR368" s="398">
        <f>IF(BQ368=0,0,IF(LEN(BF368)=11,_xlfn.XLOOKUP(BF368,'Dispensed Ink Rates'!C:C,'Dispensed Ink Rates'!CS:CS),VLOOKUP(BF368,'Jan-2026 rates'!$E:$F,2,0)))</f>
        <v>0</v>
      </c>
      <c r="BS368" s="409"/>
      <c r="BT368" s="398">
        <f>IF(BS368=0,0,IF(LEN(BG368)=11,_xlfn.XLOOKUP(BG368,'Dispensed Ink Rates'!C:C,'Dispensed Ink Rates'!CS:CS),VLOOKUP(BG368,'Jan-2026 rates'!$E:$F,2,0)))</f>
        <v>0</v>
      </c>
      <c r="BU368" s="409"/>
      <c r="BV368" s="398">
        <f>IF(BU368=0,0,IF(LEN(BH368)=11,_xlfn.XLOOKUP(BH368,'Dispensed Ink Rates'!C:C,'Dispensed Ink Rates'!CS:CS),VLOOKUP(BH368,'Jan-2026 rates'!$E:$F,2,0)))</f>
        <v>0</v>
      </c>
      <c r="BW368" s="409"/>
      <c r="BX368" s="398">
        <f>IF(BW368=0,0,IF(LEN(BI368)=11,_xlfn.XLOOKUP(BI368,'Dispensed Ink Rates'!C:C,'Dispensed Ink Rates'!CS:CS),VLOOKUP(BI368,'Jan-2026 rates'!$E:$F,2,0)))</f>
        <v>0</v>
      </c>
      <c r="BY368" s="409"/>
      <c r="BZ368" s="398">
        <f>IF(BY368=0,0,IF(LEN(BJ368)=11,_xlfn.XLOOKUP(BJ368,'Dispensed Ink Rates'!C:C,'Dispensed Ink Rates'!CS:CS),VLOOKUP(BJ368,'Jan-2026 rates'!$E:$F,2,0)))</f>
        <v>0</v>
      </c>
      <c r="CA368" s="409" t="s">
        <v>1443</v>
      </c>
      <c r="CB368" s="409">
        <v>30</v>
      </c>
      <c r="CC368" s="411">
        <f t="shared" si="215"/>
        <v>0</v>
      </c>
      <c r="CD368" s="411">
        <f t="shared" si="216"/>
        <v>1.9600000000000009</v>
      </c>
      <c r="CE368" s="410">
        <f t="shared" si="217"/>
        <v>0</v>
      </c>
      <c r="CF368" s="404" t="s">
        <v>855</v>
      </c>
      <c r="CG368" s="409" t="s">
        <v>4815</v>
      </c>
      <c r="CH368" s="420" t="str">
        <f t="shared" si="185"/>
        <v>FLINTSL - CYAN</v>
      </c>
      <c r="CI368" s="409">
        <v>30</v>
      </c>
      <c r="CJ368" s="411">
        <f>IF(CI368=0,0,IF($LB368=70%,VLOOKUP($CH368,'Jan-2026 rates'!$L:$R,4,0),IF($LB368=65%,VLOOKUP($CH368,'Jan-2026 rates'!$L:$R,4,0),IF($LB368=40%,VLOOKUP($CH368,'Jan-2026 rates'!$L:$R,5,0),IF($LB368=30%,VLOOKUP($CH368,'Jan-2026 rates'!$L:$R,6,0),IF($LB368=100%,VLOOKUP($CH368,'Jan-2026 rates'!$L:$R,7,0),IF($LB368=60%,VLOOKUP($CH368,'Jan-2026 rates'!$L:$S,8,0),IF($LB368=80%,VLOOKUP($CH368,'Jan-2026 rates'!L:T,9,0),0))))))))</f>
        <v>0</v>
      </c>
      <c r="CK368" s="412"/>
      <c r="CL368" s="409"/>
      <c r="CM368" s="411">
        <f>IF(CL368=0,0,IF($LB368=70%,VLOOKUP($CH368,'Jan-2026 rates'!$L:$R,4,0),IF($LB368=65%,VLOOKUP($CH368,'Jan-2026 rates'!$L:$R,4,0),IF($LB368=40%,VLOOKUP($CH368,'Jan-2026 rates'!$L:$R,5,0),IF($LB368=30%,VLOOKUP($CH368,'Jan-2026 rates'!$L:$R,6,0),IF($LB368=100%,VLOOKUP($CH368,'Jan-2026 rates'!$L:$R,7,0),IF($LB368=60%,VLOOKUP($CH368,'Jan-2026 rates'!$L:$S,8,0),IF($LB368=80%,VLOOKUP($CH368,'Jan-2026 rates'!L:T,9,0),0))))))))</f>
        <v>0</v>
      </c>
      <c r="CN368" s="426" t="s">
        <v>1266</v>
      </c>
      <c r="CO368" s="427"/>
      <c r="CP368" s="426"/>
      <c r="CQ368" s="426"/>
      <c r="CR368" s="428"/>
      <c r="CS368" s="428"/>
      <c r="CT368" s="428"/>
      <c r="CU368" s="428"/>
      <c r="CV368" s="409">
        <v>3</v>
      </c>
      <c r="CW368" s="398">
        <f>IF(CV368=0,0,IF(LEN(CN368)=11,_xlfn.XLOOKUP(CN368,'Dispensed Ink Rates'!C:C,'Dispensed Ink Rates'!CS:CS),VLOOKUP(CN368,'Jan-2026 rates'!$E:$F,2,0)))</f>
        <v>0</v>
      </c>
      <c r="CX368" s="409"/>
      <c r="CY368" s="398">
        <f>IF(CX368=0,0,IF(LEN(CO368)=11,_xlfn.XLOOKUP(CO368,'Dispensed Ink Rates'!C:C,'Dispensed Ink Rates'!CS:CS),VLOOKUP(CO368,'Jan-2026 rates'!$E:$F,2,0)))</f>
        <v>0</v>
      </c>
      <c r="CZ368" s="409"/>
      <c r="DA368" s="398">
        <f>IF(CZ368=0,0,IF(LEN(CP368)=11,_xlfn.XLOOKUP(CP368,'Dispensed Ink Rates'!C:C,'Dispensed Ink Rates'!CS:CS),VLOOKUP(CP368,'Jan-2026 rates'!$E:$F,2,0)))</f>
        <v>0</v>
      </c>
      <c r="DB368" s="409"/>
      <c r="DC368" s="398">
        <f>IF(DB368=0,0,IF(LEN(CQ368)=11,_xlfn.XLOOKUP(CQ368,'Dispensed Ink Rates'!C:C,'Dispensed Ink Rates'!CS:CS),VLOOKUP(CQ368,'Jan-2026 rates'!$E:$F,2,0)))</f>
        <v>0</v>
      </c>
      <c r="DD368" s="409"/>
      <c r="DE368" s="398">
        <f>IF(DD368=0,0,IF(LEN(CR368)=11,_xlfn.XLOOKUP(CR368,'Dispensed Ink Rates'!C:C,'Dispensed Ink Rates'!CS:CS),VLOOKUP(CR368,'Jan-2026 rates'!$E:$F,2,0)))</f>
        <v>0</v>
      </c>
      <c r="DF368" s="409"/>
      <c r="DG368" s="398">
        <f>IF(DF368=0,0,IF(LEN(CS368)=11,_xlfn.XLOOKUP(CS368,'Dispensed Ink Rates'!C:C,'Dispensed Ink Rates'!CS:CS),VLOOKUP(CS368,'Jan-2026 rates'!$E:$F,2,0)))</f>
        <v>0</v>
      </c>
      <c r="DH368" s="409"/>
      <c r="DI368" s="398">
        <f>IF(DH368=0,0,IF(LEN(CT368)=11,_xlfn.XLOOKUP(CT368,'Dispensed Ink Rates'!C:C,'Dispensed Ink Rates'!CS:CS),VLOOKUP(CT368,'Jan-2026 rates'!$E:$F,2,0)))</f>
        <v>0</v>
      </c>
      <c r="DJ368" s="409"/>
      <c r="DK368" s="398">
        <f>IF(DJ368=0,0,IF(LEN(CU368)=11,_xlfn.XLOOKUP(CU368,'Dispensed Ink Rates'!C:C,'Dispensed Ink Rates'!CS:CS),VLOOKUP(CU368,'Jan-2026 rates'!$E:$F,2,0)))</f>
        <v>0</v>
      </c>
      <c r="DL368" s="409" t="s">
        <v>1443</v>
      </c>
      <c r="DM368" s="409">
        <v>30</v>
      </c>
      <c r="DN368" s="411">
        <f t="shared" si="218"/>
        <v>0</v>
      </c>
      <c r="DO368" s="411">
        <f t="shared" si="219"/>
        <v>8.9200000000000017</v>
      </c>
      <c r="DP368" s="410">
        <f t="shared" si="220"/>
        <v>0</v>
      </c>
      <c r="DQ368" s="405" t="s">
        <v>544</v>
      </c>
      <c r="DR368" s="409" t="s">
        <v>4816</v>
      </c>
      <c r="DS368" s="420" t="str">
        <f t="shared" si="186"/>
        <v>FLINTSL - MAGENTA</v>
      </c>
      <c r="DT368" s="409">
        <v>30</v>
      </c>
      <c r="DU368" s="411">
        <f>IF(DT368=0,0,IF($LB368=70%,VLOOKUP($DS368,'Jan-2026 rates'!$L:$R,4,0),IF($LB368=65%,VLOOKUP($DS368,'Jan-2026 rates'!$L:$R,4,0),IF($LB368=40%,VLOOKUP($DS368,'Jan-2026 rates'!$L:$R,5,0),IF($LB368=30%,VLOOKUP($DS368,'Jan-2026 rates'!$L:$R,6,0),IF($LB368=100%,VLOOKUP($DS368,'Jan-2026 rates'!$L:$R,7,0),IF($LB368=60%,VLOOKUP($DS368,'Jan-2026 rates'!$L:$S,8,0),IF($LB368=80%,VLOOKUP($DS368,'Jan-2026 rates'!L:T,9,0),0))))))))</f>
        <v>0</v>
      </c>
      <c r="DV368" s="412"/>
      <c r="DW368" s="409"/>
      <c r="DX368" s="411">
        <f>IF(DW368=0,0,IF($LB368=70%,VLOOKUP($DS368,'Jan-2026 rates'!$L:$R,4,0),IF($LB368=65%,VLOOKUP($DS368,'Jan-2026 rates'!$L:$R,4,0),IF($LB368=40%,VLOOKUP($DS368,'Jan-2026 rates'!$L:$R,5,0),IF($LB368=30%,VLOOKUP($DS368,'Jan-2026 rates'!$L:$R,6,0),IF($LB368=100%,VLOOKUP($DS368,'Jan-2026 rates'!$L:$R,7,0),IF($LB368=60%,VLOOKUP($DS368,'Jan-2026 rates'!$L:$S,8,0),IF($LB368=80%,VLOOKUP($DS368,'Jan-2026 rates'!L:T,9,0),0))))))))</f>
        <v>0</v>
      </c>
      <c r="DY368" s="413">
        <v>26528000020</v>
      </c>
      <c r="DZ368" s="413"/>
      <c r="EA368" s="412"/>
      <c r="EB368" s="412"/>
      <c r="EC368" s="412"/>
      <c r="ED368" s="412"/>
      <c r="EE368" s="412"/>
      <c r="EF368" s="412"/>
      <c r="EG368" s="409">
        <v>2</v>
      </c>
      <c r="EH368" s="398" t="e">
        <f>IF(EG368=0,0,IF(LEN(DY368)=11,_xlfn.XLOOKUP(DY368,'Dispensed Ink Rates'!C:C,'Dispensed Ink Rates'!CS:CS),VLOOKUP(DY368,'Jan-2026 rates'!$E:$F,2,0)))</f>
        <v>#N/A</v>
      </c>
      <c r="EI368" s="409"/>
      <c r="EJ368" s="398">
        <f>IF(EI368=0,0,IF(LEN(DZ368)=11,_xlfn.XLOOKUP(DZ368,'Dispensed Ink Rates'!C:C,'Dispensed Ink Rates'!CS:CS),VLOOKUP(DZ368,'Jan-2026 rates'!$E:$F,2,0)))</f>
        <v>0</v>
      </c>
      <c r="EK368" s="409"/>
      <c r="EL368" s="398">
        <f>IF(EK368=0,0,IF(LEN(EA368)=11,_xlfn.XLOOKUP(EA368,'Dispensed Ink Rates'!C:C,'Dispensed Ink Rates'!CS:CS),VLOOKUP(EA368,'Jan-2026 rates'!$E:$F,2,0)))</f>
        <v>0</v>
      </c>
      <c r="EM368" s="409"/>
      <c r="EN368" s="398">
        <f>IF(EM368=0,0,IF(LEN(EB368)=11,_xlfn.XLOOKUP(EB368,'Dispensed Ink Rates'!C:C,'Dispensed Ink Rates'!CS:CS),VLOOKUP(EB368,'Jan-2026 rates'!$E:$F,2,0)))</f>
        <v>0</v>
      </c>
      <c r="EO368" s="409"/>
      <c r="EP368" s="398">
        <f>IF(EO368=0,0,IF(LEN(EC368)=11,_xlfn.XLOOKUP(EC368,'Dispensed Ink Rates'!C:C,'Dispensed Ink Rates'!CS:CS),VLOOKUP(EC368,'Jan-2026 rates'!$E:$F,2,0)))</f>
        <v>0</v>
      </c>
      <c r="EQ368" s="409"/>
      <c r="ER368" s="398">
        <f>IF(EQ368=0,0,IF(LEN(ED368)=11,_xlfn.XLOOKUP(ED368,'Dispensed Ink Rates'!C:C,'Dispensed Ink Rates'!CS:CS),VLOOKUP(ED368,'Jan-2026 rates'!$E:$F,2,0)))</f>
        <v>0</v>
      </c>
      <c r="ES368" s="409"/>
      <c r="ET368" s="398">
        <f>IF(ES368=0,0,IF(LEN(EE368)=11,_xlfn.XLOOKUP(EE368,'Dispensed Ink Rates'!C:C,'Dispensed Ink Rates'!CS:CS),VLOOKUP(EE368,'Jan-2026 rates'!$E:$F,2,0)))</f>
        <v>0</v>
      </c>
      <c r="EU368" s="409"/>
      <c r="EV368" s="398">
        <f>IF(EU368=0,0,IF(LEN(EF368)=11,_xlfn.XLOOKUP(EF368,'Dispensed Ink Rates'!C:C,'Dispensed Ink Rates'!CS:CS),VLOOKUP(EF368,'Jan-2026 rates'!$E:$F,2,0)))</f>
        <v>0</v>
      </c>
      <c r="EW368" s="409" t="s">
        <v>1443</v>
      </c>
      <c r="EX368" s="409">
        <v>31</v>
      </c>
      <c r="EY368" s="411">
        <f t="shared" si="221"/>
        <v>0</v>
      </c>
      <c r="EZ368" s="411">
        <f t="shared" si="222"/>
        <v>6.9200000000000017</v>
      </c>
      <c r="FA368" s="410">
        <f t="shared" si="223"/>
        <v>0</v>
      </c>
      <c r="FB368" s="405" t="s">
        <v>545</v>
      </c>
      <c r="FC368" s="409" t="s">
        <v>4817</v>
      </c>
      <c r="FD368" s="420" t="str">
        <f t="shared" si="187"/>
        <v>FLINTSL - YELLOW</v>
      </c>
      <c r="FE368" s="409">
        <v>29</v>
      </c>
      <c r="FF368" s="411">
        <f>IF(FE368=0,0,IF($LB368=70%,VLOOKUP($FD368,'Jan-2026 rates'!$L:$R,4,0),IF($LB368=65%,VLOOKUP($FD368,'Jan-2026 rates'!$L:$R,4,0),IF($LB368=40%,VLOOKUP($FD368,'Jan-2026 rates'!$L:$R,5,0),IF($LB368=30%,VLOOKUP($FD368,'Jan-2026 rates'!$L:$R,6,0),IF($LB368=100%,VLOOKUP($FD368,'Jan-2026 rates'!$L:$R,7,0),IF($LB368=60%,VLOOKUP($FD368,'Jan-2026 rates'!$L:$S,8,0),IF($LB368=80%,VLOOKUP($FD368,'Jan-2026 rates'!L:T,9,0),0))))))))</f>
        <v>0</v>
      </c>
      <c r="FG368" s="412"/>
      <c r="FH368" s="409"/>
      <c r="FI368" s="411">
        <f>IF(FH368=0,0,IF($LB368=70%,VLOOKUP($FD368,'Jan-2026 rates'!$L:$R,4,0),IF($LB368=65%,VLOOKUP($FD368,'Jan-2026 rates'!$L:$R,4,0),IF($LB368=40%,VLOOKUP($FD368,'Jan-2026 rates'!$L:$R,5,0),IF($LB368=30%,VLOOKUP($FD368,'Jan-2026 rates'!$L:$R,6,0),IF($LB368=100%,VLOOKUP($FD368,'Jan-2026 rates'!$L:$R,7,0),IF($LB368=60%,VLOOKUP($FD368,'Jan-2026 rates'!$L:$S,8,0),IF($LB368=80%,VLOOKUP($FD368,'Jan-2026 rates'!L:T,9,0),0))))))))</f>
        <v>0</v>
      </c>
      <c r="FJ368" s="413" t="s">
        <v>1266</v>
      </c>
      <c r="FK368" s="413">
        <v>26527000025</v>
      </c>
      <c r="FL368" s="413"/>
      <c r="FM368" s="412"/>
      <c r="FN368" s="412"/>
      <c r="FO368" s="412"/>
      <c r="FP368" s="412"/>
      <c r="FQ368" s="412"/>
      <c r="FR368" s="409">
        <v>5</v>
      </c>
      <c r="FS368" s="398">
        <f>IF(FR368=0,0,IF(LEN(FJ368)=11,_xlfn.XLOOKUP(FJ368,'Dispensed Ink Rates'!C:C,'Dispensed Ink Rates'!CS:CS),VLOOKUP(FJ368,'Jan-2026 rates'!$E:$F,2,0)))</f>
        <v>0</v>
      </c>
      <c r="FT368" s="409">
        <v>2</v>
      </c>
      <c r="FU368" s="398" t="e">
        <f>IF(FT368=0,0,IF(LEN(FK368)=11,_xlfn.XLOOKUP(FK368,'Dispensed Ink Rates'!C:C,'Dispensed Ink Rates'!CS:CS),VLOOKUP(FK368,'Jan-2026 rates'!$E:$F,2,0)))</f>
        <v>#N/A</v>
      </c>
      <c r="FV368" s="409"/>
      <c r="FW368" s="398">
        <f>IF(FV368=0,0,IF(LEN(FL368)=11,_xlfn.XLOOKUP(FL368,'Dispensed Ink Rates'!C:C,'Dispensed Ink Rates'!CS:CS),VLOOKUP(FL368,'Jan-2026 rates'!$E:$F,2,0)))</f>
        <v>0</v>
      </c>
      <c r="FX368" s="409"/>
      <c r="FY368" s="398">
        <f>IF(FX368=0,0,IF(LEN(FM368)=11,_xlfn.XLOOKUP(FM368,'Dispensed Ink Rates'!C:C,'Dispensed Ink Rates'!CS:CS),VLOOKUP(FM368,'Jan-2026 rates'!$E:$F,2,0)))</f>
        <v>0</v>
      </c>
      <c r="FZ368" s="409"/>
      <c r="GA368" s="398">
        <f>IF(FZ368=0,0,IF(LEN(FN368)=11,_xlfn.XLOOKUP(FN368,'Dispensed Ink Rates'!C:C,'Dispensed Ink Rates'!CS:CS),VLOOKUP(FN368,'Jan-2026 rates'!$E:$F,2,0)))</f>
        <v>0</v>
      </c>
      <c r="GB368" s="409"/>
      <c r="GC368" s="398">
        <f>IF(GB368=0,0,IF(LEN(FO368)=11,_xlfn.XLOOKUP(FO368,'Dispensed Ink Rates'!C:C,'Dispensed Ink Rates'!CS:CS),VLOOKUP(FO368,'Jan-2026 rates'!$E:$F,2,0)))</f>
        <v>0</v>
      </c>
      <c r="GD368" s="409"/>
      <c r="GE368" s="398">
        <f>IF(GD368=0,0,IF(LEN(FP368)=11,_xlfn.XLOOKUP(FP368,'Dispensed Ink Rates'!C:C,'Dispensed Ink Rates'!CS:CS),VLOOKUP(FP368,'Jan-2026 rates'!$E:$F,2,0)))</f>
        <v>0</v>
      </c>
      <c r="GF368" s="409"/>
      <c r="GG368" s="398">
        <f>IF(GF368=0,0,IF(LEN(FQ368)=11,_xlfn.XLOOKUP(FQ368,'Dispensed Ink Rates'!C:C,'Dispensed Ink Rates'!CS:CS),VLOOKUP(FQ368,'Jan-2026 rates'!$E:$F,2,0)))</f>
        <v>0</v>
      </c>
      <c r="GH368" s="409" t="s">
        <v>1443</v>
      </c>
      <c r="GI368" s="409">
        <v>29</v>
      </c>
      <c r="GJ368" s="411">
        <f t="shared" si="224"/>
        <v>0</v>
      </c>
      <c r="GK368" s="411">
        <f t="shared" si="225"/>
        <v>15.879999999999995</v>
      </c>
      <c r="GL368" s="410">
        <f t="shared" si="226"/>
        <v>0</v>
      </c>
      <c r="GM368" s="405" t="s">
        <v>857</v>
      </c>
      <c r="GN368" s="409" t="s">
        <v>4818</v>
      </c>
      <c r="GO368" s="420" t="str">
        <f t="shared" si="188"/>
        <v>FLINTSL - RED</v>
      </c>
      <c r="GP368" s="409">
        <v>12</v>
      </c>
      <c r="GQ368" s="411">
        <f>IF(GP368=0,0,IF($LB368=70%,VLOOKUP($GO368,'Jan-2026 rates'!$L:$R,4,0),IF($LB368=65%,VLOOKUP($GO368,'Jan-2026 rates'!$L:$R,4,0),IF($LB368=40%,VLOOKUP($GO368,'Jan-2026 rates'!$L:$R,5,0),IF($LB368=30%,VLOOKUP($GO368,'Jan-2026 rates'!$L:$R,6,0),IF($LB368=100%,VLOOKUP($GO368,'Jan-2026 rates'!$L:$R,7,0),IF($LB368=60%,VLOOKUP($GO368,'Jan-2026 rates'!$L:$S,8,0),IF($LB368=80%,VLOOKUP($GO368,'Jan-2026 rates'!L:T,9,0),0))))))))</f>
        <v>0</v>
      </c>
      <c r="GR368" s="412"/>
      <c r="GS368" s="409"/>
      <c r="GT368" s="411">
        <f>IF(GS368=0,0,IF($LB368=70%,VLOOKUP($GO368,'Jan-2026 rates'!$L:$R,4,0),IF($LB368=65%,VLOOKUP($GO368,'Jan-2026 rates'!$L:$R,4,0),IF($LB368=40%,VLOOKUP($GO368,'Jan-2026 rates'!$L:$R,5,0),IF($LB368=30%,VLOOKUP($GO368,'Jan-2026 rates'!$L:$R,6,0),IF($LB368=100%,VLOOKUP($GO368,'Jan-2026 rates'!$L:$R,7,0),IF($LB368=60%,VLOOKUP($GO368,'Jan-2026 rates'!$L:$S,8,0),IF($LB368=80%,VLOOKUP($GO368,'Jan-2026 rates'!L:T,9,0),0))))))))</f>
        <v>0</v>
      </c>
      <c r="GU368" s="413">
        <v>26528000011</v>
      </c>
      <c r="GV368" s="413">
        <v>26528000012</v>
      </c>
      <c r="GW368" s="412">
        <v>26528000005</v>
      </c>
      <c r="GX368" s="412">
        <v>26529000007</v>
      </c>
      <c r="GY368" s="412"/>
      <c r="GZ368" s="412"/>
      <c r="HA368" s="412"/>
      <c r="HB368" s="412"/>
      <c r="HC368" s="409">
        <v>40</v>
      </c>
      <c r="HD368" s="398" t="e">
        <f>IF(HC368=0,0,IF(LEN(GU368)=11,_xlfn.XLOOKUP(GU368,'Dispensed Ink Rates'!C:C,'Dispensed Ink Rates'!CS:CS),VLOOKUP(GU368,'Jan-2026 rates'!$E:$F,2,0)))</f>
        <v>#N/A</v>
      </c>
      <c r="HE368" s="409">
        <v>40</v>
      </c>
      <c r="HF368" s="398" t="e">
        <f>IF(HE368=0,0,IF(LEN(GV368)=11,_xlfn.XLOOKUP(GV368,'Dispensed Ink Rates'!C:C,'Dispensed Ink Rates'!CS:CS),VLOOKUP(GV368,'Jan-2026 rates'!$E:$F,2,0)))</f>
        <v>#N/A</v>
      </c>
      <c r="HG368" s="409">
        <f>40+3</f>
        <v>43</v>
      </c>
      <c r="HH368" s="398" t="e">
        <f>IF(HG368=0,0,IF(LEN(GW368)=11,_xlfn.XLOOKUP(GW368,'Dispensed Ink Rates'!C:C,'Dispensed Ink Rates'!CS:CS),VLOOKUP(GW368,'Jan-2026 rates'!$E:$F,2,0)))</f>
        <v>#N/A</v>
      </c>
      <c r="HI368" s="409">
        <v>2</v>
      </c>
      <c r="HJ368" s="398" t="e">
        <f>IF(HI368=0,0,IF(LEN(GX368)=11,_xlfn.XLOOKUP(GX368,'Dispensed Ink Rates'!C:C,'Dispensed Ink Rates'!CS:CS),VLOOKUP(GX368,'Jan-2026 rates'!$E:$F,2,0)))</f>
        <v>#N/A</v>
      </c>
      <c r="HK368" s="409"/>
      <c r="HL368" s="398">
        <f>IF(HK368=0,0,IF(LEN(GY368)=11,_xlfn.XLOOKUP(GY368,'Dispensed Ink Rates'!C:C,'Dispensed Ink Rates'!CS:CS),VLOOKUP(GY368,'Jan-2026 rates'!$E:$F,2,0)))</f>
        <v>0</v>
      </c>
      <c r="HM368" s="409"/>
      <c r="HN368" s="398">
        <f>IF(HM368=0,0,IF(LEN(GZ368)=11,_xlfn.XLOOKUP(GZ368,'Dispensed Ink Rates'!C:C,'Dispensed Ink Rates'!CS:CS),VLOOKUP(GZ368,'Jan-2026 rates'!$E:$F,2,0)))</f>
        <v>0</v>
      </c>
      <c r="HO368" s="409"/>
      <c r="HP368" s="398">
        <f>IF(HO368=0,0,IF(LEN(HA368)=11,_xlfn.XLOOKUP(HA368,'Dispensed Ink Rates'!C:C,'Dispensed Ink Rates'!CS:CS),VLOOKUP(HA368,'Jan-2026 rates'!$E:$F,2,0)))</f>
        <v>0</v>
      </c>
      <c r="HQ368" s="409"/>
      <c r="HR368" s="398">
        <f>IF(HQ368=0,0,IF(LEN(HB368)=11,_xlfn.XLOOKUP(HB368,'Dispensed Ink Rates'!C:C,'Dispensed Ink Rates'!CS:CS),VLOOKUP(HB368,'Jan-2026 rates'!$E:$F,2,0)))</f>
        <v>0</v>
      </c>
      <c r="HS368" s="409" t="s">
        <v>1443</v>
      </c>
      <c r="HT368" s="409">
        <v>38</v>
      </c>
      <c r="HU368" s="411">
        <f t="shared" si="227"/>
        <v>0</v>
      </c>
      <c r="HV368" s="411">
        <f t="shared" si="228"/>
        <v>122.68</v>
      </c>
      <c r="HW368" s="414">
        <f t="shared" si="229"/>
        <v>0</v>
      </c>
      <c r="HX368" s="405" t="s">
        <v>828</v>
      </c>
      <c r="HY368" s="409" t="s">
        <v>4819</v>
      </c>
      <c r="HZ368" s="420" t="str">
        <f t="shared" si="189"/>
        <v>FLINTSL - ORANGE</v>
      </c>
      <c r="IA368" s="409">
        <v>28</v>
      </c>
      <c r="IB368" s="411">
        <f>IF(IA368=0,0,IF($LB368=70%,VLOOKUP($HZ368,'Jan-2026 rates'!$L:$R,4,0),IF($LB368=65%,VLOOKUP($HZ368,'Jan-2026 rates'!$L:$R,4,0),IF($LB368=40%,VLOOKUP($HZ368,'Jan-2026 rates'!$L:$R,5,0),IF($LB368=30%,VLOOKUP($HZ368,'Jan-2026 rates'!$L:$R,6,0),IF($LB368=100%,VLOOKUP($HZ368,'Jan-2026 rates'!$L:$R,7,0),IF($LB368=60%,VLOOKUP($HZ368,'Jan-2026 rates'!$L:$S,8,0),IF($LB368=80%,VLOOKUP($HZ368,'Jan-2026 rates'!L:T,9,0),0))))))))</f>
        <v>0</v>
      </c>
      <c r="IC368" s="412"/>
      <c r="ID368" s="409"/>
      <c r="IE368" s="411">
        <f>IF(ID368=0,0,IF($LB368=70%,VLOOKUP($HZ368,'Jan-2026 rates'!$L:$R,4,0),IF($LB368=65%,VLOOKUP($HZ368,'Jan-2026 rates'!$L:$R,4,0),IF($LB368=40%,VLOOKUP($HZ368,'Jan-2026 rates'!$L:$R,5,0),IF($LB368=30%,VLOOKUP($HZ368,'Jan-2026 rates'!$L:$R,6,0),IF($LB368=100%,VLOOKUP($HZ368,'Jan-2026 rates'!$L:$R,7,0),IF($LB368=60%,VLOOKUP($HZ368,'Jan-2026 rates'!$L:$S,8,0),IF($LB368=80%,VLOOKUP($HZ368,'Jan-2026 rates'!L:T,9,0),0))))))))</f>
        <v>0</v>
      </c>
      <c r="IF368" s="412">
        <v>26527000012</v>
      </c>
      <c r="IG368" s="413"/>
      <c r="IH368" s="412"/>
      <c r="II368" s="412"/>
      <c r="IJ368" s="412"/>
      <c r="IK368" s="412"/>
      <c r="IL368" s="412"/>
      <c r="IM368" s="412"/>
      <c r="IN368" s="409">
        <v>2</v>
      </c>
      <c r="IO368" s="398" t="e">
        <f>IF(IN368=0,0,IF(LEN(IF368)=11,_xlfn.XLOOKUP(IF368,'Dispensed Ink Rates'!C:C,'Dispensed Ink Rates'!CS:CS),VLOOKUP(IF368,'Jan-2026 rates'!$E:$F,2,0)))</f>
        <v>#N/A</v>
      </c>
      <c r="IP368" s="409"/>
      <c r="IQ368" s="398">
        <f>IF(IP368=0,0,IF(LEN(IG368)=11,_xlfn.XLOOKUP(IG368,'Dispensed Ink Rates'!C:C,'Dispensed Ink Rates'!CS:CS),VLOOKUP(IG368,'Jan-2026 rates'!$E:$F,2,0)))</f>
        <v>0</v>
      </c>
      <c r="IR368" s="409"/>
      <c r="IS368" s="398">
        <f>IF(IR368=0,0,IF(LEN(IH368)=11,_xlfn.XLOOKUP(IH368,'Dispensed Ink Rates'!C:C,'Dispensed Ink Rates'!CS:CS),VLOOKUP(IH368,'Jan-2026 rates'!$E:$F,2,0)))</f>
        <v>0</v>
      </c>
      <c r="IT368" s="409"/>
      <c r="IU368" s="398">
        <f>IF(IT368=0,0,IF(LEN(II368)=11,_xlfn.XLOOKUP(II368,'Dispensed Ink Rates'!C:C,'Dispensed Ink Rates'!CS:CS),VLOOKUP(II368,'Jan-2026 rates'!$E:$F,2,0)))</f>
        <v>0</v>
      </c>
      <c r="IV368" s="409"/>
      <c r="IW368" s="398">
        <f>IF(IV368=0,0,IF(LEN(IJ368)=11,_xlfn.XLOOKUP(IJ368,'Dispensed Ink Rates'!C:C,'Dispensed Ink Rates'!CS:CS),VLOOKUP(IJ368,'Jan-2026 rates'!$E:$F,2,0)))</f>
        <v>0</v>
      </c>
      <c r="IX368" s="409"/>
      <c r="IY368" s="398">
        <f>IF(IX368=0,0,IF(LEN(IK368)=11,_xlfn.XLOOKUP(IK368,'Dispensed Ink Rates'!C:C,'Dispensed Ink Rates'!CS:CS),VLOOKUP(IK368,'Jan-2026 rates'!$E:$F,2,0)))</f>
        <v>0</v>
      </c>
      <c r="IZ368" s="409"/>
      <c r="JA368" s="398">
        <f>IF(IZ368=0,0,IF(LEN(IL368)=11,_xlfn.XLOOKUP(IL368,'Dispensed Ink Rates'!C:C,'Dispensed Ink Rates'!CS:CS),VLOOKUP(IL368,'Jan-2026 rates'!$E:$F,2,0)))</f>
        <v>0</v>
      </c>
      <c r="JB368" s="409"/>
      <c r="JC368" s="398">
        <f>IF(JB368=0,0,IF(LEN(IM368)=11,_xlfn.XLOOKUP(IM368,'Dispensed Ink Rates'!C:C,'Dispensed Ink Rates'!CS:CS),VLOOKUP(IM368,'Jan-2026 rates'!$E:$F,2,0)))</f>
        <v>0</v>
      </c>
      <c r="JD368" s="409" t="s">
        <v>1443</v>
      </c>
      <c r="JE368" s="409">
        <v>30</v>
      </c>
      <c r="JF368" s="411">
        <f t="shared" si="230"/>
        <v>0</v>
      </c>
      <c r="JG368" s="411">
        <f t="shared" si="231"/>
        <v>5.9200000000000017</v>
      </c>
      <c r="JH368" s="410">
        <f t="shared" si="232"/>
        <v>0</v>
      </c>
      <c r="JI368" s="405" t="s">
        <v>856</v>
      </c>
      <c r="JJ368" s="409" t="s">
        <v>4820</v>
      </c>
      <c r="JK368" s="420" t="str">
        <f t="shared" si="190"/>
        <v>FLINTSL - WHITE</v>
      </c>
      <c r="JL368" s="409">
        <v>30</v>
      </c>
      <c r="JM368" s="411">
        <f>IF(JL368=0,0,IF($LB368=70%,VLOOKUP($JK368,'Jan-2026 rates'!$L:$R,4,0),IF($LB368=65%,VLOOKUP($JK368,'Jan-2026 rates'!$L:$R,4,0),IF($LB368=40%,VLOOKUP($JK368,'Jan-2026 rates'!$L:$R,5,0),IF($LB368=30%,VLOOKUP($JK368,'Jan-2026 rates'!$L:$R,6,0),IF($LB368=100%,VLOOKUP($JK368,'Jan-2026 rates'!$L:$R,7,0),IF($LB368=60%,VLOOKUP($JK368,'Jan-2026 rates'!$L:$S,8,0),IF($LB368=80%,VLOOKUP($JK368,'Jan-2026 rates'!L:T,9,0),0))))))))</f>
        <v>0</v>
      </c>
      <c r="JN368" s="412"/>
      <c r="JO368" s="409"/>
      <c r="JP368" s="411">
        <f>IF(JO368=0,0,IF($LB368=70%,VLOOKUP($JK368,'Jan-2026 rates'!$L:$R,4,0),IF($LB368=65%,VLOOKUP($JK368,'Jan-2026 rates'!$L:$R,4,0),IF($LB368=40%,VLOOKUP($JK368,'Jan-2026 rates'!$L:$R,5,0),IF($LB368=30%,VLOOKUP($JK368,'Jan-2026 rates'!$L:$R,6,0),IF($LB368=100%,VLOOKUP($JK368,'Jan-2026 rates'!$L:$R,7,0),IF($LB368=60%,VLOOKUP($JK368,'Jan-2026 rates'!$L:$S,8,0),IF($LB368=80%,VLOOKUP($JK368,'Jan-2026 rates'!L:T,9,0),0))))))))</f>
        <v>0</v>
      </c>
      <c r="JQ368" s="413" t="s">
        <v>484</v>
      </c>
      <c r="JR368" s="412"/>
      <c r="JS368" s="413"/>
      <c r="JT368" s="413"/>
      <c r="JU368" s="412"/>
      <c r="JV368" s="412"/>
      <c r="JW368" s="412"/>
      <c r="JX368" s="412"/>
      <c r="JY368" s="409">
        <v>60</v>
      </c>
      <c r="JZ368" s="398">
        <f>IF(JY368=0,0,IF(LEN(JQ368)=11,_xlfn.XLOOKUP(JQ368,'Dispensed Ink Rates'!C:C,'Dispensed Ink Rates'!CS:CS),VLOOKUP(JQ368,'Jan-2026 rates'!$E:$F,2,0)))</f>
        <v>0</v>
      </c>
      <c r="KA368" s="409"/>
      <c r="KB368" s="398">
        <f>IF(KA368=0,0,IF(LEN(JR368)=11,_xlfn.XLOOKUP(JR368,'Dispensed Ink Rates'!C:C,'Dispensed Ink Rates'!CS:CS),VLOOKUP(JR368,'Jan-2026 rates'!$E:$F,2,0)))</f>
        <v>0</v>
      </c>
      <c r="KC368" s="409"/>
      <c r="KD368" s="398">
        <f>IF(KC368=0,0,IF(LEN(JS368)=11,_xlfn.XLOOKUP(JS368,'Dispensed Ink Rates'!C:C,'Dispensed Ink Rates'!CS:CS),VLOOKUP(JS368,'Jan-2026 rates'!$E:$F,2,0)))</f>
        <v>0</v>
      </c>
      <c r="KE368" s="409"/>
      <c r="KF368" s="398">
        <f>IF(KE368=0,0,IF(LEN(JT368)=11,_xlfn.XLOOKUP(JT368,'Dispensed Ink Rates'!C:C,'Dispensed Ink Rates'!CS:CS),VLOOKUP(JT368,'Jan-2026 rates'!$E:$F,2,0)))</f>
        <v>0</v>
      </c>
      <c r="KG368" s="409"/>
      <c r="KH368" s="398">
        <f>IF(KG368=0,0,IF(LEN(JU368)=11,_xlfn.XLOOKUP(JU368,'Dispensed Ink Rates'!C:C,'Dispensed Ink Rates'!CS:CS),VLOOKUP(JU368,'Jan-2026 rates'!$E:$F,2,0)))</f>
        <v>0</v>
      </c>
      <c r="KI368" s="409"/>
      <c r="KJ368" s="398">
        <f>IF(KI368=0,0,IF(LEN(JV368)=11,_xlfn.XLOOKUP(JV368,'Dispensed Ink Rates'!C:C,'Dispensed Ink Rates'!CS:CS),VLOOKUP(JV368,'Jan-2026 rates'!$E:$F,2,0)))</f>
        <v>0</v>
      </c>
      <c r="KK368" s="409"/>
      <c r="KL368" s="398">
        <f>IF(KK368=0,0,IF(LEN(JW368)=11,_xlfn.XLOOKUP(JW368,'Dispensed Ink Rates'!C:C,'Dispensed Ink Rates'!CS:CS),VLOOKUP(JW368,'Jan-2026 rates'!$E:$F,2,0)))</f>
        <v>0</v>
      </c>
      <c r="KM368" s="428"/>
      <c r="KN368" s="398">
        <f>IF(KM368=0,0,IF(LEN(JX368)=11,_xlfn.XLOOKUP(JX368,'Dispensed Ink Rates'!C:C,'Dispensed Ink Rates'!CS:CS),VLOOKUP(JX368,'Jan-2026 rates'!$E:$F,2,0)))</f>
        <v>0</v>
      </c>
      <c r="KO368" s="409" t="s">
        <v>1443</v>
      </c>
      <c r="KP368" s="409">
        <v>29</v>
      </c>
      <c r="KQ368" s="411">
        <f t="shared" si="233"/>
        <v>0</v>
      </c>
      <c r="KR368" s="411">
        <f t="shared" si="234"/>
        <v>149.80000000000001</v>
      </c>
      <c r="KS368" s="410">
        <f t="shared" si="235"/>
        <v>0</v>
      </c>
      <c r="KT368" s="409">
        <v>2</v>
      </c>
      <c r="KU368" s="409">
        <v>1</v>
      </c>
      <c r="KV368" s="409">
        <v>2</v>
      </c>
      <c r="KW368" s="409">
        <v>2</v>
      </c>
      <c r="KX368" s="409">
        <v>3</v>
      </c>
      <c r="KY368" s="409">
        <v>8</v>
      </c>
      <c r="KZ368" s="409">
        <v>2</v>
      </c>
      <c r="LA368" s="409">
        <v>30</v>
      </c>
      <c r="LB368" s="415">
        <v>0.8</v>
      </c>
      <c r="LC368" s="415">
        <v>0.2</v>
      </c>
      <c r="LD368" s="424"/>
      <c r="LE368" s="415"/>
      <c r="LF368" s="415"/>
      <c r="LG368" s="409">
        <v>0</v>
      </c>
      <c r="LH368" s="409">
        <f>30+28+72+18</f>
        <v>148</v>
      </c>
      <c r="LI368" s="409">
        <v>0</v>
      </c>
      <c r="LJ368" s="409">
        <v>0</v>
      </c>
      <c r="LK368" s="416">
        <f t="shared" si="191"/>
        <v>148</v>
      </c>
      <c r="LL368" s="416">
        <f t="shared" si="349"/>
        <v>148</v>
      </c>
      <c r="LM368" s="417">
        <f t="shared" si="193"/>
        <v>118.4</v>
      </c>
      <c r="LN368" s="417">
        <f>VLOOKUP($LM$8,'Jan-2026 rates'!$H:$I,2,0)</f>
        <v>0</v>
      </c>
      <c r="LO368" s="417">
        <f t="shared" si="194"/>
        <v>29.6</v>
      </c>
      <c r="LP368" s="417">
        <f>VLOOKUP($LO$8,'Jan-2026 rates'!$H:$I,2,0)</f>
        <v>0</v>
      </c>
      <c r="LQ368" s="417">
        <f t="shared" si="195"/>
        <v>0</v>
      </c>
      <c r="LR368" s="417">
        <f>VLOOKUP($LQ$8,'Jan-2026 rates'!$H:$I,2,0)</f>
        <v>0</v>
      </c>
      <c r="LS368" s="417">
        <f t="shared" si="196"/>
        <v>0</v>
      </c>
      <c r="LT368" s="417">
        <f>VLOOKUP($LS$8,'Jan-2026 rates'!$H:$I,2,0)</f>
        <v>0</v>
      </c>
      <c r="LU368" s="417">
        <f t="shared" si="197"/>
        <v>0</v>
      </c>
      <c r="LV368" s="417">
        <f>VLOOKUP($LU$8,'Jan-2026 rates'!$H:$I,2,0)</f>
        <v>0</v>
      </c>
      <c r="LW368" s="417">
        <f t="shared" si="198"/>
        <v>0</v>
      </c>
      <c r="LX368" s="417">
        <f t="shared" si="199"/>
        <v>0</v>
      </c>
      <c r="LY368" s="418">
        <f t="shared" si="200"/>
        <v>0</v>
      </c>
      <c r="LZ368" s="417"/>
      <c r="MA368" s="435">
        <f t="shared" si="201"/>
        <v>201</v>
      </c>
      <c r="MB368" s="282">
        <f t="shared" si="202"/>
        <v>317</v>
      </c>
      <c r="MC368" s="283">
        <v>210</v>
      </c>
      <c r="MD368" s="284" t="str">
        <f t="shared" si="203"/>
        <v>FLINTSLFLINTSLFLINTSLFLINTSLFLINTSLFLINTSLFLINTSLFLINTSL</v>
      </c>
      <c r="ME368" s="293" t="str">
        <f t="shared" si="204"/>
        <v>+</v>
      </c>
      <c r="MF368" s="293" t="str">
        <f t="shared" si="205"/>
        <v>+</v>
      </c>
      <c r="MG368" s="293" t="str">
        <f t="shared" si="206"/>
        <v>+</v>
      </c>
      <c r="MH368" s="293" t="str">
        <f t="shared" si="207"/>
        <v>+</v>
      </c>
      <c r="MI368" s="293" t="str">
        <f t="shared" si="208"/>
        <v>+</v>
      </c>
      <c r="MJ368" s="293" t="str">
        <f t="shared" si="209"/>
        <v>+</v>
      </c>
      <c r="MK368" s="293" t="str">
        <f t="shared" si="210"/>
        <v>+</v>
      </c>
      <c r="ML368" s="293" t="str">
        <f t="shared" si="211"/>
        <v>+</v>
      </c>
      <c r="MM368" s="3" t="b">
        <f t="array" ref="MM368">OR(ME368:ML368="-")</f>
        <v>0</v>
      </c>
      <c r="MO368" s="401">
        <f t="shared" si="350"/>
        <v>64.170040485829958</v>
      </c>
      <c r="MP368" s="286"/>
      <c r="MR368" s="402">
        <f t="shared" si="351"/>
        <v>1.4088888888888889E-2</v>
      </c>
      <c r="MS368" s="400">
        <f t="shared" si="352"/>
        <v>0</v>
      </c>
      <c r="MT368" s="285"/>
      <c r="NH368" s="361"/>
      <c r="NJ368" s="282"/>
    </row>
    <row r="369" spans="1:374" ht="16.5">
      <c r="A369" s="403">
        <v>46050</v>
      </c>
      <c r="B369" s="404" t="s">
        <v>1015</v>
      </c>
      <c r="C369" s="405" t="s">
        <v>4821</v>
      </c>
      <c r="D369" s="404">
        <v>211</v>
      </c>
      <c r="E369" s="404">
        <v>498</v>
      </c>
      <c r="F369" s="407">
        <v>22700</v>
      </c>
      <c r="G369" s="407" t="s">
        <v>1019</v>
      </c>
      <c r="H369" s="408" t="s">
        <v>1017</v>
      </c>
      <c r="I369" s="409">
        <v>1.9</v>
      </c>
      <c r="J369" s="405" t="s">
        <v>543</v>
      </c>
      <c r="K369" s="404" t="s">
        <v>4822</v>
      </c>
      <c r="L369" s="419" t="str">
        <f t="shared" si="184"/>
        <v>FLINTSL - BLACK</v>
      </c>
      <c r="M369" s="404">
        <v>30</v>
      </c>
      <c r="N369" s="410">
        <f>IF(M369=0,0,IF($LB369=70%,VLOOKUP($L369,'Jan-2026 rates'!$L:$R,4,0),IF($LB369=65%,VLOOKUP($L369,'Jan-2026 rates'!$L:$R,4,0),IF($LB369=40%,VLOOKUP($L369,'Jan-2026 rates'!$L:$R,5,0),IF($LB369=30%,VLOOKUP($L369,'Jan-2026 rates'!$L:$R,6,0),IF($LB369=100%,VLOOKUP($L369,'Jan-2026 rates'!$L:$R,7,0),IF($LB369=60%,VLOOKUP($L369,'Jan-2026 rates'!$L:$S,8,0),IF($LB369=80%,VLOOKUP($L369,'Jan-2026 rates'!L:T,9,0),0))))))))</f>
        <v>0</v>
      </c>
      <c r="O369" s="406"/>
      <c r="P369" s="404"/>
      <c r="Q369" s="410">
        <f>IF(P369=0,0,IF($LB369=70%,VLOOKUP($L369,'Jan-2026 rates'!$L:$R,4,0),IF($LB369=65%,VLOOKUP($L369,'Jan-2026 rates'!$L:$R,4,0),IF($LB369=40%,VLOOKUP($L369,'Jan-2026 rates'!$L:$R,5,0),IF($LB369=30%,VLOOKUP($L369,'Jan-2026 rates'!$L:$R,6,0),IF($LB369=100%,VLOOKUP($L369,'Jan-2026 rates'!$L:$R,7,0),IF($LB369=60%,VLOOKUP($L369,'Jan-2026 rates'!$L:$S,8,0),IF($LB369=80%,VLOOKUP($L369,'Jan-2026 rates'!L:T,9,0),0))))))))</f>
        <v>0</v>
      </c>
      <c r="R369" s="406">
        <v>26523000020</v>
      </c>
      <c r="S369" s="406"/>
      <c r="T369" s="406"/>
      <c r="U369" s="406"/>
      <c r="V369" s="406"/>
      <c r="W369" s="406"/>
      <c r="X369" s="406"/>
      <c r="Y369" s="406"/>
      <c r="Z369" s="404">
        <v>6</v>
      </c>
      <c r="AA369" s="398" t="e">
        <f>IF(Z369=0,0,IF(LEN(R369)=11,_xlfn.XLOOKUP(R369,'Dispensed Ink Rates'!C:C,'Dispensed Ink Rates'!CS:CS),VLOOKUP(R369,'Jan-2026 rates'!$E:$F,2,0)))</f>
        <v>#N/A</v>
      </c>
      <c r="AB369" s="404"/>
      <c r="AC369" s="398">
        <f>IF(AB369=0,0,IF(LEN(S369)=11,_xlfn.XLOOKUP(S369,'Dispensed Ink Rates'!C:C,'Dispensed Ink Rates'!CS:CS),VLOOKUP(S369,'Jan-2026 rates'!$E:$F,2,0)))</f>
        <v>0</v>
      </c>
      <c r="AD369" s="404"/>
      <c r="AE369" s="398">
        <f>IF(AD369=0,0,IF(LEN(T369)=11,_xlfn.XLOOKUP(T369,'Dispensed Ink Rates'!C:C,'Dispensed Ink Rates'!CS:CS),VLOOKUP(T369,'Jan-2026 rates'!$E:$F,2,0)))</f>
        <v>0</v>
      </c>
      <c r="AF369" s="404"/>
      <c r="AG369" s="398">
        <f>IF(AF369=0,0,IF(LEN(U369)=11,_xlfn.XLOOKUP(U369,'Dispensed Ink Rates'!C:C,'Dispensed Ink Rates'!CS:CS),VLOOKUP(U369,'Jan-2026 rates'!$E:$F,2,0)))</f>
        <v>0</v>
      </c>
      <c r="AH369" s="404"/>
      <c r="AI369" s="398">
        <f>IF(AH369=0,0,IF(LEN(V369)=11,_xlfn.XLOOKUP(V369,'Dispensed Ink Rates'!C:C,'Dispensed Ink Rates'!CS:CS),VLOOKUP(V369,'Jan-2026 rates'!$E:$F,2,0)))</f>
        <v>0</v>
      </c>
      <c r="AJ369" s="404"/>
      <c r="AK369" s="398">
        <f>IF(AJ369=0,0,IF(LEN(W369)=11,_xlfn.XLOOKUP(W369,'Dispensed Ink Rates'!C:C,'Dispensed Ink Rates'!CS:CS),VLOOKUP(W369,'Jan-2026 rates'!$E:$F,2,0)))</f>
        <v>0</v>
      </c>
      <c r="AL369" s="404"/>
      <c r="AM369" s="398">
        <f>IF(AL369=0,0,IF(LEN(X369)=11,_xlfn.XLOOKUP(X369,'Dispensed Ink Rates'!C:C,'Dispensed Ink Rates'!CS:CS),VLOOKUP(X369,'Jan-2026 rates'!$E:$F,2,0)))</f>
        <v>0</v>
      </c>
      <c r="AN369" s="404"/>
      <c r="AO369" s="398">
        <f>IF(AN369=0,0,IF(LEN(Y369)=11,_xlfn.XLOOKUP(Y369,'Dispensed Ink Rates'!C:C,'Dispensed Ink Rates'!CS:CS),VLOOKUP(Y369,'Jan-2026 rates'!$E:$F,2,0)))</f>
        <v>0</v>
      </c>
      <c r="AP369" s="409" t="s">
        <v>1443</v>
      </c>
      <c r="AQ369" s="409">
        <v>30</v>
      </c>
      <c r="AR369" s="410">
        <f t="shared" si="212"/>
        <v>0</v>
      </c>
      <c r="AS369" s="411">
        <f t="shared" si="213"/>
        <v>23.400000000000006</v>
      </c>
      <c r="AT369" s="410">
        <f t="shared" si="214"/>
        <v>0</v>
      </c>
      <c r="AU369" s="405" t="s">
        <v>547</v>
      </c>
      <c r="AV369" s="409" t="s">
        <v>4823</v>
      </c>
      <c r="AW369" s="420" t="str">
        <f t="shared" si="348"/>
        <v>FLINTSL - GREEN</v>
      </c>
      <c r="AX369" s="409">
        <v>30</v>
      </c>
      <c r="AY369" s="411">
        <f>IF(AX369=0,0,IF($LB369=70%,VLOOKUP($AW369,'Jan-2026 rates'!$L:$R,4,0),IF($LB369=65%,VLOOKUP($AW369,'Jan-2026 rates'!$L:$R,4,0),IF($LB369=40%,VLOOKUP($AW369,'Jan-2026 rates'!$L:$R,5,0),IF($LB369=30%,VLOOKUP($AW369,'Jan-2026 rates'!$L:$R,6,0),IF($LB369=100%,VLOOKUP($AW369,'Jan-2026 rates'!$L:$R,7,0),IF($LB369=60%,VLOOKUP($AW369,'Jan-2026 rates'!$L:$S,8,0),IF($LB369=80%,VLOOKUP($AW369,'Jan-2026 rates'!L:T,9,0),0))))))))</f>
        <v>0</v>
      </c>
      <c r="AZ369" s="412"/>
      <c r="BA369" s="409"/>
      <c r="BB369" s="411">
        <f>IF(BA369=0,0,IF($LB369=70%,VLOOKUP($AW369,'Jan-2026 rates'!$L:$R,4,0),IF($LB369=65%,VLOOKUP($AW369,'Jan-2026 rates'!$L:$R,4,0),IF($LB369=40%,VLOOKUP($AW369,'Jan-2026 rates'!$L:$R,5,0),IF($LB369=30%,VLOOKUP($AW369,'Jan-2026 rates'!$L:$R,6,0),IF($LB369=100%,VLOOKUP($AW369,'Jan-2026 rates'!$L:$R,7,0),IF($LB369=60%,VLOOKUP($AW369,'Jan-2026 rates'!$L:$S,8,0),IF($LB369=80%,VLOOKUP($AW369,'Jan-2026 rates'!L:T,9,0),0))))))))</f>
        <v>0</v>
      </c>
      <c r="BC369" s="413">
        <v>26527000025</v>
      </c>
      <c r="BD369" s="412">
        <v>26526000010</v>
      </c>
      <c r="BE369" s="412"/>
      <c r="BF369" s="413"/>
      <c r="BG369" s="412"/>
      <c r="BH369" s="412"/>
      <c r="BI369" s="412"/>
      <c r="BJ369" s="412"/>
      <c r="BK369" s="409">
        <v>2</v>
      </c>
      <c r="BL369" s="398" t="e">
        <f>IF(BK369=0,0,IF(LEN(BC369)=11,_xlfn.XLOOKUP(BC369,'Dispensed Ink Rates'!C:C,'Dispensed Ink Rates'!CS:CS),VLOOKUP(BC369,'Jan-2026 rates'!$E:$F,2,0)))</f>
        <v>#N/A</v>
      </c>
      <c r="BM369" s="409">
        <v>2</v>
      </c>
      <c r="BN369" s="398" t="e">
        <f>IF(BM369=0,0,IF(LEN(BD369)=11,_xlfn.XLOOKUP(BD369,'Dispensed Ink Rates'!C:C,'Dispensed Ink Rates'!CS:CS),VLOOKUP(BD369,'Jan-2026 rates'!$E:$F,2,0)))</f>
        <v>#N/A</v>
      </c>
      <c r="BO369" s="409"/>
      <c r="BP369" s="398">
        <f>IF(BO369=0,0,IF(LEN(BE369)=11,_xlfn.XLOOKUP(BE369,'Dispensed Ink Rates'!C:C,'Dispensed Ink Rates'!CS:CS),VLOOKUP(BE369,'Jan-2026 rates'!$E:$F,2,0)))</f>
        <v>0</v>
      </c>
      <c r="BQ369" s="409"/>
      <c r="BR369" s="398">
        <f>IF(BQ369=0,0,IF(LEN(BF369)=11,_xlfn.XLOOKUP(BF369,'Dispensed Ink Rates'!C:C,'Dispensed Ink Rates'!CS:CS),VLOOKUP(BF369,'Jan-2026 rates'!$E:$F,2,0)))</f>
        <v>0</v>
      </c>
      <c r="BS369" s="409"/>
      <c r="BT369" s="398">
        <f>IF(BS369=0,0,IF(LEN(BG369)=11,_xlfn.XLOOKUP(BG369,'Dispensed Ink Rates'!C:C,'Dispensed Ink Rates'!CS:CS),VLOOKUP(BG369,'Jan-2026 rates'!$E:$F,2,0)))</f>
        <v>0</v>
      </c>
      <c r="BU369" s="409"/>
      <c r="BV369" s="398">
        <f>IF(BU369=0,0,IF(LEN(BH369)=11,_xlfn.XLOOKUP(BH369,'Dispensed Ink Rates'!C:C,'Dispensed Ink Rates'!CS:CS),VLOOKUP(BH369,'Jan-2026 rates'!$E:$F,2,0)))</f>
        <v>0</v>
      </c>
      <c r="BW369" s="409"/>
      <c r="BX369" s="398">
        <f>IF(BW369=0,0,IF(LEN(BI369)=11,_xlfn.XLOOKUP(BI369,'Dispensed Ink Rates'!C:C,'Dispensed Ink Rates'!CS:CS),VLOOKUP(BI369,'Jan-2026 rates'!$E:$F,2,0)))</f>
        <v>0</v>
      </c>
      <c r="BY369" s="409"/>
      <c r="BZ369" s="398">
        <f>IF(BY369=0,0,IF(LEN(BJ369)=11,_xlfn.XLOOKUP(BJ369,'Dispensed Ink Rates'!C:C,'Dispensed Ink Rates'!CS:CS),VLOOKUP(BJ369,'Jan-2026 rates'!$E:$F,2,0)))</f>
        <v>0</v>
      </c>
      <c r="CA369" s="409" t="s">
        <v>1443</v>
      </c>
      <c r="CB369" s="409">
        <v>29</v>
      </c>
      <c r="CC369" s="411">
        <f t="shared" si="215"/>
        <v>0</v>
      </c>
      <c r="CD369" s="411">
        <f t="shared" si="216"/>
        <v>11.96</v>
      </c>
      <c r="CE369" s="410">
        <f t="shared" si="217"/>
        <v>0</v>
      </c>
      <c r="CF369" s="404" t="s">
        <v>855</v>
      </c>
      <c r="CG369" s="409" t="s">
        <v>4824</v>
      </c>
      <c r="CH369" s="420" t="str">
        <f t="shared" si="185"/>
        <v>FLINTSL - CYAN</v>
      </c>
      <c r="CI369" s="409">
        <v>30</v>
      </c>
      <c r="CJ369" s="411">
        <f>IF(CI369=0,0,IF($LB369=70%,VLOOKUP($CH369,'Jan-2026 rates'!$L:$R,4,0),IF($LB369=65%,VLOOKUP($CH369,'Jan-2026 rates'!$L:$R,4,0),IF($LB369=40%,VLOOKUP($CH369,'Jan-2026 rates'!$L:$R,5,0),IF($LB369=30%,VLOOKUP($CH369,'Jan-2026 rates'!$L:$R,6,0),IF($LB369=100%,VLOOKUP($CH369,'Jan-2026 rates'!$L:$R,7,0),IF($LB369=60%,VLOOKUP($CH369,'Jan-2026 rates'!$L:$S,8,0),IF($LB369=80%,VLOOKUP($CH369,'Jan-2026 rates'!L:T,9,0),0))))))))</f>
        <v>0</v>
      </c>
      <c r="CK369" s="412"/>
      <c r="CL369" s="409"/>
      <c r="CM369" s="411">
        <f>IF(CL369=0,0,IF($LB369=70%,VLOOKUP($CH369,'Jan-2026 rates'!$L:$R,4,0),IF($LB369=65%,VLOOKUP($CH369,'Jan-2026 rates'!$L:$R,4,0),IF($LB369=40%,VLOOKUP($CH369,'Jan-2026 rates'!$L:$R,5,0),IF($LB369=30%,VLOOKUP($CH369,'Jan-2026 rates'!$L:$R,6,0),IF($LB369=100%,VLOOKUP($CH369,'Jan-2026 rates'!$L:$R,7,0),IF($LB369=60%,VLOOKUP($CH369,'Jan-2026 rates'!$L:$S,8,0),IF($LB369=80%,VLOOKUP($CH369,'Jan-2026 rates'!L:T,9,0),0))))))))</f>
        <v>0</v>
      </c>
      <c r="CN369" s="426">
        <v>26524000018</v>
      </c>
      <c r="CO369" s="427"/>
      <c r="CP369" s="426"/>
      <c r="CQ369" s="426"/>
      <c r="CR369" s="428"/>
      <c r="CS369" s="428"/>
      <c r="CT369" s="428"/>
      <c r="CU369" s="428"/>
      <c r="CV369" s="409">
        <v>4</v>
      </c>
      <c r="CW369" s="398" t="e">
        <f>IF(CV369=0,0,IF(LEN(CN369)=11,_xlfn.XLOOKUP(CN369,'Dispensed Ink Rates'!C:C,'Dispensed Ink Rates'!CS:CS),VLOOKUP(CN369,'Jan-2026 rates'!$E:$F,2,0)))</f>
        <v>#N/A</v>
      </c>
      <c r="CX369" s="409"/>
      <c r="CY369" s="398">
        <f>IF(CX369=0,0,IF(LEN(CO369)=11,_xlfn.XLOOKUP(CO369,'Dispensed Ink Rates'!C:C,'Dispensed Ink Rates'!CS:CS),VLOOKUP(CO369,'Jan-2026 rates'!$E:$F,2,0)))</f>
        <v>0</v>
      </c>
      <c r="CZ369" s="409"/>
      <c r="DA369" s="398">
        <f>IF(CZ369=0,0,IF(LEN(CP369)=11,_xlfn.XLOOKUP(CP369,'Dispensed Ink Rates'!C:C,'Dispensed Ink Rates'!CS:CS),VLOOKUP(CP369,'Jan-2026 rates'!$E:$F,2,0)))</f>
        <v>0</v>
      </c>
      <c r="DB369" s="409"/>
      <c r="DC369" s="398">
        <f>IF(DB369=0,0,IF(LEN(CQ369)=11,_xlfn.XLOOKUP(CQ369,'Dispensed Ink Rates'!C:C,'Dispensed Ink Rates'!CS:CS),VLOOKUP(CQ369,'Jan-2026 rates'!$E:$F,2,0)))</f>
        <v>0</v>
      </c>
      <c r="DD369" s="409"/>
      <c r="DE369" s="398">
        <f>IF(DD369=0,0,IF(LEN(CR369)=11,_xlfn.XLOOKUP(CR369,'Dispensed Ink Rates'!C:C,'Dispensed Ink Rates'!CS:CS),VLOOKUP(CR369,'Jan-2026 rates'!$E:$F,2,0)))</f>
        <v>0</v>
      </c>
      <c r="DF369" s="409"/>
      <c r="DG369" s="398">
        <f>IF(DF369=0,0,IF(LEN(CS369)=11,_xlfn.XLOOKUP(CS369,'Dispensed Ink Rates'!C:C,'Dispensed Ink Rates'!CS:CS),VLOOKUP(CS369,'Jan-2026 rates'!$E:$F,2,0)))</f>
        <v>0</v>
      </c>
      <c r="DH369" s="409"/>
      <c r="DI369" s="398">
        <f>IF(DH369=0,0,IF(LEN(CT369)=11,_xlfn.XLOOKUP(CT369,'Dispensed Ink Rates'!C:C,'Dispensed Ink Rates'!CS:CS),VLOOKUP(CT369,'Jan-2026 rates'!$E:$F,2,0)))</f>
        <v>0</v>
      </c>
      <c r="DJ369" s="409"/>
      <c r="DK369" s="398">
        <f>IF(DJ369=0,0,IF(LEN(CU369)=11,_xlfn.XLOOKUP(CU369,'Dispensed Ink Rates'!C:C,'Dispensed Ink Rates'!CS:CS),VLOOKUP(CU369,'Jan-2026 rates'!$E:$F,2,0)))</f>
        <v>0</v>
      </c>
      <c r="DL369" s="409" t="s">
        <v>1443</v>
      </c>
      <c r="DM369" s="409">
        <v>30</v>
      </c>
      <c r="DN369" s="411">
        <f t="shared" si="218"/>
        <v>0</v>
      </c>
      <c r="DO369" s="411">
        <f t="shared" si="219"/>
        <v>21.400000000000006</v>
      </c>
      <c r="DP369" s="410">
        <f t="shared" si="220"/>
        <v>0</v>
      </c>
      <c r="DQ369" s="405" t="s">
        <v>544</v>
      </c>
      <c r="DR369" s="409" t="s">
        <v>4825</v>
      </c>
      <c r="DS369" s="420" t="str">
        <f t="shared" si="186"/>
        <v>FLINTSL - MAGENTA</v>
      </c>
      <c r="DT369" s="409">
        <v>31</v>
      </c>
      <c r="DU369" s="411">
        <f>IF(DT369=0,0,IF($LB369=70%,VLOOKUP($DS369,'Jan-2026 rates'!$L:$R,4,0),IF($LB369=65%,VLOOKUP($DS369,'Jan-2026 rates'!$L:$R,4,0),IF($LB369=40%,VLOOKUP($DS369,'Jan-2026 rates'!$L:$R,5,0),IF($LB369=30%,VLOOKUP($DS369,'Jan-2026 rates'!$L:$R,6,0),IF($LB369=100%,VLOOKUP($DS369,'Jan-2026 rates'!$L:$R,7,0),IF($LB369=60%,VLOOKUP($DS369,'Jan-2026 rates'!$L:$S,8,0),IF($LB369=80%,VLOOKUP($DS369,'Jan-2026 rates'!L:T,9,0),0))))))))</f>
        <v>0</v>
      </c>
      <c r="DV369" s="412"/>
      <c r="DW369" s="409"/>
      <c r="DX369" s="411">
        <f>IF(DW369=0,0,IF($LB369=70%,VLOOKUP($DS369,'Jan-2026 rates'!$L:$R,4,0),IF($LB369=65%,VLOOKUP($DS369,'Jan-2026 rates'!$L:$R,4,0),IF($LB369=40%,VLOOKUP($DS369,'Jan-2026 rates'!$L:$R,5,0),IF($LB369=30%,VLOOKUP($DS369,'Jan-2026 rates'!$L:$R,6,0),IF($LB369=100%,VLOOKUP($DS369,'Jan-2026 rates'!$L:$R,7,0),IF($LB369=60%,VLOOKUP($DS369,'Jan-2026 rates'!$L:$S,8,0),IF($LB369=80%,VLOOKUP($DS369,'Jan-2026 rates'!L:T,9,0),0))))))))</f>
        <v>0</v>
      </c>
      <c r="DY369" s="413">
        <v>26529000007</v>
      </c>
      <c r="DZ369" s="413"/>
      <c r="EA369" s="412"/>
      <c r="EB369" s="412"/>
      <c r="EC369" s="412"/>
      <c r="ED369" s="412"/>
      <c r="EE369" s="412"/>
      <c r="EF369" s="412"/>
      <c r="EG369" s="409">
        <v>6</v>
      </c>
      <c r="EH369" s="398" t="e">
        <f>IF(EG369=0,0,IF(LEN(DY369)=11,_xlfn.XLOOKUP(DY369,'Dispensed Ink Rates'!C:C,'Dispensed Ink Rates'!CS:CS),VLOOKUP(DY369,'Jan-2026 rates'!$E:$F,2,0)))</f>
        <v>#N/A</v>
      </c>
      <c r="EI369" s="409"/>
      <c r="EJ369" s="398">
        <f>IF(EI369=0,0,IF(LEN(DZ369)=11,_xlfn.XLOOKUP(DZ369,'Dispensed Ink Rates'!C:C,'Dispensed Ink Rates'!CS:CS),VLOOKUP(DZ369,'Jan-2026 rates'!$E:$F,2,0)))</f>
        <v>0</v>
      </c>
      <c r="EK369" s="409"/>
      <c r="EL369" s="398">
        <f>IF(EK369=0,0,IF(LEN(EA369)=11,_xlfn.XLOOKUP(EA369,'Dispensed Ink Rates'!C:C,'Dispensed Ink Rates'!CS:CS),VLOOKUP(EA369,'Jan-2026 rates'!$E:$F,2,0)))</f>
        <v>0</v>
      </c>
      <c r="EM369" s="409"/>
      <c r="EN369" s="398">
        <f>IF(EM369=0,0,IF(LEN(EB369)=11,_xlfn.XLOOKUP(EB369,'Dispensed Ink Rates'!C:C,'Dispensed Ink Rates'!CS:CS),VLOOKUP(EB369,'Jan-2026 rates'!$E:$F,2,0)))</f>
        <v>0</v>
      </c>
      <c r="EO369" s="409"/>
      <c r="EP369" s="398">
        <f>IF(EO369=0,0,IF(LEN(EC369)=11,_xlfn.XLOOKUP(EC369,'Dispensed Ink Rates'!C:C,'Dispensed Ink Rates'!CS:CS),VLOOKUP(EC369,'Jan-2026 rates'!$E:$F,2,0)))</f>
        <v>0</v>
      </c>
      <c r="EQ369" s="409"/>
      <c r="ER369" s="398">
        <f>IF(EQ369=0,0,IF(LEN(ED369)=11,_xlfn.XLOOKUP(ED369,'Dispensed Ink Rates'!C:C,'Dispensed Ink Rates'!CS:CS),VLOOKUP(ED369,'Jan-2026 rates'!$E:$F,2,0)))</f>
        <v>0</v>
      </c>
      <c r="ES369" s="409"/>
      <c r="ET369" s="398">
        <f>IF(ES369=0,0,IF(LEN(EE369)=11,_xlfn.XLOOKUP(EE369,'Dispensed Ink Rates'!C:C,'Dispensed Ink Rates'!CS:CS),VLOOKUP(EE369,'Jan-2026 rates'!$E:$F,2,0)))</f>
        <v>0</v>
      </c>
      <c r="EU369" s="409"/>
      <c r="EV369" s="398">
        <f>IF(EU369=0,0,IF(LEN(EF369)=11,_xlfn.XLOOKUP(EF369,'Dispensed Ink Rates'!C:C,'Dispensed Ink Rates'!CS:CS),VLOOKUP(EF369,'Jan-2026 rates'!$E:$F,2,0)))</f>
        <v>0</v>
      </c>
      <c r="EW369" s="409" t="s">
        <v>1443</v>
      </c>
      <c r="EX369" s="409">
        <v>30</v>
      </c>
      <c r="EY369" s="411">
        <f t="shared" si="221"/>
        <v>0</v>
      </c>
      <c r="EZ369" s="411">
        <f t="shared" si="222"/>
        <v>13.96</v>
      </c>
      <c r="FA369" s="410">
        <f t="shared" si="223"/>
        <v>0</v>
      </c>
      <c r="FB369" s="405" t="s">
        <v>545</v>
      </c>
      <c r="FC369" s="409" t="s">
        <v>4826</v>
      </c>
      <c r="FD369" s="420" t="str">
        <f t="shared" si="187"/>
        <v>FLINTSL - YELLOW</v>
      </c>
      <c r="FE369" s="409">
        <v>29</v>
      </c>
      <c r="FF369" s="411">
        <f>IF(FE369=0,0,IF($LB369=70%,VLOOKUP($FD369,'Jan-2026 rates'!$L:$R,4,0),IF($LB369=65%,VLOOKUP($FD369,'Jan-2026 rates'!$L:$R,4,0),IF($LB369=40%,VLOOKUP($FD369,'Jan-2026 rates'!$L:$R,5,0),IF($LB369=30%,VLOOKUP($FD369,'Jan-2026 rates'!$L:$R,6,0),IF($LB369=100%,VLOOKUP($FD369,'Jan-2026 rates'!$L:$R,7,0),IF($LB369=60%,VLOOKUP($FD369,'Jan-2026 rates'!$L:$S,8,0),IF($LB369=80%,VLOOKUP($FD369,'Jan-2026 rates'!L:T,9,0),0))))))))</f>
        <v>0</v>
      </c>
      <c r="FG369" s="412"/>
      <c r="FH369" s="409"/>
      <c r="FI369" s="411">
        <f>IF(FH369=0,0,IF($LB369=70%,VLOOKUP($FD369,'Jan-2026 rates'!$L:$R,4,0),IF($LB369=65%,VLOOKUP($FD369,'Jan-2026 rates'!$L:$R,4,0),IF($LB369=40%,VLOOKUP($FD369,'Jan-2026 rates'!$L:$R,5,0),IF($LB369=30%,VLOOKUP($FD369,'Jan-2026 rates'!$L:$R,6,0),IF($LB369=100%,VLOOKUP($FD369,'Jan-2026 rates'!$L:$R,7,0),IF($LB369=60%,VLOOKUP($FD369,'Jan-2026 rates'!$L:$S,8,0),IF($LB369=80%,VLOOKUP($FD369,'Jan-2026 rates'!L:T,9,0),0))))))))</f>
        <v>0</v>
      </c>
      <c r="FJ369" s="413">
        <v>26527000025</v>
      </c>
      <c r="FK369" s="413"/>
      <c r="FL369" s="413"/>
      <c r="FM369" s="412"/>
      <c r="FN369" s="412"/>
      <c r="FO369" s="412"/>
      <c r="FP369" s="412"/>
      <c r="FQ369" s="412"/>
      <c r="FR369" s="409">
        <v>6</v>
      </c>
      <c r="FS369" s="398" t="e">
        <f>IF(FR369=0,0,IF(LEN(FJ369)=11,_xlfn.XLOOKUP(FJ369,'Dispensed Ink Rates'!C:C,'Dispensed Ink Rates'!CS:CS),VLOOKUP(FJ369,'Jan-2026 rates'!$E:$F,2,0)))</f>
        <v>#N/A</v>
      </c>
      <c r="FT369" s="409"/>
      <c r="FU369" s="398">
        <f>IF(FT369=0,0,IF(LEN(FK369)=11,_xlfn.XLOOKUP(FK369,'Dispensed Ink Rates'!C:C,'Dispensed Ink Rates'!CS:CS),VLOOKUP(FK369,'Jan-2026 rates'!$E:$F,2,0)))</f>
        <v>0</v>
      </c>
      <c r="FV369" s="409"/>
      <c r="FW369" s="398">
        <f>IF(FV369=0,0,IF(LEN(FL369)=11,_xlfn.XLOOKUP(FL369,'Dispensed Ink Rates'!C:C,'Dispensed Ink Rates'!CS:CS),VLOOKUP(FL369,'Jan-2026 rates'!$E:$F,2,0)))</f>
        <v>0</v>
      </c>
      <c r="FX369" s="409"/>
      <c r="FY369" s="398">
        <f>IF(FX369=0,0,IF(LEN(FM369)=11,_xlfn.XLOOKUP(FM369,'Dispensed Ink Rates'!C:C,'Dispensed Ink Rates'!CS:CS),VLOOKUP(FM369,'Jan-2026 rates'!$E:$F,2,0)))</f>
        <v>0</v>
      </c>
      <c r="FZ369" s="409"/>
      <c r="GA369" s="398">
        <f>IF(FZ369=0,0,IF(LEN(FN369)=11,_xlfn.XLOOKUP(FN369,'Dispensed Ink Rates'!C:C,'Dispensed Ink Rates'!CS:CS),VLOOKUP(FN369,'Jan-2026 rates'!$E:$F,2,0)))</f>
        <v>0</v>
      </c>
      <c r="GB369" s="409"/>
      <c r="GC369" s="398">
        <f>IF(GB369=0,0,IF(LEN(FO369)=11,_xlfn.XLOOKUP(FO369,'Dispensed Ink Rates'!C:C,'Dispensed Ink Rates'!CS:CS),VLOOKUP(FO369,'Jan-2026 rates'!$E:$F,2,0)))</f>
        <v>0</v>
      </c>
      <c r="GD369" s="409"/>
      <c r="GE369" s="398">
        <f>IF(GD369=0,0,IF(LEN(FP369)=11,_xlfn.XLOOKUP(FP369,'Dispensed Ink Rates'!C:C,'Dispensed Ink Rates'!CS:CS),VLOOKUP(FP369,'Jan-2026 rates'!$E:$F,2,0)))</f>
        <v>0</v>
      </c>
      <c r="GF369" s="409"/>
      <c r="GG369" s="398">
        <f>IF(GF369=0,0,IF(LEN(FQ369)=11,_xlfn.XLOOKUP(FQ369,'Dispensed Ink Rates'!C:C,'Dispensed Ink Rates'!CS:CS),VLOOKUP(FQ369,'Jan-2026 rates'!$E:$F,2,0)))</f>
        <v>0</v>
      </c>
      <c r="GH369" s="409" t="s">
        <v>1443</v>
      </c>
      <c r="GI369" s="409">
        <v>29</v>
      </c>
      <c r="GJ369" s="411">
        <f t="shared" si="224"/>
        <v>0</v>
      </c>
      <c r="GK369" s="411">
        <f t="shared" si="225"/>
        <v>12.96</v>
      </c>
      <c r="GL369" s="410">
        <f t="shared" si="226"/>
        <v>0</v>
      </c>
      <c r="GM369" s="405" t="s">
        <v>857</v>
      </c>
      <c r="GN369" s="409"/>
      <c r="GO369" s="420" t="str">
        <f t="shared" si="188"/>
        <v>FLINTSL - RED</v>
      </c>
      <c r="GP369" s="409"/>
      <c r="GQ369" s="411">
        <f>IF(GP369=0,0,IF($LB369=70%,VLOOKUP($GO369,'Jan-2026 rates'!$L:$R,4,0),IF($LB369=65%,VLOOKUP($GO369,'Jan-2026 rates'!$L:$R,4,0),IF($LB369=40%,VLOOKUP($GO369,'Jan-2026 rates'!$L:$R,5,0),IF($LB369=30%,VLOOKUP($GO369,'Jan-2026 rates'!$L:$R,6,0),IF($LB369=100%,VLOOKUP($GO369,'Jan-2026 rates'!$L:$R,7,0),IF($LB369=60%,VLOOKUP($GO369,'Jan-2026 rates'!$L:$S,8,0),IF($LB369=80%,VLOOKUP($GO369,'Jan-2026 rates'!L:T,9,0),0))))))))</f>
        <v>0</v>
      </c>
      <c r="GR369" s="412"/>
      <c r="GS369" s="409"/>
      <c r="GT369" s="411">
        <f>IF(GS369=0,0,IF($LB369=70%,VLOOKUP($GO369,'Jan-2026 rates'!$L:$R,4,0),IF($LB369=65%,VLOOKUP($GO369,'Jan-2026 rates'!$L:$R,4,0),IF($LB369=40%,VLOOKUP($GO369,'Jan-2026 rates'!$L:$R,5,0),IF($LB369=30%,VLOOKUP($GO369,'Jan-2026 rates'!$L:$R,6,0),IF($LB369=100%,VLOOKUP($GO369,'Jan-2026 rates'!$L:$R,7,0),IF($LB369=60%,VLOOKUP($GO369,'Jan-2026 rates'!$L:$S,8,0),IF($LB369=80%,VLOOKUP($GO369,'Jan-2026 rates'!L:T,9,0),0))))))))</f>
        <v>0</v>
      </c>
      <c r="GU369" s="413">
        <v>26528000006</v>
      </c>
      <c r="GV369" s="413">
        <v>26528000015</v>
      </c>
      <c r="GW369" s="412">
        <v>26528000014</v>
      </c>
      <c r="GX369" s="412"/>
      <c r="GY369" s="412"/>
      <c r="GZ369" s="412"/>
      <c r="HA369" s="412"/>
      <c r="HB369" s="412"/>
      <c r="HC369" s="409">
        <v>26.6</v>
      </c>
      <c r="HD369" s="398" t="e">
        <f>IF(HC369=0,0,IF(LEN(GU369)=11,_xlfn.XLOOKUP(GU369,'Dispensed Ink Rates'!C:C,'Dispensed Ink Rates'!CS:CS),VLOOKUP(GU369,'Jan-2026 rates'!$E:$F,2,0)))</f>
        <v>#N/A</v>
      </c>
      <c r="HE369" s="409">
        <v>40</v>
      </c>
      <c r="HF369" s="398" t="e">
        <f>IF(HE369=0,0,IF(LEN(GV369)=11,_xlfn.XLOOKUP(GV369,'Dispensed Ink Rates'!C:C,'Dispensed Ink Rates'!CS:CS),VLOOKUP(GV369,'Jan-2026 rates'!$E:$F,2,0)))</f>
        <v>#N/A</v>
      </c>
      <c r="HG369" s="409">
        <v>40</v>
      </c>
      <c r="HH369" s="398" t="e">
        <f>IF(HG369=0,0,IF(LEN(GW369)=11,_xlfn.XLOOKUP(GW369,'Dispensed Ink Rates'!C:C,'Dispensed Ink Rates'!CS:CS),VLOOKUP(GW369,'Jan-2026 rates'!$E:$F,2,0)))</f>
        <v>#N/A</v>
      </c>
      <c r="HI369" s="409"/>
      <c r="HJ369" s="398">
        <f>IF(HI369=0,0,IF(LEN(GX369)=11,_xlfn.XLOOKUP(GX369,'Dispensed Ink Rates'!C:C,'Dispensed Ink Rates'!CS:CS),VLOOKUP(GX369,'Jan-2026 rates'!$E:$F,2,0)))</f>
        <v>0</v>
      </c>
      <c r="HK369" s="409"/>
      <c r="HL369" s="398">
        <f>IF(HK369=0,0,IF(LEN(GY369)=11,_xlfn.XLOOKUP(GY369,'Dispensed Ink Rates'!C:C,'Dispensed Ink Rates'!CS:CS),VLOOKUP(GY369,'Jan-2026 rates'!$E:$F,2,0)))</f>
        <v>0</v>
      </c>
      <c r="HM369" s="409"/>
      <c r="HN369" s="398">
        <f>IF(HM369=0,0,IF(LEN(GZ369)=11,_xlfn.XLOOKUP(GZ369,'Dispensed Ink Rates'!C:C,'Dispensed Ink Rates'!CS:CS),VLOOKUP(GZ369,'Jan-2026 rates'!$E:$F,2,0)))</f>
        <v>0</v>
      </c>
      <c r="HO369" s="409"/>
      <c r="HP369" s="398">
        <f>IF(HO369=0,0,IF(LEN(HA369)=11,_xlfn.XLOOKUP(HA369,'Dispensed Ink Rates'!C:C,'Dispensed Ink Rates'!CS:CS),VLOOKUP(HA369,'Jan-2026 rates'!$E:$F,2,0)))</f>
        <v>0</v>
      </c>
      <c r="HQ369" s="409"/>
      <c r="HR369" s="398">
        <f>IF(HQ369=0,0,IF(LEN(HB369)=11,_xlfn.XLOOKUP(HB369,'Dispensed Ink Rates'!C:C,'Dispensed Ink Rates'!CS:CS),VLOOKUP(HB369,'Jan-2026 rates'!$E:$F,2,0)))</f>
        <v>0</v>
      </c>
      <c r="HS369" s="409" t="s">
        <v>1443</v>
      </c>
      <c r="HT369" s="409">
        <v>38</v>
      </c>
      <c r="HU369" s="411">
        <f t="shared" si="227"/>
        <v>0</v>
      </c>
      <c r="HV369" s="411">
        <f t="shared" si="228"/>
        <v>75.559999999999988</v>
      </c>
      <c r="HW369" s="414">
        <f t="shared" si="229"/>
        <v>0</v>
      </c>
      <c r="HX369" s="405" t="s">
        <v>828</v>
      </c>
      <c r="HY369" s="409" t="s">
        <v>4827</v>
      </c>
      <c r="HZ369" s="420" t="str">
        <f t="shared" si="189"/>
        <v>FLINTSL - ORANGE</v>
      </c>
      <c r="IA369" s="409">
        <v>30</v>
      </c>
      <c r="IB369" s="411">
        <f>IF(IA369=0,0,IF($LB369=70%,VLOOKUP($HZ369,'Jan-2026 rates'!$L:$R,4,0),IF($LB369=65%,VLOOKUP($HZ369,'Jan-2026 rates'!$L:$R,4,0),IF($LB369=40%,VLOOKUP($HZ369,'Jan-2026 rates'!$L:$R,5,0),IF($LB369=30%,VLOOKUP($HZ369,'Jan-2026 rates'!$L:$R,6,0),IF($LB369=100%,VLOOKUP($HZ369,'Jan-2026 rates'!$L:$R,7,0),IF($LB369=60%,VLOOKUP($HZ369,'Jan-2026 rates'!$L:$S,8,0),IF($LB369=80%,VLOOKUP($HZ369,'Jan-2026 rates'!L:T,9,0),0))))))))</f>
        <v>0</v>
      </c>
      <c r="IC369" s="412"/>
      <c r="ID369" s="409"/>
      <c r="IE369" s="411">
        <f>IF(ID369=0,0,IF($LB369=70%,VLOOKUP($HZ369,'Jan-2026 rates'!$L:$R,4,0),IF($LB369=65%,VLOOKUP($HZ369,'Jan-2026 rates'!$L:$R,4,0),IF($LB369=40%,VLOOKUP($HZ369,'Jan-2026 rates'!$L:$R,5,0),IF($LB369=30%,VLOOKUP($HZ369,'Jan-2026 rates'!$L:$R,6,0),IF($LB369=100%,VLOOKUP($HZ369,'Jan-2026 rates'!$L:$R,7,0),IF($LB369=60%,VLOOKUP($HZ369,'Jan-2026 rates'!$L:$S,8,0),IF($LB369=80%,VLOOKUP($HZ369,'Jan-2026 rates'!L:T,9,0),0))))))))</f>
        <v>0</v>
      </c>
      <c r="IF369" s="412"/>
      <c r="IG369" s="413"/>
      <c r="IH369" s="412"/>
      <c r="II369" s="412"/>
      <c r="IJ369" s="412"/>
      <c r="IK369" s="412"/>
      <c r="IL369" s="412"/>
      <c r="IM369" s="412"/>
      <c r="IN369" s="409"/>
      <c r="IO369" s="398">
        <f>IF(IN369=0,0,IF(LEN(IF369)=11,_xlfn.XLOOKUP(IF369,'Dispensed Ink Rates'!C:C,'Dispensed Ink Rates'!CS:CS),VLOOKUP(IF369,'Jan-2026 rates'!$E:$F,2,0)))</f>
        <v>0</v>
      </c>
      <c r="IP369" s="409"/>
      <c r="IQ369" s="398">
        <f>IF(IP369=0,0,IF(LEN(IG369)=11,_xlfn.XLOOKUP(IG369,'Dispensed Ink Rates'!C:C,'Dispensed Ink Rates'!CS:CS),VLOOKUP(IG369,'Jan-2026 rates'!$E:$F,2,0)))</f>
        <v>0</v>
      </c>
      <c r="IR369" s="409"/>
      <c r="IS369" s="398">
        <f>IF(IR369=0,0,IF(LEN(IH369)=11,_xlfn.XLOOKUP(IH369,'Dispensed Ink Rates'!C:C,'Dispensed Ink Rates'!CS:CS),VLOOKUP(IH369,'Jan-2026 rates'!$E:$F,2,0)))</f>
        <v>0</v>
      </c>
      <c r="IT369" s="409"/>
      <c r="IU369" s="398">
        <f>IF(IT369=0,0,IF(LEN(II369)=11,_xlfn.XLOOKUP(II369,'Dispensed Ink Rates'!C:C,'Dispensed Ink Rates'!CS:CS),VLOOKUP(II369,'Jan-2026 rates'!$E:$F,2,0)))</f>
        <v>0</v>
      </c>
      <c r="IV369" s="409"/>
      <c r="IW369" s="398">
        <f>IF(IV369=0,0,IF(LEN(IJ369)=11,_xlfn.XLOOKUP(IJ369,'Dispensed Ink Rates'!C:C,'Dispensed Ink Rates'!CS:CS),VLOOKUP(IJ369,'Jan-2026 rates'!$E:$F,2,0)))</f>
        <v>0</v>
      </c>
      <c r="IX369" s="409"/>
      <c r="IY369" s="398">
        <f>IF(IX369=0,0,IF(LEN(IK369)=11,_xlfn.XLOOKUP(IK369,'Dispensed Ink Rates'!C:C,'Dispensed Ink Rates'!CS:CS),VLOOKUP(IK369,'Jan-2026 rates'!$E:$F,2,0)))</f>
        <v>0</v>
      </c>
      <c r="IZ369" s="409"/>
      <c r="JA369" s="398">
        <f>IF(IZ369=0,0,IF(LEN(IL369)=11,_xlfn.XLOOKUP(IL369,'Dispensed Ink Rates'!C:C,'Dispensed Ink Rates'!CS:CS),VLOOKUP(IL369,'Jan-2026 rates'!$E:$F,2,0)))</f>
        <v>0</v>
      </c>
      <c r="JB369" s="409"/>
      <c r="JC369" s="398">
        <f>IF(JB369=0,0,IF(LEN(IM369)=11,_xlfn.XLOOKUP(IM369,'Dispensed Ink Rates'!C:C,'Dispensed Ink Rates'!CS:CS),VLOOKUP(IM369,'Jan-2026 rates'!$E:$F,2,0)))</f>
        <v>0</v>
      </c>
      <c r="JD369" s="409" t="s">
        <v>1443</v>
      </c>
      <c r="JE369" s="409">
        <v>28</v>
      </c>
      <c r="JF369" s="411">
        <f t="shared" si="230"/>
        <v>0</v>
      </c>
      <c r="JG369" s="411">
        <f t="shared" si="231"/>
        <v>8.9600000000000009</v>
      </c>
      <c r="JH369" s="410">
        <f t="shared" si="232"/>
        <v>0</v>
      </c>
      <c r="JI369" s="405" t="s">
        <v>856</v>
      </c>
      <c r="JJ369" s="409" t="s">
        <v>4828</v>
      </c>
      <c r="JK369" s="420" t="str">
        <f t="shared" si="190"/>
        <v>FLINTSL - WHITE</v>
      </c>
      <c r="JL369" s="409">
        <v>29</v>
      </c>
      <c r="JM369" s="411">
        <f>IF(JL369=0,0,IF($LB369=70%,VLOOKUP($JK369,'Jan-2026 rates'!$L:$R,4,0),IF($LB369=65%,VLOOKUP($JK369,'Jan-2026 rates'!$L:$R,4,0),IF($LB369=40%,VLOOKUP($JK369,'Jan-2026 rates'!$L:$R,5,0),IF($LB369=30%,VLOOKUP($JK369,'Jan-2026 rates'!$L:$R,6,0),IF($LB369=100%,VLOOKUP($JK369,'Jan-2026 rates'!$L:$R,7,0),IF($LB369=60%,VLOOKUP($JK369,'Jan-2026 rates'!$L:$S,8,0),IF($LB369=80%,VLOOKUP($JK369,'Jan-2026 rates'!L:T,9,0),0))))))))</f>
        <v>0</v>
      </c>
      <c r="JN369" s="412"/>
      <c r="JO369" s="409"/>
      <c r="JP369" s="411">
        <f>IF(JO369=0,0,IF($LB369=70%,VLOOKUP($JK369,'Jan-2026 rates'!$L:$R,4,0),IF($LB369=65%,VLOOKUP($JK369,'Jan-2026 rates'!$L:$R,4,0),IF($LB369=40%,VLOOKUP($JK369,'Jan-2026 rates'!$L:$R,5,0),IF($LB369=30%,VLOOKUP($JK369,'Jan-2026 rates'!$L:$R,6,0),IF($LB369=100%,VLOOKUP($JK369,'Jan-2026 rates'!$L:$R,7,0),IF($LB369=60%,VLOOKUP($JK369,'Jan-2026 rates'!$L:$S,8,0),IF($LB369=80%,VLOOKUP($JK369,'Jan-2026 rates'!L:T,9,0),0))))))))</f>
        <v>0</v>
      </c>
      <c r="JQ369" s="413" t="s">
        <v>484</v>
      </c>
      <c r="JR369" s="412"/>
      <c r="JS369" s="413"/>
      <c r="JT369" s="413"/>
      <c r="JU369" s="412"/>
      <c r="JV369" s="412"/>
      <c r="JW369" s="412"/>
      <c r="JX369" s="412"/>
      <c r="JY369" s="409">
        <v>50</v>
      </c>
      <c r="JZ369" s="398">
        <f>IF(JY369=0,0,IF(LEN(JQ369)=11,_xlfn.XLOOKUP(JQ369,'Dispensed Ink Rates'!C:C,'Dispensed Ink Rates'!CS:CS),VLOOKUP(JQ369,'Jan-2026 rates'!$E:$F,2,0)))</f>
        <v>0</v>
      </c>
      <c r="KA369" s="409"/>
      <c r="KB369" s="398">
        <f>IF(KA369=0,0,IF(LEN(JR369)=11,_xlfn.XLOOKUP(JR369,'Dispensed Ink Rates'!C:C,'Dispensed Ink Rates'!CS:CS),VLOOKUP(JR369,'Jan-2026 rates'!$E:$F,2,0)))</f>
        <v>0</v>
      </c>
      <c r="KC369" s="409"/>
      <c r="KD369" s="398">
        <f>IF(KC369=0,0,IF(LEN(JS369)=11,_xlfn.XLOOKUP(JS369,'Dispensed Ink Rates'!C:C,'Dispensed Ink Rates'!CS:CS),VLOOKUP(JS369,'Jan-2026 rates'!$E:$F,2,0)))</f>
        <v>0</v>
      </c>
      <c r="KE369" s="409"/>
      <c r="KF369" s="398">
        <f>IF(KE369=0,0,IF(LEN(JT369)=11,_xlfn.XLOOKUP(JT369,'Dispensed Ink Rates'!C:C,'Dispensed Ink Rates'!CS:CS),VLOOKUP(JT369,'Jan-2026 rates'!$E:$F,2,0)))</f>
        <v>0</v>
      </c>
      <c r="KG369" s="409"/>
      <c r="KH369" s="398">
        <f>IF(KG369=0,0,IF(LEN(JU369)=11,_xlfn.XLOOKUP(JU369,'Dispensed Ink Rates'!C:C,'Dispensed Ink Rates'!CS:CS),VLOOKUP(JU369,'Jan-2026 rates'!$E:$F,2,0)))</f>
        <v>0</v>
      </c>
      <c r="KI369" s="409"/>
      <c r="KJ369" s="398">
        <f>IF(KI369=0,0,IF(LEN(JV369)=11,_xlfn.XLOOKUP(JV369,'Dispensed Ink Rates'!C:C,'Dispensed Ink Rates'!CS:CS),VLOOKUP(JV369,'Jan-2026 rates'!$E:$F,2,0)))</f>
        <v>0</v>
      </c>
      <c r="KK369" s="409"/>
      <c r="KL369" s="398">
        <f>IF(KK369=0,0,IF(LEN(JW369)=11,_xlfn.XLOOKUP(JW369,'Dispensed Ink Rates'!C:C,'Dispensed Ink Rates'!CS:CS),VLOOKUP(JW369,'Jan-2026 rates'!$E:$F,2,0)))</f>
        <v>0</v>
      </c>
      <c r="KM369" s="428"/>
      <c r="KN369" s="398">
        <f>IF(KM369=0,0,IF(LEN(JX369)=11,_xlfn.XLOOKUP(JX369,'Dispensed Ink Rates'!C:C,'Dispensed Ink Rates'!CS:CS),VLOOKUP(JX369,'Jan-2026 rates'!$E:$F,2,0)))</f>
        <v>0</v>
      </c>
      <c r="KO369" s="409" t="s">
        <v>1443</v>
      </c>
      <c r="KP369" s="409">
        <v>24</v>
      </c>
      <c r="KQ369" s="411">
        <f t="shared" si="233"/>
        <v>0</v>
      </c>
      <c r="KR369" s="411">
        <f t="shared" si="234"/>
        <v>159.39999999999998</v>
      </c>
      <c r="KS369" s="410">
        <f t="shared" si="235"/>
        <v>0</v>
      </c>
      <c r="KT369" s="409">
        <v>5</v>
      </c>
      <c r="KU369" s="409">
        <v>2</v>
      </c>
      <c r="KV369" s="409">
        <v>5</v>
      </c>
      <c r="KW369" s="409">
        <v>2</v>
      </c>
      <c r="KX369" s="409">
        <v>2</v>
      </c>
      <c r="KY369" s="409">
        <v>2</v>
      </c>
      <c r="KZ369" s="409">
        <v>2</v>
      </c>
      <c r="LA369" s="409">
        <v>30</v>
      </c>
      <c r="LB369" s="415">
        <v>0.8</v>
      </c>
      <c r="LC369" s="415">
        <v>0.2</v>
      </c>
      <c r="LD369" s="424"/>
      <c r="LE369" s="415"/>
      <c r="LF369" s="415"/>
      <c r="LG369" s="409">
        <v>0</v>
      </c>
      <c r="LH369" s="409">
        <f>32+42+80+20</f>
        <v>174</v>
      </c>
      <c r="LI369" s="409">
        <v>0</v>
      </c>
      <c r="LJ369" s="409">
        <v>0</v>
      </c>
      <c r="LK369" s="416">
        <f t="shared" si="191"/>
        <v>174</v>
      </c>
      <c r="LL369" s="416">
        <f t="shared" si="349"/>
        <v>174</v>
      </c>
      <c r="LM369" s="417">
        <f t="shared" si="193"/>
        <v>139.20000000000002</v>
      </c>
      <c r="LN369" s="417">
        <f>VLOOKUP($LM$8,'Jan-2026 rates'!$H:$I,2,0)</f>
        <v>0</v>
      </c>
      <c r="LO369" s="417">
        <f t="shared" si="194"/>
        <v>34.800000000000004</v>
      </c>
      <c r="LP369" s="417">
        <f>VLOOKUP($LO$8,'Jan-2026 rates'!$H:$I,2,0)</f>
        <v>0</v>
      </c>
      <c r="LQ369" s="417">
        <f t="shared" si="195"/>
        <v>0</v>
      </c>
      <c r="LR369" s="417">
        <f>VLOOKUP($LQ$8,'Jan-2026 rates'!$H:$I,2,0)</f>
        <v>0</v>
      </c>
      <c r="LS369" s="417">
        <f t="shared" si="196"/>
        <v>0</v>
      </c>
      <c r="LT369" s="417">
        <f>VLOOKUP($LS$8,'Jan-2026 rates'!$H:$I,2,0)</f>
        <v>0</v>
      </c>
      <c r="LU369" s="417">
        <f t="shared" si="197"/>
        <v>0</v>
      </c>
      <c r="LV369" s="417">
        <f>VLOOKUP($LU$8,'Jan-2026 rates'!$H:$I,2,0)</f>
        <v>0</v>
      </c>
      <c r="LW369" s="417">
        <f t="shared" si="198"/>
        <v>0</v>
      </c>
      <c r="LX369" s="417">
        <f t="shared" si="199"/>
        <v>0</v>
      </c>
      <c r="LY369" s="418">
        <f t="shared" si="200"/>
        <v>0</v>
      </c>
      <c r="LZ369" s="417"/>
      <c r="MA369" s="435">
        <f t="shared" si="201"/>
        <v>182.6</v>
      </c>
      <c r="MB369" s="282">
        <f t="shared" si="202"/>
        <v>327.60000000000002</v>
      </c>
      <c r="MC369" s="283">
        <v>211</v>
      </c>
      <c r="MD369" s="284" t="str">
        <f t="shared" si="203"/>
        <v>FLINTSLFLINTSLFLINTSLFLINTSLFLINTSLFLINTSLFLINTSLFLINTSL</v>
      </c>
      <c r="ME369" s="293" t="str">
        <f t="shared" si="204"/>
        <v>+</v>
      </c>
      <c r="MF369" s="293" t="str">
        <f t="shared" si="205"/>
        <v>+</v>
      </c>
      <c r="MG369" s="293" t="str">
        <f t="shared" si="206"/>
        <v>+</v>
      </c>
      <c r="MH369" s="293" t="str">
        <f t="shared" si="207"/>
        <v>+</v>
      </c>
      <c r="MI369" s="293" t="str">
        <f t="shared" si="208"/>
        <v>+</v>
      </c>
      <c r="MJ369" s="293" t="str">
        <f t="shared" si="209"/>
        <v>+</v>
      </c>
      <c r="MK369" s="293" t="str">
        <f t="shared" si="210"/>
        <v>+</v>
      </c>
      <c r="ML369" s="293" t="str">
        <f t="shared" si="211"/>
        <v>+</v>
      </c>
      <c r="MM369" s="3" t="b">
        <f t="array" ref="MM369">OR(ME369:ML369="-")</f>
        <v>0</v>
      </c>
      <c r="MO369" s="401">
        <f t="shared" si="350"/>
        <v>65.783132530120497</v>
      </c>
      <c r="MP369" s="286"/>
      <c r="MR369" s="402">
        <f t="shared" si="351"/>
        <v>1.4431718061674009E-2</v>
      </c>
      <c r="MS369" s="400">
        <f t="shared" si="352"/>
        <v>0</v>
      </c>
      <c r="MT369" s="285"/>
      <c r="NH369" s="361"/>
      <c r="NJ369" s="282"/>
    </row>
    <row r="370" spans="1:374" ht="16.5">
      <c r="A370" s="403">
        <v>46050</v>
      </c>
      <c r="B370" s="404" t="s">
        <v>1015</v>
      </c>
      <c r="C370" s="405" t="s">
        <v>4829</v>
      </c>
      <c r="D370" s="404">
        <v>212</v>
      </c>
      <c r="E370" s="404">
        <v>742</v>
      </c>
      <c r="F370" s="407">
        <v>33800</v>
      </c>
      <c r="G370" s="407" t="s">
        <v>1019</v>
      </c>
      <c r="H370" s="408" t="s">
        <v>1017</v>
      </c>
      <c r="I370" s="409">
        <v>2.16</v>
      </c>
      <c r="J370" s="405" t="s">
        <v>543</v>
      </c>
      <c r="K370" s="404" t="s">
        <v>4830</v>
      </c>
      <c r="L370" s="419" t="str">
        <f t="shared" si="184"/>
        <v>FLINTSL - BLACK</v>
      </c>
      <c r="M370" s="404">
        <v>30</v>
      </c>
      <c r="N370" s="410">
        <f>IF(M370=0,0,IF($LB370=70%,VLOOKUP($L370,'Jan-2026 rates'!$L:$R,4,0),IF($LB370=65%,VLOOKUP($L370,'Jan-2026 rates'!$L:$R,4,0),IF($LB370=40%,VLOOKUP($L370,'Jan-2026 rates'!$L:$R,5,0),IF($LB370=30%,VLOOKUP($L370,'Jan-2026 rates'!$L:$R,6,0),IF($LB370=100%,VLOOKUP($L370,'Jan-2026 rates'!$L:$R,7,0),IF($LB370=60%,VLOOKUP($L370,'Jan-2026 rates'!$L:$S,8,0),IF($LB370=80%,VLOOKUP($L370,'Jan-2026 rates'!L:T,9,0),0))))))))</f>
        <v>0</v>
      </c>
      <c r="O370" s="406"/>
      <c r="P370" s="404"/>
      <c r="Q370" s="410">
        <f>IF(P370=0,0,IF($LB370=70%,VLOOKUP($L370,'Jan-2026 rates'!$L:$R,4,0),IF($LB370=65%,VLOOKUP($L370,'Jan-2026 rates'!$L:$R,4,0),IF($LB370=40%,VLOOKUP($L370,'Jan-2026 rates'!$L:$R,5,0),IF($LB370=30%,VLOOKUP($L370,'Jan-2026 rates'!$L:$R,6,0),IF($LB370=100%,VLOOKUP($L370,'Jan-2026 rates'!$L:$R,7,0),IF($LB370=60%,VLOOKUP($L370,'Jan-2026 rates'!$L:$S,8,0),IF($LB370=80%,VLOOKUP($L370,'Jan-2026 rates'!L:T,9,0),0))))))))</f>
        <v>0</v>
      </c>
      <c r="R370" s="406">
        <v>26523000020</v>
      </c>
      <c r="S370" s="406"/>
      <c r="T370" s="406"/>
      <c r="U370" s="406"/>
      <c r="V370" s="406"/>
      <c r="W370" s="406"/>
      <c r="X370" s="406"/>
      <c r="Y370" s="406"/>
      <c r="Z370" s="404">
        <v>2</v>
      </c>
      <c r="AA370" s="398" t="e">
        <f>IF(Z370=0,0,IF(LEN(R370)=11,_xlfn.XLOOKUP(R370,'Dispensed Ink Rates'!C:C,'Dispensed Ink Rates'!CS:CS),VLOOKUP(R370,'Jan-2026 rates'!$E:$F,2,0)))</f>
        <v>#N/A</v>
      </c>
      <c r="AB370" s="404"/>
      <c r="AC370" s="398">
        <f>IF(AB370=0,0,IF(LEN(S370)=11,_xlfn.XLOOKUP(S370,'Dispensed Ink Rates'!C:C,'Dispensed Ink Rates'!CS:CS),VLOOKUP(S370,'Jan-2026 rates'!$E:$F,2,0)))</f>
        <v>0</v>
      </c>
      <c r="AD370" s="404"/>
      <c r="AE370" s="398">
        <f>IF(AD370=0,0,IF(LEN(T370)=11,_xlfn.XLOOKUP(T370,'Dispensed Ink Rates'!C:C,'Dispensed Ink Rates'!CS:CS),VLOOKUP(T370,'Jan-2026 rates'!$E:$F,2,0)))</f>
        <v>0</v>
      </c>
      <c r="AF370" s="404"/>
      <c r="AG370" s="398">
        <f>IF(AF370=0,0,IF(LEN(U370)=11,_xlfn.XLOOKUP(U370,'Dispensed Ink Rates'!C:C,'Dispensed Ink Rates'!CS:CS),VLOOKUP(U370,'Jan-2026 rates'!$E:$F,2,0)))</f>
        <v>0</v>
      </c>
      <c r="AH370" s="404"/>
      <c r="AI370" s="398">
        <f>IF(AH370=0,0,IF(LEN(V370)=11,_xlfn.XLOOKUP(V370,'Dispensed Ink Rates'!C:C,'Dispensed Ink Rates'!CS:CS),VLOOKUP(V370,'Jan-2026 rates'!$E:$F,2,0)))</f>
        <v>0</v>
      </c>
      <c r="AJ370" s="404"/>
      <c r="AK370" s="398">
        <f>IF(AJ370=0,0,IF(LEN(W370)=11,_xlfn.XLOOKUP(W370,'Dispensed Ink Rates'!C:C,'Dispensed Ink Rates'!CS:CS),VLOOKUP(W370,'Jan-2026 rates'!$E:$F,2,0)))</f>
        <v>0</v>
      </c>
      <c r="AL370" s="404"/>
      <c r="AM370" s="398">
        <f>IF(AL370=0,0,IF(LEN(X370)=11,_xlfn.XLOOKUP(X370,'Dispensed Ink Rates'!C:C,'Dispensed Ink Rates'!CS:CS),VLOOKUP(X370,'Jan-2026 rates'!$E:$F,2,0)))</f>
        <v>0</v>
      </c>
      <c r="AN370" s="404"/>
      <c r="AO370" s="398">
        <f>IF(AN370=0,0,IF(LEN(Y370)=11,_xlfn.XLOOKUP(Y370,'Dispensed Ink Rates'!C:C,'Dispensed Ink Rates'!CS:CS),VLOOKUP(Y370,'Jan-2026 rates'!$E:$F,2,0)))</f>
        <v>0</v>
      </c>
      <c r="AP370" s="409" t="s">
        <v>1443</v>
      </c>
      <c r="AQ370" s="409">
        <v>24</v>
      </c>
      <c r="AR370" s="410">
        <f t="shared" si="212"/>
        <v>0</v>
      </c>
      <c r="AS370" s="411">
        <f t="shared" si="213"/>
        <v>24.25</v>
      </c>
      <c r="AT370" s="410">
        <f t="shared" si="214"/>
        <v>0</v>
      </c>
      <c r="AU370" s="405" t="s">
        <v>543</v>
      </c>
      <c r="AV370" s="409"/>
      <c r="AW370" s="420" t="str">
        <f t="shared" si="348"/>
        <v>FLINTSL - BLACK</v>
      </c>
      <c r="AX370" s="409"/>
      <c r="AY370" s="411">
        <f>IF(AX370=0,0,IF($LB370=70%,VLOOKUP($AW370,'Jan-2026 rates'!$L:$R,4,0),IF($LB370=65%,VLOOKUP($AW370,'Jan-2026 rates'!$L:$R,4,0),IF($LB370=40%,VLOOKUP($AW370,'Jan-2026 rates'!$L:$R,5,0),IF($LB370=30%,VLOOKUP($AW370,'Jan-2026 rates'!$L:$R,6,0),IF($LB370=100%,VLOOKUP($AW370,'Jan-2026 rates'!$L:$R,7,0),IF($LB370=60%,VLOOKUP($AW370,'Jan-2026 rates'!$L:$S,8,0),IF($LB370=80%,VLOOKUP($AW370,'Jan-2026 rates'!L:T,9,0),0))))))))</f>
        <v>0</v>
      </c>
      <c r="AZ370" s="412"/>
      <c r="BA370" s="409"/>
      <c r="BB370" s="411">
        <f>IF(BA370=0,0,IF($LB370=70%,VLOOKUP($AW370,'Jan-2026 rates'!$L:$R,4,0),IF($LB370=65%,VLOOKUP($AW370,'Jan-2026 rates'!$L:$R,4,0),IF($LB370=40%,VLOOKUP($AW370,'Jan-2026 rates'!$L:$R,5,0),IF($LB370=30%,VLOOKUP($AW370,'Jan-2026 rates'!$L:$R,6,0),IF($LB370=100%,VLOOKUP($AW370,'Jan-2026 rates'!$L:$R,7,0),IF($LB370=60%,VLOOKUP($AW370,'Jan-2026 rates'!$L:$S,8,0),IF($LB370=80%,VLOOKUP($AW370,'Jan-2026 rates'!L:T,9,0),0))))))))</f>
        <v>0</v>
      </c>
      <c r="BC370" s="413">
        <v>26528000018</v>
      </c>
      <c r="BD370" s="412">
        <v>26528000016</v>
      </c>
      <c r="BE370" s="412">
        <v>26528000017</v>
      </c>
      <c r="BF370" s="413">
        <v>26527000012</v>
      </c>
      <c r="BG370" s="412">
        <v>26529000007</v>
      </c>
      <c r="BH370" s="412"/>
      <c r="BI370" s="412"/>
      <c r="BJ370" s="412"/>
      <c r="BK370" s="409">
        <v>40</v>
      </c>
      <c r="BL370" s="398" t="e">
        <f>IF(BK370=0,0,IF(LEN(BC370)=11,_xlfn.XLOOKUP(BC370,'Dispensed Ink Rates'!C:C,'Dispensed Ink Rates'!CS:CS),VLOOKUP(BC370,'Jan-2026 rates'!$E:$F,2,0)))</f>
        <v>#N/A</v>
      </c>
      <c r="BM370" s="409">
        <v>40</v>
      </c>
      <c r="BN370" s="398" t="e">
        <f>IF(BM370=0,0,IF(LEN(BD370)=11,_xlfn.XLOOKUP(BD370,'Dispensed Ink Rates'!C:C,'Dispensed Ink Rates'!CS:CS),VLOOKUP(BD370,'Jan-2026 rates'!$E:$F,2,0)))</f>
        <v>#N/A</v>
      </c>
      <c r="BO370" s="409">
        <v>40</v>
      </c>
      <c r="BP370" s="398" t="e">
        <f>IF(BO370=0,0,IF(LEN(BE370)=11,_xlfn.XLOOKUP(BE370,'Dispensed Ink Rates'!C:C,'Dispensed Ink Rates'!CS:CS),VLOOKUP(BE370,'Jan-2026 rates'!$E:$F,2,0)))</f>
        <v>#N/A</v>
      </c>
      <c r="BQ370" s="409">
        <v>6</v>
      </c>
      <c r="BR370" s="398" t="e">
        <f>IF(BQ370=0,0,IF(LEN(BF370)=11,_xlfn.XLOOKUP(BF370,'Dispensed Ink Rates'!C:C,'Dispensed Ink Rates'!CS:CS),VLOOKUP(BF370,'Jan-2026 rates'!$E:$F,2,0)))</f>
        <v>#N/A</v>
      </c>
      <c r="BS370" s="409">
        <v>4</v>
      </c>
      <c r="BT370" s="398" t="e">
        <f>IF(BS370=0,0,IF(LEN(BG370)=11,_xlfn.XLOOKUP(BG370,'Dispensed Ink Rates'!C:C,'Dispensed Ink Rates'!CS:CS),VLOOKUP(BG370,'Jan-2026 rates'!$E:$F,2,0)))</f>
        <v>#N/A</v>
      </c>
      <c r="BU370" s="409"/>
      <c r="BV370" s="398">
        <f>IF(BU370=0,0,IF(LEN(BH370)=11,_xlfn.XLOOKUP(BH370,'Dispensed Ink Rates'!C:C,'Dispensed Ink Rates'!CS:CS),VLOOKUP(BH370,'Jan-2026 rates'!$E:$F,2,0)))</f>
        <v>0</v>
      </c>
      <c r="BW370" s="409"/>
      <c r="BX370" s="398">
        <f>IF(BW370=0,0,IF(LEN(BI370)=11,_xlfn.XLOOKUP(BI370,'Dispensed Ink Rates'!C:C,'Dispensed Ink Rates'!CS:CS),VLOOKUP(BI370,'Jan-2026 rates'!$E:$F,2,0)))</f>
        <v>0</v>
      </c>
      <c r="BY370" s="409"/>
      <c r="BZ370" s="398">
        <f>IF(BY370=0,0,IF(LEN(BJ370)=11,_xlfn.XLOOKUP(BJ370,'Dispensed Ink Rates'!C:C,'Dispensed Ink Rates'!CS:CS),VLOOKUP(BJ370,'Jan-2026 rates'!$E:$F,2,0)))</f>
        <v>0</v>
      </c>
      <c r="CA370" s="409" t="s">
        <v>1443</v>
      </c>
      <c r="CB370" s="409">
        <v>29</v>
      </c>
      <c r="CC370" s="411">
        <f t="shared" si="215"/>
        <v>0</v>
      </c>
      <c r="CD370" s="411">
        <f t="shared" si="216"/>
        <v>117.25</v>
      </c>
      <c r="CE370" s="410">
        <f t="shared" si="217"/>
        <v>0</v>
      </c>
      <c r="CF370" s="404" t="s">
        <v>547</v>
      </c>
      <c r="CG370" s="409" t="s">
        <v>4831</v>
      </c>
      <c r="CH370" s="420" t="str">
        <f t="shared" si="185"/>
        <v>FLINTSL - GREEN</v>
      </c>
      <c r="CI370" s="409">
        <v>29</v>
      </c>
      <c r="CJ370" s="411">
        <f>IF(CI370=0,0,IF($LB370=70%,VLOOKUP($CH370,'Jan-2026 rates'!$L:$R,4,0),IF($LB370=65%,VLOOKUP($CH370,'Jan-2026 rates'!$L:$R,4,0),IF($LB370=40%,VLOOKUP($CH370,'Jan-2026 rates'!$L:$R,5,0),IF($LB370=30%,VLOOKUP($CH370,'Jan-2026 rates'!$L:$R,6,0),IF($LB370=100%,VLOOKUP($CH370,'Jan-2026 rates'!$L:$R,7,0),IF($LB370=60%,VLOOKUP($CH370,'Jan-2026 rates'!$L:$S,8,0),IF($LB370=80%,VLOOKUP($CH370,'Jan-2026 rates'!L:T,9,0),0))))))))</f>
        <v>0</v>
      </c>
      <c r="CK370" s="412"/>
      <c r="CL370" s="409"/>
      <c r="CM370" s="411">
        <f>IF(CL370=0,0,IF($LB370=70%,VLOOKUP($CH370,'Jan-2026 rates'!$L:$R,4,0),IF($LB370=65%,VLOOKUP($CH370,'Jan-2026 rates'!$L:$R,4,0),IF($LB370=40%,VLOOKUP($CH370,'Jan-2026 rates'!$L:$R,5,0),IF($LB370=30%,VLOOKUP($CH370,'Jan-2026 rates'!$L:$R,6,0),IF($LB370=100%,VLOOKUP($CH370,'Jan-2026 rates'!$L:$R,7,0),IF($LB370=60%,VLOOKUP($CH370,'Jan-2026 rates'!$L:$S,8,0),IF($LB370=80%,VLOOKUP($CH370,'Jan-2026 rates'!L:T,9,0),0))))))))</f>
        <v>0</v>
      </c>
      <c r="CN370" s="426">
        <v>26527000027</v>
      </c>
      <c r="CO370" s="427">
        <v>26526000010</v>
      </c>
      <c r="CP370" s="426"/>
      <c r="CQ370" s="426"/>
      <c r="CR370" s="428"/>
      <c r="CS370" s="428"/>
      <c r="CT370" s="428"/>
      <c r="CU370" s="428"/>
      <c r="CV370" s="409">
        <v>2</v>
      </c>
      <c r="CW370" s="398" t="e">
        <f>IF(CV370=0,0,IF(LEN(CN370)=11,_xlfn.XLOOKUP(CN370,'Dispensed Ink Rates'!C:C,'Dispensed Ink Rates'!CS:CS),VLOOKUP(CN370,'Jan-2026 rates'!$E:$F,2,0)))</f>
        <v>#N/A</v>
      </c>
      <c r="CX370" s="409">
        <v>2</v>
      </c>
      <c r="CY370" s="398" t="e">
        <f>IF(CX370=0,0,IF(LEN(CO370)=11,_xlfn.XLOOKUP(CO370,'Dispensed Ink Rates'!C:C,'Dispensed Ink Rates'!CS:CS),VLOOKUP(CO370,'Jan-2026 rates'!$E:$F,2,0)))</f>
        <v>#N/A</v>
      </c>
      <c r="CZ370" s="409"/>
      <c r="DA370" s="398">
        <f>IF(CZ370=0,0,IF(LEN(CP370)=11,_xlfn.XLOOKUP(CP370,'Dispensed Ink Rates'!C:C,'Dispensed Ink Rates'!CS:CS),VLOOKUP(CP370,'Jan-2026 rates'!$E:$F,2,0)))</f>
        <v>0</v>
      </c>
      <c r="DB370" s="409"/>
      <c r="DC370" s="398">
        <f>IF(DB370=0,0,IF(LEN(CQ370)=11,_xlfn.XLOOKUP(CQ370,'Dispensed Ink Rates'!C:C,'Dispensed Ink Rates'!CS:CS),VLOOKUP(CQ370,'Jan-2026 rates'!$E:$F,2,0)))</f>
        <v>0</v>
      </c>
      <c r="DD370" s="409"/>
      <c r="DE370" s="398">
        <f>IF(DD370=0,0,IF(LEN(CR370)=11,_xlfn.XLOOKUP(CR370,'Dispensed Ink Rates'!C:C,'Dispensed Ink Rates'!CS:CS),VLOOKUP(CR370,'Jan-2026 rates'!$E:$F,2,0)))</f>
        <v>0</v>
      </c>
      <c r="DF370" s="409"/>
      <c r="DG370" s="398">
        <f>IF(DF370=0,0,IF(LEN(CS370)=11,_xlfn.XLOOKUP(CS370,'Dispensed Ink Rates'!C:C,'Dispensed Ink Rates'!CS:CS),VLOOKUP(CS370,'Jan-2026 rates'!$E:$F,2,0)))</f>
        <v>0</v>
      </c>
      <c r="DH370" s="409"/>
      <c r="DI370" s="398">
        <f>IF(DH370=0,0,IF(LEN(CT370)=11,_xlfn.XLOOKUP(CT370,'Dispensed Ink Rates'!C:C,'Dispensed Ink Rates'!CS:CS),VLOOKUP(CT370,'Jan-2026 rates'!$E:$F,2,0)))</f>
        <v>0</v>
      </c>
      <c r="DJ370" s="409"/>
      <c r="DK370" s="398">
        <f>IF(DJ370=0,0,IF(LEN(CU370)=11,_xlfn.XLOOKUP(CU370,'Dispensed Ink Rates'!C:C,'Dispensed Ink Rates'!CS:CS),VLOOKUP(CU370,'Jan-2026 rates'!$E:$F,2,0)))</f>
        <v>0</v>
      </c>
      <c r="DL370" s="409" t="s">
        <v>1443</v>
      </c>
      <c r="DM370" s="409">
        <v>26</v>
      </c>
      <c r="DN370" s="411">
        <f t="shared" si="218"/>
        <v>0</v>
      </c>
      <c r="DO370" s="411">
        <f t="shared" si="219"/>
        <v>23.25</v>
      </c>
      <c r="DP370" s="410">
        <f t="shared" si="220"/>
        <v>0</v>
      </c>
      <c r="DQ370" s="405" t="s">
        <v>544</v>
      </c>
      <c r="DR370" s="409" t="s">
        <v>4832</v>
      </c>
      <c r="DS370" s="420" t="str">
        <f t="shared" si="186"/>
        <v>FLINTSL - MAGENTA</v>
      </c>
      <c r="DT370" s="409">
        <v>30</v>
      </c>
      <c r="DU370" s="411">
        <f>IF(DT370=0,0,IF($LB370=70%,VLOOKUP($DS370,'Jan-2026 rates'!$L:$R,4,0),IF($LB370=65%,VLOOKUP($DS370,'Jan-2026 rates'!$L:$R,4,0),IF($LB370=40%,VLOOKUP($DS370,'Jan-2026 rates'!$L:$R,5,0),IF($LB370=30%,VLOOKUP($DS370,'Jan-2026 rates'!$L:$R,6,0),IF($LB370=100%,VLOOKUP($DS370,'Jan-2026 rates'!$L:$R,7,0),IF($LB370=60%,VLOOKUP($DS370,'Jan-2026 rates'!$L:$S,8,0),IF($LB370=80%,VLOOKUP($DS370,'Jan-2026 rates'!L:T,9,0),0))))))))</f>
        <v>0</v>
      </c>
      <c r="DV370" s="412"/>
      <c r="DW370" s="409"/>
      <c r="DX370" s="411">
        <f>IF(DW370=0,0,IF($LB370=70%,VLOOKUP($DS370,'Jan-2026 rates'!$L:$R,4,0),IF($LB370=65%,VLOOKUP($DS370,'Jan-2026 rates'!$L:$R,4,0),IF($LB370=40%,VLOOKUP($DS370,'Jan-2026 rates'!$L:$R,5,0),IF($LB370=30%,VLOOKUP($DS370,'Jan-2026 rates'!$L:$R,6,0),IF($LB370=100%,VLOOKUP($DS370,'Jan-2026 rates'!$L:$R,7,0),IF($LB370=60%,VLOOKUP($DS370,'Jan-2026 rates'!$L:$S,8,0),IF($LB370=80%,VLOOKUP($DS370,'Jan-2026 rates'!L:T,9,0),0))))))))</f>
        <v>0</v>
      </c>
      <c r="DY370" s="413">
        <v>26529000007</v>
      </c>
      <c r="DZ370" s="413"/>
      <c r="EA370" s="412"/>
      <c r="EB370" s="412"/>
      <c r="EC370" s="412"/>
      <c r="ED370" s="412"/>
      <c r="EE370" s="412"/>
      <c r="EF370" s="412"/>
      <c r="EG370" s="409">
        <v>2</v>
      </c>
      <c r="EH370" s="398" t="e">
        <f>IF(EG370=0,0,IF(LEN(DY370)=11,_xlfn.XLOOKUP(DY370,'Dispensed Ink Rates'!C:C,'Dispensed Ink Rates'!CS:CS),VLOOKUP(DY370,'Jan-2026 rates'!$E:$F,2,0)))</f>
        <v>#N/A</v>
      </c>
      <c r="EI370" s="409"/>
      <c r="EJ370" s="398">
        <f>IF(EI370=0,0,IF(LEN(DZ370)=11,_xlfn.XLOOKUP(DZ370,'Dispensed Ink Rates'!C:C,'Dispensed Ink Rates'!CS:CS),VLOOKUP(DZ370,'Jan-2026 rates'!$E:$F,2,0)))</f>
        <v>0</v>
      </c>
      <c r="EK370" s="409"/>
      <c r="EL370" s="398">
        <f>IF(EK370=0,0,IF(LEN(EA370)=11,_xlfn.XLOOKUP(EA370,'Dispensed Ink Rates'!C:C,'Dispensed Ink Rates'!CS:CS),VLOOKUP(EA370,'Jan-2026 rates'!$E:$F,2,0)))</f>
        <v>0</v>
      </c>
      <c r="EM370" s="409"/>
      <c r="EN370" s="398">
        <f>IF(EM370=0,0,IF(LEN(EB370)=11,_xlfn.XLOOKUP(EB370,'Dispensed Ink Rates'!C:C,'Dispensed Ink Rates'!CS:CS),VLOOKUP(EB370,'Jan-2026 rates'!$E:$F,2,0)))</f>
        <v>0</v>
      </c>
      <c r="EO370" s="409"/>
      <c r="EP370" s="398">
        <f>IF(EO370=0,0,IF(LEN(EC370)=11,_xlfn.XLOOKUP(EC370,'Dispensed Ink Rates'!C:C,'Dispensed Ink Rates'!CS:CS),VLOOKUP(EC370,'Jan-2026 rates'!$E:$F,2,0)))</f>
        <v>0</v>
      </c>
      <c r="EQ370" s="409"/>
      <c r="ER370" s="398">
        <f>IF(EQ370=0,0,IF(LEN(ED370)=11,_xlfn.XLOOKUP(ED370,'Dispensed Ink Rates'!C:C,'Dispensed Ink Rates'!CS:CS),VLOOKUP(ED370,'Jan-2026 rates'!$E:$F,2,0)))</f>
        <v>0</v>
      </c>
      <c r="ES370" s="409"/>
      <c r="ET370" s="398">
        <f>IF(ES370=0,0,IF(LEN(EE370)=11,_xlfn.XLOOKUP(EE370,'Dispensed Ink Rates'!C:C,'Dispensed Ink Rates'!CS:CS),VLOOKUP(EE370,'Jan-2026 rates'!$E:$F,2,0)))</f>
        <v>0</v>
      </c>
      <c r="EU370" s="409"/>
      <c r="EV370" s="398">
        <f>IF(EU370=0,0,IF(LEN(EF370)=11,_xlfn.XLOOKUP(EF370,'Dispensed Ink Rates'!C:C,'Dispensed Ink Rates'!CS:CS),VLOOKUP(EF370,'Jan-2026 rates'!$E:$F,2,0)))</f>
        <v>0</v>
      </c>
      <c r="EW370" s="409" t="s">
        <v>1443</v>
      </c>
      <c r="EX370" s="409">
        <v>30</v>
      </c>
      <c r="EY370" s="411">
        <f t="shared" si="221"/>
        <v>0</v>
      </c>
      <c r="EZ370" s="411">
        <f t="shared" si="222"/>
        <v>18.25</v>
      </c>
      <c r="FA370" s="410">
        <f t="shared" si="223"/>
        <v>0</v>
      </c>
      <c r="FB370" s="405" t="s">
        <v>545</v>
      </c>
      <c r="FC370" s="409" t="s">
        <v>4833</v>
      </c>
      <c r="FD370" s="420" t="str">
        <f t="shared" si="187"/>
        <v>FLINTSL - YELLOW</v>
      </c>
      <c r="FE370" s="409">
        <v>29</v>
      </c>
      <c r="FF370" s="411">
        <f>IF(FE370=0,0,IF($LB370=70%,VLOOKUP($FD370,'Jan-2026 rates'!$L:$R,4,0),IF($LB370=65%,VLOOKUP($FD370,'Jan-2026 rates'!$L:$R,4,0),IF($LB370=40%,VLOOKUP($FD370,'Jan-2026 rates'!$L:$R,5,0),IF($LB370=30%,VLOOKUP($FD370,'Jan-2026 rates'!$L:$R,6,0),IF($LB370=100%,VLOOKUP($FD370,'Jan-2026 rates'!$L:$R,7,0),IF($LB370=60%,VLOOKUP($FD370,'Jan-2026 rates'!$L:$S,8,0),IF($LB370=80%,VLOOKUP($FD370,'Jan-2026 rates'!L:T,9,0),0))))))))</f>
        <v>0</v>
      </c>
      <c r="FG370" s="412"/>
      <c r="FH370" s="409"/>
      <c r="FI370" s="411">
        <f>IF(FH370=0,0,IF($LB370=70%,VLOOKUP($FD370,'Jan-2026 rates'!$L:$R,4,0),IF($LB370=65%,VLOOKUP($FD370,'Jan-2026 rates'!$L:$R,4,0),IF($LB370=40%,VLOOKUP($FD370,'Jan-2026 rates'!$L:$R,5,0),IF($LB370=30%,VLOOKUP($FD370,'Jan-2026 rates'!$L:$R,6,0),IF($LB370=100%,VLOOKUP($FD370,'Jan-2026 rates'!$L:$R,7,0),IF($LB370=60%,VLOOKUP($FD370,'Jan-2026 rates'!$L:$S,8,0),IF($LB370=80%,VLOOKUP($FD370,'Jan-2026 rates'!L:T,9,0),0))))))))</f>
        <v>0</v>
      </c>
      <c r="FJ370" s="413">
        <v>26527000025</v>
      </c>
      <c r="FK370" s="413"/>
      <c r="FL370" s="413"/>
      <c r="FM370" s="412"/>
      <c r="FN370" s="412"/>
      <c r="FO370" s="412"/>
      <c r="FP370" s="412"/>
      <c r="FQ370" s="412"/>
      <c r="FR370" s="409">
        <v>6</v>
      </c>
      <c r="FS370" s="398" t="e">
        <f>IF(FR370=0,0,IF(LEN(FJ370)=11,_xlfn.XLOOKUP(FJ370,'Dispensed Ink Rates'!C:C,'Dispensed Ink Rates'!CS:CS),VLOOKUP(FJ370,'Jan-2026 rates'!$E:$F,2,0)))</f>
        <v>#N/A</v>
      </c>
      <c r="FT370" s="409"/>
      <c r="FU370" s="398">
        <f>IF(FT370=0,0,IF(LEN(FK370)=11,_xlfn.XLOOKUP(FK370,'Dispensed Ink Rates'!C:C,'Dispensed Ink Rates'!CS:CS),VLOOKUP(FK370,'Jan-2026 rates'!$E:$F,2,0)))</f>
        <v>0</v>
      </c>
      <c r="FV370" s="409"/>
      <c r="FW370" s="398">
        <f>IF(FV370=0,0,IF(LEN(FL370)=11,_xlfn.XLOOKUP(FL370,'Dispensed Ink Rates'!C:C,'Dispensed Ink Rates'!CS:CS),VLOOKUP(FL370,'Jan-2026 rates'!$E:$F,2,0)))</f>
        <v>0</v>
      </c>
      <c r="FX370" s="409"/>
      <c r="FY370" s="398">
        <f>IF(FX370=0,0,IF(LEN(FM370)=11,_xlfn.XLOOKUP(FM370,'Dispensed Ink Rates'!C:C,'Dispensed Ink Rates'!CS:CS),VLOOKUP(FM370,'Jan-2026 rates'!$E:$F,2,0)))</f>
        <v>0</v>
      </c>
      <c r="FZ370" s="409"/>
      <c r="GA370" s="398">
        <f>IF(FZ370=0,0,IF(LEN(FN370)=11,_xlfn.XLOOKUP(FN370,'Dispensed Ink Rates'!C:C,'Dispensed Ink Rates'!CS:CS),VLOOKUP(FN370,'Jan-2026 rates'!$E:$F,2,0)))</f>
        <v>0</v>
      </c>
      <c r="GB370" s="409"/>
      <c r="GC370" s="398">
        <f>IF(GB370=0,0,IF(LEN(FO370)=11,_xlfn.XLOOKUP(FO370,'Dispensed Ink Rates'!C:C,'Dispensed Ink Rates'!CS:CS),VLOOKUP(FO370,'Jan-2026 rates'!$E:$F,2,0)))</f>
        <v>0</v>
      </c>
      <c r="GD370" s="409"/>
      <c r="GE370" s="398">
        <f>IF(GD370=0,0,IF(LEN(FP370)=11,_xlfn.XLOOKUP(FP370,'Dispensed Ink Rates'!C:C,'Dispensed Ink Rates'!CS:CS),VLOOKUP(FP370,'Jan-2026 rates'!$E:$F,2,0)))</f>
        <v>0</v>
      </c>
      <c r="GF370" s="409"/>
      <c r="GG370" s="398">
        <f>IF(GF370=0,0,IF(LEN(FQ370)=11,_xlfn.XLOOKUP(FQ370,'Dispensed Ink Rates'!C:C,'Dispensed Ink Rates'!CS:CS),VLOOKUP(FQ370,'Jan-2026 rates'!$E:$F,2,0)))</f>
        <v>0</v>
      </c>
      <c r="GH370" s="409" t="s">
        <v>1443</v>
      </c>
      <c r="GI370" s="409">
        <v>30</v>
      </c>
      <c r="GJ370" s="411">
        <f t="shared" si="224"/>
        <v>0</v>
      </c>
      <c r="GK370" s="411">
        <f t="shared" si="225"/>
        <v>21.25</v>
      </c>
      <c r="GL370" s="410">
        <f t="shared" si="226"/>
        <v>0</v>
      </c>
      <c r="GM370" s="405" t="s">
        <v>548</v>
      </c>
      <c r="GN370" s="409" t="s">
        <v>4834</v>
      </c>
      <c r="GO370" s="420" t="str">
        <f t="shared" si="188"/>
        <v>INK PRODUCT - GOLD</v>
      </c>
      <c r="GP370" s="409">
        <v>20</v>
      </c>
      <c r="GQ370" s="411">
        <f>IF(GP370=0,0,IF($LB370=70%,VLOOKUP($GO370,'Jan-2026 rates'!$L:$R,4,0),IF($LB370=65%,VLOOKUP($GO370,'Jan-2026 rates'!$L:$R,4,0),IF($LB370=40%,VLOOKUP($GO370,'Jan-2026 rates'!$L:$R,5,0),IF($LB370=30%,VLOOKUP($GO370,'Jan-2026 rates'!$L:$R,6,0),IF($LB370=100%,VLOOKUP($GO370,'Jan-2026 rates'!$L:$R,7,0),IF($LB370=60%,VLOOKUP($GO370,'Jan-2026 rates'!$L:$S,8,0),IF($LB370=80%,VLOOKUP($GO370,'Jan-2026 rates'!L:T,9,0),0))))))))</f>
        <v>0</v>
      </c>
      <c r="GR370" s="412"/>
      <c r="GS370" s="409"/>
      <c r="GT370" s="411">
        <f>IF(GS370=0,0,IF($LB370=70%,VLOOKUP($GO370,'Jan-2026 rates'!$L:$R,4,0),IF($LB370=65%,VLOOKUP($GO370,'Jan-2026 rates'!$L:$R,4,0),IF($LB370=40%,VLOOKUP($GO370,'Jan-2026 rates'!$L:$R,5,0),IF($LB370=30%,VLOOKUP($GO370,'Jan-2026 rates'!$L:$R,6,0),IF($LB370=100%,VLOOKUP($GO370,'Jan-2026 rates'!$L:$R,7,0),IF($LB370=60%,VLOOKUP($GO370,'Jan-2026 rates'!$L:$S,8,0),IF($LB370=80%,VLOOKUP($GO370,'Jan-2026 rates'!L:T,9,0),0))))))))</f>
        <v>0</v>
      </c>
      <c r="GU370" s="413">
        <v>24161</v>
      </c>
      <c r="GV370" s="413">
        <v>165</v>
      </c>
      <c r="GW370" s="412"/>
      <c r="GX370" s="412"/>
      <c r="GY370" s="412"/>
      <c r="GZ370" s="412"/>
      <c r="HA370" s="412"/>
      <c r="HB370" s="412"/>
      <c r="HC370" s="409">
        <f>20+10</f>
        <v>30</v>
      </c>
      <c r="HD370" s="398">
        <f>IF(HC370=0,0,IF(LEN(GU370)=11,_xlfn.XLOOKUP(GU370,'Dispensed Ink Rates'!C:C,'Dispensed Ink Rates'!CS:CS),VLOOKUP(GU370,'Jan-2026 rates'!$E:$F,2,0)))</f>
        <v>0</v>
      </c>
      <c r="HE370" s="409">
        <v>1.2</v>
      </c>
      <c r="HF370" s="398">
        <f>IF(HE370=0,0,IF(LEN(GV370)=11,_xlfn.XLOOKUP(GV370,'Dispensed Ink Rates'!C:C,'Dispensed Ink Rates'!CS:CS),VLOOKUP(GV370,'Jan-2026 rates'!$E:$F,2,0)))</f>
        <v>0</v>
      </c>
      <c r="HG370" s="409"/>
      <c r="HH370" s="398">
        <f>IF(HG370=0,0,IF(LEN(GW370)=11,_xlfn.XLOOKUP(GW370,'Dispensed Ink Rates'!C:C,'Dispensed Ink Rates'!CS:CS),VLOOKUP(GW370,'Jan-2026 rates'!$E:$F,2,0)))</f>
        <v>0</v>
      </c>
      <c r="HI370" s="409"/>
      <c r="HJ370" s="398">
        <f>IF(HI370=0,0,IF(LEN(GX370)=11,_xlfn.XLOOKUP(GX370,'Dispensed Ink Rates'!C:C,'Dispensed Ink Rates'!CS:CS),VLOOKUP(GX370,'Jan-2026 rates'!$E:$F,2,0)))</f>
        <v>0</v>
      </c>
      <c r="HK370" s="409"/>
      <c r="HL370" s="398">
        <f>IF(HK370=0,0,IF(LEN(GY370)=11,_xlfn.XLOOKUP(GY370,'Dispensed Ink Rates'!C:C,'Dispensed Ink Rates'!CS:CS),VLOOKUP(GY370,'Jan-2026 rates'!$E:$F,2,0)))</f>
        <v>0</v>
      </c>
      <c r="HM370" s="409"/>
      <c r="HN370" s="398">
        <f>IF(HM370=0,0,IF(LEN(GZ370)=11,_xlfn.XLOOKUP(GZ370,'Dispensed Ink Rates'!C:C,'Dispensed Ink Rates'!CS:CS),VLOOKUP(GZ370,'Jan-2026 rates'!$E:$F,2,0)))</f>
        <v>0</v>
      </c>
      <c r="HO370" s="409"/>
      <c r="HP370" s="398">
        <f>IF(HO370=0,0,IF(LEN(HA370)=11,_xlfn.XLOOKUP(HA370,'Dispensed Ink Rates'!C:C,'Dispensed Ink Rates'!CS:CS),VLOOKUP(HA370,'Jan-2026 rates'!$E:$F,2,0)))</f>
        <v>0</v>
      </c>
      <c r="HQ370" s="409"/>
      <c r="HR370" s="398">
        <f>IF(HQ370=0,0,IF(LEN(HB370)=11,_xlfn.XLOOKUP(HB370,'Dispensed Ink Rates'!C:C,'Dispensed Ink Rates'!CS:CS),VLOOKUP(HB370,'Jan-2026 rates'!$E:$F,2,0)))</f>
        <v>0</v>
      </c>
      <c r="HS370" s="409" t="s">
        <v>719</v>
      </c>
      <c r="HT370" s="409">
        <v>28</v>
      </c>
      <c r="HU370" s="411">
        <f t="shared" si="227"/>
        <v>0</v>
      </c>
      <c r="HV370" s="411">
        <f t="shared" si="228"/>
        <v>55.7</v>
      </c>
      <c r="HW370" s="414">
        <f t="shared" si="229"/>
        <v>0</v>
      </c>
      <c r="HX370" s="405" t="s">
        <v>856</v>
      </c>
      <c r="HY370" s="409" t="s">
        <v>4835</v>
      </c>
      <c r="HZ370" s="420" t="str">
        <f t="shared" si="189"/>
        <v>FLINTSL - WHITE</v>
      </c>
      <c r="IA370" s="409">
        <v>24</v>
      </c>
      <c r="IB370" s="411">
        <f>IF(IA370=0,0,IF($LB370=70%,VLOOKUP($HZ370,'Jan-2026 rates'!$L:$R,4,0),IF($LB370=65%,VLOOKUP($HZ370,'Jan-2026 rates'!$L:$R,4,0),IF($LB370=40%,VLOOKUP($HZ370,'Jan-2026 rates'!$L:$R,5,0),IF($LB370=30%,VLOOKUP($HZ370,'Jan-2026 rates'!$L:$R,6,0),IF($LB370=100%,VLOOKUP($HZ370,'Jan-2026 rates'!$L:$R,7,0),IF($LB370=60%,VLOOKUP($HZ370,'Jan-2026 rates'!$L:$S,8,0),IF($LB370=80%,VLOOKUP($HZ370,'Jan-2026 rates'!L:T,9,0),0))))))))</f>
        <v>0</v>
      </c>
      <c r="IC370" s="412"/>
      <c r="ID370" s="409"/>
      <c r="IE370" s="411">
        <f>IF(ID370=0,0,IF($LB370=70%,VLOOKUP($HZ370,'Jan-2026 rates'!$L:$R,4,0),IF($LB370=65%,VLOOKUP($HZ370,'Jan-2026 rates'!$L:$R,4,0),IF($LB370=40%,VLOOKUP($HZ370,'Jan-2026 rates'!$L:$R,5,0),IF($LB370=30%,VLOOKUP($HZ370,'Jan-2026 rates'!$L:$R,6,0),IF($LB370=100%,VLOOKUP($HZ370,'Jan-2026 rates'!$L:$R,7,0),IF($LB370=60%,VLOOKUP($HZ370,'Jan-2026 rates'!$L:$S,8,0),IF($LB370=80%,VLOOKUP($HZ370,'Jan-2026 rates'!L:T,9,0),0))))))))</f>
        <v>0</v>
      </c>
      <c r="IF370" s="412" t="s">
        <v>484</v>
      </c>
      <c r="IG370" s="413"/>
      <c r="IH370" s="412"/>
      <c r="II370" s="412"/>
      <c r="IJ370" s="412"/>
      <c r="IK370" s="412"/>
      <c r="IL370" s="412"/>
      <c r="IM370" s="412"/>
      <c r="IN370" s="409">
        <f>50+25</f>
        <v>75</v>
      </c>
      <c r="IO370" s="398">
        <f>IF(IN370=0,0,IF(LEN(IF370)=11,_xlfn.XLOOKUP(IF370,'Dispensed Ink Rates'!C:C,'Dispensed Ink Rates'!CS:CS),VLOOKUP(IF370,'Jan-2026 rates'!$E:$F,2,0)))</f>
        <v>0</v>
      </c>
      <c r="IP370" s="409"/>
      <c r="IQ370" s="398">
        <f>IF(IP370=0,0,IF(LEN(IG370)=11,_xlfn.XLOOKUP(IG370,'Dispensed Ink Rates'!C:C,'Dispensed Ink Rates'!CS:CS),VLOOKUP(IG370,'Jan-2026 rates'!$E:$F,2,0)))</f>
        <v>0</v>
      </c>
      <c r="IR370" s="409"/>
      <c r="IS370" s="398">
        <f>IF(IR370=0,0,IF(LEN(IH370)=11,_xlfn.XLOOKUP(IH370,'Dispensed Ink Rates'!C:C,'Dispensed Ink Rates'!CS:CS),VLOOKUP(IH370,'Jan-2026 rates'!$E:$F,2,0)))</f>
        <v>0</v>
      </c>
      <c r="IT370" s="409"/>
      <c r="IU370" s="398">
        <f>IF(IT370=0,0,IF(LEN(II370)=11,_xlfn.XLOOKUP(II370,'Dispensed Ink Rates'!C:C,'Dispensed Ink Rates'!CS:CS),VLOOKUP(II370,'Jan-2026 rates'!$E:$F,2,0)))</f>
        <v>0</v>
      </c>
      <c r="IV370" s="409"/>
      <c r="IW370" s="398">
        <f>IF(IV370=0,0,IF(LEN(IJ370)=11,_xlfn.XLOOKUP(IJ370,'Dispensed Ink Rates'!C:C,'Dispensed Ink Rates'!CS:CS),VLOOKUP(IJ370,'Jan-2026 rates'!$E:$F,2,0)))</f>
        <v>0</v>
      </c>
      <c r="IX370" s="409"/>
      <c r="IY370" s="398">
        <f>IF(IX370=0,0,IF(LEN(IK370)=11,_xlfn.XLOOKUP(IK370,'Dispensed Ink Rates'!C:C,'Dispensed Ink Rates'!CS:CS),VLOOKUP(IK370,'Jan-2026 rates'!$E:$F,2,0)))</f>
        <v>0</v>
      </c>
      <c r="IZ370" s="409"/>
      <c r="JA370" s="398">
        <f>IF(IZ370=0,0,IF(LEN(IL370)=11,_xlfn.XLOOKUP(IL370,'Dispensed Ink Rates'!C:C,'Dispensed Ink Rates'!CS:CS),VLOOKUP(IL370,'Jan-2026 rates'!$E:$F,2,0)))</f>
        <v>0</v>
      </c>
      <c r="JB370" s="409"/>
      <c r="JC370" s="398">
        <f>IF(JB370=0,0,IF(LEN(IM370)=11,_xlfn.XLOOKUP(IM370,'Dispensed Ink Rates'!C:C,'Dispensed Ink Rates'!CS:CS),VLOOKUP(IM370,'Jan-2026 rates'!$E:$F,2,0)))</f>
        <v>0</v>
      </c>
      <c r="JD370" s="409" t="s">
        <v>1443</v>
      </c>
      <c r="JE370" s="409">
        <v>30</v>
      </c>
      <c r="JF370" s="411">
        <f t="shared" si="230"/>
        <v>0</v>
      </c>
      <c r="JG370" s="411">
        <f t="shared" si="231"/>
        <v>215.25</v>
      </c>
      <c r="JH370" s="410">
        <f t="shared" si="232"/>
        <v>0</v>
      </c>
      <c r="JI370" s="405"/>
      <c r="JJ370" s="409"/>
      <c r="JK370" s="420" t="str">
        <f t="shared" si="190"/>
        <v xml:space="preserve"> - </v>
      </c>
      <c r="JL370" s="409"/>
      <c r="JM370" s="411">
        <f>IF(JL370=0,0,IF($LB370=70%,VLOOKUP($JK370,'Jan-2026 rates'!$L:$R,4,0),IF($LB370=65%,VLOOKUP($JK370,'Jan-2026 rates'!$L:$R,4,0),IF($LB370=40%,VLOOKUP($JK370,'Jan-2026 rates'!$L:$R,5,0),IF($LB370=30%,VLOOKUP($JK370,'Jan-2026 rates'!$L:$R,6,0),IF($LB370=100%,VLOOKUP($JK370,'Jan-2026 rates'!$L:$R,7,0),IF($LB370=60%,VLOOKUP($JK370,'Jan-2026 rates'!$L:$S,8,0),IF($LB370=80%,VLOOKUP($JK370,'Jan-2026 rates'!L:T,9,0),0))))))))</f>
        <v>0</v>
      </c>
      <c r="JN370" s="412"/>
      <c r="JO370" s="409"/>
      <c r="JP370" s="411">
        <f>IF(JO370=0,0,IF($LB370=70%,VLOOKUP($JK370,'Jan-2026 rates'!$L:$R,4,0),IF($LB370=65%,VLOOKUP($JK370,'Jan-2026 rates'!$L:$R,4,0),IF($LB370=40%,VLOOKUP($JK370,'Jan-2026 rates'!$L:$R,5,0),IF($LB370=30%,VLOOKUP($JK370,'Jan-2026 rates'!$L:$R,6,0),IF($LB370=100%,VLOOKUP($JK370,'Jan-2026 rates'!$L:$R,7,0),IF($LB370=60%,VLOOKUP($JK370,'Jan-2026 rates'!$L:$S,8,0),IF($LB370=80%,VLOOKUP($JK370,'Jan-2026 rates'!L:T,9,0),0))))))))</f>
        <v>0</v>
      </c>
      <c r="JQ370" s="413"/>
      <c r="JR370" s="412"/>
      <c r="JS370" s="413"/>
      <c r="JT370" s="413"/>
      <c r="JU370" s="412"/>
      <c r="JV370" s="412"/>
      <c r="JW370" s="412"/>
      <c r="JX370" s="412"/>
      <c r="JY370" s="409"/>
      <c r="JZ370" s="398">
        <f>IF(JY370=0,0,IF(LEN(JQ370)=11,_xlfn.XLOOKUP(JQ370,'Dispensed Ink Rates'!C:C,'Dispensed Ink Rates'!CS:CS),VLOOKUP(JQ370,'Jan-2026 rates'!$E:$F,2,0)))</f>
        <v>0</v>
      </c>
      <c r="KA370" s="409"/>
      <c r="KB370" s="398">
        <f>IF(KA370=0,0,IF(LEN(JR370)=11,_xlfn.XLOOKUP(JR370,'Dispensed Ink Rates'!C:C,'Dispensed Ink Rates'!CS:CS),VLOOKUP(JR370,'Jan-2026 rates'!$E:$F,2,0)))</f>
        <v>0</v>
      </c>
      <c r="KC370" s="409"/>
      <c r="KD370" s="398">
        <f>IF(KC370=0,0,IF(LEN(JS370)=11,_xlfn.XLOOKUP(JS370,'Dispensed Ink Rates'!C:C,'Dispensed Ink Rates'!CS:CS),VLOOKUP(JS370,'Jan-2026 rates'!$E:$F,2,0)))</f>
        <v>0</v>
      </c>
      <c r="KE370" s="409"/>
      <c r="KF370" s="398">
        <f>IF(KE370=0,0,IF(LEN(JT370)=11,_xlfn.XLOOKUP(JT370,'Dispensed Ink Rates'!C:C,'Dispensed Ink Rates'!CS:CS),VLOOKUP(JT370,'Jan-2026 rates'!$E:$F,2,0)))</f>
        <v>0</v>
      </c>
      <c r="KG370" s="409"/>
      <c r="KH370" s="398">
        <f>IF(KG370=0,0,IF(LEN(JU370)=11,_xlfn.XLOOKUP(JU370,'Dispensed Ink Rates'!C:C,'Dispensed Ink Rates'!CS:CS),VLOOKUP(JU370,'Jan-2026 rates'!$E:$F,2,0)))</f>
        <v>0</v>
      </c>
      <c r="KI370" s="409"/>
      <c r="KJ370" s="398">
        <f>IF(KI370=0,0,IF(LEN(JV370)=11,_xlfn.XLOOKUP(JV370,'Dispensed Ink Rates'!C:C,'Dispensed Ink Rates'!CS:CS),VLOOKUP(JV370,'Jan-2026 rates'!$E:$F,2,0)))</f>
        <v>0</v>
      </c>
      <c r="KK370" s="409"/>
      <c r="KL370" s="398">
        <f>IF(KK370=0,0,IF(LEN(JW370)=11,_xlfn.XLOOKUP(JW370,'Dispensed Ink Rates'!C:C,'Dispensed Ink Rates'!CS:CS),VLOOKUP(JW370,'Jan-2026 rates'!$E:$F,2,0)))</f>
        <v>0</v>
      </c>
      <c r="KM370" s="428"/>
      <c r="KN370" s="398">
        <f>IF(KM370=0,0,IF(LEN(JX370)=11,_xlfn.XLOOKUP(JX370,'Dispensed Ink Rates'!C:C,'Dispensed Ink Rates'!CS:CS),VLOOKUP(JX370,'Jan-2026 rates'!$E:$F,2,0)))</f>
        <v>0</v>
      </c>
      <c r="KO370" s="409"/>
      <c r="KP370" s="409"/>
      <c r="KQ370" s="411">
        <f t="shared" si="233"/>
        <v>0</v>
      </c>
      <c r="KR370" s="411">
        <f t="shared" si="234"/>
        <v>0</v>
      </c>
      <c r="KS370" s="410">
        <f t="shared" si="235"/>
        <v>0</v>
      </c>
      <c r="KT370" s="409">
        <v>5</v>
      </c>
      <c r="KU370" s="409">
        <v>5</v>
      </c>
      <c r="KV370" s="409">
        <v>5</v>
      </c>
      <c r="KW370" s="409">
        <v>5</v>
      </c>
      <c r="KX370" s="409">
        <v>5</v>
      </c>
      <c r="KY370" s="409">
        <v>10</v>
      </c>
      <c r="KZ370" s="409">
        <f>30+15</f>
        <v>45</v>
      </c>
      <c r="LA370" s="409">
        <v>0</v>
      </c>
      <c r="LB370" s="415">
        <v>0.8</v>
      </c>
      <c r="LC370" s="415">
        <v>0.2</v>
      </c>
      <c r="LD370" s="424"/>
      <c r="LE370" s="415"/>
      <c r="LF370" s="415"/>
      <c r="LG370" s="409">
        <v>0</v>
      </c>
      <c r="LH370" s="409">
        <f>60+40+128+32</f>
        <v>260</v>
      </c>
      <c r="LI370" s="409">
        <v>0</v>
      </c>
      <c r="LJ370" s="409">
        <v>0</v>
      </c>
      <c r="LK370" s="416">
        <f t="shared" si="191"/>
        <v>260</v>
      </c>
      <c r="LL370" s="416">
        <f t="shared" si="349"/>
        <v>260</v>
      </c>
      <c r="LM370" s="417">
        <f t="shared" si="193"/>
        <v>208</v>
      </c>
      <c r="LN370" s="417">
        <f>VLOOKUP($LM$8,'Jan-2026 rates'!$H:$I,2,0)</f>
        <v>0</v>
      </c>
      <c r="LO370" s="417">
        <f t="shared" si="194"/>
        <v>52</v>
      </c>
      <c r="LP370" s="417">
        <f>VLOOKUP($LO$8,'Jan-2026 rates'!$H:$I,2,0)</f>
        <v>0</v>
      </c>
      <c r="LQ370" s="417">
        <f t="shared" si="195"/>
        <v>0</v>
      </c>
      <c r="LR370" s="417">
        <f>VLOOKUP($LQ$8,'Jan-2026 rates'!$H:$I,2,0)</f>
        <v>0</v>
      </c>
      <c r="LS370" s="417">
        <f t="shared" si="196"/>
        <v>0</v>
      </c>
      <c r="LT370" s="417">
        <f>VLOOKUP($LS$8,'Jan-2026 rates'!$H:$I,2,0)</f>
        <v>0</v>
      </c>
      <c r="LU370" s="417">
        <f t="shared" si="197"/>
        <v>0</v>
      </c>
      <c r="LV370" s="417">
        <f>VLOOKUP($LU$8,'Jan-2026 rates'!$H:$I,2,0)</f>
        <v>0</v>
      </c>
      <c r="LW370" s="417">
        <f t="shared" si="198"/>
        <v>0</v>
      </c>
      <c r="LX370" s="417">
        <f t="shared" si="199"/>
        <v>0</v>
      </c>
      <c r="LY370" s="418">
        <f t="shared" si="200"/>
        <v>0</v>
      </c>
      <c r="LZ370" s="417"/>
      <c r="MA370" s="435">
        <f t="shared" si="201"/>
        <v>250.2</v>
      </c>
      <c r="MB370" s="282">
        <f t="shared" si="202"/>
        <v>475.2</v>
      </c>
      <c r="MC370" s="283">
        <v>212</v>
      </c>
      <c r="MD370" s="284" t="str">
        <f t="shared" si="203"/>
        <v>FLINTSLFLINTSLFLINTSLFLINTSLFLINTSLINK PRODUCTFLINTSL</v>
      </c>
      <c r="ME370" s="293" t="str">
        <f t="shared" si="204"/>
        <v>+</v>
      </c>
      <c r="MF370" s="293" t="str">
        <f t="shared" si="205"/>
        <v>+</v>
      </c>
      <c r="MG370" s="293" t="str">
        <f t="shared" si="206"/>
        <v>+</v>
      </c>
      <c r="MH370" s="293" t="str">
        <f t="shared" si="207"/>
        <v>+</v>
      </c>
      <c r="MI370" s="293" t="str">
        <f t="shared" si="208"/>
        <v>+</v>
      </c>
      <c r="MJ370" s="293" t="str">
        <f t="shared" si="209"/>
        <v>+</v>
      </c>
      <c r="MK370" s="293" t="str">
        <f t="shared" si="210"/>
        <v>+</v>
      </c>
      <c r="ML370" s="293" t="str">
        <f t="shared" si="211"/>
        <v>NIL</v>
      </c>
      <c r="MM370" s="3" t="b">
        <f t="array" ref="MM370">OR(ME370:ML370="-")</f>
        <v>0</v>
      </c>
      <c r="MO370" s="401">
        <f t="shared" si="350"/>
        <v>64.043126684636121</v>
      </c>
      <c r="MP370" s="286"/>
      <c r="MR370" s="402">
        <f t="shared" si="351"/>
        <v>1.4059171597633136E-2</v>
      </c>
      <c r="MS370" s="400">
        <f t="shared" si="352"/>
        <v>0</v>
      </c>
      <c r="MT370" s="285"/>
      <c r="NH370" s="361"/>
      <c r="NJ370" s="282"/>
    </row>
    <row r="371" spans="1:374" ht="16.5">
      <c r="A371" s="403">
        <v>46050</v>
      </c>
      <c r="B371" s="404" t="s">
        <v>1015</v>
      </c>
      <c r="C371" s="405" t="s">
        <v>4836</v>
      </c>
      <c r="D371" s="404">
        <v>214</v>
      </c>
      <c r="E371" s="404">
        <v>4858</v>
      </c>
      <c r="F371" s="407">
        <v>178400</v>
      </c>
      <c r="G371" s="407" t="s">
        <v>1019</v>
      </c>
      <c r="H371" s="408" t="s">
        <v>1017</v>
      </c>
      <c r="I371" s="409">
        <v>2</v>
      </c>
      <c r="J371" s="405" t="s">
        <v>543</v>
      </c>
      <c r="K371" s="404" t="s">
        <v>4837</v>
      </c>
      <c r="L371" s="419" t="str">
        <f t="shared" si="184"/>
        <v>FLINTSL - BLACK</v>
      </c>
      <c r="M371" s="404">
        <v>26</v>
      </c>
      <c r="N371" s="410">
        <f>IF(M371=0,0,IF($LB371=70%,VLOOKUP($L371,'Jan-2026 rates'!$L:$R,4,0),IF($LB371=65%,VLOOKUP($L371,'Jan-2026 rates'!$L:$R,4,0),IF($LB371=40%,VLOOKUP($L371,'Jan-2026 rates'!$L:$R,5,0),IF($LB371=30%,VLOOKUP($L371,'Jan-2026 rates'!$L:$R,6,0),IF($LB371=100%,VLOOKUP($L371,'Jan-2026 rates'!$L:$R,7,0),IF($LB371=60%,VLOOKUP($L371,'Jan-2026 rates'!$L:$S,8,0),IF($LB371=80%,VLOOKUP($L371,'Jan-2026 rates'!L:T,9,0),0))))))))</f>
        <v>0</v>
      </c>
      <c r="O371" s="406"/>
      <c r="P371" s="404"/>
      <c r="Q371" s="410">
        <f>IF(P371=0,0,IF($LB371=70%,VLOOKUP($L371,'Jan-2026 rates'!$L:$R,4,0),IF($LB371=65%,VLOOKUP($L371,'Jan-2026 rates'!$L:$R,4,0),IF($LB371=40%,VLOOKUP($L371,'Jan-2026 rates'!$L:$R,5,0),IF($LB371=30%,VLOOKUP($L371,'Jan-2026 rates'!$L:$R,6,0),IF($LB371=100%,VLOOKUP($L371,'Jan-2026 rates'!$L:$R,7,0),IF($LB371=60%,VLOOKUP($L371,'Jan-2026 rates'!$L:$S,8,0),IF($LB371=80%,VLOOKUP($L371,'Jan-2026 rates'!L:T,9,0),0))))))))</f>
        <v>0</v>
      </c>
      <c r="R371" s="406">
        <v>26523000020</v>
      </c>
      <c r="S371" s="406"/>
      <c r="T371" s="406"/>
      <c r="U371" s="406"/>
      <c r="V371" s="406"/>
      <c r="W371" s="406"/>
      <c r="X371" s="406"/>
      <c r="Y371" s="406"/>
      <c r="Z371" s="404">
        <v>5</v>
      </c>
      <c r="AA371" s="398" t="e">
        <f>IF(Z371=0,0,IF(LEN(R371)=11,_xlfn.XLOOKUP(R371,'Dispensed Ink Rates'!C:C,'Dispensed Ink Rates'!CS:CS),VLOOKUP(R371,'Jan-2026 rates'!$E:$F,2,0)))</f>
        <v>#N/A</v>
      </c>
      <c r="AB371" s="404"/>
      <c r="AC371" s="398">
        <f>IF(AB371=0,0,IF(LEN(S371)=11,_xlfn.XLOOKUP(S371,'Dispensed Ink Rates'!C:C,'Dispensed Ink Rates'!CS:CS),VLOOKUP(S371,'Jan-2026 rates'!$E:$F,2,0)))</f>
        <v>0</v>
      </c>
      <c r="AD371" s="404"/>
      <c r="AE371" s="398">
        <f>IF(AD371=0,0,IF(LEN(T371)=11,_xlfn.XLOOKUP(T371,'Dispensed Ink Rates'!C:C,'Dispensed Ink Rates'!CS:CS),VLOOKUP(T371,'Jan-2026 rates'!$E:$F,2,0)))</f>
        <v>0</v>
      </c>
      <c r="AF371" s="404"/>
      <c r="AG371" s="398">
        <f>IF(AF371=0,0,IF(LEN(U371)=11,_xlfn.XLOOKUP(U371,'Dispensed Ink Rates'!C:C,'Dispensed Ink Rates'!CS:CS),VLOOKUP(U371,'Jan-2026 rates'!$E:$F,2,0)))</f>
        <v>0</v>
      </c>
      <c r="AH371" s="404"/>
      <c r="AI371" s="398">
        <f>IF(AH371=0,0,IF(LEN(V371)=11,_xlfn.XLOOKUP(V371,'Dispensed Ink Rates'!C:C,'Dispensed Ink Rates'!CS:CS),VLOOKUP(V371,'Jan-2026 rates'!$E:$F,2,0)))</f>
        <v>0</v>
      </c>
      <c r="AJ371" s="404"/>
      <c r="AK371" s="398">
        <f>IF(AJ371=0,0,IF(LEN(W371)=11,_xlfn.XLOOKUP(W371,'Dispensed Ink Rates'!C:C,'Dispensed Ink Rates'!CS:CS),VLOOKUP(W371,'Jan-2026 rates'!$E:$F,2,0)))</f>
        <v>0</v>
      </c>
      <c r="AL371" s="404"/>
      <c r="AM371" s="398">
        <f>IF(AL371=0,0,IF(LEN(X371)=11,_xlfn.XLOOKUP(X371,'Dispensed Ink Rates'!C:C,'Dispensed Ink Rates'!CS:CS),VLOOKUP(X371,'Jan-2026 rates'!$E:$F,2,0)))</f>
        <v>0</v>
      </c>
      <c r="AN371" s="404"/>
      <c r="AO371" s="398">
        <f>IF(AN371=0,0,IF(LEN(Y371)=11,_xlfn.XLOOKUP(Y371,'Dispensed Ink Rates'!C:C,'Dispensed Ink Rates'!CS:CS),VLOOKUP(Y371,'Jan-2026 rates'!$E:$F,2,0)))</f>
        <v>0</v>
      </c>
      <c r="AP371" s="409" t="s">
        <v>1443</v>
      </c>
      <c r="AQ371" s="409">
        <v>30</v>
      </c>
      <c r="AR371" s="410">
        <f t="shared" si="212"/>
        <v>0</v>
      </c>
      <c r="AS371" s="411">
        <f t="shared" si="213"/>
        <v>11.542299349240778</v>
      </c>
      <c r="AT371" s="410">
        <f t="shared" si="214"/>
        <v>0</v>
      </c>
      <c r="AU371" s="405" t="s">
        <v>546</v>
      </c>
      <c r="AV371" s="409" t="s">
        <v>4838</v>
      </c>
      <c r="AW371" s="420" t="str">
        <f t="shared" si="348"/>
        <v>FLINTSL - REFLEX BLUE</v>
      </c>
      <c r="AX371" s="409">
        <v>26</v>
      </c>
      <c r="AY371" s="411">
        <f>IF(AX371=0,0,IF($LB371=70%,VLOOKUP($AW371,'Jan-2026 rates'!$L:$R,4,0),IF($LB371=65%,VLOOKUP($AW371,'Jan-2026 rates'!$L:$R,4,0),IF($LB371=40%,VLOOKUP($AW371,'Jan-2026 rates'!$L:$R,5,0),IF($LB371=30%,VLOOKUP($AW371,'Jan-2026 rates'!$L:$R,6,0),IF($LB371=100%,VLOOKUP($AW371,'Jan-2026 rates'!$L:$R,7,0),IF($LB371=60%,VLOOKUP($AW371,'Jan-2026 rates'!$L:$S,8,0),IF($LB371=80%,VLOOKUP($AW371,'Jan-2026 rates'!L:T,9,0),0))))))))</f>
        <v>0</v>
      </c>
      <c r="AZ371" s="412"/>
      <c r="BA371" s="409"/>
      <c r="BB371" s="411">
        <f>IF(BA371=0,0,IF($LB371=70%,VLOOKUP($AW371,'Jan-2026 rates'!$L:$R,4,0),IF($LB371=65%,VLOOKUP($AW371,'Jan-2026 rates'!$L:$R,4,0),IF($LB371=40%,VLOOKUP($AW371,'Jan-2026 rates'!$L:$R,5,0),IF($LB371=30%,VLOOKUP($AW371,'Jan-2026 rates'!$L:$R,6,0),IF($LB371=100%,VLOOKUP($AW371,'Jan-2026 rates'!$L:$R,7,0),IF($LB371=60%,VLOOKUP($AW371,'Jan-2026 rates'!$L:$S,8,0),IF($LB371=80%,VLOOKUP($AW371,'Jan-2026 rates'!L:T,9,0),0))))))))</f>
        <v>0</v>
      </c>
      <c r="BC371" s="413">
        <v>26529000015</v>
      </c>
      <c r="BD371" s="412">
        <v>26529000007</v>
      </c>
      <c r="BE371" s="412">
        <v>26523000020</v>
      </c>
      <c r="BF371" s="413"/>
      <c r="BG371" s="412"/>
      <c r="BH371" s="412"/>
      <c r="BI371" s="412"/>
      <c r="BJ371" s="412"/>
      <c r="BK371" s="409">
        <v>30</v>
      </c>
      <c r="BL371" s="398" t="e">
        <f>IF(BK371=0,0,IF(LEN(BC371)=11,_xlfn.XLOOKUP(BC371,'Dispensed Ink Rates'!C:C,'Dispensed Ink Rates'!CS:CS),VLOOKUP(BC371,'Jan-2026 rates'!$E:$F,2,0)))</f>
        <v>#N/A</v>
      </c>
      <c r="BM371" s="409">
        <v>5</v>
      </c>
      <c r="BN371" s="398" t="e">
        <f>IF(BM371=0,0,IF(LEN(BD371)=11,_xlfn.XLOOKUP(BD371,'Dispensed Ink Rates'!C:C,'Dispensed Ink Rates'!CS:CS),VLOOKUP(BD371,'Jan-2026 rates'!$E:$F,2,0)))</f>
        <v>#N/A</v>
      </c>
      <c r="BO371" s="409">
        <v>4</v>
      </c>
      <c r="BP371" s="398" t="e">
        <f>IF(BO371=0,0,IF(LEN(BE371)=11,_xlfn.XLOOKUP(BE371,'Dispensed Ink Rates'!C:C,'Dispensed Ink Rates'!CS:CS),VLOOKUP(BE371,'Jan-2026 rates'!$E:$F,2,0)))</f>
        <v>#N/A</v>
      </c>
      <c r="BQ371" s="409"/>
      <c r="BR371" s="398">
        <f>IF(BQ371=0,0,IF(LEN(BF371)=11,_xlfn.XLOOKUP(BF371,'Dispensed Ink Rates'!C:C,'Dispensed Ink Rates'!CS:CS),VLOOKUP(BF371,'Jan-2026 rates'!$E:$F,2,0)))</f>
        <v>0</v>
      </c>
      <c r="BS371" s="409"/>
      <c r="BT371" s="398">
        <f>IF(BS371=0,0,IF(LEN(BG371)=11,_xlfn.XLOOKUP(BG371,'Dispensed Ink Rates'!C:C,'Dispensed Ink Rates'!CS:CS),VLOOKUP(BG371,'Jan-2026 rates'!$E:$F,2,0)))</f>
        <v>0</v>
      </c>
      <c r="BU371" s="409"/>
      <c r="BV371" s="398">
        <f>IF(BU371=0,0,IF(LEN(BH371)=11,_xlfn.XLOOKUP(BH371,'Dispensed Ink Rates'!C:C,'Dispensed Ink Rates'!CS:CS),VLOOKUP(BH371,'Jan-2026 rates'!$E:$F,2,0)))</f>
        <v>0</v>
      </c>
      <c r="BW371" s="409"/>
      <c r="BX371" s="398">
        <f>IF(BW371=0,0,IF(LEN(BI371)=11,_xlfn.XLOOKUP(BI371,'Dispensed Ink Rates'!C:C,'Dispensed Ink Rates'!CS:CS),VLOOKUP(BI371,'Jan-2026 rates'!$E:$F,2,0)))</f>
        <v>0</v>
      </c>
      <c r="BY371" s="409"/>
      <c r="BZ371" s="398">
        <f>IF(BY371=0,0,IF(LEN(BJ371)=11,_xlfn.XLOOKUP(BJ371,'Dispensed Ink Rates'!C:C,'Dispensed Ink Rates'!CS:CS),VLOOKUP(BJ371,'Jan-2026 rates'!$E:$F,2,0)))</f>
        <v>0</v>
      </c>
      <c r="CA371" s="409" t="s">
        <v>1443</v>
      </c>
      <c r="CB371" s="409">
        <v>24</v>
      </c>
      <c r="CC371" s="411">
        <f t="shared" si="215"/>
        <v>0</v>
      </c>
      <c r="CD371" s="411">
        <f t="shared" si="216"/>
        <v>93.711496746203906</v>
      </c>
      <c r="CE371" s="410">
        <f t="shared" si="217"/>
        <v>0</v>
      </c>
      <c r="CF371" s="404" t="s">
        <v>829</v>
      </c>
      <c r="CG371" s="409"/>
      <c r="CH371" s="420" t="str">
        <f t="shared" si="185"/>
        <v>FLINTSL - MEDIUM</v>
      </c>
      <c r="CI371" s="409"/>
      <c r="CJ371" s="411">
        <f>IF(CI371=0,0,IF($LB371=70%,VLOOKUP($CH371,'Jan-2026 rates'!$L:$R,4,0),IF($LB371=65%,VLOOKUP($CH371,'Jan-2026 rates'!$L:$R,4,0),IF($LB371=40%,VLOOKUP($CH371,'Jan-2026 rates'!$L:$R,5,0),IF($LB371=30%,VLOOKUP($CH371,'Jan-2026 rates'!$L:$R,6,0),IF($LB371=100%,VLOOKUP($CH371,'Jan-2026 rates'!$L:$R,7,0),IF($LB371=60%,VLOOKUP($CH371,'Jan-2026 rates'!$L:$S,8,0),IF($LB371=80%,VLOOKUP($CH371,'Jan-2026 rates'!L:T,9,0),0))))))))</f>
        <v>0</v>
      </c>
      <c r="CK371" s="412"/>
      <c r="CL371" s="409"/>
      <c r="CM371" s="411">
        <f>IF(CL371=0,0,IF($LB371=70%,VLOOKUP($CH371,'Jan-2026 rates'!$L:$R,4,0),IF($LB371=65%,VLOOKUP($CH371,'Jan-2026 rates'!$L:$R,4,0),IF($LB371=40%,VLOOKUP($CH371,'Jan-2026 rates'!$L:$R,5,0),IF($LB371=30%,VLOOKUP($CH371,'Jan-2026 rates'!$L:$R,6,0),IF($LB371=100%,VLOOKUP($CH371,'Jan-2026 rates'!$L:$R,7,0),IF($LB371=60%,VLOOKUP($CH371,'Jan-2026 rates'!$L:$S,8,0),IF($LB371=80%,VLOOKUP($CH371,'Jan-2026 rates'!L:T,9,0),0))))))))</f>
        <v>0</v>
      </c>
      <c r="CN371" s="426" t="s">
        <v>484</v>
      </c>
      <c r="CO371" s="427">
        <v>26525000003</v>
      </c>
      <c r="CP371" s="426" t="s">
        <v>1646</v>
      </c>
      <c r="CQ371" s="426"/>
      <c r="CR371" s="428"/>
      <c r="CS371" s="428"/>
      <c r="CT371" s="428"/>
      <c r="CU371" s="428"/>
      <c r="CV371" s="409">
        <v>20</v>
      </c>
      <c r="CW371" s="398">
        <f>IF(CV371=0,0,IF(LEN(CN371)=11,_xlfn.XLOOKUP(CN371,'Dispensed Ink Rates'!C:C,'Dispensed Ink Rates'!CS:CS),VLOOKUP(CN371,'Jan-2026 rates'!$E:$F,2,0)))</f>
        <v>0</v>
      </c>
      <c r="CX371" s="409">
        <v>0.1</v>
      </c>
      <c r="CY371" s="398" t="e">
        <f>IF(CX371=0,0,IF(LEN(CO371)=11,_xlfn.XLOOKUP(CO371,'Dispensed Ink Rates'!C:C,'Dispensed Ink Rates'!CS:CS),VLOOKUP(CO371,'Jan-2026 rates'!$E:$F,2,0)))</f>
        <v>#N/A</v>
      </c>
      <c r="CZ371" s="409">
        <v>0.1</v>
      </c>
      <c r="DA371" s="398">
        <f>IF(CZ371=0,0,IF(LEN(CP371)=11,_xlfn.XLOOKUP(CP371,'Dispensed Ink Rates'!C:C,'Dispensed Ink Rates'!CS:CS),VLOOKUP(CP371,'Jan-2026 rates'!$E:$F,2,0)))</f>
        <v>0</v>
      </c>
      <c r="DB371" s="409"/>
      <c r="DC371" s="398">
        <f>IF(DB371=0,0,IF(LEN(CQ371)=11,_xlfn.XLOOKUP(CQ371,'Dispensed Ink Rates'!C:C,'Dispensed Ink Rates'!CS:CS),VLOOKUP(CQ371,'Jan-2026 rates'!$E:$F,2,0)))</f>
        <v>0</v>
      </c>
      <c r="DD371" s="409"/>
      <c r="DE371" s="398">
        <f>IF(DD371=0,0,IF(LEN(CR371)=11,_xlfn.XLOOKUP(CR371,'Dispensed Ink Rates'!C:C,'Dispensed Ink Rates'!CS:CS),VLOOKUP(CR371,'Jan-2026 rates'!$E:$F,2,0)))</f>
        <v>0</v>
      </c>
      <c r="DF371" s="409"/>
      <c r="DG371" s="398">
        <f>IF(DF371=0,0,IF(LEN(CS371)=11,_xlfn.XLOOKUP(CS371,'Dispensed Ink Rates'!C:C,'Dispensed Ink Rates'!CS:CS),VLOOKUP(CS371,'Jan-2026 rates'!$E:$F,2,0)))</f>
        <v>0</v>
      </c>
      <c r="DH371" s="409"/>
      <c r="DI371" s="398">
        <f>IF(DH371=0,0,IF(LEN(CT371)=11,_xlfn.XLOOKUP(CT371,'Dispensed Ink Rates'!C:C,'Dispensed Ink Rates'!CS:CS),VLOOKUP(CT371,'Jan-2026 rates'!$E:$F,2,0)))</f>
        <v>0</v>
      </c>
      <c r="DJ371" s="409"/>
      <c r="DK371" s="398">
        <f>IF(DJ371=0,0,IF(LEN(CU371)=11,_xlfn.XLOOKUP(CU371,'Dispensed Ink Rates'!C:C,'Dispensed Ink Rates'!CS:CS),VLOOKUP(CU371,'Jan-2026 rates'!$E:$F,2,0)))</f>
        <v>0</v>
      </c>
      <c r="DL371" s="409" t="s">
        <v>1443</v>
      </c>
      <c r="DM371" s="409">
        <v>20</v>
      </c>
      <c r="DN371" s="411">
        <f t="shared" si="218"/>
        <v>0</v>
      </c>
      <c r="DO371" s="411">
        <f t="shared" si="219"/>
        <v>31.826898047722345</v>
      </c>
      <c r="DP371" s="410">
        <f t="shared" si="220"/>
        <v>0</v>
      </c>
      <c r="DQ371" s="405" t="s">
        <v>544</v>
      </c>
      <c r="DR371" s="409" t="s">
        <v>4806</v>
      </c>
      <c r="DS371" s="420" t="str">
        <f t="shared" si="186"/>
        <v>FLINTSL - MAGENTA</v>
      </c>
      <c r="DT371" s="409">
        <v>32</v>
      </c>
      <c r="DU371" s="411">
        <f>IF(DT371=0,0,IF($LB371=70%,VLOOKUP($DS371,'Jan-2026 rates'!$L:$R,4,0),IF($LB371=65%,VLOOKUP($DS371,'Jan-2026 rates'!$L:$R,4,0),IF($LB371=40%,VLOOKUP($DS371,'Jan-2026 rates'!$L:$R,5,0),IF($LB371=30%,VLOOKUP($DS371,'Jan-2026 rates'!$L:$R,6,0),IF($LB371=100%,VLOOKUP($DS371,'Jan-2026 rates'!$L:$R,7,0),IF($LB371=60%,VLOOKUP($DS371,'Jan-2026 rates'!$L:$S,8,0),IF($LB371=80%,VLOOKUP($DS371,'Jan-2026 rates'!L:T,9,0),0))))))))</f>
        <v>0</v>
      </c>
      <c r="DV371" s="412"/>
      <c r="DW371" s="409"/>
      <c r="DX371" s="411">
        <f>IF(DW371=0,0,IF($LB371=70%,VLOOKUP($DS371,'Jan-2026 rates'!$L:$R,4,0),IF($LB371=65%,VLOOKUP($DS371,'Jan-2026 rates'!$L:$R,4,0),IF($LB371=40%,VLOOKUP($DS371,'Jan-2026 rates'!$L:$R,5,0),IF($LB371=30%,VLOOKUP($DS371,'Jan-2026 rates'!$L:$R,6,0),IF($LB371=100%,VLOOKUP($DS371,'Jan-2026 rates'!$L:$R,7,0),IF($LB371=60%,VLOOKUP($DS371,'Jan-2026 rates'!$L:$S,8,0),IF($LB371=80%,VLOOKUP($DS371,'Jan-2026 rates'!L:T,9,0),0))))))))</f>
        <v>0</v>
      </c>
      <c r="DY371" s="413">
        <v>26529000007</v>
      </c>
      <c r="DZ371" s="413"/>
      <c r="EA371" s="412"/>
      <c r="EB371" s="412"/>
      <c r="EC371" s="412"/>
      <c r="ED371" s="412"/>
      <c r="EE371" s="412"/>
      <c r="EF371" s="412"/>
      <c r="EG371" s="409">
        <v>4</v>
      </c>
      <c r="EH371" s="398" t="e">
        <f>IF(EG371=0,0,IF(LEN(DY371)=11,_xlfn.XLOOKUP(DY371,'Dispensed Ink Rates'!C:C,'Dispensed Ink Rates'!CS:CS),VLOOKUP(DY371,'Jan-2026 rates'!$E:$F,2,0)))</f>
        <v>#N/A</v>
      </c>
      <c r="EI371" s="409"/>
      <c r="EJ371" s="398">
        <f>IF(EI371=0,0,IF(LEN(DZ371)=11,_xlfn.XLOOKUP(DZ371,'Dispensed Ink Rates'!C:C,'Dispensed Ink Rates'!CS:CS),VLOOKUP(DZ371,'Jan-2026 rates'!$E:$F,2,0)))</f>
        <v>0</v>
      </c>
      <c r="EK371" s="409"/>
      <c r="EL371" s="398">
        <f>IF(EK371=0,0,IF(LEN(EA371)=11,_xlfn.XLOOKUP(EA371,'Dispensed Ink Rates'!C:C,'Dispensed Ink Rates'!CS:CS),VLOOKUP(EA371,'Jan-2026 rates'!$E:$F,2,0)))</f>
        <v>0</v>
      </c>
      <c r="EM371" s="409"/>
      <c r="EN371" s="398">
        <f>IF(EM371=0,0,IF(LEN(EB371)=11,_xlfn.XLOOKUP(EB371,'Dispensed Ink Rates'!C:C,'Dispensed Ink Rates'!CS:CS),VLOOKUP(EB371,'Jan-2026 rates'!$E:$F,2,0)))</f>
        <v>0</v>
      </c>
      <c r="EO371" s="409"/>
      <c r="EP371" s="398">
        <f>IF(EO371=0,0,IF(LEN(EC371)=11,_xlfn.XLOOKUP(EC371,'Dispensed Ink Rates'!C:C,'Dispensed Ink Rates'!CS:CS),VLOOKUP(EC371,'Jan-2026 rates'!$E:$F,2,0)))</f>
        <v>0</v>
      </c>
      <c r="EQ371" s="409"/>
      <c r="ER371" s="398">
        <f>IF(EQ371=0,0,IF(LEN(ED371)=11,_xlfn.XLOOKUP(ED371,'Dispensed Ink Rates'!C:C,'Dispensed Ink Rates'!CS:CS),VLOOKUP(ED371,'Jan-2026 rates'!$E:$F,2,0)))</f>
        <v>0</v>
      </c>
      <c r="ES371" s="409"/>
      <c r="ET371" s="398">
        <f>IF(ES371=0,0,IF(LEN(EE371)=11,_xlfn.XLOOKUP(EE371,'Dispensed Ink Rates'!C:C,'Dispensed Ink Rates'!CS:CS),VLOOKUP(EE371,'Jan-2026 rates'!$E:$F,2,0)))</f>
        <v>0</v>
      </c>
      <c r="EU371" s="409"/>
      <c r="EV371" s="398">
        <f>IF(EU371=0,0,IF(LEN(EF371)=11,_xlfn.XLOOKUP(EF371,'Dispensed Ink Rates'!C:C,'Dispensed Ink Rates'!CS:CS),VLOOKUP(EF371,'Jan-2026 rates'!$E:$F,2,0)))</f>
        <v>0</v>
      </c>
      <c r="EW371" s="409" t="s">
        <v>1443</v>
      </c>
      <c r="EX371" s="409">
        <v>32</v>
      </c>
      <c r="EY371" s="411">
        <f t="shared" si="221"/>
        <v>0</v>
      </c>
      <c r="EZ371" s="411">
        <f t="shared" si="222"/>
        <v>16.65075921908894</v>
      </c>
      <c r="FA371" s="410">
        <f t="shared" si="223"/>
        <v>0</v>
      </c>
      <c r="FB371" s="405" t="s">
        <v>545</v>
      </c>
      <c r="FC371" s="409"/>
      <c r="FD371" s="420" t="str">
        <f t="shared" si="187"/>
        <v>FLINTSL - YELLOW</v>
      </c>
      <c r="FE371" s="409"/>
      <c r="FF371" s="411">
        <f>IF(FE371=0,0,IF($LB371=70%,VLOOKUP($FD371,'Jan-2026 rates'!$L:$R,4,0),IF($LB371=65%,VLOOKUP($FD371,'Jan-2026 rates'!$L:$R,4,0),IF($LB371=40%,VLOOKUP($FD371,'Jan-2026 rates'!$L:$R,5,0),IF($LB371=30%,VLOOKUP($FD371,'Jan-2026 rates'!$L:$R,6,0),IF($LB371=100%,VLOOKUP($FD371,'Jan-2026 rates'!$L:$R,7,0),IF($LB371=60%,VLOOKUP($FD371,'Jan-2026 rates'!$L:$S,8,0),IF($LB371=80%,VLOOKUP($FD371,'Jan-2026 rates'!L:T,9,0),0))))))))</f>
        <v>0</v>
      </c>
      <c r="FG371" s="412"/>
      <c r="FH371" s="409"/>
      <c r="FI371" s="411">
        <f>IF(FH371=0,0,IF($LB371=70%,VLOOKUP($FD371,'Jan-2026 rates'!$L:$R,4,0),IF($LB371=65%,VLOOKUP($FD371,'Jan-2026 rates'!$L:$R,4,0),IF($LB371=40%,VLOOKUP($FD371,'Jan-2026 rates'!$L:$R,5,0),IF($LB371=30%,VLOOKUP($FD371,'Jan-2026 rates'!$L:$R,6,0),IF($LB371=100%,VLOOKUP($FD371,'Jan-2026 rates'!$L:$R,7,0),IF($LB371=60%,VLOOKUP($FD371,'Jan-2026 rates'!$L:$S,8,0),IF($LB371=80%,VLOOKUP($FD371,'Jan-2026 rates'!L:T,9,0),0))))))))</f>
        <v>0</v>
      </c>
      <c r="FJ371" s="413" t="s">
        <v>827</v>
      </c>
      <c r="FK371" s="413" t="s">
        <v>1266</v>
      </c>
      <c r="FL371" s="413" t="s">
        <v>484</v>
      </c>
      <c r="FM371" s="412"/>
      <c r="FN371" s="412"/>
      <c r="FO371" s="412"/>
      <c r="FP371" s="412"/>
      <c r="FQ371" s="412"/>
      <c r="FR371" s="409">
        <v>15</v>
      </c>
      <c r="FS371" s="398">
        <f>IF(FR371=0,0,IF(LEN(FJ371)=11,_xlfn.XLOOKUP(FJ371,'Dispensed Ink Rates'!C:C,'Dispensed Ink Rates'!CS:CS),VLOOKUP(FJ371,'Jan-2026 rates'!$E:$F,2,0)))</f>
        <v>0</v>
      </c>
      <c r="FT371" s="409">
        <v>5</v>
      </c>
      <c r="FU371" s="398">
        <f>IF(FT371=0,0,IF(LEN(FK371)=11,_xlfn.XLOOKUP(FK371,'Dispensed Ink Rates'!C:C,'Dispensed Ink Rates'!CS:CS),VLOOKUP(FK371,'Jan-2026 rates'!$E:$F,2,0)))</f>
        <v>0</v>
      </c>
      <c r="FV371" s="409">
        <v>6</v>
      </c>
      <c r="FW371" s="398">
        <f>IF(FV371=0,0,IF(LEN(FL371)=11,_xlfn.XLOOKUP(FL371,'Dispensed Ink Rates'!C:C,'Dispensed Ink Rates'!CS:CS),VLOOKUP(FL371,'Jan-2026 rates'!$E:$F,2,0)))</f>
        <v>0</v>
      </c>
      <c r="FX371" s="409"/>
      <c r="FY371" s="398">
        <f>IF(FX371=0,0,IF(LEN(FM371)=11,_xlfn.XLOOKUP(FM371,'Dispensed Ink Rates'!C:C,'Dispensed Ink Rates'!CS:CS),VLOOKUP(FM371,'Jan-2026 rates'!$E:$F,2,0)))</f>
        <v>0</v>
      </c>
      <c r="FZ371" s="409"/>
      <c r="GA371" s="398">
        <f>IF(FZ371=0,0,IF(LEN(FN371)=11,_xlfn.XLOOKUP(FN371,'Dispensed Ink Rates'!C:C,'Dispensed Ink Rates'!CS:CS),VLOOKUP(FN371,'Jan-2026 rates'!$E:$F,2,0)))</f>
        <v>0</v>
      </c>
      <c r="GB371" s="409"/>
      <c r="GC371" s="398">
        <f>IF(GB371=0,0,IF(LEN(FO371)=11,_xlfn.XLOOKUP(FO371,'Dispensed Ink Rates'!C:C,'Dispensed Ink Rates'!CS:CS),VLOOKUP(FO371,'Jan-2026 rates'!$E:$F,2,0)))</f>
        <v>0</v>
      </c>
      <c r="GD371" s="409"/>
      <c r="GE371" s="398">
        <f>IF(GD371=0,0,IF(LEN(FP371)=11,_xlfn.XLOOKUP(FP371,'Dispensed Ink Rates'!C:C,'Dispensed Ink Rates'!CS:CS),VLOOKUP(FP371,'Jan-2026 rates'!$E:$F,2,0)))</f>
        <v>0</v>
      </c>
      <c r="GF371" s="409"/>
      <c r="GG371" s="398">
        <f>IF(GF371=0,0,IF(LEN(FQ371)=11,_xlfn.XLOOKUP(FQ371,'Dispensed Ink Rates'!C:C,'Dispensed Ink Rates'!CS:CS),VLOOKUP(FQ371,'Jan-2026 rates'!$E:$F,2,0)))</f>
        <v>0</v>
      </c>
      <c r="GH371" s="409" t="s">
        <v>1443</v>
      </c>
      <c r="GI371" s="409">
        <v>28</v>
      </c>
      <c r="GJ371" s="411">
        <f t="shared" si="224"/>
        <v>0</v>
      </c>
      <c r="GK371" s="411">
        <f t="shared" si="225"/>
        <v>40.169197396963114</v>
      </c>
      <c r="GL371" s="410">
        <f t="shared" si="226"/>
        <v>0</v>
      </c>
      <c r="GM371" s="405" t="s">
        <v>545</v>
      </c>
      <c r="GN371" s="409" t="s">
        <v>3320</v>
      </c>
      <c r="GO371" s="420" t="str">
        <f t="shared" si="188"/>
        <v>FLINTSL - YELLOW</v>
      </c>
      <c r="GP371" s="409">
        <v>15</v>
      </c>
      <c r="GQ371" s="411">
        <f>IF(GP371=0,0,IF($LB371=70%,VLOOKUP($GO371,'Jan-2026 rates'!$L:$R,4,0),IF($LB371=65%,VLOOKUP($GO371,'Jan-2026 rates'!$L:$R,4,0),IF($LB371=40%,VLOOKUP($GO371,'Jan-2026 rates'!$L:$R,5,0),IF($LB371=30%,VLOOKUP($GO371,'Jan-2026 rates'!$L:$R,6,0),IF($LB371=100%,VLOOKUP($GO371,'Jan-2026 rates'!$L:$R,7,0),IF($LB371=60%,VLOOKUP($GO371,'Jan-2026 rates'!$L:$S,8,0),IF($LB371=80%,VLOOKUP($GO371,'Jan-2026 rates'!L:T,9,0),0))))))))</f>
        <v>0</v>
      </c>
      <c r="GR371" s="412" t="s">
        <v>4839</v>
      </c>
      <c r="GS371" s="409">
        <f>10+20+22</f>
        <v>52</v>
      </c>
      <c r="GT371" s="411">
        <f>IF(GS371=0,0,IF($LB371=70%,VLOOKUP($GO371,'Jan-2026 rates'!$L:$R,4,0),IF($LB371=65%,VLOOKUP($GO371,'Jan-2026 rates'!$L:$R,4,0),IF($LB371=40%,VLOOKUP($GO371,'Jan-2026 rates'!$L:$R,5,0),IF($LB371=30%,VLOOKUP($GO371,'Jan-2026 rates'!$L:$R,6,0),IF($LB371=100%,VLOOKUP($GO371,'Jan-2026 rates'!$L:$R,7,0),IF($LB371=60%,VLOOKUP($GO371,'Jan-2026 rates'!$L:$S,8,0),IF($LB371=80%,VLOOKUP($GO371,'Jan-2026 rates'!L:T,9,0),0))))))))</f>
        <v>0</v>
      </c>
      <c r="GU371" s="413">
        <v>26529000014</v>
      </c>
      <c r="GV371" s="413">
        <v>26528000015</v>
      </c>
      <c r="GW371" s="412">
        <v>26529000017</v>
      </c>
      <c r="GX371" s="412">
        <v>26529000035</v>
      </c>
      <c r="GY371" s="412">
        <v>26529000031</v>
      </c>
      <c r="GZ371" s="412" t="s">
        <v>1646</v>
      </c>
      <c r="HA371" s="412" t="s">
        <v>484</v>
      </c>
      <c r="HB371" s="412">
        <v>26527000012</v>
      </c>
      <c r="HC371" s="409">
        <v>40</v>
      </c>
      <c r="HD371" s="398" t="e">
        <f>IF(HC371=0,0,IF(LEN(GU371)=11,_xlfn.XLOOKUP(GU371,'Dispensed Ink Rates'!C:C,'Dispensed Ink Rates'!CS:CS),VLOOKUP(GU371,'Jan-2026 rates'!$E:$F,2,0)))</f>
        <v>#N/A</v>
      </c>
      <c r="HE371" s="409">
        <v>40</v>
      </c>
      <c r="HF371" s="398" t="e">
        <f>IF(HE371=0,0,IF(LEN(GV371)=11,_xlfn.XLOOKUP(GV371,'Dispensed Ink Rates'!C:C,'Dispensed Ink Rates'!CS:CS),VLOOKUP(GV371,'Jan-2026 rates'!$E:$F,2,0)))</f>
        <v>#N/A</v>
      </c>
      <c r="HG371" s="409">
        <f>43+1</f>
        <v>44</v>
      </c>
      <c r="HH371" s="398" t="e">
        <f>IF(HG371=0,0,IF(LEN(GW371)=11,_xlfn.XLOOKUP(GW371,'Dispensed Ink Rates'!C:C,'Dispensed Ink Rates'!CS:CS),VLOOKUP(GW371,'Jan-2026 rates'!$E:$F,2,0)))</f>
        <v>#N/A</v>
      </c>
      <c r="HI371" s="409">
        <v>9</v>
      </c>
      <c r="HJ371" s="398" t="e">
        <f>IF(HI371=0,0,IF(LEN(GX371)=11,_xlfn.XLOOKUP(GX371,'Dispensed Ink Rates'!C:C,'Dispensed Ink Rates'!CS:CS),VLOOKUP(GX371,'Jan-2026 rates'!$E:$F,2,0)))</f>
        <v>#N/A</v>
      </c>
      <c r="HK371" s="409">
        <v>16</v>
      </c>
      <c r="HL371" s="398" t="e">
        <f>IF(HK371=0,0,IF(LEN(GY371)=11,_xlfn.XLOOKUP(GY371,'Dispensed Ink Rates'!C:C,'Dispensed Ink Rates'!CS:CS),VLOOKUP(GY371,'Jan-2026 rates'!$E:$F,2,0)))</f>
        <v>#N/A</v>
      </c>
      <c r="HM371" s="409">
        <f>30+10+20</f>
        <v>60</v>
      </c>
      <c r="HN371" s="398">
        <f>IF(HM371=0,0,IF(LEN(GZ371)=11,_xlfn.XLOOKUP(GZ371,'Dispensed Ink Rates'!C:C,'Dispensed Ink Rates'!CS:CS),VLOOKUP(GZ371,'Jan-2026 rates'!$E:$F,2,0)))</f>
        <v>0</v>
      </c>
      <c r="HO371" s="409">
        <f>25+10</f>
        <v>35</v>
      </c>
      <c r="HP371" s="398">
        <f>IF(HO371=0,0,IF(LEN(HA371)=11,_xlfn.XLOOKUP(HA371,'Dispensed Ink Rates'!C:C,'Dispensed Ink Rates'!CS:CS),VLOOKUP(HA371,'Jan-2026 rates'!$E:$F,2,0)))</f>
        <v>0</v>
      </c>
      <c r="HQ371" s="409">
        <v>5</v>
      </c>
      <c r="HR371" s="398" t="e">
        <f>IF(HQ371=0,0,IF(LEN(HB371)=11,_xlfn.XLOOKUP(HB371,'Dispensed Ink Rates'!C:C,'Dispensed Ink Rates'!CS:CS),VLOOKUP(HB371,'Jan-2026 rates'!$E:$F,2,0)))</f>
        <v>#N/A</v>
      </c>
      <c r="HS371" s="409" t="s">
        <v>1443</v>
      </c>
      <c r="HT371" s="409">
        <v>15</v>
      </c>
      <c r="HU371" s="411">
        <f t="shared" si="227"/>
        <v>0</v>
      </c>
      <c r="HV371" s="411">
        <f t="shared" si="228"/>
        <v>448.59219088937095</v>
      </c>
      <c r="HW371" s="414">
        <f t="shared" si="229"/>
        <v>0</v>
      </c>
      <c r="HX371" s="405" t="s">
        <v>856</v>
      </c>
      <c r="HY371" s="409" t="s">
        <v>4828</v>
      </c>
      <c r="HZ371" s="420" t="str">
        <f t="shared" si="189"/>
        <v>FLINTSL - WHITE</v>
      </c>
      <c r="IA371" s="409">
        <v>38</v>
      </c>
      <c r="IB371" s="411">
        <f>IF(IA371=0,0,IF($LB371=70%,VLOOKUP($HZ371,'Jan-2026 rates'!$L:$R,4,0),IF($LB371=65%,VLOOKUP($HZ371,'Jan-2026 rates'!$L:$R,4,0),IF($LB371=40%,VLOOKUP($HZ371,'Jan-2026 rates'!$L:$R,5,0),IF($LB371=30%,VLOOKUP($HZ371,'Jan-2026 rates'!$L:$R,6,0),IF($LB371=100%,VLOOKUP($HZ371,'Jan-2026 rates'!$L:$R,7,0),IF($LB371=60%,VLOOKUP($HZ371,'Jan-2026 rates'!$L:$S,8,0),IF($LB371=80%,VLOOKUP($HZ371,'Jan-2026 rates'!L:T,9,0),0))))))))</f>
        <v>0</v>
      </c>
      <c r="IC371" s="412" t="s">
        <v>4801</v>
      </c>
      <c r="ID371" s="409">
        <v>30</v>
      </c>
      <c r="IE371" s="411">
        <f>IF(ID371=0,0,IF($LB371=70%,VLOOKUP($HZ371,'Jan-2026 rates'!$L:$R,4,0),IF($LB371=65%,VLOOKUP($HZ371,'Jan-2026 rates'!$L:$R,4,0),IF($LB371=40%,VLOOKUP($HZ371,'Jan-2026 rates'!$L:$R,5,0),IF($LB371=30%,VLOOKUP($HZ371,'Jan-2026 rates'!$L:$R,6,0),IF($LB371=100%,VLOOKUP($HZ371,'Jan-2026 rates'!$L:$R,7,0),IF($LB371=60%,VLOOKUP($HZ371,'Jan-2026 rates'!$L:$S,8,0),IF($LB371=80%,VLOOKUP($HZ371,'Jan-2026 rates'!L:T,9,0),0))))))))</f>
        <v>0</v>
      </c>
      <c r="IF371" s="412" t="s">
        <v>484</v>
      </c>
      <c r="IG371" s="413"/>
      <c r="IH371" s="412"/>
      <c r="II371" s="412"/>
      <c r="IJ371" s="412"/>
      <c r="IK371" s="412"/>
      <c r="IL371" s="412"/>
      <c r="IM371" s="412"/>
      <c r="IN371" s="409">
        <f>160+200+200</f>
        <v>560</v>
      </c>
      <c r="IO371" s="398">
        <f>IF(IN371=0,0,IF(LEN(IF371)=11,_xlfn.XLOOKUP(IF371,'Dispensed Ink Rates'!C:C,'Dispensed Ink Rates'!CS:CS),VLOOKUP(IF371,'Jan-2026 rates'!$E:$F,2,0)))</f>
        <v>0</v>
      </c>
      <c r="IP371" s="409"/>
      <c r="IQ371" s="398">
        <f>IF(IP371=0,0,IF(LEN(IG371)=11,_xlfn.XLOOKUP(IG371,'Dispensed Ink Rates'!C:C,'Dispensed Ink Rates'!CS:CS),VLOOKUP(IG371,'Jan-2026 rates'!$E:$F,2,0)))</f>
        <v>0</v>
      </c>
      <c r="IR371" s="409"/>
      <c r="IS371" s="398">
        <f>IF(IR371=0,0,IF(LEN(IH371)=11,_xlfn.XLOOKUP(IH371,'Dispensed Ink Rates'!C:C,'Dispensed Ink Rates'!CS:CS),VLOOKUP(IH371,'Jan-2026 rates'!$E:$F,2,0)))</f>
        <v>0</v>
      </c>
      <c r="IT371" s="409"/>
      <c r="IU371" s="398">
        <f>IF(IT371=0,0,IF(LEN(II371)=11,_xlfn.XLOOKUP(II371,'Dispensed Ink Rates'!C:C,'Dispensed Ink Rates'!CS:CS),VLOOKUP(II371,'Jan-2026 rates'!$E:$F,2,0)))</f>
        <v>0</v>
      </c>
      <c r="IV371" s="409"/>
      <c r="IW371" s="398">
        <f>IF(IV371=0,0,IF(LEN(IJ371)=11,_xlfn.XLOOKUP(IJ371,'Dispensed Ink Rates'!C:C,'Dispensed Ink Rates'!CS:CS),VLOOKUP(IJ371,'Jan-2026 rates'!$E:$F,2,0)))</f>
        <v>0</v>
      </c>
      <c r="IX371" s="409"/>
      <c r="IY371" s="398">
        <f>IF(IX371=0,0,IF(LEN(IK371)=11,_xlfn.XLOOKUP(IK371,'Dispensed Ink Rates'!C:C,'Dispensed Ink Rates'!CS:CS),VLOOKUP(IK371,'Jan-2026 rates'!$E:$F,2,0)))</f>
        <v>0</v>
      </c>
      <c r="IZ371" s="409"/>
      <c r="JA371" s="398">
        <f>IF(IZ371=0,0,IF(LEN(IL371)=11,_xlfn.XLOOKUP(IL371,'Dispensed Ink Rates'!C:C,'Dispensed Ink Rates'!CS:CS),VLOOKUP(IL371,'Jan-2026 rates'!$E:$F,2,0)))</f>
        <v>0</v>
      </c>
      <c r="JB371" s="409"/>
      <c r="JC371" s="398">
        <f>IF(JB371=0,0,IF(LEN(IM371)=11,_xlfn.XLOOKUP(IM371,'Dispensed Ink Rates'!C:C,'Dispensed Ink Rates'!CS:CS),VLOOKUP(IM371,'Jan-2026 rates'!$E:$F,2,0)))</f>
        <v>0</v>
      </c>
      <c r="JD371" s="409" t="s">
        <v>1443</v>
      </c>
      <c r="JE371" s="409">
        <v>30</v>
      </c>
      <c r="JF371" s="411">
        <f t="shared" si="230"/>
        <v>0</v>
      </c>
      <c r="JG371" s="411">
        <f t="shared" si="231"/>
        <v>1272.7071583514098</v>
      </c>
      <c r="JH371" s="410">
        <f t="shared" si="232"/>
        <v>0</v>
      </c>
      <c r="JI371" s="405"/>
      <c r="JJ371" s="409"/>
      <c r="JK371" s="420" t="str">
        <f t="shared" si="190"/>
        <v xml:space="preserve"> - </v>
      </c>
      <c r="JL371" s="409"/>
      <c r="JM371" s="411">
        <f>IF(JL371=0,0,IF($LB371=70%,VLOOKUP($JK371,'Jan-2026 rates'!$L:$R,4,0),IF($LB371=65%,VLOOKUP($JK371,'Jan-2026 rates'!$L:$R,4,0),IF($LB371=40%,VLOOKUP($JK371,'Jan-2026 rates'!$L:$R,5,0),IF($LB371=30%,VLOOKUP($JK371,'Jan-2026 rates'!$L:$R,6,0),IF($LB371=100%,VLOOKUP($JK371,'Jan-2026 rates'!$L:$R,7,0),IF($LB371=60%,VLOOKUP($JK371,'Jan-2026 rates'!$L:$S,8,0),IF($LB371=80%,VLOOKUP($JK371,'Jan-2026 rates'!L:T,9,0),0))))))))</f>
        <v>0</v>
      </c>
      <c r="JN371" s="412"/>
      <c r="JO371" s="409"/>
      <c r="JP371" s="411">
        <f>IF(JO371=0,0,IF($LB371=70%,VLOOKUP($JK371,'Jan-2026 rates'!$L:$R,4,0),IF($LB371=65%,VLOOKUP($JK371,'Jan-2026 rates'!$L:$R,4,0),IF($LB371=40%,VLOOKUP($JK371,'Jan-2026 rates'!$L:$R,5,0),IF($LB371=30%,VLOOKUP($JK371,'Jan-2026 rates'!$L:$R,6,0),IF($LB371=100%,VLOOKUP($JK371,'Jan-2026 rates'!$L:$R,7,0),IF($LB371=60%,VLOOKUP($JK371,'Jan-2026 rates'!$L:$S,8,0),IF($LB371=80%,VLOOKUP($JK371,'Jan-2026 rates'!L:T,9,0),0))))))))</f>
        <v>0</v>
      </c>
      <c r="JQ371" s="413"/>
      <c r="JR371" s="412"/>
      <c r="JS371" s="413"/>
      <c r="JT371" s="413"/>
      <c r="JU371" s="412"/>
      <c r="JV371" s="412"/>
      <c r="JW371" s="412"/>
      <c r="JX371" s="412"/>
      <c r="JY371" s="409"/>
      <c r="JZ371" s="398">
        <f>IF(JY371=0,0,IF(LEN(JQ371)=11,_xlfn.XLOOKUP(JQ371,'Dispensed Ink Rates'!C:C,'Dispensed Ink Rates'!CS:CS),VLOOKUP(JQ371,'Jan-2026 rates'!$E:$F,2,0)))</f>
        <v>0</v>
      </c>
      <c r="KA371" s="409"/>
      <c r="KB371" s="398">
        <f>IF(KA371=0,0,IF(LEN(JR371)=11,_xlfn.XLOOKUP(JR371,'Dispensed Ink Rates'!C:C,'Dispensed Ink Rates'!CS:CS),VLOOKUP(JR371,'Jan-2026 rates'!$E:$F,2,0)))</f>
        <v>0</v>
      </c>
      <c r="KC371" s="409"/>
      <c r="KD371" s="398">
        <f>IF(KC371=0,0,IF(LEN(JS371)=11,_xlfn.XLOOKUP(JS371,'Dispensed Ink Rates'!C:C,'Dispensed Ink Rates'!CS:CS),VLOOKUP(JS371,'Jan-2026 rates'!$E:$F,2,0)))</f>
        <v>0</v>
      </c>
      <c r="KE371" s="409"/>
      <c r="KF371" s="398">
        <f>IF(KE371=0,0,IF(LEN(JT371)=11,_xlfn.XLOOKUP(JT371,'Dispensed Ink Rates'!C:C,'Dispensed Ink Rates'!CS:CS),VLOOKUP(JT371,'Jan-2026 rates'!$E:$F,2,0)))</f>
        <v>0</v>
      </c>
      <c r="KG371" s="409"/>
      <c r="KH371" s="398">
        <f>IF(KG371=0,0,IF(LEN(JU371)=11,_xlfn.XLOOKUP(JU371,'Dispensed Ink Rates'!C:C,'Dispensed Ink Rates'!CS:CS),VLOOKUP(JU371,'Jan-2026 rates'!$E:$F,2,0)))</f>
        <v>0</v>
      </c>
      <c r="KI371" s="409"/>
      <c r="KJ371" s="398">
        <f>IF(KI371=0,0,IF(LEN(JV371)=11,_xlfn.XLOOKUP(JV371,'Dispensed Ink Rates'!C:C,'Dispensed Ink Rates'!CS:CS),VLOOKUP(JV371,'Jan-2026 rates'!$E:$F,2,0)))</f>
        <v>0</v>
      </c>
      <c r="KK371" s="409"/>
      <c r="KL371" s="398">
        <f>IF(KK371=0,0,IF(LEN(JW371)=11,_xlfn.XLOOKUP(JW371,'Dispensed Ink Rates'!C:C,'Dispensed Ink Rates'!CS:CS),VLOOKUP(JW371,'Jan-2026 rates'!$E:$F,2,0)))</f>
        <v>0</v>
      </c>
      <c r="KM371" s="428"/>
      <c r="KN371" s="398">
        <f>IF(KM371=0,0,IF(LEN(JX371)=11,_xlfn.XLOOKUP(JX371,'Dispensed Ink Rates'!C:C,'Dispensed Ink Rates'!CS:CS),VLOOKUP(JX371,'Jan-2026 rates'!$E:$F,2,0)))</f>
        <v>0</v>
      </c>
      <c r="KO371" s="409"/>
      <c r="KP371" s="409"/>
      <c r="KQ371" s="411">
        <f t="shared" si="233"/>
        <v>0</v>
      </c>
      <c r="KR371" s="411">
        <f t="shared" si="234"/>
        <v>0</v>
      </c>
      <c r="KS371" s="410">
        <f t="shared" si="235"/>
        <v>0</v>
      </c>
      <c r="KT371" s="409">
        <v>5</v>
      </c>
      <c r="KU371" s="409">
        <v>25</v>
      </c>
      <c r="KV371" s="409">
        <v>15</v>
      </c>
      <c r="KW371" s="409">
        <v>6</v>
      </c>
      <c r="KX371" s="409">
        <v>20</v>
      </c>
      <c r="KY371" s="409">
        <f>40+30</f>
        <v>70</v>
      </c>
      <c r="KZ371" s="409">
        <f>80+120+120</f>
        <v>320</v>
      </c>
      <c r="LA371" s="409">
        <v>0</v>
      </c>
      <c r="LB371" s="415">
        <v>0.8</v>
      </c>
      <c r="LC371" s="415">
        <v>0.2</v>
      </c>
      <c r="LD371" s="424"/>
      <c r="LE371" s="415"/>
      <c r="LF371" s="415"/>
      <c r="LG371" s="409">
        <v>0</v>
      </c>
      <c r="LH371" s="409">
        <f>320+252+320+80</f>
        <v>972</v>
      </c>
      <c r="LI371" s="409">
        <v>0</v>
      </c>
      <c r="LJ371" s="409">
        <v>0</v>
      </c>
      <c r="LK371" s="416">
        <f t="shared" si="191"/>
        <v>972</v>
      </c>
      <c r="LL371" s="416">
        <f t="shared" si="349"/>
        <v>972</v>
      </c>
      <c r="LM371" s="417">
        <f t="shared" si="193"/>
        <v>777.6</v>
      </c>
      <c r="LN371" s="417">
        <f>VLOOKUP($LM$8,'Jan-2026 rates'!$H:$I,2,0)</f>
        <v>0</v>
      </c>
      <c r="LO371" s="417">
        <f t="shared" si="194"/>
        <v>194.4</v>
      </c>
      <c r="LP371" s="417">
        <f>VLOOKUP($LO$8,'Jan-2026 rates'!$H:$I,2,0)</f>
        <v>0</v>
      </c>
      <c r="LQ371" s="417">
        <f t="shared" si="195"/>
        <v>0</v>
      </c>
      <c r="LR371" s="417">
        <f>VLOOKUP($LQ$8,'Jan-2026 rates'!$H:$I,2,0)</f>
        <v>0</v>
      </c>
      <c r="LS371" s="417">
        <f t="shared" si="196"/>
        <v>0</v>
      </c>
      <c r="LT371" s="417">
        <f>VLOOKUP($LS$8,'Jan-2026 rates'!$H:$I,2,0)</f>
        <v>0</v>
      </c>
      <c r="LU371" s="417">
        <f t="shared" si="197"/>
        <v>0</v>
      </c>
      <c r="LV371" s="417">
        <f>VLOOKUP($LU$8,'Jan-2026 rates'!$H:$I,2,0)</f>
        <v>0</v>
      </c>
      <c r="LW371" s="417">
        <f t="shared" si="198"/>
        <v>0</v>
      </c>
      <c r="LX371" s="417">
        <f t="shared" si="199"/>
        <v>0</v>
      </c>
      <c r="LY371" s="418">
        <f t="shared" si="200"/>
        <v>0</v>
      </c>
      <c r="LZ371" s="417"/>
      <c r="MA371" s="435">
        <f t="shared" si="201"/>
        <v>903.2</v>
      </c>
      <c r="MB371" s="282">
        <f t="shared" si="202"/>
        <v>1915.1999999999998</v>
      </c>
      <c r="MC371" s="283">
        <v>214</v>
      </c>
      <c r="MD371" s="284" t="str">
        <f t="shared" si="203"/>
        <v>FLINTSLFLINTSLFLINTSLFLINTSLFLINTSLFLINTSLFLINTSL</v>
      </c>
      <c r="ME371" s="293" t="str">
        <f t="shared" si="204"/>
        <v>+</v>
      </c>
      <c r="MF371" s="293" t="str">
        <f t="shared" si="205"/>
        <v>+</v>
      </c>
      <c r="MG371" s="293" t="str">
        <f t="shared" si="206"/>
        <v>+</v>
      </c>
      <c r="MH371" s="293" t="str">
        <f t="shared" si="207"/>
        <v>+</v>
      </c>
      <c r="MI371" s="293" t="str">
        <f t="shared" si="208"/>
        <v>+</v>
      </c>
      <c r="MJ371" s="293" t="str">
        <f t="shared" si="209"/>
        <v>+</v>
      </c>
      <c r="MK371" s="293" t="str">
        <f t="shared" si="210"/>
        <v>+</v>
      </c>
      <c r="ML371" s="293" t="str">
        <f t="shared" si="211"/>
        <v>NIL</v>
      </c>
      <c r="MM371" s="3" t="b">
        <f t="array" ref="MM371">OR(ME371:ML371="-")</f>
        <v>0</v>
      </c>
      <c r="MO371" s="401">
        <f t="shared" si="350"/>
        <v>39.423631123919307</v>
      </c>
      <c r="MP371" s="286"/>
      <c r="MR371" s="402">
        <f t="shared" si="351"/>
        <v>1.0735426008968608E-2</v>
      </c>
      <c r="MS371" s="400">
        <f t="shared" si="352"/>
        <v>0</v>
      </c>
      <c r="MT371" s="285"/>
      <c r="NH371" s="361"/>
      <c r="NJ371" s="282"/>
    </row>
    <row r="372" spans="1:374" ht="16.5">
      <c r="A372" s="403">
        <v>46051</v>
      </c>
      <c r="B372" s="404" t="s">
        <v>1018</v>
      </c>
      <c r="C372" s="405" t="s">
        <v>4840</v>
      </c>
      <c r="D372" s="404">
        <v>215</v>
      </c>
      <c r="E372" s="404">
        <v>255</v>
      </c>
      <c r="F372" s="407">
        <v>11600</v>
      </c>
      <c r="G372" s="407" t="s">
        <v>1016</v>
      </c>
      <c r="H372" s="408" t="s">
        <v>1017</v>
      </c>
      <c r="I372" s="409">
        <v>2</v>
      </c>
      <c r="J372" s="405" t="s">
        <v>548</v>
      </c>
      <c r="K372" s="404" t="s">
        <v>4834</v>
      </c>
      <c r="L372" s="419" t="str">
        <f t="shared" si="184"/>
        <v>INK PRODUCT - GOLD</v>
      </c>
      <c r="M372" s="404">
        <v>36</v>
      </c>
      <c r="N372" s="410">
        <f>IF(M372=0,0,IF($LB372=70%,VLOOKUP($L372,'Jan-2026 rates'!$L:$R,4,0),IF($LB372=65%,VLOOKUP($L372,'Jan-2026 rates'!$L:$R,4,0),IF($LB372=40%,VLOOKUP($L372,'Jan-2026 rates'!$L:$R,5,0),IF($LB372=30%,VLOOKUP($L372,'Jan-2026 rates'!$L:$R,6,0),IF($LB372=100%,VLOOKUP($L372,'Jan-2026 rates'!$L:$R,7,0),IF($LB372=60%,VLOOKUP($L372,'Jan-2026 rates'!$L:$S,8,0),IF($LB372=80%,VLOOKUP($L372,'Jan-2026 rates'!L:T,9,0),0))))))))</f>
        <v>0</v>
      </c>
      <c r="O372" s="406"/>
      <c r="P372" s="404"/>
      <c r="Q372" s="410">
        <f>IF(P372=0,0,IF($LB372=70%,VLOOKUP($L372,'Jan-2026 rates'!$L:$R,4,0),IF($LB372=65%,VLOOKUP($L372,'Jan-2026 rates'!$L:$R,4,0),IF($LB372=40%,VLOOKUP($L372,'Jan-2026 rates'!$L:$R,5,0),IF($LB372=30%,VLOOKUP($L372,'Jan-2026 rates'!$L:$R,6,0),IF($LB372=100%,VLOOKUP($L372,'Jan-2026 rates'!$L:$R,7,0),IF($LB372=60%,VLOOKUP($L372,'Jan-2026 rates'!$L:$S,8,0),IF($LB372=80%,VLOOKUP($L372,'Jan-2026 rates'!L:T,9,0),0))))))))</f>
        <v>0</v>
      </c>
      <c r="R372" s="406">
        <v>70271</v>
      </c>
      <c r="S372" s="406"/>
      <c r="T372" s="406"/>
      <c r="U372" s="406"/>
      <c r="V372" s="406"/>
      <c r="W372" s="406"/>
      <c r="X372" s="406"/>
      <c r="Y372" s="406"/>
      <c r="Z372" s="404">
        <v>5</v>
      </c>
      <c r="AA372" s="398">
        <f>IF(Z372=0,0,IF(LEN(R372)=11,_xlfn.XLOOKUP(R372,'Dispensed Ink Rates'!C:C,'Dispensed Ink Rates'!CS:CS),VLOOKUP(R372,'Jan-2026 rates'!$E:$F,2,0)))</f>
        <v>0</v>
      </c>
      <c r="AB372" s="404"/>
      <c r="AC372" s="398">
        <f>IF(AB372=0,0,IF(LEN(S372)=11,_xlfn.XLOOKUP(S372,'Dispensed Ink Rates'!C:C,'Dispensed Ink Rates'!CS:CS),VLOOKUP(S372,'Jan-2026 rates'!$E:$F,2,0)))</f>
        <v>0</v>
      </c>
      <c r="AD372" s="404"/>
      <c r="AE372" s="398">
        <f>IF(AD372=0,0,IF(LEN(T372)=11,_xlfn.XLOOKUP(T372,'Dispensed Ink Rates'!C:C,'Dispensed Ink Rates'!CS:CS),VLOOKUP(T372,'Jan-2026 rates'!$E:$F,2,0)))</f>
        <v>0</v>
      </c>
      <c r="AF372" s="404"/>
      <c r="AG372" s="398">
        <f>IF(AF372=0,0,IF(LEN(U372)=11,_xlfn.XLOOKUP(U372,'Dispensed Ink Rates'!C:C,'Dispensed Ink Rates'!CS:CS),VLOOKUP(U372,'Jan-2026 rates'!$E:$F,2,0)))</f>
        <v>0</v>
      </c>
      <c r="AH372" s="404"/>
      <c r="AI372" s="398">
        <f>IF(AH372=0,0,IF(LEN(V372)=11,_xlfn.XLOOKUP(V372,'Dispensed Ink Rates'!C:C,'Dispensed Ink Rates'!CS:CS),VLOOKUP(V372,'Jan-2026 rates'!$E:$F,2,0)))</f>
        <v>0</v>
      </c>
      <c r="AJ372" s="404"/>
      <c r="AK372" s="398">
        <f>IF(AJ372=0,0,IF(LEN(W372)=11,_xlfn.XLOOKUP(W372,'Dispensed Ink Rates'!C:C,'Dispensed Ink Rates'!CS:CS),VLOOKUP(W372,'Jan-2026 rates'!$E:$F,2,0)))</f>
        <v>0</v>
      </c>
      <c r="AL372" s="404"/>
      <c r="AM372" s="398">
        <f>IF(AL372=0,0,IF(LEN(X372)=11,_xlfn.XLOOKUP(X372,'Dispensed Ink Rates'!C:C,'Dispensed Ink Rates'!CS:CS),VLOOKUP(X372,'Jan-2026 rates'!$E:$F,2,0)))</f>
        <v>0</v>
      </c>
      <c r="AN372" s="404"/>
      <c r="AO372" s="398">
        <f>IF(AN372=0,0,IF(LEN(Y372)=11,_xlfn.XLOOKUP(Y372,'Dispensed Ink Rates'!C:C,'Dispensed Ink Rates'!CS:CS),VLOOKUP(Y372,'Jan-2026 rates'!$E:$F,2,0)))</f>
        <v>0</v>
      </c>
      <c r="AP372" s="409" t="s">
        <v>719</v>
      </c>
      <c r="AQ372" s="409">
        <v>32</v>
      </c>
      <c r="AR372" s="410">
        <f t="shared" si="212"/>
        <v>0</v>
      </c>
      <c r="AS372" s="411">
        <f t="shared" si="213"/>
        <v>13.810810810810814</v>
      </c>
      <c r="AT372" s="410">
        <f t="shared" si="214"/>
        <v>0</v>
      </c>
      <c r="AU372" s="405" t="s">
        <v>543</v>
      </c>
      <c r="AV372" s="409" t="s">
        <v>4841</v>
      </c>
      <c r="AW372" s="420" t="str">
        <f t="shared" si="348"/>
        <v>FLINTSL - BLACK</v>
      </c>
      <c r="AX372" s="409">
        <v>30</v>
      </c>
      <c r="AY372" s="411">
        <f>IF(AX372=0,0,IF($LB372=70%,VLOOKUP($AW372,'Jan-2026 rates'!$L:$R,4,0),IF($LB372=65%,VLOOKUP($AW372,'Jan-2026 rates'!$L:$R,4,0),IF($LB372=40%,VLOOKUP($AW372,'Jan-2026 rates'!$L:$R,5,0),IF($LB372=30%,VLOOKUP($AW372,'Jan-2026 rates'!$L:$R,6,0),IF($LB372=100%,VLOOKUP($AW372,'Jan-2026 rates'!$L:$R,7,0),IF($LB372=60%,VLOOKUP($AW372,'Jan-2026 rates'!$L:$S,8,0),IF($LB372=80%,VLOOKUP($AW372,'Jan-2026 rates'!L:T,9,0),0))))))))</f>
        <v>0</v>
      </c>
      <c r="AZ372" s="412"/>
      <c r="BA372" s="409"/>
      <c r="BB372" s="411">
        <f>IF(BA372=0,0,IF($LB372=70%,VLOOKUP($AW372,'Jan-2026 rates'!$L:$R,4,0),IF($LB372=65%,VLOOKUP($AW372,'Jan-2026 rates'!$L:$R,4,0),IF($LB372=40%,VLOOKUP($AW372,'Jan-2026 rates'!$L:$R,5,0),IF($LB372=30%,VLOOKUP($AW372,'Jan-2026 rates'!$L:$R,6,0),IF($LB372=100%,VLOOKUP($AW372,'Jan-2026 rates'!$L:$R,7,0),IF($LB372=60%,VLOOKUP($AW372,'Jan-2026 rates'!$L:$S,8,0),IF($LB372=80%,VLOOKUP($AW372,'Jan-2026 rates'!L:T,9,0),0))))))))</f>
        <v>0</v>
      </c>
      <c r="BC372" s="413"/>
      <c r="BD372" s="412"/>
      <c r="BE372" s="412"/>
      <c r="BF372" s="413"/>
      <c r="BG372" s="412"/>
      <c r="BH372" s="412"/>
      <c r="BI372" s="412"/>
      <c r="BJ372" s="412"/>
      <c r="BK372" s="409"/>
      <c r="BL372" s="398">
        <f>IF(BK372=0,0,IF(LEN(BC372)=11,_xlfn.XLOOKUP(BC372,'Dispensed Ink Rates'!C:C,'Dispensed Ink Rates'!CS:CS),VLOOKUP(BC372,'Jan-2026 rates'!$E:$F,2,0)))</f>
        <v>0</v>
      </c>
      <c r="BM372" s="409"/>
      <c r="BN372" s="398">
        <f>IF(BM372=0,0,IF(LEN(BD372)=11,_xlfn.XLOOKUP(BD372,'Dispensed Ink Rates'!C:C,'Dispensed Ink Rates'!CS:CS),VLOOKUP(BD372,'Jan-2026 rates'!$E:$F,2,0)))</f>
        <v>0</v>
      </c>
      <c r="BO372" s="409"/>
      <c r="BP372" s="398">
        <f>IF(BO372=0,0,IF(LEN(BE372)=11,_xlfn.XLOOKUP(BE372,'Dispensed Ink Rates'!C:C,'Dispensed Ink Rates'!CS:CS),VLOOKUP(BE372,'Jan-2026 rates'!$E:$F,2,0)))</f>
        <v>0</v>
      </c>
      <c r="BQ372" s="409"/>
      <c r="BR372" s="398">
        <f>IF(BQ372=0,0,IF(LEN(BF372)=11,_xlfn.XLOOKUP(BF372,'Dispensed Ink Rates'!C:C,'Dispensed Ink Rates'!CS:CS),VLOOKUP(BF372,'Jan-2026 rates'!$E:$F,2,0)))</f>
        <v>0</v>
      </c>
      <c r="BS372" s="409"/>
      <c r="BT372" s="398">
        <f>IF(BS372=0,0,IF(LEN(BG372)=11,_xlfn.XLOOKUP(BG372,'Dispensed Ink Rates'!C:C,'Dispensed Ink Rates'!CS:CS),VLOOKUP(BG372,'Jan-2026 rates'!$E:$F,2,0)))</f>
        <v>0</v>
      </c>
      <c r="BU372" s="409"/>
      <c r="BV372" s="398">
        <f>IF(BU372=0,0,IF(LEN(BH372)=11,_xlfn.XLOOKUP(BH372,'Dispensed Ink Rates'!C:C,'Dispensed Ink Rates'!CS:CS),VLOOKUP(BH372,'Jan-2026 rates'!$E:$F,2,0)))</f>
        <v>0</v>
      </c>
      <c r="BW372" s="409"/>
      <c r="BX372" s="398">
        <f>IF(BW372=0,0,IF(LEN(BI372)=11,_xlfn.XLOOKUP(BI372,'Dispensed Ink Rates'!C:C,'Dispensed Ink Rates'!CS:CS),VLOOKUP(BI372,'Jan-2026 rates'!$E:$F,2,0)))</f>
        <v>0</v>
      </c>
      <c r="BY372" s="409"/>
      <c r="BZ372" s="398">
        <f>IF(BY372=0,0,IF(LEN(BJ372)=11,_xlfn.XLOOKUP(BJ372,'Dispensed Ink Rates'!C:C,'Dispensed Ink Rates'!CS:CS),VLOOKUP(BJ372,'Jan-2026 rates'!$E:$F,2,0)))</f>
        <v>0</v>
      </c>
      <c r="CA372" s="409" t="s">
        <v>1443</v>
      </c>
      <c r="CB372" s="409">
        <v>27</v>
      </c>
      <c r="CC372" s="411">
        <f t="shared" si="215"/>
        <v>0</v>
      </c>
      <c r="CD372" s="411">
        <f t="shared" si="216"/>
        <v>7.8108108108108141</v>
      </c>
      <c r="CE372" s="410">
        <f t="shared" si="217"/>
        <v>0</v>
      </c>
      <c r="CF372" s="404" t="s">
        <v>546</v>
      </c>
      <c r="CG372" s="409" t="s">
        <v>4842</v>
      </c>
      <c r="CH372" s="420" t="str">
        <f t="shared" si="185"/>
        <v>FLINTSL - REFLEX BLUE</v>
      </c>
      <c r="CI372" s="409">
        <v>26</v>
      </c>
      <c r="CJ372" s="411">
        <f>IF(CI372=0,0,IF($LB372=70%,VLOOKUP($CH372,'Jan-2026 rates'!$L:$R,4,0),IF($LB372=65%,VLOOKUP($CH372,'Jan-2026 rates'!$L:$R,4,0),IF($LB372=40%,VLOOKUP($CH372,'Jan-2026 rates'!$L:$R,5,0),IF($LB372=30%,VLOOKUP($CH372,'Jan-2026 rates'!$L:$R,6,0),IF($LB372=100%,VLOOKUP($CH372,'Jan-2026 rates'!$L:$R,7,0),IF($LB372=60%,VLOOKUP($CH372,'Jan-2026 rates'!$L:$S,8,0),IF($LB372=80%,VLOOKUP($CH372,'Jan-2026 rates'!L:T,9,0),0))))))))</f>
        <v>0</v>
      </c>
      <c r="CK372" s="412"/>
      <c r="CL372" s="409"/>
      <c r="CM372" s="411">
        <f>IF(CL372=0,0,IF($LB372=70%,VLOOKUP($CH372,'Jan-2026 rates'!$L:$R,4,0),IF($LB372=65%,VLOOKUP($CH372,'Jan-2026 rates'!$L:$R,4,0),IF($LB372=40%,VLOOKUP($CH372,'Jan-2026 rates'!$L:$R,5,0),IF($LB372=30%,VLOOKUP($CH372,'Jan-2026 rates'!$L:$R,6,0),IF($LB372=100%,VLOOKUP($CH372,'Jan-2026 rates'!$L:$R,7,0),IF($LB372=60%,VLOOKUP($CH372,'Jan-2026 rates'!$L:$S,8,0),IF($LB372=80%,VLOOKUP($CH372,'Jan-2026 rates'!L:T,9,0),0))))))))</f>
        <v>0</v>
      </c>
      <c r="CN372" s="426">
        <v>26525000006</v>
      </c>
      <c r="CO372" s="427">
        <v>26523000020</v>
      </c>
      <c r="CP372" s="426"/>
      <c r="CQ372" s="426"/>
      <c r="CR372" s="428"/>
      <c r="CS372" s="428"/>
      <c r="CT372" s="428"/>
      <c r="CU372" s="428"/>
      <c r="CV372" s="409">
        <v>5</v>
      </c>
      <c r="CW372" s="398" t="e">
        <f>IF(CV372=0,0,IF(LEN(CN372)=11,_xlfn.XLOOKUP(CN372,'Dispensed Ink Rates'!C:C,'Dispensed Ink Rates'!CS:CS),VLOOKUP(CN372,'Jan-2026 rates'!$E:$F,2,0)))</f>
        <v>#N/A</v>
      </c>
      <c r="CX372" s="409">
        <f>7+2</f>
        <v>9</v>
      </c>
      <c r="CY372" s="398" t="e">
        <f>IF(CX372=0,0,IF(LEN(CO372)=11,_xlfn.XLOOKUP(CO372,'Dispensed Ink Rates'!C:C,'Dispensed Ink Rates'!CS:CS),VLOOKUP(CO372,'Jan-2026 rates'!$E:$F,2,0)))</f>
        <v>#N/A</v>
      </c>
      <c r="CZ372" s="409"/>
      <c r="DA372" s="398">
        <f>IF(CZ372=0,0,IF(LEN(CP372)=11,_xlfn.XLOOKUP(CP372,'Dispensed Ink Rates'!C:C,'Dispensed Ink Rates'!CS:CS),VLOOKUP(CP372,'Jan-2026 rates'!$E:$F,2,0)))</f>
        <v>0</v>
      </c>
      <c r="DB372" s="409"/>
      <c r="DC372" s="398">
        <f>IF(DB372=0,0,IF(LEN(CQ372)=11,_xlfn.XLOOKUP(CQ372,'Dispensed Ink Rates'!C:C,'Dispensed Ink Rates'!CS:CS),VLOOKUP(CQ372,'Jan-2026 rates'!$E:$F,2,0)))</f>
        <v>0</v>
      </c>
      <c r="DD372" s="409"/>
      <c r="DE372" s="398">
        <f>IF(DD372=0,0,IF(LEN(CR372)=11,_xlfn.XLOOKUP(CR372,'Dispensed Ink Rates'!C:C,'Dispensed Ink Rates'!CS:CS),VLOOKUP(CR372,'Jan-2026 rates'!$E:$F,2,0)))</f>
        <v>0</v>
      </c>
      <c r="DF372" s="409"/>
      <c r="DG372" s="398">
        <f>IF(DF372=0,0,IF(LEN(CS372)=11,_xlfn.XLOOKUP(CS372,'Dispensed Ink Rates'!C:C,'Dispensed Ink Rates'!CS:CS),VLOOKUP(CS372,'Jan-2026 rates'!$E:$F,2,0)))</f>
        <v>0</v>
      </c>
      <c r="DH372" s="409"/>
      <c r="DI372" s="398">
        <f>IF(DH372=0,0,IF(LEN(CT372)=11,_xlfn.XLOOKUP(CT372,'Dispensed Ink Rates'!C:C,'Dispensed Ink Rates'!CS:CS),VLOOKUP(CT372,'Jan-2026 rates'!$E:$F,2,0)))</f>
        <v>0</v>
      </c>
      <c r="DJ372" s="409"/>
      <c r="DK372" s="398">
        <f>IF(DJ372=0,0,IF(LEN(CU372)=11,_xlfn.XLOOKUP(CU372,'Dispensed Ink Rates'!C:C,'Dispensed Ink Rates'!CS:CS),VLOOKUP(CU372,'Jan-2026 rates'!$E:$F,2,0)))</f>
        <v>0</v>
      </c>
      <c r="DL372" s="409" t="s">
        <v>1443</v>
      </c>
      <c r="DM372" s="409">
        <v>30</v>
      </c>
      <c r="DN372" s="411">
        <f t="shared" si="218"/>
        <v>0</v>
      </c>
      <c r="DO372" s="411">
        <f t="shared" si="219"/>
        <v>14.810810810810814</v>
      </c>
      <c r="DP372" s="410">
        <f t="shared" si="220"/>
        <v>0</v>
      </c>
      <c r="DQ372" s="405" t="s">
        <v>547</v>
      </c>
      <c r="DR372" s="409" t="s">
        <v>4748</v>
      </c>
      <c r="DS372" s="420" t="str">
        <f t="shared" si="186"/>
        <v>FLINTSL - GREEN</v>
      </c>
      <c r="DT372" s="409">
        <v>29</v>
      </c>
      <c r="DU372" s="411">
        <f>IF(DT372=0,0,IF($LB372=70%,VLOOKUP($DS372,'Jan-2026 rates'!$L:$R,4,0),IF($LB372=65%,VLOOKUP($DS372,'Jan-2026 rates'!$L:$R,4,0),IF($LB372=40%,VLOOKUP($DS372,'Jan-2026 rates'!$L:$R,5,0),IF($LB372=30%,VLOOKUP($DS372,'Jan-2026 rates'!$L:$R,6,0),IF($LB372=100%,VLOOKUP($DS372,'Jan-2026 rates'!$L:$R,7,0),IF($LB372=60%,VLOOKUP($DS372,'Jan-2026 rates'!$L:$S,8,0),IF($LB372=80%,VLOOKUP($DS372,'Jan-2026 rates'!L:T,9,0),0))))))))</f>
        <v>0</v>
      </c>
      <c r="DV372" s="412"/>
      <c r="DW372" s="409"/>
      <c r="DX372" s="411">
        <f>IF(DW372=0,0,IF($LB372=70%,VLOOKUP($DS372,'Jan-2026 rates'!$L:$R,4,0),IF($LB372=65%,VLOOKUP($DS372,'Jan-2026 rates'!$L:$R,4,0),IF($LB372=40%,VLOOKUP($DS372,'Jan-2026 rates'!$L:$R,5,0),IF($LB372=30%,VLOOKUP($DS372,'Jan-2026 rates'!$L:$R,6,0),IF($LB372=100%,VLOOKUP($DS372,'Jan-2026 rates'!$L:$R,7,0),IF($LB372=60%,VLOOKUP($DS372,'Jan-2026 rates'!$L:$S,8,0),IF($LB372=80%,VLOOKUP($DS372,'Jan-2026 rates'!L:T,9,0),0))))))))</f>
        <v>0</v>
      </c>
      <c r="DY372" s="413"/>
      <c r="DZ372" s="413"/>
      <c r="EA372" s="412"/>
      <c r="EB372" s="412"/>
      <c r="EC372" s="412"/>
      <c r="ED372" s="412"/>
      <c r="EE372" s="412"/>
      <c r="EF372" s="412"/>
      <c r="EG372" s="409"/>
      <c r="EH372" s="398">
        <f>IF(EG372=0,0,IF(LEN(DY372)=11,_xlfn.XLOOKUP(DY372,'Dispensed Ink Rates'!C:C,'Dispensed Ink Rates'!CS:CS),VLOOKUP(DY372,'Jan-2026 rates'!$E:$F,2,0)))</f>
        <v>0</v>
      </c>
      <c r="EI372" s="409"/>
      <c r="EJ372" s="398">
        <f>IF(EI372=0,0,IF(LEN(DZ372)=11,_xlfn.XLOOKUP(DZ372,'Dispensed Ink Rates'!C:C,'Dispensed Ink Rates'!CS:CS),VLOOKUP(DZ372,'Jan-2026 rates'!$E:$F,2,0)))</f>
        <v>0</v>
      </c>
      <c r="EK372" s="409"/>
      <c r="EL372" s="398">
        <f>IF(EK372=0,0,IF(LEN(EA372)=11,_xlfn.XLOOKUP(EA372,'Dispensed Ink Rates'!C:C,'Dispensed Ink Rates'!CS:CS),VLOOKUP(EA372,'Jan-2026 rates'!$E:$F,2,0)))</f>
        <v>0</v>
      </c>
      <c r="EM372" s="409"/>
      <c r="EN372" s="398">
        <f>IF(EM372=0,0,IF(LEN(EB372)=11,_xlfn.XLOOKUP(EB372,'Dispensed Ink Rates'!C:C,'Dispensed Ink Rates'!CS:CS),VLOOKUP(EB372,'Jan-2026 rates'!$E:$F,2,0)))</f>
        <v>0</v>
      </c>
      <c r="EO372" s="409"/>
      <c r="EP372" s="398">
        <f>IF(EO372=0,0,IF(LEN(EC372)=11,_xlfn.XLOOKUP(EC372,'Dispensed Ink Rates'!C:C,'Dispensed Ink Rates'!CS:CS),VLOOKUP(EC372,'Jan-2026 rates'!$E:$F,2,0)))</f>
        <v>0</v>
      </c>
      <c r="EQ372" s="409"/>
      <c r="ER372" s="398">
        <f>IF(EQ372=0,0,IF(LEN(ED372)=11,_xlfn.XLOOKUP(ED372,'Dispensed Ink Rates'!C:C,'Dispensed Ink Rates'!CS:CS),VLOOKUP(ED372,'Jan-2026 rates'!$E:$F,2,0)))</f>
        <v>0</v>
      </c>
      <c r="ES372" s="409"/>
      <c r="ET372" s="398">
        <f>IF(ES372=0,0,IF(LEN(EE372)=11,_xlfn.XLOOKUP(EE372,'Dispensed Ink Rates'!C:C,'Dispensed Ink Rates'!CS:CS),VLOOKUP(EE372,'Jan-2026 rates'!$E:$F,2,0)))</f>
        <v>0</v>
      </c>
      <c r="EU372" s="409"/>
      <c r="EV372" s="398">
        <f>IF(EU372=0,0,IF(LEN(EF372)=11,_xlfn.XLOOKUP(EF372,'Dispensed Ink Rates'!C:C,'Dispensed Ink Rates'!CS:CS),VLOOKUP(EF372,'Jan-2026 rates'!$E:$F,2,0)))</f>
        <v>0</v>
      </c>
      <c r="EW372" s="409" t="s">
        <v>1443</v>
      </c>
      <c r="EX372" s="409">
        <v>24</v>
      </c>
      <c r="EY372" s="411">
        <f t="shared" si="221"/>
        <v>0</v>
      </c>
      <c r="EZ372" s="411">
        <f t="shared" si="222"/>
        <v>9.8108108108108141</v>
      </c>
      <c r="FA372" s="410">
        <f t="shared" si="223"/>
        <v>0</v>
      </c>
      <c r="FB372" s="405" t="s">
        <v>543</v>
      </c>
      <c r="FC372" s="409"/>
      <c r="FD372" s="420" t="str">
        <f t="shared" si="187"/>
        <v>FLINTSL - BLACK</v>
      </c>
      <c r="FE372" s="409"/>
      <c r="FF372" s="411">
        <f>IF(FE372=0,0,IF($LB372=70%,VLOOKUP($FD372,'Jan-2026 rates'!$L:$R,4,0),IF($LB372=65%,VLOOKUP($FD372,'Jan-2026 rates'!$L:$R,4,0),IF($LB372=40%,VLOOKUP($FD372,'Jan-2026 rates'!$L:$R,5,0),IF($LB372=30%,VLOOKUP($FD372,'Jan-2026 rates'!$L:$R,6,0),IF($LB372=100%,VLOOKUP($FD372,'Jan-2026 rates'!$L:$R,7,0),IF($LB372=60%,VLOOKUP($FD372,'Jan-2026 rates'!$L:$S,8,0),IF($LB372=80%,VLOOKUP($FD372,'Jan-2026 rates'!L:T,9,0),0))))))))</f>
        <v>0</v>
      </c>
      <c r="FG372" s="412"/>
      <c r="FH372" s="409"/>
      <c r="FI372" s="411">
        <f>IF(FH372=0,0,IF($LB372=70%,VLOOKUP($FD372,'Jan-2026 rates'!$L:$R,4,0),IF($LB372=65%,VLOOKUP($FD372,'Jan-2026 rates'!$L:$R,4,0),IF($LB372=40%,VLOOKUP($FD372,'Jan-2026 rates'!$L:$R,5,0),IF($LB372=30%,VLOOKUP($FD372,'Jan-2026 rates'!$L:$R,6,0),IF($LB372=100%,VLOOKUP($FD372,'Jan-2026 rates'!$L:$R,7,0),IF($LB372=60%,VLOOKUP($FD372,'Jan-2026 rates'!$L:$S,8,0),IF($LB372=80%,VLOOKUP($FD372,'Jan-2026 rates'!L:T,9,0),0))))))))</f>
        <v>0</v>
      </c>
      <c r="FJ372" s="413">
        <v>26527000012</v>
      </c>
      <c r="FK372" s="413">
        <v>26527000023</v>
      </c>
      <c r="FL372" s="413">
        <v>26529000018</v>
      </c>
      <c r="FM372" s="412"/>
      <c r="FN372" s="412"/>
      <c r="FO372" s="412"/>
      <c r="FP372" s="412"/>
      <c r="FQ372" s="412"/>
      <c r="FR372" s="409">
        <v>6</v>
      </c>
      <c r="FS372" s="398" t="e">
        <f>IF(FR372=0,0,IF(LEN(FJ372)=11,_xlfn.XLOOKUP(FJ372,'Dispensed Ink Rates'!C:C,'Dispensed Ink Rates'!CS:CS),VLOOKUP(FJ372,'Jan-2026 rates'!$E:$F,2,0)))</f>
        <v>#N/A</v>
      </c>
      <c r="FT372" s="409">
        <v>20</v>
      </c>
      <c r="FU372" s="398" t="e">
        <f>IF(FT372=0,0,IF(LEN(FK372)=11,_xlfn.XLOOKUP(FK372,'Dispensed Ink Rates'!C:C,'Dispensed Ink Rates'!CS:CS),VLOOKUP(FK372,'Jan-2026 rates'!$E:$F,2,0)))</f>
        <v>#N/A</v>
      </c>
      <c r="FV372" s="409">
        <v>10</v>
      </c>
      <c r="FW372" s="398" t="e">
        <f>IF(FV372=0,0,IF(LEN(FL372)=11,_xlfn.XLOOKUP(FL372,'Dispensed Ink Rates'!C:C,'Dispensed Ink Rates'!CS:CS),VLOOKUP(FL372,'Jan-2026 rates'!$E:$F,2,0)))</f>
        <v>#N/A</v>
      </c>
      <c r="FX372" s="409"/>
      <c r="FY372" s="398">
        <f>IF(FX372=0,0,IF(LEN(FM372)=11,_xlfn.XLOOKUP(FM372,'Dispensed Ink Rates'!C:C,'Dispensed Ink Rates'!CS:CS),VLOOKUP(FM372,'Jan-2026 rates'!$E:$F,2,0)))</f>
        <v>0</v>
      </c>
      <c r="FZ372" s="409"/>
      <c r="GA372" s="398">
        <f>IF(FZ372=0,0,IF(LEN(FN372)=11,_xlfn.XLOOKUP(FN372,'Dispensed Ink Rates'!C:C,'Dispensed Ink Rates'!CS:CS),VLOOKUP(FN372,'Jan-2026 rates'!$E:$F,2,0)))</f>
        <v>0</v>
      </c>
      <c r="GB372" s="409"/>
      <c r="GC372" s="398">
        <f>IF(GB372=0,0,IF(LEN(FO372)=11,_xlfn.XLOOKUP(FO372,'Dispensed Ink Rates'!C:C,'Dispensed Ink Rates'!CS:CS),VLOOKUP(FO372,'Jan-2026 rates'!$E:$F,2,0)))</f>
        <v>0</v>
      </c>
      <c r="GD372" s="409"/>
      <c r="GE372" s="398">
        <f>IF(GD372=0,0,IF(LEN(FP372)=11,_xlfn.XLOOKUP(FP372,'Dispensed Ink Rates'!C:C,'Dispensed Ink Rates'!CS:CS),VLOOKUP(FP372,'Jan-2026 rates'!$E:$F,2,0)))</f>
        <v>0</v>
      </c>
      <c r="GF372" s="409"/>
      <c r="GG372" s="398">
        <f>IF(GF372=0,0,IF(LEN(FQ372)=11,_xlfn.XLOOKUP(FQ372,'Dispensed Ink Rates'!C:C,'Dispensed Ink Rates'!CS:CS),VLOOKUP(FQ372,'Jan-2026 rates'!$E:$F,2,0)))</f>
        <v>0</v>
      </c>
      <c r="GH372" s="409" t="s">
        <v>1443</v>
      </c>
      <c r="GI372" s="409">
        <v>20</v>
      </c>
      <c r="GJ372" s="411">
        <f t="shared" si="224"/>
        <v>0</v>
      </c>
      <c r="GK372" s="411">
        <f t="shared" si="225"/>
        <v>28.027027027027032</v>
      </c>
      <c r="GL372" s="410">
        <f t="shared" si="226"/>
        <v>0</v>
      </c>
      <c r="GM372" s="405" t="s">
        <v>544</v>
      </c>
      <c r="GN372" s="409" t="s">
        <v>4843</v>
      </c>
      <c r="GO372" s="420" t="str">
        <f t="shared" si="188"/>
        <v>FLINTSL - MAGENTA</v>
      </c>
      <c r="GP372" s="409">
        <v>32</v>
      </c>
      <c r="GQ372" s="411">
        <f>IF(GP372=0,0,IF($LB372=70%,VLOOKUP($GO372,'Jan-2026 rates'!$L:$R,4,0),IF($LB372=65%,VLOOKUP($GO372,'Jan-2026 rates'!$L:$R,4,0),IF($LB372=40%,VLOOKUP($GO372,'Jan-2026 rates'!$L:$R,5,0),IF($LB372=30%,VLOOKUP($GO372,'Jan-2026 rates'!$L:$R,6,0),IF($LB372=100%,VLOOKUP($GO372,'Jan-2026 rates'!$L:$R,7,0),IF($LB372=60%,VLOOKUP($GO372,'Jan-2026 rates'!$L:$S,8,0),IF($LB372=80%,VLOOKUP($GO372,'Jan-2026 rates'!L:T,9,0),0))))))))</f>
        <v>0</v>
      </c>
      <c r="GR372" s="412"/>
      <c r="GS372" s="409"/>
      <c r="GT372" s="411">
        <f>IF(GS372=0,0,IF($LB372=70%,VLOOKUP($GO372,'Jan-2026 rates'!$L:$R,4,0),IF($LB372=65%,VLOOKUP($GO372,'Jan-2026 rates'!$L:$R,4,0),IF($LB372=40%,VLOOKUP($GO372,'Jan-2026 rates'!$L:$R,5,0),IF($LB372=30%,VLOOKUP($GO372,'Jan-2026 rates'!$L:$R,6,0),IF($LB372=100%,VLOOKUP($GO372,'Jan-2026 rates'!$L:$R,7,0),IF($LB372=60%,VLOOKUP($GO372,'Jan-2026 rates'!$L:$S,8,0),IF($LB372=80%,VLOOKUP($GO372,'Jan-2026 rates'!L:T,9,0),0))))))))</f>
        <v>0</v>
      </c>
      <c r="GU372" s="413">
        <v>26529000018</v>
      </c>
      <c r="GV372" s="413"/>
      <c r="GW372" s="412"/>
      <c r="GX372" s="412"/>
      <c r="GY372" s="412"/>
      <c r="GZ372" s="412"/>
      <c r="HA372" s="412"/>
      <c r="HB372" s="412"/>
      <c r="HC372" s="409">
        <v>5</v>
      </c>
      <c r="HD372" s="398" t="e">
        <f>IF(HC372=0,0,IF(LEN(GU372)=11,_xlfn.XLOOKUP(GU372,'Dispensed Ink Rates'!C:C,'Dispensed Ink Rates'!CS:CS),VLOOKUP(GU372,'Jan-2026 rates'!$E:$F,2,0)))</f>
        <v>#N/A</v>
      </c>
      <c r="HE372" s="409"/>
      <c r="HF372" s="398">
        <f>IF(HE372=0,0,IF(LEN(GV372)=11,_xlfn.XLOOKUP(GV372,'Dispensed Ink Rates'!C:C,'Dispensed Ink Rates'!CS:CS),VLOOKUP(GV372,'Jan-2026 rates'!$E:$F,2,0)))</f>
        <v>0</v>
      </c>
      <c r="HG372" s="409"/>
      <c r="HH372" s="398">
        <f>IF(HG372=0,0,IF(LEN(GW372)=11,_xlfn.XLOOKUP(GW372,'Dispensed Ink Rates'!C:C,'Dispensed Ink Rates'!CS:CS),VLOOKUP(GW372,'Jan-2026 rates'!$E:$F,2,0)))</f>
        <v>0</v>
      </c>
      <c r="HI372" s="409"/>
      <c r="HJ372" s="398">
        <f>IF(HI372=0,0,IF(LEN(GX372)=11,_xlfn.XLOOKUP(GX372,'Dispensed Ink Rates'!C:C,'Dispensed Ink Rates'!CS:CS),VLOOKUP(GX372,'Jan-2026 rates'!$E:$F,2,0)))</f>
        <v>0</v>
      </c>
      <c r="HK372" s="409"/>
      <c r="HL372" s="398">
        <f>IF(HK372=0,0,IF(LEN(GY372)=11,_xlfn.XLOOKUP(GY372,'Dispensed Ink Rates'!C:C,'Dispensed Ink Rates'!CS:CS),VLOOKUP(GY372,'Jan-2026 rates'!$E:$F,2,0)))</f>
        <v>0</v>
      </c>
      <c r="HM372" s="409"/>
      <c r="HN372" s="398">
        <f>IF(HM372=0,0,IF(LEN(GZ372)=11,_xlfn.XLOOKUP(GZ372,'Dispensed Ink Rates'!C:C,'Dispensed Ink Rates'!CS:CS),VLOOKUP(GZ372,'Jan-2026 rates'!$E:$F,2,0)))</f>
        <v>0</v>
      </c>
      <c r="HO372" s="409"/>
      <c r="HP372" s="398">
        <f>IF(HO372=0,0,IF(LEN(HA372)=11,_xlfn.XLOOKUP(HA372,'Dispensed Ink Rates'!C:C,'Dispensed Ink Rates'!CS:CS),VLOOKUP(HA372,'Jan-2026 rates'!$E:$F,2,0)))</f>
        <v>0</v>
      </c>
      <c r="HQ372" s="409"/>
      <c r="HR372" s="398">
        <f>IF(HQ372=0,0,IF(LEN(HB372)=11,_xlfn.XLOOKUP(HB372,'Dispensed Ink Rates'!C:C,'Dispensed Ink Rates'!CS:CS),VLOOKUP(HB372,'Jan-2026 rates'!$E:$F,2,0)))</f>
        <v>0</v>
      </c>
      <c r="HS372" s="409" t="s">
        <v>1443</v>
      </c>
      <c r="HT372" s="409">
        <v>33</v>
      </c>
      <c r="HU372" s="411">
        <f t="shared" si="227"/>
        <v>0</v>
      </c>
      <c r="HV372" s="411">
        <f t="shared" si="228"/>
        <v>8.8108108108108141</v>
      </c>
      <c r="HW372" s="414">
        <f t="shared" si="229"/>
        <v>0</v>
      </c>
      <c r="HX372" s="405" t="s">
        <v>545</v>
      </c>
      <c r="HY372" s="409" t="s">
        <v>4844</v>
      </c>
      <c r="HZ372" s="420" t="str">
        <f t="shared" si="189"/>
        <v>FLINTSL - YELLOW</v>
      </c>
      <c r="IA372" s="409">
        <v>28</v>
      </c>
      <c r="IB372" s="411">
        <f>IF(IA372=0,0,IF($LB372=70%,VLOOKUP($HZ372,'Jan-2026 rates'!$L:$R,4,0),IF($LB372=65%,VLOOKUP($HZ372,'Jan-2026 rates'!$L:$R,4,0),IF($LB372=40%,VLOOKUP($HZ372,'Jan-2026 rates'!$L:$R,5,0),IF($LB372=30%,VLOOKUP($HZ372,'Jan-2026 rates'!$L:$R,6,0),IF($LB372=100%,VLOOKUP($HZ372,'Jan-2026 rates'!$L:$R,7,0),IF($LB372=60%,VLOOKUP($HZ372,'Jan-2026 rates'!$L:$S,8,0),IF($LB372=80%,VLOOKUP($HZ372,'Jan-2026 rates'!L:T,9,0),0))))))))</f>
        <v>0</v>
      </c>
      <c r="IC372" s="412"/>
      <c r="ID372" s="409"/>
      <c r="IE372" s="411">
        <f>IF(ID372=0,0,IF($LB372=70%,VLOOKUP($HZ372,'Jan-2026 rates'!$L:$R,4,0),IF($LB372=65%,VLOOKUP($HZ372,'Jan-2026 rates'!$L:$R,4,0),IF($LB372=40%,VLOOKUP($HZ372,'Jan-2026 rates'!$L:$R,5,0),IF($LB372=30%,VLOOKUP($HZ372,'Jan-2026 rates'!$L:$R,6,0),IF($LB372=100%,VLOOKUP($HZ372,'Jan-2026 rates'!$L:$R,7,0),IF($LB372=60%,VLOOKUP($HZ372,'Jan-2026 rates'!$L:$S,8,0),IF($LB372=80%,VLOOKUP($HZ372,'Jan-2026 rates'!L:T,9,0),0))))))))</f>
        <v>0</v>
      </c>
      <c r="IF372" s="412">
        <v>26527000023</v>
      </c>
      <c r="IG372" s="413"/>
      <c r="IH372" s="412"/>
      <c r="II372" s="412"/>
      <c r="IJ372" s="412"/>
      <c r="IK372" s="412"/>
      <c r="IL372" s="412"/>
      <c r="IM372" s="412"/>
      <c r="IN372" s="409">
        <v>2</v>
      </c>
      <c r="IO372" s="398" t="e">
        <f>IF(IN372=0,0,IF(LEN(IF372)=11,_xlfn.XLOOKUP(IF372,'Dispensed Ink Rates'!C:C,'Dispensed Ink Rates'!CS:CS),VLOOKUP(IF372,'Jan-2026 rates'!$E:$F,2,0)))</f>
        <v>#N/A</v>
      </c>
      <c r="IP372" s="409"/>
      <c r="IQ372" s="398">
        <f>IF(IP372=0,0,IF(LEN(IG372)=11,_xlfn.XLOOKUP(IG372,'Dispensed Ink Rates'!C:C,'Dispensed Ink Rates'!CS:CS),VLOOKUP(IG372,'Jan-2026 rates'!$E:$F,2,0)))</f>
        <v>0</v>
      </c>
      <c r="IR372" s="409"/>
      <c r="IS372" s="398">
        <f>IF(IR372=0,0,IF(LEN(IH372)=11,_xlfn.XLOOKUP(IH372,'Dispensed Ink Rates'!C:C,'Dispensed Ink Rates'!CS:CS),VLOOKUP(IH372,'Jan-2026 rates'!$E:$F,2,0)))</f>
        <v>0</v>
      </c>
      <c r="IT372" s="409"/>
      <c r="IU372" s="398">
        <f>IF(IT372=0,0,IF(LEN(II372)=11,_xlfn.XLOOKUP(II372,'Dispensed Ink Rates'!C:C,'Dispensed Ink Rates'!CS:CS),VLOOKUP(II372,'Jan-2026 rates'!$E:$F,2,0)))</f>
        <v>0</v>
      </c>
      <c r="IV372" s="409"/>
      <c r="IW372" s="398">
        <f>IF(IV372=0,0,IF(LEN(IJ372)=11,_xlfn.XLOOKUP(IJ372,'Dispensed Ink Rates'!C:C,'Dispensed Ink Rates'!CS:CS),VLOOKUP(IJ372,'Jan-2026 rates'!$E:$F,2,0)))</f>
        <v>0</v>
      </c>
      <c r="IX372" s="409"/>
      <c r="IY372" s="398">
        <f>IF(IX372=0,0,IF(LEN(IK372)=11,_xlfn.XLOOKUP(IK372,'Dispensed Ink Rates'!C:C,'Dispensed Ink Rates'!CS:CS),VLOOKUP(IK372,'Jan-2026 rates'!$E:$F,2,0)))</f>
        <v>0</v>
      </c>
      <c r="IZ372" s="409"/>
      <c r="JA372" s="398">
        <f>IF(IZ372=0,0,IF(LEN(IL372)=11,_xlfn.XLOOKUP(IL372,'Dispensed Ink Rates'!C:C,'Dispensed Ink Rates'!CS:CS),VLOOKUP(IL372,'Jan-2026 rates'!$E:$F,2,0)))</f>
        <v>0</v>
      </c>
      <c r="JB372" s="409"/>
      <c r="JC372" s="398">
        <f>IF(JB372=0,0,IF(LEN(IM372)=11,_xlfn.XLOOKUP(IM372,'Dispensed Ink Rates'!C:C,'Dispensed Ink Rates'!CS:CS),VLOOKUP(IM372,'Jan-2026 rates'!$E:$F,2,0)))</f>
        <v>0</v>
      </c>
      <c r="JD372" s="409" t="s">
        <v>1443</v>
      </c>
      <c r="JE372" s="409">
        <v>28</v>
      </c>
      <c r="JF372" s="411">
        <f t="shared" si="230"/>
        <v>0</v>
      </c>
      <c r="JG372" s="411">
        <f t="shared" si="231"/>
        <v>6.8108108108108141</v>
      </c>
      <c r="JH372" s="410">
        <f t="shared" si="232"/>
        <v>0</v>
      </c>
      <c r="JI372" s="405" t="s">
        <v>856</v>
      </c>
      <c r="JJ372" s="409" t="s">
        <v>4845</v>
      </c>
      <c r="JK372" s="420" t="str">
        <f t="shared" si="190"/>
        <v>FLINTSL - WHITE</v>
      </c>
      <c r="JL372" s="409">
        <v>30</v>
      </c>
      <c r="JM372" s="411">
        <f>IF(JL372=0,0,IF($LB372=70%,VLOOKUP($JK372,'Jan-2026 rates'!$L:$R,4,0),IF($LB372=65%,VLOOKUP($JK372,'Jan-2026 rates'!$L:$R,4,0),IF($LB372=40%,VLOOKUP($JK372,'Jan-2026 rates'!$L:$R,5,0),IF($LB372=30%,VLOOKUP($JK372,'Jan-2026 rates'!$L:$R,6,0),IF($LB372=100%,VLOOKUP($JK372,'Jan-2026 rates'!$L:$R,7,0),IF($LB372=60%,VLOOKUP($JK372,'Jan-2026 rates'!$L:$S,8,0),IF($LB372=80%,VLOOKUP($JK372,'Jan-2026 rates'!L:T,9,0),0))))))))</f>
        <v>0</v>
      </c>
      <c r="JN372" s="412"/>
      <c r="JO372" s="409"/>
      <c r="JP372" s="411">
        <f>IF(JO372=0,0,IF($LB372=70%,VLOOKUP($JK372,'Jan-2026 rates'!$L:$R,4,0),IF($LB372=65%,VLOOKUP($JK372,'Jan-2026 rates'!$L:$R,4,0),IF($LB372=40%,VLOOKUP($JK372,'Jan-2026 rates'!$L:$R,5,0),IF($LB372=30%,VLOOKUP($JK372,'Jan-2026 rates'!$L:$R,6,0),IF($LB372=100%,VLOOKUP($JK372,'Jan-2026 rates'!$L:$R,7,0),IF($LB372=60%,VLOOKUP($JK372,'Jan-2026 rates'!$L:$S,8,0),IF($LB372=80%,VLOOKUP($JK372,'Jan-2026 rates'!L:T,9,0),0))))))))</f>
        <v>0</v>
      </c>
      <c r="JQ372" s="413" t="s">
        <v>484</v>
      </c>
      <c r="JR372" s="412"/>
      <c r="JS372" s="413"/>
      <c r="JT372" s="413"/>
      <c r="JU372" s="412"/>
      <c r="JV372" s="412"/>
      <c r="JW372" s="412"/>
      <c r="JX372" s="412"/>
      <c r="JY372" s="409">
        <v>40</v>
      </c>
      <c r="JZ372" s="398">
        <f>IF(JY372=0,0,IF(LEN(JQ372)=11,_xlfn.XLOOKUP(JQ372,'Dispensed Ink Rates'!C:C,'Dispensed Ink Rates'!CS:CS),VLOOKUP(JQ372,'Jan-2026 rates'!$E:$F,2,0)))</f>
        <v>0</v>
      </c>
      <c r="KA372" s="409"/>
      <c r="KB372" s="398">
        <f>IF(KA372=0,0,IF(LEN(JR372)=11,_xlfn.XLOOKUP(JR372,'Dispensed Ink Rates'!C:C,'Dispensed Ink Rates'!CS:CS),VLOOKUP(JR372,'Jan-2026 rates'!$E:$F,2,0)))</f>
        <v>0</v>
      </c>
      <c r="KC372" s="409"/>
      <c r="KD372" s="398">
        <f>IF(KC372=0,0,IF(LEN(JS372)=11,_xlfn.XLOOKUP(JS372,'Dispensed Ink Rates'!C:C,'Dispensed Ink Rates'!CS:CS),VLOOKUP(JS372,'Jan-2026 rates'!$E:$F,2,0)))</f>
        <v>0</v>
      </c>
      <c r="KE372" s="409"/>
      <c r="KF372" s="398">
        <f>IF(KE372=0,0,IF(LEN(JT372)=11,_xlfn.XLOOKUP(JT372,'Dispensed Ink Rates'!C:C,'Dispensed Ink Rates'!CS:CS),VLOOKUP(JT372,'Jan-2026 rates'!$E:$F,2,0)))</f>
        <v>0</v>
      </c>
      <c r="KG372" s="409"/>
      <c r="KH372" s="398">
        <f>IF(KG372=0,0,IF(LEN(JU372)=11,_xlfn.XLOOKUP(JU372,'Dispensed Ink Rates'!C:C,'Dispensed Ink Rates'!CS:CS),VLOOKUP(JU372,'Jan-2026 rates'!$E:$F,2,0)))</f>
        <v>0</v>
      </c>
      <c r="KI372" s="409"/>
      <c r="KJ372" s="398">
        <f>IF(KI372=0,0,IF(LEN(JV372)=11,_xlfn.XLOOKUP(JV372,'Dispensed Ink Rates'!C:C,'Dispensed Ink Rates'!CS:CS),VLOOKUP(JV372,'Jan-2026 rates'!$E:$F,2,0)))</f>
        <v>0</v>
      </c>
      <c r="KK372" s="409"/>
      <c r="KL372" s="398">
        <f>IF(KK372=0,0,IF(LEN(JW372)=11,_xlfn.XLOOKUP(JW372,'Dispensed Ink Rates'!C:C,'Dispensed Ink Rates'!CS:CS),VLOOKUP(JW372,'Jan-2026 rates'!$E:$F,2,0)))</f>
        <v>0</v>
      </c>
      <c r="KM372" s="428"/>
      <c r="KN372" s="398">
        <f>IF(KM372=0,0,IF(LEN(JX372)=11,_xlfn.XLOOKUP(JX372,'Dispensed Ink Rates'!C:C,'Dispensed Ink Rates'!CS:CS),VLOOKUP(JX372,'Jan-2026 rates'!$E:$F,2,0)))</f>
        <v>0</v>
      </c>
      <c r="KO372" s="409" t="s">
        <v>1443</v>
      </c>
      <c r="KP372" s="409">
        <v>30</v>
      </c>
      <c r="KQ372" s="411">
        <f t="shared" si="233"/>
        <v>0</v>
      </c>
      <c r="KR372" s="411">
        <f t="shared" si="234"/>
        <v>88.108108108108112</v>
      </c>
      <c r="KS372" s="410">
        <f t="shared" si="235"/>
        <v>0</v>
      </c>
      <c r="KT372" s="409">
        <v>2</v>
      </c>
      <c r="KU372" s="409">
        <v>2</v>
      </c>
      <c r="KV372" s="409">
        <v>2</v>
      </c>
      <c r="KW372" s="409">
        <v>2</v>
      </c>
      <c r="KX372" s="409">
        <v>5</v>
      </c>
      <c r="KY372" s="409">
        <v>2</v>
      </c>
      <c r="KZ372" s="409">
        <v>2</v>
      </c>
      <c r="LA372" s="409">
        <v>20</v>
      </c>
      <c r="LB372" s="415">
        <v>0.8</v>
      </c>
      <c r="LC372" s="415">
        <v>0.2</v>
      </c>
      <c r="LD372" s="424"/>
      <c r="LE372" s="415"/>
      <c r="LF372" s="415"/>
      <c r="LG372" s="409">
        <v>0</v>
      </c>
      <c r="LH372" s="409">
        <f>22+17+40+10</f>
        <v>89</v>
      </c>
      <c r="LI372" s="409">
        <v>0</v>
      </c>
      <c r="LJ372" s="409">
        <v>0</v>
      </c>
      <c r="LK372" s="416">
        <f t="shared" si="191"/>
        <v>89</v>
      </c>
      <c r="LL372" s="416">
        <f t="shared" si="349"/>
        <v>89</v>
      </c>
      <c r="LM372" s="417">
        <f t="shared" si="193"/>
        <v>71.2</v>
      </c>
      <c r="LN372" s="417">
        <f>VLOOKUP($LM$8,'Jan-2026 rates'!$H:$I,2,0)</f>
        <v>0</v>
      </c>
      <c r="LO372" s="417">
        <f t="shared" si="194"/>
        <v>17.8</v>
      </c>
      <c r="LP372" s="417">
        <f>VLOOKUP($LO$8,'Jan-2026 rates'!$H:$I,2,0)</f>
        <v>0</v>
      </c>
      <c r="LQ372" s="417">
        <f t="shared" si="195"/>
        <v>0</v>
      </c>
      <c r="LR372" s="417">
        <f>VLOOKUP($LQ$8,'Jan-2026 rates'!$H:$I,2,0)</f>
        <v>0</v>
      </c>
      <c r="LS372" s="417">
        <f t="shared" si="196"/>
        <v>0</v>
      </c>
      <c r="LT372" s="417">
        <f>VLOOKUP($LS$8,'Jan-2026 rates'!$H:$I,2,0)</f>
        <v>0</v>
      </c>
      <c r="LU372" s="417">
        <f t="shared" si="197"/>
        <v>0</v>
      </c>
      <c r="LV372" s="417">
        <f>VLOOKUP($LU$8,'Jan-2026 rates'!$H:$I,2,0)</f>
        <v>0</v>
      </c>
      <c r="LW372" s="417">
        <f t="shared" si="198"/>
        <v>0</v>
      </c>
      <c r="LX372" s="417">
        <f t="shared" si="199"/>
        <v>0</v>
      </c>
      <c r="LY372" s="418">
        <f t="shared" si="200"/>
        <v>0</v>
      </c>
      <c r="LZ372" s="417"/>
      <c r="MA372" s="435">
        <f t="shared" si="201"/>
        <v>102</v>
      </c>
      <c r="MB372" s="282">
        <f t="shared" si="202"/>
        <v>178</v>
      </c>
      <c r="MC372" s="283">
        <v>215</v>
      </c>
      <c r="MD372" s="284" t="str">
        <f t="shared" si="203"/>
        <v>INK PRODUCTFLINTSLFLINTSLFLINTSLFLINTSLFLINTSLFLINTSLFLINTSL</v>
      </c>
      <c r="ME372" s="293" t="str">
        <f t="shared" si="204"/>
        <v>+</v>
      </c>
      <c r="MF372" s="293" t="str">
        <f t="shared" si="205"/>
        <v>+</v>
      </c>
      <c r="MG372" s="293" t="str">
        <f t="shared" si="206"/>
        <v>+</v>
      </c>
      <c r="MH372" s="293" t="str">
        <f t="shared" si="207"/>
        <v>+</v>
      </c>
      <c r="MI372" s="293" t="str">
        <f t="shared" si="208"/>
        <v>+</v>
      </c>
      <c r="MJ372" s="293" t="str">
        <f t="shared" si="209"/>
        <v>+</v>
      </c>
      <c r="MK372" s="293" t="str">
        <f t="shared" si="210"/>
        <v>+</v>
      </c>
      <c r="ML372" s="293" t="str">
        <f t="shared" si="211"/>
        <v>+</v>
      </c>
      <c r="MM372" s="3" t="b">
        <f t="array" ref="MM372">OR(ME372:ML372="-")</f>
        <v>0</v>
      </c>
      <c r="MO372" s="401">
        <f t="shared" si="350"/>
        <v>69.803921568627445</v>
      </c>
      <c r="MP372" s="286"/>
      <c r="MR372" s="402">
        <f t="shared" si="351"/>
        <v>1.5344827586206897E-2</v>
      </c>
      <c r="MS372" s="400">
        <f t="shared" si="352"/>
        <v>0</v>
      </c>
      <c r="MT372" s="285"/>
      <c r="NH372" s="361"/>
      <c r="NJ372" s="282"/>
    </row>
    <row r="373" spans="1:374" ht="16.5">
      <c r="A373" s="403">
        <v>46051</v>
      </c>
      <c r="B373" s="404" t="s">
        <v>1018</v>
      </c>
      <c r="C373" s="405" t="s">
        <v>4846</v>
      </c>
      <c r="D373" s="404">
        <v>216</v>
      </c>
      <c r="E373" s="404">
        <v>381</v>
      </c>
      <c r="F373" s="407">
        <v>11000</v>
      </c>
      <c r="G373" s="407" t="s">
        <v>1016</v>
      </c>
      <c r="H373" s="408" t="s">
        <v>1017</v>
      </c>
      <c r="I373" s="409">
        <v>2.2400000000000002</v>
      </c>
      <c r="J373" s="405" t="s">
        <v>543</v>
      </c>
      <c r="K373" s="404" t="s">
        <v>4847</v>
      </c>
      <c r="L373" s="419" t="str">
        <f t="shared" si="184"/>
        <v>FLINTSL - BLACK</v>
      </c>
      <c r="M373" s="404">
        <v>27</v>
      </c>
      <c r="N373" s="410">
        <f>IF(M373=0,0,IF($LB373=70%,VLOOKUP($L373,'Jan-2026 rates'!$L:$R,4,0),IF($LB373=65%,VLOOKUP($L373,'Jan-2026 rates'!$L:$R,4,0),IF($LB373=40%,VLOOKUP($L373,'Jan-2026 rates'!$L:$R,5,0),IF($LB373=30%,VLOOKUP($L373,'Jan-2026 rates'!$L:$R,6,0),IF($LB373=100%,VLOOKUP($L373,'Jan-2026 rates'!$L:$R,7,0),IF($LB373=60%,VLOOKUP($L373,'Jan-2026 rates'!$L:$S,8,0),IF($LB373=80%,VLOOKUP($L373,'Jan-2026 rates'!L:T,9,0),0))))))))</f>
        <v>0</v>
      </c>
      <c r="O373" s="406"/>
      <c r="P373" s="404"/>
      <c r="Q373" s="410">
        <f>IF(P373=0,0,IF($LB373=70%,VLOOKUP($L373,'Jan-2026 rates'!$L:$R,4,0),IF($LB373=65%,VLOOKUP($L373,'Jan-2026 rates'!$L:$R,4,0),IF($LB373=40%,VLOOKUP($L373,'Jan-2026 rates'!$L:$R,5,0),IF($LB373=30%,VLOOKUP($L373,'Jan-2026 rates'!$L:$R,6,0),IF($LB373=100%,VLOOKUP($L373,'Jan-2026 rates'!$L:$R,7,0),IF($LB373=60%,VLOOKUP($L373,'Jan-2026 rates'!$L:$S,8,0),IF($LB373=80%,VLOOKUP($L373,'Jan-2026 rates'!L:T,9,0),0))))))))</f>
        <v>0</v>
      </c>
      <c r="R373" s="406" t="s">
        <v>1266</v>
      </c>
      <c r="S373" s="406"/>
      <c r="T373" s="406"/>
      <c r="U373" s="406"/>
      <c r="V373" s="406"/>
      <c r="W373" s="406"/>
      <c r="X373" s="406"/>
      <c r="Y373" s="406"/>
      <c r="Z373" s="404">
        <v>4</v>
      </c>
      <c r="AA373" s="398">
        <f>IF(Z373=0,0,IF(LEN(R373)=11,_xlfn.XLOOKUP(R373,'Dispensed Ink Rates'!C:C,'Dispensed Ink Rates'!CS:CS),VLOOKUP(R373,'Jan-2026 rates'!$E:$F,2,0)))</f>
        <v>0</v>
      </c>
      <c r="AB373" s="404"/>
      <c r="AC373" s="398">
        <f>IF(AB373=0,0,IF(LEN(S373)=11,_xlfn.XLOOKUP(S373,'Dispensed Ink Rates'!C:C,'Dispensed Ink Rates'!CS:CS),VLOOKUP(S373,'Jan-2026 rates'!$E:$F,2,0)))</f>
        <v>0</v>
      </c>
      <c r="AD373" s="404"/>
      <c r="AE373" s="398">
        <f>IF(AD373=0,0,IF(LEN(T373)=11,_xlfn.XLOOKUP(T373,'Dispensed Ink Rates'!C:C,'Dispensed Ink Rates'!CS:CS),VLOOKUP(T373,'Jan-2026 rates'!$E:$F,2,0)))</f>
        <v>0</v>
      </c>
      <c r="AF373" s="404"/>
      <c r="AG373" s="398">
        <f>IF(AF373=0,0,IF(LEN(U373)=11,_xlfn.XLOOKUP(U373,'Dispensed Ink Rates'!C:C,'Dispensed Ink Rates'!CS:CS),VLOOKUP(U373,'Jan-2026 rates'!$E:$F,2,0)))</f>
        <v>0</v>
      </c>
      <c r="AH373" s="404"/>
      <c r="AI373" s="398">
        <f>IF(AH373=0,0,IF(LEN(V373)=11,_xlfn.XLOOKUP(V373,'Dispensed Ink Rates'!C:C,'Dispensed Ink Rates'!CS:CS),VLOOKUP(V373,'Jan-2026 rates'!$E:$F,2,0)))</f>
        <v>0</v>
      </c>
      <c r="AJ373" s="404"/>
      <c r="AK373" s="398">
        <f>IF(AJ373=0,0,IF(LEN(W373)=11,_xlfn.XLOOKUP(W373,'Dispensed Ink Rates'!C:C,'Dispensed Ink Rates'!CS:CS),VLOOKUP(W373,'Jan-2026 rates'!$E:$F,2,0)))</f>
        <v>0</v>
      </c>
      <c r="AL373" s="404"/>
      <c r="AM373" s="398">
        <f>IF(AL373=0,0,IF(LEN(X373)=11,_xlfn.XLOOKUP(X373,'Dispensed Ink Rates'!C:C,'Dispensed Ink Rates'!CS:CS),VLOOKUP(X373,'Jan-2026 rates'!$E:$F,2,0)))</f>
        <v>0</v>
      </c>
      <c r="AN373" s="404"/>
      <c r="AO373" s="398">
        <f>IF(AN373=0,0,IF(LEN(Y373)=11,_xlfn.XLOOKUP(Y373,'Dispensed Ink Rates'!C:C,'Dispensed Ink Rates'!CS:CS),VLOOKUP(Y373,'Jan-2026 rates'!$E:$F,2,0)))</f>
        <v>0</v>
      </c>
      <c r="AP373" s="409" t="s">
        <v>1443</v>
      </c>
      <c r="AQ373" s="409">
        <v>29</v>
      </c>
      <c r="AR373" s="410">
        <f t="shared" si="212"/>
        <v>0</v>
      </c>
      <c r="AS373" s="411">
        <f t="shared" si="213"/>
        <v>6.0140845070422557</v>
      </c>
      <c r="AT373" s="410">
        <f t="shared" si="214"/>
        <v>0</v>
      </c>
      <c r="AU373" s="405" t="s">
        <v>546</v>
      </c>
      <c r="AV373" s="409" t="s">
        <v>4847</v>
      </c>
      <c r="AW373" s="420" t="str">
        <f t="shared" si="348"/>
        <v>FLINTSL - REFLEX BLUE</v>
      </c>
      <c r="AX373" s="409">
        <v>20</v>
      </c>
      <c r="AY373" s="411">
        <f>IF(AX373=0,0,IF($LB373=70%,VLOOKUP($AW373,'Jan-2026 rates'!$L:$R,4,0),IF($LB373=65%,VLOOKUP($AW373,'Jan-2026 rates'!$L:$R,4,0),IF($LB373=40%,VLOOKUP($AW373,'Jan-2026 rates'!$L:$R,5,0),IF($LB373=30%,VLOOKUP($AW373,'Jan-2026 rates'!$L:$R,6,0),IF($LB373=100%,VLOOKUP($AW373,'Jan-2026 rates'!$L:$R,7,0),IF($LB373=60%,VLOOKUP($AW373,'Jan-2026 rates'!$L:$S,8,0),IF($LB373=80%,VLOOKUP($AW373,'Jan-2026 rates'!L:T,9,0),0))))))))</f>
        <v>0</v>
      </c>
      <c r="AZ373" s="412"/>
      <c r="BA373" s="409"/>
      <c r="BB373" s="411">
        <f>IF(BA373=0,0,IF($LB373=70%,VLOOKUP($AW373,'Jan-2026 rates'!$L:$R,4,0),IF($LB373=65%,VLOOKUP($AW373,'Jan-2026 rates'!$L:$R,4,0),IF($LB373=40%,VLOOKUP($AW373,'Jan-2026 rates'!$L:$R,5,0),IF($LB373=30%,VLOOKUP($AW373,'Jan-2026 rates'!$L:$R,6,0),IF($LB373=100%,VLOOKUP($AW373,'Jan-2026 rates'!$L:$R,7,0),IF($LB373=60%,VLOOKUP($AW373,'Jan-2026 rates'!$L:$S,8,0),IF($LB373=80%,VLOOKUP($AW373,'Jan-2026 rates'!L:T,9,0),0))))))))</f>
        <v>0</v>
      </c>
      <c r="BC373" s="413">
        <v>26527000014</v>
      </c>
      <c r="BD373" s="412">
        <v>26525000006</v>
      </c>
      <c r="BE373" s="412" t="s">
        <v>1266</v>
      </c>
      <c r="BF373" s="413"/>
      <c r="BG373" s="412"/>
      <c r="BH373" s="412"/>
      <c r="BI373" s="412"/>
      <c r="BJ373" s="412"/>
      <c r="BK373" s="409">
        <v>2</v>
      </c>
      <c r="BL373" s="398" t="e">
        <f>IF(BK373=0,0,IF(LEN(BC373)=11,_xlfn.XLOOKUP(BC373,'Dispensed Ink Rates'!C:C,'Dispensed Ink Rates'!CS:CS),VLOOKUP(BC373,'Jan-2026 rates'!$E:$F,2,0)))</f>
        <v>#N/A</v>
      </c>
      <c r="BM373" s="409">
        <f>6+1</f>
        <v>7</v>
      </c>
      <c r="BN373" s="398" t="e">
        <f>IF(BM373=0,0,IF(LEN(BD373)=11,_xlfn.XLOOKUP(BD373,'Dispensed Ink Rates'!C:C,'Dispensed Ink Rates'!CS:CS),VLOOKUP(BD373,'Jan-2026 rates'!$E:$F,2,0)))</f>
        <v>#N/A</v>
      </c>
      <c r="BO373" s="409">
        <v>4</v>
      </c>
      <c r="BP373" s="398">
        <f>IF(BO373=0,0,IF(LEN(BE373)=11,_xlfn.XLOOKUP(BE373,'Dispensed Ink Rates'!C:C,'Dispensed Ink Rates'!CS:CS),VLOOKUP(BE373,'Jan-2026 rates'!$E:$F,2,0)))</f>
        <v>0</v>
      </c>
      <c r="BQ373" s="409"/>
      <c r="BR373" s="398">
        <f>IF(BQ373=0,0,IF(LEN(BF373)=11,_xlfn.XLOOKUP(BF373,'Dispensed Ink Rates'!C:C,'Dispensed Ink Rates'!CS:CS),VLOOKUP(BF373,'Jan-2026 rates'!$E:$F,2,0)))</f>
        <v>0</v>
      </c>
      <c r="BS373" s="409"/>
      <c r="BT373" s="398">
        <f>IF(BS373=0,0,IF(LEN(BG373)=11,_xlfn.XLOOKUP(BG373,'Dispensed Ink Rates'!C:C,'Dispensed Ink Rates'!CS:CS),VLOOKUP(BG373,'Jan-2026 rates'!$E:$F,2,0)))</f>
        <v>0</v>
      </c>
      <c r="BU373" s="409"/>
      <c r="BV373" s="398">
        <f>IF(BU373=0,0,IF(LEN(BH373)=11,_xlfn.XLOOKUP(BH373,'Dispensed Ink Rates'!C:C,'Dispensed Ink Rates'!CS:CS),VLOOKUP(BH373,'Jan-2026 rates'!$E:$F,2,0)))</f>
        <v>0</v>
      </c>
      <c r="BW373" s="409"/>
      <c r="BX373" s="398">
        <f>IF(BW373=0,0,IF(LEN(BI373)=11,_xlfn.XLOOKUP(BI373,'Dispensed Ink Rates'!C:C,'Dispensed Ink Rates'!CS:CS),VLOOKUP(BI373,'Jan-2026 rates'!$E:$F,2,0)))</f>
        <v>0</v>
      </c>
      <c r="BY373" s="409"/>
      <c r="BZ373" s="398">
        <f>IF(BY373=0,0,IF(LEN(BJ373)=11,_xlfn.XLOOKUP(BJ373,'Dispensed Ink Rates'!C:C,'Dispensed Ink Rates'!CS:CS),VLOOKUP(BJ373,'Jan-2026 rates'!$E:$F,2,0)))</f>
        <v>0</v>
      </c>
      <c r="CA373" s="409" t="s">
        <v>1443</v>
      </c>
      <c r="CB373" s="409">
        <v>30</v>
      </c>
      <c r="CC373" s="411">
        <f t="shared" si="215"/>
        <v>0</v>
      </c>
      <c r="CD373" s="411">
        <f t="shared" si="216"/>
        <v>7.0140845070422557</v>
      </c>
      <c r="CE373" s="410">
        <f t="shared" si="217"/>
        <v>0</v>
      </c>
      <c r="CF373" s="404" t="s">
        <v>546</v>
      </c>
      <c r="CG373" s="409" t="s">
        <v>4848</v>
      </c>
      <c r="CH373" s="420" t="str">
        <f t="shared" si="185"/>
        <v>FLINTSL - REFLEX BLUE</v>
      </c>
      <c r="CI373" s="409">
        <v>10</v>
      </c>
      <c r="CJ373" s="411">
        <f>IF(CI373=0,0,IF($LB373=70%,VLOOKUP($CH373,'Jan-2026 rates'!$L:$R,4,0),IF($LB373=65%,VLOOKUP($CH373,'Jan-2026 rates'!$L:$R,4,0),IF($LB373=40%,VLOOKUP($CH373,'Jan-2026 rates'!$L:$R,5,0),IF($LB373=30%,VLOOKUP($CH373,'Jan-2026 rates'!$L:$R,6,0),IF($LB373=100%,VLOOKUP($CH373,'Jan-2026 rates'!$L:$R,7,0),IF($LB373=60%,VLOOKUP($CH373,'Jan-2026 rates'!$L:$S,8,0),IF($LB373=80%,VLOOKUP($CH373,'Jan-2026 rates'!L:T,9,0),0))))))))</f>
        <v>0</v>
      </c>
      <c r="CK373" s="412"/>
      <c r="CL373" s="409"/>
      <c r="CM373" s="411">
        <f>IF(CL373=0,0,IF($LB373=70%,VLOOKUP($CH373,'Jan-2026 rates'!$L:$R,4,0),IF($LB373=65%,VLOOKUP($CH373,'Jan-2026 rates'!$L:$R,4,0),IF($LB373=40%,VLOOKUP($CH373,'Jan-2026 rates'!$L:$R,5,0),IF($LB373=30%,VLOOKUP($CH373,'Jan-2026 rates'!$L:$R,6,0),IF($LB373=100%,VLOOKUP($CH373,'Jan-2026 rates'!$L:$R,7,0),IF($LB373=60%,VLOOKUP($CH373,'Jan-2026 rates'!$L:$S,8,0),IF($LB373=80%,VLOOKUP($CH373,'Jan-2026 rates'!L:T,9,0),0))))))))</f>
        <v>0</v>
      </c>
      <c r="CN373" s="426">
        <v>26529000015</v>
      </c>
      <c r="CO373" s="427">
        <v>26527000016</v>
      </c>
      <c r="CP373" s="426"/>
      <c r="CQ373" s="426"/>
      <c r="CR373" s="428"/>
      <c r="CS373" s="428"/>
      <c r="CT373" s="428"/>
      <c r="CU373" s="428"/>
      <c r="CV373" s="409">
        <f>5+3</f>
        <v>8</v>
      </c>
      <c r="CW373" s="398" t="e">
        <f>IF(CV373=0,0,IF(LEN(CN373)=11,_xlfn.XLOOKUP(CN373,'Dispensed Ink Rates'!C:C,'Dispensed Ink Rates'!CS:CS),VLOOKUP(CN373,'Jan-2026 rates'!$E:$F,2,0)))</f>
        <v>#N/A</v>
      </c>
      <c r="CX373" s="409">
        <v>8</v>
      </c>
      <c r="CY373" s="398" t="e">
        <f>IF(CX373=0,0,IF(LEN(CO373)=11,_xlfn.XLOOKUP(CO373,'Dispensed Ink Rates'!C:C,'Dispensed Ink Rates'!CS:CS),VLOOKUP(CO373,'Jan-2026 rates'!$E:$F,2,0)))</f>
        <v>#N/A</v>
      </c>
      <c r="CZ373" s="409"/>
      <c r="DA373" s="398">
        <f>IF(CZ373=0,0,IF(LEN(CP373)=11,_xlfn.XLOOKUP(CP373,'Dispensed Ink Rates'!C:C,'Dispensed Ink Rates'!CS:CS),VLOOKUP(CP373,'Jan-2026 rates'!$E:$F,2,0)))</f>
        <v>0</v>
      </c>
      <c r="DB373" s="409"/>
      <c r="DC373" s="398">
        <f>IF(DB373=0,0,IF(LEN(CQ373)=11,_xlfn.XLOOKUP(CQ373,'Dispensed Ink Rates'!C:C,'Dispensed Ink Rates'!CS:CS),VLOOKUP(CQ373,'Jan-2026 rates'!$E:$F,2,0)))</f>
        <v>0</v>
      </c>
      <c r="DD373" s="409"/>
      <c r="DE373" s="398">
        <f>IF(DD373=0,0,IF(LEN(CR373)=11,_xlfn.XLOOKUP(CR373,'Dispensed Ink Rates'!C:C,'Dispensed Ink Rates'!CS:CS),VLOOKUP(CR373,'Jan-2026 rates'!$E:$F,2,0)))</f>
        <v>0</v>
      </c>
      <c r="DF373" s="409"/>
      <c r="DG373" s="398">
        <f>IF(DF373=0,0,IF(LEN(CS373)=11,_xlfn.XLOOKUP(CS373,'Dispensed Ink Rates'!C:C,'Dispensed Ink Rates'!CS:CS),VLOOKUP(CS373,'Jan-2026 rates'!$E:$F,2,0)))</f>
        <v>0</v>
      </c>
      <c r="DH373" s="409"/>
      <c r="DI373" s="398">
        <f>IF(DH373=0,0,IF(LEN(CT373)=11,_xlfn.XLOOKUP(CT373,'Dispensed Ink Rates'!C:C,'Dispensed Ink Rates'!CS:CS),VLOOKUP(CT373,'Jan-2026 rates'!$E:$F,2,0)))</f>
        <v>0</v>
      </c>
      <c r="DJ373" s="409"/>
      <c r="DK373" s="398">
        <f>IF(DJ373=0,0,IF(LEN(CU373)=11,_xlfn.XLOOKUP(CU373,'Dispensed Ink Rates'!C:C,'Dispensed Ink Rates'!CS:CS),VLOOKUP(CU373,'Jan-2026 rates'!$E:$F,2,0)))</f>
        <v>0</v>
      </c>
      <c r="DL373" s="409" t="s">
        <v>1443</v>
      </c>
      <c r="DM373" s="409">
        <v>23</v>
      </c>
      <c r="DN373" s="411">
        <f t="shared" si="218"/>
        <v>0</v>
      </c>
      <c r="DO373" s="411">
        <f t="shared" si="219"/>
        <v>7.0140845070422522</v>
      </c>
      <c r="DP373" s="410">
        <f t="shared" si="220"/>
        <v>0</v>
      </c>
      <c r="DQ373" s="405" t="s">
        <v>829</v>
      </c>
      <c r="DR373" s="409"/>
      <c r="DS373" s="420" t="str">
        <f t="shared" si="186"/>
        <v>FLINTSL - MEDIUM</v>
      </c>
      <c r="DT373" s="409"/>
      <c r="DU373" s="411">
        <f>IF(DT373=0,0,IF($LB373=70%,VLOOKUP($DS373,'Jan-2026 rates'!$L:$R,4,0),IF($LB373=65%,VLOOKUP($DS373,'Jan-2026 rates'!$L:$R,4,0),IF($LB373=40%,VLOOKUP($DS373,'Jan-2026 rates'!$L:$R,5,0),IF($LB373=30%,VLOOKUP($DS373,'Jan-2026 rates'!$L:$R,6,0),IF($LB373=100%,VLOOKUP($DS373,'Jan-2026 rates'!$L:$R,7,0),IF($LB373=60%,VLOOKUP($DS373,'Jan-2026 rates'!$L:$S,8,0),IF($LB373=80%,VLOOKUP($DS373,'Jan-2026 rates'!L:T,9,0),0))))))))</f>
        <v>0</v>
      </c>
      <c r="DV373" s="412"/>
      <c r="DW373" s="409"/>
      <c r="DX373" s="411">
        <f>IF(DW373=0,0,IF($LB373=70%,VLOOKUP($DS373,'Jan-2026 rates'!$L:$R,4,0),IF($LB373=65%,VLOOKUP($DS373,'Jan-2026 rates'!$L:$R,4,0),IF($LB373=40%,VLOOKUP($DS373,'Jan-2026 rates'!$L:$R,5,0),IF($LB373=30%,VLOOKUP($DS373,'Jan-2026 rates'!$L:$R,6,0),IF($LB373=100%,VLOOKUP($DS373,'Jan-2026 rates'!$L:$R,7,0),IF($LB373=60%,VLOOKUP($DS373,'Jan-2026 rates'!$L:$S,8,0),IF($LB373=80%,VLOOKUP($DS373,'Jan-2026 rates'!L:T,9,0),0))))))))</f>
        <v>0</v>
      </c>
      <c r="DY373" s="413" t="s">
        <v>484</v>
      </c>
      <c r="DZ373" s="413" t="s">
        <v>1266</v>
      </c>
      <c r="EA373" s="412">
        <v>26526000010</v>
      </c>
      <c r="EB373" s="412">
        <v>26525000002</v>
      </c>
      <c r="EC373" s="412"/>
      <c r="ED373" s="412"/>
      <c r="EE373" s="412"/>
      <c r="EF373" s="412"/>
      <c r="EG373" s="409">
        <v>25</v>
      </c>
      <c r="EH373" s="398">
        <f>IF(EG373=0,0,IF(LEN(DY373)=11,_xlfn.XLOOKUP(DY373,'Dispensed Ink Rates'!C:C,'Dispensed Ink Rates'!CS:CS),VLOOKUP(DY373,'Jan-2026 rates'!$E:$F,2,0)))</f>
        <v>0</v>
      </c>
      <c r="EI373" s="409">
        <v>20</v>
      </c>
      <c r="EJ373" s="398">
        <f>IF(EI373=0,0,IF(LEN(DZ373)=11,_xlfn.XLOOKUP(DZ373,'Dispensed Ink Rates'!C:C,'Dispensed Ink Rates'!CS:CS),VLOOKUP(DZ373,'Jan-2026 rates'!$E:$F,2,0)))</f>
        <v>0</v>
      </c>
      <c r="EK373" s="409">
        <v>3</v>
      </c>
      <c r="EL373" s="398" t="e">
        <f>IF(EK373=0,0,IF(LEN(EA373)=11,_xlfn.XLOOKUP(EA373,'Dispensed Ink Rates'!C:C,'Dispensed Ink Rates'!CS:CS),VLOOKUP(EA373,'Jan-2026 rates'!$E:$F,2,0)))</f>
        <v>#N/A</v>
      </c>
      <c r="EM373" s="409">
        <v>0.5</v>
      </c>
      <c r="EN373" s="398" t="e">
        <f>IF(EM373=0,0,IF(LEN(EB373)=11,_xlfn.XLOOKUP(EB373,'Dispensed Ink Rates'!C:C,'Dispensed Ink Rates'!CS:CS),VLOOKUP(EB373,'Jan-2026 rates'!$E:$F,2,0)))</f>
        <v>#N/A</v>
      </c>
      <c r="EO373" s="409"/>
      <c r="EP373" s="398">
        <f>IF(EO373=0,0,IF(LEN(EC373)=11,_xlfn.XLOOKUP(EC373,'Dispensed Ink Rates'!C:C,'Dispensed Ink Rates'!CS:CS),VLOOKUP(EC373,'Jan-2026 rates'!$E:$F,2,0)))</f>
        <v>0</v>
      </c>
      <c r="EQ373" s="409"/>
      <c r="ER373" s="398">
        <f>IF(EQ373=0,0,IF(LEN(ED373)=11,_xlfn.XLOOKUP(ED373,'Dispensed Ink Rates'!C:C,'Dispensed Ink Rates'!CS:CS),VLOOKUP(ED373,'Jan-2026 rates'!$E:$F,2,0)))</f>
        <v>0</v>
      </c>
      <c r="ES373" s="409"/>
      <c r="ET373" s="398">
        <f>IF(ES373=0,0,IF(LEN(EE373)=11,_xlfn.XLOOKUP(EE373,'Dispensed Ink Rates'!C:C,'Dispensed Ink Rates'!CS:CS),VLOOKUP(EE373,'Jan-2026 rates'!$E:$F,2,0)))</f>
        <v>0</v>
      </c>
      <c r="EU373" s="409"/>
      <c r="EV373" s="398">
        <f>IF(EU373=0,0,IF(LEN(EF373)=11,_xlfn.XLOOKUP(EF373,'Dispensed Ink Rates'!C:C,'Dispensed Ink Rates'!CS:CS),VLOOKUP(EF373,'Jan-2026 rates'!$E:$F,2,0)))</f>
        <v>0</v>
      </c>
      <c r="EW373" s="409" t="s">
        <v>1443</v>
      </c>
      <c r="EX373" s="409">
        <v>46</v>
      </c>
      <c r="EY373" s="411">
        <f t="shared" si="221"/>
        <v>0</v>
      </c>
      <c r="EZ373" s="411">
        <f t="shared" si="222"/>
        <v>42.640845070422529</v>
      </c>
      <c r="FA373" s="410">
        <f t="shared" si="223"/>
        <v>0</v>
      </c>
      <c r="FB373" s="405" t="s">
        <v>855</v>
      </c>
      <c r="FC373" s="409"/>
      <c r="FD373" s="420" t="str">
        <f t="shared" si="187"/>
        <v>FLINTSL - CYAN</v>
      </c>
      <c r="FE373" s="409"/>
      <c r="FF373" s="411">
        <f>IF(FE373=0,0,IF($LB373=70%,VLOOKUP($FD373,'Jan-2026 rates'!$L:$R,4,0),IF($LB373=65%,VLOOKUP($FD373,'Jan-2026 rates'!$L:$R,4,0),IF($LB373=40%,VLOOKUP($FD373,'Jan-2026 rates'!$L:$R,5,0),IF($LB373=30%,VLOOKUP($FD373,'Jan-2026 rates'!$L:$R,6,0),IF($LB373=100%,VLOOKUP($FD373,'Jan-2026 rates'!$L:$R,7,0),IF($LB373=60%,VLOOKUP($FD373,'Jan-2026 rates'!$L:$S,8,0),IF($LB373=80%,VLOOKUP($FD373,'Jan-2026 rates'!L:T,9,0),0))))))))</f>
        <v>0</v>
      </c>
      <c r="FG373" s="412"/>
      <c r="FH373" s="409"/>
      <c r="FI373" s="411">
        <f>IF(FH373=0,0,IF($LB373=70%,VLOOKUP($FD373,'Jan-2026 rates'!$L:$R,4,0),IF($LB373=65%,VLOOKUP($FD373,'Jan-2026 rates'!$L:$R,4,0),IF($LB373=40%,VLOOKUP($FD373,'Jan-2026 rates'!$L:$R,5,0),IF($LB373=30%,VLOOKUP($FD373,'Jan-2026 rates'!$L:$R,6,0),IF($LB373=100%,VLOOKUP($FD373,'Jan-2026 rates'!$L:$R,7,0),IF($LB373=60%,VLOOKUP($FD373,'Jan-2026 rates'!$L:$S,8,0),IF($LB373=80%,VLOOKUP($FD373,'Jan-2026 rates'!L:T,9,0),0))))))))</f>
        <v>0</v>
      </c>
      <c r="FJ373" s="413">
        <v>26527000016</v>
      </c>
      <c r="FK373" s="413" t="s">
        <v>1266</v>
      </c>
      <c r="FL373" s="413"/>
      <c r="FM373" s="412"/>
      <c r="FN373" s="412"/>
      <c r="FO373" s="412"/>
      <c r="FP373" s="412"/>
      <c r="FQ373" s="412"/>
      <c r="FR373" s="409">
        <v>12</v>
      </c>
      <c r="FS373" s="398" t="e">
        <f>IF(FR373=0,0,IF(LEN(FJ373)=11,_xlfn.XLOOKUP(FJ373,'Dispensed Ink Rates'!C:C,'Dispensed Ink Rates'!CS:CS),VLOOKUP(FJ373,'Jan-2026 rates'!$E:$F,2,0)))</f>
        <v>#N/A</v>
      </c>
      <c r="FT373" s="409">
        <v>6</v>
      </c>
      <c r="FU373" s="398">
        <f>IF(FT373=0,0,IF(LEN(FK373)=11,_xlfn.XLOOKUP(FK373,'Dispensed Ink Rates'!C:C,'Dispensed Ink Rates'!CS:CS),VLOOKUP(FK373,'Jan-2026 rates'!$E:$F,2,0)))</f>
        <v>0</v>
      </c>
      <c r="FV373" s="409"/>
      <c r="FW373" s="398">
        <f>IF(FV373=0,0,IF(LEN(FL373)=11,_xlfn.XLOOKUP(FL373,'Dispensed Ink Rates'!C:C,'Dispensed Ink Rates'!CS:CS),VLOOKUP(FL373,'Jan-2026 rates'!$E:$F,2,0)))</f>
        <v>0</v>
      </c>
      <c r="FX373" s="409"/>
      <c r="FY373" s="398">
        <f>IF(FX373=0,0,IF(LEN(FM373)=11,_xlfn.XLOOKUP(FM373,'Dispensed Ink Rates'!C:C,'Dispensed Ink Rates'!CS:CS),VLOOKUP(FM373,'Jan-2026 rates'!$E:$F,2,0)))</f>
        <v>0</v>
      </c>
      <c r="FZ373" s="409"/>
      <c r="GA373" s="398">
        <f>IF(FZ373=0,0,IF(LEN(FN373)=11,_xlfn.XLOOKUP(FN373,'Dispensed Ink Rates'!C:C,'Dispensed Ink Rates'!CS:CS),VLOOKUP(FN373,'Jan-2026 rates'!$E:$F,2,0)))</f>
        <v>0</v>
      </c>
      <c r="GB373" s="409"/>
      <c r="GC373" s="398">
        <f>IF(GB373=0,0,IF(LEN(FO373)=11,_xlfn.XLOOKUP(FO373,'Dispensed Ink Rates'!C:C,'Dispensed Ink Rates'!CS:CS),VLOOKUP(FO373,'Jan-2026 rates'!$E:$F,2,0)))</f>
        <v>0</v>
      </c>
      <c r="GD373" s="409"/>
      <c r="GE373" s="398">
        <f>IF(GD373=0,0,IF(LEN(FP373)=11,_xlfn.XLOOKUP(FP373,'Dispensed Ink Rates'!C:C,'Dispensed Ink Rates'!CS:CS),VLOOKUP(FP373,'Jan-2026 rates'!$E:$F,2,0)))</f>
        <v>0</v>
      </c>
      <c r="GF373" s="409"/>
      <c r="GG373" s="398">
        <f>IF(GF373=0,0,IF(LEN(FQ373)=11,_xlfn.XLOOKUP(FQ373,'Dispensed Ink Rates'!C:C,'Dispensed Ink Rates'!CS:CS),VLOOKUP(FQ373,'Jan-2026 rates'!$E:$F,2,0)))</f>
        <v>0</v>
      </c>
      <c r="GH373" s="409" t="s">
        <v>1443</v>
      </c>
      <c r="GI373" s="409">
        <v>22</v>
      </c>
      <c r="GJ373" s="411">
        <f t="shared" si="224"/>
        <v>0</v>
      </c>
      <c r="GK373" s="411">
        <f t="shared" si="225"/>
        <v>6.704225352112676</v>
      </c>
      <c r="GL373" s="410">
        <f t="shared" si="226"/>
        <v>0</v>
      </c>
      <c r="GM373" s="405" t="s">
        <v>544</v>
      </c>
      <c r="GN373" s="409" t="s">
        <v>4849</v>
      </c>
      <c r="GO373" s="420" t="str">
        <f t="shared" si="188"/>
        <v>FLINTSL - MAGENTA</v>
      </c>
      <c r="GP373" s="409">
        <v>33</v>
      </c>
      <c r="GQ373" s="411">
        <f>IF(GP373=0,0,IF($LB373=70%,VLOOKUP($GO373,'Jan-2026 rates'!$L:$R,4,0),IF($LB373=65%,VLOOKUP($GO373,'Jan-2026 rates'!$L:$R,4,0),IF($LB373=40%,VLOOKUP($GO373,'Jan-2026 rates'!$L:$R,5,0),IF($LB373=30%,VLOOKUP($GO373,'Jan-2026 rates'!$L:$R,6,0),IF($LB373=100%,VLOOKUP($GO373,'Jan-2026 rates'!$L:$R,7,0),IF($LB373=60%,VLOOKUP($GO373,'Jan-2026 rates'!$L:$S,8,0),IF($LB373=80%,VLOOKUP($GO373,'Jan-2026 rates'!L:T,9,0),0))))))))</f>
        <v>0</v>
      </c>
      <c r="GR373" s="412"/>
      <c r="GS373" s="409"/>
      <c r="GT373" s="411">
        <f>IF(GS373=0,0,IF($LB373=70%,VLOOKUP($GO373,'Jan-2026 rates'!$L:$R,4,0),IF($LB373=65%,VLOOKUP($GO373,'Jan-2026 rates'!$L:$R,4,0),IF($LB373=40%,VLOOKUP($GO373,'Jan-2026 rates'!$L:$R,5,0),IF($LB373=30%,VLOOKUP($GO373,'Jan-2026 rates'!$L:$R,6,0),IF($LB373=100%,VLOOKUP($GO373,'Jan-2026 rates'!$L:$R,7,0),IF($LB373=60%,VLOOKUP($GO373,'Jan-2026 rates'!$L:$S,8,0),IF($LB373=80%,VLOOKUP($GO373,'Jan-2026 rates'!L:T,9,0),0))))))))</f>
        <v>0</v>
      </c>
      <c r="GU373" s="413" t="s">
        <v>1266</v>
      </c>
      <c r="GV373" s="413"/>
      <c r="GW373" s="412"/>
      <c r="GX373" s="412"/>
      <c r="GY373" s="412"/>
      <c r="GZ373" s="412"/>
      <c r="HA373" s="412"/>
      <c r="HB373" s="412"/>
      <c r="HC373" s="409">
        <v>2</v>
      </c>
      <c r="HD373" s="398">
        <f>IF(HC373=0,0,IF(LEN(GU373)=11,_xlfn.XLOOKUP(GU373,'Dispensed Ink Rates'!C:C,'Dispensed Ink Rates'!CS:CS),VLOOKUP(GU373,'Jan-2026 rates'!$E:$F,2,0)))</f>
        <v>0</v>
      </c>
      <c r="HE373" s="409"/>
      <c r="HF373" s="398">
        <f>IF(HE373=0,0,IF(LEN(GV373)=11,_xlfn.XLOOKUP(GV373,'Dispensed Ink Rates'!C:C,'Dispensed Ink Rates'!CS:CS),VLOOKUP(GV373,'Jan-2026 rates'!$E:$F,2,0)))</f>
        <v>0</v>
      </c>
      <c r="HG373" s="409"/>
      <c r="HH373" s="398">
        <f>IF(HG373=0,0,IF(LEN(GW373)=11,_xlfn.XLOOKUP(GW373,'Dispensed Ink Rates'!C:C,'Dispensed Ink Rates'!CS:CS),VLOOKUP(GW373,'Jan-2026 rates'!$E:$F,2,0)))</f>
        <v>0</v>
      </c>
      <c r="HI373" s="409"/>
      <c r="HJ373" s="398">
        <f>IF(HI373=0,0,IF(LEN(GX373)=11,_xlfn.XLOOKUP(GX373,'Dispensed Ink Rates'!C:C,'Dispensed Ink Rates'!CS:CS),VLOOKUP(GX373,'Jan-2026 rates'!$E:$F,2,0)))</f>
        <v>0</v>
      </c>
      <c r="HK373" s="409"/>
      <c r="HL373" s="398">
        <f>IF(HK373=0,0,IF(LEN(GY373)=11,_xlfn.XLOOKUP(GY373,'Dispensed Ink Rates'!C:C,'Dispensed Ink Rates'!CS:CS),VLOOKUP(GY373,'Jan-2026 rates'!$E:$F,2,0)))</f>
        <v>0</v>
      </c>
      <c r="HM373" s="409"/>
      <c r="HN373" s="398">
        <f>IF(HM373=0,0,IF(LEN(GZ373)=11,_xlfn.XLOOKUP(GZ373,'Dispensed Ink Rates'!C:C,'Dispensed Ink Rates'!CS:CS),VLOOKUP(GZ373,'Jan-2026 rates'!$E:$F,2,0)))</f>
        <v>0</v>
      </c>
      <c r="HO373" s="409"/>
      <c r="HP373" s="398">
        <f>IF(HO373=0,0,IF(LEN(HA373)=11,_xlfn.XLOOKUP(HA373,'Dispensed Ink Rates'!C:C,'Dispensed Ink Rates'!CS:CS),VLOOKUP(HA373,'Jan-2026 rates'!$E:$F,2,0)))</f>
        <v>0</v>
      </c>
      <c r="HQ373" s="409"/>
      <c r="HR373" s="398">
        <f>IF(HQ373=0,0,IF(LEN(HB373)=11,_xlfn.XLOOKUP(HB373,'Dispensed Ink Rates'!C:C,'Dispensed Ink Rates'!CS:CS),VLOOKUP(HB373,'Jan-2026 rates'!$E:$F,2,0)))</f>
        <v>0</v>
      </c>
      <c r="HS373" s="409" t="s">
        <v>1443</v>
      </c>
      <c r="HT373" s="409">
        <v>30</v>
      </c>
      <c r="HU373" s="411">
        <f t="shared" si="227"/>
        <v>0</v>
      </c>
      <c r="HV373" s="411">
        <f t="shared" si="228"/>
        <v>7.6760563380281681</v>
      </c>
      <c r="HW373" s="414">
        <f t="shared" si="229"/>
        <v>0</v>
      </c>
      <c r="HX373" s="405" t="s">
        <v>545</v>
      </c>
      <c r="HY373" s="409" t="s">
        <v>4850</v>
      </c>
      <c r="HZ373" s="420" t="str">
        <f t="shared" si="189"/>
        <v>FLINTSL - YELLOW</v>
      </c>
      <c r="IA373" s="409">
        <v>28</v>
      </c>
      <c r="IB373" s="411">
        <f>IF(IA373=0,0,IF($LB373=70%,VLOOKUP($HZ373,'Jan-2026 rates'!$L:$R,4,0),IF($LB373=65%,VLOOKUP($HZ373,'Jan-2026 rates'!$L:$R,4,0),IF($LB373=40%,VLOOKUP($HZ373,'Jan-2026 rates'!$L:$R,5,0),IF($LB373=30%,VLOOKUP($HZ373,'Jan-2026 rates'!$L:$R,6,0),IF($LB373=100%,VLOOKUP($HZ373,'Jan-2026 rates'!$L:$R,7,0),IF($LB373=60%,VLOOKUP($HZ373,'Jan-2026 rates'!$L:$S,8,0),IF($LB373=80%,VLOOKUP($HZ373,'Jan-2026 rates'!L:T,9,0),0))))))))</f>
        <v>0</v>
      </c>
      <c r="IC373" s="412"/>
      <c r="ID373" s="409"/>
      <c r="IE373" s="411">
        <f>IF(ID373=0,0,IF($LB373=70%,VLOOKUP($HZ373,'Jan-2026 rates'!$L:$R,4,0),IF($LB373=65%,VLOOKUP($HZ373,'Jan-2026 rates'!$L:$R,4,0),IF($LB373=40%,VLOOKUP($HZ373,'Jan-2026 rates'!$L:$R,5,0),IF($LB373=30%,VLOOKUP($HZ373,'Jan-2026 rates'!$L:$R,6,0),IF($LB373=100%,VLOOKUP($HZ373,'Jan-2026 rates'!$L:$R,7,0),IF($LB373=60%,VLOOKUP($HZ373,'Jan-2026 rates'!$L:$S,8,0),IF($LB373=80%,VLOOKUP($HZ373,'Jan-2026 rates'!L:T,9,0),0))))))))</f>
        <v>0</v>
      </c>
      <c r="IF373" s="412">
        <v>26527000027</v>
      </c>
      <c r="IG373" s="413"/>
      <c r="IH373" s="412"/>
      <c r="II373" s="412"/>
      <c r="IJ373" s="412"/>
      <c r="IK373" s="412"/>
      <c r="IL373" s="412"/>
      <c r="IM373" s="412"/>
      <c r="IN373" s="409">
        <v>3</v>
      </c>
      <c r="IO373" s="398" t="e">
        <f>IF(IN373=0,0,IF(LEN(IF373)=11,_xlfn.XLOOKUP(IF373,'Dispensed Ink Rates'!C:C,'Dispensed Ink Rates'!CS:CS),VLOOKUP(IF373,'Jan-2026 rates'!$E:$F,2,0)))</f>
        <v>#N/A</v>
      </c>
      <c r="IP373" s="409"/>
      <c r="IQ373" s="398">
        <f>IF(IP373=0,0,IF(LEN(IG373)=11,_xlfn.XLOOKUP(IG373,'Dispensed Ink Rates'!C:C,'Dispensed Ink Rates'!CS:CS),VLOOKUP(IG373,'Jan-2026 rates'!$E:$F,2,0)))</f>
        <v>0</v>
      </c>
      <c r="IR373" s="409"/>
      <c r="IS373" s="398">
        <f>IF(IR373=0,0,IF(LEN(IH373)=11,_xlfn.XLOOKUP(IH373,'Dispensed Ink Rates'!C:C,'Dispensed Ink Rates'!CS:CS),VLOOKUP(IH373,'Jan-2026 rates'!$E:$F,2,0)))</f>
        <v>0</v>
      </c>
      <c r="IT373" s="409"/>
      <c r="IU373" s="398">
        <f>IF(IT373=0,0,IF(LEN(II373)=11,_xlfn.XLOOKUP(II373,'Dispensed Ink Rates'!C:C,'Dispensed Ink Rates'!CS:CS),VLOOKUP(II373,'Jan-2026 rates'!$E:$F,2,0)))</f>
        <v>0</v>
      </c>
      <c r="IV373" s="409"/>
      <c r="IW373" s="398">
        <f>IF(IV373=0,0,IF(LEN(IJ373)=11,_xlfn.XLOOKUP(IJ373,'Dispensed Ink Rates'!C:C,'Dispensed Ink Rates'!CS:CS),VLOOKUP(IJ373,'Jan-2026 rates'!$E:$F,2,0)))</f>
        <v>0</v>
      </c>
      <c r="IX373" s="409"/>
      <c r="IY373" s="398">
        <f>IF(IX373=0,0,IF(LEN(IK373)=11,_xlfn.XLOOKUP(IK373,'Dispensed Ink Rates'!C:C,'Dispensed Ink Rates'!CS:CS),VLOOKUP(IK373,'Jan-2026 rates'!$E:$F,2,0)))</f>
        <v>0</v>
      </c>
      <c r="IZ373" s="409"/>
      <c r="JA373" s="398">
        <f>IF(IZ373=0,0,IF(LEN(IL373)=11,_xlfn.XLOOKUP(IL373,'Dispensed Ink Rates'!C:C,'Dispensed Ink Rates'!CS:CS),VLOOKUP(IL373,'Jan-2026 rates'!$E:$F,2,0)))</f>
        <v>0</v>
      </c>
      <c r="JB373" s="409"/>
      <c r="JC373" s="398">
        <f>IF(JB373=0,0,IF(LEN(IM373)=11,_xlfn.XLOOKUP(IM373,'Dispensed Ink Rates'!C:C,'Dispensed Ink Rates'!CS:CS),VLOOKUP(IM373,'Jan-2026 rates'!$E:$F,2,0)))</f>
        <v>0</v>
      </c>
      <c r="JD373" s="409" t="s">
        <v>1443</v>
      </c>
      <c r="JE373" s="409">
        <v>29</v>
      </c>
      <c r="JF373" s="411">
        <f t="shared" si="230"/>
        <v>0</v>
      </c>
      <c r="JG373" s="411">
        <f t="shared" si="231"/>
        <v>4.6760563380281681</v>
      </c>
      <c r="JH373" s="410">
        <f t="shared" si="232"/>
        <v>0</v>
      </c>
      <c r="JI373" s="405" t="s">
        <v>856</v>
      </c>
      <c r="JJ373" s="409" t="s">
        <v>4851</v>
      </c>
      <c r="JK373" s="420" t="str">
        <f t="shared" si="190"/>
        <v>FLINTSL - WHITE</v>
      </c>
      <c r="JL373" s="409">
        <v>30</v>
      </c>
      <c r="JM373" s="411">
        <f>IF(JL373=0,0,IF($LB373=70%,VLOOKUP($JK373,'Jan-2026 rates'!$L:$R,4,0),IF($LB373=65%,VLOOKUP($JK373,'Jan-2026 rates'!$L:$R,4,0),IF($LB373=40%,VLOOKUP($JK373,'Jan-2026 rates'!$L:$R,5,0),IF($LB373=30%,VLOOKUP($JK373,'Jan-2026 rates'!$L:$R,6,0),IF($LB373=100%,VLOOKUP($JK373,'Jan-2026 rates'!$L:$R,7,0),IF($LB373=60%,VLOOKUP($JK373,'Jan-2026 rates'!$L:$S,8,0),IF($LB373=80%,VLOOKUP($JK373,'Jan-2026 rates'!L:T,9,0),0))))))))</f>
        <v>0</v>
      </c>
      <c r="JN373" s="412"/>
      <c r="JO373" s="409"/>
      <c r="JP373" s="411">
        <f>IF(JO373=0,0,IF($LB373=70%,VLOOKUP($JK373,'Jan-2026 rates'!$L:$R,4,0),IF($LB373=65%,VLOOKUP($JK373,'Jan-2026 rates'!$L:$R,4,0),IF($LB373=40%,VLOOKUP($JK373,'Jan-2026 rates'!$L:$R,5,0),IF($LB373=30%,VLOOKUP($JK373,'Jan-2026 rates'!$L:$R,6,0),IF($LB373=100%,VLOOKUP($JK373,'Jan-2026 rates'!$L:$R,7,0),IF($LB373=60%,VLOOKUP($JK373,'Jan-2026 rates'!$L:$S,8,0),IF($LB373=80%,VLOOKUP($JK373,'Jan-2026 rates'!L:T,9,0),0))))))))</f>
        <v>0</v>
      </c>
      <c r="JQ373" s="413" t="s">
        <v>484</v>
      </c>
      <c r="JR373" s="412"/>
      <c r="JS373" s="413"/>
      <c r="JT373" s="413"/>
      <c r="JU373" s="412"/>
      <c r="JV373" s="412"/>
      <c r="JW373" s="412"/>
      <c r="JX373" s="412"/>
      <c r="JY373" s="409">
        <v>40</v>
      </c>
      <c r="JZ373" s="398">
        <f>IF(JY373=0,0,IF(LEN(JQ373)=11,_xlfn.XLOOKUP(JQ373,'Dispensed Ink Rates'!C:C,'Dispensed Ink Rates'!CS:CS),VLOOKUP(JQ373,'Jan-2026 rates'!$E:$F,2,0)))</f>
        <v>0</v>
      </c>
      <c r="KA373" s="409"/>
      <c r="KB373" s="398">
        <f>IF(KA373=0,0,IF(LEN(JR373)=11,_xlfn.XLOOKUP(JR373,'Dispensed Ink Rates'!C:C,'Dispensed Ink Rates'!CS:CS),VLOOKUP(JR373,'Jan-2026 rates'!$E:$F,2,0)))</f>
        <v>0</v>
      </c>
      <c r="KC373" s="409"/>
      <c r="KD373" s="398">
        <f>IF(KC373=0,0,IF(LEN(JS373)=11,_xlfn.XLOOKUP(JS373,'Dispensed Ink Rates'!C:C,'Dispensed Ink Rates'!CS:CS),VLOOKUP(JS373,'Jan-2026 rates'!$E:$F,2,0)))</f>
        <v>0</v>
      </c>
      <c r="KE373" s="409"/>
      <c r="KF373" s="398">
        <f>IF(KE373=0,0,IF(LEN(JT373)=11,_xlfn.XLOOKUP(JT373,'Dispensed Ink Rates'!C:C,'Dispensed Ink Rates'!CS:CS),VLOOKUP(JT373,'Jan-2026 rates'!$E:$F,2,0)))</f>
        <v>0</v>
      </c>
      <c r="KG373" s="409"/>
      <c r="KH373" s="398">
        <f>IF(KG373=0,0,IF(LEN(JU373)=11,_xlfn.XLOOKUP(JU373,'Dispensed Ink Rates'!C:C,'Dispensed Ink Rates'!CS:CS),VLOOKUP(JU373,'Jan-2026 rates'!$E:$F,2,0)))</f>
        <v>0</v>
      </c>
      <c r="KI373" s="409"/>
      <c r="KJ373" s="398">
        <f>IF(KI373=0,0,IF(LEN(JV373)=11,_xlfn.XLOOKUP(JV373,'Dispensed Ink Rates'!C:C,'Dispensed Ink Rates'!CS:CS),VLOOKUP(JV373,'Jan-2026 rates'!$E:$F,2,0)))</f>
        <v>0</v>
      </c>
      <c r="KK373" s="409"/>
      <c r="KL373" s="398">
        <f>IF(KK373=0,0,IF(LEN(JW373)=11,_xlfn.XLOOKUP(JW373,'Dispensed Ink Rates'!C:C,'Dispensed Ink Rates'!CS:CS),VLOOKUP(JW373,'Jan-2026 rates'!$E:$F,2,0)))</f>
        <v>0</v>
      </c>
      <c r="KM373" s="428"/>
      <c r="KN373" s="398">
        <f>IF(KM373=0,0,IF(LEN(JX373)=11,_xlfn.XLOOKUP(JX373,'Dispensed Ink Rates'!C:C,'Dispensed Ink Rates'!CS:CS),VLOOKUP(JX373,'Jan-2026 rates'!$E:$F,2,0)))</f>
        <v>0</v>
      </c>
      <c r="KO373" s="409" t="s">
        <v>1443</v>
      </c>
      <c r="KP373" s="409">
        <v>30</v>
      </c>
      <c r="KQ373" s="411">
        <f t="shared" si="233"/>
        <v>0</v>
      </c>
      <c r="KR373" s="411">
        <f t="shared" si="234"/>
        <v>66.760563380281695</v>
      </c>
      <c r="KS373" s="410">
        <f t="shared" si="235"/>
        <v>0</v>
      </c>
      <c r="KT373" s="409">
        <v>3</v>
      </c>
      <c r="KU373" s="409">
        <v>3</v>
      </c>
      <c r="KV373" s="409">
        <v>3</v>
      </c>
      <c r="KW373" s="409">
        <v>30</v>
      </c>
      <c r="KX373" s="409">
        <v>8</v>
      </c>
      <c r="KY373" s="409">
        <v>2</v>
      </c>
      <c r="KZ373" s="409">
        <v>2</v>
      </c>
      <c r="LA373" s="409">
        <v>20</v>
      </c>
      <c r="LB373" s="415">
        <v>0.8</v>
      </c>
      <c r="LC373" s="415">
        <v>0.2</v>
      </c>
      <c r="LD373" s="424"/>
      <c r="LE373" s="415"/>
      <c r="LF373" s="415"/>
      <c r="LG373" s="409">
        <v>0</v>
      </c>
      <c r="LH373" s="409">
        <f>20+25+40+10</f>
        <v>95</v>
      </c>
      <c r="LI373" s="409">
        <v>0</v>
      </c>
      <c r="LJ373" s="409">
        <v>0</v>
      </c>
      <c r="LK373" s="416">
        <f t="shared" si="191"/>
        <v>95</v>
      </c>
      <c r="LL373" s="416">
        <f t="shared" si="349"/>
        <v>95</v>
      </c>
      <c r="LM373" s="417">
        <f t="shared" si="193"/>
        <v>76</v>
      </c>
      <c r="LN373" s="417">
        <f>VLOOKUP($LM$8,'Jan-2026 rates'!$H:$I,2,0)</f>
        <v>0</v>
      </c>
      <c r="LO373" s="417">
        <f t="shared" si="194"/>
        <v>19</v>
      </c>
      <c r="LP373" s="417">
        <f>VLOOKUP($LO$8,'Jan-2026 rates'!$H:$I,2,0)</f>
        <v>0</v>
      </c>
      <c r="LQ373" s="417">
        <f t="shared" si="195"/>
        <v>0</v>
      </c>
      <c r="LR373" s="417">
        <f>VLOOKUP($LQ$8,'Jan-2026 rates'!$H:$I,2,0)</f>
        <v>0</v>
      </c>
      <c r="LS373" s="417">
        <f t="shared" si="196"/>
        <v>0</v>
      </c>
      <c r="LT373" s="417">
        <f>VLOOKUP($LS$8,'Jan-2026 rates'!$H:$I,2,0)</f>
        <v>0</v>
      </c>
      <c r="LU373" s="417">
        <f t="shared" si="197"/>
        <v>0</v>
      </c>
      <c r="LV373" s="417">
        <f>VLOOKUP($LU$8,'Jan-2026 rates'!$H:$I,2,0)</f>
        <v>0</v>
      </c>
      <c r="LW373" s="417">
        <f t="shared" si="198"/>
        <v>0</v>
      </c>
      <c r="LX373" s="417">
        <f t="shared" si="199"/>
        <v>0</v>
      </c>
      <c r="LY373" s="418">
        <f t="shared" si="200"/>
        <v>0</v>
      </c>
      <c r="LZ373" s="417"/>
      <c r="MA373" s="435">
        <f t="shared" si="201"/>
        <v>144.5</v>
      </c>
      <c r="MB373" s="282">
        <f t="shared" si="202"/>
        <v>148.5</v>
      </c>
      <c r="MC373" s="283">
        <v>216</v>
      </c>
      <c r="MD373" s="284" t="str">
        <f t="shared" si="203"/>
        <v>FLINTSLFLINTSLFLINTSLFLINTSLFLINTSLFLINTSLFLINTSLFLINTSL</v>
      </c>
      <c r="ME373" s="293" t="str">
        <f t="shared" si="204"/>
        <v>+</v>
      </c>
      <c r="MF373" s="293" t="str">
        <f t="shared" si="205"/>
        <v>+</v>
      </c>
      <c r="MG373" s="293" t="str">
        <f t="shared" si="206"/>
        <v>+</v>
      </c>
      <c r="MH373" s="293" t="str">
        <f t="shared" si="207"/>
        <v>+</v>
      </c>
      <c r="MI373" s="293" t="str">
        <f t="shared" si="208"/>
        <v>+</v>
      </c>
      <c r="MJ373" s="293" t="str">
        <f t="shared" si="209"/>
        <v>+</v>
      </c>
      <c r="MK373" s="293" t="str">
        <f t="shared" si="210"/>
        <v>+</v>
      </c>
      <c r="ML373" s="293" t="str">
        <f t="shared" si="211"/>
        <v>+</v>
      </c>
      <c r="MM373" s="3" t="b">
        <f t="array" ref="MM373">OR(ME373:ML373="-")</f>
        <v>0</v>
      </c>
      <c r="MO373" s="401">
        <f t="shared" si="350"/>
        <v>38.976377952755904</v>
      </c>
      <c r="MP373" s="286"/>
      <c r="MR373" s="402">
        <f t="shared" si="351"/>
        <v>1.35E-2</v>
      </c>
      <c r="MS373" s="400">
        <f t="shared" si="352"/>
        <v>0</v>
      </c>
      <c r="MT373" s="285"/>
      <c r="NH373" s="361"/>
      <c r="NJ373" s="282"/>
    </row>
    <row r="374" spans="1:374" ht="16.5">
      <c r="A374" s="403">
        <v>46051</v>
      </c>
      <c r="B374" s="404" t="s">
        <v>1018</v>
      </c>
      <c r="C374" s="405" t="s">
        <v>4852</v>
      </c>
      <c r="D374" s="404">
        <v>217</v>
      </c>
      <c r="E374" s="404">
        <v>929</v>
      </c>
      <c r="F374" s="407">
        <v>44100</v>
      </c>
      <c r="G374" s="407" t="s">
        <v>1016</v>
      </c>
      <c r="H374" s="408" t="s">
        <v>1017</v>
      </c>
      <c r="I374" s="409">
        <v>1.76</v>
      </c>
      <c r="J374" s="405" t="s">
        <v>543</v>
      </c>
      <c r="K374" s="404" t="s">
        <v>4853</v>
      </c>
      <c r="L374" s="419" t="str">
        <f t="shared" si="184"/>
        <v>FLINTSL - BLACK</v>
      </c>
      <c r="M374" s="404">
        <v>29</v>
      </c>
      <c r="N374" s="410">
        <f>IF(M374=0,0,IF($LB374=70%,VLOOKUP($L374,'Jan-2026 rates'!$L:$R,4,0),IF($LB374=65%,VLOOKUP($L374,'Jan-2026 rates'!$L:$R,4,0),IF($LB374=40%,VLOOKUP($L374,'Jan-2026 rates'!$L:$R,5,0),IF($LB374=30%,VLOOKUP($L374,'Jan-2026 rates'!$L:$R,6,0),IF($LB374=100%,VLOOKUP($L374,'Jan-2026 rates'!$L:$R,7,0),IF($LB374=60%,VLOOKUP($L374,'Jan-2026 rates'!$L:$S,8,0),IF($LB374=80%,VLOOKUP($L374,'Jan-2026 rates'!L:T,9,0),0))))))))</f>
        <v>0</v>
      </c>
      <c r="O374" s="406"/>
      <c r="P374" s="404"/>
      <c r="Q374" s="410">
        <f>IF(P374=0,0,IF($LB374=70%,VLOOKUP($L374,'Jan-2026 rates'!$L:$R,4,0),IF($LB374=65%,VLOOKUP($L374,'Jan-2026 rates'!$L:$R,4,0),IF($LB374=40%,VLOOKUP($L374,'Jan-2026 rates'!$L:$R,5,0),IF($LB374=30%,VLOOKUP($L374,'Jan-2026 rates'!$L:$R,6,0),IF($LB374=100%,VLOOKUP($L374,'Jan-2026 rates'!$L:$R,7,0),IF($LB374=60%,VLOOKUP($L374,'Jan-2026 rates'!$L:$S,8,0),IF($LB374=80%,VLOOKUP($L374,'Jan-2026 rates'!L:T,9,0),0))))))))</f>
        <v>0</v>
      </c>
      <c r="R374" s="406">
        <v>26530000023</v>
      </c>
      <c r="S374" s="406"/>
      <c r="T374" s="406"/>
      <c r="U374" s="406"/>
      <c r="V374" s="406"/>
      <c r="W374" s="406"/>
      <c r="X374" s="406"/>
      <c r="Y374" s="406"/>
      <c r="Z374" s="404">
        <v>3</v>
      </c>
      <c r="AA374" s="398" t="e">
        <f>IF(Z374=0,0,IF(LEN(R374)=11,_xlfn.XLOOKUP(R374,'Dispensed Ink Rates'!C:C,'Dispensed Ink Rates'!CS:CS),VLOOKUP(R374,'Jan-2026 rates'!$E:$F,2,0)))</f>
        <v>#N/A</v>
      </c>
      <c r="AB374" s="404"/>
      <c r="AC374" s="398">
        <f>IF(AB374=0,0,IF(LEN(S374)=11,_xlfn.XLOOKUP(S374,'Dispensed Ink Rates'!C:C,'Dispensed Ink Rates'!CS:CS),VLOOKUP(S374,'Jan-2026 rates'!$E:$F,2,0)))</f>
        <v>0</v>
      </c>
      <c r="AD374" s="404"/>
      <c r="AE374" s="398">
        <f>IF(AD374=0,0,IF(LEN(T374)=11,_xlfn.XLOOKUP(T374,'Dispensed Ink Rates'!C:C,'Dispensed Ink Rates'!CS:CS),VLOOKUP(T374,'Jan-2026 rates'!$E:$F,2,0)))</f>
        <v>0</v>
      </c>
      <c r="AF374" s="404"/>
      <c r="AG374" s="398">
        <f>IF(AF374=0,0,IF(LEN(U374)=11,_xlfn.XLOOKUP(U374,'Dispensed Ink Rates'!C:C,'Dispensed Ink Rates'!CS:CS),VLOOKUP(U374,'Jan-2026 rates'!$E:$F,2,0)))</f>
        <v>0</v>
      </c>
      <c r="AH374" s="404"/>
      <c r="AI374" s="398">
        <f>IF(AH374=0,0,IF(LEN(V374)=11,_xlfn.XLOOKUP(V374,'Dispensed Ink Rates'!C:C,'Dispensed Ink Rates'!CS:CS),VLOOKUP(V374,'Jan-2026 rates'!$E:$F,2,0)))</f>
        <v>0</v>
      </c>
      <c r="AJ374" s="404"/>
      <c r="AK374" s="398">
        <f>IF(AJ374=0,0,IF(LEN(W374)=11,_xlfn.XLOOKUP(W374,'Dispensed Ink Rates'!C:C,'Dispensed Ink Rates'!CS:CS),VLOOKUP(W374,'Jan-2026 rates'!$E:$F,2,0)))</f>
        <v>0</v>
      </c>
      <c r="AL374" s="404"/>
      <c r="AM374" s="398">
        <f>IF(AL374=0,0,IF(LEN(X374)=11,_xlfn.XLOOKUP(X374,'Dispensed Ink Rates'!C:C,'Dispensed Ink Rates'!CS:CS),VLOOKUP(X374,'Jan-2026 rates'!$E:$F,2,0)))</f>
        <v>0</v>
      </c>
      <c r="AN374" s="404"/>
      <c r="AO374" s="398">
        <f>IF(AN374=0,0,IF(LEN(Y374)=11,_xlfn.XLOOKUP(Y374,'Dispensed Ink Rates'!C:C,'Dispensed Ink Rates'!CS:CS),VLOOKUP(Y374,'Jan-2026 rates'!$E:$F,2,0)))</f>
        <v>0</v>
      </c>
      <c r="AP374" s="409" t="s">
        <v>1443</v>
      </c>
      <c r="AQ374" s="409">
        <v>27</v>
      </c>
      <c r="AR374" s="410">
        <f t="shared" si="212"/>
        <v>0</v>
      </c>
      <c r="AS374" s="411">
        <f t="shared" si="213"/>
        <v>5</v>
      </c>
      <c r="AT374" s="410">
        <f t="shared" si="214"/>
        <v>0</v>
      </c>
      <c r="AU374" s="405" t="s">
        <v>548</v>
      </c>
      <c r="AV374" s="409" t="s">
        <v>4854</v>
      </c>
      <c r="AW374" s="420" t="str">
        <f t="shared" si="348"/>
        <v>INK PRODUCT - GOLD</v>
      </c>
      <c r="AX374" s="409">
        <v>32</v>
      </c>
      <c r="AY374" s="411">
        <f>IF(AX374=0,0,IF($LB374=70%,VLOOKUP($AW374,'Jan-2026 rates'!$L:$R,4,0),IF($LB374=65%,VLOOKUP($AW374,'Jan-2026 rates'!$L:$R,4,0),IF($LB374=40%,VLOOKUP($AW374,'Jan-2026 rates'!$L:$R,5,0),IF($LB374=30%,VLOOKUP($AW374,'Jan-2026 rates'!$L:$R,6,0),IF($LB374=100%,VLOOKUP($AW374,'Jan-2026 rates'!$L:$R,7,0),IF($LB374=60%,VLOOKUP($AW374,'Jan-2026 rates'!$L:$S,8,0),IF($LB374=80%,VLOOKUP($AW374,'Jan-2026 rates'!L:T,9,0),0))))))))</f>
        <v>0</v>
      </c>
      <c r="AZ374" s="412"/>
      <c r="BA374" s="409"/>
      <c r="BB374" s="411">
        <f>IF(BA374=0,0,IF($LB374=70%,VLOOKUP($AW374,'Jan-2026 rates'!$L:$R,4,0),IF($LB374=65%,VLOOKUP($AW374,'Jan-2026 rates'!$L:$R,4,0),IF($LB374=40%,VLOOKUP($AW374,'Jan-2026 rates'!$L:$R,5,0),IF($LB374=30%,VLOOKUP($AW374,'Jan-2026 rates'!$L:$R,6,0),IF($LB374=100%,VLOOKUP($AW374,'Jan-2026 rates'!$L:$R,7,0),IF($LB374=60%,VLOOKUP($AW374,'Jan-2026 rates'!$L:$S,8,0),IF($LB374=80%,VLOOKUP($AW374,'Jan-2026 rates'!L:T,9,0),0))))))))</f>
        <v>0</v>
      </c>
      <c r="BC374" s="413"/>
      <c r="BD374" s="412"/>
      <c r="BE374" s="412"/>
      <c r="BF374" s="413"/>
      <c r="BG374" s="412"/>
      <c r="BH374" s="412"/>
      <c r="BI374" s="412"/>
      <c r="BJ374" s="412"/>
      <c r="BK374" s="409"/>
      <c r="BL374" s="398">
        <f>IF(BK374=0,0,IF(LEN(BC374)=11,_xlfn.XLOOKUP(BC374,'Dispensed Ink Rates'!C:C,'Dispensed Ink Rates'!CS:CS),VLOOKUP(BC374,'Jan-2026 rates'!$E:$F,2,0)))</f>
        <v>0</v>
      </c>
      <c r="BM374" s="409"/>
      <c r="BN374" s="398">
        <f>IF(BM374=0,0,IF(LEN(BD374)=11,_xlfn.XLOOKUP(BD374,'Dispensed Ink Rates'!C:C,'Dispensed Ink Rates'!CS:CS),VLOOKUP(BD374,'Jan-2026 rates'!$E:$F,2,0)))</f>
        <v>0</v>
      </c>
      <c r="BO374" s="409"/>
      <c r="BP374" s="398">
        <f>IF(BO374=0,0,IF(LEN(BE374)=11,_xlfn.XLOOKUP(BE374,'Dispensed Ink Rates'!C:C,'Dispensed Ink Rates'!CS:CS),VLOOKUP(BE374,'Jan-2026 rates'!$E:$F,2,0)))</f>
        <v>0</v>
      </c>
      <c r="BQ374" s="409"/>
      <c r="BR374" s="398">
        <f>IF(BQ374=0,0,IF(LEN(BF374)=11,_xlfn.XLOOKUP(BF374,'Dispensed Ink Rates'!C:C,'Dispensed Ink Rates'!CS:CS),VLOOKUP(BF374,'Jan-2026 rates'!$E:$F,2,0)))</f>
        <v>0</v>
      </c>
      <c r="BS374" s="409"/>
      <c r="BT374" s="398">
        <f>IF(BS374=0,0,IF(LEN(BG374)=11,_xlfn.XLOOKUP(BG374,'Dispensed Ink Rates'!C:C,'Dispensed Ink Rates'!CS:CS),VLOOKUP(BG374,'Jan-2026 rates'!$E:$F,2,0)))</f>
        <v>0</v>
      </c>
      <c r="BU374" s="409"/>
      <c r="BV374" s="398">
        <f>IF(BU374=0,0,IF(LEN(BH374)=11,_xlfn.XLOOKUP(BH374,'Dispensed Ink Rates'!C:C,'Dispensed Ink Rates'!CS:CS),VLOOKUP(BH374,'Jan-2026 rates'!$E:$F,2,0)))</f>
        <v>0</v>
      </c>
      <c r="BW374" s="409"/>
      <c r="BX374" s="398">
        <f>IF(BW374=0,0,IF(LEN(BI374)=11,_xlfn.XLOOKUP(BI374,'Dispensed Ink Rates'!C:C,'Dispensed Ink Rates'!CS:CS),VLOOKUP(BI374,'Jan-2026 rates'!$E:$F,2,0)))</f>
        <v>0</v>
      </c>
      <c r="BY374" s="409"/>
      <c r="BZ374" s="398">
        <f>IF(BY374=0,0,IF(LEN(BJ374)=11,_xlfn.XLOOKUP(BJ374,'Dispensed Ink Rates'!C:C,'Dispensed Ink Rates'!CS:CS),VLOOKUP(BJ374,'Jan-2026 rates'!$E:$F,2,0)))</f>
        <v>0</v>
      </c>
      <c r="CA374" s="409" t="s">
        <v>719</v>
      </c>
      <c r="CB374" s="409">
        <v>26</v>
      </c>
      <c r="CC374" s="411">
        <f t="shared" si="215"/>
        <v>0</v>
      </c>
      <c r="CD374" s="411">
        <f t="shared" si="216"/>
        <v>6</v>
      </c>
      <c r="CE374" s="410">
        <f t="shared" si="217"/>
        <v>0</v>
      </c>
      <c r="CF374" s="404" t="s">
        <v>543</v>
      </c>
      <c r="CG374" s="409"/>
      <c r="CH374" s="420" t="str">
        <f t="shared" si="185"/>
        <v>FLINTSL - BLACK</v>
      </c>
      <c r="CI374" s="409"/>
      <c r="CJ374" s="411">
        <f>IF(CI374=0,0,IF($LB374=70%,VLOOKUP($CH374,'Jan-2026 rates'!$L:$R,4,0),IF($LB374=65%,VLOOKUP($CH374,'Jan-2026 rates'!$L:$R,4,0),IF($LB374=40%,VLOOKUP($CH374,'Jan-2026 rates'!$L:$R,5,0),IF($LB374=30%,VLOOKUP($CH374,'Jan-2026 rates'!$L:$R,6,0),IF($LB374=100%,VLOOKUP($CH374,'Jan-2026 rates'!$L:$R,7,0),IF($LB374=60%,VLOOKUP($CH374,'Jan-2026 rates'!$L:$S,8,0),IF($LB374=80%,VLOOKUP($CH374,'Jan-2026 rates'!L:T,9,0),0))))))))</f>
        <v>0</v>
      </c>
      <c r="CK374" s="412"/>
      <c r="CL374" s="409"/>
      <c r="CM374" s="411">
        <f>IF(CL374=0,0,IF($LB374=70%,VLOOKUP($CH374,'Jan-2026 rates'!$L:$R,4,0),IF($LB374=65%,VLOOKUP($CH374,'Jan-2026 rates'!$L:$R,4,0),IF($LB374=40%,VLOOKUP($CH374,'Jan-2026 rates'!$L:$R,5,0),IF($LB374=30%,VLOOKUP($CH374,'Jan-2026 rates'!$L:$R,6,0),IF($LB374=100%,VLOOKUP($CH374,'Jan-2026 rates'!$L:$R,7,0),IF($LB374=60%,VLOOKUP($CH374,'Jan-2026 rates'!$L:$S,8,0),IF($LB374=80%,VLOOKUP($CH374,'Jan-2026 rates'!L:T,9,0),0))))))))</f>
        <v>0</v>
      </c>
      <c r="CN374" s="426">
        <v>26529000046</v>
      </c>
      <c r="CO374" s="427">
        <v>26530000005</v>
      </c>
      <c r="CP374" s="426">
        <v>26529000018</v>
      </c>
      <c r="CQ374" s="426">
        <v>26530000023</v>
      </c>
      <c r="CR374" s="428"/>
      <c r="CS374" s="428"/>
      <c r="CT374" s="428"/>
      <c r="CU374" s="428"/>
      <c r="CV374" s="409">
        <v>40</v>
      </c>
      <c r="CW374" s="398" t="e">
        <f>IF(CV374=0,0,IF(LEN(CN374)=11,_xlfn.XLOOKUP(CN374,'Dispensed Ink Rates'!C:C,'Dispensed Ink Rates'!CS:CS),VLOOKUP(CN374,'Jan-2026 rates'!$E:$F,2,0)))</f>
        <v>#N/A</v>
      </c>
      <c r="CX374" s="409">
        <v>30</v>
      </c>
      <c r="CY374" s="398" t="e">
        <f>IF(CX374=0,0,IF(LEN(CO374)=11,_xlfn.XLOOKUP(CO374,'Dispensed Ink Rates'!C:C,'Dispensed Ink Rates'!CS:CS),VLOOKUP(CO374,'Jan-2026 rates'!$E:$F,2,0)))</f>
        <v>#N/A</v>
      </c>
      <c r="CZ374" s="409">
        <v>6</v>
      </c>
      <c r="DA374" s="398" t="e">
        <f>IF(CZ374=0,0,IF(LEN(CP374)=11,_xlfn.XLOOKUP(CP374,'Dispensed Ink Rates'!C:C,'Dispensed Ink Rates'!CS:CS),VLOOKUP(CP374,'Jan-2026 rates'!$E:$F,2,0)))</f>
        <v>#N/A</v>
      </c>
      <c r="DB374" s="409">
        <v>4</v>
      </c>
      <c r="DC374" s="398" t="e">
        <f>IF(DB374=0,0,IF(LEN(CQ374)=11,_xlfn.XLOOKUP(CQ374,'Dispensed Ink Rates'!C:C,'Dispensed Ink Rates'!CS:CS),VLOOKUP(CQ374,'Jan-2026 rates'!$E:$F,2,0)))</f>
        <v>#N/A</v>
      </c>
      <c r="DD374" s="409"/>
      <c r="DE374" s="398">
        <f>IF(DD374=0,0,IF(LEN(CR374)=11,_xlfn.XLOOKUP(CR374,'Dispensed Ink Rates'!C:C,'Dispensed Ink Rates'!CS:CS),VLOOKUP(CR374,'Jan-2026 rates'!$E:$F,2,0)))</f>
        <v>0</v>
      </c>
      <c r="DF374" s="409"/>
      <c r="DG374" s="398">
        <f>IF(DF374=0,0,IF(LEN(CS374)=11,_xlfn.XLOOKUP(CS374,'Dispensed Ink Rates'!C:C,'Dispensed Ink Rates'!CS:CS),VLOOKUP(CS374,'Jan-2026 rates'!$E:$F,2,0)))</f>
        <v>0</v>
      </c>
      <c r="DH374" s="409"/>
      <c r="DI374" s="398">
        <f>IF(DH374=0,0,IF(LEN(CT374)=11,_xlfn.XLOOKUP(CT374,'Dispensed Ink Rates'!C:C,'Dispensed Ink Rates'!CS:CS),VLOOKUP(CT374,'Jan-2026 rates'!$E:$F,2,0)))</f>
        <v>0</v>
      </c>
      <c r="DJ374" s="409"/>
      <c r="DK374" s="398">
        <f>IF(DJ374=0,0,IF(LEN(CU374)=11,_xlfn.XLOOKUP(CU374,'Dispensed Ink Rates'!C:C,'Dispensed Ink Rates'!CS:CS),VLOOKUP(CU374,'Jan-2026 rates'!$E:$F,2,0)))</f>
        <v>0</v>
      </c>
      <c r="DL374" s="409" t="s">
        <v>1443</v>
      </c>
      <c r="DM374" s="409">
        <v>30</v>
      </c>
      <c r="DN374" s="411">
        <f t="shared" si="218"/>
        <v>0</v>
      </c>
      <c r="DO374" s="411">
        <f t="shared" si="219"/>
        <v>63.343999999999994</v>
      </c>
      <c r="DP374" s="410">
        <f t="shared" si="220"/>
        <v>0</v>
      </c>
      <c r="DQ374" s="405" t="s">
        <v>546</v>
      </c>
      <c r="DR374" s="409" t="s">
        <v>4853</v>
      </c>
      <c r="DS374" s="420" t="str">
        <f t="shared" si="186"/>
        <v>FLINTSL - REFLEX BLUE</v>
      </c>
      <c r="DT374" s="409">
        <v>23</v>
      </c>
      <c r="DU374" s="411">
        <f>IF(DT374=0,0,IF($LB374=70%,VLOOKUP($DS374,'Jan-2026 rates'!$L:$R,4,0),IF($LB374=65%,VLOOKUP($DS374,'Jan-2026 rates'!$L:$R,4,0),IF($LB374=40%,VLOOKUP($DS374,'Jan-2026 rates'!$L:$R,5,0),IF($LB374=30%,VLOOKUP($DS374,'Jan-2026 rates'!$L:$R,6,0),IF($LB374=100%,VLOOKUP($DS374,'Jan-2026 rates'!$L:$R,7,0),IF($LB374=60%,VLOOKUP($DS374,'Jan-2026 rates'!$L:$S,8,0),IF($LB374=80%,VLOOKUP($DS374,'Jan-2026 rates'!L:T,9,0),0))))))))</f>
        <v>0</v>
      </c>
      <c r="DV374" s="412"/>
      <c r="DW374" s="409"/>
      <c r="DX374" s="411">
        <f>IF(DW374=0,0,IF($LB374=70%,VLOOKUP($DS374,'Jan-2026 rates'!$L:$R,4,0),IF($LB374=65%,VLOOKUP($DS374,'Jan-2026 rates'!$L:$R,4,0),IF($LB374=40%,VLOOKUP($DS374,'Jan-2026 rates'!$L:$R,5,0),IF($LB374=30%,VLOOKUP($DS374,'Jan-2026 rates'!$L:$R,6,0),IF($LB374=100%,VLOOKUP($DS374,'Jan-2026 rates'!$L:$R,7,0),IF($LB374=60%,VLOOKUP($DS374,'Jan-2026 rates'!$L:$S,8,0),IF($LB374=80%,VLOOKUP($DS374,'Jan-2026 rates'!L:T,9,0),0))))))))</f>
        <v>0</v>
      </c>
      <c r="DY374" s="413">
        <v>26527000014</v>
      </c>
      <c r="DZ374" s="413">
        <v>26525000002</v>
      </c>
      <c r="EA374" s="412"/>
      <c r="EB374" s="412"/>
      <c r="EC374" s="412"/>
      <c r="ED374" s="412"/>
      <c r="EE374" s="412"/>
      <c r="EF374" s="412"/>
      <c r="EG374" s="409">
        <v>2</v>
      </c>
      <c r="EH374" s="398" t="e">
        <f>IF(EG374=0,0,IF(LEN(DY374)=11,_xlfn.XLOOKUP(DY374,'Dispensed Ink Rates'!C:C,'Dispensed Ink Rates'!CS:CS),VLOOKUP(DY374,'Jan-2026 rates'!$E:$F,2,0)))</f>
        <v>#N/A</v>
      </c>
      <c r="EI374" s="409">
        <v>2</v>
      </c>
      <c r="EJ374" s="398" t="e">
        <f>IF(EI374=0,0,IF(LEN(DZ374)=11,_xlfn.XLOOKUP(DZ374,'Dispensed Ink Rates'!C:C,'Dispensed Ink Rates'!CS:CS),VLOOKUP(DZ374,'Jan-2026 rates'!$E:$F,2,0)))</f>
        <v>#N/A</v>
      </c>
      <c r="EK374" s="409"/>
      <c r="EL374" s="398">
        <f>IF(EK374=0,0,IF(LEN(EA374)=11,_xlfn.XLOOKUP(EA374,'Dispensed Ink Rates'!C:C,'Dispensed Ink Rates'!CS:CS),VLOOKUP(EA374,'Jan-2026 rates'!$E:$F,2,0)))</f>
        <v>0</v>
      </c>
      <c r="EM374" s="409"/>
      <c r="EN374" s="398">
        <f>IF(EM374=0,0,IF(LEN(EB374)=11,_xlfn.XLOOKUP(EB374,'Dispensed Ink Rates'!C:C,'Dispensed Ink Rates'!CS:CS),VLOOKUP(EB374,'Jan-2026 rates'!$E:$F,2,0)))</f>
        <v>0</v>
      </c>
      <c r="EO374" s="409"/>
      <c r="EP374" s="398">
        <f>IF(EO374=0,0,IF(LEN(EC374)=11,_xlfn.XLOOKUP(EC374,'Dispensed Ink Rates'!C:C,'Dispensed Ink Rates'!CS:CS),VLOOKUP(EC374,'Jan-2026 rates'!$E:$F,2,0)))</f>
        <v>0</v>
      </c>
      <c r="EQ374" s="409"/>
      <c r="ER374" s="398">
        <f>IF(EQ374=0,0,IF(LEN(ED374)=11,_xlfn.XLOOKUP(ED374,'Dispensed Ink Rates'!C:C,'Dispensed Ink Rates'!CS:CS),VLOOKUP(ED374,'Jan-2026 rates'!$E:$F,2,0)))</f>
        <v>0</v>
      </c>
      <c r="ES374" s="409"/>
      <c r="ET374" s="398">
        <f>IF(ES374=0,0,IF(LEN(EE374)=11,_xlfn.XLOOKUP(EE374,'Dispensed Ink Rates'!C:C,'Dispensed Ink Rates'!CS:CS),VLOOKUP(EE374,'Jan-2026 rates'!$E:$F,2,0)))</f>
        <v>0</v>
      </c>
      <c r="EU374" s="409"/>
      <c r="EV374" s="398">
        <f>IF(EU374=0,0,IF(LEN(EF374)=11,_xlfn.XLOOKUP(EF374,'Dispensed Ink Rates'!C:C,'Dispensed Ink Rates'!CS:CS),VLOOKUP(EF374,'Jan-2026 rates'!$E:$F,2,0)))</f>
        <v>0</v>
      </c>
      <c r="EW374" s="409" t="s">
        <v>1443</v>
      </c>
      <c r="EX374" s="409">
        <v>26</v>
      </c>
      <c r="EY374" s="411">
        <f t="shared" si="221"/>
        <v>0</v>
      </c>
      <c r="EZ374" s="411">
        <f t="shared" si="222"/>
        <v>5.4480000000000004</v>
      </c>
      <c r="FA374" s="410">
        <f t="shared" si="223"/>
        <v>0</v>
      </c>
      <c r="FB374" s="405" t="s">
        <v>855</v>
      </c>
      <c r="FC374" s="409" t="s">
        <v>4855</v>
      </c>
      <c r="FD374" s="420" t="str">
        <f t="shared" si="187"/>
        <v>FLINTSL - CYAN</v>
      </c>
      <c r="FE374" s="409">
        <v>22</v>
      </c>
      <c r="FF374" s="411">
        <f>IF(FE374=0,0,IF($LB374=70%,VLOOKUP($FD374,'Jan-2026 rates'!$L:$R,4,0),IF($LB374=65%,VLOOKUP($FD374,'Jan-2026 rates'!$L:$R,4,0),IF($LB374=40%,VLOOKUP($FD374,'Jan-2026 rates'!$L:$R,5,0),IF($LB374=30%,VLOOKUP($FD374,'Jan-2026 rates'!$L:$R,6,0),IF($LB374=100%,VLOOKUP($FD374,'Jan-2026 rates'!$L:$R,7,0),IF($LB374=60%,VLOOKUP($FD374,'Jan-2026 rates'!$L:$S,8,0),IF($LB374=80%,VLOOKUP($FD374,'Jan-2026 rates'!L:T,9,0),0))))))))</f>
        <v>0</v>
      </c>
      <c r="FG374" s="412"/>
      <c r="FH374" s="409"/>
      <c r="FI374" s="411">
        <f>IF(FH374=0,0,IF($LB374=70%,VLOOKUP($FD374,'Jan-2026 rates'!$L:$R,4,0),IF($LB374=65%,VLOOKUP($FD374,'Jan-2026 rates'!$L:$R,4,0),IF($LB374=40%,VLOOKUP($FD374,'Jan-2026 rates'!$L:$R,5,0),IF($LB374=30%,VLOOKUP($FD374,'Jan-2026 rates'!$L:$R,6,0),IF($LB374=100%,VLOOKUP($FD374,'Jan-2026 rates'!$L:$R,7,0),IF($LB374=60%,VLOOKUP($FD374,'Jan-2026 rates'!$L:$S,8,0),IF($LB374=80%,VLOOKUP($FD374,'Jan-2026 rates'!L:T,9,0),0))))))))</f>
        <v>0</v>
      </c>
      <c r="FJ374" s="413">
        <v>26526000010</v>
      </c>
      <c r="FK374" s="413"/>
      <c r="FL374" s="413"/>
      <c r="FM374" s="412"/>
      <c r="FN374" s="412"/>
      <c r="FO374" s="412"/>
      <c r="FP374" s="412"/>
      <c r="FQ374" s="412"/>
      <c r="FR374" s="409">
        <f>3+1</f>
        <v>4</v>
      </c>
      <c r="FS374" s="398" t="e">
        <f>IF(FR374=0,0,IF(LEN(FJ374)=11,_xlfn.XLOOKUP(FJ374,'Dispensed Ink Rates'!C:C,'Dispensed Ink Rates'!CS:CS),VLOOKUP(FJ374,'Jan-2026 rates'!$E:$F,2,0)))</f>
        <v>#N/A</v>
      </c>
      <c r="FT374" s="409"/>
      <c r="FU374" s="398">
        <f>IF(FT374=0,0,IF(LEN(FK374)=11,_xlfn.XLOOKUP(FK374,'Dispensed Ink Rates'!C:C,'Dispensed Ink Rates'!CS:CS),VLOOKUP(FK374,'Jan-2026 rates'!$E:$F,2,0)))</f>
        <v>0</v>
      </c>
      <c r="FV374" s="409"/>
      <c r="FW374" s="398">
        <f>IF(FV374=0,0,IF(LEN(FL374)=11,_xlfn.XLOOKUP(FL374,'Dispensed Ink Rates'!C:C,'Dispensed Ink Rates'!CS:CS),VLOOKUP(FL374,'Jan-2026 rates'!$E:$F,2,0)))</f>
        <v>0</v>
      </c>
      <c r="FX374" s="409"/>
      <c r="FY374" s="398">
        <f>IF(FX374=0,0,IF(LEN(FM374)=11,_xlfn.XLOOKUP(FM374,'Dispensed Ink Rates'!C:C,'Dispensed Ink Rates'!CS:CS),VLOOKUP(FM374,'Jan-2026 rates'!$E:$F,2,0)))</f>
        <v>0</v>
      </c>
      <c r="FZ374" s="409"/>
      <c r="GA374" s="398">
        <f>IF(FZ374=0,0,IF(LEN(FN374)=11,_xlfn.XLOOKUP(FN374,'Dispensed Ink Rates'!C:C,'Dispensed Ink Rates'!CS:CS),VLOOKUP(FN374,'Jan-2026 rates'!$E:$F,2,0)))</f>
        <v>0</v>
      </c>
      <c r="GB374" s="409"/>
      <c r="GC374" s="398">
        <f>IF(GB374=0,0,IF(LEN(FO374)=11,_xlfn.XLOOKUP(FO374,'Dispensed Ink Rates'!C:C,'Dispensed Ink Rates'!CS:CS),VLOOKUP(FO374,'Jan-2026 rates'!$E:$F,2,0)))</f>
        <v>0</v>
      </c>
      <c r="GD374" s="409"/>
      <c r="GE374" s="398">
        <f>IF(GD374=0,0,IF(LEN(FP374)=11,_xlfn.XLOOKUP(FP374,'Dispensed Ink Rates'!C:C,'Dispensed Ink Rates'!CS:CS),VLOOKUP(FP374,'Jan-2026 rates'!$E:$F,2,0)))</f>
        <v>0</v>
      </c>
      <c r="GF374" s="409"/>
      <c r="GG374" s="398">
        <f>IF(GF374=0,0,IF(LEN(FQ374)=11,_xlfn.XLOOKUP(FQ374,'Dispensed Ink Rates'!C:C,'Dispensed Ink Rates'!CS:CS),VLOOKUP(FQ374,'Jan-2026 rates'!$E:$F,2,0)))</f>
        <v>0</v>
      </c>
      <c r="GH374" s="409" t="s">
        <v>1443</v>
      </c>
      <c r="GI374" s="409">
        <v>23</v>
      </c>
      <c r="GJ374" s="411">
        <f t="shared" si="224"/>
        <v>0</v>
      </c>
      <c r="GK374" s="411">
        <f t="shared" si="225"/>
        <v>7.4480000000000004</v>
      </c>
      <c r="GL374" s="410">
        <f t="shared" si="226"/>
        <v>0</v>
      </c>
      <c r="GM374" s="405" t="s">
        <v>544</v>
      </c>
      <c r="GN374" s="409" t="s">
        <v>4856</v>
      </c>
      <c r="GO374" s="420" t="str">
        <f t="shared" si="188"/>
        <v>FLINTSL - MAGENTA</v>
      </c>
      <c r="GP374" s="409">
        <v>30</v>
      </c>
      <c r="GQ374" s="411">
        <f>IF(GP374=0,0,IF($LB374=70%,VLOOKUP($GO374,'Jan-2026 rates'!$L:$R,4,0),IF($LB374=65%,VLOOKUP($GO374,'Jan-2026 rates'!$L:$R,4,0),IF($LB374=40%,VLOOKUP($GO374,'Jan-2026 rates'!$L:$R,5,0),IF($LB374=30%,VLOOKUP($GO374,'Jan-2026 rates'!$L:$R,6,0),IF($LB374=100%,VLOOKUP($GO374,'Jan-2026 rates'!$L:$R,7,0),IF($LB374=60%,VLOOKUP($GO374,'Jan-2026 rates'!$L:$S,8,0),IF($LB374=80%,VLOOKUP($GO374,'Jan-2026 rates'!L:T,9,0),0))))))))</f>
        <v>0</v>
      </c>
      <c r="GR374" s="412"/>
      <c r="GS374" s="409"/>
      <c r="GT374" s="411">
        <f>IF(GS374=0,0,IF($LB374=70%,VLOOKUP($GO374,'Jan-2026 rates'!$L:$R,4,0),IF($LB374=65%,VLOOKUP($GO374,'Jan-2026 rates'!$L:$R,4,0),IF($LB374=40%,VLOOKUP($GO374,'Jan-2026 rates'!$L:$R,5,0),IF($LB374=30%,VLOOKUP($GO374,'Jan-2026 rates'!$L:$R,6,0),IF($LB374=100%,VLOOKUP($GO374,'Jan-2026 rates'!$L:$R,7,0),IF($LB374=60%,VLOOKUP($GO374,'Jan-2026 rates'!$L:$S,8,0),IF($LB374=80%,VLOOKUP($GO374,'Jan-2026 rates'!L:T,9,0),0))))))))</f>
        <v>0</v>
      </c>
      <c r="GU374" s="413">
        <v>26529000018</v>
      </c>
      <c r="GV374" s="413" t="s">
        <v>1266</v>
      </c>
      <c r="GW374" s="412"/>
      <c r="GX374" s="412"/>
      <c r="GY374" s="412"/>
      <c r="GZ374" s="412"/>
      <c r="HA374" s="412"/>
      <c r="HB374" s="412"/>
      <c r="HC374" s="409">
        <v>5</v>
      </c>
      <c r="HD374" s="398" t="e">
        <f>IF(HC374=0,0,IF(LEN(GU374)=11,_xlfn.XLOOKUP(GU374,'Dispensed Ink Rates'!C:C,'Dispensed Ink Rates'!CS:CS),VLOOKUP(GU374,'Jan-2026 rates'!$E:$F,2,0)))</f>
        <v>#N/A</v>
      </c>
      <c r="HE374" s="409">
        <v>4</v>
      </c>
      <c r="HF374" s="398">
        <f>IF(HE374=0,0,IF(LEN(GV374)=11,_xlfn.XLOOKUP(GV374,'Dispensed Ink Rates'!C:C,'Dispensed Ink Rates'!CS:CS),VLOOKUP(GV374,'Jan-2026 rates'!$E:$F,2,0)))</f>
        <v>0</v>
      </c>
      <c r="HG374" s="409"/>
      <c r="HH374" s="398">
        <f>IF(HG374=0,0,IF(LEN(GW374)=11,_xlfn.XLOOKUP(GW374,'Dispensed Ink Rates'!C:C,'Dispensed Ink Rates'!CS:CS),VLOOKUP(GW374,'Jan-2026 rates'!$E:$F,2,0)))</f>
        <v>0</v>
      </c>
      <c r="HI374" s="409"/>
      <c r="HJ374" s="398">
        <f>IF(HI374=0,0,IF(LEN(GX374)=11,_xlfn.XLOOKUP(GX374,'Dispensed Ink Rates'!C:C,'Dispensed Ink Rates'!CS:CS),VLOOKUP(GX374,'Jan-2026 rates'!$E:$F,2,0)))</f>
        <v>0</v>
      </c>
      <c r="HK374" s="409"/>
      <c r="HL374" s="398">
        <f>IF(HK374=0,0,IF(LEN(GY374)=11,_xlfn.XLOOKUP(GY374,'Dispensed Ink Rates'!C:C,'Dispensed Ink Rates'!CS:CS),VLOOKUP(GY374,'Jan-2026 rates'!$E:$F,2,0)))</f>
        <v>0</v>
      </c>
      <c r="HM374" s="409"/>
      <c r="HN374" s="398">
        <f>IF(HM374=0,0,IF(LEN(GZ374)=11,_xlfn.XLOOKUP(GZ374,'Dispensed Ink Rates'!C:C,'Dispensed Ink Rates'!CS:CS),VLOOKUP(GZ374,'Jan-2026 rates'!$E:$F,2,0)))</f>
        <v>0</v>
      </c>
      <c r="HO374" s="409"/>
      <c r="HP374" s="398">
        <f>IF(HO374=0,0,IF(LEN(HA374)=11,_xlfn.XLOOKUP(HA374,'Dispensed Ink Rates'!C:C,'Dispensed Ink Rates'!CS:CS),VLOOKUP(HA374,'Jan-2026 rates'!$E:$F,2,0)))</f>
        <v>0</v>
      </c>
      <c r="HQ374" s="409"/>
      <c r="HR374" s="398">
        <f>IF(HQ374=0,0,IF(LEN(HB374)=11,_xlfn.XLOOKUP(HB374,'Dispensed Ink Rates'!C:C,'Dispensed Ink Rates'!CS:CS),VLOOKUP(HB374,'Jan-2026 rates'!$E:$F,2,0)))</f>
        <v>0</v>
      </c>
      <c r="HS374" s="409" t="s">
        <v>1443</v>
      </c>
      <c r="HT374" s="409">
        <v>22</v>
      </c>
      <c r="HU374" s="411">
        <f t="shared" si="227"/>
        <v>0</v>
      </c>
      <c r="HV374" s="411">
        <f t="shared" si="228"/>
        <v>28.120000000000005</v>
      </c>
      <c r="HW374" s="414">
        <f t="shared" si="229"/>
        <v>0</v>
      </c>
      <c r="HX374" s="405" t="s">
        <v>545</v>
      </c>
      <c r="HY374" s="409" t="s">
        <v>4857</v>
      </c>
      <c r="HZ374" s="420" t="str">
        <f t="shared" si="189"/>
        <v>FLINTSL - YELLOW</v>
      </c>
      <c r="IA374" s="409">
        <v>29</v>
      </c>
      <c r="IB374" s="411">
        <f>IF(IA374=0,0,IF($LB374=70%,VLOOKUP($HZ374,'Jan-2026 rates'!$L:$R,4,0),IF($LB374=65%,VLOOKUP($HZ374,'Jan-2026 rates'!$L:$R,4,0),IF($LB374=40%,VLOOKUP($HZ374,'Jan-2026 rates'!$L:$R,5,0),IF($LB374=30%,VLOOKUP($HZ374,'Jan-2026 rates'!$L:$R,6,0),IF($LB374=100%,VLOOKUP($HZ374,'Jan-2026 rates'!$L:$R,7,0),IF($LB374=60%,VLOOKUP($HZ374,'Jan-2026 rates'!$L:$S,8,0),IF($LB374=80%,VLOOKUP($HZ374,'Jan-2026 rates'!L:T,9,0),0))))))))</f>
        <v>0</v>
      </c>
      <c r="IC374" s="412"/>
      <c r="ID374" s="409"/>
      <c r="IE374" s="411">
        <f>IF(ID374=0,0,IF($LB374=70%,VLOOKUP($HZ374,'Jan-2026 rates'!$L:$R,4,0),IF($LB374=65%,VLOOKUP($HZ374,'Jan-2026 rates'!$L:$R,4,0),IF($LB374=40%,VLOOKUP($HZ374,'Jan-2026 rates'!$L:$R,5,0),IF($LB374=30%,VLOOKUP($HZ374,'Jan-2026 rates'!$L:$R,6,0),IF($LB374=100%,VLOOKUP($HZ374,'Jan-2026 rates'!$L:$R,7,0),IF($LB374=60%,VLOOKUP($HZ374,'Jan-2026 rates'!$L:$S,8,0),IF($LB374=80%,VLOOKUP($HZ374,'Jan-2026 rates'!L:T,9,0),0))))))))</f>
        <v>0</v>
      </c>
      <c r="IF374" s="412">
        <v>26529000013</v>
      </c>
      <c r="IG374" s="413" t="s">
        <v>1266</v>
      </c>
      <c r="IH374" s="412"/>
      <c r="II374" s="412"/>
      <c r="IJ374" s="412"/>
      <c r="IK374" s="412"/>
      <c r="IL374" s="412"/>
      <c r="IM374" s="412"/>
      <c r="IN374" s="409">
        <v>15</v>
      </c>
      <c r="IO374" s="398" t="e">
        <f>IF(IN374=0,0,IF(LEN(IF374)=11,_xlfn.XLOOKUP(IF374,'Dispensed Ink Rates'!C:C,'Dispensed Ink Rates'!CS:CS),VLOOKUP(IF374,'Jan-2026 rates'!$E:$F,2,0)))</f>
        <v>#N/A</v>
      </c>
      <c r="IP374" s="409">
        <v>5</v>
      </c>
      <c r="IQ374" s="398">
        <f>IF(IP374=0,0,IF(LEN(IG374)=11,_xlfn.XLOOKUP(IG374,'Dispensed Ink Rates'!C:C,'Dispensed Ink Rates'!CS:CS),VLOOKUP(IG374,'Jan-2026 rates'!$E:$F,2,0)))</f>
        <v>0</v>
      </c>
      <c r="IR374" s="409"/>
      <c r="IS374" s="398">
        <f>IF(IR374=0,0,IF(LEN(IH374)=11,_xlfn.XLOOKUP(IH374,'Dispensed Ink Rates'!C:C,'Dispensed Ink Rates'!CS:CS),VLOOKUP(IH374,'Jan-2026 rates'!$E:$F,2,0)))</f>
        <v>0</v>
      </c>
      <c r="IT374" s="409"/>
      <c r="IU374" s="398">
        <f>IF(IT374=0,0,IF(LEN(II374)=11,_xlfn.XLOOKUP(II374,'Dispensed Ink Rates'!C:C,'Dispensed Ink Rates'!CS:CS),VLOOKUP(II374,'Jan-2026 rates'!$E:$F,2,0)))</f>
        <v>0</v>
      </c>
      <c r="IV374" s="409"/>
      <c r="IW374" s="398">
        <f>IF(IV374=0,0,IF(LEN(IJ374)=11,_xlfn.XLOOKUP(IJ374,'Dispensed Ink Rates'!C:C,'Dispensed Ink Rates'!CS:CS),VLOOKUP(IJ374,'Jan-2026 rates'!$E:$F,2,0)))</f>
        <v>0</v>
      </c>
      <c r="IX374" s="409"/>
      <c r="IY374" s="398">
        <f>IF(IX374=0,0,IF(LEN(IK374)=11,_xlfn.XLOOKUP(IK374,'Dispensed Ink Rates'!C:C,'Dispensed Ink Rates'!CS:CS),VLOOKUP(IK374,'Jan-2026 rates'!$E:$F,2,0)))</f>
        <v>0</v>
      </c>
      <c r="IZ374" s="409"/>
      <c r="JA374" s="398">
        <f>IF(IZ374=0,0,IF(LEN(IL374)=11,_xlfn.XLOOKUP(IL374,'Dispensed Ink Rates'!C:C,'Dispensed Ink Rates'!CS:CS),VLOOKUP(IL374,'Jan-2026 rates'!$E:$F,2,0)))</f>
        <v>0</v>
      </c>
      <c r="JB374" s="409"/>
      <c r="JC374" s="398">
        <f>IF(JB374=0,0,IF(LEN(IM374)=11,_xlfn.XLOOKUP(IM374,'Dispensed Ink Rates'!C:C,'Dispensed Ink Rates'!CS:CS),VLOOKUP(IM374,'Jan-2026 rates'!$E:$F,2,0)))</f>
        <v>0</v>
      </c>
      <c r="JD374" s="409" t="s">
        <v>1443</v>
      </c>
      <c r="JE374" s="409">
        <v>22</v>
      </c>
      <c r="JF374" s="411">
        <f t="shared" si="230"/>
        <v>0</v>
      </c>
      <c r="JG374" s="411">
        <f t="shared" si="231"/>
        <v>49.240000000000009</v>
      </c>
      <c r="JH374" s="410">
        <f t="shared" si="232"/>
        <v>0</v>
      </c>
      <c r="JI374" s="405" t="s">
        <v>856</v>
      </c>
      <c r="JJ374" s="409" t="s">
        <v>4858</v>
      </c>
      <c r="JK374" s="420" t="str">
        <f t="shared" si="190"/>
        <v>FLINTSL - WHITE</v>
      </c>
      <c r="JL374" s="409">
        <v>30</v>
      </c>
      <c r="JM374" s="411">
        <f>IF(JL374=0,0,IF($LB374=70%,VLOOKUP($JK374,'Jan-2026 rates'!$L:$R,4,0),IF($LB374=65%,VLOOKUP($JK374,'Jan-2026 rates'!$L:$R,4,0),IF($LB374=40%,VLOOKUP($JK374,'Jan-2026 rates'!$L:$R,5,0),IF($LB374=30%,VLOOKUP($JK374,'Jan-2026 rates'!$L:$R,6,0),IF($LB374=100%,VLOOKUP($JK374,'Jan-2026 rates'!$L:$R,7,0),IF($LB374=60%,VLOOKUP($JK374,'Jan-2026 rates'!$L:$S,8,0),IF($LB374=80%,VLOOKUP($JK374,'Jan-2026 rates'!L:T,9,0),0))))))))</f>
        <v>0</v>
      </c>
      <c r="JN374" s="412"/>
      <c r="JO374" s="409"/>
      <c r="JP374" s="411">
        <f>IF(JO374=0,0,IF($LB374=70%,VLOOKUP($JK374,'Jan-2026 rates'!$L:$R,4,0),IF($LB374=65%,VLOOKUP($JK374,'Jan-2026 rates'!$L:$R,4,0),IF($LB374=40%,VLOOKUP($JK374,'Jan-2026 rates'!$L:$R,5,0),IF($LB374=30%,VLOOKUP($JK374,'Jan-2026 rates'!$L:$R,6,0),IF($LB374=100%,VLOOKUP($JK374,'Jan-2026 rates'!$L:$R,7,0),IF($LB374=60%,VLOOKUP($JK374,'Jan-2026 rates'!$L:$S,8,0),IF($LB374=80%,VLOOKUP($JK374,'Jan-2026 rates'!L:T,9,0),0))))))))</f>
        <v>0</v>
      </c>
      <c r="JQ374" s="413" t="s">
        <v>484</v>
      </c>
      <c r="JR374" s="412"/>
      <c r="JS374" s="413"/>
      <c r="JT374" s="413"/>
      <c r="JU374" s="412"/>
      <c r="JV374" s="412"/>
      <c r="JW374" s="412"/>
      <c r="JX374" s="412"/>
      <c r="JY374" s="409">
        <f>100+60</f>
        <v>160</v>
      </c>
      <c r="JZ374" s="398">
        <f>IF(JY374=0,0,IF(LEN(JQ374)=11,_xlfn.XLOOKUP(JQ374,'Dispensed Ink Rates'!C:C,'Dispensed Ink Rates'!CS:CS),VLOOKUP(JQ374,'Jan-2026 rates'!$E:$F,2,0)))</f>
        <v>0</v>
      </c>
      <c r="KA374" s="409"/>
      <c r="KB374" s="398">
        <f>IF(KA374=0,0,IF(LEN(JR374)=11,_xlfn.XLOOKUP(JR374,'Dispensed Ink Rates'!C:C,'Dispensed Ink Rates'!CS:CS),VLOOKUP(JR374,'Jan-2026 rates'!$E:$F,2,0)))</f>
        <v>0</v>
      </c>
      <c r="KC374" s="409"/>
      <c r="KD374" s="398">
        <f>IF(KC374=0,0,IF(LEN(JS374)=11,_xlfn.XLOOKUP(JS374,'Dispensed Ink Rates'!C:C,'Dispensed Ink Rates'!CS:CS),VLOOKUP(JS374,'Jan-2026 rates'!$E:$F,2,0)))</f>
        <v>0</v>
      </c>
      <c r="KE374" s="409"/>
      <c r="KF374" s="398">
        <f>IF(KE374=0,0,IF(LEN(JT374)=11,_xlfn.XLOOKUP(JT374,'Dispensed Ink Rates'!C:C,'Dispensed Ink Rates'!CS:CS),VLOOKUP(JT374,'Jan-2026 rates'!$E:$F,2,0)))</f>
        <v>0</v>
      </c>
      <c r="KG374" s="409"/>
      <c r="KH374" s="398">
        <f>IF(KG374=0,0,IF(LEN(JU374)=11,_xlfn.XLOOKUP(JU374,'Dispensed Ink Rates'!C:C,'Dispensed Ink Rates'!CS:CS),VLOOKUP(JU374,'Jan-2026 rates'!$E:$F,2,0)))</f>
        <v>0</v>
      </c>
      <c r="KI374" s="409"/>
      <c r="KJ374" s="398">
        <f>IF(KI374=0,0,IF(LEN(JV374)=11,_xlfn.XLOOKUP(JV374,'Dispensed Ink Rates'!C:C,'Dispensed Ink Rates'!CS:CS),VLOOKUP(JV374,'Jan-2026 rates'!$E:$F,2,0)))</f>
        <v>0</v>
      </c>
      <c r="KK374" s="409"/>
      <c r="KL374" s="398">
        <f>IF(KK374=0,0,IF(LEN(JW374)=11,_xlfn.XLOOKUP(JW374,'Dispensed Ink Rates'!C:C,'Dispensed Ink Rates'!CS:CS),VLOOKUP(JW374,'Jan-2026 rates'!$E:$F,2,0)))</f>
        <v>0</v>
      </c>
      <c r="KM374" s="428"/>
      <c r="KN374" s="398">
        <f>IF(KM374=0,0,IF(LEN(JX374)=11,_xlfn.XLOOKUP(JX374,'Dispensed Ink Rates'!C:C,'Dispensed Ink Rates'!CS:CS),VLOOKUP(JX374,'Jan-2026 rates'!$E:$F,2,0)))</f>
        <v>0</v>
      </c>
      <c r="KO374" s="409" t="s">
        <v>1443</v>
      </c>
      <c r="KP374" s="409">
        <v>30</v>
      </c>
      <c r="KQ374" s="411">
        <f t="shared" si="233"/>
        <v>0</v>
      </c>
      <c r="KR374" s="411">
        <f t="shared" si="234"/>
        <v>382.4</v>
      </c>
      <c r="KS374" s="410">
        <f t="shared" si="235"/>
        <v>0</v>
      </c>
      <c r="KT374" s="409">
        <v>0</v>
      </c>
      <c r="KU374" s="409">
        <v>0</v>
      </c>
      <c r="KV374" s="409">
        <v>6</v>
      </c>
      <c r="KW374" s="409">
        <v>2</v>
      </c>
      <c r="KX374" s="409">
        <v>2</v>
      </c>
      <c r="KY374" s="409">
        <v>5</v>
      </c>
      <c r="KZ374" s="409">
        <v>10</v>
      </c>
      <c r="LA374" s="409">
        <f>40+60</f>
        <v>100</v>
      </c>
      <c r="LB374" s="415">
        <v>0.8</v>
      </c>
      <c r="LC374" s="415">
        <v>0.2</v>
      </c>
      <c r="LD374" s="424"/>
      <c r="LE374" s="415"/>
      <c r="LF374" s="415"/>
      <c r="LG374" s="409">
        <v>0</v>
      </c>
      <c r="LH374" s="409">
        <f>100+70+80+20+5+3</f>
        <v>278</v>
      </c>
      <c r="LI374" s="409">
        <v>0</v>
      </c>
      <c r="LJ374" s="409">
        <v>0</v>
      </c>
      <c r="LK374" s="416">
        <f t="shared" si="191"/>
        <v>278</v>
      </c>
      <c r="LL374" s="416">
        <f t="shared" si="349"/>
        <v>278</v>
      </c>
      <c r="LM374" s="417">
        <f t="shared" si="193"/>
        <v>222.4</v>
      </c>
      <c r="LN374" s="417">
        <f>VLOOKUP($LM$8,'Jan-2026 rates'!$H:$I,2,0)</f>
        <v>0</v>
      </c>
      <c r="LO374" s="417">
        <f t="shared" si="194"/>
        <v>55.6</v>
      </c>
      <c r="LP374" s="417">
        <f>VLOOKUP($LO$8,'Jan-2026 rates'!$H:$I,2,0)</f>
        <v>0</v>
      </c>
      <c r="LQ374" s="417">
        <f t="shared" si="195"/>
        <v>0</v>
      </c>
      <c r="LR374" s="417">
        <f>VLOOKUP($LQ$8,'Jan-2026 rates'!$H:$I,2,0)</f>
        <v>0</v>
      </c>
      <c r="LS374" s="417">
        <f t="shared" si="196"/>
        <v>0</v>
      </c>
      <c r="LT374" s="417">
        <f>VLOOKUP($LS$8,'Jan-2026 rates'!$H:$I,2,0)</f>
        <v>0</v>
      </c>
      <c r="LU374" s="417">
        <f t="shared" si="197"/>
        <v>0</v>
      </c>
      <c r="LV374" s="417">
        <f>VLOOKUP($LU$8,'Jan-2026 rates'!$H:$I,2,0)</f>
        <v>0</v>
      </c>
      <c r="LW374" s="417">
        <f t="shared" si="198"/>
        <v>0</v>
      </c>
      <c r="LX374" s="417">
        <f t="shared" si="199"/>
        <v>0</v>
      </c>
      <c r="LY374" s="418">
        <f t="shared" si="200"/>
        <v>0</v>
      </c>
      <c r="LZ374" s="417"/>
      <c r="MA374" s="435">
        <f t="shared" si="201"/>
        <v>280</v>
      </c>
      <c r="MB374" s="282">
        <f t="shared" si="202"/>
        <v>547</v>
      </c>
      <c r="MC374" s="283">
        <v>217</v>
      </c>
      <c r="MD374" s="284" t="str">
        <f t="shared" si="203"/>
        <v>FLINTSLINK PRODUCTFLINTSLFLINTSLFLINTSLFLINTSLFLINTSLFLINTSL</v>
      </c>
      <c r="ME374" s="293" t="str">
        <f t="shared" si="204"/>
        <v>+</v>
      </c>
      <c r="MF374" s="293" t="str">
        <f t="shared" si="205"/>
        <v>+</v>
      </c>
      <c r="MG374" s="293" t="str">
        <f t="shared" si="206"/>
        <v>+</v>
      </c>
      <c r="MH374" s="293" t="str">
        <f t="shared" si="207"/>
        <v>+</v>
      </c>
      <c r="MI374" s="293" t="str">
        <f t="shared" si="208"/>
        <v>+</v>
      </c>
      <c r="MJ374" s="293" t="str">
        <f t="shared" si="209"/>
        <v>+</v>
      </c>
      <c r="MK374" s="293" t="str">
        <f t="shared" si="210"/>
        <v>+</v>
      </c>
      <c r="ML374" s="293" t="str">
        <f t="shared" si="211"/>
        <v>+</v>
      </c>
      <c r="MM374" s="3" t="b">
        <f t="array" ref="MM374">OR(ME374:ML374="-")</f>
        <v>0</v>
      </c>
      <c r="MO374" s="401">
        <f t="shared" si="350"/>
        <v>58.880516684607109</v>
      </c>
      <c r="MP374" s="286"/>
      <c r="MR374" s="402">
        <f t="shared" si="351"/>
        <v>1.2403628117913831E-2</v>
      </c>
      <c r="MS374" s="400">
        <f t="shared" si="352"/>
        <v>0</v>
      </c>
      <c r="MT374" s="285"/>
      <c r="NH374" s="361"/>
      <c r="NJ374" s="282"/>
    </row>
    <row r="375" spans="1:374" ht="16.5">
      <c r="A375" s="403">
        <v>46051</v>
      </c>
      <c r="B375" s="404" t="s">
        <v>1018</v>
      </c>
      <c r="C375" s="405" t="s">
        <v>4859</v>
      </c>
      <c r="D375" s="404">
        <v>218</v>
      </c>
      <c r="E375" s="404">
        <v>463</v>
      </c>
      <c r="F375" s="407">
        <v>22000</v>
      </c>
      <c r="G375" s="407" t="s">
        <v>1016</v>
      </c>
      <c r="H375" s="408" t="s">
        <v>1017</v>
      </c>
      <c r="I375" s="409">
        <v>0.78</v>
      </c>
      <c r="J375" s="405" t="s">
        <v>543</v>
      </c>
      <c r="K375" s="404" t="s">
        <v>4860</v>
      </c>
      <c r="L375" s="419" t="str">
        <f t="shared" si="184"/>
        <v>FLINTSL - BLACK</v>
      </c>
      <c r="M375" s="404">
        <v>27</v>
      </c>
      <c r="N375" s="410">
        <f>IF(M375=0,0,IF($LB375=70%,VLOOKUP($L375,'Jan-2026 rates'!$L:$R,4,0),IF($LB375=65%,VLOOKUP($L375,'Jan-2026 rates'!$L:$R,4,0),IF($LB375=40%,VLOOKUP($L375,'Jan-2026 rates'!$L:$R,5,0),IF($LB375=30%,VLOOKUP($L375,'Jan-2026 rates'!$L:$R,6,0),IF($LB375=100%,VLOOKUP($L375,'Jan-2026 rates'!$L:$R,7,0),IF($LB375=60%,VLOOKUP($L375,'Jan-2026 rates'!$L:$S,8,0),IF($LB375=80%,VLOOKUP($L375,'Jan-2026 rates'!L:T,9,0),0))))))))</f>
        <v>0</v>
      </c>
      <c r="O375" s="406"/>
      <c r="P375" s="404"/>
      <c r="Q375" s="410">
        <f>IF(P375=0,0,IF($LB375=70%,VLOOKUP($L375,'Jan-2026 rates'!$L:$R,4,0),IF($LB375=65%,VLOOKUP($L375,'Jan-2026 rates'!$L:$R,4,0),IF($LB375=40%,VLOOKUP($L375,'Jan-2026 rates'!$L:$R,5,0),IF($LB375=30%,VLOOKUP($L375,'Jan-2026 rates'!$L:$R,6,0),IF($LB375=100%,VLOOKUP($L375,'Jan-2026 rates'!$L:$R,7,0),IF($LB375=60%,VLOOKUP($L375,'Jan-2026 rates'!$L:$S,8,0),IF($LB375=80%,VLOOKUP($L375,'Jan-2026 rates'!L:T,9,0),0))))))))</f>
        <v>0</v>
      </c>
      <c r="R375" s="406">
        <v>26530000023</v>
      </c>
      <c r="S375" s="406"/>
      <c r="T375" s="406"/>
      <c r="U375" s="406"/>
      <c r="V375" s="406"/>
      <c r="W375" s="406"/>
      <c r="X375" s="406"/>
      <c r="Y375" s="406"/>
      <c r="Z375" s="404">
        <v>3</v>
      </c>
      <c r="AA375" s="398" t="e">
        <f>IF(Z375=0,0,IF(LEN(R375)=11,_xlfn.XLOOKUP(R375,'Dispensed Ink Rates'!C:C,'Dispensed Ink Rates'!CS:CS),VLOOKUP(R375,'Jan-2026 rates'!$E:$F,2,0)))</f>
        <v>#N/A</v>
      </c>
      <c r="AB375" s="404"/>
      <c r="AC375" s="398">
        <f>IF(AB375=0,0,IF(LEN(S375)=11,_xlfn.XLOOKUP(S375,'Dispensed Ink Rates'!C:C,'Dispensed Ink Rates'!CS:CS),VLOOKUP(S375,'Jan-2026 rates'!$E:$F,2,0)))</f>
        <v>0</v>
      </c>
      <c r="AD375" s="404"/>
      <c r="AE375" s="398">
        <f>IF(AD375=0,0,IF(LEN(T375)=11,_xlfn.XLOOKUP(T375,'Dispensed Ink Rates'!C:C,'Dispensed Ink Rates'!CS:CS),VLOOKUP(T375,'Jan-2026 rates'!$E:$F,2,0)))</f>
        <v>0</v>
      </c>
      <c r="AF375" s="404"/>
      <c r="AG375" s="398">
        <f>IF(AF375=0,0,IF(LEN(U375)=11,_xlfn.XLOOKUP(U375,'Dispensed Ink Rates'!C:C,'Dispensed Ink Rates'!CS:CS),VLOOKUP(U375,'Jan-2026 rates'!$E:$F,2,0)))</f>
        <v>0</v>
      </c>
      <c r="AH375" s="404"/>
      <c r="AI375" s="398">
        <f>IF(AH375=0,0,IF(LEN(V375)=11,_xlfn.XLOOKUP(V375,'Dispensed Ink Rates'!C:C,'Dispensed Ink Rates'!CS:CS),VLOOKUP(V375,'Jan-2026 rates'!$E:$F,2,0)))</f>
        <v>0</v>
      </c>
      <c r="AJ375" s="404"/>
      <c r="AK375" s="398">
        <f>IF(AJ375=0,0,IF(LEN(W375)=11,_xlfn.XLOOKUP(W375,'Dispensed Ink Rates'!C:C,'Dispensed Ink Rates'!CS:CS),VLOOKUP(W375,'Jan-2026 rates'!$E:$F,2,0)))</f>
        <v>0</v>
      </c>
      <c r="AL375" s="404"/>
      <c r="AM375" s="398">
        <f>IF(AL375=0,0,IF(LEN(X375)=11,_xlfn.XLOOKUP(X375,'Dispensed Ink Rates'!C:C,'Dispensed Ink Rates'!CS:CS),VLOOKUP(X375,'Jan-2026 rates'!$E:$F,2,0)))</f>
        <v>0</v>
      </c>
      <c r="AN375" s="404"/>
      <c r="AO375" s="398">
        <f>IF(AN375=0,0,IF(LEN(Y375)=11,_xlfn.XLOOKUP(Y375,'Dispensed Ink Rates'!C:C,'Dispensed Ink Rates'!CS:CS),VLOOKUP(Y375,'Jan-2026 rates'!$E:$F,2,0)))</f>
        <v>0</v>
      </c>
      <c r="AP375" s="409" t="s">
        <v>1443</v>
      </c>
      <c r="AQ375" s="409">
        <v>26</v>
      </c>
      <c r="AR375" s="410">
        <f t="shared" si="212"/>
        <v>0</v>
      </c>
      <c r="AS375" s="411">
        <f t="shared" si="213"/>
        <v>9.9487179487179489</v>
      </c>
      <c r="AT375" s="410">
        <f t="shared" si="214"/>
        <v>0</v>
      </c>
      <c r="AU375" s="405" t="s">
        <v>857</v>
      </c>
      <c r="AV375" s="409"/>
      <c r="AW375" s="420" t="str">
        <f t="shared" si="348"/>
        <v>FLINTSL - RED</v>
      </c>
      <c r="AX375" s="409"/>
      <c r="AY375" s="411">
        <f>IF(AX375=0,0,IF($LB375=70%,VLOOKUP($AW375,'Jan-2026 rates'!$L:$R,4,0),IF($LB375=65%,VLOOKUP($AW375,'Jan-2026 rates'!$L:$R,4,0),IF($LB375=40%,VLOOKUP($AW375,'Jan-2026 rates'!$L:$R,5,0),IF($LB375=30%,VLOOKUP($AW375,'Jan-2026 rates'!$L:$R,6,0),IF($LB375=100%,VLOOKUP($AW375,'Jan-2026 rates'!$L:$R,7,0),IF($LB375=60%,VLOOKUP($AW375,'Jan-2026 rates'!$L:$S,8,0),IF($LB375=80%,VLOOKUP($AW375,'Jan-2026 rates'!L:T,9,0),0))))))))</f>
        <v>0</v>
      </c>
      <c r="AZ375" s="412"/>
      <c r="BA375" s="409"/>
      <c r="BB375" s="411">
        <f>IF(BA375=0,0,IF($LB375=70%,VLOOKUP($AW375,'Jan-2026 rates'!$L:$R,4,0),IF($LB375=65%,VLOOKUP($AW375,'Jan-2026 rates'!$L:$R,4,0),IF($LB375=40%,VLOOKUP($AW375,'Jan-2026 rates'!$L:$R,5,0),IF($LB375=30%,VLOOKUP($AW375,'Jan-2026 rates'!$L:$R,6,0),IF($LB375=100%,VLOOKUP($AW375,'Jan-2026 rates'!$L:$R,7,0),IF($LB375=60%,VLOOKUP($AW375,'Jan-2026 rates'!$L:$S,8,0),IF($LB375=80%,VLOOKUP($AW375,'Jan-2026 rates'!L:T,9,0),0))))))))</f>
        <v>0</v>
      </c>
      <c r="BC375" s="413">
        <v>26529000023</v>
      </c>
      <c r="BD375" s="412">
        <v>26527000012</v>
      </c>
      <c r="BE375" s="412"/>
      <c r="BF375" s="413"/>
      <c r="BG375" s="412"/>
      <c r="BH375" s="412"/>
      <c r="BI375" s="412"/>
      <c r="BJ375" s="412"/>
      <c r="BK375" s="409">
        <v>15</v>
      </c>
      <c r="BL375" s="398" t="e">
        <f>IF(BK375=0,0,IF(LEN(BC375)=11,_xlfn.XLOOKUP(BC375,'Dispensed Ink Rates'!C:C,'Dispensed Ink Rates'!CS:CS),VLOOKUP(BC375,'Jan-2026 rates'!$E:$F,2,0)))</f>
        <v>#N/A</v>
      </c>
      <c r="BM375" s="409">
        <v>6</v>
      </c>
      <c r="BN375" s="398" t="e">
        <f>IF(BM375=0,0,IF(LEN(BD375)=11,_xlfn.XLOOKUP(BD375,'Dispensed Ink Rates'!C:C,'Dispensed Ink Rates'!CS:CS),VLOOKUP(BD375,'Jan-2026 rates'!$E:$F,2,0)))</f>
        <v>#N/A</v>
      </c>
      <c r="BO375" s="409"/>
      <c r="BP375" s="398">
        <f>IF(BO375=0,0,IF(LEN(BE375)=11,_xlfn.XLOOKUP(BE375,'Dispensed Ink Rates'!C:C,'Dispensed Ink Rates'!CS:CS),VLOOKUP(BE375,'Jan-2026 rates'!$E:$F,2,0)))</f>
        <v>0</v>
      </c>
      <c r="BQ375" s="409"/>
      <c r="BR375" s="398">
        <f>IF(BQ375=0,0,IF(LEN(BF375)=11,_xlfn.XLOOKUP(BF375,'Dispensed Ink Rates'!C:C,'Dispensed Ink Rates'!CS:CS),VLOOKUP(BF375,'Jan-2026 rates'!$E:$F,2,0)))</f>
        <v>0</v>
      </c>
      <c r="BS375" s="409"/>
      <c r="BT375" s="398">
        <f>IF(BS375=0,0,IF(LEN(BG375)=11,_xlfn.XLOOKUP(BG375,'Dispensed Ink Rates'!C:C,'Dispensed Ink Rates'!CS:CS),VLOOKUP(BG375,'Jan-2026 rates'!$E:$F,2,0)))</f>
        <v>0</v>
      </c>
      <c r="BU375" s="409"/>
      <c r="BV375" s="398">
        <f>IF(BU375=0,0,IF(LEN(BH375)=11,_xlfn.XLOOKUP(BH375,'Dispensed Ink Rates'!C:C,'Dispensed Ink Rates'!CS:CS),VLOOKUP(BH375,'Jan-2026 rates'!$E:$F,2,0)))</f>
        <v>0</v>
      </c>
      <c r="BW375" s="409"/>
      <c r="BX375" s="398">
        <f>IF(BW375=0,0,IF(LEN(BI375)=11,_xlfn.XLOOKUP(BI375,'Dispensed Ink Rates'!C:C,'Dispensed Ink Rates'!CS:CS),VLOOKUP(BI375,'Jan-2026 rates'!$E:$F,2,0)))</f>
        <v>0</v>
      </c>
      <c r="BY375" s="409"/>
      <c r="BZ375" s="398">
        <f>IF(BY375=0,0,IF(LEN(BJ375)=11,_xlfn.XLOOKUP(BJ375,'Dispensed Ink Rates'!C:C,'Dispensed Ink Rates'!CS:CS),VLOOKUP(BJ375,'Jan-2026 rates'!$E:$F,2,0)))</f>
        <v>0</v>
      </c>
      <c r="CA375" s="409" t="s">
        <v>1443</v>
      </c>
      <c r="CB375" s="409">
        <v>22</v>
      </c>
      <c r="CC375" s="411">
        <f t="shared" si="215"/>
        <v>0</v>
      </c>
      <c r="CD375" s="411">
        <f t="shared" si="216"/>
        <v>28.743589743589737</v>
      </c>
      <c r="CE375" s="410">
        <f t="shared" si="217"/>
        <v>0</v>
      </c>
      <c r="CF375" s="404" t="s">
        <v>828</v>
      </c>
      <c r="CG375" s="409"/>
      <c r="CH375" s="420" t="str">
        <f t="shared" si="185"/>
        <v>FLINTSL - ORANGE</v>
      </c>
      <c r="CI375" s="409"/>
      <c r="CJ375" s="411">
        <f>IF(CI375=0,0,IF($LB375=70%,VLOOKUP($CH375,'Jan-2026 rates'!$L:$R,4,0),IF($LB375=65%,VLOOKUP($CH375,'Jan-2026 rates'!$L:$R,4,0),IF($LB375=40%,VLOOKUP($CH375,'Jan-2026 rates'!$L:$R,5,0),IF($LB375=30%,VLOOKUP($CH375,'Jan-2026 rates'!$L:$R,6,0),IF($LB375=100%,VLOOKUP($CH375,'Jan-2026 rates'!$L:$R,7,0),IF($LB375=60%,VLOOKUP($CH375,'Jan-2026 rates'!$L:$S,8,0),IF($LB375=80%,VLOOKUP($CH375,'Jan-2026 rates'!L:T,9,0),0))))))))</f>
        <v>0</v>
      </c>
      <c r="CK375" s="412"/>
      <c r="CL375" s="409"/>
      <c r="CM375" s="411">
        <f>IF(CL375=0,0,IF($LB375=70%,VLOOKUP($CH375,'Jan-2026 rates'!$L:$R,4,0),IF($LB375=65%,VLOOKUP($CH375,'Jan-2026 rates'!$L:$R,4,0),IF($LB375=40%,VLOOKUP($CH375,'Jan-2026 rates'!$L:$R,5,0),IF($LB375=30%,VLOOKUP($CH375,'Jan-2026 rates'!$L:$R,6,0),IF($LB375=100%,VLOOKUP($CH375,'Jan-2026 rates'!$L:$R,7,0),IF($LB375=60%,VLOOKUP($CH375,'Jan-2026 rates'!$L:$S,8,0),IF($LB375=80%,VLOOKUP($CH375,'Jan-2026 rates'!L:T,9,0),0))))))))</f>
        <v>0</v>
      </c>
      <c r="CN375" s="426">
        <v>26527000012</v>
      </c>
      <c r="CO375" s="427">
        <v>26527000027</v>
      </c>
      <c r="CP375" s="426" t="s">
        <v>1266</v>
      </c>
      <c r="CQ375" s="426">
        <v>26530000009</v>
      </c>
      <c r="CR375" s="428"/>
      <c r="CS375" s="428"/>
      <c r="CT375" s="428"/>
      <c r="CU375" s="428"/>
      <c r="CV375" s="409">
        <v>3</v>
      </c>
      <c r="CW375" s="398" t="e">
        <f>IF(CV375=0,0,IF(LEN(CN375)=11,_xlfn.XLOOKUP(CN375,'Dispensed Ink Rates'!C:C,'Dispensed Ink Rates'!CS:CS),VLOOKUP(CN375,'Jan-2026 rates'!$E:$F,2,0)))</f>
        <v>#N/A</v>
      </c>
      <c r="CX375" s="409">
        <f>8+2</f>
        <v>10</v>
      </c>
      <c r="CY375" s="398" t="e">
        <f>IF(CX375=0,0,IF(LEN(CO375)=11,_xlfn.XLOOKUP(CO375,'Dispensed Ink Rates'!C:C,'Dispensed Ink Rates'!CS:CS),VLOOKUP(CO375,'Jan-2026 rates'!$E:$F,2,0)))</f>
        <v>#N/A</v>
      </c>
      <c r="CZ375" s="409">
        <v>6</v>
      </c>
      <c r="DA375" s="398">
        <f>IF(CZ375=0,0,IF(LEN(CP375)=11,_xlfn.XLOOKUP(CP375,'Dispensed Ink Rates'!C:C,'Dispensed Ink Rates'!CS:CS),VLOOKUP(CP375,'Jan-2026 rates'!$E:$F,2,0)))</f>
        <v>0</v>
      </c>
      <c r="DB375" s="409">
        <v>20</v>
      </c>
      <c r="DC375" s="398" t="e">
        <f>IF(DB375=0,0,IF(LEN(CQ375)=11,_xlfn.XLOOKUP(CQ375,'Dispensed Ink Rates'!C:C,'Dispensed Ink Rates'!CS:CS),VLOOKUP(CQ375,'Jan-2026 rates'!$E:$F,2,0)))</f>
        <v>#N/A</v>
      </c>
      <c r="DD375" s="409"/>
      <c r="DE375" s="398">
        <f>IF(DD375=0,0,IF(LEN(CR375)=11,_xlfn.XLOOKUP(CR375,'Dispensed Ink Rates'!C:C,'Dispensed Ink Rates'!CS:CS),VLOOKUP(CR375,'Jan-2026 rates'!$E:$F,2,0)))</f>
        <v>0</v>
      </c>
      <c r="DF375" s="409"/>
      <c r="DG375" s="398">
        <f>IF(DF375=0,0,IF(LEN(CS375)=11,_xlfn.XLOOKUP(CS375,'Dispensed Ink Rates'!C:C,'Dispensed Ink Rates'!CS:CS),VLOOKUP(CS375,'Jan-2026 rates'!$E:$F,2,0)))</f>
        <v>0</v>
      </c>
      <c r="DH375" s="409"/>
      <c r="DI375" s="398">
        <f>IF(DH375=0,0,IF(LEN(CT375)=11,_xlfn.XLOOKUP(CT375,'Dispensed Ink Rates'!C:C,'Dispensed Ink Rates'!CS:CS),VLOOKUP(CT375,'Jan-2026 rates'!$E:$F,2,0)))</f>
        <v>0</v>
      </c>
      <c r="DJ375" s="409"/>
      <c r="DK375" s="398">
        <f>IF(DJ375=0,0,IF(LEN(CU375)=11,_xlfn.XLOOKUP(CU375,'Dispensed Ink Rates'!C:C,'Dispensed Ink Rates'!CS:CS),VLOOKUP(CU375,'Jan-2026 rates'!$E:$F,2,0)))</f>
        <v>0</v>
      </c>
      <c r="DL375" s="409" t="s">
        <v>1443</v>
      </c>
      <c r="DM375" s="409">
        <v>30</v>
      </c>
      <c r="DN375" s="411">
        <f t="shared" si="218"/>
        <v>0</v>
      </c>
      <c r="DO375" s="411">
        <f t="shared" si="219"/>
        <v>38.743589743589737</v>
      </c>
      <c r="DP375" s="410">
        <f t="shared" si="220"/>
        <v>0</v>
      </c>
      <c r="DQ375" s="405" t="s">
        <v>543</v>
      </c>
      <c r="DR375" s="409" t="s">
        <v>4860</v>
      </c>
      <c r="DS375" s="420" t="str">
        <f t="shared" si="186"/>
        <v>FLINTSL - BLACK</v>
      </c>
      <c r="DT375" s="409">
        <v>15</v>
      </c>
      <c r="DU375" s="411">
        <f>IF(DT375=0,0,IF($LB375=70%,VLOOKUP($DS375,'Jan-2026 rates'!$L:$R,4,0),IF($LB375=65%,VLOOKUP($DS375,'Jan-2026 rates'!$L:$R,4,0),IF($LB375=40%,VLOOKUP($DS375,'Jan-2026 rates'!$L:$R,5,0),IF($LB375=30%,VLOOKUP($DS375,'Jan-2026 rates'!$L:$R,6,0),IF($LB375=100%,VLOOKUP($DS375,'Jan-2026 rates'!$L:$R,7,0),IF($LB375=60%,VLOOKUP($DS375,'Jan-2026 rates'!$L:$S,8,0),IF($LB375=80%,VLOOKUP($DS375,'Jan-2026 rates'!L:T,9,0),0))))))))</f>
        <v>0</v>
      </c>
      <c r="DV375" s="412"/>
      <c r="DW375" s="409"/>
      <c r="DX375" s="411">
        <f>IF(DW375=0,0,IF($LB375=70%,VLOOKUP($DS375,'Jan-2026 rates'!$L:$R,4,0),IF($LB375=65%,VLOOKUP($DS375,'Jan-2026 rates'!$L:$R,4,0),IF($LB375=40%,VLOOKUP($DS375,'Jan-2026 rates'!$L:$R,5,0),IF($LB375=30%,VLOOKUP($DS375,'Jan-2026 rates'!$L:$R,6,0),IF($LB375=100%,VLOOKUP($DS375,'Jan-2026 rates'!$L:$R,7,0),IF($LB375=60%,VLOOKUP($DS375,'Jan-2026 rates'!$L:$S,8,0),IF($LB375=80%,VLOOKUP($DS375,'Jan-2026 rates'!L:T,9,0),0))))))))</f>
        <v>0</v>
      </c>
      <c r="DY375" s="413">
        <v>26529000018</v>
      </c>
      <c r="DZ375" s="413">
        <v>26530000006</v>
      </c>
      <c r="EA375" s="412">
        <v>26527000012</v>
      </c>
      <c r="EB375" s="412">
        <v>26529000013</v>
      </c>
      <c r="EC375" s="412"/>
      <c r="ED375" s="412"/>
      <c r="EE375" s="412"/>
      <c r="EF375" s="412"/>
      <c r="EG375" s="409">
        <v>3</v>
      </c>
      <c r="EH375" s="398" t="e">
        <f>IF(EG375=0,0,IF(LEN(DY375)=11,_xlfn.XLOOKUP(DY375,'Dispensed Ink Rates'!C:C,'Dispensed Ink Rates'!CS:CS),VLOOKUP(DY375,'Jan-2026 rates'!$E:$F,2,0)))</f>
        <v>#N/A</v>
      </c>
      <c r="EI375" s="409">
        <v>40</v>
      </c>
      <c r="EJ375" s="398" t="e">
        <f>IF(EI375=0,0,IF(LEN(DZ375)=11,_xlfn.XLOOKUP(DZ375,'Dispensed Ink Rates'!C:C,'Dispensed Ink Rates'!CS:CS),VLOOKUP(DZ375,'Jan-2026 rates'!$E:$F,2,0)))</f>
        <v>#N/A</v>
      </c>
      <c r="EK375" s="409">
        <v>10</v>
      </c>
      <c r="EL375" s="398" t="e">
        <f>IF(EK375=0,0,IF(LEN(EA375)=11,_xlfn.XLOOKUP(EA375,'Dispensed Ink Rates'!C:C,'Dispensed Ink Rates'!CS:CS),VLOOKUP(EA375,'Jan-2026 rates'!$E:$F,2,0)))</f>
        <v>#N/A</v>
      </c>
      <c r="EM375" s="409">
        <v>5</v>
      </c>
      <c r="EN375" s="398" t="e">
        <f>IF(EM375=0,0,IF(LEN(EB375)=11,_xlfn.XLOOKUP(EB375,'Dispensed Ink Rates'!C:C,'Dispensed Ink Rates'!CS:CS),VLOOKUP(EB375,'Jan-2026 rates'!$E:$F,2,0)))</f>
        <v>#N/A</v>
      </c>
      <c r="EO375" s="409"/>
      <c r="EP375" s="398">
        <f>IF(EO375=0,0,IF(LEN(EC375)=11,_xlfn.XLOOKUP(EC375,'Dispensed Ink Rates'!C:C,'Dispensed Ink Rates'!CS:CS),VLOOKUP(EC375,'Jan-2026 rates'!$E:$F,2,0)))</f>
        <v>0</v>
      </c>
      <c r="EQ375" s="409"/>
      <c r="ER375" s="398">
        <f>IF(EQ375=0,0,IF(LEN(ED375)=11,_xlfn.XLOOKUP(ED375,'Dispensed Ink Rates'!C:C,'Dispensed Ink Rates'!CS:CS),VLOOKUP(ED375,'Jan-2026 rates'!$E:$F,2,0)))</f>
        <v>0</v>
      </c>
      <c r="ES375" s="409"/>
      <c r="ET375" s="398">
        <f>IF(ES375=0,0,IF(LEN(EE375)=11,_xlfn.XLOOKUP(EE375,'Dispensed Ink Rates'!C:C,'Dispensed Ink Rates'!CS:CS),VLOOKUP(EE375,'Jan-2026 rates'!$E:$F,2,0)))</f>
        <v>0</v>
      </c>
      <c r="EU375" s="409"/>
      <c r="EV375" s="398">
        <f>IF(EU375=0,0,IF(LEN(EF375)=11,_xlfn.XLOOKUP(EF375,'Dispensed Ink Rates'!C:C,'Dispensed Ink Rates'!CS:CS),VLOOKUP(EF375,'Jan-2026 rates'!$E:$F,2,0)))</f>
        <v>0</v>
      </c>
      <c r="EW375" s="409" t="s">
        <v>1443</v>
      </c>
      <c r="EX375" s="409">
        <v>23</v>
      </c>
      <c r="EY375" s="411">
        <f t="shared" si="221"/>
        <v>0</v>
      </c>
      <c r="EZ375" s="411">
        <f t="shared" si="222"/>
        <v>67.84615384615384</v>
      </c>
      <c r="FA375" s="410">
        <f t="shared" si="223"/>
        <v>0</v>
      </c>
      <c r="FB375" s="405" t="s">
        <v>855</v>
      </c>
      <c r="FC375" s="409" t="s">
        <v>4861</v>
      </c>
      <c r="FD375" s="420" t="str">
        <f t="shared" si="187"/>
        <v>FLINTSL - CYAN</v>
      </c>
      <c r="FE375" s="409">
        <v>23</v>
      </c>
      <c r="FF375" s="411">
        <f>IF(FE375=0,0,IF($LB375=70%,VLOOKUP($FD375,'Jan-2026 rates'!$L:$R,4,0),IF($LB375=65%,VLOOKUP($FD375,'Jan-2026 rates'!$L:$R,4,0),IF($LB375=40%,VLOOKUP($FD375,'Jan-2026 rates'!$L:$R,5,0),IF($LB375=30%,VLOOKUP($FD375,'Jan-2026 rates'!$L:$R,6,0),IF($LB375=100%,VLOOKUP($FD375,'Jan-2026 rates'!$L:$R,7,0),IF($LB375=60%,VLOOKUP($FD375,'Jan-2026 rates'!$L:$S,8,0),IF($LB375=80%,VLOOKUP($FD375,'Jan-2026 rates'!L:T,9,0),0))))))))</f>
        <v>0</v>
      </c>
      <c r="FG375" s="412"/>
      <c r="FH375" s="409"/>
      <c r="FI375" s="411">
        <f>IF(FH375=0,0,IF($LB375=70%,VLOOKUP($FD375,'Jan-2026 rates'!$L:$R,4,0),IF($LB375=65%,VLOOKUP($FD375,'Jan-2026 rates'!$L:$R,4,0),IF($LB375=40%,VLOOKUP($FD375,'Jan-2026 rates'!$L:$R,5,0),IF($LB375=30%,VLOOKUP($FD375,'Jan-2026 rates'!$L:$R,6,0),IF($LB375=100%,VLOOKUP($FD375,'Jan-2026 rates'!$L:$R,7,0),IF($LB375=60%,VLOOKUP($FD375,'Jan-2026 rates'!$L:$S,8,0),IF($LB375=80%,VLOOKUP($FD375,'Jan-2026 rates'!L:T,9,0),0))))))))</f>
        <v>0</v>
      </c>
      <c r="FJ375" s="413">
        <v>26527000016</v>
      </c>
      <c r="FK375" s="413"/>
      <c r="FL375" s="413"/>
      <c r="FM375" s="412"/>
      <c r="FN375" s="412"/>
      <c r="FO375" s="412"/>
      <c r="FP375" s="412"/>
      <c r="FQ375" s="412"/>
      <c r="FR375" s="409">
        <f>2+4</f>
        <v>6</v>
      </c>
      <c r="FS375" s="398" t="e">
        <f>IF(FR375=0,0,IF(LEN(FJ375)=11,_xlfn.XLOOKUP(FJ375,'Dispensed Ink Rates'!C:C,'Dispensed Ink Rates'!CS:CS),VLOOKUP(FJ375,'Jan-2026 rates'!$E:$F,2,0)))</f>
        <v>#N/A</v>
      </c>
      <c r="FT375" s="409"/>
      <c r="FU375" s="398">
        <f>IF(FT375=0,0,IF(LEN(FK375)=11,_xlfn.XLOOKUP(FK375,'Dispensed Ink Rates'!C:C,'Dispensed Ink Rates'!CS:CS),VLOOKUP(FK375,'Jan-2026 rates'!$E:$F,2,0)))</f>
        <v>0</v>
      </c>
      <c r="FV375" s="409"/>
      <c r="FW375" s="398">
        <f>IF(FV375=0,0,IF(LEN(FL375)=11,_xlfn.XLOOKUP(FL375,'Dispensed Ink Rates'!C:C,'Dispensed Ink Rates'!CS:CS),VLOOKUP(FL375,'Jan-2026 rates'!$E:$F,2,0)))</f>
        <v>0</v>
      </c>
      <c r="FX375" s="409"/>
      <c r="FY375" s="398">
        <f>IF(FX375=0,0,IF(LEN(FM375)=11,_xlfn.XLOOKUP(FM375,'Dispensed Ink Rates'!C:C,'Dispensed Ink Rates'!CS:CS),VLOOKUP(FM375,'Jan-2026 rates'!$E:$F,2,0)))</f>
        <v>0</v>
      </c>
      <c r="FZ375" s="409"/>
      <c r="GA375" s="398">
        <f>IF(FZ375=0,0,IF(LEN(FN375)=11,_xlfn.XLOOKUP(FN375,'Dispensed Ink Rates'!C:C,'Dispensed Ink Rates'!CS:CS),VLOOKUP(FN375,'Jan-2026 rates'!$E:$F,2,0)))</f>
        <v>0</v>
      </c>
      <c r="GB375" s="409"/>
      <c r="GC375" s="398">
        <f>IF(GB375=0,0,IF(LEN(FO375)=11,_xlfn.XLOOKUP(FO375,'Dispensed Ink Rates'!C:C,'Dispensed Ink Rates'!CS:CS),VLOOKUP(FO375,'Jan-2026 rates'!$E:$F,2,0)))</f>
        <v>0</v>
      </c>
      <c r="GD375" s="409"/>
      <c r="GE375" s="398">
        <f>IF(GD375=0,0,IF(LEN(FP375)=11,_xlfn.XLOOKUP(FP375,'Dispensed Ink Rates'!C:C,'Dispensed Ink Rates'!CS:CS),VLOOKUP(FP375,'Jan-2026 rates'!$E:$F,2,0)))</f>
        <v>0</v>
      </c>
      <c r="GF375" s="409"/>
      <c r="GG375" s="398">
        <f>IF(GF375=0,0,IF(LEN(FQ375)=11,_xlfn.XLOOKUP(FQ375,'Dispensed Ink Rates'!C:C,'Dispensed Ink Rates'!CS:CS),VLOOKUP(FQ375,'Jan-2026 rates'!$E:$F,2,0)))</f>
        <v>0</v>
      </c>
      <c r="GH375" s="409" t="s">
        <v>1443</v>
      </c>
      <c r="GI375" s="409">
        <v>26</v>
      </c>
      <c r="GJ375" s="411">
        <f t="shared" si="224"/>
        <v>0</v>
      </c>
      <c r="GK375" s="411">
        <f t="shared" si="225"/>
        <v>8.9487179487179489</v>
      </c>
      <c r="GL375" s="410">
        <f t="shared" si="226"/>
        <v>0</v>
      </c>
      <c r="GM375" s="405" t="s">
        <v>543</v>
      </c>
      <c r="GN375" s="409" t="s">
        <v>4860</v>
      </c>
      <c r="GO375" s="420" t="str">
        <f t="shared" si="188"/>
        <v>FLINTSL - BLACK</v>
      </c>
      <c r="GP375" s="409">
        <v>15</v>
      </c>
      <c r="GQ375" s="411">
        <f>IF(GP375=0,0,IF($LB375=70%,VLOOKUP($GO375,'Jan-2026 rates'!$L:$R,4,0),IF($LB375=65%,VLOOKUP($GO375,'Jan-2026 rates'!$L:$R,4,0),IF($LB375=40%,VLOOKUP($GO375,'Jan-2026 rates'!$L:$R,5,0),IF($LB375=30%,VLOOKUP($GO375,'Jan-2026 rates'!$L:$R,6,0),IF($LB375=100%,VLOOKUP($GO375,'Jan-2026 rates'!$L:$R,7,0),IF($LB375=60%,VLOOKUP($GO375,'Jan-2026 rates'!$L:$S,8,0),IF($LB375=80%,VLOOKUP($GO375,'Jan-2026 rates'!L:T,9,0),0))))))))</f>
        <v>0</v>
      </c>
      <c r="GR375" s="412"/>
      <c r="GS375" s="409"/>
      <c r="GT375" s="411">
        <f>IF(GS375=0,0,IF($LB375=70%,VLOOKUP($GO375,'Jan-2026 rates'!$L:$R,4,0),IF($LB375=65%,VLOOKUP($GO375,'Jan-2026 rates'!$L:$R,4,0),IF($LB375=40%,VLOOKUP($GO375,'Jan-2026 rates'!$L:$R,5,0),IF($LB375=30%,VLOOKUP($GO375,'Jan-2026 rates'!$L:$R,6,0),IF($LB375=100%,VLOOKUP($GO375,'Jan-2026 rates'!$L:$R,7,0),IF($LB375=60%,VLOOKUP($GO375,'Jan-2026 rates'!$L:$S,8,0),IF($LB375=80%,VLOOKUP($GO375,'Jan-2026 rates'!L:T,9,0),0))))))))</f>
        <v>0</v>
      </c>
      <c r="GU375" s="413">
        <v>26527000012</v>
      </c>
      <c r="GV375" s="413">
        <v>26530000035</v>
      </c>
      <c r="GW375" s="412"/>
      <c r="GX375" s="412"/>
      <c r="GY375" s="412"/>
      <c r="GZ375" s="412"/>
      <c r="HA375" s="412"/>
      <c r="HB375" s="412"/>
      <c r="HC375" s="409">
        <v>3</v>
      </c>
      <c r="HD375" s="398" t="e">
        <f>IF(HC375=0,0,IF(LEN(GU375)=11,_xlfn.XLOOKUP(GU375,'Dispensed Ink Rates'!C:C,'Dispensed Ink Rates'!CS:CS),VLOOKUP(GU375,'Jan-2026 rates'!$E:$F,2,0)))</f>
        <v>#N/A</v>
      </c>
      <c r="HE375" s="409">
        <v>2</v>
      </c>
      <c r="HF375" s="398" t="e">
        <f>IF(HE375=0,0,IF(LEN(GV375)=11,_xlfn.XLOOKUP(GV375,'Dispensed Ink Rates'!C:C,'Dispensed Ink Rates'!CS:CS),VLOOKUP(GV375,'Jan-2026 rates'!$E:$F,2,0)))</f>
        <v>#N/A</v>
      </c>
      <c r="HG375" s="409"/>
      <c r="HH375" s="398">
        <f>IF(HG375=0,0,IF(LEN(GW375)=11,_xlfn.XLOOKUP(GW375,'Dispensed Ink Rates'!C:C,'Dispensed Ink Rates'!CS:CS),VLOOKUP(GW375,'Jan-2026 rates'!$E:$F,2,0)))</f>
        <v>0</v>
      </c>
      <c r="HI375" s="409"/>
      <c r="HJ375" s="398">
        <f>IF(HI375=0,0,IF(LEN(GX375)=11,_xlfn.XLOOKUP(GX375,'Dispensed Ink Rates'!C:C,'Dispensed Ink Rates'!CS:CS),VLOOKUP(GX375,'Jan-2026 rates'!$E:$F,2,0)))</f>
        <v>0</v>
      </c>
      <c r="HK375" s="409"/>
      <c r="HL375" s="398">
        <f>IF(HK375=0,0,IF(LEN(GY375)=11,_xlfn.XLOOKUP(GY375,'Dispensed Ink Rates'!C:C,'Dispensed Ink Rates'!CS:CS),VLOOKUP(GY375,'Jan-2026 rates'!$E:$F,2,0)))</f>
        <v>0</v>
      </c>
      <c r="HM375" s="409"/>
      <c r="HN375" s="398">
        <f>IF(HM375=0,0,IF(LEN(GZ375)=11,_xlfn.XLOOKUP(GZ375,'Dispensed Ink Rates'!C:C,'Dispensed Ink Rates'!CS:CS),VLOOKUP(GZ375,'Jan-2026 rates'!$E:$F,2,0)))</f>
        <v>0</v>
      </c>
      <c r="HO375" s="409"/>
      <c r="HP375" s="398">
        <f>IF(HO375=0,0,IF(LEN(HA375)=11,_xlfn.XLOOKUP(HA375,'Dispensed Ink Rates'!C:C,'Dispensed Ink Rates'!CS:CS),VLOOKUP(HA375,'Jan-2026 rates'!$E:$F,2,0)))</f>
        <v>0</v>
      </c>
      <c r="HQ375" s="409"/>
      <c r="HR375" s="398">
        <f>IF(HQ375=0,0,IF(LEN(HB375)=11,_xlfn.XLOOKUP(HB375,'Dispensed Ink Rates'!C:C,'Dispensed Ink Rates'!CS:CS),VLOOKUP(HB375,'Jan-2026 rates'!$E:$F,2,0)))</f>
        <v>0</v>
      </c>
      <c r="HS375" s="409" t="s">
        <v>1443</v>
      </c>
      <c r="HT375" s="409">
        <v>24</v>
      </c>
      <c r="HU375" s="411">
        <f t="shared" si="227"/>
        <v>0</v>
      </c>
      <c r="HV375" s="411">
        <f t="shared" si="228"/>
        <v>4.9230769230769234</v>
      </c>
      <c r="HW375" s="414">
        <f t="shared" si="229"/>
        <v>0</v>
      </c>
      <c r="HX375" s="405" t="s">
        <v>544</v>
      </c>
      <c r="HY375" s="409" t="s">
        <v>4862</v>
      </c>
      <c r="HZ375" s="420" t="str">
        <f t="shared" si="189"/>
        <v>FLINTSL - MAGENTA</v>
      </c>
      <c r="IA375" s="409">
        <v>22</v>
      </c>
      <c r="IB375" s="411">
        <f>IF(IA375=0,0,IF($LB375=70%,VLOOKUP($HZ375,'Jan-2026 rates'!$L:$R,4,0),IF($LB375=65%,VLOOKUP($HZ375,'Jan-2026 rates'!$L:$R,4,0),IF($LB375=40%,VLOOKUP($HZ375,'Jan-2026 rates'!$L:$R,5,0),IF($LB375=30%,VLOOKUP($HZ375,'Jan-2026 rates'!$L:$R,6,0),IF($LB375=100%,VLOOKUP($HZ375,'Jan-2026 rates'!$L:$R,7,0),IF($LB375=60%,VLOOKUP($HZ375,'Jan-2026 rates'!$L:$S,8,0),IF($LB375=80%,VLOOKUP($HZ375,'Jan-2026 rates'!L:T,9,0),0))))))))</f>
        <v>0</v>
      </c>
      <c r="IC375" s="412"/>
      <c r="ID375" s="409"/>
      <c r="IE375" s="411">
        <f>IF(ID375=0,0,IF($LB375=70%,VLOOKUP($HZ375,'Jan-2026 rates'!$L:$R,4,0),IF($LB375=65%,VLOOKUP($HZ375,'Jan-2026 rates'!$L:$R,4,0),IF($LB375=40%,VLOOKUP($HZ375,'Jan-2026 rates'!$L:$R,5,0),IF($LB375=30%,VLOOKUP($HZ375,'Jan-2026 rates'!$L:$R,6,0),IF($LB375=100%,VLOOKUP($HZ375,'Jan-2026 rates'!$L:$R,7,0),IF($LB375=60%,VLOOKUP($HZ375,'Jan-2026 rates'!$L:$S,8,0),IF($LB375=80%,VLOOKUP($HZ375,'Jan-2026 rates'!L:T,9,0),0))))))))</f>
        <v>0</v>
      </c>
      <c r="IF375" s="412">
        <v>26529000018</v>
      </c>
      <c r="IG375" s="413" t="s">
        <v>1266</v>
      </c>
      <c r="IH375" s="412"/>
      <c r="II375" s="412"/>
      <c r="IJ375" s="412"/>
      <c r="IK375" s="412"/>
      <c r="IL375" s="412"/>
      <c r="IM375" s="412"/>
      <c r="IN375" s="409">
        <v>4</v>
      </c>
      <c r="IO375" s="398" t="e">
        <f>IF(IN375=0,0,IF(LEN(IF375)=11,_xlfn.XLOOKUP(IF375,'Dispensed Ink Rates'!C:C,'Dispensed Ink Rates'!CS:CS),VLOOKUP(IF375,'Jan-2026 rates'!$E:$F,2,0)))</f>
        <v>#N/A</v>
      </c>
      <c r="IP375" s="409">
        <v>3</v>
      </c>
      <c r="IQ375" s="398">
        <f>IF(IP375=0,0,IF(LEN(IG375)=11,_xlfn.XLOOKUP(IG375,'Dispensed Ink Rates'!C:C,'Dispensed Ink Rates'!CS:CS),VLOOKUP(IG375,'Jan-2026 rates'!$E:$F,2,0)))</f>
        <v>0</v>
      </c>
      <c r="IR375" s="409"/>
      <c r="IS375" s="398">
        <f>IF(IR375=0,0,IF(LEN(IH375)=11,_xlfn.XLOOKUP(IH375,'Dispensed Ink Rates'!C:C,'Dispensed Ink Rates'!CS:CS),VLOOKUP(IH375,'Jan-2026 rates'!$E:$F,2,0)))</f>
        <v>0</v>
      </c>
      <c r="IT375" s="409"/>
      <c r="IU375" s="398">
        <f>IF(IT375=0,0,IF(LEN(II375)=11,_xlfn.XLOOKUP(II375,'Dispensed Ink Rates'!C:C,'Dispensed Ink Rates'!CS:CS),VLOOKUP(II375,'Jan-2026 rates'!$E:$F,2,0)))</f>
        <v>0</v>
      </c>
      <c r="IV375" s="409"/>
      <c r="IW375" s="398">
        <f>IF(IV375=0,0,IF(LEN(IJ375)=11,_xlfn.XLOOKUP(IJ375,'Dispensed Ink Rates'!C:C,'Dispensed Ink Rates'!CS:CS),VLOOKUP(IJ375,'Jan-2026 rates'!$E:$F,2,0)))</f>
        <v>0</v>
      </c>
      <c r="IX375" s="409"/>
      <c r="IY375" s="398">
        <f>IF(IX375=0,0,IF(LEN(IK375)=11,_xlfn.XLOOKUP(IK375,'Dispensed Ink Rates'!C:C,'Dispensed Ink Rates'!CS:CS),VLOOKUP(IK375,'Jan-2026 rates'!$E:$F,2,0)))</f>
        <v>0</v>
      </c>
      <c r="IZ375" s="409"/>
      <c r="JA375" s="398">
        <f>IF(IZ375=0,0,IF(LEN(IL375)=11,_xlfn.XLOOKUP(IL375,'Dispensed Ink Rates'!C:C,'Dispensed Ink Rates'!CS:CS),VLOOKUP(IL375,'Jan-2026 rates'!$E:$F,2,0)))</f>
        <v>0</v>
      </c>
      <c r="JB375" s="409"/>
      <c r="JC375" s="398">
        <f>IF(JB375=0,0,IF(LEN(IM375)=11,_xlfn.XLOOKUP(IM375,'Dispensed Ink Rates'!C:C,'Dispensed Ink Rates'!CS:CS),VLOOKUP(IM375,'Jan-2026 rates'!$E:$F,2,0)))</f>
        <v>0</v>
      </c>
      <c r="JD375" s="409" t="s">
        <v>1443</v>
      </c>
      <c r="JE375" s="409">
        <v>28</v>
      </c>
      <c r="JF375" s="411">
        <f t="shared" si="230"/>
        <v>0</v>
      </c>
      <c r="JG375" s="411">
        <f t="shared" si="231"/>
        <v>12.897435897435898</v>
      </c>
      <c r="JH375" s="410">
        <f t="shared" si="232"/>
        <v>0</v>
      </c>
      <c r="JI375" s="405" t="s">
        <v>545</v>
      </c>
      <c r="JJ375" s="409" t="s">
        <v>4863</v>
      </c>
      <c r="JK375" s="420" t="str">
        <f t="shared" si="190"/>
        <v>FLINTSL - YELLOW</v>
      </c>
      <c r="JL375" s="409">
        <v>22</v>
      </c>
      <c r="JM375" s="411">
        <f>IF(JL375=0,0,IF($LB375=70%,VLOOKUP($JK375,'Jan-2026 rates'!$L:$R,4,0),IF($LB375=65%,VLOOKUP($JK375,'Jan-2026 rates'!$L:$R,4,0),IF($LB375=40%,VLOOKUP($JK375,'Jan-2026 rates'!$L:$R,5,0),IF($LB375=30%,VLOOKUP($JK375,'Jan-2026 rates'!$L:$R,6,0),IF($LB375=100%,VLOOKUP($JK375,'Jan-2026 rates'!$L:$R,7,0),IF($LB375=60%,VLOOKUP($JK375,'Jan-2026 rates'!$L:$S,8,0),IF($LB375=80%,VLOOKUP($JK375,'Jan-2026 rates'!L:T,9,0),0))))))))</f>
        <v>0</v>
      </c>
      <c r="JN375" s="412"/>
      <c r="JO375" s="409"/>
      <c r="JP375" s="411">
        <f>IF(JO375=0,0,IF($LB375=70%,VLOOKUP($JK375,'Jan-2026 rates'!$L:$R,4,0),IF($LB375=65%,VLOOKUP($JK375,'Jan-2026 rates'!$L:$R,4,0),IF($LB375=40%,VLOOKUP($JK375,'Jan-2026 rates'!$L:$R,5,0),IF($LB375=30%,VLOOKUP($JK375,'Jan-2026 rates'!$L:$R,6,0),IF($LB375=100%,VLOOKUP($JK375,'Jan-2026 rates'!$L:$R,7,0),IF($LB375=60%,VLOOKUP($JK375,'Jan-2026 rates'!$L:$S,8,0),IF($LB375=80%,VLOOKUP($JK375,'Jan-2026 rates'!L:T,9,0),0))))))))</f>
        <v>0</v>
      </c>
      <c r="JQ375" s="413">
        <v>26529000013</v>
      </c>
      <c r="JR375" s="412"/>
      <c r="JS375" s="413"/>
      <c r="JT375" s="413"/>
      <c r="JU375" s="412"/>
      <c r="JV375" s="412"/>
      <c r="JW375" s="412"/>
      <c r="JX375" s="412"/>
      <c r="JY375" s="409">
        <f>6+4</f>
        <v>10</v>
      </c>
      <c r="JZ375" s="398" t="e">
        <f>IF(JY375=0,0,IF(LEN(JQ375)=11,_xlfn.XLOOKUP(JQ375,'Dispensed Ink Rates'!C:C,'Dispensed Ink Rates'!CS:CS),VLOOKUP(JQ375,'Jan-2026 rates'!$E:$F,2,0)))</f>
        <v>#N/A</v>
      </c>
      <c r="KA375" s="409"/>
      <c r="KB375" s="398">
        <f>IF(KA375=0,0,IF(LEN(JR375)=11,_xlfn.XLOOKUP(JR375,'Dispensed Ink Rates'!C:C,'Dispensed Ink Rates'!CS:CS),VLOOKUP(JR375,'Jan-2026 rates'!$E:$F,2,0)))</f>
        <v>0</v>
      </c>
      <c r="KC375" s="409"/>
      <c r="KD375" s="398">
        <f>IF(KC375=0,0,IF(LEN(JS375)=11,_xlfn.XLOOKUP(JS375,'Dispensed Ink Rates'!C:C,'Dispensed Ink Rates'!CS:CS),VLOOKUP(JS375,'Jan-2026 rates'!$E:$F,2,0)))</f>
        <v>0</v>
      </c>
      <c r="KE375" s="409"/>
      <c r="KF375" s="398">
        <f>IF(KE375=0,0,IF(LEN(JT375)=11,_xlfn.XLOOKUP(JT375,'Dispensed Ink Rates'!C:C,'Dispensed Ink Rates'!CS:CS),VLOOKUP(JT375,'Jan-2026 rates'!$E:$F,2,0)))</f>
        <v>0</v>
      </c>
      <c r="KG375" s="409"/>
      <c r="KH375" s="398">
        <f>IF(KG375=0,0,IF(LEN(JU375)=11,_xlfn.XLOOKUP(JU375,'Dispensed Ink Rates'!C:C,'Dispensed Ink Rates'!CS:CS),VLOOKUP(JU375,'Jan-2026 rates'!$E:$F,2,0)))</f>
        <v>0</v>
      </c>
      <c r="KI375" s="409"/>
      <c r="KJ375" s="398">
        <f>IF(KI375=0,0,IF(LEN(JV375)=11,_xlfn.XLOOKUP(JV375,'Dispensed Ink Rates'!C:C,'Dispensed Ink Rates'!CS:CS),VLOOKUP(JV375,'Jan-2026 rates'!$E:$F,2,0)))</f>
        <v>0</v>
      </c>
      <c r="KK375" s="409"/>
      <c r="KL375" s="398">
        <f>IF(KK375=0,0,IF(LEN(JW375)=11,_xlfn.XLOOKUP(JW375,'Dispensed Ink Rates'!C:C,'Dispensed Ink Rates'!CS:CS),VLOOKUP(JW375,'Jan-2026 rates'!$E:$F,2,0)))</f>
        <v>0</v>
      </c>
      <c r="KM375" s="428"/>
      <c r="KN375" s="398">
        <f>IF(KM375=0,0,IF(LEN(JX375)=11,_xlfn.XLOOKUP(JX375,'Dispensed Ink Rates'!C:C,'Dispensed Ink Rates'!CS:CS),VLOOKUP(JX375,'Jan-2026 rates'!$E:$F,2,0)))</f>
        <v>0</v>
      </c>
      <c r="KO375" s="409" t="s">
        <v>1443</v>
      </c>
      <c r="KP375" s="409">
        <v>30</v>
      </c>
      <c r="KQ375" s="411">
        <f t="shared" si="233"/>
        <v>0</v>
      </c>
      <c r="KR375" s="411">
        <f t="shared" si="234"/>
        <v>7.9487179487179489</v>
      </c>
      <c r="KS375" s="410">
        <f t="shared" si="235"/>
        <v>0</v>
      </c>
      <c r="KT375" s="409">
        <v>2</v>
      </c>
      <c r="KU375" s="409">
        <v>10</v>
      </c>
      <c r="KV375" s="409">
        <v>10</v>
      </c>
      <c r="KW375" s="409">
        <v>6</v>
      </c>
      <c r="KX375" s="409">
        <v>2</v>
      </c>
      <c r="KY375" s="409">
        <v>3</v>
      </c>
      <c r="KZ375" s="409">
        <v>4</v>
      </c>
      <c r="LA375" s="409">
        <v>2</v>
      </c>
      <c r="LB375" s="415">
        <v>0.8</v>
      </c>
      <c r="LC375" s="415">
        <v>0.2</v>
      </c>
      <c r="LD375" s="424"/>
      <c r="LE375" s="415"/>
      <c r="LF375" s="415"/>
      <c r="LG375" s="409">
        <v>0</v>
      </c>
      <c r="LH375" s="409">
        <f>39+17+48+12</f>
        <v>116</v>
      </c>
      <c r="LI375" s="409">
        <v>0</v>
      </c>
      <c r="LJ375" s="409">
        <v>0</v>
      </c>
      <c r="LK375" s="416">
        <f t="shared" si="191"/>
        <v>116</v>
      </c>
      <c r="LL375" s="416">
        <f t="shared" si="349"/>
        <v>116</v>
      </c>
      <c r="LM375" s="417">
        <f t="shared" si="193"/>
        <v>92.800000000000011</v>
      </c>
      <c r="LN375" s="417">
        <f>VLOOKUP($LM$8,'Jan-2026 rates'!$H:$I,2,0)</f>
        <v>0</v>
      </c>
      <c r="LO375" s="417">
        <f t="shared" si="194"/>
        <v>23.200000000000003</v>
      </c>
      <c r="LP375" s="417">
        <f>VLOOKUP($LO$8,'Jan-2026 rates'!$H:$I,2,0)</f>
        <v>0</v>
      </c>
      <c r="LQ375" s="417">
        <f t="shared" si="195"/>
        <v>0</v>
      </c>
      <c r="LR375" s="417">
        <f>VLOOKUP($LQ$8,'Jan-2026 rates'!$H:$I,2,0)</f>
        <v>0</v>
      </c>
      <c r="LS375" s="417">
        <f t="shared" si="196"/>
        <v>0</v>
      </c>
      <c r="LT375" s="417">
        <f>VLOOKUP($LS$8,'Jan-2026 rates'!$H:$I,2,0)</f>
        <v>0</v>
      </c>
      <c r="LU375" s="417">
        <f t="shared" si="197"/>
        <v>0</v>
      </c>
      <c r="LV375" s="417">
        <f>VLOOKUP($LU$8,'Jan-2026 rates'!$H:$I,2,0)</f>
        <v>0</v>
      </c>
      <c r="LW375" s="417">
        <f t="shared" si="198"/>
        <v>0</v>
      </c>
      <c r="LX375" s="417">
        <f t="shared" si="199"/>
        <v>0</v>
      </c>
      <c r="LY375" s="418">
        <f t="shared" si="200"/>
        <v>0</v>
      </c>
      <c r="LZ375" s="417"/>
      <c r="MA375" s="435">
        <f t="shared" si="201"/>
        <v>149</v>
      </c>
      <c r="MB375" s="282">
        <f t="shared" si="202"/>
        <v>180</v>
      </c>
      <c r="MC375" s="283">
        <v>218</v>
      </c>
      <c r="MD375" s="284" t="str">
        <f t="shared" si="203"/>
        <v>FLINTSLFLINTSLFLINTSLFLINTSLFLINTSLFLINTSLFLINTSLFLINTSL</v>
      </c>
      <c r="ME375" s="293" t="str">
        <f t="shared" si="204"/>
        <v>+</v>
      </c>
      <c r="MF375" s="293" t="str">
        <f t="shared" si="205"/>
        <v>+</v>
      </c>
      <c r="MG375" s="293" t="str">
        <f t="shared" si="206"/>
        <v>+</v>
      </c>
      <c r="MH375" s="293" t="str">
        <f t="shared" si="207"/>
        <v>+</v>
      </c>
      <c r="MI375" s="293" t="str">
        <f t="shared" si="208"/>
        <v>+</v>
      </c>
      <c r="MJ375" s="293" t="str">
        <f t="shared" si="209"/>
        <v>+</v>
      </c>
      <c r="MK375" s="293" t="str">
        <f t="shared" si="210"/>
        <v>+</v>
      </c>
      <c r="ML375" s="293" t="str">
        <f t="shared" si="211"/>
        <v>+</v>
      </c>
      <c r="MM375" s="3" t="b">
        <f t="array" ref="MM375">OR(ME375:ML375="-")</f>
        <v>0</v>
      </c>
      <c r="MO375" s="401">
        <f t="shared" si="350"/>
        <v>38.876889848812098</v>
      </c>
      <c r="MP375" s="286"/>
      <c r="MR375" s="402">
        <f t="shared" si="351"/>
        <v>8.1818181818181825E-3</v>
      </c>
      <c r="MS375" s="400">
        <f t="shared" si="352"/>
        <v>0</v>
      </c>
      <c r="MT375" s="285"/>
      <c r="NH375" s="361"/>
      <c r="NJ375" s="282"/>
    </row>
    <row r="376" spans="1:374" ht="16.5">
      <c r="A376" s="403">
        <v>46050</v>
      </c>
      <c r="B376" s="404" t="s">
        <v>1015</v>
      </c>
      <c r="C376" s="405" t="s">
        <v>4864</v>
      </c>
      <c r="D376" s="404">
        <v>213</v>
      </c>
      <c r="E376" s="404">
        <v>11551</v>
      </c>
      <c r="F376" s="407">
        <v>583900</v>
      </c>
      <c r="G376" s="407" t="s">
        <v>1019</v>
      </c>
      <c r="H376" s="408" t="s">
        <v>1017</v>
      </c>
      <c r="I376" s="409">
        <v>2.16</v>
      </c>
      <c r="J376" s="405" t="s">
        <v>543</v>
      </c>
      <c r="K376" s="404" t="s">
        <v>4865</v>
      </c>
      <c r="L376" s="419" t="str">
        <f t="shared" si="184"/>
        <v>FLINTSL - BLACK</v>
      </c>
      <c r="M376" s="404">
        <v>24</v>
      </c>
      <c r="N376" s="410">
        <f>IF(M376=0,0,IF($LB376=70%,VLOOKUP($L376,'Jan-2026 rates'!$L:$R,4,0),IF($LB376=65%,VLOOKUP($L376,'Jan-2026 rates'!$L:$R,4,0),IF($LB376=40%,VLOOKUP($L376,'Jan-2026 rates'!$L:$R,5,0),IF($LB376=30%,VLOOKUP($L376,'Jan-2026 rates'!$L:$R,6,0),IF($LB376=100%,VLOOKUP($L376,'Jan-2026 rates'!$L:$R,7,0),IF($LB376=60%,VLOOKUP($L376,'Jan-2026 rates'!$L:$S,8,0),IF($LB376=80%,VLOOKUP($L376,'Jan-2026 rates'!L:T,9,0),0))))))))</f>
        <v>0</v>
      </c>
      <c r="O376" s="406" t="s">
        <v>4707</v>
      </c>
      <c r="P376" s="404">
        <v>22</v>
      </c>
      <c r="Q376" s="410">
        <f>IF(P376=0,0,IF($LB376=70%,VLOOKUP($L376,'Jan-2026 rates'!$L:$R,4,0),IF($LB376=65%,VLOOKUP($L376,'Jan-2026 rates'!$L:$R,4,0),IF($LB376=40%,VLOOKUP($L376,'Jan-2026 rates'!$L:$R,5,0),IF($LB376=30%,VLOOKUP($L376,'Jan-2026 rates'!$L:$R,6,0),IF($LB376=100%,VLOOKUP($L376,'Jan-2026 rates'!$L:$R,7,0),IF($LB376=60%,VLOOKUP($L376,'Jan-2026 rates'!$L:$S,8,0),IF($LB376=80%,VLOOKUP($L376,'Jan-2026 rates'!L:T,9,0),0))))))))</f>
        <v>0</v>
      </c>
      <c r="R376" s="406">
        <v>26531000019</v>
      </c>
      <c r="S376" s="406"/>
      <c r="T376" s="406"/>
      <c r="U376" s="406"/>
      <c r="V376" s="406"/>
      <c r="W376" s="406"/>
      <c r="X376" s="406"/>
      <c r="Y376" s="406"/>
      <c r="Z376" s="404">
        <f>15+6+5</f>
        <v>26</v>
      </c>
      <c r="AA376" s="398" t="e">
        <f>IF(Z376=0,0,IF(LEN(R376)=11,_xlfn.XLOOKUP(R376,'Dispensed Ink Rates'!C:C,'Dispensed Ink Rates'!CS:CS),VLOOKUP(R376,'Jan-2026 rates'!$E:$F,2,0)))</f>
        <v>#N/A</v>
      </c>
      <c r="AB376" s="404"/>
      <c r="AC376" s="398">
        <f>IF(AB376=0,0,IF(LEN(S376)=11,_xlfn.XLOOKUP(S376,'Dispensed Ink Rates'!C:C,'Dispensed Ink Rates'!CS:CS),VLOOKUP(S376,'Jan-2026 rates'!$E:$F,2,0)))</f>
        <v>0</v>
      </c>
      <c r="AD376" s="404"/>
      <c r="AE376" s="398">
        <f>IF(AD376=0,0,IF(LEN(T376)=11,_xlfn.XLOOKUP(T376,'Dispensed Ink Rates'!C:C,'Dispensed Ink Rates'!CS:CS),VLOOKUP(T376,'Jan-2026 rates'!$E:$F,2,0)))</f>
        <v>0</v>
      </c>
      <c r="AF376" s="404"/>
      <c r="AG376" s="398">
        <f>IF(AF376=0,0,IF(LEN(U376)=11,_xlfn.XLOOKUP(U376,'Dispensed Ink Rates'!C:C,'Dispensed Ink Rates'!CS:CS),VLOOKUP(U376,'Jan-2026 rates'!$E:$F,2,0)))</f>
        <v>0</v>
      </c>
      <c r="AH376" s="404"/>
      <c r="AI376" s="398">
        <f>IF(AH376=0,0,IF(LEN(V376)=11,_xlfn.XLOOKUP(V376,'Dispensed Ink Rates'!C:C,'Dispensed Ink Rates'!CS:CS),VLOOKUP(V376,'Jan-2026 rates'!$E:$F,2,0)))</f>
        <v>0</v>
      </c>
      <c r="AJ376" s="404"/>
      <c r="AK376" s="398">
        <f>IF(AJ376=0,0,IF(LEN(W376)=11,_xlfn.XLOOKUP(W376,'Dispensed Ink Rates'!C:C,'Dispensed Ink Rates'!CS:CS),VLOOKUP(W376,'Jan-2026 rates'!$E:$F,2,0)))</f>
        <v>0</v>
      </c>
      <c r="AL376" s="404"/>
      <c r="AM376" s="398">
        <f>IF(AL376=0,0,IF(LEN(X376)=11,_xlfn.XLOOKUP(X376,'Dispensed Ink Rates'!C:C,'Dispensed Ink Rates'!CS:CS),VLOOKUP(X376,'Jan-2026 rates'!$E:$F,2,0)))</f>
        <v>0</v>
      </c>
      <c r="AN376" s="404"/>
      <c r="AO376" s="398">
        <f>IF(AN376=0,0,IF(LEN(Y376)=11,_xlfn.XLOOKUP(Y376,'Dispensed Ink Rates'!C:C,'Dispensed Ink Rates'!CS:CS),VLOOKUP(Y376,'Jan-2026 rates'!$E:$F,2,0)))</f>
        <v>0</v>
      </c>
      <c r="AP376" s="409" t="s">
        <v>1443</v>
      </c>
      <c r="AQ376" s="409">
        <v>26</v>
      </c>
      <c r="AR376" s="410">
        <f t="shared" si="212"/>
        <v>0</v>
      </c>
      <c r="AS376" s="411">
        <f t="shared" si="213"/>
        <v>130.71047619047619</v>
      </c>
      <c r="AT376" s="410">
        <f t="shared" si="214"/>
        <v>0</v>
      </c>
      <c r="AU376" s="405" t="s">
        <v>547</v>
      </c>
      <c r="AV376" s="409" t="s">
        <v>4866</v>
      </c>
      <c r="AW376" s="420" t="str">
        <f t="shared" si="348"/>
        <v>FLINTSL - GREEN</v>
      </c>
      <c r="AX376" s="409">
        <v>26</v>
      </c>
      <c r="AY376" s="411">
        <f>IF(AX376=0,0,IF($LB376=70%,VLOOKUP($AW376,'Jan-2026 rates'!$L:$R,4,0),IF($LB376=65%,VLOOKUP($AW376,'Jan-2026 rates'!$L:$R,4,0),IF($LB376=40%,VLOOKUP($AW376,'Jan-2026 rates'!$L:$R,5,0),IF($LB376=30%,VLOOKUP($AW376,'Jan-2026 rates'!$L:$R,6,0),IF($LB376=100%,VLOOKUP($AW376,'Jan-2026 rates'!$L:$R,7,0),IF($LB376=60%,VLOOKUP($AW376,'Jan-2026 rates'!$L:$S,8,0),IF($LB376=80%,VLOOKUP($AW376,'Jan-2026 rates'!L:T,9,0),0))))))))</f>
        <v>0</v>
      </c>
      <c r="AZ376" s="412"/>
      <c r="BA376" s="409"/>
      <c r="BB376" s="411">
        <f>IF(BA376=0,0,IF($LB376=70%,VLOOKUP($AW376,'Jan-2026 rates'!$L:$R,4,0),IF($LB376=65%,VLOOKUP($AW376,'Jan-2026 rates'!$L:$R,4,0),IF($LB376=40%,VLOOKUP($AW376,'Jan-2026 rates'!$L:$R,5,0),IF($LB376=30%,VLOOKUP($AW376,'Jan-2026 rates'!$L:$R,6,0),IF($LB376=100%,VLOOKUP($AW376,'Jan-2026 rates'!$L:$R,7,0),IF($LB376=60%,VLOOKUP($AW376,'Jan-2026 rates'!$L:$S,8,0),IF($LB376=80%,VLOOKUP($AW376,'Jan-2026 rates'!L:T,9,0),0))))))))</f>
        <v>0</v>
      </c>
      <c r="BC376" s="413">
        <v>25851000006</v>
      </c>
      <c r="BD376" s="412" t="s">
        <v>477</v>
      </c>
      <c r="BE376" s="412" t="s">
        <v>1646</v>
      </c>
      <c r="BF376" s="413"/>
      <c r="BG376" s="412"/>
      <c r="BH376" s="412"/>
      <c r="BI376" s="412"/>
      <c r="BJ376" s="412"/>
      <c r="BK376" s="409">
        <v>8</v>
      </c>
      <c r="BL376" s="398" t="e">
        <f>IF(BK376=0,0,IF(LEN(BC376)=11,_xlfn.XLOOKUP(BC376,'Dispensed Ink Rates'!C:C,'Dispensed Ink Rates'!CS:CS),VLOOKUP(BC376,'Jan-2026 rates'!$E:$F,2,0)))</f>
        <v>#N/A</v>
      </c>
      <c r="BM376" s="409">
        <v>3</v>
      </c>
      <c r="BN376" s="398">
        <f>IF(BM376=0,0,IF(LEN(BD376)=11,_xlfn.XLOOKUP(BD376,'Dispensed Ink Rates'!C:C,'Dispensed Ink Rates'!CS:CS),VLOOKUP(BD376,'Jan-2026 rates'!$E:$F,2,0)))</f>
        <v>0</v>
      </c>
      <c r="BO376" s="409">
        <v>1</v>
      </c>
      <c r="BP376" s="398">
        <f>IF(BO376=0,0,IF(LEN(BE376)=11,_xlfn.XLOOKUP(BE376,'Dispensed Ink Rates'!C:C,'Dispensed Ink Rates'!CS:CS),VLOOKUP(BE376,'Jan-2026 rates'!$E:$F,2,0)))</f>
        <v>0</v>
      </c>
      <c r="BQ376" s="409"/>
      <c r="BR376" s="398">
        <f>IF(BQ376=0,0,IF(LEN(BF376)=11,_xlfn.XLOOKUP(BF376,'Dispensed Ink Rates'!C:C,'Dispensed Ink Rates'!CS:CS),VLOOKUP(BF376,'Jan-2026 rates'!$E:$F,2,0)))</f>
        <v>0</v>
      </c>
      <c r="BS376" s="409"/>
      <c r="BT376" s="398">
        <f>IF(BS376=0,0,IF(LEN(BG376)=11,_xlfn.XLOOKUP(BG376,'Dispensed Ink Rates'!C:C,'Dispensed Ink Rates'!CS:CS),VLOOKUP(BG376,'Jan-2026 rates'!$E:$F,2,0)))</f>
        <v>0</v>
      </c>
      <c r="BU376" s="409"/>
      <c r="BV376" s="398">
        <f>IF(BU376=0,0,IF(LEN(BH376)=11,_xlfn.XLOOKUP(BH376,'Dispensed Ink Rates'!C:C,'Dispensed Ink Rates'!CS:CS),VLOOKUP(BH376,'Jan-2026 rates'!$E:$F,2,0)))</f>
        <v>0</v>
      </c>
      <c r="BW376" s="409"/>
      <c r="BX376" s="398">
        <f>IF(BW376=0,0,IF(LEN(BI376)=11,_xlfn.XLOOKUP(BI376,'Dispensed Ink Rates'!C:C,'Dispensed Ink Rates'!CS:CS),VLOOKUP(BI376,'Jan-2026 rates'!$E:$F,2,0)))</f>
        <v>0</v>
      </c>
      <c r="BY376" s="409"/>
      <c r="BZ376" s="398">
        <f>IF(BY376=0,0,IF(LEN(BJ376)=11,_xlfn.XLOOKUP(BJ376,'Dispensed Ink Rates'!C:C,'Dispensed Ink Rates'!CS:CS),VLOOKUP(BJ376,'Jan-2026 rates'!$E:$F,2,0)))</f>
        <v>0</v>
      </c>
      <c r="CA376" s="409" t="s">
        <v>1443</v>
      </c>
      <c r="CB376" s="409">
        <v>20</v>
      </c>
      <c r="CC376" s="411">
        <f t="shared" si="215"/>
        <v>0</v>
      </c>
      <c r="CD376" s="411">
        <f t="shared" si="216"/>
        <v>37.252380952380953</v>
      </c>
      <c r="CE376" s="410">
        <f t="shared" si="217"/>
        <v>0</v>
      </c>
      <c r="CF376" s="404" t="s">
        <v>546</v>
      </c>
      <c r="CG376" s="409" t="s">
        <v>4867</v>
      </c>
      <c r="CH376" s="420" t="str">
        <f t="shared" si="185"/>
        <v>FLINTSL - REFLEX BLUE</v>
      </c>
      <c r="CI376" s="409">
        <v>10</v>
      </c>
      <c r="CJ376" s="411">
        <f>IF(CI376=0,0,IF($LB376=70%,VLOOKUP($CH376,'Jan-2026 rates'!$L:$R,4,0),IF($LB376=65%,VLOOKUP($CH376,'Jan-2026 rates'!$L:$R,4,0),IF($LB376=40%,VLOOKUP($CH376,'Jan-2026 rates'!$L:$R,5,0),IF($LB376=30%,VLOOKUP($CH376,'Jan-2026 rates'!$L:$R,6,0),IF($LB376=100%,VLOOKUP($CH376,'Jan-2026 rates'!$L:$R,7,0),IF($LB376=60%,VLOOKUP($CH376,'Jan-2026 rates'!$L:$S,8,0),IF($LB376=80%,VLOOKUP($CH376,'Jan-2026 rates'!L:T,9,0),0))))))))</f>
        <v>0</v>
      </c>
      <c r="CK376" s="412" t="s">
        <v>4868</v>
      </c>
      <c r="CL376" s="409">
        <f>30+24+32+25+24</f>
        <v>135</v>
      </c>
      <c r="CM376" s="411">
        <f>IF(CL376=0,0,IF($LB376=70%,VLOOKUP($CH376,'Jan-2026 rates'!$L:$R,4,0),IF($LB376=65%,VLOOKUP($CH376,'Jan-2026 rates'!$L:$R,4,0),IF($LB376=40%,VLOOKUP($CH376,'Jan-2026 rates'!$L:$R,5,0),IF($LB376=30%,VLOOKUP($CH376,'Jan-2026 rates'!$L:$R,6,0),IF($LB376=100%,VLOOKUP($CH376,'Jan-2026 rates'!$L:$R,7,0),IF($LB376=60%,VLOOKUP($CH376,'Jan-2026 rates'!$L:$S,8,0),IF($LB376=80%,VLOOKUP($CH376,'Jan-2026 rates'!L:T,9,0),0))))))))</f>
        <v>0</v>
      </c>
      <c r="CN376" s="426">
        <v>26529000001</v>
      </c>
      <c r="CO376" s="427">
        <v>26529000002</v>
      </c>
      <c r="CP376" s="426">
        <v>26529000003</v>
      </c>
      <c r="CQ376" s="426" t="s">
        <v>482</v>
      </c>
      <c r="CR376" s="428">
        <v>26530000007</v>
      </c>
      <c r="CS376" s="428">
        <v>26529000043</v>
      </c>
      <c r="CT376" s="428">
        <v>26530000012</v>
      </c>
      <c r="CU376" s="428" t="s">
        <v>477</v>
      </c>
      <c r="CV376" s="409">
        <v>40</v>
      </c>
      <c r="CW376" s="398" t="e">
        <f>IF(CV376=0,0,IF(LEN(CN376)=11,_xlfn.XLOOKUP(CN376,'Dispensed Ink Rates'!C:C,'Dispensed Ink Rates'!CS:CS),VLOOKUP(CN376,'Jan-2026 rates'!$E:$F,2,0)))</f>
        <v>#N/A</v>
      </c>
      <c r="CX376" s="409">
        <v>100</v>
      </c>
      <c r="CY376" s="398" t="e">
        <f>IF(CX376=0,0,IF(LEN(CO376)=11,_xlfn.XLOOKUP(CO376,'Dispensed Ink Rates'!C:C,'Dispensed Ink Rates'!CS:CS),VLOOKUP(CO376,'Jan-2026 rates'!$E:$F,2,0)))</f>
        <v>#N/A</v>
      </c>
      <c r="CZ376" s="409">
        <v>130</v>
      </c>
      <c r="DA376" s="398" t="e">
        <f>IF(CZ376=0,0,IF(LEN(CP376)=11,_xlfn.XLOOKUP(CP376,'Dispensed Ink Rates'!C:C,'Dispensed Ink Rates'!CS:CS),VLOOKUP(CP376,'Jan-2026 rates'!$E:$F,2,0)))</f>
        <v>#N/A</v>
      </c>
      <c r="DB376" s="409">
        <f>40+40</f>
        <v>80</v>
      </c>
      <c r="DC376" s="398">
        <f>IF(DB376=0,0,IF(LEN(CQ376)=11,_xlfn.XLOOKUP(CQ376,'Dispensed Ink Rates'!C:C,'Dispensed Ink Rates'!CS:CS),VLOOKUP(CQ376,'Jan-2026 rates'!$E:$F,2,0)))</f>
        <v>0</v>
      </c>
      <c r="DD376" s="409">
        <v>1</v>
      </c>
      <c r="DE376" s="398" t="e">
        <f>IF(DD376=0,0,IF(LEN(CR376)=11,_xlfn.XLOOKUP(CR376,'Dispensed Ink Rates'!C:C,'Dispensed Ink Rates'!CS:CS),VLOOKUP(CR376,'Jan-2026 rates'!$E:$F,2,0)))</f>
        <v>#N/A</v>
      </c>
      <c r="DF376" s="409">
        <v>40</v>
      </c>
      <c r="DG376" s="398" t="e">
        <f>IF(DF376=0,0,IF(LEN(CS376)=11,_xlfn.XLOOKUP(CS376,'Dispensed Ink Rates'!C:C,'Dispensed Ink Rates'!CS:CS),VLOOKUP(CS376,'Jan-2026 rates'!$E:$F,2,0)))</f>
        <v>#N/A</v>
      </c>
      <c r="DH376" s="409">
        <v>30</v>
      </c>
      <c r="DI376" s="398" t="e">
        <f>IF(DH376=0,0,IF(LEN(CT376)=11,_xlfn.XLOOKUP(CT376,'Dispensed Ink Rates'!C:C,'Dispensed Ink Rates'!CS:CS),VLOOKUP(CT376,'Jan-2026 rates'!$E:$F,2,0)))</f>
        <v>#N/A</v>
      </c>
      <c r="DJ376" s="409">
        <v>6</v>
      </c>
      <c r="DK376" s="398">
        <f>IF(DJ376=0,0,IF(LEN(CU376)=11,_xlfn.XLOOKUP(CU376,'Dispensed Ink Rates'!C:C,'Dispensed Ink Rates'!CS:CS),VLOOKUP(CU376,'Jan-2026 rates'!$E:$F,2,0)))</f>
        <v>0</v>
      </c>
      <c r="DL376" s="409" t="s">
        <v>1443</v>
      </c>
      <c r="DM376" s="409">
        <v>36</v>
      </c>
      <c r="DN376" s="411">
        <f t="shared" si="218"/>
        <v>0</v>
      </c>
      <c r="DO376" s="411">
        <f t="shared" si="219"/>
        <v>901.79523809523812</v>
      </c>
      <c r="DP376" s="410">
        <f t="shared" si="220"/>
        <v>0</v>
      </c>
      <c r="DQ376" s="405" t="s">
        <v>857</v>
      </c>
      <c r="DR376" s="409" t="s">
        <v>4869</v>
      </c>
      <c r="DS376" s="420" t="str">
        <f t="shared" si="186"/>
        <v>FLINTSL - RED</v>
      </c>
      <c r="DT376" s="409">
        <v>25</v>
      </c>
      <c r="DU376" s="411">
        <f>IF(DT376=0,0,IF($LB376=70%,VLOOKUP($DS376,'Jan-2026 rates'!$L:$R,4,0),IF($LB376=65%,VLOOKUP($DS376,'Jan-2026 rates'!$L:$R,4,0),IF($LB376=40%,VLOOKUP($DS376,'Jan-2026 rates'!$L:$R,5,0),IF($LB376=30%,VLOOKUP($DS376,'Jan-2026 rates'!$L:$R,6,0),IF($LB376=100%,VLOOKUP($DS376,'Jan-2026 rates'!$L:$R,7,0),IF($LB376=60%,VLOOKUP($DS376,'Jan-2026 rates'!$L:$S,8,0),IF($LB376=80%,VLOOKUP($DS376,'Jan-2026 rates'!L:T,9,0),0))))))))</f>
        <v>0</v>
      </c>
      <c r="DV376" s="412" t="s">
        <v>4870</v>
      </c>
      <c r="DW376" s="409">
        <f>22+20+24+20+25+24+29+28+38+25</f>
        <v>255</v>
      </c>
      <c r="DX376" s="411">
        <f>IF(DW376=0,0,IF($LB376=70%,VLOOKUP($DS376,'Jan-2026 rates'!$L:$R,4,0),IF($LB376=65%,VLOOKUP($DS376,'Jan-2026 rates'!$L:$R,4,0),IF($LB376=40%,VLOOKUP($DS376,'Jan-2026 rates'!$L:$R,5,0),IF($LB376=30%,VLOOKUP($DS376,'Jan-2026 rates'!$L:$R,6,0),IF($LB376=100%,VLOOKUP($DS376,'Jan-2026 rates'!$L:$R,7,0),IF($LB376=60%,VLOOKUP($DS376,'Jan-2026 rates'!$L:$S,8,0),IF($LB376=80%,VLOOKUP($DS376,'Jan-2026 rates'!L:T,9,0),0))))))))</f>
        <v>0</v>
      </c>
      <c r="DY376" s="413">
        <v>26529000019</v>
      </c>
      <c r="DZ376" s="413">
        <v>26529000010</v>
      </c>
      <c r="EA376" s="412">
        <v>26531000021</v>
      </c>
      <c r="EB376" s="412">
        <v>26530000035</v>
      </c>
      <c r="EC376" s="412" t="s">
        <v>1267</v>
      </c>
      <c r="ED376" s="412" t="s">
        <v>1265</v>
      </c>
      <c r="EE376" s="412">
        <v>26530000014</v>
      </c>
      <c r="EF376" s="412">
        <v>26530000001</v>
      </c>
      <c r="EG376" s="409">
        <v>40</v>
      </c>
      <c r="EH376" s="398" t="e">
        <f>IF(EG376=0,0,IF(LEN(DY376)=11,_xlfn.XLOOKUP(DY376,'Dispensed Ink Rates'!C:C,'Dispensed Ink Rates'!CS:CS),VLOOKUP(DY376,'Jan-2026 rates'!$E:$F,2,0)))</f>
        <v>#N/A</v>
      </c>
      <c r="EI376" s="409">
        <v>130</v>
      </c>
      <c r="EJ376" s="398" t="e">
        <f>IF(EI376=0,0,IF(LEN(DZ376)=11,_xlfn.XLOOKUP(DZ376,'Dispensed Ink Rates'!C:C,'Dispensed Ink Rates'!CS:CS),VLOOKUP(DZ376,'Jan-2026 rates'!$E:$F,2,0)))</f>
        <v>#N/A</v>
      </c>
      <c r="EK376" s="409">
        <v>16</v>
      </c>
      <c r="EL376" s="398" t="e">
        <f>IF(EK376=0,0,IF(LEN(EA376)=11,_xlfn.XLOOKUP(EA376,'Dispensed Ink Rates'!C:C,'Dispensed Ink Rates'!CS:CS),VLOOKUP(EA376,'Jan-2026 rates'!$E:$F,2,0)))</f>
        <v>#N/A</v>
      </c>
      <c r="EM376" s="409">
        <v>2</v>
      </c>
      <c r="EN376" s="398" t="e">
        <f>IF(EM376=0,0,IF(LEN(EB376)=11,_xlfn.XLOOKUP(EB376,'Dispensed Ink Rates'!C:C,'Dispensed Ink Rates'!CS:CS),VLOOKUP(EB376,'Jan-2026 rates'!$E:$F,2,0)))</f>
        <v>#N/A</v>
      </c>
      <c r="EO376" s="409">
        <v>8</v>
      </c>
      <c r="EP376" s="398">
        <f>IF(EO376=0,0,IF(LEN(EC376)=11,_xlfn.XLOOKUP(EC376,'Dispensed Ink Rates'!C:C,'Dispensed Ink Rates'!CS:CS),VLOOKUP(EC376,'Jan-2026 rates'!$E:$F,2,0)))</f>
        <v>0</v>
      </c>
      <c r="EQ376" s="409">
        <f>50+50+100</f>
        <v>200</v>
      </c>
      <c r="ER376" s="398">
        <f>IF(EQ376=0,0,IF(LEN(ED376)=11,_xlfn.XLOOKUP(ED376,'Dispensed Ink Rates'!C:C,'Dispensed Ink Rates'!CS:CS),VLOOKUP(ED376,'Jan-2026 rates'!$E:$F,2,0)))</f>
        <v>0</v>
      </c>
      <c r="ES376" s="409">
        <v>29</v>
      </c>
      <c r="ET376" s="398" t="e">
        <f>IF(ES376=0,0,IF(LEN(EE376)=11,_xlfn.XLOOKUP(EE376,'Dispensed Ink Rates'!C:C,'Dispensed Ink Rates'!CS:CS),VLOOKUP(EE376,'Jan-2026 rates'!$E:$F,2,0)))</f>
        <v>#N/A</v>
      </c>
      <c r="EU376" s="409">
        <v>90</v>
      </c>
      <c r="EV376" s="398" t="e">
        <f>IF(EU376=0,0,IF(LEN(EF376)=11,_xlfn.XLOOKUP(EF376,'Dispensed Ink Rates'!C:C,'Dispensed Ink Rates'!CS:CS),VLOOKUP(EF376,'Jan-2026 rates'!$E:$F,2,0)))</f>
        <v>#N/A</v>
      </c>
      <c r="EW376" s="409" t="s">
        <v>1443</v>
      </c>
      <c r="EX376" s="409">
        <v>27</v>
      </c>
      <c r="EY376" s="411">
        <f t="shared" si="221"/>
        <v>0</v>
      </c>
      <c r="EZ376" s="411">
        <f t="shared" si="222"/>
        <v>1364.8238095238096</v>
      </c>
      <c r="FA376" s="410">
        <f t="shared" si="223"/>
        <v>0</v>
      </c>
      <c r="FB376" s="405" t="s">
        <v>855</v>
      </c>
      <c r="FC376" s="409" t="s">
        <v>4871</v>
      </c>
      <c r="FD376" s="420" t="str">
        <f t="shared" si="187"/>
        <v>FLINTSL - CYAN</v>
      </c>
      <c r="FE376" s="409">
        <v>30</v>
      </c>
      <c r="FF376" s="411">
        <f>IF(FE376=0,0,IF($LB376=70%,VLOOKUP($FD376,'Jan-2026 rates'!$L:$R,4,0),IF($LB376=65%,VLOOKUP($FD376,'Jan-2026 rates'!$L:$R,4,0),IF($LB376=40%,VLOOKUP($FD376,'Jan-2026 rates'!$L:$R,5,0),IF($LB376=30%,VLOOKUP($FD376,'Jan-2026 rates'!$L:$R,6,0),IF($LB376=100%,VLOOKUP($FD376,'Jan-2026 rates'!$L:$R,7,0),IF($LB376=60%,VLOOKUP($FD376,'Jan-2026 rates'!$L:$S,8,0),IF($LB376=80%,VLOOKUP($FD376,'Jan-2026 rates'!L:T,9,0),0))))))))</f>
        <v>0</v>
      </c>
      <c r="FG376" s="412"/>
      <c r="FH376" s="409"/>
      <c r="FI376" s="411">
        <f>IF(FH376=0,0,IF($LB376=70%,VLOOKUP($FD376,'Jan-2026 rates'!$L:$R,4,0),IF($LB376=65%,VLOOKUP($FD376,'Jan-2026 rates'!$L:$R,4,0),IF($LB376=40%,VLOOKUP($FD376,'Jan-2026 rates'!$L:$R,5,0),IF($LB376=30%,VLOOKUP($FD376,'Jan-2026 rates'!$L:$R,6,0),IF($LB376=100%,VLOOKUP($FD376,'Jan-2026 rates'!$L:$R,7,0),IF($LB376=60%,VLOOKUP($FD376,'Jan-2026 rates'!$L:$S,8,0),IF($LB376=80%,VLOOKUP($FD376,'Jan-2026 rates'!L:T,9,0),0))))))))</f>
        <v>0</v>
      </c>
      <c r="FJ376" s="413" t="s">
        <v>477</v>
      </c>
      <c r="FK376" s="413"/>
      <c r="FL376" s="413"/>
      <c r="FM376" s="412"/>
      <c r="FN376" s="412"/>
      <c r="FO376" s="412"/>
      <c r="FP376" s="412"/>
      <c r="FQ376" s="412"/>
      <c r="FR376" s="409">
        <f>6+2</f>
        <v>8</v>
      </c>
      <c r="FS376" s="398">
        <f>IF(FR376=0,0,IF(LEN(FJ376)=11,_xlfn.XLOOKUP(FJ376,'Dispensed Ink Rates'!C:C,'Dispensed Ink Rates'!CS:CS),VLOOKUP(FJ376,'Jan-2026 rates'!$E:$F,2,0)))</f>
        <v>0</v>
      </c>
      <c r="FT376" s="409"/>
      <c r="FU376" s="398">
        <f>IF(FT376=0,0,IF(LEN(FK376)=11,_xlfn.XLOOKUP(FK376,'Dispensed Ink Rates'!C:C,'Dispensed Ink Rates'!CS:CS),VLOOKUP(FK376,'Jan-2026 rates'!$E:$F,2,0)))</f>
        <v>0</v>
      </c>
      <c r="FV376" s="409"/>
      <c r="FW376" s="398">
        <f>IF(FV376=0,0,IF(LEN(FL376)=11,_xlfn.XLOOKUP(FL376,'Dispensed Ink Rates'!C:C,'Dispensed Ink Rates'!CS:CS),VLOOKUP(FL376,'Jan-2026 rates'!$E:$F,2,0)))</f>
        <v>0</v>
      </c>
      <c r="FX376" s="409"/>
      <c r="FY376" s="398">
        <f>IF(FX376=0,0,IF(LEN(FM376)=11,_xlfn.XLOOKUP(FM376,'Dispensed Ink Rates'!C:C,'Dispensed Ink Rates'!CS:CS),VLOOKUP(FM376,'Jan-2026 rates'!$E:$F,2,0)))</f>
        <v>0</v>
      </c>
      <c r="FZ376" s="409"/>
      <c r="GA376" s="398">
        <f>IF(FZ376=0,0,IF(LEN(FN376)=11,_xlfn.XLOOKUP(FN376,'Dispensed Ink Rates'!C:C,'Dispensed Ink Rates'!CS:CS),VLOOKUP(FN376,'Jan-2026 rates'!$E:$F,2,0)))</f>
        <v>0</v>
      </c>
      <c r="GB376" s="409"/>
      <c r="GC376" s="398">
        <f>IF(GB376=0,0,IF(LEN(FO376)=11,_xlfn.XLOOKUP(FO376,'Dispensed Ink Rates'!C:C,'Dispensed Ink Rates'!CS:CS),VLOOKUP(FO376,'Jan-2026 rates'!$E:$F,2,0)))</f>
        <v>0</v>
      </c>
      <c r="GD376" s="409"/>
      <c r="GE376" s="398">
        <f>IF(GD376=0,0,IF(LEN(FP376)=11,_xlfn.XLOOKUP(FP376,'Dispensed Ink Rates'!C:C,'Dispensed Ink Rates'!CS:CS),VLOOKUP(FP376,'Jan-2026 rates'!$E:$F,2,0)))</f>
        <v>0</v>
      </c>
      <c r="GF376" s="409"/>
      <c r="GG376" s="398">
        <f>IF(GF376=0,0,IF(LEN(FQ376)=11,_xlfn.XLOOKUP(FQ376,'Dispensed Ink Rates'!C:C,'Dispensed Ink Rates'!CS:CS),VLOOKUP(FQ376,'Jan-2026 rates'!$E:$F,2,0)))</f>
        <v>0</v>
      </c>
      <c r="GH376" s="409" t="s">
        <v>1443</v>
      </c>
      <c r="GI376" s="409">
        <v>28</v>
      </c>
      <c r="GJ376" s="411">
        <f t="shared" si="224"/>
        <v>0</v>
      </c>
      <c r="GK376" s="411">
        <f t="shared" si="225"/>
        <v>60.05619047619048</v>
      </c>
      <c r="GL376" s="410">
        <f t="shared" si="226"/>
        <v>0</v>
      </c>
      <c r="GM376" s="405" t="s">
        <v>544</v>
      </c>
      <c r="GN376" s="409" t="s">
        <v>4872</v>
      </c>
      <c r="GO376" s="420" t="str">
        <f t="shared" si="188"/>
        <v>FLINTSL - MAGENTA</v>
      </c>
      <c r="GP376" s="409">
        <v>30</v>
      </c>
      <c r="GQ376" s="411">
        <f>IF(GP376=0,0,IF($LB376=70%,VLOOKUP($GO376,'Jan-2026 rates'!$L:$R,4,0),IF($LB376=65%,VLOOKUP($GO376,'Jan-2026 rates'!$L:$R,4,0),IF($LB376=40%,VLOOKUP($GO376,'Jan-2026 rates'!$L:$R,5,0),IF($LB376=30%,VLOOKUP($GO376,'Jan-2026 rates'!$L:$R,6,0),IF($LB376=100%,VLOOKUP($GO376,'Jan-2026 rates'!$L:$R,7,0),IF($LB376=60%,VLOOKUP($GO376,'Jan-2026 rates'!$L:$S,8,0),IF($LB376=80%,VLOOKUP($GO376,'Jan-2026 rates'!L:T,9,0),0))))))))</f>
        <v>0</v>
      </c>
      <c r="GR376" s="412"/>
      <c r="GS376" s="409"/>
      <c r="GT376" s="411">
        <f>IF(GS376=0,0,IF($LB376=70%,VLOOKUP($GO376,'Jan-2026 rates'!$L:$R,4,0),IF($LB376=65%,VLOOKUP($GO376,'Jan-2026 rates'!$L:$R,4,0),IF($LB376=40%,VLOOKUP($GO376,'Jan-2026 rates'!$L:$R,5,0),IF($LB376=30%,VLOOKUP($GO376,'Jan-2026 rates'!$L:$R,6,0),IF($LB376=100%,VLOOKUP($GO376,'Jan-2026 rates'!$L:$R,7,0),IF($LB376=60%,VLOOKUP($GO376,'Jan-2026 rates'!$L:$S,8,0),IF($LB376=80%,VLOOKUP($GO376,'Jan-2026 rates'!L:T,9,0),0))))))))</f>
        <v>0</v>
      </c>
      <c r="GU376" s="413" t="s">
        <v>1265</v>
      </c>
      <c r="GV376" s="413" t="s">
        <v>1266</v>
      </c>
      <c r="GW376" s="412"/>
      <c r="GX376" s="412"/>
      <c r="GY376" s="412"/>
      <c r="GZ376" s="412"/>
      <c r="HA376" s="412"/>
      <c r="HB376" s="412"/>
      <c r="HC376" s="409">
        <f>6+3+4</f>
        <v>13</v>
      </c>
      <c r="HD376" s="398">
        <f>IF(HC376=0,0,IF(LEN(GU376)=11,_xlfn.XLOOKUP(GU376,'Dispensed Ink Rates'!C:C,'Dispensed Ink Rates'!CS:CS),VLOOKUP(GU376,'Jan-2026 rates'!$E:$F,2,0)))</f>
        <v>0</v>
      </c>
      <c r="HE376" s="409">
        <v>2</v>
      </c>
      <c r="HF376" s="398">
        <f>IF(HE376=0,0,IF(LEN(GV376)=11,_xlfn.XLOOKUP(GV376,'Dispensed Ink Rates'!C:C,'Dispensed Ink Rates'!CS:CS),VLOOKUP(GV376,'Jan-2026 rates'!$E:$F,2,0)))</f>
        <v>0</v>
      </c>
      <c r="HG376" s="409"/>
      <c r="HH376" s="398">
        <f>IF(HG376=0,0,IF(LEN(GW376)=11,_xlfn.XLOOKUP(GW376,'Dispensed Ink Rates'!C:C,'Dispensed Ink Rates'!CS:CS),VLOOKUP(GW376,'Jan-2026 rates'!$E:$F,2,0)))</f>
        <v>0</v>
      </c>
      <c r="HI376" s="409"/>
      <c r="HJ376" s="398">
        <f>IF(HI376=0,0,IF(LEN(GX376)=11,_xlfn.XLOOKUP(GX376,'Dispensed Ink Rates'!C:C,'Dispensed Ink Rates'!CS:CS),VLOOKUP(GX376,'Jan-2026 rates'!$E:$F,2,0)))</f>
        <v>0</v>
      </c>
      <c r="HK376" s="409"/>
      <c r="HL376" s="398">
        <f>IF(HK376=0,0,IF(LEN(GY376)=11,_xlfn.XLOOKUP(GY376,'Dispensed Ink Rates'!C:C,'Dispensed Ink Rates'!CS:CS),VLOOKUP(GY376,'Jan-2026 rates'!$E:$F,2,0)))</f>
        <v>0</v>
      </c>
      <c r="HM376" s="409"/>
      <c r="HN376" s="398">
        <f>IF(HM376=0,0,IF(LEN(GZ376)=11,_xlfn.XLOOKUP(GZ376,'Dispensed Ink Rates'!C:C,'Dispensed Ink Rates'!CS:CS),VLOOKUP(GZ376,'Jan-2026 rates'!$E:$F,2,0)))</f>
        <v>0</v>
      </c>
      <c r="HO376" s="409"/>
      <c r="HP376" s="398">
        <f>IF(HO376=0,0,IF(LEN(HA376)=11,_xlfn.XLOOKUP(HA376,'Dispensed Ink Rates'!C:C,'Dispensed Ink Rates'!CS:CS),VLOOKUP(HA376,'Jan-2026 rates'!$E:$F,2,0)))</f>
        <v>0</v>
      </c>
      <c r="HQ376" s="409"/>
      <c r="HR376" s="398">
        <f>IF(HQ376=0,0,IF(LEN(HB376)=11,_xlfn.XLOOKUP(HB376,'Dispensed Ink Rates'!C:C,'Dispensed Ink Rates'!CS:CS),VLOOKUP(HB376,'Jan-2026 rates'!$E:$F,2,0)))</f>
        <v>0</v>
      </c>
      <c r="HS376" s="409" t="s">
        <v>1443</v>
      </c>
      <c r="HT376" s="409">
        <v>28</v>
      </c>
      <c r="HU376" s="411">
        <f t="shared" si="227"/>
        <v>0</v>
      </c>
      <c r="HV376" s="411">
        <f t="shared" si="228"/>
        <v>55.504761904761907</v>
      </c>
      <c r="HW376" s="414">
        <f t="shared" si="229"/>
        <v>0</v>
      </c>
      <c r="HX376" s="405" t="s">
        <v>545</v>
      </c>
      <c r="HY376" s="409" t="s">
        <v>4873</v>
      </c>
      <c r="HZ376" s="420" t="str">
        <f t="shared" si="189"/>
        <v>FLINTSL - YELLOW</v>
      </c>
      <c r="IA376" s="409">
        <v>30</v>
      </c>
      <c r="IB376" s="411">
        <f>IF(IA376=0,0,IF($LB376=70%,VLOOKUP($HZ376,'Jan-2026 rates'!$L:$R,4,0),IF($LB376=65%,VLOOKUP($HZ376,'Jan-2026 rates'!$L:$R,4,0),IF($LB376=40%,VLOOKUP($HZ376,'Jan-2026 rates'!$L:$R,5,0),IF($LB376=30%,VLOOKUP($HZ376,'Jan-2026 rates'!$L:$R,6,0),IF($LB376=100%,VLOOKUP($HZ376,'Jan-2026 rates'!$L:$R,7,0),IF($LB376=60%,VLOOKUP($HZ376,'Jan-2026 rates'!$L:$S,8,0),IF($LB376=80%,VLOOKUP($HZ376,'Jan-2026 rates'!L:T,9,0),0))))))))</f>
        <v>0</v>
      </c>
      <c r="IC376" s="412"/>
      <c r="ID376" s="409"/>
      <c r="IE376" s="411">
        <f>IF(ID376=0,0,IF($LB376=70%,VLOOKUP($HZ376,'Jan-2026 rates'!$L:$R,4,0),IF($LB376=65%,VLOOKUP($HZ376,'Jan-2026 rates'!$L:$R,4,0),IF($LB376=40%,VLOOKUP($HZ376,'Jan-2026 rates'!$L:$R,5,0),IF($LB376=30%,VLOOKUP($HZ376,'Jan-2026 rates'!$L:$R,6,0),IF($LB376=100%,VLOOKUP($HZ376,'Jan-2026 rates'!$L:$R,7,0),IF($LB376=60%,VLOOKUP($HZ376,'Jan-2026 rates'!$L:$S,8,0),IF($LB376=80%,VLOOKUP($HZ376,'Jan-2026 rates'!L:T,9,0),0))))))))</f>
        <v>0</v>
      </c>
      <c r="IF376" s="412" t="s">
        <v>1646</v>
      </c>
      <c r="IG376" s="413" t="s">
        <v>1646</v>
      </c>
      <c r="IH376" s="412">
        <v>26530000021</v>
      </c>
      <c r="II376" s="412">
        <v>26530000026</v>
      </c>
      <c r="IJ376" s="412">
        <v>26531000014</v>
      </c>
      <c r="IK376" s="412">
        <v>26531000033</v>
      </c>
      <c r="IL376" s="412">
        <v>26504000008</v>
      </c>
      <c r="IM376" s="412">
        <v>26505000005</v>
      </c>
      <c r="IN376" s="409">
        <f>10+20+40+50</f>
        <v>120</v>
      </c>
      <c r="IO376" s="398">
        <f>IF(IN376=0,0,IF(LEN(IF376)=11,_xlfn.XLOOKUP(IF376,'Dispensed Ink Rates'!C:C,'Dispensed Ink Rates'!CS:CS),VLOOKUP(IF376,'Jan-2026 rates'!$E:$F,2,0)))</f>
        <v>0</v>
      </c>
      <c r="IP376" s="409">
        <f>30+50</f>
        <v>80</v>
      </c>
      <c r="IQ376" s="398">
        <f>IF(IP376=0,0,IF(LEN(IG376)=11,_xlfn.XLOOKUP(IG376,'Dispensed Ink Rates'!C:C,'Dispensed Ink Rates'!CS:CS),VLOOKUP(IG376,'Jan-2026 rates'!$E:$F,2,0)))</f>
        <v>0</v>
      </c>
      <c r="IR376" s="409">
        <v>10</v>
      </c>
      <c r="IS376" s="398" t="e">
        <f>IF(IR376=0,0,IF(LEN(IH376)=11,_xlfn.XLOOKUP(IH376,'Dispensed Ink Rates'!C:C,'Dispensed Ink Rates'!CS:CS),VLOOKUP(IH376,'Jan-2026 rates'!$E:$F,2,0)))</f>
        <v>#N/A</v>
      </c>
      <c r="IT376" s="409">
        <v>6</v>
      </c>
      <c r="IU376" s="398" t="e">
        <f>IF(IT376=0,0,IF(LEN(II376)=11,_xlfn.XLOOKUP(II376,'Dispensed Ink Rates'!C:C,'Dispensed Ink Rates'!CS:CS),VLOOKUP(II376,'Jan-2026 rates'!$E:$F,2,0)))</f>
        <v>#N/A</v>
      </c>
      <c r="IV376" s="409">
        <v>10</v>
      </c>
      <c r="IW376" s="398" t="e">
        <f>IF(IV376=0,0,IF(LEN(IJ376)=11,_xlfn.XLOOKUP(IJ376,'Dispensed Ink Rates'!C:C,'Dispensed Ink Rates'!CS:CS),VLOOKUP(IJ376,'Jan-2026 rates'!$E:$F,2,0)))</f>
        <v>#N/A</v>
      </c>
      <c r="IX376" s="409">
        <v>15</v>
      </c>
      <c r="IY376" s="398" t="e">
        <f>IF(IX376=0,0,IF(LEN(IK376)=11,_xlfn.XLOOKUP(IK376,'Dispensed Ink Rates'!C:C,'Dispensed Ink Rates'!CS:CS),VLOOKUP(IK376,'Jan-2026 rates'!$E:$F,2,0)))</f>
        <v>#N/A</v>
      </c>
      <c r="IZ376" s="409">
        <v>9</v>
      </c>
      <c r="JA376" s="398" t="e">
        <f>IF(IZ376=0,0,IF(LEN(IL376)=11,_xlfn.XLOOKUP(IL376,'Dispensed Ink Rates'!C:C,'Dispensed Ink Rates'!CS:CS),VLOOKUP(IL376,'Jan-2026 rates'!$E:$F,2,0)))</f>
        <v>#N/A</v>
      </c>
      <c r="JB376" s="409">
        <v>6</v>
      </c>
      <c r="JC376" s="398" t="e">
        <f>IF(JB376=0,0,IF(LEN(IM376)=11,_xlfn.XLOOKUP(IM376,'Dispensed Ink Rates'!C:C,'Dispensed Ink Rates'!CS:CS),VLOOKUP(IM376,'Jan-2026 rates'!$E:$F,2,0)))</f>
        <v>#N/A</v>
      </c>
      <c r="JD376" s="409" t="s">
        <v>1443</v>
      </c>
      <c r="JE376" s="409">
        <v>35</v>
      </c>
      <c r="JF376" s="411">
        <f t="shared" si="230"/>
        <v>0</v>
      </c>
      <c r="JG376" s="411">
        <f t="shared" si="231"/>
        <v>597.5428571428572</v>
      </c>
      <c r="JH376" s="410">
        <f t="shared" si="232"/>
        <v>0</v>
      </c>
      <c r="JI376" s="405" t="s">
        <v>856</v>
      </c>
      <c r="JJ376" s="409" t="s">
        <v>4874</v>
      </c>
      <c r="JK376" s="420" t="str">
        <f t="shared" si="190"/>
        <v>FLINTSL - WHITE</v>
      </c>
      <c r="JL376" s="409">
        <v>30</v>
      </c>
      <c r="JM376" s="411">
        <f>IF(JL376=0,0,IF($LB376=70%,VLOOKUP($JK376,'Jan-2026 rates'!$L:$R,4,0),IF($LB376=65%,VLOOKUP($JK376,'Jan-2026 rates'!$L:$R,4,0),IF($LB376=40%,VLOOKUP($JK376,'Jan-2026 rates'!$L:$R,5,0),IF($LB376=30%,VLOOKUP($JK376,'Jan-2026 rates'!$L:$R,6,0),IF($LB376=100%,VLOOKUP($JK376,'Jan-2026 rates'!$L:$R,7,0),IF($LB376=60%,VLOOKUP($JK376,'Jan-2026 rates'!$L:$S,8,0),IF($LB376=80%,VLOOKUP($JK376,'Jan-2026 rates'!L:T,9,0),0))))))))</f>
        <v>0</v>
      </c>
      <c r="JN376" s="412"/>
      <c r="JO376" s="409"/>
      <c r="JP376" s="411">
        <f>IF(JO376=0,0,IF($LB376=70%,VLOOKUP($JK376,'Jan-2026 rates'!$L:$R,4,0),IF($LB376=65%,VLOOKUP($JK376,'Jan-2026 rates'!$L:$R,4,0),IF($LB376=40%,VLOOKUP($JK376,'Jan-2026 rates'!$L:$R,5,0),IF($LB376=30%,VLOOKUP($JK376,'Jan-2026 rates'!$L:$R,6,0),IF($LB376=100%,VLOOKUP($JK376,'Jan-2026 rates'!$L:$R,7,0),IF($LB376=60%,VLOOKUP($JK376,'Jan-2026 rates'!$L:$S,8,0),IF($LB376=80%,VLOOKUP($JK376,'Jan-2026 rates'!L:T,9,0),0))))))))</f>
        <v>0</v>
      </c>
      <c r="JQ376" s="413" t="s">
        <v>484</v>
      </c>
      <c r="JR376" s="412"/>
      <c r="JS376" s="413"/>
      <c r="JT376" s="413"/>
      <c r="JU376" s="412"/>
      <c r="JV376" s="412"/>
      <c r="JW376" s="412"/>
      <c r="JX376" s="412"/>
      <c r="JY376" s="409">
        <f>200+100+380+400+200+200</f>
        <v>1480</v>
      </c>
      <c r="JZ376" s="398" t="s">
        <v>4875</v>
      </c>
      <c r="KA376" s="409"/>
      <c r="KB376" s="398">
        <f>IF(KA376=0,0,IF(LEN(JR376)=11,_xlfn.XLOOKUP(JR376,'Dispensed Ink Rates'!C:C,'Dispensed Ink Rates'!CS:CS),VLOOKUP(JR376,'Jan-2026 rates'!$E:$F,2,0)))</f>
        <v>0</v>
      </c>
      <c r="KC376" s="409"/>
      <c r="KD376" s="398">
        <f>IF(KC376=0,0,IF(LEN(JS376)=11,_xlfn.XLOOKUP(JS376,'Dispensed Ink Rates'!C:C,'Dispensed Ink Rates'!CS:CS),VLOOKUP(JS376,'Jan-2026 rates'!$E:$F,2,0)))</f>
        <v>0</v>
      </c>
      <c r="KE376" s="409"/>
      <c r="KF376" s="398">
        <f>IF(KE376=0,0,IF(LEN(JT376)=11,_xlfn.XLOOKUP(JT376,'Dispensed Ink Rates'!C:C,'Dispensed Ink Rates'!CS:CS),VLOOKUP(JT376,'Jan-2026 rates'!$E:$F,2,0)))</f>
        <v>0</v>
      </c>
      <c r="KG376" s="409"/>
      <c r="KH376" s="398">
        <f>IF(KG376=0,0,IF(LEN(JU376)=11,_xlfn.XLOOKUP(JU376,'Dispensed Ink Rates'!C:C,'Dispensed Ink Rates'!CS:CS),VLOOKUP(JU376,'Jan-2026 rates'!$E:$F,2,0)))</f>
        <v>0</v>
      </c>
      <c r="KI376" s="409"/>
      <c r="KJ376" s="398">
        <f>IF(KI376=0,0,IF(LEN(JV376)=11,_xlfn.XLOOKUP(JV376,'Dispensed Ink Rates'!C:C,'Dispensed Ink Rates'!CS:CS),VLOOKUP(JV376,'Jan-2026 rates'!$E:$F,2,0)))</f>
        <v>0</v>
      </c>
      <c r="KK376" s="409"/>
      <c r="KL376" s="398">
        <f>IF(KK376=0,0,IF(LEN(JW376)=11,_xlfn.XLOOKUP(JW376,'Dispensed Ink Rates'!C:C,'Dispensed Ink Rates'!CS:CS),VLOOKUP(JW376,'Jan-2026 rates'!$E:$F,2,0)))</f>
        <v>0</v>
      </c>
      <c r="KM376" s="428"/>
      <c r="KN376" s="398">
        <f>IF(KM376=0,0,IF(LEN(JX376)=11,_xlfn.XLOOKUP(JX376,'Dispensed Ink Rates'!C:C,'Dispensed Ink Rates'!CS:CS),VLOOKUP(JX376,'Jan-2026 rates'!$E:$F,2,0)))</f>
        <v>0</v>
      </c>
      <c r="KO376" s="409" t="s">
        <v>1443</v>
      </c>
      <c r="KP376" s="409">
        <v>30</v>
      </c>
      <c r="KQ376" s="411">
        <f t="shared" si="233"/>
        <v>0</v>
      </c>
      <c r="KR376" s="411">
        <f t="shared" si="234"/>
        <v>4021.3142857142857</v>
      </c>
      <c r="KS376" s="410">
        <f t="shared" si="235"/>
        <v>0</v>
      </c>
      <c r="KT376" s="409">
        <f>16+6</f>
        <v>22</v>
      </c>
      <c r="KU376" s="409">
        <v>5</v>
      </c>
      <c r="KV376" s="409">
        <f>30+15+20+30</f>
        <v>95</v>
      </c>
      <c r="KW376" s="409">
        <f>30+30+15+30+50</f>
        <v>155</v>
      </c>
      <c r="KX376" s="409">
        <f>8+5</f>
        <v>13</v>
      </c>
      <c r="KY376" s="409">
        <v>10</v>
      </c>
      <c r="KZ376" s="409">
        <f>5+5+10+20+20+30</f>
        <v>90</v>
      </c>
      <c r="LA376" s="409">
        <f>60+60+60+180+180+120</f>
        <v>660</v>
      </c>
      <c r="LB376" s="415">
        <v>0.8</v>
      </c>
      <c r="LC376" s="415">
        <v>0.2</v>
      </c>
      <c r="LD376" s="424"/>
      <c r="LE376" s="415"/>
      <c r="LF376" s="415"/>
      <c r="LG376" s="409">
        <v>0</v>
      </c>
      <c r="LH376" s="409">
        <f>815+720+480+1600+400+5+5+5+5+5+3</f>
        <v>4043</v>
      </c>
      <c r="LI376" s="409">
        <v>0</v>
      </c>
      <c r="LJ376" s="409">
        <v>0</v>
      </c>
      <c r="LK376" s="416">
        <f t="shared" si="191"/>
        <v>4043</v>
      </c>
      <c r="LL376" s="416">
        <f t="shared" si="349"/>
        <v>4043</v>
      </c>
      <c r="LM376" s="417">
        <f t="shared" si="193"/>
        <v>3234.4</v>
      </c>
      <c r="LN376" s="417">
        <f>VLOOKUP($LM$8,'Jan-2026 rates'!$H:$I,2,0)</f>
        <v>0</v>
      </c>
      <c r="LO376" s="417">
        <f t="shared" si="194"/>
        <v>808.6</v>
      </c>
      <c r="LP376" s="417">
        <f>VLOOKUP($LO$8,'Jan-2026 rates'!$H:$I,2,0)</f>
        <v>0</v>
      </c>
      <c r="LQ376" s="417">
        <f t="shared" si="195"/>
        <v>0</v>
      </c>
      <c r="LR376" s="417">
        <f>VLOOKUP($LQ$8,'Jan-2026 rates'!$H:$I,2,0)</f>
        <v>0</v>
      </c>
      <c r="LS376" s="417">
        <f t="shared" si="196"/>
        <v>0</v>
      </c>
      <c r="LT376" s="417">
        <f>VLOOKUP($LS$8,'Jan-2026 rates'!$H:$I,2,0)</f>
        <v>0</v>
      </c>
      <c r="LU376" s="417">
        <f t="shared" si="197"/>
        <v>0</v>
      </c>
      <c r="LV376" s="417">
        <f>VLOOKUP($LU$8,'Jan-2026 rates'!$H:$I,2,0)</f>
        <v>0</v>
      </c>
      <c r="LW376" s="417">
        <f t="shared" si="198"/>
        <v>0</v>
      </c>
      <c r="LX376" s="417">
        <f t="shared" si="199"/>
        <v>0</v>
      </c>
      <c r="LY376" s="418">
        <f t="shared" si="200"/>
        <v>0</v>
      </c>
      <c r="LZ376" s="417"/>
      <c r="MA376" s="435">
        <f t="shared" si="201"/>
        <v>2739</v>
      </c>
      <c r="MB376" s="282">
        <f t="shared" si="202"/>
        <v>7169</v>
      </c>
      <c r="MC376" s="283">
        <v>213</v>
      </c>
      <c r="MD376" s="284" t="str">
        <f t="shared" si="203"/>
        <v>FLINTSLFLINTSLFLINTSLFLINTSLFLINTSLFLINTSLFLINTSLFLINTSL</v>
      </c>
      <c r="ME376" s="293" t="str">
        <f t="shared" si="204"/>
        <v>+</v>
      </c>
      <c r="MF376" s="293" t="str">
        <f t="shared" si="205"/>
        <v>+</v>
      </c>
      <c r="MG376" s="293" t="str">
        <f t="shared" si="206"/>
        <v>+</v>
      </c>
      <c r="MH376" s="293" t="str">
        <f t="shared" si="207"/>
        <v>+</v>
      </c>
      <c r="MI376" s="293" t="str">
        <f t="shared" si="208"/>
        <v>+</v>
      </c>
      <c r="MJ376" s="293" t="str">
        <f t="shared" si="209"/>
        <v>+</v>
      </c>
      <c r="MK376" s="293" t="str">
        <f t="shared" si="210"/>
        <v>+</v>
      </c>
      <c r="ML376" s="293" t="str">
        <f t="shared" si="211"/>
        <v>+</v>
      </c>
      <c r="MM376" s="3" t="b">
        <f t="array" ref="MM376">OR(ME376:ML376="-")</f>
        <v>0</v>
      </c>
      <c r="MO376" s="401">
        <f t="shared" si="350"/>
        <v>62.06389057224483</v>
      </c>
      <c r="MP376" s="286"/>
      <c r="MR376" s="402">
        <f t="shared" si="351"/>
        <v>1.2277787292344579E-2</v>
      </c>
      <c r="MS376" s="400">
        <f t="shared" si="352"/>
        <v>0</v>
      </c>
      <c r="MT376" s="285"/>
      <c r="NH376" s="361"/>
      <c r="NJ376" s="282"/>
    </row>
    <row r="377" spans="1:374" ht="16.5">
      <c r="A377" s="403">
        <v>46050</v>
      </c>
      <c r="B377" s="404" t="s">
        <v>1015</v>
      </c>
      <c r="C377" s="405" t="s">
        <v>4864</v>
      </c>
      <c r="D377" s="404">
        <v>213</v>
      </c>
      <c r="E377" s="404">
        <v>0</v>
      </c>
      <c r="F377" s="407">
        <v>0</v>
      </c>
      <c r="G377" s="407">
        <v>0</v>
      </c>
      <c r="H377" s="408">
        <v>0</v>
      </c>
      <c r="I377" s="409">
        <v>0</v>
      </c>
      <c r="J377" s="405" t="s">
        <v>546</v>
      </c>
      <c r="K377" s="404"/>
      <c r="L377" s="419" t="str">
        <f t="shared" si="184"/>
        <v>FLINTSL - REFLEX BLUE</v>
      </c>
      <c r="M377" s="404"/>
      <c r="N377" s="410">
        <f>IF(M377=0,0,IF($LB377=70%,VLOOKUP($L377,'Jan-2026 rates'!$L:$R,4,0),IF($LB377=65%,VLOOKUP($L377,'Jan-2026 rates'!$L:$R,4,0),IF($LB377=40%,VLOOKUP($L377,'Jan-2026 rates'!$L:$R,5,0),IF($LB377=30%,VLOOKUP($L377,'Jan-2026 rates'!$L:$R,6,0),IF($LB377=100%,VLOOKUP($L377,'Jan-2026 rates'!$L:$R,7,0),IF($LB377=60%,VLOOKUP($L377,'Jan-2026 rates'!$L:$S,8,0),IF($LB377=80%,VLOOKUP($L377,'Jan-2026 rates'!L:T,9,0),0))))))))</f>
        <v>0</v>
      </c>
      <c r="O377" s="406"/>
      <c r="P377" s="404"/>
      <c r="Q377" s="410">
        <f>IF(P377=0,0,IF($LB377=70%,VLOOKUP($L377,'Jan-2026 rates'!$L:$R,4,0),IF($LB377=65%,VLOOKUP($L377,'Jan-2026 rates'!$L:$R,4,0),IF($LB377=40%,VLOOKUP($L377,'Jan-2026 rates'!$L:$R,5,0),IF($LB377=30%,VLOOKUP($L377,'Jan-2026 rates'!$L:$R,6,0),IF($LB377=100%,VLOOKUP($L377,'Jan-2026 rates'!$L:$R,7,0),IF($LB377=60%,VLOOKUP($L377,'Jan-2026 rates'!$L:$S,8,0),IF($LB377=80%,VLOOKUP($L377,'Jan-2026 rates'!L:T,9,0),0))))))))</f>
        <v>0</v>
      </c>
      <c r="R377" s="406">
        <v>26530000002</v>
      </c>
      <c r="S377" s="406">
        <v>26529000016</v>
      </c>
      <c r="T377" s="406">
        <v>26530000013</v>
      </c>
      <c r="U377" s="406">
        <v>26530000008</v>
      </c>
      <c r="V377" s="406">
        <v>26529000045</v>
      </c>
      <c r="W377" s="406">
        <v>26508000024</v>
      </c>
      <c r="X377" s="406">
        <v>26511000001</v>
      </c>
      <c r="Y377" s="406">
        <v>26511000002</v>
      </c>
      <c r="Z377" s="404">
        <v>115.5</v>
      </c>
      <c r="AA377" s="398" t="e">
        <f>IF(Z377=0,0,IF(LEN(R377)=11,_xlfn.XLOOKUP(R377,'Dispensed Ink Rates'!C:C,'Dispensed Ink Rates'!CS:CS),VLOOKUP(R377,'Jan-2026 rates'!$E:$F,2,0)))</f>
        <v>#N/A</v>
      </c>
      <c r="AB377" s="404">
        <v>148</v>
      </c>
      <c r="AC377" s="398" t="e">
        <f>IF(AB377=0,0,IF(LEN(S377)=11,_xlfn.XLOOKUP(S377,'Dispensed Ink Rates'!C:C,'Dispensed Ink Rates'!CS:CS),VLOOKUP(S377,'Jan-2026 rates'!$E:$F,2,0)))</f>
        <v>#N/A</v>
      </c>
      <c r="AD377" s="404">
        <v>120</v>
      </c>
      <c r="AE377" s="398" t="e">
        <f>IF(AD377=0,0,IF(LEN(T377)=11,_xlfn.XLOOKUP(T377,'Dispensed Ink Rates'!C:C,'Dispensed Ink Rates'!CS:CS),VLOOKUP(T377,'Jan-2026 rates'!$E:$F,2,0)))</f>
        <v>#N/A</v>
      </c>
      <c r="AF377" s="404">
        <v>40</v>
      </c>
      <c r="AG377" s="398" t="e">
        <f>IF(AF377=0,0,IF(LEN(U377)=11,_xlfn.XLOOKUP(U377,'Dispensed Ink Rates'!C:C,'Dispensed Ink Rates'!CS:CS),VLOOKUP(U377,'Jan-2026 rates'!$E:$F,2,0)))</f>
        <v>#N/A</v>
      </c>
      <c r="AH377" s="404">
        <v>10</v>
      </c>
      <c r="AI377" s="398" t="e">
        <f>IF(AH377=0,0,IF(LEN(V377)=11,_xlfn.XLOOKUP(V377,'Dispensed Ink Rates'!C:C,'Dispensed Ink Rates'!CS:CS),VLOOKUP(V377,'Jan-2026 rates'!$E:$F,2,0)))</f>
        <v>#N/A</v>
      </c>
      <c r="AJ377" s="404">
        <v>20</v>
      </c>
      <c r="AK377" s="398" t="e">
        <f>IF(AJ377=0,0,IF(LEN(W377)=11,_xlfn.XLOOKUP(W377,'Dispensed Ink Rates'!C:C,'Dispensed Ink Rates'!CS:CS),VLOOKUP(W377,'Jan-2026 rates'!$E:$F,2,0)))</f>
        <v>#N/A</v>
      </c>
      <c r="AL377" s="404">
        <v>25</v>
      </c>
      <c r="AM377" s="398" t="e">
        <f>IF(AL377=0,0,IF(LEN(X377)=11,_xlfn.XLOOKUP(X377,'Dispensed Ink Rates'!C:C,'Dispensed Ink Rates'!CS:CS),VLOOKUP(X377,'Jan-2026 rates'!$E:$F,2,0)))</f>
        <v>#N/A</v>
      </c>
      <c r="AN377" s="404">
        <v>10</v>
      </c>
      <c r="AO377" s="398" t="e">
        <f>IF(AN377=0,0,IF(LEN(Y377)=11,_xlfn.XLOOKUP(Y377,'Dispensed Ink Rates'!C:C,'Dispensed Ink Rates'!CS:CS),VLOOKUP(Y377,'Jan-2026 rates'!$E:$F,2,0)))</f>
        <v>#N/A</v>
      </c>
      <c r="AP377" s="409" t="s">
        <v>1443</v>
      </c>
      <c r="AQ377" s="409">
        <v>0</v>
      </c>
      <c r="AR377" s="410">
        <f t="shared" si="212"/>
        <v>0</v>
      </c>
      <c r="AS377" s="411">
        <f t="shared" si="213"/>
        <v>0</v>
      </c>
      <c r="AT377" s="410">
        <f t="shared" si="214"/>
        <v>0</v>
      </c>
      <c r="AU377" s="405" t="s">
        <v>857</v>
      </c>
      <c r="AV377" s="409"/>
      <c r="AW377" s="420" t="str">
        <f t="shared" si="348"/>
        <v>FLINTSL - RED</v>
      </c>
      <c r="AX377" s="409"/>
      <c r="AY377" s="411">
        <f>IF(AX377=0,0,IF($LB377=70%,VLOOKUP($AW377,'Jan-2026 rates'!$L:$R,4,0),IF($LB377=65%,VLOOKUP($AW377,'Jan-2026 rates'!$L:$R,4,0),IF($LB377=40%,VLOOKUP($AW377,'Jan-2026 rates'!$L:$R,5,0),IF($LB377=30%,VLOOKUP($AW377,'Jan-2026 rates'!$L:$R,6,0),IF($LB377=100%,VLOOKUP($AW377,'Jan-2026 rates'!$L:$R,7,0),IF($LB377=60%,VLOOKUP($AW377,'Jan-2026 rates'!$L:$S,8,0),IF($LB377=80%,VLOOKUP($AW377,'Jan-2026 rates'!L:T,9,0),0))))))))</f>
        <v>0</v>
      </c>
      <c r="AZ377" s="412"/>
      <c r="BA377" s="409"/>
      <c r="BB377" s="411">
        <f>IF(BA377=0,0,IF($LB377=70%,VLOOKUP($AW377,'Jan-2026 rates'!$L:$R,4,0),IF($LB377=65%,VLOOKUP($AW377,'Jan-2026 rates'!$L:$R,4,0),IF($LB377=40%,VLOOKUP($AW377,'Jan-2026 rates'!$L:$R,5,0),IF($LB377=30%,VLOOKUP($AW377,'Jan-2026 rates'!$L:$R,6,0),IF($LB377=100%,VLOOKUP($AW377,'Jan-2026 rates'!$L:$R,7,0),IF($LB377=60%,VLOOKUP($AW377,'Jan-2026 rates'!$L:$S,8,0),IF($LB377=80%,VLOOKUP($AW377,'Jan-2026 rates'!L:T,9,0),0))))))))</f>
        <v>0</v>
      </c>
      <c r="BC377" s="413">
        <v>26529000029</v>
      </c>
      <c r="BD377" s="412" t="s">
        <v>1265</v>
      </c>
      <c r="BE377" s="412" t="s">
        <v>1264</v>
      </c>
      <c r="BF377" s="413">
        <v>26529000030</v>
      </c>
      <c r="BG377" s="412">
        <v>26530000004</v>
      </c>
      <c r="BH377" s="412">
        <v>26530000016</v>
      </c>
      <c r="BI377" s="412">
        <v>26514000010</v>
      </c>
      <c r="BJ377" s="412">
        <v>26507000009</v>
      </c>
      <c r="BK377" s="409">
        <v>30</v>
      </c>
      <c r="BL377" s="398" t="e">
        <f>IF(BK377=0,0,IF(LEN(BC377)=11,_xlfn.XLOOKUP(BC377,'Dispensed Ink Rates'!C:C,'Dispensed Ink Rates'!CS:CS),VLOOKUP(BC377,'Jan-2026 rates'!$E:$F,2,0)))</f>
        <v>#N/A</v>
      </c>
      <c r="BM377" s="409">
        <f>40+40+48+50</f>
        <v>178</v>
      </c>
      <c r="BN377" s="398">
        <f>IF(BM377=0,0,IF(LEN(BD377)=11,_xlfn.XLOOKUP(BD377,'Dispensed Ink Rates'!C:C,'Dispensed Ink Rates'!CS:CS),VLOOKUP(BD377,'Jan-2026 rates'!$E:$F,2,0)))</f>
        <v>0</v>
      </c>
      <c r="BO377" s="409">
        <v>0.3</v>
      </c>
      <c r="BP377" s="398">
        <f>IF(BO377=0,0,IF(LEN(BE377)=11,_xlfn.XLOOKUP(BE377,'Dispensed Ink Rates'!C:C,'Dispensed Ink Rates'!CS:CS),VLOOKUP(BE377,'Jan-2026 rates'!$E:$F,2,0)))</f>
        <v>0</v>
      </c>
      <c r="BQ377" s="409">
        <v>86</v>
      </c>
      <c r="BR377" s="398" t="e">
        <f>IF(BQ377=0,0,IF(LEN(BF377)=11,_xlfn.XLOOKUP(BF377,'Dispensed Ink Rates'!C:C,'Dispensed Ink Rates'!CS:CS),VLOOKUP(BF377,'Jan-2026 rates'!$E:$F,2,0)))</f>
        <v>#N/A</v>
      </c>
      <c r="BS377" s="409">
        <v>118</v>
      </c>
      <c r="BT377" s="398" t="e">
        <f>IF(BS377=0,0,IF(LEN(BG377)=11,_xlfn.XLOOKUP(BG377,'Dispensed Ink Rates'!C:C,'Dispensed Ink Rates'!CS:CS),VLOOKUP(BG377,'Jan-2026 rates'!$E:$F,2,0)))</f>
        <v>#N/A</v>
      </c>
      <c r="BU377" s="409">
        <v>28</v>
      </c>
      <c r="BV377" s="398" t="e">
        <f>IF(BU377=0,0,IF(LEN(BH377)=11,_xlfn.XLOOKUP(BH377,'Dispensed Ink Rates'!C:C,'Dispensed Ink Rates'!CS:CS),VLOOKUP(BH377,'Jan-2026 rates'!$E:$F,2,0)))</f>
        <v>#N/A</v>
      </c>
      <c r="BW377" s="409">
        <v>6</v>
      </c>
      <c r="BX377" s="398" t="e">
        <f>IF(BW377=0,0,IF(LEN(BI377)=11,_xlfn.XLOOKUP(BI377,'Dispensed Ink Rates'!C:C,'Dispensed Ink Rates'!CS:CS),VLOOKUP(BI377,'Jan-2026 rates'!$E:$F,2,0)))</f>
        <v>#N/A</v>
      </c>
      <c r="BY377" s="409">
        <v>9</v>
      </c>
      <c r="BZ377" s="398" t="e">
        <f>IF(BY377=0,0,IF(LEN(BJ377)=11,_xlfn.XLOOKUP(BJ377,'Dispensed Ink Rates'!C:C,'Dispensed Ink Rates'!CS:CS),VLOOKUP(BJ377,'Jan-2026 rates'!$E:$F,2,0)))</f>
        <v>#N/A</v>
      </c>
      <c r="CA377" s="409" t="s">
        <v>1443</v>
      </c>
      <c r="CB377" s="409">
        <v>0</v>
      </c>
      <c r="CC377" s="411">
        <f t="shared" si="215"/>
        <v>0</v>
      </c>
      <c r="CD377" s="411">
        <f t="shared" si="216"/>
        <v>0</v>
      </c>
      <c r="CE377" s="410">
        <f t="shared" si="217"/>
        <v>0</v>
      </c>
      <c r="CF377" s="404" t="s">
        <v>857</v>
      </c>
      <c r="CG377" s="409"/>
      <c r="CH377" s="420" t="str">
        <f t="shared" si="185"/>
        <v>FLINTSL - RED</v>
      </c>
      <c r="CI377" s="409"/>
      <c r="CJ377" s="411">
        <f>IF(CI377=0,0,IF($LB377=70%,VLOOKUP($CH377,'Jan-2026 rates'!$L:$R,4,0),IF($LB377=65%,VLOOKUP($CH377,'Jan-2026 rates'!$L:$R,4,0),IF($LB377=40%,VLOOKUP($CH377,'Jan-2026 rates'!$L:$R,5,0),IF($LB377=30%,VLOOKUP($CH377,'Jan-2026 rates'!$L:$R,6,0),IF($LB377=100%,VLOOKUP($CH377,'Jan-2026 rates'!$L:$R,7,0),IF($LB377=60%,VLOOKUP($CH377,'Jan-2026 rates'!$L:$S,8,0),IF($LB377=80%,VLOOKUP($CH377,'Jan-2026 rates'!L:T,9,0),0))))))))</f>
        <v>0</v>
      </c>
      <c r="CK377" s="412"/>
      <c r="CL377" s="409"/>
      <c r="CM377" s="411">
        <f>IF(CL377=0,0,IF($LB377=70%,VLOOKUP($CH377,'Jan-2026 rates'!$L:$R,4,0),IF($LB377=65%,VLOOKUP($CH377,'Jan-2026 rates'!$L:$R,4,0),IF($LB377=40%,VLOOKUP($CH377,'Jan-2026 rates'!$L:$R,5,0),IF($LB377=30%,VLOOKUP($CH377,'Jan-2026 rates'!$L:$R,6,0),IF($LB377=100%,VLOOKUP($CH377,'Jan-2026 rates'!$L:$R,7,0),IF($LB377=60%,VLOOKUP($CH377,'Jan-2026 rates'!$L:$S,8,0),IF($LB377=80%,VLOOKUP($CH377,'Jan-2026 rates'!L:T,9,0),0))))))))</f>
        <v>0</v>
      </c>
      <c r="CN377" s="426">
        <v>26507000018</v>
      </c>
      <c r="CO377" s="427">
        <v>26507000019</v>
      </c>
      <c r="CP377" s="426">
        <v>26513000020</v>
      </c>
      <c r="CQ377" s="426"/>
      <c r="CR377" s="428"/>
      <c r="CS377" s="428"/>
      <c r="CT377" s="428"/>
      <c r="CU377" s="428"/>
      <c r="CV377" s="409">
        <v>6.5</v>
      </c>
      <c r="CW377" s="398" t="e">
        <f>IF(CV377=0,0,IF(LEN(CN377)=11,_xlfn.XLOOKUP(CN377,'Dispensed Ink Rates'!C:C,'Dispensed Ink Rates'!CS:CS),VLOOKUP(CN377,'Jan-2026 rates'!$E:$F,2,0)))</f>
        <v>#N/A</v>
      </c>
      <c r="CX377" s="409">
        <v>8</v>
      </c>
      <c r="CY377" s="398" t="e">
        <f>IF(CX377=0,0,IF(LEN(CO377)=11,_xlfn.XLOOKUP(CO377,'Dispensed Ink Rates'!C:C,'Dispensed Ink Rates'!CS:CS),VLOOKUP(CO377,'Jan-2026 rates'!$E:$F,2,0)))</f>
        <v>#N/A</v>
      </c>
      <c r="CZ377" s="409">
        <v>6</v>
      </c>
      <c r="DA377" s="398" t="e">
        <f>IF(CZ377=0,0,IF(LEN(CP377)=11,_xlfn.XLOOKUP(CP377,'Dispensed Ink Rates'!C:C,'Dispensed Ink Rates'!CS:CS),VLOOKUP(CP377,'Jan-2026 rates'!$E:$F,2,0)))</f>
        <v>#N/A</v>
      </c>
      <c r="DB377" s="409"/>
      <c r="DC377" s="398">
        <f>IF(DB377=0,0,IF(LEN(CQ377)=11,_xlfn.XLOOKUP(CQ377,'Dispensed Ink Rates'!C:C,'Dispensed Ink Rates'!CS:CS),VLOOKUP(CQ377,'Jan-2026 rates'!$E:$F,2,0)))</f>
        <v>0</v>
      </c>
      <c r="DD377" s="409"/>
      <c r="DE377" s="398">
        <f>IF(DD377=0,0,IF(LEN(CR377)=11,_xlfn.XLOOKUP(CR377,'Dispensed Ink Rates'!C:C,'Dispensed Ink Rates'!CS:CS),VLOOKUP(CR377,'Jan-2026 rates'!$E:$F,2,0)))</f>
        <v>0</v>
      </c>
      <c r="DF377" s="409"/>
      <c r="DG377" s="398">
        <f>IF(DF377=0,0,IF(LEN(CS377)=11,_xlfn.XLOOKUP(CS377,'Dispensed Ink Rates'!C:C,'Dispensed Ink Rates'!CS:CS),VLOOKUP(CS377,'Jan-2026 rates'!$E:$F,2,0)))</f>
        <v>0</v>
      </c>
      <c r="DH377" s="409"/>
      <c r="DI377" s="398">
        <f>IF(DH377=0,0,IF(LEN(CT377)=11,_xlfn.XLOOKUP(CT377,'Dispensed Ink Rates'!C:C,'Dispensed Ink Rates'!CS:CS),VLOOKUP(CT377,'Jan-2026 rates'!$E:$F,2,0)))</f>
        <v>0</v>
      </c>
      <c r="DJ377" s="409"/>
      <c r="DK377" s="398">
        <f>IF(DJ377=0,0,IF(LEN(CU377)=11,_xlfn.XLOOKUP(CU377,'Dispensed Ink Rates'!C:C,'Dispensed Ink Rates'!CS:CS),VLOOKUP(CU377,'Jan-2026 rates'!$E:$F,2,0)))</f>
        <v>0</v>
      </c>
      <c r="DL377" s="409" t="s">
        <v>1443</v>
      </c>
      <c r="DM377" s="409">
        <v>0</v>
      </c>
      <c r="DN377" s="411">
        <f t="shared" si="218"/>
        <v>0</v>
      </c>
      <c r="DO377" s="411">
        <f t="shared" si="219"/>
        <v>0</v>
      </c>
      <c r="DP377" s="410">
        <f t="shared" si="220"/>
        <v>0</v>
      </c>
      <c r="DQ377" s="405" t="s">
        <v>546</v>
      </c>
      <c r="DR377" s="409"/>
      <c r="DS377" s="420" t="str">
        <f t="shared" si="186"/>
        <v>FLINTSL - REFLEX BLUE</v>
      </c>
      <c r="DT377" s="409"/>
      <c r="DU377" s="411">
        <f>IF(DT377=0,0,IF($LB377=70%,VLOOKUP($DS377,'Jan-2026 rates'!$L:$R,4,0),IF($LB377=65%,VLOOKUP($DS377,'Jan-2026 rates'!$L:$R,4,0),IF($LB377=40%,VLOOKUP($DS377,'Jan-2026 rates'!$L:$R,5,0),IF($LB377=30%,VLOOKUP($DS377,'Jan-2026 rates'!$L:$R,6,0),IF($LB377=100%,VLOOKUP($DS377,'Jan-2026 rates'!$L:$R,7,0),IF($LB377=60%,VLOOKUP($DS377,'Jan-2026 rates'!$L:$S,8,0),IF($LB377=80%,VLOOKUP($DS377,'Jan-2026 rates'!L:T,9,0),0))))))))</f>
        <v>0</v>
      </c>
      <c r="DV377" s="412"/>
      <c r="DW377" s="409"/>
      <c r="DX377" s="411">
        <f>IF(DW377=0,0,IF($LB377=70%,VLOOKUP($DS377,'Jan-2026 rates'!$L:$R,4,0),IF($LB377=65%,VLOOKUP($DS377,'Jan-2026 rates'!$L:$R,4,0),IF($LB377=40%,VLOOKUP($DS377,'Jan-2026 rates'!$L:$R,5,0),IF($LB377=30%,VLOOKUP($DS377,'Jan-2026 rates'!$L:$R,6,0),IF($LB377=100%,VLOOKUP($DS377,'Jan-2026 rates'!$L:$R,7,0),IF($LB377=60%,VLOOKUP($DS377,'Jan-2026 rates'!$L:$S,8,0),IF($LB377=80%,VLOOKUP($DS377,'Jan-2026 rates'!L:T,9,0),0))))))))</f>
        <v>0</v>
      </c>
      <c r="DY377" s="413">
        <v>26512000001</v>
      </c>
      <c r="DZ377" s="413"/>
      <c r="EA377" s="412"/>
      <c r="EB377" s="412"/>
      <c r="EC377" s="412"/>
      <c r="ED377" s="412"/>
      <c r="EE377" s="412"/>
      <c r="EF377" s="412"/>
      <c r="EG377" s="409">
        <v>15</v>
      </c>
      <c r="EH377" s="398" t="e">
        <f>IF(EG377=0,0,IF(LEN(DY377)=11,_xlfn.XLOOKUP(DY377,'Dispensed Ink Rates'!C:C,'Dispensed Ink Rates'!CS:CS),VLOOKUP(DY377,'Jan-2026 rates'!$E:$F,2,0)))</f>
        <v>#N/A</v>
      </c>
      <c r="EI377" s="409"/>
      <c r="EJ377" s="398">
        <f>IF(EI377=0,0,IF(LEN(DZ377)=11,_xlfn.XLOOKUP(DZ377,'Dispensed Ink Rates'!C:C,'Dispensed Ink Rates'!CS:CS),VLOOKUP(DZ377,'Jan-2026 rates'!$E:$F,2,0)))</f>
        <v>0</v>
      </c>
      <c r="EK377" s="409"/>
      <c r="EL377" s="398">
        <f>IF(EK377=0,0,IF(LEN(EA377)=11,_xlfn.XLOOKUP(EA377,'Dispensed Ink Rates'!C:C,'Dispensed Ink Rates'!CS:CS),VLOOKUP(EA377,'Jan-2026 rates'!$E:$F,2,0)))</f>
        <v>0</v>
      </c>
      <c r="EM377" s="409"/>
      <c r="EN377" s="398">
        <f>IF(EM377=0,0,IF(LEN(EB377)=11,_xlfn.XLOOKUP(EB377,'Dispensed Ink Rates'!C:C,'Dispensed Ink Rates'!CS:CS),VLOOKUP(EB377,'Jan-2026 rates'!$E:$F,2,0)))</f>
        <v>0</v>
      </c>
      <c r="EO377" s="409"/>
      <c r="EP377" s="398">
        <f>IF(EO377=0,0,IF(LEN(EC377)=11,_xlfn.XLOOKUP(EC377,'Dispensed Ink Rates'!C:C,'Dispensed Ink Rates'!CS:CS),VLOOKUP(EC377,'Jan-2026 rates'!$E:$F,2,0)))</f>
        <v>0</v>
      </c>
      <c r="EQ377" s="409"/>
      <c r="ER377" s="398">
        <f>IF(EQ377=0,0,IF(LEN(ED377)=11,_xlfn.XLOOKUP(ED377,'Dispensed Ink Rates'!C:C,'Dispensed Ink Rates'!CS:CS),VLOOKUP(ED377,'Jan-2026 rates'!$E:$F,2,0)))</f>
        <v>0</v>
      </c>
      <c r="ES377" s="409"/>
      <c r="ET377" s="398">
        <f>IF(ES377=0,0,IF(LEN(EE377)=11,_xlfn.XLOOKUP(EE377,'Dispensed Ink Rates'!C:C,'Dispensed Ink Rates'!CS:CS),VLOOKUP(EE377,'Jan-2026 rates'!$E:$F,2,0)))</f>
        <v>0</v>
      </c>
      <c r="EU377" s="409"/>
      <c r="EV377" s="398">
        <f>IF(EU377=0,0,IF(LEN(EF377)=11,_xlfn.XLOOKUP(EF377,'Dispensed Ink Rates'!C:C,'Dispensed Ink Rates'!CS:CS),VLOOKUP(EF377,'Jan-2026 rates'!$E:$F,2,0)))</f>
        <v>0</v>
      </c>
      <c r="EW377" s="409" t="s">
        <v>1443</v>
      </c>
      <c r="EX377" s="409">
        <v>0</v>
      </c>
      <c r="EY377" s="411">
        <f t="shared" si="221"/>
        <v>0</v>
      </c>
      <c r="EZ377" s="411">
        <f t="shared" si="222"/>
        <v>0</v>
      </c>
      <c r="FA377" s="410">
        <f t="shared" si="223"/>
        <v>0</v>
      </c>
      <c r="FB377" s="405"/>
      <c r="FC377" s="409"/>
      <c r="FD377" s="420" t="str">
        <f t="shared" si="187"/>
        <v xml:space="preserve"> - </v>
      </c>
      <c r="FE377" s="409"/>
      <c r="FF377" s="411">
        <f>IF(FE377=0,0,IF($LB377=70%,VLOOKUP($FD377,'Jan-2026 rates'!$L:$R,4,0),IF($LB377=65%,VLOOKUP($FD377,'Jan-2026 rates'!$L:$R,4,0),IF($LB377=40%,VLOOKUP($FD377,'Jan-2026 rates'!$L:$R,5,0),IF($LB377=30%,VLOOKUP($FD377,'Jan-2026 rates'!$L:$R,6,0),IF($LB377=100%,VLOOKUP($FD377,'Jan-2026 rates'!$L:$R,7,0),IF($LB377=60%,VLOOKUP($FD377,'Jan-2026 rates'!$L:$S,8,0),IF($LB377=80%,VLOOKUP($FD377,'Jan-2026 rates'!L:T,9,0),0))))))))</f>
        <v>0</v>
      </c>
      <c r="FG377" s="412"/>
      <c r="FH377" s="409"/>
      <c r="FI377" s="411">
        <f>IF(FH377=0,0,IF($LB377=70%,VLOOKUP($FD377,'Jan-2026 rates'!$L:$R,4,0),IF($LB377=65%,VLOOKUP($FD377,'Jan-2026 rates'!$L:$R,4,0),IF($LB377=40%,VLOOKUP($FD377,'Jan-2026 rates'!$L:$R,5,0),IF($LB377=30%,VLOOKUP($FD377,'Jan-2026 rates'!$L:$R,6,0),IF($LB377=100%,VLOOKUP($FD377,'Jan-2026 rates'!$L:$R,7,0),IF($LB377=60%,VLOOKUP($FD377,'Jan-2026 rates'!$L:$S,8,0),IF($LB377=80%,VLOOKUP($FD377,'Jan-2026 rates'!L:T,9,0),0))))))))</f>
        <v>0</v>
      </c>
      <c r="FJ377" s="413"/>
      <c r="FK377" s="413"/>
      <c r="FL377" s="413"/>
      <c r="FM377" s="412"/>
      <c r="FN377" s="412"/>
      <c r="FO377" s="412"/>
      <c r="FP377" s="412"/>
      <c r="FQ377" s="412"/>
      <c r="FR377" s="409"/>
      <c r="FS377" s="398">
        <f>IF(FR377=0,0,IF(LEN(FJ377)=11,_xlfn.XLOOKUP(FJ377,'Dispensed Ink Rates'!C:C,'Dispensed Ink Rates'!CS:CS),VLOOKUP(FJ377,'Jan-2026 rates'!$E:$F,2,0)))</f>
        <v>0</v>
      </c>
      <c r="FT377" s="409"/>
      <c r="FU377" s="398">
        <f>IF(FT377=0,0,IF(LEN(FK377)=11,_xlfn.XLOOKUP(FK377,'Dispensed Ink Rates'!C:C,'Dispensed Ink Rates'!CS:CS),VLOOKUP(FK377,'Jan-2026 rates'!$E:$F,2,0)))</f>
        <v>0</v>
      </c>
      <c r="FV377" s="409"/>
      <c r="FW377" s="398">
        <f>IF(FV377=0,0,IF(LEN(FL377)=11,_xlfn.XLOOKUP(FL377,'Dispensed Ink Rates'!C:C,'Dispensed Ink Rates'!CS:CS),VLOOKUP(FL377,'Jan-2026 rates'!$E:$F,2,0)))</f>
        <v>0</v>
      </c>
      <c r="FX377" s="409"/>
      <c r="FY377" s="398">
        <f>IF(FX377=0,0,IF(LEN(FM377)=11,_xlfn.XLOOKUP(FM377,'Dispensed Ink Rates'!C:C,'Dispensed Ink Rates'!CS:CS),VLOOKUP(FM377,'Jan-2026 rates'!$E:$F,2,0)))</f>
        <v>0</v>
      </c>
      <c r="FZ377" s="409"/>
      <c r="GA377" s="398">
        <f>IF(FZ377=0,0,IF(LEN(FN377)=11,_xlfn.XLOOKUP(FN377,'Dispensed Ink Rates'!C:C,'Dispensed Ink Rates'!CS:CS),VLOOKUP(FN377,'Jan-2026 rates'!$E:$F,2,0)))</f>
        <v>0</v>
      </c>
      <c r="GB377" s="409"/>
      <c r="GC377" s="398">
        <f>IF(GB377=0,0,IF(LEN(FO377)=11,_xlfn.XLOOKUP(FO377,'Dispensed Ink Rates'!C:C,'Dispensed Ink Rates'!CS:CS),VLOOKUP(FO377,'Jan-2026 rates'!$E:$F,2,0)))</f>
        <v>0</v>
      </c>
      <c r="GD377" s="409"/>
      <c r="GE377" s="398">
        <f>IF(GD377=0,0,IF(LEN(FP377)=11,_xlfn.XLOOKUP(FP377,'Dispensed Ink Rates'!C:C,'Dispensed Ink Rates'!CS:CS),VLOOKUP(FP377,'Jan-2026 rates'!$E:$F,2,0)))</f>
        <v>0</v>
      </c>
      <c r="GF377" s="409"/>
      <c r="GG377" s="398">
        <f>IF(GF377=0,0,IF(LEN(FQ377)=11,_xlfn.XLOOKUP(FQ377,'Dispensed Ink Rates'!C:C,'Dispensed Ink Rates'!CS:CS),VLOOKUP(FQ377,'Jan-2026 rates'!$E:$F,2,0)))</f>
        <v>0</v>
      </c>
      <c r="GH377" s="409"/>
      <c r="GI377" s="409"/>
      <c r="GJ377" s="411">
        <f t="shared" si="224"/>
        <v>0</v>
      </c>
      <c r="GK377" s="411">
        <f t="shared" si="225"/>
        <v>0</v>
      </c>
      <c r="GL377" s="410">
        <f t="shared" si="226"/>
        <v>0</v>
      </c>
      <c r="GM377" s="405"/>
      <c r="GN377" s="409"/>
      <c r="GO377" s="420" t="str">
        <f t="shared" si="188"/>
        <v xml:space="preserve"> - </v>
      </c>
      <c r="GP377" s="409"/>
      <c r="GQ377" s="411">
        <f>IF(GP377=0,0,IF($LB377=70%,VLOOKUP($GO377,'Jan-2026 rates'!$L:$R,4,0),IF($LB377=65%,VLOOKUP($GO377,'Jan-2026 rates'!$L:$R,4,0),IF($LB377=40%,VLOOKUP($GO377,'Jan-2026 rates'!$L:$R,5,0),IF($LB377=30%,VLOOKUP($GO377,'Jan-2026 rates'!$L:$R,6,0),IF($LB377=100%,VLOOKUP($GO377,'Jan-2026 rates'!$L:$R,7,0),IF($LB377=60%,VLOOKUP($GO377,'Jan-2026 rates'!$L:$S,8,0),IF($LB377=80%,VLOOKUP($GO377,'Jan-2026 rates'!L:T,9,0),0))))))))</f>
        <v>0</v>
      </c>
      <c r="GR377" s="412"/>
      <c r="GS377" s="409"/>
      <c r="GT377" s="411">
        <f>IF(GS377=0,0,IF($LB377=70%,VLOOKUP($GO377,'Jan-2026 rates'!$L:$R,4,0),IF($LB377=65%,VLOOKUP($GO377,'Jan-2026 rates'!$L:$R,4,0),IF($LB377=40%,VLOOKUP($GO377,'Jan-2026 rates'!$L:$R,5,0),IF($LB377=30%,VLOOKUP($GO377,'Jan-2026 rates'!$L:$R,6,0),IF($LB377=100%,VLOOKUP($GO377,'Jan-2026 rates'!$L:$R,7,0),IF($LB377=60%,VLOOKUP($GO377,'Jan-2026 rates'!$L:$S,8,0),IF($LB377=80%,VLOOKUP($GO377,'Jan-2026 rates'!L:T,9,0),0))))))))</f>
        <v>0</v>
      </c>
      <c r="GU377" s="413"/>
      <c r="GV377" s="413"/>
      <c r="GW377" s="412"/>
      <c r="GX377" s="412"/>
      <c r="GY377" s="412"/>
      <c r="GZ377" s="412"/>
      <c r="HA377" s="412"/>
      <c r="HB377" s="412"/>
      <c r="HC377" s="409"/>
      <c r="HD377" s="398">
        <f>IF(HC377=0,0,IF(LEN(GU377)=11,_xlfn.XLOOKUP(GU377,'Dispensed Ink Rates'!C:C,'Dispensed Ink Rates'!CS:CS),VLOOKUP(GU377,'Jan-2026 rates'!$E:$F,2,0)))</f>
        <v>0</v>
      </c>
      <c r="HE377" s="409"/>
      <c r="HF377" s="398">
        <f>IF(HE377=0,0,IF(LEN(GV377)=11,_xlfn.XLOOKUP(GV377,'Dispensed Ink Rates'!C:C,'Dispensed Ink Rates'!CS:CS),VLOOKUP(GV377,'Jan-2026 rates'!$E:$F,2,0)))</f>
        <v>0</v>
      </c>
      <c r="HG377" s="409"/>
      <c r="HH377" s="398">
        <f>IF(HG377=0,0,IF(LEN(GW377)=11,_xlfn.XLOOKUP(GW377,'Dispensed Ink Rates'!C:C,'Dispensed Ink Rates'!CS:CS),VLOOKUP(GW377,'Jan-2026 rates'!$E:$F,2,0)))</f>
        <v>0</v>
      </c>
      <c r="HI377" s="409"/>
      <c r="HJ377" s="398">
        <f>IF(HI377=0,0,IF(LEN(GX377)=11,_xlfn.XLOOKUP(GX377,'Dispensed Ink Rates'!C:C,'Dispensed Ink Rates'!CS:CS),VLOOKUP(GX377,'Jan-2026 rates'!$E:$F,2,0)))</f>
        <v>0</v>
      </c>
      <c r="HK377" s="409"/>
      <c r="HL377" s="398">
        <f>IF(HK377=0,0,IF(LEN(GY377)=11,_xlfn.XLOOKUP(GY377,'Dispensed Ink Rates'!C:C,'Dispensed Ink Rates'!CS:CS),VLOOKUP(GY377,'Jan-2026 rates'!$E:$F,2,0)))</f>
        <v>0</v>
      </c>
      <c r="HM377" s="409"/>
      <c r="HN377" s="398">
        <f>IF(HM377=0,0,IF(LEN(GZ377)=11,_xlfn.XLOOKUP(GZ377,'Dispensed Ink Rates'!C:C,'Dispensed Ink Rates'!CS:CS),VLOOKUP(GZ377,'Jan-2026 rates'!$E:$F,2,0)))</f>
        <v>0</v>
      </c>
      <c r="HO377" s="409"/>
      <c r="HP377" s="398">
        <f>IF(HO377=0,0,IF(LEN(HA377)=11,_xlfn.XLOOKUP(HA377,'Dispensed Ink Rates'!C:C,'Dispensed Ink Rates'!CS:CS),VLOOKUP(HA377,'Jan-2026 rates'!$E:$F,2,0)))</f>
        <v>0</v>
      </c>
      <c r="HQ377" s="409"/>
      <c r="HR377" s="398">
        <f>IF(HQ377=0,0,IF(LEN(HB377)=11,_xlfn.XLOOKUP(HB377,'Dispensed Ink Rates'!C:C,'Dispensed Ink Rates'!CS:CS),VLOOKUP(HB377,'Jan-2026 rates'!$E:$F,2,0)))</f>
        <v>0</v>
      </c>
      <c r="HS377" s="409"/>
      <c r="HT377" s="409"/>
      <c r="HU377" s="411">
        <f t="shared" si="227"/>
        <v>0</v>
      </c>
      <c r="HV377" s="411">
        <f t="shared" si="228"/>
        <v>0</v>
      </c>
      <c r="HW377" s="414">
        <f t="shared" si="229"/>
        <v>0</v>
      </c>
      <c r="HX377" s="405"/>
      <c r="HY377" s="409"/>
      <c r="HZ377" s="420" t="str">
        <f t="shared" si="189"/>
        <v xml:space="preserve"> - </v>
      </c>
      <c r="IA377" s="409"/>
      <c r="IB377" s="411">
        <f>IF(IA377=0,0,IF($LB377=70%,VLOOKUP($HZ377,'Jan-2026 rates'!$L:$R,4,0),IF($LB377=65%,VLOOKUP($HZ377,'Jan-2026 rates'!$L:$R,4,0),IF($LB377=40%,VLOOKUP($HZ377,'Jan-2026 rates'!$L:$R,5,0),IF($LB377=30%,VLOOKUP($HZ377,'Jan-2026 rates'!$L:$R,6,0),IF($LB377=100%,VLOOKUP($HZ377,'Jan-2026 rates'!$L:$R,7,0),IF($LB377=60%,VLOOKUP($HZ377,'Jan-2026 rates'!$L:$S,8,0),IF($LB377=80%,VLOOKUP($HZ377,'Jan-2026 rates'!L:T,9,0),0))))))))</f>
        <v>0</v>
      </c>
      <c r="IC377" s="412"/>
      <c r="ID377" s="409"/>
      <c r="IE377" s="411">
        <f>IF(ID377=0,0,IF($LB377=70%,VLOOKUP($HZ377,'Jan-2026 rates'!$L:$R,4,0),IF($LB377=65%,VLOOKUP($HZ377,'Jan-2026 rates'!$L:$R,4,0),IF($LB377=40%,VLOOKUP($HZ377,'Jan-2026 rates'!$L:$R,5,0),IF($LB377=30%,VLOOKUP($HZ377,'Jan-2026 rates'!$L:$R,6,0),IF($LB377=100%,VLOOKUP($HZ377,'Jan-2026 rates'!$L:$R,7,0),IF($LB377=60%,VLOOKUP($HZ377,'Jan-2026 rates'!$L:$S,8,0),IF($LB377=80%,VLOOKUP($HZ377,'Jan-2026 rates'!L:T,9,0),0))))))))</f>
        <v>0</v>
      </c>
      <c r="IF377" s="412"/>
      <c r="IG377" s="413"/>
      <c r="IH377" s="412"/>
      <c r="II377" s="412"/>
      <c r="IJ377" s="412"/>
      <c r="IK377" s="412"/>
      <c r="IL377" s="412"/>
      <c r="IM377" s="412"/>
      <c r="IN377" s="409"/>
      <c r="IO377" s="398">
        <f>IF(IN377=0,0,IF(LEN(IF377)=11,_xlfn.XLOOKUP(IF377,'Dispensed Ink Rates'!C:C,'Dispensed Ink Rates'!CS:CS),VLOOKUP(IF377,'Jan-2026 rates'!$E:$F,2,0)))</f>
        <v>0</v>
      </c>
      <c r="IP377" s="409"/>
      <c r="IQ377" s="398">
        <f>IF(IP377=0,0,IF(LEN(IG377)=11,_xlfn.XLOOKUP(IG377,'Dispensed Ink Rates'!C:C,'Dispensed Ink Rates'!CS:CS),VLOOKUP(IG377,'Jan-2026 rates'!$E:$F,2,0)))</f>
        <v>0</v>
      </c>
      <c r="IR377" s="409"/>
      <c r="IS377" s="398">
        <f>IF(IR377=0,0,IF(LEN(IH377)=11,_xlfn.XLOOKUP(IH377,'Dispensed Ink Rates'!C:C,'Dispensed Ink Rates'!CS:CS),VLOOKUP(IH377,'Jan-2026 rates'!$E:$F,2,0)))</f>
        <v>0</v>
      </c>
      <c r="IT377" s="409"/>
      <c r="IU377" s="398">
        <f>IF(IT377=0,0,IF(LEN(II377)=11,_xlfn.XLOOKUP(II377,'Dispensed Ink Rates'!C:C,'Dispensed Ink Rates'!CS:CS),VLOOKUP(II377,'Jan-2026 rates'!$E:$F,2,0)))</f>
        <v>0</v>
      </c>
      <c r="IV377" s="409"/>
      <c r="IW377" s="398">
        <f>IF(IV377=0,0,IF(LEN(IJ377)=11,_xlfn.XLOOKUP(IJ377,'Dispensed Ink Rates'!C:C,'Dispensed Ink Rates'!CS:CS),VLOOKUP(IJ377,'Jan-2026 rates'!$E:$F,2,0)))</f>
        <v>0</v>
      </c>
      <c r="IX377" s="409"/>
      <c r="IY377" s="398">
        <f>IF(IX377=0,0,IF(LEN(IK377)=11,_xlfn.XLOOKUP(IK377,'Dispensed Ink Rates'!C:C,'Dispensed Ink Rates'!CS:CS),VLOOKUP(IK377,'Jan-2026 rates'!$E:$F,2,0)))</f>
        <v>0</v>
      </c>
      <c r="IZ377" s="409"/>
      <c r="JA377" s="398">
        <f>IF(IZ377=0,0,IF(LEN(IL377)=11,_xlfn.XLOOKUP(IL377,'Dispensed Ink Rates'!C:C,'Dispensed Ink Rates'!CS:CS),VLOOKUP(IL377,'Jan-2026 rates'!$E:$F,2,0)))</f>
        <v>0</v>
      </c>
      <c r="JB377" s="409"/>
      <c r="JC377" s="398">
        <f>IF(JB377=0,0,IF(LEN(IM377)=11,_xlfn.XLOOKUP(IM377,'Dispensed Ink Rates'!C:C,'Dispensed Ink Rates'!CS:CS),VLOOKUP(IM377,'Jan-2026 rates'!$E:$F,2,0)))</f>
        <v>0</v>
      </c>
      <c r="JD377" s="409"/>
      <c r="JE377" s="409"/>
      <c r="JF377" s="411">
        <f t="shared" si="230"/>
        <v>0</v>
      </c>
      <c r="JG377" s="411">
        <f t="shared" si="231"/>
        <v>0</v>
      </c>
      <c r="JH377" s="410">
        <f t="shared" si="232"/>
        <v>0</v>
      </c>
      <c r="JI377" s="405"/>
      <c r="JJ377" s="409"/>
      <c r="JK377" s="420" t="str">
        <f t="shared" si="190"/>
        <v xml:space="preserve"> - </v>
      </c>
      <c r="JL377" s="409"/>
      <c r="JM377" s="411">
        <f>IF(JL377=0,0,IF($LB377=70%,VLOOKUP($JK377,'Jan-2026 rates'!$L:$R,4,0),IF($LB377=65%,VLOOKUP($JK377,'Jan-2026 rates'!$L:$R,4,0),IF($LB377=40%,VLOOKUP($JK377,'Jan-2026 rates'!$L:$R,5,0),IF($LB377=30%,VLOOKUP($JK377,'Jan-2026 rates'!$L:$R,6,0),IF($LB377=100%,VLOOKUP($JK377,'Jan-2026 rates'!$L:$R,7,0),IF($LB377=60%,VLOOKUP($JK377,'Jan-2026 rates'!$L:$S,8,0),IF($LB377=80%,VLOOKUP($JK377,'Jan-2026 rates'!L:T,9,0),0))))))))</f>
        <v>0</v>
      </c>
      <c r="JN377" s="412"/>
      <c r="JO377" s="409"/>
      <c r="JP377" s="411">
        <f>IF(JO377=0,0,IF($LB377=70%,VLOOKUP($JK377,'Jan-2026 rates'!$L:$R,4,0),IF($LB377=65%,VLOOKUP($JK377,'Jan-2026 rates'!$L:$R,4,0),IF($LB377=40%,VLOOKUP($JK377,'Jan-2026 rates'!$L:$R,5,0),IF($LB377=30%,VLOOKUP($JK377,'Jan-2026 rates'!$L:$R,6,0),IF($LB377=100%,VLOOKUP($JK377,'Jan-2026 rates'!$L:$R,7,0),IF($LB377=60%,VLOOKUP($JK377,'Jan-2026 rates'!$L:$S,8,0),IF($LB377=80%,VLOOKUP($JK377,'Jan-2026 rates'!L:T,9,0),0))))))))</f>
        <v>0</v>
      </c>
      <c r="JQ377" s="413"/>
      <c r="JR377" s="412"/>
      <c r="JS377" s="413"/>
      <c r="JT377" s="413"/>
      <c r="JU377" s="412"/>
      <c r="JV377" s="412"/>
      <c r="JW377" s="412"/>
      <c r="JX377" s="412"/>
      <c r="JY377" s="409"/>
      <c r="JZ377" s="398">
        <f>IF(JY377=0,0,IF(LEN(JQ377)=11,_xlfn.XLOOKUP(JQ377,'Dispensed Ink Rates'!C:C,'Dispensed Ink Rates'!CS:CS),VLOOKUP(JQ377,'Jan-2026 rates'!$E:$F,2,0)))</f>
        <v>0</v>
      </c>
      <c r="KA377" s="409"/>
      <c r="KB377" s="398">
        <f>IF(KA377=0,0,IF(LEN(JR377)=11,_xlfn.XLOOKUP(JR377,'Dispensed Ink Rates'!C:C,'Dispensed Ink Rates'!CS:CS),VLOOKUP(JR377,'Jan-2026 rates'!$E:$F,2,0)))</f>
        <v>0</v>
      </c>
      <c r="KC377" s="409"/>
      <c r="KD377" s="398">
        <f>IF(KC377=0,0,IF(LEN(JS377)=11,_xlfn.XLOOKUP(JS377,'Dispensed Ink Rates'!C:C,'Dispensed Ink Rates'!CS:CS),VLOOKUP(JS377,'Jan-2026 rates'!$E:$F,2,0)))</f>
        <v>0</v>
      </c>
      <c r="KE377" s="409"/>
      <c r="KF377" s="398">
        <f>IF(KE377=0,0,IF(LEN(JT377)=11,_xlfn.XLOOKUP(JT377,'Dispensed Ink Rates'!C:C,'Dispensed Ink Rates'!CS:CS),VLOOKUP(JT377,'Jan-2026 rates'!$E:$F,2,0)))</f>
        <v>0</v>
      </c>
      <c r="KG377" s="409"/>
      <c r="KH377" s="398">
        <f>IF(KG377=0,0,IF(LEN(JU377)=11,_xlfn.XLOOKUP(JU377,'Dispensed Ink Rates'!C:C,'Dispensed Ink Rates'!CS:CS),VLOOKUP(JU377,'Jan-2026 rates'!$E:$F,2,0)))</f>
        <v>0</v>
      </c>
      <c r="KI377" s="409"/>
      <c r="KJ377" s="398">
        <f>IF(KI377=0,0,IF(LEN(JV377)=11,_xlfn.XLOOKUP(JV377,'Dispensed Ink Rates'!C:C,'Dispensed Ink Rates'!CS:CS),VLOOKUP(JV377,'Jan-2026 rates'!$E:$F,2,0)))</f>
        <v>0</v>
      </c>
      <c r="KK377" s="409"/>
      <c r="KL377" s="398">
        <f>IF(KK377=0,0,IF(LEN(JW377)=11,_xlfn.XLOOKUP(JW377,'Dispensed Ink Rates'!C:C,'Dispensed Ink Rates'!CS:CS),VLOOKUP(JW377,'Jan-2026 rates'!$E:$F,2,0)))</f>
        <v>0</v>
      </c>
      <c r="KM377" s="428"/>
      <c r="KN377" s="398">
        <f>IF(KM377=0,0,IF(LEN(JX377)=11,_xlfn.XLOOKUP(JX377,'Dispensed Ink Rates'!C:C,'Dispensed Ink Rates'!CS:CS),VLOOKUP(JX377,'Jan-2026 rates'!$E:$F,2,0)))</f>
        <v>0</v>
      </c>
      <c r="KO377" s="409"/>
      <c r="KP377" s="409"/>
      <c r="KQ377" s="411">
        <f t="shared" si="233"/>
        <v>0</v>
      </c>
      <c r="KR377" s="411">
        <f t="shared" si="234"/>
        <v>0</v>
      </c>
      <c r="KS377" s="410">
        <f t="shared" si="235"/>
        <v>0</v>
      </c>
      <c r="KT377" s="409"/>
      <c r="KU377" s="409"/>
      <c r="KV377" s="409"/>
      <c r="KW377" s="409"/>
      <c r="KX377" s="409"/>
      <c r="KY377" s="409"/>
      <c r="KZ377" s="409"/>
      <c r="LA377" s="409"/>
      <c r="LB377" s="415"/>
      <c r="LC377" s="415"/>
      <c r="LD377" s="424"/>
      <c r="LE377" s="415"/>
      <c r="LF377" s="415"/>
      <c r="LG377" s="409">
        <v>0</v>
      </c>
      <c r="LH377" s="409">
        <v>0</v>
      </c>
      <c r="LI377" s="409">
        <v>0</v>
      </c>
      <c r="LJ377" s="409">
        <v>0</v>
      </c>
      <c r="LK377" s="416">
        <f t="shared" si="191"/>
        <v>0</v>
      </c>
      <c r="LL377" s="416">
        <f t="shared" si="349"/>
        <v>0</v>
      </c>
      <c r="LM377" s="417">
        <f t="shared" si="193"/>
        <v>0</v>
      </c>
      <c r="LN377" s="417">
        <f>VLOOKUP($LM$8,'Jan-2026 rates'!$H:$I,2,0)</f>
        <v>0</v>
      </c>
      <c r="LO377" s="417">
        <f t="shared" si="194"/>
        <v>0</v>
      </c>
      <c r="LP377" s="417">
        <f>VLOOKUP($LO$8,'Jan-2026 rates'!$H:$I,2,0)</f>
        <v>0</v>
      </c>
      <c r="LQ377" s="417">
        <f t="shared" si="195"/>
        <v>0</v>
      </c>
      <c r="LR377" s="417">
        <f>VLOOKUP($LQ$8,'Jan-2026 rates'!$H:$I,2,0)</f>
        <v>0</v>
      </c>
      <c r="LS377" s="417">
        <f t="shared" si="196"/>
        <v>0</v>
      </c>
      <c r="LT377" s="417">
        <f>VLOOKUP($LS$8,'Jan-2026 rates'!$H:$I,2,0)</f>
        <v>0</v>
      </c>
      <c r="LU377" s="417">
        <f t="shared" si="197"/>
        <v>0</v>
      </c>
      <c r="LV377" s="417">
        <f>VLOOKUP($LU$8,'Jan-2026 rates'!$H:$I,2,0)</f>
        <v>0</v>
      </c>
      <c r="LW377" s="417">
        <f t="shared" si="198"/>
        <v>0</v>
      </c>
      <c r="LX377" s="417">
        <f t="shared" si="199"/>
        <v>0</v>
      </c>
      <c r="LY377" s="418">
        <f t="shared" si="200"/>
        <v>0</v>
      </c>
      <c r="LZ377" s="417"/>
      <c r="MA377" s="435">
        <f t="shared" si="201"/>
        <v>979.3</v>
      </c>
      <c r="MB377" s="282">
        <f t="shared" si="202"/>
        <v>0</v>
      </c>
      <c r="MC377" s="283">
        <v>213</v>
      </c>
      <c r="MD377" s="284" t="str">
        <f t="shared" si="203"/>
        <v>FLINTSLFLINTSLFLINTSLFLINTSL</v>
      </c>
      <c r="ME377" s="293" t="str">
        <f t="shared" si="204"/>
        <v>-</v>
      </c>
      <c r="MF377" s="293" t="str">
        <f t="shared" si="205"/>
        <v>-</v>
      </c>
      <c r="MG377" s="293" t="str">
        <f t="shared" si="206"/>
        <v>-</v>
      </c>
      <c r="MH377" s="293" t="str">
        <f t="shared" si="207"/>
        <v>-</v>
      </c>
      <c r="MI377" s="293" t="str">
        <f t="shared" si="208"/>
        <v>NIL</v>
      </c>
      <c r="MJ377" s="293" t="str">
        <f t="shared" si="209"/>
        <v>NIL</v>
      </c>
      <c r="MK377" s="293" t="str">
        <f t="shared" si="210"/>
        <v>NIL</v>
      </c>
      <c r="ML377" s="293" t="str">
        <f t="shared" si="211"/>
        <v>NIL</v>
      </c>
      <c r="MM377" s="3" t="b">
        <f t="array" ref="MM377">OR(ME377:ML377="-")</f>
        <v>1</v>
      </c>
      <c r="MO377" s="401" t="e">
        <f t="shared" si="350"/>
        <v>#DIV/0!</v>
      </c>
      <c r="MP377" s="286"/>
      <c r="MR377" s="402" t="e">
        <f t="shared" si="351"/>
        <v>#DIV/0!</v>
      </c>
      <c r="MS377" s="400" t="e">
        <f t="shared" si="352"/>
        <v>#DIV/0!</v>
      </c>
      <c r="MT377" s="285"/>
      <c r="NH377" s="361"/>
      <c r="NJ377" s="282"/>
    </row>
    <row r="378" spans="1:374" ht="16.5">
      <c r="A378" s="403">
        <v>46052</v>
      </c>
      <c r="B378" s="404" t="s">
        <v>1015</v>
      </c>
      <c r="C378" s="405" t="s">
        <v>4876</v>
      </c>
      <c r="D378" s="404">
        <v>219</v>
      </c>
      <c r="E378" s="404">
        <v>494</v>
      </c>
      <c r="F378" s="407">
        <v>22700</v>
      </c>
      <c r="G378" s="407" t="s">
        <v>1016</v>
      </c>
      <c r="H378" s="408" t="s">
        <v>1017</v>
      </c>
      <c r="I378" s="409">
        <v>1.9</v>
      </c>
      <c r="J378" s="405" t="s">
        <v>543</v>
      </c>
      <c r="K378" s="404" t="s">
        <v>4877</v>
      </c>
      <c r="L378" s="419" t="str">
        <f t="shared" si="184"/>
        <v>FLINTSL - BLACK</v>
      </c>
      <c r="M378" s="404">
        <v>26</v>
      </c>
      <c r="N378" s="410">
        <f>IF(M378=0,0,IF($LB378=70%,VLOOKUP($L378,'Jan-2026 rates'!$L:$R,4,0),IF($LB378=65%,VLOOKUP($L378,'Jan-2026 rates'!$L:$R,4,0),IF($LB378=40%,VLOOKUP($L378,'Jan-2026 rates'!$L:$R,5,0),IF($LB378=30%,VLOOKUP($L378,'Jan-2026 rates'!$L:$R,6,0),IF($LB378=100%,VLOOKUP($L378,'Jan-2026 rates'!$L:$R,7,0),IF($LB378=60%,VLOOKUP($L378,'Jan-2026 rates'!$L:$S,8,0),IF($LB378=80%,VLOOKUP($L378,'Jan-2026 rates'!L:T,9,0),0))))))))</f>
        <v>0</v>
      </c>
      <c r="O378" s="406"/>
      <c r="P378" s="404"/>
      <c r="Q378" s="410">
        <f>IF(P378=0,0,IF($LB378=70%,VLOOKUP($L378,'Jan-2026 rates'!$L:$R,4,0),IF($LB378=65%,VLOOKUP($L378,'Jan-2026 rates'!$L:$R,4,0),IF($LB378=40%,VLOOKUP($L378,'Jan-2026 rates'!$L:$R,5,0),IF($LB378=30%,VLOOKUP($L378,'Jan-2026 rates'!$L:$R,6,0),IF($LB378=100%,VLOOKUP($L378,'Jan-2026 rates'!$L:$R,7,0),IF($LB378=60%,VLOOKUP($L378,'Jan-2026 rates'!$L:$S,8,0),IF($LB378=80%,VLOOKUP($L378,'Jan-2026 rates'!L:T,9,0),0))))))))</f>
        <v>0</v>
      </c>
      <c r="R378" s="406">
        <v>26530000023</v>
      </c>
      <c r="S378" s="406"/>
      <c r="T378" s="406"/>
      <c r="U378" s="406"/>
      <c r="V378" s="406"/>
      <c r="W378" s="406"/>
      <c r="X378" s="406"/>
      <c r="Y378" s="406"/>
      <c r="Z378" s="404">
        <v>2</v>
      </c>
      <c r="AA378" s="398" t="e">
        <f>IF(Z378=0,0,IF(LEN(R378)=11,_xlfn.XLOOKUP(R378,'Dispensed Ink Rates'!C:C,'Dispensed Ink Rates'!CS:CS),VLOOKUP(R378,'Jan-2026 rates'!$E:$F,2,0)))</f>
        <v>#N/A</v>
      </c>
      <c r="AB378" s="404"/>
      <c r="AC378" s="398">
        <f>IF(AB378=0,0,IF(LEN(S378)=11,_xlfn.XLOOKUP(S378,'Dispensed Ink Rates'!C:C,'Dispensed Ink Rates'!CS:CS),VLOOKUP(S378,'Jan-2026 rates'!$E:$F,2,0)))</f>
        <v>0</v>
      </c>
      <c r="AD378" s="404"/>
      <c r="AE378" s="398">
        <f>IF(AD378=0,0,IF(LEN(T378)=11,_xlfn.XLOOKUP(T378,'Dispensed Ink Rates'!C:C,'Dispensed Ink Rates'!CS:CS),VLOOKUP(T378,'Jan-2026 rates'!$E:$F,2,0)))</f>
        <v>0</v>
      </c>
      <c r="AF378" s="404"/>
      <c r="AG378" s="398">
        <f>IF(AF378=0,0,IF(LEN(U378)=11,_xlfn.XLOOKUP(U378,'Dispensed Ink Rates'!C:C,'Dispensed Ink Rates'!CS:CS),VLOOKUP(U378,'Jan-2026 rates'!$E:$F,2,0)))</f>
        <v>0</v>
      </c>
      <c r="AH378" s="404"/>
      <c r="AI378" s="398">
        <f>IF(AH378=0,0,IF(LEN(V378)=11,_xlfn.XLOOKUP(V378,'Dispensed Ink Rates'!C:C,'Dispensed Ink Rates'!CS:CS),VLOOKUP(V378,'Jan-2026 rates'!$E:$F,2,0)))</f>
        <v>0</v>
      </c>
      <c r="AJ378" s="404"/>
      <c r="AK378" s="398">
        <f>IF(AJ378=0,0,IF(LEN(W378)=11,_xlfn.XLOOKUP(W378,'Dispensed Ink Rates'!C:C,'Dispensed Ink Rates'!CS:CS),VLOOKUP(W378,'Jan-2026 rates'!$E:$F,2,0)))</f>
        <v>0</v>
      </c>
      <c r="AL378" s="404"/>
      <c r="AM378" s="398">
        <f>IF(AL378=0,0,IF(LEN(X378)=11,_xlfn.XLOOKUP(X378,'Dispensed Ink Rates'!C:C,'Dispensed Ink Rates'!CS:CS),VLOOKUP(X378,'Jan-2026 rates'!$E:$F,2,0)))</f>
        <v>0</v>
      </c>
      <c r="AN378" s="404"/>
      <c r="AO378" s="398">
        <f>IF(AN378=0,0,IF(LEN(Y378)=11,_xlfn.XLOOKUP(Y378,'Dispensed Ink Rates'!C:C,'Dispensed Ink Rates'!CS:CS),VLOOKUP(Y378,'Jan-2026 rates'!$E:$F,2,0)))</f>
        <v>0</v>
      </c>
      <c r="AP378" s="409" t="s">
        <v>1443</v>
      </c>
      <c r="AQ378" s="409">
        <v>23</v>
      </c>
      <c r="AR378" s="410">
        <f t="shared" si="212"/>
        <v>0</v>
      </c>
      <c r="AS378" s="411">
        <f t="shared" si="213"/>
        <v>8.6097560975609753</v>
      </c>
      <c r="AT378" s="410">
        <f t="shared" si="214"/>
        <v>0</v>
      </c>
      <c r="AU378" s="405" t="s">
        <v>546</v>
      </c>
      <c r="AV378" s="409"/>
      <c r="AW378" s="420" t="str">
        <f t="shared" si="348"/>
        <v>FLINTSL - REFLEX BLUE</v>
      </c>
      <c r="AX378" s="409"/>
      <c r="AY378" s="411">
        <f>IF(AX378=0,0,IF($LB378=70%,VLOOKUP($AW378,'Jan-2026 rates'!$L:$R,4,0),IF($LB378=65%,VLOOKUP($AW378,'Jan-2026 rates'!$L:$R,4,0),IF($LB378=40%,VLOOKUP($AW378,'Jan-2026 rates'!$L:$R,5,0),IF($LB378=30%,VLOOKUP($AW378,'Jan-2026 rates'!$L:$R,6,0),IF($LB378=100%,VLOOKUP($AW378,'Jan-2026 rates'!$L:$R,7,0),IF($LB378=60%,VLOOKUP($AW378,'Jan-2026 rates'!$L:$S,8,0),IF($LB378=80%,VLOOKUP($AW378,'Jan-2026 rates'!L:T,9,0),0))))))))</f>
        <v>0</v>
      </c>
      <c r="AZ378" s="412"/>
      <c r="BA378" s="409"/>
      <c r="BB378" s="411">
        <f>IF(BA378=0,0,IF($LB378=70%,VLOOKUP($AW378,'Jan-2026 rates'!$L:$R,4,0),IF($LB378=65%,VLOOKUP($AW378,'Jan-2026 rates'!$L:$R,4,0),IF($LB378=40%,VLOOKUP($AW378,'Jan-2026 rates'!$L:$R,5,0),IF($LB378=30%,VLOOKUP($AW378,'Jan-2026 rates'!$L:$R,6,0),IF($LB378=100%,VLOOKUP($AW378,'Jan-2026 rates'!$L:$R,7,0),IF($LB378=60%,VLOOKUP($AW378,'Jan-2026 rates'!$L:$S,8,0),IF($LB378=80%,VLOOKUP($AW378,'Jan-2026 rates'!L:T,9,0),0))))))))</f>
        <v>0</v>
      </c>
      <c r="BC378" s="413">
        <v>26527000014</v>
      </c>
      <c r="BD378" s="412">
        <v>26529000021</v>
      </c>
      <c r="BE378" s="412">
        <v>26529000023</v>
      </c>
      <c r="BF378" s="413" t="s">
        <v>1266</v>
      </c>
      <c r="BG378" s="412"/>
      <c r="BH378" s="412"/>
      <c r="BI378" s="412"/>
      <c r="BJ378" s="412"/>
      <c r="BK378" s="409">
        <f>10+1</f>
        <v>11</v>
      </c>
      <c r="BL378" s="398" t="e">
        <f>IF(BK378=0,0,IF(LEN(BC378)=11,_xlfn.XLOOKUP(BC378,'Dispensed Ink Rates'!C:C,'Dispensed Ink Rates'!CS:CS),VLOOKUP(BC378,'Jan-2026 rates'!$E:$F,2,0)))</f>
        <v>#N/A</v>
      </c>
      <c r="BM378" s="409">
        <v>5</v>
      </c>
      <c r="BN378" s="398" t="e">
        <f>IF(BM378=0,0,IF(LEN(BD378)=11,_xlfn.XLOOKUP(BD378,'Dispensed Ink Rates'!C:C,'Dispensed Ink Rates'!CS:CS),VLOOKUP(BD378,'Jan-2026 rates'!$E:$F,2,0)))</f>
        <v>#N/A</v>
      </c>
      <c r="BO378" s="409">
        <v>20</v>
      </c>
      <c r="BP378" s="398" t="e">
        <f>IF(BO378=0,0,IF(LEN(BE378)=11,_xlfn.XLOOKUP(BE378,'Dispensed Ink Rates'!C:C,'Dispensed Ink Rates'!CS:CS),VLOOKUP(BE378,'Jan-2026 rates'!$E:$F,2,0)))</f>
        <v>#N/A</v>
      </c>
      <c r="BQ378" s="409">
        <v>20</v>
      </c>
      <c r="BR378" s="398">
        <f>IF(BQ378=0,0,IF(LEN(BF378)=11,_xlfn.XLOOKUP(BF378,'Dispensed Ink Rates'!C:C,'Dispensed Ink Rates'!CS:CS),VLOOKUP(BF378,'Jan-2026 rates'!$E:$F,2,0)))</f>
        <v>0</v>
      </c>
      <c r="BS378" s="409"/>
      <c r="BT378" s="398">
        <f>IF(BS378=0,0,IF(LEN(BG378)=11,_xlfn.XLOOKUP(BG378,'Dispensed Ink Rates'!C:C,'Dispensed Ink Rates'!CS:CS),VLOOKUP(BG378,'Jan-2026 rates'!$E:$F,2,0)))</f>
        <v>0</v>
      </c>
      <c r="BU378" s="409"/>
      <c r="BV378" s="398">
        <f>IF(BU378=0,0,IF(LEN(BH378)=11,_xlfn.XLOOKUP(BH378,'Dispensed Ink Rates'!C:C,'Dispensed Ink Rates'!CS:CS),VLOOKUP(BH378,'Jan-2026 rates'!$E:$F,2,0)))</f>
        <v>0</v>
      </c>
      <c r="BW378" s="409"/>
      <c r="BX378" s="398">
        <f>IF(BW378=0,0,IF(LEN(BI378)=11,_xlfn.XLOOKUP(BI378,'Dispensed Ink Rates'!C:C,'Dispensed Ink Rates'!CS:CS),VLOOKUP(BI378,'Jan-2026 rates'!$E:$F,2,0)))</f>
        <v>0</v>
      </c>
      <c r="BY378" s="409"/>
      <c r="BZ378" s="398">
        <f>IF(BY378=0,0,IF(LEN(BJ378)=11,_xlfn.XLOOKUP(BJ378,'Dispensed Ink Rates'!C:C,'Dispensed Ink Rates'!CS:CS),VLOOKUP(BJ378,'Jan-2026 rates'!$E:$F,2,0)))</f>
        <v>0</v>
      </c>
      <c r="CA378" s="409" t="s">
        <v>1443</v>
      </c>
      <c r="CB378" s="409">
        <v>24</v>
      </c>
      <c r="CC378" s="411">
        <f t="shared" si="215"/>
        <v>0</v>
      </c>
      <c r="CD378" s="411">
        <f t="shared" si="216"/>
        <v>86.146341463414643</v>
      </c>
      <c r="CE378" s="410">
        <f t="shared" si="217"/>
        <v>0</v>
      </c>
      <c r="CF378" s="404" t="s">
        <v>855</v>
      </c>
      <c r="CG378" s="409" t="s">
        <v>4878</v>
      </c>
      <c r="CH378" s="420" t="str">
        <f t="shared" si="185"/>
        <v>FLINTSL - CYAN</v>
      </c>
      <c r="CI378" s="409">
        <v>26</v>
      </c>
      <c r="CJ378" s="411">
        <f>IF(CI378=0,0,IF($LB378=70%,VLOOKUP($CH378,'Jan-2026 rates'!$L:$R,4,0),IF($LB378=65%,VLOOKUP($CH378,'Jan-2026 rates'!$L:$R,4,0),IF($LB378=40%,VLOOKUP($CH378,'Jan-2026 rates'!$L:$R,5,0),IF($LB378=30%,VLOOKUP($CH378,'Jan-2026 rates'!$L:$R,6,0),IF($LB378=100%,VLOOKUP($CH378,'Jan-2026 rates'!$L:$R,7,0),IF($LB378=60%,VLOOKUP($CH378,'Jan-2026 rates'!$L:$S,8,0),IF($LB378=80%,VLOOKUP($CH378,'Jan-2026 rates'!L:T,9,0),0))))))))</f>
        <v>0</v>
      </c>
      <c r="CK378" s="412"/>
      <c r="CL378" s="409"/>
      <c r="CM378" s="411">
        <f>IF(CL378=0,0,IF($LB378=70%,VLOOKUP($CH378,'Jan-2026 rates'!$L:$R,4,0),IF($LB378=65%,VLOOKUP($CH378,'Jan-2026 rates'!$L:$R,4,0),IF($LB378=40%,VLOOKUP($CH378,'Jan-2026 rates'!$L:$R,5,0),IF($LB378=30%,VLOOKUP($CH378,'Jan-2026 rates'!$L:$R,6,0),IF($LB378=100%,VLOOKUP($CH378,'Jan-2026 rates'!$L:$R,7,0),IF($LB378=60%,VLOOKUP($CH378,'Jan-2026 rates'!$L:$S,8,0),IF($LB378=80%,VLOOKUP($CH378,'Jan-2026 rates'!L:T,9,0),0))))))))</f>
        <v>0</v>
      </c>
      <c r="CN378" s="426" t="s">
        <v>1266</v>
      </c>
      <c r="CO378" s="427"/>
      <c r="CP378" s="426"/>
      <c r="CQ378" s="426"/>
      <c r="CR378" s="428"/>
      <c r="CS378" s="428"/>
      <c r="CT378" s="428"/>
      <c r="CU378" s="428"/>
      <c r="CV378" s="409">
        <v>2</v>
      </c>
      <c r="CW378" s="398">
        <f>IF(CV378=0,0,IF(LEN(CN378)=11,_xlfn.XLOOKUP(CN378,'Dispensed Ink Rates'!C:C,'Dispensed Ink Rates'!CS:CS),VLOOKUP(CN378,'Jan-2026 rates'!$E:$F,2,0)))</f>
        <v>0</v>
      </c>
      <c r="CX378" s="409"/>
      <c r="CY378" s="398">
        <f>IF(CX378=0,0,IF(LEN(CO378)=11,_xlfn.XLOOKUP(CO378,'Dispensed Ink Rates'!C:C,'Dispensed Ink Rates'!CS:CS),VLOOKUP(CO378,'Jan-2026 rates'!$E:$F,2,0)))</f>
        <v>0</v>
      </c>
      <c r="CZ378" s="409"/>
      <c r="DA378" s="398">
        <f>IF(CZ378=0,0,IF(LEN(CP378)=11,_xlfn.XLOOKUP(CP378,'Dispensed Ink Rates'!C:C,'Dispensed Ink Rates'!CS:CS),VLOOKUP(CP378,'Jan-2026 rates'!$E:$F,2,0)))</f>
        <v>0</v>
      </c>
      <c r="DB378" s="409"/>
      <c r="DC378" s="398">
        <f>IF(DB378=0,0,IF(LEN(CQ378)=11,_xlfn.XLOOKUP(CQ378,'Dispensed Ink Rates'!C:C,'Dispensed Ink Rates'!CS:CS),VLOOKUP(CQ378,'Jan-2026 rates'!$E:$F,2,0)))</f>
        <v>0</v>
      </c>
      <c r="DD378" s="409"/>
      <c r="DE378" s="398">
        <f>IF(DD378=0,0,IF(LEN(CR378)=11,_xlfn.XLOOKUP(CR378,'Dispensed Ink Rates'!C:C,'Dispensed Ink Rates'!CS:CS),VLOOKUP(CR378,'Jan-2026 rates'!$E:$F,2,0)))</f>
        <v>0</v>
      </c>
      <c r="DF378" s="409"/>
      <c r="DG378" s="398">
        <f>IF(DF378=0,0,IF(LEN(CS378)=11,_xlfn.XLOOKUP(CS378,'Dispensed Ink Rates'!C:C,'Dispensed Ink Rates'!CS:CS),VLOOKUP(CS378,'Jan-2026 rates'!$E:$F,2,0)))</f>
        <v>0</v>
      </c>
      <c r="DH378" s="409"/>
      <c r="DI378" s="398">
        <f>IF(DH378=0,0,IF(LEN(CT378)=11,_xlfn.XLOOKUP(CT378,'Dispensed Ink Rates'!C:C,'Dispensed Ink Rates'!CS:CS),VLOOKUP(CT378,'Jan-2026 rates'!$E:$F,2,0)))</f>
        <v>0</v>
      </c>
      <c r="DJ378" s="409"/>
      <c r="DK378" s="398">
        <f>IF(DJ378=0,0,IF(LEN(CU378)=11,_xlfn.XLOOKUP(CU378,'Dispensed Ink Rates'!C:C,'Dispensed Ink Rates'!CS:CS),VLOOKUP(CU378,'Jan-2026 rates'!$E:$F,2,0)))</f>
        <v>0</v>
      </c>
      <c r="DL378" s="409" t="s">
        <v>1443</v>
      </c>
      <c r="DM378" s="409">
        <v>25</v>
      </c>
      <c r="DN378" s="411">
        <f t="shared" si="218"/>
        <v>0</v>
      </c>
      <c r="DO378" s="411">
        <f t="shared" si="219"/>
        <v>6.6097560975609753</v>
      </c>
      <c r="DP378" s="410">
        <f t="shared" si="220"/>
        <v>0</v>
      </c>
      <c r="DQ378" s="405" t="s">
        <v>544</v>
      </c>
      <c r="DR378" s="409" t="s">
        <v>4879</v>
      </c>
      <c r="DS378" s="420" t="str">
        <f t="shared" si="186"/>
        <v>FLINTSL - MAGENTA</v>
      </c>
      <c r="DT378" s="409">
        <v>28</v>
      </c>
      <c r="DU378" s="411">
        <f>IF(DT378=0,0,IF($LB378=70%,VLOOKUP($DS378,'Jan-2026 rates'!$L:$R,4,0),IF($LB378=65%,VLOOKUP($DS378,'Jan-2026 rates'!$L:$R,4,0),IF($LB378=40%,VLOOKUP($DS378,'Jan-2026 rates'!$L:$R,5,0),IF($LB378=30%,VLOOKUP($DS378,'Jan-2026 rates'!$L:$R,6,0),IF($LB378=100%,VLOOKUP($DS378,'Jan-2026 rates'!$L:$R,7,0),IF($LB378=60%,VLOOKUP($DS378,'Jan-2026 rates'!$L:$S,8,0),IF($LB378=80%,VLOOKUP($DS378,'Jan-2026 rates'!L:T,9,0),0))))))))</f>
        <v>0</v>
      </c>
      <c r="DV378" s="412"/>
      <c r="DW378" s="409"/>
      <c r="DX378" s="411">
        <f>IF(DW378=0,0,IF($LB378=70%,VLOOKUP($DS378,'Jan-2026 rates'!$L:$R,4,0),IF($LB378=65%,VLOOKUP($DS378,'Jan-2026 rates'!$L:$R,4,0),IF($LB378=40%,VLOOKUP($DS378,'Jan-2026 rates'!$L:$R,5,0),IF($LB378=30%,VLOOKUP($DS378,'Jan-2026 rates'!$L:$R,6,0),IF($LB378=100%,VLOOKUP($DS378,'Jan-2026 rates'!$L:$R,7,0),IF($LB378=60%,VLOOKUP($DS378,'Jan-2026 rates'!$L:$S,8,0),IF($LB378=80%,VLOOKUP($DS378,'Jan-2026 rates'!L:T,9,0),0))))))))</f>
        <v>0</v>
      </c>
      <c r="DY378" s="413">
        <v>26529000023</v>
      </c>
      <c r="DZ378" s="413" t="s">
        <v>1266</v>
      </c>
      <c r="EA378" s="412"/>
      <c r="EB378" s="412"/>
      <c r="EC378" s="412"/>
      <c r="ED378" s="412"/>
      <c r="EE378" s="412"/>
      <c r="EF378" s="412"/>
      <c r="EG378" s="409">
        <v>5</v>
      </c>
      <c r="EH378" s="398" t="e">
        <f>IF(EG378=0,0,IF(LEN(DY378)=11,_xlfn.XLOOKUP(DY378,'Dispensed Ink Rates'!C:C,'Dispensed Ink Rates'!CS:CS),VLOOKUP(DY378,'Jan-2026 rates'!$E:$F,2,0)))</f>
        <v>#N/A</v>
      </c>
      <c r="EI378" s="409">
        <v>2</v>
      </c>
      <c r="EJ378" s="398">
        <f>IF(EI378=0,0,IF(LEN(DZ378)=11,_xlfn.XLOOKUP(DZ378,'Dispensed Ink Rates'!C:C,'Dispensed Ink Rates'!CS:CS),VLOOKUP(DZ378,'Jan-2026 rates'!$E:$F,2,0)))</f>
        <v>0</v>
      </c>
      <c r="EK378" s="409"/>
      <c r="EL378" s="398">
        <f>IF(EK378=0,0,IF(LEN(EA378)=11,_xlfn.XLOOKUP(EA378,'Dispensed Ink Rates'!C:C,'Dispensed Ink Rates'!CS:CS),VLOOKUP(EA378,'Jan-2026 rates'!$E:$F,2,0)))</f>
        <v>0</v>
      </c>
      <c r="EM378" s="409"/>
      <c r="EN378" s="398">
        <f>IF(EM378=0,0,IF(LEN(EB378)=11,_xlfn.XLOOKUP(EB378,'Dispensed Ink Rates'!C:C,'Dispensed Ink Rates'!CS:CS),VLOOKUP(EB378,'Jan-2026 rates'!$E:$F,2,0)))</f>
        <v>0</v>
      </c>
      <c r="EO378" s="409"/>
      <c r="EP378" s="398">
        <f>IF(EO378=0,0,IF(LEN(EC378)=11,_xlfn.XLOOKUP(EC378,'Dispensed Ink Rates'!C:C,'Dispensed Ink Rates'!CS:CS),VLOOKUP(EC378,'Jan-2026 rates'!$E:$F,2,0)))</f>
        <v>0</v>
      </c>
      <c r="EQ378" s="409"/>
      <c r="ER378" s="398">
        <f>IF(EQ378=0,0,IF(LEN(ED378)=11,_xlfn.XLOOKUP(ED378,'Dispensed Ink Rates'!C:C,'Dispensed Ink Rates'!CS:CS),VLOOKUP(ED378,'Jan-2026 rates'!$E:$F,2,0)))</f>
        <v>0</v>
      </c>
      <c r="ES378" s="409"/>
      <c r="ET378" s="398">
        <f>IF(ES378=0,0,IF(LEN(EE378)=11,_xlfn.XLOOKUP(EE378,'Dispensed Ink Rates'!C:C,'Dispensed Ink Rates'!CS:CS),VLOOKUP(EE378,'Jan-2026 rates'!$E:$F,2,0)))</f>
        <v>0</v>
      </c>
      <c r="EU378" s="409"/>
      <c r="EV378" s="398">
        <f>IF(EU378=0,0,IF(LEN(EF378)=11,_xlfn.XLOOKUP(EF378,'Dispensed Ink Rates'!C:C,'Dispensed Ink Rates'!CS:CS),VLOOKUP(EF378,'Jan-2026 rates'!$E:$F,2,0)))</f>
        <v>0</v>
      </c>
      <c r="EW378" s="409" t="s">
        <v>1443</v>
      </c>
      <c r="EX378" s="409">
        <v>26</v>
      </c>
      <c r="EY378" s="411">
        <f t="shared" si="221"/>
        <v>0</v>
      </c>
      <c r="EZ378" s="411">
        <f t="shared" si="222"/>
        <v>21.634146341463413</v>
      </c>
      <c r="FA378" s="410">
        <f t="shared" si="223"/>
        <v>0</v>
      </c>
      <c r="FB378" s="405" t="s">
        <v>545</v>
      </c>
      <c r="FC378" s="409" t="s">
        <v>4880</v>
      </c>
      <c r="FD378" s="420" t="str">
        <f t="shared" si="187"/>
        <v>FLINTSL - YELLOW</v>
      </c>
      <c r="FE378" s="409">
        <v>30</v>
      </c>
      <c r="FF378" s="411">
        <f>IF(FE378=0,0,IF($LB378=70%,VLOOKUP($FD378,'Jan-2026 rates'!$L:$R,4,0),IF($LB378=65%,VLOOKUP($FD378,'Jan-2026 rates'!$L:$R,4,0),IF($LB378=40%,VLOOKUP($FD378,'Jan-2026 rates'!$L:$R,5,0),IF($LB378=30%,VLOOKUP($FD378,'Jan-2026 rates'!$L:$R,6,0),IF($LB378=100%,VLOOKUP($FD378,'Jan-2026 rates'!$L:$R,7,0),IF($LB378=60%,VLOOKUP($FD378,'Jan-2026 rates'!$L:$S,8,0),IF($LB378=80%,VLOOKUP($FD378,'Jan-2026 rates'!L:T,9,0),0))))))))</f>
        <v>0</v>
      </c>
      <c r="FG378" s="412"/>
      <c r="FH378" s="409"/>
      <c r="FI378" s="411">
        <f>IF(FH378=0,0,IF($LB378=70%,VLOOKUP($FD378,'Jan-2026 rates'!$L:$R,4,0),IF($LB378=65%,VLOOKUP($FD378,'Jan-2026 rates'!$L:$R,4,0),IF($LB378=40%,VLOOKUP($FD378,'Jan-2026 rates'!$L:$R,5,0),IF($LB378=30%,VLOOKUP($FD378,'Jan-2026 rates'!$L:$R,6,0),IF($LB378=100%,VLOOKUP($FD378,'Jan-2026 rates'!$L:$R,7,0),IF($LB378=60%,VLOOKUP($FD378,'Jan-2026 rates'!$L:$S,8,0),IF($LB378=80%,VLOOKUP($FD378,'Jan-2026 rates'!L:T,9,0),0))))))))</f>
        <v>0</v>
      </c>
      <c r="FJ378" s="413">
        <v>26529000019</v>
      </c>
      <c r="FK378" s="413" t="s">
        <v>1266</v>
      </c>
      <c r="FL378" s="413"/>
      <c r="FM378" s="412"/>
      <c r="FN378" s="412"/>
      <c r="FO378" s="412"/>
      <c r="FP378" s="412"/>
      <c r="FQ378" s="412"/>
      <c r="FR378" s="409">
        <v>10</v>
      </c>
      <c r="FS378" s="398" t="e">
        <f>IF(FR378=0,0,IF(LEN(FJ378)=11,_xlfn.XLOOKUP(FJ378,'Dispensed Ink Rates'!C:C,'Dispensed Ink Rates'!CS:CS),VLOOKUP(FJ378,'Jan-2026 rates'!$E:$F,2,0)))</f>
        <v>#N/A</v>
      </c>
      <c r="FT378" s="409">
        <v>5</v>
      </c>
      <c r="FU378" s="398">
        <f>IF(FT378=0,0,IF(LEN(FK378)=11,_xlfn.XLOOKUP(FK378,'Dispensed Ink Rates'!C:C,'Dispensed Ink Rates'!CS:CS),VLOOKUP(FK378,'Jan-2026 rates'!$E:$F,2,0)))</f>
        <v>0</v>
      </c>
      <c r="FV378" s="409"/>
      <c r="FW378" s="398">
        <f>IF(FV378=0,0,IF(LEN(FL378)=11,_xlfn.XLOOKUP(FL378,'Dispensed Ink Rates'!C:C,'Dispensed Ink Rates'!CS:CS),VLOOKUP(FL378,'Jan-2026 rates'!$E:$F,2,0)))</f>
        <v>0</v>
      </c>
      <c r="FX378" s="409"/>
      <c r="FY378" s="398">
        <f>IF(FX378=0,0,IF(LEN(FM378)=11,_xlfn.XLOOKUP(FM378,'Dispensed Ink Rates'!C:C,'Dispensed Ink Rates'!CS:CS),VLOOKUP(FM378,'Jan-2026 rates'!$E:$F,2,0)))</f>
        <v>0</v>
      </c>
      <c r="FZ378" s="409"/>
      <c r="GA378" s="398">
        <f>IF(FZ378=0,0,IF(LEN(FN378)=11,_xlfn.XLOOKUP(FN378,'Dispensed Ink Rates'!C:C,'Dispensed Ink Rates'!CS:CS),VLOOKUP(FN378,'Jan-2026 rates'!$E:$F,2,0)))</f>
        <v>0</v>
      </c>
      <c r="GB378" s="409"/>
      <c r="GC378" s="398">
        <f>IF(GB378=0,0,IF(LEN(FO378)=11,_xlfn.XLOOKUP(FO378,'Dispensed Ink Rates'!C:C,'Dispensed Ink Rates'!CS:CS),VLOOKUP(FO378,'Jan-2026 rates'!$E:$F,2,0)))</f>
        <v>0</v>
      </c>
      <c r="GD378" s="409"/>
      <c r="GE378" s="398">
        <f>IF(GD378=0,0,IF(LEN(FP378)=11,_xlfn.XLOOKUP(FP378,'Dispensed Ink Rates'!C:C,'Dispensed Ink Rates'!CS:CS),VLOOKUP(FP378,'Jan-2026 rates'!$E:$F,2,0)))</f>
        <v>0</v>
      </c>
      <c r="GF378" s="409"/>
      <c r="GG378" s="398">
        <f>IF(GF378=0,0,IF(LEN(FQ378)=11,_xlfn.XLOOKUP(FQ378,'Dispensed Ink Rates'!C:C,'Dispensed Ink Rates'!CS:CS),VLOOKUP(FQ378,'Jan-2026 rates'!$E:$F,2,0)))</f>
        <v>0</v>
      </c>
      <c r="GH378" s="409" t="s">
        <v>1443</v>
      </c>
      <c r="GI378" s="409">
        <v>26</v>
      </c>
      <c r="GJ378" s="411">
        <f t="shared" si="224"/>
        <v>0</v>
      </c>
      <c r="GK378" s="411">
        <f t="shared" si="225"/>
        <v>37.048780487804876</v>
      </c>
      <c r="GL378" s="410">
        <f t="shared" si="226"/>
        <v>0</v>
      </c>
      <c r="GM378" s="405" t="s">
        <v>548</v>
      </c>
      <c r="GN378" s="409" t="s">
        <v>4881</v>
      </c>
      <c r="GO378" s="420" t="str">
        <f t="shared" si="188"/>
        <v>FLINTSL - GOLD</v>
      </c>
      <c r="GP378" s="409">
        <v>26</v>
      </c>
      <c r="GQ378" s="411">
        <f>IF(GP378=0,0,IF($LB378=70%,VLOOKUP($GO378,'Jan-2026 rates'!$L:$R,4,0),IF($LB378=65%,VLOOKUP($GO378,'Jan-2026 rates'!$L:$R,4,0),IF($LB378=40%,VLOOKUP($GO378,'Jan-2026 rates'!$L:$R,5,0),IF($LB378=30%,VLOOKUP($GO378,'Jan-2026 rates'!$L:$R,6,0),IF($LB378=100%,VLOOKUP($GO378,'Jan-2026 rates'!$L:$R,7,0),IF($LB378=60%,VLOOKUP($GO378,'Jan-2026 rates'!$L:$S,8,0),IF($LB378=80%,VLOOKUP($GO378,'Jan-2026 rates'!L:T,9,0),0))))))))</f>
        <v>0</v>
      </c>
      <c r="GR378" s="412"/>
      <c r="GS378" s="409"/>
      <c r="GT378" s="411">
        <f>IF(GS378=0,0,IF($LB378=70%,VLOOKUP($GO378,'Jan-2026 rates'!$L:$R,4,0),IF($LB378=65%,VLOOKUP($GO378,'Jan-2026 rates'!$L:$R,4,0),IF($LB378=40%,VLOOKUP($GO378,'Jan-2026 rates'!$L:$R,5,0),IF($LB378=30%,VLOOKUP($GO378,'Jan-2026 rates'!$L:$R,6,0),IF($LB378=100%,VLOOKUP($GO378,'Jan-2026 rates'!$L:$R,7,0),IF($LB378=60%,VLOOKUP($GO378,'Jan-2026 rates'!$L:$S,8,0),IF($LB378=80%,VLOOKUP($GO378,'Jan-2026 rates'!L:T,9,0),0))))))))</f>
        <v>0</v>
      </c>
      <c r="GU378" s="413">
        <v>26530000025</v>
      </c>
      <c r="GV378" s="413"/>
      <c r="GW378" s="412"/>
      <c r="GX378" s="412"/>
      <c r="GY378" s="412"/>
      <c r="GZ378" s="412"/>
      <c r="HA378" s="412"/>
      <c r="HB378" s="412"/>
      <c r="HC378" s="409">
        <v>2</v>
      </c>
      <c r="HD378" s="398" t="e">
        <f>IF(HC378=0,0,IF(LEN(GU378)=11,_xlfn.XLOOKUP(GU378,'Dispensed Ink Rates'!C:C,'Dispensed Ink Rates'!CS:CS),VLOOKUP(GU378,'Jan-2026 rates'!$E:$F,2,0)))</f>
        <v>#N/A</v>
      </c>
      <c r="HE378" s="409"/>
      <c r="HF378" s="398">
        <f>IF(HE378=0,0,IF(LEN(GV378)=11,_xlfn.XLOOKUP(GV378,'Dispensed Ink Rates'!C:C,'Dispensed Ink Rates'!CS:CS),VLOOKUP(GV378,'Jan-2026 rates'!$E:$F,2,0)))</f>
        <v>0</v>
      </c>
      <c r="HG378" s="409"/>
      <c r="HH378" s="398">
        <f>IF(HG378=0,0,IF(LEN(GW378)=11,_xlfn.XLOOKUP(GW378,'Dispensed Ink Rates'!C:C,'Dispensed Ink Rates'!CS:CS),VLOOKUP(GW378,'Jan-2026 rates'!$E:$F,2,0)))</f>
        <v>0</v>
      </c>
      <c r="HI378" s="409"/>
      <c r="HJ378" s="398">
        <f>IF(HI378=0,0,IF(LEN(GX378)=11,_xlfn.XLOOKUP(GX378,'Dispensed Ink Rates'!C:C,'Dispensed Ink Rates'!CS:CS),VLOOKUP(GX378,'Jan-2026 rates'!$E:$F,2,0)))</f>
        <v>0</v>
      </c>
      <c r="HK378" s="409"/>
      <c r="HL378" s="398">
        <f>IF(HK378=0,0,IF(LEN(GY378)=11,_xlfn.XLOOKUP(GY378,'Dispensed Ink Rates'!C:C,'Dispensed Ink Rates'!CS:CS),VLOOKUP(GY378,'Jan-2026 rates'!$E:$F,2,0)))</f>
        <v>0</v>
      </c>
      <c r="HM378" s="409"/>
      <c r="HN378" s="398">
        <f>IF(HM378=0,0,IF(LEN(GZ378)=11,_xlfn.XLOOKUP(GZ378,'Dispensed Ink Rates'!C:C,'Dispensed Ink Rates'!CS:CS),VLOOKUP(GZ378,'Jan-2026 rates'!$E:$F,2,0)))</f>
        <v>0</v>
      </c>
      <c r="HO378" s="409"/>
      <c r="HP378" s="398">
        <f>IF(HO378=0,0,IF(LEN(HA378)=11,_xlfn.XLOOKUP(HA378,'Dispensed Ink Rates'!C:C,'Dispensed Ink Rates'!CS:CS),VLOOKUP(HA378,'Jan-2026 rates'!$E:$F,2,0)))</f>
        <v>0</v>
      </c>
      <c r="HQ378" s="409"/>
      <c r="HR378" s="398">
        <f>IF(HQ378=0,0,IF(LEN(HB378)=11,_xlfn.XLOOKUP(HB378,'Dispensed Ink Rates'!C:C,'Dispensed Ink Rates'!CS:CS),VLOOKUP(HB378,'Jan-2026 rates'!$E:$F,2,0)))</f>
        <v>0</v>
      </c>
      <c r="HS378" s="409" t="s">
        <v>1443</v>
      </c>
      <c r="HT378" s="409">
        <v>25</v>
      </c>
      <c r="HU378" s="411">
        <f t="shared" si="227"/>
        <v>0</v>
      </c>
      <c r="HV378" s="411">
        <f t="shared" si="228"/>
        <v>4.8048780487804876</v>
      </c>
      <c r="HW378" s="414">
        <f t="shared" si="229"/>
        <v>0</v>
      </c>
      <c r="HX378" s="405" t="s">
        <v>856</v>
      </c>
      <c r="HY378" s="409" t="s">
        <v>4882</v>
      </c>
      <c r="HZ378" s="420" t="str">
        <f t="shared" si="189"/>
        <v>FLINTSL - WHITE</v>
      </c>
      <c r="IA378" s="409">
        <v>30</v>
      </c>
      <c r="IB378" s="411">
        <f>IF(IA378=0,0,IF($LB378=70%,VLOOKUP($HZ378,'Jan-2026 rates'!$L:$R,4,0),IF($LB378=65%,VLOOKUP($HZ378,'Jan-2026 rates'!$L:$R,4,0),IF($LB378=40%,VLOOKUP($HZ378,'Jan-2026 rates'!$L:$R,5,0),IF($LB378=30%,VLOOKUP($HZ378,'Jan-2026 rates'!$L:$R,6,0),IF($LB378=100%,VLOOKUP($HZ378,'Jan-2026 rates'!$L:$R,7,0),IF($LB378=60%,VLOOKUP($HZ378,'Jan-2026 rates'!$L:$S,8,0),IF($LB378=80%,VLOOKUP($HZ378,'Jan-2026 rates'!L:T,9,0),0))))))))</f>
        <v>0</v>
      </c>
      <c r="IC378" s="412"/>
      <c r="ID378" s="409"/>
      <c r="IE378" s="411">
        <f>IF(ID378=0,0,IF($LB378=70%,VLOOKUP($HZ378,'Jan-2026 rates'!$L:$R,4,0),IF($LB378=65%,VLOOKUP($HZ378,'Jan-2026 rates'!$L:$R,4,0),IF($LB378=40%,VLOOKUP($HZ378,'Jan-2026 rates'!$L:$R,5,0),IF($LB378=30%,VLOOKUP($HZ378,'Jan-2026 rates'!$L:$R,6,0),IF($LB378=100%,VLOOKUP($HZ378,'Jan-2026 rates'!$L:$R,7,0),IF($LB378=60%,VLOOKUP($HZ378,'Jan-2026 rates'!$L:$S,8,0),IF($LB378=80%,VLOOKUP($HZ378,'Jan-2026 rates'!L:T,9,0),0))))))))</f>
        <v>0</v>
      </c>
      <c r="IF378" s="412" t="s">
        <v>484</v>
      </c>
      <c r="IG378" s="413"/>
      <c r="IH378" s="412"/>
      <c r="II378" s="412"/>
      <c r="IJ378" s="412"/>
      <c r="IK378" s="412"/>
      <c r="IL378" s="412"/>
      <c r="IM378" s="412"/>
      <c r="IN378" s="409">
        <v>60</v>
      </c>
      <c r="IO378" s="398">
        <f>IF(IN378=0,0,IF(LEN(IF378)=11,_xlfn.XLOOKUP(IF378,'Dispensed Ink Rates'!C:C,'Dispensed Ink Rates'!CS:CS),VLOOKUP(IF378,'Jan-2026 rates'!$E:$F,2,0)))</f>
        <v>0</v>
      </c>
      <c r="IP378" s="409"/>
      <c r="IQ378" s="398">
        <f>IF(IP378=0,0,IF(LEN(IG378)=11,_xlfn.XLOOKUP(IG378,'Dispensed Ink Rates'!C:C,'Dispensed Ink Rates'!CS:CS),VLOOKUP(IG378,'Jan-2026 rates'!$E:$F,2,0)))</f>
        <v>0</v>
      </c>
      <c r="IR378" s="409"/>
      <c r="IS378" s="398">
        <f>IF(IR378=0,0,IF(LEN(IH378)=11,_xlfn.XLOOKUP(IH378,'Dispensed Ink Rates'!C:C,'Dispensed Ink Rates'!CS:CS),VLOOKUP(IH378,'Jan-2026 rates'!$E:$F,2,0)))</f>
        <v>0</v>
      </c>
      <c r="IT378" s="409"/>
      <c r="IU378" s="398">
        <f>IF(IT378=0,0,IF(LEN(II378)=11,_xlfn.XLOOKUP(II378,'Dispensed Ink Rates'!C:C,'Dispensed Ink Rates'!CS:CS),VLOOKUP(II378,'Jan-2026 rates'!$E:$F,2,0)))</f>
        <v>0</v>
      </c>
      <c r="IV378" s="409"/>
      <c r="IW378" s="398">
        <f>IF(IV378=0,0,IF(LEN(IJ378)=11,_xlfn.XLOOKUP(IJ378,'Dispensed Ink Rates'!C:C,'Dispensed Ink Rates'!CS:CS),VLOOKUP(IJ378,'Jan-2026 rates'!$E:$F,2,0)))</f>
        <v>0</v>
      </c>
      <c r="IX378" s="409"/>
      <c r="IY378" s="398">
        <f>IF(IX378=0,0,IF(LEN(IK378)=11,_xlfn.XLOOKUP(IK378,'Dispensed Ink Rates'!C:C,'Dispensed Ink Rates'!CS:CS),VLOOKUP(IK378,'Jan-2026 rates'!$E:$F,2,0)))</f>
        <v>0</v>
      </c>
      <c r="IZ378" s="409"/>
      <c r="JA378" s="398">
        <f>IF(IZ378=0,0,IF(LEN(IL378)=11,_xlfn.XLOOKUP(IL378,'Dispensed Ink Rates'!C:C,'Dispensed Ink Rates'!CS:CS),VLOOKUP(IL378,'Jan-2026 rates'!$E:$F,2,0)))</f>
        <v>0</v>
      </c>
      <c r="JB378" s="409"/>
      <c r="JC378" s="398">
        <f>IF(JB378=0,0,IF(LEN(IM378)=11,_xlfn.XLOOKUP(IM378,'Dispensed Ink Rates'!C:C,'Dispensed Ink Rates'!CS:CS),VLOOKUP(IM378,'Jan-2026 rates'!$E:$F,2,0)))</f>
        <v>0</v>
      </c>
      <c r="JD378" s="409" t="s">
        <v>1443</v>
      </c>
      <c r="JE378" s="409">
        <v>20</v>
      </c>
      <c r="JF378" s="411">
        <f t="shared" si="230"/>
        <v>0</v>
      </c>
      <c r="JG378" s="411">
        <f t="shared" si="231"/>
        <v>124.14634146341464</v>
      </c>
      <c r="JH378" s="410">
        <f t="shared" si="232"/>
        <v>0</v>
      </c>
      <c r="JI378" s="405"/>
      <c r="JJ378" s="409"/>
      <c r="JK378" s="420" t="str">
        <f t="shared" si="190"/>
        <v xml:space="preserve"> - </v>
      </c>
      <c r="JL378" s="409"/>
      <c r="JM378" s="411">
        <f>IF(JL378=0,0,IF($LB378=70%,VLOOKUP($JK378,'Jan-2026 rates'!$L:$R,4,0),IF($LB378=65%,VLOOKUP($JK378,'Jan-2026 rates'!$L:$R,4,0),IF($LB378=40%,VLOOKUP($JK378,'Jan-2026 rates'!$L:$R,5,0),IF($LB378=30%,VLOOKUP($JK378,'Jan-2026 rates'!$L:$R,6,0),IF($LB378=100%,VLOOKUP($JK378,'Jan-2026 rates'!$L:$R,7,0),IF($LB378=60%,VLOOKUP($JK378,'Jan-2026 rates'!$L:$S,8,0),IF($LB378=80%,VLOOKUP($JK378,'Jan-2026 rates'!L:T,9,0),0))))))))</f>
        <v>0</v>
      </c>
      <c r="JN378" s="412"/>
      <c r="JO378" s="409"/>
      <c r="JP378" s="411">
        <f>IF(JO378=0,0,IF($LB378=70%,VLOOKUP($JK378,'Jan-2026 rates'!$L:$R,4,0),IF($LB378=65%,VLOOKUP($JK378,'Jan-2026 rates'!$L:$R,4,0),IF($LB378=40%,VLOOKUP($JK378,'Jan-2026 rates'!$L:$R,5,0),IF($LB378=30%,VLOOKUP($JK378,'Jan-2026 rates'!$L:$R,6,0),IF($LB378=100%,VLOOKUP($JK378,'Jan-2026 rates'!$L:$R,7,0),IF($LB378=60%,VLOOKUP($JK378,'Jan-2026 rates'!$L:$S,8,0),IF($LB378=80%,VLOOKUP($JK378,'Jan-2026 rates'!L:T,9,0),0))))))))</f>
        <v>0</v>
      </c>
      <c r="JQ378" s="413"/>
      <c r="JR378" s="412"/>
      <c r="JS378" s="413"/>
      <c r="JT378" s="413"/>
      <c r="JU378" s="412"/>
      <c r="JV378" s="412"/>
      <c r="JW378" s="412"/>
      <c r="JX378" s="412"/>
      <c r="JY378" s="409"/>
      <c r="JZ378" s="398">
        <f>IF(JY378=0,0,IF(LEN(JQ378)=11,_xlfn.XLOOKUP(JQ378,'Dispensed Ink Rates'!C:C,'Dispensed Ink Rates'!CS:CS),VLOOKUP(JQ378,'Jan-2026 rates'!$E:$F,2,0)))</f>
        <v>0</v>
      </c>
      <c r="KA378" s="409"/>
      <c r="KB378" s="398">
        <f>IF(KA378=0,0,IF(LEN(JR378)=11,_xlfn.XLOOKUP(JR378,'Dispensed Ink Rates'!C:C,'Dispensed Ink Rates'!CS:CS),VLOOKUP(JR378,'Jan-2026 rates'!$E:$F,2,0)))</f>
        <v>0</v>
      </c>
      <c r="KC378" s="409"/>
      <c r="KD378" s="398">
        <f>IF(KC378=0,0,IF(LEN(JS378)=11,_xlfn.XLOOKUP(JS378,'Dispensed Ink Rates'!C:C,'Dispensed Ink Rates'!CS:CS),VLOOKUP(JS378,'Jan-2026 rates'!$E:$F,2,0)))</f>
        <v>0</v>
      </c>
      <c r="KE378" s="409"/>
      <c r="KF378" s="398">
        <f>IF(KE378=0,0,IF(LEN(JT378)=11,_xlfn.XLOOKUP(JT378,'Dispensed Ink Rates'!C:C,'Dispensed Ink Rates'!CS:CS),VLOOKUP(JT378,'Jan-2026 rates'!$E:$F,2,0)))</f>
        <v>0</v>
      </c>
      <c r="KG378" s="409"/>
      <c r="KH378" s="398">
        <f>IF(KG378=0,0,IF(LEN(JU378)=11,_xlfn.XLOOKUP(JU378,'Dispensed Ink Rates'!C:C,'Dispensed Ink Rates'!CS:CS),VLOOKUP(JU378,'Jan-2026 rates'!$E:$F,2,0)))</f>
        <v>0</v>
      </c>
      <c r="KI378" s="409"/>
      <c r="KJ378" s="398">
        <f>IF(KI378=0,0,IF(LEN(JV378)=11,_xlfn.XLOOKUP(JV378,'Dispensed Ink Rates'!C:C,'Dispensed Ink Rates'!CS:CS),VLOOKUP(JV378,'Jan-2026 rates'!$E:$F,2,0)))</f>
        <v>0</v>
      </c>
      <c r="KK378" s="409"/>
      <c r="KL378" s="398">
        <f>IF(KK378=0,0,IF(LEN(JW378)=11,_xlfn.XLOOKUP(JW378,'Dispensed Ink Rates'!C:C,'Dispensed Ink Rates'!CS:CS),VLOOKUP(JW378,'Jan-2026 rates'!$E:$F,2,0)))</f>
        <v>0</v>
      </c>
      <c r="KM378" s="428"/>
      <c r="KN378" s="398">
        <f>IF(KM378=0,0,IF(LEN(JX378)=11,_xlfn.XLOOKUP(JX378,'Dispensed Ink Rates'!C:C,'Dispensed Ink Rates'!CS:CS),VLOOKUP(JX378,'Jan-2026 rates'!$E:$F,2,0)))</f>
        <v>0</v>
      </c>
      <c r="KO378" s="409"/>
      <c r="KP378" s="409"/>
      <c r="KQ378" s="411">
        <f t="shared" si="233"/>
        <v>0</v>
      </c>
      <c r="KR378" s="411">
        <f t="shared" si="234"/>
        <v>0</v>
      </c>
      <c r="KS378" s="410">
        <f t="shared" si="235"/>
        <v>0</v>
      </c>
      <c r="KT378" s="409">
        <v>2</v>
      </c>
      <c r="KU378" s="409">
        <v>30</v>
      </c>
      <c r="KV378" s="409">
        <v>2</v>
      </c>
      <c r="KW378" s="409">
        <v>7</v>
      </c>
      <c r="KX378" s="409">
        <v>10</v>
      </c>
      <c r="KY378" s="409">
        <v>1</v>
      </c>
      <c r="KZ378" s="409">
        <v>30</v>
      </c>
      <c r="LA378" s="409">
        <v>0</v>
      </c>
      <c r="LB378" s="415">
        <v>0.8</v>
      </c>
      <c r="LC378" s="415">
        <v>0.2</v>
      </c>
      <c r="LD378" s="424"/>
      <c r="LE378" s="415"/>
      <c r="LF378" s="415"/>
      <c r="LG378" s="409">
        <v>0</v>
      </c>
      <c r="LH378" s="409">
        <f>30+28+72+18</f>
        <v>148</v>
      </c>
      <c r="LI378" s="409">
        <v>0</v>
      </c>
      <c r="LJ378" s="409">
        <v>0</v>
      </c>
      <c r="LK378" s="416">
        <f t="shared" si="191"/>
        <v>148</v>
      </c>
      <c r="LL378" s="416">
        <f t="shared" si="349"/>
        <v>148</v>
      </c>
      <c r="LM378" s="417">
        <f t="shared" si="193"/>
        <v>118.4</v>
      </c>
      <c r="LN378" s="417">
        <f>VLOOKUP($LM$8,'Jan-2026 rates'!$H:$I,2,0)</f>
        <v>0</v>
      </c>
      <c r="LO378" s="417">
        <f t="shared" si="194"/>
        <v>29.6</v>
      </c>
      <c r="LP378" s="417">
        <f>VLOOKUP($LO$8,'Jan-2026 rates'!$H:$I,2,0)</f>
        <v>0</v>
      </c>
      <c r="LQ378" s="417">
        <f t="shared" si="195"/>
        <v>0</v>
      </c>
      <c r="LR378" s="417">
        <f>VLOOKUP($LQ$8,'Jan-2026 rates'!$H:$I,2,0)</f>
        <v>0</v>
      </c>
      <c r="LS378" s="417">
        <f t="shared" si="196"/>
        <v>0</v>
      </c>
      <c r="LT378" s="417">
        <f>VLOOKUP($LS$8,'Jan-2026 rates'!$H:$I,2,0)</f>
        <v>0</v>
      </c>
      <c r="LU378" s="417">
        <f t="shared" si="197"/>
        <v>0</v>
      </c>
      <c r="LV378" s="417">
        <f>VLOOKUP($LU$8,'Jan-2026 rates'!$H:$I,2,0)</f>
        <v>0</v>
      </c>
      <c r="LW378" s="417">
        <f t="shared" si="198"/>
        <v>0</v>
      </c>
      <c r="LX378" s="417">
        <f t="shared" si="199"/>
        <v>0</v>
      </c>
      <c r="LY378" s="418">
        <f t="shared" si="200"/>
        <v>0</v>
      </c>
      <c r="LZ378" s="417"/>
      <c r="MA378" s="435">
        <f t="shared" si="201"/>
        <v>144</v>
      </c>
      <c r="MB378" s="282">
        <f t="shared" si="202"/>
        <v>289</v>
      </c>
      <c r="MC378" s="283">
        <v>219</v>
      </c>
      <c r="MD378" s="284" t="str">
        <f t="shared" si="203"/>
        <v>FLINTSLFLINTSLFLINTSLFLINTSLFLINTSLFLINTSLFLINTSL</v>
      </c>
      <c r="ME378" s="293" t="str">
        <f t="shared" si="204"/>
        <v>+</v>
      </c>
      <c r="MF378" s="293" t="str">
        <f t="shared" si="205"/>
        <v>+</v>
      </c>
      <c r="MG378" s="293" t="str">
        <f t="shared" si="206"/>
        <v>+</v>
      </c>
      <c r="MH378" s="293" t="str">
        <f t="shared" si="207"/>
        <v>+</v>
      </c>
      <c r="MI378" s="293" t="str">
        <f t="shared" si="208"/>
        <v>+</v>
      </c>
      <c r="MJ378" s="293" t="str">
        <f t="shared" si="209"/>
        <v>+</v>
      </c>
      <c r="MK378" s="293" t="str">
        <f t="shared" si="210"/>
        <v>+</v>
      </c>
      <c r="ML378" s="293" t="str">
        <f t="shared" si="211"/>
        <v>NIL</v>
      </c>
      <c r="MM378" s="3" t="b">
        <f t="array" ref="MM378">OR(ME378:ML378="-")</f>
        <v>0</v>
      </c>
      <c r="MO378" s="401">
        <f t="shared" si="350"/>
        <v>58.502024291497975</v>
      </c>
      <c r="MP378" s="286"/>
      <c r="MR378" s="402">
        <f t="shared" si="351"/>
        <v>1.2731277533039648E-2</v>
      </c>
      <c r="MS378" s="400">
        <f t="shared" si="352"/>
        <v>0</v>
      </c>
      <c r="MT378" s="285"/>
      <c r="NH378" s="361"/>
      <c r="NJ378" s="282"/>
    </row>
    <row r="379" spans="1:374" ht="16.5">
      <c r="A379" s="403">
        <v>46052</v>
      </c>
      <c r="B379" s="404" t="s">
        <v>1015</v>
      </c>
      <c r="C379" s="405" t="s">
        <v>4883</v>
      </c>
      <c r="D379" s="404">
        <v>220</v>
      </c>
      <c r="E379" s="404">
        <v>486</v>
      </c>
      <c r="F379" s="407">
        <v>22300</v>
      </c>
      <c r="G379" s="407" t="s">
        <v>1016</v>
      </c>
      <c r="H379" s="408" t="s">
        <v>1017</v>
      </c>
      <c r="I379" s="409">
        <v>1.8</v>
      </c>
      <c r="J379" s="405" t="s">
        <v>543</v>
      </c>
      <c r="K379" s="404" t="s">
        <v>4884</v>
      </c>
      <c r="L379" s="419" t="str">
        <f t="shared" si="184"/>
        <v>FLINTSL - BLACK</v>
      </c>
      <c r="M379" s="404">
        <v>23</v>
      </c>
      <c r="N379" s="410">
        <f>IF(M379=0,0,IF($LB379=70%,VLOOKUP($L379,'Jan-2026 rates'!$L:$R,4,0),IF($LB379=65%,VLOOKUP($L379,'Jan-2026 rates'!$L:$R,4,0),IF($LB379=40%,VLOOKUP($L379,'Jan-2026 rates'!$L:$R,5,0),IF($LB379=30%,VLOOKUP($L379,'Jan-2026 rates'!$L:$R,6,0),IF($LB379=100%,VLOOKUP($L379,'Jan-2026 rates'!$L:$R,7,0),IF($LB379=60%,VLOOKUP($L379,'Jan-2026 rates'!$L:$S,8,0),IF($LB379=80%,VLOOKUP($L379,'Jan-2026 rates'!L:T,9,0),0))))))))</f>
        <v>0</v>
      </c>
      <c r="O379" s="406"/>
      <c r="P379" s="404"/>
      <c r="Q379" s="410">
        <f>IF(P379=0,0,IF($LB379=70%,VLOOKUP($L379,'Jan-2026 rates'!$L:$R,4,0),IF($LB379=65%,VLOOKUP($L379,'Jan-2026 rates'!$L:$R,4,0),IF($LB379=40%,VLOOKUP($L379,'Jan-2026 rates'!$L:$R,5,0),IF($LB379=30%,VLOOKUP($L379,'Jan-2026 rates'!$L:$R,6,0),IF($LB379=100%,VLOOKUP($L379,'Jan-2026 rates'!$L:$R,7,0),IF($LB379=60%,VLOOKUP($L379,'Jan-2026 rates'!$L:$S,8,0),IF($LB379=80%,VLOOKUP($L379,'Jan-2026 rates'!L:T,9,0),0))))))))</f>
        <v>0</v>
      </c>
      <c r="R379" s="406">
        <v>26530000023</v>
      </c>
      <c r="S379" s="406"/>
      <c r="T379" s="406"/>
      <c r="U379" s="406"/>
      <c r="V379" s="406"/>
      <c r="W379" s="406"/>
      <c r="X379" s="406"/>
      <c r="Y379" s="406"/>
      <c r="Z379" s="404">
        <v>3</v>
      </c>
      <c r="AA379" s="398" t="e">
        <f>IF(Z379=0,0,IF(LEN(R379)=11,_xlfn.XLOOKUP(R379,'Dispensed Ink Rates'!C:C,'Dispensed Ink Rates'!CS:CS),VLOOKUP(R379,'Jan-2026 rates'!$E:$F,2,0)))</f>
        <v>#N/A</v>
      </c>
      <c r="AB379" s="404"/>
      <c r="AC379" s="398">
        <f>IF(AB379=0,0,IF(LEN(S379)=11,_xlfn.XLOOKUP(S379,'Dispensed Ink Rates'!C:C,'Dispensed Ink Rates'!CS:CS),VLOOKUP(S379,'Jan-2026 rates'!$E:$F,2,0)))</f>
        <v>0</v>
      </c>
      <c r="AD379" s="404"/>
      <c r="AE379" s="398">
        <f>IF(AD379=0,0,IF(LEN(T379)=11,_xlfn.XLOOKUP(T379,'Dispensed Ink Rates'!C:C,'Dispensed Ink Rates'!CS:CS),VLOOKUP(T379,'Jan-2026 rates'!$E:$F,2,0)))</f>
        <v>0</v>
      </c>
      <c r="AF379" s="404"/>
      <c r="AG379" s="398">
        <f>IF(AF379=0,0,IF(LEN(U379)=11,_xlfn.XLOOKUP(U379,'Dispensed Ink Rates'!C:C,'Dispensed Ink Rates'!CS:CS),VLOOKUP(U379,'Jan-2026 rates'!$E:$F,2,0)))</f>
        <v>0</v>
      </c>
      <c r="AH379" s="404"/>
      <c r="AI379" s="398">
        <f>IF(AH379=0,0,IF(LEN(V379)=11,_xlfn.XLOOKUP(V379,'Dispensed Ink Rates'!C:C,'Dispensed Ink Rates'!CS:CS),VLOOKUP(V379,'Jan-2026 rates'!$E:$F,2,0)))</f>
        <v>0</v>
      </c>
      <c r="AJ379" s="404"/>
      <c r="AK379" s="398">
        <f>IF(AJ379=0,0,IF(LEN(W379)=11,_xlfn.XLOOKUP(W379,'Dispensed Ink Rates'!C:C,'Dispensed Ink Rates'!CS:CS),VLOOKUP(W379,'Jan-2026 rates'!$E:$F,2,0)))</f>
        <v>0</v>
      </c>
      <c r="AL379" s="404"/>
      <c r="AM379" s="398">
        <f>IF(AL379=0,0,IF(LEN(X379)=11,_xlfn.XLOOKUP(X379,'Dispensed Ink Rates'!C:C,'Dispensed Ink Rates'!CS:CS),VLOOKUP(X379,'Jan-2026 rates'!$E:$F,2,0)))</f>
        <v>0</v>
      </c>
      <c r="AN379" s="404"/>
      <c r="AO379" s="398">
        <f>IF(AN379=0,0,IF(LEN(Y379)=11,_xlfn.XLOOKUP(Y379,'Dispensed Ink Rates'!C:C,'Dispensed Ink Rates'!CS:CS),VLOOKUP(Y379,'Jan-2026 rates'!$E:$F,2,0)))</f>
        <v>0</v>
      </c>
      <c r="AP379" s="409" t="s">
        <v>1443</v>
      </c>
      <c r="AQ379" s="409">
        <v>25</v>
      </c>
      <c r="AR379" s="410">
        <f t="shared" si="212"/>
        <v>0</v>
      </c>
      <c r="AS379" s="411">
        <f t="shared" si="213"/>
        <v>5.9491525423728824</v>
      </c>
      <c r="AT379" s="410">
        <f t="shared" si="214"/>
        <v>0</v>
      </c>
      <c r="AU379" s="405" t="s">
        <v>543</v>
      </c>
      <c r="AV379" s="409" t="s">
        <v>4877</v>
      </c>
      <c r="AW379" s="420" t="str">
        <f t="shared" si="348"/>
        <v>FLINTSL - BLACK</v>
      </c>
      <c r="AX379" s="409">
        <v>23</v>
      </c>
      <c r="AY379" s="411">
        <f>IF(AX379=0,0,IF($LB379=70%,VLOOKUP($AW379,'Jan-2026 rates'!$L:$R,4,0),IF($LB379=65%,VLOOKUP($AW379,'Jan-2026 rates'!$L:$R,4,0),IF($LB379=40%,VLOOKUP($AW379,'Jan-2026 rates'!$L:$R,5,0),IF($LB379=30%,VLOOKUP($AW379,'Jan-2026 rates'!$L:$R,6,0),IF($LB379=100%,VLOOKUP($AW379,'Jan-2026 rates'!$L:$R,7,0),IF($LB379=60%,VLOOKUP($AW379,'Jan-2026 rates'!$L:$S,8,0),IF($LB379=80%,VLOOKUP($AW379,'Jan-2026 rates'!L:T,9,0),0))))))))</f>
        <v>0</v>
      </c>
      <c r="AZ379" s="412"/>
      <c r="BA379" s="409"/>
      <c r="BB379" s="411">
        <f>IF(BA379=0,0,IF($LB379=70%,VLOOKUP($AW379,'Jan-2026 rates'!$L:$R,4,0),IF($LB379=65%,VLOOKUP($AW379,'Jan-2026 rates'!$L:$R,4,0),IF($LB379=40%,VLOOKUP($AW379,'Jan-2026 rates'!$L:$R,5,0),IF($LB379=30%,VLOOKUP($AW379,'Jan-2026 rates'!$L:$R,6,0),IF($LB379=100%,VLOOKUP($AW379,'Jan-2026 rates'!$L:$R,7,0),IF($LB379=60%,VLOOKUP($AW379,'Jan-2026 rates'!$L:$S,8,0),IF($LB379=80%,VLOOKUP($AW379,'Jan-2026 rates'!L:T,9,0),0))))))))</f>
        <v>0</v>
      </c>
      <c r="BC379" s="413">
        <v>26527000012</v>
      </c>
      <c r="BD379" s="412">
        <v>26529000019</v>
      </c>
      <c r="BE379" s="412">
        <v>26530000015</v>
      </c>
      <c r="BF379" s="413"/>
      <c r="BG379" s="412"/>
      <c r="BH379" s="412"/>
      <c r="BI379" s="412"/>
      <c r="BJ379" s="412"/>
      <c r="BK379" s="409">
        <v>3</v>
      </c>
      <c r="BL379" s="398" t="e">
        <f>IF(BK379=0,0,IF(LEN(BC379)=11,_xlfn.XLOOKUP(BC379,'Dispensed Ink Rates'!C:C,'Dispensed Ink Rates'!CS:CS),VLOOKUP(BC379,'Jan-2026 rates'!$E:$F,2,0)))</f>
        <v>#N/A</v>
      </c>
      <c r="BM379" s="409">
        <v>2</v>
      </c>
      <c r="BN379" s="398" t="e">
        <f>IF(BM379=0,0,IF(LEN(BD379)=11,_xlfn.XLOOKUP(BD379,'Dispensed Ink Rates'!C:C,'Dispensed Ink Rates'!CS:CS),VLOOKUP(BD379,'Jan-2026 rates'!$E:$F,2,0)))</f>
        <v>#N/A</v>
      </c>
      <c r="BO379" s="409">
        <v>32</v>
      </c>
      <c r="BP379" s="398" t="e">
        <f>IF(BO379=0,0,IF(LEN(BE379)=11,_xlfn.XLOOKUP(BE379,'Dispensed Ink Rates'!C:C,'Dispensed Ink Rates'!CS:CS),VLOOKUP(BE379,'Jan-2026 rates'!$E:$F,2,0)))</f>
        <v>#N/A</v>
      </c>
      <c r="BQ379" s="409"/>
      <c r="BR379" s="398">
        <f>IF(BQ379=0,0,IF(LEN(BF379)=11,_xlfn.XLOOKUP(BF379,'Dispensed Ink Rates'!C:C,'Dispensed Ink Rates'!CS:CS),VLOOKUP(BF379,'Jan-2026 rates'!$E:$F,2,0)))</f>
        <v>0</v>
      </c>
      <c r="BS379" s="409"/>
      <c r="BT379" s="398">
        <f>IF(BS379=0,0,IF(LEN(BG379)=11,_xlfn.XLOOKUP(BG379,'Dispensed Ink Rates'!C:C,'Dispensed Ink Rates'!CS:CS),VLOOKUP(BG379,'Jan-2026 rates'!$E:$F,2,0)))</f>
        <v>0</v>
      </c>
      <c r="BU379" s="409"/>
      <c r="BV379" s="398">
        <f>IF(BU379=0,0,IF(LEN(BH379)=11,_xlfn.XLOOKUP(BH379,'Dispensed Ink Rates'!C:C,'Dispensed Ink Rates'!CS:CS),VLOOKUP(BH379,'Jan-2026 rates'!$E:$F,2,0)))</f>
        <v>0</v>
      </c>
      <c r="BW379" s="409"/>
      <c r="BX379" s="398">
        <f>IF(BW379=0,0,IF(LEN(BI379)=11,_xlfn.XLOOKUP(BI379,'Dispensed Ink Rates'!C:C,'Dispensed Ink Rates'!CS:CS),VLOOKUP(BI379,'Jan-2026 rates'!$E:$F,2,0)))</f>
        <v>0</v>
      </c>
      <c r="BY379" s="409"/>
      <c r="BZ379" s="398">
        <f>IF(BY379=0,0,IF(LEN(BJ379)=11,_xlfn.XLOOKUP(BJ379,'Dispensed Ink Rates'!C:C,'Dispensed Ink Rates'!CS:CS),VLOOKUP(BJ379,'Jan-2026 rates'!$E:$F,2,0)))</f>
        <v>0</v>
      </c>
      <c r="CA379" s="409" t="s">
        <v>1443</v>
      </c>
      <c r="CB379" s="409">
        <v>26</v>
      </c>
      <c r="CC379" s="411">
        <f t="shared" si="215"/>
        <v>0</v>
      </c>
      <c r="CD379" s="411">
        <f t="shared" si="216"/>
        <v>41.423728813559322</v>
      </c>
      <c r="CE379" s="410">
        <f t="shared" si="217"/>
        <v>0</v>
      </c>
      <c r="CF379" s="404" t="s">
        <v>543</v>
      </c>
      <c r="CG379" s="409"/>
      <c r="CH379" s="420" t="str">
        <f t="shared" si="185"/>
        <v>FLINTSL - BLACK</v>
      </c>
      <c r="CI379" s="409"/>
      <c r="CJ379" s="411">
        <f>IF(CI379=0,0,IF($LB379=70%,VLOOKUP($CH379,'Jan-2026 rates'!$L:$R,4,0),IF($LB379=65%,VLOOKUP($CH379,'Jan-2026 rates'!$L:$R,4,0),IF($LB379=40%,VLOOKUP($CH379,'Jan-2026 rates'!$L:$R,5,0),IF($LB379=30%,VLOOKUP($CH379,'Jan-2026 rates'!$L:$R,6,0),IF($LB379=100%,VLOOKUP($CH379,'Jan-2026 rates'!$L:$R,7,0),IF($LB379=60%,VLOOKUP($CH379,'Jan-2026 rates'!$L:$S,8,0),IF($LB379=80%,VLOOKUP($CH379,'Jan-2026 rates'!L:T,9,0),0))))))))</f>
        <v>0</v>
      </c>
      <c r="CK379" s="412"/>
      <c r="CL379" s="409"/>
      <c r="CM379" s="411">
        <f>IF(CL379=0,0,IF($LB379=70%,VLOOKUP($CH379,'Jan-2026 rates'!$L:$R,4,0),IF($LB379=65%,VLOOKUP($CH379,'Jan-2026 rates'!$L:$R,4,0),IF($LB379=40%,VLOOKUP($CH379,'Jan-2026 rates'!$L:$R,5,0),IF($LB379=30%,VLOOKUP($CH379,'Jan-2026 rates'!$L:$R,6,0),IF($LB379=100%,VLOOKUP($CH379,'Jan-2026 rates'!$L:$R,7,0),IF($LB379=60%,VLOOKUP($CH379,'Jan-2026 rates'!$L:$S,8,0),IF($LB379=80%,VLOOKUP($CH379,'Jan-2026 rates'!L:T,9,0),0))))))))</f>
        <v>0</v>
      </c>
      <c r="CN379" s="426">
        <v>26530000017</v>
      </c>
      <c r="CO379" s="427">
        <v>26530000018</v>
      </c>
      <c r="CP379" s="426">
        <v>26529000019</v>
      </c>
      <c r="CQ379" s="426">
        <v>26530000023</v>
      </c>
      <c r="CR379" s="428"/>
      <c r="CS379" s="428"/>
      <c r="CT379" s="428"/>
      <c r="CU379" s="428"/>
      <c r="CV379" s="409">
        <v>28</v>
      </c>
      <c r="CW379" s="398" t="e">
        <f>IF(CV379=0,0,IF(LEN(CN379)=11,_xlfn.XLOOKUP(CN379,'Dispensed Ink Rates'!C:C,'Dispensed Ink Rates'!CS:CS),VLOOKUP(CN379,'Jan-2026 rates'!$E:$F,2,0)))</f>
        <v>#N/A</v>
      </c>
      <c r="CX379" s="409">
        <v>40</v>
      </c>
      <c r="CY379" s="398" t="e">
        <f>IF(CX379=0,0,IF(LEN(CO379)=11,_xlfn.XLOOKUP(CO379,'Dispensed Ink Rates'!C:C,'Dispensed Ink Rates'!CS:CS),VLOOKUP(CO379,'Jan-2026 rates'!$E:$F,2,0)))</f>
        <v>#N/A</v>
      </c>
      <c r="CZ379" s="409">
        <v>15</v>
      </c>
      <c r="DA379" s="398" t="e">
        <f>IF(CZ379=0,0,IF(LEN(CP379)=11,_xlfn.XLOOKUP(CP379,'Dispensed Ink Rates'!C:C,'Dispensed Ink Rates'!CS:CS),VLOOKUP(CP379,'Jan-2026 rates'!$E:$F,2,0)))</f>
        <v>#N/A</v>
      </c>
      <c r="DB379" s="409">
        <v>1</v>
      </c>
      <c r="DC379" s="398" t="e">
        <f>IF(DB379=0,0,IF(LEN(CQ379)=11,_xlfn.XLOOKUP(CQ379,'Dispensed Ink Rates'!C:C,'Dispensed Ink Rates'!CS:CS),VLOOKUP(CQ379,'Jan-2026 rates'!$E:$F,2,0)))</f>
        <v>#N/A</v>
      </c>
      <c r="DD379" s="409"/>
      <c r="DE379" s="398">
        <f>IF(DD379=0,0,IF(LEN(CR379)=11,_xlfn.XLOOKUP(CR379,'Dispensed Ink Rates'!C:C,'Dispensed Ink Rates'!CS:CS),VLOOKUP(CR379,'Jan-2026 rates'!$E:$F,2,0)))</f>
        <v>0</v>
      </c>
      <c r="DF379" s="409"/>
      <c r="DG379" s="398">
        <f>IF(DF379=0,0,IF(LEN(CS379)=11,_xlfn.XLOOKUP(CS379,'Dispensed Ink Rates'!C:C,'Dispensed Ink Rates'!CS:CS),VLOOKUP(CS379,'Jan-2026 rates'!$E:$F,2,0)))</f>
        <v>0</v>
      </c>
      <c r="DH379" s="409"/>
      <c r="DI379" s="398">
        <f>IF(DH379=0,0,IF(LEN(CT379)=11,_xlfn.XLOOKUP(CT379,'Dispensed Ink Rates'!C:C,'Dispensed Ink Rates'!CS:CS),VLOOKUP(CT379,'Jan-2026 rates'!$E:$F,2,0)))</f>
        <v>0</v>
      </c>
      <c r="DJ379" s="409"/>
      <c r="DK379" s="398">
        <f>IF(DJ379=0,0,IF(LEN(CU379)=11,_xlfn.XLOOKUP(CU379,'Dispensed Ink Rates'!C:C,'Dispensed Ink Rates'!CS:CS),VLOOKUP(CU379,'Jan-2026 rates'!$E:$F,2,0)))</f>
        <v>0</v>
      </c>
      <c r="DL379" s="409" t="s">
        <v>1443</v>
      </c>
      <c r="DM379" s="409">
        <v>28</v>
      </c>
      <c r="DN379" s="411">
        <f t="shared" si="218"/>
        <v>0</v>
      </c>
      <c r="DO379" s="411">
        <f t="shared" si="219"/>
        <v>60.949152542372886</v>
      </c>
      <c r="DP379" s="410">
        <f t="shared" si="220"/>
        <v>0</v>
      </c>
      <c r="DQ379" s="405" t="s">
        <v>855</v>
      </c>
      <c r="DR379" s="409" t="s">
        <v>4885</v>
      </c>
      <c r="DS379" s="420" t="str">
        <f t="shared" si="186"/>
        <v>FLINTSL - CYAN</v>
      </c>
      <c r="DT379" s="409">
        <v>25</v>
      </c>
      <c r="DU379" s="411">
        <f>IF(DT379=0,0,IF($LB379=70%,VLOOKUP($DS379,'Jan-2026 rates'!$L:$R,4,0),IF($LB379=65%,VLOOKUP($DS379,'Jan-2026 rates'!$L:$R,4,0),IF($LB379=40%,VLOOKUP($DS379,'Jan-2026 rates'!$L:$R,5,0),IF($LB379=30%,VLOOKUP($DS379,'Jan-2026 rates'!$L:$R,6,0),IF($LB379=100%,VLOOKUP($DS379,'Jan-2026 rates'!$L:$R,7,0),IF($LB379=60%,VLOOKUP($DS379,'Jan-2026 rates'!$L:$S,8,0),IF($LB379=80%,VLOOKUP($DS379,'Jan-2026 rates'!L:T,9,0),0))))))))</f>
        <v>0</v>
      </c>
      <c r="DV379" s="412"/>
      <c r="DW379" s="409"/>
      <c r="DX379" s="411">
        <f>IF(DW379=0,0,IF($LB379=70%,VLOOKUP($DS379,'Jan-2026 rates'!$L:$R,4,0),IF($LB379=65%,VLOOKUP($DS379,'Jan-2026 rates'!$L:$R,4,0),IF($LB379=40%,VLOOKUP($DS379,'Jan-2026 rates'!$L:$R,5,0),IF($LB379=30%,VLOOKUP($DS379,'Jan-2026 rates'!$L:$R,6,0),IF($LB379=100%,VLOOKUP($DS379,'Jan-2026 rates'!$L:$R,7,0),IF($LB379=60%,VLOOKUP($DS379,'Jan-2026 rates'!$L:$S,8,0),IF($LB379=80%,VLOOKUP($DS379,'Jan-2026 rates'!L:T,9,0),0))))))))</f>
        <v>0</v>
      </c>
      <c r="DY379" s="413">
        <v>26527000019</v>
      </c>
      <c r="DZ379" s="413"/>
      <c r="EA379" s="412"/>
      <c r="EB379" s="412"/>
      <c r="EC379" s="412"/>
      <c r="ED379" s="412"/>
      <c r="EE379" s="412"/>
      <c r="EF379" s="412"/>
      <c r="EG379" s="409">
        <v>3</v>
      </c>
      <c r="EH379" s="398" t="e">
        <f>IF(EG379=0,0,IF(LEN(DY379)=11,_xlfn.XLOOKUP(DY379,'Dispensed Ink Rates'!C:C,'Dispensed Ink Rates'!CS:CS),VLOOKUP(DY379,'Jan-2026 rates'!$E:$F,2,0)))</f>
        <v>#N/A</v>
      </c>
      <c r="EI379" s="409"/>
      <c r="EJ379" s="398">
        <f>IF(EI379=0,0,IF(LEN(DZ379)=11,_xlfn.XLOOKUP(DZ379,'Dispensed Ink Rates'!C:C,'Dispensed Ink Rates'!CS:CS),VLOOKUP(DZ379,'Jan-2026 rates'!$E:$F,2,0)))</f>
        <v>0</v>
      </c>
      <c r="EK379" s="409"/>
      <c r="EL379" s="398">
        <f>IF(EK379=0,0,IF(LEN(EA379)=11,_xlfn.XLOOKUP(EA379,'Dispensed Ink Rates'!C:C,'Dispensed Ink Rates'!CS:CS),VLOOKUP(EA379,'Jan-2026 rates'!$E:$F,2,0)))</f>
        <v>0</v>
      </c>
      <c r="EM379" s="409"/>
      <c r="EN379" s="398">
        <f>IF(EM379=0,0,IF(LEN(EB379)=11,_xlfn.XLOOKUP(EB379,'Dispensed Ink Rates'!C:C,'Dispensed Ink Rates'!CS:CS),VLOOKUP(EB379,'Jan-2026 rates'!$E:$F,2,0)))</f>
        <v>0</v>
      </c>
      <c r="EO379" s="409"/>
      <c r="EP379" s="398">
        <f>IF(EO379=0,0,IF(LEN(EC379)=11,_xlfn.XLOOKUP(EC379,'Dispensed Ink Rates'!C:C,'Dispensed Ink Rates'!CS:CS),VLOOKUP(EC379,'Jan-2026 rates'!$E:$F,2,0)))</f>
        <v>0</v>
      </c>
      <c r="EQ379" s="409"/>
      <c r="ER379" s="398">
        <f>IF(EQ379=0,0,IF(LEN(ED379)=11,_xlfn.XLOOKUP(ED379,'Dispensed Ink Rates'!C:C,'Dispensed Ink Rates'!CS:CS),VLOOKUP(ED379,'Jan-2026 rates'!$E:$F,2,0)))</f>
        <v>0</v>
      </c>
      <c r="ES379" s="409"/>
      <c r="ET379" s="398">
        <f>IF(ES379=0,0,IF(LEN(EE379)=11,_xlfn.XLOOKUP(EE379,'Dispensed Ink Rates'!C:C,'Dispensed Ink Rates'!CS:CS),VLOOKUP(EE379,'Jan-2026 rates'!$E:$F,2,0)))</f>
        <v>0</v>
      </c>
      <c r="EU379" s="409"/>
      <c r="EV379" s="398">
        <f>IF(EU379=0,0,IF(LEN(EF379)=11,_xlfn.XLOOKUP(EF379,'Dispensed Ink Rates'!C:C,'Dispensed Ink Rates'!CS:CS),VLOOKUP(EF379,'Jan-2026 rates'!$E:$F,2,0)))</f>
        <v>0</v>
      </c>
      <c r="EW379" s="409" t="s">
        <v>1443</v>
      </c>
      <c r="EX379" s="409">
        <v>26</v>
      </c>
      <c r="EY379" s="411">
        <f t="shared" si="221"/>
        <v>0</v>
      </c>
      <c r="EZ379" s="411">
        <f t="shared" si="222"/>
        <v>6.9491525423728788</v>
      </c>
      <c r="FA379" s="410">
        <f t="shared" si="223"/>
        <v>0</v>
      </c>
      <c r="FB379" s="405" t="s">
        <v>544</v>
      </c>
      <c r="FC379" s="409" t="s">
        <v>4886</v>
      </c>
      <c r="FD379" s="420" t="str">
        <f t="shared" si="187"/>
        <v>FLINTSL - MAGENTA</v>
      </c>
      <c r="FE379" s="409">
        <v>26</v>
      </c>
      <c r="FF379" s="411">
        <f>IF(FE379=0,0,IF($LB379=70%,VLOOKUP($FD379,'Jan-2026 rates'!$L:$R,4,0),IF($LB379=65%,VLOOKUP($FD379,'Jan-2026 rates'!$L:$R,4,0),IF($LB379=40%,VLOOKUP($FD379,'Jan-2026 rates'!$L:$R,5,0),IF($LB379=30%,VLOOKUP($FD379,'Jan-2026 rates'!$L:$R,6,0),IF($LB379=100%,VLOOKUP($FD379,'Jan-2026 rates'!$L:$R,7,0),IF($LB379=60%,VLOOKUP($FD379,'Jan-2026 rates'!$L:$S,8,0),IF($LB379=80%,VLOOKUP($FD379,'Jan-2026 rates'!L:T,9,0),0))))))))</f>
        <v>0</v>
      </c>
      <c r="FG379" s="412"/>
      <c r="FH379" s="409"/>
      <c r="FI379" s="411">
        <f>IF(FH379=0,0,IF($LB379=70%,VLOOKUP($FD379,'Jan-2026 rates'!$L:$R,4,0),IF($LB379=65%,VLOOKUP($FD379,'Jan-2026 rates'!$L:$R,4,0),IF($LB379=40%,VLOOKUP($FD379,'Jan-2026 rates'!$L:$R,5,0),IF($LB379=30%,VLOOKUP($FD379,'Jan-2026 rates'!$L:$R,6,0),IF($LB379=100%,VLOOKUP($FD379,'Jan-2026 rates'!$L:$R,7,0),IF($LB379=60%,VLOOKUP($FD379,'Jan-2026 rates'!$L:$S,8,0),IF($LB379=80%,VLOOKUP($FD379,'Jan-2026 rates'!L:T,9,0),0))))))))</f>
        <v>0</v>
      </c>
      <c r="FJ379" s="413">
        <v>26529000018</v>
      </c>
      <c r="FK379" s="413"/>
      <c r="FL379" s="413"/>
      <c r="FM379" s="412"/>
      <c r="FN379" s="412"/>
      <c r="FO379" s="412"/>
      <c r="FP379" s="412"/>
      <c r="FQ379" s="412"/>
      <c r="FR379" s="409">
        <v>5</v>
      </c>
      <c r="FS379" s="398" t="e">
        <f>IF(FR379=0,0,IF(LEN(FJ379)=11,_xlfn.XLOOKUP(FJ379,'Dispensed Ink Rates'!C:C,'Dispensed Ink Rates'!CS:CS),VLOOKUP(FJ379,'Jan-2026 rates'!$E:$F,2,0)))</f>
        <v>#N/A</v>
      </c>
      <c r="FT379" s="409"/>
      <c r="FU379" s="398">
        <f>IF(FT379=0,0,IF(LEN(FK379)=11,_xlfn.XLOOKUP(FK379,'Dispensed Ink Rates'!C:C,'Dispensed Ink Rates'!CS:CS),VLOOKUP(FK379,'Jan-2026 rates'!$E:$F,2,0)))</f>
        <v>0</v>
      </c>
      <c r="FV379" s="409"/>
      <c r="FW379" s="398">
        <f>IF(FV379=0,0,IF(LEN(FL379)=11,_xlfn.XLOOKUP(FL379,'Dispensed Ink Rates'!C:C,'Dispensed Ink Rates'!CS:CS),VLOOKUP(FL379,'Jan-2026 rates'!$E:$F,2,0)))</f>
        <v>0</v>
      </c>
      <c r="FX379" s="409"/>
      <c r="FY379" s="398">
        <f>IF(FX379=0,0,IF(LEN(FM379)=11,_xlfn.XLOOKUP(FM379,'Dispensed Ink Rates'!C:C,'Dispensed Ink Rates'!CS:CS),VLOOKUP(FM379,'Jan-2026 rates'!$E:$F,2,0)))</f>
        <v>0</v>
      </c>
      <c r="FZ379" s="409"/>
      <c r="GA379" s="398">
        <f>IF(FZ379=0,0,IF(LEN(FN379)=11,_xlfn.XLOOKUP(FN379,'Dispensed Ink Rates'!C:C,'Dispensed Ink Rates'!CS:CS),VLOOKUP(FN379,'Jan-2026 rates'!$E:$F,2,0)))</f>
        <v>0</v>
      </c>
      <c r="GB379" s="409"/>
      <c r="GC379" s="398">
        <f>IF(GB379=0,0,IF(LEN(FO379)=11,_xlfn.XLOOKUP(FO379,'Dispensed Ink Rates'!C:C,'Dispensed Ink Rates'!CS:CS),VLOOKUP(FO379,'Jan-2026 rates'!$E:$F,2,0)))</f>
        <v>0</v>
      </c>
      <c r="GD379" s="409"/>
      <c r="GE379" s="398">
        <f>IF(GD379=0,0,IF(LEN(FP379)=11,_xlfn.XLOOKUP(FP379,'Dispensed Ink Rates'!C:C,'Dispensed Ink Rates'!CS:CS),VLOOKUP(FP379,'Jan-2026 rates'!$E:$F,2,0)))</f>
        <v>0</v>
      </c>
      <c r="GF379" s="409"/>
      <c r="GG379" s="398">
        <f>IF(GF379=0,0,IF(LEN(FQ379)=11,_xlfn.XLOOKUP(FQ379,'Dispensed Ink Rates'!C:C,'Dispensed Ink Rates'!CS:CS),VLOOKUP(FQ379,'Jan-2026 rates'!$E:$F,2,0)))</f>
        <v>0</v>
      </c>
      <c r="GH379" s="409" t="s">
        <v>1443</v>
      </c>
      <c r="GI379" s="409">
        <v>27</v>
      </c>
      <c r="GJ379" s="411">
        <f t="shared" si="224"/>
        <v>0</v>
      </c>
      <c r="GK379" s="411">
        <f t="shared" si="225"/>
        <v>11.423728813559322</v>
      </c>
      <c r="GL379" s="410">
        <f t="shared" si="226"/>
        <v>0</v>
      </c>
      <c r="GM379" s="405" t="s">
        <v>545</v>
      </c>
      <c r="GN379" s="409" t="s">
        <v>4887</v>
      </c>
      <c r="GO379" s="420" t="str">
        <f t="shared" si="188"/>
        <v>FLINTSL - YELLOW</v>
      </c>
      <c r="GP379" s="409">
        <v>26</v>
      </c>
      <c r="GQ379" s="411">
        <f>IF(GP379=0,0,IF($LB379=70%,VLOOKUP($GO379,'Jan-2026 rates'!$L:$R,4,0),IF($LB379=65%,VLOOKUP($GO379,'Jan-2026 rates'!$L:$R,4,0),IF($LB379=40%,VLOOKUP($GO379,'Jan-2026 rates'!$L:$R,5,0),IF($LB379=30%,VLOOKUP($GO379,'Jan-2026 rates'!$L:$R,6,0),IF($LB379=100%,VLOOKUP($GO379,'Jan-2026 rates'!$L:$R,7,0),IF($LB379=60%,VLOOKUP($GO379,'Jan-2026 rates'!$L:$S,8,0),IF($LB379=80%,VLOOKUP($GO379,'Jan-2026 rates'!L:T,9,0),0))))))))</f>
        <v>0</v>
      </c>
      <c r="GR379" s="412"/>
      <c r="GS379" s="409"/>
      <c r="GT379" s="411">
        <f>IF(GS379=0,0,IF($LB379=70%,VLOOKUP($GO379,'Jan-2026 rates'!$L:$R,4,0),IF($LB379=65%,VLOOKUP($GO379,'Jan-2026 rates'!$L:$R,4,0),IF($LB379=40%,VLOOKUP($GO379,'Jan-2026 rates'!$L:$R,5,0),IF($LB379=30%,VLOOKUP($GO379,'Jan-2026 rates'!$L:$R,6,0),IF($LB379=100%,VLOOKUP($GO379,'Jan-2026 rates'!$L:$R,7,0),IF($LB379=60%,VLOOKUP($GO379,'Jan-2026 rates'!$L:$S,8,0),IF($LB379=80%,VLOOKUP($GO379,'Jan-2026 rates'!L:T,9,0),0))))))))</f>
        <v>0</v>
      </c>
      <c r="GU379" s="413" t="s">
        <v>1266</v>
      </c>
      <c r="GV379" s="413"/>
      <c r="GW379" s="412"/>
      <c r="GX379" s="412"/>
      <c r="GY379" s="412"/>
      <c r="GZ379" s="412"/>
      <c r="HA379" s="412"/>
      <c r="HB379" s="412"/>
      <c r="HC379" s="409">
        <v>6</v>
      </c>
      <c r="HD379" s="398">
        <f>IF(HC379=0,0,IF(LEN(GU379)=11,_xlfn.XLOOKUP(GU379,'Dispensed Ink Rates'!C:C,'Dispensed Ink Rates'!CS:CS),VLOOKUP(GU379,'Jan-2026 rates'!$E:$F,2,0)))</f>
        <v>0</v>
      </c>
      <c r="HE379" s="409"/>
      <c r="HF379" s="398">
        <f>IF(HE379=0,0,IF(LEN(GV379)=11,_xlfn.XLOOKUP(GV379,'Dispensed Ink Rates'!C:C,'Dispensed Ink Rates'!CS:CS),VLOOKUP(GV379,'Jan-2026 rates'!$E:$F,2,0)))</f>
        <v>0</v>
      </c>
      <c r="HG379" s="409"/>
      <c r="HH379" s="398">
        <f>IF(HG379=0,0,IF(LEN(GW379)=11,_xlfn.XLOOKUP(GW379,'Dispensed Ink Rates'!C:C,'Dispensed Ink Rates'!CS:CS),VLOOKUP(GW379,'Jan-2026 rates'!$E:$F,2,0)))</f>
        <v>0</v>
      </c>
      <c r="HI379" s="409"/>
      <c r="HJ379" s="398">
        <f>IF(HI379=0,0,IF(LEN(GX379)=11,_xlfn.XLOOKUP(GX379,'Dispensed Ink Rates'!C:C,'Dispensed Ink Rates'!CS:CS),VLOOKUP(GX379,'Jan-2026 rates'!$E:$F,2,0)))</f>
        <v>0</v>
      </c>
      <c r="HK379" s="409"/>
      <c r="HL379" s="398">
        <f>IF(HK379=0,0,IF(LEN(GY379)=11,_xlfn.XLOOKUP(GY379,'Dispensed Ink Rates'!C:C,'Dispensed Ink Rates'!CS:CS),VLOOKUP(GY379,'Jan-2026 rates'!$E:$F,2,0)))</f>
        <v>0</v>
      </c>
      <c r="HM379" s="409"/>
      <c r="HN379" s="398">
        <f>IF(HM379=0,0,IF(LEN(GZ379)=11,_xlfn.XLOOKUP(GZ379,'Dispensed Ink Rates'!C:C,'Dispensed Ink Rates'!CS:CS),VLOOKUP(GZ379,'Jan-2026 rates'!$E:$F,2,0)))</f>
        <v>0</v>
      </c>
      <c r="HO379" s="409"/>
      <c r="HP379" s="398">
        <f>IF(HO379=0,0,IF(LEN(HA379)=11,_xlfn.XLOOKUP(HA379,'Dispensed Ink Rates'!C:C,'Dispensed Ink Rates'!CS:CS),VLOOKUP(HA379,'Jan-2026 rates'!$E:$F,2,0)))</f>
        <v>0</v>
      </c>
      <c r="HQ379" s="409"/>
      <c r="HR379" s="398">
        <f>IF(HQ379=0,0,IF(LEN(HB379)=11,_xlfn.XLOOKUP(HB379,'Dispensed Ink Rates'!C:C,'Dispensed Ink Rates'!CS:CS),VLOOKUP(HB379,'Jan-2026 rates'!$E:$F,2,0)))</f>
        <v>0</v>
      </c>
      <c r="HS379" s="409" t="s">
        <v>1443</v>
      </c>
      <c r="HT379" s="409">
        <v>24</v>
      </c>
      <c r="HU379" s="411">
        <f t="shared" si="227"/>
        <v>0</v>
      </c>
      <c r="HV379" s="411">
        <f t="shared" si="228"/>
        <v>20.372881355932201</v>
      </c>
      <c r="HW379" s="414">
        <f t="shared" si="229"/>
        <v>0</v>
      </c>
      <c r="HX379" s="405" t="s">
        <v>548</v>
      </c>
      <c r="HY379" s="409" t="s">
        <v>4888</v>
      </c>
      <c r="HZ379" s="420" t="str">
        <f t="shared" si="189"/>
        <v>FLINTSL - GOLD</v>
      </c>
      <c r="IA379" s="409">
        <v>25</v>
      </c>
      <c r="IB379" s="411">
        <f>IF(IA379=0,0,IF($LB379=70%,VLOOKUP($HZ379,'Jan-2026 rates'!$L:$R,4,0),IF($LB379=65%,VLOOKUP($HZ379,'Jan-2026 rates'!$L:$R,4,0),IF($LB379=40%,VLOOKUP($HZ379,'Jan-2026 rates'!$L:$R,5,0),IF($LB379=30%,VLOOKUP($HZ379,'Jan-2026 rates'!$L:$R,6,0),IF($LB379=100%,VLOOKUP($HZ379,'Jan-2026 rates'!$L:$R,7,0),IF($LB379=60%,VLOOKUP($HZ379,'Jan-2026 rates'!$L:$S,8,0),IF($LB379=80%,VLOOKUP($HZ379,'Jan-2026 rates'!L:T,9,0),0))))))))</f>
        <v>0</v>
      </c>
      <c r="IC379" s="412"/>
      <c r="ID379" s="409"/>
      <c r="IE379" s="411">
        <f>IF(ID379=0,0,IF($LB379=70%,VLOOKUP($HZ379,'Jan-2026 rates'!$L:$R,4,0),IF($LB379=65%,VLOOKUP($HZ379,'Jan-2026 rates'!$L:$R,4,0),IF($LB379=40%,VLOOKUP($HZ379,'Jan-2026 rates'!$L:$R,5,0),IF($LB379=30%,VLOOKUP($HZ379,'Jan-2026 rates'!$L:$R,6,0),IF($LB379=100%,VLOOKUP($HZ379,'Jan-2026 rates'!$L:$R,7,0),IF($LB379=60%,VLOOKUP($HZ379,'Jan-2026 rates'!$L:$S,8,0),IF($LB379=80%,VLOOKUP($HZ379,'Jan-2026 rates'!L:T,9,0),0))))))))</f>
        <v>0</v>
      </c>
      <c r="IF379" s="412" t="s">
        <v>1340</v>
      </c>
      <c r="IG379" s="413">
        <v>26529000019</v>
      </c>
      <c r="IH379" s="412"/>
      <c r="II379" s="412"/>
      <c r="IJ379" s="412"/>
      <c r="IK379" s="412"/>
      <c r="IL379" s="412"/>
      <c r="IM379" s="412"/>
      <c r="IN379" s="409">
        <v>3</v>
      </c>
      <c r="IO379" s="398">
        <f>IF(IN379=0,0,IF(LEN(IF379)=11,_xlfn.XLOOKUP(IF379,'Dispensed Ink Rates'!C:C,'Dispensed Ink Rates'!CS:CS),VLOOKUP(IF379,'Jan-2026 rates'!$E:$F,2,0)))</f>
        <v>0</v>
      </c>
      <c r="IP379" s="409">
        <v>2</v>
      </c>
      <c r="IQ379" s="398" t="e">
        <f>IF(IP379=0,0,IF(LEN(IG379)=11,_xlfn.XLOOKUP(IG379,'Dispensed Ink Rates'!C:C,'Dispensed Ink Rates'!CS:CS),VLOOKUP(IG379,'Jan-2026 rates'!$E:$F,2,0)))</f>
        <v>#N/A</v>
      </c>
      <c r="IR379" s="409"/>
      <c r="IS379" s="398">
        <f>IF(IR379=0,0,IF(LEN(IH379)=11,_xlfn.XLOOKUP(IH379,'Dispensed Ink Rates'!C:C,'Dispensed Ink Rates'!CS:CS),VLOOKUP(IH379,'Jan-2026 rates'!$E:$F,2,0)))</f>
        <v>0</v>
      </c>
      <c r="IT379" s="409"/>
      <c r="IU379" s="398">
        <f>IF(IT379=0,0,IF(LEN(II379)=11,_xlfn.XLOOKUP(II379,'Dispensed Ink Rates'!C:C,'Dispensed Ink Rates'!CS:CS),VLOOKUP(II379,'Jan-2026 rates'!$E:$F,2,0)))</f>
        <v>0</v>
      </c>
      <c r="IV379" s="409"/>
      <c r="IW379" s="398">
        <f>IF(IV379=0,0,IF(LEN(IJ379)=11,_xlfn.XLOOKUP(IJ379,'Dispensed Ink Rates'!C:C,'Dispensed Ink Rates'!CS:CS),VLOOKUP(IJ379,'Jan-2026 rates'!$E:$F,2,0)))</f>
        <v>0</v>
      </c>
      <c r="IX379" s="409"/>
      <c r="IY379" s="398">
        <f>IF(IX379=0,0,IF(LEN(IK379)=11,_xlfn.XLOOKUP(IK379,'Dispensed Ink Rates'!C:C,'Dispensed Ink Rates'!CS:CS),VLOOKUP(IK379,'Jan-2026 rates'!$E:$F,2,0)))</f>
        <v>0</v>
      </c>
      <c r="IZ379" s="409"/>
      <c r="JA379" s="398">
        <f>IF(IZ379=0,0,IF(LEN(IL379)=11,_xlfn.XLOOKUP(IL379,'Dispensed Ink Rates'!C:C,'Dispensed Ink Rates'!CS:CS),VLOOKUP(IL379,'Jan-2026 rates'!$E:$F,2,0)))</f>
        <v>0</v>
      </c>
      <c r="JB379" s="409"/>
      <c r="JC379" s="398">
        <f>IF(JB379=0,0,IF(LEN(IM379)=11,_xlfn.XLOOKUP(IM379,'Dispensed Ink Rates'!C:C,'Dispensed Ink Rates'!CS:CS),VLOOKUP(IM379,'Jan-2026 rates'!$E:$F,2,0)))</f>
        <v>0</v>
      </c>
      <c r="JD379" s="409" t="s">
        <v>1443</v>
      </c>
      <c r="JE379" s="409">
        <v>29</v>
      </c>
      <c r="JF379" s="411">
        <f t="shared" si="230"/>
        <v>0</v>
      </c>
      <c r="JG379" s="411">
        <f t="shared" si="231"/>
        <v>5.9491525423728788</v>
      </c>
      <c r="JH379" s="410">
        <f t="shared" si="232"/>
        <v>0</v>
      </c>
      <c r="JI379" s="405" t="s">
        <v>856</v>
      </c>
      <c r="JJ379" s="409" t="s">
        <v>4889</v>
      </c>
      <c r="JK379" s="420" t="str">
        <f t="shared" si="190"/>
        <v>FLINTSL - WHITE</v>
      </c>
      <c r="JL379" s="409">
        <v>20</v>
      </c>
      <c r="JM379" s="411">
        <f>IF(JL379=0,0,IF($LB379=70%,VLOOKUP($JK379,'Jan-2026 rates'!$L:$R,4,0),IF($LB379=65%,VLOOKUP($JK379,'Jan-2026 rates'!$L:$R,4,0),IF($LB379=40%,VLOOKUP($JK379,'Jan-2026 rates'!$L:$R,5,0),IF($LB379=30%,VLOOKUP($JK379,'Jan-2026 rates'!$L:$R,6,0),IF($LB379=100%,VLOOKUP($JK379,'Jan-2026 rates'!$L:$R,7,0),IF($LB379=60%,VLOOKUP($JK379,'Jan-2026 rates'!$L:$S,8,0),IF($LB379=80%,VLOOKUP($JK379,'Jan-2026 rates'!L:T,9,0),0))))))))</f>
        <v>0</v>
      </c>
      <c r="JN379" s="412"/>
      <c r="JO379" s="409"/>
      <c r="JP379" s="411">
        <f>IF(JO379=0,0,IF($LB379=70%,VLOOKUP($JK379,'Jan-2026 rates'!$L:$R,4,0),IF($LB379=65%,VLOOKUP($JK379,'Jan-2026 rates'!$L:$R,4,0),IF($LB379=40%,VLOOKUP($JK379,'Jan-2026 rates'!$L:$R,5,0),IF($LB379=30%,VLOOKUP($JK379,'Jan-2026 rates'!$L:$R,6,0),IF($LB379=100%,VLOOKUP($JK379,'Jan-2026 rates'!$L:$R,7,0),IF($LB379=60%,VLOOKUP($JK379,'Jan-2026 rates'!$L:$S,8,0),IF($LB379=80%,VLOOKUP($JK379,'Jan-2026 rates'!L:T,9,0),0))))))))</f>
        <v>0</v>
      </c>
      <c r="JQ379" s="413" t="s">
        <v>484</v>
      </c>
      <c r="JR379" s="412"/>
      <c r="JS379" s="413"/>
      <c r="JT379" s="413"/>
      <c r="JU379" s="412"/>
      <c r="JV379" s="412"/>
      <c r="JW379" s="412"/>
      <c r="JX379" s="412"/>
      <c r="JY379" s="409">
        <v>80</v>
      </c>
      <c r="JZ379" s="398">
        <f>IF(JY379=0,0,IF(LEN(JQ379)=11,_xlfn.XLOOKUP(JQ379,'Dispensed Ink Rates'!C:C,'Dispensed Ink Rates'!CS:CS),VLOOKUP(JQ379,'Jan-2026 rates'!$E:$F,2,0)))</f>
        <v>0</v>
      </c>
      <c r="KA379" s="409"/>
      <c r="KB379" s="398">
        <f>IF(KA379=0,0,IF(LEN(JR379)=11,_xlfn.XLOOKUP(JR379,'Dispensed Ink Rates'!C:C,'Dispensed Ink Rates'!CS:CS),VLOOKUP(JR379,'Jan-2026 rates'!$E:$F,2,0)))</f>
        <v>0</v>
      </c>
      <c r="KC379" s="409"/>
      <c r="KD379" s="398">
        <f>IF(KC379=0,0,IF(LEN(JS379)=11,_xlfn.XLOOKUP(JS379,'Dispensed Ink Rates'!C:C,'Dispensed Ink Rates'!CS:CS),VLOOKUP(JS379,'Jan-2026 rates'!$E:$F,2,0)))</f>
        <v>0</v>
      </c>
      <c r="KE379" s="409"/>
      <c r="KF379" s="398">
        <f>IF(KE379=0,0,IF(LEN(JT379)=11,_xlfn.XLOOKUP(JT379,'Dispensed Ink Rates'!C:C,'Dispensed Ink Rates'!CS:CS),VLOOKUP(JT379,'Jan-2026 rates'!$E:$F,2,0)))</f>
        <v>0</v>
      </c>
      <c r="KG379" s="409"/>
      <c r="KH379" s="398">
        <f>IF(KG379=0,0,IF(LEN(JU379)=11,_xlfn.XLOOKUP(JU379,'Dispensed Ink Rates'!C:C,'Dispensed Ink Rates'!CS:CS),VLOOKUP(JU379,'Jan-2026 rates'!$E:$F,2,0)))</f>
        <v>0</v>
      </c>
      <c r="KI379" s="409"/>
      <c r="KJ379" s="398">
        <f>IF(KI379=0,0,IF(LEN(JV379)=11,_xlfn.XLOOKUP(JV379,'Dispensed Ink Rates'!C:C,'Dispensed Ink Rates'!CS:CS),VLOOKUP(JV379,'Jan-2026 rates'!$E:$F,2,0)))</f>
        <v>0</v>
      </c>
      <c r="KK379" s="409"/>
      <c r="KL379" s="398">
        <f>IF(KK379=0,0,IF(LEN(JW379)=11,_xlfn.XLOOKUP(JW379,'Dispensed Ink Rates'!C:C,'Dispensed Ink Rates'!CS:CS),VLOOKUP(JW379,'Jan-2026 rates'!$E:$F,2,0)))</f>
        <v>0</v>
      </c>
      <c r="KM379" s="428"/>
      <c r="KN379" s="398">
        <f>IF(KM379=0,0,IF(LEN(JX379)=11,_xlfn.XLOOKUP(JX379,'Dispensed Ink Rates'!C:C,'Dispensed Ink Rates'!CS:CS),VLOOKUP(JX379,'Jan-2026 rates'!$E:$F,2,0)))</f>
        <v>0</v>
      </c>
      <c r="KO379" s="409" t="s">
        <v>1443</v>
      </c>
      <c r="KP379" s="409">
        <v>22</v>
      </c>
      <c r="KQ379" s="411">
        <f t="shared" si="233"/>
        <v>0</v>
      </c>
      <c r="KR379" s="411">
        <f t="shared" si="234"/>
        <v>176.9830508474576</v>
      </c>
      <c r="KS379" s="410">
        <f t="shared" si="235"/>
        <v>0</v>
      </c>
      <c r="KT379" s="409">
        <v>2</v>
      </c>
      <c r="KU379" s="409">
        <v>3</v>
      </c>
      <c r="KV379" s="409">
        <v>2</v>
      </c>
      <c r="KW379" s="409">
        <v>2</v>
      </c>
      <c r="KX379" s="409">
        <v>3</v>
      </c>
      <c r="KY379" s="409">
        <v>5</v>
      </c>
      <c r="KZ379" s="409">
        <v>2</v>
      </c>
      <c r="LA379" s="409">
        <v>40</v>
      </c>
      <c r="LB379" s="415">
        <v>0.8</v>
      </c>
      <c r="LC379" s="415">
        <v>0.2</v>
      </c>
      <c r="LD379" s="424"/>
      <c r="LE379" s="415"/>
      <c r="LF379" s="415"/>
      <c r="LG379" s="409">
        <v>0</v>
      </c>
      <c r="LH379" s="409">
        <f>40+36+56+14</f>
        <v>146</v>
      </c>
      <c r="LI379" s="409">
        <v>0</v>
      </c>
      <c r="LJ379" s="409">
        <v>0</v>
      </c>
      <c r="LK379" s="416">
        <f t="shared" si="191"/>
        <v>146</v>
      </c>
      <c r="LL379" s="416">
        <f t="shared" si="349"/>
        <v>146</v>
      </c>
      <c r="LM379" s="417">
        <f t="shared" si="193"/>
        <v>116.80000000000001</v>
      </c>
      <c r="LN379" s="417">
        <f>VLOOKUP($LM$8,'Jan-2026 rates'!$H:$I,2,0)</f>
        <v>0</v>
      </c>
      <c r="LO379" s="417">
        <f t="shared" si="194"/>
        <v>29.200000000000003</v>
      </c>
      <c r="LP379" s="417">
        <f>VLOOKUP($LO$8,'Jan-2026 rates'!$H:$I,2,0)</f>
        <v>0</v>
      </c>
      <c r="LQ379" s="417">
        <f t="shared" si="195"/>
        <v>0</v>
      </c>
      <c r="LR379" s="417">
        <f>VLOOKUP($LQ$8,'Jan-2026 rates'!$H:$I,2,0)</f>
        <v>0</v>
      </c>
      <c r="LS379" s="417">
        <f t="shared" si="196"/>
        <v>0</v>
      </c>
      <c r="LT379" s="417">
        <f>VLOOKUP($LS$8,'Jan-2026 rates'!$H:$I,2,0)</f>
        <v>0</v>
      </c>
      <c r="LU379" s="417">
        <f t="shared" si="197"/>
        <v>0</v>
      </c>
      <c r="LV379" s="417">
        <f>VLOOKUP($LU$8,'Jan-2026 rates'!$H:$I,2,0)</f>
        <v>0</v>
      </c>
      <c r="LW379" s="417">
        <f t="shared" si="198"/>
        <v>0</v>
      </c>
      <c r="LX379" s="417">
        <f t="shared" si="199"/>
        <v>0</v>
      </c>
      <c r="LY379" s="418">
        <f t="shared" si="200"/>
        <v>0</v>
      </c>
      <c r="LZ379" s="417"/>
      <c r="MA379" s="435">
        <f t="shared" si="201"/>
        <v>223</v>
      </c>
      <c r="MB379" s="282">
        <f t="shared" si="202"/>
        <v>330</v>
      </c>
      <c r="MC379" s="283">
        <v>220</v>
      </c>
      <c r="MD379" s="284" t="str">
        <f t="shared" si="203"/>
        <v>FLINTSLFLINTSLFLINTSLFLINTSLFLINTSLFLINTSLFLINTSLFLINTSL</v>
      </c>
      <c r="ME379" s="293" t="str">
        <f t="shared" si="204"/>
        <v>+</v>
      </c>
      <c r="MF379" s="293" t="str">
        <f t="shared" si="205"/>
        <v>+</v>
      </c>
      <c r="MG379" s="293" t="str">
        <f t="shared" si="206"/>
        <v>+</v>
      </c>
      <c r="MH379" s="293" t="str">
        <f t="shared" si="207"/>
        <v>+</v>
      </c>
      <c r="MI379" s="293" t="str">
        <f t="shared" si="208"/>
        <v>+</v>
      </c>
      <c r="MJ379" s="293" t="str">
        <f t="shared" si="209"/>
        <v>+</v>
      </c>
      <c r="MK379" s="293" t="str">
        <f t="shared" si="210"/>
        <v>+</v>
      </c>
      <c r="ML379" s="293" t="str">
        <f t="shared" si="211"/>
        <v>+</v>
      </c>
      <c r="MM379" s="3" t="b">
        <f t="array" ref="MM379">OR(ME379:ML379="-")</f>
        <v>0</v>
      </c>
      <c r="MO379" s="401">
        <f t="shared" si="350"/>
        <v>67.901234567901241</v>
      </c>
      <c r="MP379" s="286"/>
      <c r="MR379" s="402">
        <f t="shared" si="351"/>
        <v>1.4798206278026907E-2</v>
      </c>
      <c r="MS379" s="400">
        <f t="shared" si="352"/>
        <v>0</v>
      </c>
      <c r="MT379" s="285"/>
      <c r="NH379" s="361"/>
      <c r="NJ379" s="282"/>
    </row>
    <row r="380" spans="1:374" ht="16.5">
      <c r="A380" s="403">
        <v>46052</v>
      </c>
      <c r="B380" s="404" t="s">
        <v>1015</v>
      </c>
      <c r="C380" s="405" t="s">
        <v>4890</v>
      </c>
      <c r="D380" s="404">
        <v>221</v>
      </c>
      <c r="E380" s="404">
        <v>637</v>
      </c>
      <c r="F380" s="407">
        <v>12300</v>
      </c>
      <c r="G380" s="407" t="s">
        <v>1019</v>
      </c>
      <c r="H380" s="408" t="s">
        <v>1017</v>
      </c>
      <c r="I380" s="409">
        <f>1+1</f>
        <v>2</v>
      </c>
      <c r="J380" s="405" t="s">
        <v>545</v>
      </c>
      <c r="K380" s="404" t="s">
        <v>4891</v>
      </c>
      <c r="L380" s="419" t="str">
        <f t="shared" si="184"/>
        <v>FLINTSL - YELLOW</v>
      </c>
      <c r="M380" s="404">
        <v>12</v>
      </c>
      <c r="N380" s="410">
        <f>IF(M380=0,0,IF($LB380=70%,VLOOKUP($L380,'Jan-2026 rates'!$L:$R,4,0),IF($LB380=65%,VLOOKUP($L380,'Jan-2026 rates'!$L:$R,4,0),IF($LB380=40%,VLOOKUP($L380,'Jan-2026 rates'!$L:$R,5,0),IF($LB380=30%,VLOOKUP($L380,'Jan-2026 rates'!$L:$R,6,0),IF($LB380=100%,VLOOKUP($L380,'Jan-2026 rates'!$L:$R,7,0),IF($LB380=60%,VLOOKUP($L380,'Jan-2026 rates'!$L:$S,8,0),IF($LB380=80%,VLOOKUP($L380,'Jan-2026 rates'!L:T,9,0),0))))))))</f>
        <v>0</v>
      </c>
      <c r="O380" s="406"/>
      <c r="P380" s="404"/>
      <c r="Q380" s="410">
        <f>IF(P380=0,0,IF($LB380=70%,VLOOKUP($L380,'Jan-2026 rates'!$L:$R,4,0),IF($LB380=65%,VLOOKUP($L380,'Jan-2026 rates'!$L:$R,4,0),IF($LB380=40%,VLOOKUP($L380,'Jan-2026 rates'!$L:$R,5,0),IF($LB380=30%,VLOOKUP($L380,'Jan-2026 rates'!$L:$R,6,0),IF($LB380=100%,VLOOKUP($L380,'Jan-2026 rates'!$L:$R,7,0),IF($LB380=60%,VLOOKUP($L380,'Jan-2026 rates'!$L:$S,8,0),IF($LB380=80%,VLOOKUP($L380,'Jan-2026 rates'!L:T,9,0),0))))))))</f>
        <v>0</v>
      </c>
      <c r="R380" s="406">
        <v>26529000019</v>
      </c>
      <c r="S380" s="406">
        <v>26525000003</v>
      </c>
      <c r="T380" s="406"/>
      <c r="U380" s="406"/>
      <c r="V380" s="406"/>
      <c r="W380" s="406"/>
      <c r="X380" s="406"/>
      <c r="Y380" s="406"/>
      <c r="Z380" s="404">
        <f>4+4</f>
        <v>8</v>
      </c>
      <c r="AA380" s="398" t="e">
        <f>IF(Z380=0,0,IF(LEN(R380)=11,_xlfn.XLOOKUP(R380,'Dispensed Ink Rates'!C:C,'Dispensed Ink Rates'!CS:CS),VLOOKUP(R380,'Jan-2026 rates'!$E:$F,2,0)))</f>
        <v>#N/A</v>
      </c>
      <c r="AB380" s="404">
        <f>0.3+0.3</f>
        <v>0.6</v>
      </c>
      <c r="AC380" s="398" t="e">
        <f>IF(AB380=0,0,IF(LEN(S380)=11,_xlfn.XLOOKUP(S380,'Dispensed Ink Rates'!C:C,'Dispensed Ink Rates'!CS:CS),VLOOKUP(S380,'Jan-2026 rates'!$E:$F,2,0)))</f>
        <v>#N/A</v>
      </c>
      <c r="AD380" s="404"/>
      <c r="AE380" s="398">
        <f>IF(AD380=0,0,IF(LEN(T380)=11,_xlfn.XLOOKUP(T380,'Dispensed Ink Rates'!C:C,'Dispensed Ink Rates'!CS:CS),VLOOKUP(T380,'Jan-2026 rates'!$E:$F,2,0)))</f>
        <v>0</v>
      </c>
      <c r="AF380" s="404"/>
      <c r="AG380" s="398">
        <f>IF(AF380=0,0,IF(LEN(U380)=11,_xlfn.XLOOKUP(U380,'Dispensed Ink Rates'!C:C,'Dispensed Ink Rates'!CS:CS),VLOOKUP(U380,'Jan-2026 rates'!$E:$F,2,0)))</f>
        <v>0</v>
      </c>
      <c r="AH380" s="404"/>
      <c r="AI380" s="398">
        <f>IF(AH380=0,0,IF(LEN(V380)=11,_xlfn.XLOOKUP(V380,'Dispensed Ink Rates'!C:C,'Dispensed Ink Rates'!CS:CS),VLOOKUP(V380,'Jan-2026 rates'!$E:$F,2,0)))</f>
        <v>0</v>
      </c>
      <c r="AJ380" s="404"/>
      <c r="AK380" s="398">
        <f>IF(AJ380=0,0,IF(LEN(W380)=11,_xlfn.XLOOKUP(W380,'Dispensed Ink Rates'!C:C,'Dispensed Ink Rates'!CS:CS),VLOOKUP(W380,'Jan-2026 rates'!$E:$F,2,0)))</f>
        <v>0</v>
      </c>
      <c r="AL380" s="404"/>
      <c r="AM380" s="398">
        <f>IF(AL380=0,0,IF(LEN(X380)=11,_xlfn.XLOOKUP(X380,'Dispensed Ink Rates'!C:C,'Dispensed Ink Rates'!CS:CS),VLOOKUP(X380,'Jan-2026 rates'!$E:$F,2,0)))</f>
        <v>0</v>
      </c>
      <c r="AN380" s="404"/>
      <c r="AO380" s="398">
        <f>IF(AN380=0,0,IF(LEN(Y380)=11,_xlfn.XLOOKUP(Y380,'Dispensed Ink Rates'!C:C,'Dispensed Ink Rates'!CS:CS),VLOOKUP(Y380,'Jan-2026 rates'!$E:$F,2,0)))</f>
        <v>0</v>
      </c>
      <c r="AP380" s="409" t="s">
        <v>1443</v>
      </c>
      <c r="AQ380" s="409">
        <v>20</v>
      </c>
      <c r="AR380" s="410">
        <f t="shared" si="212"/>
        <v>0</v>
      </c>
      <c r="AS380" s="411">
        <f t="shared" si="213"/>
        <v>14.513043478260869</v>
      </c>
      <c r="AT380" s="410">
        <f t="shared" si="214"/>
        <v>0</v>
      </c>
      <c r="AU380" s="405" t="s">
        <v>543</v>
      </c>
      <c r="AV380" s="409" t="s">
        <v>4892</v>
      </c>
      <c r="AW380" s="420" t="str">
        <f t="shared" si="348"/>
        <v>FLINTSL - BLACK</v>
      </c>
      <c r="AX380" s="409">
        <v>26</v>
      </c>
      <c r="AY380" s="411">
        <f>IF(AX380=0,0,IF($LB380=70%,VLOOKUP($AW380,'Jan-2026 rates'!$L:$R,4,0),IF($LB380=65%,VLOOKUP($AW380,'Jan-2026 rates'!$L:$R,4,0),IF($LB380=40%,VLOOKUP($AW380,'Jan-2026 rates'!$L:$R,5,0),IF($LB380=30%,VLOOKUP($AW380,'Jan-2026 rates'!$L:$R,6,0),IF($LB380=100%,VLOOKUP($AW380,'Jan-2026 rates'!$L:$R,7,0),IF($LB380=60%,VLOOKUP($AW380,'Jan-2026 rates'!$L:$S,8,0),IF($LB380=80%,VLOOKUP($AW380,'Jan-2026 rates'!L:T,9,0),0))))))))</f>
        <v>0</v>
      </c>
      <c r="AZ380" s="412"/>
      <c r="BA380" s="409"/>
      <c r="BB380" s="411">
        <f>IF(BA380=0,0,IF($LB380=70%,VLOOKUP($AW380,'Jan-2026 rates'!$L:$R,4,0),IF($LB380=65%,VLOOKUP($AW380,'Jan-2026 rates'!$L:$R,4,0),IF($LB380=40%,VLOOKUP($AW380,'Jan-2026 rates'!$L:$R,5,0),IF($LB380=30%,VLOOKUP($AW380,'Jan-2026 rates'!$L:$R,6,0),IF($LB380=100%,VLOOKUP($AW380,'Jan-2026 rates'!$L:$R,7,0),IF($LB380=60%,VLOOKUP($AW380,'Jan-2026 rates'!$L:$S,8,0),IF($LB380=80%,VLOOKUP($AW380,'Jan-2026 rates'!L:T,9,0),0))))))))</f>
        <v>0</v>
      </c>
      <c r="BC380" s="413" t="s">
        <v>1266</v>
      </c>
      <c r="BD380" s="412"/>
      <c r="BE380" s="412"/>
      <c r="BF380" s="413"/>
      <c r="BG380" s="412"/>
      <c r="BH380" s="412"/>
      <c r="BI380" s="412"/>
      <c r="BJ380" s="412"/>
      <c r="BK380" s="409">
        <v>3</v>
      </c>
      <c r="BL380" s="398">
        <f>IF(BK380=0,0,IF(LEN(BC380)=11,_xlfn.XLOOKUP(BC380,'Dispensed Ink Rates'!C:C,'Dispensed Ink Rates'!CS:CS),VLOOKUP(BC380,'Jan-2026 rates'!$E:$F,2,0)))</f>
        <v>0</v>
      </c>
      <c r="BM380" s="409"/>
      <c r="BN380" s="398">
        <f>IF(BM380=0,0,IF(LEN(BD380)=11,_xlfn.XLOOKUP(BD380,'Dispensed Ink Rates'!C:C,'Dispensed Ink Rates'!CS:CS),VLOOKUP(BD380,'Jan-2026 rates'!$E:$F,2,0)))</f>
        <v>0</v>
      </c>
      <c r="BO380" s="409"/>
      <c r="BP380" s="398">
        <f>IF(BO380=0,0,IF(LEN(BE380)=11,_xlfn.XLOOKUP(BE380,'Dispensed Ink Rates'!C:C,'Dispensed Ink Rates'!CS:CS),VLOOKUP(BE380,'Jan-2026 rates'!$E:$F,2,0)))</f>
        <v>0</v>
      </c>
      <c r="BQ380" s="409"/>
      <c r="BR380" s="398">
        <f>IF(BQ380=0,0,IF(LEN(BF380)=11,_xlfn.XLOOKUP(BF380,'Dispensed Ink Rates'!C:C,'Dispensed Ink Rates'!CS:CS),VLOOKUP(BF380,'Jan-2026 rates'!$E:$F,2,0)))</f>
        <v>0</v>
      </c>
      <c r="BS380" s="409"/>
      <c r="BT380" s="398">
        <f>IF(BS380=0,0,IF(LEN(BG380)=11,_xlfn.XLOOKUP(BG380,'Dispensed Ink Rates'!C:C,'Dispensed Ink Rates'!CS:CS),VLOOKUP(BG380,'Jan-2026 rates'!$E:$F,2,0)))</f>
        <v>0</v>
      </c>
      <c r="BU380" s="409"/>
      <c r="BV380" s="398">
        <f>IF(BU380=0,0,IF(LEN(BH380)=11,_xlfn.XLOOKUP(BH380,'Dispensed Ink Rates'!C:C,'Dispensed Ink Rates'!CS:CS),VLOOKUP(BH380,'Jan-2026 rates'!$E:$F,2,0)))</f>
        <v>0</v>
      </c>
      <c r="BW380" s="409"/>
      <c r="BX380" s="398">
        <f>IF(BW380=0,0,IF(LEN(BI380)=11,_xlfn.XLOOKUP(BI380,'Dispensed Ink Rates'!C:C,'Dispensed Ink Rates'!CS:CS),VLOOKUP(BI380,'Jan-2026 rates'!$E:$F,2,0)))</f>
        <v>0</v>
      </c>
      <c r="BY380" s="409"/>
      <c r="BZ380" s="398">
        <f>IF(BY380=0,0,IF(LEN(BJ380)=11,_xlfn.XLOOKUP(BJ380,'Dispensed Ink Rates'!C:C,'Dispensed Ink Rates'!CS:CS),VLOOKUP(BJ380,'Jan-2026 rates'!$E:$F,2,0)))</f>
        <v>0</v>
      </c>
      <c r="CA380" s="409" t="s">
        <v>1443</v>
      </c>
      <c r="CB380" s="409">
        <v>23</v>
      </c>
      <c r="CC380" s="411">
        <f t="shared" si="215"/>
        <v>0</v>
      </c>
      <c r="CD380" s="411">
        <f t="shared" si="216"/>
        <v>8.7826086956521721</v>
      </c>
      <c r="CE380" s="410">
        <f t="shared" si="217"/>
        <v>0</v>
      </c>
      <c r="CF380" s="404" t="s">
        <v>857</v>
      </c>
      <c r="CG380" s="409" t="s">
        <v>4893</v>
      </c>
      <c r="CH380" s="420" t="str">
        <f t="shared" si="185"/>
        <v>FLINTSL - RED</v>
      </c>
      <c r="CI380" s="409">
        <v>22</v>
      </c>
      <c r="CJ380" s="411">
        <f>IF(CI380=0,0,IF($LB380=70%,VLOOKUP($CH380,'Jan-2026 rates'!$L:$R,4,0),IF($LB380=65%,VLOOKUP($CH380,'Jan-2026 rates'!$L:$R,4,0),IF($LB380=40%,VLOOKUP($CH380,'Jan-2026 rates'!$L:$R,5,0),IF($LB380=30%,VLOOKUP($CH380,'Jan-2026 rates'!$L:$R,6,0),IF($LB380=100%,VLOOKUP($CH380,'Jan-2026 rates'!$L:$R,7,0),IF($LB380=60%,VLOOKUP($CH380,'Jan-2026 rates'!$L:$S,8,0),IF($LB380=80%,VLOOKUP($CH380,'Jan-2026 rates'!L:T,9,0),0))))))))</f>
        <v>0</v>
      </c>
      <c r="CK380" s="412"/>
      <c r="CL380" s="409"/>
      <c r="CM380" s="411">
        <f>IF(CL380=0,0,IF($LB380=70%,VLOOKUP($CH380,'Jan-2026 rates'!$L:$R,4,0),IF($LB380=65%,VLOOKUP($CH380,'Jan-2026 rates'!$L:$R,4,0),IF($LB380=40%,VLOOKUP($CH380,'Jan-2026 rates'!$L:$R,5,0),IF($LB380=30%,VLOOKUP($CH380,'Jan-2026 rates'!$L:$R,6,0),IF($LB380=100%,VLOOKUP($CH380,'Jan-2026 rates'!$L:$R,7,0),IF($LB380=60%,VLOOKUP($CH380,'Jan-2026 rates'!$L:$S,8,0),IF($LB380=80%,VLOOKUP($CH380,'Jan-2026 rates'!L:T,9,0),0))))))))</f>
        <v>0</v>
      </c>
      <c r="CN380" s="426"/>
      <c r="CO380" s="427"/>
      <c r="CP380" s="426"/>
      <c r="CQ380" s="426"/>
      <c r="CR380" s="428"/>
      <c r="CS380" s="428"/>
      <c r="CT380" s="428"/>
      <c r="CU380" s="428"/>
      <c r="CV380" s="409"/>
      <c r="CW380" s="398">
        <f>IF(CV380=0,0,IF(LEN(CN380)=11,_xlfn.XLOOKUP(CN380,'Dispensed Ink Rates'!C:C,'Dispensed Ink Rates'!CS:CS),VLOOKUP(CN380,'Jan-2026 rates'!$E:$F,2,0)))</f>
        <v>0</v>
      </c>
      <c r="CX380" s="409"/>
      <c r="CY380" s="398">
        <f>IF(CX380=0,0,IF(LEN(CO380)=11,_xlfn.XLOOKUP(CO380,'Dispensed Ink Rates'!C:C,'Dispensed Ink Rates'!CS:CS),VLOOKUP(CO380,'Jan-2026 rates'!$E:$F,2,0)))</f>
        <v>0</v>
      </c>
      <c r="CZ380" s="409"/>
      <c r="DA380" s="398">
        <f>IF(CZ380=0,0,IF(LEN(CP380)=11,_xlfn.XLOOKUP(CP380,'Dispensed Ink Rates'!C:C,'Dispensed Ink Rates'!CS:CS),VLOOKUP(CP380,'Jan-2026 rates'!$E:$F,2,0)))</f>
        <v>0</v>
      </c>
      <c r="DB380" s="409"/>
      <c r="DC380" s="398">
        <f>IF(DB380=0,0,IF(LEN(CQ380)=11,_xlfn.XLOOKUP(CQ380,'Dispensed Ink Rates'!C:C,'Dispensed Ink Rates'!CS:CS),VLOOKUP(CQ380,'Jan-2026 rates'!$E:$F,2,0)))</f>
        <v>0</v>
      </c>
      <c r="DD380" s="409"/>
      <c r="DE380" s="398">
        <f>IF(DD380=0,0,IF(LEN(CR380)=11,_xlfn.XLOOKUP(CR380,'Dispensed Ink Rates'!C:C,'Dispensed Ink Rates'!CS:CS),VLOOKUP(CR380,'Jan-2026 rates'!$E:$F,2,0)))</f>
        <v>0</v>
      </c>
      <c r="DF380" s="409"/>
      <c r="DG380" s="398">
        <f>IF(DF380=0,0,IF(LEN(CS380)=11,_xlfn.XLOOKUP(CS380,'Dispensed Ink Rates'!C:C,'Dispensed Ink Rates'!CS:CS),VLOOKUP(CS380,'Jan-2026 rates'!$E:$F,2,0)))</f>
        <v>0</v>
      </c>
      <c r="DH380" s="409"/>
      <c r="DI380" s="398">
        <f>IF(DH380=0,0,IF(LEN(CT380)=11,_xlfn.XLOOKUP(CT380,'Dispensed Ink Rates'!C:C,'Dispensed Ink Rates'!CS:CS),VLOOKUP(CT380,'Jan-2026 rates'!$E:$F,2,0)))</f>
        <v>0</v>
      </c>
      <c r="DJ380" s="409"/>
      <c r="DK380" s="398">
        <f>IF(DJ380=0,0,IF(LEN(CU380)=11,_xlfn.XLOOKUP(CU380,'Dispensed Ink Rates'!C:C,'Dispensed Ink Rates'!CS:CS),VLOOKUP(CU380,'Jan-2026 rates'!$E:$F,2,0)))</f>
        <v>0</v>
      </c>
      <c r="DL380" s="409" t="s">
        <v>1443</v>
      </c>
      <c r="DM380" s="409">
        <v>20</v>
      </c>
      <c r="DN380" s="411">
        <f t="shared" si="218"/>
        <v>0</v>
      </c>
      <c r="DO380" s="411">
        <f t="shared" si="219"/>
        <v>7.5652173913043477</v>
      </c>
      <c r="DP380" s="410">
        <f t="shared" si="220"/>
        <v>0</v>
      </c>
      <c r="DQ380" s="405" t="s">
        <v>318</v>
      </c>
      <c r="DR380" s="409"/>
      <c r="DS380" s="420" t="str">
        <f t="shared" si="186"/>
        <v>FLINTSL - OPV</v>
      </c>
      <c r="DT380" s="409"/>
      <c r="DU380" s="411">
        <f>IF(DT380=0,0,IF($LB380=70%,VLOOKUP($DS380,'Jan-2026 rates'!$L:$R,4,0),IF($LB380=65%,VLOOKUP($DS380,'Jan-2026 rates'!$L:$R,4,0),IF($LB380=40%,VLOOKUP($DS380,'Jan-2026 rates'!$L:$R,5,0),IF($LB380=30%,VLOOKUP($DS380,'Jan-2026 rates'!$L:$R,6,0),IF($LB380=100%,VLOOKUP($DS380,'Jan-2026 rates'!$L:$R,7,0),IF($LB380=60%,VLOOKUP($DS380,'Jan-2026 rates'!$L:$S,8,0),IF($LB380=80%,VLOOKUP($DS380,'Jan-2026 rates'!L:T,9,0),0))))))))</f>
        <v>0</v>
      </c>
      <c r="DV380" s="412"/>
      <c r="DW380" s="409"/>
      <c r="DX380" s="411">
        <f>IF(DW380=0,0,IF($LB380=70%,VLOOKUP($DS380,'Jan-2026 rates'!$L:$R,4,0),IF($LB380=65%,VLOOKUP($DS380,'Jan-2026 rates'!$L:$R,4,0),IF($LB380=40%,VLOOKUP($DS380,'Jan-2026 rates'!$L:$R,5,0),IF($LB380=30%,VLOOKUP($DS380,'Jan-2026 rates'!$L:$R,6,0),IF($LB380=100%,VLOOKUP($DS380,'Jan-2026 rates'!$L:$R,7,0),IF($LB380=60%,VLOOKUP($DS380,'Jan-2026 rates'!$L:$S,8,0),IF($LB380=80%,VLOOKUP($DS380,'Jan-2026 rates'!L:T,9,0),0))))))))</f>
        <v>0</v>
      </c>
      <c r="DY380" s="413" t="s">
        <v>975</v>
      </c>
      <c r="DZ380" s="413"/>
      <c r="EA380" s="412"/>
      <c r="EB380" s="412"/>
      <c r="EC380" s="412"/>
      <c r="ED380" s="412"/>
      <c r="EE380" s="412"/>
      <c r="EF380" s="412"/>
      <c r="EG380" s="409">
        <v>50</v>
      </c>
      <c r="EH380" s="398">
        <f>IF(EG380=0,0,IF(LEN(DY380)=11,_xlfn.XLOOKUP(DY380,'Dispensed Ink Rates'!C:C,'Dispensed Ink Rates'!CS:CS),VLOOKUP(DY380,'Jan-2026 rates'!$E:$F,2,0)))</f>
        <v>0</v>
      </c>
      <c r="EI380" s="409"/>
      <c r="EJ380" s="398">
        <f>IF(EI380=0,0,IF(LEN(DZ380)=11,_xlfn.XLOOKUP(DZ380,'Dispensed Ink Rates'!C:C,'Dispensed Ink Rates'!CS:CS),VLOOKUP(DZ380,'Jan-2026 rates'!$E:$F,2,0)))</f>
        <v>0</v>
      </c>
      <c r="EK380" s="409"/>
      <c r="EL380" s="398">
        <f>IF(EK380=0,0,IF(LEN(EA380)=11,_xlfn.XLOOKUP(EA380,'Dispensed Ink Rates'!C:C,'Dispensed Ink Rates'!CS:CS),VLOOKUP(EA380,'Jan-2026 rates'!$E:$F,2,0)))</f>
        <v>0</v>
      </c>
      <c r="EM380" s="409"/>
      <c r="EN380" s="398">
        <f>IF(EM380=0,0,IF(LEN(EB380)=11,_xlfn.XLOOKUP(EB380,'Dispensed Ink Rates'!C:C,'Dispensed Ink Rates'!CS:CS),VLOOKUP(EB380,'Jan-2026 rates'!$E:$F,2,0)))</f>
        <v>0</v>
      </c>
      <c r="EO380" s="409"/>
      <c r="EP380" s="398">
        <f>IF(EO380=0,0,IF(LEN(EC380)=11,_xlfn.XLOOKUP(EC380,'Dispensed Ink Rates'!C:C,'Dispensed Ink Rates'!CS:CS),VLOOKUP(EC380,'Jan-2026 rates'!$E:$F,2,0)))</f>
        <v>0</v>
      </c>
      <c r="EQ380" s="409"/>
      <c r="ER380" s="398">
        <f>IF(EQ380=0,0,IF(LEN(ED380)=11,_xlfn.XLOOKUP(ED380,'Dispensed Ink Rates'!C:C,'Dispensed Ink Rates'!CS:CS),VLOOKUP(ED380,'Jan-2026 rates'!$E:$F,2,0)))</f>
        <v>0</v>
      </c>
      <c r="ES380" s="409"/>
      <c r="ET380" s="398">
        <f>IF(ES380=0,0,IF(LEN(EE380)=11,_xlfn.XLOOKUP(EE380,'Dispensed Ink Rates'!C:C,'Dispensed Ink Rates'!CS:CS),VLOOKUP(EE380,'Jan-2026 rates'!$E:$F,2,0)))</f>
        <v>0</v>
      </c>
      <c r="EU380" s="409"/>
      <c r="EV380" s="398">
        <f>IF(EU380=0,0,IF(LEN(EF380)=11,_xlfn.XLOOKUP(EF380,'Dispensed Ink Rates'!C:C,'Dispensed Ink Rates'!CS:CS),VLOOKUP(EF380,'Jan-2026 rates'!$E:$F,2,0)))</f>
        <v>0</v>
      </c>
      <c r="EW380" s="409" t="s">
        <v>1443</v>
      </c>
      <c r="EX380" s="409">
        <v>18</v>
      </c>
      <c r="EY380" s="411">
        <f t="shared" si="221"/>
        <v>0</v>
      </c>
      <c r="EZ380" s="411">
        <f t="shared" si="222"/>
        <v>73.739130434782609</v>
      </c>
      <c r="FA380" s="410">
        <f t="shared" si="223"/>
        <v>0</v>
      </c>
      <c r="FB380" s="405"/>
      <c r="FC380" s="409"/>
      <c r="FD380" s="420" t="str">
        <f t="shared" si="187"/>
        <v xml:space="preserve"> - </v>
      </c>
      <c r="FE380" s="409"/>
      <c r="FF380" s="411">
        <f>IF(FE380=0,0,IF($LB380=70%,VLOOKUP($FD380,'Jan-2026 rates'!$L:$R,4,0),IF($LB380=65%,VLOOKUP($FD380,'Jan-2026 rates'!$L:$R,4,0),IF($LB380=40%,VLOOKUP($FD380,'Jan-2026 rates'!$L:$R,5,0),IF($LB380=30%,VLOOKUP($FD380,'Jan-2026 rates'!$L:$R,6,0),IF($LB380=100%,VLOOKUP($FD380,'Jan-2026 rates'!$L:$R,7,0),IF($LB380=60%,VLOOKUP($FD380,'Jan-2026 rates'!$L:$S,8,0),IF($LB380=80%,VLOOKUP($FD380,'Jan-2026 rates'!L:T,9,0),0))))))))</f>
        <v>0</v>
      </c>
      <c r="FG380" s="412"/>
      <c r="FH380" s="409"/>
      <c r="FI380" s="411">
        <f>IF(FH380=0,0,IF($LB380=70%,VLOOKUP($FD380,'Jan-2026 rates'!$L:$R,4,0),IF($LB380=65%,VLOOKUP($FD380,'Jan-2026 rates'!$L:$R,4,0),IF($LB380=40%,VLOOKUP($FD380,'Jan-2026 rates'!$L:$R,5,0),IF($LB380=30%,VLOOKUP($FD380,'Jan-2026 rates'!$L:$R,6,0),IF($LB380=100%,VLOOKUP($FD380,'Jan-2026 rates'!$L:$R,7,0),IF($LB380=60%,VLOOKUP($FD380,'Jan-2026 rates'!$L:$S,8,0),IF($LB380=80%,VLOOKUP($FD380,'Jan-2026 rates'!L:T,9,0),0))))))))</f>
        <v>0</v>
      </c>
      <c r="FJ380" s="413"/>
      <c r="FK380" s="413"/>
      <c r="FL380" s="413"/>
      <c r="FM380" s="412"/>
      <c r="FN380" s="412"/>
      <c r="FO380" s="412"/>
      <c r="FP380" s="412"/>
      <c r="FQ380" s="412"/>
      <c r="FR380" s="409"/>
      <c r="FS380" s="398">
        <f>IF(FR380=0,0,IF(LEN(FJ380)=11,_xlfn.XLOOKUP(FJ380,'Dispensed Ink Rates'!C:C,'Dispensed Ink Rates'!CS:CS),VLOOKUP(FJ380,'Jan-2026 rates'!$E:$F,2,0)))</f>
        <v>0</v>
      </c>
      <c r="FT380" s="409"/>
      <c r="FU380" s="398">
        <f>IF(FT380=0,0,IF(LEN(FK380)=11,_xlfn.XLOOKUP(FK380,'Dispensed Ink Rates'!C:C,'Dispensed Ink Rates'!CS:CS),VLOOKUP(FK380,'Jan-2026 rates'!$E:$F,2,0)))</f>
        <v>0</v>
      </c>
      <c r="FV380" s="409"/>
      <c r="FW380" s="398">
        <f>IF(FV380=0,0,IF(LEN(FL380)=11,_xlfn.XLOOKUP(FL380,'Dispensed Ink Rates'!C:C,'Dispensed Ink Rates'!CS:CS),VLOOKUP(FL380,'Jan-2026 rates'!$E:$F,2,0)))</f>
        <v>0</v>
      </c>
      <c r="FX380" s="409"/>
      <c r="FY380" s="398">
        <f>IF(FX380=0,0,IF(LEN(FM380)=11,_xlfn.XLOOKUP(FM380,'Dispensed Ink Rates'!C:C,'Dispensed Ink Rates'!CS:CS),VLOOKUP(FM380,'Jan-2026 rates'!$E:$F,2,0)))</f>
        <v>0</v>
      </c>
      <c r="FZ380" s="409"/>
      <c r="GA380" s="398">
        <f>IF(FZ380=0,0,IF(LEN(FN380)=11,_xlfn.XLOOKUP(FN380,'Dispensed Ink Rates'!C:C,'Dispensed Ink Rates'!CS:CS),VLOOKUP(FN380,'Jan-2026 rates'!$E:$F,2,0)))</f>
        <v>0</v>
      </c>
      <c r="GB380" s="409"/>
      <c r="GC380" s="398">
        <f>IF(GB380=0,0,IF(LEN(FO380)=11,_xlfn.XLOOKUP(FO380,'Dispensed Ink Rates'!C:C,'Dispensed Ink Rates'!CS:CS),VLOOKUP(FO380,'Jan-2026 rates'!$E:$F,2,0)))</f>
        <v>0</v>
      </c>
      <c r="GD380" s="409"/>
      <c r="GE380" s="398">
        <f>IF(GD380=0,0,IF(LEN(FP380)=11,_xlfn.XLOOKUP(FP380,'Dispensed Ink Rates'!C:C,'Dispensed Ink Rates'!CS:CS),VLOOKUP(FP380,'Jan-2026 rates'!$E:$F,2,0)))</f>
        <v>0</v>
      </c>
      <c r="GF380" s="409"/>
      <c r="GG380" s="398">
        <f>IF(GF380=0,0,IF(LEN(FQ380)=11,_xlfn.XLOOKUP(FQ380,'Dispensed Ink Rates'!C:C,'Dispensed Ink Rates'!CS:CS),VLOOKUP(FQ380,'Jan-2026 rates'!$E:$F,2,0)))</f>
        <v>0</v>
      </c>
      <c r="GH380" s="409"/>
      <c r="GI380" s="409"/>
      <c r="GJ380" s="411">
        <f t="shared" si="224"/>
        <v>0</v>
      </c>
      <c r="GK380" s="411">
        <f t="shared" si="225"/>
        <v>0</v>
      </c>
      <c r="GL380" s="410">
        <f t="shared" si="226"/>
        <v>0</v>
      </c>
      <c r="GM380" s="405"/>
      <c r="GN380" s="409"/>
      <c r="GO380" s="420" t="str">
        <f t="shared" si="188"/>
        <v xml:space="preserve"> - </v>
      </c>
      <c r="GP380" s="409"/>
      <c r="GQ380" s="411">
        <f>IF(GP380=0,0,IF($LB380=70%,VLOOKUP($GO380,'Jan-2026 rates'!$L:$R,4,0),IF($LB380=65%,VLOOKUP($GO380,'Jan-2026 rates'!$L:$R,4,0),IF($LB380=40%,VLOOKUP($GO380,'Jan-2026 rates'!$L:$R,5,0),IF($LB380=30%,VLOOKUP($GO380,'Jan-2026 rates'!$L:$R,6,0),IF($LB380=100%,VLOOKUP($GO380,'Jan-2026 rates'!$L:$R,7,0),IF($LB380=60%,VLOOKUP($GO380,'Jan-2026 rates'!$L:$S,8,0),IF($LB380=80%,VLOOKUP($GO380,'Jan-2026 rates'!L:T,9,0),0))))))))</f>
        <v>0</v>
      </c>
      <c r="GR380" s="412"/>
      <c r="GS380" s="409"/>
      <c r="GT380" s="411">
        <f>IF(GS380=0,0,IF($LB380=70%,VLOOKUP($GO380,'Jan-2026 rates'!$L:$R,4,0),IF($LB380=65%,VLOOKUP($GO380,'Jan-2026 rates'!$L:$R,4,0),IF($LB380=40%,VLOOKUP($GO380,'Jan-2026 rates'!$L:$R,5,0),IF($LB380=30%,VLOOKUP($GO380,'Jan-2026 rates'!$L:$R,6,0),IF($LB380=100%,VLOOKUP($GO380,'Jan-2026 rates'!$L:$R,7,0),IF($LB380=60%,VLOOKUP($GO380,'Jan-2026 rates'!$L:$S,8,0),IF($LB380=80%,VLOOKUP($GO380,'Jan-2026 rates'!L:T,9,0),0))))))))</f>
        <v>0</v>
      </c>
      <c r="GU380" s="413"/>
      <c r="GV380" s="413"/>
      <c r="GW380" s="412"/>
      <c r="GX380" s="412"/>
      <c r="GY380" s="412"/>
      <c r="GZ380" s="412"/>
      <c r="HA380" s="412"/>
      <c r="HB380" s="412"/>
      <c r="HC380" s="409"/>
      <c r="HD380" s="398">
        <f>IF(HC380=0,0,IF(LEN(GU380)=11,_xlfn.XLOOKUP(GU380,'Dispensed Ink Rates'!C:C,'Dispensed Ink Rates'!CS:CS),VLOOKUP(GU380,'Jan-2026 rates'!$E:$F,2,0)))</f>
        <v>0</v>
      </c>
      <c r="HE380" s="409"/>
      <c r="HF380" s="398">
        <f>IF(HE380=0,0,IF(LEN(GV380)=11,_xlfn.XLOOKUP(GV380,'Dispensed Ink Rates'!C:C,'Dispensed Ink Rates'!CS:CS),VLOOKUP(GV380,'Jan-2026 rates'!$E:$F,2,0)))</f>
        <v>0</v>
      </c>
      <c r="HG380" s="409"/>
      <c r="HH380" s="398">
        <f>IF(HG380=0,0,IF(LEN(GW380)=11,_xlfn.XLOOKUP(GW380,'Dispensed Ink Rates'!C:C,'Dispensed Ink Rates'!CS:CS),VLOOKUP(GW380,'Jan-2026 rates'!$E:$F,2,0)))</f>
        <v>0</v>
      </c>
      <c r="HI380" s="409"/>
      <c r="HJ380" s="398">
        <f>IF(HI380=0,0,IF(LEN(GX380)=11,_xlfn.XLOOKUP(GX380,'Dispensed Ink Rates'!C:C,'Dispensed Ink Rates'!CS:CS),VLOOKUP(GX380,'Jan-2026 rates'!$E:$F,2,0)))</f>
        <v>0</v>
      </c>
      <c r="HK380" s="409"/>
      <c r="HL380" s="398">
        <f>IF(HK380=0,0,IF(LEN(GY380)=11,_xlfn.XLOOKUP(GY380,'Dispensed Ink Rates'!C:C,'Dispensed Ink Rates'!CS:CS),VLOOKUP(GY380,'Jan-2026 rates'!$E:$F,2,0)))</f>
        <v>0</v>
      </c>
      <c r="HM380" s="409"/>
      <c r="HN380" s="398">
        <f>IF(HM380=0,0,IF(LEN(GZ380)=11,_xlfn.XLOOKUP(GZ380,'Dispensed Ink Rates'!C:C,'Dispensed Ink Rates'!CS:CS),VLOOKUP(GZ380,'Jan-2026 rates'!$E:$F,2,0)))</f>
        <v>0</v>
      </c>
      <c r="HO380" s="409"/>
      <c r="HP380" s="398">
        <f>IF(HO380=0,0,IF(LEN(HA380)=11,_xlfn.XLOOKUP(HA380,'Dispensed Ink Rates'!C:C,'Dispensed Ink Rates'!CS:CS),VLOOKUP(HA380,'Jan-2026 rates'!$E:$F,2,0)))</f>
        <v>0</v>
      </c>
      <c r="HQ380" s="409"/>
      <c r="HR380" s="398">
        <f>IF(HQ380=0,0,IF(LEN(HB380)=11,_xlfn.XLOOKUP(HB380,'Dispensed Ink Rates'!C:C,'Dispensed Ink Rates'!CS:CS),VLOOKUP(HB380,'Jan-2026 rates'!$E:$F,2,0)))</f>
        <v>0</v>
      </c>
      <c r="HS380" s="409"/>
      <c r="HT380" s="409"/>
      <c r="HU380" s="411">
        <f t="shared" si="227"/>
        <v>0</v>
      </c>
      <c r="HV380" s="411">
        <f t="shared" si="228"/>
        <v>0</v>
      </c>
      <c r="HW380" s="414">
        <f t="shared" si="229"/>
        <v>0</v>
      </c>
      <c r="HX380" s="405"/>
      <c r="HY380" s="409"/>
      <c r="HZ380" s="420" t="str">
        <f t="shared" si="189"/>
        <v xml:space="preserve"> - </v>
      </c>
      <c r="IA380" s="409"/>
      <c r="IB380" s="411">
        <f>IF(IA380=0,0,IF($LB380=70%,VLOOKUP($HZ380,'Jan-2026 rates'!$L:$R,4,0),IF($LB380=65%,VLOOKUP($HZ380,'Jan-2026 rates'!$L:$R,4,0),IF($LB380=40%,VLOOKUP($HZ380,'Jan-2026 rates'!$L:$R,5,0),IF($LB380=30%,VLOOKUP($HZ380,'Jan-2026 rates'!$L:$R,6,0),IF($LB380=100%,VLOOKUP($HZ380,'Jan-2026 rates'!$L:$R,7,0),IF($LB380=60%,VLOOKUP($HZ380,'Jan-2026 rates'!$L:$S,8,0),IF($LB380=80%,VLOOKUP($HZ380,'Jan-2026 rates'!L:T,9,0),0))))))))</f>
        <v>0</v>
      </c>
      <c r="IC380" s="412"/>
      <c r="ID380" s="409"/>
      <c r="IE380" s="411">
        <f>IF(ID380=0,0,IF($LB380=70%,VLOOKUP($HZ380,'Jan-2026 rates'!$L:$R,4,0),IF($LB380=65%,VLOOKUP($HZ380,'Jan-2026 rates'!$L:$R,4,0),IF($LB380=40%,VLOOKUP($HZ380,'Jan-2026 rates'!$L:$R,5,0),IF($LB380=30%,VLOOKUP($HZ380,'Jan-2026 rates'!$L:$R,6,0),IF($LB380=100%,VLOOKUP($HZ380,'Jan-2026 rates'!$L:$R,7,0),IF($LB380=60%,VLOOKUP($HZ380,'Jan-2026 rates'!$L:$S,8,0),IF($LB380=80%,VLOOKUP($HZ380,'Jan-2026 rates'!L:T,9,0),0))))))))</f>
        <v>0</v>
      </c>
      <c r="IF380" s="412"/>
      <c r="IG380" s="413"/>
      <c r="IH380" s="412"/>
      <c r="II380" s="412"/>
      <c r="IJ380" s="412"/>
      <c r="IK380" s="412"/>
      <c r="IL380" s="412"/>
      <c r="IM380" s="412"/>
      <c r="IN380" s="409"/>
      <c r="IO380" s="398">
        <f>IF(IN380=0,0,IF(LEN(IF380)=11,_xlfn.XLOOKUP(IF380,'Dispensed Ink Rates'!C:C,'Dispensed Ink Rates'!CS:CS),VLOOKUP(IF380,'Jan-2026 rates'!$E:$F,2,0)))</f>
        <v>0</v>
      </c>
      <c r="IP380" s="409"/>
      <c r="IQ380" s="398">
        <f>IF(IP380=0,0,IF(LEN(IG380)=11,_xlfn.XLOOKUP(IG380,'Dispensed Ink Rates'!C:C,'Dispensed Ink Rates'!CS:CS),VLOOKUP(IG380,'Jan-2026 rates'!$E:$F,2,0)))</f>
        <v>0</v>
      </c>
      <c r="IR380" s="409"/>
      <c r="IS380" s="398">
        <f>IF(IR380=0,0,IF(LEN(IH380)=11,_xlfn.XLOOKUP(IH380,'Dispensed Ink Rates'!C:C,'Dispensed Ink Rates'!CS:CS),VLOOKUP(IH380,'Jan-2026 rates'!$E:$F,2,0)))</f>
        <v>0</v>
      </c>
      <c r="IT380" s="409"/>
      <c r="IU380" s="398">
        <f>IF(IT380=0,0,IF(LEN(II380)=11,_xlfn.XLOOKUP(II380,'Dispensed Ink Rates'!C:C,'Dispensed Ink Rates'!CS:CS),VLOOKUP(II380,'Jan-2026 rates'!$E:$F,2,0)))</f>
        <v>0</v>
      </c>
      <c r="IV380" s="409"/>
      <c r="IW380" s="398">
        <f>IF(IV380=0,0,IF(LEN(IJ380)=11,_xlfn.XLOOKUP(IJ380,'Dispensed Ink Rates'!C:C,'Dispensed Ink Rates'!CS:CS),VLOOKUP(IJ380,'Jan-2026 rates'!$E:$F,2,0)))</f>
        <v>0</v>
      </c>
      <c r="IX380" s="409"/>
      <c r="IY380" s="398">
        <f>IF(IX380=0,0,IF(LEN(IK380)=11,_xlfn.XLOOKUP(IK380,'Dispensed Ink Rates'!C:C,'Dispensed Ink Rates'!CS:CS),VLOOKUP(IK380,'Jan-2026 rates'!$E:$F,2,0)))</f>
        <v>0</v>
      </c>
      <c r="IZ380" s="409"/>
      <c r="JA380" s="398">
        <f>IF(IZ380=0,0,IF(LEN(IL380)=11,_xlfn.XLOOKUP(IL380,'Dispensed Ink Rates'!C:C,'Dispensed Ink Rates'!CS:CS),VLOOKUP(IL380,'Jan-2026 rates'!$E:$F,2,0)))</f>
        <v>0</v>
      </c>
      <c r="JB380" s="409"/>
      <c r="JC380" s="398">
        <f>IF(JB380=0,0,IF(LEN(IM380)=11,_xlfn.XLOOKUP(IM380,'Dispensed Ink Rates'!C:C,'Dispensed Ink Rates'!CS:CS),VLOOKUP(IM380,'Jan-2026 rates'!$E:$F,2,0)))</f>
        <v>0</v>
      </c>
      <c r="JD380" s="409"/>
      <c r="JE380" s="409"/>
      <c r="JF380" s="411">
        <f t="shared" si="230"/>
        <v>0</v>
      </c>
      <c r="JG380" s="411">
        <f t="shared" si="231"/>
        <v>0</v>
      </c>
      <c r="JH380" s="410">
        <f t="shared" si="232"/>
        <v>0</v>
      </c>
      <c r="JI380" s="405"/>
      <c r="JJ380" s="409"/>
      <c r="JK380" s="420" t="str">
        <f t="shared" si="190"/>
        <v xml:space="preserve"> - </v>
      </c>
      <c r="JL380" s="409"/>
      <c r="JM380" s="411">
        <f>IF(JL380=0,0,IF($LB380=70%,VLOOKUP($JK380,'Jan-2026 rates'!$L:$R,4,0),IF($LB380=65%,VLOOKUP($JK380,'Jan-2026 rates'!$L:$R,4,0),IF($LB380=40%,VLOOKUP($JK380,'Jan-2026 rates'!$L:$R,5,0),IF($LB380=30%,VLOOKUP($JK380,'Jan-2026 rates'!$L:$R,6,0),IF($LB380=100%,VLOOKUP($JK380,'Jan-2026 rates'!$L:$R,7,0),IF($LB380=60%,VLOOKUP($JK380,'Jan-2026 rates'!$L:$S,8,0),IF($LB380=80%,VLOOKUP($JK380,'Jan-2026 rates'!L:T,9,0),0))))))))</f>
        <v>0</v>
      </c>
      <c r="JN380" s="412"/>
      <c r="JO380" s="409"/>
      <c r="JP380" s="411">
        <f>IF(JO380=0,0,IF($LB380=70%,VLOOKUP($JK380,'Jan-2026 rates'!$L:$R,4,0),IF($LB380=65%,VLOOKUP($JK380,'Jan-2026 rates'!$L:$R,4,0),IF($LB380=40%,VLOOKUP($JK380,'Jan-2026 rates'!$L:$R,5,0),IF($LB380=30%,VLOOKUP($JK380,'Jan-2026 rates'!$L:$R,6,0),IF($LB380=100%,VLOOKUP($JK380,'Jan-2026 rates'!$L:$R,7,0),IF($LB380=60%,VLOOKUP($JK380,'Jan-2026 rates'!$L:$S,8,0),IF($LB380=80%,VLOOKUP($JK380,'Jan-2026 rates'!L:T,9,0),0))))))))</f>
        <v>0</v>
      </c>
      <c r="JQ380" s="413"/>
      <c r="JR380" s="412"/>
      <c r="JS380" s="413"/>
      <c r="JT380" s="413"/>
      <c r="JU380" s="412"/>
      <c r="JV380" s="412"/>
      <c r="JW380" s="412"/>
      <c r="JX380" s="412"/>
      <c r="JY380" s="409"/>
      <c r="JZ380" s="398">
        <f>IF(JY380=0,0,IF(LEN(JQ380)=11,_xlfn.XLOOKUP(JQ380,'Dispensed Ink Rates'!C:C,'Dispensed Ink Rates'!CS:CS),VLOOKUP(JQ380,'Jan-2026 rates'!$E:$F,2,0)))</f>
        <v>0</v>
      </c>
      <c r="KA380" s="409"/>
      <c r="KB380" s="398">
        <f>IF(KA380=0,0,IF(LEN(JR380)=11,_xlfn.XLOOKUP(JR380,'Dispensed Ink Rates'!C:C,'Dispensed Ink Rates'!CS:CS),VLOOKUP(JR380,'Jan-2026 rates'!$E:$F,2,0)))</f>
        <v>0</v>
      </c>
      <c r="KC380" s="409"/>
      <c r="KD380" s="398">
        <f>IF(KC380=0,0,IF(LEN(JS380)=11,_xlfn.XLOOKUP(JS380,'Dispensed Ink Rates'!C:C,'Dispensed Ink Rates'!CS:CS),VLOOKUP(JS380,'Jan-2026 rates'!$E:$F,2,0)))</f>
        <v>0</v>
      </c>
      <c r="KE380" s="409"/>
      <c r="KF380" s="398">
        <f>IF(KE380=0,0,IF(LEN(JT380)=11,_xlfn.XLOOKUP(JT380,'Dispensed Ink Rates'!C:C,'Dispensed Ink Rates'!CS:CS),VLOOKUP(JT380,'Jan-2026 rates'!$E:$F,2,0)))</f>
        <v>0</v>
      </c>
      <c r="KG380" s="409"/>
      <c r="KH380" s="398">
        <f>IF(KG380=0,0,IF(LEN(JU380)=11,_xlfn.XLOOKUP(JU380,'Dispensed Ink Rates'!C:C,'Dispensed Ink Rates'!CS:CS),VLOOKUP(JU380,'Jan-2026 rates'!$E:$F,2,0)))</f>
        <v>0</v>
      </c>
      <c r="KI380" s="409"/>
      <c r="KJ380" s="398">
        <f>IF(KI380=0,0,IF(LEN(JV380)=11,_xlfn.XLOOKUP(JV380,'Dispensed Ink Rates'!C:C,'Dispensed Ink Rates'!CS:CS),VLOOKUP(JV380,'Jan-2026 rates'!$E:$F,2,0)))</f>
        <v>0</v>
      </c>
      <c r="KK380" s="409"/>
      <c r="KL380" s="398">
        <f>IF(KK380=0,0,IF(LEN(JW380)=11,_xlfn.XLOOKUP(JW380,'Dispensed Ink Rates'!C:C,'Dispensed Ink Rates'!CS:CS),VLOOKUP(JW380,'Jan-2026 rates'!$E:$F,2,0)))</f>
        <v>0</v>
      </c>
      <c r="KM380" s="428"/>
      <c r="KN380" s="398">
        <f>IF(KM380=0,0,IF(LEN(JX380)=11,_xlfn.XLOOKUP(JX380,'Dispensed Ink Rates'!C:C,'Dispensed Ink Rates'!CS:CS),VLOOKUP(JX380,'Jan-2026 rates'!$E:$F,2,0)))</f>
        <v>0</v>
      </c>
      <c r="KO380" s="409"/>
      <c r="KP380" s="409"/>
      <c r="KQ380" s="411">
        <f t="shared" si="233"/>
        <v>0</v>
      </c>
      <c r="KR380" s="411">
        <f t="shared" si="234"/>
        <v>0</v>
      </c>
      <c r="KS380" s="410">
        <f t="shared" si="235"/>
        <v>0</v>
      </c>
      <c r="KT380" s="409">
        <v>5</v>
      </c>
      <c r="KU380" s="409">
        <v>1</v>
      </c>
      <c r="KV380" s="409">
        <v>2</v>
      </c>
      <c r="KW380" s="409">
        <v>15</v>
      </c>
      <c r="KX380" s="409">
        <v>0</v>
      </c>
      <c r="KY380" s="409">
        <v>0</v>
      </c>
      <c r="KZ380" s="409">
        <v>0</v>
      </c>
      <c r="LA380" s="409">
        <v>0</v>
      </c>
      <c r="LB380" s="415">
        <v>0.8</v>
      </c>
      <c r="LC380" s="415">
        <v>0.2</v>
      </c>
      <c r="LD380" s="424"/>
      <c r="LE380" s="415"/>
      <c r="LF380" s="415"/>
      <c r="LG380" s="409">
        <v>0</v>
      </c>
      <c r="LH380" s="409">
        <f>15+19+24+6</f>
        <v>64</v>
      </c>
      <c r="LI380" s="409">
        <v>0</v>
      </c>
      <c r="LJ380" s="409">
        <v>0</v>
      </c>
      <c r="LK380" s="416">
        <f t="shared" si="191"/>
        <v>64</v>
      </c>
      <c r="LL380" s="416">
        <f t="shared" si="349"/>
        <v>64</v>
      </c>
      <c r="LM380" s="417">
        <f t="shared" si="193"/>
        <v>51.2</v>
      </c>
      <c r="LN380" s="417">
        <f>VLOOKUP($LM$8,'Jan-2026 rates'!$H:$I,2,0)</f>
        <v>0</v>
      </c>
      <c r="LO380" s="417">
        <f t="shared" si="194"/>
        <v>12.8</v>
      </c>
      <c r="LP380" s="417">
        <f>VLOOKUP($LO$8,'Jan-2026 rates'!$H:$I,2,0)</f>
        <v>0</v>
      </c>
      <c r="LQ380" s="417">
        <f t="shared" si="195"/>
        <v>0</v>
      </c>
      <c r="LR380" s="417">
        <f>VLOOKUP($LQ$8,'Jan-2026 rates'!$H:$I,2,0)</f>
        <v>0</v>
      </c>
      <c r="LS380" s="417">
        <f t="shared" si="196"/>
        <v>0</v>
      </c>
      <c r="LT380" s="417">
        <f>VLOOKUP($LS$8,'Jan-2026 rates'!$H:$I,2,0)</f>
        <v>0</v>
      </c>
      <c r="LU380" s="417">
        <f t="shared" si="197"/>
        <v>0</v>
      </c>
      <c r="LV380" s="417">
        <f>VLOOKUP($LU$8,'Jan-2026 rates'!$H:$I,2,0)</f>
        <v>0</v>
      </c>
      <c r="LW380" s="417">
        <f t="shared" si="198"/>
        <v>0</v>
      </c>
      <c r="LX380" s="417">
        <f t="shared" si="199"/>
        <v>0</v>
      </c>
      <c r="LY380" s="418">
        <f t="shared" si="200"/>
        <v>0</v>
      </c>
      <c r="LZ380" s="417"/>
      <c r="MA380" s="435">
        <f t="shared" si="201"/>
        <v>61.6</v>
      </c>
      <c r="MB380" s="282">
        <f t="shared" si="202"/>
        <v>104.6</v>
      </c>
      <c r="MC380" s="283">
        <v>221</v>
      </c>
      <c r="MD380" s="284" t="str">
        <f t="shared" si="203"/>
        <v>FLINTSLFLINTSLFLINTSLFLINTSL</v>
      </c>
      <c r="ME380" s="293" t="str">
        <f t="shared" si="204"/>
        <v>+</v>
      </c>
      <c r="MF380" s="293" t="str">
        <f t="shared" si="205"/>
        <v>+</v>
      </c>
      <c r="MG380" s="293" t="str">
        <f t="shared" si="206"/>
        <v>+</v>
      </c>
      <c r="MH380" s="293" t="str">
        <f t="shared" si="207"/>
        <v>+</v>
      </c>
      <c r="MI380" s="293" t="str">
        <f t="shared" si="208"/>
        <v>NIL</v>
      </c>
      <c r="MJ380" s="293" t="str">
        <f t="shared" si="209"/>
        <v>NIL</v>
      </c>
      <c r="MK380" s="293" t="str">
        <f t="shared" si="210"/>
        <v>NIL</v>
      </c>
      <c r="ML380" s="293" t="str">
        <f t="shared" si="211"/>
        <v>NIL</v>
      </c>
      <c r="MM380" s="3" t="b">
        <f t="array" ref="MM380">OR(ME380:ML380="-")</f>
        <v>0</v>
      </c>
      <c r="MO380" s="401">
        <f t="shared" si="350"/>
        <v>16.42072213500785</v>
      </c>
      <c r="MP380" s="286"/>
      <c r="MR380" s="402">
        <f t="shared" si="351"/>
        <v>8.5040650406504065E-3</v>
      </c>
      <c r="MS380" s="400">
        <f t="shared" si="352"/>
        <v>0</v>
      </c>
      <c r="MT380" s="285"/>
      <c r="NH380" s="361"/>
      <c r="NJ380" s="282"/>
    </row>
    <row r="381" spans="1:374" ht="16.5">
      <c r="A381" s="403">
        <v>46052</v>
      </c>
      <c r="B381" s="404" t="s">
        <v>1015</v>
      </c>
      <c r="C381" s="405" t="s">
        <v>4894</v>
      </c>
      <c r="D381" s="404">
        <v>222</v>
      </c>
      <c r="E381" s="404">
        <v>476</v>
      </c>
      <c r="F381" s="407">
        <v>29000</v>
      </c>
      <c r="G381" s="407" t="s">
        <v>1016</v>
      </c>
      <c r="H381" s="408" t="s">
        <v>1017</v>
      </c>
      <c r="I381" s="409">
        <v>1.4</v>
      </c>
      <c r="J381" s="405" t="s">
        <v>543</v>
      </c>
      <c r="K381" s="404" t="s">
        <v>4895</v>
      </c>
      <c r="L381" s="419" t="str">
        <f t="shared" si="184"/>
        <v>FLINTSL - BLACK</v>
      </c>
      <c r="M381" s="404">
        <v>25</v>
      </c>
      <c r="N381" s="410">
        <f>IF(M381=0,0,IF($LB381=70%,VLOOKUP($L381,'Jan-2026 rates'!$L:$R,4,0),IF($LB381=65%,VLOOKUP($L381,'Jan-2026 rates'!$L:$R,4,0),IF($LB381=40%,VLOOKUP($L381,'Jan-2026 rates'!$L:$R,5,0),IF($LB381=30%,VLOOKUP($L381,'Jan-2026 rates'!$L:$R,6,0),IF($LB381=100%,VLOOKUP($L381,'Jan-2026 rates'!$L:$R,7,0),IF($LB381=60%,VLOOKUP($L381,'Jan-2026 rates'!$L:$S,8,0),IF($LB381=80%,VLOOKUP($L381,'Jan-2026 rates'!L:T,9,0),0))))))))</f>
        <v>0</v>
      </c>
      <c r="O381" s="406"/>
      <c r="P381" s="404"/>
      <c r="Q381" s="410">
        <f>IF(P381=0,0,IF($LB381=70%,VLOOKUP($L381,'Jan-2026 rates'!$L:$R,4,0),IF($LB381=65%,VLOOKUP($L381,'Jan-2026 rates'!$L:$R,4,0),IF($LB381=40%,VLOOKUP($L381,'Jan-2026 rates'!$L:$R,5,0),IF($LB381=30%,VLOOKUP($L381,'Jan-2026 rates'!$L:$R,6,0),IF($LB381=100%,VLOOKUP($L381,'Jan-2026 rates'!$L:$R,7,0),IF($LB381=60%,VLOOKUP($L381,'Jan-2026 rates'!$L:$S,8,0),IF($LB381=80%,VLOOKUP($L381,'Jan-2026 rates'!L:T,9,0),0))))))))</f>
        <v>0</v>
      </c>
      <c r="R381" s="406" t="s">
        <v>1266</v>
      </c>
      <c r="S381" s="406"/>
      <c r="T381" s="406"/>
      <c r="U381" s="406"/>
      <c r="V381" s="406"/>
      <c r="W381" s="406"/>
      <c r="X381" s="406"/>
      <c r="Y381" s="406"/>
      <c r="Z381" s="404">
        <v>3</v>
      </c>
      <c r="AA381" s="398">
        <f>IF(Z381=0,0,IF(LEN(R381)=11,_xlfn.XLOOKUP(R381,'Dispensed Ink Rates'!C:C,'Dispensed Ink Rates'!CS:CS),VLOOKUP(R381,'Jan-2026 rates'!$E:$F,2,0)))</f>
        <v>0</v>
      </c>
      <c r="AB381" s="404"/>
      <c r="AC381" s="398">
        <f>IF(AB381=0,0,IF(LEN(S381)=11,_xlfn.XLOOKUP(S381,'Dispensed Ink Rates'!C:C,'Dispensed Ink Rates'!CS:CS),VLOOKUP(S381,'Jan-2026 rates'!$E:$F,2,0)))</f>
        <v>0</v>
      </c>
      <c r="AD381" s="404"/>
      <c r="AE381" s="398">
        <f>IF(AD381=0,0,IF(LEN(T381)=11,_xlfn.XLOOKUP(T381,'Dispensed Ink Rates'!C:C,'Dispensed Ink Rates'!CS:CS),VLOOKUP(T381,'Jan-2026 rates'!$E:$F,2,0)))</f>
        <v>0</v>
      </c>
      <c r="AF381" s="404"/>
      <c r="AG381" s="398">
        <f>IF(AF381=0,0,IF(LEN(U381)=11,_xlfn.XLOOKUP(U381,'Dispensed Ink Rates'!C:C,'Dispensed Ink Rates'!CS:CS),VLOOKUP(U381,'Jan-2026 rates'!$E:$F,2,0)))</f>
        <v>0</v>
      </c>
      <c r="AH381" s="404"/>
      <c r="AI381" s="398">
        <f>IF(AH381=0,0,IF(LEN(V381)=11,_xlfn.XLOOKUP(V381,'Dispensed Ink Rates'!C:C,'Dispensed Ink Rates'!CS:CS),VLOOKUP(V381,'Jan-2026 rates'!$E:$F,2,0)))</f>
        <v>0</v>
      </c>
      <c r="AJ381" s="404"/>
      <c r="AK381" s="398">
        <f>IF(AJ381=0,0,IF(LEN(W381)=11,_xlfn.XLOOKUP(W381,'Dispensed Ink Rates'!C:C,'Dispensed Ink Rates'!CS:CS),VLOOKUP(W381,'Jan-2026 rates'!$E:$F,2,0)))</f>
        <v>0</v>
      </c>
      <c r="AL381" s="404"/>
      <c r="AM381" s="398">
        <f>IF(AL381=0,0,IF(LEN(X381)=11,_xlfn.XLOOKUP(X381,'Dispensed Ink Rates'!C:C,'Dispensed Ink Rates'!CS:CS),VLOOKUP(X381,'Jan-2026 rates'!$E:$F,2,0)))</f>
        <v>0</v>
      </c>
      <c r="AN381" s="404"/>
      <c r="AO381" s="398">
        <f>IF(AN381=0,0,IF(LEN(Y381)=11,_xlfn.XLOOKUP(Y381,'Dispensed Ink Rates'!C:C,'Dispensed Ink Rates'!CS:CS),VLOOKUP(Y381,'Jan-2026 rates'!$E:$F,2,0)))</f>
        <v>0</v>
      </c>
      <c r="AP381" s="409" t="s">
        <v>1443</v>
      </c>
      <c r="AQ381" s="409">
        <v>26</v>
      </c>
      <c r="AR381" s="410">
        <f t="shared" si="212"/>
        <v>0</v>
      </c>
      <c r="AS381" s="411">
        <f t="shared" si="213"/>
        <v>12.986842105263158</v>
      </c>
      <c r="AT381" s="410">
        <f t="shared" si="214"/>
        <v>0</v>
      </c>
      <c r="AU381" s="405" t="s">
        <v>543</v>
      </c>
      <c r="AV381" s="409" t="s">
        <v>4895</v>
      </c>
      <c r="AW381" s="420" t="str">
        <f t="shared" si="348"/>
        <v>FLINTSL - BLACK</v>
      </c>
      <c r="AX381" s="409">
        <v>21</v>
      </c>
      <c r="AY381" s="411">
        <f>IF(AX381=0,0,IF($LB381=70%,VLOOKUP($AW381,'Jan-2026 rates'!$L:$R,4,0),IF($LB381=65%,VLOOKUP($AW381,'Jan-2026 rates'!$L:$R,4,0),IF($LB381=40%,VLOOKUP($AW381,'Jan-2026 rates'!$L:$R,5,0),IF($LB381=30%,VLOOKUP($AW381,'Jan-2026 rates'!$L:$R,6,0),IF($LB381=100%,VLOOKUP($AW381,'Jan-2026 rates'!$L:$R,7,0),IF($LB381=60%,VLOOKUP($AW381,'Jan-2026 rates'!$L:$S,8,0),IF($LB381=80%,VLOOKUP($AW381,'Jan-2026 rates'!L:T,9,0),0))))))))</f>
        <v>0</v>
      </c>
      <c r="AZ381" s="412"/>
      <c r="BA381" s="409"/>
      <c r="BB381" s="411">
        <f>IF(BA381=0,0,IF($LB381=70%,VLOOKUP($AW381,'Jan-2026 rates'!$L:$R,4,0),IF($LB381=65%,VLOOKUP($AW381,'Jan-2026 rates'!$L:$R,4,0),IF($LB381=40%,VLOOKUP($AW381,'Jan-2026 rates'!$L:$R,5,0),IF($LB381=30%,VLOOKUP($AW381,'Jan-2026 rates'!$L:$R,6,0),IF($LB381=100%,VLOOKUP($AW381,'Jan-2026 rates'!$L:$R,7,0),IF($LB381=60%,VLOOKUP($AW381,'Jan-2026 rates'!$L:$S,8,0),IF($LB381=80%,VLOOKUP($AW381,'Jan-2026 rates'!L:T,9,0),0))))))))</f>
        <v>0</v>
      </c>
      <c r="BC381" s="413" t="s">
        <v>1265</v>
      </c>
      <c r="BD381" s="412">
        <v>26530000035</v>
      </c>
      <c r="BE381" s="412" t="s">
        <v>1266</v>
      </c>
      <c r="BF381" s="413"/>
      <c r="BG381" s="412"/>
      <c r="BH381" s="412"/>
      <c r="BI381" s="412"/>
      <c r="BJ381" s="412"/>
      <c r="BK381" s="409">
        <v>5</v>
      </c>
      <c r="BL381" s="398">
        <f>IF(BK381=0,0,IF(LEN(BC381)=11,_xlfn.XLOOKUP(BC381,'Dispensed Ink Rates'!C:C,'Dispensed Ink Rates'!CS:CS),VLOOKUP(BC381,'Jan-2026 rates'!$E:$F,2,0)))</f>
        <v>0</v>
      </c>
      <c r="BM381" s="409">
        <v>2</v>
      </c>
      <c r="BN381" s="398" t="e">
        <f>IF(BM381=0,0,IF(LEN(BD381)=11,_xlfn.XLOOKUP(BD381,'Dispensed Ink Rates'!C:C,'Dispensed Ink Rates'!CS:CS),VLOOKUP(BD381,'Jan-2026 rates'!$E:$F,2,0)))</f>
        <v>#N/A</v>
      </c>
      <c r="BO381" s="409">
        <v>2</v>
      </c>
      <c r="BP381" s="398">
        <f>IF(BO381=0,0,IF(LEN(BE381)=11,_xlfn.XLOOKUP(BE381,'Dispensed Ink Rates'!C:C,'Dispensed Ink Rates'!CS:CS),VLOOKUP(BE381,'Jan-2026 rates'!$E:$F,2,0)))</f>
        <v>0</v>
      </c>
      <c r="BQ381" s="409"/>
      <c r="BR381" s="398">
        <f>IF(BQ381=0,0,IF(LEN(BF381)=11,_xlfn.XLOOKUP(BF381,'Dispensed Ink Rates'!C:C,'Dispensed Ink Rates'!CS:CS),VLOOKUP(BF381,'Jan-2026 rates'!$E:$F,2,0)))</f>
        <v>0</v>
      </c>
      <c r="BS381" s="409"/>
      <c r="BT381" s="398">
        <f>IF(BS381=0,0,IF(LEN(BG381)=11,_xlfn.XLOOKUP(BG381,'Dispensed Ink Rates'!C:C,'Dispensed Ink Rates'!CS:CS),VLOOKUP(BG381,'Jan-2026 rates'!$E:$F,2,0)))</f>
        <v>0</v>
      </c>
      <c r="BU381" s="409"/>
      <c r="BV381" s="398">
        <f>IF(BU381=0,0,IF(LEN(BH381)=11,_xlfn.XLOOKUP(BH381,'Dispensed Ink Rates'!C:C,'Dispensed Ink Rates'!CS:CS),VLOOKUP(BH381,'Jan-2026 rates'!$E:$F,2,0)))</f>
        <v>0</v>
      </c>
      <c r="BW381" s="409"/>
      <c r="BX381" s="398">
        <f>IF(BW381=0,0,IF(LEN(BI381)=11,_xlfn.XLOOKUP(BI381,'Dispensed Ink Rates'!C:C,'Dispensed Ink Rates'!CS:CS),VLOOKUP(BI381,'Jan-2026 rates'!$E:$F,2,0)))</f>
        <v>0</v>
      </c>
      <c r="BY381" s="409"/>
      <c r="BZ381" s="398">
        <f>IF(BY381=0,0,IF(LEN(BJ381)=11,_xlfn.XLOOKUP(BJ381,'Dispensed Ink Rates'!C:C,'Dispensed Ink Rates'!CS:CS),VLOOKUP(BJ381,'Jan-2026 rates'!$E:$F,2,0)))</f>
        <v>0</v>
      </c>
      <c r="CA381" s="409" t="s">
        <v>1443</v>
      </c>
      <c r="CB381" s="409">
        <v>25</v>
      </c>
      <c r="CC381" s="411">
        <f t="shared" si="215"/>
        <v>0</v>
      </c>
      <c r="CD381" s="411">
        <f t="shared" si="216"/>
        <v>18.184210526315788</v>
      </c>
      <c r="CE381" s="410">
        <f t="shared" si="217"/>
        <v>0</v>
      </c>
      <c r="CF381" s="404" t="s">
        <v>828</v>
      </c>
      <c r="CG381" s="409" t="s">
        <v>4896</v>
      </c>
      <c r="CH381" s="420" t="str">
        <f t="shared" si="185"/>
        <v>FLINTSL - ORANGE</v>
      </c>
      <c r="CI381" s="409">
        <v>2</v>
      </c>
      <c r="CJ381" s="411">
        <f>IF(CI381=0,0,IF($LB381=70%,VLOOKUP($CH381,'Jan-2026 rates'!$L:$R,4,0),IF($LB381=65%,VLOOKUP($CH381,'Jan-2026 rates'!$L:$R,4,0),IF($LB381=40%,VLOOKUP($CH381,'Jan-2026 rates'!$L:$R,5,0),IF($LB381=30%,VLOOKUP($CH381,'Jan-2026 rates'!$L:$R,6,0),IF($LB381=100%,VLOOKUP($CH381,'Jan-2026 rates'!$L:$R,7,0),IF($LB381=60%,VLOOKUP($CH381,'Jan-2026 rates'!$L:$S,8,0),IF($LB381=80%,VLOOKUP($CH381,'Jan-2026 rates'!L:T,9,0),0))))))))</f>
        <v>0</v>
      </c>
      <c r="CK381" s="412"/>
      <c r="CL381" s="409"/>
      <c r="CM381" s="411">
        <f>IF(CL381=0,0,IF($LB381=70%,VLOOKUP($CH381,'Jan-2026 rates'!$L:$R,4,0),IF($LB381=65%,VLOOKUP($CH381,'Jan-2026 rates'!$L:$R,4,0),IF($LB381=40%,VLOOKUP($CH381,'Jan-2026 rates'!$L:$R,5,0),IF($LB381=30%,VLOOKUP($CH381,'Jan-2026 rates'!$L:$R,6,0),IF($LB381=100%,VLOOKUP($CH381,'Jan-2026 rates'!$L:$R,7,0),IF($LB381=60%,VLOOKUP($CH381,'Jan-2026 rates'!$L:$S,8,0),IF($LB381=80%,VLOOKUP($CH381,'Jan-2026 rates'!L:T,9,0),0))))))))</f>
        <v>0</v>
      </c>
      <c r="CN381" s="426">
        <v>26530000015</v>
      </c>
      <c r="CO381" s="427">
        <v>26529000020</v>
      </c>
      <c r="CP381" s="426">
        <v>26527000012</v>
      </c>
      <c r="CQ381" s="426"/>
      <c r="CR381" s="428"/>
      <c r="CS381" s="428"/>
      <c r="CT381" s="428"/>
      <c r="CU381" s="428"/>
      <c r="CV381" s="409">
        <v>40</v>
      </c>
      <c r="CW381" s="398" t="e">
        <f>IF(CV381=0,0,IF(LEN(CN381)=11,_xlfn.XLOOKUP(CN381,'Dispensed Ink Rates'!C:C,'Dispensed Ink Rates'!CS:CS),VLOOKUP(CN381,'Jan-2026 rates'!$E:$F,2,0)))</f>
        <v>#N/A</v>
      </c>
      <c r="CX381" s="409">
        <v>5</v>
      </c>
      <c r="CY381" s="398" t="e">
        <f>IF(CX381=0,0,IF(LEN(CO381)=11,_xlfn.XLOOKUP(CO381,'Dispensed Ink Rates'!C:C,'Dispensed Ink Rates'!CS:CS),VLOOKUP(CO381,'Jan-2026 rates'!$E:$F,2,0)))</f>
        <v>#N/A</v>
      </c>
      <c r="CZ381" s="409">
        <v>5</v>
      </c>
      <c r="DA381" s="398" t="e">
        <f>IF(CZ381=0,0,IF(LEN(CP381)=11,_xlfn.XLOOKUP(CP381,'Dispensed Ink Rates'!C:C,'Dispensed Ink Rates'!CS:CS),VLOOKUP(CP381,'Jan-2026 rates'!$E:$F,2,0)))</f>
        <v>#N/A</v>
      </c>
      <c r="DB381" s="409"/>
      <c r="DC381" s="398">
        <f>IF(DB381=0,0,IF(LEN(CQ381)=11,_xlfn.XLOOKUP(CQ381,'Dispensed Ink Rates'!C:C,'Dispensed Ink Rates'!CS:CS),VLOOKUP(CQ381,'Jan-2026 rates'!$E:$F,2,0)))</f>
        <v>0</v>
      </c>
      <c r="DD381" s="409"/>
      <c r="DE381" s="398">
        <f>IF(DD381=0,0,IF(LEN(CR381)=11,_xlfn.XLOOKUP(CR381,'Dispensed Ink Rates'!C:C,'Dispensed Ink Rates'!CS:CS),VLOOKUP(CR381,'Jan-2026 rates'!$E:$F,2,0)))</f>
        <v>0</v>
      </c>
      <c r="DF381" s="409"/>
      <c r="DG381" s="398">
        <f>IF(DF381=0,0,IF(LEN(CS381)=11,_xlfn.XLOOKUP(CS381,'Dispensed Ink Rates'!C:C,'Dispensed Ink Rates'!CS:CS),VLOOKUP(CS381,'Jan-2026 rates'!$E:$F,2,0)))</f>
        <v>0</v>
      </c>
      <c r="DH381" s="409"/>
      <c r="DI381" s="398">
        <f>IF(DH381=0,0,IF(LEN(CT381)=11,_xlfn.XLOOKUP(CT381,'Dispensed Ink Rates'!C:C,'Dispensed Ink Rates'!CS:CS),VLOOKUP(CT381,'Jan-2026 rates'!$E:$F,2,0)))</f>
        <v>0</v>
      </c>
      <c r="DJ381" s="409"/>
      <c r="DK381" s="398">
        <f>IF(DJ381=0,0,IF(LEN(CU381)=11,_xlfn.XLOOKUP(CU381,'Dispensed Ink Rates'!C:C,'Dispensed Ink Rates'!CS:CS),VLOOKUP(CU381,'Jan-2026 rates'!$E:$F,2,0)))</f>
        <v>0</v>
      </c>
      <c r="DL381" s="409" t="s">
        <v>1443</v>
      </c>
      <c r="DM381" s="409">
        <v>28</v>
      </c>
      <c r="DN381" s="411">
        <f t="shared" si="218"/>
        <v>0</v>
      </c>
      <c r="DO381" s="411">
        <f t="shared" si="219"/>
        <v>39.381578947368425</v>
      </c>
      <c r="DP381" s="410">
        <f t="shared" si="220"/>
        <v>0</v>
      </c>
      <c r="DQ381" s="405" t="s">
        <v>855</v>
      </c>
      <c r="DR381" s="409" t="s">
        <v>4897</v>
      </c>
      <c r="DS381" s="420" t="str">
        <f t="shared" si="186"/>
        <v>FLINTSL - CYAN</v>
      </c>
      <c r="DT381" s="409">
        <v>26</v>
      </c>
      <c r="DU381" s="411">
        <f>IF(DT381=0,0,IF($LB381=70%,VLOOKUP($DS381,'Jan-2026 rates'!$L:$R,4,0),IF($LB381=65%,VLOOKUP($DS381,'Jan-2026 rates'!$L:$R,4,0),IF($LB381=40%,VLOOKUP($DS381,'Jan-2026 rates'!$L:$R,5,0),IF($LB381=30%,VLOOKUP($DS381,'Jan-2026 rates'!$L:$R,6,0),IF($LB381=100%,VLOOKUP($DS381,'Jan-2026 rates'!$L:$R,7,0),IF($LB381=60%,VLOOKUP($DS381,'Jan-2026 rates'!$L:$S,8,0),IF($LB381=80%,VLOOKUP($DS381,'Jan-2026 rates'!L:T,9,0),0))))))))</f>
        <v>0</v>
      </c>
      <c r="DV381" s="412"/>
      <c r="DW381" s="409"/>
      <c r="DX381" s="411">
        <f>IF(DW381=0,0,IF($LB381=70%,VLOOKUP($DS381,'Jan-2026 rates'!$L:$R,4,0),IF($LB381=65%,VLOOKUP($DS381,'Jan-2026 rates'!$L:$R,4,0),IF($LB381=40%,VLOOKUP($DS381,'Jan-2026 rates'!$L:$R,5,0),IF($LB381=30%,VLOOKUP($DS381,'Jan-2026 rates'!$L:$R,6,0),IF($LB381=100%,VLOOKUP($DS381,'Jan-2026 rates'!$L:$R,7,0),IF($LB381=60%,VLOOKUP($DS381,'Jan-2026 rates'!$L:$S,8,0),IF($LB381=80%,VLOOKUP($DS381,'Jan-2026 rates'!L:T,9,0),0))))))))</f>
        <v>0</v>
      </c>
      <c r="DY381" s="413" t="s">
        <v>1266</v>
      </c>
      <c r="DZ381" s="413"/>
      <c r="EA381" s="412"/>
      <c r="EB381" s="412"/>
      <c r="EC381" s="412"/>
      <c r="ED381" s="412"/>
      <c r="EE381" s="412"/>
      <c r="EF381" s="412"/>
      <c r="EG381" s="409">
        <v>3</v>
      </c>
      <c r="EH381" s="398">
        <f>IF(EG381=0,0,IF(LEN(DY381)=11,_xlfn.XLOOKUP(DY381,'Dispensed Ink Rates'!C:C,'Dispensed Ink Rates'!CS:CS),VLOOKUP(DY381,'Jan-2026 rates'!$E:$F,2,0)))</f>
        <v>0</v>
      </c>
      <c r="EI381" s="409"/>
      <c r="EJ381" s="398">
        <f>IF(EI381=0,0,IF(LEN(DZ381)=11,_xlfn.XLOOKUP(DZ381,'Dispensed Ink Rates'!C:C,'Dispensed Ink Rates'!CS:CS),VLOOKUP(DZ381,'Jan-2026 rates'!$E:$F,2,0)))</f>
        <v>0</v>
      </c>
      <c r="EK381" s="409"/>
      <c r="EL381" s="398">
        <f>IF(EK381=0,0,IF(LEN(EA381)=11,_xlfn.XLOOKUP(EA381,'Dispensed Ink Rates'!C:C,'Dispensed Ink Rates'!CS:CS),VLOOKUP(EA381,'Jan-2026 rates'!$E:$F,2,0)))</f>
        <v>0</v>
      </c>
      <c r="EM381" s="409"/>
      <c r="EN381" s="398">
        <f>IF(EM381=0,0,IF(LEN(EB381)=11,_xlfn.XLOOKUP(EB381,'Dispensed Ink Rates'!C:C,'Dispensed Ink Rates'!CS:CS),VLOOKUP(EB381,'Jan-2026 rates'!$E:$F,2,0)))</f>
        <v>0</v>
      </c>
      <c r="EO381" s="409"/>
      <c r="EP381" s="398">
        <f>IF(EO381=0,0,IF(LEN(EC381)=11,_xlfn.XLOOKUP(EC381,'Dispensed Ink Rates'!C:C,'Dispensed Ink Rates'!CS:CS),VLOOKUP(EC381,'Jan-2026 rates'!$E:$F,2,0)))</f>
        <v>0</v>
      </c>
      <c r="EQ381" s="409"/>
      <c r="ER381" s="398">
        <f>IF(EQ381=0,0,IF(LEN(ED381)=11,_xlfn.XLOOKUP(ED381,'Dispensed Ink Rates'!C:C,'Dispensed Ink Rates'!CS:CS),VLOOKUP(ED381,'Jan-2026 rates'!$E:$F,2,0)))</f>
        <v>0</v>
      </c>
      <c r="ES381" s="409"/>
      <c r="ET381" s="398">
        <f>IF(ES381=0,0,IF(LEN(EE381)=11,_xlfn.XLOOKUP(EE381,'Dispensed Ink Rates'!C:C,'Dispensed Ink Rates'!CS:CS),VLOOKUP(EE381,'Jan-2026 rates'!$E:$F,2,0)))</f>
        <v>0</v>
      </c>
      <c r="EU381" s="409"/>
      <c r="EV381" s="398">
        <f>IF(EU381=0,0,IF(LEN(EF381)=11,_xlfn.XLOOKUP(EF381,'Dispensed Ink Rates'!C:C,'Dispensed Ink Rates'!CS:CS),VLOOKUP(EF381,'Jan-2026 rates'!$E:$F,2,0)))</f>
        <v>0</v>
      </c>
      <c r="EW381" s="409" t="s">
        <v>1443</v>
      </c>
      <c r="EX381" s="409">
        <v>27</v>
      </c>
      <c r="EY381" s="411">
        <f t="shared" si="221"/>
        <v>0</v>
      </c>
      <c r="EZ381" s="411">
        <f t="shared" si="222"/>
        <v>6.3947368421052602</v>
      </c>
      <c r="FA381" s="410">
        <f t="shared" si="223"/>
        <v>0</v>
      </c>
      <c r="FB381" s="405" t="s">
        <v>544</v>
      </c>
      <c r="FC381" s="409" t="s">
        <v>4898</v>
      </c>
      <c r="FD381" s="420" t="str">
        <f t="shared" si="187"/>
        <v>FLINTSL - MAGENTA</v>
      </c>
      <c r="FE381" s="409">
        <v>27</v>
      </c>
      <c r="FF381" s="411">
        <f>IF(FE381=0,0,IF($LB381=70%,VLOOKUP($FD381,'Jan-2026 rates'!$L:$R,4,0),IF($LB381=65%,VLOOKUP($FD381,'Jan-2026 rates'!$L:$R,4,0),IF($LB381=40%,VLOOKUP($FD381,'Jan-2026 rates'!$L:$R,5,0),IF($LB381=30%,VLOOKUP($FD381,'Jan-2026 rates'!$L:$R,6,0),IF($LB381=100%,VLOOKUP($FD381,'Jan-2026 rates'!$L:$R,7,0),IF($LB381=60%,VLOOKUP($FD381,'Jan-2026 rates'!$L:$S,8,0),IF($LB381=80%,VLOOKUP($FD381,'Jan-2026 rates'!L:T,9,0),0))))))))</f>
        <v>0</v>
      </c>
      <c r="FG381" s="412"/>
      <c r="FH381" s="409"/>
      <c r="FI381" s="411">
        <f>IF(FH381=0,0,IF($LB381=70%,VLOOKUP($FD381,'Jan-2026 rates'!$L:$R,4,0),IF($LB381=65%,VLOOKUP($FD381,'Jan-2026 rates'!$L:$R,4,0),IF($LB381=40%,VLOOKUP($FD381,'Jan-2026 rates'!$L:$R,5,0),IF($LB381=30%,VLOOKUP($FD381,'Jan-2026 rates'!$L:$R,6,0),IF($LB381=100%,VLOOKUP($FD381,'Jan-2026 rates'!$L:$R,7,0),IF($LB381=60%,VLOOKUP($FD381,'Jan-2026 rates'!$L:$S,8,0),IF($LB381=80%,VLOOKUP($FD381,'Jan-2026 rates'!L:T,9,0),0))))))))</f>
        <v>0</v>
      </c>
      <c r="FJ381" s="413" t="s">
        <v>1265</v>
      </c>
      <c r="FK381" s="413"/>
      <c r="FL381" s="413"/>
      <c r="FM381" s="412"/>
      <c r="FN381" s="412"/>
      <c r="FO381" s="412"/>
      <c r="FP381" s="412"/>
      <c r="FQ381" s="412"/>
      <c r="FR381" s="409">
        <v>4</v>
      </c>
      <c r="FS381" s="398">
        <f>IF(FR381=0,0,IF(LEN(FJ381)=11,_xlfn.XLOOKUP(FJ381,'Dispensed Ink Rates'!C:C,'Dispensed Ink Rates'!CS:CS),VLOOKUP(FJ381,'Jan-2026 rates'!$E:$F,2,0)))</f>
        <v>0</v>
      </c>
      <c r="FT381" s="409"/>
      <c r="FU381" s="398">
        <f>IF(FT381=0,0,IF(LEN(FK381)=11,_xlfn.XLOOKUP(FK381,'Dispensed Ink Rates'!C:C,'Dispensed Ink Rates'!CS:CS),VLOOKUP(FK381,'Jan-2026 rates'!$E:$F,2,0)))</f>
        <v>0</v>
      </c>
      <c r="FV381" s="409"/>
      <c r="FW381" s="398">
        <f>IF(FV381=0,0,IF(LEN(FL381)=11,_xlfn.XLOOKUP(FL381,'Dispensed Ink Rates'!C:C,'Dispensed Ink Rates'!CS:CS),VLOOKUP(FL381,'Jan-2026 rates'!$E:$F,2,0)))</f>
        <v>0</v>
      </c>
      <c r="FX381" s="409"/>
      <c r="FY381" s="398">
        <f>IF(FX381=0,0,IF(LEN(FM381)=11,_xlfn.XLOOKUP(FM381,'Dispensed Ink Rates'!C:C,'Dispensed Ink Rates'!CS:CS),VLOOKUP(FM381,'Jan-2026 rates'!$E:$F,2,0)))</f>
        <v>0</v>
      </c>
      <c r="FZ381" s="409"/>
      <c r="GA381" s="398">
        <f>IF(FZ381=0,0,IF(LEN(FN381)=11,_xlfn.XLOOKUP(FN381,'Dispensed Ink Rates'!C:C,'Dispensed Ink Rates'!CS:CS),VLOOKUP(FN381,'Jan-2026 rates'!$E:$F,2,0)))</f>
        <v>0</v>
      </c>
      <c r="GB381" s="409"/>
      <c r="GC381" s="398">
        <f>IF(GB381=0,0,IF(LEN(FO381)=11,_xlfn.XLOOKUP(FO381,'Dispensed Ink Rates'!C:C,'Dispensed Ink Rates'!CS:CS),VLOOKUP(FO381,'Jan-2026 rates'!$E:$F,2,0)))</f>
        <v>0</v>
      </c>
      <c r="GD381" s="409"/>
      <c r="GE381" s="398">
        <f>IF(GD381=0,0,IF(LEN(FP381)=11,_xlfn.XLOOKUP(FP381,'Dispensed Ink Rates'!C:C,'Dispensed Ink Rates'!CS:CS),VLOOKUP(FP381,'Jan-2026 rates'!$E:$F,2,0)))</f>
        <v>0</v>
      </c>
      <c r="GF381" s="409"/>
      <c r="GG381" s="398">
        <f>IF(GF381=0,0,IF(LEN(FQ381)=11,_xlfn.XLOOKUP(FQ381,'Dispensed Ink Rates'!C:C,'Dispensed Ink Rates'!CS:CS),VLOOKUP(FQ381,'Jan-2026 rates'!$E:$F,2,0)))</f>
        <v>0</v>
      </c>
      <c r="GH381" s="409" t="s">
        <v>1443</v>
      </c>
      <c r="GI381" s="409">
        <v>26</v>
      </c>
      <c r="GJ381" s="411">
        <f t="shared" si="224"/>
        <v>0</v>
      </c>
      <c r="GK381" s="411">
        <f t="shared" si="225"/>
        <v>11.592105263157897</v>
      </c>
      <c r="GL381" s="410">
        <f t="shared" si="226"/>
        <v>0</v>
      </c>
      <c r="GM381" s="405" t="s">
        <v>545</v>
      </c>
      <c r="GN381" s="409" t="s">
        <v>4899</v>
      </c>
      <c r="GO381" s="420" t="str">
        <f t="shared" si="188"/>
        <v>FLINTSL - YELLOW</v>
      </c>
      <c r="GP381" s="409">
        <v>24</v>
      </c>
      <c r="GQ381" s="411">
        <f>IF(GP381=0,0,IF($LB381=70%,VLOOKUP($GO381,'Jan-2026 rates'!$L:$R,4,0),IF($LB381=65%,VLOOKUP($GO381,'Jan-2026 rates'!$L:$R,4,0),IF($LB381=40%,VLOOKUP($GO381,'Jan-2026 rates'!$L:$R,5,0),IF($LB381=30%,VLOOKUP($GO381,'Jan-2026 rates'!$L:$R,6,0),IF($LB381=100%,VLOOKUP($GO381,'Jan-2026 rates'!$L:$R,7,0),IF($LB381=60%,VLOOKUP($GO381,'Jan-2026 rates'!$L:$S,8,0),IF($LB381=80%,VLOOKUP($GO381,'Jan-2026 rates'!L:T,9,0),0))))))))</f>
        <v>0</v>
      </c>
      <c r="GR381" s="412"/>
      <c r="GS381" s="409"/>
      <c r="GT381" s="411">
        <f>IF(GS381=0,0,IF($LB381=70%,VLOOKUP($GO381,'Jan-2026 rates'!$L:$R,4,0),IF($LB381=65%,VLOOKUP($GO381,'Jan-2026 rates'!$L:$R,4,0),IF($LB381=40%,VLOOKUP($GO381,'Jan-2026 rates'!$L:$R,5,0),IF($LB381=30%,VLOOKUP($GO381,'Jan-2026 rates'!$L:$R,6,0),IF($LB381=100%,VLOOKUP($GO381,'Jan-2026 rates'!$L:$R,7,0),IF($LB381=60%,VLOOKUP($GO381,'Jan-2026 rates'!$L:$S,8,0),IF($LB381=80%,VLOOKUP($GO381,'Jan-2026 rates'!L:T,9,0),0))))))))</f>
        <v>0</v>
      </c>
      <c r="GU381" s="413">
        <v>26529000020</v>
      </c>
      <c r="GV381" s="413"/>
      <c r="GW381" s="412"/>
      <c r="GX381" s="412"/>
      <c r="GY381" s="412"/>
      <c r="GZ381" s="412"/>
      <c r="HA381" s="412"/>
      <c r="HB381" s="412"/>
      <c r="HC381" s="409">
        <v>4</v>
      </c>
      <c r="HD381" s="398" t="e">
        <f>IF(HC381=0,0,IF(LEN(GU381)=11,_xlfn.XLOOKUP(GU381,'Dispensed Ink Rates'!C:C,'Dispensed Ink Rates'!CS:CS),VLOOKUP(GU381,'Jan-2026 rates'!$E:$F,2,0)))</f>
        <v>#N/A</v>
      </c>
      <c r="HE381" s="409"/>
      <c r="HF381" s="398">
        <f>IF(HE381=0,0,IF(LEN(GV381)=11,_xlfn.XLOOKUP(GV381,'Dispensed Ink Rates'!C:C,'Dispensed Ink Rates'!CS:CS),VLOOKUP(GV381,'Jan-2026 rates'!$E:$F,2,0)))</f>
        <v>0</v>
      </c>
      <c r="HG381" s="409"/>
      <c r="HH381" s="398">
        <f>IF(HG381=0,0,IF(LEN(GW381)=11,_xlfn.XLOOKUP(GW381,'Dispensed Ink Rates'!C:C,'Dispensed Ink Rates'!CS:CS),VLOOKUP(GW381,'Jan-2026 rates'!$E:$F,2,0)))</f>
        <v>0</v>
      </c>
      <c r="HI381" s="409"/>
      <c r="HJ381" s="398">
        <f>IF(HI381=0,0,IF(LEN(GX381)=11,_xlfn.XLOOKUP(GX381,'Dispensed Ink Rates'!C:C,'Dispensed Ink Rates'!CS:CS),VLOOKUP(GX381,'Jan-2026 rates'!$E:$F,2,0)))</f>
        <v>0</v>
      </c>
      <c r="HK381" s="409"/>
      <c r="HL381" s="398">
        <f>IF(HK381=0,0,IF(LEN(GY381)=11,_xlfn.XLOOKUP(GY381,'Dispensed Ink Rates'!C:C,'Dispensed Ink Rates'!CS:CS),VLOOKUP(GY381,'Jan-2026 rates'!$E:$F,2,0)))</f>
        <v>0</v>
      </c>
      <c r="HM381" s="409"/>
      <c r="HN381" s="398">
        <f>IF(HM381=0,0,IF(LEN(GZ381)=11,_xlfn.XLOOKUP(GZ381,'Dispensed Ink Rates'!C:C,'Dispensed Ink Rates'!CS:CS),VLOOKUP(GZ381,'Jan-2026 rates'!$E:$F,2,0)))</f>
        <v>0</v>
      </c>
      <c r="HO381" s="409"/>
      <c r="HP381" s="398">
        <f>IF(HO381=0,0,IF(LEN(HA381)=11,_xlfn.XLOOKUP(HA381,'Dispensed Ink Rates'!C:C,'Dispensed Ink Rates'!CS:CS),VLOOKUP(HA381,'Jan-2026 rates'!$E:$F,2,0)))</f>
        <v>0</v>
      </c>
      <c r="HQ381" s="409"/>
      <c r="HR381" s="398">
        <f>IF(HQ381=0,0,IF(LEN(HB381)=11,_xlfn.XLOOKUP(HB381,'Dispensed Ink Rates'!C:C,'Dispensed Ink Rates'!CS:CS),VLOOKUP(HB381,'Jan-2026 rates'!$E:$F,2,0)))</f>
        <v>0</v>
      </c>
      <c r="HS381" s="409" t="s">
        <v>1443</v>
      </c>
      <c r="HT381" s="409">
        <v>25</v>
      </c>
      <c r="HU381" s="411">
        <f t="shared" si="227"/>
        <v>0</v>
      </c>
      <c r="HV381" s="411">
        <f t="shared" si="228"/>
        <v>9.5921052631578974</v>
      </c>
      <c r="HW381" s="414">
        <f t="shared" si="229"/>
        <v>0</v>
      </c>
      <c r="HX381" s="405" t="s">
        <v>548</v>
      </c>
      <c r="HY381" s="409"/>
      <c r="HZ381" s="420" t="str">
        <f t="shared" si="189"/>
        <v>INK PRODUCT - GOLD</v>
      </c>
      <c r="IA381" s="409"/>
      <c r="IB381" s="411">
        <f>IF(IA381=0,0,IF($LB381=70%,VLOOKUP($HZ381,'Jan-2026 rates'!$L:$R,4,0),IF($LB381=65%,VLOOKUP($HZ381,'Jan-2026 rates'!$L:$R,4,0),IF($LB381=40%,VLOOKUP($HZ381,'Jan-2026 rates'!$L:$R,5,0),IF($LB381=30%,VLOOKUP($HZ381,'Jan-2026 rates'!$L:$R,6,0),IF($LB381=100%,VLOOKUP($HZ381,'Jan-2026 rates'!$L:$R,7,0),IF($LB381=60%,VLOOKUP($HZ381,'Jan-2026 rates'!$L:$S,8,0),IF($LB381=80%,VLOOKUP($HZ381,'Jan-2026 rates'!L:T,9,0),0))))))))</f>
        <v>0</v>
      </c>
      <c r="IC381" s="412"/>
      <c r="ID381" s="409"/>
      <c r="IE381" s="411">
        <f>IF(ID381=0,0,IF($LB381=70%,VLOOKUP($HZ381,'Jan-2026 rates'!$L:$R,4,0),IF($LB381=65%,VLOOKUP($HZ381,'Jan-2026 rates'!$L:$R,4,0),IF($LB381=40%,VLOOKUP($HZ381,'Jan-2026 rates'!$L:$R,5,0),IF($LB381=30%,VLOOKUP($HZ381,'Jan-2026 rates'!$L:$R,6,0),IF($LB381=100%,VLOOKUP($HZ381,'Jan-2026 rates'!$L:$R,7,0),IF($LB381=60%,VLOOKUP($HZ381,'Jan-2026 rates'!$L:$S,8,0),IF($LB381=80%,VLOOKUP($HZ381,'Jan-2026 rates'!L:T,9,0),0))))))))</f>
        <v>0</v>
      </c>
      <c r="IF381" s="412">
        <v>24161</v>
      </c>
      <c r="IG381" s="413">
        <v>70271</v>
      </c>
      <c r="IH381" s="412">
        <v>9336</v>
      </c>
      <c r="II381" s="412">
        <v>165</v>
      </c>
      <c r="IJ381" s="412"/>
      <c r="IK381" s="412"/>
      <c r="IL381" s="412"/>
      <c r="IM381" s="412"/>
      <c r="IN381" s="409">
        <v>80</v>
      </c>
      <c r="IO381" s="398">
        <f>IF(IN381=0,0,IF(LEN(IF381)=11,_xlfn.XLOOKUP(IF381,'Dispensed Ink Rates'!C:C,'Dispensed Ink Rates'!CS:CS),VLOOKUP(IF381,'Jan-2026 rates'!$E:$F,2,0)))</f>
        <v>0</v>
      </c>
      <c r="IP381" s="409">
        <f>20+10</f>
        <v>30</v>
      </c>
      <c r="IQ381" s="398">
        <f>IF(IP381=0,0,IF(LEN(IG381)=11,_xlfn.XLOOKUP(IG381,'Dispensed Ink Rates'!C:C,'Dispensed Ink Rates'!CS:CS),VLOOKUP(IG381,'Jan-2026 rates'!$E:$F,2,0)))</f>
        <v>0</v>
      </c>
      <c r="IR381" s="409">
        <f>20+10+10</f>
        <v>40</v>
      </c>
      <c r="IS381" s="398">
        <f>IF(IR381=0,0,IF(LEN(IH381)=11,_xlfn.XLOOKUP(IH381,'Dispensed Ink Rates'!C:C,'Dispensed Ink Rates'!CS:CS),VLOOKUP(IH381,'Jan-2026 rates'!$E:$F,2,0)))</f>
        <v>0</v>
      </c>
      <c r="IT381" s="409">
        <v>4.5</v>
      </c>
      <c r="IU381" s="398">
        <f>IF(IT381=0,0,IF(LEN(II381)=11,_xlfn.XLOOKUP(II381,'Dispensed Ink Rates'!C:C,'Dispensed Ink Rates'!CS:CS),VLOOKUP(II381,'Jan-2026 rates'!$E:$F,2,0)))</f>
        <v>0</v>
      </c>
      <c r="IV381" s="409"/>
      <c r="IW381" s="398">
        <f>IF(IV381=0,0,IF(LEN(IJ381)=11,_xlfn.XLOOKUP(IJ381,'Dispensed Ink Rates'!C:C,'Dispensed Ink Rates'!CS:CS),VLOOKUP(IJ381,'Jan-2026 rates'!$E:$F,2,0)))</f>
        <v>0</v>
      </c>
      <c r="IX381" s="409"/>
      <c r="IY381" s="398">
        <f>IF(IX381=0,0,IF(LEN(IK381)=11,_xlfn.XLOOKUP(IK381,'Dispensed Ink Rates'!C:C,'Dispensed Ink Rates'!CS:CS),VLOOKUP(IK381,'Jan-2026 rates'!$E:$F,2,0)))</f>
        <v>0</v>
      </c>
      <c r="IZ381" s="409"/>
      <c r="JA381" s="398">
        <f>IF(IZ381=0,0,IF(LEN(IL381)=11,_xlfn.XLOOKUP(IL381,'Dispensed Ink Rates'!C:C,'Dispensed Ink Rates'!CS:CS),VLOOKUP(IL381,'Jan-2026 rates'!$E:$F,2,0)))</f>
        <v>0</v>
      </c>
      <c r="JB381" s="409"/>
      <c r="JC381" s="398">
        <f>IF(JB381=0,0,IF(LEN(IM381)=11,_xlfn.XLOOKUP(IM381,'Dispensed Ink Rates'!C:C,'Dispensed Ink Rates'!CS:CS),VLOOKUP(IM381,'Jan-2026 rates'!$E:$F,2,0)))</f>
        <v>0</v>
      </c>
      <c r="JD381" s="409" t="s">
        <v>719</v>
      </c>
      <c r="JE381" s="409">
        <v>36</v>
      </c>
      <c r="JF381" s="411">
        <f t="shared" si="230"/>
        <v>0</v>
      </c>
      <c r="JG381" s="411">
        <f t="shared" si="231"/>
        <v>184.42105263157896</v>
      </c>
      <c r="JH381" s="410">
        <f t="shared" si="232"/>
        <v>0</v>
      </c>
      <c r="JI381" s="405" t="s">
        <v>856</v>
      </c>
      <c r="JJ381" s="409" t="s">
        <v>4900</v>
      </c>
      <c r="JK381" s="420" t="str">
        <f t="shared" si="190"/>
        <v>FLINTSL - WHITE</v>
      </c>
      <c r="JL381" s="409">
        <v>22</v>
      </c>
      <c r="JM381" s="411">
        <f>IF(JL381=0,0,IF($LB381=70%,VLOOKUP($JK381,'Jan-2026 rates'!$L:$R,4,0),IF($LB381=65%,VLOOKUP($JK381,'Jan-2026 rates'!$L:$R,4,0),IF($LB381=40%,VLOOKUP($JK381,'Jan-2026 rates'!$L:$R,5,0),IF($LB381=30%,VLOOKUP($JK381,'Jan-2026 rates'!$L:$R,6,0),IF($LB381=100%,VLOOKUP($JK381,'Jan-2026 rates'!$L:$R,7,0),IF($LB381=60%,VLOOKUP($JK381,'Jan-2026 rates'!$L:$S,8,0),IF($LB381=80%,VLOOKUP($JK381,'Jan-2026 rates'!L:T,9,0),0))))))))</f>
        <v>0</v>
      </c>
      <c r="JN381" s="412"/>
      <c r="JO381" s="409"/>
      <c r="JP381" s="411">
        <f>IF(JO381=0,0,IF($LB381=70%,VLOOKUP($JK381,'Jan-2026 rates'!$L:$R,4,0),IF($LB381=65%,VLOOKUP($JK381,'Jan-2026 rates'!$L:$R,4,0),IF($LB381=40%,VLOOKUP($JK381,'Jan-2026 rates'!$L:$R,5,0),IF($LB381=30%,VLOOKUP($JK381,'Jan-2026 rates'!$L:$R,6,0),IF($LB381=100%,VLOOKUP($JK381,'Jan-2026 rates'!$L:$R,7,0),IF($LB381=60%,VLOOKUP($JK381,'Jan-2026 rates'!$L:$S,8,0),IF($LB381=80%,VLOOKUP($JK381,'Jan-2026 rates'!L:T,9,0),0))))))))</f>
        <v>0</v>
      </c>
      <c r="JQ381" s="413" t="s">
        <v>484</v>
      </c>
      <c r="JR381" s="412"/>
      <c r="JS381" s="413"/>
      <c r="JT381" s="413"/>
      <c r="JU381" s="412"/>
      <c r="JV381" s="412"/>
      <c r="JW381" s="412"/>
      <c r="JX381" s="412"/>
      <c r="JY381" s="409">
        <v>40</v>
      </c>
      <c r="JZ381" s="398">
        <f>IF(JY381=0,0,IF(LEN(JQ381)=11,_xlfn.XLOOKUP(JQ381,'Dispensed Ink Rates'!C:C,'Dispensed Ink Rates'!CS:CS),VLOOKUP(JQ381,'Jan-2026 rates'!$E:$F,2,0)))</f>
        <v>0</v>
      </c>
      <c r="KA381" s="409"/>
      <c r="KB381" s="398">
        <f>IF(KA381=0,0,IF(LEN(JR381)=11,_xlfn.XLOOKUP(JR381,'Dispensed Ink Rates'!C:C,'Dispensed Ink Rates'!CS:CS),VLOOKUP(JR381,'Jan-2026 rates'!$E:$F,2,0)))</f>
        <v>0</v>
      </c>
      <c r="KC381" s="409"/>
      <c r="KD381" s="398">
        <f>IF(KC381=0,0,IF(LEN(JS381)=11,_xlfn.XLOOKUP(JS381,'Dispensed Ink Rates'!C:C,'Dispensed Ink Rates'!CS:CS),VLOOKUP(JS381,'Jan-2026 rates'!$E:$F,2,0)))</f>
        <v>0</v>
      </c>
      <c r="KE381" s="409"/>
      <c r="KF381" s="398">
        <f>IF(KE381=0,0,IF(LEN(JT381)=11,_xlfn.XLOOKUP(JT381,'Dispensed Ink Rates'!C:C,'Dispensed Ink Rates'!CS:CS),VLOOKUP(JT381,'Jan-2026 rates'!$E:$F,2,0)))</f>
        <v>0</v>
      </c>
      <c r="KG381" s="409"/>
      <c r="KH381" s="398">
        <f>IF(KG381=0,0,IF(LEN(JU381)=11,_xlfn.XLOOKUP(JU381,'Dispensed Ink Rates'!C:C,'Dispensed Ink Rates'!CS:CS),VLOOKUP(JU381,'Jan-2026 rates'!$E:$F,2,0)))</f>
        <v>0</v>
      </c>
      <c r="KI381" s="409"/>
      <c r="KJ381" s="398">
        <f>IF(KI381=0,0,IF(LEN(JV381)=11,_xlfn.XLOOKUP(JV381,'Dispensed Ink Rates'!C:C,'Dispensed Ink Rates'!CS:CS),VLOOKUP(JV381,'Jan-2026 rates'!$E:$F,2,0)))</f>
        <v>0</v>
      </c>
      <c r="KK381" s="409"/>
      <c r="KL381" s="398">
        <f>IF(KK381=0,0,IF(LEN(JW381)=11,_xlfn.XLOOKUP(JW381,'Dispensed Ink Rates'!C:C,'Dispensed Ink Rates'!CS:CS),VLOOKUP(JW381,'Jan-2026 rates'!$E:$F,2,0)))</f>
        <v>0</v>
      </c>
      <c r="KM381" s="428"/>
      <c r="KN381" s="398">
        <f>IF(KM381=0,0,IF(LEN(JX381)=11,_xlfn.XLOOKUP(JX381,'Dispensed Ink Rates'!C:C,'Dispensed Ink Rates'!CS:CS),VLOOKUP(JX381,'Jan-2026 rates'!$E:$F,2,0)))</f>
        <v>0</v>
      </c>
      <c r="KO381" s="409" t="s">
        <v>1443</v>
      </c>
      <c r="KP381" s="409">
        <v>24</v>
      </c>
      <c r="KQ381" s="411">
        <f t="shared" si="233"/>
        <v>0</v>
      </c>
      <c r="KR381" s="411">
        <f t="shared" si="234"/>
        <v>81.94736842105263</v>
      </c>
      <c r="KS381" s="410">
        <f t="shared" si="235"/>
        <v>0</v>
      </c>
      <c r="KT381" s="409">
        <v>5</v>
      </c>
      <c r="KU381" s="409">
        <v>6</v>
      </c>
      <c r="KV381" s="409">
        <v>7</v>
      </c>
      <c r="KW381" s="409">
        <v>2</v>
      </c>
      <c r="KX381" s="409">
        <v>3</v>
      </c>
      <c r="KY381" s="409">
        <v>3</v>
      </c>
      <c r="KZ381" s="409">
        <v>30</v>
      </c>
      <c r="LA381" s="409">
        <v>20</v>
      </c>
      <c r="LB381" s="415">
        <v>0.8</v>
      </c>
      <c r="LC381" s="415">
        <v>0.2</v>
      </c>
      <c r="LD381" s="424"/>
      <c r="LE381" s="415"/>
      <c r="LF381" s="415"/>
      <c r="LG381" s="409">
        <v>0</v>
      </c>
      <c r="LH381" s="409">
        <f>50+47+56+14</f>
        <v>167</v>
      </c>
      <c r="LI381" s="409">
        <v>0</v>
      </c>
      <c r="LJ381" s="409">
        <v>0</v>
      </c>
      <c r="LK381" s="416">
        <f t="shared" si="191"/>
        <v>167</v>
      </c>
      <c r="LL381" s="416">
        <f t="shared" si="349"/>
        <v>167</v>
      </c>
      <c r="LM381" s="417">
        <f t="shared" si="193"/>
        <v>133.6</v>
      </c>
      <c r="LN381" s="417">
        <f>VLOOKUP($LM$8,'Jan-2026 rates'!$H:$I,2,0)</f>
        <v>0</v>
      </c>
      <c r="LO381" s="417">
        <f t="shared" si="194"/>
        <v>33.4</v>
      </c>
      <c r="LP381" s="417">
        <f>VLOOKUP($LO$8,'Jan-2026 rates'!$H:$I,2,0)</f>
        <v>0</v>
      </c>
      <c r="LQ381" s="417">
        <f t="shared" si="195"/>
        <v>0</v>
      </c>
      <c r="LR381" s="417">
        <f>VLOOKUP($LQ$8,'Jan-2026 rates'!$H:$I,2,0)</f>
        <v>0</v>
      </c>
      <c r="LS381" s="417">
        <f t="shared" si="196"/>
        <v>0</v>
      </c>
      <c r="LT381" s="417">
        <f>VLOOKUP($LS$8,'Jan-2026 rates'!$H:$I,2,0)</f>
        <v>0</v>
      </c>
      <c r="LU381" s="417">
        <f t="shared" si="197"/>
        <v>0</v>
      </c>
      <c r="LV381" s="417">
        <f>VLOOKUP($LU$8,'Jan-2026 rates'!$H:$I,2,0)</f>
        <v>0</v>
      </c>
      <c r="LW381" s="417">
        <f t="shared" si="198"/>
        <v>0</v>
      </c>
      <c r="LX381" s="417">
        <f t="shared" si="199"/>
        <v>0</v>
      </c>
      <c r="LY381" s="418">
        <f t="shared" si="200"/>
        <v>0</v>
      </c>
      <c r="LZ381" s="417"/>
      <c r="MA381" s="435">
        <f t="shared" si="201"/>
        <v>267.5</v>
      </c>
      <c r="MB381" s="282">
        <f t="shared" si="202"/>
        <v>364.5</v>
      </c>
      <c r="MC381" s="283">
        <v>222</v>
      </c>
      <c r="MD381" s="284" t="str">
        <f t="shared" si="203"/>
        <v>FLINTSLFLINTSLFLINTSLFLINTSLFLINTSLFLINTSLINK PRODUCTFLINTSL</v>
      </c>
      <c r="ME381" s="293" t="str">
        <f t="shared" si="204"/>
        <v>+</v>
      </c>
      <c r="MF381" s="293" t="str">
        <f t="shared" si="205"/>
        <v>+</v>
      </c>
      <c r="MG381" s="293" t="str">
        <f t="shared" si="206"/>
        <v>+</v>
      </c>
      <c r="MH381" s="293" t="str">
        <f t="shared" si="207"/>
        <v>+</v>
      </c>
      <c r="MI381" s="293" t="str">
        <f t="shared" si="208"/>
        <v>+</v>
      </c>
      <c r="MJ381" s="293" t="str">
        <f t="shared" si="209"/>
        <v>+</v>
      </c>
      <c r="MK381" s="293" t="str">
        <f t="shared" si="210"/>
        <v>+</v>
      </c>
      <c r="ML381" s="293" t="str">
        <f t="shared" si="211"/>
        <v>+</v>
      </c>
      <c r="MM381" s="3" t="b">
        <f t="array" ref="MM381">OR(ME381:ML381="-")</f>
        <v>0</v>
      </c>
      <c r="MO381" s="401">
        <f t="shared" si="350"/>
        <v>76.575630252100851</v>
      </c>
      <c r="MP381" s="286"/>
      <c r="MR381" s="402">
        <f t="shared" si="351"/>
        <v>1.256896551724138E-2</v>
      </c>
      <c r="MS381" s="400">
        <f t="shared" si="352"/>
        <v>0</v>
      </c>
      <c r="MT381" s="285"/>
      <c r="NH381" s="361"/>
      <c r="NJ381" s="282"/>
    </row>
    <row r="382" spans="1:374" ht="16.5">
      <c r="A382" s="403">
        <v>46052</v>
      </c>
      <c r="B382" s="404" t="s">
        <v>1015</v>
      </c>
      <c r="C382" s="405" t="s">
        <v>4901</v>
      </c>
      <c r="D382" s="404">
        <v>223</v>
      </c>
      <c r="E382" s="404">
        <v>8339</v>
      </c>
      <c r="F382" s="407">
        <v>107700</v>
      </c>
      <c r="G382" s="407" t="s">
        <v>1019</v>
      </c>
      <c r="H382" s="408" t="s">
        <v>1017</v>
      </c>
      <c r="I382" s="409">
        <v>0.4</v>
      </c>
      <c r="J382" s="405" t="s">
        <v>856</v>
      </c>
      <c r="K382" s="404" t="s">
        <v>4902</v>
      </c>
      <c r="L382" s="419" t="str">
        <f t="shared" si="184"/>
        <v>FLINTSL - WHITE</v>
      </c>
      <c r="M382" s="404">
        <v>30</v>
      </c>
      <c r="N382" s="410">
        <f>IF(M382=0,0,IF($LB382=70%,VLOOKUP($L382,'Jan-2026 rates'!$L:$R,4,0),IF($LB382=65%,VLOOKUP($L382,'Jan-2026 rates'!$L:$R,4,0),IF($LB382=40%,VLOOKUP($L382,'Jan-2026 rates'!$L:$R,5,0),IF($LB382=30%,VLOOKUP($L382,'Jan-2026 rates'!$L:$R,6,0),IF($LB382=100%,VLOOKUP($L382,'Jan-2026 rates'!$L:$R,7,0),IF($LB382=60%,VLOOKUP($L382,'Jan-2026 rates'!$L:$S,8,0),IF($LB382=80%,VLOOKUP($L382,'Jan-2026 rates'!L:T,9,0),0))))))))</f>
        <v>0</v>
      </c>
      <c r="O382" s="406"/>
      <c r="P382" s="404"/>
      <c r="Q382" s="410">
        <f>IF(P382=0,0,IF($LB382=70%,VLOOKUP($L382,'Jan-2026 rates'!$L:$R,4,0),IF($LB382=65%,VLOOKUP($L382,'Jan-2026 rates'!$L:$R,4,0),IF($LB382=40%,VLOOKUP($L382,'Jan-2026 rates'!$L:$R,5,0),IF($LB382=30%,VLOOKUP($L382,'Jan-2026 rates'!$L:$R,6,0),IF($LB382=100%,VLOOKUP($L382,'Jan-2026 rates'!$L:$R,7,0),IF($LB382=60%,VLOOKUP($L382,'Jan-2026 rates'!$L:$S,8,0),IF($LB382=80%,VLOOKUP($L382,'Jan-2026 rates'!L:T,9,0),0))))))))</f>
        <v>0</v>
      </c>
      <c r="R382" s="406" t="s">
        <v>484</v>
      </c>
      <c r="S382" s="406"/>
      <c r="T382" s="406"/>
      <c r="U382" s="406"/>
      <c r="V382" s="406"/>
      <c r="W382" s="406"/>
      <c r="X382" s="406"/>
      <c r="Y382" s="406"/>
      <c r="Z382" s="404">
        <v>10</v>
      </c>
      <c r="AA382" s="398">
        <f>IF(Z382=0,0,IF(LEN(R382)=11,_xlfn.XLOOKUP(R382,'Dispensed Ink Rates'!C:C,'Dispensed Ink Rates'!CS:CS),VLOOKUP(R382,'Jan-2026 rates'!$E:$F,2,0)))</f>
        <v>0</v>
      </c>
      <c r="AB382" s="404"/>
      <c r="AC382" s="398">
        <f>IF(AB382=0,0,IF(LEN(S382)=11,_xlfn.XLOOKUP(S382,'Dispensed Ink Rates'!C:C,'Dispensed Ink Rates'!CS:CS),VLOOKUP(S382,'Jan-2026 rates'!$E:$F,2,0)))</f>
        <v>0</v>
      </c>
      <c r="AD382" s="404"/>
      <c r="AE382" s="398">
        <f>IF(AD382=0,0,IF(LEN(T382)=11,_xlfn.XLOOKUP(T382,'Dispensed Ink Rates'!C:C,'Dispensed Ink Rates'!CS:CS),VLOOKUP(T382,'Jan-2026 rates'!$E:$F,2,0)))</f>
        <v>0</v>
      </c>
      <c r="AF382" s="404"/>
      <c r="AG382" s="398">
        <f>IF(AF382=0,0,IF(LEN(U382)=11,_xlfn.XLOOKUP(U382,'Dispensed Ink Rates'!C:C,'Dispensed Ink Rates'!CS:CS),VLOOKUP(U382,'Jan-2026 rates'!$E:$F,2,0)))</f>
        <v>0</v>
      </c>
      <c r="AH382" s="404"/>
      <c r="AI382" s="398">
        <f>IF(AH382=0,0,IF(LEN(V382)=11,_xlfn.XLOOKUP(V382,'Dispensed Ink Rates'!C:C,'Dispensed Ink Rates'!CS:CS),VLOOKUP(V382,'Jan-2026 rates'!$E:$F,2,0)))</f>
        <v>0</v>
      </c>
      <c r="AJ382" s="404"/>
      <c r="AK382" s="398">
        <f>IF(AJ382=0,0,IF(LEN(W382)=11,_xlfn.XLOOKUP(W382,'Dispensed Ink Rates'!C:C,'Dispensed Ink Rates'!CS:CS),VLOOKUP(W382,'Jan-2026 rates'!$E:$F,2,0)))</f>
        <v>0</v>
      </c>
      <c r="AL382" s="404"/>
      <c r="AM382" s="398">
        <f>IF(AL382=0,0,IF(LEN(X382)=11,_xlfn.XLOOKUP(X382,'Dispensed Ink Rates'!C:C,'Dispensed Ink Rates'!CS:CS),VLOOKUP(X382,'Jan-2026 rates'!$E:$F,2,0)))</f>
        <v>0</v>
      </c>
      <c r="AN382" s="404"/>
      <c r="AO382" s="398">
        <f>IF(AN382=0,0,IF(LEN(Y382)=11,_xlfn.XLOOKUP(Y382,'Dispensed Ink Rates'!C:C,'Dispensed Ink Rates'!CS:CS),VLOOKUP(Y382,'Jan-2026 rates'!$E:$F,2,0)))</f>
        <v>0</v>
      </c>
      <c r="AP382" s="409" t="s">
        <v>1443</v>
      </c>
      <c r="AQ382" s="409">
        <v>30</v>
      </c>
      <c r="AR382" s="410">
        <f t="shared" si="212"/>
        <v>0</v>
      </c>
      <c r="AS382" s="411">
        <f t="shared" si="213"/>
        <v>35.27272727272728</v>
      </c>
      <c r="AT382" s="410">
        <f t="shared" si="214"/>
        <v>0</v>
      </c>
      <c r="AU382" s="405" t="s">
        <v>547</v>
      </c>
      <c r="AV382" s="409"/>
      <c r="AW382" s="420" t="str">
        <f t="shared" si="348"/>
        <v>FLINTSL - GREEN</v>
      </c>
      <c r="AX382" s="409"/>
      <c r="AY382" s="411">
        <f>IF(AX382=0,0,IF($LB382=70%,VLOOKUP($AW382,'Jan-2026 rates'!$L:$R,4,0),IF($LB382=65%,VLOOKUP($AW382,'Jan-2026 rates'!$L:$R,4,0),IF($LB382=40%,VLOOKUP($AW382,'Jan-2026 rates'!$L:$R,5,0),IF($LB382=30%,VLOOKUP($AW382,'Jan-2026 rates'!$L:$R,6,0),IF($LB382=100%,VLOOKUP($AW382,'Jan-2026 rates'!$L:$R,7,0),IF($LB382=60%,VLOOKUP($AW382,'Jan-2026 rates'!$L:$S,8,0),IF($LB382=80%,VLOOKUP($AW382,'Jan-2026 rates'!L:T,9,0),0))))))))</f>
        <v>0</v>
      </c>
      <c r="AZ382" s="412"/>
      <c r="BA382" s="409"/>
      <c r="BB382" s="411">
        <f>IF(BA382=0,0,IF($LB382=70%,VLOOKUP($AW382,'Jan-2026 rates'!$L:$R,4,0),IF($LB382=65%,VLOOKUP($AW382,'Jan-2026 rates'!$L:$R,4,0),IF($LB382=40%,VLOOKUP($AW382,'Jan-2026 rates'!$L:$R,5,0),IF($LB382=30%,VLOOKUP($AW382,'Jan-2026 rates'!$L:$R,6,0),IF($LB382=100%,VLOOKUP($AW382,'Jan-2026 rates'!$L:$R,7,0),IF($LB382=60%,VLOOKUP($AW382,'Jan-2026 rates'!$L:$S,8,0),IF($LB382=80%,VLOOKUP($AW382,'Jan-2026 rates'!L:T,9,0),0))))))))</f>
        <v>0</v>
      </c>
      <c r="BC382" s="413">
        <v>26529000020</v>
      </c>
      <c r="BD382" s="412">
        <v>26527000023</v>
      </c>
      <c r="BE382" s="412"/>
      <c r="BF382" s="413"/>
      <c r="BG382" s="412"/>
      <c r="BH382" s="412"/>
      <c r="BI382" s="412"/>
      <c r="BJ382" s="412"/>
      <c r="BK382" s="409">
        <f>5+15</f>
        <v>20</v>
      </c>
      <c r="BL382" s="398" t="e">
        <f>IF(BK382=0,0,IF(LEN(BC382)=11,_xlfn.XLOOKUP(BC382,'Dispensed Ink Rates'!C:C,'Dispensed Ink Rates'!CS:CS),VLOOKUP(BC382,'Jan-2026 rates'!$E:$F,2,0)))</f>
        <v>#N/A</v>
      </c>
      <c r="BM382" s="409">
        <f>2+5</f>
        <v>7</v>
      </c>
      <c r="BN382" s="398" t="e">
        <f>IF(BM382=0,0,IF(LEN(BD382)=11,_xlfn.XLOOKUP(BD382,'Dispensed Ink Rates'!C:C,'Dispensed Ink Rates'!CS:CS),VLOOKUP(BD382,'Jan-2026 rates'!$E:$F,2,0)))</f>
        <v>#N/A</v>
      </c>
      <c r="BO382" s="409"/>
      <c r="BP382" s="398">
        <f>IF(BO382=0,0,IF(LEN(BE382)=11,_xlfn.XLOOKUP(BE382,'Dispensed Ink Rates'!C:C,'Dispensed Ink Rates'!CS:CS),VLOOKUP(BE382,'Jan-2026 rates'!$E:$F,2,0)))</f>
        <v>0</v>
      </c>
      <c r="BQ382" s="409"/>
      <c r="BR382" s="398">
        <f>IF(BQ382=0,0,IF(LEN(BF382)=11,_xlfn.XLOOKUP(BF382,'Dispensed Ink Rates'!C:C,'Dispensed Ink Rates'!CS:CS),VLOOKUP(BF382,'Jan-2026 rates'!$E:$F,2,0)))</f>
        <v>0</v>
      </c>
      <c r="BS382" s="409"/>
      <c r="BT382" s="398">
        <f>IF(BS382=0,0,IF(LEN(BG382)=11,_xlfn.XLOOKUP(BG382,'Dispensed Ink Rates'!C:C,'Dispensed Ink Rates'!CS:CS),VLOOKUP(BG382,'Jan-2026 rates'!$E:$F,2,0)))</f>
        <v>0</v>
      </c>
      <c r="BU382" s="409"/>
      <c r="BV382" s="398">
        <f>IF(BU382=0,0,IF(LEN(BH382)=11,_xlfn.XLOOKUP(BH382,'Dispensed Ink Rates'!C:C,'Dispensed Ink Rates'!CS:CS),VLOOKUP(BH382,'Jan-2026 rates'!$E:$F,2,0)))</f>
        <v>0</v>
      </c>
      <c r="BW382" s="409"/>
      <c r="BX382" s="398">
        <f>IF(BW382=0,0,IF(LEN(BI382)=11,_xlfn.XLOOKUP(BI382,'Dispensed Ink Rates'!C:C,'Dispensed Ink Rates'!CS:CS),VLOOKUP(BI382,'Jan-2026 rates'!$E:$F,2,0)))</f>
        <v>0</v>
      </c>
      <c r="BY382" s="409"/>
      <c r="BZ382" s="398">
        <f>IF(BY382=0,0,IF(LEN(BJ382)=11,_xlfn.XLOOKUP(BJ382,'Dispensed Ink Rates'!C:C,'Dispensed Ink Rates'!CS:CS),VLOOKUP(BJ382,'Jan-2026 rates'!$E:$F,2,0)))</f>
        <v>0</v>
      </c>
      <c r="CA382" s="409" t="s">
        <v>1443</v>
      </c>
      <c r="CB382" s="409">
        <v>28</v>
      </c>
      <c r="CC382" s="411">
        <f t="shared" si="215"/>
        <v>0</v>
      </c>
      <c r="CD382" s="411">
        <f t="shared" si="216"/>
        <v>100.09090909090909</v>
      </c>
      <c r="CE382" s="410">
        <f t="shared" si="217"/>
        <v>0</v>
      </c>
      <c r="CF382" s="404" t="s">
        <v>547</v>
      </c>
      <c r="CG382" s="409"/>
      <c r="CH382" s="420" t="str">
        <f t="shared" si="185"/>
        <v>FLINTSL - GREEN</v>
      </c>
      <c r="CI382" s="409"/>
      <c r="CJ382" s="411">
        <f>IF(CI382=0,0,IF($LB382=70%,VLOOKUP($CH382,'Jan-2026 rates'!$L:$R,4,0),IF($LB382=65%,VLOOKUP($CH382,'Jan-2026 rates'!$L:$R,4,0),IF($LB382=40%,VLOOKUP($CH382,'Jan-2026 rates'!$L:$R,5,0),IF($LB382=30%,VLOOKUP($CH382,'Jan-2026 rates'!$L:$R,6,0),IF($LB382=100%,VLOOKUP($CH382,'Jan-2026 rates'!$L:$R,7,0),IF($LB382=60%,VLOOKUP($CH382,'Jan-2026 rates'!$L:$S,8,0),IF($LB382=80%,VLOOKUP($CH382,'Jan-2026 rates'!L:T,9,0),0))))))))</f>
        <v>0</v>
      </c>
      <c r="CK382" s="412"/>
      <c r="CL382" s="409"/>
      <c r="CM382" s="411">
        <f>IF(CL382=0,0,IF($LB382=70%,VLOOKUP($CH382,'Jan-2026 rates'!$L:$R,4,0),IF($LB382=65%,VLOOKUP($CH382,'Jan-2026 rates'!$L:$R,4,0),IF($LB382=40%,VLOOKUP($CH382,'Jan-2026 rates'!$L:$R,5,0),IF($LB382=30%,VLOOKUP($CH382,'Jan-2026 rates'!$L:$R,6,0),IF($LB382=100%,VLOOKUP($CH382,'Jan-2026 rates'!$L:$R,7,0),IF($LB382=60%,VLOOKUP($CH382,'Jan-2026 rates'!$L:$S,8,0),IF($LB382=80%,VLOOKUP($CH382,'Jan-2026 rates'!L:T,9,0),0))))))))</f>
        <v>0</v>
      </c>
      <c r="CN382" s="426">
        <v>26529000020</v>
      </c>
      <c r="CO382" s="427">
        <v>26530000023</v>
      </c>
      <c r="CP382" s="426" t="s">
        <v>477</v>
      </c>
      <c r="CQ382" s="426">
        <v>26529000021</v>
      </c>
      <c r="CR382" s="428"/>
      <c r="CS382" s="428"/>
      <c r="CT382" s="428"/>
      <c r="CU382" s="428"/>
      <c r="CV382" s="409">
        <f>2+6</f>
        <v>8</v>
      </c>
      <c r="CW382" s="398" t="e">
        <f>IF(CV382=0,0,IF(LEN(CN382)=11,_xlfn.XLOOKUP(CN382,'Dispensed Ink Rates'!C:C,'Dispensed Ink Rates'!CS:CS),VLOOKUP(CN382,'Jan-2026 rates'!$E:$F,2,0)))</f>
        <v>#N/A</v>
      </c>
      <c r="CX382" s="409">
        <f>1+1</f>
        <v>2</v>
      </c>
      <c r="CY382" s="398" t="e">
        <f>IF(CX382=0,0,IF(LEN(CO382)=11,_xlfn.XLOOKUP(CO382,'Dispensed Ink Rates'!C:C,'Dispensed Ink Rates'!CS:CS),VLOOKUP(CO382,'Jan-2026 rates'!$E:$F,2,0)))</f>
        <v>#N/A</v>
      </c>
      <c r="CZ382" s="409">
        <f>3+10+5</f>
        <v>18</v>
      </c>
      <c r="DA382" s="398">
        <f>IF(CZ382=0,0,IF(LEN(CP382)=11,_xlfn.XLOOKUP(CP382,'Dispensed Ink Rates'!C:C,'Dispensed Ink Rates'!CS:CS),VLOOKUP(CP382,'Jan-2026 rates'!$E:$F,2,0)))</f>
        <v>0</v>
      </c>
      <c r="DB382" s="409">
        <f>1+2</f>
        <v>3</v>
      </c>
      <c r="DC382" s="398" t="e">
        <f>IF(DB382=0,0,IF(LEN(CQ382)=11,_xlfn.XLOOKUP(CQ382,'Dispensed Ink Rates'!C:C,'Dispensed Ink Rates'!CS:CS),VLOOKUP(CQ382,'Jan-2026 rates'!$E:$F,2,0)))</f>
        <v>#N/A</v>
      </c>
      <c r="DD382" s="409"/>
      <c r="DE382" s="398">
        <f>IF(DD382=0,0,IF(LEN(CR382)=11,_xlfn.XLOOKUP(CR382,'Dispensed Ink Rates'!C:C,'Dispensed Ink Rates'!CS:CS),VLOOKUP(CR382,'Jan-2026 rates'!$E:$F,2,0)))</f>
        <v>0</v>
      </c>
      <c r="DF382" s="409"/>
      <c r="DG382" s="398">
        <f>IF(DF382=0,0,IF(LEN(CS382)=11,_xlfn.XLOOKUP(CS382,'Dispensed Ink Rates'!C:C,'Dispensed Ink Rates'!CS:CS),VLOOKUP(CS382,'Jan-2026 rates'!$E:$F,2,0)))</f>
        <v>0</v>
      </c>
      <c r="DH382" s="409"/>
      <c r="DI382" s="398">
        <f>IF(DH382=0,0,IF(LEN(CT382)=11,_xlfn.XLOOKUP(CT382,'Dispensed Ink Rates'!C:C,'Dispensed Ink Rates'!CS:CS),VLOOKUP(CT382,'Jan-2026 rates'!$E:$F,2,0)))</f>
        <v>0</v>
      </c>
      <c r="DJ382" s="409"/>
      <c r="DK382" s="398">
        <f>IF(DJ382=0,0,IF(LEN(CU382)=11,_xlfn.XLOOKUP(CU382,'Dispensed Ink Rates'!C:C,'Dispensed Ink Rates'!CS:CS),VLOOKUP(CU382,'Jan-2026 rates'!$E:$F,2,0)))</f>
        <v>0</v>
      </c>
      <c r="DL382" s="409" t="s">
        <v>1443</v>
      </c>
      <c r="DM382" s="409">
        <v>30</v>
      </c>
      <c r="DN382" s="411">
        <f t="shared" si="218"/>
        <v>0</v>
      </c>
      <c r="DO382" s="411">
        <f t="shared" si="219"/>
        <v>51.545454545454547</v>
      </c>
      <c r="DP382" s="410">
        <f t="shared" si="220"/>
        <v>0</v>
      </c>
      <c r="DQ382" s="405" t="s">
        <v>857</v>
      </c>
      <c r="DR382" s="409" t="s">
        <v>4903</v>
      </c>
      <c r="DS382" s="420" t="str">
        <f t="shared" si="186"/>
        <v>FLINTSL - RED</v>
      </c>
      <c r="DT382" s="409">
        <v>20</v>
      </c>
      <c r="DU382" s="411">
        <f>IF(DT382=0,0,IF($LB382=70%,VLOOKUP($DS382,'Jan-2026 rates'!$L:$R,4,0),IF($LB382=65%,VLOOKUP($DS382,'Jan-2026 rates'!$L:$R,4,0),IF($LB382=40%,VLOOKUP($DS382,'Jan-2026 rates'!$L:$R,5,0),IF($LB382=30%,VLOOKUP($DS382,'Jan-2026 rates'!$L:$R,6,0),IF($LB382=100%,VLOOKUP($DS382,'Jan-2026 rates'!$L:$R,7,0),IF($LB382=60%,VLOOKUP($DS382,'Jan-2026 rates'!$L:$S,8,0),IF($LB382=80%,VLOOKUP($DS382,'Jan-2026 rates'!L:T,9,0),0))))))))</f>
        <v>0</v>
      </c>
      <c r="DV382" s="412"/>
      <c r="DW382" s="409"/>
      <c r="DX382" s="411">
        <f>IF(DW382=0,0,IF($LB382=70%,VLOOKUP($DS382,'Jan-2026 rates'!$L:$R,4,0),IF($LB382=65%,VLOOKUP($DS382,'Jan-2026 rates'!$L:$R,4,0),IF($LB382=40%,VLOOKUP($DS382,'Jan-2026 rates'!$L:$R,5,0),IF($LB382=30%,VLOOKUP($DS382,'Jan-2026 rates'!$L:$R,6,0),IF($LB382=100%,VLOOKUP($DS382,'Jan-2026 rates'!$L:$R,7,0),IF($LB382=60%,VLOOKUP($DS382,'Jan-2026 rates'!$L:$S,8,0),IF($LB382=80%,VLOOKUP($DS382,'Jan-2026 rates'!L:T,9,0),0))))))))</f>
        <v>0</v>
      </c>
      <c r="DY382" s="413">
        <v>26530000035</v>
      </c>
      <c r="DZ382" s="413">
        <v>26527000012</v>
      </c>
      <c r="EA382" s="412" t="s">
        <v>1265</v>
      </c>
      <c r="EB382" s="412"/>
      <c r="EC382" s="412"/>
      <c r="ED382" s="412"/>
      <c r="EE382" s="412"/>
      <c r="EF382" s="412"/>
      <c r="EG382" s="409">
        <v>6</v>
      </c>
      <c r="EH382" s="398" t="e">
        <f>IF(EG382=0,0,IF(LEN(DY382)=11,_xlfn.XLOOKUP(DY382,'Dispensed Ink Rates'!C:C,'Dispensed Ink Rates'!CS:CS),VLOOKUP(DY382,'Jan-2026 rates'!$E:$F,2,0)))</f>
        <v>#N/A</v>
      </c>
      <c r="EI382" s="409">
        <v>22</v>
      </c>
      <c r="EJ382" s="398" t="e">
        <f>IF(EI382=0,0,IF(LEN(DZ382)=11,_xlfn.XLOOKUP(DZ382,'Dispensed Ink Rates'!C:C,'Dispensed Ink Rates'!CS:CS),VLOOKUP(DZ382,'Jan-2026 rates'!$E:$F,2,0)))</f>
        <v>#N/A</v>
      </c>
      <c r="EK382" s="409">
        <v>5</v>
      </c>
      <c r="EL382" s="398">
        <f>IF(EK382=0,0,IF(LEN(EA382)=11,_xlfn.XLOOKUP(EA382,'Dispensed Ink Rates'!C:C,'Dispensed Ink Rates'!CS:CS),VLOOKUP(EA382,'Jan-2026 rates'!$E:$F,2,0)))</f>
        <v>0</v>
      </c>
      <c r="EM382" s="409"/>
      <c r="EN382" s="398">
        <f>IF(EM382=0,0,IF(LEN(EB382)=11,_xlfn.XLOOKUP(EB382,'Dispensed Ink Rates'!C:C,'Dispensed Ink Rates'!CS:CS),VLOOKUP(EB382,'Jan-2026 rates'!$E:$F,2,0)))</f>
        <v>0</v>
      </c>
      <c r="EO382" s="409"/>
      <c r="EP382" s="398">
        <f>IF(EO382=0,0,IF(LEN(EC382)=11,_xlfn.XLOOKUP(EC382,'Dispensed Ink Rates'!C:C,'Dispensed Ink Rates'!CS:CS),VLOOKUP(EC382,'Jan-2026 rates'!$E:$F,2,0)))</f>
        <v>0</v>
      </c>
      <c r="EQ382" s="409"/>
      <c r="ER382" s="398">
        <f>IF(EQ382=0,0,IF(LEN(ED382)=11,_xlfn.XLOOKUP(ED382,'Dispensed Ink Rates'!C:C,'Dispensed Ink Rates'!CS:CS),VLOOKUP(ED382,'Jan-2026 rates'!$E:$F,2,0)))</f>
        <v>0</v>
      </c>
      <c r="ES382" s="409"/>
      <c r="ET382" s="398">
        <f>IF(ES382=0,0,IF(LEN(EE382)=11,_xlfn.XLOOKUP(EE382,'Dispensed Ink Rates'!C:C,'Dispensed Ink Rates'!CS:CS),VLOOKUP(EE382,'Jan-2026 rates'!$E:$F,2,0)))</f>
        <v>0</v>
      </c>
      <c r="EU382" s="409"/>
      <c r="EV382" s="398">
        <f>IF(EU382=0,0,IF(LEN(EF382)=11,_xlfn.XLOOKUP(EF382,'Dispensed Ink Rates'!C:C,'Dispensed Ink Rates'!CS:CS),VLOOKUP(EF382,'Jan-2026 rates'!$E:$F,2,0)))</f>
        <v>0</v>
      </c>
      <c r="EW382" s="409" t="s">
        <v>1443</v>
      </c>
      <c r="EX382" s="409">
        <v>30</v>
      </c>
      <c r="EY382" s="411">
        <f t="shared" si="221"/>
        <v>0</v>
      </c>
      <c r="EZ382" s="411">
        <f t="shared" si="222"/>
        <v>149.36363636363637</v>
      </c>
      <c r="FA382" s="410">
        <f t="shared" si="223"/>
        <v>0</v>
      </c>
      <c r="FB382" s="405" t="s">
        <v>546</v>
      </c>
      <c r="FC382" s="409" t="s">
        <v>4904</v>
      </c>
      <c r="FD382" s="420" t="str">
        <f t="shared" si="187"/>
        <v>FLINTSL - REFLEX BLUE</v>
      </c>
      <c r="FE382" s="409">
        <v>20</v>
      </c>
      <c r="FF382" s="411">
        <f>IF(FE382=0,0,IF($LB382=70%,VLOOKUP($FD382,'Jan-2026 rates'!$L:$R,4,0),IF($LB382=65%,VLOOKUP($FD382,'Jan-2026 rates'!$L:$R,4,0),IF($LB382=40%,VLOOKUP($FD382,'Jan-2026 rates'!$L:$R,5,0),IF($LB382=30%,VLOOKUP($FD382,'Jan-2026 rates'!$L:$R,6,0),IF($LB382=100%,VLOOKUP($FD382,'Jan-2026 rates'!$L:$R,7,0),IF($LB382=60%,VLOOKUP($FD382,'Jan-2026 rates'!$L:$S,8,0),IF($LB382=80%,VLOOKUP($FD382,'Jan-2026 rates'!L:T,9,0),0))))))))</f>
        <v>0</v>
      </c>
      <c r="FG382" s="412"/>
      <c r="FH382" s="409"/>
      <c r="FI382" s="411">
        <f>IF(FH382=0,0,IF($LB382=70%,VLOOKUP($FD382,'Jan-2026 rates'!$L:$R,4,0),IF($LB382=65%,VLOOKUP($FD382,'Jan-2026 rates'!$L:$R,4,0),IF($LB382=40%,VLOOKUP($FD382,'Jan-2026 rates'!$L:$R,5,0),IF($LB382=30%,VLOOKUP($FD382,'Jan-2026 rates'!$L:$R,6,0),IF($LB382=100%,VLOOKUP($FD382,'Jan-2026 rates'!$L:$R,7,0),IF($LB382=60%,VLOOKUP($FD382,'Jan-2026 rates'!$L:$S,8,0),IF($LB382=80%,VLOOKUP($FD382,'Jan-2026 rates'!L:T,9,0),0))))))))</f>
        <v>0</v>
      </c>
      <c r="FJ382" s="413">
        <v>26529000021</v>
      </c>
      <c r="FK382" s="413"/>
      <c r="FL382" s="413"/>
      <c r="FM382" s="412"/>
      <c r="FN382" s="412"/>
      <c r="FO382" s="412"/>
      <c r="FP382" s="412"/>
      <c r="FQ382" s="412"/>
      <c r="FR382" s="409">
        <f>12+3+7</f>
        <v>22</v>
      </c>
      <c r="FS382" s="398" t="e">
        <f>IF(FR382=0,0,IF(LEN(FJ382)=11,_xlfn.XLOOKUP(FJ382,'Dispensed Ink Rates'!C:C,'Dispensed Ink Rates'!CS:CS),VLOOKUP(FJ382,'Jan-2026 rates'!$E:$F,2,0)))</f>
        <v>#N/A</v>
      </c>
      <c r="FT382" s="409"/>
      <c r="FU382" s="398">
        <f>IF(FT382=0,0,IF(LEN(FK382)=11,_xlfn.XLOOKUP(FK382,'Dispensed Ink Rates'!C:C,'Dispensed Ink Rates'!CS:CS),VLOOKUP(FK382,'Jan-2026 rates'!$E:$F,2,0)))</f>
        <v>0</v>
      </c>
      <c r="FV382" s="409"/>
      <c r="FW382" s="398">
        <f>IF(FV382=0,0,IF(LEN(FL382)=11,_xlfn.XLOOKUP(FL382,'Dispensed Ink Rates'!C:C,'Dispensed Ink Rates'!CS:CS),VLOOKUP(FL382,'Jan-2026 rates'!$E:$F,2,0)))</f>
        <v>0</v>
      </c>
      <c r="FX382" s="409"/>
      <c r="FY382" s="398">
        <f>IF(FX382=0,0,IF(LEN(FM382)=11,_xlfn.XLOOKUP(FM382,'Dispensed Ink Rates'!C:C,'Dispensed Ink Rates'!CS:CS),VLOOKUP(FM382,'Jan-2026 rates'!$E:$F,2,0)))</f>
        <v>0</v>
      </c>
      <c r="FZ382" s="409"/>
      <c r="GA382" s="398">
        <f>IF(FZ382=0,0,IF(LEN(FN382)=11,_xlfn.XLOOKUP(FN382,'Dispensed Ink Rates'!C:C,'Dispensed Ink Rates'!CS:CS),VLOOKUP(FN382,'Jan-2026 rates'!$E:$F,2,0)))</f>
        <v>0</v>
      </c>
      <c r="GB382" s="409"/>
      <c r="GC382" s="398">
        <f>IF(GB382=0,0,IF(LEN(FO382)=11,_xlfn.XLOOKUP(FO382,'Dispensed Ink Rates'!C:C,'Dispensed Ink Rates'!CS:CS),VLOOKUP(FO382,'Jan-2026 rates'!$E:$F,2,0)))</f>
        <v>0</v>
      </c>
      <c r="GD382" s="409"/>
      <c r="GE382" s="398">
        <f>IF(GD382=0,0,IF(LEN(FP382)=11,_xlfn.XLOOKUP(FP382,'Dispensed Ink Rates'!C:C,'Dispensed Ink Rates'!CS:CS),VLOOKUP(FP382,'Jan-2026 rates'!$E:$F,2,0)))</f>
        <v>0</v>
      </c>
      <c r="GF382" s="409"/>
      <c r="GG382" s="398">
        <f>IF(GF382=0,0,IF(LEN(FQ382)=11,_xlfn.XLOOKUP(FQ382,'Dispensed Ink Rates'!C:C,'Dispensed Ink Rates'!CS:CS),VLOOKUP(FQ382,'Jan-2026 rates'!$E:$F,2,0)))</f>
        <v>0</v>
      </c>
      <c r="GH382" s="409" t="s">
        <v>1443</v>
      </c>
      <c r="GI382" s="409">
        <v>36</v>
      </c>
      <c r="GJ382" s="411">
        <f t="shared" si="224"/>
        <v>0</v>
      </c>
      <c r="GK382" s="411">
        <f t="shared" si="225"/>
        <v>81.818181818181827</v>
      </c>
      <c r="GL382" s="410">
        <f t="shared" si="226"/>
        <v>0</v>
      </c>
      <c r="GM382" s="405" t="s">
        <v>543</v>
      </c>
      <c r="GN382" s="409" t="s">
        <v>4904</v>
      </c>
      <c r="GO382" s="420" t="str">
        <f t="shared" si="188"/>
        <v>FLINTSL - BLACK</v>
      </c>
      <c r="GP382" s="409">
        <v>26</v>
      </c>
      <c r="GQ382" s="411">
        <f>IF(GP382=0,0,IF($LB382=70%,VLOOKUP($GO382,'Jan-2026 rates'!$L:$R,4,0),IF($LB382=65%,VLOOKUP($GO382,'Jan-2026 rates'!$L:$R,4,0),IF($LB382=40%,VLOOKUP($GO382,'Jan-2026 rates'!$L:$R,5,0),IF($LB382=30%,VLOOKUP($GO382,'Jan-2026 rates'!$L:$R,6,0),IF($LB382=100%,VLOOKUP($GO382,'Jan-2026 rates'!$L:$R,7,0),IF($LB382=60%,VLOOKUP($GO382,'Jan-2026 rates'!$L:$S,8,0),IF($LB382=80%,VLOOKUP($GO382,'Jan-2026 rates'!L:T,9,0),0))))))))</f>
        <v>0</v>
      </c>
      <c r="GR382" s="412"/>
      <c r="GS382" s="409"/>
      <c r="GT382" s="411">
        <f>IF(GS382=0,0,IF($LB382=70%,VLOOKUP($GO382,'Jan-2026 rates'!$L:$R,4,0),IF($LB382=65%,VLOOKUP($GO382,'Jan-2026 rates'!$L:$R,4,0),IF($LB382=40%,VLOOKUP($GO382,'Jan-2026 rates'!$L:$R,5,0),IF($LB382=30%,VLOOKUP($GO382,'Jan-2026 rates'!$L:$R,6,0),IF($LB382=100%,VLOOKUP($GO382,'Jan-2026 rates'!$L:$R,7,0),IF($LB382=60%,VLOOKUP($GO382,'Jan-2026 rates'!$L:$S,8,0),IF($LB382=80%,VLOOKUP($GO382,'Jan-2026 rates'!L:T,9,0),0))))))))</f>
        <v>0</v>
      </c>
      <c r="GU382" s="413">
        <v>26530000023</v>
      </c>
      <c r="GV382" s="413"/>
      <c r="GW382" s="412"/>
      <c r="GX382" s="412"/>
      <c r="GY382" s="412"/>
      <c r="GZ382" s="412"/>
      <c r="HA382" s="412"/>
      <c r="HB382" s="412"/>
      <c r="HC382" s="409">
        <v>6</v>
      </c>
      <c r="HD382" s="398" t="e">
        <f>IF(HC382=0,0,IF(LEN(GU382)=11,_xlfn.XLOOKUP(GU382,'Dispensed Ink Rates'!C:C,'Dispensed Ink Rates'!CS:CS),VLOOKUP(GU382,'Jan-2026 rates'!$E:$F,2,0)))</f>
        <v>#N/A</v>
      </c>
      <c r="HE382" s="409"/>
      <c r="HF382" s="398">
        <f>IF(HE382=0,0,IF(LEN(GV382)=11,_xlfn.XLOOKUP(GV382,'Dispensed Ink Rates'!C:C,'Dispensed Ink Rates'!CS:CS),VLOOKUP(GV382,'Jan-2026 rates'!$E:$F,2,0)))</f>
        <v>0</v>
      </c>
      <c r="HG382" s="409"/>
      <c r="HH382" s="398">
        <f>IF(HG382=0,0,IF(LEN(GW382)=11,_xlfn.XLOOKUP(GW382,'Dispensed Ink Rates'!C:C,'Dispensed Ink Rates'!CS:CS),VLOOKUP(GW382,'Jan-2026 rates'!$E:$F,2,0)))</f>
        <v>0</v>
      </c>
      <c r="HI382" s="409"/>
      <c r="HJ382" s="398">
        <f>IF(HI382=0,0,IF(LEN(GX382)=11,_xlfn.XLOOKUP(GX382,'Dispensed Ink Rates'!C:C,'Dispensed Ink Rates'!CS:CS),VLOOKUP(GX382,'Jan-2026 rates'!$E:$F,2,0)))</f>
        <v>0</v>
      </c>
      <c r="HK382" s="409"/>
      <c r="HL382" s="398">
        <f>IF(HK382=0,0,IF(LEN(GY382)=11,_xlfn.XLOOKUP(GY382,'Dispensed Ink Rates'!C:C,'Dispensed Ink Rates'!CS:CS),VLOOKUP(GY382,'Jan-2026 rates'!$E:$F,2,0)))</f>
        <v>0</v>
      </c>
      <c r="HM382" s="409"/>
      <c r="HN382" s="398">
        <f>IF(HM382=0,0,IF(LEN(GZ382)=11,_xlfn.XLOOKUP(GZ382,'Dispensed Ink Rates'!C:C,'Dispensed Ink Rates'!CS:CS),VLOOKUP(GZ382,'Jan-2026 rates'!$E:$F,2,0)))</f>
        <v>0</v>
      </c>
      <c r="HO382" s="409"/>
      <c r="HP382" s="398">
        <f>IF(HO382=0,0,IF(LEN(HA382)=11,_xlfn.XLOOKUP(HA382,'Dispensed Ink Rates'!C:C,'Dispensed Ink Rates'!CS:CS),VLOOKUP(HA382,'Jan-2026 rates'!$E:$F,2,0)))</f>
        <v>0</v>
      </c>
      <c r="HQ382" s="409"/>
      <c r="HR382" s="398">
        <f>IF(HQ382=0,0,IF(LEN(HB382)=11,_xlfn.XLOOKUP(HB382,'Dispensed Ink Rates'!C:C,'Dispensed Ink Rates'!CS:CS),VLOOKUP(HB382,'Jan-2026 rates'!$E:$F,2,0)))</f>
        <v>0</v>
      </c>
      <c r="HS382" s="409" t="s">
        <v>1443</v>
      </c>
      <c r="HT382" s="409">
        <v>32</v>
      </c>
      <c r="HU382" s="411">
        <f t="shared" si="227"/>
        <v>0</v>
      </c>
      <c r="HV382" s="411">
        <f t="shared" si="228"/>
        <v>37.909090909090907</v>
      </c>
      <c r="HW382" s="414">
        <f t="shared" si="229"/>
        <v>0</v>
      </c>
      <c r="HX382" s="405"/>
      <c r="HY382" s="409"/>
      <c r="HZ382" s="420" t="str">
        <f t="shared" si="189"/>
        <v xml:space="preserve"> - </v>
      </c>
      <c r="IA382" s="409"/>
      <c r="IB382" s="411">
        <f>IF(IA382=0,0,IF($LB382=70%,VLOOKUP($HZ382,'Jan-2026 rates'!$L:$R,4,0),IF($LB382=65%,VLOOKUP($HZ382,'Jan-2026 rates'!$L:$R,4,0),IF($LB382=40%,VLOOKUP($HZ382,'Jan-2026 rates'!$L:$R,5,0),IF($LB382=30%,VLOOKUP($HZ382,'Jan-2026 rates'!$L:$R,6,0),IF($LB382=100%,VLOOKUP($HZ382,'Jan-2026 rates'!$L:$R,7,0),IF($LB382=60%,VLOOKUP($HZ382,'Jan-2026 rates'!$L:$S,8,0),IF($LB382=80%,VLOOKUP($HZ382,'Jan-2026 rates'!L:T,9,0),0))))))))</f>
        <v>0</v>
      </c>
      <c r="IC382" s="412"/>
      <c r="ID382" s="409"/>
      <c r="IE382" s="411">
        <f>IF(ID382=0,0,IF($LB382=70%,VLOOKUP($HZ382,'Jan-2026 rates'!$L:$R,4,0),IF($LB382=65%,VLOOKUP($HZ382,'Jan-2026 rates'!$L:$R,4,0),IF($LB382=40%,VLOOKUP($HZ382,'Jan-2026 rates'!$L:$R,5,0),IF($LB382=30%,VLOOKUP($HZ382,'Jan-2026 rates'!$L:$R,6,0),IF($LB382=100%,VLOOKUP($HZ382,'Jan-2026 rates'!$L:$R,7,0),IF($LB382=60%,VLOOKUP($HZ382,'Jan-2026 rates'!$L:$S,8,0),IF($LB382=80%,VLOOKUP($HZ382,'Jan-2026 rates'!L:T,9,0),0))))))))</f>
        <v>0</v>
      </c>
      <c r="IF382" s="412"/>
      <c r="IG382" s="413"/>
      <c r="IH382" s="412"/>
      <c r="II382" s="412"/>
      <c r="IJ382" s="412"/>
      <c r="IK382" s="412"/>
      <c r="IL382" s="412"/>
      <c r="IM382" s="412"/>
      <c r="IN382" s="409"/>
      <c r="IO382" s="398">
        <f>IF(IN382=0,0,IF(LEN(IF382)=11,_xlfn.XLOOKUP(IF382,'Dispensed Ink Rates'!C:C,'Dispensed Ink Rates'!CS:CS),VLOOKUP(IF382,'Jan-2026 rates'!$E:$F,2,0)))</f>
        <v>0</v>
      </c>
      <c r="IP382" s="409"/>
      <c r="IQ382" s="398">
        <f>IF(IP382=0,0,IF(LEN(IG382)=11,_xlfn.XLOOKUP(IG382,'Dispensed Ink Rates'!C:C,'Dispensed Ink Rates'!CS:CS),VLOOKUP(IG382,'Jan-2026 rates'!$E:$F,2,0)))</f>
        <v>0</v>
      </c>
      <c r="IR382" s="409"/>
      <c r="IS382" s="398">
        <f>IF(IR382=0,0,IF(LEN(IH382)=11,_xlfn.XLOOKUP(IH382,'Dispensed Ink Rates'!C:C,'Dispensed Ink Rates'!CS:CS),VLOOKUP(IH382,'Jan-2026 rates'!$E:$F,2,0)))</f>
        <v>0</v>
      </c>
      <c r="IT382" s="409"/>
      <c r="IU382" s="398">
        <f>IF(IT382=0,0,IF(LEN(II382)=11,_xlfn.XLOOKUP(II382,'Dispensed Ink Rates'!C:C,'Dispensed Ink Rates'!CS:CS),VLOOKUP(II382,'Jan-2026 rates'!$E:$F,2,0)))</f>
        <v>0</v>
      </c>
      <c r="IV382" s="409"/>
      <c r="IW382" s="398">
        <f>IF(IV382=0,0,IF(LEN(IJ382)=11,_xlfn.XLOOKUP(IJ382,'Dispensed Ink Rates'!C:C,'Dispensed Ink Rates'!CS:CS),VLOOKUP(IJ382,'Jan-2026 rates'!$E:$F,2,0)))</f>
        <v>0</v>
      </c>
      <c r="IX382" s="409"/>
      <c r="IY382" s="398">
        <f>IF(IX382=0,0,IF(LEN(IK382)=11,_xlfn.XLOOKUP(IK382,'Dispensed Ink Rates'!C:C,'Dispensed Ink Rates'!CS:CS),VLOOKUP(IK382,'Jan-2026 rates'!$E:$F,2,0)))</f>
        <v>0</v>
      </c>
      <c r="IZ382" s="409"/>
      <c r="JA382" s="398">
        <f>IF(IZ382=0,0,IF(LEN(IL382)=11,_xlfn.XLOOKUP(IL382,'Dispensed Ink Rates'!C:C,'Dispensed Ink Rates'!CS:CS),VLOOKUP(IL382,'Jan-2026 rates'!$E:$F,2,0)))</f>
        <v>0</v>
      </c>
      <c r="JB382" s="409"/>
      <c r="JC382" s="398">
        <f>IF(JB382=0,0,IF(LEN(IM382)=11,_xlfn.XLOOKUP(IM382,'Dispensed Ink Rates'!C:C,'Dispensed Ink Rates'!CS:CS),VLOOKUP(IM382,'Jan-2026 rates'!$E:$F,2,0)))</f>
        <v>0</v>
      </c>
      <c r="JD382" s="409"/>
      <c r="JE382" s="409"/>
      <c r="JF382" s="411">
        <f t="shared" si="230"/>
        <v>0</v>
      </c>
      <c r="JG382" s="411">
        <f t="shared" si="231"/>
        <v>0</v>
      </c>
      <c r="JH382" s="410">
        <f t="shared" si="232"/>
        <v>0</v>
      </c>
      <c r="JI382" s="405"/>
      <c r="JJ382" s="409"/>
      <c r="JK382" s="420" t="str">
        <f t="shared" si="190"/>
        <v xml:space="preserve"> - </v>
      </c>
      <c r="JL382" s="409"/>
      <c r="JM382" s="411">
        <f>IF(JL382=0,0,IF($LB382=70%,VLOOKUP($JK382,'Jan-2026 rates'!$L:$R,4,0),IF($LB382=65%,VLOOKUP($JK382,'Jan-2026 rates'!$L:$R,4,0),IF($LB382=40%,VLOOKUP($JK382,'Jan-2026 rates'!$L:$R,5,0),IF($LB382=30%,VLOOKUP($JK382,'Jan-2026 rates'!$L:$R,6,0),IF($LB382=100%,VLOOKUP($JK382,'Jan-2026 rates'!$L:$R,7,0),IF($LB382=60%,VLOOKUP($JK382,'Jan-2026 rates'!$L:$S,8,0),IF($LB382=80%,VLOOKUP($JK382,'Jan-2026 rates'!L:T,9,0),0))))))))</f>
        <v>0</v>
      </c>
      <c r="JN382" s="412"/>
      <c r="JO382" s="409"/>
      <c r="JP382" s="411">
        <f>IF(JO382=0,0,IF($LB382=70%,VLOOKUP($JK382,'Jan-2026 rates'!$L:$R,4,0),IF($LB382=65%,VLOOKUP($JK382,'Jan-2026 rates'!$L:$R,4,0),IF($LB382=40%,VLOOKUP($JK382,'Jan-2026 rates'!$L:$R,5,0),IF($LB382=30%,VLOOKUP($JK382,'Jan-2026 rates'!$L:$R,6,0),IF($LB382=100%,VLOOKUP($JK382,'Jan-2026 rates'!$L:$R,7,0),IF($LB382=60%,VLOOKUP($JK382,'Jan-2026 rates'!$L:$S,8,0),IF($LB382=80%,VLOOKUP($JK382,'Jan-2026 rates'!L:T,9,0),0))))))))</f>
        <v>0</v>
      </c>
      <c r="JQ382" s="413"/>
      <c r="JR382" s="412"/>
      <c r="JS382" s="413"/>
      <c r="JT382" s="413"/>
      <c r="JU382" s="412"/>
      <c r="JV382" s="412"/>
      <c r="JW382" s="412"/>
      <c r="JX382" s="412"/>
      <c r="JY382" s="409"/>
      <c r="JZ382" s="398">
        <f>IF(JY382=0,0,IF(LEN(JQ382)=11,_xlfn.XLOOKUP(JQ382,'Dispensed Ink Rates'!C:C,'Dispensed Ink Rates'!CS:CS),VLOOKUP(JQ382,'Jan-2026 rates'!$E:$F,2,0)))</f>
        <v>0</v>
      </c>
      <c r="KA382" s="409"/>
      <c r="KB382" s="398">
        <f>IF(KA382=0,0,IF(LEN(JR382)=11,_xlfn.XLOOKUP(JR382,'Dispensed Ink Rates'!C:C,'Dispensed Ink Rates'!CS:CS),VLOOKUP(JR382,'Jan-2026 rates'!$E:$F,2,0)))</f>
        <v>0</v>
      </c>
      <c r="KC382" s="409"/>
      <c r="KD382" s="398">
        <f>IF(KC382=0,0,IF(LEN(JS382)=11,_xlfn.XLOOKUP(JS382,'Dispensed Ink Rates'!C:C,'Dispensed Ink Rates'!CS:CS),VLOOKUP(JS382,'Jan-2026 rates'!$E:$F,2,0)))</f>
        <v>0</v>
      </c>
      <c r="KE382" s="409"/>
      <c r="KF382" s="398">
        <f>IF(KE382=0,0,IF(LEN(JT382)=11,_xlfn.XLOOKUP(JT382,'Dispensed Ink Rates'!C:C,'Dispensed Ink Rates'!CS:CS),VLOOKUP(JT382,'Jan-2026 rates'!$E:$F,2,0)))</f>
        <v>0</v>
      </c>
      <c r="KG382" s="409"/>
      <c r="KH382" s="398">
        <f>IF(KG382=0,0,IF(LEN(JU382)=11,_xlfn.XLOOKUP(JU382,'Dispensed Ink Rates'!C:C,'Dispensed Ink Rates'!CS:CS),VLOOKUP(JU382,'Jan-2026 rates'!$E:$F,2,0)))</f>
        <v>0</v>
      </c>
      <c r="KI382" s="409"/>
      <c r="KJ382" s="398">
        <f>IF(KI382=0,0,IF(LEN(JV382)=11,_xlfn.XLOOKUP(JV382,'Dispensed Ink Rates'!C:C,'Dispensed Ink Rates'!CS:CS),VLOOKUP(JV382,'Jan-2026 rates'!$E:$F,2,0)))</f>
        <v>0</v>
      </c>
      <c r="KK382" s="409"/>
      <c r="KL382" s="398">
        <f>IF(KK382=0,0,IF(LEN(JW382)=11,_xlfn.XLOOKUP(JW382,'Dispensed Ink Rates'!C:C,'Dispensed Ink Rates'!CS:CS),VLOOKUP(JW382,'Jan-2026 rates'!$E:$F,2,0)))</f>
        <v>0</v>
      </c>
      <c r="KM382" s="428"/>
      <c r="KN382" s="398">
        <f>IF(KM382=0,0,IF(LEN(JX382)=11,_xlfn.XLOOKUP(JX382,'Dispensed Ink Rates'!C:C,'Dispensed Ink Rates'!CS:CS),VLOOKUP(JX382,'Jan-2026 rates'!$E:$F,2,0)))</f>
        <v>0</v>
      </c>
      <c r="KO382" s="409"/>
      <c r="KP382" s="409"/>
      <c r="KQ382" s="411">
        <f t="shared" si="233"/>
        <v>0</v>
      </c>
      <c r="KR382" s="411">
        <f t="shared" si="234"/>
        <v>0</v>
      </c>
      <c r="KS382" s="410">
        <f t="shared" si="235"/>
        <v>0</v>
      </c>
      <c r="KT382" s="409">
        <v>2</v>
      </c>
      <c r="KU382" s="409">
        <f>4+4</f>
        <v>8</v>
      </c>
      <c r="KV382" s="409">
        <v>4</v>
      </c>
      <c r="KW382" s="409">
        <v>10</v>
      </c>
      <c r="KX382" s="409">
        <v>6</v>
      </c>
      <c r="KY382" s="409">
        <v>3</v>
      </c>
      <c r="KZ382" s="409">
        <v>0</v>
      </c>
      <c r="LA382" s="409">
        <v>0</v>
      </c>
      <c r="LB382" s="415">
        <v>0.8</v>
      </c>
      <c r="LC382" s="415">
        <v>0.2</v>
      </c>
      <c r="LD382" s="424"/>
      <c r="LE382" s="415"/>
      <c r="LF382" s="415"/>
      <c r="LG382" s="409">
        <v>0</v>
      </c>
      <c r="LH382" s="409">
        <f>33+24+288+72</f>
        <v>417</v>
      </c>
      <c r="LI382" s="409">
        <v>0</v>
      </c>
      <c r="LJ382" s="409">
        <v>0</v>
      </c>
      <c r="LK382" s="416">
        <f t="shared" si="191"/>
        <v>417</v>
      </c>
      <c r="LL382" s="416">
        <f t="shared" si="349"/>
        <v>417</v>
      </c>
      <c r="LM382" s="417">
        <f t="shared" si="193"/>
        <v>333.6</v>
      </c>
      <c r="LN382" s="417">
        <f>VLOOKUP($LM$8,'Jan-2026 rates'!$H:$I,2,0)</f>
        <v>0</v>
      </c>
      <c r="LO382" s="417">
        <f t="shared" si="194"/>
        <v>83.4</v>
      </c>
      <c r="LP382" s="417">
        <f>VLOOKUP($LO$8,'Jan-2026 rates'!$H:$I,2,0)</f>
        <v>0</v>
      </c>
      <c r="LQ382" s="417">
        <f t="shared" si="195"/>
        <v>0</v>
      </c>
      <c r="LR382" s="417">
        <f>VLOOKUP($LQ$8,'Jan-2026 rates'!$H:$I,2,0)</f>
        <v>0</v>
      </c>
      <c r="LS382" s="417">
        <f t="shared" si="196"/>
        <v>0</v>
      </c>
      <c r="LT382" s="417">
        <f>VLOOKUP($LS$8,'Jan-2026 rates'!$H:$I,2,0)</f>
        <v>0</v>
      </c>
      <c r="LU382" s="417">
        <f t="shared" si="197"/>
        <v>0</v>
      </c>
      <c r="LV382" s="417">
        <f>VLOOKUP($LU$8,'Jan-2026 rates'!$H:$I,2,0)</f>
        <v>0</v>
      </c>
      <c r="LW382" s="417">
        <f t="shared" si="198"/>
        <v>0</v>
      </c>
      <c r="LX382" s="417">
        <f t="shared" si="199"/>
        <v>0</v>
      </c>
      <c r="LY382" s="418">
        <f t="shared" si="200"/>
        <v>0</v>
      </c>
      <c r="LZ382" s="417"/>
      <c r="MA382" s="435">
        <f t="shared" si="201"/>
        <v>129</v>
      </c>
      <c r="MB382" s="282">
        <f t="shared" si="202"/>
        <v>456</v>
      </c>
      <c r="MC382" s="283">
        <v>223</v>
      </c>
      <c r="MD382" s="284" t="str">
        <f t="shared" si="203"/>
        <v>FLINTSLFLINTSLFLINTSLFLINTSLFLINTSLFLINTSL</v>
      </c>
      <c r="ME382" s="293" t="str">
        <f t="shared" si="204"/>
        <v>+</v>
      </c>
      <c r="MF382" s="293" t="str">
        <f t="shared" si="205"/>
        <v>+</v>
      </c>
      <c r="MG382" s="293" t="str">
        <f t="shared" si="206"/>
        <v>+</v>
      </c>
      <c r="MH382" s="293" t="str">
        <f t="shared" si="207"/>
        <v>+</v>
      </c>
      <c r="MI382" s="293" t="str">
        <f t="shared" si="208"/>
        <v>+</v>
      </c>
      <c r="MJ382" s="293" t="str">
        <f t="shared" si="209"/>
        <v>+</v>
      </c>
      <c r="MK382" s="293" t="str">
        <f t="shared" si="210"/>
        <v>NIL</v>
      </c>
      <c r="ML382" s="293" t="str">
        <f t="shared" si="211"/>
        <v>NIL</v>
      </c>
      <c r="MM382" s="3" t="b">
        <f t="array" ref="MM382">OR(ME382:ML382="-")</f>
        <v>0</v>
      </c>
      <c r="MO382" s="401">
        <f t="shared" si="350"/>
        <v>5.4682815685333974</v>
      </c>
      <c r="MP382" s="286"/>
      <c r="MR382" s="402">
        <f t="shared" si="351"/>
        <v>4.2339832869080782E-3</v>
      </c>
      <c r="MS382" s="400">
        <f t="shared" si="352"/>
        <v>0</v>
      </c>
      <c r="MT382" s="285"/>
      <c r="NH382" s="361"/>
      <c r="NJ382" s="282"/>
    </row>
    <row r="383" spans="1:374" ht="16.5">
      <c r="A383" s="403">
        <v>46052</v>
      </c>
      <c r="B383" s="404" t="s">
        <v>1015</v>
      </c>
      <c r="C383" s="405" t="s">
        <v>4905</v>
      </c>
      <c r="D383" s="404">
        <v>224</v>
      </c>
      <c r="E383" s="404">
        <v>367</v>
      </c>
      <c r="F383" s="407">
        <v>22900</v>
      </c>
      <c r="G383" s="407" t="s">
        <v>1016</v>
      </c>
      <c r="H383" s="408" t="s">
        <v>1017</v>
      </c>
      <c r="I383" s="409">
        <v>1.86</v>
      </c>
      <c r="J383" s="405" t="s">
        <v>543</v>
      </c>
      <c r="K383" s="404" t="s">
        <v>4906</v>
      </c>
      <c r="L383" s="419" t="str">
        <f t="shared" si="184"/>
        <v>FLINTSL - BLACK</v>
      </c>
      <c r="M383" s="404">
        <v>26</v>
      </c>
      <c r="N383" s="410">
        <f>IF(M383=0,0,IF($LB383=70%,VLOOKUP($L383,'Jan-2026 rates'!$L:$R,4,0),IF($LB383=65%,VLOOKUP($L383,'Jan-2026 rates'!$L:$R,4,0),IF($LB383=40%,VLOOKUP($L383,'Jan-2026 rates'!$L:$R,5,0),IF($LB383=30%,VLOOKUP($L383,'Jan-2026 rates'!$L:$R,6,0),IF($LB383=100%,VLOOKUP($L383,'Jan-2026 rates'!$L:$R,7,0),IF($LB383=60%,VLOOKUP($L383,'Jan-2026 rates'!$L:$S,8,0),IF($LB383=80%,VLOOKUP($L383,'Jan-2026 rates'!L:T,9,0),0))))))))</f>
        <v>0</v>
      </c>
      <c r="O383" s="406"/>
      <c r="P383" s="404"/>
      <c r="Q383" s="410">
        <f>IF(P383=0,0,IF($LB383=70%,VLOOKUP($L383,'Jan-2026 rates'!$L:$R,4,0),IF($LB383=65%,VLOOKUP($L383,'Jan-2026 rates'!$L:$R,4,0),IF($LB383=40%,VLOOKUP($L383,'Jan-2026 rates'!$L:$R,5,0),IF($LB383=30%,VLOOKUP($L383,'Jan-2026 rates'!$L:$R,6,0),IF($LB383=100%,VLOOKUP($L383,'Jan-2026 rates'!$L:$R,7,0),IF($LB383=60%,VLOOKUP($L383,'Jan-2026 rates'!$L:$S,8,0),IF($LB383=80%,VLOOKUP($L383,'Jan-2026 rates'!L:T,9,0),0))))))))</f>
        <v>0</v>
      </c>
      <c r="R383" s="406">
        <v>26530000023</v>
      </c>
      <c r="S383" s="406"/>
      <c r="T383" s="406"/>
      <c r="U383" s="406"/>
      <c r="V383" s="406"/>
      <c r="W383" s="406"/>
      <c r="X383" s="406"/>
      <c r="Y383" s="406"/>
      <c r="Z383" s="404">
        <v>2</v>
      </c>
      <c r="AA383" s="398" t="e">
        <f>IF(Z383=0,0,IF(LEN(R383)=11,_xlfn.XLOOKUP(R383,'Dispensed Ink Rates'!C:C,'Dispensed Ink Rates'!CS:CS),VLOOKUP(R383,'Jan-2026 rates'!$E:$F,2,0)))</f>
        <v>#N/A</v>
      </c>
      <c r="AB383" s="404"/>
      <c r="AC383" s="398">
        <f>IF(AB383=0,0,IF(LEN(S383)=11,_xlfn.XLOOKUP(S383,'Dispensed Ink Rates'!C:C,'Dispensed Ink Rates'!CS:CS),VLOOKUP(S383,'Jan-2026 rates'!$E:$F,2,0)))</f>
        <v>0</v>
      </c>
      <c r="AD383" s="404"/>
      <c r="AE383" s="398">
        <f>IF(AD383=0,0,IF(LEN(T383)=11,_xlfn.XLOOKUP(T383,'Dispensed Ink Rates'!C:C,'Dispensed Ink Rates'!CS:CS),VLOOKUP(T383,'Jan-2026 rates'!$E:$F,2,0)))</f>
        <v>0</v>
      </c>
      <c r="AF383" s="404"/>
      <c r="AG383" s="398">
        <f>IF(AF383=0,0,IF(LEN(U383)=11,_xlfn.XLOOKUP(U383,'Dispensed Ink Rates'!C:C,'Dispensed Ink Rates'!CS:CS),VLOOKUP(U383,'Jan-2026 rates'!$E:$F,2,0)))</f>
        <v>0</v>
      </c>
      <c r="AH383" s="404"/>
      <c r="AI383" s="398">
        <f>IF(AH383=0,0,IF(LEN(V383)=11,_xlfn.XLOOKUP(V383,'Dispensed Ink Rates'!C:C,'Dispensed Ink Rates'!CS:CS),VLOOKUP(V383,'Jan-2026 rates'!$E:$F,2,0)))</f>
        <v>0</v>
      </c>
      <c r="AJ383" s="404"/>
      <c r="AK383" s="398">
        <f>IF(AJ383=0,0,IF(LEN(W383)=11,_xlfn.XLOOKUP(W383,'Dispensed Ink Rates'!C:C,'Dispensed Ink Rates'!CS:CS),VLOOKUP(W383,'Jan-2026 rates'!$E:$F,2,0)))</f>
        <v>0</v>
      </c>
      <c r="AL383" s="404"/>
      <c r="AM383" s="398">
        <f>IF(AL383=0,0,IF(LEN(X383)=11,_xlfn.XLOOKUP(X383,'Dispensed Ink Rates'!C:C,'Dispensed Ink Rates'!CS:CS),VLOOKUP(X383,'Jan-2026 rates'!$E:$F,2,0)))</f>
        <v>0</v>
      </c>
      <c r="AN383" s="404"/>
      <c r="AO383" s="398">
        <f>IF(AN383=0,0,IF(LEN(Y383)=11,_xlfn.XLOOKUP(Y383,'Dispensed Ink Rates'!C:C,'Dispensed Ink Rates'!CS:CS),VLOOKUP(Y383,'Jan-2026 rates'!$E:$F,2,0)))</f>
        <v>0</v>
      </c>
      <c r="AP383" s="409" t="s">
        <v>1443</v>
      </c>
      <c r="AQ383" s="409">
        <v>25</v>
      </c>
      <c r="AR383" s="410">
        <f t="shared" si="212"/>
        <v>0</v>
      </c>
      <c r="AS383" s="411">
        <f t="shared" si="213"/>
        <v>7.6808510638297847</v>
      </c>
      <c r="AT383" s="410">
        <f t="shared" si="214"/>
        <v>0</v>
      </c>
      <c r="AU383" s="405" t="s">
        <v>546</v>
      </c>
      <c r="AV383" s="409" t="s">
        <v>4904</v>
      </c>
      <c r="AW383" s="420" t="str">
        <f t="shared" si="348"/>
        <v>FLINTSL - REFLEX BLUE</v>
      </c>
      <c r="AX383" s="409">
        <v>18</v>
      </c>
      <c r="AY383" s="411">
        <f>IF(AX383=0,0,IF($LB383=70%,VLOOKUP($AW383,'Jan-2026 rates'!$L:$R,4,0),IF($LB383=65%,VLOOKUP($AW383,'Jan-2026 rates'!$L:$R,4,0),IF($LB383=40%,VLOOKUP($AW383,'Jan-2026 rates'!$L:$R,5,0),IF($LB383=30%,VLOOKUP($AW383,'Jan-2026 rates'!$L:$R,6,0),IF($LB383=100%,VLOOKUP($AW383,'Jan-2026 rates'!$L:$R,7,0),IF($LB383=60%,VLOOKUP($AW383,'Jan-2026 rates'!$L:$S,8,0),IF($LB383=80%,VLOOKUP($AW383,'Jan-2026 rates'!L:T,9,0),0))))))))</f>
        <v>0</v>
      </c>
      <c r="AZ383" s="412"/>
      <c r="BA383" s="409"/>
      <c r="BB383" s="411">
        <f>IF(BA383=0,0,IF($LB383=70%,VLOOKUP($AW383,'Jan-2026 rates'!$L:$R,4,0),IF($LB383=65%,VLOOKUP($AW383,'Jan-2026 rates'!$L:$R,4,0),IF($LB383=40%,VLOOKUP($AW383,'Jan-2026 rates'!$L:$R,5,0),IF($LB383=30%,VLOOKUP($AW383,'Jan-2026 rates'!$L:$R,6,0),IF($LB383=100%,VLOOKUP($AW383,'Jan-2026 rates'!$L:$R,7,0),IF($LB383=60%,VLOOKUP($AW383,'Jan-2026 rates'!$L:$S,8,0),IF($LB383=80%,VLOOKUP($AW383,'Jan-2026 rates'!L:T,9,0),0))))))))</f>
        <v>0</v>
      </c>
      <c r="BC383" s="413" t="s">
        <v>483</v>
      </c>
      <c r="BD383" s="412"/>
      <c r="BE383" s="412"/>
      <c r="BF383" s="413"/>
      <c r="BG383" s="412"/>
      <c r="BH383" s="412"/>
      <c r="BI383" s="412"/>
      <c r="BJ383" s="412"/>
      <c r="BK383" s="409">
        <v>5</v>
      </c>
      <c r="BL383" s="398">
        <f>IF(BK383=0,0,IF(LEN(BC383)=11,_xlfn.XLOOKUP(BC383,'Dispensed Ink Rates'!C:C,'Dispensed Ink Rates'!CS:CS),VLOOKUP(BC383,'Jan-2026 rates'!$E:$F,2,0)))</f>
        <v>0</v>
      </c>
      <c r="BM383" s="409"/>
      <c r="BN383" s="398">
        <f>IF(BM383=0,0,IF(LEN(BD383)=11,_xlfn.XLOOKUP(BD383,'Dispensed Ink Rates'!C:C,'Dispensed Ink Rates'!CS:CS),VLOOKUP(BD383,'Jan-2026 rates'!$E:$F,2,0)))</f>
        <v>0</v>
      </c>
      <c r="BO383" s="409"/>
      <c r="BP383" s="398">
        <f>IF(BO383=0,0,IF(LEN(BE383)=11,_xlfn.XLOOKUP(BE383,'Dispensed Ink Rates'!C:C,'Dispensed Ink Rates'!CS:CS),VLOOKUP(BE383,'Jan-2026 rates'!$E:$F,2,0)))</f>
        <v>0</v>
      </c>
      <c r="BQ383" s="409"/>
      <c r="BR383" s="398">
        <f>IF(BQ383=0,0,IF(LEN(BF383)=11,_xlfn.XLOOKUP(BF383,'Dispensed Ink Rates'!C:C,'Dispensed Ink Rates'!CS:CS),VLOOKUP(BF383,'Jan-2026 rates'!$E:$F,2,0)))</f>
        <v>0</v>
      </c>
      <c r="BS383" s="409"/>
      <c r="BT383" s="398">
        <f>IF(BS383=0,0,IF(LEN(BG383)=11,_xlfn.XLOOKUP(BG383,'Dispensed Ink Rates'!C:C,'Dispensed Ink Rates'!CS:CS),VLOOKUP(BG383,'Jan-2026 rates'!$E:$F,2,0)))</f>
        <v>0</v>
      </c>
      <c r="BU383" s="409"/>
      <c r="BV383" s="398">
        <f>IF(BU383=0,0,IF(LEN(BH383)=11,_xlfn.XLOOKUP(BH383,'Dispensed Ink Rates'!C:C,'Dispensed Ink Rates'!CS:CS),VLOOKUP(BH383,'Jan-2026 rates'!$E:$F,2,0)))</f>
        <v>0</v>
      </c>
      <c r="BW383" s="409"/>
      <c r="BX383" s="398">
        <f>IF(BW383=0,0,IF(LEN(BI383)=11,_xlfn.XLOOKUP(BI383,'Dispensed Ink Rates'!C:C,'Dispensed Ink Rates'!CS:CS),VLOOKUP(BI383,'Jan-2026 rates'!$E:$F,2,0)))</f>
        <v>0</v>
      </c>
      <c r="BY383" s="409"/>
      <c r="BZ383" s="398">
        <f>IF(BY383=0,0,IF(LEN(BJ383)=11,_xlfn.XLOOKUP(BJ383,'Dispensed Ink Rates'!C:C,'Dispensed Ink Rates'!CS:CS),VLOOKUP(BJ383,'Jan-2026 rates'!$E:$F,2,0)))</f>
        <v>0</v>
      </c>
      <c r="CA383" s="409" t="s">
        <v>1443</v>
      </c>
      <c r="CB383" s="409">
        <v>24</v>
      </c>
      <c r="CC383" s="411">
        <f t="shared" si="215"/>
        <v>0</v>
      </c>
      <c r="CD383" s="411">
        <f t="shared" si="216"/>
        <v>3.6808510638297882</v>
      </c>
      <c r="CE383" s="410">
        <f t="shared" si="217"/>
        <v>0</v>
      </c>
      <c r="CF383" s="404" t="s">
        <v>547</v>
      </c>
      <c r="CG383" s="409" t="s">
        <v>4907</v>
      </c>
      <c r="CH383" s="420" t="str">
        <f t="shared" si="185"/>
        <v>FLINTSL - GREEN</v>
      </c>
      <c r="CI383" s="409">
        <v>24</v>
      </c>
      <c r="CJ383" s="411">
        <f>IF(CI383=0,0,IF($LB383=70%,VLOOKUP($CH383,'Jan-2026 rates'!$L:$R,4,0),IF($LB383=65%,VLOOKUP($CH383,'Jan-2026 rates'!$L:$R,4,0),IF($LB383=40%,VLOOKUP($CH383,'Jan-2026 rates'!$L:$R,5,0),IF($LB383=30%,VLOOKUP($CH383,'Jan-2026 rates'!$L:$R,6,0),IF($LB383=100%,VLOOKUP($CH383,'Jan-2026 rates'!$L:$R,7,0),IF($LB383=60%,VLOOKUP($CH383,'Jan-2026 rates'!$L:$S,8,0),IF($LB383=80%,VLOOKUP($CH383,'Jan-2026 rates'!L:T,9,0),0))))))))</f>
        <v>0</v>
      </c>
      <c r="CK383" s="412"/>
      <c r="CL383" s="409"/>
      <c r="CM383" s="411">
        <f>IF(CL383=0,0,IF($LB383=70%,VLOOKUP($CH383,'Jan-2026 rates'!$L:$R,4,0),IF($LB383=65%,VLOOKUP($CH383,'Jan-2026 rates'!$L:$R,4,0),IF($LB383=40%,VLOOKUP($CH383,'Jan-2026 rates'!$L:$R,5,0),IF($LB383=30%,VLOOKUP($CH383,'Jan-2026 rates'!$L:$R,6,0),IF($LB383=100%,VLOOKUP($CH383,'Jan-2026 rates'!$L:$R,7,0),IF($LB383=60%,VLOOKUP($CH383,'Jan-2026 rates'!$L:$S,8,0),IF($LB383=80%,VLOOKUP($CH383,'Jan-2026 rates'!L:T,9,0),0))))))))</f>
        <v>0</v>
      </c>
      <c r="CN383" s="426">
        <v>26527000019</v>
      </c>
      <c r="CO383" s="427"/>
      <c r="CP383" s="426"/>
      <c r="CQ383" s="426"/>
      <c r="CR383" s="428"/>
      <c r="CS383" s="428"/>
      <c r="CT383" s="428"/>
      <c r="CU383" s="428"/>
      <c r="CV383" s="409">
        <v>1</v>
      </c>
      <c r="CW383" s="398" t="e">
        <f>IF(CV383=0,0,IF(LEN(CN383)=11,_xlfn.XLOOKUP(CN383,'Dispensed Ink Rates'!C:C,'Dispensed Ink Rates'!CS:CS),VLOOKUP(CN383,'Jan-2026 rates'!$E:$F,2,0)))</f>
        <v>#N/A</v>
      </c>
      <c r="CX383" s="409"/>
      <c r="CY383" s="398">
        <f>IF(CX383=0,0,IF(LEN(CO383)=11,_xlfn.XLOOKUP(CO383,'Dispensed Ink Rates'!C:C,'Dispensed Ink Rates'!CS:CS),VLOOKUP(CO383,'Jan-2026 rates'!$E:$F,2,0)))</f>
        <v>0</v>
      </c>
      <c r="CZ383" s="409"/>
      <c r="DA383" s="398">
        <f>IF(CZ383=0,0,IF(LEN(CP383)=11,_xlfn.XLOOKUP(CP383,'Dispensed Ink Rates'!C:C,'Dispensed Ink Rates'!CS:CS),VLOOKUP(CP383,'Jan-2026 rates'!$E:$F,2,0)))</f>
        <v>0</v>
      </c>
      <c r="DB383" s="409"/>
      <c r="DC383" s="398">
        <f>IF(DB383=0,0,IF(LEN(CQ383)=11,_xlfn.XLOOKUP(CQ383,'Dispensed Ink Rates'!C:C,'Dispensed Ink Rates'!CS:CS),VLOOKUP(CQ383,'Jan-2026 rates'!$E:$F,2,0)))</f>
        <v>0</v>
      </c>
      <c r="DD383" s="409"/>
      <c r="DE383" s="398">
        <f>IF(DD383=0,0,IF(LEN(CR383)=11,_xlfn.XLOOKUP(CR383,'Dispensed Ink Rates'!C:C,'Dispensed Ink Rates'!CS:CS),VLOOKUP(CR383,'Jan-2026 rates'!$E:$F,2,0)))</f>
        <v>0</v>
      </c>
      <c r="DF383" s="409"/>
      <c r="DG383" s="398">
        <f>IF(DF383=0,0,IF(LEN(CS383)=11,_xlfn.XLOOKUP(CS383,'Dispensed Ink Rates'!C:C,'Dispensed Ink Rates'!CS:CS),VLOOKUP(CS383,'Jan-2026 rates'!$E:$F,2,0)))</f>
        <v>0</v>
      </c>
      <c r="DH383" s="409"/>
      <c r="DI383" s="398">
        <f>IF(DH383=0,0,IF(LEN(CT383)=11,_xlfn.XLOOKUP(CT383,'Dispensed Ink Rates'!C:C,'Dispensed Ink Rates'!CS:CS),VLOOKUP(CT383,'Jan-2026 rates'!$E:$F,2,0)))</f>
        <v>0</v>
      </c>
      <c r="DJ383" s="409"/>
      <c r="DK383" s="398">
        <f>IF(DJ383=0,0,IF(LEN(CU383)=11,_xlfn.XLOOKUP(CU383,'Dispensed Ink Rates'!C:C,'Dispensed Ink Rates'!CS:CS),VLOOKUP(CU383,'Jan-2026 rates'!$E:$F,2,0)))</f>
        <v>0</v>
      </c>
      <c r="DL383" s="409" t="s">
        <v>1443</v>
      </c>
      <c r="DM383" s="409">
        <v>22</v>
      </c>
      <c r="DN383" s="411">
        <f t="shared" si="218"/>
        <v>0</v>
      </c>
      <c r="DO383" s="411">
        <f t="shared" si="219"/>
        <v>7.6808510638297882</v>
      </c>
      <c r="DP383" s="410">
        <f t="shared" si="220"/>
        <v>0</v>
      </c>
      <c r="DQ383" s="405" t="s">
        <v>857</v>
      </c>
      <c r="DR383" s="409"/>
      <c r="DS383" s="420" t="str">
        <f t="shared" si="186"/>
        <v>FLINTSL - RED</v>
      </c>
      <c r="DT383" s="409"/>
      <c r="DU383" s="411">
        <f>IF(DT383=0,0,IF($LB383=70%,VLOOKUP($DS383,'Jan-2026 rates'!$L:$R,4,0),IF($LB383=65%,VLOOKUP($DS383,'Jan-2026 rates'!$L:$R,4,0),IF($LB383=40%,VLOOKUP($DS383,'Jan-2026 rates'!$L:$R,5,0),IF($LB383=30%,VLOOKUP($DS383,'Jan-2026 rates'!$L:$R,6,0),IF($LB383=100%,VLOOKUP($DS383,'Jan-2026 rates'!$L:$R,7,0),IF($LB383=60%,VLOOKUP($DS383,'Jan-2026 rates'!$L:$S,8,0),IF($LB383=80%,VLOOKUP($DS383,'Jan-2026 rates'!L:T,9,0),0))))))))</f>
        <v>0</v>
      </c>
      <c r="DV383" s="412"/>
      <c r="DW383" s="409"/>
      <c r="DX383" s="411">
        <f>IF(DW383=0,0,IF($LB383=70%,VLOOKUP($DS383,'Jan-2026 rates'!$L:$R,4,0),IF($LB383=65%,VLOOKUP($DS383,'Jan-2026 rates'!$L:$R,4,0),IF($LB383=40%,VLOOKUP($DS383,'Jan-2026 rates'!$L:$R,5,0),IF($LB383=30%,VLOOKUP($DS383,'Jan-2026 rates'!$L:$R,6,0),IF($LB383=100%,VLOOKUP($DS383,'Jan-2026 rates'!$L:$R,7,0),IF($LB383=60%,VLOOKUP($DS383,'Jan-2026 rates'!$L:$S,8,0),IF($LB383=80%,VLOOKUP($DS383,'Jan-2026 rates'!L:T,9,0),0))))))))</f>
        <v>0</v>
      </c>
      <c r="DY383" s="413" t="s">
        <v>1265</v>
      </c>
      <c r="DZ383" s="413">
        <v>26527000012</v>
      </c>
      <c r="EA383" s="412"/>
      <c r="EB383" s="412"/>
      <c r="EC383" s="412"/>
      <c r="ED383" s="412"/>
      <c r="EE383" s="412"/>
      <c r="EF383" s="412"/>
      <c r="EG383" s="409">
        <v>8</v>
      </c>
      <c r="EH383" s="398">
        <f>IF(EG383=0,0,IF(LEN(DY383)=11,_xlfn.XLOOKUP(DY383,'Dispensed Ink Rates'!C:C,'Dispensed Ink Rates'!CS:CS),VLOOKUP(DY383,'Jan-2026 rates'!$E:$F,2,0)))</f>
        <v>0</v>
      </c>
      <c r="EI383" s="409">
        <v>10</v>
      </c>
      <c r="EJ383" s="398" t="e">
        <f>IF(EI383=0,0,IF(LEN(DZ383)=11,_xlfn.XLOOKUP(DZ383,'Dispensed Ink Rates'!C:C,'Dispensed Ink Rates'!CS:CS),VLOOKUP(DZ383,'Jan-2026 rates'!$E:$F,2,0)))</f>
        <v>#N/A</v>
      </c>
      <c r="EK383" s="409"/>
      <c r="EL383" s="398">
        <f>IF(EK383=0,0,IF(LEN(EA383)=11,_xlfn.XLOOKUP(EA383,'Dispensed Ink Rates'!C:C,'Dispensed Ink Rates'!CS:CS),VLOOKUP(EA383,'Jan-2026 rates'!$E:$F,2,0)))</f>
        <v>0</v>
      </c>
      <c r="EM383" s="409"/>
      <c r="EN383" s="398">
        <f>IF(EM383=0,0,IF(LEN(EB383)=11,_xlfn.XLOOKUP(EB383,'Dispensed Ink Rates'!C:C,'Dispensed Ink Rates'!CS:CS),VLOOKUP(EB383,'Jan-2026 rates'!$E:$F,2,0)))</f>
        <v>0</v>
      </c>
      <c r="EO383" s="409"/>
      <c r="EP383" s="398">
        <f>IF(EO383=0,0,IF(LEN(EC383)=11,_xlfn.XLOOKUP(EC383,'Dispensed Ink Rates'!C:C,'Dispensed Ink Rates'!CS:CS),VLOOKUP(EC383,'Jan-2026 rates'!$E:$F,2,0)))</f>
        <v>0</v>
      </c>
      <c r="EQ383" s="409"/>
      <c r="ER383" s="398">
        <f>IF(EQ383=0,0,IF(LEN(ED383)=11,_xlfn.XLOOKUP(ED383,'Dispensed Ink Rates'!C:C,'Dispensed Ink Rates'!CS:CS),VLOOKUP(ED383,'Jan-2026 rates'!$E:$F,2,0)))</f>
        <v>0</v>
      </c>
      <c r="ES383" s="409"/>
      <c r="ET383" s="398">
        <f>IF(ES383=0,0,IF(LEN(EE383)=11,_xlfn.XLOOKUP(EE383,'Dispensed Ink Rates'!C:C,'Dispensed Ink Rates'!CS:CS),VLOOKUP(EE383,'Jan-2026 rates'!$E:$F,2,0)))</f>
        <v>0</v>
      </c>
      <c r="EU383" s="409"/>
      <c r="EV383" s="398">
        <f>IF(EU383=0,0,IF(LEN(EF383)=11,_xlfn.XLOOKUP(EF383,'Dispensed Ink Rates'!C:C,'Dispensed Ink Rates'!CS:CS),VLOOKUP(EF383,'Jan-2026 rates'!$E:$F,2,0)))</f>
        <v>0</v>
      </c>
      <c r="EW383" s="409" t="s">
        <v>1443</v>
      </c>
      <c r="EX383" s="409">
        <v>24</v>
      </c>
      <c r="EY383" s="411">
        <f t="shared" si="221"/>
        <v>0</v>
      </c>
      <c r="EZ383" s="411">
        <f t="shared" si="222"/>
        <v>17.404255319148938</v>
      </c>
      <c r="FA383" s="410">
        <f t="shared" si="223"/>
        <v>0</v>
      </c>
      <c r="FB383" s="405" t="s">
        <v>855</v>
      </c>
      <c r="FC383" s="409" t="s">
        <v>3955</v>
      </c>
      <c r="FD383" s="420" t="str">
        <f t="shared" si="187"/>
        <v>FLINTSL - CYAN</v>
      </c>
      <c r="FE383" s="409">
        <v>27</v>
      </c>
      <c r="FF383" s="411">
        <f>IF(FE383=0,0,IF($LB383=70%,VLOOKUP($FD383,'Jan-2026 rates'!$L:$R,4,0),IF($LB383=65%,VLOOKUP($FD383,'Jan-2026 rates'!$L:$R,4,0),IF($LB383=40%,VLOOKUP($FD383,'Jan-2026 rates'!$L:$R,5,0),IF($LB383=30%,VLOOKUP($FD383,'Jan-2026 rates'!$L:$R,6,0),IF($LB383=100%,VLOOKUP($FD383,'Jan-2026 rates'!$L:$R,7,0),IF($LB383=60%,VLOOKUP($FD383,'Jan-2026 rates'!$L:$S,8,0),IF($LB383=80%,VLOOKUP($FD383,'Jan-2026 rates'!L:T,9,0),0))))))))</f>
        <v>0</v>
      </c>
      <c r="FG383" s="412"/>
      <c r="FH383" s="409"/>
      <c r="FI383" s="411">
        <f>IF(FH383=0,0,IF($LB383=70%,VLOOKUP($FD383,'Jan-2026 rates'!$L:$R,4,0),IF($LB383=65%,VLOOKUP($FD383,'Jan-2026 rates'!$L:$R,4,0),IF($LB383=40%,VLOOKUP($FD383,'Jan-2026 rates'!$L:$R,5,0),IF($LB383=30%,VLOOKUP($FD383,'Jan-2026 rates'!$L:$R,6,0),IF($LB383=100%,VLOOKUP($FD383,'Jan-2026 rates'!$L:$R,7,0),IF($LB383=60%,VLOOKUP($FD383,'Jan-2026 rates'!$L:$S,8,0),IF($LB383=80%,VLOOKUP($FD383,'Jan-2026 rates'!L:T,9,0),0))))))))</f>
        <v>0</v>
      </c>
      <c r="FJ383" s="413" t="s">
        <v>477</v>
      </c>
      <c r="FK383" s="413"/>
      <c r="FL383" s="413"/>
      <c r="FM383" s="412"/>
      <c r="FN383" s="412"/>
      <c r="FO383" s="412"/>
      <c r="FP383" s="412"/>
      <c r="FQ383" s="412"/>
      <c r="FR383" s="409">
        <v>10</v>
      </c>
      <c r="FS383" s="398">
        <f>IF(FR383=0,0,IF(LEN(FJ383)=11,_xlfn.XLOOKUP(FJ383,'Dispensed Ink Rates'!C:C,'Dispensed Ink Rates'!CS:CS),VLOOKUP(FJ383,'Jan-2026 rates'!$E:$F,2,0)))</f>
        <v>0</v>
      </c>
      <c r="FT383" s="409"/>
      <c r="FU383" s="398">
        <f>IF(FT383=0,0,IF(LEN(FK383)=11,_xlfn.XLOOKUP(FK383,'Dispensed Ink Rates'!C:C,'Dispensed Ink Rates'!CS:CS),VLOOKUP(FK383,'Jan-2026 rates'!$E:$F,2,0)))</f>
        <v>0</v>
      </c>
      <c r="FV383" s="409"/>
      <c r="FW383" s="398">
        <f>IF(FV383=0,0,IF(LEN(FL383)=11,_xlfn.XLOOKUP(FL383,'Dispensed Ink Rates'!C:C,'Dispensed Ink Rates'!CS:CS),VLOOKUP(FL383,'Jan-2026 rates'!$E:$F,2,0)))</f>
        <v>0</v>
      </c>
      <c r="FX383" s="409"/>
      <c r="FY383" s="398">
        <f>IF(FX383=0,0,IF(LEN(FM383)=11,_xlfn.XLOOKUP(FM383,'Dispensed Ink Rates'!C:C,'Dispensed Ink Rates'!CS:CS),VLOOKUP(FM383,'Jan-2026 rates'!$E:$F,2,0)))</f>
        <v>0</v>
      </c>
      <c r="FZ383" s="409"/>
      <c r="GA383" s="398">
        <f>IF(FZ383=0,0,IF(LEN(FN383)=11,_xlfn.XLOOKUP(FN383,'Dispensed Ink Rates'!C:C,'Dispensed Ink Rates'!CS:CS),VLOOKUP(FN383,'Jan-2026 rates'!$E:$F,2,0)))</f>
        <v>0</v>
      </c>
      <c r="GB383" s="409"/>
      <c r="GC383" s="398">
        <f>IF(GB383=0,0,IF(LEN(FO383)=11,_xlfn.XLOOKUP(FO383,'Dispensed Ink Rates'!C:C,'Dispensed Ink Rates'!CS:CS),VLOOKUP(FO383,'Jan-2026 rates'!$E:$F,2,0)))</f>
        <v>0</v>
      </c>
      <c r="GD383" s="409"/>
      <c r="GE383" s="398">
        <f>IF(GD383=0,0,IF(LEN(FP383)=11,_xlfn.XLOOKUP(FP383,'Dispensed Ink Rates'!C:C,'Dispensed Ink Rates'!CS:CS),VLOOKUP(FP383,'Jan-2026 rates'!$E:$F,2,0)))</f>
        <v>0</v>
      </c>
      <c r="GF383" s="409"/>
      <c r="GG383" s="398">
        <f>IF(GF383=0,0,IF(LEN(FQ383)=11,_xlfn.XLOOKUP(FQ383,'Dispensed Ink Rates'!C:C,'Dispensed Ink Rates'!CS:CS),VLOOKUP(FQ383,'Jan-2026 rates'!$E:$F,2,0)))</f>
        <v>0</v>
      </c>
      <c r="GH383" s="409" t="s">
        <v>1443</v>
      </c>
      <c r="GI383" s="409">
        <v>23</v>
      </c>
      <c r="GJ383" s="411">
        <f t="shared" si="224"/>
        <v>0</v>
      </c>
      <c r="GK383" s="411">
        <f t="shared" si="225"/>
        <v>18.680851063829785</v>
      </c>
      <c r="GL383" s="410">
        <f t="shared" si="226"/>
        <v>0</v>
      </c>
      <c r="GM383" s="405" t="s">
        <v>544</v>
      </c>
      <c r="GN383" s="409" t="s">
        <v>4908</v>
      </c>
      <c r="GO383" s="420" t="str">
        <f t="shared" si="188"/>
        <v>FLINTSL - MAGENTA</v>
      </c>
      <c r="GP383" s="409">
        <v>26</v>
      </c>
      <c r="GQ383" s="411">
        <f>IF(GP383=0,0,IF($LB383=70%,VLOOKUP($GO383,'Jan-2026 rates'!$L:$R,4,0),IF($LB383=65%,VLOOKUP($GO383,'Jan-2026 rates'!$L:$R,4,0),IF($LB383=40%,VLOOKUP($GO383,'Jan-2026 rates'!$L:$R,5,0),IF($LB383=30%,VLOOKUP($GO383,'Jan-2026 rates'!$L:$R,6,0),IF($LB383=100%,VLOOKUP($GO383,'Jan-2026 rates'!$L:$R,7,0),IF($LB383=60%,VLOOKUP($GO383,'Jan-2026 rates'!$L:$S,8,0),IF($LB383=80%,VLOOKUP($GO383,'Jan-2026 rates'!L:T,9,0),0))))))))</f>
        <v>0</v>
      </c>
      <c r="GR383" s="412"/>
      <c r="GS383" s="409"/>
      <c r="GT383" s="411">
        <f>IF(GS383=0,0,IF($LB383=70%,VLOOKUP($GO383,'Jan-2026 rates'!$L:$R,4,0),IF($LB383=65%,VLOOKUP($GO383,'Jan-2026 rates'!$L:$R,4,0),IF($LB383=40%,VLOOKUP($GO383,'Jan-2026 rates'!$L:$R,5,0),IF($LB383=30%,VLOOKUP($GO383,'Jan-2026 rates'!$L:$R,6,0),IF($LB383=100%,VLOOKUP($GO383,'Jan-2026 rates'!$L:$R,7,0),IF($LB383=60%,VLOOKUP($GO383,'Jan-2026 rates'!$L:$S,8,0),IF($LB383=80%,VLOOKUP($GO383,'Jan-2026 rates'!L:T,9,0),0))))))))</f>
        <v>0</v>
      </c>
      <c r="GU383" s="413" t="s">
        <v>1265</v>
      </c>
      <c r="GV383" s="413" t="s">
        <v>1266</v>
      </c>
      <c r="GW383" s="412"/>
      <c r="GX383" s="412"/>
      <c r="GY383" s="412"/>
      <c r="GZ383" s="412"/>
      <c r="HA383" s="412"/>
      <c r="HB383" s="412"/>
      <c r="HC383" s="409">
        <f>2+6</f>
        <v>8</v>
      </c>
      <c r="HD383" s="398">
        <f>IF(HC383=0,0,IF(LEN(GU383)=11,_xlfn.XLOOKUP(GU383,'Dispensed Ink Rates'!C:C,'Dispensed Ink Rates'!CS:CS),VLOOKUP(GU383,'Jan-2026 rates'!$E:$F,2,0)))</f>
        <v>0</v>
      </c>
      <c r="HE383" s="409">
        <v>8</v>
      </c>
      <c r="HF383" s="398">
        <f>IF(HE383=0,0,IF(LEN(GV383)=11,_xlfn.XLOOKUP(GV383,'Dispensed Ink Rates'!C:C,'Dispensed Ink Rates'!CS:CS),VLOOKUP(GV383,'Jan-2026 rates'!$E:$F,2,0)))</f>
        <v>0</v>
      </c>
      <c r="HG383" s="409"/>
      <c r="HH383" s="398">
        <f>IF(HG383=0,0,IF(LEN(GW383)=11,_xlfn.XLOOKUP(GW383,'Dispensed Ink Rates'!C:C,'Dispensed Ink Rates'!CS:CS),VLOOKUP(GW383,'Jan-2026 rates'!$E:$F,2,0)))</f>
        <v>0</v>
      </c>
      <c r="HI383" s="409"/>
      <c r="HJ383" s="398">
        <f>IF(HI383=0,0,IF(LEN(GX383)=11,_xlfn.XLOOKUP(GX383,'Dispensed Ink Rates'!C:C,'Dispensed Ink Rates'!CS:CS),VLOOKUP(GX383,'Jan-2026 rates'!$E:$F,2,0)))</f>
        <v>0</v>
      </c>
      <c r="HK383" s="409"/>
      <c r="HL383" s="398">
        <f>IF(HK383=0,0,IF(LEN(GY383)=11,_xlfn.XLOOKUP(GY383,'Dispensed Ink Rates'!C:C,'Dispensed Ink Rates'!CS:CS),VLOOKUP(GY383,'Jan-2026 rates'!$E:$F,2,0)))</f>
        <v>0</v>
      </c>
      <c r="HM383" s="409"/>
      <c r="HN383" s="398">
        <f>IF(HM383=0,0,IF(LEN(GZ383)=11,_xlfn.XLOOKUP(GZ383,'Dispensed Ink Rates'!C:C,'Dispensed Ink Rates'!CS:CS),VLOOKUP(GZ383,'Jan-2026 rates'!$E:$F,2,0)))</f>
        <v>0</v>
      </c>
      <c r="HO383" s="409"/>
      <c r="HP383" s="398">
        <f>IF(HO383=0,0,IF(LEN(HA383)=11,_xlfn.XLOOKUP(HA383,'Dispensed Ink Rates'!C:C,'Dispensed Ink Rates'!CS:CS),VLOOKUP(HA383,'Jan-2026 rates'!$E:$F,2,0)))</f>
        <v>0</v>
      </c>
      <c r="HQ383" s="409"/>
      <c r="HR383" s="398">
        <f>IF(HQ383=0,0,IF(LEN(HB383)=11,_xlfn.XLOOKUP(HB383,'Dispensed Ink Rates'!C:C,'Dispensed Ink Rates'!CS:CS),VLOOKUP(HB383,'Jan-2026 rates'!$E:$F,2,0)))</f>
        <v>0</v>
      </c>
      <c r="HS383" s="409" t="s">
        <v>1443</v>
      </c>
      <c r="HT383" s="409">
        <v>22</v>
      </c>
      <c r="HU383" s="411">
        <f t="shared" si="227"/>
        <v>0</v>
      </c>
      <c r="HV383" s="411">
        <f t="shared" si="228"/>
        <v>31.702127659574472</v>
      </c>
      <c r="HW383" s="414">
        <f t="shared" si="229"/>
        <v>0</v>
      </c>
      <c r="HX383" s="405" t="s">
        <v>545</v>
      </c>
      <c r="HY383" s="409" t="s">
        <v>4909</v>
      </c>
      <c r="HZ383" s="420" t="str">
        <f t="shared" si="189"/>
        <v>FLINTSL - YELLOW</v>
      </c>
      <c r="IA383" s="409">
        <v>25</v>
      </c>
      <c r="IB383" s="411">
        <f>IF(IA383=0,0,IF($LB383=70%,VLOOKUP($HZ383,'Jan-2026 rates'!$L:$R,4,0),IF($LB383=65%,VLOOKUP($HZ383,'Jan-2026 rates'!$L:$R,4,0),IF($LB383=40%,VLOOKUP($HZ383,'Jan-2026 rates'!$L:$R,5,0),IF($LB383=30%,VLOOKUP($HZ383,'Jan-2026 rates'!$L:$R,6,0),IF($LB383=100%,VLOOKUP($HZ383,'Jan-2026 rates'!$L:$R,7,0),IF($LB383=60%,VLOOKUP($HZ383,'Jan-2026 rates'!$L:$S,8,0),IF($LB383=80%,VLOOKUP($HZ383,'Jan-2026 rates'!L:T,9,0),0))))))))</f>
        <v>0</v>
      </c>
      <c r="IC383" s="412"/>
      <c r="ID383" s="409"/>
      <c r="IE383" s="411">
        <f>IF(ID383=0,0,IF($LB383=70%,VLOOKUP($HZ383,'Jan-2026 rates'!$L:$R,4,0),IF($LB383=65%,VLOOKUP($HZ383,'Jan-2026 rates'!$L:$R,4,0),IF($LB383=40%,VLOOKUP($HZ383,'Jan-2026 rates'!$L:$R,5,0),IF($LB383=30%,VLOOKUP($HZ383,'Jan-2026 rates'!$L:$R,6,0),IF($LB383=100%,VLOOKUP($HZ383,'Jan-2026 rates'!$L:$R,7,0),IF($LB383=60%,VLOOKUP($HZ383,'Jan-2026 rates'!$L:$S,8,0),IF($LB383=80%,VLOOKUP($HZ383,'Jan-2026 rates'!L:T,9,0),0))))))))</f>
        <v>0</v>
      </c>
      <c r="IF383" s="412">
        <v>26529000026</v>
      </c>
      <c r="IG383" s="413"/>
      <c r="IH383" s="412"/>
      <c r="II383" s="412"/>
      <c r="IJ383" s="412"/>
      <c r="IK383" s="412"/>
      <c r="IL383" s="412"/>
      <c r="IM383" s="412"/>
      <c r="IN383" s="409">
        <v>6</v>
      </c>
      <c r="IO383" s="398" t="e">
        <f>IF(IN383=0,0,IF(LEN(IF383)=11,_xlfn.XLOOKUP(IF383,'Dispensed Ink Rates'!C:C,'Dispensed Ink Rates'!CS:CS),VLOOKUP(IF383,'Jan-2026 rates'!$E:$F,2,0)))</f>
        <v>#N/A</v>
      </c>
      <c r="IP383" s="409"/>
      <c r="IQ383" s="398">
        <f>IF(IP383=0,0,IF(LEN(IG383)=11,_xlfn.XLOOKUP(IG383,'Dispensed Ink Rates'!C:C,'Dispensed Ink Rates'!CS:CS),VLOOKUP(IG383,'Jan-2026 rates'!$E:$F,2,0)))</f>
        <v>0</v>
      </c>
      <c r="IR383" s="409"/>
      <c r="IS383" s="398">
        <f>IF(IR383=0,0,IF(LEN(IH383)=11,_xlfn.XLOOKUP(IH383,'Dispensed Ink Rates'!C:C,'Dispensed Ink Rates'!CS:CS),VLOOKUP(IH383,'Jan-2026 rates'!$E:$F,2,0)))</f>
        <v>0</v>
      </c>
      <c r="IT383" s="409"/>
      <c r="IU383" s="398">
        <f>IF(IT383=0,0,IF(LEN(II383)=11,_xlfn.XLOOKUP(II383,'Dispensed Ink Rates'!C:C,'Dispensed Ink Rates'!CS:CS),VLOOKUP(II383,'Jan-2026 rates'!$E:$F,2,0)))</f>
        <v>0</v>
      </c>
      <c r="IV383" s="409"/>
      <c r="IW383" s="398">
        <f>IF(IV383=0,0,IF(LEN(IJ383)=11,_xlfn.XLOOKUP(IJ383,'Dispensed Ink Rates'!C:C,'Dispensed Ink Rates'!CS:CS),VLOOKUP(IJ383,'Jan-2026 rates'!$E:$F,2,0)))</f>
        <v>0</v>
      </c>
      <c r="IX383" s="409"/>
      <c r="IY383" s="398">
        <f>IF(IX383=0,0,IF(LEN(IK383)=11,_xlfn.XLOOKUP(IK383,'Dispensed Ink Rates'!C:C,'Dispensed Ink Rates'!CS:CS),VLOOKUP(IK383,'Jan-2026 rates'!$E:$F,2,0)))</f>
        <v>0</v>
      </c>
      <c r="IZ383" s="409"/>
      <c r="JA383" s="398">
        <f>IF(IZ383=0,0,IF(LEN(IL383)=11,_xlfn.XLOOKUP(IL383,'Dispensed Ink Rates'!C:C,'Dispensed Ink Rates'!CS:CS),VLOOKUP(IL383,'Jan-2026 rates'!$E:$F,2,0)))</f>
        <v>0</v>
      </c>
      <c r="JB383" s="409"/>
      <c r="JC383" s="398">
        <f>IF(JB383=0,0,IF(LEN(IM383)=11,_xlfn.XLOOKUP(IM383,'Dispensed Ink Rates'!C:C,'Dispensed Ink Rates'!CS:CS),VLOOKUP(IM383,'Jan-2026 rates'!$E:$F,2,0)))</f>
        <v>0</v>
      </c>
      <c r="JD383" s="409" t="s">
        <v>1443</v>
      </c>
      <c r="JE383" s="409">
        <v>28</v>
      </c>
      <c r="JF383" s="411">
        <f t="shared" si="230"/>
        <v>0</v>
      </c>
      <c r="JG383" s="411">
        <f t="shared" si="231"/>
        <v>12.361702127659576</v>
      </c>
      <c r="JH383" s="410">
        <f t="shared" si="232"/>
        <v>0</v>
      </c>
      <c r="JI383" s="405" t="s">
        <v>856</v>
      </c>
      <c r="JJ383" s="409" t="s">
        <v>4910</v>
      </c>
      <c r="JK383" s="420" t="str">
        <f t="shared" si="190"/>
        <v>FLINTSL - WHITE</v>
      </c>
      <c r="JL383" s="409">
        <v>24</v>
      </c>
      <c r="JM383" s="411">
        <f>IF(JL383=0,0,IF($LB383=70%,VLOOKUP($JK383,'Jan-2026 rates'!$L:$R,4,0),IF($LB383=65%,VLOOKUP($JK383,'Jan-2026 rates'!$L:$R,4,0),IF($LB383=40%,VLOOKUP($JK383,'Jan-2026 rates'!$L:$R,5,0),IF($LB383=30%,VLOOKUP($JK383,'Jan-2026 rates'!$L:$R,6,0),IF($LB383=100%,VLOOKUP($JK383,'Jan-2026 rates'!$L:$R,7,0),IF($LB383=60%,VLOOKUP($JK383,'Jan-2026 rates'!$L:$S,8,0),IF($LB383=80%,VLOOKUP($JK383,'Jan-2026 rates'!L:T,9,0),0))))))))</f>
        <v>0</v>
      </c>
      <c r="JN383" s="412"/>
      <c r="JO383" s="409"/>
      <c r="JP383" s="411">
        <f>IF(JO383=0,0,IF($LB383=70%,VLOOKUP($JK383,'Jan-2026 rates'!$L:$R,4,0),IF($LB383=65%,VLOOKUP($JK383,'Jan-2026 rates'!$L:$R,4,0),IF($LB383=40%,VLOOKUP($JK383,'Jan-2026 rates'!$L:$R,5,0),IF($LB383=30%,VLOOKUP($JK383,'Jan-2026 rates'!$L:$R,6,0),IF($LB383=100%,VLOOKUP($JK383,'Jan-2026 rates'!$L:$R,7,0),IF($LB383=60%,VLOOKUP($JK383,'Jan-2026 rates'!$L:$S,8,0),IF($LB383=80%,VLOOKUP($JK383,'Jan-2026 rates'!L:T,9,0),0))))))))</f>
        <v>0</v>
      </c>
      <c r="JQ383" s="413" t="s">
        <v>484</v>
      </c>
      <c r="JR383" s="412"/>
      <c r="JS383" s="413"/>
      <c r="JT383" s="413"/>
      <c r="JU383" s="412"/>
      <c r="JV383" s="412"/>
      <c r="JW383" s="412"/>
      <c r="JX383" s="412"/>
      <c r="JY383" s="409">
        <v>40</v>
      </c>
      <c r="JZ383" s="398">
        <f>IF(JY383=0,0,IF(LEN(JQ383)=11,_xlfn.XLOOKUP(JQ383,'Dispensed Ink Rates'!C:C,'Dispensed Ink Rates'!CS:CS),VLOOKUP(JQ383,'Jan-2026 rates'!$E:$F,2,0)))</f>
        <v>0</v>
      </c>
      <c r="KA383" s="409"/>
      <c r="KB383" s="398">
        <f>IF(KA383=0,0,IF(LEN(JR383)=11,_xlfn.XLOOKUP(JR383,'Dispensed Ink Rates'!C:C,'Dispensed Ink Rates'!CS:CS),VLOOKUP(JR383,'Jan-2026 rates'!$E:$F,2,0)))</f>
        <v>0</v>
      </c>
      <c r="KC383" s="409"/>
      <c r="KD383" s="398">
        <f>IF(KC383=0,0,IF(LEN(JS383)=11,_xlfn.XLOOKUP(JS383,'Dispensed Ink Rates'!C:C,'Dispensed Ink Rates'!CS:CS),VLOOKUP(JS383,'Jan-2026 rates'!$E:$F,2,0)))</f>
        <v>0</v>
      </c>
      <c r="KE383" s="409"/>
      <c r="KF383" s="398">
        <f>IF(KE383=0,0,IF(LEN(JT383)=11,_xlfn.XLOOKUP(JT383,'Dispensed Ink Rates'!C:C,'Dispensed Ink Rates'!CS:CS),VLOOKUP(JT383,'Jan-2026 rates'!$E:$F,2,0)))</f>
        <v>0</v>
      </c>
      <c r="KG383" s="409"/>
      <c r="KH383" s="398">
        <f>IF(KG383=0,0,IF(LEN(JU383)=11,_xlfn.XLOOKUP(JU383,'Dispensed Ink Rates'!C:C,'Dispensed Ink Rates'!CS:CS),VLOOKUP(JU383,'Jan-2026 rates'!$E:$F,2,0)))</f>
        <v>0</v>
      </c>
      <c r="KI383" s="409"/>
      <c r="KJ383" s="398">
        <f>IF(KI383=0,0,IF(LEN(JV383)=11,_xlfn.XLOOKUP(JV383,'Dispensed Ink Rates'!C:C,'Dispensed Ink Rates'!CS:CS),VLOOKUP(JV383,'Jan-2026 rates'!$E:$F,2,0)))</f>
        <v>0</v>
      </c>
      <c r="KK383" s="409"/>
      <c r="KL383" s="398">
        <f>IF(KK383=0,0,IF(LEN(JW383)=11,_xlfn.XLOOKUP(JW383,'Dispensed Ink Rates'!C:C,'Dispensed Ink Rates'!CS:CS),VLOOKUP(JW383,'Jan-2026 rates'!$E:$F,2,0)))</f>
        <v>0</v>
      </c>
      <c r="KM383" s="428"/>
      <c r="KN383" s="398">
        <f>IF(KM383=0,0,IF(LEN(JX383)=11,_xlfn.XLOOKUP(JX383,'Dispensed Ink Rates'!C:C,'Dispensed Ink Rates'!CS:CS),VLOOKUP(JX383,'Jan-2026 rates'!$E:$F,2,0)))</f>
        <v>0</v>
      </c>
      <c r="KO383" s="409" t="s">
        <v>1443</v>
      </c>
      <c r="KP383" s="409">
        <v>25</v>
      </c>
      <c r="KQ383" s="411">
        <f t="shared" si="233"/>
        <v>0</v>
      </c>
      <c r="KR383" s="411">
        <f t="shared" si="234"/>
        <v>85.808510638297875</v>
      </c>
      <c r="KS383" s="410">
        <f t="shared" si="235"/>
        <v>0</v>
      </c>
      <c r="KT383" s="409">
        <v>2</v>
      </c>
      <c r="KU383" s="409">
        <v>2</v>
      </c>
      <c r="KV383" s="409">
        <v>2</v>
      </c>
      <c r="KW383" s="409">
        <v>10</v>
      </c>
      <c r="KX383" s="409">
        <v>2</v>
      </c>
      <c r="KY383" s="409">
        <v>5</v>
      </c>
      <c r="KZ383" s="409">
        <v>4</v>
      </c>
      <c r="LA383" s="409">
        <v>20</v>
      </c>
      <c r="LB383" s="415">
        <v>0.8</v>
      </c>
      <c r="LC383" s="415">
        <v>0.2</v>
      </c>
      <c r="LD383" s="424"/>
      <c r="LE383" s="415"/>
      <c r="LF383" s="415"/>
      <c r="LG383" s="409">
        <v>0</v>
      </c>
      <c r="LH383" s="409">
        <f>20+20+56+14</f>
        <v>110</v>
      </c>
      <c r="LI383" s="409">
        <v>0</v>
      </c>
      <c r="LJ383" s="409">
        <v>0</v>
      </c>
      <c r="LK383" s="416">
        <f t="shared" si="191"/>
        <v>110</v>
      </c>
      <c r="LL383" s="416">
        <f t="shared" si="349"/>
        <v>110</v>
      </c>
      <c r="LM383" s="417">
        <f t="shared" si="193"/>
        <v>88</v>
      </c>
      <c r="LN383" s="417">
        <f>VLOOKUP($LM$8,'Jan-2026 rates'!$H:$I,2,0)</f>
        <v>0</v>
      </c>
      <c r="LO383" s="417">
        <f t="shared" si="194"/>
        <v>22</v>
      </c>
      <c r="LP383" s="417">
        <f>VLOOKUP($LO$8,'Jan-2026 rates'!$H:$I,2,0)</f>
        <v>0</v>
      </c>
      <c r="LQ383" s="417">
        <f t="shared" si="195"/>
        <v>0</v>
      </c>
      <c r="LR383" s="417">
        <f>VLOOKUP($LQ$8,'Jan-2026 rates'!$H:$I,2,0)</f>
        <v>0</v>
      </c>
      <c r="LS383" s="417">
        <f t="shared" si="196"/>
        <v>0</v>
      </c>
      <c r="LT383" s="417">
        <f>VLOOKUP($LS$8,'Jan-2026 rates'!$H:$I,2,0)</f>
        <v>0</v>
      </c>
      <c r="LU383" s="417">
        <f t="shared" si="197"/>
        <v>0</v>
      </c>
      <c r="LV383" s="417">
        <f>VLOOKUP($LU$8,'Jan-2026 rates'!$H:$I,2,0)</f>
        <v>0</v>
      </c>
      <c r="LW383" s="417">
        <f t="shared" si="198"/>
        <v>0</v>
      </c>
      <c r="LX383" s="417">
        <f t="shared" si="199"/>
        <v>0</v>
      </c>
      <c r="LY383" s="418">
        <f t="shared" si="200"/>
        <v>0</v>
      </c>
      <c r="LZ383" s="417"/>
      <c r="MA383" s="435">
        <f t="shared" si="201"/>
        <v>98</v>
      </c>
      <c r="MB383" s="282">
        <f t="shared" si="202"/>
        <v>185</v>
      </c>
      <c r="MC383" s="283">
        <v>224</v>
      </c>
      <c r="MD383" s="284" t="str">
        <f t="shared" si="203"/>
        <v>FLINTSLFLINTSLFLINTSLFLINTSLFLINTSLFLINTSLFLINTSLFLINTSL</v>
      </c>
      <c r="ME383" s="293" t="str">
        <f t="shared" si="204"/>
        <v>+</v>
      </c>
      <c r="MF383" s="293" t="str">
        <f t="shared" si="205"/>
        <v>+</v>
      </c>
      <c r="MG383" s="293" t="str">
        <f t="shared" si="206"/>
        <v>+</v>
      </c>
      <c r="MH383" s="293" t="str">
        <f t="shared" si="207"/>
        <v>+</v>
      </c>
      <c r="MI383" s="293" t="str">
        <f t="shared" si="208"/>
        <v>+</v>
      </c>
      <c r="MJ383" s="293" t="str">
        <f t="shared" si="209"/>
        <v>+</v>
      </c>
      <c r="MK383" s="293" t="str">
        <f t="shared" si="210"/>
        <v>+</v>
      </c>
      <c r="ML383" s="293" t="str">
        <f t="shared" si="211"/>
        <v>+</v>
      </c>
      <c r="MM383" s="3" t="b">
        <f t="array" ref="MM383">OR(ME383:ML383="-")</f>
        <v>0</v>
      </c>
      <c r="MO383" s="401">
        <f t="shared" si="350"/>
        <v>50.408719346049047</v>
      </c>
      <c r="MP383" s="286"/>
      <c r="MR383" s="402">
        <f t="shared" si="351"/>
        <v>8.0786026200873363E-3</v>
      </c>
      <c r="MS383" s="400">
        <f t="shared" si="352"/>
        <v>0</v>
      </c>
      <c r="MT383" s="285"/>
      <c r="NH383" s="361"/>
      <c r="NJ383" s="282"/>
    </row>
    <row r="384" spans="1:374" ht="16.5">
      <c r="A384" s="403">
        <v>46052</v>
      </c>
      <c r="B384" s="404" t="s">
        <v>1015</v>
      </c>
      <c r="C384" s="405" t="s">
        <v>4911</v>
      </c>
      <c r="D384" s="404">
        <v>225</v>
      </c>
      <c r="E384" s="404">
        <v>469</v>
      </c>
      <c r="F384" s="407">
        <v>24400</v>
      </c>
      <c r="G384" s="407" t="s">
        <v>1019</v>
      </c>
      <c r="H384" s="408" t="s">
        <v>1017</v>
      </c>
      <c r="I384" s="409">
        <v>1.1000000000000001</v>
      </c>
      <c r="J384" s="405" t="s">
        <v>543</v>
      </c>
      <c r="K384" s="404" t="s">
        <v>4912</v>
      </c>
      <c r="L384" s="419" t="str">
        <f t="shared" si="184"/>
        <v>FLINTSL - BLACK</v>
      </c>
      <c r="M384" s="404">
        <v>20</v>
      </c>
      <c r="N384" s="410">
        <f>IF(M384=0,0,IF($LB384=70%,VLOOKUP($L384,'Jan-2026 rates'!$L:$R,4,0),IF($LB384=65%,VLOOKUP($L384,'Jan-2026 rates'!$L:$R,4,0),IF($LB384=40%,VLOOKUP($L384,'Jan-2026 rates'!$L:$R,5,0),IF($LB384=30%,VLOOKUP($L384,'Jan-2026 rates'!$L:$R,6,0),IF($LB384=100%,VLOOKUP($L384,'Jan-2026 rates'!$L:$R,7,0),IF($LB384=60%,VLOOKUP($L384,'Jan-2026 rates'!$L:$S,8,0),IF($LB384=80%,VLOOKUP($L384,'Jan-2026 rates'!L:T,9,0),0))))))))</f>
        <v>0</v>
      </c>
      <c r="O384" s="406"/>
      <c r="P384" s="404"/>
      <c r="Q384" s="410">
        <f>IF(P384=0,0,IF($LB384=70%,VLOOKUP($L384,'Jan-2026 rates'!$L:$R,4,0),IF($LB384=65%,VLOOKUP($L384,'Jan-2026 rates'!$L:$R,4,0),IF($LB384=40%,VLOOKUP($L384,'Jan-2026 rates'!$L:$R,5,0),IF($LB384=30%,VLOOKUP($L384,'Jan-2026 rates'!$L:$R,6,0),IF($LB384=100%,VLOOKUP($L384,'Jan-2026 rates'!$L:$R,7,0),IF($LB384=60%,VLOOKUP($L384,'Jan-2026 rates'!$L:$S,8,0),IF($LB384=80%,VLOOKUP($L384,'Jan-2026 rates'!L:T,9,0),0))))))))</f>
        <v>0</v>
      </c>
      <c r="R384" s="406" t="s">
        <v>1266</v>
      </c>
      <c r="S384" s="406"/>
      <c r="T384" s="406"/>
      <c r="U384" s="406"/>
      <c r="V384" s="406"/>
      <c r="W384" s="406"/>
      <c r="X384" s="406"/>
      <c r="Y384" s="406"/>
      <c r="Z384" s="404">
        <f>6+6</f>
        <v>12</v>
      </c>
      <c r="AA384" s="398">
        <f>IF(Z384=0,0,IF(LEN(R384)=11,_xlfn.XLOOKUP(R384,'Dispensed Ink Rates'!C:C,'Dispensed Ink Rates'!CS:CS),VLOOKUP(R384,'Jan-2026 rates'!$E:$F,2,0)))</f>
        <v>0</v>
      </c>
      <c r="AB384" s="404"/>
      <c r="AC384" s="398">
        <f>IF(AB384=0,0,IF(LEN(S384)=11,_xlfn.XLOOKUP(S384,'Dispensed Ink Rates'!C:C,'Dispensed Ink Rates'!CS:CS),VLOOKUP(S384,'Jan-2026 rates'!$E:$F,2,0)))</f>
        <v>0</v>
      </c>
      <c r="AD384" s="404"/>
      <c r="AE384" s="398">
        <f>IF(AD384=0,0,IF(LEN(T384)=11,_xlfn.XLOOKUP(T384,'Dispensed Ink Rates'!C:C,'Dispensed Ink Rates'!CS:CS),VLOOKUP(T384,'Jan-2026 rates'!$E:$F,2,0)))</f>
        <v>0</v>
      </c>
      <c r="AF384" s="404"/>
      <c r="AG384" s="398">
        <f>IF(AF384=0,0,IF(LEN(U384)=11,_xlfn.XLOOKUP(U384,'Dispensed Ink Rates'!C:C,'Dispensed Ink Rates'!CS:CS),VLOOKUP(U384,'Jan-2026 rates'!$E:$F,2,0)))</f>
        <v>0</v>
      </c>
      <c r="AH384" s="404"/>
      <c r="AI384" s="398">
        <f>IF(AH384=0,0,IF(LEN(V384)=11,_xlfn.XLOOKUP(V384,'Dispensed Ink Rates'!C:C,'Dispensed Ink Rates'!CS:CS),VLOOKUP(V384,'Jan-2026 rates'!$E:$F,2,0)))</f>
        <v>0</v>
      </c>
      <c r="AJ384" s="404"/>
      <c r="AK384" s="398">
        <f>IF(AJ384=0,0,IF(LEN(W384)=11,_xlfn.XLOOKUP(W384,'Dispensed Ink Rates'!C:C,'Dispensed Ink Rates'!CS:CS),VLOOKUP(W384,'Jan-2026 rates'!$E:$F,2,0)))</f>
        <v>0</v>
      </c>
      <c r="AL384" s="404"/>
      <c r="AM384" s="398">
        <f>IF(AL384=0,0,IF(LEN(X384)=11,_xlfn.XLOOKUP(X384,'Dispensed Ink Rates'!C:C,'Dispensed Ink Rates'!CS:CS),VLOOKUP(X384,'Jan-2026 rates'!$E:$F,2,0)))</f>
        <v>0</v>
      </c>
      <c r="AN384" s="404"/>
      <c r="AO384" s="398">
        <f>IF(AN384=0,0,IF(LEN(Y384)=11,_xlfn.XLOOKUP(Y384,'Dispensed Ink Rates'!C:C,'Dispensed Ink Rates'!CS:CS),VLOOKUP(Y384,'Jan-2026 rates'!$E:$F,2,0)))</f>
        <v>0</v>
      </c>
      <c r="AP384" s="409" t="s">
        <v>1443</v>
      </c>
      <c r="AQ384" s="409">
        <v>27</v>
      </c>
      <c r="AR384" s="410">
        <f t="shared" si="212"/>
        <v>0</v>
      </c>
      <c r="AS384" s="411">
        <f t="shared" si="213"/>
        <v>15.846153846153847</v>
      </c>
      <c r="AT384" s="410">
        <f t="shared" si="214"/>
        <v>0</v>
      </c>
      <c r="AU384" s="405" t="s">
        <v>543</v>
      </c>
      <c r="AV384" s="409" t="s">
        <v>4913</v>
      </c>
      <c r="AW384" s="420" t="str">
        <f t="shared" si="348"/>
        <v>FLINTSL - BLACK</v>
      </c>
      <c r="AX384" s="409">
        <v>24</v>
      </c>
      <c r="AY384" s="411">
        <f>IF(AX384=0,0,IF($LB384=70%,VLOOKUP($AW384,'Jan-2026 rates'!$L:$R,4,0),IF($LB384=65%,VLOOKUP($AW384,'Jan-2026 rates'!$L:$R,4,0),IF($LB384=40%,VLOOKUP($AW384,'Jan-2026 rates'!$L:$R,5,0),IF($LB384=30%,VLOOKUP($AW384,'Jan-2026 rates'!$L:$R,6,0),IF($LB384=100%,VLOOKUP($AW384,'Jan-2026 rates'!$L:$R,7,0),IF($LB384=60%,VLOOKUP($AW384,'Jan-2026 rates'!$L:$S,8,0),IF($LB384=80%,VLOOKUP($AW384,'Jan-2026 rates'!L:T,9,0),0))))))))</f>
        <v>0</v>
      </c>
      <c r="AZ384" s="412"/>
      <c r="BA384" s="409"/>
      <c r="BB384" s="411">
        <f>IF(BA384=0,0,IF($LB384=70%,VLOOKUP($AW384,'Jan-2026 rates'!$L:$R,4,0),IF($LB384=65%,VLOOKUP($AW384,'Jan-2026 rates'!$L:$R,4,0),IF($LB384=40%,VLOOKUP($AW384,'Jan-2026 rates'!$L:$R,5,0),IF($LB384=30%,VLOOKUP($AW384,'Jan-2026 rates'!$L:$R,6,0),IF($LB384=100%,VLOOKUP($AW384,'Jan-2026 rates'!$L:$R,7,0),IF($LB384=60%,VLOOKUP($AW384,'Jan-2026 rates'!$L:$S,8,0),IF($LB384=80%,VLOOKUP($AW384,'Jan-2026 rates'!L:T,9,0),0))))))))</f>
        <v>0</v>
      </c>
      <c r="BC384" s="413" t="s">
        <v>1265</v>
      </c>
      <c r="BD384" s="412">
        <v>26530000023</v>
      </c>
      <c r="BE384" s="412"/>
      <c r="BF384" s="413"/>
      <c r="BG384" s="412"/>
      <c r="BH384" s="412"/>
      <c r="BI384" s="412"/>
      <c r="BJ384" s="412"/>
      <c r="BK384" s="409">
        <v>6</v>
      </c>
      <c r="BL384" s="398">
        <f>IF(BK384=0,0,IF(LEN(BC384)=11,_xlfn.XLOOKUP(BC384,'Dispensed Ink Rates'!C:C,'Dispensed Ink Rates'!CS:CS),VLOOKUP(BC384,'Jan-2026 rates'!$E:$F,2,0)))</f>
        <v>0</v>
      </c>
      <c r="BM384" s="409">
        <v>2</v>
      </c>
      <c r="BN384" s="398" t="e">
        <f>IF(BM384=0,0,IF(LEN(BD384)=11,_xlfn.XLOOKUP(BD384,'Dispensed Ink Rates'!C:C,'Dispensed Ink Rates'!CS:CS),VLOOKUP(BD384,'Jan-2026 rates'!$E:$F,2,0)))</f>
        <v>#N/A</v>
      </c>
      <c r="BO384" s="409"/>
      <c r="BP384" s="398">
        <f>IF(BO384=0,0,IF(LEN(BE384)=11,_xlfn.XLOOKUP(BE384,'Dispensed Ink Rates'!C:C,'Dispensed Ink Rates'!CS:CS),VLOOKUP(BE384,'Jan-2026 rates'!$E:$F,2,0)))</f>
        <v>0</v>
      </c>
      <c r="BQ384" s="409"/>
      <c r="BR384" s="398">
        <f>IF(BQ384=0,0,IF(LEN(BF384)=11,_xlfn.XLOOKUP(BF384,'Dispensed Ink Rates'!C:C,'Dispensed Ink Rates'!CS:CS),VLOOKUP(BF384,'Jan-2026 rates'!$E:$F,2,0)))</f>
        <v>0</v>
      </c>
      <c r="BS384" s="409"/>
      <c r="BT384" s="398">
        <f>IF(BS384=0,0,IF(LEN(BG384)=11,_xlfn.XLOOKUP(BG384,'Dispensed Ink Rates'!C:C,'Dispensed Ink Rates'!CS:CS),VLOOKUP(BG384,'Jan-2026 rates'!$E:$F,2,0)))</f>
        <v>0</v>
      </c>
      <c r="BU384" s="409"/>
      <c r="BV384" s="398">
        <f>IF(BU384=0,0,IF(LEN(BH384)=11,_xlfn.XLOOKUP(BH384,'Dispensed Ink Rates'!C:C,'Dispensed Ink Rates'!CS:CS),VLOOKUP(BH384,'Jan-2026 rates'!$E:$F,2,0)))</f>
        <v>0</v>
      </c>
      <c r="BW384" s="409"/>
      <c r="BX384" s="398">
        <f>IF(BW384=0,0,IF(LEN(BI384)=11,_xlfn.XLOOKUP(BI384,'Dispensed Ink Rates'!C:C,'Dispensed Ink Rates'!CS:CS),VLOOKUP(BI384,'Jan-2026 rates'!$E:$F,2,0)))</f>
        <v>0</v>
      </c>
      <c r="BY384" s="409"/>
      <c r="BZ384" s="398">
        <f>IF(BY384=0,0,IF(LEN(BJ384)=11,_xlfn.XLOOKUP(BJ384,'Dispensed Ink Rates'!C:C,'Dispensed Ink Rates'!CS:CS),VLOOKUP(BJ384,'Jan-2026 rates'!$E:$F,2,0)))</f>
        <v>0</v>
      </c>
      <c r="CA384" s="409" t="s">
        <v>1443</v>
      </c>
      <c r="CB384" s="409">
        <v>25</v>
      </c>
      <c r="CC384" s="411">
        <f t="shared" si="215"/>
        <v>0</v>
      </c>
      <c r="CD384" s="411">
        <f t="shared" si="216"/>
        <v>17.846153846153847</v>
      </c>
      <c r="CE384" s="410">
        <f t="shared" si="217"/>
        <v>0</v>
      </c>
      <c r="CF384" s="404" t="s">
        <v>546</v>
      </c>
      <c r="CG384" s="409"/>
      <c r="CH384" s="420" t="str">
        <f t="shared" si="185"/>
        <v>FLINTSL - REFLEX BLUE</v>
      </c>
      <c r="CI384" s="409"/>
      <c r="CJ384" s="411">
        <f>IF(CI384=0,0,IF($LB384=70%,VLOOKUP($CH384,'Jan-2026 rates'!$L:$R,4,0),IF($LB384=65%,VLOOKUP($CH384,'Jan-2026 rates'!$L:$R,4,0),IF($LB384=40%,VLOOKUP($CH384,'Jan-2026 rates'!$L:$R,5,0),IF($LB384=30%,VLOOKUP($CH384,'Jan-2026 rates'!$L:$R,6,0),IF($LB384=100%,VLOOKUP($CH384,'Jan-2026 rates'!$L:$R,7,0),IF($LB384=60%,VLOOKUP($CH384,'Jan-2026 rates'!$L:$S,8,0),IF($LB384=80%,VLOOKUP($CH384,'Jan-2026 rates'!L:T,9,0),0))))))))</f>
        <v>0</v>
      </c>
      <c r="CK384" s="412"/>
      <c r="CL384" s="409"/>
      <c r="CM384" s="411">
        <f>IF(CL384=0,0,IF($LB384=70%,VLOOKUP($CH384,'Jan-2026 rates'!$L:$R,4,0),IF($LB384=65%,VLOOKUP($CH384,'Jan-2026 rates'!$L:$R,4,0),IF($LB384=40%,VLOOKUP($CH384,'Jan-2026 rates'!$L:$R,5,0),IF($LB384=30%,VLOOKUP($CH384,'Jan-2026 rates'!$L:$R,6,0),IF($LB384=100%,VLOOKUP($CH384,'Jan-2026 rates'!$L:$R,7,0),IF($LB384=60%,VLOOKUP($CH384,'Jan-2026 rates'!$L:$S,8,0),IF($LB384=80%,VLOOKUP($CH384,'Jan-2026 rates'!L:T,9,0),0))))))))</f>
        <v>0</v>
      </c>
      <c r="CN384" s="426">
        <v>26530000032</v>
      </c>
      <c r="CO384" s="427">
        <v>26530000028</v>
      </c>
      <c r="CP384" s="426">
        <v>83234</v>
      </c>
      <c r="CQ384" s="426" t="s">
        <v>1266</v>
      </c>
      <c r="CR384" s="428"/>
      <c r="CS384" s="428"/>
      <c r="CT384" s="428"/>
      <c r="CU384" s="428"/>
      <c r="CV384" s="409">
        <v>30</v>
      </c>
      <c r="CW384" s="398" t="e">
        <f>IF(CV384=0,0,IF(LEN(CN384)=11,_xlfn.XLOOKUP(CN384,'Dispensed Ink Rates'!C:C,'Dispensed Ink Rates'!CS:CS),VLOOKUP(CN384,'Jan-2026 rates'!$E:$F,2,0)))</f>
        <v>#N/A</v>
      </c>
      <c r="CX384" s="409">
        <v>40</v>
      </c>
      <c r="CY384" s="398" t="e">
        <f>IF(CX384=0,0,IF(LEN(CO384)=11,_xlfn.XLOOKUP(CO384,'Dispensed Ink Rates'!C:C,'Dispensed Ink Rates'!CS:CS),VLOOKUP(CO384,'Jan-2026 rates'!$E:$F,2,0)))</f>
        <v>#N/A</v>
      </c>
      <c r="CZ384" s="409">
        <v>8</v>
      </c>
      <c r="DA384" s="398">
        <f>IF(CZ384=0,0,IF(LEN(CP384)=11,_xlfn.XLOOKUP(CP384,'Dispensed Ink Rates'!C:C,'Dispensed Ink Rates'!CS:CS),VLOOKUP(CP384,'Jan-2026 rates'!$E:$F,2,0)))</f>
        <v>0</v>
      </c>
      <c r="DB384" s="409">
        <v>6</v>
      </c>
      <c r="DC384" s="398">
        <f>IF(DB384=0,0,IF(LEN(CQ384)=11,_xlfn.XLOOKUP(CQ384,'Dispensed Ink Rates'!C:C,'Dispensed Ink Rates'!CS:CS),VLOOKUP(CQ384,'Jan-2026 rates'!$E:$F,2,0)))</f>
        <v>0</v>
      </c>
      <c r="DD384" s="409"/>
      <c r="DE384" s="398">
        <f>IF(DD384=0,0,IF(LEN(CR384)=11,_xlfn.XLOOKUP(CR384,'Dispensed Ink Rates'!C:C,'Dispensed Ink Rates'!CS:CS),VLOOKUP(CR384,'Jan-2026 rates'!$E:$F,2,0)))</f>
        <v>0</v>
      </c>
      <c r="DF384" s="409"/>
      <c r="DG384" s="398">
        <f>IF(DF384=0,0,IF(LEN(CS384)=11,_xlfn.XLOOKUP(CS384,'Dispensed Ink Rates'!C:C,'Dispensed Ink Rates'!CS:CS),VLOOKUP(CS384,'Jan-2026 rates'!$E:$F,2,0)))</f>
        <v>0</v>
      </c>
      <c r="DH384" s="409"/>
      <c r="DI384" s="398">
        <f>IF(DH384=0,0,IF(LEN(CT384)=11,_xlfn.XLOOKUP(CT384,'Dispensed Ink Rates'!C:C,'Dispensed Ink Rates'!CS:CS),VLOOKUP(CT384,'Jan-2026 rates'!$E:$F,2,0)))</f>
        <v>0</v>
      </c>
      <c r="DJ384" s="409"/>
      <c r="DK384" s="398">
        <f>IF(DJ384=0,0,IF(LEN(CU384)=11,_xlfn.XLOOKUP(CU384,'Dispensed Ink Rates'!C:C,'Dispensed Ink Rates'!CS:CS),VLOOKUP(CU384,'Jan-2026 rates'!$E:$F,2,0)))</f>
        <v>0</v>
      </c>
      <c r="DL384" s="409" t="s">
        <v>1443</v>
      </c>
      <c r="DM384" s="409">
        <v>22</v>
      </c>
      <c r="DN384" s="411">
        <f t="shared" si="218"/>
        <v>0</v>
      </c>
      <c r="DO384" s="411">
        <f t="shared" si="219"/>
        <v>72.84615384615384</v>
      </c>
      <c r="DP384" s="410">
        <f t="shared" si="220"/>
        <v>0</v>
      </c>
      <c r="DQ384" s="405" t="s">
        <v>855</v>
      </c>
      <c r="DR384" s="409"/>
      <c r="DS384" s="420" t="str">
        <f t="shared" si="186"/>
        <v>FLINTSL - CYAN</v>
      </c>
      <c r="DT384" s="409"/>
      <c r="DU384" s="411">
        <f>IF(DT384=0,0,IF($LB384=70%,VLOOKUP($DS384,'Jan-2026 rates'!$L:$R,4,0),IF($LB384=65%,VLOOKUP($DS384,'Jan-2026 rates'!$L:$R,4,0),IF($LB384=40%,VLOOKUP($DS384,'Jan-2026 rates'!$L:$R,5,0),IF($LB384=30%,VLOOKUP($DS384,'Jan-2026 rates'!$L:$R,6,0),IF($LB384=100%,VLOOKUP($DS384,'Jan-2026 rates'!$L:$R,7,0),IF($LB384=60%,VLOOKUP($DS384,'Jan-2026 rates'!$L:$S,8,0),IF($LB384=80%,VLOOKUP($DS384,'Jan-2026 rates'!L:T,9,0),0))))))))</f>
        <v>0</v>
      </c>
      <c r="DV384" s="412"/>
      <c r="DW384" s="409"/>
      <c r="DX384" s="411">
        <f>IF(DW384=0,0,IF($LB384=70%,VLOOKUP($DS384,'Jan-2026 rates'!$L:$R,4,0),IF($LB384=65%,VLOOKUP($DS384,'Jan-2026 rates'!$L:$R,4,0),IF($LB384=40%,VLOOKUP($DS384,'Jan-2026 rates'!$L:$R,5,0),IF($LB384=30%,VLOOKUP($DS384,'Jan-2026 rates'!$L:$R,6,0),IF($LB384=100%,VLOOKUP($DS384,'Jan-2026 rates'!$L:$R,7,0),IF($LB384=60%,VLOOKUP($DS384,'Jan-2026 rates'!$L:$S,8,0),IF($LB384=80%,VLOOKUP($DS384,'Jan-2026 rates'!L:T,9,0),0))))))))</f>
        <v>0</v>
      </c>
      <c r="DY384" s="413" t="s">
        <v>477</v>
      </c>
      <c r="DZ384" s="413" t="s">
        <v>1266</v>
      </c>
      <c r="EA384" s="412"/>
      <c r="EB384" s="412"/>
      <c r="EC384" s="412"/>
      <c r="ED384" s="412"/>
      <c r="EE384" s="412"/>
      <c r="EF384" s="412"/>
      <c r="EG384" s="409">
        <v>10</v>
      </c>
      <c r="EH384" s="398">
        <f>IF(EG384=0,0,IF(LEN(DY384)=11,_xlfn.XLOOKUP(DY384,'Dispensed Ink Rates'!C:C,'Dispensed Ink Rates'!CS:CS),VLOOKUP(DY384,'Jan-2026 rates'!$E:$F,2,0)))</f>
        <v>0</v>
      </c>
      <c r="EI384" s="409">
        <v>7</v>
      </c>
      <c r="EJ384" s="398">
        <f>IF(EI384=0,0,IF(LEN(DZ384)=11,_xlfn.XLOOKUP(DZ384,'Dispensed Ink Rates'!C:C,'Dispensed Ink Rates'!CS:CS),VLOOKUP(DZ384,'Jan-2026 rates'!$E:$F,2,0)))</f>
        <v>0</v>
      </c>
      <c r="EK384" s="409"/>
      <c r="EL384" s="398">
        <f>IF(EK384=0,0,IF(LEN(EA384)=11,_xlfn.XLOOKUP(EA384,'Dispensed Ink Rates'!C:C,'Dispensed Ink Rates'!CS:CS),VLOOKUP(EA384,'Jan-2026 rates'!$E:$F,2,0)))</f>
        <v>0</v>
      </c>
      <c r="EM384" s="409"/>
      <c r="EN384" s="398">
        <f>IF(EM384=0,0,IF(LEN(EB384)=11,_xlfn.XLOOKUP(EB384,'Dispensed Ink Rates'!C:C,'Dispensed Ink Rates'!CS:CS),VLOOKUP(EB384,'Jan-2026 rates'!$E:$F,2,0)))</f>
        <v>0</v>
      </c>
      <c r="EO384" s="409"/>
      <c r="EP384" s="398">
        <f>IF(EO384=0,0,IF(LEN(EC384)=11,_xlfn.XLOOKUP(EC384,'Dispensed Ink Rates'!C:C,'Dispensed Ink Rates'!CS:CS),VLOOKUP(EC384,'Jan-2026 rates'!$E:$F,2,0)))</f>
        <v>0</v>
      </c>
      <c r="EQ384" s="409"/>
      <c r="ER384" s="398">
        <f>IF(EQ384=0,0,IF(LEN(ED384)=11,_xlfn.XLOOKUP(ED384,'Dispensed Ink Rates'!C:C,'Dispensed Ink Rates'!CS:CS),VLOOKUP(ED384,'Jan-2026 rates'!$E:$F,2,0)))</f>
        <v>0</v>
      </c>
      <c r="ES384" s="409"/>
      <c r="ET384" s="398">
        <f>IF(ES384=0,0,IF(LEN(EE384)=11,_xlfn.XLOOKUP(EE384,'Dispensed Ink Rates'!C:C,'Dispensed Ink Rates'!CS:CS),VLOOKUP(EE384,'Jan-2026 rates'!$E:$F,2,0)))</f>
        <v>0</v>
      </c>
      <c r="EU384" s="409"/>
      <c r="EV384" s="398">
        <f>IF(EU384=0,0,IF(LEN(EF384)=11,_xlfn.XLOOKUP(EF384,'Dispensed Ink Rates'!C:C,'Dispensed Ink Rates'!CS:CS),VLOOKUP(EF384,'Jan-2026 rates'!$E:$F,2,0)))</f>
        <v>0</v>
      </c>
      <c r="EW384" s="409" t="s">
        <v>1443</v>
      </c>
      <c r="EX384" s="409">
        <v>26</v>
      </c>
      <c r="EY384" s="411">
        <f t="shared" si="221"/>
        <v>0</v>
      </c>
      <c r="EZ384" s="411">
        <f t="shared" si="222"/>
        <v>12.692307692307693</v>
      </c>
      <c r="FA384" s="410">
        <f t="shared" si="223"/>
        <v>0</v>
      </c>
      <c r="FB384" s="405" t="s">
        <v>544</v>
      </c>
      <c r="FC384" s="409"/>
      <c r="FD384" s="420" t="str">
        <f t="shared" si="187"/>
        <v>FLINTSL - MAGENTA</v>
      </c>
      <c r="FE384" s="409"/>
      <c r="FF384" s="411">
        <f>IF(FE384=0,0,IF($LB384=70%,VLOOKUP($FD384,'Jan-2026 rates'!$L:$R,4,0),IF($LB384=65%,VLOOKUP($FD384,'Jan-2026 rates'!$L:$R,4,0),IF($LB384=40%,VLOOKUP($FD384,'Jan-2026 rates'!$L:$R,5,0),IF($LB384=30%,VLOOKUP($FD384,'Jan-2026 rates'!$L:$R,6,0),IF($LB384=100%,VLOOKUP($FD384,'Jan-2026 rates'!$L:$R,7,0),IF($LB384=60%,VLOOKUP($FD384,'Jan-2026 rates'!$L:$S,8,0),IF($LB384=80%,VLOOKUP($FD384,'Jan-2026 rates'!L:T,9,0),0))))))))</f>
        <v>0</v>
      </c>
      <c r="FG384" s="412"/>
      <c r="FH384" s="409"/>
      <c r="FI384" s="411">
        <f>IF(FH384=0,0,IF($LB384=70%,VLOOKUP($FD384,'Jan-2026 rates'!$L:$R,4,0),IF($LB384=65%,VLOOKUP($FD384,'Jan-2026 rates'!$L:$R,4,0),IF($LB384=40%,VLOOKUP($FD384,'Jan-2026 rates'!$L:$R,5,0),IF($LB384=30%,VLOOKUP($FD384,'Jan-2026 rates'!$L:$R,6,0),IF($LB384=100%,VLOOKUP($FD384,'Jan-2026 rates'!$L:$R,7,0),IF($LB384=60%,VLOOKUP($FD384,'Jan-2026 rates'!$L:$S,8,0),IF($LB384=80%,VLOOKUP($FD384,'Jan-2026 rates'!L:T,9,0),0))))))))</f>
        <v>0</v>
      </c>
      <c r="FJ384" s="413" t="s">
        <v>1265</v>
      </c>
      <c r="FK384" s="413" t="s">
        <v>1266</v>
      </c>
      <c r="FL384" s="413"/>
      <c r="FM384" s="412"/>
      <c r="FN384" s="412"/>
      <c r="FO384" s="412"/>
      <c r="FP384" s="412"/>
      <c r="FQ384" s="412"/>
      <c r="FR384" s="409">
        <f>10+3</f>
        <v>13</v>
      </c>
      <c r="FS384" s="398">
        <f>IF(FR384=0,0,IF(LEN(FJ384)=11,_xlfn.XLOOKUP(FJ384,'Dispensed Ink Rates'!C:C,'Dispensed Ink Rates'!CS:CS),VLOOKUP(FJ384,'Jan-2026 rates'!$E:$F,2,0)))</f>
        <v>0</v>
      </c>
      <c r="FT384" s="409">
        <v>7</v>
      </c>
      <c r="FU384" s="398">
        <f>IF(FT384=0,0,IF(LEN(FK384)=11,_xlfn.XLOOKUP(FK384,'Dispensed Ink Rates'!C:C,'Dispensed Ink Rates'!CS:CS),VLOOKUP(FK384,'Jan-2026 rates'!$E:$F,2,0)))</f>
        <v>0</v>
      </c>
      <c r="FV384" s="409"/>
      <c r="FW384" s="398">
        <f>IF(FV384=0,0,IF(LEN(FL384)=11,_xlfn.XLOOKUP(FL384,'Dispensed Ink Rates'!C:C,'Dispensed Ink Rates'!CS:CS),VLOOKUP(FL384,'Jan-2026 rates'!$E:$F,2,0)))</f>
        <v>0</v>
      </c>
      <c r="FX384" s="409"/>
      <c r="FY384" s="398">
        <f>IF(FX384=0,0,IF(LEN(FM384)=11,_xlfn.XLOOKUP(FM384,'Dispensed Ink Rates'!C:C,'Dispensed Ink Rates'!CS:CS),VLOOKUP(FM384,'Jan-2026 rates'!$E:$F,2,0)))</f>
        <v>0</v>
      </c>
      <c r="FZ384" s="409"/>
      <c r="GA384" s="398">
        <f>IF(FZ384=0,0,IF(LEN(FN384)=11,_xlfn.XLOOKUP(FN384,'Dispensed Ink Rates'!C:C,'Dispensed Ink Rates'!CS:CS),VLOOKUP(FN384,'Jan-2026 rates'!$E:$F,2,0)))</f>
        <v>0</v>
      </c>
      <c r="GB384" s="409"/>
      <c r="GC384" s="398">
        <f>IF(GB384=0,0,IF(LEN(FO384)=11,_xlfn.XLOOKUP(FO384,'Dispensed Ink Rates'!C:C,'Dispensed Ink Rates'!CS:CS),VLOOKUP(FO384,'Jan-2026 rates'!$E:$F,2,0)))</f>
        <v>0</v>
      </c>
      <c r="GD384" s="409"/>
      <c r="GE384" s="398">
        <f>IF(GD384=0,0,IF(LEN(FP384)=11,_xlfn.XLOOKUP(FP384,'Dispensed Ink Rates'!C:C,'Dispensed Ink Rates'!CS:CS),VLOOKUP(FP384,'Jan-2026 rates'!$E:$F,2,0)))</f>
        <v>0</v>
      </c>
      <c r="GF384" s="409"/>
      <c r="GG384" s="398">
        <f>IF(GF384=0,0,IF(LEN(FQ384)=11,_xlfn.XLOOKUP(FQ384,'Dispensed Ink Rates'!C:C,'Dispensed Ink Rates'!CS:CS),VLOOKUP(FQ384,'Jan-2026 rates'!$E:$F,2,0)))</f>
        <v>0</v>
      </c>
      <c r="GH384" s="409" t="s">
        <v>1443</v>
      </c>
      <c r="GI384" s="409">
        <v>29</v>
      </c>
      <c r="GJ384" s="411">
        <f t="shared" si="224"/>
        <v>0</v>
      </c>
      <c r="GK384" s="411">
        <f t="shared" si="225"/>
        <v>12.692307692307693</v>
      </c>
      <c r="GL384" s="410">
        <f t="shared" si="226"/>
        <v>0</v>
      </c>
      <c r="GM384" s="405" t="s">
        <v>545</v>
      </c>
      <c r="GN384" s="409"/>
      <c r="GO384" s="420" t="str">
        <f t="shared" si="188"/>
        <v>FLINTSL - YELLOW</v>
      </c>
      <c r="GP384" s="409"/>
      <c r="GQ384" s="411">
        <f>IF(GP384=0,0,IF($LB384=70%,VLOOKUP($GO384,'Jan-2026 rates'!$L:$R,4,0),IF($LB384=65%,VLOOKUP($GO384,'Jan-2026 rates'!$L:$R,4,0),IF($LB384=40%,VLOOKUP($GO384,'Jan-2026 rates'!$L:$R,5,0),IF($LB384=30%,VLOOKUP($GO384,'Jan-2026 rates'!$L:$R,6,0),IF($LB384=100%,VLOOKUP($GO384,'Jan-2026 rates'!$L:$R,7,0),IF($LB384=60%,VLOOKUP($GO384,'Jan-2026 rates'!$L:$S,8,0),IF($LB384=80%,VLOOKUP($GO384,'Jan-2026 rates'!L:T,9,0),0))))))))</f>
        <v>0</v>
      </c>
      <c r="GR384" s="412"/>
      <c r="GS384" s="409"/>
      <c r="GT384" s="411">
        <f>IF(GS384=0,0,IF($LB384=70%,VLOOKUP($GO384,'Jan-2026 rates'!$L:$R,4,0),IF($LB384=65%,VLOOKUP($GO384,'Jan-2026 rates'!$L:$R,4,0),IF($LB384=40%,VLOOKUP($GO384,'Jan-2026 rates'!$L:$R,5,0),IF($LB384=30%,VLOOKUP($GO384,'Jan-2026 rates'!$L:$R,6,0),IF($LB384=100%,VLOOKUP($GO384,'Jan-2026 rates'!$L:$R,7,0),IF($LB384=60%,VLOOKUP($GO384,'Jan-2026 rates'!$L:$S,8,0),IF($LB384=80%,VLOOKUP($GO384,'Jan-2026 rates'!L:T,9,0),0))))))))</f>
        <v>0</v>
      </c>
      <c r="GU384" s="413">
        <v>26529000026</v>
      </c>
      <c r="GV384" s="413" t="s">
        <v>1266</v>
      </c>
      <c r="GW384" s="412"/>
      <c r="GX384" s="412"/>
      <c r="GY384" s="412"/>
      <c r="GZ384" s="412"/>
      <c r="HA384" s="412"/>
      <c r="HB384" s="412"/>
      <c r="HC384" s="409">
        <v>10</v>
      </c>
      <c r="HD384" s="398" t="e">
        <f>IF(HC384=0,0,IF(LEN(GU384)=11,_xlfn.XLOOKUP(GU384,'Dispensed Ink Rates'!C:C,'Dispensed Ink Rates'!CS:CS),VLOOKUP(GU384,'Jan-2026 rates'!$E:$F,2,0)))</f>
        <v>#N/A</v>
      </c>
      <c r="HE384" s="409">
        <v>8</v>
      </c>
      <c r="HF384" s="398">
        <f>IF(HE384=0,0,IF(LEN(GV384)=11,_xlfn.XLOOKUP(GV384,'Dispensed Ink Rates'!C:C,'Dispensed Ink Rates'!CS:CS),VLOOKUP(GV384,'Jan-2026 rates'!$E:$F,2,0)))</f>
        <v>0</v>
      </c>
      <c r="HG384" s="409"/>
      <c r="HH384" s="398">
        <f>IF(HG384=0,0,IF(LEN(GW384)=11,_xlfn.XLOOKUP(GW384,'Dispensed Ink Rates'!C:C,'Dispensed Ink Rates'!CS:CS),VLOOKUP(GW384,'Jan-2026 rates'!$E:$F,2,0)))</f>
        <v>0</v>
      </c>
      <c r="HI384" s="409"/>
      <c r="HJ384" s="398">
        <f>IF(HI384=0,0,IF(LEN(GX384)=11,_xlfn.XLOOKUP(GX384,'Dispensed Ink Rates'!C:C,'Dispensed Ink Rates'!CS:CS),VLOOKUP(GX384,'Jan-2026 rates'!$E:$F,2,0)))</f>
        <v>0</v>
      </c>
      <c r="HK384" s="409"/>
      <c r="HL384" s="398">
        <f>IF(HK384=0,0,IF(LEN(GY384)=11,_xlfn.XLOOKUP(GY384,'Dispensed Ink Rates'!C:C,'Dispensed Ink Rates'!CS:CS),VLOOKUP(GY384,'Jan-2026 rates'!$E:$F,2,0)))</f>
        <v>0</v>
      </c>
      <c r="HM384" s="409"/>
      <c r="HN384" s="398">
        <f>IF(HM384=0,0,IF(LEN(GZ384)=11,_xlfn.XLOOKUP(GZ384,'Dispensed Ink Rates'!C:C,'Dispensed Ink Rates'!CS:CS),VLOOKUP(GZ384,'Jan-2026 rates'!$E:$F,2,0)))</f>
        <v>0</v>
      </c>
      <c r="HO384" s="409"/>
      <c r="HP384" s="398">
        <f>IF(HO384=0,0,IF(LEN(HA384)=11,_xlfn.XLOOKUP(HA384,'Dispensed Ink Rates'!C:C,'Dispensed Ink Rates'!CS:CS),VLOOKUP(HA384,'Jan-2026 rates'!$E:$F,2,0)))</f>
        <v>0</v>
      </c>
      <c r="HQ384" s="409"/>
      <c r="HR384" s="398">
        <f>IF(HQ384=0,0,IF(LEN(HB384)=11,_xlfn.XLOOKUP(HB384,'Dispensed Ink Rates'!C:C,'Dispensed Ink Rates'!CS:CS),VLOOKUP(HB384,'Jan-2026 rates'!$E:$F,2,0)))</f>
        <v>0</v>
      </c>
      <c r="HS384" s="409" t="s">
        <v>1443</v>
      </c>
      <c r="HT384" s="409">
        <v>29</v>
      </c>
      <c r="HU384" s="411">
        <f t="shared" si="227"/>
        <v>0</v>
      </c>
      <c r="HV384" s="411">
        <f t="shared" si="228"/>
        <v>10.692307692307693</v>
      </c>
      <c r="HW384" s="414">
        <f t="shared" si="229"/>
        <v>0</v>
      </c>
      <c r="HX384" s="405" t="s">
        <v>828</v>
      </c>
      <c r="HY384" s="409"/>
      <c r="HZ384" s="420" t="str">
        <f t="shared" si="189"/>
        <v>FLINTSL - ORANGE</v>
      </c>
      <c r="IA384" s="409"/>
      <c r="IB384" s="411">
        <f>IF(IA384=0,0,IF($LB384=70%,VLOOKUP($HZ384,'Jan-2026 rates'!$L:$R,4,0),IF($LB384=65%,VLOOKUP($HZ384,'Jan-2026 rates'!$L:$R,4,0),IF($LB384=40%,VLOOKUP($HZ384,'Jan-2026 rates'!$L:$R,5,0),IF($LB384=30%,VLOOKUP($HZ384,'Jan-2026 rates'!$L:$R,6,0),IF($LB384=100%,VLOOKUP($HZ384,'Jan-2026 rates'!$L:$R,7,0),IF($LB384=60%,VLOOKUP($HZ384,'Jan-2026 rates'!$L:$S,8,0),IF($LB384=80%,VLOOKUP($HZ384,'Jan-2026 rates'!L:T,9,0),0))))))))</f>
        <v>0</v>
      </c>
      <c r="IC384" s="412"/>
      <c r="ID384" s="409"/>
      <c r="IE384" s="411">
        <f>IF(ID384=0,0,IF($LB384=70%,VLOOKUP($HZ384,'Jan-2026 rates'!$L:$R,4,0),IF($LB384=65%,VLOOKUP($HZ384,'Jan-2026 rates'!$L:$R,4,0),IF($LB384=40%,VLOOKUP($HZ384,'Jan-2026 rates'!$L:$R,5,0),IF($LB384=30%,VLOOKUP($HZ384,'Jan-2026 rates'!$L:$R,6,0),IF($LB384=100%,VLOOKUP($HZ384,'Jan-2026 rates'!$L:$R,7,0),IF($LB384=60%,VLOOKUP($HZ384,'Jan-2026 rates'!$L:$S,8,0),IF($LB384=80%,VLOOKUP($HZ384,'Jan-2026 rates'!L:T,9,0),0))))))))</f>
        <v>0</v>
      </c>
      <c r="IF384" s="412">
        <v>26527000012</v>
      </c>
      <c r="IG384" s="413">
        <v>26529000018</v>
      </c>
      <c r="IH384" s="412"/>
      <c r="II384" s="412"/>
      <c r="IJ384" s="412"/>
      <c r="IK384" s="412"/>
      <c r="IL384" s="412"/>
      <c r="IM384" s="412"/>
      <c r="IN384" s="409">
        <v>15</v>
      </c>
      <c r="IO384" s="398" t="e">
        <f>IF(IN384=0,0,IF(LEN(IF384)=11,_xlfn.XLOOKUP(IF384,'Dispensed Ink Rates'!C:C,'Dispensed Ink Rates'!CS:CS),VLOOKUP(IF384,'Jan-2026 rates'!$E:$F,2,0)))</f>
        <v>#N/A</v>
      </c>
      <c r="IP384" s="409">
        <f>1+2</f>
        <v>3</v>
      </c>
      <c r="IQ384" s="398" t="e">
        <f>IF(IP384=0,0,IF(LEN(IG384)=11,_xlfn.XLOOKUP(IG384,'Dispensed Ink Rates'!C:C,'Dispensed Ink Rates'!CS:CS),VLOOKUP(IG384,'Jan-2026 rates'!$E:$F,2,0)))</f>
        <v>#N/A</v>
      </c>
      <c r="IR384" s="409"/>
      <c r="IS384" s="398">
        <f>IF(IR384=0,0,IF(LEN(IH384)=11,_xlfn.XLOOKUP(IH384,'Dispensed Ink Rates'!C:C,'Dispensed Ink Rates'!CS:CS),VLOOKUP(IH384,'Jan-2026 rates'!$E:$F,2,0)))</f>
        <v>0</v>
      </c>
      <c r="IT384" s="409"/>
      <c r="IU384" s="398">
        <f>IF(IT384=0,0,IF(LEN(II384)=11,_xlfn.XLOOKUP(II384,'Dispensed Ink Rates'!C:C,'Dispensed Ink Rates'!CS:CS),VLOOKUP(II384,'Jan-2026 rates'!$E:$F,2,0)))</f>
        <v>0</v>
      </c>
      <c r="IV384" s="409"/>
      <c r="IW384" s="398">
        <f>IF(IV384=0,0,IF(LEN(IJ384)=11,_xlfn.XLOOKUP(IJ384,'Dispensed Ink Rates'!C:C,'Dispensed Ink Rates'!CS:CS),VLOOKUP(IJ384,'Jan-2026 rates'!$E:$F,2,0)))</f>
        <v>0</v>
      </c>
      <c r="IX384" s="409"/>
      <c r="IY384" s="398">
        <f>IF(IX384=0,0,IF(LEN(IK384)=11,_xlfn.XLOOKUP(IK384,'Dispensed Ink Rates'!C:C,'Dispensed Ink Rates'!CS:CS),VLOOKUP(IK384,'Jan-2026 rates'!$E:$F,2,0)))</f>
        <v>0</v>
      </c>
      <c r="IZ384" s="409"/>
      <c r="JA384" s="398">
        <f>IF(IZ384=0,0,IF(LEN(IL384)=11,_xlfn.XLOOKUP(IL384,'Dispensed Ink Rates'!C:C,'Dispensed Ink Rates'!CS:CS),VLOOKUP(IL384,'Jan-2026 rates'!$E:$F,2,0)))</f>
        <v>0</v>
      </c>
      <c r="JB384" s="409"/>
      <c r="JC384" s="398">
        <f>IF(JB384=0,0,IF(LEN(IM384)=11,_xlfn.XLOOKUP(IM384,'Dispensed Ink Rates'!C:C,'Dispensed Ink Rates'!CS:CS),VLOOKUP(IM384,'Jan-2026 rates'!$E:$F,2,0)))</f>
        <v>0</v>
      </c>
      <c r="JD384" s="409" t="s">
        <v>1443</v>
      </c>
      <c r="JE384" s="409">
        <v>23</v>
      </c>
      <c r="JF384" s="411">
        <f t="shared" si="230"/>
        <v>0</v>
      </c>
      <c r="JG384" s="411">
        <f t="shared" si="231"/>
        <v>16.692307692307693</v>
      </c>
      <c r="JH384" s="410">
        <f t="shared" si="232"/>
        <v>0</v>
      </c>
      <c r="JI384" s="405" t="s">
        <v>856</v>
      </c>
      <c r="JJ384" s="409" t="s">
        <v>4914</v>
      </c>
      <c r="JK384" s="420" t="str">
        <f t="shared" si="190"/>
        <v>FLINTSL - WHITE</v>
      </c>
      <c r="JL384" s="409">
        <v>30</v>
      </c>
      <c r="JM384" s="411">
        <f>IF(JL384=0,0,IF($LB384=70%,VLOOKUP($JK384,'Jan-2026 rates'!$L:$R,4,0),IF($LB384=65%,VLOOKUP($JK384,'Jan-2026 rates'!$L:$R,4,0),IF($LB384=40%,VLOOKUP($JK384,'Jan-2026 rates'!$L:$R,5,0),IF($LB384=30%,VLOOKUP($JK384,'Jan-2026 rates'!$L:$R,6,0),IF($LB384=100%,VLOOKUP($JK384,'Jan-2026 rates'!$L:$R,7,0),IF($LB384=60%,VLOOKUP($JK384,'Jan-2026 rates'!$L:$S,8,0),IF($LB384=80%,VLOOKUP($JK384,'Jan-2026 rates'!L:T,9,0),0))))))))</f>
        <v>0</v>
      </c>
      <c r="JN384" s="412"/>
      <c r="JO384" s="409"/>
      <c r="JP384" s="411">
        <f>IF(JO384=0,0,IF($LB384=70%,VLOOKUP($JK384,'Jan-2026 rates'!$L:$R,4,0),IF($LB384=65%,VLOOKUP($JK384,'Jan-2026 rates'!$L:$R,4,0),IF($LB384=40%,VLOOKUP($JK384,'Jan-2026 rates'!$L:$R,5,0),IF($LB384=30%,VLOOKUP($JK384,'Jan-2026 rates'!$L:$R,6,0),IF($LB384=100%,VLOOKUP($JK384,'Jan-2026 rates'!$L:$R,7,0),IF($LB384=60%,VLOOKUP($JK384,'Jan-2026 rates'!$L:$S,8,0),IF($LB384=80%,VLOOKUP($JK384,'Jan-2026 rates'!L:T,9,0),0))))))))</f>
        <v>0</v>
      </c>
      <c r="JQ384" s="413" t="s">
        <v>484</v>
      </c>
      <c r="JR384" s="412"/>
      <c r="JS384" s="413"/>
      <c r="JT384" s="413"/>
      <c r="JU384" s="412"/>
      <c r="JV384" s="412"/>
      <c r="JW384" s="412"/>
      <c r="JX384" s="412"/>
      <c r="JY384" s="409">
        <v>20</v>
      </c>
      <c r="JZ384" s="398">
        <f>IF(JY384=0,0,IF(LEN(JQ384)=11,_xlfn.XLOOKUP(JQ384,'Dispensed Ink Rates'!C:C,'Dispensed Ink Rates'!CS:CS),VLOOKUP(JQ384,'Jan-2026 rates'!$E:$F,2,0)))</f>
        <v>0</v>
      </c>
      <c r="KA384" s="409"/>
      <c r="KB384" s="398">
        <f>IF(KA384=0,0,IF(LEN(JR384)=11,_xlfn.XLOOKUP(JR384,'Dispensed Ink Rates'!C:C,'Dispensed Ink Rates'!CS:CS),VLOOKUP(JR384,'Jan-2026 rates'!$E:$F,2,0)))</f>
        <v>0</v>
      </c>
      <c r="KC384" s="409"/>
      <c r="KD384" s="398">
        <f>IF(KC384=0,0,IF(LEN(JS384)=11,_xlfn.XLOOKUP(JS384,'Dispensed Ink Rates'!C:C,'Dispensed Ink Rates'!CS:CS),VLOOKUP(JS384,'Jan-2026 rates'!$E:$F,2,0)))</f>
        <v>0</v>
      </c>
      <c r="KE384" s="409"/>
      <c r="KF384" s="398">
        <f>IF(KE384=0,0,IF(LEN(JT384)=11,_xlfn.XLOOKUP(JT384,'Dispensed Ink Rates'!C:C,'Dispensed Ink Rates'!CS:CS),VLOOKUP(JT384,'Jan-2026 rates'!$E:$F,2,0)))</f>
        <v>0</v>
      </c>
      <c r="KG384" s="409"/>
      <c r="KH384" s="398">
        <f>IF(KG384=0,0,IF(LEN(JU384)=11,_xlfn.XLOOKUP(JU384,'Dispensed Ink Rates'!C:C,'Dispensed Ink Rates'!CS:CS),VLOOKUP(JU384,'Jan-2026 rates'!$E:$F,2,0)))</f>
        <v>0</v>
      </c>
      <c r="KI384" s="409"/>
      <c r="KJ384" s="398">
        <f>IF(KI384=0,0,IF(LEN(JV384)=11,_xlfn.XLOOKUP(JV384,'Dispensed Ink Rates'!C:C,'Dispensed Ink Rates'!CS:CS),VLOOKUP(JV384,'Jan-2026 rates'!$E:$F,2,0)))</f>
        <v>0</v>
      </c>
      <c r="KK384" s="409"/>
      <c r="KL384" s="398">
        <f>IF(KK384=0,0,IF(LEN(JW384)=11,_xlfn.XLOOKUP(JW384,'Dispensed Ink Rates'!C:C,'Dispensed Ink Rates'!CS:CS),VLOOKUP(JW384,'Jan-2026 rates'!$E:$F,2,0)))</f>
        <v>0</v>
      </c>
      <c r="KM384" s="428"/>
      <c r="KN384" s="398">
        <f>IF(KM384=0,0,IF(LEN(JX384)=11,_xlfn.XLOOKUP(JX384,'Dispensed Ink Rates'!C:C,'Dispensed Ink Rates'!CS:CS),VLOOKUP(JX384,'Jan-2026 rates'!$E:$F,2,0)))</f>
        <v>0</v>
      </c>
      <c r="KO384" s="409" t="s">
        <v>1443</v>
      </c>
      <c r="KP384" s="409">
        <v>25</v>
      </c>
      <c r="KQ384" s="411">
        <f t="shared" si="233"/>
        <v>0</v>
      </c>
      <c r="KR384" s="411">
        <f t="shared" si="234"/>
        <v>46.692307692307693</v>
      </c>
      <c r="KS384" s="410">
        <f t="shared" si="235"/>
        <v>0</v>
      </c>
      <c r="KT384" s="409">
        <v>5</v>
      </c>
      <c r="KU384" s="409">
        <v>5</v>
      </c>
      <c r="KV384" s="409">
        <v>5</v>
      </c>
      <c r="KW384" s="409">
        <v>10</v>
      </c>
      <c r="KX384" s="409">
        <v>10</v>
      </c>
      <c r="KY384" s="409">
        <v>10</v>
      </c>
      <c r="KZ384" s="409">
        <v>10</v>
      </c>
      <c r="LA384" s="409">
        <v>10</v>
      </c>
      <c r="LB384" s="415">
        <v>0.8</v>
      </c>
      <c r="LC384" s="415">
        <v>0.2</v>
      </c>
      <c r="LD384" s="424"/>
      <c r="LE384" s="415"/>
      <c r="LF384" s="415"/>
      <c r="LG384" s="409">
        <v>0</v>
      </c>
      <c r="LH384" s="409">
        <f>10+20+80+20+6+5</f>
        <v>141</v>
      </c>
      <c r="LI384" s="409">
        <v>0</v>
      </c>
      <c r="LJ384" s="409">
        <v>0</v>
      </c>
      <c r="LK384" s="416">
        <f t="shared" si="191"/>
        <v>141</v>
      </c>
      <c r="LL384" s="416">
        <f t="shared" si="349"/>
        <v>141</v>
      </c>
      <c r="LM384" s="417">
        <f t="shared" si="193"/>
        <v>112.80000000000001</v>
      </c>
      <c r="LN384" s="417">
        <f>VLOOKUP($LM$8,'Jan-2026 rates'!$H:$I,2,0)</f>
        <v>0</v>
      </c>
      <c r="LO384" s="417">
        <f t="shared" si="194"/>
        <v>28.200000000000003</v>
      </c>
      <c r="LP384" s="417">
        <f>VLOOKUP($LO$8,'Jan-2026 rates'!$H:$I,2,0)</f>
        <v>0</v>
      </c>
      <c r="LQ384" s="417">
        <f t="shared" si="195"/>
        <v>0</v>
      </c>
      <c r="LR384" s="417">
        <f>VLOOKUP($LQ$8,'Jan-2026 rates'!$H:$I,2,0)</f>
        <v>0</v>
      </c>
      <c r="LS384" s="417">
        <f t="shared" si="196"/>
        <v>0</v>
      </c>
      <c r="LT384" s="417">
        <f>VLOOKUP($LS$8,'Jan-2026 rates'!$H:$I,2,0)</f>
        <v>0</v>
      </c>
      <c r="LU384" s="417">
        <f t="shared" si="197"/>
        <v>0</v>
      </c>
      <c r="LV384" s="417">
        <f>VLOOKUP($LU$8,'Jan-2026 rates'!$H:$I,2,0)</f>
        <v>0</v>
      </c>
      <c r="LW384" s="417">
        <f t="shared" si="198"/>
        <v>0</v>
      </c>
      <c r="LX384" s="417">
        <f t="shared" si="199"/>
        <v>0</v>
      </c>
      <c r="LY384" s="418">
        <f t="shared" si="200"/>
        <v>0</v>
      </c>
      <c r="LZ384" s="417"/>
      <c r="MA384" s="435">
        <f t="shared" si="201"/>
        <v>197</v>
      </c>
      <c r="MB384" s="282">
        <f t="shared" si="202"/>
        <v>205.99999999999994</v>
      </c>
      <c r="MC384" s="283">
        <v>225</v>
      </c>
      <c r="MD384" s="284" t="str">
        <f t="shared" si="203"/>
        <v>FLINTSLFLINTSLFLINTSLFLINTSLFLINTSLFLINTSLFLINTSLFLINTSL</v>
      </c>
      <c r="ME384" s="293" t="str">
        <f t="shared" si="204"/>
        <v>+</v>
      </c>
      <c r="MF384" s="293" t="str">
        <f t="shared" si="205"/>
        <v>+</v>
      </c>
      <c r="MG384" s="293" t="str">
        <f t="shared" si="206"/>
        <v>+</v>
      </c>
      <c r="MH384" s="293" t="str">
        <f t="shared" si="207"/>
        <v>+</v>
      </c>
      <c r="MI384" s="293" t="str">
        <f t="shared" si="208"/>
        <v>+</v>
      </c>
      <c r="MJ384" s="293" t="str">
        <f t="shared" si="209"/>
        <v>+</v>
      </c>
      <c r="MK384" s="293" t="str">
        <f t="shared" si="210"/>
        <v>+</v>
      </c>
      <c r="ML384" s="293" t="str">
        <f t="shared" si="211"/>
        <v>+</v>
      </c>
      <c r="MM384" s="3" t="b">
        <f t="array" ref="MM384">OR(ME384:ML384="-")</f>
        <v>0</v>
      </c>
      <c r="MO384" s="401">
        <f t="shared" si="350"/>
        <v>43.923240938166295</v>
      </c>
      <c r="MP384" s="286"/>
      <c r="MR384" s="402">
        <f t="shared" si="351"/>
        <v>8.4426229508196698E-3</v>
      </c>
      <c r="MS384" s="400">
        <f t="shared" si="352"/>
        <v>0</v>
      </c>
      <c r="MT384" s="285"/>
      <c r="NH384" s="361"/>
      <c r="NJ384" s="282"/>
    </row>
    <row r="385" spans="1:374" ht="16.5">
      <c r="A385" s="403">
        <v>46052</v>
      </c>
      <c r="B385" s="404" t="s">
        <v>1015</v>
      </c>
      <c r="C385" s="405" t="s">
        <v>4915</v>
      </c>
      <c r="D385" s="404">
        <v>226</v>
      </c>
      <c r="E385" s="404">
        <v>248</v>
      </c>
      <c r="F385" s="407">
        <v>13500</v>
      </c>
      <c r="G385" s="407" t="s">
        <v>1019</v>
      </c>
      <c r="H385" s="408" t="s">
        <v>1017</v>
      </c>
      <c r="I385" s="409">
        <v>1.26</v>
      </c>
      <c r="J385" s="405" t="s">
        <v>543</v>
      </c>
      <c r="K385" s="404" t="s">
        <v>4916</v>
      </c>
      <c r="L385" s="419" t="str">
        <f t="shared" si="184"/>
        <v>FLINTSL - BLACK</v>
      </c>
      <c r="M385" s="404">
        <v>27</v>
      </c>
      <c r="N385" s="410">
        <f>IF(M385=0,0,IF($LB385=70%,VLOOKUP($L385,'Jan-2026 rates'!$L:$R,4,0),IF($LB385=65%,VLOOKUP($L385,'Jan-2026 rates'!$L:$R,4,0),IF($LB385=40%,VLOOKUP($L385,'Jan-2026 rates'!$L:$R,5,0),IF($LB385=30%,VLOOKUP($L385,'Jan-2026 rates'!$L:$R,6,0),IF($LB385=100%,VLOOKUP($L385,'Jan-2026 rates'!$L:$R,7,0),IF($LB385=60%,VLOOKUP($L385,'Jan-2026 rates'!$L:$S,8,0),IF($LB385=80%,VLOOKUP($L385,'Jan-2026 rates'!L:T,9,0),0))))))))</f>
        <v>0</v>
      </c>
      <c r="O385" s="406"/>
      <c r="P385" s="404"/>
      <c r="Q385" s="410">
        <f>IF(P385=0,0,IF($LB385=70%,VLOOKUP($L385,'Jan-2026 rates'!$L:$R,4,0),IF($LB385=65%,VLOOKUP($L385,'Jan-2026 rates'!$L:$R,4,0),IF($LB385=40%,VLOOKUP($L385,'Jan-2026 rates'!$L:$R,5,0),IF($LB385=30%,VLOOKUP($L385,'Jan-2026 rates'!$L:$R,6,0),IF($LB385=100%,VLOOKUP($L385,'Jan-2026 rates'!$L:$R,7,0),IF($LB385=60%,VLOOKUP($L385,'Jan-2026 rates'!$L:$S,8,0),IF($LB385=80%,VLOOKUP($L385,'Jan-2026 rates'!L:T,9,0),0))))))))</f>
        <v>0</v>
      </c>
      <c r="R385" s="406">
        <v>26530000023</v>
      </c>
      <c r="S385" s="406"/>
      <c r="T385" s="406"/>
      <c r="U385" s="406"/>
      <c r="V385" s="406"/>
      <c r="W385" s="406"/>
      <c r="X385" s="406"/>
      <c r="Y385" s="406"/>
      <c r="Z385" s="404">
        <v>2</v>
      </c>
      <c r="AA385" s="398" t="e">
        <f>IF(Z385=0,0,IF(LEN(R385)=11,_xlfn.XLOOKUP(R385,'Dispensed Ink Rates'!C:C,'Dispensed Ink Rates'!CS:CS),VLOOKUP(R385,'Jan-2026 rates'!$E:$F,2,0)))</f>
        <v>#N/A</v>
      </c>
      <c r="AB385" s="404"/>
      <c r="AC385" s="398">
        <f>IF(AB385=0,0,IF(LEN(S385)=11,_xlfn.XLOOKUP(S385,'Dispensed Ink Rates'!C:C,'Dispensed Ink Rates'!CS:CS),VLOOKUP(S385,'Jan-2026 rates'!$E:$F,2,0)))</f>
        <v>0</v>
      </c>
      <c r="AD385" s="404"/>
      <c r="AE385" s="398">
        <f>IF(AD385=0,0,IF(LEN(T385)=11,_xlfn.XLOOKUP(T385,'Dispensed Ink Rates'!C:C,'Dispensed Ink Rates'!CS:CS),VLOOKUP(T385,'Jan-2026 rates'!$E:$F,2,0)))</f>
        <v>0</v>
      </c>
      <c r="AF385" s="404"/>
      <c r="AG385" s="398">
        <f>IF(AF385=0,0,IF(LEN(U385)=11,_xlfn.XLOOKUP(U385,'Dispensed Ink Rates'!C:C,'Dispensed Ink Rates'!CS:CS),VLOOKUP(U385,'Jan-2026 rates'!$E:$F,2,0)))</f>
        <v>0</v>
      </c>
      <c r="AH385" s="404"/>
      <c r="AI385" s="398">
        <f>IF(AH385=0,0,IF(LEN(V385)=11,_xlfn.XLOOKUP(V385,'Dispensed Ink Rates'!C:C,'Dispensed Ink Rates'!CS:CS),VLOOKUP(V385,'Jan-2026 rates'!$E:$F,2,0)))</f>
        <v>0</v>
      </c>
      <c r="AJ385" s="404"/>
      <c r="AK385" s="398">
        <f>IF(AJ385=0,0,IF(LEN(W385)=11,_xlfn.XLOOKUP(W385,'Dispensed Ink Rates'!C:C,'Dispensed Ink Rates'!CS:CS),VLOOKUP(W385,'Jan-2026 rates'!$E:$F,2,0)))</f>
        <v>0</v>
      </c>
      <c r="AL385" s="404"/>
      <c r="AM385" s="398">
        <f>IF(AL385=0,0,IF(LEN(X385)=11,_xlfn.XLOOKUP(X385,'Dispensed Ink Rates'!C:C,'Dispensed Ink Rates'!CS:CS),VLOOKUP(X385,'Jan-2026 rates'!$E:$F,2,0)))</f>
        <v>0</v>
      </c>
      <c r="AN385" s="404"/>
      <c r="AO385" s="398">
        <f>IF(AN385=0,0,IF(LEN(Y385)=11,_xlfn.XLOOKUP(Y385,'Dispensed Ink Rates'!C:C,'Dispensed Ink Rates'!CS:CS),VLOOKUP(Y385,'Jan-2026 rates'!$E:$F,2,0)))</f>
        <v>0</v>
      </c>
      <c r="AP385" s="409" t="s">
        <v>1443</v>
      </c>
      <c r="AQ385" s="409">
        <v>24</v>
      </c>
      <c r="AR385" s="410">
        <f t="shared" si="212"/>
        <v>0</v>
      </c>
      <c r="AS385" s="411">
        <f t="shared" si="213"/>
        <v>11.692307692307693</v>
      </c>
      <c r="AT385" s="410">
        <f t="shared" si="214"/>
        <v>0</v>
      </c>
      <c r="AU385" s="405" t="s">
        <v>857</v>
      </c>
      <c r="AV385" s="409" t="s">
        <v>4917</v>
      </c>
      <c r="AW385" s="420" t="str">
        <f t="shared" si="348"/>
        <v>FLINTSL - RED</v>
      </c>
      <c r="AX385" s="409">
        <v>30</v>
      </c>
      <c r="AY385" s="411">
        <f>IF(AX385=0,0,IF($LB385=70%,VLOOKUP($AW385,'Jan-2026 rates'!$L:$R,4,0),IF($LB385=65%,VLOOKUP($AW385,'Jan-2026 rates'!$L:$R,4,0),IF($LB385=40%,VLOOKUP($AW385,'Jan-2026 rates'!$L:$R,5,0),IF($LB385=30%,VLOOKUP($AW385,'Jan-2026 rates'!$L:$R,6,0),IF($LB385=100%,VLOOKUP($AW385,'Jan-2026 rates'!$L:$R,7,0),IF($LB385=60%,VLOOKUP($AW385,'Jan-2026 rates'!$L:$S,8,0),IF($LB385=80%,VLOOKUP($AW385,'Jan-2026 rates'!L:T,9,0),0))))))))</f>
        <v>0</v>
      </c>
      <c r="AZ385" s="412"/>
      <c r="BA385" s="409"/>
      <c r="BB385" s="411">
        <f>IF(BA385=0,0,IF($LB385=70%,VLOOKUP($AW385,'Jan-2026 rates'!$L:$R,4,0),IF($LB385=65%,VLOOKUP($AW385,'Jan-2026 rates'!$L:$R,4,0),IF($LB385=40%,VLOOKUP($AW385,'Jan-2026 rates'!$L:$R,5,0),IF($LB385=30%,VLOOKUP($AW385,'Jan-2026 rates'!$L:$R,6,0),IF($LB385=100%,VLOOKUP($AW385,'Jan-2026 rates'!$L:$R,7,0),IF($LB385=60%,VLOOKUP($AW385,'Jan-2026 rates'!$L:$S,8,0),IF($LB385=80%,VLOOKUP($AW385,'Jan-2026 rates'!L:T,9,0),0))))))))</f>
        <v>0</v>
      </c>
      <c r="BC385" s="413" t="s">
        <v>1265</v>
      </c>
      <c r="BD385" s="412"/>
      <c r="BE385" s="412"/>
      <c r="BF385" s="413"/>
      <c r="BG385" s="412"/>
      <c r="BH385" s="412"/>
      <c r="BI385" s="412"/>
      <c r="BJ385" s="412"/>
      <c r="BK385" s="409">
        <v>6</v>
      </c>
      <c r="BL385" s="398">
        <f>IF(BK385=0,0,IF(LEN(BC385)=11,_xlfn.XLOOKUP(BC385,'Dispensed Ink Rates'!C:C,'Dispensed Ink Rates'!CS:CS),VLOOKUP(BC385,'Jan-2026 rates'!$E:$F,2,0)))</f>
        <v>0</v>
      </c>
      <c r="BM385" s="409"/>
      <c r="BN385" s="398">
        <f>IF(BM385=0,0,IF(LEN(BD385)=11,_xlfn.XLOOKUP(BD385,'Dispensed Ink Rates'!C:C,'Dispensed Ink Rates'!CS:CS),VLOOKUP(BD385,'Jan-2026 rates'!$E:$F,2,0)))</f>
        <v>0</v>
      </c>
      <c r="BO385" s="409"/>
      <c r="BP385" s="398">
        <f>IF(BO385=0,0,IF(LEN(BE385)=11,_xlfn.XLOOKUP(BE385,'Dispensed Ink Rates'!C:C,'Dispensed Ink Rates'!CS:CS),VLOOKUP(BE385,'Jan-2026 rates'!$E:$F,2,0)))</f>
        <v>0</v>
      </c>
      <c r="BQ385" s="409"/>
      <c r="BR385" s="398">
        <f>IF(BQ385=0,0,IF(LEN(BF385)=11,_xlfn.XLOOKUP(BF385,'Dispensed Ink Rates'!C:C,'Dispensed Ink Rates'!CS:CS),VLOOKUP(BF385,'Jan-2026 rates'!$E:$F,2,0)))</f>
        <v>0</v>
      </c>
      <c r="BS385" s="409"/>
      <c r="BT385" s="398">
        <f>IF(BS385=0,0,IF(LEN(BG385)=11,_xlfn.XLOOKUP(BG385,'Dispensed Ink Rates'!C:C,'Dispensed Ink Rates'!CS:CS),VLOOKUP(BG385,'Jan-2026 rates'!$E:$F,2,0)))</f>
        <v>0</v>
      </c>
      <c r="BU385" s="409"/>
      <c r="BV385" s="398">
        <f>IF(BU385=0,0,IF(LEN(BH385)=11,_xlfn.XLOOKUP(BH385,'Dispensed Ink Rates'!C:C,'Dispensed Ink Rates'!CS:CS),VLOOKUP(BH385,'Jan-2026 rates'!$E:$F,2,0)))</f>
        <v>0</v>
      </c>
      <c r="BW385" s="409"/>
      <c r="BX385" s="398">
        <f>IF(BW385=0,0,IF(LEN(BI385)=11,_xlfn.XLOOKUP(BI385,'Dispensed Ink Rates'!C:C,'Dispensed Ink Rates'!CS:CS),VLOOKUP(BI385,'Jan-2026 rates'!$E:$F,2,0)))</f>
        <v>0</v>
      </c>
      <c r="BY385" s="409"/>
      <c r="BZ385" s="398">
        <f>IF(BY385=0,0,IF(LEN(BJ385)=11,_xlfn.XLOOKUP(BJ385,'Dispensed Ink Rates'!C:C,'Dispensed Ink Rates'!CS:CS),VLOOKUP(BJ385,'Jan-2026 rates'!$E:$F,2,0)))</f>
        <v>0</v>
      </c>
      <c r="CA385" s="409" t="s">
        <v>1443</v>
      </c>
      <c r="CB385" s="409">
        <v>29</v>
      </c>
      <c r="CC385" s="411">
        <f t="shared" si="215"/>
        <v>0</v>
      </c>
      <c r="CD385" s="411">
        <f t="shared" si="216"/>
        <v>13.692307692307693</v>
      </c>
      <c r="CE385" s="410">
        <f t="shared" si="217"/>
        <v>0</v>
      </c>
      <c r="CF385" s="404" t="s">
        <v>857</v>
      </c>
      <c r="CG385" s="409" t="s">
        <v>4918</v>
      </c>
      <c r="CH385" s="420" t="str">
        <f t="shared" si="185"/>
        <v>FLINTSL - RED</v>
      </c>
      <c r="CI385" s="409">
        <v>27</v>
      </c>
      <c r="CJ385" s="411">
        <f>IF(CI385=0,0,IF($LB385=70%,VLOOKUP($CH385,'Jan-2026 rates'!$L:$R,4,0),IF($LB385=65%,VLOOKUP($CH385,'Jan-2026 rates'!$L:$R,4,0),IF($LB385=40%,VLOOKUP($CH385,'Jan-2026 rates'!$L:$R,5,0),IF($LB385=30%,VLOOKUP($CH385,'Jan-2026 rates'!$L:$R,6,0),IF($LB385=100%,VLOOKUP($CH385,'Jan-2026 rates'!$L:$R,7,0),IF($LB385=60%,VLOOKUP($CH385,'Jan-2026 rates'!$L:$S,8,0),IF($LB385=80%,VLOOKUP($CH385,'Jan-2026 rates'!L:T,9,0),0))))))))</f>
        <v>0</v>
      </c>
      <c r="CK385" s="412"/>
      <c r="CL385" s="409"/>
      <c r="CM385" s="411">
        <f>IF(CL385=0,0,IF($LB385=70%,VLOOKUP($CH385,'Jan-2026 rates'!$L:$R,4,0),IF($LB385=65%,VLOOKUP($CH385,'Jan-2026 rates'!$L:$R,4,0),IF($LB385=40%,VLOOKUP($CH385,'Jan-2026 rates'!$L:$R,5,0),IF($LB385=30%,VLOOKUP($CH385,'Jan-2026 rates'!$L:$R,6,0),IF($LB385=100%,VLOOKUP($CH385,'Jan-2026 rates'!$L:$R,7,0),IF($LB385=60%,VLOOKUP($CH385,'Jan-2026 rates'!$L:$S,8,0),IF($LB385=80%,VLOOKUP($CH385,'Jan-2026 rates'!L:T,9,0),0))))))))</f>
        <v>0</v>
      </c>
      <c r="CN385" s="426" t="s">
        <v>1266</v>
      </c>
      <c r="CO385" s="427">
        <v>26530000035</v>
      </c>
      <c r="CP385" s="426" t="s">
        <v>1265</v>
      </c>
      <c r="CQ385" s="426"/>
      <c r="CR385" s="428"/>
      <c r="CS385" s="428"/>
      <c r="CT385" s="428"/>
      <c r="CU385" s="428"/>
      <c r="CV385" s="409">
        <f>6+2</f>
        <v>8</v>
      </c>
      <c r="CW385" s="398">
        <f>IF(CV385=0,0,IF(LEN(CN385)=11,_xlfn.XLOOKUP(CN385,'Dispensed Ink Rates'!C:C,'Dispensed Ink Rates'!CS:CS),VLOOKUP(CN385,'Jan-2026 rates'!$E:$F,2,0)))</f>
        <v>0</v>
      </c>
      <c r="CX385" s="409">
        <v>2</v>
      </c>
      <c r="CY385" s="398" t="e">
        <f>IF(CX385=0,0,IF(LEN(CO385)=11,_xlfn.XLOOKUP(CO385,'Dispensed Ink Rates'!C:C,'Dispensed Ink Rates'!CS:CS),VLOOKUP(CO385,'Jan-2026 rates'!$E:$F,2,0)))</f>
        <v>#N/A</v>
      </c>
      <c r="CZ385" s="409">
        <v>2</v>
      </c>
      <c r="DA385" s="398">
        <f>IF(CZ385=0,0,IF(LEN(CP385)=11,_xlfn.XLOOKUP(CP385,'Dispensed Ink Rates'!C:C,'Dispensed Ink Rates'!CS:CS),VLOOKUP(CP385,'Jan-2026 rates'!$E:$F,2,0)))</f>
        <v>0</v>
      </c>
      <c r="DB385" s="409"/>
      <c r="DC385" s="398">
        <f>IF(DB385=0,0,IF(LEN(CQ385)=11,_xlfn.XLOOKUP(CQ385,'Dispensed Ink Rates'!C:C,'Dispensed Ink Rates'!CS:CS),VLOOKUP(CQ385,'Jan-2026 rates'!$E:$F,2,0)))</f>
        <v>0</v>
      </c>
      <c r="DD385" s="409"/>
      <c r="DE385" s="398">
        <f>IF(DD385=0,0,IF(LEN(CR385)=11,_xlfn.XLOOKUP(CR385,'Dispensed Ink Rates'!C:C,'Dispensed Ink Rates'!CS:CS),VLOOKUP(CR385,'Jan-2026 rates'!$E:$F,2,0)))</f>
        <v>0</v>
      </c>
      <c r="DF385" s="409"/>
      <c r="DG385" s="398">
        <f>IF(DF385=0,0,IF(LEN(CS385)=11,_xlfn.XLOOKUP(CS385,'Dispensed Ink Rates'!C:C,'Dispensed Ink Rates'!CS:CS),VLOOKUP(CS385,'Jan-2026 rates'!$E:$F,2,0)))</f>
        <v>0</v>
      </c>
      <c r="DH385" s="409"/>
      <c r="DI385" s="398">
        <f>IF(DH385=0,0,IF(LEN(CT385)=11,_xlfn.XLOOKUP(CT385,'Dispensed Ink Rates'!C:C,'Dispensed Ink Rates'!CS:CS),VLOOKUP(CT385,'Jan-2026 rates'!$E:$F,2,0)))</f>
        <v>0</v>
      </c>
      <c r="DJ385" s="409"/>
      <c r="DK385" s="398">
        <f>IF(DJ385=0,0,IF(LEN(CU385)=11,_xlfn.XLOOKUP(CU385,'Dispensed Ink Rates'!C:C,'Dispensed Ink Rates'!CS:CS),VLOOKUP(CU385,'Jan-2026 rates'!$E:$F,2,0)))</f>
        <v>0</v>
      </c>
      <c r="DL385" s="409" t="s">
        <v>1443</v>
      </c>
      <c r="DM385" s="409">
        <v>30</v>
      </c>
      <c r="DN385" s="411">
        <f t="shared" si="218"/>
        <v>0</v>
      </c>
      <c r="DO385" s="411">
        <f t="shared" si="219"/>
        <v>15.692307692307693</v>
      </c>
      <c r="DP385" s="410">
        <f t="shared" si="220"/>
        <v>0</v>
      </c>
      <c r="DQ385" s="405" t="s">
        <v>828</v>
      </c>
      <c r="DR385" s="409"/>
      <c r="DS385" s="420" t="str">
        <f t="shared" si="186"/>
        <v>FLINTSL - ORANGE</v>
      </c>
      <c r="DT385" s="409"/>
      <c r="DU385" s="411">
        <f>IF(DT385=0,0,IF($LB385=70%,VLOOKUP($DS385,'Jan-2026 rates'!$L:$R,4,0),IF($LB385=65%,VLOOKUP($DS385,'Jan-2026 rates'!$L:$R,4,0),IF($LB385=40%,VLOOKUP($DS385,'Jan-2026 rates'!$L:$R,5,0),IF($LB385=30%,VLOOKUP($DS385,'Jan-2026 rates'!$L:$R,6,0),IF($LB385=100%,VLOOKUP($DS385,'Jan-2026 rates'!$L:$R,7,0),IF($LB385=60%,VLOOKUP($DS385,'Jan-2026 rates'!$L:$S,8,0),IF($LB385=80%,VLOOKUP($DS385,'Jan-2026 rates'!L:T,9,0),0))))))))</f>
        <v>0</v>
      </c>
      <c r="DV385" s="412"/>
      <c r="DW385" s="409"/>
      <c r="DX385" s="411">
        <f>IF(DW385=0,0,IF($LB385=70%,VLOOKUP($DS385,'Jan-2026 rates'!$L:$R,4,0),IF($LB385=65%,VLOOKUP($DS385,'Jan-2026 rates'!$L:$R,4,0),IF($LB385=40%,VLOOKUP($DS385,'Jan-2026 rates'!$L:$R,5,0),IF($LB385=30%,VLOOKUP($DS385,'Jan-2026 rates'!$L:$R,6,0),IF($LB385=100%,VLOOKUP($DS385,'Jan-2026 rates'!$L:$R,7,0),IF($LB385=60%,VLOOKUP($DS385,'Jan-2026 rates'!$L:$S,8,0),IF($LB385=80%,VLOOKUP($DS385,'Jan-2026 rates'!L:T,9,0),0))))))))</f>
        <v>0</v>
      </c>
      <c r="DY385" s="413">
        <v>26529000026</v>
      </c>
      <c r="DZ385" s="413">
        <v>26529000042</v>
      </c>
      <c r="EA385" s="412" t="s">
        <v>1265</v>
      </c>
      <c r="EB385" s="412">
        <v>26530000035</v>
      </c>
      <c r="EC385" s="412">
        <v>26530000023</v>
      </c>
      <c r="ED385" s="412"/>
      <c r="EE385" s="412"/>
      <c r="EF385" s="412"/>
      <c r="EG385" s="409">
        <v>20</v>
      </c>
      <c r="EH385" s="398" t="e">
        <f>IF(EG385=0,0,IF(LEN(DY385)=11,_xlfn.XLOOKUP(DY385,'Dispensed Ink Rates'!C:C,'Dispensed Ink Rates'!CS:CS),VLOOKUP(DY385,'Jan-2026 rates'!$E:$F,2,0)))</f>
        <v>#N/A</v>
      </c>
      <c r="EI385" s="409">
        <v>30</v>
      </c>
      <c r="EJ385" s="398" t="e">
        <f>IF(EI385=0,0,IF(LEN(DZ385)=11,_xlfn.XLOOKUP(DZ385,'Dispensed Ink Rates'!C:C,'Dispensed Ink Rates'!CS:CS),VLOOKUP(DZ385,'Jan-2026 rates'!$E:$F,2,0)))</f>
        <v>#N/A</v>
      </c>
      <c r="EK385" s="409">
        <v>0.2</v>
      </c>
      <c r="EL385" s="398">
        <f>IF(EK385=0,0,IF(LEN(EA385)=11,_xlfn.XLOOKUP(EA385,'Dispensed Ink Rates'!C:C,'Dispensed Ink Rates'!CS:CS),VLOOKUP(EA385,'Jan-2026 rates'!$E:$F,2,0)))</f>
        <v>0</v>
      </c>
      <c r="EM385" s="409">
        <v>4</v>
      </c>
      <c r="EN385" s="398" t="e">
        <f>IF(EM385=0,0,IF(LEN(EB385)=11,_xlfn.XLOOKUP(EB385,'Dispensed Ink Rates'!C:C,'Dispensed Ink Rates'!CS:CS),VLOOKUP(EB385,'Jan-2026 rates'!$E:$F,2,0)))</f>
        <v>#N/A</v>
      </c>
      <c r="EO385" s="409">
        <v>0.2</v>
      </c>
      <c r="EP385" s="398" t="e">
        <f>IF(EO385=0,0,IF(LEN(EC385)=11,_xlfn.XLOOKUP(EC385,'Dispensed Ink Rates'!C:C,'Dispensed Ink Rates'!CS:CS),VLOOKUP(EC385,'Jan-2026 rates'!$E:$F,2,0)))</f>
        <v>#N/A</v>
      </c>
      <c r="EQ385" s="409"/>
      <c r="ER385" s="398">
        <f>IF(EQ385=0,0,IF(LEN(ED385)=11,_xlfn.XLOOKUP(ED385,'Dispensed Ink Rates'!C:C,'Dispensed Ink Rates'!CS:CS),VLOOKUP(ED385,'Jan-2026 rates'!$E:$F,2,0)))</f>
        <v>0</v>
      </c>
      <c r="ES385" s="409"/>
      <c r="ET385" s="398">
        <f>IF(ES385=0,0,IF(LEN(EE385)=11,_xlfn.XLOOKUP(EE385,'Dispensed Ink Rates'!C:C,'Dispensed Ink Rates'!CS:CS),VLOOKUP(EE385,'Jan-2026 rates'!$E:$F,2,0)))</f>
        <v>0</v>
      </c>
      <c r="EU385" s="409"/>
      <c r="EV385" s="398">
        <f>IF(EU385=0,0,IF(LEN(EF385)=11,_xlfn.XLOOKUP(EF385,'Dispensed Ink Rates'!C:C,'Dispensed Ink Rates'!CS:CS),VLOOKUP(EF385,'Jan-2026 rates'!$E:$F,2,0)))</f>
        <v>0</v>
      </c>
      <c r="EW385" s="409" t="s">
        <v>1443</v>
      </c>
      <c r="EX385" s="409">
        <v>27</v>
      </c>
      <c r="EY385" s="411">
        <f t="shared" si="221"/>
        <v>0</v>
      </c>
      <c r="EZ385" s="411">
        <f t="shared" si="222"/>
        <v>54.169230769230779</v>
      </c>
      <c r="FA385" s="410">
        <f t="shared" si="223"/>
        <v>0</v>
      </c>
      <c r="FB385" s="405" t="s">
        <v>855</v>
      </c>
      <c r="FC385" s="409" t="s">
        <v>4919</v>
      </c>
      <c r="FD385" s="420" t="str">
        <f t="shared" si="187"/>
        <v>FLINTSL - CYAN</v>
      </c>
      <c r="FE385" s="409">
        <v>26</v>
      </c>
      <c r="FF385" s="411">
        <f>IF(FE385=0,0,IF($LB385=70%,VLOOKUP($FD385,'Jan-2026 rates'!$L:$R,4,0),IF($LB385=65%,VLOOKUP($FD385,'Jan-2026 rates'!$L:$R,4,0),IF($LB385=40%,VLOOKUP($FD385,'Jan-2026 rates'!$L:$R,5,0),IF($LB385=30%,VLOOKUP($FD385,'Jan-2026 rates'!$L:$R,6,0),IF($LB385=100%,VLOOKUP($FD385,'Jan-2026 rates'!$L:$R,7,0),IF($LB385=60%,VLOOKUP($FD385,'Jan-2026 rates'!$L:$S,8,0),IF($LB385=80%,VLOOKUP($FD385,'Jan-2026 rates'!L:T,9,0),0))))))))</f>
        <v>0</v>
      </c>
      <c r="FG385" s="412"/>
      <c r="FH385" s="409"/>
      <c r="FI385" s="411">
        <f>IF(FH385=0,0,IF($LB385=70%,VLOOKUP($FD385,'Jan-2026 rates'!$L:$R,4,0),IF($LB385=65%,VLOOKUP($FD385,'Jan-2026 rates'!$L:$R,4,0),IF($LB385=40%,VLOOKUP($FD385,'Jan-2026 rates'!$L:$R,5,0),IF($LB385=30%,VLOOKUP($FD385,'Jan-2026 rates'!$L:$R,6,0),IF($LB385=100%,VLOOKUP($FD385,'Jan-2026 rates'!$L:$R,7,0),IF($LB385=60%,VLOOKUP($FD385,'Jan-2026 rates'!$L:$S,8,0),IF($LB385=80%,VLOOKUP($FD385,'Jan-2026 rates'!L:T,9,0),0))))))))</f>
        <v>0</v>
      </c>
      <c r="FJ385" s="413">
        <v>26527000019</v>
      </c>
      <c r="FK385" s="413"/>
      <c r="FL385" s="413"/>
      <c r="FM385" s="412"/>
      <c r="FN385" s="412"/>
      <c r="FO385" s="412"/>
      <c r="FP385" s="412"/>
      <c r="FQ385" s="412"/>
      <c r="FR385" s="409">
        <v>6</v>
      </c>
      <c r="FS385" s="398" t="e">
        <f>IF(FR385=0,0,IF(LEN(FJ385)=11,_xlfn.XLOOKUP(FJ385,'Dispensed Ink Rates'!C:C,'Dispensed Ink Rates'!CS:CS),VLOOKUP(FJ385,'Jan-2026 rates'!$E:$F,2,0)))</f>
        <v>#N/A</v>
      </c>
      <c r="FT385" s="409"/>
      <c r="FU385" s="398">
        <f>IF(FT385=0,0,IF(LEN(FK385)=11,_xlfn.XLOOKUP(FK385,'Dispensed Ink Rates'!C:C,'Dispensed Ink Rates'!CS:CS),VLOOKUP(FK385,'Jan-2026 rates'!$E:$F,2,0)))</f>
        <v>0</v>
      </c>
      <c r="FV385" s="409"/>
      <c r="FW385" s="398">
        <f>IF(FV385=0,0,IF(LEN(FL385)=11,_xlfn.XLOOKUP(FL385,'Dispensed Ink Rates'!C:C,'Dispensed Ink Rates'!CS:CS),VLOOKUP(FL385,'Jan-2026 rates'!$E:$F,2,0)))</f>
        <v>0</v>
      </c>
      <c r="FX385" s="409"/>
      <c r="FY385" s="398">
        <f>IF(FX385=0,0,IF(LEN(FM385)=11,_xlfn.XLOOKUP(FM385,'Dispensed Ink Rates'!C:C,'Dispensed Ink Rates'!CS:CS),VLOOKUP(FM385,'Jan-2026 rates'!$E:$F,2,0)))</f>
        <v>0</v>
      </c>
      <c r="FZ385" s="409"/>
      <c r="GA385" s="398">
        <f>IF(FZ385=0,0,IF(LEN(FN385)=11,_xlfn.XLOOKUP(FN385,'Dispensed Ink Rates'!C:C,'Dispensed Ink Rates'!CS:CS),VLOOKUP(FN385,'Jan-2026 rates'!$E:$F,2,0)))</f>
        <v>0</v>
      </c>
      <c r="GB385" s="409"/>
      <c r="GC385" s="398">
        <f>IF(GB385=0,0,IF(LEN(FO385)=11,_xlfn.XLOOKUP(FO385,'Dispensed Ink Rates'!C:C,'Dispensed Ink Rates'!CS:CS),VLOOKUP(FO385,'Jan-2026 rates'!$E:$F,2,0)))</f>
        <v>0</v>
      </c>
      <c r="GD385" s="409"/>
      <c r="GE385" s="398">
        <f>IF(GD385=0,0,IF(LEN(FP385)=11,_xlfn.XLOOKUP(FP385,'Dispensed Ink Rates'!C:C,'Dispensed Ink Rates'!CS:CS),VLOOKUP(FP385,'Jan-2026 rates'!$E:$F,2,0)))</f>
        <v>0</v>
      </c>
      <c r="GF385" s="409"/>
      <c r="GG385" s="398">
        <f>IF(GF385=0,0,IF(LEN(FQ385)=11,_xlfn.XLOOKUP(FQ385,'Dispensed Ink Rates'!C:C,'Dispensed Ink Rates'!CS:CS),VLOOKUP(FQ385,'Jan-2026 rates'!$E:$F,2,0)))</f>
        <v>0</v>
      </c>
      <c r="GH385" s="409" t="s">
        <v>1443</v>
      </c>
      <c r="GI385" s="409">
        <v>28</v>
      </c>
      <c r="GJ385" s="411">
        <f t="shared" si="224"/>
        <v>0</v>
      </c>
      <c r="GK385" s="411">
        <f t="shared" si="225"/>
        <v>10.692307692307693</v>
      </c>
      <c r="GL385" s="410">
        <f t="shared" si="226"/>
        <v>0</v>
      </c>
      <c r="GM385" s="405" t="s">
        <v>544</v>
      </c>
      <c r="GN385" s="409" t="s">
        <v>4920</v>
      </c>
      <c r="GO385" s="420" t="str">
        <f t="shared" si="188"/>
        <v>FLINTSL - MAGENTA</v>
      </c>
      <c r="GP385" s="409">
        <v>29</v>
      </c>
      <c r="GQ385" s="411">
        <f>IF(GP385=0,0,IF($LB385=70%,VLOOKUP($GO385,'Jan-2026 rates'!$L:$R,4,0),IF($LB385=65%,VLOOKUP($GO385,'Jan-2026 rates'!$L:$R,4,0),IF($LB385=40%,VLOOKUP($GO385,'Jan-2026 rates'!$L:$R,5,0),IF($LB385=30%,VLOOKUP($GO385,'Jan-2026 rates'!$L:$R,6,0),IF($LB385=100%,VLOOKUP($GO385,'Jan-2026 rates'!$L:$R,7,0),IF($LB385=60%,VLOOKUP($GO385,'Jan-2026 rates'!$L:$S,8,0),IF($LB385=80%,VLOOKUP($GO385,'Jan-2026 rates'!L:T,9,0),0))))))))</f>
        <v>0</v>
      </c>
      <c r="GR385" s="412"/>
      <c r="GS385" s="409"/>
      <c r="GT385" s="411">
        <f>IF(GS385=0,0,IF($LB385=70%,VLOOKUP($GO385,'Jan-2026 rates'!$L:$R,4,0),IF($LB385=65%,VLOOKUP($GO385,'Jan-2026 rates'!$L:$R,4,0),IF($LB385=40%,VLOOKUP($GO385,'Jan-2026 rates'!$L:$R,5,0),IF($LB385=30%,VLOOKUP($GO385,'Jan-2026 rates'!$L:$R,6,0),IF($LB385=100%,VLOOKUP($GO385,'Jan-2026 rates'!$L:$R,7,0),IF($LB385=60%,VLOOKUP($GO385,'Jan-2026 rates'!$L:$S,8,0),IF($LB385=80%,VLOOKUP($GO385,'Jan-2026 rates'!L:T,9,0),0))))))))</f>
        <v>0</v>
      </c>
      <c r="GU385" s="413" t="s">
        <v>1265</v>
      </c>
      <c r="GV385" s="413"/>
      <c r="GW385" s="412"/>
      <c r="GX385" s="412"/>
      <c r="GY385" s="412"/>
      <c r="GZ385" s="412"/>
      <c r="HA385" s="412"/>
      <c r="HB385" s="412"/>
      <c r="HC385" s="409">
        <v>4</v>
      </c>
      <c r="HD385" s="398">
        <f>IF(HC385=0,0,IF(LEN(GU385)=11,_xlfn.XLOOKUP(GU385,'Dispensed Ink Rates'!C:C,'Dispensed Ink Rates'!CS:CS),VLOOKUP(GU385,'Jan-2026 rates'!$E:$F,2,0)))</f>
        <v>0</v>
      </c>
      <c r="HE385" s="409"/>
      <c r="HF385" s="398">
        <f>IF(HE385=0,0,IF(LEN(GV385)=11,_xlfn.XLOOKUP(GV385,'Dispensed Ink Rates'!C:C,'Dispensed Ink Rates'!CS:CS),VLOOKUP(GV385,'Jan-2026 rates'!$E:$F,2,0)))</f>
        <v>0</v>
      </c>
      <c r="HG385" s="409"/>
      <c r="HH385" s="398">
        <f>IF(HG385=0,0,IF(LEN(GW385)=11,_xlfn.XLOOKUP(GW385,'Dispensed Ink Rates'!C:C,'Dispensed Ink Rates'!CS:CS),VLOOKUP(GW385,'Jan-2026 rates'!$E:$F,2,0)))</f>
        <v>0</v>
      </c>
      <c r="HI385" s="409"/>
      <c r="HJ385" s="398">
        <f>IF(HI385=0,0,IF(LEN(GX385)=11,_xlfn.XLOOKUP(GX385,'Dispensed Ink Rates'!C:C,'Dispensed Ink Rates'!CS:CS),VLOOKUP(GX385,'Jan-2026 rates'!$E:$F,2,0)))</f>
        <v>0</v>
      </c>
      <c r="HK385" s="409"/>
      <c r="HL385" s="398">
        <f>IF(HK385=0,0,IF(LEN(GY385)=11,_xlfn.XLOOKUP(GY385,'Dispensed Ink Rates'!C:C,'Dispensed Ink Rates'!CS:CS),VLOOKUP(GY385,'Jan-2026 rates'!$E:$F,2,0)))</f>
        <v>0</v>
      </c>
      <c r="HM385" s="409"/>
      <c r="HN385" s="398">
        <f>IF(HM385=0,0,IF(LEN(GZ385)=11,_xlfn.XLOOKUP(GZ385,'Dispensed Ink Rates'!C:C,'Dispensed Ink Rates'!CS:CS),VLOOKUP(GZ385,'Jan-2026 rates'!$E:$F,2,0)))</f>
        <v>0</v>
      </c>
      <c r="HO385" s="409"/>
      <c r="HP385" s="398">
        <f>IF(HO385=0,0,IF(LEN(HA385)=11,_xlfn.XLOOKUP(HA385,'Dispensed Ink Rates'!C:C,'Dispensed Ink Rates'!CS:CS),VLOOKUP(HA385,'Jan-2026 rates'!$E:$F,2,0)))</f>
        <v>0</v>
      </c>
      <c r="HQ385" s="409"/>
      <c r="HR385" s="398">
        <f>IF(HQ385=0,0,IF(LEN(HB385)=11,_xlfn.XLOOKUP(HB385,'Dispensed Ink Rates'!C:C,'Dispensed Ink Rates'!CS:CS),VLOOKUP(HB385,'Jan-2026 rates'!$E:$F,2,0)))</f>
        <v>0</v>
      </c>
      <c r="HS385" s="409" t="s">
        <v>1443</v>
      </c>
      <c r="HT385" s="409">
        <v>29</v>
      </c>
      <c r="HU385" s="411">
        <f t="shared" si="227"/>
        <v>0</v>
      </c>
      <c r="HV385" s="411">
        <f t="shared" si="228"/>
        <v>10.692307692307693</v>
      </c>
      <c r="HW385" s="414">
        <f t="shared" si="229"/>
        <v>0</v>
      </c>
      <c r="HX385" s="405" t="s">
        <v>545</v>
      </c>
      <c r="HY385" s="409" t="s">
        <v>4921</v>
      </c>
      <c r="HZ385" s="420" t="str">
        <f t="shared" si="189"/>
        <v>FLINTSL - YELLOW</v>
      </c>
      <c r="IA385" s="409">
        <v>29</v>
      </c>
      <c r="IB385" s="411">
        <f>IF(IA385=0,0,IF($LB385=70%,VLOOKUP($HZ385,'Jan-2026 rates'!$L:$R,4,0),IF($LB385=65%,VLOOKUP($HZ385,'Jan-2026 rates'!$L:$R,4,0),IF($LB385=40%,VLOOKUP($HZ385,'Jan-2026 rates'!$L:$R,5,0),IF($LB385=30%,VLOOKUP($HZ385,'Jan-2026 rates'!$L:$R,6,0),IF($LB385=100%,VLOOKUP($HZ385,'Jan-2026 rates'!$L:$R,7,0),IF($LB385=60%,VLOOKUP($HZ385,'Jan-2026 rates'!$L:$S,8,0),IF($LB385=80%,VLOOKUP($HZ385,'Jan-2026 rates'!L:T,9,0),0))))))))</f>
        <v>0</v>
      </c>
      <c r="IC385" s="412"/>
      <c r="ID385" s="409"/>
      <c r="IE385" s="411">
        <f>IF(ID385=0,0,IF($LB385=70%,VLOOKUP($HZ385,'Jan-2026 rates'!$L:$R,4,0),IF($LB385=65%,VLOOKUP($HZ385,'Jan-2026 rates'!$L:$R,4,0),IF($LB385=40%,VLOOKUP($HZ385,'Jan-2026 rates'!$L:$R,5,0),IF($LB385=30%,VLOOKUP($HZ385,'Jan-2026 rates'!$L:$R,6,0),IF($LB385=100%,VLOOKUP($HZ385,'Jan-2026 rates'!$L:$R,7,0),IF($LB385=60%,VLOOKUP($HZ385,'Jan-2026 rates'!$L:$S,8,0),IF($LB385=80%,VLOOKUP($HZ385,'Jan-2026 rates'!L:T,9,0),0))))))))</f>
        <v>0</v>
      </c>
      <c r="IF385" s="412">
        <v>26529000026</v>
      </c>
      <c r="IG385" s="413" t="s">
        <v>1266</v>
      </c>
      <c r="IH385" s="412"/>
      <c r="II385" s="412"/>
      <c r="IJ385" s="412"/>
      <c r="IK385" s="412"/>
      <c r="IL385" s="412"/>
      <c r="IM385" s="412"/>
      <c r="IN385" s="409">
        <v>6</v>
      </c>
      <c r="IO385" s="398" t="e">
        <f>IF(IN385=0,0,IF(LEN(IF385)=11,_xlfn.XLOOKUP(IF385,'Dispensed Ink Rates'!C:C,'Dispensed Ink Rates'!CS:CS),VLOOKUP(IF385,'Jan-2026 rates'!$E:$F,2,0)))</f>
        <v>#N/A</v>
      </c>
      <c r="IP385" s="409">
        <v>4</v>
      </c>
      <c r="IQ385" s="398">
        <f>IF(IP385=0,0,IF(LEN(IG385)=11,_xlfn.XLOOKUP(IG385,'Dispensed Ink Rates'!C:C,'Dispensed Ink Rates'!CS:CS),VLOOKUP(IG385,'Jan-2026 rates'!$E:$F,2,0)))</f>
        <v>0</v>
      </c>
      <c r="IR385" s="409"/>
      <c r="IS385" s="398">
        <f>IF(IR385=0,0,IF(LEN(IH385)=11,_xlfn.XLOOKUP(IH385,'Dispensed Ink Rates'!C:C,'Dispensed Ink Rates'!CS:CS),VLOOKUP(IH385,'Jan-2026 rates'!$E:$F,2,0)))</f>
        <v>0</v>
      </c>
      <c r="IT385" s="409"/>
      <c r="IU385" s="398">
        <f>IF(IT385=0,0,IF(LEN(II385)=11,_xlfn.XLOOKUP(II385,'Dispensed Ink Rates'!C:C,'Dispensed Ink Rates'!CS:CS),VLOOKUP(II385,'Jan-2026 rates'!$E:$F,2,0)))</f>
        <v>0</v>
      </c>
      <c r="IV385" s="409"/>
      <c r="IW385" s="398">
        <f>IF(IV385=0,0,IF(LEN(IJ385)=11,_xlfn.XLOOKUP(IJ385,'Dispensed Ink Rates'!C:C,'Dispensed Ink Rates'!CS:CS),VLOOKUP(IJ385,'Jan-2026 rates'!$E:$F,2,0)))</f>
        <v>0</v>
      </c>
      <c r="IX385" s="409"/>
      <c r="IY385" s="398">
        <f>IF(IX385=0,0,IF(LEN(IK385)=11,_xlfn.XLOOKUP(IK385,'Dispensed Ink Rates'!C:C,'Dispensed Ink Rates'!CS:CS),VLOOKUP(IK385,'Jan-2026 rates'!$E:$F,2,0)))</f>
        <v>0</v>
      </c>
      <c r="IZ385" s="409"/>
      <c r="JA385" s="398">
        <f>IF(IZ385=0,0,IF(LEN(IL385)=11,_xlfn.XLOOKUP(IL385,'Dispensed Ink Rates'!C:C,'Dispensed Ink Rates'!CS:CS),VLOOKUP(IL385,'Jan-2026 rates'!$E:$F,2,0)))</f>
        <v>0</v>
      </c>
      <c r="JB385" s="409"/>
      <c r="JC385" s="398">
        <f>IF(JB385=0,0,IF(LEN(IM385)=11,_xlfn.XLOOKUP(IM385,'Dispensed Ink Rates'!C:C,'Dispensed Ink Rates'!CS:CS),VLOOKUP(IM385,'Jan-2026 rates'!$E:$F,2,0)))</f>
        <v>0</v>
      </c>
      <c r="JD385" s="409" t="s">
        <v>1443</v>
      </c>
      <c r="JE385" s="409">
        <v>28</v>
      </c>
      <c r="JF385" s="411">
        <f t="shared" si="230"/>
        <v>0</v>
      </c>
      <c r="JG385" s="411">
        <f t="shared" si="231"/>
        <v>17.692307692307693</v>
      </c>
      <c r="JH385" s="410">
        <f t="shared" si="232"/>
        <v>0</v>
      </c>
      <c r="JI385" s="405" t="s">
        <v>856</v>
      </c>
      <c r="JJ385" s="409" t="s">
        <v>4922</v>
      </c>
      <c r="JK385" s="420" t="str">
        <f t="shared" si="190"/>
        <v>FLINTSL - WHITE</v>
      </c>
      <c r="JL385" s="409">
        <v>25</v>
      </c>
      <c r="JM385" s="411">
        <f>IF(JL385=0,0,IF($LB385=70%,VLOOKUP($JK385,'Jan-2026 rates'!$L:$R,4,0),IF($LB385=65%,VLOOKUP($JK385,'Jan-2026 rates'!$L:$R,4,0),IF($LB385=40%,VLOOKUP($JK385,'Jan-2026 rates'!$L:$R,5,0),IF($LB385=30%,VLOOKUP($JK385,'Jan-2026 rates'!$L:$R,6,0),IF($LB385=100%,VLOOKUP($JK385,'Jan-2026 rates'!$L:$R,7,0),IF($LB385=60%,VLOOKUP($JK385,'Jan-2026 rates'!$L:$S,8,0),IF($LB385=80%,VLOOKUP($JK385,'Jan-2026 rates'!L:T,9,0),0))))))))</f>
        <v>0</v>
      </c>
      <c r="JN385" s="412"/>
      <c r="JO385" s="409"/>
      <c r="JP385" s="411">
        <f>IF(JO385=0,0,IF($LB385=70%,VLOOKUP($JK385,'Jan-2026 rates'!$L:$R,4,0),IF($LB385=65%,VLOOKUP($JK385,'Jan-2026 rates'!$L:$R,4,0),IF($LB385=40%,VLOOKUP($JK385,'Jan-2026 rates'!$L:$R,5,0),IF($LB385=30%,VLOOKUP($JK385,'Jan-2026 rates'!$L:$R,6,0),IF($LB385=100%,VLOOKUP($JK385,'Jan-2026 rates'!$L:$R,7,0),IF($LB385=60%,VLOOKUP($JK385,'Jan-2026 rates'!$L:$S,8,0),IF($LB385=80%,VLOOKUP($JK385,'Jan-2026 rates'!L:T,9,0),0))))))))</f>
        <v>0</v>
      </c>
      <c r="JQ385" s="413" t="s">
        <v>484</v>
      </c>
      <c r="JR385" s="412"/>
      <c r="JS385" s="413"/>
      <c r="JT385" s="413"/>
      <c r="JU385" s="412"/>
      <c r="JV385" s="412"/>
      <c r="JW385" s="412"/>
      <c r="JX385" s="412"/>
      <c r="JY385" s="409">
        <v>15</v>
      </c>
      <c r="JZ385" s="398">
        <f>IF(JY385=0,0,IF(LEN(JQ385)=11,_xlfn.XLOOKUP(JQ385,'Dispensed Ink Rates'!C:C,'Dispensed Ink Rates'!CS:CS),VLOOKUP(JQ385,'Jan-2026 rates'!$E:$F,2,0)))</f>
        <v>0</v>
      </c>
      <c r="KA385" s="409"/>
      <c r="KB385" s="398">
        <f>IF(KA385=0,0,IF(LEN(JR385)=11,_xlfn.XLOOKUP(JR385,'Dispensed Ink Rates'!C:C,'Dispensed Ink Rates'!CS:CS),VLOOKUP(JR385,'Jan-2026 rates'!$E:$F,2,0)))</f>
        <v>0</v>
      </c>
      <c r="KC385" s="409"/>
      <c r="KD385" s="398">
        <f>IF(KC385=0,0,IF(LEN(JS385)=11,_xlfn.XLOOKUP(JS385,'Dispensed Ink Rates'!C:C,'Dispensed Ink Rates'!CS:CS),VLOOKUP(JS385,'Jan-2026 rates'!$E:$F,2,0)))</f>
        <v>0</v>
      </c>
      <c r="KE385" s="409"/>
      <c r="KF385" s="398">
        <f>IF(KE385=0,0,IF(LEN(JT385)=11,_xlfn.XLOOKUP(JT385,'Dispensed Ink Rates'!C:C,'Dispensed Ink Rates'!CS:CS),VLOOKUP(JT385,'Jan-2026 rates'!$E:$F,2,0)))</f>
        <v>0</v>
      </c>
      <c r="KG385" s="409"/>
      <c r="KH385" s="398">
        <f>IF(KG385=0,0,IF(LEN(JU385)=11,_xlfn.XLOOKUP(JU385,'Dispensed Ink Rates'!C:C,'Dispensed Ink Rates'!CS:CS),VLOOKUP(JU385,'Jan-2026 rates'!$E:$F,2,0)))</f>
        <v>0</v>
      </c>
      <c r="KI385" s="409"/>
      <c r="KJ385" s="398">
        <f>IF(KI385=0,0,IF(LEN(JV385)=11,_xlfn.XLOOKUP(JV385,'Dispensed Ink Rates'!C:C,'Dispensed Ink Rates'!CS:CS),VLOOKUP(JV385,'Jan-2026 rates'!$E:$F,2,0)))</f>
        <v>0</v>
      </c>
      <c r="KK385" s="409"/>
      <c r="KL385" s="398">
        <f>IF(KK385=0,0,IF(LEN(JW385)=11,_xlfn.XLOOKUP(JW385,'Dispensed Ink Rates'!C:C,'Dispensed Ink Rates'!CS:CS),VLOOKUP(JW385,'Jan-2026 rates'!$E:$F,2,0)))</f>
        <v>0</v>
      </c>
      <c r="KM385" s="428"/>
      <c r="KN385" s="398">
        <f>IF(KM385=0,0,IF(LEN(JX385)=11,_xlfn.XLOOKUP(JX385,'Dispensed Ink Rates'!C:C,'Dispensed Ink Rates'!CS:CS),VLOOKUP(JX385,'Jan-2026 rates'!$E:$F,2,0)))</f>
        <v>0</v>
      </c>
      <c r="KO385" s="409" t="s">
        <v>1443</v>
      </c>
      <c r="KP385" s="409">
        <v>25</v>
      </c>
      <c r="KQ385" s="411">
        <f t="shared" si="233"/>
        <v>0</v>
      </c>
      <c r="KR385" s="411">
        <f t="shared" si="234"/>
        <v>35.07692307692308</v>
      </c>
      <c r="KS385" s="410">
        <f t="shared" si="235"/>
        <v>0</v>
      </c>
      <c r="KT385" s="409">
        <v>5</v>
      </c>
      <c r="KU385" s="409">
        <v>5</v>
      </c>
      <c r="KV385" s="409">
        <v>5</v>
      </c>
      <c r="KW385" s="409">
        <v>20</v>
      </c>
      <c r="KX385" s="409">
        <v>5</v>
      </c>
      <c r="KY385" s="409">
        <v>5</v>
      </c>
      <c r="KZ385" s="409">
        <v>5</v>
      </c>
      <c r="LA385" s="409">
        <v>15</v>
      </c>
      <c r="LB385" s="415">
        <v>0.8</v>
      </c>
      <c r="LC385" s="415">
        <v>0.2</v>
      </c>
      <c r="LD385" s="424"/>
      <c r="LE385" s="415"/>
      <c r="LF385" s="415"/>
      <c r="LG385" s="409">
        <v>0</v>
      </c>
      <c r="LH385" s="409">
        <f>15+12+48+12</f>
        <v>87</v>
      </c>
      <c r="LI385" s="409">
        <v>0</v>
      </c>
      <c r="LJ385" s="409">
        <v>0</v>
      </c>
      <c r="LK385" s="416">
        <f t="shared" si="191"/>
        <v>87</v>
      </c>
      <c r="LL385" s="416">
        <f t="shared" si="349"/>
        <v>87</v>
      </c>
      <c r="LM385" s="417">
        <f t="shared" si="193"/>
        <v>69.600000000000009</v>
      </c>
      <c r="LN385" s="417">
        <f>VLOOKUP($LM$8,'Jan-2026 rates'!$H:$I,2,0)</f>
        <v>0</v>
      </c>
      <c r="LO385" s="417">
        <f t="shared" si="194"/>
        <v>17.400000000000002</v>
      </c>
      <c r="LP385" s="417">
        <f>VLOOKUP($LO$8,'Jan-2026 rates'!$H:$I,2,0)</f>
        <v>0</v>
      </c>
      <c r="LQ385" s="417">
        <f t="shared" si="195"/>
        <v>0</v>
      </c>
      <c r="LR385" s="417">
        <f>VLOOKUP($LQ$8,'Jan-2026 rates'!$H:$I,2,0)</f>
        <v>0</v>
      </c>
      <c r="LS385" s="417">
        <f t="shared" si="196"/>
        <v>0</v>
      </c>
      <c r="LT385" s="417">
        <f>VLOOKUP($LS$8,'Jan-2026 rates'!$H:$I,2,0)</f>
        <v>0</v>
      </c>
      <c r="LU385" s="417">
        <f t="shared" si="197"/>
        <v>0</v>
      </c>
      <c r="LV385" s="417">
        <f>VLOOKUP($LU$8,'Jan-2026 rates'!$H:$I,2,0)</f>
        <v>0</v>
      </c>
      <c r="LW385" s="417">
        <f t="shared" si="198"/>
        <v>0</v>
      </c>
      <c r="LX385" s="417">
        <f t="shared" si="199"/>
        <v>0</v>
      </c>
      <c r="LY385" s="418">
        <f t="shared" si="200"/>
        <v>0</v>
      </c>
      <c r="LZ385" s="417"/>
      <c r="MA385" s="435">
        <f t="shared" si="201"/>
        <v>109.4</v>
      </c>
      <c r="MB385" s="282">
        <f t="shared" si="202"/>
        <v>169.40000000000003</v>
      </c>
      <c r="MC385" s="283">
        <v>226</v>
      </c>
      <c r="MD385" s="284" t="str">
        <f t="shared" si="203"/>
        <v>FLINTSLFLINTSLFLINTSLFLINTSLFLINTSLFLINTSLFLINTSLFLINTSL</v>
      </c>
      <c r="ME385" s="293" t="str">
        <f t="shared" si="204"/>
        <v>+</v>
      </c>
      <c r="MF385" s="293" t="str">
        <f t="shared" si="205"/>
        <v>+</v>
      </c>
      <c r="MG385" s="293" t="str">
        <f t="shared" si="206"/>
        <v>+</v>
      </c>
      <c r="MH385" s="293" t="str">
        <f t="shared" si="207"/>
        <v>+</v>
      </c>
      <c r="MI385" s="293" t="str">
        <f t="shared" si="208"/>
        <v>+</v>
      </c>
      <c r="MJ385" s="293" t="str">
        <f t="shared" si="209"/>
        <v>+</v>
      </c>
      <c r="MK385" s="293" t="str">
        <f t="shared" si="210"/>
        <v>+</v>
      </c>
      <c r="ML385" s="293" t="str">
        <f t="shared" si="211"/>
        <v>+</v>
      </c>
      <c r="MM385" s="3" t="b">
        <f t="array" ref="MM385">OR(ME385:ML385="-")</f>
        <v>0</v>
      </c>
      <c r="MO385" s="401">
        <f t="shared" si="350"/>
        <v>68.306451612903246</v>
      </c>
      <c r="MP385" s="286"/>
      <c r="MR385" s="402">
        <f t="shared" si="351"/>
        <v>1.254814814814815E-2</v>
      </c>
      <c r="MS385" s="400">
        <f t="shared" si="352"/>
        <v>0</v>
      </c>
      <c r="MT385" s="285"/>
      <c r="NH385" s="361"/>
      <c r="NJ385" s="282"/>
    </row>
    <row r="386" spans="1:374" ht="16.5">
      <c r="A386" s="403">
        <v>46052</v>
      </c>
      <c r="B386" s="404" t="s">
        <v>1018</v>
      </c>
      <c r="C386" s="405" t="s">
        <v>4923</v>
      </c>
      <c r="D386" s="404">
        <v>227</v>
      </c>
      <c r="E386" s="404">
        <v>976</v>
      </c>
      <c r="F386" s="407">
        <v>43900</v>
      </c>
      <c r="G386" s="407" t="s">
        <v>1016</v>
      </c>
      <c r="H386" s="408" t="s">
        <v>1017</v>
      </c>
      <c r="I386" s="409">
        <v>1.93</v>
      </c>
      <c r="J386" s="405" t="s">
        <v>543</v>
      </c>
      <c r="K386" s="404" t="s">
        <v>4924</v>
      </c>
      <c r="L386" s="419" t="str">
        <f t="shared" si="184"/>
        <v>FLINTSL - BLACK</v>
      </c>
      <c r="M386" s="404">
        <v>25</v>
      </c>
      <c r="N386" s="410">
        <f>IF(M386=0,0,IF($LB386=70%,VLOOKUP($L386,'Jan-2026 rates'!$L:$R,4,0),IF($LB386=65%,VLOOKUP($L386,'Jan-2026 rates'!$L:$R,4,0),IF($LB386=40%,VLOOKUP($L386,'Jan-2026 rates'!$L:$R,5,0),IF($LB386=30%,VLOOKUP($L386,'Jan-2026 rates'!$L:$R,6,0),IF($LB386=100%,VLOOKUP($L386,'Jan-2026 rates'!$L:$R,7,0),IF($LB386=60%,VLOOKUP($L386,'Jan-2026 rates'!$L:$S,8,0),IF($LB386=80%,VLOOKUP($L386,'Jan-2026 rates'!L:T,9,0),0))))))))</f>
        <v>0</v>
      </c>
      <c r="O386" s="406"/>
      <c r="P386" s="404"/>
      <c r="Q386" s="410">
        <f>IF(P386=0,0,IF($LB386=70%,VLOOKUP($L386,'Jan-2026 rates'!$L:$R,4,0),IF($LB386=65%,VLOOKUP($L386,'Jan-2026 rates'!$L:$R,4,0),IF($LB386=40%,VLOOKUP($L386,'Jan-2026 rates'!$L:$R,5,0),IF($LB386=30%,VLOOKUP($L386,'Jan-2026 rates'!$L:$R,6,0),IF($LB386=100%,VLOOKUP($L386,'Jan-2026 rates'!$L:$R,7,0),IF($LB386=60%,VLOOKUP($L386,'Jan-2026 rates'!$L:$S,8,0),IF($LB386=80%,VLOOKUP($L386,'Jan-2026 rates'!L:T,9,0),0))))))))</f>
        <v>0</v>
      </c>
      <c r="R386" s="406">
        <v>26530000023</v>
      </c>
      <c r="S386" s="406"/>
      <c r="T386" s="406"/>
      <c r="U386" s="406"/>
      <c r="V386" s="406"/>
      <c r="W386" s="406"/>
      <c r="X386" s="406"/>
      <c r="Y386" s="406"/>
      <c r="Z386" s="404">
        <v>4</v>
      </c>
      <c r="AA386" s="398" t="e">
        <f>IF(Z386=0,0,IF(LEN(R386)=11,_xlfn.XLOOKUP(R386,'Dispensed Ink Rates'!C:C,'Dispensed Ink Rates'!CS:CS),VLOOKUP(R386,'Jan-2026 rates'!$E:$F,2,0)))</f>
        <v>#N/A</v>
      </c>
      <c r="AB386" s="404"/>
      <c r="AC386" s="398">
        <f>IF(AB386=0,0,IF(LEN(S386)=11,_xlfn.XLOOKUP(S386,'Dispensed Ink Rates'!C:C,'Dispensed Ink Rates'!CS:CS),VLOOKUP(S386,'Jan-2026 rates'!$E:$F,2,0)))</f>
        <v>0</v>
      </c>
      <c r="AD386" s="404"/>
      <c r="AE386" s="398">
        <f>IF(AD386=0,0,IF(LEN(T386)=11,_xlfn.XLOOKUP(T386,'Dispensed Ink Rates'!C:C,'Dispensed Ink Rates'!CS:CS),VLOOKUP(T386,'Jan-2026 rates'!$E:$F,2,0)))</f>
        <v>0</v>
      </c>
      <c r="AF386" s="404"/>
      <c r="AG386" s="398">
        <f>IF(AF386=0,0,IF(LEN(U386)=11,_xlfn.XLOOKUP(U386,'Dispensed Ink Rates'!C:C,'Dispensed Ink Rates'!CS:CS),VLOOKUP(U386,'Jan-2026 rates'!$E:$F,2,0)))</f>
        <v>0</v>
      </c>
      <c r="AH386" s="404"/>
      <c r="AI386" s="398">
        <f>IF(AH386=0,0,IF(LEN(V386)=11,_xlfn.XLOOKUP(V386,'Dispensed Ink Rates'!C:C,'Dispensed Ink Rates'!CS:CS),VLOOKUP(V386,'Jan-2026 rates'!$E:$F,2,0)))</f>
        <v>0</v>
      </c>
      <c r="AJ386" s="404"/>
      <c r="AK386" s="398">
        <f>IF(AJ386=0,0,IF(LEN(W386)=11,_xlfn.XLOOKUP(W386,'Dispensed Ink Rates'!C:C,'Dispensed Ink Rates'!CS:CS),VLOOKUP(W386,'Jan-2026 rates'!$E:$F,2,0)))</f>
        <v>0</v>
      </c>
      <c r="AL386" s="404"/>
      <c r="AM386" s="398">
        <f>IF(AL386=0,0,IF(LEN(X386)=11,_xlfn.XLOOKUP(X386,'Dispensed Ink Rates'!C:C,'Dispensed Ink Rates'!CS:CS),VLOOKUP(X386,'Jan-2026 rates'!$E:$F,2,0)))</f>
        <v>0</v>
      </c>
      <c r="AN386" s="404"/>
      <c r="AO386" s="398">
        <f>IF(AN386=0,0,IF(LEN(Y386)=11,_xlfn.XLOOKUP(Y386,'Dispensed Ink Rates'!C:C,'Dispensed Ink Rates'!CS:CS),VLOOKUP(Y386,'Jan-2026 rates'!$E:$F,2,0)))</f>
        <v>0</v>
      </c>
      <c r="AP386" s="409" t="s">
        <v>1443</v>
      </c>
      <c r="AQ386" s="409">
        <v>28</v>
      </c>
      <c r="AR386" s="410">
        <f t="shared" si="212"/>
        <v>0</v>
      </c>
      <c r="AS386" s="411">
        <f t="shared" si="213"/>
        <v>6.2792792792792795</v>
      </c>
      <c r="AT386" s="410">
        <f t="shared" si="214"/>
        <v>0</v>
      </c>
      <c r="AU386" s="405" t="s">
        <v>857</v>
      </c>
      <c r="AV386" s="409"/>
      <c r="AW386" s="420" t="str">
        <f t="shared" si="348"/>
        <v>FLINTSL - RED</v>
      </c>
      <c r="AX386" s="409"/>
      <c r="AY386" s="411">
        <f>IF(AX386=0,0,IF($LB386=70%,VLOOKUP($AW386,'Jan-2026 rates'!$L:$R,4,0),IF($LB386=65%,VLOOKUP($AW386,'Jan-2026 rates'!$L:$R,4,0),IF($LB386=40%,VLOOKUP($AW386,'Jan-2026 rates'!$L:$R,5,0),IF($LB386=30%,VLOOKUP($AW386,'Jan-2026 rates'!$L:$R,6,0),IF($LB386=100%,VLOOKUP($AW386,'Jan-2026 rates'!$L:$R,7,0),IF($LB386=60%,VLOOKUP($AW386,'Jan-2026 rates'!$L:$S,8,0),IF($LB386=80%,VLOOKUP($AW386,'Jan-2026 rates'!L:T,9,0),0))))))))</f>
        <v>0</v>
      </c>
      <c r="AZ386" s="412"/>
      <c r="BA386" s="409"/>
      <c r="BB386" s="411">
        <f>IF(BA386=0,0,IF($LB386=70%,VLOOKUP($AW386,'Jan-2026 rates'!$L:$R,4,0),IF($LB386=65%,VLOOKUP($AW386,'Jan-2026 rates'!$L:$R,4,0),IF($LB386=40%,VLOOKUP($AW386,'Jan-2026 rates'!$L:$R,5,0),IF($LB386=30%,VLOOKUP($AW386,'Jan-2026 rates'!$L:$R,6,0),IF($LB386=100%,VLOOKUP($AW386,'Jan-2026 rates'!$L:$R,7,0),IF($LB386=60%,VLOOKUP($AW386,'Jan-2026 rates'!$L:$S,8,0),IF($LB386=80%,VLOOKUP($AW386,'Jan-2026 rates'!L:T,9,0),0))))))))</f>
        <v>0</v>
      </c>
      <c r="BC386" s="413">
        <v>26530000022</v>
      </c>
      <c r="BD386" s="412">
        <v>26531000001</v>
      </c>
      <c r="BE386" s="412" t="s">
        <v>1265</v>
      </c>
      <c r="BF386" s="413">
        <v>26527000012</v>
      </c>
      <c r="BG386" s="412"/>
      <c r="BH386" s="412"/>
      <c r="BI386" s="412"/>
      <c r="BJ386" s="412"/>
      <c r="BK386" s="409">
        <v>40</v>
      </c>
      <c r="BL386" s="398" t="e">
        <f>IF(BK386=0,0,IF(LEN(BC386)=11,_xlfn.XLOOKUP(BC386,'Dispensed Ink Rates'!C:C,'Dispensed Ink Rates'!CS:CS),VLOOKUP(BC386,'Jan-2026 rates'!$E:$F,2,0)))</f>
        <v>#N/A</v>
      </c>
      <c r="BM386" s="409">
        <v>40</v>
      </c>
      <c r="BN386" s="398" t="e">
        <f>IF(BM386=0,0,IF(LEN(BD386)=11,_xlfn.XLOOKUP(BD386,'Dispensed Ink Rates'!C:C,'Dispensed Ink Rates'!CS:CS),VLOOKUP(BD386,'Jan-2026 rates'!$E:$F,2,0)))</f>
        <v>#N/A</v>
      </c>
      <c r="BO386" s="409">
        <v>10</v>
      </c>
      <c r="BP386" s="398">
        <f>IF(BO386=0,0,IF(LEN(BE386)=11,_xlfn.XLOOKUP(BE386,'Dispensed Ink Rates'!C:C,'Dispensed Ink Rates'!CS:CS),VLOOKUP(BE386,'Jan-2026 rates'!$E:$F,2,0)))</f>
        <v>0</v>
      </c>
      <c r="BQ386" s="409">
        <v>8</v>
      </c>
      <c r="BR386" s="398" t="e">
        <f>IF(BQ386=0,0,IF(LEN(BF386)=11,_xlfn.XLOOKUP(BF386,'Dispensed Ink Rates'!C:C,'Dispensed Ink Rates'!CS:CS),VLOOKUP(BF386,'Jan-2026 rates'!$E:$F,2,0)))</f>
        <v>#N/A</v>
      </c>
      <c r="BS386" s="409"/>
      <c r="BT386" s="398">
        <f>IF(BS386=0,0,IF(LEN(BG386)=11,_xlfn.XLOOKUP(BG386,'Dispensed Ink Rates'!C:C,'Dispensed Ink Rates'!CS:CS),VLOOKUP(BG386,'Jan-2026 rates'!$E:$F,2,0)))</f>
        <v>0</v>
      </c>
      <c r="BU386" s="409"/>
      <c r="BV386" s="398">
        <f>IF(BU386=0,0,IF(LEN(BH386)=11,_xlfn.XLOOKUP(BH386,'Dispensed Ink Rates'!C:C,'Dispensed Ink Rates'!CS:CS),VLOOKUP(BH386,'Jan-2026 rates'!$E:$F,2,0)))</f>
        <v>0</v>
      </c>
      <c r="BW386" s="409"/>
      <c r="BX386" s="398">
        <f>IF(BW386=0,0,IF(LEN(BI386)=11,_xlfn.XLOOKUP(BI386,'Dispensed Ink Rates'!C:C,'Dispensed Ink Rates'!CS:CS),VLOOKUP(BI386,'Jan-2026 rates'!$E:$F,2,0)))</f>
        <v>0</v>
      </c>
      <c r="BY386" s="409"/>
      <c r="BZ386" s="398">
        <f>IF(BY386=0,0,IF(LEN(BJ386)=11,_xlfn.XLOOKUP(BJ386,'Dispensed Ink Rates'!C:C,'Dispensed Ink Rates'!CS:CS),VLOOKUP(BJ386,'Jan-2026 rates'!$E:$F,2,0)))</f>
        <v>0</v>
      </c>
      <c r="CA386" s="409" t="s">
        <v>1443</v>
      </c>
      <c r="CB386" s="409">
        <v>18</v>
      </c>
      <c r="CC386" s="411">
        <f t="shared" si="215"/>
        <v>0</v>
      </c>
      <c r="CD386" s="411">
        <f t="shared" si="216"/>
        <v>106.3963963963964</v>
      </c>
      <c r="CE386" s="410">
        <f t="shared" si="217"/>
        <v>0</v>
      </c>
      <c r="CF386" s="404" t="s">
        <v>547</v>
      </c>
      <c r="CG386" s="409" t="s">
        <v>4854</v>
      </c>
      <c r="CH386" s="420" t="str">
        <f t="shared" si="185"/>
        <v>FLINTSL - GREEN</v>
      </c>
      <c r="CI386" s="409">
        <v>24</v>
      </c>
      <c r="CJ386" s="411">
        <f>IF(CI386=0,0,IF($LB386=70%,VLOOKUP($CH386,'Jan-2026 rates'!$L:$R,4,0),IF($LB386=65%,VLOOKUP($CH386,'Jan-2026 rates'!$L:$R,4,0),IF($LB386=40%,VLOOKUP($CH386,'Jan-2026 rates'!$L:$R,5,0),IF($LB386=30%,VLOOKUP($CH386,'Jan-2026 rates'!$L:$R,6,0),IF($LB386=100%,VLOOKUP($CH386,'Jan-2026 rates'!$L:$R,7,0),IF($LB386=60%,VLOOKUP($CH386,'Jan-2026 rates'!$L:$S,8,0),IF($LB386=80%,VLOOKUP($CH386,'Jan-2026 rates'!L:T,9,0),0))))))))</f>
        <v>0</v>
      </c>
      <c r="CK386" s="412"/>
      <c r="CL386" s="409"/>
      <c r="CM386" s="411">
        <f>IF(CL386=0,0,IF($LB386=70%,VLOOKUP($CH386,'Jan-2026 rates'!$L:$R,4,0),IF($LB386=65%,VLOOKUP($CH386,'Jan-2026 rates'!$L:$R,4,0),IF($LB386=40%,VLOOKUP($CH386,'Jan-2026 rates'!$L:$R,5,0),IF($LB386=30%,VLOOKUP($CH386,'Jan-2026 rates'!$L:$R,6,0),IF($LB386=100%,VLOOKUP($CH386,'Jan-2026 rates'!$L:$R,7,0),IF($LB386=60%,VLOOKUP($CH386,'Jan-2026 rates'!$L:$S,8,0),IF($LB386=80%,VLOOKUP($CH386,'Jan-2026 rates'!L:T,9,0),0))))))))</f>
        <v>0</v>
      </c>
      <c r="CN386" s="426">
        <v>26529000019</v>
      </c>
      <c r="CO386" s="427"/>
      <c r="CP386" s="426"/>
      <c r="CQ386" s="426"/>
      <c r="CR386" s="428"/>
      <c r="CS386" s="428"/>
      <c r="CT386" s="428"/>
      <c r="CU386" s="428"/>
      <c r="CV386" s="409">
        <v>3</v>
      </c>
      <c r="CW386" s="398" t="e">
        <f>IF(CV386=0,0,IF(LEN(CN386)=11,_xlfn.XLOOKUP(CN386,'Dispensed Ink Rates'!C:C,'Dispensed Ink Rates'!CS:CS),VLOOKUP(CN386,'Jan-2026 rates'!$E:$F,2,0)))</f>
        <v>#N/A</v>
      </c>
      <c r="CX386" s="409"/>
      <c r="CY386" s="398">
        <f>IF(CX386=0,0,IF(LEN(CO386)=11,_xlfn.XLOOKUP(CO386,'Dispensed Ink Rates'!C:C,'Dispensed Ink Rates'!CS:CS),VLOOKUP(CO386,'Jan-2026 rates'!$E:$F,2,0)))</f>
        <v>0</v>
      </c>
      <c r="CZ386" s="409"/>
      <c r="DA386" s="398">
        <f>IF(CZ386=0,0,IF(LEN(CP386)=11,_xlfn.XLOOKUP(CP386,'Dispensed Ink Rates'!C:C,'Dispensed Ink Rates'!CS:CS),VLOOKUP(CP386,'Jan-2026 rates'!$E:$F,2,0)))</f>
        <v>0</v>
      </c>
      <c r="DB386" s="409"/>
      <c r="DC386" s="398">
        <f>IF(DB386=0,0,IF(LEN(CQ386)=11,_xlfn.XLOOKUP(CQ386,'Dispensed Ink Rates'!C:C,'Dispensed Ink Rates'!CS:CS),VLOOKUP(CQ386,'Jan-2026 rates'!$E:$F,2,0)))</f>
        <v>0</v>
      </c>
      <c r="DD386" s="409"/>
      <c r="DE386" s="398">
        <f>IF(DD386=0,0,IF(LEN(CR386)=11,_xlfn.XLOOKUP(CR386,'Dispensed Ink Rates'!C:C,'Dispensed Ink Rates'!CS:CS),VLOOKUP(CR386,'Jan-2026 rates'!$E:$F,2,0)))</f>
        <v>0</v>
      </c>
      <c r="DF386" s="409"/>
      <c r="DG386" s="398">
        <f>IF(DF386=0,0,IF(LEN(CS386)=11,_xlfn.XLOOKUP(CS386,'Dispensed Ink Rates'!C:C,'Dispensed Ink Rates'!CS:CS),VLOOKUP(CS386,'Jan-2026 rates'!$E:$F,2,0)))</f>
        <v>0</v>
      </c>
      <c r="DH386" s="409"/>
      <c r="DI386" s="398">
        <f>IF(DH386=0,0,IF(LEN(CT386)=11,_xlfn.XLOOKUP(CT386,'Dispensed Ink Rates'!C:C,'Dispensed Ink Rates'!CS:CS),VLOOKUP(CT386,'Jan-2026 rates'!$E:$F,2,0)))</f>
        <v>0</v>
      </c>
      <c r="DJ386" s="409"/>
      <c r="DK386" s="398">
        <f>IF(DJ386=0,0,IF(LEN(CU386)=11,_xlfn.XLOOKUP(CU386,'Dispensed Ink Rates'!C:C,'Dispensed Ink Rates'!CS:CS),VLOOKUP(CU386,'Jan-2026 rates'!$E:$F,2,0)))</f>
        <v>0</v>
      </c>
      <c r="DL386" s="409" t="s">
        <v>1443</v>
      </c>
      <c r="DM386" s="409">
        <v>23</v>
      </c>
      <c r="DN386" s="411">
        <f t="shared" si="218"/>
        <v>0</v>
      </c>
      <c r="DO386" s="411">
        <f t="shared" si="219"/>
        <v>11.918918918918919</v>
      </c>
      <c r="DP386" s="410">
        <f t="shared" si="220"/>
        <v>0</v>
      </c>
      <c r="DQ386" s="405" t="s">
        <v>855</v>
      </c>
      <c r="DR386" s="409" t="s">
        <v>4854</v>
      </c>
      <c r="DS386" s="420" t="str">
        <f t="shared" si="186"/>
        <v>FLINTSL - CYAN</v>
      </c>
      <c r="DT386" s="409">
        <v>24</v>
      </c>
      <c r="DU386" s="411">
        <f>IF(DT386=0,0,IF($LB386=70%,VLOOKUP($DS386,'Jan-2026 rates'!$L:$R,4,0),IF($LB386=65%,VLOOKUP($DS386,'Jan-2026 rates'!$L:$R,4,0),IF($LB386=40%,VLOOKUP($DS386,'Jan-2026 rates'!$L:$R,5,0),IF($LB386=30%,VLOOKUP($DS386,'Jan-2026 rates'!$L:$R,6,0),IF($LB386=100%,VLOOKUP($DS386,'Jan-2026 rates'!$L:$R,7,0),IF($LB386=60%,VLOOKUP($DS386,'Jan-2026 rates'!$L:$S,8,0),IF($LB386=80%,VLOOKUP($DS386,'Jan-2026 rates'!L:T,9,0),0))))))))</f>
        <v>0</v>
      </c>
      <c r="DV386" s="412"/>
      <c r="DW386" s="409"/>
      <c r="DX386" s="411">
        <f>IF(DW386=0,0,IF($LB386=70%,VLOOKUP($DS386,'Jan-2026 rates'!$L:$R,4,0),IF($LB386=65%,VLOOKUP($DS386,'Jan-2026 rates'!$L:$R,4,0),IF($LB386=40%,VLOOKUP($DS386,'Jan-2026 rates'!$L:$R,5,0),IF($LB386=30%,VLOOKUP($DS386,'Jan-2026 rates'!$L:$R,6,0),IF($LB386=100%,VLOOKUP($DS386,'Jan-2026 rates'!$L:$R,7,0),IF($LB386=60%,VLOOKUP($DS386,'Jan-2026 rates'!$L:$S,8,0),IF($LB386=80%,VLOOKUP($DS386,'Jan-2026 rates'!L:T,9,0),0))))))))</f>
        <v>0</v>
      </c>
      <c r="DY386" s="413">
        <v>26529000019</v>
      </c>
      <c r="DZ386" s="413"/>
      <c r="EA386" s="412"/>
      <c r="EB386" s="412"/>
      <c r="EC386" s="412"/>
      <c r="ED386" s="412"/>
      <c r="EE386" s="412"/>
      <c r="EF386" s="412"/>
      <c r="EG386" s="409">
        <v>3</v>
      </c>
      <c r="EH386" s="398" t="e">
        <f>IF(EG386=0,0,IF(LEN(DY386)=11,_xlfn.XLOOKUP(DY386,'Dispensed Ink Rates'!C:C,'Dispensed Ink Rates'!CS:CS),VLOOKUP(DY386,'Jan-2026 rates'!$E:$F,2,0)))</f>
        <v>#N/A</v>
      </c>
      <c r="EI386" s="409"/>
      <c r="EJ386" s="398">
        <f>IF(EI386=0,0,IF(LEN(DZ386)=11,_xlfn.XLOOKUP(DZ386,'Dispensed Ink Rates'!C:C,'Dispensed Ink Rates'!CS:CS),VLOOKUP(DZ386,'Jan-2026 rates'!$E:$F,2,0)))</f>
        <v>0</v>
      </c>
      <c r="EK386" s="409"/>
      <c r="EL386" s="398">
        <f>IF(EK386=0,0,IF(LEN(EA386)=11,_xlfn.XLOOKUP(EA386,'Dispensed Ink Rates'!C:C,'Dispensed Ink Rates'!CS:CS),VLOOKUP(EA386,'Jan-2026 rates'!$E:$F,2,0)))</f>
        <v>0</v>
      </c>
      <c r="EM386" s="409"/>
      <c r="EN386" s="398">
        <f>IF(EM386=0,0,IF(LEN(EB386)=11,_xlfn.XLOOKUP(EB386,'Dispensed Ink Rates'!C:C,'Dispensed Ink Rates'!CS:CS),VLOOKUP(EB386,'Jan-2026 rates'!$E:$F,2,0)))</f>
        <v>0</v>
      </c>
      <c r="EO386" s="409"/>
      <c r="EP386" s="398">
        <f>IF(EO386=0,0,IF(LEN(EC386)=11,_xlfn.XLOOKUP(EC386,'Dispensed Ink Rates'!C:C,'Dispensed Ink Rates'!CS:CS),VLOOKUP(EC386,'Jan-2026 rates'!$E:$F,2,0)))</f>
        <v>0</v>
      </c>
      <c r="EQ386" s="409"/>
      <c r="ER386" s="398">
        <f>IF(EQ386=0,0,IF(LEN(ED386)=11,_xlfn.XLOOKUP(ED386,'Dispensed Ink Rates'!C:C,'Dispensed Ink Rates'!CS:CS),VLOOKUP(ED386,'Jan-2026 rates'!$E:$F,2,0)))</f>
        <v>0</v>
      </c>
      <c r="ES386" s="409"/>
      <c r="ET386" s="398">
        <f>IF(ES386=0,0,IF(LEN(EE386)=11,_xlfn.XLOOKUP(EE386,'Dispensed Ink Rates'!C:C,'Dispensed Ink Rates'!CS:CS),VLOOKUP(EE386,'Jan-2026 rates'!$E:$F,2,0)))</f>
        <v>0</v>
      </c>
      <c r="EU386" s="409"/>
      <c r="EV386" s="398">
        <f>IF(EU386=0,0,IF(LEN(EF386)=11,_xlfn.XLOOKUP(EF386,'Dispensed Ink Rates'!C:C,'Dispensed Ink Rates'!CS:CS),VLOOKUP(EF386,'Jan-2026 rates'!$E:$F,2,0)))</f>
        <v>0</v>
      </c>
      <c r="EW386" s="409" t="s">
        <v>1443</v>
      </c>
      <c r="EX386" s="409">
        <v>23</v>
      </c>
      <c r="EY386" s="411">
        <f t="shared" si="221"/>
        <v>0</v>
      </c>
      <c r="EZ386" s="411">
        <f t="shared" si="222"/>
        <v>9.2792792792792795</v>
      </c>
      <c r="FA386" s="410">
        <f t="shared" si="223"/>
        <v>0</v>
      </c>
      <c r="FB386" s="405" t="s">
        <v>855</v>
      </c>
      <c r="FC386" s="409" t="s">
        <v>4925</v>
      </c>
      <c r="FD386" s="420" t="str">
        <f t="shared" si="187"/>
        <v>FLINTSL - CYAN</v>
      </c>
      <c r="FE386" s="409">
        <v>23</v>
      </c>
      <c r="FF386" s="411">
        <f>IF(FE386=0,0,IF($LB386=70%,VLOOKUP($FD386,'Jan-2026 rates'!$L:$R,4,0),IF($LB386=65%,VLOOKUP($FD386,'Jan-2026 rates'!$L:$R,4,0),IF($LB386=40%,VLOOKUP($FD386,'Jan-2026 rates'!$L:$R,5,0),IF($LB386=30%,VLOOKUP($FD386,'Jan-2026 rates'!$L:$R,6,0),IF($LB386=100%,VLOOKUP($FD386,'Jan-2026 rates'!$L:$R,7,0),IF($LB386=60%,VLOOKUP($FD386,'Jan-2026 rates'!$L:$S,8,0),IF($LB386=80%,VLOOKUP($FD386,'Jan-2026 rates'!L:T,9,0),0))))))))</f>
        <v>0</v>
      </c>
      <c r="FG386" s="412"/>
      <c r="FH386" s="409"/>
      <c r="FI386" s="411">
        <f>IF(FH386=0,0,IF($LB386=70%,VLOOKUP($FD386,'Jan-2026 rates'!$L:$R,4,0),IF($LB386=65%,VLOOKUP($FD386,'Jan-2026 rates'!$L:$R,4,0),IF($LB386=40%,VLOOKUP($FD386,'Jan-2026 rates'!$L:$R,5,0),IF($LB386=30%,VLOOKUP($FD386,'Jan-2026 rates'!$L:$R,6,0),IF($LB386=100%,VLOOKUP($FD386,'Jan-2026 rates'!$L:$R,7,0),IF($LB386=60%,VLOOKUP($FD386,'Jan-2026 rates'!$L:$S,8,0),IF($LB386=80%,VLOOKUP($FD386,'Jan-2026 rates'!L:T,9,0),0))))))))</f>
        <v>0</v>
      </c>
      <c r="FJ386" s="413" t="s">
        <v>477</v>
      </c>
      <c r="FK386" s="413"/>
      <c r="FL386" s="413"/>
      <c r="FM386" s="412"/>
      <c r="FN386" s="412"/>
      <c r="FO386" s="412"/>
      <c r="FP386" s="412"/>
      <c r="FQ386" s="412"/>
      <c r="FR386" s="409">
        <v>2</v>
      </c>
      <c r="FS386" s="398">
        <f>IF(FR386=0,0,IF(LEN(FJ386)=11,_xlfn.XLOOKUP(FJ386,'Dispensed Ink Rates'!C:C,'Dispensed Ink Rates'!CS:CS),VLOOKUP(FJ386,'Jan-2026 rates'!$E:$F,2,0)))</f>
        <v>0</v>
      </c>
      <c r="FT386" s="409"/>
      <c r="FU386" s="398">
        <f>IF(FT386=0,0,IF(LEN(FK386)=11,_xlfn.XLOOKUP(FK386,'Dispensed Ink Rates'!C:C,'Dispensed Ink Rates'!CS:CS),VLOOKUP(FK386,'Jan-2026 rates'!$E:$F,2,0)))</f>
        <v>0</v>
      </c>
      <c r="FV386" s="409"/>
      <c r="FW386" s="398">
        <f>IF(FV386=0,0,IF(LEN(FL386)=11,_xlfn.XLOOKUP(FL386,'Dispensed Ink Rates'!C:C,'Dispensed Ink Rates'!CS:CS),VLOOKUP(FL386,'Jan-2026 rates'!$E:$F,2,0)))</f>
        <v>0</v>
      </c>
      <c r="FX386" s="409"/>
      <c r="FY386" s="398">
        <f>IF(FX386=0,0,IF(LEN(FM386)=11,_xlfn.XLOOKUP(FM386,'Dispensed Ink Rates'!C:C,'Dispensed Ink Rates'!CS:CS),VLOOKUP(FM386,'Jan-2026 rates'!$E:$F,2,0)))</f>
        <v>0</v>
      </c>
      <c r="FZ386" s="409"/>
      <c r="GA386" s="398">
        <f>IF(FZ386=0,0,IF(LEN(FN386)=11,_xlfn.XLOOKUP(FN386,'Dispensed Ink Rates'!C:C,'Dispensed Ink Rates'!CS:CS),VLOOKUP(FN386,'Jan-2026 rates'!$E:$F,2,0)))</f>
        <v>0</v>
      </c>
      <c r="GB386" s="409"/>
      <c r="GC386" s="398">
        <f>IF(GB386=0,0,IF(LEN(FO386)=11,_xlfn.XLOOKUP(FO386,'Dispensed Ink Rates'!C:C,'Dispensed Ink Rates'!CS:CS),VLOOKUP(FO386,'Jan-2026 rates'!$E:$F,2,0)))</f>
        <v>0</v>
      </c>
      <c r="GD386" s="409"/>
      <c r="GE386" s="398">
        <f>IF(GD386=0,0,IF(LEN(FP386)=11,_xlfn.XLOOKUP(FP386,'Dispensed Ink Rates'!C:C,'Dispensed Ink Rates'!CS:CS),VLOOKUP(FP386,'Jan-2026 rates'!$E:$F,2,0)))</f>
        <v>0</v>
      </c>
      <c r="GF386" s="409"/>
      <c r="GG386" s="398">
        <f>IF(GF386=0,0,IF(LEN(FQ386)=11,_xlfn.XLOOKUP(FQ386,'Dispensed Ink Rates'!C:C,'Dispensed Ink Rates'!CS:CS),VLOOKUP(FQ386,'Jan-2026 rates'!$E:$F,2,0)))</f>
        <v>0</v>
      </c>
      <c r="GH386" s="409" t="s">
        <v>1443</v>
      </c>
      <c r="GI386" s="409">
        <v>25</v>
      </c>
      <c r="GJ386" s="411">
        <f t="shared" si="224"/>
        <v>0</v>
      </c>
      <c r="GK386" s="411">
        <f t="shared" si="225"/>
        <v>15.837837837837839</v>
      </c>
      <c r="GL386" s="410">
        <f t="shared" si="226"/>
        <v>0</v>
      </c>
      <c r="GM386" s="405" t="s">
        <v>544</v>
      </c>
      <c r="GN386" s="409" t="s">
        <v>4926</v>
      </c>
      <c r="GO386" s="420" t="str">
        <f t="shared" si="188"/>
        <v>FLINTSL - MAGENTA</v>
      </c>
      <c r="GP386" s="409">
        <v>22</v>
      </c>
      <c r="GQ386" s="411">
        <f>IF(GP386=0,0,IF($LB386=70%,VLOOKUP($GO386,'Jan-2026 rates'!$L:$R,4,0),IF($LB386=65%,VLOOKUP($GO386,'Jan-2026 rates'!$L:$R,4,0),IF($LB386=40%,VLOOKUP($GO386,'Jan-2026 rates'!$L:$R,5,0),IF($LB386=30%,VLOOKUP($GO386,'Jan-2026 rates'!$L:$R,6,0),IF($LB386=100%,VLOOKUP($GO386,'Jan-2026 rates'!$L:$R,7,0),IF($LB386=60%,VLOOKUP($GO386,'Jan-2026 rates'!$L:$S,8,0),IF($LB386=80%,VLOOKUP($GO386,'Jan-2026 rates'!L:T,9,0),0))))))))</f>
        <v>0</v>
      </c>
      <c r="GR386" s="412"/>
      <c r="GS386" s="409"/>
      <c r="GT386" s="411">
        <f>IF(GS386=0,0,IF($LB386=70%,VLOOKUP($GO386,'Jan-2026 rates'!$L:$R,4,0),IF($LB386=65%,VLOOKUP($GO386,'Jan-2026 rates'!$L:$R,4,0),IF($LB386=40%,VLOOKUP($GO386,'Jan-2026 rates'!$L:$R,5,0),IF($LB386=30%,VLOOKUP($GO386,'Jan-2026 rates'!$L:$R,6,0),IF($LB386=100%,VLOOKUP($GO386,'Jan-2026 rates'!$L:$R,7,0),IF($LB386=60%,VLOOKUP($GO386,'Jan-2026 rates'!$L:$S,8,0),IF($LB386=80%,VLOOKUP($GO386,'Jan-2026 rates'!L:T,9,0),0))))))))</f>
        <v>0</v>
      </c>
      <c r="GU386" s="413" t="s">
        <v>1265</v>
      </c>
      <c r="GV386" s="413" t="s">
        <v>1266</v>
      </c>
      <c r="GW386" s="412"/>
      <c r="GX386" s="412"/>
      <c r="GY386" s="412"/>
      <c r="GZ386" s="412"/>
      <c r="HA386" s="412"/>
      <c r="HB386" s="412"/>
      <c r="HC386" s="409">
        <v>6</v>
      </c>
      <c r="HD386" s="398">
        <f>IF(HC386=0,0,IF(LEN(GU386)=11,_xlfn.XLOOKUP(GU386,'Dispensed Ink Rates'!C:C,'Dispensed Ink Rates'!CS:CS),VLOOKUP(GU386,'Jan-2026 rates'!$E:$F,2,0)))</f>
        <v>0</v>
      </c>
      <c r="HE386" s="409">
        <v>4</v>
      </c>
      <c r="HF386" s="398">
        <f>IF(HE386=0,0,IF(LEN(GV386)=11,_xlfn.XLOOKUP(GV386,'Dispensed Ink Rates'!C:C,'Dispensed Ink Rates'!CS:CS),VLOOKUP(GV386,'Jan-2026 rates'!$E:$F,2,0)))</f>
        <v>0</v>
      </c>
      <c r="HG386" s="409"/>
      <c r="HH386" s="398">
        <f>IF(HG386=0,0,IF(LEN(GW386)=11,_xlfn.XLOOKUP(GW386,'Dispensed Ink Rates'!C:C,'Dispensed Ink Rates'!CS:CS),VLOOKUP(GW386,'Jan-2026 rates'!$E:$F,2,0)))</f>
        <v>0</v>
      </c>
      <c r="HI386" s="409"/>
      <c r="HJ386" s="398">
        <f>IF(HI386=0,0,IF(LEN(GX386)=11,_xlfn.XLOOKUP(GX386,'Dispensed Ink Rates'!C:C,'Dispensed Ink Rates'!CS:CS),VLOOKUP(GX386,'Jan-2026 rates'!$E:$F,2,0)))</f>
        <v>0</v>
      </c>
      <c r="HK386" s="409"/>
      <c r="HL386" s="398">
        <f>IF(HK386=0,0,IF(LEN(GY386)=11,_xlfn.XLOOKUP(GY386,'Dispensed Ink Rates'!C:C,'Dispensed Ink Rates'!CS:CS),VLOOKUP(GY386,'Jan-2026 rates'!$E:$F,2,0)))</f>
        <v>0</v>
      </c>
      <c r="HM386" s="409"/>
      <c r="HN386" s="398">
        <f>IF(HM386=0,0,IF(LEN(GZ386)=11,_xlfn.XLOOKUP(GZ386,'Dispensed Ink Rates'!C:C,'Dispensed Ink Rates'!CS:CS),VLOOKUP(GZ386,'Jan-2026 rates'!$E:$F,2,0)))</f>
        <v>0</v>
      </c>
      <c r="HO386" s="409"/>
      <c r="HP386" s="398">
        <f>IF(HO386=0,0,IF(LEN(HA386)=11,_xlfn.XLOOKUP(HA386,'Dispensed Ink Rates'!C:C,'Dispensed Ink Rates'!CS:CS),VLOOKUP(HA386,'Jan-2026 rates'!$E:$F,2,0)))</f>
        <v>0</v>
      </c>
      <c r="HQ386" s="409"/>
      <c r="HR386" s="398">
        <f>IF(HQ386=0,0,IF(LEN(HB386)=11,_xlfn.XLOOKUP(HB386,'Dispensed Ink Rates'!C:C,'Dispensed Ink Rates'!CS:CS),VLOOKUP(HB386,'Jan-2026 rates'!$E:$F,2,0)))</f>
        <v>0</v>
      </c>
      <c r="HS386" s="409" t="s">
        <v>1443</v>
      </c>
      <c r="HT386" s="409">
        <v>27</v>
      </c>
      <c r="HU386" s="411">
        <f t="shared" si="227"/>
        <v>0</v>
      </c>
      <c r="HV386" s="411">
        <f t="shared" si="228"/>
        <v>26.117117117117118</v>
      </c>
      <c r="HW386" s="414">
        <f t="shared" si="229"/>
        <v>0</v>
      </c>
      <c r="HX386" s="405" t="s">
        <v>545</v>
      </c>
      <c r="HY386" s="409" t="s">
        <v>4927</v>
      </c>
      <c r="HZ386" s="420" t="str">
        <f t="shared" si="189"/>
        <v>FLINTSL - YELLOW</v>
      </c>
      <c r="IA386" s="409">
        <v>28</v>
      </c>
      <c r="IB386" s="411">
        <f>IF(IA386=0,0,IF($LB386=70%,VLOOKUP($HZ386,'Jan-2026 rates'!$L:$R,4,0),IF($LB386=65%,VLOOKUP($HZ386,'Jan-2026 rates'!$L:$R,4,0),IF($LB386=40%,VLOOKUP($HZ386,'Jan-2026 rates'!$L:$R,5,0),IF($LB386=30%,VLOOKUP($HZ386,'Jan-2026 rates'!$L:$R,6,0),IF($LB386=100%,VLOOKUP($HZ386,'Jan-2026 rates'!$L:$R,7,0),IF($LB386=60%,VLOOKUP($HZ386,'Jan-2026 rates'!$L:$S,8,0),IF($LB386=80%,VLOOKUP($HZ386,'Jan-2026 rates'!L:T,9,0),0))))))))</f>
        <v>0</v>
      </c>
      <c r="IC386" s="412"/>
      <c r="ID386" s="409"/>
      <c r="IE386" s="411">
        <f>IF(ID386=0,0,IF($LB386=70%,VLOOKUP($HZ386,'Jan-2026 rates'!$L:$R,4,0),IF($LB386=65%,VLOOKUP($HZ386,'Jan-2026 rates'!$L:$R,4,0),IF($LB386=40%,VLOOKUP($HZ386,'Jan-2026 rates'!$L:$R,5,0),IF($LB386=30%,VLOOKUP($HZ386,'Jan-2026 rates'!$L:$R,6,0),IF($LB386=100%,VLOOKUP($HZ386,'Jan-2026 rates'!$L:$R,7,0),IF($LB386=60%,VLOOKUP($HZ386,'Jan-2026 rates'!$L:$S,8,0),IF($LB386=80%,VLOOKUP($HZ386,'Jan-2026 rates'!L:T,9,0),0))))))))</f>
        <v>0</v>
      </c>
      <c r="IF386" s="412">
        <v>26529000027</v>
      </c>
      <c r="IG386" s="413" t="s">
        <v>1266</v>
      </c>
      <c r="IH386" s="412"/>
      <c r="II386" s="412"/>
      <c r="IJ386" s="412"/>
      <c r="IK386" s="412"/>
      <c r="IL386" s="412"/>
      <c r="IM386" s="412"/>
      <c r="IN386" s="409">
        <v>10</v>
      </c>
      <c r="IO386" s="398" t="e">
        <f>IF(IN386=0,0,IF(LEN(IF386)=11,_xlfn.XLOOKUP(IF386,'Dispensed Ink Rates'!C:C,'Dispensed Ink Rates'!CS:CS),VLOOKUP(IF386,'Jan-2026 rates'!$E:$F,2,0)))</f>
        <v>#N/A</v>
      </c>
      <c r="IP386" s="409">
        <v>5</v>
      </c>
      <c r="IQ386" s="398">
        <f>IF(IP386=0,0,IF(LEN(IG386)=11,_xlfn.XLOOKUP(IG386,'Dispensed Ink Rates'!C:C,'Dispensed Ink Rates'!CS:CS),VLOOKUP(IG386,'Jan-2026 rates'!$E:$F,2,0)))</f>
        <v>0</v>
      </c>
      <c r="IR386" s="409"/>
      <c r="IS386" s="398">
        <f>IF(IR386=0,0,IF(LEN(IH386)=11,_xlfn.XLOOKUP(IH386,'Dispensed Ink Rates'!C:C,'Dispensed Ink Rates'!CS:CS),VLOOKUP(IH386,'Jan-2026 rates'!$E:$F,2,0)))</f>
        <v>0</v>
      </c>
      <c r="IT386" s="409"/>
      <c r="IU386" s="398">
        <f>IF(IT386=0,0,IF(LEN(II386)=11,_xlfn.XLOOKUP(II386,'Dispensed Ink Rates'!C:C,'Dispensed Ink Rates'!CS:CS),VLOOKUP(II386,'Jan-2026 rates'!$E:$F,2,0)))</f>
        <v>0</v>
      </c>
      <c r="IV386" s="409"/>
      <c r="IW386" s="398">
        <f>IF(IV386=0,0,IF(LEN(IJ386)=11,_xlfn.XLOOKUP(IJ386,'Dispensed Ink Rates'!C:C,'Dispensed Ink Rates'!CS:CS),VLOOKUP(IJ386,'Jan-2026 rates'!$E:$F,2,0)))</f>
        <v>0</v>
      </c>
      <c r="IX386" s="409"/>
      <c r="IY386" s="398">
        <f>IF(IX386=0,0,IF(LEN(IK386)=11,_xlfn.XLOOKUP(IK386,'Dispensed Ink Rates'!C:C,'Dispensed Ink Rates'!CS:CS),VLOOKUP(IK386,'Jan-2026 rates'!$E:$F,2,0)))</f>
        <v>0</v>
      </c>
      <c r="IZ386" s="409"/>
      <c r="JA386" s="398">
        <f>IF(IZ386=0,0,IF(LEN(IL386)=11,_xlfn.XLOOKUP(IL386,'Dispensed Ink Rates'!C:C,'Dispensed Ink Rates'!CS:CS),VLOOKUP(IL386,'Jan-2026 rates'!$E:$F,2,0)))</f>
        <v>0</v>
      </c>
      <c r="JB386" s="409"/>
      <c r="JC386" s="398">
        <f>IF(JB386=0,0,IF(LEN(IM386)=11,_xlfn.XLOOKUP(IM386,'Dispensed Ink Rates'!C:C,'Dispensed Ink Rates'!CS:CS),VLOOKUP(IM386,'Jan-2026 rates'!$E:$F,2,0)))</f>
        <v>0</v>
      </c>
      <c r="JD386" s="409" t="s">
        <v>1443</v>
      </c>
      <c r="JE386" s="409">
        <v>30</v>
      </c>
      <c r="JF386" s="411">
        <f t="shared" si="230"/>
        <v>0</v>
      </c>
      <c r="JG386" s="411">
        <f t="shared" si="231"/>
        <v>224.17117117117115</v>
      </c>
      <c r="JH386" s="410">
        <f t="shared" si="232"/>
        <v>0</v>
      </c>
      <c r="JI386" s="405"/>
      <c r="JJ386" s="409"/>
      <c r="JK386" s="420" t="str">
        <f t="shared" si="190"/>
        <v xml:space="preserve"> - </v>
      </c>
      <c r="JL386" s="409"/>
      <c r="JM386" s="411">
        <f>IF(JL386=0,0,IF($LB386=70%,VLOOKUP($JK386,'Jan-2026 rates'!$L:$R,4,0),IF($LB386=65%,VLOOKUP($JK386,'Jan-2026 rates'!$L:$R,4,0),IF($LB386=40%,VLOOKUP($JK386,'Jan-2026 rates'!$L:$R,5,0),IF($LB386=30%,VLOOKUP($JK386,'Jan-2026 rates'!$L:$R,6,0),IF($LB386=100%,VLOOKUP($JK386,'Jan-2026 rates'!$L:$R,7,0),IF($LB386=60%,VLOOKUP($JK386,'Jan-2026 rates'!$L:$S,8,0),IF($LB386=80%,VLOOKUP($JK386,'Jan-2026 rates'!L:T,9,0),0))))))))</f>
        <v>0</v>
      </c>
      <c r="JN386" s="412"/>
      <c r="JO386" s="409"/>
      <c r="JP386" s="411">
        <f>IF(JO386=0,0,IF($LB386=70%,VLOOKUP($JK386,'Jan-2026 rates'!$L:$R,4,0),IF($LB386=65%,VLOOKUP($JK386,'Jan-2026 rates'!$L:$R,4,0),IF($LB386=40%,VLOOKUP($JK386,'Jan-2026 rates'!$L:$R,5,0),IF($LB386=30%,VLOOKUP($JK386,'Jan-2026 rates'!$L:$R,6,0),IF($LB386=100%,VLOOKUP($JK386,'Jan-2026 rates'!$L:$R,7,0),IF($LB386=60%,VLOOKUP($JK386,'Jan-2026 rates'!$L:$S,8,0),IF($LB386=80%,VLOOKUP($JK386,'Jan-2026 rates'!L:T,9,0),0))))))))</f>
        <v>0</v>
      </c>
      <c r="JQ386" s="413"/>
      <c r="JR386" s="412"/>
      <c r="JS386" s="413"/>
      <c r="JT386" s="413"/>
      <c r="JU386" s="412"/>
      <c r="JV386" s="412"/>
      <c r="JW386" s="412"/>
      <c r="JX386" s="412"/>
      <c r="JY386" s="409"/>
      <c r="JZ386" s="398">
        <f>IF(JY386=0,0,IF(LEN(JQ386)=11,_xlfn.XLOOKUP(JQ386,'Dispensed Ink Rates'!C:C,'Dispensed Ink Rates'!CS:CS),VLOOKUP(JQ386,'Jan-2026 rates'!$E:$F,2,0)))</f>
        <v>0</v>
      </c>
      <c r="KA386" s="409"/>
      <c r="KB386" s="398">
        <f>IF(KA386=0,0,IF(LEN(JR386)=11,_xlfn.XLOOKUP(JR386,'Dispensed Ink Rates'!C:C,'Dispensed Ink Rates'!CS:CS),VLOOKUP(JR386,'Jan-2026 rates'!$E:$F,2,0)))</f>
        <v>0</v>
      </c>
      <c r="KC386" s="409"/>
      <c r="KD386" s="398">
        <f>IF(KC386=0,0,IF(LEN(JS386)=11,_xlfn.XLOOKUP(JS386,'Dispensed Ink Rates'!C:C,'Dispensed Ink Rates'!CS:CS),VLOOKUP(JS386,'Jan-2026 rates'!$E:$F,2,0)))</f>
        <v>0</v>
      </c>
      <c r="KE386" s="409"/>
      <c r="KF386" s="398">
        <f>IF(KE386=0,0,IF(LEN(JT386)=11,_xlfn.XLOOKUP(JT386,'Dispensed Ink Rates'!C:C,'Dispensed Ink Rates'!CS:CS),VLOOKUP(JT386,'Jan-2026 rates'!$E:$F,2,0)))</f>
        <v>0</v>
      </c>
      <c r="KG386" s="409"/>
      <c r="KH386" s="398">
        <f>IF(KG386=0,0,IF(LEN(JU386)=11,_xlfn.XLOOKUP(JU386,'Dispensed Ink Rates'!C:C,'Dispensed Ink Rates'!CS:CS),VLOOKUP(JU386,'Jan-2026 rates'!$E:$F,2,0)))</f>
        <v>0</v>
      </c>
      <c r="KI386" s="409"/>
      <c r="KJ386" s="398">
        <f>IF(KI386=0,0,IF(LEN(JV386)=11,_xlfn.XLOOKUP(JV386,'Dispensed Ink Rates'!C:C,'Dispensed Ink Rates'!CS:CS),VLOOKUP(JV386,'Jan-2026 rates'!$E:$F,2,0)))</f>
        <v>0</v>
      </c>
      <c r="KK386" s="409"/>
      <c r="KL386" s="398">
        <f>IF(KK386=0,0,IF(LEN(JW386)=11,_xlfn.XLOOKUP(JW386,'Dispensed Ink Rates'!C:C,'Dispensed Ink Rates'!CS:CS),VLOOKUP(JW386,'Jan-2026 rates'!$E:$F,2,0)))</f>
        <v>0</v>
      </c>
      <c r="KM386" s="428"/>
      <c r="KN386" s="398">
        <f>IF(KM386=0,0,IF(LEN(JX386)=11,_xlfn.XLOOKUP(JX386,'Dispensed Ink Rates'!C:C,'Dispensed Ink Rates'!CS:CS),VLOOKUP(JX386,'Jan-2026 rates'!$E:$F,2,0)))</f>
        <v>0</v>
      </c>
      <c r="KO386" s="409"/>
      <c r="KP386" s="409"/>
      <c r="KQ386" s="411">
        <f t="shared" si="233"/>
        <v>0</v>
      </c>
      <c r="KR386" s="411">
        <f t="shared" si="234"/>
        <v>0</v>
      </c>
      <c r="KS386" s="410">
        <f t="shared" si="235"/>
        <v>0</v>
      </c>
      <c r="KT386" s="409">
        <v>2</v>
      </c>
      <c r="KU386" s="409">
        <v>10</v>
      </c>
      <c r="KV386" s="409">
        <v>3</v>
      </c>
      <c r="KW386" s="409">
        <v>2</v>
      </c>
      <c r="KX386" s="409">
        <v>6</v>
      </c>
      <c r="KY386" s="409">
        <v>8</v>
      </c>
      <c r="KZ386" s="409">
        <f>50+30</f>
        <v>80</v>
      </c>
      <c r="LA386" s="409">
        <v>0</v>
      </c>
      <c r="LB386" s="415">
        <v>0.8</v>
      </c>
      <c r="LC386" s="415">
        <v>0.2</v>
      </c>
      <c r="LD386" s="424"/>
      <c r="LE386" s="415"/>
      <c r="LF386" s="415"/>
      <c r="LG386" s="409">
        <v>0</v>
      </c>
      <c r="LH386" s="409">
        <f>80+53+128+32</f>
        <v>293</v>
      </c>
      <c r="LI386" s="409">
        <v>0</v>
      </c>
      <c r="LJ386" s="409">
        <v>0</v>
      </c>
      <c r="LK386" s="416">
        <f t="shared" si="191"/>
        <v>293</v>
      </c>
      <c r="LL386" s="416">
        <f t="shared" si="349"/>
        <v>293</v>
      </c>
      <c r="LM386" s="417">
        <f t="shared" si="193"/>
        <v>234.4</v>
      </c>
      <c r="LN386" s="417">
        <f>VLOOKUP($LM$8,'Jan-2026 rates'!$H:$I,2,0)</f>
        <v>0</v>
      </c>
      <c r="LO386" s="417">
        <f t="shared" si="194"/>
        <v>58.6</v>
      </c>
      <c r="LP386" s="417">
        <f>VLOOKUP($LO$8,'Jan-2026 rates'!$H:$I,2,0)</f>
        <v>0</v>
      </c>
      <c r="LQ386" s="417">
        <f t="shared" si="195"/>
        <v>0</v>
      </c>
      <c r="LR386" s="417">
        <f>VLOOKUP($LQ$8,'Jan-2026 rates'!$H:$I,2,0)</f>
        <v>0</v>
      </c>
      <c r="LS386" s="417">
        <f t="shared" si="196"/>
        <v>0</v>
      </c>
      <c r="LT386" s="417">
        <f>VLOOKUP($LS$8,'Jan-2026 rates'!$H:$I,2,0)</f>
        <v>0</v>
      </c>
      <c r="LU386" s="417">
        <f t="shared" si="197"/>
        <v>0</v>
      </c>
      <c r="LV386" s="417">
        <f>VLOOKUP($LU$8,'Jan-2026 rates'!$H:$I,2,0)</f>
        <v>0</v>
      </c>
      <c r="LW386" s="417">
        <f t="shared" si="198"/>
        <v>0</v>
      </c>
      <c r="LX386" s="417">
        <f t="shared" si="199"/>
        <v>0</v>
      </c>
      <c r="LY386" s="418">
        <f t="shared" si="200"/>
        <v>0</v>
      </c>
      <c r="LZ386" s="417"/>
      <c r="MA386" s="435">
        <f t="shared" si="201"/>
        <v>135</v>
      </c>
      <c r="MB386" s="282">
        <f t="shared" si="202"/>
        <v>400</v>
      </c>
      <c r="MC386" s="283">
        <v>227</v>
      </c>
      <c r="MD386" s="284" t="str">
        <f t="shared" si="203"/>
        <v>FLINTSLFLINTSLFLINTSLFLINTSLFLINTSLFLINTSLFLINTSL</v>
      </c>
      <c r="ME386" s="293" t="str">
        <f t="shared" si="204"/>
        <v>+</v>
      </c>
      <c r="MF386" s="293" t="str">
        <f t="shared" si="205"/>
        <v>+</v>
      </c>
      <c r="MG386" s="293" t="str">
        <f t="shared" si="206"/>
        <v>+</v>
      </c>
      <c r="MH386" s="293" t="str">
        <f t="shared" si="207"/>
        <v>+</v>
      </c>
      <c r="MI386" s="293" t="str">
        <f t="shared" si="208"/>
        <v>+</v>
      </c>
      <c r="MJ386" s="293" t="str">
        <f t="shared" si="209"/>
        <v>+</v>
      </c>
      <c r="MK386" s="293" t="str">
        <f t="shared" si="210"/>
        <v>+</v>
      </c>
      <c r="ML386" s="293" t="str">
        <f t="shared" si="211"/>
        <v>NIL</v>
      </c>
      <c r="MM386" s="3" t="b">
        <f t="array" ref="MM386">OR(ME386:ML386="-")</f>
        <v>0</v>
      </c>
      <c r="MO386" s="401">
        <f t="shared" si="350"/>
        <v>40.983606557377051</v>
      </c>
      <c r="MP386" s="286"/>
      <c r="MR386" s="402">
        <f t="shared" si="351"/>
        <v>9.1116173120728925E-3</v>
      </c>
      <c r="MS386" s="400">
        <f t="shared" si="352"/>
        <v>0</v>
      </c>
      <c r="MT386" s="285"/>
      <c r="NH386" s="361"/>
      <c r="NJ386" s="282"/>
    </row>
    <row r="387" spans="1:374" ht="16.5">
      <c r="A387" s="403">
        <v>46052</v>
      </c>
      <c r="B387" s="404" t="s">
        <v>1018</v>
      </c>
      <c r="C387" s="405" t="s">
        <v>4928</v>
      </c>
      <c r="D387" s="404">
        <v>228</v>
      </c>
      <c r="E387" s="404">
        <v>989</v>
      </c>
      <c r="F387" s="407">
        <v>46600</v>
      </c>
      <c r="G387" s="407" t="s">
        <v>1016</v>
      </c>
      <c r="H387" s="408" t="s">
        <v>1017</v>
      </c>
      <c r="I387" s="409">
        <v>2.0699999999999998</v>
      </c>
      <c r="J387" s="405" t="s">
        <v>543</v>
      </c>
      <c r="K387" s="404" t="s">
        <v>4929</v>
      </c>
      <c r="L387" s="419" t="str">
        <f t="shared" si="184"/>
        <v>FLINTSL - BLACK</v>
      </c>
      <c r="M387" s="404">
        <v>28</v>
      </c>
      <c r="N387" s="410">
        <f>IF(M387=0,0,IF($LB387=70%,VLOOKUP($L387,'Jan-2026 rates'!$L:$R,4,0),IF($LB387=65%,VLOOKUP($L387,'Jan-2026 rates'!$L:$R,4,0),IF($LB387=40%,VLOOKUP($L387,'Jan-2026 rates'!$L:$R,5,0),IF($LB387=30%,VLOOKUP($L387,'Jan-2026 rates'!$L:$R,6,0),IF($LB387=100%,VLOOKUP($L387,'Jan-2026 rates'!$L:$R,7,0),IF($LB387=60%,VLOOKUP($L387,'Jan-2026 rates'!$L:$S,8,0),IF($LB387=80%,VLOOKUP($L387,'Jan-2026 rates'!L:T,9,0),0))))))))</f>
        <v>0</v>
      </c>
      <c r="O387" s="406"/>
      <c r="P387" s="404"/>
      <c r="Q387" s="410">
        <f>IF(P387=0,0,IF($LB387=70%,VLOOKUP($L387,'Jan-2026 rates'!$L:$R,4,0),IF($LB387=65%,VLOOKUP($L387,'Jan-2026 rates'!$L:$R,4,0),IF($LB387=40%,VLOOKUP($L387,'Jan-2026 rates'!$L:$R,5,0),IF($LB387=30%,VLOOKUP($L387,'Jan-2026 rates'!$L:$R,6,0),IF($LB387=100%,VLOOKUP($L387,'Jan-2026 rates'!$L:$R,7,0),IF($LB387=60%,VLOOKUP($L387,'Jan-2026 rates'!$L:$S,8,0),IF($LB387=80%,VLOOKUP($L387,'Jan-2026 rates'!L:T,9,0),0))))))))</f>
        <v>0</v>
      </c>
      <c r="R387" s="406">
        <v>26530000023</v>
      </c>
      <c r="S387" s="406" t="s">
        <v>1266</v>
      </c>
      <c r="T387" s="406"/>
      <c r="U387" s="406"/>
      <c r="V387" s="406"/>
      <c r="W387" s="406"/>
      <c r="X387" s="406"/>
      <c r="Y387" s="406"/>
      <c r="Z387" s="404">
        <v>2</v>
      </c>
      <c r="AA387" s="398" t="e">
        <f>IF(Z387=0,0,IF(LEN(R387)=11,_xlfn.XLOOKUP(R387,'Dispensed Ink Rates'!C:C,'Dispensed Ink Rates'!CS:CS),VLOOKUP(R387,'Jan-2026 rates'!$E:$F,2,0)))</f>
        <v>#N/A</v>
      </c>
      <c r="AB387" s="404">
        <v>5</v>
      </c>
      <c r="AC387" s="398">
        <f>IF(AB387=0,0,IF(LEN(S387)=11,_xlfn.XLOOKUP(S387,'Dispensed Ink Rates'!C:C,'Dispensed Ink Rates'!CS:CS),VLOOKUP(S387,'Jan-2026 rates'!$E:$F,2,0)))</f>
        <v>0</v>
      </c>
      <c r="AD387" s="404"/>
      <c r="AE387" s="398">
        <f>IF(AD387=0,0,IF(LEN(T387)=11,_xlfn.XLOOKUP(T387,'Dispensed Ink Rates'!C:C,'Dispensed Ink Rates'!CS:CS),VLOOKUP(T387,'Jan-2026 rates'!$E:$F,2,0)))</f>
        <v>0</v>
      </c>
      <c r="AF387" s="404"/>
      <c r="AG387" s="398">
        <f>IF(AF387=0,0,IF(LEN(U387)=11,_xlfn.XLOOKUP(U387,'Dispensed Ink Rates'!C:C,'Dispensed Ink Rates'!CS:CS),VLOOKUP(U387,'Jan-2026 rates'!$E:$F,2,0)))</f>
        <v>0</v>
      </c>
      <c r="AH387" s="404"/>
      <c r="AI387" s="398">
        <f>IF(AH387=0,0,IF(LEN(V387)=11,_xlfn.XLOOKUP(V387,'Dispensed Ink Rates'!C:C,'Dispensed Ink Rates'!CS:CS),VLOOKUP(V387,'Jan-2026 rates'!$E:$F,2,0)))</f>
        <v>0</v>
      </c>
      <c r="AJ387" s="404"/>
      <c r="AK387" s="398">
        <f>IF(AJ387=0,0,IF(LEN(W387)=11,_xlfn.XLOOKUP(W387,'Dispensed Ink Rates'!C:C,'Dispensed Ink Rates'!CS:CS),VLOOKUP(W387,'Jan-2026 rates'!$E:$F,2,0)))</f>
        <v>0</v>
      </c>
      <c r="AL387" s="404"/>
      <c r="AM387" s="398">
        <f>IF(AL387=0,0,IF(LEN(X387)=11,_xlfn.XLOOKUP(X387,'Dispensed Ink Rates'!C:C,'Dispensed Ink Rates'!CS:CS),VLOOKUP(X387,'Jan-2026 rates'!$E:$F,2,0)))</f>
        <v>0</v>
      </c>
      <c r="AN387" s="404"/>
      <c r="AO387" s="398">
        <f>IF(AN387=0,0,IF(LEN(Y387)=11,_xlfn.XLOOKUP(Y387,'Dispensed Ink Rates'!C:C,'Dispensed Ink Rates'!CS:CS),VLOOKUP(Y387,'Jan-2026 rates'!$E:$F,2,0)))</f>
        <v>0</v>
      </c>
      <c r="AP387" s="409" t="s">
        <v>1443</v>
      </c>
      <c r="AQ387" s="409">
        <v>28</v>
      </c>
      <c r="AR387" s="410">
        <f t="shared" si="212"/>
        <v>0</v>
      </c>
      <c r="AS387" s="411">
        <f t="shared" si="213"/>
        <v>20.054945054945058</v>
      </c>
      <c r="AT387" s="410">
        <f t="shared" si="214"/>
        <v>0</v>
      </c>
      <c r="AU387" s="405" t="s">
        <v>857</v>
      </c>
      <c r="AV387" s="409" t="s">
        <v>4930</v>
      </c>
      <c r="AW387" s="420" t="str">
        <f t="shared" si="348"/>
        <v>FLINTSL - RED</v>
      </c>
      <c r="AX387" s="409">
        <v>5</v>
      </c>
      <c r="AY387" s="411">
        <f>IF(AX387=0,0,IF($LB387=70%,VLOOKUP($AW387,'Jan-2026 rates'!$L:$R,4,0),IF($LB387=65%,VLOOKUP($AW387,'Jan-2026 rates'!$L:$R,4,0),IF($LB387=40%,VLOOKUP($AW387,'Jan-2026 rates'!$L:$R,5,0),IF($LB387=30%,VLOOKUP($AW387,'Jan-2026 rates'!$L:$R,6,0),IF($LB387=100%,VLOOKUP($AW387,'Jan-2026 rates'!$L:$R,7,0),IF($LB387=60%,VLOOKUP($AW387,'Jan-2026 rates'!$L:$S,8,0),IF($LB387=80%,VLOOKUP($AW387,'Jan-2026 rates'!L:T,9,0),0))))))))</f>
        <v>0</v>
      </c>
      <c r="AZ387" s="412"/>
      <c r="BA387" s="409"/>
      <c r="BB387" s="411">
        <f>IF(BA387=0,0,IF($LB387=70%,VLOOKUP($AW387,'Jan-2026 rates'!$L:$R,4,0),IF($LB387=65%,VLOOKUP($AW387,'Jan-2026 rates'!$L:$R,4,0),IF($LB387=40%,VLOOKUP($AW387,'Jan-2026 rates'!$L:$R,5,0),IF($LB387=30%,VLOOKUP($AW387,'Jan-2026 rates'!$L:$R,6,0),IF($LB387=100%,VLOOKUP($AW387,'Jan-2026 rates'!$L:$R,7,0),IF($LB387=60%,VLOOKUP($AW387,'Jan-2026 rates'!$L:$S,8,0),IF($LB387=80%,VLOOKUP($AW387,'Jan-2026 rates'!L:T,9,0),0))))))))</f>
        <v>0</v>
      </c>
      <c r="BC387" s="413" t="s">
        <v>1265</v>
      </c>
      <c r="BD387" s="412"/>
      <c r="BE387" s="412"/>
      <c r="BF387" s="413"/>
      <c r="BG387" s="412"/>
      <c r="BH387" s="412"/>
      <c r="BI387" s="412"/>
      <c r="BJ387" s="412"/>
      <c r="BK387" s="409">
        <v>10</v>
      </c>
      <c r="BL387" s="398">
        <f>IF(BK387=0,0,IF(LEN(BC387)=11,_xlfn.XLOOKUP(BC387,'Dispensed Ink Rates'!C:C,'Dispensed Ink Rates'!CS:CS),VLOOKUP(BC387,'Jan-2026 rates'!$E:$F,2,0)))</f>
        <v>0</v>
      </c>
      <c r="BM387" s="409"/>
      <c r="BN387" s="398">
        <f>IF(BM387=0,0,IF(LEN(BD387)=11,_xlfn.XLOOKUP(BD387,'Dispensed Ink Rates'!C:C,'Dispensed Ink Rates'!CS:CS),VLOOKUP(BD387,'Jan-2026 rates'!$E:$F,2,0)))</f>
        <v>0</v>
      </c>
      <c r="BO387" s="409"/>
      <c r="BP387" s="398">
        <f>IF(BO387=0,0,IF(LEN(BE387)=11,_xlfn.XLOOKUP(BE387,'Dispensed Ink Rates'!C:C,'Dispensed Ink Rates'!CS:CS),VLOOKUP(BE387,'Jan-2026 rates'!$E:$F,2,0)))</f>
        <v>0</v>
      </c>
      <c r="BQ387" s="409"/>
      <c r="BR387" s="398">
        <f>IF(BQ387=0,0,IF(LEN(BF387)=11,_xlfn.XLOOKUP(BF387,'Dispensed Ink Rates'!C:C,'Dispensed Ink Rates'!CS:CS),VLOOKUP(BF387,'Jan-2026 rates'!$E:$F,2,0)))</f>
        <v>0</v>
      </c>
      <c r="BS387" s="409"/>
      <c r="BT387" s="398">
        <f>IF(BS387=0,0,IF(LEN(BG387)=11,_xlfn.XLOOKUP(BG387,'Dispensed Ink Rates'!C:C,'Dispensed Ink Rates'!CS:CS),VLOOKUP(BG387,'Jan-2026 rates'!$E:$F,2,0)))</f>
        <v>0</v>
      </c>
      <c r="BU387" s="409"/>
      <c r="BV387" s="398">
        <f>IF(BU387=0,0,IF(LEN(BH387)=11,_xlfn.XLOOKUP(BH387,'Dispensed Ink Rates'!C:C,'Dispensed Ink Rates'!CS:CS),VLOOKUP(BH387,'Jan-2026 rates'!$E:$F,2,0)))</f>
        <v>0</v>
      </c>
      <c r="BW387" s="409"/>
      <c r="BX387" s="398">
        <f>IF(BW387=0,0,IF(LEN(BI387)=11,_xlfn.XLOOKUP(BI387,'Dispensed Ink Rates'!C:C,'Dispensed Ink Rates'!CS:CS),VLOOKUP(BI387,'Jan-2026 rates'!$E:$F,2,0)))</f>
        <v>0</v>
      </c>
      <c r="BY387" s="409"/>
      <c r="BZ387" s="398">
        <f>IF(BY387=0,0,IF(LEN(BJ387)=11,_xlfn.XLOOKUP(BJ387,'Dispensed Ink Rates'!C:C,'Dispensed Ink Rates'!CS:CS),VLOOKUP(BJ387,'Jan-2026 rates'!$E:$F,2,0)))</f>
        <v>0</v>
      </c>
      <c r="CA387" s="409" t="s">
        <v>1443</v>
      </c>
      <c r="CB387" s="409">
        <v>20</v>
      </c>
      <c r="CC387" s="411">
        <f t="shared" si="215"/>
        <v>0</v>
      </c>
      <c r="CD387" s="411">
        <f t="shared" si="216"/>
        <v>21.109890109890117</v>
      </c>
      <c r="CE387" s="410">
        <f t="shared" si="217"/>
        <v>0</v>
      </c>
      <c r="CF387" s="404" t="s">
        <v>543</v>
      </c>
      <c r="CG387" s="409" t="s">
        <v>4895</v>
      </c>
      <c r="CH387" s="420" t="str">
        <f t="shared" si="185"/>
        <v>FLINTSL - BLACK</v>
      </c>
      <c r="CI387" s="409">
        <v>28</v>
      </c>
      <c r="CJ387" s="411">
        <f>IF(CI387=0,0,IF($LB387=70%,VLOOKUP($CH387,'Jan-2026 rates'!$L:$R,4,0),IF($LB387=65%,VLOOKUP($CH387,'Jan-2026 rates'!$L:$R,4,0),IF($LB387=40%,VLOOKUP($CH387,'Jan-2026 rates'!$L:$R,5,0),IF($LB387=30%,VLOOKUP($CH387,'Jan-2026 rates'!$L:$R,6,0),IF($LB387=100%,VLOOKUP($CH387,'Jan-2026 rates'!$L:$R,7,0),IF($LB387=60%,VLOOKUP($CH387,'Jan-2026 rates'!$L:$S,8,0),IF($LB387=80%,VLOOKUP($CH387,'Jan-2026 rates'!L:T,9,0),0))))))))</f>
        <v>0</v>
      </c>
      <c r="CK387" s="412"/>
      <c r="CL387" s="409"/>
      <c r="CM387" s="411">
        <f>IF(CL387=0,0,IF($LB387=70%,VLOOKUP($CH387,'Jan-2026 rates'!$L:$R,4,0),IF($LB387=65%,VLOOKUP($CH387,'Jan-2026 rates'!$L:$R,4,0),IF($LB387=40%,VLOOKUP($CH387,'Jan-2026 rates'!$L:$R,5,0),IF($LB387=30%,VLOOKUP($CH387,'Jan-2026 rates'!$L:$R,6,0),IF($LB387=100%,VLOOKUP($CH387,'Jan-2026 rates'!$L:$R,7,0),IF($LB387=60%,VLOOKUP($CH387,'Jan-2026 rates'!$L:$S,8,0),IF($LB387=80%,VLOOKUP($CH387,'Jan-2026 rates'!L:T,9,0),0))))))))</f>
        <v>0</v>
      </c>
      <c r="CN387" s="426">
        <v>26531000009</v>
      </c>
      <c r="CO387" s="427" t="s">
        <v>1266</v>
      </c>
      <c r="CP387" s="426" t="s">
        <v>1265</v>
      </c>
      <c r="CQ387" s="426">
        <v>26527000013</v>
      </c>
      <c r="CR387" s="428"/>
      <c r="CS387" s="428"/>
      <c r="CT387" s="428"/>
      <c r="CU387" s="428"/>
      <c r="CV387" s="409">
        <f>20+10</f>
        <v>30</v>
      </c>
      <c r="CW387" s="398" t="e">
        <f>IF(CV387=0,0,IF(LEN(CN387)=11,_xlfn.XLOOKUP(CN387,'Dispensed Ink Rates'!C:C,'Dispensed Ink Rates'!CS:CS),VLOOKUP(CN387,'Jan-2026 rates'!$E:$F,2,0)))</f>
        <v>#N/A</v>
      </c>
      <c r="CX387" s="409">
        <v>6</v>
      </c>
      <c r="CY387" s="398">
        <f>IF(CX387=0,0,IF(LEN(CO387)=11,_xlfn.XLOOKUP(CO387,'Dispensed Ink Rates'!C:C,'Dispensed Ink Rates'!CS:CS),VLOOKUP(CO387,'Jan-2026 rates'!$E:$F,2,0)))</f>
        <v>0</v>
      </c>
      <c r="CZ387" s="409">
        <v>10</v>
      </c>
      <c r="DA387" s="398">
        <f>IF(CZ387=0,0,IF(LEN(CP387)=11,_xlfn.XLOOKUP(CP387,'Dispensed Ink Rates'!C:C,'Dispensed Ink Rates'!CS:CS),VLOOKUP(CP387,'Jan-2026 rates'!$E:$F,2,0)))</f>
        <v>0</v>
      </c>
      <c r="DB387" s="409">
        <v>8</v>
      </c>
      <c r="DC387" s="398" t="e">
        <f>IF(DB387=0,0,IF(LEN(CQ387)=11,_xlfn.XLOOKUP(CQ387,'Dispensed Ink Rates'!C:C,'Dispensed Ink Rates'!CS:CS),VLOOKUP(CQ387,'Jan-2026 rates'!$E:$F,2,0)))</f>
        <v>#N/A</v>
      </c>
      <c r="DD387" s="409"/>
      <c r="DE387" s="398">
        <f>IF(DD387=0,0,IF(LEN(CR387)=11,_xlfn.XLOOKUP(CR387,'Dispensed Ink Rates'!C:C,'Dispensed Ink Rates'!CS:CS),VLOOKUP(CR387,'Jan-2026 rates'!$E:$F,2,0)))</f>
        <v>0</v>
      </c>
      <c r="DF387" s="409"/>
      <c r="DG387" s="398">
        <f>IF(DF387=0,0,IF(LEN(CS387)=11,_xlfn.XLOOKUP(CS387,'Dispensed Ink Rates'!C:C,'Dispensed Ink Rates'!CS:CS),VLOOKUP(CS387,'Jan-2026 rates'!$E:$F,2,0)))</f>
        <v>0</v>
      </c>
      <c r="DH387" s="409"/>
      <c r="DI387" s="398">
        <f>IF(DH387=0,0,IF(LEN(CT387)=11,_xlfn.XLOOKUP(CT387,'Dispensed Ink Rates'!C:C,'Dispensed Ink Rates'!CS:CS),VLOOKUP(CT387,'Jan-2026 rates'!$E:$F,2,0)))</f>
        <v>0</v>
      </c>
      <c r="DJ387" s="409"/>
      <c r="DK387" s="398">
        <f>IF(DJ387=0,0,IF(LEN(CU387)=11,_xlfn.XLOOKUP(CU387,'Dispensed Ink Rates'!C:C,'Dispensed Ink Rates'!CS:CS),VLOOKUP(CU387,'Jan-2026 rates'!$E:$F,2,0)))</f>
        <v>0</v>
      </c>
      <c r="DL387" s="409" t="s">
        <v>1443</v>
      </c>
      <c r="DM387" s="409">
        <v>20</v>
      </c>
      <c r="DN387" s="411">
        <f t="shared" si="218"/>
        <v>0</v>
      </c>
      <c r="DO387" s="411">
        <f t="shared" si="219"/>
        <v>94.637362637362628</v>
      </c>
      <c r="DP387" s="410">
        <f t="shared" si="220"/>
        <v>0</v>
      </c>
      <c r="DQ387" s="405" t="s">
        <v>829</v>
      </c>
      <c r="DR387" s="409"/>
      <c r="DS387" s="420" t="str">
        <f t="shared" si="186"/>
        <v>FLINTSL - MEDIUM</v>
      </c>
      <c r="DT387" s="409"/>
      <c r="DU387" s="411">
        <f>IF(DT387=0,0,IF($LB387=70%,VLOOKUP($DS387,'Jan-2026 rates'!$L:$R,4,0),IF($LB387=65%,VLOOKUP($DS387,'Jan-2026 rates'!$L:$R,4,0),IF($LB387=40%,VLOOKUP($DS387,'Jan-2026 rates'!$L:$R,5,0),IF($LB387=30%,VLOOKUP($DS387,'Jan-2026 rates'!$L:$R,6,0),IF($LB387=100%,VLOOKUP($DS387,'Jan-2026 rates'!$L:$R,7,0),IF($LB387=60%,VLOOKUP($DS387,'Jan-2026 rates'!$L:$S,8,0),IF($LB387=80%,VLOOKUP($DS387,'Jan-2026 rates'!L:T,9,0),0))))))))</f>
        <v>0</v>
      </c>
      <c r="DV387" s="412"/>
      <c r="DW387" s="409"/>
      <c r="DX387" s="411">
        <f>IF(DW387=0,0,IF($LB387=70%,VLOOKUP($DS387,'Jan-2026 rates'!$L:$R,4,0),IF($LB387=65%,VLOOKUP($DS387,'Jan-2026 rates'!$L:$R,4,0),IF($LB387=40%,VLOOKUP($DS387,'Jan-2026 rates'!$L:$R,5,0),IF($LB387=30%,VLOOKUP($DS387,'Jan-2026 rates'!$L:$R,6,0),IF($LB387=100%,VLOOKUP($DS387,'Jan-2026 rates'!$L:$R,7,0),IF($LB387=60%,VLOOKUP($DS387,'Jan-2026 rates'!$L:$S,8,0),IF($LB387=80%,VLOOKUP($DS387,'Jan-2026 rates'!L:T,9,0),0))))))))</f>
        <v>0</v>
      </c>
      <c r="DY387" s="413">
        <v>26531000002</v>
      </c>
      <c r="DZ387" s="413">
        <v>26531000004</v>
      </c>
      <c r="EA387" s="412">
        <v>26531000003</v>
      </c>
      <c r="EB387" s="412"/>
      <c r="EC387" s="412"/>
      <c r="ED387" s="412"/>
      <c r="EE387" s="412"/>
      <c r="EF387" s="412"/>
      <c r="EG387" s="409">
        <v>40</v>
      </c>
      <c r="EH387" s="398" t="e">
        <f>IF(EG387=0,0,IF(LEN(DY387)=11,_xlfn.XLOOKUP(DY387,'Dispensed Ink Rates'!C:C,'Dispensed Ink Rates'!CS:CS),VLOOKUP(DY387,'Jan-2026 rates'!$E:$F,2,0)))</f>
        <v>#N/A</v>
      </c>
      <c r="EI387" s="409">
        <v>40</v>
      </c>
      <c r="EJ387" s="398" t="e">
        <f>IF(EI387=0,0,IF(LEN(DZ387)=11,_xlfn.XLOOKUP(DZ387,'Dispensed Ink Rates'!C:C,'Dispensed Ink Rates'!CS:CS),VLOOKUP(DZ387,'Jan-2026 rates'!$E:$F,2,0)))</f>
        <v>#N/A</v>
      </c>
      <c r="EK387" s="409">
        <v>28</v>
      </c>
      <c r="EL387" s="398" t="e">
        <f>IF(EK387=0,0,IF(LEN(EA387)=11,_xlfn.XLOOKUP(EA387,'Dispensed Ink Rates'!C:C,'Dispensed Ink Rates'!CS:CS),VLOOKUP(EA387,'Jan-2026 rates'!$E:$F,2,0)))</f>
        <v>#N/A</v>
      </c>
      <c r="EM387" s="409"/>
      <c r="EN387" s="398">
        <f>IF(EM387=0,0,IF(LEN(EB387)=11,_xlfn.XLOOKUP(EB387,'Dispensed Ink Rates'!C:C,'Dispensed Ink Rates'!CS:CS),VLOOKUP(EB387,'Jan-2026 rates'!$E:$F,2,0)))</f>
        <v>0</v>
      </c>
      <c r="EO387" s="409"/>
      <c r="EP387" s="398">
        <f>IF(EO387=0,0,IF(LEN(EC387)=11,_xlfn.XLOOKUP(EC387,'Dispensed Ink Rates'!C:C,'Dispensed Ink Rates'!CS:CS),VLOOKUP(EC387,'Jan-2026 rates'!$E:$F,2,0)))</f>
        <v>0</v>
      </c>
      <c r="EQ387" s="409"/>
      <c r="ER387" s="398">
        <f>IF(EQ387=0,0,IF(LEN(ED387)=11,_xlfn.XLOOKUP(ED387,'Dispensed Ink Rates'!C:C,'Dispensed Ink Rates'!CS:CS),VLOOKUP(ED387,'Jan-2026 rates'!$E:$F,2,0)))</f>
        <v>0</v>
      </c>
      <c r="ES387" s="409"/>
      <c r="ET387" s="398">
        <f>IF(ES387=0,0,IF(LEN(EE387)=11,_xlfn.XLOOKUP(EE387,'Dispensed Ink Rates'!C:C,'Dispensed Ink Rates'!CS:CS),VLOOKUP(EE387,'Jan-2026 rates'!$E:$F,2,0)))</f>
        <v>0</v>
      </c>
      <c r="EU387" s="409"/>
      <c r="EV387" s="398">
        <f>IF(EU387=0,0,IF(LEN(EF387)=11,_xlfn.XLOOKUP(EF387,'Dispensed Ink Rates'!C:C,'Dispensed Ink Rates'!CS:CS),VLOOKUP(EF387,'Jan-2026 rates'!$E:$F,2,0)))</f>
        <v>0</v>
      </c>
      <c r="EW387" s="409" t="s">
        <v>1443</v>
      </c>
      <c r="EX387" s="409">
        <v>30</v>
      </c>
      <c r="EY387" s="411">
        <f t="shared" si="221"/>
        <v>0</v>
      </c>
      <c r="EZ387" s="411">
        <f t="shared" si="222"/>
        <v>78</v>
      </c>
      <c r="FA387" s="410">
        <f t="shared" si="223"/>
        <v>0</v>
      </c>
      <c r="FB387" s="405" t="s">
        <v>855</v>
      </c>
      <c r="FC387" s="409" t="s">
        <v>4931</v>
      </c>
      <c r="FD387" s="420" t="str">
        <f t="shared" si="187"/>
        <v>FLINTSL - CYAN</v>
      </c>
      <c r="FE387" s="409">
        <v>25</v>
      </c>
      <c r="FF387" s="411">
        <f>IF(FE387=0,0,IF($LB387=70%,VLOOKUP($FD387,'Jan-2026 rates'!$L:$R,4,0),IF($LB387=65%,VLOOKUP($FD387,'Jan-2026 rates'!$L:$R,4,0),IF($LB387=40%,VLOOKUP($FD387,'Jan-2026 rates'!$L:$R,5,0),IF($LB387=30%,VLOOKUP($FD387,'Jan-2026 rates'!$L:$R,6,0),IF($LB387=100%,VLOOKUP($FD387,'Jan-2026 rates'!$L:$R,7,0),IF($LB387=60%,VLOOKUP($FD387,'Jan-2026 rates'!$L:$S,8,0),IF($LB387=80%,VLOOKUP($FD387,'Jan-2026 rates'!L:T,9,0),0))))))))</f>
        <v>0</v>
      </c>
      <c r="FG387" s="412"/>
      <c r="FH387" s="409"/>
      <c r="FI387" s="411">
        <f>IF(FH387=0,0,IF($LB387=70%,VLOOKUP($FD387,'Jan-2026 rates'!$L:$R,4,0),IF($LB387=65%,VLOOKUP($FD387,'Jan-2026 rates'!$L:$R,4,0),IF($LB387=40%,VLOOKUP($FD387,'Jan-2026 rates'!$L:$R,5,0),IF($LB387=30%,VLOOKUP($FD387,'Jan-2026 rates'!$L:$R,6,0),IF($LB387=100%,VLOOKUP($FD387,'Jan-2026 rates'!$L:$R,7,0),IF($LB387=60%,VLOOKUP($FD387,'Jan-2026 rates'!$L:$S,8,0),IF($LB387=80%,VLOOKUP($FD387,'Jan-2026 rates'!L:T,9,0),0))))))))</f>
        <v>0</v>
      </c>
      <c r="FJ387" s="413" t="s">
        <v>477</v>
      </c>
      <c r="FK387" s="413" t="s">
        <v>1266</v>
      </c>
      <c r="FL387" s="413"/>
      <c r="FM387" s="412"/>
      <c r="FN387" s="412"/>
      <c r="FO387" s="412"/>
      <c r="FP387" s="412"/>
      <c r="FQ387" s="412"/>
      <c r="FR387" s="409">
        <v>2</v>
      </c>
      <c r="FS387" s="398">
        <f>IF(FR387=0,0,IF(LEN(FJ387)=11,_xlfn.XLOOKUP(FJ387,'Dispensed Ink Rates'!C:C,'Dispensed Ink Rates'!CS:CS),VLOOKUP(FJ387,'Jan-2026 rates'!$E:$F,2,0)))</f>
        <v>0</v>
      </c>
      <c r="FT387" s="409">
        <v>4</v>
      </c>
      <c r="FU387" s="398">
        <f>IF(FT387=0,0,IF(LEN(FK387)=11,_xlfn.XLOOKUP(FK387,'Dispensed Ink Rates'!C:C,'Dispensed Ink Rates'!CS:CS),VLOOKUP(FK387,'Jan-2026 rates'!$E:$F,2,0)))</f>
        <v>0</v>
      </c>
      <c r="FV387" s="409"/>
      <c r="FW387" s="398">
        <f>IF(FV387=0,0,IF(LEN(FL387)=11,_xlfn.XLOOKUP(FL387,'Dispensed Ink Rates'!C:C,'Dispensed Ink Rates'!CS:CS),VLOOKUP(FL387,'Jan-2026 rates'!$E:$F,2,0)))</f>
        <v>0</v>
      </c>
      <c r="FX387" s="409"/>
      <c r="FY387" s="398">
        <f>IF(FX387=0,0,IF(LEN(FM387)=11,_xlfn.XLOOKUP(FM387,'Dispensed Ink Rates'!C:C,'Dispensed Ink Rates'!CS:CS),VLOOKUP(FM387,'Jan-2026 rates'!$E:$F,2,0)))</f>
        <v>0</v>
      </c>
      <c r="FZ387" s="409"/>
      <c r="GA387" s="398">
        <f>IF(FZ387=0,0,IF(LEN(FN387)=11,_xlfn.XLOOKUP(FN387,'Dispensed Ink Rates'!C:C,'Dispensed Ink Rates'!CS:CS),VLOOKUP(FN387,'Jan-2026 rates'!$E:$F,2,0)))</f>
        <v>0</v>
      </c>
      <c r="GB387" s="409"/>
      <c r="GC387" s="398">
        <f>IF(GB387=0,0,IF(LEN(FO387)=11,_xlfn.XLOOKUP(FO387,'Dispensed Ink Rates'!C:C,'Dispensed Ink Rates'!CS:CS),VLOOKUP(FO387,'Jan-2026 rates'!$E:$F,2,0)))</f>
        <v>0</v>
      </c>
      <c r="GD387" s="409"/>
      <c r="GE387" s="398">
        <f>IF(GD387=0,0,IF(LEN(FP387)=11,_xlfn.XLOOKUP(FP387,'Dispensed Ink Rates'!C:C,'Dispensed Ink Rates'!CS:CS),VLOOKUP(FP387,'Jan-2026 rates'!$E:$F,2,0)))</f>
        <v>0</v>
      </c>
      <c r="GF387" s="409"/>
      <c r="GG387" s="398">
        <f>IF(GF387=0,0,IF(LEN(FQ387)=11,_xlfn.XLOOKUP(FQ387,'Dispensed Ink Rates'!C:C,'Dispensed Ink Rates'!CS:CS),VLOOKUP(FQ387,'Jan-2026 rates'!$E:$F,2,0)))</f>
        <v>0</v>
      </c>
      <c r="GH387" s="409" t="s">
        <v>1443</v>
      </c>
      <c r="GI387" s="409">
        <v>28</v>
      </c>
      <c r="GJ387" s="411">
        <f t="shared" si="224"/>
        <v>0</v>
      </c>
      <c r="GK387" s="411">
        <f t="shared" si="225"/>
        <v>16.054945054945058</v>
      </c>
      <c r="GL387" s="410">
        <f t="shared" si="226"/>
        <v>0</v>
      </c>
      <c r="GM387" s="405" t="s">
        <v>544</v>
      </c>
      <c r="GN387" s="409" t="s">
        <v>4932</v>
      </c>
      <c r="GO387" s="420" t="str">
        <f t="shared" si="188"/>
        <v>FLINTSL - MAGENTA</v>
      </c>
      <c r="GP387" s="409">
        <v>27</v>
      </c>
      <c r="GQ387" s="411">
        <f>IF(GP387=0,0,IF($LB387=70%,VLOOKUP($GO387,'Jan-2026 rates'!$L:$R,4,0),IF($LB387=65%,VLOOKUP($GO387,'Jan-2026 rates'!$L:$R,4,0),IF($LB387=40%,VLOOKUP($GO387,'Jan-2026 rates'!$L:$R,5,0),IF($LB387=30%,VLOOKUP($GO387,'Jan-2026 rates'!$L:$R,6,0),IF($LB387=100%,VLOOKUP($GO387,'Jan-2026 rates'!$L:$R,7,0),IF($LB387=60%,VLOOKUP($GO387,'Jan-2026 rates'!$L:$S,8,0),IF($LB387=80%,VLOOKUP($GO387,'Jan-2026 rates'!L:T,9,0),0))))))))</f>
        <v>0</v>
      </c>
      <c r="GR387" s="412"/>
      <c r="GS387" s="409"/>
      <c r="GT387" s="411">
        <f>IF(GS387=0,0,IF($LB387=70%,VLOOKUP($GO387,'Jan-2026 rates'!$L:$R,4,0),IF($LB387=65%,VLOOKUP($GO387,'Jan-2026 rates'!$L:$R,4,0),IF($LB387=40%,VLOOKUP($GO387,'Jan-2026 rates'!$L:$R,5,0),IF($LB387=30%,VLOOKUP($GO387,'Jan-2026 rates'!$L:$R,6,0),IF($LB387=100%,VLOOKUP($GO387,'Jan-2026 rates'!$L:$R,7,0),IF($LB387=60%,VLOOKUP($GO387,'Jan-2026 rates'!$L:$S,8,0),IF($LB387=80%,VLOOKUP($GO387,'Jan-2026 rates'!L:T,9,0),0))))))))</f>
        <v>0</v>
      </c>
      <c r="GU387" s="413" t="s">
        <v>1265</v>
      </c>
      <c r="GV387" s="413"/>
      <c r="GW387" s="412"/>
      <c r="GX387" s="412"/>
      <c r="GY387" s="412"/>
      <c r="GZ387" s="412"/>
      <c r="HA387" s="412"/>
      <c r="HB387" s="412"/>
      <c r="HC387" s="409">
        <v>5</v>
      </c>
      <c r="HD387" s="398">
        <f>IF(HC387=0,0,IF(LEN(GU387)=11,_xlfn.XLOOKUP(GU387,'Dispensed Ink Rates'!C:C,'Dispensed Ink Rates'!CS:CS),VLOOKUP(GU387,'Jan-2026 rates'!$E:$F,2,0)))</f>
        <v>0</v>
      </c>
      <c r="HE387" s="409"/>
      <c r="HF387" s="398">
        <f>IF(HE387=0,0,IF(LEN(GV387)=11,_xlfn.XLOOKUP(GV387,'Dispensed Ink Rates'!C:C,'Dispensed Ink Rates'!CS:CS),VLOOKUP(GV387,'Jan-2026 rates'!$E:$F,2,0)))</f>
        <v>0</v>
      </c>
      <c r="HG387" s="409"/>
      <c r="HH387" s="398">
        <f>IF(HG387=0,0,IF(LEN(GW387)=11,_xlfn.XLOOKUP(GW387,'Dispensed Ink Rates'!C:C,'Dispensed Ink Rates'!CS:CS),VLOOKUP(GW387,'Jan-2026 rates'!$E:$F,2,0)))</f>
        <v>0</v>
      </c>
      <c r="HI387" s="409"/>
      <c r="HJ387" s="398">
        <f>IF(HI387=0,0,IF(LEN(GX387)=11,_xlfn.XLOOKUP(GX387,'Dispensed Ink Rates'!C:C,'Dispensed Ink Rates'!CS:CS),VLOOKUP(GX387,'Jan-2026 rates'!$E:$F,2,0)))</f>
        <v>0</v>
      </c>
      <c r="HK387" s="409"/>
      <c r="HL387" s="398">
        <f>IF(HK387=0,0,IF(LEN(GY387)=11,_xlfn.XLOOKUP(GY387,'Dispensed Ink Rates'!C:C,'Dispensed Ink Rates'!CS:CS),VLOOKUP(GY387,'Jan-2026 rates'!$E:$F,2,0)))</f>
        <v>0</v>
      </c>
      <c r="HM387" s="409"/>
      <c r="HN387" s="398">
        <f>IF(HM387=0,0,IF(LEN(GZ387)=11,_xlfn.XLOOKUP(GZ387,'Dispensed Ink Rates'!C:C,'Dispensed Ink Rates'!CS:CS),VLOOKUP(GZ387,'Jan-2026 rates'!$E:$F,2,0)))</f>
        <v>0</v>
      </c>
      <c r="HO387" s="409"/>
      <c r="HP387" s="398">
        <f>IF(HO387=0,0,IF(LEN(HA387)=11,_xlfn.XLOOKUP(HA387,'Dispensed Ink Rates'!C:C,'Dispensed Ink Rates'!CS:CS),VLOOKUP(HA387,'Jan-2026 rates'!$E:$F,2,0)))</f>
        <v>0</v>
      </c>
      <c r="HQ387" s="409"/>
      <c r="HR387" s="398">
        <f>IF(HQ387=0,0,IF(LEN(HB387)=11,_xlfn.XLOOKUP(HB387,'Dispensed Ink Rates'!C:C,'Dispensed Ink Rates'!CS:CS),VLOOKUP(HB387,'Jan-2026 rates'!$E:$F,2,0)))</f>
        <v>0</v>
      </c>
      <c r="HS387" s="409" t="s">
        <v>1443</v>
      </c>
      <c r="HT387" s="409">
        <v>28</v>
      </c>
      <c r="HU387" s="411">
        <f t="shared" si="227"/>
        <v>0</v>
      </c>
      <c r="HV387" s="411">
        <f t="shared" si="228"/>
        <v>10.527472527472526</v>
      </c>
      <c r="HW387" s="414">
        <f t="shared" si="229"/>
        <v>0</v>
      </c>
      <c r="HX387" s="405" t="s">
        <v>545</v>
      </c>
      <c r="HY387" s="409" t="s">
        <v>4933</v>
      </c>
      <c r="HZ387" s="420" t="str">
        <f t="shared" si="189"/>
        <v>FLINTSL - YELLOW</v>
      </c>
      <c r="IA387" s="409">
        <v>26</v>
      </c>
      <c r="IB387" s="411">
        <f>IF(IA387=0,0,IF($LB387=70%,VLOOKUP($HZ387,'Jan-2026 rates'!$L:$R,4,0),IF($LB387=65%,VLOOKUP($HZ387,'Jan-2026 rates'!$L:$R,4,0),IF($LB387=40%,VLOOKUP($HZ387,'Jan-2026 rates'!$L:$R,5,0),IF($LB387=30%,VLOOKUP($HZ387,'Jan-2026 rates'!$L:$R,6,0),IF($LB387=100%,VLOOKUP($HZ387,'Jan-2026 rates'!$L:$R,7,0),IF($LB387=60%,VLOOKUP($HZ387,'Jan-2026 rates'!$L:$S,8,0),IF($LB387=80%,VLOOKUP($HZ387,'Jan-2026 rates'!L:T,9,0),0))))))))</f>
        <v>0</v>
      </c>
      <c r="IC387" s="412"/>
      <c r="ID387" s="409"/>
      <c r="IE387" s="411">
        <f>IF(ID387=0,0,IF($LB387=70%,VLOOKUP($HZ387,'Jan-2026 rates'!$L:$R,4,0),IF($LB387=65%,VLOOKUP($HZ387,'Jan-2026 rates'!$L:$R,4,0),IF($LB387=40%,VLOOKUP($HZ387,'Jan-2026 rates'!$L:$R,5,0),IF($LB387=30%,VLOOKUP($HZ387,'Jan-2026 rates'!$L:$R,6,0),IF($LB387=100%,VLOOKUP($HZ387,'Jan-2026 rates'!$L:$R,7,0),IF($LB387=60%,VLOOKUP($HZ387,'Jan-2026 rates'!$L:$S,8,0),IF($LB387=80%,VLOOKUP($HZ387,'Jan-2026 rates'!L:T,9,0),0))))))))</f>
        <v>0</v>
      </c>
      <c r="IF387" s="412">
        <v>26529000026</v>
      </c>
      <c r="IG387" s="413" t="s">
        <v>1266</v>
      </c>
      <c r="IH387" s="412"/>
      <c r="II387" s="412"/>
      <c r="IJ387" s="412"/>
      <c r="IK387" s="412"/>
      <c r="IL387" s="412"/>
      <c r="IM387" s="412"/>
      <c r="IN387" s="409">
        <v>6</v>
      </c>
      <c r="IO387" s="398" t="e">
        <f>IF(IN387=0,0,IF(LEN(IF387)=11,_xlfn.XLOOKUP(IF387,'Dispensed Ink Rates'!C:C,'Dispensed Ink Rates'!CS:CS),VLOOKUP(IF387,'Jan-2026 rates'!$E:$F,2,0)))</f>
        <v>#N/A</v>
      </c>
      <c r="IP387" s="409">
        <v>3</v>
      </c>
      <c r="IQ387" s="398">
        <f>IF(IP387=0,0,IF(LEN(IG387)=11,_xlfn.XLOOKUP(IG387,'Dispensed Ink Rates'!C:C,'Dispensed Ink Rates'!CS:CS),VLOOKUP(IG387,'Jan-2026 rates'!$E:$F,2,0)))</f>
        <v>0</v>
      </c>
      <c r="IR387" s="409"/>
      <c r="IS387" s="398">
        <f>IF(IR387=0,0,IF(LEN(IH387)=11,_xlfn.XLOOKUP(IH387,'Dispensed Ink Rates'!C:C,'Dispensed Ink Rates'!CS:CS),VLOOKUP(IH387,'Jan-2026 rates'!$E:$F,2,0)))</f>
        <v>0</v>
      </c>
      <c r="IT387" s="409"/>
      <c r="IU387" s="398">
        <f>IF(IT387=0,0,IF(LEN(II387)=11,_xlfn.XLOOKUP(II387,'Dispensed Ink Rates'!C:C,'Dispensed Ink Rates'!CS:CS),VLOOKUP(II387,'Jan-2026 rates'!$E:$F,2,0)))</f>
        <v>0</v>
      </c>
      <c r="IV387" s="409"/>
      <c r="IW387" s="398">
        <f>IF(IV387=0,0,IF(LEN(IJ387)=11,_xlfn.XLOOKUP(IJ387,'Dispensed Ink Rates'!C:C,'Dispensed Ink Rates'!CS:CS),VLOOKUP(IJ387,'Jan-2026 rates'!$E:$F,2,0)))</f>
        <v>0</v>
      </c>
      <c r="IX387" s="409"/>
      <c r="IY387" s="398">
        <f>IF(IX387=0,0,IF(LEN(IK387)=11,_xlfn.XLOOKUP(IK387,'Dispensed Ink Rates'!C:C,'Dispensed Ink Rates'!CS:CS),VLOOKUP(IK387,'Jan-2026 rates'!$E:$F,2,0)))</f>
        <v>0</v>
      </c>
      <c r="IZ387" s="409"/>
      <c r="JA387" s="398">
        <f>IF(IZ387=0,0,IF(LEN(IL387)=11,_xlfn.XLOOKUP(IL387,'Dispensed Ink Rates'!C:C,'Dispensed Ink Rates'!CS:CS),VLOOKUP(IL387,'Jan-2026 rates'!$E:$F,2,0)))</f>
        <v>0</v>
      </c>
      <c r="JB387" s="409"/>
      <c r="JC387" s="398">
        <f>IF(JB387=0,0,IF(LEN(IM387)=11,_xlfn.XLOOKUP(IM387,'Dispensed Ink Rates'!C:C,'Dispensed Ink Rates'!CS:CS),VLOOKUP(IM387,'Jan-2026 rates'!$E:$F,2,0)))</f>
        <v>0</v>
      </c>
      <c r="JD387" s="409" t="s">
        <v>1443</v>
      </c>
      <c r="JE387" s="409">
        <v>29</v>
      </c>
      <c r="JF387" s="411">
        <f t="shared" si="230"/>
        <v>0</v>
      </c>
      <c r="JG387" s="411">
        <f t="shared" si="231"/>
        <v>15.791208791208788</v>
      </c>
      <c r="JH387" s="410">
        <f t="shared" si="232"/>
        <v>0</v>
      </c>
      <c r="JI387" s="405" t="s">
        <v>856</v>
      </c>
      <c r="JJ387" s="409" t="s">
        <v>4934</v>
      </c>
      <c r="JK387" s="420" t="str">
        <f t="shared" si="190"/>
        <v>FLINTSL - WHITE</v>
      </c>
      <c r="JL387" s="409">
        <v>30</v>
      </c>
      <c r="JM387" s="411">
        <f>IF(JL387=0,0,IF($LB387=70%,VLOOKUP($JK387,'Jan-2026 rates'!$L:$R,4,0),IF($LB387=65%,VLOOKUP($JK387,'Jan-2026 rates'!$L:$R,4,0),IF($LB387=40%,VLOOKUP($JK387,'Jan-2026 rates'!$L:$R,5,0),IF($LB387=30%,VLOOKUP($JK387,'Jan-2026 rates'!$L:$R,6,0),IF($LB387=100%,VLOOKUP($JK387,'Jan-2026 rates'!$L:$R,7,0),IF($LB387=60%,VLOOKUP($JK387,'Jan-2026 rates'!$L:$S,8,0),IF($LB387=80%,VLOOKUP($JK387,'Jan-2026 rates'!L:T,9,0),0))))))))</f>
        <v>0</v>
      </c>
      <c r="JN387" s="412"/>
      <c r="JO387" s="409"/>
      <c r="JP387" s="411">
        <f>IF(JO387=0,0,IF($LB387=70%,VLOOKUP($JK387,'Jan-2026 rates'!$L:$R,4,0),IF($LB387=65%,VLOOKUP($JK387,'Jan-2026 rates'!$L:$R,4,0),IF($LB387=40%,VLOOKUP($JK387,'Jan-2026 rates'!$L:$R,5,0),IF($LB387=30%,VLOOKUP($JK387,'Jan-2026 rates'!$L:$R,6,0),IF($LB387=100%,VLOOKUP($JK387,'Jan-2026 rates'!$L:$R,7,0),IF($LB387=60%,VLOOKUP($JK387,'Jan-2026 rates'!$L:$S,8,0),IF($LB387=80%,VLOOKUP($JK387,'Jan-2026 rates'!L:T,9,0),0))))))))</f>
        <v>0</v>
      </c>
      <c r="JQ387" s="413" t="s">
        <v>484</v>
      </c>
      <c r="JR387" s="412"/>
      <c r="JS387" s="413"/>
      <c r="JT387" s="413"/>
      <c r="JU387" s="412"/>
      <c r="JV387" s="412"/>
      <c r="JW387" s="412"/>
      <c r="JX387" s="412"/>
      <c r="JY387" s="409">
        <v>100</v>
      </c>
      <c r="JZ387" s="398">
        <f>IF(JY387=0,0,IF(LEN(JQ387)=11,_xlfn.XLOOKUP(JQ387,'Dispensed Ink Rates'!C:C,'Dispensed Ink Rates'!CS:CS),VLOOKUP(JQ387,'Jan-2026 rates'!$E:$F,2,0)))</f>
        <v>0</v>
      </c>
      <c r="KA387" s="409"/>
      <c r="KB387" s="398">
        <f>IF(KA387=0,0,IF(LEN(JR387)=11,_xlfn.XLOOKUP(JR387,'Dispensed Ink Rates'!C:C,'Dispensed Ink Rates'!CS:CS),VLOOKUP(JR387,'Jan-2026 rates'!$E:$F,2,0)))</f>
        <v>0</v>
      </c>
      <c r="KC387" s="409"/>
      <c r="KD387" s="398">
        <f>IF(KC387=0,0,IF(LEN(JS387)=11,_xlfn.XLOOKUP(JS387,'Dispensed Ink Rates'!C:C,'Dispensed Ink Rates'!CS:CS),VLOOKUP(JS387,'Jan-2026 rates'!$E:$F,2,0)))</f>
        <v>0</v>
      </c>
      <c r="KE387" s="409"/>
      <c r="KF387" s="398">
        <f>IF(KE387=0,0,IF(LEN(JT387)=11,_xlfn.XLOOKUP(JT387,'Dispensed Ink Rates'!C:C,'Dispensed Ink Rates'!CS:CS),VLOOKUP(JT387,'Jan-2026 rates'!$E:$F,2,0)))</f>
        <v>0</v>
      </c>
      <c r="KG387" s="409"/>
      <c r="KH387" s="398">
        <f>IF(KG387=0,0,IF(LEN(JU387)=11,_xlfn.XLOOKUP(JU387,'Dispensed Ink Rates'!C:C,'Dispensed Ink Rates'!CS:CS),VLOOKUP(JU387,'Jan-2026 rates'!$E:$F,2,0)))</f>
        <v>0</v>
      </c>
      <c r="KI387" s="409"/>
      <c r="KJ387" s="398">
        <f>IF(KI387=0,0,IF(LEN(JV387)=11,_xlfn.XLOOKUP(JV387,'Dispensed Ink Rates'!C:C,'Dispensed Ink Rates'!CS:CS),VLOOKUP(JV387,'Jan-2026 rates'!$E:$F,2,0)))</f>
        <v>0</v>
      </c>
      <c r="KK387" s="409"/>
      <c r="KL387" s="398">
        <f>IF(KK387=0,0,IF(LEN(JW387)=11,_xlfn.XLOOKUP(JW387,'Dispensed Ink Rates'!C:C,'Dispensed Ink Rates'!CS:CS),VLOOKUP(JW387,'Jan-2026 rates'!$E:$F,2,0)))</f>
        <v>0</v>
      </c>
      <c r="KM387" s="428"/>
      <c r="KN387" s="398">
        <f>IF(KM387=0,0,IF(LEN(JX387)=11,_xlfn.XLOOKUP(JX387,'Dispensed Ink Rates'!C:C,'Dispensed Ink Rates'!CS:CS),VLOOKUP(JX387,'Jan-2026 rates'!$E:$F,2,0)))</f>
        <v>0</v>
      </c>
      <c r="KO387" s="409" t="s">
        <v>1443</v>
      </c>
      <c r="KP387" s="409">
        <v>30</v>
      </c>
      <c r="KQ387" s="411">
        <f t="shared" si="233"/>
        <v>0</v>
      </c>
      <c r="KR387" s="411">
        <f t="shared" si="234"/>
        <v>295.82417582417582</v>
      </c>
      <c r="KS387" s="410">
        <f t="shared" si="235"/>
        <v>0</v>
      </c>
      <c r="KT387" s="409">
        <v>4</v>
      </c>
      <c r="KU387" s="409">
        <v>8</v>
      </c>
      <c r="KV387" s="409">
        <v>10</v>
      </c>
      <c r="KW387" s="409">
        <v>0</v>
      </c>
      <c r="KX387" s="409">
        <v>4</v>
      </c>
      <c r="KY387" s="409">
        <v>2</v>
      </c>
      <c r="KZ387" s="409">
        <v>3</v>
      </c>
      <c r="LA387" s="409">
        <v>60</v>
      </c>
      <c r="LB387" s="415">
        <v>0.8</v>
      </c>
      <c r="LC387" s="415">
        <v>0.2</v>
      </c>
      <c r="LD387" s="424"/>
      <c r="LE387" s="415"/>
      <c r="LF387" s="415"/>
      <c r="LG387" s="409">
        <v>0</v>
      </c>
      <c r="LH387" s="409">
        <f>60+57+144+36</f>
        <v>297</v>
      </c>
      <c r="LI387" s="409">
        <v>0</v>
      </c>
      <c r="LJ387" s="409">
        <v>0</v>
      </c>
      <c r="LK387" s="416">
        <f t="shared" si="191"/>
        <v>297</v>
      </c>
      <c r="LL387" s="416">
        <f t="shared" si="349"/>
        <v>297</v>
      </c>
      <c r="LM387" s="417">
        <f t="shared" si="193"/>
        <v>237.60000000000002</v>
      </c>
      <c r="LN387" s="417">
        <f>VLOOKUP($LM$8,'Jan-2026 rates'!$H:$I,2,0)</f>
        <v>0</v>
      </c>
      <c r="LO387" s="417">
        <f t="shared" si="194"/>
        <v>59.400000000000006</v>
      </c>
      <c r="LP387" s="417">
        <f>VLOOKUP($LO$8,'Jan-2026 rates'!$H:$I,2,0)</f>
        <v>0</v>
      </c>
      <c r="LQ387" s="417">
        <f t="shared" si="195"/>
        <v>0</v>
      </c>
      <c r="LR387" s="417">
        <f>VLOOKUP($LQ$8,'Jan-2026 rates'!$H:$I,2,0)</f>
        <v>0</v>
      </c>
      <c r="LS387" s="417">
        <f t="shared" si="196"/>
        <v>0</v>
      </c>
      <c r="LT387" s="417">
        <f>VLOOKUP($LS$8,'Jan-2026 rates'!$H:$I,2,0)</f>
        <v>0</v>
      </c>
      <c r="LU387" s="417">
        <f t="shared" si="197"/>
        <v>0</v>
      </c>
      <c r="LV387" s="417">
        <f>VLOOKUP($LU$8,'Jan-2026 rates'!$H:$I,2,0)</f>
        <v>0</v>
      </c>
      <c r="LW387" s="417">
        <f t="shared" si="198"/>
        <v>0</v>
      </c>
      <c r="LX387" s="417">
        <f t="shared" si="199"/>
        <v>0</v>
      </c>
      <c r="LY387" s="418">
        <f t="shared" si="200"/>
        <v>0</v>
      </c>
      <c r="LZ387" s="417"/>
      <c r="MA387" s="435">
        <f t="shared" si="201"/>
        <v>299</v>
      </c>
      <c r="MB387" s="282">
        <f t="shared" si="202"/>
        <v>552</v>
      </c>
      <c r="MC387" s="283">
        <v>228</v>
      </c>
      <c r="MD387" s="284" t="str">
        <f t="shared" si="203"/>
        <v>FLINTSLFLINTSLFLINTSLFLINTSLFLINTSLFLINTSLFLINTSLFLINTSL</v>
      </c>
      <c r="ME387" s="293" t="str">
        <f t="shared" si="204"/>
        <v>+</v>
      </c>
      <c r="MF387" s="293" t="str">
        <f t="shared" si="205"/>
        <v>+</v>
      </c>
      <c r="MG387" s="293" t="str">
        <f t="shared" si="206"/>
        <v>+</v>
      </c>
      <c r="MH387" s="293" t="str">
        <f t="shared" si="207"/>
        <v>+</v>
      </c>
      <c r="MI387" s="293" t="str">
        <f t="shared" si="208"/>
        <v>+</v>
      </c>
      <c r="MJ387" s="293" t="str">
        <f t="shared" si="209"/>
        <v>+</v>
      </c>
      <c r="MK387" s="293" t="str">
        <f t="shared" si="210"/>
        <v>+</v>
      </c>
      <c r="ML387" s="293" t="str">
        <f t="shared" si="211"/>
        <v>+</v>
      </c>
      <c r="MM387" s="3" t="b">
        <f t="array" ref="MM387">OR(ME387:ML387="-")</f>
        <v>0</v>
      </c>
      <c r="MO387" s="401">
        <f t="shared" si="350"/>
        <v>55.813953488372093</v>
      </c>
      <c r="MP387" s="286"/>
      <c r="MR387" s="402">
        <f t="shared" si="351"/>
        <v>1.184549356223176E-2</v>
      </c>
      <c r="MS387" s="400">
        <f t="shared" si="352"/>
        <v>0</v>
      </c>
      <c r="MT387" s="285"/>
      <c r="NH387" s="361"/>
      <c r="NJ387" s="282"/>
    </row>
    <row r="388" spans="1:374" ht="16.5">
      <c r="A388" s="403">
        <v>46052</v>
      </c>
      <c r="B388" s="404" t="s">
        <v>1018</v>
      </c>
      <c r="C388" s="405" t="s">
        <v>5074</v>
      </c>
      <c r="D388" s="404">
        <v>229</v>
      </c>
      <c r="E388" s="404">
        <v>1002</v>
      </c>
      <c r="F388" s="407">
        <v>47200</v>
      </c>
      <c r="G388" s="407" t="s">
        <v>1016</v>
      </c>
      <c r="H388" s="408" t="s">
        <v>1017</v>
      </c>
      <c r="I388" s="409">
        <v>2.06</v>
      </c>
      <c r="J388" s="405" t="s">
        <v>543</v>
      </c>
      <c r="K388" s="404" t="s">
        <v>4936</v>
      </c>
      <c r="L388" s="419" t="str">
        <f t="shared" si="184"/>
        <v>FLINTSL - BLACK</v>
      </c>
      <c r="M388" s="404">
        <v>28</v>
      </c>
      <c r="N388" s="410">
        <f>IF(M388=0,0,IF($LB388=70%,VLOOKUP($L388,'Jan-2026 rates'!$L:$R,4,0),IF($LB388=65%,VLOOKUP($L388,'Jan-2026 rates'!$L:$R,4,0),IF($LB388=40%,VLOOKUP($L388,'Jan-2026 rates'!$L:$R,5,0),IF($LB388=30%,VLOOKUP($L388,'Jan-2026 rates'!$L:$R,6,0),IF($LB388=100%,VLOOKUP($L388,'Jan-2026 rates'!$L:$R,7,0),IF($LB388=60%,VLOOKUP($L388,'Jan-2026 rates'!$L:$S,8,0),IF($LB388=80%,VLOOKUP($L388,'Jan-2026 rates'!L:T,9,0),0))))))))</f>
        <v>0</v>
      </c>
      <c r="O388" s="406"/>
      <c r="P388" s="404"/>
      <c r="Q388" s="410">
        <f>IF(P388=0,0,IF($LB388=70%,VLOOKUP($L388,'Jan-2026 rates'!$L:$R,4,0),IF($LB388=65%,VLOOKUP($L388,'Jan-2026 rates'!$L:$R,4,0),IF($LB388=40%,VLOOKUP($L388,'Jan-2026 rates'!$L:$R,5,0),IF($LB388=30%,VLOOKUP($L388,'Jan-2026 rates'!$L:$R,6,0),IF($LB388=100%,VLOOKUP($L388,'Jan-2026 rates'!$L:$R,7,0),IF($LB388=60%,VLOOKUP($L388,'Jan-2026 rates'!$L:$S,8,0),IF($LB388=80%,VLOOKUP($L388,'Jan-2026 rates'!L:T,9,0),0))))))))</f>
        <v>0</v>
      </c>
      <c r="R388" s="406"/>
      <c r="S388" s="406"/>
      <c r="T388" s="406"/>
      <c r="U388" s="406"/>
      <c r="V388" s="406"/>
      <c r="W388" s="406"/>
      <c r="X388" s="406"/>
      <c r="Y388" s="406"/>
      <c r="Z388" s="404"/>
      <c r="AA388" s="398">
        <f>IF(Z388=0,0,IF(LEN(R388)=11,_xlfn.XLOOKUP(R388,'Dispensed Ink Rates'!C:C,'Dispensed Ink Rates'!CS:CS),VLOOKUP(R388,'Jan-2026 rates'!$E:$F,2,0)))</f>
        <v>0</v>
      </c>
      <c r="AB388" s="404"/>
      <c r="AC388" s="398">
        <f>IF(AB388=0,0,IF(LEN(S388)=11,_xlfn.XLOOKUP(S388,'Dispensed Ink Rates'!C:C,'Dispensed Ink Rates'!CS:CS),VLOOKUP(S388,'Jan-2026 rates'!$E:$F,2,0)))</f>
        <v>0</v>
      </c>
      <c r="AD388" s="404"/>
      <c r="AE388" s="398">
        <f>IF(AD388=0,0,IF(LEN(T388)=11,_xlfn.XLOOKUP(T388,'Dispensed Ink Rates'!C:C,'Dispensed Ink Rates'!CS:CS),VLOOKUP(T388,'Jan-2026 rates'!$E:$F,2,0)))</f>
        <v>0</v>
      </c>
      <c r="AF388" s="404"/>
      <c r="AG388" s="398">
        <f>IF(AF388=0,0,IF(LEN(U388)=11,_xlfn.XLOOKUP(U388,'Dispensed Ink Rates'!C:C,'Dispensed Ink Rates'!CS:CS),VLOOKUP(U388,'Jan-2026 rates'!$E:$F,2,0)))</f>
        <v>0</v>
      </c>
      <c r="AH388" s="404"/>
      <c r="AI388" s="398">
        <f>IF(AH388=0,0,IF(LEN(V388)=11,_xlfn.XLOOKUP(V388,'Dispensed Ink Rates'!C:C,'Dispensed Ink Rates'!CS:CS),VLOOKUP(V388,'Jan-2026 rates'!$E:$F,2,0)))</f>
        <v>0</v>
      </c>
      <c r="AJ388" s="404"/>
      <c r="AK388" s="398">
        <f>IF(AJ388=0,0,IF(LEN(W388)=11,_xlfn.XLOOKUP(W388,'Dispensed Ink Rates'!C:C,'Dispensed Ink Rates'!CS:CS),VLOOKUP(W388,'Jan-2026 rates'!$E:$F,2,0)))</f>
        <v>0</v>
      </c>
      <c r="AL388" s="404"/>
      <c r="AM388" s="398">
        <f>IF(AL388=0,0,IF(LEN(X388)=11,_xlfn.XLOOKUP(X388,'Dispensed Ink Rates'!C:C,'Dispensed Ink Rates'!CS:CS),VLOOKUP(X388,'Jan-2026 rates'!$E:$F,2,0)))</f>
        <v>0</v>
      </c>
      <c r="AN388" s="404"/>
      <c r="AO388" s="398">
        <f>IF(AN388=0,0,IF(LEN(Y388)=11,_xlfn.XLOOKUP(Y388,'Dispensed Ink Rates'!C:C,'Dispensed Ink Rates'!CS:CS),VLOOKUP(Y388,'Jan-2026 rates'!$E:$F,2,0)))</f>
        <v>0</v>
      </c>
      <c r="AP388" s="409" t="s">
        <v>1443</v>
      </c>
      <c r="AQ388" s="409">
        <v>26</v>
      </c>
      <c r="AR388" s="410">
        <f t="shared" si="212"/>
        <v>0</v>
      </c>
      <c r="AS388" s="411">
        <f t="shared" si="213"/>
        <v>7.6792452830188651</v>
      </c>
      <c r="AT388" s="410">
        <f t="shared" si="214"/>
        <v>0</v>
      </c>
      <c r="AU388" s="405" t="s">
        <v>857</v>
      </c>
      <c r="AV388" s="409" t="s">
        <v>4937</v>
      </c>
      <c r="AW388" s="420" t="str">
        <f t="shared" si="348"/>
        <v>FLINTSL - RED</v>
      </c>
      <c r="AX388" s="409">
        <v>20</v>
      </c>
      <c r="AY388" s="411">
        <f>IF(AX388=0,0,IF($LB388=70%,VLOOKUP($AW388,'Jan-2026 rates'!$L:$R,4,0),IF($LB388=65%,VLOOKUP($AW388,'Jan-2026 rates'!$L:$R,4,0),IF($LB388=40%,VLOOKUP($AW388,'Jan-2026 rates'!$L:$R,5,0),IF($LB388=30%,VLOOKUP($AW388,'Jan-2026 rates'!$L:$R,6,0),IF($LB388=100%,VLOOKUP($AW388,'Jan-2026 rates'!$L:$R,7,0),IF($LB388=60%,VLOOKUP($AW388,'Jan-2026 rates'!$L:$S,8,0),IF($LB388=80%,VLOOKUP($AW388,'Jan-2026 rates'!L:T,9,0),0))))))))</f>
        <v>0</v>
      </c>
      <c r="AZ388" s="412"/>
      <c r="BA388" s="409"/>
      <c r="BB388" s="411">
        <f>IF(BA388=0,0,IF($LB388=70%,VLOOKUP($AW388,'Jan-2026 rates'!$L:$R,4,0),IF($LB388=65%,VLOOKUP($AW388,'Jan-2026 rates'!$L:$R,4,0),IF($LB388=40%,VLOOKUP($AW388,'Jan-2026 rates'!$L:$R,5,0),IF($LB388=30%,VLOOKUP($AW388,'Jan-2026 rates'!$L:$R,6,0),IF($LB388=100%,VLOOKUP($AW388,'Jan-2026 rates'!$L:$R,7,0),IF($LB388=60%,VLOOKUP($AW388,'Jan-2026 rates'!$L:$S,8,0),IF($LB388=80%,VLOOKUP($AW388,'Jan-2026 rates'!L:T,9,0),0))))))))</f>
        <v>0</v>
      </c>
      <c r="BC388" s="413" t="s">
        <v>1265</v>
      </c>
      <c r="BD388" s="412">
        <v>26527000013</v>
      </c>
      <c r="BE388" s="412"/>
      <c r="BF388" s="413"/>
      <c r="BG388" s="412"/>
      <c r="BH388" s="412"/>
      <c r="BI388" s="412"/>
      <c r="BJ388" s="412"/>
      <c r="BK388" s="409">
        <v>5</v>
      </c>
      <c r="BL388" s="398">
        <f>IF(BK388=0,0,IF(LEN(BC388)=11,_xlfn.XLOOKUP(BC388,'Dispensed Ink Rates'!C:C,'Dispensed Ink Rates'!CS:CS),VLOOKUP(BC388,'Jan-2026 rates'!$E:$F,2,0)))</f>
        <v>0</v>
      </c>
      <c r="BM388" s="409">
        <v>3</v>
      </c>
      <c r="BN388" s="398" t="e">
        <f>IF(BM388=0,0,IF(LEN(BD388)=11,_xlfn.XLOOKUP(BD388,'Dispensed Ink Rates'!C:C,'Dispensed Ink Rates'!CS:CS),VLOOKUP(BD388,'Jan-2026 rates'!$E:$F,2,0)))</f>
        <v>#N/A</v>
      </c>
      <c r="BO388" s="409"/>
      <c r="BP388" s="398">
        <f>IF(BO388=0,0,IF(LEN(BE388)=11,_xlfn.XLOOKUP(BE388,'Dispensed Ink Rates'!C:C,'Dispensed Ink Rates'!CS:CS),VLOOKUP(BE388,'Jan-2026 rates'!$E:$F,2,0)))</f>
        <v>0</v>
      </c>
      <c r="BQ388" s="409"/>
      <c r="BR388" s="398">
        <f>IF(BQ388=0,0,IF(LEN(BF388)=11,_xlfn.XLOOKUP(BF388,'Dispensed Ink Rates'!C:C,'Dispensed Ink Rates'!CS:CS),VLOOKUP(BF388,'Jan-2026 rates'!$E:$F,2,0)))</f>
        <v>0</v>
      </c>
      <c r="BS388" s="409"/>
      <c r="BT388" s="398">
        <f>IF(BS388=0,0,IF(LEN(BG388)=11,_xlfn.XLOOKUP(BG388,'Dispensed Ink Rates'!C:C,'Dispensed Ink Rates'!CS:CS),VLOOKUP(BG388,'Jan-2026 rates'!$E:$F,2,0)))</f>
        <v>0</v>
      </c>
      <c r="BU388" s="409"/>
      <c r="BV388" s="398">
        <f>IF(BU388=0,0,IF(LEN(BH388)=11,_xlfn.XLOOKUP(BH388,'Dispensed Ink Rates'!C:C,'Dispensed Ink Rates'!CS:CS),VLOOKUP(BH388,'Jan-2026 rates'!$E:$F,2,0)))</f>
        <v>0</v>
      </c>
      <c r="BW388" s="409"/>
      <c r="BX388" s="398">
        <f>IF(BW388=0,0,IF(LEN(BI388)=11,_xlfn.XLOOKUP(BI388,'Dispensed Ink Rates'!C:C,'Dispensed Ink Rates'!CS:CS),VLOOKUP(BI388,'Jan-2026 rates'!$E:$F,2,0)))</f>
        <v>0</v>
      </c>
      <c r="BY388" s="409"/>
      <c r="BZ388" s="398">
        <f>IF(BY388=0,0,IF(LEN(BJ388)=11,_xlfn.XLOOKUP(BJ388,'Dispensed Ink Rates'!C:C,'Dispensed Ink Rates'!CS:CS),VLOOKUP(BJ388,'Jan-2026 rates'!$E:$F,2,0)))</f>
        <v>0</v>
      </c>
      <c r="CA388" s="409" t="s">
        <v>1443</v>
      </c>
      <c r="CB388" s="409">
        <v>28</v>
      </c>
      <c r="CC388" s="411">
        <f t="shared" si="215"/>
        <v>0</v>
      </c>
      <c r="CD388" s="411">
        <f t="shared" si="216"/>
        <v>11.358490566037737</v>
      </c>
      <c r="CE388" s="410">
        <f t="shared" si="217"/>
        <v>0</v>
      </c>
      <c r="CF388" s="404" t="s">
        <v>546</v>
      </c>
      <c r="CG388" s="409"/>
      <c r="CH388" s="420" t="str">
        <f t="shared" si="185"/>
        <v>FLINTSL - REFLEX BLUE</v>
      </c>
      <c r="CI388" s="409"/>
      <c r="CJ388" s="411">
        <f>IF(CI388=0,0,IF($LB388=70%,VLOOKUP($CH388,'Jan-2026 rates'!$L:$R,4,0),IF($LB388=65%,VLOOKUP($CH388,'Jan-2026 rates'!$L:$R,4,0),IF($LB388=40%,VLOOKUP($CH388,'Jan-2026 rates'!$L:$R,5,0),IF($LB388=30%,VLOOKUP($CH388,'Jan-2026 rates'!$L:$R,6,0),IF($LB388=100%,VLOOKUP($CH388,'Jan-2026 rates'!$L:$R,7,0),IF($LB388=60%,VLOOKUP($CH388,'Jan-2026 rates'!$L:$S,8,0),IF($LB388=80%,VLOOKUP($CH388,'Jan-2026 rates'!L:T,9,0),0))))))))</f>
        <v>0</v>
      </c>
      <c r="CK388" s="412"/>
      <c r="CL388" s="409"/>
      <c r="CM388" s="411">
        <f>IF(CL388=0,0,IF($LB388=70%,VLOOKUP($CH388,'Jan-2026 rates'!$L:$R,4,0),IF($LB388=65%,VLOOKUP($CH388,'Jan-2026 rates'!$L:$R,4,0),IF($LB388=40%,VLOOKUP($CH388,'Jan-2026 rates'!$L:$R,5,0),IF($LB388=30%,VLOOKUP($CH388,'Jan-2026 rates'!$L:$R,6,0),IF($LB388=100%,VLOOKUP($CH388,'Jan-2026 rates'!$L:$R,7,0),IF($LB388=60%,VLOOKUP($CH388,'Jan-2026 rates'!$L:$S,8,0),IF($LB388=80%,VLOOKUP($CH388,'Jan-2026 rates'!L:T,9,0),0))))))))</f>
        <v>0</v>
      </c>
      <c r="CN388" s="426">
        <v>26531000006</v>
      </c>
      <c r="CO388" s="427">
        <v>26531000007</v>
      </c>
      <c r="CP388" s="426">
        <v>26531000011</v>
      </c>
      <c r="CQ388" s="426">
        <v>26531000013</v>
      </c>
      <c r="CR388" s="428"/>
      <c r="CS388" s="428"/>
      <c r="CT388" s="428"/>
      <c r="CU388" s="428"/>
      <c r="CV388" s="409">
        <v>40</v>
      </c>
      <c r="CW388" s="398" t="e">
        <f>IF(CV388=0,0,IF(LEN(CN388)=11,_xlfn.XLOOKUP(CN388,'Dispensed Ink Rates'!C:C,'Dispensed Ink Rates'!CS:CS),VLOOKUP(CN388,'Jan-2026 rates'!$E:$F,2,0)))</f>
        <v>#N/A</v>
      </c>
      <c r="CX388" s="409">
        <v>40</v>
      </c>
      <c r="CY388" s="398" t="e">
        <f>IF(CX388=0,0,IF(LEN(CO388)=11,_xlfn.XLOOKUP(CO388,'Dispensed Ink Rates'!C:C,'Dispensed Ink Rates'!CS:CS),VLOOKUP(CO388,'Jan-2026 rates'!$E:$F,2,0)))</f>
        <v>#N/A</v>
      </c>
      <c r="CZ388" s="409">
        <v>20</v>
      </c>
      <c r="DA388" s="398" t="e">
        <f>IF(CZ388=0,0,IF(LEN(CP388)=11,_xlfn.XLOOKUP(CP388,'Dispensed Ink Rates'!C:C,'Dispensed Ink Rates'!CS:CS),VLOOKUP(CP388,'Jan-2026 rates'!$E:$F,2,0)))</f>
        <v>#N/A</v>
      </c>
      <c r="DB388" s="409">
        <v>15</v>
      </c>
      <c r="DC388" s="398" t="e">
        <f>IF(DB388=0,0,IF(LEN(CQ388)=11,_xlfn.XLOOKUP(CQ388,'Dispensed Ink Rates'!C:C,'Dispensed Ink Rates'!CS:CS),VLOOKUP(CQ388,'Jan-2026 rates'!$E:$F,2,0)))</f>
        <v>#N/A</v>
      </c>
      <c r="DD388" s="409"/>
      <c r="DE388" s="398">
        <f>IF(DD388=0,0,IF(LEN(CR388)=11,_xlfn.XLOOKUP(CR388,'Dispensed Ink Rates'!C:C,'Dispensed Ink Rates'!CS:CS),VLOOKUP(CR388,'Jan-2026 rates'!$E:$F,2,0)))</f>
        <v>0</v>
      </c>
      <c r="DF388" s="409"/>
      <c r="DG388" s="398">
        <f>IF(DF388=0,0,IF(LEN(CS388)=11,_xlfn.XLOOKUP(CS388,'Dispensed Ink Rates'!C:C,'Dispensed Ink Rates'!CS:CS),VLOOKUP(CS388,'Jan-2026 rates'!$E:$F,2,0)))</f>
        <v>0</v>
      </c>
      <c r="DH388" s="409"/>
      <c r="DI388" s="398">
        <f>IF(DH388=0,0,IF(LEN(CT388)=11,_xlfn.XLOOKUP(CT388,'Dispensed Ink Rates'!C:C,'Dispensed Ink Rates'!CS:CS),VLOOKUP(CT388,'Jan-2026 rates'!$E:$F,2,0)))</f>
        <v>0</v>
      </c>
      <c r="DJ388" s="409"/>
      <c r="DK388" s="398">
        <f>IF(DJ388=0,0,IF(LEN(CU388)=11,_xlfn.XLOOKUP(CU388,'Dispensed Ink Rates'!C:C,'Dispensed Ink Rates'!CS:CS),VLOOKUP(CU388,'Jan-2026 rates'!$E:$F,2,0)))</f>
        <v>0</v>
      </c>
      <c r="DL388" s="409" t="s">
        <v>1443</v>
      </c>
      <c r="DM388" s="409">
        <v>23</v>
      </c>
      <c r="DN388" s="411">
        <f t="shared" si="218"/>
        <v>0</v>
      </c>
      <c r="DO388" s="411">
        <f t="shared" si="219"/>
        <v>97.679245283018872</v>
      </c>
      <c r="DP388" s="410">
        <f t="shared" si="220"/>
        <v>0</v>
      </c>
      <c r="DQ388" s="405" t="s">
        <v>829</v>
      </c>
      <c r="DR388" s="409" t="s">
        <v>4938</v>
      </c>
      <c r="DS388" s="420" t="str">
        <f t="shared" si="186"/>
        <v>FLINTSL - MEDIUM</v>
      </c>
      <c r="DT388" s="409">
        <v>30</v>
      </c>
      <c r="DU388" s="411">
        <f>IF(DT388=0,0,IF($LB388=70%,VLOOKUP($DS388,'Jan-2026 rates'!$L:$R,4,0),IF($LB388=65%,VLOOKUP($DS388,'Jan-2026 rates'!$L:$R,4,0),IF($LB388=40%,VLOOKUP($DS388,'Jan-2026 rates'!$L:$R,5,0),IF($LB388=30%,VLOOKUP($DS388,'Jan-2026 rates'!$L:$R,6,0),IF($LB388=100%,VLOOKUP($DS388,'Jan-2026 rates'!$L:$R,7,0),IF($LB388=60%,VLOOKUP($DS388,'Jan-2026 rates'!$L:$S,8,0),IF($LB388=80%,VLOOKUP($DS388,'Jan-2026 rates'!L:T,9,0),0))))))))</f>
        <v>0</v>
      </c>
      <c r="DV388" s="412"/>
      <c r="DW388" s="409"/>
      <c r="DX388" s="411">
        <f>IF(DW388=0,0,IF($LB388=70%,VLOOKUP($DS388,'Jan-2026 rates'!$L:$R,4,0),IF($LB388=65%,VLOOKUP($DS388,'Jan-2026 rates'!$L:$R,4,0),IF($LB388=40%,VLOOKUP($DS388,'Jan-2026 rates'!$L:$R,5,0),IF($LB388=30%,VLOOKUP($DS388,'Jan-2026 rates'!$L:$R,6,0),IF($LB388=100%,VLOOKUP($DS388,'Jan-2026 rates'!$L:$R,7,0),IF($LB388=60%,VLOOKUP($DS388,'Jan-2026 rates'!$L:$S,8,0),IF($LB388=80%,VLOOKUP($DS388,'Jan-2026 rates'!L:T,9,0),0))))))))</f>
        <v>0</v>
      </c>
      <c r="DY388" s="413"/>
      <c r="DZ388" s="413"/>
      <c r="EA388" s="412"/>
      <c r="EB388" s="412"/>
      <c r="EC388" s="412"/>
      <c r="ED388" s="412"/>
      <c r="EE388" s="412"/>
      <c r="EF388" s="412"/>
      <c r="EG388" s="409"/>
      <c r="EH388" s="398">
        <f>IF(EG388=0,0,IF(LEN(DY388)=11,_xlfn.XLOOKUP(DY388,'Dispensed Ink Rates'!C:C,'Dispensed Ink Rates'!CS:CS),VLOOKUP(DY388,'Jan-2026 rates'!$E:$F,2,0)))</f>
        <v>0</v>
      </c>
      <c r="EI388" s="409"/>
      <c r="EJ388" s="398">
        <f>IF(EI388=0,0,IF(LEN(DZ388)=11,_xlfn.XLOOKUP(DZ388,'Dispensed Ink Rates'!C:C,'Dispensed Ink Rates'!CS:CS),VLOOKUP(DZ388,'Jan-2026 rates'!$E:$F,2,0)))</f>
        <v>0</v>
      </c>
      <c r="EK388" s="409"/>
      <c r="EL388" s="398">
        <f>IF(EK388=0,0,IF(LEN(EA388)=11,_xlfn.XLOOKUP(EA388,'Dispensed Ink Rates'!C:C,'Dispensed Ink Rates'!CS:CS),VLOOKUP(EA388,'Jan-2026 rates'!$E:$F,2,0)))</f>
        <v>0</v>
      </c>
      <c r="EM388" s="409"/>
      <c r="EN388" s="398">
        <f>IF(EM388=0,0,IF(LEN(EB388)=11,_xlfn.XLOOKUP(EB388,'Dispensed Ink Rates'!C:C,'Dispensed Ink Rates'!CS:CS),VLOOKUP(EB388,'Jan-2026 rates'!$E:$F,2,0)))</f>
        <v>0</v>
      </c>
      <c r="EO388" s="409"/>
      <c r="EP388" s="398">
        <f>IF(EO388=0,0,IF(LEN(EC388)=11,_xlfn.XLOOKUP(EC388,'Dispensed Ink Rates'!C:C,'Dispensed Ink Rates'!CS:CS),VLOOKUP(EC388,'Jan-2026 rates'!$E:$F,2,0)))</f>
        <v>0</v>
      </c>
      <c r="EQ388" s="409"/>
      <c r="ER388" s="398">
        <f>IF(EQ388=0,0,IF(LEN(ED388)=11,_xlfn.XLOOKUP(ED388,'Dispensed Ink Rates'!C:C,'Dispensed Ink Rates'!CS:CS),VLOOKUP(ED388,'Jan-2026 rates'!$E:$F,2,0)))</f>
        <v>0</v>
      </c>
      <c r="ES388" s="409"/>
      <c r="ET388" s="398">
        <f>IF(ES388=0,0,IF(LEN(EE388)=11,_xlfn.XLOOKUP(EE388,'Dispensed Ink Rates'!C:C,'Dispensed Ink Rates'!CS:CS),VLOOKUP(EE388,'Jan-2026 rates'!$E:$F,2,0)))</f>
        <v>0</v>
      </c>
      <c r="EU388" s="409"/>
      <c r="EV388" s="398">
        <f>IF(EU388=0,0,IF(LEN(EF388)=11,_xlfn.XLOOKUP(EF388,'Dispensed Ink Rates'!C:C,'Dispensed Ink Rates'!CS:CS),VLOOKUP(EF388,'Jan-2026 rates'!$E:$F,2,0)))</f>
        <v>0</v>
      </c>
      <c r="EW388" s="409" t="s">
        <v>1443</v>
      </c>
      <c r="EX388" s="409">
        <v>30</v>
      </c>
      <c r="EY388" s="411">
        <f t="shared" si="221"/>
        <v>0</v>
      </c>
      <c r="EZ388" s="411">
        <f t="shared" si="222"/>
        <v>5.6792452830188651</v>
      </c>
      <c r="FA388" s="410">
        <f t="shared" si="223"/>
        <v>0</v>
      </c>
      <c r="FB388" s="405" t="s">
        <v>855</v>
      </c>
      <c r="FC388" s="409" t="s">
        <v>4939</v>
      </c>
      <c r="FD388" s="420" t="str">
        <f t="shared" si="187"/>
        <v>FLINTSL - CYAN</v>
      </c>
      <c r="FE388" s="409">
        <v>28</v>
      </c>
      <c r="FF388" s="411">
        <f>IF(FE388=0,0,IF($LB388=70%,VLOOKUP($FD388,'Jan-2026 rates'!$L:$R,4,0),IF($LB388=65%,VLOOKUP($FD388,'Jan-2026 rates'!$L:$R,4,0),IF($LB388=40%,VLOOKUP($FD388,'Jan-2026 rates'!$L:$R,5,0),IF($LB388=30%,VLOOKUP($FD388,'Jan-2026 rates'!$L:$R,6,0),IF($LB388=100%,VLOOKUP($FD388,'Jan-2026 rates'!$L:$R,7,0),IF($LB388=60%,VLOOKUP($FD388,'Jan-2026 rates'!$L:$S,8,0),IF($LB388=80%,VLOOKUP($FD388,'Jan-2026 rates'!L:T,9,0),0))))))))</f>
        <v>0</v>
      </c>
      <c r="FG388" s="412"/>
      <c r="FH388" s="409"/>
      <c r="FI388" s="411">
        <f>IF(FH388=0,0,IF($LB388=70%,VLOOKUP($FD388,'Jan-2026 rates'!$L:$R,4,0),IF($LB388=65%,VLOOKUP($FD388,'Jan-2026 rates'!$L:$R,4,0),IF($LB388=40%,VLOOKUP($FD388,'Jan-2026 rates'!$L:$R,5,0),IF($LB388=30%,VLOOKUP($FD388,'Jan-2026 rates'!$L:$R,6,0),IF($LB388=100%,VLOOKUP($FD388,'Jan-2026 rates'!$L:$R,7,0),IF($LB388=60%,VLOOKUP($FD388,'Jan-2026 rates'!$L:$S,8,0),IF($LB388=80%,VLOOKUP($FD388,'Jan-2026 rates'!L:T,9,0),0))))))))</f>
        <v>0</v>
      </c>
      <c r="FJ388" s="413"/>
      <c r="FK388" s="413"/>
      <c r="FL388" s="413"/>
      <c r="FM388" s="412"/>
      <c r="FN388" s="412"/>
      <c r="FO388" s="412"/>
      <c r="FP388" s="412"/>
      <c r="FQ388" s="412"/>
      <c r="FR388" s="409"/>
      <c r="FS388" s="398">
        <f>IF(FR388=0,0,IF(LEN(FJ388)=11,_xlfn.XLOOKUP(FJ388,'Dispensed Ink Rates'!C:C,'Dispensed Ink Rates'!CS:CS),VLOOKUP(FJ388,'Jan-2026 rates'!$E:$F,2,0)))</f>
        <v>0</v>
      </c>
      <c r="FT388" s="409"/>
      <c r="FU388" s="398">
        <f>IF(FT388=0,0,IF(LEN(FK388)=11,_xlfn.XLOOKUP(FK388,'Dispensed Ink Rates'!C:C,'Dispensed Ink Rates'!CS:CS),VLOOKUP(FK388,'Jan-2026 rates'!$E:$F,2,0)))</f>
        <v>0</v>
      </c>
      <c r="FV388" s="409"/>
      <c r="FW388" s="398">
        <f>IF(FV388=0,0,IF(LEN(FL388)=11,_xlfn.XLOOKUP(FL388,'Dispensed Ink Rates'!C:C,'Dispensed Ink Rates'!CS:CS),VLOOKUP(FL388,'Jan-2026 rates'!$E:$F,2,0)))</f>
        <v>0</v>
      </c>
      <c r="FX388" s="409"/>
      <c r="FY388" s="398">
        <f>IF(FX388=0,0,IF(LEN(FM388)=11,_xlfn.XLOOKUP(FM388,'Dispensed Ink Rates'!C:C,'Dispensed Ink Rates'!CS:CS),VLOOKUP(FM388,'Jan-2026 rates'!$E:$F,2,0)))</f>
        <v>0</v>
      </c>
      <c r="FZ388" s="409"/>
      <c r="GA388" s="398">
        <f>IF(FZ388=0,0,IF(LEN(FN388)=11,_xlfn.XLOOKUP(FN388,'Dispensed Ink Rates'!C:C,'Dispensed Ink Rates'!CS:CS),VLOOKUP(FN388,'Jan-2026 rates'!$E:$F,2,0)))</f>
        <v>0</v>
      </c>
      <c r="GB388" s="409"/>
      <c r="GC388" s="398">
        <f>IF(GB388=0,0,IF(LEN(FO388)=11,_xlfn.XLOOKUP(FO388,'Dispensed Ink Rates'!C:C,'Dispensed Ink Rates'!CS:CS),VLOOKUP(FO388,'Jan-2026 rates'!$E:$F,2,0)))</f>
        <v>0</v>
      </c>
      <c r="GD388" s="409"/>
      <c r="GE388" s="398">
        <f>IF(GD388=0,0,IF(LEN(FP388)=11,_xlfn.XLOOKUP(FP388,'Dispensed Ink Rates'!C:C,'Dispensed Ink Rates'!CS:CS),VLOOKUP(FP388,'Jan-2026 rates'!$E:$F,2,0)))</f>
        <v>0</v>
      </c>
      <c r="GF388" s="409"/>
      <c r="GG388" s="398">
        <f>IF(GF388=0,0,IF(LEN(FQ388)=11,_xlfn.XLOOKUP(FQ388,'Dispensed Ink Rates'!C:C,'Dispensed Ink Rates'!CS:CS),VLOOKUP(FQ388,'Jan-2026 rates'!$E:$F,2,0)))</f>
        <v>0</v>
      </c>
      <c r="GH388" s="409" t="s">
        <v>1443</v>
      </c>
      <c r="GI388" s="409">
        <v>26</v>
      </c>
      <c r="GJ388" s="411">
        <f t="shared" si="224"/>
        <v>0</v>
      </c>
      <c r="GK388" s="411">
        <f t="shared" si="225"/>
        <v>7.6792452830188651</v>
      </c>
      <c r="GL388" s="410">
        <f t="shared" si="226"/>
        <v>0</v>
      </c>
      <c r="GM388" s="405" t="s">
        <v>544</v>
      </c>
      <c r="GN388" s="409" t="s">
        <v>4938</v>
      </c>
      <c r="GO388" s="420" t="str">
        <f t="shared" si="188"/>
        <v>FLINTSL - MAGENTA</v>
      </c>
      <c r="GP388" s="409">
        <v>28</v>
      </c>
      <c r="GQ388" s="411">
        <f>IF(GP388=0,0,IF($LB388=70%,VLOOKUP($GO388,'Jan-2026 rates'!$L:$R,4,0),IF($LB388=65%,VLOOKUP($GO388,'Jan-2026 rates'!$L:$R,4,0),IF($LB388=40%,VLOOKUP($GO388,'Jan-2026 rates'!$L:$R,5,0),IF($LB388=30%,VLOOKUP($GO388,'Jan-2026 rates'!$L:$R,6,0),IF($LB388=100%,VLOOKUP($GO388,'Jan-2026 rates'!$L:$R,7,0),IF($LB388=60%,VLOOKUP($GO388,'Jan-2026 rates'!$L:$S,8,0),IF($LB388=80%,VLOOKUP($GO388,'Jan-2026 rates'!L:T,9,0),0))))))))</f>
        <v>0</v>
      </c>
      <c r="GR388" s="412"/>
      <c r="GS388" s="409"/>
      <c r="GT388" s="411">
        <f>IF(GS388=0,0,IF($LB388=70%,VLOOKUP($GO388,'Jan-2026 rates'!$L:$R,4,0),IF($LB388=65%,VLOOKUP($GO388,'Jan-2026 rates'!$L:$R,4,0),IF($LB388=40%,VLOOKUP($GO388,'Jan-2026 rates'!$L:$R,5,0),IF($LB388=30%,VLOOKUP($GO388,'Jan-2026 rates'!$L:$R,6,0),IF($LB388=100%,VLOOKUP($GO388,'Jan-2026 rates'!$L:$R,7,0),IF($LB388=60%,VLOOKUP($GO388,'Jan-2026 rates'!$L:$S,8,0),IF($LB388=80%,VLOOKUP($GO388,'Jan-2026 rates'!L:T,9,0),0))))))))</f>
        <v>0</v>
      </c>
      <c r="GU388" s="413"/>
      <c r="GV388" s="413"/>
      <c r="GW388" s="412"/>
      <c r="GX388" s="412"/>
      <c r="GY388" s="412"/>
      <c r="GZ388" s="412"/>
      <c r="HA388" s="412"/>
      <c r="HB388" s="412"/>
      <c r="HC388" s="409"/>
      <c r="HD388" s="398">
        <f>IF(HC388=0,0,IF(LEN(GU388)=11,_xlfn.XLOOKUP(GU388,'Dispensed Ink Rates'!C:C,'Dispensed Ink Rates'!CS:CS),VLOOKUP(GU388,'Jan-2026 rates'!$E:$F,2,0)))</f>
        <v>0</v>
      </c>
      <c r="HE388" s="409"/>
      <c r="HF388" s="398">
        <f>IF(HE388=0,0,IF(LEN(GV388)=11,_xlfn.XLOOKUP(GV388,'Dispensed Ink Rates'!C:C,'Dispensed Ink Rates'!CS:CS),VLOOKUP(GV388,'Jan-2026 rates'!$E:$F,2,0)))</f>
        <v>0</v>
      </c>
      <c r="HG388" s="409"/>
      <c r="HH388" s="398">
        <f>IF(HG388=0,0,IF(LEN(GW388)=11,_xlfn.XLOOKUP(GW388,'Dispensed Ink Rates'!C:C,'Dispensed Ink Rates'!CS:CS),VLOOKUP(GW388,'Jan-2026 rates'!$E:$F,2,0)))</f>
        <v>0</v>
      </c>
      <c r="HI388" s="409"/>
      <c r="HJ388" s="398">
        <f>IF(HI388=0,0,IF(LEN(GX388)=11,_xlfn.XLOOKUP(GX388,'Dispensed Ink Rates'!C:C,'Dispensed Ink Rates'!CS:CS),VLOOKUP(GX388,'Jan-2026 rates'!$E:$F,2,0)))</f>
        <v>0</v>
      </c>
      <c r="HK388" s="409"/>
      <c r="HL388" s="398">
        <f>IF(HK388=0,0,IF(LEN(GY388)=11,_xlfn.XLOOKUP(GY388,'Dispensed Ink Rates'!C:C,'Dispensed Ink Rates'!CS:CS),VLOOKUP(GY388,'Jan-2026 rates'!$E:$F,2,0)))</f>
        <v>0</v>
      </c>
      <c r="HM388" s="409"/>
      <c r="HN388" s="398">
        <f>IF(HM388=0,0,IF(LEN(GZ388)=11,_xlfn.XLOOKUP(GZ388,'Dispensed Ink Rates'!C:C,'Dispensed Ink Rates'!CS:CS),VLOOKUP(GZ388,'Jan-2026 rates'!$E:$F,2,0)))</f>
        <v>0</v>
      </c>
      <c r="HO388" s="409"/>
      <c r="HP388" s="398">
        <f>IF(HO388=0,0,IF(LEN(HA388)=11,_xlfn.XLOOKUP(HA388,'Dispensed Ink Rates'!C:C,'Dispensed Ink Rates'!CS:CS),VLOOKUP(HA388,'Jan-2026 rates'!$E:$F,2,0)))</f>
        <v>0</v>
      </c>
      <c r="HQ388" s="409"/>
      <c r="HR388" s="398">
        <f>IF(HQ388=0,0,IF(LEN(HB388)=11,_xlfn.XLOOKUP(HB388,'Dispensed Ink Rates'!C:C,'Dispensed Ink Rates'!CS:CS),VLOOKUP(HB388,'Jan-2026 rates'!$E:$F,2,0)))</f>
        <v>0</v>
      </c>
      <c r="HS388" s="409" t="s">
        <v>1443</v>
      </c>
      <c r="HT388" s="409">
        <v>25</v>
      </c>
      <c r="HU388" s="411">
        <f t="shared" si="227"/>
        <v>0</v>
      </c>
      <c r="HV388" s="411">
        <f t="shared" si="228"/>
        <v>8.6792452830188651</v>
      </c>
      <c r="HW388" s="414">
        <f t="shared" si="229"/>
        <v>0</v>
      </c>
      <c r="HX388" s="405" t="s">
        <v>545</v>
      </c>
      <c r="HY388" s="409" t="s">
        <v>4940</v>
      </c>
      <c r="HZ388" s="420" t="str">
        <f t="shared" si="189"/>
        <v>FLINTSL - YELLOW</v>
      </c>
      <c r="IA388" s="409">
        <v>29</v>
      </c>
      <c r="IB388" s="411">
        <f>IF(IA388=0,0,IF($LB388=70%,VLOOKUP($HZ388,'Jan-2026 rates'!$L:$R,4,0),IF($LB388=65%,VLOOKUP($HZ388,'Jan-2026 rates'!$L:$R,4,0),IF($LB388=40%,VLOOKUP($HZ388,'Jan-2026 rates'!$L:$R,5,0),IF($LB388=30%,VLOOKUP($HZ388,'Jan-2026 rates'!$L:$R,6,0),IF($LB388=100%,VLOOKUP($HZ388,'Jan-2026 rates'!$L:$R,7,0),IF($LB388=60%,VLOOKUP($HZ388,'Jan-2026 rates'!$L:$S,8,0),IF($LB388=80%,VLOOKUP($HZ388,'Jan-2026 rates'!L:T,9,0),0))))))))</f>
        <v>0</v>
      </c>
      <c r="IC388" s="412"/>
      <c r="ID388" s="409"/>
      <c r="IE388" s="411">
        <f>IF(ID388=0,0,IF($LB388=70%,VLOOKUP($HZ388,'Jan-2026 rates'!$L:$R,4,0),IF($LB388=65%,VLOOKUP($HZ388,'Jan-2026 rates'!$L:$R,4,0),IF($LB388=40%,VLOOKUP($HZ388,'Jan-2026 rates'!$L:$R,5,0),IF($LB388=30%,VLOOKUP($HZ388,'Jan-2026 rates'!$L:$R,6,0),IF($LB388=100%,VLOOKUP($HZ388,'Jan-2026 rates'!$L:$R,7,0),IF($LB388=60%,VLOOKUP($HZ388,'Jan-2026 rates'!$L:$S,8,0),IF($LB388=80%,VLOOKUP($HZ388,'Jan-2026 rates'!L:T,9,0),0))))))))</f>
        <v>0</v>
      </c>
      <c r="IF388" s="412"/>
      <c r="IG388" s="413"/>
      <c r="IH388" s="412"/>
      <c r="II388" s="412"/>
      <c r="IJ388" s="412"/>
      <c r="IK388" s="412"/>
      <c r="IL388" s="412"/>
      <c r="IM388" s="412"/>
      <c r="IN388" s="409"/>
      <c r="IO388" s="398">
        <f>IF(IN388=0,0,IF(LEN(IF388)=11,_xlfn.XLOOKUP(IF388,'Dispensed Ink Rates'!C:C,'Dispensed Ink Rates'!CS:CS),VLOOKUP(IF388,'Jan-2026 rates'!$E:$F,2,0)))</f>
        <v>0</v>
      </c>
      <c r="IP388" s="409"/>
      <c r="IQ388" s="398">
        <f>IF(IP388=0,0,IF(LEN(IG388)=11,_xlfn.XLOOKUP(IG388,'Dispensed Ink Rates'!C:C,'Dispensed Ink Rates'!CS:CS),VLOOKUP(IG388,'Jan-2026 rates'!$E:$F,2,0)))</f>
        <v>0</v>
      </c>
      <c r="IR388" s="409"/>
      <c r="IS388" s="398">
        <f>IF(IR388=0,0,IF(LEN(IH388)=11,_xlfn.XLOOKUP(IH388,'Dispensed Ink Rates'!C:C,'Dispensed Ink Rates'!CS:CS),VLOOKUP(IH388,'Jan-2026 rates'!$E:$F,2,0)))</f>
        <v>0</v>
      </c>
      <c r="IT388" s="409"/>
      <c r="IU388" s="398">
        <f>IF(IT388=0,0,IF(LEN(II388)=11,_xlfn.XLOOKUP(II388,'Dispensed Ink Rates'!C:C,'Dispensed Ink Rates'!CS:CS),VLOOKUP(II388,'Jan-2026 rates'!$E:$F,2,0)))</f>
        <v>0</v>
      </c>
      <c r="IV388" s="409"/>
      <c r="IW388" s="398">
        <f>IF(IV388=0,0,IF(LEN(IJ388)=11,_xlfn.XLOOKUP(IJ388,'Dispensed Ink Rates'!C:C,'Dispensed Ink Rates'!CS:CS),VLOOKUP(IJ388,'Jan-2026 rates'!$E:$F,2,0)))</f>
        <v>0</v>
      </c>
      <c r="IX388" s="409"/>
      <c r="IY388" s="398">
        <f>IF(IX388=0,0,IF(LEN(IK388)=11,_xlfn.XLOOKUP(IK388,'Dispensed Ink Rates'!C:C,'Dispensed Ink Rates'!CS:CS),VLOOKUP(IK388,'Jan-2026 rates'!$E:$F,2,0)))</f>
        <v>0</v>
      </c>
      <c r="IZ388" s="409"/>
      <c r="JA388" s="398">
        <f>IF(IZ388=0,0,IF(LEN(IL388)=11,_xlfn.XLOOKUP(IL388,'Dispensed Ink Rates'!C:C,'Dispensed Ink Rates'!CS:CS),VLOOKUP(IL388,'Jan-2026 rates'!$E:$F,2,0)))</f>
        <v>0</v>
      </c>
      <c r="JB388" s="409"/>
      <c r="JC388" s="398">
        <f>IF(JB388=0,0,IF(LEN(IM388)=11,_xlfn.XLOOKUP(IM388,'Dispensed Ink Rates'!C:C,'Dispensed Ink Rates'!CS:CS),VLOOKUP(IM388,'Jan-2026 rates'!$E:$F,2,0)))</f>
        <v>0</v>
      </c>
      <c r="JD388" s="409" t="s">
        <v>1443</v>
      </c>
      <c r="JE388" s="409">
        <v>25</v>
      </c>
      <c r="JF388" s="411">
        <f t="shared" si="230"/>
        <v>0</v>
      </c>
      <c r="JG388" s="411">
        <f t="shared" si="231"/>
        <v>9.6792452830188651</v>
      </c>
      <c r="JH388" s="410">
        <f t="shared" si="232"/>
        <v>0</v>
      </c>
      <c r="JI388" s="405" t="s">
        <v>856</v>
      </c>
      <c r="JJ388" s="409" t="s">
        <v>4941</v>
      </c>
      <c r="JK388" s="420" t="str">
        <f t="shared" si="190"/>
        <v>FLINTSL - WHITE</v>
      </c>
      <c r="JL388" s="409">
        <v>30</v>
      </c>
      <c r="JM388" s="411">
        <f>IF(JL388=0,0,IF($LB388=70%,VLOOKUP($JK388,'Jan-2026 rates'!$L:$R,4,0),IF($LB388=65%,VLOOKUP($JK388,'Jan-2026 rates'!$L:$R,4,0),IF($LB388=40%,VLOOKUP($JK388,'Jan-2026 rates'!$L:$R,5,0),IF($LB388=30%,VLOOKUP($JK388,'Jan-2026 rates'!$L:$R,6,0),IF($LB388=100%,VLOOKUP($JK388,'Jan-2026 rates'!$L:$R,7,0),IF($LB388=60%,VLOOKUP($JK388,'Jan-2026 rates'!$L:$S,8,0),IF($LB388=80%,VLOOKUP($JK388,'Jan-2026 rates'!L:T,9,0),0))))))))</f>
        <v>0</v>
      </c>
      <c r="JN388" s="412"/>
      <c r="JO388" s="409"/>
      <c r="JP388" s="411">
        <f>IF(JO388=0,0,IF($LB388=70%,VLOOKUP($JK388,'Jan-2026 rates'!$L:$R,4,0),IF($LB388=65%,VLOOKUP($JK388,'Jan-2026 rates'!$L:$R,4,0),IF($LB388=40%,VLOOKUP($JK388,'Jan-2026 rates'!$L:$R,5,0),IF($LB388=30%,VLOOKUP($JK388,'Jan-2026 rates'!$L:$R,6,0),IF($LB388=100%,VLOOKUP($JK388,'Jan-2026 rates'!$L:$R,7,0),IF($LB388=60%,VLOOKUP($JK388,'Jan-2026 rates'!$L:$S,8,0),IF($LB388=80%,VLOOKUP($JK388,'Jan-2026 rates'!L:T,9,0),0))))))))</f>
        <v>0</v>
      </c>
      <c r="JQ388" s="413" t="s">
        <v>484</v>
      </c>
      <c r="JR388" s="412"/>
      <c r="JS388" s="413"/>
      <c r="JT388" s="413"/>
      <c r="JU388" s="412"/>
      <c r="JV388" s="412"/>
      <c r="JW388" s="412"/>
      <c r="JX388" s="412"/>
      <c r="JY388" s="409">
        <v>160</v>
      </c>
      <c r="JZ388" s="398">
        <f>IF(JY388=0,0,IF(LEN(JQ388)=11,_xlfn.XLOOKUP(JQ388,'Dispensed Ink Rates'!C:C,'Dispensed Ink Rates'!CS:CS),VLOOKUP(JQ388,'Jan-2026 rates'!$E:$F,2,0)))</f>
        <v>0</v>
      </c>
      <c r="KA388" s="409"/>
      <c r="KB388" s="398">
        <f>IF(KA388=0,0,IF(LEN(JR388)=11,_xlfn.XLOOKUP(JR388,'Dispensed Ink Rates'!C:C,'Dispensed Ink Rates'!CS:CS),VLOOKUP(JR388,'Jan-2026 rates'!$E:$F,2,0)))</f>
        <v>0</v>
      </c>
      <c r="KC388" s="409"/>
      <c r="KD388" s="398">
        <f>IF(KC388=0,0,IF(LEN(JS388)=11,_xlfn.XLOOKUP(JS388,'Dispensed Ink Rates'!C:C,'Dispensed Ink Rates'!CS:CS),VLOOKUP(JS388,'Jan-2026 rates'!$E:$F,2,0)))</f>
        <v>0</v>
      </c>
      <c r="KE388" s="409"/>
      <c r="KF388" s="398">
        <f>IF(KE388=0,0,IF(LEN(JT388)=11,_xlfn.XLOOKUP(JT388,'Dispensed Ink Rates'!C:C,'Dispensed Ink Rates'!CS:CS),VLOOKUP(JT388,'Jan-2026 rates'!$E:$F,2,0)))</f>
        <v>0</v>
      </c>
      <c r="KG388" s="409"/>
      <c r="KH388" s="398">
        <f>IF(KG388=0,0,IF(LEN(JU388)=11,_xlfn.XLOOKUP(JU388,'Dispensed Ink Rates'!C:C,'Dispensed Ink Rates'!CS:CS),VLOOKUP(JU388,'Jan-2026 rates'!$E:$F,2,0)))</f>
        <v>0</v>
      </c>
      <c r="KI388" s="409"/>
      <c r="KJ388" s="398">
        <f>IF(KI388=0,0,IF(LEN(JV388)=11,_xlfn.XLOOKUP(JV388,'Dispensed Ink Rates'!C:C,'Dispensed Ink Rates'!CS:CS),VLOOKUP(JV388,'Jan-2026 rates'!$E:$F,2,0)))</f>
        <v>0</v>
      </c>
      <c r="KK388" s="409"/>
      <c r="KL388" s="398">
        <f>IF(KK388=0,0,IF(LEN(JW388)=11,_xlfn.XLOOKUP(JW388,'Dispensed Ink Rates'!C:C,'Dispensed Ink Rates'!CS:CS),VLOOKUP(JW388,'Jan-2026 rates'!$E:$F,2,0)))</f>
        <v>0</v>
      </c>
      <c r="KM388" s="428"/>
      <c r="KN388" s="398">
        <f>IF(KM388=0,0,IF(LEN(JX388)=11,_xlfn.XLOOKUP(JX388,'Dispensed Ink Rates'!C:C,'Dispensed Ink Rates'!CS:CS),VLOOKUP(JX388,'Jan-2026 rates'!$E:$F,2,0)))</f>
        <v>0</v>
      </c>
      <c r="KO388" s="409" t="s">
        <v>1443</v>
      </c>
      <c r="KP388" s="409">
        <v>20</v>
      </c>
      <c r="KQ388" s="411">
        <f t="shared" si="233"/>
        <v>0</v>
      </c>
      <c r="KR388" s="411">
        <f t="shared" si="234"/>
        <v>425.56603773584908</v>
      </c>
      <c r="KS388" s="410">
        <f t="shared" si="235"/>
        <v>0</v>
      </c>
      <c r="KT388" s="409">
        <v>2</v>
      </c>
      <c r="KU388" s="409">
        <v>4</v>
      </c>
      <c r="KV388" s="409">
        <v>2</v>
      </c>
      <c r="KW388" s="409">
        <v>2</v>
      </c>
      <c r="KX388" s="409">
        <v>2</v>
      </c>
      <c r="KY388" s="409">
        <v>2</v>
      </c>
      <c r="KZ388" s="409">
        <v>2</v>
      </c>
      <c r="LA388" s="409">
        <v>90</v>
      </c>
      <c r="LB388" s="415">
        <v>0.8</v>
      </c>
      <c r="LC388" s="415">
        <v>0.2</v>
      </c>
      <c r="LD388" s="424"/>
      <c r="LE388" s="415"/>
      <c r="LF388" s="415"/>
      <c r="LG388" s="409">
        <v>0</v>
      </c>
      <c r="LH388" s="409">
        <f>90+71+112+28</f>
        <v>301</v>
      </c>
      <c r="LI388" s="409">
        <v>0</v>
      </c>
      <c r="LJ388" s="409">
        <v>0</v>
      </c>
      <c r="LK388" s="416">
        <f t="shared" si="191"/>
        <v>301</v>
      </c>
      <c r="LL388" s="416">
        <f t="shared" si="349"/>
        <v>301</v>
      </c>
      <c r="LM388" s="417">
        <f t="shared" si="193"/>
        <v>240.8</v>
      </c>
      <c r="LN388" s="417">
        <f>VLOOKUP($LM$8,'Jan-2026 rates'!$H:$I,2,0)</f>
        <v>0</v>
      </c>
      <c r="LO388" s="417">
        <f t="shared" si="194"/>
        <v>60.2</v>
      </c>
      <c r="LP388" s="417">
        <f>VLOOKUP($LO$8,'Jan-2026 rates'!$H:$I,2,0)</f>
        <v>0</v>
      </c>
      <c r="LQ388" s="417">
        <f t="shared" si="195"/>
        <v>0</v>
      </c>
      <c r="LR388" s="417">
        <f>VLOOKUP($LQ$8,'Jan-2026 rates'!$H:$I,2,0)</f>
        <v>0</v>
      </c>
      <c r="LS388" s="417">
        <f t="shared" si="196"/>
        <v>0</v>
      </c>
      <c r="LT388" s="417">
        <f>VLOOKUP($LS$8,'Jan-2026 rates'!$H:$I,2,0)</f>
        <v>0</v>
      </c>
      <c r="LU388" s="417">
        <f t="shared" si="197"/>
        <v>0</v>
      </c>
      <c r="LV388" s="417">
        <f>VLOOKUP($LU$8,'Jan-2026 rates'!$H:$I,2,0)</f>
        <v>0</v>
      </c>
      <c r="LW388" s="417">
        <f t="shared" si="198"/>
        <v>0</v>
      </c>
      <c r="LX388" s="417">
        <f t="shared" si="199"/>
        <v>0</v>
      </c>
      <c r="LY388" s="418">
        <f t="shared" si="200"/>
        <v>0</v>
      </c>
      <c r="LZ388" s="417"/>
      <c r="MA388" s="435">
        <f t="shared" si="201"/>
        <v>283</v>
      </c>
      <c r="MB388" s="282">
        <f t="shared" si="202"/>
        <v>574</v>
      </c>
      <c r="MC388" s="283">
        <v>229</v>
      </c>
      <c r="MD388" s="284" t="str">
        <f t="shared" si="203"/>
        <v>FLINTSLFLINTSLFLINTSLFLINTSLFLINTSLFLINTSLFLINTSLFLINTSL</v>
      </c>
      <c r="ME388" s="293" t="str">
        <f t="shared" si="204"/>
        <v>+</v>
      </c>
      <c r="MF388" s="293" t="str">
        <f t="shared" si="205"/>
        <v>+</v>
      </c>
      <c r="MG388" s="293" t="str">
        <f t="shared" si="206"/>
        <v>+</v>
      </c>
      <c r="MH388" s="293" t="str">
        <f t="shared" si="207"/>
        <v>+</v>
      </c>
      <c r="MI388" s="293" t="str">
        <f t="shared" si="208"/>
        <v>+</v>
      </c>
      <c r="MJ388" s="293" t="str">
        <f t="shared" si="209"/>
        <v>+</v>
      </c>
      <c r="MK388" s="293" t="str">
        <f t="shared" si="210"/>
        <v>+</v>
      </c>
      <c r="ML388" s="293" t="str">
        <f t="shared" si="211"/>
        <v>+</v>
      </c>
      <c r="MM388" s="3" t="b">
        <f t="array" ref="MM388">OR(ME388:ML388="-")</f>
        <v>0</v>
      </c>
      <c r="MO388" s="401">
        <f t="shared" si="350"/>
        <v>57.28542914171657</v>
      </c>
      <c r="MP388" s="286"/>
      <c r="MR388" s="402">
        <f t="shared" si="351"/>
        <v>1.2161016949152543E-2</v>
      </c>
      <c r="MS388" s="400">
        <f t="shared" si="352"/>
        <v>0</v>
      </c>
      <c r="MT388" s="285"/>
      <c r="NH388" s="361"/>
      <c r="NJ388" s="282"/>
    </row>
    <row r="389" spans="1:374" ht="16.5">
      <c r="A389" s="403">
        <v>46052</v>
      </c>
      <c r="B389" s="404" t="s">
        <v>1018</v>
      </c>
      <c r="C389" s="405" t="s">
        <v>5136</v>
      </c>
      <c r="D389" s="404">
        <v>230</v>
      </c>
      <c r="E389" s="404">
        <v>961</v>
      </c>
      <c r="F389" s="407">
        <v>52400</v>
      </c>
      <c r="G389" s="407" t="s">
        <v>1016</v>
      </c>
      <c r="H389" s="408" t="s">
        <v>1017</v>
      </c>
      <c r="I389" s="409">
        <v>1.25</v>
      </c>
      <c r="J389" s="405" t="s">
        <v>543</v>
      </c>
      <c r="K389" s="404" t="s">
        <v>4942</v>
      </c>
      <c r="L389" s="419" t="str">
        <f t="shared" si="184"/>
        <v>FLINTSL - BLACK</v>
      </c>
      <c r="M389" s="404">
        <v>24</v>
      </c>
      <c r="N389" s="410">
        <f>IF(M389=0,0,IF($LB389=70%,VLOOKUP($L389,'Jan-2026 rates'!$L:$R,4,0),IF($LB389=65%,VLOOKUP($L389,'Jan-2026 rates'!$L:$R,4,0),IF($LB389=40%,VLOOKUP($L389,'Jan-2026 rates'!$L:$R,5,0),IF($LB389=30%,VLOOKUP($L389,'Jan-2026 rates'!$L:$R,6,0),IF($LB389=100%,VLOOKUP($L389,'Jan-2026 rates'!$L:$R,7,0),IF($LB389=60%,VLOOKUP($L389,'Jan-2026 rates'!$L:$S,8,0),IF($LB389=80%,VLOOKUP($L389,'Jan-2026 rates'!L:T,9,0),0))))))))</f>
        <v>0</v>
      </c>
      <c r="O389" s="406"/>
      <c r="P389" s="404"/>
      <c r="Q389" s="410">
        <f>IF(P389=0,0,IF($LB389=70%,VLOOKUP($L389,'Jan-2026 rates'!$L:$R,4,0),IF($LB389=65%,VLOOKUP($L389,'Jan-2026 rates'!$L:$R,4,0),IF($LB389=40%,VLOOKUP($L389,'Jan-2026 rates'!$L:$R,5,0),IF($LB389=30%,VLOOKUP($L389,'Jan-2026 rates'!$L:$R,6,0),IF($LB389=100%,VLOOKUP($L389,'Jan-2026 rates'!$L:$R,7,0),IF($LB389=60%,VLOOKUP($L389,'Jan-2026 rates'!$L:$S,8,0),IF($LB389=80%,VLOOKUP($L389,'Jan-2026 rates'!L:T,9,0),0))))))))</f>
        <v>0</v>
      </c>
      <c r="R389" s="406">
        <v>26530000023</v>
      </c>
      <c r="S389" s="406" t="s">
        <v>1266</v>
      </c>
      <c r="T389" s="406"/>
      <c r="U389" s="406"/>
      <c r="V389" s="406"/>
      <c r="W389" s="406"/>
      <c r="X389" s="406"/>
      <c r="Y389" s="406"/>
      <c r="Z389" s="404">
        <v>4</v>
      </c>
      <c r="AA389" s="398" t="e">
        <f>IF(Z389=0,0,IF(LEN(R389)=11,_xlfn.XLOOKUP(R389,'Dispensed Ink Rates'!C:C,'Dispensed Ink Rates'!CS:CS),VLOOKUP(R389,'Jan-2026 rates'!$E:$F,2,0)))</f>
        <v>#N/A</v>
      </c>
      <c r="AB389" s="404">
        <v>3</v>
      </c>
      <c r="AC389" s="398">
        <f>IF(AB389=0,0,IF(LEN(S389)=11,_xlfn.XLOOKUP(S389,'Dispensed Ink Rates'!C:C,'Dispensed Ink Rates'!CS:CS),VLOOKUP(S389,'Jan-2026 rates'!$E:$F,2,0)))</f>
        <v>0</v>
      </c>
      <c r="AD389" s="404"/>
      <c r="AE389" s="398">
        <f>IF(AD389=0,0,IF(LEN(T389)=11,_xlfn.XLOOKUP(T389,'Dispensed Ink Rates'!C:C,'Dispensed Ink Rates'!CS:CS),VLOOKUP(T389,'Jan-2026 rates'!$E:$F,2,0)))</f>
        <v>0</v>
      </c>
      <c r="AF389" s="404"/>
      <c r="AG389" s="398">
        <f>IF(AF389=0,0,IF(LEN(U389)=11,_xlfn.XLOOKUP(U389,'Dispensed Ink Rates'!C:C,'Dispensed Ink Rates'!CS:CS),VLOOKUP(U389,'Jan-2026 rates'!$E:$F,2,0)))</f>
        <v>0</v>
      </c>
      <c r="AH389" s="404"/>
      <c r="AI389" s="398">
        <f>IF(AH389=0,0,IF(LEN(V389)=11,_xlfn.XLOOKUP(V389,'Dispensed Ink Rates'!C:C,'Dispensed Ink Rates'!CS:CS),VLOOKUP(V389,'Jan-2026 rates'!$E:$F,2,0)))</f>
        <v>0</v>
      </c>
      <c r="AJ389" s="404"/>
      <c r="AK389" s="398">
        <f>IF(AJ389=0,0,IF(LEN(W389)=11,_xlfn.XLOOKUP(W389,'Dispensed Ink Rates'!C:C,'Dispensed Ink Rates'!CS:CS),VLOOKUP(W389,'Jan-2026 rates'!$E:$F,2,0)))</f>
        <v>0</v>
      </c>
      <c r="AL389" s="404"/>
      <c r="AM389" s="398">
        <f>IF(AL389=0,0,IF(LEN(X389)=11,_xlfn.XLOOKUP(X389,'Dispensed Ink Rates'!C:C,'Dispensed Ink Rates'!CS:CS),VLOOKUP(X389,'Jan-2026 rates'!$E:$F,2,0)))</f>
        <v>0</v>
      </c>
      <c r="AN389" s="404"/>
      <c r="AO389" s="398">
        <f>IF(AN389=0,0,IF(LEN(Y389)=11,_xlfn.XLOOKUP(Y389,'Dispensed Ink Rates'!C:C,'Dispensed Ink Rates'!CS:CS),VLOOKUP(Y389,'Jan-2026 rates'!$E:$F,2,0)))</f>
        <v>0</v>
      </c>
      <c r="AP389" s="409" t="s">
        <v>1443</v>
      </c>
      <c r="AQ389" s="409">
        <v>28</v>
      </c>
      <c r="AR389" s="410">
        <f t="shared" si="212"/>
        <v>0</v>
      </c>
      <c r="AS389" s="411">
        <f t="shared" si="213"/>
        <v>14.519999999999996</v>
      </c>
      <c r="AT389" s="410">
        <f t="shared" si="214"/>
        <v>0</v>
      </c>
      <c r="AU389" s="405" t="s">
        <v>857</v>
      </c>
      <c r="AV389" s="409" t="s">
        <v>4943</v>
      </c>
      <c r="AW389" s="420" t="str">
        <f t="shared" si="348"/>
        <v>FLINTSL - RED</v>
      </c>
      <c r="AX389" s="409">
        <v>29</v>
      </c>
      <c r="AY389" s="411">
        <f>IF(AX389=0,0,IF($LB389=70%,VLOOKUP($AW389,'Jan-2026 rates'!$L:$R,4,0),IF($LB389=65%,VLOOKUP($AW389,'Jan-2026 rates'!$L:$R,4,0),IF($LB389=40%,VLOOKUP($AW389,'Jan-2026 rates'!$L:$R,5,0),IF($LB389=30%,VLOOKUP($AW389,'Jan-2026 rates'!$L:$R,6,0),IF($LB389=100%,VLOOKUP($AW389,'Jan-2026 rates'!$L:$R,7,0),IF($LB389=60%,VLOOKUP($AW389,'Jan-2026 rates'!$L:$S,8,0),IF($LB389=80%,VLOOKUP($AW389,'Jan-2026 rates'!L:T,9,0),0))))))))</f>
        <v>0</v>
      </c>
      <c r="AZ389" s="412"/>
      <c r="BA389" s="409"/>
      <c r="BB389" s="411">
        <f>IF(BA389=0,0,IF($LB389=70%,VLOOKUP($AW389,'Jan-2026 rates'!$L:$R,4,0),IF($LB389=65%,VLOOKUP($AW389,'Jan-2026 rates'!$L:$R,4,0),IF($LB389=40%,VLOOKUP($AW389,'Jan-2026 rates'!$L:$R,5,0),IF($LB389=30%,VLOOKUP($AW389,'Jan-2026 rates'!$L:$R,6,0),IF($LB389=100%,VLOOKUP($AW389,'Jan-2026 rates'!$L:$R,7,0),IF($LB389=60%,VLOOKUP($AW389,'Jan-2026 rates'!$L:$S,8,0),IF($LB389=80%,VLOOKUP($AW389,'Jan-2026 rates'!L:T,9,0),0))))))))</f>
        <v>0</v>
      </c>
      <c r="BC389" s="413" t="s">
        <v>1265</v>
      </c>
      <c r="BD389" s="412">
        <v>26530000025</v>
      </c>
      <c r="BE389" s="412"/>
      <c r="BF389" s="413"/>
      <c r="BG389" s="412"/>
      <c r="BH389" s="412"/>
      <c r="BI389" s="412"/>
      <c r="BJ389" s="412"/>
      <c r="BK389" s="409">
        <f>2+3</f>
        <v>5</v>
      </c>
      <c r="BL389" s="398">
        <f>IF(BK389=0,0,IF(LEN(BC389)=11,_xlfn.XLOOKUP(BC389,'Dispensed Ink Rates'!C:C,'Dispensed Ink Rates'!CS:CS),VLOOKUP(BC389,'Jan-2026 rates'!$E:$F,2,0)))</f>
        <v>0</v>
      </c>
      <c r="BM389" s="409">
        <v>6</v>
      </c>
      <c r="BN389" s="398" t="e">
        <f>IF(BM389=0,0,IF(LEN(BD389)=11,_xlfn.XLOOKUP(BD389,'Dispensed Ink Rates'!C:C,'Dispensed Ink Rates'!CS:CS),VLOOKUP(BD389,'Jan-2026 rates'!$E:$F,2,0)))</f>
        <v>#N/A</v>
      </c>
      <c r="BO389" s="409"/>
      <c r="BP389" s="398">
        <f>IF(BO389=0,0,IF(LEN(BE389)=11,_xlfn.XLOOKUP(BE389,'Dispensed Ink Rates'!C:C,'Dispensed Ink Rates'!CS:CS),VLOOKUP(BE389,'Jan-2026 rates'!$E:$F,2,0)))</f>
        <v>0</v>
      </c>
      <c r="BQ389" s="409"/>
      <c r="BR389" s="398">
        <f>IF(BQ389=0,0,IF(LEN(BF389)=11,_xlfn.XLOOKUP(BF389,'Dispensed Ink Rates'!C:C,'Dispensed Ink Rates'!CS:CS),VLOOKUP(BF389,'Jan-2026 rates'!$E:$F,2,0)))</f>
        <v>0</v>
      </c>
      <c r="BS389" s="409"/>
      <c r="BT389" s="398">
        <f>IF(BS389=0,0,IF(LEN(BG389)=11,_xlfn.XLOOKUP(BG389,'Dispensed Ink Rates'!C:C,'Dispensed Ink Rates'!CS:CS),VLOOKUP(BG389,'Jan-2026 rates'!$E:$F,2,0)))</f>
        <v>0</v>
      </c>
      <c r="BU389" s="409"/>
      <c r="BV389" s="398">
        <f>IF(BU389=0,0,IF(LEN(BH389)=11,_xlfn.XLOOKUP(BH389,'Dispensed Ink Rates'!C:C,'Dispensed Ink Rates'!CS:CS),VLOOKUP(BH389,'Jan-2026 rates'!$E:$F,2,0)))</f>
        <v>0</v>
      </c>
      <c r="BW389" s="409"/>
      <c r="BX389" s="398">
        <f>IF(BW389=0,0,IF(LEN(BI389)=11,_xlfn.XLOOKUP(BI389,'Dispensed Ink Rates'!C:C,'Dispensed Ink Rates'!CS:CS),VLOOKUP(BI389,'Jan-2026 rates'!$E:$F,2,0)))</f>
        <v>0</v>
      </c>
      <c r="BY389" s="409"/>
      <c r="BZ389" s="398">
        <f>IF(BY389=0,0,IF(LEN(BJ389)=11,_xlfn.XLOOKUP(BJ389,'Dispensed Ink Rates'!C:C,'Dispensed Ink Rates'!CS:CS),VLOOKUP(BJ389,'Jan-2026 rates'!$E:$F,2,0)))</f>
        <v>0</v>
      </c>
      <c r="CA389" s="409" t="s">
        <v>1443</v>
      </c>
      <c r="CB389" s="409">
        <v>30</v>
      </c>
      <c r="CC389" s="411">
        <f t="shared" si="215"/>
        <v>0</v>
      </c>
      <c r="CD389" s="411">
        <f t="shared" si="216"/>
        <v>21.519999999999996</v>
      </c>
      <c r="CE389" s="410">
        <f t="shared" si="217"/>
        <v>0</v>
      </c>
      <c r="CF389" s="404" t="s">
        <v>857</v>
      </c>
      <c r="CG389" s="409" t="s">
        <v>4943</v>
      </c>
      <c r="CH389" s="420" t="str">
        <f t="shared" si="185"/>
        <v>FLINTSL - RED</v>
      </c>
      <c r="CI389" s="409">
        <v>30</v>
      </c>
      <c r="CJ389" s="411">
        <f>IF(CI389=0,0,IF($LB389=70%,VLOOKUP($CH389,'Jan-2026 rates'!$L:$R,4,0),IF($LB389=65%,VLOOKUP($CH389,'Jan-2026 rates'!$L:$R,4,0),IF($LB389=40%,VLOOKUP($CH389,'Jan-2026 rates'!$L:$R,5,0),IF($LB389=30%,VLOOKUP($CH389,'Jan-2026 rates'!$L:$R,6,0),IF($LB389=100%,VLOOKUP($CH389,'Jan-2026 rates'!$L:$R,7,0),IF($LB389=60%,VLOOKUP($CH389,'Jan-2026 rates'!$L:$S,8,0),IF($LB389=80%,VLOOKUP($CH389,'Jan-2026 rates'!L:T,9,0),0))))))))</f>
        <v>0</v>
      </c>
      <c r="CK389" s="412"/>
      <c r="CL389" s="409"/>
      <c r="CM389" s="411">
        <f>IF(CL389=0,0,IF($LB389=70%,VLOOKUP($CH389,'Jan-2026 rates'!$L:$R,4,0),IF($LB389=65%,VLOOKUP($CH389,'Jan-2026 rates'!$L:$R,4,0),IF($LB389=40%,VLOOKUP($CH389,'Jan-2026 rates'!$L:$R,5,0),IF($LB389=30%,VLOOKUP($CH389,'Jan-2026 rates'!$L:$R,6,0),IF($LB389=100%,VLOOKUP($CH389,'Jan-2026 rates'!$L:$R,7,0),IF($LB389=60%,VLOOKUP($CH389,'Jan-2026 rates'!$L:$S,8,0),IF($LB389=80%,VLOOKUP($CH389,'Jan-2026 rates'!L:T,9,0),0))))))))</f>
        <v>0</v>
      </c>
      <c r="CN389" s="426" t="s">
        <v>1265</v>
      </c>
      <c r="CO389" s="427">
        <v>26530000035</v>
      </c>
      <c r="CP389" s="426" t="s">
        <v>1266</v>
      </c>
      <c r="CQ389" s="426">
        <v>26530000023</v>
      </c>
      <c r="CR389" s="428"/>
      <c r="CS389" s="428"/>
      <c r="CT389" s="428"/>
      <c r="CU389" s="428"/>
      <c r="CV389" s="409">
        <v>6</v>
      </c>
      <c r="CW389" s="398">
        <f>IF(CV389=0,0,IF(LEN(CN389)=11,_xlfn.XLOOKUP(CN389,'Dispensed Ink Rates'!C:C,'Dispensed Ink Rates'!CS:CS),VLOOKUP(CN389,'Jan-2026 rates'!$E:$F,2,0)))</f>
        <v>0</v>
      </c>
      <c r="CX389" s="409">
        <f>2+2</f>
        <v>4</v>
      </c>
      <c r="CY389" s="398" t="e">
        <f>IF(CX389=0,0,IF(LEN(CO389)=11,_xlfn.XLOOKUP(CO389,'Dispensed Ink Rates'!C:C,'Dispensed Ink Rates'!CS:CS),VLOOKUP(CO389,'Jan-2026 rates'!$E:$F,2,0)))</f>
        <v>#N/A</v>
      </c>
      <c r="CZ389" s="409">
        <v>2</v>
      </c>
      <c r="DA389" s="398">
        <f>IF(CZ389=0,0,IF(LEN(CP389)=11,_xlfn.XLOOKUP(CP389,'Dispensed Ink Rates'!C:C,'Dispensed Ink Rates'!CS:CS),VLOOKUP(CP389,'Jan-2026 rates'!$E:$F,2,0)))</f>
        <v>0</v>
      </c>
      <c r="DB389" s="409">
        <v>0.3</v>
      </c>
      <c r="DC389" s="398" t="e">
        <f>IF(DB389=0,0,IF(LEN(CQ389)=11,_xlfn.XLOOKUP(CQ389,'Dispensed Ink Rates'!C:C,'Dispensed Ink Rates'!CS:CS),VLOOKUP(CQ389,'Jan-2026 rates'!$E:$F,2,0)))</f>
        <v>#N/A</v>
      </c>
      <c r="DD389" s="409"/>
      <c r="DE389" s="398">
        <f>IF(DD389=0,0,IF(LEN(CR389)=11,_xlfn.XLOOKUP(CR389,'Dispensed Ink Rates'!C:C,'Dispensed Ink Rates'!CS:CS),VLOOKUP(CR389,'Jan-2026 rates'!$E:$F,2,0)))</f>
        <v>0</v>
      </c>
      <c r="DF389" s="409"/>
      <c r="DG389" s="398">
        <f>IF(DF389=0,0,IF(LEN(CS389)=11,_xlfn.XLOOKUP(CS389,'Dispensed Ink Rates'!C:C,'Dispensed Ink Rates'!CS:CS),VLOOKUP(CS389,'Jan-2026 rates'!$E:$F,2,0)))</f>
        <v>0</v>
      </c>
      <c r="DH389" s="409"/>
      <c r="DI389" s="398">
        <f>IF(DH389=0,0,IF(LEN(CT389)=11,_xlfn.XLOOKUP(CT389,'Dispensed Ink Rates'!C:C,'Dispensed Ink Rates'!CS:CS),VLOOKUP(CT389,'Jan-2026 rates'!$E:$F,2,0)))</f>
        <v>0</v>
      </c>
      <c r="DJ389" s="409"/>
      <c r="DK389" s="398">
        <f>IF(DJ389=0,0,IF(LEN(CU389)=11,_xlfn.XLOOKUP(CU389,'Dispensed Ink Rates'!C:C,'Dispensed Ink Rates'!CS:CS),VLOOKUP(CU389,'Jan-2026 rates'!$E:$F,2,0)))</f>
        <v>0</v>
      </c>
      <c r="DL389" s="409" t="s">
        <v>1443</v>
      </c>
      <c r="DM389" s="409">
        <v>30</v>
      </c>
      <c r="DN389" s="411">
        <f t="shared" si="218"/>
        <v>0</v>
      </c>
      <c r="DO389" s="411">
        <f t="shared" si="219"/>
        <v>23.819999999999993</v>
      </c>
      <c r="DP389" s="410">
        <f t="shared" si="220"/>
        <v>0</v>
      </c>
      <c r="DQ389" s="405" t="s">
        <v>828</v>
      </c>
      <c r="DR389" s="409" t="s">
        <v>4944</v>
      </c>
      <c r="DS389" s="420" t="str">
        <f t="shared" si="186"/>
        <v>FLINTSL - ORANGE</v>
      </c>
      <c r="DT389" s="409">
        <v>27</v>
      </c>
      <c r="DU389" s="411">
        <f>IF(DT389=0,0,IF($LB389=70%,VLOOKUP($DS389,'Jan-2026 rates'!$L:$R,4,0),IF($LB389=65%,VLOOKUP($DS389,'Jan-2026 rates'!$L:$R,4,0),IF($LB389=40%,VLOOKUP($DS389,'Jan-2026 rates'!$L:$R,5,0),IF($LB389=30%,VLOOKUP($DS389,'Jan-2026 rates'!$L:$R,6,0),IF($LB389=100%,VLOOKUP($DS389,'Jan-2026 rates'!$L:$R,7,0),IF($LB389=60%,VLOOKUP($DS389,'Jan-2026 rates'!$L:$S,8,0),IF($LB389=80%,VLOOKUP($DS389,'Jan-2026 rates'!L:T,9,0),0))))))))</f>
        <v>0</v>
      </c>
      <c r="DV389" s="412"/>
      <c r="DW389" s="409"/>
      <c r="DX389" s="411">
        <f>IF(DW389=0,0,IF($LB389=70%,VLOOKUP($DS389,'Jan-2026 rates'!$L:$R,4,0),IF($LB389=65%,VLOOKUP($DS389,'Jan-2026 rates'!$L:$R,4,0),IF($LB389=40%,VLOOKUP($DS389,'Jan-2026 rates'!$L:$R,5,0),IF($LB389=30%,VLOOKUP($DS389,'Jan-2026 rates'!$L:$R,6,0),IF($LB389=100%,VLOOKUP($DS389,'Jan-2026 rates'!$L:$R,7,0),IF($LB389=60%,VLOOKUP($DS389,'Jan-2026 rates'!$L:$S,8,0),IF($LB389=80%,VLOOKUP($DS389,'Jan-2026 rates'!L:T,9,0),0))))))))</f>
        <v>0</v>
      </c>
      <c r="DY389" s="413" t="s">
        <v>1646</v>
      </c>
      <c r="DZ389" s="413">
        <v>26527000013</v>
      </c>
      <c r="EA389" s="412">
        <v>26530000035</v>
      </c>
      <c r="EB389" s="412" t="s">
        <v>1265</v>
      </c>
      <c r="EC389" s="412"/>
      <c r="ED389" s="412"/>
      <c r="EE389" s="412"/>
      <c r="EF389" s="412"/>
      <c r="EG389" s="409">
        <f>30+8+20</f>
        <v>58</v>
      </c>
      <c r="EH389" s="398">
        <f>IF(EG389=0,0,IF(LEN(DY389)=11,_xlfn.XLOOKUP(DY389,'Dispensed Ink Rates'!C:C,'Dispensed Ink Rates'!CS:CS),VLOOKUP(DY389,'Jan-2026 rates'!$E:$F,2,0)))</f>
        <v>0</v>
      </c>
      <c r="EI389" s="409">
        <f>10+6+1</f>
        <v>17</v>
      </c>
      <c r="EJ389" s="398" t="e">
        <f>IF(EI389=0,0,IF(LEN(DZ389)=11,_xlfn.XLOOKUP(DZ389,'Dispensed Ink Rates'!C:C,'Dispensed Ink Rates'!CS:CS),VLOOKUP(DZ389,'Jan-2026 rates'!$E:$F,2,0)))</f>
        <v>#N/A</v>
      </c>
      <c r="EK389" s="409">
        <f>6+2</f>
        <v>8</v>
      </c>
      <c r="EL389" s="398" t="e">
        <f>IF(EK389=0,0,IF(LEN(EA389)=11,_xlfn.XLOOKUP(EA389,'Dispensed Ink Rates'!C:C,'Dispensed Ink Rates'!CS:CS),VLOOKUP(EA389,'Jan-2026 rates'!$E:$F,2,0)))</f>
        <v>#N/A</v>
      </c>
      <c r="EM389" s="409">
        <v>10</v>
      </c>
      <c r="EN389" s="398">
        <f>IF(EM389=0,0,IF(LEN(EB389)=11,_xlfn.XLOOKUP(EB389,'Dispensed Ink Rates'!C:C,'Dispensed Ink Rates'!CS:CS),VLOOKUP(EB389,'Jan-2026 rates'!$E:$F,2,0)))</f>
        <v>0</v>
      </c>
      <c r="EO389" s="409"/>
      <c r="EP389" s="398">
        <f>IF(EO389=0,0,IF(LEN(EC389)=11,_xlfn.XLOOKUP(EC389,'Dispensed Ink Rates'!C:C,'Dispensed Ink Rates'!CS:CS),VLOOKUP(EC389,'Jan-2026 rates'!$E:$F,2,0)))</f>
        <v>0</v>
      </c>
      <c r="EQ389" s="409"/>
      <c r="ER389" s="398">
        <f>IF(EQ389=0,0,IF(LEN(ED389)=11,_xlfn.XLOOKUP(ED389,'Dispensed Ink Rates'!C:C,'Dispensed Ink Rates'!CS:CS),VLOOKUP(ED389,'Jan-2026 rates'!$E:$F,2,0)))</f>
        <v>0</v>
      </c>
      <c r="ES389" s="409"/>
      <c r="ET389" s="398">
        <f>IF(ES389=0,0,IF(LEN(EE389)=11,_xlfn.XLOOKUP(EE389,'Dispensed Ink Rates'!C:C,'Dispensed Ink Rates'!CS:CS),VLOOKUP(EE389,'Jan-2026 rates'!$E:$F,2,0)))</f>
        <v>0</v>
      </c>
      <c r="EU389" s="409"/>
      <c r="EV389" s="398">
        <f>IF(EU389=0,0,IF(LEN(EF389)=11,_xlfn.XLOOKUP(EF389,'Dispensed Ink Rates'!C:C,'Dispensed Ink Rates'!CS:CS),VLOOKUP(EF389,'Jan-2026 rates'!$E:$F,2,0)))</f>
        <v>0</v>
      </c>
      <c r="EW389" s="409" t="s">
        <v>1443</v>
      </c>
      <c r="EX389" s="409">
        <v>34</v>
      </c>
      <c r="EY389" s="411">
        <f t="shared" si="221"/>
        <v>0</v>
      </c>
      <c r="EZ389" s="411">
        <f t="shared" si="222"/>
        <v>143.6</v>
      </c>
      <c r="FA389" s="410">
        <f t="shared" si="223"/>
        <v>0</v>
      </c>
      <c r="FB389" s="405" t="s">
        <v>855</v>
      </c>
      <c r="FC389" s="409" t="s">
        <v>4945</v>
      </c>
      <c r="FD389" s="420" t="str">
        <f t="shared" si="187"/>
        <v>FLINTSL - CYAN</v>
      </c>
      <c r="FE389" s="409">
        <v>28</v>
      </c>
      <c r="FF389" s="411">
        <f>IF(FE389=0,0,IF($LB389=70%,VLOOKUP($FD389,'Jan-2026 rates'!$L:$R,4,0),IF($LB389=65%,VLOOKUP($FD389,'Jan-2026 rates'!$L:$R,4,0),IF($LB389=40%,VLOOKUP($FD389,'Jan-2026 rates'!$L:$R,5,0),IF($LB389=30%,VLOOKUP($FD389,'Jan-2026 rates'!$L:$R,6,0),IF($LB389=100%,VLOOKUP($FD389,'Jan-2026 rates'!$L:$R,7,0),IF($LB389=60%,VLOOKUP($FD389,'Jan-2026 rates'!$L:$S,8,0),IF($LB389=80%,VLOOKUP($FD389,'Jan-2026 rates'!L:T,9,0),0))))))))</f>
        <v>0</v>
      </c>
      <c r="FG389" s="412"/>
      <c r="FH389" s="409"/>
      <c r="FI389" s="411">
        <f>IF(FH389=0,0,IF($LB389=70%,VLOOKUP($FD389,'Jan-2026 rates'!$L:$R,4,0),IF($LB389=65%,VLOOKUP($FD389,'Jan-2026 rates'!$L:$R,4,0),IF($LB389=40%,VLOOKUP($FD389,'Jan-2026 rates'!$L:$R,5,0),IF($LB389=30%,VLOOKUP($FD389,'Jan-2026 rates'!$L:$R,6,0),IF($LB389=100%,VLOOKUP($FD389,'Jan-2026 rates'!$L:$R,7,0),IF($LB389=60%,VLOOKUP($FD389,'Jan-2026 rates'!$L:$S,8,0),IF($LB389=80%,VLOOKUP($FD389,'Jan-2026 rates'!L:T,9,0),0))))))))</f>
        <v>0</v>
      </c>
      <c r="FJ389" s="413" t="s">
        <v>477</v>
      </c>
      <c r="FK389" s="413"/>
      <c r="FL389" s="413"/>
      <c r="FM389" s="412"/>
      <c r="FN389" s="412"/>
      <c r="FO389" s="412"/>
      <c r="FP389" s="412"/>
      <c r="FQ389" s="412"/>
      <c r="FR389" s="409">
        <v>2</v>
      </c>
      <c r="FS389" s="398">
        <f>IF(FR389=0,0,IF(LEN(FJ389)=11,_xlfn.XLOOKUP(FJ389,'Dispensed Ink Rates'!C:C,'Dispensed Ink Rates'!CS:CS),VLOOKUP(FJ389,'Jan-2026 rates'!$E:$F,2,0)))</f>
        <v>0</v>
      </c>
      <c r="FT389" s="409"/>
      <c r="FU389" s="398">
        <f>IF(FT389=0,0,IF(LEN(FK389)=11,_xlfn.XLOOKUP(FK389,'Dispensed Ink Rates'!C:C,'Dispensed Ink Rates'!CS:CS),VLOOKUP(FK389,'Jan-2026 rates'!$E:$F,2,0)))</f>
        <v>0</v>
      </c>
      <c r="FV389" s="409"/>
      <c r="FW389" s="398">
        <f>IF(FV389=0,0,IF(LEN(FL389)=11,_xlfn.XLOOKUP(FL389,'Dispensed Ink Rates'!C:C,'Dispensed Ink Rates'!CS:CS),VLOOKUP(FL389,'Jan-2026 rates'!$E:$F,2,0)))</f>
        <v>0</v>
      </c>
      <c r="FX389" s="409"/>
      <c r="FY389" s="398">
        <f>IF(FX389=0,0,IF(LEN(FM389)=11,_xlfn.XLOOKUP(FM389,'Dispensed Ink Rates'!C:C,'Dispensed Ink Rates'!CS:CS),VLOOKUP(FM389,'Jan-2026 rates'!$E:$F,2,0)))</f>
        <v>0</v>
      </c>
      <c r="FZ389" s="409"/>
      <c r="GA389" s="398">
        <f>IF(FZ389=0,0,IF(LEN(FN389)=11,_xlfn.XLOOKUP(FN389,'Dispensed Ink Rates'!C:C,'Dispensed Ink Rates'!CS:CS),VLOOKUP(FN389,'Jan-2026 rates'!$E:$F,2,0)))</f>
        <v>0</v>
      </c>
      <c r="GB389" s="409"/>
      <c r="GC389" s="398">
        <f>IF(GB389=0,0,IF(LEN(FO389)=11,_xlfn.XLOOKUP(FO389,'Dispensed Ink Rates'!C:C,'Dispensed Ink Rates'!CS:CS),VLOOKUP(FO389,'Jan-2026 rates'!$E:$F,2,0)))</f>
        <v>0</v>
      </c>
      <c r="GD389" s="409"/>
      <c r="GE389" s="398">
        <f>IF(GD389=0,0,IF(LEN(FP389)=11,_xlfn.XLOOKUP(FP389,'Dispensed Ink Rates'!C:C,'Dispensed Ink Rates'!CS:CS),VLOOKUP(FP389,'Jan-2026 rates'!$E:$F,2,0)))</f>
        <v>0</v>
      </c>
      <c r="GF389" s="409"/>
      <c r="GG389" s="398">
        <f>IF(GF389=0,0,IF(LEN(FQ389)=11,_xlfn.XLOOKUP(FQ389,'Dispensed Ink Rates'!C:C,'Dispensed Ink Rates'!CS:CS),VLOOKUP(FQ389,'Jan-2026 rates'!$E:$F,2,0)))</f>
        <v>0</v>
      </c>
      <c r="GH389" s="409" t="s">
        <v>1443</v>
      </c>
      <c r="GI389" s="409">
        <v>28</v>
      </c>
      <c r="GJ389" s="411">
        <f t="shared" si="224"/>
        <v>0</v>
      </c>
      <c r="GK389" s="411">
        <f t="shared" si="225"/>
        <v>13.519999999999996</v>
      </c>
      <c r="GL389" s="410">
        <f t="shared" si="226"/>
        <v>0</v>
      </c>
      <c r="GM389" s="405" t="s">
        <v>544</v>
      </c>
      <c r="GN389" s="409" t="s">
        <v>4946</v>
      </c>
      <c r="GO389" s="420" t="str">
        <f t="shared" si="188"/>
        <v>FLINTSL - MAGENTA</v>
      </c>
      <c r="GP389" s="409">
        <v>29</v>
      </c>
      <c r="GQ389" s="411">
        <f>IF(GP389=0,0,IF($LB389=70%,VLOOKUP($GO389,'Jan-2026 rates'!$L:$R,4,0),IF($LB389=65%,VLOOKUP($GO389,'Jan-2026 rates'!$L:$R,4,0),IF($LB389=40%,VLOOKUP($GO389,'Jan-2026 rates'!$L:$R,5,0),IF($LB389=30%,VLOOKUP($GO389,'Jan-2026 rates'!$L:$R,6,0),IF($LB389=100%,VLOOKUP($GO389,'Jan-2026 rates'!$L:$R,7,0),IF($LB389=60%,VLOOKUP($GO389,'Jan-2026 rates'!$L:$S,8,0),IF($LB389=80%,VLOOKUP($GO389,'Jan-2026 rates'!L:T,9,0),0))))))))</f>
        <v>0</v>
      </c>
      <c r="GR389" s="412"/>
      <c r="GS389" s="409"/>
      <c r="GT389" s="411">
        <f>IF(GS389=0,0,IF($LB389=70%,VLOOKUP($GO389,'Jan-2026 rates'!$L:$R,4,0),IF($LB389=65%,VLOOKUP($GO389,'Jan-2026 rates'!$L:$R,4,0),IF($LB389=40%,VLOOKUP($GO389,'Jan-2026 rates'!$L:$R,5,0),IF($LB389=30%,VLOOKUP($GO389,'Jan-2026 rates'!$L:$R,6,0),IF($LB389=100%,VLOOKUP($GO389,'Jan-2026 rates'!$L:$R,7,0),IF($LB389=60%,VLOOKUP($GO389,'Jan-2026 rates'!$L:$S,8,0),IF($LB389=80%,VLOOKUP($GO389,'Jan-2026 rates'!L:T,9,0),0))))))))</f>
        <v>0</v>
      </c>
      <c r="GU389" s="413" t="s">
        <v>1265</v>
      </c>
      <c r="GV389" s="413" t="s">
        <v>1266</v>
      </c>
      <c r="GW389" s="412"/>
      <c r="GX389" s="412"/>
      <c r="GY389" s="412"/>
      <c r="GZ389" s="412"/>
      <c r="HA389" s="412"/>
      <c r="HB389" s="412"/>
      <c r="HC389" s="409">
        <f>6+2</f>
        <v>8</v>
      </c>
      <c r="HD389" s="398">
        <f>IF(HC389=0,0,IF(LEN(GU389)=11,_xlfn.XLOOKUP(GU389,'Dispensed Ink Rates'!C:C,'Dispensed Ink Rates'!CS:CS),VLOOKUP(GU389,'Jan-2026 rates'!$E:$F,2,0)))</f>
        <v>0</v>
      </c>
      <c r="HE389" s="409">
        <f>2+2</f>
        <v>4</v>
      </c>
      <c r="HF389" s="398">
        <f>IF(HE389=0,0,IF(LEN(GV389)=11,_xlfn.XLOOKUP(GV389,'Dispensed Ink Rates'!C:C,'Dispensed Ink Rates'!CS:CS),VLOOKUP(GV389,'Jan-2026 rates'!$E:$F,2,0)))</f>
        <v>0</v>
      </c>
      <c r="HG389" s="409"/>
      <c r="HH389" s="398">
        <f>IF(HG389=0,0,IF(LEN(GW389)=11,_xlfn.XLOOKUP(GW389,'Dispensed Ink Rates'!C:C,'Dispensed Ink Rates'!CS:CS),VLOOKUP(GW389,'Jan-2026 rates'!$E:$F,2,0)))</f>
        <v>0</v>
      </c>
      <c r="HI389" s="409"/>
      <c r="HJ389" s="398">
        <f>IF(HI389=0,0,IF(LEN(GX389)=11,_xlfn.XLOOKUP(GX389,'Dispensed Ink Rates'!C:C,'Dispensed Ink Rates'!CS:CS),VLOOKUP(GX389,'Jan-2026 rates'!$E:$F,2,0)))</f>
        <v>0</v>
      </c>
      <c r="HK389" s="409"/>
      <c r="HL389" s="398">
        <f>IF(HK389=0,0,IF(LEN(GY389)=11,_xlfn.XLOOKUP(GY389,'Dispensed Ink Rates'!C:C,'Dispensed Ink Rates'!CS:CS),VLOOKUP(GY389,'Jan-2026 rates'!$E:$F,2,0)))</f>
        <v>0</v>
      </c>
      <c r="HM389" s="409"/>
      <c r="HN389" s="398">
        <f>IF(HM389=0,0,IF(LEN(GZ389)=11,_xlfn.XLOOKUP(GZ389,'Dispensed Ink Rates'!C:C,'Dispensed Ink Rates'!CS:CS),VLOOKUP(GZ389,'Jan-2026 rates'!$E:$F,2,0)))</f>
        <v>0</v>
      </c>
      <c r="HO389" s="409"/>
      <c r="HP389" s="398">
        <f>IF(HO389=0,0,IF(LEN(HA389)=11,_xlfn.XLOOKUP(HA389,'Dispensed Ink Rates'!C:C,'Dispensed Ink Rates'!CS:CS),VLOOKUP(HA389,'Jan-2026 rates'!$E:$F,2,0)))</f>
        <v>0</v>
      </c>
      <c r="HQ389" s="409"/>
      <c r="HR389" s="398">
        <f>IF(HQ389=0,0,IF(LEN(HB389)=11,_xlfn.XLOOKUP(HB389,'Dispensed Ink Rates'!C:C,'Dispensed Ink Rates'!CS:CS),VLOOKUP(HB389,'Jan-2026 rates'!$E:$F,2,0)))</f>
        <v>0</v>
      </c>
      <c r="HS389" s="409" t="s">
        <v>1443</v>
      </c>
      <c r="HT389" s="409">
        <v>29</v>
      </c>
      <c r="HU389" s="411">
        <f t="shared" si="227"/>
        <v>0</v>
      </c>
      <c r="HV389" s="411">
        <f t="shared" si="228"/>
        <v>23.519999999999996</v>
      </c>
      <c r="HW389" s="414">
        <f t="shared" si="229"/>
        <v>0</v>
      </c>
      <c r="HX389" s="405" t="s">
        <v>545</v>
      </c>
      <c r="HY389" s="409" t="s">
        <v>4947</v>
      </c>
      <c r="HZ389" s="420" t="str">
        <f t="shared" si="189"/>
        <v>FLINTSL - YELLOW</v>
      </c>
      <c r="IA389" s="409">
        <v>28</v>
      </c>
      <c r="IB389" s="411">
        <f>IF(IA389=0,0,IF($LB389=70%,VLOOKUP($HZ389,'Jan-2026 rates'!$L:$R,4,0),IF($LB389=65%,VLOOKUP($HZ389,'Jan-2026 rates'!$L:$R,4,0),IF($LB389=40%,VLOOKUP($HZ389,'Jan-2026 rates'!$L:$R,5,0),IF($LB389=30%,VLOOKUP($HZ389,'Jan-2026 rates'!$L:$R,6,0),IF($LB389=100%,VLOOKUP($HZ389,'Jan-2026 rates'!$L:$R,7,0),IF($LB389=60%,VLOOKUP($HZ389,'Jan-2026 rates'!$L:$S,8,0),IF($LB389=80%,VLOOKUP($HZ389,'Jan-2026 rates'!L:T,9,0),0))))))))</f>
        <v>0</v>
      </c>
      <c r="IC389" s="412"/>
      <c r="ID389" s="409"/>
      <c r="IE389" s="411">
        <f>IF(ID389=0,0,IF($LB389=70%,VLOOKUP($HZ389,'Jan-2026 rates'!$L:$R,4,0),IF($LB389=65%,VLOOKUP($HZ389,'Jan-2026 rates'!$L:$R,4,0),IF($LB389=40%,VLOOKUP($HZ389,'Jan-2026 rates'!$L:$R,5,0),IF($LB389=30%,VLOOKUP($HZ389,'Jan-2026 rates'!$L:$R,6,0),IF($LB389=100%,VLOOKUP($HZ389,'Jan-2026 rates'!$L:$R,7,0),IF($LB389=60%,VLOOKUP($HZ389,'Jan-2026 rates'!$L:$S,8,0),IF($LB389=80%,VLOOKUP($HZ389,'Jan-2026 rates'!L:T,9,0),0))))))))</f>
        <v>0</v>
      </c>
      <c r="IF389" s="412">
        <v>26530000021</v>
      </c>
      <c r="IG389" s="413" t="s">
        <v>1266</v>
      </c>
      <c r="IH389" s="412"/>
      <c r="II389" s="412"/>
      <c r="IJ389" s="412"/>
      <c r="IK389" s="412"/>
      <c r="IL389" s="412"/>
      <c r="IM389" s="412"/>
      <c r="IN389" s="409">
        <f>6+8</f>
        <v>14</v>
      </c>
      <c r="IO389" s="398" t="e">
        <f>IF(IN389=0,0,IF(LEN(IF389)=11,_xlfn.XLOOKUP(IF389,'Dispensed Ink Rates'!C:C,'Dispensed Ink Rates'!CS:CS),VLOOKUP(IF389,'Jan-2026 rates'!$E:$F,2,0)))</f>
        <v>#N/A</v>
      </c>
      <c r="IP389" s="409">
        <v>2</v>
      </c>
      <c r="IQ389" s="398">
        <f>IF(IP389=0,0,IF(LEN(IG389)=11,_xlfn.XLOOKUP(IG389,'Dispensed Ink Rates'!C:C,'Dispensed Ink Rates'!CS:CS),VLOOKUP(IG389,'Jan-2026 rates'!$E:$F,2,0)))</f>
        <v>0</v>
      </c>
      <c r="IR389" s="409"/>
      <c r="IS389" s="398">
        <f>IF(IR389=0,0,IF(LEN(IH389)=11,_xlfn.XLOOKUP(IH389,'Dispensed Ink Rates'!C:C,'Dispensed Ink Rates'!CS:CS),VLOOKUP(IH389,'Jan-2026 rates'!$E:$F,2,0)))</f>
        <v>0</v>
      </c>
      <c r="IT389" s="409"/>
      <c r="IU389" s="398">
        <f>IF(IT389=0,0,IF(LEN(II389)=11,_xlfn.XLOOKUP(II389,'Dispensed Ink Rates'!C:C,'Dispensed Ink Rates'!CS:CS),VLOOKUP(II389,'Jan-2026 rates'!$E:$F,2,0)))</f>
        <v>0</v>
      </c>
      <c r="IV389" s="409"/>
      <c r="IW389" s="398">
        <f>IF(IV389=0,0,IF(LEN(IJ389)=11,_xlfn.XLOOKUP(IJ389,'Dispensed Ink Rates'!C:C,'Dispensed Ink Rates'!CS:CS),VLOOKUP(IJ389,'Jan-2026 rates'!$E:$F,2,0)))</f>
        <v>0</v>
      </c>
      <c r="IX389" s="409"/>
      <c r="IY389" s="398">
        <f>IF(IX389=0,0,IF(LEN(IK389)=11,_xlfn.XLOOKUP(IK389,'Dispensed Ink Rates'!C:C,'Dispensed Ink Rates'!CS:CS),VLOOKUP(IK389,'Jan-2026 rates'!$E:$F,2,0)))</f>
        <v>0</v>
      </c>
      <c r="IZ389" s="409"/>
      <c r="JA389" s="398">
        <f>IF(IZ389=0,0,IF(LEN(IL389)=11,_xlfn.XLOOKUP(IL389,'Dispensed Ink Rates'!C:C,'Dispensed Ink Rates'!CS:CS),VLOOKUP(IL389,'Jan-2026 rates'!$E:$F,2,0)))</f>
        <v>0</v>
      </c>
      <c r="JB389" s="409"/>
      <c r="JC389" s="398">
        <f>IF(JB389=0,0,IF(LEN(IM389)=11,_xlfn.XLOOKUP(IM389,'Dispensed Ink Rates'!C:C,'Dispensed Ink Rates'!CS:CS),VLOOKUP(IM389,'Jan-2026 rates'!$E:$F,2,0)))</f>
        <v>0</v>
      </c>
      <c r="JD389" s="409" t="s">
        <v>1443</v>
      </c>
      <c r="JE389" s="409">
        <v>28</v>
      </c>
      <c r="JF389" s="411">
        <f t="shared" si="230"/>
        <v>0</v>
      </c>
      <c r="JG389" s="411">
        <f t="shared" si="231"/>
        <v>27.519999999999996</v>
      </c>
      <c r="JH389" s="410">
        <f t="shared" si="232"/>
        <v>0</v>
      </c>
      <c r="JI389" s="405" t="s">
        <v>856</v>
      </c>
      <c r="JJ389" s="409" t="s">
        <v>4948</v>
      </c>
      <c r="JK389" s="420" t="str">
        <f t="shared" si="190"/>
        <v>FLINTSL - WHITE</v>
      </c>
      <c r="JL389" s="409">
        <v>25</v>
      </c>
      <c r="JM389" s="411">
        <f>IF(JL389=0,0,IF($LB389=70%,VLOOKUP($JK389,'Jan-2026 rates'!$L:$R,4,0),IF($LB389=65%,VLOOKUP($JK389,'Jan-2026 rates'!$L:$R,4,0),IF($LB389=40%,VLOOKUP($JK389,'Jan-2026 rates'!$L:$R,5,0),IF($LB389=30%,VLOOKUP($JK389,'Jan-2026 rates'!$L:$R,6,0),IF($LB389=100%,VLOOKUP($JK389,'Jan-2026 rates'!$L:$R,7,0),IF($LB389=60%,VLOOKUP($JK389,'Jan-2026 rates'!$L:$S,8,0),IF($LB389=80%,VLOOKUP($JK389,'Jan-2026 rates'!L:T,9,0),0))))))))</f>
        <v>0</v>
      </c>
      <c r="JN389" s="412"/>
      <c r="JO389" s="409"/>
      <c r="JP389" s="411">
        <f>IF(JO389=0,0,IF($LB389=70%,VLOOKUP($JK389,'Jan-2026 rates'!$L:$R,4,0),IF($LB389=65%,VLOOKUP($JK389,'Jan-2026 rates'!$L:$R,4,0),IF($LB389=40%,VLOOKUP($JK389,'Jan-2026 rates'!$L:$R,5,0),IF($LB389=30%,VLOOKUP($JK389,'Jan-2026 rates'!$L:$R,6,0),IF($LB389=100%,VLOOKUP($JK389,'Jan-2026 rates'!$L:$R,7,0),IF($LB389=60%,VLOOKUP($JK389,'Jan-2026 rates'!$L:$S,8,0),IF($LB389=80%,VLOOKUP($JK389,'Jan-2026 rates'!L:T,9,0),0))))))))</f>
        <v>0</v>
      </c>
      <c r="JQ389" s="413" t="s">
        <v>484</v>
      </c>
      <c r="JR389" s="412"/>
      <c r="JS389" s="413"/>
      <c r="JT389" s="413"/>
      <c r="JU389" s="412"/>
      <c r="JV389" s="412"/>
      <c r="JW389" s="412"/>
      <c r="JX389" s="412"/>
      <c r="JY389" s="409">
        <f>25+25+50</f>
        <v>100</v>
      </c>
      <c r="JZ389" s="398">
        <f>IF(JY389=0,0,IF(LEN(JQ389)=11,_xlfn.XLOOKUP(JQ389,'Dispensed Ink Rates'!C:C,'Dispensed Ink Rates'!CS:CS),VLOOKUP(JQ389,'Jan-2026 rates'!$E:$F,2,0)))</f>
        <v>0</v>
      </c>
      <c r="KA389" s="409"/>
      <c r="KB389" s="398">
        <f>IF(KA389=0,0,IF(LEN(JR389)=11,_xlfn.XLOOKUP(JR389,'Dispensed Ink Rates'!C:C,'Dispensed Ink Rates'!CS:CS),VLOOKUP(JR389,'Jan-2026 rates'!$E:$F,2,0)))</f>
        <v>0</v>
      </c>
      <c r="KC389" s="409"/>
      <c r="KD389" s="398">
        <f>IF(KC389=0,0,IF(LEN(JS389)=11,_xlfn.XLOOKUP(JS389,'Dispensed Ink Rates'!C:C,'Dispensed Ink Rates'!CS:CS),VLOOKUP(JS389,'Jan-2026 rates'!$E:$F,2,0)))</f>
        <v>0</v>
      </c>
      <c r="KE389" s="409"/>
      <c r="KF389" s="398">
        <f>IF(KE389=0,0,IF(LEN(JT389)=11,_xlfn.XLOOKUP(JT389,'Dispensed Ink Rates'!C:C,'Dispensed Ink Rates'!CS:CS),VLOOKUP(JT389,'Jan-2026 rates'!$E:$F,2,0)))</f>
        <v>0</v>
      </c>
      <c r="KG389" s="409"/>
      <c r="KH389" s="398">
        <f>IF(KG389=0,0,IF(LEN(JU389)=11,_xlfn.XLOOKUP(JU389,'Dispensed Ink Rates'!C:C,'Dispensed Ink Rates'!CS:CS),VLOOKUP(JU389,'Jan-2026 rates'!$E:$F,2,0)))</f>
        <v>0</v>
      </c>
      <c r="KI389" s="409"/>
      <c r="KJ389" s="398">
        <f>IF(KI389=0,0,IF(LEN(JV389)=11,_xlfn.XLOOKUP(JV389,'Dispensed Ink Rates'!C:C,'Dispensed Ink Rates'!CS:CS),VLOOKUP(JV389,'Jan-2026 rates'!$E:$F,2,0)))</f>
        <v>0</v>
      </c>
      <c r="KK389" s="409"/>
      <c r="KL389" s="398">
        <f>IF(KK389=0,0,IF(LEN(JW389)=11,_xlfn.XLOOKUP(JW389,'Dispensed Ink Rates'!C:C,'Dispensed Ink Rates'!CS:CS),VLOOKUP(JW389,'Jan-2026 rates'!$E:$F,2,0)))</f>
        <v>0</v>
      </c>
      <c r="KM389" s="428"/>
      <c r="KN389" s="398">
        <f>IF(KM389=0,0,IF(LEN(JX389)=11,_xlfn.XLOOKUP(JX389,'Dispensed Ink Rates'!C:C,'Dispensed Ink Rates'!CS:CS),VLOOKUP(JX389,'Jan-2026 rates'!$E:$F,2,0)))</f>
        <v>0</v>
      </c>
      <c r="KO389" s="409" t="s">
        <v>1443</v>
      </c>
      <c r="KP389" s="409">
        <v>30</v>
      </c>
      <c r="KQ389" s="411">
        <f t="shared" si="233"/>
        <v>0</v>
      </c>
      <c r="KR389" s="411">
        <f t="shared" si="234"/>
        <v>256.28000000000003</v>
      </c>
      <c r="KS389" s="410">
        <f t="shared" si="235"/>
        <v>0</v>
      </c>
      <c r="KT389" s="409">
        <v>5</v>
      </c>
      <c r="KU389" s="409">
        <v>5</v>
      </c>
      <c r="KV389" s="409">
        <v>5</v>
      </c>
      <c r="KW389" s="409">
        <f>15+10</f>
        <v>25</v>
      </c>
      <c r="KX389" s="409">
        <v>5</v>
      </c>
      <c r="KY389" s="409">
        <v>5</v>
      </c>
      <c r="KZ389" s="409">
        <v>5</v>
      </c>
      <c r="LA389" s="409">
        <f>15+25+30</f>
        <v>70</v>
      </c>
      <c r="LB389" s="415">
        <v>0.8</v>
      </c>
      <c r="LC389" s="415">
        <v>0.2</v>
      </c>
      <c r="LD389" s="424"/>
      <c r="LE389" s="415"/>
      <c r="LF389" s="415"/>
      <c r="LG389" s="409">
        <v>0</v>
      </c>
      <c r="LH389" s="409">
        <f>70+68+120+30</f>
        <v>288</v>
      </c>
      <c r="LI389" s="409">
        <v>0</v>
      </c>
      <c r="LJ389" s="409">
        <v>0</v>
      </c>
      <c r="LK389" s="416">
        <f t="shared" si="191"/>
        <v>288</v>
      </c>
      <c r="LL389" s="416">
        <f t="shared" si="349"/>
        <v>288</v>
      </c>
      <c r="LM389" s="417">
        <f t="shared" si="193"/>
        <v>230.4</v>
      </c>
      <c r="LN389" s="417">
        <f>VLOOKUP($LM$8,'Jan-2026 rates'!$H:$I,2,0)</f>
        <v>0</v>
      </c>
      <c r="LO389" s="417">
        <f t="shared" si="194"/>
        <v>57.6</v>
      </c>
      <c r="LP389" s="417">
        <f>VLOOKUP($LO$8,'Jan-2026 rates'!$H:$I,2,0)</f>
        <v>0</v>
      </c>
      <c r="LQ389" s="417">
        <f t="shared" si="195"/>
        <v>0</v>
      </c>
      <c r="LR389" s="417">
        <f>VLOOKUP($LQ$8,'Jan-2026 rates'!$H:$I,2,0)</f>
        <v>0</v>
      </c>
      <c r="LS389" s="417">
        <f t="shared" si="196"/>
        <v>0</v>
      </c>
      <c r="LT389" s="417">
        <f>VLOOKUP($LS$8,'Jan-2026 rates'!$H:$I,2,0)</f>
        <v>0</v>
      </c>
      <c r="LU389" s="417">
        <f t="shared" si="197"/>
        <v>0</v>
      </c>
      <c r="LV389" s="417">
        <f>VLOOKUP($LU$8,'Jan-2026 rates'!$H:$I,2,0)</f>
        <v>0</v>
      </c>
      <c r="LW389" s="417">
        <f t="shared" si="198"/>
        <v>0</v>
      </c>
      <c r="LX389" s="417">
        <f t="shared" si="199"/>
        <v>0</v>
      </c>
      <c r="LY389" s="418">
        <f t="shared" si="200"/>
        <v>0</v>
      </c>
      <c r="LZ389" s="417"/>
      <c r="MA389" s="435">
        <f t="shared" si="201"/>
        <v>253.3</v>
      </c>
      <c r="MB389" s="282">
        <f t="shared" si="202"/>
        <v>524.29999999999995</v>
      </c>
      <c r="MC389" s="283">
        <v>230</v>
      </c>
      <c r="MD389" s="284" t="str">
        <f t="shared" si="203"/>
        <v>FLINTSLFLINTSLFLINTSLFLINTSLFLINTSLFLINTSLFLINTSLFLINTSL</v>
      </c>
      <c r="ME389" s="293" t="str">
        <f t="shared" si="204"/>
        <v>+</v>
      </c>
      <c r="MF389" s="293" t="str">
        <f t="shared" si="205"/>
        <v>+</v>
      </c>
      <c r="MG389" s="293" t="str">
        <f t="shared" si="206"/>
        <v>+</v>
      </c>
      <c r="MH389" s="293" t="str">
        <f t="shared" si="207"/>
        <v>+</v>
      </c>
      <c r="MI389" s="293" t="str">
        <f t="shared" si="208"/>
        <v>+</v>
      </c>
      <c r="MJ389" s="293" t="str">
        <f t="shared" si="209"/>
        <v>+</v>
      </c>
      <c r="MK389" s="293" t="str">
        <f t="shared" si="210"/>
        <v>+</v>
      </c>
      <c r="ML389" s="293" t="str">
        <f t="shared" si="211"/>
        <v>+</v>
      </c>
      <c r="MM389" s="3" t="b">
        <f t="array" ref="MM389">OR(ME389:ML389="-")</f>
        <v>0</v>
      </c>
      <c r="MO389" s="401">
        <f t="shared" si="350"/>
        <v>54.557752341311129</v>
      </c>
      <c r="MP389" s="286"/>
      <c r="MR389" s="402">
        <f t="shared" si="351"/>
        <v>1.0005725190839693E-2</v>
      </c>
      <c r="MS389" s="400">
        <f t="shared" si="352"/>
        <v>0</v>
      </c>
      <c r="MT389" s="285"/>
      <c r="NH389" s="361"/>
      <c r="NJ389" s="282"/>
    </row>
    <row r="390" spans="1:374" ht="16.5">
      <c r="A390" s="403">
        <v>46052</v>
      </c>
      <c r="B390" s="404" t="s">
        <v>1015</v>
      </c>
      <c r="C390" s="405" t="s">
        <v>4949</v>
      </c>
      <c r="D390" s="404">
        <v>231</v>
      </c>
      <c r="E390" s="404">
        <v>998</v>
      </c>
      <c r="F390" s="407">
        <v>47000</v>
      </c>
      <c r="G390" s="407" t="s">
        <v>1016</v>
      </c>
      <c r="H390" s="408" t="s">
        <v>1017</v>
      </c>
      <c r="I390" s="409">
        <v>1.85</v>
      </c>
      <c r="J390" s="405" t="s">
        <v>543</v>
      </c>
      <c r="K390" s="404" t="s">
        <v>4935</v>
      </c>
      <c r="L390" s="419" t="str">
        <f t="shared" si="184"/>
        <v>FLINTSL - BLACK</v>
      </c>
      <c r="M390" s="404">
        <v>26</v>
      </c>
      <c r="N390" s="410">
        <f>IF(M390=0,0,IF($LB390=70%,VLOOKUP($L390,'Jan-2026 rates'!$L:$R,4,0),IF($LB390=65%,VLOOKUP($L390,'Jan-2026 rates'!$L:$R,4,0),IF($LB390=40%,VLOOKUP($L390,'Jan-2026 rates'!$L:$R,5,0),IF($LB390=30%,VLOOKUP($L390,'Jan-2026 rates'!$L:$R,6,0),IF($LB390=100%,VLOOKUP($L390,'Jan-2026 rates'!$L:$R,7,0),IF($LB390=60%,VLOOKUP($L390,'Jan-2026 rates'!$L:$S,8,0),IF($LB390=80%,VLOOKUP($L390,'Jan-2026 rates'!L:T,9,0),0))))))))</f>
        <v>0</v>
      </c>
      <c r="O390" s="406"/>
      <c r="P390" s="404"/>
      <c r="Q390" s="410">
        <f>IF(P390=0,0,IF($LB390=70%,VLOOKUP($L390,'Jan-2026 rates'!$L:$R,4,0),IF($LB390=65%,VLOOKUP($L390,'Jan-2026 rates'!$L:$R,4,0),IF($LB390=40%,VLOOKUP($L390,'Jan-2026 rates'!$L:$R,5,0),IF($LB390=30%,VLOOKUP($L390,'Jan-2026 rates'!$L:$R,6,0),IF($LB390=100%,VLOOKUP($L390,'Jan-2026 rates'!$L:$R,7,0),IF($LB390=60%,VLOOKUP($L390,'Jan-2026 rates'!$L:$S,8,0),IF($LB390=80%,VLOOKUP($L390,'Jan-2026 rates'!L:T,9,0),0))))))))</f>
        <v>0</v>
      </c>
      <c r="R390" s="406" t="s">
        <v>1264</v>
      </c>
      <c r="S390" s="406"/>
      <c r="T390" s="406"/>
      <c r="U390" s="406"/>
      <c r="V390" s="406"/>
      <c r="W390" s="406"/>
      <c r="X390" s="406"/>
      <c r="Y390" s="406"/>
      <c r="Z390" s="404">
        <v>5</v>
      </c>
      <c r="AA390" s="398">
        <f>IF(Z390=0,0,IF(LEN(R390)=11,_xlfn.XLOOKUP(R390,'Dispensed Ink Rates'!C:C,'Dispensed Ink Rates'!CS:CS),VLOOKUP(R390,'Jan-2026 rates'!$E:$F,2,0)))</f>
        <v>0</v>
      </c>
      <c r="AB390" s="404"/>
      <c r="AC390" s="398">
        <f>IF(AB390=0,0,IF(LEN(S390)=11,_xlfn.XLOOKUP(S390,'Dispensed Ink Rates'!C:C,'Dispensed Ink Rates'!CS:CS),VLOOKUP(S390,'Jan-2026 rates'!$E:$F,2,0)))</f>
        <v>0</v>
      </c>
      <c r="AD390" s="404"/>
      <c r="AE390" s="398">
        <f>IF(AD390=0,0,IF(LEN(T390)=11,_xlfn.XLOOKUP(T390,'Dispensed Ink Rates'!C:C,'Dispensed Ink Rates'!CS:CS),VLOOKUP(T390,'Jan-2026 rates'!$E:$F,2,0)))</f>
        <v>0</v>
      </c>
      <c r="AF390" s="404"/>
      <c r="AG390" s="398">
        <f>IF(AF390=0,0,IF(LEN(U390)=11,_xlfn.XLOOKUP(U390,'Dispensed Ink Rates'!C:C,'Dispensed Ink Rates'!CS:CS),VLOOKUP(U390,'Jan-2026 rates'!$E:$F,2,0)))</f>
        <v>0</v>
      </c>
      <c r="AH390" s="404"/>
      <c r="AI390" s="398">
        <f>IF(AH390=0,0,IF(LEN(V390)=11,_xlfn.XLOOKUP(V390,'Dispensed Ink Rates'!C:C,'Dispensed Ink Rates'!CS:CS),VLOOKUP(V390,'Jan-2026 rates'!$E:$F,2,0)))</f>
        <v>0</v>
      </c>
      <c r="AJ390" s="404"/>
      <c r="AK390" s="398">
        <f>IF(AJ390=0,0,IF(LEN(W390)=11,_xlfn.XLOOKUP(W390,'Dispensed Ink Rates'!C:C,'Dispensed Ink Rates'!CS:CS),VLOOKUP(W390,'Jan-2026 rates'!$E:$F,2,0)))</f>
        <v>0</v>
      </c>
      <c r="AL390" s="404"/>
      <c r="AM390" s="398">
        <f>IF(AL390=0,0,IF(LEN(X390)=11,_xlfn.XLOOKUP(X390,'Dispensed Ink Rates'!C:C,'Dispensed Ink Rates'!CS:CS),VLOOKUP(X390,'Jan-2026 rates'!$E:$F,2,0)))</f>
        <v>0</v>
      </c>
      <c r="AN390" s="404"/>
      <c r="AO390" s="398">
        <f>IF(AN390=0,0,IF(LEN(Y390)=11,_xlfn.XLOOKUP(Y390,'Dispensed Ink Rates'!C:C,'Dispensed Ink Rates'!CS:CS),VLOOKUP(Y390,'Jan-2026 rates'!$E:$F,2,0)))</f>
        <v>0</v>
      </c>
      <c r="AP390" s="409" t="s">
        <v>1443</v>
      </c>
      <c r="AQ390" s="409">
        <v>25</v>
      </c>
      <c r="AR390" s="410">
        <f t="shared" si="212"/>
        <v>0</v>
      </c>
      <c r="AS390" s="411">
        <f t="shared" si="213"/>
        <v>13.666666666666664</v>
      </c>
      <c r="AT390" s="410">
        <f t="shared" si="214"/>
        <v>0</v>
      </c>
      <c r="AU390" s="405" t="s">
        <v>857</v>
      </c>
      <c r="AV390" s="409" t="s">
        <v>4950</v>
      </c>
      <c r="AW390" s="420" t="str">
        <f t="shared" si="348"/>
        <v>FLINTSL - RED</v>
      </c>
      <c r="AX390" s="409">
        <v>28</v>
      </c>
      <c r="AY390" s="411">
        <f>IF(AX390=0,0,IF($LB390=70%,VLOOKUP($AW390,'Jan-2026 rates'!$L:$R,4,0),IF($LB390=65%,VLOOKUP($AW390,'Jan-2026 rates'!$L:$R,4,0),IF($LB390=40%,VLOOKUP($AW390,'Jan-2026 rates'!$L:$R,5,0),IF($LB390=30%,VLOOKUP($AW390,'Jan-2026 rates'!$L:$R,6,0),IF($LB390=100%,VLOOKUP($AW390,'Jan-2026 rates'!$L:$R,7,0),IF($LB390=60%,VLOOKUP($AW390,'Jan-2026 rates'!$L:$S,8,0),IF($LB390=80%,VLOOKUP($AW390,'Jan-2026 rates'!L:T,9,0),0))))))))</f>
        <v>0</v>
      </c>
      <c r="AZ390" s="412"/>
      <c r="BA390" s="409"/>
      <c r="BB390" s="411">
        <f>IF(BA390=0,0,IF($LB390=70%,VLOOKUP($AW390,'Jan-2026 rates'!$L:$R,4,0),IF($LB390=65%,VLOOKUP($AW390,'Jan-2026 rates'!$L:$R,4,0),IF($LB390=40%,VLOOKUP($AW390,'Jan-2026 rates'!$L:$R,5,0),IF($LB390=30%,VLOOKUP($AW390,'Jan-2026 rates'!$L:$R,6,0),IF($LB390=100%,VLOOKUP($AW390,'Jan-2026 rates'!$L:$R,7,0),IF($LB390=60%,VLOOKUP($AW390,'Jan-2026 rates'!$L:$S,8,0),IF($LB390=80%,VLOOKUP($AW390,'Jan-2026 rates'!L:T,9,0),0))))))))</f>
        <v>0</v>
      </c>
      <c r="BC390" s="413"/>
      <c r="BD390" s="412"/>
      <c r="BE390" s="412"/>
      <c r="BF390" s="413"/>
      <c r="BG390" s="412"/>
      <c r="BH390" s="412"/>
      <c r="BI390" s="412"/>
      <c r="BJ390" s="412"/>
      <c r="BK390" s="409"/>
      <c r="BL390" s="398">
        <f>IF(BK390=0,0,IF(LEN(BC390)=11,_xlfn.XLOOKUP(BC390,'Dispensed Ink Rates'!C:C,'Dispensed Ink Rates'!CS:CS),VLOOKUP(BC390,'Jan-2026 rates'!$E:$F,2,0)))</f>
        <v>0</v>
      </c>
      <c r="BM390" s="409"/>
      <c r="BN390" s="398">
        <f>IF(BM390=0,0,IF(LEN(BD390)=11,_xlfn.XLOOKUP(BD390,'Dispensed Ink Rates'!C:C,'Dispensed Ink Rates'!CS:CS),VLOOKUP(BD390,'Jan-2026 rates'!$E:$F,2,0)))</f>
        <v>0</v>
      </c>
      <c r="BO390" s="409"/>
      <c r="BP390" s="398">
        <f>IF(BO390=0,0,IF(LEN(BE390)=11,_xlfn.XLOOKUP(BE390,'Dispensed Ink Rates'!C:C,'Dispensed Ink Rates'!CS:CS),VLOOKUP(BE390,'Jan-2026 rates'!$E:$F,2,0)))</f>
        <v>0</v>
      </c>
      <c r="BQ390" s="409"/>
      <c r="BR390" s="398">
        <f>IF(BQ390=0,0,IF(LEN(BF390)=11,_xlfn.XLOOKUP(BF390,'Dispensed Ink Rates'!C:C,'Dispensed Ink Rates'!CS:CS),VLOOKUP(BF390,'Jan-2026 rates'!$E:$F,2,0)))</f>
        <v>0</v>
      </c>
      <c r="BS390" s="409"/>
      <c r="BT390" s="398">
        <f>IF(BS390=0,0,IF(LEN(BG390)=11,_xlfn.XLOOKUP(BG390,'Dispensed Ink Rates'!C:C,'Dispensed Ink Rates'!CS:CS),VLOOKUP(BG390,'Jan-2026 rates'!$E:$F,2,0)))</f>
        <v>0</v>
      </c>
      <c r="BU390" s="409"/>
      <c r="BV390" s="398">
        <f>IF(BU390=0,0,IF(LEN(BH390)=11,_xlfn.XLOOKUP(BH390,'Dispensed Ink Rates'!C:C,'Dispensed Ink Rates'!CS:CS),VLOOKUP(BH390,'Jan-2026 rates'!$E:$F,2,0)))</f>
        <v>0</v>
      </c>
      <c r="BW390" s="409"/>
      <c r="BX390" s="398">
        <f>IF(BW390=0,0,IF(LEN(BI390)=11,_xlfn.XLOOKUP(BI390,'Dispensed Ink Rates'!C:C,'Dispensed Ink Rates'!CS:CS),VLOOKUP(BI390,'Jan-2026 rates'!$E:$F,2,0)))</f>
        <v>0</v>
      </c>
      <c r="BY390" s="409"/>
      <c r="BZ390" s="398">
        <f>IF(BY390=0,0,IF(LEN(BJ390)=11,_xlfn.XLOOKUP(BJ390,'Dispensed Ink Rates'!C:C,'Dispensed Ink Rates'!CS:CS),VLOOKUP(BJ390,'Jan-2026 rates'!$E:$F,2,0)))</f>
        <v>0</v>
      </c>
      <c r="CA390" s="409" t="s">
        <v>1443</v>
      </c>
      <c r="CB390" s="409">
        <v>16</v>
      </c>
      <c r="CC390" s="411">
        <f t="shared" si="215"/>
        <v>0</v>
      </c>
      <c r="CD390" s="411">
        <f t="shared" si="216"/>
        <v>17.111111111111114</v>
      </c>
      <c r="CE390" s="410">
        <f t="shared" si="217"/>
        <v>0</v>
      </c>
      <c r="CF390" s="404" t="s">
        <v>857</v>
      </c>
      <c r="CG390" s="409"/>
      <c r="CH390" s="420" t="str">
        <f t="shared" si="185"/>
        <v>FLINTSL - RED</v>
      </c>
      <c r="CI390" s="409"/>
      <c r="CJ390" s="411">
        <f>IF(CI390=0,0,IF($LB390=70%,VLOOKUP($CH390,'Jan-2026 rates'!$L:$R,4,0),IF($LB390=65%,VLOOKUP($CH390,'Jan-2026 rates'!$L:$R,4,0),IF($LB390=40%,VLOOKUP($CH390,'Jan-2026 rates'!$L:$R,5,0),IF($LB390=30%,VLOOKUP($CH390,'Jan-2026 rates'!$L:$R,6,0),IF($LB390=100%,VLOOKUP($CH390,'Jan-2026 rates'!$L:$R,7,0),IF($LB390=60%,VLOOKUP($CH390,'Jan-2026 rates'!$L:$S,8,0),IF($LB390=80%,VLOOKUP($CH390,'Jan-2026 rates'!L:T,9,0),0))))))))</f>
        <v>0</v>
      </c>
      <c r="CK390" s="412"/>
      <c r="CL390" s="409"/>
      <c r="CM390" s="411">
        <f>IF(CL390=0,0,IF($LB390=70%,VLOOKUP($CH390,'Jan-2026 rates'!$L:$R,4,0),IF($LB390=65%,VLOOKUP($CH390,'Jan-2026 rates'!$L:$R,4,0),IF($LB390=40%,VLOOKUP($CH390,'Jan-2026 rates'!$L:$R,5,0),IF($LB390=30%,VLOOKUP($CH390,'Jan-2026 rates'!$L:$R,6,0),IF($LB390=100%,VLOOKUP($CH390,'Jan-2026 rates'!$L:$R,7,0),IF($LB390=60%,VLOOKUP($CH390,'Jan-2026 rates'!$L:$S,8,0),IF($LB390=80%,VLOOKUP($CH390,'Jan-2026 rates'!L:T,9,0),0))))))))</f>
        <v>0</v>
      </c>
      <c r="CN390" s="426">
        <v>26531000012</v>
      </c>
      <c r="CO390" s="427">
        <v>26531000023</v>
      </c>
      <c r="CP390" s="426"/>
      <c r="CQ390" s="426"/>
      <c r="CR390" s="428"/>
      <c r="CS390" s="428"/>
      <c r="CT390" s="428"/>
      <c r="CU390" s="428"/>
      <c r="CV390" s="409">
        <f>40+10</f>
        <v>50</v>
      </c>
      <c r="CW390" s="398" t="e">
        <f>IF(CV390=0,0,IF(LEN(CN390)=11,_xlfn.XLOOKUP(CN390,'Dispensed Ink Rates'!C:C,'Dispensed Ink Rates'!CS:CS),VLOOKUP(CN390,'Jan-2026 rates'!$E:$F,2,0)))</f>
        <v>#N/A</v>
      </c>
      <c r="CX390" s="409">
        <v>20</v>
      </c>
      <c r="CY390" s="398" t="e">
        <f>IF(CX390=0,0,IF(LEN(CO390)=11,_xlfn.XLOOKUP(CO390,'Dispensed Ink Rates'!C:C,'Dispensed Ink Rates'!CS:CS),VLOOKUP(CO390,'Jan-2026 rates'!$E:$F,2,0)))</f>
        <v>#N/A</v>
      </c>
      <c r="CZ390" s="409"/>
      <c r="DA390" s="398">
        <f>IF(CZ390=0,0,IF(LEN(CP390)=11,_xlfn.XLOOKUP(CP390,'Dispensed Ink Rates'!C:C,'Dispensed Ink Rates'!CS:CS),VLOOKUP(CP390,'Jan-2026 rates'!$E:$F,2,0)))</f>
        <v>0</v>
      </c>
      <c r="DB390" s="409"/>
      <c r="DC390" s="398">
        <f>IF(DB390=0,0,IF(LEN(CQ390)=11,_xlfn.XLOOKUP(CQ390,'Dispensed Ink Rates'!C:C,'Dispensed Ink Rates'!CS:CS),VLOOKUP(CQ390,'Jan-2026 rates'!$E:$F,2,0)))</f>
        <v>0</v>
      </c>
      <c r="DD390" s="409"/>
      <c r="DE390" s="398">
        <f>IF(DD390=0,0,IF(LEN(CR390)=11,_xlfn.XLOOKUP(CR390,'Dispensed Ink Rates'!C:C,'Dispensed Ink Rates'!CS:CS),VLOOKUP(CR390,'Jan-2026 rates'!$E:$F,2,0)))</f>
        <v>0</v>
      </c>
      <c r="DF390" s="409"/>
      <c r="DG390" s="398">
        <f>IF(DF390=0,0,IF(LEN(CS390)=11,_xlfn.XLOOKUP(CS390,'Dispensed Ink Rates'!C:C,'Dispensed Ink Rates'!CS:CS),VLOOKUP(CS390,'Jan-2026 rates'!$E:$F,2,0)))</f>
        <v>0</v>
      </c>
      <c r="DH390" s="409"/>
      <c r="DI390" s="398">
        <f>IF(DH390=0,0,IF(LEN(CT390)=11,_xlfn.XLOOKUP(CT390,'Dispensed Ink Rates'!C:C,'Dispensed Ink Rates'!CS:CS),VLOOKUP(CT390,'Jan-2026 rates'!$E:$F,2,0)))</f>
        <v>0</v>
      </c>
      <c r="DJ390" s="409"/>
      <c r="DK390" s="398">
        <f>IF(DJ390=0,0,IF(LEN(CU390)=11,_xlfn.XLOOKUP(CU390,'Dispensed Ink Rates'!C:C,'Dispensed Ink Rates'!CS:CS),VLOOKUP(CU390,'Jan-2026 rates'!$E:$F,2,0)))</f>
        <v>0</v>
      </c>
      <c r="DL390" s="409" t="s">
        <v>1443</v>
      </c>
      <c r="DM390" s="409">
        <v>24</v>
      </c>
      <c r="DN390" s="411">
        <f t="shared" si="218"/>
        <v>0</v>
      </c>
      <c r="DO390" s="411">
        <f t="shared" si="219"/>
        <v>46</v>
      </c>
      <c r="DP390" s="410">
        <f t="shared" si="220"/>
        <v>0</v>
      </c>
      <c r="DQ390" s="405" t="s">
        <v>829</v>
      </c>
      <c r="DR390" s="409" t="s">
        <v>4951</v>
      </c>
      <c r="DS390" s="420" t="str">
        <f t="shared" si="186"/>
        <v>FLINTSL - MEDIUM</v>
      </c>
      <c r="DT390" s="409">
        <v>30</v>
      </c>
      <c r="DU390" s="411">
        <f>IF(DT390=0,0,IF($LB390=70%,VLOOKUP($DS390,'Jan-2026 rates'!$L:$R,4,0),IF($LB390=65%,VLOOKUP($DS390,'Jan-2026 rates'!$L:$R,4,0),IF($LB390=40%,VLOOKUP($DS390,'Jan-2026 rates'!$L:$R,5,0),IF($LB390=30%,VLOOKUP($DS390,'Jan-2026 rates'!$L:$R,6,0),IF($LB390=100%,VLOOKUP($DS390,'Jan-2026 rates'!$L:$R,7,0),IF($LB390=60%,VLOOKUP($DS390,'Jan-2026 rates'!$L:$S,8,0),IF($LB390=80%,VLOOKUP($DS390,'Jan-2026 rates'!L:T,9,0),0))))))))</f>
        <v>0</v>
      </c>
      <c r="DV390" s="412"/>
      <c r="DW390" s="409"/>
      <c r="DX390" s="411">
        <f>IF(DW390=0,0,IF($LB390=70%,VLOOKUP($DS390,'Jan-2026 rates'!$L:$R,4,0),IF($LB390=65%,VLOOKUP($DS390,'Jan-2026 rates'!$L:$R,4,0),IF($LB390=40%,VLOOKUP($DS390,'Jan-2026 rates'!$L:$R,5,0),IF($LB390=30%,VLOOKUP($DS390,'Jan-2026 rates'!$L:$R,6,0),IF($LB390=100%,VLOOKUP($DS390,'Jan-2026 rates'!$L:$R,7,0),IF($LB390=60%,VLOOKUP($DS390,'Jan-2026 rates'!$L:$S,8,0),IF($LB390=80%,VLOOKUP($DS390,'Jan-2026 rates'!L:T,9,0),0))))))))</f>
        <v>0</v>
      </c>
      <c r="DY390" s="413">
        <v>26530000024</v>
      </c>
      <c r="DZ390" s="413">
        <v>26531000016</v>
      </c>
      <c r="EA390" s="412">
        <v>26531000024</v>
      </c>
      <c r="EB390" s="412"/>
      <c r="EC390" s="412"/>
      <c r="ED390" s="412"/>
      <c r="EE390" s="412"/>
      <c r="EF390" s="412"/>
      <c r="EG390" s="409">
        <v>3.6</v>
      </c>
      <c r="EH390" s="398" t="e">
        <f>IF(EG390=0,0,IF(LEN(DY390)=11,_xlfn.XLOOKUP(DY390,'Dispensed Ink Rates'!C:C,'Dispensed Ink Rates'!CS:CS),VLOOKUP(DY390,'Jan-2026 rates'!$E:$F,2,0)))</f>
        <v>#N/A</v>
      </c>
      <c r="EI390" s="409">
        <v>40</v>
      </c>
      <c r="EJ390" s="398" t="e">
        <f>IF(EI390=0,0,IF(LEN(DZ390)=11,_xlfn.XLOOKUP(DZ390,'Dispensed Ink Rates'!C:C,'Dispensed Ink Rates'!CS:CS),VLOOKUP(DZ390,'Jan-2026 rates'!$E:$F,2,0)))</f>
        <v>#N/A</v>
      </c>
      <c r="EK390" s="409">
        <v>20</v>
      </c>
      <c r="EL390" s="398" t="e">
        <f>IF(EK390=0,0,IF(LEN(EA390)=11,_xlfn.XLOOKUP(EA390,'Dispensed Ink Rates'!C:C,'Dispensed Ink Rates'!CS:CS),VLOOKUP(EA390,'Jan-2026 rates'!$E:$F,2,0)))</f>
        <v>#N/A</v>
      </c>
      <c r="EM390" s="409"/>
      <c r="EN390" s="398">
        <f>IF(EM390=0,0,IF(LEN(EB390)=11,_xlfn.XLOOKUP(EB390,'Dispensed Ink Rates'!C:C,'Dispensed Ink Rates'!CS:CS),VLOOKUP(EB390,'Jan-2026 rates'!$E:$F,2,0)))</f>
        <v>0</v>
      </c>
      <c r="EO390" s="409"/>
      <c r="EP390" s="398">
        <f>IF(EO390=0,0,IF(LEN(EC390)=11,_xlfn.XLOOKUP(EC390,'Dispensed Ink Rates'!C:C,'Dispensed Ink Rates'!CS:CS),VLOOKUP(EC390,'Jan-2026 rates'!$E:$F,2,0)))</f>
        <v>0</v>
      </c>
      <c r="EQ390" s="409"/>
      <c r="ER390" s="398">
        <f>IF(EQ390=0,0,IF(LEN(ED390)=11,_xlfn.XLOOKUP(ED390,'Dispensed Ink Rates'!C:C,'Dispensed Ink Rates'!CS:CS),VLOOKUP(ED390,'Jan-2026 rates'!$E:$F,2,0)))</f>
        <v>0</v>
      </c>
      <c r="ES390" s="409"/>
      <c r="ET390" s="398">
        <f>IF(ES390=0,0,IF(LEN(EE390)=11,_xlfn.XLOOKUP(EE390,'Dispensed Ink Rates'!C:C,'Dispensed Ink Rates'!CS:CS),VLOOKUP(EE390,'Jan-2026 rates'!$E:$F,2,0)))</f>
        <v>0</v>
      </c>
      <c r="EU390" s="409"/>
      <c r="EV390" s="398">
        <f>IF(EU390=0,0,IF(LEN(EF390)=11,_xlfn.XLOOKUP(EF390,'Dispensed Ink Rates'!C:C,'Dispensed Ink Rates'!CS:CS),VLOOKUP(EF390,'Jan-2026 rates'!$E:$F,2,0)))</f>
        <v>0</v>
      </c>
      <c r="EW390" s="409" t="s">
        <v>1443</v>
      </c>
      <c r="EX390" s="409">
        <v>33</v>
      </c>
      <c r="EY390" s="411">
        <f t="shared" si="221"/>
        <v>0</v>
      </c>
      <c r="EZ390" s="411">
        <f t="shared" si="222"/>
        <v>60.599999999999994</v>
      </c>
      <c r="FA390" s="410">
        <f t="shared" si="223"/>
        <v>0</v>
      </c>
      <c r="FB390" s="405" t="s">
        <v>855</v>
      </c>
      <c r="FC390" s="409" t="s">
        <v>4952</v>
      </c>
      <c r="FD390" s="420" t="str">
        <f t="shared" si="187"/>
        <v>FLINTSL - CYAN</v>
      </c>
      <c r="FE390" s="409">
        <v>26</v>
      </c>
      <c r="FF390" s="411">
        <f>IF(FE390=0,0,IF($LB390=70%,VLOOKUP($FD390,'Jan-2026 rates'!$L:$R,4,0),IF($LB390=65%,VLOOKUP($FD390,'Jan-2026 rates'!$L:$R,4,0),IF($LB390=40%,VLOOKUP($FD390,'Jan-2026 rates'!$L:$R,5,0),IF($LB390=30%,VLOOKUP($FD390,'Jan-2026 rates'!$L:$R,6,0),IF($LB390=100%,VLOOKUP($FD390,'Jan-2026 rates'!$L:$R,7,0),IF($LB390=60%,VLOOKUP($FD390,'Jan-2026 rates'!$L:$S,8,0),IF($LB390=80%,VLOOKUP($FD390,'Jan-2026 rates'!L:T,9,0),0))))))))</f>
        <v>0</v>
      </c>
      <c r="FG390" s="412"/>
      <c r="FH390" s="409"/>
      <c r="FI390" s="411">
        <f>IF(FH390=0,0,IF($LB390=70%,VLOOKUP($FD390,'Jan-2026 rates'!$L:$R,4,0),IF($LB390=65%,VLOOKUP($FD390,'Jan-2026 rates'!$L:$R,4,0),IF($LB390=40%,VLOOKUP($FD390,'Jan-2026 rates'!$L:$R,5,0),IF($LB390=30%,VLOOKUP($FD390,'Jan-2026 rates'!$L:$R,6,0),IF($LB390=100%,VLOOKUP($FD390,'Jan-2026 rates'!$L:$R,7,0),IF($LB390=60%,VLOOKUP($FD390,'Jan-2026 rates'!$L:$S,8,0),IF($LB390=80%,VLOOKUP($FD390,'Jan-2026 rates'!L:T,9,0),0))))))))</f>
        <v>0</v>
      </c>
      <c r="FJ390" s="413" t="s">
        <v>477</v>
      </c>
      <c r="FK390" s="413"/>
      <c r="FL390" s="413"/>
      <c r="FM390" s="412"/>
      <c r="FN390" s="412"/>
      <c r="FO390" s="412"/>
      <c r="FP390" s="412"/>
      <c r="FQ390" s="412"/>
      <c r="FR390" s="409">
        <v>2</v>
      </c>
      <c r="FS390" s="398">
        <f>IF(FR390=0,0,IF(LEN(FJ390)=11,_xlfn.XLOOKUP(FJ390,'Dispensed Ink Rates'!C:C,'Dispensed Ink Rates'!CS:CS),VLOOKUP(FJ390,'Jan-2026 rates'!$E:$F,2,0)))</f>
        <v>0</v>
      </c>
      <c r="FT390" s="409"/>
      <c r="FU390" s="398">
        <f>IF(FT390=0,0,IF(LEN(FK390)=11,_xlfn.XLOOKUP(FK390,'Dispensed Ink Rates'!C:C,'Dispensed Ink Rates'!CS:CS),VLOOKUP(FK390,'Jan-2026 rates'!$E:$F,2,0)))</f>
        <v>0</v>
      </c>
      <c r="FV390" s="409"/>
      <c r="FW390" s="398">
        <f>IF(FV390=0,0,IF(LEN(FL390)=11,_xlfn.XLOOKUP(FL390,'Dispensed Ink Rates'!C:C,'Dispensed Ink Rates'!CS:CS),VLOOKUP(FL390,'Jan-2026 rates'!$E:$F,2,0)))</f>
        <v>0</v>
      </c>
      <c r="FX390" s="409"/>
      <c r="FY390" s="398">
        <f>IF(FX390=0,0,IF(LEN(FM390)=11,_xlfn.XLOOKUP(FM390,'Dispensed Ink Rates'!C:C,'Dispensed Ink Rates'!CS:CS),VLOOKUP(FM390,'Jan-2026 rates'!$E:$F,2,0)))</f>
        <v>0</v>
      </c>
      <c r="FZ390" s="409"/>
      <c r="GA390" s="398">
        <f>IF(FZ390=0,0,IF(LEN(FN390)=11,_xlfn.XLOOKUP(FN390,'Dispensed Ink Rates'!C:C,'Dispensed Ink Rates'!CS:CS),VLOOKUP(FN390,'Jan-2026 rates'!$E:$F,2,0)))</f>
        <v>0</v>
      </c>
      <c r="GB390" s="409"/>
      <c r="GC390" s="398">
        <f>IF(GB390=0,0,IF(LEN(FO390)=11,_xlfn.XLOOKUP(FO390,'Dispensed Ink Rates'!C:C,'Dispensed Ink Rates'!CS:CS),VLOOKUP(FO390,'Jan-2026 rates'!$E:$F,2,0)))</f>
        <v>0</v>
      </c>
      <c r="GD390" s="409"/>
      <c r="GE390" s="398">
        <f>IF(GD390=0,0,IF(LEN(FP390)=11,_xlfn.XLOOKUP(FP390,'Dispensed Ink Rates'!C:C,'Dispensed Ink Rates'!CS:CS),VLOOKUP(FP390,'Jan-2026 rates'!$E:$F,2,0)))</f>
        <v>0</v>
      </c>
      <c r="GF390" s="409"/>
      <c r="GG390" s="398">
        <f>IF(GF390=0,0,IF(LEN(FQ390)=11,_xlfn.XLOOKUP(FQ390,'Dispensed Ink Rates'!C:C,'Dispensed Ink Rates'!CS:CS),VLOOKUP(FQ390,'Jan-2026 rates'!$E:$F,2,0)))</f>
        <v>0</v>
      </c>
      <c r="GH390" s="409" t="s">
        <v>1443</v>
      </c>
      <c r="GI390" s="409">
        <v>26</v>
      </c>
      <c r="GJ390" s="411">
        <f t="shared" si="224"/>
        <v>0</v>
      </c>
      <c r="GK390" s="411">
        <f t="shared" si="225"/>
        <v>7.1111111111111143</v>
      </c>
      <c r="GL390" s="410">
        <f t="shared" si="226"/>
        <v>0</v>
      </c>
      <c r="GM390" s="405" t="s">
        <v>544</v>
      </c>
      <c r="GN390" s="409" t="s">
        <v>4951</v>
      </c>
      <c r="GO390" s="420" t="str">
        <f t="shared" si="188"/>
        <v>FLINTSL - MAGENTA</v>
      </c>
      <c r="GP390" s="409">
        <v>25</v>
      </c>
      <c r="GQ390" s="411">
        <f>IF(GP390=0,0,IF($LB390=70%,VLOOKUP($GO390,'Jan-2026 rates'!$L:$R,4,0),IF($LB390=65%,VLOOKUP($GO390,'Jan-2026 rates'!$L:$R,4,0),IF($LB390=40%,VLOOKUP($GO390,'Jan-2026 rates'!$L:$R,5,0),IF($LB390=30%,VLOOKUP($GO390,'Jan-2026 rates'!$L:$R,6,0),IF($LB390=100%,VLOOKUP($GO390,'Jan-2026 rates'!$L:$R,7,0),IF($LB390=60%,VLOOKUP($GO390,'Jan-2026 rates'!$L:$S,8,0),IF($LB390=80%,VLOOKUP($GO390,'Jan-2026 rates'!L:T,9,0),0))))))))</f>
        <v>0</v>
      </c>
      <c r="GR390" s="412"/>
      <c r="GS390" s="409"/>
      <c r="GT390" s="411">
        <f>IF(GS390=0,0,IF($LB390=70%,VLOOKUP($GO390,'Jan-2026 rates'!$L:$R,4,0),IF($LB390=65%,VLOOKUP($GO390,'Jan-2026 rates'!$L:$R,4,0),IF($LB390=40%,VLOOKUP($GO390,'Jan-2026 rates'!$L:$R,5,0),IF($LB390=30%,VLOOKUP($GO390,'Jan-2026 rates'!$L:$R,6,0),IF($LB390=100%,VLOOKUP($GO390,'Jan-2026 rates'!$L:$R,7,0),IF($LB390=60%,VLOOKUP($GO390,'Jan-2026 rates'!$L:$S,8,0),IF($LB390=80%,VLOOKUP($GO390,'Jan-2026 rates'!L:T,9,0),0))))))))</f>
        <v>0</v>
      </c>
      <c r="GU390" s="413" t="s">
        <v>1265</v>
      </c>
      <c r="GV390" s="413"/>
      <c r="GW390" s="412"/>
      <c r="GX390" s="412"/>
      <c r="GY390" s="412"/>
      <c r="GZ390" s="412"/>
      <c r="HA390" s="412"/>
      <c r="HB390" s="412"/>
      <c r="HC390" s="409">
        <v>3</v>
      </c>
      <c r="HD390" s="398">
        <f>IF(HC390=0,0,IF(LEN(GU390)=11,_xlfn.XLOOKUP(GU390,'Dispensed Ink Rates'!C:C,'Dispensed Ink Rates'!CS:CS),VLOOKUP(GU390,'Jan-2026 rates'!$E:$F,2,0)))</f>
        <v>0</v>
      </c>
      <c r="HE390" s="409"/>
      <c r="HF390" s="398">
        <f>IF(HE390=0,0,IF(LEN(GV390)=11,_xlfn.XLOOKUP(GV390,'Dispensed Ink Rates'!C:C,'Dispensed Ink Rates'!CS:CS),VLOOKUP(GV390,'Jan-2026 rates'!$E:$F,2,0)))</f>
        <v>0</v>
      </c>
      <c r="HG390" s="409"/>
      <c r="HH390" s="398">
        <f>IF(HG390=0,0,IF(LEN(GW390)=11,_xlfn.XLOOKUP(GW390,'Dispensed Ink Rates'!C:C,'Dispensed Ink Rates'!CS:CS),VLOOKUP(GW390,'Jan-2026 rates'!$E:$F,2,0)))</f>
        <v>0</v>
      </c>
      <c r="HI390" s="409"/>
      <c r="HJ390" s="398">
        <f>IF(HI390=0,0,IF(LEN(GX390)=11,_xlfn.XLOOKUP(GX390,'Dispensed Ink Rates'!C:C,'Dispensed Ink Rates'!CS:CS),VLOOKUP(GX390,'Jan-2026 rates'!$E:$F,2,0)))</f>
        <v>0</v>
      </c>
      <c r="HK390" s="409"/>
      <c r="HL390" s="398">
        <f>IF(HK390=0,0,IF(LEN(GY390)=11,_xlfn.XLOOKUP(GY390,'Dispensed Ink Rates'!C:C,'Dispensed Ink Rates'!CS:CS),VLOOKUP(GY390,'Jan-2026 rates'!$E:$F,2,0)))</f>
        <v>0</v>
      </c>
      <c r="HM390" s="409"/>
      <c r="HN390" s="398">
        <f>IF(HM390=0,0,IF(LEN(GZ390)=11,_xlfn.XLOOKUP(GZ390,'Dispensed Ink Rates'!C:C,'Dispensed Ink Rates'!CS:CS),VLOOKUP(GZ390,'Jan-2026 rates'!$E:$F,2,0)))</f>
        <v>0</v>
      </c>
      <c r="HO390" s="409"/>
      <c r="HP390" s="398">
        <f>IF(HO390=0,0,IF(LEN(HA390)=11,_xlfn.XLOOKUP(HA390,'Dispensed Ink Rates'!C:C,'Dispensed Ink Rates'!CS:CS),VLOOKUP(HA390,'Jan-2026 rates'!$E:$F,2,0)))</f>
        <v>0</v>
      </c>
      <c r="HQ390" s="409"/>
      <c r="HR390" s="398">
        <f>IF(HQ390=0,0,IF(LEN(HB390)=11,_xlfn.XLOOKUP(HB390,'Dispensed Ink Rates'!C:C,'Dispensed Ink Rates'!CS:CS),VLOOKUP(HB390,'Jan-2026 rates'!$E:$F,2,0)))</f>
        <v>0</v>
      </c>
      <c r="HS390" s="409" t="s">
        <v>1443</v>
      </c>
      <c r="HT390" s="409">
        <v>24</v>
      </c>
      <c r="HU390" s="411">
        <f t="shared" si="227"/>
        <v>0</v>
      </c>
      <c r="HV390" s="411">
        <f t="shared" si="228"/>
        <v>9.1111111111111143</v>
      </c>
      <c r="HW390" s="414">
        <f t="shared" si="229"/>
        <v>0</v>
      </c>
      <c r="HX390" s="405" t="s">
        <v>545</v>
      </c>
      <c r="HY390" s="409" t="s">
        <v>4953</v>
      </c>
      <c r="HZ390" s="420" t="str">
        <f t="shared" si="189"/>
        <v>FLINTSL - YELLOW</v>
      </c>
      <c r="IA390" s="409">
        <v>25</v>
      </c>
      <c r="IB390" s="411">
        <f>IF(IA390=0,0,IF($LB390=70%,VLOOKUP($HZ390,'Jan-2026 rates'!$L:$R,4,0),IF($LB390=65%,VLOOKUP($HZ390,'Jan-2026 rates'!$L:$R,4,0),IF($LB390=40%,VLOOKUP($HZ390,'Jan-2026 rates'!$L:$R,5,0),IF($LB390=30%,VLOOKUP($HZ390,'Jan-2026 rates'!$L:$R,6,0),IF($LB390=100%,VLOOKUP($HZ390,'Jan-2026 rates'!$L:$R,7,0),IF($LB390=60%,VLOOKUP($HZ390,'Jan-2026 rates'!$L:$S,8,0),IF($LB390=80%,VLOOKUP($HZ390,'Jan-2026 rates'!L:T,9,0),0))))))))</f>
        <v>0</v>
      </c>
      <c r="IC390" s="412"/>
      <c r="ID390" s="409"/>
      <c r="IE390" s="411">
        <f>IF(ID390=0,0,IF($LB390=70%,VLOOKUP($HZ390,'Jan-2026 rates'!$L:$R,4,0),IF($LB390=65%,VLOOKUP($HZ390,'Jan-2026 rates'!$L:$R,4,0),IF($LB390=40%,VLOOKUP($HZ390,'Jan-2026 rates'!$L:$R,5,0),IF($LB390=30%,VLOOKUP($HZ390,'Jan-2026 rates'!$L:$R,6,0),IF($LB390=100%,VLOOKUP($HZ390,'Jan-2026 rates'!$L:$R,7,0),IF($LB390=60%,VLOOKUP($HZ390,'Jan-2026 rates'!$L:$S,8,0),IF($LB390=80%,VLOOKUP($HZ390,'Jan-2026 rates'!L:T,9,0),0))))))))</f>
        <v>0</v>
      </c>
      <c r="IF390" s="412">
        <v>26530000021</v>
      </c>
      <c r="IG390" s="413" t="s">
        <v>1266</v>
      </c>
      <c r="IH390" s="412"/>
      <c r="II390" s="412"/>
      <c r="IJ390" s="412"/>
      <c r="IK390" s="412"/>
      <c r="IL390" s="412"/>
      <c r="IM390" s="412"/>
      <c r="IN390" s="409">
        <v>4</v>
      </c>
      <c r="IO390" s="398" t="e">
        <f>IF(IN390=0,0,IF(LEN(IF390)=11,_xlfn.XLOOKUP(IF390,'Dispensed Ink Rates'!C:C,'Dispensed Ink Rates'!CS:CS),VLOOKUP(IF390,'Jan-2026 rates'!$E:$F,2,0)))</f>
        <v>#N/A</v>
      </c>
      <c r="IP390" s="409">
        <v>3</v>
      </c>
      <c r="IQ390" s="398">
        <f>IF(IP390=0,0,IF(LEN(IG390)=11,_xlfn.XLOOKUP(IG390,'Dispensed Ink Rates'!C:C,'Dispensed Ink Rates'!CS:CS),VLOOKUP(IG390,'Jan-2026 rates'!$E:$F,2,0)))</f>
        <v>0</v>
      </c>
      <c r="IR390" s="409"/>
      <c r="IS390" s="398">
        <f>IF(IR390=0,0,IF(LEN(IH390)=11,_xlfn.XLOOKUP(IH390,'Dispensed Ink Rates'!C:C,'Dispensed Ink Rates'!CS:CS),VLOOKUP(IH390,'Jan-2026 rates'!$E:$F,2,0)))</f>
        <v>0</v>
      </c>
      <c r="IT390" s="409"/>
      <c r="IU390" s="398">
        <f>IF(IT390=0,0,IF(LEN(II390)=11,_xlfn.XLOOKUP(II390,'Dispensed Ink Rates'!C:C,'Dispensed Ink Rates'!CS:CS),VLOOKUP(II390,'Jan-2026 rates'!$E:$F,2,0)))</f>
        <v>0</v>
      </c>
      <c r="IV390" s="409"/>
      <c r="IW390" s="398">
        <f>IF(IV390=0,0,IF(LEN(IJ390)=11,_xlfn.XLOOKUP(IJ390,'Dispensed Ink Rates'!C:C,'Dispensed Ink Rates'!CS:CS),VLOOKUP(IJ390,'Jan-2026 rates'!$E:$F,2,0)))</f>
        <v>0</v>
      </c>
      <c r="IX390" s="409"/>
      <c r="IY390" s="398">
        <f>IF(IX390=0,0,IF(LEN(IK390)=11,_xlfn.XLOOKUP(IK390,'Dispensed Ink Rates'!C:C,'Dispensed Ink Rates'!CS:CS),VLOOKUP(IK390,'Jan-2026 rates'!$E:$F,2,0)))</f>
        <v>0</v>
      </c>
      <c r="IZ390" s="409"/>
      <c r="JA390" s="398">
        <f>IF(IZ390=0,0,IF(LEN(IL390)=11,_xlfn.XLOOKUP(IL390,'Dispensed Ink Rates'!C:C,'Dispensed Ink Rates'!CS:CS),VLOOKUP(IL390,'Jan-2026 rates'!$E:$F,2,0)))</f>
        <v>0</v>
      </c>
      <c r="JB390" s="409"/>
      <c r="JC390" s="398">
        <f>IF(JB390=0,0,IF(LEN(IM390)=11,_xlfn.XLOOKUP(IM390,'Dispensed Ink Rates'!C:C,'Dispensed Ink Rates'!CS:CS),VLOOKUP(IM390,'Jan-2026 rates'!$E:$F,2,0)))</f>
        <v>0</v>
      </c>
      <c r="JD390" s="409" t="s">
        <v>1443</v>
      </c>
      <c r="JE390" s="409">
        <v>18</v>
      </c>
      <c r="JF390" s="411">
        <f t="shared" si="230"/>
        <v>0</v>
      </c>
      <c r="JG390" s="411">
        <f t="shared" si="231"/>
        <v>21.666666666666664</v>
      </c>
      <c r="JH390" s="410">
        <f t="shared" si="232"/>
        <v>0</v>
      </c>
      <c r="JI390" s="405" t="s">
        <v>856</v>
      </c>
      <c r="JJ390" s="409" t="s">
        <v>4954</v>
      </c>
      <c r="JK390" s="420" t="str">
        <f t="shared" si="190"/>
        <v>FLINTSL - WHITE</v>
      </c>
      <c r="JL390" s="409">
        <v>20</v>
      </c>
      <c r="JM390" s="411">
        <f>IF(JL390=0,0,IF($LB390=70%,VLOOKUP($JK390,'Jan-2026 rates'!$L:$R,4,0),IF($LB390=65%,VLOOKUP($JK390,'Jan-2026 rates'!$L:$R,4,0),IF($LB390=40%,VLOOKUP($JK390,'Jan-2026 rates'!$L:$R,5,0),IF($LB390=30%,VLOOKUP($JK390,'Jan-2026 rates'!$L:$R,6,0),IF($LB390=100%,VLOOKUP($JK390,'Jan-2026 rates'!$L:$R,7,0),IF($LB390=60%,VLOOKUP($JK390,'Jan-2026 rates'!$L:$S,8,0),IF($LB390=80%,VLOOKUP($JK390,'Jan-2026 rates'!L:T,9,0),0))))))))</f>
        <v>0</v>
      </c>
      <c r="JN390" s="412"/>
      <c r="JO390" s="409"/>
      <c r="JP390" s="411">
        <f>IF(JO390=0,0,IF($LB390=70%,VLOOKUP($JK390,'Jan-2026 rates'!$L:$R,4,0),IF($LB390=65%,VLOOKUP($JK390,'Jan-2026 rates'!$L:$R,4,0),IF($LB390=40%,VLOOKUP($JK390,'Jan-2026 rates'!$L:$R,5,0),IF($LB390=30%,VLOOKUP($JK390,'Jan-2026 rates'!$L:$R,6,0),IF($LB390=100%,VLOOKUP($JK390,'Jan-2026 rates'!$L:$R,7,0),IF($LB390=60%,VLOOKUP($JK390,'Jan-2026 rates'!$L:$S,8,0),IF($LB390=80%,VLOOKUP($JK390,'Jan-2026 rates'!L:T,9,0),0))))))))</f>
        <v>0</v>
      </c>
      <c r="JQ390" s="413" t="s">
        <v>484</v>
      </c>
      <c r="JR390" s="412"/>
      <c r="JS390" s="413"/>
      <c r="JT390" s="413"/>
      <c r="JU390" s="412"/>
      <c r="JV390" s="412"/>
      <c r="JW390" s="412"/>
      <c r="JX390" s="412"/>
      <c r="JY390" s="409">
        <v>160</v>
      </c>
      <c r="JZ390" s="398">
        <f>IF(JY390=0,0,IF(LEN(JQ390)=11,_xlfn.XLOOKUP(JQ390,'Dispensed Ink Rates'!C:C,'Dispensed Ink Rates'!CS:CS),VLOOKUP(JQ390,'Jan-2026 rates'!$E:$F,2,0)))</f>
        <v>0</v>
      </c>
      <c r="KA390" s="409"/>
      <c r="KB390" s="398">
        <f>IF(KA390=0,0,IF(LEN(JR390)=11,_xlfn.XLOOKUP(JR390,'Dispensed Ink Rates'!C:C,'Dispensed Ink Rates'!CS:CS),VLOOKUP(JR390,'Jan-2026 rates'!$E:$F,2,0)))</f>
        <v>0</v>
      </c>
      <c r="KC390" s="409"/>
      <c r="KD390" s="398">
        <f>IF(KC390=0,0,IF(LEN(JS390)=11,_xlfn.XLOOKUP(JS390,'Dispensed Ink Rates'!C:C,'Dispensed Ink Rates'!CS:CS),VLOOKUP(JS390,'Jan-2026 rates'!$E:$F,2,0)))</f>
        <v>0</v>
      </c>
      <c r="KE390" s="409"/>
      <c r="KF390" s="398">
        <f>IF(KE390=0,0,IF(LEN(JT390)=11,_xlfn.XLOOKUP(JT390,'Dispensed Ink Rates'!C:C,'Dispensed Ink Rates'!CS:CS),VLOOKUP(JT390,'Jan-2026 rates'!$E:$F,2,0)))</f>
        <v>0</v>
      </c>
      <c r="KG390" s="409"/>
      <c r="KH390" s="398">
        <f>IF(KG390=0,0,IF(LEN(JU390)=11,_xlfn.XLOOKUP(JU390,'Dispensed Ink Rates'!C:C,'Dispensed Ink Rates'!CS:CS),VLOOKUP(JU390,'Jan-2026 rates'!$E:$F,2,0)))</f>
        <v>0</v>
      </c>
      <c r="KI390" s="409"/>
      <c r="KJ390" s="398">
        <f>IF(KI390=0,0,IF(LEN(JV390)=11,_xlfn.XLOOKUP(JV390,'Dispensed Ink Rates'!C:C,'Dispensed Ink Rates'!CS:CS),VLOOKUP(JV390,'Jan-2026 rates'!$E:$F,2,0)))</f>
        <v>0</v>
      </c>
      <c r="KK390" s="409"/>
      <c r="KL390" s="398">
        <f>IF(KK390=0,0,IF(LEN(JW390)=11,_xlfn.XLOOKUP(JW390,'Dispensed Ink Rates'!C:C,'Dispensed Ink Rates'!CS:CS),VLOOKUP(JW390,'Jan-2026 rates'!$E:$F,2,0)))</f>
        <v>0</v>
      </c>
      <c r="KM390" s="428"/>
      <c r="KN390" s="398">
        <f>IF(KM390=0,0,IF(LEN(JX390)=11,_xlfn.XLOOKUP(JX390,'Dispensed Ink Rates'!C:C,'Dispensed Ink Rates'!CS:CS),VLOOKUP(JX390,'Jan-2026 rates'!$E:$F,2,0)))</f>
        <v>0</v>
      </c>
      <c r="KO390" s="409" t="s">
        <v>1443</v>
      </c>
      <c r="KP390" s="409">
        <v>25</v>
      </c>
      <c r="KQ390" s="411">
        <f t="shared" si="233"/>
        <v>0</v>
      </c>
      <c r="KR390" s="411">
        <f t="shared" si="234"/>
        <v>423.33333333333331</v>
      </c>
      <c r="KS390" s="410">
        <f t="shared" si="235"/>
        <v>0</v>
      </c>
      <c r="KT390" s="409">
        <v>3</v>
      </c>
      <c r="KU390" s="409">
        <v>2</v>
      </c>
      <c r="KV390" s="409">
        <v>0</v>
      </c>
      <c r="KW390" s="409">
        <v>0</v>
      </c>
      <c r="KX390" s="409">
        <v>2</v>
      </c>
      <c r="KY390" s="409">
        <v>2</v>
      </c>
      <c r="KZ390" s="409">
        <v>3</v>
      </c>
      <c r="LA390" s="409">
        <f>85+20</f>
        <v>105</v>
      </c>
      <c r="LB390" s="415">
        <v>0.8</v>
      </c>
      <c r="LC390" s="415">
        <v>0.2</v>
      </c>
      <c r="LD390" s="424"/>
      <c r="LE390" s="415"/>
      <c r="LF390" s="415"/>
      <c r="LG390" s="409">
        <v>0</v>
      </c>
      <c r="LH390" s="409">
        <f>105+94+80+20</f>
        <v>299</v>
      </c>
      <c r="LI390" s="409">
        <v>0</v>
      </c>
      <c r="LJ390" s="409">
        <v>0</v>
      </c>
      <c r="LK390" s="416">
        <f t="shared" si="191"/>
        <v>299</v>
      </c>
      <c r="LL390" s="416">
        <f t="shared" si="349"/>
        <v>299</v>
      </c>
      <c r="LM390" s="417">
        <f t="shared" si="193"/>
        <v>239.20000000000002</v>
      </c>
      <c r="LN390" s="417">
        <f>VLOOKUP($LM$8,'Jan-2026 rates'!$H:$I,2,0)</f>
        <v>0</v>
      </c>
      <c r="LO390" s="417">
        <f t="shared" si="194"/>
        <v>59.800000000000004</v>
      </c>
      <c r="LP390" s="417">
        <f>VLOOKUP($LO$8,'Jan-2026 rates'!$H:$I,2,0)</f>
        <v>0</v>
      </c>
      <c r="LQ390" s="417">
        <f t="shared" si="195"/>
        <v>0</v>
      </c>
      <c r="LR390" s="417">
        <f>VLOOKUP($LQ$8,'Jan-2026 rates'!$H:$I,2,0)</f>
        <v>0</v>
      </c>
      <c r="LS390" s="417">
        <f t="shared" si="196"/>
        <v>0</v>
      </c>
      <c r="LT390" s="417">
        <f>VLOOKUP($LS$8,'Jan-2026 rates'!$H:$I,2,0)</f>
        <v>0</v>
      </c>
      <c r="LU390" s="417">
        <f t="shared" si="197"/>
        <v>0</v>
      </c>
      <c r="LV390" s="417">
        <f>VLOOKUP($LU$8,'Jan-2026 rates'!$H:$I,2,0)</f>
        <v>0</v>
      </c>
      <c r="LW390" s="417">
        <f t="shared" si="198"/>
        <v>0</v>
      </c>
      <c r="LX390" s="417">
        <f t="shared" si="199"/>
        <v>0</v>
      </c>
      <c r="LY390" s="418">
        <f t="shared" si="200"/>
        <v>0</v>
      </c>
      <c r="LZ390" s="417"/>
      <c r="MA390" s="435">
        <f t="shared" si="201"/>
        <v>310.60000000000002</v>
      </c>
      <c r="MB390" s="282">
        <f t="shared" si="202"/>
        <v>598.59999999999991</v>
      </c>
      <c r="MC390" s="283">
        <v>231</v>
      </c>
      <c r="MD390" s="284" t="str">
        <f t="shared" si="203"/>
        <v>FLINTSLFLINTSLFLINTSLFLINTSLFLINTSLFLINTSLFLINTSLFLINTSL</v>
      </c>
      <c r="ME390" s="293" t="str">
        <f t="shared" si="204"/>
        <v>+</v>
      </c>
      <c r="MF390" s="293" t="str">
        <f t="shared" si="205"/>
        <v>+</v>
      </c>
      <c r="MG390" s="293" t="str">
        <f t="shared" si="206"/>
        <v>+</v>
      </c>
      <c r="MH390" s="293" t="str">
        <f t="shared" si="207"/>
        <v>+</v>
      </c>
      <c r="MI390" s="293" t="str">
        <f t="shared" si="208"/>
        <v>+</v>
      </c>
      <c r="MJ390" s="293" t="str">
        <f t="shared" si="209"/>
        <v>+</v>
      </c>
      <c r="MK390" s="293" t="str">
        <f t="shared" si="210"/>
        <v>+</v>
      </c>
      <c r="ML390" s="293" t="str">
        <f t="shared" si="211"/>
        <v>+</v>
      </c>
      <c r="MM390" s="3" t="b">
        <f t="array" ref="MM390">OR(ME390:ML390="-")</f>
        <v>0</v>
      </c>
      <c r="MO390" s="401">
        <f t="shared" si="350"/>
        <v>59.979959919839665</v>
      </c>
      <c r="MP390" s="286"/>
      <c r="MR390" s="402">
        <f t="shared" si="351"/>
        <v>1.2736170212765956E-2</v>
      </c>
      <c r="MS390" s="400">
        <f t="shared" si="352"/>
        <v>0</v>
      </c>
      <c r="MT390" s="285"/>
      <c r="NH390" s="361"/>
      <c r="NJ390" s="282"/>
    </row>
    <row r="391" spans="1:374" ht="16.5">
      <c r="A391" s="403">
        <v>46053</v>
      </c>
      <c r="B391" s="404" t="s">
        <v>1015</v>
      </c>
      <c r="C391" s="405" t="s">
        <v>4955</v>
      </c>
      <c r="D391" s="404">
        <v>232</v>
      </c>
      <c r="E391" s="404">
        <v>959</v>
      </c>
      <c r="F391" s="407">
        <v>52300</v>
      </c>
      <c r="G391" s="407" t="s">
        <v>1016</v>
      </c>
      <c r="H391" s="408" t="s">
        <v>1017</v>
      </c>
      <c r="I391" s="409">
        <v>1.3</v>
      </c>
      <c r="J391" s="405" t="s">
        <v>543</v>
      </c>
      <c r="K391" s="404" t="s">
        <v>4956</v>
      </c>
      <c r="L391" s="419" t="str">
        <f t="shared" si="184"/>
        <v>FLINTSL - BLACK</v>
      </c>
      <c r="M391" s="404">
        <v>28</v>
      </c>
      <c r="N391" s="410">
        <f>IF(M391=0,0,IF($LB391=70%,VLOOKUP($L391,'Jan-2026 rates'!$L:$R,4,0),IF($LB391=65%,VLOOKUP($L391,'Jan-2026 rates'!$L:$R,4,0),IF($LB391=40%,VLOOKUP($L391,'Jan-2026 rates'!$L:$R,5,0),IF($LB391=30%,VLOOKUP($L391,'Jan-2026 rates'!$L:$R,6,0),IF($LB391=100%,VLOOKUP($L391,'Jan-2026 rates'!$L:$R,7,0),IF($LB391=60%,VLOOKUP($L391,'Jan-2026 rates'!$L:$S,8,0),IF($LB391=80%,VLOOKUP($L391,'Jan-2026 rates'!L:T,9,0),0))))))))</f>
        <v>0</v>
      </c>
      <c r="O391" s="406"/>
      <c r="P391" s="404"/>
      <c r="Q391" s="410">
        <f>IF(P391=0,0,IF($LB391=70%,VLOOKUP($L391,'Jan-2026 rates'!$L:$R,4,0),IF($LB391=65%,VLOOKUP($L391,'Jan-2026 rates'!$L:$R,4,0),IF($LB391=40%,VLOOKUP($L391,'Jan-2026 rates'!$L:$R,5,0),IF($LB391=30%,VLOOKUP($L391,'Jan-2026 rates'!$L:$R,6,0),IF($LB391=100%,VLOOKUP($L391,'Jan-2026 rates'!$L:$R,7,0),IF($LB391=60%,VLOOKUP($L391,'Jan-2026 rates'!$L:$S,8,0),IF($LB391=80%,VLOOKUP($L391,'Jan-2026 rates'!L:T,9,0),0))))))))</f>
        <v>0</v>
      </c>
      <c r="R391" s="406"/>
      <c r="S391" s="406"/>
      <c r="T391" s="406"/>
      <c r="U391" s="406"/>
      <c r="V391" s="406"/>
      <c r="W391" s="406"/>
      <c r="X391" s="406"/>
      <c r="Y391" s="406"/>
      <c r="Z391" s="404"/>
      <c r="AA391" s="398">
        <f>IF(Z391=0,0,IF(LEN(R391)=11,_xlfn.XLOOKUP(R391,'Dispensed Ink Rates'!C:C,'Dispensed Ink Rates'!CS:CS),VLOOKUP(R391,'Jan-2026 rates'!$E:$F,2,0)))</f>
        <v>0</v>
      </c>
      <c r="AB391" s="404"/>
      <c r="AC391" s="398">
        <f>IF(AB391=0,0,IF(LEN(S391)=11,_xlfn.XLOOKUP(S391,'Dispensed Ink Rates'!C:C,'Dispensed Ink Rates'!CS:CS),VLOOKUP(S391,'Jan-2026 rates'!$E:$F,2,0)))</f>
        <v>0</v>
      </c>
      <c r="AD391" s="404"/>
      <c r="AE391" s="398">
        <f>IF(AD391=0,0,IF(LEN(T391)=11,_xlfn.XLOOKUP(T391,'Dispensed Ink Rates'!C:C,'Dispensed Ink Rates'!CS:CS),VLOOKUP(T391,'Jan-2026 rates'!$E:$F,2,0)))</f>
        <v>0</v>
      </c>
      <c r="AF391" s="404"/>
      <c r="AG391" s="398">
        <f>IF(AF391=0,0,IF(LEN(U391)=11,_xlfn.XLOOKUP(U391,'Dispensed Ink Rates'!C:C,'Dispensed Ink Rates'!CS:CS),VLOOKUP(U391,'Jan-2026 rates'!$E:$F,2,0)))</f>
        <v>0</v>
      </c>
      <c r="AH391" s="404"/>
      <c r="AI391" s="398">
        <f>IF(AH391=0,0,IF(LEN(V391)=11,_xlfn.XLOOKUP(V391,'Dispensed Ink Rates'!C:C,'Dispensed Ink Rates'!CS:CS),VLOOKUP(V391,'Jan-2026 rates'!$E:$F,2,0)))</f>
        <v>0</v>
      </c>
      <c r="AJ391" s="404"/>
      <c r="AK391" s="398">
        <f>IF(AJ391=0,0,IF(LEN(W391)=11,_xlfn.XLOOKUP(W391,'Dispensed Ink Rates'!C:C,'Dispensed Ink Rates'!CS:CS),VLOOKUP(W391,'Jan-2026 rates'!$E:$F,2,0)))</f>
        <v>0</v>
      </c>
      <c r="AL391" s="404"/>
      <c r="AM391" s="398">
        <f>IF(AL391=0,0,IF(LEN(X391)=11,_xlfn.XLOOKUP(X391,'Dispensed Ink Rates'!C:C,'Dispensed Ink Rates'!CS:CS),VLOOKUP(X391,'Jan-2026 rates'!$E:$F,2,0)))</f>
        <v>0</v>
      </c>
      <c r="AN391" s="404"/>
      <c r="AO391" s="398">
        <f>IF(AN391=0,0,IF(LEN(Y391)=11,_xlfn.XLOOKUP(Y391,'Dispensed Ink Rates'!C:C,'Dispensed Ink Rates'!CS:CS),VLOOKUP(Y391,'Jan-2026 rates'!$E:$F,2,0)))</f>
        <v>0</v>
      </c>
      <c r="AP391" s="409" t="s">
        <v>1443</v>
      </c>
      <c r="AQ391" s="409">
        <v>27</v>
      </c>
      <c r="AR391" s="410">
        <f t="shared" si="212"/>
        <v>0</v>
      </c>
      <c r="AS391" s="411">
        <f t="shared" si="213"/>
        <v>5.760330578512395</v>
      </c>
      <c r="AT391" s="410">
        <f t="shared" si="214"/>
        <v>0</v>
      </c>
      <c r="AU391" s="405" t="s">
        <v>857</v>
      </c>
      <c r="AV391" s="409" t="s">
        <v>4957</v>
      </c>
      <c r="AW391" s="420" t="str">
        <f t="shared" si="348"/>
        <v>FLINTSL - RED</v>
      </c>
      <c r="AX391" s="409">
        <v>30</v>
      </c>
      <c r="AY391" s="411">
        <f>IF(AX391=0,0,IF($LB391=70%,VLOOKUP($AW391,'Jan-2026 rates'!$L:$R,4,0),IF($LB391=65%,VLOOKUP($AW391,'Jan-2026 rates'!$L:$R,4,0),IF($LB391=40%,VLOOKUP($AW391,'Jan-2026 rates'!$L:$R,5,0),IF($LB391=30%,VLOOKUP($AW391,'Jan-2026 rates'!$L:$R,6,0),IF($LB391=100%,VLOOKUP($AW391,'Jan-2026 rates'!$L:$R,7,0),IF($LB391=60%,VLOOKUP($AW391,'Jan-2026 rates'!$L:$S,8,0),IF($LB391=80%,VLOOKUP($AW391,'Jan-2026 rates'!L:T,9,0),0))))))))</f>
        <v>0</v>
      </c>
      <c r="AZ391" s="412"/>
      <c r="BA391" s="409"/>
      <c r="BB391" s="411">
        <f>IF(BA391=0,0,IF($LB391=70%,VLOOKUP($AW391,'Jan-2026 rates'!$L:$R,4,0),IF($LB391=65%,VLOOKUP($AW391,'Jan-2026 rates'!$L:$R,4,0),IF($LB391=40%,VLOOKUP($AW391,'Jan-2026 rates'!$L:$R,5,0),IF($LB391=30%,VLOOKUP($AW391,'Jan-2026 rates'!$L:$R,6,0),IF($LB391=100%,VLOOKUP($AW391,'Jan-2026 rates'!$L:$R,7,0),IF($LB391=60%,VLOOKUP($AW391,'Jan-2026 rates'!$L:$S,8,0),IF($LB391=80%,VLOOKUP($AW391,'Jan-2026 rates'!L:T,9,0),0))))))))</f>
        <v>0</v>
      </c>
      <c r="BC391" s="413"/>
      <c r="BD391" s="412"/>
      <c r="BE391" s="412"/>
      <c r="BF391" s="413"/>
      <c r="BG391" s="412"/>
      <c r="BH391" s="412"/>
      <c r="BI391" s="412"/>
      <c r="BJ391" s="412"/>
      <c r="BK391" s="409"/>
      <c r="BL391" s="398">
        <f>IF(BK391=0,0,IF(LEN(BC391)=11,_xlfn.XLOOKUP(BC391,'Dispensed Ink Rates'!C:C,'Dispensed Ink Rates'!CS:CS),VLOOKUP(BC391,'Jan-2026 rates'!$E:$F,2,0)))</f>
        <v>0</v>
      </c>
      <c r="BM391" s="409"/>
      <c r="BN391" s="398">
        <f>IF(BM391=0,0,IF(LEN(BD391)=11,_xlfn.XLOOKUP(BD391,'Dispensed Ink Rates'!C:C,'Dispensed Ink Rates'!CS:CS),VLOOKUP(BD391,'Jan-2026 rates'!$E:$F,2,0)))</f>
        <v>0</v>
      </c>
      <c r="BO391" s="409"/>
      <c r="BP391" s="398">
        <f>IF(BO391=0,0,IF(LEN(BE391)=11,_xlfn.XLOOKUP(BE391,'Dispensed Ink Rates'!C:C,'Dispensed Ink Rates'!CS:CS),VLOOKUP(BE391,'Jan-2026 rates'!$E:$F,2,0)))</f>
        <v>0</v>
      </c>
      <c r="BQ391" s="409"/>
      <c r="BR391" s="398">
        <f>IF(BQ391=0,0,IF(LEN(BF391)=11,_xlfn.XLOOKUP(BF391,'Dispensed Ink Rates'!C:C,'Dispensed Ink Rates'!CS:CS),VLOOKUP(BF391,'Jan-2026 rates'!$E:$F,2,0)))</f>
        <v>0</v>
      </c>
      <c r="BS391" s="409"/>
      <c r="BT391" s="398">
        <f>IF(BS391=0,0,IF(LEN(BG391)=11,_xlfn.XLOOKUP(BG391,'Dispensed Ink Rates'!C:C,'Dispensed Ink Rates'!CS:CS),VLOOKUP(BG391,'Jan-2026 rates'!$E:$F,2,0)))</f>
        <v>0</v>
      </c>
      <c r="BU391" s="409"/>
      <c r="BV391" s="398">
        <f>IF(BU391=0,0,IF(LEN(BH391)=11,_xlfn.XLOOKUP(BH391,'Dispensed Ink Rates'!C:C,'Dispensed Ink Rates'!CS:CS),VLOOKUP(BH391,'Jan-2026 rates'!$E:$F,2,0)))</f>
        <v>0</v>
      </c>
      <c r="BW391" s="409"/>
      <c r="BX391" s="398">
        <f>IF(BW391=0,0,IF(LEN(BI391)=11,_xlfn.XLOOKUP(BI391,'Dispensed Ink Rates'!C:C,'Dispensed Ink Rates'!CS:CS),VLOOKUP(BI391,'Jan-2026 rates'!$E:$F,2,0)))</f>
        <v>0</v>
      </c>
      <c r="BY391" s="409"/>
      <c r="BZ391" s="398">
        <f>IF(BY391=0,0,IF(LEN(BJ391)=11,_xlfn.XLOOKUP(BJ391,'Dispensed Ink Rates'!C:C,'Dispensed Ink Rates'!CS:CS),VLOOKUP(BJ391,'Jan-2026 rates'!$E:$F,2,0)))</f>
        <v>0</v>
      </c>
      <c r="CA391" s="409" t="s">
        <v>1443</v>
      </c>
      <c r="CB391" s="409">
        <v>25</v>
      </c>
      <c r="CC391" s="411">
        <f t="shared" si="215"/>
        <v>0</v>
      </c>
      <c r="CD391" s="411">
        <f t="shared" si="216"/>
        <v>9.760330578512395</v>
      </c>
      <c r="CE391" s="410">
        <f t="shared" si="217"/>
        <v>0</v>
      </c>
      <c r="CF391" s="404" t="s">
        <v>547</v>
      </c>
      <c r="CG391" s="409" t="s">
        <v>4734</v>
      </c>
      <c r="CH391" s="420" t="str">
        <f t="shared" si="185"/>
        <v>FLINTSL - GREEN</v>
      </c>
      <c r="CI391" s="409">
        <v>28</v>
      </c>
      <c r="CJ391" s="411">
        <f>IF(CI391=0,0,IF($LB391=70%,VLOOKUP($CH391,'Jan-2026 rates'!$L:$R,4,0),IF($LB391=65%,VLOOKUP($CH391,'Jan-2026 rates'!$L:$R,4,0),IF($LB391=40%,VLOOKUP($CH391,'Jan-2026 rates'!$L:$R,5,0),IF($LB391=30%,VLOOKUP($CH391,'Jan-2026 rates'!$L:$R,6,0),IF($LB391=100%,VLOOKUP($CH391,'Jan-2026 rates'!$L:$R,7,0),IF($LB391=60%,VLOOKUP($CH391,'Jan-2026 rates'!$L:$S,8,0),IF($LB391=80%,VLOOKUP($CH391,'Jan-2026 rates'!L:T,9,0),0))))))))</f>
        <v>0</v>
      </c>
      <c r="CK391" s="412"/>
      <c r="CL391" s="409"/>
      <c r="CM391" s="411">
        <f>IF(CL391=0,0,IF($LB391=70%,VLOOKUP($CH391,'Jan-2026 rates'!$L:$R,4,0),IF($LB391=65%,VLOOKUP($CH391,'Jan-2026 rates'!$L:$R,4,0),IF($LB391=40%,VLOOKUP($CH391,'Jan-2026 rates'!$L:$R,5,0),IF($LB391=30%,VLOOKUP($CH391,'Jan-2026 rates'!$L:$R,6,0),IF($LB391=100%,VLOOKUP($CH391,'Jan-2026 rates'!$L:$R,7,0),IF($LB391=60%,VLOOKUP($CH391,'Jan-2026 rates'!$L:$S,8,0),IF($LB391=80%,VLOOKUP($CH391,'Jan-2026 rates'!L:T,9,0),0))))))))</f>
        <v>0</v>
      </c>
      <c r="CN391" s="426" t="s">
        <v>1264</v>
      </c>
      <c r="CO391" s="427">
        <v>26529000021</v>
      </c>
      <c r="CP391" s="426" t="s">
        <v>477</v>
      </c>
      <c r="CQ391" s="426"/>
      <c r="CR391" s="428"/>
      <c r="CS391" s="428"/>
      <c r="CT391" s="428"/>
      <c r="CU391" s="428"/>
      <c r="CV391" s="409">
        <v>0.5</v>
      </c>
      <c r="CW391" s="398">
        <f>IF(CV391=0,0,IF(LEN(CN391)=11,_xlfn.XLOOKUP(CN391,'Dispensed Ink Rates'!C:C,'Dispensed Ink Rates'!CS:CS),VLOOKUP(CN391,'Jan-2026 rates'!$E:$F,2,0)))</f>
        <v>0</v>
      </c>
      <c r="CX391" s="409">
        <v>1</v>
      </c>
      <c r="CY391" s="398" t="e">
        <f>IF(CX391=0,0,IF(LEN(CO391)=11,_xlfn.XLOOKUP(CO391,'Dispensed Ink Rates'!C:C,'Dispensed Ink Rates'!CS:CS),VLOOKUP(CO391,'Jan-2026 rates'!$E:$F,2,0)))</f>
        <v>#N/A</v>
      </c>
      <c r="CZ391" s="409">
        <v>2</v>
      </c>
      <c r="DA391" s="398">
        <f>IF(CZ391=0,0,IF(LEN(CP391)=11,_xlfn.XLOOKUP(CP391,'Dispensed Ink Rates'!C:C,'Dispensed Ink Rates'!CS:CS),VLOOKUP(CP391,'Jan-2026 rates'!$E:$F,2,0)))</f>
        <v>0</v>
      </c>
      <c r="DB391" s="409"/>
      <c r="DC391" s="398">
        <f>IF(DB391=0,0,IF(LEN(CQ391)=11,_xlfn.XLOOKUP(CQ391,'Dispensed Ink Rates'!C:C,'Dispensed Ink Rates'!CS:CS),VLOOKUP(CQ391,'Jan-2026 rates'!$E:$F,2,0)))</f>
        <v>0</v>
      </c>
      <c r="DD391" s="409"/>
      <c r="DE391" s="398">
        <f>IF(DD391=0,0,IF(LEN(CR391)=11,_xlfn.XLOOKUP(CR391,'Dispensed Ink Rates'!C:C,'Dispensed Ink Rates'!CS:CS),VLOOKUP(CR391,'Jan-2026 rates'!$E:$F,2,0)))</f>
        <v>0</v>
      </c>
      <c r="DF391" s="409"/>
      <c r="DG391" s="398">
        <f>IF(DF391=0,0,IF(LEN(CS391)=11,_xlfn.XLOOKUP(CS391,'Dispensed Ink Rates'!C:C,'Dispensed Ink Rates'!CS:CS),VLOOKUP(CS391,'Jan-2026 rates'!$E:$F,2,0)))</f>
        <v>0</v>
      </c>
      <c r="DH391" s="409"/>
      <c r="DI391" s="398">
        <f>IF(DH391=0,0,IF(LEN(CT391)=11,_xlfn.XLOOKUP(CT391,'Dispensed Ink Rates'!C:C,'Dispensed Ink Rates'!CS:CS),VLOOKUP(CT391,'Jan-2026 rates'!$E:$F,2,0)))</f>
        <v>0</v>
      </c>
      <c r="DJ391" s="409"/>
      <c r="DK391" s="398">
        <f>IF(DJ391=0,0,IF(LEN(CU391)=11,_xlfn.XLOOKUP(CU391,'Dispensed Ink Rates'!C:C,'Dispensed Ink Rates'!CS:CS),VLOOKUP(CU391,'Jan-2026 rates'!$E:$F,2,0)))</f>
        <v>0</v>
      </c>
      <c r="DL391" s="409" t="s">
        <v>1443</v>
      </c>
      <c r="DM391" s="409">
        <v>20</v>
      </c>
      <c r="DN391" s="411">
        <f t="shared" si="218"/>
        <v>0</v>
      </c>
      <c r="DO391" s="411">
        <f t="shared" si="219"/>
        <v>18.640495867768593</v>
      </c>
      <c r="DP391" s="410">
        <f t="shared" si="220"/>
        <v>0</v>
      </c>
      <c r="DQ391" s="405" t="s">
        <v>547</v>
      </c>
      <c r="DR391" s="409" t="s">
        <v>4958</v>
      </c>
      <c r="DS391" s="420" t="str">
        <f t="shared" si="186"/>
        <v>FLINTSL - GREEN</v>
      </c>
      <c r="DT391" s="409">
        <v>26</v>
      </c>
      <c r="DU391" s="411">
        <f>IF(DT391=0,0,IF($LB391=70%,VLOOKUP($DS391,'Jan-2026 rates'!$L:$R,4,0),IF($LB391=65%,VLOOKUP($DS391,'Jan-2026 rates'!$L:$R,4,0),IF($LB391=40%,VLOOKUP($DS391,'Jan-2026 rates'!$L:$R,5,0),IF($LB391=30%,VLOOKUP($DS391,'Jan-2026 rates'!$L:$R,6,0),IF($LB391=100%,VLOOKUP($DS391,'Jan-2026 rates'!$L:$R,7,0),IF($LB391=60%,VLOOKUP($DS391,'Jan-2026 rates'!$L:$S,8,0),IF($LB391=80%,VLOOKUP($DS391,'Jan-2026 rates'!L:T,9,0),0))))))))</f>
        <v>0</v>
      </c>
      <c r="DV391" s="412" t="s">
        <v>4959</v>
      </c>
      <c r="DW391" s="409">
        <v>25</v>
      </c>
      <c r="DX391" s="411">
        <f>IF(DW391=0,0,IF($LB391=70%,VLOOKUP($DS391,'Jan-2026 rates'!$L:$R,4,0),IF($LB391=65%,VLOOKUP($DS391,'Jan-2026 rates'!$L:$R,4,0),IF($LB391=40%,VLOOKUP($DS391,'Jan-2026 rates'!$L:$R,5,0),IF($LB391=30%,VLOOKUP($DS391,'Jan-2026 rates'!$L:$R,6,0),IF($LB391=100%,VLOOKUP($DS391,'Jan-2026 rates'!$L:$R,7,0),IF($LB391=60%,VLOOKUP($DS391,'Jan-2026 rates'!$L:$S,8,0),IF($LB391=80%,VLOOKUP($DS391,'Jan-2026 rates'!L:T,9,0),0))))))))</f>
        <v>0</v>
      </c>
      <c r="DY391" s="413">
        <v>26531000022</v>
      </c>
      <c r="DZ391" s="413" t="s">
        <v>477</v>
      </c>
      <c r="EA391" s="412">
        <v>26530000034</v>
      </c>
      <c r="EB391" s="412" t="s">
        <v>1264</v>
      </c>
      <c r="EC391" s="412"/>
      <c r="ED391" s="412"/>
      <c r="EE391" s="412"/>
      <c r="EF391" s="412"/>
      <c r="EG391" s="409">
        <v>20</v>
      </c>
      <c r="EH391" s="398" t="e">
        <f>IF(EG391=0,0,IF(LEN(DY391)=11,_xlfn.XLOOKUP(DY391,'Dispensed Ink Rates'!C:C,'Dispensed Ink Rates'!CS:CS),VLOOKUP(DY391,'Jan-2026 rates'!$E:$F,2,0)))</f>
        <v>#N/A</v>
      </c>
      <c r="EI391" s="409">
        <v>30</v>
      </c>
      <c r="EJ391" s="398">
        <f>IF(EI391=0,0,IF(LEN(DZ391)=11,_xlfn.XLOOKUP(DZ391,'Dispensed Ink Rates'!C:C,'Dispensed Ink Rates'!CS:CS),VLOOKUP(DZ391,'Jan-2026 rates'!$E:$F,2,0)))</f>
        <v>0</v>
      </c>
      <c r="EK391" s="409">
        <v>30</v>
      </c>
      <c r="EL391" s="398" t="e">
        <f>IF(EK391=0,0,IF(LEN(EA391)=11,_xlfn.XLOOKUP(EA391,'Dispensed Ink Rates'!C:C,'Dispensed Ink Rates'!CS:CS),VLOOKUP(EA391,'Jan-2026 rates'!$E:$F,2,0)))</f>
        <v>#N/A</v>
      </c>
      <c r="EM391" s="409">
        <v>1.5</v>
      </c>
      <c r="EN391" s="398">
        <f>IF(EM391=0,0,IF(LEN(EB391)=11,_xlfn.XLOOKUP(EB391,'Dispensed Ink Rates'!C:C,'Dispensed Ink Rates'!CS:CS),VLOOKUP(EB391,'Jan-2026 rates'!$E:$F,2,0)))</f>
        <v>0</v>
      </c>
      <c r="EO391" s="409"/>
      <c r="EP391" s="398">
        <f>IF(EO391=0,0,IF(LEN(EC391)=11,_xlfn.XLOOKUP(EC391,'Dispensed Ink Rates'!C:C,'Dispensed Ink Rates'!CS:CS),VLOOKUP(EC391,'Jan-2026 rates'!$E:$F,2,0)))</f>
        <v>0</v>
      </c>
      <c r="EQ391" s="409"/>
      <c r="ER391" s="398">
        <f>IF(EQ391=0,0,IF(LEN(ED391)=11,_xlfn.XLOOKUP(ED391,'Dispensed Ink Rates'!C:C,'Dispensed Ink Rates'!CS:CS),VLOOKUP(ED391,'Jan-2026 rates'!$E:$F,2,0)))</f>
        <v>0</v>
      </c>
      <c r="ES391" s="409"/>
      <c r="ET391" s="398">
        <f>IF(ES391=0,0,IF(LEN(EE391)=11,_xlfn.XLOOKUP(EE391,'Dispensed Ink Rates'!C:C,'Dispensed Ink Rates'!CS:CS),VLOOKUP(EE391,'Jan-2026 rates'!$E:$F,2,0)))</f>
        <v>0</v>
      </c>
      <c r="EU391" s="409"/>
      <c r="EV391" s="398">
        <f>IF(EU391=0,0,IF(LEN(EF391)=11,_xlfn.XLOOKUP(EF391,'Dispensed Ink Rates'!C:C,'Dispensed Ink Rates'!CS:CS),VLOOKUP(EF391,'Jan-2026 rates'!$E:$F,2,0)))</f>
        <v>0</v>
      </c>
      <c r="EW391" s="409" t="s">
        <v>1443</v>
      </c>
      <c r="EX391" s="409">
        <v>24</v>
      </c>
      <c r="EY391" s="411">
        <f t="shared" si="221"/>
        <v>0</v>
      </c>
      <c r="EZ391" s="411">
        <f t="shared" si="222"/>
        <v>144.20247933884298</v>
      </c>
      <c r="FA391" s="410">
        <f t="shared" si="223"/>
        <v>0</v>
      </c>
      <c r="FB391" s="405" t="s">
        <v>855</v>
      </c>
      <c r="FC391" s="409" t="s">
        <v>4960</v>
      </c>
      <c r="FD391" s="420" t="str">
        <f t="shared" si="187"/>
        <v>FLINTSL - CYAN</v>
      </c>
      <c r="FE391" s="409">
        <v>28</v>
      </c>
      <c r="FF391" s="411">
        <f>IF(FE391=0,0,IF($LB391=70%,VLOOKUP($FD391,'Jan-2026 rates'!$L:$R,4,0),IF($LB391=65%,VLOOKUP($FD391,'Jan-2026 rates'!$L:$R,4,0),IF($LB391=40%,VLOOKUP($FD391,'Jan-2026 rates'!$L:$R,5,0),IF($LB391=30%,VLOOKUP($FD391,'Jan-2026 rates'!$L:$R,6,0),IF($LB391=100%,VLOOKUP($FD391,'Jan-2026 rates'!$L:$R,7,0),IF($LB391=60%,VLOOKUP($FD391,'Jan-2026 rates'!$L:$S,8,0),IF($LB391=80%,VLOOKUP($FD391,'Jan-2026 rates'!L:T,9,0),0))))))))</f>
        <v>0</v>
      </c>
      <c r="FG391" s="412"/>
      <c r="FH391" s="409"/>
      <c r="FI391" s="411">
        <f>IF(FH391=0,0,IF($LB391=70%,VLOOKUP($FD391,'Jan-2026 rates'!$L:$R,4,0),IF($LB391=65%,VLOOKUP($FD391,'Jan-2026 rates'!$L:$R,4,0),IF($LB391=40%,VLOOKUP($FD391,'Jan-2026 rates'!$L:$R,5,0),IF($LB391=30%,VLOOKUP($FD391,'Jan-2026 rates'!$L:$R,6,0),IF($LB391=100%,VLOOKUP($FD391,'Jan-2026 rates'!$L:$R,7,0),IF($LB391=60%,VLOOKUP($FD391,'Jan-2026 rates'!$L:$S,8,0),IF($LB391=80%,VLOOKUP($FD391,'Jan-2026 rates'!L:T,9,0),0))))))))</f>
        <v>0</v>
      </c>
      <c r="FJ391" s="413">
        <v>26531000017</v>
      </c>
      <c r="FK391" s="413" t="s">
        <v>1266</v>
      </c>
      <c r="FL391" s="413"/>
      <c r="FM391" s="412"/>
      <c r="FN391" s="412"/>
      <c r="FO391" s="412"/>
      <c r="FP391" s="412"/>
      <c r="FQ391" s="412"/>
      <c r="FR391" s="409">
        <v>20</v>
      </c>
      <c r="FS391" s="398" t="e">
        <f>IF(FR391=0,0,IF(LEN(FJ391)=11,_xlfn.XLOOKUP(FJ391,'Dispensed Ink Rates'!C:C,'Dispensed Ink Rates'!CS:CS),VLOOKUP(FJ391,'Jan-2026 rates'!$E:$F,2,0)))</f>
        <v>#N/A</v>
      </c>
      <c r="FT391" s="409">
        <v>3</v>
      </c>
      <c r="FU391" s="398">
        <f>IF(FT391=0,0,IF(LEN(FK391)=11,_xlfn.XLOOKUP(FK391,'Dispensed Ink Rates'!C:C,'Dispensed Ink Rates'!CS:CS),VLOOKUP(FK391,'Jan-2026 rates'!$E:$F,2,0)))</f>
        <v>0</v>
      </c>
      <c r="FV391" s="409"/>
      <c r="FW391" s="398">
        <f>IF(FV391=0,0,IF(LEN(FL391)=11,_xlfn.XLOOKUP(FL391,'Dispensed Ink Rates'!C:C,'Dispensed Ink Rates'!CS:CS),VLOOKUP(FL391,'Jan-2026 rates'!$E:$F,2,0)))</f>
        <v>0</v>
      </c>
      <c r="FX391" s="409"/>
      <c r="FY391" s="398">
        <f>IF(FX391=0,0,IF(LEN(FM391)=11,_xlfn.XLOOKUP(FM391,'Dispensed Ink Rates'!C:C,'Dispensed Ink Rates'!CS:CS),VLOOKUP(FM391,'Jan-2026 rates'!$E:$F,2,0)))</f>
        <v>0</v>
      </c>
      <c r="FZ391" s="409"/>
      <c r="GA391" s="398">
        <f>IF(FZ391=0,0,IF(LEN(FN391)=11,_xlfn.XLOOKUP(FN391,'Dispensed Ink Rates'!C:C,'Dispensed Ink Rates'!CS:CS),VLOOKUP(FN391,'Jan-2026 rates'!$E:$F,2,0)))</f>
        <v>0</v>
      </c>
      <c r="GB391" s="409"/>
      <c r="GC391" s="398">
        <f>IF(GB391=0,0,IF(LEN(FO391)=11,_xlfn.XLOOKUP(FO391,'Dispensed Ink Rates'!C:C,'Dispensed Ink Rates'!CS:CS),VLOOKUP(FO391,'Jan-2026 rates'!$E:$F,2,0)))</f>
        <v>0</v>
      </c>
      <c r="GD391" s="409"/>
      <c r="GE391" s="398">
        <f>IF(GD391=0,0,IF(LEN(FP391)=11,_xlfn.XLOOKUP(FP391,'Dispensed Ink Rates'!C:C,'Dispensed Ink Rates'!CS:CS),VLOOKUP(FP391,'Jan-2026 rates'!$E:$F,2,0)))</f>
        <v>0</v>
      </c>
      <c r="GF391" s="409"/>
      <c r="GG391" s="398">
        <f>IF(GF391=0,0,IF(LEN(FQ391)=11,_xlfn.XLOOKUP(FQ391,'Dispensed Ink Rates'!C:C,'Dispensed Ink Rates'!CS:CS),VLOOKUP(FQ391,'Jan-2026 rates'!$E:$F,2,0)))</f>
        <v>0</v>
      </c>
      <c r="GH391" s="409" t="s">
        <v>1443</v>
      </c>
      <c r="GI391" s="409">
        <v>27</v>
      </c>
      <c r="GJ391" s="411">
        <f t="shared" si="224"/>
        <v>0</v>
      </c>
      <c r="GK391" s="411">
        <f t="shared" si="225"/>
        <v>28.760330578512395</v>
      </c>
      <c r="GL391" s="410">
        <f t="shared" si="226"/>
        <v>0</v>
      </c>
      <c r="GM391" s="405" t="s">
        <v>544</v>
      </c>
      <c r="GN391" s="409" t="s">
        <v>4961</v>
      </c>
      <c r="GO391" s="420" t="str">
        <f t="shared" si="188"/>
        <v>FLINTSL - MAGENTA</v>
      </c>
      <c r="GP391" s="409">
        <v>29</v>
      </c>
      <c r="GQ391" s="411">
        <f>IF(GP391=0,0,IF($LB391=70%,VLOOKUP($GO391,'Jan-2026 rates'!$L:$R,4,0),IF($LB391=65%,VLOOKUP($GO391,'Jan-2026 rates'!$L:$R,4,0),IF($LB391=40%,VLOOKUP($GO391,'Jan-2026 rates'!$L:$R,5,0),IF($LB391=30%,VLOOKUP($GO391,'Jan-2026 rates'!$L:$R,6,0),IF($LB391=100%,VLOOKUP($GO391,'Jan-2026 rates'!$L:$R,7,0),IF($LB391=60%,VLOOKUP($GO391,'Jan-2026 rates'!$L:$S,8,0),IF($LB391=80%,VLOOKUP($GO391,'Jan-2026 rates'!L:T,9,0),0))))))))</f>
        <v>0</v>
      </c>
      <c r="GR391" s="412"/>
      <c r="GS391" s="409"/>
      <c r="GT391" s="411">
        <f>IF(GS391=0,0,IF($LB391=70%,VLOOKUP($GO391,'Jan-2026 rates'!$L:$R,4,0),IF($LB391=65%,VLOOKUP($GO391,'Jan-2026 rates'!$L:$R,4,0),IF($LB391=40%,VLOOKUP($GO391,'Jan-2026 rates'!$L:$R,5,0),IF($LB391=30%,VLOOKUP($GO391,'Jan-2026 rates'!$L:$R,6,0),IF($LB391=100%,VLOOKUP($GO391,'Jan-2026 rates'!$L:$R,7,0),IF($LB391=60%,VLOOKUP($GO391,'Jan-2026 rates'!$L:$S,8,0),IF($LB391=80%,VLOOKUP($GO391,'Jan-2026 rates'!L:T,9,0),0))))))))</f>
        <v>0</v>
      </c>
      <c r="GU391" s="413"/>
      <c r="GV391" s="413"/>
      <c r="GW391" s="412"/>
      <c r="GX391" s="412"/>
      <c r="GY391" s="412"/>
      <c r="GZ391" s="412"/>
      <c r="HA391" s="412"/>
      <c r="HB391" s="412"/>
      <c r="HC391" s="409"/>
      <c r="HD391" s="398">
        <f>IF(HC391=0,0,IF(LEN(GU391)=11,_xlfn.XLOOKUP(GU391,'Dispensed Ink Rates'!C:C,'Dispensed Ink Rates'!CS:CS),VLOOKUP(GU391,'Jan-2026 rates'!$E:$F,2,0)))</f>
        <v>0</v>
      </c>
      <c r="HE391" s="409"/>
      <c r="HF391" s="398">
        <f>IF(HE391=0,0,IF(LEN(GV391)=11,_xlfn.XLOOKUP(GV391,'Dispensed Ink Rates'!C:C,'Dispensed Ink Rates'!CS:CS),VLOOKUP(GV391,'Jan-2026 rates'!$E:$F,2,0)))</f>
        <v>0</v>
      </c>
      <c r="HG391" s="409"/>
      <c r="HH391" s="398">
        <f>IF(HG391=0,0,IF(LEN(GW391)=11,_xlfn.XLOOKUP(GW391,'Dispensed Ink Rates'!C:C,'Dispensed Ink Rates'!CS:CS),VLOOKUP(GW391,'Jan-2026 rates'!$E:$F,2,0)))</f>
        <v>0</v>
      </c>
      <c r="HI391" s="409"/>
      <c r="HJ391" s="398">
        <f>IF(HI391=0,0,IF(LEN(GX391)=11,_xlfn.XLOOKUP(GX391,'Dispensed Ink Rates'!C:C,'Dispensed Ink Rates'!CS:CS),VLOOKUP(GX391,'Jan-2026 rates'!$E:$F,2,0)))</f>
        <v>0</v>
      </c>
      <c r="HK391" s="409"/>
      <c r="HL391" s="398">
        <f>IF(HK391=0,0,IF(LEN(GY391)=11,_xlfn.XLOOKUP(GY391,'Dispensed Ink Rates'!C:C,'Dispensed Ink Rates'!CS:CS),VLOOKUP(GY391,'Jan-2026 rates'!$E:$F,2,0)))</f>
        <v>0</v>
      </c>
      <c r="HM391" s="409"/>
      <c r="HN391" s="398">
        <f>IF(HM391=0,0,IF(LEN(GZ391)=11,_xlfn.XLOOKUP(GZ391,'Dispensed Ink Rates'!C:C,'Dispensed Ink Rates'!CS:CS),VLOOKUP(GZ391,'Jan-2026 rates'!$E:$F,2,0)))</f>
        <v>0</v>
      </c>
      <c r="HO391" s="409"/>
      <c r="HP391" s="398">
        <f>IF(HO391=0,0,IF(LEN(HA391)=11,_xlfn.XLOOKUP(HA391,'Dispensed Ink Rates'!C:C,'Dispensed Ink Rates'!CS:CS),VLOOKUP(HA391,'Jan-2026 rates'!$E:$F,2,0)))</f>
        <v>0</v>
      </c>
      <c r="HQ391" s="409"/>
      <c r="HR391" s="398">
        <f>IF(HQ391=0,0,IF(LEN(HB391)=11,_xlfn.XLOOKUP(HB391,'Dispensed Ink Rates'!C:C,'Dispensed Ink Rates'!CS:CS),VLOOKUP(HB391,'Jan-2026 rates'!$E:$F,2,0)))</f>
        <v>0</v>
      </c>
      <c r="HS391" s="409" t="s">
        <v>1443</v>
      </c>
      <c r="HT391" s="409">
        <v>28</v>
      </c>
      <c r="HU391" s="411">
        <f t="shared" si="227"/>
        <v>0</v>
      </c>
      <c r="HV391" s="411">
        <f t="shared" si="228"/>
        <v>5.760330578512395</v>
      </c>
      <c r="HW391" s="414">
        <f t="shared" si="229"/>
        <v>0</v>
      </c>
      <c r="HX391" s="405" t="s">
        <v>545</v>
      </c>
      <c r="HY391" s="409" t="s">
        <v>4962</v>
      </c>
      <c r="HZ391" s="420" t="str">
        <f t="shared" si="189"/>
        <v>FLINTSL - YELLOW</v>
      </c>
      <c r="IA391" s="409">
        <v>28</v>
      </c>
      <c r="IB391" s="411">
        <f>IF(IA391=0,0,IF($LB391=70%,VLOOKUP($HZ391,'Jan-2026 rates'!$L:$R,4,0),IF($LB391=65%,VLOOKUP($HZ391,'Jan-2026 rates'!$L:$R,4,0),IF($LB391=40%,VLOOKUP($HZ391,'Jan-2026 rates'!$L:$R,5,0),IF($LB391=30%,VLOOKUP($HZ391,'Jan-2026 rates'!$L:$R,6,0),IF($LB391=100%,VLOOKUP($HZ391,'Jan-2026 rates'!$L:$R,7,0),IF($LB391=60%,VLOOKUP($HZ391,'Jan-2026 rates'!$L:$S,8,0),IF($LB391=80%,VLOOKUP($HZ391,'Jan-2026 rates'!L:T,9,0),0))))))))</f>
        <v>0</v>
      </c>
      <c r="IC391" s="412"/>
      <c r="ID391" s="409"/>
      <c r="IE391" s="411">
        <f>IF(ID391=0,0,IF($LB391=70%,VLOOKUP($HZ391,'Jan-2026 rates'!$L:$R,4,0),IF($LB391=65%,VLOOKUP($HZ391,'Jan-2026 rates'!$L:$R,4,0),IF($LB391=40%,VLOOKUP($HZ391,'Jan-2026 rates'!$L:$R,5,0),IF($LB391=30%,VLOOKUP($HZ391,'Jan-2026 rates'!$L:$R,6,0),IF($LB391=100%,VLOOKUP($HZ391,'Jan-2026 rates'!$L:$R,7,0),IF($LB391=60%,VLOOKUP($HZ391,'Jan-2026 rates'!$L:$S,8,0),IF($LB391=80%,VLOOKUP($HZ391,'Jan-2026 rates'!L:T,9,0),0))))))))</f>
        <v>0</v>
      </c>
      <c r="IF391" s="412">
        <v>26530000021</v>
      </c>
      <c r="IG391" s="413"/>
      <c r="IH391" s="412"/>
      <c r="II391" s="412"/>
      <c r="IJ391" s="412"/>
      <c r="IK391" s="412"/>
      <c r="IL391" s="412"/>
      <c r="IM391" s="412"/>
      <c r="IN391" s="409">
        <v>4</v>
      </c>
      <c r="IO391" s="398" t="e">
        <f>IF(IN391=0,0,IF(LEN(IF391)=11,_xlfn.XLOOKUP(IF391,'Dispensed Ink Rates'!C:C,'Dispensed Ink Rates'!CS:CS),VLOOKUP(IF391,'Jan-2026 rates'!$E:$F,2,0)))</f>
        <v>#N/A</v>
      </c>
      <c r="IP391" s="409"/>
      <c r="IQ391" s="398">
        <f>IF(IP391=0,0,IF(LEN(IG391)=11,_xlfn.XLOOKUP(IG391,'Dispensed Ink Rates'!C:C,'Dispensed Ink Rates'!CS:CS),VLOOKUP(IG391,'Jan-2026 rates'!$E:$F,2,0)))</f>
        <v>0</v>
      </c>
      <c r="IR391" s="409"/>
      <c r="IS391" s="398">
        <f>IF(IR391=0,0,IF(LEN(IH391)=11,_xlfn.XLOOKUP(IH391,'Dispensed Ink Rates'!C:C,'Dispensed Ink Rates'!CS:CS),VLOOKUP(IH391,'Jan-2026 rates'!$E:$F,2,0)))</f>
        <v>0</v>
      </c>
      <c r="IT391" s="409"/>
      <c r="IU391" s="398">
        <f>IF(IT391=0,0,IF(LEN(II391)=11,_xlfn.XLOOKUP(II391,'Dispensed Ink Rates'!C:C,'Dispensed Ink Rates'!CS:CS),VLOOKUP(II391,'Jan-2026 rates'!$E:$F,2,0)))</f>
        <v>0</v>
      </c>
      <c r="IV391" s="409"/>
      <c r="IW391" s="398">
        <f>IF(IV391=0,0,IF(LEN(IJ391)=11,_xlfn.XLOOKUP(IJ391,'Dispensed Ink Rates'!C:C,'Dispensed Ink Rates'!CS:CS),VLOOKUP(IJ391,'Jan-2026 rates'!$E:$F,2,0)))</f>
        <v>0</v>
      </c>
      <c r="IX391" s="409"/>
      <c r="IY391" s="398">
        <f>IF(IX391=0,0,IF(LEN(IK391)=11,_xlfn.XLOOKUP(IK391,'Dispensed Ink Rates'!C:C,'Dispensed Ink Rates'!CS:CS),VLOOKUP(IK391,'Jan-2026 rates'!$E:$F,2,0)))</f>
        <v>0</v>
      </c>
      <c r="IZ391" s="409"/>
      <c r="JA391" s="398">
        <f>IF(IZ391=0,0,IF(LEN(IL391)=11,_xlfn.XLOOKUP(IL391,'Dispensed Ink Rates'!C:C,'Dispensed Ink Rates'!CS:CS),VLOOKUP(IL391,'Jan-2026 rates'!$E:$F,2,0)))</f>
        <v>0</v>
      </c>
      <c r="JB391" s="409"/>
      <c r="JC391" s="398">
        <f>IF(JB391=0,0,IF(LEN(IM391)=11,_xlfn.XLOOKUP(IM391,'Dispensed Ink Rates'!C:C,'Dispensed Ink Rates'!CS:CS),VLOOKUP(IM391,'Jan-2026 rates'!$E:$F,2,0)))</f>
        <v>0</v>
      </c>
      <c r="JD391" s="409" t="s">
        <v>1443</v>
      </c>
      <c r="JE391" s="409">
        <v>27</v>
      </c>
      <c r="JF391" s="411">
        <f t="shared" si="230"/>
        <v>0</v>
      </c>
      <c r="JG391" s="411">
        <f t="shared" si="231"/>
        <v>16.900826446280988</v>
      </c>
      <c r="JH391" s="410">
        <f t="shared" si="232"/>
        <v>0</v>
      </c>
      <c r="JI391" s="405" t="s">
        <v>856</v>
      </c>
      <c r="JJ391" s="409" t="s">
        <v>4963</v>
      </c>
      <c r="JK391" s="420" t="str">
        <f t="shared" si="190"/>
        <v>FLINTSL - WHITE</v>
      </c>
      <c r="JL391" s="409">
        <v>30</v>
      </c>
      <c r="JM391" s="411">
        <f>IF(JL391=0,0,IF($LB391=70%,VLOOKUP($JK391,'Jan-2026 rates'!$L:$R,4,0),IF($LB391=65%,VLOOKUP($JK391,'Jan-2026 rates'!$L:$R,4,0),IF($LB391=40%,VLOOKUP($JK391,'Jan-2026 rates'!$L:$R,5,0),IF($LB391=30%,VLOOKUP($JK391,'Jan-2026 rates'!$L:$R,6,0),IF($LB391=100%,VLOOKUP($JK391,'Jan-2026 rates'!$L:$R,7,0),IF($LB391=60%,VLOOKUP($JK391,'Jan-2026 rates'!$L:$S,8,0),IF($LB391=80%,VLOOKUP($JK391,'Jan-2026 rates'!L:T,9,0),0))))))))</f>
        <v>0</v>
      </c>
      <c r="JN391" s="412"/>
      <c r="JO391" s="409"/>
      <c r="JP391" s="411">
        <f>IF(JO391=0,0,IF($LB391=70%,VLOOKUP($JK391,'Jan-2026 rates'!$L:$R,4,0),IF($LB391=65%,VLOOKUP($JK391,'Jan-2026 rates'!$L:$R,4,0),IF($LB391=40%,VLOOKUP($JK391,'Jan-2026 rates'!$L:$R,5,0),IF($LB391=30%,VLOOKUP($JK391,'Jan-2026 rates'!$L:$R,6,0),IF($LB391=100%,VLOOKUP($JK391,'Jan-2026 rates'!$L:$R,7,0),IF($LB391=60%,VLOOKUP($JK391,'Jan-2026 rates'!$L:$S,8,0),IF($LB391=80%,VLOOKUP($JK391,'Jan-2026 rates'!L:T,9,0),0))))))))</f>
        <v>0</v>
      </c>
      <c r="JQ391" s="413" t="s">
        <v>484</v>
      </c>
      <c r="JR391" s="412"/>
      <c r="JS391" s="413"/>
      <c r="JT391" s="413"/>
      <c r="JU391" s="412"/>
      <c r="JV391" s="412"/>
      <c r="JW391" s="412"/>
      <c r="JX391" s="412"/>
      <c r="JY391" s="409">
        <f>50+100</f>
        <v>150</v>
      </c>
      <c r="JZ391" s="398">
        <f>IF(JY391=0,0,IF(LEN(JQ391)=11,_xlfn.XLOOKUP(JQ391,'Dispensed Ink Rates'!C:C,'Dispensed Ink Rates'!CS:CS),VLOOKUP(JQ391,'Jan-2026 rates'!$E:$F,2,0)))</f>
        <v>0</v>
      </c>
      <c r="KA391" s="409"/>
      <c r="KB391" s="398">
        <f>IF(KA391=0,0,IF(LEN(JR391)=11,_xlfn.XLOOKUP(JR391,'Dispensed Ink Rates'!C:C,'Dispensed Ink Rates'!CS:CS),VLOOKUP(JR391,'Jan-2026 rates'!$E:$F,2,0)))</f>
        <v>0</v>
      </c>
      <c r="KC391" s="409"/>
      <c r="KD391" s="398">
        <f>IF(KC391=0,0,IF(LEN(JS391)=11,_xlfn.XLOOKUP(JS391,'Dispensed Ink Rates'!C:C,'Dispensed Ink Rates'!CS:CS),VLOOKUP(JS391,'Jan-2026 rates'!$E:$F,2,0)))</f>
        <v>0</v>
      </c>
      <c r="KE391" s="409"/>
      <c r="KF391" s="398">
        <f>IF(KE391=0,0,IF(LEN(JT391)=11,_xlfn.XLOOKUP(JT391,'Dispensed Ink Rates'!C:C,'Dispensed Ink Rates'!CS:CS),VLOOKUP(JT391,'Jan-2026 rates'!$E:$F,2,0)))</f>
        <v>0</v>
      </c>
      <c r="KG391" s="409"/>
      <c r="KH391" s="398">
        <f>IF(KG391=0,0,IF(LEN(JU391)=11,_xlfn.XLOOKUP(JU391,'Dispensed Ink Rates'!C:C,'Dispensed Ink Rates'!CS:CS),VLOOKUP(JU391,'Jan-2026 rates'!$E:$F,2,0)))</f>
        <v>0</v>
      </c>
      <c r="KI391" s="409"/>
      <c r="KJ391" s="398">
        <f>IF(KI391=0,0,IF(LEN(JV391)=11,_xlfn.XLOOKUP(JV391,'Dispensed Ink Rates'!C:C,'Dispensed Ink Rates'!CS:CS),VLOOKUP(JV391,'Jan-2026 rates'!$E:$F,2,0)))</f>
        <v>0</v>
      </c>
      <c r="KK391" s="409"/>
      <c r="KL391" s="398">
        <f>IF(KK391=0,0,IF(LEN(JW391)=11,_xlfn.XLOOKUP(JW391,'Dispensed Ink Rates'!C:C,'Dispensed Ink Rates'!CS:CS),VLOOKUP(JW391,'Jan-2026 rates'!$E:$F,2,0)))</f>
        <v>0</v>
      </c>
      <c r="KM391" s="428"/>
      <c r="KN391" s="398">
        <f>IF(KM391=0,0,IF(LEN(JX391)=11,_xlfn.XLOOKUP(JX391,'Dispensed Ink Rates'!C:C,'Dispensed Ink Rates'!CS:CS),VLOOKUP(JX391,'Jan-2026 rates'!$E:$F,2,0)))</f>
        <v>0</v>
      </c>
      <c r="KO391" s="409" t="s">
        <v>1443</v>
      </c>
      <c r="KP391" s="409">
        <v>30</v>
      </c>
      <c r="KQ391" s="411">
        <f t="shared" si="233"/>
        <v>0</v>
      </c>
      <c r="KR391" s="411">
        <f t="shared" si="234"/>
        <v>364.21487603305786</v>
      </c>
      <c r="KS391" s="410">
        <f t="shared" si="235"/>
        <v>0</v>
      </c>
      <c r="KT391" s="409">
        <v>2</v>
      </c>
      <c r="KU391" s="409">
        <v>2</v>
      </c>
      <c r="KV391" s="409">
        <v>3</v>
      </c>
      <c r="KW391" s="409">
        <v>15</v>
      </c>
      <c r="KX391" s="409">
        <v>2</v>
      </c>
      <c r="KY391" s="409">
        <v>2</v>
      </c>
      <c r="KZ391" s="409">
        <v>5</v>
      </c>
      <c r="LA391" s="409">
        <f>30+60</f>
        <v>90</v>
      </c>
      <c r="LB391" s="415">
        <v>0.8</v>
      </c>
      <c r="LC391" s="415">
        <v>0.2</v>
      </c>
      <c r="LD391" s="424"/>
      <c r="LE391" s="415"/>
      <c r="LF391" s="415"/>
      <c r="LG391" s="409">
        <v>0</v>
      </c>
      <c r="LH391" s="409">
        <f>90+68+104+26</f>
        <v>288</v>
      </c>
      <c r="LI391" s="409">
        <v>0</v>
      </c>
      <c r="LJ391" s="409">
        <v>0</v>
      </c>
      <c r="LK391" s="416">
        <f t="shared" si="191"/>
        <v>288</v>
      </c>
      <c r="LL391" s="416">
        <f t="shared" si="349"/>
        <v>288</v>
      </c>
      <c r="LM391" s="417">
        <f t="shared" si="193"/>
        <v>230.4</v>
      </c>
      <c r="LN391" s="417">
        <f>VLOOKUP($LM$8,'Jan-2026 rates'!$H:$I,2,0)</f>
        <v>0</v>
      </c>
      <c r="LO391" s="417">
        <f t="shared" si="194"/>
        <v>57.6</v>
      </c>
      <c r="LP391" s="417">
        <f>VLOOKUP($LO$8,'Jan-2026 rates'!$H:$I,2,0)</f>
        <v>0</v>
      </c>
      <c r="LQ391" s="417">
        <f t="shared" si="195"/>
        <v>0</v>
      </c>
      <c r="LR391" s="417">
        <f>VLOOKUP($LQ$8,'Jan-2026 rates'!$H:$I,2,0)</f>
        <v>0</v>
      </c>
      <c r="LS391" s="417">
        <f t="shared" si="196"/>
        <v>0</v>
      </c>
      <c r="LT391" s="417">
        <f>VLOOKUP($LS$8,'Jan-2026 rates'!$H:$I,2,0)</f>
        <v>0</v>
      </c>
      <c r="LU391" s="417">
        <f t="shared" si="197"/>
        <v>0</v>
      </c>
      <c r="LV391" s="417">
        <f>VLOOKUP($LU$8,'Jan-2026 rates'!$H:$I,2,0)</f>
        <v>0</v>
      </c>
      <c r="LW391" s="417">
        <f t="shared" si="198"/>
        <v>0</v>
      </c>
      <c r="LX391" s="417">
        <f t="shared" si="199"/>
        <v>0</v>
      </c>
      <c r="LY391" s="418">
        <f t="shared" si="200"/>
        <v>0</v>
      </c>
      <c r="LZ391" s="417"/>
      <c r="MA391" s="435">
        <f t="shared" si="201"/>
        <v>262</v>
      </c>
      <c r="MB391" s="282">
        <f t="shared" si="202"/>
        <v>594</v>
      </c>
      <c r="MC391" s="283">
        <v>232</v>
      </c>
      <c r="MD391" s="284" t="str">
        <f t="shared" si="203"/>
        <v>FLINTSLFLINTSLFLINTSLFLINTSLFLINTSLFLINTSLFLINTSLFLINTSL</v>
      </c>
      <c r="ME391" s="293" t="str">
        <f t="shared" si="204"/>
        <v>+</v>
      </c>
      <c r="MF391" s="293" t="str">
        <f t="shared" si="205"/>
        <v>+</v>
      </c>
      <c r="MG391" s="293" t="str">
        <f t="shared" si="206"/>
        <v>+</v>
      </c>
      <c r="MH391" s="293" t="str">
        <f t="shared" si="207"/>
        <v>+</v>
      </c>
      <c r="MI391" s="293" t="str">
        <f t="shared" si="208"/>
        <v>+</v>
      </c>
      <c r="MJ391" s="293" t="str">
        <f t="shared" si="209"/>
        <v>+</v>
      </c>
      <c r="MK391" s="293" t="str">
        <f t="shared" si="210"/>
        <v>+</v>
      </c>
      <c r="ML391" s="293" t="str">
        <f t="shared" si="211"/>
        <v>+</v>
      </c>
      <c r="MM391" s="3" t="b">
        <f t="array" ref="MM391">OR(ME391:ML391="-")</f>
        <v>0</v>
      </c>
      <c r="MO391" s="401">
        <f t="shared" si="350"/>
        <v>61.939520333680917</v>
      </c>
      <c r="MP391" s="286"/>
      <c r="MR391" s="402">
        <f t="shared" si="351"/>
        <v>1.135755258126195E-2</v>
      </c>
      <c r="MS391" s="400">
        <f t="shared" si="352"/>
        <v>0</v>
      </c>
      <c r="MT391" s="285"/>
      <c r="NH391" s="361"/>
      <c r="NJ391" s="282"/>
    </row>
    <row r="392" spans="1:374" ht="16.5">
      <c r="A392" s="403">
        <v>46053</v>
      </c>
      <c r="B392" s="404" t="s">
        <v>1015</v>
      </c>
      <c r="C392" s="405" t="s">
        <v>4964</v>
      </c>
      <c r="D392" s="404">
        <v>233</v>
      </c>
      <c r="E392" s="404">
        <v>740</v>
      </c>
      <c r="F392" s="407">
        <v>25400</v>
      </c>
      <c r="G392" s="407" t="s">
        <v>1016</v>
      </c>
      <c r="H392" s="408" t="s">
        <v>1017</v>
      </c>
      <c r="I392" s="409">
        <v>1.25</v>
      </c>
      <c r="J392" s="405" t="s">
        <v>543</v>
      </c>
      <c r="K392" s="404" t="s">
        <v>4965</v>
      </c>
      <c r="L392" s="419" t="str">
        <f t="shared" si="184"/>
        <v>FLINTSL - BLACK</v>
      </c>
      <c r="M392" s="404">
        <v>27</v>
      </c>
      <c r="N392" s="410">
        <f>IF(M392=0,0,IF($LB392=70%,VLOOKUP($L392,'Jan-2026 rates'!$L:$R,4,0),IF($LB392=65%,VLOOKUP($L392,'Jan-2026 rates'!$L:$R,4,0),IF($LB392=40%,VLOOKUP($L392,'Jan-2026 rates'!$L:$R,5,0),IF($LB392=30%,VLOOKUP($L392,'Jan-2026 rates'!$L:$R,6,0),IF($LB392=100%,VLOOKUP($L392,'Jan-2026 rates'!$L:$R,7,0),IF($LB392=60%,VLOOKUP($L392,'Jan-2026 rates'!$L:$S,8,0),IF($LB392=80%,VLOOKUP($L392,'Jan-2026 rates'!L:T,9,0),0))))))))</f>
        <v>0</v>
      </c>
      <c r="O392" s="406"/>
      <c r="P392" s="404"/>
      <c r="Q392" s="410">
        <f>IF(P392=0,0,IF($LB392=70%,VLOOKUP($L392,'Jan-2026 rates'!$L:$R,4,0),IF($LB392=65%,VLOOKUP($L392,'Jan-2026 rates'!$L:$R,4,0),IF($LB392=40%,VLOOKUP($L392,'Jan-2026 rates'!$L:$R,5,0),IF($LB392=30%,VLOOKUP($L392,'Jan-2026 rates'!$L:$R,6,0),IF($LB392=100%,VLOOKUP($L392,'Jan-2026 rates'!$L:$R,7,0),IF($LB392=60%,VLOOKUP($L392,'Jan-2026 rates'!$L:$S,8,0),IF($LB392=80%,VLOOKUP($L392,'Jan-2026 rates'!L:T,9,0),0))))))))</f>
        <v>0</v>
      </c>
      <c r="R392" s="406" t="s">
        <v>1264</v>
      </c>
      <c r="S392" s="406"/>
      <c r="T392" s="406"/>
      <c r="U392" s="406"/>
      <c r="V392" s="406"/>
      <c r="W392" s="406"/>
      <c r="X392" s="406"/>
      <c r="Y392" s="406"/>
      <c r="Z392" s="404">
        <v>5</v>
      </c>
      <c r="AA392" s="398">
        <f>IF(Z392=0,0,IF(LEN(R392)=11,_xlfn.XLOOKUP(R392,'Dispensed Ink Rates'!C:C,'Dispensed Ink Rates'!CS:CS),VLOOKUP(R392,'Jan-2026 rates'!$E:$F,2,0)))</f>
        <v>0</v>
      </c>
      <c r="AB392" s="404"/>
      <c r="AC392" s="398">
        <f>IF(AB392=0,0,IF(LEN(S392)=11,_xlfn.XLOOKUP(S392,'Dispensed Ink Rates'!C:C,'Dispensed Ink Rates'!CS:CS),VLOOKUP(S392,'Jan-2026 rates'!$E:$F,2,0)))</f>
        <v>0</v>
      </c>
      <c r="AD392" s="404"/>
      <c r="AE392" s="398">
        <f>IF(AD392=0,0,IF(LEN(T392)=11,_xlfn.XLOOKUP(T392,'Dispensed Ink Rates'!C:C,'Dispensed Ink Rates'!CS:CS),VLOOKUP(T392,'Jan-2026 rates'!$E:$F,2,0)))</f>
        <v>0</v>
      </c>
      <c r="AF392" s="404"/>
      <c r="AG392" s="398">
        <f>IF(AF392=0,0,IF(LEN(U392)=11,_xlfn.XLOOKUP(U392,'Dispensed Ink Rates'!C:C,'Dispensed Ink Rates'!CS:CS),VLOOKUP(U392,'Jan-2026 rates'!$E:$F,2,0)))</f>
        <v>0</v>
      </c>
      <c r="AH392" s="404"/>
      <c r="AI392" s="398">
        <f>IF(AH392=0,0,IF(LEN(V392)=11,_xlfn.XLOOKUP(V392,'Dispensed Ink Rates'!C:C,'Dispensed Ink Rates'!CS:CS),VLOOKUP(V392,'Jan-2026 rates'!$E:$F,2,0)))</f>
        <v>0</v>
      </c>
      <c r="AJ392" s="404"/>
      <c r="AK392" s="398">
        <f>IF(AJ392=0,0,IF(LEN(W392)=11,_xlfn.XLOOKUP(W392,'Dispensed Ink Rates'!C:C,'Dispensed Ink Rates'!CS:CS),VLOOKUP(W392,'Jan-2026 rates'!$E:$F,2,0)))</f>
        <v>0</v>
      </c>
      <c r="AL392" s="404"/>
      <c r="AM392" s="398">
        <f>IF(AL392=0,0,IF(LEN(X392)=11,_xlfn.XLOOKUP(X392,'Dispensed Ink Rates'!C:C,'Dispensed Ink Rates'!CS:CS),VLOOKUP(X392,'Jan-2026 rates'!$E:$F,2,0)))</f>
        <v>0</v>
      </c>
      <c r="AN392" s="404"/>
      <c r="AO392" s="398">
        <f>IF(AN392=0,0,IF(LEN(Y392)=11,_xlfn.XLOOKUP(Y392,'Dispensed Ink Rates'!C:C,'Dispensed Ink Rates'!CS:CS),VLOOKUP(Y392,'Jan-2026 rates'!$E:$F,2,0)))</f>
        <v>0</v>
      </c>
      <c r="AP392" s="409" t="s">
        <v>1443</v>
      </c>
      <c r="AQ392" s="409">
        <v>28</v>
      </c>
      <c r="AR392" s="410">
        <f t="shared" si="212"/>
        <v>0</v>
      </c>
      <c r="AS392" s="411">
        <f t="shared" si="213"/>
        <v>11.655172413793103</v>
      </c>
      <c r="AT392" s="410">
        <f t="shared" si="214"/>
        <v>0</v>
      </c>
      <c r="AU392" s="405" t="s">
        <v>546</v>
      </c>
      <c r="AV392" s="409" t="s">
        <v>4924</v>
      </c>
      <c r="AW392" s="420" t="str">
        <f t="shared" si="348"/>
        <v>FLINTSL - REFLEX BLUE</v>
      </c>
      <c r="AX392" s="409">
        <v>26</v>
      </c>
      <c r="AY392" s="411">
        <f>IF(AX392=0,0,IF($LB392=70%,VLOOKUP($AW392,'Jan-2026 rates'!$L:$R,4,0),IF($LB392=65%,VLOOKUP($AW392,'Jan-2026 rates'!$L:$R,4,0),IF($LB392=40%,VLOOKUP($AW392,'Jan-2026 rates'!$L:$R,5,0),IF($LB392=30%,VLOOKUP($AW392,'Jan-2026 rates'!$L:$R,6,0),IF($LB392=100%,VLOOKUP($AW392,'Jan-2026 rates'!$L:$R,7,0),IF($LB392=60%,VLOOKUP($AW392,'Jan-2026 rates'!$L:$S,8,0),IF($LB392=80%,VLOOKUP($AW392,'Jan-2026 rates'!L:T,9,0),0))))))))</f>
        <v>0</v>
      </c>
      <c r="AZ392" s="412"/>
      <c r="BA392" s="409"/>
      <c r="BB392" s="411">
        <f>IF(BA392=0,0,IF($LB392=70%,VLOOKUP($AW392,'Jan-2026 rates'!$L:$R,4,0),IF($LB392=65%,VLOOKUP($AW392,'Jan-2026 rates'!$L:$R,4,0),IF($LB392=40%,VLOOKUP($AW392,'Jan-2026 rates'!$L:$R,5,0),IF($LB392=30%,VLOOKUP($AW392,'Jan-2026 rates'!$L:$R,6,0),IF($LB392=100%,VLOOKUP($AW392,'Jan-2026 rates'!$L:$R,7,0),IF($LB392=60%,VLOOKUP($AW392,'Jan-2026 rates'!$L:$S,8,0),IF($LB392=80%,VLOOKUP($AW392,'Jan-2026 rates'!L:T,9,0),0))))))))</f>
        <v>0</v>
      </c>
      <c r="BC392" s="413" t="s">
        <v>477</v>
      </c>
      <c r="BD392" s="412" t="s">
        <v>1265</v>
      </c>
      <c r="BE392" s="412"/>
      <c r="BF392" s="413"/>
      <c r="BG392" s="412"/>
      <c r="BH392" s="412"/>
      <c r="BI392" s="412"/>
      <c r="BJ392" s="412"/>
      <c r="BK392" s="409">
        <v>4</v>
      </c>
      <c r="BL392" s="398">
        <f>IF(BK392=0,0,IF(LEN(BC392)=11,_xlfn.XLOOKUP(BC392,'Dispensed Ink Rates'!C:C,'Dispensed Ink Rates'!CS:CS),VLOOKUP(BC392,'Jan-2026 rates'!$E:$F,2,0)))</f>
        <v>0</v>
      </c>
      <c r="BM392" s="409">
        <v>3</v>
      </c>
      <c r="BN392" s="398">
        <f>IF(BM392=0,0,IF(LEN(BD392)=11,_xlfn.XLOOKUP(BD392,'Dispensed Ink Rates'!C:C,'Dispensed Ink Rates'!CS:CS),VLOOKUP(BD392,'Jan-2026 rates'!$E:$F,2,0)))</f>
        <v>0</v>
      </c>
      <c r="BO392" s="409"/>
      <c r="BP392" s="398">
        <f>IF(BO392=0,0,IF(LEN(BE392)=11,_xlfn.XLOOKUP(BE392,'Dispensed Ink Rates'!C:C,'Dispensed Ink Rates'!CS:CS),VLOOKUP(BE392,'Jan-2026 rates'!$E:$F,2,0)))</f>
        <v>0</v>
      </c>
      <c r="BQ392" s="409"/>
      <c r="BR392" s="398">
        <f>IF(BQ392=0,0,IF(LEN(BF392)=11,_xlfn.XLOOKUP(BF392,'Dispensed Ink Rates'!C:C,'Dispensed Ink Rates'!CS:CS),VLOOKUP(BF392,'Jan-2026 rates'!$E:$F,2,0)))</f>
        <v>0</v>
      </c>
      <c r="BS392" s="409"/>
      <c r="BT392" s="398">
        <f>IF(BS392=0,0,IF(LEN(BG392)=11,_xlfn.XLOOKUP(BG392,'Dispensed Ink Rates'!C:C,'Dispensed Ink Rates'!CS:CS),VLOOKUP(BG392,'Jan-2026 rates'!$E:$F,2,0)))</f>
        <v>0</v>
      </c>
      <c r="BU392" s="409"/>
      <c r="BV392" s="398">
        <f>IF(BU392=0,0,IF(LEN(BH392)=11,_xlfn.XLOOKUP(BH392,'Dispensed Ink Rates'!C:C,'Dispensed Ink Rates'!CS:CS),VLOOKUP(BH392,'Jan-2026 rates'!$E:$F,2,0)))</f>
        <v>0</v>
      </c>
      <c r="BW392" s="409"/>
      <c r="BX392" s="398">
        <f>IF(BW392=0,0,IF(LEN(BI392)=11,_xlfn.XLOOKUP(BI392,'Dispensed Ink Rates'!C:C,'Dispensed Ink Rates'!CS:CS),VLOOKUP(BI392,'Jan-2026 rates'!$E:$F,2,0)))</f>
        <v>0</v>
      </c>
      <c r="BY392" s="409"/>
      <c r="BZ392" s="398">
        <f>IF(BY392=0,0,IF(LEN(BJ392)=11,_xlfn.XLOOKUP(BJ392,'Dispensed Ink Rates'!C:C,'Dispensed Ink Rates'!CS:CS),VLOOKUP(BJ392,'Jan-2026 rates'!$E:$F,2,0)))</f>
        <v>0</v>
      </c>
      <c r="CA392" s="409" t="s">
        <v>1443</v>
      </c>
      <c r="CB392" s="409">
        <v>28</v>
      </c>
      <c r="CC392" s="411">
        <f t="shared" si="215"/>
        <v>0</v>
      </c>
      <c r="CD392" s="411">
        <f t="shared" si="216"/>
        <v>12.655172413793103</v>
      </c>
      <c r="CE392" s="410">
        <f t="shared" si="217"/>
        <v>0</v>
      </c>
      <c r="CF392" s="404" t="s">
        <v>857</v>
      </c>
      <c r="CG392" s="409"/>
      <c r="CH392" s="420" t="str">
        <f t="shared" si="185"/>
        <v>FLINTSL - RED</v>
      </c>
      <c r="CI392" s="409"/>
      <c r="CJ392" s="411">
        <f>IF(CI392=0,0,IF($LB392=70%,VLOOKUP($CH392,'Jan-2026 rates'!$L:$R,4,0),IF($LB392=65%,VLOOKUP($CH392,'Jan-2026 rates'!$L:$R,4,0),IF($LB392=40%,VLOOKUP($CH392,'Jan-2026 rates'!$L:$R,5,0),IF($LB392=30%,VLOOKUP($CH392,'Jan-2026 rates'!$L:$R,6,0),IF($LB392=100%,VLOOKUP($CH392,'Jan-2026 rates'!$L:$R,7,0),IF($LB392=60%,VLOOKUP($CH392,'Jan-2026 rates'!$L:$S,8,0),IF($LB392=80%,VLOOKUP($CH392,'Jan-2026 rates'!L:T,9,0),0))))))))</f>
        <v>0</v>
      </c>
      <c r="CK392" s="412"/>
      <c r="CL392" s="409"/>
      <c r="CM392" s="411">
        <f>IF(CL392=0,0,IF($LB392=70%,VLOOKUP($CH392,'Jan-2026 rates'!$L:$R,4,0),IF($LB392=65%,VLOOKUP($CH392,'Jan-2026 rates'!$L:$R,4,0),IF($LB392=40%,VLOOKUP($CH392,'Jan-2026 rates'!$L:$R,5,0),IF($LB392=30%,VLOOKUP($CH392,'Jan-2026 rates'!$L:$R,6,0),IF($LB392=100%,VLOOKUP($CH392,'Jan-2026 rates'!$L:$R,7,0),IF($LB392=60%,VLOOKUP($CH392,'Jan-2026 rates'!$L:$S,8,0),IF($LB392=80%,VLOOKUP($CH392,'Jan-2026 rates'!L:T,9,0),0))))))))</f>
        <v>0</v>
      </c>
      <c r="CN392" s="426">
        <v>26531000028</v>
      </c>
      <c r="CO392" s="427" t="s">
        <v>1266</v>
      </c>
      <c r="CP392" s="426" t="s">
        <v>1265</v>
      </c>
      <c r="CQ392" s="426">
        <v>26531000021</v>
      </c>
      <c r="CR392" s="428"/>
      <c r="CS392" s="428"/>
      <c r="CT392" s="428"/>
      <c r="CU392" s="428"/>
      <c r="CV392" s="409">
        <v>40</v>
      </c>
      <c r="CW392" s="398" t="e">
        <f>IF(CV392=0,0,IF(LEN(CN392)=11,_xlfn.XLOOKUP(CN392,'Dispensed Ink Rates'!C:C,'Dispensed Ink Rates'!CS:CS),VLOOKUP(CN392,'Jan-2026 rates'!$E:$F,2,0)))</f>
        <v>#N/A</v>
      </c>
      <c r="CX392" s="409">
        <v>7</v>
      </c>
      <c r="CY392" s="398">
        <f>IF(CX392=0,0,IF(LEN(CO392)=11,_xlfn.XLOOKUP(CO392,'Dispensed Ink Rates'!C:C,'Dispensed Ink Rates'!CS:CS),VLOOKUP(CO392,'Jan-2026 rates'!$E:$F,2,0)))</f>
        <v>0</v>
      </c>
      <c r="CZ392" s="409">
        <v>2</v>
      </c>
      <c r="DA392" s="398">
        <f>IF(CZ392=0,0,IF(LEN(CP392)=11,_xlfn.XLOOKUP(CP392,'Dispensed Ink Rates'!C:C,'Dispensed Ink Rates'!CS:CS),VLOOKUP(CP392,'Jan-2026 rates'!$E:$F,2,0)))</f>
        <v>0</v>
      </c>
      <c r="DB392" s="409">
        <v>4</v>
      </c>
      <c r="DC392" s="398" t="e">
        <f>IF(DB392=0,0,IF(LEN(CQ392)=11,_xlfn.XLOOKUP(CQ392,'Dispensed Ink Rates'!C:C,'Dispensed Ink Rates'!CS:CS),VLOOKUP(CQ392,'Jan-2026 rates'!$E:$F,2,0)))</f>
        <v>#N/A</v>
      </c>
      <c r="DD392" s="409"/>
      <c r="DE392" s="398">
        <f>IF(DD392=0,0,IF(LEN(CR392)=11,_xlfn.XLOOKUP(CR392,'Dispensed Ink Rates'!C:C,'Dispensed Ink Rates'!CS:CS),VLOOKUP(CR392,'Jan-2026 rates'!$E:$F,2,0)))</f>
        <v>0</v>
      </c>
      <c r="DF392" s="409"/>
      <c r="DG392" s="398">
        <f>IF(DF392=0,0,IF(LEN(CS392)=11,_xlfn.XLOOKUP(CS392,'Dispensed Ink Rates'!C:C,'Dispensed Ink Rates'!CS:CS),VLOOKUP(CS392,'Jan-2026 rates'!$E:$F,2,0)))</f>
        <v>0</v>
      </c>
      <c r="DH392" s="409"/>
      <c r="DI392" s="398">
        <f>IF(DH392=0,0,IF(LEN(CT392)=11,_xlfn.XLOOKUP(CT392,'Dispensed Ink Rates'!C:C,'Dispensed Ink Rates'!CS:CS),VLOOKUP(CT392,'Jan-2026 rates'!$E:$F,2,0)))</f>
        <v>0</v>
      </c>
      <c r="DJ392" s="409"/>
      <c r="DK392" s="398">
        <f>IF(DJ392=0,0,IF(LEN(CU392)=11,_xlfn.XLOOKUP(CU392,'Dispensed Ink Rates'!C:C,'Dispensed Ink Rates'!CS:CS),VLOOKUP(CU392,'Jan-2026 rates'!$E:$F,2,0)))</f>
        <v>0</v>
      </c>
      <c r="DL392" s="409" t="s">
        <v>1443</v>
      </c>
      <c r="DM392" s="409">
        <v>24</v>
      </c>
      <c r="DN392" s="411">
        <f t="shared" si="218"/>
        <v>0</v>
      </c>
      <c r="DO392" s="411">
        <f t="shared" si="219"/>
        <v>54.517241379310349</v>
      </c>
      <c r="DP392" s="410">
        <f t="shared" si="220"/>
        <v>0</v>
      </c>
      <c r="DQ392" s="405" t="s">
        <v>855</v>
      </c>
      <c r="DR392" s="409" t="s">
        <v>4966</v>
      </c>
      <c r="DS392" s="420" t="str">
        <f t="shared" si="186"/>
        <v>FLINTSL - CYAN</v>
      </c>
      <c r="DT392" s="409">
        <v>27</v>
      </c>
      <c r="DU392" s="411">
        <f>IF(DT392=0,0,IF($LB392=70%,VLOOKUP($DS392,'Jan-2026 rates'!$L:$R,4,0),IF($LB392=65%,VLOOKUP($DS392,'Jan-2026 rates'!$L:$R,4,0),IF($LB392=40%,VLOOKUP($DS392,'Jan-2026 rates'!$L:$R,5,0),IF($LB392=30%,VLOOKUP($DS392,'Jan-2026 rates'!$L:$R,6,0),IF($LB392=100%,VLOOKUP($DS392,'Jan-2026 rates'!$L:$R,7,0),IF($LB392=60%,VLOOKUP($DS392,'Jan-2026 rates'!$L:$S,8,0),IF($LB392=80%,VLOOKUP($DS392,'Jan-2026 rates'!L:T,9,0),0))))))))</f>
        <v>0</v>
      </c>
      <c r="DV392" s="412"/>
      <c r="DW392" s="409"/>
      <c r="DX392" s="411">
        <f>IF(DW392=0,0,IF($LB392=70%,VLOOKUP($DS392,'Jan-2026 rates'!$L:$R,4,0),IF($LB392=65%,VLOOKUP($DS392,'Jan-2026 rates'!$L:$R,4,0),IF($LB392=40%,VLOOKUP($DS392,'Jan-2026 rates'!$L:$R,5,0),IF($LB392=30%,VLOOKUP($DS392,'Jan-2026 rates'!$L:$R,6,0),IF($LB392=100%,VLOOKUP($DS392,'Jan-2026 rates'!$L:$R,7,0),IF($LB392=60%,VLOOKUP($DS392,'Jan-2026 rates'!$L:$S,8,0),IF($LB392=80%,VLOOKUP($DS392,'Jan-2026 rates'!L:T,9,0),0))))))))</f>
        <v>0</v>
      </c>
      <c r="DY392" s="413" t="s">
        <v>477</v>
      </c>
      <c r="DZ392" s="413"/>
      <c r="EA392" s="412"/>
      <c r="EB392" s="412"/>
      <c r="EC392" s="412"/>
      <c r="ED392" s="412"/>
      <c r="EE392" s="412"/>
      <c r="EF392" s="412"/>
      <c r="EG392" s="409">
        <v>10</v>
      </c>
      <c r="EH392" s="398">
        <f>IF(EG392=0,0,IF(LEN(DY392)=11,_xlfn.XLOOKUP(DY392,'Dispensed Ink Rates'!C:C,'Dispensed Ink Rates'!CS:CS),VLOOKUP(DY392,'Jan-2026 rates'!$E:$F,2,0)))</f>
        <v>0</v>
      </c>
      <c r="EI392" s="409"/>
      <c r="EJ392" s="398">
        <f>IF(EI392=0,0,IF(LEN(DZ392)=11,_xlfn.XLOOKUP(DZ392,'Dispensed Ink Rates'!C:C,'Dispensed Ink Rates'!CS:CS),VLOOKUP(DZ392,'Jan-2026 rates'!$E:$F,2,0)))</f>
        <v>0</v>
      </c>
      <c r="EK392" s="409"/>
      <c r="EL392" s="398">
        <f>IF(EK392=0,0,IF(LEN(EA392)=11,_xlfn.XLOOKUP(EA392,'Dispensed Ink Rates'!C:C,'Dispensed Ink Rates'!CS:CS),VLOOKUP(EA392,'Jan-2026 rates'!$E:$F,2,0)))</f>
        <v>0</v>
      </c>
      <c r="EM392" s="409"/>
      <c r="EN392" s="398">
        <f>IF(EM392=0,0,IF(LEN(EB392)=11,_xlfn.XLOOKUP(EB392,'Dispensed Ink Rates'!C:C,'Dispensed Ink Rates'!CS:CS),VLOOKUP(EB392,'Jan-2026 rates'!$E:$F,2,0)))</f>
        <v>0</v>
      </c>
      <c r="EO392" s="409"/>
      <c r="EP392" s="398">
        <f>IF(EO392=0,0,IF(LEN(EC392)=11,_xlfn.XLOOKUP(EC392,'Dispensed Ink Rates'!C:C,'Dispensed Ink Rates'!CS:CS),VLOOKUP(EC392,'Jan-2026 rates'!$E:$F,2,0)))</f>
        <v>0</v>
      </c>
      <c r="EQ392" s="409"/>
      <c r="ER392" s="398">
        <f>IF(EQ392=0,0,IF(LEN(ED392)=11,_xlfn.XLOOKUP(ED392,'Dispensed Ink Rates'!C:C,'Dispensed Ink Rates'!CS:CS),VLOOKUP(ED392,'Jan-2026 rates'!$E:$F,2,0)))</f>
        <v>0</v>
      </c>
      <c r="ES392" s="409"/>
      <c r="ET392" s="398">
        <f>IF(ES392=0,0,IF(LEN(EE392)=11,_xlfn.XLOOKUP(EE392,'Dispensed Ink Rates'!C:C,'Dispensed Ink Rates'!CS:CS),VLOOKUP(EE392,'Jan-2026 rates'!$E:$F,2,0)))</f>
        <v>0</v>
      </c>
      <c r="EU392" s="409"/>
      <c r="EV392" s="398">
        <f>IF(EU392=0,0,IF(LEN(EF392)=11,_xlfn.XLOOKUP(EF392,'Dispensed Ink Rates'!C:C,'Dispensed Ink Rates'!CS:CS),VLOOKUP(EF392,'Jan-2026 rates'!$E:$F,2,0)))</f>
        <v>0</v>
      </c>
      <c r="EW392" s="409" t="s">
        <v>1443</v>
      </c>
      <c r="EX392" s="409">
        <v>30</v>
      </c>
      <c r="EY392" s="411">
        <f t="shared" si="221"/>
        <v>0</v>
      </c>
      <c r="EZ392" s="411">
        <f t="shared" si="222"/>
        <v>22.310344827586206</v>
      </c>
      <c r="FA392" s="410">
        <f t="shared" si="223"/>
        <v>0</v>
      </c>
      <c r="FB392" s="405" t="s">
        <v>544</v>
      </c>
      <c r="FC392" s="409" t="s">
        <v>4967</v>
      </c>
      <c r="FD392" s="420" t="str">
        <f t="shared" si="187"/>
        <v>FLINTSL - MAGENTA</v>
      </c>
      <c r="FE392" s="409">
        <v>28</v>
      </c>
      <c r="FF392" s="411">
        <f>IF(FE392=0,0,IF($LB392=70%,VLOOKUP($FD392,'Jan-2026 rates'!$L:$R,4,0),IF($LB392=65%,VLOOKUP($FD392,'Jan-2026 rates'!$L:$R,4,0),IF($LB392=40%,VLOOKUP($FD392,'Jan-2026 rates'!$L:$R,5,0),IF($LB392=30%,VLOOKUP($FD392,'Jan-2026 rates'!$L:$R,6,0),IF($LB392=100%,VLOOKUP($FD392,'Jan-2026 rates'!$L:$R,7,0),IF($LB392=60%,VLOOKUP($FD392,'Jan-2026 rates'!$L:$S,8,0),IF($LB392=80%,VLOOKUP($FD392,'Jan-2026 rates'!L:T,9,0),0))))))))</f>
        <v>0</v>
      </c>
      <c r="FG392" s="412"/>
      <c r="FH392" s="409"/>
      <c r="FI392" s="411">
        <f>IF(FH392=0,0,IF($LB392=70%,VLOOKUP($FD392,'Jan-2026 rates'!$L:$R,4,0),IF($LB392=65%,VLOOKUP($FD392,'Jan-2026 rates'!$L:$R,4,0),IF($LB392=40%,VLOOKUP($FD392,'Jan-2026 rates'!$L:$R,5,0),IF($LB392=30%,VLOOKUP($FD392,'Jan-2026 rates'!$L:$R,6,0),IF($LB392=100%,VLOOKUP($FD392,'Jan-2026 rates'!$L:$R,7,0),IF($LB392=60%,VLOOKUP($FD392,'Jan-2026 rates'!$L:$S,8,0),IF($LB392=80%,VLOOKUP($FD392,'Jan-2026 rates'!L:T,9,0),0))))))))</f>
        <v>0</v>
      </c>
      <c r="FJ392" s="413" t="s">
        <v>1265</v>
      </c>
      <c r="FK392" s="413"/>
      <c r="FL392" s="413"/>
      <c r="FM392" s="412"/>
      <c r="FN392" s="412"/>
      <c r="FO392" s="412"/>
      <c r="FP392" s="412"/>
      <c r="FQ392" s="412"/>
      <c r="FR392" s="409">
        <v>4</v>
      </c>
      <c r="FS392" s="398">
        <f>IF(FR392=0,0,IF(LEN(FJ392)=11,_xlfn.XLOOKUP(FJ392,'Dispensed Ink Rates'!C:C,'Dispensed Ink Rates'!CS:CS),VLOOKUP(FJ392,'Jan-2026 rates'!$E:$F,2,0)))</f>
        <v>0</v>
      </c>
      <c r="FT392" s="409"/>
      <c r="FU392" s="398">
        <f>IF(FT392=0,0,IF(LEN(FK392)=11,_xlfn.XLOOKUP(FK392,'Dispensed Ink Rates'!C:C,'Dispensed Ink Rates'!CS:CS),VLOOKUP(FK392,'Jan-2026 rates'!$E:$F,2,0)))</f>
        <v>0</v>
      </c>
      <c r="FV392" s="409"/>
      <c r="FW392" s="398">
        <f>IF(FV392=0,0,IF(LEN(FL392)=11,_xlfn.XLOOKUP(FL392,'Dispensed Ink Rates'!C:C,'Dispensed Ink Rates'!CS:CS),VLOOKUP(FL392,'Jan-2026 rates'!$E:$F,2,0)))</f>
        <v>0</v>
      </c>
      <c r="FX392" s="409"/>
      <c r="FY392" s="398">
        <f>IF(FX392=0,0,IF(LEN(FM392)=11,_xlfn.XLOOKUP(FM392,'Dispensed Ink Rates'!C:C,'Dispensed Ink Rates'!CS:CS),VLOOKUP(FM392,'Jan-2026 rates'!$E:$F,2,0)))</f>
        <v>0</v>
      </c>
      <c r="FZ392" s="409"/>
      <c r="GA392" s="398">
        <f>IF(FZ392=0,0,IF(LEN(FN392)=11,_xlfn.XLOOKUP(FN392,'Dispensed Ink Rates'!C:C,'Dispensed Ink Rates'!CS:CS),VLOOKUP(FN392,'Jan-2026 rates'!$E:$F,2,0)))</f>
        <v>0</v>
      </c>
      <c r="GB392" s="409"/>
      <c r="GC392" s="398">
        <f>IF(GB392=0,0,IF(LEN(FO392)=11,_xlfn.XLOOKUP(FO392,'Dispensed Ink Rates'!C:C,'Dispensed Ink Rates'!CS:CS),VLOOKUP(FO392,'Jan-2026 rates'!$E:$F,2,0)))</f>
        <v>0</v>
      </c>
      <c r="GD392" s="409"/>
      <c r="GE392" s="398">
        <f>IF(GD392=0,0,IF(LEN(FP392)=11,_xlfn.XLOOKUP(FP392,'Dispensed Ink Rates'!C:C,'Dispensed Ink Rates'!CS:CS),VLOOKUP(FP392,'Jan-2026 rates'!$E:$F,2,0)))</f>
        <v>0</v>
      </c>
      <c r="GF392" s="409"/>
      <c r="GG392" s="398">
        <f>IF(GF392=0,0,IF(LEN(FQ392)=11,_xlfn.XLOOKUP(FQ392,'Dispensed Ink Rates'!C:C,'Dispensed Ink Rates'!CS:CS),VLOOKUP(FQ392,'Jan-2026 rates'!$E:$F,2,0)))</f>
        <v>0</v>
      </c>
      <c r="GH392" s="409" t="s">
        <v>1443</v>
      </c>
      <c r="GI392" s="409">
        <v>29</v>
      </c>
      <c r="GJ392" s="411">
        <f t="shared" si="224"/>
        <v>0</v>
      </c>
      <c r="GK392" s="411">
        <f t="shared" si="225"/>
        <v>8.1034482758620712</v>
      </c>
      <c r="GL392" s="410">
        <f t="shared" si="226"/>
        <v>0</v>
      </c>
      <c r="GM392" s="405" t="s">
        <v>545</v>
      </c>
      <c r="GN392" s="409" t="s">
        <v>4968</v>
      </c>
      <c r="GO392" s="420" t="str">
        <f t="shared" si="188"/>
        <v>FLINTSL - YELLOW</v>
      </c>
      <c r="GP392" s="409">
        <v>27</v>
      </c>
      <c r="GQ392" s="411">
        <f>IF(GP392=0,0,IF($LB392=70%,VLOOKUP($GO392,'Jan-2026 rates'!$L:$R,4,0),IF($LB392=65%,VLOOKUP($GO392,'Jan-2026 rates'!$L:$R,4,0),IF($LB392=40%,VLOOKUP($GO392,'Jan-2026 rates'!$L:$R,5,0),IF($LB392=30%,VLOOKUP($GO392,'Jan-2026 rates'!$L:$R,6,0),IF($LB392=100%,VLOOKUP($GO392,'Jan-2026 rates'!$L:$R,7,0),IF($LB392=60%,VLOOKUP($GO392,'Jan-2026 rates'!$L:$S,8,0),IF($LB392=80%,VLOOKUP($GO392,'Jan-2026 rates'!L:T,9,0),0))))))))</f>
        <v>0</v>
      </c>
      <c r="GR392" s="412"/>
      <c r="GS392" s="409"/>
      <c r="GT392" s="411">
        <f>IF(GS392=0,0,IF($LB392=70%,VLOOKUP($GO392,'Jan-2026 rates'!$L:$R,4,0),IF($LB392=65%,VLOOKUP($GO392,'Jan-2026 rates'!$L:$R,4,0),IF($LB392=40%,VLOOKUP($GO392,'Jan-2026 rates'!$L:$R,5,0),IF($LB392=30%,VLOOKUP($GO392,'Jan-2026 rates'!$L:$R,6,0),IF($LB392=100%,VLOOKUP($GO392,'Jan-2026 rates'!$L:$R,7,0),IF($LB392=60%,VLOOKUP($GO392,'Jan-2026 rates'!$L:$S,8,0),IF($LB392=80%,VLOOKUP($GO392,'Jan-2026 rates'!L:T,9,0),0))))))))</f>
        <v>0</v>
      </c>
      <c r="GU392" s="413" t="s">
        <v>1266</v>
      </c>
      <c r="GV392" s="413"/>
      <c r="GW392" s="412"/>
      <c r="GX392" s="412"/>
      <c r="GY392" s="412"/>
      <c r="GZ392" s="412"/>
      <c r="HA392" s="412"/>
      <c r="HB392" s="412"/>
      <c r="HC392" s="409">
        <v>5</v>
      </c>
      <c r="HD392" s="398">
        <f>IF(HC392=0,0,IF(LEN(GU392)=11,_xlfn.XLOOKUP(GU392,'Dispensed Ink Rates'!C:C,'Dispensed Ink Rates'!CS:CS),VLOOKUP(GU392,'Jan-2026 rates'!$E:$F,2,0)))</f>
        <v>0</v>
      </c>
      <c r="HE392" s="409"/>
      <c r="HF392" s="398">
        <f>IF(HE392=0,0,IF(LEN(GV392)=11,_xlfn.XLOOKUP(GV392,'Dispensed Ink Rates'!C:C,'Dispensed Ink Rates'!CS:CS),VLOOKUP(GV392,'Jan-2026 rates'!$E:$F,2,0)))</f>
        <v>0</v>
      </c>
      <c r="HG392" s="409"/>
      <c r="HH392" s="398">
        <f>IF(HG392=0,0,IF(LEN(GW392)=11,_xlfn.XLOOKUP(GW392,'Dispensed Ink Rates'!C:C,'Dispensed Ink Rates'!CS:CS),VLOOKUP(GW392,'Jan-2026 rates'!$E:$F,2,0)))</f>
        <v>0</v>
      </c>
      <c r="HI392" s="409"/>
      <c r="HJ392" s="398">
        <f>IF(HI392=0,0,IF(LEN(GX392)=11,_xlfn.XLOOKUP(GX392,'Dispensed Ink Rates'!C:C,'Dispensed Ink Rates'!CS:CS),VLOOKUP(GX392,'Jan-2026 rates'!$E:$F,2,0)))</f>
        <v>0</v>
      </c>
      <c r="HK392" s="409"/>
      <c r="HL392" s="398">
        <f>IF(HK392=0,0,IF(LEN(GY392)=11,_xlfn.XLOOKUP(GY392,'Dispensed Ink Rates'!C:C,'Dispensed Ink Rates'!CS:CS),VLOOKUP(GY392,'Jan-2026 rates'!$E:$F,2,0)))</f>
        <v>0</v>
      </c>
      <c r="HM392" s="409"/>
      <c r="HN392" s="398">
        <f>IF(HM392=0,0,IF(LEN(GZ392)=11,_xlfn.XLOOKUP(GZ392,'Dispensed Ink Rates'!C:C,'Dispensed Ink Rates'!CS:CS),VLOOKUP(GZ392,'Jan-2026 rates'!$E:$F,2,0)))</f>
        <v>0</v>
      </c>
      <c r="HO392" s="409"/>
      <c r="HP392" s="398">
        <f>IF(HO392=0,0,IF(LEN(HA392)=11,_xlfn.XLOOKUP(HA392,'Dispensed Ink Rates'!C:C,'Dispensed Ink Rates'!CS:CS),VLOOKUP(HA392,'Jan-2026 rates'!$E:$F,2,0)))</f>
        <v>0</v>
      </c>
      <c r="HQ392" s="409"/>
      <c r="HR392" s="398">
        <f>IF(HQ392=0,0,IF(LEN(HB392)=11,_xlfn.XLOOKUP(HB392,'Dispensed Ink Rates'!C:C,'Dispensed Ink Rates'!CS:CS),VLOOKUP(HB392,'Jan-2026 rates'!$E:$F,2,0)))</f>
        <v>0</v>
      </c>
      <c r="HS392" s="409" t="s">
        <v>1443</v>
      </c>
      <c r="HT392" s="409">
        <v>25</v>
      </c>
      <c r="HU392" s="411">
        <f t="shared" si="227"/>
        <v>0</v>
      </c>
      <c r="HV392" s="411">
        <f t="shared" si="228"/>
        <v>17.206896551724135</v>
      </c>
      <c r="HW392" s="414">
        <f t="shared" si="229"/>
        <v>0</v>
      </c>
      <c r="HX392" s="405" t="s">
        <v>856</v>
      </c>
      <c r="HY392" s="409" t="s">
        <v>4969</v>
      </c>
      <c r="HZ392" s="420" t="str">
        <f t="shared" si="189"/>
        <v>FLINTSL - WHITE</v>
      </c>
      <c r="IA392" s="409">
        <v>30</v>
      </c>
      <c r="IB392" s="411">
        <f>IF(IA392=0,0,IF($LB392=70%,VLOOKUP($HZ392,'Jan-2026 rates'!$L:$R,4,0),IF($LB392=65%,VLOOKUP($HZ392,'Jan-2026 rates'!$L:$R,4,0),IF($LB392=40%,VLOOKUP($HZ392,'Jan-2026 rates'!$L:$R,5,0),IF($LB392=30%,VLOOKUP($HZ392,'Jan-2026 rates'!$L:$R,6,0),IF($LB392=100%,VLOOKUP($HZ392,'Jan-2026 rates'!$L:$R,7,0),IF($LB392=60%,VLOOKUP($HZ392,'Jan-2026 rates'!$L:$S,8,0),IF($LB392=80%,VLOOKUP($HZ392,'Jan-2026 rates'!L:T,9,0),0))))))))</f>
        <v>0</v>
      </c>
      <c r="IC392" s="412"/>
      <c r="ID392" s="409"/>
      <c r="IE392" s="411">
        <f>IF(ID392=0,0,IF($LB392=70%,VLOOKUP($HZ392,'Jan-2026 rates'!$L:$R,4,0),IF($LB392=65%,VLOOKUP($HZ392,'Jan-2026 rates'!$L:$R,4,0),IF($LB392=40%,VLOOKUP($HZ392,'Jan-2026 rates'!$L:$R,5,0),IF($LB392=30%,VLOOKUP($HZ392,'Jan-2026 rates'!$L:$R,6,0),IF($LB392=100%,VLOOKUP($HZ392,'Jan-2026 rates'!$L:$R,7,0),IF($LB392=60%,VLOOKUP($HZ392,'Jan-2026 rates'!$L:$S,8,0),IF($LB392=80%,VLOOKUP($HZ392,'Jan-2026 rates'!L:T,9,0),0))))))))</f>
        <v>0</v>
      </c>
      <c r="IF392" s="412" t="s">
        <v>484</v>
      </c>
      <c r="IG392" s="413"/>
      <c r="IH392" s="412"/>
      <c r="II392" s="412"/>
      <c r="IJ392" s="412"/>
      <c r="IK392" s="412"/>
      <c r="IL392" s="412"/>
      <c r="IM392" s="412"/>
      <c r="IN392" s="409">
        <v>50</v>
      </c>
      <c r="IO392" s="398">
        <f>IF(IN392=0,0,IF(LEN(IF392)=11,_xlfn.XLOOKUP(IF392,'Dispensed Ink Rates'!C:C,'Dispensed Ink Rates'!CS:CS),VLOOKUP(IF392,'Jan-2026 rates'!$E:$F,2,0)))</f>
        <v>0</v>
      </c>
      <c r="IP392" s="409"/>
      <c r="IQ392" s="398">
        <f>IF(IP392=0,0,IF(LEN(IG392)=11,_xlfn.XLOOKUP(IG392,'Dispensed Ink Rates'!C:C,'Dispensed Ink Rates'!CS:CS),VLOOKUP(IG392,'Jan-2026 rates'!$E:$F,2,0)))</f>
        <v>0</v>
      </c>
      <c r="IR392" s="409"/>
      <c r="IS392" s="398">
        <f>IF(IR392=0,0,IF(LEN(IH392)=11,_xlfn.XLOOKUP(IH392,'Dispensed Ink Rates'!C:C,'Dispensed Ink Rates'!CS:CS),VLOOKUP(IH392,'Jan-2026 rates'!$E:$F,2,0)))</f>
        <v>0</v>
      </c>
      <c r="IT392" s="409"/>
      <c r="IU392" s="398">
        <f>IF(IT392=0,0,IF(LEN(II392)=11,_xlfn.XLOOKUP(II392,'Dispensed Ink Rates'!C:C,'Dispensed Ink Rates'!CS:CS),VLOOKUP(II392,'Jan-2026 rates'!$E:$F,2,0)))</f>
        <v>0</v>
      </c>
      <c r="IV392" s="409"/>
      <c r="IW392" s="398">
        <f>IF(IV392=0,0,IF(LEN(IJ392)=11,_xlfn.XLOOKUP(IJ392,'Dispensed Ink Rates'!C:C,'Dispensed Ink Rates'!CS:CS),VLOOKUP(IJ392,'Jan-2026 rates'!$E:$F,2,0)))</f>
        <v>0</v>
      </c>
      <c r="IX392" s="409"/>
      <c r="IY392" s="398">
        <f>IF(IX392=0,0,IF(LEN(IK392)=11,_xlfn.XLOOKUP(IK392,'Dispensed Ink Rates'!C:C,'Dispensed Ink Rates'!CS:CS),VLOOKUP(IK392,'Jan-2026 rates'!$E:$F,2,0)))</f>
        <v>0</v>
      </c>
      <c r="IZ392" s="409"/>
      <c r="JA392" s="398">
        <f>IF(IZ392=0,0,IF(LEN(IL392)=11,_xlfn.XLOOKUP(IL392,'Dispensed Ink Rates'!C:C,'Dispensed Ink Rates'!CS:CS),VLOOKUP(IL392,'Jan-2026 rates'!$E:$F,2,0)))</f>
        <v>0</v>
      </c>
      <c r="JB392" s="409"/>
      <c r="JC392" s="398">
        <f>IF(JB392=0,0,IF(LEN(IM392)=11,_xlfn.XLOOKUP(IM392,'Dispensed Ink Rates'!C:C,'Dispensed Ink Rates'!CS:CS),VLOOKUP(IM392,'Jan-2026 rates'!$E:$F,2,0)))</f>
        <v>0</v>
      </c>
      <c r="JD392" s="409" t="s">
        <v>1443</v>
      </c>
      <c r="JE392" s="409">
        <v>30</v>
      </c>
      <c r="JF392" s="411">
        <f t="shared" si="230"/>
        <v>0</v>
      </c>
      <c r="JG392" s="411">
        <f t="shared" si="231"/>
        <v>126.55172413793105</v>
      </c>
      <c r="JH392" s="410">
        <f t="shared" si="232"/>
        <v>0</v>
      </c>
      <c r="JI392" s="405"/>
      <c r="JJ392" s="409"/>
      <c r="JK392" s="420" t="str">
        <f t="shared" si="190"/>
        <v xml:space="preserve"> - </v>
      </c>
      <c r="JL392" s="409"/>
      <c r="JM392" s="411">
        <f>IF(JL392=0,0,IF($LB392=70%,VLOOKUP($JK392,'Jan-2026 rates'!$L:$R,4,0),IF($LB392=65%,VLOOKUP($JK392,'Jan-2026 rates'!$L:$R,4,0),IF($LB392=40%,VLOOKUP($JK392,'Jan-2026 rates'!$L:$R,5,0),IF($LB392=30%,VLOOKUP($JK392,'Jan-2026 rates'!$L:$R,6,0),IF($LB392=100%,VLOOKUP($JK392,'Jan-2026 rates'!$L:$R,7,0),IF($LB392=60%,VLOOKUP($JK392,'Jan-2026 rates'!$L:$S,8,0),IF($LB392=80%,VLOOKUP($JK392,'Jan-2026 rates'!L:T,9,0),0))))))))</f>
        <v>0</v>
      </c>
      <c r="JN392" s="412"/>
      <c r="JO392" s="409"/>
      <c r="JP392" s="411">
        <f>IF(JO392=0,0,IF($LB392=70%,VLOOKUP($JK392,'Jan-2026 rates'!$L:$R,4,0),IF($LB392=65%,VLOOKUP($JK392,'Jan-2026 rates'!$L:$R,4,0),IF($LB392=40%,VLOOKUP($JK392,'Jan-2026 rates'!$L:$R,5,0),IF($LB392=30%,VLOOKUP($JK392,'Jan-2026 rates'!$L:$R,6,0),IF($LB392=100%,VLOOKUP($JK392,'Jan-2026 rates'!$L:$R,7,0),IF($LB392=60%,VLOOKUP($JK392,'Jan-2026 rates'!$L:$S,8,0),IF($LB392=80%,VLOOKUP($JK392,'Jan-2026 rates'!L:T,9,0),0))))))))</f>
        <v>0</v>
      </c>
      <c r="JQ392" s="413"/>
      <c r="JR392" s="412"/>
      <c r="JS392" s="413"/>
      <c r="JT392" s="413"/>
      <c r="JU392" s="412"/>
      <c r="JV392" s="412"/>
      <c r="JW392" s="412"/>
      <c r="JX392" s="412"/>
      <c r="JY392" s="409"/>
      <c r="JZ392" s="398">
        <f>IF(JY392=0,0,IF(LEN(JQ392)=11,_xlfn.XLOOKUP(JQ392,'Dispensed Ink Rates'!C:C,'Dispensed Ink Rates'!CS:CS),VLOOKUP(JQ392,'Jan-2026 rates'!$E:$F,2,0)))</f>
        <v>0</v>
      </c>
      <c r="KA392" s="409"/>
      <c r="KB392" s="398">
        <f>IF(KA392=0,0,IF(LEN(JR392)=11,_xlfn.XLOOKUP(JR392,'Dispensed Ink Rates'!C:C,'Dispensed Ink Rates'!CS:CS),VLOOKUP(JR392,'Jan-2026 rates'!$E:$F,2,0)))</f>
        <v>0</v>
      </c>
      <c r="KC392" s="409"/>
      <c r="KD392" s="398">
        <f>IF(KC392=0,0,IF(LEN(JS392)=11,_xlfn.XLOOKUP(JS392,'Dispensed Ink Rates'!C:C,'Dispensed Ink Rates'!CS:CS),VLOOKUP(JS392,'Jan-2026 rates'!$E:$F,2,0)))</f>
        <v>0</v>
      </c>
      <c r="KE392" s="409"/>
      <c r="KF392" s="398">
        <f>IF(KE392=0,0,IF(LEN(JT392)=11,_xlfn.XLOOKUP(JT392,'Dispensed Ink Rates'!C:C,'Dispensed Ink Rates'!CS:CS),VLOOKUP(JT392,'Jan-2026 rates'!$E:$F,2,0)))</f>
        <v>0</v>
      </c>
      <c r="KG392" s="409"/>
      <c r="KH392" s="398">
        <f>IF(KG392=0,0,IF(LEN(JU392)=11,_xlfn.XLOOKUP(JU392,'Dispensed Ink Rates'!C:C,'Dispensed Ink Rates'!CS:CS),VLOOKUP(JU392,'Jan-2026 rates'!$E:$F,2,0)))</f>
        <v>0</v>
      </c>
      <c r="KI392" s="409"/>
      <c r="KJ392" s="398">
        <f>IF(KI392=0,0,IF(LEN(JV392)=11,_xlfn.XLOOKUP(JV392,'Dispensed Ink Rates'!C:C,'Dispensed Ink Rates'!CS:CS),VLOOKUP(JV392,'Jan-2026 rates'!$E:$F,2,0)))</f>
        <v>0</v>
      </c>
      <c r="KK392" s="409"/>
      <c r="KL392" s="398">
        <f>IF(KK392=0,0,IF(LEN(JW392)=11,_xlfn.XLOOKUP(JW392,'Dispensed Ink Rates'!C:C,'Dispensed Ink Rates'!CS:CS),VLOOKUP(JW392,'Jan-2026 rates'!$E:$F,2,0)))</f>
        <v>0</v>
      </c>
      <c r="KM392" s="428"/>
      <c r="KN392" s="398">
        <f>IF(KM392=0,0,IF(LEN(JX392)=11,_xlfn.XLOOKUP(JX392,'Dispensed Ink Rates'!C:C,'Dispensed Ink Rates'!CS:CS),VLOOKUP(JX392,'Jan-2026 rates'!$E:$F,2,0)))</f>
        <v>0</v>
      </c>
      <c r="KO392" s="409"/>
      <c r="KP392" s="409"/>
      <c r="KQ392" s="411">
        <f t="shared" si="233"/>
        <v>0</v>
      </c>
      <c r="KR392" s="411">
        <f t="shared" si="234"/>
        <v>0</v>
      </c>
      <c r="KS392" s="410">
        <f t="shared" si="235"/>
        <v>0</v>
      </c>
      <c r="KT392" s="409">
        <v>3</v>
      </c>
      <c r="KU392" s="409">
        <v>3</v>
      </c>
      <c r="KV392" s="409">
        <v>10</v>
      </c>
      <c r="KW392" s="409">
        <v>6</v>
      </c>
      <c r="KX392" s="409">
        <v>2</v>
      </c>
      <c r="KY392" s="409">
        <v>4</v>
      </c>
      <c r="KZ392" s="409">
        <v>30</v>
      </c>
      <c r="LA392" s="409">
        <v>0</v>
      </c>
      <c r="LB392" s="415">
        <v>0.8</v>
      </c>
      <c r="LC392" s="415">
        <v>0.2</v>
      </c>
      <c r="LD392" s="424"/>
      <c r="LE392" s="415"/>
      <c r="LF392" s="415"/>
      <c r="LG392" s="409">
        <v>0</v>
      </c>
      <c r="LH392" s="409">
        <f>40+38+56+14</f>
        <v>148</v>
      </c>
      <c r="LI392" s="409">
        <v>0</v>
      </c>
      <c r="LJ392" s="409">
        <v>0</v>
      </c>
      <c r="LK392" s="416">
        <f t="shared" si="191"/>
        <v>148</v>
      </c>
      <c r="LL392" s="416">
        <f t="shared" si="349"/>
        <v>148</v>
      </c>
      <c r="LM392" s="417">
        <f t="shared" si="193"/>
        <v>118.4</v>
      </c>
      <c r="LN392" s="417">
        <f>VLOOKUP($LM$8,'Jan-2026 rates'!$H:$I,2,0)</f>
        <v>0</v>
      </c>
      <c r="LO392" s="417">
        <f t="shared" si="194"/>
        <v>29.6</v>
      </c>
      <c r="LP392" s="417">
        <f>VLOOKUP($LO$8,'Jan-2026 rates'!$H:$I,2,0)</f>
        <v>0</v>
      </c>
      <c r="LQ392" s="417">
        <f t="shared" si="195"/>
        <v>0</v>
      </c>
      <c r="LR392" s="417">
        <f>VLOOKUP($LQ$8,'Jan-2026 rates'!$H:$I,2,0)</f>
        <v>0</v>
      </c>
      <c r="LS392" s="417">
        <f t="shared" si="196"/>
        <v>0</v>
      </c>
      <c r="LT392" s="417">
        <f>VLOOKUP($LS$8,'Jan-2026 rates'!$H:$I,2,0)</f>
        <v>0</v>
      </c>
      <c r="LU392" s="417">
        <f t="shared" si="197"/>
        <v>0</v>
      </c>
      <c r="LV392" s="417">
        <f>VLOOKUP($LU$8,'Jan-2026 rates'!$H:$I,2,0)</f>
        <v>0</v>
      </c>
      <c r="LW392" s="417">
        <f t="shared" si="198"/>
        <v>0</v>
      </c>
      <c r="LX392" s="417">
        <f t="shared" si="199"/>
        <v>0</v>
      </c>
      <c r="LY392" s="418">
        <f t="shared" si="200"/>
        <v>0</v>
      </c>
      <c r="LZ392" s="417"/>
      <c r="MA392" s="435">
        <f t="shared" si="201"/>
        <v>134</v>
      </c>
      <c r="MB392" s="282">
        <f t="shared" si="202"/>
        <v>253</v>
      </c>
      <c r="MC392" s="283">
        <v>233</v>
      </c>
      <c r="MD392" s="284" t="str">
        <f t="shared" si="203"/>
        <v>FLINTSLFLINTSLFLINTSLFLINTSLFLINTSLFLINTSLFLINTSL</v>
      </c>
      <c r="ME392" s="293" t="str">
        <f t="shared" si="204"/>
        <v>+</v>
      </c>
      <c r="MF392" s="293" t="str">
        <f t="shared" si="205"/>
        <v>+</v>
      </c>
      <c r="MG392" s="293" t="str">
        <f t="shared" si="206"/>
        <v>+</v>
      </c>
      <c r="MH392" s="293" t="str">
        <f t="shared" si="207"/>
        <v>+</v>
      </c>
      <c r="MI392" s="293" t="str">
        <f t="shared" si="208"/>
        <v>+</v>
      </c>
      <c r="MJ392" s="293" t="str">
        <f t="shared" si="209"/>
        <v>+</v>
      </c>
      <c r="MK392" s="293" t="str">
        <f t="shared" si="210"/>
        <v>+</v>
      </c>
      <c r="ML392" s="293" t="str">
        <f t="shared" si="211"/>
        <v>NIL</v>
      </c>
      <c r="MM392" s="3" t="b">
        <f t="array" ref="MM392">OR(ME392:ML392="-")</f>
        <v>0</v>
      </c>
      <c r="MO392" s="401">
        <f t="shared" si="350"/>
        <v>34.189189189189193</v>
      </c>
      <c r="MP392" s="286"/>
      <c r="MR392" s="402">
        <f t="shared" si="351"/>
        <v>9.9606299212598431E-3</v>
      </c>
      <c r="MS392" s="400">
        <f t="shared" si="352"/>
        <v>0</v>
      </c>
      <c r="MT392" s="285"/>
      <c r="NH392" s="361"/>
      <c r="NJ392" s="282"/>
    </row>
    <row r="393" spans="1:374" ht="16.5">
      <c r="A393" s="403">
        <v>46053</v>
      </c>
      <c r="B393" s="404" t="s">
        <v>1015</v>
      </c>
      <c r="C393" s="405" t="s">
        <v>4970</v>
      </c>
      <c r="D393" s="404">
        <v>234</v>
      </c>
      <c r="E393" s="404">
        <v>248</v>
      </c>
      <c r="F393" s="407">
        <v>10600</v>
      </c>
      <c r="G393" s="407" t="s">
        <v>1016</v>
      </c>
      <c r="H393" s="408" t="s">
        <v>1017</v>
      </c>
      <c r="I393" s="409">
        <v>2</v>
      </c>
      <c r="J393" s="405" t="s">
        <v>547</v>
      </c>
      <c r="K393" s="404" t="s">
        <v>4971</v>
      </c>
      <c r="L393" s="419" t="str">
        <f t="shared" si="184"/>
        <v>FLINTSL - GREEN</v>
      </c>
      <c r="M393" s="404">
        <v>21</v>
      </c>
      <c r="N393" s="410">
        <f>IF(M393=0,0,IF($LB393=70%,VLOOKUP($L393,'Jan-2026 rates'!$L:$R,4,0),IF($LB393=65%,VLOOKUP($L393,'Jan-2026 rates'!$L:$R,4,0),IF($LB393=40%,VLOOKUP($L393,'Jan-2026 rates'!$L:$R,5,0),IF($LB393=30%,VLOOKUP($L393,'Jan-2026 rates'!$L:$R,6,0),IF($LB393=100%,VLOOKUP($L393,'Jan-2026 rates'!$L:$R,7,0),IF($LB393=60%,VLOOKUP($L393,'Jan-2026 rates'!$L:$S,8,0),IF($LB393=80%,VLOOKUP($L393,'Jan-2026 rates'!L:T,9,0),0))))))))</f>
        <v>0</v>
      </c>
      <c r="O393" s="406"/>
      <c r="P393" s="404"/>
      <c r="Q393" s="410">
        <f>IF(P393=0,0,IF($LB393=70%,VLOOKUP($L393,'Jan-2026 rates'!$L:$R,4,0),IF($LB393=65%,VLOOKUP($L393,'Jan-2026 rates'!$L:$R,4,0),IF($LB393=40%,VLOOKUP($L393,'Jan-2026 rates'!$L:$R,5,0),IF($LB393=30%,VLOOKUP($L393,'Jan-2026 rates'!$L:$R,6,0),IF($LB393=100%,VLOOKUP($L393,'Jan-2026 rates'!$L:$R,7,0),IF($LB393=60%,VLOOKUP($L393,'Jan-2026 rates'!$L:$S,8,0),IF($LB393=80%,VLOOKUP($L393,'Jan-2026 rates'!L:T,9,0),0))))))))</f>
        <v>0</v>
      </c>
      <c r="R393" s="406" t="s">
        <v>477</v>
      </c>
      <c r="S393" s="406" t="s">
        <v>1264</v>
      </c>
      <c r="T393" s="406"/>
      <c r="U393" s="406"/>
      <c r="V393" s="406"/>
      <c r="W393" s="406"/>
      <c r="X393" s="406"/>
      <c r="Y393" s="406"/>
      <c r="Z393" s="404">
        <v>5</v>
      </c>
      <c r="AA393" s="398">
        <f>IF(Z393=0,0,IF(LEN(R393)=11,_xlfn.XLOOKUP(R393,'Dispensed Ink Rates'!C:C,'Dispensed Ink Rates'!CS:CS),VLOOKUP(R393,'Jan-2026 rates'!$E:$F,2,0)))</f>
        <v>0</v>
      </c>
      <c r="AB393" s="404">
        <v>1</v>
      </c>
      <c r="AC393" s="398">
        <f>IF(AB393=0,0,IF(LEN(S393)=11,_xlfn.XLOOKUP(S393,'Dispensed Ink Rates'!C:C,'Dispensed Ink Rates'!CS:CS),VLOOKUP(S393,'Jan-2026 rates'!$E:$F,2,0)))</f>
        <v>0</v>
      </c>
      <c r="AD393" s="404"/>
      <c r="AE393" s="398">
        <f>IF(AD393=0,0,IF(LEN(T393)=11,_xlfn.XLOOKUP(T393,'Dispensed Ink Rates'!C:C,'Dispensed Ink Rates'!CS:CS),VLOOKUP(T393,'Jan-2026 rates'!$E:$F,2,0)))</f>
        <v>0</v>
      </c>
      <c r="AF393" s="404"/>
      <c r="AG393" s="398">
        <f>IF(AF393=0,0,IF(LEN(U393)=11,_xlfn.XLOOKUP(U393,'Dispensed Ink Rates'!C:C,'Dispensed Ink Rates'!CS:CS),VLOOKUP(U393,'Jan-2026 rates'!$E:$F,2,0)))</f>
        <v>0</v>
      </c>
      <c r="AH393" s="404"/>
      <c r="AI393" s="398">
        <f>IF(AH393=0,0,IF(LEN(V393)=11,_xlfn.XLOOKUP(V393,'Dispensed Ink Rates'!C:C,'Dispensed Ink Rates'!CS:CS),VLOOKUP(V393,'Jan-2026 rates'!$E:$F,2,0)))</f>
        <v>0</v>
      </c>
      <c r="AJ393" s="404"/>
      <c r="AK393" s="398">
        <f>IF(AJ393=0,0,IF(LEN(W393)=11,_xlfn.XLOOKUP(W393,'Dispensed Ink Rates'!C:C,'Dispensed Ink Rates'!CS:CS),VLOOKUP(W393,'Jan-2026 rates'!$E:$F,2,0)))</f>
        <v>0</v>
      </c>
      <c r="AL393" s="404"/>
      <c r="AM393" s="398">
        <f>IF(AL393=0,0,IF(LEN(X393)=11,_xlfn.XLOOKUP(X393,'Dispensed Ink Rates'!C:C,'Dispensed Ink Rates'!CS:CS),VLOOKUP(X393,'Jan-2026 rates'!$E:$F,2,0)))</f>
        <v>0</v>
      </c>
      <c r="AN393" s="404"/>
      <c r="AO393" s="398">
        <f>IF(AN393=0,0,IF(LEN(Y393)=11,_xlfn.XLOOKUP(Y393,'Dispensed Ink Rates'!C:C,'Dispensed Ink Rates'!CS:CS),VLOOKUP(Y393,'Jan-2026 rates'!$E:$F,2,0)))</f>
        <v>0</v>
      </c>
      <c r="AP393" s="409" t="s">
        <v>1443</v>
      </c>
      <c r="AQ393" s="409">
        <v>24</v>
      </c>
      <c r="AR393" s="410">
        <f t="shared" si="212"/>
        <v>0</v>
      </c>
      <c r="AS393" s="411">
        <f t="shared" si="213"/>
        <v>7.0135135135135158</v>
      </c>
      <c r="AT393" s="410">
        <f t="shared" si="214"/>
        <v>0</v>
      </c>
      <c r="AU393" s="405" t="s">
        <v>547</v>
      </c>
      <c r="AV393" s="409" t="s">
        <v>4958</v>
      </c>
      <c r="AW393" s="420" t="str">
        <f t="shared" si="348"/>
        <v>FLINTSL - GREEN</v>
      </c>
      <c r="AX393" s="409">
        <v>18</v>
      </c>
      <c r="AY393" s="411">
        <f>IF(AX393=0,0,IF($LB393=70%,VLOOKUP($AW393,'Jan-2026 rates'!$L:$R,4,0),IF($LB393=65%,VLOOKUP($AW393,'Jan-2026 rates'!$L:$R,4,0),IF($LB393=40%,VLOOKUP($AW393,'Jan-2026 rates'!$L:$R,5,0),IF($LB393=30%,VLOOKUP($AW393,'Jan-2026 rates'!$L:$R,6,0),IF($LB393=100%,VLOOKUP($AW393,'Jan-2026 rates'!$L:$R,7,0),IF($LB393=60%,VLOOKUP($AW393,'Jan-2026 rates'!$L:$S,8,0),IF($LB393=80%,VLOOKUP($AW393,'Jan-2026 rates'!L:T,9,0),0))))))))</f>
        <v>0</v>
      </c>
      <c r="AZ393" s="412"/>
      <c r="BA393" s="409"/>
      <c r="BB393" s="411">
        <f>IF(BA393=0,0,IF($LB393=70%,VLOOKUP($AW393,'Jan-2026 rates'!$L:$R,4,0),IF($LB393=65%,VLOOKUP($AW393,'Jan-2026 rates'!$L:$R,4,0),IF($LB393=40%,VLOOKUP($AW393,'Jan-2026 rates'!$L:$R,5,0),IF($LB393=30%,VLOOKUP($AW393,'Jan-2026 rates'!$L:$R,6,0),IF($LB393=100%,VLOOKUP($AW393,'Jan-2026 rates'!$L:$R,7,0),IF($LB393=60%,VLOOKUP($AW393,'Jan-2026 rates'!$L:$S,8,0),IF($LB393=80%,VLOOKUP($AW393,'Jan-2026 rates'!L:T,9,0),0))))))))</f>
        <v>0</v>
      </c>
      <c r="BC393" s="413" t="s">
        <v>477</v>
      </c>
      <c r="BD393" s="412">
        <v>26529000020</v>
      </c>
      <c r="BE393" s="412"/>
      <c r="BF393" s="413"/>
      <c r="BG393" s="412"/>
      <c r="BH393" s="412"/>
      <c r="BI393" s="412"/>
      <c r="BJ393" s="412"/>
      <c r="BK393" s="409">
        <v>2</v>
      </c>
      <c r="BL393" s="398">
        <f>IF(BK393=0,0,IF(LEN(BC393)=11,_xlfn.XLOOKUP(BC393,'Dispensed Ink Rates'!C:C,'Dispensed Ink Rates'!CS:CS),VLOOKUP(BC393,'Jan-2026 rates'!$E:$F,2,0)))</f>
        <v>0</v>
      </c>
      <c r="BM393" s="409">
        <v>2</v>
      </c>
      <c r="BN393" s="398" t="e">
        <f>IF(BM393=0,0,IF(LEN(BD393)=11,_xlfn.XLOOKUP(BD393,'Dispensed Ink Rates'!C:C,'Dispensed Ink Rates'!CS:CS),VLOOKUP(BD393,'Jan-2026 rates'!$E:$F,2,0)))</f>
        <v>#N/A</v>
      </c>
      <c r="BO393" s="409"/>
      <c r="BP393" s="398">
        <f>IF(BO393=0,0,IF(LEN(BE393)=11,_xlfn.XLOOKUP(BE393,'Dispensed Ink Rates'!C:C,'Dispensed Ink Rates'!CS:CS),VLOOKUP(BE393,'Jan-2026 rates'!$E:$F,2,0)))</f>
        <v>0</v>
      </c>
      <c r="BQ393" s="409"/>
      <c r="BR393" s="398">
        <f>IF(BQ393=0,0,IF(LEN(BF393)=11,_xlfn.XLOOKUP(BF393,'Dispensed Ink Rates'!C:C,'Dispensed Ink Rates'!CS:CS),VLOOKUP(BF393,'Jan-2026 rates'!$E:$F,2,0)))</f>
        <v>0</v>
      </c>
      <c r="BS393" s="409"/>
      <c r="BT393" s="398">
        <f>IF(BS393=0,0,IF(LEN(BG393)=11,_xlfn.XLOOKUP(BG393,'Dispensed Ink Rates'!C:C,'Dispensed Ink Rates'!CS:CS),VLOOKUP(BG393,'Jan-2026 rates'!$E:$F,2,0)))</f>
        <v>0</v>
      </c>
      <c r="BU393" s="409"/>
      <c r="BV393" s="398">
        <f>IF(BU393=0,0,IF(LEN(BH393)=11,_xlfn.XLOOKUP(BH393,'Dispensed Ink Rates'!C:C,'Dispensed Ink Rates'!CS:CS),VLOOKUP(BH393,'Jan-2026 rates'!$E:$F,2,0)))</f>
        <v>0</v>
      </c>
      <c r="BW393" s="409"/>
      <c r="BX393" s="398">
        <f>IF(BW393=0,0,IF(LEN(BI393)=11,_xlfn.XLOOKUP(BI393,'Dispensed Ink Rates'!C:C,'Dispensed Ink Rates'!CS:CS),VLOOKUP(BI393,'Jan-2026 rates'!$E:$F,2,0)))</f>
        <v>0</v>
      </c>
      <c r="BY393" s="409"/>
      <c r="BZ393" s="398">
        <f>IF(BY393=0,0,IF(LEN(BJ393)=11,_xlfn.XLOOKUP(BJ393,'Dispensed Ink Rates'!C:C,'Dispensed Ink Rates'!CS:CS),VLOOKUP(BJ393,'Jan-2026 rates'!$E:$F,2,0)))</f>
        <v>0</v>
      </c>
      <c r="CA393" s="409" t="s">
        <v>1443</v>
      </c>
      <c r="CB393" s="409">
        <v>21</v>
      </c>
      <c r="CC393" s="411">
        <f t="shared" si="215"/>
        <v>0</v>
      </c>
      <c r="CD393" s="411">
        <f t="shared" si="216"/>
        <v>3.6756756756756772</v>
      </c>
      <c r="CE393" s="410">
        <f t="shared" si="217"/>
        <v>0</v>
      </c>
      <c r="CF393" s="404" t="s">
        <v>857</v>
      </c>
      <c r="CG393" s="409"/>
      <c r="CH393" s="420" t="str">
        <f t="shared" si="185"/>
        <v>FLINTSL - RED</v>
      </c>
      <c r="CI393" s="409"/>
      <c r="CJ393" s="411">
        <f>IF(CI393=0,0,IF($LB393=70%,VLOOKUP($CH393,'Jan-2026 rates'!$L:$R,4,0),IF($LB393=65%,VLOOKUP($CH393,'Jan-2026 rates'!$L:$R,4,0),IF($LB393=40%,VLOOKUP($CH393,'Jan-2026 rates'!$L:$R,5,0),IF($LB393=30%,VLOOKUP($CH393,'Jan-2026 rates'!$L:$R,6,0),IF($LB393=100%,VLOOKUP($CH393,'Jan-2026 rates'!$L:$R,7,0),IF($LB393=60%,VLOOKUP($CH393,'Jan-2026 rates'!$L:$S,8,0),IF($LB393=80%,VLOOKUP($CH393,'Jan-2026 rates'!L:T,9,0),0))))))))</f>
        <v>0</v>
      </c>
      <c r="CK393" s="412"/>
      <c r="CL393" s="409"/>
      <c r="CM393" s="411">
        <f>IF(CL393=0,0,IF($LB393=70%,VLOOKUP($CH393,'Jan-2026 rates'!$L:$R,4,0),IF($LB393=65%,VLOOKUP($CH393,'Jan-2026 rates'!$L:$R,4,0),IF($LB393=40%,VLOOKUP($CH393,'Jan-2026 rates'!$L:$R,5,0),IF($LB393=30%,VLOOKUP($CH393,'Jan-2026 rates'!$L:$R,6,0),IF($LB393=100%,VLOOKUP($CH393,'Jan-2026 rates'!$L:$R,7,0),IF($LB393=60%,VLOOKUP($CH393,'Jan-2026 rates'!$L:$S,8,0),IF($LB393=80%,VLOOKUP($CH393,'Jan-2026 rates'!L:T,9,0),0))))))))</f>
        <v>0</v>
      </c>
      <c r="CN393" s="426">
        <v>26531000005</v>
      </c>
      <c r="CO393" s="427" t="s">
        <v>1265</v>
      </c>
      <c r="CP393" s="426"/>
      <c r="CQ393" s="426"/>
      <c r="CR393" s="428"/>
      <c r="CS393" s="428"/>
      <c r="CT393" s="428"/>
      <c r="CU393" s="428"/>
      <c r="CV393" s="409">
        <v>10</v>
      </c>
      <c r="CW393" s="398" t="e">
        <f>IF(CV393=0,0,IF(LEN(CN393)=11,_xlfn.XLOOKUP(CN393,'Dispensed Ink Rates'!C:C,'Dispensed Ink Rates'!CS:CS),VLOOKUP(CN393,'Jan-2026 rates'!$E:$F,2,0)))</f>
        <v>#N/A</v>
      </c>
      <c r="CX393" s="409">
        <v>10</v>
      </c>
      <c r="CY393" s="398">
        <f>IF(CX393=0,0,IF(LEN(CO393)=11,_xlfn.XLOOKUP(CO393,'Dispensed Ink Rates'!C:C,'Dispensed Ink Rates'!CS:CS),VLOOKUP(CO393,'Jan-2026 rates'!$E:$F,2,0)))</f>
        <v>0</v>
      </c>
      <c r="CZ393" s="409"/>
      <c r="DA393" s="398">
        <f>IF(CZ393=0,0,IF(LEN(CP393)=11,_xlfn.XLOOKUP(CP393,'Dispensed Ink Rates'!C:C,'Dispensed Ink Rates'!CS:CS),VLOOKUP(CP393,'Jan-2026 rates'!$E:$F,2,0)))</f>
        <v>0</v>
      </c>
      <c r="DB393" s="409"/>
      <c r="DC393" s="398">
        <f>IF(DB393=0,0,IF(LEN(CQ393)=11,_xlfn.XLOOKUP(CQ393,'Dispensed Ink Rates'!C:C,'Dispensed Ink Rates'!CS:CS),VLOOKUP(CQ393,'Jan-2026 rates'!$E:$F,2,0)))</f>
        <v>0</v>
      </c>
      <c r="DD393" s="409"/>
      <c r="DE393" s="398">
        <f>IF(DD393=0,0,IF(LEN(CR393)=11,_xlfn.XLOOKUP(CR393,'Dispensed Ink Rates'!C:C,'Dispensed Ink Rates'!CS:CS),VLOOKUP(CR393,'Jan-2026 rates'!$E:$F,2,0)))</f>
        <v>0</v>
      </c>
      <c r="DF393" s="409"/>
      <c r="DG393" s="398">
        <f>IF(DF393=0,0,IF(LEN(CS393)=11,_xlfn.XLOOKUP(CS393,'Dispensed Ink Rates'!C:C,'Dispensed Ink Rates'!CS:CS),VLOOKUP(CS393,'Jan-2026 rates'!$E:$F,2,0)))</f>
        <v>0</v>
      </c>
      <c r="DH393" s="409"/>
      <c r="DI393" s="398">
        <f>IF(DH393=0,0,IF(LEN(CT393)=11,_xlfn.XLOOKUP(CT393,'Dispensed Ink Rates'!C:C,'Dispensed Ink Rates'!CS:CS),VLOOKUP(CT393,'Jan-2026 rates'!$E:$F,2,0)))</f>
        <v>0</v>
      </c>
      <c r="DJ393" s="409"/>
      <c r="DK393" s="398">
        <f>IF(DJ393=0,0,IF(LEN(CU393)=11,_xlfn.XLOOKUP(CU393,'Dispensed Ink Rates'!C:C,'Dispensed Ink Rates'!CS:CS),VLOOKUP(CU393,'Jan-2026 rates'!$E:$F,2,0)))</f>
        <v>0</v>
      </c>
      <c r="DL393" s="409" t="s">
        <v>1443</v>
      </c>
      <c r="DM393" s="409">
        <v>23</v>
      </c>
      <c r="DN393" s="411">
        <f t="shared" si="218"/>
        <v>0</v>
      </c>
      <c r="DO393" s="411">
        <f t="shared" si="219"/>
        <v>6.3648648648648631</v>
      </c>
      <c r="DP393" s="410">
        <f t="shared" si="220"/>
        <v>0</v>
      </c>
      <c r="DQ393" s="405" t="s">
        <v>547</v>
      </c>
      <c r="DR393" s="409" t="s">
        <v>4255</v>
      </c>
      <c r="DS393" s="420" t="str">
        <f t="shared" si="186"/>
        <v>FLINTSL - GREEN</v>
      </c>
      <c r="DT393" s="409">
        <v>20</v>
      </c>
      <c r="DU393" s="411">
        <f>IF(DT393=0,0,IF($LB393=70%,VLOOKUP($DS393,'Jan-2026 rates'!$L:$R,4,0),IF($LB393=65%,VLOOKUP($DS393,'Jan-2026 rates'!$L:$R,4,0),IF($LB393=40%,VLOOKUP($DS393,'Jan-2026 rates'!$L:$R,5,0),IF($LB393=30%,VLOOKUP($DS393,'Jan-2026 rates'!$L:$R,6,0),IF($LB393=100%,VLOOKUP($DS393,'Jan-2026 rates'!$L:$R,7,0),IF($LB393=60%,VLOOKUP($DS393,'Jan-2026 rates'!$L:$S,8,0),IF($LB393=80%,VLOOKUP($DS393,'Jan-2026 rates'!L:T,9,0),0))))))))</f>
        <v>0</v>
      </c>
      <c r="DV393" s="412"/>
      <c r="DW393" s="409"/>
      <c r="DX393" s="411">
        <f>IF(DW393=0,0,IF($LB393=70%,VLOOKUP($DS393,'Jan-2026 rates'!$L:$R,4,0),IF($LB393=65%,VLOOKUP($DS393,'Jan-2026 rates'!$L:$R,4,0),IF($LB393=40%,VLOOKUP($DS393,'Jan-2026 rates'!$L:$R,5,0),IF($LB393=30%,VLOOKUP($DS393,'Jan-2026 rates'!$L:$R,6,0),IF($LB393=100%,VLOOKUP($DS393,'Jan-2026 rates'!$L:$R,7,0),IF($LB393=60%,VLOOKUP($DS393,'Jan-2026 rates'!$L:$S,8,0),IF($LB393=80%,VLOOKUP($DS393,'Jan-2026 rates'!L:T,9,0),0))))))))</f>
        <v>0</v>
      </c>
      <c r="DY393" s="413" t="s">
        <v>1266</v>
      </c>
      <c r="DZ393" s="413">
        <v>26530000026</v>
      </c>
      <c r="EA393" s="412" t="s">
        <v>477</v>
      </c>
      <c r="EB393" s="412" t="s">
        <v>1264</v>
      </c>
      <c r="EC393" s="412"/>
      <c r="ED393" s="412"/>
      <c r="EE393" s="412"/>
      <c r="EF393" s="412"/>
      <c r="EG393" s="409">
        <v>5</v>
      </c>
      <c r="EH393" s="398">
        <f>IF(EG393=0,0,IF(LEN(DY393)=11,_xlfn.XLOOKUP(DY393,'Dispensed Ink Rates'!C:C,'Dispensed Ink Rates'!CS:CS),VLOOKUP(DY393,'Jan-2026 rates'!$E:$F,2,0)))</f>
        <v>0</v>
      </c>
      <c r="EI393" s="409">
        <v>20</v>
      </c>
      <c r="EJ393" s="398" t="e">
        <f>IF(EI393=0,0,IF(LEN(DZ393)=11,_xlfn.XLOOKUP(DZ393,'Dispensed Ink Rates'!C:C,'Dispensed Ink Rates'!CS:CS),VLOOKUP(DZ393,'Jan-2026 rates'!$E:$F,2,0)))</f>
        <v>#N/A</v>
      </c>
      <c r="EK393" s="409">
        <v>15</v>
      </c>
      <c r="EL393" s="398">
        <f>IF(EK393=0,0,IF(LEN(EA393)=11,_xlfn.XLOOKUP(EA393,'Dispensed Ink Rates'!C:C,'Dispensed Ink Rates'!CS:CS),VLOOKUP(EA393,'Jan-2026 rates'!$E:$F,2,0)))</f>
        <v>0</v>
      </c>
      <c r="EM393" s="409">
        <v>3</v>
      </c>
      <c r="EN393" s="398">
        <f>IF(EM393=0,0,IF(LEN(EB393)=11,_xlfn.XLOOKUP(EB393,'Dispensed Ink Rates'!C:C,'Dispensed Ink Rates'!CS:CS),VLOOKUP(EB393,'Jan-2026 rates'!$E:$F,2,0)))</f>
        <v>0</v>
      </c>
      <c r="EO393" s="409"/>
      <c r="EP393" s="398">
        <f>IF(EO393=0,0,IF(LEN(EC393)=11,_xlfn.XLOOKUP(EC393,'Dispensed Ink Rates'!C:C,'Dispensed Ink Rates'!CS:CS),VLOOKUP(EC393,'Jan-2026 rates'!$E:$F,2,0)))</f>
        <v>0</v>
      </c>
      <c r="EQ393" s="409"/>
      <c r="ER393" s="398">
        <f>IF(EQ393=0,0,IF(LEN(ED393)=11,_xlfn.XLOOKUP(ED393,'Dispensed Ink Rates'!C:C,'Dispensed Ink Rates'!CS:CS),VLOOKUP(ED393,'Jan-2026 rates'!$E:$F,2,0)))</f>
        <v>0</v>
      </c>
      <c r="ES393" s="409"/>
      <c r="ET393" s="398">
        <f>IF(ES393=0,0,IF(LEN(EE393)=11,_xlfn.XLOOKUP(EE393,'Dispensed Ink Rates'!C:C,'Dispensed Ink Rates'!CS:CS),VLOOKUP(EE393,'Jan-2026 rates'!$E:$F,2,0)))</f>
        <v>0</v>
      </c>
      <c r="EU393" s="409"/>
      <c r="EV393" s="398">
        <f>IF(EU393=0,0,IF(LEN(EF393)=11,_xlfn.XLOOKUP(EF393,'Dispensed Ink Rates'!C:C,'Dispensed Ink Rates'!CS:CS),VLOOKUP(EF393,'Jan-2026 rates'!$E:$F,2,0)))</f>
        <v>0</v>
      </c>
      <c r="EW393" s="409" t="s">
        <v>1443</v>
      </c>
      <c r="EX393" s="409">
        <v>20</v>
      </c>
      <c r="EY393" s="411">
        <f t="shared" si="221"/>
        <v>0</v>
      </c>
      <c r="EZ393" s="411">
        <f t="shared" si="222"/>
        <v>69.756756756756758</v>
      </c>
      <c r="FA393" s="410">
        <f t="shared" si="223"/>
        <v>0</v>
      </c>
      <c r="FB393" s="405" t="s">
        <v>547</v>
      </c>
      <c r="FC393" s="409"/>
      <c r="FD393" s="420" t="str">
        <f t="shared" si="187"/>
        <v>FLINTSL - GREEN</v>
      </c>
      <c r="FE393" s="409"/>
      <c r="FF393" s="411">
        <f>IF(FE393=0,0,IF($LB393=70%,VLOOKUP($FD393,'Jan-2026 rates'!$L:$R,4,0),IF($LB393=65%,VLOOKUP($FD393,'Jan-2026 rates'!$L:$R,4,0),IF($LB393=40%,VLOOKUP($FD393,'Jan-2026 rates'!$L:$R,5,0),IF($LB393=30%,VLOOKUP($FD393,'Jan-2026 rates'!$L:$R,6,0),IF($LB393=100%,VLOOKUP($FD393,'Jan-2026 rates'!$L:$R,7,0),IF($LB393=60%,VLOOKUP($FD393,'Jan-2026 rates'!$L:$S,8,0),IF($LB393=80%,VLOOKUP($FD393,'Jan-2026 rates'!L:T,9,0),0))))))))</f>
        <v>0</v>
      </c>
      <c r="FG393" s="412"/>
      <c r="FH393" s="409"/>
      <c r="FI393" s="411">
        <f>IF(FH393=0,0,IF($LB393=70%,VLOOKUP($FD393,'Jan-2026 rates'!$L:$R,4,0),IF($LB393=65%,VLOOKUP($FD393,'Jan-2026 rates'!$L:$R,4,0),IF($LB393=40%,VLOOKUP($FD393,'Jan-2026 rates'!$L:$R,5,0),IF($LB393=30%,VLOOKUP($FD393,'Jan-2026 rates'!$L:$R,6,0),IF($LB393=100%,VLOOKUP($FD393,'Jan-2026 rates'!$L:$R,7,0),IF($LB393=60%,VLOOKUP($FD393,'Jan-2026 rates'!$L:$S,8,0),IF($LB393=80%,VLOOKUP($FD393,'Jan-2026 rates'!L:T,9,0),0))))))))</f>
        <v>0</v>
      </c>
      <c r="FJ393" s="413">
        <v>26531000014</v>
      </c>
      <c r="FK393" s="413" t="s">
        <v>477</v>
      </c>
      <c r="FL393" s="413"/>
      <c r="FM393" s="412"/>
      <c r="FN393" s="412"/>
      <c r="FO393" s="412"/>
      <c r="FP393" s="412"/>
      <c r="FQ393" s="412"/>
      <c r="FR393" s="409">
        <v>20</v>
      </c>
      <c r="FS393" s="398" t="e">
        <f>IF(FR393=0,0,IF(LEN(FJ393)=11,_xlfn.XLOOKUP(FJ393,'Dispensed Ink Rates'!C:C,'Dispensed Ink Rates'!CS:CS),VLOOKUP(FJ393,'Jan-2026 rates'!$E:$F,2,0)))</f>
        <v>#N/A</v>
      </c>
      <c r="FT393" s="409">
        <v>30</v>
      </c>
      <c r="FU393" s="398">
        <f>IF(FT393=0,0,IF(LEN(FK393)=11,_xlfn.XLOOKUP(FK393,'Dispensed Ink Rates'!C:C,'Dispensed Ink Rates'!CS:CS),VLOOKUP(FK393,'Jan-2026 rates'!$E:$F,2,0)))</f>
        <v>0</v>
      </c>
      <c r="FV393" s="409"/>
      <c r="FW393" s="398">
        <f>IF(FV393=0,0,IF(LEN(FL393)=11,_xlfn.XLOOKUP(FL393,'Dispensed Ink Rates'!C:C,'Dispensed Ink Rates'!CS:CS),VLOOKUP(FL393,'Jan-2026 rates'!$E:$F,2,0)))</f>
        <v>0</v>
      </c>
      <c r="FX393" s="409"/>
      <c r="FY393" s="398">
        <f>IF(FX393=0,0,IF(LEN(FM393)=11,_xlfn.XLOOKUP(FM393,'Dispensed Ink Rates'!C:C,'Dispensed Ink Rates'!CS:CS),VLOOKUP(FM393,'Jan-2026 rates'!$E:$F,2,0)))</f>
        <v>0</v>
      </c>
      <c r="FZ393" s="409"/>
      <c r="GA393" s="398">
        <f>IF(FZ393=0,0,IF(LEN(FN393)=11,_xlfn.XLOOKUP(FN393,'Dispensed Ink Rates'!C:C,'Dispensed Ink Rates'!CS:CS),VLOOKUP(FN393,'Jan-2026 rates'!$E:$F,2,0)))</f>
        <v>0</v>
      </c>
      <c r="GB393" s="409"/>
      <c r="GC393" s="398">
        <f>IF(GB393=0,0,IF(LEN(FO393)=11,_xlfn.XLOOKUP(FO393,'Dispensed Ink Rates'!C:C,'Dispensed Ink Rates'!CS:CS),VLOOKUP(FO393,'Jan-2026 rates'!$E:$F,2,0)))</f>
        <v>0</v>
      </c>
      <c r="GD393" s="409"/>
      <c r="GE393" s="398">
        <f>IF(GD393=0,0,IF(LEN(FP393)=11,_xlfn.XLOOKUP(FP393,'Dispensed Ink Rates'!C:C,'Dispensed Ink Rates'!CS:CS),VLOOKUP(FP393,'Jan-2026 rates'!$E:$F,2,0)))</f>
        <v>0</v>
      </c>
      <c r="GF393" s="409"/>
      <c r="GG393" s="398">
        <f>IF(GF393=0,0,IF(LEN(FQ393)=11,_xlfn.XLOOKUP(FQ393,'Dispensed Ink Rates'!C:C,'Dispensed Ink Rates'!CS:CS),VLOOKUP(FQ393,'Jan-2026 rates'!$E:$F,2,0)))</f>
        <v>0</v>
      </c>
      <c r="GH393" s="409" t="s">
        <v>1443</v>
      </c>
      <c r="GI393" s="409">
        <v>21</v>
      </c>
      <c r="GJ393" s="411">
        <f t="shared" si="224"/>
        <v>0</v>
      </c>
      <c r="GK393" s="411">
        <f t="shared" si="225"/>
        <v>42.378378378378379</v>
      </c>
      <c r="GL393" s="410">
        <f t="shared" si="226"/>
        <v>0</v>
      </c>
      <c r="GM393" s="405" t="s">
        <v>828</v>
      </c>
      <c r="GN393" s="409" t="s">
        <v>4972</v>
      </c>
      <c r="GO393" s="420" t="str">
        <f t="shared" si="188"/>
        <v>FLINTSL - ORANGE</v>
      </c>
      <c r="GP393" s="409">
        <v>10</v>
      </c>
      <c r="GQ393" s="411">
        <f>IF(GP393=0,0,IF($LB393=70%,VLOOKUP($GO393,'Jan-2026 rates'!$L:$R,4,0),IF($LB393=65%,VLOOKUP($GO393,'Jan-2026 rates'!$L:$R,4,0),IF($LB393=40%,VLOOKUP($GO393,'Jan-2026 rates'!$L:$R,5,0),IF($LB393=30%,VLOOKUP($GO393,'Jan-2026 rates'!$L:$R,6,0),IF($LB393=100%,VLOOKUP($GO393,'Jan-2026 rates'!$L:$R,7,0),IF($LB393=60%,VLOOKUP($GO393,'Jan-2026 rates'!$L:$S,8,0),IF($LB393=80%,VLOOKUP($GO393,'Jan-2026 rates'!L:T,9,0),0))))))))</f>
        <v>0</v>
      </c>
      <c r="GR393" s="412"/>
      <c r="GS393" s="409"/>
      <c r="GT393" s="411">
        <f>IF(GS393=0,0,IF($LB393=70%,VLOOKUP($GO393,'Jan-2026 rates'!$L:$R,4,0),IF($LB393=65%,VLOOKUP($GO393,'Jan-2026 rates'!$L:$R,4,0),IF($LB393=40%,VLOOKUP($GO393,'Jan-2026 rates'!$L:$R,5,0),IF($LB393=30%,VLOOKUP($GO393,'Jan-2026 rates'!$L:$R,6,0),IF($LB393=100%,VLOOKUP($GO393,'Jan-2026 rates'!$L:$R,7,0),IF($LB393=60%,VLOOKUP($GO393,'Jan-2026 rates'!$L:$S,8,0),IF($LB393=80%,VLOOKUP($GO393,'Jan-2026 rates'!L:T,9,0),0))))))))</f>
        <v>0</v>
      </c>
      <c r="GU393" s="413">
        <v>26531000005</v>
      </c>
      <c r="GV393" s="413">
        <v>26530000026</v>
      </c>
      <c r="GW393" s="412"/>
      <c r="GX393" s="412"/>
      <c r="GY393" s="412"/>
      <c r="GZ393" s="412"/>
      <c r="HA393" s="412"/>
      <c r="HB393" s="412"/>
      <c r="HC393" s="409">
        <v>5</v>
      </c>
      <c r="HD393" s="398" t="e">
        <f>IF(HC393=0,0,IF(LEN(GU393)=11,_xlfn.XLOOKUP(GU393,'Dispensed Ink Rates'!C:C,'Dispensed Ink Rates'!CS:CS),VLOOKUP(GU393,'Jan-2026 rates'!$E:$F,2,0)))</f>
        <v>#N/A</v>
      </c>
      <c r="HE393" s="409">
        <v>5</v>
      </c>
      <c r="HF393" s="398" t="e">
        <f>IF(HE393=0,0,IF(LEN(GV393)=11,_xlfn.XLOOKUP(GV393,'Dispensed Ink Rates'!C:C,'Dispensed Ink Rates'!CS:CS),VLOOKUP(GV393,'Jan-2026 rates'!$E:$F,2,0)))</f>
        <v>#N/A</v>
      </c>
      <c r="HG393" s="409"/>
      <c r="HH393" s="398">
        <f>IF(HG393=0,0,IF(LEN(GW393)=11,_xlfn.XLOOKUP(GW393,'Dispensed Ink Rates'!C:C,'Dispensed Ink Rates'!CS:CS),VLOOKUP(GW393,'Jan-2026 rates'!$E:$F,2,0)))</f>
        <v>0</v>
      </c>
      <c r="HI393" s="409"/>
      <c r="HJ393" s="398">
        <f>IF(HI393=0,0,IF(LEN(GX393)=11,_xlfn.XLOOKUP(GX393,'Dispensed Ink Rates'!C:C,'Dispensed Ink Rates'!CS:CS),VLOOKUP(GX393,'Jan-2026 rates'!$E:$F,2,0)))</f>
        <v>0</v>
      </c>
      <c r="HK393" s="409"/>
      <c r="HL393" s="398">
        <f>IF(HK393=0,0,IF(LEN(GY393)=11,_xlfn.XLOOKUP(GY393,'Dispensed Ink Rates'!C:C,'Dispensed Ink Rates'!CS:CS),VLOOKUP(GY393,'Jan-2026 rates'!$E:$F,2,0)))</f>
        <v>0</v>
      </c>
      <c r="HM393" s="409"/>
      <c r="HN393" s="398">
        <f>IF(HM393=0,0,IF(LEN(GZ393)=11,_xlfn.XLOOKUP(GZ393,'Dispensed Ink Rates'!C:C,'Dispensed Ink Rates'!CS:CS),VLOOKUP(GZ393,'Jan-2026 rates'!$E:$F,2,0)))</f>
        <v>0</v>
      </c>
      <c r="HO393" s="409"/>
      <c r="HP393" s="398">
        <f>IF(HO393=0,0,IF(LEN(HA393)=11,_xlfn.XLOOKUP(HA393,'Dispensed Ink Rates'!C:C,'Dispensed Ink Rates'!CS:CS),VLOOKUP(HA393,'Jan-2026 rates'!$E:$F,2,0)))</f>
        <v>0</v>
      </c>
      <c r="HQ393" s="409"/>
      <c r="HR393" s="398">
        <f>IF(HQ393=0,0,IF(LEN(HB393)=11,_xlfn.XLOOKUP(HB393,'Dispensed Ink Rates'!C:C,'Dispensed Ink Rates'!CS:CS),VLOOKUP(HB393,'Jan-2026 rates'!$E:$F,2,0)))</f>
        <v>0</v>
      </c>
      <c r="HS393" s="409" t="s">
        <v>1443</v>
      </c>
      <c r="HT393" s="409">
        <v>29</v>
      </c>
      <c r="HU393" s="411">
        <f t="shared" si="227"/>
        <v>0</v>
      </c>
      <c r="HV393" s="411">
        <f t="shared" si="228"/>
        <v>0.36486486486486314</v>
      </c>
      <c r="HW393" s="414">
        <f t="shared" si="229"/>
        <v>0</v>
      </c>
      <c r="HX393" s="405" t="s">
        <v>856</v>
      </c>
      <c r="HY393" s="409" t="s">
        <v>4982</v>
      </c>
      <c r="HZ393" s="420" t="str">
        <f t="shared" si="189"/>
        <v>FLINTSL - WHITE</v>
      </c>
      <c r="IA393" s="409">
        <v>25</v>
      </c>
      <c r="IB393" s="411">
        <f>IF(IA393=0,0,IF($LB393=70%,VLOOKUP($HZ393,'Jan-2026 rates'!$L:$R,4,0),IF($LB393=65%,VLOOKUP($HZ393,'Jan-2026 rates'!$L:$R,4,0),IF($LB393=40%,VLOOKUP($HZ393,'Jan-2026 rates'!$L:$R,5,0),IF($LB393=30%,VLOOKUP($HZ393,'Jan-2026 rates'!$L:$R,6,0),IF($LB393=100%,VLOOKUP($HZ393,'Jan-2026 rates'!$L:$R,7,0),IF($LB393=60%,VLOOKUP($HZ393,'Jan-2026 rates'!$L:$S,8,0),IF($LB393=80%,VLOOKUP($HZ393,'Jan-2026 rates'!L:T,9,0),0))))))))</f>
        <v>0</v>
      </c>
      <c r="IC393" s="412"/>
      <c r="ID393" s="409"/>
      <c r="IE393" s="411">
        <f>IF(ID393=0,0,IF($LB393=70%,VLOOKUP($HZ393,'Jan-2026 rates'!$L:$R,4,0),IF($LB393=65%,VLOOKUP($HZ393,'Jan-2026 rates'!$L:$R,4,0),IF($LB393=40%,VLOOKUP($HZ393,'Jan-2026 rates'!$L:$R,5,0),IF($LB393=30%,VLOOKUP($HZ393,'Jan-2026 rates'!$L:$R,6,0),IF($LB393=100%,VLOOKUP($HZ393,'Jan-2026 rates'!$L:$R,7,0),IF($LB393=60%,VLOOKUP($HZ393,'Jan-2026 rates'!$L:$S,8,0),IF($LB393=80%,VLOOKUP($HZ393,'Jan-2026 rates'!L:T,9,0),0))))))))</f>
        <v>0</v>
      </c>
      <c r="IF393" s="412" t="s">
        <v>484</v>
      </c>
      <c r="IG393" s="413"/>
      <c r="IH393" s="412"/>
      <c r="II393" s="412"/>
      <c r="IJ393" s="412"/>
      <c r="IK393" s="412"/>
      <c r="IL393" s="412"/>
      <c r="IM393" s="412"/>
      <c r="IN393" s="409">
        <v>40</v>
      </c>
      <c r="IO393" s="398">
        <f>IF(IN393=0,0,IF(LEN(IF393)=11,_xlfn.XLOOKUP(IF393,'Dispensed Ink Rates'!C:C,'Dispensed Ink Rates'!CS:CS),VLOOKUP(IF393,'Jan-2026 rates'!$E:$F,2,0)))</f>
        <v>0</v>
      </c>
      <c r="IP393" s="409"/>
      <c r="IQ393" s="398">
        <f>IF(IP393=0,0,IF(LEN(IG393)=11,_xlfn.XLOOKUP(IG393,'Dispensed Ink Rates'!C:C,'Dispensed Ink Rates'!CS:CS),VLOOKUP(IG393,'Jan-2026 rates'!$E:$F,2,0)))</f>
        <v>0</v>
      </c>
      <c r="IR393" s="409"/>
      <c r="IS393" s="398">
        <f>IF(IR393=0,0,IF(LEN(IH393)=11,_xlfn.XLOOKUP(IH393,'Dispensed Ink Rates'!C:C,'Dispensed Ink Rates'!CS:CS),VLOOKUP(IH393,'Jan-2026 rates'!$E:$F,2,0)))</f>
        <v>0</v>
      </c>
      <c r="IT393" s="409"/>
      <c r="IU393" s="398">
        <f>IF(IT393=0,0,IF(LEN(II393)=11,_xlfn.XLOOKUP(II393,'Dispensed Ink Rates'!C:C,'Dispensed Ink Rates'!CS:CS),VLOOKUP(II393,'Jan-2026 rates'!$E:$F,2,0)))</f>
        <v>0</v>
      </c>
      <c r="IV393" s="409"/>
      <c r="IW393" s="398">
        <f>IF(IV393=0,0,IF(LEN(IJ393)=11,_xlfn.XLOOKUP(IJ393,'Dispensed Ink Rates'!C:C,'Dispensed Ink Rates'!CS:CS),VLOOKUP(IJ393,'Jan-2026 rates'!$E:$F,2,0)))</f>
        <v>0</v>
      </c>
      <c r="IX393" s="409"/>
      <c r="IY393" s="398">
        <f>IF(IX393=0,0,IF(LEN(IK393)=11,_xlfn.XLOOKUP(IK393,'Dispensed Ink Rates'!C:C,'Dispensed Ink Rates'!CS:CS),VLOOKUP(IK393,'Jan-2026 rates'!$E:$F,2,0)))</f>
        <v>0</v>
      </c>
      <c r="IZ393" s="409"/>
      <c r="JA393" s="398">
        <f>IF(IZ393=0,0,IF(LEN(IL393)=11,_xlfn.XLOOKUP(IL393,'Dispensed Ink Rates'!C:C,'Dispensed Ink Rates'!CS:CS),VLOOKUP(IL393,'Jan-2026 rates'!$E:$F,2,0)))</f>
        <v>0</v>
      </c>
      <c r="JB393" s="409"/>
      <c r="JC393" s="398">
        <f>IF(JB393=0,0,IF(LEN(IM393)=11,_xlfn.XLOOKUP(IM393,'Dispensed Ink Rates'!C:C,'Dispensed Ink Rates'!CS:CS),VLOOKUP(IM393,'Jan-2026 rates'!$E:$F,2,0)))</f>
        <v>0</v>
      </c>
      <c r="JD393" s="409" t="s">
        <v>1443</v>
      </c>
      <c r="JE393" s="409">
        <v>30</v>
      </c>
      <c r="JF393" s="411">
        <f>IFERROR(IF(JG393&lt;=0,0,(IA393*IB393+ID393*IE393+IN393*IO393+IP393*IQ393+IR393*IS393+IT393*IU393+IV393*IW393+IX393*IY393+IZ393*JA393+JB393*JC393+(KZ393/SUM(KT393:LA393)*LL393)*LX393)/(IA393+ID393+IN393+IP393+IR393+IT393+IV393+IX393+IZ393+JB393+(KZ393/SUM(KT393:LA393)*LL393))),0)</f>
        <v>0</v>
      </c>
      <c r="JG393" s="411">
        <f t="shared" si="231"/>
        <v>68.445945945945937</v>
      </c>
      <c r="JH393" s="410">
        <f t="shared" si="232"/>
        <v>0</v>
      </c>
      <c r="JI393" s="405"/>
      <c r="JJ393" s="409"/>
      <c r="JK393" s="420" t="str">
        <f t="shared" si="190"/>
        <v xml:space="preserve"> - </v>
      </c>
      <c r="JL393" s="409"/>
      <c r="JM393" s="411">
        <f>IF(JL393=0,0,IF($LB393=70%,VLOOKUP($JK393,'Jan-2026 rates'!$L:$R,4,0),IF($LB393=65%,VLOOKUP($JK393,'Jan-2026 rates'!$L:$R,4,0),IF($LB393=40%,VLOOKUP($JK393,'Jan-2026 rates'!$L:$R,5,0),IF($LB393=30%,VLOOKUP($JK393,'Jan-2026 rates'!$L:$R,6,0),IF($LB393=100%,VLOOKUP($JK393,'Jan-2026 rates'!$L:$R,7,0),IF($LB393=60%,VLOOKUP($JK393,'Jan-2026 rates'!$L:$S,8,0),IF($LB393=80%,VLOOKUP($JK393,'Jan-2026 rates'!L:T,9,0),0))))))))</f>
        <v>0</v>
      </c>
      <c r="JN393" s="412"/>
      <c r="JO393" s="409"/>
      <c r="JP393" s="411">
        <f>IF(JO393=0,0,IF($LB393=70%,VLOOKUP($JK393,'Jan-2026 rates'!$L:$R,4,0),IF($LB393=65%,VLOOKUP($JK393,'Jan-2026 rates'!$L:$R,4,0),IF($LB393=40%,VLOOKUP($JK393,'Jan-2026 rates'!$L:$R,5,0),IF($LB393=30%,VLOOKUP($JK393,'Jan-2026 rates'!$L:$R,6,0),IF($LB393=100%,VLOOKUP($JK393,'Jan-2026 rates'!$L:$R,7,0),IF($LB393=60%,VLOOKUP($JK393,'Jan-2026 rates'!$L:$S,8,0),IF($LB393=80%,VLOOKUP($JK393,'Jan-2026 rates'!L:T,9,0),0))))))))</f>
        <v>0</v>
      </c>
      <c r="JQ393" s="413"/>
      <c r="JR393" s="412"/>
      <c r="JS393" s="413"/>
      <c r="JT393" s="413"/>
      <c r="JU393" s="412"/>
      <c r="JV393" s="412"/>
      <c r="JW393" s="412"/>
      <c r="JX393" s="412"/>
      <c r="JY393" s="409"/>
      <c r="JZ393" s="398">
        <f>IF(JY393=0,0,IF(LEN(JQ393)=11,_xlfn.XLOOKUP(JQ393,'Dispensed Ink Rates'!C:C,'Dispensed Ink Rates'!CS:CS),VLOOKUP(JQ393,'Jan-2026 rates'!$E:$F,2,0)))</f>
        <v>0</v>
      </c>
      <c r="KA393" s="409"/>
      <c r="KB393" s="398">
        <f>IF(KA393=0,0,IF(LEN(JR393)=11,_xlfn.XLOOKUP(JR393,'Dispensed Ink Rates'!C:C,'Dispensed Ink Rates'!CS:CS),VLOOKUP(JR393,'Jan-2026 rates'!$E:$F,2,0)))</f>
        <v>0</v>
      </c>
      <c r="KC393" s="409"/>
      <c r="KD393" s="398">
        <f>IF(KC393=0,0,IF(LEN(JS393)=11,_xlfn.XLOOKUP(JS393,'Dispensed Ink Rates'!C:C,'Dispensed Ink Rates'!CS:CS),VLOOKUP(JS393,'Jan-2026 rates'!$E:$F,2,0)))</f>
        <v>0</v>
      </c>
      <c r="KE393" s="409"/>
      <c r="KF393" s="398">
        <f>IF(KE393=0,0,IF(LEN(JT393)=11,_xlfn.XLOOKUP(JT393,'Dispensed Ink Rates'!C:C,'Dispensed Ink Rates'!CS:CS),VLOOKUP(JT393,'Jan-2026 rates'!$E:$F,2,0)))</f>
        <v>0</v>
      </c>
      <c r="KG393" s="409"/>
      <c r="KH393" s="398">
        <f>IF(KG393=0,0,IF(LEN(JU393)=11,_xlfn.XLOOKUP(JU393,'Dispensed Ink Rates'!C:C,'Dispensed Ink Rates'!CS:CS),VLOOKUP(JU393,'Jan-2026 rates'!$E:$F,2,0)))</f>
        <v>0</v>
      </c>
      <c r="KI393" s="409"/>
      <c r="KJ393" s="398">
        <f>IF(KI393=0,0,IF(LEN(JV393)=11,_xlfn.XLOOKUP(JV393,'Dispensed Ink Rates'!C:C,'Dispensed Ink Rates'!CS:CS),VLOOKUP(JV393,'Jan-2026 rates'!$E:$F,2,0)))</f>
        <v>0</v>
      </c>
      <c r="KK393" s="409"/>
      <c r="KL393" s="398">
        <f>IF(KK393=0,0,IF(LEN(JW393)=11,_xlfn.XLOOKUP(JW393,'Dispensed Ink Rates'!C:C,'Dispensed Ink Rates'!CS:CS),VLOOKUP(JW393,'Jan-2026 rates'!$E:$F,2,0)))</f>
        <v>0</v>
      </c>
      <c r="KM393" s="428"/>
      <c r="KN393" s="398">
        <f>IF(KM393=0,0,IF(LEN(JX393)=11,_xlfn.XLOOKUP(JX393,'Dispensed Ink Rates'!C:C,'Dispensed Ink Rates'!CS:CS),VLOOKUP(JX393,'Jan-2026 rates'!$E:$F,2,0)))</f>
        <v>0</v>
      </c>
      <c r="KO393" s="409"/>
      <c r="KP393" s="409"/>
      <c r="KQ393" s="411">
        <f t="shared" si="233"/>
        <v>0</v>
      </c>
      <c r="KR393" s="411">
        <f t="shared" si="234"/>
        <v>0</v>
      </c>
      <c r="KS393" s="410">
        <f t="shared" si="235"/>
        <v>0</v>
      </c>
      <c r="KT393" s="409">
        <v>3</v>
      </c>
      <c r="KU393" s="409">
        <v>2</v>
      </c>
      <c r="KV393" s="409">
        <v>7</v>
      </c>
      <c r="KW393" s="409">
        <v>20</v>
      </c>
      <c r="KX393" s="409">
        <v>10</v>
      </c>
      <c r="KY393" s="409">
        <v>7</v>
      </c>
      <c r="KZ393" s="409">
        <v>25</v>
      </c>
      <c r="LA393" s="409">
        <v>0</v>
      </c>
      <c r="LB393" s="415">
        <v>0.8</v>
      </c>
      <c r="LC393" s="415">
        <v>0.2</v>
      </c>
      <c r="LD393" s="424"/>
      <c r="LE393" s="415"/>
      <c r="LF393" s="415"/>
      <c r="LG393" s="409">
        <v>0</v>
      </c>
      <c r="LH393" s="409">
        <f>25+24+40+10</f>
        <v>99</v>
      </c>
      <c r="LI393" s="409">
        <v>0</v>
      </c>
      <c r="LJ393" s="409">
        <v>0</v>
      </c>
      <c r="LK393" s="416">
        <f t="shared" si="191"/>
        <v>99</v>
      </c>
      <c r="LL393" s="416">
        <f t="shared" si="349"/>
        <v>99</v>
      </c>
      <c r="LM393" s="417">
        <f t="shared" si="193"/>
        <v>79.2</v>
      </c>
      <c r="LN393" s="417">
        <f>VLOOKUP($LM$8,'Jan-2026 rates'!$H:$I,2,0)</f>
        <v>0</v>
      </c>
      <c r="LO393" s="417">
        <f t="shared" si="194"/>
        <v>19.8</v>
      </c>
      <c r="LP393" s="417">
        <f>VLOOKUP($LO$8,'Jan-2026 rates'!$H:$I,2,0)</f>
        <v>0</v>
      </c>
      <c r="LQ393" s="417">
        <f t="shared" si="195"/>
        <v>0</v>
      </c>
      <c r="LR393" s="417">
        <f>VLOOKUP($LQ$8,'Jan-2026 rates'!$H:$I,2,0)</f>
        <v>0</v>
      </c>
      <c r="LS393" s="417">
        <f t="shared" si="196"/>
        <v>0</v>
      </c>
      <c r="LT393" s="417">
        <f>VLOOKUP($LS$8,'Jan-2026 rates'!$H:$I,2,0)</f>
        <v>0</v>
      </c>
      <c r="LU393" s="417">
        <f t="shared" si="197"/>
        <v>0</v>
      </c>
      <c r="LV393" s="417">
        <f>VLOOKUP($LU$8,'Jan-2026 rates'!$H:$I,2,0)</f>
        <v>0</v>
      </c>
      <c r="LW393" s="417">
        <f t="shared" si="198"/>
        <v>0</v>
      </c>
      <c r="LX393" s="417">
        <f t="shared" si="199"/>
        <v>0</v>
      </c>
      <c r="LY393" s="418">
        <f t="shared" si="200"/>
        <v>0</v>
      </c>
      <c r="LZ393" s="417"/>
      <c r="MA393" s="435">
        <f t="shared" si="201"/>
        <v>173</v>
      </c>
      <c r="MB393" s="282">
        <f t="shared" si="202"/>
        <v>198</v>
      </c>
      <c r="MC393" s="283">
        <v>234</v>
      </c>
      <c r="MD393" s="284" t="str">
        <f t="shared" si="203"/>
        <v>FLINTSLFLINTSLFLINTSLFLINTSLFLINTSLFLINTSLFLINTSL</v>
      </c>
      <c r="ME393" s="293" t="str">
        <f t="shared" si="204"/>
        <v>+</v>
      </c>
      <c r="MF393" s="293" t="str">
        <f t="shared" si="205"/>
        <v>+</v>
      </c>
      <c r="MG393" s="293" t="str">
        <f t="shared" si="206"/>
        <v>+</v>
      </c>
      <c r="MH393" s="293" t="str">
        <f t="shared" si="207"/>
        <v>+</v>
      </c>
      <c r="MI393" s="293" t="str">
        <f t="shared" si="208"/>
        <v>+</v>
      </c>
      <c r="MJ393" s="293" t="str">
        <f t="shared" si="209"/>
        <v>+</v>
      </c>
      <c r="MK393" s="293" t="str">
        <f t="shared" si="210"/>
        <v>+</v>
      </c>
      <c r="ML393" s="293" t="str">
        <f t="shared" si="211"/>
        <v>NIL</v>
      </c>
      <c r="MM393" s="3" t="b">
        <f t="array" ref="MM393">OR(ME393:ML393="-")</f>
        <v>0</v>
      </c>
      <c r="MO393" s="401">
        <f t="shared" si="350"/>
        <v>79.838709677419345</v>
      </c>
      <c r="MP393" s="286"/>
      <c r="MR393" s="402">
        <f t="shared" si="351"/>
        <v>1.8679245283018869E-2</v>
      </c>
      <c r="MS393" s="400">
        <f t="shared" si="352"/>
        <v>0</v>
      </c>
      <c r="MT393" s="285"/>
      <c r="NH393" s="361"/>
      <c r="NJ393" s="282"/>
    </row>
    <row r="394" spans="1:374" ht="16.5">
      <c r="A394" s="403">
        <v>46053</v>
      </c>
      <c r="B394" s="404" t="s">
        <v>1015</v>
      </c>
      <c r="C394" s="405" t="s">
        <v>4973</v>
      </c>
      <c r="D394" s="404">
        <v>235</v>
      </c>
      <c r="E394" s="404">
        <v>2092</v>
      </c>
      <c r="F394" s="407">
        <v>107700</v>
      </c>
      <c r="G394" s="407" t="s">
        <v>1016</v>
      </c>
      <c r="H394" s="408" t="s">
        <v>1017</v>
      </c>
      <c r="I394" s="409">
        <v>1.81</v>
      </c>
      <c r="J394" s="405" t="s">
        <v>543</v>
      </c>
      <c r="K394" s="404" t="s">
        <v>4974</v>
      </c>
      <c r="L394" s="419" t="str">
        <f t="shared" si="184"/>
        <v>FLINTSL - BLACK</v>
      </c>
      <c r="M394" s="404">
        <v>28</v>
      </c>
      <c r="N394" s="410">
        <f>IF(M394=0,0,IF($LB394=70%,VLOOKUP($L394,'Jan-2026 rates'!$L:$R,4,0),IF($LB394=65%,VLOOKUP($L394,'Jan-2026 rates'!$L:$R,4,0),IF($LB394=40%,VLOOKUP($L394,'Jan-2026 rates'!$L:$R,5,0),IF($LB394=30%,VLOOKUP($L394,'Jan-2026 rates'!$L:$R,6,0),IF($LB394=100%,VLOOKUP($L394,'Jan-2026 rates'!$L:$R,7,0),IF($LB394=60%,VLOOKUP($L394,'Jan-2026 rates'!$L:$S,8,0),IF($LB394=80%,VLOOKUP($L394,'Jan-2026 rates'!L:T,9,0),0))))))))</f>
        <v>0</v>
      </c>
      <c r="O394" s="406"/>
      <c r="P394" s="404"/>
      <c r="Q394" s="410">
        <f>IF(P394=0,0,IF($LB394=70%,VLOOKUP($L394,'Jan-2026 rates'!$L:$R,4,0),IF($LB394=65%,VLOOKUP($L394,'Jan-2026 rates'!$L:$R,4,0),IF($LB394=40%,VLOOKUP($L394,'Jan-2026 rates'!$L:$R,5,0),IF($LB394=30%,VLOOKUP($L394,'Jan-2026 rates'!$L:$R,6,0),IF($LB394=100%,VLOOKUP($L394,'Jan-2026 rates'!$L:$R,7,0),IF($LB394=60%,VLOOKUP($L394,'Jan-2026 rates'!$L:$S,8,0),IF($LB394=80%,VLOOKUP($L394,'Jan-2026 rates'!L:T,9,0),0))))))))</f>
        <v>0</v>
      </c>
      <c r="R394" s="406" t="s">
        <v>1266</v>
      </c>
      <c r="S394" s="406"/>
      <c r="T394" s="406"/>
      <c r="U394" s="406"/>
      <c r="V394" s="406"/>
      <c r="W394" s="406"/>
      <c r="X394" s="406"/>
      <c r="Y394" s="406"/>
      <c r="Z394" s="404">
        <v>5</v>
      </c>
      <c r="AA394" s="398">
        <f>IF(Z394=0,0,IF(LEN(R394)=11,_xlfn.XLOOKUP(R394,'Dispensed Ink Rates'!C:C,'Dispensed Ink Rates'!CS:CS),VLOOKUP(R394,'Jan-2026 rates'!$E:$F,2,0)))</f>
        <v>0</v>
      </c>
      <c r="AB394" s="404"/>
      <c r="AC394" s="398">
        <f>IF(AB394=0,0,IF(LEN(S394)=11,_xlfn.XLOOKUP(S394,'Dispensed Ink Rates'!C:C,'Dispensed Ink Rates'!CS:CS),VLOOKUP(S394,'Jan-2026 rates'!$E:$F,2,0)))</f>
        <v>0</v>
      </c>
      <c r="AD394" s="404"/>
      <c r="AE394" s="398">
        <f>IF(AD394=0,0,IF(LEN(T394)=11,_xlfn.XLOOKUP(T394,'Dispensed Ink Rates'!C:C,'Dispensed Ink Rates'!CS:CS),VLOOKUP(T394,'Jan-2026 rates'!$E:$F,2,0)))</f>
        <v>0</v>
      </c>
      <c r="AF394" s="404"/>
      <c r="AG394" s="398">
        <f>IF(AF394=0,0,IF(LEN(U394)=11,_xlfn.XLOOKUP(U394,'Dispensed Ink Rates'!C:C,'Dispensed Ink Rates'!CS:CS),VLOOKUP(U394,'Jan-2026 rates'!$E:$F,2,0)))</f>
        <v>0</v>
      </c>
      <c r="AH394" s="404"/>
      <c r="AI394" s="398">
        <f>IF(AH394=0,0,IF(LEN(V394)=11,_xlfn.XLOOKUP(V394,'Dispensed Ink Rates'!C:C,'Dispensed Ink Rates'!CS:CS),VLOOKUP(V394,'Jan-2026 rates'!$E:$F,2,0)))</f>
        <v>0</v>
      </c>
      <c r="AJ394" s="404"/>
      <c r="AK394" s="398">
        <f>IF(AJ394=0,0,IF(LEN(W394)=11,_xlfn.XLOOKUP(W394,'Dispensed Ink Rates'!C:C,'Dispensed Ink Rates'!CS:CS),VLOOKUP(W394,'Jan-2026 rates'!$E:$F,2,0)))</f>
        <v>0</v>
      </c>
      <c r="AL394" s="404"/>
      <c r="AM394" s="398">
        <f>IF(AL394=0,0,IF(LEN(X394)=11,_xlfn.XLOOKUP(X394,'Dispensed Ink Rates'!C:C,'Dispensed Ink Rates'!CS:CS),VLOOKUP(X394,'Jan-2026 rates'!$E:$F,2,0)))</f>
        <v>0</v>
      </c>
      <c r="AN394" s="404"/>
      <c r="AO394" s="398">
        <f>IF(AN394=0,0,IF(LEN(Y394)=11,_xlfn.XLOOKUP(Y394,'Dispensed Ink Rates'!C:C,'Dispensed Ink Rates'!CS:CS),VLOOKUP(Y394,'Jan-2026 rates'!$E:$F,2,0)))</f>
        <v>0</v>
      </c>
      <c r="AP394" s="409" t="s">
        <v>1443</v>
      </c>
      <c r="AQ394" s="409">
        <v>27</v>
      </c>
      <c r="AR394" s="410">
        <f t="shared" si="212"/>
        <v>0</v>
      </c>
      <c r="AS394" s="411">
        <f t="shared" si="213"/>
        <v>12.587412587412587</v>
      </c>
      <c r="AT394" s="410">
        <f t="shared" si="214"/>
        <v>0</v>
      </c>
      <c r="AU394" s="405" t="s">
        <v>857</v>
      </c>
      <c r="AV394" s="409" t="s">
        <v>4975</v>
      </c>
      <c r="AW394" s="420" t="str">
        <f t="shared" si="348"/>
        <v>FLINTSL - RED</v>
      </c>
      <c r="AX394" s="409">
        <v>25</v>
      </c>
      <c r="AY394" s="411">
        <f>IF(AX394=0,0,IF($LB394=70%,VLOOKUP($AW394,'Jan-2026 rates'!$L:$R,4,0),IF($LB394=65%,VLOOKUP($AW394,'Jan-2026 rates'!$L:$R,4,0),IF($LB394=40%,VLOOKUP($AW394,'Jan-2026 rates'!$L:$R,5,0),IF($LB394=30%,VLOOKUP($AW394,'Jan-2026 rates'!$L:$R,6,0),IF($LB394=100%,VLOOKUP($AW394,'Jan-2026 rates'!$L:$R,7,0),IF($LB394=60%,VLOOKUP($AW394,'Jan-2026 rates'!$L:$S,8,0),IF($LB394=80%,VLOOKUP($AW394,'Jan-2026 rates'!L:T,9,0),0))))))))</f>
        <v>0</v>
      </c>
      <c r="AZ394" s="412" t="s">
        <v>4976</v>
      </c>
      <c r="BA394" s="409">
        <v>23</v>
      </c>
      <c r="BB394" s="411">
        <f>IF(BA394=0,0,IF($LB394=70%,VLOOKUP($AW394,'Jan-2026 rates'!$L:$R,4,0),IF($LB394=65%,VLOOKUP($AW394,'Jan-2026 rates'!$L:$R,4,0),IF($LB394=40%,VLOOKUP($AW394,'Jan-2026 rates'!$L:$R,5,0),IF($LB394=30%,VLOOKUP($AW394,'Jan-2026 rates'!$L:$R,6,0),IF($LB394=100%,VLOOKUP($AW394,'Jan-2026 rates'!$L:$R,7,0),IF($LB394=60%,VLOOKUP($AW394,'Jan-2026 rates'!$L:$S,8,0),IF($LB394=80%,VLOOKUP($AW394,'Jan-2026 rates'!L:T,9,0),0))))))))</f>
        <v>0</v>
      </c>
      <c r="BC394" s="413" t="s">
        <v>1266</v>
      </c>
      <c r="BD394" s="412"/>
      <c r="BE394" s="412"/>
      <c r="BF394" s="413"/>
      <c r="BG394" s="412"/>
      <c r="BH394" s="412"/>
      <c r="BI394" s="412"/>
      <c r="BJ394" s="412"/>
      <c r="BK394" s="409">
        <v>5</v>
      </c>
      <c r="BL394" s="398">
        <f>IF(BK394=0,0,IF(LEN(BC394)=11,_xlfn.XLOOKUP(BC394,'Dispensed Ink Rates'!C:C,'Dispensed Ink Rates'!CS:CS),VLOOKUP(BC394,'Jan-2026 rates'!$E:$F,2,0)))</f>
        <v>0</v>
      </c>
      <c r="BM394" s="409"/>
      <c r="BN394" s="398">
        <f>IF(BM394=0,0,IF(LEN(BD394)=11,_xlfn.XLOOKUP(BD394,'Dispensed Ink Rates'!C:C,'Dispensed Ink Rates'!CS:CS),VLOOKUP(BD394,'Jan-2026 rates'!$E:$F,2,0)))</f>
        <v>0</v>
      </c>
      <c r="BO394" s="409"/>
      <c r="BP394" s="398">
        <f>IF(BO394=0,0,IF(LEN(BE394)=11,_xlfn.XLOOKUP(BE394,'Dispensed Ink Rates'!C:C,'Dispensed Ink Rates'!CS:CS),VLOOKUP(BE394,'Jan-2026 rates'!$E:$F,2,0)))</f>
        <v>0</v>
      </c>
      <c r="BQ394" s="409"/>
      <c r="BR394" s="398">
        <f>IF(BQ394=0,0,IF(LEN(BF394)=11,_xlfn.XLOOKUP(BF394,'Dispensed Ink Rates'!C:C,'Dispensed Ink Rates'!CS:CS),VLOOKUP(BF394,'Jan-2026 rates'!$E:$F,2,0)))</f>
        <v>0</v>
      </c>
      <c r="BS394" s="409"/>
      <c r="BT394" s="398">
        <f>IF(BS394=0,0,IF(LEN(BG394)=11,_xlfn.XLOOKUP(BG394,'Dispensed Ink Rates'!C:C,'Dispensed Ink Rates'!CS:CS),VLOOKUP(BG394,'Jan-2026 rates'!$E:$F,2,0)))</f>
        <v>0</v>
      </c>
      <c r="BU394" s="409"/>
      <c r="BV394" s="398">
        <f>IF(BU394=0,0,IF(LEN(BH394)=11,_xlfn.XLOOKUP(BH394,'Dispensed Ink Rates'!C:C,'Dispensed Ink Rates'!CS:CS),VLOOKUP(BH394,'Jan-2026 rates'!$E:$F,2,0)))</f>
        <v>0</v>
      </c>
      <c r="BW394" s="409"/>
      <c r="BX394" s="398">
        <f>IF(BW394=0,0,IF(LEN(BI394)=11,_xlfn.XLOOKUP(BI394,'Dispensed Ink Rates'!C:C,'Dispensed Ink Rates'!CS:CS),VLOOKUP(BI394,'Jan-2026 rates'!$E:$F,2,0)))</f>
        <v>0</v>
      </c>
      <c r="BY394" s="409"/>
      <c r="BZ394" s="398">
        <f>IF(BY394=0,0,IF(LEN(BJ394)=11,_xlfn.XLOOKUP(BJ394,'Dispensed Ink Rates'!C:C,'Dispensed Ink Rates'!CS:CS),VLOOKUP(BJ394,'Jan-2026 rates'!$E:$F,2,0)))</f>
        <v>0</v>
      </c>
      <c r="CA394" s="409" t="s">
        <v>1443</v>
      </c>
      <c r="CB394" s="409">
        <v>30</v>
      </c>
      <c r="CC394" s="411">
        <f t="shared" si="215"/>
        <v>0</v>
      </c>
      <c r="CD394" s="411">
        <f t="shared" si="216"/>
        <v>31.783216783216787</v>
      </c>
      <c r="CE394" s="410">
        <f t="shared" si="217"/>
        <v>0</v>
      </c>
      <c r="CF394" s="404" t="s">
        <v>547</v>
      </c>
      <c r="CG394" s="409" t="s">
        <v>4977</v>
      </c>
      <c r="CH394" s="420" t="str">
        <f t="shared" si="185"/>
        <v>FLINTSL - GREEN</v>
      </c>
      <c r="CI394" s="409">
        <v>25</v>
      </c>
      <c r="CJ394" s="411">
        <f>IF(CI394=0,0,IF($LB394=70%,VLOOKUP($CH394,'Jan-2026 rates'!$L:$R,4,0),IF($LB394=65%,VLOOKUP($CH394,'Jan-2026 rates'!$L:$R,4,0),IF($LB394=40%,VLOOKUP($CH394,'Jan-2026 rates'!$L:$R,5,0),IF($LB394=30%,VLOOKUP($CH394,'Jan-2026 rates'!$L:$R,6,0),IF($LB394=100%,VLOOKUP($CH394,'Jan-2026 rates'!$L:$R,7,0),IF($LB394=60%,VLOOKUP($CH394,'Jan-2026 rates'!$L:$S,8,0),IF($LB394=80%,VLOOKUP($CH394,'Jan-2026 rates'!L:T,9,0),0))))))))</f>
        <v>0</v>
      </c>
      <c r="CK394" s="412"/>
      <c r="CL394" s="409"/>
      <c r="CM394" s="411">
        <f>IF(CL394=0,0,IF($LB394=70%,VLOOKUP($CH394,'Jan-2026 rates'!$L:$R,4,0),IF($LB394=65%,VLOOKUP($CH394,'Jan-2026 rates'!$L:$R,4,0),IF($LB394=40%,VLOOKUP($CH394,'Jan-2026 rates'!$L:$R,5,0),IF($LB394=30%,VLOOKUP($CH394,'Jan-2026 rates'!$L:$R,6,0),IF($LB394=100%,VLOOKUP($CH394,'Jan-2026 rates'!$L:$R,7,0),IF($LB394=60%,VLOOKUP($CH394,'Jan-2026 rates'!$L:$S,8,0),IF($LB394=80%,VLOOKUP($CH394,'Jan-2026 rates'!L:T,9,0),0))))))))</f>
        <v>0</v>
      </c>
      <c r="CN394" s="426" t="s">
        <v>477</v>
      </c>
      <c r="CO394" s="427"/>
      <c r="CP394" s="426"/>
      <c r="CQ394" s="426"/>
      <c r="CR394" s="428"/>
      <c r="CS394" s="428"/>
      <c r="CT394" s="428"/>
      <c r="CU394" s="428"/>
      <c r="CV394" s="409">
        <v>2</v>
      </c>
      <c r="CW394" s="398">
        <f>IF(CV394=0,0,IF(LEN(CN394)=11,_xlfn.XLOOKUP(CN394,'Dispensed Ink Rates'!C:C,'Dispensed Ink Rates'!CS:CS),VLOOKUP(CN394,'Jan-2026 rates'!$E:$F,2,0)))</f>
        <v>0</v>
      </c>
      <c r="CX394" s="409"/>
      <c r="CY394" s="398">
        <f>IF(CX394=0,0,IF(LEN(CO394)=11,_xlfn.XLOOKUP(CO394,'Dispensed Ink Rates'!C:C,'Dispensed Ink Rates'!CS:CS),VLOOKUP(CO394,'Jan-2026 rates'!$E:$F,2,0)))</f>
        <v>0</v>
      </c>
      <c r="CZ394" s="409"/>
      <c r="DA394" s="398">
        <f>IF(CZ394=0,0,IF(LEN(CP394)=11,_xlfn.XLOOKUP(CP394,'Dispensed Ink Rates'!C:C,'Dispensed Ink Rates'!CS:CS),VLOOKUP(CP394,'Jan-2026 rates'!$E:$F,2,0)))</f>
        <v>0</v>
      </c>
      <c r="DB394" s="409"/>
      <c r="DC394" s="398">
        <f>IF(DB394=0,0,IF(LEN(CQ394)=11,_xlfn.XLOOKUP(CQ394,'Dispensed Ink Rates'!C:C,'Dispensed Ink Rates'!CS:CS),VLOOKUP(CQ394,'Jan-2026 rates'!$E:$F,2,0)))</f>
        <v>0</v>
      </c>
      <c r="DD394" s="409"/>
      <c r="DE394" s="398">
        <f>IF(DD394=0,0,IF(LEN(CR394)=11,_xlfn.XLOOKUP(CR394,'Dispensed Ink Rates'!C:C,'Dispensed Ink Rates'!CS:CS),VLOOKUP(CR394,'Jan-2026 rates'!$E:$F,2,0)))</f>
        <v>0</v>
      </c>
      <c r="DF394" s="409"/>
      <c r="DG394" s="398">
        <f>IF(DF394=0,0,IF(LEN(CS394)=11,_xlfn.XLOOKUP(CS394,'Dispensed Ink Rates'!C:C,'Dispensed Ink Rates'!CS:CS),VLOOKUP(CS394,'Jan-2026 rates'!$E:$F,2,0)))</f>
        <v>0</v>
      </c>
      <c r="DH394" s="409"/>
      <c r="DI394" s="398">
        <f>IF(DH394=0,0,IF(LEN(CT394)=11,_xlfn.XLOOKUP(CT394,'Dispensed Ink Rates'!C:C,'Dispensed Ink Rates'!CS:CS),VLOOKUP(CT394,'Jan-2026 rates'!$E:$F,2,0)))</f>
        <v>0</v>
      </c>
      <c r="DJ394" s="409"/>
      <c r="DK394" s="398">
        <f>IF(DJ394=0,0,IF(LEN(CU394)=11,_xlfn.XLOOKUP(CU394,'Dispensed Ink Rates'!C:C,'Dispensed Ink Rates'!CS:CS),VLOOKUP(CU394,'Jan-2026 rates'!$E:$F,2,0)))</f>
        <v>0</v>
      </c>
      <c r="DL394" s="409" t="s">
        <v>1443</v>
      </c>
      <c r="DM394" s="409">
        <v>29</v>
      </c>
      <c r="DN394" s="411">
        <f t="shared" si="218"/>
        <v>0</v>
      </c>
      <c r="DO394" s="411">
        <f t="shared" si="219"/>
        <v>0.19580419580419672</v>
      </c>
      <c r="DP394" s="410">
        <f t="shared" si="220"/>
        <v>0</v>
      </c>
      <c r="DQ394" s="405" t="s">
        <v>547</v>
      </c>
      <c r="DR394" s="409" t="s">
        <v>4978</v>
      </c>
      <c r="DS394" s="420" t="str">
        <f t="shared" si="186"/>
        <v>FLINTSL - GREEN</v>
      </c>
      <c r="DT394" s="409">
        <v>20</v>
      </c>
      <c r="DU394" s="411">
        <f>IF(DT394=0,0,IF($LB394=70%,VLOOKUP($DS394,'Jan-2026 rates'!$L:$R,4,0),IF($LB394=65%,VLOOKUP($DS394,'Jan-2026 rates'!$L:$R,4,0),IF($LB394=40%,VLOOKUP($DS394,'Jan-2026 rates'!$L:$R,5,0),IF($LB394=30%,VLOOKUP($DS394,'Jan-2026 rates'!$L:$R,6,0),IF($LB394=100%,VLOOKUP($DS394,'Jan-2026 rates'!$L:$R,7,0),IF($LB394=60%,VLOOKUP($DS394,'Jan-2026 rates'!$L:$S,8,0),IF($LB394=80%,VLOOKUP($DS394,'Jan-2026 rates'!L:T,9,0),0))))))))</f>
        <v>0</v>
      </c>
      <c r="DV394" s="412"/>
      <c r="DW394" s="409"/>
      <c r="DX394" s="411">
        <f>IF(DW394=0,0,IF($LB394=70%,VLOOKUP($DS394,'Jan-2026 rates'!$L:$R,4,0),IF($LB394=65%,VLOOKUP($DS394,'Jan-2026 rates'!$L:$R,4,0),IF($LB394=40%,VLOOKUP($DS394,'Jan-2026 rates'!$L:$R,5,0),IF($LB394=30%,VLOOKUP($DS394,'Jan-2026 rates'!$L:$R,6,0),IF($LB394=100%,VLOOKUP($DS394,'Jan-2026 rates'!$L:$R,7,0),IF($LB394=60%,VLOOKUP($DS394,'Jan-2026 rates'!$L:$S,8,0),IF($LB394=80%,VLOOKUP($DS394,'Jan-2026 rates'!L:T,9,0),0))))))))</f>
        <v>0</v>
      </c>
      <c r="DY394" s="413">
        <v>26530000021</v>
      </c>
      <c r="DZ394" s="413" t="s">
        <v>477</v>
      </c>
      <c r="EA394" s="412"/>
      <c r="EB394" s="412"/>
      <c r="EC394" s="412"/>
      <c r="ED394" s="412"/>
      <c r="EE394" s="412"/>
      <c r="EF394" s="412"/>
      <c r="EG394" s="409">
        <v>8</v>
      </c>
      <c r="EH394" s="398" t="e">
        <f>IF(EG394=0,0,IF(LEN(DY394)=11,_xlfn.XLOOKUP(DY394,'Dispensed Ink Rates'!C:C,'Dispensed Ink Rates'!CS:CS),VLOOKUP(DY394,'Jan-2026 rates'!$E:$F,2,0)))</f>
        <v>#N/A</v>
      </c>
      <c r="EI394" s="409">
        <v>4</v>
      </c>
      <c r="EJ394" s="398">
        <f>IF(EI394=0,0,IF(LEN(DZ394)=11,_xlfn.XLOOKUP(DZ394,'Dispensed Ink Rates'!C:C,'Dispensed Ink Rates'!CS:CS),VLOOKUP(DZ394,'Jan-2026 rates'!$E:$F,2,0)))</f>
        <v>0</v>
      </c>
      <c r="EK394" s="409"/>
      <c r="EL394" s="398">
        <f>IF(EK394=0,0,IF(LEN(EA394)=11,_xlfn.XLOOKUP(EA394,'Dispensed Ink Rates'!C:C,'Dispensed Ink Rates'!CS:CS),VLOOKUP(EA394,'Jan-2026 rates'!$E:$F,2,0)))</f>
        <v>0</v>
      </c>
      <c r="EM394" s="409"/>
      <c r="EN394" s="398">
        <f>IF(EM394=0,0,IF(LEN(EB394)=11,_xlfn.XLOOKUP(EB394,'Dispensed Ink Rates'!C:C,'Dispensed Ink Rates'!CS:CS),VLOOKUP(EB394,'Jan-2026 rates'!$E:$F,2,0)))</f>
        <v>0</v>
      </c>
      <c r="EO394" s="409"/>
      <c r="EP394" s="398">
        <f>IF(EO394=0,0,IF(LEN(EC394)=11,_xlfn.XLOOKUP(EC394,'Dispensed Ink Rates'!C:C,'Dispensed Ink Rates'!CS:CS),VLOOKUP(EC394,'Jan-2026 rates'!$E:$F,2,0)))</f>
        <v>0</v>
      </c>
      <c r="EQ394" s="409"/>
      <c r="ER394" s="398">
        <f>IF(EQ394=0,0,IF(LEN(ED394)=11,_xlfn.XLOOKUP(ED394,'Dispensed Ink Rates'!C:C,'Dispensed Ink Rates'!CS:CS),VLOOKUP(ED394,'Jan-2026 rates'!$E:$F,2,0)))</f>
        <v>0</v>
      </c>
      <c r="ES394" s="409"/>
      <c r="ET394" s="398">
        <f>IF(ES394=0,0,IF(LEN(EE394)=11,_xlfn.XLOOKUP(EE394,'Dispensed Ink Rates'!C:C,'Dispensed Ink Rates'!CS:CS),VLOOKUP(EE394,'Jan-2026 rates'!$E:$F,2,0)))</f>
        <v>0</v>
      </c>
      <c r="EU394" s="409"/>
      <c r="EV394" s="398">
        <f>IF(EU394=0,0,IF(LEN(EF394)=11,_xlfn.XLOOKUP(EF394,'Dispensed Ink Rates'!C:C,'Dispensed Ink Rates'!CS:CS),VLOOKUP(EF394,'Jan-2026 rates'!$E:$F,2,0)))</f>
        <v>0</v>
      </c>
      <c r="EW394" s="409" t="s">
        <v>1443</v>
      </c>
      <c r="EX394" s="409">
        <v>28</v>
      </c>
      <c r="EY394" s="411">
        <f t="shared" si="221"/>
        <v>0</v>
      </c>
      <c r="EZ394" s="411">
        <f t="shared" si="222"/>
        <v>12.783216783216787</v>
      </c>
      <c r="FA394" s="410">
        <f t="shared" si="223"/>
        <v>0</v>
      </c>
      <c r="FB394" s="405" t="s">
        <v>544</v>
      </c>
      <c r="FC394" s="409" t="s">
        <v>4979</v>
      </c>
      <c r="FD394" s="420" t="str">
        <f t="shared" si="187"/>
        <v>FLINTSL - MAGENTA</v>
      </c>
      <c r="FE394" s="409">
        <v>29</v>
      </c>
      <c r="FF394" s="411">
        <f>IF(FE394=0,0,IF($LB394=70%,VLOOKUP($FD394,'Jan-2026 rates'!$L:$R,4,0),IF($LB394=65%,VLOOKUP($FD394,'Jan-2026 rates'!$L:$R,4,0),IF($LB394=40%,VLOOKUP($FD394,'Jan-2026 rates'!$L:$R,5,0),IF($LB394=30%,VLOOKUP($FD394,'Jan-2026 rates'!$L:$R,6,0),IF($LB394=100%,VLOOKUP($FD394,'Jan-2026 rates'!$L:$R,7,0),IF($LB394=60%,VLOOKUP($FD394,'Jan-2026 rates'!$L:$S,8,0),IF($LB394=80%,VLOOKUP($FD394,'Jan-2026 rates'!L:T,9,0),0))))))))</f>
        <v>0</v>
      </c>
      <c r="FG394" s="412"/>
      <c r="FH394" s="409"/>
      <c r="FI394" s="411">
        <f>IF(FH394=0,0,IF($LB394=70%,VLOOKUP($FD394,'Jan-2026 rates'!$L:$R,4,0),IF($LB394=65%,VLOOKUP($FD394,'Jan-2026 rates'!$L:$R,4,0),IF($LB394=40%,VLOOKUP($FD394,'Jan-2026 rates'!$L:$R,5,0),IF($LB394=30%,VLOOKUP($FD394,'Jan-2026 rates'!$L:$R,6,0),IF($LB394=100%,VLOOKUP($FD394,'Jan-2026 rates'!$L:$R,7,0),IF($LB394=60%,VLOOKUP($FD394,'Jan-2026 rates'!$L:$S,8,0),IF($LB394=80%,VLOOKUP($FD394,'Jan-2026 rates'!L:T,9,0),0))))))))</f>
        <v>0</v>
      </c>
      <c r="FJ394" s="413"/>
      <c r="FK394" s="413"/>
      <c r="FL394" s="413"/>
      <c r="FM394" s="412"/>
      <c r="FN394" s="412"/>
      <c r="FO394" s="412"/>
      <c r="FP394" s="412"/>
      <c r="FQ394" s="412"/>
      <c r="FR394" s="409"/>
      <c r="FS394" s="398">
        <f>IF(FR394=0,0,IF(LEN(FJ394)=11,_xlfn.XLOOKUP(FJ394,'Dispensed Ink Rates'!C:C,'Dispensed Ink Rates'!CS:CS),VLOOKUP(FJ394,'Jan-2026 rates'!$E:$F,2,0)))</f>
        <v>0</v>
      </c>
      <c r="FT394" s="409"/>
      <c r="FU394" s="398">
        <f>IF(FT394=0,0,IF(LEN(FK394)=11,_xlfn.XLOOKUP(FK394,'Dispensed Ink Rates'!C:C,'Dispensed Ink Rates'!CS:CS),VLOOKUP(FK394,'Jan-2026 rates'!$E:$F,2,0)))</f>
        <v>0</v>
      </c>
      <c r="FV394" s="409"/>
      <c r="FW394" s="398">
        <f>IF(FV394=0,0,IF(LEN(FL394)=11,_xlfn.XLOOKUP(FL394,'Dispensed Ink Rates'!C:C,'Dispensed Ink Rates'!CS:CS),VLOOKUP(FL394,'Jan-2026 rates'!$E:$F,2,0)))</f>
        <v>0</v>
      </c>
      <c r="FX394" s="409"/>
      <c r="FY394" s="398">
        <f>IF(FX394=0,0,IF(LEN(FM394)=11,_xlfn.XLOOKUP(FM394,'Dispensed Ink Rates'!C:C,'Dispensed Ink Rates'!CS:CS),VLOOKUP(FM394,'Jan-2026 rates'!$E:$F,2,0)))</f>
        <v>0</v>
      </c>
      <c r="FZ394" s="409"/>
      <c r="GA394" s="398">
        <f>IF(FZ394=0,0,IF(LEN(FN394)=11,_xlfn.XLOOKUP(FN394,'Dispensed Ink Rates'!C:C,'Dispensed Ink Rates'!CS:CS),VLOOKUP(FN394,'Jan-2026 rates'!$E:$F,2,0)))</f>
        <v>0</v>
      </c>
      <c r="GB394" s="409"/>
      <c r="GC394" s="398">
        <f>IF(GB394=0,0,IF(LEN(FO394)=11,_xlfn.XLOOKUP(FO394,'Dispensed Ink Rates'!C:C,'Dispensed Ink Rates'!CS:CS),VLOOKUP(FO394,'Jan-2026 rates'!$E:$F,2,0)))</f>
        <v>0</v>
      </c>
      <c r="GD394" s="409"/>
      <c r="GE394" s="398">
        <f>IF(GD394=0,0,IF(LEN(FP394)=11,_xlfn.XLOOKUP(FP394,'Dispensed Ink Rates'!C:C,'Dispensed Ink Rates'!CS:CS),VLOOKUP(FP394,'Jan-2026 rates'!$E:$F,2,0)))</f>
        <v>0</v>
      </c>
      <c r="GF394" s="409"/>
      <c r="GG394" s="398">
        <f>IF(GF394=0,0,IF(LEN(FQ394)=11,_xlfn.XLOOKUP(FQ394,'Dispensed Ink Rates'!C:C,'Dispensed Ink Rates'!CS:CS),VLOOKUP(FQ394,'Jan-2026 rates'!$E:$F,2,0)))</f>
        <v>0</v>
      </c>
      <c r="GH394" s="409" t="s">
        <v>1443</v>
      </c>
      <c r="GI394" s="409">
        <v>30</v>
      </c>
      <c r="GJ394" s="411">
        <f t="shared" si="224"/>
        <v>0</v>
      </c>
      <c r="GK394" s="411">
        <f t="shared" si="225"/>
        <v>3.3916083916083934</v>
      </c>
      <c r="GL394" s="410">
        <f t="shared" si="226"/>
        <v>0</v>
      </c>
      <c r="GM394" s="405" t="s">
        <v>545</v>
      </c>
      <c r="GN394" s="409" t="s">
        <v>4980</v>
      </c>
      <c r="GO394" s="420" t="str">
        <f t="shared" si="188"/>
        <v>FLINTSL - YELLOW</v>
      </c>
      <c r="GP394" s="409">
        <v>25</v>
      </c>
      <c r="GQ394" s="411">
        <f>IF(GP394=0,0,IF($LB394=70%,VLOOKUP($GO394,'Jan-2026 rates'!$L:$R,4,0),IF($LB394=65%,VLOOKUP($GO394,'Jan-2026 rates'!$L:$R,4,0),IF($LB394=40%,VLOOKUP($GO394,'Jan-2026 rates'!$L:$R,5,0),IF($LB394=30%,VLOOKUP($GO394,'Jan-2026 rates'!$L:$R,6,0),IF($LB394=100%,VLOOKUP($GO394,'Jan-2026 rates'!$L:$R,7,0),IF($LB394=60%,VLOOKUP($GO394,'Jan-2026 rates'!$L:$S,8,0),IF($LB394=80%,VLOOKUP($GO394,'Jan-2026 rates'!L:T,9,0),0))))))))</f>
        <v>0</v>
      </c>
      <c r="GR394" s="412"/>
      <c r="GS394" s="409"/>
      <c r="GT394" s="411">
        <f>IF(GS394=0,0,IF($LB394=70%,VLOOKUP($GO394,'Jan-2026 rates'!$L:$R,4,0),IF($LB394=65%,VLOOKUP($GO394,'Jan-2026 rates'!$L:$R,4,0),IF($LB394=40%,VLOOKUP($GO394,'Jan-2026 rates'!$L:$R,5,0),IF($LB394=30%,VLOOKUP($GO394,'Jan-2026 rates'!$L:$R,6,0),IF($LB394=100%,VLOOKUP($GO394,'Jan-2026 rates'!$L:$R,7,0),IF($LB394=60%,VLOOKUP($GO394,'Jan-2026 rates'!$L:$S,8,0),IF($LB394=80%,VLOOKUP($GO394,'Jan-2026 rates'!L:T,9,0),0))))))))</f>
        <v>0</v>
      </c>
      <c r="GU394" s="413">
        <v>26531000030</v>
      </c>
      <c r="GV394" s="413">
        <v>26531000031</v>
      </c>
      <c r="GW394" s="412">
        <v>26531000029</v>
      </c>
      <c r="GX394" s="412">
        <v>26531000034</v>
      </c>
      <c r="GY394" s="412" t="s">
        <v>1646</v>
      </c>
      <c r="GZ394" s="412" t="s">
        <v>1266</v>
      </c>
      <c r="HA394" s="412"/>
      <c r="HB394" s="412"/>
      <c r="HC394" s="409">
        <v>40</v>
      </c>
      <c r="HD394" s="398" t="e">
        <f>IF(HC394=0,0,IF(LEN(GU394)=11,_xlfn.XLOOKUP(GU394,'Dispensed Ink Rates'!C:C,'Dispensed Ink Rates'!CS:CS),VLOOKUP(GU394,'Jan-2026 rates'!$E:$F,2,0)))</f>
        <v>#N/A</v>
      </c>
      <c r="HE394" s="409">
        <v>130</v>
      </c>
      <c r="HF394" s="398" t="e">
        <f>IF(HE394=0,0,IF(LEN(GV394)=11,_xlfn.XLOOKUP(GV394,'Dispensed Ink Rates'!C:C,'Dispensed Ink Rates'!CS:CS),VLOOKUP(GV394,'Jan-2026 rates'!$E:$F,2,0)))</f>
        <v>#N/A</v>
      </c>
      <c r="HG394" s="409">
        <v>40</v>
      </c>
      <c r="HH394" s="398" t="e">
        <f>IF(HG394=0,0,IF(LEN(GW394)=11,_xlfn.XLOOKUP(GW394,'Dispensed Ink Rates'!C:C,'Dispensed Ink Rates'!CS:CS),VLOOKUP(GW394,'Jan-2026 rates'!$E:$F,2,0)))</f>
        <v>#N/A</v>
      </c>
      <c r="HI394" s="409">
        <v>100</v>
      </c>
      <c r="HJ394" s="398" t="e">
        <f>IF(HI394=0,0,IF(LEN(GX394)=11,_xlfn.XLOOKUP(GX394,'Dispensed Ink Rates'!C:C,'Dispensed Ink Rates'!CS:CS),VLOOKUP(GX394,'Jan-2026 rates'!$E:$F,2,0)))</f>
        <v>#N/A</v>
      </c>
      <c r="HK394" s="409"/>
      <c r="HL394" s="398">
        <f>IF(HK394=0,0,IF(LEN(GY394)=11,_xlfn.XLOOKUP(GY394,'Dispensed Ink Rates'!C:C,'Dispensed Ink Rates'!CS:CS),VLOOKUP(GY394,'Jan-2026 rates'!$E:$F,2,0)))</f>
        <v>0</v>
      </c>
      <c r="HM394" s="409"/>
      <c r="HN394" s="398">
        <f>IF(HM394=0,0,IF(LEN(GZ394)=11,_xlfn.XLOOKUP(GZ394,'Dispensed Ink Rates'!C:C,'Dispensed Ink Rates'!CS:CS),VLOOKUP(GZ394,'Jan-2026 rates'!$E:$F,2,0)))</f>
        <v>0</v>
      </c>
      <c r="HO394" s="409"/>
      <c r="HP394" s="398">
        <f>IF(HO394=0,0,IF(LEN(HA394)=11,_xlfn.XLOOKUP(HA394,'Dispensed Ink Rates'!C:C,'Dispensed Ink Rates'!CS:CS),VLOOKUP(HA394,'Jan-2026 rates'!$E:$F,2,0)))</f>
        <v>0</v>
      </c>
      <c r="HQ394" s="409"/>
      <c r="HR394" s="398">
        <f>IF(HQ394=0,0,IF(LEN(HB394)=11,_xlfn.XLOOKUP(HB394,'Dispensed Ink Rates'!C:C,'Dispensed Ink Rates'!CS:CS),VLOOKUP(HB394,'Jan-2026 rates'!$E:$F,2,0)))</f>
        <v>0</v>
      </c>
      <c r="HS394" s="409" t="s">
        <v>1443</v>
      </c>
      <c r="HT394" s="409">
        <v>29</v>
      </c>
      <c r="HU394" s="411">
        <f t="shared" si="227"/>
        <v>0</v>
      </c>
      <c r="HV394" s="411">
        <f t="shared" si="228"/>
        <v>332.34965034965035</v>
      </c>
      <c r="HW394" s="414">
        <f t="shared" si="229"/>
        <v>0</v>
      </c>
      <c r="HX394" s="405" t="s">
        <v>856</v>
      </c>
      <c r="HY394" s="409" t="s">
        <v>4981</v>
      </c>
      <c r="HZ394" s="420" t="str">
        <f t="shared" si="189"/>
        <v>FLINTSL - WHITE</v>
      </c>
      <c r="IA394" s="409">
        <v>30</v>
      </c>
      <c r="IB394" s="411">
        <f>IF(IA394=0,0,IF($LB394=70%,VLOOKUP($HZ394,'Jan-2026 rates'!$L:$R,4,0),IF($LB394=65%,VLOOKUP($HZ394,'Jan-2026 rates'!$L:$R,4,0),IF($LB394=40%,VLOOKUP($HZ394,'Jan-2026 rates'!$L:$R,5,0),IF($LB394=30%,VLOOKUP($HZ394,'Jan-2026 rates'!$L:$R,6,0),IF($LB394=100%,VLOOKUP($HZ394,'Jan-2026 rates'!$L:$R,7,0),IF($LB394=60%,VLOOKUP($HZ394,'Jan-2026 rates'!$L:$S,8,0),IF($LB394=80%,VLOOKUP($HZ394,'Jan-2026 rates'!L:T,9,0),0))))))))</f>
        <v>0</v>
      </c>
      <c r="IC394" s="412"/>
      <c r="ID394" s="409"/>
      <c r="IE394" s="411">
        <f>IF(ID394=0,0,IF($LB394=70%,VLOOKUP($HZ394,'Jan-2026 rates'!$L:$R,4,0),IF($LB394=65%,VLOOKUP($HZ394,'Jan-2026 rates'!$L:$R,4,0),IF($LB394=40%,VLOOKUP($HZ394,'Jan-2026 rates'!$L:$R,5,0),IF($LB394=30%,VLOOKUP($HZ394,'Jan-2026 rates'!$L:$R,6,0),IF($LB394=100%,VLOOKUP($HZ394,'Jan-2026 rates'!$L:$R,7,0),IF($LB394=60%,VLOOKUP($HZ394,'Jan-2026 rates'!$L:$S,8,0),IF($LB394=80%,VLOOKUP($HZ394,'Jan-2026 rates'!L:T,9,0),0))))))))</f>
        <v>0</v>
      </c>
      <c r="IF394" s="412" t="s">
        <v>484</v>
      </c>
      <c r="IG394" s="413"/>
      <c r="IH394" s="412"/>
      <c r="II394" s="412"/>
      <c r="IJ394" s="412"/>
      <c r="IK394" s="412"/>
      <c r="IL394" s="412"/>
      <c r="IM394" s="412"/>
      <c r="IN394" s="409">
        <f>200+200+50</f>
        <v>450</v>
      </c>
      <c r="IO394" s="398">
        <f>IF(IN394=0,0,IF(LEN(IF394)=11,_xlfn.XLOOKUP(IF394,'Dispensed Ink Rates'!C:C,'Dispensed Ink Rates'!CS:CS),VLOOKUP(IF394,'Jan-2026 rates'!$E:$F,2,0)))</f>
        <v>0</v>
      </c>
      <c r="IP394" s="409"/>
      <c r="IQ394" s="398">
        <f>IF(IP394=0,0,IF(LEN(IG394)=11,_xlfn.XLOOKUP(IG394,'Dispensed Ink Rates'!C:C,'Dispensed Ink Rates'!CS:CS),VLOOKUP(IG394,'Jan-2026 rates'!$E:$F,2,0)))</f>
        <v>0</v>
      </c>
      <c r="IR394" s="409"/>
      <c r="IS394" s="398">
        <f>IF(IR394=0,0,IF(LEN(IH394)=11,_xlfn.XLOOKUP(IH394,'Dispensed Ink Rates'!C:C,'Dispensed Ink Rates'!CS:CS),VLOOKUP(IH394,'Jan-2026 rates'!$E:$F,2,0)))</f>
        <v>0</v>
      </c>
      <c r="IT394" s="409"/>
      <c r="IU394" s="398">
        <f>IF(IT394=0,0,IF(LEN(II394)=11,_xlfn.XLOOKUP(II394,'Dispensed Ink Rates'!C:C,'Dispensed Ink Rates'!CS:CS),VLOOKUP(II394,'Jan-2026 rates'!$E:$F,2,0)))</f>
        <v>0</v>
      </c>
      <c r="IV394" s="409"/>
      <c r="IW394" s="398">
        <f>IF(IV394=0,0,IF(LEN(IJ394)=11,_xlfn.XLOOKUP(IJ394,'Dispensed Ink Rates'!C:C,'Dispensed Ink Rates'!CS:CS),VLOOKUP(IJ394,'Jan-2026 rates'!$E:$F,2,0)))</f>
        <v>0</v>
      </c>
      <c r="IX394" s="409"/>
      <c r="IY394" s="398">
        <f>IF(IX394=0,0,IF(LEN(IK394)=11,_xlfn.XLOOKUP(IK394,'Dispensed Ink Rates'!C:C,'Dispensed Ink Rates'!CS:CS),VLOOKUP(IK394,'Jan-2026 rates'!$E:$F,2,0)))</f>
        <v>0</v>
      </c>
      <c r="IZ394" s="409"/>
      <c r="JA394" s="398">
        <f>IF(IZ394=0,0,IF(LEN(IL394)=11,_xlfn.XLOOKUP(IL394,'Dispensed Ink Rates'!C:C,'Dispensed Ink Rates'!CS:CS),VLOOKUP(IL394,'Jan-2026 rates'!$E:$F,2,0)))</f>
        <v>0</v>
      </c>
      <c r="JB394" s="409"/>
      <c r="JC394" s="398">
        <f>IF(JB394=0,0,IF(LEN(IM394)=11,_xlfn.XLOOKUP(IM394,'Dispensed Ink Rates'!C:C,'Dispensed Ink Rates'!CS:CS),VLOOKUP(IM394,'Jan-2026 rates'!$E:$F,2,0)))</f>
        <v>0</v>
      </c>
      <c r="JD394" s="409" t="s">
        <v>1443</v>
      </c>
      <c r="JE394" s="409">
        <v>30</v>
      </c>
      <c r="JF394" s="411">
        <f t="shared" si="230"/>
        <v>0</v>
      </c>
      <c r="JG394" s="411">
        <f t="shared" si="231"/>
        <v>1020.909090909091</v>
      </c>
      <c r="JH394" s="410">
        <f t="shared" si="232"/>
        <v>0</v>
      </c>
      <c r="JI394" s="405"/>
      <c r="JJ394" s="409"/>
      <c r="JK394" s="420" t="str">
        <f t="shared" si="190"/>
        <v xml:space="preserve"> - </v>
      </c>
      <c r="JL394" s="409"/>
      <c r="JM394" s="411">
        <f>IF(JL394=0,0,IF($LB394=70%,VLOOKUP($JK394,'Jan-2026 rates'!$L:$R,4,0),IF($LB394=65%,VLOOKUP($JK394,'Jan-2026 rates'!$L:$R,4,0),IF($LB394=40%,VLOOKUP($JK394,'Jan-2026 rates'!$L:$R,5,0),IF($LB394=30%,VLOOKUP($JK394,'Jan-2026 rates'!$L:$R,6,0),IF($LB394=100%,VLOOKUP($JK394,'Jan-2026 rates'!$L:$R,7,0),IF($LB394=60%,VLOOKUP($JK394,'Jan-2026 rates'!$L:$S,8,0),IF($LB394=80%,VLOOKUP($JK394,'Jan-2026 rates'!L:T,9,0),0))))))))</f>
        <v>0</v>
      </c>
      <c r="JN394" s="412"/>
      <c r="JO394" s="409"/>
      <c r="JP394" s="411">
        <f>IF(JO394=0,0,IF($LB394=70%,VLOOKUP($JK394,'Jan-2026 rates'!$L:$R,4,0),IF($LB394=65%,VLOOKUP($JK394,'Jan-2026 rates'!$L:$R,4,0),IF($LB394=40%,VLOOKUP($JK394,'Jan-2026 rates'!$L:$R,5,0),IF($LB394=30%,VLOOKUP($JK394,'Jan-2026 rates'!$L:$R,6,0),IF($LB394=100%,VLOOKUP($JK394,'Jan-2026 rates'!$L:$R,7,0),IF($LB394=60%,VLOOKUP($JK394,'Jan-2026 rates'!$L:$S,8,0),IF($LB394=80%,VLOOKUP($JK394,'Jan-2026 rates'!L:T,9,0),0))))))))</f>
        <v>0</v>
      </c>
      <c r="JQ394" s="413"/>
      <c r="JR394" s="412"/>
      <c r="JS394" s="413"/>
      <c r="JT394" s="413"/>
      <c r="JU394" s="412"/>
      <c r="JV394" s="412"/>
      <c r="JW394" s="412"/>
      <c r="JX394" s="412"/>
      <c r="JY394" s="409"/>
      <c r="JZ394" s="398">
        <f>IF(JY394=0,0,IF(LEN(JQ394)=11,_xlfn.XLOOKUP(JQ394,'Dispensed Ink Rates'!C:C,'Dispensed Ink Rates'!CS:CS),VLOOKUP(JQ394,'Jan-2026 rates'!$E:$F,2,0)))</f>
        <v>0</v>
      </c>
      <c r="KA394" s="409"/>
      <c r="KB394" s="398">
        <f>IF(KA394=0,0,IF(LEN(JR394)=11,_xlfn.XLOOKUP(JR394,'Dispensed Ink Rates'!C:C,'Dispensed Ink Rates'!CS:CS),VLOOKUP(JR394,'Jan-2026 rates'!$E:$F,2,0)))</f>
        <v>0</v>
      </c>
      <c r="KC394" s="409"/>
      <c r="KD394" s="398">
        <f>IF(KC394=0,0,IF(LEN(JS394)=11,_xlfn.XLOOKUP(JS394,'Dispensed Ink Rates'!C:C,'Dispensed Ink Rates'!CS:CS),VLOOKUP(JS394,'Jan-2026 rates'!$E:$F,2,0)))</f>
        <v>0</v>
      </c>
      <c r="KE394" s="409"/>
      <c r="KF394" s="398">
        <f>IF(KE394=0,0,IF(LEN(JT394)=11,_xlfn.XLOOKUP(JT394,'Dispensed Ink Rates'!C:C,'Dispensed Ink Rates'!CS:CS),VLOOKUP(JT394,'Jan-2026 rates'!$E:$F,2,0)))</f>
        <v>0</v>
      </c>
      <c r="KG394" s="409"/>
      <c r="KH394" s="398">
        <f>IF(KG394=0,0,IF(LEN(JU394)=11,_xlfn.XLOOKUP(JU394,'Dispensed Ink Rates'!C:C,'Dispensed Ink Rates'!CS:CS),VLOOKUP(JU394,'Jan-2026 rates'!$E:$F,2,0)))</f>
        <v>0</v>
      </c>
      <c r="KI394" s="409"/>
      <c r="KJ394" s="398">
        <f>IF(KI394=0,0,IF(LEN(JV394)=11,_xlfn.XLOOKUP(JV394,'Dispensed Ink Rates'!C:C,'Dispensed Ink Rates'!CS:CS),VLOOKUP(JV394,'Jan-2026 rates'!$E:$F,2,0)))</f>
        <v>0</v>
      </c>
      <c r="KK394" s="409"/>
      <c r="KL394" s="398">
        <f>IF(KK394=0,0,IF(LEN(JW394)=11,_xlfn.XLOOKUP(JW394,'Dispensed Ink Rates'!C:C,'Dispensed Ink Rates'!CS:CS),VLOOKUP(JW394,'Jan-2026 rates'!$E:$F,2,0)))</f>
        <v>0</v>
      </c>
      <c r="KM394" s="428"/>
      <c r="KN394" s="398">
        <f>IF(KM394=0,0,IF(LEN(JX394)=11,_xlfn.XLOOKUP(JX394,'Dispensed Ink Rates'!C:C,'Dispensed Ink Rates'!CS:CS),VLOOKUP(JX394,'Jan-2026 rates'!$E:$F,2,0)))</f>
        <v>0</v>
      </c>
      <c r="KO394" s="409"/>
      <c r="KP394" s="409"/>
      <c r="KQ394" s="411">
        <f t="shared" si="233"/>
        <v>0</v>
      </c>
      <c r="KR394" s="411">
        <f t="shared" si="234"/>
        <v>0</v>
      </c>
      <c r="KS394" s="410">
        <f t="shared" si="235"/>
        <v>0</v>
      </c>
      <c r="KT394" s="409">
        <v>3</v>
      </c>
      <c r="KU394" s="409">
        <v>4</v>
      </c>
      <c r="KV394" s="409">
        <v>1</v>
      </c>
      <c r="KW394" s="409">
        <v>4</v>
      </c>
      <c r="KX394" s="409">
        <v>2</v>
      </c>
      <c r="KY394" s="409">
        <f>2+10</f>
        <v>12</v>
      </c>
      <c r="KZ394" s="409">
        <v>260</v>
      </c>
      <c r="LA394" s="409">
        <v>0</v>
      </c>
      <c r="LB394" s="415">
        <v>0.8</v>
      </c>
      <c r="LC394" s="415">
        <v>0.2</v>
      </c>
      <c r="LD394" s="424"/>
      <c r="LE394" s="415"/>
      <c r="LF394" s="415"/>
      <c r="LG394" s="409">
        <v>0</v>
      </c>
      <c r="LH394" s="409">
        <f>260+160+160+40+5+3</f>
        <v>628</v>
      </c>
      <c r="LI394" s="409">
        <v>0</v>
      </c>
      <c r="LJ394" s="409">
        <v>0</v>
      </c>
      <c r="LK394" s="416">
        <f t="shared" si="191"/>
        <v>628</v>
      </c>
      <c r="LL394" s="416">
        <f t="shared" si="349"/>
        <v>628</v>
      </c>
      <c r="LM394" s="417">
        <f t="shared" si="193"/>
        <v>502.40000000000003</v>
      </c>
      <c r="LN394" s="417">
        <f>VLOOKUP($LM$8,'Jan-2026 rates'!$H:$I,2,0)</f>
        <v>0</v>
      </c>
      <c r="LO394" s="417">
        <f t="shared" si="194"/>
        <v>125.60000000000001</v>
      </c>
      <c r="LP394" s="417">
        <f>VLOOKUP($LO$8,'Jan-2026 rates'!$H:$I,2,0)</f>
        <v>0</v>
      </c>
      <c r="LQ394" s="417">
        <f t="shared" si="195"/>
        <v>0</v>
      </c>
      <c r="LR394" s="417">
        <f>VLOOKUP($LQ$8,'Jan-2026 rates'!$H:$I,2,0)</f>
        <v>0</v>
      </c>
      <c r="LS394" s="417">
        <f t="shared" si="196"/>
        <v>0</v>
      </c>
      <c r="LT394" s="417">
        <f>VLOOKUP($LS$8,'Jan-2026 rates'!$H:$I,2,0)</f>
        <v>0</v>
      </c>
      <c r="LU394" s="417">
        <f t="shared" si="197"/>
        <v>0</v>
      </c>
      <c r="LV394" s="417">
        <f>VLOOKUP($LU$8,'Jan-2026 rates'!$H:$I,2,0)</f>
        <v>0</v>
      </c>
      <c r="LW394" s="417">
        <f t="shared" si="198"/>
        <v>0</v>
      </c>
      <c r="LX394" s="417">
        <f t="shared" si="199"/>
        <v>0</v>
      </c>
      <c r="LY394" s="418">
        <f t="shared" si="200"/>
        <v>0</v>
      </c>
      <c r="LZ394" s="417"/>
      <c r="MA394" s="435">
        <f t="shared" si="201"/>
        <v>784</v>
      </c>
      <c r="MB394" s="282">
        <f t="shared" si="202"/>
        <v>1414</v>
      </c>
      <c r="MC394" s="283">
        <v>235</v>
      </c>
      <c r="MD394" s="284" t="str">
        <f t="shared" si="203"/>
        <v>FLINTSLFLINTSLFLINTSLFLINTSLFLINTSLFLINTSLFLINTSL</v>
      </c>
      <c r="ME394" s="293" t="str">
        <f t="shared" si="204"/>
        <v>+</v>
      </c>
      <c r="MF394" s="293" t="str">
        <f t="shared" si="205"/>
        <v>+</v>
      </c>
      <c r="MG394" s="293" t="str">
        <f t="shared" si="206"/>
        <v>+</v>
      </c>
      <c r="MH394" s="293" t="str">
        <f t="shared" si="207"/>
        <v>+</v>
      </c>
      <c r="MI394" s="293" t="str">
        <f t="shared" si="208"/>
        <v>+</v>
      </c>
      <c r="MJ394" s="293" t="str">
        <f t="shared" si="209"/>
        <v>+</v>
      </c>
      <c r="MK394" s="293" t="str">
        <f t="shared" si="210"/>
        <v>+</v>
      </c>
      <c r="ML394" s="293" t="str">
        <f t="shared" si="211"/>
        <v>NIL</v>
      </c>
      <c r="MM394" s="3" t="b">
        <f t="array" ref="MM394">OR(ME394:ML394="-")</f>
        <v>0</v>
      </c>
      <c r="MO394" s="401">
        <f t="shared" si="350"/>
        <v>67.590822179732314</v>
      </c>
      <c r="MP394" s="286"/>
      <c r="MR394" s="402">
        <f t="shared" si="351"/>
        <v>1.3129062209842154E-2</v>
      </c>
      <c r="MS394" s="400">
        <f t="shared" si="352"/>
        <v>0</v>
      </c>
      <c r="MT394" s="285"/>
      <c r="NH394" s="361"/>
      <c r="NJ394" s="282"/>
    </row>
    <row r="395" spans="1:374" ht="16.5">
      <c r="A395" s="403">
        <v>46053</v>
      </c>
      <c r="B395" s="404" t="s">
        <v>1015</v>
      </c>
      <c r="C395" s="405" t="s">
        <v>4983</v>
      </c>
      <c r="D395" s="404">
        <v>236</v>
      </c>
      <c r="E395" s="404">
        <v>1432</v>
      </c>
      <c r="F395" s="407">
        <v>69500</v>
      </c>
      <c r="G395" s="407" t="s">
        <v>1019</v>
      </c>
      <c r="H395" s="408" t="s">
        <v>1017</v>
      </c>
      <c r="I395" s="409">
        <v>1.36</v>
      </c>
      <c r="J395" s="405" t="s">
        <v>543</v>
      </c>
      <c r="K395" s="404" t="s">
        <v>4984</v>
      </c>
      <c r="L395" s="419" t="str">
        <f t="shared" si="184"/>
        <v>FLINTSL - BLACK</v>
      </c>
      <c r="M395" s="404">
        <v>27</v>
      </c>
      <c r="N395" s="410">
        <f>IF(M395=0,0,IF($LB395=70%,VLOOKUP($L395,'Jan-2026 rates'!$L:$R,4,0),IF($LB395=65%,VLOOKUP($L395,'Jan-2026 rates'!$L:$R,4,0),IF($LB395=40%,VLOOKUP($L395,'Jan-2026 rates'!$L:$R,5,0),IF($LB395=30%,VLOOKUP($L395,'Jan-2026 rates'!$L:$R,6,0),IF($LB395=100%,VLOOKUP($L395,'Jan-2026 rates'!$L:$R,7,0),IF($LB395=60%,VLOOKUP($L395,'Jan-2026 rates'!$L:$S,8,0),IF($LB395=80%,VLOOKUP($L395,'Jan-2026 rates'!L:T,9,0),0))))))))</f>
        <v>0</v>
      </c>
      <c r="O395" s="406"/>
      <c r="P395" s="404"/>
      <c r="Q395" s="410">
        <f>IF(P395=0,0,IF($LB395=70%,VLOOKUP($L395,'Jan-2026 rates'!$L:$R,4,0),IF($LB395=65%,VLOOKUP($L395,'Jan-2026 rates'!$L:$R,4,0),IF($LB395=40%,VLOOKUP($L395,'Jan-2026 rates'!$L:$R,5,0),IF($LB395=30%,VLOOKUP($L395,'Jan-2026 rates'!$L:$R,6,0),IF($LB395=100%,VLOOKUP($L395,'Jan-2026 rates'!$L:$R,7,0),IF($LB395=60%,VLOOKUP($L395,'Jan-2026 rates'!$L:$S,8,0),IF($LB395=80%,VLOOKUP($L395,'Jan-2026 rates'!L:T,9,0),0))))))))</f>
        <v>0</v>
      </c>
      <c r="R395" s="406" t="s">
        <v>1266</v>
      </c>
      <c r="S395" s="406"/>
      <c r="T395" s="406"/>
      <c r="U395" s="406"/>
      <c r="V395" s="406"/>
      <c r="W395" s="406"/>
      <c r="X395" s="406"/>
      <c r="Y395" s="406"/>
      <c r="Z395" s="404">
        <v>6</v>
      </c>
      <c r="AA395" s="398">
        <f>IF(Z395=0,0,IF(LEN(R395)=11,_xlfn.XLOOKUP(R395,'Dispensed Ink Rates'!C:C,'Dispensed Ink Rates'!CS:CS),VLOOKUP(R395,'Jan-2026 rates'!$E:$F,2,0)))</f>
        <v>0</v>
      </c>
      <c r="AB395" s="404"/>
      <c r="AC395" s="398">
        <f>IF(AB395=0,0,IF(LEN(S395)=11,_xlfn.XLOOKUP(S395,'Dispensed Ink Rates'!C:C,'Dispensed Ink Rates'!CS:CS),VLOOKUP(S395,'Jan-2026 rates'!$E:$F,2,0)))</f>
        <v>0</v>
      </c>
      <c r="AD395" s="404"/>
      <c r="AE395" s="398">
        <f>IF(AD395=0,0,IF(LEN(T395)=11,_xlfn.XLOOKUP(T395,'Dispensed Ink Rates'!C:C,'Dispensed Ink Rates'!CS:CS),VLOOKUP(T395,'Jan-2026 rates'!$E:$F,2,0)))</f>
        <v>0</v>
      </c>
      <c r="AF395" s="404"/>
      <c r="AG395" s="398">
        <f>IF(AF395=0,0,IF(LEN(U395)=11,_xlfn.XLOOKUP(U395,'Dispensed Ink Rates'!C:C,'Dispensed Ink Rates'!CS:CS),VLOOKUP(U395,'Jan-2026 rates'!$E:$F,2,0)))</f>
        <v>0</v>
      </c>
      <c r="AH395" s="404"/>
      <c r="AI395" s="398">
        <f>IF(AH395=0,0,IF(LEN(V395)=11,_xlfn.XLOOKUP(V395,'Dispensed Ink Rates'!C:C,'Dispensed Ink Rates'!CS:CS),VLOOKUP(V395,'Jan-2026 rates'!$E:$F,2,0)))</f>
        <v>0</v>
      </c>
      <c r="AJ395" s="404"/>
      <c r="AK395" s="398">
        <f>IF(AJ395=0,0,IF(LEN(W395)=11,_xlfn.XLOOKUP(W395,'Dispensed Ink Rates'!C:C,'Dispensed Ink Rates'!CS:CS),VLOOKUP(W395,'Jan-2026 rates'!$E:$F,2,0)))</f>
        <v>0</v>
      </c>
      <c r="AL395" s="404"/>
      <c r="AM395" s="398">
        <f>IF(AL395=0,0,IF(LEN(X395)=11,_xlfn.XLOOKUP(X395,'Dispensed Ink Rates'!C:C,'Dispensed Ink Rates'!CS:CS),VLOOKUP(X395,'Jan-2026 rates'!$E:$F,2,0)))</f>
        <v>0</v>
      </c>
      <c r="AN395" s="404"/>
      <c r="AO395" s="398">
        <f>IF(AN395=0,0,IF(LEN(Y395)=11,_xlfn.XLOOKUP(Y395,'Dispensed Ink Rates'!C:C,'Dispensed Ink Rates'!CS:CS),VLOOKUP(Y395,'Jan-2026 rates'!$E:$F,2,0)))</f>
        <v>0</v>
      </c>
      <c r="AP395" s="409" t="s">
        <v>1443</v>
      </c>
      <c r="AQ395" s="409">
        <v>30</v>
      </c>
      <c r="AR395" s="410">
        <f t="shared" si="212"/>
        <v>0</v>
      </c>
      <c r="AS395" s="411">
        <f t="shared" si="213"/>
        <v>14.474358974358971</v>
      </c>
      <c r="AT395" s="410">
        <f t="shared" si="214"/>
        <v>0</v>
      </c>
      <c r="AU395" s="405" t="s">
        <v>546</v>
      </c>
      <c r="AV395" s="409" t="s">
        <v>4935</v>
      </c>
      <c r="AW395" s="420" t="str">
        <f t="shared" si="348"/>
        <v>FLINTSL - REFLEX BLUE</v>
      </c>
      <c r="AX395" s="409">
        <v>23</v>
      </c>
      <c r="AY395" s="411">
        <f>IF(AX395=0,0,IF($LB395=70%,VLOOKUP($AW395,'Jan-2026 rates'!$L:$R,4,0),IF($LB395=65%,VLOOKUP($AW395,'Jan-2026 rates'!$L:$R,4,0),IF($LB395=40%,VLOOKUP($AW395,'Jan-2026 rates'!$L:$R,5,0),IF($LB395=30%,VLOOKUP($AW395,'Jan-2026 rates'!$L:$R,6,0),IF($LB395=100%,VLOOKUP($AW395,'Jan-2026 rates'!$L:$R,7,0),IF($LB395=60%,VLOOKUP($AW395,'Jan-2026 rates'!$L:$S,8,0),IF($LB395=80%,VLOOKUP($AW395,'Jan-2026 rates'!L:T,9,0),0))))))))</f>
        <v>0</v>
      </c>
      <c r="AZ395" s="412" t="s">
        <v>4912</v>
      </c>
      <c r="BA395" s="409">
        <v>16</v>
      </c>
      <c r="BB395" s="411">
        <f>IF(BA395=0,0,IF($LB395=70%,VLOOKUP($AW395,'Jan-2026 rates'!$L:$R,4,0),IF($LB395=65%,VLOOKUP($AW395,'Jan-2026 rates'!$L:$R,4,0),IF($LB395=40%,VLOOKUP($AW395,'Jan-2026 rates'!$L:$R,5,0),IF($LB395=30%,VLOOKUP($AW395,'Jan-2026 rates'!$L:$R,6,0),IF($LB395=100%,VLOOKUP($AW395,'Jan-2026 rates'!$L:$R,7,0),IF($LB395=60%,VLOOKUP($AW395,'Jan-2026 rates'!$L:$S,8,0),IF($LB395=80%,VLOOKUP($AW395,'Jan-2026 rates'!L:T,9,0),0))))))))</f>
        <v>0</v>
      </c>
      <c r="BC395" s="413">
        <v>26529000021</v>
      </c>
      <c r="BD395" s="412" t="s">
        <v>1265</v>
      </c>
      <c r="BE395" s="412"/>
      <c r="BF395" s="413"/>
      <c r="BG395" s="412"/>
      <c r="BH395" s="412"/>
      <c r="BI395" s="412"/>
      <c r="BJ395" s="412"/>
      <c r="BK395" s="409">
        <f>6+2</f>
        <v>8</v>
      </c>
      <c r="BL395" s="398" t="e">
        <f>IF(BK395=0,0,IF(LEN(BC395)=11,_xlfn.XLOOKUP(BC395,'Dispensed Ink Rates'!C:C,'Dispensed Ink Rates'!CS:CS),VLOOKUP(BC395,'Jan-2026 rates'!$E:$F,2,0)))</f>
        <v>#N/A</v>
      </c>
      <c r="BM395" s="409">
        <v>6</v>
      </c>
      <c r="BN395" s="398">
        <f>IF(BM395=0,0,IF(LEN(BD395)=11,_xlfn.XLOOKUP(BD395,'Dispensed Ink Rates'!C:C,'Dispensed Ink Rates'!CS:CS),VLOOKUP(BD395,'Jan-2026 rates'!$E:$F,2,0)))</f>
        <v>0</v>
      </c>
      <c r="BO395" s="409"/>
      <c r="BP395" s="398">
        <f>IF(BO395=0,0,IF(LEN(BE395)=11,_xlfn.XLOOKUP(BE395,'Dispensed Ink Rates'!C:C,'Dispensed Ink Rates'!CS:CS),VLOOKUP(BE395,'Jan-2026 rates'!$E:$F,2,0)))</f>
        <v>0</v>
      </c>
      <c r="BQ395" s="409"/>
      <c r="BR395" s="398">
        <f>IF(BQ395=0,0,IF(LEN(BF395)=11,_xlfn.XLOOKUP(BF395,'Dispensed Ink Rates'!C:C,'Dispensed Ink Rates'!CS:CS),VLOOKUP(BF395,'Jan-2026 rates'!$E:$F,2,0)))</f>
        <v>0</v>
      </c>
      <c r="BS395" s="409"/>
      <c r="BT395" s="398">
        <f>IF(BS395=0,0,IF(LEN(BG395)=11,_xlfn.XLOOKUP(BG395,'Dispensed Ink Rates'!C:C,'Dispensed Ink Rates'!CS:CS),VLOOKUP(BG395,'Jan-2026 rates'!$E:$F,2,0)))</f>
        <v>0</v>
      </c>
      <c r="BU395" s="409"/>
      <c r="BV395" s="398">
        <f>IF(BU395=0,0,IF(LEN(BH395)=11,_xlfn.XLOOKUP(BH395,'Dispensed Ink Rates'!C:C,'Dispensed Ink Rates'!CS:CS),VLOOKUP(BH395,'Jan-2026 rates'!$E:$F,2,0)))</f>
        <v>0</v>
      </c>
      <c r="BW395" s="409"/>
      <c r="BX395" s="398">
        <f>IF(BW395=0,0,IF(LEN(BI395)=11,_xlfn.XLOOKUP(BI395,'Dispensed Ink Rates'!C:C,'Dispensed Ink Rates'!CS:CS),VLOOKUP(BI395,'Jan-2026 rates'!$E:$F,2,0)))</f>
        <v>0</v>
      </c>
      <c r="BY395" s="409"/>
      <c r="BZ395" s="398">
        <f>IF(BY395=0,0,IF(LEN(BJ395)=11,_xlfn.XLOOKUP(BJ395,'Dispensed Ink Rates'!C:C,'Dispensed Ink Rates'!CS:CS),VLOOKUP(BJ395,'Jan-2026 rates'!$E:$F,2,0)))</f>
        <v>0</v>
      </c>
      <c r="CA395" s="409" t="s">
        <v>1443</v>
      </c>
      <c r="CB395" s="409">
        <v>23</v>
      </c>
      <c r="CC395" s="411">
        <f t="shared" si="215"/>
        <v>0</v>
      </c>
      <c r="CD395" s="411">
        <f t="shared" si="216"/>
        <v>41.474358974358978</v>
      </c>
      <c r="CE395" s="410">
        <f t="shared" si="217"/>
        <v>0</v>
      </c>
      <c r="CF395" s="404" t="s">
        <v>857</v>
      </c>
      <c r="CG395" s="409" t="s">
        <v>4985</v>
      </c>
      <c r="CH395" s="420" t="str">
        <f t="shared" si="185"/>
        <v>FLINTSL - RED</v>
      </c>
      <c r="CI395" s="409">
        <v>30</v>
      </c>
      <c r="CJ395" s="411">
        <f>IF(CI395=0,0,IF($LB395=70%,VLOOKUP($CH395,'Jan-2026 rates'!$L:$R,4,0),IF($LB395=65%,VLOOKUP($CH395,'Jan-2026 rates'!$L:$R,4,0),IF($LB395=40%,VLOOKUP($CH395,'Jan-2026 rates'!$L:$R,5,0),IF($LB395=30%,VLOOKUP($CH395,'Jan-2026 rates'!$L:$R,6,0),IF($LB395=100%,VLOOKUP($CH395,'Jan-2026 rates'!$L:$R,7,0),IF($LB395=60%,VLOOKUP($CH395,'Jan-2026 rates'!$L:$S,8,0),IF($LB395=80%,VLOOKUP($CH395,'Jan-2026 rates'!L:T,9,0),0))))))))</f>
        <v>0</v>
      </c>
      <c r="CK395" s="412"/>
      <c r="CL395" s="409"/>
      <c r="CM395" s="411">
        <f>IF(CL395=0,0,IF($LB395=70%,VLOOKUP($CH395,'Jan-2026 rates'!$L:$R,4,0),IF($LB395=65%,VLOOKUP($CH395,'Jan-2026 rates'!$L:$R,4,0),IF($LB395=40%,VLOOKUP($CH395,'Jan-2026 rates'!$L:$R,5,0),IF($LB395=30%,VLOOKUP($CH395,'Jan-2026 rates'!$L:$R,6,0),IF($LB395=100%,VLOOKUP($CH395,'Jan-2026 rates'!$L:$R,7,0),IF($LB395=60%,VLOOKUP($CH395,'Jan-2026 rates'!$L:$S,8,0),IF($LB395=80%,VLOOKUP($CH395,'Jan-2026 rates'!L:T,9,0),0))))))))</f>
        <v>0</v>
      </c>
      <c r="CN395" s="426" t="s">
        <v>1265</v>
      </c>
      <c r="CO395" s="427">
        <v>26529000026</v>
      </c>
      <c r="CP395" s="426">
        <v>26531000005</v>
      </c>
      <c r="CQ395" s="426" t="s">
        <v>1264</v>
      </c>
      <c r="CR395" s="428"/>
      <c r="CS395" s="428"/>
      <c r="CT395" s="428"/>
      <c r="CU395" s="428"/>
      <c r="CV395" s="409">
        <v>6</v>
      </c>
      <c r="CW395" s="398">
        <f>IF(CV395=0,0,IF(LEN(CN395)=11,_xlfn.XLOOKUP(CN395,'Dispensed Ink Rates'!C:C,'Dispensed Ink Rates'!CS:CS),VLOOKUP(CN395,'Jan-2026 rates'!$E:$F,2,0)))</f>
        <v>0</v>
      </c>
      <c r="CX395" s="409">
        <v>2</v>
      </c>
      <c r="CY395" s="398" t="e">
        <f>IF(CX395=0,0,IF(LEN(CO395)=11,_xlfn.XLOOKUP(CO395,'Dispensed Ink Rates'!C:C,'Dispensed Ink Rates'!CS:CS),VLOOKUP(CO395,'Jan-2026 rates'!$E:$F,2,0)))</f>
        <v>#N/A</v>
      </c>
      <c r="CZ395" s="409">
        <v>6</v>
      </c>
      <c r="DA395" s="398" t="e">
        <f>IF(CZ395=0,0,IF(LEN(CP395)=11,_xlfn.XLOOKUP(CP395,'Dispensed Ink Rates'!C:C,'Dispensed Ink Rates'!CS:CS),VLOOKUP(CP395,'Jan-2026 rates'!$E:$F,2,0)))</f>
        <v>#N/A</v>
      </c>
      <c r="DB395" s="409">
        <v>0.2</v>
      </c>
      <c r="DC395" s="398">
        <f>IF(DB395=0,0,IF(LEN(CQ395)=11,_xlfn.XLOOKUP(CQ395,'Dispensed Ink Rates'!C:C,'Dispensed Ink Rates'!CS:CS),VLOOKUP(CQ395,'Jan-2026 rates'!$E:$F,2,0)))</f>
        <v>0</v>
      </c>
      <c r="DD395" s="409"/>
      <c r="DE395" s="398">
        <f>IF(DD395=0,0,IF(LEN(CR395)=11,_xlfn.XLOOKUP(CR395,'Dispensed Ink Rates'!C:C,'Dispensed Ink Rates'!CS:CS),VLOOKUP(CR395,'Jan-2026 rates'!$E:$F,2,0)))</f>
        <v>0</v>
      </c>
      <c r="DF395" s="409"/>
      <c r="DG395" s="398">
        <f>IF(DF395=0,0,IF(LEN(CS395)=11,_xlfn.XLOOKUP(CS395,'Dispensed Ink Rates'!C:C,'Dispensed Ink Rates'!CS:CS),VLOOKUP(CS395,'Jan-2026 rates'!$E:$F,2,0)))</f>
        <v>0</v>
      </c>
      <c r="DH395" s="409"/>
      <c r="DI395" s="398">
        <f>IF(DH395=0,0,IF(LEN(CT395)=11,_xlfn.XLOOKUP(CT395,'Dispensed Ink Rates'!C:C,'Dispensed Ink Rates'!CS:CS),VLOOKUP(CT395,'Jan-2026 rates'!$E:$F,2,0)))</f>
        <v>0</v>
      </c>
      <c r="DJ395" s="409"/>
      <c r="DK395" s="398">
        <f>IF(DJ395=0,0,IF(LEN(CU395)=11,_xlfn.XLOOKUP(CU395,'Dispensed Ink Rates'!C:C,'Dispensed Ink Rates'!CS:CS),VLOOKUP(CU395,'Jan-2026 rates'!$E:$F,2,0)))</f>
        <v>0</v>
      </c>
      <c r="DL395" s="409" t="s">
        <v>1443</v>
      </c>
      <c r="DM395" s="409">
        <v>26</v>
      </c>
      <c r="DN395" s="411">
        <f t="shared" si="218"/>
        <v>0</v>
      </c>
      <c r="DO395" s="411">
        <f t="shared" si="219"/>
        <v>29.674358974358974</v>
      </c>
      <c r="DP395" s="410">
        <f t="shared" si="220"/>
        <v>0</v>
      </c>
      <c r="DQ395" s="405" t="s">
        <v>855</v>
      </c>
      <c r="DR395" s="409" t="s">
        <v>4986</v>
      </c>
      <c r="DS395" s="420" t="str">
        <f t="shared" si="186"/>
        <v>FLINTSL - CYAN</v>
      </c>
      <c r="DT395" s="409">
        <v>26</v>
      </c>
      <c r="DU395" s="411">
        <f>IF(DT395=0,0,IF($LB395=70%,VLOOKUP($DS395,'Jan-2026 rates'!$L:$R,4,0),IF($LB395=65%,VLOOKUP($DS395,'Jan-2026 rates'!$L:$R,4,0),IF($LB395=40%,VLOOKUP($DS395,'Jan-2026 rates'!$L:$R,5,0),IF($LB395=30%,VLOOKUP($DS395,'Jan-2026 rates'!$L:$R,6,0),IF($LB395=100%,VLOOKUP($DS395,'Jan-2026 rates'!$L:$R,7,0),IF($LB395=60%,VLOOKUP($DS395,'Jan-2026 rates'!$L:$S,8,0),IF($LB395=80%,VLOOKUP($DS395,'Jan-2026 rates'!L:T,9,0),0))))))))</f>
        <v>0</v>
      </c>
      <c r="DV395" s="412" t="s">
        <v>4987</v>
      </c>
      <c r="DW395" s="409">
        <v>28</v>
      </c>
      <c r="DX395" s="411">
        <f>IF(DW395=0,0,IF($LB395=70%,VLOOKUP($DS395,'Jan-2026 rates'!$L:$R,4,0),IF($LB395=65%,VLOOKUP($DS395,'Jan-2026 rates'!$L:$R,4,0),IF($LB395=40%,VLOOKUP($DS395,'Jan-2026 rates'!$L:$R,5,0),IF($LB395=30%,VLOOKUP($DS395,'Jan-2026 rates'!$L:$R,6,0),IF($LB395=100%,VLOOKUP($DS395,'Jan-2026 rates'!$L:$R,7,0),IF($LB395=60%,VLOOKUP($DS395,'Jan-2026 rates'!$L:$S,8,0),IF($LB395=80%,VLOOKUP($DS395,'Jan-2026 rates'!L:T,9,0),0))))))))</f>
        <v>0</v>
      </c>
      <c r="DY395" s="413" t="s">
        <v>477</v>
      </c>
      <c r="DZ395" s="413" t="s">
        <v>1266</v>
      </c>
      <c r="EA395" s="412"/>
      <c r="EB395" s="412"/>
      <c r="EC395" s="412"/>
      <c r="ED395" s="412"/>
      <c r="EE395" s="412"/>
      <c r="EF395" s="412"/>
      <c r="EG395" s="409">
        <f>40+20</f>
        <v>60</v>
      </c>
      <c r="EH395" s="398">
        <f>IF(EG395=0,0,IF(LEN(DY395)=11,_xlfn.XLOOKUP(DY395,'Dispensed Ink Rates'!C:C,'Dispensed Ink Rates'!CS:CS),VLOOKUP(DY395,'Jan-2026 rates'!$E:$F,2,0)))</f>
        <v>0</v>
      </c>
      <c r="EI395" s="409">
        <v>10</v>
      </c>
      <c r="EJ395" s="398">
        <f>IF(EI395=0,0,IF(LEN(DZ395)=11,_xlfn.XLOOKUP(DZ395,'Dispensed Ink Rates'!C:C,'Dispensed Ink Rates'!CS:CS),VLOOKUP(DZ395,'Jan-2026 rates'!$E:$F,2,0)))</f>
        <v>0</v>
      </c>
      <c r="EK395" s="409"/>
      <c r="EL395" s="398">
        <f>IF(EK395=0,0,IF(LEN(EA395)=11,_xlfn.XLOOKUP(EA395,'Dispensed Ink Rates'!C:C,'Dispensed Ink Rates'!CS:CS),VLOOKUP(EA395,'Jan-2026 rates'!$E:$F,2,0)))</f>
        <v>0</v>
      </c>
      <c r="EM395" s="409"/>
      <c r="EN395" s="398">
        <f>IF(EM395=0,0,IF(LEN(EB395)=11,_xlfn.XLOOKUP(EB395,'Dispensed Ink Rates'!C:C,'Dispensed Ink Rates'!CS:CS),VLOOKUP(EB395,'Jan-2026 rates'!$E:$F,2,0)))</f>
        <v>0</v>
      </c>
      <c r="EO395" s="409"/>
      <c r="EP395" s="398">
        <f>IF(EO395=0,0,IF(LEN(EC395)=11,_xlfn.XLOOKUP(EC395,'Dispensed Ink Rates'!C:C,'Dispensed Ink Rates'!CS:CS),VLOOKUP(EC395,'Jan-2026 rates'!$E:$F,2,0)))</f>
        <v>0</v>
      </c>
      <c r="EQ395" s="409"/>
      <c r="ER395" s="398">
        <f>IF(EQ395=0,0,IF(LEN(ED395)=11,_xlfn.XLOOKUP(ED395,'Dispensed Ink Rates'!C:C,'Dispensed Ink Rates'!CS:CS),VLOOKUP(ED395,'Jan-2026 rates'!$E:$F,2,0)))</f>
        <v>0</v>
      </c>
      <c r="ES395" s="409"/>
      <c r="ET395" s="398">
        <f>IF(ES395=0,0,IF(LEN(EE395)=11,_xlfn.XLOOKUP(EE395,'Dispensed Ink Rates'!C:C,'Dispensed Ink Rates'!CS:CS),VLOOKUP(EE395,'Jan-2026 rates'!$E:$F,2,0)))</f>
        <v>0</v>
      </c>
      <c r="EU395" s="409"/>
      <c r="EV395" s="398">
        <f>IF(EU395=0,0,IF(LEN(EF395)=11,_xlfn.XLOOKUP(EF395,'Dispensed Ink Rates'!C:C,'Dispensed Ink Rates'!CS:CS),VLOOKUP(EF395,'Jan-2026 rates'!$E:$F,2,0)))</f>
        <v>0</v>
      </c>
      <c r="EW395" s="409" t="s">
        <v>1443</v>
      </c>
      <c r="EX395" s="409">
        <v>27</v>
      </c>
      <c r="EY395" s="411">
        <f t="shared" si="221"/>
        <v>0</v>
      </c>
      <c r="EZ395" s="411">
        <f t="shared" si="222"/>
        <v>188.79487179487177</v>
      </c>
      <c r="FA395" s="410">
        <f t="shared" si="223"/>
        <v>0</v>
      </c>
      <c r="FB395" s="405" t="s">
        <v>544</v>
      </c>
      <c r="FC395" s="409" t="s">
        <v>4988</v>
      </c>
      <c r="FD395" s="420" t="str">
        <f t="shared" si="187"/>
        <v>FLINTSL - MAGENTA</v>
      </c>
      <c r="FE395" s="409">
        <v>30</v>
      </c>
      <c r="FF395" s="411">
        <f>IF(FE395=0,0,IF($LB395=70%,VLOOKUP($FD395,'Jan-2026 rates'!$L:$R,4,0),IF($LB395=65%,VLOOKUP($FD395,'Jan-2026 rates'!$L:$R,4,0),IF($LB395=40%,VLOOKUP($FD395,'Jan-2026 rates'!$L:$R,5,0),IF($LB395=30%,VLOOKUP($FD395,'Jan-2026 rates'!$L:$R,6,0),IF($LB395=100%,VLOOKUP($FD395,'Jan-2026 rates'!$L:$R,7,0),IF($LB395=60%,VLOOKUP($FD395,'Jan-2026 rates'!$L:$S,8,0),IF($LB395=80%,VLOOKUP($FD395,'Jan-2026 rates'!L:T,9,0),0))))))))</f>
        <v>0</v>
      </c>
      <c r="FG395" s="412"/>
      <c r="FH395" s="409"/>
      <c r="FI395" s="411">
        <f>IF(FH395=0,0,IF($LB395=70%,VLOOKUP($FD395,'Jan-2026 rates'!$L:$R,4,0),IF($LB395=65%,VLOOKUP($FD395,'Jan-2026 rates'!$L:$R,4,0),IF($LB395=40%,VLOOKUP($FD395,'Jan-2026 rates'!$L:$R,5,0),IF($LB395=30%,VLOOKUP($FD395,'Jan-2026 rates'!$L:$R,6,0),IF($LB395=100%,VLOOKUP($FD395,'Jan-2026 rates'!$L:$R,7,0),IF($LB395=60%,VLOOKUP($FD395,'Jan-2026 rates'!$L:$S,8,0),IF($LB395=80%,VLOOKUP($FD395,'Jan-2026 rates'!L:T,9,0),0))))))))</f>
        <v>0</v>
      </c>
      <c r="FJ395" s="413" t="s">
        <v>1266</v>
      </c>
      <c r="FK395" s="413"/>
      <c r="FL395" s="413"/>
      <c r="FM395" s="412"/>
      <c r="FN395" s="412"/>
      <c r="FO395" s="412"/>
      <c r="FP395" s="412"/>
      <c r="FQ395" s="412"/>
      <c r="FR395" s="409">
        <v>6</v>
      </c>
      <c r="FS395" s="398">
        <f>IF(FR395=0,0,IF(LEN(FJ395)=11,_xlfn.XLOOKUP(FJ395,'Dispensed Ink Rates'!C:C,'Dispensed Ink Rates'!CS:CS),VLOOKUP(FJ395,'Jan-2026 rates'!$E:$F,2,0)))</f>
        <v>0</v>
      </c>
      <c r="FT395" s="409"/>
      <c r="FU395" s="398">
        <f>IF(FT395=0,0,IF(LEN(FK395)=11,_xlfn.XLOOKUP(FK395,'Dispensed Ink Rates'!C:C,'Dispensed Ink Rates'!CS:CS),VLOOKUP(FK395,'Jan-2026 rates'!$E:$F,2,0)))</f>
        <v>0</v>
      </c>
      <c r="FV395" s="409"/>
      <c r="FW395" s="398">
        <f>IF(FV395=0,0,IF(LEN(FL395)=11,_xlfn.XLOOKUP(FL395,'Dispensed Ink Rates'!C:C,'Dispensed Ink Rates'!CS:CS),VLOOKUP(FL395,'Jan-2026 rates'!$E:$F,2,0)))</f>
        <v>0</v>
      </c>
      <c r="FX395" s="409"/>
      <c r="FY395" s="398">
        <f>IF(FX395=0,0,IF(LEN(FM395)=11,_xlfn.XLOOKUP(FM395,'Dispensed Ink Rates'!C:C,'Dispensed Ink Rates'!CS:CS),VLOOKUP(FM395,'Jan-2026 rates'!$E:$F,2,0)))</f>
        <v>0</v>
      </c>
      <c r="FZ395" s="409"/>
      <c r="GA395" s="398">
        <f>IF(FZ395=0,0,IF(LEN(FN395)=11,_xlfn.XLOOKUP(FN395,'Dispensed Ink Rates'!C:C,'Dispensed Ink Rates'!CS:CS),VLOOKUP(FN395,'Jan-2026 rates'!$E:$F,2,0)))</f>
        <v>0</v>
      </c>
      <c r="GB395" s="409"/>
      <c r="GC395" s="398">
        <f>IF(GB395=0,0,IF(LEN(FO395)=11,_xlfn.XLOOKUP(FO395,'Dispensed Ink Rates'!C:C,'Dispensed Ink Rates'!CS:CS),VLOOKUP(FO395,'Jan-2026 rates'!$E:$F,2,0)))</f>
        <v>0</v>
      </c>
      <c r="GD395" s="409"/>
      <c r="GE395" s="398">
        <f>IF(GD395=0,0,IF(LEN(FP395)=11,_xlfn.XLOOKUP(FP395,'Dispensed Ink Rates'!C:C,'Dispensed Ink Rates'!CS:CS),VLOOKUP(FP395,'Jan-2026 rates'!$E:$F,2,0)))</f>
        <v>0</v>
      </c>
      <c r="GF395" s="409"/>
      <c r="GG395" s="398">
        <f>IF(GF395=0,0,IF(LEN(FQ395)=11,_xlfn.XLOOKUP(FQ395,'Dispensed Ink Rates'!C:C,'Dispensed Ink Rates'!CS:CS),VLOOKUP(FQ395,'Jan-2026 rates'!$E:$F,2,0)))</f>
        <v>0</v>
      </c>
      <c r="GH395" s="409" t="s">
        <v>1443</v>
      </c>
      <c r="GI395" s="409">
        <v>26</v>
      </c>
      <c r="GJ395" s="411">
        <f t="shared" si="224"/>
        <v>0</v>
      </c>
      <c r="GK395" s="411">
        <f t="shared" si="225"/>
        <v>21.474358974358971</v>
      </c>
      <c r="GL395" s="410">
        <f t="shared" si="226"/>
        <v>0</v>
      </c>
      <c r="GM395" s="405" t="s">
        <v>545</v>
      </c>
      <c r="GN395" s="409" t="s">
        <v>4989</v>
      </c>
      <c r="GO395" s="420" t="str">
        <f t="shared" si="188"/>
        <v>FLINTSL - YELLOW</v>
      </c>
      <c r="GP395" s="409">
        <v>29</v>
      </c>
      <c r="GQ395" s="411">
        <f>IF(GP395=0,0,IF($LB395=70%,VLOOKUP($GO395,'Jan-2026 rates'!$L:$R,4,0),IF($LB395=65%,VLOOKUP($GO395,'Jan-2026 rates'!$L:$R,4,0),IF($LB395=40%,VLOOKUP($GO395,'Jan-2026 rates'!$L:$R,5,0),IF($LB395=30%,VLOOKUP($GO395,'Jan-2026 rates'!$L:$R,6,0),IF($LB395=100%,VLOOKUP($GO395,'Jan-2026 rates'!$L:$R,7,0),IF($LB395=60%,VLOOKUP($GO395,'Jan-2026 rates'!$L:$S,8,0),IF($LB395=80%,VLOOKUP($GO395,'Jan-2026 rates'!L:T,9,0),0))))))))</f>
        <v>0</v>
      </c>
      <c r="GR395" s="412"/>
      <c r="GS395" s="409"/>
      <c r="GT395" s="411">
        <f>IF(GS395=0,0,IF($LB395=70%,VLOOKUP($GO395,'Jan-2026 rates'!$L:$R,4,0),IF($LB395=65%,VLOOKUP($GO395,'Jan-2026 rates'!$L:$R,4,0),IF($LB395=40%,VLOOKUP($GO395,'Jan-2026 rates'!$L:$R,5,0),IF($LB395=30%,VLOOKUP($GO395,'Jan-2026 rates'!$L:$R,6,0),IF($LB395=100%,VLOOKUP($GO395,'Jan-2026 rates'!$L:$R,7,0),IF($LB395=60%,VLOOKUP($GO395,'Jan-2026 rates'!$L:$S,8,0),IF($LB395=80%,VLOOKUP($GO395,'Jan-2026 rates'!L:T,9,0),0))))))))</f>
        <v>0</v>
      </c>
      <c r="GU395" s="413">
        <v>26530000030</v>
      </c>
      <c r="GV395" s="413"/>
      <c r="GW395" s="412"/>
      <c r="GX395" s="412"/>
      <c r="GY395" s="412"/>
      <c r="GZ395" s="412"/>
      <c r="HA395" s="412"/>
      <c r="HB395" s="412"/>
      <c r="HC395" s="409">
        <f>5+10</f>
        <v>15</v>
      </c>
      <c r="HD395" s="398" t="e">
        <f>IF(HC395=0,0,IF(LEN(GU395)=11,_xlfn.XLOOKUP(GU395,'Dispensed Ink Rates'!C:C,'Dispensed Ink Rates'!CS:CS),VLOOKUP(GU395,'Jan-2026 rates'!$E:$F,2,0)))</f>
        <v>#N/A</v>
      </c>
      <c r="HE395" s="409"/>
      <c r="HF395" s="398">
        <f>IF(HE395=0,0,IF(LEN(GV395)=11,_xlfn.XLOOKUP(GV395,'Dispensed Ink Rates'!C:C,'Dispensed Ink Rates'!CS:CS),VLOOKUP(GV395,'Jan-2026 rates'!$E:$F,2,0)))</f>
        <v>0</v>
      </c>
      <c r="HG395" s="409"/>
      <c r="HH395" s="398">
        <f>IF(HG395=0,0,IF(LEN(GW395)=11,_xlfn.XLOOKUP(GW395,'Dispensed Ink Rates'!C:C,'Dispensed Ink Rates'!CS:CS),VLOOKUP(GW395,'Jan-2026 rates'!$E:$F,2,0)))</f>
        <v>0</v>
      </c>
      <c r="HI395" s="409"/>
      <c r="HJ395" s="398">
        <f>IF(HI395=0,0,IF(LEN(GX395)=11,_xlfn.XLOOKUP(GX395,'Dispensed Ink Rates'!C:C,'Dispensed Ink Rates'!CS:CS),VLOOKUP(GX395,'Jan-2026 rates'!$E:$F,2,0)))</f>
        <v>0</v>
      </c>
      <c r="HK395" s="409"/>
      <c r="HL395" s="398">
        <f>IF(HK395=0,0,IF(LEN(GY395)=11,_xlfn.XLOOKUP(GY395,'Dispensed Ink Rates'!C:C,'Dispensed Ink Rates'!CS:CS),VLOOKUP(GY395,'Jan-2026 rates'!$E:$F,2,0)))</f>
        <v>0</v>
      </c>
      <c r="HM395" s="409"/>
      <c r="HN395" s="398">
        <f>IF(HM395=0,0,IF(LEN(GZ395)=11,_xlfn.XLOOKUP(GZ395,'Dispensed Ink Rates'!C:C,'Dispensed Ink Rates'!CS:CS),VLOOKUP(GZ395,'Jan-2026 rates'!$E:$F,2,0)))</f>
        <v>0</v>
      </c>
      <c r="HO395" s="409"/>
      <c r="HP395" s="398">
        <f>IF(HO395=0,0,IF(LEN(HA395)=11,_xlfn.XLOOKUP(HA395,'Dispensed Ink Rates'!C:C,'Dispensed Ink Rates'!CS:CS),VLOOKUP(HA395,'Jan-2026 rates'!$E:$F,2,0)))</f>
        <v>0</v>
      </c>
      <c r="HQ395" s="409"/>
      <c r="HR395" s="398">
        <f>IF(HQ395=0,0,IF(LEN(HB395)=11,_xlfn.XLOOKUP(HB395,'Dispensed Ink Rates'!C:C,'Dispensed Ink Rates'!CS:CS),VLOOKUP(HB395,'Jan-2026 rates'!$E:$F,2,0)))</f>
        <v>0</v>
      </c>
      <c r="HS395" s="409" t="s">
        <v>1443</v>
      </c>
      <c r="HT395" s="409">
        <v>26</v>
      </c>
      <c r="HU395" s="411">
        <f t="shared" si="227"/>
        <v>0</v>
      </c>
      <c r="HV395" s="411">
        <f t="shared" si="228"/>
        <v>31.769230769230774</v>
      </c>
      <c r="HW395" s="414">
        <f t="shared" si="229"/>
        <v>0</v>
      </c>
      <c r="HX395" s="405" t="s">
        <v>856</v>
      </c>
      <c r="HY395" s="409" t="s">
        <v>4990</v>
      </c>
      <c r="HZ395" s="420" t="str">
        <f t="shared" si="189"/>
        <v>FLINTSL - WHITE</v>
      </c>
      <c r="IA395" s="409">
        <v>30</v>
      </c>
      <c r="IB395" s="411">
        <f>IF(IA395=0,0,IF($LB395=70%,VLOOKUP($HZ395,'Jan-2026 rates'!$L:$R,4,0),IF($LB395=65%,VLOOKUP($HZ395,'Jan-2026 rates'!$L:$R,4,0),IF($LB395=40%,VLOOKUP($HZ395,'Jan-2026 rates'!$L:$R,5,0),IF($LB395=30%,VLOOKUP($HZ395,'Jan-2026 rates'!$L:$R,6,0),IF($LB395=100%,VLOOKUP($HZ395,'Jan-2026 rates'!$L:$R,7,0),IF($LB395=60%,VLOOKUP($HZ395,'Jan-2026 rates'!$L:$S,8,0),IF($LB395=80%,VLOOKUP($HZ395,'Jan-2026 rates'!L:T,9,0),0))))))))</f>
        <v>0</v>
      </c>
      <c r="IC395" s="412"/>
      <c r="ID395" s="409"/>
      <c r="IE395" s="411">
        <f>IF(ID395=0,0,IF($LB395=70%,VLOOKUP($HZ395,'Jan-2026 rates'!$L:$R,4,0),IF($LB395=65%,VLOOKUP($HZ395,'Jan-2026 rates'!$L:$R,4,0),IF($LB395=40%,VLOOKUP($HZ395,'Jan-2026 rates'!$L:$R,5,0),IF($LB395=30%,VLOOKUP($HZ395,'Jan-2026 rates'!$L:$R,6,0),IF($LB395=100%,VLOOKUP($HZ395,'Jan-2026 rates'!$L:$R,7,0),IF($LB395=60%,VLOOKUP($HZ395,'Jan-2026 rates'!$L:$S,8,0),IF($LB395=80%,VLOOKUP($HZ395,'Jan-2026 rates'!L:T,9,0),0))))))))</f>
        <v>0</v>
      </c>
      <c r="IF395" s="412" t="s">
        <v>484</v>
      </c>
      <c r="IG395" s="413"/>
      <c r="IH395" s="412"/>
      <c r="II395" s="412"/>
      <c r="IJ395" s="412"/>
      <c r="IK395" s="412"/>
      <c r="IL395" s="412"/>
      <c r="IM395" s="412"/>
      <c r="IN395" s="409">
        <f>100+50</f>
        <v>150</v>
      </c>
      <c r="IO395" s="398">
        <f>IF(IN395=0,0,IF(LEN(IF395)=11,_xlfn.XLOOKUP(IF395,'Dispensed Ink Rates'!C:C,'Dispensed Ink Rates'!CS:CS),VLOOKUP(IF395,'Jan-2026 rates'!$E:$F,2,0)))</f>
        <v>0</v>
      </c>
      <c r="IP395" s="409"/>
      <c r="IQ395" s="398">
        <f>IF(IP395=0,0,IF(LEN(IG395)=11,_xlfn.XLOOKUP(IG395,'Dispensed Ink Rates'!C:C,'Dispensed Ink Rates'!CS:CS),VLOOKUP(IG395,'Jan-2026 rates'!$E:$F,2,0)))</f>
        <v>0</v>
      </c>
      <c r="IR395" s="409"/>
      <c r="IS395" s="398">
        <f>IF(IR395=0,0,IF(LEN(IH395)=11,_xlfn.XLOOKUP(IH395,'Dispensed Ink Rates'!C:C,'Dispensed Ink Rates'!CS:CS),VLOOKUP(IH395,'Jan-2026 rates'!$E:$F,2,0)))</f>
        <v>0</v>
      </c>
      <c r="IT395" s="409"/>
      <c r="IU395" s="398">
        <f>IF(IT395=0,0,IF(LEN(II395)=11,_xlfn.XLOOKUP(II395,'Dispensed Ink Rates'!C:C,'Dispensed Ink Rates'!CS:CS),VLOOKUP(II395,'Jan-2026 rates'!$E:$F,2,0)))</f>
        <v>0</v>
      </c>
      <c r="IV395" s="409"/>
      <c r="IW395" s="398">
        <f>IF(IV395=0,0,IF(LEN(IJ395)=11,_xlfn.XLOOKUP(IJ395,'Dispensed Ink Rates'!C:C,'Dispensed Ink Rates'!CS:CS),VLOOKUP(IJ395,'Jan-2026 rates'!$E:$F,2,0)))</f>
        <v>0</v>
      </c>
      <c r="IX395" s="409"/>
      <c r="IY395" s="398">
        <f>IF(IX395=0,0,IF(LEN(IK395)=11,_xlfn.XLOOKUP(IK395,'Dispensed Ink Rates'!C:C,'Dispensed Ink Rates'!CS:CS),VLOOKUP(IK395,'Jan-2026 rates'!$E:$F,2,0)))</f>
        <v>0</v>
      </c>
      <c r="IZ395" s="409"/>
      <c r="JA395" s="398">
        <f>IF(IZ395=0,0,IF(LEN(IL395)=11,_xlfn.XLOOKUP(IL395,'Dispensed Ink Rates'!C:C,'Dispensed Ink Rates'!CS:CS),VLOOKUP(IL395,'Jan-2026 rates'!$E:$F,2,0)))</f>
        <v>0</v>
      </c>
      <c r="JB395" s="409"/>
      <c r="JC395" s="398">
        <f>IF(JB395=0,0,IF(LEN(IM395)=11,_xlfn.XLOOKUP(IM395,'Dispensed Ink Rates'!C:C,'Dispensed Ink Rates'!CS:CS),VLOOKUP(IM395,'Jan-2026 rates'!$E:$F,2,0)))</f>
        <v>0</v>
      </c>
      <c r="JD395" s="409" t="s">
        <v>1443</v>
      </c>
      <c r="JE395" s="409">
        <v>24</v>
      </c>
      <c r="JF395" s="411">
        <f t="shared" si="230"/>
        <v>0</v>
      </c>
      <c r="JG395" s="411">
        <f t="shared" si="231"/>
        <v>362.53846153846155</v>
      </c>
      <c r="JH395" s="410">
        <f t="shared" si="232"/>
        <v>0</v>
      </c>
      <c r="JI395" s="405"/>
      <c r="JJ395" s="409"/>
      <c r="JK395" s="420" t="str">
        <f t="shared" si="190"/>
        <v xml:space="preserve"> - </v>
      </c>
      <c r="JL395" s="409"/>
      <c r="JM395" s="411">
        <f>IF(JL395=0,0,IF($LB395=70%,VLOOKUP($JK395,'Jan-2026 rates'!$L:$R,4,0),IF($LB395=65%,VLOOKUP($JK395,'Jan-2026 rates'!$L:$R,4,0),IF($LB395=40%,VLOOKUP($JK395,'Jan-2026 rates'!$L:$R,5,0),IF($LB395=30%,VLOOKUP($JK395,'Jan-2026 rates'!$L:$R,6,0),IF($LB395=100%,VLOOKUP($JK395,'Jan-2026 rates'!$L:$R,7,0),IF($LB395=60%,VLOOKUP($JK395,'Jan-2026 rates'!$L:$S,8,0),IF($LB395=80%,VLOOKUP($JK395,'Jan-2026 rates'!L:T,9,0),0))))))))</f>
        <v>0</v>
      </c>
      <c r="JN395" s="412"/>
      <c r="JO395" s="409"/>
      <c r="JP395" s="411">
        <f>IF(JO395=0,0,IF($LB395=70%,VLOOKUP($JK395,'Jan-2026 rates'!$L:$R,4,0),IF($LB395=65%,VLOOKUP($JK395,'Jan-2026 rates'!$L:$R,4,0),IF($LB395=40%,VLOOKUP($JK395,'Jan-2026 rates'!$L:$R,5,0),IF($LB395=30%,VLOOKUP($JK395,'Jan-2026 rates'!$L:$R,6,0),IF($LB395=100%,VLOOKUP($JK395,'Jan-2026 rates'!$L:$R,7,0),IF($LB395=60%,VLOOKUP($JK395,'Jan-2026 rates'!$L:$S,8,0),IF($LB395=80%,VLOOKUP($JK395,'Jan-2026 rates'!L:T,9,0),0))))))))</f>
        <v>0</v>
      </c>
      <c r="JQ395" s="413"/>
      <c r="JR395" s="412"/>
      <c r="JS395" s="413"/>
      <c r="JT395" s="413"/>
      <c r="JU395" s="412"/>
      <c r="JV395" s="412"/>
      <c r="JW395" s="412"/>
      <c r="JX395" s="412"/>
      <c r="JY395" s="409"/>
      <c r="JZ395" s="398">
        <f>IF(JY395=0,0,IF(LEN(JQ395)=11,_xlfn.XLOOKUP(JQ395,'Dispensed Ink Rates'!C:C,'Dispensed Ink Rates'!CS:CS),VLOOKUP(JQ395,'Jan-2026 rates'!$E:$F,2,0)))</f>
        <v>0</v>
      </c>
      <c r="KA395" s="409"/>
      <c r="KB395" s="398">
        <f>IF(KA395=0,0,IF(LEN(JR395)=11,_xlfn.XLOOKUP(JR395,'Dispensed Ink Rates'!C:C,'Dispensed Ink Rates'!CS:CS),VLOOKUP(JR395,'Jan-2026 rates'!$E:$F,2,0)))</f>
        <v>0</v>
      </c>
      <c r="KC395" s="409"/>
      <c r="KD395" s="398">
        <f>IF(KC395=0,0,IF(LEN(JS395)=11,_xlfn.XLOOKUP(JS395,'Dispensed Ink Rates'!C:C,'Dispensed Ink Rates'!CS:CS),VLOOKUP(JS395,'Jan-2026 rates'!$E:$F,2,0)))</f>
        <v>0</v>
      </c>
      <c r="KE395" s="409"/>
      <c r="KF395" s="398">
        <f>IF(KE395=0,0,IF(LEN(JT395)=11,_xlfn.XLOOKUP(JT395,'Dispensed Ink Rates'!C:C,'Dispensed Ink Rates'!CS:CS),VLOOKUP(JT395,'Jan-2026 rates'!$E:$F,2,0)))</f>
        <v>0</v>
      </c>
      <c r="KG395" s="409"/>
      <c r="KH395" s="398">
        <f>IF(KG395=0,0,IF(LEN(JU395)=11,_xlfn.XLOOKUP(JU395,'Dispensed Ink Rates'!C:C,'Dispensed Ink Rates'!CS:CS),VLOOKUP(JU395,'Jan-2026 rates'!$E:$F,2,0)))</f>
        <v>0</v>
      </c>
      <c r="KI395" s="409"/>
      <c r="KJ395" s="398">
        <f>IF(KI395=0,0,IF(LEN(JV395)=11,_xlfn.XLOOKUP(JV395,'Dispensed Ink Rates'!C:C,'Dispensed Ink Rates'!CS:CS),VLOOKUP(JV395,'Jan-2026 rates'!$E:$F,2,0)))</f>
        <v>0</v>
      </c>
      <c r="KK395" s="409"/>
      <c r="KL395" s="398">
        <f>IF(KK395=0,0,IF(LEN(JW395)=11,_xlfn.XLOOKUP(JW395,'Dispensed Ink Rates'!C:C,'Dispensed Ink Rates'!CS:CS),VLOOKUP(JW395,'Jan-2026 rates'!$E:$F,2,0)))</f>
        <v>0</v>
      </c>
      <c r="KM395" s="428"/>
      <c r="KN395" s="398">
        <f>IF(KM395=0,0,IF(LEN(JX395)=11,_xlfn.XLOOKUP(JX395,'Dispensed Ink Rates'!C:C,'Dispensed Ink Rates'!CS:CS),VLOOKUP(JX395,'Jan-2026 rates'!$E:$F,2,0)))</f>
        <v>0</v>
      </c>
      <c r="KO395" s="409"/>
      <c r="KP395" s="409"/>
      <c r="KQ395" s="411">
        <f t="shared" si="233"/>
        <v>0</v>
      </c>
      <c r="KR395" s="411">
        <f t="shared" si="234"/>
        <v>0</v>
      </c>
      <c r="KS395" s="410">
        <f t="shared" si="235"/>
        <v>0</v>
      </c>
      <c r="KT395" s="409">
        <v>5</v>
      </c>
      <c r="KU395" s="409">
        <v>5</v>
      </c>
      <c r="KV395" s="409">
        <v>5</v>
      </c>
      <c r="KW395" s="409">
        <f>25+15</f>
        <v>40</v>
      </c>
      <c r="KX395" s="409">
        <v>5</v>
      </c>
      <c r="KY395" s="409">
        <v>6</v>
      </c>
      <c r="KZ395" s="409">
        <f>60+30</f>
        <v>90</v>
      </c>
      <c r="LA395" s="409">
        <v>0</v>
      </c>
      <c r="LB395" s="415">
        <v>0.8</v>
      </c>
      <c r="LC395" s="415">
        <v>0.2</v>
      </c>
      <c r="LD395" s="424"/>
      <c r="LE395" s="415"/>
      <c r="LF395" s="415"/>
      <c r="LG395" s="409">
        <v>0</v>
      </c>
      <c r="LH395" s="409">
        <f>90+60+160+40+5+3</f>
        <v>358</v>
      </c>
      <c r="LI395" s="409">
        <v>0</v>
      </c>
      <c r="LJ395" s="409">
        <v>0</v>
      </c>
      <c r="LK395" s="416">
        <f t="shared" si="191"/>
        <v>358</v>
      </c>
      <c r="LL395" s="416">
        <f t="shared" si="349"/>
        <v>358</v>
      </c>
      <c r="LM395" s="417">
        <f t="shared" si="193"/>
        <v>286.40000000000003</v>
      </c>
      <c r="LN395" s="417">
        <f>VLOOKUP($LM$8,'Jan-2026 rates'!$H:$I,2,0)</f>
        <v>0</v>
      </c>
      <c r="LO395" s="417">
        <f t="shared" si="194"/>
        <v>71.600000000000009</v>
      </c>
      <c r="LP395" s="417">
        <f>VLOOKUP($LO$8,'Jan-2026 rates'!$H:$I,2,0)</f>
        <v>0</v>
      </c>
      <c r="LQ395" s="417">
        <f t="shared" si="195"/>
        <v>0</v>
      </c>
      <c r="LR395" s="417">
        <f>VLOOKUP($LQ$8,'Jan-2026 rates'!$H:$I,2,0)</f>
        <v>0</v>
      </c>
      <c r="LS395" s="417">
        <f t="shared" si="196"/>
        <v>0</v>
      </c>
      <c r="LT395" s="417">
        <f>VLOOKUP($LS$8,'Jan-2026 rates'!$H:$I,2,0)</f>
        <v>0</v>
      </c>
      <c r="LU395" s="417">
        <f t="shared" si="197"/>
        <v>0</v>
      </c>
      <c r="LV395" s="417">
        <f>VLOOKUP($LU$8,'Jan-2026 rates'!$H:$I,2,0)</f>
        <v>0</v>
      </c>
      <c r="LW395" s="417">
        <f t="shared" si="198"/>
        <v>0</v>
      </c>
      <c r="LX395" s="417">
        <f t="shared" si="199"/>
        <v>0</v>
      </c>
      <c r="LY395" s="418">
        <f t="shared" si="200"/>
        <v>0</v>
      </c>
      <c r="LZ395" s="417"/>
      <c r="MA395" s="435">
        <f t="shared" si="201"/>
        <v>275.2</v>
      </c>
      <c r="MB395" s="282">
        <f t="shared" si="202"/>
        <v>690.19999999999993</v>
      </c>
      <c r="MC395" s="283">
        <v>236</v>
      </c>
      <c r="MD395" s="284" t="str">
        <f t="shared" si="203"/>
        <v>FLINTSLFLINTSLFLINTSLFLINTSLFLINTSLFLINTSLFLINTSL</v>
      </c>
      <c r="ME395" s="293" t="str">
        <f t="shared" si="204"/>
        <v>+</v>
      </c>
      <c r="MF395" s="293" t="str">
        <f t="shared" si="205"/>
        <v>+</v>
      </c>
      <c r="MG395" s="293" t="str">
        <f t="shared" si="206"/>
        <v>+</v>
      </c>
      <c r="MH395" s="293" t="str">
        <f t="shared" si="207"/>
        <v>+</v>
      </c>
      <c r="MI395" s="293" t="str">
        <f t="shared" si="208"/>
        <v>+</v>
      </c>
      <c r="MJ395" s="293" t="str">
        <f t="shared" si="209"/>
        <v>+</v>
      </c>
      <c r="MK395" s="293" t="str">
        <f t="shared" si="210"/>
        <v>+</v>
      </c>
      <c r="ML395" s="293" t="str">
        <f t="shared" si="211"/>
        <v>NIL</v>
      </c>
      <c r="MM395" s="3" t="b">
        <f t="array" ref="MM395">OR(ME395:ML395="-")</f>
        <v>0</v>
      </c>
      <c r="MO395" s="401">
        <f t="shared" si="350"/>
        <v>48.198324022346362</v>
      </c>
      <c r="MP395" s="286"/>
      <c r="MR395" s="402">
        <f t="shared" si="351"/>
        <v>9.9309352517985595E-3</v>
      </c>
      <c r="MS395" s="400">
        <f t="shared" si="352"/>
        <v>0</v>
      </c>
      <c r="MT395" s="285"/>
      <c r="NH395" s="361"/>
      <c r="NJ395" s="282"/>
    </row>
    <row r="396" spans="1:374" ht="16.5">
      <c r="A396" s="403">
        <v>46053</v>
      </c>
      <c r="B396" s="404" t="s">
        <v>1015</v>
      </c>
      <c r="C396" s="405" t="s">
        <v>4991</v>
      </c>
      <c r="D396" s="404" t="s">
        <v>4997</v>
      </c>
      <c r="E396" s="404">
        <v>72</v>
      </c>
      <c r="F396" s="407">
        <v>3300</v>
      </c>
      <c r="G396" s="407" t="s">
        <v>1016</v>
      </c>
      <c r="H396" s="408" t="s">
        <v>1017</v>
      </c>
      <c r="I396" s="409">
        <v>1.8</v>
      </c>
      <c r="J396" s="405" t="s">
        <v>543</v>
      </c>
      <c r="K396" s="404" t="s">
        <v>4992</v>
      </c>
      <c r="L396" s="419" t="str">
        <f t="shared" si="184"/>
        <v>ToyoLi - BLACK</v>
      </c>
      <c r="M396" s="404">
        <v>4</v>
      </c>
      <c r="N396" s="410">
        <f>IF(M396=0,0,IF($LB396=70%,VLOOKUP($L396,'Jan-2026 rates'!$L:$R,4,0),IF($LB396=65%,VLOOKUP($L396,'Jan-2026 rates'!$L:$R,4,0),IF($LB396=40%,VLOOKUP($L396,'Jan-2026 rates'!$L:$R,5,0),IF($LB396=30%,VLOOKUP($L396,'Jan-2026 rates'!$L:$R,6,0),IF($LB396=100%,VLOOKUP($L396,'Jan-2026 rates'!$L:$R,7,0),IF($LB396=60%,VLOOKUP($L396,'Jan-2026 rates'!$L:$S,8,0),IF($LB396=80%,VLOOKUP($L396,'Jan-2026 rates'!L:T,9,0),0))))))))</f>
        <v>0</v>
      </c>
      <c r="O396" s="406" t="s">
        <v>4621</v>
      </c>
      <c r="P396" s="404">
        <v>13</v>
      </c>
      <c r="Q396" s="410">
        <f>IF(P396=0,0,IF($LB396=70%,VLOOKUP($L396,'Jan-2026 rates'!$L:$R,4,0),IF($LB396=65%,VLOOKUP($L396,'Jan-2026 rates'!$L:$R,4,0),IF($LB396=40%,VLOOKUP($L396,'Jan-2026 rates'!$L:$R,5,0),IF($LB396=30%,VLOOKUP($L396,'Jan-2026 rates'!$L:$R,6,0),IF($LB396=100%,VLOOKUP($L396,'Jan-2026 rates'!$L:$R,7,0),IF($LB396=60%,VLOOKUP($L396,'Jan-2026 rates'!$L:$S,8,0),IF($LB396=80%,VLOOKUP($L396,'Jan-2026 rates'!L:T,9,0),0))))))))</f>
        <v>0</v>
      </c>
      <c r="R396" s="406" t="s">
        <v>1252</v>
      </c>
      <c r="S396" s="406"/>
      <c r="T396" s="406"/>
      <c r="U396" s="406"/>
      <c r="V396" s="406"/>
      <c r="W396" s="406"/>
      <c r="X396" s="406"/>
      <c r="Y396" s="406"/>
      <c r="Z396" s="404">
        <v>5</v>
      </c>
      <c r="AA396" s="398">
        <f>IF(Z396=0,0,IF(LEN(R396)=11,_xlfn.XLOOKUP(R396,'Dispensed Ink Rates'!C:C,'Dispensed Ink Rates'!CS:CS),VLOOKUP(R396,'Jan-2026 rates'!$E:$F,2,0)))</f>
        <v>0</v>
      </c>
      <c r="AB396" s="404"/>
      <c r="AC396" s="398">
        <f>IF(AB396=0,0,IF(LEN(S396)=11,_xlfn.XLOOKUP(S396,'Dispensed Ink Rates'!C:C,'Dispensed Ink Rates'!CS:CS),VLOOKUP(S396,'Jan-2026 rates'!$E:$F,2,0)))</f>
        <v>0</v>
      </c>
      <c r="AD396" s="404"/>
      <c r="AE396" s="398">
        <f>IF(AD396=0,0,IF(LEN(T396)=11,_xlfn.XLOOKUP(T396,'Dispensed Ink Rates'!C:C,'Dispensed Ink Rates'!CS:CS),VLOOKUP(T396,'Jan-2026 rates'!$E:$F,2,0)))</f>
        <v>0</v>
      </c>
      <c r="AF396" s="404"/>
      <c r="AG396" s="398">
        <f>IF(AF396=0,0,IF(LEN(U396)=11,_xlfn.XLOOKUP(U396,'Dispensed Ink Rates'!C:C,'Dispensed Ink Rates'!CS:CS),VLOOKUP(U396,'Jan-2026 rates'!$E:$F,2,0)))</f>
        <v>0</v>
      </c>
      <c r="AH396" s="404"/>
      <c r="AI396" s="398">
        <f>IF(AH396=0,0,IF(LEN(V396)=11,_xlfn.XLOOKUP(V396,'Dispensed Ink Rates'!C:C,'Dispensed Ink Rates'!CS:CS),VLOOKUP(V396,'Jan-2026 rates'!$E:$F,2,0)))</f>
        <v>0</v>
      </c>
      <c r="AJ396" s="404"/>
      <c r="AK396" s="398">
        <f>IF(AJ396=0,0,IF(LEN(W396)=11,_xlfn.XLOOKUP(W396,'Dispensed Ink Rates'!C:C,'Dispensed Ink Rates'!CS:CS),VLOOKUP(W396,'Jan-2026 rates'!$E:$F,2,0)))</f>
        <v>0</v>
      </c>
      <c r="AL396" s="404"/>
      <c r="AM396" s="398">
        <f>IF(AL396=0,0,IF(LEN(X396)=11,_xlfn.XLOOKUP(X396,'Dispensed Ink Rates'!C:C,'Dispensed Ink Rates'!CS:CS),VLOOKUP(X396,'Jan-2026 rates'!$E:$F,2,0)))</f>
        <v>0</v>
      </c>
      <c r="AN396" s="404"/>
      <c r="AO396" s="398">
        <f>IF(AN396=0,0,IF(LEN(Y396)=11,_xlfn.XLOOKUP(Y396,'Dispensed Ink Rates'!C:C,'Dispensed Ink Rates'!CS:CS),VLOOKUP(Y396,'Jan-2026 rates'!$E:$F,2,0)))</f>
        <v>0</v>
      </c>
      <c r="AP396" s="409" t="s">
        <v>1881</v>
      </c>
      <c r="AQ396" s="409">
        <v>20</v>
      </c>
      <c r="AR396" s="410">
        <f t="shared" si="212"/>
        <v>0</v>
      </c>
      <c r="AS396" s="411">
        <f t="shared" si="213"/>
        <v>3.8947368421052637</v>
      </c>
      <c r="AT396" s="410">
        <f t="shared" si="214"/>
        <v>0</v>
      </c>
      <c r="AU396" s="405" t="s">
        <v>546</v>
      </c>
      <c r="AV396" s="409" t="s">
        <v>4993</v>
      </c>
      <c r="AW396" s="420" t="str">
        <f t="shared" si="348"/>
        <v>ToyoLi - REFLEX BLUE</v>
      </c>
      <c r="AX396" s="409">
        <v>15</v>
      </c>
      <c r="AY396" s="411">
        <f>IF(AX396=0,0,IF($LB396=70%,VLOOKUP($AW396,'Jan-2026 rates'!$L:$R,4,0),IF($LB396=65%,VLOOKUP($AW396,'Jan-2026 rates'!$L:$R,4,0),IF($LB396=40%,VLOOKUP($AW396,'Jan-2026 rates'!$L:$R,5,0),IF($LB396=30%,VLOOKUP($AW396,'Jan-2026 rates'!$L:$R,6,0),IF($LB396=100%,VLOOKUP($AW396,'Jan-2026 rates'!$L:$R,7,0),IF($LB396=60%,VLOOKUP($AW396,'Jan-2026 rates'!$L:$S,8,0),IF($LB396=80%,VLOOKUP($AW396,'Jan-2026 rates'!L:T,9,0),0))))))))</f>
        <v>0</v>
      </c>
      <c r="AZ396" s="412"/>
      <c r="BA396" s="409"/>
      <c r="BB396" s="411">
        <f>IF(BA396=0,0,IF($LB396=70%,VLOOKUP($AW396,'Jan-2026 rates'!$L:$R,4,0),IF($LB396=65%,VLOOKUP($AW396,'Jan-2026 rates'!$L:$R,4,0),IF($LB396=40%,VLOOKUP($AW396,'Jan-2026 rates'!$L:$R,5,0),IF($LB396=30%,VLOOKUP($AW396,'Jan-2026 rates'!$L:$R,6,0),IF($LB396=100%,VLOOKUP($AW396,'Jan-2026 rates'!$L:$R,7,0),IF($LB396=60%,VLOOKUP($AW396,'Jan-2026 rates'!$L:$S,8,0),IF($LB396=80%,VLOOKUP($AW396,'Jan-2026 rates'!L:T,9,0),0))))))))</f>
        <v>0</v>
      </c>
      <c r="BC396" s="413" t="s">
        <v>1585</v>
      </c>
      <c r="BD396" s="412" t="s">
        <v>1250</v>
      </c>
      <c r="BE396" s="412" t="s">
        <v>1249</v>
      </c>
      <c r="BF396" s="413" t="s">
        <v>1880</v>
      </c>
      <c r="BG396" s="412" t="s">
        <v>1921</v>
      </c>
      <c r="BH396" s="412"/>
      <c r="BI396" s="412"/>
      <c r="BJ396" s="412"/>
      <c r="BK396" s="409">
        <v>3</v>
      </c>
      <c r="BL396" s="398">
        <f>IF(BK396=0,0,IF(LEN(BC396)=11,_xlfn.XLOOKUP(BC396,'Dispensed Ink Rates'!C:C,'Dispensed Ink Rates'!CS:CS),VLOOKUP(BC396,'Jan-2026 rates'!$E:$F,2,0)))</f>
        <v>0</v>
      </c>
      <c r="BM396" s="409">
        <v>5</v>
      </c>
      <c r="BN396" s="398">
        <f>IF(BM396=0,0,IF(LEN(BD396)=11,_xlfn.XLOOKUP(BD396,'Dispensed Ink Rates'!C:C,'Dispensed Ink Rates'!CS:CS),VLOOKUP(BD396,'Jan-2026 rates'!$E:$F,2,0)))</f>
        <v>0</v>
      </c>
      <c r="BO396" s="409">
        <v>5</v>
      </c>
      <c r="BP396" s="398">
        <f>IF(BO396=0,0,IF(LEN(BE396)=11,_xlfn.XLOOKUP(BE396,'Dispensed Ink Rates'!C:C,'Dispensed Ink Rates'!CS:CS),VLOOKUP(BE396,'Jan-2026 rates'!$E:$F,2,0)))</f>
        <v>0</v>
      </c>
      <c r="BQ396" s="409">
        <v>4</v>
      </c>
      <c r="BR396" s="398">
        <f>IF(BQ396=0,0,IF(LEN(BF396)=11,_xlfn.XLOOKUP(BF396,'Dispensed Ink Rates'!C:C,'Dispensed Ink Rates'!CS:CS),VLOOKUP(BF396,'Jan-2026 rates'!$E:$F,2,0)))</f>
        <v>0</v>
      </c>
      <c r="BS396" s="409">
        <v>6</v>
      </c>
      <c r="BT396" s="398">
        <f>IF(BS396=0,0,IF(LEN(BG396)=11,_xlfn.XLOOKUP(BG396,'Dispensed Ink Rates'!C:C,'Dispensed Ink Rates'!CS:CS),VLOOKUP(BG396,'Jan-2026 rates'!$E:$F,2,0)))</f>
        <v>0</v>
      </c>
      <c r="BU396" s="409"/>
      <c r="BV396" s="398">
        <f>IF(BU396=0,0,IF(LEN(BH396)=11,_xlfn.XLOOKUP(BH396,'Dispensed Ink Rates'!C:C,'Dispensed Ink Rates'!CS:CS),VLOOKUP(BH396,'Jan-2026 rates'!$E:$F,2,0)))</f>
        <v>0</v>
      </c>
      <c r="BW396" s="409"/>
      <c r="BX396" s="398">
        <f>IF(BW396=0,0,IF(LEN(BI396)=11,_xlfn.XLOOKUP(BI396,'Dispensed Ink Rates'!C:C,'Dispensed Ink Rates'!CS:CS),VLOOKUP(BI396,'Jan-2026 rates'!$E:$F,2,0)))</f>
        <v>0</v>
      </c>
      <c r="BY396" s="409"/>
      <c r="BZ396" s="398">
        <f>IF(BY396=0,0,IF(LEN(BJ396)=11,_xlfn.XLOOKUP(BJ396,'Dispensed Ink Rates'!C:C,'Dispensed Ink Rates'!CS:CS),VLOOKUP(BJ396,'Jan-2026 rates'!$E:$F,2,0)))</f>
        <v>0</v>
      </c>
      <c r="CA396" s="409" t="s">
        <v>1881</v>
      </c>
      <c r="CB396" s="409">
        <v>20</v>
      </c>
      <c r="CC396" s="411">
        <f t="shared" si="215"/>
        <v>0</v>
      </c>
      <c r="CD396" s="411">
        <f t="shared" si="216"/>
        <v>20.842105263157897</v>
      </c>
      <c r="CE396" s="410">
        <f t="shared" si="217"/>
        <v>0</v>
      </c>
      <c r="CF396" s="404" t="s">
        <v>547</v>
      </c>
      <c r="CG396" s="409"/>
      <c r="CH396" s="420" t="str">
        <f t="shared" si="185"/>
        <v>ToyoLi - GREEN</v>
      </c>
      <c r="CI396" s="409"/>
      <c r="CJ396" s="411">
        <f>IF(CI396=0,0,IF($LB396=70%,VLOOKUP($CH396,'Jan-2026 rates'!$L:$R,4,0),IF($LB396=65%,VLOOKUP($CH396,'Jan-2026 rates'!$L:$R,4,0),IF($LB396=40%,VLOOKUP($CH396,'Jan-2026 rates'!$L:$R,5,0),IF($LB396=30%,VLOOKUP($CH396,'Jan-2026 rates'!$L:$R,6,0),IF($LB396=100%,VLOOKUP($CH396,'Jan-2026 rates'!$L:$R,7,0),IF($LB396=60%,VLOOKUP($CH396,'Jan-2026 rates'!$L:$S,8,0),IF($LB396=80%,VLOOKUP($CH396,'Jan-2026 rates'!L:T,9,0),0))))))))</f>
        <v>0</v>
      </c>
      <c r="CK396" s="412"/>
      <c r="CL396" s="409"/>
      <c r="CM396" s="411">
        <f>IF(CL396=0,0,IF($LB396=70%,VLOOKUP($CH396,'Jan-2026 rates'!$L:$R,4,0),IF($LB396=65%,VLOOKUP($CH396,'Jan-2026 rates'!$L:$R,4,0),IF($LB396=40%,VLOOKUP($CH396,'Jan-2026 rates'!$L:$R,5,0),IF($LB396=30%,VLOOKUP($CH396,'Jan-2026 rates'!$L:$R,6,0),IF($LB396=100%,VLOOKUP($CH396,'Jan-2026 rates'!$L:$R,7,0),IF($LB396=60%,VLOOKUP($CH396,'Jan-2026 rates'!$L:$S,8,0),IF($LB396=80%,VLOOKUP($CH396,'Jan-2026 rates'!L:T,9,0),0))))))))</f>
        <v>0</v>
      </c>
      <c r="CN396" s="426" t="s">
        <v>1921</v>
      </c>
      <c r="CO396" s="427" t="s">
        <v>1249</v>
      </c>
      <c r="CP396" s="426" t="s">
        <v>1248</v>
      </c>
      <c r="CQ396" s="426" t="s">
        <v>1247</v>
      </c>
      <c r="CR396" s="428" t="s">
        <v>1250</v>
      </c>
      <c r="CS396" s="428"/>
      <c r="CT396" s="428"/>
      <c r="CU396" s="428"/>
      <c r="CV396" s="409">
        <v>10</v>
      </c>
      <c r="CW396" s="398">
        <f>IF(CV396=0,0,IF(LEN(CN396)=11,_xlfn.XLOOKUP(CN396,'Dispensed Ink Rates'!C:C,'Dispensed Ink Rates'!CS:CS),VLOOKUP(CN396,'Jan-2026 rates'!$E:$F,2,0)))</f>
        <v>0</v>
      </c>
      <c r="CX396" s="409">
        <v>5</v>
      </c>
      <c r="CY396" s="398">
        <f>IF(CX396=0,0,IF(LEN(CO396)=11,_xlfn.XLOOKUP(CO396,'Dispensed Ink Rates'!C:C,'Dispensed Ink Rates'!CS:CS),VLOOKUP(CO396,'Jan-2026 rates'!$E:$F,2,0)))</f>
        <v>0</v>
      </c>
      <c r="CZ396" s="409">
        <v>0.2</v>
      </c>
      <c r="DA396" s="398">
        <f>IF(CZ396=0,0,IF(LEN(CP396)=11,_xlfn.XLOOKUP(CP396,'Dispensed Ink Rates'!C:C,'Dispensed Ink Rates'!CS:CS),VLOOKUP(CP396,'Jan-2026 rates'!$E:$F,2,0)))</f>
        <v>0</v>
      </c>
      <c r="DB396" s="409">
        <v>0.3</v>
      </c>
      <c r="DC396" s="398">
        <f>IF(DB396=0,0,IF(LEN(CQ396)=11,_xlfn.XLOOKUP(CQ396,'Dispensed Ink Rates'!C:C,'Dispensed Ink Rates'!CS:CS),VLOOKUP(CQ396,'Jan-2026 rates'!$E:$F,2,0)))</f>
        <v>0</v>
      </c>
      <c r="DD396" s="409">
        <v>0.1</v>
      </c>
      <c r="DE396" s="398">
        <f>IF(DD396=0,0,IF(LEN(CR396)=11,_xlfn.XLOOKUP(CR396,'Dispensed Ink Rates'!C:C,'Dispensed Ink Rates'!CS:CS),VLOOKUP(CR396,'Jan-2026 rates'!$E:$F,2,0)))</f>
        <v>0</v>
      </c>
      <c r="DF396" s="409"/>
      <c r="DG396" s="398">
        <f>IF(DF396=0,0,IF(LEN(CS396)=11,_xlfn.XLOOKUP(CS396,'Dispensed Ink Rates'!C:C,'Dispensed Ink Rates'!CS:CS),VLOOKUP(CS396,'Jan-2026 rates'!$E:$F,2,0)))</f>
        <v>0</v>
      </c>
      <c r="DH396" s="409"/>
      <c r="DI396" s="398">
        <f>IF(DH396=0,0,IF(LEN(CT396)=11,_xlfn.XLOOKUP(CT396,'Dispensed Ink Rates'!C:C,'Dispensed Ink Rates'!CS:CS),VLOOKUP(CT396,'Jan-2026 rates'!$E:$F,2,0)))</f>
        <v>0</v>
      </c>
      <c r="DJ396" s="409"/>
      <c r="DK396" s="398">
        <f>IF(DJ396=0,0,IF(LEN(CU396)=11,_xlfn.XLOOKUP(CU396,'Dispensed Ink Rates'!C:C,'Dispensed Ink Rates'!CS:CS),VLOOKUP(CU396,'Jan-2026 rates'!$E:$F,2,0)))</f>
        <v>0</v>
      </c>
      <c r="DL396" s="409" t="s">
        <v>1881</v>
      </c>
      <c r="DM396" s="409">
        <v>20</v>
      </c>
      <c r="DN396" s="411">
        <f t="shared" si="218"/>
        <v>0</v>
      </c>
      <c r="DO396" s="411">
        <f t="shared" si="219"/>
        <v>5.0736842105263165</v>
      </c>
      <c r="DP396" s="410">
        <f t="shared" si="220"/>
        <v>0</v>
      </c>
      <c r="DQ396" s="405" t="s">
        <v>855</v>
      </c>
      <c r="DR396" s="409" t="s">
        <v>4994</v>
      </c>
      <c r="DS396" s="420" t="str">
        <f t="shared" si="186"/>
        <v>ToyoLi - CYAN</v>
      </c>
      <c r="DT396" s="409">
        <f>11+18</f>
        <v>29</v>
      </c>
      <c r="DU396" s="411">
        <f>IF(DT396=0,0,IF($LB396=70%,VLOOKUP($DS396,'Jan-2026 rates'!$L:$R,4,0),IF($LB396=65%,VLOOKUP($DS396,'Jan-2026 rates'!$L:$R,4,0),IF($LB396=40%,VLOOKUP($DS396,'Jan-2026 rates'!$L:$R,5,0),IF($LB396=30%,VLOOKUP($DS396,'Jan-2026 rates'!$L:$R,6,0),IF($LB396=100%,VLOOKUP($DS396,'Jan-2026 rates'!$L:$R,7,0),IF($LB396=60%,VLOOKUP($DS396,'Jan-2026 rates'!$L:$S,8,0),IF($LB396=80%,VLOOKUP($DS396,'Jan-2026 rates'!L:T,9,0),0))))))))</f>
        <v>0</v>
      </c>
      <c r="DV396" s="412"/>
      <c r="DW396" s="409"/>
      <c r="DX396" s="411">
        <f>IF(DW396=0,0,IF($LB396=70%,VLOOKUP($DS396,'Jan-2026 rates'!$L:$R,4,0),IF($LB396=65%,VLOOKUP($DS396,'Jan-2026 rates'!$L:$R,4,0),IF($LB396=40%,VLOOKUP($DS396,'Jan-2026 rates'!$L:$R,5,0),IF($LB396=30%,VLOOKUP($DS396,'Jan-2026 rates'!$L:$R,6,0),IF($LB396=100%,VLOOKUP($DS396,'Jan-2026 rates'!$L:$R,7,0),IF($LB396=60%,VLOOKUP($DS396,'Jan-2026 rates'!$L:$S,8,0),IF($LB396=80%,VLOOKUP($DS396,'Jan-2026 rates'!L:T,9,0),0))))))))</f>
        <v>0</v>
      </c>
      <c r="DY396" s="413" t="s">
        <v>1250</v>
      </c>
      <c r="DZ396" s="413"/>
      <c r="EA396" s="412"/>
      <c r="EB396" s="412"/>
      <c r="EC396" s="412"/>
      <c r="ED396" s="412"/>
      <c r="EE396" s="412"/>
      <c r="EF396" s="412"/>
      <c r="EG396" s="409">
        <v>2</v>
      </c>
      <c r="EH396" s="398">
        <f>IF(EG396=0,0,IF(LEN(DY396)=11,_xlfn.XLOOKUP(DY396,'Dispensed Ink Rates'!C:C,'Dispensed Ink Rates'!CS:CS),VLOOKUP(DY396,'Jan-2026 rates'!$E:$F,2,0)))</f>
        <v>0</v>
      </c>
      <c r="EI396" s="409"/>
      <c r="EJ396" s="398">
        <f>IF(EI396=0,0,IF(LEN(DZ396)=11,_xlfn.XLOOKUP(DZ396,'Dispensed Ink Rates'!C:C,'Dispensed Ink Rates'!CS:CS),VLOOKUP(DZ396,'Jan-2026 rates'!$E:$F,2,0)))</f>
        <v>0</v>
      </c>
      <c r="EK396" s="409"/>
      <c r="EL396" s="398">
        <f>IF(EK396=0,0,IF(LEN(EA396)=11,_xlfn.XLOOKUP(EA396,'Dispensed Ink Rates'!C:C,'Dispensed Ink Rates'!CS:CS),VLOOKUP(EA396,'Jan-2026 rates'!$E:$F,2,0)))</f>
        <v>0</v>
      </c>
      <c r="EM396" s="409"/>
      <c r="EN396" s="398">
        <f>IF(EM396=0,0,IF(LEN(EB396)=11,_xlfn.XLOOKUP(EB396,'Dispensed Ink Rates'!C:C,'Dispensed Ink Rates'!CS:CS),VLOOKUP(EB396,'Jan-2026 rates'!$E:$F,2,0)))</f>
        <v>0</v>
      </c>
      <c r="EO396" s="409"/>
      <c r="EP396" s="398">
        <f>IF(EO396=0,0,IF(LEN(EC396)=11,_xlfn.XLOOKUP(EC396,'Dispensed Ink Rates'!C:C,'Dispensed Ink Rates'!CS:CS),VLOOKUP(EC396,'Jan-2026 rates'!$E:$F,2,0)))</f>
        <v>0</v>
      </c>
      <c r="EQ396" s="409"/>
      <c r="ER396" s="398">
        <f>IF(EQ396=0,0,IF(LEN(ED396)=11,_xlfn.XLOOKUP(ED396,'Dispensed Ink Rates'!C:C,'Dispensed Ink Rates'!CS:CS),VLOOKUP(ED396,'Jan-2026 rates'!$E:$F,2,0)))</f>
        <v>0</v>
      </c>
      <c r="ES396" s="409"/>
      <c r="ET396" s="398">
        <f>IF(ES396=0,0,IF(LEN(EE396)=11,_xlfn.XLOOKUP(EE396,'Dispensed Ink Rates'!C:C,'Dispensed Ink Rates'!CS:CS),VLOOKUP(EE396,'Jan-2026 rates'!$E:$F,2,0)))</f>
        <v>0</v>
      </c>
      <c r="EU396" s="409"/>
      <c r="EV396" s="398">
        <f>IF(EU396=0,0,IF(LEN(EF396)=11,_xlfn.XLOOKUP(EF396,'Dispensed Ink Rates'!C:C,'Dispensed Ink Rates'!CS:CS),VLOOKUP(EF396,'Jan-2026 rates'!$E:$F,2,0)))</f>
        <v>0</v>
      </c>
      <c r="EW396" s="409" t="s">
        <v>1881</v>
      </c>
      <c r="EX396" s="409">
        <f>18+13</f>
        <v>31</v>
      </c>
      <c r="EY396" s="411">
        <f t="shared" si="221"/>
        <v>0</v>
      </c>
      <c r="EZ396" s="411">
        <f t="shared" si="222"/>
        <v>1.8947368421052602</v>
      </c>
      <c r="FA396" s="410">
        <f t="shared" si="223"/>
        <v>0</v>
      </c>
      <c r="FB396" s="405" t="s">
        <v>544</v>
      </c>
      <c r="FC396" s="409" t="s">
        <v>4995</v>
      </c>
      <c r="FD396" s="420" t="str">
        <f t="shared" si="187"/>
        <v>ToyoLi - MAGENTA</v>
      </c>
      <c r="FE396" s="409">
        <f>14+12</f>
        <v>26</v>
      </c>
      <c r="FF396" s="411">
        <f>IF(FE396=0,0,IF($LB396=70%,VLOOKUP($FD396,'Jan-2026 rates'!$L:$R,4,0),IF($LB396=65%,VLOOKUP($FD396,'Jan-2026 rates'!$L:$R,4,0),IF($LB396=40%,VLOOKUP($FD396,'Jan-2026 rates'!$L:$R,5,0),IF($LB396=30%,VLOOKUP($FD396,'Jan-2026 rates'!$L:$R,6,0),IF($LB396=100%,VLOOKUP($FD396,'Jan-2026 rates'!$L:$R,7,0),IF($LB396=60%,VLOOKUP($FD396,'Jan-2026 rates'!$L:$S,8,0),IF($LB396=80%,VLOOKUP($FD396,'Jan-2026 rates'!L:T,9,0),0))))))))</f>
        <v>0</v>
      </c>
      <c r="FG396" s="412"/>
      <c r="FH396" s="409"/>
      <c r="FI396" s="411">
        <f>IF(FH396=0,0,IF($LB396=70%,VLOOKUP($FD396,'Jan-2026 rates'!$L:$R,4,0),IF($LB396=65%,VLOOKUP($FD396,'Jan-2026 rates'!$L:$R,4,0),IF($LB396=40%,VLOOKUP($FD396,'Jan-2026 rates'!$L:$R,5,0),IF($LB396=30%,VLOOKUP($FD396,'Jan-2026 rates'!$L:$R,6,0),IF($LB396=100%,VLOOKUP($FD396,'Jan-2026 rates'!$L:$R,7,0),IF($LB396=60%,VLOOKUP($FD396,'Jan-2026 rates'!$L:$S,8,0),IF($LB396=80%,VLOOKUP($FD396,'Jan-2026 rates'!L:T,9,0),0))))))))</f>
        <v>0</v>
      </c>
      <c r="FJ396" s="413" t="s">
        <v>1921</v>
      </c>
      <c r="FK396" s="413"/>
      <c r="FL396" s="413"/>
      <c r="FM396" s="412"/>
      <c r="FN396" s="412"/>
      <c r="FO396" s="412"/>
      <c r="FP396" s="412"/>
      <c r="FQ396" s="412"/>
      <c r="FR396" s="409">
        <v>5</v>
      </c>
      <c r="FS396" s="398">
        <f>IF(FR396=0,0,IF(LEN(FJ396)=11,_xlfn.XLOOKUP(FJ396,'Dispensed Ink Rates'!C:C,'Dispensed Ink Rates'!CS:CS),VLOOKUP(FJ396,'Jan-2026 rates'!$E:$F,2,0)))</f>
        <v>0</v>
      </c>
      <c r="FT396" s="409"/>
      <c r="FU396" s="398">
        <f>IF(FT396=0,0,IF(LEN(FK396)=11,_xlfn.XLOOKUP(FK396,'Dispensed Ink Rates'!C:C,'Dispensed Ink Rates'!CS:CS),VLOOKUP(FK396,'Jan-2026 rates'!$E:$F,2,0)))</f>
        <v>0</v>
      </c>
      <c r="FV396" s="409"/>
      <c r="FW396" s="398">
        <f>IF(FV396=0,0,IF(LEN(FL396)=11,_xlfn.XLOOKUP(FL396,'Dispensed Ink Rates'!C:C,'Dispensed Ink Rates'!CS:CS),VLOOKUP(FL396,'Jan-2026 rates'!$E:$F,2,0)))</f>
        <v>0</v>
      </c>
      <c r="FX396" s="409"/>
      <c r="FY396" s="398">
        <f>IF(FX396=0,0,IF(LEN(FM396)=11,_xlfn.XLOOKUP(FM396,'Dispensed Ink Rates'!C:C,'Dispensed Ink Rates'!CS:CS),VLOOKUP(FM396,'Jan-2026 rates'!$E:$F,2,0)))</f>
        <v>0</v>
      </c>
      <c r="FZ396" s="409"/>
      <c r="GA396" s="398">
        <f>IF(FZ396=0,0,IF(LEN(FN396)=11,_xlfn.XLOOKUP(FN396,'Dispensed Ink Rates'!C:C,'Dispensed Ink Rates'!CS:CS),VLOOKUP(FN396,'Jan-2026 rates'!$E:$F,2,0)))</f>
        <v>0</v>
      </c>
      <c r="GB396" s="409"/>
      <c r="GC396" s="398">
        <f>IF(GB396=0,0,IF(LEN(FO396)=11,_xlfn.XLOOKUP(FO396,'Dispensed Ink Rates'!C:C,'Dispensed Ink Rates'!CS:CS),VLOOKUP(FO396,'Jan-2026 rates'!$E:$F,2,0)))</f>
        <v>0</v>
      </c>
      <c r="GD396" s="409"/>
      <c r="GE396" s="398">
        <f>IF(GD396=0,0,IF(LEN(FP396)=11,_xlfn.XLOOKUP(FP396,'Dispensed Ink Rates'!C:C,'Dispensed Ink Rates'!CS:CS),VLOOKUP(FP396,'Jan-2026 rates'!$E:$F,2,0)))</f>
        <v>0</v>
      </c>
      <c r="GF396" s="409"/>
      <c r="GG396" s="398">
        <f>IF(GF396=0,0,IF(LEN(FQ396)=11,_xlfn.XLOOKUP(FQ396,'Dispensed Ink Rates'!C:C,'Dispensed Ink Rates'!CS:CS),VLOOKUP(FQ396,'Jan-2026 rates'!$E:$F,2,0)))</f>
        <v>0</v>
      </c>
      <c r="GH396" s="409" t="s">
        <v>1881</v>
      </c>
      <c r="GI396" s="409">
        <f>14+16</f>
        <v>30</v>
      </c>
      <c r="GJ396" s="411">
        <f t="shared" si="224"/>
        <v>0</v>
      </c>
      <c r="GK396" s="411">
        <f t="shared" si="225"/>
        <v>5.7368421052631575</v>
      </c>
      <c r="GL396" s="410">
        <f t="shared" si="226"/>
        <v>0</v>
      </c>
      <c r="GM396" s="405" t="s">
        <v>545</v>
      </c>
      <c r="GN396" s="409" t="s">
        <v>4996</v>
      </c>
      <c r="GO396" s="420" t="str">
        <f t="shared" si="188"/>
        <v>ToyoLi - YELLOW</v>
      </c>
      <c r="GP396" s="409">
        <f>21+12</f>
        <v>33</v>
      </c>
      <c r="GQ396" s="411">
        <f>IF(GP396=0,0,IF($LB396=70%,VLOOKUP($GO396,'Jan-2026 rates'!$L:$R,4,0),IF($LB396=65%,VLOOKUP($GO396,'Jan-2026 rates'!$L:$R,4,0),IF($LB396=40%,VLOOKUP($GO396,'Jan-2026 rates'!$L:$R,5,0),IF($LB396=30%,VLOOKUP($GO396,'Jan-2026 rates'!$L:$R,6,0),IF($LB396=100%,VLOOKUP($GO396,'Jan-2026 rates'!$L:$R,7,0),IF($LB396=60%,VLOOKUP($GO396,'Jan-2026 rates'!$L:$S,8,0),IF($LB396=80%,VLOOKUP($GO396,'Jan-2026 rates'!L:T,9,0),0))))))))</f>
        <v>0</v>
      </c>
      <c r="GR396" s="412"/>
      <c r="GS396" s="409"/>
      <c r="GT396" s="411">
        <f>IF(GS396=0,0,IF($LB396=70%,VLOOKUP($GO396,'Jan-2026 rates'!$L:$R,4,0),IF($LB396=65%,VLOOKUP($GO396,'Jan-2026 rates'!$L:$R,4,0),IF($LB396=40%,VLOOKUP($GO396,'Jan-2026 rates'!$L:$R,5,0),IF($LB396=30%,VLOOKUP($GO396,'Jan-2026 rates'!$L:$R,6,0),IF($LB396=100%,VLOOKUP($GO396,'Jan-2026 rates'!$L:$R,7,0),IF($LB396=60%,VLOOKUP($GO396,'Jan-2026 rates'!$L:$S,8,0),IF($LB396=80%,VLOOKUP($GO396,'Jan-2026 rates'!L:T,9,0),0))))))))</f>
        <v>0</v>
      </c>
      <c r="GU396" s="413"/>
      <c r="GV396" s="413"/>
      <c r="GW396" s="412"/>
      <c r="GX396" s="412"/>
      <c r="GY396" s="412"/>
      <c r="GZ396" s="412"/>
      <c r="HA396" s="412"/>
      <c r="HB396" s="412"/>
      <c r="HC396" s="409"/>
      <c r="HD396" s="398">
        <f>IF(HC396=0,0,IF(LEN(GU396)=11,_xlfn.XLOOKUP(GU396,'Dispensed Ink Rates'!C:C,'Dispensed Ink Rates'!CS:CS),VLOOKUP(GU396,'Jan-2026 rates'!$E:$F,2,0)))</f>
        <v>0</v>
      </c>
      <c r="HE396" s="409"/>
      <c r="HF396" s="398">
        <f>IF(HE396=0,0,IF(LEN(GV396)=11,_xlfn.XLOOKUP(GV396,'Dispensed Ink Rates'!C:C,'Dispensed Ink Rates'!CS:CS),VLOOKUP(GV396,'Jan-2026 rates'!$E:$F,2,0)))</f>
        <v>0</v>
      </c>
      <c r="HG396" s="409"/>
      <c r="HH396" s="398">
        <f>IF(HG396=0,0,IF(LEN(GW396)=11,_xlfn.XLOOKUP(GW396,'Dispensed Ink Rates'!C:C,'Dispensed Ink Rates'!CS:CS),VLOOKUP(GW396,'Jan-2026 rates'!$E:$F,2,0)))</f>
        <v>0</v>
      </c>
      <c r="HI396" s="409"/>
      <c r="HJ396" s="398">
        <f>IF(HI396=0,0,IF(LEN(GX396)=11,_xlfn.XLOOKUP(GX396,'Dispensed Ink Rates'!C:C,'Dispensed Ink Rates'!CS:CS),VLOOKUP(GX396,'Jan-2026 rates'!$E:$F,2,0)))</f>
        <v>0</v>
      </c>
      <c r="HK396" s="409"/>
      <c r="HL396" s="398">
        <f>IF(HK396=0,0,IF(LEN(GY396)=11,_xlfn.XLOOKUP(GY396,'Dispensed Ink Rates'!C:C,'Dispensed Ink Rates'!CS:CS),VLOOKUP(GY396,'Jan-2026 rates'!$E:$F,2,0)))</f>
        <v>0</v>
      </c>
      <c r="HM396" s="409"/>
      <c r="HN396" s="398">
        <f>IF(HM396=0,0,IF(LEN(GZ396)=11,_xlfn.XLOOKUP(GZ396,'Dispensed Ink Rates'!C:C,'Dispensed Ink Rates'!CS:CS),VLOOKUP(GZ396,'Jan-2026 rates'!$E:$F,2,0)))</f>
        <v>0</v>
      </c>
      <c r="HO396" s="409"/>
      <c r="HP396" s="398">
        <f>IF(HO396=0,0,IF(LEN(HA396)=11,_xlfn.XLOOKUP(HA396,'Dispensed Ink Rates'!C:C,'Dispensed Ink Rates'!CS:CS),VLOOKUP(HA396,'Jan-2026 rates'!$E:$F,2,0)))</f>
        <v>0</v>
      </c>
      <c r="HQ396" s="409"/>
      <c r="HR396" s="398">
        <f>IF(HQ396=0,0,IF(LEN(HB396)=11,_xlfn.XLOOKUP(HB396,'Dispensed Ink Rates'!C:C,'Dispensed Ink Rates'!CS:CS),VLOOKUP(HB396,'Jan-2026 rates'!$E:$F,2,0)))</f>
        <v>0</v>
      </c>
      <c r="HS396" s="409" t="s">
        <v>1881</v>
      </c>
      <c r="HT396" s="409">
        <v>22</v>
      </c>
      <c r="HU396" s="411">
        <f t="shared" si="227"/>
        <v>0</v>
      </c>
      <c r="HV396" s="411">
        <f t="shared" si="228"/>
        <v>11</v>
      </c>
      <c r="HW396" s="414">
        <f t="shared" si="229"/>
        <v>0</v>
      </c>
      <c r="HX396" s="405" t="s">
        <v>829</v>
      </c>
      <c r="HY396" s="409" t="s">
        <v>3525</v>
      </c>
      <c r="HZ396" s="420" t="str">
        <f t="shared" si="189"/>
        <v>ToyoLi - MEDIUM</v>
      </c>
      <c r="IA396" s="409">
        <v>11</v>
      </c>
      <c r="IB396" s="411">
        <f>IF(IA396=0,0,IF($LB396=70%,VLOOKUP($HZ396,'Jan-2026 rates'!$L:$R,4,0),IF($LB396=65%,VLOOKUP($HZ396,'Jan-2026 rates'!$L:$R,4,0),IF($LB396=40%,VLOOKUP($HZ396,'Jan-2026 rates'!$L:$R,5,0),IF($LB396=30%,VLOOKUP($HZ396,'Jan-2026 rates'!$L:$R,6,0),IF($LB396=100%,VLOOKUP($HZ396,'Jan-2026 rates'!$L:$R,7,0),IF($LB396=60%,VLOOKUP($HZ396,'Jan-2026 rates'!$L:$S,8,0),IF($LB396=80%,VLOOKUP($HZ396,'Jan-2026 rates'!L:T,9,0),0))))))))</f>
        <v>0</v>
      </c>
      <c r="IC396" s="412"/>
      <c r="ID396" s="409"/>
      <c r="IE396" s="411">
        <f>IF(ID396=0,0,IF($LB396=70%,VLOOKUP($HZ396,'Jan-2026 rates'!$L:$R,4,0),IF($LB396=65%,VLOOKUP($HZ396,'Jan-2026 rates'!$L:$R,4,0),IF($LB396=40%,VLOOKUP($HZ396,'Jan-2026 rates'!$L:$R,5,0),IF($LB396=30%,VLOOKUP($HZ396,'Jan-2026 rates'!$L:$R,6,0),IF($LB396=100%,VLOOKUP($HZ396,'Jan-2026 rates'!$L:$R,7,0),IF($LB396=60%,VLOOKUP($HZ396,'Jan-2026 rates'!$L:$S,8,0),IF($LB396=80%,VLOOKUP($HZ396,'Jan-2026 rates'!L:T,9,0),0))))))))</f>
        <v>0</v>
      </c>
      <c r="IF396" s="412" t="s">
        <v>1249</v>
      </c>
      <c r="IG396" s="413" t="s">
        <v>1921</v>
      </c>
      <c r="IH396" s="412" t="s">
        <v>1247</v>
      </c>
      <c r="II396" s="412"/>
      <c r="IJ396" s="412"/>
      <c r="IK396" s="412"/>
      <c r="IL396" s="412"/>
      <c r="IM396" s="412"/>
      <c r="IN396" s="409">
        <v>5</v>
      </c>
      <c r="IO396" s="398">
        <f>IF(IN396=0,0,IF(LEN(IF396)=11,_xlfn.XLOOKUP(IF396,'Dispensed Ink Rates'!C:C,'Dispensed Ink Rates'!CS:CS),VLOOKUP(IF396,'Jan-2026 rates'!$E:$F,2,0)))</f>
        <v>0</v>
      </c>
      <c r="IP396" s="409">
        <v>5</v>
      </c>
      <c r="IQ396" s="398">
        <f>IF(IP396=0,0,IF(LEN(IG396)=11,_xlfn.XLOOKUP(IG396,'Dispensed Ink Rates'!C:C,'Dispensed Ink Rates'!CS:CS),VLOOKUP(IG396,'Jan-2026 rates'!$E:$F,2,0)))</f>
        <v>0</v>
      </c>
      <c r="IR396" s="409">
        <v>1</v>
      </c>
      <c r="IS396" s="398">
        <f>IF(IR396=0,0,IF(LEN(IH396)=11,_xlfn.XLOOKUP(IH396,'Dispensed Ink Rates'!C:C,'Dispensed Ink Rates'!CS:CS),VLOOKUP(IH396,'Jan-2026 rates'!$E:$F,2,0)))</f>
        <v>0</v>
      </c>
      <c r="IT396" s="409"/>
      <c r="IU396" s="398">
        <f>IF(IT396=0,0,IF(LEN(II396)=11,_xlfn.XLOOKUP(II396,'Dispensed Ink Rates'!C:C,'Dispensed Ink Rates'!CS:CS),VLOOKUP(II396,'Jan-2026 rates'!$E:$F,2,0)))</f>
        <v>0</v>
      </c>
      <c r="IV396" s="409"/>
      <c r="IW396" s="398">
        <f>IF(IV396=0,0,IF(LEN(IJ396)=11,_xlfn.XLOOKUP(IJ396,'Dispensed Ink Rates'!C:C,'Dispensed Ink Rates'!CS:CS),VLOOKUP(IJ396,'Jan-2026 rates'!$E:$F,2,0)))</f>
        <v>0</v>
      </c>
      <c r="IX396" s="409"/>
      <c r="IY396" s="398">
        <f>IF(IX396=0,0,IF(LEN(IK396)=11,_xlfn.XLOOKUP(IK396,'Dispensed Ink Rates'!C:C,'Dispensed Ink Rates'!CS:CS),VLOOKUP(IK396,'Jan-2026 rates'!$E:$F,2,0)))</f>
        <v>0</v>
      </c>
      <c r="IZ396" s="409"/>
      <c r="JA396" s="398">
        <f>IF(IZ396=0,0,IF(LEN(IL396)=11,_xlfn.XLOOKUP(IL396,'Dispensed Ink Rates'!C:C,'Dispensed Ink Rates'!CS:CS),VLOOKUP(IL396,'Jan-2026 rates'!$E:$F,2,0)))</f>
        <v>0</v>
      </c>
      <c r="JB396" s="409"/>
      <c r="JC396" s="398">
        <f>IF(JB396=0,0,IF(LEN(IM396)=11,_xlfn.XLOOKUP(IM396,'Dispensed Ink Rates'!C:C,'Dispensed Ink Rates'!CS:CS),VLOOKUP(IM396,'Jan-2026 rates'!$E:$F,2,0)))</f>
        <v>0</v>
      </c>
      <c r="JD396" s="409" t="s">
        <v>1881</v>
      </c>
      <c r="JE396" s="409">
        <f>9+12</f>
        <v>21</v>
      </c>
      <c r="JF396" s="411">
        <f t="shared" si="230"/>
        <v>0</v>
      </c>
      <c r="JG396" s="411">
        <f t="shared" si="231"/>
        <v>6.6842105263157876</v>
      </c>
      <c r="JH396" s="410">
        <f t="shared" si="232"/>
        <v>0</v>
      </c>
      <c r="JI396" s="405" t="s">
        <v>856</v>
      </c>
      <c r="JJ396" s="409"/>
      <c r="JK396" s="420" t="str">
        <f t="shared" si="190"/>
        <v>ToyoLi - WHITE</v>
      </c>
      <c r="JL396" s="409"/>
      <c r="JM396" s="411">
        <f>IF(JL396=0,0,IF($LB396=70%,VLOOKUP($JK396,'Jan-2026 rates'!$L:$R,4,0),IF($LB396=65%,VLOOKUP($JK396,'Jan-2026 rates'!$L:$R,4,0),IF($LB396=40%,VLOOKUP($JK396,'Jan-2026 rates'!$L:$R,5,0),IF($LB396=30%,VLOOKUP($JK396,'Jan-2026 rates'!$L:$R,6,0),IF($LB396=100%,VLOOKUP($JK396,'Jan-2026 rates'!$L:$R,7,0),IF($LB396=60%,VLOOKUP($JK396,'Jan-2026 rates'!$L:$S,8,0),IF($LB396=80%,VLOOKUP($JK396,'Jan-2026 rates'!L:T,9,0),0))))))))</f>
        <v>0</v>
      </c>
      <c r="JN396" s="412"/>
      <c r="JO396" s="409"/>
      <c r="JP396" s="411">
        <f>IF(JO396=0,0,IF($LB396=70%,VLOOKUP($JK396,'Jan-2026 rates'!$L:$R,4,0),IF($LB396=65%,VLOOKUP($JK396,'Jan-2026 rates'!$L:$R,4,0),IF($LB396=40%,VLOOKUP($JK396,'Jan-2026 rates'!$L:$R,5,0),IF($LB396=30%,VLOOKUP($JK396,'Jan-2026 rates'!$L:$R,6,0),IF($LB396=100%,VLOOKUP($JK396,'Jan-2026 rates'!$L:$R,7,0),IF($LB396=60%,VLOOKUP($JK396,'Jan-2026 rates'!$L:$S,8,0),IF($LB396=80%,VLOOKUP($JK396,'Jan-2026 rates'!L:T,9,0),0))))))))</f>
        <v>0</v>
      </c>
      <c r="JQ396" s="413" t="s">
        <v>1249</v>
      </c>
      <c r="JR396" s="412" t="s">
        <v>1122</v>
      </c>
      <c r="JS396" s="413"/>
      <c r="JT396" s="413"/>
      <c r="JU396" s="412"/>
      <c r="JV396" s="412"/>
      <c r="JW396" s="412"/>
      <c r="JX396" s="412"/>
      <c r="JY396" s="409">
        <v>20</v>
      </c>
      <c r="JZ396" s="398">
        <f>IF(JY396=0,0,IF(LEN(JQ396)=11,_xlfn.XLOOKUP(JQ396,'Dispensed Ink Rates'!C:C,'Dispensed Ink Rates'!CS:CS),VLOOKUP(JQ396,'Jan-2026 rates'!$E:$F,2,0)))</f>
        <v>0</v>
      </c>
      <c r="KA396" s="409">
        <v>4.42</v>
      </c>
      <c r="KB396" s="398">
        <f>IF(KA396=0,0,IF(LEN(JR396)=11,_xlfn.XLOOKUP(JR396,'Dispensed Ink Rates'!C:C,'Dispensed Ink Rates'!CS:CS),VLOOKUP(JR396,'Jan-2026 rates'!$E:$F,2,0)))</f>
        <v>0</v>
      </c>
      <c r="KC396" s="409"/>
      <c r="KD396" s="398">
        <f>IF(KC396=0,0,IF(LEN(JS396)=11,_xlfn.XLOOKUP(JS396,'Dispensed Ink Rates'!C:C,'Dispensed Ink Rates'!CS:CS),VLOOKUP(JS396,'Jan-2026 rates'!$E:$F,2,0)))</f>
        <v>0</v>
      </c>
      <c r="KE396" s="409"/>
      <c r="KF396" s="398">
        <f>IF(KE396=0,0,IF(LEN(JT396)=11,_xlfn.XLOOKUP(JT396,'Dispensed Ink Rates'!C:C,'Dispensed Ink Rates'!CS:CS),VLOOKUP(JT396,'Jan-2026 rates'!$E:$F,2,0)))</f>
        <v>0</v>
      </c>
      <c r="KG396" s="409"/>
      <c r="KH396" s="398">
        <f>IF(KG396=0,0,IF(LEN(JU396)=11,_xlfn.XLOOKUP(JU396,'Dispensed Ink Rates'!C:C,'Dispensed Ink Rates'!CS:CS),VLOOKUP(JU396,'Jan-2026 rates'!$E:$F,2,0)))</f>
        <v>0</v>
      </c>
      <c r="KI396" s="409"/>
      <c r="KJ396" s="398">
        <f>IF(KI396=0,0,IF(LEN(JV396)=11,_xlfn.XLOOKUP(JV396,'Dispensed Ink Rates'!C:C,'Dispensed Ink Rates'!CS:CS),VLOOKUP(JV396,'Jan-2026 rates'!$E:$F,2,0)))</f>
        <v>0</v>
      </c>
      <c r="KK396" s="409"/>
      <c r="KL396" s="398">
        <f>IF(KK396=0,0,IF(LEN(JW396)=11,_xlfn.XLOOKUP(JW396,'Dispensed Ink Rates'!C:C,'Dispensed Ink Rates'!CS:CS),VLOOKUP(JW396,'Jan-2026 rates'!$E:$F,2,0)))</f>
        <v>0</v>
      </c>
      <c r="KM396" s="428"/>
      <c r="KN396" s="398">
        <f>IF(KM396=0,0,IF(LEN(JX396)=11,_xlfn.XLOOKUP(JX396,'Dispensed Ink Rates'!C:C,'Dispensed Ink Rates'!CS:CS),VLOOKUP(JX396,'Jan-2026 rates'!$E:$F,2,0)))</f>
        <v>0</v>
      </c>
      <c r="KO396" s="409" t="s">
        <v>1881</v>
      </c>
      <c r="KP396" s="409">
        <v>20</v>
      </c>
      <c r="KQ396" s="411">
        <f t="shared" si="233"/>
        <v>0</v>
      </c>
      <c r="KR396" s="411">
        <f t="shared" si="234"/>
        <v>13.893684210526317</v>
      </c>
      <c r="KS396" s="410">
        <f t="shared" si="235"/>
        <v>0</v>
      </c>
      <c r="KT396" s="409">
        <v>2</v>
      </c>
      <c r="KU396" s="409">
        <v>3</v>
      </c>
      <c r="KV396" s="409">
        <v>10</v>
      </c>
      <c r="KW396" s="409">
        <v>2</v>
      </c>
      <c r="KX396" s="409">
        <v>5</v>
      </c>
      <c r="KY396" s="409">
        <v>0</v>
      </c>
      <c r="KZ396" s="409">
        <v>6</v>
      </c>
      <c r="LA396" s="409">
        <v>10</v>
      </c>
      <c r="LB396" s="415">
        <v>0.3</v>
      </c>
      <c r="LC396" s="415"/>
      <c r="LD396" s="424"/>
      <c r="LE396" s="415">
        <v>0.5</v>
      </c>
      <c r="LF396" s="415">
        <v>0.2</v>
      </c>
      <c r="LG396" s="409">
        <v>0</v>
      </c>
      <c r="LH396" s="409">
        <f>10+6+6+10+4</f>
        <v>36</v>
      </c>
      <c r="LI396" s="409">
        <v>0</v>
      </c>
      <c r="LJ396" s="409">
        <v>0</v>
      </c>
      <c r="LK396" s="416">
        <f t="shared" si="191"/>
        <v>36</v>
      </c>
      <c r="LL396" s="416">
        <f t="shared" si="349"/>
        <v>36</v>
      </c>
      <c r="LM396" s="417">
        <f t="shared" si="193"/>
        <v>10.799999999999999</v>
      </c>
      <c r="LN396" s="417">
        <f>VLOOKUP($LM$8,'Jan-2026 rates'!$H:$I,2,0)</f>
        <v>0</v>
      </c>
      <c r="LO396" s="417">
        <f t="shared" si="194"/>
        <v>0</v>
      </c>
      <c r="LP396" s="417">
        <f>VLOOKUP($LO$8,'Jan-2026 rates'!$H:$I,2,0)</f>
        <v>0</v>
      </c>
      <c r="LQ396" s="417">
        <f t="shared" si="195"/>
        <v>0</v>
      </c>
      <c r="LR396" s="417">
        <f>VLOOKUP($LQ$8,'Jan-2026 rates'!$H:$I,2,0)</f>
        <v>0</v>
      </c>
      <c r="LS396" s="417">
        <f t="shared" si="196"/>
        <v>18</v>
      </c>
      <c r="LT396" s="417">
        <f>VLOOKUP($LS$8,'Jan-2026 rates'!$H:$I,2,0)</f>
        <v>0</v>
      </c>
      <c r="LU396" s="417">
        <f t="shared" si="197"/>
        <v>7.2</v>
      </c>
      <c r="LV396" s="417">
        <f>VLOOKUP($LU$8,'Jan-2026 rates'!$H:$I,2,0)</f>
        <v>0</v>
      </c>
      <c r="LW396" s="417">
        <f t="shared" si="198"/>
        <v>0</v>
      </c>
      <c r="LX396" s="417">
        <f t="shared" si="199"/>
        <v>0</v>
      </c>
      <c r="LY396" s="418">
        <f t="shared" si="200"/>
        <v>0</v>
      </c>
      <c r="LZ396" s="417"/>
      <c r="MA396" s="435">
        <f t="shared" si="201"/>
        <v>86.02</v>
      </c>
      <c r="MB396" s="282">
        <f t="shared" si="202"/>
        <v>69.02000000000001</v>
      </c>
      <c r="MC396" s="283" t="s">
        <v>4997</v>
      </c>
      <c r="MD396" s="284" t="str">
        <f t="shared" si="203"/>
        <v>ToyoLiToyoLiToyoLiToyoLiToyoLiToyoLiToyoLiToyoLi</v>
      </c>
      <c r="ME396" s="293" t="str">
        <f t="shared" si="204"/>
        <v>+</v>
      </c>
      <c r="MF396" s="293" t="str">
        <f t="shared" si="205"/>
        <v>+</v>
      </c>
      <c r="MG396" s="293" t="str">
        <f t="shared" si="206"/>
        <v>+</v>
      </c>
      <c r="MH396" s="293" t="str">
        <f t="shared" si="207"/>
        <v>+</v>
      </c>
      <c r="MI396" s="293" t="str">
        <f t="shared" si="208"/>
        <v>+</v>
      </c>
      <c r="MJ396" s="293" t="str">
        <f t="shared" si="209"/>
        <v>+</v>
      </c>
      <c r="MK396" s="293" t="str">
        <f t="shared" si="210"/>
        <v>+</v>
      </c>
      <c r="ML396" s="293" t="str">
        <f t="shared" si="211"/>
        <v>+</v>
      </c>
      <c r="MM396" s="3" t="b">
        <f t="array" ref="MM396">OR(ME396:ML396="-")</f>
        <v>0</v>
      </c>
      <c r="MO396" s="401">
        <f t="shared" si="350"/>
        <v>95.861111111111128</v>
      </c>
      <c r="MP396" s="286"/>
      <c r="MR396" s="402">
        <f t="shared" si="351"/>
        <v>2.0915151515151519E-2</v>
      </c>
      <c r="MS396" s="400">
        <f t="shared" si="352"/>
        <v>0</v>
      </c>
      <c r="MT396" s="285"/>
      <c r="NH396" s="361"/>
      <c r="NJ396" s="282"/>
    </row>
    <row r="397" spans="1:374" ht="16.5">
      <c r="A397" s="403">
        <v>46053</v>
      </c>
      <c r="B397" s="404" t="s">
        <v>1015</v>
      </c>
      <c r="C397" s="405" t="s">
        <v>4998</v>
      </c>
      <c r="D397" s="404" t="s">
        <v>5006</v>
      </c>
      <c r="E397" s="404">
        <v>314</v>
      </c>
      <c r="F397" s="407">
        <v>18200</v>
      </c>
      <c r="G397" s="407" t="s">
        <v>1016</v>
      </c>
      <c r="H397" s="408" t="s">
        <v>1017</v>
      </c>
      <c r="I397" s="409">
        <v>1.43</v>
      </c>
      <c r="J397" s="405" t="s">
        <v>543</v>
      </c>
      <c r="K397" s="404" t="s">
        <v>4999</v>
      </c>
      <c r="L397" s="419" t="str">
        <f t="shared" si="184"/>
        <v>ToyoLi - BLACK</v>
      </c>
      <c r="M397" s="404">
        <v>20</v>
      </c>
      <c r="N397" s="410">
        <f>IF(M397=0,0,IF($LB397=70%,VLOOKUP($L397,'Jan-2026 rates'!$L:$R,4,0),IF($LB397=65%,VLOOKUP($L397,'Jan-2026 rates'!$L:$R,4,0),IF($LB397=40%,VLOOKUP($L397,'Jan-2026 rates'!$L:$R,5,0),IF($LB397=30%,VLOOKUP($L397,'Jan-2026 rates'!$L:$R,6,0),IF($LB397=100%,VLOOKUP($L397,'Jan-2026 rates'!$L:$R,7,0),IF($LB397=60%,VLOOKUP($L397,'Jan-2026 rates'!$L:$S,8,0),IF($LB397=80%,VLOOKUP($L397,'Jan-2026 rates'!L:T,9,0),0))))))))</f>
        <v>0</v>
      </c>
      <c r="O397" s="406"/>
      <c r="P397" s="404"/>
      <c r="Q397" s="410">
        <f>IF(P397=0,0,IF($LB397=70%,VLOOKUP($L397,'Jan-2026 rates'!$L:$R,4,0),IF($LB397=65%,VLOOKUP($L397,'Jan-2026 rates'!$L:$R,4,0),IF($LB397=40%,VLOOKUP($L397,'Jan-2026 rates'!$L:$R,5,0),IF($LB397=30%,VLOOKUP($L397,'Jan-2026 rates'!$L:$R,6,0),IF($LB397=100%,VLOOKUP($L397,'Jan-2026 rates'!$L:$R,7,0),IF($LB397=60%,VLOOKUP($L397,'Jan-2026 rates'!$L:$S,8,0),IF($LB397=80%,VLOOKUP($L397,'Jan-2026 rates'!L:T,9,0),0))))))))</f>
        <v>0</v>
      </c>
      <c r="R397" s="406" t="s">
        <v>1252</v>
      </c>
      <c r="S397" s="406"/>
      <c r="T397" s="406"/>
      <c r="U397" s="406"/>
      <c r="V397" s="406"/>
      <c r="W397" s="406"/>
      <c r="X397" s="406"/>
      <c r="Y397" s="406"/>
      <c r="Z397" s="404">
        <v>6</v>
      </c>
      <c r="AA397" s="398">
        <f>IF(Z397=0,0,IF(LEN(R397)=11,_xlfn.XLOOKUP(R397,'Dispensed Ink Rates'!C:C,'Dispensed Ink Rates'!CS:CS),VLOOKUP(R397,'Jan-2026 rates'!$E:$F,2,0)))</f>
        <v>0</v>
      </c>
      <c r="AB397" s="404"/>
      <c r="AC397" s="398">
        <f>IF(AB397=0,0,IF(LEN(S397)=11,_xlfn.XLOOKUP(S397,'Dispensed Ink Rates'!C:C,'Dispensed Ink Rates'!CS:CS),VLOOKUP(S397,'Jan-2026 rates'!$E:$F,2,0)))</f>
        <v>0</v>
      </c>
      <c r="AD397" s="404"/>
      <c r="AE397" s="398">
        <f>IF(AD397=0,0,IF(LEN(T397)=11,_xlfn.XLOOKUP(T397,'Dispensed Ink Rates'!C:C,'Dispensed Ink Rates'!CS:CS),VLOOKUP(T397,'Jan-2026 rates'!$E:$F,2,0)))</f>
        <v>0</v>
      </c>
      <c r="AF397" s="404"/>
      <c r="AG397" s="398">
        <f>IF(AF397=0,0,IF(LEN(U397)=11,_xlfn.XLOOKUP(U397,'Dispensed Ink Rates'!C:C,'Dispensed Ink Rates'!CS:CS),VLOOKUP(U397,'Jan-2026 rates'!$E:$F,2,0)))</f>
        <v>0</v>
      </c>
      <c r="AH397" s="404"/>
      <c r="AI397" s="398">
        <f>IF(AH397=0,0,IF(LEN(V397)=11,_xlfn.XLOOKUP(V397,'Dispensed Ink Rates'!C:C,'Dispensed Ink Rates'!CS:CS),VLOOKUP(V397,'Jan-2026 rates'!$E:$F,2,0)))</f>
        <v>0</v>
      </c>
      <c r="AJ397" s="404"/>
      <c r="AK397" s="398">
        <f>IF(AJ397=0,0,IF(LEN(W397)=11,_xlfn.XLOOKUP(W397,'Dispensed Ink Rates'!C:C,'Dispensed Ink Rates'!CS:CS),VLOOKUP(W397,'Jan-2026 rates'!$E:$F,2,0)))</f>
        <v>0</v>
      </c>
      <c r="AL397" s="404"/>
      <c r="AM397" s="398">
        <f>IF(AL397=0,0,IF(LEN(X397)=11,_xlfn.XLOOKUP(X397,'Dispensed Ink Rates'!C:C,'Dispensed Ink Rates'!CS:CS),VLOOKUP(X397,'Jan-2026 rates'!$E:$F,2,0)))</f>
        <v>0</v>
      </c>
      <c r="AN397" s="404"/>
      <c r="AO397" s="398">
        <f>IF(AN397=0,0,IF(LEN(Y397)=11,_xlfn.XLOOKUP(Y397,'Dispensed Ink Rates'!C:C,'Dispensed Ink Rates'!CS:CS),VLOOKUP(Y397,'Jan-2026 rates'!$E:$F,2,0)))</f>
        <v>0</v>
      </c>
      <c r="AP397" s="409" t="s">
        <v>1881</v>
      </c>
      <c r="AQ397" s="409">
        <v>22</v>
      </c>
      <c r="AR397" s="410">
        <f t="shared" si="212"/>
        <v>0</v>
      </c>
      <c r="AS397" s="411">
        <f t="shared" si="213"/>
        <v>10.379746835443036</v>
      </c>
      <c r="AT397" s="410">
        <f t="shared" si="214"/>
        <v>0</v>
      </c>
      <c r="AU397" s="405" t="s">
        <v>546</v>
      </c>
      <c r="AV397" s="409" t="s">
        <v>5000</v>
      </c>
      <c r="AW397" s="420" t="str">
        <f t="shared" si="348"/>
        <v>ToyoLi - REFLEX BLUE</v>
      </c>
      <c r="AX397" s="409">
        <v>10</v>
      </c>
      <c r="AY397" s="411">
        <f>IF(AX397=0,0,IF($LB397=70%,VLOOKUP($AW397,'Jan-2026 rates'!$L:$R,4,0),IF($LB397=65%,VLOOKUP($AW397,'Jan-2026 rates'!$L:$R,4,0),IF($LB397=40%,VLOOKUP($AW397,'Jan-2026 rates'!$L:$R,5,0),IF($LB397=30%,VLOOKUP($AW397,'Jan-2026 rates'!$L:$R,6,0),IF($LB397=100%,VLOOKUP($AW397,'Jan-2026 rates'!$L:$R,7,0),IF($LB397=60%,VLOOKUP($AW397,'Jan-2026 rates'!$L:$S,8,0),IF($LB397=80%,VLOOKUP($AW397,'Jan-2026 rates'!L:T,9,0),0))))))))</f>
        <v>0</v>
      </c>
      <c r="AZ397" s="412"/>
      <c r="BA397" s="409"/>
      <c r="BB397" s="411">
        <f>IF(BA397=0,0,IF($LB397=70%,VLOOKUP($AW397,'Jan-2026 rates'!$L:$R,4,0),IF($LB397=65%,VLOOKUP($AW397,'Jan-2026 rates'!$L:$R,4,0),IF($LB397=40%,VLOOKUP($AW397,'Jan-2026 rates'!$L:$R,5,0),IF($LB397=30%,VLOOKUP($AW397,'Jan-2026 rates'!$L:$R,6,0),IF($LB397=100%,VLOOKUP($AW397,'Jan-2026 rates'!$L:$R,7,0),IF($LB397=60%,VLOOKUP($AW397,'Jan-2026 rates'!$L:$S,8,0),IF($LB397=80%,VLOOKUP($AW397,'Jan-2026 rates'!L:T,9,0),0))))))))</f>
        <v>0</v>
      </c>
      <c r="BC397" s="413" t="s">
        <v>1921</v>
      </c>
      <c r="BD397" s="412" t="s">
        <v>1250</v>
      </c>
      <c r="BE397" s="412" t="s">
        <v>1246</v>
      </c>
      <c r="BF397" s="413" t="s">
        <v>1880</v>
      </c>
      <c r="BG397" s="412"/>
      <c r="BH397" s="412"/>
      <c r="BI397" s="412"/>
      <c r="BJ397" s="412"/>
      <c r="BK397" s="409">
        <v>5</v>
      </c>
      <c r="BL397" s="398">
        <f>IF(BK397=0,0,IF(LEN(BC397)=11,_xlfn.XLOOKUP(BC397,'Dispensed Ink Rates'!C:C,'Dispensed Ink Rates'!CS:CS),VLOOKUP(BC397,'Jan-2026 rates'!$E:$F,2,0)))</f>
        <v>0</v>
      </c>
      <c r="BM397" s="409">
        <v>4</v>
      </c>
      <c r="BN397" s="398">
        <f>IF(BM397=0,0,IF(LEN(BD397)=11,_xlfn.XLOOKUP(BD397,'Dispensed Ink Rates'!C:C,'Dispensed Ink Rates'!CS:CS),VLOOKUP(BD397,'Jan-2026 rates'!$E:$F,2,0)))</f>
        <v>0</v>
      </c>
      <c r="BO397" s="409">
        <f>3+2</f>
        <v>5</v>
      </c>
      <c r="BP397" s="398">
        <f>IF(BO397=0,0,IF(LEN(BE397)=11,_xlfn.XLOOKUP(BE397,'Dispensed Ink Rates'!C:C,'Dispensed Ink Rates'!CS:CS),VLOOKUP(BE397,'Jan-2026 rates'!$E:$F,2,0)))</f>
        <v>0</v>
      </c>
      <c r="BQ397" s="409">
        <f>4+3</f>
        <v>7</v>
      </c>
      <c r="BR397" s="398">
        <f>IF(BQ397=0,0,IF(LEN(BF397)=11,_xlfn.XLOOKUP(BF397,'Dispensed Ink Rates'!C:C,'Dispensed Ink Rates'!CS:CS),VLOOKUP(BF397,'Jan-2026 rates'!$E:$F,2,0)))</f>
        <v>0</v>
      </c>
      <c r="BS397" s="409"/>
      <c r="BT397" s="398">
        <f>IF(BS397=0,0,IF(LEN(BG397)=11,_xlfn.XLOOKUP(BG397,'Dispensed Ink Rates'!C:C,'Dispensed Ink Rates'!CS:CS),VLOOKUP(BG397,'Jan-2026 rates'!$E:$F,2,0)))</f>
        <v>0</v>
      </c>
      <c r="BU397" s="409"/>
      <c r="BV397" s="398">
        <f>IF(BU397=0,0,IF(LEN(BH397)=11,_xlfn.XLOOKUP(BH397,'Dispensed Ink Rates'!C:C,'Dispensed Ink Rates'!CS:CS),VLOOKUP(BH397,'Jan-2026 rates'!$E:$F,2,0)))</f>
        <v>0</v>
      </c>
      <c r="BW397" s="409"/>
      <c r="BX397" s="398">
        <f>IF(BW397=0,0,IF(LEN(BI397)=11,_xlfn.XLOOKUP(BI397,'Dispensed Ink Rates'!C:C,'Dispensed Ink Rates'!CS:CS),VLOOKUP(BI397,'Jan-2026 rates'!$E:$F,2,0)))</f>
        <v>0</v>
      </c>
      <c r="BY397" s="409"/>
      <c r="BZ397" s="398">
        <f>IF(BY397=0,0,IF(LEN(BJ397)=11,_xlfn.XLOOKUP(BJ397,'Dispensed Ink Rates'!C:C,'Dispensed Ink Rates'!CS:CS),VLOOKUP(BJ397,'Jan-2026 rates'!$E:$F,2,0)))</f>
        <v>0</v>
      </c>
      <c r="CA397" s="409" t="s">
        <v>1881</v>
      </c>
      <c r="CB397" s="409">
        <f>18+19</f>
        <v>37</v>
      </c>
      <c r="CC397" s="411">
        <f t="shared" si="215"/>
        <v>0</v>
      </c>
      <c r="CD397" s="411">
        <f t="shared" si="216"/>
        <v>8.3544303797468373</v>
      </c>
      <c r="CE397" s="410">
        <f t="shared" si="217"/>
        <v>0</v>
      </c>
      <c r="CF397" s="404" t="s">
        <v>857</v>
      </c>
      <c r="CG397" s="409" t="s">
        <v>5001</v>
      </c>
      <c r="CH397" s="420" t="str">
        <f t="shared" si="185"/>
        <v>ToyoLi - RED</v>
      </c>
      <c r="CI397" s="409">
        <v>12</v>
      </c>
      <c r="CJ397" s="411">
        <f>IF(CI397=0,0,IF($LB397=70%,VLOOKUP($CH397,'Jan-2026 rates'!$L:$R,4,0),IF($LB397=65%,VLOOKUP($CH397,'Jan-2026 rates'!$L:$R,4,0),IF($LB397=40%,VLOOKUP($CH397,'Jan-2026 rates'!$L:$R,5,0),IF($LB397=30%,VLOOKUP($CH397,'Jan-2026 rates'!$L:$R,6,0),IF($LB397=100%,VLOOKUP($CH397,'Jan-2026 rates'!$L:$R,7,0),IF($LB397=60%,VLOOKUP($CH397,'Jan-2026 rates'!$L:$S,8,0),IF($LB397=80%,VLOOKUP($CH397,'Jan-2026 rates'!L:T,9,0),0))))))))</f>
        <v>0</v>
      </c>
      <c r="CK397" s="412"/>
      <c r="CL397" s="409"/>
      <c r="CM397" s="411">
        <f>IF(CL397=0,0,IF($LB397=70%,VLOOKUP($CH397,'Jan-2026 rates'!$L:$R,4,0),IF($LB397=65%,VLOOKUP($CH397,'Jan-2026 rates'!$L:$R,4,0),IF($LB397=40%,VLOOKUP($CH397,'Jan-2026 rates'!$L:$R,5,0),IF($LB397=30%,VLOOKUP($CH397,'Jan-2026 rates'!$L:$R,6,0),IF($LB397=100%,VLOOKUP($CH397,'Jan-2026 rates'!$L:$R,7,0),IF($LB397=60%,VLOOKUP($CH397,'Jan-2026 rates'!$L:$S,8,0),IF($LB397=80%,VLOOKUP($CH397,'Jan-2026 rates'!L:T,9,0),0))))))))</f>
        <v>0</v>
      </c>
      <c r="CN397" s="426" t="s">
        <v>1248</v>
      </c>
      <c r="CO397" s="427" t="s">
        <v>1246</v>
      </c>
      <c r="CP397" s="426"/>
      <c r="CQ397" s="426"/>
      <c r="CR397" s="428"/>
      <c r="CS397" s="428"/>
      <c r="CT397" s="428"/>
      <c r="CU397" s="428"/>
      <c r="CV397" s="409">
        <f>7+4</f>
        <v>11</v>
      </c>
      <c r="CW397" s="398">
        <f>IF(CV397=0,0,IF(LEN(CN397)=11,_xlfn.XLOOKUP(CN397,'Dispensed Ink Rates'!C:C,'Dispensed Ink Rates'!CS:CS),VLOOKUP(CN397,'Jan-2026 rates'!$E:$F,2,0)))</f>
        <v>0</v>
      </c>
      <c r="CX397" s="409">
        <f>8+5</f>
        <v>13</v>
      </c>
      <c r="CY397" s="398">
        <f>IF(CX397=0,0,IF(LEN(CO397)=11,_xlfn.XLOOKUP(CO397,'Dispensed Ink Rates'!C:C,'Dispensed Ink Rates'!CS:CS),VLOOKUP(CO397,'Jan-2026 rates'!$E:$F,2,0)))</f>
        <v>0</v>
      </c>
      <c r="CZ397" s="409"/>
      <c r="DA397" s="398">
        <f>IF(CZ397=0,0,IF(LEN(CP397)=11,_xlfn.XLOOKUP(CP397,'Dispensed Ink Rates'!C:C,'Dispensed Ink Rates'!CS:CS),VLOOKUP(CP397,'Jan-2026 rates'!$E:$F,2,0)))</f>
        <v>0</v>
      </c>
      <c r="DB397" s="409"/>
      <c r="DC397" s="398">
        <f>IF(DB397=0,0,IF(LEN(CQ397)=11,_xlfn.XLOOKUP(CQ397,'Dispensed Ink Rates'!C:C,'Dispensed Ink Rates'!CS:CS),VLOOKUP(CQ397,'Jan-2026 rates'!$E:$F,2,0)))</f>
        <v>0</v>
      </c>
      <c r="DD397" s="409"/>
      <c r="DE397" s="398">
        <f>IF(DD397=0,0,IF(LEN(CR397)=11,_xlfn.XLOOKUP(CR397,'Dispensed Ink Rates'!C:C,'Dispensed Ink Rates'!CS:CS),VLOOKUP(CR397,'Jan-2026 rates'!$E:$F,2,0)))</f>
        <v>0</v>
      </c>
      <c r="DF397" s="409"/>
      <c r="DG397" s="398">
        <f>IF(DF397=0,0,IF(LEN(CS397)=11,_xlfn.XLOOKUP(CS397,'Dispensed Ink Rates'!C:C,'Dispensed Ink Rates'!CS:CS),VLOOKUP(CS397,'Jan-2026 rates'!$E:$F,2,0)))</f>
        <v>0</v>
      </c>
      <c r="DH397" s="409"/>
      <c r="DI397" s="398">
        <f>IF(DH397=0,0,IF(LEN(CT397)=11,_xlfn.XLOOKUP(CT397,'Dispensed Ink Rates'!C:C,'Dispensed Ink Rates'!CS:CS),VLOOKUP(CT397,'Jan-2026 rates'!$E:$F,2,0)))</f>
        <v>0</v>
      </c>
      <c r="DJ397" s="409"/>
      <c r="DK397" s="398">
        <f>IF(DJ397=0,0,IF(LEN(CU397)=11,_xlfn.XLOOKUP(CU397,'Dispensed Ink Rates'!C:C,'Dispensed Ink Rates'!CS:CS),VLOOKUP(CU397,'Jan-2026 rates'!$E:$F,2,0)))</f>
        <v>0</v>
      </c>
      <c r="DL397" s="409" t="s">
        <v>1881</v>
      </c>
      <c r="DM397" s="409">
        <v>25</v>
      </c>
      <c r="DN397" s="411">
        <f t="shared" si="218"/>
        <v>0</v>
      </c>
      <c r="DO397" s="411">
        <f t="shared" si="219"/>
        <v>25.354430379746837</v>
      </c>
      <c r="DP397" s="410">
        <f t="shared" si="220"/>
        <v>0</v>
      </c>
      <c r="DQ397" s="405" t="s">
        <v>547</v>
      </c>
      <c r="DR397" s="409" t="s">
        <v>5002</v>
      </c>
      <c r="DS397" s="420" t="str">
        <f t="shared" si="186"/>
        <v>ToyoLi - GREEN</v>
      </c>
      <c r="DT397" s="409">
        <v>15</v>
      </c>
      <c r="DU397" s="411">
        <f>IF(DT397=0,0,IF($LB397=70%,VLOOKUP($DS397,'Jan-2026 rates'!$L:$R,4,0),IF($LB397=65%,VLOOKUP($DS397,'Jan-2026 rates'!$L:$R,4,0),IF($LB397=40%,VLOOKUP($DS397,'Jan-2026 rates'!$L:$R,5,0),IF($LB397=30%,VLOOKUP($DS397,'Jan-2026 rates'!$L:$R,6,0),IF($LB397=100%,VLOOKUP($DS397,'Jan-2026 rates'!$L:$R,7,0),IF($LB397=60%,VLOOKUP($DS397,'Jan-2026 rates'!$L:$S,8,0),IF($LB397=80%,VLOOKUP($DS397,'Jan-2026 rates'!L:T,9,0),0))))))))</f>
        <v>0</v>
      </c>
      <c r="DV397" s="412"/>
      <c r="DW397" s="409"/>
      <c r="DX397" s="411">
        <f>IF(DW397=0,0,IF($LB397=70%,VLOOKUP($DS397,'Jan-2026 rates'!$L:$R,4,0),IF($LB397=65%,VLOOKUP($DS397,'Jan-2026 rates'!$L:$R,4,0),IF($LB397=40%,VLOOKUP($DS397,'Jan-2026 rates'!$L:$R,5,0),IF($LB397=30%,VLOOKUP($DS397,'Jan-2026 rates'!$L:$R,6,0),IF($LB397=100%,VLOOKUP($DS397,'Jan-2026 rates'!$L:$R,7,0),IF($LB397=60%,VLOOKUP($DS397,'Jan-2026 rates'!$L:$S,8,0),IF($LB397=80%,VLOOKUP($DS397,'Jan-2026 rates'!L:T,9,0),0))))))))</f>
        <v>0</v>
      </c>
      <c r="DY397" s="413" t="s">
        <v>1247</v>
      </c>
      <c r="DZ397" s="413" t="s">
        <v>1250</v>
      </c>
      <c r="EA397" s="412"/>
      <c r="EB397" s="412"/>
      <c r="EC397" s="412"/>
      <c r="ED397" s="412"/>
      <c r="EE397" s="412"/>
      <c r="EF397" s="412"/>
      <c r="EG397" s="409">
        <v>5</v>
      </c>
      <c r="EH397" s="398">
        <f>IF(EG397=0,0,IF(LEN(DY397)=11,_xlfn.XLOOKUP(DY397,'Dispensed Ink Rates'!C:C,'Dispensed Ink Rates'!CS:CS),VLOOKUP(DY397,'Jan-2026 rates'!$E:$F,2,0)))</f>
        <v>0</v>
      </c>
      <c r="EI397" s="409">
        <v>3</v>
      </c>
      <c r="EJ397" s="398">
        <f>IF(EI397=0,0,IF(LEN(DZ397)=11,_xlfn.XLOOKUP(DZ397,'Dispensed Ink Rates'!C:C,'Dispensed Ink Rates'!CS:CS),VLOOKUP(DZ397,'Jan-2026 rates'!$E:$F,2,0)))</f>
        <v>0</v>
      </c>
      <c r="EK397" s="409"/>
      <c r="EL397" s="398">
        <f>IF(EK397=0,0,IF(LEN(EA397)=11,_xlfn.XLOOKUP(EA397,'Dispensed Ink Rates'!C:C,'Dispensed Ink Rates'!CS:CS),VLOOKUP(EA397,'Jan-2026 rates'!$E:$F,2,0)))</f>
        <v>0</v>
      </c>
      <c r="EM397" s="409"/>
      <c r="EN397" s="398">
        <f>IF(EM397=0,0,IF(LEN(EB397)=11,_xlfn.XLOOKUP(EB397,'Dispensed Ink Rates'!C:C,'Dispensed Ink Rates'!CS:CS),VLOOKUP(EB397,'Jan-2026 rates'!$E:$F,2,0)))</f>
        <v>0</v>
      </c>
      <c r="EO397" s="409"/>
      <c r="EP397" s="398">
        <f>IF(EO397=0,0,IF(LEN(EC397)=11,_xlfn.XLOOKUP(EC397,'Dispensed Ink Rates'!C:C,'Dispensed Ink Rates'!CS:CS),VLOOKUP(EC397,'Jan-2026 rates'!$E:$F,2,0)))</f>
        <v>0</v>
      </c>
      <c r="EQ397" s="409"/>
      <c r="ER397" s="398">
        <f>IF(EQ397=0,0,IF(LEN(ED397)=11,_xlfn.XLOOKUP(ED397,'Dispensed Ink Rates'!C:C,'Dispensed Ink Rates'!CS:CS),VLOOKUP(ED397,'Jan-2026 rates'!$E:$F,2,0)))</f>
        <v>0</v>
      </c>
      <c r="ES397" s="409"/>
      <c r="ET397" s="398">
        <f>IF(ES397=0,0,IF(LEN(EE397)=11,_xlfn.XLOOKUP(EE397,'Dispensed Ink Rates'!C:C,'Dispensed Ink Rates'!CS:CS),VLOOKUP(EE397,'Jan-2026 rates'!$E:$F,2,0)))</f>
        <v>0</v>
      </c>
      <c r="EU397" s="409"/>
      <c r="EV397" s="398">
        <f>IF(EU397=0,0,IF(LEN(EF397)=11,_xlfn.XLOOKUP(EF397,'Dispensed Ink Rates'!C:C,'Dispensed Ink Rates'!CS:CS),VLOOKUP(EF397,'Jan-2026 rates'!$E:$F,2,0)))</f>
        <v>0</v>
      </c>
      <c r="EW397" s="409" t="s">
        <v>1881</v>
      </c>
      <c r="EX397" s="409">
        <f>12+10</f>
        <v>22</v>
      </c>
      <c r="EY397" s="411">
        <f t="shared" si="221"/>
        <v>0</v>
      </c>
      <c r="EZ397" s="411">
        <f t="shared" si="222"/>
        <v>7.3797468354430364</v>
      </c>
      <c r="FA397" s="410">
        <f t="shared" si="223"/>
        <v>0</v>
      </c>
      <c r="FB397" s="405" t="s">
        <v>828</v>
      </c>
      <c r="FC397" s="409"/>
      <c r="FD397" s="420" t="str">
        <f t="shared" si="187"/>
        <v>ToyoLi - ORANGE</v>
      </c>
      <c r="FE397" s="409"/>
      <c r="FF397" s="411">
        <f>IF(FE397=0,0,IF($LB397=70%,VLOOKUP($FD397,'Jan-2026 rates'!$L:$R,4,0),IF($LB397=65%,VLOOKUP($FD397,'Jan-2026 rates'!$L:$R,4,0),IF($LB397=40%,VLOOKUP($FD397,'Jan-2026 rates'!$L:$R,5,0),IF($LB397=30%,VLOOKUP($FD397,'Jan-2026 rates'!$L:$R,6,0),IF($LB397=100%,VLOOKUP($FD397,'Jan-2026 rates'!$L:$R,7,0),IF($LB397=60%,VLOOKUP($FD397,'Jan-2026 rates'!$L:$S,8,0),IF($LB397=80%,VLOOKUP($FD397,'Jan-2026 rates'!L:T,9,0),0))))))))</f>
        <v>0</v>
      </c>
      <c r="FG397" s="412"/>
      <c r="FH397" s="409"/>
      <c r="FI397" s="411">
        <f>IF(FH397=0,0,IF($LB397=70%,VLOOKUP($FD397,'Jan-2026 rates'!$L:$R,4,0),IF($LB397=65%,VLOOKUP($FD397,'Jan-2026 rates'!$L:$R,4,0),IF($LB397=40%,VLOOKUP($FD397,'Jan-2026 rates'!$L:$R,5,0),IF($LB397=30%,VLOOKUP($FD397,'Jan-2026 rates'!$L:$R,6,0),IF($LB397=100%,VLOOKUP($FD397,'Jan-2026 rates'!$L:$R,7,0),IF($LB397=60%,VLOOKUP($FD397,'Jan-2026 rates'!$L:$S,8,0),IF($LB397=80%,VLOOKUP($FD397,'Jan-2026 rates'!L:T,9,0),0))))))))</f>
        <v>0</v>
      </c>
      <c r="FJ397" s="413" t="s">
        <v>1247</v>
      </c>
      <c r="FK397" s="413" t="s">
        <v>1248</v>
      </c>
      <c r="FL397" s="413" t="s">
        <v>1921</v>
      </c>
      <c r="FM397" s="412"/>
      <c r="FN397" s="412"/>
      <c r="FO397" s="412"/>
      <c r="FP397" s="412"/>
      <c r="FQ397" s="412"/>
      <c r="FR397" s="409">
        <f>15+3</f>
        <v>18</v>
      </c>
      <c r="FS397" s="398">
        <f>IF(FR397=0,0,IF(LEN(FJ397)=11,_xlfn.XLOOKUP(FJ397,'Dispensed Ink Rates'!C:C,'Dispensed Ink Rates'!CS:CS),VLOOKUP(FJ397,'Jan-2026 rates'!$E:$F,2,0)))</f>
        <v>0</v>
      </c>
      <c r="FT397" s="409">
        <f>8+1</f>
        <v>9</v>
      </c>
      <c r="FU397" s="398">
        <f>IF(FT397=0,0,IF(LEN(FK397)=11,_xlfn.XLOOKUP(FK397,'Dispensed Ink Rates'!C:C,'Dispensed Ink Rates'!CS:CS),VLOOKUP(FK397,'Jan-2026 rates'!$E:$F,2,0)))</f>
        <v>0</v>
      </c>
      <c r="FV397" s="409">
        <f>5+2</f>
        <v>7</v>
      </c>
      <c r="FW397" s="398">
        <f>IF(FV397=0,0,IF(LEN(FL397)=11,_xlfn.XLOOKUP(FL397,'Dispensed Ink Rates'!C:C,'Dispensed Ink Rates'!CS:CS),VLOOKUP(FL397,'Jan-2026 rates'!$E:$F,2,0)))</f>
        <v>0</v>
      </c>
      <c r="FX397" s="409"/>
      <c r="FY397" s="398">
        <f>IF(FX397=0,0,IF(LEN(FM397)=11,_xlfn.XLOOKUP(FM397,'Dispensed Ink Rates'!C:C,'Dispensed Ink Rates'!CS:CS),VLOOKUP(FM397,'Jan-2026 rates'!$E:$F,2,0)))</f>
        <v>0</v>
      </c>
      <c r="FZ397" s="409"/>
      <c r="GA397" s="398">
        <f>IF(FZ397=0,0,IF(LEN(FN397)=11,_xlfn.XLOOKUP(FN397,'Dispensed Ink Rates'!C:C,'Dispensed Ink Rates'!CS:CS),VLOOKUP(FN397,'Jan-2026 rates'!$E:$F,2,0)))</f>
        <v>0</v>
      </c>
      <c r="GB397" s="409"/>
      <c r="GC397" s="398">
        <f>IF(GB397=0,0,IF(LEN(FO397)=11,_xlfn.XLOOKUP(FO397,'Dispensed Ink Rates'!C:C,'Dispensed Ink Rates'!CS:CS),VLOOKUP(FO397,'Jan-2026 rates'!$E:$F,2,0)))</f>
        <v>0</v>
      </c>
      <c r="GD397" s="409"/>
      <c r="GE397" s="398">
        <f>IF(GD397=0,0,IF(LEN(FP397)=11,_xlfn.XLOOKUP(FP397,'Dispensed Ink Rates'!C:C,'Dispensed Ink Rates'!CS:CS),VLOOKUP(FP397,'Jan-2026 rates'!$E:$F,2,0)))</f>
        <v>0</v>
      </c>
      <c r="GF397" s="409"/>
      <c r="GG397" s="398">
        <f>IF(GF397=0,0,IF(LEN(FQ397)=11,_xlfn.XLOOKUP(FQ397,'Dispensed Ink Rates'!C:C,'Dispensed Ink Rates'!CS:CS),VLOOKUP(FQ397,'Jan-2026 rates'!$E:$F,2,0)))</f>
        <v>0</v>
      </c>
      <c r="GH397" s="409" t="s">
        <v>1881</v>
      </c>
      <c r="GI397" s="409">
        <v>20</v>
      </c>
      <c r="GJ397" s="411">
        <f t="shared" si="224"/>
        <v>0</v>
      </c>
      <c r="GK397" s="411">
        <f t="shared" si="225"/>
        <v>42.708860759493675</v>
      </c>
      <c r="GL397" s="410">
        <f t="shared" si="226"/>
        <v>0</v>
      </c>
      <c r="GM397" s="405" t="s">
        <v>545</v>
      </c>
      <c r="GN397" s="409" t="s">
        <v>5003</v>
      </c>
      <c r="GO397" s="420" t="str">
        <f t="shared" si="188"/>
        <v>ToyoLi - YELLOW</v>
      </c>
      <c r="GP397" s="409">
        <v>22</v>
      </c>
      <c r="GQ397" s="411">
        <f>IF(GP397=0,0,IF($LB397=70%,VLOOKUP($GO397,'Jan-2026 rates'!$L:$R,4,0),IF($LB397=65%,VLOOKUP($GO397,'Jan-2026 rates'!$L:$R,4,0),IF($LB397=40%,VLOOKUP($GO397,'Jan-2026 rates'!$L:$R,5,0),IF($LB397=30%,VLOOKUP($GO397,'Jan-2026 rates'!$L:$R,6,0),IF($LB397=100%,VLOOKUP($GO397,'Jan-2026 rates'!$L:$R,7,0),IF($LB397=60%,VLOOKUP($GO397,'Jan-2026 rates'!$L:$S,8,0),IF($LB397=80%,VLOOKUP($GO397,'Jan-2026 rates'!L:T,9,0),0))))))))</f>
        <v>0</v>
      </c>
      <c r="GR397" s="412"/>
      <c r="GS397" s="409"/>
      <c r="GT397" s="411">
        <f>IF(GS397=0,0,IF($LB397=70%,VLOOKUP($GO397,'Jan-2026 rates'!$L:$R,4,0),IF($LB397=65%,VLOOKUP($GO397,'Jan-2026 rates'!$L:$R,4,0),IF($LB397=40%,VLOOKUP($GO397,'Jan-2026 rates'!$L:$R,5,0),IF($LB397=30%,VLOOKUP($GO397,'Jan-2026 rates'!$L:$R,6,0),IF($LB397=100%,VLOOKUP($GO397,'Jan-2026 rates'!$L:$R,7,0),IF($LB397=60%,VLOOKUP($GO397,'Jan-2026 rates'!$L:$S,8,0),IF($LB397=80%,VLOOKUP($GO397,'Jan-2026 rates'!L:T,9,0),0))))))))</f>
        <v>0</v>
      </c>
      <c r="GU397" s="413" t="s">
        <v>1247</v>
      </c>
      <c r="GV397" s="413"/>
      <c r="GW397" s="412"/>
      <c r="GX397" s="412"/>
      <c r="GY397" s="412"/>
      <c r="GZ397" s="412"/>
      <c r="HA397" s="412"/>
      <c r="HB397" s="412"/>
      <c r="HC397" s="409">
        <v>4</v>
      </c>
      <c r="HD397" s="398">
        <f>IF(HC397=0,0,IF(LEN(GU397)=11,_xlfn.XLOOKUP(GU397,'Dispensed Ink Rates'!C:C,'Dispensed Ink Rates'!CS:CS),VLOOKUP(GU397,'Jan-2026 rates'!$E:$F,2,0)))</f>
        <v>0</v>
      </c>
      <c r="HE397" s="409"/>
      <c r="HF397" s="398">
        <f>IF(HE397=0,0,IF(LEN(GV397)=11,_xlfn.XLOOKUP(GV397,'Dispensed Ink Rates'!C:C,'Dispensed Ink Rates'!CS:CS),VLOOKUP(GV397,'Jan-2026 rates'!$E:$F,2,0)))</f>
        <v>0</v>
      </c>
      <c r="HG397" s="409"/>
      <c r="HH397" s="398">
        <f>IF(HG397=0,0,IF(LEN(GW397)=11,_xlfn.XLOOKUP(GW397,'Dispensed Ink Rates'!C:C,'Dispensed Ink Rates'!CS:CS),VLOOKUP(GW397,'Jan-2026 rates'!$E:$F,2,0)))</f>
        <v>0</v>
      </c>
      <c r="HI397" s="409"/>
      <c r="HJ397" s="398">
        <f>IF(HI397=0,0,IF(LEN(GX397)=11,_xlfn.XLOOKUP(GX397,'Dispensed Ink Rates'!C:C,'Dispensed Ink Rates'!CS:CS),VLOOKUP(GX397,'Jan-2026 rates'!$E:$F,2,0)))</f>
        <v>0</v>
      </c>
      <c r="HK397" s="409"/>
      <c r="HL397" s="398">
        <f>IF(HK397=0,0,IF(LEN(GY397)=11,_xlfn.XLOOKUP(GY397,'Dispensed Ink Rates'!C:C,'Dispensed Ink Rates'!CS:CS),VLOOKUP(GY397,'Jan-2026 rates'!$E:$F,2,0)))</f>
        <v>0</v>
      </c>
      <c r="HM397" s="409"/>
      <c r="HN397" s="398">
        <f>IF(HM397=0,0,IF(LEN(GZ397)=11,_xlfn.XLOOKUP(GZ397,'Dispensed Ink Rates'!C:C,'Dispensed Ink Rates'!CS:CS),VLOOKUP(GZ397,'Jan-2026 rates'!$E:$F,2,0)))</f>
        <v>0</v>
      </c>
      <c r="HO397" s="409"/>
      <c r="HP397" s="398">
        <f>IF(HO397=0,0,IF(LEN(HA397)=11,_xlfn.XLOOKUP(HA397,'Dispensed Ink Rates'!C:C,'Dispensed Ink Rates'!CS:CS),VLOOKUP(HA397,'Jan-2026 rates'!$E:$F,2,0)))</f>
        <v>0</v>
      </c>
      <c r="HQ397" s="409"/>
      <c r="HR397" s="398">
        <f>IF(HQ397=0,0,IF(LEN(HB397)=11,_xlfn.XLOOKUP(HB397,'Dispensed Ink Rates'!C:C,'Dispensed Ink Rates'!CS:CS),VLOOKUP(HB397,'Jan-2026 rates'!$E:$F,2,0)))</f>
        <v>0</v>
      </c>
      <c r="HS397" s="409" t="s">
        <v>1881</v>
      </c>
      <c r="HT397" s="409">
        <v>26</v>
      </c>
      <c r="HU397" s="411">
        <f t="shared" si="227"/>
        <v>0</v>
      </c>
      <c r="HV397" s="411">
        <f t="shared" si="228"/>
        <v>4.7848101265822791</v>
      </c>
      <c r="HW397" s="414">
        <f t="shared" si="229"/>
        <v>0</v>
      </c>
      <c r="HX397" s="405" t="s">
        <v>548</v>
      </c>
      <c r="HY397" s="409" t="s">
        <v>5004</v>
      </c>
      <c r="HZ397" s="420" t="str">
        <f t="shared" si="189"/>
        <v>ToyoLi - GOLD</v>
      </c>
      <c r="IA397" s="409">
        <v>19</v>
      </c>
      <c r="IB397" s="411">
        <f>IF(IA397=0,0,IF($LB397=70%,VLOOKUP($HZ397,'Jan-2026 rates'!$L:$R,4,0),IF($LB397=65%,VLOOKUP($HZ397,'Jan-2026 rates'!$L:$R,4,0),IF($LB397=40%,VLOOKUP($HZ397,'Jan-2026 rates'!$L:$R,5,0),IF($LB397=30%,VLOOKUP($HZ397,'Jan-2026 rates'!$L:$R,6,0),IF($LB397=100%,VLOOKUP($HZ397,'Jan-2026 rates'!$L:$R,7,0),IF($LB397=60%,VLOOKUP($HZ397,'Jan-2026 rates'!$L:$S,8,0),IF($LB397=80%,VLOOKUP($HZ397,'Jan-2026 rates'!L:T,9,0),0))))))))</f>
        <v>0</v>
      </c>
      <c r="IC397" s="412"/>
      <c r="ID397" s="409"/>
      <c r="IE397" s="411">
        <f>IF(ID397=0,0,IF($LB397=70%,VLOOKUP($HZ397,'Jan-2026 rates'!$L:$R,4,0),IF($LB397=65%,VLOOKUP($HZ397,'Jan-2026 rates'!$L:$R,4,0),IF($LB397=40%,VLOOKUP($HZ397,'Jan-2026 rates'!$L:$R,5,0),IF($LB397=30%,VLOOKUP($HZ397,'Jan-2026 rates'!$L:$R,6,0),IF($LB397=100%,VLOOKUP($HZ397,'Jan-2026 rates'!$L:$R,7,0),IF($LB397=60%,VLOOKUP($HZ397,'Jan-2026 rates'!$L:$S,8,0),IF($LB397=80%,VLOOKUP($HZ397,'Jan-2026 rates'!L:T,9,0),0))))))))</f>
        <v>0</v>
      </c>
      <c r="IF397" s="412" t="s">
        <v>1891</v>
      </c>
      <c r="IG397" s="413" t="s">
        <v>1247</v>
      </c>
      <c r="IH397" s="412"/>
      <c r="II397" s="412"/>
      <c r="IJ397" s="412"/>
      <c r="IK397" s="412"/>
      <c r="IL397" s="412"/>
      <c r="IM397" s="412"/>
      <c r="IN397" s="409">
        <f>10+4</f>
        <v>14</v>
      </c>
      <c r="IO397" s="398">
        <f>IF(IN397=0,0,IF(LEN(IF397)=11,_xlfn.XLOOKUP(IF397,'Dispensed Ink Rates'!C:C,'Dispensed Ink Rates'!CS:CS),VLOOKUP(IF397,'Jan-2026 rates'!$E:$F,2,0)))</f>
        <v>0</v>
      </c>
      <c r="IP397" s="409">
        <v>5</v>
      </c>
      <c r="IQ397" s="398">
        <f>IF(IP397=0,0,IF(LEN(IG397)=11,_xlfn.XLOOKUP(IG397,'Dispensed Ink Rates'!C:C,'Dispensed Ink Rates'!CS:CS),VLOOKUP(IG397,'Jan-2026 rates'!$E:$F,2,0)))</f>
        <v>0</v>
      </c>
      <c r="IR397" s="409"/>
      <c r="IS397" s="398">
        <f>IF(IR397=0,0,IF(LEN(IH397)=11,_xlfn.XLOOKUP(IH397,'Dispensed Ink Rates'!C:C,'Dispensed Ink Rates'!CS:CS),VLOOKUP(IH397,'Jan-2026 rates'!$E:$F,2,0)))</f>
        <v>0</v>
      </c>
      <c r="IT397" s="409"/>
      <c r="IU397" s="398">
        <f>IF(IT397=0,0,IF(LEN(II397)=11,_xlfn.XLOOKUP(II397,'Dispensed Ink Rates'!C:C,'Dispensed Ink Rates'!CS:CS),VLOOKUP(II397,'Jan-2026 rates'!$E:$F,2,0)))</f>
        <v>0</v>
      </c>
      <c r="IV397" s="409"/>
      <c r="IW397" s="398">
        <f>IF(IV397=0,0,IF(LEN(IJ397)=11,_xlfn.XLOOKUP(IJ397,'Dispensed Ink Rates'!C:C,'Dispensed Ink Rates'!CS:CS),VLOOKUP(IJ397,'Jan-2026 rates'!$E:$F,2,0)))</f>
        <v>0</v>
      </c>
      <c r="IX397" s="409"/>
      <c r="IY397" s="398">
        <f>IF(IX397=0,0,IF(LEN(IK397)=11,_xlfn.XLOOKUP(IK397,'Dispensed Ink Rates'!C:C,'Dispensed Ink Rates'!CS:CS),VLOOKUP(IK397,'Jan-2026 rates'!$E:$F,2,0)))</f>
        <v>0</v>
      </c>
      <c r="IZ397" s="409"/>
      <c r="JA397" s="398">
        <f>IF(IZ397=0,0,IF(LEN(IL397)=11,_xlfn.XLOOKUP(IL397,'Dispensed Ink Rates'!C:C,'Dispensed Ink Rates'!CS:CS),VLOOKUP(IL397,'Jan-2026 rates'!$E:$F,2,0)))</f>
        <v>0</v>
      </c>
      <c r="JB397" s="409"/>
      <c r="JC397" s="398">
        <f>IF(JB397=0,0,IF(LEN(IM397)=11,_xlfn.XLOOKUP(IM397,'Dispensed Ink Rates'!C:C,'Dispensed Ink Rates'!CS:CS),VLOOKUP(IM397,'Jan-2026 rates'!$E:$F,2,0)))</f>
        <v>0</v>
      </c>
      <c r="JD397" s="409" t="s">
        <v>1881</v>
      </c>
      <c r="JE397" s="409">
        <v>25</v>
      </c>
      <c r="JF397" s="411">
        <f t="shared" si="230"/>
        <v>0</v>
      </c>
      <c r="JG397" s="411">
        <f t="shared" si="231"/>
        <v>24.164556962025316</v>
      </c>
      <c r="JH397" s="410">
        <f t="shared" si="232"/>
        <v>0</v>
      </c>
      <c r="JI397" s="405" t="s">
        <v>856</v>
      </c>
      <c r="JJ397" s="409" t="s">
        <v>5005</v>
      </c>
      <c r="JK397" s="420" t="str">
        <f t="shared" si="190"/>
        <v>ToyoLi - WHITE</v>
      </c>
      <c r="JL397" s="409">
        <v>27</v>
      </c>
      <c r="JM397" s="411">
        <f>IF(JL397=0,0,IF($LB397=70%,VLOOKUP($JK397,'Jan-2026 rates'!$L:$R,4,0),IF($LB397=65%,VLOOKUP($JK397,'Jan-2026 rates'!$L:$R,4,0),IF($LB397=40%,VLOOKUP($JK397,'Jan-2026 rates'!$L:$R,5,0),IF($LB397=30%,VLOOKUP($JK397,'Jan-2026 rates'!$L:$R,6,0),IF($LB397=100%,VLOOKUP($JK397,'Jan-2026 rates'!$L:$R,7,0),IF($LB397=60%,VLOOKUP($JK397,'Jan-2026 rates'!$L:$S,8,0),IF($LB397=80%,VLOOKUP($JK397,'Jan-2026 rates'!L:T,9,0),0))))))))</f>
        <v>0</v>
      </c>
      <c r="JN397" s="412"/>
      <c r="JO397" s="409"/>
      <c r="JP397" s="411">
        <f>IF(JO397=0,0,IF($LB397=70%,VLOOKUP($JK397,'Jan-2026 rates'!$L:$R,4,0),IF($LB397=65%,VLOOKUP($JK397,'Jan-2026 rates'!$L:$R,4,0),IF($LB397=40%,VLOOKUP($JK397,'Jan-2026 rates'!$L:$R,5,0),IF($LB397=30%,VLOOKUP($JK397,'Jan-2026 rates'!$L:$R,6,0),IF($LB397=100%,VLOOKUP($JK397,'Jan-2026 rates'!$L:$R,7,0),IF($LB397=60%,VLOOKUP($JK397,'Jan-2026 rates'!$L:$S,8,0),IF($LB397=80%,VLOOKUP($JK397,'Jan-2026 rates'!L:T,9,0),0))))))))</f>
        <v>0</v>
      </c>
      <c r="JQ397" s="413" t="s">
        <v>1249</v>
      </c>
      <c r="JR397" s="412" t="s">
        <v>1122</v>
      </c>
      <c r="JS397" s="413"/>
      <c r="JT397" s="413"/>
      <c r="JU397" s="412"/>
      <c r="JV397" s="412"/>
      <c r="JW397" s="412"/>
      <c r="JX397" s="412"/>
      <c r="JY397" s="409">
        <f>20+30</f>
        <v>50</v>
      </c>
      <c r="JZ397" s="398">
        <f>IF(JY397=0,0,IF(LEN(JQ397)=11,_xlfn.XLOOKUP(JQ397,'Dispensed Ink Rates'!C:C,'Dispensed Ink Rates'!CS:CS),VLOOKUP(JQ397,'Jan-2026 rates'!$E:$F,2,0)))</f>
        <v>0</v>
      </c>
      <c r="KA397" s="409">
        <v>6.85</v>
      </c>
      <c r="KB397" s="398">
        <f>IF(KA397=0,0,IF(LEN(JR397)=11,_xlfn.XLOOKUP(JR397,'Dispensed Ink Rates'!C:C,'Dispensed Ink Rates'!CS:CS),VLOOKUP(JR397,'Jan-2026 rates'!$E:$F,2,0)))</f>
        <v>0</v>
      </c>
      <c r="KC397" s="409"/>
      <c r="KD397" s="398">
        <f>IF(KC397=0,0,IF(LEN(JS397)=11,_xlfn.XLOOKUP(JS397,'Dispensed Ink Rates'!C:C,'Dispensed Ink Rates'!CS:CS),VLOOKUP(JS397,'Jan-2026 rates'!$E:$F,2,0)))</f>
        <v>0</v>
      </c>
      <c r="KE397" s="409"/>
      <c r="KF397" s="398">
        <f>IF(KE397=0,0,IF(LEN(JT397)=11,_xlfn.XLOOKUP(JT397,'Dispensed Ink Rates'!C:C,'Dispensed Ink Rates'!CS:CS),VLOOKUP(JT397,'Jan-2026 rates'!$E:$F,2,0)))</f>
        <v>0</v>
      </c>
      <c r="KG397" s="409"/>
      <c r="KH397" s="398">
        <f>IF(KG397=0,0,IF(LEN(JU397)=11,_xlfn.XLOOKUP(JU397,'Dispensed Ink Rates'!C:C,'Dispensed Ink Rates'!CS:CS),VLOOKUP(JU397,'Jan-2026 rates'!$E:$F,2,0)))</f>
        <v>0</v>
      </c>
      <c r="KI397" s="409"/>
      <c r="KJ397" s="398">
        <f>IF(KI397=0,0,IF(LEN(JV397)=11,_xlfn.XLOOKUP(JV397,'Dispensed Ink Rates'!C:C,'Dispensed Ink Rates'!CS:CS),VLOOKUP(JV397,'Jan-2026 rates'!$E:$F,2,0)))</f>
        <v>0</v>
      </c>
      <c r="KK397" s="409"/>
      <c r="KL397" s="398">
        <f>IF(KK397=0,0,IF(LEN(JW397)=11,_xlfn.XLOOKUP(JW397,'Dispensed Ink Rates'!C:C,'Dispensed Ink Rates'!CS:CS),VLOOKUP(JW397,'Jan-2026 rates'!$E:$F,2,0)))</f>
        <v>0</v>
      </c>
      <c r="KM397" s="428"/>
      <c r="KN397" s="398">
        <f>IF(KM397=0,0,IF(LEN(JX397)=11,_xlfn.XLOOKUP(JX397,'Dispensed Ink Rates'!C:C,'Dispensed Ink Rates'!CS:CS),VLOOKUP(JX397,'Jan-2026 rates'!$E:$F,2,0)))</f>
        <v>0</v>
      </c>
      <c r="KO397" s="409" t="s">
        <v>1881</v>
      </c>
      <c r="KP397" s="409">
        <v>30</v>
      </c>
      <c r="KQ397" s="411">
        <f t="shared" si="233"/>
        <v>0</v>
      </c>
      <c r="KR397" s="411">
        <f t="shared" si="234"/>
        <v>93.723417721518985</v>
      </c>
      <c r="KS397" s="410">
        <f t="shared" si="235"/>
        <v>0</v>
      </c>
      <c r="KT397" s="409">
        <v>4</v>
      </c>
      <c r="KU397" s="409">
        <f>6+3</f>
        <v>9</v>
      </c>
      <c r="KV397" s="409">
        <f>5+4</f>
        <v>9</v>
      </c>
      <c r="KW397" s="409">
        <v>4</v>
      </c>
      <c r="KX397" s="409">
        <f>15+3</f>
        <v>18</v>
      </c>
      <c r="KY397" s="409">
        <v>3</v>
      </c>
      <c r="KZ397" s="409">
        <v>7</v>
      </c>
      <c r="LA397" s="409">
        <f>10+15</f>
        <v>25</v>
      </c>
      <c r="LB397" s="415">
        <v>0.3</v>
      </c>
      <c r="LC397" s="415"/>
      <c r="LD397" s="424"/>
      <c r="LE397" s="415">
        <v>0.5</v>
      </c>
      <c r="LF397" s="415">
        <v>0.2</v>
      </c>
      <c r="LG397" s="409">
        <v>0</v>
      </c>
      <c r="LH397" s="409">
        <f>25+21+24+40+16</f>
        <v>126</v>
      </c>
      <c r="LI397" s="409">
        <v>0</v>
      </c>
      <c r="LJ397" s="409">
        <v>0</v>
      </c>
      <c r="LK397" s="416">
        <f t="shared" si="191"/>
        <v>126</v>
      </c>
      <c r="LL397" s="416">
        <f t="shared" si="349"/>
        <v>126</v>
      </c>
      <c r="LM397" s="417">
        <f t="shared" si="193"/>
        <v>37.799999999999997</v>
      </c>
      <c r="LN397" s="417">
        <f>VLOOKUP($LM$8,'Jan-2026 rates'!$H:$I,2,0)</f>
        <v>0</v>
      </c>
      <c r="LO397" s="417">
        <f t="shared" si="194"/>
        <v>0</v>
      </c>
      <c r="LP397" s="417">
        <f>VLOOKUP($LO$8,'Jan-2026 rates'!$H:$I,2,0)</f>
        <v>0</v>
      </c>
      <c r="LQ397" s="417">
        <f t="shared" si="195"/>
        <v>0</v>
      </c>
      <c r="LR397" s="417">
        <f>VLOOKUP($LQ$8,'Jan-2026 rates'!$H:$I,2,0)</f>
        <v>0</v>
      </c>
      <c r="LS397" s="417">
        <f t="shared" si="196"/>
        <v>63</v>
      </c>
      <c r="LT397" s="417">
        <f>VLOOKUP($LS$8,'Jan-2026 rates'!$H:$I,2,0)</f>
        <v>0</v>
      </c>
      <c r="LU397" s="417">
        <f t="shared" si="197"/>
        <v>25.200000000000003</v>
      </c>
      <c r="LV397" s="417">
        <f>VLOOKUP($LU$8,'Jan-2026 rates'!$H:$I,2,0)</f>
        <v>0</v>
      </c>
      <c r="LW397" s="417">
        <f t="shared" si="198"/>
        <v>0</v>
      </c>
      <c r="LX397" s="417">
        <f t="shared" si="199"/>
        <v>0</v>
      </c>
      <c r="LY397" s="418">
        <f t="shared" si="200"/>
        <v>0</v>
      </c>
      <c r="LZ397" s="417"/>
      <c r="MA397" s="435">
        <f t="shared" si="201"/>
        <v>172.85</v>
      </c>
      <c r="MB397" s="282">
        <f t="shared" si="202"/>
        <v>216.85000000000002</v>
      </c>
      <c r="MC397" s="283" t="s">
        <v>5006</v>
      </c>
      <c r="MD397" s="284" t="str">
        <f t="shared" si="203"/>
        <v>ToyoLiToyoLiToyoLiToyoLiToyoLiToyoLiToyoLiToyoLi</v>
      </c>
      <c r="ME397" s="293" t="str">
        <f t="shared" si="204"/>
        <v>+</v>
      </c>
      <c r="MF397" s="293" t="str">
        <f t="shared" si="205"/>
        <v>+</v>
      </c>
      <c r="MG397" s="293" t="str">
        <f t="shared" si="206"/>
        <v>+</v>
      </c>
      <c r="MH397" s="293" t="str">
        <f t="shared" si="207"/>
        <v>+</v>
      </c>
      <c r="MI397" s="293" t="str">
        <f t="shared" si="208"/>
        <v>+</v>
      </c>
      <c r="MJ397" s="293" t="str">
        <f t="shared" si="209"/>
        <v>+</v>
      </c>
      <c r="MK397" s="293" t="str">
        <f t="shared" si="210"/>
        <v>+</v>
      </c>
      <c r="ML397" s="293" t="str">
        <f t="shared" si="211"/>
        <v>+</v>
      </c>
      <c r="MM397" s="3" t="b">
        <f t="array" ref="MM397">OR(ME397:ML397="-")</f>
        <v>0</v>
      </c>
      <c r="MO397" s="401">
        <f t="shared" si="350"/>
        <v>69.06050955414014</v>
      </c>
      <c r="MP397" s="286"/>
      <c r="MR397" s="402">
        <f t="shared" si="351"/>
        <v>1.1914835164835167E-2</v>
      </c>
      <c r="MS397" s="400">
        <f t="shared" si="352"/>
        <v>0</v>
      </c>
      <c r="MT397" s="285"/>
      <c r="NH397" s="361"/>
      <c r="NJ397" s="282"/>
    </row>
    <row r="398" spans="1:374" ht="16.5">
      <c r="A398" s="403">
        <v>46053</v>
      </c>
      <c r="B398" s="404" t="s">
        <v>1018</v>
      </c>
      <c r="C398" s="405" t="s">
        <v>5007</v>
      </c>
      <c r="D398" s="404" t="s">
        <v>5013</v>
      </c>
      <c r="E398" s="404">
        <v>447</v>
      </c>
      <c r="F398" s="407">
        <v>20800</v>
      </c>
      <c r="G398" s="407" t="s">
        <v>1016</v>
      </c>
      <c r="H398" s="408" t="s">
        <v>1017</v>
      </c>
      <c r="I398" s="409">
        <v>1.39</v>
      </c>
      <c r="J398" s="405" t="s">
        <v>543</v>
      </c>
      <c r="K398" s="404" t="s">
        <v>5008</v>
      </c>
      <c r="L398" s="419" t="str">
        <f t="shared" si="184"/>
        <v>ToyoLi - BLACK</v>
      </c>
      <c r="M398" s="404">
        <v>22</v>
      </c>
      <c r="N398" s="410">
        <f>IF(M398=0,0,IF($LB398=70%,VLOOKUP($L398,'Jan-2026 rates'!$L:$R,4,0),IF($LB398=65%,VLOOKUP($L398,'Jan-2026 rates'!$L:$R,4,0),IF($LB398=40%,VLOOKUP($L398,'Jan-2026 rates'!$L:$R,5,0),IF($LB398=30%,VLOOKUP($L398,'Jan-2026 rates'!$L:$R,6,0),IF($LB398=100%,VLOOKUP($L398,'Jan-2026 rates'!$L:$R,7,0),IF($LB398=60%,VLOOKUP($L398,'Jan-2026 rates'!$L:$S,8,0),IF($LB398=80%,VLOOKUP($L398,'Jan-2026 rates'!L:T,9,0),0))))))))</f>
        <v>0</v>
      </c>
      <c r="O398" s="406"/>
      <c r="P398" s="404"/>
      <c r="Q398" s="410">
        <f>IF(P398=0,0,IF($LB398=70%,VLOOKUP($L398,'Jan-2026 rates'!$L:$R,4,0),IF($LB398=65%,VLOOKUP($L398,'Jan-2026 rates'!$L:$R,4,0),IF($LB398=40%,VLOOKUP($L398,'Jan-2026 rates'!$L:$R,5,0),IF($LB398=30%,VLOOKUP($L398,'Jan-2026 rates'!$L:$R,6,0),IF($LB398=100%,VLOOKUP($L398,'Jan-2026 rates'!$L:$R,7,0),IF($LB398=60%,VLOOKUP($L398,'Jan-2026 rates'!$L:$S,8,0),IF($LB398=80%,VLOOKUP($L398,'Jan-2026 rates'!L:T,9,0),0))))))))</f>
        <v>0</v>
      </c>
      <c r="R398" s="406" t="s">
        <v>1252</v>
      </c>
      <c r="S398" s="406"/>
      <c r="T398" s="406"/>
      <c r="U398" s="406"/>
      <c r="V398" s="406"/>
      <c r="W398" s="406"/>
      <c r="X398" s="406"/>
      <c r="Y398" s="406"/>
      <c r="Z398" s="404">
        <v>5</v>
      </c>
      <c r="AA398" s="398">
        <f>IF(Z398=0,0,IF(LEN(R398)=11,_xlfn.XLOOKUP(R398,'Dispensed Ink Rates'!C:C,'Dispensed Ink Rates'!CS:CS),VLOOKUP(R398,'Jan-2026 rates'!$E:$F,2,0)))</f>
        <v>0</v>
      </c>
      <c r="AB398" s="404"/>
      <c r="AC398" s="398">
        <f>IF(AB398=0,0,IF(LEN(S398)=11,_xlfn.XLOOKUP(S398,'Dispensed Ink Rates'!C:C,'Dispensed Ink Rates'!CS:CS),VLOOKUP(S398,'Jan-2026 rates'!$E:$F,2,0)))</f>
        <v>0</v>
      </c>
      <c r="AD398" s="404"/>
      <c r="AE398" s="398">
        <f>IF(AD398=0,0,IF(LEN(T398)=11,_xlfn.XLOOKUP(T398,'Dispensed Ink Rates'!C:C,'Dispensed Ink Rates'!CS:CS),VLOOKUP(T398,'Jan-2026 rates'!$E:$F,2,0)))</f>
        <v>0</v>
      </c>
      <c r="AF398" s="404"/>
      <c r="AG398" s="398">
        <f>IF(AF398=0,0,IF(LEN(U398)=11,_xlfn.XLOOKUP(U398,'Dispensed Ink Rates'!C:C,'Dispensed Ink Rates'!CS:CS),VLOOKUP(U398,'Jan-2026 rates'!$E:$F,2,0)))</f>
        <v>0</v>
      </c>
      <c r="AH398" s="404"/>
      <c r="AI398" s="398">
        <f>IF(AH398=0,0,IF(LEN(V398)=11,_xlfn.XLOOKUP(V398,'Dispensed Ink Rates'!C:C,'Dispensed Ink Rates'!CS:CS),VLOOKUP(V398,'Jan-2026 rates'!$E:$F,2,0)))</f>
        <v>0</v>
      </c>
      <c r="AJ398" s="404"/>
      <c r="AK398" s="398">
        <f>IF(AJ398=0,0,IF(LEN(W398)=11,_xlfn.XLOOKUP(W398,'Dispensed Ink Rates'!C:C,'Dispensed Ink Rates'!CS:CS),VLOOKUP(W398,'Jan-2026 rates'!$E:$F,2,0)))</f>
        <v>0</v>
      </c>
      <c r="AL398" s="404"/>
      <c r="AM398" s="398">
        <f>IF(AL398=0,0,IF(LEN(X398)=11,_xlfn.XLOOKUP(X398,'Dispensed Ink Rates'!C:C,'Dispensed Ink Rates'!CS:CS),VLOOKUP(X398,'Jan-2026 rates'!$E:$F,2,0)))</f>
        <v>0</v>
      </c>
      <c r="AN398" s="404"/>
      <c r="AO398" s="398">
        <f>IF(AN398=0,0,IF(LEN(Y398)=11,_xlfn.XLOOKUP(Y398,'Dispensed Ink Rates'!C:C,'Dispensed Ink Rates'!CS:CS),VLOOKUP(Y398,'Jan-2026 rates'!$E:$F,2,0)))</f>
        <v>0</v>
      </c>
      <c r="AP398" s="409" t="s">
        <v>1881</v>
      </c>
      <c r="AQ398" s="409">
        <v>26</v>
      </c>
      <c r="AR398" s="410">
        <f t="shared" si="212"/>
        <v>0</v>
      </c>
      <c r="AS398" s="411">
        <f t="shared" si="213"/>
        <v>6.5714285714285694</v>
      </c>
      <c r="AT398" s="410">
        <f t="shared" si="214"/>
        <v>0</v>
      </c>
      <c r="AU398" s="405" t="s">
        <v>546</v>
      </c>
      <c r="AV398" s="409"/>
      <c r="AW398" s="420" t="str">
        <f t="shared" si="348"/>
        <v>ToyoLi - REFLEX BLUE</v>
      </c>
      <c r="AX398" s="409"/>
      <c r="AY398" s="411">
        <f>IF(AX398=0,0,IF($LB398=70%,VLOOKUP($AW398,'Jan-2026 rates'!$L:$R,4,0),IF($LB398=65%,VLOOKUP($AW398,'Jan-2026 rates'!$L:$R,4,0),IF($LB398=40%,VLOOKUP($AW398,'Jan-2026 rates'!$L:$R,5,0),IF($LB398=30%,VLOOKUP($AW398,'Jan-2026 rates'!$L:$R,6,0),IF($LB398=100%,VLOOKUP($AW398,'Jan-2026 rates'!$L:$R,7,0),IF($LB398=60%,VLOOKUP($AW398,'Jan-2026 rates'!$L:$S,8,0),IF($LB398=80%,VLOOKUP($AW398,'Jan-2026 rates'!L:T,9,0),0))))))))</f>
        <v>0</v>
      </c>
      <c r="AZ398" s="412"/>
      <c r="BA398" s="409"/>
      <c r="BB398" s="411">
        <f>IF(BA398=0,0,IF($LB398=70%,VLOOKUP($AW398,'Jan-2026 rates'!$L:$R,4,0),IF($LB398=65%,VLOOKUP($AW398,'Jan-2026 rates'!$L:$R,4,0),IF($LB398=40%,VLOOKUP($AW398,'Jan-2026 rates'!$L:$R,5,0),IF($LB398=30%,VLOOKUP($AW398,'Jan-2026 rates'!$L:$R,6,0),IF($LB398=100%,VLOOKUP($AW398,'Jan-2026 rates'!$L:$R,7,0),IF($LB398=60%,VLOOKUP($AW398,'Jan-2026 rates'!$L:$S,8,0),IF($LB398=80%,VLOOKUP($AW398,'Jan-2026 rates'!L:T,9,0),0))))))))</f>
        <v>0</v>
      </c>
      <c r="BC398" s="413" t="s">
        <v>1880</v>
      </c>
      <c r="BD398" s="412" t="s">
        <v>1250</v>
      </c>
      <c r="BE398" s="412"/>
      <c r="BF398" s="413"/>
      <c r="BG398" s="412"/>
      <c r="BH398" s="412"/>
      <c r="BI398" s="412"/>
      <c r="BJ398" s="412"/>
      <c r="BK398" s="409">
        <f>30+10</f>
        <v>40</v>
      </c>
      <c r="BL398" s="398">
        <f>IF(BK398=0,0,IF(LEN(BC398)=11,_xlfn.XLOOKUP(BC398,'Dispensed Ink Rates'!C:C,'Dispensed Ink Rates'!CS:CS),VLOOKUP(BC398,'Jan-2026 rates'!$E:$F,2,0)))</f>
        <v>0</v>
      </c>
      <c r="BM398" s="409">
        <v>10</v>
      </c>
      <c r="BN398" s="398">
        <f>IF(BM398=0,0,IF(LEN(BD398)=11,_xlfn.XLOOKUP(BD398,'Dispensed Ink Rates'!C:C,'Dispensed Ink Rates'!CS:CS),VLOOKUP(BD398,'Jan-2026 rates'!$E:$F,2,0)))</f>
        <v>0</v>
      </c>
      <c r="BO398" s="409"/>
      <c r="BP398" s="398">
        <f>IF(BO398=0,0,IF(LEN(BE398)=11,_xlfn.XLOOKUP(BE398,'Dispensed Ink Rates'!C:C,'Dispensed Ink Rates'!CS:CS),VLOOKUP(BE398,'Jan-2026 rates'!$E:$F,2,0)))</f>
        <v>0</v>
      </c>
      <c r="BQ398" s="409"/>
      <c r="BR398" s="398">
        <f>IF(BQ398=0,0,IF(LEN(BF398)=11,_xlfn.XLOOKUP(BF398,'Dispensed Ink Rates'!C:C,'Dispensed Ink Rates'!CS:CS),VLOOKUP(BF398,'Jan-2026 rates'!$E:$F,2,0)))</f>
        <v>0</v>
      </c>
      <c r="BS398" s="409"/>
      <c r="BT398" s="398">
        <f>IF(BS398=0,0,IF(LEN(BG398)=11,_xlfn.XLOOKUP(BG398,'Dispensed Ink Rates'!C:C,'Dispensed Ink Rates'!CS:CS),VLOOKUP(BG398,'Jan-2026 rates'!$E:$F,2,0)))</f>
        <v>0</v>
      </c>
      <c r="BU398" s="409"/>
      <c r="BV398" s="398">
        <f>IF(BU398=0,0,IF(LEN(BH398)=11,_xlfn.XLOOKUP(BH398,'Dispensed Ink Rates'!C:C,'Dispensed Ink Rates'!CS:CS),VLOOKUP(BH398,'Jan-2026 rates'!$E:$F,2,0)))</f>
        <v>0</v>
      </c>
      <c r="BW398" s="409"/>
      <c r="BX398" s="398">
        <f>IF(BW398=0,0,IF(LEN(BI398)=11,_xlfn.XLOOKUP(BI398,'Dispensed Ink Rates'!C:C,'Dispensed Ink Rates'!CS:CS),VLOOKUP(BI398,'Jan-2026 rates'!$E:$F,2,0)))</f>
        <v>0</v>
      </c>
      <c r="BY398" s="409"/>
      <c r="BZ398" s="398">
        <f>IF(BY398=0,0,IF(LEN(BJ398)=11,_xlfn.XLOOKUP(BJ398,'Dispensed Ink Rates'!C:C,'Dispensed Ink Rates'!CS:CS),VLOOKUP(BJ398,'Jan-2026 rates'!$E:$F,2,0)))</f>
        <v>0</v>
      </c>
      <c r="CA398" s="409" t="s">
        <v>1881</v>
      </c>
      <c r="CB398" s="409">
        <f>20+8</f>
        <v>28</v>
      </c>
      <c r="CC398" s="411">
        <f t="shared" si="215"/>
        <v>0</v>
      </c>
      <c r="CD398" s="411">
        <f t="shared" si="216"/>
        <v>59.142857142857139</v>
      </c>
      <c r="CE398" s="410">
        <f t="shared" si="217"/>
        <v>0</v>
      </c>
      <c r="CF398" s="404" t="s">
        <v>547</v>
      </c>
      <c r="CG398" s="409"/>
      <c r="CH398" s="420" t="str">
        <f t="shared" si="185"/>
        <v>ToyoLi - GREEN</v>
      </c>
      <c r="CI398" s="409"/>
      <c r="CJ398" s="411">
        <f>IF(CI398=0,0,IF($LB398=70%,VLOOKUP($CH398,'Jan-2026 rates'!$L:$R,4,0),IF($LB398=65%,VLOOKUP($CH398,'Jan-2026 rates'!$L:$R,4,0),IF($LB398=40%,VLOOKUP($CH398,'Jan-2026 rates'!$L:$R,5,0),IF($LB398=30%,VLOOKUP($CH398,'Jan-2026 rates'!$L:$R,6,0),IF($LB398=100%,VLOOKUP($CH398,'Jan-2026 rates'!$L:$R,7,0),IF($LB398=60%,VLOOKUP($CH398,'Jan-2026 rates'!$L:$S,8,0),IF($LB398=80%,VLOOKUP($CH398,'Jan-2026 rates'!L:T,9,0),0))))))))</f>
        <v>0</v>
      </c>
      <c r="CK398" s="412"/>
      <c r="CL398" s="409"/>
      <c r="CM398" s="411">
        <f>IF(CL398=0,0,IF($LB398=70%,VLOOKUP($CH398,'Jan-2026 rates'!$L:$R,4,0),IF($LB398=65%,VLOOKUP($CH398,'Jan-2026 rates'!$L:$R,4,0),IF($LB398=40%,VLOOKUP($CH398,'Jan-2026 rates'!$L:$R,5,0),IF($LB398=30%,VLOOKUP($CH398,'Jan-2026 rates'!$L:$R,6,0),IF($LB398=100%,VLOOKUP($CH398,'Jan-2026 rates'!$L:$R,7,0),IF($LB398=60%,VLOOKUP($CH398,'Jan-2026 rates'!$L:$S,8,0),IF($LB398=80%,VLOOKUP($CH398,'Jan-2026 rates'!L:T,9,0),0))))))))</f>
        <v>0</v>
      </c>
      <c r="CN398" s="426" t="s">
        <v>1247</v>
      </c>
      <c r="CO398" s="427" t="s">
        <v>1251</v>
      </c>
      <c r="CP398" s="426" t="s">
        <v>1250</v>
      </c>
      <c r="CQ398" s="426" t="s">
        <v>1921</v>
      </c>
      <c r="CR398" s="428"/>
      <c r="CS398" s="428"/>
      <c r="CT398" s="428"/>
      <c r="CU398" s="428"/>
      <c r="CV398" s="409">
        <f>10+4</f>
        <v>14</v>
      </c>
      <c r="CW398" s="398">
        <f>IF(CV398=0,0,IF(LEN(CN398)=11,_xlfn.XLOOKUP(CN398,'Dispensed Ink Rates'!C:C,'Dispensed Ink Rates'!CS:CS),VLOOKUP(CN398,'Jan-2026 rates'!$E:$F,2,0)))</f>
        <v>0</v>
      </c>
      <c r="CX398" s="409">
        <f>2+2</f>
        <v>4</v>
      </c>
      <c r="CY398" s="398">
        <f>IF(CX398=0,0,IF(LEN(CO398)=11,_xlfn.XLOOKUP(CO398,'Dispensed Ink Rates'!C:C,'Dispensed Ink Rates'!CS:CS),VLOOKUP(CO398,'Jan-2026 rates'!$E:$F,2,0)))</f>
        <v>0</v>
      </c>
      <c r="CZ398" s="409">
        <f>1+1</f>
        <v>2</v>
      </c>
      <c r="DA398" s="398">
        <f>IF(CZ398=0,0,IF(LEN(CP398)=11,_xlfn.XLOOKUP(CP398,'Dispensed Ink Rates'!C:C,'Dispensed Ink Rates'!CS:CS),VLOOKUP(CP398,'Jan-2026 rates'!$E:$F,2,0)))</f>
        <v>0</v>
      </c>
      <c r="DB398" s="409">
        <f>4+3</f>
        <v>7</v>
      </c>
      <c r="DC398" s="398">
        <f>IF(DB398=0,0,IF(LEN(CQ398)=11,_xlfn.XLOOKUP(CQ398,'Dispensed Ink Rates'!C:C,'Dispensed Ink Rates'!CS:CS),VLOOKUP(CQ398,'Jan-2026 rates'!$E:$F,2,0)))</f>
        <v>0</v>
      </c>
      <c r="DD398" s="409"/>
      <c r="DE398" s="398">
        <f>IF(DD398=0,0,IF(LEN(CR398)=11,_xlfn.XLOOKUP(CR398,'Dispensed Ink Rates'!C:C,'Dispensed Ink Rates'!CS:CS),VLOOKUP(CR398,'Jan-2026 rates'!$E:$F,2,0)))</f>
        <v>0</v>
      </c>
      <c r="DF398" s="409"/>
      <c r="DG398" s="398">
        <f>IF(DF398=0,0,IF(LEN(CS398)=11,_xlfn.XLOOKUP(CS398,'Dispensed Ink Rates'!C:C,'Dispensed Ink Rates'!CS:CS),VLOOKUP(CS398,'Jan-2026 rates'!$E:$F,2,0)))</f>
        <v>0</v>
      </c>
      <c r="DH398" s="409"/>
      <c r="DI398" s="398">
        <f>IF(DH398=0,0,IF(LEN(CT398)=11,_xlfn.XLOOKUP(CT398,'Dispensed Ink Rates'!C:C,'Dispensed Ink Rates'!CS:CS),VLOOKUP(CT398,'Jan-2026 rates'!$E:$F,2,0)))</f>
        <v>0</v>
      </c>
      <c r="DJ398" s="409"/>
      <c r="DK398" s="398">
        <f>IF(DJ398=0,0,IF(LEN(CU398)=11,_xlfn.XLOOKUP(CU398,'Dispensed Ink Rates'!C:C,'Dispensed Ink Rates'!CS:CS),VLOOKUP(CU398,'Jan-2026 rates'!$E:$F,2,0)))</f>
        <v>0</v>
      </c>
      <c r="DL398" s="409" t="s">
        <v>1881</v>
      </c>
      <c r="DM398" s="409">
        <f>18+16</f>
        <v>34</v>
      </c>
      <c r="DN398" s="411">
        <f t="shared" si="218"/>
        <v>0</v>
      </c>
      <c r="DO398" s="411">
        <f t="shared" si="219"/>
        <v>15.285714285714285</v>
      </c>
      <c r="DP398" s="410">
        <f t="shared" si="220"/>
        <v>0</v>
      </c>
      <c r="DQ398" s="405" t="s">
        <v>855</v>
      </c>
      <c r="DR398" s="409" t="s">
        <v>5009</v>
      </c>
      <c r="DS398" s="420" t="str">
        <f t="shared" si="186"/>
        <v>ToyoLi - CYAN</v>
      </c>
      <c r="DT398" s="409">
        <v>18</v>
      </c>
      <c r="DU398" s="411">
        <f>IF(DT398=0,0,IF($LB398=70%,VLOOKUP($DS398,'Jan-2026 rates'!$L:$R,4,0),IF($LB398=65%,VLOOKUP($DS398,'Jan-2026 rates'!$L:$R,4,0),IF($LB398=40%,VLOOKUP($DS398,'Jan-2026 rates'!$L:$R,5,0),IF($LB398=30%,VLOOKUP($DS398,'Jan-2026 rates'!$L:$R,6,0),IF($LB398=100%,VLOOKUP($DS398,'Jan-2026 rates'!$L:$R,7,0),IF($LB398=60%,VLOOKUP($DS398,'Jan-2026 rates'!$L:$S,8,0),IF($LB398=80%,VLOOKUP($DS398,'Jan-2026 rates'!L:T,9,0),0))))))))</f>
        <v>0</v>
      </c>
      <c r="DV398" s="412"/>
      <c r="DW398" s="409"/>
      <c r="DX398" s="411">
        <f>IF(DW398=0,0,IF($LB398=70%,VLOOKUP($DS398,'Jan-2026 rates'!$L:$R,4,0),IF($LB398=65%,VLOOKUP($DS398,'Jan-2026 rates'!$L:$R,4,0),IF($LB398=40%,VLOOKUP($DS398,'Jan-2026 rates'!$L:$R,5,0),IF($LB398=30%,VLOOKUP($DS398,'Jan-2026 rates'!$L:$R,6,0),IF($LB398=100%,VLOOKUP($DS398,'Jan-2026 rates'!$L:$R,7,0),IF($LB398=60%,VLOOKUP($DS398,'Jan-2026 rates'!$L:$S,8,0),IF($LB398=80%,VLOOKUP($DS398,'Jan-2026 rates'!L:T,9,0),0))))))))</f>
        <v>0</v>
      </c>
      <c r="DY398" s="413" t="s">
        <v>1921</v>
      </c>
      <c r="DZ398" s="413"/>
      <c r="EA398" s="412"/>
      <c r="EB398" s="412"/>
      <c r="EC398" s="412"/>
      <c r="ED398" s="412"/>
      <c r="EE398" s="412"/>
      <c r="EF398" s="412"/>
      <c r="EG398" s="409">
        <v>5</v>
      </c>
      <c r="EH398" s="398">
        <f>IF(EG398=0,0,IF(LEN(DY398)=11,_xlfn.XLOOKUP(DY398,'Dispensed Ink Rates'!C:C,'Dispensed Ink Rates'!CS:CS),VLOOKUP(DY398,'Jan-2026 rates'!$E:$F,2,0)))</f>
        <v>0</v>
      </c>
      <c r="EI398" s="409"/>
      <c r="EJ398" s="398">
        <f>IF(EI398=0,0,IF(LEN(DZ398)=11,_xlfn.XLOOKUP(DZ398,'Dispensed Ink Rates'!C:C,'Dispensed Ink Rates'!CS:CS),VLOOKUP(DZ398,'Jan-2026 rates'!$E:$F,2,0)))</f>
        <v>0</v>
      </c>
      <c r="EK398" s="409"/>
      <c r="EL398" s="398">
        <f>IF(EK398=0,0,IF(LEN(EA398)=11,_xlfn.XLOOKUP(EA398,'Dispensed Ink Rates'!C:C,'Dispensed Ink Rates'!CS:CS),VLOOKUP(EA398,'Jan-2026 rates'!$E:$F,2,0)))</f>
        <v>0</v>
      </c>
      <c r="EM398" s="409"/>
      <c r="EN398" s="398">
        <f>IF(EM398=0,0,IF(LEN(EB398)=11,_xlfn.XLOOKUP(EB398,'Dispensed Ink Rates'!C:C,'Dispensed Ink Rates'!CS:CS),VLOOKUP(EB398,'Jan-2026 rates'!$E:$F,2,0)))</f>
        <v>0</v>
      </c>
      <c r="EO398" s="409"/>
      <c r="EP398" s="398">
        <f>IF(EO398=0,0,IF(LEN(EC398)=11,_xlfn.XLOOKUP(EC398,'Dispensed Ink Rates'!C:C,'Dispensed Ink Rates'!CS:CS),VLOOKUP(EC398,'Jan-2026 rates'!$E:$F,2,0)))</f>
        <v>0</v>
      </c>
      <c r="EQ398" s="409"/>
      <c r="ER398" s="398">
        <f>IF(EQ398=0,0,IF(LEN(ED398)=11,_xlfn.XLOOKUP(ED398,'Dispensed Ink Rates'!C:C,'Dispensed Ink Rates'!CS:CS),VLOOKUP(ED398,'Jan-2026 rates'!$E:$F,2,0)))</f>
        <v>0</v>
      </c>
      <c r="ES398" s="409"/>
      <c r="ET398" s="398">
        <f>IF(ES398=0,0,IF(LEN(EE398)=11,_xlfn.XLOOKUP(EE398,'Dispensed Ink Rates'!C:C,'Dispensed Ink Rates'!CS:CS),VLOOKUP(EE398,'Jan-2026 rates'!$E:$F,2,0)))</f>
        <v>0</v>
      </c>
      <c r="EU398" s="409"/>
      <c r="EV398" s="398">
        <f>IF(EU398=0,0,IF(LEN(EF398)=11,_xlfn.XLOOKUP(EF398,'Dispensed Ink Rates'!C:C,'Dispensed Ink Rates'!CS:CS),VLOOKUP(EF398,'Jan-2026 rates'!$E:$F,2,0)))</f>
        <v>0</v>
      </c>
      <c r="EW398" s="409" t="s">
        <v>1881</v>
      </c>
      <c r="EX398" s="409">
        <v>25</v>
      </c>
      <c r="EY398" s="411">
        <f t="shared" si="221"/>
        <v>0</v>
      </c>
      <c r="EZ398" s="411">
        <f t="shared" si="222"/>
        <v>7.2857142857142847</v>
      </c>
      <c r="FA398" s="410">
        <f t="shared" si="223"/>
        <v>0</v>
      </c>
      <c r="FB398" s="405" t="s">
        <v>544</v>
      </c>
      <c r="FC398" s="409" t="s">
        <v>5010</v>
      </c>
      <c r="FD398" s="420" t="str">
        <f t="shared" si="187"/>
        <v>ToyoLi - MAGENTA</v>
      </c>
      <c r="FE398" s="409">
        <f>16+14</f>
        <v>30</v>
      </c>
      <c r="FF398" s="411">
        <f>IF(FE398=0,0,IF($LB398=70%,VLOOKUP($FD398,'Jan-2026 rates'!$L:$R,4,0),IF($LB398=65%,VLOOKUP($FD398,'Jan-2026 rates'!$L:$R,4,0),IF($LB398=40%,VLOOKUP($FD398,'Jan-2026 rates'!$L:$R,5,0),IF($LB398=30%,VLOOKUP($FD398,'Jan-2026 rates'!$L:$R,6,0),IF($LB398=100%,VLOOKUP($FD398,'Jan-2026 rates'!$L:$R,7,0),IF($LB398=60%,VLOOKUP($FD398,'Jan-2026 rates'!$L:$S,8,0),IF($LB398=80%,VLOOKUP($FD398,'Jan-2026 rates'!L:T,9,0),0))))))))</f>
        <v>0</v>
      </c>
      <c r="FG398" s="412"/>
      <c r="FH398" s="409"/>
      <c r="FI398" s="411">
        <f>IF(FH398=0,0,IF($LB398=70%,VLOOKUP($FD398,'Jan-2026 rates'!$L:$R,4,0),IF($LB398=65%,VLOOKUP($FD398,'Jan-2026 rates'!$L:$R,4,0),IF($LB398=40%,VLOOKUP($FD398,'Jan-2026 rates'!$L:$R,5,0),IF($LB398=30%,VLOOKUP($FD398,'Jan-2026 rates'!$L:$R,6,0),IF($LB398=100%,VLOOKUP($FD398,'Jan-2026 rates'!$L:$R,7,0),IF($LB398=60%,VLOOKUP($FD398,'Jan-2026 rates'!$L:$S,8,0),IF($LB398=80%,VLOOKUP($FD398,'Jan-2026 rates'!L:T,9,0),0))))))))</f>
        <v>0</v>
      </c>
      <c r="FJ398" s="413" t="s">
        <v>1246</v>
      </c>
      <c r="FK398" s="413"/>
      <c r="FL398" s="413"/>
      <c r="FM398" s="412"/>
      <c r="FN398" s="412"/>
      <c r="FO398" s="412"/>
      <c r="FP398" s="412"/>
      <c r="FQ398" s="412"/>
      <c r="FR398" s="409">
        <v>3</v>
      </c>
      <c r="FS398" s="398">
        <f>IF(FR398=0,0,IF(LEN(FJ398)=11,_xlfn.XLOOKUP(FJ398,'Dispensed Ink Rates'!C:C,'Dispensed Ink Rates'!CS:CS),VLOOKUP(FJ398,'Jan-2026 rates'!$E:$F,2,0)))</f>
        <v>0</v>
      </c>
      <c r="FT398" s="409"/>
      <c r="FU398" s="398">
        <f>IF(FT398=0,0,IF(LEN(FK398)=11,_xlfn.XLOOKUP(FK398,'Dispensed Ink Rates'!C:C,'Dispensed Ink Rates'!CS:CS),VLOOKUP(FK398,'Jan-2026 rates'!$E:$F,2,0)))</f>
        <v>0</v>
      </c>
      <c r="FV398" s="409"/>
      <c r="FW398" s="398">
        <f>IF(FV398=0,0,IF(LEN(FL398)=11,_xlfn.XLOOKUP(FL398,'Dispensed Ink Rates'!C:C,'Dispensed Ink Rates'!CS:CS),VLOOKUP(FL398,'Jan-2026 rates'!$E:$F,2,0)))</f>
        <v>0</v>
      </c>
      <c r="FX398" s="409"/>
      <c r="FY398" s="398">
        <f>IF(FX398=0,0,IF(LEN(FM398)=11,_xlfn.XLOOKUP(FM398,'Dispensed Ink Rates'!C:C,'Dispensed Ink Rates'!CS:CS),VLOOKUP(FM398,'Jan-2026 rates'!$E:$F,2,0)))</f>
        <v>0</v>
      </c>
      <c r="FZ398" s="409"/>
      <c r="GA398" s="398">
        <f>IF(FZ398=0,0,IF(LEN(FN398)=11,_xlfn.XLOOKUP(FN398,'Dispensed Ink Rates'!C:C,'Dispensed Ink Rates'!CS:CS),VLOOKUP(FN398,'Jan-2026 rates'!$E:$F,2,0)))</f>
        <v>0</v>
      </c>
      <c r="GB398" s="409"/>
      <c r="GC398" s="398">
        <f>IF(GB398=0,0,IF(LEN(FO398)=11,_xlfn.XLOOKUP(FO398,'Dispensed Ink Rates'!C:C,'Dispensed Ink Rates'!CS:CS),VLOOKUP(FO398,'Jan-2026 rates'!$E:$F,2,0)))</f>
        <v>0</v>
      </c>
      <c r="GD398" s="409"/>
      <c r="GE398" s="398">
        <f>IF(GD398=0,0,IF(LEN(FP398)=11,_xlfn.XLOOKUP(FP398,'Dispensed Ink Rates'!C:C,'Dispensed Ink Rates'!CS:CS),VLOOKUP(FP398,'Jan-2026 rates'!$E:$F,2,0)))</f>
        <v>0</v>
      </c>
      <c r="GF398" s="409"/>
      <c r="GG398" s="398">
        <f>IF(GF398=0,0,IF(LEN(FQ398)=11,_xlfn.XLOOKUP(FQ398,'Dispensed Ink Rates'!C:C,'Dispensed Ink Rates'!CS:CS),VLOOKUP(FQ398,'Jan-2026 rates'!$E:$F,2,0)))</f>
        <v>0</v>
      </c>
      <c r="GH398" s="409" t="s">
        <v>1881</v>
      </c>
      <c r="GI398" s="409">
        <v>27</v>
      </c>
      <c r="GJ398" s="411">
        <f t="shared" si="224"/>
        <v>0</v>
      </c>
      <c r="GK398" s="411">
        <f t="shared" si="225"/>
        <v>9.7142857142857153</v>
      </c>
      <c r="GL398" s="410">
        <f t="shared" si="226"/>
        <v>0</v>
      </c>
      <c r="GM398" s="405" t="s">
        <v>545</v>
      </c>
      <c r="GN398" s="409" t="s">
        <v>5011</v>
      </c>
      <c r="GO398" s="420" t="str">
        <f t="shared" si="188"/>
        <v>ToyoLi - YELLOW</v>
      </c>
      <c r="GP398" s="409">
        <v>26</v>
      </c>
      <c r="GQ398" s="411">
        <f>IF(GP398=0,0,IF($LB398=70%,VLOOKUP($GO398,'Jan-2026 rates'!$L:$R,4,0),IF($LB398=65%,VLOOKUP($GO398,'Jan-2026 rates'!$L:$R,4,0),IF($LB398=40%,VLOOKUP($GO398,'Jan-2026 rates'!$L:$R,5,0),IF($LB398=30%,VLOOKUP($GO398,'Jan-2026 rates'!$L:$R,6,0),IF($LB398=100%,VLOOKUP($GO398,'Jan-2026 rates'!$L:$R,7,0),IF($LB398=60%,VLOOKUP($GO398,'Jan-2026 rates'!$L:$S,8,0),IF($LB398=80%,VLOOKUP($GO398,'Jan-2026 rates'!L:T,9,0),0))))))))</f>
        <v>0</v>
      </c>
      <c r="GR398" s="412"/>
      <c r="GS398" s="409"/>
      <c r="GT398" s="411">
        <f>IF(GS398=0,0,IF($LB398=70%,VLOOKUP($GO398,'Jan-2026 rates'!$L:$R,4,0),IF($LB398=65%,VLOOKUP($GO398,'Jan-2026 rates'!$L:$R,4,0),IF($LB398=40%,VLOOKUP($GO398,'Jan-2026 rates'!$L:$R,5,0),IF($LB398=30%,VLOOKUP($GO398,'Jan-2026 rates'!$L:$R,6,0),IF($LB398=100%,VLOOKUP($GO398,'Jan-2026 rates'!$L:$R,7,0),IF($LB398=60%,VLOOKUP($GO398,'Jan-2026 rates'!$L:$S,8,0),IF($LB398=80%,VLOOKUP($GO398,'Jan-2026 rates'!L:T,9,0),0))))))))</f>
        <v>0</v>
      </c>
      <c r="GU398" s="413" t="s">
        <v>1921</v>
      </c>
      <c r="GV398" s="413"/>
      <c r="GW398" s="412"/>
      <c r="GX398" s="412"/>
      <c r="GY398" s="412"/>
      <c r="GZ398" s="412"/>
      <c r="HA398" s="412"/>
      <c r="HB398" s="412"/>
      <c r="HC398" s="409">
        <v>3</v>
      </c>
      <c r="HD398" s="398">
        <f>IF(HC398=0,0,IF(LEN(GU398)=11,_xlfn.XLOOKUP(GU398,'Dispensed Ink Rates'!C:C,'Dispensed Ink Rates'!CS:CS),VLOOKUP(GU398,'Jan-2026 rates'!$E:$F,2,0)))</f>
        <v>0</v>
      </c>
      <c r="HE398" s="409"/>
      <c r="HF398" s="398">
        <f>IF(HE398=0,0,IF(LEN(GV398)=11,_xlfn.XLOOKUP(GV398,'Dispensed Ink Rates'!C:C,'Dispensed Ink Rates'!CS:CS),VLOOKUP(GV398,'Jan-2026 rates'!$E:$F,2,0)))</f>
        <v>0</v>
      </c>
      <c r="HG398" s="409"/>
      <c r="HH398" s="398">
        <f>IF(HG398=0,0,IF(LEN(GW398)=11,_xlfn.XLOOKUP(GW398,'Dispensed Ink Rates'!C:C,'Dispensed Ink Rates'!CS:CS),VLOOKUP(GW398,'Jan-2026 rates'!$E:$F,2,0)))</f>
        <v>0</v>
      </c>
      <c r="HI398" s="409"/>
      <c r="HJ398" s="398">
        <f>IF(HI398=0,0,IF(LEN(GX398)=11,_xlfn.XLOOKUP(GX398,'Dispensed Ink Rates'!C:C,'Dispensed Ink Rates'!CS:CS),VLOOKUP(GX398,'Jan-2026 rates'!$E:$F,2,0)))</f>
        <v>0</v>
      </c>
      <c r="HK398" s="409"/>
      <c r="HL398" s="398">
        <f>IF(HK398=0,0,IF(LEN(GY398)=11,_xlfn.XLOOKUP(GY398,'Dispensed Ink Rates'!C:C,'Dispensed Ink Rates'!CS:CS),VLOOKUP(GY398,'Jan-2026 rates'!$E:$F,2,0)))</f>
        <v>0</v>
      </c>
      <c r="HM398" s="409"/>
      <c r="HN398" s="398">
        <f>IF(HM398=0,0,IF(LEN(GZ398)=11,_xlfn.XLOOKUP(GZ398,'Dispensed Ink Rates'!C:C,'Dispensed Ink Rates'!CS:CS),VLOOKUP(GZ398,'Jan-2026 rates'!$E:$F,2,0)))</f>
        <v>0</v>
      </c>
      <c r="HO398" s="409"/>
      <c r="HP398" s="398">
        <f>IF(HO398=0,0,IF(LEN(HA398)=11,_xlfn.XLOOKUP(HA398,'Dispensed Ink Rates'!C:C,'Dispensed Ink Rates'!CS:CS),VLOOKUP(HA398,'Jan-2026 rates'!$E:$F,2,0)))</f>
        <v>0</v>
      </c>
      <c r="HQ398" s="409"/>
      <c r="HR398" s="398">
        <f>IF(HQ398=0,0,IF(LEN(HB398)=11,_xlfn.XLOOKUP(HB398,'Dispensed Ink Rates'!C:C,'Dispensed Ink Rates'!CS:CS),VLOOKUP(HB398,'Jan-2026 rates'!$E:$F,2,0)))</f>
        <v>0</v>
      </c>
      <c r="HS398" s="409" t="s">
        <v>1881</v>
      </c>
      <c r="HT398" s="409">
        <v>28</v>
      </c>
      <c r="HU398" s="411">
        <f t="shared" si="227"/>
        <v>0</v>
      </c>
      <c r="HV398" s="411">
        <f t="shared" si="228"/>
        <v>4.7142857142857153</v>
      </c>
      <c r="HW398" s="414">
        <f t="shared" si="229"/>
        <v>0</v>
      </c>
      <c r="HX398" s="405" t="s">
        <v>856</v>
      </c>
      <c r="HY398" s="409" t="s">
        <v>5012</v>
      </c>
      <c r="HZ398" s="420" t="str">
        <f t="shared" si="189"/>
        <v>ToyoLi - WHITE</v>
      </c>
      <c r="IA398" s="409">
        <v>30</v>
      </c>
      <c r="IB398" s="411">
        <f>IF(IA398=0,0,IF($LB398=70%,VLOOKUP($HZ398,'Jan-2026 rates'!$L:$R,4,0),IF($LB398=65%,VLOOKUP($HZ398,'Jan-2026 rates'!$L:$R,4,0),IF($LB398=40%,VLOOKUP($HZ398,'Jan-2026 rates'!$L:$R,5,0),IF($LB398=30%,VLOOKUP($HZ398,'Jan-2026 rates'!$L:$R,6,0),IF($LB398=100%,VLOOKUP($HZ398,'Jan-2026 rates'!$L:$R,7,0),IF($LB398=60%,VLOOKUP($HZ398,'Jan-2026 rates'!$L:$S,8,0),IF($LB398=80%,VLOOKUP($HZ398,'Jan-2026 rates'!L:T,9,0),0))))))))</f>
        <v>0</v>
      </c>
      <c r="IC398" s="412"/>
      <c r="ID398" s="409"/>
      <c r="IE398" s="411">
        <f>IF(ID398=0,0,IF($LB398=70%,VLOOKUP($HZ398,'Jan-2026 rates'!$L:$R,4,0),IF($LB398=65%,VLOOKUP($HZ398,'Jan-2026 rates'!$L:$R,4,0),IF($LB398=40%,VLOOKUP($HZ398,'Jan-2026 rates'!$L:$R,5,0),IF($LB398=30%,VLOOKUP($HZ398,'Jan-2026 rates'!$L:$R,6,0),IF($LB398=100%,VLOOKUP($HZ398,'Jan-2026 rates'!$L:$R,7,0),IF($LB398=60%,VLOOKUP($HZ398,'Jan-2026 rates'!$L:$S,8,0),IF($LB398=80%,VLOOKUP($HZ398,'Jan-2026 rates'!L:T,9,0),0))))))))</f>
        <v>0</v>
      </c>
      <c r="IF398" s="412" t="s">
        <v>1249</v>
      </c>
      <c r="IG398" s="413" t="s">
        <v>1122</v>
      </c>
      <c r="IH398" s="412"/>
      <c r="II398" s="412"/>
      <c r="IJ398" s="412"/>
      <c r="IK398" s="412"/>
      <c r="IL398" s="412"/>
      <c r="IM398" s="412"/>
      <c r="IN398" s="409">
        <f>40+40</f>
        <v>80</v>
      </c>
      <c r="IO398" s="398">
        <f>IF(IN398=0,0,IF(LEN(IF398)=11,_xlfn.XLOOKUP(IF398,'Dispensed Ink Rates'!C:C,'Dispensed Ink Rates'!CS:CS),VLOOKUP(IF398,'Jan-2026 rates'!$E:$F,2,0)))</f>
        <v>0</v>
      </c>
      <c r="IP398" s="409">
        <v>7.08</v>
      </c>
      <c r="IQ398" s="398">
        <f>IF(IP398=0,0,IF(LEN(IG398)=11,_xlfn.XLOOKUP(IG398,'Dispensed Ink Rates'!C:C,'Dispensed Ink Rates'!CS:CS),VLOOKUP(IG398,'Jan-2026 rates'!$E:$F,2,0)))</f>
        <v>0</v>
      </c>
      <c r="IR398" s="409"/>
      <c r="IS398" s="398">
        <f>IF(IR398=0,0,IF(LEN(IH398)=11,_xlfn.XLOOKUP(IH398,'Dispensed Ink Rates'!C:C,'Dispensed Ink Rates'!CS:CS),VLOOKUP(IH398,'Jan-2026 rates'!$E:$F,2,0)))</f>
        <v>0</v>
      </c>
      <c r="IT398" s="409"/>
      <c r="IU398" s="398">
        <f>IF(IT398=0,0,IF(LEN(II398)=11,_xlfn.XLOOKUP(II398,'Dispensed Ink Rates'!C:C,'Dispensed Ink Rates'!CS:CS),VLOOKUP(II398,'Jan-2026 rates'!$E:$F,2,0)))</f>
        <v>0</v>
      </c>
      <c r="IV398" s="409"/>
      <c r="IW398" s="398">
        <f>IF(IV398=0,0,IF(LEN(IJ398)=11,_xlfn.XLOOKUP(IJ398,'Dispensed Ink Rates'!C:C,'Dispensed Ink Rates'!CS:CS),VLOOKUP(IJ398,'Jan-2026 rates'!$E:$F,2,0)))</f>
        <v>0</v>
      </c>
      <c r="IX398" s="409"/>
      <c r="IY398" s="398">
        <f>IF(IX398=0,0,IF(LEN(IK398)=11,_xlfn.XLOOKUP(IK398,'Dispensed Ink Rates'!C:C,'Dispensed Ink Rates'!CS:CS),VLOOKUP(IK398,'Jan-2026 rates'!$E:$F,2,0)))</f>
        <v>0</v>
      </c>
      <c r="IZ398" s="409"/>
      <c r="JA398" s="398">
        <f>IF(IZ398=0,0,IF(LEN(IL398)=11,_xlfn.XLOOKUP(IL398,'Dispensed Ink Rates'!C:C,'Dispensed Ink Rates'!CS:CS),VLOOKUP(IL398,'Jan-2026 rates'!$E:$F,2,0)))</f>
        <v>0</v>
      </c>
      <c r="JB398" s="409"/>
      <c r="JC398" s="398">
        <f>IF(JB398=0,0,IF(LEN(IM398)=11,_xlfn.XLOOKUP(IM398,'Dispensed Ink Rates'!C:C,'Dispensed Ink Rates'!CS:CS),VLOOKUP(IM398,'Jan-2026 rates'!$E:$F,2,0)))</f>
        <v>0</v>
      </c>
      <c r="JD398" s="409" t="s">
        <v>1881</v>
      </c>
      <c r="JE398" s="409">
        <v>30</v>
      </c>
      <c r="JF398" s="411">
        <f t="shared" si="230"/>
        <v>0</v>
      </c>
      <c r="JG398" s="411">
        <f t="shared" si="231"/>
        <v>161.36571428571426</v>
      </c>
      <c r="JH398" s="410">
        <f t="shared" si="232"/>
        <v>0</v>
      </c>
      <c r="JI398" s="405"/>
      <c r="JJ398" s="409"/>
      <c r="JK398" s="420" t="str">
        <f t="shared" si="190"/>
        <v xml:space="preserve"> - </v>
      </c>
      <c r="JL398" s="409"/>
      <c r="JM398" s="411">
        <f>IF(JL398=0,0,IF($LB398=70%,VLOOKUP($JK398,'Jan-2026 rates'!$L:$R,4,0),IF($LB398=65%,VLOOKUP($JK398,'Jan-2026 rates'!$L:$R,4,0),IF($LB398=40%,VLOOKUP($JK398,'Jan-2026 rates'!$L:$R,5,0),IF($LB398=30%,VLOOKUP($JK398,'Jan-2026 rates'!$L:$R,6,0),IF($LB398=100%,VLOOKUP($JK398,'Jan-2026 rates'!$L:$R,7,0),IF($LB398=60%,VLOOKUP($JK398,'Jan-2026 rates'!$L:$S,8,0),IF($LB398=80%,VLOOKUP($JK398,'Jan-2026 rates'!L:T,9,0),0))))))))</f>
        <v>0</v>
      </c>
      <c r="JN398" s="412"/>
      <c r="JO398" s="409"/>
      <c r="JP398" s="411">
        <f>IF(JO398=0,0,IF($LB398=70%,VLOOKUP($JK398,'Jan-2026 rates'!$L:$R,4,0),IF($LB398=65%,VLOOKUP($JK398,'Jan-2026 rates'!$L:$R,4,0),IF($LB398=40%,VLOOKUP($JK398,'Jan-2026 rates'!$L:$R,5,0),IF($LB398=30%,VLOOKUP($JK398,'Jan-2026 rates'!$L:$R,6,0),IF($LB398=100%,VLOOKUP($JK398,'Jan-2026 rates'!$L:$R,7,0),IF($LB398=60%,VLOOKUP($JK398,'Jan-2026 rates'!$L:$S,8,0),IF($LB398=80%,VLOOKUP($JK398,'Jan-2026 rates'!L:T,9,0),0))))))))</f>
        <v>0</v>
      </c>
      <c r="JQ398" s="413"/>
      <c r="JR398" s="412"/>
      <c r="JS398" s="413"/>
      <c r="JT398" s="413"/>
      <c r="JU398" s="412"/>
      <c r="JV398" s="412"/>
      <c r="JW398" s="412"/>
      <c r="JX398" s="412"/>
      <c r="JY398" s="409"/>
      <c r="JZ398" s="398">
        <f>IF(JY398=0,0,IF(LEN(JQ398)=11,_xlfn.XLOOKUP(JQ398,'Dispensed Ink Rates'!C:C,'Dispensed Ink Rates'!CS:CS),VLOOKUP(JQ398,'Jan-2026 rates'!$E:$F,2,0)))</f>
        <v>0</v>
      </c>
      <c r="KA398" s="409"/>
      <c r="KB398" s="398">
        <f>IF(KA398=0,0,IF(LEN(JR398)=11,_xlfn.XLOOKUP(JR398,'Dispensed Ink Rates'!C:C,'Dispensed Ink Rates'!CS:CS),VLOOKUP(JR398,'Jan-2026 rates'!$E:$F,2,0)))</f>
        <v>0</v>
      </c>
      <c r="KC398" s="409"/>
      <c r="KD398" s="398">
        <f>IF(KC398=0,0,IF(LEN(JS398)=11,_xlfn.XLOOKUP(JS398,'Dispensed Ink Rates'!C:C,'Dispensed Ink Rates'!CS:CS),VLOOKUP(JS398,'Jan-2026 rates'!$E:$F,2,0)))</f>
        <v>0</v>
      </c>
      <c r="KE398" s="409"/>
      <c r="KF398" s="398">
        <f>IF(KE398=0,0,IF(LEN(JT398)=11,_xlfn.XLOOKUP(JT398,'Dispensed Ink Rates'!C:C,'Dispensed Ink Rates'!CS:CS),VLOOKUP(JT398,'Jan-2026 rates'!$E:$F,2,0)))</f>
        <v>0</v>
      </c>
      <c r="KG398" s="409"/>
      <c r="KH398" s="398">
        <f>IF(KG398=0,0,IF(LEN(JU398)=11,_xlfn.XLOOKUP(JU398,'Dispensed Ink Rates'!C:C,'Dispensed Ink Rates'!CS:CS),VLOOKUP(JU398,'Jan-2026 rates'!$E:$F,2,0)))</f>
        <v>0</v>
      </c>
      <c r="KI398" s="409"/>
      <c r="KJ398" s="398">
        <f>IF(KI398=0,0,IF(LEN(JV398)=11,_xlfn.XLOOKUP(JV398,'Dispensed Ink Rates'!C:C,'Dispensed Ink Rates'!CS:CS),VLOOKUP(JV398,'Jan-2026 rates'!$E:$F,2,0)))</f>
        <v>0</v>
      </c>
      <c r="KK398" s="409"/>
      <c r="KL398" s="398">
        <f>IF(KK398=0,0,IF(LEN(JW398)=11,_xlfn.XLOOKUP(JW398,'Dispensed Ink Rates'!C:C,'Dispensed Ink Rates'!CS:CS),VLOOKUP(JW398,'Jan-2026 rates'!$E:$F,2,0)))</f>
        <v>0</v>
      </c>
      <c r="KM398" s="428"/>
      <c r="KN398" s="398">
        <f>IF(KM398=0,0,IF(LEN(JX398)=11,_xlfn.XLOOKUP(JX398,'Dispensed Ink Rates'!C:C,'Dispensed Ink Rates'!CS:CS),VLOOKUP(JX398,'Jan-2026 rates'!$E:$F,2,0)))</f>
        <v>0</v>
      </c>
      <c r="KO398" s="409"/>
      <c r="KP398" s="409"/>
      <c r="KQ398" s="411">
        <f t="shared" si="233"/>
        <v>0</v>
      </c>
      <c r="KR398" s="411">
        <f t="shared" si="234"/>
        <v>0</v>
      </c>
      <c r="KS398" s="410">
        <f t="shared" si="235"/>
        <v>0</v>
      </c>
      <c r="KT398" s="409">
        <v>3</v>
      </c>
      <c r="KU398" s="409">
        <f>15+5</f>
        <v>20</v>
      </c>
      <c r="KV398" s="409">
        <f>8+4</f>
        <v>12</v>
      </c>
      <c r="KW398" s="409">
        <v>5</v>
      </c>
      <c r="KX398" s="409">
        <v>2</v>
      </c>
      <c r="KY398" s="409">
        <v>2</v>
      </c>
      <c r="KZ398" s="409">
        <f>20+20</f>
        <v>40</v>
      </c>
      <c r="LA398" s="409">
        <v>0</v>
      </c>
      <c r="LB398" s="415">
        <v>0.3</v>
      </c>
      <c r="LC398" s="415"/>
      <c r="LD398" s="424"/>
      <c r="LE398" s="415">
        <v>0.5</v>
      </c>
      <c r="LF398" s="415">
        <v>0.2</v>
      </c>
      <c r="LG398" s="409">
        <v>0</v>
      </c>
      <c r="LH398" s="409">
        <f>40+36+24+40+16</f>
        <v>156</v>
      </c>
      <c r="LI398" s="409">
        <v>0</v>
      </c>
      <c r="LJ398" s="409">
        <v>0</v>
      </c>
      <c r="LK398" s="416">
        <f t="shared" si="191"/>
        <v>156</v>
      </c>
      <c r="LL398" s="416">
        <f t="shared" si="349"/>
        <v>156</v>
      </c>
      <c r="LM398" s="417">
        <f t="shared" si="193"/>
        <v>46.8</v>
      </c>
      <c r="LN398" s="417">
        <f>VLOOKUP($LM$8,'Jan-2026 rates'!$H:$I,2,0)</f>
        <v>0</v>
      </c>
      <c r="LO398" s="417">
        <f t="shared" si="194"/>
        <v>0</v>
      </c>
      <c r="LP398" s="417">
        <f>VLOOKUP($LO$8,'Jan-2026 rates'!$H:$I,2,0)</f>
        <v>0</v>
      </c>
      <c r="LQ398" s="417">
        <f t="shared" si="195"/>
        <v>0</v>
      </c>
      <c r="LR398" s="417">
        <f>VLOOKUP($LQ$8,'Jan-2026 rates'!$H:$I,2,0)</f>
        <v>0</v>
      </c>
      <c r="LS398" s="417">
        <f t="shared" si="196"/>
        <v>78</v>
      </c>
      <c r="LT398" s="417">
        <f>VLOOKUP($LS$8,'Jan-2026 rates'!$H:$I,2,0)</f>
        <v>0</v>
      </c>
      <c r="LU398" s="417">
        <f t="shared" si="197"/>
        <v>31.200000000000003</v>
      </c>
      <c r="LV398" s="417">
        <f>VLOOKUP($LU$8,'Jan-2026 rates'!$H:$I,2,0)</f>
        <v>0</v>
      </c>
      <c r="LW398" s="417">
        <f t="shared" si="198"/>
        <v>0</v>
      </c>
      <c r="LX398" s="417">
        <f t="shared" si="199"/>
        <v>0</v>
      </c>
      <c r="LY398" s="418">
        <f t="shared" si="200"/>
        <v>0</v>
      </c>
      <c r="LZ398" s="417"/>
      <c r="MA398" s="435">
        <f t="shared" si="201"/>
        <v>180.08</v>
      </c>
      <c r="MB398" s="282">
        <f t="shared" si="202"/>
        <v>264.08</v>
      </c>
      <c r="MC398" s="283" t="s">
        <v>5013</v>
      </c>
      <c r="MD398" s="284" t="str">
        <f t="shared" si="203"/>
        <v>ToyoLiToyoLiToyoLiToyoLiToyoLiToyoLiToyoLi</v>
      </c>
      <c r="ME398" s="293" t="str">
        <f t="shared" si="204"/>
        <v>+</v>
      </c>
      <c r="MF398" s="293" t="str">
        <f t="shared" si="205"/>
        <v>+</v>
      </c>
      <c r="MG398" s="293" t="str">
        <f t="shared" si="206"/>
        <v>+</v>
      </c>
      <c r="MH398" s="293" t="str">
        <f t="shared" si="207"/>
        <v>+</v>
      </c>
      <c r="MI398" s="293" t="str">
        <f t="shared" si="208"/>
        <v>+</v>
      </c>
      <c r="MJ398" s="293" t="str">
        <f t="shared" si="209"/>
        <v>+</v>
      </c>
      <c r="MK398" s="293" t="str">
        <f t="shared" si="210"/>
        <v>+</v>
      </c>
      <c r="ML398" s="293" t="str">
        <f t="shared" si="211"/>
        <v>NIL</v>
      </c>
      <c r="MM398" s="3" t="b">
        <f t="array" ref="MM398">OR(ME398:ML398="-")</f>
        <v>0</v>
      </c>
      <c r="MO398" s="401">
        <f t="shared" si="350"/>
        <v>59.07829977628635</v>
      </c>
      <c r="MP398" s="286"/>
      <c r="MR398" s="402">
        <f t="shared" si="351"/>
        <v>1.2696153846153845E-2</v>
      </c>
      <c r="MS398" s="400">
        <f t="shared" si="352"/>
        <v>0</v>
      </c>
      <c r="MT398" s="285"/>
      <c r="NH398" s="361"/>
      <c r="NJ398" s="282"/>
    </row>
    <row r="399" spans="1:374" ht="16.5">
      <c r="A399" s="403">
        <v>46053</v>
      </c>
      <c r="B399" s="404" t="s">
        <v>1018</v>
      </c>
      <c r="C399" s="405" t="s">
        <v>5014</v>
      </c>
      <c r="D399" s="404" t="s">
        <v>5022</v>
      </c>
      <c r="E399" s="404">
        <v>64</v>
      </c>
      <c r="F399" s="407">
        <v>5400</v>
      </c>
      <c r="G399" s="407" t="s">
        <v>1016</v>
      </c>
      <c r="H399" s="408" t="s">
        <v>1017</v>
      </c>
      <c r="I399" s="409">
        <v>1.3</v>
      </c>
      <c r="J399" s="405" t="s">
        <v>543</v>
      </c>
      <c r="K399" s="404" t="s">
        <v>5015</v>
      </c>
      <c r="L399" s="419" t="str">
        <f t="shared" si="184"/>
        <v>ToyoLi - BLACK</v>
      </c>
      <c r="M399" s="404">
        <v>26</v>
      </c>
      <c r="N399" s="410">
        <f>IF(M399=0,0,IF($LB399=70%,VLOOKUP($L399,'Jan-2026 rates'!$L:$R,4,0),IF($LB399=65%,VLOOKUP($L399,'Jan-2026 rates'!$L:$R,4,0),IF($LB399=40%,VLOOKUP($L399,'Jan-2026 rates'!$L:$R,5,0),IF($LB399=30%,VLOOKUP($L399,'Jan-2026 rates'!$L:$R,6,0),IF($LB399=100%,VLOOKUP($L399,'Jan-2026 rates'!$L:$R,7,0),IF($LB399=60%,VLOOKUP($L399,'Jan-2026 rates'!$L:$S,8,0),IF($LB399=80%,VLOOKUP($L399,'Jan-2026 rates'!L:T,9,0),0))))))))</f>
        <v>0</v>
      </c>
      <c r="O399" s="406"/>
      <c r="P399" s="404"/>
      <c r="Q399" s="410">
        <f>IF(P399=0,0,IF($LB399=70%,VLOOKUP($L399,'Jan-2026 rates'!$L:$R,4,0),IF($LB399=65%,VLOOKUP($L399,'Jan-2026 rates'!$L:$R,4,0),IF($LB399=40%,VLOOKUP($L399,'Jan-2026 rates'!$L:$R,5,0),IF($LB399=30%,VLOOKUP($L399,'Jan-2026 rates'!$L:$R,6,0),IF($LB399=100%,VLOOKUP($L399,'Jan-2026 rates'!$L:$R,7,0),IF($LB399=60%,VLOOKUP($L399,'Jan-2026 rates'!$L:$S,8,0),IF($LB399=80%,VLOOKUP($L399,'Jan-2026 rates'!L:T,9,0),0))))))))</f>
        <v>0</v>
      </c>
      <c r="R399" s="406"/>
      <c r="S399" s="406"/>
      <c r="T399" s="406"/>
      <c r="U399" s="406"/>
      <c r="V399" s="406"/>
      <c r="W399" s="406"/>
      <c r="X399" s="406"/>
      <c r="Y399" s="406"/>
      <c r="Z399" s="404"/>
      <c r="AA399" s="398">
        <f>IF(Z399=0,0,IF(LEN(R399)=11,_xlfn.XLOOKUP(R399,'Dispensed Ink Rates'!C:C,'Dispensed Ink Rates'!CS:CS),VLOOKUP(R399,'Jan-2026 rates'!$E:$F,2,0)))</f>
        <v>0</v>
      </c>
      <c r="AB399" s="404"/>
      <c r="AC399" s="398">
        <f>IF(AB399=0,0,IF(LEN(S399)=11,_xlfn.XLOOKUP(S399,'Dispensed Ink Rates'!C:C,'Dispensed Ink Rates'!CS:CS),VLOOKUP(S399,'Jan-2026 rates'!$E:$F,2,0)))</f>
        <v>0</v>
      </c>
      <c r="AD399" s="404"/>
      <c r="AE399" s="398">
        <f>IF(AD399=0,0,IF(LEN(T399)=11,_xlfn.XLOOKUP(T399,'Dispensed Ink Rates'!C:C,'Dispensed Ink Rates'!CS:CS),VLOOKUP(T399,'Jan-2026 rates'!$E:$F,2,0)))</f>
        <v>0</v>
      </c>
      <c r="AF399" s="404"/>
      <c r="AG399" s="398">
        <f>IF(AF399=0,0,IF(LEN(U399)=11,_xlfn.XLOOKUP(U399,'Dispensed Ink Rates'!C:C,'Dispensed Ink Rates'!CS:CS),VLOOKUP(U399,'Jan-2026 rates'!$E:$F,2,0)))</f>
        <v>0</v>
      </c>
      <c r="AH399" s="404"/>
      <c r="AI399" s="398">
        <f>IF(AH399=0,0,IF(LEN(V399)=11,_xlfn.XLOOKUP(V399,'Dispensed Ink Rates'!C:C,'Dispensed Ink Rates'!CS:CS),VLOOKUP(V399,'Jan-2026 rates'!$E:$F,2,0)))</f>
        <v>0</v>
      </c>
      <c r="AJ399" s="404"/>
      <c r="AK399" s="398">
        <f>IF(AJ399=0,0,IF(LEN(W399)=11,_xlfn.XLOOKUP(W399,'Dispensed Ink Rates'!C:C,'Dispensed Ink Rates'!CS:CS),VLOOKUP(W399,'Jan-2026 rates'!$E:$F,2,0)))</f>
        <v>0</v>
      </c>
      <c r="AL399" s="404"/>
      <c r="AM399" s="398">
        <f>IF(AL399=0,0,IF(LEN(X399)=11,_xlfn.XLOOKUP(X399,'Dispensed Ink Rates'!C:C,'Dispensed Ink Rates'!CS:CS),VLOOKUP(X399,'Jan-2026 rates'!$E:$F,2,0)))</f>
        <v>0</v>
      </c>
      <c r="AN399" s="404"/>
      <c r="AO399" s="398">
        <f>IF(AN399=0,0,IF(LEN(Y399)=11,_xlfn.XLOOKUP(Y399,'Dispensed Ink Rates'!C:C,'Dispensed Ink Rates'!CS:CS),VLOOKUP(Y399,'Jan-2026 rates'!$E:$F,2,0)))</f>
        <v>0</v>
      </c>
      <c r="AP399" s="409" t="s">
        <v>1881</v>
      </c>
      <c r="AQ399" s="409">
        <v>24</v>
      </c>
      <c r="AR399" s="410">
        <f t="shared" si="212"/>
        <v>0</v>
      </c>
      <c r="AS399" s="411">
        <f t="shared" si="213"/>
        <v>5.8787878787878789</v>
      </c>
      <c r="AT399" s="410">
        <f t="shared" si="214"/>
        <v>0</v>
      </c>
      <c r="AU399" s="405" t="s">
        <v>857</v>
      </c>
      <c r="AV399" s="409" t="s">
        <v>5016</v>
      </c>
      <c r="AW399" s="420" t="str">
        <f t="shared" si="348"/>
        <v>ToyoLi - RED</v>
      </c>
      <c r="AX399" s="409">
        <v>5</v>
      </c>
      <c r="AY399" s="411">
        <f>IF(AX399=0,0,IF($LB399=70%,VLOOKUP($AW399,'Jan-2026 rates'!$L:$R,4,0),IF($LB399=65%,VLOOKUP($AW399,'Jan-2026 rates'!$L:$R,4,0),IF($LB399=40%,VLOOKUP($AW399,'Jan-2026 rates'!$L:$R,5,0),IF($LB399=30%,VLOOKUP($AW399,'Jan-2026 rates'!$L:$R,6,0),IF($LB399=100%,VLOOKUP($AW399,'Jan-2026 rates'!$L:$R,7,0),IF($LB399=60%,VLOOKUP($AW399,'Jan-2026 rates'!$L:$S,8,0),IF($LB399=80%,VLOOKUP($AW399,'Jan-2026 rates'!L:T,9,0),0))))))))</f>
        <v>0</v>
      </c>
      <c r="AZ399" s="412"/>
      <c r="BA399" s="409"/>
      <c r="BB399" s="411">
        <f>IF(BA399=0,0,IF($LB399=70%,VLOOKUP($AW399,'Jan-2026 rates'!$L:$R,4,0),IF($LB399=65%,VLOOKUP($AW399,'Jan-2026 rates'!$L:$R,4,0),IF($LB399=40%,VLOOKUP($AW399,'Jan-2026 rates'!$L:$R,5,0),IF($LB399=30%,VLOOKUP($AW399,'Jan-2026 rates'!$L:$R,6,0),IF($LB399=100%,VLOOKUP($AW399,'Jan-2026 rates'!$L:$R,7,0),IF($LB399=60%,VLOOKUP($AW399,'Jan-2026 rates'!$L:$S,8,0),IF($LB399=80%,VLOOKUP($AW399,'Jan-2026 rates'!L:T,9,0),0))))))))</f>
        <v>0</v>
      </c>
      <c r="BC399" s="413" t="s">
        <v>1505</v>
      </c>
      <c r="BD399" s="412"/>
      <c r="BE399" s="412"/>
      <c r="BF399" s="413"/>
      <c r="BG399" s="412"/>
      <c r="BH399" s="412"/>
      <c r="BI399" s="412"/>
      <c r="BJ399" s="412"/>
      <c r="BK399" s="409">
        <f>10+2</f>
        <v>12</v>
      </c>
      <c r="BL399" s="398">
        <f>IF(BK399=0,0,IF(LEN(BC399)=11,_xlfn.XLOOKUP(BC399,'Dispensed Ink Rates'!C:C,'Dispensed Ink Rates'!CS:CS),VLOOKUP(BC399,'Jan-2026 rates'!$E:$F,2,0)))</f>
        <v>0</v>
      </c>
      <c r="BM399" s="409"/>
      <c r="BN399" s="398">
        <f>IF(BM399=0,0,IF(LEN(BD399)=11,_xlfn.XLOOKUP(BD399,'Dispensed Ink Rates'!C:C,'Dispensed Ink Rates'!CS:CS),VLOOKUP(BD399,'Jan-2026 rates'!$E:$F,2,0)))</f>
        <v>0</v>
      </c>
      <c r="BO399" s="409"/>
      <c r="BP399" s="398">
        <f>IF(BO399=0,0,IF(LEN(BE399)=11,_xlfn.XLOOKUP(BE399,'Dispensed Ink Rates'!C:C,'Dispensed Ink Rates'!CS:CS),VLOOKUP(BE399,'Jan-2026 rates'!$E:$F,2,0)))</f>
        <v>0</v>
      </c>
      <c r="BQ399" s="409"/>
      <c r="BR399" s="398">
        <f>IF(BQ399=0,0,IF(LEN(BF399)=11,_xlfn.XLOOKUP(BF399,'Dispensed Ink Rates'!C:C,'Dispensed Ink Rates'!CS:CS),VLOOKUP(BF399,'Jan-2026 rates'!$E:$F,2,0)))</f>
        <v>0</v>
      </c>
      <c r="BS399" s="409"/>
      <c r="BT399" s="398">
        <f>IF(BS399=0,0,IF(LEN(BG399)=11,_xlfn.XLOOKUP(BG399,'Dispensed Ink Rates'!C:C,'Dispensed Ink Rates'!CS:CS),VLOOKUP(BG399,'Jan-2026 rates'!$E:$F,2,0)))</f>
        <v>0</v>
      </c>
      <c r="BU399" s="409"/>
      <c r="BV399" s="398">
        <f>IF(BU399=0,0,IF(LEN(BH399)=11,_xlfn.XLOOKUP(BH399,'Dispensed Ink Rates'!C:C,'Dispensed Ink Rates'!CS:CS),VLOOKUP(BH399,'Jan-2026 rates'!$E:$F,2,0)))</f>
        <v>0</v>
      </c>
      <c r="BW399" s="409"/>
      <c r="BX399" s="398">
        <f>IF(BW399=0,0,IF(LEN(BI399)=11,_xlfn.XLOOKUP(BI399,'Dispensed Ink Rates'!C:C,'Dispensed Ink Rates'!CS:CS),VLOOKUP(BI399,'Jan-2026 rates'!$E:$F,2,0)))</f>
        <v>0</v>
      </c>
      <c r="BY399" s="409"/>
      <c r="BZ399" s="398">
        <f>IF(BY399=0,0,IF(LEN(BJ399)=11,_xlfn.XLOOKUP(BJ399,'Dispensed Ink Rates'!C:C,'Dispensed Ink Rates'!CS:CS),VLOOKUP(BJ399,'Jan-2026 rates'!$E:$F,2,0)))</f>
        <v>0</v>
      </c>
      <c r="CA399" s="409" t="s">
        <v>1881</v>
      </c>
      <c r="CB399" s="409">
        <v>22</v>
      </c>
      <c r="CC399" s="411">
        <f t="shared" si="215"/>
        <v>0</v>
      </c>
      <c r="CD399" s="411">
        <f t="shared" si="216"/>
        <v>6.6363636363636367</v>
      </c>
      <c r="CE399" s="410">
        <f t="shared" si="217"/>
        <v>0</v>
      </c>
      <c r="CF399" s="404" t="s">
        <v>543</v>
      </c>
      <c r="CG399" s="409" t="s">
        <v>4461</v>
      </c>
      <c r="CH399" s="420" t="str">
        <f t="shared" si="185"/>
        <v>ToyoLi - BLACK</v>
      </c>
      <c r="CI399" s="409">
        <v>8</v>
      </c>
      <c r="CJ399" s="411">
        <f>IF(CI399=0,0,IF($LB399=70%,VLOOKUP($CH399,'Jan-2026 rates'!$L:$R,4,0),IF($LB399=65%,VLOOKUP($CH399,'Jan-2026 rates'!$L:$R,4,0),IF($LB399=40%,VLOOKUP($CH399,'Jan-2026 rates'!$L:$R,5,0),IF($LB399=30%,VLOOKUP($CH399,'Jan-2026 rates'!$L:$R,6,0),IF($LB399=100%,VLOOKUP($CH399,'Jan-2026 rates'!$L:$R,7,0),IF($LB399=60%,VLOOKUP($CH399,'Jan-2026 rates'!$L:$S,8,0),IF($LB399=80%,VLOOKUP($CH399,'Jan-2026 rates'!L:T,9,0),0))))))))</f>
        <v>0</v>
      </c>
      <c r="CK399" s="412" t="s">
        <v>4380</v>
      </c>
      <c r="CL399" s="409">
        <v>19</v>
      </c>
      <c r="CM399" s="411">
        <f>IF(CL399=0,0,IF($LB399=70%,VLOOKUP($CH399,'Jan-2026 rates'!$L:$R,4,0),IF($LB399=65%,VLOOKUP($CH399,'Jan-2026 rates'!$L:$R,4,0),IF($LB399=40%,VLOOKUP($CH399,'Jan-2026 rates'!$L:$R,5,0),IF($LB399=30%,VLOOKUP($CH399,'Jan-2026 rates'!$L:$R,6,0),IF($LB399=100%,VLOOKUP($CH399,'Jan-2026 rates'!$L:$R,7,0),IF($LB399=60%,VLOOKUP($CH399,'Jan-2026 rates'!$L:$S,8,0),IF($LB399=80%,VLOOKUP($CH399,'Jan-2026 rates'!L:T,9,0),0))))))))</f>
        <v>0</v>
      </c>
      <c r="CN399" s="426" t="s">
        <v>1246</v>
      </c>
      <c r="CO399" s="427" t="s">
        <v>1252</v>
      </c>
      <c r="CP399" s="426"/>
      <c r="CQ399" s="426"/>
      <c r="CR399" s="428"/>
      <c r="CS399" s="428"/>
      <c r="CT399" s="428"/>
      <c r="CU399" s="428"/>
      <c r="CV399" s="409">
        <v>2</v>
      </c>
      <c r="CW399" s="398">
        <f>IF(CV399=0,0,IF(LEN(CN399)=11,_xlfn.XLOOKUP(CN399,'Dispensed Ink Rates'!C:C,'Dispensed Ink Rates'!CS:CS),VLOOKUP(CN399,'Jan-2026 rates'!$E:$F,2,0)))</f>
        <v>0</v>
      </c>
      <c r="CX399" s="409">
        <v>3</v>
      </c>
      <c r="CY399" s="398">
        <f>IF(CX399=0,0,IF(LEN(CO399)=11,_xlfn.XLOOKUP(CO399,'Dispensed Ink Rates'!C:C,'Dispensed Ink Rates'!CS:CS),VLOOKUP(CO399,'Jan-2026 rates'!$E:$F,2,0)))</f>
        <v>0</v>
      </c>
      <c r="CZ399" s="409"/>
      <c r="DA399" s="398">
        <f>IF(CZ399=0,0,IF(LEN(CP399)=11,_xlfn.XLOOKUP(CP399,'Dispensed Ink Rates'!C:C,'Dispensed Ink Rates'!CS:CS),VLOOKUP(CP399,'Jan-2026 rates'!$E:$F,2,0)))</f>
        <v>0</v>
      </c>
      <c r="DB399" s="409"/>
      <c r="DC399" s="398">
        <f>IF(DB399=0,0,IF(LEN(CQ399)=11,_xlfn.XLOOKUP(CQ399,'Dispensed Ink Rates'!C:C,'Dispensed Ink Rates'!CS:CS),VLOOKUP(CQ399,'Jan-2026 rates'!$E:$F,2,0)))</f>
        <v>0</v>
      </c>
      <c r="DD399" s="409"/>
      <c r="DE399" s="398">
        <f>IF(DD399=0,0,IF(LEN(CR399)=11,_xlfn.XLOOKUP(CR399,'Dispensed Ink Rates'!C:C,'Dispensed Ink Rates'!CS:CS),VLOOKUP(CR399,'Jan-2026 rates'!$E:$F,2,0)))</f>
        <v>0</v>
      </c>
      <c r="DF399" s="409"/>
      <c r="DG399" s="398">
        <f>IF(DF399=0,0,IF(LEN(CS399)=11,_xlfn.XLOOKUP(CS399,'Dispensed Ink Rates'!C:C,'Dispensed Ink Rates'!CS:CS),VLOOKUP(CS399,'Jan-2026 rates'!$E:$F,2,0)))</f>
        <v>0</v>
      </c>
      <c r="DH399" s="409"/>
      <c r="DI399" s="398">
        <f>IF(DH399=0,0,IF(LEN(CT399)=11,_xlfn.XLOOKUP(CT399,'Dispensed Ink Rates'!C:C,'Dispensed Ink Rates'!CS:CS),VLOOKUP(CT399,'Jan-2026 rates'!$E:$F,2,0)))</f>
        <v>0</v>
      </c>
      <c r="DJ399" s="409"/>
      <c r="DK399" s="398">
        <f>IF(DJ399=0,0,IF(LEN(CU399)=11,_xlfn.XLOOKUP(CU399,'Dispensed Ink Rates'!C:C,'Dispensed Ink Rates'!CS:CS),VLOOKUP(CU399,'Jan-2026 rates'!$E:$F,2,0)))</f>
        <v>0</v>
      </c>
      <c r="DL399" s="409" t="s">
        <v>1881</v>
      </c>
      <c r="DM399" s="409">
        <v>25</v>
      </c>
      <c r="DN399" s="411">
        <f t="shared" si="218"/>
        <v>0</v>
      </c>
      <c r="DO399" s="411">
        <f t="shared" si="219"/>
        <v>10.878787878787875</v>
      </c>
      <c r="DP399" s="410">
        <f t="shared" si="220"/>
        <v>0</v>
      </c>
      <c r="DQ399" s="405" t="s">
        <v>855</v>
      </c>
      <c r="DR399" s="409" t="s">
        <v>5017</v>
      </c>
      <c r="DS399" s="420" t="str">
        <f t="shared" si="186"/>
        <v>ToyoLi - CYAN</v>
      </c>
      <c r="DT399" s="409">
        <v>25</v>
      </c>
      <c r="DU399" s="411">
        <f>IF(DT399=0,0,IF($LB399=70%,VLOOKUP($DS399,'Jan-2026 rates'!$L:$R,4,0),IF($LB399=65%,VLOOKUP($DS399,'Jan-2026 rates'!$L:$R,4,0),IF($LB399=40%,VLOOKUP($DS399,'Jan-2026 rates'!$L:$R,5,0),IF($LB399=30%,VLOOKUP($DS399,'Jan-2026 rates'!$L:$R,6,0),IF($LB399=100%,VLOOKUP($DS399,'Jan-2026 rates'!$L:$R,7,0),IF($LB399=60%,VLOOKUP($DS399,'Jan-2026 rates'!$L:$S,8,0),IF($LB399=80%,VLOOKUP($DS399,'Jan-2026 rates'!L:T,9,0),0))))))))</f>
        <v>0</v>
      </c>
      <c r="DV399" s="412"/>
      <c r="DW399" s="409"/>
      <c r="DX399" s="411">
        <f>IF(DW399=0,0,IF($LB399=70%,VLOOKUP($DS399,'Jan-2026 rates'!$L:$R,4,0),IF($LB399=65%,VLOOKUP($DS399,'Jan-2026 rates'!$L:$R,4,0),IF($LB399=40%,VLOOKUP($DS399,'Jan-2026 rates'!$L:$R,5,0),IF($LB399=30%,VLOOKUP($DS399,'Jan-2026 rates'!$L:$R,6,0),IF($LB399=100%,VLOOKUP($DS399,'Jan-2026 rates'!$L:$R,7,0),IF($LB399=60%,VLOOKUP($DS399,'Jan-2026 rates'!$L:$S,8,0),IF($LB399=80%,VLOOKUP($DS399,'Jan-2026 rates'!L:T,9,0),0))))))))</f>
        <v>0</v>
      </c>
      <c r="DY399" s="413" t="s">
        <v>1250</v>
      </c>
      <c r="DZ399" s="413"/>
      <c r="EA399" s="412"/>
      <c r="EB399" s="412"/>
      <c r="EC399" s="412"/>
      <c r="ED399" s="412"/>
      <c r="EE399" s="412"/>
      <c r="EF399" s="412"/>
      <c r="EG399" s="409">
        <v>3</v>
      </c>
      <c r="EH399" s="398">
        <f>IF(EG399=0,0,IF(LEN(DY399)=11,_xlfn.XLOOKUP(DY399,'Dispensed Ink Rates'!C:C,'Dispensed Ink Rates'!CS:CS),VLOOKUP(DY399,'Jan-2026 rates'!$E:$F,2,0)))</f>
        <v>0</v>
      </c>
      <c r="EI399" s="409"/>
      <c r="EJ399" s="398">
        <f>IF(EI399=0,0,IF(LEN(DZ399)=11,_xlfn.XLOOKUP(DZ399,'Dispensed Ink Rates'!C:C,'Dispensed Ink Rates'!CS:CS),VLOOKUP(DZ399,'Jan-2026 rates'!$E:$F,2,0)))</f>
        <v>0</v>
      </c>
      <c r="EK399" s="409"/>
      <c r="EL399" s="398">
        <f>IF(EK399=0,0,IF(LEN(EA399)=11,_xlfn.XLOOKUP(EA399,'Dispensed Ink Rates'!C:C,'Dispensed Ink Rates'!CS:CS),VLOOKUP(EA399,'Jan-2026 rates'!$E:$F,2,0)))</f>
        <v>0</v>
      </c>
      <c r="EM399" s="409"/>
      <c r="EN399" s="398">
        <f>IF(EM399=0,0,IF(LEN(EB399)=11,_xlfn.XLOOKUP(EB399,'Dispensed Ink Rates'!C:C,'Dispensed Ink Rates'!CS:CS),VLOOKUP(EB399,'Jan-2026 rates'!$E:$F,2,0)))</f>
        <v>0</v>
      </c>
      <c r="EO399" s="409"/>
      <c r="EP399" s="398">
        <f>IF(EO399=0,0,IF(LEN(EC399)=11,_xlfn.XLOOKUP(EC399,'Dispensed Ink Rates'!C:C,'Dispensed Ink Rates'!CS:CS),VLOOKUP(EC399,'Jan-2026 rates'!$E:$F,2,0)))</f>
        <v>0</v>
      </c>
      <c r="EQ399" s="409"/>
      <c r="ER399" s="398">
        <f>IF(EQ399=0,0,IF(LEN(ED399)=11,_xlfn.XLOOKUP(ED399,'Dispensed Ink Rates'!C:C,'Dispensed Ink Rates'!CS:CS),VLOOKUP(ED399,'Jan-2026 rates'!$E:$F,2,0)))</f>
        <v>0</v>
      </c>
      <c r="ES399" s="409"/>
      <c r="ET399" s="398">
        <f>IF(ES399=0,0,IF(LEN(EE399)=11,_xlfn.XLOOKUP(EE399,'Dispensed Ink Rates'!C:C,'Dispensed Ink Rates'!CS:CS),VLOOKUP(EE399,'Jan-2026 rates'!$E:$F,2,0)))</f>
        <v>0</v>
      </c>
      <c r="EU399" s="409"/>
      <c r="EV399" s="398">
        <f>IF(EU399=0,0,IF(LEN(EF399)=11,_xlfn.XLOOKUP(EF399,'Dispensed Ink Rates'!C:C,'Dispensed Ink Rates'!CS:CS),VLOOKUP(EF399,'Jan-2026 rates'!$E:$F,2,0)))</f>
        <v>0</v>
      </c>
      <c r="EW399" s="409" t="s">
        <v>1881</v>
      </c>
      <c r="EX399" s="409">
        <v>28</v>
      </c>
      <c r="EY399" s="411">
        <f t="shared" si="221"/>
        <v>0</v>
      </c>
      <c r="EZ399" s="411">
        <f t="shared" si="222"/>
        <v>3.8787878787878789</v>
      </c>
      <c r="FA399" s="410">
        <f t="shared" si="223"/>
        <v>0</v>
      </c>
      <c r="FB399" s="405" t="s">
        <v>544</v>
      </c>
      <c r="FC399" s="409" t="s">
        <v>5018</v>
      </c>
      <c r="FD399" s="420" t="str">
        <f t="shared" si="187"/>
        <v>ToyoLi - MAGENTA</v>
      </c>
      <c r="FE399" s="409">
        <v>27</v>
      </c>
      <c r="FF399" s="411">
        <f>IF(FE399=0,0,IF($LB399=70%,VLOOKUP($FD399,'Jan-2026 rates'!$L:$R,4,0),IF($LB399=65%,VLOOKUP($FD399,'Jan-2026 rates'!$L:$R,4,0),IF($LB399=40%,VLOOKUP($FD399,'Jan-2026 rates'!$L:$R,5,0),IF($LB399=30%,VLOOKUP($FD399,'Jan-2026 rates'!$L:$R,6,0),IF($LB399=100%,VLOOKUP($FD399,'Jan-2026 rates'!$L:$R,7,0),IF($LB399=60%,VLOOKUP($FD399,'Jan-2026 rates'!$L:$S,8,0),IF($LB399=80%,VLOOKUP($FD399,'Jan-2026 rates'!L:T,9,0),0))))))))</f>
        <v>0</v>
      </c>
      <c r="FG399" s="412"/>
      <c r="FH399" s="409"/>
      <c r="FI399" s="411">
        <f>IF(FH399=0,0,IF($LB399=70%,VLOOKUP($FD399,'Jan-2026 rates'!$L:$R,4,0),IF($LB399=65%,VLOOKUP($FD399,'Jan-2026 rates'!$L:$R,4,0),IF($LB399=40%,VLOOKUP($FD399,'Jan-2026 rates'!$L:$R,5,0),IF($LB399=30%,VLOOKUP($FD399,'Jan-2026 rates'!$L:$R,6,0),IF($LB399=100%,VLOOKUP($FD399,'Jan-2026 rates'!$L:$R,7,0),IF($LB399=60%,VLOOKUP($FD399,'Jan-2026 rates'!$L:$S,8,0),IF($LB399=80%,VLOOKUP($FD399,'Jan-2026 rates'!L:T,9,0),0))))))))</f>
        <v>0</v>
      </c>
      <c r="FJ399" s="413" t="s">
        <v>1246</v>
      </c>
      <c r="FK399" s="413"/>
      <c r="FL399" s="413"/>
      <c r="FM399" s="412"/>
      <c r="FN399" s="412"/>
      <c r="FO399" s="412"/>
      <c r="FP399" s="412"/>
      <c r="FQ399" s="412"/>
      <c r="FR399" s="409">
        <v>2</v>
      </c>
      <c r="FS399" s="398">
        <f>IF(FR399=0,0,IF(LEN(FJ399)=11,_xlfn.XLOOKUP(FJ399,'Dispensed Ink Rates'!C:C,'Dispensed Ink Rates'!CS:CS),VLOOKUP(FJ399,'Jan-2026 rates'!$E:$F,2,0)))</f>
        <v>0</v>
      </c>
      <c r="FT399" s="409"/>
      <c r="FU399" s="398">
        <f>IF(FT399=0,0,IF(LEN(FK399)=11,_xlfn.XLOOKUP(FK399,'Dispensed Ink Rates'!C:C,'Dispensed Ink Rates'!CS:CS),VLOOKUP(FK399,'Jan-2026 rates'!$E:$F,2,0)))</f>
        <v>0</v>
      </c>
      <c r="FV399" s="409"/>
      <c r="FW399" s="398">
        <f>IF(FV399=0,0,IF(LEN(FL399)=11,_xlfn.XLOOKUP(FL399,'Dispensed Ink Rates'!C:C,'Dispensed Ink Rates'!CS:CS),VLOOKUP(FL399,'Jan-2026 rates'!$E:$F,2,0)))</f>
        <v>0</v>
      </c>
      <c r="FX399" s="409"/>
      <c r="FY399" s="398">
        <f>IF(FX399=0,0,IF(LEN(FM399)=11,_xlfn.XLOOKUP(FM399,'Dispensed Ink Rates'!C:C,'Dispensed Ink Rates'!CS:CS),VLOOKUP(FM399,'Jan-2026 rates'!$E:$F,2,0)))</f>
        <v>0</v>
      </c>
      <c r="FZ399" s="409"/>
      <c r="GA399" s="398">
        <f>IF(FZ399=0,0,IF(LEN(FN399)=11,_xlfn.XLOOKUP(FN399,'Dispensed Ink Rates'!C:C,'Dispensed Ink Rates'!CS:CS),VLOOKUP(FN399,'Jan-2026 rates'!$E:$F,2,0)))</f>
        <v>0</v>
      </c>
      <c r="GB399" s="409"/>
      <c r="GC399" s="398">
        <f>IF(GB399=0,0,IF(LEN(FO399)=11,_xlfn.XLOOKUP(FO399,'Dispensed Ink Rates'!C:C,'Dispensed Ink Rates'!CS:CS),VLOOKUP(FO399,'Jan-2026 rates'!$E:$F,2,0)))</f>
        <v>0</v>
      </c>
      <c r="GD399" s="409"/>
      <c r="GE399" s="398">
        <f>IF(GD399=0,0,IF(LEN(FP399)=11,_xlfn.XLOOKUP(FP399,'Dispensed Ink Rates'!C:C,'Dispensed Ink Rates'!CS:CS),VLOOKUP(FP399,'Jan-2026 rates'!$E:$F,2,0)))</f>
        <v>0</v>
      </c>
      <c r="GF399" s="409"/>
      <c r="GG399" s="398">
        <f>IF(GF399=0,0,IF(LEN(FQ399)=11,_xlfn.XLOOKUP(FQ399,'Dispensed Ink Rates'!C:C,'Dispensed Ink Rates'!CS:CS),VLOOKUP(FQ399,'Jan-2026 rates'!$E:$F,2,0)))</f>
        <v>0</v>
      </c>
      <c r="GH399" s="409" t="s">
        <v>1881</v>
      </c>
      <c r="GI399" s="409">
        <v>26</v>
      </c>
      <c r="GJ399" s="411">
        <f t="shared" si="224"/>
        <v>0</v>
      </c>
      <c r="GK399" s="411">
        <f t="shared" si="225"/>
        <v>6.8787878787878753</v>
      </c>
      <c r="GL399" s="410">
        <f t="shared" si="226"/>
        <v>0</v>
      </c>
      <c r="GM399" s="405" t="s">
        <v>545</v>
      </c>
      <c r="GN399" s="409" t="s">
        <v>5019</v>
      </c>
      <c r="GO399" s="420" t="str">
        <f t="shared" si="188"/>
        <v>ToyoLi - YELLOW</v>
      </c>
      <c r="GP399" s="409">
        <v>28</v>
      </c>
      <c r="GQ399" s="411">
        <f>IF(GP399=0,0,IF($LB399=70%,VLOOKUP($GO399,'Jan-2026 rates'!$L:$R,4,0),IF($LB399=65%,VLOOKUP($GO399,'Jan-2026 rates'!$L:$R,4,0),IF($LB399=40%,VLOOKUP($GO399,'Jan-2026 rates'!$L:$R,5,0),IF($LB399=30%,VLOOKUP($GO399,'Jan-2026 rates'!$L:$R,6,0),IF($LB399=100%,VLOOKUP($GO399,'Jan-2026 rates'!$L:$R,7,0),IF($LB399=60%,VLOOKUP($GO399,'Jan-2026 rates'!$L:$S,8,0),IF($LB399=80%,VLOOKUP($GO399,'Jan-2026 rates'!L:T,9,0),0))))))))</f>
        <v>0</v>
      </c>
      <c r="GR399" s="412"/>
      <c r="GS399" s="409"/>
      <c r="GT399" s="411">
        <f>IF(GS399=0,0,IF($LB399=70%,VLOOKUP($GO399,'Jan-2026 rates'!$L:$R,4,0),IF($LB399=65%,VLOOKUP($GO399,'Jan-2026 rates'!$L:$R,4,0),IF($LB399=40%,VLOOKUP($GO399,'Jan-2026 rates'!$L:$R,5,0),IF($LB399=30%,VLOOKUP($GO399,'Jan-2026 rates'!$L:$R,6,0),IF($LB399=100%,VLOOKUP($GO399,'Jan-2026 rates'!$L:$R,7,0),IF($LB399=60%,VLOOKUP($GO399,'Jan-2026 rates'!$L:$S,8,0),IF($LB399=80%,VLOOKUP($GO399,'Jan-2026 rates'!L:T,9,0),0))))))))</f>
        <v>0</v>
      </c>
      <c r="GU399" s="413" t="s">
        <v>1247</v>
      </c>
      <c r="GV399" s="413"/>
      <c r="GW399" s="412"/>
      <c r="GX399" s="412"/>
      <c r="GY399" s="412"/>
      <c r="GZ399" s="412"/>
      <c r="HA399" s="412"/>
      <c r="HB399" s="412"/>
      <c r="HC399" s="409">
        <v>2</v>
      </c>
      <c r="HD399" s="398">
        <f>IF(HC399=0,0,IF(LEN(GU399)=11,_xlfn.XLOOKUP(GU399,'Dispensed Ink Rates'!C:C,'Dispensed Ink Rates'!CS:CS),VLOOKUP(GU399,'Jan-2026 rates'!$E:$F,2,0)))</f>
        <v>0</v>
      </c>
      <c r="HE399" s="409"/>
      <c r="HF399" s="398">
        <f>IF(HE399=0,0,IF(LEN(GV399)=11,_xlfn.XLOOKUP(GV399,'Dispensed Ink Rates'!C:C,'Dispensed Ink Rates'!CS:CS),VLOOKUP(GV399,'Jan-2026 rates'!$E:$F,2,0)))</f>
        <v>0</v>
      </c>
      <c r="HG399" s="409"/>
      <c r="HH399" s="398">
        <f>IF(HG399=0,0,IF(LEN(GW399)=11,_xlfn.XLOOKUP(GW399,'Dispensed Ink Rates'!C:C,'Dispensed Ink Rates'!CS:CS),VLOOKUP(GW399,'Jan-2026 rates'!$E:$F,2,0)))</f>
        <v>0</v>
      </c>
      <c r="HI399" s="409"/>
      <c r="HJ399" s="398">
        <f>IF(HI399=0,0,IF(LEN(GX399)=11,_xlfn.XLOOKUP(GX399,'Dispensed Ink Rates'!C:C,'Dispensed Ink Rates'!CS:CS),VLOOKUP(GX399,'Jan-2026 rates'!$E:$F,2,0)))</f>
        <v>0</v>
      </c>
      <c r="HK399" s="409"/>
      <c r="HL399" s="398">
        <f>IF(HK399=0,0,IF(LEN(GY399)=11,_xlfn.XLOOKUP(GY399,'Dispensed Ink Rates'!C:C,'Dispensed Ink Rates'!CS:CS),VLOOKUP(GY399,'Jan-2026 rates'!$E:$F,2,0)))</f>
        <v>0</v>
      </c>
      <c r="HM399" s="409"/>
      <c r="HN399" s="398">
        <f>IF(HM399=0,0,IF(LEN(GZ399)=11,_xlfn.XLOOKUP(GZ399,'Dispensed Ink Rates'!C:C,'Dispensed Ink Rates'!CS:CS),VLOOKUP(GZ399,'Jan-2026 rates'!$E:$F,2,0)))</f>
        <v>0</v>
      </c>
      <c r="HO399" s="409"/>
      <c r="HP399" s="398">
        <f>IF(HO399=0,0,IF(LEN(HA399)=11,_xlfn.XLOOKUP(HA399,'Dispensed Ink Rates'!C:C,'Dispensed Ink Rates'!CS:CS),VLOOKUP(HA399,'Jan-2026 rates'!$E:$F,2,0)))</f>
        <v>0</v>
      </c>
      <c r="HQ399" s="409"/>
      <c r="HR399" s="398">
        <f>IF(HQ399=0,0,IF(LEN(HB399)=11,_xlfn.XLOOKUP(HB399,'Dispensed Ink Rates'!C:C,'Dispensed Ink Rates'!CS:CS),VLOOKUP(HB399,'Jan-2026 rates'!$E:$F,2,0)))</f>
        <v>0</v>
      </c>
      <c r="HS399" s="409" t="s">
        <v>1881</v>
      </c>
      <c r="HT399" s="409">
        <v>28</v>
      </c>
      <c r="HU399" s="411">
        <f t="shared" si="227"/>
        <v>0</v>
      </c>
      <c r="HV399" s="411">
        <f t="shared" si="228"/>
        <v>5.8787878787878753</v>
      </c>
      <c r="HW399" s="414">
        <f t="shared" si="229"/>
        <v>0</v>
      </c>
      <c r="HX399" s="405" t="s">
        <v>548</v>
      </c>
      <c r="HY399" s="409" t="s">
        <v>5020</v>
      </c>
      <c r="HZ399" s="420" t="str">
        <f t="shared" si="189"/>
        <v>ToyoLi - GOLD</v>
      </c>
      <c r="IA399" s="409">
        <v>25</v>
      </c>
      <c r="IB399" s="411">
        <f>IF(IA399=0,0,IF($LB399=70%,VLOOKUP($HZ399,'Jan-2026 rates'!$L:$R,4,0),IF($LB399=65%,VLOOKUP($HZ399,'Jan-2026 rates'!$L:$R,4,0),IF($LB399=40%,VLOOKUP($HZ399,'Jan-2026 rates'!$L:$R,5,0),IF($LB399=30%,VLOOKUP($HZ399,'Jan-2026 rates'!$L:$R,6,0),IF($LB399=100%,VLOOKUP($HZ399,'Jan-2026 rates'!$L:$R,7,0),IF($LB399=60%,VLOOKUP($HZ399,'Jan-2026 rates'!$L:$S,8,0),IF($LB399=80%,VLOOKUP($HZ399,'Jan-2026 rates'!L:T,9,0),0))))))))</f>
        <v>0</v>
      </c>
      <c r="IC399" s="412"/>
      <c r="ID399" s="409"/>
      <c r="IE399" s="411">
        <f>IF(ID399=0,0,IF($LB399=70%,VLOOKUP($HZ399,'Jan-2026 rates'!$L:$R,4,0),IF($LB399=65%,VLOOKUP($HZ399,'Jan-2026 rates'!$L:$R,4,0),IF($LB399=40%,VLOOKUP($HZ399,'Jan-2026 rates'!$L:$R,5,0),IF($LB399=30%,VLOOKUP($HZ399,'Jan-2026 rates'!$L:$R,6,0),IF($LB399=100%,VLOOKUP($HZ399,'Jan-2026 rates'!$L:$R,7,0),IF($LB399=60%,VLOOKUP($HZ399,'Jan-2026 rates'!$L:$S,8,0),IF($LB399=80%,VLOOKUP($HZ399,'Jan-2026 rates'!L:T,9,0),0))))))))</f>
        <v>0</v>
      </c>
      <c r="IF399" s="412" t="s">
        <v>1892</v>
      </c>
      <c r="IG399" s="413" t="s">
        <v>1505</v>
      </c>
      <c r="IH399" s="412"/>
      <c r="II399" s="412"/>
      <c r="IJ399" s="412"/>
      <c r="IK399" s="412"/>
      <c r="IL399" s="412"/>
      <c r="IM399" s="412"/>
      <c r="IN399" s="409">
        <v>8</v>
      </c>
      <c r="IO399" s="398">
        <f>IF(IN399=0,0,IF(LEN(IF399)=11,_xlfn.XLOOKUP(IF399,'Dispensed Ink Rates'!C:C,'Dispensed Ink Rates'!CS:CS),VLOOKUP(IF399,'Jan-2026 rates'!$E:$F,2,0)))</f>
        <v>0</v>
      </c>
      <c r="IP399" s="409">
        <v>0.2</v>
      </c>
      <c r="IQ399" s="398">
        <f>IF(IP399=0,0,IF(LEN(IG399)=11,_xlfn.XLOOKUP(IG399,'Dispensed Ink Rates'!C:C,'Dispensed Ink Rates'!CS:CS),VLOOKUP(IG399,'Jan-2026 rates'!$E:$F,2,0)))</f>
        <v>0</v>
      </c>
      <c r="IR399" s="409"/>
      <c r="IS399" s="398">
        <f>IF(IR399=0,0,IF(LEN(IH399)=11,_xlfn.XLOOKUP(IH399,'Dispensed Ink Rates'!C:C,'Dispensed Ink Rates'!CS:CS),VLOOKUP(IH399,'Jan-2026 rates'!$E:$F,2,0)))</f>
        <v>0</v>
      </c>
      <c r="IT399" s="409"/>
      <c r="IU399" s="398">
        <f>IF(IT399=0,0,IF(LEN(II399)=11,_xlfn.XLOOKUP(II399,'Dispensed Ink Rates'!C:C,'Dispensed Ink Rates'!CS:CS),VLOOKUP(II399,'Jan-2026 rates'!$E:$F,2,0)))</f>
        <v>0</v>
      </c>
      <c r="IV399" s="409"/>
      <c r="IW399" s="398">
        <f>IF(IV399=0,0,IF(LEN(IJ399)=11,_xlfn.XLOOKUP(IJ399,'Dispensed Ink Rates'!C:C,'Dispensed Ink Rates'!CS:CS),VLOOKUP(IJ399,'Jan-2026 rates'!$E:$F,2,0)))</f>
        <v>0</v>
      </c>
      <c r="IX399" s="409"/>
      <c r="IY399" s="398">
        <f>IF(IX399=0,0,IF(LEN(IK399)=11,_xlfn.XLOOKUP(IK399,'Dispensed Ink Rates'!C:C,'Dispensed Ink Rates'!CS:CS),VLOOKUP(IK399,'Jan-2026 rates'!$E:$F,2,0)))</f>
        <v>0</v>
      </c>
      <c r="IZ399" s="409"/>
      <c r="JA399" s="398">
        <f>IF(IZ399=0,0,IF(LEN(IL399)=11,_xlfn.XLOOKUP(IL399,'Dispensed Ink Rates'!C:C,'Dispensed Ink Rates'!CS:CS),VLOOKUP(IL399,'Jan-2026 rates'!$E:$F,2,0)))</f>
        <v>0</v>
      </c>
      <c r="JB399" s="409"/>
      <c r="JC399" s="398">
        <f>IF(JB399=0,0,IF(LEN(IM399)=11,_xlfn.XLOOKUP(IM399,'Dispensed Ink Rates'!C:C,'Dispensed Ink Rates'!CS:CS),VLOOKUP(IM399,'Jan-2026 rates'!$E:$F,2,0)))</f>
        <v>0</v>
      </c>
      <c r="JD399" s="409" t="s">
        <v>1881</v>
      </c>
      <c r="JE399" s="409">
        <v>30</v>
      </c>
      <c r="JF399" s="411">
        <f t="shared" si="230"/>
        <v>0</v>
      </c>
      <c r="JG399" s="411">
        <f t="shared" si="231"/>
        <v>7.0787878787878782</v>
      </c>
      <c r="JH399" s="410">
        <f t="shared" si="232"/>
        <v>0</v>
      </c>
      <c r="JI399" s="405" t="s">
        <v>856</v>
      </c>
      <c r="JJ399" s="409" t="s">
        <v>5021</v>
      </c>
      <c r="JK399" s="420" t="str">
        <f t="shared" si="190"/>
        <v>ToyoLi - WHITE</v>
      </c>
      <c r="JL399" s="409">
        <v>30</v>
      </c>
      <c r="JM399" s="411">
        <f>IF(JL399=0,0,IF($LB399=70%,VLOOKUP($JK399,'Jan-2026 rates'!$L:$R,4,0),IF($LB399=65%,VLOOKUP($JK399,'Jan-2026 rates'!$L:$R,4,0),IF($LB399=40%,VLOOKUP($JK399,'Jan-2026 rates'!$L:$R,5,0),IF($LB399=30%,VLOOKUP($JK399,'Jan-2026 rates'!$L:$R,6,0),IF($LB399=100%,VLOOKUP($JK399,'Jan-2026 rates'!$L:$R,7,0),IF($LB399=60%,VLOOKUP($JK399,'Jan-2026 rates'!$L:$S,8,0),IF($LB399=80%,VLOOKUP($JK399,'Jan-2026 rates'!L:T,9,0),0))))))))</f>
        <v>0</v>
      </c>
      <c r="JN399" s="412"/>
      <c r="JO399" s="409"/>
      <c r="JP399" s="411">
        <f>IF(JO399=0,0,IF($LB399=70%,VLOOKUP($JK399,'Jan-2026 rates'!$L:$R,4,0),IF($LB399=65%,VLOOKUP($JK399,'Jan-2026 rates'!$L:$R,4,0),IF($LB399=40%,VLOOKUP($JK399,'Jan-2026 rates'!$L:$R,5,0),IF($LB399=30%,VLOOKUP($JK399,'Jan-2026 rates'!$L:$R,6,0),IF($LB399=100%,VLOOKUP($JK399,'Jan-2026 rates'!$L:$R,7,0),IF($LB399=60%,VLOOKUP($JK399,'Jan-2026 rates'!$L:$S,8,0),IF($LB399=80%,VLOOKUP($JK399,'Jan-2026 rates'!L:T,9,0),0))))))))</f>
        <v>0</v>
      </c>
      <c r="JQ399" s="413" t="s">
        <v>1249</v>
      </c>
      <c r="JR399" s="412" t="s">
        <v>1122</v>
      </c>
      <c r="JS399" s="413"/>
      <c r="JT399" s="413"/>
      <c r="JU399" s="412"/>
      <c r="JV399" s="412"/>
      <c r="JW399" s="412"/>
      <c r="JX399" s="412"/>
      <c r="JY399" s="409">
        <v>30</v>
      </c>
      <c r="JZ399" s="398">
        <f>IF(JY399=0,0,IF(LEN(JQ399)=11,_xlfn.XLOOKUP(JQ399,'Dispensed Ink Rates'!C:C,'Dispensed Ink Rates'!CS:CS),VLOOKUP(JQ399,'Jan-2026 rates'!$E:$F,2,0)))</f>
        <v>0</v>
      </c>
      <c r="KA399" s="409">
        <v>4.75</v>
      </c>
      <c r="KB399" s="398">
        <f>IF(KA399=0,0,IF(LEN(JR399)=11,_xlfn.XLOOKUP(JR399,'Dispensed Ink Rates'!C:C,'Dispensed Ink Rates'!CS:CS),VLOOKUP(JR399,'Jan-2026 rates'!$E:$F,2,0)))</f>
        <v>0</v>
      </c>
      <c r="KC399" s="409"/>
      <c r="KD399" s="398">
        <f>IF(KC399=0,0,IF(LEN(JS399)=11,_xlfn.XLOOKUP(JS399,'Dispensed Ink Rates'!C:C,'Dispensed Ink Rates'!CS:CS),VLOOKUP(JS399,'Jan-2026 rates'!$E:$F,2,0)))</f>
        <v>0</v>
      </c>
      <c r="KE399" s="409"/>
      <c r="KF399" s="398">
        <f>IF(KE399=0,0,IF(LEN(JT399)=11,_xlfn.XLOOKUP(JT399,'Dispensed Ink Rates'!C:C,'Dispensed Ink Rates'!CS:CS),VLOOKUP(JT399,'Jan-2026 rates'!$E:$F,2,0)))</f>
        <v>0</v>
      </c>
      <c r="KG399" s="409"/>
      <c r="KH399" s="398">
        <f>IF(KG399=0,0,IF(LEN(JU399)=11,_xlfn.XLOOKUP(JU399,'Dispensed Ink Rates'!C:C,'Dispensed Ink Rates'!CS:CS),VLOOKUP(JU399,'Jan-2026 rates'!$E:$F,2,0)))</f>
        <v>0</v>
      </c>
      <c r="KI399" s="409"/>
      <c r="KJ399" s="398">
        <f>IF(KI399=0,0,IF(LEN(JV399)=11,_xlfn.XLOOKUP(JV399,'Dispensed Ink Rates'!C:C,'Dispensed Ink Rates'!CS:CS),VLOOKUP(JV399,'Jan-2026 rates'!$E:$F,2,0)))</f>
        <v>0</v>
      </c>
      <c r="KK399" s="409"/>
      <c r="KL399" s="398">
        <f>IF(KK399=0,0,IF(LEN(JW399)=11,_xlfn.XLOOKUP(JW399,'Dispensed Ink Rates'!C:C,'Dispensed Ink Rates'!CS:CS),VLOOKUP(JW399,'Jan-2026 rates'!$E:$F,2,0)))</f>
        <v>0</v>
      </c>
      <c r="KM399" s="428"/>
      <c r="KN399" s="398">
        <f>IF(KM399=0,0,IF(LEN(JX399)=11,_xlfn.XLOOKUP(JX399,'Dispensed Ink Rates'!C:C,'Dispensed Ink Rates'!CS:CS),VLOOKUP(JX399,'Jan-2026 rates'!$E:$F,2,0)))</f>
        <v>0</v>
      </c>
      <c r="KO399" s="409" t="s">
        <v>1881</v>
      </c>
      <c r="KP399" s="409">
        <v>30</v>
      </c>
      <c r="KQ399" s="411">
        <f t="shared" si="233"/>
        <v>0</v>
      </c>
      <c r="KR399" s="411">
        <f t="shared" si="234"/>
        <v>63.840909090909093</v>
      </c>
      <c r="KS399" s="410">
        <f t="shared" si="235"/>
        <v>0</v>
      </c>
      <c r="KT399" s="409">
        <v>2</v>
      </c>
      <c r="KU399" s="409">
        <f>4+2</f>
        <v>6</v>
      </c>
      <c r="KV399" s="409">
        <v>2</v>
      </c>
      <c r="KW399" s="409">
        <v>2</v>
      </c>
      <c r="KX399" s="409">
        <v>2</v>
      </c>
      <c r="KY399" s="409">
        <v>2</v>
      </c>
      <c r="KZ399" s="409">
        <v>2</v>
      </c>
      <c r="LA399" s="409">
        <v>15</v>
      </c>
      <c r="LB399" s="415">
        <v>0.3</v>
      </c>
      <c r="LC399" s="415"/>
      <c r="LD399" s="424"/>
      <c r="LE399" s="415">
        <v>0.5</v>
      </c>
      <c r="LF399" s="415">
        <v>0.2</v>
      </c>
      <c r="LG399" s="409">
        <v>0</v>
      </c>
      <c r="LH399" s="409">
        <f>17+17+9+15+6</f>
        <v>64</v>
      </c>
      <c r="LI399" s="409">
        <v>0</v>
      </c>
      <c r="LJ399" s="409">
        <v>0</v>
      </c>
      <c r="LK399" s="416">
        <f t="shared" si="191"/>
        <v>64</v>
      </c>
      <c r="LL399" s="416">
        <f t="shared" si="349"/>
        <v>64</v>
      </c>
      <c r="LM399" s="417">
        <f t="shared" si="193"/>
        <v>19.2</v>
      </c>
      <c r="LN399" s="417">
        <f>VLOOKUP($LM$8,'Jan-2026 rates'!$H:$I,2,0)</f>
        <v>0</v>
      </c>
      <c r="LO399" s="417">
        <f t="shared" si="194"/>
        <v>0</v>
      </c>
      <c r="LP399" s="417">
        <f>VLOOKUP($LO$8,'Jan-2026 rates'!$H:$I,2,0)</f>
        <v>0</v>
      </c>
      <c r="LQ399" s="417">
        <f t="shared" si="195"/>
        <v>0</v>
      </c>
      <c r="LR399" s="417">
        <f>VLOOKUP($LQ$8,'Jan-2026 rates'!$H:$I,2,0)</f>
        <v>0</v>
      </c>
      <c r="LS399" s="417">
        <f t="shared" si="196"/>
        <v>32</v>
      </c>
      <c r="LT399" s="417">
        <f>VLOOKUP($LS$8,'Jan-2026 rates'!$H:$I,2,0)</f>
        <v>0</v>
      </c>
      <c r="LU399" s="417">
        <f t="shared" si="197"/>
        <v>12.8</v>
      </c>
      <c r="LV399" s="417">
        <f>VLOOKUP($LU$8,'Jan-2026 rates'!$H:$I,2,0)</f>
        <v>0</v>
      </c>
      <c r="LW399" s="417">
        <f t="shared" si="198"/>
        <v>0</v>
      </c>
      <c r="LX399" s="417">
        <f t="shared" si="199"/>
        <v>0</v>
      </c>
      <c r="LY399" s="418">
        <f t="shared" si="200"/>
        <v>0</v>
      </c>
      <c r="LZ399" s="417"/>
      <c r="MA399" s="435">
        <f t="shared" si="201"/>
        <v>66.95</v>
      </c>
      <c r="MB399" s="282">
        <f t="shared" si="202"/>
        <v>110.94999999999999</v>
      </c>
      <c r="MC399" s="283" t="s">
        <v>5022</v>
      </c>
      <c r="MD399" s="284" t="str">
        <f t="shared" si="203"/>
        <v>ToyoLiToyoLiToyoLiToyoLiToyoLiToyoLiToyoLiToyoLi</v>
      </c>
      <c r="ME399" s="293" t="str">
        <f t="shared" si="204"/>
        <v>+</v>
      </c>
      <c r="MF399" s="293" t="str">
        <f t="shared" si="205"/>
        <v>+</v>
      </c>
      <c r="MG399" s="293" t="str">
        <f t="shared" si="206"/>
        <v>+</v>
      </c>
      <c r="MH399" s="293" t="str">
        <f t="shared" si="207"/>
        <v>+</v>
      </c>
      <c r="MI399" s="293" t="str">
        <f t="shared" si="208"/>
        <v>+</v>
      </c>
      <c r="MJ399" s="293" t="str">
        <f t="shared" si="209"/>
        <v>+</v>
      </c>
      <c r="MK399" s="293" t="str">
        <f t="shared" si="210"/>
        <v>+</v>
      </c>
      <c r="ML399" s="293" t="str">
        <f t="shared" si="211"/>
        <v>+</v>
      </c>
      <c r="MM399" s="3" t="b">
        <f t="array" ref="MM399">OR(ME399:ML399="-")</f>
        <v>0</v>
      </c>
      <c r="MO399" s="401">
        <f t="shared" si="350"/>
        <v>173.35937499999997</v>
      </c>
      <c r="MP399" s="286"/>
      <c r="MR399" s="402">
        <f t="shared" si="351"/>
        <v>2.0546296296296295E-2</v>
      </c>
      <c r="MS399" s="400">
        <f t="shared" si="352"/>
        <v>0</v>
      </c>
      <c r="MT399" s="285"/>
      <c r="NH399" s="361"/>
      <c r="NJ399" s="282"/>
    </row>
    <row r="400" spans="1:374" ht="16.5">
      <c r="A400" s="403">
        <v>46053</v>
      </c>
      <c r="B400" s="404" t="s">
        <v>1018</v>
      </c>
      <c r="C400" s="405" t="s">
        <v>5023</v>
      </c>
      <c r="D400" s="404" t="s">
        <v>5022</v>
      </c>
      <c r="E400" s="404">
        <v>62</v>
      </c>
      <c r="F400" s="407">
        <v>5300</v>
      </c>
      <c r="G400" s="407" t="s">
        <v>1016</v>
      </c>
      <c r="H400" s="408" t="s">
        <v>1017</v>
      </c>
      <c r="I400" s="409">
        <v>1.18</v>
      </c>
      <c r="J400" s="405" t="s">
        <v>543</v>
      </c>
      <c r="K400" s="404" t="s">
        <v>5024</v>
      </c>
      <c r="L400" s="419" t="str">
        <f t="shared" si="184"/>
        <v>ToyoLi - BLACK</v>
      </c>
      <c r="M400" s="404">
        <v>24</v>
      </c>
      <c r="N400" s="410">
        <f>IF(M400=0,0,IF($LB400=70%,VLOOKUP($L400,'Jan-2026 rates'!$L:$R,4,0),IF($LB400=65%,VLOOKUP($L400,'Jan-2026 rates'!$L:$R,4,0),IF($LB400=40%,VLOOKUP($L400,'Jan-2026 rates'!$L:$R,5,0),IF($LB400=30%,VLOOKUP($L400,'Jan-2026 rates'!$L:$R,6,0),IF($LB400=100%,VLOOKUP($L400,'Jan-2026 rates'!$L:$R,7,0),IF($LB400=60%,VLOOKUP($L400,'Jan-2026 rates'!$L:$S,8,0),IF($LB400=80%,VLOOKUP($L400,'Jan-2026 rates'!L:T,9,0),0))))))))</f>
        <v>0</v>
      </c>
      <c r="O400" s="406"/>
      <c r="P400" s="404"/>
      <c r="Q400" s="410">
        <f>IF(P400=0,0,IF($LB400=70%,VLOOKUP($L400,'Jan-2026 rates'!$L:$R,4,0),IF($LB400=65%,VLOOKUP($L400,'Jan-2026 rates'!$L:$R,4,0),IF($LB400=40%,VLOOKUP($L400,'Jan-2026 rates'!$L:$R,5,0),IF($LB400=30%,VLOOKUP($L400,'Jan-2026 rates'!$L:$R,6,0),IF($LB400=100%,VLOOKUP($L400,'Jan-2026 rates'!$L:$R,7,0),IF($LB400=60%,VLOOKUP($L400,'Jan-2026 rates'!$L:$S,8,0),IF($LB400=80%,VLOOKUP($L400,'Jan-2026 rates'!L:T,9,0),0))))))))</f>
        <v>0</v>
      </c>
      <c r="R400" s="406"/>
      <c r="S400" s="406"/>
      <c r="T400" s="406"/>
      <c r="U400" s="406"/>
      <c r="V400" s="406"/>
      <c r="W400" s="406"/>
      <c r="X400" s="406"/>
      <c r="Y400" s="406"/>
      <c r="Z400" s="404"/>
      <c r="AA400" s="398">
        <f>IF(Z400=0,0,IF(LEN(R400)=11,_xlfn.XLOOKUP(R400,'Dispensed Ink Rates'!C:C,'Dispensed Ink Rates'!CS:CS),VLOOKUP(R400,'Jan-2026 rates'!$E:$F,2,0)))</f>
        <v>0</v>
      </c>
      <c r="AB400" s="404"/>
      <c r="AC400" s="398">
        <f>IF(AB400=0,0,IF(LEN(S400)=11,_xlfn.XLOOKUP(S400,'Dispensed Ink Rates'!C:C,'Dispensed Ink Rates'!CS:CS),VLOOKUP(S400,'Jan-2026 rates'!$E:$F,2,0)))</f>
        <v>0</v>
      </c>
      <c r="AD400" s="404"/>
      <c r="AE400" s="398">
        <f>IF(AD400=0,0,IF(LEN(T400)=11,_xlfn.XLOOKUP(T400,'Dispensed Ink Rates'!C:C,'Dispensed Ink Rates'!CS:CS),VLOOKUP(T400,'Jan-2026 rates'!$E:$F,2,0)))</f>
        <v>0</v>
      </c>
      <c r="AF400" s="404"/>
      <c r="AG400" s="398">
        <f>IF(AF400=0,0,IF(LEN(U400)=11,_xlfn.XLOOKUP(U400,'Dispensed Ink Rates'!C:C,'Dispensed Ink Rates'!CS:CS),VLOOKUP(U400,'Jan-2026 rates'!$E:$F,2,0)))</f>
        <v>0</v>
      </c>
      <c r="AH400" s="404"/>
      <c r="AI400" s="398">
        <f>IF(AH400=0,0,IF(LEN(V400)=11,_xlfn.XLOOKUP(V400,'Dispensed Ink Rates'!C:C,'Dispensed Ink Rates'!CS:CS),VLOOKUP(V400,'Jan-2026 rates'!$E:$F,2,0)))</f>
        <v>0</v>
      </c>
      <c r="AJ400" s="404"/>
      <c r="AK400" s="398">
        <f>IF(AJ400=0,0,IF(LEN(W400)=11,_xlfn.XLOOKUP(W400,'Dispensed Ink Rates'!C:C,'Dispensed Ink Rates'!CS:CS),VLOOKUP(W400,'Jan-2026 rates'!$E:$F,2,0)))</f>
        <v>0</v>
      </c>
      <c r="AL400" s="404"/>
      <c r="AM400" s="398">
        <f>IF(AL400=0,0,IF(LEN(X400)=11,_xlfn.XLOOKUP(X400,'Dispensed Ink Rates'!C:C,'Dispensed Ink Rates'!CS:CS),VLOOKUP(X400,'Jan-2026 rates'!$E:$F,2,0)))</f>
        <v>0</v>
      </c>
      <c r="AN400" s="404"/>
      <c r="AO400" s="398">
        <f>IF(AN400=0,0,IF(LEN(Y400)=11,_xlfn.XLOOKUP(Y400,'Dispensed Ink Rates'!C:C,'Dispensed Ink Rates'!CS:CS),VLOOKUP(Y400,'Jan-2026 rates'!$E:$F,2,0)))</f>
        <v>0</v>
      </c>
      <c r="AP400" s="409" t="s">
        <v>1881</v>
      </c>
      <c r="AQ400" s="409">
        <v>20</v>
      </c>
      <c r="AR400" s="410">
        <f t="shared" si="212"/>
        <v>0</v>
      </c>
      <c r="AS400" s="411">
        <f t="shared" si="213"/>
        <v>9.1666666666666643</v>
      </c>
      <c r="AT400" s="410">
        <f t="shared" si="214"/>
        <v>0</v>
      </c>
      <c r="AU400" s="405" t="s">
        <v>543</v>
      </c>
      <c r="AV400" s="409" t="s">
        <v>5024</v>
      </c>
      <c r="AW400" s="420" t="str">
        <f t="shared" si="348"/>
        <v>ToyoLi - BLACK</v>
      </c>
      <c r="AX400" s="409">
        <v>22</v>
      </c>
      <c r="AY400" s="411">
        <f>IF(AX400=0,0,IF($LB400=70%,VLOOKUP($AW400,'Jan-2026 rates'!$L:$R,4,0),IF($LB400=65%,VLOOKUP($AW400,'Jan-2026 rates'!$L:$R,4,0),IF($LB400=40%,VLOOKUP($AW400,'Jan-2026 rates'!$L:$R,5,0),IF($LB400=30%,VLOOKUP($AW400,'Jan-2026 rates'!$L:$R,6,0),IF($LB400=100%,VLOOKUP($AW400,'Jan-2026 rates'!$L:$R,7,0),IF($LB400=60%,VLOOKUP($AW400,'Jan-2026 rates'!$L:$S,8,0),IF($LB400=80%,VLOOKUP($AW400,'Jan-2026 rates'!L:T,9,0),0))))))))</f>
        <v>0</v>
      </c>
      <c r="AZ400" s="412"/>
      <c r="BA400" s="409"/>
      <c r="BB400" s="411">
        <f>IF(BA400=0,0,IF($LB400=70%,VLOOKUP($AW400,'Jan-2026 rates'!$L:$R,4,0),IF($LB400=65%,VLOOKUP($AW400,'Jan-2026 rates'!$L:$R,4,0),IF($LB400=40%,VLOOKUP($AW400,'Jan-2026 rates'!$L:$R,5,0),IF($LB400=30%,VLOOKUP($AW400,'Jan-2026 rates'!$L:$R,6,0),IF($LB400=100%,VLOOKUP($AW400,'Jan-2026 rates'!$L:$R,7,0),IF($LB400=60%,VLOOKUP($AW400,'Jan-2026 rates'!$L:$S,8,0),IF($LB400=80%,VLOOKUP($AW400,'Jan-2026 rates'!L:T,9,0),0))))))))</f>
        <v>0</v>
      </c>
      <c r="BC400" s="413"/>
      <c r="BD400" s="412"/>
      <c r="BE400" s="412"/>
      <c r="BF400" s="413"/>
      <c r="BG400" s="412"/>
      <c r="BH400" s="412"/>
      <c r="BI400" s="412"/>
      <c r="BJ400" s="412"/>
      <c r="BK400" s="409"/>
      <c r="BL400" s="398">
        <f>IF(BK400=0,0,IF(LEN(BC400)=11,_xlfn.XLOOKUP(BC400,'Dispensed Ink Rates'!C:C,'Dispensed Ink Rates'!CS:CS),VLOOKUP(BC400,'Jan-2026 rates'!$E:$F,2,0)))</f>
        <v>0</v>
      </c>
      <c r="BM400" s="409"/>
      <c r="BN400" s="398">
        <f>IF(BM400=0,0,IF(LEN(BD400)=11,_xlfn.XLOOKUP(BD400,'Dispensed Ink Rates'!C:C,'Dispensed Ink Rates'!CS:CS),VLOOKUP(BD400,'Jan-2026 rates'!$E:$F,2,0)))</f>
        <v>0</v>
      </c>
      <c r="BO400" s="409"/>
      <c r="BP400" s="398">
        <f>IF(BO400=0,0,IF(LEN(BE400)=11,_xlfn.XLOOKUP(BE400,'Dispensed Ink Rates'!C:C,'Dispensed Ink Rates'!CS:CS),VLOOKUP(BE400,'Jan-2026 rates'!$E:$F,2,0)))</f>
        <v>0</v>
      </c>
      <c r="BQ400" s="409"/>
      <c r="BR400" s="398">
        <f>IF(BQ400=0,0,IF(LEN(BF400)=11,_xlfn.XLOOKUP(BF400,'Dispensed Ink Rates'!C:C,'Dispensed Ink Rates'!CS:CS),VLOOKUP(BF400,'Jan-2026 rates'!$E:$F,2,0)))</f>
        <v>0</v>
      </c>
      <c r="BS400" s="409"/>
      <c r="BT400" s="398">
        <f>IF(BS400=0,0,IF(LEN(BG400)=11,_xlfn.XLOOKUP(BG400,'Dispensed Ink Rates'!C:C,'Dispensed Ink Rates'!CS:CS),VLOOKUP(BG400,'Jan-2026 rates'!$E:$F,2,0)))</f>
        <v>0</v>
      </c>
      <c r="BU400" s="409"/>
      <c r="BV400" s="398">
        <f>IF(BU400=0,0,IF(LEN(BH400)=11,_xlfn.XLOOKUP(BH400,'Dispensed Ink Rates'!C:C,'Dispensed Ink Rates'!CS:CS),VLOOKUP(BH400,'Jan-2026 rates'!$E:$F,2,0)))</f>
        <v>0</v>
      </c>
      <c r="BW400" s="409"/>
      <c r="BX400" s="398">
        <f>IF(BW400=0,0,IF(LEN(BI400)=11,_xlfn.XLOOKUP(BI400,'Dispensed Ink Rates'!C:C,'Dispensed Ink Rates'!CS:CS),VLOOKUP(BI400,'Jan-2026 rates'!$E:$F,2,0)))</f>
        <v>0</v>
      </c>
      <c r="BY400" s="409"/>
      <c r="BZ400" s="398">
        <f>IF(BY400=0,0,IF(LEN(BJ400)=11,_xlfn.XLOOKUP(BJ400,'Dispensed Ink Rates'!C:C,'Dispensed Ink Rates'!CS:CS),VLOOKUP(BJ400,'Jan-2026 rates'!$E:$F,2,0)))</f>
        <v>0</v>
      </c>
      <c r="CA400" s="409" t="s">
        <v>1881</v>
      </c>
      <c r="CB400" s="409">
        <v>20</v>
      </c>
      <c r="CC400" s="411">
        <f t="shared" si="215"/>
        <v>0</v>
      </c>
      <c r="CD400" s="411">
        <f t="shared" si="216"/>
        <v>7.1666666666666643</v>
      </c>
      <c r="CE400" s="410">
        <f t="shared" si="217"/>
        <v>0</v>
      </c>
      <c r="CF400" s="404" t="s">
        <v>543</v>
      </c>
      <c r="CG400" s="409" t="s">
        <v>5024</v>
      </c>
      <c r="CH400" s="420" t="str">
        <f t="shared" si="185"/>
        <v>ToyoLi - BLACK</v>
      </c>
      <c r="CI400" s="409">
        <v>25</v>
      </c>
      <c r="CJ400" s="411">
        <f>IF(CI400=0,0,IF($LB400=70%,VLOOKUP($CH400,'Jan-2026 rates'!$L:$R,4,0),IF($LB400=65%,VLOOKUP($CH400,'Jan-2026 rates'!$L:$R,4,0),IF($LB400=40%,VLOOKUP($CH400,'Jan-2026 rates'!$L:$R,5,0),IF($LB400=30%,VLOOKUP($CH400,'Jan-2026 rates'!$L:$R,6,0),IF($LB400=100%,VLOOKUP($CH400,'Jan-2026 rates'!$L:$R,7,0),IF($LB400=60%,VLOOKUP($CH400,'Jan-2026 rates'!$L:$S,8,0),IF($LB400=80%,VLOOKUP($CH400,'Jan-2026 rates'!L:T,9,0),0))))))))</f>
        <v>0</v>
      </c>
      <c r="CK400" s="412"/>
      <c r="CL400" s="409"/>
      <c r="CM400" s="411">
        <f>IF(CL400=0,0,IF($LB400=70%,VLOOKUP($CH400,'Jan-2026 rates'!$L:$R,4,0),IF($LB400=65%,VLOOKUP($CH400,'Jan-2026 rates'!$L:$R,4,0),IF($LB400=40%,VLOOKUP($CH400,'Jan-2026 rates'!$L:$R,5,0),IF($LB400=30%,VLOOKUP($CH400,'Jan-2026 rates'!$L:$R,6,0),IF($LB400=100%,VLOOKUP($CH400,'Jan-2026 rates'!$L:$R,7,0),IF($LB400=60%,VLOOKUP($CH400,'Jan-2026 rates'!$L:$S,8,0),IF($LB400=80%,VLOOKUP($CH400,'Jan-2026 rates'!L:T,9,0),0))))))))</f>
        <v>0</v>
      </c>
      <c r="CN400" s="426"/>
      <c r="CO400" s="427"/>
      <c r="CP400" s="426"/>
      <c r="CQ400" s="426"/>
      <c r="CR400" s="428"/>
      <c r="CS400" s="428"/>
      <c r="CT400" s="428"/>
      <c r="CU400" s="428"/>
      <c r="CV400" s="409"/>
      <c r="CW400" s="398">
        <f>IF(CV400=0,0,IF(LEN(CN400)=11,_xlfn.XLOOKUP(CN400,'Dispensed Ink Rates'!C:C,'Dispensed Ink Rates'!CS:CS),VLOOKUP(CN400,'Jan-2026 rates'!$E:$F,2,0)))</f>
        <v>0</v>
      </c>
      <c r="CX400" s="409"/>
      <c r="CY400" s="398">
        <f>IF(CX400=0,0,IF(LEN(CO400)=11,_xlfn.XLOOKUP(CO400,'Dispensed Ink Rates'!C:C,'Dispensed Ink Rates'!CS:CS),VLOOKUP(CO400,'Jan-2026 rates'!$E:$F,2,0)))</f>
        <v>0</v>
      </c>
      <c r="CZ400" s="409"/>
      <c r="DA400" s="398">
        <f>IF(CZ400=0,0,IF(LEN(CP400)=11,_xlfn.XLOOKUP(CP400,'Dispensed Ink Rates'!C:C,'Dispensed Ink Rates'!CS:CS),VLOOKUP(CP400,'Jan-2026 rates'!$E:$F,2,0)))</f>
        <v>0</v>
      </c>
      <c r="DB400" s="409"/>
      <c r="DC400" s="398">
        <f>IF(DB400=0,0,IF(LEN(CQ400)=11,_xlfn.XLOOKUP(CQ400,'Dispensed Ink Rates'!C:C,'Dispensed Ink Rates'!CS:CS),VLOOKUP(CQ400,'Jan-2026 rates'!$E:$F,2,0)))</f>
        <v>0</v>
      </c>
      <c r="DD400" s="409"/>
      <c r="DE400" s="398">
        <f>IF(DD400=0,0,IF(LEN(CR400)=11,_xlfn.XLOOKUP(CR400,'Dispensed Ink Rates'!C:C,'Dispensed Ink Rates'!CS:CS),VLOOKUP(CR400,'Jan-2026 rates'!$E:$F,2,0)))</f>
        <v>0</v>
      </c>
      <c r="DF400" s="409"/>
      <c r="DG400" s="398">
        <f>IF(DF400=0,0,IF(LEN(CS400)=11,_xlfn.XLOOKUP(CS400,'Dispensed Ink Rates'!C:C,'Dispensed Ink Rates'!CS:CS),VLOOKUP(CS400,'Jan-2026 rates'!$E:$F,2,0)))</f>
        <v>0</v>
      </c>
      <c r="DH400" s="409"/>
      <c r="DI400" s="398">
        <f>IF(DH400=0,0,IF(LEN(CT400)=11,_xlfn.XLOOKUP(CT400,'Dispensed Ink Rates'!C:C,'Dispensed Ink Rates'!CS:CS),VLOOKUP(CT400,'Jan-2026 rates'!$E:$F,2,0)))</f>
        <v>0</v>
      </c>
      <c r="DJ400" s="409"/>
      <c r="DK400" s="398">
        <f>IF(DJ400=0,0,IF(LEN(CU400)=11,_xlfn.XLOOKUP(CU400,'Dispensed Ink Rates'!C:C,'Dispensed Ink Rates'!CS:CS),VLOOKUP(CU400,'Jan-2026 rates'!$E:$F,2,0)))</f>
        <v>0</v>
      </c>
      <c r="DL400" s="409" t="s">
        <v>1881</v>
      </c>
      <c r="DM400" s="409">
        <v>20</v>
      </c>
      <c r="DN400" s="411">
        <f t="shared" si="218"/>
        <v>0</v>
      </c>
      <c r="DO400" s="411">
        <f t="shared" si="219"/>
        <v>10.166666666666664</v>
      </c>
      <c r="DP400" s="410">
        <f t="shared" si="220"/>
        <v>0</v>
      </c>
      <c r="DQ400" s="405" t="s">
        <v>855</v>
      </c>
      <c r="DR400" s="409" t="s">
        <v>5025</v>
      </c>
      <c r="DS400" s="420" t="str">
        <f t="shared" si="186"/>
        <v>ToyoLi - CYAN</v>
      </c>
      <c r="DT400" s="409">
        <v>28</v>
      </c>
      <c r="DU400" s="411">
        <f>IF(DT400=0,0,IF($LB400=70%,VLOOKUP($DS400,'Jan-2026 rates'!$L:$R,4,0),IF($LB400=65%,VLOOKUP($DS400,'Jan-2026 rates'!$L:$R,4,0),IF($LB400=40%,VLOOKUP($DS400,'Jan-2026 rates'!$L:$R,5,0),IF($LB400=30%,VLOOKUP($DS400,'Jan-2026 rates'!$L:$R,6,0),IF($LB400=100%,VLOOKUP($DS400,'Jan-2026 rates'!$L:$R,7,0),IF($LB400=60%,VLOOKUP($DS400,'Jan-2026 rates'!$L:$S,8,0),IF($LB400=80%,VLOOKUP($DS400,'Jan-2026 rates'!L:T,9,0),0))))))))</f>
        <v>0</v>
      </c>
      <c r="DV400" s="412"/>
      <c r="DW400" s="409"/>
      <c r="DX400" s="411">
        <f>IF(DW400=0,0,IF($LB400=70%,VLOOKUP($DS400,'Jan-2026 rates'!$L:$R,4,0),IF($LB400=65%,VLOOKUP($DS400,'Jan-2026 rates'!$L:$R,4,0),IF($LB400=40%,VLOOKUP($DS400,'Jan-2026 rates'!$L:$R,5,0),IF($LB400=30%,VLOOKUP($DS400,'Jan-2026 rates'!$L:$R,6,0),IF($LB400=100%,VLOOKUP($DS400,'Jan-2026 rates'!$L:$R,7,0),IF($LB400=60%,VLOOKUP($DS400,'Jan-2026 rates'!$L:$S,8,0),IF($LB400=80%,VLOOKUP($DS400,'Jan-2026 rates'!L:T,9,0),0))))))))</f>
        <v>0</v>
      </c>
      <c r="DY400" s="413"/>
      <c r="DZ400" s="413"/>
      <c r="EA400" s="412"/>
      <c r="EB400" s="412"/>
      <c r="EC400" s="412"/>
      <c r="ED400" s="412"/>
      <c r="EE400" s="412"/>
      <c r="EF400" s="412"/>
      <c r="EG400" s="409"/>
      <c r="EH400" s="398">
        <f>IF(EG400=0,0,IF(LEN(DY400)=11,_xlfn.XLOOKUP(DY400,'Dispensed Ink Rates'!C:C,'Dispensed Ink Rates'!CS:CS),VLOOKUP(DY400,'Jan-2026 rates'!$E:$F,2,0)))</f>
        <v>0</v>
      </c>
      <c r="EI400" s="409"/>
      <c r="EJ400" s="398">
        <f>IF(EI400=0,0,IF(LEN(DZ400)=11,_xlfn.XLOOKUP(DZ400,'Dispensed Ink Rates'!C:C,'Dispensed Ink Rates'!CS:CS),VLOOKUP(DZ400,'Jan-2026 rates'!$E:$F,2,0)))</f>
        <v>0</v>
      </c>
      <c r="EK400" s="409"/>
      <c r="EL400" s="398">
        <f>IF(EK400=0,0,IF(LEN(EA400)=11,_xlfn.XLOOKUP(EA400,'Dispensed Ink Rates'!C:C,'Dispensed Ink Rates'!CS:CS),VLOOKUP(EA400,'Jan-2026 rates'!$E:$F,2,0)))</f>
        <v>0</v>
      </c>
      <c r="EM400" s="409"/>
      <c r="EN400" s="398">
        <f>IF(EM400=0,0,IF(LEN(EB400)=11,_xlfn.XLOOKUP(EB400,'Dispensed Ink Rates'!C:C,'Dispensed Ink Rates'!CS:CS),VLOOKUP(EB400,'Jan-2026 rates'!$E:$F,2,0)))</f>
        <v>0</v>
      </c>
      <c r="EO400" s="409"/>
      <c r="EP400" s="398">
        <f>IF(EO400=0,0,IF(LEN(EC400)=11,_xlfn.XLOOKUP(EC400,'Dispensed Ink Rates'!C:C,'Dispensed Ink Rates'!CS:CS),VLOOKUP(EC400,'Jan-2026 rates'!$E:$F,2,0)))</f>
        <v>0</v>
      </c>
      <c r="EQ400" s="409"/>
      <c r="ER400" s="398">
        <f>IF(EQ400=0,0,IF(LEN(ED400)=11,_xlfn.XLOOKUP(ED400,'Dispensed Ink Rates'!C:C,'Dispensed Ink Rates'!CS:CS),VLOOKUP(ED400,'Jan-2026 rates'!$E:$F,2,0)))</f>
        <v>0</v>
      </c>
      <c r="ES400" s="409"/>
      <c r="ET400" s="398">
        <f>IF(ES400=0,0,IF(LEN(EE400)=11,_xlfn.XLOOKUP(EE400,'Dispensed Ink Rates'!C:C,'Dispensed Ink Rates'!CS:CS),VLOOKUP(EE400,'Jan-2026 rates'!$E:$F,2,0)))</f>
        <v>0</v>
      </c>
      <c r="EU400" s="409"/>
      <c r="EV400" s="398">
        <f>IF(EU400=0,0,IF(LEN(EF400)=11,_xlfn.XLOOKUP(EF400,'Dispensed Ink Rates'!C:C,'Dispensed Ink Rates'!CS:CS),VLOOKUP(EF400,'Jan-2026 rates'!$E:$F,2,0)))</f>
        <v>0</v>
      </c>
      <c r="EW400" s="409" t="s">
        <v>1881</v>
      </c>
      <c r="EX400" s="409">
        <v>30</v>
      </c>
      <c r="EY400" s="411">
        <f t="shared" si="221"/>
        <v>0</v>
      </c>
      <c r="EZ400" s="411">
        <f t="shared" si="222"/>
        <v>3.1666666666666643</v>
      </c>
      <c r="FA400" s="410">
        <f t="shared" si="223"/>
        <v>0</v>
      </c>
      <c r="FB400" s="405" t="s">
        <v>544</v>
      </c>
      <c r="FC400" s="409" t="s">
        <v>5026</v>
      </c>
      <c r="FD400" s="420" t="str">
        <f t="shared" si="187"/>
        <v>ToyoLi - MAGENTA</v>
      </c>
      <c r="FE400" s="409">
        <v>26</v>
      </c>
      <c r="FF400" s="411">
        <f>IF(FE400=0,0,IF($LB400=70%,VLOOKUP($FD400,'Jan-2026 rates'!$L:$R,4,0),IF($LB400=65%,VLOOKUP($FD400,'Jan-2026 rates'!$L:$R,4,0),IF($LB400=40%,VLOOKUP($FD400,'Jan-2026 rates'!$L:$R,5,0),IF($LB400=30%,VLOOKUP($FD400,'Jan-2026 rates'!$L:$R,6,0),IF($LB400=100%,VLOOKUP($FD400,'Jan-2026 rates'!$L:$R,7,0),IF($LB400=60%,VLOOKUP($FD400,'Jan-2026 rates'!$L:$S,8,0),IF($LB400=80%,VLOOKUP($FD400,'Jan-2026 rates'!L:T,9,0),0))))))))</f>
        <v>0</v>
      </c>
      <c r="FG400" s="412"/>
      <c r="FH400" s="409"/>
      <c r="FI400" s="411">
        <f>IF(FH400=0,0,IF($LB400=70%,VLOOKUP($FD400,'Jan-2026 rates'!$L:$R,4,0),IF($LB400=65%,VLOOKUP($FD400,'Jan-2026 rates'!$L:$R,4,0),IF($LB400=40%,VLOOKUP($FD400,'Jan-2026 rates'!$L:$R,5,0),IF($LB400=30%,VLOOKUP($FD400,'Jan-2026 rates'!$L:$R,6,0),IF($LB400=100%,VLOOKUP($FD400,'Jan-2026 rates'!$L:$R,7,0),IF($LB400=60%,VLOOKUP($FD400,'Jan-2026 rates'!$L:$S,8,0),IF($LB400=80%,VLOOKUP($FD400,'Jan-2026 rates'!L:T,9,0),0))))))))</f>
        <v>0</v>
      </c>
      <c r="FJ400" s="413"/>
      <c r="FK400" s="413"/>
      <c r="FL400" s="413"/>
      <c r="FM400" s="412"/>
      <c r="FN400" s="412"/>
      <c r="FO400" s="412"/>
      <c r="FP400" s="412"/>
      <c r="FQ400" s="412"/>
      <c r="FR400" s="409"/>
      <c r="FS400" s="398">
        <f>IF(FR400=0,0,IF(LEN(FJ400)=11,_xlfn.XLOOKUP(FJ400,'Dispensed Ink Rates'!C:C,'Dispensed Ink Rates'!CS:CS),VLOOKUP(FJ400,'Jan-2026 rates'!$E:$F,2,0)))</f>
        <v>0</v>
      </c>
      <c r="FT400" s="409"/>
      <c r="FU400" s="398">
        <f>IF(FT400=0,0,IF(LEN(FK400)=11,_xlfn.XLOOKUP(FK400,'Dispensed Ink Rates'!C:C,'Dispensed Ink Rates'!CS:CS),VLOOKUP(FK400,'Jan-2026 rates'!$E:$F,2,0)))</f>
        <v>0</v>
      </c>
      <c r="FV400" s="409"/>
      <c r="FW400" s="398">
        <f>IF(FV400=0,0,IF(LEN(FL400)=11,_xlfn.XLOOKUP(FL400,'Dispensed Ink Rates'!C:C,'Dispensed Ink Rates'!CS:CS),VLOOKUP(FL400,'Jan-2026 rates'!$E:$F,2,0)))</f>
        <v>0</v>
      </c>
      <c r="FX400" s="409"/>
      <c r="FY400" s="398">
        <f>IF(FX400=0,0,IF(LEN(FM400)=11,_xlfn.XLOOKUP(FM400,'Dispensed Ink Rates'!C:C,'Dispensed Ink Rates'!CS:CS),VLOOKUP(FM400,'Jan-2026 rates'!$E:$F,2,0)))</f>
        <v>0</v>
      </c>
      <c r="FZ400" s="409"/>
      <c r="GA400" s="398">
        <f>IF(FZ400=0,0,IF(LEN(FN400)=11,_xlfn.XLOOKUP(FN400,'Dispensed Ink Rates'!C:C,'Dispensed Ink Rates'!CS:CS),VLOOKUP(FN400,'Jan-2026 rates'!$E:$F,2,0)))</f>
        <v>0</v>
      </c>
      <c r="GB400" s="409"/>
      <c r="GC400" s="398">
        <f>IF(GB400=0,0,IF(LEN(FO400)=11,_xlfn.XLOOKUP(FO400,'Dispensed Ink Rates'!C:C,'Dispensed Ink Rates'!CS:CS),VLOOKUP(FO400,'Jan-2026 rates'!$E:$F,2,0)))</f>
        <v>0</v>
      </c>
      <c r="GD400" s="409"/>
      <c r="GE400" s="398">
        <f>IF(GD400=0,0,IF(LEN(FP400)=11,_xlfn.XLOOKUP(FP400,'Dispensed Ink Rates'!C:C,'Dispensed Ink Rates'!CS:CS),VLOOKUP(FP400,'Jan-2026 rates'!$E:$F,2,0)))</f>
        <v>0</v>
      </c>
      <c r="GF400" s="409"/>
      <c r="GG400" s="398">
        <f>IF(GF400=0,0,IF(LEN(FQ400)=11,_xlfn.XLOOKUP(FQ400,'Dispensed Ink Rates'!C:C,'Dispensed Ink Rates'!CS:CS),VLOOKUP(FQ400,'Jan-2026 rates'!$E:$F,2,0)))</f>
        <v>0</v>
      </c>
      <c r="GH400" s="409" t="s">
        <v>1881</v>
      </c>
      <c r="GI400" s="409">
        <f>17+13</f>
        <v>30</v>
      </c>
      <c r="GJ400" s="411">
        <f t="shared" si="224"/>
        <v>0</v>
      </c>
      <c r="GK400" s="411">
        <f t="shared" si="225"/>
        <v>1.1666666666666643</v>
      </c>
      <c r="GL400" s="410">
        <f t="shared" si="226"/>
        <v>0</v>
      </c>
      <c r="GM400" s="405" t="s">
        <v>545</v>
      </c>
      <c r="GN400" s="409" t="s">
        <v>5027</v>
      </c>
      <c r="GO400" s="420" t="str">
        <f t="shared" si="188"/>
        <v>ToyoLi - YELLOW</v>
      </c>
      <c r="GP400" s="409">
        <v>28</v>
      </c>
      <c r="GQ400" s="411">
        <f>IF(GP400=0,0,IF($LB400=70%,VLOOKUP($GO400,'Jan-2026 rates'!$L:$R,4,0),IF($LB400=65%,VLOOKUP($GO400,'Jan-2026 rates'!$L:$R,4,0),IF($LB400=40%,VLOOKUP($GO400,'Jan-2026 rates'!$L:$R,5,0),IF($LB400=30%,VLOOKUP($GO400,'Jan-2026 rates'!$L:$R,6,0),IF($LB400=100%,VLOOKUP($GO400,'Jan-2026 rates'!$L:$R,7,0),IF($LB400=60%,VLOOKUP($GO400,'Jan-2026 rates'!$L:$S,8,0),IF($LB400=80%,VLOOKUP($GO400,'Jan-2026 rates'!L:T,9,0),0))))))))</f>
        <v>0</v>
      </c>
      <c r="GR400" s="412"/>
      <c r="GS400" s="409"/>
      <c r="GT400" s="411">
        <f>IF(GS400=0,0,IF($LB400=70%,VLOOKUP($GO400,'Jan-2026 rates'!$L:$R,4,0),IF($LB400=65%,VLOOKUP($GO400,'Jan-2026 rates'!$L:$R,4,0),IF($LB400=40%,VLOOKUP($GO400,'Jan-2026 rates'!$L:$R,5,0),IF($LB400=30%,VLOOKUP($GO400,'Jan-2026 rates'!$L:$R,6,0),IF($LB400=100%,VLOOKUP($GO400,'Jan-2026 rates'!$L:$R,7,0),IF($LB400=60%,VLOOKUP($GO400,'Jan-2026 rates'!$L:$S,8,0),IF($LB400=80%,VLOOKUP($GO400,'Jan-2026 rates'!L:T,9,0),0))))))))</f>
        <v>0</v>
      </c>
      <c r="GU400" s="413"/>
      <c r="GV400" s="413"/>
      <c r="GW400" s="412"/>
      <c r="GX400" s="412"/>
      <c r="GY400" s="412"/>
      <c r="GZ400" s="412"/>
      <c r="HA400" s="412"/>
      <c r="HB400" s="412"/>
      <c r="HC400" s="409"/>
      <c r="HD400" s="398">
        <f>IF(HC400=0,0,IF(LEN(GU400)=11,_xlfn.XLOOKUP(GU400,'Dispensed Ink Rates'!C:C,'Dispensed Ink Rates'!CS:CS),VLOOKUP(GU400,'Jan-2026 rates'!$E:$F,2,0)))</f>
        <v>0</v>
      </c>
      <c r="HE400" s="409"/>
      <c r="HF400" s="398">
        <f>IF(HE400=0,0,IF(LEN(GV400)=11,_xlfn.XLOOKUP(GV400,'Dispensed Ink Rates'!C:C,'Dispensed Ink Rates'!CS:CS),VLOOKUP(GV400,'Jan-2026 rates'!$E:$F,2,0)))</f>
        <v>0</v>
      </c>
      <c r="HG400" s="409"/>
      <c r="HH400" s="398">
        <f>IF(HG400=0,0,IF(LEN(GW400)=11,_xlfn.XLOOKUP(GW400,'Dispensed Ink Rates'!C:C,'Dispensed Ink Rates'!CS:CS),VLOOKUP(GW400,'Jan-2026 rates'!$E:$F,2,0)))</f>
        <v>0</v>
      </c>
      <c r="HI400" s="409"/>
      <c r="HJ400" s="398">
        <f>IF(HI400=0,0,IF(LEN(GX400)=11,_xlfn.XLOOKUP(GX400,'Dispensed Ink Rates'!C:C,'Dispensed Ink Rates'!CS:CS),VLOOKUP(GX400,'Jan-2026 rates'!$E:$F,2,0)))</f>
        <v>0</v>
      </c>
      <c r="HK400" s="409"/>
      <c r="HL400" s="398">
        <f>IF(HK400=0,0,IF(LEN(GY400)=11,_xlfn.XLOOKUP(GY400,'Dispensed Ink Rates'!C:C,'Dispensed Ink Rates'!CS:CS),VLOOKUP(GY400,'Jan-2026 rates'!$E:$F,2,0)))</f>
        <v>0</v>
      </c>
      <c r="HM400" s="409"/>
      <c r="HN400" s="398">
        <f>IF(HM400=0,0,IF(LEN(GZ400)=11,_xlfn.XLOOKUP(GZ400,'Dispensed Ink Rates'!C:C,'Dispensed Ink Rates'!CS:CS),VLOOKUP(GZ400,'Jan-2026 rates'!$E:$F,2,0)))</f>
        <v>0</v>
      </c>
      <c r="HO400" s="409"/>
      <c r="HP400" s="398">
        <f>IF(HO400=0,0,IF(LEN(HA400)=11,_xlfn.XLOOKUP(HA400,'Dispensed Ink Rates'!C:C,'Dispensed Ink Rates'!CS:CS),VLOOKUP(HA400,'Jan-2026 rates'!$E:$F,2,0)))</f>
        <v>0</v>
      </c>
      <c r="HQ400" s="409"/>
      <c r="HR400" s="398">
        <f>IF(HQ400=0,0,IF(LEN(HB400)=11,_xlfn.XLOOKUP(HB400,'Dispensed Ink Rates'!C:C,'Dispensed Ink Rates'!CS:CS),VLOOKUP(HB400,'Jan-2026 rates'!$E:$F,2,0)))</f>
        <v>0</v>
      </c>
      <c r="HS400" s="409" t="s">
        <v>1881</v>
      </c>
      <c r="HT400" s="409">
        <v>25</v>
      </c>
      <c r="HU400" s="411">
        <f t="shared" si="227"/>
        <v>0</v>
      </c>
      <c r="HV400" s="411">
        <f t="shared" si="228"/>
        <v>8.1666666666666643</v>
      </c>
      <c r="HW400" s="414">
        <f t="shared" si="229"/>
        <v>0</v>
      </c>
      <c r="HX400" s="405" t="s">
        <v>548</v>
      </c>
      <c r="HY400" s="409" t="s">
        <v>5028</v>
      </c>
      <c r="HZ400" s="420" t="str">
        <f t="shared" si="189"/>
        <v>ToyoLi - GOLD</v>
      </c>
      <c r="IA400" s="409">
        <v>30</v>
      </c>
      <c r="IB400" s="411">
        <f>IF(IA400=0,0,IF($LB400=70%,VLOOKUP($HZ400,'Jan-2026 rates'!$L:$R,4,0),IF($LB400=65%,VLOOKUP($HZ400,'Jan-2026 rates'!$L:$R,4,0),IF($LB400=40%,VLOOKUP($HZ400,'Jan-2026 rates'!$L:$R,5,0),IF($LB400=30%,VLOOKUP($HZ400,'Jan-2026 rates'!$L:$R,6,0),IF($LB400=100%,VLOOKUP($HZ400,'Jan-2026 rates'!$L:$R,7,0),IF($LB400=60%,VLOOKUP($HZ400,'Jan-2026 rates'!$L:$S,8,0),IF($LB400=80%,VLOOKUP($HZ400,'Jan-2026 rates'!L:T,9,0),0))))))))</f>
        <v>0</v>
      </c>
      <c r="IC400" s="412"/>
      <c r="ID400" s="409"/>
      <c r="IE400" s="411">
        <f>IF(ID400=0,0,IF($LB400=70%,VLOOKUP($HZ400,'Jan-2026 rates'!$L:$R,4,0),IF($LB400=65%,VLOOKUP($HZ400,'Jan-2026 rates'!$L:$R,4,0),IF($LB400=40%,VLOOKUP($HZ400,'Jan-2026 rates'!$L:$R,5,0),IF($LB400=30%,VLOOKUP($HZ400,'Jan-2026 rates'!$L:$R,6,0),IF($LB400=100%,VLOOKUP($HZ400,'Jan-2026 rates'!$L:$R,7,0),IF($LB400=60%,VLOOKUP($HZ400,'Jan-2026 rates'!$L:$S,8,0),IF($LB400=80%,VLOOKUP($HZ400,'Jan-2026 rates'!L:T,9,0),0))))))))</f>
        <v>0</v>
      </c>
      <c r="IF400" s="412" t="s">
        <v>1892</v>
      </c>
      <c r="IG400" s="413" t="s">
        <v>1505</v>
      </c>
      <c r="IH400" s="412"/>
      <c r="II400" s="412"/>
      <c r="IJ400" s="412"/>
      <c r="IK400" s="412"/>
      <c r="IL400" s="412"/>
      <c r="IM400" s="412"/>
      <c r="IN400" s="409">
        <v>5</v>
      </c>
      <c r="IO400" s="398">
        <f>IF(IN400=0,0,IF(LEN(IF400)=11,_xlfn.XLOOKUP(IF400,'Dispensed Ink Rates'!C:C,'Dispensed Ink Rates'!CS:CS),VLOOKUP(IF400,'Jan-2026 rates'!$E:$F,2,0)))</f>
        <v>0</v>
      </c>
      <c r="IP400" s="409">
        <v>0.3</v>
      </c>
      <c r="IQ400" s="398">
        <f>IF(IP400=0,0,IF(LEN(IG400)=11,_xlfn.XLOOKUP(IG400,'Dispensed Ink Rates'!C:C,'Dispensed Ink Rates'!CS:CS),VLOOKUP(IG400,'Jan-2026 rates'!$E:$F,2,0)))</f>
        <v>0</v>
      </c>
      <c r="IR400" s="409"/>
      <c r="IS400" s="398">
        <f>IF(IR400=0,0,IF(LEN(IH400)=11,_xlfn.XLOOKUP(IH400,'Dispensed Ink Rates'!C:C,'Dispensed Ink Rates'!CS:CS),VLOOKUP(IH400,'Jan-2026 rates'!$E:$F,2,0)))</f>
        <v>0</v>
      </c>
      <c r="IT400" s="409"/>
      <c r="IU400" s="398">
        <f>IF(IT400=0,0,IF(LEN(II400)=11,_xlfn.XLOOKUP(II400,'Dispensed Ink Rates'!C:C,'Dispensed Ink Rates'!CS:CS),VLOOKUP(II400,'Jan-2026 rates'!$E:$F,2,0)))</f>
        <v>0</v>
      </c>
      <c r="IV400" s="409"/>
      <c r="IW400" s="398">
        <f>IF(IV400=0,0,IF(LEN(IJ400)=11,_xlfn.XLOOKUP(IJ400,'Dispensed Ink Rates'!C:C,'Dispensed Ink Rates'!CS:CS),VLOOKUP(IJ400,'Jan-2026 rates'!$E:$F,2,0)))</f>
        <v>0</v>
      </c>
      <c r="IX400" s="409"/>
      <c r="IY400" s="398">
        <f>IF(IX400=0,0,IF(LEN(IK400)=11,_xlfn.XLOOKUP(IK400,'Dispensed Ink Rates'!C:C,'Dispensed Ink Rates'!CS:CS),VLOOKUP(IK400,'Jan-2026 rates'!$E:$F,2,0)))</f>
        <v>0</v>
      </c>
      <c r="IZ400" s="409"/>
      <c r="JA400" s="398">
        <f>IF(IZ400=0,0,IF(LEN(IL400)=11,_xlfn.XLOOKUP(IL400,'Dispensed Ink Rates'!C:C,'Dispensed Ink Rates'!CS:CS),VLOOKUP(IL400,'Jan-2026 rates'!$E:$F,2,0)))</f>
        <v>0</v>
      </c>
      <c r="JB400" s="409"/>
      <c r="JC400" s="398">
        <f>IF(JB400=0,0,IF(LEN(IM400)=11,_xlfn.XLOOKUP(IM400,'Dispensed Ink Rates'!C:C,'Dispensed Ink Rates'!CS:CS),VLOOKUP(IM400,'Jan-2026 rates'!$E:$F,2,0)))</f>
        <v>0</v>
      </c>
      <c r="JD400" s="409" t="s">
        <v>1881</v>
      </c>
      <c r="JE400" s="409">
        <f>17+14</f>
        <v>31</v>
      </c>
      <c r="JF400" s="411">
        <f t="shared" si="230"/>
        <v>0</v>
      </c>
      <c r="JG400" s="411">
        <f t="shared" si="231"/>
        <v>9.4666666666666615</v>
      </c>
      <c r="JH400" s="410">
        <f t="shared" si="232"/>
        <v>0</v>
      </c>
      <c r="JI400" s="405" t="s">
        <v>856</v>
      </c>
      <c r="JJ400" s="409" t="s">
        <v>5029</v>
      </c>
      <c r="JK400" s="420" t="str">
        <f t="shared" si="190"/>
        <v>ToyoLi - WHITE</v>
      </c>
      <c r="JL400" s="409">
        <v>30</v>
      </c>
      <c r="JM400" s="411">
        <f>IF(JL400=0,0,IF($LB400=70%,VLOOKUP($JK400,'Jan-2026 rates'!$L:$R,4,0),IF($LB400=65%,VLOOKUP($JK400,'Jan-2026 rates'!$L:$R,4,0),IF($LB400=40%,VLOOKUP($JK400,'Jan-2026 rates'!$L:$R,5,0),IF($LB400=30%,VLOOKUP($JK400,'Jan-2026 rates'!$L:$R,6,0),IF($LB400=100%,VLOOKUP($JK400,'Jan-2026 rates'!$L:$R,7,0),IF($LB400=60%,VLOOKUP($JK400,'Jan-2026 rates'!$L:$S,8,0),IF($LB400=80%,VLOOKUP($JK400,'Jan-2026 rates'!L:T,9,0),0))))))))</f>
        <v>0</v>
      </c>
      <c r="JN400" s="412"/>
      <c r="JO400" s="409"/>
      <c r="JP400" s="411">
        <f>IF(JO400=0,0,IF($LB400=70%,VLOOKUP($JK400,'Jan-2026 rates'!$L:$R,4,0),IF($LB400=65%,VLOOKUP($JK400,'Jan-2026 rates'!$L:$R,4,0),IF($LB400=40%,VLOOKUP($JK400,'Jan-2026 rates'!$L:$R,5,0),IF($LB400=30%,VLOOKUP($JK400,'Jan-2026 rates'!$L:$R,6,0),IF($LB400=100%,VLOOKUP($JK400,'Jan-2026 rates'!$L:$R,7,0),IF($LB400=60%,VLOOKUP($JK400,'Jan-2026 rates'!$L:$S,8,0),IF($LB400=80%,VLOOKUP($JK400,'Jan-2026 rates'!L:T,9,0),0))))))))</f>
        <v>0</v>
      </c>
      <c r="JQ400" s="413" t="s">
        <v>1249</v>
      </c>
      <c r="JR400" s="412" t="s">
        <v>1122</v>
      </c>
      <c r="JS400" s="413"/>
      <c r="JT400" s="413"/>
      <c r="JU400" s="412"/>
      <c r="JV400" s="412"/>
      <c r="JW400" s="412"/>
      <c r="JX400" s="412"/>
      <c r="JY400" s="409">
        <v>20</v>
      </c>
      <c r="JZ400" s="398">
        <f>IF(JY400=0,0,IF(LEN(JQ400)=11,_xlfn.XLOOKUP(JQ400,'Dispensed Ink Rates'!C:C,'Dispensed Ink Rates'!CS:CS),VLOOKUP(JQ400,'Jan-2026 rates'!$E:$F,2,0)))</f>
        <v>0</v>
      </c>
      <c r="KA400" s="409">
        <v>3.94</v>
      </c>
      <c r="KB400" s="398">
        <f>IF(KA400=0,0,IF(LEN(JR400)=11,_xlfn.XLOOKUP(JR400,'Dispensed Ink Rates'!C:C,'Dispensed Ink Rates'!CS:CS),VLOOKUP(JR400,'Jan-2026 rates'!$E:$F,2,0)))</f>
        <v>0</v>
      </c>
      <c r="KC400" s="409"/>
      <c r="KD400" s="398">
        <f>IF(KC400=0,0,IF(LEN(JS400)=11,_xlfn.XLOOKUP(JS400,'Dispensed Ink Rates'!C:C,'Dispensed Ink Rates'!CS:CS),VLOOKUP(JS400,'Jan-2026 rates'!$E:$F,2,0)))</f>
        <v>0</v>
      </c>
      <c r="KE400" s="409"/>
      <c r="KF400" s="398">
        <f>IF(KE400=0,0,IF(LEN(JT400)=11,_xlfn.XLOOKUP(JT400,'Dispensed Ink Rates'!C:C,'Dispensed Ink Rates'!CS:CS),VLOOKUP(JT400,'Jan-2026 rates'!$E:$F,2,0)))</f>
        <v>0</v>
      </c>
      <c r="KG400" s="409"/>
      <c r="KH400" s="398">
        <f>IF(KG400=0,0,IF(LEN(JU400)=11,_xlfn.XLOOKUP(JU400,'Dispensed Ink Rates'!C:C,'Dispensed Ink Rates'!CS:CS),VLOOKUP(JU400,'Jan-2026 rates'!$E:$F,2,0)))</f>
        <v>0</v>
      </c>
      <c r="KI400" s="409"/>
      <c r="KJ400" s="398">
        <f>IF(KI400=0,0,IF(LEN(JV400)=11,_xlfn.XLOOKUP(JV400,'Dispensed Ink Rates'!C:C,'Dispensed Ink Rates'!CS:CS),VLOOKUP(JV400,'Jan-2026 rates'!$E:$F,2,0)))</f>
        <v>0</v>
      </c>
      <c r="KK400" s="409"/>
      <c r="KL400" s="398">
        <f>IF(KK400=0,0,IF(LEN(JW400)=11,_xlfn.XLOOKUP(JW400,'Dispensed Ink Rates'!C:C,'Dispensed Ink Rates'!CS:CS),VLOOKUP(JW400,'Jan-2026 rates'!$E:$F,2,0)))</f>
        <v>0</v>
      </c>
      <c r="KM400" s="428"/>
      <c r="KN400" s="398">
        <f>IF(KM400=0,0,IF(LEN(JX400)=11,_xlfn.XLOOKUP(JX400,'Dispensed Ink Rates'!C:C,'Dispensed Ink Rates'!CS:CS),VLOOKUP(JX400,'Jan-2026 rates'!$E:$F,2,0)))</f>
        <v>0</v>
      </c>
      <c r="KO400" s="409" t="s">
        <v>1881</v>
      </c>
      <c r="KP400" s="409">
        <v>30</v>
      </c>
      <c r="KQ400" s="411">
        <f t="shared" si="233"/>
        <v>0</v>
      </c>
      <c r="KR400" s="411">
        <f t="shared" si="234"/>
        <v>49.773333333333341</v>
      </c>
      <c r="KS400" s="410">
        <f t="shared" si="235"/>
        <v>0</v>
      </c>
      <c r="KT400" s="409">
        <v>2</v>
      </c>
      <c r="KU400" s="409">
        <v>2</v>
      </c>
      <c r="KV400" s="409">
        <v>2</v>
      </c>
      <c r="KW400" s="409">
        <v>2</v>
      </c>
      <c r="KX400" s="409">
        <v>2</v>
      </c>
      <c r="KY400" s="409">
        <v>2</v>
      </c>
      <c r="KZ400" s="409">
        <v>2</v>
      </c>
      <c r="LA400" s="409">
        <v>10</v>
      </c>
      <c r="LB400" s="415">
        <v>0.3</v>
      </c>
      <c r="LC400" s="415"/>
      <c r="LD400" s="424"/>
      <c r="LE400" s="415">
        <v>0.5</v>
      </c>
      <c r="LF400" s="415">
        <v>0.2</v>
      </c>
      <c r="LG400" s="409">
        <v>0</v>
      </c>
      <c r="LH400" s="409">
        <f>12+10+12+20+8</f>
        <v>62</v>
      </c>
      <c r="LI400" s="409">
        <v>0</v>
      </c>
      <c r="LJ400" s="409">
        <v>0</v>
      </c>
      <c r="LK400" s="416">
        <f t="shared" si="191"/>
        <v>62</v>
      </c>
      <c r="LL400" s="416">
        <f t="shared" si="349"/>
        <v>62</v>
      </c>
      <c r="LM400" s="417">
        <f t="shared" si="193"/>
        <v>18.599999999999998</v>
      </c>
      <c r="LN400" s="417">
        <f>VLOOKUP($LM$8,'Jan-2026 rates'!$H:$I,2,0)</f>
        <v>0</v>
      </c>
      <c r="LO400" s="417">
        <f t="shared" si="194"/>
        <v>0</v>
      </c>
      <c r="LP400" s="417">
        <f>VLOOKUP($LO$8,'Jan-2026 rates'!$H:$I,2,0)</f>
        <v>0</v>
      </c>
      <c r="LQ400" s="417">
        <f t="shared" si="195"/>
        <v>0</v>
      </c>
      <c r="LR400" s="417">
        <f>VLOOKUP($LQ$8,'Jan-2026 rates'!$H:$I,2,0)</f>
        <v>0</v>
      </c>
      <c r="LS400" s="417">
        <f t="shared" si="196"/>
        <v>31</v>
      </c>
      <c r="LT400" s="417">
        <f>VLOOKUP($LS$8,'Jan-2026 rates'!$H:$I,2,0)</f>
        <v>0</v>
      </c>
      <c r="LU400" s="417">
        <f t="shared" si="197"/>
        <v>12.4</v>
      </c>
      <c r="LV400" s="417">
        <f>VLOOKUP($LU$8,'Jan-2026 rates'!$H:$I,2,0)</f>
        <v>0</v>
      </c>
      <c r="LW400" s="417">
        <f t="shared" si="198"/>
        <v>0</v>
      </c>
      <c r="LX400" s="417">
        <f t="shared" si="199"/>
        <v>0</v>
      </c>
      <c r="LY400" s="418">
        <f t="shared" si="200"/>
        <v>0</v>
      </c>
      <c r="LZ400" s="417"/>
      <c r="MA400" s="435">
        <f t="shared" si="201"/>
        <v>29.240000000000002</v>
      </c>
      <c r="MB400" s="282">
        <f t="shared" si="202"/>
        <v>98.239999999999981</v>
      </c>
      <c r="MC400" s="283" t="s">
        <v>5022</v>
      </c>
      <c r="MD400" s="284" t="str">
        <f t="shared" si="203"/>
        <v>ToyoLiToyoLiToyoLiToyoLiToyoLiToyoLiToyoLiToyoLi</v>
      </c>
      <c r="ME400" s="293" t="str">
        <f t="shared" si="204"/>
        <v>+</v>
      </c>
      <c r="MF400" s="293" t="str">
        <f t="shared" si="205"/>
        <v>+</v>
      </c>
      <c r="MG400" s="293" t="str">
        <f t="shared" si="206"/>
        <v>+</v>
      </c>
      <c r="MH400" s="293" t="str">
        <f t="shared" si="207"/>
        <v>+</v>
      </c>
      <c r="MI400" s="293" t="str">
        <f t="shared" si="208"/>
        <v>+</v>
      </c>
      <c r="MJ400" s="293" t="str">
        <f t="shared" si="209"/>
        <v>+</v>
      </c>
      <c r="MK400" s="293" t="str">
        <f t="shared" si="210"/>
        <v>+</v>
      </c>
      <c r="ML400" s="293" t="str">
        <f t="shared" si="211"/>
        <v>+</v>
      </c>
      <c r="MM400" s="3" t="b">
        <f t="array" ref="MM400">OR(ME400:ML400="-")</f>
        <v>0</v>
      </c>
      <c r="MO400" s="401">
        <f t="shared" si="350"/>
        <v>158.45161290322579</v>
      </c>
      <c r="MP400" s="286"/>
      <c r="MR400" s="402">
        <f t="shared" si="351"/>
        <v>1.853584905660377E-2</v>
      </c>
      <c r="MS400" s="400">
        <f t="shared" si="352"/>
        <v>0</v>
      </c>
      <c r="MT400" s="285"/>
      <c r="NH400" s="361"/>
      <c r="NJ400" s="282"/>
    </row>
    <row r="401" spans="1:374" ht="16.5">
      <c r="A401" s="403">
        <v>46053</v>
      </c>
      <c r="B401" s="404" t="s">
        <v>1018</v>
      </c>
      <c r="C401" s="405" t="s">
        <v>5030</v>
      </c>
      <c r="D401" s="404" t="s">
        <v>5033</v>
      </c>
      <c r="E401" s="404">
        <v>22</v>
      </c>
      <c r="F401" s="407">
        <v>1400</v>
      </c>
      <c r="G401" s="407" t="s">
        <v>1016</v>
      </c>
      <c r="H401" s="408" t="s">
        <v>1017</v>
      </c>
      <c r="I401" s="409">
        <v>0.52</v>
      </c>
      <c r="J401" s="405" t="s">
        <v>543</v>
      </c>
      <c r="K401" s="404" t="s">
        <v>4992</v>
      </c>
      <c r="L401" s="419" t="str">
        <f t="shared" si="184"/>
        <v>ToyoLi - BLACK</v>
      </c>
      <c r="M401" s="404">
        <v>20</v>
      </c>
      <c r="N401" s="410">
        <f>IF(M401=0,0,IF($LB401=70%,VLOOKUP($L401,'Jan-2026 rates'!$L:$R,4,0),IF($LB401=65%,VLOOKUP($L401,'Jan-2026 rates'!$L:$R,4,0),IF($LB401=40%,VLOOKUP($L401,'Jan-2026 rates'!$L:$R,5,0),IF($LB401=30%,VLOOKUP($L401,'Jan-2026 rates'!$L:$R,6,0),IF($LB401=100%,VLOOKUP($L401,'Jan-2026 rates'!$L:$R,7,0),IF($LB401=60%,VLOOKUP($L401,'Jan-2026 rates'!$L:$S,8,0),IF($LB401=80%,VLOOKUP($L401,'Jan-2026 rates'!L:T,9,0),0))))))))</f>
        <v>0</v>
      </c>
      <c r="O401" s="406"/>
      <c r="P401" s="404"/>
      <c r="Q401" s="410">
        <f>IF(P401=0,0,IF($LB401=70%,VLOOKUP($L401,'Jan-2026 rates'!$L:$R,4,0),IF($LB401=65%,VLOOKUP($L401,'Jan-2026 rates'!$L:$R,4,0),IF($LB401=40%,VLOOKUP($L401,'Jan-2026 rates'!$L:$R,5,0),IF($LB401=30%,VLOOKUP($L401,'Jan-2026 rates'!$L:$R,6,0),IF($LB401=100%,VLOOKUP($L401,'Jan-2026 rates'!$L:$R,7,0),IF($LB401=60%,VLOOKUP($L401,'Jan-2026 rates'!$L:$S,8,0),IF($LB401=80%,VLOOKUP($L401,'Jan-2026 rates'!L:T,9,0),0))))))))</f>
        <v>0</v>
      </c>
      <c r="R401" s="406" t="s">
        <v>1252</v>
      </c>
      <c r="S401" s="406"/>
      <c r="T401" s="406"/>
      <c r="U401" s="406"/>
      <c r="V401" s="406"/>
      <c r="W401" s="406"/>
      <c r="X401" s="406"/>
      <c r="Y401" s="406"/>
      <c r="Z401" s="404">
        <v>6</v>
      </c>
      <c r="AA401" s="398">
        <f>IF(Z401=0,0,IF(LEN(R401)=11,_xlfn.XLOOKUP(R401,'Dispensed Ink Rates'!C:C,'Dispensed Ink Rates'!CS:CS),VLOOKUP(R401,'Jan-2026 rates'!$E:$F,2,0)))</f>
        <v>0</v>
      </c>
      <c r="AB401" s="404"/>
      <c r="AC401" s="398">
        <f>IF(AB401=0,0,IF(LEN(S401)=11,_xlfn.XLOOKUP(S401,'Dispensed Ink Rates'!C:C,'Dispensed Ink Rates'!CS:CS),VLOOKUP(S401,'Jan-2026 rates'!$E:$F,2,0)))</f>
        <v>0</v>
      </c>
      <c r="AD401" s="404"/>
      <c r="AE401" s="398">
        <f>IF(AD401=0,0,IF(LEN(T401)=11,_xlfn.XLOOKUP(T401,'Dispensed Ink Rates'!C:C,'Dispensed Ink Rates'!CS:CS),VLOOKUP(T401,'Jan-2026 rates'!$E:$F,2,0)))</f>
        <v>0</v>
      </c>
      <c r="AF401" s="404"/>
      <c r="AG401" s="398">
        <f>IF(AF401=0,0,IF(LEN(U401)=11,_xlfn.XLOOKUP(U401,'Dispensed Ink Rates'!C:C,'Dispensed Ink Rates'!CS:CS),VLOOKUP(U401,'Jan-2026 rates'!$E:$F,2,0)))</f>
        <v>0</v>
      </c>
      <c r="AH401" s="404"/>
      <c r="AI401" s="398">
        <f>IF(AH401=0,0,IF(LEN(V401)=11,_xlfn.XLOOKUP(V401,'Dispensed Ink Rates'!C:C,'Dispensed Ink Rates'!CS:CS),VLOOKUP(V401,'Jan-2026 rates'!$E:$F,2,0)))</f>
        <v>0</v>
      </c>
      <c r="AJ401" s="404"/>
      <c r="AK401" s="398">
        <f>IF(AJ401=0,0,IF(LEN(W401)=11,_xlfn.XLOOKUP(W401,'Dispensed Ink Rates'!C:C,'Dispensed Ink Rates'!CS:CS),VLOOKUP(W401,'Jan-2026 rates'!$E:$F,2,0)))</f>
        <v>0</v>
      </c>
      <c r="AL401" s="404"/>
      <c r="AM401" s="398">
        <f>IF(AL401=0,0,IF(LEN(X401)=11,_xlfn.XLOOKUP(X401,'Dispensed Ink Rates'!C:C,'Dispensed Ink Rates'!CS:CS),VLOOKUP(X401,'Jan-2026 rates'!$E:$F,2,0)))</f>
        <v>0</v>
      </c>
      <c r="AN401" s="404"/>
      <c r="AO401" s="398">
        <f>IF(AN401=0,0,IF(LEN(Y401)=11,_xlfn.XLOOKUP(Y401,'Dispensed Ink Rates'!C:C,'Dispensed Ink Rates'!CS:CS),VLOOKUP(Y401,'Jan-2026 rates'!$E:$F,2,0)))</f>
        <v>0</v>
      </c>
      <c r="AP401" s="409" t="s">
        <v>1881</v>
      </c>
      <c r="AQ401" s="409">
        <v>23</v>
      </c>
      <c r="AR401" s="410">
        <f t="shared" si="212"/>
        <v>0</v>
      </c>
      <c r="AS401" s="411">
        <f t="shared" si="213"/>
        <v>13.333333333333329</v>
      </c>
      <c r="AT401" s="410">
        <f t="shared" si="214"/>
        <v>0</v>
      </c>
      <c r="AU401" s="405" t="s">
        <v>857</v>
      </c>
      <c r="AV401" s="409" t="s">
        <v>5031</v>
      </c>
      <c r="AW401" s="420" t="str">
        <f t="shared" si="348"/>
        <v>ToyoLi - RED</v>
      </c>
      <c r="AX401" s="409">
        <v>20</v>
      </c>
      <c r="AY401" s="411">
        <f>IF(AX401=0,0,IF($LB401=70%,VLOOKUP($AW401,'Jan-2026 rates'!$L:$R,4,0),IF($LB401=65%,VLOOKUP($AW401,'Jan-2026 rates'!$L:$R,4,0),IF($LB401=40%,VLOOKUP($AW401,'Jan-2026 rates'!$L:$R,5,0),IF($LB401=30%,VLOOKUP($AW401,'Jan-2026 rates'!$L:$R,6,0),IF($LB401=100%,VLOOKUP($AW401,'Jan-2026 rates'!$L:$R,7,0),IF($LB401=60%,VLOOKUP($AW401,'Jan-2026 rates'!$L:$S,8,0),IF($LB401=80%,VLOOKUP($AW401,'Jan-2026 rates'!L:T,9,0),0))))))))</f>
        <v>0</v>
      </c>
      <c r="AZ401" s="412"/>
      <c r="BA401" s="409"/>
      <c r="BB401" s="411">
        <f>IF(BA401=0,0,IF($LB401=70%,VLOOKUP($AW401,'Jan-2026 rates'!$L:$R,4,0),IF($LB401=65%,VLOOKUP($AW401,'Jan-2026 rates'!$L:$R,4,0),IF($LB401=40%,VLOOKUP($AW401,'Jan-2026 rates'!$L:$R,5,0),IF($LB401=30%,VLOOKUP($AW401,'Jan-2026 rates'!$L:$R,6,0),IF($LB401=100%,VLOOKUP($AW401,'Jan-2026 rates'!$L:$R,7,0),IF($LB401=60%,VLOOKUP($AW401,'Jan-2026 rates'!$L:$S,8,0),IF($LB401=80%,VLOOKUP($AW401,'Jan-2026 rates'!L:T,9,0),0))))))))</f>
        <v>0</v>
      </c>
      <c r="BC401" s="413" t="s">
        <v>1246</v>
      </c>
      <c r="BD401" s="412"/>
      <c r="BE401" s="412"/>
      <c r="BF401" s="413"/>
      <c r="BG401" s="412"/>
      <c r="BH401" s="412"/>
      <c r="BI401" s="412"/>
      <c r="BJ401" s="412"/>
      <c r="BK401" s="409">
        <v>10</v>
      </c>
      <c r="BL401" s="398">
        <f>IF(BK401=0,0,IF(LEN(BC401)=11,_xlfn.XLOOKUP(BC401,'Dispensed Ink Rates'!C:C,'Dispensed Ink Rates'!CS:CS),VLOOKUP(BC401,'Jan-2026 rates'!$E:$F,2,0)))</f>
        <v>0</v>
      </c>
      <c r="BM401" s="409"/>
      <c r="BN401" s="398">
        <f>IF(BM401=0,0,IF(LEN(BD401)=11,_xlfn.XLOOKUP(BD401,'Dispensed Ink Rates'!C:C,'Dispensed Ink Rates'!CS:CS),VLOOKUP(BD401,'Jan-2026 rates'!$E:$F,2,0)))</f>
        <v>0</v>
      </c>
      <c r="BO401" s="409"/>
      <c r="BP401" s="398">
        <f>IF(BO401=0,0,IF(LEN(BE401)=11,_xlfn.XLOOKUP(BE401,'Dispensed Ink Rates'!C:C,'Dispensed Ink Rates'!CS:CS),VLOOKUP(BE401,'Jan-2026 rates'!$E:$F,2,0)))</f>
        <v>0</v>
      </c>
      <c r="BQ401" s="409"/>
      <c r="BR401" s="398">
        <f>IF(BQ401=0,0,IF(LEN(BF401)=11,_xlfn.XLOOKUP(BF401,'Dispensed Ink Rates'!C:C,'Dispensed Ink Rates'!CS:CS),VLOOKUP(BF401,'Jan-2026 rates'!$E:$F,2,0)))</f>
        <v>0</v>
      </c>
      <c r="BS401" s="409"/>
      <c r="BT401" s="398">
        <f>IF(BS401=0,0,IF(LEN(BG401)=11,_xlfn.XLOOKUP(BG401,'Dispensed Ink Rates'!C:C,'Dispensed Ink Rates'!CS:CS),VLOOKUP(BG401,'Jan-2026 rates'!$E:$F,2,0)))</f>
        <v>0</v>
      </c>
      <c r="BU401" s="409"/>
      <c r="BV401" s="398">
        <f>IF(BU401=0,0,IF(LEN(BH401)=11,_xlfn.XLOOKUP(BH401,'Dispensed Ink Rates'!C:C,'Dispensed Ink Rates'!CS:CS),VLOOKUP(BH401,'Jan-2026 rates'!$E:$F,2,0)))</f>
        <v>0</v>
      </c>
      <c r="BW401" s="409"/>
      <c r="BX401" s="398">
        <f>IF(BW401=0,0,IF(LEN(BI401)=11,_xlfn.XLOOKUP(BI401,'Dispensed Ink Rates'!C:C,'Dispensed Ink Rates'!CS:CS),VLOOKUP(BI401,'Jan-2026 rates'!$E:$F,2,0)))</f>
        <v>0</v>
      </c>
      <c r="BY401" s="409"/>
      <c r="BZ401" s="398">
        <f>IF(BY401=0,0,IF(LEN(BJ401)=11,_xlfn.XLOOKUP(BJ401,'Dispensed Ink Rates'!C:C,'Dispensed Ink Rates'!CS:CS),VLOOKUP(BJ401,'Jan-2026 rates'!$E:$F,2,0)))</f>
        <v>0</v>
      </c>
      <c r="CA401" s="409" t="s">
        <v>1881</v>
      </c>
      <c r="CB401" s="409">
        <v>27</v>
      </c>
      <c r="CC401" s="411">
        <f t="shared" si="215"/>
        <v>0</v>
      </c>
      <c r="CD401" s="411">
        <f t="shared" si="216"/>
        <v>13.333333333333329</v>
      </c>
      <c r="CE401" s="410">
        <f t="shared" si="217"/>
        <v>0</v>
      </c>
      <c r="CF401" s="404" t="s">
        <v>545</v>
      </c>
      <c r="CG401" s="409" t="s">
        <v>5032</v>
      </c>
      <c r="CH401" s="420" t="str">
        <f t="shared" si="185"/>
        <v>ToyoLi - YELLOW</v>
      </c>
      <c r="CI401" s="409">
        <v>25</v>
      </c>
      <c r="CJ401" s="411">
        <f>IF(CI401=0,0,IF($LB401=70%,VLOOKUP($CH401,'Jan-2026 rates'!$L:$R,4,0),IF($LB401=65%,VLOOKUP($CH401,'Jan-2026 rates'!$L:$R,4,0),IF($LB401=40%,VLOOKUP($CH401,'Jan-2026 rates'!$L:$R,5,0),IF($LB401=30%,VLOOKUP($CH401,'Jan-2026 rates'!$L:$R,6,0),IF($LB401=100%,VLOOKUP($CH401,'Jan-2026 rates'!$L:$R,7,0),IF($LB401=60%,VLOOKUP($CH401,'Jan-2026 rates'!$L:$S,8,0),IF($LB401=80%,VLOOKUP($CH401,'Jan-2026 rates'!L:T,9,0),0))))))))</f>
        <v>0</v>
      </c>
      <c r="CK401" s="412"/>
      <c r="CL401" s="409"/>
      <c r="CM401" s="411">
        <f>IF(CL401=0,0,IF($LB401=70%,VLOOKUP($CH401,'Jan-2026 rates'!$L:$R,4,0),IF($LB401=65%,VLOOKUP($CH401,'Jan-2026 rates'!$L:$R,4,0),IF($LB401=40%,VLOOKUP($CH401,'Jan-2026 rates'!$L:$R,5,0),IF($LB401=30%,VLOOKUP($CH401,'Jan-2026 rates'!$L:$R,6,0),IF($LB401=100%,VLOOKUP($CH401,'Jan-2026 rates'!$L:$R,7,0),IF($LB401=60%,VLOOKUP($CH401,'Jan-2026 rates'!$L:$S,8,0),IF($LB401=80%,VLOOKUP($CH401,'Jan-2026 rates'!L:T,9,0),0))))))))</f>
        <v>0</v>
      </c>
      <c r="CN401" s="426" t="s">
        <v>1247</v>
      </c>
      <c r="CO401" s="427"/>
      <c r="CP401" s="426"/>
      <c r="CQ401" s="426"/>
      <c r="CR401" s="428"/>
      <c r="CS401" s="428"/>
      <c r="CT401" s="428"/>
      <c r="CU401" s="428"/>
      <c r="CV401" s="409">
        <v>8</v>
      </c>
      <c r="CW401" s="398">
        <f>IF(CV401=0,0,IF(LEN(CN401)=11,_xlfn.XLOOKUP(CN401,'Dispensed Ink Rates'!C:C,'Dispensed Ink Rates'!CS:CS),VLOOKUP(CN401,'Jan-2026 rates'!$E:$F,2,0)))</f>
        <v>0</v>
      </c>
      <c r="CX401" s="409"/>
      <c r="CY401" s="398">
        <f>IF(CX401=0,0,IF(LEN(CO401)=11,_xlfn.XLOOKUP(CO401,'Dispensed Ink Rates'!C:C,'Dispensed Ink Rates'!CS:CS),VLOOKUP(CO401,'Jan-2026 rates'!$E:$F,2,0)))</f>
        <v>0</v>
      </c>
      <c r="CZ401" s="409"/>
      <c r="DA401" s="398">
        <f>IF(CZ401=0,0,IF(LEN(CP401)=11,_xlfn.XLOOKUP(CP401,'Dispensed Ink Rates'!C:C,'Dispensed Ink Rates'!CS:CS),VLOOKUP(CP401,'Jan-2026 rates'!$E:$F,2,0)))</f>
        <v>0</v>
      </c>
      <c r="DB401" s="409"/>
      <c r="DC401" s="398">
        <f>IF(DB401=0,0,IF(LEN(CQ401)=11,_xlfn.XLOOKUP(CQ401,'Dispensed Ink Rates'!C:C,'Dispensed Ink Rates'!CS:CS),VLOOKUP(CQ401,'Jan-2026 rates'!$E:$F,2,0)))</f>
        <v>0</v>
      </c>
      <c r="DD401" s="409"/>
      <c r="DE401" s="398">
        <f>IF(DD401=0,0,IF(LEN(CR401)=11,_xlfn.XLOOKUP(CR401,'Dispensed Ink Rates'!C:C,'Dispensed Ink Rates'!CS:CS),VLOOKUP(CR401,'Jan-2026 rates'!$E:$F,2,0)))</f>
        <v>0</v>
      </c>
      <c r="DF401" s="409"/>
      <c r="DG401" s="398">
        <f>IF(DF401=0,0,IF(LEN(CS401)=11,_xlfn.XLOOKUP(CS401,'Dispensed Ink Rates'!C:C,'Dispensed Ink Rates'!CS:CS),VLOOKUP(CS401,'Jan-2026 rates'!$E:$F,2,0)))</f>
        <v>0</v>
      </c>
      <c r="DH401" s="409"/>
      <c r="DI401" s="398">
        <f>IF(DH401=0,0,IF(LEN(CT401)=11,_xlfn.XLOOKUP(CT401,'Dispensed Ink Rates'!C:C,'Dispensed Ink Rates'!CS:CS),VLOOKUP(CT401,'Jan-2026 rates'!$E:$F,2,0)))</f>
        <v>0</v>
      </c>
      <c r="DJ401" s="409"/>
      <c r="DK401" s="398">
        <f>IF(DJ401=0,0,IF(LEN(CU401)=11,_xlfn.XLOOKUP(CU401,'Dispensed Ink Rates'!C:C,'Dispensed Ink Rates'!CS:CS),VLOOKUP(CU401,'Jan-2026 rates'!$E:$F,2,0)))</f>
        <v>0</v>
      </c>
      <c r="DL401" s="409" t="s">
        <v>1881</v>
      </c>
      <c r="DM401" s="409">
        <v>26</v>
      </c>
      <c r="DN401" s="411">
        <f t="shared" si="218"/>
        <v>0</v>
      </c>
      <c r="DO401" s="411">
        <f t="shared" si="219"/>
        <v>17.333333333333329</v>
      </c>
      <c r="DP401" s="410">
        <f t="shared" si="220"/>
        <v>0</v>
      </c>
      <c r="DQ401" s="405"/>
      <c r="DR401" s="409"/>
      <c r="DS401" s="420" t="str">
        <f t="shared" si="186"/>
        <v xml:space="preserve"> - </v>
      </c>
      <c r="DT401" s="409"/>
      <c r="DU401" s="411">
        <f>IF(DT401=0,0,IF($LB401=70%,VLOOKUP($DS401,'Jan-2026 rates'!$L:$R,4,0),IF($LB401=65%,VLOOKUP($DS401,'Jan-2026 rates'!$L:$R,4,0),IF($LB401=40%,VLOOKUP($DS401,'Jan-2026 rates'!$L:$R,5,0),IF($LB401=30%,VLOOKUP($DS401,'Jan-2026 rates'!$L:$R,6,0),IF($LB401=100%,VLOOKUP($DS401,'Jan-2026 rates'!$L:$R,7,0),IF($LB401=60%,VLOOKUP($DS401,'Jan-2026 rates'!$L:$S,8,0),IF($LB401=80%,VLOOKUP($DS401,'Jan-2026 rates'!L:T,9,0),0))))))))</f>
        <v>0</v>
      </c>
      <c r="DV401" s="412"/>
      <c r="DW401" s="409"/>
      <c r="DX401" s="411">
        <f>IF(DW401=0,0,IF($LB401=70%,VLOOKUP($DS401,'Jan-2026 rates'!$L:$R,4,0),IF($LB401=65%,VLOOKUP($DS401,'Jan-2026 rates'!$L:$R,4,0),IF($LB401=40%,VLOOKUP($DS401,'Jan-2026 rates'!$L:$R,5,0),IF($LB401=30%,VLOOKUP($DS401,'Jan-2026 rates'!$L:$R,6,0),IF($LB401=100%,VLOOKUP($DS401,'Jan-2026 rates'!$L:$R,7,0),IF($LB401=60%,VLOOKUP($DS401,'Jan-2026 rates'!$L:$S,8,0),IF($LB401=80%,VLOOKUP($DS401,'Jan-2026 rates'!L:T,9,0),0))))))))</f>
        <v>0</v>
      </c>
      <c r="DY401" s="413"/>
      <c r="DZ401" s="413"/>
      <c r="EA401" s="412"/>
      <c r="EB401" s="412"/>
      <c r="EC401" s="412"/>
      <c r="ED401" s="412"/>
      <c r="EE401" s="412"/>
      <c r="EF401" s="412"/>
      <c r="EG401" s="409"/>
      <c r="EH401" s="398">
        <f>IF(EG401=0,0,IF(LEN(DY401)=11,_xlfn.XLOOKUP(DY401,'Dispensed Ink Rates'!C:C,'Dispensed Ink Rates'!CS:CS),VLOOKUP(DY401,'Jan-2026 rates'!$E:$F,2,0)))</f>
        <v>0</v>
      </c>
      <c r="EI401" s="409"/>
      <c r="EJ401" s="398">
        <f>IF(EI401=0,0,IF(LEN(DZ401)=11,_xlfn.XLOOKUP(DZ401,'Dispensed Ink Rates'!C:C,'Dispensed Ink Rates'!CS:CS),VLOOKUP(DZ401,'Jan-2026 rates'!$E:$F,2,0)))</f>
        <v>0</v>
      </c>
      <c r="EK401" s="409"/>
      <c r="EL401" s="398">
        <f>IF(EK401=0,0,IF(LEN(EA401)=11,_xlfn.XLOOKUP(EA401,'Dispensed Ink Rates'!C:C,'Dispensed Ink Rates'!CS:CS),VLOOKUP(EA401,'Jan-2026 rates'!$E:$F,2,0)))</f>
        <v>0</v>
      </c>
      <c r="EM401" s="409"/>
      <c r="EN401" s="398">
        <f>IF(EM401=0,0,IF(LEN(EB401)=11,_xlfn.XLOOKUP(EB401,'Dispensed Ink Rates'!C:C,'Dispensed Ink Rates'!CS:CS),VLOOKUP(EB401,'Jan-2026 rates'!$E:$F,2,0)))</f>
        <v>0</v>
      </c>
      <c r="EO401" s="409"/>
      <c r="EP401" s="398">
        <f>IF(EO401=0,0,IF(LEN(EC401)=11,_xlfn.XLOOKUP(EC401,'Dispensed Ink Rates'!C:C,'Dispensed Ink Rates'!CS:CS),VLOOKUP(EC401,'Jan-2026 rates'!$E:$F,2,0)))</f>
        <v>0</v>
      </c>
      <c r="EQ401" s="409"/>
      <c r="ER401" s="398">
        <f>IF(EQ401=0,0,IF(LEN(ED401)=11,_xlfn.XLOOKUP(ED401,'Dispensed Ink Rates'!C:C,'Dispensed Ink Rates'!CS:CS),VLOOKUP(ED401,'Jan-2026 rates'!$E:$F,2,0)))</f>
        <v>0</v>
      </c>
      <c r="ES401" s="409"/>
      <c r="ET401" s="398">
        <f>IF(ES401=0,0,IF(LEN(EE401)=11,_xlfn.XLOOKUP(EE401,'Dispensed Ink Rates'!C:C,'Dispensed Ink Rates'!CS:CS),VLOOKUP(EE401,'Jan-2026 rates'!$E:$F,2,0)))</f>
        <v>0</v>
      </c>
      <c r="EU401" s="409"/>
      <c r="EV401" s="398">
        <f>IF(EU401=0,0,IF(LEN(EF401)=11,_xlfn.XLOOKUP(EF401,'Dispensed Ink Rates'!C:C,'Dispensed Ink Rates'!CS:CS),VLOOKUP(EF401,'Jan-2026 rates'!$E:$F,2,0)))</f>
        <v>0</v>
      </c>
      <c r="EW401" s="409"/>
      <c r="EX401" s="409"/>
      <c r="EY401" s="411">
        <f t="shared" si="221"/>
        <v>0</v>
      </c>
      <c r="EZ401" s="411">
        <f t="shared" si="222"/>
        <v>0</v>
      </c>
      <c r="FA401" s="410">
        <f t="shared" si="223"/>
        <v>0</v>
      </c>
      <c r="FB401" s="405"/>
      <c r="FC401" s="409"/>
      <c r="FD401" s="420" t="str">
        <f t="shared" si="187"/>
        <v xml:space="preserve"> - </v>
      </c>
      <c r="FE401" s="409"/>
      <c r="FF401" s="411">
        <f>IF(FE401=0,0,IF($LB401=70%,VLOOKUP($FD401,'Jan-2026 rates'!$L:$R,4,0),IF($LB401=65%,VLOOKUP($FD401,'Jan-2026 rates'!$L:$R,4,0),IF($LB401=40%,VLOOKUP($FD401,'Jan-2026 rates'!$L:$R,5,0),IF($LB401=30%,VLOOKUP($FD401,'Jan-2026 rates'!$L:$R,6,0),IF($LB401=100%,VLOOKUP($FD401,'Jan-2026 rates'!$L:$R,7,0),IF($LB401=60%,VLOOKUP($FD401,'Jan-2026 rates'!$L:$S,8,0),IF($LB401=80%,VLOOKUP($FD401,'Jan-2026 rates'!L:T,9,0),0))))))))</f>
        <v>0</v>
      </c>
      <c r="FG401" s="412"/>
      <c r="FH401" s="409"/>
      <c r="FI401" s="411">
        <f>IF(FH401=0,0,IF($LB401=70%,VLOOKUP($FD401,'Jan-2026 rates'!$L:$R,4,0),IF($LB401=65%,VLOOKUP($FD401,'Jan-2026 rates'!$L:$R,4,0),IF($LB401=40%,VLOOKUP($FD401,'Jan-2026 rates'!$L:$R,5,0),IF($LB401=30%,VLOOKUP($FD401,'Jan-2026 rates'!$L:$R,6,0),IF($LB401=100%,VLOOKUP($FD401,'Jan-2026 rates'!$L:$R,7,0),IF($LB401=60%,VLOOKUP($FD401,'Jan-2026 rates'!$L:$S,8,0),IF($LB401=80%,VLOOKUP($FD401,'Jan-2026 rates'!L:T,9,0),0))))))))</f>
        <v>0</v>
      </c>
      <c r="FJ401" s="413"/>
      <c r="FK401" s="413"/>
      <c r="FL401" s="413"/>
      <c r="FM401" s="412"/>
      <c r="FN401" s="412"/>
      <c r="FO401" s="412"/>
      <c r="FP401" s="412"/>
      <c r="FQ401" s="412"/>
      <c r="FR401" s="409"/>
      <c r="FS401" s="398">
        <f>IF(FR401=0,0,IF(LEN(FJ401)=11,_xlfn.XLOOKUP(FJ401,'Dispensed Ink Rates'!C:C,'Dispensed Ink Rates'!CS:CS),VLOOKUP(FJ401,'Jan-2026 rates'!$E:$F,2,0)))</f>
        <v>0</v>
      </c>
      <c r="FT401" s="409"/>
      <c r="FU401" s="398">
        <f>IF(FT401=0,0,IF(LEN(FK401)=11,_xlfn.XLOOKUP(FK401,'Dispensed Ink Rates'!C:C,'Dispensed Ink Rates'!CS:CS),VLOOKUP(FK401,'Jan-2026 rates'!$E:$F,2,0)))</f>
        <v>0</v>
      </c>
      <c r="FV401" s="409"/>
      <c r="FW401" s="398">
        <f>IF(FV401=0,0,IF(LEN(FL401)=11,_xlfn.XLOOKUP(FL401,'Dispensed Ink Rates'!C:C,'Dispensed Ink Rates'!CS:CS),VLOOKUP(FL401,'Jan-2026 rates'!$E:$F,2,0)))</f>
        <v>0</v>
      </c>
      <c r="FX401" s="409"/>
      <c r="FY401" s="398">
        <f>IF(FX401=0,0,IF(LEN(FM401)=11,_xlfn.XLOOKUP(FM401,'Dispensed Ink Rates'!C:C,'Dispensed Ink Rates'!CS:CS),VLOOKUP(FM401,'Jan-2026 rates'!$E:$F,2,0)))</f>
        <v>0</v>
      </c>
      <c r="FZ401" s="409"/>
      <c r="GA401" s="398">
        <f>IF(FZ401=0,0,IF(LEN(FN401)=11,_xlfn.XLOOKUP(FN401,'Dispensed Ink Rates'!C:C,'Dispensed Ink Rates'!CS:CS),VLOOKUP(FN401,'Jan-2026 rates'!$E:$F,2,0)))</f>
        <v>0</v>
      </c>
      <c r="GB401" s="409"/>
      <c r="GC401" s="398">
        <f>IF(GB401=0,0,IF(LEN(FO401)=11,_xlfn.XLOOKUP(FO401,'Dispensed Ink Rates'!C:C,'Dispensed Ink Rates'!CS:CS),VLOOKUP(FO401,'Jan-2026 rates'!$E:$F,2,0)))</f>
        <v>0</v>
      </c>
      <c r="GD401" s="409"/>
      <c r="GE401" s="398">
        <f>IF(GD401=0,0,IF(LEN(FP401)=11,_xlfn.XLOOKUP(FP401,'Dispensed Ink Rates'!C:C,'Dispensed Ink Rates'!CS:CS),VLOOKUP(FP401,'Jan-2026 rates'!$E:$F,2,0)))</f>
        <v>0</v>
      </c>
      <c r="GF401" s="409"/>
      <c r="GG401" s="398">
        <f>IF(GF401=0,0,IF(LEN(FQ401)=11,_xlfn.XLOOKUP(FQ401,'Dispensed Ink Rates'!C:C,'Dispensed Ink Rates'!CS:CS),VLOOKUP(FQ401,'Jan-2026 rates'!$E:$F,2,0)))</f>
        <v>0</v>
      </c>
      <c r="GH401" s="409"/>
      <c r="GI401" s="409"/>
      <c r="GJ401" s="411">
        <f t="shared" si="224"/>
        <v>0</v>
      </c>
      <c r="GK401" s="411">
        <f t="shared" si="225"/>
        <v>0</v>
      </c>
      <c r="GL401" s="410">
        <f t="shared" si="226"/>
        <v>0</v>
      </c>
      <c r="GM401" s="405"/>
      <c r="GN401" s="409"/>
      <c r="GO401" s="420" t="str">
        <f t="shared" si="188"/>
        <v xml:space="preserve"> - </v>
      </c>
      <c r="GP401" s="409"/>
      <c r="GQ401" s="411">
        <f>IF(GP401=0,0,IF($LB401=70%,VLOOKUP($GO401,'Jan-2026 rates'!$L:$R,4,0),IF($LB401=65%,VLOOKUP($GO401,'Jan-2026 rates'!$L:$R,4,0),IF($LB401=40%,VLOOKUP($GO401,'Jan-2026 rates'!$L:$R,5,0),IF($LB401=30%,VLOOKUP($GO401,'Jan-2026 rates'!$L:$R,6,0),IF($LB401=100%,VLOOKUP($GO401,'Jan-2026 rates'!$L:$R,7,0),IF($LB401=60%,VLOOKUP($GO401,'Jan-2026 rates'!$L:$S,8,0),IF($LB401=80%,VLOOKUP($GO401,'Jan-2026 rates'!L:T,9,0),0))))))))</f>
        <v>0</v>
      </c>
      <c r="GR401" s="412"/>
      <c r="GS401" s="409"/>
      <c r="GT401" s="411">
        <f>IF(GS401=0,0,IF($LB401=70%,VLOOKUP($GO401,'Jan-2026 rates'!$L:$R,4,0),IF($LB401=65%,VLOOKUP($GO401,'Jan-2026 rates'!$L:$R,4,0),IF($LB401=40%,VLOOKUP($GO401,'Jan-2026 rates'!$L:$R,5,0),IF($LB401=30%,VLOOKUP($GO401,'Jan-2026 rates'!$L:$R,6,0),IF($LB401=100%,VLOOKUP($GO401,'Jan-2026 rates'!$L:$R,7,0),IF($LB401=60%,VLOOKUP($GO401,'Jan-2026 rates'!$L:$S,8,0),IF($LB401=80%,VLOOKUP($GO401,'Jan-2026 rates'!L:T,9,0),0))))))))</f>
        <v>0</v>
      </c>
      <c r="GU401" s="413"/>
      <c r="GV401" s="413"/>
      <c r="GW401" s="412"/>
      <c r="GX401" s="412"/>
      <c r="GY401" s="412"/>
      <c r="GZ401" s="412"/>
      <c r="HA401" s="412"/>
      <c r="HB401" s="412"/>
      <c r="HC401" s="409"/>
      <c r="HD401" s="398">
        <f>IF(HC401=0,0,IF(LEN(GU401)=11,_xlfn.XLOOKUP(GU401,'Dispensed Ink Rates'!C:C,'Dispensed Ink Rates'!CS:CS),VLOOKUP(GU401,'Jan-2026 rates'!$E:$F,2,0)))</f>
        <v>0</v>
      </c>
      <c r="HE401" s="409"/>
      <c r="HF401" s="398">
        <f>IF(HE401=0,0,IF(LEN(GV401)=11,_xlfn.XLOOKUP(GV401,'Dispensed Ink Rates'!C:C,'Dispensed Ink Rates'!CS:CS),VLOOKUP(GV401,'Jan-2026 rates'!$E:$F,2,0)))</f>
        <v>0</v>
      </c>
      <c r="HG401" s="409"/>
      <c r="HH401" s="398">
        <f>IF(HG401=0,0,IF(LEN(GW401)=11,_xlfn.XLOOKUP(GW401,'Dispensed Ink Rates'!C:C,'Dispensed Ink Rates'!CS:CS),VLOOKUP(GW401,'Jan-2026 rates'!$E:$F,2,0)))</f>
        <v>0</v>
      </c>
      <c r="HI401" s="409"/>
      <c r="HJ401" s="398">
        <f>IF(HI401=0,0,IF(LEN(GX401)=11,_xlfn.XLOOKUP(GX401,'Dispensed Ink Rates'!C:C,'Dispensed Ink Rates'!CS:CS),VLOOKUP(GX401,'Jan-2026 rates'!$E:$F,2,0)))</f>
        <v>0</v>
      </c>
      <c r="HK401" s="409"/>
      <c r="HL401" s="398">
        <f>IF(HK401=0,0,IF(LEN(GY401)=11,_xlfn.XLOOKUP(GY401,'Dispensed Ink Rates'!C:C,'Dispensed Ink Rates'!CS:CS),VLOOKUP(GY401,'Jan-2026 rates'!$E:$F,2,0)))</f>
        <v>0</v>
      </c>
      <c r="HM401" s="409"/>
      <c r="HN401" s="398">
        <f>IF(HM401=0,0,IF(LEN(GZ401)=11,_xlfn.XLOOKUP(GZ401,'Dispensed Ink Rates'!C:C,'Dispensed Ink Rates'!CS:CS),VLOOKUP(GZ401,'Jan-2026 rates'!$E:$F,2,0)))</f>
        <v>0</v>
      </c>
      <c r="HO401" s="409"/>
      <c r="HP401" s="398">
        <f>IF(HO401=0,0,IF(LEN(HA401)=11,_xlfn.XLOOKUP(HA401,'Dispensed Ink Rates'!C:C,'Dispensed Ink Rates'!CS:CS),VLOOKUP(HA401,'Jan-2026 rates'!$E:$F,2,0)))</f>
        <v>0</v>
      </c>
      <c r="HQ401" s="409"/>
      <c r="HR401" s="398">
        <f>IF(HQ401=0,0,IF(LEN(HB401)=11,_xlfn.XLOOKUP(HB401,'Dispensed Ink Rates'!C:C,'Dispensed Ink Rates'!CS:CS),VLOOKUP(HB401,'Jan-2026 rates'!$E:$F,2,0)))</f>
        <v>0</v>
      </c>
      <c r="HS401" s="409"/>
      <c r="HT401" s="409"/>
      <c r="HU401" s="411">
        <f t="shared" si="227"/>
        <v>0</v>
      </c>
      <c r="HV401" s="411">
        <f t="shared" si="228"/>
        <v>0</v>
      </c>
      <c r="HW401" s="414">
        <f t="shared" si="229"/>
        <v>0</v>
      </c>
      <c r="HX401" s="405"/>
      <c r="HY401" s="409"/>
      <c r="HZ401" s="420" t="str">
        <f t="shared" si="189"/>
        <v xml:space="preserve"> - </v>
      </c>
      <c r="IA401" s="409"/>
      <c r="IB401" s="411">
        <f>IF(IA401=0,0,IF($LB401=70%,VLOOKUP($HZ401,'Jan-2026 rates'!$L:$R,4,0),IF($LB401=65%,VLOOKUP($HZ401,'Jan-2026 rates'!$L:$R,4,0),IF($LB401=40%,VLOOKUP($HZ401,'Jan-2026 rates'!$L:$R,5,0),IF($LB401=30%,VLOOKUP($HZ401,'Jan-2026 rates'!$L:$R,6,0),IF($LB401=100%,VLOOKUP($HZ401,'Jan-2026 rates'!$L:$R,7,0),IF($LB401=60%,VLOOKUP($HZ401,'Jan-2026 rates'!$L:$S,8,0),IF($LB401=80%,VLOOKUP($HZ401,'Jan-2026 rates'!L:T,9,0),0))))))))</f>
        <v>0</v>
      </c>
      <c r="IC401" s="412"/>
      <c r="ID401" s="409"/>
      <c r="IE401" s="411">
        <f>IF(ID401=0,0,IF($LB401=70%,VLOOKUP($HZ401,'Jan-2026 rates'!$L:$R,4,0),IF($LB401=65%,VLOOKUP($HZ401,'Jan-2026 rates'!$L:$R,4,0),IF($LB401=40%,VLOOKUP($HZ401,'Jan-2026 rates'!$L:$R,5,0),IF($LB401=30%,VLOOKUP($HZ401,'Jan-2026 rates'!$L:$R,6,0),IF($LB401=100%,VLOOKUP($HZ401,'Jan-2026 rates'!$L:$R,7,0),IF($LB401=60%,VLOOKUP($HZ401,'Jan-2026 rates'!$L:$S,8,0),IF($LB401=80%,VLOOKUP($HZ401,'Jan-2026 rates'!L:T,9,0),0))))))))</f>
        <v>0</v>
      </c>
      <c r="IF401" s="412"/>
      <c r="IG401" s="413"/>
      <c r="IH401" s="412"/>
      <c r="II401" s="412"/>
      <c r="IJ401" s="412"/>
      <c r="IK401" s="412"/>
      <c r="IL401" s="412"/>
      <c r="IM401" s="412"/>
      <c r="IN401" s="409"/>
      <c r="IO401" s="398">
        <f>IF(IN401=0,0,IF(LEN(IF401)=11,_xlfn.XLOOKUP(IF401,'Dispensed Ink Rates'!C:C,'Dispensed Ink Rates'!CS:CS),VLOOKUP(IF401,'Jan-2026 rates'!$E:$F,2,0)))</f>
        <v>0</v>
      </c>
      <c r="IP401" s="409"/>
      <c r="IQ401" s="398">
        <f>IF(IP401=0,0,IF(LEN(IG401)=11,_xlfn.XLOOKUP(IG401,'Dispensed Ink Rates'!C:C,'Dispensed Ink Rates'!CS:CS),VLOOKUP(IG401,'Jan-2026 rates'!$E:$F,2,0)))</f>
        <v>0</v>
      </c>
      <c r="IR401" s="409"/>
      <c r="IS401" s="398">
        <f>IF(IR401=0,0,IF(LEN(IH401)=11,_xlfn.XLOOKUP(IH401,'Dispensed Ink Rates'!C:C,'Dispensed Ink Rates'!CS:CS),VLOOKUP(IH401,'Jan-2026 rates'!$E:$F,2,0)))</f>
        <v>0</v>
      </c>
      <c r="IT401" s="409"/>
      <c r="IU401" s="398">
        <f>IF(IT401=0,0,IF(LEN(II401)=11,_xlfn.XLOOKUP(II401,'Dispensed Ink Rates'!C:C,'Dispensed Ink Rates'!CS:CS),VLOOKUP(II401,'Jan-2026 rates'!$E:$F,2,0)))</f>
        <v>0</v>
      </c>
      <c r="IV401" s="409"/>
      <c r="IW401" s="398">
        <f>IF(IV401=0,0,IF(LEN(IJ401)=11,_xlfn.XLOOKUP(IJ401,'Dispensed Ink Rates'!C:C,'Dispensed Ink Rates'!CS:CS),VLOOKUP(IJ401,'Jan-2026 rates'!$E:$F,2,0)))</f>
        <v>0</v>
      </c>
      <c r="IX401" s="409"/>
      <c r="IY401" s="398">
        <f>IF(IX401=0,0,IF(LEN(IK401)=11,_xlfn.XLOOKUP(IK401,'Dispensed Ink Rates'!C:C,'Dispensed Ink Rates'!CS:CS),VLOOKUP(IK401,'Jan-2026 rates'!$E:$F,2,0)))</f>
        <v>0</v>
      </c>
      <c r="IZ401" s="409"/>
      <c r="JA401" s="398">
        <f>IF(IZ401=0,0,IF(LEN(IL401)=11,_xlfn.XLOOKUP(IL401,'Dispensed Ink Rates'!C:C,'Dispensed Ink Rates'!CS:CS),VLOOKUP(IL401,'Jan-2026 rates'!$E:$F,2,0)))</f>
        <v>0</v>
      </c>
      <c r="JB401" s="409"/>
      <c r="JC401" s="398">
        <f>IF(JB401=0,0,IF(LEN(IM401)=11,_xlfn.XLOOKUP(IM401,'Dispensed Ink Rates'!C:C,'Dispensed Ink Rates'!CS:CS),VLOOKUP(IM401,'Jan-2026 rates'!$E:$F,2,0)))</f>
        <v>0</v>
      </c>
      <c r="JD401" s="409"/>
      <c r="JE401" s="409"/>
      <c r="JF401" s="411">
        <f t="shared" si="230"/>
        <v>0</v>
      </c>
      <c r="JG401" s="411">
        <f t="shared" si="231"/>
        <v>0</v>
      </c>
      <c r="JH401" s="410">
        <f t="shared" si="232"/>
        <v>0</v>
      </c>
      <c r="JI401" s="405"/>
      <c r="JJ401" s="409"/>
      <c r="JK401" s="420" t="str">
        <f t="shared" si="190"/>
        <v xml:space="preserve"> - </v>
      </c>
      <c r="JL401" s="409"/>
      <c r="JM401" s="411">
        <f>IF(JL401=0,0,IF($LB401=70%,VLOOKUP($JK401,'Jan-2026 rates'!$L:$R,4,0),IF($LB401=65%,VLOOKUP($JK401,'Jan-2026 rates'!$L:$R,4,0),IF($LB401=40%,VLOOKUP($JK401,'Jan-2026 rates'!$L:$R,5,0),IF($LB401=30%,VLOOKUP($JK401,'Jan-2026 rates'!$L:$R,6,0),IF($LB401=100%,VLOOKUP($JK401,'Jan-2026 rates'!$L:$R,7,0),IF($LB401=60%,VLOOKUP($JK401,'Jan-2026 rates'!$L:$S,8,0),IF($LB401=80%,VLOOKUP($JK401,'Jan-2026 rates'!L:T,9,0),0))))))))</f>
        <v>0</v>
      </c>
      <c r="JN401" s="412"/>
      <c r="JO401" s="409"/>
      <c r="JP401" s="411">
        <f>IF(JO401=0,0,IF($LB401=70%,VLOOKUP($JK401,'Jan-2026 rates'!$L:$R,4,0),IF($LB401=65%,VLOOKUP($JK401,'Jan-2026 rates'!$L:$R,4,0),IF($LB401=40%,VLOOKUP($JK401,'Jan-2026 rates'!$L:$R,5,0),IF($LB401=30%,VLOOKUP($JK401,'Jan-2026 rates'!$L:$R,6,0),IF($LB401=100%,VLOOKUP($JK401,'Jan-2026 rates'!$L:$R,7,0),IF($LB401=60%,VLOOKUP($JK401,'Jan-2026 rates'!$L:$S,8,0),IF($LB401=80%,VLOOKUP($JK401,'Jan-2026 rates'!L:T,9,0),0))))))))</f>
        <v>0</v>
      </c>
      <c r="JQ401" s="413"/>
      <c r="JR401" s="412"/>
      <c r="JS401" s="413"/>
      <c r="JT401" s="413"/>
      <c r="JU401" s="412"/>
      <c r="JV401" s="412"/>
      <c r="JW401" s="412"/>
      <c r="JX401" s="412"/>
      <c r="JY401" s="409"/>
      <c r="JZ401" s="398">
        <f>IF(JY401=0,0,IF(LEN(JQ401)=11,_xlfn.XLOOKUP(JQ401,'Dispensed Ink Rates'!C:C,'Dispensed Ink Rates'!CS:CS),VLOOKUP(JQ401,'Jan-2026 rates'!$E:$F,2,0)))</f>
        <v>0</v>
      </c>
      <c r="KA401" s="409"/>
      <c r="KB401" s="398">
        <f>IF(KA401=0,0,IF(LEN(JR401)=11,_xlfn.XLOOKUP(JR401,'Dispensed Ink Rates'!C:C,'Dispensed Ink Rates'!CS:CS),VLOOKUP(JR401,'Jan-2026 rates'!$E:$F,2,0)))</f>
        <v>0</v>
      </c>
      <c r="KC401" s="409"/>
      <c r="KD401" s="398">
        <f>IF(KC401=0,0,IF(LEN(JS401)=11,_xlfn.XLOOKUP(JS401,'Dispensed Ink Rates'!C:C,'Dispensed Ink Rates'!CS:CS),VLOOKUP(JS401,'Jan-2026 rates'!$E:$F,2,0)))</f>
        <v>0</v>
      </c>
      <c r="KE401" s="409"/>
      <c r="KF401" s="398">
        <f>IF(KE401=0,0,IF(LEN(JT401)=11,_xlfn.XLOOKUP(JT401,'Dispensed Ink Rates'!C:C,'Dispensed Ink Rates'!CS:CS),VLOOKUP(JT401,'Jan-2026 rates'!$E:$F,2,0)))</f>
        <v>0</v>
      </c>
      <c r="KG401" s="409"/>
      <c r="KH401" s="398">
        <f>IF(KG401=0,0,IF(LEN(JU401)=11,_xlfn.XLOOKUP(JU401,'Dispensed Ink Rates'!C:C,'Dispensed Ink Rates'!CS:CS),VLOOKUP(JU401,'Jan-2026 rates'!$E:$F,2,0)))</f>
        <v>0</v>
      </c>
      <c r="KI401" s="409"/>
      <c r="KJ401" s="398">
        <f>IF(KI401=0,0,IF(LEN(JV401)=11,_xlfn.XLOOKUP(JV401,'Dispensed Ink Rates'!C:C,'Dispensed Ink Rates'!CS:CS),VLOOKUP(JV401,'Jan-2026 rates'!$E:$F,2,0)))</f>
        <v>0</v>
      </c>
      <c r="KK401" s="409"/>
      <c r="KL401" s="398">
        <f>IF(KK401=0,0,IF(LEN(JW401)=11,_xlfn.XLOOKUP(JW401,'Dispensed Ink Rates'!C:C,'Dispensed Ink Rates'!CS:CS),VLOOKUP(JW401,'Jan-2026 rates'!$E:$F,2,0)))</f>
        <v>0</v>
      </c>
      <c r="KM401" s="428"/>
      <c r="KN401" s="398">
        <f>IF(KM401=0,0,IF(LEN(JX401)=11,_xlfn.XLOOKUP(JX401,'Dispensed Ink Rates'!C:C,'Dispensed Ink Rates'!CS:CS),VLOOKUP(JX401,'Jan-2026 rates'!$E:$F,2,0)))</f>
        <v>0</v>
      </c>
      <c r="KO401" s="409"/>
      <c r="KP401" s="409"/>
      <c r="KQ401" s="411">
        <f t="shared" si="233"/>
        <v>0</v>
      </c>
      <c r="KR401" s="411">
        <f t="shared" si="234"/>
        <v>0</v>
      </c>
      <c r="KS401" s="410">
        <f t="shared" si="235"/>
        <v>0</v>
      </c>
      <c r="KT401" s="409">
        <v>2</v>
      </c>
      <c r="KU401" s="409">
        <v>2</v>
      </c>
      <c r="KV401" s="409">
        <v>2</v>
      </c>
      <c r="KW401" s="409">
        <v>0</v>
      </c>
      <c r="KX401" s="409">
        <v>0</v>
      </c>
      <c r="KY401" s="409">
        <v>0</v>
      </c>
      <c r="KZ401" s="409">
        <v>0</v>
      </c>
      <c r="LA401" s="409">
        <v>0</v>
      </c>
      <c r="LB401" s="415">
        <v>0.3</v>
      </c>
      <c r="LC401" s="415"/>
      <c r="LD401" s="424"/>
      <c r="LE401" s="415">
        <v>0.5</v>
      </c>
      <c r="LF401" s="415">
        <v>0.2</v>
      </c>
      <c r="LG401" s="409">
        <v>0</v>
      </c>
      <c r="LH401" s="409">
        <f>6+5+6+10+4</f>
        <v>31</v>
      </c>
      <c r="LI401" s="409">
        <v>0</v>
      </c>
      <c r="LJ401" s="409">
        <v>0</v>
      </c>
      <c r="LK401" s="416">
        <f t="shared" si="191"/>
        <v>31</v>
      </c>
      <c r="LL401" s="416">
        <f t="shared" si="349"/>
        <v>31</v>
      </c>
      <c r="LM401" s="417">
        <f t="shared" si="193"/>
        <v>9.2999999999999989</v>
      </c>
      <c r="LN401" s="417">
        <f>VLOOKUP($LM$8,'Jan-2026 rates'!$H:$I,2,0)</f>
        <v>0</v>
      </c>
      <c r="LO401" s="417">
        <f t="shared" si="194"/>
        <v>0</v>
      </c>
      <c r="LP401" s="417">
        <f>VLOOKUP($LO$8,'Jan-2026 rates'!$H:$I,2,0)</f>
        <v>0</v>
      </c>
      <c r="LQ401" s="417">
        <f t="shared" si="195"/>
        <v>0</v>
      </c>
      <c r="LR401" s="417">
        <f>VLOOKUP($LQ$8,'Jan-2026 rates'!$H:$I,2,0)</f>
        <v>0</v>
      </c>
      <c r="LS401" s="417">
        <f t="shared" si="196"/>
        <v>15.5</v>
      </c>
      <c r="LT401" s="417">
        <f>VLOOKUP($LS$8,'Jan-2026 rates'!$H:$I,2,0)</f>
        <v>0</v>
      </c>
      <c r="LU401" s="417">
        <f t="shared" si="197"/>
        <v>6.2</v>
      </c>
      <c r="LV401" s="417">
        <f>VLOOKUP($LU$8,'Jan-2026 rates'!$H:$I,2,0)</f>
        <v>0</v>
      </c>
      <c r="LW401" s="417">
        <f t="shared" si="198"/>
        <v>0</v>
      </c>
      <c r="LX401" s="417">
        <f t="shared" si="199"/>
        <v>0</v>
      </c>
      <c r="LY401" s="418">
        <f t="shared" si="200"/>
        <v>0</v>
      </c>
      <c r="LZ401" s="417"/>
      <c r="MA401" s="435">
        <f t="shared" si="201"/>
        <v>24</v>
      </c>
      <c r="MB401" s="282">
        <f t="shared" si="202"/>
        <v>43.999999999999986</v>
      </c>
      <c r="MC401" s="283" t="s">
        <v>5033</v>
      </c>
      <c r="MD401" s="284" t="str">
        <f t="shared" si="203"/>
        <v>ToyoLiToyoLiToyoLi</v>
      </c>
      <c r="ME401" s="293" t="str">
        <f t="shared" si="204"/>
        <v>+</v>
      </c>
      <c r="MF401" s="293" t="str">
        <f t="shared" si="205"/>
        <v>+</v>
      </c>
      <c r="MG401" s="293" t="str">
        <f t="shared" si="206"/>
        <v>+</v>
      </c>
      <c r="MH401" s="293" t="str">
        <f t="shared" si="207"/>
        <v>NIL</v>
      </c>
      <c r="MI401" s="293" t="str">
        <f t="shared" si="208"/>
        <v>NIL</v>
      </c>
      <c r="MJ401" s="293" t="str">
        <f t="shared" si="209"/>
        <v>NIL</v>
      </c>
      <c r="MK401" s="293" t="str">
        <f t="shared" si="210"/>
        <v>NIL</v>
      </c>
      <c r="ML401" s="293" t="str">
        <f t="shared" si="211"/>
        <v>NIL</v>
      </c>
      <c r="MM401" s="3" t="b">
        <f t="array" ref="MM401">OR(ME401:ML401="-")</f>
        <v>0</v>
      </c>
      <c r="MO401" s="401">
        <f t="shared" si="350"/>
        <v>199.99999999999994</v>
      </c>
      <c r="MP401" s="286"/>
      <c r="MR401" s="402">
        <f t="shared" si="351"/>
        <v>3.1428571428571417E-2</v>
      </c>
      <c r="MS401" s="400">
        <f t="shared" si="352"/>
        <v>0</v>
      </c>
      <c r="MT401" s="285"/>
      <c r="NH401" s="361"/>
      <c r="NJ401" s="282"/>
    </row>
    <row r="402" spans="1:374" ht="16.5">
      <c r="A402" s="403">
        <v>46053</v>
      </c>
      <c r="B402" s="404" t="s">
        <v>1018</v>
      </c>
      <c r="C402" s="405" t="s">
        <v>5034</v>
      </c>
      <c r="D402" s="404">
        <v>150</v>
      </c>
      <c r="E402" s="404">
        <v>100</v>
      </c>
      <c r="F402" s="407">
        <v>6500</v>
      </c>
      <c r="G402" s="407" t="s">
        <v>1016</v>
      </c>
      <c r="H402" s="408" t="s">
        <v>1017</v>
      </c>
      <c r="I402" s="409">
        <v>0.53</v>
      </c>
      <c r="J402" s="405" t="s">
        <v>543</v>
      </c>
      <c r="K402" s="404" t="s">
        <v>5035</v>
      </c>
      <c r="L402" s="419" t="str">
        <f t="shared" si="184"/>
        <v>ToyoLi - BLACK</v>
      </c>
      <c r="M402" s="404">
        <v>23</v>
      </c>
      <c r="N402" s="410">
        <f>IF(M402=0,0,IF($LB402=70%,VLOOKUP($L402,'Jan-2026 rates'!$L:$R,4,0),IF($LB402=65%,VLOOKUP($L402,'Jan-2026 rates'!$L:$R,4,0),IF($LB402=40%,VLOOKUP($L402,'Jan-2026 rates'!$L:$R,5,0),IF($LB402=30%,VLOOKUP($L402,'Jan-2026 rates'!$L:$R,6,0),IF($LB402=100%,VLOOKUP($L402,'Jan-2026 rates'!$L:$R,7,0),IF($LB402=60%,VLOOKUP($L402,'Jan-2026 rates'!$L:$S,8,0),IF($LB402=80%,VLOOKUP($L402,'Jan-2026 rates'!L:T,9,0),0))))))))</f>
        <v>0</v>
      </c>
      <c r="O402" s="406"/>
      <c r="P402" s="404"/>
      <c r="Q402" s="410">
        <f>IF(P402=0,0,IF($LB402=70%,VLOOKUP($L402,'Jan-2026 rates'!$L:$R,4,0),IF($LB402=65%,VLOOKUP($L402,'Jan-2026 rates'!$L:$R,4,0),IF($LB402=40%,VLOOKUP($L402,'Jan-2026 rates'!$L:$R,5,0),IF($LB402=30%,VLOOKUP($L402,'Jan-2026 rates'!$L:$R,6,0),IF($LB402=100%,VLOOKUP($L402,'Jan-2026 rates'!$L:$R,7,0),IF($LB402=60%,VLOOKUP($L402,'Jan-2026 rates'!$L:$S,8,0),IF($LB402=80%,VLOOKUP($L402,'Jan-2026 rates'!L:T,9,0),0))))))))</f>
        <v>0</v>
      </c>
      <c r="R402" s="406" t="s">
        <v>1252</v>
      </c>
      <c r="S402" s="406"/>
      <c r="T402" s="406"/>
      <c r="U402" s="406"/>
      <c r="V402" s="406"/>
      <c r="W402" s="406"/>
      <c r="X402" s="406"/>
      <c r="Y402" s="406"/>
      <c r="Z402" s="404">
        <v>6</v>
      </c>
      <c r="AA402" s="398">
        <f>IF(Z402=0,0,IF(LEN(R402)=11,_xlfn.XLOOKUP(R402,'Dispensed Ink Rates'!C:C,'Dispensed Ink Rates'!CS:CS),VLOOKUP(R402,'Jan-2026 rates'!$E:$F,2,0)))</f>
        <v>0</v>
      </c>
      <c r="AB402" s="404"/>
      <c r="AC402" s="398">
        <f>IF(AB402=0,0,IF(LEN(S402)=11,_xlfn.XLOOKUP(S402,'Dispensed Ink Rates'!C:C,'Dispensed Ink Rates'!CS:CS),VLOOKUP(S402,'Jan-2026 rates'!$E:$F,2,0)))</f>
        <v>0</v>
      </c>
      <c r="AD402" s="404"/>
      <c r="AE402" s="398">
        <f>IF(AD402=0,0,IF(LEN(T402)=11,_xlfn.XLOOKUP(T402,'Dispensed Ink Rates'!C:C,'Dispensed Ink Rates'!CS:CS),VLOOKUP(T402,'Jan-2026 rates'!$E:$F,2,0)))</f>
        <v>0</v>
      </c>
      <c r="AF402" s="404"/>
      <c r="AG402" s="398">
        <f>IF(AF402=0,0,IF(LEN(U402)=11,_xlfn.XLOOKUP(U402,'Dispensed Ink Rates'!C:C,'Dispensed Ink Rates'!CS:CS),VLOOKUP(U402,'Jan-2026 rates'!$E:$F,2,0)))</f>
        <v>0</v>
      </c>
      <c r="AH402" s="404"/>
      <c r="AI402" s="398">
        <f>IF(AH402=0,0,IF(LEN(V402)=11,_xlfn.XLOOKUP(V402,'Dispensed Ink Rates'!C:C,'Dispensed Ink Rates'!CS:CS),VLOOKUP(V402,'Jan-2026 rates'!$E:$F,2,0)))</f>
        <v>0</v>
      </c>
      <c r="AJ402" s="404"/>
      <c r="AK402" s="398">
        <f>IF(AJ402=0,0,IF(LEN(W402)=11,_xlfn.XLOOKUP(W402,'Dispensed Ink Rates'!C:C,'Dispensed Ink Rates'!CS:CS),VLOOKUP(W402,'Jan-2026 rates'!$E:$F,2,0)))</f>
        <v>0</v>
      </c>
      <c r="AL402" s="404"/>
      <c r="AM402" s="398">
        <f>IF(AL402=0,0,IF(LEN(X402)=11,_xlfn.XLOOKUP(X402,'Dispensed Ink Rates'!C:C,'Dispensed Ink Rates'!CS:CS),VLOOKUP(X402,'Jan-2026 rates'!$E:$F,2,0)))</f>
        <v>0</v>
      </c>
      <c r="AN402" s="404"/>
      <c r="AO402" s="398">
        <f>IF(AN402=0,0,IF(LEN(Y402)=11,_xlfn.XLOOKUP(Y402,'Dispensed Ink Rates'!C:C,'Dispensed Ink Rates'!CS:CS),VLOOKUP(Y402,'Jan-2026 rates'!$E:$F,2,0)))</f>
        <v>0</v>
      </c>
      <c r="AP402" s="409" t="s">
        <v>1881</v>
      </c>
      <c r="AQ402" s="409">
        <v>24</v>
      </c>
      <c r="AR402" s="410">
        <f t="shared" si="212"/>
        <v>0</v>
      </c>
      <c r="AS402" s="411">
        <f t="shared" si="213"/>
        <v>13.25</v>
      </c>
      <c r="AT402" s="410">
        <f t="shared" si="214"/>
        <v>0</v>
      </c>
      <c r="AU402" s="405" t="s">
        <v>545</v>
      </c>
      <c r="AV402" s="409" t="s">
        <v>5036</v>
      </c>
      <c r="AW402" s="420" t="str">
        <f t="shared" si="348"/>
        <v>ToyoLi - YELLOW</v>
      </c>
      <c r="AX402" s="409">
        <v>26</v>
      </c>
      <c r="AY402" s="411">
        <f>IF(AX402=0,0,IF($LB402=70%,VLOOKUP($AW402,'Jan-2026 rates'!$L:$R,4,0),IF($LB402=65%,VLOOKUP($AW402,'Jan-2026 rates'!$L:$R,4,0),IF($LB402=40%,VLOOKUP($AW402,'Jan-2026 rates'!$L:$R,5,0),IF($LB402=30%,VLOOKUP($AW402,'Jan-2026 rates'!$L:$R,6,0),IF($LB402=100%,VLOOKUP($AW402,'Jan-2026 rates'!$L:$R,7,0),IF($LB402=60%,VLOOKUP($AW402,'Jan-2026 rates'!$L:$S,8,0),IF($LB402=80%,VLOOKUP($AW402,'Jan-2026 rates'!L:T,9,0),0))))))))</f>
        <v>0</v>
      </c>
      <c r="AZ402" s="412"/>
      <c r="BA402" s="409"/>
      <c r="BB402" s="411">
        <f>IF(BA402=0,0,IF($LB402=70%,VLOOKUP($AW402,'Jan-2026 rates'!$L:$R,4,0),IF($LB402=65%,VLOOKUP($AW402,'Jan-2026 rates'!$L:$R,4,0),IF($LB402=40%,VLOOKUP($AW402,'Jan-2026 rates'!$L:$R,5,0),IF($LB402=30%,VLOOKUP($AW402,'Jan-2026 rates'!$L:$R,6,0),IF($LB402=100%,VLOOKUP($AW402,'Jan-2026 rates'!$L:$R,7,0),IF($LB402=60%,VLOOKUP($AW402,'Jan-2026 rates'!$L:$S,8,0),IF($LB402=80%,VLOOKUP($AW402,'Jan-2026 rates'!L:T,9,0),0))))))))</f>
        <v>0</v>
      </c>
      <c r="BC402" s="413" t="s">
        <v>1247</v>
      </c>
      <c r="BD402" s="412"/>
      <c r="BE402" s="412"/>
      <c r="BF402" s="413"/>
      <c r="BG402" s="412"/>
      <c r="BH402" s="412"/>
      <c r="BI402" s="412"/>
      <c r="BJ402" s="412"/>
      <c r="BK402" s="409">
        <f>8+4</f>
        <v>12</v>
      </c>
      <c r="BL402" s="398">
        <f>IF(BK402=0,0,IF(LEN(BC402)=11,_xlfn.XLOOKUP(BC402,'Dispensed Ink Rates'!C:C,'Dispensed Ink Rates'!CS:CS),VLOOKUP(BC402,'Jan-2026 rates'!$E:$F,2,0)))</f>
        <v>0</v>
      </c>
      <c r="BM402" s="409"/>
      <c r="BN402" s="398">
        <f>IF(BM402=0,0,IF(LEN(BD402)=11,_xlfn.XLOOKUP(BD402,'Dispensed Ink Rates'!C:C,'Dispensed Ink Rates'!CS:CS),VLOOKUP(BD402,'Jan-2026 rates'!$E:$F,2,0)))</f>
        <v>0</v>
      </c>
      <c r="BO402" s="409"/>
      <c r="BP402" s="398">
        <f>IF(BO402=0,0,IF(LEN(BE402)=11,_xlfn.XLOOKUP(BE402,'Dispensed Ink Rates'!C:C,'Dispensed Ink Rates'!CS:CS),VLOOKUP(BE402,'Jan-2026 rates'!$E:$F,2,0)))</f>
        <v>0</v>
      </c>
      <c r="BQ402" s="409"/>
      <c r="BR402" s="398">
        <f>IF(BQ402=0,0,IF(LEN(BF402)=11,_xlfn.XLOOKUP(BF402,'Dispensed Ink Rates'!C:C,'Dispensed Ink Rates'!CS:CS),VLOOKUP(BF402,'Jan-2026 rates'!$E:$F,2,0)))</f>
        <v>0</v>
      </c>
      <c r="BS402" s="409"/>
      <c r="BT402" s="398">
        <f>IF(BS402=0,0,IF(LEN(BG402)=11,_xlfn.XLOOKUP(BG402,'Dispensed Ink Rates'!C:C,'Dispensed Ink Rates'!CS:CS),VLOOKUP(BG402,'Jan-2026 rates'!$E:$F,2,0)))</f>
        <v>0</v>
      </c>
      <c r="BU402" s="409"/>
      <c r="BV402" s="398">
        <f>IF(BU402=0,0,IF(LEN(BH402)=11,_xlfn.XLOOKUP(BH402,'Dispensed Ink Rates'!C:C,'Dispensed Ink Rates'!CS:CS),VLOOKUP(BH402,'Jan-2026 rates'!$E:$F,2,0)))</f>
        <v>0</v>
      </c>
      <c r="BW402" s="409"/>
      <c r="BX402" s="398">
        <f>IF(BW402=0,0,IF(LEN(BI402)=11,_xlfn.XLOOKUP(BI402,'Dispensed Ink Rates'!C:C,'Dispensed Ink Rates'!CS:CS),VLOOKUP(BI402,'Jan-2026 rates'!$E:$F,2,0)))</f>
        <v>0</v>
      </c>
      <c r="BY402" s="409"/>
      <c r="BZ402" s="398">
        <f>IF(BY402=0,0,IF(LEN(BJ402)=11,_xlfn.XLOOKUP(BJ402,'Dispensed Ink Rates'!C:C,'Dispensed Ink Rates'!CS:CS),VLOOKUP(BJ402,'Jan-2026 rates'!$E:$F,2,0)))</f>
        <v>0</v>
      </c>
      <c r="CA402" s="409" t="s">
        <v>1881</v>
      </c>
      <c r="CB402" s="409">
        <v>17</v>
      </c>
      <c r="CC402" s="411">
        <f t="shared" si="215"/>
        <v>0</v>
      </c>
      <c r="CD402" s="411">
        <f t="shared" si="216"/>
        <v>45.75</v>
      </c>
      <c r="CE402" s="410">
        <f t="shared" si="217"/>
        <v>0</v>
      </c>
      <c r="CF402" s="404"/>
      <c r="CG402" s="409"/>
      <c r="CH402" s="420" t="str">
        <f t="shared" si="185"/>
        <v xml:space="preserve"> - </v>
      </c>
      <c r="CI402" s="409"/>
      <c r="CJ402" s="411">
        <f>IF(CI402=0,0,IF($LB402=70%,VLOOKUP($CH402,'Jan-2026 rates'!$L:$R,4,0),IF($LB402=65%,VLOOKUP($CH402,'Jan-2026 rates'!$L:$R,4,0),IF($LB402=40%,VLOOKUP($CH402,'Jan-2026 rates'!$L:$R,5,0),IF($LB402=30%,VLOOKUP($CH402,'Jan-2026 rates'!$L:$R,6,0),IF($LB402=100%,VLOOKUP($CH402,'Jan-2026 rates'!$L:$R,7,0),IF($LB402=60%,VLOOKUP($CH402,'Jan-2026 rates'!$L:$S,8,0),IF($LB402=80%,VLOOKUP($CH402,'Jan-2026 rates'!L:T,9,0),0))))))))</f>
        <v>0</v>
      </c>
      <c r="CK402" s="412"/>
      <c r="CL402" s="409"/>
      <c r="CM402" s="411">
        <f>IF(CL402=0,0,IF($LB402=70%,VLOOKUP($CH402,'Jan-2026 rates'!$L:$R,4,0),IF($LB402=65%,VLOOKUP($CH402,'Jan-2026 rates'!$L:$R,4,0),IF($LB402=40%,VLOOKUP($CH402,'Jan-2026 rates'!$L:$R,5,0),IF($LB402=30%,VLOOKUP($CH402,'Jan-2026 rates'!$L:$R,6,0),IF($LB402=100%,VLOOKUP($CH402,'Jan-2026 rates'!$L:$R,7,0),IF($LB402=60%,VLOOKUP($CH402,'Jan-2026 rates'!$L:$S,8,0),IF($LB402=80%,VLOOKUP($CH402,'Jan-2026 rates'!L:T,9,0),0))))))))</f>
        <v>0</v>
      </c>
      <c r="CN402" s="426"/>
      <c r="CO402" s="427"/>
      <c r="CP402" s="426"/>
      <c r="CQ402" s="426"/>
      <c r="CR402" s="428"/>
      <c r="CS402" s="428"/>
      <c r="CT402" s="428"/>
      <c r="CU402" s="428"/>
      <c r="CV402" s="409"/>
      <c r="CW402" s="398">
        <f>IF(CV402=0,0,IF(LEN(CN402)=11,_xlfn.XLOOKUP(CN402,'Dispensed Ink Rates'!C:C,'Dispensed Ink Rates'!CS:CS),VLOOKUP(CN402,'Jan-2026 rates'!$E:$F,2,0)))</f>
        <v>0</v>
      </c>
      <c r="CX402" s="409"/>
      <c r="CY402" s="398">
        <f>IF(CX402=0,0,IF(LEN(CO402)=11,_xlfn.XLOOKUP(CO402,'Dispensed Ink Rates'!C:C,'Dispensed Ink Rates'!CS:CS),VLOOKUP(CO402,'Jan-2026 rates'!$E:$F,2,0)))</f>
        <v>0</v>
      </c>
      <c r="CZ402" s="409"/>
      <c r="DA402" s="398">
        <f>IF(CZ402=0,0,IF(LEN(CP402)=11,_xlfn.XLOOKUP(CP402,'Dispensed Ink Rates'!C:C,'Dispensed Ink Rates'!CS:CS),VLOOKUP(CP402,'Jan-2026 rates'!$E:$F,2,0)))</f>
        <v>0</v>
      </c>
      <c r="DB402" s="409"/>
      <c r="DC402" s="398">
        <f>IF(DB402=0,0,IF(LEN(CQ402)=11,_xlfn.XLOOKUP(CQ402,'Dispensed Ink Rates'!C:C,'Dispensed Ink Rates'!CS:CS),VLOOKUP(CQ402,'Jan-2026 rates'!$E:$F,2,0)))</f>
        <v>0</v>
      </c>
      <c r="DD402" s="409"/>
      <c r="DE402" s="398">
        <f>IF(DD402=0,0,IF(LEN(CR402)=11,_xlfn.XLOOKUP(CR402,'Dispensed Ink Rates'!C:C,'Dispensed Ink Rates'!CS:CS),VLOOKUP(CR402,'Jan-2026 rates'!$E:$F,2,0)))</f>
        <v>0</v>
      </c>
      <c r="DF402" s="409"/>
      <c r="DG402" s="398">
        <f>IF(DF402=0,0,IF(LEN(CS402)=11,_xlfn.XLOOKUP(CS402,'Dispensed Ink Rates'!C:C,'Dispensed Ink Rates'!CS:CS),VLOOKUP(CS402,'Jan-2026 rates'!$E:$F,2,0)))</f>
        <v>0</v>
      </c>
      <c r="DH402" s="409"/>
      <c r="DI402" s="398">
        <f>IF(DH402=0,0,IF(LEN(CT402)=11,_xlfn.XLOOKUP(CT402,'Dispensed Ink Rates'!C:C,'Dispensed Ink Rates'!CS:CS),VLOOKUP(CT402,'Jan-2026 rates'!$E:$F,2,0)))</f>
        <v>0</v>
      </c>
      <c r="DJ402" s="409"/>
      <c r="DK402" s="398">
        <f>IF(DJ402=0,0,IF(LEN(CU402)=11,_xlfn.XLOOKUP(CU402,'Dispensed Ink Rates'!C:C,'Dispensed Ink Rates'!CS:CS),VLOOKUP(CU402,'Jan-2026 rates'!$E:$F,2,0)))</f>
        <v>0</v>
      </c>
      <c r="DL402" s="409"/>
      <c r="DM402" s="409"/>
      <c r="DN402" s="411">
        <f t="shared" si="218"/>
        <v>0</v>
      </c>
      <c r="DO402" s="411">
        <f t="shared" si="219"/>
        <v>0</v>
      </c>
      <c r="DP402" s="410">
        <f t="shared" si="220"/>
        <v>0</v>
      </c>
      <c r="DQ402" s="405"/>
      <c r="DR402" s="409"/>
      <c r="DS402" s="420" t="str">
        <f t="shared" si="186"/>
        <v xml:space="preserve"> - </v>
      </c>
      <c r="DT402" s="409"/>
      <c r="DU402" s="411">
        <f>IF(DT402=0,0,IF($LB402=70%,VLOOKUP($DS402,'Jan-2026 rates'!$L:$R,4,0),IF($LB402=65%,VLOOKUP($DS402,'Jan-2026 rates'!$L:$R,4,0),IF($LB402=40%,VLOOKUP($DS402,'Jan-2026 rates'!$L:$R,5,0),IF($LB402=30%,VLOOKUP($DS402,'Jan-2026 rates'!$L:$R,6,0),IF($LB402=100%,VLOOKUP($DS402,'Jan-2026 rates'!$L:$R,7,0),IF($LB402=60%,VLOOKUP($DS402,'Jan-2026 rates'!$L:$S,8,0),IF($LB402=80%,VLOOKUP($DS402,'Jan-2026 rates'!L:T,9,0),0))))))))</f>
        <v>0</v>
      </c>
      <c r="DV402" s="412"/>
      <c r="DW402" s="409"/>
      <c r="DX402" s="411">
        <f>IF(DW402=0,0,IF($LB402=70%,VLOOKUP($DS402,'Jan-2026 rates'!$L:$R,4,0),IF($LB402=65%,VLOOKUP($DS402,'Jan-2026 rates'!$L:$R,4,0),IF($LB402=40%,VLOOKUP($DS402,'Jan-2026 rates'!$L:$R,5,0),IF($LB402=30%,VLOOKUP($DS402,'Jan-2026 rates'!$L:$R,6,0),IF($LB402=100%,VLOOKUP($DS402,'Jan-2026 rates'!$L:$R,7,0),IF($LB402=60%,VLOOKUP($DS402,'Jan-2026 rates'!$L:$S,8,0),IF($LB402=80%,VLOOKUP($DS402,'Jan-2026 rates'!L:T,9,0),0))))))))</f>
        <v>0</v>
      </c>
      <c r="DY402" s="413"/>
      <c r="DZ402" s="413"/>
      <c r="EA402" s="412"/>
      <c r="EB402" s="412"/>
      <c r="EC402" s="412"/>
      <c r="ED402" s="412"/>
      <c r="EE402" s="412"/>
      <c r="EF402" s="412"/>
      <c r="EG402" s="409"/>
      <c r="EH402" s="398">
        <f>IF(EG402=0,0,IF(LEN(DY402)=11,_xlfn.XLOOKUP(DY402,'Dispensed Ink Rates'!C:C,'Dispensed Ink Rates'!CS:CS),VLOOKUP(DY402,'Jan-2026 rates'!$E:$F,2,0)))</f>
        <v>0</v>
      </c>
      <c r="EI402" s="409"/>
      <c r="EJ402" s="398">
        <f>IF(EI402=0,0,IF(LEN(DZ402)=11,_xlfn.XLOOKUP(DZ402,'Dispensed Ink Rates'!C:C,'Dispensed Ink Rates'!CS:CS),VLOOKUP(DZ402,'Jan-2026 rates'!$E:$F,2,0)))</f>
        <v>0</v>
      </c>
      <c r="EK402" s="409"/>
      <c r="EL402" s="398">
        <f>IF(EK402=0,0,IF(LEN(EA402)=11,_xlfn.XLOOKUP(EA402,'Dispensed Ink Rates'!C:C,'Dispensed Ink Rates'!CS:CS),VLOOKUP(EA402,'Jan-2026 rates'!$E:$F,2,0)))</f>
        <v>0</v>
      </c>
      <c r="EM402" s="409"/>
      <c r="EN402" s="398">
        <f>IF(EM402=0,0,IF(LEN(EB402)=11,_xlfn.XLOOKUP(EB402,'Dispensed Ink Rates'!C:C,'Dispensed Ink Rates'!CS:CS),VLOOKUP(EB402,'Jan-2026 rates'!$E:$F,2,0)))</f>
        <v>0</v>
      </c>
      <c r="EO402" s="409"/>
      <c r="EP402" s="398">
        <f>IF(EO402=0,0,IF(LEN(EC402)=11,_xlfn.XLOOKUP(EC402,'Dispensed Ink Rates'!C:C,'Dispensed Ink Rates'!CS:CS),VLOOKUP(EC402,'Jan-2026 rates'!$E:$F,2,0)))</f>
        <v>0</v>
      </c>
      <c r="EQ402" s="409"/>
      <c r="ER402" s="398">
        <f>IF(EQ402=0,0,IF(LEN(ED402)=11,_xlfn.XLOOKUP(ED402,'Dispensed Ink Rates'!C:C,'Dispensed Ink Rates'!CS:CS),VLOOKUP(ED402,'Jan-2026 rates'!$E:$F,2,0)))</f>
        <v>0</v>
      </c>
      <c r="ES402" s="409"/>
      <c r="ET402" s="398">
        <f>IF(ES402=0,0,IF(LEN(EE402)=11,_xlfn.XLOOKUP(EE402,'Dispensed Ink Rates'!C:C,'Dispensed Ink Rates'!CS:CS),VLOOKUP(EE402,'Jan-2026 rates'!$E:$F,2,0)))</f>
        <v>0</v>
      </c>
      <c r="EU402" s="409"/>
      <c r="EV402" s="398">
        <f>IF(EU402=0,0,IF(LEN(EF402)=11,_xlfn.XLOOKUP(EF402,'Dispensed Ink Rates'!C:C,'Dispensed Ink Rates'!CS:CS),VLOOKUP(EF402,'Jan-2026 rates'!$E:$F,2,0)))</f>
        <v>0</v>
      </c>
      <c r="EW402" s="409"/>
      <c r="EX402" s="409"/>
      <c r="EY402" s="411">
        <f t="shared" si="221"/>
        <v>0</v>
      </c>
      <c r="EZ402" s="411">
        <f t="shared" si="222"/>
        <v>0</v>
      </c>
      <c r="FA402" s="410">
        <f t="shared" si="223"/>
        <v>0</v>
      </c>
      <c r="FB402" s="405"/>
      <c r="FC402" s="409"/>
      <c r="FD402" s="420" t="str">
        <f t="shared" si="187"/>
        <v xml:space="preserve"> - </v>
      </c>
      <c r="FE402" s="409"/>
      <c r="FF402" s="411">
        <f>IF(FE402=0,0,IF($LB402=70%,VLOOKUP($FD402,'Jan-2026 rates'!$L:$R,4,0),IF($LB402=65%,VLOOKUP($FD402,'Jan-2026 rates'!$L:$R,4,0),IF($LB402=40%,VLOOKUP($FD402,'Jan-2026 rates'!$L:$R,5,0),IF($LB402=30%,VLOOKUP($FD402,'Jan-2026 rates'!$L:$R,6,0),IF($LB402=100%,VLOOKUP($FD402,'Jan-2026 rates'!$L:$R,7,0),IF($LB402=60%,VLOOKUP($FD402,'Jan-2026 rates'!$L:$S,8,0),IF($LB402=80%,VLOOKUP($FD402,'Jan-2026 rates'!L:T,9,0),0))))))))</f>
        <v>0</v>
      </c>
      <c r="FG402" s="412"/>
      <c r="FH402" s="409"/>
      <c r="FI402" s="411">
        <f>IF(FH402=0,0,IF($LB402=70%,VLOOKUP($FD402,'Jan-2026 rates'!$L:$R,4,0),IF($LB402=65%,VLOOKUP($FD402,'Jan-2026 rates'!$L:$R,4,0),IF($LB402=40%,VLOOKUP($FD402,'Jan-2026 rates'!$L:$R,5,0),IF($LB402=30%,VLOOKUP($FD402,'Jan-2026 rates'!$L:$R,6,0),IF($LB402=100%,VLOOKUP($FD402,'Jan-2026 rates'!$L:$R,7,0),IF($LB402=60%,VLOOKUP($FD402,'Jan-2026 rates'!$L:$S,8,0),IF($LB402=80%,VLOOKUP($FD402,'Jan-2026 rates'!L:T,9,0),0))))))))</f>
        <v>0</v>
      </c>
      <c r="FJ402" s="413"/>
      <c r="FK402" s="413"/>
      <c r="FL402" s="413"/>
      <c r="FM402" s="412"/>
      <c r="FN402" s="412"/>
      <c r="FO402" s="412"/>
      <c r="FP402" s="412"/>
      <c r="FQ402" s="412"/>
      <c r="FR402" s="409"/>
      <c r="FS402" s="398">
        <f>IF(FR402=0,0,IF(LEN(FJ402)=11,_xlfn.XLOOKUP(FJ402,'Dispensed Ink Rates'!C:C,'Dispensed Ink Rates'!CS:CS),VLOOKUP(FJ402,'Jan-2026 rates'!$E:$F,2,0)))</f>
        <v>0</v>
      </c>
      <c r="FT402" s="409"/>
      <c r="FU402" s="398">
        <f>IF(FT402=0,0,IF(LEN(FK402)=11,_xlfn.XLOOKUP(FK402,'Dispensed Ink Rates'!C:C,'Dispensed Ink Rates'!CS:CS),VLOOKUP(FK402,'Jan-2026 rates'!$E:$F,2,0)))</f>
        <v>0</v>
      </c>
      <c r="FV402" s="409"/>
      <c r="FW402" s="398">
        <f>IF(FV402=0,0,IF(LEN(FL402)=11,_xlfn.XLOOKUP(FL402,'Dispensed Ink Rates'!C:C,'Dispensed Ink Rates'!CS:CS),VLOOKUP(FL402,'Jan-2026 rates'!$E:$F,2,0)))</f>
        <v>0</v>
      </c>
      <c r="FX402" s="409"/>
      <c r="FY402" s="398">
        <f>IF(FX402=0,0,IF(LEN(FM402)=11,_xlfn.XLOOKUP(FM402,'Dispensed Ink Rates'!C:C,'Dispensed Ink Rates'!CS:CS),VLOOKUP(FM402,'Jan-2026 rates'!$E:$F,2,0)))</f>
        <v>0</v>
      </c>
      <c r="FZ402" s="409"/>
      <c r="GA402" s="398">
        <f>IF(FZ402=0,0,IF(LEN(FN402)=11,_xlfn.XLOOKUP(FN402,'Dispensed Ink Rates'!C:C,'Dispensed Ink Rates'!CS:CS),VLOOKUP(FN402,'Jan-2026 rates'!$E:$F,2,0)))</f>
        <v>0</v>
      </c>
      <c r="GB402" s="409"/>
      <c r="GC402" s="398">
        <f>IF(GB402=0,0,IF(LEN(FO402)=11,_xlfn.XLOOKUP(FO402,'Dispensed Ink Rates'!C:C,'Dispensed Ink Rates'!CS:CS),VLOOKUP(FO402,'Jan-2026 rates'!$E:$F,2,0)))</f>
        <v>0</v>
      </c>
      <c r="GD402" s="409"/>
      <c r="GE402" s="398">
        <f>IF(GD402=0,0,IF(LEN(FP402)=11,_xlfn.XLOOKUP(FP402,'Dispensed Ink Rates'!C:C,'Dispensed Ink Rates'!CS:CS),VLOOKUP(FP402,'Jan-2026 rates'!$E:$F,2,0)))</f>
        <v>0</v>
      </c>
      <c r="GF402" s="409"/>
      <c r="GG402" s="398">
        <f>IF(GF402=0,0,IF(LEN(FQ402)=11,_xlfn.XLOOKUP(FQ402,'Dispensed Ink Rates'!C:C,'Dispensed Ink Rates'!CS:CS),VLOOKUP(FQ402,'Jan-2026 rates'!$E:$F,2,0)))</f>
        <v>0</v>
      </c>
      <c r="GH402" s="409"/>
      <c r="GI402" s="409"/>
      <c r="GJ402" s="411">
        <f t="shared" si="224"/>
        <v>0</v>
      </c>
      <c r="GK402" s="411">
        <f t="shared" si="225"/>
        <v>0</v>
      </c>
      <c r="GL402" s="410">
        <f t="shared" si="226"/>
        <v>0</v>
      </c>
      <c r="GM402" s="405"/>
      <c r="GN402" s="409"/>
      <c r="GO402" s="420" t="str">
        <f t="shared" si="188"/>
        <v xml:space="preserve"> - </v>
      </c>
      <c r="GP402" s="409"/>
      <c r="GQ402" s="411">
        <f>IF(GP402=0,0,IF($LB402=70%,VLOOKUP($GO402,'Jan-2026 rates'!$L:$R,4,0),IF($LB402=65%,VLOOKUP($GO402,'Jan-2026 rates'!$L:$R,4,0),IF($LB402=40%,VLOOKUP($GO402,'Jan-2026 rates'!$L:$R,5,0),IF($LB402=30%,VLOOKUP($GO402,'Jan-2026 rates'!$L:$R,6,0),IF($LB402=100%,VLOOKUP($GO402,'Jan-2026 rates'!$L:$R,7,0),IF($LB402=60%,VLOOKUP($GO402,'Jan-2026 rates'!$L:$S,8,0),IF($LB402=80%,VLOOKUP($GO402,'Jan-2026 rates'!L:T,9,0),0))))))))</f>
        <v>0</v>
      </c>
      <c r="GR402" s="412"/>
      <c r="GS402" s="409"/>
      <c r="GT402" s="411">
        <f>IF(GS402=0,0,IF($LB402=70%,VLOOKUP($GO402,'Jan-2026 rates'!$L:$R,4,0),IF($LB402=65%,VLOOKUP($GO402,'Jan-2026 rates'!$L:$R,4,0),IF($LB402=40%,VLOOKUP($GO402,'Jan-2026 rates'!$L:$R,5,0),IF($LB402=30%,VLOOKUP($GO402,'Jan-2026 rates'!$L:$R,6,0),IF($LB402=100%,VLOOKUP($GO402,'Jan-2026 rates'!$L:$R,7,0),IF($LB402=60%,VLOOKUP($GO402,'Jan-2026 rates'!$L:$S,8,0),IF($LB402=80%,VLOOKUP($GO402,'Jan-2026 rates'!L:T,9,0),0))))))))</f>
        <v>0</v>
      </c>
      <c r="GU402" s="413"/>
      <c r="GV402" s="413"/>
      <c r="GW402" s="412"/>
      <c r="GX402" s="412"/>
      <c r="GY402" s="412"/>
      <c r="GZ402" s="412"/>
      <c r="HA402" s="412"/>
      <c r="HB402" s="412"/>
      <c r="HC402" s="409"/>
      <c r="HD402" s="398">
        <f>IF(HC402=0,0,IF(LEN(GU402)=11,_xlfn.XLOOKUP(GU402,'Dispensed Ink Rates'!C:C,'Dispensed Ink Rates'!CS:CS),VLOOKUP(GU402,'Jan-2026 rates'!$E:$F,2,0)))</f>
        <v>0</v>
      </c>
      <c r="HE402" s="409"/>
      <c r="HF402" s="398">
        <f>IF(HE402=0,0,IF(LEN(GV402)=11,_xlfn.XLOOKUP(GV402,'Dispensed Ink Rates'!C:C,'Dispensed Ink Rates'!CS:CS),VLOOKUP(GV402,'Jan-2026 rates'!$E:$F,2,0)))</f>
        <v>0</v>
      </c>
      <c r="HG402" s="409"/>
      <c r="HH402" s="398">
        <f>IF(HG402=0,0,IF(LEN(GW402)=11,_xlfn.XLOOKUP(GW402,'Dispensed Ink Rates'!C:C,'Dispensed Ink Rates'!CS:CS),VLOOKUP(GW402,'Jan-2026 rates'!$E:$F,2,0)))</f>
        <v>0</v>
      </c>
      <c r="HI402" s="409"/>
      <c r="HJ402" s="398">
        <f>IF(HI402=0,0,IF(LEN(GX402)=11,_xlfn.XLOOKUP(GX402,'Dispensed Ink Rates'!C:C,'Dispensed Ink Rates'!CS:CS),VLOOKUP(GX402,'Jan-2026 rates'!$E:$F,2,0)))</f>
        <v>0</v>
      </c>
      <c r="HK402" s="409"/>
      <c r="HL402" s="398">
        <f>IF(HK402=0,0,IF(LEN(GY402)=11,_xlfn.XLOOKUP(GY402,'Dispensed Ink Rates'!C:C,'Dispensed Ink Rates'!CS:CS),VLOOKUP(GY402,'Jan-2026 rates'!$E:$F,2,0)))</f>
        <v>0</v>
      </c>
      <c r="HM402" s="409"/>
      <c r="HN402" s="398">
        <f>IF(HM402=0,0,IF(LEN(GZ402)=11,_xlfn.XLOOKUP(GZ402,'Dispensed Ink Rates'!C:C,'Dispensed Ink Rates'!CS:CS),VLOOKUP(GZ402,'Jan-2026 rates'!$E:$F,2,0)))</f>
        <v>0</v>
      </c>
      <c r="HO402" s="409"/>
      <c r="HP402" s="398">
        <f>IF(HO402=0,0,IF(LEN(HA402)=11,_xlfn.XLOOKUP(HA402,'Dispensed Ink Rates'!C:C,'Dispensed Ink Rates'!CS:CS),VLOOKUP(HA402,'Jan-2026 rates'!$E:$F,2,0)))</f>
        <v>0</v>
      </c>
      <c r="HQ402" s="409"/>
      <c r="HR402" s="398">
        <f>IF(HQ402=0,0,IF(LEN(HB402)=11,_xlfn.XLOOKUP(HB402,'Dispensed Ink Rates'!C:C,'Dispensed Ink Rates'!CS:CS),VLOOKUP(HB402,'Jan-2026 rates'!$E:$F,2,0)))</f>
        <v>0</v>
      </c>
      <c r="HS402" s="409"/>
      <c r="HT402" s="409"/>
      <c r="HU402" s="411">
        <f t="shared" si="227"/>
        <v>0</v>
      </c>
      <c r="HV402" s="411">
        <f t="shared" si="228"/>
        <v>0</v>
      </c>
      <c r="HW402" s="414">
        <f t="shared" si="229"/>
        <v>0</v>
      </c>
      <c r="HX402" s="405"/>
      <c r="HY402" s="409"/>
      <c r="HZ402" s="420" t="str">
        <f t="shared" si="189"/>
        <v xml:space="preserve"> - </v>
      </c>
      <c r="IA402" s="409"/>
      <c r="IB402" s="411">
        <f>IF(IA402=0,0,IF($LB402=70%,VLOOKUP($HZ402,'Jan-2026 rates'!$L:$R,4,0),IF($LB402=65%,VLOOKUP($HZ402,'Jan-2026 rates'!$L:$R,4,0),IF($LB402=40%,VLOOKUP($HZ402,'Jan-2026 rates'!$L:$R,5,0),IF($LB402=30%,VLOOKUP($HZ402,'Jan-2026 rates'!$L:$R,6,0),IF($LB402=100%,VLOOKUP($HZ402,'Jan-2026 rates'!$L:$R,7,0),IF($LB402=60%,VLOOKUP($HZ402,'Jan-2026 rates'!$L:$S,8,0),IF($LB402=80%,VLOOKUP($HZ402,'Jan-2026 rates'!L:T,9,0),0))))))))</f>
        <v>0</v>
      </c>
      <c r="IC402" s="412"/>
      <c r="ID402" s="409"/>
      <c r="IE402" s="411">
        <f>IF(ID402=0,0,IF($LB402=70%,VLOOKUP($HZ402,'Jan-2026 rates'!$L:$R,4,0),IF($LB402=65%,VLOOKUP($HZ402,'Jan-2026 rates'!$L:$R,4,0),IF($LB402=40%,VLOOKUP($HZ402,'Jan-2026 rates'!$L:$R,5,0),IF($LB402=30%,VLOOKUP($HZ402,'Jan-2026 rates'!$L:$R,6,0),IF($LB402=100%,VLOOKUP($HZ402,'Jan-2026 rates'!$L:$R,7,0),IF($LB402=60%,VLOOKUP($HZ402,'Jan-2026 rates'!$L:$S,8,0),IF($LB402=80%,VLOOKUP($HZ402,'Jan-2026 rates'!L:T,9,0),0))))))))</f>
        <v>0</v>
      </c>
      <c r="IF402" s="412"/>
      <c r="IG402" s="413"/>
      <c r="IH402" s="412"/>
      <c r="II402" s="412"/>
      <c r="IJ402" s="412"/>
      <c r="IK402" s="412"/>
      <c r="IL402" s="412"/>
      <c r="IM402" s="412"/>
      <c r="IN402" s="409"/>
      <c r="IO402" s="398">
        <f>IF(IN402=0,0,IF(LEN(IF402)=11,_xlfn.XLOOKUP(IF402,'Dispensed Ink Rates'!C:C,'Dispensed Ink Rates'!CS:CS),VLOOKUP(IF402,'Jan-2026 rates'!$E:$F,2,0)))</f>
        <v>0</v>
      </c>
      <c r="IP402" s="409"/>
      <c r="IQ402" s="398">
        <f>IF(IP402=0,0,IF(LEN(IG402)=11,_xlfn.XLOOKUP(IG402,'Dispensed Ink Rates'!C:C,'Dispensed Ink Rates'!CS:CS),VLOOKUP(IG402,'Jan-2026 rates'!$E:$F,2,0)))</f>
        <v>0</v>
      </c>
      <c r="IR402" s="409"/>
      <c r="IS402" s="398">
        <f>IF(IR402=0,0,IF(LEN(IH402)=11,_xlfn.XLOOKUP(IH402,'Dispensed Ink Rates'!C:C,'Dispensed Ink Rates'!CS:CS),VLOOKUP(IH402,'Jan-2026 rates'!$E:$F,2,0)))</f>
        <v>0</v>
      </c>
      <c r="IT402" s="409"/>
      <c r="IU402" s="398">
        <f>IF(IT402=0,0,IF(LEN(II402)=11,_xlfn.XLOOKUP(II402,'Dispensed Ink Rates'!C:C,'Dispensed Ink Rates'!CS:CS),VLOOKUP(II402,'Jan-2026 rates'!$E:$F,2,0)))</f>
        <v>0</v>
      </c>
      <c r="IV402" s="409"/>
      <c r="IW402" s="398">
        <f>IF(IV402=0,0,IF(LEN(IJ402)=11,_xlfn.XLOOKUP(IJ402,'Dispensed Ink Rates'!C:C,'Dispensed Ink Rates'!CS:CS),VLOOKUP(IJ402,'Jan-2026 rates'!$E:$F,2,0)))</f>
        <v>0</v>
      </c>
      <c r="IX402" s="409"/>
      <c r="IY402" s="398">
        <f>IF(IX402=0,0,IF(LEN(IK402)=11,_xlfn.XLOOKUP(IK402,'Dispensed Ink Rates'!C:C,'Dispensed Ink Rates'!CS:CS),VLOOKUP(IK402,'Jan-2026 rates'!$E:$F,2,0)))</f>
        <v>0</v>
      </c>
      <c r="IZ402" s="409"/>
      <c r="JA402" s="398">
        <f>IF(IZ402=0,0,IF(LEN(IL402)=11,_xlfn.XLOOKUP(IL402,'Dispensed Ink Rates'!C:C,'Dispensed Ink Rates'!CS:CS),VLOOKUP(IL402,'Jan-2026 rates'!$E:$F,2,0)))</f>
        <v>0</v>
      </c>
      <c r="JB402" s="409"/>
      <c r="JC402" s="398">
        <f>IF(JB402=0,0,IF(LEN(IM402)=11,_xlfn.XLOOKUP(IM402,'Dispensed Ink Rates'!C:C,'Dispensed Ink Rates'!CS:CS),VLOOKUP(IM402,'Jan-2026 rates'!$E:$F,2,0)))</f>
        <v>0</v>
      </c>
      <c r="JD402" s="409"/>
      <c r="JE402" s="409"/>
      <c r="JF402" s="411">
        <f t="shared" si="230"/>
        <v>0</v>
      </c>
      <c r="JG402" s="411">
        <f t="shared" si="231"/>
        <v>0</v>
      </c>
      <c r="JH402" s="410">
        <f t="shared" si="232"/>
        <v>0</v>
      </c>
      <c r="JI402" s="405"/>
      <c r="JJ402" s="409"/>
      <c r="JK402" s="420" t="str">
        <f t="shared" si="190"/>
        <v xml:space="preserve"> - </v>
      </c>
      <c r="JL402" s="409"/>
      <c r="JM402" s="411">
        <f>IF(JL402=0,0,IF($LB402=70%,VLOOKUP($JK402,'Jan-2026 rates'!$L:$R,4,0),IF($LB402=65%,VLOOKUP($JK402,'Jan-2026 rates'!$L:$R,4,0),IF($LB402=40%,VLOOKUP($JK402,'Jan-2026 rates'!$L:$R,5,0),IF($LB402=30%,VLOOKUP($JK402,'Jan-2026 rates'!$L:$R,6,0),IF($LB402=100%,VLOOKUP($JK402,'Jan-2026 rates'!$L:$R,7,0),IF($LB402=60%,VLOOKUP($JK402,'Jan-2026 rates'!$L:$S,8,0),IF($LB402=80%,VLOOKUP($JK402,'Jan-2026 rates'!L:T,9,0),0))))))))</f>
        <v>0</v>
      </c>
      <c r="JN402" s="412"/>
      <c r="JO402" s="409"/>
      <c r="JP402" s="411">
        <f>IF(JO402=0,0,IF($LB402=70%,VLOOKUP($JK402,'Jan-2026 rates'!$L:$R,4,0),IF($LB402=65%,VLOOKUP($JK402,'Jan-2026 rates'!$L:$R,4,0),IF($LB402=40%,VLOOKUP($JK402,'Jan-2026 rates'!$L:$R,5,0),IF($LB402=30%,VLOOKUP($JK402,'Jan-2026 rates'!$L:$R,6,0),IF($LB402=100%,VLOOKUP($JK402,'Jan-2026 rates'!$L:$R,7,0),IF($LB402=60%,VLOOKUP($JK402,'Jan-2026 rates'!$L:$S,8,0),IF($LB402=80%,VLOOKUP($JK402,'Jan-2026 rates'!L:T,9,0),0))))))))</f>
        <v>0</v>
      </c>
      <c r="JQ402" s="413"/>
      <c r="JR402" s="412"/>
      <c r="JS402" s="413"/>
      <c r="JT402" s="413"/>
      <c r="JU402" s="412"/>
      <c r="JV402" s="412"/>
      <c r="JW402" s="412"/>
      <c r="JX402" s="412"/>
      <c r="JY402" s="409"/>
      <c r="JZ402" s="398">
        <f>IF(JY402=0,0,IF(LEN(JQ402)=11,_xlfn.XLOOKUP(JQ402,'Dispensed Ink Rates'!C:C,'Dispensed Ink Rates'!CS:CS),VLOOKUP(JQ402,'Jan-2026 rates'!$E:$F,2,0)))</f>
        <v>0</v>
      </c>
      <c r="KA402" s="409"/>
      <c r="KB402" s="398">
        <f>IF(KA402=0,0,IF(LEN(JR402)=11,_xlfn.XLOOKUP(JR402,'Dispensed Ink Rates'!C:C,'Dispensed Ink Rates'!CS:CS),VLOOKUP(JR402,'Jan-2026 rates'!$E:$F,2,0)))</f>
        <v>0</v>
      </c>
      <c r="KC402" s="409"/>
      <c r="KD402" s="398">
        <f>IF(KC402=0,0,IF(LEN(JS402)=11,_xlfn.XLOOKUP(JS402,'Dispensed Ink Rates'!C:C,'Dispensed Ink Rates'!CS:CS),VLOOKUP(JS402,'Jan-2026 rates'!$E:$F,2,0)))</f>
        <v>0</v>
      </c>
      <c r="KE402" s="409"/>
      <c r="KF402" s="398">
        <f>IF(KE402=0,0,IF(LEN(JT402)=11,_xlfn.XLOOKUP(JT402,'Dispensed Ink Rates'!C:C,'Dispensed Ink Rates'!CS:CS),VLOOKUP(JT402,'Jan-2026 rates'!$E:$F,2,0)))</f>
        <v>0</v>
      </c>
      <c r="KG402" s="409"/>
      <c r="KH402" s="398">
        <f>IF(KG402=0,0,IF(LEN(JU402)=11,_xlfn.XLOOKUP(JU402,'Dispensed Ink Rates'!C:C,'Dispensed Ink Rates'!CS:CS),VLOOKUP(JU402,'Jan-2026 rates'!$E:$F,2,0)))</f>
        <v>0</v>
      </c>
      <c r="KI402" s="409"/>
      <c r="KJ402" s="398">
        <f>IF(KI402=0,0,IF(LEN(JV402)=11,_xlfn.XLOOKUP(JV402,'Dispensed Ink Rates'!C:C,'Dispensed Ink Rates'!CS:CS),VLOOKUP(JV402,'Jan-2026 rates'!$E:$F,2,0)))</f>
        <v>0</v>
      </c>
      <c r="KK402" s="409"/>
      <c r="KL402" s="398">
        <f>IF(KK402=0,0,IF(LEN(JW402)=11,_xlfn.XLOOKUP(JW402,'Dispensed Ink Rates'!C:C,'Dispensed Ink Rates'!CS:CS),VLOOKUP(JW402,'Jan-2026 rates'!$E:$F,2,0)))</f>
        <v>0</v>
      </c>
      <c r="KM402" s="428"/>
      <c r="KN402" s="398">
        <f>IF(KM402=0,0,IF(LEN(JX402)=11,_xlfn.XLOOKUP(JX402,'Dispensed Ink Rates'!C:C,'Dispensed Ink Rates'!CS:CS),VLOOKUP(JX402,'Jan-2026 rates'!$E:$F,2,0)))</f>
        <v>0</v>
      </c>
      <c r="KO402" s="409"/>
      <c r="KP402" s="409"/>
      <c r="KQ402" s="411">
        <f t="shared" si="233"/>
        <v>0</v>
      </c>
      <c r="KR402" s="411">
        <f t="shared" si="234"/>
        <v>0</v>
      </c>
      <c r="KS402" s="410">
        <f t="shared" si="235"/>
        <v>0</v>
      </c>
      <c r="KT402" s="409">
        <v>2</v>
      </c>
      <c r="KU402" s="409">
        <v>6</v>
      </c>
      <c r="KV402" s="409">
        <v>0</v>
      </c>
      <c r="KW402" s="409">
        <v>0</v>
      </c>
      <c r="KX402" s="409">
        <v>0</v>
      </c>
      <c r="KY402" s="409">
        <v>0</v>
      </c>
      <c r="KZ402" s="409">
        <v>0</v>
      </c>
      <c r="LA402" s="409">
        <v>0</v>
      </c>
      <c r="LB402" s="415">
        <v>0.3</v>
      </c>
      <c r="LC402" s="415"/>
      <c r="LD402" s="424"/>
      <c r="LE402" s="415">
        <v>0.5</v>
      </c>
      <c r="LF402" s="415">
        <v>0.2</v>
      </c>
      <c r="LG402" s="409">
        <v>0</v>
      </c>
      <c r="LH402" s="409">
        <f>8+5+6+10+4</f>
        <v>33</v>
      </c>
      <c r="LI402" s="409">
        <v>0</v>
      </c>
      <c r="LJ402" s="409">
        <v>0</v>
      </c>
      <c r="LK402" s="416">
        <f t="shared" si="191"/>
        <v>33</v>
      </c>
      <c r="LL402" s="416">
        <f t="shared" si="349"/>
        <v>33</v>
      </c>
      <c r="LM402" s="417">
        <f t="shared" si="193"/>
        <v>9.9</v>
      </c>
      <c r="LN402" s="417">
        <f>VLOOKUP($LM$8,'Jan-2026 rates'!$H:$I,2,0)</f>
        <v>0</v>
      </c>
      <c r="LO402" s="417">
        <f t="shared" si="194"/>
        <v>0</v>
      </c>
      <c r="LP402" s="417">
        <f>VLOOKUP($LO$8,'Jan-2026 rates'!$H:$I,2,0)</f>
        <v>0</v>
      </c>
      <c r="LQ402" s="417">
        <f t="shared" si="195"/>
        <v>0</v>
      </c>
      <c r="LR402" s="417">
        <f>VLOOKUP($LQ$8,'Jan-2026 rates'!$H:$I,2,0)</f>
        <v>0</v>
      </c>
      <c r="LS402" s="417">
        <f t="shared" si="196"/>
        <v>16.5</v>
      </c>
      <c r="LT402" s="417">
        <f>VLOOKUP($LS$8,'Jan-2026 rates'!$H:$I,2,0)</f>
        <v>0</v>
      </c>
      <c r="LU402" s="417">
        <f t="shared" si="197"/>
        <v>6.6000000000000005</v>
      </c>
      <c r="LV402" s="417">
        <f>VLOOKUP($LU$8,'Jan-2026 rates'!$H:$I,2,0)</f>
        <v>0</v>
      </c>
      <c r="LW402" s="417">
        <f t="shared" si="198"/>
        <v>0</v>
      </c>
      <c r="LX402" s="417">
        <f t="shared" si="199"/>
        <v>0</v>
      </c>
      <c r="LY402" s="418">
        <f t="shared" si="200"/>
        <v>0</v>
      </c>
      <c r="LZ402" s="417"/>
      <c r="MA402" s="435">
        <f t="shared" si="201"/>
        <v>18</v>
      </c>
      <c r="MB402" s="282">
        <f t="shared" si="202"/>
        <v>59</v>
      </c>
      <c r="MC402" s="283">
        <v>150</v>
      </c>
      <c r="MD402" s="284" t="str">
        <f t="shared" si="203"/>
        <v>ToyoLiToyoLi</v>
      </c>
      <c r="ME402" s="293" t="str">
        <f t="shared" si="204"/>
        <v>+</v>
      </c>
      <c r="MF402" s="293" t="str">
        <f t="shared" si="205"/>
        <v>+</v>
      </c>
      <c r="MG402" s="293" t="str">
        <f t="shared" si="206"/>
        <v>NIL</v>
      </c>
      <c r="MH402" s="293" t="str">
        <f t="shared" si="207"/>
        <v>NIL</v>
      </c>
      <c r="MI402" s="293" t="str">
        <f t="shared" si="208"/>
        <v>NIL</v>
      </c>
      <c r="MJ402" s="293" t="str">
        <f t="shared" si="209"/>
        <v>NIL</v>
      </c>
      <c r="MK402" s="293" t="str">
        <f t="shared" si="210"/>
        <v>NIL</v>
      </c>
      <c r="ML402" s="293" t="str">
        <f t="shared" si="211"/>
        <v>NIL</v>
      </c>
      <c r="MM402" s="3" t="b">
        <f t="array" ref="MM402">OR(ME402:ML402="-")</f>
        <v>0</v>
      </c>
      <c r="MO402" s="401">
        <f t="shared" si="350"/>
        <v>59</v>
      </c>
      <c r="MP402" s="286"/>
      <c r="MR402" s="402">
        <f t="shared" si="351"/>
        <v>9.0769230769230762E-3</v>
      </c>
      <c r="MS402" s="400">
        <f t="shared" si="352"/>
        <v>0</v>
      </c>
      <c r="MT402" s="285"/>
      <c r="NH402" s="361"/>
      <c r="NJ402" s="282"/>
    </row>
    <row r="403" spans="1:374" ht="16.5">
      <c r="A403" s="403">
        <v>46053</v>
      </c>
      <c r="B403" s="404" t="s">
        <v>1018</v>
      </c>
      <c r="C403" s="405" t="s">
        <v>5037</v>
      </c>
      <c r="D403" s="404">
        <v>151</v>
      </c>
      <c r="E403" s="404">
        <v>92</v>
      </c>
      <c r="F403" s="407">
        <v>6000</v>
      </c>
      <c r="G403" s="407" t="s">
        <v>1016</v>
      </c>
      <c r="H403" s="408" t="s">
        <v>1017</v>
      </c>
      <c r="I403" s="409">
        <v>0.68</v>
      </c>
      <c r="J403" s="405" t="s">
        <v>543</v>
      </c>
      <c r="K403" s="404" t="s">
        <v>5038</v>
      </c>
      <c r="L403" s="419" t="str">
        <f t="shared" si="184"/>
        <v>ToyoLi - BLACK</v>
      </c>
      <c r="M403" s="404">
        <v>24</v>
      </c>
      <c r="N403" s="410">
        <f>IF(M403=0,0,IF($LB403=70%,VLOOKUP($L403,'Jan-2026 rates'!$L:$R,4,0),IF($LB403=65%,VLOOKUP($L403,'Jan-2026 rates'!$L:$R,4,0),IF($LB403=40%,VLOOKUP($L403,'Jan-2026 rates'!$L:$R,5,0),IF($LB403=30%,VLOOKUP($L403,'Jan-2026 rates'!$L:$R,6,0),IF($LB403=100%,VLOOKUP($L403,'Jan-2026 rates'!$L:$R,7,0),IF($LB403=60%,VLOOKUP($L403,'Jan-2026 rates'!$L:$S,8,0),IF($LB403=80%,VLOOKUP($L403,'Jan-2026 rates'!L:T,9,0),0))))))))</f>
        <v>0</v>
      </c>
      <c r="O403" s="406"/>
      <c r="P403" s="404"/>
      <c r="Q403" s="410">
        <f>IF(P403=0,0,IF($LB403=70%,VLOOKUP($L403,'Jan-2026 rates'!$L:$R,4,0),IF($LB403=65%,VLOOKUP($L403,'Jan-2026 rates'!$L:$R,4,0),IF($LB403=40%,VLOOKUP($L403,'Jan-2026 rates'!$L:$R,5,0),IF($LB403=30%,VLOOKUP($L403,'Jan-2026 rates'!$L:$R,6,0),IF($LB403=100%,VLOOKUP($L403,'Jan-2026 rates'!$L:$R,7,0),IF($LB403=60%,VLOOKUP($L403,'Jan-2026 rates'!$L:$S,8,0),IF($LB403=80%,VLOOKUP($L403,'Jan-2026 rates'!L:T,9,0),0))))))))</f>
        <v>0</v>
      </c>
      <c r="R403" s="406" t="s">
        <v>1252</v>
      </c>
      <c r="S403" s="406"/>
      <c r="T403" s="406"/>
      <c r="U403" s="406"/>
      <c r="V403" s="406"/>
      <c r="W403" s="406"/>
      <c r="X403" s="406"/>
      <c r="Y403" s="406"/>
      <c r="Z403" s="404">
        <f>4+8</f>
        <v>12</v>
      </c>
      <c r="AA403" s="398">
        <f>IF(Z403=0,0,IF(LEN(R403)=11,_xlfn.XLOOKUP(R403,'Dispensed Ink Rates'!C:C,'Dispensed Ink Rates'!CS:CS),VLOOKUP(R403,'Jan-2026 rates'!$E:$F,2,0)))</f>
        <v>0</v>
      </c>
      <c r="AB403" s="404"/>
      <c r="AC403" s="398">
        <f>IF(AB403=0,0,IF(LEN(S403)=11,_xlfn.XLOOKUP(S403,'Dispensed Ink Rates'!C:C,'Dispensed Ink Rates'!CS:CS),VLOOKUP(S403,'Jan-2026 rates'!$E:$F,2,0)))</f>
        <v>0</v>
      </c>
      <c r="AD403" s="404"/>
      <c r="AE403" s="398">
        <f>IF(AD403=0,0,IF(LEN(T403)=11,_xlfn.XLOOKUP(T403,'Dispensed Ink Rates'!C:C,'Dispensed Ink Rates'!CS:CS),VLOOKUP(T403,'Jan-2026 rates'!$E:$F,2,0)))</f>
        <v>0</v>
      </c>
      <c r="AF403" s="404"/>
      <c r="AG403" s="398">
        <f>IF(AF403=0,0,IF(LEN(U403)=11,_xlfn.XLOOKUP(U403,'Dispensed Ink Rates'!C:C,'Dispensed Ink Rates'!CS:CS),VLOOKUP(U403,'Jan-2026 rates'!$E:$F,2,0)))</f>
        <v>0</v>
      </c>
      <c r="AH403" s="404"/>
      <c r="AI403" s="398">
        <f>IF(AH403=0,0,IF(LEN(V403)=11,_xlfn.XLOOKUP(V403,'Dispensed Ink Rates'!C:C,'Dispensed Ink Rates'!CS:CS),VLOOKUP(V403,'Jan-2026 rates'!$E:$F,2,0)))</f>
        <v>0</v>
      </c>
      <c r="AJ403" s="404"/>
      <c r="AK403" s="398">
        <f>IF(AJ403=0,0,IF(LEN(W403)=11,_xlfn.XLOOKUP(W403,'Dispensed Ink Rates'!C:C,'Dispensed Ink Rates'!CS:CS),VLOOKUP(W403,'Jan-2026 rates'!$E:$F,2,0)))</f>
        <v>0</v>
      </c>
      <c r="AL403" s="404"/>
      <c r="AM403" s="398">
        <f>IF(AL403=0,0,IF(LEN(X403)=11,_xlfn.XLOOKUP(X403,'Dispensed Ink Rates'!C:C,'Dispensed Ink Rates'!CS:CS),VLOOKUP(X403,'Jan-2026 rates'!$E:$F,2,0)))</f>
        <v>0</v>
      </c>
      <c r="AN403" s="404"/>
      <c r="AO403" s="398">
        <f>IF(AN403=0,0,IF(LEN(Y403)=11,_xlfn.XLOOKUP(Y403,'Dispensed Ink Rates'!C:C,'Dispensed Ink Rates'!CS:CS),VLOOKUP(Y403,'Jan-2026 rates'!$E:$F,2,0)))</f>
        <v>0</v>
      </c>
      <c r="AP403" s="409" t="s">
        <v>1881</v>
      </c>
      <c r="AQ403" s="409">
        <f>20+16</f>
        <v>36</v>
      </c>
      <c r="AR403" s="410">
        <f t="shared" si="212"/>
        <v>0</v>
      </c>
      <c r="AS403" s="411">
        <f t="shared" si="213"/>
        <v>25</v>
      </c>
      <c r="AT403" s="410">
        <f t="shared" si="214"/>
        <v>0</v>
      </c>
      <c r="AU403" s="405" t="s">
        <v>857</v>
      </c>
      <c r="AV403" s="409" t="s">
        <v>5039</v>
      </c>
      <c r="AW403" s="420" t="str">
        <f t="shared" si="348"/>
        <v>ToyoLi - RED</v>
      </c>
      <c r="AX403" s="409">
        <v>27</v>
      </c>
      <c r="AY403" s="411">
        <f>IF(AX403=0,0,IF($LB403=70%,VLOOKUP($AW403,'Jan-2026 rates'!$L:$R,4,0),IF($LB403=65%,VLOOKUP($AW403,'Jan-2026 rates'!$L:$R,4,0),IF($LB403=40%,VLOOKUP($AW403,'Jan-2026 rates'!$L:$R,5,0),IF($LB403=30%,VLOOKUP($AW403,'Jan-2026 rates'!$L:$R,6,0),IF($LB403=100%,VLOOKUP($AW403,'Jan-2026 rates'!$L:$R,7,0),IF($LB403=60%,VLOOKUP($AW403,'Jan-2026 rates'!$L:$S,8,0),IF($LB403=80%,VLOOKUP($AW403,'Jan-2026 rates'!L:T,9,0),0))))))))</f>
        <v>0</v>
      </c>
      <c r="AZ403" s="412"/>
      <c r="BA403" s="409"/>
      <c r="BB403" s="411">
        <f>IF(BA403=0,0,IF($LB403=70%,VLOOKUP($AW403,'Jan-2026 rates'!$L:$R,4,0),IF($LB403=65%,VLOOKUP($AW403,'Jan-2026 rates'!$L:$R,4,0),IF($LB403=40%,VLOOKUP($AW403,'Jan-2026 rates'!$L:$R,5,0),IF($LB403=30%,VLOOKUP($AW403,'Jan-2026 rates'!$L:$R,6,0),IF($LB403=100%,VLOOKUP($AW403,'Jan-2026 rates'!$L:$R,7,0),IF($LB403=60%,VLOOKUP($AW403,'Jan-2026 rates'!$L:$S,8,0),IF($LB403=80%,VLOOKUP($AW403,'Jan-2026 rates'!L:T,9,0),0))))))))</f>
        <v>0</v>
      </c>
      <c r="BC403" s="413" t="s">
        <v>1248</v>
      </c>
      <c r="BD403" s="412"/>
      <c r="BE403" s="412"/>
      <c r="BF403" s="413"/>
      <c r="BG403" s="412"/>
      <c r="BH403" s="412"/>
      <c r="BI403" s="412"/>
      <c r="BJ403" s="412"/>
      <c r="BK403" s="409">
        <v>6</v>
      </c>
      <c r="BL403" s="398">
        <f>IF(BK403=0,0,IF(LEN(BC403)=11,_xlfn.XLOOKUP(BC403,'Dispensed Ink Rates'!C:C,'Dispensed Ink Rates'!CS:CS),VLOOKUP(BC403,'Jan-2026 rates'!$E:$F,2,0)))</f>
        <v>0</v>
      </c>
      <c r="BM403" s="409"/>
      <c r="BN403" s="398">
        <f>IF(BM403=0,0,IF(LEN(BD403)=11,_xlfn.XLOOKUP(BD403,'Dispensed Ink Rates'!C:C,'Dispensed Ink Rates'!CS:CS),VLOOKUP(BD403,'Jan-2026 rates'!$E:$F,2,0)))</f>
        <v>0</v>
      </c>
      <c r="BO403" s="409"/>
      <c r="BP403" s="398">
        <f>IF(BO403=0,0,IF(LEN(BE403)=11,_xlfn.XLOOKUP(BE403,'Dispensed Ink Rates'!C:C,'Dispensed Ink Rates'!CS:CS),VLOOKUP(BE403,'Jan-2026 rates'!$E:$F,2,0)))</f>
        <v>0</v>
      </c>
      <c r="BQ403" s="409"/>
      <c r="BR403" s="398">
        <f>IF(BQ403=0,0,IF(LEN(BF403)=11,_xlfn.XLOOKUP(BF403,'Dispensed Ink Rates'!C:C,'Dispensed Ink Rates'!CS:CS),VLOOKUP(BF403,'Jan-2026 rates'!$E:$F,2,0)))</f>
        <v>0</v>
      </c>
      <c r="BS403" s="409"/>
      <c r="BT403" s="398">
        <f>IF(BS403=0,0,IF(LEN(BG403)=11,_xlfn.XLOOKUP(BG403,'Dispensed Ink Rates'!C:C,'Dispensed Ink Rates'!CS:CS),VLOOKUP(BG403,'Jan-2026 rates'!$E:$F,2,0)))</f>
        <v>0</v>
      </c>
      <c r="BU403" s="409"/>
      <c r="BV403" s="398">
        <f>IF(BU403=0,0,IF(LEN(BH403)=11,_xlfn.XLOOKUP(BH403,'Dispensed Ink Rates'!C:C,'Dispensed Ink Rates'!CS:CS),VLOOKUP(BH403,'Jan-2026 rates'!$E:$F,2,0)))</f>
        <v>0</v>
      </c>
      <c r="BW403" s="409"/>
      <c r="BX403" s="398">
        <f>IF(BW403=0,0,IF(LEN(BI403)=11,_xlfn.XLOOKUP(BI403,'Dispensed Ink Rates'!C:C,'Dispensed Ink Rates'!CS:CS),VLOOKUP(BI403,'Jan-2026 rates'!$E:$F,2,0)))</f>
        <v>0</v>
      </c>
      <c r="BY403" s="409"/>
      <c r="BZ403" s="398">
        <f>IF(BY403=0,0,IF(LEN(BJ403)=11,_xlfn.XLOOKUP(BJ403,'Dispensed Ink Rates'!C:C,'Dispensed Ink Rates'!CS:CS),VLOOKUP(BJ403,'Jan-2026 rates'!$E:$F,2,0)))</f>
        <v>0</v>
      </c>
      <c r="CA403" s="409" t="s">
        <v>1881</v>
      </c>
      <c r="CB403" s="409">
        <v>20</v>
      </c>
      <c r="CC403" s="411">
        <f t="shared" si="215"/>
        <v>0</v>
      </c>
      <c r="CD403" s="411">
        <f t="shared" si="216"/>
        <v>23</v>
      </c>
      <c r="CE403" s="410">
        <f t="shared" si="217"/>
        <v>0</v>
      </c>
      <c r="CF403" s="404"/>
      <c r="CG403" s="409"/>
      <c r="CH403" s="420" t="str">
        <f t="shared" si="185"/>
        <v xml:space="preserve"> - </v>
      </c>
      <c r="CI403" s="409"/>
      <c r="CJ403" s="411">
        <f>IF(CI403=0,0,IF($LB403=70%,VLOOKUP($CH403,'Jan-2026 rates'!$L:$R,4,0),IF($LB403=65%,VLOOKUP($CH403,'Jan-2026 rates'!$L:$R,4,0),IF($LB403=40%,VLOOKUP($CH403,'Jan-2026 rates'!$L:$R,5,0),IF($LB403=30%,VLOOKUP($CH403,'Jan-2026 rates'!$L:$R,6,0),IF($LB403=100%,VLOOKUP($CH403,'Jan-2026 rates'!$L:$R,7,0),IF($LB403=60%,VLOOKUP($CH403,'Jan-2026 rates'!$L:$S,8,0),IF($LB403=80%,VLOOKUP($CH403,'Jan-2026 rates'!L:T,9,0),0))))))))</f>
        <v>0</v>
      </c>
      <c r="CK403" s="412"/>
      <c r="CL403" s="409"/>
      <c r="CM403" s="411">
        <f>IF(CL403=0,0,IF($LB403=70%,VLOOKUP($CH403,'Jan-2026 rates'!$L:$R,4,0),IF($LB403=65%,VLOOKUP($CH403,'Jan-2026 rates'!$L:$R,4,0),IF($LB403=40%,VLOOKUP($CH403,'Jan-2026 rates'!$L:$R,5,0),IF($LB403=30%,VLOOKUP($CH403,'Jan-2026 rates'!$L:$R,6,0),IF($LB403=100%,VLOOKUP($CH403,'Jan-2026 rates'!$L:$R,7,0),IF($LB403=60%,VLOOKUP($CH403,'Jan-2026 rates'!$L:$S,8,0),IF($LB403=80%,VLOOKUP($CH403,'Jan-2026 rates'!L:T,9,0),0))))))))</f>
        <v>0</v>
      </c>
      <c r="CN403" s="426"/>
      <c r="CO403" s="427"/>
      <c r="CP403" s="426"/>
      <c r="CQ403" s="426"/>
      <c r="CR403" s="428"/>
      <c r="CS403" s="428"/>
      <c r="CT403" s="428"/>
      <c r="CU403" s="428"/>
      <c r="CV403" s="409"/>
      <c r="CW403" s="398">
        <f>IF(CV403=0,0,IF(LEN(CN403)=11,_xlfn.XLOOKUP(CN403,'Dispensed Ink Rates'!C:C,'Dispensed Ink Rates'!CS:CS),VLOOKUP(CN403,'Jan-2026 rates'!$E:$F,2,0)))</f>
        <v>0</v>
      </c>
      <c r="CX403" s="409"/>
      <c r="CY403" s="398">
        <f>IF(CX403=0,0,IF(LEN(CO403)=11,_xlfn.XLOOKUP(CO403,'Dispensed Ink Rates'!C:C,'Dispensed Ink Rates'!CS:CS),VLOOKUP(CO403,'Jan-2026 rates'!$E:$F,2,0)))</f>
        <v>0</v>
      </c>
      <c r="CZ403" s="409"/>
      <c r="DA403" s="398">
        <f>IF(CZ403=0,0,IF(LEN(CP403)=11,_xlfn.XLOOKUP(CP403,'Dispensed Ink Rates'!C:C,'Dispensed Ink Rates'!CS:CS),VLOOKUP(CP403,'Jan-2026 rates'!$E:$F,2,0)))</f>
        <v>0</v>
      </c>
      <c r="DB403" s="409"/>
      <c r="DC403" s="398">
        <f>IF(DB403=0,0,IF(LEN(CQ403)=11,_xlfn.XLOOKUP(CQ403,'Dispensed Ink Rates'!C:C,'Dispensed Ink Rates'!CS:CS),VLOOKUP(CQ403,'Jan-2026 rates'!$E:$F,2,0)))</f>
        <v>0</v>
      </c>
      <c r="DD403" s="409"/>
      <c r="DE403" s="398">
        <f>IF(DD403=0,0,IF(LEN(CR403)=11,_xlfn.XLOOKUP(CR403,'Dispensed Ink Rates'!C:C,'Dispensed Ink Rates'!CS:CS),VLOOKUP(CR403,'Jan-2026 rates'!$E:$F,2,0)))</f>
        <v>0</v>
      </c>
      <c r="DF403" s="409"/>
      <c r="DG403" s="398">
        <f>IF(DF403=0,0,IF(LEN(CS403)=11,_xlfn.XLOOKUP(CS403,'Dispensed Ink Rates'!C:C,'Dispensed Ink Rates'!CS:CS),VLOOKUP(CS403,'Jan-2026 rates'!$E:$F,2,0)))</f>
        <v>0</v>
      </c>
      <c r="DH403" s="409"/>
      <c r="DI403" s="398">
        <f>IF(DH403=0,0,IF(LEN(CT403)=11,_xlfn.XLOOKUP(CT403,'Dispensed Ink Rates'!C:C,'Dispensed Ink Rates'!CS:CS),VLOOKUP(CT403,'Jan-2026 rates'!$E:$F,2,0)))</f>
        <v>0</v>
      </c>
      <c r="DJ403" s="409"/>
      <c r="DK403" s="398">
        <f>IF(DJ403=0,0,IF(LEN(CU403)=11,_xlfn.XLOOKUP(CU403,'Dispensed Ink Rates'!C:C,'Dispensed Ink Rates'!CS:CS),VLOOKUP(CU403,'Jan-2026 rates'!$E:$F,2,0)))</f>
        <v>0</v>
      </c>
      <c r="DL403" s="409"/>
      <c r="DM403" s="409"/>
      <c r="DN403" s="411">
        <f t="shared" si="218"/>
        <v>0</v>
      </c>
      <c r="DO403" s="411">
        <f t="shared" si="219"/>
        <v>0</v>
      </c>
      <c r="DP403" s="410">
        <f t="shared" si="220"/>
        <v>0</v>
      </c>
      <c r="DQ403" s="405"/>
      <c r="DR403" s="409"/>
      <c r="DS403" s="420" t="str">
        <f t="shared" si="186"/>
        <v xml:space="preserve"> - </v>
      </c>
      <c r="DT403" s="409"/>
      <c r="DU403" s="411">
        <f>IF(DT403=0,0,IF($LB403=70%,VLOOKUP($DS403,'Jan-2026 rates'!$L:$R,4,0),IF($LB403=65%,VLOOKUP($DS403,'Jan-2026 rates'!$L:$R,4,0),IF($LB403=40%,VLOOKUP($DS403,'Jan-2026 rates'!$L:$R,5,0),IF($LB403=30%,VLOOKUP($DS403,'Jan-2026 rates'!$L:$R,6,0),IF($LB403=100%,VLOOKUP($DS403,'Jan-2026 rates'!$L:$R,7,0),IF($LB403=60%,VLOOKUP($DS403,'Jan-2026 rates'!$L:$S,8,0),IF($LB403=80%,VLOOKUP($DS403,'Jan-2026 rates'!L:T,9,0),0))))))))</f>
        <v>0</v>
      </c>
      <c r="DV403" s="412"/>
      <c r="DW403" s="409"/>
      <c r="DX403" s="411">
        <f>IF(DW403=0,0,IF($LB403=70%,VLOOKUP($DS403,'Jan-2026 rates'!$L:$R,4,0),IF($LB403=65%,VLOOKUP($DS403,'Jan-2026 rates'!$L:$R,4,0),IF($LB403=40%,VLOOKUP($DS403,'Jan-2026 rates'!$L:$R,5,0),IF($LB403=30%,VLOOKUP($DS403,'Jan-2026 rates'!$L:$R,6,0),IF($LB403=100%,VLOOKUP($DS403,'Jan-2026 rates'!$L:$R,7,0),IF($LB403=60%,VLOOKUP($DS403,'Jan-2026 rates'!$L:$S,8,0),IF($LB403=80%,VLOOKUP($DS403,'Jan-2026 rates'!L:T,9,0),0))))))))</f>
        <v>0</v>
      </c>
      <c r="DY403" s="413"/>
      <c r="DZ403" s="413"/>
      <c r="EA403" s="412"/>
      <c r="EB403" s="412"/>
      <c r="EC403" s="412"/>
      <c r="ED403" s="412"/>
      <c r="EE403" s="412"/>
      <c r="EF403" s="412"/>
      <c r="EG403" s="409"/>
      <c r="EH403" s="398">
        <f>IF(EG403=0,0,IF(LEN(DY403)=11,_xlfn.XLOOKUP(DY403,'Dispensed Ink Rates'!C:C,'Dispensed Ink Rates'!CS:CS),VLOOKUP(DY403,'Jan-2026 rates'!$E:$F,2,0)))</f>
        <v>0</v>
      </c>
      <c r="EI403" s="409"/>
      <c r="EJ403" s="398">
        <f>IF(EI403=0,0,IF(LEN(DZ403)=11,_xlfn.XLOOKUP(DZ403,'Dispensed Ink Rates'!C:C,'Dispensed Ink Rates'!CS:CS),VLOOKUP(DZ403,'Jan-2026 rates'!$E:$F,2,0)))</f>
        <v>0</v>
      </c>
      <c r="EK403" s="409"/>
      <c r="EL403" s="398">
        <f>IF(EK403=0,0,IF(LEN(EA403)=11,_xlfn.XLOOKUP(EA403,'Dispensed Ink Rates'!C:C,'Dispensed Ink Rates'!CS:CS),VLOOKUP(EA403,'Jan-2026 rates'!$E:$F,2,0)))</f>
        <v>0</v>
      </c>
      <c r="EM403" s="409"/>
      <c r="EN403" s="398">
        <f>IF(EM403=0,0,IF(LEN(EB403)=11,_xlfn.XLOOKUP(EB403,'Dispensed Ink Rates'!C:C,'Dispensed Ink Rates'!CS:CS),VLOOKUP(EB403,'Jan-2026 rates'!$E:$F,2,0)))</f>
        <v>0</v>
      </c>
      <c r="EO403" s="409"/>
      <c r="EP403" s="398">
        <f>IF(EO403=0,0,IF(LEN(EC403)=11,_xlfn.XLOOKUP(EC403,'Dispensed Ink Rates'!C:C,'Dispensed Ink Rates'!CS:CS),VLOOKUP(EC403,'Jan-2026 rates'!$E:$F,2,0)))</f>
        <v>0</v>
      </c>
      <c r="EQ403" s="409"/>
      <c r="ER403" s="398">
        <f>IF(EQ403=0,0,IF(LEN(ED403)=11,_xlfn.XLOOKUP(ED403,'Dispensed Ink Rates'!C:C,'Dispensed Ink Rates'!CS:CS),VLOOKUP(ED403,'Jan-2026 rates'!$E:$F,2,0)))</f>
        <v>0</v>
      </c>
      <c r="ES403" s="409"/>
      <c r="ET403" s="398">
        <f>IF(ES403=0,0,IF(LEN(EE403)=11,_xlfn.XLOOKUP(EE403,'Dispensed Ink Rates'!C:C,'Dispensed Ink Rates'!CS:CS),VLOOKUP(EE403,'Jan-2026 rates'!$E:$F,2,0)))</f>
        <v>0</v>
      </c>
      <c r="EU403" s="409"/>
      <c r="EV403" s="398">
        <f>IF(EU403=0,0,IF(LEN(EF403)=11,_xlfn.XLOOKUP(EF403,'Dispensed Ink Rates'!C:C,'Dispensed Ink Rates'!CS:CS),VLOOKUP(EF403,'Jan-2026 rates'!$E:$F,2,0)))</f>
        <v>0</v>
      </c>
      <c r="EW403" s="409"/>
      <c r="EX403" s="409"/>
      <c r="EY403" s="411">
        <f t="shared" si="221"/>
        <v>0</v>
      </c>
      <c r="EZ403" s="411">
        <f t="shared" si="222"/>
        <v>0</v>
      </c>
      <c r="FA403" s="410">
        <f t="shared" si="223"/>
        <v>0</v>
      </c>
      <c r="FB403" s="405"/>
      <c r="FC403" s="409"/>
      <c r="FD403" s="420" t="str">
        <f t="shared" si="187"/>
        <v xml:space="preserve"> - </v>
      </c>
      <c r="FE403" s="409"/>
      <c r="FF403" s="411">
        <f>IF(FE403=0,0,IF($LB403=70%,VLOOKUP($FD403,'Jan-2026 rates'!$L:$R,4,0),IF($LB403=65%,VLOOKUP($FD403,'Jan-2026 rates'!$L:$R,4,0),IF($LB403=40%,VLOOKUP($FD403,'Jan-2026 rates'!$L:$R,5,0),IF($LB403=30%,VLOOKUP($FD403,'Jan-2026 rates'!$L:$R,6,0),IF($LB403=100%,VLOOKUP($FD403,'Jan-2026 rates'!$L:$R,7,0),IF($LB403=60%,VLOOKUP($FD403,'Jan-2026 rates'!$L:$S,8,0),IF($LB403=80%,VLOOKUP($FD403,'Jan-2026 rates'!L:T,9,0),0))))))))</f>
        <v>0</v>
      </c>
      <c r="FG403" s="412"/>
      <c r="FH403" s="409"/>
      <c r="FI403" s="411">
        <f>IF(FH403=0,0,IF($LB403=70%,VLOOKUP($FD403,'Jan-2026 rates'!$L:$R,4,0),IF($LB403=65%,VLOOKUP($FD403,'Jan-2026 rates'!$L:$R,4,0),IF($LB403=40%,VLOOKUP($FD403,'Jan-2026 rates'!$L:$R,5,0),IF($LB403=30%,VLOOKUP($FD403,'Jan-2026 rates'!$L:$R,6,0),IF($LB403=100%,VLOOKUP($FD403,'Jan-2026 rates'!$L:$R,7,0),IF($LB403=60%,VLOOKUP($FD403,'Jan-2026 rates'!$L:$S,8,0),IF($LB403=80%,VLOOKUP($FD403,'Jan-2026 rates'!L:T,9,0),0))))))))</f>
        <v>0</v>
      </c>
      <c r="FJ403" s="413"/>
      <c r="FK403" s="413"/>
      <c r="FL403" s="413"/>
      <c r="FM403" s="412"/>
      <c r="FN403" s="412"/>
      <c r="FO403" s="412"/>
      <c r="FP403" s="412"/>
      <c r="FQ403" s="412"/>
      <c r="FR403" s="409"/>
      <c r="FS403" s="398">
        <f>IF(FR403=0,0,IF(LEN(FJ403)=11,_xlfn.XLOOKUP(FJ403,'Dispensed Ink Rates'!C:C,'Dispensed Ink Rates'!CS:CS),VLOOKUP(FJ403,'Jan-2026 rates'!$E:$F,2,0)))</f>
        <v>0</v>
      </c>
      <c r="FT403" s="409"/>
      <c r="FU403" s="398">
        <f>IF(FT403=0,0,IF(LEN(FK403)=11,_xlfn.XLOOKUP(FK403,'Dispensed Ink Rates'!C:C,'Dispensed Ink Rates'!CS:CS),VLOOKUP(FK403,'Jan-2026 rates'!$E:$F,2,0)))</f>
        <v>0</v>
      </c>
      <c r="FV403" s="409"/>
      <c r="FW403" s="398">
        <f>IF(FV403=0,0,IF(LEN(FL403)=11,_xlfn.XLOOKUP(FL403,'Dispensed Ink Rates'!C:C,'Dispensed Ink Rates'!CS:CS),VLOOKUP(FL403,'Jan-2026 rates'!$E:$F,2,0)))</f>
        <v>0</v>
      </c>
      <c r="FX403" s="409"/>
      <c r="FY403" s="398">
        <f>IF(FX403=0,0,IF(LEN(FM403)=11,_xlfn.XLOOKUP(FM403,'Dispensed Ink Rates'!C:C,'Dispensed Ink Rates'!CS:CS),VLOOKUP(FM403,'Jan-2026 rates'!$E:$F,2,0)))</f>
        <v>0</v>
      </c>
      <c r="FZ403" s="409"/>
      <c r="GA403" s="398">
        <f>IF(FZ403=0,0,IF(LEN(FN403)=11,_xlfn.XLOOKUP(FN403,'Dispensed Ink Rates'!C:C,'Dispensed Ink Rates'!CS:CS),VLOOKUP(FN403,'Jan-2026 rates'!$E:$F,2,0)))</f>
        <v>0</v>
      </c>
      <c r="GB403" s="409"/>
      <c r="GC403" s="398">
        <f>IF(GB403=0,0,IF(LEN(FO403)=11,_xlfn.XLOOKUP(FO403,'Dispensed Ink Rates'!C:C,'Dispensed Ink Rates'!CS:CS),VLOOKUP(FO403,'Jan-2026 rates'!$E:$F,2,0)))</f>
        <v>0</v>
      </c>
      <c r="GD403" s="409"/>
      <c r="GE403" s="398">
        <f>IF(GD403=0,0,IF(LEN(FP403)=11,_xlfn.XLOOKUP(FP403,'Dispensed Ink Rates'!C:C,'Dispensed Ink Rates'!CS:CS),VLOOKUP(FP403,'Jan-2026 rates'!$E:$F,2,0)))</f>
        <v>0</v>
      </c>
      <c r="GF403" s="409"/>
      <c r="GG403" s="398">
        <f>IF(GF403=0,0,IF(LEN(FQ403)=11,_xlfn.XLOOKUP(FQ403,'Dispensed Ink Rates'!C:C,'Dispensed Ink Rates'!CS:CS),VLOOKUP(FQ403,'Jan-2026 rates'!$E:$F,2,0)))</f>
        <v>0</v>
      </c>
      <c r="GH403" s="409"/>
      <c r="GI403" s="409"/>
      <c r="GJ403" s="411">
        <f t="shared" si="224"/>
        <v>0</v>
      </c>
      <c r="GK403" s="411">
        <f t="shared" si="225"/>
        <v>0</v>
      </c>
      <c r="GL403" s="410">
        <f t="shared" si="226"/>
        <v>0</v>
      </c>
      <c r="GM403" s="405"/>
      <c r="GN403" s="409"/>
      <c r="GO403" s="420" t="str">
        <f t="shared" si="188"/>
        <v xml:space="preserve"> - </v>
      </c>
      <c r="GP403" s="409"/>
      <c r="GQ403" s="411">
        <f>IF(GP403=0,0,IF($LB403=70%,VLOOKUP($GO403,'Jan-2026 rates'!$L:$R,4,0),IF($LB403=65%,VLOOKUP($GO403,'Jan-2026 rates'!$L:$R,4,0),IF($LB403=40%,VLOOKUP($GO403,'Jan-2026 rates'!$L:$R,5,0),IF($LB403=30%,VLOOKUP($GO403,'Jan-2026 rates'!$L:$R,6,0),IF($LB403=100%,VLOOKUP($GO403,'Jan-2026 rates'!$L:$R,7,0),IF($LB403=60%,VLOOKUP($GO403,'Jan-2026 rates'!$L:$S,8,0),IF($LB403=80%,VLOOKUP($GO403,'Jan-2026 rates'!L:T,9,0),0))))))))</f>
        <v>0</v>
      </c>
      <c r="GR403" s="412"/>
      <c r="GS403" s="409"/>
      <c r="GT403" s="411">
        <f>IF(GS403=0,0,IF($LB403=70%,VLOOKUP($GO403,'Jan-2026 rates'!$L:$R,4,0),IF($LB403=65%,VLOOKUP($GO403,'Jan-2026 rates'!$L:$R,4,0),IF($LB403=40%,VLOOKUP($GO403,'Jan-2026 rates'!$L:$R,5,0),IF($LB403=30%,VLOOKUP($GO403,'Jan-2026 rates'!$L:$R,6,0),IF($LB403=100%,VLOOKUP($GO403,'Jan-2026 rates'!$L:$R,7,0),IF($LB403=60%,VLOOKUP($GO403,'Jan-2026 rates'!$L:$S,8,0),IF($LB403=80%,VLOOKUP($GO403,'Jan-2026 rates'!L:T,9,0),0))))))))</f>
        <v>0</v>
      </c>
      <c r="GU403" s="413"/>
      <c r="GV403" s="413"/>
      <c r="GW403" s="412"/>
      <c r="GX403" s="412"/>
      <c r="GY403" s="412"/>
      <c r="GZ403" s="412"/>
      <c r="HA403" s="412"/>
      <c r="HB403" s="412"/>
      <c r="HC403" s="409"/>
      <c r="HD403" s="398">
        <f>IF(HC403=0,0,IF(LEN(GU403)=11,_xlfn.XLOOKUP(GU403,'Dispensed Ink Rates'!C:C,'Dispensed Ink Rates'!CS:CS),VLOOKUP(GU403,'Jan-2026 rates'!$E:$F,2,0)))</f>
        <v>0</v>
      </c>
      <c r="HE403" s="409"/>
      <c r="HF403" s="398">
        <f>IF(HE403=0,0,IF(LEN(GV403)=11,_xlfn.XLOOKUP(GV403,'Dispensed Ink Rates'!C:C,'Dispensed Ink Rates'!CS:CS),VLOOKUP(GV403,'Jan-2026 rates'!$E:$F,2,0)))</f>
        <v>0</v>
      </c>
      <c r="HG403" s="409"/>
      <c r="HH403" s="398">
        <f>IF(HG403=0,0,IF(LEN(GW403)=11,_xlfn.XLOOKUP(GW403,'Dispensed Ink Rates'!C:C,'Dispensed Ink Rates'!CS:CS),VLOOKUP(GW403,'Jan-2026 rates'!$E:$F,2,0)))</f>
        <v>0</v>
      </c>
      <c r="HI403" s="409"/>
      <c r="HJ403" s="398">
        <f>IF(HI403=0,0,IF(LEN(GX403)=11,_xlfn.XLOOKUP(GX403,'Dispensed Ink Rates'!C:C,'Dispensed Ink Rates'!CS:CS),VLOOKUP(GX403,'Jan-2026 rates'!$E:$F,2,0)))</f>
        <v>0</v>
      </c>
      <c r="HK403" s="409"/>
      <c r="HL403" s="398">
        <f>IF(HK403=0,0,IF(LEN(GY403)=11,_xlfn.XLOOKUP(GY403,'Dispensed Ink Rates'!C:C,'Dispensed Ink Rates'!CS:CS),VLOOKUP(GY403,'Jan-2026 rates'!$E:$F,2,0)))</f>
        <v>0</v>
      </c>
      <c r="HM403" s="409"/>
      <c r="HN403" s="398">
        <f>IF(HM403=0,0,IF(LEN(GZ403)=11,_xlfn.XLOOKUP(GZ403,'Dispensed Ink Rates'!C:C,'Dispensed Ink Rates'!CS:CS),VLOOKUP(GZ403,'Jan-2026 rates'!$E:$F,2,0)))</f>
        <v>0</v>
      </c>
      <c r="HO403" s="409"/>
      <c r="HP403" s="398">
        <f>IF(HO403=0,0,IF(LEN(HA403)=11,_xlfn.XLOOKUP(HA403,'Dispensed Ink Rates'!C:C,'Dispensed Ink Rates'!CS:CS),VLOOKUP(HA403,'Jan-2026 rates'!$E:$F,2,0)))</f>
        <v>0</v>
      </c>
      <c r="HQ403" s="409"/>
      <c r="HR403" s="398">
        <f>IF(HQ403=0,0,IF(LEN(HB403)=11,_xlfn.XLOOKUP(HB403,'Dispensed Ink Rates'!C:C,'Dispensed Ink Rates'!CS:CS),VLOOKUP(HB403,'Jan-2026 rates'!$E:$F,2,0)))</f>
        <v>0</v>
      </c>
      <c r="HS403" s="409"/>
      <c r="HT403" s="409"/>
      <c r="HU403" s="411">
        <f t="shared" si="227"/>
        <v>0</v>
      </c>
      <c r="HV403" s="411">
        <f t="shared" si="228"/>
        <v>0</v>
      </c>
      <c r="HW403" s="414">
        <f t="shared" si="229"/>
        <v>0</v>
      </c>
      <c r="HX403" s="405"/>
      <c r="HY403" s="409"/>
      <c r="HZ403" s="420" t="str">
        <f t="shared" si="189"/>
        <v xml:space="preserve"> - </v>
      </c>
      <c r="IA403" s="409"/>
      <c r="IB403" s="411">
        <f>IF(IA403=0,0,IF($LB403=70%,VLOOKUP($HZ403,'Jan-2026 rates'!$L:$R,4,0),IF($LB403=65%,VLOOKUP($HZ403,'Jan-2026 rates'!$L:$R,4,0),IF($LB403=40%,VLOOKUP($HZ403,'Jan-2026 rates'!$L:$R,5,0),IF($LB403=30%,VLOOKUP($HZ403,'Jan-2026 rates'!$L:$R,6,0),IF($LB403=100%,VLOOKUP($HZ403,'Jan-2026 rates'!$L:$R,7,0),IF($LB403=60%,VLOOKUP($HZ403,'Jan-2026 rates'!$L:$S,8,0),IF($LB403=80%,VLOOKUP($HZ403,'Jan-2026 rates'!L:T,9,0),0))))))))</f>
        <v>0</v>
      </c>
      <c r="IC403" s="412"/>
      <c r="ID403" s="409"/>
      <c r="IE403" s="411">
        <f>IF(ID403=0,0,IF($LB403=70%,VLOOKUP($HZ403,'Jan-2026 rates'!$L:$R,4,0),IF($LB403=65%,VLOOKUP($HZ403,'Jan-2026 rates'!$L:$R,4,0),IF($LB403=40%,VLOOKUP($HZ403,'Jan-2026 rates'!$L:$R,5,0),IF($LB403=30%,VLOOKUP($HZ403,'Jan-2026 rates'!$L:$R,6,0),IF($LB403=100%,VLOOKUP($HZ403,'Jan-2026 rates'!$L:$R,7,0),IF($LB403=60%,VLOOKUP($HZ403,'Jan-2026 rates'!$L:$S,8,0),IF($LB403=80%,VLOOKUP($HZ403,'Jan-2026 rates'!L:T,9,0),0))))))))</f>
        <v>0</v>
      </c>
      <c r="IF403" s="412"/>
      <c r="IG403" s="413"/>
      <c r="IH403" s="412"/>
      <c r="II403" s="412"/>
      <c r="IJ403" s="412"/>
      <c r="IK403" s="412"/>
      <c r="IL403" s="412"/>
      <c r="IM403" s="412"/>
      <c r="IN403" s="409"/>
      <c r="IO403" s="398">
        <f>IF(IN403=0,0,IF(LEN(IF403)=11,_xlfn.XLOOKUP(IF403,'Dispensed Ink Rates'!C:C,'Dispensed Ink Rates'!CS:CS),VLOOKUP(IF403,'Jan-2026 rates'!$E:$F,2,0)))</f>
        <v>0</v>
      </c>
      <c r="IP403" s="409"/>
      <c r="IQ403" s="398">
        <f>IF(IP403=0,0,IF(LEN(IG403)=11,_xlfn.XLOOKUP(IG403,'Dispensed Ink Rates'!C:C,'Dispensed Ink Rates'!CS:CS),VLOOKUP(IG403,'Jan-2026 rates'!$E:$F,2,0)))</f>
        <v>0</v>
      </c>
      <c r="IR403" s="409"/>
      <c r="IS403" s="398">
        <f>IF(IR403=0,0,IF(LEN(IH403)=11,_xlfn.XLOOKUP(IH403,'Dispensed Ink Rates'!C:C,'Dispensed Ink Rates'!CS:CS),VLOOKUP(IH403,'Jan-2026 rates'!$E:$F,2,0)))</f>
        <v>0</v>
      </c>
      <c r="IT403" s="409"/>
      <c r="IU403" s="398">
        <f>IF(IT403=0,0,IF(LEN(II403)=11,_xlfn.XLOOKUP(II403,'Dispensed Ink Rates'!C:C,'Dispensed Ink Rates'!CS:CS),VLOOKUP(II403,'Jan-2026 rates'!$E:$F,2,0)))</f>
        <v>0</v>
      </c>
      <c r="IV403" s="409"/>
      <c r="IW403" s="398">
        <f>IF(IV403=0,0,IF(LEN(IJ403)=11,_xlfn.XLOOKUP(IJ403,'Dispensed Ink Rates'!C:C,'Dispensed Ink Rates'!CS:CS),VLOOKUP(IJ403,'Jan-2026 rates'!$E:$F,2,0)))</f>
        <v>0</v>
      </c>
      <c r="IX403" s="409"/>
      <c r="IY403" s="398">
        <f>IF(IX403=0,0,IF(LEN(IK403)=11,_xlfn.XLOOKUP(IK403,'Dispensed Ink Rates'!C:C,'Dispensed Ink Rates'!CS:CS),VLOOKUP(IK403,'Jan-2026 rates'!$E:$F,2,0)))</f>
        <v>0</v>
      </c>
      <c r="IZ403" s="409"/>
      <c r="JA403" s="398">
        <f>IF(IZ403=0,0,IF(LEN(IL403)=11,_xlfn.XLOOKUP(IL403,'Dispensed Ink Rates'!C:C,'Dispensed Ink Rates'!CS:CS),VLOOKUP(IL403,'Jan-2026 rates'!$E:$F,2,0)))</f>
        <v>0</v>
      </c>
      <c r="JB403" s="409"/>
      <c r="JC403" s="398">
        <f>IF(JB403=0,0,IF(LEN(IM403)=11,_xlfn.XLOOKUP(IM403,'Dispensed Ink Rates'!C:C,'Dispensed Ink Rates'!CS:CS),VLOOKUP(IM403,'Jan-2026 rates'!$E:$F,2,0)))</f>
        <v>0</v>
      </c>
      <c r="JD403" s="409"/>
      <c r="JE403" s="409"/>
      <c r="JF403" s="411">
        <f t="shared" si="230"/>
        <v>0</v>
      </c>
      <c r="JG403" s="411">
        <f t="shared" si="231"/>
        <v>0</v>
      </c>
      <c r="JH403" s="410">
        <f t="shared" si="232"/>
        <v>0</v>
      </c>
      <c r="JI403" s="405"/>
      <c r="JJ403" s="409"/>
      <c r="JK403" s="420" t="str">
        <f t="shared" si="190"/>
        <v xml:space="preserve"> - </v>
      </c>
      <c r="JL403" s="409"/>
      <c r="JM403" s="411">
        <f>IF(JL403=0,0,IF($LB403=70%,VLOOKUP($JK403,'Jan-2026 rates'!$L:$R,4,0),IF($LB403=65%,VLOOKUP($JK403,'Jan-2026 rates'!$L:$R,4,0),IF($LB403=40%,VLOOKUP($JK403,'Jan-2026 rates'!$L:$R,5,0),IF($LB403=30%,VLOOKUP($JK403,'Jan-2026 rates'!$L:$R,6,0),IF($LB403=100%,VLOOKUP($JK403,'Jan-2026 rates'!$L:$R,7,0),IF($LB403=60%,VLOOKUP($JK403,'Jan-2026 rates'!$L:$S,8,0),IF($LB403=80%,VLOOKUP($JK403,'Jan-2026 rates'!L:T,9,0),0))))))))</f>
        <v>0</v>
      </c>
      <c r="JN403" s="412"/>
      <c r="JO403" s="409"/>
      <c r="JP403" s="411">
        <f>IF(JO403=0,0,IF($LB403=70%,VLOOKUP($JK403,'Jan-2026 rates'!$L:$R,4,0),IF($LB403=65%,VLOOKUP($JK403,'Jan-2026 rates'!$L:$R,4,0),IF($LB403=40%,VLOOKUP($JK403,'Jan-2026 rates'!$L:$R,5,0),IF($LB403=30%,VLOOKUP($JK403,'Jan-2026 rates'!$L:$R,6,0),IF($LB403=100%,VLOOKUP($JK403,'Jan-2026 rates'!$L:$R,7,0),IF($LB403=60%,VLOOKUP($JK403,'Jan-2026 rates'!$L:$S,8,0),IF($LB403=80%,VLOOKUP($JK403,'Jan-2026 rates'!L:T,9,0),0))))))))</f>
        <v>0</v>
      </c>
      <c r="JQ403" s="413"/>
      <c r="JR403" s="412"/>
      <c r="JS403" s="413"/>
      <c r="JT403" s="413"/>
      <c r="JU403" s="412"/>
      <c r="JV403" s="412"/>
      <c r="JW403" s="412"/>
      <c r="JX403" s="412"/>
      <c r="JY403" s="409"/>
      <c r="JZ403" s="398">
        <f>IF(JY403=0,0,IF(LEN(JQ403)=11,_xlfn.XLOOKUP(JQ403,'Dispensed Ink Rates'!C:C,'Dispensed Ink Rates'!CS:CS),VLOOKUP(JQ403,'Jan-2026 rates'!$E:$F,2,0)))</f>
        <v>0</v>
      </c>
      <c r="KA403" s="409"/>
      <c r="KB403" s="398">
        <f>IF(KA403=0,0,IF(LEN(JR403)=11,_xlfn.XLOOKUP(JR403,'Dispensed Ink Rates'!C:C,'Dispensed Ink Rates'!CS:CS),VLOOKUP(JR403,'Jan-2026 rates'!$E:$F,2,0)))</f>
        <v>0</v>
      </c>
      <c r="KC403" s="409"/>
      <c r="KD403" s="398">
        <f>IF(KC403=0,0,IF(LEN(JS403)=11,_xlfn.XLOOKUP(JS403,'Dispensed Ink Rates'!C:C,'Dispensed Ink Rates'!CS:CS),VLOOKUP(JS403,'Jan-2026 rates'!$E:$F,2,0)))</f>
        <v>0</v>
      </c>
      <c r="KE403" s="409"/>
      <c r="KF403" s="398">
        <f>IF(KE403=0,0,IF(LEN(JT403)=11,_xlfn.XLOOKUP(JT403,'Dispensed Ink Rates'!C:C,'Dispensed Ink Rates'!CS:CS),VLOOKUP(JT403,'Jan-2026 rates'!$E:$F,2,0)))</f>
        <v>0</v>
      </c>
      <c r="KG403" s="409"/>
      <c r="KH403" s="398">
        <f>IF(KG403=0,0,IF(LEN(JU403)=11,_xlfn.XLOOKUP(JU403,'Dispensed Ink Rates'!C:C,'Dispensed Ink Rates'!CS:CS),VLOOKUP(JU403,'Jan-2026 rates'!$E:$F,2,0)))</f>
        <v>0</v>
      </c>
      <c r="KI403" s="409"/>
      <c r="KJ403" s="398">
        <f>IF(KI403=0,0,IF(LEN(JV403)=11,_xlfn.XLOOKUP(JV403,'Dispensed Ink Rates'!C:C,'Dispensed Ink Rates'!CS:CS),VLOOKUP(JV403,'Jan-2026 rates'!$E:$F,2,0)))</f>
        <v>0</v>
      </c>
      <c r="KK403" s="409"/>
      <c r="KL403" s="398">
        <f>IF(KK403=0,0,IF(LEN(JW403)=11,_xlfn.XLOOKUP(JW403,'Dispensed Ink Rates'!C:C,'Dispensed Ink Rates'!CS:CS),VLOOKUP(JW403,'Jan-2026 rates'!$E:$F,2,0)))</f>
        <v>0</v>
      </c>
      <c r="KM403" s="428"/>
      <c r="KN403" s="398">
        <f>IF(KM403=0,0,IF(LEN(JX403)=11,_xlfn.XLOOKUP(JX403,'Dispensed Ink Rates'!C:C,'Dispensed Ink Rates'!CS:CS),VLOOKUP(JX403,'Jan-2026 rates'!$E:$F,2,0)))</f>
        <v>0</v>
      </c>
      <c r="KO403" s="409"/>
      <c r="KP403" s="409"/>
      <c r="KQ403" s="411">
        <f t="shared" si="233"/>
        <v>0</v>
      </c>
      <c r="KR403" s="411">
        <f t="shared" si="234"/>
        <v>0</v>
      </c>
      <c r="KS403" s="410">
        <f t="shared" si="235"/>
        <v>0</v>
      </c>
      <c r="KT403" s="409">
        <f>2+8</f>
        <v>10</v>
      </c>
      <c r="KU403" s="409">
        <v>4</v>
      </c>
      <c r="KV403" s="409">
        <v>0</v>
      </c>
      <c r="KW403" s="409">
        <v>0</v>
      </c>
      <c r="KX403" s="409">
        <v>0</v>
      </c>
      <c r="KY403" s="409">
        <v>0</v>
      </c>
      <c r="KZ403" s="409">
        <v>0</v>
      </c>
      <c r="LA403" s="409">
        <v>0</v>
      </c>
      <c r="LB403" s="415">
        <v>0.3</v>
      </c>
      <c r="LC403" s="415"/>
      <c r="LD403" s="424"/>
      <c r="LE403" s="415">
        <v>0.5</v>
      </c>
      <c r="LF403" s="415">
        <v>0.2</v>
      </c>
      <c r="LG403" s="409">
        <v>0</v>
      </c>
      <c r="LH403" s="409">
        <f>10+5+6+10+4</f>
        <v>35</v>
      </c>
      <c r="LI403" s="409">
        <v>0</v>
      </c>
      <c r="LJ403" s="409">
        <v>0</v>
      </c>
      <c r="LK403" s="416">
        <f t="shared" si="191"/>
        <v>35</v>
      </c>
      <c r="LL403" s="416">
        <f t="shared" si="349"/>
        <v>35</v>
      </c>
      <c r="LM403" s="417">
        <f t="shared" si="193"/>
        <v>10.5</v>
      </c>
      <c r="LN403" s="417">
        <f>VLOOKUP($LM$8,'Jan-2026 rates'!$H:$I,2,0)</f>
        <v>0</v>
      </c>
      <c r="LO403" s="417">
        <f t="shared" si="194"/>
        <v>0</v>
      </c>
      <c r="LP403" s="417">
        <f>VLOOKUP($LO$8,'Jan-2026 rates'!$H:$I,2,0)</f>
        <v>0</v>
      </c>
      <c r="LQ403" s="417">
        <f t="shared" si="195"/>
        <v>0</v>
      </c>
      <c r="LR403" s="417">
        <f>VLOOKUP($LQ$8,'Jan-2026 rates'!$H:$I,2,0)</f>
        <v>0</v>
      </c>
      <c r="LS403" s="417">
        <f t="shared" si="196"/>
        <v>17.5</v>
      </c>
      <c r="LT403" s="417">
        <f>VLOOKUP($LS$8,'Jan-2026 rates'!$H:$I,2,0)</f>
        <v>0</v>
      </c>
      <c r="LU403" s="417">
        <f t="shared" si="197"/>
        <v>7</v>
      </c>
      <c r="LV403" s="417">
        <f>VLOOKUP($LU$8,'Jan-2026 rates'!$H:$I,2,0)</f>
        <v>0</v>
      </c>
      <c r="LW403" s="417">
        <f t="shared" si="198"/>
        <v>0</v>
      </c>
      <c r="LX403" s="417">
        <f t="shared" si="199"/>
        <v>0</v>
      </c>
      <c r="LY403" s="418">
        <f t="shared" si="200"/>
        <v>0</v>
      </c>
      <c r="LZ403" s="417"/>
      <c r="MA403" s="435">
        <f t="shared" si="201"/>
        <v>18</v>
      </c>
      <c r="MB403" s="282">
        <f t="shared" si="202"/>
        <v>48</v>
      </c>
      <c r="MC403" s="283">
        <v>151</v>
      </c>
      <c r="MD403" s="284" t="str">
        <f t="shared" si="203"/>
        <v>ToyoLiToyoLi</v>
      </c>
      <c r="ME403" s="293" t="str">
        <f t="shared" si="204"/>
        <v>+</v>
      </c>
      <c r="MF403" s="293" t="str">
        <f t="shared" si="205"/>
        <v>+</v>
      </c>
      <c r="MG403" s="293" t="str">
        <f t="shared" si="206"/>
        <v>NIL</v>
      </c>
      <c r="MH403" s="293" t="str">
        <f t="shared" si="207"/>
        <v>NIL</v>
      </c>
      <c r="MI403" s="293" t="str">
        <f t="shared" si="208"/>
        <v>NIL</v>
      </c>
      <c r="MJ403" s="293" t="str">
        <f t="shared" si="209"/>
        <v>NIL</v>
      </c>
      <c r="MK403" s="293" t="str">
        <f t="shared" si="210"/>
        <v>NIL</v>
      </c>
      <c r="ML403" s="293" t="str">
        <f t="shared" si="211"/>
        <v>NIL</v>
      </c>
      <c r="MM403" s="3" t="b">
        <f t="array" ref="MM403">OR(ME403:ML403="-")</f>
        <v>0</v>
      </c>
      <c r="MO403" s="401">
        <f t="shared" si="350"/>
        <v>52.173913043478258</v>
      </c>
      <c r="MP403" s="286"/>
      <c r="MR403" s="402">
        <f t="shared" si="351"/>
        <v>8.0000000000000002E-3</v>
      </c>
      <c r="MS403" s="400">
        <f t="shared" si="352"/>
        <v>0</v>
      </c>
      <c r="MT403" s="285"/>
      <c r="NH403" s="361"/>
      <c r="NJ403" s="282"/>
    </row>
  </sheetData>
  <autoFilter ref="A9:MT403" xr:uid="{00000000-0001-0000-0100-000000000000}"/>
  <dataConsolidate/>
  <mergeCells count="83">
    <mergeCell ref="LC1:LC3"/>
    <mergeCell ref="ME8:ML8"/>
    <mergeCell ref="DO5:DP7"/>
    <mergeCell ref="EZ5:FA7"/>
    <mergeCell ref="GK5:GL7"/>
    <mergeCell ref="DQ5:DQ8"/>
    <mergeCell ref="EX6:EY7"/>
    <mergeCell ref="DR5:EY5"/>
    <mergeCell ref="FB5:FB8"/>
    <mergeCell ref="EG7:EV7"/>
    <mergeCell ref="DY6:EV6"/>
    <mergeCell ref="DR6:DX7"/>
    <mergeCell ref="DY7:EF7"/>
    <mergeCell ref="FJ7:FQ7"/>
    <mergeCell ref="KR5:KS7"/>
    <mergeCell ref="KT6:LA7"/>
    <mergeCell ref="J5:J8"/>
    <mergeCell ref="GI6:GJ7"/>
    <mergeCell ref="FJ6:GG6"/>
    <mergeCell ref="FR7:GG7"/>
    <mergeCell ref="CG5:DN5"/>
    <mergeCell ref="DM6:DN7"/>
    <mergeCell ref="DL6:DL8"/>
    <mergeCell ref="CN7:CU7"/>
    <mergeCell ref="CG6:CM7"/>
    <mergeCell ref="CF5:CF8"/>
    <mergeCell ref="AS5:AT7"/>
    <mergeCell ref="CD5:CE7"/>
    <mergeCell ref="CV7:DK7"/>
    <mergeCell ref="CN6:DK6"/>
    <mergeCell ref="AQ6:AR7"/>
    <mergeCell ref="Z7:AO7"/>
    <mergeCell ref="R6:AO6"/>
    <mergeCell ref="CB6:CC7"/>
    <mergeCell ref="BC6:BZ6"/>
    <mergeCell ref="BK7:BZ7"/>
    <mergeCell ref="K5:AR5"/>
    <mergeCell ref="AV5:CC5"/>
    <mergeCell ref="K6:Q7"/>
    <mergeCell ref="AP6:AP8"/>
    <mergeCell ref="CA6:CA8"/>
    <mergeCell ref="R7:Y7"/>
    <mergeCell ref="BC7:BJ7"/>
    <mergeCell ref="AV6:BB7"/>
    <mergeCell ref="AU5:AU8"/>
    <mergeCell ref="JY7:KN7"/>
    <mergeCell ref="JQ6:KN6"/>
    <mergeCell ref="KP6:KQ7"/>
    <mergeCell ref="JQ7:JX7"/>
    <mergeCell ref="KT5:LL5"/>
    <mergeCell ref="LG6:LK7"/>
    <mergeCell ref="JJ5:KQ5"/>
    <mergeCell ref="JJ6:JP7"/>
    <mergeCell ref="GU7:HB7"/>
    <mergeCell ref="IF7:IM7"/>
    <mergeCell ref="EW6:EW8"/>
    <mergeCell ref="GH6:GH8"/>
    <mergeCell ref="HS6:HS8"/>
    <mergeCell ref="HT6:HU7"/>
    <mergeCell ref="HV5:HW7"/>
    <mergeCell ref="FC5:GJ5"/>
    <mergeCell ref="FC6:FI7"/>
    <mergeCell ref="GM5:GM8"/>
    <mergeCell ref="HY6:IE7"/>
    <mergeCell ref="HX5:HX8"/>
    <mergeCell ref="HC7:HR7"/>
    <mergeCell ref="GU6:HR6"/>
    <mergeCell ref="MC5:MC8"/>
    <mergeCell ref="GN6:GT7"/>
    <mergeCell ref="JD6:JD8"/>
    <mergeCell ref="IN7:JC7"/>
    <mergeCell ref="IF6:JC6"/>
    <mergeCell ref="LY5:LY8"/>
    <mergeCell ref="MB5:MB8"/>
    <mergeCell ref="LZ5:LZ8"/>
    <mergeCell ref="MA5:MA8"/>
    <mergeCell ref="JE6:JF7"/>
    <mergeCell ref="JI5:JI8"/>
    <mergeCell ref="JG5:JH7"/>
    <mergeCell ref="GN5:HU5"/>
    <mergeCell ref="HY5:JF5"/>
    <mergeCell ref="LB6:LF7"/>
    <mergeCell ref="KO6:KO8"/>
  </mergeCells>
  <phoneticPr fontId="46" type="noConversion"/>
  <conditionalFormatting sqref="A10:A403">
    <cfRule type="expression" dxfId="74" priority="266">
      <formula>AND(ISNUMBER(#REF!),LEN(#REF!)&gt;11)</formula>
    </cfRule>
  </conditionalFormatting>
  <conditionalFormatting sqref="C1:C9">
    <cfRule type="duplicateValues" dxfId="73" priority="7248"/>
  </conditionalFormatting>
  <conditionalFormatting sqref="C9">
    <cfRule type="duplicateValues" dxfId="72" priority="4546"/>
  </conditionalFormatting>
  <conditionalFormatting sqref="C10:C293">
    <cfRule type="duplicateValues" dxfId="71" priority="272"/>
    <cfRule type="duplicateValues" dxfId="70" priority="273"/>
    <cfRule type="duplicateValues" dxfId="69" priority="274"/>
  </conditionalFormatting>
  <conditionalFormatting sqref="C294:C403">
    <cfRule type="duplicateValues" dxfId="68" priority="8565"/>
    <cfRule type="duplicateValues" dxfId="67" priority="8566"/>
    <cfRule type="duplicateValues" dxfId="66" priority="8567"/>
  </conditionalFormatting>
  <conditionalFormatting sqref="M8:M403 AX8:AX403 CI9:CI403 DT9:DT403 FE9:FE403 GP9:GP403 IA9:IA403 JL9:JL403">
    <cfRule type="expression" dxfId="65" priority="268">
      <formula>OR(AND(K8&lt;&gt;"",M8=""),AND(O8&lt;&gt;"",P8=""))</formula>
    </cfRule>
  </conditionalFormatting>
  <conditionalFormatting sqref="AQ10:AQ403 DM10:DM403 EX10:EX403 GI10:GI403 HT10:HT403 JE10:JE403 KP10:KP403">
    <cfRule type="expression" dxfId="64" priority="267">
      <formula>AND(J10&lt;&gt;"",OR(AP10="",AQ10=""))</formula>
    </cfRule>
  </conditionalFormatting>
  <conditionalFormatting sqref="MC10:MC293">
    <cfRule type="duplicateValues" dxfId="63" priority="275"/>
  </conditionalFormatting>
  <conditionalFormatting sqref="MC294:MC403">
    <cfRule type="duplicateValues" dxfId="62" priority="8583"/>
  </conditionalFormatting>
  <conditionalFormatting sqref="MC1:MD4">
    <cfRule type="duplicateValues" dxfId="61" priority="705"/>
  </conditionalFormatting>
  <conditionalFormatting sqref="MD9">
    <cfRule type="duplicateValues" dxfId="60" priority="2599"/>
  </conditionalFormatting>
  <conditionalFormatting sqref="MD10:MD293">
    <cfRule type="duplicateValues" dxfId="59" priority="276"/>
  </conditionalFormatting>
  <conditionalFormatting sqref="MD294:MD403">
    <cfRule type="duplicateValues" dxfId="58" priority="8584"/>
  </conditionalFormatting>
  <conditionalFormatting sqref="MM10:MO403">
    <cfRule type="expression" dxfId="57" priority="2" stopIfTrue="1">
      <formula>#REF!="TRUE"</formula>
    </cfRule>
  </conditionalFormatting>
  <pageMargins left="0.7" right="0.7" top="0.75" bottom="0.75" header="0.3" footer="0.3"/>
  <pageSetup scale="1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90A78-7EB7-4C4A-840F-A326937579F2}">
  <sheetPr codeName="Sheet5"/>
  <dimension ref="B2:B95"/>
  <sheetViews>
    <sheetView topLeftCell="A33" workbookViewId="0">
      <selection activeCell="B95" sqref="B95"/>
    </sheetView>
  </sheetViews>
  <sheetFormatPr defaultRowHeight="15"/>
  <sheetData>
    <row r="2" spans="2:2">
      <c r="B2" t="s">
        <v>1433</v>
      </c>
    </row>
    <row r="3" spans="2:2">
      <c r="B3" t="s">
        <v>1439</v>
      </c>
    </row>
    <row r="4" spans="2:2">
      <c r="B4" t="s">
        <v>1355</v>
      </c>
    </row>
    <row r="5" spans="2:2">
      <c r="B5" t="s">
        <v>1358</v>
      </c>
    </row>
    <row r="6" spans="2:2">
      <c r="B6" t="s">
        <v>1335</v>
      </c>
    </row>
    <row r="7" spans="2:2">
      <c r="B7" t="s">
        <v>1365</v>
      </c>
    </row>
    <row r="8" spans="2:2">
      <c r="B8" t="s">
        <v>1385</v>
      </c>
    </row>
    <row r="9" spans="2:2">
      <c r="B9" t="s">
        <v>1370</v>
      </c>
    </row>
    <row r="10" spans="2:2">
      <c r="B10" t="s">
        <v>1372</v>
      </c>
    </row>
    <row r="11" spans="2:2">
      <c r="B11" t="s">
        <v>1361</v>
      </c>
    </row>
    <row r="12" spans="2:2">
      <c r="B12" t="s">
        <v>1364</v>
      </c>
    </row>
    <row r="13" spans="2:2">
      <c r="B13" t="s">
        <v>1367</v>
      </c>
    </row>
    <row r="14" spans="2:2">
      <c r="B14" t="s">
        <v>1383</v>
      </c>
    </row>
    <row r="15" spans="2:2">
      <c r="B15" t="s">
        <v>1374</v>
      </c>
    </row>
    <row r="16" spans="2:2">
      <c r="B16" t="s">
        <v>1376</v>
      </c>
    </row>
    <row r="17" spans="2:2">
      <c r="B17" t="s">
        <v>1378</v>
      </c>
    </row>
    <row r="18" spans="2:2">
      <c r="B18" t="s">
        <v>1392</v>
      </c>
    </row>
    <row r="19" spans="2:2">
      <c r="B19" t="s">
        <v>1380</v>
      </c>
    </row>
    <row r="20" spans="2:2">
      <c r="B20" t="s">
        <v>1390</v>
      </c>
    </row>
    <row r="21" spans="2:2">
      <c r="B21" t="s">
        <v>1387</v>
      </c>
    </row>
    <row r="22" spans="2:2">
      <c r="B22" t="s">
        <v>1398</v>
      </c>
    </row>
    <row r="23" spans="2:2">
      <c r="B23" t="s">
        <v>1395</v>
      </c>
    </row>
    <row r="24" spans="2:2">
      <c r="B24" t="s">
        <v>1400</v>
      </c>
    </row>
    <row r="25" spans="2:2">
      <c r="B25" t="s">
        <v>1412</v>
      </c>
    </row>
    <row r="26" spans="2:2">
      <c r="B26" t="s">
        <v>1411</v>
      </c>
    </row>
    <row r="27" spans="2:2">
      <c r="B27" t="s">
        <v>1416</v>
      </c>
    </row>
    <row r="28" spans="2:2">
      <c r="B28" t="s">
        <v>1418</v>
      </c>
    </row>
    <row r="29" spans="2:2">
      <c r="B29" t="s">
        <v>1336</v>
      </c>
    </row>
    <row r="30" spans="2:2">
      <c r="B30" t="s">
        <v>1424</v>
      </c>
    </row>
    <row r="31" spans="2:2">
      <c r="B31" t="s">
        <v>1426</v>
      </c>
    </row>
    <row r="32" spans="2:2">
      <c r="B32" t="s">
        <v>1420</v>
      </c>
    </row>
    <row r="33" spans="2:2">
      <c r="B33" t="s">
        <v>1431</v>
      </c>
    </row>
    <row r="34" spans="2:2">
      <c r="B34" t="s">
        <v>1422</v>
      </c>
    </row>
    <row r="35" spans="2:2">
      <c r="B35" t="s">
        <v>1428</v>
      </c>
    </row>
    <row r="36" spans="2:2">
      <c r="B36" t="s">
        <v>1435</v>
      </c>
    </row>
    <row r="37" spans="2:2">
      <c r="B37" t="s">
        <v>1437</v>
      </c>
    </row>
    <row r="38" spans="2:2">
      <c r="B38" t="s">
        <v>1356</v>
      </c>
    </row>
    <row r="39" spans="2:2">
      <c r="B39" t="s">
        <v>1441</v>
      </c>
    </row>
    <row r="40" spans="2:2">
      <c r="B40" t="s">
        <v>1434</v>
      </c>
    </row>
    <row r="41" spans="2:2">
      <c r="B41" t="s">
        <v>1440</v>
      </c>
    </row>
    <row r="42" spans="2:2">
      <c r="B42" t="s">
        <v>1354</v>
      </c>
    </row>
    <row r="43" spans="2:2">
      <c r="B43" t="s">
        <v>1359</v>
      </c>
    </row>
    <row r="44" spans="2:2">
      <c r="B44" t="s">
        <v>1360</v>
      </c>
    </row>
    <row r="45" spans="2:2">
      <c r="B45" t="s">
        <v>1366</v>
      </c>
    </row>
    <row r="46" spans="2:2">
      <c r="B46" t="s">
        <v>1386</v>
      </c>
    </row>
    <row r="47" spans="2:2">
      <c r="B47" t="s">
        <v>1371</v>
      </c>
    </row>
    <row r="48" spans="2:2">
      <c r="B48" t="s">
        <v>1373</v>
      </c>
    </row>
    <row r="49" spans="2:2">
      <c r="B49" t="s">
        <v>1362</v>
      </c>
    </row>
    <row r="50" spans="2:2">
      <c r="B50" t="s">
        <v>1347</v>
      </c>
    </row>
    <row r="51" spans="2:2">
      <c r="B51" t="s">
        <v>1368</v>
      </c>
    </row>
    <row r="52" spans="2:2">
      <c r="B52" t="s">
        <v>1384</v>
      </c>
    </row>
    <row r="53" spans="2:2">
      <c r="B53" t="s">
        <v>1375</v>
      </c>
    </row>
    <row r="54" spans="2:2">
      <c r="B54" t="s">
        <v>1377</v>
      </c>
    </row>
    <row r="55" spans="2:2">
      <c r="B55" t="s">
        <v>1379</v>
      </c>
    </row>
    <row r="56" spans="2:2">
      <c r="B56" t="s">
        <v>1393</v>
      </c>
    </row>
    <row r="57" spans="2:2">
      <c r="B57" t="s">
        <v>1381</v>
      </c>
    </row>
    <row r="58" spans="2:2">
      <c r="B58" t="s">
        <v>1391</v>
      </c>
    </row>
    <row r="59" spans="2:2">
      <c r="B59" t="s">
        <v>1388</v>
      </c>
    </row>
    <row r="60" spans="2:2">
      <c r="B60" t="s">
        <v>1399</v>
      </c>
    </row>
    <row r="61" spans="2:2">
      <c r="B61" t="s">
        <v>1396</v>
      </c>
    </row>
    <row r="62" spans="2:2">
      <c r="B62" t="s">
        <v>1401</v>
      </c>
    </row>
    <row r="63" spans="2:2">
      <c r="B63" t="s">
        <v>1413</v>
      </c>
    </row>
    <row r="64" spans="2:2">
      <c r="B64" t="s">
        <v>1414</v>
      </c>
    </row>
    <row r="65" spans="2:2">
      <c r="B65" t="s">
        <v>1415</v>
      </c>
    </row>
    <row r="66" spans="2:2">
      <c r="B66" t="s">
        <v>1419</v>
      </c>
    </row>
    <row r="67" spans="2:2">
      <c r="B67" t="s">
        <v>1417</v>
      </c>
    </row>
    <row r="68" spans="2:2">
      <c r="B68" t="s">
        <v>1425</v>
      </c>
    </row>
    <row r="69" spans="2:2">
      <c r="B69" t="s">
        <v>1427</v>
      </c>
    </row>
    <row r="70" spans="2:2">
      <c r="B70" t="s">
        <v>1421</v>
      </c>
    </row>
    <row r="71" spans="2:2">
      <c r="B71" t="s">
        <v>1432</v>
      </c>
    </row>
    <row r="72" spans="2:2">
      <c r="B72" t="s">
        <v>1423</v>
      </c>
    </row>
    <row r="73" spans="2:2">
      <c r="B73" t="s">
        <v>1429</v>
      </c>
    </row>
    <row r="74" spans="2:2">
      <c r="B74" t="s">
        <v>1430</v>
      </c>
    </row>
    <row r="75" spans="2:2">
      <c r="B75" t="s">
        <v>1436</v>
      </c>
    </row>
    <row r="76" spans="2:2">
      <c r="B76" t="s">
        <v>1438</v>
      </c>
    </row>
    <row r="77" spans="2:2">
      <c r="B77" t="s">
        <v>1357</v>
      </c>
    </row>
    <row r="78" spans="2:2">
      <c r="B78" t="s">
        <v>1442</v>
      </c>
    </row>
    <row r="79" spans="2:2">
      <c r="B79" t="s">
        <v>1363</v>
      </c>
    </row>
    <row r="80" spans="2:2">
      <c r="B80" t="s">
        <v>1369</v>
      </c>
    </row>
    <row r="81" spans="2:2">
      <c r="B81" t="s">
        <v>1394</v>
      </c>
    </row>
    <row r="82" spans="2:2">
      <c r="B82" t="s">
        <v>1382</v>
      </c>
    </row>
    <row r="83" spans="2:2">
      <c r="B83" t="s">
        <v>1389</v>
      </c>
    </row>
    <row r="84" spans="2:2">
      <c r="B84" t="s">
        <v>1397</v>
      </c>
    </row>
    <row r="85" spans="2:2">
      <c r="B85" t="s">
        <v>1405</v>
      </c>
    </row>
    <row r="86" spans="2:2">
      <c r="B86" t="s">
        <v>1349</v>
      </c>
    </row>
    <row r="87" spans="2:2">
      <c r="B87" t="s">
        <v>1404</v>
      </c>
    </row>
    <row r="88" spans="2:2">
      <c r="B88" t="s">
        <v>1350</v>
      </c>
    </row>
    <row r="89" spans="2:2">
      <c r="B89" t="s">
        <v>1403</v>
      </c>
    </row>
    <row r="90" spans="2:2">
      <c r="B90" t="s">
        <v>1402</v>
      </c>
    </row>
    <row r="91" spans="2:2">
      <c r="B91" t="s">
        <v>1408</v>
      </c>
    </row>
    <row r="92" spans="2:2">
      <c r="B92" t="s">
        <v>1406</v>
      </c>
    </row>
    <row r="93" spans="2:2">
      <c r="B93" t="s">
        <v>1409</v>
      </c>
    </row>
    <row r="94" spans="2:2">
      <c r="B94" t="s">
        <v>1407</v>
      </c>
    </row>
    <row r="95" spans="2:2">
      <c r="B95" t="s">
        <v>1410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E409"/>
  <sheetViews>
    <sheetView showGridLines="0" topLeftCell="A290" zoomScale="85" zoomScaleNormal="85" workbookViewId="0">
      <selection activeCell="J327" sqref="J327"/>
    </sheetView>
  </sheetViews>
  <sheetFormatPr defaultRowHeight="15"/>
  <cols>
    <col min="1" max="1" width="5" customWidth="1"/>
    <col min="2" max="2" width="14.85546875" customWidth="1"/>
    <col min="3" max="3" width="64.85546875" customWidth="1"/>
    <col min="4" max="4" width="9.5703125" customWidth="1"/>
    <col min="5" max="5" width="11.28515625" bestFit="1" customWidth="1"/>
    <col min="6" max="6" width="12.85546875" style="146" bestFit="1" customWidth="1"/>
    <col min="7" max="7" width="1.28515625" customWidth="1"/>
    <col min="8" max="8" width="12.7109375" customWidth="1"/>
    <col min="9" max="9" width="52.7109375" customWidth="1"/>
    <col min="10" max="10" width="14.28515625" customWidth="1"/>
    <col min="11" max="11" width="9.28515625" customWidth="1"/>
    <col min="12" max="12" width="27.85546875" customWidth="1"/>
    <col min="13" max="13" width="18.85546875" customWidth="1"/>
    <col min="14" max="14" width="11.42578125" customWidth="1"/>
    <col min="15" max="20" width="11.85546875" customWidth="1"/>
    <col min="21" max="21" width="2.28515625" customWidth="1"/>
    <col min="23" max="23" width="3.140625" customWidth="1"/>
    <col min="24" max="24" width="2.42578125" customWidth="1"/>
    <col min="25" max="29" width="9.140625" customWidth="1"/>
  </cols>
  <sheetData>
    <row r="1" spans="1:31" ht="7.5" customHeight="1">
      <c r="A1" s="167"/>
      <c r="C1">
        <v>640</v>
      </c>
    </row>
    <row r="2" spans="1:31" ht="24" thickBot="1">
      <c r="B2" s="68" t="s">
        <v>178</v>
      </c>
      <c r="H2" s="68" t="s">
        <v>177</v>
      </c>
    </row>
    <row r="3" spans="1:31" s="69" customFormat="1" ht="40.5" customHeight="1" thickBot="1">
      <c r="B3" s="70"/>
      <c r="C3" s="70"/>
      <c r="D3" s="70"/>
      <c r="E3" s="71"/>
      <c r="F3" s="72"/>
      <c r="H3" s="70"/>
      <c r="I3" s="70"/>
      <c r="J3" s="70"/>
      <c r="K3" s="71"/>
      <c r="L3" s="73"/>
      <c r="M3" s="73"/>
      <c r="N3" s="74"/>
      <c r="O3" s="73"/>
      <c r="P3" s="73" t="s">
        <v>693</v>
      </c>
      <c r="Q3" s="73" t="s">
        <v>694</v>
      </c>
      <c r="R3" s="73"/>
      <c r="S3" s="73"/>
      <c r="T3" s="73" t="s">
        <v>695</v>
      </c>
    </row>
    <row r="4" spans="1:31" s="69" customFormat="1" ht="60.75" customHeight="1" thickBot="1">
      <c r="B4" s="70" t="s">
        <v>41</v>
      </c>
      <c r="C4" s="70" t="s">
        <v>176</v>
      </c>
      <c r="D4" s="70" t="s">
        <v>175</v>
      </c>
      <c r="E4" s="71" t="s">
        <v>80</v>
      </c>
      <c r="F4" s="72" t="s">
        <v>83</v>
      </c>
      <c r="H4" s="70" t="s">
        <v>41</v>
      </c>
      <c r="I4" s="70" t="s">
        <v>176</v>
      </c>
      <c r="J4" s="70" t="s">
        <v>175</v>
      </c>
      <c r="K4" s="71" t="s">
        <v>20</v>
      </c>
      <c r="L4" s="73" t="s">
        <v>174</v>
      </c>
      <c r="M4" s="73" t="s">
        <v>80</v>
      </c>
      <c r="N4" s="74" t="s">
        <v>173</v>
      </c>
      <c r="O4" s="73" t="s">
        <v>172</v>
      </c>
      <c r="P4" s="73" t="s">
        <v>220</v>
      </c>
      <c r="Q4" s="73" t="s">
        <v>1185</v>
      </c>
      <c r="R4" s="73" t="s">
        <v>219</v>
      </c>
      <c r="S4" s="73" t="s">
        <v>228</v>
      </c>
      <c r="T4" s="73" t="s">
        <v>571</v>
      </c>
      <c r="V4" s="258" t="s">
        <v>980</v>
      </c>
      <c r="W4" s="260"/>
      <c r="Y4" s="69" t="s">
        <v>866</v>
      </c>
      <c r="Z4" s="69" t="s">
        <v>867</v>
      </c>
    </row>
    <row r="5" spans="1:31">
      <c r="B5" s="76" t="s">
        <v>57</v>
      </c>
      <c r="C5" s="76" t="s">
        <v>171</v>
      </c>
      <c r="D5" s="77">
        <v>2537</v>
      </c>
      <c r="E5" s="77">
        <v>2537</v>
      </c>
      <c r="F5" s="201"/>
      <c r="H5" s="76" t="s">
        <v>57</v>
      </c>
      <c r="I5" s="76" t="s">
        <v>171</v>
      </c>
      <c r="J5" s="76" t="s">
        <v>111</v>
      </c>
      <c r="K5" s="77" t="s">
        <v>56</v>
      </c>
      <c r="L5" s="77" t="s">
        <v>229</v>
      </c>
      <c r="M5" s="77">
        <v>2537</v>
      </c>
      <c r="N5" s="161">
        <f t="shared" ref="N5:N23" si="0">F5</f>
        <v>0</v>
      </c>
      <c r="O5" s="78">
        <f t="shared" ref="O5:O27" si="1">(N5*0.4+$I$327*0.42+$I$328*0.18)</f>
        <v>0</v>
      </c>
      <c r="P5" s="78">
        <f t="shared" ref="P5:P27" si="2">N5*0.4+$I$327*0.24+$I$330*0.12+$I$331*0.24</f>
        <v>0</v>
      </c>
      <c r="Q5" s="78">
        <f t="shared" ref="Q5:Q27" si="3">N5*0.5+$I$327*0.15+$I$329*0.1+$I$330*0.25</f>
        <v>0</v>
      </c>
      <c r="R5" s="78">
        <f t="shared" ref="R5:R27" si="4">N5*0.4+$I$327*0.6</f>
        <v>0</v>
      </c>
      <c r="S5" s="78">
        <f t="shared" ref="S5:S27" si="5">(N5*0.4+$I$327*0.36+$I$328*0.24)</f>
        <v>0</v>
      </c>
      <c r="T5" s="78">
        <f t="shared" ref="T5:T27" si="6">(N5*0.44+$I$327*0.45+$I$328*0.11)</f>
        <v>0</v>
      </c>
      <c r="V5" s="252" t="s">
        <v>594</v>
      </c>
      <c r="W5" s="142"/>
      <c r="Y5" t="e">
        <f>_xlfn.IFNA(VLOOKUP(C5,#REF!,2,FALSE),"")</f>
        <v>#REF!</v>
      </c>
      <c r="Z5" t="e">
        <f>IF(Y5="","",F5)</f>
        <v>#REF!</v>
      </c>
      <c r="AA5" t="e">
        <f>_xlfn.IFNA(VLOOKUP(C5,#REF!,2,FALSE),F5)</f>
        <v>#REF!</v>
      </c>
      <c r="AB5" t="str">
        <f t="shared" ref="AB5" si="7">IF(ISERROR(Y5),"",Y5=Z5)</f>
        <v/>
      </c>
      <c r="AD5" s="108"/>
      <c r="AE5" s="108"/>
    </row>
    <row r="6" spans="1:31">
      <c r="B6" s="80" t="s">
        <v>57</v>
      </c>
      <c r="C6" s="80" t="s">
        <v>170</v>
      </c>
      <c r="D6" s="81" t="s">
        <v>67</v>
      </c>
      <c r="E6" s="170" t="s">
        <v>1126</v>
      </c>
      <c r="F6" s="201"/>
      <c r="H6" s="80" t="s">
        <v>57</v>
      </c>
      <c r="I6" s="80" t="s">
        <v>170</v>
      </c>
      <c r="J6" s="80" t="s">
        <v>111</v>
      </c>
      <c r="K6" s="81" t="s">
        <v>122</v>
      </c>
      <c r="L6" s="81" t="s">
        <v>230</v>
      </c>
      <c r="M6" s="81" t="s">
        <v>67</v>
      </c>
      <c r="N6" s="161">
        <f t="shared" si="0"/>
        <v>0</v>
      </c>
      <c r="O6" s="78">
        <f t="shared" si="1"/>
        <v>0</v>
      </c>
      <c r="P6" s="78">
        <f t="shared" si="2"/>
        <v>0</v>
      </c>
      <c r="Q6" s="78">
        <f t="shared" si="3"/>
        <v>0</v>
      </c>
      <c r="R6" s="78">
        <f t="shared" si="4"/>
        <v>0</v>
      </c>
      <c r="S6" s="78">
        <f t="shared" si="5"/>
        <v>0</v>
      </c>
      <c r="T6" s="78">
        <f t="shared" si="6"/>
        <v>0</v>
      </c>
      <c r="V6" s="253" t="s">
        <v>578</v>
      </c>
      <c r="W6" s="142"/>
      <c r="Y6" t="e">
        <f>_xlfn.IFNA(VLOOKUP(C6,#REF!,2,FALSE),"")</f>
        <v>#REF!</v>
      </c>
      <c r="Z6" t="e">
        <f t="shared" ref="Z6" si="8">IF(Y6="","",F6)</f>
        <v>#REF!</v>
      </c>
      <c r="AA6" t="e">
        <f>_xlfn.IFNA(VLOOKUP(C6,#REF!,2,FALSE),F6)</f>
        <v>#REF!</v>
      </c>
      <c r="AB6" t="str">
        <f t="shared" ref="AB6:AB72" si="9">IF(ISERROR(Y6),"",Y6=Z6)</f>
        <v/>
      </c>
      <c r="AD6" s="108"/>
      <c r="AE6" s="108"/>
    </row>
    <row r="7" spans="1:31">
      <c r="B7" s="80" t="s">
        <v>57</v>
      </c>
      <c r="C7" s="80" t="s">
        <v>169</v>
      </c>
      <c r="D7" s="81">
        <v>3917</v>
      </c>
      <c r="E7" s="81">
        <v>3917</v>
      </c>
      <c r="F7" s="201"/>
      <c r="H7" s="80" t="s">
        <v>57</v>
      </c>
      <c r="I7" s="80" t="s">
        <v>169</v>
      </c>
      <c r="J7" s="80" t="s">
        <v>111</v>
      </c>
      <c r="K7" s="81" t="s">
        <v>60</v>
      </c>
      <c r="L7" s="81" t="s">
        <v>231</v>
      </c>
      <c r="M7" s="81">
        <v>3917</v>
      </c>
      <c r="N7" s="161">
        <f t="shared" si="0"/>
        <v>0</v>
      </c>
      <c r="O7" s="78">
        <f t="shared" si="1"/>
        <v>0</v>
      </c>
      <c r="P7" s="78">
        <f t="shared" si="2"/>
        <v>0</v>
      </c>
      <c r="Q7" s="78">
        <f t="shared" si="3"/>
        <v>0</v>
      </c>
      <c r="R7" s="78">
        <f t="shared" si="4"/>
        <v>0</v>
      </c>
      <c r="S7" s="78">
        <f t="shared" si="5"/>
        <v>0</v>
      </c>
      <c r="T7" s="78">
        <f t="shared" si="6"/>
        <v>0</v>
      </c>
      <c r="V7" s="253" t="s">
        <v>579</v>
      </c>
      <c r="W7" s="142"/>
      <c r="Y7" t="e">
        <f>_xlfn.IFNA(VLOOKUP(C7,#REF!,2,FALSE),"")</f>
        <v>#REF!</v>
      </c>
      <c r="Z7" t="e">
        <f t="shared" ref="Z7:Z73" si="10">IF(Y7="","",F7)</f>
        <v>#REF!</v>
      </c>
      <c r="AA7" t="e">
        <f>_xlfn.IFNA(VLOOKUP(C7,#REF!,2,FALSE),F7)</f>
        <v>#REF!</v>
      </c>
      <c r="AB7" t="str">
        <f t="shared" si="9"/>
        <v/>
      </c>
      <c r="AD7" s="108"/>
      <c r="AE7" s="108"/>
    </row>
    <row r="8" spans="1:31">
      <c r="B8" s="80" t="s">
        <v>57</v>
      </c>
      <c r="C8" s="80" t="s">
        <v>168</v>
      </c>
      <c r="D8" s="81" t="s">
        <v>61</v>
      </c>
      <c r="E8" s="81" t="s">
        <v>983</v>
      </c>
      <c r="F8" s="201"/>
      <c r="H8" s="80" t="s">
        <v>57</v>
      </c>
      <c r="I8" s="80" t="s">
        <v>168</v>
      </c>
      <c r="J8" s="80" t="s">
        <v>111</v>
      </c>
      <c r="K8" s="81" t="s">
        <v>167</v>
      </c>
      <c r="L8" s="81" t="s">
        <v>188</v>
      </c>
      <c r="M8" s="81" t="s">
        <v>61</v>
      </c>
      <c r="N8" s="161">
        <f t="shared" si="0"/>
        <v>0</v>
      </c>
      <c r="O8" s="78">
        <f t="shared" si="1"/>
        <v>0</v>
      </c>
      <c r="P8" s="78">
        <f t="shared" si="2"/>
        <v>0</v>
      </c>
      <c r="Q8" s="78">
        <f t="shared" si="3"/>
        <v>0</v>
      </c>
      <c r="R8" s="78">
        <f t="shared" si="4"/>
        <v>0</v>
      </c>
      <c r="S8" s="78">
        <f t="shared" si="5"/>
        <v>0</v>
      </c>
      <c r="T8" s="78">
        <f t="shared" si="6"/>
        <v>0</v>
      </c>
      <c r="V8" s="253" t="s">
        <v>580</v>
      </c>
      <c r="W8" s="142"/>
      <c r="Y8" t="e">
        <f>_xlfn.IFNA(VLOOKUP(C8,#REF!,2,FALSE),"")</f>
        <v>#REF!</v>
      </c>
      <c r="Z8" t="e">
        <f t="shared" si="10"/>
        <v>#REF!</v>
      </c>
      <c r="AA8" t="e">
        <f>_xlfn.IFNA(VLOOKUP(C8,#REF!,2,FALSE),F8)</f>
        <v>#REF!</v>
      </c>
      <c r="AB8" t="str">
        <f t="shared" si="9"/>
        <v/>
      </c>
      <c r="AD8" s="108"/>
      <c r="AE8" s="108"/>
    </row>
    <row r="9" spans="1:31">
      <c r="B9" s="80" t="s">
        <v>57</v>
      </c>
      <c r="C9" s="80" t="s">
        <v>166</v>
      </c>
      <c r="D9" s="81">
        <v>3916</v>
      </c>
      <c r="E9" s="81">
        <v>3916</v>
      </c>
      <c r="F9" s="201"/>
      <c r="H9" s="80" t="s">
        <v>57</v>
      </c>
      <c r="I9" s="80" t="s">
        <v>166</v>
      </c>
      <c r="J9" s="80" t="s">
        <v>111</v>
      </c>
      <c r="K9" s="81" t="s">
        <v>62</v>
      </c>
      <c r="L9" s="81" t="s">
        <v>232</v>
      </c>
      <c r="M9" s="81">
        <v>3916</v>
      </c>
      <c r="N9" s="161">
        <f t="shared" si="0"/>
        <v>0</v>
      </c>
      <c r="O9" s="78">
        <f t="shared" si="1"/>
        <v>0</v>
      </c>
      <c r="P9" s="78">
        <f t="shared" si="2"/>
        <v>0</v>
      </c>
      <c r="Q9" s="78">
        <f t="shared" si="3"/>
        <v>0</v>
      </c>
      <c r="R9" s="78">
        <f t="shared" si="4"/>
        <v>0</v>
      </c>
      <c r="S9" s="78">
        <f t="shared" si="5"/>
        <v>0</v>
      </c>
      <c r="T9" s="78">
        <f t="shared" si="6"/>
        <v>0</v>
      </c>
      <c r="V9" s="253" t="s">
        <v>581</v>
      </c>
      <c r="W9" s="142"/>
      <c r="Y9" t="e">
        <f>_xlfn.IFNA(VLOOKUP(C9,#REF!,2,FALSE),"")</f>
        <v>#REF!</v>
      </c>
      <c r="Z9" t="e">
        <f t="shared" si="10"/>
        <v>#REF!</v>
      </c>
      <c r="AA9" t="e">
        <f>_xlfn.IFNA(VLOOKUP(C9,#REF!,2,FALSE),F9)</f>
        <v>#REF!</v>
      </c>
      <c r="AB9" t="str">
        <f t="shared" si="9"/>
        <v/>
      </c>
      <c r="AD9" s="108"/>
      <c r="AE9" s="108"/>
    </row>
    <row r="10" spans="1:31">
      <c r="B10" s="80" t="s">
        <v>57</v>
      </c>
      <c r="C10" s="80" t="s">
        <v>320</v>
      </c>
      <c r="D10" s="81" t="s">
        <v>577</v>
      </c>
      <c r="E10" s="170" t="s">
        <v>970</v>
      </c>
      <c r="F10" s="201"/>
      <c r="H10" s="80" t="s">
        <v>57</v>
      </c>
      <c r="I10" s="80" t="s">
        <v>320</v>
      </c>
      <c r="J10" s="80"/>
      <c r="K10" s="81"/>
      <c r="L10" s="81" t="s">
        <v>321</v>
      </c>
      <c r="M10" s="81"/>
      <c r="N10" s="161">
        <f t="shared" si="0"/>
        <v>0</v>
      </c>
      <c r="O10" s="78">
        <f t="shared" si="1"/>
        <v>0</v>
      </c>
      <c r="P10" s="78">
        <f t="shared" si="2"/>
        <v>0</v>
      </c>
      <c r="Q10" s="78">
        <f t="shared" si="3"/>
        <v>0</v>
      </c>
      <c r="R10" s="78">
        <f t="shared" si="4"/>
        <v>0</v>
      </c>
      <c r="S10" s="78">
        <f t="shared" si="5"/>
        <v>0</v>
      </c>
      <c r="T10" s="78">
        <f t="shared" si="6"/>
        <v>0</v>
      </c>
      <c r="V10" s="254" t="s">
        <v>582</v>
      </c>
      <c r="W10" s="261"/>
      <c r="Y10" t="e">
        <f>_xlfn.IFNA(VLOOKUP(C10,#REF!,2,FALSE),"")</f>
        <v>#REF!</v>
      </c>
      <c r="Z10" t="e">
        <f t="shared" si="10"/>
        <v>#REF!</v>
      </c>
      <c r="AA10" t="e">
        <f>_xlfn.IFNA(VLOOKUP(C10,#REF!,2,FALSE),F10)</f>
        <v>#REF!</v>
      </c>
      <c r="AB10" t="str">
        <f t="shared" si="9"/>
        <v/>
      </c>
      <c r="AD10" s="108"/>
      <c r="AE10" s="108"/>
    </row>
    <row r="11" spans="1:31">
      <c r="B11" s="80" t="s">
        <v>57</v>
      </c>
      <c r="C11" s="80" t="s">
        <v>165</v>
      </c>
      <c r="D11" s="81" t="s">
        <v>102</v>
      </c>
      <c r="E11" s="81" t="s">
        <v>970</v>
      </c>
      <c r="F11" s="201"/>
      <c r="H11" s="80" t="s">
        <v>57</v>
      </c>
      <c r="I11" s="80" t="s">
        <v>165</v>
      </c>
      <c r="J11" s="80" t="s">
        <v>111</v>
      </c>
      <c r="K11" s="81" t="s">
        <v>101</v>
      </c>
      <c r="L11" s="81" t="s">
        <v>233</v>
      </c>
      <c r="M11" s="81" t="s">
        <v>102</v>
      </c>
      <c r="N11" s="161">
        <f t="shared" si="0"/>
        <v>0</v>
      </c>
      <c r="O11" s="78">
        <f t="shared" si="1"/>
        <v>0</v>
      </c>
      <c r="P11" s="78">
        <f t="shared" si="2"/>
        <v>0</v>
      </c>
      <c r="Q11" s="78">
        <f t="shared" si="3"/>
        <v>0</v>
      </c>
      <c r="R11" s="78">
        <f t="shared" si="4"/>
        <v>0</v>
      </c>
      <c r="S11" s="78">
        <f t="shared" si="5"/>
        <v>0</v>
      </c>
      <c r="T11" s="78">
        <f t="shared" si="6"/>
        <v>0</v>
      </c>
      <c r="V11" s="253" t="s">
        <v>583</v>
      </c>
      <c r="W11" s="142"/>
      <c r="Y11" t="e">
        <f>_xlfn.IFNA(VLOOKUP(C11,#REF!,2,FALSE),"")</f>
        <v>#REF!</v>
      </c>
      <c r="Z11" t="e">
        <f t="shared" si="10"/>
        <v>#REF!</v>
      </c>
      <c r="AA11" t="e">
        <f>_xlfn.IFNA(VLOOKUP(C11,#REF!,2,FALSE),F11)</f>
        <v>#REF!</v>
      </c>
      <c r="AB11" t="str">
        <f t="shared" si="9"/>
        <v/>
      </c>
      <c r="AD11" s="108"/>
      <c r="AE11" s="108"/>
    </row>
    <row r="12" spans="1:31">
      <c r="B12" s="80" t="s">
        <v>57</v>
      </c>
      <c r="C12" s="80" t="s">
        <v>164</v>
      </c>
      <c r="D12" s="81">
        <v>3919</v>
      </c>
      <c r="E12" s="81">
        <v>3919</v>
      </c>
      <c r="F12" s="201"/>
      <c r="H12" s="80" t="s">
        <v>57</v>
      </c>
      <c r="I12" s="80" t="s">
        <v>164</v>
      </c>
      <c r="J12" s="80" t="s">
        <v>111</v>
      </c>
      <c r="K12" s="81" t="s">
        <v>73</v>
      </c>
      <c r="L12" s="81" t="s">
        <v>234</v>
      </c>
      <c r="M12" s="81">
        <v>3919</v>
      </c>
      <c r="N12" s="161">
        <f t="shared" si="0"/>
        <v>0</v>
      </c>
      <c r="O12" s="78">
        <f t="shared" si="1"/>
        <v>0</v>
      </c>
      <c r="P12" s="78">
        <f t="shared" si="2"/>
        <v>0</v>
      </c>
      <c r="Q12" s="78">
        <f t="shared" si="3"/>
        <v>0</v>
      </c>
      <c r="R12" s="78">
        <f t="shared" si="4"/>
        <v>0</v>
      </c>
      <c r="S12" s="78">
        <f t="shared" si="5"/>
        <v>0</v>
      </c>
      <c r="T12" s="78">
        <f t="shared" si="6"/>
        <v>0</v>
      </c>
      <c r="V12" s="253" t="s">
        <v>584</v>
      </c>
      <c r="W12" s="142"/>
      <c r="Y12" t="e">
        <f>_xlfn.IFNA(VLOOKUP(C12,#REF!,2,FALSE),"")</f>
        <v>#REF!</v>
      </c>
      <c r="Z12" t="e">
        <f t="shared" si="10"/>
        <v>#REF!</v>
      </c>
      <c r="AA12" t="e">
        <f>_xlfn.IFNA(VLOOKUP(C12,#REF!,2,FALSE),F12)</f>
        <v>#REF!</v>
      </c>
      <c r="AB12" t="str">
        <f t="shared" si="9"/>
        <v/>
      </c>
      <c r="AD12" s="108"/>
      <c r="AE12" s="108"/>
    </row>
    <row r="13" spans="1:31">
      <c r="B13" s="80" t="s">
        <v>57</v>
      </c>
      <c r="C13" s="80" t="s">
        <v>163</v>
      </c>
      <c r="D13" s="81">
        <v>3922</v>
      </c>
      <c r="E13" s="81" t="s">
        <v>970</v>
      </c>
      <c r="F13" s="201"/>
      <c r="H13" s="80" t="s">
        <v>57</v>
      </c>
      <c r="I13" s="80" t="s">
        <v>163</v>
      </c>
      <c r="J13" s="80" t="s">
        <v>111</v>
      </c>
      <c r="K13" s="81" t="s">
        <v>100</v>
      </c>
      <c r="L13" s="81" t="s">
        <v>235</v>
      </c>
      <c r="M13" s="81">
        <v>3922</v>
      </c>
      <c r="N13" s="161">
        <f t="shared" si="0"/>
        <v>0</v>
      </c>
      <c r="O13" s="78">
        <f t="shared" si="1"/>
        <v>0</v>
      </c>
      <c r="P13" s="78">
        <f t="shared" si="2"/>
        <v>0</v>
      </c>
      <c r="Q13" s="78">
        <f t="shared" si="3"/>
        <v>0</v>
      </c>
      <c r="R13" s="78">
        <f t="shared" si="4"/>
        <v>0</v>
      </c>
      <c r="S13" s="78">
        <f t="shared" si="5"/>
        <v>0</v>
      </c>
      <c r="T13" s="78">
        <f t="shared" si="6"/>
        <v>0</v>
      </c>
      <c r="V13" s="253" t="s">
        <v>585</v>
      </c>
      <c r="W13" s="142"/>
      <c r="Y13" t="e">
        <f>_xlfn.IFNA(VLOOKUP(C13,#REF!,2,FALSE),"")</f>
        <v>#REF!</v>
      </c>
      <c r="Z13" t="e">
        <f t="shared" si="10"/>
        <v>#REF!</v>
      </c>
      <c r="AA13" t="e">
        <f>_xlfn.IFNA(VLOOKUP(C13,#REF!,2,FALSE),F13)</f>
        <v>#REF!</v>
      </c>
      <c r="AB13" t="str">
        <f t="shared" si="9"/>
        <v/>
      </c>
      <c r="AD13" s="108"/>
      <c r="AE13" s="108"/>
    </row>
    <row r="14" spans="1:31">
      <c r="A14" s="347"/>
      <c r="B14" s="80" t="s">
        <v>57</v>
      </c>
      <c r="C14" s="80" t="s">
        <v>162</v>
      </c>
      <c r="D14" s="81">
        <v>3353</v>
      </c>
      <c r="E14" s="81">
        <v>3353</v>
      </c>
      <c r="F14" s="201"/>
      <c r="H14" s="80" t="s">
        <v>57</v>
      </c>
      <c r="I14" s="80" t="s">
        <v>162</v>
      </c>
      <c r="J14" s="80" t="s">
        <v>111</v>
      </c>
      <c r="K14" s="81" t="s">
        <v>103</v>
      </c>
      <c r="L14" s="81" t="s">
        <v>236</v>
      </c>
      <c r="M14" s="81">
        <v>3353</v>
      </c>
      <c r="N14" s="161">
        <f t="shared" si="0"/>
        <v>0</v>
      </c>
      <c r="O14" s="78">
        <f t="shared" si="1"/>
        <v>0</v>
      </c>
      <c r="P14" s="78">
        <f t="shared" si="2"/>
        <v>0</v>
      </c>
      <c r="Q14" s="78">
        <f t="shared" si="3"/>
        <v>0</v>
      </c>
      <c r="R14" s="78">
        <f t="shared" si="4"/>
        <v>0</v>
      </c>
      <c r="S14" s="78">
        <f t="shared" si="5"/>
        <v>0</v>
      </c>
      <c r="T14" s="78">
        <f t="shared" si="6"/>
        <v>0</v>
      </c>
      <c r="V14" s="253" t="s">
        <v>586</v>
      </c>
      <c r="W14" s="142"/>
      <c r="Y14" t="e">
        <f>_xlfn.IFNA(VLOOKUP(C14,#REF!,2,FALSE),"")</f>
        <v>#REF!</v>
      </c>
      <c r="Z14" t="e">
        <f t="shared" si="10"/>
        <v>#REF!</v>
      </c>
      <c r="AA14" t="e">
        <f>_xlfn.IFNA(VLOOKUP(C14,#REF!,2,FALSE),F14)</f>
        <v>#REF!</v>
      </c>
      <c r="AB14" t="str">
        <f t="shared" si="9"/>
        <v/>
      </c>
      <c r="AD14" s="108"/>
      <c r="AE14" s="108"/>
    </row>
    <row r="15" spans="1:31">
      <c r="B15" s="80" t="s">
        <v>57</v>
      </c>
      <c r="C15" s="80" t="s">
        <v>161</v>
      </c>
      <c r="D15" s="81">
        <v>2480</v>
      </c>
      <c r="E15" s="81">
        <v>2480</v>
      </c>
      <c r="F15" s="201"/>
      <c r="H15" s="80" t="s">
        <v>57</v>
      </c>
      <c r="I15" s="80" t="s">
        <v>161</v>
      </c>
      <c r="J15" s="80" t="s">
        <v>111</v>
      </c>
      <c r="K15" s="81" t="s">
        <v>78</v>
      </c>
      <c r="L15" s="81" t="s">
        <v>237</v>
      </c>
      <c r="M15" s="81">
        <v>2480</v>
      </c>
      <c r="N15" s="161">
        <f t="shared" si="0"/>
        <v>0</v>
      </c>
      <c r="O15" s="78">
        <f t="shared" si="1"/>
        <v>0</v>
      </c>
      <c r="P15" s="78">
        <f t="shared" si="2"/>
        <v>0</v>
      </c>
      <c r="Q15" s="78">
        <f t="shared" si="3"/>
        <v>0</v>
      </c>
      <c r="R15" s="78">
        <f t="shared" si="4"/>
        <v>0</v>
      </c>
      <c r="S15" s="78">
        <f t="shared" si="5"/>
        <v>0</v>
      </c>
      <c r="T15" s="78">
        <f t="shared" si="6"/>
        <v>0</v>
      </c>
      <c r="V15" s="253" t="s">
        <v>587</v>
      </c>
      <c r="W15" s="142"/>
      <c r="Y15" t="e">
        <f>_xlfn.IFNA(VLOOKUP(C15,#REF!,2,FALSE),"")</f>
        <v>#REF!</v>
      </c>
      <c r="Z15" t="e">
        <f t="shared" si="10"/>
        <v>#REF!</v>
      </c>
      <c r="AA15" t="e">
        <f>_xlfn.IFNA(VLOOKUP(C15,#REF!,2,FALSE),F15)</f>
        <v>#REF!</v>
      </c>
      <c r="AB15" t="str">
        <f t="shared" si="9"/>
        <v/>
      </c>
      <c r="AD15" s="108"/>
      <c r="AE15" s="108"/>
    </row>
    <row r="16" spans="1:31">
      <c r="B16" s="80" t="s">
        <v>57</v>
      </c>
      <c r="C16" s="80" t="s">
        <v>160</v>
      </c>
      <c r="D16" s="81">
        <v>1032</v>
      </c>
      <c r="E16" s="81">
        <v>1032</v>
      </c>
      <c r="F16" s="201"/>
      <c r="H16" s="80" t="s">
        <v>57</v>
      </c>
      <c r="I16" s="80" t="s">
        <v>160</v>
      </c>
      <c r="J16" s="80" t="s">
        <v>111</v>
      </c>
      <c r="K16" s="81" t="s">
        <v>159</v>
      </c>
      <c r="L16" s="81" t="s">
        <v>238</v>
      </c>
      <c r="M16" s="81">
        <v>1032</v>
      </c>
      <c r="N16" s="161">
        <f t="shared" si="0"/>
        <v>0</v>
      </c>
      <c r="O16" s="78">
        <f t="shared" si="1"/>
        <v>0</v>
      </c>
      <c r="P16" s="78">
        <f t="shared" si="2"/>
        <v>0</v>
      </c>
      <c r="Q16" s="78">
        <f t="shared" si="3"/>
        <v>0</v>
      </c>
      <c r="R16" s="78">
        <f t="shared" si="4"/>
        <v>0</v>
      </c>
      <c r="S16" s="78">
        <f t="shared" si="5"/>
        <v>0</v>
      </c>
      <c r="T16" s="78">
        <f t="shared" si="6"/>
        <v>0</v>
      </c>
      <c r="V16" s="253" t="s">
        <v>588</v>
      </c>
      <c r="W16" s="142"/>
      <c r="Y16" t="e">
        <f>_xlfn.IFNA(VLOOKUP(C16,#REF!,2,FALSE),"")</f>
        <v>#REF!</v>
      </c>
      <c r="Z16" t="e">
        <f t="shared" si="10"/>
        <v>#REF!</v>
      </c>
      <c r="AA16" t="e">
        <f>_xlfn.IFNA(VLOOKUP(C16,#REF!,2,FALSE),F16)</f>
        <v>#REF!</v>
      </c>
      <c r="AB16" t="str">
        <f t="shared" si="9"/>
        <v/>
      </c>
      <c r="AD16" s="108"/>
      <c r="AE16" s="108"/>
    </row>
    <row r="17" spans="1:31">
      <c r="B17" s="80" t="s">
        <v>57</v>
      </c>
      <c r="C17" s="80" t="s">
        <v>156</v>
      </c>
      <c r="D17" s="81">
        <v>3921</v>
      </c>
      <c r="E17" s="81" t="s">
        <v>970</v>
      </c>
      <c r="F17" s="201"/>
      <c r="H17" s="80" t="s">
        <v>57</v>
      </c>
      <c r="I17" s="80" t="s">
        <v>156</v>
      </c>
      <c r="J17" s="80" t="s">
        <v>111</v>
      </c>
      <c r="K17" s="81" t="s">
        <v>114</v>
      </c>
      <c r="L17" s="81" t="s">
        <v>239</v>
      </c>
      <c r="M17" s="81">
        <v>3921</v>
      </c>
      <c r="N17" s="161">
        <f t="shared" si="0"/>
        <v>0</v>
      </c>
      <c r="O17" s="78">
        <f t="shared" si="1"/>
        <v>0</v>
      </c>
      <c r="P17" s="78">
        <f t="shared" si="2"/>
        <v>0</v>
      </c>
      <c r="Q17" s="78">
        <f t="shared" si="3"/>
        <v>0</v>
      </c>
      <c r="R17" s="78">
        <f t="shared" si="4"/>
        <v>0</v>
      </c>
      <c r="S17" s="78">
        <f t="shared" si="5"/>
        <v>0</v>
      </c>
      <c r="T17" s="78">
        <f t="shared" si="6"/>
        <v>0</v>
      </c>
      <c r="V17" s="253" t="s">
        <v>589</v>
      </c>
      <c r="W17" s="142"/>
      <c r="Y17" t="e">
        <f>_xlfn.IFNA(VLOOKUP(C17,#REF!,2,FALSE),"")</f>
        <v>#REF!</v>
      </c>
      <c r="Z17" t="e">
        <f t="shared" si="10"/>
        <v>#REF!</v>
      </c>
      <c r="AA17" t="e">
        <f>_xlfn.IFNA(VLOOKUP(C17,#REF!,2,FALSE),F17)</f>
        <v>#REF!</v>
      </c>
      <c r="AB17" t="str">
        <f t="shared" si="9"/>
        <v/>
      </c>
      <c r="AD17" s="108"/>
      <c r="AE17" s="108"/>
    </row>
    <row r="18" spans="1:31">
      <c r="B18" s="80" t="s">
        <v>57</v>
      </c>
      <c r="C18" s="80" t="s">
        <v>155</v>
      </c>
      <c r="D18" s="81">
        <v>3920</v>
      </c>
      <c r="E18" s="81">
        <v>3920</v>
      </c>
      <c r="F18" s="201"/>
      <c r="H18" s="80" t="s">
        <v>57</v>
      </c>
      <c r="I18" s="80" t="s">
        <v>155</v>
      </c>
      <c r="J18" s="80" t="s">
        <v>111</v>
      </c>
      <c r="K18" s="81" t="s">
        <v>58</v>
      </c>
      <c r="L18" s="81" t="s">
        <v>240</v>
      </c>
      <c r="M18" s="81">
        <v>3920</v>
      </c>
      <c r="N18" s="161">
        <f t="shared" si="0"/>
        <v>0</v>
      </c>
      <c r="O18" s="78">
        <f t="shared" si="1"/>
        <v>0</v>
      </c>
      <c r="P18" s="78">
        <f t="shared" si="2"/>
        <v>0</v>
      </c>
      <c r="Q18" s="78">
        <f t="shared" si="3"/>
        <v>0</v>
      </c>
      <c r="R18" s="78">
        <f t="shared" si="4"/>
        <v>0</v>
      </c>
      <c r="S18" s="78">
        <f t="shared" si="5"/>
        <v>0</v>
      </c>
      <c r="T18" s="78">
        <f t="shared" si="6"/>
        <v>0</v>
      </c>
      <c r="V18" s="253" t="s">
        <v>590</v>
      </c>
      <c r="W18" s="142"/>
      <c r="Y18" t="e">
        <f>_xlfn.IFNA(VLOOKUP(C18,#REF!,2,FALSE),"")</f>
        <v>#REF!</v>
      </c>
      <c r="Z18" t="e">
        <f t="shared" si="10"/>
        <v>#REF!</v>
      </c>
      <c r="AA18" t="e">
        <f>_xlfn.IFNA(VLOOKUP(C18,#REF!,2,FALSE),F18)</f>
        <v>#REF!</v>
      </c>
      <c r="AB18" t="str">
        <f t="shared" si="9"/>
        <v/>
      </c>
      <c r="AD18" s="108"/>
      <c r="AE18" s="108"/>
    </row>
    <row r="19" spans="1:31">
      <c r="B19" s="80" t="s">
        <v>57</v>
      </c>
      <c r="C19" s="80" t="s">
        <v>154</v>
      </c>
      <c r="D19" s="81">
        <v>2430</v>
      </c>
      <c r="E19" s="81">
        <v>2430</v>
      </c>
      <c r="F19" s="201"/>
      <c r="H19" s="80" t="s">
        <v>57</v>
      </c>
      <c r="I19" s="80" t="s">
        <v>154</v>
      </c>
      <c r="J19" s="80" t="s">
        <v>111</v>
      </c>
      <c r="K19" s="81" t="s">
        <v>64</v>
      </c>
      <c r="L19" s="81" t="s">
        <v>241</v>
      </c>
      <c r="M19" s="81">
        <v>2430</v>
      </c>
      <c r="N19" s="161">
        <f t="shared" si="0"/>
        <v>0</v>
      </c>
      <c r="O19" s="78">
        <f t="shared" si="1"/>
        <v>0</v>
      </c>
      <c r="P19" s="78">
        <f t="shared" si="2"/>
        <v>0</v>
      </c>
      <c r="Q19" s="78">
        <f t="shared" si="3"/>
        <v>0</v>
      </c>
      <c r="R19" s="78">
        <f t="shared" si="4"/>
        <v>0</v>
      </c>
      <c r="S19" s="78">
        <f t="shared" si="5"/>
        <v>0</v>
      </c>
      <c r="T19" s="78">
        <f t="shared" si="6"/>
        <v>0</v>
      </c>
      <c r="V19" s="253" t="s">
        <v>591</v>
      </c>
      <c r="W19" s="142"/>
      <c r="Y19" t="e">
        <f>_xlfn.IFNA(VLOOKUP(C19,#REF!,2,FALSE),"")</f>
        <v>#REF!</v>
      </c>
      <c r="Z19" t="e">
        <f t="shared" si="10"/>
        <v>#REF!</v>
      </c>
      <c r="AA19" t="e">
        <f>_xlfn.IFNA(VLOOKUP(C19,#REF!,2,FALSE),F19)</f>
        <v>#REF!</v>
      </c>
      <c r="AB19" t="str">
        <f t="shared" si="9"/>
        <v/>
      </c>
      <c r="AD19" s="108"/>
      <c r="AE19" s="108"/>
    </row>
    <row r="20" spans="1:31">
      <c r="B20" s="80" t="s">
        <v>57</v>
      </c>
      <c r="C20" s="80" t="s">
        <v>153</v>
      </c>
      <c r="D20" s="81">
        <v>3915</v>
      </c>
      <c r="E20" s="81">
        <v>3915</v>
      </c>
      <c r="F20" s="201"/>
      <c r="H20" s="80" t="s">
        <v>57</v>
      </c>
      <c r="I20" s="80" t="s">
        <v>153</v>
      </c>
      <c r="J20" s="80" t="s">
        <v>111</v>
      </c>
      <c r="K20" s="81" t="s">
        <v>63</v>
      </c>
      <c r="L20" s="81" t="s">
        <v>297</v>
      </c>
      <c r="M20" s="81">
        <v>3915</v>
      </c>
      <c r="N20" s="161">
        <f t="shared" si="0"/>
        <v>0</v>
      </c>
      <c r="O20" s="78">
        <f t="shared" si="1"/>
        <v>0</v>
      </c>
      <c r="P20" s="78">
        <f t="shared" si="2"/>
        <v>0</v>
      </c>
      <c r="Q20" s="78">
        <f t="shared" si="3"/>
        <v>0</v>
      </c>
      <c r="R20" s="78">
        <f t="shared" si="4"/>
        <v>0</v>
      </c>
      <c r="S20" s="78">
        <f t="shared" si="5"/>
        <v>0</v>
      </c>
      <c r="T20" s="78">
        <f t="shared" si="6"/>
        <v>0</v>
      </c>
      <c r="V20" s="253" t="s">
        <v>592</v>
      </c>
      <c r="W20" s="142"/>
      <c r="Y20" t="e">
        <f>_xlfn.IFNA(VLOOKUP(C20,#REF!,2,FALSE),"")</f>
        <v>#REF!</v>
      </c>
      <c r="Z20" t="e">
        <f t="shared" si="10"/>
        <v>#REF!</v>
      </c>
      <c r="AA20" t="e">
        <f>_xlfn.IFNA(VLOOKUP(C20,#REF!,2,FALSE),F20)</f>
        <v>#REF!</v>
      </c>
      <c r="AB20" t="str">
        <f t="shared" si="9"/>
        <v/>
      </c>
      <c r="AD20" s="108"/>
      <c r="AE20" s="108"/>
    </row>
    <row r="21" spans="1:31">
      <c r="B21" s="80" t="s">
        <v>57</v>
      </c>
      <c r="C21" s="80" t="s">
        <v>737</v>
      </c>
      <c r="D21" s="170" t="s">
        <v>576</v>
      </c>
      <c r="E21" s="169" t="s">
        <v>970</v>
      </c>
      <c r="F21" s="201"/>
      <c r="H21" s="80" t="s">
        <v>57</v>
      </c>
      <c r="I21" s="80" t="s">
        <v>306</v>
      </c>
      <c r="J21" s="80" t="s">
        <v>111</v>
      </c>
      <c r="K21" s="81" t="s">
        <v>59</v>
      </c>
      <c r="L21" s="81" t="s">
        <v>242</v>
      </c>
      <c r="M21" s="81" t="s">
        <v>576</v>
      </c>
      <c r="N21" s="161">
        <f t="shared" si="0"/>
        <v>0</v>
      </c>
      <c r="O21" s="78">
        <f t="shared" si="1"/>
        <v>0</v>
      </c>
      <c r="P21" s="78">
        <f t="shared" si="2"/>
        <v>0</v>
      </c>
      <c r="Q21" s="78">
        <f t="shared" si="3"/>
        <v>0</v>
      </c>
      <c r="R21" s="78">
        <f t="shared" si="4"/>
        <v>0</v>
      </c>
      <c r="S21" s="78">
        <f t="shared" si="5"/>
        <v>0</v>
      </c>
      <c r="T21" s="78">
        <f t="shared" si="6"/>
        <v>0</v>
      </c>
      <c r="V21" s="255" t="s">
        <v>593</v>
      </c>
      <c r="W21" s="262"/>
      <c r="Y21" t="e">
        <f>_xlfn.IFNA(VLOOKUP(C21,#REF!,2,FALSE),"")</f>
        <v>#REF!</v>
      </c>
      <c r="Z21" t="e">
        <f t="shared" si="10"/>
        <v>#REF!</v>
      </c>
      <c r="AA21" t="e">
        <f>_xlfn.IFNA(VLOOKUP(C21,#REF!,2,FALSE),F21)</f>
        <v>#REF!</v>
      </c>
      <c r="AB21" t="str">
        <f t="shared" si="9"/>
        <v/>
      </c>
      <c r="AD21" s="108"/>
      <c r="AE21" s="108"/>
    </row>
    <row r="22" spans="1:31">
      <c r="B22" s="80"/>
      <c r="C22" s="80" t="s">
        <v>868</v>
      </c>
      <c r="D22" s="170">
        <v>1549</v>
      </c>
      <c r="E22" s="169" t="s">
        <v>970</v>
      </c>
      <c r="F22" s="201"/>
      <c r="H22" s="80" t="s">
        <v>57</v>
      </c>
      <c r="I22" s="80" t="s">
        <v>872</v>
      </c>
      <c r="J22" s="80" t="s">
        <v>111</v>
      </c>
      <c r="K22" s="81" t="s">
        <v>63</v>
      </c>
      <c r="L22" s="81" t="s">
        <v>297</v>
      </c>
      <c r="M22" s="81" t="s">
        <v>870</v>
      </c>
      <c r="N22" s="161">
        <f t="shared" si="0"/>
        <v>0</v>
      </c>
      <c r="O22" s="78">
        <f t="shared" si="1"/>
        <v>0</v>
      </c>
      <c r="P22" s="78">
        <f t="shared" si="2"/>
        <v>0</v>
      </c>
      <c r="Q22" s="78">
        <f t="shared" si="3"/>
        <v>0</v>
      </c>
      <c r="R22" s="78">
        <f t="shared" si="4"/>
        <v>0</v>
      </c>
      <c r="S22" s="78">
        <f t="shared" si="5"/>
        <v>0</v>
      </c>
      <c r="T22" s="78">
        <f t="shared" si="6"/>
        <v>0</v>
      </c>
      <c r="V22" s="255" t="s">
        <v>870</v>
      </c>
      <c r="W22" s="262"/>
      <c r="Y22" t="e">
        <f>_xlfn.IFNA(VLOOKUP(C22,#REF!,2,FALSE),"")</f>
        <v>#REF!</v>
      </c>
      <c r="Z22" t="e">
        <f t="shared" si="10"/>
        <v>#REF!</v>
      </c>
      <c r="AA22" t="e">
        <f>_xlfn.IFNA(VLOOKUP(C22,#REF!,2,FALSE),F22)</f>
        <v>#REF!</v>
      </c>
      <c r="AB22" t="str">
        <f t="shared" si="9"/>
        <v/>
      </c>
      <c r="AD22" s="108"/>
      <c r="AE22" s="108"/>
    </row>
    <row r="23" spans="1:31">
      <c r="B23" s="80"/>
      <c r="C23" s="80" t="s">
        <v>869</v>
      </c>
      <c r="D23" s="170" t="s">
        <v>871</v>
      </c>
      <c r="E23" s="169" t="s">
        <v>970</v>
      </c>
      <c r="F23" s="201"/>
      <c r="H23" s="80" t="s">
        <v>57</v>
      </c>
      <c r="I23" s="80" t="s">
        <v>873</v>
      </c>
      <c r="J23" s="80" t="s">
        <v>111</v>
      </c>
      <c r="K23" s="81" t="s">
        <v>63</v>
      </c>
      <c r="L23" s="81" t="s">
        <v>297</v>
      </c>
      <c r="M23" s="81" t="s">
        <v>871</v>
      </c>
      <c r="N23" s="161">
        <f t="shared" si="0"/>
        <v>0</v>
      </c>
      <c r="O23" s="78">
        <f t="shared" si="1"/>
        <v>0</v>
      </c>
      <c r="P23" s="78">
        <f t="shared" si="2"/>
        <v>0</v>
      </c>
      <c r="Q23" s="78">
        <f t="shared" si="3"/>
        <v>0</v>
      </c>
      <c r="R23" s="78">
        <f t="shared" si="4"/>
        <v>0</v>
      </c>
      <c r="S23" s="78">
        <f t="shared" si="5"/>
        <v>0</v>
      </c>
      <c r="T23" s="78">
        <f t="shared" si="6"/>
        <v>0</v>
      </c>
      <c r="V23" s="255" t="s">
        <v>871</v>
      </c>
      <c r="W23" s="262"/>
      <c r="Y23" t="e">
        <f>_xlfn.IFNA(VLOOKUP(C23,#REF!,2,FALSE),"")</f>
        <v>#REF!</v>
      </c>
      <c r="Z23" t="e">
        <f t="shared" si="10"/>
        <v>#REF!</v>
      </c>
      <c r="AA23" t="e">
        <f>_xlfn.IFNA(VLOOKUP(C23,#REF!,2,FALSE),F23)</f>
        <v>#REF!</v>
      </c>
      <c r="AB23" t="str">
        <f t="shared" si="9"/>
        <v/>
      </c>
      <c r="AD23" s="108"/>
      <c r="AE23" s="108"/>
    </row>
    <row r="24" spans="1:31">
      <c r="B24" s="80" t="s">
        <v>57</v>
      </c>
      <c r="C24" s="80" t="s">
        <v>1025</v>
      </c>
      <c r="D24" s="81"/>
      <c r="E24" s="81">
        <v>5102</v>
      </c>
      <c r="F24" s="202"/>
      <c r="H24" s="80" t="s">
        <v>57</v>
      </c>
      <c r="I24" s="80" t="s">
        <v>158</v>
      </c>
      <c r="J24" s="80" t="s">
        <v>111</v>
      </c>
      <c r="K24" s="81" t="s">
        <v>75</v>
      </c>
      <c r="L24" s="81" t="s">
        <v>158</v>
      </c>
      <c r="M24" s="81"/>
      <c r="N24" s="161">
        <f>$K$383</f>
        <v>0</v>
      </c>
      <c r="O24" s="78">
        <f t="shared" si="1"/>
        <v>0</v>
      </c>
      <c r="P24" s="78">
        <f t="shared" si="2"/>
        <v>0</v>
      </c>
      <c r="Q24" s="78">
        <f t="shared" si="3"/>
        <v>0</v>
      </c>
      <c r="R24" s="78">
        <f t="shared" si="4"/>
        <v>0</v>
      </c>
      <c r="S24" s="78">
        <f t="shared" si="5"/>
        <v>0</v>
      </c>
      <c r="T24" s="78">
        <f t="shared" si="6"/>
        <v>0</v>
      </c>
      <c r="V24" s="253"/>
      <c r="W24" s="142"/>
      <c r="Y24" t="e">
        <f>_xlfn.IFNA(VLOOKUP(C24,#REF!,2,FALSE),"")</f>
        <v>#REF!</v>
      </c>
      <c r="Z24" t="e">
        <f t="shared" si="10"/>
        <v>#REF!</v>
      </c>
      <c r="AA24" t="e">
        <f>_xlfn.IFNA(VLOOKUP(C24,#REF!,2,FALSE),F24)</f>
        <v>#REF!</v>
      </c>
      <c r="AB24" t="str">
        <f t="shared" si="9"/>
        <v/>
      </c>
      <c r="AD24" s="108"/>
      <c r="AE24" s="108"/>
    </row>
    <row r="25" spans="1:31">
      <c r="B25" s="80" t="s">
        <v>57</v>
      </c>
      <c r="C25" s="80" t="s">
        <v>1115</v>
      </c>
      <c r="D25" s="170"/>
      <c r="E25" s="169" t="s">
        <v>1149</v>
      </c>
      <c r="F25" s="201"/>
      <c r="H25" s="80" t="s">
        <v>57</v>
      </c>
      <c r="I25" s="80" t="s">
        <v>157</v>
      </c>
      <c r="J25" s="80" t="s">
        <v>111</v>
      </c>
      <c r="K25" s="81" t="s">
        <v>74</v>
      </c>
      <c r="L25" s="81" t="s">
        <v>157</v>
      </c>
      <c r="M25" s="81"/>
      <c r="N25" s="161">
        <f>$P$373</f>
        <v>0</v>
      </c>
      <c r="O25" s="78">
        <f t="shared" si="1"/>
        <v>0</v>
      </c>
      <c r="P25" s="78">
        <f t="shared" si="2"/>
        <v>0</v>
      </c>
      <c r="Q25" s="78">
        <f t="shared" si="3"/>
        <v>0</v>
      </c>
      <c r="R25" s="78">
        <f t="shared" si="4"/>
        <v>0</v>
      </c>
      <c r="S25" s="78">
        <f t="shared" si="5"/>
        <v>0</v>
      </c>
      <c r="T25" s="78">
        <f t="shared" si="6"/>
        <v>0</v>
      </c>
      <c r="V25" s="253"/>
      <c r="W25" s="142"/>
      <c r="Y25" t="e">
        <f>_xlfn.IFNA(VLOOKUP(C25,#REF!,2,FALSE),"")</f>
        <v>#REF!</v>
      </c>
      <c r="Z25" t="e">
        <f t="shared" si="10"/>
        <v>#REF!</v>
      </c>
      <c r="AA25" t="e">
        <f>_xlfn.IFNA(VLOOKUP(C25,#REF!,2,FALSE),F25)</f>
        <v>#REF!</v>
      </c>
      <c r="AB25" t="str">
        <f t="shared" si="9"/>
        <v/>
      </c>
      <c r="AD25" s="108"/>
      <c r="AE25" s="108"/>
    </row>
    <row r="26" spans="1:31">
      <c r="A26" s="347"/>
      <c r="B26" s="80" t="s">
        <v>57</v>
      </c>
      <c r="C26" s="80" t="s">
        <v>1896</v>
      </c>
      <c r="D26" s="170">
        <v>25023</v>
      </c>
      <c r="E26" s="169">
        <v>25023</v>
      </c>
      <c r="F26" s="201"/>
      <c r="H26" s="80" t="s">
        <v>57</v>
      </c>
      <c r="I26" s="80" t="s">
        <v>157</v>
      </c>
      <c r="J26" s="80" t="s">
        <v>111</v>
      </c>
      <c r="K26" s="81" t="s">
        <v>74</v>
      </c>
      <c r="L26" s="81" t="s">
        <v>157</v>
      </c>
      <c r="M26" s="81"/>
      <c r="N26" s="161">
        <f t="shared" ref="N26" si="11">F26</f>
        <v>0</v>
      </c>
      <c r="O26" s="78">
        <f t="shared" si="1"/>
        <v>0</v>
      </c>
      <c r="P26" s="78">
        <f t="shared" si="2"/>
        <v>0</v>
      </c>
      <c r="Q26" s="78">
        <f t="shared" si="3"/>
        <v>0</v>
      </c>
      <c r="R26" s="78">
        <f t="shared" si="4"/>
        <v>0</v>
      </c>
      <c r="S26" s="78">
        <f t="shared" si="5"/>
        <v>0</v>
      </c>
      <c r="T26" s="78">
        <f t="shared" si="6"/>
        <v>0</v>
      </c>
      <c r="V26" s="253"/>
      <c r="W26" s="142"/>
      <c r="Y26" t="e">
        <f>_xlfn.IFNA(VLOOKUP(C26,#REF!,2,FALSE),"")</f>
        <v>#REF!</v>
      </c>
      <c r="Z26" t="e">
        <f>IF(Y26="","",F26)</f>
        <v>#REF!</v>
      </c>
      <c r="AA26" t="e">
        <f>_xlfn.IFNA(VLOOKUP(C26,#REF!,2,FALSE),F26)</f>
        <v>#REF!</v>
      </c>
      <c r="AB26" t="str">
        <f t="shared" ref="AB26" si="12">IF(ISERROR(Y26),"",Y26=Z26)</f>
        <v/>
      </c>
      <c r="AD26" s="108"/>
      <c r="AE26" s="108"/>
    </row>
    <row r="27" spans="1:31">
      <c r="A27" s="347"/>
      <c r="B27" s="80" t="s">
        <v>57</v>
      </c>
      <c r="C27" s="80" t="s">
        <v>1895</v>
      </c>
      <c r="D27" s="170"/>
      <c r="E27" s="169" t="s">
        <v>1901</v>
      </c>
      <c r="F27" s="201"/>
      <c r="H27" s="80" t="s">
        <v>57</v>
      </c>
      <c r="I27" s="80" t="s">
        <v>157</v>
      </c>
      <c r="J27" s="80" t="s">
        <v>111</v>
      </c>
      <c r="K27" s="81" t="s">
        <v>74</v>
      </c>
      <c r="L27" s="81" t="s">
        <v>157</v>
      </c>
      <c r="M27" s="81"/>
      <c r="N27" s="161">
        <f t="shared" ref="N27" si="13">F27</f>
        <v>0</v>
      </c>
      <c r="O27" s="78">
        <f t="shared" si="1"/>
        <v>0</v>
      </c>
      <c r="P27" s="78">
        <f t="shared" si="2"/>
        <v>0</v>
      </c>
      <c r="Q27" s="78">
        <f t="shared" si="3"/>
        <v>0</v>
      </c>
      <c r="R27" s="78">
        <f t="shared" si="4"/>
        <v>0</v>
      </c>
      <c r="S27" s="78">
        <f t="shared" si="5"/>
        <v>0</v>
      </c>
      <c r="T27" s="78">
        <f t="shared" si="6"/>
        <v>0</v>
      </c>
      <c r="V27" s="253"/>
      <c r="W27" s="142"/>
      <c r="Y27" t="e">
        <f>_xlfn.IFNA(VLOOKUP(C27,#REF!,2,FALSE),"")</f>
        <v>#REF!</v>
      </c>
      <c r="Z27" t="e">
        <f>IF(Y27="","",F27)</f>
        <v>#REF!</v>
      </c>
      <c r="AA27" t="e">
        <f>_xlfn.IFNA(VLOOKUP(C27,#REF!,2,FALSE),F27)</f>
        <v>#REF!</v>
      </c>
      <c r="AB27" t="str">
        <f t="shared" ref="AB27" si="14">IF(ISERROR(Y27),"",Y27=Z27)</f>
        <v/>
      </c>
      <c r="AD27" s="108"/>
      <c r="AE27" s="108"/>
    </row>
    <row r="28" spans="1:31">
      <c r="B28" s="364"/>
      <c r="C28" s="364"/>
      <c r="D28" s="365"/>
      <c r="E28" s="366"/>
      <c r="F28" s="298"/>
      <c r="H28" s="364"/>
      <c r="I28" s="364"/>
      <c r="J28" s="364"/>
      <c r="K28" s="367"/>
      <c r="L28" s="367"/>
      <c r="M28" s="367"/>
      <c r="N28" s="300"/>
      <c r="O28" s="301"/>
      <c r="P28" s="301"/>
      <c r="Q28" s="301"/>
      <c r="R28" s="301"/>
      <c r="S28" s="301"/>
      <c r="T28" s="210"/>
      <c r="V28" s="368"/>
      <c r="W28" s="142"/>
      <c r="AD28" s="108"/>
      <c r="AE28" s="108"/>
    </row>
    <row r="29" spans="1:31">
      <c r="B29" s="364"/>
      <c r="C29" s="364"/>
      <c r="D29" s="365"/>
      <c r="E29" s="366"/>
      <c r="F29" s="298"/>
      <c r="H29" s="364"/>
      <c r="I29" s="364"/>
      <c r="J29" s="364"/>
      <c r="K29" s="367"/>
      <c r="L29" s="367"/>
      <c r="M29" s="367"/>
      <c r="N29" s="300"/>
      <c r="O29" s="301"/>
      <c r="P29" s="301"/>
      <c r="Q29" s="301"/>
      <c r="R29" s="301"/>
      <c r="S29" s="301"/>
      <c r="T29" s="210"/>
      <c r="V29" s="368"/>
      <c r="W29" s="142"/>
      <c r="AD29" s="108"/>
      <c r="AE29" s="108"/>
    </row>
    <row r="30" spans="1:31">
      <c r="B30" s="364"/>
      <c r="C30" s="364"/>
      <c r="D30" s="365"/>
      <c r="E30" s="366"/>
      <c r="F30" s="298"/>
      <c r="H30" s="364"/>
      <c r="I30" s="364"/>
      <c r="J30" s="364"/>
      <c r="K30" s="367"/>
      <c r="L30" s="367"/>
      <c r="M30" s="367"/>
      <c r="N30" s="300"/>
      <c r="O30" s="301"/>
      <c r="P30" s="301"/>
      <c r="Q30" s="301"/>
      <c r="R30" s="301"/>
      <c r="S30" s="301"/>
      <c r="T30" s="210"/>
      <c r="V30" s="368"/>
      <c r="W30" s="142"/>
      <c r="AD30" s="108"/>
      <c r="AE30" s="108"/>
    </row>
    <row r="31" spans="1:31">
      <c r="D31" s="142"/>
      <c r="E31" s="142"/>
      <c r="F31" s="314"/>
      <c r="K31" s="142"/>
      <c r="L31" s="142"/>
      <c r="M31" s="142"/>
      <c r="N31" s="317"/>
      <c r="O31" s="299"/>
      <c r="P31" s="299"/>
      <c r="Q31" s="299"/>
      <c r="R31" s="299"/>
      <c r="S31" s="299"/>
      <c r="T31" s="206"/>
      <c r="V31" s="142"/>
      <c r="W31" s="142"/>
      <c r="Y31" t="e">
        <f>_xlfn.IFNA(VLOOKUP(C31,#REF!,2,FALSE),"")</f>
        <v>#REF!</v>
      </c>
      <c r="Z31" t="e">
        <f t="shared" si="10"/>
        <v>#REF!</v>
      </c>
      <c r="AA31" t="e">
        <f>_xlfn.IFNA(VLOOKUP(C31,#REF!,2,FALSE),F31)</f>
        <v>#REF!</v>
      </c>
      <c r="AB31" t="str">
        <f t="shared" si="9"/>
        <v/>
      </c>
      <c r="AD31" s="108"/>
      <c r="AE31" s="108"/>
    </row>
    <row r="32" spans="1:31">
      <c r="B32" s="80" t="s">
        <v>613</v>
      </c>
      <c r="C32" s="80" t="s">
        <v>836</v>
      </c>
      <c r="D32" s="81">
        <v>2641</v>
      </c>
      <c r="E32" s="81" t="s">
        <v>970</v>
      </c>
      <c r="F32" s="202"/>
      <c r="H32" s="80" t="s">
        <v>613</v>
      </c>
      <c r="I32" s="80" t="s">
        <v>634</v>
      </c>
      <c r="J32" s="80" t="s">
        <v>111</v>
      </c>
      <c r="K32" s="81" t="s">
        <v>64</v>
      </c>
      <c r="L32" s="81" t="s">
        <v>625</v>
      </c>
      <c r="M32" s="81">
        <v>2641</v>
      </c>
      <c r="N32" s="162">
        <f t="shared" ref="N32:N42" si="15">F32</f>
        <v>0</v>
      </c>
      <c r="O32" s="176">
        <f t="shared" ref="O32:O43" si="16">(N32*0.4+$I$327*0.42+$I$328*0.18)</f>
        <v>0</v>
      </c>
      <c r="P32" s="176">
        <f t="shared" ref="P32:P43" si="17">N32*0.4+$I$327*0.24+$I$330*0.12+$I$331*0.24</f>
        <v>0</v>
      </c>
      <c r="Q32" s="78">
        <f t="shared" ref="Q32:Q43" si="18">N32*0.5+$I$327*0.15+$I$329*0.1+$I$330*0.25</f>
        <v>0</v>
      </c>
      <c r="R32" s="176">
        <f t="shared" ref="R32:R43" si="19">N32*0.4+$I$327*0.6</f>
        <v>0</v>
      </c>
      <c r="S32" s="176">
        <f t="shared" ref="S32:S43" si="20">(N32*0.4+$I$327*0.36+$I$328*0.24)</f>
        <v>0</v>
      </c>
      <c r="T32" s="176">
        <f t="shared" ref="T32:T43" si="21">(N32*0.44+$I$327*0.45+$I$328*0.11)</f>
        <v>0</v>
      </c>
      <c r="V32" s="253" t="s">
        <v>616</v>
      </c>
      <c r="W32" s="142"/>
      <c r="Y32" t="e">
        <f>_xlfn.IFNA(VLOOKUP(C32,#REF!,2,FALSE),"")</f>
        <v>#REF!</v>
      </c>
      <c r="Z32" t="e">
        <f t="shared" si="10"/>
        <v>#REF!</v>
      </c>
      <c r="AA32" t="e">
        <f>_xlfn.IFNA(VLOOKUP(C32,#REF!,2,FALSE),F32)</f>
        <v>#REF!</v>
      </c>
      <c r="AB32" t="str">
        <f t="shared" si="9"/>
        <v/>
      </c>
      <c r="AD32" s="108"/>
      <c r="AE32" s="108"/>
    </row>
    <row r="33" spans="2:31">
      <c r="B33" s="80" t="s">
        <v>613</v>
      </c>
      <c r="C33" s="80" t="s">
        <v>837</v>
      </c>
      <c r="D33" s="81">
        <v>2609</v>
      </c>
      <c r="E33" s="81">
        <v>2609</v>
      </c>
      <c r="F33" s="202"/>
      <c r="H33" s="80" t="s">
        <v>613</v>
      </c>
      <c r="I33" s="80" t="s">
        <v>635</v>
      </c>
      <c r="J33" s="80" t="s">
        <v>111</v>
      </c>
      <c r="K33" s="81" t="s">
        <v>106</v>
      </c>
      <c r="L33" s="81" t="s">
        <v>626</v>
      </c>
      <c r="M33" s="81">
        <v>2609</v>
      </c>
      <c r="N33" s="162">
        <f t="shared" si="15"/>
        <v>0</v>
      </c>
      <c r="O33" s="78">
        <f t="shared" si="16"/>
        <v>0</v>
      </c>
      <c r="P33" s="78">
        <f t="shared" si="17"/>
        <v>0</v>
      </c>
      <c r="Q33" s="78">
        <f t="shared" si="18"/>
        <v>0</v>
      </c>
      <c r="R33" s="78">
        <f t="shared" si="19"/>
        <v>0</v>
      </c>
      <c r="S33" s="78">
        <f t="shared" si="20"/>
        <v>0</v>
      </c>
      <c r="T33" s="78">
        <f t="shared" si="21"/>
        <v>0</v>
      </c>
      <c r="V33" s="253" t="s">
        <v>617</v>
      </c>
      <c r="W33" s="142"/>
      <c r="Y33" t="e">
        <f>_xlfn.IFNA(VLOOKUP(C33,#REF!,2,FALSE),"")</f>
        <v>#REF!</v>
      </c>
      <c r="Z33" t="e">
        <f t="shared" si="10"/>
        <v>#REF!</v>
      </c>
      <c r="AA33" t="e">
        <f>_xlfn.IFNA(VLOOKUP(C33,#REF!,2,FALSE),F33)</f>
        <v>#REF!</v>
      </c>
      <c r="AB33" t="str">
        <f t="shared" si="9"/>
        <v/>
      </c>
      <c r="AD33" s="108"/>
      <c r="AE33" s="108"/>
    </row>
    <row r="34" spans="2:31">
      <c r="B34" s="80" t="s">
        <v>613</v>
      </c>
      <c r="C34" s="80" t="s">
        <v>838</v>
      </c>
      <c r="D34" s="170" t="s">
        <v>614</v>
      </c>
      <c r="E34" s="81">
        <v>393</v>
      </c>
      <c r="F34" s="202"/>
      <c r="H34" s="80" t="s">
        <v>613</v>
      </c>
      <c r="I34" s="80" t="s">
        <v>636</v>
      </c>
      <c r="J34" s="80" t="s">
        <v>111</v>
      </c>
      <c r="K34" s="81" t="s">
        <v>63</v>
      </c>
      <c r="L34" s="81" t="s">
        <v>627</v>
      </c>
      <c r="M34" s="81" t="s">
        <v>614</v>
      </c>
      <c r="N34" s="162">
        <f t="shared" si="15"/>
        <v>0</v>
      </c>
      <c r="O34" s="78">
        <f t="shared" si="16"/>
        <v>0</v>
      </c>
      <c r="P34" s="78">
        <f t="shared" si="17"/>
        <v>0</v>
      </c>
      <c r="Q34" s="78">
        <f t="shared" si="18"/>
        <v>0</v>
      </c>
      <c r="R34" s="78">
        <f t="shared" si="19"/>
        <v>0</v>
      </c>
      <c r="S34" s="78">
        <f t="shared" si="20"/>
        <v>0</v>
      </c>
      <c r="T34" s="78">
        <f t="shared" si="21"/>
        <v>0</v>
      </c>
      <c r="V34" s="253" t="s">
        <v>618</v>
      </c>
      <c r="W34" s="142"/>
      <c r="Y34" t="e">
        <f>_xlfn.IFNA(VLOOKUP(C34,#REF!,2,FALSE),"")</f>
        <v>#REF!</v>
      </c>
      <c r="Z34" t="e">
        <f t="shared" si="10"/>
        <v>#REF!</v>
      </c>
      <c r="AA34" t="e">
        <f>_xlfn.IFNA(VLOOKUP(C34,#REF!,2,FALSE),F34)</f>
        <v>#REF!</v>
      </c>
      <c r="AB34" t="str">
        <f t="shared" si="9"/>
        <v/>
      </c>
      <c r="AD34" s="108"/>
      <c r="AE34" s="108"/>
    </row>
    <row r="35" spans="2:31">
      <c r="B35" s="80" t="s">
        <v>613</v>
      </c>
      <c r="C35" s="80" t="s">
        <v>839</v>
      </c>
      <c r="D35" s="81">
        <v>6569</v>
      </c>
      <c r="E35" s="81">
        <v>6569</v>
      </c>
      <c r="F35" s="202"/>
      <c r="H35" s="80" t="s">
        <v>613</v>
      </c>
      <c r="I35" s="80" t="s">
        <v>637</v>
      </c>
      <c r="J35" s="80" t="s">
        <v>111</v>
      </c>
      <c r="K35" s="81" t="s">
        <v>62</v>
      </c>
      <c r="L35" s="81" t="s">
        <v>628</v>
      </c>
      <c r="M35" s="81">
        <v>6569</v>
      </c>
      <c r="N35" s="162">
        <f t="shared" si="15"/>
        <v>0</v>
      </c>
      <c r="O35" s="78">
        <f t="shared" si="16"/>
        <v>0</v>
      </c>
      <c r="P35" s="78">
        <f t="shared" si="17"/>
        <v>0</v>
      </c>
      <c r="Q35" s="78">
        <f t="shared" si="18"/>
        <v>0</v>
      </c>
      <c r="R35" s="78">
        <f t="shared" si="19"/>
        <v>0</v>
      </c>
      <c r="S35" s="78">
        <f t="shared" si="20"/>
        <v>0</v>
      </c>
      <c r="T35" s="78">
        <f t="shared" si="21"/>
        <v>0</v>
      </c>
      <c r="V35" s="253" t="s">
        <v>619</v>
      </c>
      <c r="W35" s="142"/>
      <c r="Y35" t="e">
        <f>_xlfn.IFNA(VLOOKUP(C35,#REF!,2,FALSE),"")</f>
        <v>#REF!</v>
      </c>
      <c r="Z35" t="e">
        <f t="shared" si="10"/>
        <v>#REF!</v>
      </c>
      <c r="AA35" t="e">
        <f>_xlfn.IFNA(VLOOKUP(C35,#REF!,2,FALSE),F35)</f>
        <v>#REF!</v>
      </c>
      <c r="AB35" t="str">
        <f t="shared" si="9"/>
        <v/>
      </c>
      <c r="AD35" s="108"/>
      <c r="AE35" s="108"/>
    </row>
    <row r="36" spans="2:31">
      <c r="B36" s="80" t="s">
        <v>613</v>
      </c>
      <c r="C36" s="80" t="s">
        <v>840</v>
      </c>
      <c r="D36" s="81">
        <v>1122</v>
      </c>
      <c r="E36" s="81">
        <v>1122</v>
      </c>
      <c r="F36" s="202"/>
      <c r="H36" s="80" t="s">
        <v>613</v>
      </c>
      <c r="I36" s="80" t="s">
        <v>638</v>
      </c>
      <c r="J36" s="80" t="s">
        <v>111</v>
      </c>
      <c r="K36" s="81" t="s">
        <v>100</v>
      </c>
      <c r="L36" s="81" t="s">
        <v>629</v>
      </c>
      <c r="M36" s="81">
        <v>1122</v>
      </c>
      <c r="N36" s="162">
        <f t="shared" si="15"/>
        <v>0</v>
      </c>
      <c r="O36" s="78">
        <f t="shared" si="16"/>
        <v>0</v>
      </c>
      <c r="P36" s="78">
        <f t="shared" si="17"/>
        <v>0</v>
      </c>
      <c r="Q36" s="78">
        <f t="shared" si="18"/>
        <v>0</v>
      </c>
      <c r="R36" s="78">
        <f t="shared" si="19"/>
        <v>0</v>
      </c>
      <c r="S36" s="78">
        <f t="shared" si="20"/>
        <v>0</v>
      </c>
      <c r="T36" s="78">
        <f t="shared" si="21"/>
        <v>0</v>
      </c>
      <c r="V36" s="253" t="s">
        <v>620</v>
      </c>
      <c r="W36" s="142"/>
      <c r="Y36" t="e">
        <f>_xlfn.IFNA(VLOOKUP(C36,#REF!,2,FALSE),"")</f>
        <v>#REF!</v>
      </c>
      <c r="Z36" t="e">
        <f t="shared" si="10"/>
        <v>#REF!</v>
      </c>
      <c r="AA36" t="e">
        <f>_xlfn.IFNA(VLOOKUP(C36,#REF!,2,FALSE),F36)</f>
        <v>#REF!</v>
      </c>
      <c r="AB36" t="str">
        <f t="shared" si="9"/>
        <v/>
      </c>
      <c r="AD36" s="108"/>
      <c r="AE36" s="108"/>
    </row>
    <row r="37" spans="2:31">
      <c r="B37" s="80" t="s">
        <v>613</v>
      </c>
      <c r="C37" s="80" t="s">
        <v>841</v>
      </c>
      <c r="D37" s="81">
        <v>2571</v>
      </c>
      <c r="E37" s="81">
        <v>2571</v>
      </c>
      <c r="F37" s="202"/>
      <c r="H37" s="80" t="s">
        <v>613</v>
      </c>
      <c r="I37" s="80" t="s">
        <v>639</v>
      </c>
      <c r="J37" s="80" t="s">
        <v>111</v>
      </c>
      <c r="K37" s="81" t="s">
        <v>60</v>
      </c>
      <c r="L37" s="81" t="s">
        <v>630</v>
      </c>
      <c r="M37" s="81">
        <v>2571</v>
      </c>
      <c r="N37" s="162">
        <f t="shared" si="15"/>
        <v>0</v>
      </c>
      <c r="O37" s="78">
        <f t="shared" si="16"/>
        <v>0</v>
      </c>
      <c r="P37" s="78">
        <f t="shared" si="17"/>
        <v>0</v>
      </c>
      <c r="Q37" s="78">
        <f t="shared" si="18"/>
        <v>0</v>
      </c>
      <c r="R37" s="78">
        <f t="shared" si="19"/>
        <v>0</v>
      </c>
      <c r="S37" s="78">
        <f t="shared" si="20"/>
        <v>0</v>
      </c>
      <c r="T37" s="78">
        <f t="shared" si="21"/>
        <v>0</v>
      </c>
      <c r="V37" s="253" t="s">
        <v>621</v>
      </c>
      <c r="W37" s="142"/>
      <c r="Y37" t="e">
        <f>_xlfn.IFNA(VLOOKUP(C37,#REF!,2,FALSE),"")</f>
        <v>#REF!</v>
      </c>
      <c r="Z37" t="e">
        <f t="shared" si="10"/>
        <v>#REF!</v>
      </c>
      <c r="AA37" t="e">
        <f>_xlfn.IFNA(VLOOKUP(C37,#REF!,2,FALSE),F37)</f>
        <v>#REF!</v>
      </c>
      <c r="AB37" t="str">
        <f t="shared" si="9"/>
        <v/>
      </c>
      <c r="AD37" s="108"/>
      <c r="AE37" s="108"/>
    </row>
    <row r="38" spans="2:31">
      <c r="B38" s="80" t="s">
        <v>613</v>
      </c>
      <c r="C38" s="80" t="s">
        <v>842</v>
      </c>
      <c r="D38" s="170" t="s">
        <v>615</v>
      </c>
      <c r="E38" s="81">
        <v>147</v>
      </c>
      <c r="F38" s="202"/>
      <c r="H38" s="80" t="s">
        <v>613</v>
      </c>
      <c r="I38" s="80" t="s">
        <v>640</v>
      </c>
      <c r="J38" s="80" t="s">
        <v>111</v>
      </c>
      <c r="K38" s="81" t="s">
        <v>73</v>
      </c>
      <c r="L38" s="81" t="s">
        <v>631</v>
      </c>
      <c r="M38" s="81" t="s">
        <v>615</v>
      </c>
      <c r="N38" s="162">
        <f t="shared" si="15"/>
        <v>0</v>
      </c>
      <c r="O38" s="78">
        <f t="shared" si="16"/>
        <v>0</v>
      </c>
      <c r="P38" s="78">
        <f t="shared" si="17"/>
        <v>0</v>
      </c>
      <c r="Q38" s="78">
        <f t="shared" si="18"/>
        <v>0</v>
      </c>
      <c r="R38" s="78">
        <f t="shared" si="19"/>
        <v>0</v>
      </c>
      <c r="S38" s="78">
        <f t="shared" si="20"/>
        <v>0</v>
      </c>
      <c r="T38" s="78">
        <f t="shared" si="21"/>
        <v>0</v>
      </c>
      <c r="V38" s="253" t="s">
        <v>622</v>
      </c>
      <c r="W38" s="142"/>
      <c r="Y38" t="e">
        <f>_xlfn.IFNA(VLOOKUP(C38,#REF!,2,FALSE),"")</f>
        <v>#REF!</v>
      </c>
      <c r="Z38" t="e">
        <f t="shared" si="10"/>
        <v>#REF!</v>
      </c>
      <c r="AA38" t="e">
        <f>_xlfn.IFNA(VLOOKUP(C38,#REF!,2,FALSE),F38)</f>
        <v>#REF!</v>
      </c>
      <c r="AB38" t="str">
        <f t="shared" si="9"/>
        <v/>
      </c>
      <c r="AD38" s="108"/>
      <c r="AE38" s="108"/>
    </row>
    <row r="39" spans="2:31">
      <c r="B39" s="80" t="s">
        <v>613</v>
      </c>
      <c r="C39" s="80" t="s">
        <v>843</v>
      </c>
      <c r="D39" s="170" t="s">
        <v>61</v>
      </c>
      <c r="E39" s="81">
        <v>115</v>
      </c>
      <c r="F39" s="202"/>
      <c r="H39" s="80" t="s">
        <v>613</v>
      </c>
      <c r="I39" s="80" t="s">
        <v>641</v>
      </c>
      <c r="J39" s="80" t="s">
        <v>111</v>
      </c>
      <c r="K39" s="81" t="s">
        <v>58</v>
      </c>
      <c r="L39" s="81" t="s">
        <v>632</v>
      </c>
      <c r="M39" s="81" t="s">
        <v>61</v>
      </c>
      <c r="N39" s="162">
        <f t="shared" si="15"/>
        <v>0</v>
      </c>
      <c r="O39" s="78">
        <f t="shared" si="16"/>
        <v>0</v>
      </c>
      <c r="P39" s="78">
        <f t="shared" si="17"/>
        <v>0</v>
      </c>
      <c r="Q39" s="78">
        <f t="shared" si="18"/>
        <v>0</v>
      </c>
      <c r="R39" s="78">
        <f t="shared" si="19"/>
        <v>0</v>
      </c>
      <c r="S39" s="78">
        <f t="shared" si="20"/>
        <v>0</v>
      </c>
      <c r="T39" s="78">
        <f t="shared" si="21"/>
        <v>0</v>
      </c>
      <c r="V39" s="253" t="s">
        <v>623</v>
      </c>
      <c r="W39" s="142"/>
      <c r="Y39" t="e">
        <f>_xlfn.IFNA(VLOOKUP(C39,#REF!,2,FALSE),"")</f>
        <v>#REF!</v>
      </c>
      <c r="Z39" t="e">
        <f t="shared" si="10"/>
        <v>#REF!</v>
      </c>
      <c r="AA39" t="e">
        <f>_xlfn.IFNA(VLOOKUP(C39,#REF!,2,FALSE),F39)</f>
        <v>#REF!</v>
      </c>
      <c r="AB39" t="str">
        <f t="shared" si="9"/>
        <v/>
      </c>
      <c r="AD39" s="108"/>
      <c r="AE39" s="108"/>
    </row>
    <row r="40" spans="2:31">
      <c r="B40" s="80" t="s">
        <v>613</v>
      </c>
      <c r="C40" s="80" t="s">
        <v>844</v>
      </c>
      <c r="D40" s="81">
        <v>1123</v>
      </c>
      <c r="E40" s="81">
        <v>1123</v>
      </c>
      <c r="F40" s="202"/>
      <c r="H40" s="80" t="s">
        <v>613</v>
      </c>
      <c r="I40" s="80" t="s">
        <v>642</v>
      </c>
      <c r="J40" s="80" t="s">
        <v>111</v>
      </c>
      <c r="K40" s="81" t="s">
        <v>114</v>
      </c>
      <c r="L40" s="81" t="s">
        <v>633</v>
      </c>
      <c r="M40" s="81">
        <v>1123</v>
      </c>
      <c r="N40" s="162">
        <f t="shared" si="15"/>
        <v>0</v>
      </c>
      <c r="O40" s="78">
        <f t="shared" si="16"/>
        <v>0</v>
      </c>
      <c r="P40" s="78">
        <f t="shared" si="17"/>
        <v>0</v>
      </c>
      <c r="Q40" s="78">
        <f t="shared" si="18"/>
        <v>0</v>
      </c>
      <c r="R40" s="78">
        <f t="shared" si="19"/>
        <v>0</v>
      </c>
      <c r="S40" s="78">
        <f t="shared" si="20"/>
        <v>0</v>
      </c>
      <c r="T40" s="78">
        <f t="shared" si="21"/>
        <v>0</v>
      </c>
      <c r="V40" s="253" t="s">
        <v>624</v>
      </c>
      <c r="W40" s="142"/>
      <c r="Y40" t="e">
        <f>_xlfn.IFNA(VLOOKUP(C40,#REF!,2,FALSE),"")</f>
        <v>#REF!</v>
      </c>
      <c r="Z40" t="e">
        <f t="shared" si="10"/>
        <v>#REF!</v>
      </c>
      <c r="AA40" t="e">
        <f>_xlfn.IFNA(VLOOKUP(C40,#REF!,2,FALSE),F40)</f>
        <v>#REF!</v>
      </c>
      <c r="AB40" t="str">
        <f t="shared" si="9"/>
        <v/>
      </c>
      <c r="AD40" s="108"/>
      <c r="AE40" s="108"/>
    </row>
    <row r="41" spans="2:31">
      <c r="B41" s="80" t="s">
        <v>613</v>
      </c>
      <c r="C41" s="80" t="s">
        <v>845</v>
      </c>
      <c r="D41" s="81">
        <v>2655</v>
      </c>
      <c r="E41" s="81">
        <v>2655</v>
      </c>
      <c r="F41" s="202"/>
      <c r="H41" s="80" t="s">
        <v>613</v>
      </c>
      <c r="I41" s="80"/>
      <c r="J41" s="80" t="s">
        <v>111</v>
      </c>
      <c r="K41" s="81" t="s">
        <v>56</v>
      </c>
      <c r="L41" s="81" t="s">
        <v>644</v>
      </c>
      <c r="M41" s="81"/>
      <c r="N41" s="162">
        <f t="shared" si="15"/>
        <v>0</v>
      </c>
      <c r="O41" s="78">
        <f t="shared" si="16"/>
        <v>0</v>
      </c>
      <c r="P41" s="78">
        <f t="shared" si="17"/>
        <v>0</v>
      </c>
      <c r="Q41" s="78">
        <f t="shared" si="18"/>
        <v>0</v>
      </c>
      <c r="R41" s="78">
        <f t="shared" si="19"/>
        <v>0</v>
      </c>
      <c r="S41" s="78">
        <f t="shared" si="20"/>
        <v>0</v>
      </c>
      <c r="T41" s="78">
        <f t="shared" si="21"/>
        <v>0</v>
      </c>
      <c r="V41" s="253" t="s">
        <v>643</v>
      </c>
      <c r="W41" s="142"/>
      <c r="Y41" t="e">
        <f>_xlfn.IFNA(VLOOKUP(C41,#REF!,2,FALSE),"")</f>
        <v>#REF!</v>
      </c>
      <c r="Z41" t="e">
        <f t="shared" si="10"/>
        <v>#REF!</v>
      </c>
      <c r="AA41" t="e">
        <f>_xlfn.IFNA(VLOOKUP(C41,#REF!,2,FALSE),F41)</f>
        <v>#REF!</v>
      </c>
      <c r="AB41" t="str">
        <f t="shared" si="9"/>
        <v/>
      </c>
      <c r="AD41" s="108"/>
      <c r="AE41" s="108"/>
    </row>
    <row r="42" spans="2:31">
      <c r="B42" s="80" t="s">
        <v>613</v>
      </c>
      <c r="C42" s="80" t="s">
        <v>1124</v>
      </c>
      <c r="D42" s="81">
        <v>165</v>
      </c>
      <c r="E42" s="81">
        <v>165</v>
      </c>
      <c r="F42" s="202"/>
      <c r="H42" s="80" t="s">
        <v>613</v>
      </c>
      <c r="I42" s="80"/>
      <c r="J42" s="80" t="s">
        <v>111</v>
      </c>
      <c r="K42" s="81" t="s">
        <v>122</v>
      </c>
      <c r="L42" s="81" t="s">
        <v>646</v>
      </c>
      <c r="M42" s="81"/>
      <c r="N42" s="162">
        <f t="shared" si="15"/>
        <v>0</v>
      </c>
      <c r="O42" s="78">
        <f t="shared" si="16"/>
        <v>0</v>
      </c>
      <c r="P42" s="78">
        <f t="shared" si="17"/>
        <v>0</v>
      </c>
      <c r="Q42" s="78">
        <f t="shared" si="18"/>
        <v>0</v>
      </c>
      <c r="R42" s="78">
        <f t="shared" si="19"/>
        <v>0</v>
      </c>
      <c r="S42" s="78">
        <f t="shared" si="20"/>
        <v>0</v>
      </c>
      <c r="T42" s="78">
        <f t="shared" si="21"/>
        <v>0</v>
      </c>
      <c r="V42" s="253" t="s">
        <v>645</v>
      </c>
      <c r="W42" s="142"/>
      <c r="Y42" t="e">
        <f>_xlfn.IFNA(VLOOKUP(C42,#REF!,2,FALSE),"")</f>
        <v>#REF!</v>
      </c>
      <c r="Z42" t="e">
        <f t="shared" si="10"/>
        <v>#REF!</v>
      </c>
      <c r="AA42" t="e">
        <f>_xlfn.IFNA(VLOOKUP(C42,#REF!,2,FALSE),F42)</f>
        <v>#REF!</v>
      </c>
      <c r="AB42" t="str">
        <f t="shared" si="9"/>
        <v/>
      </c>
      <c r="AD42" s="108"/>
      <c r="AE42" s="108"/>
    </row>
    <row r="43" spans="2:31">
      <c r="B43" s="80"/>
      <c r="C43" s="80"/>
      <c r="D43" s="81"/>
      <c r="E43" s="81"/>
      <c r="F43" s="202"/>
      <c r="H43" s="80" t="s">
        <v>613</v>
      </c>
      <c r="I43" s="80"/>
      <c r="J43" s="80" t="s">
        <v>111</v>
      </c>
      <c r="K43" s="81" t="s">
        <v>74</v>
      </c>
      <c r="L43" s="81" t="s">
        <v>686</v>
      </c>
      <c r="M43" s="81"/>
      <c r="N43" s="162">
        <f>$P$382</f>
        <v>0</v>
      </c>
      <c r="O43" s="176">
        <f t="shared" si="16"/>
        <v>0</v>
      </c>
      <c r="P43" s="176">
        <f t="shared" si="17"/>
        <v>0</v>
      </c>
      <c r="Q43" s="78">
        <f t="shared" si="18"/>
        <v>0</v>
      </c>
      <c r="R43" s="176">
        <f t="shared" si="19"/>
        <v>0</v>
      </c>
      <c r="S43" s="176">
        <f t="shared" si="20"/>
        <v>0</v>
      </c>
      <c r="T43" s="78">
        <f t="shared" si="21"/>
        <v>0</v>
      </c>
      <c r="V43" s="253"/>
      <c r="W43" s="142"/>
      <c r="Y43" t="e">
        <f>_xlfn.IFNA(VLOOKUP(C43,#REF!,2,FALSE),"")</f>
        <v>#REF!</v>
      </c>
      <c r="Z43" t="e">
        <f t="shared" si="10"/>
        <v>#REF!</v>
      </c>
      <c r="AA43" t="e">
        <f>_xlfn.IFNA(VLOOKUP(C43,#REF!,2,FALSE),F43)</f>
        <v>#REF!</v>
      </c>
      <c r="AB43" t="str">
        <f t="shared" si="9"/>
        <v/>
      </c>
      <c r="AD43" s="108"/>
      <c r="AE43" s="108"/>
    </row>
    <row r="44" spans="2:31">
      <c r="D44" s="142"/>
      <c r="E44" s="142"/>
      <c r="F44" s="203"/>
      <c r="K44" s="142"/>
      <c r="L44" s="142"/>
      <c r="M44" s="142"/>
      <c r="N44" s="166"/>
      <c r="O44" s="67"/>
      <c r="P44" s="67"/>
      <c r="Q44" s="67"/>
      <c r="R44" s="67"/>
      <c r="S44" s="67"/>
      <c r="T44" s="206"/>
      <c r="V44" s="142"/>
      <c r="W44" s="142"/>
      <c r="Y44" t="e">
        <f>_xlfn.IFNA(VLOOKUP(C44,#REF!,2,FALSE),"")</f>
        <v>#REF!</v>
      </c>
      <c r="Z44" t="e">
        <f t="shared" si="10"/>
        <v>#REF!</v>
      </c>
      <c r="AA44" t="e">
        <f>_xlfn.IFNA(VLOOKUP(C44,#REF!,2,FALSE),F44)</f>
        <v>#REF!</v>
      </c>
      <c r="AB44" t="str">
        <f t="shared" si="9"/>
        <v/>
      </c>
      <c r="AD44" s="108"/>
      <c r="AE44" s="108"/>
    </row>
    <row r="45" spans="2:31">
      <c r="B45" s="80" t="s">
        <v>647</v>
      </c>
      <c r="C45" s="80" t="s">
        <v>64</v>
      </c>
      <c r="D45" s="81">
        <v>4306</v>
      </c>
      <c r="E45" s="81" t="s">
        <v>970</v>
      </c>
      <c r="F45" s="202"/>
      <c r="H45" s="80" t="s">
        <v>647</v>
      </c>
      <c r="I45" s="80"/>
      <c r="J45" s="80" t="s">
        <v>111</v>
      </c>
      <c r="K45" s="81" t="s">
        <v>64</v>
      </c>
      <c r="L45" s="81" t="s">
        <v>661</v>
      </c>
      <c r="M45" s="81"/>
      <c r="N45" s="162">
        <f t="shared" ref="N45:N56" si="22">F45</f>
        <v>0</v>
      </c>
      <c r="O45" s="78">
        <f t="shared" ref="O45:O57" si="23">(N45*0.4+$I$327*0.42+$I$328*0.18)</f>
        <v>0</v>
      </c>
      <c r="P45" s="78">
        <f t="shared" ref="P45:P57" si="24">N45*0.4+$I$327*0.24+$I$330*0.12+$I$331*0.24</f>
        <v>0</v>
      </c>
      <c r="Q45" s="78">
        <f t="shared" ref="Q45:Q57" si="25">N45*0.5+$I$327*0.15+$I$329*0.1+$I$330*0.25</f>
        <v>0</v>
      </c>
      <c r="R45" s="78">
        <f t="shared" ref="R45:R57" si="26">N45*0.4+$I$327*0.6</f>
        <v>0</v>
      </c>
      <c r="S45" s="78">
        <f t="shared" ref="S45:S57" si="27">(N45*0.4+$I$327*0.36+$I$328*0.24)</f>
        <v>0</v>
      </c>
      <c r="T45" s="78">
        <f t="shared" ref="T45:T57" si="28">(N45*0.44+$I$327*0.45+$I$328*0.11)</f>
        <v>0</v>
      </c>
      <c r="V45" s="253" t="s">
        <v>648</v>
      </c>
      <c r="W45" s="142"/>
      <c r="Y45" t="e">
        <f>_xlfn.IFNA(VLOOKUP(C45,#REF!,2,FALSE),"")</f>
        <v>#REF!</v>
      </c>
      <c r="Z45" t="e">
        <f t="shared" si="10"/>
        <v>#REF!</v>
      </c>
      <c r="AA45" t="e">
        <f>_xlfn.IFNA(VLOOKUP(C45,#REF!,2,FALSE),F45)</f>
        <v>#REF!</v>
      </c>
      <c r="AB45" t="str">
        <f t="shared" si="9"/>
        <v/>
      </c>
      <c r="AD45" s="108"/>
      <c r="AE45" s="108"/>
    </row>
    <row r="46" spans="2:31">
      <c r="B46" s="80" t="s">
        <v>647</v>
      </c>
      <c r="C46" s="80" t="s">
        <v>63</v>
      </c>
      <c r="D46" s="81">
        <v>3245</v>
      </c>
      <c r="E46" s="81">
        <v>3245</v>
      </c>
      <c r="F46" s="202"/>
      <c r="H46" s="80" t="s">
        <v>647</v>
      </c>
      <c r="I46" s="80"/>
      <c r="J46" s="80" t="s">
        <v>111</v>
      </c>
      <c r="K46" s="81" t="s">
        <v>63</v>
      </c>
      <c r="L46" s="81" t="s">
        <v>662</v>
      </c>
      <c r="M46" s="81"/>
      <c r="N46" s="162">
        <f t="shared" si="22"/>
        <v>0</v>
      </c>
      <c r="O46" s="78">
        <f t="shared" si="23"/>
        <v>0</v>
      </c>
      <c r="P46" s="78">
        <f t="shared" si="24"/>
        <v>0</v>
      </c>
      <c r="Q46" s="78">
        <f t="shared" si="25"/>
        <v>0</v>
      </c>
      <c r="R46" s="78">
        <f t="shared" si="26"/>
        <v>0</v>
      </c>
      <c r="S46" s="78">
        <f t="shared" si="27"/>
        <v>0</v>
      </c>
      <c r="T46" s="78">
        <f t="shared" si="28"/>
        <v>0</v>
      </c>
      <c r="V46" s="253" t="s">
        <v>649</v>
      </c>
      <c r="W46" s="142"/>
      <c r="Y46" t="e">
        <f>_xlfn.IFNA(VLOOKUP(C46,#REF!,2,FALSE),"")</f>
        <v>#REF!</v>
      </c>
      <c r="Z46" t="e">
        <f t="shared" si="10"/>
        <v>#REF!</v>
      </c>
      <c r="AA46" t="e">
        <f>_xlfn.IFNA(VLOOKUP(C46,#REF!,2,FALSE),F46)</f>
        <v>#REF!</v>
      </c>
      <c r="AB46" t="str">
        <f t="shared" si="9"/>
        <v/>
      </c>
      <c r="AD46" s="108"/>
      <c r="AE46" s="108"/>
    </row>
    <row r="47" spans="2:31">
      <c r="B47" s="80" t="s">
        <v>647</v>
      </c>
      <c r="C47" s="80" t="s">
        <v>62</v>
      </c>
      <c r="D47" s="81">
        <v>3247</v>
      </c>
      <c r="E47" s="81">
        <v>3247</v>
      </c>
      <c r="F47" s="202"/>
      <c r="H47" s="80" t="s">
        <v>647</v>
      </c>
      <c r="I47" s="80"/>
      <c r="J47" s="80" t="s">
        <v>111</v>
      </c>
      <c r="K47" s="81" t="s">
        <v>62</v>
      </c>
      <c r="L47" s="81" t="s">
        <v>663</v>
      </c>
      <c r="M47" s="81"/>
      <c r="N47" s="162">
        <f t="shared" si="22"/>
        <v>0</v>
      </c>
      <c r="O47" s="78">
        <f t="shared" si="23"/>
        <v>0</v>
      </c>
      <c r="P47" s="78">
        <f t="shared" si="24"/>
        <v>0</v>
      </c>
      <c r="Q47" s="78">
        <f t="shared" si="25"/>
        <v>0</v>
      </c>
      <c r="R47" s="78">
        <f t="shared" si="26"/>
        <v>0</v>
      </c>
      <c r="S47" s="78">
        <f t="shared" si="27"/>
        <v>0</v>
      </c>
      <c r="T47" s="78">
        <f t="shared" si="28"/>
        <v>0</v>
      </c>
      <c r="V47" s="253" t="s">
        <v>650</v>
      </c>
      <c r="W47" s="142"/>
      <c r="Y47" t="e">
        <f>_xlfn.IFNA(VLOOKUP(C47,#REF!,2,FALSE),"")</f>
        <v>#REF!</v>
      </c>
      <c r="Z47" t="e">
        <f t="shared" si="10"/>
        <v>#REF!</v>
      </c>
      <c r="AA47" t="e">
        <f>_xlfn.IFNA(VLOOKUP(C47,#REF!,2,FALSE),F47)</f>
        <v>#REF!</v>
      </c>
      <c r="AB47" t="str">
        <f t="shared" si="9"/>
        <v/>
      </c>
      <c r="AD47" s="108"/>
      <c r="AE47" s="108"/>
    </row>
    <row r="48" spans="2:31">
      <c r="B48" s="80" t="s">
        <v>647</v>
      </c>
      <c r="C48" s="80" t="s">
        <v>60</v>
      </c>
      <c r="D48" s="81">
        <v>2769</v>
      </c>
      <c r="E48" s="81">
        <v>2769</v>
      </c>
      <c r="F48" s="202"/>
      <c r="H48" s="80" t="s">
        <v>647</v>
      </c>
      <c r="I48" s="80"/>
      <c r="J48" s="80" t="s">
        <v>111</v>
      </c>
      <c r="K48" s="81" t="s">
        <v>60</v>
      </c>
      <c r="L48" s="81" t="s">
        <v>660</v>
      </c>
      <c r="M48" s="81"/>
      <c r="N48" s="162">
        <f t="shared" si="22"/>
        <v>0</v>
      </c>
      <c r="O48" s="78">
        <f t="shared" si="23"/>
        <v>0</v>
      </c>
      <c r="P48" s="78">
        <f t="shared" si="24"/>
        <v>0</v>
      </c>
      <c r="Q48" s="78">
        <f t="shared" si="25"/>
        <v>0</v>
      </c>
      <c r="R48" s="78">
        <f t="shared" si="26"/>
        <v>0</v>
      </c>
      <c r="S48" s="78">
        <f t="shared" si="27"/>
        <v>0</v>
      </c>
      <c r="T48" s="78">
        <f t="shared" si="28"/>
        <v>0</v>
      </c>
      <c r="V48" s="253" t="s">
        <v>651</v>
      </c>
      <c r="W48" s="142"/>
      <c r="Y48" t="e">
        <f>_xlfn.IFNA(VLOOKUP(C48,#REF!,2,FALSE),"")</f>
        <v>#REF!</v>
      </c>
      <c r="Z48" t="e">
        <f t="shared" si="10"/>
        <v>#REF!</v>
      </c>
      <c r="AA48" t="e">
        <f>_xlfn.IFNA(VLOOKUP(C48,#REF!,2,FALSE),F48)</f>
        <v>#REF!</v>
      </c>
      <c r="AB48" t="str">
        <f t="shared" si="9"/>
        <v/>
      </c>
      <c r="AD48" s="108"/>
      <c r="AE48" s="108"/>
    </row>
    <row r="49" spans="2:31">
      <c r="B49" s="80" t="s">
        <v>647</v>
      </c>
      <c r="C49" s="80" t="s">
        <v>56</v>
      </c>
      <c r="D49" s="81">
        <v>2765</v>
      </c>
      <c r="E49" s="81" t="s">
        <v>970</v>
      </c>
      <c r="F49" s="202"/>
      <c r="H49" s="80" t="s">
        <v>647</v>
      </c>
      <c r="I49" s="80"/>
      <c r="J49" s="80" t="s">
        <v>111</v>
      </c>
      <c r="K49" s="81" t="s">
        <v>56</v>
      </c>
      <c r="L49" s="81" t="s">
        <v>664</v>
      </c>
      <c r="M49" s="81"/>
      <c r="N49" s="162">
        <f t="shared" si="22"/>
        <v>0</v>
      </c>
      <c r="O49" s="78">
        <f t="shared" si="23"/>
        <v>0</v>
      </c>
      <c r="P49" s="78">
        <f t="shared" si="24"/>
        <v>0</v>
      </c>
      <c r="Q49" s="78">
        <f t="shared" si="25"/>
        <v>0</v>
      </c>
      <c r="R49" s="78">
        <f t="shared" si="26"/>
        <v>0</v>
      </c>
      <c r="S49" s="78">
        <f t="shared" si="27"/>
        <v>0</v>
      </c>
      <c r="T49" s="78">
        <f t="shared" si="28"/>
        <v>0</v>
      </c>
      <c r="V49" s="253" t="s">
        <v>652</v>
      </c>
      <c r="W49" s="142"/>
      <c r="Y49" t="e">
        <f>_xlfn.IFNA(VLOOKUP(C49,#REF!,2,FALSE),"")</f>
        <v>#REF!</v>
      </c>
      <c r="Z49" t="e">
        <f t="shared" si="10"/>
        <v>#REF!</v>
      </c>
      <c r="AA49" t="e">
        <f>_xlfn.IFNA(VLOOKUP(C49,#REF!,2,FALSE),F49)</f>
        <v>#REF!</v>
      </c>
      <c r="AB49" t="str">
        <f t="shared" si="9"/>
        <v/>
      </c>
      <c r="AD49" s="108"/>
      <c r="AE49" s="108"/>
    </row>
    <row r="50" spans="2:31">
      <c r="B50" s="80" t="s">
        <v>647</v>
      </c>
      <c r="C50" s="80" t="s">
        <v>73</v>
      </c>
      <c r="D50" s="81">
        <v>6455</v>
      </c>
      <c r="E50" s="81">
        <v>6455</v>
      </c>
      <c r="F50" s="202"/>
      <c r="H50" s="80" t="s">
        <v>647</v>
      </c>
      <c r="I50" s="80"/>
      <c r="J50" s="80" t="s">
        <v>111</v>
      </c>
      <c r="K50" s="81" t="s">
        <v>73</v>
      </c>
      <c r="L50" s="81" t="s">
        <v>665</v>
      </c>
      <c r="M50" s="81"/>
      <c r="N50" s="162">
        <f t="shared" si="22"/>
        <v>0</v>
      </c>
      <c r="O50" s="78">
        <f t="shared" si="23"/>
        <v>0</v>
      </c>
      <c r="P50" s="78">
        <f t="shared" si="24"/>
        <v>0</v>
      </c>
      <c r="Q50" s="78">
        <f t="shared" si="25"/>
        <v>0</v>
      </c>
      <c r="R50" s="78">
        <f t="shared" si="26"/>
        <v>0</v>
      </c>
      <c r="S50" s="78">
        <f t="shared" si="27"/>
        <v>0</v>
      </c>
      <c r="T50" s="78">
        <f t="shared" si="28"/>
        <v>0</v>
      </c>
      <c r="V50" s="253" t="s">
        <v>653</v>
      </c>
      <c r="W50" s="142"/>
      <c r="Y50" t="e">
        <f>_xlfn.IFNA(VLOOKUP(C50,#REF!,2,FALSE),"")</f>
        <v>#REF!</v>
      </c>
      <c r="Z50" t="e">
        <f t="shared" si="10"/>
        <v>#REF!</v>
      </c>
      <c r="AA50" t="e">
        <f>_xlfn.IFNA(VLOOKUP(C50,#REF!,2,FALSE),F50)</f>
        <v>#REF!</v>
      </c>
      <c r="AB50" t="str">
        <f t="shared" si="9"/>
        <v/>
      </c>
      <c r="AD50" s="108"/>
      <c r="AE50" s="108"/>
    </row>
    <row r="51" spans="2:31">
      <c r="B51" s="80" t="s">
        <v>647</v>
      </c>
      <c r="C51" s="80" t="s">
        <v>81</v>
      </c>
      <c r="D51" s="81">
        <v>3534</v>
      </c>
      <c r="E51" s="81">
        <v>3534</v>
      </c>
      <c r="F51" s="202"/>
      <c r="H51" s="80" t="s">
        <v>647</v>
      </c>
      <c r="I51" s="80"/>
      <c r="J51" s="80" t="s">
        <v>111</v>
      </c>
      <c r="K51" s="81" t="s">
        <v>81</v>
      </c>
      <c r="L51" s="81" t="s">
        <v>672</v>
      </c>
      <c r="M51" s="81"/>
      <c r="N51" s="162">
        <f t="shared" si="22"/>
        <v>0</v>
      </c>
      <c r="O51" s="78">
        <f t="shared" si="23"/>
        <v>0</v>
      </c>
      <c r="P51" s="78">
        <f t="shared" si="24"/>
        <v>0</v>
      </c>
      <c r="Q51" s="78">
        <f t="shared" si="25"/>
        <v>0</v>
      </c>
      <c r="R51" s="78">
        <f t="shared" si="26"/>
        <v>0</v>
      </c>
      <c r="S51" s="78">
        <f t="shared" si="27"/>
        <v>0</v>
      </c>
      <c r="T51" s="78">
        <f t="shared" si="28"/>
        <v>0</v>
      </c>
      <c r="V51" s="253" t="s">
        <v>654</v>
      </c>
      <c r="W51" s="142"/>
      <c r="Y51" t="e">
        <f>_xlfn.IFNA(VLOOKUP(C51,#REF!,2,FALSE),"")</f>
        <v>#REF!</v>
      </c>
      <c r="Z51" t="e">
        <f t="shared" si="10"/>
        <v>#REF!</v>
      </c>
      <c r="AA51" t="e">
        <f>_xlfn.IFNA(VLOOKUP(C51,#REF!,2,FALSE),F51)</f>
        <v>#REF!</v>
      </c>
      <c r="AB51" t="str">
        <f t="shared" si="9"/>
        <v/>
      </c>
      <c r="AD51" s="108"/>
      <c r="AE51" s="108"/>
    </row>
    <row r="52" spans="2:31">
      <c r="B52" s="80" t="s">
        <v>647</v>
      </c>
      <c r="C52" s="80" t="s">
        <v>114</v>
      </c>
      <c r="D52" s="81">
        <v>9095</v>
      </c>
      <c r="E52" s="81" t="s">
        <v>970</v>
      </c>
      <c r="F52" s="202"/>
      <c r="H52" s="80" t="s">
        <v>647</v>
      </c>
      <c r="I52" s="80"/>
      <c r="J52" s="80" t="s">
        <v>111</v>
      </c>
      <c r="K52" s="81" t="s">
        <v>114</v>
      </c>
      <c r="L52" s="81" t="s">
        <v>666</v>
      </c>
      <c r="M52" s="81"/>
      <c r="N52" s="162">
        <f t="shared" si="22"/>
        <v>0</v>
      </c>
      <c r="O52" s="78">
        <f t="shared" si="23"/>
        <v>0</v>
      </c>
      <c r="P52" s="78">
        <f t="shared" si="24"/>
        <v>0</v>
      </c>
      <c r="Q52" s="78">
        <f t="shared" si="25"/>
        <v>0</v>
      </c>
      <c r="R52" s="78">
        <f t="shared" si="26"/>
        <v>0</v>
      </c>
      <c r="S52" s="78">
        <f t="shared" si="27"/>
        <v>0</v>
      </c>
      <c r="T52" s="78">
        <f t="shared" si="28"/>
        <v>0</v>
      </c>
      <c r="V52" s="253" t="s">
        <v>655</v>
      </c>
      <c r="W52" s="142"/>
      <c r="Y52" t="e">
        <f>_xlfn.IFNA(VLOOKUP(C52,#REF!,2,FALSE),"")</f>
        <v>#REF!</v>
      </c>
      <c r="Z52" t="e">
        <f t="shared" si="10"/>
        <v>#REF!</v>
      </c>
      <c r="AA52" t="e">
        <f>_xlfn.IFNA(VLOOKUP(C52,#REF!,2,FALSE),F52)</f>
        <v>#REF!</v>
      </c>
      <c r="AB52" t="str">
        <f t="shared" si="9"/>
        <v/>
      </c>
      <c r="AD52" s="108"/>
      <c r="AE52" s="108"/>
    </row>
    <row r="53" spans="2:31">
      <c r="B53" s="80" t="s">
        <v>647</v>
      </c>
      <c r="C53" s="80" t="s">
        <v>100</v>
      </c>
      <c r="D53" s="81"/>
      <c r="E53" s="81" t="s">
        <v>970</v>
      </c>
      <c r="F53" s="202"/>
      <c r="H53" s="80" t="s">
        <v>647</v>
      </c>
      <c r="I53" s="80"/>
      <c r="J53" s="80" t="s">
        <v>111</v>
      </c>
      <c r="K53" s="81" t="s">
        <v>100</v>
      </c>
      <c r="L53" s="81" t="s">
        <v>667</v>
      </c>
      <c r="M53" s="81"/>
      <c r="N53" s="162">
        <f t="shared" si="22"/>
        <v>0</v>
      </c>
      <c r="O53" s="78">
        <f t="shared" si="23"/>
        <v>0</v>
      </c>
      <c r="P53" s="78">
        <f t="shared" si="24"/>
        <v>0</v>
      </c>
      <c r="Q53" s="78">
        <f t="shared" si="25"/>
        <v>0</v>
      </c>
      <c r="R53" s="78">
        <f t="shared" si="26"/>
        <v>0</v>
      </c>
      <c r="S53" s="78">
        <f t="shared" si="27"/>
        <v>0</v>
      </c>
      <c r="T53" s="78">
        <f t="shared" si="28"/>
        <v>0</v>
      </c>
      <c r="V53" s="253" t="s">
        <v>656</v>
      </c>
      <c r="W53" s="142"/>
      <c r="Y53" t="e">
        <f>_xlfn.IFNA(VLOOKUP(C53,#REF!,2,FALSE),"")</f>
        <v>#REF!</v>
      </c>
      <c r="Z53" t="e">
        <f t="shared" si="10"/>
        <v>#REF!</v>
      </c>
      <c r="AA53" t="e">
        <f>_xlfn.IFNA(VLOOKUP(C53,#REF!,2,FALSE),F53)</f>
        <v>#REF!</v>
      </c>
      <c r="AB53" t="str">
        <f t="shared" si="9"/>
        <v/>
      </c>
      <c r="AD53" s="108"/>
      <c r="AE53" s="108"/>
    </row>
    <row r="54" spans="2:31">
      <c r="B54" s="80" t="s">
        <v>647</v>
      </c>
      <c r="C54" s="80" t="s">
        <v>59</v>
      </c>
      <c r="D54" s="81"/>
      <c r="E54" s="81" t="s">
        <v>970</v>
      </c>
      <c r="F54" s="202"/>
      <c r="H54" s="80" t="s">
        <v>647</v>
      </c>
      <c r="I54" s="80"/>
      <c r="J54" s="80" t="s">
        <v>111</v>
      </c>
      <c r="K54" s="81" t="s">
        <v>59</v>
      </c>
      <c r="L54" s="81" t="s">
        <v>668</v>
      </c>
      <c r="M54" s="81"/>
      <c r="N54" s="162">
        <f t="shared" si="22"/>
        <v>0</v>
      </c>
      <c r="O54" s="78">
        <f t="shared" si="23"/>
        <v>0</v>
      </c>
      <c r="P54" s="78">
        <f t="shared" si="24"/>
        <v>0</v>
      </c>
      <c r="Q54" s="78">
        <f t="shared" si="25"/>
        <v>0</v>
      </c>
      <c r="R54" s="78">
        <f t="shared" si="26"/>
        <v>0</v>
      </c>
      <c r="S54" s="78">
        <f t="shared" si="27"/>
        <v>0</v>
      </c>
      <c r="T54" s="78">
        <f t="shared" si="28"/>
        <v>0</v>
      </c>
      <c r="V54" s="253" t="s">
        <v>657</v>
      </c>
      <c r="W54" s="142"/>
      <c r="Y54" t="e">
        <f>_xlfn.IFNA(VLOOKUP(C54,#REF!,2,FALSE),"")</f>
        <v>#REF!</v>
      </c>
      <c r="Z54" t="e">
        <f t="shared" si="10"/>
        <v>#REF!</v>
      </c>
      <c r="AA54" t="e">
        <f>_xlfn.IFNA(VLOOKUP(C54,#REF!,2,FALSE),F54)</f>
        <v>#REF!</v>
      </c>
      <c r="AB54" t="str">
        <f t="shared" si="9"/>
        <v/>
      </c>
      <c r="AD54" s="108"/>
      <c r="AE54" s="108"/>
    </row>
    <row r="55" spans="2:31">
      <c r="B55" s="80" t="s">
        <v>647</v>
      </c>
      <c r="C55" s="80" t="s">
        <v>106</v>
      </c>
      <c r="D55" s="81">
        <v>2909</v>
      </c>
      <c r="E55" s="81">
        <v>2909</v>
      </c>
      <c r="F55" s="202"/>
      <c r="H55" s="80" t="s">
        <v>647</v>
      </c>
      <c r="I55" s="80"/>
      <c r="J55" s="80" t="s">
        <v>111</v>
      </c>
      <c r="K55" s="81" t="s">
        <v>106</v>
      </c>
      <c r="L55" s="81" t="s">
        <v>669</v>
      </c>
      <c r="M55" s="81"/>
      <c r="N55" s="162">
        <f t="shared" si="22"/>
        <v>0</v>
      </c>
      <c r="O55" s="78">
        <f t="shared" si="23"/>
        <v>0</v>
      </c>
      <c r="P55" s="78">
        <f t="shared" si="24"/>
        <v>0</v>
      </c>
      <c r="Q55" s="78">
        <f t="shared" si="25"/>
        <v>0</v>
      </c>
      <c r="R55" s="78">
        <f t="shared" si="26"/>
        <v>0</v>
      </c>
      <c r="S55" s="78">
        <f t="shared" si="27"/>
        <v>0</v>
      </c>
      <c r="T55" s="78">
        <f t="shared" si="28"/>
        <v>0</v>
      </c>
      <c r="V55" s="253" t="s">
        <v>658</v>
      </c>
      <c r="W55" s="142"/>
      <c r="Y55" t="e">
        <f>_xlfn.IFNA(VLOOKUP(C55,#REF!,2,FALSE),"")</f>
        <v>#REF!</v>
      </c>
      <c r="Z55" t="e">
        <f t="shared" si="10"/>
        <v>#REF!</v>
      </c>
      <c r="AA55" t="e">
        <f>_xlfn.IFNA(VLOOKUP(C55,#REF!,2,FALSE),F55)</f>
        <v>#REF!</v>
      </c>
      <c r="AB55" t="str">
        <f t="shared" si="9"/>
        <v/>
      </c>
      <c r="AD55" s="108"/>
      <c r="AE55" s="108"/>
    </row>
    <row r="56" spans="2:31">
      <c r="B56" s="80" t="s">
        <v>647</v>
      </c>
      <c r="C56" s="80" t="s">
        <v>671</v>
      </c>
      <c r="D56" s="81"/>
      <c r="E56" s="81" t="s">
        <v>970</v>
      </c>
      <c r="F56" s="202"/>
      <c r="H56" s="80" t="s">
        <v>647</v>
      </c>
      <c r="I56" s="80"/>
      <c r="J56" s="80" t="s">
        <v>111</v>
      </c>
      <c r="K56" s="81" t="s">
        <v>671</v>
      </c>
      <c r="L56" s="81" t="s">
        <v>670</v>
      </c>
      <c r="M56" s="81"/>
      <c r="N56" s="162">
        <f t="shared" si="22"/>
        <v>0</v>
      </c>
      <c r="O56" s="78">
        <f t="shared" si="23"/>
        <v>0</v>
      </c>
      <c r="P56" s="78">
        <f t="shared" si="24"/>
        <v>0</v>
      </c>
      <c r="Q56" s="78">
        <f t="shared" si="25"/>
        <v>0</v>
      </c>
      <c r="R56" s="78">
        <f t="shared" si="26"/>
        <v>0</v>
      </c>
      <c r="S56" s="78">
        <f t="shared" si="27"/>
        <v>0</v>
      </c>
      <c r="T56" s="78">
        <f t="shared" si="28"/>
        <v>0</v>
      </c>
      <c r="V56" s="253" t="s">
        <v>659</v>
      </c>
      <c r="W56" s="142"/>
      <c r="Y56" t="e">
        <f>_xlfn.IFNA(VLOOKUP(C56,#REF!,2,FALSE),"")</f>
        <v>#REF!</v>
      </c>
      <c r="Z56" t="e">
        <f t="shared" si="10"/>
        <v>#REF!</v>
      </c>
      <c r="AA56" t="e">
        <f>_xlfn.IFNA(VLOOKUP(C56,#REF!,2,FALSE),F56)</f>
        <v>#REF!</v>
      </c>
      <c r="AB56" t="str">
        <f t="shared" si="9"/>
        <v/>
      </c>
      <c r="AD56" s="108"/>
      <c r="AE56" s="108"/>
    </row>
    <row r="57" spans="2:31">
      <c r="B57" s="80"/>
      <c r="C57" s="80"/>
      <c r="D57" s="81"/>
      <c r="E57" s="81"/>
      <c r="F57" s="202"/>
      <c r="H57" s="80" t="s">
        <v>647</v>
      </c>
      <c r="I57" s="80"/>
      <c r="J57" s="80" t="s">
        <v>111</v>
      </c>
      <c r="K57" s="81" t="s">
        <v>74</v>
      </c>
      <c r="L57" s="81" t="s">
        <v>688</v>
      </c>
      <c r="M57" s="81"/>
      <c r="N57" s="162">
        <f>$P$391</f>
        <v>0</v>
      </c>
      <c r="O57" s="176">
        <f t="shared" si="23"/>
        <v>0</v>
      </c>
      <c r="P57" s="176">
        <f t="shared" si="24"/>
        <v>0</v>
      </c>
      <c r="Q57" s="78">
        <f t="shared" si="25"/>
        <v>0</v>
      </c>
      <c r="R57" s="176">
        <f t="shared" si="26"/>
        <v>0</v>
      </c>
      <c r="S57" s="176">
        <f t="shared" si="27"/>
        <v>0</v>
      </c>
      <c r="T57" s="78">
        <f t="shared" si="28"/>
        <v>0</v>
      </c>
      <c r="V57" s="253"/>
      <c r="W57" s="142"/>
      <c r="Y57" t="e">
        <f>_xlfn.IFNA(VLOOKUP(C57,#REF!,2,FALSE),"")</f>
        <v>#REF!</v>
      </c>
      <c r="Z57" t="e">
        <f t="shared" si="10"/>
        <v>#REF!</v>
      </c>
      <c r="AA57" t="e">
        <f>_xlfn.IFNA(VLOOKUP(C57,#REF!,2,FALSE),F57)</f>
        <v>#REF!</v>
      </c>
      <c r="AB57" t="str">
        <f t="shared" si="9"/>
        <v/>
      </c>
      <c r="AD57" s="108"/>
      <c r="AE57" s="108"/>
    </row>
    <row r="58" spans="2:31">
      <c r="B58" s="80"/>
      <c r="C58" s="80"/>
      <c r="D58" s="81"/>
      <c r="E58" s="81"/>
      <c r="F58" s="202"/>
      <c r="H58" s="80"/>
      <c r="I58" s="80"/>
      <c r="J58" s="80"/>
      <c r="K58" s="81"/>
      <c r="L58" s="81"/>
      <c r="M58" s="81"/>
      <c r="N58" s="162"/>
      <c r="O58" s="176"/>
      <c r="P58" s="176"/>
      <c r="Q58" s="176"/>
      <c r="R58" s="176"/>
      <c r="S58" s="176"/>
      <c r="T58" s="78"/>
      <c r="V58" s="253"/>
      <c r="W58" s="142"/>
      <c r="Y58" t="e">
        <f>_xlfn.IFNA(VLOOKUP(C58,#REF!,2,FALSE),"")</f>
        <v>#REF!</v>
      </c>
      <c r="Z58" t="e">
        <f t="shared" si="10"/>
        <v>#REF!</v>
      </c>
      <c r="AA58" t="e">
        <f>_xlfn.IFNA(VLOOKUP(C58,#REF!,2,FALSE),F58)</f>
        <v>#REF!</v>
      </c>
      <c r="AB58" t="str">
        <f t="shared" si="9"/>
        <v/>
      </c>
      <c r="AD58" s="108"/>
      <c r="AE58" s="108"/>
    </row>
    <row r="59" spans="2:31">
      <c r="B59" s="80"/>
      <c r="C59" s="80"/>
      <c r="D59" s="81"/>
      <c r="E59" s="81"/>
      <c r="F59" s="202"/>
      <c r="H59" s="80"/>
      <c r="I59" s="80"/>
      <c r="J59" s="80"/>
      <c r="K59" s="81"/>
      <c r="L59" s="81"/>
      <c r="M59" s="81"/>
      <c r="N59" s="162"/>
      <c r="O59" s="176"/>
      <c r="P59" s="176"/>
      <c r="Q59" s="176"/>
      <c r="R59" s="176"/>
      <c r="S59" s="176"/>
      <c r="T59" s="78"/>
      <c r="V59" s="253"/>
      <c r="W59" s="142"/>
      <c r="Y59" t="e">
        <f>_xlfn.IFNA(VLOOKUP(C59,#REF!,2,FALSE),"")</f>
        <v>#REF!</v>
      </c>
      <c r="Z59" t="e">
        <f t="shared" si="10"/>
        <v>#REF!</v>
      </c>
      <c r="AA59" t="e">
        <f>_xlfn.IFNA(VLOOKUP(C59,#REF!,2,FALSE),F59)</f>
        <v>#REF!</v>
      </c>
      <c r="AB59" t="str">
        <f t="shared" si="9"/>
        <v/>
      </c>
      <c r="AD59" s="108"/>
      <c r="AE59" s="108"/>
    </row>
    <row r="60" spans="2:31">
      <c r="B60" s="80"/>
      <c r="C60" s="80"/>
      <c r="D60" s="81"/>
      <c r="E60" s="81"/>
      <c r="F60" s="202"/>
      <c r="H60" s="80"/>
      <c r="I60" s="80"/>
      <c r="J60" s="80"/>
      <c r="K60" s="81"/>
      <c r="L60" s="81"/>
      <c r="M60" s="81"/>
      <c r="N60" s="162"/>
      <c r="O60" s="176"/>
      <c r="P60" s="176"/>
      <c r="Q60" s="176"/>
      <c r="R60" s="176"/>
      <c r="S60" s="176"/>
      <c r="T60" s="78"/>
      <c r="V60" s="253"/>
      <c r="W60" s="142"/>
      <c r="Y60" t="e">
        <f>_xlfn.IFNA(VLOOKUP(C60,#REF!,2,FALSE),"")</f>
        <v>#REF!</v>
      </c>
      <c r="Z60" t="e">
        <f t="shared" si="10"/>
        <v>#REF!</v>
      </c>
      <c r="AA60" t="e">
        <f>_xlfn.IFNA(VLOOKUP(C60,#REF!,2,FALSE),F60)</f>
        <v>#REF!</v>
      </c>
      <c r="AB60" t="str">
        <f t="shared" si="9"/>
        <v/>
      </c>
      <c r="AD60" s="108"/>
      <c r="AE60" s="108"/>
    </row>
    <row r="61" spans="2:31">
      <c r="B61" s="312" t="s">
        <v>809</v>
      </c>
      <c r="C61" s="313"/>
      <c r="D61" s="311"/>
      <c r="E61" s="205"/>
      <c r="F61" s="315"/>
      <c r="K61" s="142"/>
      <c r="L61" s="142"/>
      <c r="M61" s="142"/>
      <c r="N61" s="317"/>
      <c r="O61" s="299"/>
      <c r="P61" s="299"/>
      <c r="Q61" s="299"/>
      <c r="R61" s="299"/>
      <c r="S61" s="299"/>
      <c r="T61" s="207"/>
      <c r="V61" s="205"/>
      <c r="Y61" t="e">
        <f>_xlfn.IFNA(VLOOKUP(C61,#REF!,2,FALSE),"")</f>
        <v>#REF!</v>
      </c>
      <c r="Z61" t="e">
        <f t="shared" si="10"/>
        <v>#REF!</v>
      </c>
      <c r="AA61" t="e">
        <f>_xlfn.IFNA(VLOOKUP(C61,#REF!,2,FALSE),F61)</f>
        <v>#REF!</v>
      </c>
      <c r="AB61" t="str">
        <f t="shared" si="9"/>
        <v/>
      </c>
      <c r="AD61" s="108"/>
      <c r="AE61" s="108"/>
    </row>
    <row r="62" spans="2:31">
      <c r="B62" s="82" t="s">
        <v>126</v>
      </c>
      <c r="C62" s="83" t="s">
        <v>143</v>
      </c>
      <c r="D62" s="83" t="s">
        <v>152</v>
      </c>
      <c r="E62" s="82">
        <v>1000</v>
      </c>
      <c r="F62" s="202"/>
      <c r="H62" s="95" t="s">
        <v>77</v>
      </c>
      <c r="I62" s="96" t="s">
        <v>143</v>
      </c>
      <c r="J62" s="96" t="s">
        <v>111</v>
      </c>
      <c r="K62" s="96" t="s">
        <v>56</v>
      </c>
      <c r="L62" s="96" t="s">
        <v>256</v>
      </c>
      <c r="M62" s="95"/>
      <c r="N62" s="162">
        <f t="shared" ref="N62:N83" si="29">F62</f>
        <v>0</v>
      </c>
      <c r="O62" s="97">
        <f t="shared" ref="O62:O84" si="30">(N62*0.4+$I$327*0.42+$I$328*0.18)</f>
        <v>0</v>
      </c>
      <c r="P62" s="97">
        <f t="shared" ref="P62:P84" si="31">N62*0.4+$I$327*0.24+$I$330*0.12+$I$331*0.24</f>
        <v>0</v>
      </c>
      <c r="Q62" s="78">
        <f t="shared" ref="Q62:Q84" si="32">N62*0.5+$I$327*0.15+$I$329*0.1+$I$330*0.25</f>
        <v>0</v>
      </c>
      <c r="R62" s="97">
        <f t="shared" ref="R62:R84" si="33">N62*0.4+$I$327*0.6</f>
        <v>0</v>
      </c>
      <c r="S62" s="97">
        <f t="shared" ref="S62:S84" si="34">(N62*0.4+$I$327*0.36+$I$328*0.24)</f>
        <v>0</v>
      </c>
      <c r="T62" s="176">
        <f t="shared" ref="T62:T84" si="35">(N62*0.44+$I$327*0.45+$I$328*0.11)</f>
        <v>0</v>
      </c>
      <c r="V62" s="256" t="s">
        <v>443</v>
      </c>
      <c r="Y62" t="e">
        <f>_xlfn.IFNA(VLOOKUP(C62,#REF!,2,FALSE),"")</f>
        <v>#REF!</v>
      </c>
      <c r="Z62" t="e">
        <f t="shared" si="10"/>
        <v>#REF!</v>
      </c>
      <c r="AA62" t="e">
        <f>_xlfn.IFNA(VLOOKUP(C62,#REF!,2,FALSE),F62)</f>
        <v>#REF!</v>
      </c>
      <c r="AB62" t="str">
        <f t="shared" si="9"/>
        <v/>
      </c>
      <c r="AD62" s="108"/>
      <c r="AE62" s="108"/>
    </row>
    <row r="63" spans="2:31">
      <c r="B63" s="82" t="s">
        <v>126</v>
      </c>
      <c r="C63" s="83" t="s">
        <v>140</v>
      </c>
      <c r="D63" s="83"/>
      <c r="E63" s="82" t="s">
        <v>1021</v>
      </c>
      <c r="F63" s="202"/>
      <c r="H63" s="95" t="s">
        <v>77</v>
      </c>
      <c r="I63" s="96" t="s">
        <v>140</v>
      </c>
      <c r="J63" s="96" t="s">
        <v>111</v>
      </c>
      <c r="K63" s="96" t="s">
        <v>73</v>
      </c>
      <c r="L63" s="96" t="s">
        <v>257</v>
      </c>
      <c r="M63" s="95"/>
      <c r="N63" s="162">
        <f t="shared" si="29"/>
        <v>0</v>
      </c>
      <c r="O63" s="97">
        <f t="shared" si="30"/>
        <v>0</v>
      </c>
      <c r="P63" s="97">
        <f t="shared" si="31"/>
        <v>0</v>
      </c>
      <c r="Q63" s="78">
        <f t="shared" si="32"/>
        <v>0</v>
      </c>
      <c r="R63" s="97">
        <f t="shared" si="33"/>
        <v>0</v>
      </c>
      <c r="S63" s="97">
        <f t="shared" si="34"/>
        <v>0</v>
      </c>
      <c r="T63" s="78">
        <f t="shared" si="35"/>
        <v>0</v>
      </c>
      <c r="V63" s="256" t="s">
        <v>444</v>
      </c>
      <c r="Y63" t="e">
        <f>_xlfn.IFNA(VLOOKUP(C63,#REF!,2,FALSE),"")</f>
        <v>#REF!</v>
      </c>
      <c r="Z63" t="e">
        <f t="shared" si="10"/>
        <v>#REF!</v>
      </c>
      <c r="AA63" t="e">
        <f>_xlfn.IFNA(VLOOKUP(C63,#REF!,2,FALSE),F63)</f>
        <v>#REF!</v>
      </c>
      <c r="AB63" t="str">
        <f t="shared" si="9"/>
        <v/>
      </c>
      <c r="AD63" s="108"/>
      <c r="AE63" s="108"/>
    </row>
    <row r="64" spans="2:31">
      <c r="B64" s="82" t="s">
        <v>126</v>
      </c>
      <c r="C64" s="83" t="s">
        <v>138</v>
      </c>
      <c r="D64" s="83">
        <v>115</v>
      </c>
      <c r="E64" s="82" t="s">
        <v>971</v>
      </c>
      <c r="F64" s="202"/>
      <c r="H64" s="95" t="s">
        <v>77</v>
      </c>
      <c r="I64" s="96" t="s">
        <v>138</v>
      </c>
      <c r="J64" s="96" t="s">
        <v>111</v>
      </c>
      <c r="K64" s="96" t="s">
        <v>64</v>
      </c>
      <c r="L64" s="96" t="s">
        <v>258</v>
      </c>
      <c r="M64" s="95"/>
      <c r="N64" s="162">
        <f t="shared" si="29"/>
        <v>0</v>
      </c>
      <c r="O64" s="97">
        <f t="shared" si="30"/>
        <v>0</v>
      </c>
      <c r="P64" s="97">
        <f t="shared" si="31"/>
        <v>0</v>
      </c>
      <c r="Q64" s="78">
        <f t="shared" si="32"/>
        <v>0</v>
      </c>
      <c r="R64" s="97">
        <f t="shared" si="33"/>
        <v>0</v>
      </c>
      <c r="S64" s="97">
        <f t="shared" si="34"/>
        <v>0</v>
      </c>
      <c r="T64" s="78">
        <f t="shared" si="35"/>
        <v>0</v>
      </c>
      <c r="V64" s="256" t="s">
        <v>445</v>
      </c>
      <c r="Y64" t="e">
        <f>_xlfn.IFNA(VLOOKUP(C64,#REF!,2,FALSE),"")</f>
        <v>#REF!</v>
      </c>
      <c r="Z64" t="e">
        <f t="shared" si="10"/>
        <v>#REF!</v>
      </c>
      <c r="AA64" t="e">
        <f>_xlfn.IFNA(VLOOKUP(C64,#REF!,2,FALSE),F64)</f>
        <v>#REF!</v>
      </c>
      <c r="AB64" t="str">
        <f t="shared" si="9"/>
        <v/>
      </c>
      <c r="AD64" s="108"/>
      <c r="AE64" s="108"/>
    </row>
    <row r="65" spans="2:31">
      <c r="B65" s="82" t="s">
        <v>126</v>
      </c>
      <c r="C65" s="83" t="s">
        <v>136</v>
      </c>
      <c r="D65" s="83">
        <v>230</v>
      </c>
      <c r="E65" s="82">
        <v>230</v>
      </c>
      <c r="F65" s="202"/>
      <c r="H65" s="95" t="s">
        <v>77</v>
      </c>
      <c r="I65" s="96" t="s">
        <v>136</v>
      </c>
      <c r="J65" s="96" t="s">
        <v>111</v>
      </c>
      <c r="K65" s="96" t="s">
        <v>423</v>
      </c>
      <c r="L65" s="96" t="s">
        <v>259</v>
      </c>
      <c r="M65" s="95"/>
      <c r="N65" s="162">
        <f t="shared" si="29"/>
        <v>0</v>
      </c>
      <c r="O65" s="97">
        <f t="shared" si="30"/>
        <v>0</v>
      </c>
      <c r="P65" s="97">
        <f t="shared" si="31"/>
        <v>0</v>
      </c>
      <c r="Q65" s="78">
        <f t="shared" si="32"/>
        <v>0</v>
      </c>
      <c r="R65" s="97">
        <f t="shared" si="33"/>
        <v>0</v>
      </c>
      <c r="S65" s="97">
        <f t="shared" si="34"/>
        <v>0</v>
      </c>
      <c r="T65" s="78">
        <f t="shared" si="35"/>
        <v>0</v>
      </c>
      <c r="V65" s="256" t="s">
        <v>454</v>
      </c>
      <c r="Y65" t="e">
        <f>_xlfn.IFNA(VLOOKUP(C65,#REF!,2,FALSE),"")</f>
        <v>#REF!</v>
      </c>
      <c r="Z65" t="e">
        <f t="shared" si="10"/>
        <v>#REF!</v>
      </c>
      <c r="AA65" t="e">
        <f>_xlfn.IFNA(VLOOKUP(C65,#REF!,2,FALSE),F65)</f>
        <v>#REF!</v>
      </c>
      <c r="AB65" t="str">
        <f t="shared" si="9"/>
        <v/>
      </c>
      <c r="AD65" s="108"/>
      <c r="AE65" s="108"/>
    </row>
    <row r="66" spans="2:31">
      <c r="B66" s="82" t="s">
        <v>126</v>
      </c>
      <c r="C66" s="83" t="s">
        <v>738</v>
      </c>
      <c r="D66" s="83">
        <v>260</v>
      </c>
      <c r="E66" s="82">
        <v>260</v>
      </c>
      <c r="F66" s="202"/>
      <c r="H66" s="95" t="s">
        <v>77</v>
      </c>
      <c r="I66" s="96" t="s">
        <v>422</v>
      </c>
      <c r="J66" s="96" t="s">
        <v>111</v>
      </c>
      <c r="K66" s="96" t="s">
        <v>424</v>
      </c>
      <c r="L66" s="96" t="s">
        <v>425</v>
      </c>
      <c r="M66" s="95"/>
      <c r="N66" s="162">
        <f t="shared" si="29"/>
        <v>0</v>
      </c>
      <c r="O66" s="97">
        <f t="shared" si="30"/>
        <v>0</v>
      </c>
      <c r="P66" s="97">
        <f t="shared" si="31"/>
        <v>0</v>
      </c>
      <c r="Q66" s="78">
        <f t="shared" si="32"/>
        <v>0</v>
      </c>
      <c r="R66" s="97">
        <f t="shared" si="33"/>
        <v>0</v>
      </c>
      <c r="S66" s="97">
        <f t="shared" si="34"/>
        <v>0</v>
      </c>
      <c r="T66" s="78">
        <f t="shared" si="35"/>
        <v>0</v>
      </c>
      <c r="V66" s="256" t="s">
        <v>455</v>
      </c>
      <c r="Y66" t="e">
        <f>_xlfn.IFNA(VLOOKUP(C66,#REF!,2,FALSE),"")</f>
        <v>#REF!</v>
      </c>
      <c r="Z66" t="e">
        <f t="shared" si="10"/>
        <v>#REF!</v>
      </c>
      <c r="AA66" t="e">
        <f>_xlfn.IFNA(VLOOKUP(C66,#REF!,2,FALSE),F66)</f>
        <v>#REF!</v>
      </c>
      <c r="AB66" t="str">
        <f t="shared" si="9"/>
        <v/>
      </c>
      <c r="AD66" s="108"/>
      <c r="AE66" s="108"/>
    </row>
    <row r="67" spans="2:31">
      <c r="B67" s="82" t="s">
        <v>126</v>
      </c>
      <c r="C67" s="83" t="s">
        <v>134</v>
      </c>
      <c r="D67" s="83">
        <v>350</v>
      </c>
      <c r="E67" s="82">
        <v>350</v>
      </c>
      <c r="F67" s="202"/>
      <c r="H67" s="95" t="s">
        <v>77</v>
      </c>
      <c r="I67" s="96" t="s">
        <v>673</v>
      </c>
      <c r="J67" s="96" t="s">
        <v>111</v>
      </c>
      <c r="K67" s="96" t="s">
        <v>544</v>
      </c>
      <c r="L67" s="96" t="s">
        <v>674</v>
      </c>
      <c r="M67" s="95"/>
      <c r="N67" s="162">
        <f t="shared" si="29"/>
        <v>0</v>
      </c>
      <c r="O67" s="97">
        <f t="shared" si="30"/>
        <v>0</v>
      </c>
      <c r="P67" s="97">
        <f t="shared" si="31"/>
        <v>0</v>
      </c>
      <c r="Q67" s="78">
        <f t="shared" si="32"/>
        <v>0</v>
      </c>
      <c r="R67" s="97">
        <f t="shared" si="33"/>
        <v>0</v>
      </c>
      <c r="S67" s="97">
        <f t="shared" si="34"/>
        <v>0</v>
      </c>
      <c r="T67" s="78">
        <f t="shared" si="35"/>
        <v>0</v>
      </c>
      <c r="V67" s="256" t="s">
        <v>456</v>
      </c>
      <c r="Y67" t="e">
        <f>_xlfn.IFNA(VLOOKUP(C67,#REF!,2,FALSE),"")</f>
        <v>#REF!</v>
      </c>
      <c r="Z67" t="e">
        <f t="shared" si="10"/>
        <v>#REF!</v>
      </c>
      <c r="AA67" t="e">
        <f>_xlfn.IFNA(VLOOKUP(C67,#REF!,2,FALSE),F67)</f>
        <v>#REF!</v>
      </c>
      <c r="AB67" t="str">
        <f t="shared" si="9"/>
        <v/>
      </c>
      <c r="AD67" s="108"/>
      <c r="AE67" s="108"/>
    </row>
    <row r="68" spans="2:31">
      <c r="B68" s="82" t="s">
        <v>126</v>
      </c>
      <c r="C68" s="83" t="s">
        <v>426</v>
      </c>
      <c r="D68" s="83">
        <v>355</v>
      </c>
      <c r="E68" s="82">
        <v>355</v>
      </c>
      <c r="F68" s="202"/>
      <c r="H68" s="95" t="s">
        <v>77</v>
      </c>
      <c r="I68" s="96" t="s">
        <v>675</v>
      </c>
      <c r="J68" s="96" t="s">
        <v>111</v>
      </c>
      <c r="K68" s="96" t="s">
        <v>676</v>
      </c>
      <c r="L68" s="96" t="s">
        <v>677</v>
      </c>
      <c r="M68" s="95"/>
      <c r="N68" s="162">
        <f t="shared" si="29"/>
        <v>0</v>
      </c>
      <c r="O68" s="97">
        <f t="shared" si="30"/>
        <v>0</v>
      </c>
      <c r="P68" s="97">
        <f t="shared" si="31"/>
        <v>0</v>
      </c>
      <c r="Q68" s="78">
        <f t="shared" si="32"/>
        <v>0</v>
      </c>
      <c r="R68" s="97">
        <f t="shared" si="33"/>
        <v>0</v>
      </c>
      <c r="S68" s="97">
        <f t="shared" si="34"/>
        <v>0</v>
      </c>
      <c r="T68" s="78">
        <f t="shared" si="35"/>
        <v>0</v>
      </c>
      <c r="V68" s="256" t="s">
        <v>457</v>
      </c>
      <c r="Y68" t="e">
        <f>_xlfn.IFNA(VLOOKUP(C68,#REF!,2,FALSE),"")</f>
        <v>#REF!</v>
      </c>
      <c r="Z68" t="e">
        <f t="shared" si="10"/>
        <v>#REF!</v>
      </c>
      <c r="AA68" t="e">
        <f>_xlfn.IFNA(VLOOKUP(C68,#REF!,2,FALSE),F68)</f>
        <v>#REF!</v>
      </c>
      <c r="AB68" t="str">
        <f t="shared" si="9"/>
        <v/>
      </c>
      <c r="AD68" s="108"/>
      <c r="AE68" s="108"/>
    </row>
    <row r="69" spans="2:31">
      <c r="B69" s="82" t="s">
        <v>126</v>
      </c>
      <c r="C69" s="83" t="s">
        <v>148</v>
      </c>
      <c r="D69" s="83"/>
      <c r="E69" s="82" t="s">
        <v>972</v>
      </c>
      <c r="F69" s="202"/>
      <c r="H69" s="95" t="s">
        <v>77</v>
      </c>
      <c r="I69" s="96" t="s">
        <v>148</v>
      </c>
      <c r="J69" s="96" t="s">
        <v>111</v>
      </c>
      <c r="K69" s="96" t="s">
        <v>316</v>
      </c>
      <c r="L69" s="96" t="s">
        <v>148</v>
      </c>
      <c r="M69" s="95"/>
      <c r="N69" s="162">
        <f t="shared" si="29"/>
        <v>0</v>
      </c>
      <c r="O69" s="97">
        <f t="shared" si="30"/>
        <v>0</v>
      </c>
      <c r="P69" s="97">
        <f t="shared" si="31"/>
        <v>0</v>
      </c>
      <c r="Q69" s="78">
        <f t="shared" si="32"/>
        <v>0</v>
      </c>
      <c r="R69" s="97">
        <f t="shared" si="33"/>
        <v>0</v>
      </c>
      <c r="S69" s="97">
        <f t="shared" si="34"/>
        <v>0</v>
      </c>
      <c r="T69" s="78">
        <f t="shared" si="35"/>
        <v>0</v>
      </c>
      <c r="V69" s="256" t="s">
        <v>446</v>
      </c>
      <c r="Y69" t="e">
        <f>_xlfn.IFNA(VLOOKUP(C69,#REF!,2,FALSE),"")</f>
        <v>#REF!</v>
      </c>
      <c r="Z69" t="e">
        <f t="shared" si="10"/>
        <v>#REF!</v>
      </c>
      <c r="AA69" t="e">
        <f>_xlfn.IFNA(VLOOKUP(C69,#REF!,2,FALSE),F69)</f>
        <v>#REF!</v>
      </c>
      <c r="AB69" t="str">
        <f t="shared" si="9"/>
        <v/>
      </c>
      <c r="AD69" s="108"/>
      <c r="AE69" s="108"/>
    </row>
    <row r="70" spans="2:31">
      <c r="B70" s="82" t="s">
        <v>126</v>
      </c>
      <c r="C70" s="83" t="s">
        <v>132</v>
      </c>
      <c r="D70" s="83"/>
      <c r="E70" s="82" t="s">
        <v>984</v>
      </c>
      <c r="F70" s="202"/>
      <c r="H70" s="95" t="s">
        <v>77</v>
      </c>
      <c r="I70" s="96" t="s">
        <v>132</v>
      </c>
      <c r="J70" s="96" t="s">
        <v>111</v>
      </c>
      <c r="K70" s="96" t="s">
        <v>106</v>
      </c>
      <c r="L70" s="96" t="s">
        <v>807</v>
      </c>
      <c r="M70" s="95"/>
      <c r="N70" s="162">
        <f t="shared" si="29"/>
        <v>0</v>
      </c>
      <c r="O70" s="97">
        <f t="shared" si="30"/>
        <v>0</v>
      </c>
      <c r="P70" s="97">
        <f t="shared" si="31"/>
        <v>0</v>
      </c>
      <c r="Q70" s="78">
        <f t="shared" si="32"/>
        <v>0</v>
      </c>
      <c r="R70" s="97">
        <f t="shared" si="33"/>
        <v>0</v>
      </c>
      <c r="S70" s="97">
        <f t="shared" si="34"/>
        <v>0</v>
      </c>
      <c r="T70" s="78">
        <f t="shared" si="35"/>
        <v>0</v>
      </c>
      <c r="V70" s="256" t="s">
        <v>447</v>
      </c>
      <c r="Y70" t="e">
        <f>_xlfn.IFNA(VLOOKUP(C70,#REF!,2,FALSE),"")</f>
        <v>#REF!</v>
      </c>
      <c r="Z70" t="e">
        <f t="shared" si="10"/>
        <v>#REF!</v>
      </c>
      <c r="AA70" t="e">
        <f>_xlfn.IFNA(VLOOKUP(C70,#REF!,2,FALSE),F70)</f>
        <v>#REF!</v>
      </c>
      <c r="AB70" t="str">
        <f t="shared" si="9"/>
        <v/>
      </c>
      <c r="AD70" s="108"/>
      <c r="AE70" s="108"/>
    </row>
    <row r="71" spans="2:31">
      <c r="B71" s="82" t="s">
        <v>126</v>
      </c>
      <c r="C71" s="83" t="s">
        <v>801</v>
      </c>
      <c r="D71" s="83"/>
      <c r="E71" s="82">
        <v>800</v>
      </c>
      <c r="F71" s="202"/>
      <c r="H71" s="95" t="s">
        <v>77</v>
      </c>
      <c r="I71" s="96" t="s">
        <v>130</v>
      </c>
      <c r="J71" s="96" t="s">
        <v>111</v>
      </c>
      <c r="K71" s="95" t="s">
        <v>60</v>
      </c>
      <c r="L71" s="96" t="s">
        <v>295</v>
      </c>
      <c r="M71" s="95"/>
      <c r="N71" s="162">
        <f t="shared" si="29"/>
        <v>0</v>
      </c>
      <c r="O71" s="97">
        <f t="shared" si="30"/>
        <v>0</v>
      </c>
      <c r="P71" s="97">
        <f t="shared" si="31"/>
        <v>0</v>
      </c>
      <c r="Q71" s="78">
        <f t="shared" si="32"/>
        <v>0</v>
      </c>
      <c r="R71" s="97">
        <f t="shared" si="33"/>
        <v>0</v>
      </c>
      <c r="S71" s="97">
        <f t="shared" si="34"/>
        <v>0</v>
      </c>
      <c r="T71" s="78">
        <f t="shared" si="35"/>
        <v>0</v>
      </c>
      <c r="V71" s="256" t="s">
        <v>684</v>
      </c>
      <c r="Y71" t="e">
        <f>_xlfn.IFNA(VLOOKUP(C71,#REF!,2,FALSE),"")</f>
        <v>#REF!</v>
      </c>
      <c r="Z71" t="e">
        <f t="shared" si="10"/>
        <v>#REF!</v>
      </c>
      <c r="AA71" t="e">
        <f>_xlfn.IFNA(VLOOKUP(C71,#REF!,2,FALSE),F71)</f>
        <v>#REF!</v>
      </c>
      <c r="AB71" t="str">
        <f t="shared" si="9"/>
        <v/>
      </c>
      <c r="AD71" s="108"/>
      <c r="AE71" s="108"/>
    </row>
    <row r="72" spans="2:31">
      <c r="B72" s="82" t="s">
        <v>126</v>
      </c>
      <c r="C72" s="83" t="s">
        <v>129</v>
      </c>
      <c r="D72" s="83"/>
      <c r="E72" s="82" t="s">
        <v>973</v>
      </c>
      <c r="F72" s="202"/>
      <c r="H72" s="95" t="s">
        <v>77</v>
      </c>
      <c r="I72" s="96" t="s">
        <v>129</v>
      </c>
      <c r="J72" s="96" t="s">
        <v>111</v>
      </c>
      <c r="K72" s="95" t="s">
        <v>100</v>
      </c>
      <c r="L72" s="96" t="s">
        <v>262</v>
      </c>
      <c r="M72" s="95"/>
      <c r="N72" s="162">
        <f t="shared" si="29"/>
        <v>0</v>
      </c>
      <c r="O72" s="97">
        <f t="shared" si="30"/>
        <v>0</v>
      </c>
      <c r="P72" s="97">
        <f t="shared" si="31"/>
        <v>0</v>
      </c>
      <c r="Q72" s="78">
        <f t="shared" si="32"/>
        <v>0</v>
      </c>
      <c r="R72" s="97">
        <f t="shared" si="33"/>
        <v>0</v>
      </c>
      <c r="S72" s="97">
        <f t="shared" si="34"/>
        <v>0</v>
      </c>
      <c r="T72" s="78">
        <f t="shared" si="35"/>
        <v>0</v>
      </c>
      <c r="V72" s="256" t="s">
        <v>448</v>
      </c>
      <c r="Y72" t="e">
        <f>_xlfn.IFNA(VLOOKUP(C72,#REF!,2,FALSE),"")</f>
        <v>#REF!</v>
      </c>
      <c r="Z72" t="e">
        <f t="shared" si="10"/>
        <v>#REF!</v>
      </c>
      <c r="AA72" t="e">
        <f>_xlfn.IFNA(VLOOKUP(C72,#REF!,2,FALSE),F72)</f>
        <v>#REF!</v>
      </c>
      <c r="AB72" t="str">
        <f t="shared" si="9"/>
        <v/>
      </c>
      <c r="AD72" s="108"/>
      <c r="AE72" s="108"/>
    </row>
    <row r="73" spans="2:31">
      <c r="B73" s="82" t="s">
        <v>126</v>
      </c>
      <c r="C73" s="83" t="s">
        <v>803</v>
      </c>
      <c r="D73" s="83"/>
      <c r="E73" s="82">
        <v>23333</v>
      </c>
      <c r="F73" s="202"/>
      <c r="H73" s="95" t="s">
        <v>77</v>
      </c>
      <c r="I73" s="96" t="s">
        <v>128</v>
      </c>
      <c r="J73" s="96" t="s">
        <v>111</v>
      </c>
      <c r="K73" s="95" t="s">
        <v>58</v>
      </c>
      <c r="L73" s="96" t="s">
        <v>263</v>
      </c>
      <c r="M73" s="95"/>
      <c r="N73" s="162">
        <f t="shared" si="29"/>
        <v>0</v>
      </c>
      <c r="O73" s="97">
        <f t="shared" si="30"/>
        <v>0</v>
      </c>
      <c r="P73" s="97">
        <f t="shared" si="31"/>
        <v>0</v>
      </c>
      <c r="Q73" s="78">
        <f t="shared" si="32"/>
        <v>0</v>
      </c>
      <c r="R73" s="97">
        <f t="shared" si="33"/>
        <v>0</v>
      </c>
      <c r="S73" s="97">
        <f t="shared" si="34"/>
        <v>0</v>
      </c>
      <c r="T73" s="78">
        <f t="shared" si="35"/>
        <v>0</v>
      </c>
      <c r="V73" s="256" t="s">
        <v>449</v>
      </c>
      <c r="Y73" t="e">
        <f>_xlfn.IFNA(VLOOKUP(C73,#REF!,2,FALSE),"")</f>
        <v>#REF!</v>
      </c>
      <c r="Z73" t="e">
        <f t="shared" si="10"/>
        <v>#REF!</v>
      </c>
      <c r="AA73" t="e">
        <f>_xlfn.IFNA(VLOOKUP(C73,#REF!,2,FALSE),F73)</f>
        <v>#REF!</v>
      </c>
      <c r="AB73" t="str">
        <f t="shared" ref="AB73:AB139" si="36">IF(ISERROR(Y73),"",Y73=Z73)</f>
        <v/>
      </c>
      <c r="AD73" s="108"/>
      <c r="AE73" s="108"/>
    </row>
    <row r="74" spans="2:31">
      <c r="B74" s="82" t="s">
        <v>126</v>
      </c>
      <c r="C74" s="83" t="s">
        <v>799</v>
      </c>
      <c r="D74" s="83"/>
      <c r="E74" s="82">
        <v>23930</v>
      </c>
      <c r="F74" s="202"/>
      <c r="H74" s="95" t="s">
        <v>77</v>
      </c>
      <c r="I74" s="96" t="s">
        <v>281</v>
      </c>
      <c r="J74" s="96" t="s">
        <v>111</v>
      </c>
      <c r="K74" s="96" t="s">
        <v>59</v>
      </c>
      <c r="L74" s="96" t="s">
        <v>260</v>
      </c>
      <c r="M74" s="95"/>
      <c r="N74" s="162">
        <f t="shared" si="29"/>
        <v>0</v>
      </c>
      <c r="O74" s="97">
        <f t="shared" si="30"/>
        <v>0</v>
      </c>
      <c r="P74" s="97">
        <f t="shared" si="31"/>
        <v>0</v>
      </c>
      <c r="Q74" s="78">
        <f t="shared" si="32"/>
        <v>0</v>
      </c>
      <c r="R74" s="97">
        <f t="shared" si="33"/>
        <v>0</v>
      </c>
      <c r="S74" s="97">
        <f t="shared" si="34"/>
        <v>0</v>
      </c>
      <c r="T74" s="78">
        <f t="shared" si="35"/>
        <v>0</v>
      </c>
      <c r="V74" s="256" t="s">
        <v>450</v>
      </c>
      <c r="Y74" t="e">
        <f>_xlfn.IFNA(VLOOKUP(C74,#REF!,2,FALSE),"")</f>
        <v>#REF!</v>
      </c>
      <c r="Z74" t="e">
        <f t="shared" ref="Z74:Z140" si="37">IF(Y74="","",F74)</f>
        <v>#REF!</v>
      </c>
      <c r="AA74" t="e">
        <f>_xlfn.IFNA(VLOOKUP(C74,#REF!,2,FALSE),F74)</f>
        <v>#REF!</v>
      </c>
      <c r="AB74" t="str">
        <f t="shared" si="36"/>
        <v/>
      </c>
      <c r="AD74" s="108"/>
      <c r="AE74" s="108"/>
    </row>
    <row r="75" spans="2:31">
      <c r="B75" s="82" t="s">
        <v>126</v>
      </c>
      <c r="C75" s="83" t="s">
        <v>802</v>
      </c>
      <c r="D75" s="83"/>
      <c r="E75" s="82">
        <v>510</v>
      </c>
      <c r="F75" s="202"/>
      <c r="H75" s="95" t="s">
        <v>77</v>
      </c>
      <c r="I75" s="96" t="s">
        <v>314</v>
      </c>
      <c r="J75" s="96" t="s">
        <v>111</v>
      </c>
      <c r="K75" s="96" t="s">
        <v>114</v>
      </c>
      <c r="L75" s="96" t="s">
        <v>315</v>
      </c>
      <c r="M75" s="95"/>
      <c r="N75" s="162">
        <f t="shared" si="29"/>
        <v>0</v>
      </c>
      <c r="O75" s="97">
        <f t="shared" si="30"/>
        <v>0</v>
      </c>
      <c r="P75" s="97">
        <f t="shared" si="31"/>
        <v>0</v>
      </c>
      <c r="Q75" s="78">
        <f t="shared" si="32"/>
        <v>0</v>
      </c>
      <c r="R75" s="97">
        <f t="shared" si="33"/>
        <v>0</v>
      </c>
      <c r="S75" s="97">
        <f t="shared" si="34"/>
        <v>0</v>
      </c>
      <c r="T75" s="78">
        <f t="shared" si="35"/>
        <v>0</v>
      </c>
      <c r="V75" s="256" t="s">
        <v>451</v>
      </c>
      <c r="Y75" t="e">
        <f>_xlfn.IFNA(VLOOKUP(C75,#REF!,2,FALSE),"")</f>
        <v>#REF!</v>
      </c>
      <c r="Z75" t="e">
        <f t="shared" si="37"/>
        <v>#REF!</v>
      </c>
      <c r="AA75" t="e">
        <f>_xlfn.IFNA(VLOOKUP(C75,#REF!,2,FALSE),F75)</f>
        <v>#REF!</v>
      </c>
      <c r="AB75" t="str">
        <f t="shared" si="36"/>
        <v/>
      </c>
      <c r="AD75" s="108"/>
      <c r="AE75" s="108"/>
    </row>
    <row r="76" spans="2:31">
      <c r="B76" s="82" t="s">
        <v>126</v>
      </c>
      <c r="C76" s="83" t="s">
        <v>804</v>
      </c>
      <c r="D76" s="83"/>
      <c r="E76" s="82">
        <v>3101</v>
      </c>
      <c r="F76" s="202"/>
      <c r="H76" s="95" t="s">
        <v>77</v>
      </c>
      <c r="I76" s="96" t="s">
        <v>310</v>
      </c>
      <c r="J76" s="96" t="s">
        <v>111</v>
      </c>
      <c r="K76" s="95" t="s">
        <v>65</v>
      </c>
      <c r="L76" s="96" t="s">
        <v>311</v>
      </c>
      <c r="M76" s="95"/>
      <c r="N76" s="162">
        <f t="shared" si="29"/>
        <v>0</v>
      </c>
      <c r="O76" s="97">
        <f t="shared" si="30"/>
        <v>0</v>
      </c>
      <c r="P76" s="97">
        <f t="shared" si="31"/>
        <v>0</v>
      </c>
      <c r="Q76" s="78">
        <f t="shared" si="32"/>
        <v>0</v>
      </c>
      <c r="R76" s="97">
        <f t="shared" si="33"/>
        <v>0</v>
      </c>
      <c r="S76" s="97">
        <f t="shared" si="34"/>
        <v>0</v>
      </c>
      <c r="T76" s="78">
        <f t="shared" si="35"/>
        <v>0</v>
      </c>
      <c r="V76" s="256" t="s">
        <v>452</v>
      </c>
      <c r="Y76" t="e">
        <f>_xlfn.IFNA(VLOOKUP(C76,#REF!,2,FALSE),"")</f>
        <v>#REF!</v>
      </c>
      <c r="Z76" t="e">
        <f t="shared" si="37"/>
        <v>#REF!</v>
      </c>
      <c r="AA76" t="e">
        <f>_xlfn.IFNA(VLOOKUP(C76,#REF!,2,FALSE),F76)</f>
        <v>#REF!</v>
      </c>
      <c r="AB76" t="str">
        <f t="shared" si="36"/>
        <v/>
      </c>
      <c r="AD76" s="108"/>
      <c r="AE76" s="108"/>
    </row>
    <row r="77" spans="2:31">
      <c r="B77" s="82" t="s">
        <v>126</v>
      </c>
      <c r="C77" s="83" t="s">
        <v>805</v>
      </c>
      <c r="D77" s="83"/>
      <c r="E77" s="82">
        <v>3110</v>
      </c>
      <c r="F77" s="202"/>
      <c r="H77" s="95" t="s">
        <v>77</v>
      </c>
      <c r="I77" s="96" t="s">
        <v>312</v>
      </c>
      <c r="J77" s="96" t="s">
        <v>111</v>
      </c>
      <c r="K77" s="95" t="s">
        <v>78</v>
      </c>
      <c r="L77" s="96" t="s">
        <v>313</v>
      </c>
      <c r="M77" s="95"/>
      <c r="N77" s="162">
        <f t="shared" si="29"/>
        <v>0</v>
      </c>
      <c r="O77" s="97">
        <f t="shared" si="30"/>
        <v>0</v>
      </c>
      <c r="P77" s="97">
        <f t="shared" si="31"/>
        <v>0</v>
      </c>
      <c r="Q77" s="78">
        <f t="shared" si="32"/>
        <v>0</v>
      </c>
      <c r="R77" s="97">
        <f t="shared" si="33"/>
        <v>0</v>
      </c>
      <c r="S77" s="97">
        <f t="shared" si="34"/>
        <v>0</v>
      </c>
      <c r="T77" s="78">
        <f t="shared" si="35"/>
        <v>0</v>
      </c>
      <c r="V77" s="256" t="s">
        <v>453</v>
      </c>
      <c r="Y77" t="e">
        <f>_xlfn.IFNA(VLOOKUP(C77,#REF!,2,FALSE),"")</f>
        <v>#REF!</v>
      </c>
      <c r="Z77" t="e">
        <f t="shared" si="37"/>
        <v>#REF!</v>
      </c>
      <c r="AA77" t="e">
        <f>_xlfn.IFNA(VLOOKUP(C77,#REF!,2,FALSE),F77)</f>
        <v>#REF!</v>
      </c>
      <c r="AB77" t="str">
        <f t="shared" si="36"/>
        <v/>
      </c>
      <c r="AD77" s="108"/>
      <c r="AE77" s="108"/>
    </row>
    <row r="78" spans="2:31">
      <c r="B78" s="82" t="s">
        <v>126</v>
      </c>
      <c r="C78" s="83" t="s">
        <v>830</v>
      </c>
      <c r="D78" s="83"/>
      <c r="E78" s="82" t="s">
        <v>1024</v>
      </c>
      <c r="F78" s="202"/>
      <c r="H78" s="95" t="s">
        <v>77</v>
      </c>
      <c r="I78" s="96" t="s">
        <v>832</v>
      </c>
      <c r="J78" s="96" t="s">
        <v>111</v>
      </c>
      <c r="K78" s="95" t="s">
        <v>833</v>
      </c>
      <c r="L78" s="96" t="s">
        <v>834</v>
      </c>
      <c r="M78" s="95"/>
      <c r="N78" s="162">
        <f t="shared" si="29"/>
        <v>0</v>
      </c>
      <c r="O78" s="97">
        <f t="shared" si="30"/>
        <v>0</v>
      </c>
      <c r="P78" s="97">
        <f t="shared" si="31"/>
        <v>0</v>
      </c>
      <c r="Q78" s="78">
        <f t="shared" si="32"/>
        <v>0</v>
      </c>
      <c r="R78" s="97">
        <f t="shared" si="33"/>
        <v>0</v>
      </c>
      <c r="S78" s="97">
        <f t="shared" si="34"/>
        <v>0</v>
      </c>
      <c r="T78" s="78">
        <f t="shared" si="35"/>
        <v>0</v>
      </c>
      <c r="V78" s="256" t="s">
        <v>831</v>
      </c>
      <c r="Y78" t="e">
        <f>_xlfn.IFNA(VLOOKUP(C78,#REF!,2,FALSE),"")</f>
        <v>#REF!</v>
      </c>
      <c r="Z78" t="e">
        <f t="shared" si="37"/>
        <v>#REF!</v>
      </c>
      <c r="AA78" t="e">
        <f>_xlfn.IFNA(VLOOKUP(C78,#REF!,2,FALSE),F78)</f>
        <v>#REF!</v>
      </c>
      <c r="AB78" t="str">
        <f t="shared" si="36"/>
        <v/>
      </c>
      <c r="AD78" s="108"/>
      <c r="AE78" s="108"/>
    </row>
    <row r="79" spans="2:31">
      <c r="B79" s="171" t="s">
        <v>126</v>
      </c>
      <c r="C79" s="172" t="s">
        <v>739</v>
      </c>
      <c r="D79" s="172" t="s">
        <v>810</v>
      </c>
      <c r="E79" s="171">
        <v>235</v>
      </c>
      <c r="F79" s="202"/>
      <c r="H79" s="95" t="s">
        <v>77</v>
      </c>
      <c r="I79" s="96" t="s">
        <v>608</v>
      </c>
      <c r="J79" s="96" t="s">
        <v>111</v>
      </c>
      <c r="K79" s="96" t="s">
        <v>609</v>
      </c>
      <c r="L79" s="96" t="s">
        <v>610</v>
      </c>
      <c r="M79" s="95"/>
      <c r="N79" s="162">
        <f t="shared" si="29"/>
        <v>0</v>
      </c>
      <c r="O79" s="97">
        <f t="shared" si="30"/>
        <v>0</v>
      </c>
      <c r="P79" s="97">
        <f t="shared" si="31"/>
        <v>0</v>
      </c>
      <c r="Q79" s="78">
        <f t="shared" si="32"/>
        <v>0</v>
      </c>
      <c r="R79" s="97">
        <f t="shared" si="33"/>
        <v>0</v>
      </c>
      <c r="S79" s="97">
        <f t="shared" si="34"/>
        <v>0</v>
      </c>
      <c r="T79" s="78">
        <f t="shared" si="35"/>
        <v>0</v>
      </c>
      <c r="V79" s="256" t="s">
        <v>607</v>
      </c>
      <c r="Y79" t="e">
        <f>_xlfn.IFNA(VLOOKUP(C79,#REF!,2,FALSE),"")</f>
        <v>#REF!</v>
      </c>
      <c r="Z79" t="e">
        <f t="shared" si="37"/>
        <v>#REF!</v>
      </c>
      <c r="AA79" t="e">
        <f>_xlfn.IFNA(VLOOKUP(C79,#REF!,2,FALSE),F79)</f>
        <v>#REF!</v>
      </c>
      <c r="AB79" t="str">
        <f t="shared" si="36"/>
        <v/>
      </c>
      <c r="AD79" s="108"/>
      <c r="AE79" s="108"/>
    </row>
    <row r="80" spans="2:31">
      <c r="B80" s="171" t="s">
        <v>126</v>
      </c>
      <c r="C80" s="172" t="s">
        <v>806</v>
      </c>
      <c r="D80" s="172" t="s">
        <v>811</v>
      </c>
      <c r="E80" s="171">
        <v>365</v>
      </c>
      <c r="F80" s="202"/>
      <c r="H80" s="95" t="s">
        <v>77</v>
      </c>
      <c r="I80" s="96" t="s">
        <v>678</v>
      </c>
      <c r="J80" s="96" t="s">
        <v>111</v>
      </c>
      <c r="K80" s="96" t="s">
        <v>679</v>
      </c>
      <c r="L80" s="96" t="s">
        <v>680</v>
      </c>
      <c r="M80" s="95"/>
      <c r="N80" s="162">
        <f t="shared" si="29"/>
        <v>0</v>
      </c>
      <c r="O80" s="97">
        <f t="shared" si="30"/>
        <v>0</v>
      </c>
      <c r="P80" s="97">
        <f t="shared" si="31"/>
        <v>0</v>
      </c>
      <c r="Q80" s="78">
        <f t="shared" si="32"/>
        <v>0</v>
      </c>
      <c r="R80" s="97">
        <f t="shared" si="33"/>
        <v>0</v>
      </c>
      <c r="S80" s="97">
        <f t="shared" si="34"/>
        <v>0</v>
      </c>
      <c r="T80" s="78">
        <f t="shared" si="35"/>
        <v>0</v>
      </c>
      <c r="V80" s="256" t="s">
        <v>611</v>
      </c>
      <c r="Y80" t="e">
        <f>_xlfn.IFNA(VLOOKUP(C80,#REF!,2,FALSE),"")</f>
        <v>#REF!</v>
      </c>
      <c r="Z80" t="e">
        <f t="shared" si="37"/>
        <v>#REF!</v>
      </c>
      <c r="AA80" t="e">
        <f>_xlfn.IFNA(VLOOKUP(C80,#REF!,2,FALSE),F80)</f>
        <v>#REF!</v>
      </c>
      <c r="AB80" t="str">
        <f t="shared" si="36"/>
        <v/>
      </c>
      <c r="AD80" s="108"/>
      <c r="AE80" s="108"/>
    </row>
    <row r="81" spans="2:31">
      <c r="B81" s="171" t="s">
        <v>126</v>
      </c>
      <c r="C81" s="172" t="s">
        <v>798</v>
      </c>
      <c r="D81" s="172" t="s">
        <v>812</v>
      </c>
      <c r="E81" s="171" t="s">
        <v>970</v>
      </c>
      <c r="F81" s="202"/>
      <c r="H81" s="95" t="s">
        <v>77</v>
      </c>
      <c r="I81" s="96" t="s">
        <v>681</v>
      </c>
      <c r="J81" s="96" t="s">
        <v>111</v>
      </c>
      <c r="K81" s="96" t="s">
        <v>682</v>
      </c>
      <c r="L81" s="96" t="s">
        <v>683</v>
      </c>
      <c r="M81" s="95"/>
      <c r="N81" s="162">
        <f t="shared" si="29"/>
        <v>0</v>
      </c>
      <c r="O81" s="97">
        <f t="shared" si="30"/>
        <v>0</v>
      </c>
      <c r="P81" s="97">
        <f t="shared" si="31"/>
        <v>0</v>
      </c>
      <c r="Q81" s="78">
        <f t="shared" si="32"/>
        <v>0</v>
      </c>
      <c r="R81" s="97">
        <f t="shared" si="33"/>
        <v>0</v>
      </c>
      <c r="S81" s="97">
        <f t="shared" si="34"/>
        <v>0</v>
      </c>
      <c r="T81" s="78">
        <f t="shared" si="35"/>
        <v>0</v>
      </c>
      <c r="V81" s="256" t="s">
        <v>612</v>
      </c>
      <c r="Y81" t="e">
        <f>_xlfn.IFNA(VLOOKUP(C81,#REF!,2,FALSE),"")</f>
        <v>#REF!</v>
      </c>
      <c r="Z81" t="e">
        <f t="shared" si="37"/>
        <v>#REF!</v>
      </c>
      <c r="AA81" t="e">
        <f>_xlfn.IFNA(VLOOKUP(C81,#REF!,2,FALSE),F81)</f>
        <v>#REF!</v>
      </c>
      <c r="AB81" t="str">
        <f t="shared" si="36"/>
        <v/>
      </c>
      <c r="AD81" s="108"/>
      <c r="AE81" s="108"/>
    </row>
    <row r="82" spans="2:31">
      <c r="B82" s="171" t="s">
        <v>126</v>
      </c>
      <c r="C82" s="172" t="s">
        <v>800</v>
      </c>
      <c r="D82" s="172" t="s">
        <v>813</v>
      </c>
      <c r="E82" s="171" t="s">
        <v>970</v>
      </c>
      <c r="F82" s="202"/>
      <c r="H82" s="95" t="s">
        <v>77</v>
      </c>
      <c r="I82" s="96" t="s">
        <v>711</v>
      </c>
      <c r="J82" s="96" t="s">
        <v>111</v>
      </c>
      <c r="K82" s="95" t="s">
        <v>712</v>
      </c>
      <c r="L82" s="96" t="s">
        <v>713</v>
      </c>
      <c r="M82" s="95"/>
      <c r="N82" s="162">
        <f t="shared" si="29"/>
        <v>0</v>
      </c>
      <c r="O82" s="97">
        <f t="shared" si="30"/>
        <v>0</v>
      </c>
      <c r="P82" s="97">
        <f t="shared" si="31"/>
        <v>0</v>
      </c>
      <c r="Q82" s="78">
        <f t="shared" si="32"/>
        <v>0</v>
      </c>
      <c r="R82" s="97">
        <f t="shared" si="33"/>
        <v>0</v>
      </c>
      <c r="S82" s="97">
        <f t="shared" si="34"/>
        <v>0</v>
      </c>
      <c r="T82" s="78">
        <f t="shared" si="35"/>
        <v>0</v>
      </c>
      <c r="V82" s="256" t="s">
        <v>710</v>
      </c>
      <c r="Y82" t="e">
        <f>_xlfn.IFNA(VLOOKUP(C82,#REF!,2,FALSE),"")</f>
        <v>#REF!</v>
      </c>
      <c r="Z82" t="e">
        <f t="shared" si="37"/>
        <v>#REF!</v>
      </c>
      <c r="AA82" t="e">
        <f>_xlfn.IFNA(VLOOKUP(C82,#REF!,2,FALSE),F82)</f>
        <v>#REF!</v>
      </c>
      <c r="AB82" t="str">
        <f t="shared" si="36"/>
        <v/>
      </c>
      <c r="AD82" s="108"/>
      <c r="AE82" s="108"/>
    </row>
    <row r="83" spans="2:31">
      <c r="B83" s="171" t="s">
        <v>126</v>
      </c>
      <c r="C83" s="172" t="s">
        <v>714</v>
      </c>
      <c r="D83" s="172" t="s">
        <v>814</v>
      </c>
      <c r="E83" s="171">
        <v>335</v>
      </c>
      <c r="F83" s="202"/>
      <c r="H83" s="95" t="s">
        <v>77</v>
      </c>
      <c r="I83" s="96" t="s">
        <v>716</v>
      </c>
      <c r="J83" s="96" t="s">
        <v>111</v>
      </c>
      <c r="K83" s="95" t="s">
        <v>717</v>
      </c>
      <c r="L83" s="96" t="s">
        <v>718</v>
      </c>
      <c r="M83" s="95"/>
      <c r="N83" s="162">
        <f t="shared" si="29"/>
        <v>0</v>
      </c>
      <c r="O83" s="97">
        <f t="shared" si="30"/>
        <v>0</v>
      </c>
      <c r="P83" s="97">
        <f t="shared" si="31"/>
        <v>0</v>
      </c>
      <c r="Q83" s="78">
        <f t="shared" si="32"/>
        <v>0</v>
      </c>
      <c r="R83" s="97">
        <f t="shared" si="33"/>
        <v>0</v>
      </c>
      <c r="S83" s="97">
        <f t="shared" si="34"/>
        <v>0</v>
      </c>
      <c r="T83" s="78">
        <f t="shared" si="35"/>
        <v>0</v>
      </c>
      <c r="V83" s="256" t="s">
        <v>715</v>
      </c>
      <c r="Y83" t="e">
        <f>_xlfn.IFNA(VLOOKUP(C83,#REF!,2,FALSE),"")</f>
        <v>#REF!</v>
      </c>
      <c r="Z83" t="e">
        <f t="shared" si="37"/>
        <v>#REF!</v>
      </c>
      <c r="AA83" t="e">
        <f>_xlfn.IFNA(VLOOKUP(C83,#REF!,2,FALSE),F83)</f>
        <v>#REF!</v>
      </c>
      <c r="AB83" t="str">
        <f t="shared" si="36"/>
        <v/>
      </c>
      <c r="AD83" s="108"/>
      <c r="AE83" s="108"/>
    </row>
    <row r="84" spans="2:31">
      <c r="B84" s="82"/>
      <c r="C84" s="83"/>
      <c r="D84" s="83"/>
      <c r="E84" s="82"/>
      <c r="F84" s="202"/>
      <c r="H84" s="164" t="s">
        <v>77</v>
      </c>
      <c r="I84" s="165" t="s">
        <v>186</v>
      </c>
      <c r="J84" s="165" t="s">
        <v>111</v>
      </c>
      <c r="K84" s="164" t="s">
        <v>74</v>
      </c>
      <c r="L84" s="165" t="s">
        <v>274</v>
      </c>
      <c r="M84" s="164"/>
      <c r="N84" s="162">
        <f>$K$356</f>
        <v>0</v>
      </c>
      <c r="O84" s="124">
        <f t="shared" si="30"/>
        <v>0</v>
      </c>
      <c r="P84" s="124">
        <f t="shared" si="31"/>
        <v>0</v>
      </c>
      <c r="Q84" s="78">
        <f t="shared" si="32"/>
        <v>0</v>
      </c>
      <c r="R84" s="124">
        <f t="shared" si="33"/>
        <v>0</v>
      </c>
      <c r="S84" s="124">
        <f t="shared" si="34"/>
        <v>0</v>
      </c>
      <c r="T84" s="78">
        <f t="shared" si="35"/>
        <v>0</v>
      </c>
      <c r="V84" s="256"/>
      <c r="Y84" t="e">
        <f>_xlfn.IFNA(VLOOKUP(C84,#REF!,2,FALSE),"")</f>
        <v>#REF!</v>
      </c>
      <c r="Z84" t="e">
        <f t="shared" si="37"/>
        <v>#REF!</v>
      </c>
      <c r="AA84" t="e">
        <f>_xlfn.IFNA(VLOOKUP(C84,#REF!,2,FALSE),F84)</f>
        <v>#REF!</v>
      </c>
      <c r="AB84" t="str">
        <f t="shared" si="36"/>
        <v/>
      </c>
      <c r="AD84" s="108"/>
      <c r="AE84" s="108"/>
    </row>
    <row r="85" spans="2:31">
      <c r="B85" s="82"/>
      <c r="C85" s="83"/>
      <c r="D85" s="83"/>
      <c r="E85" s="82"/>
      <c r="F85" s="202"/>
      <c r="H85" s="95"/>
      <c r="I85" s="96"/>
      <c r="J85" s="96"/>
      <c r="K85" s="95"/>
      <c r="L85" s="96"/>
      <c r="M85" s="95"/>
      <c r="N85" s="162"/>
      <c r="O85" s="97"/>
      <c r="P85" s="97"/>
      <c r="Q85" s="97"/>
      <c r="R85" s="97"/>
      <c r="S85" s="97"/>
      <c r="T85" s="78"/>
      <c r="V85" s="256"/>
      <c r="Y85" t="e">
        <f>_xlfn.IFNA(VLOOKUP(C85,#REF!,2,FALSE),"")</f>
        <v>#REF!</v>
      </c>
      <c r="Z85" t="e">
        <f t="shared" si="37"/>
        <v>#REF!</v>
      </c>
      <c r="AA85" t="e">
        <f>_xlfn.IFNA(VLOOKUP(C85,#REF!,2,FALSE),F85)</f>
        <v>#REF!</v>
      </c>
      <c r="AB85" t="str">
        <f t="shared" si="36"/>
        <v/>
      </c>
      <c r="AD85" s="108"/>
      <c r="AE85" s="108"/>
    </row>
    <row r="86" spans="2:31">
      <c r="C86" s="142"/>
      <c r="D86" s="142"/>
      <c r="F86" s="314"/>
      <c r="T86" s="78"/>
      <c r="Y86" t="e">
        <f>_xlfn.IFNA(VLOOKUP(C86,#REF!,2,FALSE),"")</f>
        <v>#REF!</v>
      </c>
      <c r="Z86" t="e">
        <f t="shared" si="37"/>
        <v>#REF!</v>
      </c>
      <c r="AA86" t="e">
        <f>_xlfn.IFNA(VLOOKUP(C86,#REF!,2,FALSE),F86)</f>
        <v>#REF!</v>
      </c>
      <c r="AB86" t="str">
        <f t="shared" si="36"/>
        <v/>
      </c>
      <c r="AD86" s="108"/>
      <c r="AE86" s="108"/>
    </row>
    <row r="87" spans="2:31">
      <c r="B87" s="143" t="s">
        <v>126</v>
      </c>
      <c r="C87" s="144" t="s">
        <v>181</v>
      </c>
      <c r="D87" s="90" t="s">
        <v>113</v>
      </c>
      <c r="E87" s="143" t="s">
        <v>970</v>
      </c>
      <c r="F87" s="201"/>
      <c r="H87" s="86" t="s">
        <v>69</v>
      </c>
      <c r="I87" s="87" t="s">
        <v>282</v>
      </c>
      <c r="J87" s="87" t="s">
        <v>111</v>
      </c>
      <c r="K87" s="87" t="s">
        <v>65</v>
      </c>
      <c r="L87" s="87" t="s">
        <v>249</v>
      </c>
      <c r="M87" s="86"/>
      <c r="N87" s="162">
        <f t="shared" ref="N87:N104" si="38">F87</f>
        <v>0</v>
      </c>
      <c r="O87" s="88">
        <f t="shared" ref="O87:O109" si="39">(N87*0.4+$I$327*0.42+$I$328*0.18)</f>
        <v>0</v>
      </c>
      <c r="P87" s="88">
        <f t="shared" ref="P87:P109" si="40">N87*0.4+$I$327*0.24+$I$330*0.12+$I$331*0.24</f>
        <v>0</v>
      </c>
      <c r="Q87" s="78">
        <f t="shared" ref="Q87:Q109" si="41">N87*0.5+$I$327*0.15+$I$329*0.1+$I$330*0.25</f>
        <v>0</v>
      </c>
      <c r="R87" s="88">
        <f t="shared" ref="R87:R109" si="42">N87*0.4+$I$327*0.6</f>
        <v>0</v>
      </c>
      <c r="S87" s="88">
        <f t="shared" ref="S87:S109" si="43">(N87*0.4+$I$327*0.36+$I$328*0.24)</f>
        <v>0</v>
      </c>
      <c r="T87" s="78">
        <f t="shared" ref="T87:T109" si="44">(N87*0.44+$I$327*0.45+$I$328*0.11)</f>
        <v>0</v>
      </c>
      <c r="V87" s="257" t="s">
        <v>458</v>
      </c>
      <c r="Y87" t="e">
        <f>_xlfn.IFNA(VLOOKUP(C87,#REF!,2,FALSE),"")</f>
        <v>#REF!</v>
      </c>
      <c r="Z87" t="e">
        <f t="shared" si="37"/>
        <v>#REF!</v>
      </c>
      <c r="AA87" t="e">
        <f>_xlfn.IFNA(VLOOKUP(C87,#REF!,2,FALSE),F87)</f>
        <v>#REF!</v>
      </c>
      <c r="AB87" t="str">
        <f t="shared" si="36"/>
        <v/>
      </c>
      <c r="AD87" s="108"/>
      <c r="AE87" s="108"/>
    </row>
    <row r="88" spans="2:31">
      <c r="B88" s="89" t="s">
        <v>126</v>
      </c>
      <c r="C88" s="90" t="s">
        <v>147</v>
      </c>
      <c r="D88" s="90">
        <v>1000</v>
      </c>
      <c r="E88" s="89" t="s">
        <v>970</v>
      </c>
      <c r="F88" s="202"/>
      <c r="H88" s="86" t="s">
        <v>69</v>
      </c>
      <c r="I88" s="87" t="s">
        <v>147</v>
      </c>
      <c r="J88" s="87" t="s">
        <v>111</v>
      </c>
      <c r="K88" s="87" t="s">
        <v>56</v>
      </c>
      <c r="L88" s="87" t="s">
        <v>243</v>
      </c>
      <c r="M88" s="86"/>
      <c r="N88" s="162">
        <f t="shared" si="38"/>
        <v>0</v>
      </c>
      <c r="O88" s="88">
        <f t="shared" si="39"/>
        <v>0</v>
      </c>
      <c r="P88" s="88">
        <f t="shared" si="40"/>
        <v>0</v>
      </c>
      <c r="Q88" s="78">
        <f t="shared" si="41"/>
        <v>0</v>
      </c>
      <c r="R88" s="88">
        <f t="shared" si="42"/>
        <v>0</v>
      </c>
      <c r="S88" s="88">
        <f t="shared" si="43"/>
        <v>0</v>
      </c>
      <c r="T88" s="78">
        <f t="shared" si="44"/>
        <v>0</v>
      </c>
      <c r="V88" s="256" t="s">
        <v>471</v>
      </c>
      <c r="Y88" t="e">
        <f>_xlfn.IFNA(VLOOKUP(C88,#REF!,2,FALSE),"")</f>
        <v>#REF!</v>
      </c>
      <c r="Z88" t="e">
        <f t="shared" si="37"/>
        <v>#REF!</v>
      </c>
      <c r="AA88" t="e">
        <f>_xlfn.IFNA(VLOOKUP(C88,#REF!,2,FALSE),F88)</f>
        <v>#REF!</v>
      </c>
      <c r="AB88" t="str">
        <f t="shared" si="36"/>
        <v/>
      </c>
      <c r="AD88" s="108"/>
      <c r="AE88" s="108"/>
    </row>
    <row r="89" spans="2:31">
      <c r="B89" s="89" t="s">
        <v>126</v>
      </c>
      <c r="C89" s="90" t="s">
        <v>427</v>
      </c>
      <c r="D89" s="90" t="s">
        <v>113</v>
      </c>
      <c r="E89" s="89" t="s">
        <v>970</v>
      </c>
      <c r="F89" s="202"/>
      <c r="H89" s="86" t="s">
        <v>69</v>
      </c>
      <c r="I89" s="87" t="s">
        <v>427</v>
      </c>
      <c r="J89" s="87" t="s">
        <v>111</v>
      </c>
      <c r="K89" s="87" t="s">
        <v>428</v>
      </c>
      <c r="L89" s="87" t="s">
        <v>429</v>
      </c>
      <c r="M89" s="86"/>
      <c r="N89" s="162">
        <f t="shared" si="38"/>
        <v>0</v>
      </c>
      <c r="O89" s="88">
        <f t="shared" si="39"/>
        <v>0</v>
      </c>
      <c r="P89" s="88">
        <f t="shared" si="40"/>
        <v>0</v>
      </c>
      <c r="Q89" s="78">
        <f t="shared" si="41"/>
        <v>0</v>
      </c>
      <c r="R89" s="88">
        <f t="shared" si="42"/>
        <v>0</v>
      </c>
      <c r="S89" s="88">
        <f t="shared" si="43"/>
        <v>0</v>
      </c>
      <c r="T89" s="78">
        <f t="shared" si="44"/>
        <v>0</v>
      </c>
      <c r="V89" s="256" t="s">
        <v>472</v>
      </c>
      <c r="Y89" t="e">
        <f>_xlfn.IFNA(VLOOKUP(C89,#REF!,2,FALSE),"")</f>
        <v>#REF!</v>
      </c>
      <c r="Z89" t="e">
        <f t="shared" si="37"/>
        <v>#REF!</v>
      </c>
      <c r="AA89" t="e">
        <f>_xlfn.IFNA(VLOOKUP(C89,#REF!,2,FALSE),F89)</f>
        <v>#REF!</v>
      </c>
      <c r="AB89" t="str">
        <f t="shared" si="36"/>
        <v/>
      </c>
      <c r="AD89" s="108"/>
      <c r="AE89" s="108"/>
    </row>
    <row r="90" spans="2:31">
      <c r="B90" s="89" t="s">
        <v>126</v>
      </c>
      <c r="C90" s="90" t="s">
        <v>146</v>
      </c>
      <c r="D90" s="90">
        <v>800</v>
      </c>
      <c r="E90" s="89" t="s">
        <v>970</v>
      </c>
      <c r="F90" s="202"/>
      <c r="H90" s="86" t="s">
        <v>69</v>
      </c>
      <c r="I90" s="87" t="s">
        <v>146</v>
      </c>
      <c r="J90" s="87" t="s">
        <v>111</v>
      </c>
      <c r="K90" s="87" t="s">
        <v>60</v>
      </c>
      <c r="L90" s="87" t="s">
        <v>244</v>
      </c>
      <c r="M90" s="86"/>
      <c r="N90" s="162">
        <f t="shared" si="38"/>
        <v>0</v>
      </c>
      <c r="O90" s="88">
        <f t="shared" si="39"/>
        <v>0</v>
      </c>
      <c r="P90" s="88">
        <f t="shared" si="40"/>
        <v>0</v>
      </c>
      <c r="Q90" s="78">
        <f t="shared" si="41"/>
        <v>0</v>
      </c>
      <c r="R90" s="88">
        <f t="shared" si="42"/>
        <v>0</v>
      </c>
      <c r="S90" s="88">
        <f t="shared" si="43"/>
        <v>0</v>
      </c>
      <c r="T90" s="78">
        <f t="shared" si="44"/>
        <v>0</v>
      </c>
      <c r="V90" s="256" t="s">
        <v>459</v>
      </c>
      <c r="Y90" t="e">
        <f>_xlfn.IFNA(VLOOKUP(C90,#REF!,2,FALSE),"")</f>
        <v>#REF!</v>
      </c>
      <c r="Z90" t="e">
        <f t="shared" si="37"/>
        <v>#REF!</v>
      </c>
      <c r="AA90" t="e">
        <f>_xlfn.IFNA(VLOOKUP(C90,#REF!,2,FALSE),F90)</f>
        <v>#REF!</v>
      </c>
      <c r="AB90" t="str">
        <f t="shared" si="36"/>
        <v/>
      </c>
      <c r="AD90" s="108"/>
      <c r="AE90" s="108"/>
    </row>
    <row r="91" spans="2:31">
      <c r="B91" s="89" t="s">
        <v>126</v>
      </c>
      <c r="C91" s="90" t="s">
        <v>145</v>
      </c>
      <c r="D91" s="90" t="s">
        <v>72</v>
      </c>
      <c r="E91" s="89" t="s">
        <v>970</v>
      </c>
      <c r="F91" s="202"/>
      <c r="H91" s="86" t="s">
        <v>69</v>
      </c>
      <c r="I91" s="87" t="s">
        <v>145</v>
      </c>
      <c r="J91" s="87" t="s">
        <v>111</v>
      </c>
      <c r="K91" s="87" t="s">
        <v>100</v>
      </c>
      <c r="L91" s="87" t="s">
        <v>245</v>
      </c>
      <c r="M91" s="86"/>
      <c r="N91" s="162">
        <f t="shared" si="38"/>
        <v>0</v>
      </c>
      <c r="O91" s="88">
        <f t="shared" si="39"/>
        <v>0</v>
      </c>
      <c r="P91" s="88">
        <f t="shared" si="40"/>
        <v>0</v>
      </c>
      <c r="Q91" s="78">
        <f t="shared" si="41"/>
        <v>0</v>
      </c>
      <c r="R91" s="88">
        <f t="shared" si="42"/>
        <v>0</v>
      </c>
      <c r="S91" s="88">
        <f t="shared" si="43"/>
        <v>0</v>
      </c>
      <c r="T91" s="78">
        <f t="shared" si="44"/>
        <v>0</v>
      </c>
      <c r="V91" s="256" t="s">
        <v>473</v>
      </c>
      <c r="Y91" t="e">
        <f>_xlfn.IFNA(VLOOKUP(C91,#REF!,2,FALSE),"")</f>
        <v>#REF!</v>
      </c>
      <c r="Z91" t="e">
        <f t="shared" si="37"/>
        <v>#REF!</v>
      </c>
      <c r="AA91" t="e">
        <f>_xlfn.IFNA(VLOOKUP(C91,#REF!,2,FALSE),F91)</f>
        <v>#REF!</v>
      </c>
      <c r="AB91" t="str">
        <f t="shared" si="36"/>
        <v/>
      </c>
      <c r="AD91" s="108"/>
      <c r="AE91" s="108"/>
    </row>
    <row r="92" spans="2:31">
      <c r="B92" s="89" t="s">
        <v>126</v>
      </c>
      <c r="C92" s="90" t="s">
        <v>433</v>
      </c>
      <c r="D92" s="90"/>
      <c r="E92" s="89" t="s">
        <v>970</v>
      </c>
      <c r="F92" s="202"/>
      <c r="H92" s="86" t="s">
        <v>69</v>
      </c>
      <c r="I92" s="87" t="s">
        <v>433</v>
      </c>
      <c r="J92" s="87" t="s">
        <v>111</v>
      </c>
      <c r="K92" s="87" t="s">
        <v>435</v>
      </c>
      <c r="L92" s="87" t="s">
        <v>434</v>
      </c>
      <c r="M92" s="86"/>
      <c r="N92" s="162">
        <f t="shared" si="38"/>
        <v>0</v>
      </c>
      <c r="O92" s="88">
        <f t="shared" si="39"/>
        <v>0</v>
      </c>
      <c r="P92" s="88">
        <f t="shared" si="40"/>
        <v>0</v>
      </c>
      <c r="Q92" s="78">
        <f t="shared" si="41"/>
        <v>0</v>
      </c>
      <c r="R92" s="88">
        <f t="shared" si="42"/>
        <v>0</v>
      </c>
      <c r="S92" s="88">
        <f t="shared" si="43"/>
        <v>0</v>
      </c>
      <c r="T92" s="78">
        <f t="shared" si="44"/>
        <v>0</v>
      </c>
      <c r="V92" s="256" t="s">
        <v>474</v>
      </c>
      <c r="Y92" t="e">
        <f>_xlfn.IFNA(VLOOKUP(C92,#REF!,2,FALSE),"")</f>
        <v>#REF!</v>
      </c>
      <c r="Z92" t="e">
        <f t="shared" si="37"/>
        <v>#REF!</v>
      </c>
      <c r="AA92" t="e">
        <f>_xlfn.IFNA(VLOOKUP(C92,#REF!,2,FALSE),F92)</f>
        <v>#REF!</v>
      </c>
      <c r="AB92" t="str">
        <f t="shared" si="36"/>
        <v/>
      </c>
      <c r="AD92" s="108"/>
      <c r="AE92" s="108"/>
    </row>
    <row r="93" spans="2:31">
      <c r="B93" s="89" t="s">
        <v>126</v>
      </c>
      <c r="C93" s="90" t="s">
        <v>144</v>
      </c>
      <c r="D93" s="90">
        <v>260</v>
      </c>
      <c r="E93" s="89" t="s">
        <v>970</v>
      </c>
      <c r="F93" s="202"/>
      <c r="H93" s="86" t="s">
        <v>69</v>
      </c>
      <c r="I93" s="87" t="s">
        <v>144</v>
      </c>
      <c r="J93" s="87" t="s">
        <v>111</v>
      </c>
      <c r="K93" s="87" t="s">
        <v>63</v>
      </c>
      <c r="L93" s="87" t="s">
        <v>246</v>
      </c>
      <c r="M93" s="86"/>
      <c r="N93" s="162">
        <f t="shared" si="38"/>
        <v>0</v>
      </c>
      <c r="O93" s="88">
        <f t="shared" si="39"/>
        <v>0</v>
      </c>
      <c r="P93" s="88">
        <f t="shared" si="40"/>
        <v>0</v>
      </c>
      <c r="Q93" s="78">
        <f t="shared" si="41"/>
        <v>0</v>
      </c>
      <c r="R93" s="88">
        <f t="shared" si="42"/>
        <v>0</v>
      </c>
      <c r="S93" s="88">
        <f t="shared" si="43"/>
        <v>0</v>
      </c>
      <c r="T93" s="78">
        <f t="shared" si="44"/>
        <v>0</v>
      </c>
      <c r="V93" s="256" t="s">
        <v>460</v>
      </c>
      <c r="Y93" t="e">
        <f>_xlfn.IFNA(VLOOKUP(C93,#REF!,2,FALSE),"")</f>
        <v>#REF!</v>
      </c>
      <c r="Z93" t="e">
        <f t="shared" si="37"/>
        <v>#REF!</v>
      </c>
      <c r="AA93" t="e">
        <f>_xlfn.IFNA(VLOOKUP(C93,#REF!,2,FALSE),F93)</f>
        <v>#REF!</v>
      </c>
      <c r="AB93" t="str">
        <f t="shared" si="36"/>
        <v/>
      </c>
      <c r="AD93" s="108"/>
      <c r="AE93" s="108"/>
    </row>
    <row r="94" spans="2:31">
      <c r="B94" s="89" t="s">
        <v>126</v>
      </c>
      <c r="C94" s="90" t="s">
        <v>139</v>
      </c>
      <c r="D94" s="90">
        <v>230</v>
      </c>
      <c r="E94" s="89" t="s">
        <v>970</v>
      </c>
      <c r="F94" s="202"/>
      <c r="H94" s="86" t="s">
        <v>69</v>
      </c>
      <c r="I94" s="87" t="s">
        <v>139</v>
      </c>
      <c r="J94" s="87" t="s">
        <v>111</v>
      </c>
      <c r="K94" s="87" t="s">
        <v>63</v>
      </c>
      <c r="L94" s="87" t="s">
        <v>246</v>
      </c>
      <c r="M94" s="86"/>
      <c r="N94" s="162">
        <f t="shared" si="38"/>
        <v>0</v>
      </c>
      <c r="O94" s="88">
        <f t="shared" si="39"/>
        <v>0</v>
      </c>
      <c r="P94" s="88">
        <f t="shared" si="40"/>
        <v>0</v>
      </c>
      <c r="Q94" s="78">
        <f t="shared" si="41"/>
        <v>0</v>
      </c>
      <c r="R94" s="88">
        <f t="shared" si="42"/>
        <v>0</v>
      </c>
      <c r="S94" s="88">
        <f t="shared" si="43"/>
        <v>0</v>
      </c>
      <c r="T94" s="78">
        <f t="shared" si="44"/>
        <v>0</v>
      </c>
      <c r="V94" s="256" t="s">
        <v>461</v>
      </c>
      <c r="Y94" t="e">
        <f>_xlfn.IFNA(VLOOKUP(C94,#REF!,2,FALSE),"")</f>
        <v>#REF!</v>
      </c>
      <c r="Z94" t="e">
        <f t="shared" si="37"/>
        <v>#REF!</v>
      </c>
      <c r="AA94" t="e">
        <f>_xlfn.IFNA(VLOOKUP(C94,#REF!,2,FALSE),F94)</f>
        <v>#REF!</v>
      </c>
      <c r="AB94" t="str">
        <f t="shared" si="36"/>
        <v/>
      </c>
      <c r="AD94" s="108"/>
      <c r="AE94" s="108"/>
    </row>
    <row r="95" spans="2:31">
      <c r="B95" s="89" t="s">
        <v>126</v>
      </c>
      <c r="C95" s="90" t="s">
        <v>142</v>
      </c>
      <c r="D95" s="90" t="s">
        <v>141</v>
      </c>
      <c r="E95" s="89" t="s">
        <v>970</v>
      </c>
      <c r="F95" s="202"/>
      <c r="H95" s="86" t="s">
        <v>69</v>
      </c>
      <c r="I95" s="87" t="s">
        <v>142</v>
      </c>
      <c r="J95" s="87" t="s">
        <v>111</v>
      </c>
      <c r="K95" s="87" t="s">
        <v>64</v>
      </c>
      <c r="L95" s="87" t="s">
        <v>247</v>
      </c>
      <c r="M95" s="86"/>
      <c r="N95" s="162">
        <f t="shared" si="38"/>
        <v>0</v>
      </c>
      <c r="O95" s="88">
        <f t="shared" si="39"/>
        <v>0</v>
      </c>
      <c r="P95" s="88">
        <f t="shared" si="40"/>
        <v>0</v>
      </c>
      <c r="Q95" s="78">
        <f t="shared" si="41"/>
        <v>0</v>
      </c>
      <c r="R95" s="88">
        <f t="shared" si="42"/>
        <v>0</v>
      </c>
      <c r="S95" s="88">
        <f t="shared" si="43"/>
        <v>0</v>
      </c>
      <c r="T95" s="78">
        <f t="shared" si="44"/>
        <v>0</v>
      </c>
      <c r="V95" s="256" t="s">
        <v>462</v>
      </c>
      <c r="Y95" t="e">
        <f>_xlfn.IFNA(VLOOKUP(C95,#REF!,2,FALSE),"")</f>
        <v>#REF!</v>
      </c>
      <c r="Z95" t="e">
        <f t="shared" si="37"/>
        <v>#REF!</v>
      </c>
      <c r="AA95" t="e">
        <f>_xlfn.IFNA(VLOOKUP(C95,#REF!,2,FALSE),F95)</f>
        <v>#REF!</v>
      </c>
      <c r="AB95" t="str">
        <f t="shared" si="36"/>
        <v/>
      </c>
      <c r="AD95" s="108"/>
      <c r="AE95" s="108"/>
    </row>
    <row r="96" spans="2:31">
      <c r="B96" s="89" t="s">
        <v>126</v>
      </c>
      <c r="C96" s="90" t="s">
        <v>137</v>
      </c>
      <c r="D96" s="90">
        <v>350</v>
      </c>
      <c r="E96" s="89" t="s">
        <v>970</v>
      </c>
      <c r="F96" s="202"/>
      <c r="H96" s="86" t="s">
        <v>69</v>
      </c>
      <c r="I96" s="87" t="s">
        <v>137</v>
      </c>
      <c r="J96" s="87" t="s">
        <v>111</v>
      </c>
      <c r="K96" s="87" t="s">
        <v>62</v>
      </c>
      <c r="L96" s="87" t="s">
        <v>248</v>
      </c>
      <c r="M96" s="86"/>
      <c r="N96" s="162">
        <f t="shared" si="38"/>
        <v>0</v>
      </c>
      <c r="O96" s="88">
        <f t="shared" si="39"/>
        <v>0</v>
      </c>
      <c r="P96" s="88">
        <f t="shared" si="40"/>
        <v>0</v>
      </c>
      <c r="Q96" s="78">
        <f t="shared" si="41"/>
        <v>0</v>
      </c>
      <c r="R96" s="88">
        <f t="shared" si="42"/>
        <v>0</v>
      </c>
      <c r="S96" s="88">
        <f t="shared" si="43"/>
        <v>0</v>
      </c>
      <c r="T96" s="78">
        <f t="shared" si="44"/>
        <v>0</v>
      </c>
      <c r="V96" s="256" t="s">
        <v>463</v>
      </c>
      <c r="Y96" t="e">
        <f>_xlfn.IFNA(VLOOKUP(C96,#REF!,2,FALSE),"")</f>
        <v>#REF!</v>
      </c>
      <c r="Z96" t="e">
        <f t="shared" si="37"/>
        <v>#REF!</v>
      </c>
      <c r="AA96" t="e">
        <f>_xlfn.IFNA(VLOOKUP(C96,#REF!,2,FALSE),F96)</f>
        <v>#REF!</v>
      </c>
      <c r="AB96" t="str">
        <f t="shared" si="36"/>
        <v/>
      </c>
      <c r="AD96" s="108"/>
      <c r="AE96" s="108"/>
    </row>
    <row r="97" spans="2:31">
      <c r="B97" s="89" t="s">
        <v>126</v>
      </c>
      <c r="C97" s="90" t="s">
        <v>290</v>
      </c>
      <c r="D97" s="90" t="s">
        <v>113</v>
      </c>
      <c r="E97" s="89" t="s">
        <v>970</v>
      </c>
      <c r="F97" s="202"/>
      <c r="H97" s="91" t="s">
        <v>69</v>
      </c>
      <c r="I97" s="92" t="s">
        <v>290</v>
      </c>
      <c r="J97" s="92" t="s">
        <v>111</v>
      </c>
      <c r="K97" s="91" t="s">
        <v>124</v>
      </c>
      <c r="L97" s="92" t="s">
        <v>255</v>
      </c>
      <c r="M97" s="91"/>
      <c r="N97" s="162">
        <f t="shared" si="38"/>
        <v>0</v>
      </c>
      <c r="O97" s="88">
        <f t="shared" si="39"/>
        <v>0</v>
      </c>
      <c r="P97" s="88">
        <f t="shared" si="40"/>
        <v>0</v>
      </c>
      <c r="Q97" s="78">
        <f t="shared" si="41"/>
        <v>0</v>
      </c>
      <c r="R97" s="88">
        <f t="shared" si="42"/>
        <v>0</v>
      </c>
      <c r="S97" s="88">
        <f t="shared" si="43"/>
        <v>0</v>
      </c>
      <c r="T97" s="78">
        <f t="shared" si="44"/>
        <v>0</v>
      </c>
      <c r="V97" s="256" t="s">
        <v>464</v>
      </c>
      <c r="Y97" t="e">
        <f>_xlfn.IFNA(VLOOKUP(C97,#REF!,2,FALSE),"")</f>
        <v>#REF!</v>
      </c>
      <c r="Z97" t="e">
        <f t="shared" si="37"/>
        <v>#REF!</v>
      </c>
      <c r="AA97" t="e">
        <f>_xlfn.IFNA(VLOOKUP(C97,#REF!,2,FALSE),F97)</f>
        <v>#REF!</v>
      </c>
      <c r="AB97" t="str">
        <f t="shared" si="36"/>
        <v/>
      </c>
      <c r="AD97" s="108"/>
      <c r="AE97" s="108"/>
    </row>
    <row r="98" spans="2:31">
      <c r="B98" s="89" t="s">
        <v>126</v>
      </c>
      <c r="C98" s="90" t="s">
        <v>135</v>
      </c>
      <c r="D98" s="90" t="s">
        <v>68</v>
      </c>
      <c r="E98" s="89" t="s">
        <v>970</v>
      </c>
      <c r="F98" s="202"/>
      <c r="H98" s="86" t="s">
        <v>69</v>
      </c>
      <c r="I98" s="87" t="s">
        <v>135</v>
      </c>
      <c r="J98" s="87" t="s">
        <v>111</v>
      </c>
      <c r="K98" s="87" t="s">
        <v>106</v>
      </c>
      <c r="L98" s="87" t="s">
        <v>251</v>
      </c>
      <c r="M98" s="86"/>
      <c r="N98" s="162">
        <f t="shared" si="38"/>
        <v>0</v>
      </c>
      <c r="O98" s="88">
        <f t="shared" si="39"/>
        <v>0</v>
      </c>
      <c r="P98" s="88">
        <f t="shared" si="40"/>
        <v>0</v>
      </c>
      <c r="Q98" s="78">
        <f t="shared" si="41"/>
        <v>0</v>
      </c>
      <c r="R98" s="88">
        <f t="shared" si="42"/>
        <v>0</v>
      </c>
      <c r="S98" s="88">
        <f t="shared" si="43"/>
        <v>0</v>
      </c>
      <c r="T98" s="78">
        <f t="shared" si="44"/>
        <v>0</v>
      </c>
      <c r="V98" s="256" t="s">
        <v>465</v>
      </c>
      <c r="Y98" t="e">
        <f>_xlfn.IFNA(VLOOKUP(C98,#REF!,2,FALSE),"")</f>
        <v>#REF!</v>
      </c>
      <c r="Z98" t="e">
        <f t="shared" si="37"/>
        <v>#REF!</v>
      </c>
      <c r="AA98" t="e">
        <f>_xlfn.IFNA(VLOOKUP(C98,#REF!,2,FALSE),F98)</f>
        <v>#REF!</v>
      </c>
      <c r="AB98" t="str">
        <f t="shared" si="36"/>
        <v/>
      </c>
      <c r="AD98" s="108"/>
      <c r="AE98" s="108"/>
    </row>
    <row r="99" spans="2:31">
      <c r="B99" s="89" t="s">
        <v>126</v>
      </c>
      <c r="C99" s="90" t="s">
        <v>131</v>
      </c>
      <c r="D99" s="90">
        <v>23333</v>
      </c>
      <c r="E99" s="89" t="s">
        <v>970</v>
      </c>
      <c r="F99" s="202"/>
      <c r="H99" s="86" t="s">
        <v>69</v>
      </c>
      <c r="I99" s="87" t="s">
        <v>300</v>
      </c>
      <c r="J99" s="87" t="s">
        <v>111</v>
      </c>
      <c r="K99" s="87" t="s">
        <v>58</v>
      </c>
      <c r="L99" s="87" t="s">
        <v>261</v>
      </c>
      <c r="M99" s="86"/>
      <c r="N99" s="162">
        <f t="shared" si="38"/>
        <v>0</v>
      </c>
      <c r="O99" s="88">
        <f t="shared" si="39"/>
        <v>0</v>
      </c>
      <c r="P99" s="88">
        <f t="shared" si="40"/>
        <v>0</v>
      </c>
      <c r="Q99" s="78">
        <f t="shared" si="41"/>
        <v>0</v>
      </c>
      <c r="R99" s="88">
        <f t="shared" si="42"/>
        <v>0</v>
      </c>
      <c r="S99" s="88">
        <f t="shared" si="43"/>
        <v>0</v>
      </c>
      <c r="T99" s="78">
        <f t="shared" si="44"/>
        <v>0</v>
      </c>
      <c r="V99" s="256" t="s">
        <v>466</v>
      </c>
      <c r="Y99" t="e">
        <f>_xlfn.IFNA(VLOOKUP(C99,#REF!,2,FALSE),"")</f>
        <v>#REF!</v>
      </c>
      <c r="Z99" t="e">
        <f t="shared" si="37"/>
        <v>#REF!</v>
      </c>
      <c r="AA99" t="e">
        <f>_xlfn.IFNA(VLOOKUP(C99,#REF!,2,FALSE),F99)</f>
        <v>#REF!</v>
      </c>
      <c r="AB99" t="str">
        <f t="shared" si="36"/>
        <v/>
      </c>
      <c r="AD99" s="108"/>
      <c r="AE99" s="108"/>
    </row>
    <row r="100" spans="2:31">
      <c r="B100" s="89" t="s">
        <v>126</v>
      </c>
      <c r="C100" s="90" t="s">
        <v>133</v>
      </c>
      <c r="D100" s="90" t="s">
        <v>113</v>
      </c>
      <c r="E100" s="89" t="s">
        <v>970</v>
      </c>
      <c r="F100" s="202"/>
      <c r="H100" s="86" t="s">
        <v>69</v>
      </c>
      <c r="I100" s="87" t="s">
        <v>133</v>
      </c>
      <c r="J100" s="87" t="s">
        <v>111</v>
      </c>
      <c r="K100" s="87" t="s">
        <v>114</v>
      </c>
      <c r="L100" s="87" t="s">
        <v>252</v>
      </c>
      <c r="M100" s="86"/>
      <c r="N100" s="162">
        <f t="shared" si="38"/>
        <v>0</v>
      </c>
      <c r="O100" s="88">
        <f t="shared" si="39"/>
        <v>0</v>
      </c>
      <c r="P100" s="88">
        <f t="shared" si="40"/>
        <v>0</v>
      </c>
      <c r="Q100" s="78">
        <f t="shared" si="41"/>
        <v>0</v>
      </c>
      <c r="R100" s="88">
        <f t="shared" si="42"/>
        <v>0</v>
      </c>
      <c r="S100" s="88">
        <f t="shared" si="43"/>
        <v>0</v>
      </c>
      <c r="T100" s="78">
        <f t="shared" si="44"/>
        <v>0</v>
      </c>
      <c r="V100" s="256" t="s">
        <v>467</v>
      </c>
      <c r="Y100" t="e">
        <f>_xlfn.IFNA(VLOOKUP(C100,#REF!,2,FALSE),"")</f>
        <v>#REF!</v>
      </c>
      <c r="Z100" t="e">
        <f t="shared" si="37"/>
        <v>#REF!</v>
      </c>
      <c r="AA100" t="e">
        <f>_xlfn.IFNA(VLOOKUP(C100,#REF!,2,FALSE),F100)</f>
        <v>#REF!</v>
      </c>
      <c r="AB100" t="str">
        <f t="shared" si="36"/>
        <v/>
      </c>
      <c r="AD100" s="108"/>
      <c r="AE100" s="108"/>
    </row>
    <row r="101" spans="2:31">
      <c r="B101" s="89" t="s">
        <v>126</v>
      </c>
      <c r="C101" s="90" t="s">
        <v>430</v>
      </c>
      <c r="D101" s="90" t="s">
        <v>113</v>
      </c>
      <c r="E101" s="89" t="s">
        <v>970</v>
      </c>
      <c r="F101" s="202"/>
      <c r="H101" s="86" t="s">
        <v>69</v>
      </c>
      <c r="I101" s="87" t="s">
        <v>430</v>
      </c>
      <c r="J101" s="87" t="s">
        <v>111</v>
      </c>
      <c r="K101" s="87" t="s">
        <v>431</v>
      </c>
      <c r="L101" s="87" t="s">
        <v>432</v>
      </c>
      <c r="M101" s="86"/>
      <c r="N101" s="162">
        <f t="shared" si="38"/>
        <v>0</v>
      </c>
      <c r="O101" s="88">
        <f t="shared" si="39"/>
        <v>0</v>
      </c>
      <c r="P101" s="88">
        <f t="shared" si="40"/>
        <v>0</v>
      </c>
      <c r="Q101" s="78">
        <f t="shared" si="41"/>
        <v>0</v>
      </c>
      <c r="R101" s="88">
        <f t="shared" si="42"/>
        <v>0</v>
      </c>
      <c r="S101" s="88">
        <f t="shared" si="43"/>
        <v>0</v>
      </c>
      <c r="T101" s="78">
        <f t="shared" si="44"/>
        <v>0</v>
      </c>
      <c r="V101" s="256" t="s">
        <v>475</v>
      </c>
      <c r="Y101" t="e">
        <f>_xlfn.IFNA(VLOOKUP(C101,#REF!,2,FALSE),"")</f>
        <v>#REF!</v>
      </c>
      <c r="Z101" t="e">
        <f t="shared" si="37"/>
        <v>#REF!</v>
      </c>
      <c r="AA101" t="e">
        <f>_xlfn.IFNA(VLOOKUP(C101,#REF!,2,FALSE),F101)</f>
        <v>#REF!</v>
      </c>
      <c r="AB101" t="str">
        <f t="shared" si="36"/>
        <v/>
      </c>
      <c r="AD101" s="108"/>
      <c r="AE101" s="108"/>
    </row>
    <row r="102" spans="2:31">
      <c r="B102" s="89" t="s">
        <v>126</v>
      </c>
      <c r="C102" s="90" t="s">
        <v>127</v>
      </c>
      <c r="D102" s="90" t="s">
        <v>113</v>
      </c>
      <c r="E102" s="89" t="s">
        <v>970</v>
      </c>
      <c r="F102" s="202"/>
      <c r="H102" s="86" t="s">
        <v>69</v>
      </c>
      <c r="I102" s="87" t="s">
        <v>127</v>
      </c>
      <c r="J102" s="87" t="s">
        <v>111</v>
      </c>
      <c r="K102" s="86" t="s">
        <v>78</v>
      </c>
      <c r="L102" s="87" t="s">
        <v>253</v>
      </c>
      <c r="M102" s="86"/>
      <c r="N102" s="162">
        <f t="shared" si="38"/>
        <v>0</v>
      </c>
      <c r="O102" s="88">
        <f t="shared" si="39"/>
        <v>0</v>
      </c>
      <c r="P102" s="88">
        <f t="shared" si="40"/>
        <v>0</v>
      </c>
      <c r="Q102" s="78">
        <f t="shared" si="41"/>
        <v>0</v>
      </c>
      <c r="R102" s="88">
        <f t="shared" si="42"/>
        <v>0</v>
      </c>
      <c r="S102" s="88">
        <f t="shared" si="43"/>
        <v>0</v>
      </c>
      <c r="T102" s="78">
        <f t="shared" si="44"/>
        <v>0</v>
      </c>
      <c r="V102" s="256" t="s">
        <v>468</v>
      </c>
      <c r="Y102" t="e">
        <f>_xlfn.IFNA(VLOOKUP(C102,#REF!,2,FALSE),"")</f>
        <v>#REF!</v>
      </c>
      <c r="Z102" t="e">
        <f t="shared" si="37"/>
        <v>#REF!</v>
      </c>
      <c r="AA102" t="e">
        <f>_xlfn.IFNA(VLOOKUP(C102,#REF!,2,FALSE),F102)</f>
        <v>#REF!</v>
      </c>
      <c r="AB102" t="str">
        <f t="shared" si="36"/>
        <v/>
      </c>
      <c r="AD102" s="108"/>
      <c r="AE102" s="108"/>
    </row>
    <row r="103" spans="2:31">
      <c r="B103" s="89" t="s">
        <v>126</v>
      </c>
      <c r="C103" s="90" t="s">
        <v>125</v>
      </c>
      <c r="D103" s="90" t="s">
        <v>113</v>
      </c>
      <c r="E103" s="89" t="s">
        <v>970</v>
      </c>
      <c r="F103" s="202"/>
      <c r="H103" s="86" t="s">
        <v>69</v>
      </c>
      <c r="I103" s="87" t="s">
        <v>125</v>
      </c>
      <c r="J103" s="87" t="s">
        <v>111</v>
      </c>
      <c r="K103" s="86" t="s">
        <v>73</v>
      </c>
      <c r="L103" s="87" t="s">
        <v>254</v>
      </c>
      <c r="M103" s="86"/>
      <c r="N103" s="162">
        <f t="shared" si="38"/>
        <v>0</v>
      </c>
      <c r="O103" s="88">
        <f t="shared" si="39"/>
        <v>0</v>
      </c>
      <c r="P103" s="88">
        <f t="shared" si="40"/>
        <v>0</v>
      </c>
      <c r="Q103" s="78">
        <f t="shared" si="41"/>
        <v>0</v>
      </c>
      <c r="R103" s="88">
        <f t="shared" si="42"/>
        <v>0</v>
      </c>
      <c r="S103" s="88">
        <f t="shared" si="43"/>
        <v>0</v>
      </c>
      <c r="T103" s="78">
        <f t="shared" si="44"/>
        <v>0</v>
      </c>
      <c r="V103" s="256" t="s">
        <v>469</v>
      </c>
      <c r="Y103" t="e">
        <f>_xlfn.IFNA(VLOOKUP(C103,#REF!,2,FALSE),"")</f>
        <v>#REF!</v>
      </c>
      <c r="Z103" t="e">
        <f t="shared" si="37"/>
        <v>#REF!</v>
      </c>
      <c r="AA103" t="e">
        <f>_xlfn.IFNA(VLOOKUP(C103,#REF!,2,FALSE),F103)</f>
        <v>#REF!</v>
      </c>
      <c r="AB103" t="str">
        <f t="shared" si="36"/>
        <v/>
      </c>
      <c r="AD103" s="108"/>
      <c r="AE103" s="108"/>
    </row>
    <row r="104" spans="2:31">
      <c r="B104" s="89" t="s">
        <v>126</v>
      </c>
      <c r="C104" s="90" t="s">
        <v>322</v>
      </c>
      <c r="D104" s="90" t="s">
        <v>113</v>
      </c>
      <c r="E104" s="89" t="s">
        <v>970</v>
      </c>
      <c r="F104" s="202"/>
      <c r="H104" s="91" t="s">
        <v>69</v>
      </c>
      <c r="I104" s="92" t="s">
        <v>322</v>
      </c>
      <c r="J104" s="92" t="s">
        <v>111</v>
      </c>
      <c r="K104" s="91" t="s">
        <v>323</v>
      </c>
      <c r="L104" s="92" t="s">
        <v>324</v>
      </c>
      <c r="M104" s="91"/>
      <c r="N104" s="162">
        <f t="shared" si="38"/>
        <v>0</v>
      </c>
      <c r="O104" s="88">
        <f t="shared" si="39"/>
        <v>0</v>
      </c>
      <c r="P104" s="88">
        <f t="shared" si="40"/>
        <v>0</v>
      </c>
      <c r="Q104" s="78">
        <f t="shared" si="41"/>
        <v>0</v>
      </c>
      <c r="R104" s="88">
        <f t="shared" si="42"/>
        <v>0</v>
      </c>
      <c r="S104" s="88">
        <f t="shared" si="43"/>
        <v>0</v>
      </c>
      <c r="T104" s="78">
        <f t="shared" si="44"/>
        <v>0</v>
      </c>
      <c r="V104" s="256" t="s">
        <v>470</v>
      </c>
      <c r="Y104" t="e">
        <f>_xlfn.IFNA(VLOOKUP(C104,#REF!,2,FALSE),"")</f>
        <v>#REF!</v>
      </c>
      <c r="Z104" t="e">
        <f t="shared" si="37"/>
        <v>#REF!</v>
      </c>
      <c r="AA104" t="e">
        <f>_xlfn.IFNA(VLOOKUP(C104,#REF!,2,FALSE),F104)</f>
        <v>#REF!</v>
      </c>
      <c r="AB104" t="str">
        <f t="shared" si="36"/>
        <v/>
      </c>
      <c r="AD104" s="108"/>
      <c r="AE104" s="108"/>
    </row>
    <row r="105" spans="2:31">
      <c r="B105" s="89"/>
      <c r="C105" s="90"/>
      <c r="D105" s="90"/>
      <c r="E105" s="89"/>
      <c r="F105" s="202"/>
      <c r="H105" s="164" t="s">
        <v>69</v>
      </c>
      <c r="I105" s="165" t="s">
        <v>217</v>
      </c>
      <c r="J105" s="165" t="s">
        <v>111</v>
      </c>
      <c r="K105" s="164" t="s">
        <v>75</v>
      </c>
      <c r="L105" s="165" t="s">
        <v>218</v>
      </c>
      <c r="M105" s="164"/>
      <c r="N105" s="162">
        <v>19.71</v>
      </c>
      <c r="O105" s="124">
        <f t="shared" si="39"/>
        <v>7.8840000000000003</v>
      </c>
      <c r="P105" s="124">
        <f t="shared" si="40"/>
        <v>7.8840000000000003</v>
      </c>
      <c r="Q105" s="78">
        <f t="shared" si="41"/>
        <v>9.8550000000000004</v>
      </c>
      <c r="R105" s="124">
        <f t="shared" si="42"/>
        <v>7.8840000000000003</v>
      </c>
      <c r="S105" s="124">
        <f t="shared" si="43"/>
        <v>7.8840000000000003</v>
      </c>
      <c r="T105" s="78">
        <f t="shared" si="44"/>
        <v>8.6723999999999997</v>
      </c>
      <c r="V105" s="256"/>
      <c r="Y105" t="e">
        <f>_xlfn.IFNA(VLOOKUP(C105,#REF!,2,FALSE),"")</f>
        <v>#REF!</v>
      </c>
      <c r="Z105" t="e">
        <f t="shared" si="37"/>
        <v>#REF!</v>
      </c>
      <c r="AA105" t="e">
        <f>_xlfn.IFNA(VLOOKUP(C105,#REF!,2,FALSE),F105)</f>
        <v>#REF!</v>
      </c>
      <c r="AB105" t="str">
        <f t="shared" si="36"/>
        <v/>
      </c>
      <c r="AD105" s="108"/>
      <c r="AE105" s="108"/>
    </row>
    <row r="106" spans="2:31">
      <c r="B106" s="89"/>
      <c r="C106" s="90"/>
      <c r="D106" s="90"/>
      <c r="E106" s="89"/>
      <c r="F106" s="202"/>
      <c r="H106" s="164" t="s">
        <v>69</v>
      </c>
      <c r="I106" s="165" t="s">
        <v>285</v>
      </c>
      <c r="J106" s="165" t="s">
        <v>111</v>
      </c>
      <c r="K106" s="165" t="s">
        <v>74</v>
      </c>
      <c r="L106" s="165" t="s">
        <v>151</v>
      </c>
      <c r="M106" s="164"/>
      <c r="N106" s="162">
        <v>23.85</v>
      </c>
      <c r="O106" s="124">
        <f t="shared" si="39"/>
        <v>9.5400000000000009</v>
      </c>
      <c r="P106" s="124">
        <f t="shared" si="40"/>
        <v>9.5400000000000009</v>
      </c>
      <c r="Q106" s="78">
        <f t="shared" si="41"/>
        <v>11.925000000000001</v>
      </c>
      <c r="R106" s="124">
        <f t="shared" si="42"/>
        <v>9.5400000000000009</v>
      </c>
      <c r="S106" s="124">
        <f t="shared" si="43"/>
        <v>9.5400000000000009</v>
      </c>
      <c r="T106" s="78">
        <f t="shared" si="44"/>
        <v>10.494000000000002</v>
      </c>
      <c r="V106" s="256"/>
      <c r="Y106" t="e">
        <f>_xlfn.IFNA(VLOOKUP(C106,#REF!,2,FALSE),"")</f>
        <v>#REF!</v>
      </c>
      <c r="Z106" t="e">
        <f t="shared" si="37"/>
        <v>#REF!</v>
      </c>
      <c r="AA106" t="e">
        <f>_xlfn.IFNA(VLOOKUP(C106,#REF!,2,FALSE),F106)</f>
        <v>#REF!</v>
      </c>
      <c r="AB106" t="str">
        <f t="shared" si="36"/>
        <v/>
      </c>
      <c r="AD106" s="108"/>
      <c r="AE106" s="108"/>
    </row>
    <row r="107" spans="2:31">
      <c r="B107" s="89"/>
      <c r="C107" s="90"/>
      <c r="D107" s="90"/>
      <c r="E107" s="89"/>
      <c r="F107" s="202"/>
      <c r="H107" s="164" t="s">
        <v>69</v>
      </c>
      <c r="I107" s="165" t="s">
        <v>284</v>
      </c>
      <c r="J107" s="165" t="s">
        <v>111</v>
      </c>
      <c r="K107" s="165" t="s">
        <v>71</v>
      </c>
      <c r="L107" s="165" t="s">
        <v>150</v>
      </c>
      <c r="M107" s="164"/>
      <c r="N107" s="162">
        <v>14.83</v>
      </c>
      <c r="O107" s="124">
        <f t="shared" si="39"/>
        <v>5.9320000000000004</v>
      </c>
      <c r="P107" s="124">
        <f t="shared" si="40"/>
        <v>5.9320000000000004</v>
      </c>
      <c r="Q107" s="78">
        <f t="shared" si="41"/>
        <v>7.415</v>
      </c>
      <c r="R107" s="124">
        <f t="shared" si="42"/>
        <v>5.9320000000000004</v>
      </c>
      <c r="S107" s="124">
        <f t="shared" si="43"/>
        <v>5.9320000000000004</v>
      </c>
      <c r="T107" s="78">
        <f t="shared" si="44"/>
        <v>6.5251999999999999</v>
      </c>
      <c r="V107" s="256"/>
      <c r="Y107" t="e">
        <f>_xlfn.IFNA(VLOOKUP(C107,#REF!,2,FALSE),"")</f>
        <v>#REF!</v>
      </c>
      <c r="Z107" t="e">
        <f t="shared" si="37"/>
        <v>#REF!</v>
      </c>
      <c r="AA107" t="e">
        <f>_xlfn.IFNA(VLOOKUP(C107,#REF!,2,FALSE),F107)</f>
        <v>#REF!</v>
      </c>
      <c r="AB107" t="str">
        <f t="shared" si="36"/>
        <v/>
      </c>
      <c r="AD107" s="108"/>
      <c r="AE107" s="108"/>
    </row>
    <row r="108" spans="2:31">
      <c r="B108" s="89"/>
      <c r="C108" s="90"/>
      <c r="D108" s="90"/>
      <c r="E108" s="89"/>
      <c r="F108" s="202"/>
      <c r="H108" s="164" t="s">
        <v>69</v>
      </c>
      <c r="I108" s="165" t="s">
        <v>286</v>
      </c>
      <c r="J108" s="165" t="s">
        <v>111</v>
      </c>
      <c r="K108" s="165" t="s">
        <v>76</v>
      </c>
      <c r="L108" s="165" t="s">
        <v>149</v>
      </c>
      <c r="M108" s="164"/>
      <c r="N108" s="162">
        <v>30.78</v>
      </c>
      <c r="O108" s="124">
        <f t="shared" si="39"/>
        <v>12.312000000000001</v>
      </c>
      <c r="P108" s="124">
        <f t="shared" si="40"/>
        <v>12.312000000000001</v>
      </c>
      <c r="Q108" s="78">
        <f t="shared" si="41"/>
        <v>15.39</v>
      </c>
      <c r="R108" s="124">
        <f t="shared" si="42"/>
        <v>12.312000000000001</v>
      </c>
      <c r="S108" s="124">
        <f t="shared" si="43"/>
        <v>12.312000000000001</v>
      </c>
      <c r="T108" s="78">
        <f t="shared" si="44"/>
        <v>13.543200000000001</v>
      </c>
      <c r="V108" s="256"/>
      <c r="Y108" t="e">
        <f>_xlfn.IFNA(VLOOKUP(C108,#REF!,2,FALSE),"")</f>
        <v>#REF!</v>
      </c>
      <c r="Z108" t="e">
        <f t="shared" si="37"/>
        <v>#REF!</v>
      </c>
      <c r="AA108" t="e">
        <f>_xlfn.IFNA(VLOOKUP(C108,#REF!,2,FALSE),F108)</f>
        <v>#REF!</v>
      </c>
      <c r="AB108" t="str">
        <f t="shared" si="36"/>
        <v/>
      </c>
      <c r="AD108" s="108"/>
      <c r="AE108" s="108"/>
    </row>
    <row r="109" spans="2:31">
      <c r="B109" s="89"/>
      <c r="C109" s="90"/>
      <c r="D109" s="90"/>
      <c r="E109" s="89"/>
      <c r="F109" s="202"/>
      <c r="H109" s="164" t="s">
        <v>69</v>
      </c>
      <c r="I109" s="165" t="s">
        <v>283</v>
      </c>
      <c r="J109" s="165" t="s">
        <v>111</v>
      </c>
      <c r="K109" s="165" t="s">
        <v>59</v>
      </c>
      <c r="L109" s="165" t="s">
        <v>250</v>
      </c>
      <c r="M109" s="164"/>
      <c r="N109" s="162">
        <v>18.12</v>
      </c>
      <c r="O109" s="124">
        <f t="shared" si="39"/>
        <v>7.2480000000000011</v>
      </c>
      <c r="P109" s="124">
        <f t="shared" si="40"/>
        <v>7.2480000000000011</v>
      </c>
      <c r="Q109" s="78">
        <f t="shared" si="41"/>
        <v>9.06</v>
      </c>
      <c r="R109" s="124">
        <f t="shared" si="42"/>
        <v>7.2480000000000011</v>
      </c>
      <c r="S109" s="124">
        <f t="shared" si="43"/>
        <v>7.2480000000000011</v>
      </c>
      <c r="T109" s="78">
        <f t="shared" si="44"/>
        <v>7.9728000000000003</v>
      </c>
      <c r="V109" s="256"/>
      <c r="Y109" t="e">
        <f>_xlfn.IFNA(VLOOKUP(C109,#REF!,2,FALSE),"")</f>
        <v>#REF!</v>
      </c>
      <c r="Z109" t="e">
        <f t="shared" si="37"/>
        <v>#REF!</v>
      </c>
      <c r="AA109" t="e">
        <f>_xlfn.IFNA(VLOOKUP(C109,#REF!,2,FALSE),F109)</f>
        <v>#REF!</v>
      </c>
      <c r="AB109" t="str">
        <f t="shared" si="36"/>
        <v/>
      </c>
      <c r="AD109" s="108"/>
      <c r="AE109" s="108"/>
    </row>
    <row r="110" spans="2:31">
      <c r="C110" s="142"/>
      <c r="D110" s="142"/>
      <c r="F110" s="314"/>
      <c r="T110" s="206"/>
      <c r="Y110" t="e">
        <f>_xlfn.IFNA(VLOOKUP(C110,#REF!,2,FALSE),"")</f>
        <v>#REF!</v>
      </c>
      <c r="Z110" t="e">
        <f t="shared" si="37"/>
        <v>#REF!</v>
      </c>
      <c r="AA110" t="e">
        <f>_xlfn.IFNA(VLOOKUP(C110,#REF!,2,FALSE),F110)</f>
        <v>#REF!</v>
      </c>
      <c r="AB110" t="str">
        <f t="shared" si="36"/>
        <v/>
      </c>
      <c r="AD110" s="108"/>
      <c r="AE110" s="108"/>
    </row>
    <row r="111" spans="2:31">
      <c r="B111" s="93" t="s">
        <v>66</v>
      </c>
      <c r="C111" s="93" t="s">
        <v>123</v>
      </c>
      <c r="D111" s="94" t="s">
        <v>113</v>
      </c>
      <c r="E111" s="93" t="s">
        <v>970</v>
      </c>
      <c r="F111" s="202"/>
      <c r="H111" s="98" t="s">
        <v>66</v>
      </c>
      <c r="I111" s="98" t="s">
        <v>123</v>
      </c>
      <c r="J111" s="99" t="s">
        <v>111</v>
      </c>
      <c r="K111" s="98" t="s">
        <v>56</v>
      </c>
      <c r="L111" s="99" t="s">
        <v>264</v>
      </c>
      <c r="M111" s="98"/>
      <c r="N111" s="162">
        <f t="shared" ref="N111:N127" si="45">F111</f>
        <v>0</v>
      </c>
      <c r="O111" s="100">
        <f t="shared" ref="O111:O129" si="46">(N111*0.4+$I$327*0.42+$I$328*0.18)</f>
        <v>0</v>
      </c>
      <c r="P111" s="100">
        <f t="shared" ref="P111:P129" si="47">N111*0.4+$I$327*0.24+$I$330*0.12+$I$331*0.24</f>
        <v>0</v>
      </c>
      <c r="Q111" s="78">
        <f t="shared" ref="Q111:Q129" si="48">N111*0.5+$I$327*0.15+$I$329*0.1+$I$330*0.25</f>
        <v>0</v>
      </c>
      <c r="R111" s="100">
        <f t="shared" ref="R111:R129" si="49">N111*0.4+$I$327*0.6</f>
        <v>0</v>
      </c>
      <c r="S111" s="79">
        <f t="shared" ref="S111:S129" si="50">(N111*0.4+$I$327*0.36+$I$328*0.24)</f>
        <v>0</v>
      </c>
      <c r="T111" s="176">
        <f t="shared" ref="T111:T129" si="51">(N111*0.44+$I$327*0.45+$I$328*0.11)</f>
        <v>0</v>
      </c>
      <c r="V111" s="256" t="s">
        <v>476</v>
      </c>
      <c r="Y111" t="e">
        <f>_xlfn.IFNA(VLOOKUP(C111,#REF!,2,FALSE),"")</f>
        <v>#REF!</v>
      </c>
      <c r="Z111" t="e">
        <f t="shared" si="37"/>
        <v>#REF!</v>
      </c>
      <c r="AA111" t="e">
        <f>_xlfn.IFNA(VLOOKUP(C111,#REF!,2,FALSE),F111)</f>
        <v>#REF!</v>
      </c>
      <c r="AB111" t="str">
        <f t="shared" si="36"/>
        <v/>
      </c>
      <c r="AD111" s="108"/>
      <c r="AE111" s="108"/>
    </row>
    <row r="112" spans="2:31">
      <c r="B112" s="93" t="s">
        <v>66</v>
      </c>
      <c r="C112" s="93" t="s">
        <v>105</v>
      </c>
      <c r="D112" s="94" t="s">
        <v>113</v>
      </c>
      <c r="E112" s="93" t="s">
        <v>970</v>
      </c>
      <c r="F112" s="202"/>
      <c r="H112" s="98" t="s">
        <v>66</v>
      </c>
      <c r="I112" s="98" t="s">
        <v>105</v>
      </c>
      <c r="J112" s="99" t="s">
        <v>111</v>
      </c>
      <c r="K112" s="98" t="s">
        <v>60</v>
      </c>
      <c r="L112" s="99" t="s">
        <v>296</v>
      </c>
      <c r="M112" s="98"/>
      <c r="N112" s="162">
        <f t="shared" si="45"/>
        <v>0</v>
      </c>
      <c r="O112" s="100">
        <f t="shared" si="46"/>
        <v>0</v>
      </c>
      <c r="P112" s="100">
        <f t="shared" si="47"/>
        <v>0</v>
      </c>
      <c r="Q112" s="78">
        <f t="shared" si="48"/>
        <v>0</v>
      </c>
      <c r="R112" s="100">
        <f t="shared" si="49"/>
        <v>0</v>
      </c>
      <c r="S112" s="79">
        <f t="shared" si="50"/>
        <v>0</v>
      </c>
      <c r="T112" s="176">
        <f t="shared" si="51"/>
        <v>0</v>
      </c>
      <c r="V112" s="256" t="s">
        <v>477</v>
      </c>
      <c r="Y112" t="e">
        <f>_xlfn.IFNA(VLOOKUP(C112,#REF!,2,FALSE),"")</f>
        <v>#REF!</v>
      </c>
      <c r="Z112" t="e">
        <f t="shared" si="37"/>
        <v>#REF!</v>
      </c>
      <c r="AA112" t="e">
        <f>_xlfn.IFNA(VLOOKUP(C112,#REF!,2,FALSE),F112)</f>
        <v>#REF!</v>
      </c>
      <c r="AB112" t="str">
        <f t="shared" si="36"/>
        <v/>
      </c>
      <c r="AD112" s="108"/>
      <c r="AE112" s="108"/>
    </row>
    <row r="113" spans="2:31">
      <c r="B113" s="93" t="s">
        <v>66</v>
      </c>
      <c r="C113" s="93" t="s">
        <v>396</v>
      </c>
      <c r="D113" s="94" t="s">
        <v>113</v>
      </c>
      <c r="E113" s="93" t="s">
        <v>970</v>
      </c>
      <c r="F113" s="202"/>
      <c r="H113" s="98" t="s">
        <v>66</v>
      </c>
      <c r="I113" s="98" t="s">
        <v>107</v>
      </c>
      <c r="J113" s="99" t="s">
        <v>111</v>
      </c>
      <c r="K113" s="98" t="s">
        <v>108</v>
      </c>
      <c r="L113" s="99" t="s">
        <v>1446</v>
      </c>
      <c r="M113" s="98"/>
      <c r="N113" s="162">
        <f t="shared" si="45"/>
        <v>0</v>
      </c>
      <c r="O113" s="100">
        <f t="shared" si="46"/>
        <v>0</v>
      </c>
      <c r="P113" s="100">
        <f t="shared" si="47"/>
        <v>0</v>
      </c>
      <c r="Q113" s="78">
        <f t="shared" si="48"/>
        <v>0</v>
      </c>
      <c r="R113" s="100">
        <f t="shared" si="49"/>
        <v>0</v>
      </c>
      <c r="S113" s="79">
        <f t="shared" si="50"/>
        <v>0</v>
      </c>
      <c r="T113" s="176">
        <f t="shared" si="51"/>
        <v>0</v>
      </c>
      <c r="V113" s="256" t="s">
        <v>478</v>
      </c>
      <c r="Y113" t="e">
        <f>_xlfn.IFNA(VLOOKUP(C113,#REF!,2,FALSE),"")</f>
        <v>#REF!</v>
      </c>
      <c r="Z113" t="e">
        <f t="shared" si="37"/>
        <v>#REF!</v>
      </c>
      <c r="AA113" t="e">
        <f>_xlfn.IFNA(VLOOKUP(C113,#REF!,2,FALSE),F113)</f>
        <v>#REF!</v>
      </c>
      <c r="AB113" t="str">
        <f t="shared" si="36"/>
        <v/>
      </c>
      <c r="AD113" s="108"/>
      <c r="AE113" s="108"/>
    </row>
    <row r="114" spans="2:31">
      <c r="B114" s="93" t="s">
        <v>66</v>
      </c>
      <c r="C114" s="93" t="s">
        <v>179</v>
      </c>
      <c r="D114" s="94" t="s">
        <v>113</v>
      </c>
      <c r="E114" s="93" t="s">
        <v>970</v>
      </c>
      <c r="F114" s="202"/>
      <c r="H114" s="98" t="s">
        <v>66</v>
      </c>
      <c r="I114" s="98" t="s">
        <v>179</v>
      </c>
      <c r="J114" s="99" t="s">
        <v>111</v>
      </c>
      <c r="K114" s="98" t="s">
        <v>59</v>
      </c>
      <c r="L114" s="99" t="s">
        <v>269</v>
      </c>
      <c r="M114" s="98"/>
      <c r="N114" s="162">
        <f t="shared" si="45"/>
        <v>0</v>
      </c>
      <c r="O114" s="100">
        <f t="shared" si="46"/>
        <v>0</v>
      </c>
      <c r="P114" s="100">
        <f t="shared" si="47"/>
        <v>0</v>
      </c>
      <c r="Q114" s="78">
        <f t="shared" si="48"/>
        <v>0</v>
      </c>
      <c r="R114" s="100">
        <f t="shared" si="49"/>
        <v>0</v>
      </c>
      <c r="S114" s="79">
        <f t="shared" si="50"/>
        <v>0</v>
      </c>
      <c r="T114" s="176">
        <f t="shared" si="51"/>
        <v>0</v>
      </c>
      <c r="V114" s="256" t="s">
        <v>479</v>
      </c>
      <c r="Y114" t="e">
        <f>_xlfn.IFNA(VLOOKUP(C114,#REF!,2,FALSE),"")</f>
        <v>#REF!</v>
      </c>
      <c r="Z114" t="e">
        <f t="shared" si="37"/>
        <v>#REF!</v>
      </c>
      <c r="AA114" t="e">
        <f>_xlfn.IFNA(VLOOKUP(C114,#REF!,2,FALSE),F114)</f>
        <v>#REF!</v>
      </c>
      <c r="AB114" t="str">
        <f t="shared" si="36"/>
        <v/>
      </c>
      <c r="AD114" s="108"/>
      <c r="AE114" s="108"/>
    </row>
    <row r="115" spans="2:31">
      <c r="B115" s="93" t="s">
        <v>66</v>
      </c>
      <c r="C115" s="93" t="s">
        <v>119</v>
      </c>
      <c r="D115" s="94" t="s">
        <v>113</v>
      </c>
      <c r="E115" s="93" t="s">
        <v>480</v>
      </c>
      <c r="F115" s="202"/>
      <c r="H115" s="98" t="s">
        <v>66</v>
      </c>
      <c r="I115" s="98" t="s">
        <v>119</v>
      </c>
      <c r="J115" s="99" t="s">
        <v>111</v>
      </c>
      <c r="K115" s="98" t="s">
        <v>62</v>
      </c>
      <c r="L115" s="99" t="s">
        <v>266</v>
      </c>
      <c r="M115" s="98"/>
      <c r="N115" s="162">
        <f t="shared" si="45"/>
        <v>0</v>
      </c>
      <c r="O115" s="100">
        <f t="shared" si="46"/>
        <v>0</v>
      </c>
      <c r="P115" s="100">
        <f t="shared" si="47"/>
        <v>0</v>
      </c>
      <c r="Q115" s="78">
        <f t="shared" si="48"/>
        <v>0</v>
      </c>
      <c r="R115" s="100">
        <f t="shared" si="49"/>
        <v>0</v>
      </c>
      <c r="S115" s="79">
        <f t="shared" si="50"/>
        <v>0</v>
      </c>
      <c r="T115" s="176">
        <f t="shared" si="51"/>
        <v>0</v>
      </c>
      <c r="V115" s="256" t="s">
        <v>480</v>
      </c>
      <c r="Y115" t="e">
        <f>_xlfn.IFNA(VLOOKUP(C115,#REF!,2,FALSE),"")</f>
        <v>#REF!</v>
      </c>
      <c r="Z115" t="e">
        <f t="shared" si="37"/>
        <v>#REF!</v>
      </c>
      <c r="AA115" t="e">
        <f>_xlfn.IFNA(VLOOKUP(C115,#REF!,2,FALSE),F115)</f>
        <v>#REF!</v>
      </c>
      <c r="AB115" t="str">
        <f t="shared" si="36"/>
        <v/>
      </c>
      <c r="AD115" s="108"/>
      <c r="AE115" s="108"/>
    </row>
    <row r="116" spans="2:31">
      <c r="B116" s="93" t="s">
        <v>66</v>
      </c>
      <c r="C116" s="93" t="s">
        <v>118</v>
      </c>
      <c r="D116" s="94" t="s">
        <v>113</v>
      </c>
      <c r="E116" s="93" t="s">
        <v>970</v>
      </c>
      <c r="F116" s="202"/>
      <c r="H116" s="98" t="s">
        <v>66</v>
      </c>
      <c r="I116" s="98" t="s">
        <v>118</v>
      </c>
      <c r="J116" s="99" t="s">
        <v>111</v>
      </c>
      <c r="K116" s="98" t="s">
        <v>65</v>
      </c>
      <c r="L116" s="99" t="s">
        <v>267</v>
      </c>
      <c r="M116" s="98"/>
      <c r="N116" s="162">
        <f t="shared" si="45"/>
        <v>0</v>
      </c>
      <c r="O116" s="100">
        <f t="shared" si="46"/>
        <v>0</v>
      </c>
      <c r="P116" s="100">
        <f t="shared" si="47"/>
        <v>0</v>
      </c>
      <c r="Q116" s="78">
        <f t="shared" si="48"/>
        <v>0</v>
      </c>
      <c r="R116" s="100">
        <f t="shared" si="49"/>
        <v>0</v>
      </c>
      <c r="S116" s="79">
        <f t="shared" si="50"/>
        <v>0</v>
      </c>
      <c r="T116" s="176">
        <f t="shared" si="51"/>
        <v>0</v>
      </c>
      <c r="V116" s="256" t="s">
        <v>481</v>
      </c>
      <c r="Y116" t="e">
        <f>_xlfn.IFNA(VLOOKUP(C116,#REF!,2,FALSE),"")</f>
        <v>#REF!</v>
      </c>
      <c r="Z116" t="e">
        <f t="shared" si="37"/>
        <v>#REF!</v>
      </c>
      <c r="AA116" t="e">
        <f>_xlfn.IFNA(VLOOKUP(C116,#REF!,2,FALSE),F116)</f>
        <v>#REF!</v>
      </c>
      <c r="AB116" t="str">
        <f t="shared" si="36"/>
        <v/>
      </c>
      <c r="AD116" s="108"/>
      <c r="AE116" s="108"/>
    </row>
    <row r="117" spans="2:31">
      <c r="B117" s="93" t="s">
        <v>66</v>
      </c>
      <c r="C117" s="93" t="s">
        <v>116</v>
      </c>
      <c r="D117" s="94" t="s">
        <v>113</v>
      </c>
      <c r="E117" s="93" t="s">
        <v>970</v>
      </c>
      <c r="F117" s="202"/>
      <c r="H117" s="98" t="s">
        <v>66</v>
      </c>
      <c r="I117" s="98" t="s">
        <v>116</v>
      </c>
      <c r="J117" s="99" t="s">
        <v>111</v>
      </c>
      <c r="K117" s="98" t="s">
        <v>100</v>
      </c>
      <c r="L117" s="99" t="s">
        <v>268</v>
      </c>
      <c r="M117" s="98"/>
      <c r="N117" s="162">
        <f t="shared" si="45"/>
        <v>0</v>
      </c>
      <c r="O117" s="100">
        <f t="shared" si="46"/>
        <v>0</v>
      </c>
      <c r="P117" s="100">
        <f t="shared" si="47"/>
        <v>0</v>
      </c>
      <c r="Q117" s="78">
        <f t="shared" si="48"/>
        <v>0</v>
      </c>
      <c r="R117" s="100">
        <f t="shared" si="49"/>
        <v>0</v>
      </c>
      <c r="S117" s="79">
        <f t="shared" si="50"/>
        <v>0</v>
      </c>
      <c r="T117" s="176">
        <f t="shared" si="51"/>
        <v>0</v>
      </c>
      <c r="V117" s="256" t="s">
        <v>482</v>
      </c>
      <c r="Y117" t="e">
        <f>_xlfn.IFNA(VLOOKUP(C117,#REF!,2,FALSE),"")</f>
        <v>#REF!</v>
      </c>
      <c r="Z117" t="e">
        <f t="shared" si="37"/>
        <v>#REF!</v>
      </c>
      <c r="AA117" t="e">
        <f>_xlfn.IFNA(VLOOKUP(C117,#REF!,2,FALSE),F117)</f>
        <v>#REF!</v>
      </c>
      <c r="AB117" t="str">
        <f t="shared" si="36"/>
        <v/>
      </c>
      <c r="AD117" s="108"/>
      <c r="AE117" s="108"/>
    </row>
    <row r="118" spans="2:31">
      <c r="B118" s="93" t="s">
        <v>66</v>
      </c>
      <c r="C118" s="93" t="s">
        <v>115</v>
      </c>
      <c r="D118" s="94" t="s">
        <v>113</v>
      </c>
      <c r="E118" s="93" t="s">
        <v>970</v>
      </c>
      <c r="F118" s="202"/>
      <c r="H118" s="98" t="s">
        <v>66</v>
      </c>
      <c r="I118" s="98" t="s">
        <v>115</v>
      </c>
      <c r="J118" s="99" t="s">
        <v>111</v>
      </c>
      <c r="K118" s="98" t="s">
        <v>70</v>
      </c>
      <c r="L118" s="99" t="s">
        <v>270</v>
      </c>
      <c r="M118" s="98"/>
      <c r="N118" s="162">
        <f t="shared" si="45"/>
        <v>0</v>
      </c>
      <c r="O118" s="100">
        <f t="shared" si="46"/>
        <v>0</v>
      </c>
      <c r="P118" s="100">
        <f t="shared" si="47"/>
        <v>0</v>
      </c>
      <c r="Q118" s="78">
        <f t="shared" si="48"/>
        <v>0</v>
      </c>
      <c r="R118" s="100">
        <f t="shared" si="49"/>
        <v>0</v>
      </c>
      <c r="S118" s="79">
        <f t="shared" si="50"/>
        <v>0</v>
      </c>
      <c r="T118" s="176">
        <f t="shared" si="51"/>
        <v>0</v>
      </c>
      <c r="V118" s="256" t="s">
        <v>483</v>
      </c>
      <c r="Y118" t="e">
        <f>_xlfn.IFNA(VLOOKUP(C118,#REF!,2,FALSE),"")</f>
        <v>#REF!</v>
      </c>
      <c r="Z118" t="e">
        <f t="shared" si="37"/>
        <v>#REF!</v>
      </c>
      <c r="AA118" t="e">
        <f>_xlfn.IFNA(VLOOKUP(C118,#REF!,2,FALSE),F118)</f>
        <v>#REF!</v>
      </c>
      <c r="AB118" t="str">
        <f t="shared" si="36"/>
        <v/>
      </c>
      <c r="AD118" s="108"/>
      <c r="AE118" s="108"/>
    </row>
    <row r="119" spans="2:31">
      <c r="B119" s="93" t="s">
        <v>66</v>
      </c>
      <c r="C119" s="93" t="s">
        <v>112</v>
      </c>
      <c r="D119" s="94" t="s">
        <v>113</v>
      </c>
      <c r="E119" s="93" t="s">
        <v>970</v>
      </c>
      <c r="F119" s="202"/>
      <c r="H119" s="98" t="s">
        <v>66</v>
      </c>
      <c r="I119" s="98" t="s">
        <v>112</v>
      </c>
      <c r="J119" s="99" t="s">
        <v>111</v>
      </c>
      <c r="K119" s="98" t="s">
        <v>64</v>
      </c>
      <c r="L119" s="99" t="s">
        <v>271</v>
      </c>
      <c r="M119" s="98"/>
      <c r="N119" s="162">
        <f t="shared" si="45"/>
        <v>0</v>
      </c>
      <c r="O119" s="100">
        <f t="shared" si="46"/>
        <v>0</v>
      </c>
      <c r="P119" s="100">
        <f t="shared" si="47"/>
        <v>0</v>
      </c>
      <c r="Q119" s="78">
        <f t="shared" si="48"/>
        <v>0</v>
      </c>
      <c r="R119" s="100">
        <f t="shared" si="49"/>
        <v>0</v>
      </c>
      <c r="S119" s="79">
        <f t="shared" si="50"/>
        <v>0</v>
      </c>
      <c r="T119" s="176">
        <f t="shared" si="51"/>
        <v>0</v>
      </c>
      <c r="V119" s="256" t="s">
        <v>484</v>
      </c>
      <c r="Y119" t="e">
        <f>_xlfn.IFNA(VLOOKUP(C119,#REF!,2,FALSE),"")</f>
        <v>#REF!</v>
      </c>
      <c r="Z119" t="e">
        <f t="shared" si="37"/>
        <v>#REF!</v>
      </c>
      <c r="AA119" t="e">
        <f>_xlfn.IFNA(VLOOKUP(C119,#REF!,2,FALSE),F119)</f>
        <v>#REF!</v>
      </c>
      <c r="AB119" t="str">
        <f t="shared" si="36"/>
        <v/>
      </c>
      <c r="AD119" s="108"/>
      <c r="AE119" s="108"/>
    </row>
    <row r="120" spans="2:31">
      <c r="B120" s="93" t="s">
        <v>66</v>
      </c>
      <c r="C120" s="93" t="s">
        <v>104</v>
      </c>
      <c r="D120" s="94" t="s">
        <v>113</v>
      </c>
      <c r="E120" s="93" t="s">
        <v>970</v>
      </c>
      <c r="F120" s="202"/>
      <c r="H120" s="98" t="s">
        <v>66</v>
      </c>
      <c r="I120" s="98" t="s">
        <v>104</v>
      </c>
      <c r="J120" s="99" t="s">
        <v>111</v>
      </c>
      <c r="K120" s="98" t="s">
        <v>63</v>
      </c>
      <c r="L120" s="99" t="s">
        <v>272</v>
      </c>
      <c r="M120" s="98"/>
      <c r="N120" s="162">
        <f t="shared" si="45"/>
        <v>0</v>
      </c>
      <c r="O120" s="100">
        <f t="shared" si="46"/>
        <v>0</v>
      </c>
      <c r="P120" s="100">
        <f t="shared" si="47"/>
        <v>0</v>
      </c>
      <c r="Q120" s="78">
        <f t="shared" si="48"/>
        <v>0</v>
      </c>
      <c r="R120" s="100">
        <f t="shared" si="49"/>
        <v>0</v>
      </c>
      <c r="S120" s="79">
        <f t="shared" si="50"/>
        <v>0</v>
      </c>
      <c r="T120" s="176">
        <f t="shared" si="51"/>
        <v>0</v>
      </c>
      <c r="V120" s="256" t="s">
        <v>485</v>
      </c>
      <c r="Y120" t="e">
        <f>_xlfn.IFNA(VLOOKUP(C120,#REF!,2,FALSE),"")</f>
        <v>#REF!</v>
      </c>
      <c r="Z120" t="e">
        <f t="shared" si="37"/>
        <v>#REF!</v>
      </c>
      <c r="AA120" t="e">
        <f>_xlfn.IFNA(VLOOKUP(C120,#REF!,2,FALSE),F120)</f>
        <v>#REF!</v>
      </c>
      <c r="AB120" t="str">
        <f t="shared" si="36"/>
        <v/>
      </c>
      <c r="AD120" s="108"/>
      <c r="AE120" s="108"/>
    </row>
    <row r="121" spans="2:31">
      <c r="B121" s="93" t="s">
        <v>66</v>
      </c>
      <c r="C121" s="93" t="s">
        <v>117</v>
      </c>
      <c r="D121" s="94" t="s">
        <v>113</v>
      </c>
      <c r="E121" s="93" t="s">
        <v>970</v>
      </c>
      <c r="F121" s="202"/>
      <c r="H121" s="98" t="s">
        <v>66</v>
      </c>
      <c r="I121" s="99" t="s">
        <v>117</v>
      </c>
      <c r="J121" s="99" t="s">
        <v>111</v>
      </c>
      <c r="K121" s="98" t="s">
        <v>184</v>
      </c>
      <c r="L121" s="98" t="s">
        <v>185</v>
      </c>
      <c r="M121" s="98"/>
      <c r="N121" s="162">
        <f t="shared" si="45"/>
        <v>0</v>
      </c>
      <c r="O121" s="100">
        <f t="shared" si="46"/>
        <v>0</v>
      </c>
      <c r="P121" s="100">
        <f t="shared" si="47"/>
        <v>0</v>
      </c>
      <c r="Q121" s="78">
        <f t="shared" si="48"/>
        <v>0</v>
      </c>
      <c r="R121" s="100">
        <f t="shared" si="49"/>
        <v>0</v>
      </c>
      <c r="S121" s="79">
        <f t="shared" si="50"/>
        <v>0</v>
      </c>
      <c r="T121" s="176">
        <f t="shared" si="51"/>
        <v>0</v>
      </c>
      <c r="V121" s="256" t="s">
        <v>486</v>
      </c>
      <c r="Y121" t="e">
        <f>_xlfn.IFNA(VLOOKUP(C121,#REF!,2,FALSE),"")</f>
        <v>#REF!</v>
      </c>
      <c r="Z121" t="e">
        <f t="shared" si="37"/>
        <v>#REF!</v>
      </c>
      <c r="AA121" t="e">
        <f>_xlfn.IFNA(VLOOKUP(C121,#REF!,2,FALSE),F121)</f>
        <v>#REF!</v>
      </c>
      <c r="AB121" t="str">
        <f t="shared" si="36"/>
        <v/>
      </c>
      <c r="AD121" s="108"/>
      <c r="AE121" s="108"/>
    </row>
    <row r="122" spans="2:31">
      <c r="B122" s="93" t="s">
        <v>66</v>
      </c>
      <c r="C122" s="93" t="s">
        <v>397</v>
      </c>
      <c r="D122" s="94" t="s">
        <v>113</v>
      </c>
      <c r="E122" s="93" t="s">
        <v>970</v>
      </c>
      <c r="F122" s="202"/>
      <c r="H122" s="98" t="s">
        <v>66</v>
      </c>
      <c r="I122" s="99" t="s">
        <v>397</v>
      </c>
      <c r="J122" s="99" t="s">
        <v>111</v>
      </c>
      <c r="K122" s="98" t="s">
        <v>399</v>
      </c>
      <c r="L122" s="98" t="s">
        <v>400</v>
      </c>
      <c r="M122" s="98"/>
      <c r="N122" s="162">
        <f t="shared" si="45"/>
        <v>0</v>
      </c>
      <c r="O122" s="100">
        <f t="shared" si="46"/>
        <v>0</v>
      </c>
      <c r="P122" s="100">
        <f t="shared" si="47"/>
        <v>0</v>
      </c>
      <c r="Q122" s="78">
        <f t="shared" si="48"/>
        <v>0</v>
      </c>
      <c r="R122" s="100">
        <f t="shared" si="49"/>
        <v>0</v>
      </c>
      <c r="S122" s="79">
        <f t="shared" si="50"/>
        <v>0</v>
      </c>
      <c r="T122" s="176">
        <f t="shared" si="51"/>
        <v>0</v>
      </c>
      <c r="V122" s="256" t="s">
        <v>487</v>
      </c>
      <c r="Y122" t="e">
        <f>_xlfn.IFNA(VLOOKUP(C122,#REF!,2,FALSE),"")</f>
        <v>#REF!</v>
      </c>
      <c r="Z122" t="e">
        <f t="shared" si="37"/>
        <v>#REF!</v>
      </c>
      <c r="AA122" t="e">
        <f>_xlfn.IFNA(VLOOKUP(C122,#REF!,2,FALSE),F122)</f>
        <v>#REF!</v>
      </c>
      <c r="AB122" t="str">
        <f t="shared" si="36"/>
        <v/>
      </c>
      <c r="AD122" s="108"/>
      <c r="AE122" s="108"/>
    </row>
    <row r="123" spans="2:31">
      <c r="B123" s="93" t="s">
        <v>66</v>
      </c>
      <c r="C123" s="93" t="s">
        <v>121</v>
      </c>
      <c r="D123" s="94" t="s">
        <v>113</v>
      </c>
      <c r="E123" s="93" t="s">
        <v>970</v>
      </c>
      <c r="F123" s="202"/>
      <c r="H123" s="98" t="s">
        <v>66</v>
      </c>
      <c r="I123" s="98" t="s">
        <v>121</v>
      </c>
      <c r="J123" s="99" t="s">
        <v>111</v>
      </c>
      <c r="K123" s="98" t="s">
        <v>120</v>
      </c>
      <c r="L123" s="99" t="s">
        <v>265</v>
      </c>
      <c r="M123" s="98"/>
      <c r="N123" s="162">
        <f t="shared" si="45"/>
        <v>0</v>
      </c>
      <c r="O123" s="100">
        <f t="shared" si="46"/>
        <v>0</v>
      </c>
      <c r="P123" s="100">
        <f t="shared" si="47"/>
        <v>0</v>
      </c>
      <c r="Q123" s="78">
        <f t="shared" si="48"/>
        <v>0</v>
      </c>
      <c r="R123" s="100">
        <f t="shared" si="49"/>
        <v>0</v>
      </c>
      <c r="S123" s="79">
        <f t="shared" si="50"/>
        <v>0</v>
      </c>
      <c r="T123" s="176">
        <f t="shared" si="51"/>
        <v>0</v>
      </c>
      <c r="V123" s="256" t="s">
        <v>488</v>
      </c>
      <c r="Y123" t="e">
        <f>_xlfn.IFNA(VLOOKUP(C123,#REF!,2,FALSE),"")</f>
        <v>#REF!</v>
      </c>
      <c r="Z123" t="e">
        <f t="shared" si="37"/>
        <v>#REF!</v>
      </c>
      <c r="AA123" t="e">
        <f>_xlfn.IFNA(VLOOKUP(C123,#REF!,2,FALSE),F123)</f>
        <v>#REF!</v>
      </c>
      <c r="AB123" t="str">
        <f t="shared" si="36"/>
        <v/>
      </c>
      <c r="AD123" s="108"/>
      <c r="AE123" s="108"/>
    </row>
    <row r="124" spans="2:31">
      <c r="B124" s="93" t="s">
        <v>66</v>
      </c>
      <c r="C124" s="93" t="s">
        <v>568</v>
      </c>
      <c r="D124" s="94" t="s">
        <v>113</v>
      </c>
      <c r="E124" s="93" t="s">
        <v>970</v>
      </c>
      <c r="F124" s="202"/>
      <c r="H124" s="98" t="s">
        <v>66</v>
      </c>
      <c r="I124" s="98" t="s">
        <v>568</v>
      </c>
      <c r="J124" s="99" t="s">
        <v>111</v>
      </c>
      <c r="K124" s="98" t="s">
        <v>569</v>
      </c>
      <c r="L124" s="99" t="s">
        <v>570</v>
      </c>
      <c r="M124" s="98"/>
      <c r="N124" s="162">
        <f t="shared" si="45"/>
        <v>0</v>
      </c>
      <c r="O124" s="100">
        <f t="shared" si="46"/>
        <v>0</v>
      </c>
      <c r="P124" s="100">
        <f t="shared" si="47"/>
        <v>0</v>
      </c>
      <c r="Q124" s="78">
        <f t="shared" si="48"/>
        <v>0</v>
      </c>
      <c r="R124" s="100">
        <f t="shared" si="49"/>
        <v>0</v>
      </c>
      <c r="S124" s="79">
        <f t="shared" si="50"/>
        <v>0</v>
      </c>
      <c r="T124" s="176">
        <f t="shared" si="51"/>
        <v>0</v>
      </c>
      <c r="V124" s="256" t="s">
        <v>567</v>
      </c>
      <c r="Y124" t="e">
        <f>_xlfn.IFNA(VLOOKUP(C124,#REF!,2,FALSE),"")</f>
        <v>#REF!</v>
      </c>
      <c r="Z124" t="e">
        <f t="shared" si="37"/>
        <v>#REF!</v>
      </c>
      <c r="AA124" t="e">
        <f>_xlfn.IFNA(VLOOKUP(C124,#REF!,2,FALSE),F124)</f>
        <v>#REF!</v>
      </c>
      <c r="AB124" t="str">
        <f t="shared" si="36"/>
        <v/>
      </c>
      <c r="AD124" s="108"/>
      <c r="AE124" s="108"/>
    </row>
    <row r="125" spans="2:31">
      <c r="B125" s="93" t="s">
        <v>66</v>
      </c>
      <c r="C125" s="93" t="s">
        <v>1337</v>
      </c>
      <c r="D125" s="94"/>
      <c r="E125" s="93" t="s">
        <v>1340</v>
      </c>
      <c r="F125" s="202"/>
      <c r="H125" s="98" t="s">
        <v>66</v>
      </c>
      <c r="I125" s="98" t="s">
        <v>1337</v>
      </c>
      <c r="J125" s="99"/>
      <c r="K125" s="98" t="s">
        <v>1342</v>
      </c>
      <c r="L125" s="99" t="s">
        <v>1345</v>
      </c>
      <c r="M125" s="98"/>
      <c r="N125" s="162">
        <f t="shared" si="45"/>
        <v>0</v>
      </c>
      <c r="O125" s="100">
        <f t="shared" si="46"/>
        <v>0</v>
      </c>
      <c r="P125" s="100">
        <f t="shared" si="47"/>
        <v>0</v>
      </c>
      <c r="Q125" s="78">
        <f t="shared" si="48"/>
        <v>0</v>
      </c>
      <c r="R125" s="100">
        <f t="shared" si="49"/>
        <v>0</v>
      </c>
      <c r="S125" s="79">
        <f t="shared" si="50"/>
        <v>0</v>
      </c>
      <c r="T125" s="176">
        <f t="shared" si="51"/>
        <v>0</v>
      </c>
      <c r="V125" s="256"/>
      <c r="AB125" t="b">
        <f t="shared" si="36"/>
        <v>1</v>
      </c>
      <c r="AD125" s="108"/>
      <c r="AE125" s="108"/>
    </row>
    <row r="126" spans="2:31">
      <c r="B126" s="93" t="s">
        <v>66</v>
      </c>
      <c r="C126" s="93" t="s">
        <v>1338</v>
      </c>
      <c r="D126" s="94"/>
      <c r="E126" s="93" t="s">
        <v>1341</v>
      </c>
      <c r="F126" s="202"/>
      <c r="H126" s="98" t="s">
        <v>66</v>
      </c>
      <c r="I126" s="98" t="s">
        <v>1338</v>
      </c>
      <c r="J126" s="99"/>
      <c r="K126" s="98" t="s">
        <v>1343</v>
      </c>
      <c r="L126" s="99" t="s">
        <v>1447</v>
      </c>
      <c r="M126" s="98"/>
      <c r="N126" s="162">
        <f t="shared" si="45"/>
        <v>0</v>
      </c>
      <c r="O126" s="100">
        <f t="shared" si="46"/>
        <v>0</v>
      </c>
      <c r="P126" s="100">
        <f t="shared" si="47"/>
        <v>0</v>
      </c>
      <c r="Q126" s="78">
        <f t="shared" si="48"/>
        <v>0</v>
      </c>
      <c r="R126" s="100">
        <f t="shared" si="49"/>
        <v>0</v>
      </c>
      <c r="S126" s="79">
        <f t="shared" si="50"/>
        <v>0</v>
      </c>
      <c r="T126" s="176">
        <f t="shared" si="51"/>
        <v>0</v>
      </c>
      <c r="V126" s="256"/>
      <c r="AB126" t="b">
        <f t="shared" si="36"/>
        <v>1</v>
      </c>
      <c r="AD126" s="108"/>
      <c r="AE126" s="108"/>
    </row>
    <row r="127" spans="2:31">
      <c r="B127" s="93" t="s">
        <v>66</v>
      </c>
      <c r="C127" s="93" t="s">
        <v>1339</v>
      </c>
      <c r="D127" s="94"/>
      <c r="E127" s="93" t="s">
        <v>1646</v>
      </c>
      <c r="F127" s="202"/>
      <c r="H127" s="98" t="s">
        <v>66</v>
      </c>
      <c r="I127" s="98" t="s">
        <v>1339</v>
      </c>
      <c r="J127" s="99"/>
      <c r="K127" s="98" t="s">
        <v>1344</v>
      </c>
      <c r="L127" s="99" t="s">
        <v>1346</v>
      </c>
      <c r="M127" s="98"/>
      <c r="N127" s="162">
        <f t="shared" si="45"/>
        <v>0</v>
      </c>
      <c r="O127" s="100">
        <f t="shared" si="46"/>
        <v>0</v>
      </c>
      <c r="P127" s="100">
        <f t="shared" si="47"/>
        <v>0</v>
      </c>
      <c r="Q127" s="78">
        <f t="shared" si="48"/>
        <v>0</v>
      </c>
      <c r="R127" s="100">
        <f t="shared" si="49"/>
        <v>0</v>
      </c>
      <c r="S127" s="79">
        <f t="shared" si="50"/>
        <v>0</v>
      </c>
      <c r="T127" s="176">
        <f t="shared" si="51"/>
        <v>0</v>
      </c>
      <c r="V127" s="256"/>
      <c r="AB127" t="b">
        <f t="shared" si="36"/>
        <v>1</v>
      </c>
      <c r="AD127" s="108"/>
      <c r="AE127" s="108"/>
    </row>
    <row r="128" spans="2:31">
      <c r="B128" s="93"/>
      <c r="C128" s="93"/>
      <c r="D128" s="94"/>
      <c r="E128" s="93"/>
      <c r="F128" s="202"/>
      <c r="H128" s="164" t="s">
        <v>66</v>
      </c>
      <c r="I128" s="164" t="s">
        <v>558</v>
      </c>
      <c r="J128" s="165" t="s">
        <v>111</v>
      </c>
      <c r="K128" s="164" t="s">
        <v>74</v>
      </c>
      <c r="L128" s="165" t="s">
        <v>273</v>
      </c>
      <c r="M128" s="164"/>
      <c r="N128" s="162">
        <f>+$P$348</f>
        <v>0</v>
      </c>
      <c r="O128" s="124">
        <f t="shared" si="46"/>
        <v>0</v>
      </c>
      <c r="P128" s="124">
        <f t="shared" si="47"/>
        <v>0</v>
      </c>
      <c r="Q128" s="78">
        <f t="shared" si="48"/>
        <v>0</v>
      </c>
      <c r="R128" s="124">
        <f t="shared" si="49"/>
        <v>0</v>
      </c>
      <c r="S128" s="124">
        <f t="shared" si="50"/>
        <v>0</v>
      </c>
      <c r="T128" s="176">
        <f t="shared" si="51"/>
        <v>0</v>
      </c>
      <c r="V128" s="256"/>
      <c r="Y128" t="e">
        <f>_xlfn.IFNA(VLOOKUP(C128,#REF!,2,FALSE),"")</f>
        <v>#REF!</v>
      </c>
      <c r="Z128" t="e">
        <f t="shared" si="37"/>
        <v>#REF!</v>
      </c>
      <c r="AA128" t="e">
        <f>_xlfn.IFNA(VLOOKUP(C128,#REF!,2,FALSE),F128)</f>
        <v>#REF!</v>
      </c>
      <c r="AB128" t="str">
        <f t="shared" si="36"/>
        <v/>
      </c>
      <c r="AD128" s="108"/>
      <c r="AE128" s="108"/>
    </row>
    <row r="129" spans="2:31">
      <c r="B129" s="93"/>
      <c r="C129" s="93"/>
      <c r="D129" s="94"/>
      <c r="E129" s="93"/>
      <c r="F129" s="202"/>
      <c r="H129" s="164" t="s">
        <v>66</v>
      </c>
      <c r="I129" s="165" t="s">
        <v>292</v>
      </c>
      <c r="J129" s="165" t="s">
        <v>111</v>
      </c>
      <c r="K129" s="164" t="s">
        <v>75</v>
      </c>
      <c r="L129" s="164" t="s">
        <v>293</v>
      </c>
      <c r="M129" s="164"/>
      <c r="N129" s="162">
        <f>$K$374</f>
        <v>0</v>
      </c>
      <c r="O129" s="124">
        <f t="shared" si="46"/>
        <v>0</v>
      </c>
      <c r="P129" s="124">
        <f t="shared" si="47"/>
        <v>0</v>
      </c>
      <c r="Q129" s="78">
        <f t="shared" si="48"/>
        <v>0</v>
      </c>
      <c r="R129" s="124">
        <f t="shared" si="49"/>
        <v>0</v>
      </c>
      <c r="S129" s="124">
        <f t="shared" si="50"/>
        <v>0</v>
      </c>
      <c r="T129" s="176">
        <f t="shared" si="51"/>
        <v>0</v>
      </c>
      <c r="V129" s="256"/>
      <c r="Y129" t="e">
        <f>_xlfn.IFNA(VLOOKUP(C129,#REF!,2,FALSE),"")</f>
        <v>#REF!</v>
      </c>
      <c r="Z129" t="e">
        <f t="shared" si="37"/>
        <v>#REF!</v>
      </c>
      <c r="AA129" t="e">
        <f>_xlfn.IFNA(VLOOKUP(C129,#REF!,2,FALSE),F129)</f>
        <v>#REF!</v>
      </c>
      <c r="AB129" t="str">
        <f t="shared" si="36"/>
        <v/>
      </c>
      <c r="AD129" s="108"/>
      <c r="AE129" s="108"/>
    </row>
    <row r="130" spans="2:31">
      <c r="B130" s="93"/>
      <c r="C130" s="93"/>
      <c r="D130" s="94"/>
      <c r="E130" s="93"/>
      <c r="F130" s="202"/>
      <c r="H130" s="164"/>
      <c r="I130" s="165"/>
      <c r="J130" s="165"/>
      <c r="K130" s="164"/>
      <c r="L130" s="165"/>
      <c r="M130" s="164"/>
      <c r="N130" s="162"/>
      <c r="O130" s="124"/>
      <c r="P130" s="124"/>
      <c r="Q130" s="176"/>
      <c r="R130" s="124"/>
      <c r="S130" s="124"/>
      <c r="T130" s="176"/>
      <c r="V130" s="256"/>
      <c r="Y130" t="e">
        <f>_xlfn.IFNA(VLOOKUP(C130,#REF!,2,FALSE),"")</f>
        <v>#REF!</v>
      </c>
      <c r="Z130" t="e">
        <f t="shared" si="37"/>
        <v>#REF!</v>
      </c>
      <c r="AA130" t="e">
        <f>_xlfn.IFNA(VLOOKUP(C130,#REF!,2,FALSE),F130)</f>
        <v>#REF!</v>
      </c>
      <c r="AB130" t="str">
        <f t="shared" si="36"/>
        <v/>
      </c>
      <c r="AD130" s="108"/>
      <c r="AE130" s="108"/>
    </row>
    <row r="131" spans="2:31">
      <c r="D131" s="142"/>
      <c r="E131" s="145"/>
      <c r="F131" s="314"/>
      <c r="J131" s="142"/>
      <c r="L131" s="142"/>
      <c r="N131" s="317"/>
      <c r="O131" s="299"/>
      <c r="P131" s="299"/>
      <c r="Q131" s="208"/>
      <c r="R131" s="215"/>
      <c r="S131" s="215"/>
      <c r="T131" s="208"/>
      <c r="V131" s="145"/>
      <c r="W131" s="145"/>
      <c r="Y131" t="e">
        <f>_xlfn.IFNA(VLOOKUP(C131,#REF!,2,FALSE),"")</f>
        <v>#REF!</v>
      </c>
      <c r="Z131" t="e">
        <f t="shared" si="37"/>
        <v>#REF!</v>
      </c>
      <c r="AA131" t="e">
        <f>_xlfn.IFNA(VLOOKUP(C131,#REF!,2,FALSE),F131)</f>
        <v>#REF!</v>
      </c>
      <c r="AB131" t="str">
        <f t="shared" si="36"/>
        <v/>
      </c>
      <c r="AD131" s="108"/>
      <c r="AE131" s="108"/>
    </row>
    <row r="132" spans="2:31">
      <c r="B132" s="101" t="s">
        <v>180</v>
      </c>
      <c r="C132" s="101" t="s">
        <v>392</v>
      </c>
      <c r="D132" s="102" t="s">
        <v>113</v>
      </c>
      <c r="E132" s="101" t="s">
        <v>970</v>
      </c>
      <c r="F132" s="202"/>
      <c r="H132" s="103" t="s">
        <v>180</v>
      </c>
      <c r="I132" s="104" t="s">
        <v>381</v>
      </c>
      <c r="J132" s="104" t="s">
        <v>111</v>
      </c>
      <c r="K132" s="103" t="s">
        <v>56</v>
      </c>
      <c r="L132" s="104" t="s">
        <v>381</v>
      </c>
      <c r="M132" s="103"/>
      <c r="N132" s="162">
        <f t="shared" ref="N132:N145" si="52">F132</f>
        <v>0</v>
      </c>
      <c r="O132" s="79">
        <f t="shared" ref="O132:O146" si="53">(N132*0.4+$I$327*0.42+$I$328*0.18)</f>
        <v>0</v>
      </c>
      <c r="P132" s="79">
        <f t="shared" ref="P132:P146" si="54">N132*0.4+$I$327*0.24+$I$330*0.12+$I$331*0.24</f>
        <v>0</v>
      </c>
      <c r="Q132" s="78">
        <f t="shared" ref="Q132:Q146" si="55">N132*0.5+$I$327*0.15+$I$329*0.1+$I$330*0.25</f>
        <v>0</v>
      </c>
      <c r="R132" s="79">
        <f t="shared" ref="R132:R146" si="56">N132*0.4+$I$327*0.6</f>
        <v>0</v>
      </c>
      <c r="S132" s="79">
        <f t="shared" ref="S132:S146" si="57">(N132*0.4+$I$327*0.36+$I$328*0.24)</f>
        <v>0</v>
      </c>
      <c r="T132" s="78">
        <f t="shared" ref="T132:T146" si="58">(N132*0.44+$I$327*0.45+$I$328*0.11)</f>
        <v>0</v>
      </c>
      <c r="V132" s="256" t="s">
        <v>489</v>
      </c>
      <c r="Y132" t="e">
        <f>_xlfn.IFNA(VLOOKUP(C132,#REF!,2,FALSE),"")</f>
        <v>#REF!</v>
      </c>
      <c r="Z132" t="e">
        <f t="shared" si="37"/>
        <v>#REF!</v>
      </c>
      <c r="AA132" t="e">
        <f>_xlfn.IFNA(VLOOKUP(C132,#REF!,2,FALSE),F132)</f>
        <v>#REF!</v>
      </c>
      <c r="AB132" t="str">
        <f t="shared" si="36"/>
        <v/>
      </c>
      <c r="AD132" s="108"/>
      <c r="AE132" s="108"/>
    </row>
    <row r="133" spans="2:31">
      <c r="B133" s="101" t="s">
        <v>180</v>
      </c>
      <c r="C133" s="101" t="s">
        <v>391</v>
      </c>
      <c r="D133" s="102" t="s">
        <v>113</v>
      </c>
      <c r="E133" s="101" t="s">
        <v>970</v>
      </c>
      <c r="F133" s="202"/>
      <c r="H133" s="103" t="s">
        <v>180</v>
      </c>
      <c r="I133" s="104" t="s">
        <v>362</v>
      </c>
      <c r="J133" s="104" t="s">
        <v>111</v>
      </c>
      <c r="K133" s="103" t="s">
        <v>64</v>
      </c>
      <c r="L133" s="104" t="s">
        <v>362</v>
      </c>
      <c r="M133" s="103"/>
      <c r="N133" s="162">
        <f t="shared" si="52"/>
        <v>0</v>
      </c>
      <c r="O133" s="79">
        <f t="shared" si="53"/>
        <v>0</v>
      </c>
      <c r="P133" s="79">
        <f t="shared" si="54"/>
        <v>0</v>
      </c>
      <c r="Q133" s="78">
        <f t="shared" si="55"/>
        <v>0</v>
      </c>
      <c r="R133" s="79">
        <f t="shared" si="56"/>
        <v>0</v>
      </c>
      <c r="S133" s="79">
        <f t="shared" si="57"/>
        <v>0</v>
      </c>
      <c r="T133" s="78">
        <f t="shared" si="58"/>
        <v>0</v>
      </c>
      <c r="V133" s="256" t="s">
        <v>490</v>
      </c>
      <c r="Y133" t="e">
        <f>_xlfn.IFNA(VLOOKUP(C133,#REF!,2,FALSE),"")</f>
        <v>#REF!</v>
      </c>
      <c r="Z133" t="e">
        <f t="shared" si="37"/>
        <v>#REF!</v>
      </c>
      <c r="AA133" t="e">
        <f>_xlfn.IFNA(VLOOKUP(C133,#REF!,2,FALSE),F133)</f>
        <v>#REF!</v>
      </c>
      <c r="AB133" t="str">
        <f t="shared" si="36"/>
        <v/>
      </c>
      <c r="AD133" s="108"/>
      <c r="AE133" s="108"/>
    </row>
    <row r="134" spans="2:31">
      <c r="B134" s="101" t="s">
        <v>180</v>
      </c>
      <c r="C134" s="101" t="s">
        <v>390</v>
      </c>
      <c r="D134" s="102" t="s">
        <v>113</v>
      </c>
      <c r="E134" s="101" t="s">
        <v>970</v>
      </c>
      <c r="F134" s="202"/>
      <c r="H134" s="103" t="s">
        <v>180</v>
      </c>
      <c r="I134" s="104" t="s">
        <v>372</v>
      </c>
      <c r="J134" s="104" t="s">
        <v>111</v>
      </c>
      <c r="K134" s="103" t="s">
        <v>371</v>
      </c>
      <c r="L134" s="104" t="s">
        <v>372</v>
      </c>
      <c r="M134" s="103"/>
      <c r="N134" s="162">
        <f t="shared" si="52"/>
        <v>0</v>
      </c>
      <c r="O134" s="79">
        <f t="shared" si="53"/>
        <v>0</v>
      </c>
      <c r="P134" s="79">
        <f t="shared" si="54"/>
        <v>0</v>
      </c>
      <c r="Q134" s="78">
        <f t="shared" si="55"/>
        <v>0</v>
      </c>
      <c r="R134" s="79">
        <f t="shared" si="56"/>
        <v>0</v>
      </c>
      <c r="S134" s="79">
        <f t="shared" si="57"/>
        <v>0</v>
      </c>
      <c r="T134" s="78">
        <f t="shared" si="58"/>
        <v>0</v>
      </c>
      <c r="V134" s="256" t="s">
        <v>491</v>
      </c>
      <c r="Y134" t="e">
        <f>_xlfn.IFNA(VLOOKUP(C134,#REF!,2,FALSE),"")</f>
        <v>#REF!</v>
      </c>
      <c r="Z134" t="e">
        <f t="shared" si="37"/>
        <v>#REF!</v>
      </c>
      <c r="AA134" t="e">
        <f>_xlfn.IFNA(VLOOKUP(C134,#REF!,2,FALSE),F134)</f>
        <v>#REF!</v>
      </c>
      <c r="AB134" t="str">
        <f t="shared" si="36"/>
        <v/>
      </c>
      <c r="AD134" s="108"/>
      <c r="AE134" s="108"/>
    </row>
    <row r="135" spans="2:31">
      <c r="B135" s="101" t="s">
        <v>180</v>
      </c>
      <c r="C135" s="101" t="s">
        <v>413</v>
      </c>
      <c r="D135" s="102" t="s">
        <v>113</v>
      </c>
      <c r="E135" s="101" t="s">
        <v>970</v>
      </c>
      <c r="F135" s="202"/>
      <c r="H135" s="103" t="s">
        <v>180</v>
      </c>
      <c r="I135" s="104" t="s">
        <v>413</v>
      </c>
      <c r="J135" s="104" t="s">
        <v>111</v>
      </c>
      <c r="K135" s="103" t="s">
        <v>100</v>
      </c>
      <c r="L135" s="104" t="s">
        <v>413</v>
      </c>
      <c r="M135" s="103"/>
      <c r="N135" s="162">
        <f t="shared" si="52"/>
        <v>0</v>
      </c>
      <c r="O135" s="79">
        <f t="shared" si="53"/>
        <v>0</v>
      </c>
      <c r="P135" s="79">
        <f t="shared" si="54"/>
        <v>0</v>
      </c>
      <c r="Q135" s="78">
        <f t="shared" si="55"/>
        <v>0</v>
      </c>
      <c r="R135" s="79">
        <f t="shared" si="56"/>
        <v>0</v>
      </c>
      <c r="S135" s="79">
        <f t="shared" si="57"/>
        <v>0</v>
      </c>
      <c r="T135" s="78">
        <f t="shared" si="58"/>
        <v>0</v>
      </c>
      <c r="V135" s="256" t="s">
        <v>492</v>
      </c>
      <c r="Y135" t="e">
        <f>_xlfn.IFNA(VLOOKUP(C135,#REF!,2,FALSE),"")</f>
        <v>#REF!</v>
      </c>
      <c r="Z135" t="e">
        <f t="shared" si="37"/>
        <v>#REF!</v>
      </c>
      <c r="AA135" t="e">
        <f>_xlfn.IFNA(VLOOKUP(C135,#REF!,2,FALSE),F135)</f>
        <v>#REF!</v>
      </c>
      <c r="AB135" t="str">
        <f t="shared" si="36"/>
        <v/>
      </c>
      <c r="AD135" s="108"/>
      <c r="AE135" s="108"/>
    </row>
    <row r="136" spans="2:31">
      <c r="B136" s="101" t="s">
        <v>180</v>
      </c>
      <c r="C136" s="101" t="s">
        <v>389</v>
      </c>
      <c r="D136" s="102" t="s">
        <v>113</v>
      </c>
      <c r="E136" s="101" t="s">
        <v>970</v>
      </c>
      <c r="F136" s="202"/>
      <c r="H136" s="103" t="s">
        <v>180</v>
      </c>
      <c r="I136" s="104" t="s">
        <v>382</v>
      </c>
      <c r="J136" s="104" t="s">
        <v>111</v>
      </c>
      <c r="K136" s="103" t="s">
        <v>120</v>
      </c>
      <c r="L136" s="104" t="s">
        <v>382</v>
      </c>
      <c r="M136" s="103"/>
      <c r="N136" s="162">
        <f t="shared" si="52"/>
        <v>0</v>
      </c>
      <c r="O136" s="79">
        <f t="shared" si="53"/>
        <v>0</v>
      </c>
      <c r="P136" s="79">
        <f t="shared" si="54"/>
        <v>0</v>
      </c>
      <c r="Q136" s="78">
        <f t="shared" si="55"/>
        <v>0</v>
      </c>
      <c r="R136" s="79">
        <f t="shared" si="56"/>
        <v>0</v>
      </c>
      <c r="S136" s="79">
        <f t="shared" si="57"/>
        <v>0</v>
      </c>
      <c r="T136" s="78">
        <f t="shared" si="58"/>
        <v>0</v>
      </c>
      <c r="V136" s="256" t="s">
        <v>493</v>
      </c>
      <c r="Y136" t="e">
        <f>_xlfn.IFNA(VLOOKUP(C136,#REF!,2,FALSE),"")</f>
        <v>#REF!</v>
      </c>
      <c r="Z136" t="e">
        <f t="shared" si="37"/>
        <v>#REF!</v>
      </c>
      <c r="AA136" t="e">
        <f>_xlfn.IFNA(VLOOKUP(C136,#REF!,2,FALSE),F136)</f>
        <v>#REF!</v>
      </c>
      <c r="AB136" t="str">
        <f t="shared" si="36"/>
        <v/>
      </c>
      <c r="AD136" s="108"/>
      <c r="AE136" s="108"/>
    </row>
    <row r="137" spans="2:31">
      <c r="B137" s="101" t="s">
        <v>180</v>
      </c>
      <c r="C137" s="101" t="s">
        <v>388</v>
      </c>
      <c r="D137" s="102" t="s">
        <v>113</v>
      </c>
      <c r="E137" s="101" t="s">
        <v>970</v>
      </c>
      <c r="F137" s="202"/>
      <c r="H137" s="103" t="s">
        <v>180</v>
      </c>
      <c r="I137" s="104" t="s">
        <v>383</v>
      </c>
      <c r="J137" s="104" t="s">
        <v>111</v>
      </c>
      <c r="K137" s="103" t="s">
        <v>60</v>
      </c>
      <c r="L137" s="104" t="s">
        <v>383</v>
      </c>
      <c r="M137" s="103"/>
      <c r="N137" s="162">
        <f t="shared" si="52"/>
        <v>0</v>
      </c>
      <c r="O137" s="79">
        <f t="shared" si="53"/>
        <v>0</v>
      </c>
      <c r="P137" s="79">
        <f t="shared" si="54"/>
        <v>0</v>
      </c>
      <c r="Q137" s="78">
        <f t="shared" si="55"/>
        <v>0</v>
      </c>
      <c r="R137" s="79">
        <f t="shared" si="56"/>
        <v>0</v>
      </c>
      <c r="S137" s="79">
        <f t="shared" si="57"/>
        <v>0</v>
      </c>
      <c r="T137" s="78">
        <f t="shared" si="58"/>
        <v>0</v>
      </c>
      <c r="V137" s="256" t="s">
        <v>494</v>
      </c>
      <c r="Y137" t="e">
        <f>_xlfn.IFNA(VLOOKUP(C137,#REF!,2,FALSE),"")</f>
        <v>#REF!</v>
      </c>
      <c r="Z137" t="e">
        <f t="shared" si="37"/>
        <v>#REF!</v>
      </c>
      <c r="AA137" t="e">
        <f>_xlfn.IFNA(VLOOKUP(C137,#REF!,2,FALSE),F137)</f>
        <v>#REF!</v>
      </c>
      <c r="AB137" t="str">
        <f t="shared" si="36"/>
        <v/>
      </c>
      <c r="AD137" s="108"/>
      <c r="AE137" s="108"/>
    </row>
    <row r="138" spans="2:31">
      <c r="B138" s="101" t="s">
        <v>180</v>
      </c>
      <c r="C138" s="101" t="s">
        <v>387</v>
      </c>
      <c r="D138" s="102" t="s">
        <v>113</v>
      </c>
      <c r="E138" s="101" t="s">
        <v>970</v>
      </c>
      <c r="F138" s="202"/>
      <c r="H138" s="103" t="s">
        <v>180</v>
      </c>
      <c r="I138" s="104" t="s">
        <v>386</v>
      </c>
      <c r="J138" s="104" t="s">
        <v>111</v>
      </c>
      <c r="K138" s="103" t="s">
        <v>63</v>
      </c>
      <c r="L138" s="104" t="s">
        <v>386</v>
      </c>
      <c r="M138" s="103"/>
      <c r="N138" s="162">
        <f t="shared" si="52"/>
        <v>0</v>
      </c>
      <c r="O138" s="79">
        <f t="shared" si="53"/>
        <v>0</v>
      </c>
      <c r="P138" s="79">
        <f t="shared" si="54"/>
        <v>0</v>
      </c>
      <c r="Q138" s="78">
        <f t="shared" si="55"/>
        <v>0</v>
      </c>
      <c r="R138" s="79">
        <f t="shared" si="56"/>
        <v>0</v>
      </c>
      <c r="S138" s="79">
        <f t="shared" si="57"/>
        <v>0</v>
      </c>
      <c r="T138" s="78">
        <f t="shared" si="58"/>
        <v>0</v>
      </c>
      <c r="V138" s="256" t="s">
        <v>495</v>
      </c>
      <c r="Y138" t="e">
        <f>_xlfn.IFNA(VLOOKUP(C138,#REF!,2,FALSE),"")</f>
        <v>#REF!</v>
      </c>
      <c r="Z138" t="e">
        <f t="shared" si="37"/>
        <v>#REF!</v>
      </c>
      <c r="AA138" t="e">
        <f>_xlfn.IFNA(VLOOKUP(C138,#REF!,2,FALSE),F138)</f>
        <v>#REF!</v>
      </c>
      <c r="AB138" t="str">
        <f t="shared" si="36"/>
        <v/>
      </c>
      <c r="AD138" s="108"/>
      <c r="AE138" s="108"/>
    </row>
    <row r="139" spans="2:31">
      <c r="B139" s="101" t="s">
        <v>180</v>
      </c>
      <c r="C139" s="101" t="s">
        <v>411</v>
      </c>
      <c r="D139" s="102" t="s">
        <v>113</v>
      </c>
      <c r="E139" s="101" t="s">
        <v>970</v>
      </c>
      <c r="F139" s="202"/>
      <c r="H139" s="103" t="s">
        <v>180</v>
      </c>
      <c r="I139" s="104" t="s">
        <v>411</v>
      </c>
      <c r="J139" s="104" t="s">
        <v>111</v>
      </c>
      <c r="K139" s="103" t="s">
        <v>62</v>
      </c>
      <c r="L139" s="104" t="s">
        <v>411</v>
      </c>
      <c r="M139" s="103"/>
      <c r="N139" s="162">
        <f t="shared" si="52"/>
        <v>0</v>
      </c>
      <c r="O139" s="79">
        <f t="shared" si="53"/>
        <v>0</v>
      </c>
      <c r="P139" s="79">
        <f t="shared" si="54"/>
        <v>0</v>
      </c>
      <c r="Q139" s="78">
        <f t="shared" si="55"/>
        <v>0</v>
      </c>
      <c r="R139" s="79">
        <f t="shared" si="56"/>
        <v>0</v>
      </c>
      <c r="S139" s="79">
        <f t="shared" si="57"/>
        <v>0</v>
      </c>
      <c r="T139" s="78">
        <f t="shared" si="58"/>
        <v>0</v>
      </c>
      <c r="V139" s="256" t="s">
        <v>496</v>
      </c>
      <c r="Y139" t="e">
        <f>_xlfn.IFNA(VLOOKUP(C139,#REF!,2,FALSE),"")</f>
        <v>#REF!</v>
      </c>
      <c r="Z139" t="e">
        <f t="shared" si="37"/>
        <v>#REF!</v>
      </c>
      <c r="AA139" t="e">
        <f>_xlfn.IFNA(VLOOKUP(C139,#REF!,2,FALSE),F139)</f>
        <v>#REF!</v>
      </c>
      <c r="AB139" t="str">
        <f t="shared" si="36"/>
        <v/>
      </c>
      <c r="AD139" s="108"/>
      <c r="AE139" s="108"/>
    </row>
    <row r="140" spans="2:31">
      <c r="B140" s="101" t="s">
        <v>180</v>
      </c>
      <c r="C140" s="101" t="s">
        <v>394</v>
      </c>
      <c r="D140" s="102" t="s">
        <v>113</v>
      </c>
      <c r="E140" s="101" t="s">
        <v>970</v>
      </c>
      <c r="F140" s="202"/>
      <c r="H140" s="103" t="s">
        <v>180</v>
      </c>
      <c r="I140" s="104" t="s">
        <v>395</v>
      </c>
      <c r="J140" s="104" t="s">
        <v>111</v>
      </c>
      <c r="K140" s="103" t="s">
        <v>58</v>
      </c>
      <c r="L140" s="104" t="s">
        <v>393</v>
      </c>
      <c r="M140" s="103"/>
      <c r="N140" s="162">
        <f t="shared" si="52"/>
        <v>0</v>
      </c>
      <c r="O140" s="79">
        <f t="shared" si="53"/>
        <v>0</v>
      </c>
      <c r="P140" s="79">
        <f t="shared" si="54"/>
        <v>0</v>
      </c>
      <c r="Q140" s="78">
        <f t="shared" si="55"/>
        <v>0</v>
      </c>
      <c r="R140" s="79">
        <f t="shared" si="56"/>
        <v>0</v>
      </c>
      <c r="S140" s="79">
        <f t="shared" si="57"/>
        <v>0</v>
      </c>
      <c r="T140" s="78">
        <f t="shared" si="58"/>
        <v>0</v>
      </c>
      <c r="V140" s="256" t="s">
        <v>497</v>
      </c>
      <c r="Y140" t="e">
        <f>_xlfn.IFNA(VLOOKUP(C140,#REF!,2,FALSE),"")</f>
        <v>#REF!</v>
      </c>
      <c r="Z140" t="e">
        <f t="shared" si="37"/>
        <v>#REF!</v>
      </c>
      <c r="AA140" t="e">
        <f>_xlfn.IFNA(VLOOKUP(C140,#REF!,2,FALSE),F140)</f>
        <v>#REF!</v>
      </c>
      <c r="AB140" t="str">
        <f t="shared" ref="AB140:AB203" si="59">IF(ISERROR(Y140),"",Y140=Z140)</f>
        <v/>
      </c>
      <c r="AD140" s="108"/>
      <c r="AE140" s="108"/>
    </row>
    <row r="141" spans="2:31">
      <c r="B141" s="101" t="s">
        <v>180</v>
      </c>
      <c r="C141" s="101" t="s">
        <v>412</v>
      </c>
      <c r="D141" s="102" t="s">
        <v>113</v>
      </c>
      <c r="E141" s="101" t="s">
        <v>970</v>
      </c>
      <c r="F141" s="202"/>
      <c r="H141" s="103" t="s">
        <v>180</v>
      </c>
      <c r="I141" s="104" t="s">
        <v>412</v>
      </c>
      <c r="J141" s="104" t="s">
        <v>111</v>
      </c>
      <c r="K141" s="103" t="s">
        <v>73</v>
      </c>
      <c r="L141" s="104" t="s">
        <v>412</v>
      </c>
      <c r="M141" s="103"/>
      <c r="N141" s="162">
        <f t="shared" si="52"/>
        <v>0</v>
      </c>
      <c r="O141" s="79">
        <f t="shared" si="53"/>
        <v>0</v>
      </c>
      <c r="P141" s="79">
        <f t="shared" si="54"/>
        <v>0</v>
      </c>
      <c r="Q141" s="78">
        <f t="shared" si="55"/>
        <v>0</v>
      </c>
      <c r="R141" s="79">
        <f t="shared" si="56"/>
        <v>0</v>
      </c>
      <c r="S141" s="79">
        <f t="shared" si="57"/>
        <v>0</v>
      </c>
      <c r="T141" s="78">
        <f t="shared" si="58"/>
        <v>0</v>
      </c>
      <c r="V141" s="256" t="s">
        <v>498</v>
      </c>
      <c r="Y141" t="e">
        <f>_xlfn.IFNA(VLOOKUP(C141,#REF!,2,FALSE),"")</f>
        <v>#REF!</v>
      </c>
      <c r="Z141" t="e">
        <f t="shared" ref="Z141:Z204" si="60">IF(Y141="","",F141)</f>
        <v>#REF!</v>
      </c>
      <c r="AA141" t="e">
        <f>_xlfn.IFNA(VLOOKUP(C141,#REF!,2,FALSE),F141)</f>
        <v>#REF!</v>
      </c>
      <c r="AB141" t="str">
        <f t="shared" si="59"/>
        <v/>
      </c>
      <c r="AD141" s="108"/>
      <c r="AE141" s="108"/>
    </row>
    <row r="142" spans="2:31">
      <c r="B142" s="101" t="s">
        <v>180</v>
      </c>
      <c r="C142" s="101" t="s">
        <v>414</v>
      </c>
      <c r="D142" s="102" t="s">
        <v>113</v>
      </c>
      <c r="E142" s="101" t="s">
        <v>970</v>
      </c>
      <c r="F142" s="202"/>
      <c r="H142" s="103" t="s">
        <v>180</v>
      </c>
      <c r="I142" s="104" t="s">
        <v>414</v>
      </c>
      <c r="J142" s="104" t="s">
        <v>111</v>
      </c>
      <c r="K142" s="103" t="s">
        <v>114</v>
      </c>
      <c r="L142" s="104" t="s">
        <v>414</v>
      </c>
      <c r="M142" s="103"/>
      <c r="N142" s="162">
        <f t="shared" si="52"/>
        <v>0</v>
      </c>
      <c r="O142" s="79">
        <f t="shared" si="53"/>
        <v>0</v>
      </c>
      <c r="P142" s="79">
        <f t="shared" si="54"/>
        <v>0</v>
      </c>
      <c r="Q142" s="78">
        <f t="shared" si="55"/>
        <v>0</v>
      </c>
      <c r="R142" s="79">
        <f t="shared" si="56"/>
        <v>0</v>
      </c>
      <c r="S142" s="79">
        <f t="shared" si="57"/>
        <v>0</v>
      </c>
      <c r="T142" s="78">
        <f t="shared" si="58"/>
        <v>0</v>
      </c>
      <c r="V142" s="256" t="s">
        <v>499</v>
      </c>
      <c r="Y142" t="e">
        <f>_xlfn.IFNA(VLOOKUP(C142,#REF!,2,FALSE),"")</f>
        <v>#REF!</v>
      </c>
      <c r="Z142" t="e">
        <f t="shared" si="60"/>
        <v>#REF!</v>
      </c>
      <c r="AA142" t="e">
        <f>_xlfn.IFNA(VLOOKUP(C142,#REF!,2,FALSE),F142)</f>
        <v>#REF!</v>
      </c>
      <c r="AB142" t="str">
        <f t="shared" si="59"/>
        <v/>
      </c>
      <c r="AD142" s="108"/>
      <c r="AE142" s="108"/>
    </row>
    <row r="143" spans="2:31">
      <c r="B143" s="101" t="s">
        <v>180</v>
      </c>
      <c r="C143" s="101" t="s">
        <v>410</v>
      </c>
      <c r="D143" s="102" t="s">
        <v>113</v>
      </c>
      <c r="E143" s="101" t="s">
        <v>970</v>
      </c>
      <c r="F143" s="202"/>
      <c r="H143" s="103" t="s">
        <v>180</v>
      </c>
      <c r="I143" s="104" t="s">
        <v>410</v>
      </c>
      <c r="J143" s="104" t="s">
        <v>111</v>
      </c>
      <c r="K143" s="103" t="s">
        <v>59</v>
      </c>
      <c r="L143" s="104" t="s">
        <v>410</v>
      </c>
      <c r="M143" s="103"/>
      <c r="N143" s="162">
        <f t="shared" si="52"/>
        <v>0</v>
      </c>
      <c r="O143" s="79">
        <f t="shared" si="53"/>
        <v>0</v>
      </c>
      <c r="P143" s="79">
        <f t="shared" si="54"/>
        <v>0</v>
      </c>
      <c r="Q143" s="78">
        <f t="shared" si="55"/>
        <v>0</v>
      </c>
      <c r="R143" s="79">
        <f t="shared" si="56"/>
        <v>0</v>
      </c>
      <c r="S143" s="79">
        <f t="shared" si="57"/>
        <v>0</v>
      </c>
      <c r="T143" s="78">
        <f t="shared" si="58"/>
        <v>0</v>
      </c>
      <c r="V143" s="256" t="s">
        <v>500</v>
      </c>
      <c r="Y143" t="e">
        <f>_xlfn.IFNA(VLOOKUP(C143,#REF!,2,FALSE),"")</f>
        <v>#REF!</v>
      </c>
      <c r="Z143" t="e">
        <f t="shared" si="60"/>
        <v>#REF!</v>
      </c>
      <c r="AA143" t="e">
        <f>_xlfn.IFNA(VLOOKUP(C143,#REF!,2,FALSE),F143)</f>
        <v>#REF!</v>
      </c>
      <c r="AB143" t="str">
        <f t="shared" si="59"/>
        <v/>
      </c>
      <c r="AD143" s="108"/>
      <c r="AE143" s="108"/>
    </row>
    <row r="144" spans="2:31">
      <c r="B144" s="101" t="s">
        <v>180</v>
      </c>
      <c r="C144" s="101" t="s">
        <v>740</v>
      </c>
      <c r="D144" s="102" t="s">
        <v>113</v>
      </c>
      <c r="E144" s="101" t="s">
        <v>970</v>
      </c>
      <c r="F144" s="202"/>
      <c r="H144" s="103" t="s">
        <v>180</v>
      </c>
      <c r="I144" s="104" t="s">
        <v>744</v>
      </c>
      <c r="J144" s="104" t="s">
        <v>111</v>
      </c>
      <c r="K144" s="103" t="s">
        <v>318</v>
      </c>
      <c r="L144" s="104" t="s">
        <v>744</v>
      </c>
      <c r="M144" s="103"/>
      <c r="N144" s="162">
        <f t="shared" si="52"/>
        <v>0</v>
      </c>
      <c r="O144" s="79">
        <f t="shared" si="53"/>
        <v>0</v>
      </c>
      <c r="P144" s="79">
        <f t="shared" si="54"/>
        <v>0</v>
      </c>
      <c r="Q144" s="78">
        <f t="shared" si="55"/>
        <v>0</v>
      </c>
      <c r="R144" s="79">
        <f t="shared" si="56"/>
        <v>0</v>
      </c>
      <c r="S144" s="79">
        <f t="shared" si="57"/>
        <v>0</v>
      </c>
      <c r="T144" s="78">
        <f t="shared" si="58"/>
        <v>0</v>
      </c>
      <c r="V144" s="256" t="s">
        <v>742</v>
      </c>
      <c r="Y144" t="e">
        <f>_xlfn.IFNA(VLOOKUP(C144,#REF!,2,FALSE),"")</f>
        <v>#REF!</v>
      </c>
      <c r="Z144" t="e">
        <f t="shared" si="60"/>
        <v>#REF!</v>
      </c>
      <c r="AA144" t="e">
        <f>_xlfn.IFNA(VLOOKUP(C144,#REF!,2,FALSE),F144)</f>
        <v>#REF!</v>
      </c>
      <c r="AB144" t="str">
        <f t="shared" si="59"/>
        <v/>
      </c>
      <c r="AD144" s="108"/>
      <c r="AE144" s="108"/>
    </row>
    <row r="145" spans="2:31">
      <c r="B145" s="101" t="s">
        <v>180</v>
      </c>
      <c r="C145" s="101" t="s">
        <v>741</v>
      </c>
      <c r="D145" s="102" t="s">
        <v>113</v>
      </c>
      <c r="E145" s="101" t="s">
        <v>970</v>
      </c>
      <c r="F145" s="202"/>
      <c r="H145" s="103" t="s">
        <v>180</v>
      </c>
      <c r="I145" s="104" t="s">
        <v>745</v>
      </c>
      <c r="J145" s="104" t="s">
        <v>111</v>
      </c>
      <c r="K145" s="103" t="s">
        <v>101</v>
      </c>
      <c r="L145" s="104" t="s">
        <v>745</v>
      </c>
      <c r="M145" s="103"/>
      <c r="N145" s="162">
        <f t="shared" si="52"/>
        <v>0</v>
      </c>
      <c r="O145" s="79">
        <f t="shared" si="53"/>
        <v>0</v>
      </c>
      <c r="P145" s="79">
        <f t="shared" si="54"/>
        <v>0</v>
      </c>
      <c r="Q145" s="78">
        <f t="shared" si="55"/>
        <v>0</v>
      </c>
      <c r="R145" s="79">
        <f t="shared" si="56"/>
        <v>0</v>
      </c>
      <c r="S145" s="79">
        <f t="shared" si="57"/>
        <v>0</v>
      </c>
      <c r="T145" s="78">
        <f t="shared" si="58"/>
        <v>0</v>
      </c>
      <c r="V145" s="256" t="s">
        <v>743</v>
      </c>
      <c r="Y145" t="e">
        <f>_xlfn.IFNA(VLOOKUP(C145,#REF!,2,FALSE),"")</f>
        <v>#REF!</v>
      </c>
      <c r="Z145" t="e">
        <f t="shared" si="60"/>
        <v>#REF!</v>
      </c>
      <c r="AA145" t="e">
        <f>_xlfn.IFNA(VLOOKUP(C145,#REF!,2,FALSE),F145)</f>
        <v>#REF!</v>
      </c>
      <c r="AB145" t="str">
        <f t="shared" si="59"/>
        <v/>
      </c>
      <c r="AD145" s="108"/>
      <c r="AE145" s="108"/>
    </row>
    <row r="146" spans="2:31">
      <c r="B146" s="101"/>
      <c r="C146" s="101"/>
      <c r="D146" s="102"/>
      <c r="E146" s="101"/>
      <c r="F146" s="202"/>
      <c r="H146" s="164" t="s">
        <v>180</v>
      </c>
      <c r="I146" s="165" t="s">
        <v>403</v>
      </c>
      <c r="J146" s="165" t="s">
        <v>111</v>
      </c>
      <c r="K146" s="164" t="s">
        <v>70</v>
      </c>
      <c r="L146" s="165" t="s">
        <v>403</v>
      </c>
      <c r="M146" s="164"/>
      <c r="N146" s="162">
        <f>$P$365</f>
        <v>0</v>
      </c>
      <c r="O146" s="124">
        <f t="shared" si="53"/>
        <v>0</v>
      </c>
      <c r="P146" s="124">
        <f t="shared" si="54"/>
        <v>0</v>
      </c>
      <c r="Q146" s="78">
        <f t="shared" si="55"/>
        <v>0</v>
      </c>
      <c r="R146" s="124">
        <f t="shared" si="56"/>
        <v>0</v>
      </c>
      <c r="S146" s="124">
        <f t="shared" si="57"/>
        <v>0</v>
      </c>
      <c r="T146" s="78">
        <f t="shared" si="58"/>
        <v>0</v>
      </c>
      <c r="V146" s="256"/>
      <c r="Y146" t="e">
        <f>_xlfn.IFNA(VLOOKUP(C146,#REF!,2,FALSE),"")</f>
        <v>#REF!</v>
      </c>
      <c r="Z146" t="e">
        <f t="shared" si="60"/>
        <v>#REF!</v>
      </c>
      <c r="AA146" t="e">
        <f>_xlfn.IFNA(VLOOKUP(C146,#REF!,2,FALSE),F146)</f>
        <v>#REF!</v>
      </c>
      <c r="AB146" t="str">
        <f t="shared" si="59"/>
        <v/>
      </c>
      <c r="AD146" s="108"/>
      <c r="AE146" s="108"/>
    </row>
    <row r="147" spans="2:31">
      <c r="B147" s="101"/>
      <c r="C147" s="101"/>
      <c r="D147" s="102"/>
      <c r="E147" s="101"/>
      <c r="F147" s="202"/>
      <c r="H147" s="103"/>
      <c r="I147" s="104"/>
      <c r="J147" s="104"/>
      <c r="K147" s="103"/>
      <c r="L147" s="104"/>
      <c r="M147" s="103"/>
      <c r="N147" s="162"/>
      <c r="O147" s="79"/>
      <c r="P147" s="79"/>
      <c r="Q147" s="208"/>
      <c r="R147" s="209"/>
      <c r="S147" s="209"/>
      <c r="T147" s="208"/>
      <c r="V147" s="256"/>
      <c r="Y147" t="e">
        <f>_xlfn.IFNA(VLOOKUP(C147,#REF!,2,FALSE),"")</f>
        <v>#REF!</v>
      </c>
      <c r="Z147" t="e">
        <f t="shared" si="60"/>
        <v>#REF!</v>
      </c>
      <c r="AA147" t="e">
        <f>_xlfn.IFNA(VLOOKUP(C147,#REF!,2,FALSE),F147)</f>
        <v>#REF!</v>
      </c>
      <c r="AB147" t="str">
        <f t="shared" si="59"/>
        <v/>
      </c>
      <c r="AD147" s="108"/>
      <c r="AE147" s="108"/>
    </row>
    <row r="148" spans="2:31">
      <c r="D148" s="142"/>
      <c r="F148" s="314"/>
      <c r="I148" s="142"/>
      <c r="J148" s="142"/>
      <c r="L148" s="142"/>
      <c r="N148" s="317"/>
      <c r="O148" s="299"/>
      <c r="P148" s="299"/>
      <c r="Q148" s="208"/>
      <c r="R148" s="215"/>
      <c r="S148" s="215"/>
      <c r="T148" s="208"/>
      <c r="Y148" t="e">
        <f>_xlfn.IFNA(VLOOKUP(C148,#REF!,2,FALSE),"")</f>
        <v>#REF!</v>
      </c>
      <c r="Z148" t="e">
        <f t="shared" si="60"/>
        <v>#REF!</v>
      </c>
      <c r="AA148" t="e">
        <f>_xlfn.IFNA(VLOOKUP(C148,#REF!,2,FALSE),F148)</f>
        <v>#REF!</v>
      </c>
      <c r="AB148" t="str">
        <f t="shared" si="59"/>
        <v/>
      </c>
      <c r="AD148" s="108"/>
      <c r="AE148" s="108"/>
    </row>
    <row r="149" spans="2:31">
      <c r="B149" s="103" t="s">
        <v>363</v>
      </c>
      <c r="C149" s="103" t="s">
        <v>748</v>
      </c>
      <c r="D149" s="104" t="s">
        <v>113</v>
      </c>
      <c r="E149" s="103" t="s">
        <v>974</v>
      </c>
      <c r="F149" s="204"/>
      <c r="H149" s="84" t="s">
        <v>363</v>
      </c>
      <c r="I149" s="84" t="s">
        <v>364</v>
      </c>
      <c r="J149" s="85" t="s">
        <v>111</v>
      </c>
      <c r="K149" s="84" t="s">
        <v>56</v>
      </c>
      <c r="L149" s="85" t="s">
        <v>364</v>
      </c>
      <c r="M149" s="84"/>
      <c r="N149" s="162">
        <f t="shared" ref="N149:N160" si="61">F149</f>
        <v>0</v>
      </c>
      <c r="O149" s="79">
        <f t="shared" ref="O149:O163" si="62">(N149*0.4+$I$327*0.42+$I$328*0.18)</f>
        <v>0</v>
      </c>
      <c r="P149" s="79">
        <f t="shared" ref="P149:P163" si="63">N149*0.4+$I$327*0.24+$I$330*0.12+$I$331*0.24</f>
        <v>0</v>
      </c>
      <c r="Q149" s="78">
        <f t="shared" ref="Q149:Q163" si="64">N149*0.5+$I$327*0.15+$I$329*0.1+$I$330*0.25</f>
        <v>0</v>
      </c>
      <c r="R149" s="79">
        <f t="shared" ref="R149:R163" si="65">N149*0.4+$I$327*0.6</f>
        <v>0</v>
      </c>
      <c r="S149" s="79">
        <f t="shared" ref="S149:S163" si="66">(N149*0.4+$I$327*0.36+$I$328*0.24)</f>
        <v>0</v>
      </c>
      <c r="T149" s="78">
        <f t="shared" ref="T149:T163" si="67">(N149*0.44+$I$327*0.45+$I$328*0.11)</f>
        <v>0</v>
      </c>
      <c r="V149" s="256" t="s">
        <v>501</v>
      </c>
      <c r="Y149" t="e">
        <f>_xlfn.IFNA(VLOOKUP(C149,#REF!,2,FALSE),"")</f>
        <v>#REF!</v>
      </c>
      <c r="Z149" t="e">
        <f t="shared" si="60"/>
        <v>#REF!</v>
      </c>
      <c r="AA149" t="e">
        <f>_xlfn.IFNA(VLOOKUP(C149,#REF!,2,FALSE),F149)</f>
        <v>#REF!</v>
      </c>
      <c r="AB149" t="str">
        <f t="shared" si="59"/>
        <v/>
      </c>
      <c r="AD149" s="108"/>
      <c r="AE149" s="108"/>
    </row>
    <row r="150" spans="2:31">
      <c r="B150" s="103" t="s">
        <v>363</v>
      </c>
      <c r="C150" s="103" t="s">
        <v>752</v>
      </c>
      <c r="D150" s="104" t="s">
        <v>113</v>
      </c>
      <c r="E150" s="103" t="s">
        <v>981</v>
      </c>
      <c r="F150" s="204"/>
      <c r="H150" s="84" t="s">
        <v>363</v>
      </c>
      <c r="I150" s="84" t="s">
        <v>365</v>
      </c>
      <c r="J150" s="85" t="s">
        <v>111</v>
      </c>
      <c r="K150" s="84" t="s">
        <v>106</v>
      </c>
      <c r="L150" s="85" t="s">
        <v>365</v>
      </c>
      <c r="M150" s="84"/>
      <c r="N150" s="162">
        <f t="shared" si="61"/>
        <v>0</v>
      </c>
      <c r="O150" s="79">
        <f t="shared" si="62"/>
        <v>0</v>
      </c>
      <c r="P150" s="79">
        <f t="shared" si="63"/>
        <v>0</v>
      </c>
      <c r="Q150" s="78">
        <f t="shared" si="64"/>
        <v>0</v>
      </c>
      <c r="R150" s="79">
        <f t="shared" si="65"/>
        <v>0</v>
      </c>
      <c r="S150" s="79">
        <f t="shared" si="66"/>
        <v>0</v>
      </c>
      <c r="T150" s="78">
        <f t="shared" si="67"/>
        <v>0</v>
      </c>
      <c r="V150" s="256" t="s">
        <v>502</v>
      </c>
      <c r="Y150" t="e">
        <f>_xlfn.IFNA(VLOOKUP(C150,#REF!,2,FALSE),"")</f>
        <v>#REF!</v>
      </c>
      <c r="Z150" t="e">
        <f t="shared" si="60"/>
        <v>#REF!</v>
      </c>
      <c r="AA150" t="e">
        <f>_xlfn.IFNA(VLOOKUP(C150,#REF!,2,FALSE),F150)</f>
        <v>#REF!</v>
      </c>
      <c r="AB150" t="str">
        <f t="shared" si="59"/>
        <v/>
      </c>
      <c r="AD150" s="108"/>
      <c r="AE150" s="108"/>
    </row>
    <row r="151" spans="2:31">
      <c r="B151" s="103" t="s">
        <v>363</v>
      </c>
      <c r="C151" s="103" t="s">
        <v>749</v>
      </c>
      <c r="D151" s="104" t="s">
        <v>113</v>
      </c>
      <c r="E151" s="103" t="s">
        <v>503</v>
      </c>
      <c r="F151" s="204"/>
      <c r="H151" s="84" t="s">
        <v>363</v>
      </c>
      <c r="I151" s="84" t="s">
        <v>366</v>
      </c>
      <c r="J151" s="85" t="s">
        <v>111</v>
      </c>
      <c r="K151" s="84" t="s">
        <v>60</v>
      </c>
      <c r="L151" s="85" t="s">
        <v>366</v>
      </c>
      <c r="M151" s="84"/>
      <c r="N151" s="162">
        <f t="shared" si="61"/>
        <v>0</v>
      </c>
      <c r="O151" s="79">
        <f t="shared" si="62"/>
        <v>0</v>
      </c>
      <c r="P151" s="79">
        <f t="shared" si="63"/>
        <v>0</v>
      </c>
      <c r="Q151" s="78">
        <f t="shared" si="64"/>
        <v>0</v>
      </c>
      <c r="R151" s="79">
        <f t="shared" si="65"/>
        <v>0</v>
      </c>
      <c r="S151" s="79">
        <f t="shared" si="66"/>
        <v>0</v>
      </c>
      <c r="T151" s="78">
        <f t="shared" si="67"/>
        <v>0</v>
      </c>
      <c r="V151" s="256" t="s">
        <v>503</v>
      </c>
      <c r="Y151" t="e">
        <f>_xlfn.IFNA(VLOOKUP(C151,#REF!,2,FALSE),"")</f>
        <v>#REF!</v>
      </c>
      <c r="Z151" t="e">
        <f t="shared" si="60"/>
        <v>#REF!</v>
      </c>
      <c r="AA151" t="e">
        <f>_xlfn.IFNA(VLOOKUP(C151,#REF!,2,FALSE),F151)</f>
        <v>#REF!</v>
      </c>
      <c r="AB151" t="str">
        <f t="shared" si="59"/>
        <v/>
      </c>
      <c r="AD151" s="108"/>
      <c r="AE151" s="108"/>
    </row>
    <row r="152" spans="2:31">
      <c r="B152" s="103" t="s">
        <v>363</v>
      </c>
      <c r="C152" s="103" t="s">
        <v>750</v>
      </c>
      <c r="D152" s="104" t="s">
        <v>113</v>
      </c>
      <c r="E152" s="103" t="s">
        <v>982</v>
      </c>
      <c r="F152" s="204"/>
      <c r="H152" s="84" t="s">
        <v>363</v>
      </c>
      <c r="I152" s="84" t="s">
        <v>367</v>
      </c>
      <c r="J152" s="85" t="s">
        <v>111</v>
      </c>
      <c r="K152" s="84" t="s">
        <v>62</v>
      </c>
      <c r="L152" s="85" t="s">
        <v>367</v>
      </c>
      <c r="M152" s="84"/>
      <c r="N152" s="162">
        <f t="shared" si="61"/>
        <v>0</v>
      </c>
      <c r="O152" s="79">
        <f t="shared" si="62"/>
        <v>0</v>
      </c>
      <c r="P152" s="79">
        <f t="shared" si="63"/>
        <v>0</v>
      </c>
      <c r="Q152" s="78">
        <f t="shared" si="64"/>
        <v>0</v>
      </c>
      <c r="R152" s="79">
        <f t="shared" si="65"/>
        <v>0</v>
      </c>
      <c r="S152" s="79">
        <f t="shared" si="66"/>
        <v>0</v>
      </c>
      <c r="T152" s="78">
        <f t="shared" si="67"/>
        <v>0</v>
      </c>
      <c r="V152" s="256" t="s">
        <v>504</v>
      </c>
      <c r="Y152" t="e">
        <f>_xlfn.IFNA(VLOOKUP(C152,#REF!,2,FALSE),"")</f>
        <v>#REF!</v>
      </c>
      <c r="Z152" t="e">
        <f t="shared" si="60"/>
        <v>#REF!</v>
      </c>
      <c r="AA152" t="e">
        <f>_xlfn.IFNA(VLOOKUP(C152,#REF!,2,FALSE),F152)</f>
        <v>#REF!</v>
      </c>
      <c r="AB152" t="str">
        <f t="shared" si="59"/>
        <v/>
      </c>
      <c r="AD152" s="108"/>
      <c r="AE152" s="108"/>
    </row>
    <row r="153" spans="2:31">
      <c r="B153" s="103" t="s">
        <v>363</v>
      </c>
      <c r="C153" s="103" t="s">
        <v>747</v>
      </c>
      <c r="D153" s="104" t="s">
        <v>113</v>
      </c>
      <c r="E153" s="103" t="s">
        <v>505</v>
      </c>
      <c r="F153" s="204"/>
      <c r="H153" s="84" t="s">
        <v>363</v>
      </c>
      <c r="I153" s="84" t="s">
        <v>368</v>
      </c>
      <c r="J153" s="85" t="s">
        <v>111</v>
      </c>
      <c r="K153" s="84" t="s">
        <v>63</v>
      </c>
      <c r="L153" s="85" t="s">
        <v>368</v>
      </c>
      <c r="M153" s="84"/>
      <c r="N153" s="162">
        <f t="shared" si="61"/>
        <v>0</v>
      </c>
      <c r="O153" s="79">
        <f t="shared" si="62"/>
        <v>0</v>
      </c>
      <c r="P153" s="79">
        <f t="shared" si="63"/>
        <v>0</v>
      </c>
      <c r="Q153" s="78">
        <f t="shared" si="64"/>
        <v>0</v>
      </c>
      <c r="R153" s="79">
        <f t="shared" si="65"/>
        <v>0</v>
      </c>
      <c r="S153" s="79">
        <f t="shared" si="66"/>
        <v>0</v>
      </c>
      <c r="T153" s="78">
        <f t="shared" si="67"/>
        <v>0</v>
      </c>
      <c r="V153" s="256" t="s">
        <v>505</v>
      </c>
      <c r="Y153" t="e">
        <f>_xlfn.IFNA(VLOOKUP(C153,#REF!,2,FALSE),"")</f>
        <v>#REF!</v>
      </c>
      <c r="Z153" t="e">
        <f t="shared" si="60"/>
        <v>#REF!</v>
      </c>
      <c r="AA153" t="e">
        <f>_xlfn.IFNA(VLOOKUP(C153,#REF!,2,FALSE),F153)</f>
        <v>#REF!</v>
      </c>
      <c r="AB153" t="str">
        <f t="shared" si="59"/>
        <v/>
      </c>
      <c r="AD153" s="108"/>
      <c r="AE153" s="108"/>
    </row>
    <row r="154" spans="2:31">
      <c r="B154" s="103" t="s">
        <v>363</v>
      </c>
      <c r="C154" s="103" t="s">
        <v>755</v>
      </c>
      <c r="D154" s="104" t="s">
        <v>113</v>
      </c>
      <c r="E154" s="103" t="s">
        <v>506</v>
      </c>
      <c r="F154" s="204"/>
      <c r="H154" s="84" t="s">
        <v>363</v>
      </c>
      <c r="I154" s="84" t="s">
        <v>369</v>
      </c>
      <c r="J154" s="85" t="s">
        <v>111</v>
      </c>
      <c r="K154" s="84" t="s">
        <v>64</v>
      </c>
      <c r="L154" s="85" t="s">
        <v>369</v>
      </c>
      <c r="M154" s="84"/>
      <c r="N154" s="162">
        <f t="shared" si="61"/>
        <v>0</v>
      </c>
      <c r="O154" s="79">
        <f t="shared" si="62"/>
        <v>0</v>
      </c>
      <c r="P154" s="79">
        <f t="shared" si="63"/>
        <v>0</v>
      </c>
      <c r="Q154" s="78">
        <f t="shared" si="64"/>
        <v>0</v>
      </c>
      <c r="R154" s="79">
        <f t="shared" si="65"/>
        <v>0</v>
      </c>
      <c r="S154" s="79">
        <f t="shared" si="66"/>
        <v>0</v>
      </c>
      <c r="T154" s="78">
        <f t="shared" si="67"/>
        <v>0</v>
      </c>
      <c r="V154" s="256" t="s">
        <v>506</v>
      </c>
      <c r="Y154" t="e">
        <f>_xlfn.IFNA(VLOOKUP(C154,#REF!,2,FALSE),"")</f>
        <v>#REF!</v>
      </c>
      <c r="Z154" t="e">
        <f t="shared" si="60"/>
        <v>#REF!</v>
      </c>
      <c r="AA154" t="e">
        <f>_xlfn.IFNA(VLOOKUP(C154,#REF!,2,FALSE),F154)</f>
        <v>#REF!</v>
      </c>
      <c r="AB154" t="str">
        <f t="shared" si="59"/>
        <v/>
      </c>
      <c r="AD154" s="108"/>
      <c r="AE154" s="108"/>
    </row>
    <row r="155" spans="2:31">
      <c r="B155" s="103" t="s">
        <v>363</v>
      </c>
      <c r="C155" s="103" t="s">
        <v>754</v>
      </c>
      <c r="D155" s="104" t="s">
        <v>113</v>
      </c>
      <c r="E155" s="103" t="s">
        <v>507</v>
      </c>
      <c r="F155" s="204"/>
      <c r="H155" s="84" t="s">
        <v>363</v>
      </c>
      <c r="I155" s="84" t="s">
        <v>370</v>
      </c>
      <c r="J155" s="85" t="s">
        <v>111</v>
      </c>
      <c r="K155" s="84" t="s">
        <v>81</v>
      </c>
      <c r="L155" s="84" t="s">
        <v>370</v>
      </c>
      <c r="M155" s="84"/>
      <c r="N155" s="162">
        <f t="shared" si="61"/>
        <v>0</v>
      </c>
      <c r="O155" s="79">
        <f t="shared" si="62"/>
        <v>0</v>
      </c>
      <c r="P155" s="79">
        <f t="shared" si="63"/>
        <v>0</v>
      </c>
      <c r="Q155" s="78">
        <f t="shared" si="64"/>
        <v>0</v>
      </c>
      <c r="R155" s="79">
        <f t="shared" si="65"/>
        <v>0</v>
      </c>
      <c r="S155" s="79">
        <f t="shared" si="66"/>
        <v>0</v>
      </c>
      <c r="T155" s="78">
        <f t="shared" si="67"/>
        <v>0</v>
      </c>
      <c r="V155" s="256" t="s">
        <v>507</v>
      </c>
      <c r="Y155" t="e">
        <f>_xlfn.IFNA(VLOOKUP(C155,#REF!,2,FALSE),"")</f>
        <v>#REF!</v>
      </c>
      <c r="Z155" t="e">
        <f t="shared" si="60"/>
        <v>#REF!</v>
      </c>
      <c r="AA155" t="e">
        <f>_xlfn.IFNA(VLOOKUP(C155,#REF!,2,FALSE),F155)</f>
        <v>#REF!</v>
      </c>
      <c r="AB155" t="str">
        <f t="shared" si="59"/>
        <v/>
      </c>
      <c r="AD155" s="108"/>
      <c r="AE155" s="108"/>
    </row>
    <row r="156" spans="2:31">
      <c r="B156" s="103" t="s">
        <v>363</v>
      </c>
      <c r="C156" s="103" t="s">
        <v>751</v>
      </c>
      <c r="D156" s="104" t="s">
        <v>113</v>
      </c>
      <c r="E156" s="103" t="s">
        <v>508</v>
      </c>
      <c r="F156" s="204"/>
      <c r="H156" s="84" t="s">
        <v>363</v>
      </c>
      <c r="I156" s="84" t="s">
        <v>379</v>
      </c>
      <c r="J156" s="85" t="s">
        <v>111</v>
      </c>
      <c r="K156" s="84" t="s">
        <v>114</v>
      </c>
      <c r="L156" s="84" t="s">
        <v>379</v>
      </c>
      <c r="M156" s="84"/>
      <c r="N156" s="162">
        <f t="shared" si="61"/>
        <v>0</v>
      </c>
      <c r="O156" s="79">
        <f t="shared" si="62"/>
        <v>0</v>
      </c>
      <c r="P156" s="79">
        <f t="shared" si="63"/>
        <v>0</v>
      </c>
      <c r="Q156" s="78">
        <f t="shared" si="64"/>
        <v>0</v>
      </c>
      <c r="R156" s="79">
        <f t="shared" si="65"/>
        <v>0</v>
      </c>
      <c r="S156" s="79">
        <f t="shared" si="66"/>
        <v>0</v>
      </c>
      <c r="T156" s="78">
        <f t="shared" si="67"/>
        <v>0</v>
      </c>
      <c r="V156" s="256" t="s">
        <v>508</v>
      </c>
      <c r="Y156" t="e">
        <f>_xlfn.IFNA(VLOOKUP(C156,#REF!,2,FALSE),"")</f>
        <v>#REF!</v>
      </c>
      <c r="Z156" t="e">
        <f t="shared" si="60"/>
        <v>#REF!</v>
      </c>
      <c r="AA156" t="e">
        <f>_xlfn.IFNA(VLOOKUP(C156,#REF!,2,FALSE),F156)</f>
        <v>#REF!</v>
      </c>
      <c r="AB156" t="str">
        <f t="shared" si="59"/>
        <v/>
      </c>
      <c r="AD156" s="108"/>
      <c r="AE156" s="108"/>
    </row>
    <row r="157" spans="2:31">
      <c r="B157" s="103" t="s">
        <v>363</v>
      </c>
      <c r="C157" s="103" t="s">
        <v>753</v>
      </c>
      <c r="D157" s="104" t="s">
        <v>113</v>
      </c>
      <c r="E157" s="103" t="s">
        <v>509</v>
      </c>
      <c r="F157" s="204"/>
      <c r="H157" s="84" t="s">
        <v>363</v>
      </c>
      <c r="I157" s="84" t="s">
        <v>385</v>
      </c>
      <c r="J157" s="84" t="s">
        <v>111</v>
      </c>
      <c r="K157" s="85" t="s">
        <v>100</v>
      </c>
      <c r="L157" s="84" t="s">
        <v>385</v>
      </c>
      <c r="M157" s="79"/>
      <c r="N157" s="162">
        <f t="shared" si="61"/>
        <v>0</v>
      </c>
      <c r="O157" s="79">
        <f t="shared" si="62"/>
        <v>0</v>
      </c>
      <c r="P157" s="79">
        <f t="shared" si="63"/>
        <v>0</v>
      </c>
      <c r="Q157" s="78">
        <f t="shared" si="64"/>
        <v>0</v>
      </c>
      <c r="R157" s="79">
        <f t="shared" si="65"/>
        <v>0</v>
      </c>
      <c r="S157" s="79">
        <f t="shared" si="66"/>
        <v>0</v>
      </c>
      <c r="T157" s="78">
        <f t="shared" si="67"/>
        <v>0</v>
      </c>
      <c r="V157" s="256" t="s">
        <v>509</v>
      </c>
      <c r="Y157" t="e">
        <f>_xlfn.IFNA(VLOOKUP(C157,#REF!,2,FALSE),"")</f>
        <v>#REF!</v>
      </c>
      <c r="Z157" t="e">
        <f t="shared" si="60"/>
        <v>#REF!</v>
      </c>
      <c r="AA157" t="e">
        <f>_xlfn.IFNA(VLOOKUP(C157,#REF!,2,FALSE),F157)</f>
        <v>#REF!</v>
      </c>
      <c r="AB157" t="str">
        <f t="shared" si="59"/>
        <v/>
      </c>
      <c r="AD157" s="108"/>
      <c r="AE157" s="108"/>
    </row>
    <row r="158" spans="2:31">
      <c r="B158" s="103" t="s">
        <v>363</v>
      </c>
      <c r="C158" s="103" t="s">
        <v>746</v>
      </c>
      <c r="D158" s="104" t="s">
        <v>113</v>
      </c>
      <c r="E158" s="103" t="s">
        <v>510</v>
      </c>
      <c r="F158" s="204"/>
      <c r="H158" s="84" t="s">
        <v>363</v>
      </c>
      <c r="I158" s="84" t="s">
        <v>380</v>
      </c>
      <c r="J158" s="84" t="s">
        <v>111</v>
      </c>
      <c r="K158" s="85" t="s">
        <v>73</v>
      </c>
      <c r="L158" s="84" t="s">
        <v>380</v>
      </c>
      <c r="M158" s="79"/>
      <c r="N158" s="162">
        <f t="shared" si="61"/>
        <v>0</v>
      </c>
      <c r="O158" s="79">
        <f t="shared" si="62"/>
        <v>0</v>
      </c>
      <c r="P158" s="79">
        <f t="shared" si="63"/>
        <v>0</v>
      </c>
      <c r="Q158" s="78">
        <f t="shared" si="64"/>
        <v>0</v>
      </c>
      <c r="R158" s="79">
        <f t="shared" si="65"/>
        <v>0</v>
      </c>
      <c r="S158" s="79">
        <f t="shared" si="66"/>
        <v>0</v>
      </c>
      <c r="T158" s="78">
        <f t="shared" si="67"/>
        <v>0</v>
      </c>
      <c r="V158" s="256" t="s">
        <v>510</v>
      </c>
      <c r="Y158" t="e">
        <f>_xlfn.IFNA(VLOOKUP(C158,#REF!,2,FALSE),"")</f>
        <v>#REF!</v>
      </c>
      <c r="Z158" t="e">
        <f t="shared" si="60"/>
        <v>#REF!</v>
      </c>
      <c r="AA158" t="e">
        <f>_xlfn.IFNA(VLOOKUP(C158,#REF!,2,FALSE),F158)</f>
        <v>#REF!</v>
      </c>
      <c r="AB158" t="str">
        <f t="shared" si="59"/>
        <v/>
      </c>
      <c r="AD158" s="108"/>
      <c r="AE158" s="108"/>
    </row>
    <row r="159" spans="2:31">
      <c r="B159" s="103" t="s">
        <v>363</v>
      </c>
      <c r="C159" s="103" t="s">
        <v>847</v>
      </c>
      <c r="D159" s="104" t="s">
        <v>113</v>
      </c>
      <c r="E159" s="103" t="s">
        <v>970</v>
      </c>
      <c r="F159" s="204"/>
      <c r="H159" s="84" t="s">
        <v>363</v>
      </c>
      <c r="I159" s="84" t="s">
        <v>851</v>
      </c>
      <c r="J159" s="84" t="s">
        <v>111</v>
      </c>
      <c r="K159" s="85" t="s">
        <v>850</v>
      </c>
      <c r="L159" s="84" t="s">
        <v>851</v>
      </c>
      <c r="M159" s="79"/>
      <c r="N159" s="162">
        <f t="shared" si="61"/>
        <v>0</v>
      </c>
      <c r="O159" s="79">
        <f t="shared" si="62"/>
        <v>0</v>
      </c>
      <c r="P159" s="79">
        <f t="shared" si="63"/>
        <v>0</v>
      </c>
      <c r="Q159" s="78">
        <f t="shared" si="64"/>
        <v>0</v>
      </c>
      <c r="R159" s="79">
        <f t="shared" si="65"/>
        <v>0</v>
      </c>
      <c r="S159" s="79">
        <f t="shared" si="66"/>
        <v>0</v>
      </c>
      <c r="T159" s="78">
        <f t="shared" si="67"/>
        <v>0</v>
      </c>
      <c r="V159" s="256" t="s">
        <v>849</v>
      </c>
      <c r="Y159" t="e">
        <f>_xlfn.IFNA(VLOOKUP(C159,#REF!,2,FALSE),"")</f>
        <v>#REF!</v>
      </c>
      <c r="Z159" t="e">
        <f t="shared" si="60"/>
        <v>#REF!</v>
      </c>
      <c r="AA159" t="e">
        <f>_xlfn.IFNA(VLOOKUP(C159,#REF!,2,FALSE),F159)</f>
        <v>#REF!</v>
      </c>
      <c r="AB159" t="str">
        <f t="shared" si="59"/>
        <v/>
      </c>
      <c r="AD159" s="108"/>
      <c r="AE159" s="108"/>
    </row>
    <row r="160" spans="2:31">
      <c r="B160" s="103" t="s">
        <v>363</v>
      </c>
      <c r="C160" s="103" t="s">
        <v>875</v>
      </c>
      <c r="D160" s="104" t="s">
        <v>113</v>
      </c>
      <c r="E160" s="103" t="s">
        <v>970</v>
      </c>
      <c r="F160" s="204"/>
      <c r="H160" s="84" t="s">
        <v>363</v>
      </c>
      <c r="I160" s="84" t="s">
        <v>881</v>
      </c>
      <c r="J160" s="84" t="s">
        <v>111</v>
      </c>
      <c r="K160" s="85" t="s">
        <v>882</v>
      </c>
      <c r="L160" s="84" t="s">
        <v>881</v>
      </c>
      <c r="M160" s="79"/>
      <c r="N160" s="162">
        <f t="shared" si="61"/>
        <v>0</v>
      </c>
      <c r="O160" s="79">
        <f t="shared" si="62"/>
        <v>0</v>
      </c>
      <c r="P160" s="79">
        <f t="shared" si="63"/>
        <v>0</v>
      </c>
      <c r="Q160" s="78">
        <f t="shared" si="64"/>
        <v>0</v>
      </c>
      <c r="R160" s="79">
        <f t="shared" si="65"/>
        <v>0</v>
      </c>
      <c r="S160" s="79">
        <f t="shared" si="66"/>
        <v>0</v>
      </c>
      <c r="T160" s="78">
        <f t="shared" si="67"/>
        <v>0</v>
      </c>
      <c r="V160" s="256" t="s">
        <v>880</v>
      </c>
      <c r="Y160" t="e">
        <f>_xlfn.IFNA(VLOOKUP(C160,#REF!,2,FALSE),"")</f>
        <v>#REF!</v>
      </c>
      <c r="Z160" t="e">
        <f t="shared" si="60"/>
        <v>#REF!</v>
      </c>
      <c r="AA160" t="e">
        <f>_xlfn.IFNA(VLOOKUP(C160,#REF!,2,FALSE),F160)</f>
        <v>#REF!</v>
      </c>
      <c r="AB160" t="str">
        <f t="shared" si="59"/>
        <v/>
      </c>
      <c r="AD160" s="108"/>
      <c r="AE160" s="108"/>
    </row>
    <row r="161" spans="2:31">
      <c r="B161" s="103"/>
      <c r="C161" s="103"/>
      <c r="D161" s="104"/>
      <c r="E161" s="103"/>
      <c r="F161" s="204"/>
      <c r="H161" s="84" t="s">
        <v>363</v>
      </c>
      <c r="I161" s="84" t="s">
        <v>696</v>
      </c>
      <c r="J161" s="84" t="s">
        <v>111</v>
      </c>
      <c r="K161" s="85" t="s">
        <v>59</v>
      </c>
      <c r="L161" s="84" t="s">
        <v>696</v>
      </c>
      <c r="M161" s="79"/>
      <c r="N161" s="162">
        <f>$K$391</f>
        <v>0</v>
      </c>
      <c r="O161" s="79">
        <f t="shared" si="62"/>
        <v>0</v>
      </c>
      <c r="P161" s="79">
        <f t="shared" si="63"/>
        <v>0</v>
      </c>
      <c r="Q161" s="78">
        <f t="shared" si="64"/>
        <v>0</v>
      </c>
      <c r="R161" s="79">
        <f t="shared" si="65"/>
        <v>0</v>
      </c>
      <c r="S161" s="79">
        <f t="shared" si="66"/>
        <v>0</v>
      </c>
      <c r="T161" s="78">
        <f t="shared" si="67"/>
        <v>0</v>
      </c>
      <c r="V161" s="256"/>
      <c r="Y161" t="e">
        <f>_xlfn.IFNA(VLOOKUP(C161,#REF!,2,FALSE),"")</f>
        <v>#REF!</v>
      </c>
      <c r="Z161" t="e">
        <f t="shared" si="60"/>
        <v>#REF!</v>
      </c>
      <c r="AA161" t="e">
        <f>_xlfn.IFNA(VLOOKUP(C161,#REF!,2,FALSE),F161)</f>
        <v>#REF!</v>
      </c>
      <c r="AB161" t="str">
        <f t="shared" si="59"/>
        <v/>
      </c>
      <c r="AD161" s="108"/>
      <c r="AE161" s="108"/>
    </row>
    <row r="162" spans="2:31">
      <c r="B162" s="103"/>
      <c r="C162" s="103"/>
      <c r="D162" s="104"/>
      <c r="E162" s="103"/>
      <c r="F162" s="204"/>
      <c r="H162" s="164" t="s">
        <v>363</v>
      </c>
      <c r="I162" s="164" t="s">
        <v>384</v>
      </c>
      <c r="J162" s="164" t="s">
        <v>111</v>
      </c>
      <c r="K162" s="165" t="s">
        <v>75</v>
      </c>
      <c r="L162" s="164" t="s">
        <v>384</v>
      </c>
      <c r="M162" s="124"/>
      <c r="N162" s="162">
        <f>$K$365</f>
        <v>0</v>
      </c>
      <c r="O162" s="124">
        <f t="shared" si="62"/>
        <v>0</v>
      </c>
      <c r="P162" s="124">
        <f t="shared" si="63"/>
        <v>0</v>
      </c>
      <c r="Q162" s="78">
        <f t="shared" si="64"/>
        <v>0</v>
      </c>
      <c r="R162" s="124">
        <f t="shared" si="65"/>
        <v>0</v>
      </c>
      <c r="S162" s="124">
        <f t="shared" si="66"/>
        <v>0</v>
      </c>
      <c r="T162" s="78">
        <f t="shared" si="67"/>
        <v>0</v>
      </c>
      <c r="V162" s="256"/>
      <c r="Y162" t="e">
        <f>_xlfn.IFNA(VLOOKUP(C162,#REF!,2,FALSE),"")</f>
        <v>#REF!</v>
      </c>
      <c r="Z162" t="e">
        <f t="shared" si="60"/>
        <v>#REF!</v>
      </c>
      <c r="AA162" t="e">
        <f>_xlfn.IFNA(VLOOKUP(C162,#REF!,2,FALSE),F162)</f>
        <v>#REF!</v>
      </c>
      <c r="AB162" t="str">
        <f t="shared" si="59"/>
        <v/>
      </c>
      <c r="AD162" s="108"/>
      <c r="AE162" s="108"/>
    </row>
    <row r="163" spans="2:31">
      <c r="B163" s="103"/>
      <c r="C163" s="103"/>
      <c r="D163" s="104"/>
      <c r="E163" s="103"/>
      <c r="F163" s="204"/>
      <c r="H163" s="164" t="s">
        <v>363</v>
      </c>
      <c r="I163" s="164" t="s">
        <v>409</v>
      </c>
      <c r="J163" s="164" t="s">
        <v>111</v>
      </c>
      <c r="K163" s="165" t="s">
        <v>74</v>
      </c>
      <c r="L163" s="164" t="s">
        <v>409</v>
      </c>
      <c r="M163" s="124"/>
      <c r="N163" s="162">
        <f>$K$348</f>
        <v>0</v>
      </c>
      <c r="O163" s="124">
        <f t="shared" si="62"/>
        <v>0</v>
      </c>
      <c r="P163" s="124">
        <f t="shared" si="63"/>
        <v>0</v>
      </c>
      <c r="Q163" s="78">
        <f t="shared" si="64"/>
        <v>0</v>
      </c>
      <c r="R163" s="211">
        <f t="shared" si="65"/>
        <v>0</v>
      </c>
      <c r="S163" s="211">
        <f t="shared" si="66"/>
        <v>0</v>
      </c>
      <c r="T163" s="210">
        <f t="shared" si="67"/>
        <v>0</v>
      </c>
      <c r="V163" s="256"/>
      <c r="Y163" t="e">
        <f>_xlfn.IFNA(VLOOKUP(C163,#REF!,2,FALSE),"")</f>
        <v>#REF!</v>
      </c>
      <c r="Z163" t="e">
        <f t="shared" si="60"/>
        <v>#REF!</v>
      </c>
      <c r="AA163" t="e">
        <f>_xlfn.IFNA(VLOOKUP(C163,#REF!,2,FALSE),F163)</f>
        <v>#REF!</v>
      </c>
      <c r="AB163" t="str">
        <f t="shared" si="59"/>
        <v/>
      </c>
      <c r="AD163" s="108"/>
      <c r="AE163" s="108"/>
    </row>
    <row r="164" spans="2:31">
      <c r="D164" s="142"/>
      <c r="F164" s="314"/>
      <c r="N164" s="316"/>
      <c r="Q164" s="207"/>
      <c r="R164" s="212"/>
      <c r="S164" s="212"/>
      <c r="T164" s="207"/>
      <c r="Y164" t="e">
        <f>_xlfn.IFNA(VLOOKUP(C164,#REF!,2,FALSE),"")</f>
        <v>#REF!</v>
      </c>
      <c r="Z164" t="e">
        <f t="shared" si="60"/>
        <v>#REF!</v>
      </c>
      <c r="AA164" t="e">
        <f>_xlfn.IFNA(VLOOKUP(C164,#REF!,2,FALSE),F164)</f>
        <v>#REF!</v>
      </c>
      <c r="AB164" t="str">
        <f t="shared" si="59"/>
        <v/>
      </c>
      <c r="AD164" s="108"/>
      <c r="AE164" s="108"/>
    </row>
    <row r="165" spans="2:31">
      <c r="D165" s="142"/>
      <c r="F165" s="314"/>
      <c r="N165" s="316"/>
      <c r="Q165" s="213"/>
      <c r="R165" s="214"/>
      <c r="S165" s="214"/>
      <c r="T165" s="213"/>
      <c r="Y165" t="e">
        <f>_xlfn.IFNA(VLOOKUP(C165,#REF!,2,FALSE),"")</f>
        <v>#REF!</v>
      </c>
      <c r="Z165" t="e">
        <f t="shared" si="60"/>
        <v>#REF!</v>
      </c>
      <c r="AA165" t="e">
        <f>_xlfn.IFNA(VLOOKUP(C165,#REF!,2,FALSE),F165)</f>
        <v>#REF!</v>
      </c>
      <c r="AB165" t="str">
        <f t="shared" si="59"/>
        <v/>
      </c>
      <c r="AD165" s="108"/>
      <c r="AE165" s="108"/>
    </row>
    <row r="166" spans="2:31">
      <c r="B166" s="105" t="s">
        <v>275</v>
      </c>
      <c r="C166" s="84" t="s">
        <v>781</v>
      </c>
      <c r="D166" s="105" t="s">
        <v>113</v>
      </c>
      <c r="E166" s="84">
        <v>70271</v>
      </c>
      <c r="F166" s="202"/>
      <c r="H166" s="84" t="s">
        <v>275</v>
      </c>
      <c r="I166" s="84" t="s">
        <v>405</v>
      </c>
      <c r="J166" s="84" t="s">
        <v>111</v>
      </c>
      <c r="K166" s="85" t="s">
        <v>65</v>
      </c>
      <c r="L166" s="84" t="s">
        <v>276</v>
      </c>
      <c r="M166" s="85"/>
      <c r="N166" s="162">
        <f t="shared" ref="N166:N194" si="68">F166</f>
        <v>0</v>
      </c>
      <c r="O166" s="79">
        <f t="shared" ref="O166:O195" si="69">(N166*0.4+$I$327*0.42+$I$328*0.18)</f>
        <v>0</v>
      </c>
      <c r="P166" s="79">
        <f t="shared" ref="P166:P195" si="70">N166*0.4+$I$327*0.24+$I$330*0.12+$I$331*0.24</f>
        <v>0</v>
      </c>
      <c r="Q166" s="78">
        <f t="shared" ref="Q166:Q195" si="71">N166*0.5+$I$327*0.15+$I$329*0.1+$I$330*0.25</f>
        <v>0</v>
      </c>
      <c r="R166" s="75">
        <f t="shared" ref="R166:R195" si="72">N166*0.4+$I$327*0.6</f>
        <v>0</v>
      </c>
      <c r="S166" s="75">
        <f t="shared" ref="S166:S195" si="73">(N166*0.4+$I$327*0.36+$I$328*0.24)</f>
        <v>0</v>
      </c>
      <c r="T166" s="78">
        <f t="shared" ref="T166:T195" si="74">(N166*0.44+$I$327*0.45+$I$328*0.11)</f>
        <v>0</v>
      </c>
      <c r="V166" s="256" t="s">
        <v>511</v>
      </c>
      <c r="Y166" t="e">
        <f>_xlfn.IFNA(VLOOKUP(C166,#REF!,2,FALSE),"")</f>
        <v>#REF!</v>
      </c>
      <c r="Z166" t="e">
        <f t="shared" si="60"/>
        <v>#REF!</v>
      </c>
      <c r="AA166" t="e">
        <f>_xlfn.IFNA(VLOOKUP(C166,#REF!,2,FALSE),F166)</f>
        <v>#REF!</v>
      </c>
      <c r="AB166" t="str">
        <f t="shared" si="59"/>
        <v/>
      </c>
      <c r="AD166" s="108"/>
      <c r="AE166" s="108"/>
    </row>
    <row r="167" spans="2:31">
      <c r="B167" s="105" t="s">
        <v>275</v>
      </c>
      <c r="C167" s="84" t="s">
        <v>782</v>
      </c>
      <c r="D167" s="105" t="s">
        <v>113</v>
      </c>
      <c r="E167" s="84">
        <v>8092</v>
      </c>
      <c r="F167" s="202"/>
      <c r="H167" s="84" t="s">
        <v>275</v>
      </c>
      <c r="I167" s="84" t="s">
        <v>406</v>
      </c>
      <c r="J167" s="84" t="s">
        <v>111</v>
      </c>
      <c r="K167" s="85" t="s">
        <v>65</v>
      </c>
      <c r="L167" s="84" t="s">
        <v>407</v>
      </c>
      <c r="M167" s="85"/>
      <c r="N167" s="162">
        <f t="shared" si="68"/>
        <v>0</v>
      </c>
      <c r="O167" s="79">
        <f t="shared" si="69"/>
        <v>0</v>
      </c>
      <c r="P167" s="79">
        <f t="shared" si="70"/>
        <v>0</v>
      </c>
      <c r="Q167" s="78">
        <f t="shared" si="71"/>
        <v>0</v>
      </c>
      <c r="R167" s="79">
        <f t="shared" si="72"/>
        <v>0</v>
      </c>
      <c r="S167" s="79">
        <f t="shared" si="73"/>
        <v>0</v>
      </c>
      <c r="T167" s="78">
        <f t="shared" si="74"/>
        <v>0</v>
      </c>
      <c r="V167" s="256" t="s">
        <v>512</v>
      </c>
      <c r="Y167" t="e">
        <f>_xlfn.IFNA(VLOOKUP(C167,#REF!,2,FALSE),"")</f>
        <v>#REF!</v>
      </c>
      <c r="Z167" t="e">
        <f t="shared" si="60"/>
        <v>#REF!</v>
      </c>
      <c r="AA167" t="e">
        <f>_xlfn.IFNA(VLOOKUP(C167,#REF!,2,FALSE),F167)</f>
        <v>#REF!</v>
      </c>
      <c r="AB167" t="str">
        <f t="shared" si="59"/>
        <v/>
      </c>
      <c r="AD167" s="108"/>
      <c r="AE167" s="108"/>
    </row>
    <row r="168" spans="2:31">
      <c r="B168" s="105" t="s">
        <v>275</v>
      </c>
      <c r="C168" s="84" t="s">
        <v>757</v>
      </c>
      <c r="D168" s="105" t="s">
        <v>113</v>
      </c>
      <c r="E168" s="84">
        <v>24161</v>
      </c>
      <c r="F168" s="202"/>
      <c r="H168" s="84" t="s">
        <v>275</v>
      </c>
      <c r="I168" s="84" t="s">
        <v>373</v>
      </c>
      <c r="J168" s="84" t="s">
        <v>111</v>
      </c>
      <c r="K168" s="85" t="s">
        <v>78</v>
      </c>
      <c r="L168" s="84" t="s">
        <v>373</v>
      </c>
      <c r="M168" s="79"/>
      <c r="N168" s="162">
        <f t="shared" si="68"/>
        <v>0</v>
      </c>
      <c r="O168" s="79">
        <f t="shared" si="69"/>
        <v>0</v>
      </c>
      <c r="P168" s="79">
        <f t="shared" si="70"/>
        <v>0</v>
      </c>
      <c r="Q168" s="78">
        <f t="shared" si="71"/>
        <v>0</v>
      </c>
      <c r="R168" s="79">
        <f t="shared" si="72"/>
        <v>0</v>
      </c>
      <c r="S168" s="79">
        <f t="shared" si="73"/>
        <v>0</v>
      </c>
      <c r="T168" s="78">
        <f t="shared" si="74"/>
        <v>0</v>
      </c>
      <c r="V168" s="256" t="s">
        <v>513</v>
      </c>
      <c r="Y168" t="e">
        <f>_xlfn.IFNA(VLOOKUP(C168,#REF!,2,FALSE),"")</f>
        <v>#REF!</v>
      </c>
      <c r="Z168" t="e">
        <f t="shared" si="60"/>
        <v>#REF!</v>
      </c>
      <c r="AA168" t="e">
        <f>_xlfn.IFNA(VLOOKUP(C168,#REF!,2,FALSE),F168)</f>
        <v>#REF!</v>
      </c>
      <c r="AB168" t="str">
        <f t="shared" si="59"/>
        <v/>
      </c>
      <c r="AD168" s="108"/>
      <c r="AE168" s="108"/>
    </row>
    <row r="169" spans="2:31">
      <c r="B169" s="105" t="s">
        <v>275</v>
      </c>
      <c r="C169" s="84" t="s">
        <v>765</v>
      </c>
      <c r="D169" s="105" t="s">
        <v>113</v>
      </c>
      <c r="E169" s="84" t="s">
        <v>1133</v>
      </c>
      <c r="F169" s="202"/>
      <c r="H169" s="84" t="s">
        <v>275</v>
      </c>
      <c r="I169" s="84" t="s">
        <v>302</v>
      </c>
      <c r="J169" s="84" t="s">
        <v>111</v>
      </c>
      <c r="K169" s="85" t="s">
        <v>60</v>
      </c>
      <c r="L169" s="84" t="s">
        <v>302</v>
      </c>
      <c r="M169" s="79"/>
      <c r="N169" s="162">
        <f t="shared" si="68"/>
        <v>0</v>
      </c>
      <c r="O169" s="79">
        <f t="shared" si="69"/>
        <v>0</v>
      </c>
      <c r="P169" s="79">
        <f t="shared" si="70"/>
        <v>0</v>
      </c>
      <c r="Q169" s="78">
        <f t="shared" si="71"/>
        <v>0</v>
      </c>
      <c r="R169" s="79">
        <f t="shared" si="72"/>
        <v>0</v>
      </c>
      <c r="S169" s="79">
        <f t="shared" si="73"/>
        <v>0</v>
      </c>
      <c r="T169" s="78">
        <f t="shared" si="74"/>
        <v>0</v>
      </c>
      <c r="V169" s="256" t="s">
        <v>514</v>
      </c>
      <c r="Y169" t="e">
        <f>_xlfn.IFNA(VLOOKUP(C169,#REF!,2,FALSE),"")</f>
        <v>#REF!</v>
      </c>
      <c r="Z169" t="e">
        <f t="shared" si="60"/>
        <v>#REF!</v>
      </c>
      <c r="AA169" t="e">
        <f>_xlfn.IFNA(VLOOKUP(C169,#REF!,2,FALSE),F169)</f>
        <v>#REF!</v>
      </c>
      <c r="AB169" t="str">
        <f t="shared" si="59"/>
        <v/>
      </c>
      <c r="AD169" s="108"/>
      <c r="AE169" s="108"/>
    </row>
    <row r="170" spans="2:31">
      <c r="B170" s="105" t="s">
        <v>275</v>
      </c>
      <c r="C170" s="84" t="s">
        <v>766</v>
      </c>
      <c r="D170" s="105" t="s">
        <v>113</v>
      </c>
      <c r="E170" s="84" t="s">
        <v>1134</v>
      </c>
      <c r="F170" s="202"/>
      <c r="H170" s="84" t="s">
        <v>275</v>
      </c>
      <c r="I170" s="84" t="s">
        <v>731</v>
      </c>
      <c r="J170" s="84" t="s">
        <v>111</v>
      </c>
      <c r="K170" s="85" t="s">
        <v>58</v>
      </c>
      <c r="L170" s="84" t="s">
        <v>731</v>
      </c>
      <c r="M170" s="79"/>
      <c r="N170" s="162">
        <f t="shared" si="68"/>
        <v>0</v>
      </c>
      <c r="O170" s="79">
        <f t="shared" si="69"/>
        <v>0</v>
      </c>
      <c r="P170" s="79">
        <f t="shared" si="70"/>
        <v>0</v>
      </c>
      <c r="Q170" s="78">
        <f t="shared" si="71"/>
        <v>0</v>
      </c>
      <c r="R170" s="79">
        <f t="shared" si="72"/>
        <v>0</v>
      </c>
      <c r="S170" s="79">
        <f t="shared" si="73"/>
        <v>0</v>
      </c>
      <c r="T170" s="78">
        <f t="shared" si="74"/>
        <v>0</v>
      </c>
      <c r="V170" s="256" t="s">
        <v>729</v>
      </c>
      <c r="Y170" t="e">
        <f>_xlfn.IFNA(VLOOKUP(C170,#REF!,2,FALSE),"")</f>
        <v>#REF!</v>
      </c>
      <c r="Z170" t="e">
        <f t="shared" si="60"/>
        <v>#REF!</v>
      </c>
      <c r="AA170" t="e">
        <f>_xlfn.IFNA(VLOOKUP(C170,#REF!,2,FALSE),F170)</f>
        <v>#REF!</v>
      </c>
      <c r="AB170" t="str">
        <f t="shared" si="59"/>
        <v/>
      </c>
      <c r="AD170" s="108"/>
      <c r="AE170" s="108"/>
    </row>
    <row r="171" spans="2:31">
      <c r="B171" s="105" t="s">
        <v>275</v>
      </c>
      <c r="C171" s="84" t="s">
        <v>767</v>
      </c>
      <c r="D171" s="105" t="s">
        <v>113</v>
      </c>
      <c r="E171" s="84">
        <v>68601</v>
      </c>
      <c r="F171" s="202"/>
      <c r="H171" s="84" t="s">
        <v>275</v>
      </c>
      <c r="I171" s="84" t="s">
        <v>733</v>
      </c>
      <c r="J171" s="84" t="s">
        <v>111</v>
      </c>
      <c r="K171" s="85" t="s">
        <v>734</v>
      </c>
      <c r="L171" s="84" t="s">
        <v>735</v>
      </c>
      <c r="M171" s="79"/>
      <c r="N171" s="162">
        <f t="shared" si="68"/>
        <v>0</v>
      </c>
      <c r="O171" s="79">
        <f t="shared" si="69"/>
        <v>0</v>
      </c>
      <c r="P171" s="79">
        <f t="shared" si="70"/>
        <v>0</v>
      </c>
      <c r="Q171" s="78">
        <f t="shared" si="71"/>
        <v>0</v>
      </c>
      <c r="R171" s="79">
        <f t="shared" si="72"/>
        <v>0</v>
      </c>
      <c r="S171" s="79">
        <f t="shared" si="73"/>
        <v>0</v>
      </c>
      <c r="T171" s="78">
        <f t="shared" si="74"/>
        <v>0</v>
      </c>
      <c r="V171" s="256" t="s">
        <v>732</v>
      </c>
      <c r="Y171" t="e">
        <f>_xlfn.IFNA(VLOOKUP(C171,#REF!,2,FALSE),"")</f>
        <v>#REF!</v>
      </c>
      <c r="Z171" t="e">
        <f t="shared" si="60"/>
        <v>#REF!</v>
      </c>
      <c r="AA171" t="e">
        <f>_xlfn.IFNA(VLOOKUP(C171,#REF!,2,FALSE),F171)</f>
        <v>#REF!</v>
      </c>
      <c r="AB171" t="str">
        <f t="shared" si="59"/>
        <v/>
      </c>
      <c r="AD171" s="108"/>
      <c r="AE171" s="108"/>
    </row>
    <row r="172" spans="2:31">
      <c r="B172" s="105" t="s">
        <v>275</v>
      </c>
      <c r="C172" s="84" t="s">
        <v>549</v>
      </c>
      <c r="D172" s="105" t="s">
        <v>113</v>
      </c>
      <c r="E172" s="84"/>
      <c r="F172" s="202"/>
      <c r="H172" s="84" t="s">
        <v>275</v>
      </c>
      <c r="I172" s="84" t="s">
        <v>303</v>
      </c>
      <c r="J172" s="84" t="s">
        <v>111</v>
      </c>
      <c r="K172" s="85" t="s">
        <v>62</v>
      </c>
      <c r="L172" s="84" t="s">
        <v>303</v>
      </c>
      <c r="M172" s="79"/>
      <c r="N172" s="162">
        <f t="shared" si="68"/>
        <v>0</v>
      </c>
      <c r="O172" s="79">
        <f t="shared" si="69"/>
        <v>0</v>
      </c>
      <c r="P172" s="79">
        <f t="shared" si="70"/>
        <v>0</v>
      </c>
      <c r="Q172" s="78">
        <f t="shared" si="71"/>
        <v>0</v>
      </c>
      <c r="R172" s="79">
        <f t="shared" si="72"/>
        <v>0</v>
      </c>
      <c r="S172" s="79">
        <f t="shared" si="73"/>
        <v>0</v>
      </c>
      <c r="T172" s="78">
        <f t="shared" si="74"/>
        <v>0</v>
      </c>
      <c r="V172" s="256" t="s">
        <v>515</v>
      </c>
      <c r="Y172" t="e">
        <f>_xlfn.IFNA(VLOOKUP(C172,#REF!,2,FALSE),"")</f>
        <v>#REF!</v>
      </c>
      <c r="Z172" t="e">
        <f t="shared" si="60"/>
        <v>#REF!</v>
      </c>
      <c r="AA172" t="e">
        <f>_xlfn.IFNA(VLOOKUP(C172,#REF!,2,FALSE),F172)</f>
        <v>#REF!</v>
      </c>
      <c r="AB172" t="str">
        <f t="shared" si="59"/>
        <v/>
      </c>
      <c r="AD172" s="108"/>
      <c r="AE172" s="108"/>
    </row>
    <row r="173" spans="2:31">
      <c r="B173" s="105" t="s">
        <v>275</v>
      </c>
      <c r="C173" s="84" t="s">
        <v>779</v>
      </c>
      <c r="D173" s="105" t="s">
        <v>113</v>
      </c>
      <c r="E173" s="84">
        <v>68581</v>
      </c>
      <c r="F173" s="202"/>
      <c r="H173" s="84" t="s">
        <v>275</v>
      </c>
      <c r="I173" s="84" t="s">
        <v>416</v>
      </c>
      <c r="J173" s="84" t="s">
        <v>111</v>
      </c>
      <c r="K173" s="85" t="s">
        <v>723</v>
      </c>
      <c r="L173" s="84" t="s">
        <v>415</v>
      </c>
      <c r="M173" s="79"/>
      <c r="N173" s="162">
        <f t="shared" si="68"/>
        <v>0</v>
      </c>
      <c r="O173" s="79">
        <f t="shared" si="69"/>
        <v>0</v>
      </c>
      <c r="P173" s="79">
        <f t="shared" si="70"/>
        <v>0</v>
      </c>
      <c r="Q173" s="78">
        <f t="shared" si="71"/>
        <v>0</v>
      </c>
      <c r="R173" s="79">
        <f t="shared" si="72"/>
        <v>0</v>
      </c>
      <c r="S173" s="79">
        <f t="shared" si="73"/>
        <v>0</v>
      </c>
      <c r="T173" s="78">
        <f t="shared" si="74"/>
        <v>0</v>
      </c>
      <c r="V173" s="256" t="s">
        <v>516</v>
      </c>
      <c r="Y173" t="e">
        <f>_xlfn.IFNA(VLOOKUP(C173,#REF!,2,FALSE),"")</f>
        <v>#REF!</v>
      </c>
      <c r="Z173" t="e">
        <f t="shared" si="60"/>
        <v>#REF!</v>
      </c>
      <c r="AA173" t="e">
        <f>_xlfn.IFNA(VLOOKUP(C173,#REF!,2,FALSE),F173)</f>
        <v>#REF!</v>
      </c>
      <c r="AB173" t="str">
        <f t="shared" si="59"/>
        <v/>
      </c>
      <c r="AD173" s="108"/>
      <c r="AE173" s="108"/>
    </row>
    <row r="174" spans="2:31">
      <c r="B174" s="105" t="s">
        <v>275</v>
      </c>
      <c r="C174" s="84" t="s">
        <v>780</v>
      </c>
      <c r="D174" s="105" t="s">
        <v>113</v>
      </c>
      <c r="E174" s="84" t="s">
        <v>1139</v>
      </c>
      <c r="F174" s="202"/>
      <c r="H174" s="84" t="s">
        <v>275</v>
      </c>
      <c r="I174" s="84" t="s">
        <v>736</v>
      </c>
      <c r="J174" s="84" t="s">
        <v>111</v>
      </c>
      <c r="K174" s="85" t="s">
        <v>73</v>
      </c>
      <c r="L174" s="84" t="s">
        <v>736</v>
      </c>
      <c r="M174" s="79"/>
      <c r="N174" s="162">
        <f t="shared" si="68"/>
        <v>0</v>
      </c>
      <c r="O174" s="79">
        <f t="shared" si="69"/>
        <v>0</v>
      </c>
      <c r="P174" s="79">
        <f t="shared" si="70"/>
        <v>0</v>
      </c>
      <c r="Q174" s="78">
        <f t="shared" si="71"/>
        <v>0</v>
      </c>
      <c r="R174" s="79">
        <f t="shared" si="72"/>
        <v>0</v>
      </c>
      <c r="S174" s="79">
        <f t="shared" si="73"/>
        <v>0</v>
      </c>
      <c r="T174" s="78">
        <f t="shared" si="74"/>
        <v>0</v>
      </c>
      <c r="V174" s="256" t="s">
        <v>730</v>
      </c>
      <c r="Y174" t="e">
        <f>_xlfn.IFNA(VLOOKUP(C174,#REF!,2,FALSE),"")</f>
        <v>#REF!</v>
      </c>
      <c r="Z174" t="e">
        <f t="shared" si="60"/>
        <v>#REF!</v>
      </c>
      <c r="AA174" t="e">
        <f>_xlfn.IFNA(VLOOKUP(C174,#REF!,2,FALSE),F174)</f>
        <v>#REF!</v>
      </c>
      <c r="AB174" t="str">
        <f t="shared" si="59"/>
        <v/>
      </c>
      <c r="AD174" s="108"/>
      <c r="AE174" s="108"/>
    </row>
    <row r="175" spans="2:31">
      <c r="B175" s="105" t="s">
        <v>275</v>
      </c>
      <c r="C175" s="84" t="s">
        <v>768</v>
      </c>
      <c r="D175" s="105" t="s">
        <v>113</v>
      </c>
      <c r="E175" s="84" t="s">
        <v>1135</v>
      </c>
      <c r="F175" s="202"/>
      <c r="H175" s="84" t="s">
        <v>275</v>
      </c>
      <c r="I175" s="84" t="s">
        <v>304</v>
      </c>
      <c r="J175" s="84" t="s">
        <v>111</v>
      </c>
      <c r="K175" s="85" t="s">
        <v>63</v>
      </c>
      <c r="L175" s="84" t="s">
        <v>304</v>
      </c>
      <c r="M175" s="79"/>
      <c r="N175" s="162">
        <f t="shared" si="68"/>
        <v>0</v>
      </c>
      <c r="O175" s="79">
        <f t="shared" si="69"/>
        <v>0</v>
      </c>
      <c r="P175" s="79">
        <f t="shared" si="70"/>
        <v>0</v>
      </c>
      <c r="Q175" s="78">
        <f t="shared" si="71"/>
        <v>0</v>
      </c>
      <c r="R175" s="79">
        <f t="shared" si="72"/>
        <v>0</v>
      </c>
      <c r="S175" s="79">
        <f t="shared" si="73"/>
        <v>0</v>
      </c>
      <c r="T175" s="78">
        <f t="shared" si="74"/>
        <v>0</v>
      </c>
      <c r="V175" s="256" t="s">
        <v>517</v>
      </c>
      <c r="Y175" t="e">
        <f>_xlfn.IFNA(VLOOKUP(C175,#REF!,2,FALSE),"")</f>
        <v>#REF!</v>
      </c>
      <c r="Z175" t="e">
        <f t="shared" si="60"/>
        <v>#REF!</v>
      </c>
      <c r="AA175" t="e">
        <f>_xlfn.IFNA(VLOOKUP(C175,#REF!,2,FALSE),F175)</f>
        <v>#REF!</v>
      </c>
      <c r="AB175" t="str">
        <f t="shared" si="59"/>
        <v/>
      </c>
      <c r="AD175" s="108"/>
      <c r="AE175" s="108"/>
    </row>
    <row r="176" spans="2:31">
      <c r="B176" s="105" t="s">
        <v>275</v>
      </c>
      <c r="C176" s="84" t="s">
        <v>778</v>
      </c>
      <c r="D176" s="105" t="s">
        <v>113</v>
      </c>
      <c r="E176" s="84">
        <v>74</v>
      </c>
      <c r="F176" s="202"/>
      <c r="H176" s="84" t="s">
        <v>275</v>
      </c>
      <c r="I176" s="84" t="s">
        <v>417</v>
      </c>
      <c r="J176" s="84" t="s">
        <v>111</v>
      </c>
      <c r="K176" s="85" t="s">
        <v>724</v>
      </c>
      <c r="L176" s="84" t="s">
        <v>418</v>
      </c>
      <c r="M176" s="79"/>
      <c r="N176" s="162">
        <f t="shared" si="68"/>
        <v>0</v>
      </c>
      <c r="O176" s="79">
        <f t="shared" si="69"/>
        <v>0</v>
      </c>
      <c r="P176" s="79">
        <f t="shared" si="70"/>
        <v>0</v>
      </c>
      <c r="Q176" s="78">
        <f t="shared" si="71"/>
        <v>0</v>
      </c>
      <c r="R176" s="79">
        <f t="shared" si="72"/>
        <v>0</v>
      </c>
      <c r="S176" s="79">
        <f t="shared" si="73"/>
        <v>0</v>
      </c>
      <c r="T176" s="78">
        <f t="shared" si="74"/>
        <v>0</v>
      </c>
      <c r="V176" s="256" t="s">
        <v>518</v>
      </c>
      <c r="Y176" t="e">
        <f>_xlfn.IFNA(VLOOKUP(C176,#REF!,2,FALSE),"")</f>
        <v>#REF!</v>
      </c>
      <c r="Z176" t="e">
        <f t="shared" si="60"/>
        <v>#REF!</v>
      </c>
      <c r="AA176" t="e">
        <f>_xlfn.IFNA(VLOOKUP(C176,#REF!,2,FALSE),F176)</f>
        <v>#REF!</v>
      </c>
      <c r="AB176" t="str">
        <f t="shared" si="59"/>
        <v/>
      </c>
      <c r="AD176" s="108"/>
      <c r="AE176" s="108"/>
    </row>
    <row r="177" spans="1:31">
      <c r="B177" s="105" t="s">
        <v>275</v>
      </c>
      <c r="C177" s="84" t="s">
        <v>818</v>
      </c>
      <c r="D177" s="105" t="s">
        <v>113</v>
      </c>
      <c r="E177" s="84">
        <v>2500</v>
      </c>
      <c r="F177" s="202"/>
      <c r="H177" s="84" t="s">
        <v>275</v>
      </c>
      <c r="I177" s="84" t="s">
        <v>305</v>
      </c>
      <c r="J177" s="84" t="s">
        <v>111</v>
      </c>
      <c r="K177" s="85" t="s">
        <v>64</v>
      </c>
      <c r="L177" s="84" t="s">
        <v>305</v>
      </c>
      <c r="M177" s="79"/>
      <c r="N177" s="162">
        <f t="shared" si="68"/>
        <v>0</v>
      </c>
      <c r="O177" s="79">
        <f t="shared" si="69"/>
        <v>0</v>
      </c>
      <c r="P177" s="79">
        <f t="shared" si="70"/>
        <v>0</v>
      </c>
      <c r="Q177" s="78">
        <f t="shared" si="71"/>
        <v>0</v>
      </c>
      <c r="R177" s="79">
        <f t="shared" si="72"/>
        <v>0</v>
      </c>
      <c r="S177" s="79">
        <f t="shared" si="73"/>
        <v>0</v>
      </c>
      <c r="T177" s="78">
        <f t="shared" si="74"/>
        <v>0</v>
      </c>
      <c r="V177" s="256" t="s">
        <v>519</v>
      </c>
      <c r="Y177" t="e">
        <f>_xlfn.IFNA(VLOOKUP(C177,#REF!,2,FALSE),"")</f>
        <v>#REF!</v>
      </c>
      <c r="Z177" t="e">
        <f t="shared" si="60"/>
        <v>#REF!</v>
      </c>
      <c r="AA177" t="e">
        <f>_xlfn.IFNA(VLOOKUP(C177,#REF!,2,FALSE),F177)</f>
        <v>#REF!</v>
      </c>
      <c r="AB177" t="str">
        <f t="shared" si="59"/>
        <v/>
      </c>
      <c r="AD177" s="108"/>
      <c r="AE177" s="108"/>
    </row>
    <row r="178" spans="1:31">
      <c r="B178" s="105" t="s">
        <v>275</v>
      </c>
      <c r="C178" s="84" t="s">
        <v>1223</v>
      </c>
      <c r="D178" s="105" t="s">
        <v>113</v>
      </c>
      <c r="E178" s="84" t="s">
        <v>1020</v>
      </c>
      <c r="F178" s="202"/>
      <c r="H178" s="84" t="s">
        <v>275</v>
      </c>
      <c r="I178" s="84" t="s">
        <v>865</v>
      </c>
      <c r="J178" s="84" t="s">
        <v>111</v>
      </c>
      <c r="K178" s="85" t="s">
        <v>108</v>
      </c>
      <c r="L178" s="84" t="s">
        <v>865</v>
      </c>
      <c r="M178" s="79"/>
      <c r="N178" s="162">
        <f t="shared" si="68"/>
        <v>0</v>
      </c>
      <c r="O178" s="79">
        <f t="shared" si="69"/>
        <v>0</v>
      </c>
      <c r="P178" s="79">
        <f t="shared" si="70"/>
        <v>0</v>
      </c>
      <c r="Q178" s="78">
        <f t="shared" si="71"/>
        <v>0</v>
      </c>
      <c r="R178" s="79">
        <f t="shared" si="72"/>
        <v>0</v>
      </c>
      <c r="S178" s="79">
        <f t="shared" si="73"/>
        <v>0</v>
      </c>
      <c r="T178" s="78">
        <f t="shared" si="74"/>
        <v>0</v>
      </c>
      <c r="V178" s="256" t="s">
        <v>864</v>
      </c>
      <c r="Y178" t="e">
        <f>_xlfn.IFNA(VLOOKUP(C178,#REF!,2,FALSE),"")</f>
        <v>#REF!</v>
      </c>
      <c r="Z178" t="e">
        <f t="shared" si="60"/>
        <v>#REF!</v>
      </c>
      <c r="AA178" t="e">
        <f>_xlfn.IFNA(VLOOKUP(C178,#REF!,2,FALSE),F178)</f>
        <v>#REF!</v>
      </c>
      <c r="AB178" t="str">
        <f t="shared" si="59"/>
        <v/>
      </c>
      <c r="AD178" s="108"/>
      <c r="AE178" s="108"/>
    </row>
    <row r="179" spans="1:31">
      <c r="B179" s="105" t="s">
        <v>275</v>
      </c>
      <c r="C179" s="84" t="s">
        <v>775</v>
      </c>
      <c r="D179" s="105" t="s">
        <v>113</v>
      </c>
      <c r="E179" s="84" t="s">
        <v>985</v>
      </c>
      <c r="F179" s="202"/>
      <c r="H179" s="84" t="s">
        <v>275</v>
      </c>
      <c r="I179" s="84" t="s">
        <v>307</v>
      </c>
      <c r="J179" s="84" t="s">
        <v>111</v>
      </c>
      <c r="K179" s="85" t="s">
        <v>106</v>
      </c>
      <c r="L179" s="84" t="s">
        <v>307</v>
      </c>
      <c r="M179" s="79"/>
      <c r="N179" s="162">
        <f t="shared" si="68"/>
        <v>0</v>
      </c>
      <c r="O179" s="79">
        <f t="shared" si="69"/>
        <v>0</v>
      </c>
      <c r="P179" s="79">
        <f t="shared" si="70"/>
        <v>0</v>
      </c>
      <c r="Q179" s="78">
        <f t="shared" si="71"/>
        <v>0</v>
      </c>
      <c r="R179" s="79">
        <f t="shared" si="72"/>
        <v>0</v>
      </c>
      <c r="S179" s="79">
        <f t="shared" si="73"/>
        <v>0</v>
      </c>
      <c r="T179" s="78">
        <f t="shared" si="74"/>
        <v>0</v>
      </c>
      <c r="V179" s="256" t="s">
        <v>520</v>
      </c>
      <c r="Y179" t="e">
        <f>_xlfn.IFNA(VLOOKUP(C179,#REF!,2,FALSE),"")</f>
        <v>#REF!</v>
      </c>
      <c r="Z179" t="e">
        <f t="shared" si="60"/>
        <v>#REF!</v>
      </c>
      <c r="AA179" t="e">
        <f>_xlfn.IFNA(VLOOKUP(C179,#REF!,2,FALSE),F179)</f>
        <v>#REF!</v>
      </c>
      <c r="AB179" t="str">
        <f t="shared" si="59"/>
        <v/>
      </c>
      <c r="AD179" s="108"/>
      <c r="AE179" s="108"/>
    </row>
    <row r="180" spans="1:31">
      <c r="B180" s="105" t="s">
        <v>275</v>
      </c>
      <c r="C180" s="84" t="s">
        <v>776</v>
      </c>
      <c r="D180" s="105" t="s">
        <v>113</v>
      </c>
      <c r="E180" s="84" t="s">
        <v>975</v>
      </c>
      <c r="F180" s="202"/>
      <c r="H180" s="84" t="s">
        <v>275</v>
      </c>
      <c r="I180" s="84" t="s">
        <v>317</v>
      </c>
      <c r="J180" s="84" t="s">
        <v>111</v>
      </c>
      <c r="K180" s="85" t="s">
        <v>318</v>
      </c>
      <c r="L180" s="84" t="s">
        <v>317</v>
      </c>
      <c r="M180" s="79"/>
      <c r="N180" s="162">
        <f t="shared" si="68"/>
        <v>0</v>
      </c>
      <c r="O180" s="79">
        <f t="shared" si="69"/>
        <v>0</v>
      </c>
      <c r="P180" s="79">
        <f t="shared" si="70"/>
        <v>0</v>
      </c>
      <c r="Q180" s="78">
        <f t="shared" si="71"/>
        <v>0</v>
      </c>
      <c r="R180" s="79">
        <f t="shared" si="72"/>
        <v>0</v>
      </c>
      <c r="S180" s="79">
        <f t="shared" si="73"/>
        <v>0</v>
      </c>
      <c r="T180" s="78">
        <f t="shared" si="74"/>
        <v>0</v>
      </c>
      <c r="V180" s="256" t="s">
        <v>521</v>
      </c>
      <c r="Y180" t="e">
        <f>_xlfn.IFNA(VLOOKUP(C180,#REF!,2,FALSE),"")</f>
        <v>#REF!</v>
      </c>
      <c r="Z180" t="e">
        <f t="shared" si="60"/>
        <v>#REF!</v>
      </c>
      <c r="AA180" t="e">
        <f>_xlfn.IFNA(VLOOKUP(C180,#REF!,2,FALSE),F180)</f>
        <v>#REF!</v>
      </c>
      <c r="AB180" t="str">
        <f t="shared" si="59"/>
        <v/>
      </c>
      <c r="AD180" s="108"/>
      <c r="AE180" s="108"/>
    </row>
    <row r="181" spans="1:31">
      <c r="A181" s="308"/>
      <c r="B181" s="105" t="s">
        <v>275</v>
      </c>
      <c r="C181" s="84" t="s">
        <v>756</v>
      </c>
      <c r="D181" s="105" t="s">
        <v>113</v>
      </c>
      <c r="E181" s="84">
        <v>50</v>
      </c>
      <c r="F181" s="202"/>
      <c r="H181" s="84" t="s">
        <v>275</v>
      </c>
      <c r="I181" s="84" t="s">
        <v>378</v>
      </c>
      <c r="J181" s="84" t="s">
        <v>111</v>
      </c>
      <c r="K181" s="85" t="s">
        <v>59</v>
      </c>
      <c r="L181" s="84" t="s">
        <v>378</v>
      </c>
      <c r="M181" s="79"/>
      <c r="N181" s="162">
        <f t="shared" si="68"/>
        <v>0</v>
      </c>
      <c r="O181" s="79">
        <f t="shared" si="69"/>
        <v>0</v>
      </c>
      <c r="P181" s="79">
        <f t="shared" si="70"/>
        <v>0</v>
      </c>
      <c r="Q181" s="78">
        <f t="shared" si="71"/>
        <v>0</v>
      </c>
      <c r="R181" s="79">
        <f t="shared" si="72"/>
        <v>0</v>
      </c>
      <c r="S181" s="79">
        <f t="shared" si="73"/>
        <v>0</v>
      </c>
      <c r="T181" s="78">
        <f t="shared" si="74"/>
        <v>0</v>
      </c>
      <c r="V181" s="256" t="s">
        <v>522</v>
      </c>
      <c r="Y181" t="e">
        <f>_xlfn.IFNA(VLOOKUP(C181,#REF!,2,FALSE),"")</f>
        <v>#REF!</v>
      </c>
      <c r="Z181" t="e">
        <f t="shared" si="60"/>
        <v>#REF!</v>
      </c>
      <c r="AA181" t="e">
        <f>_xlfn.IFNA(VLOOKUP(C181,#REF!,2,FALSE),F181)</f>
        <v>#REF!</v>
      </c>
      <c r="AB181" t="str">
        <f t="shared" si="59"/>
        <v/>
      </c>
      <c r="AD181" s="108"/>
      <c r="AE181" s="108"/>
    </row>
    <row r="182" spans="1:31">
      <c r="B182" s="105" t="s">
        <v>275</v>
      </c>
      <c r="C182" s="84" t="s">
        <v>764</v>
      </c>
      <c r="D182" s="105" t="s">
        <v>113</v>
      </c>
      <c r="E182" s="84" t="s">
        <v>1136</v>
      </c>
      <c r="F182" s="202"/>
      <c r="H182" s="84" t="s">
        <v>275</v>
      </c>
      <c r="I182" s="84" t="s">
        <v>560</v>
      </c>
      <c r="J182" s="84" t="s">
        <v>111</v>
      </c>
      <c r="K182" s="85" t="s">
        <v>56</v>
      </c>
      <c r="L182" s="84" t="s">
        <v>560</v>
      </c>
      <c r="M182" s="79"/>
      <c r="N182" s="162">
        <f t="shared" si="68"/>
        <v>0</v>
      </c>
      <c r="O182" s="79">
        <f t="shared" si="69"/>
        <v>0</v>
      </c>
      <c r="P182" s="79">
        <f t="shared" si="70"/>
        <v>0</v>
      </c>
      <c r="Q182" s="78">
        <f t="shared" si="71"/>
        <v>0</v>
      </c>
      <c r="R182" s="79">
        <f t="shared" si="72"/>
        <v>0</v>
      </c>
      <c r="S182" s="79">
        <f t="shared" si="73"/>
        <v>0</v>
      </c>
      <c r="T182" s="78">
        <f t="shared" si="74"/>
        <v>0</v>
      </c>
      <c r="V182" s="256" t="s">
        <v>559</v>
      </c>
      <c r="Y182" t="e">
        <f>_xlfn.IFNA(VLOOKUP(C182,#REF!,2,FALSE),"")</f>
        <v>#REF!</v>
      </c>
      <c r="Z182" t="e">
        <f t="shared" si="60"/>
        <v>#REF!</v>
      </c>
      <c r="AA182" t="e">
        <f>_xlfn.IFNA(VLOOKUP(C182,#REF!,2,FALSE),F182)</f>
        <v>#REF!</v>
      </c>
      <c r="AB182" t="str">
        <f t="shared" si="59"/>
        <v/>
      </c>
      <c r="AD182" s="108"/>
      <c r="AE182" s="108"/>
    </row>
    <row r="183" spans="1:31">
      <c r="B183" s="105" t="s">
        <v>275</v>
      </c>
      <c r="C183" s="84" t="s">
        <v>777</v>
      </c>
      <c r="D183" s="105" t="s">
        <v>113</v>
      </c>
      <c r="E183" s="84">
        <v>910</v>
      </c>
      <c r="F183" s="202"/>
      <c r="H183" s="84" t="s">
        <v>275</v>
      </c>
      <c r="I183" s="84" t="s">
        <v>706</v>
      </c>
      <c r="J183" s="84" t="s">
        <v>111</v>
      </c>
      <c r="K183" s="85" t="s">
        <v>707</v>
      </c>
      <c r="L183" s="84" t="s">
        <v>708</v>
      </c>
      <c r="M183" s="79"/>
      <c r="N183" s="162">
        <f t="shared" si="68"/>
        <v>0</v>
      </c>
      <c r="O183" s="79">
        <f t="shared" si="69"/>
        <v>0</v>
      </c>
      <c r="P183" s="79">
        <f t="shared" si="70"/>
        <v>0</v>
      </c>
      <c r="Q183" s="78">
        <f t="shared" si="71"/>
        <v>0</v>
      </c>
      <c r="R183" s="79">
        <f t="shared" si="72"/>
        <v>0</v>
      </c>
      <c r="S183" s="79">
        <f t="shared" si="73"/>
        <v>0</v>
      </c>
      <c r="T183" s="78">
        <f t="shared" si="74"/>
        <v>0</v>
      </c>
      <c r="V183" s="256" t="s">
        <v>705</v>
      </c>
      <c r="Y183" t="e">
        <f>_xlfn.IFNA(VLOOKUP(C183,#REF!,2,FALSE),"")</f>
        <v>#REF!</v>
      </c>
      <c r="Z183" t="e">
        <f t="shared" si="60"/>
        <v>#REF!</v>
      </c>
      <c r="AA183" t="e">
        <f>_xlfn.IFNA(VLOOKUP(C183,#REF!,2,FALSE),F183)</f>
        <v>#REF!</v>
      </c>
      <c r="AB183" t="str">
        <f t="shared" si="59"/>
        <v/>
      </c>
      <c r="AD183" s="108"/>
      <c r="AE183" s="108"/>
    </row>
    <row r="184" spans="1:31">
      <c r="B184" s="105" t="s">
        <v>275</v>
      </c>
      <c r="C184" s="84" t="s">
        <v>726</v>
      </c>
      <c r="D184" s="105" t="s">
        <v>113</v>
      </c>
      <c r="E184" s="84">
        <v>1375</v>
      </c>
      <c r="F184" s="202"/>
      <c r="H184" s="84" t="s">
        <v>275</v>
      </c>
      <c r="I184" s="84" t="s">
        <v>727</v>
      </c>
      <c r="J184" s="84" t="s">
        <v>111</v>
      </c>
      <c r="K184" s="85" t="s">
        <v>728</v>
      </c>
      <c r="L184" s="84" t="s">
        <v>727</v>
      </c>
      <c r="M184" s="79"/>
      <c r="N184" s="162">
        <f t="shared" si="68"/>
        <v>0</v>
      </c>
      <c r="O184" s="79">
        <f t="shared" si="69"/>
        <v>0</v>
      </c>
      <c r="P184" s="79">
        <f t="shared" si="70"/>
        <v>0</v>
      </c>
      <c r="Q184" s="78">
        <f t="shared" si="71"/>
        <v>0</v>
      </c>
      <c r="R184" s="79">
        <f t="shared" si="72"/>
        <v>0</v>
      </c>
      <c r="S184" s="79">
        <f t="shared" si="73"/>
        <v>0</v>
      </c>
      <c r="T184" s="78">
        <f t="shared" si="74"/>
        <v>0</v>
      </c>
      <c r="V184" s="256" t="s">
        <v>725</v>
      </c>
      <c r="Y184" t="e">
        <f>_xlfn.IFNA(VLOOKUP(C184,#REF!,2,FALSE),"")</f>
        <v>#REF!</v>
      </c>
      <c r="Z184" t="e">
        <f t="shared" si="60"/>
        <v>#REF!</v>
      </c>
      <c r="AA184" t="e">
        <f>_xlfn.IFNA(VLOOKUP(C184,#REF!,2,FALSE),F184)</f>
        <v>#REF!</v>
      </c>
      <c r="AB184" t="str">
        <f t="shared" si="59"/>
        <v/>
      </c>
      <c r="AD184" s="108"/>
      <c r="AE184" s="108"/>
    </row>
    <row r="185" spans="1:31">
      <c r="B185" s="105" t="s">
        <v>275</v>
      </c>
      <c r="C185" s="84" t="s">
        <v>5142</v>
      </c>
      <c r="D185" s="105" t="s">
        <v>113</v>
      </c>
      <c r="E185" s="84">
        <v>83234</v>
      </c>
      <c r="F185" s="202"/>
      <c r="H185" s="84" t="s">
        <v>275</v>
      </c>
      <c r="I185" s="84" t="s">
        <v>762</v>
      </c>
      <c r="J185" s="84" t="s">
        <v>111</v>
      </c>
      <c r="K185" s="85" t="s">
        <v>760</v>
      </c>
      <c r="L185" s="84" t="s">
        <v>762</v>
      </c>
      <c r="M185" s="79"/>
      <c r="N185" s="162">
        <f t="shared" si="68"/>
        <v>0</v>
      </c>
      <c r="O185" s="79">
        <f t="shared" si="69"/>
        <v>0</v>
      </c>
      <c r="P185" s="79">
        <f t="shared" si="70"/>
        <v>0</v>
      </c>
      <c r="Q185" s="78">
        <f t="shared" si="71"/>
        <v>0</v>
      </c>
      <c r="R185" s="79">
        <f t="shared" si="72"/>
        <v>0</v>
      </c>
      <c r="S185" s="79">
        <f t="shared" si="73"/>
        <v>0</v>
      </c>
      <c r="T185" s="78">
        <f t="shared" si="74"/>
        <v>0</v>
      </c>
      <c r="V185" s="256" t="s">
        <v>758</v>
      </c>
      <c r="Y185" t="e">
        <f>_xlfn.IFNA(VLOOKUP(C185,#REF!,2,FALSE),"")</f>
        <v>#REF!</v>
      </c>
      <c r="Z185" t="e">
        <f t="shared" si="60"/>
        <v>#REF!</v>
      </c>
      <c r="AA185" t="e">
        <f>_xlfn.IFNA(VLOOKUP(C185,#REF!,2,FALSE),F185)</f>
        <v>#REF!</v>
      </c>
      <c r="AB185" t="str">
        <f t="shared" si="59"/>
        <v/>
      </c>
      <c r="AD185" s="108"/>
      <c r="AE185" s="108"/>
    </row>
    <row r="186" spans="1:31">
      <c r="A186" s="308"/>
      <c r="B186" s="105" t="s">
        <v>275</v>
      </c>
      <c r="C186" s="84" t="s">
        <v>5141</v>
      </c>
      <c r="D186" s="105" t="s">
        <v>113</v>
      </c>
      <c r="E186" s="84">
        <v>66701</v>
      </c>
      <c r="F186" s="202"/>
      <c r="H186" s="84" t="s">
        <v>275</v>
      </c>
      <c r="I186" s="84" t="s">
        <v>763</v>
      </c>
      <c r="J186" s="84" t="s">
        <v>111</v>
      </c>
      <c r="K186" s="85" t="s">
        <v>761</v>
      </c>
      <c r="L186" s="84" t="s">
        <v>763</v>
      </c>
      <c r="M186" s="79"/>
      <c r="N186" s="162">
        <f t="shared" si="68"/>
        <v>0</v>
      </c>
      <c r="O186" s="79">
        <f t="shared" si="69"/>
        <v>0</v>
      </c>
      <c r="P186" s="79">
        <f t="shared" si="70"/>
        <v>0</v>
      </c>
      <c r="Q186" s="78">
        <f t="shared" si="71"/>
        <v>0</v>
      </c>
      <c r="R186" s="79">
        <f t="shared" si="72"/>
        <v>0</v>
      </c>
      <c r="S186" s="79">
        <f t="shared" si="73"/>
        <v>0</v>
      </c>
      <c r="T186" s="78">
        <f t="shared" si="74"/>
        <v>0</v>
      </c>
      <c r="V186" s="256" t="s">
        <v>759</v>
      </c>
      <c r="Y186" t="e">
        <f>_xlfn.IFNA(VLOOKUP(C186,#REF!,2,FALSE),"")</f>
        <v>#REF!</v>
      </c>
      <c r="Z186" t="e">
        <f t="shared" si="60"/>
        <v>#REF!</v>
      </c>
      <c r="AA186" t="e">
        <f>_xlfn.IFNA(VLOOKUP(C186,#REF!,2,FALSE),F186)</f>
        <v>#REF!</v>
      </c>
      <c r="AB186" t="str">
        <f t="shared" si="59"/>
        <v/>
      </c>
      <c r="AD186" s="108"/>
      <c r="AE186" s="108"/>
    </row>
    <row r="187" spans="1:31">
      <c r="B187" s="105" t="s">
        <v>275</v>
      </c>
      <c r="C187" s="84" t="s">
        <v>769</v>
      </c>
      <c r="D187" s="105" t="s">
        <v>113</v>
      </c>
      <c r="E187" s="84" t="s">
        <v>1137</v>
      </c>
      <c r="F187" s="202"/>
      <c r="H187" s="84" t="s">
        <v>275</v>
      </c>
      <c r="I187" s="84" t="s">
        <v>771</v>
      </c>
      <c r="J187" s="84" t="s">
        <v>111</v>
      </c>
      <c r="K187" s="85" t="s">
        <v>114</v>
      </c>
      <c r="L187" s="84" t="s">
        <v>771</v>
      </c>
      <c r="M187" s="79"/>
      <c r="N187" s="162">
        <f t="shared" si="68"/>
        <v>0</v>
      </c>
      <c r="O187" s="79">
        <f t="shared" si="69"/>
        <v>0</v>
      </c>
      <c r="P187" s="79">
        <f t="shared" si="70"/>
        <v>0</v>
      </c>
      <c r="Q187" s="78">
        <f t="shared" si="71"/>
        <v>0</v>
      </c>
      <c r="R187" s="79">
        <f t="shared" si="72"/>
        <v>0</v>
      </c>
      <c r="S187" s="79">
        <f t="shared" si="73"/>
        <v>0</v>
      </c>
      <c r="T187" s="78">
        <f t="shared" si="74"/>
        <v>0</v>
      </c>
      <c r="V187" s="256" t="s">
        <v>770</v>
      </c>
      <c r="Y187" t="e">
        <f>_xlfn.IFNA(VLOOKUP(C187,#REF!,2,FALSE),"")</f>
        <v>#REF!</v>
      </c>
      <c r="Z187" t="e">
        <f t="shared" si="60"/>
        <v>#REF!</v>
      </c>
      <c r="AA187" t="e">
        <f>_xlfn.IFNA(VLOOKUP(C187,#REF!,2,FALSE),F187)</f>
        <v>#REF!</v>
      </c>
      <c r="AB187" t="str">
        <f t="shared" si="59"/>
        <v/>
      </c>
      <c r="AD187" s="108"/>
      <c r="AE187" s="108"/>
    </row>
    <row r="188" spans="1:31">
      <c r="B188" s="105" t="s">
        <v>275</v>
      </c>
      <c r="C188" s="84" t="s">
        <v>772</v>
      </c>
      <c r="D188" s="105" t="s">
        <v>113</v>
      </c>
      <c r="E188" s="84" t="s">
        <v>1138</v>
      </c>
      <c r="F188" s="202"/>
      <c r="H188" s="84" t="s">
        <v>275</v>
      </c>
      <c r="I188" s="84" t="s">
        <v>774</v>
      </c>
      <c r="J188" s="84" t="s">
        <v>111</v>
      </c>
      <c r="K188" s="85" t="s">
        <v>546</v>
      </c>
      <c r="L188" s="84" t="s">
        <v>774</v>
      </c>
      <c r="M188" s="79"/>
      <c r="N188" s="162">
        <f t="shared" si="68"/>
        <v>0</v>
      </c>
      <c r="O188" s="79">
        <f t="shared" si="69"/>
        <v>0</v>
      </c>
      <c r="P188" s="79">
        <f t="shared" si="70"/>
        <v>0</v>
      </c>
      <c r="Q188" s="78">
        <f t="shared" si="71"/>
        <v>0</v>
      </c>
      <c r="R188" s="79">
        <f t="shared" si="72"/>
        <v>0</v>
      </c>
      <c r="S188" s="79">
        <f t="shared" si="73"/>
        <v>0</v>
      </c>
      <c r="T188" s="78">
        <f t="shared" si="74"/>
        <v>0</v>
      </c>
      <c r="V188" s="256" t="s">
        <v>773</v>
      </c>
      <c r="Y188" t="e">
        <f>_xlfn.IFNA(VLOOKUP(C188,#REF!,2,FALSE),"")</f>
        <v>#REF!</v>
      </c>
      <c r="Z188" t="e">
        <f t="shared" si="60"/>
        <v>#REF!</v>
      </c>
      <c r="AA188" t="e">
        <f>_xlfn.IFNA(VLOOKUP(C188,#REF!,2,FALSE),F188)</f>
        <v>#REF!</v>
      </c>
      <c r="AB188" t="str">
        <f t="shared" si="59"/>
        <v/>
      </c>
      <c r="AD188" s="108"/>
      <c r="AE188" s="108"/>
    </row>
    <row r="189" spans="1:31">
      <c r="B189" s="105" t="s">
        <v>275</v>
      </c>
      <c r="C189" s="84" t="s">
        <v>819</v>
      </c>
      <c r="D189" s="105" t="s">
        <v>275</v>
      </c>
      <c r="E189" s="84">
        <v>3019</v>
      </c>
      <c r="F189" s="202"/>
      <c r="H189" s="84" t="s">
        <v>275</v>
      </c>
      <c r="I189" s="84" t="s">
        <v>817</v>
      </c>
      <c r="J189" s="84" t="s">
        <v>111</v>
      </c>
      <c r="K189" s="85" t="s">
        <v>816</v>
      </c>
      <c r="L189" s="84" t="s">
        <v>817</v>
      </c>
      <c r="M189" s="79"/>
      <c r="N189" s="162">
        <f t="shared" si="68"/>
        <v>0</v>
      </c>
      <c r="O189" s="79">
        <f t="shared" si="69"/>
        <v>0</v>
      </c>
      <c r="P189" s="79">
        <f t="shared" si="70"/>
        <v>0</v>
      </c>
      <c r="Q189" s="78">
        <f t="shared" si="71"/>
        <v>0</v>
      </c>
      <c r="R189" s="79">
        <f t="shared" si="72"/>
        <v>0</v>
      </c>
      <c r="S189" s="79">
        <f t="shared" si="73"/>
        <v>0</v>
      </c>
      <c r="T189" s="78">
        <f t="shared" si="74"/>
        <v>0</v>
      </c>
      <c r="V189" s="256" t="s">
        <v>815</v>
      </c>
      <c r="Y189" t="e">
        <f>_xlfn.IFNA(VLOOKUP(C189,#REF!,2,FALSE),"")</f>
        <v>#REF!</v>
      </c>
      <c r="Z189" t="e">
        <f t="shared" si="60"/>
        <v>#REF!</v>
      </c>
      <c r="AA189" t="e">
        <f>_xlfn.IFNA(VLOOKUP(C189,#REF!,2,FALSE),F189)</f>
        <v>#REF!</v>
      </c>
      <c r="AB189" t="str">
        <f t="shared" si="59"/>
        <v/>
      </c>
      <c r="AD189" s="108"/>
      <c r="AE189" s="108"/>
    </row>
    <row r="190" spans="1:31">
      <c r="A190" s="308"/>
      <c r="B190" s="105" t="s">
        <v>275</v>
      </c>
      <c r="C190" s="164" t="s">
        <v>5143</v>
      </c>
      <c r="D190" s="105" t="s">
        <v>275</v>
      </c>
      <c r="E190" s="359">
        <v>83232</v>
      </c>
      <c r="F190" s="202"/>
      <c r="H190" s="84" t="s">
        <v>275</v>
      </c>
      <c r="I190" s="84" t="s">
        <v>1041</v>
      </c>
      <c r="J190" s="84" t="s">
        <v>111</v>
      </c>
      <c r="K190" s="85"/>
      <c r="L190" s="84"/>
      <c r="M190" s="79"/>
      <c r="N190" s="162">
        <f t="shared" si="68"/>
        <v>0</v>
      </c>
      <c r="O190" s="79">
        <f t="shared" si="69"/>
        <v>0</v>
      </c>
      <c r="P190" s="79">
        <f t="shared" si="70"/>
        <v>0</v>
      </c>
      <c r="Q190" s="78">
        <f t="shared" si="71"/>
        <v>0</v>
      </c>
      <c r="R190" s="79">
        <f t="shared" si="72"/>
        <v>0</v>
      </c>
      <c r="S190" s="79">
        <f t="shared" si="73"/>
        <v>0</v>
      </c>
      <c r="T190" s="78">
        <f t="shared" si="74"/>
        <v>0</v>
      </c>
      <c r="V190" s="256"/>
      <c r="Y190" t="e">
        <f>_xlfn.IFNA(VLOOKUP(C190,#REF!,2,FALSE),"")</f>
        <v>#REF!</v>
      </c>
      <c r="Z190" t="e">
        <f>IF(Y190="","",F190)</f>
        <v>#REF!</v>
      </c>
      <c r="AA190" t="e">
        <f>_xlfn.IFNA(VLOOKUP(C190,#REF!,2,FALSE),F190)</f>
        <v>#REF!</v>
      </c>
      <c r="AB190" t="str">
        <f t="shared" si="59"/>
        <v/>
      </c>
      <c r="AD190" s="108"/>
      <c r="AE190" s="108"/>
    </row>
    <row r="191" spans="1:31">
      <c r="B191" s="105" t="s">
        <v>275</v>
      </c>
      <c r="C191" s="164" t="s">
        <v>5144</v>
      </c>
      <c r="D191" s="105" t="s">
        <v>275</v>
      </c>
      <c r="E191" s="84" t="s">
        <v>1311</v>
      </c>
      <c r="F191" s="202"/>
      <c r="H191" s="84" t="s">
        <v>275</v>
      </c>
      <c r="I191" s="84" t="s">
        <v>1042</v>
      </c>
      <c r="J191" s="84" t="s">
        <v>111</v>
      </c>
      <c r="K191" s="85"/>
      <c r="L191" s="84"/>
      <c r="M191" s="79"/>
      <c r="N191" s="162">
        <f t="shared" si="68"/>
        <v>0</v>
      </c>
      <c r="O191" s="79">
        <f t="shared" si="69"/>
        <v>0</v>
      </c>
      <c r="P191" s="79">
        <f t="shared" si="70"/>
        <v>0</v>
      </c>
      <c r="Q191" s="78">
        <f t="shared" si="71"/>
        <v>0</v>
      </c>
      <c r="R191" s="79">
        <f t="shared" si="72"/>
        <v>0</v>
      </c>
      <c r="S191" s="79">
        <f t="shared" si="73"/>
        <v>0</v>
      </c>
      <c r="T191" s="78">
        <f t="shared" si="74"/>
        <v>0</v>
      </c>
      <c r="V191" s="256"/>
      <c r="Y191" t="e">
        <f>_xlfn.IFNA(VLOOKUP(C191,#REF!,2,FALSE),"")</f>
        <v>#REF!</v>
      </c>
      <c r="Z191" t="e">
        <f t="shared" si="60"/>
        <v>#REF!</v>
      </c>
      <c r="AA191" t="e">
        <f>_xlfn.IFNA(VLOOKUP(C191,#REF!,2,FALSE),F191)</f>
        <v>#REF!</v>
      </c>
      <c r="AB191" t="str">
        <f t="shared" si="59"/>
        <v/>
      </c>
      <c r="AD191" s="108"/>
      <c r="AE191" s="108"/>
    </row>
    <row r="192" spans="1:31">
      <c r="A192" s="205"/>
      <c r="B192" s="105" t="s">
        <v>275</v>
      </c>
      <c r="C192" s="84" t="s">
        <v>1129</v>
      </c>
      <c r="D192" s="105" t="s">
        <v>275</v>
      </c>
      <c r="E192" s="84" t="s">
        <v>1147</v>
      </c>
      <c r="F192" s="202"/>
      <c r="H192" s="84" t="s">
        <v>275</v>
      </c>
      <c r="I192" s="84" t="s">
        <v>1142</v>
      </c>
      <c r="J192" s="84" t="s">
        <v>111</v>
      </c>
      <c r="K192" s="85" t="s">
        <v>64</v>
      </c>
      <c r="L192" s="84" t="s">
        <v>305</v>
      </c>
      <c r="M192" s="79"/>
      <c r="N192" s="162">
        <f t="shared" si="68"/>
        <v>0</v>
      </c>
      <c r="O192" s="79">
        <f t="shared" si="69"/>
        <v>0</v>
      </c>
      <c r="P192" s="79">
        <f t="shared" si="70"/>
        <v>0</v>
      </c>
      <c r="Q192" s="78">
        <f t="shared" si="71"/>
        <v>0</v>
      </c>
      <c r="R192" s="79">
        <f t="shared" si="72"/>
        <v>0</v>
      </c>
      <c r="S192" s="79">
        <f t="shared" si="73"/>
        <v>0</v>
      </c>
      <c r="T192" s="78">
        <f t="shared" si="74"/>
        <v>0</v>
      </c>
      <c r="V192" s="256"/>
      <c r="Y192" t="e">
        <f>_xlfn.IFNA(VLOOKUP(C192,#REF!,2,FALSE),"")</f>
        <v>#REF!</v>
      </c>
      <c r="Z192" t="e">
        <f t="shared" si="60"/>
        <v>#REF!</v>
      </c>
      <c r="AA192" t="e">
        <f>_xlfn.IFNA(VLOOKUP(C192,#REF!,2,FALSE),F192)</f>
        <v>#REF!</v>
      </c>
      <c r="AB192" t="str">
        <f t="shared" si="59"/>
        <v/>
      </c>
      <c r="AD192" s="108"/>
      <c r="AE192" s="108"/>
    </row>
    <row r="193" spans="1:31">
      <c r="A193" s="308"/>
      <c r="B193" s="105" t="s">
        <v>275</v>
      </c>
      <c r="C193" s="84" t="s">
        <v>1130</v>
      </c>
      <c r="D193" s="105" t="s">
        <v>275</v>
      </c>
      <c r="E193" s="84" t="s">
        <v>1148</v>
      </c>
      <c r="F193" s="202"/>
      <c r="H193" s="84" t="s">
        <v>275</v>
      </c>
      <c r="I193" s="84" t="s">
        <v>378</v>
      </c>
      <c r="J193" s="84" t="s">
        <v>111</v>
      </c>
      <c r="K193" s="85" t="s">
        <v>59</v>
      </c>
      <c r="L193" s="84" t="s">
        <v>378</v>
      </c>
      <c r="M193" s="79"/>
      <c r="N193" s="162">
        <f t="shared" si="68"/>
        <v>0</v>
      </c>
      <c r="O193" s="79">
        <f t="shared" si="69"/>
        <v>0</v>
      </c>
      <c r="P193" s="79">
        <f t="shared" si="70"/>
        <v>0</v>
      </c>
      <c r="Q193" s="78">
        <f t="shared" si="71"/>
        <v>0</v>
      </c>
      <c r="R193" s="79">
        <f t="shared" si="72"/>
        <v>0</v>
      </c>
      <c r="S193" s="79">
        <f t="shared" si="73"/>
        <v>0</v>
      </c>
      <c r="T193" s="78">
        <f t="shared" si="74"/>
        <v>0</v>
      </c>
      <c r="V193" s="256"/>
      <c r="Y193" t="e">
        <f>_xlfn.IFNA(VLOOKUP(C193,#REF!,2,FALSE),"")</f>
        <v>#REF!</v>
      </c>
      <c r="Z193" t="e">
        <f t="shared" si="60"/>
        <v>#REF!</v>
      </c>
      <c r="AA193" t="e">
        <f>_xlfn.IFNA(VLOOKUP(C193,#REF!,2,FALSE),F193)</f>
        <v>#REF!</v>
      </c>
      <c r="AB193" t="str">
        <f t="shared" si="59"/>
        <v/>
      </c>
      <c r="AD193" s="108"/>
      <c r="AE193" s="108"/>
    </row>
    <row r="194" spans="1:31">
      <c r="A194" s="205"/>
      <c r="B194" s="105" t="s">
        <v>275</v>
      </c>
      <c r="C194" s="84" t="s">
        <v>1128</v>
      </c>
      <c r="D194" s="105" t="s">
        <v>275</v>
      </c>
      <c r="E194" s="84" t="s">
        <v>1140</v>
      </c>
      <c r="F194" s="202"/>
      <c r="H194" s="84" t="s">
        <v>275</v>
      </c>
      <c r="I194" s="84" t="s">
        <v>1143</v>
      </c>
      <c r="J194" s="84" t="s">
        <v>111</v>
      </c>
      <c r="K194" s="85" t="s">
        <v>724</v>
      </c>
      <c r="L194" s="84" t="s">
        <v>418</v>
      </c>
      <c r="M194" s="79"/>
      <c r="N194" s="162">
        <f t="shared" si="68"/>
        <v>0</v>
      </c>
      <c r="O194" s="79">
        <f t="shared" si="69"/>
        <v>0</v>
      </c>
      <c r="P194" s="79">
        <f t="shared" si="70"/>
        <v>0</v>
      </c>
      <c r="Q194" s="78">
        <f t="shared" si="71"/>
        <v>0</v>
      </c>
      <c r="R194" s="79">
        <f t="shared" si="72"/>
        <v>0</v>
      </c>
      <c r="S194" s="79">
        <f t="shared" si="73"/>
        <v>0</v>
      </c>
      <c r="T194" s="78">
        <f t="shared" si="74"/>
        <v>0</v>
      </c>
      <c r="V194" s="256"/>
      <c r="Y194" t="e">
        <f>_xlfn.IFNA(VLOOKUP(C194,#REF!,2,FALSE),"")</f>
        <v>#REF!</v>
      </c>
      <c r="Z194" t="e">
        <f t="shared" si="60"/>
        <v>#REF!</v>
      </c>
      <c r="AA194" t="e">
        <f>_xlfn.IFNA(VLOOKUP(C194,#REF!,2,FALSE),F194)</f>
        <v>#REF!</v>
      </c>
      <c r="AB194" t="str">
        <f t="shared" si="59"/>
        <v/>
      </c>
      <c r="AD194" s="108"/>
      <c r="AE194" s="108"/>
    </row>
    <row r="195" spans="1:31">
      <c r="B195" s="84"/>
      <c r="C195" s="84"/>
      <c r="D195" s="105"/>
      <c r="E195" s="84"/>
      <c r="F195" s="202"/>
      <c r="H195" s="84" t="s">
        <v>275</v>
      </c>
      <c r="I195" s="84" t="s">
        <v>402</v>
      </c>
      <c r="J195" s="84" t="s">
        <v>111</v>
      </c>
      <c r="K195" s="85" t="s">
        <v>70</v>
      </c>
      <c r="L195" s="84" t="s">
        <v>402</v>
      </c>
      <c r="M195" s="79"/>
      <c r="N195" s="162">
        <f>$P$365</f>
        <v>0</v>
      </c>
      <c r="O195" s="79">
        <f t="shared" si="69"/>
        <v>0</v>
      </c>
      <c r="P195" s="79">
        <f t="shared" si="70"/>
        <v>0</v>
      </c>
      <c r="Q195" s="78">
        <f t="shared" si="71"/>
        <v>0</v>
      </c>
      <c r="R195" s="79">
        <f t="shared" si="72"/>
        <v>0</v>
      </c>
      <c r="S195" s="79">
        <f t="shared" si="73"/>
        <v>0</v>
      </c>
      <c r="T195" s="176">
        <f t="shared" si="74"/>
        <v>0</v>
      </c>
      <c r="V195" s="256"/>
      <c r="Y195" t="e">
        <f>_xlfn.IFNA(VLOOKUP(C195,#REF!,2,FALSE),"")</f>
        <v>#REF!</v>
      </c>
      <c r="Z195" t="e">
        <f t="shared" si="60"/>
        <v>#REF!</v>
      </c>
      <c r="AA195" t="e">
        <f>_xlfn.IFNA(VLOOKUP(C195,#REF!,2,FALSE),F195)</f>
        <v>#REF!</v>
      </c>
      <c r="AB195" t="str">
        <f t="shared" si="59"/>
        <v/>
      </c>
      <c r="AD195" s="108"/>
      <c r="AE195" s="108"/>
    </row>
    <row r="196" spans="1:31">
      <c r="D196" s="310"/>
      <c r="F196" s="298"/>
      <c r="K196" s="142"/>
      <c r="M196" s="299"/>
      <c r="N196" s="300"/>
      <c r="O196" s="299"/>
      <c r="P196" s="299"/>
      <c r="Q196" s="301"/>
      <c r="R196" s="299"/>
      <c r="S196" s="299"/>
      <c r="T196" s="301"/>
      <c r="V196" s="302"/>
      <c r="Y196" t="e">
        <f>_xlfn.IFNA(VLOOKUP(C196,#REF!,2,FALSE),"")</f>
        <v>#REF!</v>
      </c>
      <c r="Z196" t="e">
        <f t="shared" si="60"/>
        <v>#REF!</v>
      </c>
      <c r="AA196" t="e">
        <f>_xlfn.IFNA(VLOOKUP(C196,#REF!,2,FALSE),F196)</f>
        <v>#REF!</v>
      </c>
      <c r="AB196" t="str">
        <f t="shared" si="59"/>
        <v/>
      </c>
      <c r="AD196" s="108"/>
      <c r="AE196" s="108"/>
    </row>
    <row r="197" spans="1:31">
      <c r="B197" s="105" t="s">
        <v>1091</v>
      </c>
      <c r="C197" s="84" t="s">
        <v>1092</v>
      </c>
      <c r="D197" s="105" t="s">
        <v>113</v>
      </c>
      <c r="E197" s="84">
        <v>2000</v>
      </c>
      <c r="F197" s="202"/>
      <c r="H197" s="84" t="s">
        <v>1091</v>
      </c>
      <c r="I197" s="84" t="s">
        <v>1102</v>
      </c>
      <c r="J197" s="84" t="s">
        <v>111</v>
      </c>
      <c r="K197" s="85" t="s">
        <v>64</v>
      </c>
      <c r="L197" s="84" t="s">
        <v>1102</v>
      </c>
      <c r="M197" s="79"/>
      <c r="N197" s="162">
        <f t="shared" ref="N197:N206" si="75">+F197</f>
        <v>0</v>
      </c>
      <c r="O197" s="79">
        <f t="shared" ref="O197:O212" si="76">(N197*0.4+$I$327*0.42+$I$328*0.18)</f>
        <v>0</v>
      </c>
      <c r="P197" s="79">
        <f t="shared" ref="P197:P212" si="77">N197*0.4+$I$327*0.24+$I$330*0.12+$I$331*0.24</f>
        <v>0</v>
      </c>
      <c r="Q197" s="78">
        <f t="shared" ref="Q197:Q212" si="78">N197*0.5+$I$327*0.15+$I$329*0.1+$I$330*0.25</f>
        <v>0</v>
      </c>
      <c r="R197" s="79">
        <f t="shared" ref="R197:R212" si="79">N197*0.4+$I$327*0.6</f>
        <v>0</v>
      </c>
      <c r="S197" s="79">
        <f t="shared" ref="S197:S212" si="80">(N197*0.4+$I$327*0.36+$I$328*0.24)</f>
        <v>0</v>
      </c>
      <c r="T197" s="176">
        <f t="shared" ref="T197:T212" si="81">(N197*0.44+$I$327*0.45+$I$328*0.11)</f>
        <v>0</v>
      </c>
      <c r="U197" s="84"/>
      <c r="V197" s="256"/>
      <c r="Y197" t="e">
        <f>_xlfn.IFNA(VLOOKUP(C197,#REF!,2,FALSE),"")</f>
        <v>#REF!</v>
      </c>
      <c r="Z197" t="e">
        <f t="shared" si="60"/>
        <v>#REF!</v>
      </c>
      <c r="AA197" t="e">
        <f>_xlfn.IFNA(VLOOKUP(C197,#REF!,2,FALSE),F197)</f>
        <v>#REF!</v>
      </c>
      <c r="AB197" t="str">
        <f t="shared" si="59"/>
        <v/>
      </c>
      <c r="AD197" s="108"/>
      <c r="AE197" s="108"/>
    </row>
    <row r="198" spans="1:31">
      <c r="A198" s="369"/>
      <c r="B198" s="105" t="s">
        <v>1091</v>
      </c>
      <c r="C198" s="84" t="s">
        <v>1093</v>
      </c>
      <c r="D198" s="105" t="s">
        <v>113</v>
      </c>
      <c r="E198" s="84" t="s">
        <v>1094</v>
      </c>
      <c r="F198" s="202"/>
      <c r="H198" s="84" t="s">
        <v>1091</v>
      </c>
      <c r="I198" s="84" t="s">
        <v>1103</v>
      </c>
      <c r="J198" s="84" t="s">
        <v>111</v>
      </c>
      <c r="K198" s="85" t="s">
        <v>106</v>
      </c>
      <c r="L198" s="84" t="s">
        <v>1103</v>
      </c>
      <c r="M198" s="79"/>
      <c r="N198" s="162">
        <f t="shared" si="75"/>
        <v>0</v>
      </c>
      <c r="O198" s="79">
        <f t="shared" si="76"/>
        <v>0</v>
      </c>
      <c r="P198" s="79">
        <f t="shared" si="77"/>
        <v>0</v>
      </c>
      <c r="Q198" s="78">
        <f t="shared" si="78"/>
        <v>0</v>
      </c>
      <c r="R198" s="79">
        <f t="shared" si="79"/>
        <v>0</v>
      </c>
      <c r="S198" s="79">
        <f t="shared" si="80"/>
        <v>0</v>
      </c>
      <c r="T198" s="176">
        <f t="shared" si="81"/>
        <v>0</v>
      </c>
      <c r="U198" s="84"/>
      <c r="V198" s="256"/>
      <c r="Y198" t="e">
        <f>_xlfn.IFNA(VLOOKUP(C198,#REF!,2,FALSE),"")</f>
        <v>#REF!</v>
      </c>
      <c r="Z198" t="e">
        <f t="shared" si="60"/>
        <v>#REF!</v>
      </c>
      <c r="AA198" t="e">
        <f>_xlfn.IFNA(VLOOKUP(C198,#REF!,2,FALSE),F198)</f>
        <v>#REF!</v>
      </c>
      <c r="AB198" t="str">
        <f t="shared" si="59"/>
        <v/>
      </c>
      <c r="AD198" s="108"/>
      <c r="AE198" s="108"/>
    </row>
    <row r="199" spans="1:31">
      <c r="A199" s="369"/>
      <c r="B199" s="105" t="s">
        <v>1091</v>
      </c>
      <c r="C199" s="84" t="s">
        <v>1095</v>
      </c>
      <c r="D199" s="105" t="s">
        <v>113</v>
      </c>
      <c r="E199" s="84">
        <v>9336</v>
      </c>
      <c r="F199" s="202"/>
      <c r="H199" s="84" t="s">
        <v>1091</v>
      </c>
      <c r="I199" s="84" t="s">
        <v>1104</v>
      </c>
      <c r="J199" s="84" t="s">
        <v>111</v>
      </c>
      <c r="K199" s="85" t="s">
        <v>63</v>
      </c>
      <c r="L199" s="84" t="s">
        <v>1104</v>
      </c>
      <c r="M199" s="79"/>
      <c r="N199" s="162">
        <f t="shared" si="75"/>
        <v>0</v>
      </c>
      <c r="O199" s="79">
        <f t="shared" si="76"/>
        <v>0</v>
      </c>
      <c r="P199" s="79">
        <f t="shared" si="77"/>
        <v>0</v>
      </c>
      <c r="Q199" s="78">
        <f t="shared" si="78"/>
        <v>0</v>
      </c>
      <c r="R199" s="79">
        <f t="shared" si="79"/>
        <v>0</v>
      </c>
      <c r="S199" s="79">
        <f t="shared" si="80"/>
        <v>0</v>
      </c>
      <c r="T199" s="176">
        <f t="shared" si="81"/>
        <v>0</v>
      </c>
      <c r="U199" s="84"/>
      <c r="V199" s="256"/>
      <c r="Y199" t="e">
        <f>_xlfn.IFNA(VLOOKUP(C199,#REF!,2,FALSE),"")</f>
        <v>#REF!</v>
      </c>
      <c r="Z199" t="e">
        <f t="shared" si="60"/>
        <v>#REF!</v>
      </c>
      <c r="AA199" t="e">
        <f>_xlfn.IFNA(VLOOKUP(C199,#REF!,2,FALSE),F199)</f>
        <v>#REF!</v>
      </c>
      <c r="AB199" t="str">
        <f t="shared" si="59"/>
        <v/>
      </c>
      <c r="AD199" s="108"/>
      <c r="AE199" s="108"/>
    </row>
    <row r="200" spans="1:31">
      <c r="B200" s="105" t="s">
        <v>1091</v>
      </c>
      <c r="C200" s="84" t="s">
        <v>1096</v>
      </c>
      <c r="D200" s="105" t="s">
        <v>113</v>
      </c>
      <c r="E200" s="84">
        <v>9647</v>
      </c>
      <c r="F200" s="202"/>
      <c r="H200" s="84" t="s">
        <v>1091</v>
      </c>
      <c r="I200" s="84" t="s">
        <v>1105</v>
      </c>
      <c r="J200" s="84" t="s">
        <v>111</v>
      </c>
      <c r="K200" s="85" t="s">
        <v>62</v>
      </c>
      <c r="L200" s="84" t="s">
        <v>1105</v>
      </c>
      <c r="M200" s="79"/>
      <c r="N200" s="162">
        <f t="shared" si="75"/>
        <v>0</v>
      </c>
      <c r="O200" s="79">
        <f t="shared" si="76"/>
        <v>0</v>
      </c>
      <c r="P200" s="79">
        <f t="shared" si="77"/>
        <v>0</v>
      </c>
      <c r="Q200" s="78">
        <f t="shared" si="78"/>
        <v>0</v>
      </c>
      <c r="R200" s="79">
        <f t="shared" si="79"/>
        <v>0</v>
      </c>
      <c r="S200" s="79">
        <f t="shared" si="80"/>
        <v>0</v>
      </c>
      <c r="T200" s="176">
        <f t="shared" si="81"/>
        <v>0</v>
      </c>
      <c r="U200" s="84"/>
      <c r="V200" s="256"/>
      <c r="Y200" t="e">
        <f>_xlfn.IFNA(VLOOKUP(C200,#REF!,2,FALSE),"")</f>
        <v>#REF!</v>
      </c>
      <c r="Z200" t="e">
        <f t="shared" si="60"/>
        <v>#REF!</v>
      </c>
      <c r="AA200" t="e">
        <f>_xlfn.IFNA(VLOOKUP(C200,#REF!,2,FALSE),F200)</f>
        <v>#REF!</v>
      </c>
      <c r="AB200" t="str">
        <f t="shared" si="59"/>
        <v/>
      </c>
      <c r="AD200" s="108"/>
      <c r="AE200" s="108"/>
    </row>
    <row r="201" spans="1:31">
      <c r="B201" s="105" t="s">
        <v>1091</v>
      </c>
      <c r="C201" s="84" t="s">
        <v>1097</v>
      </c>
      <c r="D201" s="105" t="s">
        <v>113</v>
      </c>
      <c r="E201" s="84">
        <v>8333</v>
      </c>
      <c r="F201" s="202"/>
      <c r="H201" s="84" t="s">
        <v>1091</v>
      </c>
      <c r="I201" s="84" t="s">
        <v>1106</v>
      </c>
      <c r="J201" s="84" t="s">
        <v>111</v>
      </c>
      <c r="K201" s="85" t="s">
        <v>56</v>
      </c>
      <c r="L201" s="84" t="s">
        <v>1106</v>
      </c>
      <c r="M201" s="79"/>
      <c r="N201" s="162">
        <f t="shared" si="75"/>
        <v>0</v>
      </c>
      <c r="O201" s="79">
        <f t="shared" si="76"/>
        <v>0</v>
      </c>
      <c r="P201" s="79">
        <f t="shared" si="77"/>
        <v>0</v>
      </c>
      <c r="Q201" s="78">
        <f t="shared" si="78"/>
        <v>0</v>
      </c>
      <c r="R201" s="79">
        <f t="shared" si="79"/>
        <v>0</v>
      </c>
      <c r="S201" s="79">
        <f t="shared" si="80"/>
        <v>0</v>
      </c>
      <c r="T201" s="176">
        <f t="shared" si="81"/>
        <v>0</v>
      </c>
      <c r="U201" s="84"/>
      <c r="V201" s="256"/>
      <c r="Y201" t="e">
        <f>_xlfn.IFNA(VLOOKUP(C201,#REF!,2,FALSE),"")</f>
        <v>#REF!</v>
      </c>
      <c r="Z201" t="e">
        <f t="shared" si="60"/>
        <v>#REF!</v>
      </c>
      <c r="AA201" t="e">
        <f>_xlfn.IFNA(VLOOKUP(C201,#REF!,2,FALSE),F201)</f>
        <v>#REF!</v>
      </c>
      <c r="AB201" t="str">
        <f t="shared" si="59"/>
        <v/>
      </c>
      <c r="AD201" s="108"/>
      <c r="AE201" s="108"/>
    </row>
    <row r="202" spans="1:31">
      <c r="B202" s="105" t="s">
        <v>1091</v>
      </c>
      <c r="C202" s="84" t="s">
        <v>1098</v>
      </c>
      <c r="D202" s="105" t="s">
        <v>113</v>
      </c>
      <c r="E202" s="84">
        <v>9417</v>
      </c>
      <c r="F202" s="202"/>
      <c r="H202" s="84" t="s">
        <v>1091</v>
      </c>
      <c r="I202" s="84" t="s">
        <v>1107</v>
      </c>
      <c r="J202" s="84" t="s">
        <v>111</v>
      </c>
      <c r="K202" s="85" t="s">
        <v>60</v>
      </c>
      <c r="L202" s="84" t="s">
        <v>1107</v>
      </c>
      <c r="M202" s="79"/>
      <c r="N202" s="162">
        <f t="shared" si="75"/>
        <v>0</v>
      </c>
      <c r="O202" s="79">
        <f t="shared" si="76"/>
        <v>0</v>
      </c>
      <c r="P202" s="79">
        <f t="shared" si="77"/>
        <v>0</v>
      </c>
      <c r="Q202" s="78">
        <f t="shared" si="78"/>
        <v>0</v>
      </c>
      <c r="R202" s="79">
        <f t="shared" si="79"/>
        <v>0</v>
      </c>
      <c r="S202" s="79">
        <f t="shared" si="80"/>
        <v>0</v>
      </c>
      <c r="T202" s="176">
        <f t="shared" si="81"/>
        <v>0</v>
      </c>
      <c r="U202" s="84"/>
      <c r="V202" s="256"/>
      <c r="Y202" t="e">
        <f>_xlfn.IFNA(VLOOKUP(C202,#REF!,2,FALSE),"")</f>
        <v>#REF!</v>
      </c>
      <c r="Z202" t="e">
        <f t="shared" si="60"/>
        <v>#REF!</v>
      </c>
      <c r="AA202" t="e">
        <f>_xlfn.IFNA(VLOOKUP(C202,#REF!,2,FALSE),F202)</f>
        <v>#REF!</v>
      </c>
      <c r="AB202" t="str">
        <f t="shared" si="59"/>
        <v/>
      </c>
      <c r="AD202" s="108"/>
      <c r="AE202" s="108"/>
    </row>
    <row r="203" spans="1:31">
      <c r="A203" s="369"/>
      <c r="B203" s="105" t="s">
        <v>1091</v>
      </c>
      <c r="C203" s="84" t="s">
        <v>1099</v>
      </c>
      <c r="D203" s="105" t="s">
        <v>113</v>
      </c>
      <c r="E203" s="84">
        <v>9472</v>
      </c>
      <c r="F203" s="202"/>
      <c r="H203" s="84" t="s">
        <v>1091</v>
      </c>
      <c r="I203" s="84" t="s">
        <v>1108</v>
      </c>
      <c r="J203" s="84" t="s">
        <v>111</v>
      </c>
      <c r="K203" s="85" t="s">
        <v>100</v>
      </c>
      <c r="L203" s="84" t="s">
        <v>1108</v>
      </c>
      <c r="M203" s="79"/>
      <c r="N203" s="162">
        <f t="shared" si="75"/>
        <v>0</v>
      </c>
      <c r="O203" s="79">
        <f t="shared" si="76"/>
        <v>0</v>
      </c>
      <c r="P203" s="79">
        <f t="shared" si="77"/>
        <v>0</v>
      </c>
      <c r="Q203" s="78">
        <f t="shared" si="78"/>
        <v>0</v>
      </c>
      <c r="R203" s="79">
        <f t="shared" si="79"/>
        <v>0</v>
      </c>
      <c r="S203" s="79">
        <f t="shared" si="80"/>
        <v>0</v>
      </c>
      <c r="T203" s="176">
        <f t="shared" si="81"/>
        <v>0</v>
      </c>
      <c r="U203" s="84"/>
      <c r="V203" s="256"/>
      <c r="Y203" t="e">
        <f>_xlfn.IFNA(VLOOKUP(C203,#REF!,2,FALSE),"")</f>
        <v>#REF!</v>
      </c>
      <c r="Z203" t="e">
        <f t="shared" si="60"/>
        <v>#REF!</v>
      </c>
      <c r="AA203" t="e">
        <f>_xlfn.IFNA(VLOOKUP(C203,#REF!,2,FALSE),F203)</f>
        <v>#REF!</v>
      </c>
      <c r="AB203" t="str">
        <f t="shared" si="59"/>
        <v/>
      </c>
      <c r="AD203" s="108"/>
      <c r="AE203" s="108"/>
    </row>
    <row r="204" spans="1:31">
      <c r="B204" s="105" t="s">
        <v>1091</v>
      </c>
      <c r="C204" s="84" t="s">
        <v>1100</v>
      </c>
      <c r="D204" s="105" t="s">
        <v>113</v>
      </c>
      <c r="E204" s="84">
        <v>21</v>
      </c>
      <c r="F204" s="202"/>
      <c r="H204" s="84" t="s">
        <v>1091</v>
      </c>
      <c r="I204" s="84" t="s">
        <v>1109</v>
      </c>
      <c r="J204" s="84" t="s">
        <v>111</v>
      </c>
      <c r="K204" s="85" t="s">
        <v>73</v>
      </c>
      <c r="L204" s="84" t="s">
        <v>1109</v>
      </c>
      <c r="M204" s="79"/>
      <c r="N204" s="162">
        <f t="shared" si="75"/>
        <v>0</v>
      </c>
      <c r="O204" s="79">
        <f t="shared" si="76"/>
        <v>0</v>
      </c>
      <c r="P204" s="79">
        <f t="shared" si="77"/>
        <v>0</v>
      </c>
      <c r="Q204" s="78">
        <f t="shared" si="78"/>
        <v>0</v>
      </c>
      <c r="R204" s="79">
        <f t="shared" si="79"/>
        <v>0</v>
      </c>
      <c r="S204" s="79">
        <f t="shared" si="80"/>
        <v>0</v>
      </c>
      <c r="T204" s="176">
        <f t="shared" si="81"/>
        <v>0</v>
      </c>
      <c r="U204" s="84"/>
      <c r="V204" s="256"/>
      <c r="Y204" t="e">
        <f>_xlfn.IFNA(VLOOKUP(C204,#REF!,2,FALSE),"")</f>
        <v>#REF!</v>
      </c>
      <c r="Z204" t="e">
        <f t="shared" si="60"/>
        <v>#REF!</v>
      </c>
      <c r="AA204" t="e">
        <f>_xlfn.IFNA(VLOOKUP(C204,#REF!,2,FALSE),F204)</f>
        <v>#REF!</v>
      </c>
      <c r="AB204" t="str">
        <f t="shared" ref="AB204:AB275" si="82">IF(ISERROR(Y204),"",Y204=Z204)</f>
        <v/>
      </c>
      <c r="AD204" s="108"/>
      <c r="AE204" s="108"/>
    </row>
    <row r="205" spans="1:31">
      <c r="B205" s="105" t="s">
        <v>1091</v>
      </c>
      <c r="C205" s="84" t="s">
        <v>1101</v>
      </c>
      <c r="D205" s="105" t="s">
        <v>113</v>
      </c>
      <c r="E205" s="84">
        <v>9605</v>
      </c>
      <c r="F205" s="202"/>
      <c r="H205" s="84" t="s">
        <v>1091</v>
      </c>
      <c r="I205" s="84" t="s">
        <v>1110</v>
      </c>
      <c r="J205" s="84" t="s">
        <v>111</v>
      </c>
      <c r="K205" s="85" t="s">
        <v>58</v>
      </c>
      <c r="L205" s="84" t="s">
        <v>1110</v>
      </c>
      <c r="M205" s="79"/>
      <c r="N205" s="162">
        <f t="shared" si="75"/>
        <v>0</v>
      </c>
      <c r="O205" s="79">
        <f t="shared" si="76"/>
        <v>0</v>
      </c>
      <c r="P205" s="79">
        <f t="shared" si="77"/>
        <v>0</v>
      </c>
      <c r="Q205" s="78">
        <f t="shared" si="78"/>
        <v>0</v>
      </c>
      <c r="R205" s="79">
        <f t="shared" si="79"/>
        <v>0</v>
      </c>
      <c r="S205" s="79">
        <f t="shared" si="80"/>
        <v>0</v>
      </c>
      <c r="T205" s="176">
        <f t="shared" si="81"/>
        <v>0</v>
      </c>
      <c r="U205" s="84"/>
      <c r="V205" s="256"/>
      <c r="Y205" t="e">
        <f>_xlfn.IFNA(VLOOKUP(C205,#REF!,2,FALSE),"")</f>
        <v>#REF!</v>
      </c>
      <c r="Z205" t="e">
        <f t="shared" ref="Z205:Z276" si="83">IF(Y205="","",F205)</f>
        <v>#REF!</v>
      </c>
      <c r="AA205" t="e">
        <f>_xlfn.IFNA(VLOOKUP(C205,#REF!,2,FALSE),F205)</f>
        <v>#REF!</v>
      </c>
      <c r="AB205" t="str">
        <f t="shared" si="82"/>
        <v/>
      </c>
      <c r="AD205" s="108"/>
      <c r="AE205" s="108"/>
    </row>
    <row r="206" spans="1:31">
      <c r="B206" s="105" t="s">
        <v>1091</v>
      </c>
      <c r="C206" s="84" t="s">
        <v>1132</v>
      </c>
      <c r="D206" s="105" t="s">
        <v>113</v>
      </c>
      <c r="E206" s="84">
        <v>9860</v>
      </c>
      <c r="F206" s="202"/>
      <c r="H206" s="84" t="s">
        <v>1091</v>
      </c>
      <c r="I206" s="84" t="s">
        <v>1141</v>
      </c>
      <c r="J206" s="84" t="s">
        <v>111</v>
      </c>
      <c r="K206" s="85" t="s">
        <v>114</v>
      </c>
      <c r="L206" s="84" t="s">
        <v>1141</v>
      </c>
      <c r="M206" s="79"/>
      <c r="N206" s="162">
        <f t="shared" si="75"/>
        <v>0</v>
      </c>
      <c r="O206" s="79">
        <f t="shared" si="76"/>
        <v>0</v>
      </c>
      <c r="P206" s="79">
        <f t="shared" si="77"/>
        <v>0</v>
      </c>
      <c r="Q206" s="78">
        <f t="shared" si="78"/>
        <v>0</v>
      </c>
      <c r="R206" s="79">
        <f t="shared" si="79"/>
        <v>0</v>
      </c>
      <c r="S206" s="79">
        <f t="shared" si="80"/>
        <v>0</v>
      </c>
      <c r="T206" s="176">
        <f t="shared" si="81"/>
        <v>0</v>
      </c>
      <c r="U206" s="84"/>
      <c r="V206" s="256"/>
      <c r="Y206" t="e">
        <f>_xlfn.IFNA(VLOOKUP(C206,#REF!,2,FALSE),"")</f>
        <v>#REF!</v>
      </c>
      <c r="Z206" t="e">
        <f t="shared" si="83"/>
        <v>#REF!</v>
      </c>
      <c r="AA206" t="e">
        <f>_xlfn.IFNA(VLOOKUP(C206,#REF!,2,FALSE),F206)</f>
        <v>#REF!</v>
      </c>
      <c r="AB206" t="str">
        <f t="shared" si="82"/>
        <v/>
      </c>
      <c r="AD206" s="108"/>
      <c r="AE206" s="108"/>
    </row>
    <row r="207" spans="1:31">
      <c r="B207" s="105" t="s">
        <v>1091</v>
      </c>
      <c r="C207" s="84" t="s">
        <v>1297</v>
      </c>
      <c r="D207" s="105" t="s">
        <v>113</v>
      </c>
      <c r="E207" s="84" t="s">
        <v>1295</v>
      </c>
      <c r="F207" s="202"/>
      <c r="H207" s="84" t="s">
        <v>1091</v>
      </c>
      <c r="I207" s="84" t="s">
        <v>1305</v>
      </c>
      <c r="J207" s="84" t="s">
        <v>111</v>
      </c>
      <c r="K207" s="85" t="s">
        <v>1301</v>
      </c>
      <c r="L207" s="84" t="s">
        <v>1305</v>
      </c>
      <c r="M207" s="79"/>
      <c r="N207" s="162">
        <f>F207</f>
        <v>0</v>
      </c>
      <c r="O207" s="79">
        <f t="shared" si="76"/>
        <v>0</v>
      </c>
      <c r="P207" s="79">
        <f t="shared" si="77"/>
        <v>0</v>
      </c>
      <c r="Q207" s="78">
        <f t="shared" si="78"/>
        <v>0</v>
      </c>
      <c r="R207" s="79">
        <f t="shared" si="79"/>
        <v>0</v>
      </c>
      <c r="S207" s="79">
        <f t="shared" si="80"/>
        <v>0</v>
      </c>
      <c r="T207" s="176">
        <f t="shared" si="81"/>
        <v>0</v>
      </c>
      <c r="U207" s="84"/>
      <c r="V207" s="256"/>
      <c r="Y207" t="e">
        <f>_xlfn.IFNA(VLOOKUP(C207,#REF!,2,FALSE),"")</f>
        <v>#REF!</v>
      </c>
      <c r="Z207" t="e">
        <f t="shared" si="83"/>
        <v>#REF!</v>
      </c>
      <c r="AA207" t="e">
        <f>_xlfn.IFNA(VLOOKUP(C207,#REF!,2,FALSE),F207)</f>
        <v>#REF!</v>
      </c>
      <c r="AB207" t="str">
        <f t="shared" si="82"/>
        <v/>
      </c>
      <c r="AD207" s="108"/>
      <c r="AE207" s="108"/>
    </row>
    <row r="208" spans="1:31">
      <c r="A208" s="347"/>
      <c r="B208" s="105" t="s">
        <v>1091</v>
      </c>
      <c r="C208" s="84" t="s">
        <v>1898</v>
      </c>
      <c r="D208" s="105" t="s">
        <v>113</v>
      </c>
      <c r="E208" s="84" t="s">
        <v>1899</v>
      </c>
      <c r="F208" s="202"/>
      <c r="H208" s="84" t="s">
        <v>1091</v>
      </c>
      <c r="I208" s="84" t="s">
        <v>1105</v>
      </c>
      <c r="J208" s="84" t="s">
        <v>111</v>
      </c>
      <c r="K208" s="85" t="s">
        <v>62</v>
      </c>
      <c r="L208" s="84" t="s">
        <v>1105</v>
      </c>
      <c r="M208" s="79"/>
      <c r="N208" s="162">
        <f>F208</f>
        <v>0</v>
      </c>
      <c r="O208" s="79">
        <f t="shared" si="76"/>
        <v>0</v>
      </c>
      <c r="P208" s="79">
        <f t="shared" si="77"/>
        <v>0</v>
      </c>
      <c r="Q208" s="78">
        <f t="shared" si="78"/>
        <v>0</v>
      </c>
      <c r="R208" s="79">
        <f t="shared" si="79"/>
        <v>0</v>
      </c>
      <c r="S208" s="79">
        <f t="shared" si="80"/>
        <v>0</v>
      </c>
      <c r="T208" s="176">
        <f t="shared" si="81"/>
        <v>0</v>
      </c>
      <c r="U208" s="84"/>
      <c r="V208" s="256"/>
      <c r="Y208" t="e">
        <f>_xlfn.IFNA(VLOOKUP(C208,#REF!,2,FALSE),"")</f>
        <v>#REF!</v>
      </c>
      <c r="Z208" t="e">
        <f t="shared" si="83"/>
        <v>#REF!</v>
      </c>
      <c r="AA208" t="e">
        <f>_xlfn.IFNA(VLOOKUP(C208,#REF!,2,FALSE),F208)</f>
        <v>#REF!</v>
      </c>
      <c r="AB208" t="str">
        <f t="shared" si="82"/>
        <v/>
      </c>
      <c r="AD208" s="108"/>
      <c r="AE208" s="108"/>
    </row>
    <row r="209" spans="1:31">
      <c r="A209" s="347"/>
      <c r="B209" s="105" t="s">
        <v>1091</v>
      </c>
      <c r="C209" s="84" t="s">
        <v>2082</v>
      </c>
      <c r="D209" s="105" t="s">
        <v>113</v>
      </c>
      <c r="E209" s="84" t="s">
        <v>1937</v>
      </c>
      <c r="F209" s="202"/>
      <c r="H209" s="84"/>
      <c r="I209" s="84"/>
      <c r="J209" s="84"/>
      <c r="K209" s="85"/>
      <c r="L209" s="84"/>
      <c r="M209" s="79"/>
      <c r="N209" s="162"/>
      <c r="O209" s="79"/>
      <c r="P209" s="79"/>
      <c r="Q209" s="78"/>
      <c r="R209" s="79"/>
      <c r="S209" s="79"/>
      <c r="T209" s="176"/>
      <c r="U209" s="84"/>
      <c r="V209" s="256"/>
      <c r="AD209" s="108"/>
      <c r="AE209" s="108"/>
    </row>
    <row r="210" spans="1:31">
      <c r="A210" s="347"/>
      <c r="B210" s="105" t="s">
        <v>1091</v>
      </c>
      <c r="C210" s="84" t="s">
        <v>2083</v>
      </c>
      <c r="D210" s="105" t="s">
        <v>113</v>
      </c>
      <c r="E210" s="84" t="s">
        <v>1938</v>
      </c>
      <c r="F210" s="202"/>
      <c r="H210" s="84"/>
      <c r="I210" s="84"/>
      <c r="J210" s="84"/>
      <c r="K210" s="85"/>
      <c r="L210" s="84"/>
      <c r="M210" s="79"/>
      <c r="N210" s="162"/>
      <c r="O210" s="79"/>
      <c r="P210" s="79"/>
      <c r="Q210" s="78"/>
      <c r="R210" s="79"/>
      <c r="S210" s="79"/>
      <c r="T210" s="176"/>
      <c r="U210" s="84"/>
      <c r="V210" s="256"/>
      <c r="AD210" s="108"/>
      <c r="AE210" s="108"/>
    </row>
    <row r="211" spans="1:31">
      <c r="A211" s="347"/>
      <c r="B211" s="105" t="s">
        <v>1091</v>
      </c>
      <c r="C211" s="84" t="s">
        <v>1897</v>
      </c>
      <c r="D211" s="105" t="s">
        <v>113</v>
      </c>
      <c r="E211" s="84" t="s">
        <v>1900</v>
      </c>
      <c r="F211" s="202"/>
      <c r="H211" s="84" t="s">
        <v>1091</v>
      </c>
      <c r="I211" s="84" t="s">
        <v>1107</v>
      </c>
      <c r="J211" s="84" t="s">
        <v>111</v>
      </c>
      <c r="K211" s="85" t="s">
        <v>60</v>
      </c>
      <c r="L211" s="84" t="s">
        <v>1107</v>
      </c>
      <c r="M211" s="79"/>
      <c r="N211" s="162">
        <f>F211</f>
        <v>0</v>
      </c>
      <c r="O211" s="79">
        <f t="shared" si="76"/>
        <v>0</v>
      </c>
      <c r="P211" s="79">
        <f t="shared" si="77"/>
        <v>0</v>
      </c>
      <c r="Q211" s="78">
        <f t="shared" si="78"/>
        <v>0</v>
      </c>
      <c r="R211" s="79">
        <f t="shared" si="79"/>
        <v>0</v>
      </c>
      <c r="S211" s="79">
        <f t="shared" si="80"/>
        <v>0</v>
      </c>
      <c r="T211" s="176">
        <f t="shared" si="81"/>
        <v>0</v>
      </c>
      <c r="U211" s="84"/>
      <c r="V211" s="256"/>
      <c r="Y211" t="e">
        <f>_xlfn.IFNA(VLOOKUP(C211,#REF!,2,FALSE),"")</f>
        <v>#REF!</v>
      </c>
      <c r="Z211" t="e">
        <f t="shared" ref="Z211" si="84">IF(Y211="","",F211)</f>
        <v>#REF!</v>
      </c>
      <c r="AA211" t="e">
        <f>_xlfn.IFNA(VLOOKUP(C211,#REF!,2,FALSE),F211)</f>
        <v>#REF!</v>
      </c>
      <c r="AB211" t="str">
        <f t="shared" ref="AB211:AB212" si="85">IF(ISERROR(Y211),"",Y211=Z211)</f>
        <v/>
      </c>
      <c r="AD211" s="108"/>
      <c r="AE211" s="108"/>
    </row>
    <row r="212" spans="1:31">
      <c r="F212" s="314"/>
      <c r="H212" s="84" t="s">
        <v>1091</v>
      </c>
      <c r="I212" s="84" t="s">
        <v>1119</v>
      </c>
      <c r="J212" s="84" t="s">
        <v>111</v>
      </c>
      <c r="K212" s="85" t="s">
        <v>59</v>
      </c>
      <c r="L212" s="84" t="s">
        <v>1119</v>
      </c>
      <c r="M212" s="79"/>
      <c r="N212" s="162">
        <f>+$K$405</f>
        <v>0</v>
      </c>
      <c r="O212" s="79">
        <f t="shared" si="76"/>
        <v>0</v>
      </c>
      <c r="P212" s="79">
        <f t="shared" si="77"/>
        <v>0</v>
      </c>
      <c r="Q212" s="78">
        <f t="shared" si="78"/>
        <v>0</v>
      </c>
      <c r="R212" s="79">
        <f t="shared" si="79"/>
        <v>0</v>
      </c>
      <c r="S212" s="79">
        <f t="shared" si="80"/>
        <v>0</v>
      </c>
      <c r="T212" s="176">
        <f t="shared" si="81"/>
        <v>0</v>
      </c>
      <c r="U212" s="84"/>
      <c r="V212" s="256"/>
      <c r="Y212" t="e">
        <f>_xlfn.IFNA(VLOOKUP(C212,#REF!,2,FALSE),"")</f>
        <v>#REF!</v>
      </c>
      <c r="Z212" t="e">
        <f t="shared" ref="Z212" si="86">IF(Y212="","",F212)</f>
        <v>#REF!</v>
      </c>
      <c r="AA212" t="e">
        <f>_xlfn.IFNA(VLOOKUP(C212,#REF!,2,FALSE),F212)</f>
        <v>#REF!</v>
      </c>
      <c r="AB212" t="str">
        <f t="shared" si="85"/>
        <v/>
      </c>
      <c r="AD212" s="108"/>
      <c r="AE212" s="108"/>
    </row>
    <row r="213" spans="1:31">
      <c r="F213" s="314"/>
      <c r="K213" s="142"/>
      <c r="M213" s="215"/>
      <c r="N213" s="314"/>
      <c r="O213" s="215"/>
      <c r="P213" s="215"/>
      <c r="Q213" s="215"/>
      <c r="R213" s="215"/>
      <c r="S213" s="215"/>
      <c r="T213" s="215"/>
      <c r="Y213" t="e">
        <f>_xlfn.IFNA(VLOOKUP(C213,#REF!,2,FALSE),"")</f>
        <v>#REF!</v>
      </c>
      <c r="Z213" t="e">
        <f t="shared" si="83"/>
        <v>#REF!</v>
      </c>
      <c r="AA213" t="e">
        <f>_xlfn.IFNA(VLOOKUP(C213,#REF!,2,FALSE),F213)</f>
        <v>#REF!</v>
      </c>
      <c r="AB213" t="str">
        <f t="shared" si="82"/>
        <v/>
      </c>
      <c r="AD213" s="108"/>
      <c r="AE213" s="108"/>
    </row>
    <row r="214" spans="1:31">
      <c r="B214" s="89" t="s">
        <v>126</v>
      </c>
      <c r="C214" s="90" t="s">
        <v>689</v>
      </c>
      <c r="D214" s="90" t="s">
        <v>113</v>
      </c>
      <c r="E214" s="89">
        <v>1019</v>
      </c>
      <c r="F214" s="202"/>
      <c r="H214" s="84" t="s">
        <v>126</v>
      </c>
      <c r="I214" s="84" t="s">
        <v>327</v>
      </c>
      <c r="J214" s="84" t="s">
        <v>111</v>
      </c>
      <c r="K214" s="85" t="s">
        <v>325</v>
      </c>
      <c r="L214" s="84" t="s">
        <v>404</v>
      </c>
      <c r="M214" s="79"/>
      <c r="N214" s="162">
        <f t="shared" ref="N214:N229" si="87">F214</f>
        <v>0</v>
      </c>
      <c r="O214" s="79">
        <f t="shared" ref="O214:O229" si="88">(N214*0.4+$I$327*0.42+$I$328*0.18)</f>
        <v>0</v>
      </c>
      <c r="P214" s="79">
        <f t="shared" ref="P214:P229" si="89">N214*0.4+$I$327*0.24+$I$330*0.12+$I$331*0.24</f>
        <v>0</v>
      </c>
      <c r="Q214" s="78">
        <f t="shared" ref="Q214:Q229" si="90">N214*0.5+$I$327*0.15+$I$329*0.1+$I$330*0.25</f>
        <v>0</v>
      </c>
      <c r="R214" s="79">
        <f t="shared" ref="R214:R229" si="91">N214*0.4+$I$327*0.6</f>
        <v>0</v>
      </c>
      <c r="S214" s="79">
        <f t="shared" ref="S214:S229" si="92">(N214*0.4+$I$327*0.36+$I$328*0.24)</f>
        <v>0</v>
      </c>
      <c r="T214" s="176">
        <f t="shared" ref="T214:T229" si="93">(N214*0.44+$I$327*0.45+$I$328*0.11)</f>
        <v>0</v>
      </c>
      <c r="V214" s="256" t="s">
        <v>523</v>
      </c>
      <c r="Y214" t="e">
        <f>_xlfn.IFNA(VLOOKUP(C214,#REF!,2,FALSE),"")</f>
        <v>#REF!</v>
      </c>
      <c r="Z214" t="e">
        <f t="shared" si="83"/>
        <v>#REF!</v>
      </c>
      <c r="AA214" t="e">
        <f>_xlfn.IFNA(VLOOKUP(C214,#REF!,2,FALSE),F214)</f>
        <v>#REF!</v>
      </c>
      <c r="AB214" t="str">
        <f t="shared" si="82"/>
        <v/>
      </c>
      <c r="AD214" s="108"/>
      <c r="AE214" s="108"/>
    </row>
    <row r="215" spans="1:31">
      <c r="B215" s="89" t="s">
        <v>126</v>
      </c>
      <c r="C215" s="90" t="s">
        <v>328</v>
      </c>
      <c r="D215" s="90" t="s">
        <v>113</v>
      </c>
      <c r="E215" s="89" t="s">
        <v>976</v>
      </c>
      <c r="F215" s="202"/>
      <c r="H215" s="84" t="s">
        <v>126</v>
      </c>
      <c r="I215" s="84" t="s">
        <v>328</v>
      </c>
      <c r="J215" s="84" t="s">
        <v>111</v>
      </c>
      <c r="K215" s="85" t="s">
        <v>326</v>
      </c>
      <c r="L215" s="84" t="s">
        <v>564</v>
      </c>
      <c r="M215" s="79"/>
      <c r="N215" s="162">
        <f t="shared" si="87"/>
        <v>0</v>
      </c>
      <c r="O215" s="79">
        <f t="shared" si="88"/>
        <v>0</v>
      </c>
      <c r="P215" s="79">
        <f t="shared" si="89"/>
        <v>0</v>
      </c>
      <c r="Q215" s="78">
        <f t="shared" si="90"/>
        <v>0</v>
      </c>
      <c r="R215" s="79">
        <f t="shared" si="91"/>
        <v>0</v>
      </c>
      <c r="S215" s="79">
        <f t="shared" si="92"/>
        <v>0</v>
      </c>
      <c r="T215" s="78">
        <f t="shared" si="93"/>
        <v>0</v>
      </c>
      <c r="V215" s="256" t="s">
        <v>524</v>
      </c>
      <c r="Y215" t="e">
        <f>_xlfn.IFNA(VLOOKUP(C215,#REF!,2,FALSE),"")</f>
        <v>#REF!</v>
      </c>
      <c r="Z215" t="e">
        <f t="shared" si="83"/>
        <v>#REF!</v>
      </c>
      <c r="AA215" t="e">
        <f>_xlfn.IFNA(VLOOKUP(C215,#REF!,2,FALSE),F215)</f>
        <v>#REF!</v>
      </c>
      <c r="AB215" t="str">
        <f t="shared" si="82"/>
        <v/>
      </c>
      <c r="AD215" s="108"/>
      <c r="AE215" s="108"/>
    </row>
    <row r="216" spans="1:31">
      <c r="B216" s="89" t="s">
        <v>126</v>
      </c>
      <c r="C216" s="90" t="s">
        <v>797</v>
      </c>
      <c r="D216" s="90" t="s">
        <v>113</v>
      </c>
      <c r="E216" s="90">
        <v>1510</v>
      </c>
      <c r="F216" s="202"/>
      <c r="H216" s="84" t="s">
        <v>126</v>
      </c>
      <c r="I216" s="84" t="s">
        <v>698</v>
      </c>
      <c r="J216" s="84" t="s">
        <v>111</v>
      </c>
      <c r="K216" s="85" t="s">
        <v>605</v>
      </c>
      <c r="L216" s="84" t="s">
        <v>699</v>
      </c>
      <c r="M216" s="79"/>
      <c r="N216" s="162">
        <f t="shared" si="87"/>
        <v>0</v>
      </c>
      <c r="O216" s="79">
        <f t="shared" si="88"/>
        <v>0</v>
      </c>
      <c r="P216" s="79">
        <f t="shared" si="89"/>
        <v>0</v>
      </c>
      <c r="Q216" s="78">
        <f t="shared" si="90"/>
        <v>0</v>
      </c>
      <c r="R216" s="79">
        <f t="shared" si="91"/>
        <v>0</v>
      </c>
      <c r="S216" s="79">
        <f t="shared" si="92"/>
        <v>0</v>
      </c>
      <c r="T216" s="78">
        <f t="shared" si="93"/>
        <v>0</v>
      </c>
      <c r="V216" s="253" t="s">
        <v>525</v>
      </c>
      <c r="W216" s="142"/>
      <c r="Y216" t="e">
        <f>_xlfn.IFNA(VLOOKUP(C216,#REF!,2,FALSE),"")</f>
        <v>#REF!</v>
      </c>
      <c r="Z216" t="e">
        <f t="shared" si="83"/>
        <v>#REF!</v>
      </c>
      <c r="AA216" t="e">
        <f>_xlfn.IFNA(VLOOKUP(C216,#REF!,2,FALSE),F216)</f>
        <v>#REF!</v>
      </c>
      <c r="AB216" t="str">
        <f t="shared" si="82"/>
        <v/>
      </c>
      <c r="AD216" s="108"/>
      <c r="AE216" s="108"/>
    </row>
    <row r="217" spans="1:31">
      <c r="B217" s="89" t="s">
        <v>126</v>
      </c>
      <c r="C217" s="90" t="s">
        <v>796</v>
      </c>
      <c r="D217" s="90" t="s">
        <v>113</v>
      </c>
      <c r="E217" s="90">
        <v>5000</v>
      </c>
      <c r="F217" s="202"/>
      <c r="H217" s="84" t="s">
        <v>126</v>
      </c>
      <c r="I217" s="84" t="s">
        <v>691</v>
      </c>
      <c r="J217" s="84" t="s">
        <v>111</v>
      </c>
      <c r="K217" s="85">
        <v>5000</v>
      </c>
      <c r="L217" s="84" t="s">
        <v>692</v>
      </c>
      <c r="M217" s="79"/>
      <c r="N217" s="162">
        <f t="shared" si="87"/>
        <v>0</v>
      </c>
      <c r="O217" s="79">
        <f t="shared" si="88"/>
        <v>0</v>
      </c>
      <c r="P217" s="79">
        <f t="shared" si="89"/>
        <v>0</v>
      </c>
      <c r="Q217" s="78">
        <f t="shared" si="90"/>
        <v>0</v>
      </c>
      <c r="R217" s="79">
        <f t="shared" si="91"/>
        <v>0</v>
      </c>
      <c r="S217" s="79">
        <f t="shared" si="92"/>
        <v>0</v>
      </c>
      <c r="T217" s="78">
        <f t="shared" si="93"/>
        <v>0</v>
      </c>
      <c r="V217" s="253" t="s">
        <v>690</v>
      </c>
      <c r="W217" s="142"/>
      <c r="Y217" t="e">
        <f>_xlfn.IFNA(VLOOKUP(C217,#REF!,2,FALSE),"")</f>
        <v>#REF!</v>
      </c>
      <c r="Z217" t="e">
        <f t="shared" si="83"/>
        <v>#REF!</v>
      </c>
      <c r="AA217" t="e">
        <f>_xlfn.IFNA(VLOOKUP(C217,#REF!,2,FALSE),F217)</f>
        <v>#REF!</v>
      </c>
      <c r="AB217" t="str">
        <f t="shared" si="82"/>
        <v/>
      </c>
      <c r="AD217" s="108"/>
      <c r="AE217" s="108"/>
    </row>
    <row r="218" spans="1:31">
      <c r="B218" s="89" t="s">
        <v>126</v>
      </c>
      <c r="C218" s="90" t="s">
        <v>1111</v>
      </c>
      <c r="D218" s="90" t="s">
        <v>113</v>
      </c>
      <c r="E218" s="90">
        <v>1810</v>
      </c>
      <c r="F218" s="202"/>
      <c r="H218" s="84" t="s">
        <v>126</v>
      </c>
      <c r="I218" s="84" t="s">
        <v>1111</v>
      </c>
      <c r="J218" s="84" t="s">
        <v>111</v>
      </c>
      <c r="K218" s="85">
        <v>1810</v>
      </c>
      <c r="L218" s="84" t="s">
        <v>1112</v>
      </c>
      <c r="M218" s="79"/>
      <c r="N218" s="162">
        <f t="shared" si="87"/>
        <v>0</v>
      </c>
      <c r="O218" s="79">
        <f t="shared" si="88"/>
        <v>0</v>
      </c>
      <c r="P218" s="79">
        <f t="shared" si="89"/>
        <v>0</v>
      </c>
      <c r="Q218" s="78">
        <f t="shared" si="90"/>
        <v>0</v>
      </c>
      <c r="R218" s="79">
        <f t="shared" si="91"/>
        <v>0</v>
      </c>
      <c r="S218" s="79">
        <f t="shared" si="92"/>
        <v>0</v>
      </c>
      <c r="T218" s="78">
        <f t="shared" si="93"/>
        <v>0</v>
      </c>
      <c r="V218" s="253"/>
      <c r="W218" s="142"/>
      <c r="Y218" t="e">
        <f>_xlfn.IFNA(VLOOKUP(C218,#REF!,2,FALSE),"")</f>
        <v>#REF!</v>
      </c>
      <c r="Z218" t="e">
        <f t="shared" si="83"/>
        <v>#REF!</v>
      </c>
      <c r="AA218" t="e">
        <f>_xlfn.IFNA(VLOOKUP(C218,#REF!,2,FALSE),F218)</f>
        <v>#REF!</v>
      </c>
      <c r="AB218" t="str">
        <f t="shared" si="82"/>
        <v/>
      </c>
      <c r="AD218" s="108"/>
      <c r="AE218" s="108"/>
    </row>
    <row r="219" spans="1:31">
      <c r="B219" s="89" t="s">
        <v>126</v>
      </c>
      <c r="C219" s="90" t="s">
        <v>1125</v>
      </c>
      <c r="D219" s="90" t="s">
        <v>113</v>
      </c>
      <c r="E219" s="90">
        <v>1803</v>
      </c>
      <c r="F219" s="202"/>
      <c r="H219" s="84" t="s">
        <v>126</v>
      </c>
      <c r="I219" s="84" t="s">
        <v>1125</v>
      </c>
      <c r="J219" s="84"/>
      <c r="K219" s="85">
        <v>1803</v>
      </c>
      <c r="L219" s="84" t="s">
        <v>1245</v>
      </c>
      <c r="M219" s="79"/>
      <c r="N219" s="162">
        <f t="shared" si="87"/>
        <v>0</v>
      </c>
      <c r="O219" s="79">
        <f t="shared" si="88"/>
        <v>0</v>
      </c>
      <c r="P219" s="79">
        <f t="shared" si="89"/>
        <v>0</v>
      </c>
      <c r="Q219" s="78">
        <f t="shared" si="90"/>
        <v>0</v>
      </c>
      <c r="R219" s="79">
        <f t="shared" si="91"/>
        <v>0</v>
      </c>
      <c r="S219" s="79">
        <f t="shared" si="92"/>
        <v>0</v>
      </c>
      <c r="T219" s="78">
        <f t="shared" si="93"/>
        <v>0</v>
      </c>
      <c r="V219" s="253"/>
      <c r="W219" s="142"/>
      <c r="Y219" t="e">
        <f>_xlfn.IFNA(VLOOKUP(C219,#REF!,2,FALSE),"")</f>
        <v>#REF!</v>
      </c>
      <c r="Z219" t="e">
        <f t="shared" si="83"/>
        <v>#REF!</v>
      </c>
      <c r="AA219" t="e">
        <f>_xlfn.IFNA(VLOOKUP(C219,#REF!,2,FALSE),F219)</f>
        <v>#REF!</v>
      </c>
      <c r="AB219" t="str">
        <f t="shared" si="82"/>
        <v/>
      </c>
      <c r="AD219" s="108"/>
      <c r="AE219" s="108"/>
    </row>
    <row r="220" spans="1:31">
      <c r="B220" s="140" t="s">
        <v>361</v>
      </c>
      <c r="C220" s="141" t="s">
        <v>376</v>
      </c>
      <c r="D220" s="141" t="s">
        <v>113</v>
      </c>
      <c r="E220" s="141" t="s">
        <v>970</v>
      </c>
      <c r="F220" s="202"/>
      <c r="H220" s="84" t="s">
        <v>126</v>
      </c>
      <c r="I220" s="84" t="s">
        <v>374</v>
      </c>
      <c r="J220" s="84" t="s">
        <v>111</v>
      </c>
      <c r="K220" s="84" t="s">
        <v>64</v>
      </c>
      <c r="L220" s="84" t="s">
        <v>374</v>
      </c>
      <c r="M220" s="84"/>
      <c r="N220" s="162">
        <f t="shared" si="87"/>
        <v>0</v>
      </c>
      <c r="O220" s="79">
        <f t="shared" si="88"/>
        <v>0</v>
      </c>
      <c r="P220" s="79">
        <f t="shared" si="89"/>
        <v>0</v>
      </c>
      <c r="Q220" s="78">
        <f t="shared" si="90"/>
        <v>0</v>
      </c>
      <c r="R220" s="79">
        <f t="shared" si="91"/>
        <v>0</v>
      </c>
      <c r="S220" s="79">
        <f t="shared" si="92"/>
        <v>0</v>
      </c>
      <c r="T220" s="78">
        <f t="shared" si="93"/>
        <v>0</v>
      </c>
      <c r="V220" s="253" t="s">
        <v>526</v>
      </c>
      <c r="W220" s="142"/>
      <c r="Y220" t="e">
        <f>_xlfn.IFNA(VLOOKUP(C220,#REF!,2,FALSE),"")</f>
        <v>#REF!</v>
      </c>
      <c r="Z220" t="e">
        <f t="shared" si="83"/>
        <v>#REF!</v>
      </c>
      <c r="AA220" t="e">
        <f>_xlfn.IFNA(VLOOKUP(C220,#REF!,2,FALSE),F220)</f>
        <v>#REF!</v>
      </c>
      <c r="AB220" t="str">
        <f t="shared" si="82"/>
        <v/>
      </c>
      <c r="AD220" s="108"/>
      <c r="AE220" s="108"/>
    </row>
    <row r="221" spans="1:31">
      <c r="B221" s="140" t="s">
        <v>361</v>
      </c>
      <c r="C221" s="141" t="s">
        <v>375</v>
      </c>
      <c r="D221" s="141" t="s">
        <v>113</v>
      </c>
      <c r="E221" s="141" t="s">
        <v>970</v>
      </c>
      <c r="F221" s="202"/>
      <c r="H221" s="84" t="s">
        <v>126</v>
      </c>
      <c r="I221" s="84" t="s">
        <v>377</v>
      </c>
      <c r="J221" s="84" t="s">
        <v>111</v>
      </c>
      <c r="K221" s="84" t="s">
        <v>106</v>
      </c>
      <c r="L221" s="84" t="s">
        <v>377</v>
      </c>
      <c r="M221" s="84"/>
      <c r="N221" s="162">
        <f t="shared" si="87"/>
        <v>0</v>
      </c>
      <c r="O221" s="79">
        <f t="shared" si="88"/>
        <v>0</v>
      </c>
      <c r="P221" s="79">
        <f t="shared" si="89"/>
        <v>0</v>
      </c>
      <c r="Q221" s="78">
        <f t="shared" si="90"/>
        <v>0</v>
      </c>
      <c r="R221" s="79">
        <f t="shared" si="91"/>
        <v>0</v>
      </c>
      <c r="S221" s="79">
        <f t="shared" si="92"/>
        <v>0</v>
      </c>
      <c r="T221" s="78">
        <f t="shared" si="93"/>
        <v>0</v>
      </c>
      <c r="V221" s="253" t="s">
        <v>527</v>
      </c>
      <c r="W221" s="142"/>
      <c r="Y221" t="e">
        <f>_xlfn.IFNA(VLOOKUP(C221,#REF!,2,FALSE),"")</f>
        <v>#REF!</v>
      </c>
      <c r="Z221" t="e">
        <f t="shared" si="83"/>
        <v>#REF!</v>
      </c>
      <c r="AA221" t="e">
        <f>_xlfn.IFNA(VLOOKUP(C221,#REF!,2,FALSE),F221)</f>
        <v>#REF!</v>
      </c>
      <c r="AB221" t="str">
        <f t="shared" si="82"/>
        <v/>
      </c>
      <c r="AD221" s="108"/>
      <c r="AE221" s="108"/>
    </row>
    <row r="222" spans="1:31">
      <c r="B222" s="140" t="s">
        <v>361</v>
      </c>
      <c r="C222" s="141" t="s">
        <v>551</v>
      </c>
      <c r="D222" s="141" t="s">
        <v>113</v>
      </c>
      <c r="E222" s="141" t="s">
        <v>970</v>
      </c>
      <c r="F222" s="202"/>
      <c r="H222" s="84" t="s">
        <v>126</v>
      </c>
      <c r="I222" s="84" t="s">
        <v>551</v>
      </c>
      <c r="J222" s="84" t="s">
        <v>111</v>
      </c>
      <c r="K222" s="84" t="s">
        <v>62</v>
      </c>
      <c r="L222" s="84" t="s">
        <v>553</v>
      </c>
      <c r="M222" s="84"/>
      <c r="N222" s="162">
        <f t="shared" si="87"/>
        <v>0</v>
      </c>
      <c r="O222" s="79">
        <f t="shared" si="88"/>
        <v>0</v>
      </c>
      <c r="P222" s="79">
        <f t="shared" si="89"/>
        <v>0</v>
      </c>
      <c r="Q222" s="78">
        <f t="shared" si="90"/>
        <v>0</v>
      </c>
      <c r="R222" s="79">
        <f t="shared" si="91"/>
        <v>0</v>
      </c>
      <c r="S222" s="79">
        <f t="shared" si="92"/>
        <v>0</v>
      </c>
      <c r="T222" s="78">
        <f t="shared" si="93"/>
        <v>0</v>
      </c>
      <c r="V222" s="253" t="s">
        <v>552</v>
      </c>
      <c r="W222" s="142"/>
      <c r="Y222" t="e">
        <f>_xlfn.IFNA(VLOOKUP(C222,#REF!,2,FALSE),"")</f>
        <v>#REF!</v>
      </c>
      <c r="Z222" t="e">
        <f t="shared" si="83"/>
        <v>#REF!</v>
      </c>
      <c r="AA222" t="e">
        <f>_xlfn.IFNA(VLOOKUP(C222,#REF!,2,FALSE),F222)</f>
        <v>#REF!</v>
      </c>
      <c r="AB222" t="str">
        <f t="shared" si="82"/>
        <v/>
      </c>
      <c r="AD222" s="108"/>
      <c r="AE222" s="108"/>
    </row>
    <row r="223" spans="1:31">
      <c r="B223" s="140" t="s">
        <v>361</v>
      </c>
      <c r="C223" s="141" t="s">
        <v>561</v>
      </c>
      <c r="D223" s="141" t="s">
        <v>113</v>
      </c>
      <c r="E223" s="141" t="s">
        <v>970</v>
      </c>
      <c r="F223" s="202"/>
      <c r="H223" s="84" t="s">
        <v>126</v>
      </c>
      <c r="I223" s="84" t="s">
        <v>561</v>
      </c>
      <c r="J223" s="84" t="s">
        <v>111</v>
      </c>
      <c r="K223" s="84" t="s">
        <v>56</v>
      </c>
      <c r="L223" s="84" t="s">
        <v>563</v>
      </c>
      <c r="M223" s="84"/>
      <c r="N223" s="162">
        <f t="shared" si="87"/>
        <v>0</v>
      </c>
      <c r="O223" s="79">
        <f t="shared" si="88"/>
        <v>0</v>
      </c>
      <c r="P223" s="79">
        <f t="shared" si="89"/>
        <v>0</v>
      </c>
      <c r="Q223" s="78">
        <f t="shared" si="90"/>
        <v>0</v>
      </c>
      <c r="R223" s="79">
        <f t="shared" si="91"/>
        <v>0</v>
      </c>
      <c r="S223" s="79">
        <f t="shared" si="92"/>
        <v>0</v>
      </c>
      <c r="T223" s="78">
        <f t="shared" si="93"/>
        <v>0</v>
      </c>
      <c r="V223" s="253" t="s">
        <v>562</v>
      </c>
      <c r="W223" s="142"/>
      <c r="Y223" t="e">
        <f>_xlfn.IFNA(VLOOKUP(C223,#REF!,2,FALSE),"")</f>
        <v>#REF!</v>
      </c>
      <c r="Z223" t="e">
        <f t="shared" si="83"/>
        <v>#REF!</v>
      </c>
      <c r="AA223" t="e">
        <f>_xlfn.IFNA(VLOOKUP(C223,#REF!,2,FALSE),F223)</f>
        <v>#REF!</v>
      </c>
      <c r="AB223" t="str">
        <f t="shared" si="82"/>
        <v/>
      </c>
      <c r="AD223" s="108"/>
      <c r="AE223" s="108"/>
    </row>
    <row r="224" spans="1:31">
      <c r="B224" s="171" t="s">
        <v>602</v>
      </c>
      <c r="C224" s="172" t="s">
        <v>783</v>
      </c>
      <c r="D224" s="172" t="s">
        <v>113</v>
      </c>
      <c r="E224" s="171">
        <v>2066</v>
      </c>
      <c r="F224" s="202"/>
      <c r="H224" s="84" t="s">
        <v>602</v>
      </c>
      <c r="I224" s="84" t="s">
        <v>603</v>
      </c>
      <c r="J224" s="84" t="s">
        <v>111</v>
      </c>
      <c r="K224" s="85" t="s">
        <v>605</v>
      </c>
      <c r="L224" s="84" t="s">
        <v>1116</v>
      </c>
      <c r="M224" s="79"/>
      <c r="N224" s="162">
        <f t="shared" si="87"/>
        <v>0</v>
      </c>
      <c r="O224" s="79">
        <f t="shared" si="88"/>
        <v>0</v>
      </c>
      <c r="P224" s="79">
        <f t="shared" si="89"/>
        <v>0</v>
      </c>
      <c r="Q224" s="78">
        <f t="shared" si="90"/>
        <v>0</v>
      </c>
      <c r="R224" s="79">
        <f t="shared" si="91"/>
        <v>0</v>
      </c>
      <c r="S224" s="79">
        <f t="shared" si="92"/>
        <v>0</v>
      </c>
      <c r="T224" s="78">
        <f t="shared" si="93"/>
        <v>0</v>
      </c>
      <c r="V224" s="256" t="s">
        <v>604</v>
      </c>
      <c r="Y224" t="e">
        <f>_xlfn.IFNA(VLOOKUP(C224,#REF!,2,FALSE),"")</f>
        <v>#REF!</v>
      </c>
      <c r="Z224" t="e">
        <f t="shared" si="83"/>
        <v>#REF!</v>
      </c>
      <c r="AA224" t="e">
        <f>_xlfn.IFNA(VLOOKUP(C224,#REF!,2,FALSE),F224)</f>
        <v>#REF!</v>
      </c>
      <c r="AB224" t="str">
        <f t="shared" si="82"/>
        <v/>
      </c>
      <c r="AD224" s="108"/>
      <c r="AE224" s="108"/>
    </row>
    <row r="225" spans="1:31">
      <c r="B225" s="171" t="s">
        <v>602</v>
      </c>
      <c r="C225" s="172" t="s">
        <v>785</v>
      </c>
      <c r="D225" s="172" t="s">
        <v>113</v>
      </c>
      <c r="E225" s="171">
        <v>8143</v>
      </c>
      <c r="F225" s="202"/>
      <c r="H225" s="84" t="s">
        <v>602</v>
      </c>
      <c r="I225" s="84" t="s">
        <v>722</v>
      </c>
      <c r="J225" s="84" t="s">
        <v>111</v>
      </c>
      <c r="K225" s="85" t="s">
        <v>78</v>
      </c>
      <c r="L225" s="84" t="s">
        <v>721</v>
      </c>
      <c r="M225" s="79"/>
      <c r="N225" s="162">
        <f t="shared" si="87"/>
        <v>0</v>
      </c>
      <c r="O225" s="79">
        <f t="shared" si="88"/>
        <v>0</v>
      </c>
      <c r="P225" s="79">
        <f t="shared" si="89"/>
        <v>0</v>
      </c>
      <c r="Q225" s="78">
        <f t="shared" si="90"/>
        <v>0</v>
      </c>
      <c r="R225" s="79">
        <f t="shared" si="91"/>
        <v>0</v>
      </c>
      <c r="S225" s="79">
        <f t="shared" si="92"/>
        <v>0</v>
      </c>
      <c r="T225" s="78">
        <f t="shared" si="93"/>
        <v>0</v>
      </c>
      <c r="V225" s="256" t="s">
        <v>720</v>
      </c>
      <c r="Y225" t="e">
        <f>_xlfn.IFNA(VLOOKUP(C225,#REF!,2,FALSE),"")</f>
        <v>#REF!</v>
      </c>
      <c r="Z225" t="e">
        <f t="shared" si="83"/>
        <v>#REF!</v>
      </c>
      <c r="AA225" t="e">
        <f>_xlfn.IFNA(VLOOKUP(C225,#REF!,2,FALSE),F225)</f>
        <v>#REF!</v>
      </c>
      <c r="AB225" t="str">
        <f t="shared" si="82"/>
        <v/>
      </c>
      <c r="AD225" s="108"/>
      <c r="AE225" s="108"/>
    </row>
    <row r="226" spans="1:31">
      <c r="B226" s="171" t="s">
        <v>602</v>
      </c>
      <c r="C226" s="172" t="s">
        <v>702</v>
      </c>
      <c r="D226" s="172" t="s">
        <v>113</v>
      </c>
      <c r="E226" s="171" t="s">
        <v>970</v>
      </c>
      <c r="F226" s="202"/>
      <c r="H226" s="84" t="s">
        <v>602</v>
      </c>
      <c r="I226" s="84"/>
      <c r="J226" s="84" t="s">
        <v>111</v>
      </c>
      <c r="K226" s="85" t="s">
        <v>64</v>
      </c>
      <c r="L226" s="84" t="s">
        <v>701</v>
      </c>
      <c r="M226" s="79"/>
      <c r="N226" s="162">
        <f t="shared" si="87"/>
        <v>0</v>
      </c>
      <c r="O226" s="79">
        <f t="shared" si="88"/>
        <v>0</v>
      </c>
      <c r="P226" s="79">
        <f t="shared" si="89"/>
        <v>0</v>
      </c>
      <c r="Q226" s="78">
        <f t="shared" si="90"/>
        <v>0</v>
      </c>
      <c r="R226" s="79">
        <f t="shared" si="91"/>
        <v>0</v>
      </c>
      <c r="S226" s="79">
        <f t="shared" si="92"/>
        <v>0</v>
      </c>
      <c r="T226" s="78">
        <f t="shared" si="93"/>
        <v>0</v>
      </c>
      <c r="V226" s="256" t="s">
        <v>700</v>
      </c>
      <c r="Y226" t="e">
        <f>_xlfn.IFNA(VLOOKUP(C226,#REF!,2,FALSE),"")</f>
        <v>#REF!</v>
      </c>
      <c r="Z226" t="e">
        <f t="shared" si="83"/>
        <v>#REF!</v>
      </c>
      <c r="AA226" t="e">
        <f>_xlfn.IFNA(VLOOKUP(C226,#REF!,2,FALSE),F226)</f>
        <v>#REF!</v>
      </c>
      <c r="AB226" t="str">
        <f t="shared" si="82"/>
        <v/>
      </c>
      <c r="AD226" s="108"/>
      <c r="AE226" s="108"/>
    </row>
    <row r="227" spans="1:31">
      <c r="B227" s="171" t="s">
        <v>602</v>
      </c>
      <c r="C227" s="172" t="s">
        <v>784</v>
      </c>
      <c r="D227" s="172" t="s">
        <v>113</v>
      </c>
      <c r="E227" s="171" t="s">
        <v>970</v>
      </c>
      <c r="F227" s="202"/>
      <c r="H227" s="84" t="s">
        <v>602</v>
      </c>
      <c r="I227" s="84"/>
      <c r="J227" s="84" t="s">
        <v>111</v>
      </c>
      <c r="K227" s="85" t="s">
        <v>64</v>
      </c>
      <c r="L227" s="84" t="s">
        <v>704</v>
      </c>
      <c r="M227" s="79"/>
      <c r="N227" s="162">
        <f t="shared" si="87"/>
        <v>0</v>
      </c>
      <c r="O227" s="79">
        <f t="shared" si="88"/>
        <v>0</v>
      </c>
      <c r="P227" s="79">
        <f t="shared" si="89"/>
        <v>0</v>
      </c>
      <c r="Q227" s="78">
        <f t="shared" si="90"/>
        <v>0</v>
      </c>
      <c r="R227" s="79">
        <f t="shared" si="91"/>
        <v>0</v>
      </c>
      <c r="S227" s="79">
        <f t="shared" si="92"/>
        <v>0</v>
      </c>
      <c r="T227" s="176">
        <f t="shared" si="93"/>
        <v>0</v>
      </c>
      <c r="V227" s="256" t="s">
        <v>703</v>
      </c>
      <c r="Y227" t="e">
        <f>_xlfn.IFNA(VLOOKUP(C227,#REF!,2,FALSE),"")</f>
        <v>#REF!</v>
      </c>
      <c r="Z227" t="e">
        <f t="shared" si="83"/>
        <v>#REF!</v>
      </c>
      <c r="AA227" t="e">
        <f>_xlfn.IFNA(VLOOKUP(C227,#REF!,2,FALSE),F227)</f>
        <v>#REF!</v>
      </c>
      <c r="AB227" t="str">
        <f t="shared" si="82"/>
        <v/>
      </c>
      <c r="AD227" s="108"/>
      <c r="AE227" s="108"/>
    </row>
    <row r="228" spans="1:31">
      <c r="B228" s="171" t="s">
        <v>602</v>
      </c>
      <c r="C228" s="172" t="s">
        <v>1171</v>
      </c>
      <c r="D228" s="172" t="s">
        <v>113</v>
      </c>
      <c r="E228" s="171">
        <v>22364</v>
      </c>
      <c r="F228" s="202"/>
      <c r="H228" s="84" t="s">
        <v>602</v>
      </c>
      <c r="I228" s="84" t="s">
        <v>1152</v>
      </c>
      <c r="J228" s="84" t="s">
        <v>111</v>
      </c>
      <c r="K228" s="85" t="s">
        <v>316</v>
      </c>
      <c r="L228" s="84" t="s">
        <v>1153</v>
      </c>
      <c r="M228" s="79"/>
      <c r="N228" s="162">
        <f t="shared" si="87"/>
        <v>0</v>
      </c>
      <c r="O228" s="79">
        <f t="shared" si="88"/>
        <v>0</v>
      </c>
      <c r="P228" s="79">
        <f t="shared" si="89"/>
        <v>0</v>
      </c>
      <c r="Q228" s="78">
        <f t="shared" si="90"/>
        <v>0</v>
      </c>
      <c r="R228" s="79">
        <f t="shared" si="91"/>
        <v>0</v>
      </c>
      <c r="S228" s="79">
        <f t="shared" si="92"/>
        <v>0</v>
      </c>
      <c r="T228" s="176">
        <f t="shared" si="93"/>
        <v>0</v>
      </c>
      <c r="V228" s="256"/>
      <c r="Y228" t="e">
        <f>_xlfn.IFNA(VLOOKUP(C228,#REF!,2,FALSE),"")</f>
        <v>#REF!</v>
      </c>
      <c r="Z228" t="e">
        <f t="shared" si="83"/>
        <v>#REF!</v>
      </c>
      <c r="AA228" t="e">
        <f>_xlfn.IFNA(VLOOKUP(C228,#REF!,2,FALSE),F228)</f>
        <v>#REF!</v>
      </c>
      <c r="AB228" t="str">
        <f t="shared" si="82"/>
        <v/>
      </c>
      <c r="AD228" s="108"/>
      <c r="AE228" s="108"/>
    </row>
    <row r="229" spans="1:31">
      <c r="B229" s="171" t="s">
        <v>602</v>
      </c>
      <c r="C229" s="172" t="s">
        <v>1172</v>
      </c>
      <c r="D229" s="172" t="s">
        <v>113</v>
      </c>
      <c r="E229" s="171">
        <v>22372</v>
      </c>
      <c r="F229" s="202"/>
      <c r="H229" s="84" t="s">
        <v>602</v>
      </c>
      <c r="I229" s="84" t="s">
        <v>1150</v>
      </c>
      <c r="J229" s="84" t="s">
        <v>111</v>
      </c>
      <c r="K229" s="85" t="s">
        <v>605</v>
      </c>
      <c r="L229" s="84" t="s">
        <v>1151</v>
      </c>
      <c r="M229" s="79"/>
      <c r="N229" s="162">
        <f t="shared" si="87"/>
        <v>0</v>
      </c>
      <c r="O229" s="79">
        <f t="shared" si="88"/>
        <v>0</v>
      </c>
      <c r="P229" s="79">
        <f t="shared" si="89"/>
        <v>0</v>
      </c>
      <c r="Q229" s="78">
        <f t="shared" si="90"/>
        <v>0</v>
      </c>
      <c r="R229" s="79">
        <f t="shared" si="91"/>
        <v>0</v>
      </c>
      <c r="S229" s="79">
        <f t="shared" si="92"/>
        <v>0</v>
      </c>
      <c r="T229" s="176">
        <f t="shared" si="93"/>
        <v>0</v>
      </c>
      <c r="V229" s="256"/>
      <c r="Y229" t="e">
        <f>_xlfn.IFNA(VLOOKUP(C229,#REF!,2,FALSE),"")</f>
        <v>#REF!</v>
      </c>
      <c r="Z229" t="e">
        <f t="shared" si="83"/>
        <v>#REF!</v>
      </c>
      <c r="AA229" t="e">
        <f>_xlfn.IFNA(VLOOKUP(C229,#REF!,2,FALSE),F229)</f>
        <v>#REF!</v>
      </c>
      <c r="AB229" t="str">
        <f t="shared" si="82"/>
        <v/>
      </c>
      <c r="AD229" s="108"/>
      <c r="AE229" s="108"/>
    </row>
    <row r="230" spans="1:31">
      <c r="C230" s="142"/>
      <c r="D230" s="142"/>
      <c r="E230" s="142"/>
      <c r="F230" s="314"/>
      <c r="N230" s="316"/>
      <c r="Q230" s="215"/>
      <c r="T230" s="215"/>
      <c r="V230" s="142"/>
      <c r="W230" s="142"/>
      <c r="Y230" t="e">
        <f>_xlfn.IFNA(VLOOKUP(C230,#REF!,2,FALSE),"")</f>
        <v>#REF!</v>
      </c>
      <c r="Z230" t="e">
        <f t="shared" si="83"/>
        <v>#REF!</v>
      </c>
      <c r="AA230" t="e">
        <f>_xlfn.IFNA(VLOOKUP(C230,#REF!,2,FALSE),F230)</f>
        <v>#REF!</v>
      </c>
      <c r="AB230" t="str">
        <f t="shared" si="82"/>
        <v/>
      </c>
      <c r="AD230" s="108"/>
      <c r="AE230" s="108"/>
    </row>
    <row r="231" spans="1:31">
      <c r="C231" s="142"/>
      <c r="D231" s="142"/>
      <c r="E231" s="142"/>
      <c r="F231" s="314"/>
      <c r="N231" s="316"/>
      <c r="Q231" s="215"/>
      <c r="T231" s="215"/>
      <c r="V231" s="142"/>
      <c r="W231" s="142"/>
      <c r="Y231" t="e">
        <f>_xlfn.IFNA(VLOOKUP(C231,#REF!,2,FALSE),"")</f>
        <v>#REF!</v>
      </c>
      <c r="Z231" t="e">
        <f t="shared" si="83"/>
        <v>#REF!</v>
      </c>
      <c r="AA231" t="e">
        <f>_xlfn.IFNA(VLOOKUP(C231,#REF!,2,FALSE),F231)</f>
        <v>#REF!</v>
      </c>
      <c r="AB231" t="str">
        <f t="shared" si="82"/>
        <v/>
      </c>
      <c r="AD231" s="108"/>
      <c r="AE231" s="108"/>
    </row>
    <row r="232" spans="1:31">
      <c r="B232" s="136" t="s">
        <v>344</v>
      </c>
      <c r="C232" s="136" t="s">
        <v>786</v>
      </c>
      <c r="D232" s="137" t="s">
        <v>113</v>
      </c>
      <c r="E232" s="136">
        <v>121</v>
      </c>
      <c r="F232" s="202"/>
      <c r="H232" s="136" t="s">
        <v>335</v>
      </c>
      <c r="I232" s="136" t="s">
        <v>355</v>
      </c>
      <c r="J232" s="137" t="s">
        <v>111</v>
      </c>
      <c r="K232" s="136" t="s">
        <v>345</v>
      </c>
      <c r="L232" s="137" t="s">
        <v>550</v>
      </c>
      <c r="M232" s="136"/>
      <c r="N232" s="162">
        <f t="shared" ref="N232:N253" si="94">F232</f>
        <v>0</v>
      </c>
      <c r="O232" s="138">
        <f t="shared" ref="O232:O279" si="95">(N232*0.4+$I$327*0.42+$I$328*0.18)</f>
        <v>0</v>
      </c>
      <c r="P232" s="138">
        <f t="shared" ref="P232:P279" si="96">N232*0.4+$I$327*0.24+$I$330*0.12+$I$331*0.24</f>
        <v>0</v>
      </c>
      <c r="Q232" s="78">
        <f t="shared" ref="Q232:Q279" si="97">N232*0.5+$I$327*0.15+$I$329*0.1+$I$330*0.25</f>
        <v>0</v>
      </c>
      <c r="R232" s="138">
        <f t="shared" ref="R232:R279" si="98">N232*0.4+$I$327*0.6</f>
        <v>0</v>
      </c>
      <c r="S232" s="138">
        <f t="shared" ref="S232:S279" si="99">(N232*0.4+$I$327*0.36+$I$328*0.24)</f>
        <v>0</v>
      </c>
      <c r="T232" s="176">
        <f t="shared" ref="T232:T279" si="100">(N232*0.44+$I$327*0.45+$I$328*0.11)</f>
        <v>0</v>
      </c>
      <c r="V232" s="256" t="s">
        <v>528</v>
      </c>
      <c r="Y232" t="e">
        <f>_xlfn.IFNA(VLOOKUP(C232,#REF!,2,FALSE),"")</f>
        <v>#REF!</v>
      </c>
      <c r="Z232" t="e">
        <f t="shared" si="83"/>
        <v>#REF!</v>
      </c>
      <c r="AA232" t="e">
        <f>_xlfn.IFNA(VLOOKUP(C232,#REF!,2,FALSE),F232)</f>
        <v>#REF!</v>
      </c>
      <c r="AB232" t="str">
        <f t="shared" si="82"/>
        <v/>
      </c>
      <c r="AD232" s="108"/>
      <c r="AE232" s="108"/>
    </row>
    <row r="233" spans="1:31">
      <c r="A233" t="s">
        <v>420</v>
      </c>
      <c r="B233" s="136" t="s">
        <v>344</v>
      </c>
      <c r="C233" s="136" t="s">
        <v>419</v>
      </c>
      <c r="D233" s="137" t="s">
        <v>113</v>
      </c>
      <c r="E233" s="136" t="s">
        <v>970</v>
      </c>
      <c r="F233" s="202"/>
      <c r="H233" s="136" t="s">
        <v>335</v>
      </c>
      <c r="I233" s="136" t="s">
        <v>555</v>
      </c>
      <c r="J233" s="137" t="s">
        <v>111</v>
      </c>
      <c r="K233" s="136" t="s">
        <v>554</v>
      </c>
      <c r="L233" s="137" t="s">
        <v>556</v>
      </c>
      <c r="M233" s="136"/>
      <c r="N233" s="162">
        <f t="shared" si="94"/>
        <v>0</v>
      </c>
      <c r="O233" s="138">
        <f t="shared" si="95"/>
        <v>0</v>
      </c>
      <c r="P233" s="138">
        <f t="shared" si="96"/>
        <v>0</v>
      </c>
      <c r="Q233" s="78">
        <f t="shared" si="97"/>
        <v>0</v>
      </c>
      <c r="R233" s="138">
        <f t="shared" si="98"/>
        <v>0</v>
      </c>
      <c r="S233" s="138">
        <f t="shared" si="99"/>
        <v>0</v>
      </c>
      <c r="T233" s="78">
        <f t="shared" si="100"/>
        <v>0</v>
      </c>
      <c r="V233" s="256" t="s">
        <v>529</v>
      </c>
      <c r="Y233" t="e">
        <f>_xlfn.IFNA(VLOOKUP(C233,#REF!,2,FALSE),"")</f>
        <v>#REF!</v>
      </c>
      <c r="Z233" t="e">
        <f t="shared" si="83"/>
        <v>#REF!</v>
      </c>
      <c r="AA233" t="e">
        <f>_xlfn.IFNA(VLOOKUP(C233,#REF!,2,FALSE),F233)</f>
        <v>#REF!</v>
      </c>
      <c r="AB233" t="str">
        <f t="shared" si="82"/>
        <v/>
      </c>
      <c r="AD233" s="108"/>
      <c r="AE233" s="108"/>
    </row>
    <row r="234" spans="1:31">
      <c r="B234" s="136" t="s">
        <v>344</v>
      </c>
      <c r="C234" s="136" t="s">
        <v>343</v>
      </c>
      <c r="D234" s="137" t="s">
        <v>113</v>
      </c>
      <c r="E234" s="136" t="s">
        <v>970</v>
      </c>
      <c r="F234" s="202"/>
      <c r="H234" s="136" t="s">
        <v>335</v>
      </c>
      <c r="I234" s="136" t="s">
        <v>356</v>
      </c>
      <c r="J234" s="137" t="s">
        <v>111</v>
      </c>
      <c r="K234" s="136" t="s">
        <v>346</v>
      </c>
      <c r="L234" s="137" t="s">
        <v>341</v>
      </c>
      <c r="M234" s="136"/>
      <c r="N234" s="162">
        <f t="shared" si="94"/>
        <v>0</v>
      </c>
      <c r="O234" s="138">
        <f t="shared" si="95"/>
        <v>0</v>
      </c>
      <c r="P234" s="138">
        <f t="shared" si="96"/>
        <v>0</v>
      </c>
      <c r="Q234" s="78">
        <f t="shared" si="97"/>
        <v>0</v>
      </c>
      <c r="R234" s="138">
        <f t="shared" si="98"/>
        <v>0</v>
      </c>
      <c r="S234" s="138">
        <f t="shared" si="99"/>
        <v>0</v>
      </c>
      <c r="T234" s="78">
        <f t="shared" si="100"/>
        <v>0</v>
      </c>
      <c r="V234" s="256" t="s">
        <v>530</v>
      </c>
      <c r="Y234" t="e">
        <f>_xlfn.IFNA(VLOOKUP(C234,#REF!,2,FALSE),"")</f>
        <v>#REF!</v>
      </c>
      <c r="Z234" t="e">
        <f t="shared" si="83"/>
        <v>#REF!</v>
      </c>
      <c r="AA234" t="e">
        <f>_xlfn.IFNA(VLOOKUP(C234,#REF!,2,FALSE),F234)</f>
        <v>#REF!</v>
      </c>
      <c r="AB234" t="str">
        <f t="shared" si="82"/>
        <v/>
      </c>
      <c r="AD234" s="108"/>
      <c r="AE234" s="108"/>
    </row>
    <row r="235" spans="1:31">
      <c r="B235" s="136" t="s">
        <v>344</v>
      </c>
      <c r="C235" s="136" t="s">
        <v>787</v>
      </c>
      <c r="D235" s="137" t="s">
        <v>113</v>
      </c>
      <c r="E235" s="136" t="s">
        <v>977</v>
      </c>
      <c r="F235" s="202"/>
      <c r="H235" s="136" t="s">
        <v>335</v>
      </c>
      <c r="I235" s="136" t="s">
        <v>421</v>
      </c>
      <c r="J235" s="137" t="s">
        <v>111</v>
      </c>
      <c r="K235" s="136" t="s">
        <v>346</v>
      </c>
      <c r="L235" s="137" t="s">
        <v>341</v>
      </c>
      <c r="M235" s="136"/>
      <c r="N235" s="162">
        <f t="shared" si="94"/>
        <v>0</v>
      </c>
      <c r="O235" s="138">
        <f t="shared" si="95"/>
        <v>0</v>
      </c>
      <c r="P235" s="138">
        <f t="shared" si="96"/>
        <v>0</v>
      </c>
      <c r="Q235" s="78">
        <f t="shared" si="97"/>
        <v>0</v>
      </c>
      <c r="R235" s="138">
        <f t="shared" si="98"/>
        <v>0</v>
      </c>
      <c r="S235" s="138">
        <f t="shared" si="99"/>
        <v>0</v>
      </c>
      <c r="T235" s="78">
        <f t="shared" si="100"/>
        <v>0</v>
      </c>
      <c r="V235" s="256" t="s">
        <v>531</v>
      </c>
      <c r="Y235" t="e">
        <f>_xlfn.IFNA(VLOOKUP(C235,#REF!,2,FALSE),"")</f>
        <v>#REF!</v>
      </c>
      <c r="Z235" t="e">
        <f t="shared" si="83"/>
        <v>#REF!</v>
      </c>
      <c r="AA235" t="e">
        <f>_xlfn.IFNA(VLOOKUP(C235,#REF!,2,FALSE),F235)</f>
        <v>#REF!</v>
      </c>
      <c r="AB235" t="str">
        <f t="shared" si="82"/>
        <v/>
      </c>
      <c r="AD235" s="108"/>
      <c r="AE235" s="108"/>
    </row>
    <row r="236" spans="1:31">
      <c r="B236" s="136" t="s">
        <v>344</v>
      </c>
      <c r="C236" s="136" t="s">
        <v>822</v>
      </c>
      <c r="D236" s="137" t="s">
        <v>113</v>
      </c>
      <c r="E236" s="136" t="s">
        <v>1181</v>
      </c>
      <c r="F236" s="202"/>
      <c r="H236" s="136" t="s">
        <v>335</v>
      </c>
      <c r="I236" s="136" t="s">
        <v>853</v>
      </c>
      <c r="J236" s="137" t="s">
        <v>111</v>
      </c>
      <c r="K236" s="136" t="s">
        <v>609</v>
      </c>
      <c r="L236" s="137" t="s">
        <v>854</v>
      </c>
      <c r="M236" s="136"/>
      <c r="N236" s="162">
        <f t="shared" si="94"/>
        <v>0</v>
      </c>
      <c r="O236" s="138">
        <f t="shared" si="95"/>
        <v>0</v>
      </c>
      <c r="P236" s="138">
        <f t="shared" si="96"/>
        <v>0</v>
      </c>
      <c r="Q236" s="78">
        <f t="shared" si="97"/>
        <v>0</v>
      </c>
      <c r="R236" s="138">
        <f t="shared" si="98"/>
        <v>0</v>
      </c>
      <c r="S236" s="138">
        <f t="shared" si="99"/>
        <v>0</v>
      </c>
      <c r="T236" s="78">
        <f t="shared" si="100"/>
        <v>0</v>
      </c>
      <c r="V236" s="256" t="s">
        <v>852</v>
      </c>
      <c r="Y236" t="e">
        <f>_xlfn.IFNA(VLOOKUP(C236,#REF!,2,FALSE),"")</f>
        <v>#REF!</v>
      </c>
      <c r="Z236" t="e">
        <f t="shared" si="83"/>
        <v>#REF!</v>
      </c>
      <c r="AA236" t="e">
        <f>_xlfn.IFNA(VLOOKUP(C236,#REF!,2,FALSE),F236)</f>
        <v>#REF!</v>
      </c>
      <c r="AB236" t="str">
        <f t="shared" si="82"/>
        <v/>
      </c>
      <c r="AD236" s="108"/>
      <c r="AE236" s="108"/>
    </row>
    <row r="237" spans="1:31">
      <c r="B237" s="136" t="s">
        <v>344</v>
      </c>
      <c r="C237" s="136" t="s">
        <v>788</v>
      </c>
      <c r="D237" s="137" t="s">
        <v>113</v>
      </c>
      <c r="E237" s="136">
        <v>39</v>
      </c>
      <c r="F237" s="202"/>
      <c r="H237" s="136" t="s">
        <v>335</v>
      </c>
      <c r="I237" s="136" t="s">
        <v>358</v>
      </c>
      <c r="J237" s="137" t="s">
        <v>111</v>
      </c>
      <c r="K237" s="136" t="s">
        <v>60</v>
      </c>
      <c r="L237" s="137" t="s">
        <v>337</v>
      </c>
      <c r="M237" s="136"/>
      <c r="N237" s="162">
        <f t="shared" si="94"/>
        <v>0</v>
      </c>
      <c r="O237" s="138">
        <f t="shared" si="95"/>
        <v>0</v>
      </c>
      <c r="P237" s="138">
        <f t="shared" si="96"/>
        <v>0</v>
      </c>
      <c r="Q237" s="78">
        <f t="shared" si="97"/>
        <v>0</v>
      </c>
      <c r="R237" s="138">
        <f t="shared" si="98"/>
        <v>0</v>
      </c>
      <c r="S237" s="138">
        <f t="shared" si="99"/>
        <v>0</v>
      </c>
      <c r="T237" s="78">
        <f t="shared" si="100"/>
        <v>0</v>
      </c>
      <c r="V237" s="256" t="s">
        <v>532</v>
      </c>
      <c r="Y237" t="e">
        <f>_xlfn.IFNA(VLOOKUP(C237,#REF!,2,FALSE),"")</f>
        <v>#REF!</v>
      </c>
      <c r="Z237" t="e">
        <f t="shared" si="83"/>
        <v>#REF!</v>
      </c>
      <c r="AA237" t="e">
        <f>_xlfn.IFNA(VLOOKUP(C237,#REF!,2,FALSE),F237)</f>
        <v>#REF!</v>
      </c>
      <c r="AB237" t="str">
        <f t="shared" si="82"/>
        <v/>
      </c>
      <c r="AD237" s="108"/>
      <c r="AE237" s="108"/>
    </row>
    <row r="238" spans="1:31">
      <c r="B238" s="136" t="s">
        <v>344</v>
      </c>
      <c r="C238" s="136" t="s">
        <v>791</v>
      </c>
      <c r="D238" s="137" t="s">
        <v>113</v>
      </c>
      <c r="E238" s="136">
        <v>92</v>
      </c>
      <c r="F238" s="202"/>
      <c r="H238" s="136" t="s">
        <v>335</v>
      </c>
      <c r="I238" s="136" t="s">
        <v>349</v>
      </c>
      <c r="J238" s="137" t="s">
        <v>111</v>
      </c>
      <c r="K238" s="136" t="s">
        <v>56</v>
      </c>
      <c r="L238" s="137" t="s">
        <v>336</v>
      </c>
      <c r="M238" s="136"/>
      <c r="N238" s="162">
        <f t="shared" si="94"/>
        <v>0</v>
      </c>
      <c r="O238" s="138">
        <f t="shared" si="95"/>
        <v>0</v>
      </c>
      <c r="P238" s="138">
        <f t="shared" si="96"/>
        <v>0</v>
      </c>
      <c r="Q238" s="78">
        <f t="shared" si="97"/>
        <v>0</v>
      </c>
      <c r="R238" s="138">
        <f t="shared" si="98"/>
        <v>0</v>
      </c>
      <c r="S238" s="138">
        <f t="shared" si="99"/>
        <v>0</v>
      </c>
      <c r="T238" s="78">
        <f t="shared" si="100"/>
        <v>0</v>
      </c>
      <c r="V238" s="256" t="s">
        <v>533</v>
      </c>
      <c r="Y238" t="e">
        <f>_xlfn.IFNA(VLOOKUP(C238,#REF!,2,FALSE),"")</f>
        <v>#REF!</v>
      </c>
      <c r="Z238" t="e">
        <f t="shared" si="83"/>
        <v>#REF!</v>
      </c>
      <c r="AA238" t="e">
        <f>_xlfn.IFNA(VLOOKUP(C238,#REF!,2,FALSE),F238)</f>
        <v>#REF!</v>
      </c>
      <c r="AB238" t="str">
        <f t="shared" si="82"/>
        <v/>
      </c>
      <c r="AD238" s="108"/>
      <c r="AE238" s="108"/>
    </row>
    <row r="239" spans="1:31">
      <c r="B239" s="136" t="s">
        <v>344</v>
      </c>
      <c r="C239" s="136" t="s">
        <v>820</v>
      </c>
      <c r="D239" s="137" t="s">
        <v>113</v>
      </c>
      <c r="E239" s="136">
        <v>640</v>
      </c>
      <c r="F239" s="202"/>
      <c r="H239" s="136" t="s">
        <v>335</v>
      </c>
      <c r="I239" s="136" t="s">
        <v>350</v>
      </c>
      <c r="J239" s="137" t="s">
        <v>111</v>
      </c>
      <c r="K239" s="136" t="s">
        <v>64</v>
      </c>
      <c r="L239" s="137" t="s">
        <v>340</v>
      </c>
      <c r="M239" s="136"/>
      <c r="N239" s="162">
        <f t="shared" si="94"/>
        <v>0</v>
      </c>
      <c r="O239" s="138">
        <f t="shared" si="95"/>
        <v>0</v>
      </c>
      <c r="P239" s="138">
        <f t="shared" si="96"/>
        <v>0</v>
      </c>
      <c r="Q239" s="78">
        <f t="shared" si="97"/>
        <v>0</v>
      </c>
      <c r="R239" s="138">
        <f t="shared" si="98"/>
        <v>0</v>
      </c>
      <c r="S239" s="138">
        <f t="shared" si="99"/>
        <v>0</v>
      </c>
      <c r="T239" s="78">
        <f t="shared" si="100"/>
        <v>0</v>
      </c>
      <c r="V239" s="256" t="s">
        <v>534</v>
      </c>
      <c r="Y239" t="e">
        <f>_xlfn.IFNA(VLOOKUP(C239,#REF!,2,FALSE),"")</f>
        <v>#REF!</v>
      </c>
      <c r="Z239" t="e">
        <f t="shared" si="83"/>
        <v>#REF!</v>
      </c>
      <c r="AA239" t="e">
        <f>_xlfn.IFNA(VLOOKUP(C239,#REF!,2,FALSE),F239)</f>
        <v>#REF!</v>
      </c>
      <c r="AB239" t="str">
        <f t="shared" si="82"/>
        <v/>
      </c>
      <c r="AD239" s="108"/>
      <c r="AE239" s="108"/>
    </row>
    <row r="240" spans="1:31">
      <c r="B240" s="136" t="s">
        <v>344</v>
      </c>
      <c r="C240" s="136" t="s">
        <v>794</v>
      </c>
      <c r="D240" s="137" t="s">
        <v>113</v>
      </c>
      <c r="E240" s="136" t="s">
        <v>1921</v>
      </c>
      <c r="F240" s="202"/>
      <c r="H240" s="136" t="s">
        <v>335</v>
      </c>
      <c r="I240" s="136" t="s">
        <v>351</v>
      </c>
      <c r="J240" s="137" t="s">
        <v>111</v>
      </c>
      <c r="K240" s="136" t="s">
        <v>106</v>
      </c>
      <c r="L240" s="137" t="s">
        <v>347</v>
      </c>
      <c r="M240" s="136"/>
      <c r="N240" s="162">
        <f t="shared" si="94"/>
        <v>0</v>
      </c>
      <c r="O240" s="138">
        <f t="shared" si="95"/>
        <v>0</v>
      </c>
      <c r="P240" s="138">
        <f t="shared" si="96"/>
        <v>0</v>
      </c>
      <c r="Q240" s="78">
        <f t="shared" si="97"/>
        <v>0</v>
      </c>
      <c r="R240" s="138">
        <f t="shared" si="98"/>
        <v>0</v>
      </c>
      <c r="S240" s="138">
        <f t="shared" si="99"/>
        <v>0</v>
      </c>
      <c r="T240" s="78">
        <f t="shared" si="100"/>
        <v>0</v>
      </c>
      <c r="V240" s="256" t="s">
        <v>535</v>
      </c>
      <c r="Y240" t="e">
        <f>_xlfn.IFNA(VLOOKUP(C240,#REF!,2,FALSE),"")</f>
        <v>#REF!</v>
      </c>
      <c r="Z240" t="e">
        <f t="shared" si="83"/>
        <v>#REF!</v>
      </c>
      <c r="AA240" t="e">
        <f>_xlfn.IFNA(VLOOKUP(C240,#REF!,2,FALSE),F240)</f>
        <v>#REF!</v>
      </c>
      <c r="AB240" t="str">
        <f t="shared" si="82"/>
        <v/>
      </c>
      <c r="AD240" s="108"/>
      <c r="AE240" s="108"/>
    </row>
    <row r="241" spans="2:31">
      <c r="B241" s="136" t="s">
        <v>344</v>
      </c>
      <c r="C241" s="136" t="s">
        <v>792</v>
      </c>
      <c r="D241" s="137" t="s">
        <v>113</v>
      </c>
      <c r="E241" s="136">
        <v>1205</v>
      </c>
      <c r="F241" s="202"/>
      <c r="H241" s="136" t="s">
        <v>335</v>
      </c>
      <c r="I241" s="136" t="s">
        <v>357</v>
      </c>
      <c r="J241" s="137" t="s">
        <v>111</v>
      </c>
      <c r="K241" s="136" t="s">
        <v>439</v>
      </c>
      <c r="L241" s="137" t="s">
        <v>339</v>
      </c>
      <c r="M241" s="136"/>
      <c r="N241" s="162">
        <f t="shared" si="94"/>
        <v>0</v>
      </c>
      <c r="O241" s="138">
        <f t="shared" si="95"/>
        <v>0</v>
      </c>
      <c r="P241" s="138">
        <f t="shared" si="96"/>
        <v>0</v>
      </c>
      <c r="Q241" s="78">
        <f t="shared" si="97"/>
        <v>0</v>
      </c>
      <c r="R241" s="138">
        <f t="shared" si="98"/>
        <v>0</v>
      </c>
      <c r="S241" s="138">
        <f t="shared" si="99"/>
        <v>0</v>
      </c>
      <c r="T241" s="78">
        <f t="shared" si="100"/>
        <v>0</v>
      </c>
      <c r="V241" s="256" t="s">
        <v>539</v>
      </c>
      <c r="Y241" t="e">
        <f>_xlfn.IFNA(VLOOKUP(C241,#REF!,2,FALSE),"")</f>
        <v>#REF!</v>
      </c>
      <c r="Z241" t="e">
        <f t="shared" si="83"/>
        <v>#REF!</v>
      </c>
      <c r="AA241" t="e">
        <f>_xlfn.IFNA(VLOOKUP(C241,#REF!,2,FALSE),F241)</f>
        <v>#REF!</v>
      </c>
      <c r="AB241" t="str">
        <f t="shared" si="82"/>
        <v/>
      </c>
      <c r="AD241" s="108"/>
      <c r="AE241" s="108"/>
    </row>
    <row r="242" spans="2:31">
      <c r="B242" s="136" t="s">
        <v>344</v>
      </c>
      <c r="C242" s="136" t="s">
        <v>437</v>
      </c>
      <c r="D242" s="137" t="s">
        <v>113</v>
      </c>
      <c r="E242" s="136" t="s">
        <v>970</v>
      </c>
      <c r="F242" s="202"/>
      <c r="H242" s="136" t="s">
        <v>335</v>
      </c>
      <c r="I242" s="136" t="s">
        <v>438</v>
      </c>
      <c r="J242" s="137" t="s">
        <v>111</v>
      </c>
      <c r="K242" s="136" t="s">
        <v>440</v>
      </c>
      <c r="L242" s="137" t="s">
        <v>441</v>
      </c>
      <c r="M242" s="136"/>
      <c r="N242" s="162">
        <f t="shared" si="94"/>
        <v>0</v>
      </c>
      <c r="O242" s="138">
        <f t="shared" si="95"/>
        <v>0</v>
      </c>
      <c r="P242" s="138">
        <f t="shared" si="96"/>
        <v>0</v>
      </c>
      <c r="Q242" s="78">
        <f t="shared" si="97"/>
        <v>0</v>
      </c>
      <c r="R242" s="138">
        <f t="shared" si="98"/>
        <v>0</v>
      </c>
      <c r="S242" s="138">
        <f t="shared" si="99"/>
        <v>0</v>
      </c>
      <c r="T242" s="78">
        <f t="shared" si="100"/>
        <v>0</v>
      </c>
      <c r="V242" s="256" t="s">
        <v>540</v>
      </c>
      <c r="Y242" t="e">
        <f>_xlfn.IFNA(VLOOKUP(C242,#REF!,2,FALSE),"")</f>
        <v>#REF!</v>
      </c>
      <c r="Z242" t="e">
        <f t="shared" si="83"/>
        <v>#REF!</v>
      </c>
      <c r="AA242" t="e">
        <f>_xlfn.IFNA(VLOOKUP(C242,#REF!,2,FALSE),F242)</f>
        <v>#REF!</v>
      </c>
      <c r="AB242" t="str">
        <f t="shared" si="82"/>
        <v/>
      </c>
      <c r="AD242" s="108"/>
      <c r="AE242" s="108"/>
    </row>
    <row r="243" spans="2:31">
      <c r="B243" s="136" t="s">
        <v>344</v>
      </c>
      <c r="C243" s="136" t="s">
        <v>793</v>
      </c>
      <c r="D243" s="137" t="s">
        <v>113</v>
      </c>
      <c r="E243" s="136">
        <v>32</v>
      </c>
      <c r="F243" s="202"/>
      <c r="H243" s="136" t="s">
        <v>335</v>
      </c>
      <c r="I243" s="136" t="s">
        <v>352</v>
      </c>
      <c r="J243" s="137" t="s">
        <v>111</v>
      </c>
      <c r="K243" s="136" t="s">
        <v>58</v>
      </c>
      <c r="L243" s="137" t="s">
        <v>338</v>
      </c>
      <c r="M243" s="136"/>
      <c r="N243" s="162">
        <f t="shared" si="94"/>
        <v>0</v>
      </c>
      <c r="O243" s="138">
        <f t="shared" si="95"/>
        <v>0</v>
      </c>
      <c r="P243" s="138">
        <f t="shared" si="96"/>
        <v>0</v>
      </c>
      <c r="Q243" s="78">
        <f t="shared" si="97"/>
        <v>0</v>
      </c>
      <c r="R243" s="138">
        <f t="shared" si="98"/>
        <v>0</v>
      </c>
      <c r="S243" s="138">
        <f t="shared" si="99"/>
        <v>0</v>
      </c>
      <c r="T243" s="78">
        <f t="shared" si="100"/>
        <v>0</v>
      </c>
      <c r="V243" s="256" t="s">
        <v>536</v>
      </c>
      <c r="Y243" t="e">
        <f>_xlfn.IFNA(VLOOKUP(C243,#REF!,2,FALSE),"")</f>
        <v>#REF!</v>
      </c>
      <c r="Z243" t="e">
        <f t="shared" si="83"/>
        <v>#REF!</v>
      </c>
      <c r="AA243" t="e">
        <f>_xlfn.IFNA(VLOOKUP(C243,#REF!,2,FALSE),F243)</f>
        <v>#REF!</v>
      </c>
      <c r="AB243" t="str">
        <f t="shared" si="82"/>
        <v/>
      </c>
      <c r="AD243" s="108"/>
      <c r="AE243" s="108"/>
    </row>
    <row r="244" spans="2:31">
      <c r="B244" s="136" t="s">
        <v>344</v>
      </c>
      <c r="C244" s="136" t="s">
        <v>789</v>
      </c>
      <c r="D244" s="137" t="s">
        <v>113</v>
      </c>
      <c r="E244" s="136">
        <v>53</v>
      </c>
      <c r="F244" s="202"/>
      <c r="H244" s="136" t="s">
        <v>335</v>
      </c>
      <c r="I244" s="136" t="s">
        <v>353</v>
      </c>
      <c r="J244" s="137" t="s">
        <v>111</v>
      </c>
      <c r="K244" s="136" t="s">
        <v>73</v>
      </c>
      <c r="L244" s="137" t="s">
        <v>342</v>
      </c>
      <c r="M244" s="136"/>
      <c r="N244" s="162">
        <f t="shared" si="94"/>
        <v>0</v>
      </c>
      <c r="O244" s="138">
        <f t="shared" si="95"/>
        <v>0</v>
      </c>
      <c r="P244" s="138">
        <f t="shared" si="96"/>
        <v>0</v>
      </c>
      <c r="Q244" s="78">
        <f t="shared" si="97"/>
        <v>0</v>
      </c>
      <c r="R244" s="138">
        <f t="shared" si="98"/>
        <v>0</v>
      </c>
      <c r="S244" s="138">
        <f t="shared" si="99"/>
        <v>0</v>
      </c>
      <c r="T244" s="78">
        <f t="shared" si="100"/>
        <v>0</v>
      </c>
      <c r="V244" s="256" t="s">
        <v>537</v>
      </c>
      <c r="Y244" t="e">
        <f>_xlfn.IFNA(VLOOKUP(C244,#REF!,2,FALSE),"")</f>
        <v>#REF!</v>
      </c>
      <c r="Z244" t="e">
        <f t="shared" si="83"/>
        <v>#REF!</v>
      </c>
      <c r="AA244" t="e">
        <f>_xlfn.IFNA(VLOOKUP(C244,#REF!,2,FALSE),F244)</f>
        <v>#REF!</v>
      </c>
      <c r="AB244" t="str">
        <f t="shared" si="82"/>
        <v/>
      </c>
      <c r="AD244" s="108"/>
      <c r="AE244" s="108"/>
    </row>
    <row r="245" spans="2:31">
      <c r="B245" s="136" t="s">
        <v>344</v>
      </c>
      <c r="C245" s="136" t="s">
        <v>848</v>
      </c>
      <c r="D245" s="137" t="s">
        <v>113</v>
      </c>
      <c r="E245" s="136">
        <v>79</v>
      </c>
      <c r="F245" s="202"/>
      <c r="H245" s="136" t="s">
        <v>335</v>
      </c>
      <c r="I245" s="136" t="s">
        <v>354</v>
      </c>
      <c r="J245" s="137" t="s">
        <v>111</v>
      </c>
      <c r="K245" s="136" t="s">
        <v>59</v>
      </c>
      <c r="L245" s="137" t="s">
        <v>348</v>
      </c>
      <c r="M245" s="136"/>
      <c r="N245" s="162">
        <f t="shared" si="94"/>
        <v>0</v>
      </c>
      <c r="O245" s="138">
        <f t="shared" si="95"/>
        <v>0</v>
      </c>
      <c r="P245" s="138">
        <f t="shared" si="96"/>
        <v>0</v>
      </c>
      <c r="Q245" s="78">
        <f t="shared" si="97"/>
        <v>0</v>
      </c>
      <c r="R245" s="138">
        <f t="shared" si="98"/>
        <v>0</v>
      </c>
      <c r="S245" s="138">
        <f t="shared" si="99"/>
        <v>0</v>
      </c>
      <c r="T245" s="78">
        <f t="shared" si="100"/>
        <v>0</v>
      </c>
      <c r="V245" s="256" t="s">
        <v>538</v>
      </c>
      <c r="Y245" t="e">
        <f>_xlfn.IFNA(VLOOKUP(C245,#REF!,2,FALSE),"")</f>
        <v>#REF!</v>
      </c>
      <c r="Z245" t="e">
        <f t="shared" si="83"/>
        <v>#REF!</v>
      </c>
      <c r="AA245" t="e">
        <f>_xlfn.IFNA(VLOOKUP(C245,#REF!,2,FALSE),F245)</f>
        <v>#REF!</v>
      </c>
      <c r="AB245" t="str">
        <f t="shared" si="82"/>
        <v/>
      </c>
      <c r="AD245" s="108"/>
      <c r="AE245" s="108"/>
    </row>
    <row r="246" spans="2:31">
      <c r="B246" s="136" t="s">
        <v>344</v>
      </c>
      <c r="C246" s="136" t="s">
        <v>824</v>
      </c>
      <c r="D246" s="137" t="s">
        <v>113</v>
      </c>
      <c r="E246" s="136" t="s">
        <v>827</v>
      </c>
      <c r="F246" s="202"/>
      <c r="H246" s="136" t="s">
        <v>335</v>
      </c>
      <c r="I246" s="136" t="s">
        <v>826</v>
      </c>
      <c r="J246" s="137" t="s">
        <v>111</v>
      </c>
      <c r="K246" s="136" t="s">
        <v>70</v>
      </c>
      <c r="L246" s="137" t="s">
        <v>826</v>
      </c>
      <c r="M246" s="136"/>
      <c r="N246" s="162">
        <f t="shared" si="94"/>
        <v>0</v>
      </c>
      <c r="O246" s="138">
        <f t="shared" si="95"/>
        <v>0</v>
      </c>
      <c r="P246" s="138">
        <f t="shared" si="96"/>
        <v>0</v>
      </c>
      <c r="Q246" s="78">
        <f t="shared" si="97"/>
        <v>0</v>
      </c>
      <c r="R246" s="138">
        <f t="shared" si="98"/>
        <v>0</v>
      </c>
      <c r="S246" s="138">
        <f t="shared" si="99"/>
        <v>0</v>
      </c>
      <c r="T246" s="78">
        <f t="shared" si="100"/>
        <v>0</v>
      </c>
      <c r="V246" s="256" t="s">
        <v>827</v>
      </c>
      <c r="Y246" t="e">
        <f>_xlfn.IFNA(VLOOKUP(C246,#REF!,2,FALSE),"")</f>
        <v>#REF!</v>
      </c>
      <c r="Z246" t="e">
        <f t="shared" si="83"/>
        <v>#REF!</v>
      </c>
      <c r="AA246" t="e">
        <f>_xlfn.IFNA(VLOOKUP(C246,#REF!,2,FALSE),F246)</f>
        <v>#REF!</v>
      </c>
      <c r="AB246" t="str">
        <f t="shared" si="82"/>
        <v/>
      </c>
      <c r="AD246" s="108"/>
      <c r="AE246" s="108"/>
    </row>
    <row r="247" spans="2:31">
      <c r="B247" s="136" t="s">
        <v>344</v>
      </c>
      <c r="C247" s="136" t="s">
        <v>790</v>
      </c>
      <c r="D247" s="137" t="s">
        <v>113</v>
      </c>
      <c r="E247" s="136">
        <v>822</v>
      </c>
      <c r="F247" s="202"/>
      <c r="H247" s="136" t="s">
        <v>335</v>
      </c>
      <c r="I247" s="136" t="s">
        <v>436</v>
      </c>
      <c r="J247" s="137" t="s">
        <v>111</v>
      </c>
      <c r="K247" s="136" t="s">
        <v>114</v>
      </c>
      <c r="L247" s="136" t="s">
        <v>565</v>
      </c>
      <c r="M247" s="136"/>
      <c r="N247" s="162">
        <f t="shared" si="94"/>
        <v>0</v>
      </c>
      <c r="O247" s="138">
        <f t="shared" si="95"/>
        <v>0</v>
      </c>
      <c r="P247" s="138">
        <f t="shared" si="96"/>
        <v>0</v>
      </c>
      <c r="Q247" s="78">
        <f t="shared" si="97"/>
        <v>0</v>
      </c>
      <c r="R247" s="138">
        <f t="shared" si="98"/>
        <v>0</v>
      </c>
      <c r="S247" s="138">
        <f t="shared" si="99"/>
        <v>0</v>
      </c>
      <c r="T247" s="78">
        <f t="shared" si="100"/>
        <v>0</v>
      </c>
      <c r="V247" s="256" t="s">
        <v>541</v>
      </c>
      <c r="Y247" t="e">
        <f>_xlfn.IFNA(VLOOKUP(C247,#REF!,2,FALSE),"")</f>
        <v>#REF!</v>
      </c>
      <c r="Z247" t="e">
        <f t="shared" si="83"/>
        <v>#REF!</v>
      </c>
      <c r="AA247" t="e">
        <f>_xlfn.IFNA(VLOOKUP(C247,#REF!,2,FALSE),F247)</f>
        <v>#REF!</v>
      </c>
      <c r="AB247" t="str">
        <f t="shared" si="82"/>
        <v/>
      </c>
      <c r="AD247" s="108"/>
      <c r="AE247" s="108"/>
    </row>
    <row r="248" spans="2:31">
      <c r="B248" s="136" t="s">
        <v>344</v>
      </c>
      <c r="C248" s="136" t="s">
        <v>823</v>
      </c>
      <c r="D248" s="137" t="s">
        <v>113</v>
      </c>
      <c r="E248" s="136">
        <v>503</v>
      </c>
      <c r="F248" s="202"/>
      <c r="H248" s="136" t="s">
        <v>335</v>
      </c>
      <c r="I248" s="136" t="s">
        <v>863</v>
      </c>
      <c r="J248" s="137" t="s">
        <v>111</v>
      </c>
      <c r="K248" s="136" t="s">
        <v>862</v>
      </c>
      <c r="L248" s="136" t="s">
        <v>861</v>
      </c>
      <c r="M248" s="136"/>
      <c r="N248" s="162">
        <f t="shared" si="94"/>
        <v>0</v>
      </c>
      <c r="O248" s="138">
        <f t="shared" si="95"/>
        <v>0</v>
      </c>
      <c r="P248" s="138">
        <f t="shared" si="96"/>
        <v>0</v>
      </c>
      <c r="Q248" s="78">
        <f t="shared" si="97"/>
        <v>0</v>
      </c>
      <c r="R248" s="138">
        <f t="shared" si="98"/>
        <v>0</v>
      </c>
      <c r="S248" s="138">
        <f t="shared" si="99"/>
        <v>0</v>
      </c>
      <c r="T248" s="78">
        <f t="shared" si="100"/>
        <v>0</v>
      </c>
      <c r="V248" s="256" t="s">
        <v>860</v>
      </c>
      <c r="Y248" t="e">
        <f>_xlfn.IFNA(VLOOKUP(C248,#REF!,2,FALSE),"")</f>
        <v>#REF!</v>
      </c>
      <c r="Z248" t="e">
        <f t="shared" si="83"/>
        <v>#REF!</v>
      </c>
      <c r="AA248" t="e">
        <f>_xlfn.IFNA(VLOOKUP(C248,#REF!,2,FALSE),F248)</f>
        <v>#REF!</v>
      </c>
      <c r="AB248" t="str">
        <f t="shared" si="82"/>
        <v/>
      </c>
      <c r="AD248" s="108"/>
      <c r="AE248" s="108"/>
    </row>
    <row r="249" spans="2:31">
      <c r="B249" s="136" t="s">
        <v>344</v>
      </c>
      <c r="C249" s="136" t="s">
        <v>821</v>
      </c>
      <c r="D249" s="137" t="s">
        <v>113</v>
      </c>
      <c r="E249" s="136">
        <v>630</v>
      </c>
      <c r="F249" s="202"/>
      <c r="H249" s="136" t="s">
        <v>335</v>
      </c>
      <c r="I249" s="136" t="s">
        <v>877</v>
      </c>
      <c r="J249" s="137" t="s">
        <v>111</v>
      </c>
      <c r="K249" s="136" t="s">
        <v>878</v>
      </c>
      <c r="L249" s="136" t="s">
        <v>879</v>
      </c>
      <c r="M249" s="136"/>
      <c r="N249" s="162">
        <f t="shared" si="94"/>
        <v>0</v>
      </c>
      <c r="O249" s="138">
        <f t="shared" si="95"/>
        <v>0</v>
      </c>
      <c r="P249" s="138">
        <f t="shared" si="96"/>
        <v>0</v>
      </c>
      <c r="Q249" s="78">
        <f t="shared" si="97"/>
        <v>0</v>
      </c>
      <c r="R249" s="138">
        <f t="shared" si="98"/>
        <v>0</v>
      </c>
      <c r="S249" s="138">
        <f t="shared" si="99"/>
        <v>0</v>
      </c>
      <c r="T249" s="78">
        <f t="shared" si="100"/>
        <v>0</v>
      </c>
      <c r="V249" s="256" t="s">
        <v>876</v>
      </c>
      <c r="Y249" t="e">
        <f>_xlfn.IFNA(VLOOKUP(C249,#REF!,2,FALSE),"")</f>
        <v>#REF!</v>
      </c>
      <c r="Z249" t="e">
        <f t="shared" si="83"/>
        <v>#REF!</v>
      </c>
      <c r="AA249" t="e">
        <f>_xlfn.IFNA(VLOOKUP(C249,#REF!,2,FALSE),F249)</f>
        <v>#REF!</v>
      </c>
      <c r="AB249" t="str">
        <f t="shared" si="82"/>
        <v/>
      </c>
      <c r="AD249" s="108"/>
      <c r="AE249" s="108"/>
    </row>
    <row r="250" spans="2:31">
      <c r="B250" s="136" t="s">
        <v>344</v>
      </c>
      <c r="C250" s="136" t="s">
        <v>825</v>
      </c>
      <c r="D250" s="137" t="s">
        <v>113</v>
      </c>
      <c r="E250" s="136" t="s">
        <v>1127</v>
      </c>
      <c r="F250" s="202"/>
      <c r="H250" s="136" t="s">
        <v>335</v>
      </c>
      <c r="I250" s="136" t="s">
        <v>884</v>
      </c>
      <c r="J250" s="137" t="s">
        <v>111</v>
      </c>
      <c r="K250" s="136" t="s">
        <v>734</v>
      </c>
      <c r="L250" s="136" t="s">
        <v>884</v>
      </c>
      <c r="M250" s="136"/>
      <c r="N250" s="162">
        <f t="shared" si="94"/>
        <v>0</v>
      </c>
      <c r="O250" s="138">
        <f t="shared" si="95"/>
        <v>0</v>
      </c>
      <c r="P250" s="138">
        <f t="shared" si="96"/>
        <v>0</v>
      </c>
      <c r="Q250" s="78">
        <f t="shared" si="97"/>
        <v>0</v>
      </c>
      <c r="R250" s="138">
        <f t="shared" si="98"/>
        <v>0</v>
      </c>
      <c r="S250" s="138">
        <f t="shared" si="99"/>
        <v>0</v>
      </c>
      <c r="T250" s="78">
        <f t="shared" si="100"/>
        <v>0</v>
      </c>
      <c r="V250" s="256" t="s">
        <v>883</v>
      </c>
      <c r="Y250" t="e">
        <f>_xlfn.IFNA(VLOOKUP(C250,#REF!,2,FALSE),"")</f>
        <v>#REF!</v>
      </c>
      <c r="Z250" t="e">
        <f t="shared" si="83"/>
        <v>#REF!</v>
      </c>
      <c r="AA250" t="e">
        <f>_xlfn.IFNA(VLOOKUP(C250,#REF!,2,FALSE),F250)</f>
        <v>#REF!</v>
      </c>
      <c r="AB250" t="str">
        <f t="shared" si="82"/>
        <v/>
      </c>
      <c r="AD250" s="108"/>
      <c r="AE250" s="108"/>
    </row>
    <row r="251" spans="2:31" ht="15" customHeight="1">
      <c r="B251" s="136" t="s">
        <v>344</v>
      </c>
      <c r="C251" s="136" t="s">
        <v>795</v>
      </c>
      <c r="D251" s="137" t="s">
        <v>113</v>
      </c>
      <c r="E251" s="136" t="s">
        <v>978</v>
      </c>
      <c r="F251" s="202"/>
      <c r="H251" s="136" t="s">
        <v>335</v>
      </c>
      <c r="I251" s="136" t="s">
        <v>442</v>
      </c>
      <c r="J251" s="137" t="s">
        <v>111</v>
      </c>
      <c r="K251" s="136" t="s">
        <v>323</v>
      </c>
      <c r="L251" s="136" t="s">
        <v>566</v>
      </c>
      <c r="M251" s="136"/>
      <c r="N251" s="162">
        <f t="shared" si="94"/>
        <v>0</v>
      </c>
      <c r="O251" s="138">
        <f t="shared" si="95"/>
        <v>0</v>
      </c>
      <c r="P251" s="138">
        <f t="shared" si="96"/>
        <v>0</v>
      </c>
      <c r="Q251" s="78">
        <f t="shared" si="97"/>
        <v>0</v>
      </c>
      <c r="R251" s="138">
        <f t="shared" si="98"/>
        <v>0</v>
      </c>
      <c r="S251" s="138">
        <f t="shared" si="99"/>
        <v>0</v>
      </c>
      <c r="T251" s="78">
        <f t="shared" si="100"/>
        <v>0</v>
      </c>
      <c r="V251" s="256" t="s">
        <v>542</v>
      </c>
      <c r="Y251" t="e">
        <f>_xlfn.IFNA(VLOOKUP(C251,#REF!,2,FALSE),"")</f>
        <v>#REF!</v>
      </c>
      <c r="Z251" t="e">
        <f t="shared" si="83"/>
        <v>#REF!</v>
      </c>
      <c r="AA251" t="e">
        <f>_xlfn.IFNA(VLOOKUP(C251,#REF!,2,FALSE),F251)</f>
        <v>#REF!</v>
      </c>
      <c r="AB251" t="str">
        <f t="shared" si="82"/>
        <v/>
      </c>
      <c r="AD251" s="108"/>
      <c r="AE251" s="108"/>
    </row>
    <row r="252" spans="2:31" ht="15" customHeight="1">
      <c r="B252" s="136" t="s">
        <v>344</v>
      </c>
      <c r="C252" s="136" t="s">
        <v>1121</v>
      </c>
      <c r="D252" s="137" t="s">
        <v>113</v>
      </c>
      <c r="E252" s="136" t="s">
        <v>1122</v>
      </c>
      <c r="F252" s="202"/>
      <c r="H252" s="136" t="s">
        <v>335</v>
      </c>
      <c r="I252" s="136" t="s">
        <v>442</v>
      </c>
      <c r="J252" s="137" t="s">
        <v>111</v>
      </c>
      <c r="K252" s="136" t="s">
        <v>323</v>
      </c>
      <c r="L252" s="136" t="s">
        <v>566</v>
      </c>
      <c r="M252" s="136"/>
      <c r="N252" s="162">
        <f t="shared" si="94"/>
        <v>0</v>
      </c>
      <c r="O252" s="138">
        <f t="shared" si="95"/>
        <v>0</v>
      </c>
      <c r="P252" s="138">
        <f t="shared" si="96"/>
        <v>0</v>
      </c>
      <c r="Q252" s="78">
        <f t="shared" si="97"/>
        <v>0</v>
      </c>
      <c r="R252" s="138">
        <f t="shared" si="98"/>
        <v>0</v>
      </c>
      <c r="S252" s="138">
        <f t="shared" si="99"/>
        <v>0</v>
      </c>
      <c r="T252" s="78">
        <f t="shared" si="100"/>
        <v>0</v>
      </c>
      <c r="V252" s="256"/>
      <c r="Y252" t="e">
        <f>_xlfn.IFNA(VLOOKUP(C252,#REF!,2,FALSE),"")</f>
        <v>#REF!</v>
      </c>
      <c r="Z252" t="e">
        <f>IF(Y252="","",F252)</f>
        <v>#REF!</v>
      </c>
      <c r="AA252" t="e">
        <f>_xlfn.IFNA(VLOOKUP(C252,#REF!,2,FALSE),F252)</f>
        <v>#REF!</v>
      </c>
      <c r="AB252" t="str">
        <f>IF(ISERROR(Y252),"",Y252=Z252)</f>
        <v/>
      </c>
      <c r="AD252" s="108"/>
      <c r="AE252" s="108"/>
    </row>
    <row r="253" spans="2:31" ht="15" customHeight="1">
      <c r="B253" s="136" t="s">
        <v>344</v>
      </c>
      <c r="C253" s="136" t="s">
        <v>1131</v>
      </c>
      <c r="D253" s="137" t="s">
        <v>113</v>
      </c>
      <c r="E253" s="136">
        <v>44</v>
      </c>
      <c r="F253" s="202"/>
      <c r="H253" s="136" t="s">
        <v>335</v>
      </c>
      <c r="I253" s="136" t="s">
        <v>1144</v>
      </c>
      <c r="J253" s="137" t="s">
        <v>111</v>
      </c>
      <c r="K253" s="136" t="s">
        <v>1145</v>
      </c>
      <c r="L253" s="136" t="s">
        <v>1146</v>
      </c>
      <c r="M253" s="136"/>
      <c r="N253" s="162">
        <f t="shared" si="94"/>
        <v>0</v>
      </c>
      <c r="O253" s="138">
        <f t="shared" si="95"/>
        <v>0</v>
      </c>
      <c r="P253" s="138">
        <f t="shared" si="96"/>
        <v>0</v>
      </c>
      <c r="Q253" s="78">
        <f t="shared" si="97"/>
        <v>0</v>
      </c>
      <c r="R253" s="138">
        <f t="shared" si="98"/>
        <v>0</v>
      </c>
      <c r="S253" s="138">
        <f t="shared" si="99"/>
        <v>0</v>
      </c>
      <c r="T253" s="78">
        <f t="shared" si="100"/>
        <v>0</v>
      </c>
      <c r="V253" s="256"/>
      <c r="Y253" t="e">
        <f>_xlfn.IFNA(VLOOKUP(C253,#REF!,2,FALSE),"")</f>
        <v>#REF!</v>
      </c>
      <c r="Z253" t="e">
        <f t="shared" si="83"/>
        <v>#REF!</v>
      </c>
      <c r="AA253" t="e">
        <f>_xlfn.IFNA(VLOOKUP(C253,#REF!,2,FALSE),F253)</f>
        <v>#REF!</v>
      </c>
      <c r="AB253" t="str">
        <f t="shared" si="82"/>
        <v/>
      </c>
      <c r="AD253" s="108"/>
      <c r="AE253" s="108"/>
    </row>
    <row r="254" spans="2:31" ht="15" customHeight="1">
      <c r="B254" s="136" t="s">
        <v>344</v>
      </c>
      <c r="C254" s="136" t="s">
        <v>1173</v>
      </c>
      <c r="D254" s="137" t="s">
        <v>113</v>
      </c>
      <c r="E254" s="136" t="s">
        <v>1177</v>
      </c>
      <c r="F254" s="202"/>
      <c r="H254" s="136" t="s">
        <v>335</v>
      </c>
      <c r="I254" s="136" t="s">
        <v>1186</v>
      </c>
      <c r="J254" s="137" t="s">
        <v>111</v>
      </c>
      <c r="K254" s="136" t="s">
        <v>1194</v>
      </c>
      <c r="L254" s="136" t="s">
        <v>1193</v>
      </c>
      <c r="M254" s="136"/>
      <c r="N254" s="162">
        <f t="shared" ref="N254:N274" si="101">F254</f>
        <v>0</v>
      </c>
      <c r="O254" s="138">
        <f t="shared" si="95"/>
        <v>0</v>
      </c>
      <c r="P254" s="138">
        <f t="shared" si="96"/>
        <v>0</v>
      </c>
      <c r="Q254" s="78">
        <f t="shared" si="97"/>
        <v>0</v>
      </c>
      <c r="R254" s="138">
        <f t="shared" si="98"/>
        <v>0</v>
      </c>
      <c r="S254" s="138">
        <f t="shared" si="99"/>
        <v>0</v>
      </c>
      <c r="T254" s="78">
        <f t="shared" si="100"/>
        <v>0</v>
      </c>
      <c r="V254" s="256"/>
      <c r="Y254" t="e">
        <f>_xlfn.IFNA(VLOOKUP(C254,#REF!,2,FALSE),"")</f>
        <v>#REF!</v>
      </c>
      <c r="Z254" t="e">
        <f t="shared" si="83"/>
        <v>#REF!</v>
      </c>
      <c r="AA254" t="e">
        <f>_xlfn.IFNA(VLOOKUP(C254,#REF!,2,FALSE),F254)</f>
        <v>#REF!</v>
      </c>
      <c r="AB254" t="str">
        <f t="shared" si="82"/>
        <v/>
      </c>
      <c r="AD254" s="108"/>
      <c r="AE254" s="108"/>
    </row>
    <row r="255" spans="2:31" ht="15" customHeight="1">
      <c r="B255" s="136" t="s">
        <v>344</v>
      </c>
      <c r="C255" s="136" t="s">
        <v>1174</v>
      </c>
      <c r="D255" s="137" t="s">
        <v>113</v>
      </c>
      <c r="E255" s="136" t="s">
        <v>1178</v>
      </c>
      <c r="F255" s="202"/>
      <c r="H255" s="136" t="s">
        <v>335</v>
      </c>
      <c r="I255" s="136" t="s">
        <v>1187</v>
      </c>
      <c r="J255" s="137" t="s">
        <v>111</v>
      </c>
      <c r="K255" s="136" t="s">
        <v>545</v>
      </c>
      <c r="L255" s="136" t="s">
        <v>1192</v>
      </c>
      <c r="M255" s="136"/>
      <c r="N255" s="162">
        <f t="shared" si="101"/>
        <v>0</v>
      </c>
      <c r="O255" s="138">
        <f t="shared" si="95"/>
        <v>0</v>
      </c>
      <c r="P255" s="138">
        <f t="shared" si="96"/>
        <v>0</v>
      </c>
      <c r="Q255" s="78">
        <f t="shared" si="97"/>
        <v>0</v>
      </c>
      <c r="R255" s="138">
        <f t="shared" si="98"/>
        <v>0</v>
      </c>
      <c r="S255" s="138">
        <f t="shared" si="99"/>
        <v>0</v>
      </c>
      <c r="T255" s="78">
        <f t="shared" si="100"/>
        <v>0</v>
      </c>
      <c r="V255" s="256"/>
      <c r="Y255" t="e">
        <f>_xlfn.IFNA(VLOOKUP(C255,#REF!,2,FALSE),"")</f>
        <v>#REF!</v>
      </c>
      <c r="Z255" t="e">
        <f t="shared" si="83"/>
        <v>#REF!</v>
      </c>
      <c r="AA255" t="e">
        <f>_xlfn.IFNA(VLOOKUP(C255,#REF!,2,FALSE),F255)</f>
        <v>#REF!</v>
      </c>
      <c r="AB255" t="str">
        <f t="shared" si="82"/>
        <v/>
      </c>
      <c r="AD255" s="108"/>
      <c r="AE255" s="108"/>
    </row>
    <row r="256" spans="2:31" ht="15" customHeight="1">
      <c r="B256" s="136" t="s">
        <v>344</v>
      </c>
      <c r="C256" s="136" t="s">
        <v>1175</v>
      </c>
      <c r="D256" s="137" t="s">
        <v>113</v>
      </c>
      <c r="E256" s="136" t="s">
        <v>1179</v>
      </c>
      <c r="F256" s="202"/>
      <c r="H256" s="136" t="s">
        <v>335</v>
      </c>
      <c r="I256" s="136" t="s">
        <v>1188</v>
      </c>
      <c r="J256" s="137" t="s">
        <v>111</v>
      </c>
      <c r="K256" s="136" t="s">
        <v>1195</v>
      </c>
      <c r="L256" s="136" t="s">
        <v>1191</v>
      </c>
      <c r="M256" s="136"/>
      <c r="N256" s="162">
        <f t="shared" si="101"/>
        <v>0</v>
      </c>
      <c r="O256" s="138">
        <f t="shared" si="95"/>
        <v>0</v>
      </c>
      <c r="P256" s="138">
        <f t="shared" si="96"/>
        <v>0</v>
      </c>
      <c r="Q256" s="78">
        <f t="shared" si="97"/>
        <v>0</v>
      </c>
      <c r="R256" s="138">
        <f t="shared" si="98"/>
        <v>0</v>
      </c>
      <c r="S256" s="138">
        <f t="shared" si="99"/>
        <v>0</v>
      </c>
      <c r="T256" s="78">
        <f t="shared" si="100"/>
        <v>0</v>
      </c>
      <c r="V256" s="256"/>
      <c r="Y256" t="e">
        <f>_xlfn.IFNA(VLOOKUP(C256,#REF!,2,FALSE),"")</f>
        <v>#REF!</v>
      </c>
      <c r="Z256" t="e">
        <f t="shared" si="83"/>
        <v>#REF!</v>
      </c>
      <c r="AA256" t="e">
        <f>_xlfn.IFNA(VLOOKUP(C256,#REF!,2,FALSE),F256)</f>
        <v>#REF!</v>
      </c>
      <c r="AB256" t="str">
        <f t="shared" si="82"/>
        <v/>
      </c>
      <c r="AD256" s="108"/>
      <c r="AE256" s="108"/>
    </row>
    <row r="257" spans="1:31" ht="15" customHeight="1">
      <c r="B257" s="136" t="s">
        <v>344</v>
      </c>
      <c r="C257" s="136" t="s">
        <v>1176</v>
      </c>
      <c r="D257" s="137" t="s">
        <v>113</v>
      </c>
      <c r="E257" s="136" t="s">
        <v>1180</v>
      </c>
      <c r="F257" s="202"/>
      <c r="H257" s="136" t="s">
        <v>335</v>
      </c>
      <c r="I257" s="136" t="s">
        <v>1189</v>
      </c>
      <c r="J257" s="137" t="s">
        <v>111</v>
      </c>
      <c r="K257" s="136" t="s">
        <v>543</v>
      </c>
      <c r="L257" s="136" t="s">
        <v>1190</v>
      </c>
      <c r="M257" s="136"/>
      <c r="N257" s="162">
        <f t="shared" si="101"/>
        <v>0</v>
      </c>
      <c r="O257" s="138">
        <f t="shared" si="95"/>
        <v>0</v>
      </c>
      <c r="P257" s="138">
        <f t="shared" si="96"/>
        <v>0</v>
      </c>
      <c r="Q257" s="78">
        <f t="shared" si="97"/>
        <v>0</v>
      </c>
      <c r="R257" s="138">
        <f t="shared" si="98"/>
        <v>0</v>
      </c>
      <c r="S257" s="138">
        <f t="shared" si="99"/>
        <v>0</v>
      </c>
      <c r="T257" s="78">
        <f t="shared" si="100"/>
        <v>0</v>
      </c>
      <c r="V257" s="256"/>
      <c r="Y257" t="e">
        <f>_xlfn.IFNA(VLOOKUP(C257,#REF!,2,FALSE),"")</f>
        <v>#REF!</v>
      </c>
      <c r="Z257" t="e">
        <f t="shared" si="83"/>
        <v>#REF!</v>
      </c>
      <c r="AA257" t="e">
        <f>_xlfn.IFNA(VLOOKUP(C257,#REF!,2,FALSE),F257)</f>
        <v>#REF!</v>
      </c>
      <c r="AB257" t="str">
        <f t="shared" si="82"/>
        <v/>
      </c>
      <c r="AD257" s="108"/>
      <c r="AE257" s="108"/>
    </row>
    <row r="258" spans="1:31" ht="15" customHeight="1">
      <c r="B258" s="136" t="s">
        <v>344</v>
      </c>
      <c r="C258" s="136" t="s">
        <v>1224</v>
      </c>
      <c r="D258" s="137" t="s">
        <v>113</v>
      </c>
      <c r="E258" s="136" t="s">
        <v>1880</v>
      </c>
      <c r="F258" s="202"/>
      <c r="H258" s="136" t="s">
        <v>335</v>
      </c>
      <c r="I258" s="136" t="str">
        <f>H258&amp;" "&amp;K258&amp;" "&amp;E258</f>
        <v>Toyo Reflex Blue R1205</v>
      </c>
      <c r="J258" s="137" t="s">
        <v>111</v>
      </c>
      <c r="K258" s="136" t="s">
        <v>100</v>
      </c>
      <c r="L258" s="136" t="str">
        <f>H258&amp;"Li -"&amp;" "&amp;K258</f>
        <v>ToyoLi - Reflex Blue</v>
      </c>
      <c r="M258" s="136"/>
      <c r="N258" s="162">
        <f t="shared" si="101"/>
        <v>0</v>
      </c>
      <c r="O258" s="138">
        <f t="shared" si="95"/>
        <v>0</v>
      </c>
      <c r="P258" s="138">
        <f t="shared" si="96"/>
        <v>0</v>
      </c>
      <c r="Q258" s="78">
        <f t="shared" si="97"/>
        <v>0</v>
      </c>
      <c r="R258" s="138">
        <f t="shared" si="98"/>
        <v>0</v>
      </c>
      <c r="S258" s="138">
        <f t="shared" si="99"/>
        <v>0</v>
      </c>
      <c r="T258" s="78">
        <f t="shared" si="100"/>
        <v>0</v>
      </c>
      <c r="V258" s="256"/>
      <c r="Y258" t="e">
        <f>_xlfn.IFNA(VLOOKUP(C258,#REF!,2,FALSE),"")</f>
        <v>#REF!</v>
      </c>
      <c r="Z258" t="e">
        <f t="shared" si="83"/>
        <v>#REF!</v>
      </c>
      <c r="AA258" t="e">
        <f>_xlfn.IFNA(VLOOKUP(C258,#REF!,2,FALSE),F258)</f>
        <v>#REF!</v>
      </c>
      <c r="AB258" t="str">
        <f t="shared" si="82"/>
        <v/>
      </c>
      <c r="AD258" s="108"/>
      <c r="AE258" s="108"/>
    </row>
    <row r="259" spans="1:31" ht="15" customHeight="1">
      <c r="B259" s="136" t="s">
        <v>344</v>
      </c>
      <c r="C259" s="136" t="s">
        <v>1225</v>
      </c>
      <c r="D259" s="137" t="s">
        <v>113</v>
      </c>
      <c r="E259" s="136" t="s">
        <v>1505</v>
      </c>
      <c r="F259" s="202"/>
      <c r="H259" s="136" t="s">
        <v>335</v>
      </c>
      <c r="I259" s="136" t="s">
        <v>1254</v>
      </c>
      <c r="J259" s="137" t="s">
        <v>111</v>
      </c>
      <c r="K259" s="136" t="s">
        <v>58</v>
      </c>
      <c r="L259" s="136" t="s">
        <v>1325</v>
      </c>
      <c r="M259" s="136"/>
      <c r="N259" s="162">
        <f t="shared" si="101"/>
        <v>0</v>
      </c>
      <c r="O259" s="138">
        <f t="shared" si="95"/>
        <v>0</v>
      </c>
      <c r="P259" s="138">
        <f t="shared" si="96"/>
        <v>0</v>
      </c>
      <c r="Q259" s="78">
        <f t="shared" si="97"/>
        <v>0</v>
      </c>
      <c r="R259" s="138">
        <f t="shared" si="98"/>
        <v>0</v>
      </c>
      <c r="S259" s="138">
        <f t="shared" si="99"/>
        <v>0</v>
      </c>
      <c r="T259" s="78">
        <f t="shared" si="100"/>
        <v>0</v>
      </c>
      <c r="V259" s="256"/>
      <c r="Y259" t="e">
        <f>_xlfn.IFNA(VLOOKUP(C259,#REF!,2,FALSE),"")</f>
        <v>#REF!</v>
      </c>
      <c r="Z259" t="e">
        <f t="shared" si="83"/>
        <v>#REF!</v>
      </c>
      <c r="AA259" t="e">
        <f>_xlfn.IFNA(VLOOKUP(C259,#REF!,2,FALSE),F259)</f>
        <v>#REF!</v>
      </c>
      <c r="AB259" t="str">
        <f t="shared" si="82"/>
        <v/>
      </c>
      <c r="AD259" s="108"/>
      <c r="AE259" s="108"/>
    </row>
    <row r="260" spans="1:31" ht="15" customHeight="1">
      <c r="B260" s="136" t="s">
        <v>344</v>
      </c>
      <c r="C260" s="136" t="s">
        <v>1226</v>
      </c>
      <c r="D260" s="137" t="s">
        <v>113</v>
      </c>
      <c r="E260" s="136" t="s">
        <v>1246</v>
      </c>
      <c r="F260" s="202"/>
      <c r="H260" s="136" t="s">
        <v>335</v>
      </c>
      <c r="I260" s="136" t="s">
        <v>1255</v>
      </c>
      <c r="J260" s="137" t="s">
        <v>111</v>
      </c>
      <c r="K260" s="136" t="s">
        <v>62</v>
      </c>
      <c r="L260" s="136" t="s">
        <v>1326</v>
      </c>
      <c r="M260" s="136"/>
      <c r="N260" s="162">
        <f t="shared" si="101"/>
        <v>0</v>
      </c>
      <c r="O260" s="138">
        <f t="shared" si="95"/>
        <v>0</v>
      </c>
      <c r="P260" s="138">
        <f t="shared" si="96"/>
        <v>0</v>
      </c>
      <c r="Q260" s="78">
        <f t="shared" si="97"/>
        <v>0</v>
      </c>
      <c r="R260" s="138">
        <f t="shared" si="98"/>
        <v>0</v>
      </c>
      <c r="S260" s="138">
        <f t="shared" si="99"/>
        <v>0</v>
      </c>
      <c r="T260" s="78">
        <f t="shared" si="100"/>
        <v>0</v>
      </c>
      <c r="V260" s="256"/>
      <c r="Y260" t="e">
        <f>_xlfn.IFNA(VLOOKUP(C260,#REF!,2,FALSE),"")</f>
        <v>#REF!</v>
      </c>
      <c r="Z260" t="e">
        <f t="shared" si="83"/>
        <v>#REF!</v>
      </c>
      <c r="AA260" t="e">
        <f>_xlfn.IFNA(VLOOKUP(C260,#REF!,2,FALSE),F260)</f>
        <v>#REF!</v>
      </c>
      <c r="AB260" t="str">
        <f t="shared" si="82"/>
        <v/>
      </c>
      <c r="AD260" s="108"/>
      <c r="AE260" s="108"/>
    </row>
    <row r="261" spans="1:31" ht="15" customHeight="1">
      <c r="B261" s="136" t="s">
        <v>344</v>
      </c>
      <c r="C261" s="136" t="s">
        <v>1227</v>
      </c>
      <c r="D261" s="137" t="s">
        <v>113</v>
      </c>
      <c r="E261" s="136" t="s">
        <v>1247</v>
      </c>
      <c r="F261" s="202"/>
      <c r="H261" s="136" t="s">
        <v>335</v>
      </c>
      <c r="I261" s="136" t="s">
        <v>1256</v>
      </c>
      <c r="J261" s="137" t="s">
        <v>111</v>
      </c>
      <c r="K261" s="136" t="s">
        <v>545</v>
      </c>
      <c r="L261" s="136" t="s">
        <v>1327</v>
      </c>
      <c r="M261" s="136"/>
      <c r="N261" s="162">
        <f t="shared" si="101"/>
        <v>0</v>
      </c>
      <c r="O261" s="138">
        <f t="shared" si="95"/>
        <v>0</v>
      </c>
      <c r="P261" s="138">
        <f t="shared" si="96"/>
        <v>0</v>
      </c>
      <c r="Q261" s="78">
        <f t="shared" si="97"/>
        <v>0</v>
      </c>
      <c r="R261" s="138">
        <f t="shared" si="98"/>
        <v>0</v>
      </c>
      <c r="S261" s="138">
        <f t="shared" si="99"/>
        <v>0</v>
      </c>
      <c r="T261" s="78">
        <f t="shared" si="100"/>
        <v>0</v>
      </c>
      <c r="V261" s="256"/>
      <c r="Y261" t="e">
        <f>_xlfn.IFNA(VLOOKUP(C261,#REF!,2,FALSE),"")</f>
        <v>#REF!</v>
      </c>
      <c r="Z261" t="e">
        <f t="shared" si="83"/>
        <v>#REF!</v>
      </c>
      <c r="AA261" t="e">
        <f>_xlfn.IFNA(VLOOKUP(C261,#REF!,2,FALSE),F261)</f>
        <v>#REF!</v>
      </c>
      <c r="AB261" t="str">
        <f t="shared" si="82"/>
        <v/>
      </c>
      <c r="AD261" s="108"/>
      <c r="AE261" s="108"/>
    </row>
    <row r="262" spans="1:31" ht="15" customHeight="1">
      <c r="B262" s="136" t="s">
        <v>344</v>
      </c>
      <c r="C262" s="136" t="s">
        <v>1228</v>
      </c>
      <c r="D262" s="137" t="s">
        <v>113</v>
      </c>
      <c r="E262" s="136" t="s">
        <v>1248</v>
      </c>
      <c r="F262" s="202"/>
      <c r="H262" s="136" t="s">
        <v>335</v>
      </c>
      <c r="I262" s="136" t="s">
        <v>1257</v>
      </c>
      <c r="J262" s="137" t="s">
        <v>111</v>
      </c>
      <c r="K262" s="136" t="s">
        <v>73</v>
      </c>
      <c r="L262" s="136" t="s">
        <v>1328</v>
      </c>
      <c r="M262" s="136"/>
      <c r="N262" s="162">
        <f t="shared" si="101"/>
        <v>0</v>
      </c>
      <c r="O262" s="138">
        <f t="shared" si="95"/>
        <v>0</v>
      </c>
      <c r="P262" s="138">
        <f t="shared" si="96"/>
        <v>0</v>
      </c>
      <c r="Q262" s="78">
        <f t="shared" si="97"/>
        <v>0</v>
      </c>
      <c r="R262" s="138">
        <f t="shared" si="98"/>
        <v>0</v>
      </c>
      <c r="S262" s="138">
        <f t="shared" si="99"/>
        <v>0</v>
      </c>
      <c r="T262" s="78">
        <f t="shared" si="100"/>
        <v>0</v>
      </c>
      <c r="V262" s="256"/>
      <c r="Y262" t="e">
        <f>_xlfn.IFNA(VLOOKUP(C262,#REF!,2,FALSE),"")</f>
        <v>#REF!</v>
      </c>
      <c r="Z262" t="e">
        <f t="shared" si="83"/>
        <v>#REF!</v>
      </c>
      <c r="AA262" t="e">
        <f>_xlfn.IFNA(VLOOKUP(C262,#REF!,2,FALSE),F262)</f>
        <v>#REF!</v>
      </c>
      <c r="AB262" t="str">
        <f t="shared" si="82"/>
        <v/>
      </c>
      <c r="AD262" s="108"/>
      <c r="AE262" s="108"/>
    </row>
    <row r="263" spans="1:31" ht="15" customHeight="1">
      <c r="B263" s="136" t="s">
        <v>344</v>
      </c>
      <c r="C263" s="136" t="s">
        <v>1229</v>
      </c>
      <c r="D263" s="137" t="s">
        <v>113</v>
      </c>
      <c r="E263" s="136" t="s">
        <v>1249</v>
      </c>
      <c r="F263" s="202"/>
      <c r="H263" s="136" t="s">
        <v>335</v>
      </c>
      <c r="I263" s="136" t="s">
        <v>1258</v>
      </c>
      <c r="J263" s="137" t="s">
        <v>111</v>
      </c>
      <c r="K263" s="136" t="s">
        <v>64</v>
      </c>
      <c r="L263" s="136" t="s">
        <v>1329</v>
      </c>
      <c r="M263" s="136"/>
      <c r="N263" s="162">
        <f t="shared" si="101"/>
        <v>0</v>
      </c>
      <c r="O263" s="138">
        <f t="shared" si="95"/>
        <v>0</v>
      </c>
      <c r="P263" s="138">
        <f t="shared" si="96"/>
        <v>0</v>
      </c>
      <c r="Q263" s="78">
        <f t="shared" si="97"/>
        <v>0</v>
      </c>
      <c r="R263" s="138">
        <f t="shared" si="98"/>
        <v>0</v>
      </c>
      <c r="S263" s="138">
        <f t="shared" si="99"/>
        <v>0</v>
      </c>
      <c r="T263" s="78">
        <f t="shared" si="100"/>
        <v>0</v>
      </c>
      <c r="V263" s="256"/>
      <c r="Y263" t="e">
        <f>_xlfn.IFNA(VLOOKUP(C263,#REF!,2,FALSE),"")</f>
        <v>#REF!</v>
      </c>
      <c r="Z263" t="e">
        <f t="shared" si="83"/>
        <v>#REF!</v>
      </c>
      <c r="AA263" t="e">
        <f>_xlfn.IFNA(VLOOKUP(C263,#REF!,2,FALSE),F263)</f>
        <v>#REF!</v>
      </c>
      <c r="AB263" t="str">
        <f t="shared" si="82"/>
        <v/>
      </c>
      <c r="AD263" s="108"/>
      <c r="AE263" s="108"/>
    </row>
    <row r="264" spans="1:31" ht="15" customHeight="1">
      <c r="B264" s="136" t="s">
        <v>344</v>
      </c>
      <c r="C264" s="136" t="s">
        <v>1230</v>
      </c>
      <c r="D264" s="137" t="s">
        <v>113</v>
      </c>
      <c r="E264" s="136" t="s">
        <v>1250</v>
      </c>
      <c r="F264" s="202"/>
      <c r="H264" s="136" t="s">
        <v>335</v>
      </c>
      <c r="I264" s="136" t="s">
        <v>1259</v>
      </c>
      <c r="J264" s="137" t="s">
        <v>111</v>
      </c>
      <c r="K264" s="136" t="s">
        <v>60</v>
      </c>
      <c r="L264" s="136" t="s">
        <v>1330</v>
      </c>
      <c r="M264" s="136"/>
      <c r="N264" s="162">
        <f t="shared" si="101"/>
        <v>0</v>
      </c>
      <c r="O264" s="138">
        <f t="shared" si="95"/>
        <v>0</v>
      </c>
      <c r="P264" s="138">
        <f t="shared" si="96"/>
        <v>0</v>
      </c>
      <c r="Q264" s="78">
        <f t="shared" si="97"/>
        <v>0</v>
      </c>
      <c r="R264" s="138">
        <f t="shared" si="98"/>
        <v>0</v>
      </c>
      <c r="S264" s="138">
        <f t="shared" si="99"/>
        <v>0</v>
      </c>
      <c r="T264" s="78">
        <f t="shared" si="100"/>
        <v>0</v>
      </c>
      <c r="V264" s="256"/>
      <c r="Y264" t="e">
        <f>_xlfn.IFNA(VLOOKUP(C264,#REF!,2,FALSE),"")</f>
        <v>#REF!</v>
      </c>
      <c r="Z264" t="e">
        <f t="shared" si="83"/>
        <v>#REF!</v>
      </c>
      <c r="AA264" t="e">
        <f>_xlfn.IFNA(VLOOKUP(C264,#REF!,2,FALSE),F264)</f>
        <v>#REF!</v>
      </c>
      <c r="AB264" t="str">
        <f t="shared" si="82"/>
        <v/>
      </c>
      <c r="AD264" s="108"/>
      <c r="AE264" s="108"/>
    </row>
    <row r="265" spans="1:31" ht="15" customHeight="1">
      <c r="B265" s="136" t="s">
        <v>344</v>
      </c>
      <c r="C265" s="136" t="s">
        <v>1231</v>
      </c>
      <c r="D265" s="137" t="s">
        <v>113</v>
      </c>
      <c r="E265" s="136" t="s">
        <v>1251</v>
      </c>
      <c r="F265" s="202"/>
      <c r="H265" s="136" t="s">
        <v>335</v>
      </c>
      <c r="I265" s="136" t="s">
        <v>1260</v>
      </c>
      <c r="J265" s="137" t="s">
        <v>111</v>
      </c>
      <c r="K265" s="136" t="s">
        <v>59</v>
      </c>
      <c r="L265" s="136" t="s">
        <v>1331</v>
      </c>
      <c r="M265" s="136"/>
      <c r="N265" s="162">
        <f t="shared" si="101"/>
        <v>0</v>
      </c>
      <c r="O265" s="138">
        <f t="shared" si="95"/>
        <v>0</v>
      </c>
      <c r="P265" s="138">
        <f t="shared" si="96"/>
        <v>0</v>
      </c>
      <c r="Q265" s="78">
        <f t="shared" si="97"/>
        <v>0</v>
      </c>
      <c r="R265" s="138">
        <f t="shared" si="98"/>
        <v>0</v>
      </c>
      <c r="S265" s="138">
        <f t="shared" si="99"/>
        <v>0</v>
      </c>
      <c r="T265" s="78">
        <f t="shared" si="100"/>
        <v>0</v>
      </c>
      <c r="V265" s="256"/>
      <c r="Y265" t="e">
        <f>_xlfn.IFNA(VLOOKUP(C265,#REF!,2,FALSE),"")</f>
        <v>#REF!</v>
      </c>
      <c r="Z265" t="e">
        <f t="shared" si="83"/>
        <v>#REF!</v>
      </c>
      <c r="AA265" t="e">
        <f>_xlfn.IFNA(VLOOKUP(C265,#REF!,2,FALSE),F265)</f>
        <v>#REF!</v>
      </c>
      <c r="AB265" t="str">
        <f t="shared" si="82"/>
        <v/>
      </c>
      <c r="AD265" s="108"/>
      <c r="AE265" s="108"/>
    </row>
    <row r="266" spans="1:31" ht="15" customHeight="1">
      <c r="B266" s="136" t="s">
        <v>344</v>
      </c>
      <c r="C266" s="136" t="s">
        <v>1232</v>
      </c>
      <c r="D266" s="137" t="s">
        <v>113</v>
      </c>
      <c r="E266" s="136" t="s">
        <v>1252</v>
      </c>
      <c r="F266" s="202"/>
      <c r="H266" s="136" t="s">
        <v>335</v>
      </c>
      <c r="I266" s="136" t="s">
        <v>1261</v>
      </c>
      <c r="J266" s="137" t="s">
        <v>111</v>
      </c>
      <c r="K266" s="136" t="s">
        <v>56</v>
      </c>
      <c r="L266" s="136" t="s">
        <v>1332</v>
      </c>
      <c r="M266" s="136"/>
      <c r="N266" s="162">
        <f t="shared" si="101"/>
        <v>0</v>
      </c>
      <c r="O266" s="138">
        <f t="shared" si="95"/>
        <v>0</v>
      </c>
      <c r="P266" s="138">
        <f t="shared" si="96"/>
        <v>0</v>
      </c>
      <c r="Q266" s="78">
        <f t="shared" si="97"/>
        <v>0</v>
      </c>
      <c r="R266" s="138">
        <f t="shared" si="98"/>
        <v>0</v>
      </c>
      <c r="S266" s="138">
        <f t="shared" si="99"/>
        <v>0</v>
      </c>
      <c r="T266" s="78">
        <f t="shared" si="100"/>
        <v>0</v>
      </c>
      <c r="V266" s="256"/>
      <c r="Y266" t="e">
        <f>_xlfn.IFNA(VLOOKUP(C266,#REF!,2,FALSE),"")</f>
        <v>#REF!</v>
      </c>
      <c r="Z266" t="e">
        <f t="shared" si="83"/>
        <v>#REF!</v>
      </c>
      <c r="AA266" t="e">
        <f>_xlfn.IFNA(VLOOKUP(C266,#REF!,2,FALSE),F266)</f>
        <v>#REF!</v>
      </c>
      <c r="AB266" t="str">
        <f t="shared" si="82"/>
        <v/>
      </c>
      <c r="AD266" s="108"/>
      <c r="AE266" s="108"/>
    </row>
    <row r="267" spans="1:31" ht="15" customHeight="1">
      <c r="B267" s="136" t="s">
        <v>344</v>
      </c>
      <c r="C267" s="136" t="s">
        <v>1233</v>
      </c>
      <c r="D267" s="137" t="s">
        <v>113</v>
      </c>
      <c r="E267" s="136" t="s">
        <v>1253</v>
      </c>
      <c r="F267" s="202"/>
      <c r="H267" s="136" t="s">
        <v>335</v>
      </c>
      <c r="I267" s="136" t="s">
        <v>1262</v>
      </c>
      <c r="J267" s="137" t="s">
        <v>111</v>
      </c>
      <c r="K267" s="136" t="s">
        <v>106</v>
      </c>
      <c r="L267" s="136" t="s">
        <v>1333</v>
      </c>
      <c r="M267" s="136"/>
      <c r="N267" s="162">
        <f t="shared" si="101"/>
        <v>0</v>
      </c>
      <c r="O267" s="138">
        <f t="shared" si="95"/>
        <v>0</v>
      </c>
      <c r="P267" s="138">
        <f t="shared" si="96"/>
        <v>0</v>
      </c>
      <c r="Q267" s="78">
        <f t="shared" si="97"/>
        <v>0</v>
      </c>
      <c r="R267" s="138">
        <f t="shared" si="98"/>
        <v>0</v>
      </c>
      <c r="S267" s="138">
        <f t="shared" si="99"/>
        <v>0</v>
      </c>
      <c r="T267" s="78">
        <f t="shared" si="100"/>
        <v>0</v>
      </c>
      <c r="V267" s="256"/>
      <c r="Y267" t="e">
        <f>_xlfn.IFNA(VLOOKUP(C267,#REF!,2,FALSE),"")</f>
        <v>#REF!</v>
      </c>
      <c r="Z267" t="e">
        <f t="shared" si="83"/>
        <v>#REF!</v>
      </c>
      <c r="AA267" t="e">
        <f>_xlfn.IFNA(VLOOKUP(C267,#REF!,2,FALSE),F267)</f>
        <v>#REF!</v>
      </c>
      <c r="AB267" t="str">
        <f t="shared" si="82"/>
        <v/>
      </c>
      <c r="AD267" s="108"/>
      <c r="AE267" s="108"/>
    </row>
    <row r="268" spans="1:31" ht="15" customHeight="1">
      <c r="B268" s="136" t="s">
        <v>344</v>
      </c>
      <c r="C268" s="136" t="s">
        <v>1234</v>
      </c>
      <c r="D268" s="137" t="s">
        <v>113</v>
      </c>
      <c r="E268" s="136" t="s">
        <v>1585</v>
      </c>
      <c r="F268" s="202"/>
      <c r="H268" s="136" t="s">
        <v>335</v>
      </c>
      <c r="I268" s="136" t="s">
        <v>1263</v>
      </c>
      <c r="J268" s="137" t="s">
        <v>111</v>
      </c>
      <c r="K268" s="136" t="s">
        <v>114</v>
      </c>
      <c r="L268" s="136" t="s">
        <v>1334</v>
      </c>
      <c r="M268" s="136"/>
      <c r="N268" s="162">
        <f t="shared" si="101"/>
        <v>0</v>
      </c>
      <c r="O268" s="138">
        <f t="shared" si="95"/>
        <v>0</v>
      </c>
      <c r="P268" s="138">
        <f t="shared" si="96"/>
        <v>0</v>
      </c>
      <c r="Q268" s="78">
        <f t="shared" si="97"/>
        <v>0</v>
      </c>
      <c r="R268" s="138">
        <f t="shared" si="98"/>
        <v>0</v>
      </c>
      <c r="S268" s="138">
        <f t="shared" si="99"/>
        <v>0</v>
      </c>
      <c r="T268" s="78">
        <f t="shared" si="100"/>
        <v>0</v>
      </c>
      <c r="V268" s="256"/>
      <c r="Y268" t="e">
        <f>_xlfn.IFNA(VLOOKUP(C268,#REF!,2,FALSE),"")</f>
        <v>#REF!</v>
      </c>
      <c r="Z268" t="e">
        <f t="shared" si="83"/>
        <v>#REF!</v>
      </c>
      <c r="AA268" t="e">
        <f>_xlfn.IFNA(VLOOKUP(C268,#REF!,2,FALSE),F268)</f>
        <v>#REF!</v>
      </c>
      <c r="AB268" t="str">
        <f t="shared" si="82"/>
        <v/>
      </c>
      <c r="AD268" s="108"/>
      <c r="AE268" s="108"/>
    </row>
    <row r="269" spans="1:31" ht="15" customHeight="1">
      <c r="A269" s="347"/>
      <c r="B269" s="136" t="s">
        <v>344</v>
      </c>
      <c r="C269" s="136" t="s">
        <v>1352</v>
      </c>
      <c r="D269" s="137" t="s">
        <v>113</v>
      </c>
      <c r="E269" s="136" t="s">
        <v>1892</v>
      </c>
      <c r="F269" s="202"/>
      <c r="H269" s="136" t="s">
        <v>335</v>
      </c>
      <c r="I269" s="136" t="s">
        <v>1879</v>
      </c>
      <c r="J269" s="137" t="s">
        <v>111</v>
      </c>
      <c r="K269" s="136" t="s">
        <v>65</v>
      </c>
      <c r="L269" s="136" t="s">
        <v>1444</v>
      </c>
      <c r="M269" s="136"/>
      <c r="N269" s="162">
        <f t="shared" si="101"/>
        <v>0</v>
      </c>
      <c r="O269" s="138">
        <f t="shared" si="95"/>
        <v>0</v>
      </c>
      <c r="P269" s="138">
        <f t="shared" si="96"/>
        <v>0</v>
      </c>
      <c r="Q269" s="78">
        <f t="shared" si="97"/>
        <v>0</v>
      </c>
      <c r="R269" s="138">
        <f t="shared" si="98"/>
        <v>0</v>
      </c>
      <c r="S269" s="138">
        <f t="shared" si="99"/>
        <v>0</v>
      </c>
      <c r="T269" s="78">
        <f t="shared" si="100"/>
        <v>0</v>
      </c>
      <c r="V269" s="256"/>
      <c r="AA269" t="e">
        <f>_xlfn.IFNA(VLOOKUP(C269,#REF!,2,FALSE),F269)</f>
        <v>#REF!</v>
      </c>
      <c r="AB269" t="b">
        <f t="shared" ref="AB269:AB273" si="102">IF(ISERROR(Y269),"",Y269=Z269)</f>
        <v>1</v>
      </c>
      <c r="AD269" s="108"/>
      <c r="AE269" s="108"/>
    </row>
    <row r="270" spans="1:31" ht="15" customHeight="1">
      <c r="A270" s="347"/>
      <c r="B270" s="136" t="s">
        <v>344</v>
      </c>
      <c r="C270" s="136" t="s">
        <v>1353</v>
      </c>
      <c r="D270" s="137" t="s">
        <v>113</v>
      </c>
      <c r="E270" s="136" t="s">
        <v>1891</v>
      </c>
      <c r="F270" s="202"/>
      <c r="H270" s="136" t="s">
        <v>335</v>
      </c>
      <c r="I270" s="136" t="s">
        <v>1456</v>
      </c>
      <c r="J270" s="137" t="s">
        <v>111</v>
      </c>
      <c r="K270" s="136" t="s">
        <v>78</v>
      </c>
      <c r="L270" s="136" t="s">
        <v>1445</v>
      </c>
      <c r="M270" s="136"/>
      <c r="N270" s="162">
        <f t="shared" si="101"/>
        <v>0</v>
      </c>
      <c r="O270" s="138">
        <f t="shared" si="95"/>
        <v>0</v>
      </c>
      <c r="P270" s="138">
        <f t="shared" si="96"/>
        <v>0</v>
      </c>
      <c r="Q270" s="78">
        <f t="shared" si="97"/>
        <v>0</v>
      </c>
      <c r="R270" s="138">
        <f t="shared" si="98"/>
        <v>0</v>
      </c>
      <c r="S270" s="138">
        <f t="shared" si="99"/>
        <v>0</v>
      </c>
      <c r="T270" s="78">
        <f t="shared" si="100"/>
        <v>0</v>
      </c>
      <c r="V270" s="256"/>
      <c r="AA270" t="e">
        <f>_xlfn.IFNA(VLOOKUP(C270,#REF!,2,FALSE),F270)</f>
        <v>#REF!</v>
      </c>
      <c r="AB270" t="b">
        <f t="shared" si="102"/>
        <v>1</v>
      </c>
      <c r="AD270" s="108"/>
      <c r="AE270" s="108"/>
    </row>
    <row r="271" spans="1:31" ht="15" customHeight="1">
      <c r="A271" s="347"/>
      <c r="B271" s="136" t="s">
        <v>344</v>
      </c>
      <c r="C271" s="136" t="s">
        <v>1453</v>
      </c>
      <c r="D271" s="137" t="s">
        <v>113</v>
      </c>
      <c r="E271" s="136" t="s">
        <v>1888</v>
      </c>
      <c r="F271" s="202"/>
      <c r="H271" s="136" t="s">
        <v>335</v>
      </c>
      <c r="I271" s="136"/>
      <c r="J271" s="137"/>
      <c r="K271" s="136"/>
      <c r="L271" s="136"/>
      <c r="M271" s="136"/>
      <c r="N271" s="162">
        <v>32.5</v>
      </c>
      <c r="O271" s="138">
        <f t="shared" si="95"/>
        <v>13</v>
      </c>
      <c r="P271" s="138">
        <f t="shared" si="96"/>
        <v>13</v>
      </c>
      <c r="Q271" s="78">
        <f t="shared" si="97"/>
        <v>16.25</v>
      </c>
      <c r="R271" s="138">
        <f t="shared" si="98"/>
        <v>13</v>
      </c>
      <c r="S271" s="138">
        <f t="shared" si="99"/>
        <v>13</v>
      </c>
      <c r="T271" s="78">
        <f t="shared" si="100"/>
        <v>14.3</v>
      </c>
      <c r="V271" s="256"/>
      <c r="AA271" t="e">
        <f>_xlfn.IFNA(VLOOKUP(C271,#REF!,2,FALSE),F271)</f>
        <v>#REF!</v>
      </c>
      <c r="AB271" t="b">
        <f t="shared" si="102"/>
        <v>1</v>
      </c>
      <c r="AD271" s="108"/>
      <c r="AE271" s="108"/>
    </row>
    <row r="272" spans="1:31" ht="15" customHeight="1">
      <c r="A272" s="347"/>
      <c r="B272" s="136" t="s">
        <v>344</v>
      </c>
      <c r="C272" s="136" t="s">
        <v>1454</v>
      </c>
      <c r="D272" s="137" t="s">
        <v>113</v>
      </c>
      <c r="E272" s="136"/>
      <c r="F272" s="202"/>
      <c r="H272" s="136" t="s">
        <v>335</v>
      </c>
      <c r="I272" s="136"/>
      <c r="J272" s="137"/>
      <c r="K272" s="136"/>
      <c r="L272" s="136"/>
      <c r="M272" s="136"/>
      <c r="N272" s="162">
        <v>16</v>
      </c>
      <c r="O272" s="138">
        <f t="shared" si="95"/>
        <v>6.4</v>
      </c>
      <c r="P272" s="138">
        <f t="shared" si="96"/>
        <v>6.4</v>
      </c>
      <c r="Q272" s="78">
        <f t="shared" si="97"/>
        <v>8</v>
      </c>
      <c r="R272" s="138">
        <f t="shared" si="98"/>
        <v>6.4</v>
      </c>
      <c r="S272" s="138">
        <f t="shared" si="99"/>
        <v>6.4</v>
      </c>
      <c r="T272" s="78">
        <f t="shared" si="100"/>
        <v>7.04</v>
      </c>
      <c r="V272" s="256"/>
      <c r="AA272" t="e">
        <f>_xlfn.IFNA(VLOOKUP(C272,#REF!,2,FALSE),F272)</f>
        <v>#REF!</v>
      </c>
      <c r="AB272" t="b">
        <f t="shared" si="102"/>
        <v>1</v>
      </c>
      <c r="AD272" s="108"/>
      <c r="AE272" s="108"/>
    </row>
    <row r="273" spans="1:31" ht="15" customHeight="1">
      <c r="A273" s="347"/>
      <c r="B273" s="136" t="s">
        <v>344</v>
      </c>
      <c r="C273" s="136" t="s">
        <v>1455</v>
      </c>
      <c r="D273" s="137" t="s">
        <v>113</v>
      </c>
      <c r="E273" s="136">
        <v>262</v>
      </c>
      <c r="F273" s="202"/>
      <c r="H273" s="136" t="s">
        <v>335</v>
      </c>
      <c r="I273" s="136"/>
      <c r="J273" s="137"/>
      <c r="K273" s="136"/>
      <c r="L273" s="136"/>
      <c r="M273" s="136"/>
      <c r="N273" s="162">
        <v>24.27</v>
      </c>
      <c r="O273" s="138">
        <f t="shared" si="95"/>
        <v>9.7080000000000002</v>
      </c>
      <c r="P273" s="138">
        <f t="shared" si="96"/>
        <v>9.7080000000000002</v>
      </c>
      <c r="Q273" s="78">
        <f t="shared" si="97"/>
        <v>12.135</v>
      </c>
      <c r="R273" s="138">
        <f t="shared" si="98"/>
        <v>9.7080000000000002</v>
      </c>
      <c r="S273" s="138">
        <f t="shared" si="99"/>
        <v>9.7080000000000002</v>
      </c>
      <c r="T273" s="78">
        <f t="shared" si="100"/>
        <v>10.678800000000001</v>
      </c>
      <c r="V273" s="256"/>
      <c r="AA273" t="e">
        <f>_xlfn.IFNA(VLOOKUP(C273,#REF!,2,FALSE),F273)</f>
        <v>#REF!</v>
      </c>
      <c r="AB273" t="b">
        <f t="shared" si="102"/>
        <v>1</v>
      </c>
      <c r="AD273" s="108"/>
      <c r="AE273" s="108"/>
    </row>
    <row r="274" spans="1:31" ht="15" customHeight="1">
      <c r="A274" t="s">
        <v>1294</v>
      </c>
      <c r="B274" s="136" t="s">
        <v>344</v>
      </c>
      <c r="C274" s="136" t="s">
        <v>1293</v>
      </c>
      <c r="D274" s="137" t="s">
        <v>113</v>
      </c>
      <c r="E274" s="136">
        <v>277</v>
      </c>
      <c r="F274" s="202"/>
      <c r="H274" s="136" t="s">
        <v>335</v>
      </c>
      <c r="I274" s="136"/>
      <c r="J274" s="137" t="s">
        <v>111</v>
      </c>
      <c r="K274" s="136"/>
      <c r="L274" s="136"/>
      <c r="M274" s="136"/>
      <c r="N274" s="162">
        <f t="shared" si="101"/>
        <v>0</v>
      </c>
      <c r="O274" s="138">
        <f t="shared" si="95"/>
        <v>0</v>
      </c>
      <c r="P274" s="138">
        <f t="shared" si="96"/>
        <v>0</v>
      </c>
      <c r="Q274" s="78">
        <f t="shared" si="97"/>
        <v>0</v>
      </c>
      <c r="R274" s="138">
        <f t="shared" si="98"/>
        <v>0</v>
      </c>
      <c r="S274" s="138">
        <f t="shared" si="99"/>
        <v>0</v>
      </c>
      <c r="T274" s="78">
        <f t="shared" si="100"/>
        <v>0</v>
      </c>
      <c r="V274" s="256"/>
      <c r="Y274" t="e">
        <f>_xlfn.IFNA(VLOOKUP(C274,#REF!,2,FALSE),"")</f>
        <v>#REF!</v>
      </c>
      <c r="Z274" t="e">
        <f t="shared" si="83"/>
        <v>#REF!</v>
      </c>
      <c r="AA274" t="e">
        <f>_xlfn.IFNA(VLOOKUP(C274,#REF!,2,FALSE),F274)</f>
        <v>#REF!</v>
      </c>
      <c r="AB274" t="str">
        <f t="shared" si="82"/>
        <v/>
      </c>
      <c r="AD274" s="108"/>
      <c r="AE274" s="108"/>
    </row>
    <row r="275" spans="1:31" ht="15" customHeight="1">
      <c r="B275" s="136" t="s">
        <v>344</v>
      </c>
      <c r="C275" s="136" t="s">
        <v>1306</v>
      </c>
      <c r="D275" s="137" t="s">
        <v>113</v>
      </c>
      <c r="E275" s="136" t="s">
        <v>1312</v>
      </c>
      <c r="F275" s="202"/>
      <c r="H275" s="136" t="s">
        <v>335</v>
      </c>
      <c r="I275" s="136" t="s">
        <v>1313</v>
      </c>
      <c r="J275" s="137" t="s">
        <v>111</v>
      </c>
      <c r="K275" s="136" t="s">
        <v>1194</v>
      </c>
      <c r="L275" s="136" t="s">
        <v>1314</v>
      </c>
      <c r="M275" s="136"/>
      <c r="N275" s="162">
        <f t="shared" ref="N275" si="103">F275</f>
        <v>0</v>
      </c>
      <c r="O275" s="138">
        <f t="shared" si="95"/>
        <v>0</v>
      </c>
      <c r="P275" s="138">
        <f t="shared" si="96"/>
        <v>0</v>
      </c>
      <c r="Q275" s="78">
        <f t="shared" si="97"/>
        <v>0</v>
      </c>
      <c r="R275" s="138">
        <f t="shared" si="98"/>
        <v>0</v>
      </c>
      <c r="S275" s="138">
        <f t="shared" si="99"/>
        <v>0</v>
      </c>
      <c r="T275" s="78">
        <f t="shared" si="100"/>
        <v>0</v>
      </c>
      <c r="V275" s="256"/>
      <c r="Y275" t="e">
        <f>_xlfn.IFNA(VLOOKUP(C275,#REF!,2,FALSE),"")</f>
        <v>#REF!</v>
      </c>
      <c r="Z275" t="e">
        <f t="shared" si="83"/>
        <v>#REF!</v>
      </c>
      <c r="AA275" t="e">
        <f>_xlfn.IFNA(VLOOKUP(C275,#REF!,2,FALSE),F275)</f>
        <v>#REF!</v>
      </c>
      <c r="AB275" t="str">
        <f t="shared" si="82"/>
        <v/>
      </c>
      <c r="AD275" s="108"/>
      <c r="AE275" s="108"/>
    </row>
    <row r="276" spans="1:31" ht="15" customHeight="1">
      <c r="B276" s="136" t="s">
        <v>344</v>
      </c>
      <c r="C276" s="136" t="s">
        <v>1309</v>
      </c>
      <c r="D276" s="137" t="s">
        <v>113</v>
      </c>
      <c r="E276" s="136">
        <v>20</v>
      </c>
      <c r="F276" s="202"/>
      <c r="H276" s="136" t="s">
        <v>335</v>
      </c>
      <c r="I276" s="136" t="s">
        <v>1310</v>
      </c>
      <c r="J276" s="137" t="s">
        <v>111</v>
      </c>
      <c r="K276" s="136" t="s">
        <v>545</v>
      </c>
      <c r="L276" s="137" t="s">
        <v>341</v>
      </c>
      <c r="M276" s="136"/>
      <c r="N276" s="162">
        <f t="shared" ref="N276:N277" si="104">F276</f>
        <v>0</v>
      </c>
      <c r="O276" s="138">
        <f t="shared" si="95"/>
        <v>0</v>
      </c>
      <c r="P276" s="138">
        <f t="shared" si="96"/>
        <v>0</v>
      </c>
      <c r="Q276" s="78">
        <f t="shared" si="97"/>
        <v>0</v>
      </c>
      <c r="R276" s="138">
        <f t="shared" si="98"/>
        <v>0</v>
      </c>
      <c r="S276" s="138">
        <f t="shared" si="99"/>
        <v>0</v>
      </c>
      <c r="T276" s="78">
        <f t="shared" si="100"/>
        <v>0</v>
      </c>
      <c r="V276" s="256"/>
      <c r="Y276" t="e">
        <f>_xlfn.IFNA(VLOOKUP(C276,#REF!,2,FALSE),"")</f>
        <v>#REF!</v>
      </c>
      <c r="Z276" t="e">
        <f t="shared" si="83"/>
        <v>#REF!</v>
      </c>
      <c r="AA276" t="e">
        <f>_xlfn.IFNA(VLOOKUP(C276,#REF!,2,FALSE),F276)</f>
        <v>#REF!</v>
      </c>
      <c r="AB276" t="str">
        <f t="shared" ref="AB276:AB318" si="105">IF(ISERROR(Y276),"",Y276=Z276)</f>
        <v/>
      </c>
      <c r="AD276" s="108"/>
      <c r="AE276" s="108"/>
    </row>
    <row r="277" spans="1:31" ht="15" customHeight="1">
      <c r="B277" s="136" t="s">
        <v>344</v>
      </c>
      <c r="C277" s="136" t="s">
        <v>1903</v>
      </c>
      <c r="D277" s="137" t="s">
        <v>113</v>
      </c>
      <c r="E277" s="136">
        <v>55</v>
      </c>
      <c r="F277" s="202"/>
      <c r="H277" s="136"/>
      <c r="I277" s="136"/>
      <c r="J277" s="137"/>
      <c r="K277" s="136"/>
      <c r="L277" s="136" t="s">
        <v>1923</v>
      </c>
      <c r="M277" s="136"/>
      <c r="N277" s="162">
        <f t="shared" si="104"/>
        <v>0</v>
      </c>
      <c r="O277" s="138">
        <f t="shared" si="95"/>
        <v>0</v>
      </c>
      <c r="P277" s="138">
        <f t="shared" si="96"/>
        <v>0</v>
      </c>
      <c r="Q277" s="78">
        <f t="shared" si="97"/>
        <v>0</v>
      </c>
      <c r="R277" s="138">
        <f t="shared" si="98"/>
        <v>0</v>
      </c>
      <c r="S277" s="138">
        <f t="shared" si="99"/>
        <v>0</v>
      </c>
      <c r="T277" s="78">
        <f t="shared" si="100"/>
        <v>0</v>
      </c>
      <c r="V277" s="256"/>
      <c r="AB277" t="b">
        <f t="shared" si="105"/>
        <v>1</v>
      </c>
      <c r="AD277" s="108"/>
      <c r="AE277" s="108"/>
    </row>
    <row r="278" spans="1:31" ht="15" customHeight="1">
      <c r="B278" s="136" t="s">
        <v>344</v>
      </c>
      <c r="C278" s="136" t="s">
        <v>1919</v>
      </c>
      <c r="D278" s="137" t="s">
        <v>113</v>
      </c>
      <c r="E278" s="136" t="s">
        <v>1902</v>
      </c>
      <c r="F278" s="202"/>
      <c r="H278" s="136"/>
      <c r="I278" s="136"/>
      <c r="J278" s="137"/>
      <c r="K278" s="136"/>
      <c r="L278" s="137"/>
      <c r="M278" s="136"/>
      <c r="N278" s="162">
        <f t="shared" ref="N278:N279" si="106">F278</f>
        <v>0</v>
      </c>
      <c r="O278" s="138">
        <f t="shared" si="95"/>
        <v>0</v>
      </c>
      <c r="P278" s="138">
        <f t="shared" si="96"/>
        <v>0</v>
      </c>
      <c r="Q278" s="78">
        <f t="shared" si="97"/>
        <v>0</v>
      </c>
      <c r="R278" s="138">
        <f t="shared" si="98"/>
        <v>0</v>
      </c>
      <c r="S278" s="138">
        <f t="shared" si="99"/>
        <v>0</v>
      </c>
      <c r="T278" s="78">
        <f t="shared" si="100"/>
        <v>0</v>
      </c>
      <c r="V278" s="256"/>
      <c r="AB278" t="b">
        <f t="shared" ref="AB278:AB279" si="107">IF(ISERROR(Y278),"",Y278=Z278)</f>
        <v>1</v>
      </c>
      <c r="AD278" s="108"/>
      <c r="AE278" s="108"/>
    </row>
    <row r="279" spans="1:31" ht="15" customHeight="1">
      <c r="A279" s="347"/>
      <c r="B279" s="136" t="s">
        <v>344</v>
      </c>
      <c r="C279" s="136" t="s">
        <v>1930</v>
      </c>
      <c r="D279" s="137" t="s">
        <v>113</v>
      </c>
      <c r="E279" s="136"/>
      <c r="F279" s="202"/>
      <c r="H279" s="136"/>
      <c r="I279" s="136"/>
      <c r="J279" s="137"/>
      <c r="K279" s="136"/>
      <c r="L279" s="137"/>
      <c r="M279" s="136"/>
      <c r="N279" s="162">
        <f t="shared" si="106"/>
        <v>0</v>
      </c>
      <c r="O279" s="138">
        <f t="shared" si="95"/>
        <v>0</v>
      </c>
      <c r="P279" s="138">
        <f t="shared" si="96"/>
        <v>0</v>
      </c>
      <c r="Q279" s="78">
        <f t="shared" si="97"/>
        <v>0</v>
      </c>
      <c r="R279" s="138">
        <f t="shared" si="98"/>
        <v>0</v>
      </c>
      <c r="S279" s="138">
        <f t="shared" si="99"/>
        <v>0</v>
      </c>
      <c r="T279" s="78">
        <f t="shared" si="100"/>
        <v>0</v>
      </c>
      <c r="V279" s="256"/>
      <c r="AB279" t="b">
        <f t="shared" si="107"/>
        <v>1</v>
      </c>
      <c r="AD279" s="108"/>
      <c r="AE279" s="108"/>
    </row>
    <row r="280" spans="1:31" ht="15" customHeight="1">
      <c r="F280"/>
      <c r="Y280" t="e">
        <f>_xlfn.IFNA(VLOOKUP(C280,#REF!,2,FALSE),"")</f>
        <v>#REF!</v>
      </c>
      <c r="Z280" t="e">
        <f t="shared" ref="Z280:Z318" si="108">IF(Y280="","",F280)</f>
        <v>#REF!</v>
      </c>
      <c r="AA280" t="e">
        <f>_xlfn.IFNA(VLOOKUP(C280,#REF!,2,FALSE),F280)</f>
        <v>#REF!</v>
      </c>
      <c r="AB280" t="str">
        <f t="shared" si="105"/>
        <v/>
      </c>
      <c r="AD280" s="108"/>
      <c r="AE280" s="108"/>
    </row>
    <row r="281" spans="1:31" ht="15" customHeight="1">
      <c r="F281"/>
      <c r="Y281" t="e">
        <f>_xlfn.IFNA(VLOOKUP(C281,#REF!,2,FALSE),"")</f>
        <v>#REF!</v>
      </c>
      <c r="Z281" t="e">
        <f t="shared" si="108"/>
        <v>#REF!</v>
      </c>
      <c r="AA281" t="e">
        <f>_xlfn.IFNA(VLOOKUP(C281,#REF!,2,FALSE),F281)</f>
        <v>#REF!</v>
      </c>
      <c r="AB281" t="str">
        <f t="shared" si="105"/>
        <v/>
      </c>
      <c r="AD281" s="108"/>
      <c r="AE281" s="108"/>
    </row>
    <row r="282" spans="1:31" ht="15" customHeight="1">
      <c r="B282" s="249" t="s">
        <v>913</v>
      </c>
      <c r="C282" s="249" t="s">
        <v>895</v>
      </c>
      <c r="D282" s="250" t="s">
        <v>113</v>
      </c>
      <c r="E282" s="249" t="s">
        <v>979</v>
      </c>
      <c r="F282" s="202"/>
      <c r="H282" s="249" t="s">
        <v>913</v>
      </c>
      <c r="I282" s="249" t="s">
        <v>914</v>
      </c>
      <c r="J282" s="250" t="s">
        <v>111</v>
      </c>
      <c r="K282" s="249" t="s">
        <v>56</v>
      </c>
      <c r="L282" s="249" t="s">
        <v>960</v>
      </c>
      <c r="M282" s="249"/>
      <c r="N282" s="162">
        <f t="shared" ref="N282:N291" si="109">F282</f>
        <v>0</v>
      </c>
      <c r="O282" s="251">
        <f t="shared" ref="O282:O291" si="110">(N282*0.4+$I$327*0.42+$I$328*0.18)</f>
        <v>0</v>
      </c>
      <c r="P282" s="251">
        <f t="shared" ref="P282:P291" si="111">N282*0.4+$I$327*0.24+$I$330*0.12+$I$331*0.24</f>
        <v>0</v>
      </c>
      <c r="Q282" s="78">
        <f t="shared" ref="Q282:Q291" si="112">N282*0.5+$I$327*0.15+$I$329*0.1+$I$330*0.25</f>
        <v>0</v>
      </c>
      <c r="R282" s="251">
        <f t="shared" ref="R282:R291" si="113">N282*0.4+$I$327*0.6</f>
        <v>0</v>
      </c>
      <c r="S282" s="251">
        <f t="shared" ref="S282:S291" si="114">(N282*0.4+$I$327*0.36+$I$328*0.24)</f>
        <v>0</v>
      </c>
      <c r="T282" s="78">
        <f t="shared" ref="T282:T291" si="115">(N282*0.44+$I$327*0.45+$I$328*0.11)</f>
        <v>0</v>
      </c>
      <c r="V282" s="256" t="s">
        <v>950</v>
      </c>
      <c r="Y282" t="e">
        <f>_xlfn.IFNA(VLOOKUP(C282,#REF!,2,FALSE),"")</f>
        <v>#REF!</v>
      </c>
      <c r="Z282" t="e">
        <f t="shared" si="108"/>
        <v>#REF!</v>
      </c>
      <c r="AA282" t="e">
        <f>_xlfn.IFNA(VLOOKUP(C282,#REF!,2,FALSE),F282)</f>
        <v>#REF!</v>
      </c>
      <c r="AB282" t="str">
        <f t="shared" si="105"/>
        <v/>
      </c>
      <c r="AD282" s="108"/>
      <c r="AE282" s="108"/>
    </row>
    <row r="283" spans="1:31" ht="15" customHeight="1">
      <c r="B283" s="249" t="s">
        <v>913</v>
      </c>
      <c r="C283" s="249" t="s">
        <v>896</v>
      </c>
      <c r="D283" s="250" t="s">
        <v>113</v>
      </c>
      <c r="E283" s="249" t="s">
        <v>905</v>
      </c>
      <c r="F283" s="202"/>
      <c r="H283" s="249" t="s">
        <v>913</v>
      </c>
      <c r="I283" s="249" t="s">
        <v>915</v>
      </c>
      <c r="J283" s="250" t="s">
        <v>111</v>
      </c>
      <c r="K283" s="249" t="s">
        <v>60</v>
      </c>
      <c r="L283" s="249" t="s">
        <v>961</v>
      </c>
      <c r="M283" s="249"/>
      <c r="N283" s="162">
        <f t="shared" si="109"/>
        <v>0</v>
      </c>
      <c r="O283" s="251">
        <f t="shared" si="110"/>
        <v>0</v>
      </c>
      <c r="P283" s="251">
        <f t="shared" si="111"/>
        <v>0</v>
      </c>
      <c r="Q283" s="78">
        <f t="shared" si="112"/>
        <v>0</v>
      </c>
      <c r="R283" s="251">
        <f t="shared" si="113"/>
        <v>0</v>
      </c>
      <c r="S283" s="251">
        <f t="shared" si="114"/>
        <v>0</v>
      </c>
      <c r="T283" s="78">
        <f t="shared" si="115"/>
        <v>0</v>
      </c>
      <c r="V283" s="256" t="s">
        <v>905</v>
      </c>
      <c r="Y283" t="e">
        <f>_xlfn.IFNA(VLOOKUP(C283,#REF!,2,FALSE),"")</f>
        <v>#REF!</v>
      </c>
      <c r="Z283" t="e">
        <f t="shared" si="108"/>
        <v>#REF!</v>
      </c>
      <c r="AA283" t="e">
        <f>_xlfn.IFNA(VLOOKUP(C283,#REF!,2,FALSE),F283)</f>
        <v>#REF!</v>
      </c>
      <c r="AB283" t="str">
        <f t="shared" si="105"/>
        <v/>
      </c>
      <c r="AD283" s="108"/>
      <c r="AE283" s="108"/>
    </row>
    <row r="284" spans="1:31" ht="15" customHeight="1">
      <c r="B284" s="249" t="s">
        <v>913</v>
      </c>
      <c r="C284" s="249" t="s">
        <v>897</v>
      </c>
      <c r="D284" s="250" t="s">
        <v>113</v>
      </c>
      <c r="E284" s="249" t="s">
        <v>925</v>
      </c>
      <c r="F284" s="202"/>
      <c r="H284" s="249" t="s">
        <v>913</v>
      </c>
      <c r="I284" s="249" t="s">
        <v>937</v>
      </c>
      <c r="J284" s="250" t="s">
        <v>111</v>
      </c>
      <c r="K284" s="249" t="s">
        <v>106</v>
      </c>
      <c r="L284" s="249" t="s">
        <v>962</v>
      </c>
      <c r="M284" s="249"/>
      <c r="N284" s="162">
        <f t="shared" si="109"/>
        <v>0</v>
      </c>
      <c r="O284" s="251">
        <f t="shared" si="110"/>
        <v>0</v>
      </c>
      <c r="P284" s="251">
        <f t="shared" si="111"/>
        <v>0</v>
      </c>
      <c r="Q284" s="78">
        <f t="shared" si="112"/>
        <v>0</v>
      </c>
      <c r="R284" s="251">
        <f t="shared" si="113"/>
        <v>0</v>
      </c>
      <c r="S284" s="251">
        <f t="shared" si="114"/>
        <v>0</v>
      </c>
      <c r="T284" s="78">
        <f t="shared" si="115"/>
        <v>0</v>
      </c>
      <c r="V284" s="256" t="s">
        <v>925</v>
      </c>
      <c r="Y284" t="e">
        <f>_xlfn.IFNA(VLOOKUP(C284,#REF!,2,FALSE),"")</f>
        <v>#REF!</v>
      </c>
      <c r="Z284" t="e">
        <f t="shared" si="108"/>
        <v>#REF!</v>
      </c>
      <c r="AA284" t="e">
        <f>_xlfn.IFNA(VLOOKUP(C284,#REF!,2,FALSE),F284)</f>
        <v>#REF!</v>
      </c>
      <c r="AB284" t="str">
        <f t="shared" si="105"/>
        <v/>
      </c>
      <c r="AD284" s="108"/>
      <c r="AE284" s="108"/>
    </row>
    <row r="285" spans="1:31" ht="15" customHeight="1">
      <c r="B285" s="249" t="s">
        <v>913</v>
      </c>
      <c r="C285" s="249" t="s">
        <v>898</v>
      </c>
      <c r="D285" s="250" t="s">
        <v>113</v>
      </c>
      <c r="E285" s="249" t="s">
        <v>986</v>
      </c>
      <c r="F285" s="202"/>
      <c r="H285" s="249" t="s">
        <v>913</v>
      </c>
      <c r="I285" s="249" t="s">
        <v>916</v>
      </c>
      <c r="J285" s="250" t="s">
        <v>111</v>
      </c>
      <c r="K285" s="249" t="s">
        <v>62</v>
      </c>
      <c r="L285" s="249" t="s">
        <v>963</v>
      </c>
      <c r="M285" s="249"/>
      <c r="N285" s="162">
        <f t="shared" si="109"/>
        <v>0</v>
      </c>
      <c r="O285" s="251">
        <f t="shared" si="110"/>
        <v>0</v>
      </c>
      <c r="P285" s="251">
        <f t="shared" si="111"/>
        <v>0</v>
      </c>
      <c r="Q285" s="78">
        <f t="shared" si="112"/>
        <v>0</v>
      </c>
      <c r="R285" s="251">
        <f t="shared" si="113"/>
        <v>0</v>
      </c>
      <c r="S285" s="251">
        <f t="shared" si="114"/>
        <v>0</v>
      </c>
      <c r="T285" s="78">
        <f t="shared" si="115"/>
        <v>0</v>
      </c>
      <c r="V285" s="256" t="s">
        <v>906</v>
      </c>
      <c r="Y285" t="e">
        <f>_xlfn.IFNA(VLOOKUP(C285,#REF!,2,FALSE),"")</f>
        <v>#REF!</v>
      </c>
      <c r="Z285" t="e">
        <f t="shared" si="108"/>
        <v>#REF!</v>
      </c>
      <c r="AA285" t="e">
        <f>_xlfn.IFNA(VLOOKUP(C285,#REF!,2,FALSE),F285)</f>
        <v>#REF!</v>
      </c>
      <c r="AB285" t="str">
        <f t="shared" si="105"/>
        <v/>
      </c>
      <c r="AD285" s="108"/>
      <c r="AE285" s="108"/>
    </row>
    <row r="286" spans="1:31" ht="15" customHeight="1">
      <c r="B286" s="249" t="s">
        <v>913</v>
      </c>
      <c r="C286" s="249" t="s">
        <v>899</v>
      </c>
      <c r="D286" s="250" t="s">
        <v>113</v>
      </c>
      <c r="E286" s="249" t="s">
        <v>907</v>
      </c>
      <c r="F286" s="202"/>
      <c r="H286" s="249" t="s">
        <v>913</v>
      </c>
      <c r="I286" s="249" t="s">
        <v>917</v>
      </c>
      <c r="J286" s="250" t="s">
        <v>111</v>
      </c>
      <c r="K286" s="249" t="s">
        <v>73</v>
      </c>
      <c r="L286" s="249" t="s">
        <v>964</v>
      </c>
      <c r="M286" s="249"/>
      <c r="N286" s="162">
        <f t="shared" si="109"/>
        <v>0</v>
      </c>
      <c r="O286" s="251">
        <f t="shared" si="110"/>
        <v>0</v>
      </c>
      <c r="P286" s="251">
        <f t="shared" si="111"/>
        <v>0</v>
      </c>
      <c r="Q286" s="78">
        <f t="shared" si="112"/>
        <v>0</v>
      </c>
      <c r="R286" s="251">
        <f t="shared" si="113"/>
        <v>0</v>
      </c>
      <c r="S286" s="251">
        <f t="shared" si="114"/>
        <v>0</v>
      </c>
      <c r="T286" s="78">
        <f t="shared" si="115"/>
        <v>0</v>
      </c>
      <c r="V286" s="256" t="s">
        <v>907</v>
      </c>
      <c r="Y286" t="e">
        <f>_xlfn.IFNA(VLOOKUP(C286,#REF!,2,FALSE),"")</f>
        <v>#REF!</v>
      </c>
      <c r="Z286" t="e">
        <f t="shared" si="108"/>
        <v>#REF!</v>
      </c>
      <c r="AA286" t="e">
        <f>_xlfn.IFNA(VLOOKUP(C286,#REF!,2,FALSE),F286)</f>
        <v>#REF!</v>
      </c>
      <c r="AB286" t="str">
        <f t="shared" si="105"/>
        <v/>
      </c>
      <c r="AD286" s="108"/>
      <c r="AE286" s="108"/>
    </row>
    <row r="287" spans="1:31" ht="15" customHeight="1">
      <c r="B287" s="249" t="s">
        <v>913</v>
      </c>
      <c r="C287" s="249" t="s">
        <v>900</v>
      </c>
      <c r="D287" s="250" t="s">
        <v>113</v>
      </c>
      <c r="E287" s="249" t="s">
        <v>908</v>
      </c>
      <c r="F287" s="202"/>
      <c r="H287" s="249" t="s">
        <v>913</v>
      </c>
      <c r="I287" s="249" t="s">
        <v>918</v>
      </c>
      <c r="J287" s="250" t="s">
        <v>111</v>
      </c>
      <c r="K287" s="249" t="s">
        <v>100</v>
      </c>
      <c r="L287" s="249" t="s">
        <v>965</v>
      </c>
      <c r="M287" s="249"/>
      <c r="N287" s="162">
        <f t="shared" si="109"/>
        <v>0</v>
      </c>
      <c r="O287" s="251">
        <f t="shared" si="110"/>
        <v>0</v>
      </c>
      <c r="P287" s="251">
        <f t="shared" si="111"/>
        <v>0</v>
      </c>
      <c r="Q287" s="78">
        <f t="shared" si="112"/>
        <v>0</v>
      </c>
      <c r="R287" s="251">
        <f t="shared" si="113"/>
        <v>0</v>
      </c>
      <c r="S287" s="251">
        <f t="shared" si="114"/>
        <v>0</v>
      </c>
      <c r="T287" s="78">
        <f t="shared" si="115"/>
        <v>0</v>
      </c>
      <c r="V287" s="256" t="s">
        <v>908</v>
      </c>
      <c r="Y287" t="e">
        <f>_xlfn.IFNA(VLOOKUP(C287,#REF!,2,FALSE),"")</f>
        <v>#REF!</v>
      </c>
      <c r="Z287" t="e">
        <f t="shared" si="108"/>
        <v>#REF!</v>
      </c>
      <c r="AA287" t="e">
        <f>_xlfn.IFNA(VLOOKUP(C287,#REF!,2,FALSE),F287)</f>
        <v>#REF!</v>
      </c>
      <c r="AB287" t="str">
        <f t="shared" si="105"/>
        <v/>
      </c>
      <c r="AD287" s="108"/>
      <c r="AE287" s="108"/>
    </row>
    <row r="288" spans="1:31" ht="15" customHeight="1">
      <c r="B288" s="249" t="s">
        <v>913</v>
      </c>
      <c r="C288" s="249" t="s">
        <v>901</v>
      </c>
      <c r="D288" s="250" t="s">
        <v>113</v>
      </c>
      <c r="E288" s="249" t="s">
        <v>909</v>
      </c>
      <c r="F288" s="202"/>
      <c r="H288" s="249" t="s">
        <v>913</v>
      </c>
      <c r="I288" s="249" t="s">
        <v>919</v>
      </c>
      <c r="J288" s="250" t="s">
        <v>111</v>
      </c>
      <c r="K288" s="249" t="s">
        <v>114</v>
      </c>
      <c r="L288" s="249" t="s">
        <v>966</v>
      </c>
      <c r="M288" s="249"/>
      <c r="N288" s="162">
        <f t="shared" si="109"/>
        <v>0</v>
      </c>
      <c r="O288" s="251">
        <f t="shared" si="110"/>
        <v>0</v>
      </c>
      <c r="P288" s="251">
        <f t="shared" si="111"/>
        <v>0</v>
      </c>
      <c r="Q288" s="78">
        <f t="shared" si="112"/>
        <v>0</v>
      </c>
      <c r="R288" s="251">
        <f t="shared" si="113"/>
        <v>0</v>
      </c>
      <c r="S288" s="251">
        <f t="shared" si="114"/>
        <v>0</v>
      </c>
      <c r="T288" s="78">
        <f t="shared" si="115"/>
        <v>0</v>
      </c>
      <c r="V288" s="256" t="s">
        <v>909</v>
      </c>
      <c r="Y288" t="e">
        <f>_xlfn.IFNA(VLOOKUP(C288,#REF!,2,FALSE),"")</f>
        <v>#REF!</v>
      </c>
      <c r="Z288" t="e">
        <f t="shared" si="108"/>
        <v>#REF!</v>
      </c>
      <c r="AA288" t="e">
        <f>_xlfn.IFNA(VLOOKUP(C288,#REF!,2,FALSE),F288)</f>
        <v>#REF!</v>
      </c>
      <c r="AB288" t="str">
        <f t="shared" si="105"/>
        <v/>
      </c>
      <c r="AD288" s="108"/>
      <c r="AE288" s="108"/>
    </row>
    <row r="289" spans="2:31" ht="15" customHeight="1">
      <c r="B289" s="249" t="s">
        <v>913</v>
      </c>
      <c r="C289" s="249" t="s">
        <v>902</v>
      </c>
      <c r="D289" s="250" t="s">
        <v>113</v>
      </c>
      <c r="E289" s="249" t="s">
        <v>910</v>
      </c>
      <c r="F289" s="202"/>
      <c r="H289" s="249" t="s">
        <v>913</v>
      </c>
      <c r="I289" s="249" t="s">
        <v>920</v>
      </c>
      <c r="J289" s="250" t="s">
        <v>111</v>
      </c>
      <c r="K289" s="249" t="s">
        <v>81</v>
      </c>
      <c r="L289" s="249" t="s">
        <v>967</v>
      </c>
      <c r="M289" s="249"/>
      <c r="N289" s="162">
        <f t="shared" si="109"/>
        <v>0</v>
      </c>
      <c r="O289" s="251">
        <f t="shared" si="110"/>
        <v>0</v>
      </c>
      <c r="P289" s="251">
        <f t="shared" si="111"/>
        <v>0</v>
      </c>
      <c r="Q289" s="78">
        <f t="shared" si="112"/>
        <v>0</v>
      </c>
      <c r="R289" s="251">
        <f t="shared" si="113"/>
        <v>0</v>
      </c>
      <c r="S289" s="251">
        <f t="shared" si="114"/>
        <v>0</v>
      </c>
      <c r="T289" s="78">
        <f t="shared" si="115"/>
        <v>0</v>
      </c>
      <c r="V289" s="256" t="s">
        <v>910</v>
      </c>
      <c r="Y289" t="e">
        <f>_xlfn.IFNA(VLOOKUP(C289,#REF!,2,FALSE),"")</f>
        <v>#REF!</v>
      </c>
      <c r="Z289" t="e">
        <f t="shared" si="108"/>
        <v>#REF!</v>
      </c>
      <c r="AA289" t="e">
        <f>_xlfn.IFNA(VLOOKUP(C289,#REF!,2,FALSE),F289)</f>
        <v>#REF!</v>
      </c>
      <c r="AB289" t="str">
        <f t="shared" si="105"/>
        <v/>
      </c>
      <c r="AD289" s="108"/>
      <c r="AE289" s="108"/>
    </row>
    <row r="290" spans="2:31" ht="15" customHeight="1">
      <c r="B290" s="249" t="s">
        <v>913</v>
      </c>
      <c r="C290" s="249" t="s">
        <v>903</v>
      </c>
      <c r="D290" s="250" t="s">
        <v>113</v>
      </c>
      <c r="E290" s="249" t="s">
        <v>911</v>
      </c>
      <c r="F290" s="202"/>
      <c r="H290" s="249" t="s">
        <v>913</v>
      </c>
      <c r="I290" s="249" t="s">
        <v>921</v>
      </c>
      <c r="J290" s="250" t="s">
        <v>111</v>
      </c>
      <c r="K290" s="249" t="s">
        <v>63</v>
      </c>
      <c r="L290" s="249" t="s">
        <v>968</v>
      </c>
      <c r="M290" s="249"/>
      <c r="N290" s="162">
        <f t="shared" si="109"/>
        <v>0</v>
      </c>
      <c r="O290" s="251">
        <f t="shared" si="110"/>
        <v>0</v>
      </c>
      <c r="P290" s="251">
        <f t="shared" si="111"/>
        <v>0</v>
      </c>
      <c r="Q290" s="78">
        <f t="shared" si="112"/>
        <v>0</v>
      </c>
      <c r="R290" s="251">
        <f t="shared" si="113"/>
        <v>0</v>
      </c>
      <c r="S290" s="251">
        <f t="shared" si="114"/>
        <v>0</v>
      </c>
      <c r="T290" s="78">
        <f t="shared" si="115"/>
        <v>0</v>
      </c>
      <c r="V290" s="256" t="s">
        <v>911</v>
      </c>
      <c r="Y290" t="e">
        <f>_xlfn.IFNA(VLOOKUP(C290,#REF!,2,FALSE),"")</f>
        <v>#REF!</v>
      </c>
      <c r="Z290" t="e">
        <f t="shared" si="108"/>
        <v>#REF!</v>
      </c>
      <c r="AA290" t="e">
        <f>_xlfn.IFNA(VLOOKUP(C290,#REF!,2,FALSE),F290)</f>
        <v>#REF!</v>
      </c>
      <c r="AB290" t="str">
        <f t="shared" si="105"/>
        <v/>
      </c>
      <c r="AD290" s="108"/>
      <c r="AE290" s="108"/>
    </row>
    <row r="291" spans="2:31" ht="15" customHeight="1">
      <c r="B291" s="249" t="s">
        <v>913</v>
      </c>
      <c r="C291" s="249" t="s">
        <v>904</v>
      </c>
      <c r="D291" s="250" t="s">
        <v>113</v>
      </c>
      <c r="E291" s="249" t="s">
        <v>912</v>
      </c>
      <c r="F291" s="202"/>
      <c r="H291" s="249" t="s">
        <v>913</v>
      </c>
      <c r="I291" s="249" t="s">
        <v>922</v>
      </c>
      <c r="J291" s="250" t="s">
        <v>111</v>
      </c>
      <c r="K291" s="249" t="s">
        <v>923</v>
      </c>
      <c r="L291" s="249" t="s">
        <v>969</v>
      </c>
      <c r="M291" s="249"/>
      <c r="N291" s="162">
        <f t="shared" si="109"/>
        <v>0</v>
      </c>
      <c r="O291" s="251">
        <f t="shared" si="110"/>
        <v>0</v>
      </c>
      <c r="P291" s="251">
        <f t="shared" si="111"/>
        <v>0</v>
      </c>
      <c r="Q291" s="78">
        <f t="shared" si="112"/>
        <v>0</v>
      </c>
      <c r="R291" s="251">
        <f t="shared" si="113"/>
        <v>0</v>
      </c>
      <c r="S291" s="251">
        <f t="shared" si="114"/>
        <v>0</v>
      </c>
      <c r="T291" s="78">
        <f t="shared" si="115"/>
        <v>0</v>
      </c>
      <c r="V291" s="256" t="s">
        <v>912</v>
      </c>
      <c r="Y291" t="e">
        <f>_xlfn.IFNA(VLOOKUP(C291,#REF!,2,FALSE),"")</f>
        <v>#REF!</v>
      </c>
      <c r="Z291" t="e">
        <f t="shared" si="108"/>
        <v>#REF!</v>
      </c>
      <c r="AA291" t="e">
        <f>_xlfn.IFNA(VLOOKUP(C291,#REF!,2,FALSE),F291)</f>
        <v>#REF!</v>
      </c>
      <c r="AB291" t="str">
        <f t="shared" si="105"/>
        <v/>
      </c>
      <c r="AD291" s="108"/>
      <c r="AE291" s="108"/>
    </row>
    <row r="292" spans="2:31">
      <c r="Y292" t="e">
        <f>_xlfn.IFNA(VLOOKUP(C292,#REF!,2,FALSE),"")</f>
        <v>#REF!</v>
      </c>
      <c r="Z292" t="e">
        <f t="shared" si="108"/>
        <v>#REF!</v>
      </c>
      <c r="AA292" t="e">
        <f>_xlfn.IFNA(VLOOKUP(C292,#REF!,2,FALSE),F292)</f>
        <v>#REF!</v>
      </c>
      <c r="AB292" t="str">
        <f t="shared" si="105"/>
        <v/>
      </c>
      <c r="AD292" s="108"/>
      <c r="AE292" s="108"/>
    </row>
    <row r="293" spans="2:31">
      <c r="Y293" t="e">
        <f>_xlfn.IFNA(VLOOKUP(C293,#REF!,2,FALSE),"")</f>
        <v>#REF!</v>
      </c>
      <c r="Z293" t="e">
        <f t="shared" si="108"/>
        <v>#REF!</v>
      </c>
      <c r="AA293" t="e">
        <f>_xlfn.IFNA(VLOOKUP(C293,#REF!,2,FALSE),F293)</f>
        <v>#REF!</v>
      </c>
      <c r="AB293" t="str">
        <f t="shared" si="105"/>
        <v/>
      </c>
      <c r="AD293" s="108"/>
      <c r="AE293" s="108"/>
    </row>
    <row r="294" spans="2:31" ht="15" customHeight="1">
      <c r="B294" s="177" t="s">
        <v>924</v>
      </c>
      <c r="C294" s="177" t="s">
        <v>885</v>
      </c>
      <c r="D294" s="178" t="s">
        <v>113</v>
      </c>
      <c r="E294" s="177" t="s">
        <v>1003</v>
      </c>
      <c r="F294" s="202"/>
      <c r="H294" s="177" t="s">
        <v>936</v>
      </c>
      <c r="I294" s="177" t="s">
        <v>938</v>
      </c>
      <c r="J294" s="178" t="s">
        <v>111</v>
      </c>
      <c r="K294" s="177" t="s">
        <v>829</v>
      </c>
      <c r="L294" s="177" t="s">
        <v>952</v>
      </c>
      <c r="M294" s="177"/>
      <c r="N294" s="162">
        <f t="shared" ref="N294:N303" si="116">F294</f>
        <v>0</v>
      </c>
      <c r="O294" s="179">
        <f t="shared" ref="O294:O303" si="117">(N294*0.4+$I$327*0.42+$I$328*0.18)</f>
        <v>0</v>
      </c>
      <c r="P294" s="179">
        <f t="shared" ref="P294:P303" si="118">N294*0.4+$I$327*0.24+$I$330*0.12+$I$331*0.24</f>
        <v>0</v>
      </c>
      <c r="Q294" s="78">
        <f t="shared" ref="Q294:Q303" si="119">N294*0.5+$I$327*0.15+$I$329*0.1+$I$330*0.25</f>
        <v>0</v>
      </c>
      <c r="R294" s="179">
        <f t="shared" ref="R294:R303" si="120">N294*0.4+$I$327*0.6</f>
        <v>0</v>
      </c>
      <c r="S294" s="179">
        <f t="shared" ref="S294:S303" si="121">(N294*0.4+$I$327*0.36+$I$328*0.24)</f>
        <v>0</v>
      </c>
      <c r="T294" s="78">
        <f t="shared" ref="T294:T303" si="122">(N294*0.44+$I$327*0.45+$I$328*0.11)</f>
        <v>0</v>
      </c>
      <c r="V294" s="256" t="s">
        <v>926</v>
      </c>
      <c r="Y294" t="e">
        <f>_xlfn.IFNA(VLOOKUP(C294,#REF!,2,FALSE),"")</f>
        <v>#REF!</v>
      </c>
      <c r="Z294" t="e">
        <f t="shared" si="108"/>
        <v>#REF!</v>
      </c>
      <c r="AA294" t="e">
        <f>_xlfn.IFNA(VLOOKUP(C294,#REF!,2,FALSE),F294)</f>
        <v>#REF!</v>
      </c>
      <c r="AB294" t="str">
        <f t="shared" si="105"/>
        <v/>
      </c>
      <c r="AD294" s="108"/>
      <c r="AE294" s="108"/>
    </row>
    <row r="295" spans="2:31" ht="15" customHeight="1">
      <c r="B295" s="177" t="s">
        <v>924</v>
      </c>
      <c r="C295" s="177" t="s">
        <v>886</v>
      </c>
      <c r="D295" s="178" t="s">
        <v>113</v>
      </c>
      <c r="E295" s="177" t="s">
        <v>1004</v>
      </c>
      <c r="F295" s="202"/>
      <c r="H295" s="177" t="s">
        <v>936</v>
      </c>
      <c r="I295" s="177" t="s">
        <v>939</v>
      </c>
      <c r="J295" s="178" t="s">
        <v>111</v>
      </c>
      <c r="K295" s="177" t="s">
        <v>947</v>
      </c>
      <c r="L295" s="177" t="s">
        <v>953</v>
      </c>
      <c r="M295" s="177"/>
      <c r="N295" s="162">
        <f t="shared" si="116"/>
        <v>0</v>
      </c>
      <c r="O295" s="179">
        <f t="shared" si="117"/>
        <v>0</v>
      </c>
      <c r="P295" s="179">
        <f t="shared" si="118"/>
        <v>0</v>
      </c>
      <c r="Q295" s="78">
        <f t="shared" si="119"/>
        <v>0</v>
      </c>
      <c r="R295" s="179">
        <f t="shared" si="120"/>
        <v>0</v>
      </c>
      <c r="S295" s="179">
        <f t="shared" si="121"/>
        <v>0</v>
      </c>
      <c r="T295" s="78">
        <f t="shared" si="122"/>
        <v>0</v>
      </c>
      <c r="V295" s="256" t="s">
        <v>927</v>
      </c>
      <c r="Y295" t="e">
        <f>_xlfn.IFNA(VLOOKUP(C295,#REF!,2,FALSE),"")</f>
        <v>#REF!</v>
      </c>
      <c r="Z295" t="e">
        <f t="shared" si="108"/>
        <v>#REF!</v>
      </c>
      <c r="AA295" t="e">
        <f>_xlfn.IFNA(VLOOKUP(C295,#REF!,2,FALSE),F295)</f>
        <v>#REF!</v>
      </c>
      <c r="AB295" t="str">
        <f t="shared" si="105"/>
        <v/>
      </c>
      <c r="AD295" s="108"/>
      <c r="AE295" s="108"/>
    </row>
    <row r="296" spans="2:31" ht="15" customHeight="1">
      <c r="B296" s="177" t="s">
        <v>924</v>
      </c>
      <c r="C296" s="177" t="s">
        <v>887</v>
      </c>
      <c r="D296" s="178" t="s">
        <v>113</v>
      </c>
      <c r="E296" s="177" t="s">
        <v>1005</v>
      </c>
      <c r="F296" s="202"/>
      <c r="H296" s="177" t="s">
        <v>936</v>
      </c>
      <c r="I296" s="177" t="s">
        <v>940</v>
      </c>
      <c r="J296" s="178" t="s">
        <v>111</v>
      </c>
      <c r="K296" s="177" t="s">
        <v>543</v>
      </c>
      <c r="L296" s="177" t="s">
        <v>951</v>
      </c>
      <c r="M296" s="177"/>
      <c r="N296" s="162">
        <f t="shared" si="116"/>
        <v>0</v>
      </c>
      <c r="O296" s="179">
        <f t="shared" si="117"/>
        <v>0</v>
      </c>
      <c r="P296" s="179">
        <f t="shared" si="118"/>
        <v>0</v>
      </c>
      <c r="Q296" s="78">
        <f t="shared" si="119"/>
        <v>0</v>
      </c>
      <c r="R296" s="179">
        <f t="shared" si="120"/>
        <v>0</v>
      </c>
      <c r="S296" s="179">
        <f t="shared" si="121"/>
        <v>0</v>
      </c>
      <c r="T296" s="78">
        <f t="shared" si="122"/>
        <v>0</v>
      </c>
      <c r="V296" s="256" t="s">
        <v>931</v>
      </c>
      <c r="Y296" t="e">
        <f>_xlfn.IFNA(VLOOKUP(C296,#REF!,2,FALSE),"")</f>
        <v>#REF!</v>
      </c>
      <c r="Z296" t="e">
        <f t="shared" si="108"/>
        <v>#REF!</v>
      </c>
      <c r="AA296" t="e">
        <f>_xlfn.IFNA(VLOOKUP(C296,#REF!,2,FALSE),F296)</f>
        <v>#REF!</v>
      </c>
      <c r="AB296" t="str">
        <f t="shared" si="105"/>
        <v/>
      </c>
      <c r="AD296" s="108"/>
      <c r="AE296" s="108"/>
    </row>
    <row r="297" spans="2:31" ht="15" customHeight="1">
      <c r="B297" s="177" t="s">
        <v>924</v>
      </c>
      <c r="C297" s="177" t="s">
        <v>888</v>
      </c>
      <c r="D297" s="178" t="s">
        <v>113</v>
      </c>
      <c r="E297" s="177" t="s">
        <v>1006</v>
      </c>
      <c r="F297" s="202"/>
      <c r="H297" s="177" t="s">
        <v>936</v>
      </c>
      <c r="I297" s="177" t="s">
        <v>941</v>
      </c>
      <c r="J297" s="178" t="s">
        <v>111</v>
      </c>
      <c r="K297" s="177" t="s">
        <v>855</v>
      </c>
      <c r="L297" s="177" t="s">
        <v>954</v>
      </c>
      <c r="M297" s="177"/>
      <c r="N297" s="162">
        <f t="shared" si="116"/>
        <v>0</v>
      </c>
      <c r="O297" s="179">
        <f t="shared" si="117"/>
        <v>0</v>
      </c>
      <c r="P297" s="179">
        <f t="shared" si="118"/>
        <v>0</v>
      </c>
      <c r="Q297" s="78">
        <f t="shared" si="119"/>
        <v>0</v>
      </c>
      <c r="R297" s="179">
        <f t="shared" si="120"/>
        <v>0</v>
      </c>
      <c r="S297" s="179">
        <f t="shared" si="121"/>
        <v>0</v>
      </c>
      <c r="T297" s="78">
        <f t="shared" si="122"/>
        <v>0</v>
      </c>
      <c r="V297" s="256" t="s">
        <v>932</v>
      </c>
      <c r="Y297" t="e">
        <f>_xlfn.IFNA(VLOOKUP(C297,#REF!,2,FALSE),"")</f>
        <v>#REF!</v>
      </c>
      <c r="Z297" t="e">
        <f t="shared" si="108"/>
        <v>#REF!</v>
      </c>
      <c r="AA297" t="e">
        <f>_xlfn.IFNA(VLOOKUP(C297,#REF!,2,FALSE),F297)</f>
        <v>#REF!</v>
      </c>
      <c r="AB297" t="str">
        <f t="shared" si="105"/>
        <v/>
      </c>
      <c r="AD297" s="108"/>
      <c r="AE297" s="108"/>
    </row>
    <row r="298" spans="2:31" ht="15" customHeight="1">
      <c r="B298" s="177" t="s">
        <v>924</v>
      </c>
      <c r="C298" s="177" t="s">
        <v>889</v>
      </c>
      <c r="D298" s="178" t="s">
        <v>113</v>
      </c>
      <c r="E298" s="177" t="s">
        <v>1007</v>
      </c>
      <c r="F298" s="202"/>
      <c r="H298" s="177" t="s">
        <v>936</v>
      </c>
      <c r="I298" s="177" t="s">
        <v>942</v>
      </c>
      <c r="J298" s="178" t="s">
        <v>111</v>
      </c>
      <c r="K298" s="177" t="s">
        <v>544</v>
      </c>
      <c r="L298" s="177" t="s">
        <v>955</v>
      </c>
      <c r="M298" s="177"/>
      <c r="N298" s="162">
        <f t="shared" si="116"/>
        <v>0</v>
      </c>
      <c r="O298" s="179">
        <f t="shared" si="117"/>
        <v>0</v>
      </c>
      <c r="P298" s="179">
        <f t="shared" si="118"/>
        <v>0</v>
      </c>
      <c r="Q298" s="78">
        <f t="shared" si="119"/>
        <v>0</v>
      </c>
      <c r="R298" s="179">
        <f t="shared" si="120"/>
        <v>0</v>
      </c>
      <c r="S298" s="179">
        <f t="shared" si="121"/>
        <v>0</v>
      </c>
      <c r="T298" s="78">
        <f t="shared" si="122"/>
        <v>0</v>
      </c>
      <c r="V298" s="256" t="s">
        <v>930</v>
      </c>
      <c r="Y298" t="e">
        <f>_xlfn.IFNA(VLOOKUP(C298,#REF!,2,FALSE),"")</f>
        <v>#REF!</v>
      </c>
      <c r="Z298" t="e">
        <f t="shared" si="108"/>
        <v>#REF!</v>
      </c>
      <c r="AA298" t="e">
        <f>_xlfn.IFNA(VLOOKUP(C298,#REF!,2,FALSE),F298)</f>
        <v>#REF!</v>
      </c>
      <c r="AB298" t="str">
        <f t="shared" si="105"/>
        <v/>
      </c>
      <c r="AD298" s="108"/>
      <c r="AE298" s="108"/>
    </row>
    <row r="299" spans="2:31" ht="15" customHeight="1">
      <c r="B299" s="177" t="s">
        <v>924</v>
      </c>
      <c r="C299" s="177" t="s">
        <v>890</v>
      </c>
      <c r="D299" s="178" t="s">
        <v>113</v>
      </c>
      <c r="E299" s="177" t="s">
        <v>1008</v>
      </c>
      <c r="F299" s="202"/>
      <c r="H299" s="177" t="s">
        <v>936</v>
      </c>
      <c r="I299" s="177" t="s">
        <v>943</v>
      </c>
      <c r="J299" s="178" t="s">
        <v>111</v>
      </c>
      <c r="K299" s="177" t="s">
        <v>545</v>
      </c>
      <c r="L299" s="177" t="s">
        <v>956</v>
      </c>
      <c r="M299" s="177"/>
      <c r="N299" s="162">
        <f t="shared" si="116"/>
        <v>0</v>
      </c>
      <c r="O299" s="179">
        <f t="shared" si="117"/>
        <v>0</v>
      </c>
      <c r="P299" s="179">
        <f t="shared" si="118"/>
        <v>0</v>
      </c>
      <c r="Q299" s="78">
        <f t="shared" si="119"/>
        <v>0</v>
      </c>
      <c r="R299" s="179">
        <f t="shared" si="120"/>
        <v>0</v>
      </c>
      <c r="S299" s="179">
        <f t="shared" si="121"/>
        <v>0</v>
      </c>
      <c r="T299" s="78">
        <f t="shared" si="122"/>
        <v>0</v>
      </c>
      <c r="V299" s="256" t="s">
        <v>933</v>
      </c>
      <c r="Y299" t="e">
        <f>_xlfn.IFNA(VLOOKUP(C299,#REF!,2,FALSE),"")</f>
        <v>#REF!</v>
      </c>
      <c r="Z299" t="e">
        <f t="shared" si="108"/>
        <v>#REF!</v>
      </c>
      <c r="AA299" t="e">
        <f>_xlfn.IFNA(VLOOKUP(C299,#REF!,2,FALSE),F299)</f>
        <v>#REF!</v>
      </c>
      <c r="AB299" t="str">
        <f t="shared" si="105"/>
        <v/>
      </c>
      <c r="AD299" s="108"/>
      <c r="AE299" s="108"/>
    </row>
    <row r="300" spans="2:31" ht="15" customHeight="1">
      <c r="B300" s="177" t="s">
        <v>924</v>
      </c>
      <c r="C300" s="177" t="s">
        <v>891</v>
      </c>
      <c r="D300" s="178" t="s">
        <v>113</v>
      </c>
      <c r="E300" s="177" t="s">
        <v>1009</v>
      </c>
      <c r="F300" s="202"/>
      <c r="H300" s="177" t="s">
        <v>936</v>
      </c>
      <c r="I300" s="177" t="s">
        <v>944</v>
      </c>
      <c r="J300" s="178" t="s">
        <v>111</v>
      </c>
      <c r="K300" s="177" t="s">
        <v>546</v>
      </c>
      <c r="L300" s="177" t="s">
        <v>957</v>
      </c>
      <c r="M300" s="177"/>
      <c r="N300" s="162">
        <f t="shared" si="116"/>
        <v>0</v>
      </c>
      <c r="O300" s="179">
        <f t="shared" si="117"/>
        <v>0</v>
      </c>
      <c r="P300" s="179">
        <f t="shared" si="118"/>
        <v>0</v>
      </c>
      <c r="Q300" s="78">
        <f t="shared" si="119"/>
        <v>0</v>
      </c>
      <c r="R300" s="179">
        <f t="shared" si="120"/>
        <v>0</v>
      </c>
      <c r="S300" s="179">
        <f t="shared" si="121"/>
        <v>0</v>
      </c>
      <c r="T300" s="78">
        <f t="shared" si="122"/>
        <v>0</v>
      </c>
      <c r="V300" s="256" t="s">
        <v>934</v>
      </c>
      <c r="Y300" t="e">
        <f>_xlfn.IFNA(VLOOKUP(C300,#REF!,2,FALSE),"")</f>
        <v>#REF!</v>
      </c>
      <c r="Z300" t="e">
        <f t="shared" si="108"/>
        <v>#REF!</v>
      </c>
      <c r="AA300" t="e">
        <f>_xlfn.IFNA(VLOOKUP(C300,#REF!,2,FALSE),F300)</f>
        <v>#REF!</v>
      </c>
      <c r="AB300" t="str">
        <f t="shared" si="105"/>
        <v/>
      </c>
      <c r="AD300" s="108"/>
      <c r="AE300" s="108"/>
    </row>
    <row r="301" spans="2:31" ht="15" customHeight="1">
      <c r="B301" s="177" t="s">
        <v>924</v>
      </c>
      <c r="C301" s="177" t="s">
        <v>892</v>
      </c>
      <c r="D301" s="178" t="s">
        <v>113</v>
      </c>
      <c r="E301" s="177" t="s">
        <v>1010</v>
      </c>
      <c r="F301" s="202"/>
      <c r="H301" s="177" t="s">
        <v>936</v>
      </c>
      <c r="I301" s="177" t="s">
        <v>945</v>
      </c>
      <c r="J301" s="178" t="s">
        <v>111</v>
      </c>
      <c r="K301" s="177" t="s">
        <v>948</v>
      </c>
      <c r="L301" s="177" t="s">
        <v>958</v>
      </c>
      <c r="M301" s="177"/>
      <c r="N301" s="162">
        <f t="shared" si="116"/>
        <v>0</v>
      </c>
      <c r="O301" s="179">
        <f t="shared" si="117"/>
        <v>0</v>
      </c>
      <c r="P301" s="179">
        <f t="shared" si="118"/>
        <v>0</v>
      </c>
      <c r="Q301" s="78">
        <f t="shared" si="119"/>
        <v>0</v>
      </c>
      <c r="R301" s="179">
        <f t="shared" si="120"/>
        <v>0</v>
      </c>
      <c r="S301" s="179">
        <f t="shared" si="121"/>
        <v>0</v>
      </c>
      <c r="T301" s="78">
        <f t="shared" si="122"/>
        <v>0</v>
      </c>
      <c r="V301" s="256" t="s">
        <v>928</v>
      </c>
      <c r="Y301" t="e">
        <f>_xlfn.IFNA(VLOOKUP(C301,#REF!,2,FALSE),"")</f>
        <v>#REF!</v>
      </c>
      <c r="Z301" t="e">
        <f t="shared" si="108"/>
        <v>#REF!</v>
      </c>
      <c r="AA301" t="e">
        <f>_xlfn.IFNA(VLOOKUP(C301,#REF!,2,FALSE),F301)</f>
        <v>#REF!</v>
      </c>
      <c r="AB301" t="str">
        <f t="shared" si="105"/>
        <v/>
      </c>
      <c r="AD301" s="108"/>
      <c r="AE301" s="108"/>
    </row>
    <row r="302" spans="2:31" ht="15" customHeight="1">
      <c r="B302" s="177" t="s">
        <v>924</v>
      </c>
      <c r="C302" s="177" t="s">
        <v>893</v>
      </c>
      <c r="D302" s="178" t="s">
        <v>113</v>
      </c>
      <c r="E302" s="177" t="s">
        <v>1011</v>
      </c>
      <c r="F302" s="202"/>
      <c r="H302" s="177" t="s">
        <v>936</v>
      </c>
      <c r="I302" s="177" t="s">
        <v>1013</v>
      </c>
      <c r="J302" s="178" t="s">
        <v>111</v>
      </c>
      <c r="K302" s="177" t="s">
        <v>949</v>
      </c>
      <c r="L302" s="177" t="s">
        <v>1014</v>
      </c>
      <c r="M302" s="177"/>
      <c r="N302" s="162">
        <f t="shared" si="116"/>
        <v>0</v>
      </c>
      <c r="O302" s="179">
        <f t="shared" si="117"/>
        <v>0</v>
      </c>
      <c r="P302" s="179">
        <f t="shared" si="118"/>
        <v>0</v>
      </c>
      <c r="Q302" s="78">
        <f t="shared" si="119"/>
        <v>0</v>
      </c>
      <c r="R302" s="179">
        <f t="shared" si="120"/>
        <v>0</v>
      </c>
      <c r="S302" s="179">
        <f t="shared" si="121"/>
        <v>0</v>
      </c>
      <c r="T302" s="78">
        <f t="shared" si="122"/>
        <v>0</v>
      </c>
      <c r="V302" s="256" t="s">
        <v>935</v>
      </c>
      <c r="Y302" t="e">
        <f>_xlfn.IFNA(VLOOKUP(C302,#REF!,2,FALSE),"")</f>
        <v>#REF!</v>
      </c>
      <c r="Z302" t="e">
        <f t="shared" si="108"/>
        <v>#REF!</v>
      </c>
      <c r="AA302" t="e">
        <f>_xlfn.IFNA(VLOOKUP(C302,#REF!,2,FALSE),F302)</f>
        <v>#REF!</v>
      </c>
      <c r="AB302" t="str">
        <f t="shared" si="105"/>
        <v/>
      </c>
      <c r="AD302" s="108"/>
      <c r="AE302" s="108"/>
    </row>
    <row r="303" spans="2:31" ht="15" customHeight="1">
      <c r="B303" s="177" t="s">
        <v>924</v>
      </c>
      <c r="C303" s="177" t="s">
        <v>894</v>
      </c>
      <c r="D303" s="178" t="s">
        <v>113</v>
      </c>
      <c r="E303" s="177" t="s">
        <v>1012</v>
      </c>
      <c r="F303" s="202"/>
      <c r="H303" s="177" t="s">
        <v>936</v>
      </c>
      <c r="I303" s="177" t="s">
        <v>946</v>
      </c>
      <c r="J303" s="178" t="s">
        <v>111</v>
      </c>
      <c r="K303" s="177" t="s">
        <v>856</v>
      </c>
      <c r="L303" s="177" t="s">
        <v>959</v>
      </c>
      <c r="M303" s="177"/>
      <c r="N303" s="162">
        <f t="shared" si="116"/>
        <v>0</v>
      </c>
      <c r="O303" s="179">
        <f t="shared" si="117"/>
        <v>0</v>
      </c>
      <c r="P303" s="179">
        <f t="shared" si="118"/>
        <v>0</v>
      </c>
      <c r="Q303" s="78">
        <f t="shared" si="119"/>
        <v>0</v>
      </c>
      <c r="R303" s="179">
        <f t="shared" si="120"/>
        <v>0</v>
      </c>
      <c r="S303" s="179">
        <f t="shared" si="121"/>
        <v>0</v>
      </c>
      <c r="T303" s="78">
        <f t="shared" si="122"/>
        <v>0</v>
      </c>
      <c r="V303" s="256" t="s">
        <v>929</v>
      </c>
      <c r="Y303" t="e">
        <f>_xlfn.IFNA(VLOOKUP(C303,#REF!,2,FALSE),"")</f>
        <v>#REF!</v>
      </c>
      <c r="Z303" t="e">
        <f t="shared" si="108"/>
        <v>#REF!</v>
      </c>
      <c r="AA303" t="e">
        <f>_xlfn.IFNA(VLOOKUP(C303,#REF!,2,FALSE),F303)</f>
        <v>#REF!</v>
      </c>
      <c r="AB303" t="str">
        <f t="shared" si="105"/>
        <v/>
      </c>
      <c r="AD303" s="108"/>
      <c r="AE303" s="108"/>
    </row>
    <row r="304" spans="2:31">
      <c r="Y304" t="e">
        <f>_xlfn.IFNA(VLOOKUP(C304,#REF!,2,FALSE),"")</f>
        <v>#REF!</v>
      </c>
      <c r="Z304" t="e">
        <f t="shared" si="108"/>
        <v>#REF!</v>
      </c>
      <c r="AA304" t="e">
        <f>_xlfn.IFNA(VLOOKUP(C304,#REF!,2,FALSE),F304)</f>
        <v>#REF!</v>
      </c>
      <c r="AB304" t="str">
        <f t="shared" si="105"/>
        <v/>
      </c>
      <c r="AD304" s="108"/>
    </row>
    <row r="305" spans="1:31">
      <c r="B305" s="93" t="s">
        <v>66</v>
      </c>
      <c r="C305" s="93" t="s">
        <v>1893</v>
      </c>
      <c r="D305" s="94" t="s">
        <v>113</v>
      </c>
      <c r="E305" s="93" t="s">
        <v>485</v>
      </c>
      <c r="F305" s="202"/>
      <c r="H305" s="98" t="s">
        <v>66</v>
      </c>
      <c r="I305" s="98" t="s">
        <v>1281</v>
      </c>
      <c r="J305" s="99" t="s">
        <v>111</v>
      </c>
      <c r="K305" s="98" t="s">
        <v>63</v>
      </c>
      <c r="L305" s="99" t="s">
        <v>1269</v>
      </c>
      <c r="M305" s="98"/>
      <c r="N305" s="162">
        <f t="shared" ref="N305:N316" si="123">F305</f>
        <v>0</v>
      </c>
      <c r="O305" s="100">
        <f t="shared" ref="O305:O321" si="124">(N305*0.4+$I$327*0.42+$I$328*0.18)</f>
        <v>0</v>
      </c>
      <c r="P305" s="100">
        <f t="shared" ref="P305:P321" si="125">N305*0.4+$I$327*0.24+$I$330*0.12+$I$331*0.24</f>
        <v>0</v>
      </c>
      <c r="Q305" s="78">
        <f t="shared" ref="Q305:Q321" si="126">N305*0.5+$I$327*0.15+$I$329*0.1+$I$330*0.25</f>
        <v>0</v>
      </c>
      <c r="R305" s="100">
        <f t="shared" ref="R305:R321" si="127">N305*0.4+$I$327*0.6</f>
        <v>0</v>
      </c>
      <c r="S305" s="79">
        <f t="shared" ref="S305:S321" si="128">(N305*0.4+$I$327*0.36+$I$328*0.24)</f>
        <v>0</v>
      </c>
      <c r="T305" s="176">
        <f t="shared" ref="T305:T321" si="129">(N305*0.44+$I$327*0.45+$I$328*0.11)</f>
        <v>0</v>
      </c>
      <c r="V305" s="256"/>
      <c r="Y305" t="e">
        <f>_xlfn.IFNA(VLOOKUP(C305,#REF!,2,FALSE),"")</f>
        <v>#REF!</v>
      </c>
      <c r="Z305" t="e">
        <f t="shared" si="108"/>
        <v>#REF!</v>
      </c>
      <c r="AA305" t="e">
        <f>_xlfn.IFNA(VLOOKUP(C305,#REF!,2,FALSE),F305)</f>
        <v>#REF!</v>
      </c>
      <c r="AB305" t="str">
        <f t="shared" si="105"/>
        <v/>
      </c>
      <c r="AD305" s="108"/>
      <c r="AE305" s="108"/>
    </row>
    <row r="306" spans="1:31">
      <c r="B306" s="93" t="s">
        <v>66</v>
      </c>
      <c r="C306" s="93" t="s">
        <v>1235</v>
      </c>
      <c r="D306" s="94" t="s">
        <v>113</v>
      </c>
      <c r="E306" s="93" t="s">
        <v>1264</v>
      </c>
      <c r="F306" s="202"/>
      <c r="H306" s="98" t="s">
        <v>66</v>
      </c>
      <c r="I306" s="98" t="s">
        <v>1282</v>
      </c>
      <c r="J306" s="99" t="s">
        <v>111</v>
      </c>
      <c r="K306" s="98" t="s">
        <v>56</v>
      </c>
      <c r="L306" s="99" t="s">
        <v>1270</v>
      </c>
      <c r="M306" s="98"/>
      <c r="N306" s="162">
        <f t="shared" si="123"/>
        <v>0</v>
      </c>
      <c r="O306" s="100">
        <f t="shared" si="124"/>
        <v>0</v>
      </c>
      <c r="P306" s="100">
        <f t="shared" si="125"/>
        <v>0</v>
      </c>
      <c r="Q306" s="78">
        <f t="shared" si="126"/>
        <v>0</v>
      </c>
      <c r="R306" s="100">
        <f t="shared" si="127"/>
        <v>0</v>
      </c>
      <c r="S306" s="79">
        <f t="shared" si="128"/>
        <v>0</v>
      </c>
      <c r="T306" s="176">
        <f t="shared" si="129"/>
        <v>0</v>
      </c>
      <c r="V306" s="256"/>
      <c r="Y306" t="e">
        <f>_xlfn.IFNA(VLOOKUP(C306,#REF!,2,FALSE),"")</f>
        <v>#REF!</v>
      </c>
      <c r="Z306" t="e">
        <f t="shared" si="108"/>
        <v>#REF!</v>
      </c>
      <c r="AA306" t="e">
        <f>_xlfn.IFNA(VLOOKUP(C306,#REF!,2,FALSE),F306)</f>
        <v>#REF!</v>
      </c>
      <c r="AB306" t="str">
        <f t="shared" si="105"/>
        <v/>
      </c>
      <c r="AD306" s="108"/>
      <c r="AE306" s="108"/>
    </row>
    <row r="307" spans="1:31">
      <c r="B307" s="93" t="s">
        <v>66</v>
      </c>
      <c r="C307" s="93" t="s">
        <v>1236</v>
      </c>
      <c r="D307" s="94" t="s">
        <v>113</v>
      </c>
      <c r="E307" s="93" t="s">
        <v>477</v>
      </c>
      <c r="F307" s="202"/>
      <c r="H307" s="98" t="s">
        <v>66</v>
      </c>
      <c r="I307" s="98" t="s">
        <v>1283</v>
      </c>
      <c r="J307" s="99" t="s">
        <v>111</v>
      </c>
      <c r="K307" s="98" t="s">
        <v>60</v>
      </c>
      <c r="L307" s="99" t="s">
        <v>1271</v>
      </c>
      <c r="M307" s="98"/>
      <c r="N307" s="162">
        <f t="shared" si="123"/>
        <v>0</v>
      </c>
      <c r="O307" s="100">
        <f t="shared" si="124"/>
        <v>0</v>
      </c>
      <c r="P307" s="100">
        <f t="shared" si="125"/>
        <v>0</v>
      </c>
      <c r="Q307" s="78">
        <f t="shared" si="126"/>
        <v>0</v>
      </c>
      <c r="R307" s="100">
        <f t="shared" si="127"/>
        <v>0</v>
      </c>
      <c r="S307" s="79">
        <f t="shared" si="128"/>
        <v>0</v>
      </c>
      <c r="T307" s="176">
        <f t="shared" si="129"/>
        <v>0</v>
      </c>
      <c r="V307" s="256"/>
      <c r="Y307" t="e">
        <f>_xlfn.IFNA(VLOOKUP(C307,#REF!,2,FALSE),"")</f>
        <v>#REF!</v>
      </c>
      <c r="Z307" t="e">
        <f t="shared" si="108"/>
        <v>#REF!</v>
      </c>
      <c r="AA307" t="e">
        <f>_xlfn.IFNA(VLOOKUP(C307,#REF!,2,FALSE),F307)</f>
        <v>#REF!</v>
      </c>
      <c r="AB307" t="str">
        <f t="shared" si="105"/>
        <v/>
      </c>
      <c r="AD307" s="108"/>
      <c r="AE307" s="108"/>
    </row>
    <row r="308" spans="1:31">
      <c r="B308" s="93" t="s">
        <v>66</v>
      </c>
      <c r="C308" s="93" t="s">
        <v>1237</v>
      </c>
      <c r="D308" s="94" t="s">
        <v>113</v>
      </c>
      <c r="E308" s="93" t="s">
        <v>1265</v>
      </c>
      <c r="F308" s="202"/>
      <c r="H308" s="98" t="s">
        <v>66</v>
      </c>
      <c r="I308" s="98" t="s">
        <v>1284</v>
      </c>
      <c r="J308" s="99" t="s">
        <v>111</v>
      </c>
      <c r="K308" s="98" t="s">
        <v>62</v>
      </c>
      <c r="L308" s="99" t="s">
        <v>1272</v>
      </c>
      <c r="M308" s="98"/>
      <c r="N308" s="162">
        <f t="shared" si="123"/>
        <v>0</v>
      </c>
      <c r="O308" s="100">
        <f t="shared" si="124"/>
        <v>0</v>
      </c>
      <c r="P308" s="100">
        <f t="shared" si="125"/>
        <v>0</v>
      </c>
      <c r="Q308" s="78">
        <f t="shared" si="126"/>
        <v>0</v>
      </c>
      <c r="R308" s="100">
        <f t="shared" si="127"/>
        <v>0</v>
      </c>
      <c r="S308" s="79">
        <f t="shared" si="128"/>
        <v>0</v>
      </c>
      <c r="T308" s="176">
        <f t="shared" si="129"/>
        <v>0</v>
      </c>
      <c r="V308" s="256"/>
      <c r="Y308" t="e">
        <f>_xlfn.IFNA(VLOOKUP(C308,#REF!,2,FALSE),"")</f>
        <v>#REF!</v>
      </c>
      <c r="Z308" t="e">
        <f t="shared" si="108"/>
        <v>#REF!</v>
      </c>
      <c r="AA308" t="e">
        <f>_xlfn.IFNA(VLOOKUP(C308,#REF!,2,FALSE),F308)</f>
        <v>#REF!</v>
      </c>
      <c r="AB308" t="str">
        <f t="shared" si="105"/>
        <v/>
      </c>
      <c r="AD308" s="108"/>
      <c r="AE308" s="108"/>
    </row>
    <row r="309" spans="1:31">
      <c r="B309" s="93" t="s">
        <v>66</v>
      </c>
      <c r="C309" s="93" t="s">
        <v>1238</v>
      </c>
      <c r="D309" s="94" t="s">
        <v>113</v>
      </c>
      <c r="E309" s="93" t="s">
        <v>1266</v>
      </c>
      <c r="F309" s="202"/>
      <c r="H309" s="98" t="s">
        <v>66</v>
      </c>
      <c r="I309" s="98" t="s">
        <v>1285</v>
      </c>
      <c r="J309" s="99" t="s">
        <v>111</v>
      </c>
      <c r="K309" s="98" t="s">
        <v>106</v>
      </c>
      <c r="L309" s="99" t="s">
        <v>1273</v>
      </c>
      <c r="M309" s="98"/>
      <c r="N309" s="162">
        <f t="shared" si="123"/>
        <v>0</v>
      </c>
      <c r="O309" s="100">
        <f t="shared" si="124"/>
        <v>0</v>
      </c>
      <c r="P309" s="100">
        <f t="shared" si="125"/>
        <v>0</v>
      </c>
      <c r="Q309" s="78">
        <f t="shared" si="126"/>
        <v>0</v>
      </c>
      <c r="R309" s="100">
        <f t="shared" si="127"/>
        <v>0</v>
      </c>
      <c r="S309" s="79">
        <f t="shared" si="128"/>
        <v>0</v>
      </c>
      <c r="T309" s="176">
        <f t="shared" si="129"/>
        <v>0</v>
      </c>
      <c r="V309" s="256"/>
      <c r="Y309" t="e">
        <f>_xlfn.IFNA(VLOOKUP(C309,#REF!,2,FALSE),"")</f>
        <v>#REF!</v>
      </c>
      <c r="Z309" t="e">
        <f t="shared" si="108"/>
        <v>#REF!</v>
      </c>
      <c r="AA309" t="e">
        <f>_xlfn.IFNA(VLOOKUP(C309,#REF!,2,FALSE),F309)</f>
        <v>#REF!</v>
      </c>
      <c r="AB309" t="str">
        <f t="shared" si="105"/>
        <v/>
      </c>
      <c r="AD309" s="108"/>
      <c r="AE309" s="108"/>
    </row>
    <row r="310" spans="1:31">
      <c r="B310" s="93" t="s">
        <v>66</v>
      </c>
      <c r="C310" s="93" t="s">
        <v>1239</v>
      </c>
      <c r="D310" s="94" t="s">
        <v>113</v>
      </c>
      <c r="E310" s="93" t="s">
        <v>1267</v>
      </c>
      <c r="F310" s="202"/>
      <c r="H310" s="98" t="s">
        <v>66</v>
      </c>
      <c r="I310" s="98" t="s">
        <v>1286</v>
      </c>
      <c r="J310" s="99" t="s">
        <v>111</v>
      </c>
      <c r="K310" s="98" t="s">
        <v>73</v>
      </c>
      <c r="L310" s="99" t="s">
        <v>1274</v>
      </c>
      <c r="M310" s="98"/>
      <c r="N310" s="162">
        <f t="shared" si="123"/>
        <v>0</v>
      </c>
      <c r="O310" s="100">
        <f t="shared" si="124"/>
        <v>0</v>
      </c>
      <c r="P310" s="100">
        <f t="shared" si="125"/>
        <v>0</v>
      </c>
      <c r="Q310" s="78">
        <f t="shared" si="126"/>
        <v>0</v>
      </c>
      <c r="R310" s="100">
        <f t="shared" si="127"/>
        <v>0</v>
      </c>
      <c r="S310" s="79">
        <f t="shared" si="128"/>
        <v>0</v>
      </c>
      <c r="T310" s="176">
        <f t="shared" si="129"/>
        <v>0</v>
      </c>
      <c r="V310" s="256"/>
      <c r="Y310" t="e">
        <f>_xlfn.IFNA(VLOOKUP(C310,#REF!,2,FALSE),"")</f>
        <v>#REF!</v>
      </c>
      <c r="Z310" t="e">
        <f>IF(Y310="","",F310)</f>
        <v>#REF!</v>
      </c>
      <c r="AA310" t="e">
        <f>_xlfn.IFNA(VLOOKUP(C310,#REF!,2,FALSE),F310)</f>
        <v>#REF!</v>
      </c>
      <c r="AB310" t="str">
        <f>IF(ISERROR(Y310),"",Y310=Z310)</f>
        <v/>
      </c>
      <c r="AD310" s="108"/>
      <c r="AE310" s="108"/>
    </row>
    <row r="311" spans="1:31">
      <c r="B311" s="93" t="s">
        <v>66</v>
      </c>
      <c r="C311" s="93" t="s">
        <v>1240</v>
      </c>
      <c r="D311" s="94" t="s">
        <v>113</v>
      </c>
      <c r="E311" s="93" t="s">
        <v>483</v>
      </c>
      <c r="F311" s="202"/>
      <c r="H311" s="98" t="s">
        <v>66</v>
      </c>
      <c r="I311" s="98" t="s">
        <v>1287</v>
      </c>
      <c r="J311" s="99" t="s">
        <v>111</v>
      </c>
      <c r="K311" s="98" t="s">
        <v>1268</v>
      </c>
      <c r="L311" s="99" t="s">
        <v>1884</v>
      </c>
      <c r="M311" s="98"/>
      <c r="N311" s="162">
        <f t="shared" si="123"/>
        <v>0</v>
      </c>
      <c r="O311" s="100">
        <f t="shared" si="124"/>
        <v>0</v>
      </c>
      <c r="P311" s="100">
        <f t="shared" si="125"/>
        <v>0</v>
      </c>
      <c r="Q311" s="78">
        <f t="shared" si="126"/>
        <v>0</v>
      </c>
      <c r="R311" s="100">
        <f t="shared" si="127"/>
        <v>0</v>
      </c>
      <c r="S311" s="79">
        <f t="shared" si="128"/>
        <v>0</v>
      </c>
      <c r="T311" s="176">
        <f t="shared" si="129"/>
        <v>0</v>
      </c>
      <c r="V311" s="256"/>
      <c r="Y311" t="e">
        <f>_xlfn.IFNA(VLOOKUP(C311,#REF!,2,FALSE),"")</f>
        <v>#REF!</v>
      </c>
      <c r="Z311" t="e">
        <f t="shared" si="108"/>
        <v>#REF!</v>
      </c>
      <c r="AA311" t="e">
        <f>_xlfn.IFNA(VLOOKUP(C311,#REF!,2,FALSE),F311)</f>
        <v>#REF!</v>
      </c>
      <c r="AB311" t="str">
        <f t="shared" si="105"/>
        <v/>
      </c>
      <c r="AD311" s="108"/>
      <c r="AE311" s="108"/>
    </row>
    <row r="312" spans="1:31">
      <c r="B312" s="93" t="s">
        <v>66</v>
      </c>
      <c r="C312" s="93" t="s">
        <v>1241</v>
      </c>
      <c r="D312" s="94" t="s">
        <v>113</v>
      </c>
      <c r="E312" s="93" t="s">
        <v>484</v>
      </c>
      <c r="F312" s="202"/>
      <c r="H312" s="98" t="s">
        <v>66</v>
      </c>
      <c r="I312" s="98" t="s">
        <v>1288</v>
      </c>
      <c r="J312" s="99" t="s">
        <v>111</v>
      </c>
      <c r="K312" s="98" t="s">
        <v>64</v>
      </c>
      <c r="L312" s="99" t="s">
        <v>1275</v>
      </c>
      <c r="M312" s="98"/>
      <c r="N312" s="162">
        <f t="shared" si="123"/>
        <v>0</v>
      </c>
      <c r="O312" s="100">
        <f t="shared" si="124"/>
        <v>0</v>
      </c>
      <c r="P312" s="100">
        <f t="shared" si="125"/>
        <v>0</v>
      </c>
      <c r="Q312" s="78">
        <f t="shared" si="126"/>
        <v>0</v>
      </c>
      <c r="R312" s="100">
        <f t="shared" si="127"/>
        <v>0</v>
      </c>
      <c r="S312" s="79">
        <f t="shared" si="128"/>
        <v>0</v>
      </c>
      <c r="T312" s="176">
        <f t="shared" si="129"/>
        <v>0</v>
      </c>
      <c r="V312" s="256"/>
      <c r="Y312" t="e">
        <f>_xlfn.IFNA(VLOOKUP(C312,#REF!,2,FALSE),"")</f>
        <v>#REF!</v>
      </c>
      <c r="Z312" t="e">
        <f t="shared" si="108"/>
        <v>#REF!</v>
      </c>
      <c r="AA312" t="e">
        <f>_xlfn.IFNA(VLOOKUP(C312,#REF!,2,FALSE),F312)</f>
        <v>#REF!</v>
      </c>
      <c r="AB312" t="str">
        <f t="shared" si="105"/>
        <v/>
      </c>
      <c r="AD312" s="108"/>
      <c r="AE312" s="108"/>
    </row>
    <row r="313" spans="1:31">
      <c r="B313" s="93" t="s">
        <v>66</v>
      </c>
      <c r="C313" s="93" t="s">
        <v>1242</v>
      </c>
      <c r="D313" s="94" t="s">
        <v>113</v>
      </c>
      <c r="E313" s="93" t="s">
        <v>1276</v>
      </c>
      <c r="F313" s="202"/>
      <c r="H313" s="98" t="s">
        <v>66</v>
      </c>
      <c r="I313" s="98" t="s">
        <v>1289</v>
      </c>
      <c r="J313" s="99" t="s">
        <v>111</v>
      </c>
      <c r="K313" s="98" t="s">
        <v>323</v>
      </c>
      <c r="L313" s="99" t="s">
        <v>1292</v>
      </c>
      <c r="M313" s="98"/>
      <c r="N313" s="162">
        <f t="shared" si="123"/>
        <v>0</v>
      </c>
      <c r="O313" s="100">
        <f t="shared" si="124"/>
        <v>0</v>
      </c>
      <c r="P313" s="100">
        <f t="shared" si="125"/>
        <v>0</v>
      </c>
      <c r="Q313" s="78">
        <f t="shared" si="126"/>
        <v>0</v>
      </c>
      <c r="R313" s="100">
        <f t="shared" si="127"/>
        <v>0</v>
      </c>
      <c r="S313" s="79">
        <f t="shared" si="128"/>
        <v>0</v>
      </c>
      <c r="T313" s="176">
        <f t="shared" si="129"/>
        <v>0</v>
      </c>
      <c r="V313" s="256"/>
      <c r="Y313" t="e">
        <f>_xlfn.IFNA(VLOOKUP(C313,#REF!,2,FALSE),"")</f>
        <v>#REF!</v>
      </c>
      <c r="Z313" t="e">
        <f t="shared" si="108"/>
        <v>#REF!</v>
      </c>
      <c r="AA313" t="e">
        <f>_xlfn.IFNA(VLOOKUP(C313,#REF!,2,FALSE),F313)</f>
        <v>#REF!</v>
      </c>
      <c r="AB313" t="str">
        <f t="shared" si="105"/>
        <v/>
      </c>
      <c r="AD313" s="108"/>
      <c r="AE313" s="108"/>
    </row>
    <row r="314" spans="1:31">
      <c r="B314" s="93" t="s">
        <v>66</v>
      </c>
      <c r="C314" s="93" t="s">
        <v>1243</v>
      </c>
      <c r="D314" s="94" t="s">
        <v>113</v>
      </c>
      <c r="E314" s="93" t="s">
        <v>1277</v>
      </c>
      <c r="F314" s="202"/>
      <c r="H314" s="98" t="s">
        <v>66</v>
      </c>
      <c r="I314" s="98" t="s">
        <v>1289</v>
      </c>
      <c r="J314" s="99" t="s">
        <v>111</v>
      </c>
      <c r="K314" s="98" t="s">
        <v>323</v>
      </c>
      <c r="L314" s="99" t="s">
        <v>1280</v>
      </c>
      <c r="M314" s="98"/>
      <c r="N314" s="162">
        <f t="shared" si="123"/>
        <v>0</v>
      </c>
      <c r="O314" s="100">
        <f t="shared" si="124"/>
        <v>0</v>
      </c>
      <c r="P314" s="100">
        <f t="shared" si="125"/>
        <v>0</v>
      </c>
      <c r="Q314" s="78">
        <f t="shared" si="126"/>
        <v>0</v>
      </c>
      <c r="R314" s="100">
        <f t="shared" si="127"/>
        <v>0</v>
      </c>
      <c r="S314" s="79">
        <f t="shared" si="128"/>
        <v>0</v>
      </c>
      <c r="T314" s="176">
        <f t="shared" si="129"/>
        <v>0</v>
      </c>
      <c r="V314" s="256"/>
      <c r="Y314" t="e">
        <f>_xlfn.IFNA(VLOOKUP(C314,#REF!,2,FALSE),"")</f>
        <v>#REF!</v>
      </c>
      <c r="Z314" t="e">
        <f t="shared" si="108"/>
        <v>#REF!</v>
      </c>
      <c r="AA314" t="e">
        <f>_xlfn.IFNA(VLOOKUP(C314,#REF!,2,FALSE),F314)</f>
        <v>#REF!</v>
      </c>
      <c r="AB314" t="str">
        <f t="shared" si="105"/>
        <v/>
      </c>
      <c r="AD314" s="108"/>
      <c r="AE314" s="108"/>
    </row>
    <row r="315" spans="1:31">
      <c r="B315" s="93" t="s">
        <v>66</v>
      </c>
      <c r="C315" s="93" t="s">
        <v>1307</v>
      </c>
      <c r="D315" s="94" t="s">
        <v>113</v>
      </c>
      <c r="E315" s="93" t="s">
        <v>482</v>
      </c>
      <c r="F315" s="202"/>
      <c r="H315" s="98" t="s">
        <v>66</v>
      </c>
      <c r="I315" s="98" t="s">
        <v>1290</v>
      </c>
      <c r="J315" s="99" t="s">
        <v>111</v>
      </c>
      <c r="K315" s="98" t="s">
        <v>100</v>
      </c>
      <c r="L315" s="99" t="s">
        <v>1278</v>
      </c>
      <c r="M315" s="98"/>
      <c r="N315" s="162">
        <f t="shared" si="123"/>
        <v>0</v>
      </c>
      <c r="O315" s="100">
        <f t="shared" si="124"/>
        <v>0</v>
      </c>
      <c r="P315" s="100">
        <f t="shared" si="125"/>
        <v>0</v>
      </c>
      <c r="Q315" s="78">
        <f t="shared" si="126"/>
        <v>0</v>
      </c>
      <c r="R315" s="100">
        <f t="shared" si="127"/>
        <v>0</v>
      </c>
      <c r="S315" s="79">
        <f t="shared" si="128"/>
        <v>0</v>
      </c>
      <c r="T315" s="176">
        <f t="shared" si="129"/>
        <v>0</v>
      </c>
      <c r="V315" s="256"/>
      <c r="Y315" t="e">
        <f>_xlfn.IFNA(VLOOKUP(C315,#REF!,2,FALSE),"")</f>
        <v>#REF!</v>
      </c>
      <c r="Z315" t="e">
        <f t="shared" si="108"/>
        <v>#REF!</v>
      </c>
      <c r="AA315" t="e">
        <f>_xlfn.IFNA(VLOOKUP(C315,#REF!,2,FALSE),F315)</f>
        <v>#REF!</v>
      </c>
      <c r="AB315" t="str">
        <f t="shared" si="105"/>
        <v/>
      </c>
      <c r="AD315" s="108"/>
      <c r="AE315" s="108"/>
    </row>
    <row r="316" spans="1:31">
      <c r="B316" s="93" t="s">
        <v>66</v>
      </c>
      <c r="C316" s="93" t="s">
        <v>1244</v>
      </c>
      <c r="D316" s="94" t="s">
        <v>113</v>
      </c>
      <c r="E316" s="93" t="s">
        <v>1882</v>
      </c>
      <c r="F316" s="202"/>
      <c r="H316" s="98" t="s">
        <v>66</v>
      </c>
      <c r="I316" s="98" t="s">
        <v>1291</v>
      </c>
      <c r="J316" s="99" t="s">
        <v>111</v>
      </c>
      <c r="K316" s="98" t="s">
        <v>58</v>
      </c>
      <c r="L316" s="99" t="s">
        <v>1279</v>
      </c>
      <c r="M316" s="98"/>
      <c r="N316" s="162">
        <f t="shared" si="123"/>
        <v>0</v>
      </c>
      <c r="O316" s="100">
        <f t="shared" si="124"/>
        <v>0</v>
      </c>
      <c r="P316" s="100">
        <f t="shared" si="125"/>
        <v>0</v>
      </c>
      <c r="Q316" s="78">
        <f t="shared" si="126"/>
        <v>0</v>
      </c>
      <c r="R316" s="100">
        <f t="shared" si="127"/>
        <v>0</v>
      </c>
      <c r="S316" s="79">
        <f t="shared" si="128"/>
        <v>0</v>
      </c>
      <c r="T316" s="176">
        <f t="shared" si="129"/>
        <v>0</v>
      </c>
      <c r="V316" s="256"/>
      <c r="Y316" t="e">
        <f>_xlfn.IFNA(VLOOKUP(C316,#REF!,2,FALSE),"")</f>
        <v>#REF!</v>
      </c>
      <c r="Z316" t="e">
        <f t="shared" si="108"/>
        <v>#REF!</v>
      </c>
      <c r="AA316" t="e">
        <f>_xlfn.IFNA(VLOOKUP(C316,#REF!,2,FALSE),F316)</f>
        <v>#REF!</v>
      </c>
      <c r="AB316" t="str">
        <f t="shared" si="105"/>
        <v/>
      </c>
      <c r="AD316" s="108"/>
      <c r="AE316" s="108"/>
    </row>
    <row r="317" spans="1:31">
      <c r="B317" s="93" t="s">
        <v>66</v>
      </c>
      <c r="C317" s="93" t="s">
        <v>1296</v>
      </c>
      <c r="D317" s="94" t="s">
        <v>113</v>
      </c>
      <c r="E317" s="93" t="s">
        <v>1302</v>
      </c>
      <c r="F317" s="202"/>
      <c r="H317" s="98" t="s">
        <v>66</v>
      </c>
      <c r="I317" s="98" t="s">
        <v>1303</v>
      </c>
      <c r="J317" s="99" t="s">
        <v>111</v>
      </c>
      <c r="K317" s="98" t="s">
        <v>62</v>
      </c>
      <c r="L317" s="99" t="s">
        <v>1304</v>
      </c>
      <c r="M317" s="98"/>
      <c r="N317" s="162">
        <f t="shared" ref="N317" si="130">F317</f>
        <v>0</v>
      </c>
      <c r="O317" s="100">
        <f t="shared" si="124"/>
        <v>0</v>
      </c>
      <c r="P317" s="100">
        <f t="shared" si="125"/>
        <v>0</v>
      </c>
      <c r="Q317" s="78">
        <f t="shared" si="126"/>
        <v>0</v>
      </c>
      <c r="R317" s="100">
        <f t="shared" si="127"/>
        <v>0</v>
      </c>
      <c r="S317" s="79">
        <f t="shared" si="128"/>
        <v>0</v>
      </c>
      <c r="T317" s="176">
        <f t="shared" si="129"/>
        <v>0</v>
      </c>
      <c r="V317" s="256"/>
      <c r="Y317" t="e">
        <f>_xlfn.IFNA(VLOOKUP(C317,#REF!,2,FALSE),"")</f>
        <v>#REF!</v>
      </c>
      <c r="Z317" t="e">
        <f t="shared" si="108"/>
        <v>#REF!</v>
      </c>
      <c r="AA317" t="e">
        <f>_xlfn.IFNA(VLOOKUP(C317,#REF!,2,FALSE),F317)</f>
        <v>#REF!</v>
      </c>
      <c r="AB317" t="str">
        <f t="shared" si="105"/>
        <v/>
      </c>
      <c r="AD317" s="108"/>
      <c r="AE317" s="108"/>
    </row>
    <row r="318" spans="1:31">
      <c r="B318" s="93" t="s">
        <v>66</v>
      </c>
      <c r="C318" s="93" t="s">
        <v>1308</v>
      </c>
      <c r="D318" s="94" t="s">
        <v>113</v>
      </c>
      <c r="E318" s="93" t="s">
        <v>567</v>
      </c>
      <c r="F318" s="202"/>
      <c r="H318" s="98" t="s">
        <v>66</v>
      </c>
      <c r="I318" s="98" t="s">
        <v>1291</v>
      </c>
      <c r="J318" s="99" t="s">
        <v>111</v>
      </c>
      <c r="K318" s="98" t="s">
        <v>58</v>
      </c>
      <c r="L318" s="99" t="s">
        <v>1279</v>
      </c>
      <c r="M318" s="98"/>
      <c r="N318" s="162">
        <f t="shared" ref="N318:N324" si="131">F318</f>
        <v>0</v>
      </c>
      <c r="O318" s="100">
        <f t="shared" si="124"/>
        <v>0</v>
      </c>
      <c r="P318" s="100">
        <f t="shared" si="125"/>
        <v>0</v>
      </c>
      <c r="Q318" s="78">
        <f t="shared" si="126"/>
        <v>0</v>
      </c>
      <c r="R318" s="100">
        <f t="shared" si="127"/>
        <v>0</v>
      </c>
      <c r="S318" s="79">
        <f t="shared" si="128"/>
        <v>0</v>
      </c>
      <c r="T318" s="176">
        <f t="shared" si="129"/>
        <v>0</v>
      </c>
      <c r="V318" s="256"/>
      <c r="Y318" t="e">
        <f>_xlfn.IFNA(VLOOKUP(C318,#REF!,2,FALSE),"")</f>
        <v>#REF!</v>
      </c>
      <c r="Z318" t="e">
        <f t="shared" si="108"/>
        <v>#REF!</v>
      </c>
      <c r="AA318" t="e">
        <f>_xlfn.IFNA(VLOOKUP(C318,#REF!,2,FALSE),F318)</f>
        <v>#REF!</v>
      </c>
      <c r="AB318" t="str">
        <f t="shared" si="105"/>
        <v/>
      </c>
      <c r="AD318" s="108"/>
      <c r="AE318" s="108"/>
    </row>
    <row r="319" spans="1:31">
      <c r="A319" s="363"/>
      <c r="B319" s="93" t="s">
        <v>66</v>
      </c>
      <c r="C319" s="93" t="s">
        <v>1889</v>
      </c>
      <c r="D319" s="94" t="s">
        <v>113</v>
      </c>
      <c r="E319" s="93" t="s">
        <v>488</v>
      </c>
      <c r="F319" s="202"/>
      <c r="H319" s="98"/>
      <c r="I319" s="98"/>
      <c r="J319" s="99"/>
      <c r="K319" s="98"/>
      <c r="L319" s="99"/>
      <c r="M319" s="358"/>
      <c r="N319" s="162">
        <f t="shared" ref="N319:N320" si="132">F319</f>
        <v>0</v>
      </c>
      <c r="O319" s="100">
        <f t="shared" si="124"/>
        <v>0</v>
      </c>
      <c r="P319" s="100">
        <f t="shared" si="125"/>
        <v>0</v>
      </c>
      <c r="Q319" s="78">
        <f t="shared" si="126"/>
        <v>0</v>
      </c>
      <c r="R319" s="100">
        <f t="shared" si="127"/>
        <v>0</v>
      </c>
      <c r="S319" s="79">
        <f t="shared" si="128"/>
        <v>0</v>
      </c>
      <c r="T319" s="176">
        <f t="shared" si="129"/>
        <v>0</v>
      </c>
      <c r="V319" s="256"/>
      <c r="Y319" t="e">
        <f>_xlfn.IFNA(VLOOKUP(C319,#REF!,2,FALSE),"")</f>
        <v>#REF!</v>
      </c>
      <c r="Z319" t="e">
        <f t="shared" ref="Z319:Z320" si="133">IF(Y319="","",F319)</f>
        <v>#REF!</v>
      </c>
      <c r="AA319" t="e">
        <f>_xlfn.IFNA(VLOOKUP(C319,#REF!,2,FALSE),F319)</f>
        <v>#REF!</v>
      </c>
      <c r="AB319" t="str">
        <f t="shared" ref="AB319:AB320" si="134">IF(ISERROR(Y319),"",Y319=Z319)</f>
        <v/>
      </c>
      <c r="AD319" s="108"/>
      <c r="AE319" s="108"/>
    </row>
    <row r="320" spans="1:31">
      <c r="A320" s="363"/>
      <c r="B320" s="93" t="s">
        <v>66</v>
      </c>
      <c r="C320" s="93" t="s">
        <v>1890</v>
      </c>
      <c r="D320" s="94" t="s">
        <v>113</v>
      </c>
      <c r="E320" s="93" t="s">
        <v>1887</v>
      </c>
      <c r="F320" s="202"/>
      <c r="H320" s="98"/>
      <c r="I320" s="98"/>
      <c r="J320" s="99"/>
      <c r="K320" s="98"/>
      <c r="L320" s="99"/>
      <c r="M320" s="358"/>
      <c r="N320" s="162">
        <f t="shared" si="132"/>
        <v>0</v>
      </c>
      <c r="O320" s="100">
        <f t="shared" si="124"/>
        <v>0</v>
      </c>
      <c r="P320" s="100">
        <f t="shared" si="125"/>
        <v>0</v>
      </c>
      <c r="Q320" s="78">
        <f t="shared" si="126"/>
        <v>0</v>
      </c>
      <c r="R320" s="100">
        <f t="shared" si="127"/>
        <v>0</v>
      </c>
      <c r="S320" s="79">
        <f t="shared" si="128"/>
        <v>0</v>
      </c>
      <c r="T320" s="176">
        <f t="shared" si="129"/>
        <v>0</v>
      </c>
      <c r="V320" s="256"/>
      <c r="Y320" t="e">
        <f>_xlfn.IFNA(VLOOKUP(C320,#REF!,2,FALSE),"")</f>
        <v>#REF!</v>
      </c>
      <c r="Z320" t="e">
        <f t="shared" si="133"/>
        <v>#REF!</v>
      </c>
      <c r="AA320" t="e">
        <f>_xlfn.IFNA(VLOOKUP(C320,#REF!,2,FALSE),F320)</f>
        <v>#REF!</v>
      </c>
      <c r="AB320" t="str">
        <f t="shared" si="134"/>
        <v/>
      </c>
      <c r="AD320" s="108"/>
      <c r="AE320" s="108"/>
    </row>
    <row r="321" spans="1:31">
      <c r="A321" s="347"/>
      <c r="B321" s="93" t="s">
        <v>66</v>
      </c>
      <c r="C321" s="93" t="s">
        <v>1894</v>
      </c>
      <c r="D321" s="94" t="s">
        <v>113</v>
      </c>
      <c r="E321" s="93"/>
      <c r="F321" s="202"/>
      <c r="H321" s="98"/>
      <c r="I321" s="98"/>
      <c r="J321" s="99"/>
      <c r="K321" s="98"/>
      <c r="L321" s="99"/>
      <c r="M321" s="358"/>
      <c r="N321" s="162">
        <f t="shared" ref="N321" si="135">F321</f>
        <v>0</v>
      </c>
      <c r="O321" s="100">
        <f t="shared" si="124"/>
        <v>0</v>
      </c>
      <c r="P321" s="100">
        <f t="shared" si="125"/>
        <v>0</v>
      </c>
      <c r="Q321" s="78">
        <f t="shared" si="126"/>
        <v>0</v>
      </c>
      <c r="R321" s="100">
        <f t="shared" si="127"/>
        <v>0</v>
      </c>
      <c r="S321" s="79">
        <f t="shared" si="128"/>
        <v>0</v>
      </c>
      <c r="T321" s="176">
        <f t="shared" si="129"/>
        <v>0</v>
      </c>
      <c r="V321" s="256"/>
      <c r="Y321" t="e">
        <f>_xlfn.IFNA(VLOOKUP(C321,#REF!,2,FALSE),"")</f>
        <v>#REF!</v>
      </c>
      <c r="Z321" t="e">
        <f t="shared" ref="Z321" si="136">IF(Y321="","",F321)</f>
        <v>#REF!</v>
      </c>
      <c r="AA321" t="e">
        <f>_xlfn.IFNA(VLOOKUP(C321,#REF!,2,FALSE),F321)</f>
        <v>#REF!</v>
      </c>
      <c r="AB321" t="str">
        <f t="shared" ref="AB321" si="137">IF(ISERROR(Y321),"",Y321=Z321)</f>
        <v/>
      </c>
      <c r="AD321" s="108"/>
      <c r="AE321" s="108"/>
    </row>
    <row r="322" spans="1:31">
      <c r="A322" s="347"/>
      <c r="B322" s="93" t="s">
        <v>66</v>
      </c>
      <c r="C322" s="93" t="s">
        <v>1918</v>
      </c>
      <c r="D322" s="94" t="s">
        <v>113</v>
      </c>
      <c r="E322" s="93" t="s">
        <v>1924</v>
      </c>
      <c r="F322" s="202"/>
      <c r="H322" s="98"/>
      <c r="I322" s="98"/>
      <c r="J322" s="99"/>
      <c r="K322" s="98"/>
      <c r="L322" s="99"/>
      <c r="M322" s="358"/>
      <c r="N322" s="162">
        <f t="shared" ref="N322" si="138">F322</f>
        <v>0</v>
      </c>
      <c r="O322" s="100">
        <f t="shared" ref="O322" si="139">(N322*0.4+$I$327*0.42+$I$328*0.18)</f>
        <v>0</v>
      </c>
      <c r="P322" s="100">
        <f t="shared" ref="P322" si="140">N322*0.4+$I$327*0.24+$I$330*0.12+$I$331*0.24</f>
        <v>0</v>
      </c>
      <c r="Q322" s="78">
        <f t="shared" ref="Q322" si="141">N322*0.5+$I$327*0.15+$I$329*0.1+$I$330*0.25</f>
        <v>0</v>
      </c>
      <c r="R322" s="100">
        <f t="shared" ref="R322" si="142">N322*0.4+$I$327*0.6</f>
        <v>0</v>
      </c>
      <c r="S322" s="79">
        <f t="shared" ref="S322" si="143">(N322*0.4+$I$327*0.36+$I$328*0.24)</f>
        <v>0</v>
      </c>
      <c r="T322" s="176">
        <f t="shared" ref="T322" si="144">(N322*0.44+$I$327*0.45+$I$328*0.11)</f>
        <v>0</v>
      </c>
      <c r="V322" s="256"/>
      <c r="Y322" t="e">
        <f>_xlfn.IFNA(VLOOKUP(C322,#REF!,2,FALSE),"")</f>
        <v>#REF!</v>
      </c>
      <c r="Z322" t="e">
        <f t="shared" ref="Z322" si="145">IF(Y322="","",F322)</f>
        <v>#REF!</v>
      </c>
      <c r="AA322" t="e">
        <f>_xlfn.IFNA(VLOOKUP(C322,#REF!,2,FALSE),F322)</f>
        <v>#REF!</v>
      </c>
      <c r="AB322" t="str">
        <f t="shared" ref="AB322" si="146">IF(ISERROR(Y322),"",Y322=Z322)</f>
        <v/>
      </c>
      <c r="AD322" s="108"/>
      <c r="AE322" s="108"/>
    </row>
    <row r="323" spans="1:31">
      <c r="A323" s="347"/>
      <c r="B323" s="93" t="s">
        <v>66</v>
      </c>
      <c r="C323" s="93" t="s">
        <v>1922</v>
      </c>
      <c r="D323" s="94" t="s">
        <v>113</v>
      </c>
      <c r="E323" s="93" t="s">
        <v>2148</v>
      </c>
      <c r="F323" s="202"/>
      <c r="H323" s="98"/>
      <c r="I323" s="98"/>
      <c r="J323" s="99"/>
      <c r="K323" s="98"/>
      <c r="L323" s="99"/>
      <c r="M323" s="358"/>
      <c r="N323" s="162">
        <f t="shared" ref="N323" si="147">F323</f>
        <v>0</v>
      </c>
      <c r="O323" s="100">
        <f t="shared" ref="O323" si="148">(N323*0.4+$I$327*0.42+$I$328*0.18)</f>
        <v>0</v>
      </c>
      <c r="P323" s="100">
        <f t="shared" ref="P323" si="149">N323*0.4+$I$327*0.24+$I$330*0.12+$I$331*0.24</f>
        <v>0</v>
      </c>
      <c r="Q323" s="78">
        <f t="shared" ref="Q323" si="150">N323*0.5+$I$327*0.15+$I$329*0.1+$I$330*0.25</f>
        <v>0</v>
      </c>
      <c r="R323" s="100">
        <f t="shared" ref="R323" si="151">N323*0.4+$I$327*0.6</f>
        <v>0</v>
      </c>
      <c r="S323" s="79">
        <f t="shared" ref="S323" si="152">(N323*0.4+$I$327*0.36+$I$328*0.24)</f>
        <v>0</v>
      </c>
      <c r="T323" s="176">
        <f t="shared" ref="T323" si="153">(N323*0.44+$I$327*0.45+$I$328*0.11)</f>
        <v>0</v>
      </c>
      <c r="V323" s="256"/>
      <c r="Y323" t="e">
        <f>_xlfn.IFNA(VLOOKUP(C323,#REF!,2,FALSE),"")</f>
        <v>#REF!</v>
      </c>
      <c r="Z323" t="e">
        <f t="shared" ref="Z323" si="154">IF(Y323="","",F323)</f>
        <v>#REF!</v>
      </c>
      <c r="AA323" t="e">
        <f>_xlfn.IFNA(VLOOKUP(C323,#REF!,2,FALSE),F323)</f>
        <v>#REF!</v>
      </c>
      <c r="AB323" t="str">
        <f t="shared" ref="AB323" si="155">IF(ISERROR(Y323),"",Y323=Z323)</f>
        <v/>
      </c>
      <c r="AD323" s="108"/>
      <c r="AE323" s="108"/>
    </row>
    <row r="324" spans="1:31">
      <c r="A324" s="347"/>
      <c r="B324" s="93" t="s">
        <v>66</v>
      </c>
      <c r="C324" s="93" t="s">
        <v>1878</v>
      </c>
      <c r="D324" s="94" t="s">
        <v>113</v>
      </c>
      <c r="E324" s="93" t="s">
        <v>1298</v>
      </c>
      <c r="F324" s="202"/>
      <c r="H324" s="98" t="s">
        <v>66</v>
      </c>
      <c r="I324" s="98" t="s">
        <v>1299</v>
      </c>
      <c r="J324" s="99" t="s">
        <v>111</v>
      </c>
      <c r="K324" s="98" t="s">
        <v>59</v>
      </c>
      <c r="L324" s="99" t="s">
        <v>1300</v>
      </c>
      <c r="M324" s="358"/>
      <c r="N324" s="162">
        <f t="shared" si="131"/>
        <v>0</v>
      </c>
      <c r="O324" s="100">
        <f t="shared" ref="O324" si="156">(N324*0.4+$I$327*0.42+$I$328*0.18)</f>
        <v>0</v>
      </c>
      <c r="P324" s="100">
        <f t="shared" ref="P324" si="157">N324*0.4+$I$327*0.24+$I$330*0.12+$I$331*0.24</f>
        <v>0</v>
      </c>
      <c r="Q324" s="78">
        <f t="shared" ref="Q324" si="158">N324*0.5+$I$327*0.15+$I$329*0.1+$I$330*0.25</f>
        <v>0</v>
      </c>
      <c r="R324" s="100">
        <f t="shared" ref="R324" si="159">N324*0.4+$I$327*0.6</f>
        <v>0</v>
      </c>
      <c r="S324" s="79">
        <f t="shared" ref="S324" si="160">(N324*0.4+$I$327*0.36+$I$328*0.24)</f>
        <v>0</v>
      </c>
      <c r="T324" s="176">
        <f t="shared" ref="T324" si="161">(N324*0.44+$I$327*0.45+$I$328*0.11)</f>
        <v>0</v>
      </c>
      <c r="V324" s="302"/>
      <c r="Y324" t="e">
        <f>_xlfn.IFNA(VLOOKUP(C324,#REF!,2,FALSE),"")</f>
        <v>#REF!</v>
      </c>
      <c r="Z324" t="e">
        <f t="shared" ref="Z324" si="162">IF(Y324="","",F324)</f>
        <v>#REF!</v>
      </c>
      <c r="AA324" t="e">
        <f>_xlfn.IFNA(VLOOKUP(C324,#REF!,2,FALSE),F324)</f>
        <v>#REF!</v>
      </c>
      <c r="AB324" t="str">
        <f t="shared" ref="AB324" si="163">IF(ISERROR(Y324),"",Y324=Z324)</f>
        <v/>
      </c>
      <c r="AD324" s="108"/>
      <c r="AE324" s="108"/>
    </row>
    <row r="325" spans="1:31">
      <c r="Y325" t="e">
        <f>_xlfn.IFNA(VLOOKUP(C325,#REF!,2,FALSE),"")</f>
        <v>#REF!</v>
      </c>
    </row>
    <row r="326" spans="1:31" ht="15.75" thickBot="1">
      <c r="F326" s="106" t="s">
        <v>227</v>
      </c>
      <c r="H326" s="106"/>
      <c r="I326" s="168" t="s">
        <v>5155</v>
      </c>
      <c r="J326" s="168" t="s">
        <v>2464</v>
      </c>
    </row>
    <row r="327" spans="1:31">
      <c r="F327" s="84" t="s">
        <v>109</v>
      </c>
      <c r="G327" s="84"/>
      <c r="H327" s="84" t="s">
        <v>84</v>
      </c>
      <c r="I327" s="148"/>
      <c r="J327" s="148"/>
    </row>
    <row r="328" spans="1:31">
      <c r="F328" s="84" t="s">
        <v>110</v>
      </c>
      <c r="G328" s="84"/>
      <c r="H328" s="84" t="s">
        <v>85</v>
      </c>
      <c r="I328" s="149"/>
      <c r="J328" s="149"/>
      <c r="K328" s="108"/>
    </row>
    <row r="329" spans="1:31">
      <c r="F329" s="84" t="s">
        <v>573</v>
      </c>
      <c r="G329" s="84"/>
      <c r="H329" s="84" t="s">
        <v>575</v>
      </c>
      <c r="I329" s="149"/>
      <c r="J329" s="149"/>
      <c r="K329" s="347" t="s">
        <v>1316</v>
      </c>
    </row>
    <row r="330" spans="1:31">
      <c r="F330" s="84" t="s">
        <v>1184</v>
      </c>
      <c r="G330" s="84"/>
      <c r="H330" s="84" t="s">
        <v>1183</v>
      </c>
      <c r="I330" s="149"/>
      <c r="J330" s="149"/>
      <c r="K330" s="142" t="s">
        <v>1315</v>
      </c>
    </row>
    <row r="331" spans="1:31" ht="15.75" thickBot="1">
      <c r="F331" s="84" t="s">
        <v>572</v>
      </c>
      <c r="G331" s="84"/>
      <c r="H331" s="84" t="s">
        <v>574</v>
      </c>
      <c r="I331" s="150"/>
      <c r="J331" s="150"/>
      <c r="K331" s="142"/>
    </row>
    <row r="332" spans="1:31" ht="15.75" thickBot="1">
      <c r="K332" s="142"/>
      <c r="L332" s="67"/>
      <c r="M332" s="67"/>
    </row>
    <row r="333" spans="1:31" ht="16.5" thickTop="1" thickBot="1">
      <c r="F333"/>
      <c r="H333" s="110" t="s">
        <v>277</v>
      </c>
      <c r="I333" s="111"/>
      <c r="J333" s="111"/>
      <c r="K333" s="111"/>
      <c r="L333" s="112"/>
      <c r="M333" s="110" t="s">
        <v>278</v>
      </c>
      <c r="N333" s="111"/>
      <c r="O333" s="111"/>
      <c r="P333" s="111"/>
      <c r="Q333" s="113"/>
    </row>
    <row r="334" spans="1:31" ht="15.75" thickBot="1">
      <c r="F334"/>
      <c r="H334" s="114" t="s">
        <v>20</v>
      </c>
      <c r="I334" s="115" t="s">
        <v>83</v>
      </c>
      <c r="J334" s="115" t="s">
        <v>183</v>
      </c>
      <c r="K334" s="116" t="s">
        <v>182</v>
      </c>
      <c r="L334" s="67"/>
      <c r="M334" s="114" t="s">
        <v>20</v>
      </c>
      <c r="N334" s="115" t="s">
        <v>83</v>
      </c>
      <c r="O334" s="115" t="s">
        <v>183</v>
      </c>
      <c r="P334" s="116" t="s">
        <v>182</v>
      </c>
      <c r="Q334" s="117"/>
    </row>
    <row r="335" spans="1:31">
      <c r="F335"/>
      <c r="H335" s="118" t="s">
        <v>154</v>
      </c>
      <c r="I335" s="119">
        <f>+N19</f>
        <v>0</v>
      </c>
      <c r="J335" s="75">
        <v>53.5</v>
      </c>
      <c r="K335" s="120">
        <f>+I335*J335%</f>
        <v>0</v>
      </c>
      <c r="L335" s="67"/>
      <c r="M335" s="118" t="s">
        <v>153</v>
      </c>
      <c r="N335" s="119">
        <f>F20</f>
        <v>0</v>
      </c>
      <c r="O335" s="121"/>
      <c r="P335" s="120">
        <f>+N335*O335%</f>
        <v>0</v>
      </c>
      <c r="Q335" s="117"/>
    </row>
    <row r="336" spans="1:31">
      <c r="F336"/>
      <c r="H336" s="107" t="s">
        <v>168</v>
      </c>
      <c r="I336" s="122">
        <f>+N8</f>
        <v>0</v>
      </c>
      <c r="J336" s="79">
        <v>13.5</v>
      </c>
      <c r="K336" s="123">
        <f>+I336*J336%</f>
        <v>0</v>
      </c>
      <c r="L336" s="67"/>
      <c r="M336" s="107" t="s">
        <v>168</v>
      </c>
      <c r="N336" s="122">
        <f>+F8</f>
        <v>0</v>
      </c>
      <c r="O336" s="124"/>
      <c r="P336" s="123">
        <f>+N336*O336%</f>
        <v>0</v>
      </c>
      <c r="Q336" s="117"/>
    </row>
    <row r="337" spans="6:19">
      <c r="F337"/>
      <c r="H337" s="107" t="s">
        <v>279</v>
      </c>
      <c r="I337" s="122">
        <f>+N6</f>
        <v>0</v>
      </c>
      <c r="J337" s="79">
        <v>3.5</v>
      </c>
      <c r="K337" s="123">
        <f>+I337*J337%</f>
        <v>0</v>
      </c>
      <c r="L337" s="67"/>
      <c r="M337" s="107" t="s">
        <v>279</v>
      </c>
      <c r="N337" s="122">
        <f>+F6</f>
        <v>0</v>
      </c>
      <c r="O337" s="124"/>
      <c r="P337" s="123">
        <f>+N337*O337%</f>
        <v>0</v>
      </c>
      <c r="Q337" s="117"/>
    </row>
    <row r="338" spans="6:19" ht="15.75" thickBot="1">
      <c r="F338"/>
      <c r="H338" s="109" t="s">
        <v>280</v>
      </c>
      <c r="I338" s="125">
        <f>0.7*I327+0.3*I328</f>
        <v>0</v>
      </c>
      <c r="J338" s="126">
        <v>29.5</v>
      </c>
      <c r="K338" s="127">
        <f>+I338*J338%</f>
        <v>0</v>
      </c>
      <c r="L338" s="67"/>
      <c r="M338" s="109" t="s">
        <v>280</v>
      </c>
      <c r="N338" s="125">
        <f>0.7*I327+0.3*I328</f>
        <v>0</v>
      </c>
      <c r="O338" s="128"/>
      <c r="P338" s="127">
        <f>+N338*O338%</f>
        <v>0</v>
      </c>
      <c r="Q338" s="117"/>
    </row>
    <row r="339" spans="6:19" ht="15.75" thickBot="1">
      <c r="F339"/>
      <c r="H339" s="173" t="s">
        <v>79</v>
      </c>
      <c r="I339" s="174"/>
      <c r="J339" s="175"/>
      <c r="K339" s="163">
        <f>SUM(K335:K338)</f>
        <v>0</v>
      </c>
      <c r="L339" s="67"/>
      <c r="M339" s="173" t="s">
        <v>79</v>
      </c>
      <c r="N339" s="174"/>
      <c r="O339" s="175"/>
      <c r="P339" s="129">
        <f>SUM(P335:P338)</f>
        <v>0</v>
      </c>
      <c r="Q339" s="117"/>
    </row>
    <row r="340" spans="6:19" ht="15.75" thickBot="1">
      <c r="F340"/>
      <c r="H340" s="130"/>
      <c r="I340" s="130"/>
      <c r="J340" s="130"/>
      <c r="K340" s="130"/>
      <c r="L340" s="131"/>
      <c r="M340" s="131"/>
      <c r="N340" s="130"/>
      <c r="O340" s="130"/>
      <c r="P340" s="130"/>
      <c r="Q340" s="132"/>
    </row>
    <row r="341" spans="6:19" ht="15.75" thickTop="1">
      <c r="F341"/>
      <c r="L341" s="67"/>
      <c r="M341" s="67"/>
    </row>
    <row r="342" spans="6:19" ht="15.75" thickBot="1">
      <c r="F342"/>
      <c r="H342" s="106" t="s">
        <v>408</v>
      </c>
      <c r="M342" s="106" t="s">
        <v>557</v>
      </c>
    </row>
    <row r="343" spans="6:19" ht="15.75" thickBot="1">
      <c r="F343"/>
      <c r="H343" s="114" t="s">
        <v>20</v>
      </c>
      <c r="I343" s="115" t="s">
        <v>182</v>
      </c>
      <c r="J343" s="115" t="s">
        <v>183</v>
      </c>
      <c r="K343" s="116"/>
      <c r="M343" s="114" t="s">
        <v>20</v>
      </c>
      <c r="N343" s="115" t="s">
        <v>182</v>
      </c>
      <c r="O343" s="115" t="s">
        <v>183</v>
      </c>
      <c r="P343" s="116"/>
      <c r="Q343" s="133"/>
      <c r="R343" s="133"/>
      <c r="S343" s="133"/>
    </row>
    <row r="344" spans="6:19">
      <c r="F344"/>
      <c r="H344" s="118" t="s">
        <v>58</v>
      </c>
      <c r="I344" s="158">
        <f>$F$155</f>
        <v>0</v>
      </c>
      <c r="J344" s="75">
        <v>25</v>
      </c>
      <c r="K344" s="120">
        <f>+I344*J344%</f>
        <v>0</v>
      </c>
      <c r="M344" s="118" t="s">
        <v>58</v>
      </c>
      <c r="N344" s="158">
        <f>$F$155</f>
        <v>0</v>
      </c>
      <c r="O344" s="75">
        <v>25</v>
      </c>
      <c r="P344" s="120">
        <f>+N344*O344%</f>
        <v>0</v>
      </c>
      <c r="Q344" s="67"/>
      <c r="R344" s="67"/>
      <c r="S344" s="67"/>
    </row>
    <row r="345" spans="6:19">
      <c r="F345"/>
      <c r="H345" s="107" t="s">
        <v>62</v>
      </c>
      <c r="I345" s="159">
        <f>$F$152</f>
        <v>0</v>
      </c>
      <c r="J345" s="79">
        <v>40</v>
      </c>
      <c r="K345" s="123">
        <f>+I345*J345%</f>
        <v>0</v>
      </c>
      <c r="M345" s="107" t="s">
        <v>62</v>
      </c>
      <c r="N345" s="159">
        <f>$F$115</f>
        <v>0</v>
      </c>
      <c r="O345" s="79">
        <v>40</v>
      </c>
      <c r="P345" s="123">
        <f>+N345*O345%</f>
        <v>0</v>
      </c>
      <c r="Q345" s="67"/>
      <c r="R345" s="67"/>
      <c r="S345" s="67"/>
    </row>
    <row r="346" spans="6:19">
      <c r="F346"/>
      <c r="H346" s="107" t="s">
        <v>63</v>
      </c>
      <c r="I346" s="159">
        <f>$F$153</f>
        <v>0</v>
      </c>
      <c r="J346" s="79">
        <v>20</v>
      </c>
      <c r="K346" s="123">
        <f>+I346*J346%</f>
        <v>0</v>
      </c>
      <c r="M346" s="107" t="s">
        <v>63</v>
      </c>
      <c r="N346" s="159">
        <f>$F$120</f>
        <v>0</v>
      </c>
      <c r="O346" s="79">
        <v>20</v>
      </c>
      <c r="P346" s="123">
        <f>+N346*O346%</f>
        <v>0</v>
      </c>
      <c r="Q346" s="67"/>
      <c r="R346" s="67"/>
      <c r="S346" s="67"/>
    </row>
    <row r="347" spans="6:19" ht="15.75" thickBot="1">
      <c r="F347"/>
      <c r="H347" s="109" t="s">
        <v>56</v>
      </c>
      <c r="I347" s="160">
        <f>$F$149</f>
        <v>0</v>
      </c>
      <c r="J347" s="126">
        <v>15</v>
      </c>
      <c r="K347" s="127">
        <f>+I347*J347%</f>
        <v>0</v>
      </c>
      <c r="M347" s="109" t="s">
        <v>56</v>
      </c>
      <c r="N347" s="160">
        <f>$F$111</f>
        <v>0</v>
      </c>
      <c r="O347" s="126">
        <v>15</v>
      </c>
      <c r="P347" s="127">
        <f>+N347*O347%</f>
        <v>0</v>
      </c>
      <c r="Q347" s="67"/>
      <c r="R347" s="67"/>
      <c r="S347" s="67"/>
    </row>
    <row r="348" spans="6:19" ht="15.75" thickBot="1">
      <c r="F348"/>
      <c r="H348" s="173" t="s">
        <v>79</v>
      </c>
      <c r="I348" s="174"/>
      <c r="J348" s="175"/>
      <c r="K348" s="157">
        <f>SUM(K344:K347)</f>
        <v>0</v>
      </c>
      <c r="M348" s="173" t="s">
        <v>79</v>
      </c>
      <c r="N348" s="174"/>
      <c r="O348" s="175"/>
      <c r="P348" s="157">
        <f>SUM(P344:P347)</f>
        <v>0</v>
      </c>
      <c r="Q348" s="67"/>
      <c r="R348" s="67"/>
      <c r="S348" s="67"/>
    </row>
    <row r="350" spans="6:19" ht="15.75" thickBot="1">
      <c r="F350" s="147"/>
      <c r="H350" s="134" t="s">
        <v>187</v>
      </c>
      <c r="I350" s="135"/>
      <c r="J350" s="135"/>
      <c r="K350" s="135"/>
      <c r="M350" s="106" t="s">
        <v>329</v>
      </c>
    </row>
    <row r="351" spans="6:19" ht="15.75" thickBot="1">
      <c r="F351" s="147"/>
      <c r="H351" s="114" t="s">
        <v>20</v>
      </c>
      <c r="I351" s="115" t="s">
        <v>182</v>
      </c>
      <c r="J351" s="115" t="s">
        <v>183</v>
      </c>
      <c r="K351" s="116"/>
      <c r="M351" s="114" t="s">
        <v>20</v>
      </c>
      <c r="N351" s="115" t="s">
        <v>182</v>
      </c>
      <c r="O351" s="115" t="s">
        <v>183</v>
      </c>
      <c r="P351" s="116"/>
    </row>
    <row r="352" spans="6:19">
      <c r="F352" s="147"/>
      <c r="H352" s="118" t="s">
        <v>81</v>
      </c>
      <c r="I352" s="158">
        <f>+F73</f>
        <v>0</v>
      </c>
      <c r="J352" s="75">
        <v>35</v>
      </c>
      <c r="K352" s="120">
        <f>+I352*J352%</f>
        <v>0</v>
      </c>
      <c r="M352" s="118" t="s">
        <v>333</v>
      </c>
      <c r="N352" s="119">
        <f>F9</f>
        <v>0</v>
      </c>
      <c r="O352" s="75">
        <v>55</v>
      </c>
      <c r="P352" s="120">
        <f>+N352*O352%</f>
        <v>0</v>
      </c>
      <c r="S352" s="67"/>
    </row>
    <row r="353" spans="6:19">
      <c r="F353" s="147"/>
      <c r="H353" s="107" t="s">
        <v>62</v>
      </c>
      <c r="I353" s="159">
        <f>+F68</f>
        <v>0</v>
      </c>
      <c r="J353" s="79">
        <v>28</v>
      </c>
      <c r="K353" s="123">
        <f>+I353*J353%</f>
        <v>0</v>
      </c>
      <c r="M353" s="107" t="s">
        <v>331</v>
      </c>
      <c r="N353" s="122">
        <f>F13</f>
        <v>0</v>
      </c>
      <c r="O353" s="79">
        <v>10</v>
      </c>
      <c r="P353" s="123">
        <f>+N353*O353%</f>
        <v>0</v>
      </c>
      <c r="S353" s="67"/>
    </row>
    <row r="354" spans="6:19">
      <c r="F354" s="147"/>
      <c r="H354" s="107" t="s">
        <v>63</v>
      </c>
      <c r="I354" s="159">
        <f>+F66</f>
        <v>0</v>
      </c>
      <c r="J354" s="79">
        <v>29</v>
      </c>
      <c r="K354" s="123">
        <f>+I354*J354%</f>
        <v>0</v>
      </c>
      <c r="M354" s="107" t="s">
        <v>330</v>
      </c>
      <c r="N354" s="122">
        <f>F7</f>
        <v>0</v>
      </c>
      <c r="O354" s="79">
        <v>5</v>
      </c>
      <c r="P354" s="123">
        <f>+N354*O354%</f>
        <v>0</v>
      </c>
      <c r="S354" s="67"/>
    </row>
    <row r="355" spans="6:19" ht="15.75" thickBot="1">
      <c r="F355" s="147"/>
      <c r="H355" s="109" t="s">
        <v>56</v>
      </c>
      <c r="I355" s="160">
        <f>+F62</f>
        <v>0</v>
      </c>
      <c r="J355" s="126">
        <v>8</v>
      </c>
      <c r="K355" s="127">
        <f>+I355*J355%</f>
        <v>0</v>
      </c>
      <c r="M355" s="107" t="s">
        <v>332</v>
      </c>
      <c r="N355" s="122">
        <f>F5</f>
        <v>0</v>
      </c>
      <c r="O355" s="79">
        <v>5</v>
      </c>
      <c r="P355" s="123">
        <f>+N355*O355%</f>
        <v>0</v>
      </c>
      <c r="S355" s="67"/>
    </row>
    <row r="356" spans="6:19" ht="15.75" thickBot="1">
      <c r="F356" s="147"/>
      <c r="H356" s="173" t="s">
        <v>79</v>
      </c>
      <c r="I356" s="174"/>
      <c r="J356" s="175"/>
      <c r="K356" s="157">
        <f>SUM(K352:K355)</f>
        <v>0</v>
      </c>
      <c r="M356" s="107" t="s">
        <v>334</v>
      </c>
      <c r="N356" s="125">
        <f>F8</f>
        <v>0</v>
      </c>
      <c r="O356" s="126">
        <v>25</v>
      </c>
      <c r="P356" s="127">
        <f>+N356*O356%</f>
        <v>0</v>
      </c>
      <c r="S356" s="67"/>
    </row>
    <row r="357" spans="6:19" ht="15.75" thickBot="1">
      <c r="M357" s="173" t="s">
        <v>79</v>
      </c>
      <c r="N357" s="174"/>
      <c r="O357" s="175"/>
      <c r="P357" s="157">
        <f>SUM(P352:P356)</f>
        <v>0</v>
      </c>
    </row>
    <row r="358" spans="6:19" ht="15.75" thickBot="1">
      <c r="H358" s="154" t="s">
        <v>398</v>
      </c>
      <c r="I358" s="155"/>
      <c r="J358" s="155"/>
      <c r="K358" s="156"/>
    </row>
    <row r="359" spans="6:19" ht="15.75" thickBot="1">
      <c r="H359" s="114" t="s">
        <v>20</v>
      </c>
      <c r="I359" s="115" t="s">
        <v>182</v>
      </c>
      <c r="J359" s="115" t="s">
        <v>183</v>
      </c>
      <c r="K359" s="116"/>
      <c r="M359" s="106"/>
    </row>
    <row r="360" spans="6:19" ht="15.75" thickBot="1">
      <c r="H360" s="118" t="s">
        <v>372</v>
      </c>
      <c r="I360" s="158">
        <f>$F$134</f>
        <v>0</v>
      </c>
      <c r="J360" s="75">
        <v>60</v>
      </c>
      <c r="K360" s="120">
        <f>+I360*J360%</f>
        <v>0</v>
      </c>
      <c r="M360" s="151" t="s">
        <v>401</v>
      </c>
      <c r="N360" s="152"/>
      <c r="O360" s="152"/>
      <c r="P360" s="153"/>
    </row>
    <row r="361" spans="6:19" ht="15.75" thickBot="1">
      <c r="H361" s="107" t="s">
        <v>368</v>
      </c>
      <c r="I361" s="159">
        <f>$F$153</f>
        <v>0</v>
      </c>
      <c r="J361" s="79">
        <v>20</v>
      </c>
      <c r="K361" s="120">
        <f>+I361*J361%</f>
        <v>0</v>
      </c>
      <c r="M361" s="114" t="s">
        <v>20</v>
      </c>
      <c r="N361" s="115" t="s">
        <v>182</v>
      </c>
      <c r="O361" s="115" t="s">
        <v>183</v>
      </c>
      <c r="P361" s="116"/>
    </row>
    <row r="362" spans="6:19">
      <c r="H362" s="107" t="s">
        <v>366</v>
      </c>
      <c r="I362" s="159">
        <f>$F$151</f>
        <v>0</v>
      </c>
      <c r="J362" s="79">
        <v>7</v>
      </c>
      <c r="K362" s="120">
        <f>+I362*J362%</f>
        <v>0</v>
      </c>
      <c r="M362" s="118" t="s">
        <v>372</v>
      </c>
      <c r="N362" s="119">
        <f>$F$134</f>
        <v>0</v>
      </c>
      <c r="O362" s="75">
        <v>80</v>
      </c>
      <c r="P362" s="120">
        <f>+N362*O362%</f>
        <v>0</v>
      </c>
    </row>
    <row r="363" spans="6:19">
      <c r="H363" s="107" t="s">
        <v>370</v>
      </c>
      <c r="I363" s="159">
        <f>$F$155</f>
        <v>0</v>
      </c>
      <c r="J363" s="79">
        <v>5</v>
      </c>
      <c r="K363" s="120">
        <f>+I363*J363%</f>
        <v>0</v>
      </c>
      <c r="M363" s="118" t="s">
        <v>393</v>
      </c>
      <c r="N363" s="122">
        <f>$F$140</f>
        <v>0</v>
      </c>
      <c r="O363" s="79">
        <v>15</v>
      </c>
      <c r="P363" s="123">
        <f>+N363*O363%</f>
        <v>0</v>
      </c>
    </row>
    <row r="364" spans="6:19" ht="15.75" thickBot="1">
      <c r="H364" s="109" t="s">
        <v>364</v>
      </c>
      <c r="I364" s="160">
        <f>$F$149</f>
        <v>0</v>
      </c>
      <c r="J364" s="126">
        <v>8</v>
      </c>
      <c r="K364" s="127">
        <f>+I364*J364%</f>
        <v>0</v>
      </c>
      <c r="M364" s="107" t="s">
        <v>301</v>
      </c>
      <c r="N364" s="122">
        <f>$F$175</f>
        <v>0</v>
      </c>
      <c r="O364" s="79">
        <v>5</v>
      </c>
      <c r="P364" s="123">
        <f>+N364*O364%</f>
        <v>0</v>
      </c>
    </row>
    <row r="365" spans="6:19" ht="15.75" thickBot="1">
      <c r="H365" s="173" t="s">
        <v>79</v>
      </c>
      <c r="I365" s="174"/>
      <c r="J365" s="175"/>
      <c r="K365" s="157">
        <f>SUM(K360:K364)</f>
        <v>0</v>
      </c>
      <c r="M365" s="173" t="s">
        <v>79</v>
      </c>
      <c r="N365" s="174"/>
      <c r="O365" s="175"/>
      <c r="P365" s="157">
        <f>SUM(P362:P364)</f>
        <v>0</v>
      </c>
    </row>
    <row r="366" spans="6:19" ht="15.75" thickBot="1"/>
    <row r="367" spans="6:19" ht="15.75" thickBot="1">
      <c r="H367" s="154" t="s">
        <v>808</v>
      </c>
      <c r="I367" s="155"/>
      <c r="J367" s="155"/>
      <c r="K367" s="156"/>
      <c r="M367" s="106" t="s">
        <v>595</v>
      </c>
    </row>
    <row r="368" spans="6:19" ht="15.75" thickBot="1">
      <c r="H368" s="114" t="s">
        <v>20</v>
      </c>
      <c r="I368" s="115" t="s">
        <v>182</v>
      </c>
      <c r="J368" s="115" t="s">
        <v>183</v>
      </c>
      <c r="K368" s="116"/>
      <c r="M368" s="114" t="s">
        <v>20</v>
      </c>
      <c r="N368" s="115" t="s">
        <v>182</v>
      </c>
      <c r="O368" s="115" t="s">
        <v>183</v>
      </c>
      <c r="P368" s="116"/>
    </row>
    <row r="369" spans="6:16">
      <c r="H369" s="118" t="s">
        <v>626</v>
      </c>
      <c r="I369" s="158">
        <f>$F$33</f>
        <v>0</v>
      </c>
      <c r="J369" s="75">
        <v>60</v>
      </c>
      <c r="K369" s="120">
        <f>+I369*J369%</f>
        <v>0</v>
      </c>
      <c r="M369" s="118" t="s">
        <v>58</v>
      </c>
      <c r="N369" s="158">
        <f>$F$18</f>
        <v>0</v>
      </c>
      <c r="O369" s="75">
        <v>25</v>
      </c>
      <c r="P369" s="120">
        <f>+N369*O369%</f>
        <v>0</v>
      </c>
    </row>
    <row r="370" spans="6:16">
      <c r="H370" s="107" t="s">
        <v>627</v>
      </c>
      <c r="I370" s="159">
        <f>$F$34</f>
        <v>0</v>
      </c>
      <c r="J370" s="79">
        <v>20</v>
      </c>
      <c r="K370" s="120">
        <f>+I370*J370%</f>
        <v>0</v>
      </c>
      <c r="M370" s="107" t="s">
        <v>62</v>
      </c>
      <c r="N370" s="159">
        <f>$F$9</f>
        <v>0</v>
      </c>
      <c r="O370" s="79">
        <v>40</v>
      </c>
      <c r="P370" s="123">
        <f>+N370*O370%</f>
        <v>0</v>
      </c>
    </row>
    <row r="371" spans="6:16">
      <c r="H371" s="107" t="s">
        <v>630</v>
      </c>
      <c r="I371" s="159">
        <f>$F$37</f>
        <v>0</v>
      </c>
      <c r="J371" s="79">
        <v>7</v>
      </c>
      <c r="K371" s="120">
        <f>+I371*J371%</f>
        <v>0</v>
      </c>
      <c r="M371" s="107" t="s">
        <v>63</v>
      </c>
      <c r="N371" s="159">
        <f>$F$20</f>
        <v>0</v>
      </c>
      <c r="O371" s="79">
        <v>20</v>
      </c>
      <c r="P371" s="123">
        <f>+N371*O371%</f>
        <v>0</v>
      </c>
    </row>
    <row r="372" spans="6:16" ht="15.75" thickBot="1">
      <c r="F372"/>
      <c r="H372" s="107" t="s">
        <v>632</v>
      </c>
      <c r="I372" s="159">
        <f>$F$39</f>
        <v>0</v>
      </c>
      <c r="J372" s="79">
        <v>5</v>
      </c>
      <c r="K372" s="120">
        <f>+I372*J372%</f>
        <v>0</v>
      </c>
      <c r="M372" s="109" t="s">
        <v>56</v>
      </c>
      <c r="N372" s="160">
        <f>$F$5</f>
        <v>0</v>
      </c>
      <c r="O372" s="126">
        <v>15</v>
      </c>
      <c r="P372" s="127">
        <f>+N372*O372%</f>
        <v>0</v>
      </c>
    </row>
    <row r="373" spans="6:16" ht="15.75" thickBot="1">
      <c r="F373"/>
      <c r="H373" s="109" t="s">
        <v>644</v>
      </c>
      <c r="I373" s="160">
        <f>$F$41</f>
        <v>0</v>
      </c>
      <c r="J373" s="126">
        <v>8</v>
      </c>
      <c r="K373" s="127">
        <f>+I373*J373%</f>
        <v>0</v>
      </c>
      <c r="M373" s="173" t="s">
        <v>79</v>
      </c>
      <c r="N373" s="174"/>
      <c r="O373" s="175"/>
      <c r="P373" s="157">
        <f>SUM(P369:P372)</f>
        <v>0</v>
      </c>
    </row>
    <row r="374" spans="6:16" ht="15.75" thickBot="1">
      <c r="F374"/>
      <c r="H374" s="173" t="s">
        <v>79</v>
      </c>
      <c r="I374" s="174"/>
      <c r="J374" s="175"/>
      <c r="K374" s="157">
        <f>SUM(K369:K373)</f>
        <v>0</v>
      </c>
    </row>
    <row r="375" spans="6:16" ht="15.75" thickBot="1">
      <c r="F375"/>
    </row>
    <row r="376" spans="6:16" ht="15.75" thickBot="1">
      <c r="F376"/>
      <c r="H376" s="154" t="s">
        <v>596</v>
      </c>
      <c r="I376" s="155"/>
      <c r="J376" s="155"/>
      <c r="K376" s="156"/>
      <c r="M376" s="106" t="s">
        <v>685</v>
      </c>
    </row>
    <row r="377" spans="6:16" ht="15.75" thickBot="1">
      <c r="F377"/>
      <c r="H377" s="114" t="s">
        <v>20</v>
      </c>
      <c r="I377" s="115" t="s">
        <v>182</v>
      </c>
      <c r="J377" s="115" t="s">
        <v>183</v>
      </c>
      <c r="K377" s="116"/>
      <c r="M377" s="114" t="s">
        <v>20</v>
      </c>
      <c r="N377" s="115" t="s">
        <v>182</v>
      </c>
      <c r="O377" s="115" t="s">
        <v>183</v>
      </c>
      <c r="P377" s="116"/>
    </row>
    <row r="378" spans="6:16">
      <c r="F378"/>
      <c r="H378" s="118" t="s">
        <v>597</v>
      </c>
      <c r="I378" s="158">
        <f>$F$8</f>
        <v>0</v>
      </c>
      <c r="J378" s="75">
        <v>60</v>
      </c>
      <c r="K378" s="120">
        <f>+I378*J378%</f>
        <v>0</v>
      </c>
      <c r="M378" s="118" t="s">
        <v>58</v>
      </c>
      <c r="N378" s="158">
        <f>$F$39</f>
        <v>0</v>
      </c>
      <c r="O378" s="75">
        <v>25</v>
      </c>
      <c r="P378" s="120">
        <f>+N378*O378%</f>
        <v>0</v>
      </c>
    </row>
    <row r="379" spans="6:16">
      <c r="F379"/>
      <c r="H379" s="107" t="s">
        <v>598</v>
      </c>
      <c r="I379" s="159">
        <f>$F$20</f>
        <v>0</v>
      </c>
      <c r="J379" s="79">
        <v>20</v>
      </c>
      <c r="K379" s="120">
        <f>+I379*J379%</f>
        <v>0</v>
      </c>
      <c r="M379" s="107" t="s">
        <v>62</v>
      </c>
      <c r="N379" s="159">
        <f>$F$35</f>
        <v>0</v>
      </c>
      <c r="O379" s="79">
        <v>40</v>
      </c>
      <c r="P379" s="123">
        <f>+N379*O379%</f>
        <v>0</v>
      </c>
    </row>
    <row r="380" spans="6:16">
      <c r="F380"/>
      <c r="H380" s="107" t="s">
        <v>599</v>
      </c>
      <c r="I380" s="159">
        <f>$F$7</f>
        <v>0</v>
      </c>
      <c r="J380" s="79">
        <v>7</v>
      </c>
      <c r="K380" s="120">
        <f>+I380*J380%</f>
        <v>0</v>
      </c>
      <c r="M380" s="107" t="s">
        <v>63</v>
      </c>
      <c r="N380" s="159">
        <f>$F$34</f>
        <v>0</v>
      </c>
      <c r="O380" s="79">
        <v>20</v>
      </c>
      <c r="P380" s="123">
        <f>+N380*O380%</f>
        <v>0</v>
      </c>
    </row>
    <row r="381" spans="6:16" ht="15.75" thickBot="1">
      <c r="F381"/>
      <c r="H381" s="107" t="s">
        <v>601</v>
      </c>
      <c r="I381" s="159">
        <f>$F$18</f>
        <v>0</v>
      </c>
      <c r="J381" s="79">
        <v>5</v>
      </c>
      <c r="K381" s="120">
        <f>+I381*J381%</f>
        <v>0</v>
      </c>
      <c r="M381" s="109" t="s">
        <v>56</v>
      </c>
      <c r="N381" s="160">
        <f>$F$41</f>
        <v>0</v>
      </c>
      <c r="O381" s="126">
        <v>15</v>
      </c>
      <c r="P381" s="127">
        <f>+N381*O381%</f>
        <v>0</v>
      </c>
    </row>
    <row r="382" spans="6:16" ht="15.75" thickBot="1">
      <c r="F382"/>
      <c r="H382" s="109" t="s">
        <v>600</v>
      </c>
      <c r="I382" s="160">
        <f>$F$5</f>
        <v>0</v>
      </c>
      <c r="J382" s="126">
        <v>8</v>
      </c>
      <c r="K382" s="127">
        <f>+I382*J382%</f>
        <v>0</v>
      </c>
      <c r="M382" s="173" t="s">
        <v>79</v>
      </c>
      <c r="N382" s="174"/>
      <c r="O382" s="175"/>
      <c r="P382" s="157">
        <f>SUM(P378:P381)</f>
        <v>0</v>
      </c>
    </row>
    <row r="383" spans="6:16" ht="15.75" thickBot="1">
      <c r="F383"/>
      <c r="H383" s="173" t="s">
        <v>79</v>
      </c>
      <c r="I383" s="174"/>
      <c r="J383" s="175"/>
      <c r="K383" s="157">
        <f>SUM(K378:K382)</f>
        <v>0</v>
      </c>
    </row>
    <row r="385" spans="6:16" ht="15.75" thickBot="1">
      <c r="F385"/>
      <c r="H385" s="106" t="s">
        <v>697</v>
      </c>
      <c r="M385" s="106" t="s">
        <v>687</v>
      </c>
    </row>
    <row r="386" spans="6:16" ht="15.75" thickBot="1">
      <c r="F386"/>
      <c r="H386" s="114" t="s">
        <v>20</v>
      </c>
      <c r="I386" s="115" t="s">
        <v>182</v>
      </c>
      <c r="J386" s="115" t="s">
        <v>183</v>
      </c>
      <c r="K386" s="116"/>
      <c r="M386" s="114" t="s">
        <v>20</v>
      </c>
      <c r="N386" s="115" t="s">
        <v>182</v>
      </c>
      <c r="O386" s="115" t="s">
        <v>183</v>
      </c>
      <c r="P386" s="116"/>
    </row>
    <row r="387" spans="6:16">
      <c r="F387"/>
      <c r="H387" s="118" t="s">
        <v>63</v>
      </c>
      <c r="I387" s="158">
        <f>$F$153</f>
        <v>0</v>
      </c>
      <c r="J387" s="75">
        <v>50</v>
      </c>
      <c r="K387" s="120">
        <f>+I387*J387%</f>
        <v>0</v>
      </c>
      <c r="M387" s="118" t="s">
        <v>58</v>
      </c>
      <c r="N387" s="158">
        <f>$F$51</f>
        <v>0</v>
      </c>
      <c r="O387" s="75">
        <v>25</v>
      </c>
      <c r="P387" s="120">
        <f>+N387*O387%</f>
        <v>0</v>
      </c>
    </row>
    <row r="388" spans="6:16">
      <c r="F388"/>
      <c r="H388" s="107" t="s">
        <v>60</v>
      </c>
      <c r="I388" s="159">
        <f>$F$151</f>
        <v>0</v>
      </c>
      <c r="J388" s="79">
        <v>50</v>
      </c>
      <c r="K388" s="123">
        <f>+I388*J388%</f>
        <v>0</v>
      </c>
      <c r="M388" s="107" t="s">
        <v>62</v>
      </c>
      <c r="N388" s="159">
        <f>$F$47</f>
        <v>0</v>
      </c>
      <c r="O388" s="79">
        <v>40</v>
      </c>
      <c r="P388" s="123">
        <f>+N388*O388%</f>
        <v>0</v>
      </c>
    </row>
    <row r="389" spans="6:16">
      <c r="F389"/>
      <c r="H389" s="180"/>
      <c r="I389" s="181"/>
      <c r="J389" s="182"/>
      <c r="K389" s="183"/>
      <c r="M389" s="107" t="s">
        <v>63</v>
      </c>
      <c r="N389" s="159">
        <f>$F$46</f>
        <v>0</v>
      </c>
      <c r="O389" s="79">
        <v>20</v>
      </c>
      <c r="P389" s="123">
        <f>+N389*O389%</f>
        <v>0</v>
      </c>
    </row>
    <row r="390" spans="6:16" ht="15.75" thickBot="1">
      <c r="F390"/>
      <c r="H390" s="184"/>
      <c r="I390" s="185"/>
      <c r="J390" s="186"/>
      <c r="K390" s="187"/>
      <c r="M390" s="109" t="s">
        <v>56</v>
      </c>
      <c r="N390" s="160">
        <f>$F$49</f>
        <v>0</v>
      </c>
      <c r="O390" s="126">
        <v>15</v>
      </c>
      <c r="P390" s="127">
        <f>+N390*O390%</f>
        <v>0</v>
      </c>
    </row>
    <row r="391" spans="6:16" ht="15.75" thickBot="1">
      <c r="F391"/>
      <c r="H391" s="173" t="s">
        <v>79</v>
      </c>
      <c r="I391" s="174"/>
      <c r="J391" s="175"/>
      <c r="K391" s="157">
        <f>SUM(K387:K390)</f>
        <v>0</v>
      </c>
      <c r="M391" s="173" t="s">
        <v>79</v>
      </c>
      <c r="N391" s="174"/>
      <c r="O391" s="175"/>
      <c r="P391" s="157">
        <f>SUM(P387:P390)</f>
        <v>0</v>
      </c>
    </row>
    <row r="394" spans="6:16" ht="15.75" thickBot="1">
      <c r="H394" s="106" t="s">
        <v>1022</v>
      </c>
    </row>
    <row r="395" spans="6:16" ht="15.75" thickBot="1">
      <c r="H395" s="114" t="s">
        <v>20</v>
      </c>
      <c r="I395" s="115" t="s">
        <v>182</v>
      </c>
      <c r="J395" s="115" t="s">
        <v>183</v>
      </c>
      <c r="K395" s="116"/>
    </row>
    <row r="396" spans="6:16">
      <c r="H396" s="118" t="s">
        <v>63</v>
      </c>
      <c r="I396" s="158">
        <f>+$F$299</f>
        <v>0</v>
      </c>
      <c r="J396" s="75">
        <v>50</v>
      </c>
      <c r="K396" s="120">
        <f>+I396*J396%</f>
        <v>0</v>
      </c>
    </row>
    <row r="397" spans="6:16">
      <c r="H397" s="107" t="s">
        <v>60</v>
      </c>
      <c r="I397" s="159">
        <f>+$F$297</f>
        <v>0</v>
      </c>
      <c r="J397" s="79">
        <v>50</v>
      </c>
      <c r="K397" s="123">
        <f>+I397*J397%</f>
        <v>0</v>
      </c>
    </row>
    <row r="398" spans="6:16">
      <c r="H398" s="180"/>
      <c r="I398" s="181"/>
      <c r="J398" s="182"/>
      <c r="K398" s="183"/>
    </row>
    <row r="399" spans="6:16" ht="15.75" thickBot="1">
      <c r="H399" s="184"/>
      <c r="I399" s="185"/>
      <c r="J399" s="186"/>
      <c r="K399" s="187"/>
    </row>
    <row r="400" spans="6:16" ht="15.75" thickBot="1">
      <c r="H400" s="173" t="s">
        <v>79</v>
      </c>
      <c r="I400" s="174"/>
      <c r="J400" s="175"/>
      <c r="K400" s="157">
        <f>SUM(K396:K399)</f>
        <v>0</v>
      </c>
    </row>
    <row r="403" spans="8:11" ht="15.75" thickBot="1">
      <c r="H403" s="106" t="s">
        <v>1118</v>
      </c>
    </row>
    <row r="404" spans="8:11" ht="15.75" thickBot="1">
      <c r="H404" s="114" t="s">
        <v>20</v>
      </c>
      <c r="I404" s="115" t="s">
        <v>182</v>
      </c>
      <c r="J404" s="115" t="s">
        <v>183</v>
      </c>
      <c r="K404" s="116"/>
    </row>
    <row r="405" spans="8:11">
      <c r="H405" s="118" t="s">
        <v>63</v>
      </c>
      <c r="I405" s="158">
        <f>+$F$199</f>
        <v>0</v>
      </c>
      <c r="J405" s="75">
        <v>50</v>
      </c>
      <c r="K405" s="120">
        <f>+I405*J405%</f>
        <v>0</v>
      </c>
    </row>
    <row r="406" spans="8:11">
      <c r="H406" s="107" t="s">
        <v>60</v>
      </c>
      <c r="I406" s="159">
        <f>+$F$202</f>
        <v>0</v>
      </c>
      <c r="J406" s="79">
        <v>50</v>
      </c>
      <c r="K406" s="123">
        <f>+I406*J406%</f>
        <v>0</v>
      </c>
    </row>
    <row r="407" spans="8:11">
      <c r="H407" s="180"/>
      <c r="I407" s="181"/>
      <c r="J407" s="182"/>
      <c r="K407" s="183"/>
    </row>
    <row r="408" spans="8:11" ht="15.75" thickBot="1">
      <c r="H408" s="184"/>
      <c r="I408" s="185"/>
      <c r="J408" s="186"/>
      <c r="K408" s="187"/>
    </row>
    <row r="409" spans="8:11" ht="15.75" thickBot="1">
      <c r="H409" s="173" t="s">
        <v>79</v>
      </c>
      <c r="I409" s="174"/>
      <c r="J409" s="175"/>
      <c r="K409" s="157">
        <f>SUM(K405:K408)</f>
        <v>0</v>
      </c>
    </row>
  </sheetData>
  <autoFilter ref="A4:AD324" xr:uid="{00000000-0001-0000-0200-000000000000}"/>
  <conditionalFormatting sqref="D5:D23">
    <cfRule type="duplicateValues" dxfId="56" priority="2422"/>
  </conditionalFormatting>
  <conditionalFormatting sqref="D25:D30">
    <cfRule type="duplicateValues" dxfId="55" priority="20"/>
  </conditionalFormatting>
  <conditionalFormatting sqref="E278">
    <cfRule type="duplicateValues" dxfId="54" priority="6"/>
  </conditionalFormatting>
  <conditionalFormatting sqref="E279">
    <cfRule type="duplicateValues" dxfId="53" priority="2"/>
  </conditionalFormatting>
  <conditionalFormatting sqref="E305:E1048576 E280:E303 E1:E277">
    <cfRule type="duplicateValues" dxfId="52" priority="14"/>
  </conditionalFormatting>
  <conditionalFormatting sqref="G3">
    <cfRule type="duplicateValues" dxfId="51" priority="31"/>
  </conditionalFormatting>
  <conditionalFormatting sqref="G226">
    <cfRule type="duplicateValues" dxfId="50" priority="4357"/>
  </conditionalFormatting>
  <conditionalFormatting sqref="G278">
    <cfRule type="duplicateValues" dxfId="49" priority="8"/>
  </conditionalFormatting>
  <conditionalFormatting sqref="G279">
    <cfRule type="duplicateValues" dxfId="48" priority="4"/>
  </conditionalFormatting>
  <conditionalFormatting sqref="G326:G331">
    <cfRule type="duplicateValues" dxfId="47" priority="27"/>
  </conditionalFormatting>
  <conditionalFormatting sqref="G332:G1048576 G1:G2 G227:G277 G4:G225 G280:G325">
    <cfRule type="duplicateValues" dxfId="46" priority="33"/>
  </conditionalFormatting>
  <conditionalFormatting sqref="L212">
    <cfRule type="duplicateValues" dxfId="45" priority="9"/>
  </conditionalFormatting>
  <conditionalFormatting sqref="L278">
    <cfRule type="duplicateValues" dxfId="44" priority="5"/>
  </conditionalFormatting>
  <conditionalFormatting sqref="L279">
    <cfRule type="duplicateValues" dxfId="43" priority="1"/>
  </conditionalFormatting>
  <conditionalFormatting sqref="L280:L1048576 L1:L211 L213:L277">
    <cfRule type="duplicateValues" dxfId="42" priority="12"/>
  </conditionalFormatting>
  <conditionalFormatting sqref="V212:W212">
    <cfRule type="duplicateValues" dxfId="41" priority="10"/>
  </conditionalFormatting>
  <conditionalFormatting sqref="V226:W226">
    <cfRule type="duplicateValues" dxfId="40" priority="4362"/>
  </conditionalFormatting>
  <conditionalFormatting sqref="V246:W246">
    <cfRule type="duplicateValues" dxfId="39" priority="23"/>
  </conditionalFormatting>
  <conditionalFormatting sqref="V278:W278">
    <cfRule type="duplicateValues" dxfId="38" priority="7"/>
  </conditionalFormatting>
  <conditionalFormatting sqref="V279:W279">
    <cfRule type="duplicateValues" dxfId="37" priority="3"/>
  </conditionalFormatting>
  <conditionalFormatting sqref="V294:W303 V227:W245 V247:W277 V213:W225 V5:W211 V280:W291">
    <cfRule type="duplicateValues" dxfId="36" priority="25"/>
  </conditionalFormatting>
  <conditionalFormatting sqref="V305:W324">
    <cfRule type="duplicateValues" dxfId="35" priority="7399"/>
  </conditionalFormatting>
  <pageMargins left="0.7" right="0.7" top="0.75" bottom="0.75" header="0.3" footer="0.3"/>
  <pageSetup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D721-A46D-43B9-A030-8EE4F687C76F}">
  <sheetPr codeName="Sheet13">
    <tabColor rgb="FFC198E0"/>
  </sheetPr>
  <dimension ref="A1:CS620"/>
  <sheetViews>
    <sheetView zoomScale="85" zoomScaleNormal="85" workbookViewId="0">
      <pane xSplit="6" topLeftCell="G1" activePane="topRight" state="frozen"/>
      <selection pane="topRight" activeCell="G11" sqref="G11"/>
    </sheetView>
  </sheetViews>
  <sheetFormatPr defaultColWidth="12.7109375" defaultRowHeight="15"/>
  <cols>
    <col min="1" max="1" width="3.42578125" customWidth="1"/>
    <col min="2" max="2" width="13.7109375" customWidth="1"/>
    <col min="5" max="5" width="41.140625" customWidth="1"/>
    <col min="6" max="6" width="38.28515625" customWidth="1"/>
    <col min="7" max="34" width="12.7109375" style="329" customWidth="1"/>
    <col min="35" max="35" width="12.7109375" style="329"/>
    <col min="36" max="36" width="6.28515625" customWidth="1"/>
    <col min="37" max="53" width="12.7109375" style="371"/>
    <col min="54" max="64" width="12.7109375" style="371" customWidth="1"/>
    <col min="65" max="65" width="12.7109375" style="372"/>
    <col min="66" max="66" width="6" customWidth="1"/>
    <col min="67" max="83" width="12.7109375" style="373"/>
    <col min="84" max="94" width="12.7109375" style="373" customWidth="1"/>
    <col min="95" max="95" width="12.7109375" style="373"/>
    <col min="96" max="96" width="5" style="373" customWidth="1"/>
    <col min="97" max="97" width="12.7109375" style="329"/>
  </cols>
  <sheetData>
    <row r="1" spans="1:97">
      <c r="E1" s="370" t="s">
        <v>1904</v>
      </c>
      <c r="F1" s="370" t="s">
        <v>1905</v>
      </c>
      <c r="G1" s="329" t="b">
        <f>G2=G6</f>
        <v>1</v>
      </c>
      <c r="H1" s="329" t="b">
        <f t="shared" ref="H1:AI1" si="0">H2=H6</f>
        <v>1</v>
      </c>
      <c r="I1" s="329" t="b">
        <f t="shared" si="0"/>
        <v>1</v>
      </c>
      <c r="J1" s="329" t="b">
        <f t="shared" si="0"/>
        <v>1</v>
      </c>
      <c r="K1" s="329" t="b">
        <f t="shared" si="0"/>
        <v>1</v>
      </c>
      <c r="L1" s="329" t="b">
        <f t="shared" si="0"/>
        <v>1</v>
      </c>
      <c r="M1" s="329" t="b">
        <f t="shared" si="0"/>
        <v>1</v>
      </c>
      <c r="N1" s="329" t="b">
        <f t="shared" si="0"/>
        <v>1</v>
      </c>
      <c r="O1" s="329" t="b">
        <f t="shared" si="0"/>
        <v>1</v>
      </c>
      <c r="P1" s="329" t="b">
        <f t="shared" si="0"/>
        <v>1</v>
      </c>
      <c r="Q1" s="329" t="b">
        <f t="shared" si="0"/>
        <v>1</v>
      </c>
      <c r="R1" s="329" t="b">
        <f t="shared" si="0"/>
        <v>1</v>
      </c>
      <c r="S1" s="329" t="b">
        <f t="shared" si="0"/>
        <v>1</v>
      </c>
      <c r="T1" s="329" t="b">
        <f t="shared" si="0"/>
        <v>1</v>
      </c>
      <c r="U1" s="329" t="b">
        <f t="shared" si="0"/>
        <v>1</v>
      </c>
      <c r="V1" s="329" t="b">
        <f t="shared" si="0"/>
        <v>1</v>
      </c>
      <c r="W1" s="329" t="b">
        <f t="shared" si="0"/>
        <v>1</v>
      </c>
      <c r="X1" s="329" t="b">
        <f t="shared" si="0"/>
        <v>1</v>
      </c>
      <c r="Y1" s="329" t="b">
        <f t="shared" si="0"/>
        <v>1</v>
      </c>
      <c r="Z1" s="329" t="b">
        <f t="shared" si="0"/>
        <v>1</v>
      </c>
      <c r="AA1" s="329" t="b">
        <f t="shared" si="0"/>
        <v>1</v>
      </c>
      <c r="AB1" s="329" t="b">
        <f t="shared" si="0"/>
        <v>1</v>
      </c>
      <c r="AC1" s="329" t="b">
        <f t="shared" si="0"/>
        <v>1</v>
      </c>
      <c r="AD1" s="329" t="b">
        <f t="shared" si="0"/>
        <v>1</v>
      </c>
      <c r="AE1" s="329" t="b">
        <f t="shared" si="0"/>
        <v>1</v>
      </c>
      <c r="AF1" s="329" t="b">
        <f t="shared" si="0"/>
        <v>1</v>
      </c>
      <c r="AG1" s="329" t="b">
        <f t="shared" si="0"/>
        <v>1</v>
      </c>
      <c r="AH1" s="329" t="b">
        <f t="shared" si="0"/>
        <v>1</v>
      </c>
      <c r="AI1" s="329" t="b">
        <f t="shared" si="0"/>
        <v>1</v>
      </c>
      <c r="AK1" s="329" t="b">
        <f>AK2=AK6</f>
        <v>1</v>
      </c>
      <c r="AL1" s="329" t="b">
        <f t="shared" ref="AL1:BM1" si="1">AL2=AL6</f>
        <v>1</v>
      </c>
      <c r="AM1" s="329" t="b">
        <f t="shared" si="1"/>
        <v>1</v>
      </c>
      <c r="AN1" s="329" t="b">
        <f t="shared" si="1"/>
        <v>1</v>
      </c>
      <c r="AO1" s="329" t="b">
        <f t="shared" si="1"/>
        <v>1</v>
      </c>
      <c r="AP1" s="329" t="b">
        <f t="shared" si="1"/>
        <v>1</v>
      </c>
      <c r="AQ1" s="329" t="b">
        <f t="shared" si="1"/>
        <v>1</v>
      </c>
      <c r="AR1" s="329" t="b">
        <f t="shared" si="1"/>
        <v>1</v>
      </c>
      <c r="AS1" s="329" t="b">
        <f t="shared" si="1"/>
        <v>1</v>
      </c>
      <c r="AT1" s="329" t="b">
        <f t="shared" si="1"/>
        <v>1</v>
      </c>
      <c r="AU1" s="329" t="b">
        <f t="shared" si="1"/>
        <v>1</v>
      </c>
      <c r="AV1" s="329" t="b">
        <f t="shared" si="1"/>
        <v>1</v>
      </c>
      <c r="AW1" s="329" t="b">
        <f t="shared" si="1"/>
        <v>1</v>
      </c>
      <c r="AX1" s="329" t="b">
        <f t="shared" si="1"/>
        <v>1</v>
      </c>
      <c r="AY1" s="329" t="b">
        <f t="shared" si="1"/>
        <v>1</v>
      </c>
      <c r="AZ1" s="329" t="b">
        <f t="shared" si="1"/>
        <v>1</v>
      </c>
      <c r="BA1" s="329" t="b">
        <f t="shared" si="1"/>
        <v>1</v>
      </c>
      <c r="BB1" s="329" t="b">
        <f t="shared" si="1"/>
        <v>1</v>
      </c>
      <c r="BC1" s="329" t="b">
        <f t="shared" si="1"/>
        <v>1</v>
      </c>
      <c r="BD1" s="329" t="b">
        <f t="shared" si="1"/>
        <v>1</v>
      </c>
      <c r="BE1" s="329" t="b">
        <f t="shared" si="1"/>
        <v>1</v>
      </c>
      <c r="BF1" s="329" t="b">
        <f t="shared" si="1"/>
        <v>1</v>
      </c>
      <c r="BG1" s="329" t="b">
        <f t="shared" si="1"/>
        <v>1</v>
      </c>
      <c r="BH1" s="329" t="b">
        <f t="shared" si="1"/>
        <v>1</v>
      </c>
      <c r="BI1" s="329" t="b">
        <f t="shared" si="1"/>
        <v>1</v>
      </c>
      <c r="BJ1" s="329" t="b">
        <f t="shared" si="1"/>
        <v>1</v>
      </c>
      <c r="BK1" s="329" t="b">
        <f t="shared" si="1"/>
        <v>1</v>
      </c>
      <c r="BL1" s="329" t="b">
        <f t="shared" si="1"/>
        <v>1</v>
      </c>
      <c r="BM1" s="329" t="b">
        <f t="shared" si="1"/>
        <v>1</v>
      </c>
      <c r="BO1" s="329" t="b">
        <f>BO2=BO6</f>
        <v>1</v>
      </c>
      <c r="BP1" s="329" t="b">
        <f t="shared" ref="BP1:CQ1" si="2">BP2=BP6</f>
        <v>1</v>
      </c>
      <c r="BQ1" s="329" t="b">
        <f t="shared" si="2"/>
        <v>1</v>
      </c>
      <c r="BR1" s="329" t="b">
        <f t="shared" si="2"/>
        <v>1</v>
      </c>
      <c r="BS1" s="329" t="b">
        <f t="shared" si="2"/>
        <v>1</v>
      </c>
      <c r="BT1" s="329" t="b">
        <f t="shared" si="2"/>
        <v>1</v>
      </c>
      <c r="BU1" s="329" t="b">
        <f t="shared" si="2"/>
        <v>1</v>
      </c>
      <c r="BV1" s="329" t="b">
        <f t="shared" si="2"/>
        <v>1</v>
      </c>
      <c r="BW1" s="329" t="b">
        <f t="shared" si="2"/>
        <v>1</v>
      </c>
      <c r="BX1" s="329" t="b">
        <f t="shared" si="2"/>
        <v>1</v>
      </c>
      <c r="BY1" s="329" t="b">
        <f t="shared" si="2"/>
        <v>1</v>
      </c>
      <c r="BZ1" s="329" t="b">
        <f t="shared" si="2"/>
        <v>1</v>
      </c>
      <c r="CA1" s="329" t="b">
        <f t="shared" si="2"/>
        <v>1</v>
      </c>
      <c r="CB1" s="329" t="b">
        <f t="shared" si="2"/>
        <v>1</v>
      </c>
      <c r="CC1" s="329" t="b">
        <f t="shared" si="2"/>
        <v>1</v>
      </c>
      <c r="CD1" s="329" t="b">
        <f t="shared" si="2"/>
        <v>1</v>
      </c>
      <c r="CE1" s="329" t="b">
        <f t="shared" si="2"/>
        <v>1</v>
      </c>
      <c r="CF1" s="329" t="b">
        <f t="shared" si="2"/>
        <v>1</v>
      </c>
      <c r="CG1" s="329" t="b">
        <f t="shared" si="2"/>
        <v>1</v>
      </c>
      <c r="CH1" s="329" t="b">
        <f t="shared" si="2"/>
        <v>0</v>
      </c>
      <c r="CI1" s="329" t="b">
        <f t="shared" si="2"/>
        <v>1</v>
      </c>
      <c r="CJ1" s="329" t="b">
        <f t="shared" si="2"/>
        <v>1</v>
      </c>
      <c r="CK1" s="329" t="b">
        <f t="shared" si="2"/>
        <v>1</v>
      </c>
      <c r="CL1" s="329" t="b">
        <f t="shared" si="2"/>
        <v>0</v>
      </c>
      <c r="CM1" s="329" t="b">
        <f t="shared" si="2"/>
        <v>1</v>
      </c>
      <c r="CN1" s="329" t="b">
        <f t="shared" si="2"/>
        <v>1</v>
      </c>
      <c r="CO1" s="329" t="b">
        <f t="shared" si="2"/>
        <v>1</v>
      </c>
      <c r="CP1" s="329" t="b">
        <f t="shared" si="2"/>
        <v>1</v>
      </c>
      <c r="CQ1" s="329" t="b">
        <f t="shared" si="2"/>
        <v>1</v>
      </c>
    </row>
    <row r="2" spans="1:97" s="329" customFormat="1">
      <c r="A2"/>
      <c r="B2"/>
      <c r="C2"/>
      <c r="D2"/>
      <c r="E2"/>
      <c r="F2"/>
      <c r="G2" s="436" t="s">
        <v>110</v>
      </c>
      <c r="H2" s="436" t="s">
        <v>109</v>
      </c>
      <c r="I2" s="436" t="s">
        <v>1913</v>
      </c>
      <c r="J2" s="436" t="s">
        <v>1914</v>
      </c>
      <c r="K2" s="436" t="s">
        <v>1915</v>
      </c>
      <c r="L2" s="436" t="s">
        <v>2447</v>
      </c>
      <c r="M2" s="436" t="s">
        <v>2448</v>
      </c>
      <c r="N2" s="436" t="s">
        <v>2449</v>
      </c>
      <c r="O2" s="436" t="s">
        <v>2450</v>
      </c>
      <c r="P2" s="436" t="s">
        <v>2451</v>
      </c>
      <c r="Q2" s="436" t="s">
        <v>2452</v>
      </c>
      <c r="R2" s="436" t="s">
        <v>2453</v>
      </c>
      <c r="S2" s="436" t="s">
        <v>2454</v>
      </c>
      <c r="T2" s="436" t="s">
        <v>2455</v>
      </c>
      <c r="U2" s="436" t="s">
        <v>2456</v>
      </c>
      <c r="V2" s="436" t="s">
        <v>2457</v>
      </c>
      <c r="W2" s="436" t="s">
        <v>1931</v>
      </c>
      <c r="X2" s="436" t="s">
        <v>2459</v>
      </c>
      <c r="Y2" s="436" t="s">
        <v>5145</v>
      </c>
      <c r="Z2" s="436" t="s">
        <v>1932</v>
      </c>
      <c r="AA2" s="436" t="s">
        <v>1934</v>
      </c>
      <c r="AB2" s="436" t="s">
        <v>1935</v>
      </c>
      <c r="AC2" s="436" t="s">
        <v>1936</v>
      </c>
      <c r="AD2" s="436" t="s">
        <v>1933</v>
      </c>
      <c r="AE2" s="436" t="s">
        <v>2458</v>
      </c>
      <c r="AF2" s="436" t="s">
        <v>2460</v>
      </c>
      <c r="AG2" s="436" t="s">
        <v>5146</v>
      </c>
      <c r="AH2" s="436" t="s">
        <v>5147</v>
      </c>
      <c r="AI2" s="436" t="s">
        <v>997</v>
      </c>
      <c r="AK2" s="436" t="s">
        <v>110</v>
      </c>
      <c r="AL2" s="436" t="s">
        <v>109</v>
      </c>
      <c r="AM2" s="436" t="s">
        <v>1913</v>
      </c>
      <c r="AN2" s="436" t="s">
        <v>1914</v>
      </c>
      <c r="AO2" s="436" t="s">
        <v>1915</v>
      </c>
      <c r="AP2" s="436" t="s">
        <v>2447</v>
      </c>
      <c r="AQ2" s="436" t="s">
        <v>2448</v>
      </c>
      <c r="AR2" s="436" t="s">
        <v>2449</v>
      </c>
      <c r="AS2" s="436" t="s">
        <v>2450</v>
      </c>
      <c r="AT2" s="436" t="s">
        <v>2451</v>
      </c>
      <c r="AU2" s="436" t="s">
        <v>2452</v>
      </c>
      <c r="AV2" s="436" t="s">
        <v>2453</v>
      </c>
      <c r="AW2" s="436" t="s">
        <v>2454</v>
      </c>
      <c r="AX2" s="436" t="s">
        <v>2455</v>
      </c>
      <c r="AY2" s="436" t="s">
        <v>2456</v>
      </c>
      <c r="AZ2" s="436" t="s">
        <v>2457</v>
      </c>
      <c r="BA2" s="436" t="s">
        <v>1931</v>
      </c>
      <c r="BB2" s="436" t="s">
        <v>2459</v>
      </c>
      <c r="BC2" s="436" t="s">
        <v>5145</v>
      </c>
      <c r="BD2" s="436" t="s">
        <v>1932</v>
      </c>
      <c r="BE2" s="436" t="s">
        <v>1934</v>
      </c>
      <c r="BF2" s="436" t="s">
        <v>1935</v>
      </c>
      <c r="BG2" s="436" t="s">
        <v>1936</v>
      </c>
      <c r="BH2" s="436" t="s">
        <v>1933</v>
      </c>
      <c r="BI2" s="436" t="s">
        <v>2458</v>
      </c>
      <c r="BJ2" s="436" t="s">
        <v>2460</v>
      </c>
      <c r="BK2" s="436" t="s">
        <v>5146</v>
      </c>
      <c r="BL2" s="436" t="s">
        <v>5147</v>
      </c>
      <c r="BM2" s="436" t="s">
        <v>997</v>
      </c>
      <c r="BO2" s="436" t="s">
        <v>110</v>
      </c>
      <c r="BP2" s="436" t="s">
        <v>109</v>
      </c>
      <c r="BQ2" s="436" t="s">
        <v>1913</v>
      </c>
      <c r="BR2" s="436" t="s">
        <v>1914</v>
      </c>
      <c r="BS2" s="436" t="s">
        <v>1915</v>
      </c>
      <c r="BT2" s="436" t="s">
        <v>2447</v>
      </c>
      <c r="BU2" s="436" t="s">
        <v>2448</v>
      </c>
      <c r="BV2" s="436" t="s">
        <v>2449</v>
      </c>
      <c r="BW2" s="436" t="s">
        <v>2450</v>
      </c>
      <c r="BX2" s="436" t="s">
        <v>2451</v>
      </c>
      <c r="BY2" s="436" t="s">
        <v>2452</v>
      </c>
      <c r="BZ2" s="436" t="s">
        <v>2453</v>
      </c>
      <c r="CA2" s="436" t="s">
        <v>2454</v>
      </c>
      <c r="CB2" s="436" t="s">
        <v>2455</v>
      </c>
      <c r="CC2" s="436" t="s">
        <v>2456</v>
      </c>
      <c r="CD2" s="436" t="s">
        <v>2457</v>
      </c>
      <c r="CE2" s="436" t="s">
        <v>1931</v>
      </c>
      <c r="CF2" s="436" t="s">
        <v>2459</v>
      </c>
      <c r="CG2" s="436" t="s">
        <v>5145</v>
      </c>
      <c r="CH2" s="436" t="s">
        <v>1932</v>
      </c>
      <c r="CI2" s="436" t="s">
        <v>1934</v>
      </c>
      <c r="CJ2" s="436" t="s">
        <v>1935</v>
      </c>
      <c r="CK2" s="436" t="s">
        <v>1936</v>
      </c>
      <c r="CL2" s="436" t="s">
        <v>1933</v>
      </c>
      <c r="CM2" s="436" t="s">
        <v>2458</v>
      </c>
      <c r="CN2" s="436" t="s">
        <v>2460</v>
      </c>
      <c r="CO2" s="436" t="s">
        <v>5146</v>
      </c>
      <c r="CP2" s="436" t="s">
        <v>5147</v>
      </c>
      <c r="CQ2" s="436" t="s">
        <v>997</v>
      </c>
    </row>
    <row r="3" spans="1:97" ht="15.75" thickBot="1">
      <c r="C3" s="430" t="s">
        <v>2461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L3" s="372"/>
      <c r="BO3" s="374" t="s">
        <v>1906</v>
      </c>
      <c r="BP3" s="374"/>
      <c r="BQ3" s="374"/>
      <c r="BR3" s="374"/>
      <c r="BS3" s="374"/>
      <c r="BT3" s="374"/>
      <c r="BU3" s="374"/>
      <c r="BV3" s="374"/>
      <c r="BW3" s="374"/>
      <c r="BX3" s="374"/>
      <c r="BY3" s="374"/>
      <c r="BZ3" s="374"/>
      <c r="CA3" s="374"/>
      <c r="CB3" s="374"/>
      <c r="CC3" s="374"/>
      <c r="CD3" s="374"/>
      <c r="CE3" s="374"/>
      <c r="CF3" s="374"/>
      <c r="CG3" s="374"/>
      <c r="CH3" s="374"/>
      <c r="CI3" s="374"/>
      <c r="CJ3" s="374"/>
      <c r="CK3" s="374"/>
      <c r="CL3" s="374"/>
      <c r="CM3" s="374"/>
      <c r="CN3" s="374"/>
      <c r="CO3" s="374"/>
      <c r="CP3" s="374"/>
    </row>
    <row r="4" spans="1:97" ht="15.75" thickBot="1">
      <c r="C4" s="430" t="s">
        <v>2462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BO4" s="375"/>
      <c r="BP4" s="376"/>
      <c r="BQ4" s="376"/>
      <c r="BR4" s="376"/>
      <c r="BS4" s="376"/>
      <c r="BT4" s="376"/>
      <c r="BU4" s="376"/>
      <c r="BV4" s="376"/>
      <c r="BW4" s="376"/>
      <c r="BX4" s="376"/>
      <c r="BY4" s="376"/>
      <c r="BZ4" s="376"/>
      <c r="CA4" s="376"/>
      <c r="CB4" s="376"/>
      <c r="CC4" s="376"/>
      <c r="CD4" s="376"/>
      <c r="CE4" s="376"/>
      <c r="CF4" s="439"/>
      <c r="CG4" s="439"/>
      <c r="CH4" s="377"/>
      <c r="CI4" s="377"/>
      <c r="CJ4" s="377"/>
      <c r="CK4" s="377"/>
      <c r="CL4" s="377"/>
      <c r="CM4" s="377"/>
      <c r="CN4" s="439"/>
      <c r="CO4" s="439"/>
      <c r="CP4" s="439"/>
    </row>
    <row r="5" spans="1:97" ht="15.75" thickBot="1">
      <c r="C5" s="378"/>
      <c r="D5" s="378"/>
      <c r="E5" s="378"/>
      <c r="F5" s="378"/>
      <c r="G5" s="379" t="s">
        <v>1907</v>
      </c>
      <c r="H5" s="379"/>
      <c r="I5" s="379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  <c r="AD5" s="379"/>
      <c r="AE5" s="379"/>
      <c r="AF5" s="379"/>
      <c r="AG5" s="379"/>
      <c r="AH5" s="379"/>
      <c r="AI5" s="379"/>
      <c r="AK5" s="380" t="s">
        <v>1908</v>
      </c>
      <c r="AL5" s="380"/>
      <c r="AM5" s="380"/>
      <c r="AN5" s="380"/>
      <c r="AO5" s="380"/>
      <c r="AP5" s="380"/>
      <c r="AQ5" s="380"/>
      <c r="AR5" s="380"/>
      <c r="AS5" s="380"/>
      <c r="AT5" s="380"/>
      <c r="AU5" s="380"/>
      <c r="AV5" s="380"/>
      <c r="AW5" s="380"/>
      <c r="AX5" s="380"/>
      <c r="AY5" s="380"/>
      <c r="AZ5" s="380"/>
      <c r="BA5" s="380"/>
      <c r="BB5" s="380"/>
      <c r="BC5" s="380"/>
      <c r="BD5" s="380"/>
      <c r="BE5" s="380"/>
      <c r="BF5" s="380"/>
      <c r="BG5" s="380"/>
      <c r="BH5" s="380"/>
      <c r="BI5" s="380"/>
      <c r="BJ5" s="380"/>
      <c r="BK5" s="380"/>
      <c r="BL5" s="380"/>
      <c r="BM5" s="381"/>
      <c r="BO5" s="382" t="s">
        <v>1909</v>
      </c>
      <c r="BP5" s="382"/>
      <c r="BQ5" s="382"/>
      <c r="BR5" s="382"/>
      <c r="BS5" s="382"/>
      <c r="BT5" s="382"/>
      <c r="BU5" s="382"/>
      <c r="BV5" s="382"/>
      <c r="BW5" s="382"/>
      <c r="BX5" s="382"/>
      <c r="BY5" s="382"/>
      <c r="BZ5" s="382"/>
      <c r="CA5" s="382"/>
      <c r="CB5" s="382"/>
      <c r="CC5" s="382"/>
      <c r="CD5" s="382"/>
      <c r="CE5" s="382"/>
      <c r="CF5" s="382"/>
      <c r="CG5" s="382"/>
      <c r="CH5" s="382"/>
      <c r="CI5" s="382"/>
      <c r="CJ5" s="382"/>
      <c r="CK5" s="382"/>
      <c r="CL5" s="382"/>
      <c r="CM5" s="382"/>
      <c r="CN5" s="382"/>
      <c r="CO5" s="382"/>
      <c r="CP5" s="382"/>
      <c r="CQ5" s="382"/>
    </row>
    <row r="6" spans="1:97" ht="40.5" customHeight="1">
      <c r="C6" s="383" t="s">
        <v>1910</v>
      </c>
      <c r="D6" s="383" t="s">
        <v>1911</v>
      </c>
      <c r="E6" s="383" t="s">
        <v>20</v>
      </c>
      <c r="F6" s="383" t="s">
        <v>1912</v>
      </c>
      <c r="G6" s="384" t="s">
        <v>110</v>
      </c>
      <c r="H6" s="384" t="s">
        <v>109</v>
      </c>
      <c r="I6" s="384" t="s">
        <v>1913</v>
      </c>
      <c r="J6" s="384" t="s">
        <v>1914</v>
      </c>
      <c r="K6" s="384" t="s">
        <v>1915</v>
      </c>
      <c r="L6" s="384" t="s">
        <v>2447</v>
      </c>
      <c r="M6" s="384" t="s">
        <v>2448</v>
      </c>
      <c r="N6" s="384" t="s">
        <v>2449</v>
      </c>
      <c r="O6" s="384" t="s">
        <v>2450</v>
      </c>
      <c r="P6" s="384" t="s">
        <v>2451</v>
      </c>
      <c r="Q6" s="384" t="s">
        <v>2452</v>
      </c>
      <c r="R6" s="384" t="s">
        <v>2453</v>
      </c>
      <c r="S6" s="384" t="s">
        <v>2454</v>
      </c>
      <c r="T6" s="384" t="s">
        <v>2455</v>
      </c>
      <c r="U6" s="384" t="s">
        <v>2456</v>
      </c>
      <c r="V6" s="384" t="s">
        <v>2457</v>
      </c>
      <c r="W6" s="384" t="s">
        <v>1931</v>
      </c>
      <c r="X6" s="384" t="s">
        <v>2459</v>
      </c>
      <c r="Y6" s="384" t="s">
        <v>5145</v>
      </c>
      <c r="Z6" s="384" t="s">
        <v>1932</v>
      </c>
      <c r="AA6" s="384" t="s">
        <v>1934</v>
      </c>
      <c r="AB6" s="384" t="s">
        <v>1935</v>
      </c>
      <c r="AC6" s="384" t="s">
        <v>1936</v>
      </c>
      <c r="AD6" s="384" t="s">
        <v>1933</v>
      </c>
      <c r="AE6" s="384" t="s">
        <v>2458</v>
      </c>
      <c r="AF6" s="384" t="s">
        <v>2460</v>
      </c>
      <c r="AG6" s="384" t="s">
        <v>5146</v>
      </c>
      <c r="AH6" s="384" t="s">
        <v>5147</v>
      </c>
      <c r="AI6" s="384" t="s">
        <v>997</v>
      </c>
      <c r="AK6" s="384" t="s">
        <v>110</v>
      </c>
      <c r="AL6" s="384" t="s">
        <v>109</v>
      </c>
      <c r="AM6" s="384" t="s">
        <v>1913</v>
      </c>
      <c r="AN6" s="384" t="s">
        <v>1914</v>
      </c>
      <c r="AO6" s="384" t="s">
        <v>1915</v>
      </c>
      <c r="AP6" s="384" t="s">
        <v>2447</v>
      </c>
      <c r="AQ6" s="384" t="s">
        <v>2448</v>
      </c>
      <c r="AR6" s="384" t="s">
        <v>2449</v>
      </c>
      <c r="AS6" s="384" t="s">
        <v>2450</v>
      </c>
      <c r="AT6" s="384" t="s">
        <v>2451</v>
      </c>
      <c r="AU6" s="384" t="s">
        <v>2452</v>
      </c>
      <c r="AV6" s="384" t="s">
        <v>2453</v>
      </c>
      <c r="AW6" s="384" t="s">
        <v>2454</v>
      </c>
      <c r="AX6" s="384" t="s">
        <v>2455</v>
      </c>
      <c r="AY6" s="384" t="s">
        <v>2456</v>
      </c>
      <c r="AZ6" s="384" t="s">
        <v>2457</v>
      </c>
      <c r="BA6" s="384" t="s">
        <v>1931</v>
      </c>
      <c r="BB6" s="384" t="s">
        <v>2459</v>
      </c>
      <c r="BC6" s="384" t="s">
        <v>5145</v>
      </c>
      <c r="BD6" s="384" t="s">
        <v>1932</v>
      </c>
      <c r="BE6" s="384" t="s">
        <v>1934</v>
      </c>
      <c r="BF6" s="384" t="s">
        <v>1935</v>
      </c>
      <c r="BG6" s="384" t="s">
        <v>1936</v>
      </c>
      <c r="BH6" s="384" t="s">
        <v>1933</v>
      </c>
      <c r="BI6" s="384" t="s">
        <v>2458</v>
      </c>
      <c r="BJ6" s="384" t="s">
        <v>2460</v>
      </c>
      <c r="BK6" s="385" t="s">
        <v>5146</v>
      </c>
      <c r="BL6" s="385" t="s">
        <v>5147</v>
      </c>
      <c r="BM6" s="386" t="s">
        <v>997</v>
      </c>
      <c r="BO6" s="384" t="s">
        <v>110</v>
      </c>
      <c r="BP6" s="384" t="s">
        <v>109</v>
      </c>
      <c r="BQ6" s="384" t="s">
        <v>1913</v>
      </c>
      <c r="BR6" s="384" t="s">
        <v>1914</v>
      </c>
      <c r="BS6" s="384" t="s">
        <v>1915</v>
      </c>
      <c r="BT6" s="384" t="s">
        <v>2447</v>
      </c>
      <c r="BU6" s="384" t="s">
        <v>2448</v>
      </c>
      <c r="BV6" s="384" t="s">
        <v>2449</v>
      </c>
      <c r="BW6" s="384" t="s">
        <v>2450</v>
      </c>
      <c r="BX6" s="384" t="s">
        <v>2451</v>
      </c>
      <c r="BY6" s="384" t="s">
        <v>2452</v>
      </c>
      <c r="BZ6" s="384" t="s">
        <v>2453</v>
      </c>
      <c r="CA6" s="384" t="s">
        <v>2454</v>
      </c>
      <c r="CB6" s="384" t="s">
        <v>2455</v>
      </c>
      <c r="CC6" s="384" t="s">
        <v>2456</v>
      </c>
      <c r="CD6" s="384" t="s">
        <v>2457</v>
      </c>
      <c r="CE6" s="384" t="s">
        <v>1931</v>
      </c>
      <c r="CF6" s="384" t="s">
        <v>2459</v>
      </c>
      <c r="CG6" s="384" t="s">
        <v>5145</v>
      </c>
      <c r="CH6" s="384" t="s">
        <v>5148</v>
      </c>
      <c r="CI6" s="384" t="s">
        <v>1934</v>
      </c>
      <c r="CJ6" s="384" t="s">
        <v>1935</v>
      </c>
      <c r="CK6" s="384" t="s">
        <v>1936</v>
      </c>
      <c r="CL6" s="384" t="s">
        <v>5149</v>
      </c>
      <c r="CM6" s="384" t="s">
        <v>2458</v>
      </c>
      <c r="CN6" s="385" t="s">
        <v>2460</v>
      </c>
      <c r="CO6" s="385" t="s">
        <v>5146</v>
      </c>
      <c r="CP6" s="385" t="s">
        <v>5147</v>
      </c>
      <c r="CQ6" s="387" t="s">
        <v>997</v>
      </c>
      <c r="CS6" s="388" t="s">
        <v>1916</v>
      </c>
    </row>
    <row r="7" spans="1:97">
      <c r="B7" s="431" t="s">
        <v>2463</v>
      </c>
      <c r="C7" s="107"/>
      <c r="D7" s="395"/>
      <c r="E7" s="84"/>
      <c r="F7" s="84"/>
      <c r="G7" s="389"/>
      <c r="H7" s="390"/>
      <c r="I7" s="390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1"/>
      <c r="AK7" s="392"/>
      <c r="AL7" s="392"/>
      <c r="AM7" s="392"/>
      <c r="AN7" s="392"/>
      <c r="AO7" s="392"/>
      <c r="AP7" s="392"/>
      <c r="AQ7" s="392"/>
      <c r="AR7" s="392"/>
      <c r="AS7" s="392"/>
      <c r="AT7" s="392"/>
      <c r="AU7" s="392"/>
      <c r="AV7" s="392"/>
      <c r="AW7" s="392"/>
      <c r="AX7" s="392"/>
      <c r="AY7" s="392"/>
      <c r="AZ7" s="392"/>
      <c r="BA7" s="392"/>
      <c r="BB7" s="392"/>
      <c r="BC7" s="392"/>
      <c r="BD7" s="392"/>
      <c r="BE7" s="392"/>
      <c r="BF7" s="392"/>
      <c r="BG7" s="392"/>
      <c r="BH7" s="392"/>
      <c r="BI7" s="392"/>
      <c r="BJ7" s="392"/>
      <c r="BK7" s="392"/>
      <c r="BL7" s="392"/>
      <c r="BM7" s="393"/>
      <c r="BO7" s="399"/>
      <c r="BP7" s="399"/>
      <c r="BQ7" s="399"/>
      <c r="BR7" s="399"/>
      <c r="BS7" s="399"/>
      <c r="BT7" s="399"/>
      <c r="BU7" s="399"/>
      <c r="BV7" s="399"/>
      <c r="BW7" s="399"/>
      <c r="BX7" s="399"/>
      <c r="BY7" s="399"/>
      <c r="BZ7" s="399"/>
      <c r="CA7" s="399"/>
      <c r="CB7" s="399"/>
      <c r="CC7" s="399"/>
      <c r="CD7" s="399"/>
      <c r="CE7" s="399"/>
      <c r="CF7" s="399"/>
      <c r="CG7" s="399"/>
      <c r="CH7" s="399"/>
      <c r="CI7" s="399"/>
      <c r="CJ7" s="399"/>
      <c r="CK7" s="399"/>
      <c r="CL7" s="399"/>
      <c r="CM7" s="399"/>
      <c r="CN7" s="399"/>
      <c r="CO7" s="438"/>
      <c r="CP7" s="438"/>
      <c r="CQ7" s="423"/>
      <c r="CS7" s="432"/>
    </row>
    <row r="8" spans="1:97">
      <c r="B8" s="431" t="s">
        <v>2463</v>
      </c>
      <c r="C8" s="107"/>
      <c r="D8" s="395"/>
      <c r="E8" s="84"/>
      <c r="F8" s="84"/>
      <c r="G8" s="389"/>
      <c r="H8" s="390"/>
      <c r="I8" s="390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1"/>
      <c r="AK8" s="392"/>
      <c r="AL8" s="392"/>
      <c r="AM8" s="392"/>
      <c r="AN8" s="392"/>
      <c r="AO8" s="392"/>
      <c r="AP8" s="392"/>
      <c r="AQ8" s="392"/>
      <c r="AR8" s="392"/>
      <c r="AS8" s="392"/>
      <c r="AT8" s="392"/>
      <c r="AU8" s="392"/>
      <c r="AV8" s="392"/>
      <c r="AW8" s="392"/>
      <c r="AX8" s="392"/>
      <c r="AY8" s="392"/>
      <c r="AZ8" s="392"/>
      <c r="BA8" s="392"/>
      <c r="BB8" s="392"/>
      <c r="BC8" s="392"/>
      <c r="BD8" s="392"/>
      <c r="BE8" s="392"/>
      <c r="BF8" s="392"/>
      <c r="BG8" s="392"/>
      <c r="BH8" s="392"/>
      <c r="BI8" s="392"/>
      <c r="BJ8" s="392"/>
      <c r="BK8" s="392"/>
      <c r="BL8" s="392"/>
      <c r="BM8" s="393"/>
      <c r="BO8" s="399"/>
      <c r="BP8" s="399"/>
      <c r="BQ8" s="399"/>
      <c r="BR8" s="399"/>
      <c r="BS8" s="399"/>
      <c r="BT8" s="399"/>
      <c r="BU8" s="399"/>
      <c r="BV8" s="399"/>
      <c r="BW8" s="399"/>
      <c r="BX8" s="399"/>
      <c r="BY8" s="399"/>
      <c r="BZ8" s="399"/>
      <c r="CA8" s="399"/>
      <c r="CB8" s="399"/>
      <c r="CC8" s="399"/>
      <c r="CD8" s="399"/>
      <c r="CE8" s="399"/>
      <c r="CF8" s="399"/>
      <c r="CG8" s="399"/>
      <c r="CH8" s="399"/>
      <c r="CI8" s="399"/>
      <c r="CJ8" s="399"/>
      <c r="CK8" s="399"/>
      <c r="CL8" s="399"/>
      <c r="CM8" s="399"/>
      <c r="CN8" s="399"/>
      <c r="CO8" s="438"/>
      <c r="CP8" s="438"/>
      <c r="CQ8" s="423"/>
      <c r="CS8" s="432"/>
    </row>
    <row r="9" spans="1:97">
      <c r="B9" s="431" t="s">
        <v>2463</v>
      </c>
      <c r="C9" s="107"/>
      <c r="D9" s="395"/>
      <c r="E9" s="84"/>
      <c r="F9" s="84"/>
      <c r="G9" s="389"/>
      <c r="H9" s="390"/>
      <c r="I9" s="390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1"/>
      <c r="AK9" s="392"/>
      <c r="AL9" s="392"/>
      <c r="AM9" s="392"/>
      <c r="AN9" s="392"/>
      <c r="AO9" s="392"/>
      <c r="AP9" s="392"/>
      <c r="AQ9" s="392"/>
      <c r="AR9" s="392"/>
      <c r="AS9" s="392"/>
      <c r="AT9" s="392"/>
      <c r="AU9" s="392"/>
      <c r="AV9" s="392"/>
      <c r="AW9" s="392"/>
      <c r="AX9" s="392"/>
      <c r="AY9" s="392"/>
      <c r="AZ9" s="392"/>
      <c r="BA9" s="392"/>
      <c r="BB9" s="392"/>
      <c r="BC9" s="392"/>
      <c r="BD9" s="392"/>
      <c r="BE9" s="392"/>
      <c r="BF9" s="392"/>
      <c r="BG9" s="392"/>
      <c r="BH9" s="392"/>
      <c r="BI9" s="392"/>
      <c r="BJ9" s="392"/>
      <c r="BK9" s="392"/>
      <c r="BL9" s="392"/>
      <c r="BM9" s="393"/>
      <c r="BO9" s="399"/>
      <c r="BP9" s="399"/>
      <c r="BQ9" s="399"/>
      <c r="BR9" s="399"/>
      <c r="BS9" s="399"/>
      <c r="BT9" s="399"/>
      <c r="BU9" s="399"/>
      <c r="BV9" s="399"/>
      <c r="BW9" s="399"/>
      <c r="BX9" s="399"/>
      <c r="BY9" s="399"/>
      <c r="BZ9" s="399"/>
      <c r="CA9" s="399"/>
      <c r="CB9" s="399"/>
      <c r="CC9" s="399"/>
      <c r="CD9" s="399"/>
      <c r="CE9" s="399"/>
      <c r="CF9" s="399"/>
      <c r="CG9" s="399"/>
      <c r="CH9" s="399"/>
      <c r="CI9" s="399"/>
      <c r="CJ9" s="399"/>
      <c r="CK9" s="399"/>
      <c r="CL9" s="399"/>
      <c r="CM9" s="399"/>
      <c r="CN9" s="399"/>
      <c r="CO9" s="438"/>
      <c r="CP9" s="438"/>
      <c r="CQ9" s="423"/>
      <c r="CS9" s="432"/>
    </row>
    <row r="10" spans="1:97">
      <c r="B10" s="431" t="s">
        <v>2463</v>
      </c>
      <c r="C10" s="107"/>
      <c r="D10" s="395"/>
      <c r="E10" s="84"/>
      <c r="F10" s="84"/>
      <c r="G10" s="389"/>
      <c r="H10" s="390"/>
      <c r="I10" s="390"/>
      <c r="J10" s="390"/>
      <c r="K10" s="390"/>
      <c r="L10" s="390"/>
      <c r="M10" s="390"/>
      <c r="N10" s="390"/>
      <c r="O10" s="390"/>
      <c r="P10" s="390"/>
      <c r="Q10" s="390"/>
      <c r="R10" s="390"/>
      <c r="S10" s="390"/>
      <c r="T10" s="390"/>
      <c r="U10" s="390"/>
      <c r="V10" s="390"/>
      <c r="W10" s="390"/>
      <c r="X10" s="390"/>
      <c r="Y10" s="390"/>
      <c r="Z10" s="390"/>
      <c r="AA10" s="390"/>
      <c r="AB10" s="390"/>
      <c r="AC10" s="390"/>
      <c r="AD10" s="390"/>
      <c r="AE10" s="390"/>
      <c r="AF10" s="390"/>
      <c r="AG10" s="390"/>
      <c r="AH10" s="390"/>
      <c r="AI10" s="391"/>
      <c r="AK10" s="392"/>
      <c r="AL10" s="392"/>
      <c r="AM10" s="392"/>
      <c r="AN10" s="392"/>
      <c r="AO10" s="392"/>
      <c r="AP10" s="392"/>
      <c r="AQ10" s="392"/>
      <c r="AR10" s="392"/>
      <c r="AS10" s="392"/>
      <c r="AT10" s="392"/>
      <c r="AU10" s="392"/>
      <c r="AV10" s="392"/>
      <c r="AW10" s="392"/>
      <c r="AX10" s="392"/>
      <c r="AY10" s="392"/>
      <c r="AZ10" s="392"/>
      <c r="BA10" s="392"/>
      <c r="BB10" s="392"/>
      <c r="BC10" s="392"/>
      <c r="BD10" s="392"/>
      <c r="BE10" s="392"/>
      <c r="BF10" s="392"/>
      <c r="BG10" s="392"/>
      <c r="BH10" s="392"/>
      <c r="BI10" s="392"/>
      <c r="BJ10" s="392"/>
      <c r="BK10" s="392"/>
      <c r="BL10" s="392"/>
      <c r="BM10" s="393"/>
      <c r="BO10" s="399"/>
      <c r="BP10" s="399"/>
      <c r="BQ10" s="399"/>
      <c r="BR10" s="399"/>
      <c r="BS10" s="399"/>
      <c r="BT10" s="399"/>
      <c r="BU10" s="399"/>
      <c r="BV10" s="399"/>
      <c r="BW10" s="399"/>
      <c r="BX10" s="399"/>
      <c r="BY10" s="399"/>
      <c r="BZ10" s="399"/>
      <c r="CA10" s="399"/>
      <c r="CB10" s="399"/>
      <c r="CC10" s="399"/>
      <c r="CD10" s="399"/>
      <c r="CE10" s="399"/>
      <c r="CF10" s="399"/>
      <c r="CG10" s="399"/>
      <c r="CH10" s="399"/>
      <c r="CI10" s="399"/>
      <c r="CJ10" s="399"/>
      <c r="CK10" s="399"/>
      <c r="CL10" s="399"/>
      <c r="CM10" s="399"/>
      <c r="CN10" s="399"/>
      <c r="CO10" s="438"/>
      <c r="CP10" s="438"/>
      <c r="CQ10" s="423"/>
      <c r="CS10" s="432"/>
    </row>
    <row r="11" spans="1:97">
      <c r="B11" s="431" t="s">
        <v>2463</v>
      </c>
      <c r="C11" s="107"/>
      <c r="D11" s="395"/>
      <c r="E11" s="84"/>
      <c r="F11" s="84"/>
      <c r="G11" s="389"/>
      <c r="H11" s="390"/>
      <c r="I11" s="390"/>
      <c r="J11" s="390"/>
      <c r="K11" s="390"/>
      <c r="L11" s="390"/>
      <c r="M11" s="390"/>
      <c r="N11" s="390"/>
      <c r="O11" s="390"/>
      <c r="P11" s="390"/>
      <c r="Q11" s="390"/>
      <c r="R11" s="390"/>
      <c r="S11" s="390"/>
      <c r="T11" s="390"/>
      <c r="U11" s="390"/>
      <c r="V11" s="390"/>
      <c r="W11" s="390"/>
      <c r="X11" s="390"/>
      <c r="Y11" s="390"/>
      <c r="Z11" s="390"/>
      <c r="AA11" s="390"/>
      <c r="AB11" s="390"/>
      <c r="AC11" s="390"/>
      <c r="AD11" s="390"/>
      <c r="AE11" s="390"/>
      <c r="AF11" s="390"/>
      <c r="AG11" s="390"/>
      <c r="AH11" s="390"/>
      <c r="AI11" s="391"/>
      <c r="AK11" s="392"/>
      <c r="AL11" s="392"/>
      <c r="AM11" s="392"/>
      <c r="AN11" s="392"/>
      <c r="AO11" s="392"/>
      <c r="AP11" s="392"/>
      <c r="AQ11" s="392"/>
      <c r="AR11" s="392"/>
      <c r="AS11" s="392"/>
      <c r="AT11" s="392"/>
      <c r="AU11" s="392"/>
      <c r="AV11" s="392"/>
      <c r="AW11" s="392"/>
      <c r="AX11" s="392"/>
      <c r="AY11" s="392"/>
      <c r="AZ11" s="392"/>
      <c r="BA11" s="392"/>
      <c r="BB11" s="392"/>
      <c r="BC11" s="392"/>
      <c r="BD11" s="392"/>
      <c r="BE11" s="392"/>
      <c r="BF11" s="392"/>
      <c r="BG11" s="392"/>
      <c r="BH11" s="392"/>
      <c r="BI11" s="392"/>
      <c r="BJ11" s="392"/>
      <c r="BK11" s="392"/>
      <c r="BL11" s="392"/>
      <c r="BM11" s="393"/>
      <c r="BO11" s="399"/>
      <c r="BP11" s="399"/>
      <c r="BQ11" s="399"/>
      <c r="BR11" s="399"/>
      <c r="BS11" s="399"/>
      <c r="BT11" s="399"/>
      <c r="BU11" s="399"/>
      <c r="BV11" s="399"/>
      <c r="BW11" s="399"/>
      <c r="BX11" s="399"/>
      <c r="BY11" s="399"/>
      <c r="BZ11" s="399"/>
      <c r="CA11" s="399"/>
      <c r="CB11" s="399"/>
      <c r="CC11" s="399"/>
      <c r="CD11" s="399"/>
      <c r="CE11" s="399"/>
      <c r="CF11" s="399"/>
      <c r="CG11" s="399"/>
      <c r="CH11" s="399"/>
      <c r="CI11" s="399"/>
      <c r="CJ11" s="399"/>
      <c r="CK11" s="399"/>
      <c r="CL11" s="399"/>
      <c r="CM11" s="399"/>
      <c r="CN11" s="399"/>
      <c r="CO11" s="438"/>
      <c r="CP11" s="438"/>
      <c r="CQ11" s="423"/>
      <c r="CS11" s="432"/>
    </row>
    <row r="12" spans="1:97">
      <c r="B12" s="431" t="s">
        <v>2463</v>
      </c>
      <c r="C12" s="107"/>
      <c r="D12" s="395"/>
      <c r="E12" s="84"/>
      <c r="F12" s="84"/>
      <c r="G12" s="389"/>
      <c r="H12" s="390"/>
      <c r="I12" s="390"/>
      <c r="J12" s="390"/>
      <c r="K12" s="390"/>
      <c r="L12" s="390"/>
      <c r="M12" s="390"/>
      <c r="N12" s="390"/>
      <c r="O12" s="390"/>
      <c r="P12" s="390"/>
      <c r="Q12" s="390"/>
      <c r="R12" s="390"/>
      <c r="S12" s="390"/>
      <c r="T12" s="390"/>
      <c r="U12" s="390"/>
      <c r="V12" s="390"/>
      <c r="W12" s="390"/>
      <c r="X12" s="390"/>
      <c r="Y12" s="390"/>
      <c r="Z12" s="390"/>
      <c r="AA12" s="390"/>
      <c r="AB12" s="390"/>
      <c r="AC12" s="390"/>
      <c r="AD12" s="390"/>
      <c r="AE12" s="390"/>
      <c r="AF12" s="390"/>
      <c r="AG12" s="390"/>
      <c r="AH12" s="390"/>
      <c r="AI12" s="391"/>
      <c r="AK12" s="392"/>
      <c r="AL12" s="392"/>
      <c r="AM12" s="392"/>
      <c r="AN12" s="392"/>
      <c r="AO12" s="392"/>
      <c r="AP12" s="392"/>
      <c r="AQ12" s="392"/>
      <c r="AR12" s="392"/>
      <c r="AS12" s="392"/>
      <c r="AT12" s="392"/>
      <c r="AU12" s="392"/>
      <c r="AV12" s="392"/>
      <c r="AW12" s="392"/>
      <c r="AX12" s="392"/>
      <c r="AY12" s="392"/>
      <c r="AZ12" s="392"/>
      <c r="BA12" s="392"/>
      <c r="BB12" s="392"/>
      <c r="BC12" s="392"/>
      <c r="BD12" s="392"/>
      <c r="BE12" s="392"/>
      <c r="BF12" s="392"/>
      <c r="BG12" s="392"/>
      <c r="BH12" s="392"/>
      <c r="BI12" s="392"/>
      <c r="BJ12" s="392"/>
      <c r="BK12" s="392"/>
      <c r="BL12" s="392"/>
      <c r="BM12" s="393"/>
      <c r="BO12" s="399"/>
      <c r="BP12" s="399"/>
      <c r="BQ12" s="399"/>
      <c r="BR12" s="399"/>
      <c r="BS12" s="399"/>
      <c r="BT12" s="399"/>
      <c r="BU12" s="399"/>
      <c r="BV12" s="399"/>
      <c r="BW12" s="399"/>
      <c r="BX12" s="399"/>
      <c r="BY12" s="399"/>
      <c r="BZ12" s="399"/>
      <c r="CA12" s="399"/>
      <c r="CB12" s="399"/>
      <c r="CC12" s="399"/>
      <c r="CD12" s="399"/>
      <c r="CE12" s="399"/>
      <c r="CF12" s="399"/>
      <c r="CG12" s="399"/>
      <c r="CH12" s="399"/>
      <c r="CI12" s="399"/>
      <c r="CJ12" s="399"/>
      <c r="CK12" s="399"/>
      <c r="CL12" s="399"/>
      <c r="CM12" s="399"/>
      <c r="CN12" s="399"/>
      <c r="CO12" s="438"/>
      <c r="CP12" s="438"/>
      <c r="CQ12" s="423"/>
      <c r="CS12" s="432"/>
    </row>
    <row r="13" spans="1:97">
      <c r="B13" s="431" t="s">
        <v>2463</v>
      </c>
      <c r="C13" s="107"/>
      <c r="D13" s="395"/>
      <c r="E13" s="84"/>
      <c r="F13" s="84"/>
      <c r="G13" s="389"/>
      <c r="H13" s="390"/>
      <c r="I13" s="390"/>
      <c r="J13" s="390"/>
      <c r="K13" s="390"/>
      <c r="L13" s="390"/>
      <c r="M13" s="390"/>
      <c r="N13" s="390"/>
      <c r="O13" s="390"/>
      <c r="P13" s="390"/>
      <c r="Q13" s="390"/>
      <c r="R13" s="390"/>
      <c r="S13" s="390"/>
      <c r="T13" s="390"/>
      <c r="U13" s="390"/>
      <c r="V13" s="390"/>
      <c r="W13" s="390"/>
      <c r="X13" s="390"/>
      <c r="Y13" s="390"/>
      <c r="Z13" s="390"/>
      <c r="AA13" s="390"/>
      <c r="AB13" s="390"/>
      <c r="AC13" s="390"/>
      <c r="AD13" s="390"/>
      <c r="AE13" s="390"/>
      <c r="AF13" s="390"/>
      <c r="AG13" s="390"/>
      <c r="AH13" s="390"/>
      <c r="AI13" s="391"/>
      <c r="AK13" s="392"/>
      <c r="AL13" s="392"/>
      <c r="AM13" s="392"/>
      <c r="AN13" s="392"/>
      <c r="AO13" s="392"/>
      <c r="AP13" s="392"/>
      <c r="AQ13" s="392"/>
      <c r="AR13" s="392"/>
      <c r="AS13" s="392"/>
      <c r="AT13" s="392"/>
      <c r="AU13" s="392"/>
      <c r="AV13" s="392"/>
      <c r="AW13" s="392"/>
      <c r="AX13" s="392"/>
      <c r="AY13" s="392"/>
      <c r="AZ13" s="392"/>
      <c r="BA13" s="392"/>
      <c r="BB13" s="392"/>
      <c r="BC13" s="392"/>
      <c r="BD13" s="392"/>
      <c r="BE13" s="392"/>
      <c r="BF13" s="392"/>
      <c r="BG13" s="392"/>
      <c r="BH13" s="392"/>
      <c r="BI13" s="392"/>
      <c r="BJ13" s="392"/>
      <c r="BK13" s="392"/>
      <c r="BL13" s="392"/>
      <c r="BM13" s="393"/>
      <c r="BO13" s="399"/>
      <c r="BP13" s="399"/>
      <c r="BQ13" s="399"/>
      <c r="BR13" s="399"/>
      <c r="BS13" s="399"/>
      <c r="BT13" s="399"/>
      <c r="BU13" s="399"/>
      <c r="BV13" s="399"/>
      <c r="BW13" s="399"/>
      <c r="BX13" s="399"/>
      <c r="BY13" s="399"/>
      <c r="BZ13" s="399"/>
      <c r="CA13" s="399"/>
      <c r="CB13" s="399"/>
      <c r="CC13" s="399"/>
      <c r="CD13" s="399"/>
      <c r="CE13" s="399"/>
      <c r="CF13" s="399"/>
      <c r="CG13" s="399"/>
      <c r="CH13" s="399"/>
      <c r="CI13" s="399"/>
      <c r="CJ13" s="399"/>
      <c r="CK13" s="399"/>
      <c r="CL13" s="399"/>
      <c r="CM13" s="399"/>
      <c r="CN13" s="399"/>
      <c r="CO13" s="438"/>
      <c r="CP13" s="438"/>
      <c r="CQ13" s="423"/>
      <c r="CS13" s="432"/>
    </row>
    <row r="14" spans="1:97">
      <c r="B14" s="431" t="s">
        <v>2463</v>
      </c>
      <c r="C14" s="107"/>
      <c r="D14" s="395"/>
      <c r="E14" s="84"/>
      <c r="F14" s="84"/>
      <c r="G14" s="389"/>
      <c r="H14" s="390"/>
      <c r="I14" s="390"/>
      <c r="J14" s="390"/>
      <c r="K14" s="390"/>
      <c r="L14" s="390"/>
      <c r="M14" s="390"/>
      <c r="N14" s="390"/>
      <c r="O14" s="390"/>
      <c r="P14" s="390"/>
      <c r="Q14" s="390"/>
      <c r="R14" s="390"/>
      <c r="S14" s="390"/>
      <c r="T14" s="390"/>
      <c r="U14" s="390"/>
      <c r="V14" s="390"/>
      <c r="W14" s="390"/>
      <c r="X14" s="390"/>
      <c r="Y14" s="390"/>
      <c r="Z14" s="390"/>
      <c r="AA14" s="390"/>
      <c r="AB14" s="390"/>
      <c r="AC14" s="390"/>
      <c r="AD14" s="390"/>
      <c r="AE14" s="390"/>
      <c r="AF14" s="390"/>
      <c r="AG14" s="390"/>
      <c r="AH14" s="390"/>
      <c r="AI14" s="391"/>
      <c r="AK14" s="392"/>
      <c r="AL14" s="392"/>
      <c r="AM14" s="392"/>
      <c r="AN14" s="392"/>
      <c r="AO14" s="392"/>
      <c r="AP14" s="392"/>
      <c r="AQ14" s="392"/>
      <c r="AR14" s="392"/>
      <c r="AS14" s="392"/>
      <c r="AT14" s="392"/>
      <c r="AU14" s="392"/>
      <c r="AV14" s="392"/>
      <c r="AW14" s="392"/>
      <c r="AX14" s="392"/>
      <c r="AY14" s="392"/>
      <c r="AZ14" s="392"/>
      <c r="BA14" s="392"/>
      <c r="BB14" s="392"/>
      <c r="BC14" s="392"/>
      <c r="BD14" s="392"/>
      <c r="BE14" s="392"/>
      <c r="BF14" s="392"/>
      <c r="BG14" s="392"/>
      <c r="BH14" s="392"/>
      <c r="BI14" s="392"/>
      <c r="BJ14" s="392"/>
      <c r="BK14" s="392"/>
      <c r="BL14" s="392"/>
      <c r="BM14" s="393"/>
      <c r="BO14" s="399"/>
      <c r="BP14" s="399"/>
      <c r="BQ14" s="399"/>
      <c r="BR14" s="399"/>
      <c r="BS14" s="399"/>
      <c r="BT14" s="399"/>
      <c r="BU14" s="399"/>
      <c r="BV14" s="399"/>
      <c r="BW14" s="399"/>
      <c r="BX14" s="399"/>
      <c r="BY14" s="399"/>
      <c r="BZ14" s="399"/>
      <c r="CA14" s="399"/>
      <c r="CB14" s="399"/>
      <c r="CC14" s="399"/>
      <c r="CD14" s="399"/>
      <c r="CE14" s="399"/>
      <c r="CF14" s="399"/>
      <c r="CG14" s="399"/>
      <c r="CH14" s="399"/>
      <c r="CI14" s="399"/>
      <c r="CJ14" s="399"/>
      <c r="CK14" s="399"/>
      <c r="CL14" s="399"/>
      <c r="CM14" s="399"/>
      <c r="CN14" s="399"/>
      <c r="CO14" s="438"/>
      <c r="CP14" s="438"/>
      <c r="CQ14" s="423"/>
      <c r="CS14" s="432"/>
    </row>
    <row r="15" spans="1:97">
      <c r="B15" s="431" t="s">
        <v>2463</v>
      </c>
      <c r="C15" s="107"/>
      <c r="D15" s="395"/>
      <c r="E15" s="84"/>
      <c r="F15" s="84"/>
      <c r="G15" s="389"/>
      <c r="H15" s="390"/>
      <c r="I15" s="390"/>
      <c r="J15" s="390"/>
      <c r="K15" s="390"/>
      <c r="L15" s="390"/>
      <c r="M15" s="390"/>
      <c r="N15" s="390"/>
      <c r="O15" s="390"/>
      <c r="P15" s="390"/>
      <c r="Q15" s="390"/>
      <c r="R15" s="390"/>
      <c r="S15" s="390"/>
      <c r="T15" s="390"/>
      <c r="U15" s="390"/>
      <c r="V15" s="390"/>
      <c r="W15" s="390"/>
      <c r="X15" s="390"/>
      <c r="Y15" s="390"/>
      <c r="Z15" s="390"/>
      <c r="AA15" s="390"/>
      <c r="AB15" s="390"/>
      <c r="AC15" s="390"/>
      <c r="AD15" s="390"/>
      <c r="AE15" s="390"/>
      <c r="AF15" s="390"/>
      <c r="AG15" s="390"/>
      <c r="AH15" s="390"/>
      <c r="AI15" s="391"/>
      <c r="AK15" s="392"/>
      <c r="AL15" s="392"/>
      <c r="AM15" s="392"/>
      <c r="AN15" s="392"/>
      <c r="AO15" s="392"/>
      <c r="AP15" s="392"/>
      <c r="AQ15" s="392"/>
      <c r="AR15" s="392"/>
      <c r="AS15" s="392"/>
      <c r="AT15" s="392"/>
      <c r="AU15" s="392"/>
      <c r="AV15" s="392"/>
      <c r="AW15" s="392"/>
      <c r="AX15" s="392"/>
      <c r="AY15" s="392"/>
      <c r="AZ15" s="392"/>
      <c r="BA15" s="392"/>
      <c r="BB15" s="392"/>
      <c r="BC15" s="392"/>
      <c r="BD15" s="392"/>
      <c r="BE15" s="392"/>
      <c r="BF15" s="392"/>
      <c r="BG15" s="392"/>
      <c r="BH15" s="392"/>
      <c r="BI15" s="392"/>
      <c r="BJ15" s="392"/>
      <c r="BK15" s="392"/>
      <c r="BL15" s="392"/>
      <c r="BM15" s="393"/>
      <c r="BO15" s="399"/>
      <c r="BP15" s="399"/>
      <c r="BQ15" s="399"/>
      <c r="BR15" s="399"/>
      <c r="BS15" s="399"/>
      <c r="BT15" s="399"/>
      <c r="BU15" s="399"/>
      <c r="BV15" s="399"/>
      <c r="BW15" s="399"/>
      <c r="BX15" s="399"/>
      <c r="BY15" s="399"/>
      <c r="BZ15" s="399"/>
      <c r="CA15" s="399"/>
      <c r="CB15" s="399"/>
      <c r="CC15" s="399"/>
      <c r="CD15" s="399"/>
      <c r="CE15" s="399"/>
      <c r="CF15" s="399"/>
      <c r="CG15" s="399"/>
      <c r="CH15" s="399"/>
      <c r="CI15" s="399"/>
      <c r="CJ15" s="399"/>
      <c r="CK15" s="399"/>
      <c r="CL15" s="399"/>
      <c r="CM15" s="399"/>
      <c r="CN15" s="399"/>
      <c r="CO15" s="438"/>
      <c r="CP15" s="438"/>
      <c r="CQ15" s="423"/>
      <c r="CS15" s="432"/>
    </row>
    <row r="16" spans="1:97">
      <c r="B16" s="431" t="s">
        <v>2463</v>
      </c>
      <c r="C16" s="107"/>
      <c r="D16" s="395"/>
      <c r="E16" s="84"/>
      <c r="F16" s="84"/>
      <c r="G16" s="389"/>
      <c r="H16" s="390"/>
      <c r="I16" s="390"/>
      <c r="J16" s="390"/>
      <c r="K16" s="390"/>
      <c r="L16" s="390"/>
      <c r="M16" s="390"/>
      <c r="N16" s="390"/>
      <c r="O16" s="390"/>
      <c r="P16" s="390"/>
      <c r="Q16" s="390"/>
      <c r="R16" s="390"/>
      <c r="S16" s="390"/>
      <c r="T16" s="390"/>
      <c r="U16" s="390"/>
      <c r="V16" s="390"/>
      <c r="W16" s="390"/>
      <c r="X16" s="390"/>
      <c r="Y16" s="390"/>
      <c r="Z16" s="390"/>
      <c r="AA16" s="390"/>
      <c r="AB16" s="390"/>
      <c r="AC16" s="390"/>
      <c r="AD16" s="390"/>
      <c r="AE16" s="390"/>
      <c r="AF16" s="390"/>
      <c r="AG16" s="390"/>
      <c r="AH16" s="390"/>
      <c r="AI16" s="391"/>
      <c r="AK16" s="392"/>
      <c r="AL16" s="392"/>
      <c r="AM16" s="392"/>
      <c r="AN16" s="392"/>
      <c r="AO16" s="392"/>
      <c r="AP16" s="392"/>
      <c r="AQ16" s="392"/>
      <c r="AR16" s="392"/>
      <c r="AS16" s="392"/>
      <c r="AT16" s="392"/>
      <c r="AU16" s="392"/>
      <c r="AV16" s="392"/>
      <c r="AW16" s="392"/>
      <c r="AX16" s="392"/>
      <c r="AY16" s="392"/>
      <c r="AZ16" s="392"/>
      <c r="BA16" s="392"/>
      <c r="BB16" s="392"/>
      <c r="BC16" s="392"/>
      <c r="BD16" s="392"/>
      <c r="BE16" s="392"/>
      <c r="BF16" s="392"/>
      <c r="BG16" s="392"/>
      <c r="BH16" s="392"/>
      <c r="BI16" s="392"/>
      <c r="BJ16" s="392"/>
      <c r="BK16" s="392"/>
      <c r="BL16" s="392"/>
      <c r="BM16" s="393"/>
      <c r="BO16" s="399"/>
      <c r="BP16" s="399"/>
      <c r="BQ16" s="399"/>
      <c r="BR16" s="399"/>
      <c r="BS16" s="399"/>
      <c r="BT16" s="399"/>
      <c r="BU16" s="399"/>
      <c r="BV16" s="399"/>
      <c r="BW16" s="399"/>
      <c r="BX16" s="399"/>
      <c r="BY16" s="399"/>
      <c r="BZ16" s="399"/>
      <c r="CA16" s="399"/>
      <c r="CB16" s="399"/>
      <c r="CC16" s="399"/>
      <c r="CD16" s="399"/>
      <c r="CE16" s="399"/>
      <c r="CF16" s="399"/>
      <c r="CG16" s="399"/>
      <c r="CH16" s="399"/>
      <c r="CI16" s="399"/>
      <c r="CJ16" s="399"/>
      <c r="CK16" s="399"/>
      <c r="CL16" s="399"/>
      <c r="CM16" s="399"/>
      <c r="CN16" s="399"/>
      <c r="CO16" s="438"/>
      <c r="CP16" s="438"/>
      <c r="CQ16" s="423"/>
      <c r="CS16" s="432"/>
    </row>
    <row r="17" spans="2:97">
      <c r="B17" s="431" t="s">
        <v>2463</v>
      </c>
      <c r="C17" s="107"/>
      <c r="D17" s="395"/>
      <c r="E17" s="84"/>
      <c r="F17" s="84"/>
      <c r="G17" s="389"/>
      <c r="H17" s="390"/>
      <c r="I17" s="390"/>
      <c r="J17" s="390"/>
      <c r="K17" s="390"/>
      <c r="L17" s="390"/>
      <c r="M17" s="390"/>
      <c r="N17" s="390"/>
      <c r="O17" s="390"/>
      <c r="P17" s="390"/>
      <c r="Q17" s="390"/>
      <c r="R17" s="390"/>
      <c r="S17" s="390"/>
      <c r="T17" s="390"/>
      <c r="U17" s="390"/>
      <c r="V17" s="390"/>
      <c r="W17" s="390"/>
      <c r="X17" s="390"/>
      <c r="Y17" s="390"/>
      <c r="Z17" s="390"/>
      <c r="AA17" s="390"/>
      <c r="AB17" s="390"/>
      <c r="AC17" s="390"/>
      <c r="AD17" s="390"/>
      <c r="AE17" s="390"/>
      <c r="AF17" s="390"/>
      <c r="AG17" s="390"/>
      <c r="AH17" s="390"/>
      <c r="AI17" s="391"/>
      <c r="AK17" s="392"/>
      <c r="AL17" s="392"/>
      <c r="AM17" s="392"/>
      <c r="AN17" s="392"/>
      <c r="AO17" s="392"/>
      <c r="AP17" s="392"/>
      <c r="AQ17" s="392"/>
      <c r="AR17" s="392"/>
      <c r="AS17" s="392"/>
      <c r="AT17" s="392"/>
      <c r="AU17" s="392"/>
      <c r="AV17" s="392"/>
      <c r="AW17" s="392"/>
      <c r="AX17" s="392"/>
      <c r="AY17" s="392"/>
      <c r="AZ17" s="392"/>
      <c r="BA17" s="392"/>
      <c r="BB17" s="392"/>
      <c r="BC17" s="392"/>
      <c r="BD17" s="392"/>
      <c r="BE17" s="392"/>
      <c r="BF17" s="392"/>
      <c r="BG17" s="392"/>
      <c r="BH17" s="392"/>
      <c r="BI17" s="392"/>
      <c r="BJ17" s="392"/>
      <c r="BK17" s="392"/>
      <c r="BL17" s="392"/>
      <c r="BM17" s="393"/>
      <c r="BO17" s="399"/>
      <c r="BP17" s="399"/>
      <c r="BQ17" s="399"/>
      <c r="BR17" s="399"/>
      <c r="BS17" s="399"/>
      <c r="BT17" s="399"/>
      <c r="BU17" s="399"/>
      <c r="BV17" s="399"/>
      <c r="BW17" s="399"/>
      <c r="BX17" s="399"/>
      <c r="BY17" s="399"/>
      <c r="BZ17" s="399"/>
      <c r="CA17" s="399"/>
      <c r="CB17" s="399"/>
      <c r="CC17" s="399"/>
      <c r="CD17" s="399"/>
      <c r="CE17" s="399"/>
      <c r="CF17" s="399"/>
      <c r="CG17" s="399"/>
      <c r="CH17" s="399"/>
      <c r="CI17" s="399"/>
      <c r="CJ17" s="399"/>
      <c r="CK17" s="399"/>
      <c r="CL17" s="399"/>
      <c r="CM17" s="399"/>
      <c r="CN17" s="399"/>
      <c r="CO17" s="438"/>
      <c r="CP17" s="438"/>
      <c r="CQ17" s="423"/>
      <c r="CS17" s="432"/>
    </row>
    <row r="18" spans="2:97">
      <c r="B18" s="431" t="s">
        <v>2463</v>
      </c>
      <c r="C18" s="107"/>
      <c r="D18" s="395"/>
      <c r="E18" s="84"/>
      <c r="F18" s="84"/>
      <c r="G18" s="389"/>
      <c r="H18" s="390"/>
      <c r="I18" s="390"/>
      <c r="J18" s="390"/>
      <c r="K18" s="390"/>
      <c r="L18" s="390"/>
      <c r="M18" s="390"/>
      <c r="N18" s="390"/>
      <c r="O18" s="390"/>
      <c r="P18" s="390"/>
      <c r="Q18" s="390"/>
      <c r="R18" s="390"/>
      <c r="S18" s="390"/>
      <c r="T18" s="390"/>
      <c r="U18" s="390"/>
      <c r="V18" s="390"/>
      <c r="W18" s="390"/>
      <c r="X18" s="390"/>
      <c r="Y18" s="390"/>
      <c r="Z18" s="390"/>
      <c r="AA18" s="390"/>
      <c r="AB18" s="390"/>
      <c r="AC18" s="390"/>
      <c r="AD18" s="390"/>
      <c r="AE18" s="390"/>
      <c r="AF18" s="390"/>
      <c r="AG18" s="390"/>
      <c r="AH18" s="390"/>
      <c r="AI18" s="391"/>
      <c r="AK18" s="392"/>
      <c r="AL18" s="392"/>
      <c r="AM18" s="392"/>
      <c r="AN18" s="392"/>
      <c r="AO18" s="392"/>
      <c r="AP18" s="392"/>
      <c r="AQ18" s="392"/>
      <c r="AR18" s="392"/>
      <c r="AS18" s="392"/>
      <c r="AT18" s="392"/>
      <c r="AU18" s="392"/>
      <c r="AV18" s="392"/>
      <c r="AW18" s="392"/>
      <c r="AX18" s="392"/>
      <c r="AY18" s="392"/>
      <c r="AZ18" s="392"/>
      <c r="BA18" s="392"/>
      <c r="BB18" s="392"/>
      <c r="BC18" s="392"/>
      <c r="BD18" s="392"/>
      <c r="BE18" s="392"/>
      <c r="BF18" s="392"/>
      <c r="BG18" s="392"/>
      <c r="BH18" s="392"/>
      <c r="BI18" s="392"/>
      <c r="BJ18" s="392"/>
      <c r="BK18" s="392"/>
      <c r="BL18" s="392"/>
      <c r="BM18" s="393"/>
      <c r="BO18" s="399"/>
      <c r="BP18" s="399"/>
      <c r="BQ18" s="399"/>
      <c r="BR18" s="399"/>
      <c r="BS18" s="399"/>
      <c r="BT18" s="399"/>
      <c r="BU18" s="399"/>
      <c r="BV18" s="399"/>
      <c r="BW18" s="399"/>
      <c r="BX18" s="399"/>
      <c r="BY18" s="399"/>
      <c r="BZ18" s="399"/>
      <c r="CA18" s="399"/>
      <c r="CB18" s="399"/>
      <c r="CC18" s="399"/>
      <c r="CD18" s="399"/>
      <c r="CE18" s="399"/>
      <c r="CF18" s="399"/>
      <c r="CG18" s="399"/>
      <c r="CH18" s="399"/>
      <c r="CI18" s="399"/>
      <c r="CJ18" s="399"/>
      <c r="CK18" s="399"/>
      <c r="CL18" s="399"/>
      <c r="CM18" s="399"/>
      <c r="CN18" s="399"/>
      <c r="CO18" s="438"/>
      <c r="CP18" s="438"/>
      <c r="CQ18" s="423"/>
      <c r="CS18" s="432"/>
    </row>
    <row r="19" spans="2:97">
      <c r="C19" s="107"/>
      <c r="D19" s="395"/>
      <c r="E19" s="84"/>
      <c r="F19" s="84"/>
      <c r="G19" s="389"/>
      <c r="H19" s="390"/>
      <c r="I19" s="390"/>
      <c r="J19" s="390"/>
      <c r="K19" s="390"/>
      <c r="L19" s="390"/>
      <c r="M19" s="390"/>
      <c r="N19" s="390"/>
      <c r="O19" s="390"/>
      <c r="P19" s="390"/>
      <c r="Q19" s="390"/>
      <c r="R19" s="390"/>
      <c r="S19" s="390"/>
      <c r="T19" s="390"/>
      <c r="U19" s="390"/>
      <c r="V19" s="390"/>
      <c r="W19" s="390"/>
      <c r="X19" s="390"/>
      <c r="Y19" s="390"/>
      <c r="Z19" s="390"/>
      <c r="AA19" s="390"/>
      <c r="AB19" s="390"/>
      <c r="AC19" s="390"/>
      <c r="AD19" s="390"/>
      <c r="AE19" s="390"/>
      <c r="AF19" s="390"/>
      <c r="AG19" s="390"/>
      <c r="AH19" s="390"/>
      <c r="AI19" s="391"/>
      <c r="AK19" s="437"/>
      <c r="AL19" s="437"/>
      <c r="AM19" s="437"/>
      <c r="AN19" s="437"/>
      <c r="AO19" s="437"/>
      <c r="AP19" s="437"/>
      <c r="AQ19" s="437"/>
      <c r="AR19" s="437"/>
      <c r="AS19" s="437"/>
      <c r="AT19" s="437"/>
      <c r="AU19" s="437"/>
      <c r="AV19" s="437"/>
      <c r="AW19" s="437"/>
      <c r="AX19" s="437"/>
      <c r="AY19" s="437"/>
      <c r="AZ19" s="437"/>
      <c r="BA19" s="437"/>
      <c r="BB19" s="437"/>
      <c r="BC19" s="437"/>
      <c r="BD19" s="437"/>
      <c r="BE19" s="437"/>
      <c r="BF19" s="437"/>
      <c r="BG19" s="437"/>
      <c r="BH19" s="437"/>
      <c r="BI19" s="437"/>
      <c r="BJ19" s="437"/>
      <c r="BK19" s="437"/>
      <c r="BL19" s="437"/>
      <c r="BM19" s="393"/>
      <c r="BO19" s="399">
        <f t="shared" ref="BO19:BO82" si="3">G19*BO$4</f>
        <v>0</v>
      </c>
      <c r="BP19" s="399">
        <f t="shared" ref="BP19:BP82" si="4">H19*BP$4</f>
        <v>0</v>
      </c>
      <c r="BQ19" s="399">
        <f t="shared" ref="BQ19:BQ82" si="5">I19*BQ$4</f>
        <v>0</v>
      </c>
      <c r="BR19" s="399">
        <f t="shared" ref="BR19:BR82" si="6">J19*BR$4</f>
        <v>0</v>
      </c>
      <c r="BS19" s="399">
        <f t="shared" ref="BS19:BS82" si="7">K19*BS$4</f>
        <v>0</v>
      </c>
      <c r="BT19" s="399">
        <f t="shared" ref="BT19:BT82" si="8">L19*BT$4</f>
        <v>0</v>
      </c>
      <c r="BU19" s="399">
        <f t="shared" ref="BU19:BU82" si="9">M19*BU$4</f>
        <v>0</v>
      </c>
      <c r="BV19" s="399">
        <f t="shared" ref="BV19:BV82" si="10">N19*BV$4</f>
        <v>0</v>
      </c>
      <c r="BW19" s="399">
        <f t="shared" ref="BW19:BW82" si="11">O19*BW$4</f>
        <v>0</v>
      </c>
      <c r="BX19" s="399">
        <f t="shared" ref="BX19:BX82" si="12">P19*BX$4</f>
        <v>0</v>
      </c>
      <c r="BY19" s="399">
        <f t="shared" ref="BY19:BY82" si="13">Q19*BY$4</f>
        <v>0</v>
      </c>
      <c r="BZ19" s="399">
        <f t="shared" ref="BZ19:BZ82" si="14">R19*BZ$4</f>
        <v>0</v>
      </c>
      <c r="CA19" s="399">
        <f t="shared" ref="CA19:CA82" si="15">S19*CA$4</f>
        <v>0</v>
      </c>
      <c r="CB19" s="399">
        <f t="shared" ref="CB19:CB82" si="16">T19*CB$4</f>
        <v>0</v>
      </c>
      <c r="CC19" s="399">
        <f t="shared" ref="CC19:CC82" si="17">U19*CC$4</f>
        <v>0</v>
      </c>
      <c r="CD19" s="399">
        <f t="shared" ref="CD19:CD82" si="18">V19*CD$4</f>
        <v>0</v>
      </c>
      <c r="CE19" s="399">
        <f t="shared" ref="CE19:CE82" si="19">W19*CE$4</f>
        <v>0</v>
      </c>
      <c r="CF19" s="399">
        <f t="shared" ref="CF19:CF82" si="20">X19*CF$4</f>
        <v>0</v>
      </c>
      <c r="CG19" s="399">
        <f t="shared" ref="CG19:CG82" si="21">Y19*CG$4</f>
        <v>0</v>
      </c>
      <c r="CH19" s="399">
        <f t="shared" ref="CH19:CH82" si="22">Z19*CH$4</f>
        <v>0</v>
      </c>
      <c r="CI19" s="399">
        <f t="shared" ref="CI19:CI82" si="23">AA19*CI$4</f>
        <v>0</v>
      </c>
      <c r="CJ19" s="399">
        <f t="shared" ref="CJ19:CJ82" si="24">AB19*CJ$4</f>
        <v>0</v>
      </c>
      <c r="CK19" s="399">
        <f t="shared" ref="CK19:CK82" si="25">AC19*CK$4</f>
        <v>0</v>
      </c>
      <c r="CL19" s="399">
        <f t="shared" ref="CL19:CL82" si="26">AD19*CL$4</f>
        <v>0</v>
      </c>
      <c r="CM19" s="399">
        <f t="shared" ref="CM19:CM82" si="27">AE19*CM$4</f>
        <v>0</v>
      </c>
      <c r="CN19" s="399">
        <f t="shared" ref="CN19:CN82" si="28">AF19*CN$4</f>
        <v>0</v>
      </c>
      <c r="CO19" s="399">
        <f t="shared" ref="CO19:CO82" si="29">AG19*CO$4</f>
        <v>0</v>
      </c>
      <c r="CP19" s="399">
        <f t="shared" ref="CP19:CP82" si="30">AH19*CP$4</f>
        <v>0</v>
      </c>
      <c r="CQ19" s="423">
        <f t="shared" ref="CQ19:CQ82" si="31">SUM(BO19:CP19)</f>
        <v>0</v>
      </c>
      <c r="CS19" s="394" t="e">
        <f t="shared" ref="CS19:CS82" si="32">CQ19/AI19</f>
        <v>#DIV/0!</v>
      </c>
    </row>
    <row r="20" spans="2:97">
      <c r="C20" s="107"/>
      <c r="D20" s="395"/>
      <c r="E20" s="84"/>
      <c r="F20" s="84"/>
      <c r="G20" s="389"/>
      <c r="H20" s="390"/>
      <c r="I20" s="390"/>
      <c r="J20" s="390"/>
      <c r="K20" s="390"/>
      <c r="L20" s="390"/>
      <c r="M20" s="390"/>
      <c r="N20" s="390"/>
      <c r="O20" s="390"/>
      <c r="P20" s="390"/>
      <c r="Q20" s="390"/>
      <c r="R20" s="390"/>
      <c r="S20" s="390"/>
      <c r="T20" s="390"/>
      <c r="U20" s="390"/>
      <c r="V20" s="390"/>
      <c r="W20" s="390"/>
      <c r="X20" s="390"/>
      <c r="Y20" s="390"/>
      <c r="Z20" s="390"/>
      <c r="AA20" s="390"/>
      <c r="AB20" s="390"/>
      <c r="AC20" s="390"/>
      <c r="AD20" s="390"/>
      <c r="AE20" s="390"/>
      <c r="AF20" s="390"/>
      <c r="AG20" s="390"/>
      <c r="AH20" s="390"/>
      <c r="AI20" s="391"/>
      <c r="AK20" s="437"/>
      <c r="AL20" s="437"/>
      <c r="AM20" s="437"/>
      <c r="AN20" s="437"/>
      <c r="AO20" s="437"/>
      <c r="AP20" s="437"/>
      <c r="AQ20" s="437"/>
      <c r="AR20" s="437"/>
      <c r="AS20" s="437"/>
      <c r="AT20" s="437"/>
      <c r="AU20" s="437"/>
      <c r="AV20" s="437"/>
      <c r="AW20" s="437"/>
      <c r="AX20" s="437"/>
      <c r="AY20" s="437"/>
      <c r="AZ20" s="437"/>
      <c r="BA20" s="437"/>
      <c r="BB20" s="437"/>
      <c r="BC20" s="437"/>
      <c r="BD20" s="437"/>
      <c r="BE20" s="437"/>
      <c r="BF20" s="437"/>
      <c r="BG20" s="437"/>
      <c r="BH20" s="437"/>
      <c r="BI20" s="437"/>
      <c r="BJ20" s="437"/>
      <c r="BK20" s="437"/>
      <c r="BL20" s="437"/>
      <c r="BM20" s="393"/>
      <c r="BO20" s="399">
        <f t="shared" si="3"/>
        <v>0</v>
      </c>
      <c r="BP20" s="399">
        <f t="shared" si="4"/>
        <v>0</v>
      </c>
      <c r="BQ20" s="399">
        <f t="shared" si="5"/>
        <v>0</v>
      </c>
      <c r="BR20" s="399">
        <f t="shared" si="6"/>
        <v>0</v>
      </c>
      <c r="BS20" s="399">
        <f t="shared" si="7"/>
        <v>0</v>
      </c>
      <c r="BT20" s="399">
        <f t="shared" si="8"/>
        <v>0</v>
      </c>
      <c r="BU20" s="399">
        <f t="shared" si="9"/>
        <v>0</v>
      </c>
      <c r="BV20" s="399">
        <f t="shared" si="10"/>
        <v>0</v>
      </c>
      <c r="BW20" s="399">
        <f t="shared" si="11"/>
        <v>0</v>
      </c>
      <c r="BX20" s="399">
        <f t="shared" si="12"/>
        <v>0</v>
      </c>
      <c r="BY20" s="399">
        <f t="shared" si="13"/>
        <v>0</v>
      </c>
      <c r="BZ20" s="399">
        <f t="shared" si="14"/>
        <v>0</v>
      </c>
      <c r="CA20" s="399">
        <f t="shared" si="15"/>
        <v>0</v>
      </c>
      <c r="CB20" s="399">
        <f t="shared" si="16"/>
        <v>0</v>
      </c>
      <c r="CC20" s="399">
        <f t="shared" si="17"/>
        <v>0</v>
      </c>
      <c r="CD20" s="399">
        <f t="shared" si="18"/>
        <v>0</v>
      </c>
      <c r="CE20" s="399">
        <f t="shared" si="19"/>
        <v>0</v>
      </c>
      <c r="CF20" s="399">
        <f t="shared" si="20"/>
        <v>0</v>
      </c>
      <c r="CG20" s="399">
        <f t="shared" si="21"/>
        <v>0</v>
      </c>
      <c r="CH20" s="399">
        <f t="shared" si="22"/>
        <v>0</v>
      </c>
      <c r="CI20" s="399">
        <f t="shared" si="23"/>
        <v>0</v>
      </c>
      <c r="CJ20" s="399">
        <f t="shared" si="24"/>
        <v>0</v>
      </c>
      <c r="CK20" s="399">
        <f t="shared" si="25"/>
        <v>0</v>
      </c>
      <c r="CL20" s="399">
        <f t="shared" si="26"/>
        <v>0</v>
      </c>
      <c r="CM20" s="399">
        <f t="shared" si="27"/>
        <v>0</v>
      </c>
      <c r="CN20" s="399">
        <f t="shared" si="28"/>
        <v>0</v>
      </c>
      <c r="CO20" s="399">
        <f t="shared" si="29"/>
        <v>0</v>
      </c>
      <c r="CP20" s="399">
        <f t="shared" si="30"/>
        <v>0</v>
      </c>
      <c r="CQ20" s="423">
        <f t="shared" si="31"/>
        <v>0</v>
      </c>
      <c r="CS20" s="394" t="e">
        <f t="shared" si="32"/>
        <v>#DIV/0!</v>
      </c>
    </row>
    <row r="21" spans="2:97">
      <c r="C21" s="107"/>
      <c r="D21" s="395"/>
      <c r="E21" s="84"/>
      <c r="F21" s="84"/>
      <c r="G21" s="389"/>
      <c r="H21" s="390"/>
      <c r="I21" s="390"/>
      <c r="J21" s="390"/>
      <c r="K21" s="390"/>
      <c r="L21" s="390"/>
      <c r="M21" s="390"/>
      <c r="N21" s="390"/>
      <c r="O21" s="390"/>
      <c r="P21" s="390"/>
      <c r="Q21" s="390"/>
      <c r="R21" s="390"/>
      <c r="S21" s="390"/>
      <c r="T21" s="390"/>
      <c r="U21" s="390"/>
      <c r="V21" s="390"/>
      <c r="W21" s="390"/>
      <c r="X21" s="390"/>
      <c r="Y21" s="390"/>
      <c r="Z21" s="390"/>
      <c r="AA21" s="390"/>
      <c r="AB21" s="390"/>
      <c r="AC21" s="390"/>
      <c r="AD21" s="390"/>
      <c r="AE21" s="390"/>
      <c r="AF21" s="390"/>
      <c r="AG21" s="390"/>
      <c r="AH21" s="390"/>
      <c r="AI21" s="391"/>
      <c r="AK21" s="437"/>
      <c r="AL21" s="437"/>
      <c r="AM21" s="437"/>
      <c r="AN21" s="437"/>
      <c r="AO21" s="437"/>
      <c r="AP21" s="437"/>
      <c r="AQ21" s="437"/>
      <c r="AR21" s="437"/>
      <c r="AS21" s="437"/>
      <c r="AT21" s="437"/>
      <c r="AU21" s="437"/>
      <c r="AV21" s="437"/>
      <c r="AW21" s="437"/>
      <c r="AX21" s="437"/>
      <c r="AY21" s="437"/>
      <c r="AZ21" s="437"/>
      <c r="BA21" s="437"/>
      <c r="BB21" s="437"/>
      <c r="BC21" s="437"/>
      <c r="BD21" s="437"/>
      <c r="BE21" s="437"/>
      <c r="BF21" s="437"/>
      <c r="BG21" s="437"/>
      <c r="BH21" s="437"/>
      <c r="BI21" s="437"/>
      <c r="BJ21" s="437"/>
      <c r="BK21" s="437"/>
      <c r="BL21" s="437"/>
      <c r="BM21" s="393"/>
      <c r="BO21" s="399">
        <f t="shared" si="3"/>
        <v>0</v>
      </c>
      <c r="BP21" s="399">
        <f t="shared" si="4"/>
        <v>0</v>
      </c>
      <c r="BQ21" s="399">
        <f t="shared" si="5"/>
        <v>0</v>
      </c>
      <c r="BR21" s="399">
        <f t="shared" si="6"/>
        <v>0</v>
      </c>
      <c r="BS21" s="399">
        <f t="shared" si="7"/>
        <v>0</v>
      </c>
      <c r="BT21" s="399">
        <f t="shared" si="8"/>
        <v>0</v>
      </c>
      <c r="BU21" s="399">
        <f t="shared" si="9"/>
        <v>0</v>
      </c>
      <c r="BV21" s="399">
        <f t="shared" si="10"/>
        <v>0</v>
      </c>
      <c r="BW21" s="399">
        <f t="shared" si="11"/>
        <v>0</v>
      </c>
      <c r="BX21" s="399">
        <f t="shared" si="12"/>
        <v>0</v>
      </c>
      <c r="BY21" s="399">
        <f t="shared" si="13"/>
        <v>0</v>
      </c>
      <c r="BZ21" s="399">
        <f t="shared" si="14"/>
        <v>0</v>
      </c>
      <c r="CA21" s="399">
        <f t="shared" si="15"/>
        <v>0</v>
      </c>
      <c r="CB21" s="399">
        <f t="shared" si="16"/>
        <v>0</v>
      </c>
      <c r="CC21" s="399">
        <f t="shared" si="17"/>
        <v>0</v>
      </c>
      <c r="CD21" s="399">
        <f t="shared" si="18"/>
        <v>0</v>
      </c>
      <c r="CE21" s="399">
        <f t="shared" si="19"/>
        <v>0</v>
      </c>
      <c r="CF21" s="399">
        <f t="shared" si="20"/>
        <v>0</v>
      </c>
      <c r="CG21" s="399">
        <f t="shared" si="21"/>
        <v>0</v>
      </c>
      <c r="CH21" s="399">
        <f t="shared" si="22"/>
        <v>0</v>
      </c>
      <c r="CI21" s="399">
        <f t="shared" si="23"/>
        <v>0</v>
      </c>
      <c r="CJ21" s="399">
        <f t="shared" si="24"/>
        <v>0</v>
      </c>
      <c r="CK21" s="399">
        <f t="shared" si="25"/>
        <v>0</v>
      </c>
      <c r="CL21" s="399">
        <f t="shared" si="26"/>
        <v>0</v>
      </c>
      <c r="CM21" s="399">
        <f t="shared" si="27"/>
        <v>0</v>
      </c>
      <c r="CN21" s="399">
        <f t="shared" si="28"/>
        <v>0</v>
      </c>
      <c r="CO21" s="399">
        <f t="shared" si="29"/>
        <v>0</v>
      </c>
      <c r="CP21" s="399">
        <f t="shared" si="30"/>
        <v>0</v>
      </c>
      <c r="CQ21" s="423">
        <f t="shared" si="31"/>
        <v>0</v>
      </c>
      <c r="CS21" s="394" t="e">
        <f t="shared" si="32"/>
        <v>#DIV/0!</v>
      </c>
    </row>
    <row r="22" spans="2:97">
      <c r="C22" s="107"/>
      <c r="D22" s="395"/>
      <c r="E22" s="84"/>
      <c r="F22" s="84"/>
      <c r="G22" s="389"/>
      <c r="H22" s="390"/>
      <c r="I22" s="390"/>
      <c r="J22" s="390"/>
      <c r="K22" s="390"/>
      <c r="L22" s="390"/>
      <c r="M22" s="390"/>
      <c r="N22" s="390"/>
      <c r="O22" s="390"/>
      <c r="P22" s="390"/>
      <c r="Q22" s="390"/>
      <c r="R22" s="390"/>
      <c r="S22" s="390"/>
      <c r="T22" s="390"/>
      <c r="U22" s="390"/>
      <c r="V22" s="390"/>
      <c r="W22" s="390"/>
      <c r="X22" s="390"/>
      <c r="Y22" s="390"/>
      <c r="Z22" s="390"/>
      <c r="AA22" s="390"/>
      <c r="AB22" s="390"/>
      <c r="AC22" s="390"/>
      <c r="AD22" s="390"/>
      <c r="AE22" s="390"/>
      <c r="AF22" s="390"/>
      <c r="AG22" s="390"/>
      <c r="AH22" s="390"/>
      <c r="AI22" s="391"/>
      <c r="AK22" s="437"/>
      <c r="AL22" s="437"/>
      <c r="AM22" s="437"/>
      <c r="AN22" s="437"/>
      <c r="AO22" s="437"/>
      <c r="AP22" s="437"/>
      <c r="AQ22" s="437"/>
      <c r="AR22" s="437"/>
      <c r="AS22" s="437"/>
      <c r="AT22" s="437"/>
      <c r="AU22" s="437"/>
      <c r="AV22" s="437"/>
      <c r="AW22" s="437"/>
      <c r="AX22" s="437"/>
      <c r="AY22" s="437"/>
      <c r="AZ22" s="437"/>
      <c r="BA22" s="437"/>
      <c r="BB22" s="437"/>
      <c r="BC22" s="437"/>
      <c r="BD22" s="437"/>
      <c r="BE22" s="437"/>
      <c r="BF22" s="437"/>
      <c r="BG22" s="437"/>
      <c r="BH22" s="437"/>
      <c r="BI22" s="437"/>
      <c r="BJ22" s="437"/>
      <c r="BK22" s="437"/>
      <c r="BL22" s="437"/>
      <c r="BM22" s="393"/>
      <c r="BO22" s="399">
        <f t="shared" si="3"/>
        <v>0</v>
      </c>
      <c r="BP22" s="399">
        <f t="shared" si="4"/>
        <v>0</v>
      </c>
      <c r="BQ22" s="399">
        <f t="shared" si="5"/>
        <v>0</v>
      </c>
      <c r="BR22" s="399">
        <f t="shared" si="6"/>
        <v>0</v>
      </c>
      <c r="BS22" s="399">
        <f t="shared" si="7"/>
        <v>0</v>
      </c>
      <c r="BT22" s="399">
        <f t="shared" si="8"/>
        <v>0</v>
      </c>
      <c r="BU22" s="399">
        <f t="shared" si="9"/>
        <v>0</v>
      </c>
      <c r="BV22" s="399">
        <f t="shared" si="10"/>
        <v>0</v>
      </c>
      <c r="BW22" s="399">
        <f t="shared" si="11"/>
        <v>0</v>
      </c>
      <c r="BX22" s="399">
        <f t="shared" si="12"/>
        <v>0</v>
      </c>
      <c r="BY22" s="399">
        <f t="shared" si="13"/>
        <v>0</v>
      </c>
      <c r="BZ22" s="399">
        <f t="shared" si="14"/>
        <v>0</v>
      </c>
      <c r="CA22" s="399">
        <f t="shared" si="15"/>
        <v>0</v>
      </c>
      <c r="CB22" s="399">
        <f t="shared" si="16"/>
        <v>0</v>
      </c>
      <c r="CC22" s="399">
        <f t="shared" si="17"/>
        <v>0</v>
      </c>
      <c r="CD22" s="399">
        <f t="shared" si="18"/>
        <v>0</v>
      </c>
      <c r="CE22" s="399">
        <f t="shared" si="19"/>
        <v>0</v>
      </c>
      <c r="CF22" s="399">
        <f t="shared" si="20"/>
        <v>0</v>
      </c>
      <c r="CG22" s="399">
        <f t="shared" si="21"/>
        <v>0</v>
      </c>
      <c r="CH22" s="399">
        <f t="shared" si="22"/>
        <v>0</v>
      </c>
      <c r="CI22" s="399">
        <f t="shared" si="23"/>
        <v>0</v>
      </c>
      <c r="CJ22" s="399">
        <f t="shared" si="24"/>
        <v>0</v>
      </c>
      <c r="CK22" s="399">
        <f t="shared" si="25"/>
        <v>0</v>
      </c>
      <c r="CL22" s="399">
        <f t="shared" si="26"/>
        <v>0</v>
      </c>
      <c r="CM22" s="399">
        <f t="shared" si="27"/>
        <v>0</v>
      </c>
      <c r="CN22" s="399">
        <f t="shared" si="28"/>
        <v>0</v>
      </c>
      <c r="CO22" s="399">
        <f t="shared" si="29"/>
        <v>0</v>
      </c>
      <c r="CP22" s="399">
        <f t="shared" si="30"/>
        <v>0</v>
      </c>
      <c r="CQ22" s="423">
        <f t="shared" si="31"/>
        <v>0</v>
      </c>
      <c r="CS22" s="394" t="e">
        <f t="shared" si="32"/>
        <v>#DIV/0!</v>
      </c>
    </row>
    <row r="23" spans="2:97">
      <c r="C23" s="107"/>
      <c r="D23" s="395"/>
      <c r="E23" s="84"/>
      <c r="F23" s="84"/>
      <c r="G23" s="389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0"/>
      <c r="W23" s="390"/>
      <c r="X23" s="390"/>
      <c r="Y23" s="390"/>
      <c r="Z23" s="390"/>
      <c r="AA23" s="390"/>
      <c r="AB23" s="390"/>
      <c r="AC23" s="390"/>
      <c r="AD23" s="390"/>
      <c r="AE23" s="390"/>
      <c r="AF23" s="390"/>
      <c r="AG23" s="390"/>
      <c r="AH23" s="390"/>
      <c r="AI23" s="391"/>
      <c r="AK23" s="437"/>
      <c r="AL23" s="437"/>
      <c r="AM23" s="437"/>
      <c r="AN23" s="437"/>
      <c r="AO23" s="437"/>
      <c r="AP23" s="437"/>
      <c r="AQ23" s="437"/>
      <c r="AR23" s="437"/>
      <c r="AS23" s="437"/>
      <c r="AT23" s="437"/>
      <c r="AU23" s="437"/>
      <c r="AV23" s="437"/>
      <c r="AW23" s="437"/>
      <c r="AX23" s="437"/>
      <c r="AY23" s="437"/>
      <c r="AZ23" s="437"/>
      <c r="BA23" s="437"/>
      <c r="BB23" s="437"/>
      <c r="BC23" s="437"/>
      <c r="BD23" s="437"/>
      <c r="BE23" s="437"/>
      <c r="BF23" s="437"/>
      <c r="BG23" s="437"/>
      <c r="BH23" s="437"/>
      <c r="BI23" s="437"/>
      <c r="BJ23" s="437"/>
      <c r="BK23" s="437"/>
      <c r="BL23" s="437"/>
      <c r="BM23" s="393"/>
      <c r="BO23" s="399">
        <f t="shared" si="3"/>
        <v>0</v>
      </c>
      <c r="BP23" s="399">
        <f t="shared" si="4"/>
        <v>0</v>
      </c>
      <c r="BQ23" s="399">
        <f t="shared" si="5"/>
        <v>0</v>
      </c>
      <c r="BR23" s="399">
        <f t="shared" si="6"/>
        <v>0</v>
      </c>
      <c r="BS23" s="399">
        <f t="shared" si="7"/>
        <v>0</v>
      </c>
      <c r="BT23" s="399">
        <f t="shared" si="8"/>
        <v>0</v>
      </c>
      <c r="BU23" s="399">
        <f t="shared" si="9"/>
        <v>0</v>
      </c>
      <c r="BV23" s="399">
        <f t="shared" si="10"/>
        <v>0</v>
      </c>
      <c r="BW23" s="399">
        <f t="shared" si="11"/>
        <v>0</v>
      </c>
      <c r="BX23" s="399">
        <f t="shared" si="12"/>
        <v>0</v>
      </c>
      <c r="BY23" s="399">
        <f t="shared" si="13"/>
        <v>0</v>
      </c>
      <c r="BZ23" s="399">
        <f t="shared" si="14"/>
        <v>0</v>
      </c>
      <c r="CA23" s="399">
        <f t="shared" si="15"/>
        <v>0</v>
      </c>
      <c r="CB23" s="399">
        <f t="shared" si="16"/>
        <v>0</v>
      </c>
      <c r="CC23" s="399">
        <f t="shared" si="17"/>
        <v>0</v>
      </c>
      <c r="CD23" s="399">
        <f t="shared" si="18"/>
        <v>0</v>
      </c>
      <c r="CE23" s="399">
        <f t="shared" si="19"/>
        <v>0</v>
      </c>
      <c r="CF23" s="399">
        <f t="shared" si="20"/>
        <v>0</v>
      </c>
      <c r="CG23" s="399">
        <f t="shared" si="21"/>
        <v>0</v>
      </c>
      <c r="CH23" s="399">
        <f t="shared" si="22"/>
        <v>0</v>
      </c>
      <c r="CI23" s="399">
        <f t="shared" si="23"/>
        <v>0</v>
      </c>
      <c r="CJ23" s="399">
        <f t="shared" si="24"/>
        <v>0</v>
      </c>
      <c r="CK23" s="399">
        <f t="shared" si="25"/>
        <v>0</v>
      </c>
      <c r="CL23" s="399">
        <f t="shared" si="26"/>
        <v>0</v>
      </c>
      <c r="CM23" s="399">
        <f t="shared" si="27"/>
        <v>0</v>
      </c>
      <c r="CN23" s="399">
        <f t="shared" si="28"/>
        <v>0</v>
      </c>
      <c r="CO23" s="399">
        <f t="shared" si="29"/>
        <v>0</v>
      </c>
      <c r="CP23" s="399">
        <f t="shared" si="30"/>
        <v>0</v>
      </c>
      <c r="CQ23" s="423">
        <f t="shared" si="31"/>
        <v>0</v>
      </c>
      <c r="CS23" s="394" t="e">
        <f t="shared" si="32"/>
        <v>#DIV/0!</v>
      </c>
    </row>
    <row r="24" spans="2:97">
      <c r="C24" s="107"/>
      <c r="D24" s="395"/>
      <c r="E24" s="84"/>
      <c r="F24" s="84"/>
      <c r="G24" s="389"/>
      <c r="H24" s="390"/>
      <c r="I24" s="390"/>
      <c r="J24" s="390"/>
      <c r="K24" s="390"/>
      <c r="L24" s="390"/>
      <c r="M24" s="390"/>
      <c r="N24" s="390"/>
      <c r="O24" s="390"/>
      <c r="P24" s="390"/>
      <c r="Q24" s="390"/>
      <c r="R24" s="390"/>
      <c r="S24" s="390"/>
      <c r="T24" s="390"/>
      <c r="U24" s="390"/>
      <c r="V24" s="390"/>
      <c r="W24" s="390"/>
      <c r="X24" s="390"/>
      <c r="Y24" s="390"/>
      <c r="Z24" s="390"/>
      <c r="AA24" s="390"/>
      <c r="AB24" s="390"/>
      <c r="AC24" s="390"/>
      <c r="AD24" s="390"/>
      <c r="AE24" s="390"/>
      <c r="AF24" s="390"/>
      <c r="AG24" s="390"/>
      <c r="AH24" s="390"/>
      <c r="AI24" s="391"/>
      <c r="AK24" s="437"/>
      <c r="AL24" s="437"/>
      <c r="AM24" s="437"/>
      <c r="AN24" s="437"/>
      <c r="AO24" s="437"/>
      <c r="AP24" s="437"/>
      <c r="AQ24" s="437"/>
      <c r="AR24" s="437"/>
      <c r="AS24" s="437"/>
      <c r="AT24" s="437"/>
      <c r="AU24" s="437"/>
      <c r="AV24" s="437"/>
      <c r="AW24" s="437"/>
      <c r="AX24" s="437"/>
      <c r="AY24" s="437"/>
      <c r="AZ24" s="437"/>
      <c r="BA24" s="437"/>
      <c r="BB24" s="437"/>
      <c r="BC24" s="437"/>
      <c r="BD24" s="437"/>
      <c r="BE24" s="437"/>
      <c r="BF24" s="437"/>
      <c r="BG24" s="437"/>
      <c r="BH24" s="437"/>
      <c r="BI24" s="437"/>
      <c r="BJ24" s="437"/>
      <c r="BK24" s="437"/>
      <c r="BL24" s="437"/>
      <c r="BM24" s="393"/>
      <c r="BO24" s="399">
        <f t="shared" si="3"/>
        <v>0</v>
      </c>
      <c r="BP24" s="399">
        <f t="shared" si="4"/>
        <v>0</v>
      </c>
      <c r="BQ24" s="399">
        <f t="shared" si="5"/>
        <v>0</v>
      </c>
      <c r="BR24" s="399">
        <f t="shared" si="6"/>
        <v>0</v>
      </c>
      <c r="BS24" s="399">
        <f t="shared" si="7"/>
        <v>0</v>
      </c>
      <c r="BT24" s="399">
        <f t="shared" si="8"/>
        <v>0</v>
      </c>
      <c r="BU24" s="399">
        <f t="shared" si="9"/>
        <v>0</v>
      </c>
      <c r="BV24" s="399">
        <f t="shared" si="10"/>
        <v>0</v>
      </c>
      <c r="BW24" s="399">
        <f t="shared" si="11"/>
        <v>0</v>
      </c>
      <c r="BX24" s="399">
        <f t="shared" si="12"/>
        <v>0</v>
      </c>
      <c r="BY24" s="399">
        <f t="shared" si="13"/>
        <v>0</v>
      </c>
      <c r="BZ24" s="399">
        <f t="shared" si="14"/>
        <v>0</v>
      </c>
      <c r="CA24" s="399">
        <f t="shared" si="15"/>
        <v>0</v>
      </c>
      <c r="CB24" s="399">
        <f t="shared" si="16"/>
        <v>0</v>
      </c>
      <c r="CC24" s="399">
        <f t="shared" si="17"/>
        <v>0</v>
      </c>
      <c r="CD24" s="399">
        <f t="shared" si="18"/>
        <v>0</v>
      </c>
      <c r="CE24" s="399">
        <f t="shared" si="19"/>
        <v>0</v>
      </c>
      <c r="CF24" s="399">
        <f t="shared" si="20"/>
        <v>0</v>
      </c>
      <c r="CG24" s="399">
        <f t="shared" si="21"/>
        <v>0</v>
      </c>
      <c r="CH24" s="399">
        <f t="shared" si="22"/>
        <v>0</v>
      </c>
      <c r="CI24" s="399">
        <f t="shared" si="23"/>
        <v>0</v>
      </c>
      <c r="CJ24" s="399">
        <f t="shared" si="24"/>
        <v>0</v>
      </c>
      <c r="CK24" s="399">
        <f t="shared" si="25"/>
        <v>0</v>
      </c>
      <c r="CL24" s="399">
        <f t="shared" si="26"/>
        <v>0</v>
      </c>
      <c r="CM24" s="399">
        <f t="shared" si="27"/>
        <v>0</v>
      </c>
      <c r="CN24" s="399">
        <f t="shared" si="28"/>
        <v>0</v>
      </c>
      <c r="CO24" s="399">
        <f t="shared" si="29"/>
        <v>0</v>
      </c>
      <c r="CP24" s="399">
        <f t="shared" si="30"/>
        <v>0</v>
      </c>
      <c r="CQ24" s="423">
        <f t="shared" si="31"/>
        <v>0</v>
      </c>
      <c r="CS24" s="394" t="e">
        <f t="shared" si="32"/>
        <v>#DIV/0!</v>
      </c>
    </row>
    <row r="25" spans="2:97">
      <c r="C25" s="107"/>
      <c r="D25" s="395"/>
      <c r="E25" s="84"/>
      <c r="F25" s="84"/>
      <c r="G25" s="389"/>
      <c r="H25" s="390"/>
      <c r="I25" s="390"/>
      <c r="J25" s="390"/>
      <c r="K25" s="390"/>
      <c r="L25" s="390"/>
      <c r="M25" s="390"/>
      <c r="N25" s="390"/>
      <c r="O25" s="390"/>
      <c r="P25" s="390"/>
      <c r="Q25" s="390"/>
      <c r="R25" s="390"/>
      <c r="S25" s="390"/>
      <c r="T25" s="390"/>
      <c r="U25" s="390"/>
      <c r="V25" s="390"/>
      <c r="W25" s="390"/>
      <c r="X25" s="390"/>
      <c r="Y25" s="390"/>
      <c r="Z25" s="390"/>
      <c r="AA25" s="390"/>
      <c r="AB25" s="390"/>
      <c r="AC25" s="390"/>
      <c r="AD25" s="390"/>
      <c r="AE25" s="390"/>
      <c r="AF25" s="390"/>
      <c r="AG25" s="390"/>
      <c r="AH25" s="390"/>
      <c r="AI25" s="391"/>
      <c r="AK25" s="437"/>
      <c r="AL25" s="437"/>
      <c r="AM25" s="437"/>
      <c r="AN25" s="437"/>
      <c r="AO25" s="437"/>
      <c r="AP25" s="437"/>
      <c r="AQ25" s="437"/>
      <c r="AR25" s="437"/>
      <c r="AS25" s="437"/>
      <c r="AT25" s="437"/>
      <c r="AU25" s="437"/>
      <c r="AV25" s="437"/>
      <c r="AW25" s="437"/>
      <c r="AX25" s="437"/>
      <c r="AY25" s="437"/>
      <c r="AZ25" s="437"/>
      <c r="BA25" s="437"/>
      <c r="BB25" s="437"/>
      <c r="BC25" s="437"/>
      <c r="BD25" s="437"/>
      <c r="BE25" s="437"/>
      <c r="BF25" s="437"/>
      <c r="BG25" s="437"/>
      <c r="BH25" s="437"/>
      <c r="BI25" s="437"/>
      <c r="BJ25" s="437"/>
      <c r="BK25" s="437"/>
      <c r="BL25" s="437"/>
      <c r="BM25" s="393"/>
      <c r="BO25" s="399">
        <f t="shared" si="3"/>
        <v>0</v>
      </c>
      <c r="BP25" s="399">
        <f t="shared" si="4"/>
        <v>0</v>
      </c>
      <c r="BQ25" s="399">
        <f t="shared" si="5"/>
        <v>0</v>
      </c>
      <c r="BR25" s="399">
        <f t="shared" si="6"/>
        <v>0</v>
      </c>
      <c r="BS25" s="399">
        <f t="shared" si="7"/>
        <v>0</v>
      </c>
      <c r="BT25" s="399">
        <f t="shared" si="8"/>
        <v>0</v>
      </c>
      <c r="BU25" s="399">
        <f t="shared" si="9"/>
        <v>0</v>
      </c>
      <c r="BV25" s="399">
        <f t="shared" si="10"/>
        <v>0</v>
      </c>
      <c r="BW25" s="399">
        <f t="shared" si="11"/>
        <v>0</v>
      </c>
      <c r="BX25" s="399">
        <f t="shared" si="12"/>
        <v>0</v>
      </c>
      <c r="BY25" s="399">
        <f t="shared" si="13"/>
        <v>0</v>
      </c>
      <c r="BZ25" s="399">
        <f t="shared" si="14"/>
        <v>0</v>
      </c>
      <c r="CA25" s="399">
        <f t="shared" si="15"/>
        <v>0</v>
      </c>
      <c r="CB25" s="399">
        <f t="shared" si="16"/>
        <v>0</v>
      </c>
      <c r="CC25" s="399">
        <f t="shared" si="17"/>
        <v>0</v>
      </c>
      <c r="CD25" s="399">
        <f t="shared" si="18"/>
        <v>0</v>
      </c>
      <c r="CE25" s="399">
        <f t="shared" si="19"/>
        <v>0</v>
      </c>
      <c r="CF25" s="399">
        <f t="shared" si="20"/>
        <v>0</v>
      </c>
      <c r="CG25" s="399">
        <f t="shared" si="21"/>
        <v>0</v>
      </c>
      <c r="CH25" s="399">
        <f t="shared" si="22"/>
        <v>0</v>
      </c>
      <c r="CI25" s="399">
        <f t="shared" si="23"/>
        <v>0</v>
      </c>
      <c r="CJ25" s="399">
        <f t="shared" si="24"/>
        <v>0</v>
      </c>
      <c r="CK25" s="399">
        <f t="shared" si="25"/>
        <v>0</v>
      </c>
      <c r="CL25" s="399">
        <f t="shared" si="26"/>
        <v>0</v>
      </c>
      <c r="CM25" s="399">
        <f t="shared" si="27"/>
        <v>0</v>
      </c>
      <c r="CN25" s="399">
        <f t="shared" si="28"/>
        <v>0</v>
      </c>
      <c r="CO25" s="399">
        <f t="shared" si="29"/>
        <v>0</v>
      </c>
      <c r="CP25" s="399">
        <f t="shared" si="30"/>
        <v>0</v>
      </c>
      <c r="CQ25" s="423">
        <f t="shared" si="31"/>
        <v>0</v>
      </c>
      <c r="CS25" s="394" t="e">
        <f t="shared" si="32"/>
        <v>#DIV/0!</v>
      </c>
    </row>
    <row r="26" spans="2:97">
      <c r="C26" s="107"/>
      <c r="D26" s="395"/>
      <c r="E26" s="84"/>
      <c r="F26" s="84"/>
      <c r="G26" s="389"/>
      <c r="H26" s="390"/>
      <c r="I26" s="390"/>
      <c r="J26" s="390"/>
      <c r="K26" s="390"/>
      <c r="L26" s="390"/>
      <c r="M26" s="390"/>
      <c r="N26" s="390"/>
      <c r="O26" s="390"/>
      <c r="P26" s="390"/>
      <c r="Q26" s="390"/>
      <c r="R26" s="390"/>
      <c r="S26" s="390"/>
      <c r="T26" s="390"/>
      <c r="U26" s="390"/>
      <c r="V26" s="390"/>
      <c r="W26" s="390"/>
      <c r="X26" s="390"/>
      <c r="Y26" s="390"/>
      <c r="Z26" s="390"/>
      <c r="AA26" s="390"/>
      <c r="AB26" s="390"/>
      <c r="AC26" s="390"/>
      <c r="AD26" s="390"/>
      <c r="AE26" s="390"/>
      <c r="AF26" s="390"/>
      <c r="AG26" s="390"/>
      <c r="AH26" s="390"/>
      <c r="AI26" s="391"/>
      <c r="AK26" s="437"/>
      <c r="AL26" s="437"/>
      <c r="AM26" s="437"/>
      <c r="AN26" s="437"/>
      <c r="AO26" s="437"/>
      <c r="AP26" s="437"/>
      <c r="AQ26" s="437"/>
      <c r="AR26" s="437"/>
      <c r="AS26" s="437"/>
      <c r="AT26" s="437"/>
      <c r="AU26" s="437"/>
      <c r="AV26" s="437"/>
      <c r="AW26" s="437"/>
      <c r="AX26" s="437"/>
      <c r="AY26" s="437"/>
      <c r="AZ26" s="437"/>
      <c r="BA26" s="437"/>
      <c r="BB26" s="437"/>
      <c r="BC26" s="437"/>
      <c r="BD26" s="437"/>
      <c r="BE26" s="437"/>
      <c r="BF26" s="437"/>
      <c r="BG26" s="437"/>
      <c r="BH26" s="437"/>
      <c r="BI26" s="437"/>
      <c r="BJ26" s="437"/>
      <c r="BK26" s="437"/>
      <c r="BL26" s="437"/>
      <c r="BM26" s="393"/>
      <c r="BO26" s="399">
        <f t="shared" si="3"/>
        <v>0</v>
      </c>
      <c r="BP26" s="399">
        <f t="shared" si="4"/>
        <v>0</v>
      </c>
      <c r="BQ26" s="399">
        <f t="shared" si="5"/>
        <v>0</v>
      </c>
      <c r="BR26" s="399">
        <f t="shared" si="6"/>
        <v>0</v>
      </c>
      <c r="BS26" s="399">
        <f t="shared" si="7"/>
        <v>0</v>
      </c>
      <c r="BT26" s="399">
        <f t="shared" si="8"/>
        <v>0</v>
      </c>
      <c r="BU26" s="399">
        <f t="shared" si="9"/>
        <v>0</v>
      </c>
      <c r="BV26" s="399">
        <f t="shared" si="10"/>
        <v>0</v>
      </c>
      <c r="BW26" s="399">
        <f t="shared" si="11"/>
        <v>0</v>
      </c>
      <c r="BX26" s="399">
        <f t="shared" si="12"/>
        <v>0</v>
      </c>
      <c r="BY26" s="399">
        <f t="shared" si="13"/>
        <v>0</v>
      </c>
      <c r="BZ26" s="399">
        <f t="shared" si="14"/>
        <v>0</v>
      </c>
      <c r="CA26" s="399">
        <f t="shared" si="15"/>
        <v>0</v>
      </c>
      <c r="CB26" s="399">
        <f t="shared" si="16"/>
        <v>0</v>
      </c>
      <c r="CC26" s="399">
        <f t="shared" si="17"/>
        <v>0</v>
      </c>
      <c r="CD26" s="399">
        <f t="shared" si="18"/>
        <v>0</v>
      </c>
      <c r="CE26" s="399">
        <f t="shared" si="19"/>
        <v>0</v>
      </c>
      <c r="CF26" s="399">
        <f t="shared" si="20"/>
        <v>0</v>
      </c>
      <c r="CG26" s="399">
        <f t="shared" si="21"/>
        <v>0</v>
      </c>
      <c r="CH26" s="399">
        <f t="shared" si="22"/>
        <v>0</v>
      </c>
      <c r="CI26" s="399">
        <f t="shared" si="23"/>
        <v>0</v>
      </c>
      <c r="CJ26" s="399">
        <f t="shared" si="24"/>
        <v>0</v>
      </c>
      <c r="CK26" s="399">
        <f t="shared" si="25"/>
        <v>0</v>
      </c>
      <c r="CL26" s="399">
        <f t="shared" si="26"/>
        <v>0</v>
      </c>
      <c r="CM26" s="399">
        <f t="shared" si="27"/>
        <v>0</v>
      </c>
      <c r="CN26" s="399">
        <f t="shared" si="28"/>
        <v>0</v>
      </c>
      <c r="CO26" s="399">
        <f t="shared" si="29"/>
        <v>0</v>
      </c>
      <c r="CP26" s="399">
        <f t="shared" si="30"/>
        <v>0</v>
      </c>
      <c r="CQ26" s="423">
        <f t="shared" si="31"/>
        <v>0</v>
      </c>
      <c r="CS26" s="394" t="e">
        <f t="shared" si="32"/>
        <v>#DIV/0!</v>
      </c>
    </row>
    <row r="27" spans="2:97">
      <c r="C27" s="107"/>
      <c r="D27" s="395"/>
      <c r="E27" s="84"/>
      <c r="F27" s="84"/>
      <c r="G27" s="389"/>
      <c r="H27" s="390"/>
      <c r="I27" s="390"/>
      <c r="J27" s="390"/>
      <c r="K27" s="390"/>
      <c r="L27" s="390"/>
      <c r="M27" s="390"/>
      <c r="N27" s="390"/>
      <c r="O27" s="390"/>
      <c r="P27" s="390"/>
      <c r="Q27" s="390"/>
      <c r="R27" s="390"/>
      <c r="S27" s="390"/>
      <c r="T27" s="390"/>
      <c r="U27" s="390"/>
      <c r="V27" s="390"/>
      <c r="W27" s="390"/>
      <c r="X27" s="390"/>
      <c r="Y27" s="390"/>
      <c r="Z27" s="390"/>
      <c r="AA27" s="390"/>
      <c r="AB27" s="390"/>
      <c r="AC27" s="390"/>
      <c r="AD27" s="390"/>
      <c r="AE27" s="390"/>
      <c r="AF27" s="390"/>
      <c r="AG27" s="390"/>
      <c r="AH27" s="390"/>
      <c r="AI27" s="391"/>
      <c r="AK27" s="437"/>
      <c r="AL27" s="437"/>
      <c r="AM27" s="437"/>
      <c r="AN27" s="437"/>
      <c r="AO27" s="437"/>
      <c r="AP27" s="437"/>
      <c r="AQ27" s="437"/>
      <c r="AR27" s="437"/>
      <c r="AS27" s="437"/>
      <c r="AT27" s="437"/>
      <c r="AU27" s="437"/>
      <c r="AV27" s="437"/>
      <c r="AW27" s="437"/>
      <c r="AX27" s="437"/>
      <c r="AY27" s="437"/>
      <c r="AZ27" s="437"/>
      <c r="BA27" s="437"/>
      <c r="BB27" s="437"/>
      <c r="BC27" s="437"/>
      <c r="BD27" s="437"/>
      <c r="BE27" s="437"/>
      <c r="BF27" s="437"/>
      <c r="BG27" s="437"/>
      <c r="BH27" s="437"/>
      <c r="BI27" s="437"/>
      <c r="BJ27" s="437"/>
      <c r="BK27" s="437"/>
      <c r="BL27" s="437"/>
      <c r="BM27" s="393"/>
      <c r="BO27" s="399">
        <f t="shared" si="3"/>
        <v>0</v>
      </c>
      <c r="BP27" s="399">
        <f t="shared" si="4"/>
        <v>0</v>
      </c>
      <c r="BQ27" s="399">
        <f t="shared" si="5"/>
        <v>0</v>
      </c>
      <c r="BR27" s="399">
        <f t="shared" si="6"/>
        <v>0</v>
      </c>
      <c r="BS27" s="399">
        <f t="shared" si="7"/>
        <v>0</v>
      </c>
      <c r="BT27" s="399">
        <f t="shared" si="8"/>
        <v>0</v>
      </c>
      <c r="BU27" s="399">
        <f t="shared" si="9"/>
        <v>0</v>
      </c>
      <c r="BV27" s="399">
        <f t="shared" si="10"/>
        <v>0</v>
      </c>
      <c r="BW27" s="399">
        <f t="shared" si="11"/>
        <v>0</v>
      </c>
      <c r="BX27" s="399">
        <f t="shared" si="12"/>
        <v>0</v>
      </c>
      <c r="BY27" s="399">
        <f t="shared" si="13"/>
        <v>0</v>
      </c>
      <c r="BZ27" s="399">
        <f t="shared" si="14"/>
        <v>0</v>
      </c>
      <c r="CA27" s="399">
        <f t="shared" si="15"/>
        <v>0</v>
      </c>
      <c r="CB27" s="399">
        <f t="shared" si="16"/>
        <v>0</v>
      </c>
      <c r="CC27" s="399">
        <f t="shared" si="17"/>
        <v>0</v>
      </c>
      <c r="CD27" s="399">
        <f t="shared" si="18"/>
        <v>0</v>
      </c>
      <c r="CE27" s="399">
        <f t="shared" si="19"/>
        <v>0</v>
      </c>
      <c r="CF27" s="399">
        <f t="shared" si="20"/>
        <v>0</v>
      </c>
      <c r="CG27" s="399">
        <f t="shared" si="21"/>
        <v>0</v>
      </c>
      <c r="CH27" s="399">
        <f t="shared" si="22"/>
        <v>0</v>
      </c>
      <c r="CI27" s="399">
        <f t="shared" si="23"/>
        <v>0</v>
      </c>
      <c r="CJ27" s="399">
        <f t="shared" si="24"/>
        <v>0</v>
      </c>
      <c r="CK27" s="399">
        <f t="shared" si="25"/>
        <v>0</v>
      </c>
      <c r="CL27" s="399">
        <f t="shared" si="26"/>
        <v>0</v>
      </c>
      <c r="CM27" s="399">
        <f t="shared" si="27"/>
        <v>0</v>
      </c>
      <c r="CN27" s="399">
        <f t="shared" si="28"/>
        <v>0</v>
      </c>
      <c r="CO27" s="399">
        <f t="shared" si="29"/>
        <v>0</v>
      </c>
      <c r="CP27" s="399">
        <f t="shared" si="30"/>
        <v>0</v>
      </c>
      <c r="CQ27" s="423">
        <f t="shared" si="31"/>
        <v>0</v>
      </c>
      <c r="CS27" s="394" t="e">
        <f t="shared" si="32"/>
        <v>#DIV/0!</v>
      </c>
    </row>
    <row r="28" spans="2:97">
      <c r="C28" s="107"/>
      <c r="D28" s="395"/>
      <c r="E28" s="84"/>
      <c r="F28" s="84"/>
      <c r="G28" s="389"/>
      <c r="H28" s="390"/>
      <c r="I28" s="390"/>
      <c r="J28" s="390"/>
      <c r="K28" s="390"/>
      <c r="L28" s="390"/>
      <c r="M28" s="390"/>
      <c r="N28" s="390"/>
      <c r="O28" s="390"/>
      <c r="P28" s="390"/>
      <c r="Q28" s="390"/>
      <c r="R28" s="390"/>
      <c r="S28" s="390"/>
      <c r="T28" s="390"/>
      <c r="U28" s="390"/>
      <c r="V28" s="390"/>
      <c r="W28" s="390"/>
      <c r="X28" s="390"/>
      <c r="Y28" s="390"/>
      <c r="Z28" s="390"/>
      <c r="AA28" s="390"/>
      <c r="AB28" s="390"/>
      <c r="AC28" s="390"/>
      <c r="AD28" s="390"/>
      <c r="AE28" s="390"/>
      <c r="AF28" s="390"/>
      <c r="AG28" s="390"/>
      <c r="AH28" s="390"/>
      <c r="AI28" s="391"/>
      <c r="AK28" s="437"/>
      <c r="AL28" s="437"/>
      <c r="AM28" s="437"/>
      <c r="AN28" s="437"/>
      <c r="AO28" s="437"/>
      <c r="AP28" s="437"/>
      <c r="AQ28" s="437"/>
      <c r="AR28" s="437"/>
      <c r="AS28" s="437"/>
      <c r="AT28" s="437"/>
      <c r="AU28" s="437"/>
      <c r="AV28" s="437"/>
      <c r="AW28" s="437"/>
      <c r="AX28" s="437"/>
      <c r="AY28" s="437"/>
      <c r="AZ28" s="437"/>
      <c r="BA28" s="437"/>
      <c r="BB28" s="437"/>
      <c r="BC28" s="437"/>
      <c r="BD28" s="437"/>
      <c r="BE28" s="437"/>
      <c r="BF28" s="437"/>
      <c r="BG28" s="437"/>
      <c r="BH28" s="437"/>
      <c r="BI28" s="437"/>
      <c r="BJ28" s="437"/>
      <c r="BK28" s="437"/>
      <c r="BL28" s="437"/>
      <c r="BM28" s="393"/>
      <c r="BO28" s="399">
        <f t="shared" si="3"/>
        <v>0</v>
      </c>
      <c r="BP28" s="399">
        <f t="shared" si="4"/>
        <v>0</v>
      </c>
      <c r="BQ28" s="399">
        <f t="shared" si="5"/>
        <v>0</v>
      </c>
      <c r="BR28" s="399">
        <f t="shared" si="6"/>
        <v>0</v>
      </c>
      <c r="BS28" s="399">
        <f t="shared" si="7"/>
        <v>0</v>
      </c>
      <c r="BT28" s="399">
        <f t="shared" si="8"/>
        <v>0</v>
      </c>
      <c r="BU28" s="399">
        <f t="shared" si="9"/>
        <v>0</v>
      </c>
      <c r="BV28" s="399">
        <f t="shared" si="10"/>
        <v>0</v>
      </c>
      <c r="BW28" s="399">
        <f t="shared" si="11"/>
        <v>0</v>
      </c>
      <c r="BX28" s="399">
        <f t="shared" si="12"/>
        <v>0</v>
      </c>
      <c r="BY28" s="399">
        <f t="shared" si="13"/>
        <v>0</v>
      </c>
      <c r="BZ28" s="399">
        <f t="shared" si="14"/>
        <v>0</v>
      </c>
      <c r="CA28" s="399">
        <f t="shared" si="15"/>
        <v>0</v>
      </c>
      <c r="CB28" s="399">
        <f t="shared" si="16"/>
        <v>0</v>
      </c>
      <c r="CC28" s="399">
        <f t="shared" si="17"/>
        <v>0</v>
      </c>
      <c r="CD28" s="399">
        <f t="shared" si="18"/>
        <v>0</v>
      </c>
      <c r="CE28" s="399">
        <f t="shared" si="19"/>
        <v>0</v>
      </c>
      <c r="CF28" s="399">
        <f t="shared" si="20"/>
        <v>0</v>
      </c>
      <c r="CG28" s="399">
        <f t="shared" si="21"/>
        <v>0</v>
      </c>
      <c r="CH28" s="399">
        <f t="shared" si="22"/>
        <v>0</v>
      </c>
      <c r="CI28" s="399">
        <f t="shared" si="23"/>
        <v>0</v>
      </c>
      <c r="CJ28" s="399">
        <f t="shared" si="24"/>
        <v>0</v>
      </c>
      <c r="CK28" s="399">
        <f t="shared" si="25"/>
        <v>0</v>
      </c>
      <c r="CL28" s="399">
        <f t="shared" si="26"/>
        <v>0</v>
      </c>
      <c r="CM28" s="399">
        <f t="shared" si="27"/>
        <v>0</v>
      </c>
      <c r="CN28" s="399">
        <f t="shared" si="28"/>
        <v>0</v>
      </c>
      <c r="CO28" s="399">
        <f t="shared" si="29"/>
        <v>0</v>
      </c>
      <c r="CP28" s="399">
        <f t="shared" si="30"/>
        <v>0</v>
      </c>
      <c r="CQ28" s="423">
        <f t="shared" si="31"/>
        <v>0</v>
      </c>
      <c r="CS28" s="394" t="e">
        <f t="shared" si="32"/>
        <v>#DIV/0!</v>
      </c>
    </row>
    <row r="29" spans="2:97">
      <c r="C29" s="107"/>
      <c r="D29" s="395"/>
      <c r="E29" s="84"/>
      <c r="F29" s="84"/>
      <c r="G29" s="389"/>
      <c r="H29" s="390"/>
      <c r="I29" s="390"/>
      <c r="J29" s="390"/>
      <c r="K29" s="390"/>
      <c r="L29" s="390"/>
      <c r="M29" s="390"/>
      <c r="N29" s="390"/>
      <c r="O29" s="390"/>
      <c r="P29" s="390"/>
      <c r="Q29" s="390"/>
      <c r="R29" s="390"/>
      <c r="S29" s="390"/>
      <c r="T29" s="390"/>
      <c r="U29" s="390"/>
      <c r="V29" s="390"/>
      <c r="W29" s="390"/>
      <c r="X29" s="390"/>
      <c r="Y29" s="390"/>
      <c r="Z29" s="390"/>
      <c r="AA29" s="390"/>
      <c r="AB29" s="390"/>
      <c r="AC29" s="390"/>
      <c r="AD29" s="390"/>
      <c r="AE29" s="390"/>
      <c r="AF29" s="390"/>
      <c r="AG29" s="390"/>
      <c r="AH29" s="390"/>
      <c r="AI29" s="391"/>
      <c r="AK29" s="437"/>
      <c r="AL29" s="437"/>
      <c r="AM29" s="437"/>
      <c r="AN29" s="437"/>
      <c r="AO29" s="437"/>
      <c r="AP29" s="437"/>
      <c r="AQ29" s="437"/>
      <c r="AR29" s="437"/>
      <c r="AS29" s="437"/>
      <c r="AT29" s="437"/>
      <c r="AU29" s="437"/>
      <c r="AV29" s="437"/>
      <c r="AW29" s="437"/>
      <c r="AX29" s="437"/>
      <c r="AY29" s="437"/>
      <c r="AZ29" s="437"/>
      <c r="BA29" s="437"/>
      <c r="BB29" s="437"/>
      <c r="BC29" s="437"/>
      <c r="BD29" s="437"/>
      <c r="BE29" s="437"/>
      <c r="BF29" s="437"/>
      <c r="BG29" s="437"/>
      <c r="BH29" s="437"/>
      <c r="BI29" s="437"/>
      <c r="BJ29" s="437"/>
      <c r="BK29" s="437"/>
      <c r="BL29" s="437"/>
      <c r="BM29" s="393"/>
      <c r="BO29" s="399">
        <f t="shared" si="3"/>
        <v>0</v>
      </c>
      <c r="BP29" s="399">
        <f t="shared" si="4"/>
        <v>0</v>
      </c>
      <c r="BQ29" s="399">
        <f t="shared" si="5"/>
        <v>0</v>
      </c>
      <c r="BR29" s="399">
        <f t="shared" si="6"/>
        <v>0</v>
      </c>
      <c r="BS29" s="399">
        <f t="shared" si="7"/>
        <v>0</v>
      </c>
      <c r="BT29" s="399">
        <f t="shared" si="8"/>
        <v>0</v>
      </c>
      <c r="BU29" s="399">
        <f t="shared" si="9"/>
        <v>0</v>
      </c>
      <c r="BV29" s="399">
        <f t="shared" si="10"/>
        <v>0</v>
      </c>
      <c r="BW29" s="399">
        <f t="shared" si="11"/>
        <v>0</v>
      </c>
      <c r="BX29" s="399">
        <f t="shared" si="12"/>
        <v>0</v>
      </c>
      <c r="BY29" s="399">
        <f t="shared" si="13"/>
        <v>0</v>
      </c>
      <c r="BZ29" s="399">
        <f t="shared" si="14"/>
        <v>0</v>
      </c>
      <c r="CA29" s="399">
        <f t="shared" si="15"/>
        <v>0</v>
      </c>
      <c r="CB29" s="399">
        <f t="shared" si="16"/>
        <v>0</v>
      </c>
      <c r="CC29" s="399">
        <f t="shared" si="17"/>
        <v>0</v>
      </c>
      <c r="CD29" s="399">
        <f t="shared" si="18"/>
        <v>0</v>
      </c>
      <c r="CE29" s="399">
        <f t="shared" si="19"/>
        <v>0</v>
      </c>
      <c r="CF29" s="399">
        <f t="shared" si="20"/>
        <v>0</v>
      </c>
      <c r="CG29" s="399">
        <f t="shared" si="21"/>
        <v>0</v>
      </c>
      <c r="CH29" s="399">
        <f t="shared" si="22"/>
        <v>0</v>
      </c>
      <c r="CI29" s="399">
        <f t="shared" si="23"/>
        <v>0</v>
      </c>
      <c r="CJ29" s="399">
        <f t="shared" si="24"/>
        <v>0</v>
      </c>
      <c r="CK29" s="399">
        <f t="shared" si="25"/>
        <v>0</v>
      </c>
      <c r="CL29" s="399">
        <f t="shared" si="26"/>
        <v>0</v>
      </c>
      <c r="CM29" s="399">
        <f t="shared" si="27"/>
        <v>0</v>
      </c>
      <c r="CN29" s="399">
        <f t="shared" si="28"/>
        <v>0</v>
      </c>
      <c r="CO29" s="399">
        <f t="shared" si="29"/>
        <v>0</v>
      </c>
      <c r="CP29" s="399">
        <f t="shared" si="30"/>
        <v>0</v>
      </c>
      <c r="CQ29" s="423">
        <f t="shared" si="31"/>
        <v>0</v>
      </c>
      <c r="CS29" s="394" t="e">
        <f t="shared" si="32"/>
        <v>#DIV/0!</v>
      </c>
    </row>
    <row r="30" spans="2:97">
      <c r="C30" s="107"/>
      <c r="D30" s="395"/>
      <c r="E30" s="84"/>
      <c r="F30" s="84"/>
      <c r="G30" s="389"/>
      <c r="H30" s="390"/>
      <c r="I30" s="390"/>
      <c r="J30" s="390"/>
      <c r="K30" s="390"/>
      <c r="L30" s="390"/>
      <c r="M30" s="390"/>
      <c r="N30" s="390"/>
      <c r="O30" s="390"/>
      <c r="P30" s="390"/>
      <c r="Q30" s="390"/>
      <c r="R30" s="390"/>
      <c r="S30" s="390"/>
      <c r="T30" s="390"/>
      <c r="U30" s="390"/>
      <c r="V30" s="390"/>
      <c r="W30" s="390"/>
      <c r="X30" s="390"/>
      <c r="Y30" s="390"/>
      <c r="Z30" s="390"/>
      <c r="AA30" s="390"/>
      <c r="AB30" s="390"/>
      <c r="AC30" s="390"/>
      <c r="AD30" s="390"/>
      <c r="AE30" s="390"/>
      <c r="AF30" s="390"/>
      <c r="AG30" s="390"/>
      <c r="AH30" s="390"/>
      <c r="AI30" s="391"/>
      <c r="AK30" s="437"/>
      <c r="AL30" s="437"/>
      <c r="AM30" s="437"/>
      <c r="AN30" s="437"/>
      <c r="AO30" s="437"/>
      <c r="AP30" s="437"/>
      <c r="AQ30" s="437"/>
      <c r="AR30" s="437"/>
      <c r="AS30" s="437"/>
      <c r="AT30" s="437"/>
      <c r="AU30" s="437"/>
      <c r="AV30" s="437"/>
      <c r="AW30" s="437"/>
      <c r="AX30" s="437"/>
      <c r="AY30" s="437"/>
      <c r="AZ30" s="437"/>
      <c r="BA30" s="437"/>
      <c r="BB30" s="437"/>
      <c r="BC30" s="437"/>
      <c r="BD30" s="437"/>
      <c r="BE30" s="437"/>
      <c r="BF30" s="437"/>
      <c r="BG30" s="437"/>
      <c r="BH30" s="437"/>
      <c r="BI30" s="437"/>
      <c r="BJ30" s="437"/>
      <c r="BK30" s="437"/>
      <c r="BL30" s="437"/>
      <c r="BM30" s="393"/>
      <c r="BO30" s="399">
        <f t="shared" si="3"/>
        <v>0</v>
      </c>
      <c r="BP30" s="399">
        <f t="shared" si="4"/>
        <v>0</v>
      </c>
      <c r="BQ30" s="399">
        <f t="shared" si="5"/>
        <v>0</v>
      </c>
      <c r="BR30" s="399">
        <f t="shared" si="6"/>
        <v>0</v>
      </c>
      <c r="BS30" s="399">
        <f t="shared" si="7"/>
        <v>0</v>
      </c>
      <c r="BT30" s="399">
        <f t="shared" si="8"/>
        <v>0</v>
      </c>
      <c r="BU30" s="399">
        <f t="shared" si="9"/>
        <v>0</v>
      </c>
      <c r="BV30" s="399">
        <f t="shared" si="10"/>
        <v>0</v>
      </c>
      <c r="BW30" s="399">
        <f t="shared" si="11"/>
        <v>0</v>
      </c>
      <c r="BX30" s="399">
        <f t="shared" si="12"/>
        <v>0</v>
      </c>
      <c r="BY30" s="399">
        <f t="shared" si="13"/>
        <v>0</v>
      </c>
      <c r="BZ30" s="399">
        <f t="shared" si="14"/>
        <v>0</v>
      </c>
      <c r="CA30" s="399">
        <f t="shared" si="15"/>
        <v>0</v>
      </c>
      <c r="CB30" s="399">
        <f t="shared" si="16"/>
        <v>0</v>
      </c>
      <c r="CC30" s="399">
        <f t="shared" si="17"/>
        <v>0</v>
      </c>
      <c r="CD30" s="399">
        <f t="shared" si="18"/>
        <v>0</v>
      </c>
      <c r="CE30" s="399">
        <f t="shared" si="19"/>
        <v>0</v>
      </c>
      <c r="CF30" s="399">
        <f t="shared" si="20"/>
        <v>0</v>
      </c>
      <c r="CG30" s="399">
        <f t="shared" si="21"/>
        <v>0</v>
      </c>
      <c r="CH30" s="399">
        <f t="shared" si="22"/>
        <v>0</v>
      </c>
      <c r="CI30" s="399">
        <f t="shared" si="23"/>
        <v>0</v>
      </c>
      <c r="CJ30" s="399">
        <f t="shared" si="24"/>
        <v>0</v>
      </c>
      <c r="CK30" s="399">
        <f t="shared" si="25"/>
        <v>0</v>
      </c>
      <c r="CL30" s="399">
        <f t="shared" si="26"/>
        <v>0</v>
      </c>
      <c r="CM30" s="399">
        <f t="shared" si="27"/>
        <v>0</v>
      </c>
      <c r="CN30" s="399">
        <f t="shared" si="28"/>
        <v>0</v>
      </c>
      <c r="CO30" s="399">
        <f t="shared" si="29"/>
        <v>0</v>
      </c>
      <c r="CP30" s="399">
        <f t="shared" si="30"/>
        <v>0</v>
      </c>
      <c r="CQ30" s="423">
        <f t="shared" si="31"/>
        <v>0</v>
      </c>
      <c r="CS30" s="394" t="e">
        <f t="shared" si="32"/>
        <v>#DIV/0!</v>
      </c>
    </row>
    <row r="31" spans="2:97">
      <c r="C31" s="107"/>
      <c r="D31" s="395"/>
      <c r="E31" s="84"/>
      <c r="F31" s="84"/>
      <c r="G31" s="389"/>
      <c r="H31" s="390"/>
      <c r="I31" s="390"/>
      <c r="J31" s="390"/>
      <c r="K31" s="390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0"/>
      <c r="AA31" s="390"/>
      <c r="AB31" s="390"/>
      <c r="AC31" s="390"/>
      <c r="AD31" s="390"/>
      <c r="AE31" s="390"/>
      <c r="AF31" s="390"/>
      <c r="AG31" s="390"/>
      <c r="AH31" s="390"/>
      <c r="AI31" s="391"/>
      <c r="AK31" s="437"/>
      <c r="AL31" s="437"/>
      <c r="AM31" s="437"/>
      <c r="AN31" s="437"/>
      <c r="AO31" s="437"/>
      <c r="AP31" s="437"/>
      <c r="AQ31" s="437"/>
      <c r="AR31" s="437"/>
      <c r="AS31" s="437"/>
      <c r="AT31" s="437"/>
      <c r="AU31" s="437"/>
      <c r="AV31" s="437"/>
      <c r="AW31" s="437"/>
      <c r="AX31" s="437"/>
      <c r="AY31" s="437"/>
      <c r="AZ31" s="437"/>
      <c r="BA31" s="437"/>
      <c r="BB31" s="437"/>
      <c r="BC31" s="437"/>
      <c r="BD31" s="437"/>
      <c r="BE31" s="437"/>
      <c r="BF31" s="437"/>
      <c r="BG31" s="437"/>
      <c r="BH31" s="437"/>
      <c r="BI31" s="437"/>
      <c r="BJ31" s="437"/>
      <c r="BK31" s="437"/>
      <c r="BL31" s="437"/>
      <c r="BM31" s="393"/>
      <c r="BO31" s="399">
        <f t="shared" si="3"/>
        <v>0</v>
      </c>
      <c r="BP31" s="399">
        <f t="shared" si="4"/>
        <v>0</v>
      </c>
      <c r="BQ31" s="399">
        <f t="shared" si="5"/>
        <v>0</v>
      </c>
      <c r="BR31" s="399">
        <f t="shared" si="6"/>
        <v>0</v>
      </c>
      <c r="BS31" s="399">
        <f t="shared" si="7"/>
        <v>0</v>
      </c>
      <c r="BT31" s="399">
        <f t="shared" si="8"/>
        <v>0</v>
      </c>
      <c r="BU31" s="399">
        <f t="shared" si="9"/>
        <v>0</v>
      </c>
      <c r="BV31" s="399">
        <f t="shared" si="10"/>
        <v>0</v>
      </c>
      <c r="BW31" s="399">
        <f t="shared" si="11"/>
        <v>0</v>
      </c>
      <c r="BX31" s="399">
        <f t="shared" si="12"/>
        <v>0</v>
      </c>
      <c r="BY31" s="399">
        <f t="shared" si="13"/>
        <v>0</v>
      </c>
      <c r="BZ31" s="399">
        <f t="shared" si="14"/>
        <v>0</v>
      </c>
      <c r="CA31" s="399">
        <f t="shared" si="15"/>
        <v>0</v>
      </c>
      <c r="CB31" s="399">
        <f t="shared" si="16"/>
        <v>0</v>
      </c>
      <c r="CC31" s="399">
        <f t="shared" si="17"/>
        <v>0</v>
      </c>
      <c r="CD31" s="399">
        <f t="shared" si="18"/>
        <v>0</v>
      </c>
      <c r="CE31" s="399">
        <f t="shared" si="19"/>
        <v>0</v>
      </c>
      <c r="CF31" s="399">
        <f t="shared" si="20"/>
        <v>0</v>
      </c>
      <c r="CG31" s="399">
        <f t="shared" si="21"/>
        <v>0</v>
      </c>
      <c r="CH31" s="399">
        <f t="shared" si="22"/>
        <v>0</v>
      </c>
      <c r="CI31" s="399">
        <f t="shared" si="23"/>
        <v>0</v>
      </c>
      <c r="CJ31" s="399">
        <f t="shared" si="24"/>
        <v>0</v>
      </c>
      <c r="CK31" s="399">
        <f t="shared" si="25"/>
        <v>0</v>
      </c>
      <c r="CL31" s="399">
        <f t="shared" si="26"/>
        <v>0</v>
      </c>
      <c r="CM31" s="399">
        <f t="shared" si="27"/>
        <v>0</v>
      </c>
      <c r="CN31" s="399">
        <f t="shared" si="28"/>
        <v>0</v>
      </c>
      <c r="CO31" s="399">
        <f t="shared" si="29"/>
        <v>0</v>
      </c>
      <c r="CP31" s="399">
        <f t="shared" si="30"/>
        <v>0</v>
      </c>
      <c r="CQ31" s="423">
        <f t="shared" si="31"/>
        <v>0</v>
      </c>
      <c r="CS31" s="394" t="e">
        <f t="shared" si="32"/>
        <v>#DIV/0!</v>
      </c>
    </row>
    <row r="32" spans="2:97">
      <c r="C32" s="107"/>
      <c r="D32" s="395"/>
      <c r="E32" s="84"/>
      <c r="F32" s="84"/>
      <c r="G32" s="389"/>
      <c r="H32" s="390"/>
      <c r="I32" s="390"/>
      <c r="J32" s="390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  <c r="W32" s="390"/>
      <c r="X32" s="390"/>
      <c r="Y32" s="390"/>
      <c r="Z32" s="390"/>
      <c r="AA32" s="390"/>
      <c r="AB32" s="390"/>
      <c r="AC32" s="390"/>
      <c r="AD32" s="390"/>
      <c r="AE32" s="390"/>
      <c r="AF32" s="390"/>
      <c r="AG32" s="390"/>
      <c r="AH32" s="390"/>
      <c r="AI32" s="391"/>
      <c r="AK32" s="437"/>
      <c r="AL32" s="437"/>
      <c r="AM32" s="437"/>
      <c r="AN32" s="437"/>
      <c r="AO32" s="437"/>
      <c r="AP32" s="437"/>
      <c r="AQ32" s="437"/>
      <c r="AR32" s="437"/>
      <c r="AS32" s="437"/>
      <c r="AT32" s="437"/>
      <c r="AU32" s="437"/>
      <c r="AV32" s="437"/>
      <c r="AW32" s="437"/>
      <c r="AX32" s="437"/>
      <c r="AY32" s="437"/>
      <c r="AZ32" s="437"/>
      <c r="BA32" s="437"/>
      <c r="BB32" s="437"/>
      <c r="BC32" s="437"/>
      <c r="BD32" s="437"/>
      <c r="BE32" s="437"/>
      <c r="BF32" s="437"/>
      <c r="BG32" s="437"/>
      <c r="BH32" s="437"/>
      <c r="BI32" s="437"/>
      <c r="BJ32" s="437"/>
      <c r="BK32" s="437"/>
      <c r="BL32" s="437"/>
      <c r="BM32" s="393"/>
      <c r="BO32" s="399">
        <f t="shared" si="3"/>
        <v>0</v>
      </c>
      <c r="BP32" s="399">
        <f t="shared" si="4"/>
        <v>0</v>
      </c>
      <c r="BQ32" s="399">
        <f t="shared" si="5"/>
        <v>0</v>
      </c>
      <c r="BR32" s="399">
        <f t="shared" si="6"/>
        <v>0</v>
      </c>
      <c r="BS32" s="399">
        <f t="shared" si="7"/>
        <v>0</v>
      </c>
      <c r="BT32" s="399">
        <f t="shared" si="8"/>
        <v>0</v>
      </c>
      <c r="BU32" s="399">
        <f t="shared" si="9"/>
        <v>0</v>
      </c>
      <c r="BV32" s="399">
        <f t="shared" si="10"/>
        <v>0</v>
      </c>
      <c r="BW32" s="399">
        <f t="shared" si="11"/>
        <v>0</v>
      </c>
      <c r="BX32" s="399">
        <f t="shared" si="12"/>
        <v>0</v>
      </c>
      <c r="BY32" s="399">
        <f t="shared" si="13"/>
        <v>0</v>
      </c>
      <c r="BZ32" s="399">
        <f t="shared" si="14"/>
        <v>0</v>
      </c>
      <c r="CA32" s="399">
        <f t="shared" si="15"/>
        <v>0</v>
      </c>
      <c r="CB32" s="399">
        <f t="shared" si="16"/>
        <v>0</v>
      </c>
      <c r="CC32" s="399">
        <f t="shared" si="17"/>
        <v>0</v>
      </c>
      <c r="CD32" s="399">
        <f t="shared" si="18"/>
        <v>0</v>
      </c>
      <c r="CE32" s="399">
        <f t="shared" si="19"/>
        <v>0</v>
      </c>
      <c r="CF32" s="399">
        <f t="shared" si="20"/>
        <v>0</v>
      </c>
      <c r="CG32" s="399">
        <f t="shared" si="21"/>
        <v>0</v>
      </c>
      <c r="CH32" s="399">
        <f t="shared" si="22"/>
        <v>0</v>
      </c>
      <c r="CI32" s="399">
        <f t="shared" si="23"/>
        <v>0</v>
      </c>
      <c r="CJ32" s="399">
        <f t="shared" si="24"/>
        <v>0</v>
      </c>
      <c r="CK32" s="399">
        <f t="shared" si="25"/>
        <v>0</v>
      </c>
      <c r="CL32" s="399">
        <f t="shared" si="26"/>
        <v>0</v>
      </c>
      <c r="CM32" s="399">
        <f t="shared" si="27"/>
        <v>0</v>
      </c>
      <c r="CN32" s="399">
        <f t="shared" si="28"/>
        <v>0</v>
      </c>
      <c r="CO32" s="399">
        <f t="shared" si="29"/>
        <v>0</v>
      </c>
      <c r="CP32" s="399">
        <f t="shared" si="30"/>
        <v>0</v>
      </c>
      <c r="CQ32" s="423">
        <f t="shared" si="31"/>
        <v>0</v>
      </c>
      <c r="CS32" s="394" t="e">
        <f t="shared" si="32"/>
        <v>#DIV/0!</v>
      </c>
    </row>
    <row r="33" spans="3:97">
      <c r="C33" s="107"/>
      <c r="D33" s="395"/>
      <c r="E33" s="84"/>
      <c r="F33" s="84"/>
      <c r="G33" s="389"/>
      <c r="H33" s="390"/>
      <c r="I33" s="390"/>
      <c r="J33" s="390"/>
      <c r="K33" s="390"/>
      <c r="L33" s="390"/>
      <c r="M33" s="390"/>
      <c r="N33" s="390"/>
      <c r="O33" s="390"/>
      <c r="P33" s="390"/>
      <c r="Q33" s="390"/>
      <c r="R33" s="390"/>
      <c r="S33" s="390"/>
      <c r="T33" s="390"/>
      <c r="U33" s="390"/>
      <c r="V33" s="390"/>
      <c r="W33" s="390"/>
      <c r="X33" s="390"/>
      <c r="Y33" s="390"/>
      <c r="Z33" s="390"/>
      <c r="AA33" s="390"/>
      <c r="AB33" s="390"/>
      <c r="AC33" s="390"/>
      <c r="AD33" s="390"/>
      <c r="AE33" s="390"/>
      <c r="AF33" s="390"/>
      <c r="AG33" s="390"/>
      <c r="AH33" s="390"/>
      <c r="AI33" s="391"/>
      <c r="AK33" s="437"/>
      <c r="AL33" s="437"/>
      <c r="AM33" s="437"/>
      <c r="AN33" s="437"/>
      <c r="AO33" s="437"/>
      <c r="AP33" s="437"/>
      <c r="AQ33" s="437"/>
      <c r="AR33" s="437"/>
      <c r="AS33" s="437"/>
      <c r="AT33" s="437"/>
      <c r="AU33" s="437"/>
      <c r="AV33" s="437"/>
      <c r="AW33" s="437"/>
      <c r="AX33" s="437"/>
      <c r="AY33" s="437"/>
      <c r="AZ33" s="437"/>
      <c r="BA33" s="437"/>
      <c r="BB33" s="437"/>
      <c r="BC33" s="437"/>
      <c r="BD33" s="437"/>
      <c r="BE33" s="437"/>
      <c r="BF33" s="437"/>
      <c r="BG33" s="437"/>
      <c r="BH33" s="437"/>
      <c r="BI33" s="437"/>
      <c r="BJ33" s="437"/>
      <c r="BK33" s="437"/>
      <c r="BL33" s="437"/>
      <c r="BM33" s="393"/>
      <c r="BO33" s="399">
        <f t="shared" si="3"/>
        <v>0</v>
      </c>
      <c r="BP33" s="399">
        <f t="shared" si="4"/>
        <v>0</v>
      </c>
      <c r="BQ33" s="399">
        <f t="shared" si="5"/>
        <v>0</v>
      </c>
      <c r="BR33" s="399">
        <f t="shared" si="6"/>
        <v>0</v>
      </c>
      <c r="BS33" s="399">
        <f t="shared" si="7"/>
        <v>0</v>
      </c>
      <c r="BT33" s="399">
        <f t="shared" si="8"/>
        <v>0</v>
      </c>
      <c r="BU33" s="399">
        <f t="shared" si="9"/>
        <v>0</v>
      </c>
      <c r="BV33" s="399">
        <f t="shared" si="10"/>
        <v>0</v>
      </c>
      <c r="BW33" s="399">
        <f t="shared" si="11"/>
        <v>0</v>
      </c>
      <c r="BX33" s="399">
        <f t="shared" si="12"/>
        <v>0</v>
      </c>
      <c r="BY33" s="399">
        <f t="shared" si="13"/>
        <v>0</v>
      </c>
      <c r="BZ33" s="399">
        <f t="shared" si="14"/>
        <v>0</v>
      </c>
      <c r="CA33" s="399">
        <f t="shared" si="15"/>
        <v>0</v>
      </c>
      <c r="CB33" s="399">
        <f t="shared" si="16"/>
        <v>0</v>
      </c>
      <c r="CC33" s="399">
        <f t="shared" si="17"/>
        <v>0</v>
      </c>
      <c r="CD33" s="399">
        <f t="shared" si="18"/>
        <v>0</v>
      </c>
      <c r="CE33" s="399">
        <f t="shared" si="19"/>
        <v>0</v>
      </c>
      <c r="CF33" s="399">
        <f t="shared" si="20"/>
        <v>0</v>
      </c>
      <c r="CG33" s="399">
        <f t="shared" si="21"/>
        <v>0</v>
      </c>
      <c r="CH33" s="399">
        <f t="shared" si="22"/>
        <v>0</v>
      </c>
      <c r="CI33" s="399">
        <f t="shared" si="23"/>
        <v>0</v>
      </c>
      <c r="CJ33" s="399">
        <f t="shared" si="24"/>
        <v>0</v>
      </c>
      <c r="CK33" s="399">
        <f t="shared" si="25"/>
        <v>0</v>
      </c>
      <c r="CL33" s="399">
        <f t="shared" si="26"/>
        <v>0</v>
      </c>
      <c r="CM33" s="399">
        <f t="shared" si="27"/>
        <v>0</v>
      </c>
      <c r="CN33" s="399">
        <f t="shared" si="28"/>
        <v>0</v>
      </c>
      <c r="CO33" s="399">
        <f t="shared" si="29"/>
        <v>0</v>
      </c>
      <c r="CP33" s="399">
        <f t="shared" si="30"/>
        <v>0</v>
      </c>
      <c r="CQ33" s="423">
        <f t="shared" si="31"/>
        <v>0</v>
      </c>
      <c r="CS33" s="394" t="e">
        <f t="shared" si="32"/>
        <v>#DIV/0!</v>
      </c>
    </row>
    <row r="34" spans="3:97">
      <c r="C34" s="107"/>
      <c r="D34" s="395"/>
      <c r="E34" s="84"/>
      <c r="F34" s="84"/>
      <c r="G34" s="389"/>
      <c r="H34" s="390"/>
      <c r="I34" s="390"/>
      <c r="J34" s="390"/>
      <c r="K34" s="390"/>
      <c r="L34" s="390"/>
      <c r="M34" s="390"/>
      <c r="N34" s="390"/>
      <c r="O34" s="390"/>
      <c r="P34" s="390"/>
      <c r="Q34" s="390"/>
      <c r="R34" s="390"/>
      <c r="S34" s="390"/>
      <c r="T34" s="390"/>
      <c r="U34" s="390"/>
      <c r="V34" s="390"/>
      <c r="W34" s="390"/>
      <c r="X34" s="390"/>
      <c r="Y34" s="390"/>
      <c r="Z34" s="390"/>
      <c r="AA34" s="390"/>
      <c r="AB34" s="390"/>
      <c r="AC34" s="390"/>
      <c r="AD34" s="390"/>
      <c r="AE34" s="390"/>
      <c r="AF34" s="390"/>
      <c r="AG34" s="390"/>
      <c r="AH34" s="390"/>
      <c r="AI34" s="391"/>
      <c r="AK34" s="437"/>
      <c r="AL34" s="437"/>
      <c r="AM34" s="437"/>
      <c r="AN34" s="437"/>
      <c r="AO34" s="437"/>
      <c r="AP34" s="437"/>
      <c r="AQ34" s="437"/>
      <c r="AR34" s="437"/>
      <c r="AS34" s="437"/>
      <c r="AT34" s="437"/>
      <c r="AU34" s="437"/>
      <c r="AV34" s="437"/>
      <c r="AW34" s="437"/>
      <c r="AX34" s="437"/>
      <c r="AY34" s="437"/>
      <c r="AZ34" s="437"/>
      <c r="BA34" s="437"/>
      <c r="BB34" s="437"/>
      <c r="BC34" s="437"/>
      <c r="BD34" s="437"/>
      <c r="BE34" s="437"/>
      <c r="BF34" s="437"/>
      <c r="BG34" s="437"/>
      <c r="BH34" s="437"/>
      <c r="BI34" s="437"/>
      <c r="BJ34" s="437"/>
      <c r="BK34" s="437"/>
      <c r="BL34" s="437"/>
      <c r="BM34" s="393"/>
      <c r="BO34" s="399">
        <f t="shared" si="3"/>
        <v>0</v>
      </c>
      <c r="BP34" s="399">
        <f t="shared" si="4"/>
        <v>0</v>
      </c>
      <c r="BQ34" s="399">
        <f t="shared" si="5"/>
        <v>0</v>
      </c>
      <c r="BR34" s="399">
        <f t="shared" si="6"/>
        <v>0</v>
      </c>
      <c r="BS34" s="399">
        <f t="shared" si="7"/>
        <v>0</v>
      </c>
      <c r="BT34" s="399">
        <f t="shared" si="8"/>
        <v>0</v>
      </c>
      <c r="BU34" s="399">
        <f t="shared" si="9"/>
        <v>0</v>
      </c>
      <c r="BV34" s="399">
        <f t="shared" si="10"/>
        <v>0</v>
      </c>
      <c r="BW34" s="399">
        <f t="shared" si="11"/>
        <v>0</v>
      </c>
      <c r="BX34" s="399">
        <f t="shared" si="12"/>
        <v>0</v>
      </c>
      <c r="BY34" s="399">
        <f t="shared" si="13"/>
        <v>0</v>
      </c>
      <c r="BZ34" s="399">
        <f t="shared" si="14"/>
        <v>0</v>
      </c>
      <c r="CA34" s="399">
        <f t="shared" si="15"/>
        <v>0</v>
      </c>
      <c r="CB34" s="399">
        <f t="shared" si="16"/>
        <v>0</v>
      </c>
      <c r="CC34" s="399">
        <f t="shared" si="17"/>
        <v>0</v>
      </c>
      <c r="CD34" s="399">
        <f t="shared" si="18"/>
        <v>0</v>
      </c>
      <c r="CE34" s="399">
        <f t="shared" si="19"/>
        <v>0</v>
      </c>
      <c r="CF34" s="399">
        <f t="shared" si="20"/>
        <v>0</v>
      </c>
      <c r="CG34" s="399">
        <f t="shared" si="21"/>
        <v>0</v>
      </c>
      <c r="CH34" s="399">
        <f t="shared" si="22"/>
        <v>0</v>
      </c>
      <c r="CI34" s="399">
        <f t="shared" si="23"/>
        <v>0</v>
      </c>
      <c r="CJ34" s="399">
        <f t="shared" si="24"/>
        <v>0</v>
      </c>
      <c r="CK34" s="399">
        <f t="shared" si="25"/>
        <v>0</v>
      </c>
      <c r="CL34" s="399">
        <f t="shared" si="26"/>
        <v>0</v>
      </c>
      <c r="CM34" s="399">
        <f t="shared" si="27"/>
        <v>0</v>
      </c>
      <c r="CN34" s="399">
        <f t="shared" si="28"/>
        <v>0</v>
      </c>
      <c r="CO34" s="399">
        <f t="shared" si="29"/>
        <v>0</v>
      </c>
      <c r="CP34" s="399">
        <f t="shared" si="30"/>
        <v>0</v>
      </c>
      <c r="CQ34" s="423">
        <f t="shared" si="31"/>
        <v>0</v>
      </c>
      <c r="CS34" s="394" t="e">
        <f t="shared" si="32"/>
        <v>#DIV/0!</v>
      </c>
    </row>
    <row r="35" spans="3:97">
      <c r="C35" s="107"/>
      <c r="D35" s="395"/>
      <c r="E35" s="84"/>
      <c r="F35" s="84"/>
      <c r="G35" s="389"/>
      <c r="H35" s="390"/>
      <c r="I35" s="390"/>
      <c r="J35" s="390"/>
      <c r="K35" s="390"/>
      <c r="L35" s="390"/>
      <c r="M35" s="390"/>
      <c r="N35" s="390"/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0"/>
      <c r="AG35" s="390"/>
      <c r="AH35" s="390"/>
      <c r="AI35" s="391"/>
      <c r="AK35" s="437"/>
      <c r="AL35" s="437"/>
      <c r="AM35" s="437"/>
      <c r="AN35" s="437"/>
      <c r="AO35" s="437"/>
      <c r="AP35" s="437"/>
      <c r="AQ35" s="437"/>
      <c r="AR35" s="437"/>
      <c r="AS35" s="437"/>
      <c r="AT35" s="437"/>
      <c r="AU35" s="437"/>
      <c r="AV35" s="437"/>
      <c r="AW35" s="437"/>
      <c r="AX35" s="437"/>
      <c r="AY35" s="437"/>
      <c r="AZ35" s="437"/>
      <c r="BA35" s="437"/>
      <c r="BB35" s="437"/>
      <c r="BC35" s="437"/>
      <c r="BD35" s="437"/>
      <c r="BE35" s="437"/>
      <c r="BF35" s="437"/>
      <c r="BG35" s="437"/>
      <c r="BH35" s="437"/>
      <c r="BI35" s="437"/>
      <c r="BJ35" s="437"/>
      <c r="BK35" s="437"/>
      <c r="BL35" s="437"/>
      <c r="BM35" s="393"/>
      <c r="BO35" s="399">
        <f t="shared" si="3"/>
        <v>0</v>
      </c>
      <c r="BP35" s="399">
        <f t="shared" si="4"/>
        <v>0</v>
      </c>
      <c r="BQ35" s="399">
        <f t="shared" si="5"/>
        <v>0</v>
      </c>
      <c r="BR35" s="399">
        <f t="shared" si="6"/>
        <v>0</v>
      </c>
      <c r="BS35" s="399">
        <f t="shared" si="7"/>
        <v>0</v>
      </c>
      <c r="BT35" s="399">
        <f t="shared" si="8"/>
        <v>0</v>
      </c>
      <c r="BU35" s="399">
        <f t="shared" si="9"/>
        <v>0</v>
      </c>
      <c r="BV35" s="399">
        <f t="shared" si="10"/>
        <v>0</v>
      </c>
      <c r="BW35" s="399">
        <f t="shared" si="11"/>
        <v>0</v>
      </c>
      <c r="BX35" s="399">
        <f t="shared" si="12"/>
        <v>0</v>
      </c>
      <c r="BY35" s="399">
        <f t="shared" si="13"/>
        <v>0</v>
      </c>
      <c r="BZ35" s="399">
        <f t="shared" si="14"/>
        <v>0</v>
      </c>
      <c r="CA35" s="399">
        <f t="shared" si="15"/>
        <v>0</v>
      </c>
      <c r="CB35" s="399">
        <f t="shared" si="16"/>
        <v>0</v>
      </c>
      <c r="CC35" s="399">
        <f t="shared" si="17"/>
        <v>0</v>
      </c>
      <c r="CD35" s="399">
        <f t="shared" si="18"/>
        <v>0</v>
      </c>
      <c r="CE35" s="399">
        <f t="shared" si="19"/>
        <v>0</v>
      </c>
      <c r="CF35" s="399">
        <f t="shared" si="20"/>
        <v>0</v>
      </c>
      <c r="CG35" s="399">
        <f t="shared" si="21"/>
        <v>0</v>
      </c>
      <c r="CH35" s="399">
        <f t="shared" si="22"/>
        <v>0</v>
      </c>
      <c r="CI35" s="399">
        <f t="shared" si="23"/>
        <v>0</v>
      </c>
      <c r="CJ35" s="399">
        <f t="shared" si="24"/>
        <v>0</v>
      </c>
      <c r="CK35" s="399">
        <f t="shared" si="25"/>
        <v>0</v>
      </c>
      <c r="CL35" s="399">
        <f t="shared" si="26"/>
        <v>0</v>
      </c>
      <c r="CM35" s="399">
        <f t="shared" si="27"/>
        <v>0</v>
      </c>
      <c r="CN35" s="399">
        <f t="shared" si="28"/>
        <v>0</v>
      </c>
      <c r="CO35" s="399">
        <f t="shared" si="29"/>
        <v>0</v>
      </c>
      <c r="CP35" s="399">
        <f t="shared" si="30"/>
        <v>0</v>
      </c>
      <c r="CQ35" s="423">
        <f t="shared" si="31"/>
        <v>0</v>
      </c>
      <c r="CS35" s="394" t="e">
        <f t="shared" si="32"/>
        <v>#DIV/0!</v>
      </c>
    </row>
    <row r="36" spans="3:97">
      <c r="C36" s="107"/>
      <c r="D36" s="395"/>
      <c r="E36" s="84"/>
      <c r="F36" s="84"/>
      <c r="G36" s="389"/>
      <c r="H36" s="390"/>
      <c r="I36" s="390"/>
      <c r="J36" s="390"/>
      <c r="K36" s="390"/>
      <c r="L36" s="390"/>
      <c r="M36" s="390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0"/>
      <c r="AG36" s="390"/>
      <c r="AH36" s="390"/>
      <c r="AI36" s="391"/>
      <c r="AK36" s="437"/>
      <c r="AL36" s="437"/>
      <c r="AM36" s="437"/>
      <c r="AN36" s="437"/>
      <c r="AO36" s="437"/>
      <c r="AP36" s="437"/>
      <c r="AQ36" s="437"/>
      <c r="AR36" s="437"/>
      <c r="AS36" s="437"/>
      <c r="AT36" s="437"/>
      <c r="AU36" s="437"/>
      <c r="AV36" s="437"/>
      <c r="AW36" s="437"/>
      <c r="AX36" s="437"/>
      <c r="AY36" s="437"/>
      <c r="AZ36" s="437"/>
      <c r="BA36" s="437"/>
      <c r="BB36" s="437"/>
      <c r="BC36" s="437"/>
      <c r="BD36" s="437"/>
      <c r="BE36" s="437"/>
      <c r="BF36" s="437"/>
      <c r="BG36" s="437"/>
      <c r="BH36" s="437"/>
      <c r="BI36" s="437"/>
      <c r="BJ36" s="437"/>
      <c r="BK36" s="437"/>
      <c r="BL36" s="437"/>
      <c r="BM36" s="393"/>
      <c r="BO36" s="399">
        <f t="shared" si="3"/>
        <v>0</v>
      </c>
      <c r="BP36" s="399">
        <f t="shared" si="4"/>
        <v>0</v>
      </c>
      <c r="BQ36" s="399">
        <f t="shared" si="5"/>
        <v>0</v>
      </c>
      <c r="BR36" s="399">
        <f t="shared" si="6"/>
        <v>0</v>
      </c>
      <c r="BS36" s="399">
        <f t="shared" si="7"/>
        <v>0</v>
      </c>
      <c r="BT36" s="399">
        <f t="shared" si="8"/>
        <v>0</v>
      </c>
      <c r="BU36" s="399">
        <f t="shared" si="9"/>
        <v>0</v>
      </c>
      <c r="BV36" s="399">
        <f t="shared" si="10"/>
        <v>0</v>
      </c>
      <c r="BW36" s="399">
        <f t="shared" si="11"/>
        <v>0</v>
      </c>
      <c r="BX36" s="399">
        <f t="shared" si="12"/>
        <v>0</v>
      </c>
      <c r="BY36" s="399">
        <f t="shared" si="13"/>
        <v>0</v>
      </c>
      <c r="BZ36" s="399">
        <f t="shared" si="14"/>
        <v>0</v>
      </c>
      <c r="CA36" s="399">
        <f t="shared" si="15"/>
        <v>0</v>
      </c>
      <c r="CB36" s="399">
        <f t="shared" si="16"/>
        <v>0</v>
      </c>
      <c r="CC36" s="399">
        <f t="shared" si="17"/>
        <v>0</v>
      </c>
      <c r="CD36" s="399">
        <f t="shared" si="18"/>
        <v>0</v>
      </c>
      <c r="CE36" s="399">
        <f t="shared" si="19"/>
        <v>0</v>
      </c>
      <c r="CF36" s="399">
        <f t="shared" si="20"/>
        <v>0</v>
      </c>
      <c r="CG36" s="399">
        <f t="shared" si="21"/>
        <v>0</v>
      </c>
      <c r="CH36" s="399">
        <f t="shared" si="22"/>
        <v>0</v>
      </c>
      <c r="CI36" s="399">
        <f t="shared" si="23"/>
        <v>0</v>
      </c>
      <c r="CJ36" s="399">
        <f t="shared" si="24"/>
        <v>0</v>
      </c>
      <c r="CK36" s="399">
        <f t="shared" si="25"/>
        <v>0</v>
      </c>
      <c r="CL36" s="399">
        <f t="shared" si="26"/>
        <v>0</v>
      </c>
      <c r="CM36" s="399">
        <f t="shared" si="27"/>
        <v>0</v>
      </c>
      <c r="CN36" s="399">
        <f t="shared" si="28"/>
        <v>0</v>
      </c>
      <c r="CO36" s="399">
        <f t="shared" si="29"/>
        <v>0</v>
      </c>
      <c r="CP36" s="399">
        <f t="shared" si="30"/>
        <v>0</v>
      </c>
      <c r="CQ36" s="423">
        <f t="shared" si="31"/>
        <v>0</v>
      </c>
      <c r="CS36" s="394" t="e">
        <f t="shared" si="32"/>
        <v>#DIV/0!</v>
      </c>
    </row>
    <row r="37" spans="3:97">
      <c r="C37" s="107"/>
      <c r="D37" s="395"/>
      <c r="E37" s="84"/>
      <c r="F37" s="84"/>
      <c r="G37" s="389"/>
      <c r="H37" s="390"/>
      <c r="I37" s="390"/>
      <c r="J37" s="390"/>
      <c r="K37" s="390"/>
      <c r="L37" s="390"/>
      <c r="M37" s="390"/>
      <c r="N37" s="390"/>
      <c r="O37" s="390"/>
      <c r="P37" s="390"/>
      <c r="Q37" s="390"/>
      <c r="R37" s="390"/>
      <c r="S37" s="390"/>
      <c r="T37" s="390"/>
      <c r="U37" s="390"/>
      <c r="V37" s="390"/>
      <c r="W37" s="390"/>
      <c r="X37" s="390"/>
      <c r="Y37" s="390"/>
      <c r="Z37" s="390"/>
      <c r="AA37" s="390"/>
      <c r="AB37" s="390"/>
      <c r="AC37" s="390"/>
      <c r="AD37" s="390"/>
      <c r="AE37" s="390"/>
      <c r="AF37" s="390"/>
      <c r="AG37" s="390"/>
      <c r="AH37" s="390"/>
      <c r="AI37" s="391"/>
      <c r="AK37" s="437"/>
      <c r="AL37" s="437"/>
      <c r="AM37" s="437"/>
      <c r="AN37" s="437"/>
      <c r="AO37" s="437"/>
      <c r="AP37" s="437"/>
      <c r="AQ37" s="437"/>
      <c r="AR37" s="437"/>
      <c r="AS37" s="437"/>
      <c r="AT37" s="437"/>
      <c r="AU37" s="437"/>
      <c r="AV37" s="437"/>
      <c r="AW37" s="437"/>
      <c r="AX37" s="437"/>
      <c r="AY37" s="437"/>
      <c r="AZ37" s="437"/>
      <c r="BA37" s="437"/>
      <c r="BB37" s="437"/>
      <c r="BC37" s="437"/>
      <c r="BD37" s="437"/>
      <c r="BE37" s="437"/>
      <c r="BF37" s="437"/>
      <c r="BG37" s="437"/>
      <c r="BH37" s="437"/>
      <c r="BI37" s="437"/>
      <c r="BJ37" s="437"/>
      <c r="BK37" s="437"/>
      <c r="BL37" s="437"/>
      <c r="BM37" s="393"/>
      <c r="BO37" s="399">
        <f t="shared" si="3"/>
        <v>0</v>
      </c>
      <c r="BP37" s="399">
        <f t="shared" si="4"/>
        <v>0</v>
      </c>
      <c r="BQ37" s="399">
        <f t="shared" si="5"/>
        <v>0</v>
      </c>
      <c r="BR37" s="399">
        <f t="shared" si="6"/>
        <v>0</v>
      </c>
      <c r="BS37" s="399">
        <f t="shared" si="7"/>
        <v>0</v>
      </c>
      <c r="BT37" s="399">
        <f t="shared" si="8"/>
        <v>0</v>
      </c>
      <c r="BU37" s="399">
        <f t="shared" si="9"/>
        <v>0</v>
      </c>
      <c r="BV37" s="399">
        <f t="shared" si="10"/>
        <v>0</v>
      </c>
      <c r="BW37" s="399">
        <f t="shared" si="11"/>
        <v>0</v>
      </c>
      <c r="BX37" s="399">
        <f t="shared" si="12"/>
        <v>0</v>
      </c>
      <c r="BY37" s="399">
        <f t="shared" si="13"/>
        <v>0</v>
      </c>
      <c r="BZ37" s="399">
        <f t="shared" si="14"/>
        <v>0</v>
      </c>
      <c r="CA37" s="399">
        <f t="shared" si="15"/>
        <v>0</v>
      </c>
      <c r="CB37" s="399">
        <f t="shared" si="16"/>
        <v>0</v>
      </c>
      <c r="CC37" s="399">
        <f t="shared" si="17"/>
        <v>0</v>
      </c>
      <c r="CD37" s="399">
        <f t="shared" si="18"/>
        <v>0</v>
      </c>
      <c r="CE37" s="399">
        <f t="shared" si="19"/>
        <v>0</v>
      </c>
      <c r="CF37" s="399">
        <f t="shared" si="20"/>
        <v>0</v>
      </c>
      <c r="CG37" s="399">
        <f t="shared" si="21"/>
        <v>0</v>
      </c>
      <c r="CH37" s="399">
        <f t="shared" si="22"/>
        <v>0</v>
      </c>
      <c r="CI37" s="399">
        <f t="shared" si="23"/>
        <v>0</v>
      </c>
      <c r="CJ37" s="399">
        <f t="shared" si="24"/>
        <v>0</v>
      </c>
      <c r="CK37" s="399">
        <f t="shared" si="25"/>
        <v>0</v>
      </c>
      <c r="CL37" s="399">
        <f t="shared" si="26"/>
        <v>0</v>
      </c>
      <c r="CM37" s="399">
        <f t="shared" si="27"/>
        <v>0</v>
      </c>
      <c r="CN37" s="399">
        <f t="shared" si="28"/>
        <v>0</v>
      </c>
      <c r="CO37" s="399">
        <f t="shared" si="29"/>
        <v>0</v>
      </c>
      <c r="CP37" s="399">
        <f t="shared" si="30"/>
        <v>0</v>
      </c>
      <c r="CQ37" s="423">
        <f t="shared" si="31"/>
        <v>0</v>
      </c>
      <c r="CS37" s="394" t="e">
        <f t="shared" si="32"/>
        <v>#DIV/0!</v>
      </c>
    </row>
    <row r="38" spans="3:97">
      <c r="C38" s="107"/>
      <c r="D38" s="395"/>
      <c r="E38" s="84"/>
      <c r="F38" s="84"/>
      <c r="G38" s="389"/>
      <c r="H38" s="390"/>
      <c r="I38" s="390"/>
      <c r="J38" s="390"/>
      <c r="K38" s="390"/>
      <c r="L38" s="390"/>
      <c r="M38" s="390"/>
      <c r="N38" s="390"/>
      <c r="O38" s="390"/>
      <c r="P38" s="390"/>
      <c r="Q38" s="390"/>
      <c r="R38" s="390"/>
      <c r="S38" s="390"/>
      <c r="T38" s="390"/>
      <c r="U38" s="390"/>
      <c r="V38" s="390"/>
      <c r="W38" s="390"/>
      <c r="X38" s="390"/>
      <c r="Y38" s="390"/>
      <c r="Z38" s="390"/>
      <c r="AA38" s="390"/>
      <c r="AB38" s="390"/>
      <c r="AC38" s="390"/>
      <c r="AD38" s="390"/>
      <c r="AE38" s="390"/>
      <c r="AF38" s="390"/>
      <c r="AG38" s="390"/>
      <c r="AH38" s="390"/>
      <c r="AI38" s="391"/>
      <c r="AK38" s="437"/>
      <c r="AL38" s="437"/>
      <c r="AM38" s="437"/>
      <c r="AN38" s="437"/>
      <c r="AO38" s="437"/>
      <c r="AP38" s="437"/>
      <c r="AQ38" s="437"/>
      <c r="AR38" s="437"/>
      <c r="AS38" s="437"/>
      <c r="AT38" s="437"/>
      <c r="AU38" s="437"/>
      <c r="AV38" s="437"/>
      <c r="AW38" s="437"/>
      <c r="AX38" s="437"/>
      <c r="AY38" s="437"/>
      <c r="AZ38" s="437"/>
      <c r="BA38" s="437"/>
      <c r="BB38" s="437"/>
      <c r="BC38" s="437"/>
      <c r="BD38" s="437"/>
      <c r="BE38" s="437"/>
      <c r="BF38" s="437"/>
      <c r="BG38" s="437"/>
      <c r="BH38" s="437"/>
      <c r="BI38" s="437"/>
      <c r="BJ38" s="437"/>
      <c r="BK38" s="437"/>
      <c r="BL38" s="437"/>
      <c r="BM38" s="393"/>
      <c r="BO38" s="399">
        <f t="shared" si="3"/>
        <v>0</v>
      </c>
      <c r="BP38" s="399">
        <f t="shared" si="4"/>
        <v>0</v>
      </c>
      <c r="BQ38" s="399">
        <f t="shared" si="5"/>
        <v>0</v>
      </c>
      <c r="BR38" s="399">
        <f t="shared" si="6"/>
        <v>0</v>
      </c>
      <c r="BS38" s="399">
        <f t="shared" si="7"/>
        <v>0</v>
      </c>
      <c r="BT38" s="399">
        <f t="shared" si="8"/>
        <v>0</v>
      </c>
      <c r="BU38" s="399">
        <f t="shared" si="9"/>
        <v>0</v>
      </c>
      <c r="BV38" s="399">
        <f t="shared" si="10"/>
        <v>0</v>
      </c>
      <c r="BW38" s="399">
        <f t="shared" si="11"/>
        <v>0</v>
      </c>
      <c r="BX38" s="399">
        <f t="shared" si="12"/>
        <v>0</v>
      </c>
      <c r="BY38" s="399">
        <f t="shared" si="13"/>
        <v>0</v>
      </c>
      <c r="BZ38" s="399">
        <f t="shared" si="14"/>
        <v>0</v>
      </c>
      <c r="CA38" s="399">
        <f t="shared" si="15"/>
        <v>0</v>
      </c>
      <c r="CB38" s="399">
        <f t="shared" si="16"/>
        <v>0</v>
      </c>
      <c r="CC38" s="399">
        <f t="shared" si="17"/>
        <v>0</v>
      </c>
      <c r="CD38" s="399">
        <f t="shared" si="18"/>
        <v>0</v>
      </c>
      <c r="CE38" s="399">
        <f t="shared" si="19"/>
        <v>0</v>
      </c>
      <c r="CF38" s="399">
        <f t="shared" si="20"/>
        <v>0</v>
      </c>
      <c r="CG38" s="399">
        <f t="shared" si="21"/>
        <v>0</v>
      </c>
      <c r="CH38" s="399">
        <f t="shared" si="22"/>
        <v>0</v>
      </c>
      <c r="CI38" s="399">
        <f t="shared" si="23"/>
        <v>0</v>
      </c>
      <c r="CJ38" s="399">
        <f t="shared" si="24"/>
        <v>0</v>
      </c>
      <c r="CK38" s="399">
        <f t="shared" si="25"/>
        <v>0</v>
      </c>
      <c r="CL38" s="399">
        <f t="shared" si="26"/>
        <v>0</v>
      </c>
      <c r="CM38" s="399">
        <f t="shared" si="27"/>
        <v>0</v>
      </c>
      <c r="CN38" s="399">
        <f t="shared" si="28"/>
        <v>0</v>
      </c>
      <c r="CO38" s="399">
        <f t="shared" si="29"/>
        <v>0</v>
      </c>
      <c r="CP38" s="399">
        <f t="shared" si="30"/>
        <v>0</v>
      </c>
      <c r="CQ38" s="423">
        <f t="shared" si="31"/>
        <v>0</v>
      </c>
      <c r="CS38" s="394" t="e">
        <f t="shared" si="32"/>
        <v>#DIV/0!</v>
      </c>
    </row>
    <row r="39" spans="3:97">
      <c r="C39" s="107"/>
      <c r="D39" s="395"/>
      <c r="E39" s="84"/>
      <c r="F39" s="84"/>
      <c r="G39" s="389"/>
      <c r="H39" s="390"/>
      <c r="I39" s="390"/>
      <c r="J39" s="390"/>
      <c r="K39" s="390"/>
      <c r="L39" s="390"/>
      <c r="M39" s="390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0"/>
      <c r="AG39" s="390"/>
      <c r="AH39" s="390"/>
      <c r="AI39" s="391"/>
      <c r="AK39" s="437"/>
      <c r="AL39" s="437"/>
      <c r="AM39" s="437"/>
      <c r="AN39" s="437"/>
      <c r="AO39" s="437"/>
      <c r="AP39" s="437"/>
      <c r="AQ39" s="437"/>
      <c r="AR39" s="437"/>
      <c r="AS39" s="437"/>
      <c r="AT39" s="437"/>
      <c r="AU39" s="437"/>
      <c r="AV39" s="437"/>
      <c r="AW39" s="437"/>
      <c r="AX39" s="437"/>
      <c r="AY39" s="437"/>
      <c r="AZ39" s="437"/>
      <c r="BA39" s="437"/>
      <c r="BB39" s="437"/>
      <c r="BC39" s="437"/>
      <c r="BD39" s="437"/>
      <c r="BE39" s="437"/>
      <c r="BF39" s="437"/>
      <c r="BG39" s="437"/>
      <c r="BH39" s="437"/>
      <c r="BI39" s="437"/>
      <c r="BJ39" s="437"/>
      <c r="BK39" s="437"/>
      <c r="BL39" s="437"/>
      <c r="BM39" s="393"/>
      <c r="BO39" s="399">
        <f t="shared" si="3"/>
        <v>0</v>
      </c>
      <c r="BP39" s="399">
        <f t="shared" si="4"/>
        <v>0</v>
      </c>
      <c r="BQ39" s="399">
        <f t="shared" si="5"/>
        <v>0</v>
      </c>
      <c r="BR39" s="399">
        <f t="shared" si="6"/>
        <v>0</v>
      </c>
      <c r="BS39" s="399">
        <f t="shared" si="7"/>
        <v>0</v>
      </c>
      <c r="BT39" s="399">
        <f t="shared" si="8"/>
        <v>0</v>
      </c>
      <c r="BU39" s="399">
        <f t="shared" si="9"/>
        <v>0</v>
      </c>
      <c r="BV39" s="399">
        <f t="shared" si="10"/>
        <v>0</v>
      </c>
      <c r="BW39" s="399">
        <f t="shared" si="11"/>
        <v>0</v>
      </c>
      <c r="BX39" s="399">
        <f t="shared" si="12"/>
        <v>0</v>
      </c>
      <c r="BY39" s="399">
        <f t="shared" si="13"/>
        <v>0</v>
      </c>
      <c r="BZ39" s="399">
        <f t="shared" si="14"/>
        <v>0</v>
      </c>
      <c r="CA39" s="399">
        <f t="shared" si="15"/>
        <v>0</v>
      </c>
      <c r="CB39" s="399">
        <f t="shared" si="16"/>
        <v>0</v>
      </c>
      <c r="CC39" s="399">
        <f t="shared" si="17"/>
        <v>0</v>
      </c>
      <c r="CD39" s="399">
        <f t="shared" si="18"/>
        <v>0</v>
      </c>
      <c r="CE39" s="399">
        <f t="shared" si="19"/>
        <v>0</v>
      </c>
      <c r="CF39" s="399">
        <f t="shared" si="20"/>
        <v>0</v>
      </c>
      <c r="CG39" s="399">
        <f t="shared" si="21"/>
        <v>0</v>
      </c>
      <c r="CH39" s="399">
        <f t="shared" si="22"/>
        <v>0</v>
      </c>
      <c r="CI39" s="399">
        <f t="shared" si="23"/>
        <v>0</v>
      </c>
      <c r="CJ39" s="399">
        <f t="shared" si="24"/>
        <v>0</v>
      </c>
      <c r="CK39" s="399">
        <f t="shared" si="25"/>
        <v>0</v>
      </c>
      <c r="CL39" s="399">
        <f t="shared" si="26"/>
        <v>0</v>
      </c>
      <c r="CM39" s="399">
        <f t="shared" si="27"/>
        <v>0</v>
      </c>
      <c r="CN39" s="399">
        <f t="shared" si="28"/>
        <v>0</v>
      </c>
      <c r="CO39" s="399">
        <f t="shared" si="29"/>
        <v>0</v>
      </c>
      <c r="CP39" s="399">
        <f t="shared" si="30"/>
        <v>0</v>
      </c>
      <c r="CQ39" s="423">
        <f t="shared" si="31"/>
        <v>0</v>
      </c>
      <c r="CS39" s="394" t="e">
        <f t="shared" si="32"/>
        <v>#DIV/0!</v>
      </c>
    </row>
    <row r="40" spans="3:97">
      <c r="C40" s="107"/>
      <c r="D40" s="395"/>
      <c r="E40" s="84"/>
      <c r="F40" s="84"/>
      <c r="G40" s="389"/>
      <c r="H40" s="390"/>
      <c r="I40" s="390"/>
      <c r="J40" s="390"/>
      <c r="K40" s="390"/>
      <c r="L40" s="390"/>
      <c r="M40" s="390"/>
      <c r="N40" s="390"/>
      <c r="O40" s="390"/>
      <c r="P40" s="390"/>
      <c r="Q40" s="390"/>
      <c r="R40" s="390"/>
      <c r="S40" s="390"/>
      <c r="T40" s="390"/>
      <c r="U40" s="390"/>
      <c r="V40" s="390"/>
      <c r="W40" s="390"/>
      <c r="X40" s="390"/>
      <c r="Y40" s="390"/>
      <c r="Z40" s="390"/>
      <c r="AA40" s="390"/>
      <c r="AB40" s="390"/>
      <c r="AC40" s="390"/>
      <c r="AD40" s="390"/>
      <c r="AE40" s="390"/>
      <c r="AF40" s="390"/>
      <c r="AG40" s="390"/>
      <c r="AH40" s="390"/>
      <c r="AI40" s="391"/>
      <c r="AK40" s="437"/>
      <c r="AL40" s="437"/>
      <c r="AM40" s="437"/>
      <c r="AN40" s="437"/>
      <c r="AO40" s="437"/>
      <c r="AP40" s="437"/>
      <c r="AQ40" s="437"/>
      <c r="AR40" s="437"/>
      <c r="AS40" s="437"/>
      <c r="AT40" s="437"/>
      <c r="AU40" s="437"/>
      <c r="AV40" s="437"/>
      <c r="AW40" s="437"/>
      <c r="AX40" s="437"/>
      <c r="AY40" s="437"/>
      <c r="AZ40" s="437"/>
      <c r="BA40" s="437"/>
      <c r="BB40" s="437"/>
      <c r="BC40" s="437"/>
      <c r="BD40" s="437"/>
      <c r="BE40" s="437"/>
      <c r="BF40" s="437"/>
      <c r="BG40" s="437"/>
      <c r="BH40" s="437"/>
      <c r="BI40" s="437"/>
      <c r="BJ40" s="437"/>
      <c r="BK40" s="437"/>
      <c r="BL40" s="437"/>
      <c r="BM40" s="393"/>
      <c r="BO40" s="399">
        <f t="shared" si="3"/>
        <v>0</v>
      </c>
      <c r="BP40" s="399">
        <f t="shared" si="4"/>
        <v>0</v>
      </c>
      <c r="BQ40" s="399">
        <f t="shared" si="5"/>
        <v>0</v>
      </c>
      <c r="BR40" s="399">
        <f t="shared" si="6"/>
        <v>0</v>
      </c>
      <c r="BS40" s="399">
        <f t="shared" si="7"/>
        <v>0</v>
      </c>
      <c r="BT40" s="399">
        <f t="shared" si="8"/>
        <v>0</v>
      </c>
      <c r="BU40" s="399">
        <f t="shared" si="9"/>
        <v>0</v>
      </c>
      <c r="BV40" s="399">
        <f t="shared" si="10"/>
        <v>0</v>
      </c>
      <c r="BW40" s="399">
        <f t="shared" si="11"/>
        <v>0</v>
      </c>
      <c r="BX40" s="399">
        <f t="shared" si="12"/>
        <v>0</v>
      </c>
      <c r="BY40" s="399">
        <f t="shared" si="13"/>
        <v>0</v>
      </c>
      <c r="BZ40" s="399">
        <f t="shared" si="14"/>
        <v>0</v>
      </c>
      <c r="CA40" s="399">
        <f t="shared" si="15"/>
        <v>0</v>
      </c>
      <c r="CB40" s="399">
        <f t="shared" si="16"/>
        <v>0</v>
      </c>
      <c r="CC40" s="399">
        <f t="shared" si="17"/>
        <v>0</v>
      </c>
      <c r="CD40" s="399">
        <f t="shared" si="18"/>
        <v>0</v>
      </c>
      <c r="CE40" s="399">
        <f t="shared" si="19"/>
        <v>0</v>
      </c>
      <c r="CF40" s="399">
        <f t="shared" si="20"/>
        <v>0</v>
      </c>
      <c r="CG40" s="399">
        <f t="shared" si="21"/>
        <v>0</v>
      </c>
      <c r="CH40" s="399">
        <f t="shared" si="22"/>
        <v>0</v>
      </c>
      <c r="CI40" s="399">
        <f t="shared" si="23"/>
        <v>0</v>
      </c>
      <c r="CJ40" s="399">
        <f t="shared" si="24"/>
        <v>0</v>
      </c>
      <c r="CK40" s="399">
        <f t="shared" si="25"/>
        <v>0</v>
      </c>
      <c r="CL40" s="399">
        <f t="shared" si="26"/>
        <v>0</v>
      </c>
      <c r="CM40" s="399">
        <f t="shared" si="27"/>
        <v>0</v>
      </c>
      <c r="CN40" s="399">
        <f t="shared" si="28"/>
        <v>0</v>
      </c>
      <c r="CO40" s="399">
        <f t="shared" si="29"/>
        <v>0</v>
      </c>
      <c r="CP40" s="399">
        <f t="shared" si="30"/>
        <v>0</v>
      </c>
      <c r="CQ40" s="423">
        <f t="shared" si="31"/>
        <v>0</v>
      </c>
      <c r="CS40" s="394" t="e">
        <f t="shared" si="32"/>
        <v>#DIV/0!</v>
      </c>
    </row>
    <row r="41" spans="3:97">
      <c r="C41" s="107"/>
      <c r="D41" s="395"/>
      <c r="E41" s="84"/>
      <c r="F41" s="84"/>
      <c r="G41" s="389"/>
      <c r="H41" s="390"/>
      <c r="I41" s="390"/>
      <c r="J41" s="390"/>
      <c r="K41" s="390"/>
      <c r="L41" s="390"/>
      <c r="M41" s="390"/>
      <c r="N41" s="390"/>
      <c r="O41" s="390"/>
      <c r="P41" s="390"/>
      <c r="Q41" s="390"/>
      <c r="R41" s="390"/>
      <c r="S41" s="390"/>
      <c r="T41" s="390"/>
      <c r="U41" s="390"/>
      <c r="V41" s="390"/>
      <c r="W41" s="390"/>
      <c r="X41" s="390"/>
      <c r="Y41" s="390"/>
      <c r="Z41" s="390"/>
      <c r="AA41" s="390"/>
      <c r="AB41" s="390"/>
      <c r="AC41" s="390"/>
      <c r="AD41" s="390"/>
      <c r="AE41" s="390"/>
      <c r="AF41" s="390"/>
      <c r="AG41" s="390"/>
      <c r="AH41" s="390"/>
      <c r="AI41" s="391"/>
      <c r="AK41" s="437"/>
      <c r="AL41" s="437"/>
      <c r="AM41" s="437"/>
      <c r="AN41" s="437"/>
      <c r="AO41" s="437"/>
      <c r="AP41" s="437"/>
      <c r="AQ41" s="437"/>
      <c r="AR41" s="437"/>
      <c r="AS41" s="437"/>
      <c r="AT41" s="437"/>
      <c r="AU41" s="437"/>
      <c r="AV41" s="437"/>
      <c r="AW41" s="437"/>
      <c r="AX41" s="437"/>
      <c r="AY41" s="437"/>
      <c r="AZ41" s="437"/>
      <c r="BA41" s="437"/>
      <c r="BB41" s="437"/>
      <c r="BC41" s="437"/>
      <c r="BD41" s="437"/>
      <c r="BE41" s="437"/>
      <c r="BF41" s="437"/>
      <c r="BG41" s="437"/>
      <c r="BH41" s="437"/>
      <c r="BI41" s="437"/>
      <c r="BJ41" s="437"/>
      <c r="BK41" s="437"/>
      <c r="BL41" s="437"/>
      <c r="BM41" s="393"/>
      <c r="BO41" s="399">
        <f t="shared" si="3"/>
        <v>0</v>
      </c>
      <c r="BP41" s="399">
        <f t="shared" si="4"/>
        <v>0</v>
      </c>
      <c r="BQ41" s="399">
        <f t="shared" si="5"/>
        <v>0</v>
      </c>
      <c r="BR41" s="399">
        <f t="shared" si="6"/>
        <v>0</v>
      </c>
      <c r="BS41" s="399">
        <f t="shared" si="7"/>
        <v>0</v>
      </c>
      <c r="BT41" s="399">
        <f t="shared" si="8"/>
        <v>0</v>
      </c>
      <c r="BU41" s="399">
        <f t="shared" si="9"/>
        <v>0</v>
      </c>
      <c r="BV41" s="399">
        <f t="shared" si="10"/>
        <v>0</v>
      </c>
      <c r="BW41" s="399">
        <f t="shared" si="11"/>
        <v>0</v>
      </c>
      <c r="BX41" s="399">
        <f t="shared" si="12"/>
        <v>0</v>
      </c>
      <c r="BY41" s="399">
        <f t="shared" si="13"/>
        <v>0</v>
      </c>
      <c r="BZ41" s="399">
        <f t="shared" si="14"/>
        <v>0</v>
      </c>
      <c r="CA41" s="399">
        <f t="shared" si="15"/>
        <v>0</v>
      </c>
      <c r="CB41" s="399">
        <f t="shared" si="16"/>
        <v>0</v>
      </c>
      <c r="CC41" s="399">
        <f t="shared" si="17"/>
        <v>0</v>
      </c>
      <c r="CD41" s="399">
        <f t="shared" si="18"/>
        <v>0</v>
      </c>
      <c r="CE41" s="399">
        <f t="shared" si="19"/>
        <v>0</v>
      </c>
      <c r="CF41" s="399">
        <f t="shared" si="20"/>
        <v>0</v>
      </c>
      <c r="CG41" s="399">
        <f t="shared" si="21"/>
        <v>0</v>
      </c>
      <c r="CH41" s="399">
        <f t="shared" si="22"/>
        <v>0</v>
      </c>
      <c r="CI41" s="399">
        <f t="shared" si="23"/>
        <v>0</v>
      </c>
      <c r="CJ41" s="399">
        <f t="shared" si="24"/>
        <v>0</v>
      </c>
      <c r="CK41" s="399">
        <f t="shared" si="25"/>
        <v>0</v>
      </c>
      <c r="CL41" s="399">
        <f t="shared" si="26"/>
        <v>0</v>
      </c>
      <c r="CM41" s="399">
        <f t="shared" si="27"/>
        <v>0</v>
      </c>
      <c r="CN41" s="399">
        <f t="shared" si="28"/>
        <v>0</v>
      </c>
      <c r="CO41" s="399">
        <f t="shared" si="29"/>
        <v>0</v>
      </c>
      <c r="CP41" s="399">
        <f t="shared" si="30"/>
        <v>0</v>
      </c>
      <c r="CQ41" s="423">
        <f t="shared" si="31"/>
        <v>0</v>
      </c>
      <c r="CS41" s="394" t="e">
        <f t="shared" si="32"/>
        <v>#DIV/0!</v>
      </c>
    </row>
    <row r="42" spans="3:97">
      <c r="C42" s="107"/>
      <c r="D42" s="395"/>
      <c r="E42" s="84"/>
      <c r="F42" s="84"/>
      <c r="G42" s="389"/>
      <c r="H42" s="390"/>
      <c r="I42" s="390"/>
      <c r="J42" s="390"/>
      <c r="K42" s="390"/>
      <c r="L42" s="390"/>
      <c r="M42" s="390"/>
      <c r="N42" s="390"/>
      <c r="O42" s="390"/>
      <c r="P42" s="390"/>
      <c r="Q42" s="390"/>
      <c r="R42" s="390"/>
      <c r="S42" s="390"/>
      <c r="T42" s="390"/>
      <c r="U42" s="390"/>
      <c r="V42" s="390"/>
      <c r="W42" s="390"/>
      <c r="X42" s="390"/>
      <c r="Y42" s="390"/>
      <c r="Z42" s="390"/>
      <c r="AA42" s="390"/>
      <c r="AB42" s="390"/>
      <c r="AC42" s="390"/>
      <c r="AD42" s="390"/>
      <c r="AE42" s="390"/>
      <c r="AF42" s="390"/>
      <c r="AG42" s="390"/>
      <c r="AH42" s="390"/>
      <c r="AI42" s="391"/>
      <c r="AK42" s="437"/>
      <c r="AL42" s="437"/>
      <c r="AM42" s="437"/>
      <c r="AN42" s="437"/>
      <c r="AO42" s="437"/>
      <c r="AP42" s="437"/>
      <c r="AQ42" s="437"/>
      <c r="AR42" s="437"/>
      <c r="AS42" s="437"/>
      <c r="AT42" s="437"/>
      <c r="AU42" s="437"/>
      <c r="AV42" s="437"/>
      <c r="AW42" s="437"/>
      <c r="AX42" s="437"/>
      <c r="AY42" s="437"/>
      <c r="AZ42" s="437"/>
      <c r="BA42" s="437"/>
      <c r="BB42" s="437"/>
      <c r="BC42" s="437"/>
      <c r="BD42" s="437"/>
      <c r="BE42" s="437"/>
      <c r="BF42" s="437"/>
      <c r="BG42" s="437"/>
      <c r="BH42" s="437"/>
      <c r="BI42" s="437"/>
      <c r="BJ42" s="437"/>
      <c r="BK42" s="437"/>
      <c r="BL42" s="437"/>
      <c r="BM42" s="393"/>
      <c r="BO42" s="399">
        <f t="shared" si="3"/>
        <v>0</v>
      </c>
      <c r="BP42" s="399">
        <f t="shared" si="4"/>
        <v>0</v>
      </c>
      <c r="BQ42" s="399">
        <f t="shared" si="5"/>
        <v>0</v>
      </c>
      <c r="BR42" s="399">
        <f t="shared" si="6"/>
        <v>0</v>
      </c>
      <c r="BS42" s="399">
        <f t="shared" si="7"/>
        <v>0</v>
      </c>
      <c r="BT42" s="399">
        <f t="shared" si="8"/>
        <v>0</v>
      </c>
      <c r="BU42" s="399">
        <f t="shared" si="9"/>
        <v>0</v>
      </c>
      <c r="BV42" s="399">
        <f t="shared" si="10"/>
        <v>0</v>
      </c>
      <c r="BW42" s="399">
        <f t="shared" si="11"/>
        <v>0</v>
      </c>
      <c r="BX42" s="399">
        <f t="shared" si="12"/>
        <v>0</v>
      </c>
      <c r="BY42" s="399">
        <f t="shared" si="13"/>
        <v>0</v>
      </c>
      <c r="BZ42" s="399">
        <f t="shared" si="14"/>
        <v>0</v>
      </c>
      <c r="CA42" s="399">
        <f t="shared" si="15"/>
        <v>0</v>
      </c>
      <c r="CB42" s="399">
        <f t="shared" si="16"/>
        <v>0</v>
      </c>
      <c r="CC42" s="399">
        <f t="shared" si="17"/>
        <v>0</v>
      </c>
      <c r="CD42" s="399">
        <f t="shared" si="18"/>
        <v>0</v>
      </c>
      <c r="CE42" s="399">
        <f t="shared" si="19"/>
        <v>0</v>
      </c>
      <c r="CF42" s="399">
        <f t="shared" si="20"/>
        <v>0</v>
      </c>
      <c r="CG42" s="399">
        <f t="shared" si="21"/>
        <v>0</v>
      </c>
      <c r="CH42" s="399">
        <f t="shared" si="22"/>
        <v>0</v>
      </c>
      <c r="CI42" s="399">
        <f t="shared" si="23"/>
        <v>0</v>
      </c>
      <c r="CJ42" s="399">
        <f t="shared" si="24"/>
        <v>0</v>
      </c>
      <c r="CK42" s="399">
        <f t="shared" si="25"/>
        <v>0</v>
      </c>
      <c r="CL42" s="399">
        <f t="shared" si="26"/>
        <v>0</v>
      </c>
      <c r="CM42" s="399">
        <f t="shared" si="27"/>
        <v>0</v>
      </c>
      <c r="CN42" s="399">
        <f t="shared" si="28"/>
        <v>0</v>
      </c>
      <c r="CO42" s="399">
        <f t="shared" si="29"/>
        <v>0</v>
      </c>
      <c r="CP42" s="399">
        <f t="shared" si="30"/>
        <v>0</v>
      </c>
      <c r="CQ42" s="423">
        <f t="shared" si="31"/>
        <v>0</v>
      </c>
      <c r="CS42" s="394" t="e">
        <f t="shared" si="32"/>
        <v>#DIV/0!</v>
      </c>
    </row>
    <row r="43" spans="3:97">
      <c r="C43" s="107"/>
      <c r="D43" s="395"/>
      <c r="E43" s="84"/>
      <c r="F43" s="84"/>
      <c r="G43" s="389"/>
      <c r="H43" s="390"/>
      <c r="I43" s="390"/>
      <c r="J43" s="390"/>
      <c r="K43" s="390"/>
      <c r="L43" s="390"/>
      <c r="M43" s="390"/>
      <c r="N43" s="390"/>
      <c r="O43" s="390"/>
      <c r="P43" s="390"/>
      <c r="Q43" s="390"/>
      <c r="R43" s="390"/>
      <c r="S43" s="390"/>
      <c r="T43" s="390"/>
      <c r="U43" s="390"/>
      <c r="V43" s="390"/>
      <c r="W43" s="390"/>
      <c r="X43" s="390"/>
      <c r="Y43" s="390"/>
      <c r="Z43" s="390"/>
      <c r="AA43" s="390"/>
      <c r="AB43" s="390"/>
      <c r="AC43" s="390"/>
      <c r="AD43" s="390"/>
      <c r="AE43" s="390"/>
      <c r="AF43" s="390"/>
      <c r="AG43" s="390"/>
      <c r="AH43" s="390"/>
      <c r="AI43" s="391"/>
      <c r="AK43" s="437"/>
      <c r="AL43" s="437"/>
      <c r="AM43" s="437"/>
      <c r="AN43" s="437"/>
      <c r="AO43" s="437"/>
      <c r="AP43" s="437"/>
      <c r="AQ43" s="437"/>
      <c r="AR43" s="437"/>
      <c r="AS43" s="437"/>
      <c r="AT43" s="437"/>
      <c r="AU43" s="437"/>
      <c r="AV43" s="437"/>
      <c r="AW43" s="437"/>
      <c r="AX43" s="437"/>
      <c r="AY43" s="437"/>
      <c r="AZ43" s="437"/>
      <c r="BA43" s="437"/>
      <c r="BB43" s="437"/>
      <c r="BC43" s="437"/>
      <c r="BD43" s="437"/>
      <c r="BE43" s="437"/>
      <c r="BF43" s="437"/>
      <c r="BG43" s="437"/>
      <c r="BH43" s="437"/>
      <c r="BI43" s="437"/>
      <c r="BJ43" s="437"/>
      <c r="BK43" s="437"/>
      <c r="BL43" s="437"/>
      <c r="BM43" s="393"/>
      <c r="BO43" s="399">
        <f t="shared" si="3"/>
        <v>0</v>
      </c>
      <c r="BP43" s="399">
        <f t="shared" si="4"/>
        <v>0</v>
      </c>
      <c r="BQ43" s="399">
        <f t="shared" si="5"/>
        <v>0</v>
      </c>
      <c r="BR43" s="399">
        <f t="shared" si="6"/>
        <v>0</v>
      </c>
      <c r="BS43" s="399">
        <f t="shared" si="7"/>
        <v>0</v>
      </c>
      <c r="BT43" s="399">
        <f t="shared" si="8"/>
        <v>0</v>
      </c>
      <c r="BU43" s="399">
        <f t="shared" si="9"/>
        <v>0</v>
      </c>
      <c r="BV43" s="399">
        <f t="shared" si="10"/>
        <v>0</v>
      </c>
      <c r="BW43" s="399">
        <f t="shared" si="11"/>
        <v>0</v>
      </c>
      <c r="BX43" s="399">
        <f t="shared" si="12"/>
        <v>0</v>
      </c>
      <c r="BY43" s="399">
        <f t="shared" si="13"/>
        <v>0</v>
      </c>
      <c r="BZ43" s="399">
        <f t="shared" si="14"/>
        <v>0</v>
      </c>
      <c r="CA43" s="399">
        <f t="shared" si="15"/>
        <v>0</v>
      </c>
      <c r="CB43" s="399">
        <f t="shared" si="16"/>
        <v>0</v>
      </c>
      <c r="CC43" s="399">
        <f t="shared" si="17"/>
        <v>0</v>
      </c>
      <c r="CD43" s="399">
        <f t="shared" si="18"/>
        <v>0</v>
      </c>
      <c r="CE43" s="399">
        <f t="shared" si="19"/>
        <v>0</v>
      </c>
      <c r="CF43" s="399">
        <f t="shared" si="20"/>
        <v>0</v>
      </c>
      <c r="CG43" s="399">
        <f t="shared" si="21"/>
        <v>0</v>
      </c>
      <c r="CH43" s="399">
        <f t="shared" si="22"/>
        <v>0</v>
      </c>
      <c r="CI43" s="399">
        <f t="shared" si="23"/>
        <v>0</v>
      </c>
      <c r="CJ43" s="399">
        <f t="shared" si="24"/>
        <v>0</v>
      </c>
      <c r="CK43" s="399">
        <f t="shared" si="25"/>
        <v>0</v>
      </c>
      <c r="CL43" s="399">
        <f t="shared" si="26"/>
        <v>0</v>
      </c>
      <c r="CM43" s="399">
        <f t="shared" si="27"/>
        <v>0</v>
      </c>
      <c r="CN43" s="399">
        <f t="shared" si="28"/>
        <v>0</v>
      </c>
      <c r="CO43" s="399">
        <f t="shared" si="29"/>
        <v>0</v>
      </c>
      <c r="CP43" s="399">
        <f t="shared" si="30"/>
        <v>0</v>
      </c>
      <c r="CQ43" s="423">
        <f t="shared" si="31"/>
        <v>0</v>
      </c>
      <c r="CS43" s="394" t="e">
        <f t="shared" si="32"/>
        <v>#DIV/0!</v>
      </c>
    </row>
    <row r="44" spans="3:97">
      <c r="C44" s="107"/>
      <c r="D44" s="395"/>
      <c r="E44" s="84"/>
      <c r="F44" s="84"/>
      <c r="G44" s="389"/>
      <c r="H44" s="390"/>
      <c r="I44" s="390"/>
      <c r="J44" s="390"/>
      <c r="K44" s="390"/>
      <c r="L44" s="390"/>
      <c r="M44" s="390"/>
      <c r="N44" s="390"/>
      <c r="O44" s="390"/>
      <c r="P44" s="390"/>
      <c r="Q44" s="390"/>
      <c r="R44" s="390"/>
      <c r="S44" s="390"/>
      <c r="T44" s="390"/>
      <c r="U44" s="390"/>
      <c r="V44" s="390"/>
      <c r="W44" s="390"/>
      <c r="X44" s="390"/>
      <c r="Y44" s="390"/>
      <c r="Z44" s="390"/>
      <c r="AA44" s="390"/>
      <c r="AB44" s="390"/>
      <c r="AC44" s="390"/>
      <c r="AD44" s="390"/>
      <c r="AE44" s="390"/>
      <c r="AF44" s="390"/>
      <c r="AG44" s="390"/>
      <c r="AH44" s="390"/>
      <c r="AI44" s="391"/>
      <c r="AK44" s="437"/>
      <c r="AL44" s="437"/>
      <c r="AM44" s="437"/>
      <c r="AN44" s="437"/>
      <c r="AO44" s="437"/>
      <c r="AP44" s="437"/>
      <c r="AQ44" s="437"/>
      <c r="AR44" s="437"/>
      <c r="AS44" s="437"/>
      <c r="AT44" s="437"/>
      <c r="AU44" s="437"/>
      <c r="AV44" s="437"/>
      <c r="AW44" s="437"/>
      <c r="AX44" s="437"/>
      <c r="AY44" s="437"/>
      <c r="AZ44" s="437"/>
      <c r="BA44" s="437"/>
      <c r="BB44" s="437"/>
      <c r="BC44" s="437"/>
      <c r="BD44" s="437"/>
      <c r="BE44" s="437"/>
      <c r="BF44" s="437"/>
      <c r="BG44" s="437"/>
      <c r="BH44" s="437"/>
      <c r="BI44" s="437"/>
      <c r="BJ44" s="437"/>
      <c r="BK44" s="437"/>
      <c r="BL44" s="437"/>
      <c r="BM44" s="393"/>
      <c r="BO44" s="399">
        <f t="shared" si="3"/>
        <v>0</v>
      </c>
      <c r="BP44" s="399">
        <f t="shared" si="4"/>
        <v>0</v>
      </c>
      <c r="BQ44" s="399">
        <f t="shared" si="5"/>
        <v>0</v>
      </c>
      <c r="BR44" s="399">
        <f t="shared" si="6"/>
        <v>0</v>
      </c>
      <c r="BS44" s="399">
        <f t="shared" si="7"/>
        <v>0</v>
      </c>
      <c r="BT44" s="399">
        <f t="shared" si="8"/>
        <v>0</v>
      </c>
      <c r="BU44" s="399">
        <f t="shared" si="9"/>
        <v>0</v>
      </c>
      <c r="BV44" s="399">
        <f t="shared" si="10"/>
        <v>0</v>
      </c>
      <c r="BW44" s="399">
        <f t="shared" si="11"/>
        <v>0</v>
      </c>
      <c r="BX44" s="399">
        <f t="shared" si="12"/>
        <v>0</v>
      </c>
      <c r="BY44" s="399">
        <f t="shared" si="13"/>
        <v>0</v>
      </c>
      <c r="BZ44" s="399">
        <f t="shared" si="14"/>
        <v>0</v>
      </c>
      <c r="CA44" s="399">
        <f t="shared" si="15"/>
        <v>0</v>
      </c>
      <c r="CB44" s="399">
        <f t="shared" si="16"/>
        <v>0</v>
      </c>
      <c r="CC44" s="399">
        <f t="shared" si="17"/>
        <v>0</v>
      </c>
      <c r="CD44" s="399">
        <f t="shared" si="18"/>
        <v>0</v>
      </c>
      <c r="CE44" s="399">
        <f t="shared" si="19"/>
        <v>0</v>
      </c>
      <c r="CF44" s="399">
        <f t="shared" si="20"/>
        <v>0</v>
      </c>
      <c r="CG44" s="399">
        <f t="shared" si="21"/>
        <v>0</v>
      </c>
      <c r="CH44" s="399">
        <f t="shared" si="22"/>
        <v>0</v>
      </c>
      <c r="CI44" s="399">
        <f t="shared" si="23"/>
        <v>0</v>
      </c>
      <c r="CJ44" s="399">
        <f t="shared" si="24"/>
        <v>0</v>
      </c>
      <c r="CK44" s="399">
        <f t="shared" si="25"/>
        <v>0</v>
      </c>
      <c r="CL44" s="399">
        <f t="shared" si="26"/>
        <v>0</v>
      </c>
      <c r="CM44" s="399">
        <f t="shared" si="27"/>
        <v>0</v>
      </c>
      <c r="CN44" s="399">
        <f t="shared" si="28"/>
        <v>0</v>
      </c>
      <c r="CO44" s="399">
        <f t="shared" si="29"/>
        <v>0</v>
      </c>
      <c r="CP44" s="399">
        <f t="shared" si="30"/>
        <v>0</v>
      </c>
      <c r="CQ44" s="423">
        <f t="shared" si="31"/>
        <v>0</v>
      </c>
      <c r="CS44" s="394" t="e">
        <f t="shared" si="32"/>
        <v>#DIV/0!</v>
      </c>
    </row>
    <row r="45" spans="3:97">
      <c r="C45" s="107"/>
      <c r="D45" s="395"/>
      <c r="E45" s="84"/>
      <c r="F45" s="84"/>
      <c r="G45" s="389"/>
      <c r="H45" s="390"/>
      <c r="I45" s="390"/>
      <c r="J45" s="390"/>
      <c r="K45" s="390"/>
      <c r="L45" s="390"/>
      <c r="M45" s="390"/>
      <c r="N45" s="390"/>
      <c r="O45" s="390"/>
      <c r="P45" s="390"/>
      <c r="Q45" s="390"/>
      <c r="R45" s="390"/>
      <c r="S45" s="390"/>
      <c r="T45" s="390"/>
      <c r="U45" s="390"/>
      <c r="V45" s="390"/>
      <c r="W45" s="390"/>
      <c r="X45" s="390"/>
      <c r="Y45" s="390"/>
      <c r="Z45" s="390"/>
      <c r="AA45" s="390"/>
      <c r="AB45" s="390"/>
      <c r="AC45" s="390"/>
      <c r="AD45" s="390"/>
      <c r="AE45" s="390"/>
      <c r="AF45" s="390"/>
      <c r="AG45" s="390"/>
      <c r="AH45" s="390"/>
      <c r="AI45" s="391"/>
      <c r="AK45" s="437"/>
      <c r="AL45" s="437"/>
      <c r="AM45" s="437"/>
      <c r="AN45" s="437"/>
      <c r="AO45" s="437"/>
      <c r="AP45" s="437"/>
      <c r="AQ45" s="437"/>
      <c r="AR45" s="437"/>
      <c r="AS45" s="437"/>
      <c r="AT45" s="437"/>
      <c r="AU45" s="437"/>
      <c r="AV45" s="437"/>
      <c r="AW45" s="437"/>
      <c r="AX45" s="437"/>
      <c r="AY45" s="437"/>
      <c r="AZ45" s="437"/>
      <c r="BA45" s="437"/>
      <c r="BB45" s="437"/>
      <c r="BC45" s="437"/>
      <c r="BD45" s="437"/>
      <c r="BE45" s="437"/>
      <c r="BF45" s="437"/>
      <c r="BG45" s="437"/>
      <c r="BH45" s="437"/>
      <c r="BI45" s="437"/>
      <c r="BJ45" s="437"/>
      <c r="BK45" s="437"/>
      <c r="BL45" s="437"/>
      <c r="BM45" s="393"/>
      <c r="BO45" s="399">
        <f t="shared" si="3"/>
        <v>0</v>
      </c>
      <c r="BP45" s="399">
        <f t="shared" si="4"/>
        <v>0</v>
      </c>
      <c r="BQ45" s="399">
        <f t="shared" si="5"/>
        <v>0</v>
      </c>
      <c r="BR45" s="399">
        <f t="shared" si="6"/>
        <v>0</v>
      </c>
      <c r="BS45" s="399">
        <f t="shared" si="7"/>
        <v>0</v>
      </c>
      <c r="BT45" s="399">
        <f t="shared" si="8"/>
        <v>0</v>
      </c>
      <c r="BU45" s="399">
        <f t="shared" si="9"/>
        <v>0</v>
      </c>
      <c r="BV45" s="399">
        <f t="shared" si="10"/>
        <v>0</v>
      </c>
      <c r="BW45" s="399">
        <f t="shared" si="11"/>
        <v>0</v>
      </c>
      <c r="BX45" s="399">
        <f t="shared" si="12"/>
        <v>0</v>
      </c>
      <c r="BY45" s="399">
        <f t="shared" si="13"/>
        <v>0</v>
      </c>
      <c r="BZ45" s="399">
        <f t="shared" si="14"/>
        <v>0</v>
      </c>
      <c r="CA45" s="399">
        <f t="shared" si="15"/>
        <v>0</v>
      </c>
      <c r="CB45" s="399">
        <f t="shared" si="16"/>
        <v>0</v>
      </c>
      <c r="CC45" s="399">
        <f t="shared" si="17"/>
        <v>0</v>
      </c>
      <c r="CD45" s="399">
        <f t="shared" si="18"/>
        <v>0</v>
      </c>
      <c r="CE45" s="399">
        <f t="shared" si="19"/>
        <v>0</v>
      </c>
      <c r="CF45" s="399">
        <f t="shared" si="20"/>
        <v>0</v>
      </c>
      <c r="CG45" s="399">
        <f t="shared" si="21"/>
        <v>0</v>
      </c>
      <c r="CH45" s="399">
        <f t="shared" si="22"/>
        <v>0</v>
      </c>
      <c r="CI45" s="399">
        <f t="shared" si="23"/>
        <v>0</v>
      </c>
      <c r="CJ45" s="399">
        <f t="shared" si="24"/>
        <v>0</v>
      </c>
      <c r="CK45" s="399">
        <f t="shared" si="25"/>
        <v>0</v>
      </c>
      <c r="CL45" s="399">
        <f t="shared" si="26"/>
        <v>0</v>
      </c>
      <c r="CM45" s="399">
        <f t="shared" si="27"/>
        <v>0</v>
      </c>
      <c r="CN45" s="399">
        <f t="shared" si="28"/>
        <v>0</v>
      </c>
      <c r="CO45" s="399">
        <f t="shared" si="29"/>
        <v>0</v>
      </c>
      <c r="CP45" s="399">
        <f t="shared" si="30"/>
        <v>0</v>
      </c>
      <c r="CQ45" s="423">
        <f t="shared" si="31"/>
        <v>0</v>
      </c>
      <c r="CS45" s="394" t="e">
        <f t="shared" si="32"/>
        <v>#DIV/0!</v>
      </c>
    </row>
    <row r="46" spans="3:97">
      <c r="C46" s="107"/>
      <c r="D46" s="395"/>
      <c r="E46" s="84"/>
      <c r="F46" s="84"/>
      <c r="G46" s="389"/>
      <c r="H46" s="390"/>
      <c r="I46" s="390"/>
      <c r="J46" s="390"/>
      <c r="K46" s="390"/>
      <c r="L46" s="390"/>
      <c r="M46" s="390"/>
      <c r="N46" s="390"/>
      <c r="O46" s="390"/>
      <c r="P46" s="390"/>
      <c r="Q46" s="390"/>
      <c r="R46" s="390"/>
      <c r="S46" s="390"/>
      <c r="T46" s="390"/>
      <c r="U46" s="390"/>
      <c r="V46" s="390"/>
      <c r="W46" s="390"/>
      <c r="X46" s="390"/>
      <c r="Y46" s="390"/>
      <c r="Z46" s="390"/>
      <c r="AA46" s="390"/>
      <c r="AB46" s="390"/>
      <c r="AC46" s="390"/>
      <c r="AD46" s="390"/>
      <c r="AE46" s="390"/>
      <c r="AF46" s="390"/>
      <c r="AG46" s="390"/>
      <c r="AH46" s="390"/>
      <c r="AI46" s="391"/>
      <c r="AK46" s="437"/>
      <c r="AL46" s="437"/>
      <c r="AM46" s="437"/>
      <c r="AN46" s="437"/>
      <c r="AO46" s="437"/>
      <c r="AP46" s="437"/>
      <c r="AQ46" s="437"/>
      <c r="AR46" s="437"/>
      <c r="AS46" s="437"/>
      <c r="AT46" s="437"/>
      <c r="AU46" s="437"/>
      <c r="AV46" s="437"/>
      <c r="AW46" s="437"/>
      <c r="AX46" s="437"/>
      <c r="AY46" s="437"/>
      <c r="AZ46" s="437"/>
      <c r="BA46" s="437"/>
      <c r="BB46" s="437"/>
      <c r="BC46" s="437"/>
      <c r="BD46" s="437"/>
      <c r="BE46" s="437"/>
      <c r="BF46" s="437"/>
      <c r="BG46" s="437"/>
      <c r="BH46" s="437"/>
      <c r="BI46" s="437"/>
      <c r="BJ46" s="437"/>
      <c r="BK46" s="437"/>
      <c r="BL46" s="437"/>
      <c r="BM46" s="393"/>
      <c r="BO46" s="399">
        <f t="shared" si="3"/>
        <v>0</v>
      </c>
      <c r="BP46" s="399">
        <f t="shared" si="4"/>
        <v>0</v>
      </c>
      <c r="BQ46" s="399">
        <f t="shared" si="5"/>
        <v>0</v>
      </c>
      <c r="BR46" s="399">
        <f t="shared" si="6"/>
        <v>0</v>
      </c>
      <c r="BS46" s="399">
        <f t="shared" si="7"/>
        <v>0</v>
      </c>
      <c r="BT46" s="399">
        <f t="shared" si="8"/>
        <v>0</v>
      </c>
      <c r="BU46" s="399">
        <f t="shared" si="9"/>
        <v>0</v>
      </c>
      <c r="BV46" s="399">
        <f t="shared" si="10"/>
        <v>0</v>
      </c>
      <c r="BW46" s="399">
        <f t="shared" si="11"/>
        <v>0</v>
      </c>
      <c r="BX46" s="399">
        <f t="shared" si="12"/>
        <v>0</v>
      </c>
      <c r="BY46" s="399">
        <f t="shared" si="13"/>
        <v>0</v>
      </c>
      <c r="BZ46" s="399">
        <f t="shared" si="14"/>
        <v>0</v>
      </c>
      <c r="CA46" s="399">
        <f t="shared" si="15"/>
        <v>0</v>
      </c>
      <c r="CB46" s="399">
        <f t="shared" si="16"/>
        <v>0</v>
      </c>
      <c r="CC46" s="399">
        <f t="shared" si="17"/>
        <v>0</v>
      </c>
      <c r="CD46" s="399">
        <f t="shared" si="18"/>
        <v>0</v>
      </c>
      <c r="CE46" s="399">
        <f t="shared" si="19"/>
        <v>0</v>
      </c>
      <c r="CF46" s="399">
        <f t="shared" si="20"/>
        <v>0</v>
      </c>
      <c r="CG46" s="399">
        <f t="shared" si="21"/>
        <v>0</v>
      </c>
      <c r="CH46" s="399">
        <f t="shared" si="22"/>
        <v>0</v>
      </c>
      <c r="CI46" s="399">
        <f t="shared" si="23"/>
        <v>0</v>
      </c>
      <c r="CJ46" s="399">
        <f t="shared" si="24"/>
        <v>0</v>
      </c>
      <c r="CK46" s="399">
        <f t="shared" si="25"/>
        <v>0</v>
      </c>
      <c r="CL46" s="399">
        <f t="shared" si="26"/>
        <v>0</v>
      </c>
      <c r="CM46" s="399">
        <f t="shared" si="27"/>
        <v>0</v>
      </c>
      <c r="CN46" s="399">
        <f t="shared" si="28"/>
        <v>0</v>
      </c>
      <c r="CO46" s="399">
        <f t="shared" si="29"/>
        <v>0</v>
      </c>
      <c r="CP46" s="399">
        <f t="shared" si="30"/>
        <v>0</v>
      </c>
      <c r="CQ46" s="423">
        <f t="shared" si="31"/>
        <v>0</v>
      </c>
      <c r="CS46" s="394" t="e">
        <f t="shared" si="32"/>
        <v>#DIV/0!</v>
      </c>
    </row>
    <row r="47" spans="3:97">
      <c r="C47" s="107"/>
      <c r="D47" s="395"/>
      <c r="E47" s="84"/>
      <c r="F47" s="84"/>
      <c r="G47" s="389"/>
      <c r="H47" s="390"/>
      <c r="I47" s="390"/>
      <c r="J47" s="390"/>
      <c r="K47" s="390"/>
      <c r="L47" s="390"/>
      <c r="M47" s="390"/>
      <c r="N47" s="390"/>
      <c r="O47" s="390"/>
      <c r="P47" s="390"/>
      <c r="Q47" s="390"/>
      <c r="R47" s="390"/>
      <c r="S47" s="390"/>
      <c r="T47" s="390"/>
      <c r="U47" s="390"/>
      <c r="V47" s="390"/>
      <c r="W47" s="390"/>
      <c r="X47" s="390"/>
      <c r="Y47" s="390"/>
      <c r="Z47" s="390"/>
      <c r="AA47" s="390"/>
      <c r="AB47" s="390"/>
      <c r="AC47" s="390"/>
      <c r="AD47" s="390"/>
      <c r="AE47" s="390"/>
      <c r="AF47" s="390"/>
      <c r="AG47" s="390"/>
      <c r="AH47" s="390"/>
      <c r="AI47" s="391"/>
      <c r="AK47" s="437"/>
      <c r="AL47" s="437"/>
      <c r="AM47" s="437"/>
      <c r="AN47" s="437"/>
      <c r="AO47" s="437"/>
      <c r="AP47" s="437"/>
      <c r="AQ47" s="437"/>
      <c r="AR47" s="437"/>
      <c r="AS47" s="437"/>
      <c r="AT47" s="437"/>
      <c r="AU47" s="437"/>
      <c r="AV47" s="437"/>
      <c r="AW47" s="437"/>
      <c r="AX47" s="437"/>
      <c r="AY47" s="437"/>
      <c r="AZ47" s="437"/>
      <c r="BA47" s="437"/>
      <c r="BB47" s="437"/>
      <c r="BC47" s="437"/>
      <c r="BD47" s="437"/>
      <c r="BE47" s="437"/>
      <c r="BF47" s="437"/>
      <c r="BG47" s="437"/>
      <c r="BH47" s="437"/>
      <c r="BI47" s="437"/>
      <c r="BJ47" s="437"/>
      <c r="BK47" s="437"/>
      <c r="BL47" s="437"/>
      <c r="BM47" s="393"/>
      <c r="BO47" s="399">
        <f t="shared" si="3"/>
        <v>0</v>
      </c>
      <c r="BP47" s="399">
        <f t="shared" si="4"/>
        <v>0</v>
      </c>
      <c r="BQ47" s="399">
        <f t="shared" si="5"/>
        <v>0</v>
      </c>
      <c r="BR47" s="399">
        <f t="shared" si="6"/>
        <v>0</v>
      </c>
      <c r="BS47" s="399">
        <f t="shared" si="7"/>
        <v>0</v>
      </c>
      <c r="BT47" s="399">
        <f t="shared" si="8"/>
        <v>0</v>
      </c>
      <c r="BU47" s="399">
        <f t="shared" si="9"/>
        <v>0</v>
      </c>
      <c r="BV47" s="399">
        <f t="shared" si="10"/>
        <v>0</v>
      </c>
      <c r="BW47" s="399">
        <f t="shared" si="11"/>
        <v>0</v>
      </c>
      <c r="BX47" s="399">
        <f t="shared" si="12"/>
        <v>0</v>
      </c>
      <c r="BY47" s="399">
        <f t="shared" si="13"/>
        <v>0</v>
      </c>
      <c r="BZ47" s="399">
        <f t="shared" si="14"/>
        <v>0</v>
      </c>
      <c r="CA47" s="399">
        <f t="shared" si="15"/>
        <v>0</v>
      </c>
      <c r="CB47" s="399">
        <f t="shared" si="16"/>
        <v>0</v>
      </c>
      <c r="CC47" s="399">
        <f t="shared" si="17"/>
        <v>0</v>
      </c>
      <c r="CD47" s="399">
        <f t="shared" si="18"/>
        <v>0</v>
      </c>
      <c r="CE47" s="399">
        <f t="shared" si="19"/>
        <v>0</v>
      </c>
      <c r="CF47" s="399">
        <f t="shared" si="20"/>
        <v>0</v>
      </c>
      <c r="CG47" s="399">
        <f t="shared" si="21"/>
        <v>0</v>
      </c>
      <c r="CH47" s="399">
        <f t="shared" si="22"/>
        <v>0</v>
      </c>
      <c r="CI47" s="399">
        <f t="shared" si="23"/>
        <v>0</v>
      </c>
      <c r="CJ47" s="399">
        <f t="shared" si="24"/>
        <v>0</v>
      </c>
      <c r="CK47" s="399">
        <f t="shared" si="25"/>
        <v>0</v>
      </c>
      <c r="CL47" s="399">
        <f t="shared" si="26"/>
        <v>0</v>
      </c>
      <c r="CM47" s="399">
        <f t="shared" si="27"/>
        <v>0</v>
      </c>
      <c r="CN47" s="399">
        <f t="shared" si="28"/>
        <v>0</v>
      </c>
      <c r="CO47" s="399">
        <f t="shared" si="29"/>
        <v>0</v>
      </c>
      <c r="CP47" s="399">
        <f t="shared" si="30"/>
        <v>0</v>
      </c>
      <c r="CQ47" s="423">
        <f t="shared" si="31"/>
        <v>0</v>
      </c>
      <c r="CS47" s="394" t="e">
        <f t="shared" si="32"/>
        <v>#DIV/0!</v>
      </c>
    </row>
    <row r="48" spans="3:97">
      <c r="C48" s="107"/>
      <c r="D48" s="395"/>
      <c r="E48" s="84"/>
      <c r="F48" s="84"/>
      <c r="G48" s="389"/>
      <c r="H48" s="390"/>
      <c r="I48" s="390"/>
      <c r="J48" s="390"/>
      <c r="K48" s="390"/>
      <c r="L48" s="390"/>
      <c r="M48" s="390"/>
      <c r="N48" s="390"/>
      <c r="O48" s="390"/>
      <c r="P48" s="390"/>
      <c r="Q48" s="390"/>
      <c r="R48" s="390"/>
      <c r="S48" s="390"/>
      <c r="T48" s="390"/>
      <c r="U48" s="390"/>
      <c r="V48" s="390"/>
      <c r="W48" s="390"/>
      <c r="X48" s="390"/>
      <c r="Y48" s="390"/>
      <c r="Z48" s="390"/>
      <c r="AA48" s="390"/>
      <c r="AB48" s="390"/>
      <c r="AC48" s="390"/>
      <c r="AD48" s="390"/>
      <c r="AE48" s="390"/>
      <c r="AF48" s="390"/>
      <c r="AG48" s="390"/>
      <c r="AH48" s="390"/>
      <c r="AI48" s="391"/>
      <c r="AK48" s="437"/>
      <c r="AL48" s="437"/>
      <c r="AM48" s="437"/>
      <c r="AN48" s="437"/>
      <c r="AO48" s="437"/>
      <c r="AP48" s="437"/>
      <c r="AQ48" s="437"/>
      <c r="AR48" s="437"/>
      <c r="AS48" s="437"/>
      <c r="AT48" s="437"/>
      <c r="AU48" s="437"/>
      <c r="AV48" s="437"/>
      <c r="AW48" s="437"/>
      <c r="AX48" s="437"/>
      <c r="AY48" s="437"/>
      <c r="AZ48" s="437"/>
      <c r="BA48" s="437"/>
      <c r="BB48" s="437"/>
      <c r="BC48" s="437"/>
      <c r="BD48" s="437"/>
      <c r="BE48" s="437"/>
      <c r="BF48" s="437"/>
      <c r="BG48" s="437"/>
      <c r="BH48" s="437"/>
      <c r="BI48" s="437"/>
      <c r="BJ48" s="437"/>
      <c r="BK48" s="437"/>
      <c r="BL48" s="437"/>
      <c r="BM48" s="393"/>
      <c r="BO48" s="399">
        <f t="shared" si="3"/>
        <v>0</v>
      </c>
      <c r="BP48" s="399">
        <f t="shared" si="4"/>
        <v>0</v>
      </c>
      <c r="BQ48" s="399">
        <f t="shared" si="5"/>
        <v>0</v>
      </c>
      <c r="BR48" s="399">
        <f t="shared" si="6"/>
        <v>0</v>
      </c>
      <c r="BS48" s="399">
        <f t="shared" si="7"/>
        <v>0</v>
      </c>
      <c r="BT48" s="399">
        <f t="shared" si="8"/>
        <v>0</v>
      </c>
      <c r="BU48" s="399">
        <f t="shared" si="9"/>
        <v>0</v>
      </c>
      <c r="BV48" s="399">
        <f t="shared" si="10"/>
        <v>0</v>
      </c>
      <c r="BW48" s="399">
        <f t="shared" si="11"/>
        <v>0</v>
      </c>
      <c r="BX48" s="399">
        <f t="shared" si="12"/>
        <v>0</v>
      </c>
      <c r="BY48" s="399">
        <f t="shared" si="13"/>
        <v>0</v>
      </c>
      <c r="BZ48" s="399">
        <f t="shared" si="14"/>
        <v>0</v>
      </c>
      <c r="CA48" s="399">
        <f t="shared" si="15"/>
        <v>0</v>
      </c>
      <c r="CB48" s="399">
        <f t="shared" si="16"/>
        <v>0</v>
      </c>
      <c r="CC48" s="399">
        <f t="shared" si="17"/>
        <v>0</v>
      </c>
      <c r="CD48" s="399">
        <f t="shared" si="18"/>
        <v>0</v>
      </c>
      <c r="CE48" s="399">
        <f t="shared" si="19"/>
        <v>0</v>
      </c>
      <c r="CF48" s="399">
        <f t="shared" si="20"/>
        <v>0</v>
      </c>
      <c r="CG48" s="399">
        <f t="shared" si="21"/>
        <v>0</v>
      </c>
      <c r="CH48" s="399">
        <f t="shared" si="22"/>
        <v>0</v>
      </c>
      <c r="CI48" s="399">
        <f t="shared" si="23"/>
        <v>0</v>
      </c>
      <c r="CJ48" s="399">
        <f t="shared" si="24"/>
        <v>0</v>
      </c>
      <c r="CK48" s="399">
        <f t="shared" si="25"/>
        <v>0</v>
      </c>
      <c r="CL48" s="399">
        <f t="shared" si="26"/>
        <v>0</v>
      </c>
      <c r="CM48" s="399">
        <f t="shared" si="27"/>
        <v>0</v>
      </c>
      <c r="CN48" s="399">
        <f t="shared" si="28"/>
        <v>0</v>
      </c>
      <c r="CO48" s="399">
        <f t="shared" si="29"/>
        <v>0</v>
      </c>
      <c r="CP48" s="399">
        <f t="shared" si="30"/>
        <v>0</v>
      </c>
      <c r="CQ48" s="423">
        <f t="shared" si="31"/>
        <v>0</v>
      </c>
      <c r="CS48" s="394" t="e">
        <f t="shared" si="32"/>
        <v>#DIV/0!</v>
      </c>
    </row>
    <row r="49" spans="3:97">
      <c r="C49" s="107"/>
      <c r="D49" s="395"/>
      <c r="E49" s="84"/>
      <c r="F49" s="84"/>
      <c r="G49" s="389"/>
      <c r="H49" s="390"/>
      <c r="I49" s="390"/>
      <c r="J49" s="390"/>
      <c r="K49" s="390"/>
      <c r="L49" s="390"/>
      <c r="M49" s="390"/>
      <c r="N49" s="390"/>
      <c r="O49" s="390"/>
      <c r="P49" s="390"/>
      <c r="Q49" s="390"/>
      <c r="R49" s="390"/>
      <c r="S49" s="390"/>
      <c r="T49" s="390"/>
      <c r="U49" s="390"/>
      <c r="V49" s="390"/>
      <c r="W49" s="390"/>
      <c r="X49" s="390"/>
      <c r="Y49" s="390"/>
      <c r="Z49" s="390"/>
      <c r="AA49" s="390"/>
      <c r="AB49" s="390"/>
      <c r="AC49" s="390"/>
      <c r="AD49" s="390"/>
      <c r="AE49" s="390"/>
      <c r="AF49" s="390"/>
      <c r="AG49" s="390"/>
      <c r="AH49" s="390"/>
      <c r="AI49" s="391"/>
      <c r="AK49" s="437"/>
      <c r="AL49" s="437"/>
      <c r="AM49" s="437"/>
      <c r="AN49" s="437"/>
      <c r="AO49" s="437"/>
      <c r="AP49" s="437"/>
      <c r="AQ49" s="437"/>
      <c r="AR49" s="437"/>
      <c r="AS49" s="437"/>
      <c r="AT49" s="437"/>
      <c r="AU49" s="437"/>
      <c r="AV49" s="437"/>
      <c r="AW49" s="437"/>
      <c r="AX49" s="437"/>
      <c r="AY49" s="437"/>
      <c r="AZ49" s="437"/>
      <c r="BA49" s="437"/>
      <c r="BB49" s="437"/>
      <c r="BC49" s="437"/>
      <c r="BD49" s="437"/>
      <c r="BE49" s="437"/>
      <c r="BF49" s="437"/>
      <c r="BG49" s="437"/>
      <c r="BH49" s="437"/>
      <c r="BI49" s="437"/>
      <c r="BJ49" s="437"/>
      <c r="BK49" s="437"/>
      <c r="BL49" s="437"/>
      <c r="BM49" s="393"/>
      <c r="BO49" s="399">
        <f t="shared" si="3"/>
        <v>0</v>
      </c>
      <c r="BP49" s="399">
        <f t="shared" si="4"/>
        <v>0</v>
      </c>
      <c r="BQ49" s="399">
        <f t="shared" si="5"/>
        <v>0</v>
      </c>
      <c r="BR49" s="399">
        <f t="shared" si="6"/>
        <v>0</v>
      </c>
      <c r="BS49" s="399">
        <f t="shared" si="7"/>
        <v>0</v>
      </c>
      <c r="BT49" s="399">
        <f t="shared" si="8"/>
        <v>0</v>
      </c>
      <c r="BU49" s="399">
        <f t="shared" si="9"/>
        <v>0</v>
      </c>
      <c r="BV49" s="399">
        <f t="shared" si="10"/>
        <v>0</v>
      </c>
      <c r="BW49" s="399">
        <f t="shared" si="11"/>
        <v>0</v>
      </c>
      <c r="BX49" s="399">
        <f t="shared" si="12"/>
        <v>0</v>
      </c>
      <c r="BY49" s="399">
        <f t="shared" si="13"/>
        <v>0</v>
      </c>
      <c r="BZ49" s="399">
        <f t="shared" si="14"/>
        <v>0</v>
      </c>
      <c r="CA49" s="399">
        <f t="shared" si="15"/>
        <v>0</v>
      </c>
      <c r="CB49" s="399">
        <f t="shared" si="16"/>
        <v>0</v>
      </c>
      <c r="CC49" s="399">
        <f t="shared" si="17"/>
        <v>0</v>
      </c>
      <c r="CD49" s="399">
        <f t="shared" si="18"/>
        <v>0</v>
      </c>
      <c r="CE49" s="399">
        <f t="shared" si="19"/>
        <v>0</v>
      </c>
      <c r="CF49" s="399">
        <f t="shared" si="20"/>
        <v>0</v>
      </c>
      <c r="CG49" s="399">
        <f t="shared" si="21"/>
        <v>0</v>
      </c>
      <c r="CH49" s="399">
        <f t="shared" si="22"/>
        <v>0</v>
      </c>
      <c r="CI49" s="399">
        <f t="shared" si="23"/>
        <v>0</v>
      </c>
      <c r="CJ49" s="399">
        <f t="shared" si="24"/>
        <v>0</v>
      </c>
      <c r="CK49" s="399">
        <f t="shared" si="25"/>
        <v>0</v>
      </c>
      <c r="CL49" s="399">
        <f t="shared" si="26"/>
        <v>0</v>
      </c>
      <c r="CM49" s="399">
        <f t="shared" si="27"/>
        <v>0</v>
      </c>
      <c r="CN49" s="399">
        <f t="shared" si="28"/>
        <v>0</v>
      </c>
      <c r="CO49" s="399">
        <f t="shared" si="29"/>
        <v>0</v>
      </c>
      <c r="CP49" s="399">
        <f t="shared" si="30"/>
        <v>0</v>
      </c>
      <c r="CQ49" s="423">
        <f t="shared" si="31"/>
        <v>0</v>
      </c>
      <c r="CS49" s="394" t="e">
        <f t="shared" si="32"/>
        <v>#DIV/0!</v>
      </c>
    </row>
    <row r="50" spans="3:97">
      <c r="C50" s="107"/>
      <c r="D50" s="395"/>
      <c r="E50" s="84"/>
      <c r="F50" s="84"/>
      <c r="G50" s="389"/>
      <c r="H50" s="390"/>
      <c r="I50" s="390"/>
      <c r="J50" s="390"/>
      <c r="K50" s="390"/>
      <c r="L50" s="390"/>
      <c r="M50" s="390"/>
      <c r="N50" s="390"/>
      <c r="O50" s="390"/>
      <c r="P50" s="390"/>
      <c r="Q50" s="390"/>
      <c r="R50" s="390"/>
      <c r="S50" s="390"/>
      <c r="T50" s="390"/>
      <c r="U50" s="390"/>
      <c r="V50" s="390"/>
      <c r="W50" s="390"/>
      <c r="X50" s="390"/>
      <c r="Y50" s="390"/>
      <c r="Z50" s="390"/>
      <c r="AA50" s="390"/>
      <c r="AB50" s="390"/>
      <c r="AC50" s="390"/>
      <c r="AD50" s="390"/>
      <c r="AE50" s="390"/>
      <c r="AF50" s="390"/>
      <c r="AG50" s="390"/>
      <c r="AH50" s="390"/>
      <c r="AI50" s="391"/>
      <c r="AK50" s="437"/>
      <c r="AL50" s="437"/>
      <c r="AM50" s="437"/>
      <c r="AN50" s="437"/>
      <c r="AO50" s="437"/>
      <c r="AP50" s="437"/>
      <c r="AQ50" s="437"/>
      <c r="AR50" s="437"/>
      <c r="AS50" s="437"/>
      <c r="AT50" s="437"/>
      <c r="AU50" s="437"/>
      <c r="AV50" s="437"/>
      <c r="AW50" s="437"/>
      <c r="AX50" s="437"/>
      <c r="AY50" s="437"/>
      <c r="AZ50" s="437"/>
      <c r="BA50" s="437"/>
      <c r="BB50" s="437"/>
      <c r="BC50" s="437"/>
      <c r="BD50" s="437"/>
      <c r="BE50" s="437"/>
      <c r="BF50" s="437"/>
      <c r="BG50" s="437"/>
      <c r="BH50" s="437"/>
      <c r="BI50" s="437"/>
      <c r="BJ50" s="437"/>
      <c r="BK50" s="437"/>
      <c r="BL50" s="437"/>
      <c r="BM50" s="393"/>
      <c r="BO50" s="399">
        <f t="shared" si="3"/>
        <v>0</v>
      </c>
      <c r="BP50" s="399">
        <f t="shared" si="4"/>
        <v>0</v>
      </c>
      <c r="BQ50" s="399">
        <f t="shared" si="5"/>
        <v>0</v>
      </c>
      <c r="BR50" s="399">
        <f t="shared" si="6"/>
        <v>0</v>
      </c>
      <c r="BS50" s="399">
        <f t="shared" si="7"/>
        <v>0</v>
      </c>
      <c r="BT50" s="399">
        <f t="shared" si="8"/>
        <v>0</v>
      </c>
      <c r="BU50" s="399">
        <f t="shared" si="9"/>
        <v>0</v>
      </c>
      <c r="BV50" s="399">
        <f t="shared" si="10"/>
        <v>0</v>
      </c>
      <c r="BW50" s="399">
        <f t="shared" si="11"/>
        <v>0</v>
      </c>
      <c r="BX50" s="399">
        <f t="shared" si="12"/>
        <v>0</v>
      </c>
      <c r="BY50" s="399">
        <f t="shared" si="13"/>
        <v>0</v>
      </c>
      <c r="BZ50" s="399">
        <f t="shared" si="14"/>
        <v>0</v>
      </c>
      <c r="CA50" s="399">
        <f t="shared" si="15"/>
        <v>0</v>
      </c>
      <c r="CB50" s="399">
        <f t="shared" si="16"/>
        <v>0</v>
      </c>
      <c r="CC50" s="399">
        <f t="shared" si="17"/>
        <v>0</v>
      </c>
      <c r="CD50" s="399">
        <f t="shared" si="18"/>
        <v>0</v>
      </c>
      <c r="CE50" s="399">
        <f t="shared" si="19"/>
        <v>0</v>
      </c>
      <c r="CF50" s="399">
        <f t="shared" si="20"/>
        <v>0</v>
      </c>
      <c r="CG50" s="399">
        <f t="shared" si="21"/>
        <v>0</v>
      </c>
      <c r="CH50" s="399">
        <f t="shared" si="22"/>
        <v>0</v>
      </c>
      <c r="CI50" s="399">
        <f t="shared" si="23"/>
        <v>0</v>
      </c>
      <c r="CJ50" s="399">
        <f t="shared" si="24"/>
        <v>0</v>
      </c>
      <c r="CK50" s="399">
        <f t="shared" si="25"/>
        <v>0</v>
      </c>
      <c r="CL50" s="399">
        <f t="shared" si="26"/>
        <v>0</v>
      </c>
      <c r="CM50" s="399">
        <f t="shared" si="27"/>
        <v>0</v>
      </c>
      <c r="CN50" s="399">
        <f t="shared" si="28"/>
        <v>0</v>
      </c>
      <c r="CO50" s="399">
        <f t="shared" si="29"/>
        <v>0</v>
      </c>
      <c r="CP50" s="399">
        <f t="shared" si="30"/>
        <v>0</v>
      </c>
      <c r="CQ50" s="423">
        <f t="shared" si="31"/>
        <v>0</v>
      </c>
      <c r="CS50" s="394" t="e">
        <f t="shared" si="32"/>
        <v>#DIV/0!</v>
      </c>
    </row>
    <row r="51" spans="3:97">
      <c r="C51" s="107"/>
      <c r="D51" s="395"/>
      <c r="E51" s="84"/>
      <c r="F51" s="84"/>
      <c r="G51" s="389"/>
      <c r="H51" s="390"/>
      <c r="I51" s="390"/>
      <c r="J51" s="390"/>
      <c r="K51" s="390"/>
      <c r="L51" s="390"/>
      <c r="M51" s="390"/>
      <c r="N51" s="390"/>
      <c r="O51" s="390"/>
      <c r="P51" s="390"/>
      <c r="Q51" s="390"/>
      <c r="R51" s="390"/>
      <c r="S51" s="390"/>
      <c r="T51" s="390"/>
      <c r="U51" s="390"/>
      <c r="V51" s="390"/>
      <c r="W51" s="390"/>
      <c r="X51" s="390"/>
      <c r="Y51" s="390"/>
      <c r="Z51" s="390"/>
      <c r="AA51" s="390"/>
      <c r="AB51" s="390"/>
      <c r="AC51" s="390"/>
      <c r="AD51" s="390"/>
      <c r="AE51" s="390"/>
      <c r="AF51" s="390"/>
      <c r="AG51" s="390"/>
      <c r="AH51" s="390"/>
      <c r="AI51" s="391"/>
      <c r="AK51" s="437"/>
      <c r="AL51" s="437"/>
      <c r="AM51" s="437"/>
      <c r="AN51" s="437"/>
      <c r="AO51" s="437"/>
      <c r="AP51" s="437"/>
      <c r="AQ51" s="437"/>
      <c r="AR51" s="437"/>
      <c r="AS51" s="437"/>
      <c r="AT51" s="437"/>
      <c r="AU51" s="437"/>
      <c r="AV51" s="437"/>
      <c r="AW51" s="437"/>
      <c r="AX51" s="437"/>
      <c r="AY51" s="437"/>
      <c r="AZ51" s="437"/>
      <c r="BA51" s="437"/>
      <c r="BB51" s="437"/>
      <c r="BC51" s="437"/>
      <c r="BD51" s="437"/>
      <c r="BE51" s="437"/>
      <c r="BF51" s="437"/>
      <c r="BG51" s="437"/>
      <c r="BH51" s="437"/>
      <c r="BI51" s="437"/>
      <c r="BJ51" s="437"/>
      <c r="BK51" s="437"/>
      <c r="BL51" s="437"/>
      <c r="BM51" s="393"/>
      <c r="BO51" s="399">
        <f t="shared" si="3"/>
        <v>0</v>
      </c>
      <c r="BP51" s="399">
        <f t="shared" si="4"/>
        <v>0</v>
      </c>
      <c r="BQ51" s="399">
        <f t="shared" si="5"/>
        <v>0</v>
      </c>
      <c r="BR51" s="399">
        <f t="shared" si="6"/>
        <v>0</v>
      </c>
      <c r="BS51" s="399">
        <f t="shared" si="7"/>
        <v>0</v>
      </c>
      <c r="BT51" s="399">
        <f t="shared" si="8"/>
        <v>0</v>
      </c>
      <c r="BU51" s="399">
        <f t="shared" si="9"/>
        <v>0</v>
      </c>
      <c r="BV51" s="399">
        <f t="shared" si="10"/>
        <v>0</v>
      </c>
      <c r="BW51" s="399">
        <f t="shared" si="11"/>
        <v>0</v>
      </c>
      <c r="BX51" s="399">
        <f t="shared" si="12"/>
        <v>0</v>
      </c>
      <c r="BY51" s="399">
        <f t="shared" si="13"/>
        <v>0</v>
      </c>
      <c r="BZ51" s="399">
        <f t="shared" si="14"/>
        <v>0</v>
      </c>
      <c r="CA51" s="399">
        <f t="shared" si="15"/>
        <v>0</v>
      </c>
      <c r="CB51" s="399">
        <f t="shared" si="16"/>
        <v>0</v>
      </c>
      <c r="CC51" s="399">
        <f t="shared" si="17"/>
        <v>0</v>
      </c>
      <c r="CD51" s="399">
        <f t="shared" si="18"/>
        <v>0</v>
      </c>
      <c r="CE51" s="399">
        <f t="shared" si="19"/>
        <v>0</v>
      </c>
      <c r="CF51" s="399">
        <f t="shared" si="20"/>
        <v>0</v>
      </c>
      <c r="CG51" s="399">
        <f t="shared" si="21"/>
        <v>0</v>
      </c>
      <c r="CH51" s="399">
        <f t="shared" si="22"/>
        <v>0</v>
      </c>
      <c r="CI51" s="399">
        <f t="shared" si="23"/>
        <v>0</v>
      </c>
      <c r="CJ51" s="399">
        <f t="shared" si="24"/>
        <v>0</v>
      </c>
      <c r="CK51" s="399">
        <f t="shared" si="25"/>
        <v>0</v>
      </c>
      <c r="CL51" s="399">
        <f t="shared" si="26"/>
        <v>0</v>
      </c>
      <c r="CM51" s="399">
        <f t="shared" si="27"/>
        <v>0</v>
      </c>
      <c r="CN51" s="399">
        <f t="shared" si="28"/>
        <v>0</v>
      </c>
      <c r="CO51" s="399">
        <f t="shared" si="29"/>
        <v>0</v>
      </c>
      <c r="CP51" s="399">
        <f t="shared" si="30"/>
        <v>0</v>
      </c>
      <c r="CQ51" s="423">
        <f t="shared" si="31"/>
        <v>0</v>
      </c>
      <c r="CS51" s="394" t="e">
        <f t="shared" si="32"/>
        <v>#DIV/0!</v>
      </c>
    </row>
    <row r="52" spans="3:97">
      <c r="C52" s="107"/>
      <c r="D52" s="395"/>
      <c r="E52" s="84"/>
      <c r="F52" s="84"/>
      <c r="G52" s="389"/>
      <c r="H52" s="390"/>
      <c r="I52" s="390"/>
      <c r="J52" s="390"/>
      <c r="K52" s="390"/>
      <c r="L52" s="390"/>
      <c r="M52" s="390"/>
      <c r="N52" s="390"/>
      <c r="O52" s="390"/>
      <c r="P52" s="390"/>
      <c r="Q52" s="390"/>
      <c r="R52" s="390"/>
      <c r="S52" s="390"/>
      <c r="T52" s="390"/>
      <c r="U52" s="390"/>
      <c r="V52" s="390"/>
      <c r="W52" s="390"/>
      <c r="X52" s="390"/>
      <c r="Y52" s="390"/>
      <c r="Z52" s="390"/>
      <c r="AA52" s="390"/>
      <c r="AB52" s="390"/>
      <c r="AC52" s="390"/>
      <c r="AD52" s="390"/>
      <c r="AE52" s="390"/>
      <c r="AF52" s="390"/>
      <c r="AG52" s="390"/>
      <c r="AH52" s="390"/>
      <c r="AI52" s="391"/>
      <c r="AK52" s="437"/>
      <c r="AL52" s="437"/>
      <c r="AM52" s="437"/>
      <c r="AN52" s="437"/>
      <c r="AO52" s="437"/>
      <c r="AP52" s="437"/>
      <c r="AQ52" s="437"/>
      <c r="AR52" s="437"/>
      <c r="AS52" s="437"/>
      <c r="AT52" s="437"/>
      <c r="AU52" s="437"/>
      <c r="AV52" s="437"/>
      <c r="AW52" s="437"/>
      <c r="AX52" s="437"/>
      <c r="AY52" s="437"/>
      <c r="AZ52" s="437"/>
      <c r="BA52" s="437"/>
      <c r="BB52" s="437"/>
      <c r="BC52" s="437"/>
      <c r="BD52" s="437"/>
      <c r="BE52" s="437"/>
      <c r="BF52" s="437"/>
      <c r="BG52" s="437"/>
      <c r="BH52" s="437"/>
      <c r="BI52" s="437"/>
      <c r="BJ52" s="437"/>
      <c r="BK52" s="437"/>
      <c r="BL52" s="437"/>
      <c r="BM52" s="393"/>
      <c r="BO52" s="399">
        <f t="shared" si="3"/>
        <v>0</v>
      </c>
      <c r="BP52" s="399">
        <f t="shared" si="4"/>
        <v>0</v>
      </c>
      <c r="BQ52" s="399">
        <f t="shared" si="5"/>
        <v>0</v>
      </c>
      <c r="BR52" s="399">
        <f t="shared" si="6"/>
        <v>0</v>
      </c>
      <c r="BS52" s="399">
        <f t="shared" si="7"/>
        <v>0</v>
      </c>
      <c r="BT52" s="399">
        <f t="shared" si="8"/>
        <v>0</v>
      </c>
      <c r="BU52" s="399">
        <f t="shared" si="9"/>
        <v>0</v>
      </c>
      <c r="BV52" s="399">
        <f t="shared" si="10"/>
        <v>0</v>
      </c>
      <c r="BW52" s="399">
        <f t="shared" si="11"/>
        <v>0</v>
      </c>
      <c r="BX52" s="399">
        <f t="shared" si="12"/>
        <v>0</v>
      </c>
      <c r="BY52" s="399">
        <f t="shared" si="13"/>
        <v>0</v>
      </c>
      <c r="BZ52" s="399">
        <f t="shared" si="14"/>
        <v>0</v>
      </c>
      <c r="CA52" s="399">
        <f t="shared" si="15"/>
        <v>0</v>
      </c>
      <c r="CB52" s="399">
        <f t="shared" si="16"/>
        <v>0</v>
      </c>
      <c r="CC52" s="399">
        <f t="shared" si="17"/>
        <v>0</v>
      </c>
      <c r="CD52" s="399">
        <f t="shared" si="18"/>
        <v>0</v>
      </c>
      <c r="CE52" s="399">
        <f t="shared" si="19"/>
        <v>0</v>
      </c>
      <c r="CF52" s="399">
        <f t="shared" si="20"/>
        <v>0</v>
      </c>
      <c r="CG52" s="399">
        <f t="shared" si="21"/>
        <v>0</v>
      </c>
      <c r="CH52" s="399">
        <f t="shared" si="22"/>
        <v>0</v>
      </c>
      <c r="CI52" s="399">
        <f t="shared" si="23"/>
        <v>0</v>
      </c>
      <c r="CJ52" s="399">
        <f t="shared" si="24"/>
        <v>0</v>
      </c>
      <c r="CK52" s="399">
        <f t="shared" si="25"/>
        <v>0</v>
      </c>
      <c r="CL52" s="399">
        <f t="shared" si="26"/>
        <v>0</v>
      </c>
      <c r="CM52" s="399">
        <f t="shared" si="27"/>
        <v>0</v>
      </c>
      <c r="CN52" s="399">
        <f t="shared" si="28"/>
        <v>0</v>
      </c>
      <c r="CO52" s="399">
        <f t="shared" si="29"/>
        <v>0</v>
      </c>
      <c r="CP52" s="399">
        <f t="shared" si="30"/>
        <v>0</v>
      </c>
      <c r="CQ52" s="423">
        <f t="shared" si="31"/>
        <v>0</v>
      </c>
      <c r="CS52" s="394" t="e">
        <f t="shared" si="32"/>
        <v>#DIV/0!</v>
      </c>
    </row>
    <row r="53" spans="3:97">
      <c r="C53" s="107"/>
      <c r="D53" s="395"/>
      <c r="E53" s="84"/>
      <c r="F53" s="84"/>
      <c r="G53" s="389"/>
      <c r="H53" s="390"/>
      <c r="I53" s="390"/>
      <c r="J53" s="390"/>
      <c r="K53" s="390"/>
      <c r="L53" s="390"/>
      <c r="M53" s="390"/>
      <c r="N53" s="390"/>
      <c r="O53" s="390"/>
      <c r="P53" s="390"/>
      <c r="Q53" s="390"/>
      <c r="R53" s="390"/>
      <c r="S53" s="390"/>
      <c r="T53" s="390"/>
      <c r="U53" s="390"/>
      <c r="V53" s="390"/>
      <c r="W53" s="390"/>
      <c r="X53" s="390"/>
      <c r="Y53" s="390"/>
      <c r="Z53" s="390"/>
      <c r="AA53" s="390"/>
      <c r="AB53" s="390"/>
      <c r="AC53" s="390"/>
      <c r="AD53" s="390"/>
      <c r="AE53" s="390"/>
      <c r="AF53" s="390"/>
      <c r="AG53" s="390"/>
      <c r="AH53" s="390"/>
      <c r="AI53" s="391"/>
      <c r="AK53" s="437"/>
      <c r="AL53" s="437"/>
      <c r="AM53" s="437"/>
      <c r="AN53" s="437"/>
      <c r="AO53" s="437"/>
      <c r="AP53" s="437"/>
      <c r="AQ53" s="437"/>
      <c r="AR53" s="437"/>
      <c r="AS53" s="437"/>
      <c r="AT53" s="437"/>
      <c r="AU53" s="437"/>
      <c r="AV53" s="437"/>
      <c r="AW53" s="437"/>
      <c r="AX53" s="437"/>
      <c r="AY53" s="437"/>
      <c r="AZ53" s="437"/>
      <c r="BA53" s="437"/>
      <c r="BB53" s="437"/>
      <c r="BC53" s="437"/>
      <c r="BD53" s="437"/>
      <c r="BE53" s="437"/>
      <c r="BF53" s="437"/>
      <c r="BG53" s="437"/>
      <c r="BH53" s="437"/>
      <c r="BI53" s="437"/>
      <c r="BJ53" s="437"/>
      <c r="BK53" s="437"/>
      <c r="BL53" s="437"/>
      <c r="BM53" s="393"/>
      <c r="BO53" s="399">
        <f t="shared" si="3"/>
        <v>0</v>
      </c>
      <c r="BP53" s="399">
        <f t="shared" si="4"/>
        <v>0</v>
      </c>
      <c r="BQ53" s="399">
        <f t="shared" si="5"/>
        <v>0</v>
      </c>
      <c r="BR53" s="399">
        <f t="shared" si="6"/>
        <v>0</v>
      </c>
      <c r="BS53" s="399">
        <f t="shared" si="7"/>
        <v>0</v>
      </c>
      <c r="BT53" s="399">
        <f t="shared" si="8"/>
        <v>0</v>
      </c>
      <c r="BU53" s="399">
        <f t="shared" si="9"/>
        <v>0</v>
      </c>
      <c r="BV53" s="399">
        <f t="shared" si="10"/>
        <v>0</v>
      </c>
      <c r="BW53" s="399">
        <f t="shared" si="11"/>
        <v>0</v>
      </c>
      <c r="BX53" s="399">
        <f t="shared" si="12"/>
        <v>0</v>
      </c>
      <c r="BY53" s="399">
        <f t="shared" si="13"/>
        <v>0</v>
      </c>
      <c r="BZ53" s="399">
        <f t="shared" si="14"/>
        <v>0</v>
      </c>
      <c r="CA53" s="399">
        <f t="shared" si="15"/>
        <v>0</v>
      </c>
      <c r="CB53" s="399">
        <f t="shared" si="16"/>
        <v>0</v>
      </c>
      <c r="CC53" s="399">
        <f t="shared" si="17"/>
        <v>0</v>
      </c>
      <c r="CD53" s="399">
        <f t="shared" si="18"/>
        <v>0</v>
      </c>
      <c r="CE53" s="399">
        <f t="shared" si="19"/>
        <v>0</v>
      </c>
      <c r="CF53" s="399">
        <f t="shared" si="20"/>
        <v>0</v>
      </c>
      <c r="CG53" s="399">
        <f t="shared" si="21"/>
        <v>0</v>
      </c>
      <c r="CH53" s="399">
        <f t="shared" si="22"/>
        <v>0</v>
      </c>
      <c r="CI53" s="399">
        <f t="shared" si="23"/>
        <v>0</v>
      </c>
      <c r="CJ53" s="399">
        <f t="shared" si="24"/>
        <v>0</v>
      </c>
      <c r="CK53" s="399">
        <f t="shared" si="25"/>
        <v>0</v>
      </c>
      <c r="CL53" s="399">
        <f t="shared" si="26"/>
        <v>0</v>
      </c>
      <c r="CM53" s="399">
        <f t="shared" si="27"/>
        <v>0</v>
      </c>
      <c r="CN53" s="399">
        <f t="shared" si="28"/>
        <v>0</v>
      </c>
      <c r="CO53" s="399">
        <f t="shared" si="29"/>
        <v>0</v>
      </c>
      <c r="CP53" s="399">
        <f t="shared" si="30"/>
        <v>0</v>
      </c>
      <c r="CQ53" s="423">
        <f t="shared" si="31"/>
        <v>0</v>
      </c>
      <c r="CS53" s="394" t="e">
        <f t="shared" si="32"/>
        <v>#DIV/0!</v>
      </c>
    </row>
    <row r="54" spans="3:97">
      <c r="C54" s="107"/>
      <c r="D54" s="395"/>
      <c r="E54" s="84"/>
      <c r="F54" s="84"/>
      <c r="G54" s="389"/>
      <c r="H54" s="390"/>
      <c r="I54" s="390"/>
      <c r="J54" s="390"/>
      <c r="K54" s="390"/>
      <c r="L54" s="390"/>
      <c r="M54" s="390"/>
      <c r="N54" s="390"/>
      <c r="O54" s="390"/>
      <c r="P54" s="390"/>
      <c r="Q54" s="390"/>
      <c r="R54" s="390"/>
      <c r="S54" s="390"/>
      <c r="T54" s="390"/>
      <c r="U54" s="390"/>
      <c r="V54" s="390"/>
      <c r="W54" s="390"/>
      <c r="X54" s="390"/>
      <c r="Y54" s="390"/>
      <c r="Z54" s="390"/>
      <c r="AA54" s="390"/>
      <c r="AB54" s="390"/>
      <c r="AC54" s="390"/>
      <c r="AD54" s="390"/>
      <c r="AE54" s="390"/>
      <c r="AF54" s="390"/>
      <c r="AG54" s="390"/>
      <c r="AH54" s="390"/>
      <c r="AI54" s="391"/>
      <c r="AK54" s="437"/>
      <c r="AL54" s="437"/>
      <c r="AM54" s="437"/>
      <c r="AN54" s="437"/>
      <c r="AO54" s="437"/>
      <c r="AP54" s="437"/>
      <c r="AQ54" s="437"/>
      <c r="AR54" s="437"/>
      <c r="AS54" s="437"/>
      <c r="AT54" s="437"/>
      <c r="AU54" s="437"/>
      <c r="AV54" s="437"/>
      <c r="AW54" s="437"/>
      <c r="AX54" s="437"/>
      <c r="AY54" s="437"/>
      <c r="AZ54" s="437"/>
      <c r="BA54" s="437"/>
      <c r="BB54" s="437"/>
      <c r="BC54" s="437"/>
      <c r="BD54" s="437"/>
      <c r="BE54" s="437"/>
      <c r="BF54" s="437"/>
      <c r="BG54" s="437"/>
      <c r="BH54" s="437"/>
      <c r="BI54" s="437"/>
      <c r="BJ54" s="437"/>
      <c r="BK54" s="437"/>
      <c r="BL54" s="437"/>
      <c r="BM54" s="393"/>
      <c r="BO54" s="399">
        <f t="shared" si="3"/>
        <v>0</v>
      </c>
      <c r="BP54" s="399">
        <f t="shared" si="4"/>
        <v>0</v>
      </c>
      <c r="BQ54" s="399">
        <f t="shared" si="5"/>
        <v>0</v>
      </c>
      <c r="BR54" s="399">
        <f t="shared" si="6"/>
        <v>0</v>
      </c>
      <c r="BS54" s="399">
        <f t="shared" si="7"/>
        <v>0</v>
      </c>
      <c r="BT54" s="399">
        <f t="shared" si="8"/>
        <v>0</v>
      </c>
      <c r="BU54" s="399">
        <f t="shared" si="9"/>
        <v>0</v>
      </c>
      <c r="BV54" s="399">
        <f t="shared" si="10"/>
        <v>0</v>
      </c>
      <c r="BW54" s="399">
        <f t="shared" si="11"/>
        <v>0</v>
      </c>
      <c r="BX54" s="399">
        <f t="shared" si="12"/>
        <v>0</v>
      </c>
      <c r="BY54" s="399">
        <f t="shared" si="13"/>
        <v>0</v>
      </c>
      <c r="BZ54" s="399">
        <f t="shared" si="14"/>
        <v>0</v>
      </c>
      <c r="CA54" s="399">
        <f t="shared" si="15"/>
        <v>0</v>
      </c>
      <c r="CB54" s="399">
        <f t="shared" si="16"/>
        <v>0</v>
      </c>
      <c r="CC54" s="399">
        <f t="shared" si="17"/>
        <v>0</v>
      </c>
      <c r="CD54" s="399">
        <f t="shared" si="18"/>
        <v>0</v>
      </c>
      <c r="CE54" s="399">
        <f t="shared" si="19"/>
        <v>0</v>
      </c>
      <c r="CF54" s="399">
        <f t="shared" si="20"/>
        <v>0</v>
      </c>
      <c r="CG54" s="399">
        <f t="shared" si="21"/>
        <v>0</v>
      </c>
      <c r="CH54" s="399">
        <f t="shared" si="22"/>
        <v>0</v>
      </c>
      <c r="CI54" s="399">
        <f t="shared" si="23"/>
        <v>0</v>
      </c>
      <c r="CJ54" s="399">
        <f t="shared" si="24"/>
        <v>0</v>
      </c>
      <c r="CK54" s="399">
        <f t="shared" si="25"/>
        <v>0</v>
      </c>
      <c r="CL54" s="399">
        <f t="shared" si="26"/>
        <v>0</v>
      </c>
      <c r="CM54" s="399">
        <f t="shared" si="27"/>
        <v>0</v>
      </c>
      <c r="CN54" s="399">
        <f t="shared" si="28"/>
        <v>0</v>
      </c>
      <c r="CO54" s="399">
        <f t="shared" si="29"/>
        <v>0</v>
      </c>
      <c r="CP54" s="399">
        <f t="shared" si="30"/>
        <v>0</v>
      </c>
      <c r="CQ54" s="423">
        <f t="shared" si="31"/>
        <v>0</v>
      </c>
      <c r="CS54" s="394" t="e">
        <f t="shared" si="32"/>
        <v>#DIV/0!</v>
      </c>
    </row>
    <row r="55" spans="3:97">
      <c r="C55" s="107"/>
      <c r="D55" s="395"/>
      <c r="E55" s="84"/>
      <c r="F55" s="84"/>
      <c r="G55" s="389"/>
      <c r="H55" s="390"/>
      <c r="I55" s="390"/>
      <c r="J55" s="390"/>
      <c r="K55" s="390"/>
      <c r="L55" s="390"/>
      <c r="M55" s="390"/>
      <c r="N55" s="390"/>
      <c r="O55" s="390"/>
      <c r="P55" s="390"/>
      <c r="Q55" s="390"/>
      <c r="R55" s="390"/>
      <c r="S55" s="390"/>
      <c r="T55" s="390"/>
      <c r="U55" s="390"/>
      <c r="V55" s="390"/>
      <c r="W55" s="390"/>
      <c r="X55" s="390"/>
      <c r="Y55" s="390"/>
      <c r="Z55" s="390"/>
      <c r="AA55" s="390"/>
      <c r="AB55" s="390"/>
      <c r="AC55" s="390"/>
      <c r="AD55" s="390"/>
      <c r="AE55" s="390"/>
      <c r="AF55" s="390"/>
      <c r="AG55" s="390"/>
      <c r="AH55" s="390"/>
      <c r="AI55" s="391"/>
      <c r="AK55" s="437"/>
      <c r="AL55" s="437"/>
      <c r="AM55" s="437"/>
      <c r="AN55" s="437"/>
      <c r="AO55" s="437"/>
      <c r="AP55" s="437"/>
      <c r="AQ55" s="437"/>
      <c r="AR55" s="437"/>
      <c r="AS55" s="437"/>
      <c r="AT55" s="437"/>
      <c r="AU55" s="437"/>
      <c r="AV55" s="437"/>
      <c r="AW55" s="437"/>
      <c r="AX55" s="437"/>
      <c r="AY55" s="437"/>
      <c r="AZ55" s="437"/>
      <c r="BA55" s="437"/>
      <c r="BB55" s="437"/>
      <c r="BC55" s="437"/>
      <c r="BD55" s="437"/>
      <c r="BE55" s="437"/>
      <c r="BF55" s="437"/>
      <c r="BG55" s="437"/>
      <c r="BH55" s="437"/>
      <c r="BI55" s="437"/>
      <c r="BJ55" s="437"/>
      <c r="BK55" s="437"/>
      <c r="BL55" s="437"/>
      <c r="BM55" s="393"/>
      <c r="BO55" s="399">
        <f t="shared" si="3"/>
        <v>0</v>
      </c>
      <c r="BP55" s="399">
        <f t="shared" si="4"/>
        <v>0</v>
      </c>
      <c r="BQ55" s="399">
        <f t="shared" si="5"/>
        <v>0</v>
      </c>
      <c r="BR55" s="399">
        <f t="shared" si="6"/>
        <v>0</v>
      </c>
      <c r="BS55" s="399">
        <f t="shared" si="7"/>
        <v>0</v>
      </c>
      <c r="BT55" s="399">
        <f t="shared" si="8"/>
        <v>0</v>
      </c>
      <c r="BU55" s="399">
        <f t="shared" si="9"/>
        <v>0</v>
      </c>
      <c r="BV55" s="399">
        <f t="shared" si="10"/>
        <v>0</v>
      </c>
      <c r="BW55" s="399">
        <f t="shared" si="11"/>
        <v>0</v>
      </c>
      <c r="BX55" s="399">
        <f t="shared" si="12"/>
        <v>0</v>
      </c>
      <c r="BY55" s="399">
        <f t="shared" si="13"/>
        <v>0</v>
      </c>
      <c r="BZ55" s="399">
        <f t="shared" si="14"/>
        <v>0</v>
      </c>
      <c r="CA55" s="399">
        <f t="shared" si="15"/>
        <v>0</v>
      </c>
      <c r="CB55" s="399">
        <f t="shared" si="16"/>
        <v>0</v>
      </c>
      <c r="CC55" s="399">
        <f t="shared" si="17"/>
        <v>0</v>
      </c>
      <c r="CD55" s="399">
        <f t="shared" si="18"/>
        <v>0</v>
      </c>
      <c r="CE55" s="399">
        <f t="shared" si="19"/>
        <v>0</v>
      </c>
      <c r="CF55" s="399">
        <f t="shared" si="20"/>
        <v>0</v>
      </c>
      <c r="CG55" s="399">
        <f t="shared" si="21"/>
        <v>0</v>
      </c>
      <c r="CH55" s="399">
        <f t="shared" si="22"/>
        <v>0</v>
      </c>
      <c r="CI55" s="399">
        <f t="shared" si="23"/>
        <v>0</v>
      </c>
      <c r="CJ55" s="399">
        <f t="shared" si="24"/>
        <v>0</v>
      </c>
      <c r="CK55" s="399">
        <f t="shared" si="25"/>
        <v>0</v>
      </c>
      <c r="CL55" s="399">
        <f t="shared" si="26"/>
        <v>0</v>
      </c>
      <c r="CM55" s="399">
        <f t="shared" si="27"/>
        <v>0</v>
      </c>
      <c r="CN55" s="399">
        <f t="shared" si="28"/>
        <v>0</v>
      </c>
      <c r="CO55" s="399">
        <f t="shared" si="29"/>
        <v>0</v>
      </c>
      <c r="CP55" s="399">
        <f t="shared" si="30"/>
        <v>0</v>
      </c>
      <c r="CQ55" s="423">
        <f t="shared" si="31"/>
        <v>0</v>
      </c>
      <c r="CS55" s="394" t="e">
        <f t="shared" si="32"/>
        <v>#DIV/0!</v>
      </c>
    </row>
    <row r="56" spans="3:97">
      <c r="C56" s="107"/>
      <c r="D56" s="395"/>
      <c r="E56" s="84"/>
      <c r="F56" s="84"/>
      <c r="G56" s="389"/>
      <c r="H56" s="390"/>
      <c r="I56" s="390"/>
      <c r="J56" s="390"/>
      <c r="K56" s="390"/>
      <c r="L56" s="390"/>
      <c r="M56" s="390"/>
      <c r="N56" s="390"/>
      <c r="O56" s="390"/>
      <c r="P56" s="390"/>
      <c r="Q56" s="390"/>
      <c r="R56" s="390"/>
      <c r="S56" s="390"/>
      <c r="T56" s="390"/>
      <c r="U56" s="390"/>
      <c r="V56" s="390"/>
      <c r="W56" s="390"/>
      <c r="X56" s="390"/>
      <c r="Y56" s="390"/>
      <c r="Z56" s="390"/>
      <c r="AA56" s="390"/>
      <c r="AB56" s="390"/>
      <c r="AC56" s="390"/>
      <c r="AD56" s="390"/>
      <c r="AE56" s="390"/>
      <c r="AF56" s="390"/>
      <c r="AG56" s="390"/>
      <c r="AH56" s="390"/>
      <c r="AI56" s="391"/>
      <c r="AK56" s="437"/>
      <c r="AL56" s="437"/>
      <c r="AM56" s="437"/>
      <c r="AN56" s="437"/>
      <c r="AO56" s="437"/>
      <c r="AP56" s="437"/>
      <c r="AQ56" s="437"/>
      <c r="AR56" s="437"/>
      <c r="AS56" s="437"/>
      <c r="AT56" s="437"/>
      <c r="AU56" s="437"/>
      <c r="AV56" s="437"/>
      <c r="AW56" s="437"/>
      <c r="AX56" s="437"/>
      <c r="AY56" s="437"/>
      <c r="AZ56" s="437"/>
      <c r="BA56" s="437"/>
      <c r="BB56" s="437"/>
      <c r="BC56" s="437"/>
      <c r="BD56" s="437"/>
      <c r="BE56" s="437"/>
      <c r="BF56" s="437"/>
      <c r="BG56" s="437"/>
      <c r="BH56" s="437"/>
      <c r="BI56" s="437"/>
      <c r="BJ56" s="437"/>
      <c r="BK56" s="437"/>
      <c r="BL56" s="437"/>
      <c r="BM56" s="393"/>
      <c r="BO56" s="399">
        <f t="shared" si="3"/>
        <v>0</v>
      </c>
      <c r="BP56" s="399">
        <f t="shared" si="4"/>
        <v>0</v>
      </c>
      <c r="BQ56" s="399">
        <f t="shared" si="5"/>
        <v>0</v>
      </c>
      <c r="BR56" s="399">
        <f t="shared" si="6"/>
        <v>0</v>
      </c>
      <c r="BS56" s="399">
        <f t="shared" si="7"/>
        <v>0</v>
      </c>
      <c r="BT56" s="399">
        <f t="shared" si="8"/>
        <v>0</v>
      </c>
      <c r="BU56" s="399">
        <f t="shared" si="9"/>
        <v>0</v>
      </c>
      <c r="BV56" s="399">
        <f t="shared" si="10"/>
        <v>0</v>
      </c>
      <c r="BW56" s="399">
        <f t="shared" si="11"/>
        <v>0</v>
      </c>
      <c r="BX56" s="399">
        <f t="shared" si="12"/>
        <v>0</v>
      </c>
      <c r="BY56" s="399">
        <f t="shared" si="13"/>
        <v>0</v>
      </c>
      <c r="BZ56" s="399">
        <f t="shared" si="14"/>
        <v>0</v>
      </c>
      <c r="CA56" s="399">
        <f t="shared" si="15"/>
        <v>0</v>
      </c>
      <c r="CB56" s="399">
        <f t="shared" si="16"/>
        <v>0</v>
      </c>
      <c r="CC56" s="399">
        <f t="shared" si="17"/>
        <v>0</v>
      </c>
      <c r="CD56" s="399">
        <f t="shared" si="18"/>
        <v>0</v>
      </c>
      <c r="CE56" s="399">
        <f t="shared" si="19"/>
        <v>0</v>
      </c>
      <c r="CF56" s="399">
        <f t="shared" si="20"/>
        <v>0</v>
      </c>
      <c r="CG56" s="399">
        <f t="shared" si="21"/>
        <v>0</v>
      </c>
      <c r="CH56" s="399">
        <f t="shared" si="22"/>
        <v>0</v>
      </c>
      <c r="CI56" s="399">
        <f t="shared" si="23"/>
        <v>0</v>
      </c>
      <c r="CJ56" s="399">
        <f t="shared" si="24"/>
        <v>0</v>
      </c>
      <c r="CK56" s="399">
        <f t="shared" si="25"/>
        <v>0</v>
      </c>
      <c r="CL56" s="399">
        <f t="shared" si="26"/>
        <v>0</v>
      </c>
      <c r="CM56" s="399">
        <f t="shared" si="27"/>
        <v>0</v>
      </c>
      <c r="CN56" s="399">
        <f t="shared" si="28"/>
        <v>0</v>
      </c>
      <c r="CO56" s="399">
        <f t="shared" si="29"/>
        <v>0</v>
      </c>
      <c r="CP56" s="399">
        <f t="shared" si="30"/>
        <v>0</v>
      </c>
      <c r="CQ56" s="423">
        <f t="shared" si="31"/>
        <v>0</v>
      </c>
      <c r="CS56" s="394" t="e">
        <f t="shared" si="32"/>
        <v>#DIV/0!</v>
      </c>
    </row>
    <row r="57" spans="3:97">
      <c r="C57" s="107"/>
      <c r="D57" s="395"/>
      <c r="E57" s="84"/>
      <c r="F57" s="84"/>
      <c r="G57" s="389"/>
      <c r="H57" s="390"/>
      <c r="I57" s="390"/>
      <c r="J57" s="390"/>
      <c r="K57" s="390"/>
      <c r="L57" s="390"/>
      <c r="M57" s="390"/>
      <c r="N57" s="390"/>
      <c r="O57" s="390"/>
      <c r="P57" s="390"/>
      <c r="Q57" s="390"/>
      <c r="R57" s="390"/>
      <c r="S57" s="390"/>
      <c r="T57" s="390"/>
      <c r="U57" s="390"/>
      <c r="V57" s="390"/>
      <c r="W57" s="390"/>
      <c r="X57" s="390"/>
      <c r="Y57" s="390"/>
      <c r="Z57" s="390"/>
      <c r="AA57" s="390"/>
      <c r="AB57" s="390"/>
      <c r="AC57" s="390"/>
      <c r="AD57" s="390"/>
      <c r="AE57" s="390"/>
      <c r="AF57" s="390"/>
      <c r="AG57" s="390"/>
      <c r="AH57" s="390"/>
      <c r="AI57" s="391"/>
      <c r="AK57" s="437"/>
      <c r="AL57" s="437"/>
      <c r="AM57" s="437"/>
      <c r="AN57" s="437"/>
      <c r="AO57" s="437"/>
      <c r="AP57" s="437"/>
      <c r="AQ57" s="437"/>
      <c r="AR57" s="437"/>
      <c r="AS57" s="437"/>
      <c r="AT57" s="437"/>
      <c r="AU57" s="437"/>
      <c r="AV57" s="437"/>
      <c r="AW57" s="437"/>
      <c r="AX57" s="437"/>
      <c r="AY57" s="437"/>
      <c r="AZ57" s="437"/>
      <c r="BA57" s="437"/>
      <c r="BB57" s="437"/>
      <c r="BC57" s="437"/>
      <c r="BD57" s="437"/>
      <c r="BE57" s="437"/>
      <c r="BF57" s="437"/>
      <c r="BG57" s="437"/>
      <c r="BH57" s="437"/>
      <c r="BI57" s="437"/>
      <c r="BJ57" s="437"/>
      <c r="BK57" s="437"/>
      <c r="BL57" s="437"/>
      <c r="BM57" s="393"/>
      <c r="BO57" s="399">
        <f t="shared" si="3"/>
        <v>0</v>
      </c>
      <c r="BP57" s="399">
        <f t="shared" si="4"/>
        <v>0</v>
      </c>
      <c r="BQ57" s="399">
        <f t="shared" si="5"/>
        <v>0</v>
      </c>
      <c r="BR57" s="399">
        <f t="shared" si="6"/>
        <v>0</v>
      </c>
      <c r="BS57" s="399">
        <f t="shared" si="7"/>
        <v>0</v>
      </c>
      <c r="BT57" s="399">
        <f t="shared" si="8"/>
        <v>0</v>
      </c>
      <c r="BU57" s="399">
        <f t="shared" si="9"/>
        <v>0</v>
      </c>
      <c r="BV57" s="399">
        <f t="shared" si="10"/>
        <v>0</v>
      </c>
      <c r="BW57" s="399">
        <f t="shared" si="11"/>
        <v>0</v>
      </c>
      <c r="BX57" s="399">
        <f t="shared" si="12"/>
        <v>0</v>
      </c>
      <c r="BY57" s="399">
        <f t="shared" si="13"/>
        <v>0</v>
      </c>
      <c r="BZ57" s="399">
        <f t="shared" si="14"/>
        <v>0</v>
      </c>
      <c r="CA57" s="399">
        <f t="shared" si="15"/>
        <v>0</v>
      </c>
      <c r="CB57" s="399">
        <f t="shared" si="16"/>
        <v>0</v>
      </c>
      <c r="CC57" s="399">
        <f t="shared" si="17"/>
        <v>0</v>
      </c>
      <c r="CD57" s="399">
        <f t="shared" si="18"/>
        <v>0</v>
      </c>
      <c r="CE57" s="399">
        <f t="shared" si="19"/>
        <v>0</v>
      </c>
      <c r="CF57" s="399">
        <f t="shared" si="20"/>
        <v>0</v>
      </c>
      <c r="CG57" s="399">
        <f t="shared" si="21"/>
        <v>0</v>
      </c>
      <c r="CH57" s="399">
        <f t="shared" si="22"/>
        <v>0</v>
      </c>
      <c r="CI57" s="399">
        <f t="shared" si="23"/>
        <v>0</v>
      </c>
      <c r="CJ57" s="399">
        <f t="shared" si="24"/>
        <v>0</v>
      </c>
      <c r="CK57" s="399">
        <f t="shared" si="25"/>
        <v>0</v>
      </c>
      <c r="CL57" s="399">
        <f t="shared" si="26"/>
        <v>0</v>
      </c>
      <c r="CM57" s="399">
        <f t="shared" si="27"/>
        <v>0</v>
      </c>
      <c r="CN57" s="399">
        <f t="shared" si="28"/>
        <v>0</v>
      </c>
      <c r="CO57" s="399">
        <f t="shared" si="29"/>
        <v>0</v>
      </c>
      <c r="CP57" s="399">
        <f t="shared" si="30"/>
        <v>0</v>
      </c>
      <c r="CQ57" s="423">
        <f t="shared" si="31"/>
        <v>0</v>
      </c>
      <c r="CS57" s="394" t="e">
        <f t="shared" si="32"/>
        <v>#DIV/0!</v>
      </c>
    </row>
    <row r="58" spans="3:97">
      <c r="C58" s="107"/>
      <c r="D58" s="395"/>
      <c r="E58" s="84"/>
      <c r="F58" s="84"/>
      <c r="G58" s="389"/>
      <c r="H58" s="390"/>
      <c r="I58" s="390"/>
      <c r="J58" s="390"/>
      <c r="K58" s="390"/>
      <c r="L58" s="390"/>
      <c r="M58" s="390"/>
      <c r="N58" s="390"/>
      <c r="O58" s="390"/>
      <c r="P58" s="390"/>
      <c r="Q58" s="390"/>
      <c r="R58" s="390"/>
      <c r="S58" s="390"/>
      <c r="T58" s="390"/>
      <c r="U58" s="390"/>
      <c r="V58" s="390"/>
      <c r="W58" s="390"/>
      <c r="X58" s="390"/>
      <c r="Y58" s="390"/>
      <c r="Z58" s="390"/>
      <c r="AA58" s="390"/>
      <c r="AB58" s="390"/>
      <c r="AC58" s="390"/>
      <c r="AD58" s="390"/>
      <c r="AE58" s="390"/>
      <c r="AF58" s="390"/>
      <c r="AG58" s="390"/>
      <c r="AH58" s="390"/>
      <c r="AI58" s="391"/>
      <c r="AK58" s="437"/>
      <c r="AL58" s="437"/>
      <c r="AM58" s="437"/>
      <c r="AN58" s="437"/>
      <c r="AO58" s="437"/>
      <c r="AP58" s="437"/>
      <c r="AQ58" s="437"/>
      <c r="AR58" s="437"/>
      <c r="AS58" s="437"/>
      <c r="AT58" s="437"/>
      <c r="AU58" s="437"/>
      <c r="AV58" s="437"/>
      <c r="AW58" s="437"/>
      <c r="AX58" s="437"/>
      <c r="AY58" s="437"/>
      <c r="AZ58" s="437"/>
      <c r="BA58" s="437"/>
      <c r="BB58" s="437"/>
      <c r="BC58" s="437"/>
      <c r="BD58" s="437"/>
      <c r="BE58" s="437"/>
      <c r="BF58" s="437"/>
      <c r="BG58" s="437"/>
      <c r="BH58" s="437"/>
      <c r="BI58" s="437"/>
      <c r="BJ58" s="437"/>
      <c r="BK58" s="437"/>
      <c r="BL58" s="437"/>
      <c r="BM58" s="393"/>
      <c r="BO58" s="399">
        <f t="shared" si="3"/>
        <v>0</v>
      </c>
      <c r="BP58" s="399">
        <f t="shared" si="4"/>
        <v>0</v>
      </c>
      <c r="BQ58" s="399">
        <f t="shared" si="5"/>
        <v>0</v>
      </c>
      <c r="BR58" s="399">
        <f t="shared" si="6"/>
        <v>0</v>
      </c>
      <c r="BS58" s="399">
        <f t="shared" si="7"/>
        <v>0</v>
      </c>
      <c r="BT58" s="399">
        <f t="shared" si="8"/>
        <v>0</v>
      </c>
      <c r="BU58" s="399">
        <f t="shared" si="9"/>
        <v>0</v>
      </c>
      <c r="BV58" s="399">
        <f t="shared" si="10"/>
        <v>0</v>
      </c>
      <c r="BW58" s="399">
        <f t="shared" si="11"/>
        <v>0</v>
      </c>
      <c r="BX58" s="399">
        <f t="shared" si="12"/>
        <v>0</v>
      </c>
      <c r="BY58" s="399">
        <f t="shared" si="13"/>
        <v>0</v>
      </c>
      <c r="BZ58" s="399">
        <f t="shared" si="14"/>
        <v>0</v>
      </c>
      <c r="CA58" s="399">
        <f t="shared" si="15"/>
        <v>0</v>
      </c>
      <c r="CB58" s="399">
        <f t="shared" si="16"/>
        <v>0</v>
      </c>
      <c r="CC58" s="399">
        <f t="shared" si="17"/>
        <v>0</v>
      </c>
      <c r="CD58" s="399">
        <f t="shared" si="18"/>
        <v>0</v>
      </c>
      <c r="CE58" s="399">
        <f t="shared" si="19"/>
        <v>0</v>
      </c>
      <c r="CF58" s="399">
        <f t="shared" si="20"/>
        <v>0</v>
      </c>
      <c r="CG58" s="399">
        <f t="shared" si="21"/>
        <v>0</v>
      </c>
      <c r="CH58" s="399">
        <f t="shared" si="22"/>
        <v>0</v>
      </c>
      <c r="CI58" s="399">
        <f t="shared" si="23"/>
        <v>0</v>
      </c>
      <c r="CJ58" s="399">
        <f t="shared" si="24"/>
        <v>0</v>
      </c>
      <c r="CK58" s="399">
        <f t="shared" si="25"/>
        <v>0</v>
      </c>
      <c r="CL58" s="399">
        <f t="shared" si="26"/>
        <v>0</v>
      </c>
      <c r="CM58" s="399">
        <f t="shared" si="27"/>
        <v>0</v>
      </c>
      <c r="CN58" s="399">
        <f t="shared" si="28"/>
        <v>0</v>
      </c>
      <c r="CO58" s="399">
        <f t="shared" si="29"/>
        <v>0</v>
      </c>
      <c r="CP58" s="399">
        <f t="shared" si="30"/>
        <v>0</v>
      </c>
      <c r="CQ58" s="423">
        <f t="shared" si="31"/>
        <v>0</v>
      </c>
      <c r="CS58" s="394" t="e">
        <f t="shared" si="32"/>
        <v>#DIV/0!</v>
      </c>
    </row>
    <row r="59" spans="3:97">
      <c r="C59" s="107"/>
      <c r="D59" s="395"/>
      <c r="E59" s="84"/>
      <c r="F59" s="84"/>
      <c r="G59" s="389"/>
      <c r="H59" s="390"/>
      <c r="I59" s="390"/>
      <c r="J59" s="390"/>
      <c r="K59" s="390"/>
      <c r="L59" s="390"/>
      <c r="M59" s="390"/>
      <c r="N59" s="390"/>
      <c r="O59" s="390"/>
      <c r="P59" s="390"/>
      <c r="Q59" s="390"/>
      <c r="R59" s="390"/>
      <c r="S59" s="390"/>
      <c r="T59" s="390"/>
      <c r="U59" s="390"/>
      <c r="V59" s="390"/>
      <c r="W59" s="390"/>
      <c r="X59" s="390"/>
      <c r="Y59" s="390"/>
      <c r="Z59" s="390"/>
      <c r="AA59" s="390"/>
      <c r="AB59" s="390"/>
      <c r="AC59" s="390"/>
      <c r="AD59" s="390"/>
      <c r="AE59" s="390"/>
      <c r="AF59" s="390"/>
      <c r="AG59" s="390"/>
      <c r="AH59" s="390"/>
      <c r="AI59" s="391"/>
      <c r="AK59" s="437"/>
      <c r="AL59" s="437"/>
      <c r="AM59" s="437"/>
      <c r="AN59" s="437"/>
      <c r="AO59" s="437"/>
      <c r="AP59" s="437"/>
      <c r="AQ59" s="437"/>
      <c r="AR59" s="437"/>
      <c r="AS59" s="437"/>
      <c r="AT59" s="437"/>
      <c r="AU59" s="437"/>
      <c r="AV59" s="437"/>
      <c r="AW59" s="437"/>
      <c r="AX59" s="437"/>
      <c r="AY59" s="437"/>
      <c r="AZ59" s="437"/>
      <c r="BA59" s="437"/>
      <c r="BB59" s="437"/>
      <c r="BC59" s="437"/>
      <c r="BD59" s="437"/>
      <c r="BE59" s="437"/>
      <c r="BF59" s="437"/>
      <c r="BG59" s="437"/>
      <c r="BH59" s="437"/>
      <c r="BI59" s="437"/>
      <c r="BJ59" s="437"/>
      <c r="BK59" s="437"/>
      <c r="BL59" s="437"/>
      <c r="BM59" s="393"/>
      <c r="BO59" s="399">
        <f t="shared" si="3"/>
        <v>0</v>
      </c>
      <c r="BP59" s="399">
        <f t="shared" si="4"/>
        <v>0</v>
      </c>
      <c r="BQ59" s="399">
        <f t="shared" si="5"/>
        <v>0</v>
      </c>
      <c r="BR59" s="399">
        <f t="shared" si="6"/>
        <v>0</v>
      </c>
      <c r="BS59" s="399">
        <f t="shared" si="7"/>
        <v>0</v>
      </c>
      <c r="BT59" s="399">
        <f t="shared" si="8"/>
        <v>0</v>
      </c>
      <c r="BU59" s="399">
        <f t="shared" si="9"/>
        <v>0</v>
      </c>
      <c r="BV59" s="399">
        <f t="shared" si="10"/>
        <v>0</v>
      </c>
      <c r="BW59" s="399">
        <f t="shared" si="11"/>
        <v>0</v>
      </c>
      <c r="BX59" s="399">
        <f t="shared" si="12"/>
        <v>0</v>
      </c>
      <c r="BY59" s="399">
        <f t="shared" si="13"/>
        <v>0</v>
      </c>
      <c r="BZ59" s="399">
        <f t="shared" si="14"/>
        <v>0</v>
      </c>
      <c r="CA59" s="399">
        <f t="shared" si="15"/>
        <v>0</v>
      </c>
      <c r="CB59" s="399">
        <f t="shared" si="16"/>
        <v>0</v>
      </c>
      <c r="CC59" s="399">
        <f t="shared" si="17"/>
        <v>0</v>
      </c>
      <c r="CD59" s="399">
        <f t="shared" si="18"/>
        <v>0</v>
      </c>
      <c r="CE59" s="399">
        <f t="shared" si="19"/>
        <v>0</v>
      </c>
      <c r="CF59" s="399">
        <f t="shared" si="20"/>
        <v>0</v>
      </c>
      <c r="CG59" s="399">
        <f t="shared" si="21"/>
        <v>0</v>
      </c>
      <c r="CH59" s="399">
        <f t="shared" si="22"/>
        <v>0</v>
      </c>
      <c r="CI59" s="399">
        <f t="shared" si="23"/>
        <v>0</v>
      </c>
      <c r="CJ59" s="399">
        <f t="shared" si="24"/>
        <v>0</v>
      </c>
      <c r="CK59" s="399">
        <f t="shared" si="25"/>
        <v>0</v>
      </c>
      <c r="CL59" s="399">
        <f t="shared" si="26"/>
        <v>0</v>
      </c>
      <c r="CM59" s="399">
        <f t="shared" si="27"/>
        <v>0</v>
      </c>
      <c r="CN59" s="399">
        <f t="shared" si="28"/>
        <v>0</v>
      </c>
      <c r="CO59" s="399">
        <f t="shared" si="29"/>
        <v>0</v>
      </c>
      <c r="CP59" s="399">
        <f t="shared" si="30"/>
        <v>0</v>
      </c>
      <c r="CQ59" s="423">
        <f t="shared" si="31"/>
        <v>0</v>
      </c>
      <c r="CS59" s="394" t="e">
        <f t="shared" si="32"/>
        <v>#DIV/0!</v>
      </c>
    </row>
    <row r="60" spans="3:97">
      <c r="C60" s="107"/>
      <c r="D60" s="395"/>
      <c r="E60" s="84"/>
      <c r="F60" s="84"/>
      <c r="G60" s="389"/>
      <c r="H60" s="390"/>
      <c r="I60" s="390"/>
      <c r="J60" s="390"/>
      <c r="K60" s="390"/>
      <c r="L60" s="390"/>
      <c r="M60" s="390"/>
      <c r="N60" s="390"/>
      <c r="O60" s="390"/>
      <c r="P60" s="390"/>
      <c r="Q60" s="390"/>
      <c r="R60" s="390"/>
      <c r="S60" s="390"/>
      <c r="T60" s="390"/>
      <c r="U60" s="390"/>
      <c r="V60" s="390"/>
      <c r="W60" s="390"/>
      <c r="X60" s="390"/>
      <c r="Y60" s="390"/>
      <c r="Z60" s="390"/>
      <c r="AA60" s="390"/>
      <c r="AB60" s="390"/>
      <c r="AC60" s="390"/>
      <c r="AD60" s="390"/>
      <c r="AE60" s="390"/>
      <c r="AF60" s="390"/>
      <c r="AG60" s="390"/>
      <c r="AH60" s="390"/>
      <c r="AI60" s="391"/>
      <c r="AK60" s="437"/>
      <c r="AL60" s="437"/>
      <c r="AM60" s="437"/>
      <c r="AN60" s="437"/>
      <c r="AO60" s="437"/>
      <c r="AP60" s="437"/>
      <c r="AQ60" s="437"/>
      <c r="AR60" s="437"/>
      <c r="AS60" s="437"/>
      <c r="AT60" s="437"/>
      <c r="AU60" s="437"/>
      <c r="AV60" s="437"/>
      <c r="AW60" s="437"/>
      <c r="AX60" s="437"/>
      <c r="AY60" s="437"/>
      <c r="AZ60" s="437"/>
      <c r="BA60" s="437"/>
      <c r="BB60" s="437"/>
      <c r="BC60" s="437"/>
      <c r="BD60" s="437"/>
      <c r="BE60" s="437"/>
      <c r="BF60" s="437"/>
      <c r="BG60" s="437"/>
      <c r="BH60" s="437"/>
      <c r="BI60" s="437"/>
      <c r="BJ60" s="437"/>
      <c r="BK60" s="437"/>
      <c r="BL60" s="437"/>
      <c r="BM60" s="393"/>
      <c r="BO60" s="399">
        <f t="shared" si="3"/>
        <v>0</v>
      </c>
      <c r="BP60" s="399">
        <f t="shared" si="4"/>
        <v>0</v>
      </c>
      <c r="BQ60" s="399">
        <f t="shared" si="5"/>
        <v>0</v>
      </c>
      <c r="BR60" s="399">
        <f t="shared" si="6"/>
        <v>0</v>
      </c>
      <c r="BS60" s="399">
        <f t="shared" si="7"/>
        <v>0</v>
      </c>
      <c r="BT60" s="399">
        <f t="shared" si="8"/>
        <v>0</v>
      </c>
      <c r="BU60" s="399">
        <f t="shared" si="9"/>
        <v>0</v>
      </c>
      <c r="BV60" s="399">
        <f t="shared" si="10"/>
        <v>0</v>
      </c>
      <c r="BW60" s="399">
        <f t="shared" si="11"/>
        <v>0</v>
      </c>
      <c r="BX60" s="399">
        <f t="shared" si="12"/>
        <v>0</v>
      </c>
      <c r="BY60" s="399">
        <f t="shared" si="13"/>
        <v>0</v>
      </c>
      <c r="BZ60" s="399">
        <f t="shared" si="14"/>
        <v>0</v>
      </c>
      <c r="CA60" s="399">
        <f t="shared" si="15"/>
        <v>0</v>
      </c>
      <c r="CB60" s="399">
        <f t="shared" si="16"/>
        <v>0</v>
      </c>
      <c r="CC60" s="399">
        <f t="shared" si="17"/>
        <v>0</v>
      </c>
      <c r="CD60" s="399">
        <f t="shared" si="18"/>
        <v>0</v>
      </c>
      <c r="CE60" s="399">
        <f t="shared" si="19"/>
        <v>0</v>
      </c>
      <c r="CF60" s="399">
        <f t="shared" si="20"/>
        <v>0</v>
      </c>
      <c r="CG60" s="399">
        <f t="shared" si="21"/>
        <v>0</v>
      </c>
      <c r="CH60" s="399">
        <f t="shared" si="22"/>
        <v>0</v>
      </c>
      <c r="CI60" s="399">
        <f t="shared" si="23"/>
        <v>0</v>
      </c>
      <c r="CJ60" s="399">
        <f t="shared" si="24"/>
        <v>0</v>
      </c>
      <c r="CK60" s="399">
        <f t="shared" si="25"/>
        <v>0</v>
      </c>
      <c r="CL60" s="399">
        <f t="shared" si="26"/>
        <v>0</v>
      </c>
      <c r="CM60" s="399">
        <f t="shared" si="27"/>
        <v>0</v>
      </c>
      <c r="CN60" s="399">
        <f t="shared" si="28"/>
        <v>0</v>
      </c>
      <c r="CO60" s="399">
        <f t="shared" si="29"/>
        <v>0</v>
      </c>
      <c r="CP60" s="399">
        <f t="shared" si="30"/>
        <v>0</v>
      </c>
      <c r="CQ60" s="423">
        <f t="shared" si="31"/>
        <v>0</v>
      </c>
      <c r="CS60" s="394" t="e">
        <f t="shared" si="32"/>
        <v>#DIV/0!</v>
      </c>
    </row>
    <row r="61" spans="3:97">
      <c r="C61" s="107"/>
      <c r="D61" s="395"/>
      <c r="E61" s="84"/>
      <c r="F61" s="84"/>
      <c r="G61" s="389"/>
      <c r="H61" s="390"/>
      <c r="I61" s="390"/>
      <c r="J61" s="390"/>
      <c r="K61" s="390"/>
      <c r="L61" s="390"/>
      <c r="M61" s="390"/>
      <c r="N61" s="390"/>
      <c r="O61" s="390"/>
      <c r="P61" s="390"/>
      <c r="Q61" s="390"/>
      <c r="R61" s="390"/>
      <c r="S61" s="390"/>
      <c r="T61" s="390"/>
      <c r="U61" s="390"/>
      <c r="V61" s="390"/>
      <c r="W61" s="390"/>
      <c r="X61" s="390"/>
      <c r="Y61" s="390"/>
      <c r="Z61" s="390"/>
      <c r="AA61" s="390"/>
      <c r="AB61" s="390"/>
      <c r="AC61" s="390"/>
      <c r="AD61" s="390"/>
      <c r="AE61" s="390"/>
      <c r="AF61" s="390"/>
      <c r="AG61" s="390"/>
      <c r="AH61" s="390"/>
      <c r="AI61" s="391"/>
      <c r="AK61" s="437"/>
      <c r="AL61" s="437"/>
      <c r="AM61" s="437"/>
      <c r="AN61" s="437"/>
      <c r="AO61" s="437"/>
      <c r="AP61" s="437"/>
      <c r="AQ61" s="437"/>
      <c r="AR61" s="437"/>
      <c r="AS61" s="437"/>
      <c r="AT61" s="437"/>
      <c r="AU61" s="437"/>
      <c r="AV61" s="437"/>
      <c r="AW61" s="437"/>
      <c r="AX61" s="437"/>
      <c r="AY61" s="437"/>
      <c r="AZ61" s="437"/>
      <c r="BA61" s="437"/>
      <c r="BB61" s="437"/>
      <c r="BC61" s="437"/>
      <c r="BD61" s="437"/>
      <c r="BE61" s="437"/>
      <c r="BF61" s="437"/>
      <c r="BG61" s="437"/>
      <c r="BH61" s="437"/>
      <c r="BI61" s="437"/>
      <c r="BJ61" s="437"/>
      <c r="BK61" s="437"/>
      <c r="BL61" s="437"/>
      <c r="BM61" s="393"/>
      <c r="BO61" s="399">
        <f t="shared" si="3"/>
        <v>0</v>
      </c>
      <c r="BP61" s="399">
        <f t="shared" si="4"/>
        <v>0</v>
      </c>
      <c r="BQ61" s="399">
        <f t="shared" si="5"/>
        <v>0</v>
      </c>
      <c r="BR61" s="399">
        <f t="shared" si="6"/>
        <v>0</v>
      </c>
      <c r="BS61" s="399">
        <f t="shared" si="7"/>
        <v>0</v>
      </c>
      <c r="BT61" s="399">
        <f t="shared" si="8"/>
        <v>0</v>
      </c>
      <c r="BU61" s="399">
        <f t="shared" si="9"/>
        <v>0</v>
      </c>
      <c r="BV61" s="399">
        <f t="shared" si="10"/>
        <v>0</v>
      </c>
      <c r="BW61" s="399">
        <f t="shared" si="11"/>
        <v>0</v>
      </c>
      <c r="BX61" s="399">
        <f t="shared" si="12"/>
        <v>0</v>
      </c>
      <c r="BY61" s="399">
        <f t="shared" si="13"/>
        <v>0</v>
      </c>
      <c r="BZ61" s="399">
        <f t="shared" si="14"/>
        <v>0</v>
      </c>
      <c r="CA61" s="399">
        <f t="shared" si="15"/>
        <v>0</v>
      </c>
      <c r="CB61" s="399">
        <f t="shared" si="16"/>
        <v>0</v>
      </c>
      <c r="CC61" s="399">
        <f t="shared" si="17"/>
        <v>0</v>
      </c>
      <c r="CD61" s="399">
        <f t="shared" si="18"/>
        <v>0</v>
      </c>
      <c r="CE61" s="399">
        <f t="shared" si="19"/>
        <v>0</v>
      </c>
      <c r="CF61" s="399">
        <f t="shared" si="20"/>
        <v>0</v>
      </c>
      <c r="CG61" s="399">
        <f t="shared" si="21"/>
        <v>0</v>
      </c>
      <c r="CH61" s="399">
        <f t="shared" si="22"/>
        <v>0</v>
      </c>
      <c r="CI61" s="399">
        <f t="shared" si="23"/>
        <v>0</v>
      </c>
      <c r="CJ61" s="399">
        <f t="shared" si="24"/>
        <v>0</v>
      </c>
      <c r="CK61" s="399">
        <f t="shared" si="25"/>
        <v>0</v>
      </c>
      <c r="CL61" s="399">
        <f t="shared" si="26"/>
        <v>0</v>
      </c>
      <c r="CM61" s="399">
        <f t="shared" si="27"/>
        <v>0</v>
      </c>
      <c r="CN61" s="399">
        <f t="shared" si="28"/>
        <v>0</v>
      </c>
      <c r="CO61" s="399">
        <f t="shared" si="29"/>
        <v>0</v>
      </c>
      <c r="CP61" s="399">
        <f t="shared" si="30"/>
        <v>0</v>
      </c>
      <c r="CQ61" s="423">
        <f t="shared" si="31"/>
        <v>0</v>
      </c>
      <c r="CS61" s="394" t="e">
        <f t="shared" si="32"/>
        <v>#DIV/0!</v>
      </c>
    </row>
    <row r="62" spans="3:97">
      <c r="C62" s="107"/>
      <c r="D62" s="395"/>
      <c r="E62" s="84"/>
      <c r="F62" s="84"/>
      <c r="G62" s="389"/>
      <c r="H62" s="390"/>
      <c r="I62" s="390"/>
      <c r="J62" s="390"/>
      <c r="K62" s="390"/>
      <c r="L62" s="390"/>
      <c r="M62" s="390"/>
      <c r="N62" s="390"/>
      <c r="O62" s="390"/>
      <c r="P62" s="390"/>
      <c r="Q62" s="390"/>
      <c r="R62" s="390"/>
      <c r="S62" s="390"/>
      <c r="T62" s="390"/>
      <c r="U62" s="390"/>
      <c r="V62" s="390"/>
      <c r="W62" s="390"/>
      <c r="X62" s="390"/>
      <c r="Y62" s="390"/>
      <c r="Z62" s="390"/>
      <c r="AA62" s="390"/>
      <c r="AB62" s="390"/>
      <c r="AC62" s="390"/>
      <c r="AD62" s="390"/>
      <c r="AE62" s="390"/>
      <c r="AF62" s="390"/>
      <c r="AG62" s="390"/>
      <c r="AH62" s="390"/>
      <c r="AI62" s="391"/>
      <c r="AK62" s="437"/>
      <c r="AL62" s="437"/>
      <c r="AM62" s="437"/>
      <c r="AN62" s="437"/>
      <c r="AO62" s="437"/>
      <c r="AP62" s="437"/>
      <c r="AQ62" s="437"/>
      <c r="AR62" s="437"/>
      <c r="AS62" s="437"/>
      <c r="AT62" s="437"/>
      <c r="AU62" s="437"/>
      <c r="AV62" s="437"/>
      <c r="AW62" s="437"/>
      <c r="AX62" s="437"/>
      <c r="AY62" s="437"/>
      <c r="AZ62" s="437"/>
      <c r="BA62" s="437"/>
      <c r="BB62" s="437"/>
      <c r="BC62" s="437"/>
      <c r="BD62" s="437"/>
      <c r="BE62" s="437"/>
      <c r="BF62" s="437"/>
      <c r="BG62" s="437"/>
      <c r="BH62" s="437"/>
      <c r="BI62" s="437"/>
      <c r="BJ62" s="437"/>
      <c r="BK62" s="437"/>
      <c r="BL62" s="437"/>
      <c r="BM62" s="393"/>
      <c r="BO62" s="399">
        <f t="shared" si="3"/>
        <v>0</v>
      </c>
      <c r="BP62" s="399">
        <f t="shared" si="4"/>
        <v>0</v>
      </c>
      <c r="BQ62" s="399">
        <f t="shared" si="5"/>
        <v>0</v>
      </c>
      <c r="BR62" s="399">
        <f t="shared" si="6"/>
        <v>0</v>
      </c>
      <c r="BS62" s="399">
        <f t="shared" si="7"/>
        <v>0</v>
      </c>
      <c r="BT62" s="399">
        <f t="shared" si="8"/>
        <v>0</v>
      </c>
      <c r="BU62" s="399">
        <f t="shared" si="9"/>
        <v>0</v>
      </c>
      <c r="BV62" s="399">
        <f t="shared" si="10"/>
        <v>0</v>
      </c>
      <c r="BW62" s="399">
        <f t="shared" si="11"/>
        <v>0</v>
      </c>
      <c r="BX62" s="399">
        <f t="shared" si="12"/>
        <v>0</v>
      </c>
      <c r="BY62" s="399">
        <f t="shared" si="13"/>
        <v>0</v>
      </c>
      <c r="BZ62" s="399">
        <f t="shared" si="14"/>
        <v>0</v>
      </c>
      <c r="CA62" s="399">
        <f t="shared" si="15"/>
        <v>0</v>
      </c>
      <c r="CB62" s="399">
        <f t="shared" si="16"/>
        <v>0</v>
      </c>
      <c r="CC62" s="399">
        <f t="shared" si="17"/>
        <v>0</v>
      </c>
      <c r="CD62" s="399">
        <f t="shared" si="18"/>
        <v>0</v>
      </c>
      <c r="CE62" s="399">
        <f t="shared" si="19"/>
        <v>0</v>
      </c>
      <c r="CF62" s="399">
        <f t="shared" si="20"/>
        <v>0</v>
      </c>
      <c r="CG62" s="399">
        <f t="shared" si="21"/>
        <v>0</v>
      </c>
      <c r="CH62" s="399">
        <f t="shared" si="22"/>
        <v>0</v>
      </c>
      <c r="CI62" s="399">
        <f t="shared" si="23"/>
        <v>0</v>
      </c>
      <c r="CJ62" s="399">
        <f t="shared" si="24"/>
        <v>0</v>
      </c>
      <c r="CK62" s="399">
        <f t="shared" si="25"/>
        <v>0</v>
      </c>
      <c r="CL62" s="399">
        <f t="shared" si="26"/>
        <v>0</v>
      </c>
      <c r="CM62" s="399">
        <f t="shared" si="27"/>
        <v>0</v>
      </c>
      <c r="CN62" s="399">
        <f t="shared" si="28"/>
        <v>0</v>
      </c>
      <c r="CO62" s="399">
        <f t="shared" si="29"/>
        <v>0</v>
      </c>
      <c r="CP62" s="399">
        <f t="shared" si="30"/>
        <v>0</v>
      </c>
      <c r="CQ62" s="423">
        <f t="shared" si="31"/>
        <v>0</v>
      </c>
      <c r="CS62" s="394" t="e">
        <f t="shared" si="32"/>
        <v>#DIV/0!</v>
      </c>
    </row>
    <row r="63" spans="3:97">
      <c r="C63" s="107"/>
      <c r="D63" s="395"/>
      <c r="E63" s="84"/>
      <c r="F63" s="84"/>
      <c r="G63" s="389"/>
      <c r="H63" s="390"/>
      <c r="I63" s="390"/>
      <c r="J63" s="390"/>
      <c r="K63" s="390"/>
      <c r="L63" s="390"/>
      <c r="M63" s="390"/>
      <c r="N63" s="390"/>
      <c r="O63" s="390"/>
      <c r="P63" s="390"/>
      <c r="Q63" s="390"/>
      <c r="R63" s="390"/>
      <c r="S63" s="390"/>
      <c r="T63" s="390"/>
      <c r="U63" s="390"/>
      <c r="V63" s="390"/>
      <c r="W63" s="390"/>
      <c r="X63" s="390"/>
      <c r="Y63" s="390"/>
      <c r="Z63" s="390"/>
      <c r="AA63" s="390"/>
      <c r="AB63" s="390"/>
      <c r="AC63" s="390"/>
      <c r="AD63" s="390"/>
      <c r="AE63" s="390"/>
      <c r="AF63" s="390"/>
      <c r="AG63" s="390"/>
      <c r="AH63" s="390"/>
      <c r="AI63" s="391"/>
      <c r="AK63" s="437"/>
      <c r="AL63" s="437"/>
      <c r="AM63" s="437"/>
      <c r="AN63" s="437"/>
      <c r="AO63" s="437"/>
      <c r="AP63" s="437"/>
      <c r="AQ63" s="437"/>
      <c r="AR63" s="437"/>
      <c r="AS63" s="437"/>
      <c r="AT63" s="437"/>
      <c r="AU63" s="437"/>
      <c r="AV63" s="437"/>
      <c r="AW63" s="437"/>
      <c r="AX63" s="437"/>
      <c r="AY63" s="437"/>
      <c r="AZ63" s="437"/>
      <c r="BA63" s="437"/>
      <c r="BB63" s="437"/>
      <c r="BC63" s="437"/>
      <c r="BD63" s="437"/>
      <c r="BE63" s="437"/>
      <c r="BF63" s="437"/>
      <c r="BG63" s="437"/>
      <c r="BH63" s="437"/>
      <c r="BI63" s="437"/>
      <c r="BJ63" s="437"/>
      <c r="BK63" s="437"/>
      <c r="BL63" s="437"/>
      <c r="BM63" s="393"/>
      <c r="BO63" s="399">
        <f t="shared" si="3"/>
        <v>0</v>
      </c>
      <c r="BP63" s="399">
        <f t="shared" si="4"/>
        <v>0</v>
      </c>
      <c r="BQ63" s="399">
        <f t="shared" si="5"/>
        <v>0</v>
      </c>
      <c r="BR63" s="399">
        <f t="shared" si="6"/>
        <v>0</v>
      </c>
      <c r="BS63" s="399">
        <f t="shared" si="7"/>
        <v>0</v>
      </c>
      <c r="BT63" s="399">
        <f t="shared" si="8"/>
        <v>0</v>
      </c>
      <c r="BU63" s="399">
        <f t="shared" si="9"/>
        <v>0</v>
      </c>
      <c r="BV63" s="399">
        <f t="shared" si="10"/>
        <v>0</v>
      </c>
      <c r="BW63" s="399">
        <f t="shared" si="11"/>
        <v>0</v>
      </c>
      <c r="BX63" s="399">
        <f t="shared" si="12"/>
        <v>0</v>
      </c>
      <c r="BY63" s="399">
        <f t="shared" si="13"/>
        <v>0</v>
      </c>
      <c r="BZ63" s="399">
        <f t="shared" si="14"/>
        <v>0</v>
      </c>
      <c r="CA63" s="399">
        <f t="shared" si="15"/>
        <v>0</v>
      </c>
      <c r="CB63" s="399">
        <f t="shared" si="16"/>
        <v>0</v>
      </c>
      <c r="CC63" s="399">
        <f t="shared" si="17"/>
        <v>0</v>
      </c>
      <c r="CD63" s="399">
        <f t="shared" si="18"/>
        <v>0</v>
      </c>
      <c r="CE63" s="399">
        <f t="shared" si="19"/>
        <v>0</v>
      </c>
      <c r="CF63" s="399">
        <f t="shared" si="20"/>
        <v>0</v>
      </c>
      <c r="CG63" s="399">
        <f t="shared" si="21"/>
        <v>0</v>
      </c>
      <c r="CH63" s="399">
        <f t="shared" si="22"/>
        <v>0</v>
      </c>
      <c r="CI63" s="399">
        <f t="shared" si="23"/>
        <v>0</v>
      </c>
      <c r="CJ63" s="399">
        <f t="shared" si="24"/>
        <v>0</v>
      </c>
      <c r="CK63" s="399">
        <f t="shared" si="25"/>
        <v>0</v>
      </c>
      <c r="CL63" s="399">
        <f t="shared" si="26"/>
        <v>0</v>
      </c>
      <c r="CM63" s="399">
        <f t="shared" si="27"/>
        <v>0</v>
      </c>
      <c r="CN63" s="399">
        <f t="shared" si="28"/>
        <v>0</v>
      </c>
      <c r="CO63" s="399">
        <f t="shared" si="29"/>
        <v>0</v>
      </c>
      <c r="CP63" s="399">
        <f t="shared" si="30"/>
        <v>0</v>
      </c>
      <c r="CQ63" s="423">
        <f t="shared" si="31"/>
        <v>0</v>
      </c>
      <c r="CS63" s="394" t="e">
        <f t="shared" si="32"/>
        <v>#DIV/0!</v>
      </c>
    </row>
    <row r="64" spans="3:97">
      <c r="C64" s="107"/>
      <c r="D64" s="395"/>
      <c r="E64" s="84"/>
      <c r="F64" s="84"/>
      <c r="G64" s="389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  <c r="T64" s="390"/>
      <c r="U64" s="390"/>
      <c r="V64" s="390"/>
      <c r="W64" s="390"/>
      <c r="X64" s="390"/>
      <c r="Y64" s="390"/>
      <c r="Z64" s="390"/>
      <c r="AA64" s="390"/>
      <c r="AB64" s="390"/>
      <c r="AC64" s="390"/>
      <c r="AD64" s="390"/>
      <c r="AE64" s="390"/>
      <c r="AF64" s="390"/>
      <c r="AG64" s="390"/>
      <c r="AH64" s="390"/>
      <c r="AI64" s="391"/>
      <c r="AK64" s="437"/>
      <c r="AL64" s="437"/>
      <c r="AM64" s="437"/>
      <c r="AN64" s="437"/>
      <c r="AO64" s="437"/>
      <c r="AP64" s="437"/>
      <c r="AQ64" s="437"/>
      <c r="AR64" s="437"/>
      <c r="AS64" s="437"/>
      <c r="AT64" s="437"/>
      <c r="AU64" s="437"/>
      <c r="AV64" s="437"/>
      <c r="AW64" s="437"/>
      <c r="AX64" s="437"/>
      <c r="AY64" s="437"/>
      <c r="AZ64" s="437"/>
      <c r="BA64" s="437"/>
      <c r="BB64" s="437"/>
      <c r="BC64" s="437"/>
      <c r="BD64" s="437"/>
      <c r="BE64" s="437"/>
      <c r="BF64" s="437"/>
      <c r="BG64" s="437"/>
      <c r="BH64" s="437"/>
      <c r="BI64" s="437"/>
      <c r="BJ64" s="437"/>
      <c r="BK64" s="437"/>
      <c r="BL64" s="437"/>
      <c r="BM64" s="393"/>
      <c r="BO64" s="399">
        <f t="shared" si="3"/>
        <v>0</v>
      </c>
      <c r="BP64" s="399">
        <f t="shared" si="4"/>
        <v>0</v>
      </c>
      <c r="BQ64" s="399">
        <f t="shared" si="5"/>
        <v>0</v>
      </c>
      <c r="BR64" s="399">
        <f t="shared" si="6"/>
        <v>0</v>
      </c>
      <c r="BS64" s="399">
        <f t="shared" si="7"/>
        <v>0</v>
      </c>
      <c r="BT64" s="399">
        <f t="shared" si="8"/>
        <v>0</v>
      </c>
      <c r="BU64" s="399">
        <f t="shared" si="9"/>
        <v>0</v>
      </c>
      <c r="BV64" s="399">
        <f t="shared" si="10"/>
        <v>0</v>
      </c>
      <c r="BW64" s="399">
        <f t="shared" si="11"/>
        <v>0</v>
      </c>
      <c r="BX64" s="399">
        <f t="shared" si="12"/>
        <v>0</v>
      </c>
      <c r="BY64" s="399">
        <f t="shared" si="13"/>
        <v>0</v>
      </c>
      <c r="BZ64" s="399">
        <f t="shared" si="14"/>
        <v>0</v>
      </c>
      <c r="CA64" s="399">
        <f t="shared" si="15"/>
        <v>0</v>
      </c>
      <c r="CB64" s="399">
        <f t="shared" si="16"/>
        <v>0</v>
      </c>
      <c r="CC64" s="399">
        <f t="shared" si="17"/>
        <v>0</v>
      </c>
      <c r="CD64" s="399">
        <f t="shared" si="18"/>
        <v>0</v>
      </c>
      <c r="CE64" s="399">
        <f t="shared" si="19"/>
        <v>0</v>
      </c>
      <c r="CF64" s="399">
        <f t="shared" si="20"/>
        <v>0</v>
      </c>
      <c r="CG64" s="399">
        <f t="shared" si="21"/>
        <v>0</v>
      </c>
      <c r="CH64" s="399">
        <f t="shared" si="22"/>
        <v>0</v>
      </c>
      <c r="CI64" s="399">
        <f t="shared" si="23"/>
        <v>0</v>
      </c>
      <c r="CJ64" s="399">
        <f t="shared" si="24"/>
        <v>0</v>
      </c>
      <c r="CK64" s="399">
        <f t="shared" si="25"/>
        <v>0</v>
      </c>
      <c r="CL64" s="399">
        <f t="shared" si="26"/>
        <v>0</v>
      </c>
      <c r="CM64" s="399">
        <f t="shared" si="27"/>
        <v>0</v>
      </c>
      <c r="CN64" s="399">
        <f t="shared" si="28"/>
        <v>0</v>
      </c>
      <c r="CO64" s="399">
        <f t="shared" si="29"/>
        <v>0</v>
      </c>
      <c r="CP64" s="399">
        <f t="shared" si="30"/>
        <v>0</v>
      </c>
      <c r="CQ64" s="423">
        <f t="shared" si="31"/>
        <v>0</v>
      </c>
      <c r="CS64" s="394" t="e">
        <f t="shared" si="32"/>
        <v>#DIV/0!</v>
      </c>
    </row>
    <row r="65" spans="3:97">
      <c r="C65" s="107"/>
      <c r="D65" s="395"/>
      <c r="E65" s="84"/>
      <c r="F65" s="84"/>
      <c r="G65" s="389"/>
      <c r="H65" s="390"/>
      <c r="I65" s="390"/>
      <c r="J65" s="390"/>
      <c r="K65" s="390"/>
      <c r="L65" s="390"/>
      <c r="M65" s="390"/>
      <c r="N65" s="390"/>
      <c r="O65" s="390"/>
      <c r="P65" s="390"/>
      <c r="Q65" s="390"/>
      <c r="R65" s="390"/>
      <c r="S65" s="390"/>
      <c r="T65" s="390"/>
      <c r="U65" s="390"/>
      <c r="V65" s="390"/>
      <c r="W65" s="390"/>
      <c r="X65" s="390"/>
      <c r="Y65" s="390"/>
      <c r="Z65" s="390"/>
      <c r="AA65" s="390"/>
      <c r="AB65" s="390"/>
      <c r="AC65" s="390"/>
      <c r="AD65" s="390"/>
      <c r="AE65" s="390"/>
      <c r="AF65" s="390"/>
      <c r="AG65" s="390"/>
      <c r="AH65" s="390"/>
      <c r="AI65" s="391"/>
      <c r="AK65" s="437"/>
      <c r="AL65" s="437"/>
      <c r="AM65" s="437"/>
      <c r="AN65" s="437"/>
      <c r="AO65" s="437"/>
      <c r="AP65" s="437"/>
      <c r="AQ65" s="437"/>
      <c r="AR65" s="437"/>
      <c r="AS65" s="437"/>
      <c r="AT65" s="437"/>
      <c r="AU65" s="437"/>
      <c r="AV65" s="437"/>
      <c r="AW65" s="437"/>
      <c r="AX65" s="437"/>
      <c r="AY65" s="437"/>
      <c r="AZ65" s="437"/>
      <c r="BA65" s="437"/>
      <c r="BB65" s="437"/>
      <c r="BC65" s="437"/>
      <c r="BD65" s="437"/>
      <c r="BE65" s="437"/>
      <c r="BF65" s="437"/>
      <c r="BG65" s="437"/>
      <c r="BH65" s="437"/>
      <c r="BI65" s="437"/>
      <c r="BJ65" s="437"/>
      <c r="BK65" s="437"/>
      <c r="BL65" s="437"/>
      <c r="BM65" s="393"/>
      <c r="BO65" s="399">
        <f t="shared" si="3"/>
        <v>0</v>
      </c>
      <c r="BP65" s="399">
        <f t="shared" si="4"/>
        <v>0</v>
      </c>
      <c r="BQ65" s="399">
        <f t="shared" si="5"/>
        <v>0</v>
      </c>
      <c r="BR65" s="399">
        <f t="shared" si="6"/>
        <v>0</v>
      </c>
      <c r="BS65" s="399">
        <f t="shared" si="7"/>
        <v>0</v>
      </c>
      <c r="BT65" s="399">
        <f t="shared" si="8"/>
        <v>0</v>
      </c>
      <c r="BU65" s="399">
        <f t="shared" si="9"/>
        <v>0</v>
      </c>
      <c r="BV65" s="399">
        <f t="shared" si="10"/>
        <v>0</v>
      </c>
      <c r="BW65" s="399">
        <f t="shared" si="11"/>
        <v>0</v>
      </c>
      <c r="BX65" s="399">
        <f t="shared" si="12"/>
        <v>0</v>
      </c>
      <c r="BY65" s="399">
        <f t="shared" si="13"/>
        <v>0</v>
      </c>
      <c r="BZ65" s="399">
        <f t="shared" si="14"/>
        <v>0</v>
      </c>
      <c r="CA65" s="399">
        <f t="shared" si="15"/>
        <v>0</v>
      </c>
      <c r="CB65" s="399">
        <f t="shared" si="16"/>
        <v>0</v>
      </c>
      <c r="CC65" s="399">
        <f t="shared" si="17"/>
        <v>0</v>
      </c>
      <c r="CD65" s="399">
        <f t="shared" si="18"/>
        <v>0</v>
      </c>
      <c r="CE65" s="399">
        <f t="shared" si="19"/>
        <v>0</v>
      </c>
      <c r="CF65" s="399">
        <f t="shared" si="20"/>
        <v>0</v>
      </c>
      <c r="CG65" s="399">
        <f t="shared" si="21"/>
        <v>0</v>
      </c>
      <c r="CH65" s="399">
        <f t="shared" si="22"/>
        <v>0</v>
      </c>
      <c r="CI65" s="399">
        <f t="shared" si="23"/>
        <v>0</v>
      </c>
      <c r="CJ65" s="399">
        <f t="shared" si="24"/>
        <v>0</v>
      </c>
      <c r="CK65" s="399">
        <f t="shared" si="25"/>
        <v>0</v>
      </c>
      <c r="CL65" s="399">
        <f t="shared" si="26"/>
        <v>0</v>
      </c>
      <c r="CM65" s="399">
        <f t="shared" si="27"/>
        <v>0</v>
      </c>
      <c r="CN65" s="399">
        <f t="shared" si="28"/>
        <v>0</v>
      </c>
      <c r="CO65" s="399">
        <f t="shared" si="29"/>
        <v>0</v>
      </c>
      <c r="CP65" s="399">
        <f t="shared" si="30"/>
        <v>0</v>
      </c>
      <c r="CQ65" s="423">
        <f t="shared" si="31"/>
        <v>0</v>
      </c>
      <c r="CS65" s="394" t="e">
        <f t="shared" si="32"/>
        <v>#DIV/0!</v>
      </c>
    </row>
    <row r="66" spans="3:97">
      <c r="C66" s="107"/>
      <c r="D66" s="395"/>
      <c r="E66" s="84"/>
      <c r="F66" s="84"/>
      <c r="G66" s="389"/>
      <c r="H66" s="390"/>
      <c r="I66" s="390"/>
      <c r="J66" s="390"/>
      <c r="K66" s="390"/>
      <c r="L66" s="390"/>
      <c r="M66" s="390"/>
      <c r="N66" s="390"/>
      <c r="O66" s="390"/>
      <c r="P66" s="390"/>
      <c r="Q66" s="390"/>
      <c r="R66" s="390"/>
      <c r="S66" s="390"/>
      <c r="T66" s="390"/>
      <c r="U66" s="390"/>
      <c r="V66" s="390"/>
      <c r="W66" s="390"/>
      <c r="X66" s="390"/>
      <c r="Y66" s="390"/>
      <c r="Z66" s="390"/>
      <c r="AA66" s="390"/>
      <c r="AB66" s="390"/>
      <c r="AC66" s="390"/>
      <c r="AD66" s="390"/>
      <c r="AE66" s="390"/>
      <c r="AF66" s="390"/>
      <c r="AG66" s="390"/>
      <c r="AH66" s="390"/>
      <c r="AI66" s="391"/>
      <c r="AK66" s="437"/>
      <c r="AL66" s="437"/>
      <c r="AM66" s="437"/>
      <c r="AN66" s="437"/>
      <c r="AO66" s="437"/>
      <c r="AP66" s="437"/>
      <c r="AQ66" s="437"/>
      <c r="AR66" s="437"/>
      <c r="AS66" s="437"/>
      <c r="AT66" s="437"/>
      <c r="AU66" s="437"/>
      <c r="AV66" s="437"/>
      <c r="AW66" s="437"/>
      <c r="AX66" s="437"/>
      <c r="AY66" s="437"/>
      <c r="AZ66" s="437"/>
      <c r="BA66" s="437"/>
      <c r="BB66" s="437"/>
      <c r="BC66" s="437"/>
      <c r="BD66" s="437"/>
      <c r="BE66" s="437"/>
      <c r="BF66" s="437"/>
      <c r="BG66" s="437"/>
      <c r="BH66" s="437"/>
      <c r="BI66" s="437"/>
      <c r="BJ66" s="437"/>
      <c r="BK66" s="437"/>
      <c r="BL66" s="437"/>
      <c r="BM66" s="393"/>
      <c r="BO66" s="399">
        <f t="shared" si="3"/>
        <v>0</v>
      </c>
      <c r="BP66" s="399">
        <f t="shared" si="4"/>
        <v>0</v>
      </c>
      <c r="BQ66" s="399">
        <f t="shared" si="5"/>
        <v>0</v>
      </c>
      <c r="BR66" s="399">
        <f t="shared" si="6"/>
        <v>0</v>
      </c>
      <c r="BS66" s="399">
        <f t="shared" si="7"/>
        <v>0</v>
      </c>
      <c r="BT66" s="399">
        <f t="shared" si="8"/>
        <v>0</v>
      </c>
      <c r="BU66" s="399">
        <f t="shared" si="9"/>
        <v>0</v>
      </c>
      <c r="BV66" s="399">
        <f t="shared" si="10"/>
        <v>0</v>
      </c>
      <c r="BW66" s="399">
        <f t="shared" si="11"/>
        <v>0</v>
      </c>
      <c r="BX66" s="399">
        <f t="shared" si="12"/>
        <v>0</v>
      </c>
      <c r="BY66" s="399">
        <f t="shared" si="13"/>
        <v>0</v>
      </c>
      <c r="BZ66" s="399">
        <f t="shared" si="14"/>
        <v>0</v>
      </c>
      <c r="CA66" s="399">
        <f t="shared" si="15"/>
        <v>0</v>
      </c>
      <c r="CB66" s="399">
        <f t="shared" si="16"/>
        <v>0</v>
      </c>
      <c r="CC66" s="399">
        <f t="shared" si="17"/>
        <v>0</v>
      </c>
      <c r="CD66" s="399">
        <f t="shared" si="18"/>
        <v>0</v>
      </c>
      <c r="CE66" s="399">
        <f t="shared" si="19"/>
        <v>0</v>
      </c>
      <c r="CF66" s="399">
        <f t="shared" si="20"/>
        <v>0</v>
      </c>
      <c r="CG66" s="399">
        <f t="shared" si="21"/>
        <v>0</v>
      </c>
      <c r="CH66" s="399">
        <f t="shared" si="22"/>
        <v>0</v>
      </c>
      <c r="CI66" s="399">
        <f t="shared" si="23"/>
        <v>0</v>
      </c>
      <c r="CJ66" s="399">
        <f t="shared" si="24"/>
        <v>0</v>
      </c>
      <c r="CK66" s="399">
        <f t="shared" si="25"/>
        <v>0</v>
      </c>
      <c r="CL66" s="399">
        <f t="shared" si="26"/>
        <v>0</v>
      </c>
      <c r="CM66" s="399">
        <f t="shared" si="27"/>
        <v>0</v>
      </c>
      <c r="CN66" s="399">
        <f t="shared" si="28"/>
        <v>0</v>
      </c>
      <c r="CO66" s="399">
        <f t="shared" si="29"/>
        <v>0</v>
      </c>
      <c r="CP66" s="399">
        <f t="shared" si="30"/>
        <v>0</v>
      </c>
      <c r="CQ66" s="423">
        <f t="shared" si="31"/>
        <v>0</v>
      </c>
      <c r="CS66" s="394" t="e">
        <f t="shared" si="32"/>
        <v>#DIV/0!</v>
      </c>
    </row>
    <row r="67" spans="3:97">
      <c r="C67" s="107"/>
      <c r="D67" s="395"/>
      <c r="E67" s="84"/>
      <c r="F67" s="84"/>
      <c r="G67" s="389"/>
      <c r="H67" s="390"/>
      <c r="I67" s="390"/>
      <c r="J67" s="390"/>
      <c r="K67" s="390"/>
      <c r="L67" s="390"/>
      <c r="M67" s="390"/>
      <c r="N67" s="390"/>
      <c r="O67" s="390"/>
      <c r="P67" s="390"/>
      <c r="Q67" s="390"/>
      <c r="R67" s="390"/>
      <c r="S67" s="390"/>
      <c r="T67" s="390"/>
      <c r="U67" s="390"/>
      <c r="V67" s="390"/>
      <c r="W67" s="390"/>
      <c r="X67" s="390"/>
      <c r="Y67" s="390"/>
      <c r="Z67" s="390"/>
      <c r="AA67" s="390"/>
      <c r="AB67" s="390"/>
      <c r="AC67" s="390"/>
      <c r="AD67" s="390"/>
      <c r="AE67" s="390"/>
      <c r="AF67" s="390"/>
      <c r="AG67" s="390"/>
      <c r="AH67" s="390"/>
      <c r="AI67" s="391"/>
      <c r="AK67" s="437"/>
      <c r="AL67" s="437"/>
      <c r="AM67" s="437"/>
      <c r="AN67" s="437"/>
      <c r="AO67" s="437"/>
      <c r="AP67" s="437"/>
      <c r="AQ67" s="437"/>
      <c r="AR67" s="437"/>
      <c r="AS67" s="437"/>
      <c r="AT67" s="437"/>
      <c r="AU67" s="437"/>
      <c r="AV67" s="437"/>
      <c r="AW67" s="437"/>
      <c r="AX67" s="437"/>
      <c r="AY67" s="437"/>
      <c r="AZ67" s="437"/>
      <c r="BA67" s="437"/>
      <c r="BB67" s="437"/>
      <c r="BC67" s="437"/>
      <c r="BD67" s="437"/>
      <c r="BE67" s="437"/>
      <c r="BF67" s="437"/>
      <c r="BG67" s="437"/>
      <c r="BH67" s="437"/>
      <c r="BI67" s="437"/>
      <c r="BJ67" s="437"/>
      <c r="BK67" s="437"/>
      <c r="BL67" s="437"/>
      <c r="BM67" s="393"/>
      <c r="BO67" s="399">
        <f t="shared" si="3"/>
        <v>0</v>
      </c>
      <c r="BP67" s="399">
        <f t="shared" si="4"/>
        <v>0</v>
      </c>
      <c r="BQ67" s="399">
        <f t="shared" si="5"/>
        <v>0</v>
      </c>
      <c r="BR67" s="399">
        <f t="shared" si="6"/>
        <v>0</v>
      </c>
      <c r="BS67" s="399">
        <f t="shared" si="7"/>
        <v>0</v>
      </c>
      <c r="BT67" s="399">
        <f t="shared" si="8"/>
        <v>0</v>
      </c>
      <c r="BU67" s="399">
        <f t="shared" si="9"/>
        <v>0</v>
      </c>
      <c r="BV67" s="399">
        <f t="shared" si="10"/>
        <v>0</v>
      </c>
      <c r="BW67" s="399">
        <f t="shared" si="11"/>
        <v>0</v>
      </c>
      <c r="BX67" s="399">
        <f t="shared" si="12"/>
        <v>0</v>
      </c>
      <c r="BY67" s="399">
        <f t="shared" si="13"/>
        <v>0</v>
      </c>
      <c r="BZ67" s="399">
        <f t="shared" si="14"/>
        <v>0</v>
      </c>
      <c r="CA67" s="399">
        <f t="shared" si="15"/>
        <v>0</v>
      </c>
      <c r="CB67" s="399">
        <f t="shared" si="16"/>
        <v>0</v>
      </c>
      <c r="CC67" s="399">
        <f t="shared" si="17"/>
        <v>0</v>
      </c>
      <c r="CD67" s="399">
        <f t="shared" si="18"/>
        <v>0</v>
      </c>
      <c r="CE67" s="399">
        <f t="shared" si="19"/>
        <v>0</v>
      </c>
      <c r="CF67" s="399">
        <f t="shared" si="20"/>
        <v>0</v>
      </c>
      <c r="CG67" s="399">
        <f t="shared" si="21"/>
        <v>0</v>
      </c>
      <c r="CH67" s="399">
        <f t="shared" si="22"/>
        <v>0</v>
      </c>
      <c r="CI67" s="399">
        <f t="shared" si="23"/>
        <v>0</v>
      </c>
      <c r="CJ67" s="399">
        <f t="shared" si="24"/>
        <v>0</v>
      </c>
      <c r="CK67" s="399">
        <f t="shared" si="25"/>
        <v>0</v>
      </c>
      <c r="CL67" s="399">
        <f t="shared" si="26"/>
        <v>0</v>
      </c>
      <c r="CM67" s="399">
        <f t="shared" si="27"/>
        <v>0</v>
      </c>
      <c r="CN67" s="399">
        <f t="shared" si="28"/>
        <v>0</v>
      </c>
      <c r="CO67" s="399">
        <f t="shared" si="29"/>
        <v>0</v>
      </c>
      <c r="CP67" s="399">
        <f t="shared" si="30"/>
        <v>0</v>
      </c>
      <c r="CQ67" s="423">
        <f t="shared" si="31"/>
        <v>0</v>
      </c>
      <c r="CS67" s="394" t="e">
        <f t="shared" si="32"/>
        <v>#DIV/0!</v>
      </c>
    </row>
    <row r="68" spans="3:97">
      <c r="C68" s="107"/>
      <c r="D68" s="395"/>
      <c r="E68" s="84"/>
      <c r="F68" s="84"/>
      <c r="G68" s="389"/>
      <c r="H68" s="390"/>
      <c r="I68" s="390"/>
      <c r="J68" s="390"/>
      <c r="K68" s="390"/>
      <c r="L68" s="390"/>
      <c r="M68" s="390"/>
      <c r="N68" s="390"/>
      <c r="O68" s="390"/>
      <c r="P68" s="390"/>
      <c r="Q68" s="390"/>
      <c r="R68" s="390"/>
      <c r="S68" s="390"/>
      <c r="T68" s="390"/>
      <c r="U68" s="390"/>
      <c r="V68" s="390"/>
      <c r="W68" s="390"/>
      <c r="X68" s="390"/>
      <c r="Y68" s="390"/>
      <c r="Z68" s="390"/>
      <c r="AA68" s="390"/>
      <c r="AB68" s="390"/>
      <c r="AC68" s="390"/>
      <c r="AD68" s="390"/>
      <c r="AE68" s="390"/>
      <c r="AF68" s="390"/>
      <c r="AG68" s="390"/>
      <c r="AH68" s="390"/>
      <c r="AI68" s="391"/>
      <c r="AK68" s="437"/>
      <c r="AL68" s="437"/>
      <c r="AM68" s="437"/>
      <c r="AN68" s="437"/>
      <c r="AO68" s="437"/>
      <c r="AP68" s="437"/>
      <c r="AQ68" s="437"/>
      <c r="AR68" s="437"/>
      <c r="AS68" s="437"/>
      <c r="AT68" s="437"/>
      <c r="AU68" s="437"/>
      <c r="AV68" s="437"/>
      <c r="AW68" s="437"/>
      <c r="AX68" s="437"/>
      <c r="AY68" s="437"/>
      <c r="AZ68" s="437"/>
      <c r="BA68" s="437"/>
      <c r="BB68" s="437"/>
      <c r="BC68" s="437"/>
      <c r="BD68" s="437"/>
      <c r="BE68" s="437"/>
      <c r="BF68" s="437"/>
      <c r="BG68" s="437"/>
      <c r="BH68" s="437"/>
      <c r="BI68" s="437"/>
      <c r="BJ68" s="437"/>
      <c r="BK68" s="437"/>
      <c r="BL68" s="437"/>
      <c r="BM68" s="393"/>
      <c r="BO68" s="399">
        <f t="shared" si="3"/>
        <v>0</v>
      </c>
      <c r="BP68" s="399">
        <f t="shared" si="4"/>
        <v>0</v>
      </c>
      <c r="BQ68" s="399">
        <f t="shared" si="5"/>
        <v>0</v>
      </c>
      <c r="BR68" s="399">
        <f t="shared" si="6"/>
        <v>0</v>
      </c>
      <c r="BS68" s="399">
        <f t="shared" si="7"/>
        <v>0</v>
      </c>
      <c r="BT68" s="399">
        <f t="shared" si="8"/>
        <v>0</v>
      </c>
      <c r="BU68" s="399">
        <f t="shared" si="9"/>
        <v>0</v>
      </c>
      <c r="BV68" s="399">
        <f t="shared" si="10"/>
        <v>0</v>
      </c>
      <c r="BW68" s="399">
        <f t="shared" si="11"/>
        <v>0</v>
      </c>
      <c r="BX68" s="399">
        <f t="shared" si="12"/>
        <v>0</v>
      </c>
      <c r="BY68" s="399">
        <f t="shared" si="13"/>
        <v>0</v>
      </c>
      <c r="BZ68" s="399">
        <f t="shared" si="14"/>
        <v>0</v>
      </c>
      <c r="CA68" s="399">
        <f t="shared" si="15"/>
        <v>0</v>
      </c>
      <c r="CB68" s="399">
        <f t="shared" si="16"/>
        <v>0</v>
      </c>
      <c r="CC68" s="399">
        <f t="shared" si="17"/>
        <v>0</v>
      </c>
      <c r="CD68" s="399">
        <f t="shared" si="18"/>
        <v>0</v>
      </c>
      <c r="CE68" s="399">
        <f t="shared" si="19"/>
        <v>0</v>
      </c>
      <c r="CF68" s="399">
        <f t="shared" si="20"/>
        <v>0</v>
      </c>
      <c r="CG68" s="399">
        <f t="shared" si="21"/>
        <v>0</v>
      </c>
      <c r="CH68" s="399">
        <f t="shared" si="22"/>
        <v>0</v>
      </c>
      <c r="CI68" s="399">
        <f t="shared" si="23"/>
        <v>0</v>
      </c>
      <c r="CJ68" s="399">
        <f t="shared" si="24"/>
        <v>0</v>
      </c>
      <c r="CK68" s="399">
        <f t="shared" si="25"/>
        <v>0</v>
      </c>
      <c r="CL68" s="399">
        <f t="shared" si="26"/>
        <v>0</v>
      </c>
      <c r="CM68" s="399">
        <f t="shared" si="27"/>
        <v>0</v>
      </c>
      <c r="CN68" s="399">
        <f t="shared" si="28"/>
        <v>0</v>
      </c>
      <c r="CO68" s="399">
        <f t="shared" si="29"/>
        <v>0</v>
      </c>
      <c r="CP68" s="399">
        <f t="shared" si="30"/>
        <v>0</v>
      </c>
      <c r="CQ68" s="423">
        <f t="shared" si="31"/>
        <v>0</v>
      </c>
      <c r="CS68" s="394" t="e">
        <f t="shared" si="32"/>
        <v>#DIV/0!</v>
      </c>
    </row>
    <row r="69" spans="3:97">
      <c r="C69" s="107"/>
      <c r="D69" s="395"/>
      <c r="E69" s="84"/>
      <c r="F69" s="84"/>
      <c r="G69" s="389"/>
      <c r="H69" s="390"/>
      <c r="I69" s="390"/>
      <c r="J69" s="390"/>
      <c r="K69" s="390"/>
      <c r="L69" s="390"/>
      <c r="M69" s="390"/>
      <c r="N69" s="390"/>
      <c r="O69" s="390"/>
      <c r="P69" s="390"/>
      <c r="Q69" s="390"/>
      <c r="R69" s="390"/>
      <c r="S69" s="390"/>
      <c r="T69" s="390"/>
      <c r="U69" s="390"/>
      <c r="V69" s="390"/>
      <c r="W69" s="390"/>
      <c r="X69" s="390"/>
      <c r="Y69" s="390"/>
      <c r="Z69" s="390"/>
      <c r="AA69" s="390"/>
      <c r="AB69" s="390"/>
      <c r="AC69" s="390"/>
      <c r="AD69" s="390"/>
      <c r="AE69" s="390"/>
      <c r="AF69" s="390"/>
      <c r="AG69" s="390"/>
      <c r="AH69" s="390"/>
      <c r="AI69" s="391"/>
      <c r="AK69" s="437"/>
      <c r="AL69" s="437"/>
      <c r="AM69" s="437"/>
      <c r="AN69" s="437"/>
      <c r="AO69" s="437"/>
      <c r="AP69" s="437"/>
      <c r="AQ69" s="437"/>
      <c r="AR69" s="437"/>
      <c r="AS69" s="437"/>
      <c r="AT69" s="437"/>
      <c r="AU69" s="437"/>
      <c r="AV69" s="437"/>
      <c r="AW69" s="437"/>
      <c r="AX69" s="437"/>
      <c r="AY69" s="437"/>
      <c r="AZ69" s="437"/>
      <c r="BA69" s="437"/>
      <c r="BB69" s="437"/>
      <c r="BC69" s="437"/>
      <c r="BD69" s="437"/>
      <c r="BE69" s="437"/>
      <c r="BF69" s="437"/>
      <c r="BG69" s="437"/>
      <c r="BH69" s="437"/>
      <c r="BI69" s="437"/>
      <c r="BJ69" s="437"/>
      <c r="BK69" s="437"/>
      <c r="BL69" s="437"/>
      <c r="BM69" s="393"/>
      <c r="BO69" s="399">
        <f t="shared" si="3"/>
        <v>0</v>
      </c>
      <c r="BP69" s="399">
        <f t="shared" si="4"/>
        <v>0</v>
      </c>
      <c r="BQ69" s="399">
        <f t="shared" si="5"/>
        <v>0</v>
      </c>
      <c r="BR69" s="399">
        <f t="shared" si="6"/>
        <v>0</v>
      </c>
      <c r="BS69" s="399">
        <f t="shared" si="7"/>
        <v>0</v>
      </c>
      <c r="BT69" s="399">
        <f t="shared" si="8"/>
        <v>0</v>
      </c>
      <c r="BU69" s="399">
        <f t="shared" si="9"/>
        <v>0</v>
      </c>
      <c r="BV69" s="399">
        <f t="shared" si="10"/>
        <v>0</v>
      </c>
      <c r="BW69" s="399">
        <f t="shared" si="11"/>
        <v>0</v>
      </c>
      <c r="BX69" s="399">
        <f t="shared" si="12"/>
        <v>0</v>
      </c>
      <c r="BY69" s="399">
        <f t="shared" si="13"/>
        <v>0</v>
      </c>
      <c r="BZ69" s="399">
        <f t="shared" si="14"/>
        <v>0</v>
      </c>
      <c r="CA69" s="399">
        <f t="shared" si="15"/>
        <v>0</v>
      </c>
      <c r="CB69" s="399">
        <f t="shared" si="16"/>
        <v>0</v>
      </c>
      <c r="CC69" s="399">
        <f t="shared" si="17"/>
        <v>0</v>
      </c>
      <c r="CD69" s="399">
        <f t="shared" si="18"/>
        <v>0</v>
      </c>
      <c r="CE69" s="399">
        <f t="shared" si="19"/>
        <v>0</v>
      </c>
      <c r="CF69" s="399">
        <f t="shared" si="20"/>
        <v>0</v>
      </c>
      <c r="CG69" s="399">
        <f t="shared" si="21"/>
        <v>0</v>
      </c>
      <c r="CH69" s="399">
        <f t="shared" si="22"/>
        <v>0</v>
      </c>
      <c r="CI69" s="399">
        <f t="shared" si="23"/>
        <v>0</v>
      </c>
      <c r="CJ69" s="399">
        <f t="shared" si="24"/>
        <v>0</v>
      </c>
      <c r="CK69" s="399">
        <f t="shared" si="25"/>
        <v>0</v>
      </c>
      <c r="CL69" s="399">
        <f t="shared" si="26"/>
        <v>0</v>
      </c>
      <c r="CM69" s="399">
        <f t="shared" si="27"/>
        <v>0</v>
      </c>
      <c r="CN69" s="399">
        <f t="shared" si="28"/>
        <v>0</v>
      </c>
      <c r="CO69" s="399">
        <f t="shared" si="29"/>
        <v>0</v>
      </c>
      <c r="CP69" s="399">
        <f t="shared" si="30"/>
        <v>0</v>
      </c>
      <c r="CQ69" s="423">
        <f t="shared" si="31"/>
        <v>0</v>
      </c>
      <c r="CS69" s="394" t="e">
        <f t="shared" si="32"/>
        <v>#DIV/0!</v>
      </c>
    </row>
    <row r="70" spans="3:97">
      <c r="C70" s="107"/>
      <c r="D70" s="395"/>
      <c r="E70" s="84"/>
      <c r="F70" s="84"/>
      <c r="G70" s="389"/>
      <c r="H70" s="390"/>
      <c r="I70" s="390"/>
      <c r="J70" s="390"/>
      <c r="K70" s="390"/>
      <c r="L70" s="390"/>
      <c r="M70" s="390"/>
      <c r="N70" s="390"/>
      <c r="O70" s="390"/>
      <c r="P70" s="390"/>
      <c r="Q70" s="390"/>
      <c r="R70" s="390"/>
      <c r="S70" s="390"/>
      <c r="T70" s="390"/>
      <c r="U70" s="390"/>
      <c r="V70" s="390"/>
      <c r="W70" s="390"/>
      <c r="X70" s="390"/>
      <c r="Y70" s="390"/>
      <c r="Z70" s="390"/>
      <c r="AA70" s="390"/>
      <c r="AB70" s="390"/>
      <c r="AC70" s="390"/>
      <c r="AD70" s="390"/>
      <c r="AE70" s="390"/>
      <c r="AF70" s="390"/>
      <c r="AG70" s="390"/>
      <c r="AH70" s="390"/>
      <c r="AI70" s="391"/>
      <c r="AK70" s="437"/>
      <c r="AL70" s="437"/>
      <c r="AM70" s="437"/>
      <c r="AN70" s="437"/>
      <c r="AO70" s="437"/>
      <c r="AP70" s="437"/>
      <c r="AQ70" s="437"/>
      <c r="AR70" s="437"/>
      <c r="AS70" s="437"/>
      <c r="AT70" s="437"/>
      <c r="AU70" s="437"/>
      <c r="AV70" s="437"/>
      <c r="AW70" s="437"/>
      <c r="AX70" s="437"/>
      <c r="AY70" s="437"/>
      <c r="AZ70" s="437"/>
      <c r="BA70" s="437"/>
      <c r="BB70" s="437"/>
      <c r="BC70" s="437"/>
      <c r="BD70" s="437"/>
      <c r="BE70" s="437"/>
      <c r="BF70" s="437"/>
      <c r="BG70" s="437"/>
      <c r="BH70" s="437"/>
      <c r="BI70" s="437"/>
      <c r="BJ70" s="437"/>
      <c r="BK70" s="437"/>
      <c r="BL70" s="437"/>
      <c r="BM70" s="393"/>
      <c r="BO70" s="399">
        <f t="shared" si="3"/>
        <v>0</v>
      </c>
      <c r="BP70" s="399">
        <f t="shared" si="4"/>
        <v>0</v>
      </c>
      <c r="BQ70" s="399">
        <f t="shared" si="5"/>
        <v>0</v>
      </c>
      <c r="BR70" s="399">
        <f t="shared" si="6"/>
        <v>0</v>
      </c>
      <c r="BS70" s="399">
        <f t="shared" si="7"/>
        <v>0</v>
      </c>
      <c r="BT70" s="399">
        <f t="shared" si="8"/>
        <v>0</v>
      </c>
      <c r="BU70" s="399">
        <f t="shared" si="9"/>
        <v>0</v>
      </c>
      <c r="BV70" s="399">
        <f t="shared" si="10"/>
        <v>0</v>
      </c>
      <c r="BW70" s="399">
        <f t="shared" si="11"/>
        <v>0</v>
      </c>
      <c r="BX70" s="399">
        <f t="shared" si="12"/>
        <v>0</v>
      </c>
      <c r="BY70" s="399">
        <f t="shared" si="13"/>
        <v>0</v>
      </c>
      <c r="BZ70" s="399">
        <f t="shared" si="14"/>
        <v>0</v>
      </c>
      <c r="CA70" s="399">
        <f t="shared" si="15"/>
        <v>0</v>
      </c>
      <c r="CB70" s="399">
        <f t="shared" si="16"/>
        <v>0</v>
      </c>
      <c r="CC70" s="399">
        <f t="shared" si="17"/>
        <v>0</v>
      </c>
      <c r="CD70" s="399">
        <f t="shared" si="18"/>
        <v>0</v>
      </c>
      <c r="CE70" s="399">
        <f t="shared" si="19"/>
        <v>0</v>
      </c>
      <c r="CF70" s="399">
        <f t="shared" si="20"/>
        <v>0</v>
      </c>
      <c r="CG70" s="399">
        <f t="shared" si="21"/>
        <v>0</v>
      </c>
      <c r="CH70" s="399">
        <f t="shared" si="22"/>
        <v>0</v>
      </c>
      <c r="CI70" s="399">
        <f t="shared" si="23"/>
        <v>0</v>
      </c>
      <c r="CJ70" s="399">
        <f t="shared" si="24"/>
        <v>0</v>
      </c>
      <c r="CK70" s="399">
        <f t="shared" si="25"/>
        <v>0</v>
      </c>
      <c r="CL70" s="399">
        <f t="shared" si="26"/>
        <v>0</v>
      </c>
      <c r="CM70" s="399">
        <f t="shared" si="27"/>
        <v>0</v>
      </c>
      <c r="CN70" s="399">
        <f t="shared" si="28"/>
        <v>0</v>
      </c>
      <c r="CO70" s="399">
        <f t="shared" si="29"/>
        <v>0</v>
      </c>
      <c r="CP70" s="399">
        <f t="shared" si="30"/>
        <v>0</v>
      </c>
      <c r="CQ70" s="423">
        <f t="shared" si="31"/>
        <v>0</v>
      </c>
      <c r="CS70" s="394" t="e">
        <f t="shared" si="32"/>
        <v>#DIV/0!</v>
      </c>
    </row>
    <row r="71" spans="3:97">
      <c r="C71" s="107"/>
      <c r="D71" s="395"/>
      <c r="E71" s="84"/>
      <c r="F71" s="84"/>
      <c r="G71" s="389"/>
      <c r="H71" s="390"/>
      <c r="I71" s="390"/>
      <c r="J71" s="390"/>
      <c r="K71" s="390"/>
      <c r="L71" s="390"/>
      <c r="M71" s="390"/>
      <c r="N71" s="390"/>
      <c r="O71" s="390"/>
      <c r="P71" s="390"/>
      <c r="Q71" s="390"/>
      <c r="R71" s="390"/>
      <c r="S71" s="390"/>
      <c r="T71" s="390"/>
      <c r="U71" s="390"/>
      <c r="V71" s="390"/>
      <c r="W71" s="390"/>
      <c r="X71" s="390"/>
      <c r="Y71" s="390"/>
      <c r="Z71" s="390"/>
      <c r="AA71" s="390"/>
      <c r="AB71" s="390"/>
      <c r="AC71" s="390"/>
      <c r="AD71" s="390"/>
      <c r="AE71" s="390"/>
      <c r="AF71" s="390"/>
      <c r="AG71" s="390"/>
      <c r="AH71" s="390"/>
      <c r="AI71" s="391"/>
      <c r="AK71" s="437"/>
      <c r="AL71" s="437"/>
      <c r="AM71" s="437"/>
      <c r="AN71" s="437"/>
      <c r="AO71" s="437"/>
      <c r="AP71" s="437"/>
      <c r="AQ71" s="437"/>
      <c r="AR71" s="437"/>
      <c r="AS71" s="437"/>
      <c r="AT71" s="437"/>
      <c r="AU71" s="437"/>
      <c r="AV71" s="437"/>
      <c r="AW71" s="437"/>
      <c r="AX71" s="437"/>
      <c r="AY71" s="437"/>
      <c r="AZ71" s="437"/>
      <c r="BA71" s="437"/>
      <c r="BB71" s="437"/>
      <c r="BC71" s="437"/>
      <c r="BD71" s="437"/>
      <c r="BE71" s="437"/>
      <c r="BF71" s="437"/>
      <c r="BG71" s="437"/>
      <c r="BH71" s="437"/>
      <c r="BI71" s="437"/>
      <c r="BJ71" s="437"/>
      <c r="BK71" s="437"/>
      <c r="BL71" s="437"/>
      <c r="BM71" s="393"/>
      <c r="BO71" s="399">
        <f t="shared" si="3"/>
        <v>0</v>
      </c>
      <c r="BP71" s="399">
        <f t="shared" si="4"/>
        <v>0</v>
      </c>
      <c r="BQ71" s="399">
        <f t="shared" si="5"/>
        <v>0</v>
      </c>
      <c r="BR71" s="399">
        <f t="shared" si="6"/>
        <v>0</v>
      </c>
      <c r="BS71" s="399">
        <f t="shared" si="7"/>
        <v>0</v>
      </c>
      <c r="BT71" s="399">
        <f t="shared" si="8"/>
        <v>0</v>
      </c>
      <c r="BU71" s="399">
        <f t="shared" si="9"/>
        <v>0</v>
      </c>
      <c r="BV71" s="399">
        <f t="shared" si="10"/>
        <v>0</v>
      </c>
      <c r="BW71" s="399">
        <f t="shared" si="11"/>
        <v>0</v>
      </c>
      <c r="BX71" s="399">
        <f t="shared" si="12"/>
        <v>0</v>
      </c>
      <c r="BY71" s="399">
        <f t="shared" si="13"/>
        <v>0</v>
      </c>
      <c r="BZ71" s="399">
        <f t="shared" si="14"/>
        <v>0</v>
      </c>
      <c r="CA71" s="399">
        <f t="shared" si="15"/>
        <v>0</v>
      </c>
      <c r="CB71" s="399">
        <f t="shared" si="16"/>
        <v>0</v>
      </c>
      <c r="CC71" s="399">
        <f t="shared" si="17"/>
        <v>0</v>
      </c>
      <c r="CD71" s="399">
        <f t="shared" si="18"/>
        <v>0</v>
      </c>
      <c r="CE71" s="399">
        <f t="shared" si="19"/>
        <v>0</v>
      </c>
      <c r="CF71" s="399">
        <f t="shared" si="20"/>
        <v>0</v>
      </c>
      <c r="CG71" s="399">
        <f t="shared" si="21"/>
        <v>0</v>
      </c>
      <c r="CH71" s="399">
        <f t="shared" si="22"/>
        <v>0</v>
      </c>
      <c r="CI71" s="399">
        <f t="shared" si="23"/>
        <v>0</v>
      </c>
      <c r="CJ71" s="399">
        <f t="shared" si="24"/>
        <v>0</v>
      </c>
      <c r="CK71" s="399">
        <f t="shared" si="25"/>
        <v>0</v>
      </c>
      <c r="CL71" s="399">
        <f t="shared" si="26"/>
        <v>0</v>
      </c>
      <c r="CM71" s="399">
        <f t="shared" si="27"/>
        <v>0</v>
      </c>
      <c r="CN71" s="399">
        <f t="shared" si="28"/>
        <v>0</v>
      </c>
      <c r="CO71" s="399">
        <f t="shared" si="29"/>
        <v>0</v>
      </c>
      <c r="CP71" s="399">
        <f t="shared" si="30"/>
        <v>0</v>
      </c>
      <c r="CQ71" s="423">
        <f t="shared" si="31"/>
        <v>0</v>
      </c>
      <c r="CS71" s="394" t="e">
        <f t="shared" si="32"/>
        <v>#DIV/0!</v>
      </c>
    </row>
    <row r="72" spans="3:97">
      <c r="C72" s="107"/>
      <c r="D72" s="395"/>
      <c r="E72" s="84"/>
      <c r="F72" s="84"/>
      <c r="G72" s="389"/>
      <c r="H72" s="390"/>
      <c r="I72" s="390"/>
      <c r="J72" s="390"/>
      <c r="K72" s="390"/>
      <c r="L72" s="390"/>
      <c r="M72" s="390"/>
      <c r="N72" s="390"/>
      <c r="O72" s="390"/>
      <c r="P72" s="390"/>
      <c r="Q72" s="390"/>
      <c r="R72" s="390"/>
      <c r="S72" s="390"/>
      <c r="T72" s="390"/>
      <c r="U72" s="390"/>
      <c r="V72" s="390"/>
      <c r="W72" s="390"/>
      <c r="X72" s="390"/>
      <c r="Y72" s="390"/>
      <c r="Z72" s="390"/>
      <c r="AA72" s="390"/>
      <c r="AB72" s="390"/>
      <c r="AC72" s="390"/>
      <c r="AD72" s="390"/>
      <c r="AE72" s="390"/>
      <c r="AF72" s="390"/>
      <c r="AG72" s="390"/>
      <c r="AH72" s="390"/>
      <c r="AI72" s="391"/>
      <c r="AK72" s="437"/>
      <c r="AL72" s="437"/>
      <c r="AM72" s="437"/>
      <c r="AN72" s="437"/>
      <c r="AO72" s="437"/>
      <c r="AP72" s="437"/>
      <c r="AQ72" s="437"/>
      <c r="AR72" s="437"/>
      <c r="AS72" s="437"/>
      <c r="AT72" s="437"/>
      <c r="AU72" s="437"/>
      <c r="AV72" s="437"/>
      <c r="AW72" s="437"/>
      <c r="AX72" s="437"/>
      <c r="AY72" s="437"/>
      <c r="AZ72" s="437"/>
      <c r="BA72" s="437"/>
      <c r="BB72" s="437"/>
      <c r="BC72" s="437"/>
      <c r="BD72" s="437"/>
      <c r="BE72" s="437"/>
      <c r="BF72" s="437"/>
      <c r="BG72" s="437"/>
      <c r="BH72" s="437"/>
      <c r="BI72" s="437"/>
      <c r="BJ72" s="437"/>
      <c r="BK72" s="437"/>
      <c r="BL72" s="437"/>
      <c r="BM72" s="393"/>
      <c r="BO72" s="399">
        <f t="shared" si="3"/>
        <v>0</v>
      </c>
      <c r="BP72" s="399">
        <f t="shared" si="4"/>
        <v>0</v>
      </c>
      <c r="BQ72" s="399">
        <f t="shared" si="5"/>
        <v>0</v>
      </c>
      <c r="BR72" s="399">
        <f t="shared" si="6"/>
        <v>0</v>
      </c>
      <c r="BS72" s="399">
        <f t="shared" si="7"/>
        <v>0</v>
      </c>
      <c r="BT72" s="399">
        <f t="shared" si="8"/>
        <v>0</v>
      </c>
      <c r="BU72" s="399">
        <f t="shared" si="9"/>
        <v>0</v>
      </c>
      <c r="BV72" s="399">
        <f t="shared" si="10"/>
        <v>0</v>
      </c>
      <c r="BW72" s="399">
        <f t="shared" si="11"/>
        <v>0</v>
      </c>
      <c r="BX72" s="399">
        <f t="shared" si="12"/>
        <v>0</v>
      </c>
      <c r="BY72" s="399">
        <f t="shared" si="13"/>
        <v>0</v>
      </c>
      <c r="BZ72" s="399">
        <f t="shared" si="14"/>
        <v>0</v>
      </c>
      <c r="CA72" s="399">
        <f t="shared" si="15"/>
        <v>0</v>
      </c>
      <c r="CB72" s="399">
        <f t="shared" si="16"/>
        <v>0</v>
      </c>
      <c r="CC72" s="399">
        <f t="shared" si="17"/>
        <v>0</v>
      </c>
      <c r="CD72" s="399">
        <f t="shared" si="18"/>
        <v>0</v>
      </c>
      <c r="CE72" s="399">
        <f t="shared" si="19"/>
        <v>0</v>
      </c>
      <c r="CF72" s="399">
        <f t="shared" si="20"/>
        <v>0</v>
      </c>
      <c r="CG72" s="399">
        <f t="shared" si="21"/>
        <v>0</v>
      </c>
      <c r="CH72" s="399">
        <f t="shared" si="22"/>
        <v>0</v>
      </c>
      <c r="CI72" s="399">
        <f t="shared" si="23"/>
        <v>0</v>
      </c>
      <c r="CJ72" s="399">
        <f t="shared" si="24"/>
        <v>0</v>
      </c>
      <c r="CK72" s="399">
        <f t="shared" si="25"/>
        <v>0</v>
      </c>
      <c r="CL72" s="399">
        <f t="shared" si="26"/>
        <v>0</v>
      </c>
      <c r="CM72" s="399">
        <f t="shared" si="27"/>
        <v>0</v>
      </c>
      <c r="CN72" s="399">
        <f t="shared" si="28"/>
        <v>0</v>
      </c>
      <c r="CO72" s="399">
        <f t="shared" si="29"/>
        <v>0</v>
      </c>
      <c r="CP72" s="399">
        <f t="shared" si="30"/>
        <v>0</v>
      </c>
      <c r="CQ72" s="423">
        <f t="shared" si="31"/>
        <v>0</v>
      </c>
      <c r="CS72" s="394" t="e">
        <f t="shared" si="32"/>
        <v>#DIV/0!</v>
      </c>
    </row>
    <row r="73" spans="3:97">
      <c r="C73" s="107"/>
      <c r="D73" s="395"/>
      <c r="E73" s="84"/>
      <c r="F73" s="84"/>
      <c r="G73" s="389"/>
      <c r="H73" s="390"/>
      <c r="I73" s="390"/>
      <c r="J73" s="390"/>
      <c r="K73" s="390"/>
      <c r="L73" s="390"/>
      <c r="M73" s="390"/>
      <c r="N73" s="390"/>
      <c r="O73" s="390"/>
      <c r="P73" s="390"/>
      <c r="Q73" s="390"/>
      <c r="R73" s="390"/>
      <c r="S73" s="390"/>
      <c r="T73" s="390"/>
      <c r="U73" s="390"/>
      <c r="V73" s="390"/>
      <c r="W73" s="390"/>
      <c r="X73" s="390"/>
      <c r="Y73" s="390"/>
      <c r="Z73" s="390"/>
      <c r="AA73" s="390"/>
      <c r="AB73" s="390"/>
      <c r="AC73" s="390"/>
      <c r="AD73" s="390"/>
      <c r="AE73" s="390"/>
      <c r="AF73" s="390"/>
      <c r="AG73" s="390"/>
      <c r="AH73" s="390"/>
      <c r="AI73" s="391"/>
      <c r="AK73" s="437"/>
      <c r="AL73" s="437"/>
      <c r="AM73" s="437"/>
      <c r="AN73" s="437"/>
      <c r="AO73" s="437"/>
      <c r="AP73" s="437"/>
      <c r="AQ73" s="437"/>
      <c r="AR73" s="437"/>
      <c r="AS73" s="437"/>
      <c r="AT73" s="437"/>
      <c r="AU73" s="437"/>
      <c r="AV73" s="437"/>
      <c r="AW73" s="437"/>
      <c r="AX73" s="437"/>
      <c r="AY73" s="437"/>
      <c r="AZ73" s="437"/>
      <c r="BA73" s="437"/>
      <c r="BB73" s="437"/>
      <c r="BC73" s="437"/>
      <c r="BD73" s="437"/>
      <c r="BE73" s="437"/>
      <c r="BF73" s="437"/>
      <c r="BG73" s="437"/>
      <c r="BH73" s="437"/>
      <c r="BI73" s="437"/>
      <c r="BJ73" s="437"/>
      <c r="BK73" s="437"/>
      <c r="BL73" s="437"/>
      <c r="BM73" s="393"/>
      <c r="BO73" s="399">
        <f t="shared" si="3"/>
        <v>0</v>
      </c>
      <c r="BP73" s="399">
        <f t="shared" si="4"/>
        <v>0</v>
      </c>
      <c r="BQ73" s="399">
        <f t="shared" si="5"/>
        <v>0</v>
      </c>
      <c r="BR73" s="399">
        <f t="shared" si="6"/>
        <v>0</v>
      </c>
      <c r="BS73" s="399">
        <f t="shared" si="7"/>
        <v>0</v>
      </c>
      <c r="BT73" s="399">
        <f t="shared" si="8"/>
        <v>0</v>
      </c>
      <c r="BU73" s="399">
        <f t="shared" si="9"/>
        <v>0</v>
      </c>
      <c r="BV73" s="399">
        <f t="shared" si="10"/>
        <v>0</v>
      </c>
      <c r="BW73" s="399">
        <f t="shared" si="11"/>
        <v>0</v>
      </c>
      <c r="BX73" s="399">
        <f t="shared" si="12"/>
        <v>0</v>
      </c>
      <c r="BY73" s="399">
        <f t="shared" si="13"/>
        <v>0</v>
      </c>
      <c r="BZ73" s="399">
        <f t="shared" si="14"/>
        <v>0</v>
      </c>
      <c r="CA73" s="399">
        <f t="shared" si="15"/>
        <v>0</v>
      </c>
      <c r="CB73" s="399">
        <f t="shared" si="16"/>
        <v>0</v>
      </c>
      <c r="CC73" s="399">
        <f t="shared" si="17"/>
        <v>0</v>
      </c>
      <c r="CD73" s="399">
        <f t="shared" si="18"/>
        <v>0</v>
      </c>
      <c r="CE73" s="399">
        <f t="shared" si="19"/>
        <v>0</v>
      </c>
      <c r="CF73" s="399">
        <f t="shared" si="20"/>
        <v>0</v>
      </c>
      <c r="CG73" s="399">
        <f t="shared" si="21"/>
        <v>0</v>
      </c>
      <c r="CH73" s="399">
        <f t="shared" si="22"/>
        <v>0</v>
      </c>
      <c r="CI73" s="399">
        <f t="shared" si="23"/>
        <v>0</v>
      </c>
      <c r="CJ73" s="399">
        <f t="shared" si="24"/>
        <v>0</v>
      </c>
      <c r="CK73" s="399">
        <f t="shared" si="25"/>
        <v>0</v>
      </c>
      <c r="CL73" s="399">
        <f t="shared" si="26"/>
        <v>0</v>
      </c>
      <c r="CM73" s="399">
        <f t="shared" si="27"/>
        <v>0</v>
      </c>
      <c r="CN73" s="399">
        <f t="shared" si="28"/>
        <v>0</v>
      </c>
      <c r="CO73" s="399">
        <f t="shared" si="29"/>
        <v>0</v>
      </c>
      <c r="CP73" s="399">
        <f t="shared" si="30"/>
        <v>0</v>
      </c>
      <c r="CQ73" s="423">
        <f t="shared" si="31"/>
        <v>0</v>
      </c>
      <c r="CS73" s="394" t="e">
        <f t="shared" si="32"/>
        <v>#DIV/0!</v>
      </c>
    </row>
    <row r="74" spans="3:97">
      <c r="C74" s="107"/>
      <c r="D74" s="395"/>
      <c r="E74" s="84"/>
      <c r="F74" s="84"/>
      <c r="G74" s="389"/>
      <c r="H74" s="390"/>
      <c r="I74" s="390"/>
      <c r="J74" s="390"/>
      <c r="K74" s="390"/>
      <c r="L74" s="390"/>
      <c r="M74" s="390"/>
      <c r="N74" s="390"/>
      <c r="O74" s="390"/>
      <c r="P74" s="390"/>
      <c r="Q74" s="390"/>
      <c r="R74" s="390"/>
      <c r="S74" s="390"/>
      <c r="T74" s="390"/>
      <c r="U74" s="390"/>
      <c r="V74" s="390"/>
      <c r="W74" s="390"/>
      <c r="X74" s="390"/>
      <c r="Y74" s="390"/>
      <c r="Z74" s="390"/>
      <c r="AA74" s="390"/>
      <c r="AB74" s="390"/>
      <c r="AC74" s="390"/>
      <c r="AD74" s="390"/>
      <c r="AE74" s="390"/>
      <c r="AF74" s="390"/>
      <c r="AG74" s="390"/>
      <c r="AH74" s="390"/>
      <c r="AI74" s="391"/>
      <c r="AK74" s="437"/>
      <c r="AL74" s="437"/>
      <c r="AM74" s="437"/>
      <c r="AN74" s="437"/>
      <c r="AO74" s="437"/>
      <c r="AP74" s="437"/>
      <c r="AQ74" s="437"/>
      <c r="AR74" s="437"/>
      <c r="AS74" s="437"/>
      <c r="AT74" s="437"/>
      <c r="AU74" s="437"/>
      <c r="AV74" s="437"/>
      <c r="AW74" s="437"/>
      <c r="AX74" s="437"/>
      <c r="AY74" s="437"/>
      <c r="AZ74" s="437"/>
      <c r="BA74" s="437"/>
      <c r="BB74" s="437"/>
      <c r="BC74" s="437"/>
      <c r="BD74" s="437"/>
      <c r="BE74" s="437"/>
      <c r="BF74" s="437"/>
      <c r="BG74" s="437"/>
      <c r="BH74" s="437"/>
      <c r="BI74" s="437"/>
      <c r="BJ74" s="437"/>
      <c r="BK74" s="437"/>
      <c r="BL74" s="437"/>
      <c r="BM74" s="393"/>
      <c r="BO74" s="399">
        <f t="shared" si="3"/>
        <v>0</v>
      </c>
      <c r="BP74" s="399">
        <f t="shared" si="4"/>
        <v>0</v>
      </c>
      <c r="BQ74" s="399">
        <f t="shared" si="5"/>
        <v>0</v>
      </c>
      <c r="BR74" s="399">
        <f t="shared" si="6"/>
        <v>0</v>
      </c>
      <c r="BS74" s="399">
        <f t="shared" si="7"/>
        <v>0</v>
      </c>
      <c r="BT74" s="399">
        <f t="shared" si="8"/>
        <v>0</v>
      </c>
      <c r="BU74" s="399">
        <f t="shared" si="9"/>
        <v>0</v>
      </c>
      <c r="BV74" s="399">
        <f t="shared" si="10"/>
        <v>0</v>
      </c>
      <c r="BW74" s="399">
        <f t="shared" si="11"/>
        <v>0</v>
      </c>
      <c r="BX74" s="399">
        <f t="shared" si="12"/>
        <v>0</v>
      </c>
      <c r="BY74" s="399">
        <f t="shared" si="13"/>
        <v>0</v>
      </c>
      <c r="BZ74" s="399">
        <f t="shared" si="14"/>
        <v>0</v>
      </c>
      <c r="CA74" s="399">
        <f t="shared" si="15"/>
        <v>0</v>
      </c>
      <c r="CB74" s="399">
        <f t="shared" si="16"/>
        <v>0</v>
      </c>
      <c r="CC74" s="399">
        <f t="shared" si="17"/>
        <v>0</v>
      </c>
      <c r="CD74" s="399">
        <f t="shared" si="18"/>
        <v>0</v>
      </c>
      <c r="CE74" s="399">
        <f t="shared" si="19"/>
        <v>0</v>
      </c>
      <c r="CF74" s="399">
        <f t="shared" si="20"/>
        <v>0</v>
      </c>
      <c r="CG74" s="399">
        <f t="shared" si="21"/>
        <v>0</v>
      </c>
      <c r="CH74" s="399">
        <f t="shared" si="22"/>
        <v>0</v>
      </c>
      <c r="CI74" s="399">
        <f t="shared" si="23"/>
        <v>0</v>
      </c>
      <c r="CJ74" s="399">
        <f t="shared" si="24"/>
        <v>0</v>
      </c>
      <c r="CK74" s="399">
        <f t="shared" si="25"/>
        <v>0</v>
      </c>
      <c r="CL74" s="399">
        <f t="shared" si="26"/>
        <v>0</v>
      </c>
      <c r="CM74" s="399">
        <f t="shared" si="27"/>
        <v>0</v>
      </c>
      <c r="CN74" s="399">
        <f t="shared" si="28"/>
        <v>0</v>
      </c>
      <c r="CO74" s="399">
        <f t="shared" si="29"/>
        <v>0</v>
      </c>
      <c r="CP74" s="399">
        <f t="shared" si="30"/>
        <v>0</v>
      </c>
      <c r="CQ74" s="423">
        <f t="shared" si="31"/>
        <v>0</v>
      </c>
      <c r="CS74" s="394" t="e">
        <f t="shared" si="32"/>
        <v>#DIV/0!</v>
      </c>
    </row>
    <row r="75" spans="3:97">
      <c r="C75" s="107"/>
      <c r="D75" s="395"/>
      <c r="E75" s="84"/>
      <c r="F75" s="84"/>
      <c r="G75" s="389"/>
      <c r="H75" s="390"/>
      <c r="I75" s="390"/>
      <c r="J75" s="390"/>
      <c r="K75" s="390"/>
      <c r="L75" s="390"/>
      <c r="M75" s="390"/>
      <c r="N75" s="390"/>
      <c r="O75" s="390"/>
      <c r="P75" s="390"/>
      <c r="Q75" s="390"/>
      <c r="R75" s="390"/>
      <c r="S75" s="390"/>
      <c r="T75" s="390"/>
      <c r="U75" s="390"/>
      <c r="V75" s="390"/>
      <c r="W75" s="390"/>
      <c r="X75" s="390"/>
      <c r="Y75" s="390"/>
      <c r="Z75" s="390"/>
      <c r="AA75" s="390"/>
      <c r="AB75" s="390"/>
      <c r="AC75" s="390"/>
      <c r="AD75" s="390"/>
      <c r="AE75" s="390"/>
      <c r="AF75" s="390"/>
      <c r="AG75" s="390"/>
      <c r="AH75" s="390"/>
      <c r="AI75" s="391"/>
      <c r="AK75" s="437"/>
      <c r="AL75" s="437"/>
      <c r="AM75" s="437"/>
      <c r="AN75" s="437"/>
      <c r="AO75" s="437"/>
      <c r="AP75" s="437"/>
      <c r="AQ75" s="437"/>
      <c r="AR75" s="437"/>
      <c r="AS75" s="437"/>
      <c r="AT75" s="437"/>
      <c r="AU75" s="437"/>
      <c r="AV75" s="437"/>
      <c r="AW75" s="437"/>
      <c r="AX75" s="437"/>
      <c r="AY75" s="437"/>
      <c r="AZ75" s="437"/>
      <c r="BA75" s="437"/>
      <c r="BB75" s="437"/>
      <c r="BC75" s="437"/>
      <c r="BD75" s="437"/>
      <c r="BE75" s="437"/>
      <c r="BF75" s="437"/>
      <c r="BG75" s="437"/>
      <c r="BH75" s="437"/>
      <c r="BI75" s="437"/>
      <c r="BJ75" s="437"/>
      <c r="BK75" s="437"/>
      <c r="BL75" s="437"/>
      <c r="BM75" s="393"/>
      <c r="BO75" s="399">
        <f t="shared" si="3"/>
        <v>0</v>
      </c>
      <c r="BP75" s="399">
        <f t="shared" si="4"/>
        <v>0</v>
      </c>
      <c r="BQ75" s="399">
        <f t="shared" si="5"/>
        <v>0</v>
      </c>
      <c r="BR75" s="399">
        <f t="shared" si="6"/>
        <v>0</v>
      </c>
      <c r="BS75" s="399">
        <f t="shared" si="7"/>
        <v>0</v>
      </c>
      <c r="BT75" s="399">
        <f t="shared" si="8"/>
        <v>0</v>
      </c>
      <c r="BU75" s="399">
        <f t="shared" si="9"/>
        <v>0</v>
      </c>
      <c r="BV75" s="399">
        <f t="shared" si="10"/>
        <v>0</v>
      </c>
      <c r="BW75" s="399">
        <f t="shared" si="11"/>
        <v>0</v>
      </c>
      <c r="BX75" s="399">
        <f t="shared" si="12"/>
        <v>0</v>
      </c>
      <c r="BY75" s="399">
        <f t="shared" si="13"/>
        <v>0</v>
      </c>
      <c r="BZ75" s="399">
        <f t="shared" si="14"/>
        <v>0</v>
      </c>
      <c r="CA75" s="399">
        <f t="shared" si="15"/>
        <v>0</v>
      </c>
      <c r="CB75" s="399">
        <f t="shared" si="16"/>
        <v>0</v>
      </c>
      <c r="CC75" s="399">
        <f t="shared" si="17"/>
        <v>0</v>
      </c>
      <c r="CD75" s="399">
        <f t="shared" si="18"/>
        <v>0</v>
      </c>
      <c r="CE75" s="399">
        <f t="shared" si="19"/>
        <v>0</v>
      </c>
      <c r="CF75" s="399">
        <f t="shared" si="20"/>
        <v>0</v>
      </c>
      <c r="CG75" s="399">
        <f t="shared" si="21"/>
        <v>0</v>
      </c>
      <c r="CH75" s="399">
        <f t="shared" si="22"/>
        <v>0</v>
      </c>
      <c r="CI75" s="399">
        <f t="shared" si="23"/>
        <v>0</v>
      </c>
      <c r="CJ75" s="399">
        <f t="shared" si="24"/>
        <v>0</v>
      </c>
      <c r="CK75" s="399">
        <f t="shared" si="25"/>
        <v>0</v>
      </c>
      <c r="CL75" s="399">
        <f t="shared" si="26"/>
        <v>0</v>
      </c>
      <c r="CM75" s="399">
        <f t="shared" si="27"/>
        <v>0</v>
      </c>
      <c r="CN75" s="399">
        <f t="shared" si="28"/>
        <v>0</v>
      </c>
      <c r="CO75" s="399">
        <f t="shared" si="29"/>
        <v>0</v>
      </c>
      <c r="CP75" s="399">
        <f t="shared" si="30"/>
        <v>0</v>
      </c>
      <c r="CQ75" s="423">
        <f t="shared" si="31"/>
        <v>0</v>
      </c>
      <c r="CS75" s="394" t="e">
        <f t="shared" si="32"/>
        <v>#DIV/0!</v>
      </c>
    </row>
    <row r="76" spans="3:97">
      <c r="C76" s="107"/>
      <c r="D76" s="395"/>
      <c r="E76" s="84"/>
      <c r="F76" s="84"/>
      <c r="G76" s="389"/>
      <c r="H76" s="390"/>
      <c r="I76" s="390"/>
      <c r="J76" s="390"/>
      <c r="K76" s="390"/>
      <c r="L76" s="390"/>
      <c r="M76" s="390"/>
      <c r="N76" s="390"/>
      <c r="O76" s="390"/>
      <c r="P76" s="390"/>
      <c r="Q76" s="390"/>
      <c r="R76" s="390"/>
      <c r="S76" s="390"/>
      <c r="T76" s="390"/>
      <c r="U76" s="390"/>
      <c r="V76" s="390"/>
      <c r="W76" s="390"/>
      <c r="X76" s="390"/>
      <c r="Y76" s="390"/>
      <c r="Z76" s="390"/>
      <c r="AA76" s="390"/>
      <c r="AB76" s="390"/>
      <c r="AC76" s="390"/>
      <c r="AD76" s="390"/>
      <c r="AE76" s="390"/>
      <c r="AF76" s="390"/>
      <c r="AG76" s="390"/>
      <c r="AH76" s="390"/>
      <c r="AI76" s="391"/>
      <c r="AK76" s="437"/>
      <c r="AL76" s="437"/>
      <c r="AM76" s="437"/>
      <c r="AN76" s="437"/>
      <c r="AO76" s="437"/>
      <c r="AP76" s="437"/>
      <c r="AQ76" s="437"/>
      <c r="AR76" s="437"/>
      <c r="AS76" s="437"/>
      <c r="AT76" s="437"/>
      <c r="AU76" s="437"/>
      <c r="AV76" s="437"/>
      <c r="AW76" s="437"/>
      <c r="AX76" s="437"/>
      <c r="AY76" s="437"/>
      <c r="AZ76" s="437"/>
      <c r="BA76" s="437"/>
      <c r="BB76" s="437"/>
      <c r="BC76" s="437"/>
      <c r="BD76" s="437"/>
      <c r="BE76" s="437"/>
      <c r="BF76" s="437"/>
      <c r="BG76" s="437"/>
      <c r="BH76" s="437"/>
      <c r="BI76" s="437"/>
      <c r="BJ76" s="437"/>
      <c r="BK76" s="437"/>
      <c r="BL76" s="437"/>
      <c r="BM76" s="393"/>
      <c r="BO76" s="399">
        <f t="shared" si="3"/>
        <v>0</v>
      </c>
      <c r="BP76" s="399">
        <f t="shared" si="4"/>
        <v>0</v>
      </c>
      <c r="BQ76" s="399">
        <f t="shared" si="5"/>
        <v>0</v>
      </c>
      <c r="BR76" s="399">
        <f t="shared" si="6"/>
        <v>0</v>
      </c>
      <c r="BS76" s="399">
        <f t="shared" si="7"/>
        <v>0</v>
      </c>
      <c r="BT76" s="399">
        <f t="shared" si="8"/>
        <v>0</v>
      </c>
      <c r="BU76" s="399">
        <f t="shared" si="9"/>
        <v>0</v>
      </c>
      <c r="BV76" s="399">
        <f t="shared" si="10"/>
        <v>0</v>
      </c>
      <c r="BW76" s="399">
        <f t="shared" si="11"/>
        <v>0</v>
      </c>
      <c r="BX76" s="399">
        <f t="shared" si="12"/>
        <v>0</v>
      </c>
      <c r="BY76" s="399">
        <f t="shared" si="13"/>
        <v>0</v>
      </c>
      <c r="BZ76" s="399">
        <f t="shared" si="14"/>
        <v>0</v>
      </c>
      <c r="CA76" s="399">
        <f t="shared" si="15"/>
        <v>0</v>
      </c>
      <c r="CB76" s="399">
        <f t="shared" si="16"/>
        <v>0</v>
      </c>
      <c r="CC76" s="399">
        <f t="shared" si="17"/>
        <v>0</v>
      </c>
      <c r="CD76" s="399">
        <f t="shared" si="18"/>
        <v>0</v>
      </c>
      <c r="CE76" s="399">
        <f t="shared" si="19"/>
        <v>0</v>
      </c>
      <c r="CF76" s="399">
        <f t="shared" si="20"/>
        <v>0</v>
      </c>
      <c r="CG76" s="399">
        <f t="shared" si="21"/>
        <v>0</v>
      </c>
      <c r="CH76" s="399">
        <f t="shared" si="22"/>
        <v>0</v>
      </c>
      <c r="CI76" s="399">
        <f t="shared" si="23"/>
        <v>0</v>
      </c>
      <c r="CJ76" s="399">
        <f t="shared" si="24"/>
        <v>0</v>
      </c>
      <c r="CK76" s="399">
        <f t="shared" si="25"/>
        <v>0</v>
      </c>
      <c r="CL76" s="399">
        <f t="shared" si="26"/>
        <v>0</v>
      </c>
      <c r="CM76" s="399">
        <f t="shared" si="27"/>
        <v>0</v>
      </c>
      <c r="CN76" s="399">
        <f t="shared" si="28"/>
        <v>0</v>
      </c>
      <c r="CO76" s="399">
        <f t="shared" si="29"/>
        <v>0</v>
      </c>
      <c r="CP76" s="399">
        <f t="shared" si="30"/>
        <v>0</v>
      </c>
      <c r="CQ76" s="423">
        <f t="shared" si="31"/>
        <v>0</v>
      </c>
      <c r="CS76" s="394" t="e">
        <f t="shared" si="32"/>
        <v>#DIV/0!</v>
      </c>
    </row>
    <row r="77" spans="3:97">
      <c r="C77" s="107"/>
      <c r="D77" s="395"/>
      <c r="E77" s="84"/>
      <c r="F77" s="84"/>
      <c r="G77" s="389"/>
      <c r="H77" s="390"/>
      <c r="I77" s="390"/>
      <c r="J77" s="390"/>
      <c r="K77" s="390"/>
      <c r="L77" s="390"/>
      <c r="M77" s="390"/>
      <c r="N77" s="390"/>
      <c r="O77" s="390"/>
      <c r="P77" s="390"/>
      <c r="Q77" s="390"/>
      <c r="R77" s="390"/>
      <c r="S77" s="390"/>
      <c r="T77" s="390"/>
      <c r="U77" s="390"/>
      <c r="V77" s="390"/>
      <c r="W77" s="390"/>
      <c r="X77" s="390"/>
      <c r="Y77" s="390"/>
      <c r="Z77" s="390"/>
      <c r="AA77" s="390"/>
      <c r="AB77" s="390"/>
      <c r="AC77" s="390"/>
      <c r="AD77" s="390"/>
      <c r="AE77" s="390"/>
      <c r="AF77" s="390"/>
      <c r="AG77" s="390"/>
      <c r="AH77" s="390"/>
      <c r="AI77" s="391"/>
      <c r="AK77" s="437"/>
      <c r="AL77" s="437"/>
      <c r="AM77" s="437"/>
      <c r="AN77" s="437"/>
      <c r="AO77" s="437"/>
      <c r="AP77" s="437"/>
      <c r="AQ77" s="437"/>
      <c r="AR77" s="437"/>
      <c r="AS77" s="437"/>
      <c r="AT77" s="437"/>
      <c r="AU77" s="437"/>
      <c r="AV77" s="437"/>
      <c r="AW77" s="437"/>
      <c r="AX77" s="437"/>
      <c r="AY77" s="437"/>
      <c r="AZ77" s="437"/>
      <c r="BA77" s="437"/>
      <c r="BB77" s="437"/>
      <c r="BC77" s="437"/>
      <c r="BD77" s="437"/>
      <c r="BE77" s="437"/>
      <c r="BF77" s="437"/>
      <c r="BG77" s="437"/>
      <c r="BH77" s="437"/>
      <c r="BI77" s="437"/>
      <c r="BJ77" s="437"/>
      <c r="BK77" s="437"/>
      <c r="BL77" s="437"/>
      <c r="BM77" s="393"/>
      <c r="BO77" s="399">
        <f t="shared" si="3"/>
        <v>0</v>
      </c>
      <c r="BP77" s="399">
        <f t="shared" si="4"/>
        <v>0</v>
      </c>
      <c r="BQ77" s="399">
        <f t="shared" si="5"/>
        <v>0</v>
      </c>
      <c r="BR77" s="399">
        <f t="shared" si="6"/>
        <v>0</v>
      </c>
      <c r="BS77" s="399">
        <f t="shared" si="7"/>
        <v>0</v>
      </c>
      <c r="BT77" s="399">
        <f t="shared" si="8"/>
        <v>0</v>
      </c>
      <c r="BU77" s="399">
        <f t="shared" si="9"/>
        <v>0</v>
      </c>
      <c r="BV77" s="399">
        <f t="shared" si="10"/>
        <v>0</v>
      </c>
      <c r="BW77" s="399">
        <f t="shared" si="11"/>
        <v>0</v>
      </c>
      <c r="BX77" s="399">
        <f t="shared" si="12"/>
        <v>0</v>
      </c>
      <c r="BY77" s="399">
        <f t="shared" si="13"/>
        <v>0</v>
      </c>
      <c r="BZ77" s="399">
        <f t="shared" si="14"/>
        <v>0</v>
      </c>
      <c r="CA77" s="399">
        <f t="shared" si="15"/>
        <v>0</v>
      </c>
      <c r="CB77" s="399">
        <f t="shared" si="16"/>
        <v>0</v>
      </c>
      <c r="CC77" s="399">
        <f t="shared" si="17"/>
        <v>0</v>
      </c>
      <c r="CD77" s="399">
        <f t="shared" si="18"/>
        <v>0</v>
      </c>
      <c r="CE77" s="399">
        <f t="shared" si="19"/>
        <v>0</v>
      </c>
      <c r="CF77" s="399">
        <f t="shared" si="20"/>
        <v>0</v>
      </c>
      <c r="CG77" s="399">
        <f t="shared" si="21"/>
        <v>0</v>
      </c>
      <c r="CH77" s="399">
        <f t="shared" si="22"/>
        <v>0</v>
      </c>
      <c r="CI77" s="399">
        <f t="shared" si="23"/>
        <v>0</v>
      </c>
      <c r="CJ77" s="399">
        <f t="shared" si="24"/>
        <v>0</v>
      </c>
      <c r="CK77" s="399">
        <f t="shared" si="25"/>
        <v>0</v>
      </c>
      <c r="CL77" s="399">
        <f t="shared" si="26"/>
        <v>0</v>
      </c>
      <c r="CM77" s="399">
        <f t="shared" si="27"/>
        <v>0</v>
      </c>
      <c r="CN77" s="399">
        <f t="shared" si="28"/>
        <v>0</v>
      </c>
      <c r="CO77" s="399">
        <f t="shared" si="29"/>
        <v>0</v>
      </c>
      <c r="CP77" s="399">
        <f t="shared" si="30"/>
        <v>0</v>
      </c>
      <c r="CQ77" s="423">
        <f t="shared" si="31"/>
        <v>0</v>
      </c>
      <c r="CS77" s="394" t="e">
        <f t="shared" si="32"/>
        <v>#DIV/0!</v>
      </c>
    </row>
    <row r="78" spans="3:97">
      <c r="C78" s="107"/>
      <c r="D78" s="395"/>
      <c r="E78" s="84"/>
      <c r="F78" s="84"/>
      <c r="G78" s="389"/>
      <c r="H78" s="390"/>
      <c r="I78" s="390"/>
      <c r="J78" s="390"/>
      <c r="K78" s="390"/>
      <c r="L78" s="390"/>
      <c r="M78" s="390"/>
      <c r="N78" s="390"/>
      <c r="O78" s="390"/>
      <c r="P78" s="390"/>
      <c r="Q78" s="390"/>
      <c r="R78" s="390"/>
      <c r="S78" s="390"/>
      <c r="T78" s="390"/>
      <c r="U78" s="390"/>
      <c r="V78" s="390"/>
      <c r="W78" s="390"/>
      <c r="X78" s="390"/>
      <c r="Y78" s="390"/>
      <c r="Z78" s="390"/>
      <c r="AA78" s="390"/>
      <c r="AB78" s="390"/>
      <c r="AC78" s="390"/>
      <c r="AD78" s="390"/>
      <c r="AE78" s="390"/>
      <c r="AF78" s="390"/>
      <c r="AG78" s="390"/>
      <c r="AH78" s="390"/>
      <c r="AI78" s="391"/>
      <c r="AK78" s="437"/>
      <c r="AL78" s="437"/>
      <c r="AM78" s="437"/>
      <c r="AN78" s="437"/>
      <c r="AO78" s="437"/>
      <c r="AP78" s="437"/>
      <c r="AQ78" s="437"/>
      <c r="AR78" s="437"/>
      <c r="AS78" s="437"/>
      <c r="AT78" s="437"/>
      <c r="AU78" s="437"/>
      <c r="AV78" s="437"/>
      <c r="AW78" s="437"/>
      <c r="AX78" s="437"/>
      <c r="AY78" s="437"/>
      <c r="AZ78" s="437"/>
      <c r="BA78" s="437"/>
      <c r="BB78" s="437"/>
      <c r="BC78" s="437"/>
      <c r="BD78" s="437"/>
      <c r="BE78" s="437"/>
      <c r="BF78" s="437"/>
      <c r="BG78" s="437"/>
      <c r="BH78" s="437"/>
      <c r="BI78" s="437"/>
      <c r="BJ78" s="437"/>
      <c r="BK78" s="437"/>
      <c r="BL78" s="437"/>
      <c r="BM78" s="393"/>
      <c r="BO78" s="399">
        <f t="shared" si="3"/>
        <v>0</v>
      </c>
      <c r="BP78" s="399">
        <f t="shared" si="4"/>
        <v>0</v>
      </c>
      <c r="BQ78" s="399">
        <f t="shared" si="5"/>
        <v>0</v>
      </c>
      <c r="BR78" s="399">
        <f t="shared" si="6"/>
        <v>0</v>
      </c>
      <c r="BS78" s="399">
        <f t="shared" si="7"/>
        <v>0</v>
      </c>
      <c r="BT78" s="399">
        <f t="shared" si="8"/>
        <v>0</v>
      </c>
      <c r="BU78" s="399">
        <f t="shared" si="9"/>
        <v>0</v>
      </c>
      <c r="BV78" s="399">
        <f t="shared" si="10"/>
        <v>0</v>
      </c>
      <c r="BW78" s="399">
        <f t="shared" si="11"/>
        <v>0</v>
      </c>
      <c r="BX78" s="399">
        <f t="shared" si="12"/>
        <v>0</v>
      </c>
      <c r="BY78" s="399">
        <f t="shared" si="13"/>
        <v>0</v>
      </c>
      <c r="BZ78" s="399">
        <f t="shared" si="14"/>
        <v>0</v>
      </c>
      <c r="CA78" s="399">
        <f t="shared" si="15"/>
        <v>0</v>
      </c>
      <c r="CB78" s="399">
        <f t="shared" si="16"/>
        <v>0</v>
      </c>
      <c r="CC78" s="399">
        <f t="shared" si="17"/>
        <v>0</v>
      </c>
      <c r="CD78" s="399">
        <f t="shared" si="18"/>
        <v>0</v>
      </c>
      <c r="CE78" s="399">
        <f t="shared" si="19"/>
        <v>0</v>
      </c>
      <c r="CF78" s="399">
        <f t="shared" si="20"/>
        <v>0</v>
      </c>
      <c r="CG78" s="399">
        <f t="shared" si="21"/>
        <v>0</v>
      </c>
      <c r="CH78" s="399">
        <f t="shared" si="22"/>
        <v>0</v>
      </c>
      <c r="CI78" s="399">
        <f t="shared" si="23"/>
        <v>0</v>
      </c>
      <c r="CJ78" s="399">
        <f t="shared" si="24"/>
        <v>0</v>
      </c>
      <c r="CK78" s="399">
        <f t="shared" si="25"/>
        <v>0</v>
      </c>
      <c r="CL78" s="399">
        <f t="shared" si="26"/>
        <v>0</v>
      </c>
      <c r="CM78" s="399">
        <f t="shared" si="27"/>
        <v>0</v>
      </c>
      <c r="CN78" s="399">
        <f t="shared" si="28"/>
        <v>0</v>
      </c>
      <c r="CO78" s="399">
        <f t="shared" si="29"/>
        <v>0</v>
      </c>
      <c r="CP78" s="399">
        <f t="shared" si="30"/>
        <v>0</v>
      </c>
      <c r="CQ78" s="423">
        <f t="shared" si="31"/>
        <v>0</v>
      </c>
      <c r="CS78" s="394" t="e">
        <f t="shared" si="32"/>
        <v>#DIV/0!</v>
      </c>
    </row>
    <row r="79" spans="3:97">
      <c r="C79" s="107"/>
      <c r="D79" s="395"/>
      <c r="E79" s="84"/>
      <c r="F79" s="84"/>
      <c r="G79" s="389"/>
      <c r="H79" s="390"/>
      <c r="I79" s="390"/>
      <c r="J79" s="390"/>
      <c r="K79" s="390"/>
      <c r="L79" s="390"/>
      <c r="M79" s="390"/>
      <c r="N79" s="390"/>
      <c r="O79" s="390"/>
      <c r="P79" s="390"/>
      <c r="Q79" s="390"/>
      <c r="R79" s="390"/>
      <c r="S79" s="390"/>
      <c r="T79" s="390"/>
      <c r="U79" s="390"/>
      <c r="V79" s="390"/>
      <c r="W79" s="390"/>
      <c r="X79" s="390"/>
      <c r="Y79" s="390"/>
      <c r="Z79" s="390"/>
      <c r="AA79" s="390"/>
      <c r="AB79" s="390"/>
      <c r="AC79" s="390"/>
      <c r="AD79" s="390"/>
      <c r="AE79" s="390"/>
      <c r="AF79" s="390"/>
      <c r="AG79" s="390"/>
      <c r="AH79" s="390"/>
      <c r="AI79" s="391"/>
      <c r="AK79" s="437"/>
      <c r="AL79" s="437"/>
      <c r="AM79" s="437"/>
      <c r="AN79" s="437"/>
      <c r="AO79" s="437"/>
      <c r="AP79" s="437"/>
      <c r="AQ79" s="437"/>
      <c r="AR79" s="437"/>
      <c r="AS79" s="437"/>
      <c r="AT79" s="437"/>
      <c r="AU79" s="437"/>
      <c r="AV79" s="437"/>
      <c r="AW79" s="437"/>
      <c r="AX79" s="437"/>
      <c r="AY79" s="437"/>
      <c r="AZ79" s="437"/>
      <c r="BA79" s="437"/>
      <c r="BB79" s="437"/>
      <c r="BC79" s="437"/>
      <c r="BD79" s="437"/>
      <c r="BE79" s="437"/>
      <c r="BF79" s="437"/>
      <c r="BG79" s="437"/>
      <c r="BH79" s="437"/>
      <c r="BI79" s="437"/>
      <c r="BJ79" s="437"/>
      <c r="BK79" s="437"/>
      <c r="BL79" s="437"/>
      <c r="BM79" s="393"/>
      <c r="BO79" s="399">
        <f t="shared" si="3"/>
        <v>0</v>
      </c>
      <c r="BP79" s="399">
        <f t="shared" si="4"/>
        <v>0</v>
      </c>
      <c r="BQ79" s="399">
        <f t="shared" si="5"/>
        <v>0</v>
      </c>
      <c r="BR79" s="399">
        <f t="shared" si="6"/>
        <v>0</v>
      </c>
      <c r="BS79" s="399">
        <f t="shared" si="7"/>
        <v>0</v>
      </c>
      <c r="BT79" s="399">
        <f t="shared" si="8"/>
        <v>0</v>
      </c>
      <c r="BU79" s="399">
        <f t="shared" si="9"/>
        <v>0</v>
      </c>
      <c r="BV79" s="399">
        <f t="shared" si="10"/>
        <v>0</v>
      </c>
      <c r="BW79" s="399">
        <f t="shared" si="11"/>
        <v>0</v>
      </c>
      <c r="BX79" s="399">
        <f t="shared" si="12"/>
        <v>0</v>
      </c>
      <c r="BY79" s="399">
        <f t="shared" si="13"/>
        <v>0</v>
      </c>
      <c r="BZ79" s="399">
        <f t="shared" si="14"/>
        <v>0</v>
      </c>
      <c r="CA79" s="399">
        <f t="shared" si="15"/>
        <v>0</v>
      </c>
      <c r="CB79" s="399">
        <f t="shared" si="16"/>
        <v>0</v>
      </c>
      <c r="CC79" s="399">
        <f t="shared" si="17"/>
        <v>0</v>
      </c>
      <c r="CD79" s="399">
        <f t="shared" si="18"/>
        <v>0</v>
      </c>
      <c r="CE79" s="399">
        <f t="shared" si="19"/>
        <v>0</v>
      </c>
      <c r="CF79" s="399">
        <f t="shared" si="20"/>
        <v>0</v>
      </c>
      <c r="CG79" s="399">
        <f t="shared" si="21"/>
        <v>0</v>
      </c>
      <c r="CH79" s="399">
        <f t="shared" si="22"/>
        <v>0</v>
      </c>
      <c r="CI79" s="399">
        <f t="shared" si="23"/>
        <v>0</v>
      </c>
      <c r="CJ79" s="399">
        <f t="shared" si="24"/>
        <v>0</v>
      </c>
      <c r="CK79" s="399">
        <f t="shared" si="25"/>
        <v>0</v>
      </c>
      <c r="CL79" s="399">
        <f t="shared" si="26"/>
        <v>0</v>
      </c>
      <c r="CM79" s="399">
        <f t="shared" si="27"/>
        <v>0</v>
      </c>
      <c r="CN79" s="399">
        <f t="shared" si="28"/>
        <v>0</v>
      </c>
      <c r="CO79" s="399">
        <f t="shared" si="29"/>
        <v>0</v>
      </c>
      <c r="CP79" s="399">
        <f t="shared" si="30"/>
        <v>0</v>
      </c>
      <c r="CQ79" s="423">
        <f t="shared" si="31"/>
        <v>0</v>
      </c>
      <c r="CS79" s="394" t="e">
        <f t="shared" si="32"/>
        <v>#DIV/0!</v>
      </c>
    </row>
    <row r="80" spans="3:97">
      <c r="C80" s="107"/>
      <c r="D80" s="395"/>
      <c r="E80" s="84"/>
      <c r="F80" s="84"/>
      <c r="G80" s="389"/>
      <c r="H80" s="390"/>
      <c r="I80" s="390"/>
      <c r="J80" s="390"/>
      <c r="K80" s="390"/>
      <c r="L80" s="390"/>
      <c r="M80" s="390"/>
      <c r="N80" s="390"/>
      <c r="O80" s="390"/>
      <c r="P80" s="390"/>
      <c r="Q80" s="390"/>
      <c r="R80" s="390"/>
      <c r="S80" s="390"/>
      <c r="T80" s="390"/>
      <c r="U80" s="390"/>
      <c r="V80" s="390"/>
      <c r="W80" s="390"/>
      <c r="X80" s="390"/>
      <c r="Y80" s="390"/>
      <c r="Z80" s="390"/>
      <c r="AA80" s="390"/>
      <c r="AB80" s="390"/>
      <c r="AC80" s="390"/>
      <c r="AD80" s="390"/>
      <c r="AE80" s="390"/>
      <c r="AF80" s="390"/>
      <c r="AG80" s="390"/>
      <c r="AH80" s="390"/>
      <c r="AI80" s="391"/>
      <c r="AK80" s="437"/>
      <c r="AL80" s="437"/>
      <c r="AM80" s="437"/>
      <c r="AN80" s="437"/>
      <c r="AO80" s="437"/>
      <c r="AP80" s="437"/>
      <c r="AQ80" s="437"/>
      <c r="AR80" s="437"/>
      <c r="AS80" s="437"/>
      <c r="AT80" s="437"/>
      <c r="AU80" s="437"/>
      <c r="AV80" s="437"/>
      <c r="AW80" s="437"/>
      <c r="AX80" s="437"/>
      <c r="AY80" s="437"/>
      <c r="AZ80" s="437"/>
      <c r="BA80" s="437"/>
      <c r="BB80" s="437"/>
      <c r="BC80" s="437"/>
      <c r="BD80" s="437"/>
      <c r="BE80" s="437"/>
      <c r="BF80" s="437"/>
      <c r="BG80" s="437"/>
      <c r="BH80" s="437"/>
      <c r="BI80" s="437"/>
      <c r="BJ80" s="437"/>
      <c r="BK80" s="437"/>
      <c r="BL80" s="437"/>
      <c r="BM80" s="393"/>
      <c r="BO80" s="399">
        <f t="shared" si="3"/>
        <v>0</v>
      </c>
      <c r="BP80" s="399">
        <f t="shared" si="4"/>
        <v>0</v>
      </c>
      <c r="BQ80" s="399">
        <f t="shared" si="5"/>
        <v>0</v>
      </c>
      <c r="BR80" s="399">
        <f t="shared" si="6"/>
        <v>0</v>
      </c>
      <c r="BS80" s="399">
        <f t="shared" si="7"/>
        <v>0</v>
      </c>
      <c r="BT80" s="399">
        <f t="shared" si="8"/>
        <v>0</v>
      </c>
      <c r="BU80" s="399">
        <f t="shared" si="9"/>
        <v>0</v>
      </c>
      <c r="BV80" s="399">
        <f t="shared" si="10"/>
        <v>0</v>
      </c>
      <c r="BW80" s="399">
        <f t="shared" si="11"/>
        <v>0</v>
      </c>
      <c r="BX80" s="399">
        <f t="shared" si="12"/>
        <v>0</v>
      </c>
      <c r="BY80" s="399">
        <f t="shared" si="13"/>
        <v>0</v>
      </c>
      <c r="BZ80" s="399">
        <f t="shared" si="14"/>
        <v>0</v>
      </c>
      <c r="CA80" s="399">
        <f t="shared" si="15"/>
        <v>0</v>
      </c>
      <c r="CB80" s="399">
        <f t="shared" si="16"/>
        <v>0</v>
      </c>
      <c r="CC80" s="399">
        <f t="shared" si="17"/>
        <v>0</v>
      </c>
      <c r="CD80" s="399">
        <f t="shared" si="18"/>
        <v>0</v>
      </c>
      <c r="CE80" s="399">
        <f t="shared" si="19"/>
        <v>0</v>
      </c>
      <c r="CF80" s="399">
        <f t="shared" si="20"/>
        <v>0</v>
      </c>
      <c r="CG80" s="399">
        <f t="shared" si="21"/>
        <v>0</v>
      </c>
      <c r="CH80" s="399">
        <f t="shared" si="22"/>
        <v>0</v>
      </c>
      <c r="CI80" s="399">
        <f t="shared" si="23"/>
        <v>0</v>
      </c>
      <c r="CJ80" s="399">
        <f t="shared" si="24"/>
        <v>0</v>
      </c>
      <c r="CK80" s="399">
        <f t="shared" si="25"/>
        <v>0</v>
      </c>
      <c r="CL80" s="399">
        <f t="shared" si="26"/>
        <v>0</v>
      </c>
      <c r="CM80" s="399">
        <f t="shared" si="27"/>
        <v>0</v>
      </c>
      <c r="CN80" s="399">
        <f t="shared" si="28"/>
        <v>0</v>
      </c>
      <c r="CO80" s="399">
        <f t="shared" si="29"/>
        <v>0</v>
      </c>
      <c r="CP80" s="399">
        <f t="shared" si="30"/>
        <v>0</v>
      </c>
      <c r="CQ80" s="423">
        <f t="shared" si="31"/>
        <v>0</v>
      </c>
      <c r="CS80" s="394" t="e">
        <f t="shared" si="32"/>
        <v>#DIV/0!</v>
      </c>
    </row>
    <row r="81" spans="3:97">
      <c r="C81" s="107"/>
      <c r="D81" s="395"/>
      <c r="E81" s="84"/>
      <c r="F81" s="84"/>
      <c r="G81" s="389"/>
      <c r="H81" s="390"/>
      <c r="I81" s="390"/>
      <c r="J81" s="390"/>
      <c r="K81" s="390"/>
      <c r="L81" s="390"/>
      <c r="M81" s="390"/>
      <c r="N81" s="390"/>
      <c r="O81" s="390"/>
      <c r="P81" s="390"/>
      <c r="Q81" s="390"/>
      <c r="R81" s="390"/>
      <c r="S81" s="390"/>
      <c r="T81" s="390"/>
      <c r="U81" s="390"/>
      <c r="V81" s="390"/>
      <c r="W81" s="390"/>
      <c r="X81" s="390"/>
      <c r="Y81" s="390"/>
      <c r="Z81" s="390"/>
      <c r="AA81" s="390"/>
      <c r="AB81" s="390"/>
      <c r="AC81" s="390"/>
      <c r="AD81" s="390"/>
      <c r="AE81" s="390"/>
      <c r="AF81" s="390"/>
      <c r="AG81" s="390"/>
      <c r="AH81" s="390"/>
      <c r="AI81" s="391"/>
      <c r="AK81" s="437"/>
      <c r="AL81" s="437"/>
      <c r="AM81" s="437"/>
      <c r="AN81" s="437"/>
      <c r="AO81" s="437"/>
      <c r="AP81" s="437"/>
      <c r="AQ81" s="437"/>
      <c r="AR81" s="437"/>
      <c r="AS81" s="437"/>
      <c r="AT81" s="437"/>
      <c r="AU81" s="437"/>
      <c r="AV81" s="437"/>
      <c r="AW81" s="437"/>
      <c r="AX81" s="437"/>
      <c r="AY81" s="437"/>
      <c r="AZ81" s="437"/>
      <c r="BA81" s="437"/>
      <c r="BB81" s="437"/>
      <c r="BC81" s="437"/>
      <c r="BD81" s="437"/>
      <c r="BE81" s="437"/>
      <c r="BF81" s="437"/>
      <c r="BG81" s="437"/>
      <c r="BH81" s="437"/>
      <c r="BI81" s="437"/>
      <c r="BJ81" s="437"/>
      <c r="BK81" s="437"/>
      <c r="BL81" s="437"/>
      <c r="BM81" s="393"/>
      <c r="BO81" s="399">
        <f t="shared" si="3"/>
        <v>0</v>
      </c>
      <c r="BP81" s="399">
        <f t="shared" si="4"/>
        <v>0</v>
      </c>
      <c r="BQ81" s="399">
        <f t="shared" si="5"/>
        <v>0</v>
      </c>
      <c r="BR81" s="399">
        <f t="shared" si="6"/>
        <v>0</v>
      </c>
      <c r="BS81" s="399">
        <f t="shared" si="7"/>
        <v>0</v>
      </c>
      <c r="BT81" s="399">
        <f t="shared" si="8"/>
        <v>0</v>
      </c>
      <c r="BU81" s="399">
        <f t="shared" si="9"/>
        <v>0</v>
      </c>
      <c r="BV81" s="399">
        <f t="shared" si="10"/>
        <v>0</v>
      </c>
      <c r="BW81" s="399">
        <f t="shared" si="11"/>
        <v>0</v>
      </c>
      <c r="BX81" s="399">
        <f t="shared" si="12"/>
        <v>0</v>
      </c>
      <c r="BY81" s="399">
        <f t="shared" si="13"/>
        <v>0</v>
      </c>
      <c r="BZ81" s="399">
        <f t="shared" si="14"/>
        <v>0</v>
      </c>
      <c r="CA81" s="399">
        <f t="shared" si="15"/>
        <v>0</v>
      </c>
      <c r="CB81" s="399">
        <f t="shared" si="16"/>
        <v>0</v>
      </c>
      <c r="CC81" s="399">
        <f t="shared" si="17"/>
        <v>0</v>
      </c>
      <c r="CD81" s="399">
        <f t="shared" si="18"/>
        <v>0</v>
      </c>
      <c r="CE81" s="399">
        <f t="shared" si="19"/>
        <v>0</v>
      </c>
      <c r="CF81" s="399">
        <f t="shared" si="20"/>
        <v>0</v>
      </c>
      <c r="CG81" s="399">
        <f t="shared" si="21"/>
        <v>0</v>
      </c>
      <c r="CH81" s="399">
        <f t="shared" si="22"/>
        <v>0</v>
      </c>
      <c r="CI81" s="399">
        <f t="shared" si="23"/>
        <v>0</v>
      </c>
      <c r="CJ81" s="399">
        <f t="shared" si="24"/>
        <v>0</v>
      </c>
      <c r="CK81" s="399">
        <f t="shared" si="25"/>
        <v>0</v>
      </c>
      <c r="CL81" s="399">
        <f t="shared" si="26"/>
        <v>0</v>
      </c>
      <c r="CM81" s="399">
        <f t="shared" si="27"/>
        <v>0</v>
      </c>
      <c r="CN81" s="399">
        <f t="shared" si="28"/>
        <v>0</v>
      </c>
      <c r="CO81" s="399">
        <f t="shared" si="29"/>
        <v>0</v>
      </c>
      <c r="CP81" s="399">
        <f t="shared" si="30"/>
        <v>0</v>
      </c>
      <c r="CQ81" s="423">
        <f t="shared" si="31"/>
        <v>0</v>
      </c>
      <c r="CS81" s="394" t="e">
        <f t="shared" si="32"/>
        <v>#DIV/0!</v>
      </c>
    </row>
    <row r="82" spans="3:97">
      <c r="C82" s="107"/>
      <c r="D82" s="395"/>
      <c r="E82" s="84"/>
      <c r="F82" s="84"/>
      <c r="G82" s="389"/>
      <c r="H82" s="390"/>
      <c r="I82" s="390"/>
      <c r="J82" s="390"/>
      <c r="K82" s="390"/>
      <c r="L82" s="390"/>
      <c r="M82" s="390"/>
      <c r="N82" s="390"/>
      <c r="O82" s="390"/>
      <c r="P82" s="390"/>
      <c r="Q82" s="390"/>
      <c r="R82" s="390"/>
      <c r="S82" s="390"/>
      <c r="T82" s="390"/>
      <c r="U82" s="390"/>
      <c r="V82" s="390"/>
      <c r="W82" s="390"/>
      <c r="X82" s="390"/>
      <c r="Y82" s="390"/>
      <c r="Z82" s="390"/>
      <c r="AA82" s="390"/>
      <c r="AB82" s="390"/>
      <c r="AC82" s="390"/>
      <c r="AD82" s="390"/>
      <c r="AE82" s="390"/>
      <c r="AF82" s="390"/>
      <c r="AG82" s="390"/>
      <c r="AH82" s="390"/>
      <c r="AI82" s="391"/>
      <c r="AK82" s="437"/>
      <c r="AL82" s="437"/>
      <c r="AM82" s="437"/>
      <c r="AN82" s="437"/>
      <c r="AO82" s="437"/>
      <c r="AP82" s="437"/>
      <c r="AQ82" s="437"/>
      <c r="AR82" s="437"/>
      <c r="AS82" s="437"/>
      <c r="AT82" s="437"/>
      <c r="AU82" s="437"/>
      <c r="AV82" s="437"/>
      <c r="AW82" s="437"/>
      <c r="AX82" s="437"/>
      <c r="AY82" s="437"/>
      <c r="AZ82" s="437"/>
      <c r="BA82" s="437"/>
      <c r="BB82" s="437"/>
      <c r="BC82" s="437"/>
      <c r="BD82" s="437"/>
      <c r="BE82" s="437"/>
      <c r="BF82" s="437"/>
      <c r="BG82" s="437"/>
      <c r="BH82" s="437"/>
      <c r="BI82" s="437"/>
      <c r="BJ82" s="437"/>
      <c r="BK82" s="437"/>
      <c r="BL82" s="437"/>
      <c r="BM82" s="393"/>
      <c r="BO82" s="399">
        <f t="shared" si="3"/>
        <v>0</v>
      </c>
      <c r="BP82" s="399">
        <f t="shared" si="4"/>
        <v>0</v>
      </c>
      <c r="BQ82" s="399">
        <f t="shared" si="5"/>
        <v>0</v>
      </c>
      <c r="BR82" s="399">
        <f t="shared" si="6"/>
        <v>0</v>
      </c>
      <c r="BS82" s="399">
        <f t="shared" si="7"/>
        <v>0</v>
      </c>
      <c r="BT82" s="399">
        <f t="shared" si="8"/>
        <v>0</v>
      </c>
      <c r="BU82" s="399">
        <f t="shared" si="9"/>
        <v>0</v>
      </c>
      <c r="BV82" s="399">
        <f t="shared" si="10"/>
        <v>0</v>
      </c>
      <c r="BW82" s="399">
        <f t="shared" si="11"/>
        <v>0</v>
      </c>
      <c r="BX82" s="399">
        <f t="shared" si="12"/>
        <v>0</v>
      </c>
      <c r="BY82" s="399">
        <f t="shared" si="13"/>
        <v>0</v>
      </c>
      <c r="BZ82" s="399">
        <f t="shared" si="14"/>
        <v>0</v>
      </c>
      <c r="CA82" s="399">
        <f t="shared" si="15"/>
        <v>0</v>
      </c>
      <c r="CB82" s="399">
        <f t="shared" si="16"/>
        <v>0</v>
      </c>
      <c r="CC82" s="399">
        <f t="shared" si="17"/>
        <v>0</v>
      </c>
      <c r="CD82" s="399">
        <f t="shared" si="18"/>
        <v>0</v>
      </c>
      <c r="CE82" s="399">
        <f t="shared" si="19"/>
        <v>0</v>
      </c>
      <c r="CF82" s="399">
        <f t="shared" si="20"/>
        <v>0</v>
      </c>
      <c r="CG82" s="399">
        <f t="shared" si="21"/>
        <v>0</v>
      </c>
      <c r="CH82" s="399">
        <f t="shared" si="22"/>
        <v>0</v>
      </c>
      <c r="CI82" s="399">
        <f t="shared" si="23"/>
        <v>0</v>
      </c>
      <c r="CJ82" s="399">
        <f t="shared" si="24"/>
        <v>0</v>
      </c>
      <c r="CK82" s="399">
        <f t="shared" si="25"/>
        <v>0</v>
      </c>
      <c r="CL82" s="399">
        <f t="shared" si="26"/>
        <v>0</v>
      </c>
      <c r="CM82" s="399">
        <f t="shared" si="27"/>
        <v>0</v>
      </c>
      <c r="CN82" s="399">
        <f t="shared" si="28"/>
        <v>0</v>
      </c>
      <c r="CO82" s="399">
        <f t="shared" si="29"/>
        <v>0</v>
      </c>
      <c r="CP82" s="399">
        <f t="shared" si="30"/>
        <v>0</v>
      </c>
      <c r="CQ82" s="423">
        <f t="shared" si="31"/>
        <v>0</v>
      </c>
      <c r="CS82" s="394" t="e">
        <f t="shared" si="32"/>
        <v>#DIV/0!</v>
      </c>
    </row>
    <row r="83" spans="3:97">
      <c r="C83" s="107"/>
      <c r="D83" s="395"/>
      <c r="E83" s="84"/>
      <c r="F83" s="84"/>
      <c r="G83" s="389"/>
      <c r="H83" s="390"/>
      <c r="I83" s="390"/>
      <c r="J83" s="390"/>
      <c r="K83" s="390"/>
      <c r="L83" s="390"/>
      <c r="M83" s="390"/>
      <c r="N83" s="390"/>
      <c r="O83" s="390"/>
      <c r="P83" s="390"/>
      <c r="Q83" s="390"/>
      <c r="R83" s="390"/>
      <c r="S83" s="390"/>
      <c r="T83" s="390"/>
      <c r="U83" s="390"/>
      <c r="V83" s="390"/>
      <c r="W83" s="390"/>
      <c r="X83" s="390"/>
      <c r="Y83" s="390"/>
      <c r="Z83" s="390"/>
      <c r="AA83" s="390"/>
      <c r="AB83" s="390"/>
      <c r="AC83" s="390"/>
      <c r="AD83" s="390"/>
      <c r="AE83" s="390"/>
      <c r="AF83" s="390"/>
      <c r="AG83" s="390"/>
      <c r="AH83" s="390"/>
      <c r="AI83" s="391"/>
      <c r="AK83" s="437"/>
      <c r="AL83" s="437"/>
      <c r="AM83" s="437"/>
      <c r="AN83" s="437"/>
      <c r="AO83" s="437"/>
      <c r="AP83" s="437"/>
      <c r="AQ83" s="437"/>
      <c r="AR83" s="437"/>
      <c r="AS83" s="437"/>
      <c r="AT83" s="437"/>
      <c r="AU83" s="437"/>
      <c r="AV83" s="437"/>
      <c r="AW83" s="437"/>
      <c r="AX83" s="437"/>
      <c r="AY83" s="437"/>
      <c r="AZ83" s="437"/>
      <c r="BA83" s="437"/>
      <c r="BB83" s="437"/>
      <c r="BC83" s="437"/>
      <c r="BD83" s="437"/>
      <c r="BE83" s="437"/>
      <c r="BF83" s="437"/>
      <c r="BG83" s="437"/>
      <c r="BH83" s="437"/>
      <c r="BI83" s="437"/>
      <c r="BJ83" s="437"/>
      <c r="BK83" s="437"/>
      <c r="BL83" s="437"/>
      <c r="BM83" s="393"/>
      <c r="BO83" s="399">
        <f t="shared" ref="BO83:BO146" si="33">G83*BO$4</f>
        <v>0</v>
      </c>
      <c r="BP83" s="399">
        <f t="shared" ref="BP83:BP146" si="34">H83*BP$4</f>
        <v>0</v>
      </c>
      <c r="BQ83" s="399">
        <f t="shared" ref="BQ83:BQ146" si="35">I83*BQ$4</f>
        <v>0</v>
      </c>
      <c r="BR83" s="399">
        <f t="shared" ref="BR83:BR146" si="36">J83*BR$4</f>
        <v>0</v>
      </c>
      <c r="BS83" s="399">
        <f t="shared" ref="BS83:BS146" si="37">K83*BS$4</f>
        <v>0</v>
      </c>
      <c r="BT83" s="399">
        <f t="shared" ref="BT83:BT146" si="38">L83*BT$4</f>
        <v>0</v>
      </c>
      <c r="BU83" s="399">
        <f t="shared" ref="BU83:BU146" si="39">M83*BU$4</f>
        <v>0</v>
      </c>
      <c r="BV83" s="399">
        <f t="shared" ref="BV83:BV146" si="40">N83*BV$4</f>
        <v>0</v>
      </c>
      <c r="BW83" s="399">
        <f t="shared" ref="BW83:BW146" si="41">O83*BW$4</f>
        <v>0</v>
      </c>
      <c r="BX83" s="399">
        <f t="shared" ref="BX83:BX146" si="42">P83*BX$4</f>
        <v>0</v>
      </c>
      <c r="BY83" s="399">
        <f t="shared" ref="BY83:BY146" si="43">Q83*BY$4</f>
        <v>0</v>
      </c>
      <c r="BZ83" s="399">
        <f t="shared" ref="BZ83:BZ146" si="44">R83*BZ$4</f>
        <v>0</v>
      </c>
      <c r="CA83" s="399">
        <f t="shared" ref="CA83:CA146" si="45">S83*CA$4</f>
        <v>0</v>
      </c>
      <c r="CB83" s="399">
        <f t="shared" ref="CB83:CB146" si="46">T83*CB$4</f>
        <v>0</v>
      </c>
      <c r="CC83" s="399">
        <f t="shared" ref="CC83:CC146" si="47">U83*CC$4</f>
        <v>0</v>
      </c>
      <c r="CD83" s="399">
        <f t="shared" ref="CD83:CD146" si="48">V83*CD$4</f>
        <v>0</v>
      </c>
      <c r="CE83" s="399">
        <f t="shared" ref="CE83:CE146" si="49">W83*CE$4</f>
        <v>0</v>
      </c>
      <c r="CF83" s="399">
        <f t="shared" ref="CF83:CF146" si="50">X83*CF$4</f>
        <v>0</v>
      </c>
      <c r="CG83" s="399">
        <f t="shared" ref="CG83:CG146" si="51">Y83*CG$4</f>
        <v>0</v>
      </c>
      <c r="CH83" s="399">
        <f t="shared" ref="CH83:CH146" si="52">Z83*CH$4</f>
        <v>0</v>
      </c>
      <c r="CI83" s="399">
        <f t="shared" ref="CI83:CI146" si="53">AA83*CI$4</f>
        <v>0</v>
      </c>
      <c r="CJ83" s="399">
        <f t="shared" ref="CJ83:CJ146" si="54">AB83*CJ$4</f>
        <v>0</v>
      </c>
      <c r="CK83" s="399">
        <f t="shared" ref="CK83:CK146" si="55">AC83*CK$4</f>
        <v>0</v>
      </c>
      <c r="CL83" s="399">
        <f t="shared" ref="CL83:CL146" si="56">AD83*CL$4</f>
        <v>0</v>
      </c>
      <c r="CM83" s="399">
        <f t="shared" ref="CM83:CM146" si="57">AE83*CM$4</f>
        <v>0</v>
      </c>
      <c r="CN83" s="399">
        <f t="shared" ref="CN83:CN146" si="58">AF83*CN$4</f>
        <v>0</v>
      </c>
      <c r="CO83" s="399">
        <f t="shared" ref="CO83:CO146" si="59">AG83*CO$4</f>
        <v>0</v>
      </c>
      <c r="CP83" s="399">
        <f t="shared" ref="CP83:CP146" si="60">AH83*CP$4</f>
        <v>0</v>
      </c>
      <c r="CQ83" s="423">
        <f t="shared" ref="CQ83:CQ146" si="61">SUM(BO83:CP83)</f>
        <v>0</v>
      </c>
      <c r="CS83" s="394" t="e">
        <f t="shared" ref="CS83:CS146" si="62">CQ83/AI83</f>
        <v>#DIV/0!</v>
      </c>
    </row>
    <row r="84" spans="3:97">
      <c r="C84" s="107"/>
      <c r="D84" s="395"/>
      <c r="E84" s="84"/>
      <c r="F84" s="84"/>
      <c r="G84" s="389"/>
      <c r="H84" s="390"/>
      <c r="I84" s="390"/>
      <c r="J84" s="390"/>
      <c r="K84" s="390"/>
      <c r="L84" s="390"/>
      <c r="M84" s="390"/>
      <c r="N84" s="390"/>
      <c r="O84" s="390"/>
      <c r="P84" s="390"/>
      <c r="Q84" s="390"/>
      <c r="R84" s="390"/>
      <c r="S84" s="390"/>
      <c r="T84" s="390"/>
      <c r="U84" s="390"/>
      <c r="V84" s="390"/>
      <c r="W84" s="390"/>
      <c r="X84" s="390"/>
      <c r="Y84" s="390"/>
      <c r="Z84" s="390"/>
      <c r="AA84" s="390"/>
      <c r="AB84" s="390"/>
      <c r="AC84" s="390"/>
      <c r="AD84" s="390"/>
      <c r="AE84" s="390"/>
      <c r="AF84" s="390"/>
      <c r="AG84" s="390"/>
      <c r="AH84" s="390"/>
      <c r="AI84" s="391"/>
      <c r="AK84" s="437"/>
      <c r="AL84" s="437"/>
      <c r="AM84" s="437"/>
      <c r="AN84" s="437"/>
      <c r="AO84" s="437"/>
      <c r="AP84" s="437"/>
      <c r="AQ84" s="437"/>
      <c r="AR84" s="437"/>
      <c r="AS84" s="437"/>
      <c r="AT84" s="437"/>
      <c r="AU84" s="437"/>
      <c r="AV84" s="437"/>
      <c r="AW84" s="437"/>
      <c r="AX84" s="437"/>
      <c r="AY84" s="437"/>
      <c r="AZ84" s="437"/>
      <c r="BA84" s="437"/>
      <c r="BB84" s="437"/>
      <c r="BC84" s="437"/>
      <c r="BD84" s="437"/>
      <c r="BE84" s="437"/>
      <c r="BF84" s="437"/>
      <c r="BG84" s="437"/>
      <c r="BH84" s="437"/>
      <c r="BI84" s="437"/>
      <c r="BJ84" s="437"/>
      <c r="BK84" s="437"/>
      <c r="BL84" s="437"/>
      <c r="BM84" s="393"/>
      <c r="BO84" s="399">
        <f t="shared" si="33"/>
        <v>0</v>
      </c>
      <c r="BP84" s="399">
        <f t="shared" si="34"/>
        <v>0</v>
      </c>
      <c r="BQ84" s="399">
        <f t="shared" si="35"/>
        <v>0</v>
      </c>
      <c r="BR84" s="399">
        <f t="shared" si="36"/>
        <v>0</v>
      </c>
      <c r="BS84" s="399">
        <f t="shared" si="37"/>
        <v>0</v>
      </c>
      <c r="BT84" s="399">
        <f t="shared" si="38"/>
        <v>0</v>
      </c>
      <c r="BU84" s="399">
        <f t="shared" si="39"/>
        <v>0</v>
      </c>
      <c r="BV84" s="399">
        <f t="shared" si="40"/>
        <v>0</v>
      </c>
      <c r="BW84" s="399">
        <f t="shared" si="41"/>
        <v>0</v>
      </c>
      <c r="BX84" s="399">
        <f t="shared" si="42"/>
        <v>0</v>
      </c>
      <c r="BY84" s="399">
        <f t="shared" si="43"/>
        <v>0</v>
      </c>
      <c r="BZ84" s="399">
        <f t="shared" si="44"/>
        <v>0</v>
      </c>
      <c r="CA84" s="399">
        <f t="shared" si="45"/>
        <v>0</v>
      </c>
      <c r="CB84" s="399">
        <f t="shared" si="46"/>
        <v>0</v>
      </c>
      <c r="CC84" s="399">
        <f t="shared" si="47"/>
        <v>0</v>
      </c>
      <c r="CD84" s="399">
        <f t="shared" si="48"/>
        <v>0</v>
      </c>
      <c r="CE84" s="399">
        <f t="shared" si="49"/>
        <v>0</v>
      </c>
      <c r="CF84" s="399">
        <f t="shared" si="50"/>
        <v>0</v>
      </c>
      <c r="CG84" s="399">
        <f t="shared" si="51"/>
        <v>0</v>
      </c>
      <c r="CH84" s="399">
        <f t="shared" si="52"/>
        <v>0</v>
      </c>
      <c r="CI84" s="399">
        <f t="shared" si="53"/>
        <v>0</v>
      </c>
      <c r="CJ84" s="399">
        <f t="shared" si="54"/>
        <v>0</v>
      </c>
      <c r="CK84" s="399">
        <f t="shared" si="55"/>
        <v>0</v>
      </c>
      <c r="CL84" s="399">
        <f t="shared" si="56"/>
        <v>0</v>
      </c>
      <c r="CM84" s="399">
        <f t="shared" si="57"/>
        <v>0</v>
      </c>
      <c r="CN84" s="399">
        <f t="shared" si="58"/>
        <v>0</v>
      </c>
      <c r="CO84" s="399">
        <f t="shared" si="59"/>
        <v>0</v>
      </c>
      <c r="CP84" s="399">
        <f t="shared" si="60"/>
        <v>0</v>
      </c>
      <c r="CQ84" s="423">
        <f t="shared" si="61"/>
        <v>0</v>
      </c>
      <c r="CS84" s="394" t="e">
        <f t="shared" si="62"/>
        <v>#DIV/0!</v>
      </c>
    </row>
    <row r="85" spans="3:97">
      <c r="C85" s="107"/>
      <c r="D85" s="395"/>
      <c r="E85" s="84"/>
      <c r="F85" s="84"/>
      <c r="G85" s="389"/>
      <c r="H85" s="390"/>
      <c r="I85" s="390"/>
      <c r="J85" s="390"/>
      <c r="K85" s="390"/>
      <c r="L85" s="390"/>
      <c r="M85" s="390"/>
      <c r="N85" s="390"/>
      <c r="O85" s="390"/>
      <c r="P85" s="390"/>
      <c r="Q85" s="390"/>
      <c r="R85" s="390"/>
      <c r="S85" s="390"/>
      <c r="T85" s="390"/>
      <c r="U85" s="390"/>
      <c r="V85" s="390"/>
      <c r="W85" s="390"/>
      <c r="X85" s="390"/>
      <c r="Y85" s="390"/>
      <c r="Z85" s="390"/>
      <c r="AA85" s="390"/>
      <c r="AB85" s="390"/>
      <c r="AC85" s="390"/>
      <c r="AD85" s="390"/>
      <c r="AE85" s="390"/>
      <c r="AF85" s="390"/>
      <c r="AG85" s="390"/>
      <c r="AH85" s="390"/>
      <c r="AI85" s="391"/>
      <c r="AK85" s="437"/>
      <c r="AL85" s="437"/>
      <c r="AM85" s="437"/>
      <c r="AN85" s="437"/>
      <c r="AO85" s="437"/>
      <c r="AP85" s="437"/>
      <c r="AQ85" s="437"/>
      <c r="AR85" s="437"/>
      <c r="AS85" s="437"/>
      <c r="AT85" s="437"/>
      <c r="AU85" s="437"/>
      <c r="AV85" s="437"/>
      <c r="AW85" s="437"/>
      <c r="AX85" s="437"/>
      <c r="AY85" s="437"/>
      <c r="AZ85" s="437"/>
      <c r="BA85" s="437"/>
      <c r="BB85" s="437"/>
      <c r="BC85" s="437"/>
      <c r="BD85" s="437"/>
      <c r="BE85" s="437"/>
      <c r="BF85" s="437"/>
      <c r="BG85" s="437"/>
      <c r="BH85" s="437"/>
      <c r="BI85" s="437"/>
      <c r="BJ85" s="437"/>
      <c r="BK85" s="437"/>
      <c r="BL85" s="437"/>
      <c r="BM85" s="393"/>
      <c r="BO85" s="399">
        <f t="shared" si="33"/>
        <v>0</v>
      </c>
      <c r="BP85" s="399">
        <f t="shared" si="34"/>
        <v>0</v>
      </c>
      <c r="BQ85" s="399">
        <f t="shared" si="35"/>
        <v>0</v>
      </c>
      <c r="BR85" s="399">
        <f t="shared" si="36"/>
        <v>0</v>
      </c>
      <c r="BS85" s="399">
        <f t="shared" si="37"/>
        <v>0</v>
      </c>
      <c r="BT85" s="399">
        <f t="shared" si="38"/>
        <v>0</v>
      </c>
      <c r="BU85" s="399">
        <f t="shared" si="39"/>
        <v>0</v>
      </c>
      <c r="BV85" s="399">
        <f t="shared" si="40"/>
        <v>0</v>
      </c>
      <c r="BW85" s="399">
        <f t="shared" si="41"/>
        <v>0</v>
      </c>
      <c r="BX85" s="399">
        <f t="shared" si="42"/>
        <v>0</v>
      </c>
      <c r="BY85" s="399">
        <f t="shared" si="43"/>
        <v>0</v>
      </c>
      <c r="BZ85" s="399">
        <f t="shared" si="44"/>
        <v>0</v>
      </c>
      <c r="CA85" s="399">
        <f t="shared" si="45"/>
        <v>0</v>
      </c>
      <c r="CB85" s="399">
        <f t="shared" si="46"/>
        <v>0</v>
      </c>
      <c r="CC85" s="399">
        <f t="shared" si="47"/>
        <v>0</v>
      </c>
      <c r="CD85" s="399">
        <f t="shared" si="48"/>
        <v>0</v>
      </c>
      <c r="CE85" s="399">
        <f t="shared" si="49"/>
        <v>0</v>
      </c>
      <c r="CF85" s="399">
        <f t="shared" si="50"/>
        <v>0</v>
      </c>
      <c r="CG85" s="399">
        <f t="shared" si="51"/>
        <v>0</v>
      </c>
      <c r="CH85" s="399">
        <f t="shared" si="52"/>
        <v>0</v>
      </c>
      <c r="CI85" s="399">
        <f t="shared" si="53"/>
        <v>0</v>
      </c>
      <c r="CJ85" s="399">
        <f t="shared" si="54"/>
        <v>0</v>
      </c>
      <c r="CK85" s="399">
        <f t="shared" si="55"/>
        <v>0</v>
      </c>
      <c r="CL85" s="399">
        <f t="shared" si="56"/>
        <v>0</v>
      </c>
      <c r="CM85" s="399">
        <f t="shared" si="57"/>
        <v>0</v>
      </c>
      <c r="CN85" s="399">
        <f t="shared" si="58"/>
        <v>0</v>
      </c>
      <c r="CO85" s="399">
        <f t="shared" si="59"/>
        <v>0</v>
      </c>
      <c r="CP85" s="399">
        <f t="shared" si="60"/>
        <v>0</v>
      </c>
      <c r="CQ85" s="423">
        <f t="shared" si="61"/>
        <v>0</v>
      </c>
      <c r="CS85" s="394" t="e">
        <f t="shared" si="62"/>
        <v>#DIV/0!</v>
      </c>
    </row>
    <row r="86" spans="3:97">
      <c r="C86" s="107"/>
      <c r="D86" s="395"/>
      <c r="E86" s="84"/>
      <c r="F86" s="84"/>
      <c r="G86" s="389"/>
      <c r="H86" s="390"/>
      <c r="I86" s="390"/>
      <c r="J86" s="390"/>
      <c r="K86" s="390"/>
      <c r="L86" s="390"/>
      <c r="M86" s="390"/>
      <c r="N86" s="390"/>
      <c r="O86" s="390"/>
      <c r="P86" s="390"/>
      <c r="Q86" s="390"/>
      <c r="R86" s="390"/>
      <c r="S86" s="390"/>
      <c r="T86" s="390"/>
      <c r="U86" s="390"/>
      <c r="V86" s="390"/>
      <c r="W86" s="390"/>
      <c r="X86" s="390"/>
      <c r="Y86" s="390"/>
      <c r="Z86" s="390"/>
      <c r="AA86" s="390"/>
      <c r="AB86" s="390"/>
      <c r="AC86" s="390"/>
      <c r="AD86" s="390"/>
      <c r="AE86" s="390"/>
      <c r="AF86" s="390"/>
      <c r="AG86" s="390"/>
      <c r="AH86" s="390"/>
      <c r="AI86" s="391"/>
      <c r="AK86" s="437"/>
      <c r="AL86" s="437"/>
      <c r="AM86" s="437"/>
      <c r="AN86" s="437"/>
      <c r="AO86" s="437"/>
      <c r="AP86" s="437"/>
      <c r="AQ86" s="437"/>
      <c r="AR86" s="437"/>
      <c r="AS86" s="437"/>
      <c r="AT86" s="437"/>
      <c r="AU86" s="437"/>
      <c r="AV86" s="437"/>
      <c r="AW86" s="437"/>
      <c r="AX86" s="437"/>
      <c r="AY86" s="437"/>
      <c r="AZ86" s="437"/>
      <c r="BA86" s="437"/>
      <c r="BB86" s="437"/>
      <c r="BC86" s="437"/>
      <c r="BD86" s="437"/>
      <c r="BE86" s="437"/>
      <c r="BF86" s="437"/>
      <c r="BG86" s="437"/>
      <c r="BH86" s="437"/>
      <c r="BI86" s="437"/>
      <c r="BJ86" s="437"/>
      <c r="BK86" s="437"/>
      <c r="BL86" s="437"/>
      <c r="BM86" s="393"/>
      <c r="BO86" s="399">
        <f t="shared" si="33"/>
        <v>0</v>
      </c>
      <c r="BP86" s="399">
        <f t="shared" si="34"/>
        <v>0</v>
      </c>
      <c r="BQ86" s="399">
        <f t="shared" si="35"/>
        <v>0</v>
      </c>
      <c r="BR86" s="399">
        <f t="shared" si="36"/>
        <v>0</v>
      </c>
      <c r="BS86" s="399">
        <f t="shared" si="37"/>
        <v>0</v>
      </c>
      <c r="BT86" s="399">
        <f t="shared" si="38"/>
        <v>0</v>
      </c>
      <c r="BU86" s="399">
        <f t="shared" si="39"/>
        <v>0</v>
      </c>
      <c r="BV86" s="399">
        <f t="shared" si="40"/>
        <v>0</v>
      </c>
      <c r="BW86" s="399">
        <f t="shared" si="41"/>
        <v>0</v>
      </c>
      <c r="BX86" s="399">
        <f t="shared" si="42"/>
        <v>0</v>
      </c>
      <c r="BY86" s="399">
        <f t="shared" si="43"/>
        <v>0</v>
      </c>
      <c r="BZ86" s="399">
        <f t="shared" si="44"/>
        <v>0</v>
      </c>
      <c r="CA86" s="399">
        <f t="shared" si="45"/>
        <v>0</v>
      </c>
      <c r="CB86" s="399">
        <f t="shared" si="46"/>
        <v>0</v>
      </c>
      <c r="CC86" s="399">
        <f t="shared" si="47"/>
        <v>0</v>
      </c>
      <c r="CD86" s="399">
        <f t="shared" si="48"/>
        <v>0</v>
      </c>
      <c r="CE86" s="399">
        <f t="shared" si="49"/>
        <v>0</v>
      </c>
      <c r="CF86" s="399">
        <f t="shared" si="50"/>
        <v>0</v>
      </c>
      <c r="CG86" s="399">
        <f t="shared" si="51"/>
        <v>0</v>
      </c>
      <c r="CH86" s="399">
        <f t="shared" si="52"/>
        <v>0</v>
      </c>
      <c r="CI86" s="399">
        <f t="shared" si="53"/>
        <v>0</v>
      </c>
      <c r="CJ86" s="399">
        <f t="shared" si="54"/>
        <v>0</v>
      </c>
      <c r="CK86" s="399">
        <f t="shared" si="55"/>
        <v>0</v>
      </c>
      <c r="CL86" s="399">
        <f t="shared" si="56"/>
        <v>0</v>
      </c>
      <c r="CM86" s="399">
        <f t="shared" si="57"/>
        <v>0</v>
      </c>
      <c r="CN86" s="399">
        <f t="shared" si="58"/>
        <v>0</v>
      </c>
      <c r="CO86" s="399">
        <f t="shared" si="59"/>
        <v>0</v>
      </c>
      <c r="CP86" s="399">
        <f t="shared" si="60"/>
        <v>0</v>
      </c>
      <c r="CQ86" s="423">
        <f t="shared" si="61"/>
        <v>0</v>
      </c>
      <c r="CS86" s="394" t="e">
        <f t="shared" si="62"/>
        <v>#DIV/0!</v>
      </c>
    </row>
    <row r="87" spans="3:97">
      <c r="C87" s="107"/>
      <c r="D87" s="395"/>
      <c r="E87" s="84"/>
      <c r="F87" s="84"/>
      <c r="G87" s="389"/>
      <c r="H87" s="390"/>
      <c r="I87" s="390"/>
      <c r="J87" s="390"/>
      <c r="K87" s="390"/>
      <c r="L87" s="390"/>
      <c r="M87" s="390"/>
      <c r="N87" s="390"/>
      <c r="O87" s="390"/>
      <c r="P87" s="390"/>
      <c r="Q87" s="390"/>
      <c r="R87" s="390"/>
      <c r="S87" s="390"/>
      <c r="T87" s="390"/>
      <c r="U87" s="390"/>
      <c r="V87" s="390"/>
      <c r="W87" s="390"/>
      <c r="X87" s="390"/>
      <c r="Y87" s="390"/>
      <c r="Z87" s="390"/>
      <c r="AA87" s="390"/>
      <c r="AB87" s="390"/>
      <c r="AC87" s="390"/>
      <c r="AD87" s="390"/>
      <c r="AE87" s="390"/>
      <c r="AF87" s="390"/>
      <c r="AG87" s="390"/>
      <c r="AH87" s="390"/>
      <c r="AI87" s="391"/>
      <c r="AK87" s="437"/>
      <c r="AL87" s="437"/>
      <c r="AM87" s="437"/>
      <c r="AN87" s="437"/>
      <c r="AO87" s="437"/>
      <c r="AP87" s="437"/>
      <c r="AQ87" s="437"/>
      <c r="AR87" s="437"/>
      <c r="AS87" s="437"/>
      <c r="AT87" s="437"/>
      <c r="AU87" s="437"/>
      <c r="AV87" s="437"/>
      <c r="AW87" s="437"/>
      <c r="AX87" s="437"/>
      <c r="AY87" s="437"/>
      <c r="AZ87" s="437"/>
      <c r="BA87" s="437"/>
      <c r="BB87" s="437"/>
      <c r="BC87" s="437"/>
      <c r="BD87" s="437"/>
      <c r="BE87" s="437"/>
      <c r="BF87" s="437"/>
      <c r="BG87" s="437"/>
      <c r="BH87" s="437"/>
      <c r="BI87" s="437"/>
      <c r="BJ87" s="437"/>
      <c r="BK87" s="437"/>
      <c r="BL87" s="437"/>
      <c r="BM87" s="393"/>
      <c r="BO87" s="399">
        <f t="shared" si="33"/>
        <v>0</v>
      </c>
      <c r="BP87" s="399">
        <f t="shared" si="34"/>
        <v>0</v>
      </c>
      <c r="BQ87" s="399">
        <f t="shared" si="35"/>
        <v>0</v>
      </c>
      <c r="BR87" s="399">
        <f t="shared" si="36"/>
        <v>0</v>
      </c>
      <c r="BS87" s="399">
        <f t="shared" si="37"/>
        <v>0</v>
      </c>
      <c r="BT87" s="399">
        <f t="shared" si="38"/>
        <v>0</v>
      </c>
      <c r="BU87" s="399">
        <f t="shared" si="39"/>
        <v>0</v>
      </c>
      <c r="BV87" s="399">
        <f t="shared" si="40"/>
        <v>0</v>
      </c>
      <c r="BW87" s="399">
        <f t="shared" si="41"/>
        <v>0</v>
      </c>
      <c r="BX87" s="399">
        <f t="shared" si="42"/>
        <v>0</v>
      </c>
      <c r="BY87" s="399">
        <f t="shared" si="43"/>
        <v>0</v>
      </c>
      <c r="BZ87" s="399">
        <f t="shared" si="44"/>
        <v>0</v>
      </c>
      <c r="CA87" s="399">
        <f t="shared" si="45"/>
        <v>0</v>
      </c>
      <c r="CB87" s="399">
        <f t="shared" si="46"/>
        <v>0</v>
      </c>
      <c r="CC87" s="399">
        <f t="shared" si="47"/>
        <v>0</v>
      </c>
      <c r="CD87" s="399">
        <f t="shared" si="48"/>
        <v>0</v>
      </c>
      <c r="CE87" s="399">
        <f t="shared" si="49"/>
        <v>0</v>
      </c>
      <c r="CF87" s="399">
        <f t="shared" si="50"/>
        <v>0</v>
      </c>
      <c r="CG87" s="399">
        <f t="shared" si="51"/>
        <v>0</v>
      </c>
      <c r="CH87" s="399">
        <f t="shared" si="52"/>
        <v>0</v>
      </c>
      <c r="CI87" s="399">
        <f t="shared" si="53"/>
        <v>0</v>
      </c>
      <c r="CJ87" s="399">
        <f t="shared" si="54"/>
        <v>0</v>
      </c>
      <c r="CK87" s="399">
        <f t="shared" si="55"/>
        <v>0</v>
      </c>
      <c r="CL87" s="399">
        <f t="shared" si="56"/>
        <v>0</v>
      </c>
      <c r="CM87" s="399">
        <f t="shared" si="57"/>
        <v>0</v>
      </c>
      <c r="CN87" s="399">
        <f t="shared" si="58"/>
        <v>0</v>
      </c>
      <c r="CO87" s="399">
        <f t="shared" si="59"/>
        <v>0</v>
      </c>
      <c r="CP87" s="399">
        <f t="shared" si="60"/>
        <v>0</v>
      </c>
      <c r="CQ87" s="423">
        <f t="shared" si="61"/>
        <v>0</v>
      </c>
      <c r="CS87" s="394" t="e">
        <f t="shared" si="62"/>
        <v>#DIV/0!</v>
      </c>
    </row>
    <row r="88" spans="3:97">
      <c r="C88" s="107"/>
      <c r="D88" s="395"/>
      <c r="E88" s="84"/>
      <c r="F88" s="84"/>
      <c r="G88" s="389"/>
      <c r="H88" s="390"/>
      <c r="I88" s="390"/>
      <c r="J88" s="390"/>
      <c r="K88" s="390"/>
      <c r="L88" s="390"/>
      <c r="M88" s="390"/>
      <c r="N88" s="390"/>
      <c r="O88" s="390"/>
      <c r="P88" s="390"/>
      <c r="Q88" s="390"/>
      <c r="R88" s="390"/>
      <c r="S88" s="390"/>
      <c r="T88" s="390"/>
      <c r="U88" s="390"/>
      <c r="V88" s="390"/>
      <c r="W88" s="390"/>
      <c r="X88" s="390"/>
      <c r="Y88" s="390"/>
      <c r="Z88" s="390"/>
      <c r="AA88" s="390"/>
      <c r="AB88" s="390"/>
      <c r="AC88" s="390"/>
      <c r="AD88" s="390"/>
      <c r="AE88" s="390"/>
      <c r="AF88" s="390"/>
      <c r="AG88" s="390"/>
      <c r="AH88" s="390"/>
      <c r="AI88" s="391"/>
      <c r="AK88" s="437"/>
      <c r="AL88" s="437"/>
      <c r="AM88" s="437"/>
      <c r="AN88" s="437"/>
      <c r="AO88" s="437"/>
      <c r="AP88" s="437"/>
      <c r="AQ88" s="437"/>
      <c r="AR88" s="437"/>
      <c r="AS88" s="437"/>
      <c r="AT88" s="437"/>
      <c r="AU88" s="437"/>
      <c r="AV88" s="437"/>
      <c r="AW88" s="437"/>
      <c r="AX88" s="437"/>
      <c r="AY88" s="437"/>
      <c r="AZ88" s="437"/>
      <c r="BA88" s="437"/>
      <c r="BB88" s="437"/>
      <c r="BC88" s="437"/>
      <c r="BD88" s="437"/>
      <c r="BE88" s="437"/>
      <c r="BF88" s="437"/>
      <c r="BG88" s="437"/>
      <c r="BH88" s="437"/>
      <c r="BI88" s="437"/>
      <c r="BJ88" s="437"/>
      <c r="BK88" s="437"/>
      <c r="BL88" s="437"/>
      <c r="BM88" s="393"/>
      <c r="BO88" s="399">
        <f t="shared" si="33"/>
        <v>0</v>
      </c>
      <c r="BP88" s="399">
        <f t="shared" si="34"/>
        <v>0</v>
      </c>
      <c r="BQ88" s="399">
        <f t="shared" si="35"/>
        <v>0</v>
      </c>
      <c r="BR88" s="399">
        <f t="shared" si="36"/>
        <v>0</v>
      </c>
      <c r="BS88" s="399">
        <f t="shared" si="37"/>
        <v>0</v>
      </c>
      <c r="BT88" s="399">
        <f t="shared" si="38"/>
        <v>0</v>
      </c>
      <c r="BU88" s="399">
        <f t="shared" si="39"/>
        <v>0</v>
      </c>
      <c r="BV88" s="399">
        <f t="shared" si="40"/>
        <v>0</v>
      </c>
      <c r="BW88" s="399">
        <f t="shared" si="41"/>
        <v>0</v>
      </c>
      <c r="BX88" s="399">
        <f t="shared" si="42"/>
        <v>0</v>
      </c>
      <c r="BY88" s="399">
        <f t="shared" si="43"/>
        <v>0</v>
      </c>
      <c r="BZ88" s="399">
        <f t="shared" si="44"/>
        <v>0</v>
      </c>
      <c r="CA88" s="399">
        <f t="shared" si="45"/>
        <v>0</v>
      </c>
      <c r="CB88" s="399">
        <f t="shared" si="46"/>
        <v>0</v>
      </c>
      <c r="CC88" s="399">
        <f t="shared" si="47"/>
        <v>0</v>
      </c>
      <c r="CD88" s="399">
        <f t="shared" si="48"/>
        <v>0</v>
      </c>
      <c r="CE88" s="399">
        <f t="shared" si="49"/>
        <v>0</v>
      </c>
      <c r="CF88" s="399">
        <f t="shared" si="50"/>
        <v>0</v>
      </c>
      <c r="CG88" s="399">
        <f t="shared" si="51"/>
        <v>0</v>
      </c>
      <c r="CH88" s="399">
        <f t="shared" si="52"/>
        <v>0</v>
      </c>
      <c r="CI88" s="399">
        <f t="shared" si="53"/>
        <v>0</v>
      </c>
      <c r="CJ88" s="399">
        <f t="shared" si="54"/>
        <v>0</v>
      </c>
      <c r="CK88" s="399">
        <f t="shared" si="55"/>
        <v>0</v>
      </c>
      <c r="CL88" s="399">
        <f t="shared" si="56"/>
        <v>0</v>
      </c>
      <c r="CM88" s="399">
        <f t="shared" si="57"/>
        <v>0</v>
      </c>
      <c r="CN88" s="399">
        <f t="shared" si="58"/>
        <v>0</v>
      </c>
      <c r="CO88" s="399">
        <f t="shared" si="59"/>
        <v>0</v>
      </c>
      <c r="CP88" s="399">
        <f t="shared" si="60"/>
        <v>0</v>
      </c>
      <c r="CQ88" s="423">
        <f t="shared" si="61"/>
        <v>0</v>
      </c>
      <c r="CS88" s="394" t="e">
        <f t="shared" si="62"/>
        <v>#DIV/0!</v>
      </c>
    </row>
    <row r="89" spans="3:97">
      <c r="C89" s="107"/>
      <c r="D89" s="395"/>
      <c r="E89" s="84"/>
      <c r="F89" s="84"/>
      <c r="G89" s="389"/>
      <c r="H89" s="390"/>
      <c r="I89" s="390"/>
      <c r="J89" s="390"/>
      <c r="K89" s="390"/>
      <c r="L89" s="390"/>
      <c r="M89" s="390"/>
      <c r="N89" s="390"/>
      <c r="O89" s="390"/>
      <c r="P89" s="390"/>
      <c r="Q89" s="390"/>
      <c r="R89" s="390"/>
      <c r="S89" s="390"/>
      <c r="T89" s="390"/>
      <c r="U89" s="390"/>
      <c r="V89" s="390"/>
      <c r="W89" s="390"/>
      <c r="X89" s="390"/>
      <c r="Y89" s="390"/>
      <c r="Z89" s="390"/>
      <c r="AA89" s="390"/>
      <c r="AB89" s="390"/>
      <c r="AC89" s="390"/>
      <c r="AD89" s="390"/>
      <c r="AE89" s="390"/>
      <c r="AF89" s="390"/>
      <c r="AG89" s="390"/>
      <c r="AH89" s="390"/>
      <c r="AI89" s="391"/>
      <c r="AK89" s="437"/>
      <c r="AL89" s="437"/>
      <c r="AM89" s="437"/>
      <c r="AN89" s="437"/>
      <c r="AO89" s="437"/>
      <c r="AP89" s="437"/>
      <c r="AQ89" s="437"/>
      <c r="AR89" s="437"/>
      <c r="AS89" s="437"/>
      <c r="AT89" s="437"/>
      <c r="AU89" s="437"/>
      <c r="AV89" s="437"/>
      <c r="AW89" s="437"/>
      <c r="AX89" s="437"/>
      <c r="AY89" s="437"/>
      <c r="AZ89" s="437"/>
      <c r="BA89" s="437"/>
      <c r="BB89" s="437"/>
      <c r="BC89" s="437"/>
      <c r="BD89" s="437"/>
      <c r="BE89" s="437"/>
      <c r="BF89" s="437"/>
      <c r="BG89" s="437"/>
      <c r="BH89" s="437"/>
      <c r="BI89" s="437"/>
      <c r="BJ89" s="437"/>
      <c r="BK89" s="437"/>
      <c r="BL89" s="437"/>
      <c r="BM89" s="393"/>
      <c r="BO89" s="399">
        <f t="shared" si="33"/>
        <v>0</v>
      </c>
      <c r="BP89" s="399">
        <f t="shared" si="34"/>
        <v>0</v>
      </c>
      <c r="BQ89" s="399">
        <f t="shared" si="35"/>
        <v>0</v>
      </c>
      <c r="BR89" s="399">
        <f t="shared" si="36"/>
        <v>0</v>
      </c>
      <c r="BS89" s="399">
        <f t="shared" si="37"/>
        <v>0</v>
      </c>
      <c r="BT89" s="399">
        <f t="shared" si="38"/>
        <v>0</v>
      </c>
      <c r="BU89" s="399">
        <f t="shared" si="39"/>
        <v>0</v>
      </c>
      <c r="BV89" s="399">
        <f t="shared" si="40"/>
        <v>0</v>
      </c>
      <c r="BW89" s="399">
        <f t="shared" si="41"/>
        <v>0</v>
      </c>
      <c r="BX89" s="399">
        <f t="shared" si="42"/>
        <v>0</v>
      </c>
      <c r="BY89" s="399">
        <f t="shared" si="43"/>
        <v>0</v>
      </c>
      <c r="BZ89" s="399">
        <f t="shared" si="44"/>
        <v>0</v>
      </c>
      <c r="CA89" s="399">
        <f t="shared" si="45"/>
        <v>0</v>
      </c>
      <c r="CB89" s="399">
        <f t="shared" si="46"/>
        <v>0</v>
      </c>
      <c r="CC89" s="399">
        <f t="shared" si="47"/>
        <v>0</v>
      </c>
      <c r="CD89" s="399">
        <f t="shared" si="48"/>
        <v>0</v>
      </c>
      <c r="CE89" s="399">
        <f t="shared" si="49"/>
        <v>0</v>
      </c>
      <c r="CF89" s="399">
        <f t="shared" si="50"/>
        <v>0</v>
      </c>
      <c r="CG89" s="399">
        <f t="shared" si="51"/>
        <v>0</v>
      </c>
      <c r="CH89" s="399">
        <f t="shared" si="52"/>
        <v>0</v>
      </c>
      <c r="CI89" s="399">
        <f t="shared" si="53"/>
        <v>0</v>
      </c>
      <c r="CJ89" s="399">
        <f t="shared" si="54"/>
        <v>0</v>
      </c>
      <c r="CK89" s="399">
        <f t="shared" si="55"/>
        <v>0</v>
      </c>
      <c r="CL89" s="399">
        <f t="shared" si="56"/>
        <v>0</v>
      </c>
      <c r="CM89" s="399">
        <f t="shared" si="57"/>
        <v>0</v>
      </c>
      <c r="CN89" s="399">
        <f t="shared" si="58"/>
        <v>0</v>
      </c>
      <c r="CO89" s="399">
        <f t="shared" si="59"/>
        <v>0</v>
      </c>
      <c r="CP89" s="399">
        <f t="shared" si="60"/>
        <v>0</v>
      </c>
      <c r="CQ89" s="423">
        <f t="shared" si="61"/>
        <v>0</v>
      </c>
      <c r="CS89" s="394" t="e">
        <f t="shared" si="62"/>
        <v>#DIV/0!</v>
      </c>
    </row>
    <row r="90" spans="3:97">
      <c r="C90" s="107"/>
      <c r="D90" s="395"/>
      <c r="E90" s="84"/>
      <c r="F90" s="84"/>
      <c r="G90" s="389"/>
      <c r="H90" s="390"/>
      <c r="I90" s="390"/>
      <c r="J90" s="390"/>
      <c r="K90" s="390"/>
      <c r="L90" s="390"/>
      <c r="M90" s="390"/>
      <c r="N90" s="390"/>
      <c r="O90" s="390"/>
      <c r="P90" s="390"/>
      <c r="Q90" s="390"/>
      <c r="R90" s="390"/>
      <c r="S90" s="390"/>
      <c r="T90" s="390"/>
      <c r="U90" s="390"/>
      <c r="V90" s="390"/>
      <c r="W90" s="390"/>
      <c r="X90" s="390"/>
      <c r="Y90" s="390"/>
      <c r="Z90" s="390"/>
      <c r="AA90" s="390"/>
      <c r="AB90" s="390"/>
      <c r="AC90" s="390"/>
      <c r="AD90" s="390"/>
      <c r="AE90" s="390"/>
      <c r="AF90" s="390"/>
      <c r="AG90" s="390"/>
      <c r="AH90" s="390"/>
      <c r="AI90" s="391"/>
      <c r="AK90" s="437"/>
      <c r="AL90" s="437"/>
      <c r="AM90" s="437"/>
      <c r="AN90" s="437"/>
      <c r="AO90" s="437"/>
      <c r="AP90" s="437"/>
      <c r="AQ90" s="437"/>
      <c r="AR90" s="437"/>
      <c r="AS90" s="437"/>
      <c r="AT90" s="437"/>
      <c r="AU90" s="437"/>
      <c r="AV90" s="437"/>
      <c r="AW90" s="437"/>
      <c r="AX90" s="437"/>
      <c r="AY90" s="437"/>
      <c r="AZ90" s="437"/>
      <c r="BA90" s="437"/>
      <c r="BB90" s="437"/>
      <c r="BC90" s="437"/>
      <c r="BD90" s="437"/>
      <c r="BE90" s="437"/>
      <c r="BF90" s="437"/>
      <c r="BG90" s="437"/>
      <c r="BH90" s="437"/>
      <c r="BI90" s="437"/>
      <c r="BJ90" s="437"/>
      <c r="BK90" s="437"/>
      <c r="BL90" s="437"/>
      <c r="BM90" s="393"/>
      <c r="BO90" s="399">
        <f t="shared" si="33"/>
        <v>0</v>
      </c>
      <c r="BP90" s="399">
        <f t="shared" si="34"/>
        <v>0</v>
      </c>
      <c r="BQ90" s="399">
        <f t="shared" si="35"/>
        <v>0</v>
      </c>
      <c r="BR90" s="399">
        <f t="shared" si="36"/>
        <v>0</v>
      </c>
      <c r="BS90" s="399">
        <f t="shared" si="37"/>
        <v>0</v>
      </c>
      <c r="BT90" s="399">
        <f t="shared" si="38"/>
        <v>0</v>
      </c>
      <c r="BU90" s="399">
        <f t="shared" si="39"/>
        <v>0</v>
      </c>
      <c r="BV90" s="399">
        <f t="shared" si="40"/>
        <v>0</v>
      </c>
      <c r="BW90" s="399">
        <f t="shared" si="41"/>
        <v>0</v>
      </c>
      <c r="BX90" s="399">
        <f t="shared" si="42"/>
        <v>0</v>
      </c>
      <c r="BY90" s="399">
        <f t="shared" si="43"/>
        <v>0</v>
      </c>
      <c r="BZ90" s="399">
        <f t="shared" si="44"/>
        <v>0</v>
      </c>
      <c r="CA90" s="399">
        <f t="shared" si="45"/>
        <v>0</v>
      </c>
      <c r="CB90" s="399">
        <f t="shared" si="46"/>
        <v>0</v>
      </c>
      <c r="CC90" s="399">
        <f t="shared" si="47"/>
        <v>0</v>
      </c>
      <c r="CD90" s="399">
        <f t="shared" si="48"/>
        <v>0</v>
      </c>
      <c r="CE90" s="399">
        <f t="shared" si="49"/>
        <v>0</v>
      </c>
      <c r="CF90" s="399">
        <f t="shared" si="50"/>
        <v>0</v>
      </c>
      <c r="CG90" s="399">
        <f t="shared" si="51"/>
        <v>0</v>
      </c>
      <c r="CH90" s="399">
        <f t="shared" si="52"/>
        <v>0</v>
      </c>
      <c r="CI90" s="399">
        <f t="shared" si="53"/>
        <v>0</v>
      </c>
      <c r="CJ90" s="399">
        <f t="shared" si="54"/>
        <v>0</v>
      </c>
      <c r="CK90" s="399">
        <f t="shared" si="55"/>
        <v>0</v>
      </c>
      <c r="CL90" s="399">
        <f t="shared" si="56"/>
        <v>0</v>
      </c>
      <c r="CM90" s="399">
        <f t="shared" si="57"/>
        <v>0</v>
      </c>
      <c r="CN90" s="399">
        <f t="shared" si="58"/>
        <v>0</v>
      </c>
      <c r="CO90" s="399">
        <f t="shared" si="59"/>
        <v>0</v>
      </c>
      <c r="CP90" s="399">
        <f t="shared" si="60"/>
        <v>0</v>
      </c>
      <c r="CQ90" s="423">
        <f t="shared" si="61"/>
        <v>0</v>
      </c>
      <c r="CS90" s="394" t="e">
        <f t="shared" si="62"/>
        <v>#DIV/0!</v>
      </c>
    </row>
    <row r="91" spans="3:97">
      <c r="C91" s="107"/>
      <c r="D91" s="395"/>
      <c r="E91" s="84"/>
      <c r="F91" s="84"/>
      <c r="G91" s="389"/>
      <c r="H91" s="390"/>
      <c r="I91" s="390"/>
      <c r="J91" s="390"/>
      <c r="K91" s="390"/>
      <c r="L91" s="390"/>
      <c r="M91" s="390"/>
      <c r="N91" s="390"/>
      <c r="O91" s="390"/>
      <c r="P91" s="390"/>
      <c r="Q91" s="390"/>
      <c r="R91" s="390"/>
      <c r="S91" s="390"/>
      <c r="T91" s="390"/>
      <c r="U91" s="390"/>
      <c r="V91" s="390"/>
      <c r="W91" s="390"/>
      <c r="X91" s="390"/>
      <c r="Y91" s="390"/>
      <c r="Z91" s="390"/>
      <c r="AA91" s="390"/>
      <c r="AB91" s="390"/>
      <c r="AC91" s="390"/>
      <c r="AD91" s="390"/>
      <c r="AE91" s="390"/>
      <c r="AF91" s="390"/>
      <c r="AG91" s="390"/>
      <c r="AH91" s="390"/>
      <c r="AI91" s="391"/>
      <c r="AK91" s="437"/>
      <c r="AL91" s="437"/>
      <c r="AM91" s="437"/>
      <c r="AN91" s="437"/>
      <c r="AO91" s="437"/>
      <c r="AP91" s="437"/>
      <c r="AQ91" s="437"/>
      <c r="AR91" s="437"/>
      <c r="AS91" s="437"/>
      <c r="AT91" s="437"/>
      <c r="AU91" s="437"/>
      <c r="AV91" s="437"/>
      <c r="AW91" s="437"/>
      <c r="AX91" s="437"/>
      <c r="AY91" s="437"/>
      <c r="AZ91" s="437"/>
      <c r="BA91" s="437"/>
      <c r="BB91" s="437"/>
      <c r="BC91" s="437"/>
      <c r="BD91" s="437"/>
      <c r="BE91" s="437"/>
      <c r="BF91" s="437"/>
      <c r="BG91" s="437"/>
      <c r="BH91" s="437"/>
      <c r="BI91" s="437"/>
      <c r="BJ91" s="437"/>
      <c r="BK91" s="437"/>
      <c r="BL91" s="437"/>
      <c r="BM91" s="393"/>
      <c r="BO91" s="399">
        <f t="shared" si="33"/>
        <v>0</v>
      </c>
      <c r="BP91" s="399">
        <f t="shared" si="34"/>
        <v>0</v>
      </c>
      <c r="BQ91" s="399">
        <f t="shared" si="35"/>
        <v>0</v>
      </c>
      <c r="BR91" s="399">
        <f t="shared" si="36"/>
        <v>0</v>
      </c>
      <c r="BS91" s="399">
        <f t="shared" si="37"/>
        <v>0</v>
      </c>
      <c r="BT91" s="399">
        <f t="shared" si="38"/>
        <v>0</v>
      </c>
      <c r="BU91" s="399">
        <f t="shared" si="39"/>
        <v>0</v>
      </c>
      <c r="BV91" s="399">
        <f t="shared" si="40"/>
        <v>0</v>
      </c>
      <c r="BW91" s="399">
        <f t="shared" si="41"/>
        <v>0</v>
      </c>
      <c r="BX91" s="399">
        <f t="shared" si="42"/>
        <v>0</v>
      </c>
      <c r="BY91" s="399">
        <f t="shared" si="43"/>
        <v>0</v>
      </c>
      <c r="BZ91" s="399">
        <f t="shared" si="44"/>
        <v>0</v>
      </c>
      <c r="CA91" s="399">
        <f t="shared" si="45"/>
        <v>0</v>
      </c>
      <c r="CB91" s="399">
        <f t="shared" si="46"/>
        <v>0</v>
      </c>
      <c r="CC91" s="399">
        <f t="shared" si="47"/>
        <v>0</v>
      </c>
      <c r="CD91" s="399">
        <f t="shared" si="48"/>
        <v>0</v>
      </c>
      <c r="CE91" s="399">
        <f t="shared" si="49"/>
        <v>0</v>
      </c>
      <c r="CF91" s="399">
        <f t="shared" si="50"/>
        <v>0</v>
      </c>
      <c r="CG91" s="399">
        <f t="shared" si="51"/>
        <v>0</v>
      </c>
      <c r="CH91" s="399">
        <f t="shared" si="52"/>
        <v>0</v>
      </c>
      <c r="CI91" s="399">
        <f t="shared" si="53"/>
        <v>0</v>
      </c>
      <c r="CJ91" s="399">
        <f t="shared" si="54"/>
        <v>0</v>
      </c>
      <c r="CK91" s="399">
        <f t="shared" si="55"/>
        <v>0</v>
      </c>
      <c r="CL91" s="399">
        <f t="shared" si="56"/>
        <v>0</v>
      </c>
      <c r="CM91" s="399">
        <f t="shared" si="57"/>
        <v>0</v>
      </c>
      <c r="CN91" s="399">
        <f t="shared" si="58"/>
        <v>0</v>
      </c>
      <c r="CO91" s="399">
        <f t="shared" si="59"/>
        <v>0</v>
      </c>
      <c r="CP91" s="399">
        <f t="shared" si="60"/>
        <v>0</v>
      </c>
      <c r="CQ91" s="423">
        <f t="shared" si="61"/>
        <v>0</v>
      </c>
      <c r="CS91" s="394" t="e">
        <f t="shared" si="62"/>
        <v>#DIV/0!</v>
      </c>
    </row>
    <row r="92" spans="3:97">
      <c r="C92" s="107"/>
      <c r="D92" s="395"/>
      <c r="E92" s="84"/>
      <c r="F92" s="84"/>
      <c r="G92" s="389"/>
      <c r="H92" s="390"/>
      <c r="I92" s="390"/>
      <c r="J92" s="390"/>
      <c r="K92" s="390"/>
      <c r="L92" s="390"/>
      <c r="M92" s="390"/>
      <c r="N92" s="390"/>
      <c r="O92" s="390"/>
      <c r="P92" s="390"/>
      <c r="Q92" s="390"/>
      <c r="R92" s="390"/>
      <c r="S92" s="390"/>
      <c r="T92" s="390"/>
      <c r="U92" s="390"/>
      <c r="V92" s="390"/>
      <c r="W92" s="390"/>
      <c r="X92" s="390"/>
      <c r="Y92" s="390"/>
      <c r="Z92" s="390"/>
      <c r="AA92" s="390"/>
      <c r="AB92" s="390"/>
      <c r="AC92" s="390"/>
      <c r="AD92" s="390"/>
      <c r="AE92" s="390"/>
      <c r="AF92" s="390"/>
      <c r="AG92" s="390"/>
      <c r="AH92" s="390"/>
      <c r="AI92" s="391"/>
      <c r="AK92" s="437"/>
      <c r="AL92" s="437"/>
      <c r="AM92" s="437"/>
      <c r="AN92" s="437"/>
      <c r="AO92" s="437"/>
      <c r="AP92" s="437"/>
      <c r="AQ92" s="437"/>
      <c r="AR92" s="437"/>
      <c r="AS92" s="437"/>
      <c r="AT92" s="437"/>
      <c r="AU92" s="437"/>
      <c r="AV92" s="437"/>
      <c r="AW92" s="437"/>
      <c r="AX92" s="437"/>
      <c r="AY92" s="437"/>
      <c r="AZ92" s="437"/>
      <c r="BA92" s="437"/>
      <c r="BB92" s="437"/>
      <c r="BC92" s="437"/>
      <c r="BD92" s="437"/>
      <c r="BE92" s="437"/>
      <c r="BF92" s="437"/>
      <c r="BG92" s="437"/>
      <c r="BH92" s="437"/>
      <c r="BI92" s="437"/>
      <c r="BJ92" s="437"/>
      <c r="BK92" s="437"/>
      <c r="BL92" s="437"/>
      <c r="BM92" s="393"/>
      <c r="BO92" s="399">
        <f t="shared" si="33"/>
        <v>0</v>
      </c>
      <c r="BP92" s="399">
        <f t="shared" si="34"/>
        <v>0</v>
      </c>
      <c r="BQ92" s="399">
        <f t="shared" si="35"/>
        <v>0</v>
      </c>
      <c r="BR92" s="399">
        <f t="shared" si="36"/>
        <v>0</v>
      </c>
      <c r="BS92" s="399">
        <f t="shared" si="37"/>
        <v>0</v>
      </c>
      <c r="BT92" s="399">
        <f t="shared" si="38"/>
        <v>0</v>
      </c>
      <c r="BU92" s="399">
        <f t="shared" si="39"/>
        <v>0</v>
      </c>
      <c r="BV92" s="399">
        <f t="shared" si="40"/>
        <v>0</v>
      </c>
      <c r="BW92" s="399">
        <f t="shared" si="41"/>
        <v>0</v>
      </c>
      <c r="BX92" s="399">
        <f t="shared" si="42"/>
        <v>0</v>
      </c>
      <c r="BY92" s="399">
        <f t="shared" si="43"/>
        <v>0</v>
      </c>
      <c r="BZ92" s="399">
        <f t="shared" si="44"/>
        <v>0</v>
      </c>
      <c r="CA92" s="399">
        <f t="shared" si="45"/>
        <v>0</v>
      </c>
      <c r="CB92" s="399">
        <f t="shared" si="46"/>
        <v>0</v>
      </c>
      <c r="CC92" s="399">
        <f t="shared" si="47"/>
        <v>0</v>
      </c>
      <c r="CD92" s="399">
        <f t="shared" si="48"/>
        <v>0</v>
      </c>
      <c r="CE92" s="399">
        <f t="shared" si="49"/>
        <v>0</v>
      </c>
      <c r="CF92" s="399">
        <f t="shared" si="50"/>
        <v>0</v>
      </c>
      <c r="CG92" s="399">
        <f t="shared" si="51"/>
        <v>0</v>
      </c>
      <c r="CH92" s="399">
        <f t="shared" si="52"/>
        <v>0</v>
      </c>
      <c r="CI92" s="399">
        <f t="shared" si="53"/>
        <v>0</v>
      </c>
      <c r="CJ92" s="399">
        <f t="shared" si="54"/>
        <v>0</v>
      </c>
      <c r="CK92" s="399">
        <f t="shared" si="55"/>
        <v>0</v>
      </c>
      <c r="CL92" s="399">
        <f t="shared" si="56"/>
        <v>0</v>
      </c>
      <c r="CM92" s="399">
        <f t="shared" si="57"/>
        <v>0</v>
      </c>
      <c r="CN92" s="399">
        <f t="shared" si="58"/>
        <v>0</v>
      </c>
      <c r="CO92" s="399">
        <f t="shared" si="59"/>
        <v>0</v>
      </c>
      <c r="CP92" s="399">
        <f t="shared" si="60"/>
        <v>0</v>
      </c>
      <c r="CQ92" s="423">
        <f t="shared" si="61"/>
        <v>0</v>
      </c>
      <c r="CS92" s="394" t="e">
        <f t="shared" si="62"/>
        <v>#DIV/0!</v>
      </c>
    </row>
    <row r="93" spans="3:97">
      <c r="C93" s="107"/>
      <c r="D93" s="395"/>
      <c r="E93" s="84"/>
      <c r="F93" s="84"/>
      <c r="G93" s="389"/>
      <c r="H93" s="390"/>
      <c r="I93" s="390"/>
      <c r="J93" s="390"/>
      <c r="K93" s="390"/>
      <c r="L93" s="390"/>
      <c r="M93" s="390"/>
      <c r="N93" s="390"/>
      <c r="O93" s="390"/>
      <c r="P93" s="390"/>
      <c r="Q93" s="390"/>
      <c r="R93" s="390"/>
      <c r="S93" s="390"/>
      <c r="T93" s="390"/>
      <c r="U93" s="390"/>
      <c r="V93" s="390"/>
      <c r="W93" s="390"/>
      <c r="X93" s="390"/>
      <c r="Y93" s="390"/>
      <c r="Z93" s="390"/>
      <c r="AA93" s="390"/>
      <c r="AB93" s="390"/>
      <c r="AC93" s="390"/>
      <c r="AD93" s="390"/>
      <c r="AE93" s="390"/>
      <c r="AF93" s="390"/>
      <c r="AG93" s="390"/>
      <c r="AH93" s="390"/>
      <c r="AI93" s="391"/>
      <c r="AK93" s="437"/>
      <c r="AL93" s="437"/>
      <c r="AM93" s="437"/>
      <c r="AN93" s="437"/>
      <c r="AO93" s="437"/>
      <c r="AP93" s="437"/>
      <c r="AQ93" s="437"/>
      <c r="AR93" s="437"/>
      <c r="AS93" s="437"/>
      <c r="AT93" s="437"/>
      <c r="AU93" s="437"/>
      <c r="AV93" s="437"/>
      <c r="AW93" s="437"/>
      <c r="AX93" s="437"/>
      <c r="AY93" s="437"/>
      <c r="AZ93" s="437"/>
      <c r="BA93" s="437"/>
      <c r="BB93" s="437"/>
      <c r="BC93" s="437"/>
      <c r="BD93" s="437"/>
      <c r="BE93" s="437"/>
      <c r="BF93" s="437"/>
      <c r="BG93" s="437"/>
      <c r="BH93" s="437"/>
      <c r="BI93" s="437"/>
      <c r="BJ93" s="437"/>
      <c r="BK93" s="437"/>
      <c r="BL93" s="437"/>
      <c r="BM93" s="393"/>
      <c r="BO93" s="399">
        <f t="shared" si="33"/>
        <v>0</v>
      </c>
      <c r="BP93" s="399">
        <f t="shared" si="34"/>
        <v>0</v>
      </c>
      <c r="BQ93" s="399">
        <f t="shared" si="35"/>
        <v>0</v>
      </c>
      <c r="BR93" s="399">
        <f t="shared" si="36"/>
        <v>0</v>
      </c>
      <c r="BS93" s="399">
        <f t="shared" si="37"/>
        <v>0</v>
      </c>
      <c r="BT93" s="399">
        <f t="shared" si="38"/>
        <v>0</v>
      </c>
      <c r="BU93" s="399">
        <f t="shared" si="39"/>
        <v>0</v>
      </c>
      <c r="BV93" s="399">
        <f t="shared" si="40"/>
        <v>0</v>
      </c>
      <c r="BW93" s="399">
        <f t="shared" si="41"/>
        <v>0</v>
      </c>
      <c r="BX93" s="399">
        <f t="shared" si="42"/>
        <v>0</v>
      </c>
      <c r="BY93" s="399">
        <f t="shared" si="43"/>
        <v>0</v>
      </c>
      <c r="BZ93" s="399">
        <f t="shared" si="44"/>
        <v>0</v>
      </c>
      <c r="CA93" s="399">
        <f t="shared" si="45"/>
        <v>0</v>
      </c>
      <c r="CB93" s="399">
        <f t="shared" si="46"/>
        <v>0</v>
      </c>
      <c r="CC93" s="399">
        <f t="shared" si="47"/>
        <v>0</v>
      </c>
      <c r="CD93" s="399">
        <f t="shared" si="48"/>
        <v>0</v>
      </c>
      <c r="CE93" s="399">
        <f t="shared" si="49"/>
        <v>0</v>
      </c>
      <c r="CF93" s="399">
        <f t="shared" si="50"/>
        <v>0</v>
      </c>
      <c r="CG93" s="399">
        <f t="shared" si="51"/>
        <v>0</v>
      </c>
      <c r="CH93" s="399">
        <f t="shared" si="52"/>
        <v>0</v>
      </c>
      <c r="CI93" s="399">
        <f t="shared" si="53"/>
        <v>0</v>
      </c>
      <c r="CJ93" s="399">
        <f t="shared" si="54"/>
        <v>0</v>
      </c>
      <c r="CK93" s="399">
        <f t="shared" si="55"/>
        <v>0</v>
      </c>
      <c r="CL93" s="399">
        <f t="shared" si="56"/>
        <v>0</v>
      </c>
      <c r="CM93" s="399">
        <f t="shared" si="57"/>
        <v>0</v>
      </c>
      <c r="CN93" s="399">
        <f t="shared" si="58"/>
        <v>0</v>
      </c>
      <c r="CO93" s="399">
        <f t="shared" si="59"/>
        <v>0</v>
      </c>
      <c r="CP93" s="399">
        <f t="shared" si="60"/>
        <v>0</v>
      </c>
      <c r="CQ93" s="423">
        <f t="shared" si="61"/>
        <v>0</v>
      </c>
      <c r="CS93" s="394" t="e">
        <f t="shared" si="62"/>
        <v>#DIV/0!</v>
      </c>
    </row>
    <row r="94" spans="3:97">
      <c r="C94" s="107"/>
      <c r="D94" s="395"/>
      <c r="E94" s="84"/>
      <c r="F94" s="84"/>
      <c r="G94" s="389"/>
      <c r="H94" s="390"/>
      <c r="I94" s="390"/>
      <c r="J94" s="390"/>
      <c r="K94" s="390"/>
      <c r="L94" s="390"/>
      <c r="M94" s="390"/>
      <c r="N94" s="390"/>
      <c r="O94" s="390"/>
      <c r="P94" s="390"/>
      <c r="Q94" s="390"/>
      <c r="R94" s="390"/>
      <c r="S94" s="390"/>
      <c r="T94" s="390"/>
      <c r="U94" s="390"/>
      <c r="V94" s="390"/>
      <c r="W94" s="390"/>
      <c r="X94" s="390"/>
      <c r="Y94" s="390"/>
      <c r="Z94" s="390"/>
      <c r="AA94" s="390"/>
      <c r="AB94" s="390"/>
      <c r="AC94" s="390"/>
      <c r="AD94" s="390"/>
      <c r="AE94" s="390"/>
      <c r="AF94" s="390"/>
      <c r="AG94" s="390"/>
      <c r="AH94" s="390"/>
      <c r="AI94" s="391"/>
      <c r="AK94" s="437"/>
      <c r="AL94" s="437"/>
      <c r="AM94" s="437"/>
      <c r="AN94" s="437"/>
      <c r="AO94" s="437"/>
      <c r="AP94" s="437"/>
      <c r="AQ94" s="437"/>
      <c r="AR94" s="437"/>
      <c r="AS94" s="437"/>
      <c r="AT94" s="437"/>
      <c r="AU94" s="437"/>
      <c r="AV94" s="437"/>
      <c r="AW94" s="437"/>
      <c r="AX94" s="437"/>
      <c r="AY94" s="437"/>
      <c r="AZ94" s="437"/>
      <c r="BA94" s="437"/>
      <c r="BB94" s="437"/>
      <c r="BC94" s="437"/>
      <c r="BD94" s="437"/>
      <c r="BE94" s="437"/>
      <c r="BF94" s="437"/>
      <c r="BG94" s="437"/>
      <c r="BH94" s="437"/>
      <c r="BI94" s="437"/>
      <c r="BJ94" s="437"/>
      <c r="BK94" s="437"/>
      <c r="BL94" s="437"/>
      <c r="BM94" s="393"/>
      <c r="BO94" s="399">
        <f t="shared" si="33"/>
        <v>0</v>
      </c>
      <c r="BP94" s="399">
        <f t="shared" si="34"/>
        <v>0</v>
      </c>
      <c r="BQ94" s="399">
        <f t="shared" si="35"/>
        <v>0</v>
      </c>
      <c r="BR94" s="399">
        <f t="shared" si="36"/>
        <v>0</v>
      </c>
      <c r="BS94" s="399">
        <f t="shared" si="37"/>
        <v>0</v>
      </c>
      <c r="BT94" s="399">
        <f t="shared" si="38"/>
        <v>0</v>
      </c>
      <c r="BU94" s="399">
        <f t="shared" si="39"/>
        <v>0</v>
      </c>
      <c r="BV94" s="399">
        <f t="shared" si="40"/>
        <v>0</v>
      </c>
      <c r="BW94" s="399">
        <f t="shared" si="41"/>
        <v>0</v>
      </c>
      <c r="BX94" s="399">
        <f t="shared" si="42"/>
        <v>0</v>
      </c>
      <c r="BY94" s="399">
        <f t="shared" si="43"/>
        <v>0</v>
      </c>
      <c r="BZ94" s="399">
        <f t="shared" si="44"/>
        <v>0</v>
      </c>
      <c r="CA94" s="399">
        <f t="shared" si="45"/>
        <v>0</v>
      </c>
      <c r="CB94" s="399">
        <f t="shared" si="46"/>
        <v>0</v>
      </c>
      <c r="CC94" s="399">
        <f t="shared" si="47"/>
        <v>0</v>
      </c>
      <c r="CD94" s="399">
        <f t="shared" si="48"/>
        <v>0</v>
      </c>
      <c r="CE94" s="399">
        <f t="shared" si="49"/>
        <v>0</v>
      </c>
      <c r="CF94" s="399">
        <f t="shared" si="50"/>
        <v>0</v>
      </c>
      <c r="CG94" s="399">
        <f t="shared" si="51"/>
        <v>0</v>
      </c>
      <c r="CH94" s="399">
        <f t="shared" si="52"/>
        <v>0</v>
      </c>
      <c r="CI94" s="399">
        <f t="shared" si="53"/>
        <v>0</v>
      </c>
      <c r="CJ94" s="399">
        <f t="shared" si="54"/>
        <v>0</v>
      </c>
      <c r="CK94" s="399">
        <f t="shared" si="55"/>
        <v>0</v>
      </c>
      <c r="CL94" s="399">
        <f t="shared" si="56"/>
        <v>0</v>
      </c>
      <c r="CM94" s="399">
        <f t="shared" si="57"/>
        <v>0</v>
      </c>
      <c r="CN94" s="399">
        <f t="shared" si="58"/>
        <v>0</v>
      </c>
      <c r="CO94" s="399">
        <f t="shared" si="59"/>
        <v>0</v>
      </c>
      <c r="CP94" s="399">
        <f t="shared" si="60"/>
        <v>0</v>
      </c>
      <c r="CQ94" s="423">
        <f t="shared" si="61"/>
        <v>0</v>
      </c>
      <c r="CS94" s="394" t="e">
        <f t="shared" si="62"/>
        <v>#DIV/0!</v>
      </c>
    </row>
    <row r="95" spans="3:97">
      <c r="C95" s="107"/>
      <c r="D95" s="395"/>
      <c r="E95" s="84"/>
      <c r="F95" s="84"/>
      <c r="G95" s="389"/>
      <c r="H95" s="390"/>
      <c r="I95" s="390"/>
      <c r="J95" s="390"/>
      <c r="K95" s="390"/>
      <c r="L95" s="390"/>
      <c r="M95" s="390"/>
      <c r="N95" s="390"/>
      <c r="O95" s="390"/>
      <c r="P95" s="390"/>
      <c r="Q95" s="390"/>
      <c r="R95" s="390"/>
      <c r="S95" s="390"/>
      <c r="T95" s="390"/>
      <c r="U95" s="390"/>
      <c r="V95" s="390"/>
      <c r="W95" s="390"/>
      <c r="X95" s="390"/>
      <c r="Y95" s="390"/>
      <c r="Z95" s="390"/>
      <c r="AA95" s="390"/>
      <c r="AB95" s="390"/>
      <c r="AC95" s="390"/>
      <c r="AD95" s="390"/>
      <c r="AE95" s="390"/>
      <c r="AF95" s="390"/>
      <c r="AG95" s="390"/>
      <c r="AH95" s="390"/>
      <c r="AI95" s="391"/>
      <c r="AK95" s="437"/>
      <c r="AL95" s="437"/>
      <c r="AM95" s="437"/>
      <c r="AN95" s="437"/>
      <c r="AO95" s="437"/>
      <c r="AP95" s="437"/>
      <c r="AQ95" s="437"/>
      <c r="AR95" s="437"/>
      <c r="AS95" s="437"/>
      <c r="AT95" s="437"/>
      <c r="AU95" s="437"/>
      <c r="AV95" s="437"/>
      <c r="AW95" s="437"/>
      <c r="AX95" s="437"/>
      <c r="AY95" s="437"/>
      <c r="AZ95" s="437"/>
      <c r="BA95" s="437"/>
      <c r="BB95" s="437"/>
      <c r="BC95" s="437"/>
      <c r="BD95" s="437"/>
      <c r="BE95" s="437"/>
      <c r="BF95" s="437"/>
      <c r="BG95" s="437"/>
      <c r="BH95" s="437"/>
      <c r="BI95" s="437"/>
      <c r="BJ95" s="437"/>
      <c r="BK95" s="437"/>
      <c r="BL95" s="437"/>
      <c r="BM95" s="393"/>
      <c r="BO95" s="399">
        <f t="shared" si="33"/>
        <v>0</v>
      </c>
      <c r="BP95" s="399">
        <f t="shared" si="34"/>
        <v>0</v>
      </c>
      <c r="BQ95" s="399">
        <f t="shared" si="35"/>
        <v>0</v>
      </c>
      <c r="BR95" s="399">
        <f t="shared" si="36"/>
        <v>0</v>
      </c>
      <c r="BS95" s="399">
        <f t="shared" si="37"/>
        <v>0</v>
      </c>
      <c r="BT95" s="399">
        <f t="shared" si="38"/>
        <v>0</v>
      </c>
      <c r="BU95" s="399">
        <f t="shared" si="39"/>
        <v>0</v>
      </c>
      <c r="BV95" s="399">
        <f t="shared" si="40"/>
        <v>0</v>
      </c>
      <c r="BW95" s="399">
        <f t="shared" si="41"/>
        <v>0</v>
      </c>
      <c r="BX95" s="399">
        <f t="shared" si="42"/>
        <v>0</v>
      </c>
      <c r="BY95" s="399">
        <f t="shared" si="43"/>
        <v>0</v>
      </c>
      <c r="BZ95" s="399">
        <f t="shared" si="44"/>
        <v>0</v>
      </c>
      <c r="CA95" s="399">
        <f t="shared" si="45"/>
        <v>0</v>
      </c>
      <c r="CB95" s="399">
        <f t="shared" si="46"/>
        <v>0</v>
      </c>
      <c r="CC95" s="399">
        <f t="shared" si="47"/>
        <v>0</v>
      </c>
      <c r="CD95" s="399">
        <f t="shared" si="48"/>
        <v>0</v>
      </c>
      <c r="CE95" s="399">
        <f t="shared" si="49"/>
        <v>0</v>
      </c>
      <c r="CF95" s="399">
        <f t="shared" si="50"/>
        <v>0</v>
      </c>
      <c r="CG95" s="399">
        <f t="shared" si="51"/>
        <v>0</v>
      </c>
      <c r="CH95" s="399">
        <f t="shared" si="52"/>
        <v>0</v>
      </c>
      <c r="CI95" s="399">
        <f t="shared" si="53"/>
        <v>0</v>
      </c>
      <c r="CJ95" s="399">
        <f t="shared" si="54"/>
        <v>0</v>
      </c>
      <c r="CK95" s="399">
        <f t="shared" si="55"/>
        <v>0</v>
      </c>
      <c r="CL95" s="399">
        <f t="shared" si="56"/>
        <v>0</v>
      </c>
      <c r="CM95" s="399">
        <f t="shared" si="57"/>
        <v>0</v>
      </c>
      <c r="CN95" s="399">
        <f t="shared" si="58"/>
        <v>0</v>
      </c>
      <c r="CO95" s="399">
        <f t="shared" si="59"/>
        <v>0</v>
      </c>
      <c r="CP95" s="399">
        <f t="shared" si="60"/>
        <v>0</v>
      </c>
      <c r="CQ95" s="423">
        <f t="shared" si="61"/>
        <v>0</v>
      </c>
      <c r="CS95" s="394" t="e">
        <f t="shared" si="62"/>
        <v>#DIV/0!</v>
      </c>
    </row>
    <row r="96" spans="3:97">
      <c r="C96" s="107"/>
      <c r="D96" s="395"/>
      <c r="E96" s="84"/>
      <c r="F96" s="84"/>
      <c r="G96" s="389"/>
      <c r="H96" s="390"/>
      <c r="I96" s="390"/>
      <c r="J96" s="390"/>
      <c r="K96" s="390"/>
      <c r="L96" s="390"/>
      <c r="M96" s="390"/>
      <c r="N96" s="390"/>
      <c r="O96" s="390"/>
      <c r="P96" s="390"/>
      <c r="Q96" s="390"/>
      <c r="R96" s="390"/>
      <c r="S96" s="390"/>
      <c r="T96" s="390"/>
      <c r="U96" s="390"/>
      <c r="V96" s="390"/>
      <c r="W96" s="390"/>
      <c r="X96" s="390"/>
      <c r="Y96" s="390"/>
      <c r="Z96" s="390"/>
      <c r="AA96" s="390"/>
      <c r="AB96" s="390"/>
      <c r="AC96" s="390"/>
      <c r="AD96" s="390"/>
      <c r="AE96" s="390"/>
      <c r="AF96" s="390"/>
      <c r="AG96" s="390"/>
      <c r="AH96" s="390"/>
      <c r="AI96" s="391"/>
      <c r="AK96" s="437"/>
      <c r="AL96" s="437"/>
      <c r="AM96" s="437"/>
      <c r="AN96" s="437"/>
      <c r="AO96" s="437"/>
      <c r="AP96" s="437"/>
      <c r="AQ96" s="437"/>
      <c r="AR96" s="437"/>
      <c r="AS96" s="437"/>
      <c r="AT96" s="437"/>
      <c r="AU96" s="437"/>
      <c r="AV96" s="437"/>
      <c r="AW96" s="437"/>
      <c r="AX96" s="437"/>
      <c r="AY96" s="437"/>
      <c r="AZ96" s="437"/>
      <c r="BA96" s="437"/>
      <c r="BB96" s="437"/>
      <c r="BC96" s="437"/>
      <c r="BD96" s="437"/>
      <c r="BE96" s="437"/>
      <c r="BF96" s="437"/>
      <c r="BG96" s="437"/>
      <c r="BH96" s="437"/>
      <c r="BI96" s="437"/>
      <c r="BJ96" s="437"/>
      <c r="BK96" s="437"/>
      <c r="BL96" s="437"/>
      <c r="BM96" s="393"/>
      <c r="BO96" s="399">
        <f t="shared" si="33"/>
        <v>0</v>
      </c>
      <c r="BP96" s="399">
        <f t="shared" si="34"/>
        <v>0</v>
      </c>
      <c r="BQ96" s="399">
        <f t="shared" si="35"/>
        <v>0</v>
      </c>
      <c r="BR96" s="399">
        <f t="shared" si="36"/>
        <v>0</v>
      </c>
      <c r="BS96" s="399">
        <f t="shared" si="37"/>
        <v>0</v>
      </c>
      <c r="BT96" s="399">
        <f t="shared" si="38"/>
        <v>0</v>
      </c>
      <c r="BU96" s="399">
        <f t="shared" si="39"/>
        <v>0</v>
      </c>
      <c r="BV96" s="399">
        <f t="shared" si="40"/>
        <v>0</v>
      </c>
      <c r="BW96" s="399">
        <f t="shared" si="41"/>
        <v>0</v>
      </c>
      <c r="BX96" s="399">
        <f t="shared" si="42"/>
        <v>0</v>
      </c>
      <c r="BY96" s="399">
        <f t="shared" si="43"/>
        <v>0</v>
      </c>
      <c r="BZ96" s="399">
        <f t="shared" si="44"/>
        <v>0</v>
      </c>
      <c r="CA96" s="399">
        <f t="shared" si="45"/>
        <v>0</v>
      </c>
      <c r="CB96" s="399">
        <f t="shared" si="46"/>
        <v>0</v>
      </c>
      <c r="CC96" s="399">
        <f t="shared" si="47"/>
        <v>0</v>
      </c>
      <c r="CD96" s="399">
        <f t="shared" si="48"/>
        <v>0</v>
      </c>
      <c r="CE96" s="399">
        <f t="shared" si="49"/>
        <v>0</v>
      </c>
      <c r="CF96" s="399">
        <f t="shared" si="50"/>
        <v>0</v>
      </c>
      <c r="CG96" s="399">
        <f t="shared" si="51"/>
        <v>0</v>
      </c>
      <c r="CH96" s="399">
        <f t="shared" si="52"/>
        <v>0</v>
      </c>
      <c r="CI96" s="399">
        <f t="shared" si="53"/>
        <v>0</v>
      </c>
      <c r="CJ96" s="399">
        <f t="shared" si="54"/>
        <v>0</v>
      </c>
      <c r="CK96" s="399">
        <f t="shared" si="55"/>
        <v>0</v>
      </c>
      <c r="CL96" s="399">
        <f t="shared" si="56"/>
        <v>0</v>
      </c>
      <c r="CM96" s="399">
        <f t="shared" si="57"/>
        <v>0</v>
      </c>
      <c r="CN96" s="399">
        <f t="shared" si="58"/>
        <v>0</v>
      </c>
      <c r="CO96" s="399">
        <f t="shared" si="59"/>
        <v>0</v>
      </c>
      <c r="CP96" s="399">
        <f t="shared" si="60"/>
        <v>0</v>
      </c>
      <c r="CQ96" s="423">
        <f t="shared" si="61"/>
        <v>0</v>
      </c>
      <c r="CS96" s="394" t="e">
        <f t="shared" si="62"/>
        <v>#DIV/0!</v>
      </c>
    </row>
    <row r="97" spans="3:97">
      <c r="C97" s="107"/>
      <c r="D97" s="395"/>
      <c r="E97" s="84"/>
      <c r="F97" s="84"/>
      <c r="G97" s="389"/>
      <c r="H97" s="390"/>
      <c r="I97" s="390"/>
      <c r="J97" s="390"/>
      <c r="K97" s="390"/>
      <c r="L97" s="390"/>
      <c r="M97" s="390"/>
      <c r="N97" s="390"/>
      <c r="O97" s="390"/>
      <c r="P97" s="390"/>
      <c r="Q97" s="390"/>
      <c r="R97" s="390"/>
      <c r="S97" s="390"/>
      <c r="T97" s="390"/>
      <c r="U97" s="390"/>
      <c r="V97" s="390"/>
      <c r="W97" s="390"/>
      <c r="X97" s="390"/>
      <c r="Y97" s="390"/>
      <c r="Z97" s="390"/>
      <c r="AA97" s="390"/>
      <c r="AB97" s="390"/>
      <c r="AC97" s="390"/>
      <c r="AD97" s="390"/>
      <c r="AE97" s="390"/>
      <c r="AF97" s="390"/>
      <c r="AG97" s="390"/>
      <c r="AH97" s="390"/>
      <c r="AI97" s="391"/>
      <c r="AK97" s="437"/>
      <c r="AL97" s="437"/>
      <c r="AM97" s="437"/>
      <c r="AN97" s="437"/>
      <c r="AO97" s="437"/>
      <c r="AP97" s="437"/>
      <c r="AQ97" s="437"/>
      <c r="AR97" s="437"/>
      <c r="AS97" s="437"/>
      <c r="AT97" s="437"/>
      <c r="AU97" s="437"/>
      <c r="AV97" s="437"/>
      <c r="AW97" s="437"/>
      <c r="AX97" s="437"/>
      <c r="AY97" s="437"/>
      <c r="AZ97" s="437"/>
      <c r="BA97" s="437"/>
      <c r="BB97" s="437"/>
      <c r="BC97" s="437"/>
      <c r="BD97" s="437"/>
      <c r="BE97" s="437"/>
      <c r="BF97" s="437"/>
      <c r="BG97" s="437"/>
      <c r="BH97" s="437"/>
      <c r="BI97" s="437"/>
      <c r="BJ97" s="437"/>
      <c r="BK97" s="437"/>
      <c r="BL97" s="437"/>
      <c r="BM97" s="393"/>
      <c r="BO97" s="399">
        <f t="shared" si="33"/>
        <v>0</v>
      </c>
      <c r="BP97" s="399">
        <f t="shared" si="34"/>
        <v>0</v>
      </c>
      <c r="BQ97" s="399">
        <f t="shared" si="35"/>
        <v>0</v>
      </c>
      <c r="BR97" s="399">
        <f t="shared" si="36"/>
        <v>0</v>
      </c>
      <c r="BS97" s="399">
        <f t="shared" si="37"/>
        <v>0</v>
      </c>
      <c r="BT97" s="399">
        <f t="shared" si="38"/>
        <v>0</v>
      </c>
      <c r="BU97" s="399">
        <f t="shared" si="39"/>
        <v>0</v>
      </c>
      <c r="BV97" s="399">
        <f t="shared" si="40"/>
        <v>0</v>
      </c>
      <c r="BW97" s="399">
        <f t="shared" si="41"/>
        <v>0</v>
      </c>
      <c r="BX97" s="399">
        <f t="shared" si="42"/>
        <v>0</v>
      </c>
      <c r="BY97" s="399">
        <f t="shared" si="43"/>
        <v>0</v>
      </c>
      <c r="BZ97" s="399">
        <f t="shared" si="44"/>
        <v>0</v>
      </c>
      <c r="CA97" s="399">
        <f t="shared" si="45"/>
        <v>0</v>
      </c>
      <c r="CB97" s="399">
        <f t="shared" si="46"/>
        <v>0</v>
      </c>
      <c r="CC97" s="399">
        <f t="shared" si="47"/>
        <v>0</v>
      </c>
      <c r="CD97" s="399">
        <f t="shared" si="48"/>
        <v>0</v>
      </c>
      <c r="CE97" s="399">
        <f t="shared" si="49"/>
        <v>0</v>
      </c>
      <c r="CF97" s="399">
        <f t="shared" si="50"/>
        <v>0</v>
      </c>
      <c r="CG97" s="399">
        <f t="shared" si="51"/>
        <v>0</v>
      </c>
      <c r="CH97" s="399">
        <f t="shared" si="52"/>
        <v>0</v>
      </c>
      <c r="CI97" s="399">
        <f t="shared" si="53"/>
        <v>0</v>
      </c>
      <c r="CJ97" s="399">
        <f t="shared" si="54"/>
        <v>0</v>
      </c>
      <c r="CK97" s="399">
        <f t="shared" si="55"/>
        <v>0</v>
      </c>
      <c r="CL97" s="399">
        <f t="shared" si="56"/>
        <v>0</v>
      </c>
      <c r="CM97" s="399">
        <f t="shared" si="57"/>
        <v>0</v>
      </c>
      <c r="CN97" s="399">
        <f t="shared" si="58"/>
        <v>0</v>
      </c>
      <c r="CO97" s="399">
        <f t="shared" si="59"/>
        <v>0</v>
      </c>
      <c r="CP97" s="399">
        <f t="shared" si="60"/>
        <v>0</v>
      </c>
      <c r="CQ97" s="423">
        <f t="shared" si="61"/>
        <v>0</v>
      </c>
      <c r="CS97" s="394" t="e">
        <f t="shared" si="62"/>
        <v>#DIV/0!</v>
      </c>
    </row>
    <row r="98" spans="3:97">
      <c r="C98" s="107"/>
      <c r="D98" s="395"/>
      <c r="E98" s="84"/>
      <c r="F98" s="84"/>
      <c r="G98" s="389"/>
      <c r="H98" s="390"/>
      <c r="I98" s="390"/>
      <c r="J98" s="390"/>
      <c r="K98" s="390"/>
      <c r="L98" s="390"/>
      <c r="M98" s="390"/>
      <c r="N98" s="390"/>
      <c r="O98" s="390"/>
      <c r="P98" s="390"/>
      <c r="Q98" s="390"/>
      <c r="R98" s="390"/>
      <c r="S98" s="390"/>
      <c r="T98" s="390"/>
      <c r="U98" s="390"/>
      <c r="V98" s="390"/>
      <c r="W98" s="390"/>
      <c r="X98" s="390"/>
      <c r="Y98" s="390"/>
      <c r="Z98" s="390"/>
      <c r="AA98" s="390"/>
      <c r="AB98" s="390"/>
      <c r="AC98" s="390"/>
      <c r="AD98" s="390"/>
      <c r="AE98" s="390"/>
      <c r="AF98" s="390"/>
      <c r="AG98" s="390"/>
      <c r="AH98" s="390"/>
      <c r="AI98" s="391"/>
      <c r="AK98" s="437"/>
      <c r="AL98" s="437"/>
      <c r="AM98" s="437"/>
      <c r="AN98" s="437"/>
      <c r="AO98" s="437"/>
      <c r="AP98" s="437"/>
      <c r="AQ98" s="437"/>
      <c r="AR98" s="437"/>
      <c r="AS98" s="437"/>
      <c r="AT98" s="437"/>
      <c r="AU98" s="437"/>
      <c r="AV98" s="437"/>
      <c r="AW98" s="437"/>
      <c r="AX98" s="437"/>
      <c r="AY98" s="437"/>
      <c r="AZ98" s="437"/>
      <c r="BA98" s="437"/>
      <c r="BB98" s="437"/>
      <c r="BC98" s="437"/>
      <c r="BD98" s="437"/>
      <c r="BE98" s="437"/>
      <c r="BF98" s="437"/>
      <c r="BG98" s="437"/>
      <c r="BH98" s="437"/>
      <c r="BI98" s="437"/>
      <c r="BJ98" s="437"/>
      <c r="BK98" s="437"/>
      <c r="BL98" s="437"/>
      <c r="BM98" s="393"/>
      <c r="BO98" s="399">
        <f t="shared" si="33"/>
        <v>0</v>
      </c>
      <c r="BP98" s="399">
        <f t="shared" si="34"/>
        <v>0</v>
      </c>
      <c r="BQ98" s="399">
        <f t="shared" si="35"/>
        <v>0</v>
      </c>
      <c r="BR98" s="399">
        <f t="shared" si="36"/>
        <v>0</v>
      </c>
      <c r="BS98" s="399">
        <f t="shared" si="37"/>
        <v>0</v>
      </c>
      <c r="BT98" s="399">
        <f t="shared" si="38"/>
        <v>0</v>
      </c>
      <c r="BU98" s="399">
        <f t="shared" si="39"/>
        <v>0</v>
      </c>
      <c r="BV98" s="399">
        <f t="shared" si="40"/>
        <v>0</v>
      </c>
      <c r="BW98" s="399">
        <f t="shared" si="41"/>
        <v>0</v>
      </c>
      <c r="BX98" s="399">
        <f t="shared" si="42"/>
        <v>0</v>
      </c>
      <c r="BY98" s="399">
        <f t="shared" si="43"/>
        <v>0</v>
      </c>
      <c r="BZ98" s="399">
        <f t="shared" si="44"/>
        <v>0</v>
      </c>
      <c r="CA98" s="399">
        <f t="shared" si="45"/>
        <v>0</v>
      </c>
      <c r="CB98" s="399">
        <f t="shared" si="46"/>
        <v>0</v>
      </c>
      <c r="CC98" s="399">
        <f t="shared" si="47"/>
        <v>0</v>
      </c>
      <c r="CD98" s="399">
        <f t="shared" si="48"/>
        <v>0</v>
      </c>
      <c r="CE98" s="399">
        <f t="shared" si="49"/>
        <v>0</v>
      </c>
      <c r="CF98" s="399">
        <f t="shared" si="50"/>
        <v>0</v>
      </c>
      <c r="CG98" s="399">
        <f t="shared" si="51"/>
        <v>0</v>
      </c>
      <c r="CH98" s="399">
        <f t="shared" si="52"/>
        <v>0</v>
      </c>
      <c r="CI98" s="399">
        <f t="shared" si="53"/>
        <v>0</v>
      </c>
      <c r="CJ98" s="399">
        <f t="shared" si="54"/>
        <v>0</v>
      </c>
      <c r="CK98" s="399">
        <f t="shared" si="55"/>
        <v>0</v>
      </c>
      <c r="CL98" s="399">
        <f t="shared" si="56"/>
        <v>0</v>
      </c>
      <c r="CM98" s="399">
        <f t="shared" si="57"/>
        <v>0</v>
      </c>
      <c r="CN98" s="399">
        <f t="shared" si="58"/>
        <v>0</v>
      </c>
      <c r="CO98" s="399">
        <f t="shared" si="59"/>
        <v>0</v>
      </c>
      <c r="CP98" s="399">
        <f t="shared" si="60"/>
        <v>0</v>
      </c>
      <c r="CQ98" s="423">
        <f t="shared" si="61"/>
        <v>0</v>
      </c>
      <c r="CS98" s="394" t="e">
        <f t="shared" si="62"/>
        <v>#DIV/0!</v>
      </c>
    </row>
    <row r="99" spans="3:97">
      <c r="C99" s="107"/>
      <c r="D99" s="395"/>
      <c r="E99" s="84"/>
      <c r="F99" s="84"/>
      <c r="G99" s="389"/>
      <c r="H99" s="390"/>
      <c r="I99" s="390"/>
      <c r="J99" s="390"/>
      <c r="K99" s="390"/>
      <c r="L99" s="390"/>
      <c r="M99" s="390"/>
      <c r="N99" s="390"/>
      <c r="O99" s="390"/>
      <c r="P99" s="390"/>
      <c r="Q99" s="390"/>
      <c r="R99" s="390"/>
      <c r="S99" s="390"/>
      <c r="T99" s="390"/>
      <c r="U99" s="390"/>
      <c r="V99" s="390"/>
      <c r="W99" s="390"/>
      <c r="X99" s="390"/>
      <c r="Y99" s="390"/>
      <c r="Z99" s="390"/>
      <c r="AA99" s="390"/>
      <c r="AB99" s="390"/>
      <c r="AC99" s="390"/>
      <c r="AD99" s="390"/>
      <c r="AE99" s="390"/>
      <c r="AF99" s="390"/>
      <c r="AG99" s="390"/>
      <c r="AH99" s="390"/>
      <c r="AI99" s="391"/>
      <c r="AK99" s="437"/>
      <c r="AL99" s="437"/>
      <c r="AM99" s="437"/>
      <c r="AN99" s="437"/>
      <c r="AO99" s="437"/>
      <c r="AP99" s="437"/>
      <c r="AQ99" s="437"/>
      <c r="AR99" s="437"/>
      <c r="AS99" s="437"/>
      <c r="AT99" s="437"/>
      <c r="AU99" s="437"/>
      <c r="AV99" s="437"/>
      <c r="AW99" s="437"/>
      <c r="AX99" s="437"/>
      <c r="AY99" s="437"/>
      <c r="AZ99" s="437"/>
      <c r="BA99" s="437"/>
      <c r="BB99" s="437"/>
      <c r="BC99" s="437"/>
      <c r="BD99" s="437"/>
      <c r="BE99" s="437"/>
      <c r="BF99" s="437"/>
      <c r="BG99" s="437"/>
      <c r="BH99" s="437"/>
      <c r="BI99" s="437"/>
      <c r="BJ99" s="437"/>
      <c r="BK99" s="437"/>
      <c r="BL99" s="437"/>
      <c r="BM99" s="393"/>
      <c r="BO99" s="399">
        <f t="shared" si="33"/>
        <v>0</v>
      </c>
      <c r="BP99" s="399">
        <f t="shared" si="34"/>
        <v>0</v>
      </c>
      <c r="BQ99" s="399">
        <f t="shared" si="35"/>
        <v>0</v>
      </c>
      <c r="BR99" s="399">
        <f t="shared" si="36"/>
        <v>0</v>
      </c>
      <c r="BS99" s="399">
        <f t="shared" si="37"/>
        <v>0</v>
      </c>
      <c r="BT99" s="399">
        <f t="shared" si="38"/>
        <v>0</v>
      </c>
      <c r="BU99" s="399">
        <f t="shared" si="39"/>
        <v>0</v>
      </c>
      <c r="BV99" s="399">
        <f t="shared" si="40"/>
        <v>0</v>
      </c>
      <c r="BW99" s="399">
        <f t="shared" si="41"/>
        <v>0</v>
      </c>
      <c r="BX99" s="399">
        <f t="shared" si="42"/>
        <v>0</v>
      </c>
      <c r="BY99" s="399">
        <f t="shared" si="43"/>
        <v>0</v>
      </c>
      <c r="BZ99" s="399">
        <f t="shared" si="44"/>
        <v>0</v>
      </c>
      <c r="CA99" s="399">
        <f t="shared" si="45"/>
        <v>0</v>
      </c>
      <c r="CB99" s="399">
        <f t="shared" si="46"/>
        <v>0</v>
      </c>
      <c r="CC99" s="399">
        <f t="shared" si="47"/>
        <v>0</v>
      </c>
      <c r="CD99" s="399">
        <f t="shared" si="48"/>
        <v>0</v>
      </c>
      <c r="CE99" s="399">
        <f t="shared" si="49"/>
        <v>0</v>
      </c>
      <c r="CF99" s="399">
        <f t="shared" si="50"/>
        <v>0</v>
      </c>
      <c r="CG99" s="399">
        <f t="shared" si="51"/>
        <v>0</v>
      </c>
      <c r="CH99" s="399">
        <f t="shared" si="52"/>
        <v>0</v>
      </c>
      <c r="CI99" s="399">
        <f t="shared" si="53"/>
        <v>0</v>
      </c>
      <c r="CJ99" s="399">
        <f t="shared" si="54"/>
        <v>0</v>
      </c>
      <c r="CK99" s="399">
        <f t="shared" si="55"/>
        <v>0</v>
      </c>
      <c r="CL99" s="399">
        <f t="shared" si="56"/>
        <v>0</v>
      </c>
      <c r="CM99" s="399">
        <f t="shared" si="57"/>
        <v>0</v>
      </c>
      <c r="CN99" s="399">
        <f t="shared" si="58"/>
        <v>0</v>
      </c>
      <c r="CO99" s="399">
        <f t="shared" si="59"/>
        <v>0</v>
      </c>
      <c r="CP99" s="399">
        <f t="shared" si="60"/>
        <v>0</v>
      </c>
      <c r="CQ99" s="423">
        <f t="shared" si="61"/>
        <v>0</v>
      </c>
      <c r="CS99" s="394" t="e">
        <f t="shared" si="62"/>
        <v>#DIV/0!</v>
      </c>
    </row>
    <row r="100" spans="3:97">
      <c r="C100" s="107"/>
      <c r="D100" s="395"/>
      <c r="E100" s="84"/>
      <c r="F100" s="84"/>
      <c r="G100" s="389"/>
      <c r="H100" s="390"/>
      <c r="I100" s="390"/>
      <c r="J100" s="390"/>
      <c r="K100" s="390"/>
      <c r="L100" s="390"/>
      <c r="M100" s="390"/>
      <c r="N100" s="390"/>
      <c r="O100" s="390"/>
      <c r="P100" s="390"/>
      <c r="Q100" s="390"/>
      <c r="R100" s="390"/>
      <c r="S100" s="390"/>
      <c r="T100" s="390"/>
      <c r="U100" s="390"/>
      <c r="V100" s="390"/>
      <c r="W100" s="390"/>
      <c r="X100" s="390"/>
      <c r="Y100" s="390"/>
      <c r="Z100" s="390"/>
      <c r="AA100" s="390"/>
      <c r="AB100" s="390"/>
      <c r="AC100" s="390"/>
      <c r="AD100" s="390"/>
      <c r="AE100" s="390"/>
      <c r="AF100" s="390"/>
      <c r="AG100" s="390"/>
      <c r="AH100" s="390"/>
      <c r="AI100" s="391"/>
      <c r="AK100" s="437"/>
      <c r="AL100" s="437"/>
      <c r="AM100" s="437"/>
      <c r="AN100" s="437"/>
      <c r="AO100" s="437"/>
      <c r="AP100" s="437"/>
      <c r="AQ100" s="437"/>
      <c r="AR100" s="437"/>
      <c r="AS100" s="437"/>
      <c r="AT100" s="437"/>
      <c r="AU100" s="437"/>
      <c r="AV100" s="437"/>
      <c r="AW100" s="437"/>
      <c r="AX100" s="437"/>
      <c r="AY100" s="437"/>
      <c r="AZ100" s="437"/>
      <c r="BA100" s="437"/>
      <c r="BB100" s="437"/>
      <c r="BC100" s="437"/>
      <c r="BD100" s="437"/>
      <c r="BE100" s="437"/>
      <c r="BF100" s="437"/>
      <c r="BG100" s="437"/>
      <c r="BH100" s="437"/>
      <c r="BI100" s="437"/>
      <c r="BJ100" s="437"/>
      <c r="BK100" s="437"/>
      <c r="BL100" s="437"/>
      <c r="BM100" s="393"/>
      <c r="BO100" s="399">
        <f t="shared" si="33"/>
        <v>0</v>
      </c>
      <c r="BP100" s="399">
        <f t="shared" si="34"/>
        <v>0</v>
      </c>
      <c r="BQ100" s="399">
        <f t="shared" si="35"/>
        <v>0</v>
      </c>
      <c r="BR100" s="399">
        <f t="shared" si="36"/>
        <v>0</v>
      </c>
      <c r="BS100" s="399">
        <f t="shared" si="37"/>
        <v>0</v>
      </c>
      <c r="BT100" s="399">
        <f t="shared" si="38"/>
        <v>0</v>
      </c>
      <c r="BU100" s="399">
        <f t="shared" si="39"/>
        <v>0</v>
      </c>
      <c r="BV100" s="399">
        <f t="shared" si="40"/>
        <v>0</v>
      </c>
      <c r="BW100" s="399">
        <f t="shared" si="41"/>
        <v>0</v>
      </c>
      <c r="BX100" s="399">
        <f t="shared" si="42"/>
        <v>0</v>
      </c>
      <c r="BY100" s="399">
        <f t="shared" si="43"/>
        <v>0</v>
      </c>
      <c r="BZ100" s="399">
        <f t="shared" si="44"/>
        <v>0</v>
      </c>
      <c r="CA100" s="399">
        <f t="shared" si="45"/>
        <v>0</v>
      </c>
      <c r="CB100" s="399">
        <f t="shared" si="46"/>
        <v>0</v>
      </c>
      <c r="CC100" s="399">
        <f t="shared" si="47"/>
        <v>0</v>
      </c>
      <c r="CD100" s="399">
        <f t="shared" si="48"/>
        <v>0</v>
      </c>
      <c r="CE100" s="399">
        <f t="shared" si="49"/>
        <v>0</v>
      </c>
      <c r="CF100" s="399">
        <f t="shared" si="50"/>
        <v>0</v>
      </c>
      <c r="CG100" s="399">
        <f t="shared" si="51"/>
        <v>0</v>
      </c>
      <c r="CH100" s="399">
        <f t="shared" si="52"/>
        <v>0</v>
      </c>
      <c r="CI100" s="399">
        <f t="shared" si="53"/>
        <v>0</v>
      </c>
      <c r="CJ100" s="399">
        <f t="shared" si="54"/>
        <v>0</v>
      </c>
      <c r="CK100" s="399">
        <f t="shared" si="55"/>
        <v>0</v>
      </c>
      <c r="CL100" s="399">
        <f t="shared" si="56"/>
        <v>0</v>
      </c>
      <c r="CM100" s="399">
        <f t="shared" si="57"/>
        <v>0</v>
      </c>
      <c r="CN100" s="399">
        <f t="shared" si="58"/>
        <v>0</v>
      </c>
      <c r="CO100" s="399">
        <f t="shared" si="59"/>
        <v>0</v>
      </c>
      <c r="CP100" s="399">
        <f t="shared" si="60"/>
        <v>0</v>
      </c>
      <c r="CQ100" s="423">
        <f t="shared" si="61"/>
        <v>0</v>
      </c>
      <c r="CS100" s="394" t="e">
        <f t="shared" si="62"/>
        <v>#DIV/0!</v>
      </c>
    </row>
    <row r="101" spans="3:97">
      <c r="C101" s="107"/>
      <c r="D101" s="395"/>
      <c r="E101" s="84"/>
      <c r="F101" s="84"/>
      <c r="G101" s="389"/>
      <c r="H101" s="390"/>
      <c r="I101" s="390"/>
      <c r="J101" s="390"/>
      <c r="K101" s="390"/>
      <c r="L101" s="390"/>
      <c r="M101" s="390"/>
      <c r="N101" s="390"/>
      <c r="O101" s="390"/>
      <c r="P101" s="390"/>
      <c r="Q101" s="390"/>
      <c r="R101" s="390"/>
      <c r="S101" s="390"/>
      <c r="T101" s="390"/>
      <c r="U101" s="390"/>
      <c r="V101" s="390"/>
      <c r="W101" s="390"/>
      <c r="X101" s="390"/>
      <c r="Y101" s="390"/>
      <c r="Z101" s="390"/>
      <c r="AA101" s="390"/>
      <c r="AB101" s="390"/>
      <c r="AC101" s="390"/>
      <c r="AD101" s="390"/>
      <c r="AE101" s="390"/>
      <c r="AF101" s="390"/>
      <c r="AG101" s="390"/>
      <c r="AH101" s="390"/>
      <c r="AI101" s="391"/>
      <c r="AK101" s="437"/>
      <c r="AL101" s="437"/>
      <c r="AM101" s="437"/>
      <c r="AN101" s="437"/>
      <c r="AO101" s="437"/>
      <c r="AP101" s="437"/>
      <c r="AQ101" s="437"/>
      <c r="AR101" s="437"/>
      <c r="AS101" s="437"/>
      <c r="AT101" s="437"/>
      <c r="AU101" s="437"/>
      <c r="AV101" s="437"/>
      <c r="AW101" s="437"/>
      <c r="AX101" s="437"/>
      <c r="AY101" s="437"/>
      <c r="AZ101" s="437"/>
      <c r="BA101" s="437"/>
      <c r="BB101" s="437"/>
      <c r="BC101" s="437"/>
      <c r="BD101" s="437"/>
      <c r="BE101" s="437"/>
      <c r="BF101" s="437"/>
      <c r="BG101" s="437"/>
      <c r="BH101" s="437"/>
      <c r="BI101" s="437"/>
      <c r="BJ101" s="437"/>
      <c r="BK101" s="437"/>
      <c r="BL101" s="437"/>
      <c r="BM101" s="393"/>
      <c r="BO101" s="399">
        <f t="shared" si="33"/>
        <v>0</v>
      </c>
      <c r="BP101" s="399">
        <f t="shared" si="34"/>
        <v>0</v>
      </c>
      <c r="BQ101" s="399">
        <f t="shared" si="35"/>
        <v>0</v>
      </c>
      <c r="BR101" s="399">
        <f t="shared" si="36"/>
        <v>0</v>
      </c>
      <c r="BS101" s="399">
        <f t="shared" si="37"/>
        <v>0</v>
      </c>
      <c r="BT101" s="399">
        <f t="shared" si="38"/>
        <v>0</v>
      </c>
      <c r="BU101" s="399">
        <f t="shared" si="39"/>
        <v>0</v>
      </c>
      <c r="BV101" s="399">
        <f t="shared" si="40"/>
        <v>0</v>
      </c>
      <c r="BW101" s="399">
        <f t="shared" si="41"/>
        <v>0</v>
      </c>
      <c r="BX101" s="399">
        <f t="shared" si="42"/>
        <v>0</v>
      </c>
      <c r="BY101" s="399">
        <f t="shared" si="43"/>
        <v>0</v>
      </c>
      <c r="BZ101" s="399">
        <f t="shared" si="44"/>
        <v>0</v>
      </c>
      <c r="CA101" s="399">
        <f t="shared" si="45"/>
        <v>0</v>
      </c>
      <c r="CB101" s="399">
        <f t="shared" si="46"/>
        <v>0</v>
      </c>
      <c r="CC101" s="399">
        <f t="shared" si="47"/>
        <v>0</v>
      </c>
      <c r="CD101" s="399">
        <f t="shared" si="48"/>
        <v>0</v>
      </c>
      <c r="CE101" s="399">
        <f t="shared" si="49"/>
        <v>0</v>
      </c>
      <c r="CF101" s="399">
        <f t="shared" si="50"/>
        <v>0</v>
      </c>
      <c r="CG101" s="399">
        <f t="shared" si="51"/>
        <v>0</v>
      </c>
      <c r="CH101" s="399">
        <f t="shared" si="52"/>
        <v>0</v>
      </c>
      <c r="CI101" s="399">
        <f t="shared" si="53"/>
        <v>0</v>
      </c>
      <c r="CJ101" s="399">
        <f t="shared" si="54"/>
        <v>0</v>
      </c>
      <c r="CK101" s="399">
        <f t="shared" si="55"/>
        <v>0</v>
      </c>
      <c r="CL101" s="399">
        <f t="shared" si="56"/>
        <v>0</v>
      </c>
      <c r="CM101" s="399">
        <f t="shared" si="57"/>
        <v>0</v>
      </c>
      <c r="CN101" s="399">
        <f t="shared" si="58"/>
        <v>0</v>
      </c>
      <c r="CO101" s="399">
        <f t="shared" si="59"/>
        <v>0</v>
      </c>
      <c r="CP101" s="399">
        <f t="shared" si="60"/>
        <v>0</v>
      </c>
      <c r="CQ101" s="423">
        <f t="shared" si="61"/>
        <v>0</v>
      </c>
      <c r="CS101" s="394" t="e">
        <f t="shared" si="62"/>
        <v>#DIV/0!</v>
      </c>
    </row>
    <row r="102" spans="3:97">
      <c r="C102" s="107"/>
      <c r="D102" s="395"/>
      <c r="E102" s="84"/>
      <c r="F102" s="84"/>
      <c r="G102" s="389"/>
      <c r="H102" s="390"/>
      <c r="I102" s="390"/>
      <c r="J102" s="390"/>
      <c r="K102" s="390"/>
      <c r="L102" s="390"/>
      <c r="M102" s="390"/>
      <c r="N102" s="390"/>
      <c r="O102" s="390"/>
      <c r="P102" s="390"/>
      <c r="Q102" s="390"/>
      <c r="R102" s="390"/>
      <c r="S102" s="390"/>
      <c r="T102" s="390"/>
      <c r="U102" s="390"/>
      <c r="V102" s="390"/>
      <c r="W102" s="390"/>
      <c r="X102" s="390"/>
      <c r="Y102" s="390"/>
      <c r="Z102" s="390"/>
      <c r="AA102" s="390"/>
      <c r="AB102" s="390"/>
      <c r="AC102" s="390"/>
      <c r="AD102" s="390"/>
      <c r="AE102" s="390"/>
      <c r="AF102" s="390"/>
      <c r="AG102" s="390"/>
      <c r="AH102" s="390"/>
      <c r="AI102" s="391"/>
      <c r="AK102" s="437"/>
      <c r="AL102" s="437"/>
      <c r="AM102" s="437"/>
      <c r="AN102" s="437"/>
      <c r="AO102" s="437"/>
      <c r="AP102" s="437"/>
      <c r="AQ102" s="437"/>
      <c r="AR102" s="437"/>
      <c r="AS102" s="437"/>
      <c r="AT102" s="437"/>
      <c r="AU102" s="437"/>
      <c r="AV102" s="437"/>
      <c r="AW102" s="437"/>
      <c r="AX102" s="437"/>
      <c r="AY102" s="437"/>
      <c r="AZ102" s="437"/>
      <c r="BA102" s="437"/>
      <c r="BB102" s="437"/>
      <c r="BC102" s="437"/>
      <c r="BD102" s="437"/>
      <c r="BE102" s="437"/>
      <c r="BF102" s="437"/>
      <c r="BG102" s="437"/>
      <c r="BH102" s="437"/>
      <c r="BI102" s="437"/>
      <c r="BJ102" s="437"/>
      <c r="BK102" s="437"/>
      <c r="BL102" s="437"/>
      <c r="BM102" s="393"/>
      <c r="BO102" s="399">
        <f t="shared" si="33"/>
        <v>0</v>
      </c>
      <c r="BP102" s="399">
        <f t="shared" si="34"/>
        <v>0</v>
      </c>
      <c r="BQ102" s="399">
        <f t="shared" si="35"/>
        <v>0</v>
      </c>
      <c r="BR102" s="399">
        <f t="shared" si="36"/>
        <v>0</v>
      </c>
      <c r="BS102" s="399">
        <f t="shared" si="37"/>
        <v>0</v>
      </c>
      <c r="BT102" s="399">
        <f t="shared" si="38"/>
        <v>0</v>
      </c>
      <c r="BU102" s="399">
        <f t="shared" si="39"/>
        <v>0</v>
      </c>
      <c r="BV102" s="399">
        <f t="shared" si="40"/>
        <v>0</v>
      </c>
      <c r="BW102" s="399">
        <f t="shared" si="41"/>
        <v>0</v>
      </c>
      <c r="BX102" s="399">
        <f t="shared" si="42"/>
        <v>0</v>
      </c>
      <c r="BY102" s="399">
        <f t="shared" si="43"/>
        <v>0</v>
      </c>
      <c r="BZ102" s="399">
        <f t="shared" si="44"/>
        <v>0</v>
      </c>
      <c r="CA102" s="399">
        <f t="shared" si="45"/>
        <v>0</v>
      </c>
      <c r="CB102" s="399">
        <f t="shared" si="46"/>
        <v>0</v>
      </c>
      <c r="CC102" s="399">
        <f t="shared" si="47"/>
        <v>0</v>
      </c>
      <c r="CD102" s="399">
        <f t="shared" si="48"/>
        <v>0</v>
      </c>
      <c r="CE102" s="399">
        <f t="shared" si="49"/>
        <v>0</v>
      </c>
      <c r="CF102" s="399">
        <f t="shared" si="50"/>
        <v>0</v>
      </c>
      <c r="CG102" s="399">
        <f t="shared" si="51"/>
        <v>0</v>
      </c>
      <c r="CH102" s="399">
        <f t="shared" si="52"/>
        <v>0</v>
      </c>
      <c r="CI102" s="399">
        <f t="shared" si="53"/>
        <v>0</v>
      </c>
      <c r="CJ102" s="399">
        <f t="shared" si="54"/>
        <v>0</v>
      </c>
      <c r="CK102" s="399">
        <f t="shared" si="55"/>
        <v>0</v>
      </c>
      <c r="CL102" s="399">
        <f t="shared" si="56"/>
        <v>0</v>
      </c>
      <c r="CM102" s="399">
        <f t="shared" si="57"/>
        <v>0</v>
      </c>
      <c r="CN102" s="399">
        <f t="shared" si="58"/>
        <v>0</v>
      </c>
      <c r="CO102" s="399">
        <f t="shared" si="59"/>
        <v>0</v>
      </c>
      <c r="CP102" s="399">
        <f t="shared" si="60"/>
        <v>0</v>
      </c>
      <c r="CQ102" s="423">
        <f t="shared" si="61"/>
        <v>0</v>
      </c>
      <c r="CS102" s="394" t="e">
        <f t="shared" si="62"/>
        <v>#DIV/0!</v>
      </c>
    </row>
    <row r="103" spans="3:97">
      <c r="C103" s="107"/>
      <c r="D103" s="395"/>
      <c r="E103" s="84"/>
      <c r="F103" s="84"/>
      <c r="G103" s="389"/>
      <c r="H103" s="390"/>
      <c r="I103" s="390"/>
      <c r="J103" s="390"/>
      <c r="K103" s="390"/>
      <c r="L103" s="390"/>
      <c r="M103" s="390"/>
      <c r="N103" s="390"/>
      <c r="O103" s="390"/>
      <c r="P103" s="390"/>
      <c r="Q103" s="390"/>
      <c r="R103" s="390"/>
      <c r="S103" s="390"/>
      <c r="T103" s="390"/>
      <c r="U103" s="390"/>
      <c r="V103" s="390"/>
      <c r="W103" s="390"/>
      <c r="X103" s="390"/>
      <c r="Y103" s="390"/>
      <c r="Z103" s="390"/>
      <c r="AA103" s="390"/>
      <c r="AB103" s="390"/>
      <c r="AC103" s="390"/>
      <c r="AD103" s="390"/>
      <c r="AE103" s="390"/>
      <c r="AF103" s="390"/>
      <c r="AG103" s="390"/>
      <c r="AH103" s="390"/>
      <c r="AI103" s="391"/>
      <c r="AK103" s="437"/>
      <c r="AL103" s="437"/>
      <c r="AM103" s="437"/>
      <c r="AN103" s="437"/>
      <c r="AO103" s="437"/>
      <c r="AP103" s="437"/>
      <c r="AQ103" s="437"/>
      <c r="AR103" s="437"/>
      <c r="AS103" s="437"/>
      <c r="AT103" s="437"/>
      <c r="AU103" s="437"/>
      <c r="AV103" s="437"/>
      <c r="AW103" s="437"/>
      <c r="AX103" s="437"/>
      <c r="AY103" s="437"/>
      <c r="AZ103" s="437"/>
      <c r="BA103" s="437"/>
      <c r="BB103" s="437"/>
      <c r="BC103" s="437"/>
      <c r="BD103" s="437"/>
      <c r="BE103" s="437"/>
      <c r="BF103" s="437"/>
      <c r="BG103" s="437"/>
      <c r="BH103" s="437"/>
      <c r="BI103" s="437"/>
      <c r="BJ103" s="437"/>
      <c r="BK103" s="437"/>
      <c r="BL103" s="437"/>
      <c r="BM103" s="393"/>
      <c r="BO103" s="399">
        <f t="shared" si="33"/>
        <v>0</v>
      </c>
      <c r="BP103" s="399">
        <f t="shared" si="34"/>
        <v>0</v>
      </c>
      <c r="BQ103" s="399">
        <f t="shared" si="35"/>
        <v>0</v>
      </c>
      <c r="BR103" s="399">
        <f t="shared" si="36"/>
        <v>0</v>
      </c>
      <c r="BS103" s="399">
        <f t="shared" si="37"/>
        <v>0</v>
      </c>
      <c r="BT103" s="399">
        <f t="shared" si="38"/>
        <v>0</v>
      </c>
      <c r="BU103" s="399">
        <f t="shared" si="39"/>
        <v>0</v>
      </c>
      <c r="BV103" s="399">
        <f t="shared" si="40"/>
        <v>0</v>
      </c>
      <c r="BW103" s="399">
        <f t="shared" si="41"/>
        <v>0</v>
      </c>
      <c r="BX103" s="399">
        <f t="shared" si="42"/>
        <v>0</v>
      </c>
      <c r="BY103" s="399">
        <f t="shared" si="43"/>
        <v>0</v>
      </c>
      <c r="BZ103" s="399">
        <f t="shared" si="44"/>
        <v>0</v>
      </c>
      <c r="CA103" s="399">
        <f t="shared" si="45"/>
        <v>0</v>
      </c>
      <c r="CB103" s="399">
        <f t="shared" si="46"/>
        <v>0</v>
      </c>
      <c r="CC103" s="399">
        <f t="shared" si="47"/>
        <v>0</v>
      </c>
      <c r="CD103" s="399">
        <f t="shared" si="48"/>
        <v>0</v>
      </c>
      <c r="CE103" s="399">
        <f t="shared" si="49"/>
        <v>0</v>
      </c>
      <c r="CF103" s="399">
        <f t="shared" si="50"/>
        <v>0</v>
      </c>
      <c r="CG103" s="399">
        <f t="shared" si="51"/>
        <v>0</v>
      </c>
      <c r="CH103" s="399">
        <f t="shared" si="52"/>
        <v>0</v>
      </c>
      <c r="CI103" s="399">
        <f t="shared" si="53"/>
        <v>0</v>
      </c>
      <c r="CJ103" s="399">
        <f t="shared" si="54"/>
        <v>0</v>
      </c>
      <c r="CK103" s="399">
        <f t="shared" si="55"/>
        <v>0</v>
      </c>
      <c r="CL103" s="399">
        <f t="shared" si="56"/>
        <v>0</v>
      </c>
      <c r="CM103" s="399">
        <f t="shared" si="57"/>
        <v>0</v>
      </c>
      <c r="CN103" s="399">
        <f t="shared" si="58"/>
        <v>0</v>
      </c>
      <c r="CO103" s="399">
        <f t="shared" si="59"/>
        <v>0</v>
      </c>
      <c r="CP103" s="399">
        <f t="shared" si="60"/>
        <v>0</v>
      </c>
      <c r="CQ103" s="423">
        <f t="shared" si="61"/>
        <v>0</v>
      </c>
      <c r="CS103" s="394" t="e">
        <f t="shared" si="62"/>
        <v>#DIV/0!</v>
      </c>
    </row>
    <row r="104" spans="3:97">
      <c r="C104" s="107"/>
      <c r="D104" s="395"/>
      <c r="E104" s="84"/>
      <c r="F104" s="84"/>
      <c r="G104" s="389"/>
      <c r="H104" s="390"/>
      <c r="I104" s="390"/>
      <c r="J104" s="390"/>
      <c r="K104" s="390"/>
      <c r="L104" s="390"/>
      <c r="M104" s="390"/>
      <c r="N104" s="390"/>
      <c r="O104" s="390"/>
      <c r="P104" s="390"/>
      <c r="Q104" s="390"/>
      <c r="R104" s="390"/>
      <c r="S104" s="390"/>
      <c r="T104" s="390"/>
      <c r="U104" s="390"/>
      <c r="V104" s="390"/>
      <c r="W104" s="390"/>
      <c r="X104" s="390"/>
      <c r="Y104" s="390"/>
      <c r="Z104" s="390"/>
      <c r="AA104" s="390"/>
      <c r="AB104" s="390"/>
      <c r="AC104" s="390"/>
      <c r="AD104" s="390"/>
      <c r="AE104" s="390"/>
      <c r="AF104" s="390"/>
      <c r="AG104" s="390"/>
      <c r="AH104" s="390"/>
      <c r="AI104" s="391"/>
      <c r="AK104" s="437"/>
      <c r="AL104" s="437"/>
      <c r="AM104" s="437"/>
      <c r="AN104" s="437"/>
      <c r="AO104" s="437"/>
      <c r="AP104" s="437"/>
      <c r="AQ104" s="437"/>
      <c r="AR104" s="437"/>
      <c r="AS104" s="437"/>
      <c r="AT104" s="437"/>
      <c r="AU104" s="437"/>
      <c r="AV104" s="437"/>
      <c r="AW104" s="437"/>
      <c r="AX104" s="437"/>
      <c r="AY104" s="437"/>
      <c r="AZ104" s="437"/>
      <c r="BA104" s="437"/>
      <c r="BB104" s="437"/>
      <c r="BC104" s="437"/>
      <c r="BD104" s="437"/>
      <c r="BE104" s="437"/>
      <c r="BF104" s="437"/>
      <c r="BG104" s="437"/>
      <c r="BH104" s="437"/>
      <c r="BI104" s="437"/>
      <c r="BJ104" s="437"/>
      <c r="BK104" s="437"/>
      <c r="BL104" s="437"/>
      <c r="BM104" s="393"/>
      <c r="BO104" s="399">
        <f t="shared" si="33"/>
        <v>0</v>
      </c>
      <c r="BP104" s="399">
        <f t="shared" si="34"/>
        <v>0</v>
      </c>
      <c r="BQ104" s="399">
        <f t="shared" si="35"/>
        <v>0</v>
      </c>
      <c r="BR104" s="399">
        <f t="shared" si="36"/>
        <v>0</v>
      </c>
      <c r="BS104" s="399">
        <f t="shared" si="37"/>
        <v>0</v>
      </c>
      <c r="BT104" s="399">
        <f t="shared" si="38"/>
        <v>0</v>
      </c>
      <c r="BU104" s="399">
        <f t="shared" si="39"/>
        <v>0</v>
      </c>
      <c r="BV104" s="399">
        <f t="shared" si="40"/>
        <v>0</v>
      </c>
      <c r="BW104" s="399">
        <f t="shared" si="41"/>
        <v>0</v>
      </c>
      <c r="BX104" s="399">
        <f t="shared" si="42"/>
        <v>0</v>
      </c>
      <c r="BY104" s="399">
        <f t="shared" si="43"/>
        <v>0</v>
      </c>
      <c r="BZ104" s="399">
        <f t="shared" si="44"/>
        <v>0</v>
      </c>
      <c r="CA104" s="399">
        <f t="shared" si="45"/>
        <v>0</v>
      </c>
      <c r="CB104" s="399">
        <f t="shared" si="46"/>
        <v>0</v>
      </c>
      <c r="CC104" s="399">
        <f t="shared" si="47"/>
        <v>0</v>
      </c>
      <c r="CD104" s="399">
        <f t="shared" si="48"/>
        <v>0</v>
      </c>
      <c r="CE104" s="399">
        <f t="shared" si="49"/>
        <v>0</v>
      </c>
      <c r="CF104" s="399">
        <f t="shared" si="50"/>
        <v>0</v>
      </c>
      <c r="CG104" s="399">
        <f t="shared" si="51"/>
        <v>0</v>
      </c>
      <c r="CH104" s="399">
        <f t="shared" si="52"/>
        <v>0</v>
      </c>
      <c r="CI104" s="399">
        <f t="shared" si="53"/>
        <v>0</v>
      </c>
      <c r="CJ104" s="399">
        <f t="shared" si="54"/>
        <v>0</v>
      </c>
      <c r="CK104" s="399">
        <f t="shared" si="55"/>
        <v>0</v>
      </c>
      <c r="CL104" s="399">
        <f t="shared" si="56"/>
        <v>0</v>
      </c>
      <c r="CM104" s="399">
        <f t="shared" si="57"/>
        <v>0</v>
      </c>
      <c r="CN104" s="399">
        <f t="shared" si="58"/>
        <v>0</v>
      </c>
      <c r="CO104" s="399">
        <f t="shared" si="59"/>
        <v>0</v>
      </c>
      <c r="CP104" s="399">
        <f t="shared" si="60"/>
        <v>0</v>
      </c>
      <c r="CQ104" s="423">
        <f t="shared" si="61"/>
        <v>0</v>
      </c>
      <c r="CS104" s="394" t="e">
        <f t="shared" si="62"/>
        <v>#DIV/0!</v>
      </c>
    </row>
    <row r="105" spans="3:97">
      <c r="C105" s="107"/>
      <c r="D105" s="395"/>
      <c r="E105" s="84"/>
      <c r="F105" s="84"/>
      <c r="G105" s="389"/>
      <c r="H105" s="390"/>
      <c r="I105" s="390"/>
      <c r="J105" s="390"/>
      <c r="K105" s="390"/>
      <c r="L105" s="390"/>
      <c r="M105" s="390"/>
      <c r="N105" s="390"/>
      <c r="O105" s="390"/>
      <c r="P105" s="390"/>
      <c r="Q105" s="390"/>
      <c r="R105" s="390"/>
      <c r="S105" s="390"/>
      <c r="T105" s="390"/>
      <c r="U105" s="390"/>
      <c r="V105" s="390"/>
      <c r="W105" s="390"/>
      <c r="X105" s="390"/>
      <c r="Y105" s="390"/>
      <c r="Z105" s="390"/>
      <c r="AA105" s="390"/>
      <c r="AB105" s="390"/>
      <c r="AC105" s="390"/>
      <c r="AD105" s="390"/>
      <c r="AE105" s="390"/>
      <c r="AF105" s="390"/>
      <c r="AG105" s="390"/>
      <c r="AH105" s="390"/>
      <c r="AI105" s="391"/>
      <c r="AK105" s="437"/>
      <c r="AL105" s="437"/>
      <c r="AM105" s="437"/>
      <c r="AN105" s="437"/>
      <c r="AO105" s="437"/>
      <c r="AP105" s="437"/>
      <c r="AQ105" s="437"/>
      <c r="AR105" s="437"/>
      <c r="AS105" s="437"/>
      <c r="AT105" s="437"/>
      <c r="AU105" s="437"/>
      <c r="AV105" s="437"/>
      <c r="AW105" s="437"/>
      <c r="AX105" s="437"/>
      <c r="AY105" s="437"/>
      <c r="AZ105" s="437"/>
      <c r="BA105" s="437"/>
      <c r="BB105" s="437"/>
      <c r="BC105" s="437"/>
      <c r="BD105" s="437"/>
      <c r="BE105" s="437"/>
      <c r="BF105" s="437"/>
      <c r="BG105" s="437"/>
      <c r="BH105" s="437"/>
      <c r="BI105" s="437"/>
      <c r="BJ105" s="437"/>
      <c r="BK105" s="437"/>
      <c r="BL105" s="437"/>
      <c r="BM105" s="393"/>
      <c r="BO105" s="399">
        <f t="shared" si="33"/>
        <v>0</v>
      </c>
      <c r="BP105" s="399">
        <f t="shared" si="34"/>
        <v>0</v>
      </c>
      <c r="BQ105" s="399">
        <f t="shared" si="35"/>
        <v>0</v>
      </c>
      <c r="BR105" s="399">
        <f t="shared" si="36"/>
        <v>0</v>
      </c>
      <c r="BS105" s="399">
        <f t="shared" si="37"/>
        <v>0</v>
      </c>
      <c r="BT105" s="399">
        <f t="shared" si="38"/>
        <v>0</v>
      </c>
      <c r="BU105" s="399">
        <f t="shared" si="39"/>
        <v>0</v>
      </c>
      <c r="BV105" s="399">
        <f t="shared" si="40"/>
        <v>0</v>
      </c>
      <c r="BW105" s="399">
        <f t="shared" si="41"/>
        <v>0</v>
      </c>
      <c r="BX105" s="399">
        <f t="shared" si="42"/>
        <v>0</v>
      </c>
      <c r="BY105" s="399">
        <f t="shared" si="43"/>
        <v>0</v>
      </c>
      <c r="BZ105" s="399">
        <f t="shared" si="44"/>
        <v>0</v>
      </c>
      <c r="CA105" s="399">
        <f t="shared" si="45"/>
        <v>0</v>
      </c>
      <c r="CB105" s="399">
        <f t="shared" si="46"/>
        <v>0</v>
      </c>
      <c r="CC105" s="399">
        <f t="shared" si="47"/>
        <v>0</v>
      </c>
      <c r="CD105" s="399">
        <f t="shared" si="48"/>
        <v>0</v>
      </c>
      <c r="CE105" s="399">
        <f t="shared" si="49"/>
        <v>0</v>
      </c>
      <c r="CF105" s="399">
        <f t="shared" si="50"/>
        <v>0</v>
      </c>
      <c r="CG105" s="399">
        <f t="shared" si="51"/>
        <v>0</v>
      </c>
      <c r="CH105" s="399">
        <f t="shared" si="52"/>
        <v>0</v>
      </c>
      <c r="CI105" s="399">
        <f t="shared" si="53"/>
        <v>0</v>
      </c>
      <c r="CJ105" s="399">
        <f t="shared" si="54"/>
        <v>0</v>
      </c>
      <c r="CK105" s="399">
        <f t="shared" si="55"/>
        <v>0</v>
      </c>
      <c r="CL105" s="399">
        <f t="shared" si="56"/>
        <v>0</v>
      </c>
      <c r="CM105" s="399">
        <f t="shared" si="57"/>
        <v>0</v>
      </c>
      <c r="CN105" s="399">
        <f t="shared" si="58"/>
        <v>0</v>
      </c>
      <c r="CO105" s="399">
        <f t="shared" si="59"/>
        <v>0</v>
      </c>
      <c r="CP105" s="399">
        <f t="shared" si="60"/>
        <v>0</v>
      </c>
      <c r="CQ105" s="423">
        <f t="shared" si="61"/>
        <v>0</v>
      </c>
      <c r="CS105" s="394" t="e">
        <f t="shared" si="62"/>
        <v>#DIV/0!</v>
      </c>
    </row>
    <row r="106" spans="3:97">
      <c r="C106" s="107"/>
      <c r="D106" s="395"/>
      <c r="E106" s="84"/>
      <c r="F106" s="84"/>
      <c r="G106" s="389"/>
      <c r="H106" s="390"/>
      <c r="I106" s="390"/>
      <c r="J106" s="390"/>
      <c r="K106" s="390"/>
      <c r="L106" s="390"/>
      <c r="M106" s="390"/>
      <c r="N106" s="390"/>
      <c r="O106" s="390"/>
      <c r="P106" s="390"/>
      <c r="Q106" s="390"/>
      <c r="R106" s="390"/>
      <c r="S106" s="390"/>
      <c r="T106" s="390"/>
      <c r="U106" s="390"/>
      <c r="V106" s="390"/>
      <c r="W106" s="390"/>
      <c r="X106" s="390"/>
      <c r="Y106" s="390"/>
      <c r="Z106" s="390"/>
      <c r="AA106" s="390"/>
      <c r="AB106" s="390"/>
      <c r="AC106" s="390"/>
      <c r="AD106" s="390"/>
      <c r="AE106" s="390"/>
      <c r="AF106" s="390"/>
      <c r="AG106" s="390"/>
      <c r="AH106" s="390"/>
      <c r="AI106" s="391"/>
      <c r="AK106" s="437"/>
      <c r="AL106" s="437"/>
      <c r="AM106" s="437"/>
      <c r="AN106" s="437"/>
      <c r="AO106" s="437"/>
      <c r="AP106" s="437"/>
      <c r="AQ106" s="437"/>
      <c r="AR106" s="437"/>
      <c r="AS106" s="437"/>
      <c r="AT106" s="437"/>
      <c r="AU106" s="437"/>
      <c r="AV106" s="437"/>
      <c r="AW106" s="437"/>
      <c r="AX106" s="437"/>
      <c r="AY106" s="437"/>
      <c r="AZ106" s="437"/>
      <c r="BA106" s="437"/>
      <c r="BB106" s="437"/>
      <c r="BC106" s="437"/>
      <c r="BD106" s="437"/>
      <c r="BE106" s="437"/>
      <c r="BF106" s="437"/>
      <c r="BG106" s="437"/>
      <c r="BH106" s="437"/>
      <c r="BI106" s="437"/>
      <c r="BJ106" s="437"/>
      <c r="BK106" s="437"/>
      <c r="BL106" s="437"/>
      <c r="BM106" s="393"/>
      <c r="BO106" s="399">
        <f t="shared" si="33"/>
        <v>0</v>
      </c>
      <c r="BP106" s="399">
        <f t="shared" si="34"/>
        <v>0</v>
      </c>
      <c r="BQ106" s="399">
        <f t="shared" si="35"/>
        <v>0</v>
      </c>
      <c r="BR106" s="399">
        <f t="shared" si="36"/>
        <v>0</v>
      </c>
      <c r="BS106" s="399">
        <f t="shared" si="37"/>
        <v>0</v>
      </c>
      <c r="BT106" s="399">
        <f t="shared" si="38"/>
        <v>0</v>
      </c>
      <c r="BU106" s="399">
        <f t="shared" si="39"/>
        <v>0</v>
      </c>
      <c r="BV106" s="399">
        <f t="shared" si="40"/>
        <v>0</v>
      </c>
      <c r="BW106" s="399">
        <f t="shared" si="41"/>
        <v>0</v>
      </c>
      <c r="BX106" s="399">
        <f t="shared" si="42"/>
        <v>0</v>
      </c>
      <c r="BY106" s="399">
        <f t="shared" si="43"/>
        <v>0</v>
      </c>
      <c r="BZ106" s="399">
        <f t="shared" si="44"/>
        <v>0</v>
      </c>
      <c r="CA106" s="399">
        <f t="shared" si="45"/>
        <v>0</v>
      </c>
      <c r="CB106" s="399">
        <f t="shared" si="46"/>
        <v>0</v>
      </c>
      <c r="CC106" s="399">
        <f t="shared" si="47"/>
        <v>0</v>
      </c>
      <c r="CD106" s="399">
        <f t="shared" si="48"/>
        <v>0</v>
      </c>
      <c r="CE106" s="399">
        <f t="shared" si="49"/>
        <v>0</v>
      </c>
      <c r="CF106" s="399">
        <f t="shared" si="50"/>
        <v>0</v>
      </c>
      <c r="CG106" s="399">
        <f t="shared" si="51"/>
        <v>0</v>
      </c>
      <c r="CH106" s="399">
        <f t="shared" si="52"/>
        <v>0</v>
      </c>
      <c r="CI106" s="399">
        <f t="shared" si="53"/>
        <v>0</v>
      </c>
      <c r="CJ106" s="399">
        <f t="shared" si="54"/>
        <v>0</v>
      </c>
      <c r="CK106" s="399">
        <f t="shared" si="55"/>
        <v>0</v>
      </c>
      <c r="CL106" s="399">
        <f t="shared" si="56"/>
        <v>0</v>
      </c>
      <c r="CM106" s="399">
        <f t="shared" si="57"/>
        <v>0</v>
      </c>
      <c r="CN106" s="399">
        <f t="shared" si="58"/>
        <v>0</v>
      </c>
      <c r="CO106" s="399">
        <f t="shared" si="59"/>
        <v>0</v>
      </c>
      <c r="CP106" s="399">
        <f t="shared" si="60"/>
        <v>0</v>
      </c>
      <c r="CQ106" s="423">
        <f t="shared" si="61"/>
        <v>0</v>
      </c>
      <c r="CS106" s="394" t="e">
        <f t="shared" si="62"/>
        <v>#DIV/0!</v>
      </c>
    </row>
    <row r="107" spans="3:97">
      <c r="C107" s="107"/>
      <c r="D107" s="395"/>
      <c r="E107" s="84"/>
      <c r="F107" s="84"/>
      <c r="G107" s="389"/>
      <c r="H107" s="390"/>
      <c r="I107" s="390"/>
      <c r="J107" s="390"/>
      <c r="K107" s="390"/>
      <c r="L107" s="390"/>
      <c r="M107" s="390"/>
      <c r="N107" s="390"/>
      <c r="O107" s="390"/>
      <c r="P107" s="390"/>
      <c r="Q107" s="390"/>
      <c r="R107" s="390"/>
      <c r="S107" s="390"/>
      <c r="T107" s="390"/>
      <c r="U107" s="390"/>
      <c r="V107" s="390"/>
      <c r="W107" s="390"/>
      <c r="X107" s="390"/>
      <c r="Y107" s="390"/>
      <c r="Z107" s="390"/>
      <c r="AA107" s="390"/>
      <c r="AB107" s="390"/>
      <c r="AC107" s="390"/>
      <c r="AD107" s="390"/>
      <c r="AE107" s="390"/>
      <c r="AF107" s="390"/>
      <c r="AG107" s="390"/>
      <c r="AH107" s="390"/>
      <c r="AI107" s="391"/>
      <c r="AK107" s="437"/>
      <c r="AL107" s="437"/>
      <c r="AM107" s="437"/>
      <c r="AN107" s="437"/>
      <c r="AO107" s="437"/>
      <c r="AP107" s="437"/>
      <c r="AQ107" s="437"/>
      <c r="AR107" s="437"/>
      <c r="AS107" s="437"/>
      <c r="AT107" s="437"/>
      <c r="AU107" s="437"/>
      <c r="AV107" s="437"/>
      <c r="AW107" s="437"/>
      <c r="AX107" s="437"/>
      <c r="AY107" s="437"/>
      <c r="AZ107" s="437"/>
      <c r="BA107" s="437"/>
      <c r="BB107" s="437"/>
      <c r="BC107" s="437"/>
      <c r="BD107" s="437"/>
      <c r="BE107" s="437"/>
      <c r="BF107" s="437"/>
      <c r="BG107" s="437"/>
      <c r="BH107" s="437"/>
      <c r="BI107" s="437"/>
      <c r="BJ107" s="437"/>
      <c r="BK107" s="437"/>
      <c r="BL107" s="437"/>
      <c r="BM107" s="393"/>
      <c r="BO107" s="399">
        <f t="shared" si="33"/>
        <v>0</v>
      </c>
      <c r="BP107" s="399">
        <f t="shared" si="34"/>
        <v>0</v>
      </c>
      <c r="BQ107" s="399">
        <f t="shared" si="35"/>
        <v>0</v>
      </c>
      <c r="BR107" s="399">
        <f t="shared" si="36"/>
        <v>0</v>
      </c>
      <c r="BS107" s="399">
        <f t="shared" si="37"/>
        <v>0</v>
      </c>
      <c r="BT107" s="399">
        <f t="shared" si="38"/>
        <v>0</v>
      </c>
      <c r="BU107" s="399">
        <f t="shared" si="39"/>
        <v>0</v>
      </c>
      <c r="BV107" s="399">
        <f t="shared" si="40"/>
        <v>0</v>
      </c>
      <c r="BW107" s="399">
        <f t="shared" si="41"/>
        <v>0</v>
      </c>
      <c r="BX107" s="399">
        <f t="shared" si="42"/>
        <v>0</v>
      </c>
      <c r="BY107" s="399">
        <f t="shared" si="43"/>
        <v>0</v>
      </c>
      <c r="BZ107" s="399">
        <f t="shared" si="44"/>
        <v>0</v>
      </c>
      <c r="CA107" s="399">
        <f t="shared" si="45"/>
        <v>0</v>
      </c>
      <c r="CB107" s="399">
        <f t="shared" si="46"/>
        <v>0</v>
      </c>
      <c r="CC107" s="399">
        <f t="shared" si="47"/>
        <v>0</v>
      </c>
      <c r="CD107" s="399">
        <f t="shared" si="48"/>
        <v>0</v>
      </c>
      <c r="CE107" s="399">
        <f t="shared" si="49"/>
        <v>0</v>
      </c>
      <c r="CF107" s="399">
        <f t="shared" si="50"/>
        <v>0</v>
      </c>
      <c r="CG107" s="399">
        <f t="shared" si="51"/>
        <v>0</v>
      </c>
      <c r="CH107" s="399">
        <f t="shared" si="52"/>
        <v>0</v>
      </c>
      <c r="CI107" s="399">
        <f t="shared" si="53"/>
        <v>0</v>
      </c>
      <c r="CJ107" s="399">
        <f t="shared" si="54"/>
        <v>0</v>
      </c>
      <c r="CK107" s="399">
        <f t="shared" si="55"/>
        <v>0</v>
      </c>
      <c r="CL107" s="399">
        <f t="shared" si="56"/>
        <v>0</v>
      </c>
      <c r="CM107" s="399">
        <f t="shared" si="57"/>
        <v>0</v>
      </c>
      <c r="CN107" s="399">
        <f t="shared" si="58"/>
        <v>0</v>
      </c>
      <c r="CO107" s="399">
        <f t="shared" si="59"/>
        <v>0</v>
      </c>
      <c r="CP107" s="399">
        <f t="shared" si="60"/>
        <v>0</v>
      </c>
      <c r="CQ107" s="423">
        <f t="shared" si="61"/>
        <v>0</v>
      </c>
      <c r="CS107" s="394" t="e">
        <f t="shared" si="62"/>
        <v>#DIV/0!</v>
      </c>
    </row>
    <row r="108" spans="3:97">
      <c r="C108" s="107"/>
      <c r="D108" s="395"/>
      <c r="E108" s="84"/>
      <c r="F108" s="84"/>
      <c r="G108" s="389"/>
      <c r="H108" s="390"/>
      <c r="I108" s="390"/>
      <c r="J108" s="390"/>
      <c r="K108" s="390"/>
      <c r="L108" s="390"/>
      <c r="M108" s="390"/>
      <c r="N108" s="390"/>
      <c r="O108" s="390"/>
      <c r="P108" s="390"/>
      <c r="Q108" s="390"/>
      <c r="R108" s="390"/>
      <c r="S108" s="390"/>
      <c r="T108" s="390"/>
      <c r="U108" s="390"/>
      <c r="V108" s="390"/>
      <c r="W108" s="390"/>
      <c r="X108" s="390"/>
      <c r="Y108" s="390"/>
      <c r="Z108" s="390"/>
      <c r="AA108" s="390"/>
      <c r="AB108" s="390"/>
      <c r="AC108" s="390"/>
      <c r="AD108" s="390"/>
      <c r="AE108" s="390"/>
      <c r="AF108" s="390"/>
      <c r="AG108" s="390"/>
      <c r="AH108" s="390"/>
      <c r="AI108" s="391"/>
      <c r="AK108" s="437"/>
      <c r="AL108" s="437"/>
      <c r="AM108" s="437"/>
      <c r="AN108" s="437"/>
      <c r="AO108" s="437"/>
      <c r="AP108" s="437"/>
      <c r="AQ108" s="437"/>
      <c r="AR108" s="437"/>
      <c r="AS108" s="437"/>
      <c r="AT108" s="437"/>
      <c r="AU108" s="437"/>
      <c r="AV108" s="437"/>
      <c r="AW108" s="437"/>
      <c r="AX108" s="437"/>
      <c r="AY108" s="437"/>
      <c r="AZ108" s="437"/>
      <c r="BA108" s="437"/>
      <c r="BB108" s="437"/>
      <c r="BC108" s="437"/>
      <c r="BD108" s="437"/>
      <c r="BE108" s="437"/>
      <c r="BF108" s="437"/>
      <c r="BG108" s="437"/>
      <c r="BH108" s="437"/>
      <c r="BI108" s="437"/>
      <c r="BJ108" s="437"/>
      <c r="BK108" s="437"/>
      <c r="BL108" s="437"/>
      <c r="BM108" s="393"/>
      <c r="BO108" s="399">
        <f t="shared" si="33"/>
        <v>0</v>
      </c>
      <c r="BP108" s="399">
        <f t="shared" si="34"/>
        <v>0</v>
      </c>
      <c r="BQ108" s="399">
        <f t="shared" si="35"/>
        <v>0</v>
      </c>
      <c r="BR108" s="399">
        <f t="shared" si="36"/>
        <v>0</v>
      </c>
      <c r="BS108" s="399">
        <f t="shared" si="37"/>
        <v>0</v>
      </c>
      <c r="BT108" s="399">
        <f t="shared" si="38"/>
        <v>0</v>
      </c>
      <c r="BU108" s="399">
        <f t="shared" si="39"/>
        <v>0</v>
      </c>
      <c r="BV108" s="399">
        <f t="shared" si="40"/>
        <v>0</v>
      </c>
      <c r="BW108" s="399">
        <f t="shared" si="41"/>
        <v>0</v>
      </c>
      <c r="BX108" s="399">
        <f t="shared" si="42"/>
        <v>0</v>
      </c>
      <c r="BY108" s="399">
        <f t="shared" si="43"/>
        <v>0</v>
      </c>
      <c r="BZ108" s="399">
        <f t="shared" si="44"/>
        <v>0</v>
      </c>
      <c r="CA108" s="399">
        <f t="shared" si="45"/>
        <v>0</v>
      </c>
      <c r="CB108" s="399">
        <f t="shared" si="46"/>
        <v>0</v>
      </c>
      <c r="CC108" s="399">
        <f t="shared" si="47"/>
        <v>0</v>
      </c>
      <c r="CD108" s="399">
        <f t="shared" si="48"/>
        <v>0</v>
      </c>
      <c r="CE108" s="399">
        <f t="shared" si="49"/>
        <v>0</v>
      </c>
      <c r="CF108" s="399">
        <f t="shared" si="50"/>
        <v>0</v>
      </c>
      <c r="CG108" s="399">
        <f t="shared" si="51"/>
        <v>0</v>
      </c>
      <c r="CH108" s="399">
        <f t="shared" si="52"/>
        <v>0</v>
      </c>
      <c r="CI108" s="399">
        <f t="shared" si="53"/>
        <v>0</v>
      </c>
      <c r="CJ108" s="399">
        <f t="shared" si="54"/>
        <v>0</v>
      </c>
      <c r="CK108" s="399">
        <f t="shared" si="55"/>
        <v>0</v>
      </c>
      <c r="CL108" s="399">
        <f t="shared" si="56"/>
        <v>0</v>
      </c>
      <c r="CM108" s="399">
        <f t="shared" si="57"/>
        <v>0</v>
      </c>
      <c r="CN108" s="399">
        <f t="shared" si="58"/>
        <v>0</v>
      </c>
      <c r="CO108" s="399">
        <f t="shared" si="59"/>
        <v>0</v>
      </c>
      <c r="CP108" s="399">
        <f t="shared" si="60"/>
        <v>0</v>
      </c>
      <c r="CQ108" s="423">
        <f t="shared" si="61"/>
        <v>0</v>
      </c>
      <c r="CS108" s="394" t="e">
        <f t="shared" si="62"/>
        <v>#DIV/0!</v>
      </c>
    </row>
    <row r="109" spans="3:97">
      <c r="C109" s="107"/>
      <c r="D109" s="395"/>
      <c r="E109" s="84"/>
      <c r="F109" s="84"/>
      <c r="G109" s="389"/>
      <c r="H109" s="390"/>
      <c r="I109" s="390"/>
      <c r="J109" s="390"/>
      <c r="K109" s="390"/>
      <c r="L109" s="390"/>
      <c r="M109" s="390"/>
      <c r="N109" s="390"/>
      <c r="O109" s="390"/>
      <c r="P109" s="390"/>
      <c r="Q109" s="390"/>
      <c r="R109" s="390"/>
      <c r="S109" s="390"/>
      <c r="T109" s="390"/>
      <c r="U109" s="390"/>
      <c r="V109" s="390"/>
      <c r="W109" s="390"/>
      <c r="X109" s="390"/>
      <c r="Y109" s="390"/>
      <c r="Z109" s="390"/>
      <c r="AA109" s="390"/>
      <c r="AB109" s="390"/>
      <c r="AC109" s="390"/>
      <c r="AD109" s="390"/>
      <c r="AE109" s="390"/>
      <c r="AF109" s="390"/>
      <c r="AG109" s="390"/>
      <c r="AH109" s="390"/>
      <c r="AI109" s="391"/>
      <c r="AK109" s="437"/>
      <c r="AL109" s="437"/>
      <c r="AM109" s="437"/>
      <c r="AN109" s="437"/>
      <c r="AO109" s="437"/>
      <c r="AP109" s="437"/>
      <c r="AQ109" s="437"/>
      <c r="AR109" s="437"/>
      <c r="AS109" s="437"/>
      <c r="AT109" s="437"/>
      <c r="AU109" s="437"/>
      <c r="AV109" s="437"/>
      <c r="AW109" s="437"/>
      <c r="AX109" s="437"/>
      <c r="AY109" s="437"/>
      <c r="AZ109" s="437"/>
      <c r="BA109" s="437"/>
      <c r="BB109" s="437"/>
      <c r="BC109" s="437"/>
      <c r="BD109" s="437"/>
      <c r="BE109" s="437"/>
      <c r="BF109" s="437"/>
      <c r="BG109" s="437"/>
      <c r="BH109" s="437"/>
      <c r="BI109" s="437"/>
      <c r="BJ109" s="437"/>
      <c r="BK109" s="437"/>
      <c r="BL109" s="437"/>
      <c r="BM109" s="393"/>
      <c r="BO109" s="399">
        <f t="shared" si="33"/>
        <v>0</v>
      </c>
      <c r="BP109" s="399">
        <f t="shared" si="34"/>
        <v>0</v>
      </c>
      <c r="BQ109" s="399">
        <f t="shared" si="35"/>
        <v>0</v>
      </c>
      <c r="BR109" s="399">
        <f t="shared" si="36"/>
        <v>0</v>
      </c>
      <c r="BS109" s="399">
        <f t="shared" si="37"/>
        <v>0</v>
      </c>
      <c r="BT109" s="399">
        <f t="shared" si="38"/>
        <v>0</v>
      </c>
      <c r="BU109" s="399">
        <f t="shared" si="39"/>
        <v>0</v>
      </c>
      <c r="BV109" s="399">
        <f t="shared" si="40"/>
        <v>0</v>
      </c>
      <c r="BW109" s="399">
        <f t="shared" si="41"/>
        <v>0</v>
      </c>
      <c r="BX109" s="399">
        <f t="shared" si="42"/>
        <v>0</v>
      </c>
      <c r="BY109" s="399">
        <f t="shared" si="43"/>
        <v>0</v>
      </c>
      <c r="BZ109" s="399">
        <f t="shared" si="44"/>
        <v>0</v>
      </c>
      <c r="CA109" s="399">
        <f t="shared" si="45"/>
        <v>0</v>
      </c>
      <c r="CB109" s="399">
        <f t="shared" si="46"/>
        <v>0</v>
      </c>
      <c r="CC109" s="399">
        <f t="shared" si="47"/>
        <v>0</v>
      </c>
      <c r="CD109" s="399">
        <f t="shared" si="48"/>
        <v>0</v>
      </c>
      <c r="CE109" s="399">
        <f t="shared" si="49"/>
        <v>0</v>
      </c>
      <c r="CF109" s="399">
        <f t="shared" si="50"/>
        <v>0</v>
      </c>
      <c r="CG109" s="399">
        <f t="shared" si="51"/>
        <v>0</v>
      </c>
      <c r="CH109" s="399">
        <f t="shared" si="52"/>
        <v>0</v>
      </c>
      <c r="CI109" s="399">
        <f t="shared" si="53"/>
        <v>0</v>
      </c>
      <c r="CJ109" s="399">
        <f t="shared" si="54"/>
        <v>0</v>
      </c>
      <c r="CK109" s="399">
        <f t="shared" si="55"/>
        <v>0</v>
      </c>
      <c r="CL109" s="399">
        <f t="shared" si="56"/>
        <v>0</v>
      </c>
      <c r="CM109" s="399">
        <f t="shared" si="57"/>
        <v>0</v>
      </c>
      <c r="CN109" s="399">
        <f t="shared" si="58"/>
        <v>0</v>
      </c>
      <c r="CO109" s="399">
        <f t="shared" si="59"/>
        <v>0</v>
      </c>
      <c r="CP109" s="399">
        <f t="shared" si="60"/>
        <v>0</v>
      </c>
      <c r="CQ109" s="423">
        <f t="shared" si="61"/>
        <v>0</v>
      </c>
      <c r="CS109" s="394" t="e">
        <f t="shared" si="62"/>
        <v>#DIV/0!</v>
      </c>
    </row>
    <row r="110" spans="3:97">
      <c r="C110" s="107"/>
      <c r="D110" s="395"/>
      <c r="E110" s="84"/>
      <c r="F110" s="84"/>
      <c r="G110" s="389"/>
      <c r="H110" s="390"/>
      <c r="I110" s="390"/>
      <c r="J110" s="390"/>
      <c r="K110" s="390"/>
      <c r="L110" s="390"/>
      <c r="M110" s="390"/>
      <c r="N110" s="390"/>
      <c r="O110" s="390"/>
      <c r="P110" s="390"/>
      <c r="Q110" s="390"/>
      <c r="R110" s="390"/>
      <c r="S110" s="390"/>
      <c r="T110" s="390"/>
      <c r="U110" s="390"/>
      <c r="V110" s="390"/>
      <c r="W110" s="390"/>
      <c r="X110" s="390"/>
      <c r="Y110" s="390"/>
      <c r="Z110" s="390"/>
      <c r="AA110" s="390"/>
      <c r="AB110" s="390"/>
      <c r="AC110" s="390"/>
      <c r="AD110" s="390"/>
      <c r="AE110" s="390"/>
      <c r="AF110" s="390"/>
      <c r="AG110" s="390"/>
      <c r="AH110" s="390"/>
      <c r="AI110" s="391"/>
      <c r="AK110" s="437"/>
      <c r="AL110" s="437"/>
      <c r="AM110" s="437"/>
      <c r="AN110" s="437"/>
      <c r="AO110" s="437"/>
      <c r="AP110" s="437"/>
      <c r="AQ110" s="437"/>
      <c r="AR110" s="437"/>
      <c r="AS110" s="437"/>
      <c r="AT110" s="437"/>
      <c r="AU110" s="437"/>
      <c r="AV110" s="437"/>
      <c r="AW110" s="437"/>
      <c r="AX110" s="437"/>
      <c r="AY110" s="437"/>
      <c r="AZ110" s="437"/>
      <c r="BA110" s="437"/>
      <c r="BB110" s="437"/>
      <c r="BC110" s="437"/>
      <c r="BD110" s="437"/>
      <c r="BE110" s="437"/>
      <c r="BF110" s="437"/>
      <c r="BG110" s="437"/>
      <c r="BH110" s="437"/>
      <c r="BI110" s="437"/>
      <c r="BJ110" s="437"/>
      <c r="BK110" s="437"/>
      <c r="BL110" s="437"/>
      <c r="BM110" s="393"/>
      <c r="BO110" s="399">
        <f t="shared" si="33"/>
        <v>0</v>
      </c>
      <c r="BP110" s="399">
        <f t="shared" si="34"/>
        <v>0</v>
      </c>
      <c r="BQ110" s="399">
        <f t="shared" si="35"/>
        <v>0</v>
      </c>
      <c r="BR110" s="399">
        <f t="shared" si="36"/>
        <v>0</v>
      </c>
      <c r="BS110" s="399">
        <f t="shared" si="37"/>
        <v>0</v>
      </c>
      <c r="BT110" s="399">
        <f t="shared" si="38"/>
        <v>0</v>
      </c>
      <c r="BU110" s="399">
        <f t="shared" si="39"/>
        <v>0</v>
      </c>
      <c r="BV110" s="399">
        <f t="shared" si="40"/>
        <v>0</v>
      </c>
      <c r="BW110" s="399">
        <f t="shared" si="41"/>
        <v>0</v>
      </c>
      <c r="BX110" s="399">
        <f t="shared" si="42"/>
        <v>0</v>
      </c>
      <c r="BY110" s="399">
        <f t="shared" si="43"/>
        <v>0</v>
      </c>
      <c r="BZ110" s="399">
        <f t="shared" si="44"/>
        <v>0</v>
      </c>
      <c r="CA110" s="399">
        <f t="shared" si="45"/>
        <v>0</v>
      </c>
      <c r="CB110" s="399">
        <f t="shared" si="46"/>
        <v>0</v>
      </c>
      <c r="CC110" s="399">
        <f t="shared" si="47"/>
        <v>0</v>
      </c>
      <c r="CD110" s="399">
        <f t="shared" si="48"/>
        <v>0</v>
      </c>
      <c r="CE110" s="399">
        <f t="shared" si="49"/>
        <v>0</v>
      </c>
      <c r="CF110" s="399">
        <f t="shared" si="50"/>
        <v>0</v>
      </c>
      <c r="CG110" s="399">
        <f t="shared" si="51"/>
        <v>0</v>
      </c>
      <c r="CH110" s="399">
        <f t="shared" si="52"/>
        <v>0</v>
      </c>
      <c r="CI110" s="399">
        <f t="shared" si="53"/>
        <v>0</v>
      </c>
      <c r="CJ110" s="399">
        <f t="shared" si="54"/>
        <v>0</v>
      </c>
      <c r="CK110" s="399">
        <f t="shared" si="55"/>
        <v>0</v>
      </c>
      <c r="CL110" s="399">
        <f t="shared" si="56"/>
        <v>0</v>
      </c>
      <c r="CM110" s="399">
        <f t="shared" si="57"/>
        <v>0</v>
      </c>
      <c r="CN110" s="399">
        <f t="shared" si="58"/>
        <v>0</v>
      </c>
      <c r="CO110" s="399">
        <f t="shared" si="59"/>
        <v>0</v>
      </c>
      <c r="CP110" s="399">
        <f t="shared" si="60"/>
        <v>0</v>
      </c>
      <c r="CQ110" s="423">
        <f t="shared" si="61"/>
        <v>0</v>
      </c>
      <c r="CS110" s="394" t="e">
        <f t="shared" si="62"/>
        <v>#DIV/0!</v>
      </c>
    </row>
    <row r="111" spans="3:97">
      <c r="C111" s="107"/>
      <c r="D111" s="395"/>
      <c r="E111" s="84"/>
      <c r="F111" s="84"/>
      <c r="G111" s="389"/>
      <c r="H111" s="390"/>
      <c r="I111" s="390"/>
      <c r="J111" s="390"/>
      <c r="K111" s="390"/>
      <c r="L111" s="390"/>
      <c r="M111" s="390"/>
      <c r="N111" s="390"/>
      <c r="O111" s="390"/>
      <c r="P111" s="390"/>
      <c r="Q111" s="390"/>
      <c r="R111" s="390"/>
      <c r="S111" s="390"/>
      <c r="T111" s="390"/>
      <c r="U111" s="390"/>
      <c r="V111" s="390"/>
      <c r="W111" s="390"/>
      <c r="X111" s="390"/>
      <c r="Y111" s="390"/>
      <c r="Z111" s="390"/>
      <c r="AA111" s="390"/>
      <c r="AB111" s="390"/>
      <c r="AC111" s="390"/>
      <c r="AD111" s="390"/>
      <c r="AE111" s="390"/>
      <c r="AF111" s="390"/>
      <c r="AG111" s="390"/>
      <c r="AH111" s="390"/>
      <c r="AI111" s="391"/>
      <c r="AK111" s="437"/>
      <c r="AL111" s="437"/>
      <c r="AM111" s="437"/>
      <c r="AN111" s="437"/>
      <c r="AO111" s="437"/>
      <c r="AP111" s="437"/>
      <c r="AQ111" s="437"/>
      <c r="AR111" s="437"/>
      <c r="AS111" s="437"/>
      <c r="AT111" s="437"/>
      <c r="AU111" s="437"/>
      <c r="AV111" s="437"/>
      <c r="AW111" s="437"/>
      <c r="AX111" s="437"/>
      <c r="AY111" s="437"/>
      <c r="AZ111" s="437"/>
      <c r="BA111" s="437"/>
      <c r="BB111" s="437"/>
      <c r="BC111" s="437"/>
      <c r="BD111" s="437"/>
      <c r="BE111" s="437"/>
      <c r="BF111" s="437"/>
      <c r="BG111" s="437"/>
      <c r="BH111" s="437"/>
      <c r="BI111" s="437"/>
      <c r="BJ111" s="437"/>
      <c r="BK111" s="437"/>
      <c r="BL111" s="437"/>
      <c r="BM111" s="393"/>
      <c r="BO111" s="399">
        <f t="shared" si="33"/>
        <v>0</v>
      </c>
      <c r="BP111" s="399">
        <f t="shared" si="34"/>
        <v>0</v>
      </c>
      <c r="BQ111" s="399">
        <f t="shared" si="35"/>
        <v>0</v>
      </c>
      <c r="BR111" s="399">
        <f t="shared" si="36"/>
        <v>0</v>
      </c>
      <c r="BS111" s="399">
        <f t="shared" si="37"/>
        <v>0</v>
      </c>
      <c r="BT111" s="399">
        <f t="shared" si="38"/>
        <v>0</v>
      </c>
      <c r="BU111" s="399">
        <f t="shared" si="39"/>
        <v>0</v>
      </c>
      <c r="BV111" s="399">
        <f t="shared" si="40"/>
        <v>0</v>
      </c>
      <c r="BW111" s="399">
        <f t="shared" si="41"/>
        <v>0</v>
      </c>
      <c r="BX111" s="399">
        <f t="shared" si="42"/>
        <v>0</v>
      </c>
      <c r="BY111" s="399">
        <f t="shared" si="43"/>
        <v>0</v>
      </c>
      <c r="BZ111" s="399">
        <f t="shared" si="44"/>
        <v>0</v>
      </c>
      <c r="CA111" s="399">
        <f t="shared" si="45"/>
        <v>0</v>
      </c>
      <c r="CB111" s="399">
        <f t="shared" si="46"/>
        <v>0</v>
      </c>
      <c r="CC111" s="399">
        <f t="shared" si="47"/>
        <v>0</v>
      </c>
      <c r="CD111" s="399">
        <f t="shared" si="48"/>
        <v>0</v>
      </c>
      <c r="CE111" s="399">
        <f t="shared" si="49"/>
        <v>0</v>
      </c>
      <c r="CF111" s="399">
        <f t="shared" si="50"/>
        <v>0</v>
      </c>
      <c r="CG111" s="399">
        <f t="shared" si="51"/>
        <v>0</v>
      </c>
      <c r="CH111" s="399">
        <f t="shared" si="52"/>
        <v>0</v>
      </c>
      <c r="CI111" s="399">
        <f t="shared" si="53"/>
        <v>0</v>
      </c>
      <c r="CJ111" s="399">
        <f t="shared" si="54"/>
        <v>0</v>
      </c>
      <c r="CK111" s="399">
        <f t="shared" si="55"/>
        <v>0</v>
      </c>
      <c r="CL111" s="399">
        <f t="shared" si="56"/>
        <v>0</v>
      </c>
      <c r="CM111" s="399">
        <f t="shared" si="57"/>
        <v>0</v>
      </c>
      <c r="CN111" s="399">
        <f t="shared" si="58"/>
        <v>0</v>
      </c>
      <c r="CO111" s="399">
        <f t="shared" si="59"/>
        <v>0</v>
      </c>
      <c r="CP111" s="399">
        <f t="shared" si="60"/>
        <v>0</v>
      </c>
      <c r="CQ111" s="423">
        <f t="shared" si="61"/>
        <v>0</v>
      </c>
      <c r="CS111" s="394" t="e">
        <f t="shared" si="62"/>
        <v>#DIV/0!</v>
      </c>
    </row>
    <row r="112" spans="3:97">
      <c r="C112" s="107"/>
      <c r="D112" s="395"/>
      <c r="E112" s="84"/>
      <c r="F112" s="84"/>
      <c r="G112" s="389"/>
      <c r="H112" s="390"/>
      <c r="I112" s="390"/>
      <c r="J112" s="390"/>
      <c r="K112" s="390"/>
      <c r="L112" s="390"/>
      <c r="M112" s="390"/>
      <c r="N112" s="390"/>
      <c r="O112" s="390"/>
      <c r="P112" s="390"/>
      <c r="Q112" s="390"/>
      <c r="R112" s="390"/>
      <c r="S112" s="390"/>
      <c r="T112" s="390"/>
      <c r="U112" s="390"/>
      <c r="V112" s="390"/>
      <c r="W112" s="390"/>
      <c r="X112" s="390"/>
      <c r="Y112" s="390"/>
      <c r="Z112" s="390"/>
      <c r="AA112" s="390"/>
      <c r="AB112" s="390"/>
      <c r="AC112" s="390"/>
      <c r="AD112" s="390"/>
      <c r="AE112" s="390"/>
      <c r="AF112" s="390"/>
      <c r="AG112" s="390"/>
      <c r="AH112" s="390"/>
      <c r="AI112" s="391"/>
      <c r="AK112" s="437"/>
      <c r="AL112" s="437"/>
      <c r="AM112" s="437"/>
      <c r="AN112" s="437"/>
      <c r="AO112" s="437"/>
      <c r="AP112" s="437"/>
      <c r="AQ112" s="437"/>
      <c r="AR112" s="437"/>
      <c r="AS112" s="437"/>
      <c r="AT112" s="437"/>
      <c r="AU112" s="437"/>
      <c r="AV112" s="437"/>
      <c r="AW112" s="437"/>
      <c r="AX112" s="437"/>
      <c r="AY112" s="437"/>
      <c r="AZ112" s="437"/>
      <c r="BA112" s="437"/>
      <c r="BB112" s="437"/>
      <c r="BC112" s="437"/>
      <c r="BD112" s="437"/>
      <c r="BE112" s="437"/>
      <c r="BF112" s="437"/>
      <c r="BG112" s="437"/>
      <c r="BH112" s="437"/>
      <c r="BI112" s="437"/>
      <c r="BJ112" s="437"/>
      <c r="BK112" s="437"/>
      <c r="BL112" s="437"/>
      <c r="BM112" s="393"/>
      <c r="BO112" s="399">
        <f t="shared" si="33"/>
        <v>0</v>
      </c>
      <c r="BP112" s="399">
        <f t="shared" si="34"/>
        <v>0</v>
      </c>
      <c r="BQ112" s="399">
        <f t="shared" si="35"/>
        <v>0</v>
      </c>
      <c r="BR112" s="399">
        <f t="shared" si="36"/>
        <v>0</v>
      </c>
      <c r="BS112" s="399">
        <f t="shared" si="37"/>
        <v>0</v>
      </c>
      <c r="BT112" s="399">
        <f t="shared" si="38"/>
        <v>0</v>
      </c>
      <c r="BU112" s="399">
        <f t="shared" si="39"/>
        <v>0</v>
      </c>
      <c r="BV112" s="399">
        <f t="shared" si="40"/>
        <v>0</v>
      </c>
      <c r="BW112" s="399">
        <f t="shared" si="41"/>
        <v>0</v>
      </c>
      <c r="BX112" s="399">
        <f t="shared" si="42"/>
        <v>0</v>
      </c>
      <c r="BY112" s="399">
        <f t="shared" si="43"/>
        <v>0</v>
      </c>
      <c r="BZ112" s="399">
        <f t="shared" si="44"/>
        <v>0</v>
      </c>
      <c r="CA112" s="399">
        <f t="shared" si="45"/>
        <v>0</v>
      </c>
      <c r="CB112" s="399">
        <f t="shared" si="46"/>
        <v>0</v>
      </c>
      <c r="CC112" s="399">
        <f t="shared" si="47"/>
        <v>0</v>
      </c>
      <c r="CD112" s="399">
        <f t="shared" si="48"/>
        <v>0</v>
      </c>
      <c r="CE112" s="399">
        <f t="shared" si="49"/>
        <v>0</v>
      </c>
      <c r="CF112" s="399">
        <f t="shared" si="50"/>
        <v>0</v>
      </c>
      <c r="CG112" s="399">
        <f t="shared" si="51"/>
        <v>0</v>
      </c>
      <c r="CH112" s="399">
        <f t="shared" si="52"/>
        <v>0</v>
      </c>
      <c r="CI112" s="399">
        <f t="shared" si="53"/>
        <v>0</v>
      </c>
      <c r="CJ112" s="399">
        <f t="shared" si="54"/>
        <v>0</v>
      </c>
      <c r="CK112" s="399">
        <f t="shared" si="55"/>
        <v>0</v>
      </c>
      <c r="CL112" s="399">
        <f t="shared" si="56"/>
        <v>0</v>
      </c>
      <c r="CM112" s="399">
        <f t="shared" si="57"/>
        <v>0</v>
      </c>
      <c r="CN112" s="399">
        <f t="shared" si="58"/>
        <v>0</v>
      </c>
      <c r="CO112" s="399">
        <f t="shared" si="59"/>
        <v>0</v>
      </c>
      <c r="CP112" s="399">
        <f t="shared" si="60"/>
        <v>0</v>
      </c>
      <c r="CQ112" s="423">
        <f t="shared" si="61"/>
        <v>0</v>
      </c>
      <c r="CS112" s="394" t="e">
        <f t="shared" si="62"/>
        <v>#DIV/0!</v>
      </c>
    </row>
    <row r="113" spans="3:97">
      <c r="C113" s="107"/>
      <c r="D113" s="395"/>
      <c r="E113" s="84"/>
      <c r="F113" s="84"/>
      <c r="G113" s="389"/>
      <c r="H113" s="390"/>
      <c r="I113" s="390"/>
      <c r="J113" s="390"/>
      <c r="K113" s="390"/>
      <c r="L113" s="390"/>
      <c r="M113" s="390"/>
      <c r="N113" s="390"/>
      <c r="O113" s="390"/>
      <c r="P113" s="390"/>
      <c r="Q113" s="390"/>
      <c r="R113" s="390"/>
      <c r="S113" s="390"/>
      <c r="T113" s="390"/>
      <c r="U113" s="390"/>
      <c r="V113" s="390"/>
      <c r="W113" s="390"/>
      <c r="X113" s="390"/>
      <c r="Y113" s="390"/>
      <c r="Z113" s="390"/>
      <c r="AA113" s="390"/>
      <c r="AB113" s="390"/>
      <c r="AC113" s="390"/>
      <c r="AD113" s="390"/>
      <c r="AE113" s="390"/>
      <c r="AF113" s="390"/>
      <c r="AG113" s="390"/>
      <c r="AH113" s="390"/>
      <c r="AI113" s="391"/>
      <c r="AK113" s="437"/>
      <c r="AL113" s="437"/>
      <c r="AM113" s="437"/>
      <c r="AN113" s="437"/>
      <c r="AO113" s="437"/>
      <c r="AP113" s="437"/>
      <c r="AQ113" s="437"/>
      <c r="AR113" s="437"/>
      <c r="AS113" s="437"/>
      <c r="AT113" s="437"/>
      <c r="AU113" s="437"/>
      <c r="AV113" s="437"/>
      <c r="AW113" s="437"/>
      <c r="AX113" s="437"/>
      <c r="AY113" s="437"/>
      <c r="AZ113" s="437"/>
      <c r="BA113" s="437"/>
      <c r="BB113" s="437"/>
      <c r="BC113" s="437"/>
      <c r="BD113" s="437"/>
      <c r="BE113" s="437"/>
      <c r="BF113" s="437"/>
      <c r="BG113" s="437"/>
      <c r="BH113" s="437"/>
      <c r="BI113" s="437"/>
      <c r="BJ113" s="437"/>
      <c r="BK113" s="437"/>
      <c r="BL113" s="437"/>
      <c r="BM113" s="393"/>
      <c r="BO113" s="399">
        <f t="shared" si="33"/>
        <v>0</v>
      </c>
      <c r="BP113" s="399">
        <f t="shared" si="34"/>
        <v>0</v>
      </c>
      <c r="BQ113" s="399">
        <f t="shared" si="35"/>
        <v>0</v>
      </c>
      <c r="BR113" s="399">
        <f t="shared" si="36"/>
        <v>0</v>
      </c>
      <c r="BS113" s="399">
        <f t="shared" si="37"/>
        <v>0</v>
      </c>
      <c r="BT113" s="399">
        <f t="shared" si="38"/>
        <v>0</v>
      </c>
      <c r="BU113" s="399">
        <f t="shared" si="39"/>
        <v>0</v>
      </c>
      <c r="BV113" s="399">
        <f t="shared" si="40"/>
        <v>0</v>
      </c>
      <c r="BW113" s="399">
        <f t="shared" si="41"/>
        <v>0</v>
      </c>
      <c r="BX113" s="399">
        <f t="shared" si="42"/>
        <v>0</v>
      </c>
      <c r="BY113" s="399">
        <f t="shared" si="43"/>
        <v>0</v>
      </c>
      <c r="BZ113" s="399">
        <f t="shared" si="44"/>
        <v>0</v>
      </c>
      <c r="CA113" s="399">
        <f t="shared" si="45"/>
        <v>0</v>
      </c>
      <c r="CB113" s="399">
        <f t="shared" si="46"/>
        <v>0</v>
      </c>
      <c r="CC113" s="399">
        <f t="shared" si="47"/>
        <v>0</v>
      </c>
      <c r="CD113" s="399">
        <f t="shared" si="48"/>
        <v>0</v>
      </c>
      <c r="CE113" s="399">
        <f t="shared" si="49"/>
        <v>0</v>
      </c>
      <c r="CF113" s="399">
        <f t="shared" si="50"/>
        <v>0</v>
      </c>
      <c r="CG113" s="399">
        <f t="shared" si="51"/>
        <v>0</v>
      </c>
      <c r="CH113" s="399">
        <f t="shared" si="52"/>
        <v>0</v>
      </c>
      <c r="CI113" s="399">
        <f t="shared" si="53"/>
        <v>0</v>
      </c>
      <c r="CJ113" s="399">
        <f t="shared" si="54"/>
        <v>0</v>
      </c>
      <c r="CK113" s="399">
        <f t="shared" si="55"/>
        <v>0</v>
      </c>
      <c r="CL113" s="399">
        <f t="shared" si="56"/>
        <v>0</v>
      </c>
      <c r="CM113" s="399">
        <f t="shared" si="57"/>
        <v>0</v>
      </c>
      <c r="CN113" s="399">
        <f t="shared" si="58"/>
        <v>0</v>
      </c>
      <c r="CO113" s="399">
        <f t="shared" si="59"/>
        <v>0</v>
      </c>
      <c r="CP113" s="399">
        <f t="shared" si="60"/>
        <v>0</v>
      </c>
      <c r="CQ113" s="423">
        <f t="shared" si="61"/>
        <v>0</v>
      </c>
      <c r="CS113" s="394" t="e">
        <f t="shared" si="62"/>
        <v>#DIV/0!</v>
      </c>
    </row>
    <row r="114" spans="3:97">
      <c r="C114" s="107"/>
      <c r="D114" s="395"/>
      <c r="E114" s="84"/>
      <c r="F114" s="84"/>
      <c r="G114" s="389"/>
      <c r="H114" s="390"/>
      <c r="I114" s="390"/>
      <c r="J114" s="390"/>
      <c r="K114" s="390"/>
      <c r="L114" s="390"/>
      <c r="M114" s="390"/>
      <c r="N114" s="390"/>
      <c r="O114" s="390"/>
      <c r="P114" s="390"/>
      <c r="Q114" s="390"/>
      <c r="R114" s="390"/>
      <c r="S114" s="390"/>
      <c r="T114" s="390"/>
      <c r="U114" s="390"/>
      <c r="V114" s="390"/>
      <c r="W114" s="390"/>
      <c r="X114" s="390"/>
      <c r="Y114" s="390"/>
      <c r="Z114" s="390"/>
      <c r="AA114" s="390"/>
      <c r="AB114" s="390"/>
      <c r="AC114" s="390"/>
      <c r="AD114" s="390"/>
      <c r="AE114" s="390"/>
      <c r="AF114" s="390"/>
      <c r="AG114" s="390"/>
      <c r="AH114" s="390"/>
      <c r="AI114" s="391"/>
      <c r="AK114" s="437"/>
      <c r="AL114" s="437"/>
      <c r="AM114" s="437"/>
      <c r="AN114" s="437"/>
      <c r="AO114" s="437"/>
      <c r="AP114" s="437"/>
      <c r="AQ114" s="437"/>
      <c r="AR114" s="437"/>
      <c r="AS114" s="437"/>
      <c r="AT114" s="437"/>
      <c r="AU114" s="437"/>
      <c r="AV114" s="437"/>
      <c r="AW114" s="437"/>
      <c r="AX114" s="437"/>
      <c r="AY114" s="437"/>
      <c r="AZ114" s="437"/>
      <c r="BA114" s="437"/>
      <c r="BB114" s="437"/>
      <c r="BC114" s="437"/>
      <c r="BD114" s="437"/>
      <c r="BE114" s="437"/>
      <c r="BF114" s="437"/>
      <c r="BG114" s="437"/>
      <c r="BH114" s="437"/>
      <c r="BI114" s="437"/>
      <c r="BJ114" s="437"/>
      <c r="BK114" s="437"/>
      <c r="BL114" s="437"/>
      <c r="BM114" s="393"/>
      <c r="BO114" s="399">
        <f t="shared" si="33"/>
        <v>0</v>
      </c>
      <c r="BP114" s="399">
        <f t="shared" si="34"/>
        <v>0</v>
      </c>
      <c r="BQ114" s="399">
        <f t="shared" si="35"/>
        <v>0</v>
      </c>
      <c r="BR114" s="399">
        <f t="shared" si="36"/>
        <v>0</v>
      </c>
      <c r="BS114" s="399">
        <f t="shared" si="37"/>
        <v>0</v>
      </c>
      <c r="BT114" s="399">
        <f t="shared" si="38"/>
        <v>0</v>
      </c>
      <c r="BU114" s="399">
        <f t="shared" si="39"/>
        <v>0</v>
      </c>
      <c r="BV114" s="399">
        <f t="shared" si="40"/>
        <v>0</v>
      </c>
      <c r="BW114" s="399">
        <f t="shared" si="41"/>
        <v>0</v>
      </c>
      <c r="BX114" s="399">
        <f t="shared" si="42"/>
        <v>0</v>
      </c>
      <c r="BY114" s="399">
        <f t="shared" si="43"/>
        <v>0</v>
      </c>
      <c r="BZ114" s="399">
        <f t="shared" si="44"/>
        <v>0</v>
      </c>
      <c r="CA114" s="399">
        <f t="shared" si="45"/>
        <v>0</v>
      </c>
      <c r="CB114" s="399">
        <f t="shared" si="46"/>
        <v>0</v>
      </c>
      <c r="CC114" s="399">
        <f t="shared" si="47"/>
        <v>0</v>
      </c>
      <c r="CD114" s="399">
        <f t="shared" si="48"/>
        <v>0</v>
      </c>
      <c r="CE114" s="399">
        <f t="shared" si="49"/>
        <v>0</v>
      </c>
      <c r="CF114" s="399">
        <f t="shared" si="50"/>
        <v>0</v>
      </c>
      <c r="CG114" s="399">
        <f t="shared" si="51"/>
        <v>0</v>
      </c>
      <c r="CH114" s="399">
        <f t="shared" si="52"/>
        <v>0</v>
      </c>
      <c r="CI114" s="399">
        <f t="shared" si="53"/>
        <v>0</v>
      </c>
      <c r="CJ114" s="399">
        <f t="shared" si="54"/>
        <v>0</v>
      </c>
      <c r="CK114" s="399">
        <f t="shared" si="55"/>
        <v>0</v>
      </c>
      <c r="CL114" s="399">
        <f t="shared" si="56"/>
        <v>0</v>
      </c>
      <c r="CM114" s="399">
        <f t="shared" si="57"/>
        <v>0</v>
      </c>
      <c r="CN114" s="399">
        <f t="shared" si="58"/>
        <v>0</v>
      </c>
      <c r="CO114" s="399">
        <f t="shared" si="59"/>
        <v>0</v>
      </c>
      <c r="CP114" s="399">
        <f t="shared" si="60"/>
        <v>0</v>
      </c>
      <c r="CQ114" s="423">
        <f t="shared" si="61"/>
        <v>0</v>
      </c>
      <c r="CS114" s="394" t="e">
        <f t="shared" si="62"/>
        <v>#DIV/0!</v>
      </c>
    </row>
    <row r="115" spans="3:97">
      <c r="C115" s="107"/>
      <c r="D115" s="395"/>
      <c r="E115" s="84"/>
      <c r="F115" s="84"/>
      <c r="G115" s="389"/>
      <c r="H115" s="390"/>
      <c r="I115" s="390"/>
      <c r="J115" s="390"/>
      <c r="K115" s="390"/>
      <c r="L115" s="390"/>
      <c r="M115" s="390"/>
      <c r="N115" s="390"/>
      <c r="O115" s="390"/>
      <c r="P115" s="390"/>
      <c r="Q115" s="390"/>
      <c r="R115" s="390"/>
      <c r="S115" s="390"/>
      <c r="T115" s="390"/>
      <c r="U115" s="390"/>
      <c r="V115" s="390"/>
      <c r="W115" s="390"/>
      <c r="X115" s="390"/>
      <c r="Y115" s="390"/>
      <c r="Z115" s="390"/>
      <c r="AA115" s="390"/>
      <c r="AB115" s="390"/>
      <c r="AC115" s="390"/>
      <c r="AD115" s="390"/>
      <c r="AE115" s="390"/>
      <c r="AF115" s="390"/>
      <c r="AG115" s="390"/>
      <c r="AH115" s="390"/>
      <c r="AI115" s="391"/>
      <c r="AK115" s="437"/>
      <c r="AL115" s="437"/>
      <c r="AM115" s="437"/>
      <c r="AN115" s="437"/>
      <c r="AO115" s="437"/>
      <c r="AP115" s="437"/>
      <c r="AQ115" s="437"/>
      <c r="AR115" s="437"/>
      <c r="AS115" s="437"/>
      <c r="AT115" s="437"/>
      <c r="AU115" s="437"/>
      <c r="AV115" s="437"/>
      <c r="AW115" s="437"/>
      <c r="AX115" s="437"/>
      <c r="AY115" s="437"/>
      <c r="AZ115" s="437"/>
      <c r="BA115" s="437"/>
      <c r="BB115" s="437"/>
      <c r="BC115" s="437"/>
      <c r="BD115" s="437"/>
      <c r="BE115" s="437"/>
      <c r="BF115" s="437"/>
      <c r="BG115" s="437"/>
      <c r="BH115" s="437"/>
      <c r="BI115" s="437"/>
      <c r="BJ115" s="437"/>
      <c r="BK115" s="437"/>
      <c r="BL115" s="437"/>
      <c r="BM115" s="393"/>
      <c r="BO115" s="399">
        <f t="shared" si="33"/>
        <v>0</v>
      </c>
      <c r="BP115" s="399">
        <f t="shared" si="34"/>
        <v>0</v>
      </c>
      <c r="BQ115" s="399">
        <f t="shared" si="35"/>
        <v>0</v>
      </c>
      <c r="BR115" s="399">
        <f t="shared" si="36"/>
        <v>0</v>
      </c>
      <c r="BS115" s="399">
        <f t="shared" si="37"/>
        <v>0</v>
      </c>
      <c r="BT115" s="399">
        <f t="shared" si="38"/>
        <v>0</v>
      </c>
      <c r="BU115" s="399">
        <f t="shared" si="39"/>
        <v>0</v>
      </c>
      <c r="BV115" s="399">
        <f t="shared" si="40"/>
        <v>0</v>
      </c>
      <c r="BW115" s="399">
        <f t="shared" si="41"/>
        <v>0</v>
      </c>
      <c r="BX115" s="399">
        <f t="shared" si="42"/>
        <v>0</v>
      </c>
      <c r="BY115" s="399">
        <f t="shared" si="43"/>
        <v>0</v>
      </c>
      <c r="BZ115" s="399">
        <f t="shared" si="44"/>
        <v>0</v>
      </c>
      <c r="CA115" s="399">
        <f t="shared" si="45"/>
        <v>0</v>
      </c>
      <c r="CB115" s="399">
        <f t="shared" si="46"/>
        <v>0</v>
      </c>
      <c r="CC115" s="399">
        <f t="shared" si="47"/>
        <v>0</v>
      </c>
      <c r="CD115" s="399">
        <f t="shared" si="48"/>
        <v>0</v>
      </c>
      <c r="CE115" s="399">
        <f t="shared" si="49"/>
        <v>0</v>
      </c>
      <c r="CF115" s="399">
        <f t="shared" si="50"/>
        <v>0</v>
      </c>
      <c r="CG115" s="399">
        <f t="shared" si="51"/>
        <v>0</v>
      </c>
      <c r="CH115" s="399">
        <f t="shared" si="52"/>
        <v>0</v>
      </c>
      <c r="CI115" s="399">
        <f t="shared" si="53"/>
        <v>0</v>
      </c>
      <c r="CJ115" s="399">
        <f t="shared" si="54"/>
        <v>0</v>
      </c>
      <c r="CK115" s="399">
        <f t="shared" si="55"/>
        <v>0</v>
      </c>
      <c r="CL115" s="399">
        <f t="shared" si="56"/>
        <v>0</v>
      </c>
      <c r="CM115" s="399">
        <f t="shared" si="57"/>
        <v>0</v>
      </c>
      <c r="CN115" s="399">
        <f t="shared" si="58"/>
        <v>0</v>
      </c>
      <c r="CO115" s="399">
        <f t="shared" si="59"/>
        <v>0</v>
      </c>
      <c r="CP115" s="399">
        <f t="shared" si="60"/>
        <v>0</v>
      </c>
      <c r="CQ115" s="423">
        <f t="shared" si="61"/>
        <v>0</v>
      </c>
      <c r="CS115" s="394" t="e">
        <f t="shared" si="62"/>
        <v>#DIV/0!</v>
      </c>
    </row>
    <row r="116" spans="3:97">
      <c r="C116" s="107"/>
      <c r="D116" s="395"/>
      <c r="E116" s="84"/>
      <c r="F116" s="84"/>
      <c r="G116" s="389"/>
      <c r="H116" s="390"/>
      <c r="I116" s="390"/>
      <c r="J116" s="390"/>
      <c r="K116" s="390"/>
      <c r="L116" s="390"/>
      <c r="M116" s="390"/>
      <c r="N116" s="390"/>
      <c r="O116" s="390"/>
      <c r="P116" s="390"/>
      <c r="Q116" s="390"/>
      <c r="R116" s="390"/>
      <c r="S116" s="390"/>
      <c r="T116" s="390"/>
      <c r="U116" s="390"/>
      <c r="V116" s="390"/>
      <c r="W116" s="390"/>
      <c r="X116" s="390"/>
      <c r="Y116" s="390"/>
      <c r="Z116" s="390"/>
      <c r="AA116" s="390"/>
      <c r="AB116" s="390"/>
      <c r="AC116" s="390"/>
      <c r="AD116" s="390"/>
      <c r="AE116" s="390"/>
      <c r="AF116" s="390"/>
      <c r="AG116" s="390"/>
      <c r="AH116" s="390"/>
      <c r="AI116" s="391"/>
      <c r="AK116" s="437"/>
      <c r="AL116" s="437"/>
      <c r="AM116" s="437"/>
      <c r="AN116" s="437"/>
      <c r="AO116" s="437"/>
      <c r="AP116" s="437"/>
      <c r="AQ116" s="437"/>
      <c r="AR116" s="437"/>
      <c r="AS116" s="437"/>
      <c r="AT116" s="437"/>
      <c r="AU116" s="437"/>
      <c r="AV116" s="437"/>
      <c r="AW116" s="437"/>
      <c r="AX116" s="437"/>
      <c r="AY116" s="437"/>
      <c r="AZ116" s="437"/>
      <c r="BA116" s="437"/>
      <c r="BB116" s="437"/>
      <c r="BC116" s="437"/>
      <c r="BD116" s="437"/>
      <c r="BE116" s="437"/>
      <c r="BF116" s="437"/>
      <c r="BG116" s="437"/>
      <c r="BH116" s="437"/>
      <c r="BI116" s="437"/>
      <c r="BJ116" s="437"/>
      <c r="BK116" s="437"/>
      <c r="BL116" s="437"/>
      <c r="BM116" s="393"/>
      <c r="BO116" s="399">
        <f t="shared" si="33"/>
        <v>0</v>
      </c>
      <c r="BP116" s="399">
        <f t="shared" si="34"/>
        <v>0</v>
      </c>
      <c r="BQ116" s="399">
        <f t="shared" si="35"/>
        <v>0</v>
      </c>
      <c r="BR116" s="399">
        <f t="shared" si="36"/>
        <v>0</v>
      </c>
      <c r="BS116" s="399">
        <f t="shared" si="37"/>
        <v>0</v>
      </c>
      <c r="BT116" s="399">
        <f t="shared" si="38"/>
        <v>0</v>
      </c>
      <c r="BU116" s="399">
        <f t="shared" si="39"/>
        <v>0</v>
      </c>
      <c r="BV116" s="399">
        <f t="shared" si="40"/>
        <v>0</v>
      </c>
      <c r="BW116" s="399">
        <f t="shared" si="41"/>
        <v>0</v>
      </c>
      <c r="BX116" s="399">
        <f t="shared" si="42"/>
        <v>0</v>
      </c>
      <c r="BY116" s="399">
        <f t="shared" si="43"/>
        <v>0</v>
      </c>
      <c r="BZ116" s="399">
        <f t="shared" si="44"/>
        <v>0</v>
      </c>
      <c r="CA116" s="399">
        <f t="shared" si="45"/>
        <v>0</v>
      </c>
      <c r="CB116" s="399">
        <f t="shared" si="46"/>
        <v>0</v>
      </c>
      <c r="CC116" s="399">
        <f t="shared" si="47"/>
        <v>0</v>
      </c>
      <c r="CD116" s="399">
        <f t="shared" si="48"/>
        <v>0</v>
      </c>
      <c r="CE116" s="399">
        <f t="shared" si="49"/>
        <v>0</v>
      </c>
      <c r="CF116" s="399">
        <f t="shared" si="50"/>
        <v>0</v>
      </c>
      <c r="CG116" s="399">
        <f t="shared" si="51"/>
        <v>0</v>
      </c>
      <c r="CH116" s="399">
        <f t="shared" si="52"/>
        <v>0</v>
      </c>
      <c r="CI116" s="399">
        <f t="shared" si="53"/>
        <v>0</v>
      </c>
      <c r="CJ116" s="399">
        <f t="shared" si="54"/>
        <v>0</v>
      </c>
      <c r="CK116" s="399">
        <f t="shared" si="55"/>
        <v>0</v>
      </c>
      <c r="CL116" s="399">
        <f t="shared" si="56"/>
        <v>0</v>
      </c>
      <c r="CM116" s="399">
        <f t="shared" si="57"/>
        <v>0</v>
      </c>
      <c r="CN116" s="399">
        <f t="shared" si="58"/>
        <v>0</v>
      </c>
      <c r="CO116" s="399">
        <f t="shared" si="59"/>
        <v>0</v>
      </c>
      <c r="CP116" s="399">
        <f t="shared" si="60"/>
        <v>0</v>
      </c>
      <c r="CQ116" s="423">
        <f t="shared" si="61"/>
        <v>0</v>
      </c>
      <c r="CS116" s="394" t="e">
        <f t="shared" si="62"/>
        <v>#DIV/0!</v>
      </c>
    </row>
    <row r="117" spans="3:97">
      <c r="C117" s="107"/>
      <c r="D117" s="395"/>
      <c r="E117" s="84"/>
      <c r="F117" s="84"/>
      <c r="G117" s="389"/>
      <c r="H117" s="390"/>
      <c r="I117" s="390"/>
      <c r="J117" s="390"/>
      <c r="K117" s="390"/>
      <c r="L117" s="390"/>
      <c r="M117" s="390"/>
      <c r="N117" s="390"/>
      <c r="O117" s="390"/>
      <c r="P117" s="390"/>
      <c r="Q117" s="390"/>
      <c r="R117" s="390"/>
      <c r="S117" s="390"/>
      <c r="T117" s="390"/>
      <c r="U117" s="390"/>
      <c r="V117" s="390"/>
      <c r="W117" s="390"/>
      <c r="X117" s="390"/>
      <c r="Y117" s="390"/>
      <c r="Z117" s="390"/>
      <c r="AA117" s="390"/>
      <c r="AB117" s="390"/>
      <c r="AC117" s="390"/>
      <c r="AD117" s="390"/>
      <c r="AE117" s="390"/>
      <c r="AF117" s="390"/>
      <c r="AG117" s="390"/>
      <c r="AH117" s="390"/>
      <c r="AI117" s="391"/>
      <c r="AK117" s="437"/>
      <c r="AL117" s="437"/>
      <c r="AM117" s="437"/>
      <c r="AN117" s="437"/>
      <c r="AO117" s="437"/>
      <c r="AP117" s="437"/>
      <c r="AQ117" s="437"/>
      <c r="AR117" s="437"/>
      <c r="AS117" s="437"/>
      <c r="AT117" s="437"/>
      <c r="AU117" s="437"/>
      <c r="AV117" s="437"/>
      <c r="AW117" s="437"/>
      <c r="AX117" s="437"/>
      <c r="AY117" s="437"/>
      <c r="AZ117" s="437"/>
      <c r="BA117" s="437"/>
      <c r="BB117" s="437"/>
      <c r="BC117" s="437"/>
      <c r="BD117" s="437"/>
      <c r="BE117" s="437"/>
      <c r="BF117" s="437"/>
      <c r="BG117" s="437"/>
      <c r="BH117" s="437"/>
      <c r="BI117" s="437"/>
      <c r="BJ117" s="437"/>
      <c r="BK117" s="437"/>
      <c r="BL117" s="437"/>
      <c r="BM117" s="393"/>
      <c r="BO117" s="399">
        <f t="shared" si="33"/>
        <v>0</v>
      </c>
      <c r="BP117" s="399">
        <f t="shared" si="34"/>
        <v>0</v>
      </c>
      <c r="BQ117" s="399">
        <f t="shared" si="35"/>
        <v>0</v>
      </c>
      <c r="BR117" s="399">
        <f t="shared" si="36"/>
        <v>0</v>
      </c>
      <c r="BS117" s="399">
        <f t="shared" si="37"/>
        <v>0</v>
      </c>
      <c r="BT117" s="399">
        <f t="shared" si="38"/>
        <v>0</v>
      </c>
      <c r="BU117" s="399">
        <f t="shared" si="39"/>
        <v>0</v>
      </c>
      <c r="BV117" s="399">
        <f t="shared" si="40"/>
        <v>0</v>
      </c>
      <c r="BW117" s="399">
        <f t="shared" si="41"/>
        <v>0</v>
      </c>
      <c r="BX117" s="399">
        <f t="shared" si="42"/>
        <v>0</v>
      </c>
      <c r="BY117" s="399">
        <f t="shared" si="43"/>
        <v>0</v>
      </c>
      <c r="BZ117" s="399">
        <f t="shared" si="44"/>
        <v>0</v>
      </c>
      <c r="CA117" s="399">
        <f t="shared" si="45"/>
        <v>0</v>
      </c>
      <c r="CB117" s="399">
        <f t="shared" si="46"/>
        <v>0</v>
      </c>
      <c r="CC117" s="399">
        <f t="shared" si="47"/>
        <v>0</v>
      </c>
      <c r="CD117" s="399">
        <f t="shared" si="48"/>
        <v>0</v>
      </c>
      <c r="CE117" s="399">
        <f t="shared" si="49"/>
        <v>0</v>
      </c>
      <c r="CF117" s="399">
        <f t="shared" si="50"/>
        <v>0</v>
      </c>
      <c r="CG117" s="399">
        <f t="shared" si="51"/>
        <v>0</v>
      </c>
      <c r="CH117" s="399">
        <f t="shared" si="52"/>
        <v>0</v>
      </c>
      <c r="CI117" s="399">
        <f t="shared" si="53"/>
        <v>0</v>
      </c>
      <c r="CJ117" s="399">
        <f t="shared" si="54"/>
        <v>0</v>
      </c>
      <c r="CK117" s="399">
        <f t="shared" si="55"/>
        <v>0</v>
      </c>
      <c r="CL117" s="399">
        <f t="shared" si="56"/>
        <v>0</v>
      </c>
      <c r="CM117" s="399">
        <f t="shared" si="57"/>
        <v>0</v>
      </c>
      <c r="CN117" s="399">
        <f t="shared" si="58"/>
        <v>0</v>
      </c>
      <c r="CO117" s="399">
        <f t="shared" si="59"/>
        <v>0</v>
      </c>
      <c r="CP117" s="399">
        <f t="shared" si="60"/>
        <v>0</v>
      </c>
      <c r="CQ117" s="423">
        <f t="shared" si="61"/>
        <v>0</v>
      </c>
      <c r="CS117" s="394" t="e">
        <f t="shared" si="62"/>
        <v>#DIV/0!</v>
      </c>
    </row>
    <row r="118" spans="3:97">
      <c r="C118" s="107"/>
      <c r="D118" s="395"/>
      <c r="E118" s="84"/>
      <c r="F118" s="84"/>
      <c r="G118" s="389"/>
      <c r="H118" s="390"/>
      <c r="I118" s="390"/>
      <c r="J118" s="390"/>
      <c r="K118" s="390"/>
      <c r="L118" s="390"/>
      <c r="M118" s="390"/>
      <c r="N118" s="390"/>
      <c r="O118" s="390"/>
      <c r="P118" s="390"/>
      <c r="Q118" s="390"/>
      <c r="R118" s="390"/>
      <c r="S118" s="390"/>
      <c r="T118" s="390"/>
      <c r="U118" s="390"/>
      <c r="V118" s="390"/>
      <c r="W118" s="390"/>
      <c r="X118" s="390"/>
      <c r="Y118" s="390"/>
      <c r="Z118" s="390"/>
      <c r="AA118" s="390"/>
      <c r="AB118" s="390"/>
      <c r="AC118" s="390"/>
      <c r="AD118" s="390"/>
      <c r="AE118" s="390"/>
      <c r="AF118" s="390"/>
      <c r="AG118" s="390"/>
      <c r="AH118" s="390"/>
      <c r="AI118" s="391"/>
      <c r="AK118" s="437"/>
      <c r="AL118" s="437"/>
      <c r="AM118" s="437"/>
      <c r="AN118" s="437"/>
      <c r="AO118" s="437"/>
      <c r="AP118" s="437"/>
      <c r="AQ118" s="437"/>
      <c r="AR118" s="437"/>
      <c r="AS118" s="437"/>
      <c r="AT118" s="437"/>
      <c r="AU118" s="437"/>
      <c r="AV118" s="437"/>
      <c r="AW118" s="437"/>
      <c r="AX118" s="437"/>
      <c r="AY118" s="437"/>
      <c r="AZ118" s="437"/>
      <c r="BA118" s="437"/>
      <c r="BB118" s="437"/>
      <c r="BC118" s="437"/>
      <c r="BD118" s="437"/>
      <c r="BE118" s="437"/>
      <c r="BF118" s="437"/>
      <c r="BG118" s="437"/>
      <c r="BH118" s="437"/>
      <c r="BI118" s="437"/>
      <c r="BJ118" s="437"/>
      <c r="BK118" s="437"/>
      <c r="BL118" s="437"/>
      <c r="BM118" s="393"/>
      <c r="BO118" s="399">
        <f t="shared" si="33"/>
        <v>0</v>
      </c>
      <c r="BP118" s="399">
        <f t="shared" si="34"/>
        <v>0</v>
      </c>
      <c r="BQ118" s="399">
        <f t="shared" si="35"/>
        <v>0</v>
      </c>
      <c r="BR118" s="399">
        <f t="shared" si="36"/>
        <v>0</v>
      </c>
      <c r="BS118" s="399">
        <f t="shared" si="37"/>
        <v>0</v>
      </c>
      <c r="BT118" s="399">
        <f t="shared" si="38"/>
        <v>0</v>
      </c>
      <c r="BU118" s="399">
        <f t="shared" si="39"/>
        <v>0</v>
      </c>
      <c r="BV118" s="399">
        <f t="shared" si="40"/>
        <v>0</v>
      </c>
      <c r="BW118" s="399">
        <f t="shared" si="41"/>
        <v>0</v>
      </c>
      <c r="BX118" s="399">
        <f t="shared" si="42"/>
        <v>0</v>
      </c>
      <c r="BY118" s="399">
        <f t="shared" si="43"/>
        <v>0</v>
      </c>
      <c r="BZ118" s="399">
        <f t="shared" si="44"/>
        <v>0</v>
      </c>
      <c r="CA118" s="399">
        <f t="shared" si="45"/>
        <v>0</v>
      </c>
      <c r="CB118" s="399">
        <f t="shared" si="46"/>
        <v>0</v>
      </c>
      <c r="CC118" s="399">
        <f t="shared" si="47"/>
        <v>0</v>
      </c>
      <c r="CD118" s="399">
        <f t="shared" si="48"/>
        <v>0</v>
      </c>
      <c r="CE118" s="399">
        <f t="shared" si="49"/>
        <v>0</v>
      </c>
      <c r="CF118" s="399">
        <f t="shared" si="50"/>
        <v>0</v>
      </c>
      <c r="CG118" s="399">
        <f t="shared" si="51"/>
        <v>0</v>
      </c>
      <c r="CH118" s="399">
        <f t="shared" si="52"/>
        <v>0</v>
      </c>
      <c r="CI118" s="399">
        <f t="shared" si="53"/>
        <v>0</v>
      </c>
      <c r="CJ118" s="399">
        <f t="shared" si="54"/>
        <v>0</v>
      </c>
      <c r="CK118" s="399">
        <f t="shared" si="55"/>
        <v>0</v>
      </c>
      <c r="CL118" s="399">
        <f t="shared" si="56"/>
        <v>0</v>
      </c>
      <c r="CM118" s="399">
        <f t="shared" si="57"/>
        <v>0</v>
      </c>
      <c r="CN118" s="399">
        <f t="shared" si="58"/>
        <v>0</v>
      </c>
      <c r="CO118" s="399">
        <f t="shared" si="59"/>
        <v>0</v>
      </c>
      <c r="CP118" s="399">
        <f t="shared" si="60"/>
        <v>0</v>
      </c>
      <c r="CQ118" s="423">
        <f t="shared" si="61"/>
        <v>0</v>
      </c>
      <c r="CS118" s="394" t="e">
        <f t="shared" si="62"/>
        <v>#DIV/0!</v>
      </c>
    </row>
    <row r="119" spans="3:97">
      <c r="C119" s="107"/>
      <c r="D119" s="395"/>
      <c r="E119" s="84"/>
      <c r="F119" s="84"/>
      <c r="G119" s="389"/>
      <c r="H119" s="390"/>
      <c r="I119" s="390"/>
      <c r="J119" s="390"/>
      <c r="K119" s="390"/>
      <c r="L119" s="390"/>
      <c r="M119" s="390"/>
      <c r="N119" s="390"/>
      <c r="O119" s="390"/>
      <c r="P119" s="390"/>
      <c r="Q119" s="390"/>
      <c r="R119" s="390"/>
      <c r="S119" s="390"/>
      <c r="T119" s="390"/>
      <c r="U119" s="390"/>
      <c r="V119" s="390"/>
      <c r="W119" s="390"/>
      <c r="X119" s="390"/>
      <c r="Y119" s="390"/>
      <c r="Z119" s="390"/>
      <c r="AA119" s="390"/>
      <c r="AB119" s="390"/>
      <c r="AC119" s="390"/>
      <c r="AD119" s="390"/>
      <c r="AE119" s="390"/>
      <c r="AF119" s="390"/>
      <c r="AG119" s="390"/>
      <c r="AH119" s="390"/>
      <c r="AI119" s="391"/>
      <c r="AK119" s="437"/>
      <c r="AL119" s="437"/>
      <c r="AM119" s="437"/>
      <c r="AN119" s="437"/>
      <c r="AO119" s="437"/>
      <c r="AP119" s="437"/>
      <c r="AQ119" s="437"/>
      <c r="AR119" s="437"/>
      <c r="AS119" s="437"/>
      <c r="AT119" s="437"/>
      <c r="AU119" s="437"/>
      <c r="AV119" s="437"/>
      <c r="AW119" s="437"/>
      <c r="AX119" s="437"/>
      <c r="AY119" s="437"/>
      <c r="AZ119" s="437"/>
      <c r="BA119" s="437"/>
      <c r="BB119" s="437"/>
      <c r="BC119" s="437"/>
      <c r="BD119" s="437"/>
      <c r="BE119" s="437"/>
      <c r="BF119" s="437"/>
      <c r="BG119" s="437"/>
      <c r="BH119" s="437"/>
      <c r="BI119" s="437"/>
      <c r="BJ119" s="437"/>
      <c r="BK119" s="437"/>
      <c r="BL119" s="437"/>
      <c r="BM119" s="393"/>
      <c r="BO119" s="399">
        <f t="shared" si="33"/>
        <v>0</v>
      </c>
      <c r="BP119" s="399">
        <f t="shared" si="34"/>
        <v>0</v>
      </c>
      <c r="BQ119" s="399">
        <f t="shared" si="35"/>
        <v>0</v>
      </c>
      <c r="BR119" s="399">
        <f t="shared" si="36"/>
        <v>0</v>
      </c>
      <c r="BS119" s="399">
        <f t="shared" si="37"/>
        <v>0</v>
      </c>
      <c r="BT119" s="399">
        <f t="shared" si="38"/>
        <v>0</v>
      </c>
      <c r="BU119" s="399">
        <f t="shared" si="39"/>
        <v>0</v>
      </c>
      <c r="BV119" s="399">
        <f t="shared" si="40"/>
        <v>0</v>
      </c>
      <c r="BW119" s="399">
        <f t="shared" si="41"/>
        <v>0</v>
      </c>
      <c r="BX119" s="399">
        <f t="shared" si="42"/>
        <v>0</v>
      </c>
      <c r="BY119" s="399">
        <f t="shared" si="43"/>
        <v>0</v>
      </c>
      <c r="BZ119" s="399">
        <f t="shared" si="44"/>
        <v>0</v>
      </c>
      <c r="CA119" s="399">
        <f t="shared" si="45"/>
        <v>0</v>
      </c>
      <c r="CB119" s="399">
        <f t="shared" si="46"/>
        <v>0</v>
      </c>
      <c r="CC119" s="399">
        <f t="shared" si="47"/>
        <v>0</v>
      </c>
      <c r="CD119" s="399">
        <f t="shared" si="48"/>
        <v>0</v>
      </c>
      <c r="CE119" s="399">
        <f t="shared" si="49"/>
        <v>0</v>
      </c>
      <c r="CF119" s="399">
        <f t="shared" si="50"/>
        <v>0</v>
      </c>
      <c r="CG119" s="399">
        <f t="shared" si="51"/>
        <v>0</v>
      </c>
      <c r="CH119" s="399">
        <f t="shared" si="52"/>
        <v>0</v>
      </c>
      <c r="CI119" s="399">
        <f t="shared" si="53"/>
        <v>0</v>
      </c>
      <c r="CJ119" s="399">
        <f t="shared" si="54"/>
        <v>0</v>
      </c>
      <c r="CK119" s="399">
        <f t="shared" si="55"/>
        <v>0</v>
      </c>
      <c r="CL119" s="399">
        <f t="shared" si="56"/>
        <v>0</v>
      </c>
      <c r="CM119" s="399">
        <f t="shared" si="57"/>
        <v>0</v>
      </c>
      <c r="CN119" s="399">
        <f t="shared" si="58"/>
        <v>0</v>
      </c>
      <c r="CO119" s="399">
        <f t="shared" si="59"/>
        <v>0</v>
      </c>
      <c r="CP119" s="399">
        <f t="shared" si="60"/>
        <v>0</v>
      </c>
      <c r="CQ119" s="423">
        <f t="shared" si="61"/>
        <v>0</v>
      </c>
      <c r="CS119" s="394" t="e">
        <f t="shared" si="62"/>
        <v>#DIV/0!</v>
      </c>
    </row>
    <row r="120" spans="3:97">
      <c r="C120" s="107"/>
      <c r="D120" s="395"/>
      <c r="E120" s="84"/>
      <c r="F120" s="84"/>
      <c r="G120" s="389"/>
      <c r="H120" s="390"/>
      <c r="I120" s="390"/>
      <c r="J120" s="390"/>
      <c r="K120" s="390"/>
      <c r="L120" s="390"/>
      <c r="M120" s="390"/>
      <c r="N120" s="390"/>
      <c r="O120" s="390"/>
      <c r="P120" s="390"/>
      <c r="Q120" s="390"/>
      <c r="R120" s="390"/>
      <c r="S120" s="390"/>
      <c r="T120" s="390"/>
      <c r="U120" s="390"/>
      <c r="V120" s="390"/>
      <c r="W120" s="390"/>
      <c r="X120" s="390"/>
      <c r="Y120" s="390"/>
      <c r="Z120" s="390"/>
      <c r="AA120" s="390"/>
      <c r="AB120" s="390"/>
      <c r="AC120" s="390"/>
      <c r="AD120" s="390"/>
      <c r="AE120" s="390"/>
      <c r="AF120" s="390"/>
      <c r="AG120" s="390"/>
      <c r="AH120" s="390"/>
      <c r="AI120" s="391"/>
      <c r="AK120" s="437"/>
      <c r="AL120" s="437"/>
      <c r="AM120" s="437"/>
      <c r="AN120" s="437"/>
      <c r="AO120" s="437"/>
      <c r="AP120" s="437"/>
      <c r="AQ120" s="437"/>
      <c r="AR120" s="437"/>
      <c r="AS120" s="437"/>
      <c r="AT120" s="437"/>
      <c r="AU120" s="437"/>
      <c r="AV120" s="437"/>
      <c r="AW120" s="437"/>
      <c r="AX120" s="437"/>
      <c r="AY120" s="437"/>
      <c r="AZ120" s="437"/>
      <c r="BA120" s="437"/>
      <c r="BB120" s="437"/>
      <c r="BC120" s="437"/>
      <c r="BD120" s="437"/>
      <c r="BE120" s="437"/>
      <c r="BF120" s="437"/>
      <c r="BG120" s="437"/>
      <c r="BH120" s="437"/>
      <c r="BI120" s="437"/>
      <c r="BJ120" s="437"/>
      <c r="BK120" s="437"/>
      <c r="BL120" s="437"/>
      <c r="BM120" s="393"/>
      <c r="BO120" s="399">
        <f t="shared" si="33"/>
        <v>0</v>
      </c>
      <c r="BP120" s="399">
        <f t="shared" si="34"/>
        <v>0</v>
      </c>
      <c r="BQ120" s="399">
        <f t="shared" si="35"/>
        <v>0</v>
      </c>
      <c r="BR120" s="399">
        <f t="shared" si="36"/>
        <v>0</v>
      </c>
      <c r="BS120" s="399">
        <f t="shared" si="37"/>
        <v>0</v>
      </c>
      <c r="BT120" s="399">
        <f t="shared" si="38"/>
        <v>0</v>
      </c>
      <c r="BU120" s="399">
        <f t="shared" si="39"/>
        <v>0</v>
      </c>
      <c r="BV120" s="399">
        <f t="shared" si="40"/>
        <v>0</v>
      </c>
      <c r="BW120" s="399">
        <f t="shared" si="41"/>
        <v>0</v>
      </c>
      <c r="BX120" s="399">
        <f t="shared" si="42"/>
        <v>0</v>
      </c>
      <c r="BY120" s="399">
        <f t="shared" si="43"/>
        <v>0</v>
      </c>
      <c r="BZ120" s="399">
        <f t="shared" si="44"/>
        <v>0</v>
      </c>
      <c r="CA120" s="399">
        <f t="shared" si="45"/>
        <v>0</v>
      </c>
      <c r="CB120" s="399">
        <f t="shared" si="46"/>
        <v>0</v>
      </c>
      <c r="CC120" s="399">
        <f t="shared" si="47"/>
        <v>0</v>
      </c>
      <c r="CD120" s="399">
        <f t="shared" si="48"/>
        <v>0</v>
      </c>
      <c r="CE120" s="399">
        <f t="shared" si="49"/>
        <v>0</v>
      </c>
      <c r="CF120" s="399">
        <f t="shared" si="50"/>
        <v>0</v>
      </c>
      <c r="CG120" s="399">
        <f t="shared" si="51"/>
        <v>0</v>
      </c>
      <c r="CH120" s="399">
        <f t="shared" si="52"/>
        <v>0</v>
      </c>
      <c r="CI120" s="399">
        <f t="shared" si="53"/>
        <v>0</v>
      </c>
      <c r="CJ120" s="399">
        <f t="shared" si="54"/>
        <v>0</v>
      </c>
      <c r="CK120" s="399">
        <f t="shared" si="55"/>
        <v>0</v>
      </c>
      <c r="CL120" s="399">
        <f t="shared" si="56"/>
        <v>0</v>
      </c>
      <c r="CM120" s="399">
        <f t="shared" si="57"/>
        <v>0</v>
      </c>
      <c r="CN120" s="399">
        <f t="shared" si="58"/>
        <v>0</v>
      </c>
      <c r="CO120" s="399">
        <f t="shared" si="59"/>
        <v>0</v>
      </c>
      <c r="CP120" s="399">
        <f t="shared" si="60"/>
        <v>0</v>
      </c>
      <c r="CQ120" s="423">
        <f t="shared" si="61"/>
        <v>0</v>
      </c>
      <c r="CS120" s="394" t="e">
        <f t="shared" si="62"/>
        <v>#DIV/0!</v>
      </c>
    </row>
    <row r="121" spans="3:97">
      <c r="C121" s="107"/>
      <c r="D121" s="395"/>
      <c r="E121" s="84"/>
      <c r="F121" s="84"/>
      <c r="G121" s="389"/>
      <c r="H121" s="390"/>
      <c r="I121" s="390"/>
      <c r="J121" s="390"/>
      <c r="K121" s="390"/>
      <c r="L121" s="390"/>
      <c r="M121" s="390"/>
      <c r="N121" s="390"/>
      <c r="O121" s="390"/>
      <c r="P121" s="390"/>
      <c r="Q121" s="390"/>
      <c r="R121" s="390"/>
      <c r="S121" s="390"/>
      <c r="T121" s="390"/>
      <c r="U121" s="390"/>
      <c r="V121" s="390"/>
      <c r="W121" s="390"/>
      <c r="X121" s="390"/>
      <c r="Y121" s="390"/>
      <c r="Z121" s="390"/>
      <c r="AA121" s="390"/>
      <c r="AB121" s="390"/>
      <c r="AC121" s="390"/>
      <c r="AD121" s="390"/>
      <c r="AE121" s="390"/>
      <c r="AF121" s="390"/>
      <c r="AG121" s="390"/>
      <c r="AH121" s="390"/>
      <c r="AI121" s="391"/>
      <c r="AK121" s="437"/>
      <c r="AL121" s="437"/>
      <c r="AM121" s="437"/>
      <c r="AN121" s="437"/>
      <c r="AO121" s="437"/>
      <c r="AP121" s="437"/>
      <c r="AQ121" s="437"/>
      <c r="AR121" s="437"/>
      <c r="AS121" s="437"/>
      <c r="AT121" s="437"/>
      <c r="AU121" s="437"/>
      <c r="AV121" s="437"/>
      <c r="AW121" s="437"/>
      <c r="AX121" s="437"/>
      <c r="AY121" s="437"/>
      <c r="AZ121" s="437"/>
      <c r="BA121" s="437"/>
      <c r="BB121" s="437"/>
      <c r="BC121" s="437"/>
      <c r="BD121" s="437"/>
      <c r="BE121" s="437"/>
      <c r="BF121" s="437"/>
      <c r="BG121" s="437"/>
      <c r="BH121" s="437"/>
      <c r="BI121" s="437"/>
      <c r="BJ121" s="437"/>
      <c r="BK121" s="437"/>
      <c r="BL121" s="437"/>
      <c r="BM121" s="393"/>
      <c r="BO121" s="399">
        <f t="shared" si="33"/>
        <v>0</v>
      </c>
      <c r="BP121" s="399">
        <f t="shared" si="34"/>
        <v>0</v>
      </c>
      <c r="BQ121" s="399">
        <f t="shared" si="35"/>
        <v>0</v>
      </c>
      <c r="BR121" s="399">
        <f t="shared" si="36"/>
        <v>0</v>
      </c>
      <c r="BS121" s="399">
        <f t="shared" si="37"/>
        <v>0</v>
      </c>
      <c r="BT121" s="399">
        <f t="shared" si="38"/>
        <v>0</v>
      </c>
      <c r="BU121" s="399">
        <f t="shared" si="39"/>
        <v>0</v>
      </c>
      <c r="BV121" s="399">
        <f t="shared" si="40"/>
        <v>0</v>
      </c>
      <c r="BW121" s="399">
        <f t="shared" si="41"/>
        <v>0</v>
      </c>
      <c r="BX121" s="399">
        <f t="shared" si="42"/>
        <v>0</v>
      </c>
      <c r="BY121" s="399">
        <f t="shared" si="43"/>
        <v>0</v>
      </c>
      <c r="BZ121" s="399">
        <f t="shared" si="44"/>
        <v>0</v>
      </c>
      <c r="CA121" s="399">
        <f t="shared" si="45"/>
        <v>0</v>
      </c>
      <c r="CB121" s="399">
        <f t="shared" si="46"/>
        <v>0</v>
      </c>
      <c r="CC121" s="399">
        <f t="shared" si="47"/>
        <v>0</v>
      </c>
      <c r="CD121" s="399">
        <f t="shared" si="48"/>
        <v>0</v>
      </c>
      <c r="CE121" s="399">
        <f t="shared" si="49"/>
        <v>0</v>
      </c>
      <c r="CF121" s="399">
        <f t="shared" si="50"/>
        <v>0</v>
      </c>
      <c r="CG121" s="399">
        <f t="shared" si="51"/>
        <v>0</v>
      </c>
      <c r="CH121" s="399">
        <f t="shared" si="52"/>
        <v>0</v>
      </c>
      <c r="CI121" s="399">
        <f t="shared" si="53"/>
        <v>0</v>
      </c>
      <c r="CJ121" s="399">
        <f t="shared" si="54"/>
        <v>0</v>
      </c>
      <c r="CK121" s="399">
        <f t="shared" si="55"/>
        <v>0</v>
      </c>
      <c r="CL121" s="399">
        <f t="shared" si="56"/>
        <v>0</v>
      </c>
      <c r="CM121" s="399">
        <f t="shared" si="57"/>
        <v>0</v>
      </c>
      <c r="CN121" s="399">
        <f t="shared" si="58"/>
        <v>0</v>
      </c>
      <c r="CO121" s="399">
        <f t="shared" si="59"/>
        <v>0</v>
      </c>
      <c r="CP121" s="399">
        <f t="shared" si="60"/>
        <v>0</v>
      </c>
      <c r="CQ121" s="423">
        <f t="shared" si="61"/>
        <v>0</v>
      </c>
      <c r="CS121" s="394" t="e">
        <f t="shared" si="62"/>
        <v>#DIV/0!</v>
      </c>
    </row>
    <row r="122" spans="3:97">
      <c r="C122" s="107"/>
      <c r="D122" s="395"/>
      <c r="E122" s="84"/>
      <c r="F122" s="84"/>
      <c r="G122" s="389"/>
      <c r="H122" s="390"/>
      <c r="I122" s="390"/>
      <c r="J122" s="390"/>
      <c r="K122" s="390"/>
      <c r="L122" s="390"/>
      <c r="M122" s="390"/>
      <c r="N122" s="390"/>
      <c r="O122" s="390"/>
      <c r="P122" s="390"/>
      <c r="Q122" s="390"/>
      <c r="R122" s="390"/>
      <c r="S122" s="390"/>
      <c r="T122" s="390"/>
      <c r="U122" s="390"/>
      <c r="V122" s="390"/>
      <c r="W122" s="390"/>
      <c r="X122" s="390"/>
      <c r="Y122" s="390"/>
      <c r="Z122" s="390"/>
      <c r="AA122" s="390"/>
      <c r="AB122" s="390"/>
      <c r="AC122" s="390"/>
      <c r="AD122" s="390"/>
      <c r="AE122" s="390"/>
      <c r="AF122" s="390"/>
      <c r="AG122" s="390"/>
      <c r="AH122" s="390"/>
      <c r="AI122" s="391"/>
      <c r="AK122" s="437"/>
      <c r="AL122" s="437"/>
      <c r="AM122" s="437"/>
      <c r="AN122" s="437"/>
      <c r="AO122" s="437"/>
      <c r="AP122" s="437"/>
      <c r="AQ122" s="437"/>
      <c r="AR122" s="437"/>
      <c r="AS122" s="437"/>
      <c r="AT122" s="437"/>
      <c r="AU122" s="437"/>
      <c r="AV122" s="437"/>
      <c r="AW122" s="437"/>
      <c r="AX122" s="437"/>
      <c r="AY122" s="437"/>
      <c r="AZ122" s="437"/>
      <c r="BA122" s="437"/>
      <c r="BB122" s="437"/>
      <c r="BC122" s="437"/>
      <c r="BD122" s="437"/>
      <c r="BE122" s="437"/>
      <c r="BF122" s="437"/>
      <c r="BG122" s="437"/>
      <c r="BH122" s="437"/>
      <c r="BI122" s="437"/>
      <c r="BJ122" s="437"/>
      <c r="BK122" s="437"/>
      <c r="BL122" s="437"/>
      <c r="BM122" s="393"/>
      <c r="BO122" s="399">
        <f t="shared" si="33"/>
        <v>0</v>
      </c>
      <c r="BP122" s="399">
        <f t="shared" si="34"/>
        <v>0</v>
      </c>
      <c r="BQ122" s="399">
        <f t="shared" si="35"/>
        <v>0</v>
      </c>
      <c r="BR122" s="399">
        <f t="shared" si="36"/>
        <v>0</v>
      </c>
      <c r="BS122" s="399">
        <f t="shared" si="37"/>
        <v>0</v>
      </c>
      <c r="BT122" s="399">
        <f t="shared" si="38"/>
        <v>0</v>
      </c>
      <c r="BU122" s="399">
        <f t="shared" si="39"/>
        <v>0</v>
      </c>
      <c r="BV122" s="399">
        <f t="shared" si="40"/>
        <v>0</v>
      </c>
      <c r="BW122" s="399">
        <f t="shared" si="41"/>
        <v>0</v>
      </c>
      <c r="BX122" s="399">
        <f t="shared" si="42"/>
        <v>0</v>
      </c>
      <c r="BY122" s="399">
        <f t="shared" si="43"/>
        <v>0</v>
      </c>
      <c r="BZ122" s="399">
        <f t="shared" si="44"/>
        <v>0</v>
      </c>
      <c r="CA122" s="399">
        <f t="shared" si="45"/>
        <v>0</v>
      </c>
      <c r="CB122" s="399">
        <f t="shared" si="46"/>
        <v>0</v>
      </c>
      <c r="CC122" s="399">
        <f t="shared" si="47"/>
        <v>0</v>
      </c>
      <c r="CD122" s="399">
        <f t="shared" si="48"/>
        <v>0</v>
      </c>
      <c r="CE122" s="399">
        <f t="shared" si="49"/>
        <v>0</v>
      </c>
      <c r="CF122" s="399">
        <f t="shared" si="50"/>
        <v>0</v>
      </c>
      <c r="CG122" s="399">
        <f t="shared" si="51"/>
        <v>0</v>
      </c>
      <c r="CH122" s="399">
        <f t="shared" si="52"/>
        <v>0</v>
      </c>
      <c r="CI122" s="399">
        <f t="shared" si="53"/>
        <v>0</v>
      </c>
      <c r="CJ122" s="399">
        <f t="shared" si="54"/>
        <v>0</v>
      </c>
      <c r="CK122" s="399">
        <f t="shared" si="55"/>
        <v>0</v>
      </c>
      <c r="CL122" s="399">
        <f t="shared" si="56"/>
        <v>0</v>
      </c>
      <c r="CM122" s="399">
        <f t="shared" si="57"/>
        <v>0</v>
      </c>
      <c r="CN122" s="399">
        <f t="shared" si="58"/>
        <v>0</v>
      </c>
      <c r="CO122" s="399">
        <f t="shared" si="59"/>
        <v>0</v>
      </c>
      <c r="CP122" s="399">
        <f t="shared" si="60"/>
        <v>0</v>
      </c>
      <c r="CQ122" s="423">
        <f t="shared" si="61"/>
        <v>0</v>
      </c>
      <c r="CS122" s="394" t="e">
        <f t="shared" si="62"/>
        <v>#DIV/0!</v>
      </c>
    </row>
    <row r="123" spans="3:97">
      <c r="C123" s="107"/>
      <c r="D123" s="395"/>
      <c r="E123" s="84"/>
      <c r="F123" s="84"/>
      <c r="G123" s="389"/>
      <c r="H123" s="390"/>
      <c r="I123" s="390"/>
      <c r="J123" s="390"/>
      <c r="K123" s="390"/>
      <c r="L123" s="390"/>
      <c r="M123" s="390"/>
      <c r="N123" s="390"/>
      <c r="O123" s="390"/>
      <c r="P123" s="390"/>
      <c r="Q123" s="390"/>
      <c r="R123" s="390"/>
      <c r="S123" s="390"/>
      <c r="T123" s="390"/>
      <c r="U123" s="390"/>
      <c r="V123" s="390"/>
      <c r="W123" s="390"/>
      <c r="X123" s="390"/>
      <c r="Y123" s="390"/>
      <c r="Z123" s="390"/>
      <c r="AA123" s="390"/>
      <c r="AB123" s="390"/>
      <c r="AC123" s="390"/>
      <c r="AD123" s="390"/>
      <c r="AE123" s="390"/>
      <c r="AF123" s="390"/>
      <c r="AG123" s="390"/>
      <c r="AH123" s="390"/>
      <c r="AI123" s="391"/>
      <c r="AK123" s="437"/>
      <c r="AL123" s="437"/>
      <c r="AM123" s="437"/>
      <c r="AN123" s="437"/>
      <c r="AO123" s="437"/>
      <c r="AP123" s="437"/>
      <c r="AQ123" s="437"/>
      <c r="AR123" s="437"/>
      <c r="AS123" s="437"/>
      <c r="AT123" s="437"/>
      <c r="AU123" s="437"/>
      <c r="AV123" s="437"/>
      <c r="AW123" s="437"/>
      <c r="AX123" s="437"/>
      <c r="AY123" s="437"/>
      <c r="AZ123" s="437"/>
      <c r="BA123" s="437"/>
      <c r="BB123" s="437"/>
      <c r="BC123" s="437"/>
      <c r="BD123" s="437"/>
      <c r="BE123" s="437"/>
      <c r="BF123" s="437"/>
      <c r="BG123" s="437"/>
      <c r="BH123" s="437"/>
      <c r="BI123" s="437"/>
      <c r="BJ123" s="437"/>
      <c r="BK123" s="437"/>
      <c r="BL123" s="437"/>
      <c r="BM123" s="393"/>
      <c r="BO123" s="399">
        <f t="shared" si="33"/>
        <v>0</v>
      </c>
      <c r="BP123" s="399">
        <f t="shared" si="34"/>
        <v>0</v>
      </c>
      <c r="BQ123" s="399">
        <f t="shared" si="35"/>
        <v>0</v>
      </c>
      <c r="BR123" s="399">
        <f t="shared" si="36"/>
        <v>0</v>
      </c>
      <c r="BS123" s="399">
        <f t="shared" si="37"/>
        <v>0</v>
      </c>
      <c r="BT123" s="399">
        <f t="shared" si="38"/>
        <v>0</v>
      </c>
      <c r="BU123" s="399">
        <f t="shared" si="39"/>
        <v>0</v>
      </c>
      <c r="BV123" s="399">
        <f t="shared" si="40"/>
        <v>0</v>
      </c>
      <c r="BW123" s="399">
        <f t="shared" si="41"/>
        <v>0</v>
      </c>
      <c r="BX123" s="399">
        <f t="shared" si="42"/>
        <v>0</v>
      </c>
      <c r="BY123" s="399">
        <f t="shared" si="43"/>
        <v>0</v>
      </c>
      <c r="BZ123" s="399">
        <f t="shared" si="44"/>
        <v>0</v>
      </c>
      <c r="CA123" s="399">
        <f t="shared" si="45"/>
        <v>0</v>
      </c>
      <c r="CB123" s="399">
        <f t="shared" si="46"/>
        <v>0</v>
      </c>
      <c r="CC123" s="399">
        <f t="shared" si="47"/>
        <v>0</v>
      </c>
      <c r="CD123" s="399">
        <f t="shared" si="48"/>
        <v>0</v>
      </c>
      <c r="CE123" s="399">
        <f t="shared" si="49"/>
        <v>0</v>
      </c>
      <c r="CF123" s="399">
        <f t="shared" si="50"/>
        <v>0</v>
      </c>
      <c r="CG123" s="399">
        <f t="shared" si="51"/>
        <v>0</v>
      </c>
      <c r="CH123" s="399">
        <f t="shared" si="52"/>
        <v>0</v>
      </c>
      <c r="CI123" s="399">
        <f t="shared" si="53"/>
        <v>0</v>
      </c>
      <c r="CJ123" s="399">
        <f t="shared" si="54"/>
        <v>0</v>
      </c>
      <c r="CK123" s="399">
        <f t="shared" si="55"/>
        <v>0</v>
      </c>
      <c r="CL123" s="399">
        <f t="shared" si="56"/>
        <v>0</v>
      </c>
      <c r="CM123" s="399">
        <f t="shared" si="57"/>
        <v>0</v>
      </c>
      <c r="CN123" s="399">
        <f t="shared" si="58"/>
        <v>0</v>
      </c>
      <c r="CO123" s="399">
        <f t="shared" si="59"/>
        <v>0</v>
      </c>
      <c r="CP123" s="399">
        <f t="shared" si="60"/>
        <v>0</v>
      </c>
      <c r="CQ123" s="423">
        <f t="shared" si="61"/>
        <v>0</v>
      </c>
      <c r="CS123" s="394" t="e">
        <f t="shared" si="62"/>
        <v>#DIV/0!</v>
      </c>
    </row>
    <row r="124" spans="3:97">
      <c r="C124" s="107"/>
      <c r="D124" s="395"/>
      <c r="E124" s="84"/>
      <c r="F124" s="84"/>
      <c r="G124" s="389"/>
      <c r="H124" s="390"/>
      <c r="I124" s="390"/>
      <c r="J124" s="390"/>
      <c r="K124" s="390"/>
      <c r="L124" s="390"/>
      <c r="M124" s="390"/>
      <c r="N124" s="390"/>
      <c r="O124" s="390"/>
      <c r="P124" s="390"/>
      <c r="Q124" s="390"/>
      <c r="R124" s="390"/>
      <c r="S124" s="390"/>
      <c r="T124" s="390"/>
      <c r="U124" s="390"/>
      <c r="V124" s="390"/>
      <c r="W124" s="390"/>
      <c r="X124" s="390"/>
      <c r="Y124" s="390"/>
      <c r="Z124" s="390"/>
      <c r="AA124" s="390"/>
      <c r="AB124" s="390"/>
      <c r="AC124" s="390"/>
      <c r="AD124" s="390"/>
      <c r="AE124" s="390"/>
      <c r="AF124" s="390"/>
      <c r="AG124" s="390"/>
      <c r="AH124" s="390"/>
      <c r="AI124" s="391"/>
      <c r="AK124" s="437"/>
      <c r="AL124" s="437"/>
      <c r="AM124" s="437"/>
      <c r="AN124" s="437"/>
      <c r="AO124" s="437"/>
      <c r="AP124" s="437"/>
      <c r="AQ124" s="437"/>
      <c r="AR124" s="437"/>
      <c r="AS124" s="437"/>
      <c r="AT124" s="437"/>
      <c r="AU124" s="437"/>
      <c r="AV124" s="437"/>
      <c r="AW124" s="437"/>
      <c r="AX124" s="437"/>
      <c r="AY124" s="437"/>
      <c r="AZ124" s="437"/>
      <c r="BA124" s="437"/>
      <c r="BB124" s="437"/>
      <c r="BC124" s="437"/>
      <c r="BD124" s="437"/>
      <c r="BE124" s="437"/>
      <c r="BF124" s="437"/>
      <c r="BG124" s="437"/>
      <c r="BH124" s="437"/>
      <c r="BI124" s="437"/>
      <c r="BJ124" s="437"/>
      <c r="BK124" s="437"/>
      <c r="BL124" s="437"/>
      <c r="BM124" s="393"/>
      <c r="BO124" s="399">
        <f t="shared" si="33"/>
        <v>0</v>
      </c>
      <c r="BP124" s="399">
        <f t="shared" si="34"/>
        <v>0</v>
      </c>
      <c r="BQ124" s="399">
        <f t="shared" si="35"/>
        <v>0</v>
      </c>
      <c r="BR124" s="399">
        <f t="shared" si="36"/>
        <v>0</v>
      </c>
      <c r="BS124" s="399">
        <f t="shared" si="37"/>
        <v>0</v>
      </c>
      <c r="BT124" s="399">
        <f t="shared" si="38"/>
        <v>0</v>
      </c>
      <c r="BU124" s="399">
        <f t="shared" si="39"/>
        <v>0</v>
      </c>
      <c r="BV124" s="399">
        <f t="shared" si="40"/>
        <v>0</v>
      </c>
      <c r="BW124" s="399">
        <f t="shared" si="41"/>
        <v>0</v>
      </c>
      <c r="BX124" s="399">
        <f t="shared" si="42"/>
        <v>0</v>
      </c>
      <c r="BY124" s="399">
        <f t="shared" si="43"/>
        <v>0</v>
      </c>
      <c r="BZ124" s="399">
        <f t="shared" si="44"/>
        <v>0</v>
      </c>
      <c r="CA124" s="399">
        <f t="shared" si="45"/>
        <v>0</v>
      </c>
      <c r="CB124" s="399">
        <f t="shared" si="46"/>
        <v>0</v>
      </c>
      <c r="CC124" s="399">
        <f t="shared" si="47"/>
        <v>0</v>
      </c>
      <c r="CD124" s="399">
        <f t="shared" si="48"/>
        <v>0</v>
      </c>
      <c r="CE124" s="399">
        <f t="shared" si="49"/>
        <v>0</v>
      </c>
      <c r="CF124" s="399">
        <f t="shared" si="50"/>
        <v>0</v>
      </c>
      <c r="CG124" s="399">
        <f t="shared" si="51"/>
        <v>0</v>
      </c>
      <c r="CH124" s="399">
        <f t="shared" si="52"/>
        <v>0</v>
      </c>
      <c r="CI124" s="399">
        <f t="shared" si="53"/>
        <v>0</v>
      </c>
      <c r="CJ124" s="399">
        <f t="shared" si="54"/>
        <v>0</v>
      </c>
      <c r="CK124" s="399">
        <f t="shared" si="55"/>
        <v>0</v>
      </c>
      <c r="CL124" s="399">
        <f t="shared" si="56"/>
        <v>0</v>
      </c>
      <c r="CM124" s="399">
        <f t="shared" si="57"/>
        <v>0</v>
      </c>
      <c r="CN124" s="399">
        <f t="shared" si="58"/>
        <v>0</v>
      </c>
      <c r="CO124" s="399">
        <f t="shared" si="59"/>
        <v>0</v>
      </c>
      <c r="CP124" s="399">
        <f t="shared" si="60"/>
        <v>0</v>
      </c>
      <c r="CQ124" s="423">
        <f t="shared" si="61"/>
        <v>0</v>
      </c>
      <c r="CS124" s="394" t="e">
        <f t="shared" si="62"/>
        <v>#DIV/0!</v>
      </c>
    </row>
    <row r="125" spans="3:97">
      <c r="C125" s="107"/>
      <c r="D125" s="395"/>
      <c r="E125" s="84"/>
      <c r="F125" s="84"/>
      <c r="G125" s="389"/>
      <c r="H125" s="390"/>
      <c r="I125" s="390"/>
      <c r="J125" s="390"/>
      <c r="K125" s="390"/>
      <c r="L125" s="390"/>
      <c r="M125" s="390"/>
      <c r="N125" s="390"/>
      <c r="O125" s="390"/>
      <c r="P125" s="390"/>
      <c r="Q125" s="390"/>
      <c r="R125" s="390"/>
      <c r="S125" s="390"/>
      <c r="T125" s="390"/>
      <c r="U125" s="390"/>
      <c r="V125" s="390"/>
      <c r="W125" s="390"/>
      <c r="X125" s="390"/>
      <c r="Y125" s="390"/>
      <c r="Z125" s="390"/>
      <c r="AA125" s="390"/>
      <c r="AB125" s="390"/>
      <c r="AC125" s="390"/>
      <c r="AD125" s="390"/>
      <c r="AE125" s="390"/>
      <c r="AF125" s="390"/>
      <c r="AG125" s="390"/>
      <c r="AH125" s="390"/>
      <c r="AI125" s="391"/>
      <c r="AK125" s="437"/>
      <c r="AL125" s="437"/>
      <c r="AM125" s="437"/>
      <c r="AN125" s="437"/>
      <c r="AO125" s="437"/>
      <c r="AP125" s="437"/>
      <c r="AQ125" s="437"/>
      <c r="AR125" s="437"/>
      <c r="AS125" s="437"/>
      <c r="AT125" s="437"/>
      <c r="AU125" s="437"/>
      <c r="AV125" s="437"/>
      <c r="AW125" s="437"/>
      <c r="AX125" s="437"/>
      <c r="AY125" s="437"/>
      <c r="AZ125" s="437"/>
      <c r="BA125" s="437"/>
      <c r="BB125" s="437"/>
      <c r="BC125" s="437"/>
      <c r="BD125" s="437"/>
      <c r="BE125" s="437"/>
      <c r="BF125" s="437"/>
      <c r="BG125" s="437"/>
      <c r="BH125" s="437"/>
      <c r="BI125" s="437"/>
      <c r="BJ125" s="437"/>
      <c r="BK125" s="437"/>
      <c r="BL125" s="437"/>
      <c r="BM125" s="393"/>
      <c r="BO125" s="399">
        <f t="shared" si="33"/>
        <v>0</v>
      </c>
      <c r="BP125" s="399">
        <f t="shared" si="34"/>
        <v>0</v>
      </c>
      <c r="BQ125" s="399">
        <f t="shared" si="35"/>
        <v>0</v>
      </c>
      <c r="BR125" s="399">
        <f t="shared" si="36"/>
        <v>0</v>
      </c>
      <c r="BS125" s="399">
        <f t="shared" si="37"/>
        <v>0</v>
      </c>
      <c r="BT125" s="399">
        <f t="shared" si="38"/>
        <v>0</v>
      </c>
      <c r="BU125" s="399">
        <f t="shared" si="39"/>
        <v>0</v>
      </c>
      <c r="BV125" s="399">
        <f t="shared" si="40"/>
        <v>0</v>
      </c>
      <c r="BW125" s="399">
        <f t="shared" si="41"/>
        <v>0</v>
      </c>
      <c r="BX125" s="399">
        <f t="shared" si="42"/>
        <v>0</v>
      </c>
      <c r="BY125" s="399">
        <f t="shared" si="43"/>
        <v>0</v>
      </c>
      <c r="BZ125" s="399">
        <f t="shared" si="44"/>
        <v>0</v>
      </c>
      <c r="CA125" s="399">
        <f t="shared" si="45"/>
        <v>0</v>
      </c>
      <c r="CB125" s="399">
        <f t="shared" si="46"/>
        <v>0</v>
      </c>
      <c r="CC125" s="399">
        <f t="shared" si="47"/>
        <v>0</v>
      </c>
      <c r="CD125" s="399">
        <f t="shared" si="48"/>
        <v>0</v>
      </c>
      <c r="CE125" s="399">
        <f t="shared" si="49"/>
        <v>0</v>
      </c>
      <c r="CF125" s="399">
        <f t="shared" si="50"/>
        <v>0</v>
      </c>
      <c r="CG125" s="399">
        <f t="shared" si="51"/>
        <v>0</v>
      </c>
      <c r="CH125" s="399">
        <f t="shared" si="52"/>
        <v>0</v>
      </c>
      <c r="CI125" s="399">
        <f t="shared" si="53"/>
        <v>0</v>
      </c>
      <c r="CJ125" s="399">
        <f t="shared" si="54"/>
        <v>0</v>
      </c>
      <c r="CK125" s="399">
        <f t="shared" si="55"/>
        <v>0</v>
      </c>
      <c r="CL125" s="399">
        <f t="shared" si="56"/>
        <v>0</v>
      </c>
      <c r="CM125" s="399">
        <f t="shared" si="57"/>
        <v>0</v>
      </c>
      <c r="CN125" s="399">
        <f t="shared" si="58"/>
        <v>0</v>
      </c>
      <c r="CO125" s="399">
        <f t="shared" si="59"/>
        <v>0</v>
      </c>
      <c r="CP125" s="399">
        <f t="shared" si="60"/>
        <v>0</v>
      </c>
      <c r="CQ125" s="423">
        <f t="shared" si="61"/>
        <v>0</v>
      </c>
      <c r="CS125" s="394" t="e">
        <f t="shared" si="62"/>
        <v>#DIV/0!</v>
      </c>
    </row>
    <row r="126" spans="3:97">
      <c r="C126" s="107"/>
      <c r="D126" s="395"/>
      <c r="E126" s="84"/>
      <c r="F126" s="84"/>
      <c r="G126" s="389"/>
      <c r="H126" s="390"/>
      <c r="I126" s="390"/>
      <c r="J126" s="390"/>
      <c r="K126" s="390"/>
      <c r="L126" s="390"/>
      <c r="M126" s="390"/>
      <c r="N126" s="390"/>
      <c r="O126" s="390"/>
      <c r="P126" s="390"/>
      <c r="Q126" s="390"/>
      <c r="R126" s="390"/>
      <c r="S126" s="390"/>
      <c r="T126" s="390"/>
      <c r="U126" s="390"/>
      <c r="V126" s="390"/>
      <c r="W126" s="390"/>
      <c r="X126" s="390"/>
      <c r="Y126" s="390"/>
      <c r="Z126" s="390"/>
      <c r="AA126" s="390"/>
      <c r="AB126" s="390"/>
      <c r="AC126" s="390"/>
      <c r="AD126" s="390"/>
      <c r="AE126" s="390"/>
      <c r="AF126" s="390"/>
      <c r="AG126" s="390"/>
      <c r="AH126" s="390"/>
      <c r="AI126" s="391"/>
      <c r="AK126" s="437"/>
      <c r="AL126" s="437"/>
      <c r="AM126" s="437"/>
      <c r="AN126" s="437"/>
      <c r="AO126" s="437"/>
      <c r="AP126" s="437"/>
      <c r="AQ126" s="437"/>
      <c r="AR126" s="437"/>
      <c r="AS126" s="437"/>
      <c r="AT126" s="437"/>
      <c r="AU126" s="437"/>
      <c r="AV126" s="437"/>
      <c r="AW126" s="437"/>
      <c r="AX126" s="437"/>
      <c r="AY126" s="437"/>
      <c r="AZ126" s="437"/>
      <c r="BA126" s="437"/>
      <c r="BB126" s="437"/>
      <c r="BC126" s="437"/>
      <c r="BD126" s="437"/>
      <c r="BE126" s="437"/>
      <c r="BF126" s="437"/>
      <c r="BG126" s="437"/>
      <c r="BH126" s="437"/>
      <c r="BI126" s="437"/>
      <c r="BJ126" s="437"/>
      <c r="BK126" s="437"/>
      <c r="BL126" s="437"/>
      <c r="BM126" s="393"/>
      <c r="BO126" s="399">
        <f t="shared" si="33"/>
        <v>0</v>
      </c>
      <c r="BP126" s="399">
        <f t="shared" si="34"/>
        <v>0</v>
      </c>
      <c r="BQ126" s="399">
        <f t="shared" si="35"/>
        <v>0</v>
      </c>
      <c r="BR126" s="399">
        <f t="shared" si="36"/>
        <v>0</v>
      </c>
      <c r="BS126" s="399">
        <f t="shared" si="37"/>
        <v>0</v>
      </c>
      <c r="BT126" s="399">
        <f t="shared" si="38"/>
        <v>0</v>
      </c>
      <c r="BU126" s="399">
        <f t="shared" si="39"/>
        <v>0</v>
      </c>
      <c r="BV126" s="399">
        <f t="shared" si="40"/>
        <v>0</v>
      </c>
      <c r="BW126" s="399">
        <f t="shared" si="41"/>
        <v>0</v>
      </c>
      <c r="BX126" s="399">
        <f t="shared" si="42"/>
        <v>0</v>
      </c>
      <c r="BY126" s="399">
        <f t="shared" si="43"/>
        <v>0</v>
      </c>
      <c r="BZ126" s="399">
        <f t="shared" si="44"/>
        <v>0</v>
      </c>
      <c r="CA126" s="399">
        <f t="shared" si="45"/>
        <v>0</v>
      </c>
      <c r="CB126" s="399">
        <f t="shared" si="46"/>
        <v>0</v>
      </c>
      <c r="CC126" s="399">
        <f t="shared" si="47"/>
        <v>0</v>
      </c>
      <c r="CD126" s="399">
        <f t="shared" si="48"/>
        <v>0</v>
      </c>
      <c r="CE126" s="399">
        <f t="shared" si="49"/>
        <v>0</v>
      </c>
      <c r="CF126" s="399">
        <f t="shared" si="50"/>
        <v>0</v>
      </c>
      <c r="CG126" s="399">
        <f t="shared" si="51"/>
        <v>0</v>
      </c>
      <c r="CH126" s="399">
        <f t="shared" si="52"/>
        <v>0</v>
      </c>
      <c r="CI126" s="399">
        <f t="shared" si="53"/>
        <v>0</v>
      </c>
      <c r="CJ126" s="399">
        <f t="shared" si="54"/>
        <v>0</v>
      </c>
      <c r="CK126" s="399">
        <f t="shared" si="55"/>
        <v>0</v>
      </c>
      <c r="CL126" s="399">
        <f t="shared" si="56"/>
        <v>0</v>
      </c>
      <c r="CM126" s="399">
        <f t="shared" si="57"/>
        <v>0</v>
      </c>
      <c r="CN126" s="399">
        <f t="shared" si="58"/>
        <v>0</v>
      </c>
      <c r="CO126" s="399">
        <f t="shared" si="59"/>
        <v>0</v>
      </c>
      <c r="CP126" s="399">
        <f t="shared" si="60"/>
        <v>0</v>
      </c>
      <c r="CQ126" s="423">
        <f t="shared" si="61"/>
        <v>0</v>
      </c>
      <c r="CS126" s="394" t="e">
        <f t="shared" si="62"/>
        <v>#DIV/0!</v>
      </c>
    </row>
    <row r="127" spans="3:97">
      <c r="C127" s="107"/>
      <c r="D127" s="395"/>
      <c r="E127" s="84"/>
      <c r="F127" s="84"/>
      <c r="G127" s="389"/>
      <c r="H127" s="390"/>
      <c r="I127" s="390"/>
      <c r="J127" s="390"/>
      <c r="K127" s="390"/>
      <c r="L127" s="390"/>
      <c r="M127" s="390"/>
      <c r="N127" s="390"/>
      <c r="O127" s="390"/>
      <c r="P127" s="390"/>
      <c r="Q127" s="390"/>
      <c r="R127" s="390"/>
      <c r="S127" s="390"/>
      <c r="T127" s="390"/>
      <c r="U127" s="390"/>
      <c r="V127" s="390"/>
      <c r="W127" s="390"/>
      <c r="X127" s="390"/>
      <c r="Y127" s="390"/>
      <c r="Z127" s="390"/>
      <c r="AA127" s="390"/>
      <c r="AB127" s="390"/>
      <c r="AC127" s="390"/>
      <c r="AD127" s="390"/>
      <c r="AE127" s="390"/>
      <c r="AF127" s="390"/>
      <c r="AG127" s="390"/>
      <c r="AH127" s="390"/>
      <c r="AI127" s="391"/>
      <c r="AK127" s="437"/>
      <c r="AL127" s="437"/>
      <c r="AM127" s="437"/>
      <c r="AN127" s="437"/>
      <c r="AO127" s="437"/>
      <c r="AP127" s="437"/>
      <c r="AQ127" s="437"/>
      <c r="AR127" s="437"/>
      <c r="AS127" s="437"/>
      <c r="AT127" s="437"/>
      <c r="AU127" s="437"/>
      <c r="AV127" s="437"/>
      <c r="AW127" s="437"/>
      <c r="AX127" s="437"/>
      <c r="AY127" s="437"/>
      <c r="AZ127" s="437"/>
      <c r="BA127" s="437"/>
      <c r="BB127" s="437"/>
      <c r="BC127" s="437"/>
      <c r="BD127" s="437"/>
      <c r="BE127" s="437"/>
      <c r="BF127" s="437"/>
      <c r="BG127" s="437"/>
      <c r="BH127" s="437"/>
      <c r="BI127" s="437"/>
      <c r="BJ127" s="437"/>
      <c r="BK127" s="437"/>
      <c r="BL127" s="437"/>
      <c r="BM127" s="393"/>
      <c r="BO127" s="399">
        <f t="shared" si="33"/>
        <v>0</v>
      </c>
      <c r="BP127" s="399">
        <f t="shared" si="34"/>
        <v>0</v>
      </c>
      <c r="BQ127" s="399">
        <f t="shared" si="35"/>
        <v>0</v>
      </c>
      <c r="BR127" s="399">
        <f t="shared" si="36"/>
        <v>0</v>
      </c>
      <c r="BS127" s="399">
        <f t="shared" si="37"/>
        <v>0</v>
      </c>
      <c r="BT127" s="399">
        <f t="shared" si="38"/>
        <v>0</v>
      </c>
      <c r="BU127" s="399">
        <f t="shared" si="39"/>
        <v>0</v>
      </c>
      <c r="BV127" s="399">
        <f t="shared" si="40"/>
        <v>0</v>
      </c>
      <c r="BW127" s="399">
        <f t="shared" si="41"/>
        <v>0</v>
      </c>
      <c r="BX127" s="399">
        <f t="shared" si="42"/>
        <v>0</v>
      </c>
      <c r="BY127" s="399">
        <f t="shared" si="43"/>
        <v>0</v>
      </c>
      <c r="BZ127" s="399">
        <f t="shared" si="44"/>
        <v>0</v>
      </c>
      <c r="CA127" s="399">
        <f t="shared" si="45"/>
        <v>0</v>
      </c>
      <c r="CB127" s="399">
        <f t="shared" si="46"/>
        <v>0</v>
      </c>
      <c r="CC127" s="399">
        <f t="shared" si="47"/>
        <v>0</v>
      </c>
      <c r="CD127" s="399">
        <f t="shared" si="48"/>
        <v>0</v>
      </c>
      <c r="CE127" s="399">
        <f t="shared" si="49"/>
        <v>0</v>
      </c>
      <c r="CF127" s="399">
        <f t="shared" si="50"/>
        <v>0</v>
      </c>
      <c r="CG127" s="399">
        <f t="shared" si="51"/>
        <v>0</v>
      </c>
      <c r="CH127" s="399">
        <f t="shared" si="52"/>
        <v>0</v>
      </c>
      <c r="CI127" s="399">
        <f t="shared" si="53"/>
        <v>0</v>
      </c>
      <c r="CJ127" s="399">
        <f t="shared" si="54"/>
        <v>0</v>
      </c>
      <c r="CK127" s="399">
        <f t="shared" si="55"/>
        <v>0</v>
      </c>
      <c r="CL127" s="399">
        <f t="shared" si="56"/>
        <v>0</v>
      </c>
      <c r="CM127" s="399">
        <f t="shared" si="57"/>
        <v>0</v>
      </c>
      <c r="CN127" s="399">
        <f t="shared" si="58"/>
        <v>0</v>
      </c>
      <c r="CO127" s="399">
        <f t="shared" si="59"/>
        <v>0</v>
      </c>
      <c r="CP127" s="399">
        <f t="shared" si="60"/>
        <v>0</v>
      </c>
      <c r="CQ127" s="423">
        <f t="shared" si="61"/>
        <v>0</v>
      </c>
      <c r="CS127" s="394" t="e">
        <f t="shared" si="62"/>
        <v>#DIV/0!</v>
      </c>
    </row>
    <row r="128" spans="3:97">
      <c r="C128" s="107"/>
      <c r="D128" s="395"/>
      <c r="E128" s="84"/>
      <c r="F128" s="84"/>
      <c r="G128" s="389"/>
      <c r="H128" s="390"/>
      <c r="I128" s="390"/>
      <c r="J128" s="390"/>
      <c r="K128" s="390"/>
      <c r="L128" s="390"/>
      <c r="M128" s="390"/>
      <c r="N128" s="390"/>
      <c r="O128" s="390"/>
      <c r="P128" s="390"/>
      <c r="Q128" s="390"/>
      <c r="R128" s="390"/>
      <c r="S128" s="390"/>
      <c r="T128" s="390"/>
      <c r="U128" s="390"/>
      <c r="V128" s="390"/>
      <c r="W128" s="390"/>
      <c r="X128" s="390"/>
      <c r="Y128" s="390"/>
      <c r="Z128" s="390"/>
      <c r="AA128" s="390"/>
      <c r="AB128" s="390"/>
      <c r="AC128" s="390"/>
      <c r="AD128" s="390"/>
      <c r="AE128" s="390"/>
      <c r="AF128" s="390"/>
      <c r="AG128" s="390"/>
      <c r="AH128" s="390"/>
      <c r="AI128" s="391"/>
      <c r="AK128" s="437"/>
      <c r="AL128" s="437"/>
      <c r="AM128" s="437"/>
      <c r="AN128" s="437"/>
      <c r="AO128" s="437"/>
      <c r="AP128" s="437"/>
      <c r="AQ128" s="437"/>
      <c r="AR128" s="437"/>
      <c r="AS128" s="437"/>
      <c r="AT128" s="437"/>
      <c r="AU128" s="437"/>
      <c r="AV128" s="437"/>
      <c r="AW128" s="437"/>
      <c r="AX128" s="437"/>
      <c r="AY128" s="437"/>
      <c r="AZ128" s="437"/>
      <c r="BA128" s="437"/>
      <c r="BB128" s="437"/>
      <c r="BC128" s="437"/>
      <c r="BD128" s="437"/>
      <c r="BE128" s="437"/>
      <c r="BF128" s="437"/>
      <c r="BG128" s="437"/>
      <c r="BH128" s="437"/>
      <c r="BI128" s="437"/>
      <c r="BJ128" s="437"/>
      <c r="BK128" s="437"/>
      <c r="BL128" s="437"/>
      <c r="BM128" s="393"/>
      <c r="BO128" s="399">
        <f t="shared" si="33"/>
        <v>0</v>
      </c>
      <c r="BP128" s="399">
        <f t="shared" si="34"/>
        <v>0</v>
      </c>
      <c r="BQ128" s="399">
        <f t="shared" si="35"/>
        <v>0</v>
      </c>
      <c r="BR128" s="399">
        <f t="shared" si="36"/>
        <v>0</v>
      </c>
      <c r="BS128" s="399">
        <f t="shared" si="37"/>
        <v>0</v>
      </c>
      <c r="BT128" s="399">
        <f t="shared" si="38"/>
        <v>0</v>
      </c>
      <c r="BU128" s="399">
        <f t="shared" si="39"/>
        <v>0</v>
      </c>
      <c r="BV128" s="399">
        <f t="shared" si="40"/>
        <v>0</v>
      </c>
      <c r="BW128" s="399">
        <f t="shared" si="41"/>
        <v>0</v>
      </c>
      <c r="BX128" s="399">
        <f t="shared" si="42"/>
        <v>0</v>
      </c>
      <c r="BY128" s="399">
        <f t="shared" si="43"/>
        <v>0</v>
      </c>
      <c r="BZ128" s="399">
        <f t="shared" si="44"/>
        <v>0</v>
      </c>
      <c r="CA128" s="399">
        <f t="shared" si="45"/>
        <v>0</v>
      </c>
      <c r="CB128" s="399">
        <f t="shared" si="46"/>
        <v>0</v>
      </c>
      <c r="CC128" s="399">
        <f t="shared" si="47"/>
        <v>0</v>
      </c>
      <c r="CD128" s="399">
        <f t="shared" si="48"/>
        <v>0</v>
      </c>
      <c r="CE128" s="399">
        <f t="shared" si="49"/>
        <v>0</v>
      </c>
      <c r="CF128" s="399">
        <f t="shared" si="50"/>
        <v>0</v>
      </c>
      <c r="CG128" s="399">
        <f t="shared" si="51"/>
        <v>0</v>
      </c>
      <c r="CH128" s="399">
        <f t="shared" si="52"/>
        <v>0</v>
      </c>
      <c r="CI128" s="399">
        <f t="shared" si="53"/>
        <v>0</v>
      </c>
      <c r="CJ128" s="399">
        <f t="shared" si="54"/>
        <v>0</v>
      </c>
      <c r="CK128" s="399">
        <f t="shared" si="55"/>
        <v>0</v>
      </c>
      <c r="CL128" s="399">
        <f t="shared" si="56"/>
        <v>0</v>
      </c>
      <c r="CM128" s="399">
        <f t="shared" si="57"/>
        <v>0</v>
      </c>
      <c r="CN128" s="399">
        <f t="shared" si="58"/>
        <v>0</v>
      </c>
      <c r="CO128" s="399">
        <f t="shared" si="59"/>
        <v>0</v>
      </c>
      <c r="CP128" s="399">
        <f t="shared" si="60"/>
        <v>0</v>
      </c>
      <c r="CQ128" s="423">
        <f t="shared" si="61"/>
        <v>0</v>
      </c>
      <c r="CS128" s="394" t="e">
        <f t="shared" si="62"/>
        <v>#DIV/0!</v>
      </c>
    </row>
    <row r="129" spans="3:97">
      <c r="C129" s="107"/>
      <c r="D129" s="395"/>
      <c r="E129" s="84"/>
      <c r="F129" s="84"/>
      <c r="G129" s="389"/>
      <c r="H129" s="390"/>
      <c r="I129" s="390"/>
      <c r="J129" s="390"/>
      <c r="K129" s="390"/>
      <c r="L129" s="390"/>
      <c r="M129" s="390"/>
      <c r="N129" s="390"/>
      <c r="O129" s="390"/>
      <c r="P129" s="390"/>
      <c r="Q129" s="390"/>
      <c r="R129" s="390"/>
      <c r="S129" s="390"/>
      <c r="T129" s="390"/>
      <c r="U129" s="390"/>
      <c r="V129" s="390"/>
      <c r="W129" s="390"/>
      <c r="X129" s="390"/>
      <c r="Y129" s="390"/>
      <c r="Z129" s="390"/>
      <c r="AA129" s="390"/>
      <c r="AB129" s="390"/>
      <c r="AC129" s="390"/>
      <c r="AD129" s="390"/>
      <c r="AE129" s="390"/>
      <c r="AF129" s="390"/>
      <c r="AG129" s="390"/>
      <c r="AH129" s="390"/>
      <c r="AI129" s="391"/>
      <c r="AK129" s="437"/>
      <c r="AL129" s="437"/>
      <c r="AM129" s="437"/>
      <c r="AN129" s="437"/>
      <c r="AO129" s="437"/>
      <c r="AP129" s="437"/>
      <c r="AQ129" s="437"/>
      <c r="AR129" s="437"/>
      <c r="AS129" s="437"/>
      <c r="AT129" s="437"/>
      <c r="AU129" s="437"/>
      <c r="AV129" s="437"/>
      <c r="AW129" s="437"/>
      <c r="AX129" s="437"/>
      <c r="AY129" s="437"/>
      <c r="AZ129" s="437"/>
      <c r="BA129" s="437"/>
      <c r="BB129" s="437"/>
      <c r="BC129" s="437"/>
      <c r="BD129" s="437"/>
      <c r="BE129" s="437"/>
      <c r="BF129" s="437"/>
      <c r="BG129" s="437"/>
      <c r="BH129" s="437"/>
      <c r="BI129" s="437"/>
      <c r="BJ129" s="437"/>
      <c r="BK129" s="437"/>
      <c r="BL129" s="437"/>
      <c r="BM129" s="393"/>
      <c r="BO129" s="399">
        <f t="shared" si="33"/>
        <v>0</v>
      </c>
      <c r="BP129" s="399">
        <f t="shared" si="34"/>
        <v>0</v>
      </c>
      <c r="BQ129" s="399">
        <f t="shared" si="35"/>
        <v>0</v>
      </c>
      <c r="BR129" s="399">
        <f t="shared" si="36"/>
        <v>0</v>
      </c>
      <c r="BS129" s="399">
        <f t="shared" si="37"/>
        <v>0</v>
      </c>
      <c r="BT129" s="399">
        <f t="shared" si="38"/>
        <v>0</v>
      </c>
      <c r="BU129" s="399">
        <f t="shared" si="39"/>
        <v>0</v>
      </c>
      <c r="BV129" s="399">
        <f t="shared" si="40"/>
        <v>0</v>
      </c>
      <c r="BW129" s="399">
        <f t="shared" si="41"/>
        <v>0</v>
      </c>
      <c r="BX129" s="399">
        <f t="shared" si="42"/>
        <v>0</v>
      </c>
      <c r="BY129" s="399">
        <f t="shared" si="43"/>
        <v>0</v>
      </c>
      <c r="BZ129" s="399">
        <f t="shared" si="44"/>
        <v>0</v>
      </c>
      <c r="CA129" s="399">
        <f t="shared" si="45"/>
        <v>0</v>
      </c>
      <c r="CB129" s="399">
        <f t="shared" si="46"/>
        <v>0</v>
      </c>
      <c r="CC129" s="399">
        <f t="shared" si="47"/>
        <v>0</v>
      </c>
      <c r="CD129" s="399">
        <f t="shared" si="48"/>
        <v>0</v>
      </c>
      <c r="CE129" s="399">
        <f t="shared" si="49"/>
        <v>0</v>
      </c>
      <c r="CF129" s="399">
        <f t="shared" si="50"/>
        <v>0</v>
      </c>
      <c r="CG129" s="399">
        <f t="shared" si="51"/>
        <v>0</v>
      </c>
      <c r="CH129" s="399">
        <f t="shared" si="52"/>
        <v>0</v>
      </c>
      <c r="CI129" s="399">
        <f t="shared" si="53"/>
        <v>0</v>
      </c>
      <c r="CJ129" s="399">
        <f t="shared" si="54"/>
        <v>0</v>
      </c>
      <c r="CK129" s="399">
        <f t="shared" si="55"/>
        <v>0</v>
      </c>
      <c r="CL129" s="399">
        <f t="shared" si="56"/>
        <v>0</v>
      </c>
      <c r="CM129" s="399">
        <f t="shared" si="57"/>
        <v>0</v>
      </c>
      <c r="CN129" s="399">
        <f t="shared" si="58"/>
        <v>0</v>
      </c>
      <c r="CO129" s="399">
        <f t="shared" si="59"/>
        <v>0</v>
      </c>
      <c r="CP129" s="399">
        <f t="shared" si="60"/>
        <v>0</v>
      </c>
      <c r="CQ129" s="423">
        <f t="shared" si="61"/>
        <v>0</v>
      </c>
      <c r="CS129" s="394" t="e">
        <f t="shared" si="62"/>
        <v>#DIV/0!</v>
      </c>
    </row>
    <row r="130" spans="3:97">
      <c r="C130" s="107"/>
      <c r="D130" s="395"/>
      <c r="E130" s="84"/>
      <c r="F130" s="84"/>
      <c r="G130" s="389"/>
      <c r="H130" s="390"/>
      <c r="I130" s="390"/>
      <c r="J130" s="390"/>
      <c r="K130" s="390"/>
      <c r="L130" s="390"/>
      <c r="M130" s="390"/>
      <c r="N130" s="390"/>
      <c r="O130" s="390"/>
      <c r="P130" s="390"/>
      <c r="Q130" s="390"/>
      <c r="R130" s="390"/>
      <c r="S130" s="390"/>
      <c r="T130" s="390"/>
      <c r="U130" s="390"/>
      <c r="V130" s="390"/>
      <c r="W130" s="390"/>
      <c r="X130" s="390"/>
      <c r="Y130" s="390"/>
      <c r="Z130" s="390"/>
      <c r="AA130" s="390"/>
      <c r="AB130" s="390"/>
      <c r="AC130" s="390"/>
      <c r="AD130" s="390"/>
      <c r="AE130" s="390"/>
      <c r="AF130" s="390"/>
      <c r="AG130" s="390"/>
      <c r="AH130" s="390"/>
      <c r="AI130" s="391"/>
      <c r="AK130" s="437"/>
      <c r="AL130" s="437"/>
      <c r="AM130" s="437"/>
      <c r="AN130" s="437"/>
      <c r="AO130" s="437"/>
      <c r="AP130" s="437"/>
      <c r="AQ130" s="437"/>
      <c r="AR130" s="437"/>
      <c r="AS130" s="437"/>
      <c r="AT130" s="437"/>
      <c r="AU130" s="437"/>
      <c r="AV130" s="437"/>
      <c r="AW130" s="437"/>
      <c r="AX130" s="437"/>
      <c r="AY130" s="437"/>
      <c r="AZ130" s="437"/>
      <c r="BA130" s="437"/>
      <c r="BB130" s="437"/>
      <c r="BC130" s="437"/>
      <c r="BD130" s="437"/>
      <c r="BE130" s="437"/>
      <c r="BF130" s="437"/>
      <c r="BG130" s="437"/>
      <c r="BH130" s="437"/>
      <c r="BI130" s="437"/>
      <c r="BJ130" s="437"/>
      <c r="BK130" s="437"/>
      <c r="BL130" s="437"/>
      <c r="BM130" s="393"/>
      <c r="BO130" s="399">
        <f t="shared" si="33"/>
        <v>0</v>
      </c>
      <c r="BP130" s="399">
        <f t="shared" si="34"/>
        <v>0</v>
      </c>
      <c r="BQ130" s="399">
        <f t="shared" si="35"/>
        <v>0</v>
      </c>
      <c r="BR130" s="399">
        <f t="shared" si="36"/>
        <v>0</v>
      </c>
      <c r="BS130" s="399">
        <f t="shared" si="37"/>
        <v>0</v>
      </c>
      <c r="BT130" s="399">
        <f t="shared" si="38"/>
        <v>0</v>
      </c>
      <c r="BU130" s="399">
        <f t="shared" si="39"/>
        <v>0</v>
      </c>
      <c r="BV130" s="399">
        <f t="shared" si="40"/>
        <v>0</v>
      </c>
      <c r="BW130" s="399">
        <f t="shared" si="41"/>
        <v>0</v>
      </c>
      <c r="BX130" s="399">
        <f t="shared" si="42"/>
        <v>0</v>
      </c>
      <c r="BY130" s="399">
        <f t="shared" si="43"/>
        <v>0</v>
      </c>
      <c r="BZ130" s="399">
        <f t="shared" si="44"/>
        <v>0</v>
      </c>
      <c r="CA130" s="399">
        <f t="shared" si="45"/>
        <v>0</v>
      </c>
      <c r="CB130" s="399">
        <f t="shared" si="46"/>
        <v>0</v>
      </c>
      <c r="CC130" s="399">
        <f t="shared" si="47"/>
        <v>0</v>
      </c>
      <c r="CD130" s="399">
        <f t="shared" si="48"/>
        <v>0</v>
      </c>
      <c r="CE130" s="399">
        <f t="shared" si="49"/>
        <v>0</v>
      </c>
      <c r="CF130" s="399">
        <f t="shared" si="50"/>
        <v>0</v>
      </c>
      <c r="CG130" s="399">
        <f t="shared" si="51"/>
        <v>0</v>
      </c>
      <c r="CH130" s="399">
        <f t="shared" si="52"/>
        <v>0</v>
      </c>
      <c r="CI130" s="399">
        <f t="shared" si="53"/>
        <v>0</v>
      </c>
      <c r="CJ130" s="399">
        <f t="shared" si="54"/>
        <v>0</v>
      </c>
      <c r="CK130" s="399">
        <f t="shared" si="55"/>
        <v>0</v>
      </c>
      <c r="CL130" s="399">
        <f t="shared" si="56"/>
        <v>0</v>
      </c>
      <c r="CM130" s="399">
        <f t="shared" si="57"/>
        <v>0</v>
      </c>
      <c r="CN130" s="399">
        <f t="shared" si="58"/>
        <v>0</v>
      </c>
      <c r="CO130" s="399">
        <f t="shared" si="59"/>
        <v>0</v>
      </c>
      <c r="CP130" s="399">
        <f t="shared" si="60"/>
        <v>0</v>
      </c>
      <c r="CQ130" s="423">
        <f t="shared" si="61"/>
        <v>0</v>
      </c>
      <c r="CS130" s="394" t="e">
        <f t="shared" si="62"/>
        <v>#DIV/0!</v>
      </c>
    </row>
    <row r="131" spans="3:97">
      <c r="C131" s="107"/>
      <c r="D131" s="395"/>
      <c r="E131" s="84"/>
      <c r="F131" s="84"/>
      <c r="G131" s="389"/>
      <c r="H131" s="390"/>
      <c r="I131" s="390"/>
      <c r="J131" s="390"/>
      <c r="K131" s="390"/>
      <c r="L131" s="390"/>
      <c r="M131" s="390"/>
      <c r="N131" s="390"/>
      <c r="O131" s="390"/>
      <c r="P131" s="390"/>
      <c r="Q131" s="390"/>
      <c r="R131" s="390"/>
      <c r="S131" s="390"/>
      <c r="T131" s="390"/>
      <c r="U131" s="390"/>
      <c r="V131" s="390"/>
      <c r="W131" s="390"/>
      <c r="X131" s="390"/>
      <c r="Y131" s="390"/>
      <c r="Z131" s="390"/>
      <c r="AA131" s="390"/>
      <c r="AB131" s="390"/>
      <c r="AC131" s="390"/>
      <c r="AD131" s="390"/>
      <c r="AE131" s="390"/>
      <c r="AF131" s="390"/>
      <c r="AG131" s="390"/>
      <c r="AH131" s="390"/>
      <c r="AI131" s="391"/>
      <c r="AK131" s="437"/>
      <c r="AL131" s="437"/>
      <c r="AM131" s="437"/>
      <c r="AN131" s="437"/>
      <c r="AO131" s="437"/>
      <c r="AP131" s="437"/>
      <c r="AQ131" s="437"/>
      <c r="AR131" s="437"/>
      <c r="AS131" s="437"/>
      <c r="AT131" s="437"/>
      <c r="AU131" s="437"/>
      <c r="AV131" s="437"/>
      <c r="AW131" s="437"/>
      <c r="AX131" s="437"/>
      <c r="AY131" s="437"/>
      <c r="AZ131" s="437"/>
      <c r="BA131" s="437"/>
      <c r="BB131" s="437"/>
      <c r="BC131" s="437"/>
      <c r="BD131" s="437"/>
      <c r="BE131" s="437"/>
      <c r="BF131" s="437"/>
      <c r="BG131" s="437"/>
      <c r="BH131" s="437"/>
      <c r="BI131" s="437"/>
      <c r="BJ131" s="437"/>
      <c r="BK131" s="437"/>
      <c r="BL131" s="437"/>
      <c r="BM131" s="393"/>
      <c r="BO131" s="399">
        <f t="shared" si="33"/>
        <v>0</v>
      </c>
      <c r="BP131" s="399">
        <f t="shared" si="34"/>
        <v>0</v>
      </c>
      <c r="BQ131" s="399">
        <f t="shared" si="35"/>
        <v>0</v>
      </c>
      <c r="BR131" s="399">
        <f t="shared" si="36"/>
        <v>0</v>
      </c>
      <c r="BS131" s="399">
        <f t="shared" si="37"/>
        <v>0</v>
      </c>
      <c r="BT131" s="399">
        <f t="shared" si="38"/>
        <v>0</v>
      </c>
      <c r="BU131" s="399">
        <f t="shared" si="39"/>
        <v>0</v>
      </c>
      <c r="BV131" s="399">
        <f t="shared" si="40"/>
        <v>0</v>
      </c>
      <c r="BW131" s="399">
        <f t="shared" si="41"/>
        <v>0</v>
      </c>
      <c r="BX131" s="399">
        <f t="shared" si="42"/>
        <v>0</v>
      </c>
      <c r="BY131" s="399">
        <f t="shared" si="43"/>
        <v>0</v>
      </c>
      <c r="BZ131" s="399">
        <f t="shared" si="44"/>
        <v>0</v>
      </c>
      <c r="CA131" s="399">
        <f t="shared" si="45"/>
        <v>0</v>
      </c>
      <c r="CB131" s="399">
        <f t="shared" si="46"/>
        <v>0</v>
      </c>
      <c r="CC131" s="399">
        <f t="shared" si="47"/>
        <v>0</v>
      </c>
      <c r="CD131" s="399">
        <f t="shared" si="48"/>
        <v>0</v>
      </c>
      <c r="CE131" s="399">
        <f t="shared" si="49"/>
        <v>0</v>
      </c>
      <c r="CF131" s="399">
        <f t="shared" si="50"/>
        <v>0</v>
      </c>
      <c r="CG131" s="399">
        <f t="shared" si="51"/>
        <v>0</v>
      </c>
      <c r="CH131" s="399">
        <f t="shared" si="52"/>
        <v>0</v>
      </c>
      <c r="CI131" s="399">
        <f t="shared" si="53"/>
        <v>0</v>
      </c>
      <c r="CJ131" s="399">
        <f t="shared" si="54"/>
        <v>0</v>
      </c>
      <c r="CK131" s="399">
        <f t="shared" si="55"/>
        <v>0</v>
      </c>
      <c r="CL131" s="399">
        <f t="shared" si="56"/>
        <v>0</v>
      </c>
      <c r="CM131" s="399">
        <f t="shared" si="57"/>
        <v>0</v>
      </c>
      <c r="CN131" s="399">
        <f t="shared" si="58"/>
        <v>0</v>
      </c>
      <c r="CO131" s="399">
        <f t="shared" si="59"/>
        <v>0</v>
      </c>
      <c r="CP131" s="399">
        <f t="shared" si="60"/>
        <v>0</v>
      </c>
      <c r="CQ131" s="423">
        <f t="shared" si="61"/>
        <v>0</v>
      </c>
      <c r="CS131" s="394" t="e">
        <f t="shared" si="62"/>
        <v>#DIV/0!</v>
      </c>
    </row>
    <row r="132" spans="3:97">
      <c r="C132" s="107"/>
      <c r="D132" s="395"/>
      <c r="E132" s="84"/>
      <c r="F132" s="84"/>
      <c r="G132" s="389"/>
      <c r="H132" s="390"/>
      <c r="I132" s="390"/>
      <c r="J132" s="390"/>
      <c r="K132" s="390"/>
      <c r="L132" s="390"/>
      <c r="M132" s="390"/>
      <c r="N132" s="390"/>
      <c r="O132" s="390"/>
      <c r="P132" s="390"/>
      <c r="Q132" s="390"/>
      <c r="R132" s="390"/>
      <c r="S132" s="390"/>
      <c r="T132" s="390"/>
      <c r="U132" s="390"/>
      <c r="V132" s="390"/>
      <c r="W132" s="390"/>
      <c r="X132" s="390"/>
      <c r="Y132" s="390"/>
      <c r="Z132" s="390"/>
      <c r="AA132" s="390"/>
      <c r="AB132" s="390"/>
      <c r="AC132" s="390"/>
      <c r="AD132" s="390"/>
      <c r="AE132" s="390"/>
      <c r="AF132" s="390"/>
      <c r="AG132" s="390"/>
      <c r="AH132" s="390"/>
      <c r="AI132" s="391"/>
      <c r="AK132" s="437"/>
      <c r="AL132" s="437"/>
      <c r="AM132" s="437"/>
      <c r="AN132" s="437"/>
      <c r="AO132" s="437"/>
      <c r="AP132" s="437"/>
      <c r="AQ132" s="437"/>
      <c r="AR132" s="437"/>
      <c r="AS132" s="437"/>
      <c r="AT132" s="437"/>
      <c r="AU132" s="437"/>
      <c r="AV132" s="437"/>
      <c r="AW132" s="437"/>
      <c r="AX132" s="437"/>
      <c r="AY132" s="437"/>
      <c r="AZ132" s="437"/>
      <c r="BA132" s="437"/>
      <c r="BB132" s="437"/>
      <c r="BC132" s="437"/>
      <c r="BD132" s="437"/>
      <c r="BE132" s="437"/>
      <c r="BF132" s="437"/>
      <c r="BG132" s="437"/>
      <c r="BH132" s="437"/>
      <c r="BI132" s="437"/>
      <c r="BJ132" s="437"/>
      <c r="BK132" s="437"/>
      <c r="BL132" s="437"/>
      <c r="BM132" s="393"/>
      <c r="BO132" s="399">
        <f t="shared" si="33"/>
        <v>0</v>
      </c>
      <c r="BP132" s="399">
        <f t="shared" si="34"/>
        <v>0</v>
      </c>
      <c r="BQ132" s="399">
        <f t="shared" si="35"/>
        <v>0</v>
      </c>
      <c r="BR132" s="399">
        <f t="shared" si="36"/>
        <v>0</v>
      </c>
      <c r="BS132" s="399">
        <f t="shared" si="37"/>
        <v>0</v>
      </c>
      <c r="BT132" s="399">
        <f t="shared" si="38"/>
        <v>0</v>
      </c>
      <c r="BU132" s="399">
        <f t="shared" si="39"/>
        <v>0</v>
      </c>
      <c r="BV132" s="399">
        <f t="shared" si="40"/>
        <v>0</v>
      </c>
      <c r="BW132" s="399">
        <f t="shared" si="41"/>
        <v>0</v>
      </c>
      <c r="BX132" s="399">
        <f t="shared" si="42"/>
        <v>0</v>
      </c>
      <c r="BY132" s="399">
        <f t="shared" si="43"/>
        <v>0</v>
      </c>
      <c r="BZ132" s="399">
        <f t="shared" si="44"/>
        <v>0</v>
      </c>
      <c r="CA132" s="399">
        <f t="shared" si="45"/>
        <v>0</v>
      </c>
      <c r="CB132" s="399">
        <f t="shared" si="46"/>
        <v>0</v>
      </c>
      <c r="CC132" s="399">
        <f t="shared" si="47"/>
        <v>0</v>
      </c>
      <c r="CD132" s="399">
        <f t="shared" si="48"/>
        <v>0</v>
      </c>
      <c r="CE132" s="399">
        <f t="shared" si="49"/>
        <v>0</v>
      </c>
      <c r="CF132" s="399">
        <f t="shared" si="50"/>
        <v>0</v>
      </c>
      <c r="CG132" s="399">
        <f t="shared" si="51"/>
        <v>0</v>
      </c>
      <c r="CH132" s="399">
        <f t="shared" si="52"/>
        <v>0</v>
      </c>
      <c r="CI132" s="399">
        <f t="shared" si="53"/>
        <v>0</v>
      </c>
      <c r="CJ132" s="399">
        <f t="shared" si="54"/>
        <v>0</v>
      </c>
      <c r="CK132" s="399">
        <f t="shared" si="55"/>
        <v>0</v>
      </c>
      <c r="CL132" s="399">
        <f t="shared" si="56"/>
        <v>0</v>
      </c>
      <c r="CM132" s="399">
        <f t="shared" si="57"/>
        <v>0</v>
      </c>
      <c r="CN132" s="399">
        <f t="shared" si="58"/>
        <v>0</v>
      </c>
      <c r="CO132" s="399">
        <f t="shared" si="59"/>
        <v>0</v>
      </c>
      <c r="CP132" s="399">
        <f t="shared" si="60"/>
        <v>0</v>
      </c>
      <c r="CQ132" s="423">
        <f t="shared" si="61"/>
        <v>0</v>
      </c>
      <c r="CS132" s="394" t="e">
        <f t="shared" si="62"/>
        <v>#DIV/0!</v>
      </c>
    </row>
    <row r="133" spans="3:97">
      <c r="C133" s="107"/>
      <c r="D133" s="395"/>
      <c r="E133" s="84"/>
      <c r="F133" s="84"/>
      <c r="G133" s="389"/>
      <c r="H133" s="390"/>
      <c r="I133" s="390"/>
      <c r="J133" s="390"/>
      <c r="K133" s="390"/>
      <c r="L133" s="390"/>
      <c r="M133" s="390"/>
      <c r="N133" s="390"/>
      <c r="O133" s="390"/>
      <c r="P133" s="390"/>
      <c r="Q133" s="390"/>
      <c r="R133" s="390"/>
      <c r="S133" s="390"/>
      <c r="T133" s="390"/>
      <c r="U133" s="390"/>
      <c r="V133" s="390"/>
      <c r="W133" s="390"/>
      <c r="X133" s="390"/>
      <c r="Y133" s="390"/>
      <c r="Z133" s="390"/>
      <c r="AA133" s="390"/>
      <c r="AB133" s="390"/>
      <c r="AC133" s="390"/>
      <c r="AD133" s="390"/>
      <c r="AE133" s="390"/>
      <c r="AF133" s="390"/>
      <c r="AG133" s="390"/>
      <c r="AH133" s="390"/>
      <c r="AI133" s="391"/>
      <c r="AK133" s="437"/>
      <c r="AL133" s="437"/>
      <c r="AM133" s="437"/>
      <c r="AN133" s="437"/>
      <c r="AO133" s="437"/>
      <c r="AP133" s="437"/>
      <c r="AQ133" s="437"/>
      <c r="AR133" s="437"/>
      <c r="AS133" s="437"/>
      <c r="AT133" s="437"/>
      <c r="AU133" s="437"/>
      <c r="AV133" s="437"/>
      <c r="AW133" s="437"/>
      <c r="AX133" s="437"/>
      <c r="AY133" s="437"/>
      <c r="AZ133" s="437"/>
      <c r="BA133" s="437"/>
      <c r="BB133" s="437"/>
      <c r="BC133" s="437"/>
      <c r="BD133" s="437"/>
      <c r="BE133" s="437"/>
      <c r="BF133" s="437"/>
      <c r="BG133" s="437"/>
      <c r="BH133" s="437"/>
      <c r="BI133" s="437"/>
      <c r="BJ133" s="437"/>
      <c r="BK133" s="437"/>
      <c r="BL133" s="437"/>
      <c r="BM133" s="393"/>
      <c r="BO133" s="399">
        <f t="shared" si="33"/>
        <v>0</v>
      </c>
      <c r="BP133" s="399">
        <f t="shared" si="34"/>
        <v>0</v>
      </c>
      <c r="BQ133" s="399">
        <f t="shared" si="35"/>
        <v>0</v>
      </c>
      <c r="BR133" s="399">
        <f t="shared" si="36"/>
        <v>0</v>
      </c>
      <c r="BS133" s="399">
        <f t="shared" si="37"/>
        <v>0</v>
      </c>
      <c r="BT133" s="399">
        <f t="shared" si="38"/>
        <v>0</v>
      </c>
      <c r="BU133" s="399">
        <f t="shared" si="39"/>
        <v>0</v>
      </c>
      <c r="BV133" s="399">
        <f t="shared" si="40"/>
        <v>0</v>
      </c>
      <c r="BW133" s="399">
        <f t="shared" si="41"/>
        <v>0</v>
      </c>
      <c r="BX133" s="399">
        <f t="shared" si="42"/>
        <v>0</v>
      </c>
      <c r="BY133" s="399">
        <f t="shared" si="43"/>
        <v>0</v>
      </c>
      <c r="BZ133" s="399">
        <f t="shared" si="44"/>
        <v>0</v>
      </c>
      <c r="CA133" s="399">
        <f t="shared" si="45"/>
        <v>0</v>
      </c>
      <c r="CB133" s="399">
        <f t="shared" si="46"/>
        <v>0</v>
      </c>
      <c r="CC133" s="399">
        <f t="shared" si="47"/>
        <v>0</v>
      </c>
      <c r="CD133" s="399">
        <f t="shared" si="48"/>
        <v>0</v>
      </c>
      <c r="CE133" s="399">
        <f t="shared" si="49"/>
        <v>0</v>
      </c>
      <c r="CF133" s="399">
        <f t="shared" si="50"/>
        <v>0</v>
      </c>
      <c r="CG133" s="399">
        <f t="shared" si="51"/>
        <v>0</v>
      </c>
      <c r="CH133" s="399">
        <f t="shared" si="52"/>
        <v>0</v>
      </c>
      <c r="CI133" s="399">
        <f t="shared" si="53"/>
        <v>0</v>
      </c>
      <c r="CJ133" s="399">
        <f t="shared" si="54"/>
        <v>0</v>
      </c>
      <c r="CK133" s="399">
        <f t="shared" si="55"/>
        <v>0</v>
      </c>
      <c r="CL133" s="399">
        <f t="shared" si="56"/>
        <v>0</v>
      </c>
      <c r="CM133" s="399">
        <f t="shared" si="57"/>
        <v>0</v>
      </c>
      <c r="CN133" s="399">
        <f t="shared" si="58"/>
        <v>0</v>
      </c>
      <c r="CO133" s="399">
        <f t="shared" si="59"/>
        <v>0</v>
      </c>
      <c r="CP133" s="399">
        <f t="shared" si="60"/>
        <v>0</v>
      </c>
      <c r="CQ133" s="423">
        <f t="shared" si="61"/>
        <v>0</v>
      </c>
      <c r="CS133" s="394" t="e">
        <f t="shared" si="62"/>
        <v>#DIV/0!</v>
      </c>
    </row>
    <row r="134" spans="3:97">
      <c r="C134" s="107"/>
      <c r="D134" s="395"/>
      <c r="E134" s="84"/>
      <c r="F134" s="84"/>
      <c r="G134" s="389"/>
      <c r="H134" s="390"/>
      <c r="I134" s="390"/>
      <c r="J134" s="390"/>
      <c r="K134" s="390"/>
      <c r="L134" s="390"/>
      <c r="M134" s="390"/>
      <c r="N134" s="390"/>
      <c r="O134" s="390"/>
      <c r="P134" s="390"/>
      <c r="Q134" s="390"/>
      <c r="R134" s="390"/>
      <c r="S134" s="390"/>
      <c r="T134" s="390"/>
      <c r="U134" s="390"/>
      <c r="V134" s="390"/>
      <c r="W134" s="390"/>
      <c r="X134" s="390"/>
      <c r="Y134" s="390"/>
      <c r="Z134" s="390"/>
      <c r="AA134" s="390"/>
      <c r="AB134" s="390"/>
      <c r="AC134" s="390"/>
      <c r="AD134" s="390"/>
      <c r="AE134" s="390"/>
      <c r="AF134" s="390"/>
      <c r="AG134" s="390"/>
      <c r="AH134" s="390"/>
      <c r="AI134" s="391"/>
      <c r="AK134" s="437"/>
      <c r="AL134" s="437"/>
      <c r="AM134" s="437"/>
      <c r="AN134" s="437"/>
      <c r="AO134" s="437"/>
      <c r="AP134" s="437"/>
      <c r="AQ134" s="437"/>
      <c r="AR134" s="437"/>
      <c r="AS134" s="437"/>
      <c r="AT134" s="437"/>
      <c r="AU134" s="437"/>
      <c r="AV134" s="437"/>
      <c r="AW134" s="437"/>
      <c r="AX134" s="437"/>
      <c r="AY134" s="437"/>
      <c r="AZ134" s="437"/>
      <c r="BA134" s="437"/>
      <c r="BB134" s="437"/>
      <c r="BC134" s="437"/>
      <c r="BD134" s="437"/>
      <c r="BE134" s="437"/>
      <c r="BF134" s="437"/>
      <c r="BG134" s="437"/>
      <c r="BH134" s="437"/>
      <c r="BI134" s="437"/>
      <c r="BJ134" s="437"/>
      <c r="BK134" s="437"/>
      <c r="BL134" s="437"/>
      <c r="BM134" s="393"/>
      <c r="BO134" s="399">
        <f t="shared" si="33"/>
        <v>0</v>
      </c>
      <c r="BP134" s="399">
        <f t="shared" si="34"/>
        <v>0</v>
      </c>
      <c r="BQ134" s="399">
        <f t="shared" si="35"/>
        <v>0</v>
      </c>
      <c r="BR134" s="399">
        <f t="shared" si="36"/>
        <v>0</v>
      </c>
      <c r="BS134" s="399">
        <f t="shared" si="37"/>
        <v>0</v>
      </c>
      <c r="BT134" s="399">
        <f t="shared" si="38"/>
        <v>0</v>
      </c>
      <c r="BU134" s="399">
        <f t="shared" si="39"/>
        <v>0</v>
      </c>
      <c r="BV134" s="399">
        <f t="shared" si="40"/>
        <v>0</v>
      </c>
      <c r="BW134" s="399">
        <f t="shared" si="41"/>
        <v>0</v>
      </c>
      <c r="BX134" s="399">
        <f t="shared" si="42"/>
        <v>0</v>
      </c>
      <c r="BY134" s="399">
        <f t="shared" si="43"/>
        <v>0</v>
      </c>
      <c r="BZ134" s="399">
        <f t="shared" si="44"/>
        <v>0</v>
      </c>
      <c r="CA134" s="399">
        <f t="shared" si="45"/>
        <v>0</v>
      </c>
      <c r="CB134" s="399">
        <f t="shared" si="46"/>
        <v>0</v>
      </c>
      <c r="CC134" s="399">
        <f t="shared" si="47"/>
        <v>0</v>
      </c>
      <c r="CD134" s="399">
        <f t="shared" si="48"/>
        <v>0</v>
      </c>
      <c r="CE134" s="399">
        <f t="shared" si="49"/>
        <v>0</v>
      </c>
      <c r="CF134" s="399">
        <f t="shared" si="50"/>
        <v>0</v>
      </c>
      <c r="CG134" s="399">
        <f t="shared" si="51"/>
        <v>0</v>
      </c>
      <c r="CH134" s="399">
        <f t="shared" si="52"/>
        <v>0</v>
      </c>
      <c r="CI134" s="399">
        <f t="shared" si="53"/>
        <v>0</v>
      </c>
      <c r="CJ134" s="399">
        <f t="shared" si="54"/>
        <v>0</v>
      </c>
      <c r="CK134" s="399">
        <f t="shared" si="55"/>
        <v>0</v>
      </c>
      <c r="CL134" s="399">
        <f t="shared" si="56"/>
        <v>0</v>
      </c>
      <c r="CM134" s="399">
        <f t="shared" si="57"/>
        <v>0</v>
      </c>
      <c r="CN134" s="399">
        <f t="shared" si="58"/>
        <v>0</v>
      </c>
      <c r="CO134" s="399">
        <f t="shared" si="59"/>
        <v>0</v>
      </c>
      <c r="CP134" s="399">
        <f t="shared" si="60"/>
        <v>0</v>
      </c>
      <c r="CQ134" s="423">
        <f t="shared" si="61"/>
        <v>0</v>
      </c>
      <c r="CS134" s="394" t="e">
        <f t="shared" si="62"/>
        <v>#DIV/0!</v>
      </c>
    </row>
    <row r="135" spans="3:97">
      <c r="C135" s="107"/>
      <c r="D135" s="395"/>
      <c r="E135" s="84"/>
      <c r="F135" s="84"/>
      <c r="G135" s="389"/>
      <c r="H135" s="390"/>
      <c r="I135" s="390"/>
      <c r="J135" s="390"/>
      <c r="K135" s="390"/>
      <c r="L135" s="390"/>
      <c r="M135" s="390"/>
      <c r="N135" s="390"/>
      <c r="O135" s="390"/>
      <c r="P135" s="390"/>
      <c r="Q135" s="390"/>
      <c r="R135" s="390"/>
      <c r="S135" s="390"/>
      <c r="T135" s="390"/>
      <c r="U135" s="390"/>
      <c r="V135" s="390"/>
      <c r="W135" s="390"/>
      <c r="X135" s="390"/>
      <c r="Y135" s="390"/>
      <c r="Z135" s="390"/>
      <c r="AA135" s="390"/>
      <c r="AB135" s="390"/>
      <c r="AC135" s="390"/>
      <c r="AD135" s="390"/>
      <c r="AE135" s="390"/>
      <c r="AF135" s="390"/>
      <c r="AG135" s="390"/>
      <c r="AH135" s="390"/>
      <c r="AI135" s="391"/>
      <c r="AK135" s="437"/>
      <c r="AL135" s="437"/>
      <c r="AM135" s="437"/>
      <c r="AN135" s="437"/>
      <c r="AO135" s="437"/>
      <c r="AP135" s="437"/>
      <c r="AQ135" s="437"/>
      <c r="AR135" s="437"/>
      <c r="AS135" s="437"/>
      <c r="AT135" s="437"/>
      <c r="AU135" s="437"/>
      <c r="AV135" s="437"/>
      <c r="AW135" s="437"/>
      <c r="AX135" s="437"/>
      <c r="AY135" s="437"/>
      <c r="AZ135" s="437"/>
      <c r="BA135" s="437"/>
      <c r="BB135" s="437"/>
      <c r="BC135" s="437"/>
      <c r="BD135" s="437"/>
      <c r="BE135" s="437"/>
      <c r="BF135" s="437"/>
      <c r="BG135" s="437"/>
      <c r="BH135" s="437"/>
      <c r="BI135" s="437"/>
      <c r="BJ135" s="437"/>
      <c r="BK135" s="437"/>
      <c r="BL135" s="437"/>
      <c r="BM135" s="393"/>
      <c r="BO135" s="399">
        <f t="shared" si="33"/>
        <v>0</v>
      </c>
      <c r="BP135" s="399">
        <f t="shared" si="34"/>
        <v>0</v>
      </c>
      <c r="BQ135" s="399">
        <f t="shared" si="35"/>
        <v>0</v>
      </c>
      <c r="BR135" s="399">
        <f t="shared" si="36"/>
        <v>0</v>
      </c>
      <c r="BS135" s="399">
        <f t="shared" si="37"/>
        <v>0</v>
      </c>
      <c r="BT135" s="399">
        <f t="shared" si="38"/>
        <v>0</v>
      </c>
      <c r="BU135" s="399">
        <f t="shared" si="39"/>
        <v>0</v>
      </c>
      <c r="BV135" s="399">
        <f t="shared" si="40"/>
        <v>0</v>
      </c>
      <c r="BW135" s="399">
        <f t="shared" si="41"/>
        <v>0</v>
      </c>
      <c r="BX135" s="399">
        <f t="shared" si="42"/>
        <v>0</v>
      </c>
      <c r="BY135" s="399">
        <f t="shared" si="43"/>
        <v>0</v>
      </c>
      <c r="BZ135" s="399">
        <f t="shared" si="44"/>
        <v>0</v>
      </c>
      <c r="CA135" s="399">
        <f t="shared" si="45"/>
        <v>0</v>
      </c>
      <c r="CB135" s="399">
        <f t="shared" si="46"/>
        <v>0</v>
      </c>
      <c r="CC135" s="399">
        <f t="shared" si="47"/>
        <v>0</v>
      </c>
      <c r="CD135" s="399">
        <f t="shared" si="48"/>
        <v>0</v>
      </c>
      <c r="CE135" s="399">
        <f t="shared" si="49"/>
        <v>0</v>
      </c>
      <c r="CF135" s="399">
        <f t="shared" si="50"/>
        <v>0</v>
      </c>
      <c r="CG135" s="399">
        <f t="shared" si="51"/>
        <v>0</v>
      </c>
      <c r="CH135" s="399">
        <f t="shared" si="52"/>
        <v>0</v>
      </c>
      <c r="CI135" s="399">
        <f t="shared" si="53"/>
        <v>0</v>
      </c>
      <c r="CJ135" s="399">
        <f t="shared" si="54"/>
        <v>0</v>
      </c>
      <c r="CK135" s="399">
        <f t="shared" si="55"/>
        <v>0</v>
      </c>
      <c r="CL135" s="399">
        <f t="shared" si="56"/>
        <v>0</v>
      </c>
      <c r="CM135" s="399">
        <f t="shared" si="57"/>
        <v>0</v>
      </c>
      <c r="CN135" s="399">
        <f t="shared" si="58"/>
        <v>0</v>
      </c>
      <c r="CO135" s="399">
        <f t="shared" si="59"/>
        <v>0</v>
      </c>
      <c r="CP135" s="399">
        <f t="shared" si="60"/>
        <v>0</v>
      </c>
      <c r="CQ135" s="423">
        <f t="shared" si="61"/>
        <v>0</v>
      </c>
      <c r="CS135" s="394" t="e">
        <f t="shared" si="62"/>
        <v>#DIV/0!</v>
      </c>
    </row>
    <row r="136" spans="3:97">
      <c r="C136" s="107"/>
      <c r="D136" s="395"/>
      <c r="E136" s="84"/>
      <c r="F136" s="84"/>
      <c r="G136" s="389"/>
      <c r="H136" s="390"/>
      <c r="I136" s="390"/>
      <c r="J136" s="390"/>
      <c r="K136" s="390"/>
      <c r="L136" s="390"/>
      <c r="M136" s="390"/>
      <c r="N136" s="390"/>
      <c r="O136" s="390"/>
      <c r="P136" s="390"/>
      <c r="Q136" s="390"/>
      <c r="R136" s="390"/>
      <c r="S136" s="390"/>
      <c r="T136" s="390"/>
      <c r="U136" s="390"/>
      <c r="V136" s="390"/>
      <c r="W136" s="390"/>
      <c r="X136" s="390"/>
      <c r="Y136" s="390"/>
      <c r="Z136" s="390"/>
      <c r="AA136" s="390"/>
      <c r="AB136" s="390"/>
      <c r="AC136" s="390"/>
      <c r="AD136" s="390"/>
      <c r="AE136" s="390"/>
      <c r="AF136" s="390"/>
      <c r="AG136" s="390"/>
      <c r="AH136" s="390"/>
      <c r="AI136" s="391"/>
      <c r="AK136" s="437"/>
      <c r="AL136" s="437"/>
      <c r="AM136" s="437"/>
      <c r="AN136" s="437"/>
      <c r="AO136" s="437"/>
      <c r="AP136" s="437"/>
      <c r="AQ136" s="437"/>
      <c r="AR136" s="437"/>
      <c r="AS136" s="437"/>
      <c r="AT136" s="437"/>
      <c r="AU136" s="437"/>
      <c r="AV136" s="437"/>
      <c r="AW136" s="437"/>
      <c r="AX136" s="437"/>
      <c r="AY136" s="437"/>
      <c r="AZ136" s="437"/>
      <c r="BA136" s="437"/>
      <c r="BB136" s="437"/>
      <c r="BC136" s="437"/>
      <c r="BD136" s="437"/>
      <c r="BE136" s="437"/>
      <c r="BF136" s="437"/>
      <c r="BG136" s="437"/>
      <c r="BH136" s="437"/>
      <c r="BI136" s="437"/>
      <c r="BJ136" s="437"/>
      <c r="BK136" s="437"/>
      <c r="BL136" s="437"/>
      <c r="BM136" s="393"/>
      <c r="BO136" s="399">
        <f t="shared" si="33"/>
        <v>0</v>
      </c>
      <c r="BP136" s="399">
        <f t="shared" si="34"/>
        <v>0</v>
      </c>
      <c r="BQ136" s="399">
        <f t="shared" si="35"/>
        <v>0</v>
      </c>
      <c r="BR136" s="399">
        <f t="shared" si="36"/>
        <v>0</v>
      </c>
      <c r="BS136" s="399">
        <f t="shared" si="37"/>
        <v>0</v>
      </c>
      <c r="BT136" s="399">
        <f t="shared" si="38"/>
        <v>0</v>
      </c>
      <c r="BU136" s="399">
        <f t="shared" si="39"/>
        <v>0</v>
      </c>
      <c r="BV136" s="399">
        <f t="shared" si="40"/>
        <v>0</v>
      </c>
      <c r="BW136" s="399">
        <f t="shared" si="41"/>
        <v>0</v>
      </c>
      <c r="BX136" s="399">
        <f t="shared" si="42"/>
        <v>0</v>
      </c>
      <c r="BY136" s="399">
        <f t="shared" si="43"/>
        <v>0</v>
      </c>
      <c r="BZ136" s="399">
        <f t="shared" si="44"/>
        <v>0</v>
      </c>
      <c r="CA136" s="399">
        <f t="shared" si="45"/>
        <v>0</v>
      </c>
      <c r="CB136" s="399">
        <f t="shared" si="46"/>
        <v>0</v>
      </c>
      <c r="CC136" s="399">
        <f t="shared" si="47"/>
        <v>0</v>
      </c>
      <c r="CD136" s="399">
        <f t="shared" si="48"/>
        <v>0</v>
      </c>
      <c r="CE136" s="399">
        <f t="shared" si="49"/>
        <v>0</v>
      </c>
      <c r="CF136" s="399">
        <f t="shared" si="50"/>
        <v>0</v>
      </c>
      <c r="CG136" s="399">
        <f t="shared" si="51"/>
        <v>0</v>
      </c>
      <c r="CH136" s="399">
        <f t="shared" si="52"/>
        <v>0</v>
      </c>
      <c r="CI136" s="399">
        <f t="shared" si="53"/>
        <v>0</v>
      </c>
      <c r="CJ136" s="399">
        <f t="shared" si="54"/>
        <v>0</v>
      </c>
      <c r="CK136" s="399">
        <f t="shared" si="55"/>
        <v>0</v>
      </c>
      <c r="CL136" s="399">
        <f t="shared" si="56"/>
        <v>0</v>
      </c>
      <c r="CM136" s="399">
        <f t="shared" si="57"/>
        <v>0</v>
      </c>
      <c r="CN136" s="399">
        <f t="shared" si="58"/>
        <v>0</v>
      </c>
      <c r="CO136" s="399">
        <f t="shared" si="59"/>
        <v>0</v>
      </c>
      <c r="CP136" s="399">
        <f t="shared" si="60"/>
        <v>0</v>
      </c>
      <c r="CQ136" s="423">
        <f t="shared" si="61"/>
        <v>0</v>
      </c>
      <c r="CS136" s="394" t="e">
        <f t="shared" si="62"/>
        <v>#DIV/0!</v>
      </c>
    </row>
    <row r="137" spans="3:97">
      <c r="C137" s="107"/>
      <c r="D137" s="395"/>
      <c r="E137" s="84"/>
      <c r="F137" s="84"/>
      <c r="G137" s="389"/>
      <c r="H137" s="390"/>
      <c r="I137" s="390"/>
      <c r="J137" s="390"/>
      <c r="K137" s="390"/>
      <c r="L137" s="390"/>
      <c r="M137" s="390"/>
      <c r="N137" s="390"/>
      <c r="O137" s="390"/>
      <c r="P137" s="390"/>
      <c r="Q137" s="390"/>
      <c r="R137" s="390"/>
      <c r="S137" s="390"/>
      <c r="T137" s="390"/>
      <c r="U137" s="390"/>
      <c r="V137" s="390"/>
      <c r="W137" s="390"/>
      <c r="X137" s="390"/>
      <c r="Y137" s="390"/>
      <c r="Z137" s="390"/>
      <c r="AA137" s="390"/>
      <c r="AB137" s="390"/>
      <c r="AC137" s="390"/>
      <c r="AD137" s="390"/>
      <c r="AE137" s="390"/>
      <c r="AF137" s="390"/>
      <c r="AG137" s="390"/>
      <c r="AH137" s="390"/>
      <c r="AI137" s="391"/>
      <c r="AK137" s="437"/>
      <c r="AL137" s="437"/>
      <c r="AM137" s="437"/>
      <c r="AN137" s="437"/>
      <c r="AO137" s="437"/>
      <c r="AP137" s="437"/>
      <c r="AQ137" s="437"/>
      <c r="AR137" s="437"/>
      <c r="AS137" s="437"/>
      <c r="AT137" s="437"/>
      <c r="AU137" s="437"/>
      <c r="AV137" s="437"/>
      <c r="AW137" s="437"/>
      <c r="AX137" s="437"/>
      <c r="AY137" s="437"/>
      <c r="AZ137" s="437"/>
      <c r="BA137" s="437"/>
      <c r="BB137" s="437"/>
      <c r="BC137" s="437"/>
      <c r="BD137" s="437"/>
      <c r="BE137" s="437"/>
      <c r="BF137" s="437"/>
      <c r="BG137" s="437"/>
      <c r="BH137" s="437"/>
      <c r="BI137" s="437"/>
      <c r="BJ137" s="437"/>
      <c r="BK137" s="437"/>
      <c r="BL137" s="437"/>
      <c r="BM137" s="393"/>
      <c r="BO137" s="399">
        <f t="shared" si="33"/>
        <v>0</v>
      </c>
      <c r="BP137" s="399">
        <f t="shared" si="34"/>
        <v>0</v>
      </c>
      <c r="BQ137" s="399">
        <f t="shared" si="35"/>
        <v>0</v>
      </c>
      <c r="BR137" s="399">
        <f t="shared" si="36"/>
        <v>0</v>
      </c>
      <c r="BS137" s="399">
        <f t="shared" si="37"/>
        <v>0</v>
      </c>
      <c r="BT137" s="399">
        <f t="shared" si="38"/>
        <v>0</v>
      </c>
      <c r="BU137" s="399">
        <f t="shared" si="39"/>
        <v>0</v>
      </c>
      <c r="BV137" s="399">
        <f t="shared" si="40"/>
        <v>0</v>
      </c>
      <c r="BW137" s="399">
        <f t="shared" si="41"/>
        <v>0</v>
      </c>
      <c r="BX137" s="399">
        <f t="shared" si="42"/>
        <v>0</v>
      </c>
      <c r="BY137" s="399">
        <f t="shared" si="43"/>
        <v>0</v>
      </c>
      <c r="BZ137" s="399">
        <f t="shared" si="44"/>
        <v>0</v>
      </c>
      <c r="CA137" s="399">
        <f t="shared" si="45"/>
        <v>0</v>
      </c>
      <c r="CB137" s="399">
        <f t="shared" si="46"/>
        <v>0</v>
      </c>
      <c r="CC137" s="399">
        <f t="shared" si="47"/>
        <v>0</v>
      </c>
      <c r="CD137" s="399">
        <f t="shared" si="48"/>
        <v>0</v>
      </c>
      <c r="CE137" s="399">
        <f t="shared" si="49"/>
        <v>0</v>
      </c>
      <c r="CF137" s="399">
        <f t="shared" si="50"/>
        <v>0</v>
      </c>
      <c r="CG137" s="399">
        <f t="shared" si="51"/>
        <v>0</v>
      </c>
      <c r="CH137" s="399">
        <f t="shared" si="52"/>
        <v>0</v>
      </c>
      <c r="CI137" s="399">
        <f t="shared" si="53"/>
        <v>0</v>
      </c>
      <c r="CJ137" s="399">
        <f t="shared" si="54"/>
        <v>0</v>
      </c>
      <c r="CK137" s="399">
        <f t="shared" si="55"/>
        <v>0</v>
      </c>
      <c r="CL137" s="399">
        <f t="shared" si="56"/>
        <v>0</v>
      </c>
      <c r="CM137" s="399">
        <f t="shared" si="57"/>
        <v>0</v>
      </c>
      <c r="CN137" s="399">
        <f t="shared" si="58"/>
        <v>0</v>
      </c>
      <c r="CO137" s="399">
        <f t="shared" si="59"/>
        <v>0</v>
      </c>
      <c r="CP137" s="399">
        <f t="shared" si="60"/>
        <v>0</v>
      </c>
      <c r="CQ137" s="423">
        <f t="shared" si="61"/>
        <v>0</v>
      </c>
      <c r="CS137" s="394" t="e">
        <f t="shared" si="62"/>
        <v>#DIV/0!</v>
      </c>
    </row>
    <row r="138" spans="3:97">
      <c r="C138" s="107"/>
      <c r="D138" s="395"/>
      <c r="E138" s="84"/>
      <c r="F138" s="84"/>
      <c r="G138" s="389"/>
      <c r="H138" s="390"/>
      <c r="I138" s="390"/>
      <c r="J138" s="390"/>
      <c r="K138" s="390"/>
      <c r="L138" s="390"/>
      <c r="M138" s="390"/>
      <c r="N138" s="390"/>
      <c r="O138" s="390"/>
      <c r="P138" s="390"/>
      <c r="Q138" s="390"/>
      <c r="R138" s="390"/>
      <c r="S138" s="390"/>
      <c r="T138" s="390"/>
      <c r="U138" s="390"/>
      <c r="V138" s="390"/>
      <c r="W138" s="390"/>
      <c r="X138" s="390"/>
      <c r="Y138" s="390"/>
      <c r="Z138" s="390"/>
      <c r="AA138" s="390"/>
      <c r="AB138" s="390"/>
      <c r="AC138" s="390"/>
      <c r="AD138" s="390"/>
      <c r="AE138" s="390"/>
      <c r="AF138" s="390"/>
      <c r="AG138" s="390"/>
      <c r="AH138" s="390"/>
      <c r="AI138" s="391"/>
      <c r="AK138" s="437"/>
      <c r="AL138" s="437"/>
      <c r="AM138" s="437"/>
      <c r="AN138" s="437"/>
      <c r="AO138" s="437"/>
      <c r="AP138" s="437"/>
      <c r="AQ138" s="437"/>
      <c r="AR138" s="437"/>
      <c r="AS138" s="437"/>
      <c r="AT138" s="437"/>
      <c r="AU138" s="437"/>
      <c r="AV138" s="437"/>
      <c r="AW138" s="437"/>
      <c r="AX138" s="437"/>
      <c r="AY138" s="437"/>
      <c r="AZ138" s="437"/>
      <c r="BA138" s="437"/>
      <c r="BB138" s="437"/>
      <c r="BC138" s="437"/>
      <c r="BD138" s="437"/>
      <c r="BE138" s="437"/>
      <c r="BF138" s="437"/>
      <c r="BG138" s="437"/>
      <c r="BH138" s="437"/>
      <c r="BI138" s="437"/>
      <c r="BJ138" s="437"/>
      <c r="BK138" s="437"/>
      <c r="BL138" s="437"/>
      <c r="BM138" s="393"/>
      <c r="BO138" s="399">
        <f t="shared" si="33"/>
        <v>0</v>
      </c>
      <c r="BP138" s="399">
        <f t="shared" si="34"/>
        <v>0</v>
      </c>
      <c r="BQ138" s="399">
        <f t="shared" si="35"/>
        <v>0</v>
      </c>
      <c r="BR138" s="399">
        <f t="shared" si="36"/>
        <v>0</v>
      </c>
      <c r="BS138" s="399">
        <f t="shared" si="37"/>
        <v>0</v>
      </c>
      <c r="BT138" s="399">
        <f t="shared" si="38"/>
        <v>0</v>
      </c>
      <c r="BU138" s="399">
        <f t="shared" si="39"/>
        <v>0</v>
      </c>
      <c r="BV138" s="399">
        <f t="shared" si="40"/>
        <v>0</v>
      </c>
      <c r="BW138" s="399">
        <f t="shared" si="41"/>
        <v>0</v>
      </c>
      <c r="BX138" s="399">
        <f t="shared" si="42"/>
        <v>0</v>
      </c>
      <c r="BY138" s="399">
        <f t="shared" si="43"/>
        <v>0</v>
      </c>
      <c r="BZ138" s="399">
        <f t="shared" si="44"/>
        <v>0</v>
      </c>
      <c r="CA138" s="399">
        <f t="shared" si="45"/>
        <v>0</v>
      </c>
      <c r="CB138" s="399">
        <f t="shared" si="46"/>
        <v>0</v>
      </c>
      <c r="CC138" s="399">
        <f t="shared" si="47"/>
        <v>0</v>
      </c>
      <c r="CD138" s="399">
        <f t="shared" si="48"/>
        <v>0</v>
      </c>
      <c r="CE138" s="399">
        <f t="shared" si="49"/>
        <v>0</v>
      </c>
      <c r="CF138" s="399">
        <f t="shared" si="50"/>
        <v>0</v>
      </c>
      <c r="CG138" s="399">
        <f t="shared" si="51"/>
        <v>0</v>
      </c>
      <c r="CH138" s="399">
        <f t="shared" si="52"/>
        <v>0</v>
      </c>
      <c r="CI138" s="399">
        <f t="shared" si="53"/>
        <v>0</v>
      </c>
      <c r="CJ138" s="399">
        <f t="shared" si="54"/>
        <v>0</v>
      </c>
      <c r="CK138" s="399">
        <f t="shared" si="55"/>
        <v>0</v>
      </c>
      <c r="CL138" s="399">
        <f t="shared" si="56"/>
        <v>0</v>
      </c>
      <c r="CM138" s="399">
        <f t="shared" si="57"/>
        <v>0</v>
      </c>
      <c r="CN138" s="399">
        <f t="shared" si="58"/>
        <v>0</v>
      </c>
      <c r="CO138" s="399">
        <f t="shared" si="59"/>
        <v>0</v>
      </c>
      <c r="CP138" s="399">
        <f t="shared" si="60"/>
        <v>0</v>
      </c>
      <c r="CQ138" s="423">
        <f t="shared" si="61"/>
        <v>0</v>
      </c>
      <c r="CS138" s="394" t="e">
        <f t="shared" si="62"/>
        <v>#DIV/0!</v>
      </c>
    </row>
    <row r="139" spans="3:97">
      <c r="C139" s="107"/>
      <c r="D139" s="395"/>
      <c r="E139" s="84"/>
      <c r="F139" s="84"/>
      <c r="G139" s="389"/>
      <c r="H139" s="390"/>
      <c r="I139" s="390"/>
      <c r="J139" s="390"/>
      <c r="K139" s="390"/>
      <c r="L139" s="390"/>
      <c r="M139" s="390"/>
      <c r="N139" s="390"/>
      <c r="O139" s="390"/>
      <c r="P139" s="390"/>
      <c r="Q139" s="390"/>
      <c r="R139" s="390"/>
      <c r="S139" s="390"/>
      <c r="T139" s="390"/>
      <c r="U139" s="390"/>
      <c r="V139" s="390"/>
      <c r="W139" s="390"/>
      <c r="X139" s="390"/>
      <c r="Y139" s="390"/>
      <c r="Z139" s="390"/>
      <c r="AA139" s="390"/>
      <c r="AB139" s="390"/>
      <c r="AC139" s="390"/>
      <c r="AD139" s="390"/>
      <c r="AE139" s="390"/>
      <c r="AF139" s="390"/>
      <c r="AG139" s="390"/>
      <c r="AH139" s="390"/>
      <c r="AI139" s="391"/>
      <c r="AK139" s="437"/>
      <c r="AL139" s="437"/>
      <c r="AM139" s="437"/>
      <c r="AN139" s="437"/>
      <c r="AO139" s="437"/>
      <c r="AP139" s="437"/>
      <c r="AQ139" s="437"/>
      <c r="AR139" s="437"/>
      <c r="AS139" s="437"/>
      <c r="AT139" s="437"/>
      <c r="AU139" s="437"/>
      <c r="AV139" s="437"/>
      <c r="AW139" s="437"/>
      <c r="AX139" s="437"/>
      <c r="AY139" s="437"/>
      <c r="AZ139" s="437"/>
      <c r="BA139" s="437"/>
      <c r="BB139" s="437"/>
      <c r="BC139" s="437"/>
      <c r="BD139" s="437"/>
      <c r="BE139" s="437"/>
      <c r="BF139" s="437"/>
      <c r="BG139" s="437"/>
      <c r="BH139" s="437"/>
      <c r="BI139" s="437"/>
      <c r="BJ139" s="437"/>
      <c r="BK139" s="437"/>
      <c r="BL139" s="437"/>
      <c r="BM139" s="393"/>
      <c r="BO139" s="399">
        <f t="shared" si="33"/>
        <v>0</v>
      </c>
      <c r="BP139" s="399">
        <f t="shared" si="34"/>
        <v>0</v>
      </c>
      <c r="BQ139" s="399">
        <f t="shared" si="35"/>
        <v>0</v>
      </c>
      <c r="BR139" s="399">
        <f t="shared" si="36"/>
        <v>0</v>
      </c>
      <c r="BS139" s="399">
        <f t="shared" si="37"/>
        <v>0</v>
      </c>
      <c r="BT139" s="399">
        <f t="shared" si="38"/>
        <v>0</v>
      </c>
      <c r="BU139" s="399">
        <f t="shared" si="39"/>
        <v>0</v>
      </c>
      <c r="BV139" s="399">
        <f t="shared" si="40"/>
        <v>0</v>
      </c>
      <c r="BW139" s="399">
        <f t="shared" si="41"/>
        <v>0</v>
      </c>
      <c r="BX139" s="399">
        <f t="shared" si="42"/>
        <v>0</v>
      </c>
      <c r="BY139" s="399">
        <f t="shared" si="43"/>
        <v>0</v>
      </c>
      <c r="BZ139" s="399">
        <f t="shared" si="44"/>
        <v>0</v>
      </c>
      <c r="CA139" s="399">
        <f t="shared" si="45"/>
        <v>0</v>
      </c>
      <c r="CB139" s="399">
        <f t="shared" si="46"/>
        <v>0</v>
      </c>
      <c r="CC139" s="399">
        <f t="shared" si="47"/>
        <v>0</v>
      </c>
      <c r="CD139" s="399">
        <f t="shared" si="48"/>
        <v>0</v>
      </c>
      <c r="CE139" s="399">
        <f t="shared" si="49"/>
        <v>0</v>
      </c>
      <c r="CF139" s="399">
        <f t="shared" si="50"/>
        <v>0</v>
      </c>
      <c r="CG139" s="399">
        <f t="shared" si="51"/>
        <v>0</v>
      </c>
      <c r="CH139" s="399">
        <f t="shared" si="52"/>
        <v>0</v>
      </c>
      <c r="CI139" s="399">
        <f t="shared" si="53"/>
        <v>0</v>
      </c>
      <c r="CJ139" s="399">
        <f t="shared" si="54"/>
        <v>0</v>
      </c>
      <c r="CK139" s="399">
        <f t="shared" si="55"/>
        <v>0</v>
      </c>
      <c r="CL139" s="399">
        <f t="shared" si="56"/>
        <v>0</v>
      </c>
      <c r="CM139" s="399">
        <f t="shared" si="57"/>
        <v>0</v>
      </c>
      <c r="CN139" s="399">
        <f t="shared" si="58"/>
        <v>0</v>
      </c>
      <c r="CO139" s="399">
        <f t="shared" si="59"/>
        <v>0</v>
      </c>
      <c r="CP139" s="399">
        <f t="shared" si="60"/>
        <v>0</v>
      </c>
      <c r="CQ139" s="423">
        <f t="shared" si="61"/>
        <v>0</v>
      </c>
      <c r="CS139" s="394" t="e">
        <f t="shared" si="62"/>
        <v>#DIV/0!</v>
      </c>
    </row>
    <row r="140" spans="3:97">
      <c r="C140" s="107"/>
      <c r="D140" s="395"/>
      <c r="E140" s="84"/>
      <c r="F140" s="84"/>
      <c r="G140" s="389"/>
      <c r="H140" s="390"/>
      <c r="I140" s="390"/>
      <c r="J140" s="390"/>
      <c r="K140" s="390"/>
      <c r="L140" s="390"/>
      <c r="M140" s="390"/>
      <c r="N140" s="390"/>
      <c r="O140" s="390"/>
      <c r="P140" s="390"/>
      <c r="Q140" s="390"/>
      <c r="R140" s="390"/>
      <c r="S140" s="390"/>
      <c r="T140" s="390"/>
      <c r="U140" s="390"/>
      <c r="V140" s="390"/>
      <c r="W140" s="390"/>
      <c r="X140" s="390"/>
      <c r="Y140" s="390"/>
      <c r="Z140" s="390"/>
      <c r="AA140" s="390"/>
      <c r="AB140" s="390"/>
      <c r="AC140" s="390"/>
      <c r="AD140" s="390"/>
      <c r="AE140" s="390"/>
      <c r="AF140" s="390"/>
      <c r="AG140" s="390"/>
      <c r="AH140" s="390"/>
      <c r="AI140" s="391"/>
      <c r="AK140" s="437"/>
      <c r="AL140" s="437"/>
      <c r="AM140" s="437"/>
      <c r="AN140" s="437"/>
      <c r="AO140" s="437"/>
      <c r="AP140" s="437"/>
      <c r="AQ140" s="437"/>
      <c r="AR140" s="437"/>
      <c r="AS140" s="437"/>
      <c r="AT140" s="437"/>
      <c r="AU140" s="437"/>
      <c r="AV140" s="437"/>
      <c r="AW140" s="437"/>
      <c r="AX140" s="437"/>
      <c r="AY140" s="437"/>
      <c r="AZ140" s="437"/>
      <c r="BA140" s="437"/>
      <c r="BB140" s="437"/>
      <c r="BC140" s="437"/>
      <c r="BD140" s="437"/>
      <c r="BE140" s="437"/>
      <c r="BF140" s="437"/>
      <c r="BG140" s="437"/>
      <c r="BH140" s="437"/>
      <c r="BI140" s="437"/>
      <c r="BJ140" s="437"/>
      <c r="BK140" s="437"/>
      <c r="BL140" s="437"/>
      <c r="BM140" s="393"/>
      <c r="BO140" s="399">
        <f t="shared" si="33"/>
        <v>0</v>
      </c>
      <c r="BP140" s="399">
        <f t="shared" si="34"/>
        <v>0</v>
      </c>
      <c r="BQ140" s="399">
        <f t="shared" si="35"/>
        <v>0</v>
      </c>
      <c r="BR140" s="399">
        <f t="shared" si="36"/>
        <v>0</v>
      </c>
      <c r="BS140" s="399">
        <f t="shared" si="37"/>
        <v>0</v>
      </c>
      <c r="BT140" s="399">
        <f t="shared" si="38"/>
        <v>0</v>
      </c>
      <c r="BU140" s="399">
        <f t="shared" si="39"/>
        <v>0</v>
      </c>
      <c r="BV140" s="399">
        <f t="shared" si="40"/>
        <v>0</v>
      </c>
      <c r="BW140" s="399">
        <f t="shared" si="41"/>
        <v>0</v>
      </c>
      <c r="BX140" s="399">
        <f t="shared" si="42"/>
        <v>0</v>
      </c>
      <c r="BY140" s="399">
        <f t="shared" si="43"/>
        <v>0</v>
      </c>
      <c r="BZ140" s="399">
        <f t="shared" si="44"/>
        <v>0</v>
      </c>
      <c r="CA140" s="399">
        <f t="shared" si="45"/>
        <v>0</v>
      </c>
      <c r="CB140" s="399">
        <f t="shared" si="46"/>
        <v>0</v>
      </c>
      <c r="CC140" s="399">
        <f t="shared" si="47"/>
        <v>0</v>
      </c>
      <c r="CD140" s="399">
        <f t="shared" si="48"/>
        <v>0</v>
      </c>
      <c r="CE140" s="399">
        <f t="shared" si="49"/>
        <v>0</v>
      </c>
      <c r="CF140" s="399">
        <f t="shared" si="50"/>
        <v>0</v>
      </c>
      <c r="CG140" s="399">
        <f t="shared" si="51"/>
        <v>0</v>
      </c>
      <c r="CH140" s="399">
        <f t="shared" si="52"/>
        <v>0</v>
      </c>
      <c r="CI140" s="399">
        <f t="shared" si="53"/>
        <v>0</v>
      </c>
      <c r="CJ140" s="399">
        <f t="shared" si="54"/>
        <v>0</v>
      </c>
      <c r="CK140" s="399">
        <f t="shared" si="55"/>
        <v>0</v>
      </c>
      <c r="CL140" s="399">
        <f t="shared" si="56"/>
        <v>0</v>
      </c>
      <c r="CM140" s="399">
        <f t="shared" si="57"/>
        <v>0</v>
      </c>
      <c r="CN140" s="399">
        <f t="shared" si="58"/>
        <v>0</v>
      </c>
      <c r="CO140" s="399">
        <f t="shared" si="59"/>
        <v>0</v>
      </c>
      <c r="CP140" s="399">
        <f t="shared" si="60"/>
        <v>0</v>
      </c>
      <c r="CQ140" s="423">
        <f t="shared" si="61"/>
        <v>0</v>
      </c>
      <c r="CS140" s="394" t="e">
        <f t="shared" si="62"/>
        <v>#DIV/0!</v>
      </c>
    </row>
    <row r="141" spans="3:97">
      <c r="C141" s="107"/>
      <c r="D141" s="395"/>
      <c r="E141" s="84"/>
      <c r="F141" s="84"/>
      <c r="G141" s="389"/>
      <c r="H141" s="390"/>
      <c r="I141" s="390"/>
      <c r="J141" s="390"/>
      <c r="K141" s="390"/>
      <c r="L141" s="390"/>
      <c r="M141" s="390"/>
      <c r="N141" s="390"/>
      <c r="O141" s="390"/>
      <c r="P141" s="390"/>
      <c r="Q141" s="390"/>
      <c r="R141" s="390"/>
      <c r="S141" s="390"/>
      <c r="T141" s="390"/>
      <c r="U141" s="390"/>
      <c r="V141" s="390"/>
      <c r="W141" s="390"/>
      <c r="X141" s="390"/>
      <c r="Y141" s="390"/>
      <c r="Z141" s="390"/>
      <c r="AA141" s="390"/>
      <c r="AB141" s="390"/>
      <c r="AC141" s="390"/>
      <c r="AD141" s="390"/>
      <c r="AE141" s="390"/>
      <c r="AF141" s="390"/>
      <c r="AG141" s="390"/>
      <c r="AH141" s="390"/>
      <c r="AI141" s="391"/>
      <c r="AK141" s="437"/>
      <c r="AL141" s="437"/>
      <c r="AM141" s="437"/>
      <c r="AN141" s="437"/>
      <c r="AO141" s="437"/>
      <c r="AP141" s="437"/>
      <c r="AQ141" s="437"/>
      <c r="AR141" s="437"/>
      <c r="AS141" s="437"/>
      <c r="AT141" s="437"/>
      <c r="AU141" s="437"/>
      <c r="AV141" s="437"/>
      <c r="AW141" s="437"/>
      <c r="AX141" s="437"/>
      <c r="AY141" s="437"/>
      <c r="AZ141" s="437"/>
      <c r="BA141" s="437"/>
      <c r="BB141" s="437"/>
      <c r="BC141" s="437"/>
      <c r="BD141" s="437"/>
      <c r="BE141" s="437"/>
      <c r="BF141" s="437"/>
      <c r="BG141" s="437"/>
      <c r="BH141" s="437"/>
      <c r="BI141" s="437"/>
      <c r="BJ141" s="437"/>
      <c r="BK141" s="437"/>
      <c r="BL141" s="437"/>
      <c r="BM141" s="393"/>
      <c r="BO141" s="399">
        <f t="shared" si="33"/>
        <v>0</v>
      </c>
      <c r="BP141" s="399">
        <f t="shared" si="34"/>
        <v>0</v>
      </c>
      <c r="BQ141" s="399">
        <f t="shared" si="35"/>
        <v>0</v>
      </c>
      <c r="BR141" s="399">
        <f t="shared" si="36"/>
        <v>0</v>
      </c>
      <c r="BS141" s="399">
        <f t="shared" si="37"/>
        <v>0</v>
      </c>
      <c r="BT141" s="399">
        <f t="shared" si="38"/>
        <v>0</v>
      </c>
      <c r="BU141" s="399">
        <f t="shared" si="39"/>
        <v>0</v>
      </c>
      <c r="BV141" s="399">
        <f t="shared" si="40"/>
        <v>0</v>
      </c>
      <c r="BW141" s="399">
        <f t="shared" si="41"/>
        <v>0</v>
      </c>
      <c r="BX141" s="399">
        <f t="shared" si="42"/>
        <v>0</v>
      </c>
      <c r="BY141" s="399">
        <f t="shared" si="43"/>
        <v>0</v>
      </c>
      <c r="BZ141" s="399">
        <f t="shared" si="44"/>
        <v>0</v>
      </c>
      <c r="CA141" s="399">
        <f t="shared" si="45"/>
        <v>0</v>
      </c>
      <c r="CB141" s="399">
        <f t="shared" si="46"/>
        <v>0</v>
      </c>
      <c r="CC141" s="399">
        <f t="shared" si="47"/>
        <v>0</v>
      </c>
      <c r="CD141" s="399">
        <f t="shared" si="48"/>
        <v>0</v>
      </c>
      <c r="CE141" s="399">
        <f t="shared" si="49"/>
        <v>0</v>
      </c>
      <c r="CF141" s="399">
        <f t="shared" si="50"/>
        <v>0</v>
      </c>
      <c r="CG141" s="399">
        <f t="shared" si="51"/>
        <v>0</v>
      </c>
      <c r="CH141" s="399">
        <f t="shared" si="52"/>
        <v>0</v>
      </c>
      <c r="CI141" s="399">
        <f t="shared" si="53"/>
        <v>0</v>
      </c>
      <c r="CJ141" s="399">
        <f t="shared" si="54"/>
        <v>0</v>
      </c>
      <c r="CK141" s="399">
        <f t="shared" si="55"/>
        <v>0</v>
      </c>
      <c r="CL141" s="399">
        <f t="shared" si="56"/>
        <v>0</v>
      </c>
      <c r="CM141" s="399">
        <f t="shared" si="57"/>
        <v>0</v>
      </c>
      <c r="CN141" s="399">
        <f t="shared" si="58"/>
        <v>0</v>
      </c>
      <c r="CO141" s="399">
        <f t="shared" si="59"/>
        <v>0</v>
      </c>
      <c r="CP141" s="399">
        <f t="shared" si="60"/>
        <v>0</v>
      </c>
      <c r="CQ141" s="423">
        <f t="shared" si="61"/>
        <v>0</v>
      </c>
      <c r="CS141" s="394" t="e">
        <f t="shared" si="62"/>
        <v>#DIV/0!</v>
      </c>
    </row>
    <row r="142" spans="3:97">
      <c r="C142" s="107"/>
      <c r="D142" s="395"/>
      <c r="E142" s="84"/>
      <c r="F142" s="84"/>
      <c r="G142" s="389"/>
      <c r="H142" s="390"/>
      <c r="I142" s="390"/>
      <c r="J142" s="390"/>
      <c r="K142" s="390"/>
      <c r="L142" s="390"/>
      <c r="M142" s="390"/>
      <c r="N142" s="390"/>
      <c r="O142" s="390"/>
      <c r="P142" s="390"/>
      <c r="Q142" s="390"/>
      <c r="R142" s="390"/>
      <c r="S142" s="390"/>
      <c r="T142" s="390"/>
      <c r="U142" s="390"/>
      <c r="V142" s="390"/>
      <c r="W142" s="390"/>
      <c r="X142" s="390"/>
      <c r="Y142" s="390"/>
      <c r="Z142" s="390"/>
      <c r="AA142" s="390"/>
      <c r="AB142" s="390"/>
      <c r="AC142" s="390"/>
      <c r="AD142" s="390"/>
      <c r="AE142" s="390"/>
      <c r="AF142" s="390"/>
      <c r="AG142" s="390"/>
      <c r="AH142" s="390"/>
      <c r="AI142" s="391"/>
      <c r="AK142" s="437"/>
      <c r="AL142" s="437"/>
      <c r="AM142" s="437"/>
      <c r="AN142" s="437"/>
      <c r="AO142" s="437"/>
      <c r="AP142" s="437"/>
      <c r="AQ142" s="437"/>
      <c r="AR142" s="437"/>
      <c r="AS142" s="437"/>
      <c r="AT142" s="437"/>
      <c r="AU142" s="437"/>
      <c r="AV142" s="437"/>
      <c r="AW142" s="437"/>
      <c r="AX142" s="437"/>
      <c r="AY142" s="437"/>
      <c r="AZ142" s="437"/>
      <c r="BA142" s="437"/>
      <c r="BB142" s="437"/>
      <c r="BC142" s="437"/>
      <c r="BD142" s="437"/>
      <c r="BE142" s="437"/>
      <c r="BF142" s="437"/>
      <c r="BG142" s="437"/>
      <c r="BH142" s="437"/>
      <c r="BI142" s="437"/>
      <c r="BJ142" s="437"/>
      <c r="BK142" s="437"/>
      <c r="BL142" s="437"/>
      <c r="BM142" s="393"/>
      <c r="BO142" s="399">
        <f t="shared" si="33"/>
        <v>0</v>
      </c>
      <c r="BP142" s="399">
        <f t="shared" si="34"/>
        <v>0</v>
      </c>
      <c r="BQ142" s="399">
        <f t="shared" si="35"/>
        <v>0</v>
      </c>
      <c r="BR142" s="399">
        <f t="shared" si="36"/>
        <v>0</v>
      </c>
      <c r="BS142" s="399">
        <f t="shared" si="37"/>
        <v>0</v>
      </c>
      <c r="BT142" s="399">
        <f t="shared" si="38"/>
        <v>0</v>
      </c>
      <c r="BU142" s="399">
        <f t="shared" si="39"/>
        <v>0</v>
      </c>
      <c r="BV142" s="399">
        <f t="shared" si="40"/>
        <v>0</v>
      </c>
      <c r="BW142" s="399">
        <f t="shared" si="41"/>
        <v>0</v>
      </c>
      <c r="BX142" s="399">
        <f t="shared" si="42"/>
        <v>0</v>
      </c>
      <c r="BY142" s="399">
        <f t="shared" si="43"/>
        <v>0</v>
      </c>
      <c r="BZ142" s="399">
        <f t="shared" si="44"/>
        <v>0</v>
      </c>
      <c r="CA142" s="399">
        <f t="shared" si="45"/>
        <v>0</v>
      </c>
      <c r="CB142" s="399">
        <f t="shared" si="46"/>
        <v>0</v>
      </c>
      <c r="CC142" s="399">
        <f t="shared" si="47"/>
        <v>0</v>
      </c>
      <c r="CD142" s="399">
        <f t="shared" si="48"/>
        <v>0</v>
      </c>
      <c r="CE142" s="399">
        <f t="shared" si="49"/>
        <v>0</v>
      </c>
      <c r="CF142" s="399">
        <f t="shared" si="50"/>
        <v>0</v>
      </c>
      <c r="CG142" s="399">
        <f t="shared" si="51"/>
        <v>0</v>
      </c>
      <c r="CH142" s="399">
        <f t="shared" si="52"/>
        <v>0</v>
      </c>
      <c r="CI142" s="399">
        <f t="shared" si="53"/>
        <v>0</v>
      </c>
      <c r="CJ142" s="399">
        <f t="shared" si="54"/>
        <v>0</v>
      </c>
      <c r="CK142" s="399">
        <f t="shared" si="55"/>
        <v>0</v>
      </c>
      <c r="CL142" s="399">
        <f t="shared" si="56"/>
        <v>0</v>
      </c>
      <c r="CM142" s="399">
        <f t="shared" si="57"/>
        <v>0</v>
      </c>
      <c r="CN142" s="399">
        <f t="shared" si="58"/>
        <v>0</v>
      </c>
      <c r="CO142" s="399">
        <f t="shared" si="59"/>
        <v>0</v>
      </c>
      <c r="CP142" s="399">
        <f t="shared" si="60"/>
        <v>0</v>
      </c>
      <c r="CQ142" s="423">
        <f t="shared" si="61"/>
        <v>0</v>
      </c>
      <c r="CS142" s="394" t="e">
        <f t="shared" si="62"/>
        <v>#DIV/0!</v>
      </c>
    </row>
    <row r="143" spans="3:97">
      <c r="C143" s="107"/>
      <c r="D143" s="395"/>
      <c r="E143" s="84"/>
      <c r="F143" s="84"/>
      <c r="G143" s="389"/>
      <c r="H143" s="390"/>
      <c r="I143" s="390"/>
      <c r="J143" s="390"/>
      <c r="K143" s="390"/>
      <c r="L143" s="390"/>
      <c r="M143" s="390"/>
      <c r="N143" s="390"/>
      <c r="O143" s="390"/>
      <c r="P143" s="390"/>
      <c r="Q143" s="390"/>
      <c r="R143" s="390"/>
      <c r="S143" s="390"/>
      <c r="T143" s="390"/>
      <c r="U143" s="390"/>
      <c r="V143" s="390"/>
      <c r="W143" s="390"/>
      <c r="X143" s="390"/>
      <c r="Y143" s="390"/>
      <c r="Z143" s="390"/>
      <c r="AA143" s="390"/>
      <c r="AB143" s="390"/>
      <c r="AC143" s="390"/>
      <c r="AD143" s="390"/>
      <c r="AE143" s="390"/>
      <c r="AF143" s="390"/>
      <c r="AG143" s="390"/>
      <c r="AH143" s="390"/>
      <c r="AI143" s="391"/>
      <c r="AK143" s="437"/>
      <c r="AL143" s="437"/>
      <c r="AM143" s="437"/>
      <c r="AN143" s="437"/>
      <c r="AO143" s="437"/>
      <c r="AP143" s="437"/>
      <c r="AQ143" s="437"/>
      <c r="AR143" s="437"/>
      <c r="AS143" s="437"/>
      <c r="AT143" s="437"/>
      <c r="AU143" s="437"/>
      <c r="AV143" s="437"/>
      <c r="AW143" s="437"/>
      <c r="AX143" s="437"/>
      <c r="AY143" s="437"/>
      <c r="AZ143" s="437"/>
      <c r="BA143" s="437"/>
      <c r="BB143" s="437"/>
      <c r="BC143" s="437"/>
      <c r="BD143" s="437"/>
      <c r="BE143" s="437"/>
      <c r="BF143" s="437"/>
      <c r="BG143" s="437"/>
      <c r="BH143" s="437"/>
      <c r="BI143" s="437"/>
      <c r="BJ143" s="437"/>
      <c r="BK143" s="437"/>
      <c r="BL143" s="437"/>
      <c r="BM143" s="393"/>
      <c r="BO143" s="399">
        <f t="shared" si="33"/>
        <v>0</v>
      </c>
      <c r="BP143" s="399">
        <f t="shared" si="34"/>
        <v>0</v>
      </c>
      <c r="BQ143" s="399">
        <f t="shared" si="35"/>
        <v>0</v>
      </c>
      <c r="BR143" s="399">
        <f t="shared" si="36"/>
        <v>0</v>
      </c>
      <c r="BS143" s="399">
        <f t="shared" si="37"/>
        <v>0</v>
      </c>
      <c r="BT143" s="399">
        <f t="shared" si="38"/>
        <v>0</v>
      </c>
      <c r="BU143" s="399">
        <f t="shared" si="39"/>
        <v>0</v>
      </c>
      <c r="BV143" s="399">
        <f t="shared" si="40"/>
        <v>0</v>
      </c>
      <c r="BW143" s="399">
        <f t="shared" si="41"/>
        <v>0</v>
      </c>
      <c r="BX143" s="399">
        <f t="shared" si="42"/>
        <v>0</v>
      </c>
      <c r="BY143" s="399">
        <f t="shared" si="43"/>
        <v>0</v>
      </c>
      <c r="BZ143" s="399">
        <f t="shared" si="44"/>
        <v>0</v>
      </c>
      <c r="CA143" s="399">
        <f t="shared" si="45"/>
        <v>0</v>
      </c>
      <c r="CB143" s="399">
        <f t="shared" si="46"/>
        <v>0</v>
      </c>
      <c r="CC143" s="399">
        <f t="shared" si="47"/>
        <v>0</v>
      </c>
      <c r="CD143" s="399">
        <f t="shared" si="48"/>
        <v>0</v>
      </c>
      <c r="CE143" s="399">
        <f t="shared" si="49"/>
        <v>0</v>
      </c>
      <c r="CF143" s="399">
        <f t="shared" si="50"/>
        <v>0</v>
      </c>
      <c r="CG143" s="399">
        <f t="shared" si="51"/>
        <v>0</v>
      </c>
      <c r="CH143" s="399">
        <f t="shared" si="52"/>
        <v>0</v>
      </c>
      <c r="CI143" s="399">
        <f t="shared" si="53"/>
        <v>0</v>
      </c>
      <c r="CJ143" s="399">
        <f t="shared" si="54"/>
        <v>0</v>
      </c>
      <c r="CK143" s="399">
        <f t="shared" si="55"/>
        <v>0</v>
      </c>
      <c r="CL143" s="399">
        <f t="shared" si="56"/>
        <v>0</v>
      </c>
      <c r="CM143" s="399">
        <f t="shared" si="57"/>
        <v>0</v>
      </c>
      <c r="CN143" s="399">
        <f t="shared" si="58"/>
        <v>0</v>
      </c>
      <c r="CO143" s="399">
        <f t="shared" si="59"/>
        <v>0</v>
      </c>
      <c r="CP143" s="399">
        <f t="shared" si="60"/>
        <v>0</v>
      </c>
      <c r="CQ143" s="423">
        <f t="shared" si="61"/>
        <v>0</v>
      </c>
      <c r="CS143" s="394" t="e">
        <f t="shared" si="62"/>
        <v>#DIV/0!</v>
      </c>
    </row>
    <row r="144" spans="3:97">
      <c r="C144" s="107"/>
      <c r="D144" s="395"/>
      <c r="E144" s="84"/>
      <c r="F144" s="84"/>
      <c r="G144" s="389"/>
      <c r="H144" s="390"/>
      <c r="I144" s="390"/>
      <c r="J144" s="390"/>
      <c r="K144" s="390"/>
      <c r="L144" s="390"/>
      <c r="M144" s="390"/>
      <c r="N144" s="390"/>
      <c r="O144" s="390"/>
      <c r="P144" s="390"/>
      <c r="Q144" s="390"/>
      <c r="R144" s="390"/>
      <c r="S144" s="390"/>
      <c r="T144" s="390"/>
      <c r="U144" s="390"/>
      <c r="V144" s="390"/>
      <c r="W144" s="390"/>
      <c r="X144" s="390"/>
      <c r="Y144" s="390"/>
      <c r="Z144" s="390"/>
      <c r="AA144" s="390"/>
      <c r="AB144" s="390"/>
      <c r="AC144" s="390"/>
      <c r="AD144" s="390"/>
      <c r="AE144" s="390"/>
      <c r="AF144" s="390"/>
      <c r="AG144" s="390"/>
      <c r="AH144" s="390"/>
      <c r="AI144" s="391"/>
      <c r="AK144" s="437"/>
      <c r="AL144" s="437"/>
      <c r="AM144" s="437"/>
      <c r="AN144" s="437"/>
      <c r="AO144" s="437"/>
      <c r="AP144" s="437"/>
      <c r="AQ144" s="437"/>
      <c r="AR144" s="437"/>
      <c r="AS144" s="437"/>
      <c r="AT144" s="437"/>
      <c r="AU144" s="437"/>
      <c r="AV144" s="437"/>
      <c r="AW144" s="437"/>
      <c r="AX144" s="437"/>
      <c r="AY144" s="437"/>
      <c r="AZ144" s="437"/>
      <c r="BA144" s="437"/>
      <c r="BB144" s="437"/>
      <c r="BC144" s="437"/>
      <c r="BD144" s="437"/>
      <c r="BE144" s="437"/>
      <c r="BF144" s="437"/>
      <c r="BG144" s="437"/>
      <c r="BH144" s="437"/>
      <c r="BI144" s="437"/>
      <c r="BJ144" s="437"/>
      <c r="BK144" s="437"/>
      <c r="BL144" s="437"/>
      <c r="BM144" s="393"/>
      <c r="BO144" s="399">
        <f t="shared" si="33"/>
        <v>0</v>
      </c>
      <c r="BP144" s="399">
        <f t="shared" si="34"/>
        <v>0</v>
      </c>
      <c r="BQ144" s="399">
        <f t="shared" si="35"/>
        <v>0</v>
      </c>
      <c r="BR144" s="399">
        <f t="shared" si="36"/>
        <v>0</v>
      </c>
      <c r="BS144" s="399">
        <f t="shared" si="37"/>
        <v>0</v>
      </c>
      <c r="BT144" s="399">
        <f t="shared" si="38"/>
        <v>0</v>
      </c>
      <c r="BU144" s="399">
        <f t="shared" si="39"/>
        <v>0</v>
      </c>
      <c r="BV144" s="399">
        <f t="shared" si="40"/>
        <v>0</v>
      </c>
      <c r="BW144" s="399">
        <f t="shared" si="41"/>
        <v>0</v>
      </c>
      <c r="BX144" s="399">
        <f t="shared" si="42"/>
        <v>0</v>
      </c>
      <c r="BY144" s="399">
        <f t="shared" si="43"/>
        <v>0</v>
      </c>
      <c r="BZ144" s="399">
        <f t="shared" si="44"/>
        <v>0</v>
      </c>
      <c r="CA144" s="399">
        <f t="shared" si="45"/>
        <v>0</v>
      </c>
      <c r="CB144" s="399">
        <f t="shared" si="46"/>
        <v>0</v>
      </c>
      <c r="CC144" s="399">
        <f t="shared" si="47"/>
        <v>0</v>
      </c>
      <c r="CD144" s="399">
        <f t="shared" si="48"/>
        <v>0</v>
      </c>
      <c r="CE144" s="399">
        <f t="shared" si="49"/>
        <v>0</v>
      </c>
      <c r="CF144" s="399">
        <f t="shared" si="50"/>
        <v>0</v>
      </c>
      <c r="CG144" s="399">
        <f t="shared" si="51"/>
        <v>0</v>
      </c>
      <c r="CH144" s="399">
        <f t="shared" si="52"/>
        <v>0</v>
      </c>
      <c r="CI144" s="399">
        <f t="shared" si="53"/>
        <v>0</v>
      </c>
      <c r="CJ144" s="399">
        <f t="shared" si="54"/>
        <v>0</v>
      </c>
      <c r="CK144" s="399">
        <f t="shared" si="55"/>
        <v>0</v>
      </c>
      <c r="CL144" s="399">
        <f t="shared" si="56"/>
        <v>0</v>
      </c>
      <c r="CM144" s="399">
        <f t="shared" si="57"/>
        <v>0</v>
      </c>
      <c r="CN144" s="399">
        <f t="shared" si="58"/>
        <v>0</v>
      </c>
      <c r="CO144" s="399">
        <f t="shared" si="59"/>
        <v>0</v>
      </c>
      <c r="CP144" s="399">
        <f t="shared" si="60"/>
        <v>0</v>
      </c>
      <c r="CQ144" s="423">
        <f t="shared" si="61"/>
        <v>0</v>
      </c>
      <c r="CS144" s="394" t="e">
        <f t="shared" si="62"/>
        <v>#DIV/0!</v>
      </c>
    </row>
    <row r="145" spans="3:97">
      <c r="C145" s="107"/>
      <c r="D145" s="395"/>
      <c r="E145" s="84"/>
      <c r="F145" s="84"/>
      <c r="G145" s="389"/>
      <c r="H145" s="390"/>
      <c r="I145" s="390"/>
      <c r="J145" s="390"/>
      <c r="K145" s="390"/>
      <c r="L145" s="390"/>
      <c r="M145" s="390"/>
      <c r="N145" s="390"/>
      <c r="O145" s="390"/>
      <c r="P145" s="390"/>
      <c r="Q145" s="390"/>
      <c r="R145" s="390"/>
      <c r="S145" s="390"/>
      <c r="T145" s="390"/>
      <c r="U145" s="390"/>
      <c r="V145" s="390"/>
      <c r="W145" s="390"/>
      <c r="X145" s="390"/>
      <c r="Y145" s="390"/>
      <c r="Z145" s="390"/>
      <c r="AA145" s="390"/>
      <c r="AB145" s="390"/>
      <c r="AC145" s="390"/>
      <c r="AD145" s="390"/>
      <c r="AE145" s="390"/>
      <c r="AF145" s="390"/>
      <c r="AG145" s="390"/>
      <c r="AH145" s="390"/>
      <c r="AI145" s="391"/>
      <c r="AK145" s="437"/>
      <c r="AL145" s="437"/>
      <c r="AM145" s="437"/>
      <c r="AN145" s="437"/>
      <c r="AO145" s="437"/>
      <c r="AP145" s="437"/>
      <c r="AQ145" s="437"/>
      <c r="AR145" s="437"/>
      <c r="AS145" s="437"/>
      <c r="AT145" s="437"/>
      <c r="AU145" s="437"/>
      <c r="AV145" s="437"/>
      <c r="AW145" s="437"/>
      <c r="AX145" s="437"/>
      <c r="AY145" s="437"/>
      <c r="AZ145" s="437"/>
      <c r="BA145" s="437"/>
      <c r="BB145" s="437"/>
      <c r="BC145" s="437"/>
      <c r="BD145" s="437"/>
      <c r="BE145" s="437"/>
      <c r="BF145" s="437"/>
      <c r="BG145" s="437"/>
      <c r="BH145" s="437"/>
      <c r="BI145" s="437"/>
      <c r="BJ145" s="437"/>
      <c r="BK145" s="437"/>
      <c r="BL145" s="437"/>
      <c r="BM145" s="393"/>
      <c r="BO145" s="399">
        <f t="shared" si="33"/>
        <v>0</v>
      </c>
      <c r="BP145" s="399">
        <f t="shared" si="34"/>
        <v>0</v>
      </c>
      <c r="BQ145" s="399">
        <f t="shared" si="35"/>
        <v>0</v>
      </c>
      <c r="BR145" s="399">
        <f t="shared" si="36"/>
        <v>0</v>
      </c>
      <c r="BS145" s="399">
        <f t="shared" si="37"/>
        <v>0</v>
      </c>
      <c r="BT145" s="399">
        <f t="shared" si="38"/>
        <v>0</v>
      </c>
      <c r="BU145" s="399">
        <f t="shared" si="39"/>
        <v>0</v>
      </c>
      <c r="BV145" s="399">
        <f t="shared" si="40"/>
        <v>0</v>
      </c>
      <c r="BW145" s="399">
        <f t="shared" si="41"/>
        <v>0</v>
      </c>
      <c r="BX145" s="399">
        <f t="shared" si="42"/>
        <v>0</v>
      </c>
      <c r="BY145" s="399">
        <f t="shared" si="43"/>
        <v>0</v>
      </c>
      <c r="BZ145" s="399">
        <f t="shared" si="44"/>
        <v>0</v>
      </c>
      <c r="CA145" s="399">
        <f t="shared" si="45"/>
        <v>0</v>
      </c>
      <c r="CB145" s="399">
        <f t="shared" si="46"/>
        <v>0</v>
      </c>
      <c r="CC145" s="399">
        <f t="shared" si="47"/>
        <v>0</v>
      </c>
      <c r="CD145" s="399">
        <f t="shared" si="48"/>
        <v>0</v>
      </c>
      <c r="CE145" s="399">
        <f t="shared" si="49"/>
        <v>0</v>
      </c>
      <c r="CF145" s="399">
        <f t="shared" si="50"/>
        <v>0</v>
      </c>
      <c r="CG145" s="399">
        <f t="shared" si="51"/>
        <v>0</v>
      </c>
      <c r="CH145" s="399">
        <f t="shared" si="52"/>
        <v>0</v>
      </c>
      <c r="CI145" s="399">
        <f t="shared" si="53"/>
        <v>0</v>
      </c>
      <c r="CJ145" s="399">
        <f t="shared" si="54"/>
        <v>0</v>
      </c>
      <c r="CK145" s="399">
        <f t="shared" si="55"/>
        <v>0</v>
      </c>
      <c r="CL145" s="399">
        <f t="shared" si="56"/>
        <v>0</v>
      </c>
      <c r="CM145" s="399">
        <f t="shared" si="57"/>
        <v>0</v>
      </c>
      <c r="CN145" s="399">
        <f t="shared" si="58"/>
        <v>0</v>
      </c>
      <c r="CO145" s="399">
        <f t="shared" si="59"/>
        <v>0</v>
      </c>
      <c r="CP145" s="399">
        <f t="shared" si="60"/>
        <v>0</v>
      </c>
      <c r="CQ145" s="423">
        <f t="shared" si="61"/>
        <v>0</v>
      </c>
      <c r="CS145" s="394" t="e">
        <f t="shared" si="62"/>
        <v>#DIV/0!</v>
      </c>
    </row>
    <row r="146" spans="3:97">
      <c r="C146" s="107"/>
      <c r="D146" s="395"/>
      <c r="E146" s="84"/>
      <c r="F146" s="84"/>
      <c r="G146" s="389"/>
      <c r="H146" s="390"/>
      <c r="I146" s="390"/>
      <c r="J146" s="390"/>
      <c r="K146" s="390"/>
      <c r="L146" s="390"/>
      <c r="M146" s="390"/>
      <c r="N146" s="390"/>
      <c r="O146" s="390"/>
      <c r="P146" s="390"/>
      <c r="Q146" s="390"/>
      <c r="R146" s="390"/>
      <c r="S146" s="390"/>
      <c r="T146" s="390"/>
      <c r="U146" s="390"/>
      <c r="V146" s="390"/>
      <c r="W146" s="390"/>
      <c r="X146" s="390"/>
      <c r="Y146" s="390"/>
      <c r="Z146" s="390"/>
      <c r="AA146" s="390"/>
      <c r="AB146" s="390"/>
      <c r="AC146" s="390"/>
      <c r="AD146" s="390"/>
      <c r="AE146" s="390"/>
      <c r="AF146" s="390"/>
      <c r="AG146" s="390"/>
      <c r="AH146" s="390"/>
      <c r="AI146" s="391"/>
      <c r="AK146" s="437"/>
      <c r="AL146" s="437"/>
      <c r="AM146" s="437"/>
      <c r="AN146" s="437"/>
      <c r="AO146" s="437"/>
      <c r="AP146" s="437"/>
      <c r="AQ146" s="437"/>
      <c r="AR146" s="437"/>
      <c r="AS146" s="437"/>
      <c r="AT146" s="437"/>
      <c r="AU146" s="437"/>
      <c r="AV146" s="437"/>
      <c r="AW146" s="437"/>
      <c r="AX146" s="437"/>
      <c r="AY146" s="437"/>
      <c r="AZ146" s="437"/>
      <c r="BA146" s="437"/>
      <c r="BB146" s="437"/>
      <c r="BC146" s="437"/>
      <c r="BD146" s="437"/>
      <c r="BE146" s="437"/>
      <c r="BF146" s="437"/>
      <c r="BG146" s="437"/>
      <c r="BH146" s="437"/>
      <c r="BI146" s="437"/>
      <c r="BJ146" s="437"/>
      <c r="BK146" s="437"/>
      <c r="BL146" s="437"/>
      <c r="BM146" s="393"/>
      <c r="BO146" s="399">
        <f t="shared" si="33"/>
        <v>0</v>
      </c>
      <c r="BP146" s="399">
        <f t="shared" si="34"/>
        <v>0</v>
      </c>
      <c r="BQ146" s="399">
        <f t="shared" si="35"/>
        <v>0</v>
      </c>
      <c r="BR146" s="399">
        <f t="shared" si="36"/>
        <v>0</v>
      </c>
      <c r="BS146" s="399">
        <f t="shared" si="37"/>
        <v>0</v>
      </c>
      <c r="BT146" s="399">
        <f t="shared" si="38"/>
        <v>0</v>
      </c>
      <c r="BU146" s="399">
        <f t="shared" si="39"/>
        <v>0</v>
      </c>
      <c r="BV146" s="399">
        <f t="shared" si="40"/>
        <v>0</v>
      </c>
      <c r="BW146" s="399">
        <f t="shared" si="41"/>
        <v>0</v>
      </c>
      <c r="BX146" s="399">
        <f t="shared" si="42"/>
        <v>0</v>
      </c>
      <c r="BY146" s="399">
        <f t="shared" si="43"/>
        <v>0</v>
      </c>
      <c r="BZ146" s="399">
        <f t="shared" si="44"/>
        <v>0</v>
      </c>
      <c r="CA146" s="399">
        <f t="shared" si="45"/>
        <v>0</v>
      </c>
      <c r="CB146" s="399">
        <f t="shared" si="46"/>
        <v>0</v>
      </c>
      <c r="CC146" s="399">
        <f t="shared" si="47"/>
        <v>0</v>
      </c>
      <c r="CD146" s="399">
        <f t="shared" si="48"/>
        <v>0</v>
      </c>
      <c r="CE146" s="399">
        <f t="shared" si="49"/>
        <v>0</v>
      </c>
      <c r="CF146" s="399">
        <f t="shared" si="50"/>
        <v>0</v>
      </c>
      <c r="CG146" s="399">
        <f t="shared" si="51"/>
        <v>0</v>
      </c>
      <c r="CH146" s="399">
        <f t="shared" si="52"/>
        <v>0</v>
      </c>
      <c r="CI146" s="399">
        <f t="shared" si="53"/>
        <v>0</v>
      </c>
      <c r="CJ146" s="399">
        <f t="shared" si="54"/>
        <v>0</v>
      </c>
      <c r="CK146" s="399">
        <f t="shared" si="55"/>
        <v>0</v>
      </c>
      <c r="CL146" s="399">
        <f t="shared" si="56"/>
        <v>0</v>
      </c>
      <c r="CM146" s="399">
        <f t="shared" si="57"/>
        <v>0</v>
      </c>
      <c r="CN146" s="399">
        <f t="shared" si="58"/>
        <v>0</v>
      </c>
      <c r="CO146" s="399">
        <f t="shared" si="59"/>
        <v>0</v>
      </c>
      <c r="CP146" s="399">
        <f t="shared" si="60"/>
        <v>0</v>
      </c>
      <c r="CQ146" s="423">
        <f t="shared" si="61"/>
        <v>0</v>
      </c>
      <c r="CS146" s="394" t="e">
        <f t="shared" si="62"/>
        <v>#DIV/0!</v>
      </c>
    </row>
    <row r="147" spans="3:97">
      <c r="C147" s="107"/>
      <c r="D147" s="395"/>
      <c r="E147" s="84"/>
      <c r="F147" s="84"/>
      <c r="G147" s="389"/>
      <c r="H147" s="390"/>
      <c r="I147" s="390"/>
      <c r="J147" s="390"/>
      <c r="K147" s="390"/>
      <c r="L147" s="390"/>
      <c r="M147" s="390"/>
      <c r="N147" s="390"/>
      <c r="O147" s="390"/>
      <c r="P147" s="390"/>
      <c r="Q147" s="390"/>
      <c r="R147" s="390"/>
      <c r="S147" s="390"/>
      <c r="T147" s="390"/>
      <c r="U147" s="390"/>
      <c r="V147" s="390"/>
      <c r="W147" s="390"/>
      <c r="X147" s="390"/>
      <c r="Y147" s="390"/>
      <c r="Z147" s="390"/>
      <c r="AA147" s="390"/>
      <c r="AB147" s="390"/>
      <c r="AC147" s="390"/>
      <c r="AD147" s="390"/>
      <c r="AE147" s="390"/>
      <c r="AF147" s="390"/>
      <c r="AG147" s="390"/>
      <c r="AH147" s="390"/>
      <c r="AI147" s="391"/>
      <c r="AK147" s="437"/>
      <c r="AL147" s="437"/>
      <c r="AM147" s="437"/>
      <c r="AN147" s="437"/>
      <c r="AO147" s="437"/>
      <c r="AP147" s="437"/>
      <c r="AQ147" s="437"/>
      <c r="AR147" s="437"/>
      <c r="AS147" s="437"/>
      <c r="AT147" s="437"/>
      <c r="AU147" s="437"/>
      <c r="AV147" s="437"/>
      <c r="AW147" s="437"/>
      <c r="AX147" s="437"/>
      <c r="AY147" s="437"/>
      <c r="AZ147" s="437"/>
      <c r="BA147" s="437"/>
      <c r="BB147" s="437"/>
      <c r="BC147" s="437"/>
      <c r="BD147" s="437"/>
      <c r="BE147" s="437"/>
      <c r="BF147" s="437"/>
      <c r="BG147" s="437"/>
      <c r="BH147" s="437"/>
      <c r="BI147" s="437"/>
      <c r="BJ147" s="437"/>
      <c r="BK147" s="437"/>
      <c r="BL147" s="437"/>
      <c r="BM147" s="393"/>
      <c r="BO147" s="399">
        <f t="shared" ref="BO147:BO210" si="63">G147*BO$4</f>
        <v>0</v>
      </c>
      <c r="BP147" s="399">
        <f t="shared" ref="BP147:BP210" si="64">H147*BP$4</f>
        <v>0</v>
      </c>
      <c r="BQ147" s="399">
        <f t="shared" ref="BQ147:BQ210" si="65">I147*BQ$4</f>
        <v>0</v>
      </c>
      <c r="BR147" s="399">
        <f t="shared" ref="BR147:BR210" si="66">J147*BR$4</f>
        <v>0</v>
      </c>
      <c r="BS147" s="399">
        <f t="shared" ref="BS147:BS210" si="67">K147*BS$4</f>
        <v>0</v>
      </c>
      <c r="BT147" s="399">
        <f t="shared" ref="BT147:BT210" si="68">L147*BT$4</f>
        <v>0</v>
      </c>
      <c r="BU147" s="399">
        <f t="shared" ref="BU147:BU210" si="69">M147*BU$4</f>
        <v>0</v>
      </c>
      <c r="BV147" s="399">
        <f t="shared" ref="BV147:BV210" si="70">N147*BV$4</f>
        <v>0</v>
      </c>
      <c r="BW147" s="399">
        <f t="shared" ref="BW147:BW210" si="71">O147*BW$4</f>
        <v>0</v>
      </c>
      <c r="BX147" s="399">
        <f t="shared" ref="BX147:BX210" si="72">P147*BX$4</f>
        <v>0</v>
      </c>
      <c r="BY147" s="399">
        <f t="shared" ref="BY147:BY210" si="73">Q147*BY$4</f>
        <v>0</v>
      </c>
      <c r="BZ147" s="399">
        <f t="shared" ref="BZ147:BZ210" si="74">R147*BZ$4</f>
        <v>0</v>
      </c>
      <c r="CA147" s="399">
        <f t="shared" ref="CA147:CA210" si="75">S147*CA$4</f>
        <v>0</v>
      </c>
      <c r="CB147" s="399">
        <f t="shared" ref="CB147:CB210" si="76">T147*CB$4</f>
        <v>0</v>
      </c>
      <c r="CC147" s="399">
        <f t="shared" ref="CC147:CC210" si="77">U147*CC$4</f>
        <v>0</v>
      </c>
      <c r="CD147" s="399">
        <f t="shared" ref="CD147:CD210" si="78">V147*CD$4</f>
        <v>0</v>
      </c>
      <c r="CE147" s="399">
        <f t="shared" ref="CE147:CE210" si="79">W147*CE$4</f>
        <v>0</v>
      </c>
      <c r="CF147" s="399">
        <f t="shared" ref="CF147:CF210" si="80">X147*CF$4</f>
        <v>0</v>
      </c>
      <c r="CG147" s="399">
        <f t="shared" ref="CG147:CG210" si="81">Y147*CG$4</f>
        <v>0</v>
      </c>
      <c r="CH147" s="399">
        <f t="shared" ref="CH147:CH210" si="82">Z147*CH$4</f>
        <v>0</v>
      </c>
      <c r="CI147" s="399">
        <f t="shared" ref="CI147:CI210" si="83">AA147*CI$4</f>
        <v>0</v>
      </c>
      <c r="CJ147" s="399">
        <f t="shared" ref="CJ147:CJ210" si="84">AB147*CJ$4</f>
        <v>0</v>
      </c>
      <c r="CK147" s="399">
        <f t="shared" ref="CK147:CK210" si="85">AC147*CK$4</f>
        <v>0</v>
      </c>
      <c r="CL147" s="399">
        <f t="shared" ref="CL147:CL210" si="86">AD147*CL$4</f>
        <v>0</v>
      </c>
      <c r="CM147" s="399">
        <f t="shared" ref="CM147:CM210" si="87">AE147*CM$4</f>
        <v>0</v>
      </c>
      <c r="CN147" s="399">
        <f t="shared" ref="CN147:CN210" si="88">AF147*CN$4</f>
        <v>0</v>
      </c>
      <c r="CO147" s="399">
        <f t="shared" ref="CO147:CO210" si="89">AG147*CO$4</f>
        <v>0</v>
      </c>
      <c r="CP147" s="399">
        <f t="shared" ref="CP147:CP210" si="90">AH147*CP$4</f>
        <v>0</v>
      </c>
      <c r="CQ147" s="423">
        <f t="shared" ref="CQ147:CQ210" si="91">SUM(BO147:CP147)</f>
        <v>0</v>
      </c>
      <c r="CS147" s="394" t="e">
        <f t="shared" ref="CS147:CS210" si="92">CQ147/AI147</f>
        <v>#DIV/0!</v>
      </c>
    </row>
    <row r="148" spans="3:97">
      <c r="C148" s="107"/>
      <c r="D148" s="395"/>
      <c r="E148" s="84"/>
      <c r="F148" s="84"/>
      <c r="G148" s="389"/>
      <c r="H148" s="390"/>
      <c r="I148" s="390"/>
      <c r="J148" s="390"/>
      <c r="K148" s="390"/>
      <c r="L148" s="390"/>
      <c r="M148" s="390"/>
      <c r="N148" s="390"/>
      <c r="O148" s="390"/>
      <c r="P148" s="390"/>
      <c r="Q148" s="390"/>
      <c r="R148" s="390"/>
      <c r="S148" s="390"/>
      <c r="T148" s="390"/>
      <c r="U148" s="390"/>
      <c r="V148" s="390"/>
      <c r="W148" s="390"/>
      <c r="X148" s="390"/>
      <c r="Y148" s="390"/>
      <c r="Z148" s="390"/>
      <c r="AA148" s="390"/>
      <c r="AB148" s="390"/>
      <c r="AC148" s="390"/>
      <c r="AD148" s="390"/>
      <c r="AE148" s="390"/>
      <c r="AF148" s="390"/>
      <c r="AG148" s="390"/>
      <c r="AH148" s="390"/>
      <c r="AI148" s="391"/>
      <c r="AK148" s="437"/>
      <c r="AL148" s="437"/>
      <c r="AM148" s="437"/>
      <c r="AN148" s="437"/>
      <c r="AO148" s="437"/>
      <c r="AP148" s="437"/>
      <c r="AQ148" s="437"/>
      <c r="AR148" s="437"/>
      <c r="AS148" s="437"/>
      <c r="AT148" s="437"/>
      <c r="AU148" s="437"/>
      <c r="AV148" s="437"/>
      <c r="AW148" s="437"/>
      <c r="AX148" s="437"/>
      <c r="AY148" s="437"/>
      <c r="AZ148" s="437"/>
      <c r="BA148" s="437"/>
      <c r="BB148" s="437"/>
      <c r="BC148" s="437"/>
      <c r="BD148" s="437"/>
      <c r="BE148" s="437"/>
      <c r="BF148" s="437"/>
      <c r="BG148" s="437"/>
      <c r="BH148" s="437"/>
      <c r="BI148" s="437"/>
      <c r="BJ148" s="437"/>
      <c r="BK148" s="437"/>
      <c r="BL148" s="437"/>
      <c r="BM148" s="393"/>
      <c r="BO148" s="399">
        <f t="shared" si="63"/>
        <v>0</v>
      </c>
      <c r="BP148" s="399">
        <f t="shared" si="64"/>
        <v>0</v>
      </c>
      <c r="BQ148" s="399">
        <f t="shared" si="65"/>
        <v>0</v>
      </c>
      <c r="BR148" s="399">
        <f t="shared" si="66"/>
        <v>0</v>
      </c>
      <c r="BS148" s="399">
        <f t="shared" si="67"/>
        <v>0</v>
      </c>
      <c r="BT148" s="399">
        <f t="shared" si="68"/>
        <v>0</v>
      </c>
      <c r="BU148" s="399">
        <f t="shared" si="69"/>
        <v>0</v>
      </c>
      <c r="BV148" s="399">
        <f t="shared" si="70"/>
        <v>0</v>
      </c>
      <c r="BW148" s="399">
        <f t="shared" si="71"/>
        <v>0</v>
      </c>
      <c r="BX148" s="399">
        <f t="shared" si="72"/>
        <v>0</v>
      </c>
      <c r="BY148" s="399">
        <f t="shared" si="73"/>
        <v>0</v>
      </c>
      <c r="BZ148" s="399">
        <f t="shared" si="74"/>
        <v>0</v>
      </c>
      <c r="CA148" s="399">
        <f t="shared" si="75"/>
        <v>0</v>
      </c>
      <c r="CB148" s="399">
        <f t="shared" si="76"/>
        <v>0</v>
      </c>
      <c r="CC148" s="399">
        <f t="shared" si="77"/>
        <v>0</v>
      </c>
      <c r="CD148" s="399">
        <f t="shared" si="78"/>
        <v>0</v>
      </c>
      <c r="CE148" s="399">
        <f t="shared" si="79"/>
        <v>0</v>
      </c>
      <c r="CF148" s="399">
        <f t="shared" si="80"/>
        <v>0</v>
      </c>
      <c r="CG148" s="399">
        <f t="shared" si="81"/>
        <v>0</v>
      </c>
      <c r="CH148" s="399">
        <f t="shared" si="82"/>
        <v>0</v>
      </c>
      <c r="CI148" s="399">
        <f t="shared" si="83"/>
        <v>0</v>
      </c>
      <c r="CJ148" s="399">
        <f t="shared" si="84"/>
        <v>0</v>
      </c>
      <c r="CK148" s="399">
        <f t="shared" si="85"/>
        <v>0</v>
      </c>
      <c r="CL148" s="399">
        <f t="shared" si="86"/>
        <v>0</v>
      </c>
      <c r="CM148" s="399">
        <f t="shared" si="87"/>
        <v>0</v>
      </c>
      <c r="CN148" s="399">
        <f t="shared" si="88"/>
        <v>0</v>
      </c>
      <c r="CO148" s="399">
        <f t="shared" si="89"/>
        <v>0</v>
      </c>
      <c r="CP148" s="399">
        <f t="shared" si="90"/>
        <v>0</v>
      </c>
      <c r="CQ148" s="423">
        <f t="shared" si="91"/>
        <v>0</v>
      </c>
      <c r="CS148" s="394" t="e">
        <f t="shared" si="92"/>
        <v>#DIV/0!</v>
      </c>
    </row>
    <row r="149" spans="3:97">
      <c r="C149" s="107"/>
      <c r="D149" s="395"/>
      <c r="E149" s="84"/>
      <c r="F149" s="84"/>
      <c r="G149" s="389"/>
      <c r="H149" s="390"/>
      <c r="I149" s="390"/>
      <c r="J149" s="390"/>
      <c r="K149" s="390"/>
      <c r="L149" s="390"/>
      <c r="M149" s="390"/>
      <c r="N149" s="390"/>
      <c r="O149" s="390"/>
      <c r="P149" s="390"/>
      <c r="Q149" s="390"/>
      <c r="R149" s="390"/>
      <c r="S149" s="390"/>
      <c r="T149" s="390"/>
      <c r="U149" s="390"/>
      <c r="V149" s="390"/>
      <c r="W149" s="390"/>
      <c r="X149" s="390"/>
      <c r="Y149" s="390"/>
      <c r="Z149" s="390"/>
      <c r="AA149" s="390"/>
      <c r="AB149" s="390"/>
      <c r="AC149" s="390"/>
      <c r="AD149" s="390"/>
      <c r="AE149" s="390"/>
      <c r="AF149" s="390"/>
      <c r="AG149" s="390"/>
      <c r="AH149" s="390"/>
      <c r="AI149" s="391"/>
      <c r="AK149" s="437"/>
      <c r="AL149" s="437"/>
      <c r="AM149" s="437"/>
      <c r="AN149" s="437"/>
      <c r="AO149" s="437"/>
      <c r="AP149" s="437"/>
      <c r="AQ149" s="437"/>
      <c r="AR149" s="437"/>
      <c r="AS149" s="437"/>
      <c r="AT149" s="437"/>
      <c r="AU149" s="437"/>
      <c r="AV149" s="437"/>
      <c r="AW149" s="437"/>
      <c r="AX149" s="437"/>
      <c r="AY149" s="437"/>
      <c r="AZ149" s="437"/>
      <c r="BA149" s="437"/>
      <c r="BB149" s="437"/>
      <c r="BC149" s="437"/>
      <c r="BD149" s="437"/>
      <c r="BE149" s="437"/>
      <c r="BF149" s="437"/>
      <c r="BG149" s="437"/>
      <c r="BH149" s="437"/>
      <c r="BI149" s="437"/>
      <c r="BJ149" s="437"/>
      <c r="BK149" s="437"/>
      <c r="BL149" s="437"/>
      <c r="BM149" s="393"/>
      <c r="BO149" s="399">
        <f t="shared" si="63"/>
        <v>0</v>
      </c>
      <c r="BP149" s="399">
        <f t="shared" si="64"/>
        <v>0</v>
      </c>
      <c r="BQ149" s="399">
        <f t="shared" si="65"/>
        <v>0</v>
      </c>
      <c r="BR149" s="399">
        <f t="shared" si="66"/>
        <v>0</v>
      </c>
      <c r="BS149" s="399">
        <f t="shared" si="67"/>
        <v>0</v>
      </c>
      <c r="BT149" s="399">
        <f t="shared" si="68"/>
        <v>0</v>
      </c>
      <c r="BU149" s="399">
        <f t="shared" si="69"/>
        <v>0</v>
      </c>
      <c r="BV149" s="399">
        <f t="shared" si="70"/>
        <v>0</v>
      </c>
      <c r="BW149" s="399">
        <f t="shared" si="71"/>
        <v>0</v>
      </c>
      <c r="BX149" s="399">
        <f t="shared" si="72"/>
        <v>0</v>
      </c>
      <c r="BY149" s="399">
        <f t="shared" si="73"/>
        <v>0</v>
      </c>
      <c r="BZ149" s="399">
        <f t="shared" si="74"/>
        <v>0</v>
      </c>
      <c r="CA149" s="399">
        <f t="shared" si="75"/>
        <v>0</v>
      </c>
      <c r="CB149" s="399">
        <f t="shared" si="76"/>
        <v>0</v>
      </c>
      <c r="CC149" s="399">
        <f t="shared" si="77"/>
        <v>0</v>
      </c>
      <c r="CD149" s="399">
        <f t="shared" si="78"/>
        <v>0</v>
      </c>
      <c r="CE149" s="399">
        <f t="shared" si="79"/>
        <v>0</v>
      </c>
      <c r="CF149" s="399">
        <f t="shared" si="80"/>
        <v>0</v>
      </c>
      <c r="CG149" s="399">
        <f t="shared" si="81"/>
        <v>0</v>
      </c>
      <c r="CH149" s="399">
        <f t="shared" si="82"/>
        <v>0</v>
      </c>
      <c r="CI149" s="399">
        <f t="shared" si="83"/>
        <v>0</v>
      </c>
      <c r="CJ149" s="399">
        <f t="shared" si="84"/>
        <v>0</v>
      </c>
      <c r="CK149" s="399">
        <f t="shared" si="85"/>
        <v>0</v>
      </c>
      <c r="CL149" s="399">
        <f t="shared" si="86"/>
        <v>0</v>
      </c>
      <c r="CM149" s="399">
        <f t="shared" si="87"/>
        <v>0</v>
      </c>
      <c r="CN149" s="399">
        <f t="shared" si="88"/>
        <v>0</v>
      </c>
      <c r="CO149" s="399">
        <f t="shared" si="89"/>
        <v>0</v>
      </c>
      <c r="CP149" s="399">
        <f t="shared" si="90"/>
        <v>0</v>
      </c>
      <c r="CQ149" s="423">
        <f t="shared" si="91"/>
        <v>0</v>
      </c>
      <c r="CS149" s="394" t="e">
        <f t="shared" si="92"/>
        <v>#DIV/0!</v>
      </c>
    </row>
    <row r="150" spans="3:97">
      <c r="C150" s="107"/>
      <c r="D150" s="395"/>
      <c r="E150" s="84"/>
      <c r="F150" s="84"/>
      <c r="G150" s="389"/>
      <c r="H150" s="390"/>
      <c r="I150" s="390"/>
      <c r="J150" s="390"/>
      <c r="K150" s="390"/>
      <c r="L150" s="390"/>
      <c r="M150" s="390"/>
      <c r="N150" s="390"/>
      <c r="O150" s="390"/>
      <c r="P150" s="390"/>
      <c r="Q150" s="390"/>
      <c r="R150" s="390"/>
      <c r="S150" s="390"/>
      <c r="T150" s="390"/>
      <c r="U150" s="390"/>
      <c r="V150" s="390"/>
      <c r="W150" s="390"/>
      <c r="X150" s="390"/>
      <c r="Y150" s="390"/>
      <c r="Z150" s="390"/>
      <c r="AA150" s="390"/>
      <c r="AB150" s="390"/>
      <c r="AC150" s="390"/>
      <c r="AD150" s="390"/>
      <c r="AE150" s="390"/>
      <c r="AF150" s="390"/>
      <c r="AG150" s="390"/>
      <c r="AH150" s="390"/>
      <c r="AI150" s="391"/>
      <c r="AK150" s="437"/>
      <c r="AL150" s="437"/>
      <c r="AM150" s="437"/>
      <c r="AN150" s="437"/>
      <c r="AO150" s="437"/>
      <c r="AP150" s="437"/>
      <c r="AQ150" s="437"/>
      <c r="AR150" s="437"/>
      <c r="AS150" s="437"/>
      <c r="AT150" s="437"/>
      <c r="AU150" s="437"/>
      <c r="AV150" s="437"/>
      <c r="AW150" s="437"/>
      <c r="AX150" s="437"/>
      <c r="AY150" s="437"/>
      <c r="AZ150" s="437"/>
      <c r="BA150" s="437"/>
      <c r="BB150" s="437"/>
      <c r="BC150" s="437"/>
      <c r="BD150" s="437"/>
      <c r="BE150" s="437"/>
      <c r="BF150" s="437"/>
      <c r="BG150" s="437"/>
      <c r="BH150" s="437"/>
      <c r="BI150" s="437"/>
      <c r="BJ150" s="437"/>
      <c r="BK150" s="437"/>
      <c r="BL150" s="437"/>
      <c r="BM150" s="393"/>
      <c r="BO150" s="399">
        <f t="shared" si="63"/>
        <v>0</v>
      </c>
      <c r="BP150" s="399">
        <f t="shared" si="64"/>
        <v>0</v>
      </c>
      <c r="BQ150" s="399">
        <f t="shared" si="65"/>
        <v>0</v>
      </c>
      <c r="BR150" s="399">
        <f t="shared" si="66"/>
        <v>0</v>
      </c>
      <c r="BS150" s="399">
        <f t="shared" si="67"/>
        <v>0</v>
      </c>
      <c r="BT150" s="399">
        <f t="shared" si="68"/>
        <v>0</v>
      </c>
      <c r="BU150" s="399">
        <f t="shared" si="69"/>
        <v>0</v>
      </c>
      <c r="BV150" s="399">
        <f t="shared" si="70"/>
        <v>0</v>
      </c>
      <c r="BW150" s="399">
        <f t="shared" si="71"/>
        <v>0</v>
      </c>
      <c r="BX150" s="399">
        <f t="shared" si="72"/>
        <v>0</v>
      </c>
      <c r="BY150" s="399">
        <f t="shared" si="73"/>
        <v>0</v>
      </c>
      <c r="BZ150" s="399">
        <f t="shared" si="74"/>
        <v>0</v>
      </c>
      <c r="CA150" s="399">
        <f t="shared" si="75"/>
        <v>0</v>
      </c>
      <c r="CB150" s="399">
        <f t="shared" si="76"/>
        <v>0</v>
      </c>
      <c r="CC150" s="399">
        <f t="shared" si="77"/>
        <v>0</v>
      </c>
      <c r="CD150" s="399">
        <f t="shared" si="78"/>
        <v>0</v>
      </c>
      <c r="CE150" s="399">
        <f t="shared" si="79"/>
        <v>0</v>
      </c>
      <c r="CF150" s="399">
        <f t="shared" si="80"/>
        <v>0</v>
      </c>
      <c r="CG150" s="399">
        <f t="shared" si="81"/>
        <v>0</v>
      </c>
      <c r="CH150" s="399">
        <f t="shared" si="82"/>
        <v>0</v>
      </c>
      <c r="CI150" s="399">
        <f t="shared" si="83"/>
        <v>0</v>
      </c>
      <c r="CJ150" s="399">
        <f t="shared" si="84"/>
        <v>0</v>
      </c>
      <c r="CK150" s="399">
        <f t="shared" si="85"/>
        <v>0</v>
      </c>
      <c r="CL150" s="399">
        <f t="shared" si="86"/>
        <v>0</v>
      </c>
      <c r="CM150" s="399">
        <f t="shared" si="87"/>
        <v>0</v>
      </c>
      <c r="CN150" s="399">
        <f t="shared" si="88"/>
        <v>0</v>
      </c>
      <c r="CO150" s="399">
        <f t="shared" si="89"/>
        <v>0</v>
      </c>
      <c r="CP150" s="399">
        <f t="shared" si="90"/>
        <v>0</v>
      </c>
      <c r="CQ150" s="423">
        <f t="shared" si="91"/>
        <v>0</v>
      </c>
      <c r="CS150" s="394" t="e">
        <f t="shared" si="92"/>
        <v>#DIV/0!</v>
      </c>
    </row>
    <row r="151" spans="3:97">
      <c r="C151" s="107"/>
      <c r="D151" s="395"/>
      <c r="E151" s="84"/>
      <c r="F151" s="84"/>
      <c r="G151" s="389"/>
      <c r="H151" s="390"/>
      <c r="I151" s="390"/>
      <c r="J151" s="390"/>
      <c r="K151" s="390"/>
      <c r="L151" s="390"/>
      <c r="M151" s="390"/>
      <c r="N151" s="390"/>
      <c r="O151" s="390"/>
      <c r="P151" s="390"/>
      <c r="Q151" s="390"/>
      <c r="R151" s="390"/>
      <c r="S151" s="390"/>
      <c r="T151" s="390"/>
      <c r="U151" s="390"/>
      <c r="V151" s="390"/>
      <c r="W151" s="390"/>
      <c r="X151" s="390"/>
      <c r="Y151" s="390"/>
      <c r="Z151" s="390"/>
      <c r="AA151" s="390"/>
      <c r="AB151" s="390"/>
      <c r="AC151" s="390"/>
      <c r="AD151" s="390"/>
      <c r="AE151" s="390"/>
      <c r="AF151" s="390"/>
      <c r="AG151" s="390"/>
      <c r="AH151" s="390"/>
      <c r="AI151" s="391"/>
      <c r="AK151" s="437"/>
      <c r="AL151" s="437"/>
      <c r="AM151" s="437"/>
      <c r="AN151" s="437"/>
      <c r="AO151" s="437"/>
      <c r="AP151" s="437"/>
      <c r="AQ151" s="437"/>
      <c r="AR151" s="437"/>
      <c r="AS151" s="437"/>
      <c r="AT151" s="437"/>
      <c r="AU151" s="437"/>
      <c r="AV151" s="437"/>
      <c r="AW151" s="437"/>
      <c r="AX151" s="437"/>
      <c r="AY151" s="437"/>
      <c r="AZ151" s="437"/>
      <c r="BA151" s="437"/>
      <c r="BB151" s="437"/>
      <c r="BC151" s="437"/>
      <c r="BD151" s="437"/>
      <c r="BE151" s="437"/>
      <c r="BF151" s="437"/>
      <c r="BG151" s="437"/>
      <c r="BH151" s="437"/>
      <c r="BI151" s="437"/>
      <c r="BJ151" s="437"/>
      <c r="BK151" s="437"/>
      <c r="BL151" s="437"/>
      <c r="BM151" s="393"/>
      <c r="BO151" s="399">
        <f t="shared" si="63"/>
        <v>0</v>
      </c>
      <c r="BP151" s="399">
        <f t="shared" si="64"/>
        <v>0</v>
      </c>
      <c r="BQ151" s="399">
        <f t="shared" si="65"/>
        <v>0</v>
      </c>
      <c r="BR151" s="399">
        <f t="shared" si="66"/>
        <v>0</v>
      </c>
      <c r="BS151" s="399">
        <f t="shared" si="67"/>
        <v>0</v>
      </c>
      <c r="BT151" s="399">
        <f t="shared" si="68"/>
        <v>0</v>
      </c>
      <c r="BU151" s="399">
        <f t="shared" si="69"/>
        <v>0</v>
      </c>
      <c r="BV151" s="399">
        <f t="shared" si="70"/>
        <v>0</v>
      </c>
      <c r="BW151" s="399">
        <f t="shared" si="71"/>
        <v>0</v>
      </c>
      <c r="BX151" s="399">
        <f t="shared" si="72"/>
        <v>0</v>
      </c>
      <c r="BY151" s="399">
        <f t="shared" si="73"/>
        <v>0</v>
      </c>
      <c r="BZ151" s="399">
        <f t="shared" si="74"/>
        <v>0</v>
      </c>
      <c r="CA151" s="399">
        <f t="shared" si="75"/>
        <v>0</v>
      </c>
      <c r="CB151" s="399">
        <f t="shared" si="76"/>
        <v>0</v>
      </c>
      <c r="CC151" s="399">
        <f t="shared" si="77"/>
        <v>0</v>
      </c>
      <c r="CD151" s="399">
        <f t="shared" si="78"/>
        <v>0</v>
      </c>
      <c r="CE151" s="399">
        <f t="shared" si="79"/>
        <v>0</v>
      </c>
      <c r="CF151" s="399">
        <f t="shared" si="80"/>
        <v>0</v>
      </c>
      <c r="CG151" s="399">
        <f t="shared" si="81"/>
        <v>0</v>
      </c>
      <c r="CH151" s="399">
        <f t="shared" si="82"/>
        <v>0</v>
      </c>
      <c r="CI151" s="399">
        <f t="shared" si="83"/>
        <v>0</v>
      </c>
      <c r="CJ151" s="399">
        <f t="shared" si="84"/>
        <v>0</v>
      </c>
      <c r="CK151" s="399">
        <f t="shared" si="85"/>
        <v>0</v>
      </c>
      <c r="CL151" s="399">
        <f t="shared" si="86"/>
        <v>0</v>
      </c>
      <c r="CM151" s="399">
        <f t="shared" si="87"/>
        <v>0</v>
      </c>
      <c r="CN151" s="399">
        <f t="shared" si="88"/>
        <v>0</v>
      </c>
      <c r="CO151" s="399">
        <f t="shared" si="89"/>
        <v>0</v>
      </c>
      <c r="CP151" s="399">
        <f t="shared" si="90"/>
        <v>0</v>
      </c>
      <c r="CQ151" s="423">
        <f t="shared" si="91"/>
        <v>0</v>
      </c>
      <c r="CS151" s="394" t="e">
        <f t="shared" si="92"/>
        <v>#DIV/0!</v>
      </c>
    </row>
    <row r="152" spans="3:97">
      <c r="C152" s="107"/>
      <c r="D152" s="395"/>
      <c r="E152" s="84"/>
      <c r="F152" s="84"/>
      <c r="G152" s="389"/>
      <c r="H152" s="390"/>
      <c r="I152" s="390"/>
      <c r="J152" s="390"/>
      <c r="K152" s="390"/>
      <c r="L152" s="390"/>
      <c r="M152" s="390"/>
      <c r="N152" s="390"/>
      <c r="O152" s="390"/>
      <c r="P152" s="390"/>
      <c r="Q152" s="390"/>
      <c r="R152" s="390"/>
      <c r="S152" s="390"/>
      <c r="T152" s="390"/>
      <c r="U152" s="390"/>
      <c r="V152" s="390"/>
      <c r="W152" s="390"/>
      <c r="X152" s="390"/>
      <c r="Y152" s="390"/>
      <c r="Z152" s="390"/>
      <c r="AA152" s="390"/>
      <c r="AB152" s="390"/>
      <c r="AC152" s="390"/>
      <c r="AD152" s="390"/>
      <c r="AE152" s="390"/>
      <c r="AF152" s="390"/>
      <c r="AG152" s="390"/>
      <c r="AH152" s="390"/>
      <c r="AI152" s="391"/>
      <c r="AK152" s="437"/>
      <c r="AL152" s="437"/>
      <c r="AM152" s="437"/>
      <c r="AN152" s="437"/>
      <c r="AO152" s="437"/>
      <c r="AP152" s="437"/>
      <c r="AQ152" s="437"/>
      <c r="AR152" s="437"/>
      <c r="AS152" s="437"/>
      <c r="AT152" s="437"/>
      <c r="AU152" s="437"/>
      <c r="AV152" s="437"/>
      <c r="AW152" s="437"/>
      <c r="AX152" s="437"/>
      <c r="AY152" s="437"/>
      <c r="AZ152" s="437"/>
      <c r="BA152" s="437"/>
      <c r="BB152" s="437"/>
      <c r="BC152" s="437"/>
      <c r="BD152" s="437"/>
      <c r="BE152" s="437"/>
      <c r="BF152" s="437"/>
      <c r="BG152" s="437"/>
      <c r="BH152" s="437"/>
      <c r="BI152" s="437"/>
      <c r="BJ152" s="437"/>
      <c r="BK152" s="437"/>
      <c r="BL152" s="437"/>
      <c r="BM152" s="393"/>
      <c r="BO152" s="399">
        <f t="shared" si="63"/>
        <v>0</v>
      </c>
      <c r="BP152" s="399">
        <f t="shared" si="64"/>
        <v>0</v>
      </c>
      <c r="BQ152" s="399">
        <f t="shared" si="65"/>
        <v>0</v>
      </c>
      <c r="BR152" s="399">
        <f t="shared" si="66"/>
        <v>0</v>
      </c>
      <c r="BS152" s="399">
        <f t="shared" si="67"/>
        <v>0</v>
      </c>
      <c r="BT152" s="399">
        <f t="shared" si="68"/>
        <v>0</v>
      </c>
      <c r="BU152" s="399">
        <f t="shared" si="69"/>
        <v>0</v>
      </c>
      <c r="BV152" s="399">
        <f t="shared" si="70"/>
        <v>0</v>
      </c>
      <c r="BW152" s="399">
        <f t="shared" si="71"/>
        <v>0</v>
      </c>
      <c r="BX152" s="399">
        <f t="shared" si="72"/>
        <v>0</v>
      </c>
      <c r="BY152" s="399">
        <f t="shared" si="73"/>
        <v>0</v>
      </c>
      <c r="BZ152" s="399">
        <f t="shared" si="74"/>
        <v>0</v>
      </c>
      <c r="CA152" s="399">
        <f t="shared" si="75"/>
        <v>0</v>
      </c>
      <c r="CB152" s="399">
        <f t="shared" si="76"/>
        <v>0</v>
      </c>
      <c r="CC152" s="399">
        <f t="shared" si="77"/>
        <v>0</v>
      </c>
      <c r="CD152" s="399">
        <f t="shared" si="78"/>
        <v>0</v>
      </c>
      <c r="CE152" s="399">
        <f t="shared" si="79"/>
        <v>0</v>
      </c>
      <c r="CF152" s="399">
        <f t="shared" si="80"/>
        <v>0</v>
      </c>
      <c r="CG152" s="399">
        <f t="shared" si="81"/>
        <v>0</v>
      </c>
      <c r="CH152" s="399">
        <f t="shared" si="82"/>
        <v>0</v>
      </c>
      <c r="CI152" s="399">
        <f t="shared" si="83"/>
        <v>0</v>
      </c>
      <c r="CJ152" s="399">
        <f t="shared" si="84"/>
        <v>0</v>
      </c>
      <c r="CK152" s="399">
        <f t="shared" si="85"/>
        <v>0</v>
      </c>
      <c r="CL152" s="399">
        <f t="shared" si="86"/>
        <v>0</v>
      </c>
      <c r="CM152" s="399">
        <f t="shared" si="87"/>
        <v>0</v>
      </c>
      <c r="CN152" s="399">
        <f t="shared" si="88"/>
        <v>0</v>
      </c>
      <c r="CO152" s="399">
        <f t="shared" si="89"/>
        <v>0</v>
      </c>
      <c r="CP152" s="399">
        <f t="shared" si="90"/>
        <v>0</v>
      </c>
      <c r="CQ152" s="423">
        <f t="shared" si="91"/>
        <v>0</v>
      </c>
      <c r="CS152" s="394" t="e">
        <f t="shared" si="92"/>
        <v>#DIV/0!</v>
      </c>
    </row>
    <row r="153" spans="3:97">
      <c r="C153" s="107"/>
      <c r="D153" s="395"/>
      <c r="E153" s="84"/>
      <c r="F153" s="84"/>
      <c r="G153" s="389"/>
      <c r="H153" s="390"/>
      <c r="I153" s="390"/>
      <c r="J153" s="390"/>
      <c r="K153" s="390"/>
      <c r="L153" s="390"/>
      <c r="M153" s="390"/>
      <c r="N153" s="390"/>
      <c r="O153" s="390"/>
      <c r="P153" s="390"/>
      <c r="Q153" s="390"/>
      <c r="R153" s="390"/>
      <c r="S153" s="390"/>
      <c r="T153" s="390"/>
      <c r="U153" s="390"/>
      <c r="V153" s="390"/>
      <c r="W153" s="390"/>
      <c r="X153" s="390"/>
      <c r="Y153" s="390"/>
      <c r="Z153" s="390"/>
      <c r="AA153" s="390"/>
      <c r="AB153" s="390"/>
      <c r="AC153" s="390"/>
      <c r="AD153" s="390"/>
      <c r="AE153" s="390"/>
      <c r="AF153" s="390"/>
      <c r="AG153" s="390"/>
      <c r="AH153" s="390"/>
      <c r="AI153" s="391"/>
      <c r="AK153" s="437"/>
      <c r="AL153" s="437"/>
      <c r="AM153" s="437"/>
      <c r="AN153" s="437"/>
      <c r="AO153" s="437"/>
      <c r="AP153" s="437"/>
      <c r="AQ153" s="437"/>
      <c r="AR153" s="437"/>
      <c r="AS153" s="437"/>
      <c r="AT153" s="437"/>
      <c r="AU153" s="437"/>
      <c r="AV153" s="437"/>
      <c r="AW153" s="437"/>
      <c r="AX153" s="437"/>
      <c r="AY153" s="437"/>
      <c r="AZ153" s="437"/>
      <c r="BA153" s="437"/>
      <c r="BB153" s="437"/>
      <c r="BC153" s="437"/>
      <c r="BD153" s="437"/>
      <c r="BE153" s="437"/>
      <c r="BF153" s="437"/>
      <c r="BG153" s="437"/>
      <c r="BH153" s="437"/>
      <c r="BI153" s="437"/>
      <c r="BJ153" s="437"/>
      <c r="BK153" s="437"/>
      <c r="BL153" s="437"/>
      <c r="BM153" s="393"/>
      <c r="BO153" s="399">
        <f t="shared" si="63"/>
        <v>0</v>
      </c>
      <c r="BP153" s="399">
        <f t="shared" si="64"/>
        <v>0</v>
      </c>
      <c r="BQ153" s="399">
        <f t="shared" si="65"/>
        <v>0</v>
      </c>
      <c r="BR153" s="399">
        <f t="shared" si="66"/>
        <v>0</v>
      </c>
      <c r="BS153" s="399">
        <f t="shared" si="67"/>
        <v>0</v>
      </c>
      <c r="BT153" s="399">
        <f t="shared" si="68"/>
        <v>0</v>
      </c>
      <c r="BU153" s="399">
        <f t="shared" si="69"/>
        <v>0</v>
      </c>
      <c r="BV153" s="399">
        <f t="shared" si="70"/>
        <v>0</v>
      </c>
      <c r="BW153" s="399">
        <f t="shared" si="71"/>
        <v>0</v>
      </c>
      <c r="BX153" s="399">
        <f t="shared" si="72"/>
        <v>0</v>
      </c>
      <c r="BY153" s="399">
        <f t="shared" si="73"/>
        <v>0</v>
      </c>
      <c r="BZ153" s="399">
        <f t="shared" si="74"/>
        <v>0</v>
      </c>
      <c r="CA153" s="399">
        <f t="shared" si="75"/>
        <v>0</v>
      </c>
      <c r="CB153" s="399">
        <f t="shared" si="76"/>
        <v>0</v>
      </c>
      <c r="CC153" s="399">
        <f t="shared" si="77"/>
        <v>0</v>
      </c>
      <c r="CD153" s="399">
        <f t="shared" si="78"/>
        <v>0</v>
      </c>
      <c r="CE153" s="399">
        <f t="shared" si="79"/>
        <v>0</v>
      </c>
      <c r="CF153" s="399">
        <f t="shared" si="80"/>
        <v>0</v>
      </c>
      <c r="CG153" s="399">
        <f t="shared" si="81"/>
        <v>0</v>
      </c>
      <c r="CH153" s="399">
        <f t="shared" si="82"/>
        <v>0</v>
      </c>
      <c r="CI153" s="399">
        <f t="shared" si="83"/>
        <v>0</v>
      </c>
      <c r="CJ153" s="399">
        <f t="shared" si="84"/>
        <v>0</v>
      </c>
      <c r="CK153" s="399">
        <f t="shared" si="85"/>
        <v>0</v>
      </c>
      <c r="CL153" s="399">
        <f t="shared" si="86"/>
        <v>0</v>
      </c>
      <c r="CM153" s="399">
        <f t="shared" si="87"/>
        <v>0</v>
      </c>
      <c r="CN153" s="399">
        <f t="shared" si="88"/>
        <v>0</v>
      </c>
      <c r="CO153" s="399">
        <f t="shared" si="89"/>
        <v>0</v>
      </c>
      <c r="CP153" s="399">
        <f t="shared" si="90"/>
        <v>0</v>
      </c>
      <c r="CQ153" s="423">
        <f t="shared" si="91"/>
        <v>0</v>
      </c>
      <c r="CS153" s="394" t="e">
        <f t="shared" si="92"/>
        <v>#DIV/0!</v>
      </c>
    </row>
    <row r="154" spans="3:97">
      <c r="C154" s="107"/>
      <c r="D154" s="395"/>
      <c r="E154" s="84"/>
      <c r="F154" s="84"/>
      <c r="G154" s="389"/>
      <c r="H154" s="390"/>
      <c r="I154" s="390"/>
      <c r="J154" s="390"/>
      <c r="K154" s="390"/>
      <c r="L154" s="390"/>
      <c r="M154" s="390"/>
      <c r="N154" s="390"/>
      <c r="O154" s="390"/>
      <c r="P154" s="390"/>
      <c r="Q154" s="390"/>
      <c r="R154" s="390"/>
      <c r="S154" s="390"/>
      <c r="T154" s="390"/>
      <c r="U154" s="390"/>
      <c r="V154" s="390"/>
      <c r="W154" s="390"/>
      <c r="X154" s="390"/>
      <c r="Y154" s="390"/>
      <c r="Z154" s="390"/>
      <c r="AA154" s="390"/>
      <c r="AB154" s="390"/>
      <c r="AC154" s="390"/>
      <c r="AD154" s="390"/>
      <c r="AE154" s="390"/>
      <c r="AF154" s="390"/>
      <c r="AG154" s="390"/>
      <c r="AH154" s="390"/>
      <c r="AI154" s="391"/>
      <c r="AK154" s="437"/>
      <c r="AL154" s="437"/>
      <c r="AM154" s="437"/>
      <c r="AN154" s="437"/>
      <c r="AO154" s="437"/>
      <c r="AP154" s="437"/>
      <c r="AQ154" s="437"/>
      <c r="AR154" s="437"/>
      <c r="AS154" s="437"/>
      <c r="AT154" s="437"/>
      <c r="AU154" s="437"/>
      <c r="AV154" s="437"/>
      <c r="AW154" s="437"/>
      <c r="AX154" s="437"/>
      <c r="AY154" s="437"/>
      <c r="AZ154" s="437"/>
      <c r="BA154" s="437"/>
      <c r="BB154" s="437"/>
      <c r="BC154" s="437"/>
      <c r="BD154" s="437"/>
      <c r="BE154" s="437"/>
      <c r="BF154" s="437"/>
      <c r="BG154" s="437"/>
      <c r="BH154" s="437"/>
      <c r="BI154" s="437"/>
      <c r="BJ154" s="437"/>
      <c r="BK154" s="437"/>
      <c r="BL154" s="437"/>
      <c r="BM154" s="393"/>
      <c r="BO154" s="399">
        <f t="shared" si="63"/>
        <v>0</v>
      </c>
      <c r="BP154" s="399">
        <f t="shared" si="64"/>
        <v>0</v>
      </c>
      <c r="BQ154" s="399">
        <f t="shared" si="65"/>
        <v>0</v>
      </c>
      <c r="BR154" s="399">
        <f t="shared" si="66"/>
        <v>0</v>
      </c>
      <c r="BS154" s="399">
        <f t="shared" si="67"/>
        <v>0</v>
      </c>
      <c r="BT154" s="399">
        <f t="shared" si="68"/>
        <v>0</v>
      </c>
      <c r="BU154" s="399">
        <f t="shared" si="69"/>
        <v>0</v>
      </c>
      <c r="BV154" s="399">
        <f t="shared" si="70"/>
        <v>0</v>
      </c>
      <c r="BW154" s="399">
        <f t="shared" si="71"/>
        <v>0</v>
      </c>
      <c r="BX154" s="399">
        <f t="shared" si="72"/>
        <v>0</v>
      </c>
      <c r="BY154" s="399">
        <f t="shared" si="73"/>
        <v>0</v>
      </c>
      <c r="BZ154" s="399">
        <f t="shared" si="74"/>
        <v>0</v>
      </c>
      <c r="CA154" s="399">
        <f t="shared" si="75"/>
        <v>0</v>
      </c>
      <c r="CB154" s="399">
        <f t="shared" si="76"/>
        <v>0</v>
      </c>
      <c r="CC154" s="399">
        <f t="shared" si="77"/>
        <v>0</v>
      </c>
      <c r="CD154" s="399">
        <f t="shared" si="78"/>
        <v>0</v>
      </c>
      <c r="CE154" s="399">
        <f t="shared" si="79"/>
        <v>0</v>
      </c>
      <c r="CF154" s="399">
        <f t="shared" si="80"/>
        <v>0</v>
      </c>
      <c r="CG154" s="399">
        <f t="shared" si="81"/>
        <v>0</v>
      </c>
      <c r="CH154" s="399">
        <f t="shared" si="82"/>
        <v>0</v>
      </c>
      <c r="CI154" s="399">
        <f t="shared" si="83"/>
        <v>0</v>
      </c>
      <c r="CJ154" s="399">
        <f t="shared" si="84"/>
        <v>0</v>
      </c>
      <c r="CK154" s="399">
        <f t="shared" si="85"/>
        <v>0</v>
      </c>
      <c r="CL154" s="399">
        <f t="shared" si="86"/>
        <v>0</v>
      </c>
      <c r="CM154" s="399">
        <f t="shared" si="87"/>
        <v>0</v>
      </c>
      <c r="CN154" s="399">
        <f t="shared" si="88"/>
        <v>0</v>
      </c>
      <c r="CO154" s="399">
        <f t="shared" si="89"/>
        <v>0</v>
      </c>
      <c r="CP154" s="399">
        <f t="shared" si="90"/>
        <v>0</v>
      </c>
      <c r="CQ154" s="423">
        <f t="shared" si="91"/>
        <v>0</v>
      </c>
      <c r="CS154" s="394" t="e">
        <f t="shared" si="92"/>
        <v>#DIV/0!</v>
      </c>
    </row>
    <row r="155" spans="3:97">
      <c r="C155" s="107"/>
      <c r="D155" s="395"/>
      <c r="E155" s="84"/>
      <c r="F155" s="84"/>
      <c r="G155" s="389"/>
      <c r="H155" s="390"/>
      <c r="I155" s="390"/>
      <c r="J155" s="390"/>
      <c r="K155" s="390"/>
      <c r="L155" s="390"/>
      <c r="M155" s="390"/>
      <c r="N155" s="390"/>
      <c r="O155" s="390"/>
      <c r="P155" s="390"/>
      <c r="Q155" s="390"/>
      <c r="R155" s="390"/>
      <c r="S155" s="390"/>
      <c r="T155" s="390"/>
      <c r="U155" s="390"/>
      <c r="V155" s="390"/>
      <c r="W155" s="390"/>
      <c r="X155" s="390"/>
      <c r="Y155" s="390"/>
      <c r="Z155" s="390"/>
      <c r="AA155" s="390"/>
      <c r="AB155" s="390"/>
      <c r="AC155" s="390"/>
      <c r="AD155" s="390"/>
      <c r="AE155" s="390"/>
      <c r="AF155" s="390"/>
      <c r="AG155" s="390"/>
      <c r="AH155" s="390"/>
      <c r="AI155" s="391"/>
      <c r="AK155" s="437"/>
      <c r="AL155" s="437"/>
      <c r="AM155" s="437"/>
      <c r="AN155" s="437"/>
      <c r="AO155" s="437"/>
      <c r="AP155" s="437"/>
      <c r="AQ155" s="437"/>
      <c r="AR155" s="437"/>
      <c r="AS155" s="437"/>
      <c r="AT155" s="437"/>
      <c r="AU155" s="437"/>
      <c r="AV155" s="437"/>
      <c r="AW155" s="437"/>
      <c r="AX155" s="437"/>
      <c r="AY155" s="437"/>
      <c r="AZ155" s="437"/>
      <c r="BA155" s="437"/>
      <c r="BB155" s="437"/>
      <c r="BC155" s="437"/>
      <c r="BD155" s="437"/>
      <c r="BE155" s="437"/>
      <c r="BF155" s="437"/>
      <c r="BG155" s="437"/>
      <c r="BH155" s="437"/>
      <c r="BI155" s="437"/>
      <c r="BJ155" s="437"/>
      <c r="BK155" s="437"/>
      <c r="BL155" s="437"/>
      <c r="BM155" s="393"/>
      <c r="BO155" s="399">
        <f t="shared" si="63"/>
        <v>0</v>
      </c>
      <c r="BP155" s="399">
        <f t="shared" si="64"/>
        <v>0</v>
      </c>
      <c r="BQ155" s="399">
        <f t="shared" si="65"/>
        <v>0</v>
      </c>
      <c r="BR155" s="399">
        <f t="shared" si="66"/>
        <v>0</v>
      </c>
      <c r="BS155" s="399">
        <f t="shared" si="67"/>
        <v>0</v>
      </c>
      <c r="BT155" s="399">
        <f t="shared" si="68"/>
        <v>0</v>
      </c>
      <c r="BU155" s="399">
        <f t="shared" si="69"/>
        <v>0</v>
      </c>
      <c r="BV155" s="399">
        <f t="shared" si="70"/>
        <v>0</v>
      </c>
      <c r="BW155" s="399">
        <f t="shared" si="71"/>
        <v>0</v>
      </c>
      <c r="BX155" s="399">
        <f t="shared" si="72"/>
        <v>0</v>
      </c>
      <c r="BY155" s="399">
        <f t="shared" si="73"/>
        <v>0</v>
      </c>
      <c r="BZ155" s="399">
        <f t="shared" si="74"/>
        <v>0</v>
      </c>
      <c r="CA155" s="399">
        <f t="shared" si="75"/>
        <v>0</v>
      </c>
      <c r="CB155" s="399">
        <f t="shared" si="76"/>
        <v>0</v>
      </c>
      <c r="CC155" s="399">
        <f t="shared" si="77"/>
        <v>0</v>
      </c>
      <c r="CD155" s="399">
        <f t="shared" si="78"/>
        <v>0</v>
      </c>
      <c r="CE155" s="399">
        <f t="shared" si="79"/>
        <v>0</v>
      </c>
      <c r="CF155" s="399">
        <f t="shared" si="80"/>
        <v>0</v>
      </c>
      <c r="CG155" s="399">
        <f t="shared" si="81"/>
        <v>0</v>
      </c>
      <c r="CH155" s="399">
        <f t="shared" si="82"/>
        <v>0</v>
      </c>
      <c r="CI155" s="399">
        <f t="shared" si="83"/>
        <v>0</v>
      </c>
      <c r="CJ155" s="399">
        <f t="shared" si="84"/>
        <v>0</v>
      </c>
      <c r="CK155" s="399">
        <f t="shared" si="85"/>
        <v>0</v>
      </c>
      <c r="CL155" s="399">
        <f t="shared" si="86"/>
        <v>0</v>
      </c>
      <c r="CM155" s="399">
        <f t="shared" si="87"/>
        <v>0</v>
      </c>
      <c r="CN155" s="399">
        <f t="shared" si="88"/>
        <v>0</v>
      </c>
      <c r="CO155" s="399">
        <f t="shared" si="89"/>
        <v>0</v>
      </c>
      <c r="CP155" s="399">
        <f t="shared" si="90"/>
        <v>0</v>
      </c>
      <c r="CQ155" s="423">
        <f t="shared" si="91"/>
        <v>0</v>
      </c>
      <c r="CS155" s="394" t="e">
        <f t="shared" si="92"/>
        <v>#DIV/0!</v>
      </c>
    </row>
    <row r="156" spans="3:97">
      <c r="C156" s="107"/>
      <c r="D156" s="395"/>
      <c r="E156" s="84"/>
      <c r="F156" s="84"/>
      <c r="G156" s="389"/>
      <c r="H156" s="390"/>
      <c r="I156" s="390"/>
      <c r="J156" s="390"/>
      <c r="K156" s="390"/>
      <c r="L156" s="390"/>
      <c r="M156" s="390"/>
      <c r="N156" s="390"/>
      <c r="O156" s="390"/>
      <c r="P156" s="390"/>
      <c r="Q156" s="390"/>
      <c r="R156" s="390"/>
      <c r="S156" s="390"/>
      <c r="T156" s="390"/>
      <c r="U156" s="390"/>
      <c r="V156" s="390"/>
      <c r="W156" s="390"/>
      <c r="X156" s="390"/>
      <c r="Y156" s="390"/>
      <c r="Z156" s="390"/>
      <c r="AA156" s="390"/>
      <c r="AB156" s="390"/>
      <c r="AC156" s="390"/>
      <c r="AD156" s="390"/>
      <c r="AE156" s="390"/>
      <c r="AF156" s="390"/>
      <c r="AG156" s="390"/>
      <c r="AH156" s="390"/>
      <c r="AI156" s="391"/>
      <c r="AK156" s="437"/>
      <c r="AL156" s="437"/>
      <c r="AM156" s="437"/>
      <c r="AN156" s="437"/>
      <c r="AO156" s="437"/>
      <c r="AP156" s="437"/>
      <c r="AQ156" s="437"/>
      <c r="AR156" s="437"/>
      <c r="AS156" s="437"/>
      <c r="AT156" s="437"/>
      <c r="AU156" s="437"/>
      <c r="AV156" s="437"/>
      <c r="AW156" s="437"/>
      <c r="AX156" s="437"/>
      <c r="AY156" s="437"/>
      <c r="AZ156" s="437"/>
      <c r="BA156" s="437"/>
      <c r="BB156" s="437"/>
      <c r="BC156" s="437"/>
      <c r="BD156" s="437"/>
      <c r="BE156" s="437"/>
      <c r="BF156" s="437"/>
      <c r="BG156" s="437"/>
      <c r="BH156" s="437"/>
      <c r="BI156" s="437"/>
      <c r="BJ156" s="437"/>
      <c r="BK156" s="437"/>
      <c r="BL156" s="437"/>
      <c r="BM156" s="393"/>
      <c r="BO156" s="399">
        <f t="shared" si="63"/>
        <v>0</v>
      </c>
      <c r="BP156" s="399">
        <f t="shared" si="64"/>
        <v>0</v>
      </c>
      <c r="BQ156" s="399">
        <f t="shared" si="65"/>
        <v>0</v>
      </c>
      <c r="BR156" s="399">
        <f t="shared" si="66"/>
        <v>0</v>
      </c>
      <c r="BS156" s="399">
        <f t="shared" si="67"/>
        <v>0</v>
      </c>
      <c r="BT156" s="399">
        <f t="shared" si="68"/>
        <v>0</v>
      </c>
      <c r="BU156" s="399">
        <f t="shared" si="69"/>
        <v>0</v>
      </c>
      <c r="BV156" s="399">
        <f t="shared" si="70"/>
        <v>0</v>
      </c>
      <c r="BW156" s="399">
        <f t="shared" si="71"/>
        <v>0</v>
      </c>
      <c r="BX156" s="399">
        <f t="shared" si="72"/>
        <v>0</v>
      </c>
      <c r="BY156" s="399">
        <f t="shared" si="73"/>
        <v>0</v>
      </c>
      <c r="BZ156" s="399">
        <f t="shared" si="74"/>
        <v>0</v>
      </c>
      <c r="CA156" s="399">
        <f t="shared" si="75"/>
        <v>0</v>
      </c>
      <c r="CB156" s="399">
        <f t="shared" si="76"/>
        <v>0</v>
      </c>
      <c r="CC156" s="399">
        <f t="shared" si="77"/>
        <v>0</v>
      </c>
      <c r="CD156" s="399">
        <f t="shared" si="78"/>
        <v>0</v>
      </c>
      <c r="CE156" s="399">
        <f t="shared" si="79"/>
        <v>0</v>
      </c>
      <c r="CF156" s="399">
        <f t="shared" si="80"/>
        <v>0</v>
      </c>
      <c r="CG156" s="399">
        <f t="shared" si="81"/>
        <v>0</v>
      </c>
      <c r="CH156" s="399">
        <f t="shared" si="82"/>
        <v>0</v>
      </c>
      <c r="CI156" s="399">
        <f t="shared" si="83"/>
        <v>0</v>
      </c>
      <c r="CJ156" s="399">
        <f t="shared" si="84"/>
        <v>0</v>
      </c>
      <c r="CK156" s="399">
        <f t="shared" si="85"/>
        <v>0</v>
      </c>
      <c r="CL156" s="399">
        <f t="shared" si="86"/>
        <v>0</v>
      </c>
      <c r="CM156" s="399">
        <f t="shared" si="87"/>
        <v>0</v>
      </c>
      <c r="CN156" s="399">
        <f t="shared" si="88"/>
        <v>0</v>
      </c>
      <c r="CO156" s="399">
        <f t="shared" si="89"/>
        <v>0</v>
      </c>
      <c r="CP156" s="399">
        <f t="shared" si="90"/>
        <v>0</v>
      </c>
      <c r="CQ156" s="423">
        <f t="shared" si="91"/>
        <v>0</v>
      </c>
      <c r="CS156" s="394" t="e">
        <f t="shared" si="92"/>
        <v>#DIV/0!</v>
      </c>
    </row>
    <row r="157" spans="3:97">
      <c r="C157" s="107"/>
      <c r="D157" s="395"/>
      <c r="E157" s="84"/>
      <c r="F157" s="84"/>
      <c r="G157" s="389"/>
      <c r="H157" s="390"/>
      <c r="I157" s="390"/>
      <c r="J157" s="390"/>
      <c r="K157" s="390"/>
      <c r="L157" s="390"/>
      <c r="M157" s="390"/>
      <c r="N157" s="390"/>
      <c r="O157" s="390"/>
      <c r="P157" s="390"/>
      <c r="Q157" s="390"/>
      <c r="R157" s="390"/>
      <c r="S157" s="390"/>
      <c r="T157" s="390"/>
      <c r="U157" s="390"/>
      <c r="V157" s="390"/>
      <c r="W157" s="390"/>
      <c r="X157" s="390"/>
      <c r="Y157" s="390"/>
      <c r="Z157" s="390"/>
      <c r="AA157" s="390"/>
      <c r="AB157" s="390"/>
      <c r="AC157" s="390"/>
      <c r="AD157" s="390"/>
      <c r="AE157" s="390"/>
      <c r="AF157" s="390"/>
      <c r="AG157" s="390"/>
      <c r="AH157" s="390"/>
      <c r="AI157" s="391"/>
      <c r="AK157" s="437"/>
      <c r="AL157" s="437"/>
      <c r="AM157" s="437"/>
      <c r="AN157" s="437"/>
      <c r="AO157" s="437"/>
      <c r="AP157" s="437"/>
      <c r="AQ157" s="437"/>
      <c r="AR157" s="437"/>
      <c r="AS157" s="437"/>
      <c r="AT157" s="437"/>
      <c r="AU157" s="437"/>
      <c r="AV157" s="437"/>
      <c r="AW157" s="437"/>
      <c r="AX157" s="437"/>
      <c r="AY157" s="437"/>
      <c r="AZ157" s="437"/>
      <c r="BA157" s="437"/>
      <c r="BB157" s="437"/>
      <c r="BC157" s="437"/>
      <c r="BD157" s="437"/>
      <c r="BE157" s="437"/>
      <c r="BF157" s="437"/>
      <c r="BG157" s="437"/>
      <c r="BH157" s="437"/>
      <c r="BI157" s="437"/>
      <c r="BJ157" s="437"/>
      <c r="BK157" s="437"/>
      <c r="BL157" s="437"/>
      <c r="BM157" s="393"/>
      <c r="BO157" s="399">
        <f t="shared" si="63"/>
        <v>0</v>
      </c>
      <c r="BP157" s="399">
        <f t="shared" si="64"/>
        <v>0</v>
      </c>
      <c r="BQ157" s="399">
        <f t="shared" si="65"/>
        <v>0</v>
      </c>
      <c r="BR157" s="399">
        <f t="shared" si="66"/>
        <v>0</v>
      </c>
      <c r="BS157" s="399">
        <f t="shared" si="67"/>
        <v>0</v>
      </c>
      <c r="BT157" s="399">
        <f t="shared" si="68"/>
        <v>0</v>
      </c>
      <c r="BU157" s="399">
        <f t="shared" si="69"/>
        <v>0</v>
      </c>
      <c r="BV157" s="399">
        <f t="shared" si="70"/>
        <v>0</v>
      </c>
      <c r="BW157" s="399">
        <f t="shared" si="71"/>
        <v>0</v>
      </c>
      <c r="BX157" s="399">
        <f t="shared" si="72"/>
        <v>0</v>
      </c>
      <c r="BY157" s="399">
        <f t="shared" si="73"/>
        <v>0</v>
      </c>
      <c r="BZ157" s="399">
        <f t="shared" si="74"/>
        <v>0</v>
      </c>
      <c r="CA157" s="399">
        <f t="shared" si="75"/>
        <v>0</v>
      </c>
      <c r="CB157" s="399">
        <f t="shared" si="76"/>
        <v>0</v>
      </c>
      <c r="CC157" s="399">
        <f t="shared" si="77"/>
        <v>0</v>
      </c>
      <c r="CD157" s="399">
        <f t="shared" si="78"/>
        <v>0</v>
      </c>
      <c r="CE157" s="399">
        <f t="shared" si="79"/>
        <v>0</v>
      </c>
      <c r="CF157" s="399">
        <f t="shared" si="80"/>
        <v>0</v>
      </c>
      <c r="CG157" s="399">
        <f t="shared" si="81"/>
        <v>0</v>
      </c>
      <c r="CH157" s="399">
        <f t="shared" si="82"/>
        <v>0</v>
      </c>
      <c r="CI157" s="399">
        <f t="shared" si="83"/>
        <v>0</v>
      </c>
      <c r="CJ157" s="399">
        <f t="shared" si="84"/>
        <v>0</v>
      </c>
      <c r="CK157" s="399">
        <f t="shared" si="85"/>
        <v>0</v>
      </c>
      <c r="CL157" s="399">
        <f t="shared" si="86"/>
        <v>0</v>
      </c>
      <c r="CM157" s="399">
        <f t="shared" si="87"/>
        <v>0</v>
      </c>
      <c r="CN157" s="399">
        <f t="shared" si="88"/>
        <v>0</v>
      </c>
      <c r="CO157" s="399">
        <f t="shared" si="89"/>
        <v>0</v>
      </c>
      <c r="CP157" s="399">
        <f t="shared" si="90"/>
        <v>0</v>
      </c>
      <c r="CQ157" s="423">
        <f t="shared" si="91"/>
        <v>0</v>
      </c>
      <c r="CS157" s="394" t="e">
        <f t="shared" si="92"/>
        <v>#DIV/0!</v>
      </c>
    </row>
    <row r="158" spans="3:97">
      <c r="C158" s="107"/>
      <c r="D158" s="395"/>
      <c r="E158" s="84"/>
      <c r="F158" s="84"/>
      <c r="G158" s="389"/>
      <c r="H158" s="390"/>
      <c r="I158" s="390"/>
      <c r="J158" s="390"/>
      <c r="K158" s="390"/>
      <c r="L158" s="390"/>
      <c r="M158" s="390"/>
      <c r="N158" s="390"/>
      <c r="O158" s="390"/>
      <c r="P158" s="390"/>
      <c r="Q158" s="390"/>
      <c r="R158" s="390"/>
      <c r="S158" s="390"/>
      <c r="T158" s="390"/>
      <c r="U158" s="390"/>
      <c r="V158" s="390"/>
      <c r="W158" s="390"/>
      <c r="X158" s="390"/>
      <c r="Y158" s="390"/>
      <c r="Z158" s="390"/>
      <c r="AA158" s="390"/>
      <c r="AB158" s="390"/>
      <c r="AC158" s="390"/>
      <c r="AD158" s="390"/>
      <c r="AE158" s="390"/>
      <c r="AF158" s="390"/>
      <c r="AG158" s="390"/>
      <c r="AH158" s="390"/>
      <c r="AI158" s="391"/>
      <c r="AK158" s="437"/>
      <c r="AL158" s="437"/>
      <c r="AM158" s="437"/>
      <c r="AN158" s="437"/>
      <c r="AO158" s="437"/>
      <c r="AP158" s="437"/>
      <c r="AQ158" s="437"/>
      <c r="AR158" s="437"/>
      <c r="AS158" s="437"/>
      <c r="AT158" s="437"/>
      <c r="AU158" s="437"/>
      <c r="AV158" s="437"/>
      <c r="AW158" s="437"/>
      <c r="AX158" s="437"/>
      <c r="AY158" s="437"/>
      <c r="AZ158" s="437"/>
      <c r="BA158" s="437"/>
      <c r="BB158" s="437"/>
      <c r="BC158" s="437"/>
      <c r="BD158" s="437"/>
      <c r="BE158" s="437"/>
      <c r="BF158" s="437"/>
      <c r="BG158" s="437"/>
      <c r="BH158" s="437"/>
      <c r="BI158" s="437"/>
      <c r="BJ158" s="437"/>
      <c r="BK158" s="437"/>
      <c r="BL158" s="437"/>
      <c r="BM158" s="393"/>
      <c r="BO158" s="399">
        <f t="shared" si="63"/>
        <v>0</v>
      </c>
      <c r="BP158" s="399">
        <f t="shared" si="64"/>
        <v>0</v>
      </c>
      <c r="BQ158" s="399">
        <f t="shared" si="65"/>
        <v>0</v>
      </c>
      <c r="BR158" s="399">
        <f t="shared" si="66"/>
        <v>0</v>
      </c>
      <c r="BS158" s="399">
        <f t="shared" si="67"/>
        <v>0</v>
      </c>
      <c r="BT158" s="399">
        <f t="shared" si="68"/>
        <v>0</v>
      </c>
      <c r="BU158" s="399">
        <f t="shared" si="69"/>
        <v>0</v>
      </c>
      <c r="BV158" s="399">
        <f t="shared" si="70"/>
        <v>0</v>
      </c>
      <c r="BW158" s="399">
        <f t="shared" si="71"/>
        <v>0</v>
      </c>
      <c r="BX158" s="399">
        <f t="shared" si="72"/>
        <v>0</v>
      </c>
      <c r="BY158" s="399">
        <f t="shared" si="73"/>
        <v>0</v>
      </c>
      <c r="BZ158" s="399">
        <f t="shared" si="74"/>
        <v>0</v>
      </c>
      <c r="CA158" s="399">
        <f t="shared" si="75"/>
        <v>0</v>
      </c>
      <c r="CB158" s="399">
        <f t="shared" si="76"/>
        <v>0</v>
      </c>
      <c r="CC158" s="399">
        <f t="shared" si="77"/>
        <v>0</v>
      </c>
      <c r="CD158" s="399">
        <f t="shared" si="78"/>
        <v>0</v>
      </c>
      <c r="CE158" s="399">
        <f t="shared" si="79"/>
        <v>0</v>
      </c>
      <c r="CF158" s="399">
        <f t="shared" si="80"/>
        <v>0</v>
      </c>
      <c r="CG158" s="399">
        <f t="shared" si="81"/>
        <v>0</v>
      </c>
      <c r="CH158" s="399">
        <f t="shared" si="82"/>
        <v>0</v>
      </c>
      <c r="CI158" s="399">
        <f t="shared" si="83"/>
        <v>0</v>
      </c>
      <c r="CJ158" s="399">
        <f t="shared" si="84"/>
        <v>0</v>
      </c>
      <c r="CK158" s="399">
        <f t="shared" si="85"/>
        <v>0</v>
      </c>
      <c r="CL158" s="399">
        <f t="shared" si="86"/>
        <v>0</v>
      </c>
      <c r="CM158" s="399">
        <f t="shared" si="87"/>
        <v>0</v>
      </c>
      <c r="CN158" s="399">
        <f t="shared" si="88"/>
        <v>0</v>
      </c>
      <c r="CO158" s="399">
        <f t="shared" si="89"/>
        <v>0</v>
      </c>
      <c r="CP158" s="399">
        <f t="shared" si="90"/>
        <v>0</v>
      </c>
      <c r="CQ158" s="423">
        <f t="shared" si="91"/>
        <v>0</v>
      </c>
      <c r="CS158" s="394" t="e">
        <f t="shared" si="92"/>
        <v>#DIV/0!</v>
      </c>
    </row>
    <row r="159" spans="3:97">
      <c r="C159" s="107"/>
      <c r="D159" s="395"/>
      <c r="E159" s="84"/>
      <c r="F159" s="84"/>
      <c r="G159" s="389"/>
      <c r="H159" s="390"/>
      <c r="I159" s="390"/>
      <c r="J159" s="390"/>
      <c r="K159" s="390"/>
      <c r="L159" s="390"/>
      <c r="M159" s="390"/>
      <c r="N159" s="390"/>
      <c r="O159" s="390"/>
      <c r="P159" s="390"/>
      <c r="Q159" s="390"/>
      <c r="R159" s="390"/>
      <c r="S159" s="390"/>
      <c r="T159" s="390"/>
      <c r="U159" s="390"/>
      <c r="V159" s="390"/>
      <c r="W159" s="390"/>
      <c r="X159" s="390"/>
      <c r="Y159" s="390"/>
      <c r="Z159" s="390"/>
      <c r="AA159" s="390"/>
      <c r="AB159" s="390"/>
      <c r="AC159" s="390"/>
      <c r="AD159" s="390"/>
      <c r="AE159" s="390"/>
      <c r="AF159" s="390"/>
      <c r="AG159" s="390"/>
      <c r="AH159" s="390"/>
      <c r="AI159" s="391"/>
      <c r="AK159" s="437"/>
      <c r="AL159" s="437"/>
      <c r="AM159" s="437"/>
      <c r="AN159" s="437"/>
      <c r="AO159" s="437"/>
      <c r="AP159" s="437"/>
      <c r="AQ159" s="437"/>
      <c r="AR159" s="437"/>
      <c r="AS159" s="437"/>
      <c r="AT159" s="437"/>
      <c r="AU159" s="437"/>
      <c r="AV159" s="437"/>
      <c r="AW159" s="437"/>
      <c r="AX159" s="437"/>
      <c r="AY159" s="437"/>
      <c r="AZ159" s="437"/>
      <c r="BA159" s="437"/>
      <c r="BB159" s="437"/>
      <c r="BC159" s="437"/>
      <c r="BD159" s="437"/>
      <c r="BE159" s="437"/>
      <c r="BF159" s="437"/>
      <c r="BG159" s="437"/>
      <c r="BH159" s="437"/>
      <c r="BI159" s="437"/>
      <c r="BJ159" s="437"/>
      <c r="BK159" s="437"/>
      <c r="BL159" s="437"/>
      <c r="BM159" s="393"/>
      <c r="BO159" s="399">
        <f t="shared" si="63"/>
        <v>0</v>
      </c>
      <c r="BP159" s="399">
        <f t="shared" si="64"/>
        <v>0</v>
      </c>
      <c r="BQ159" s="399">
        <f t="shared" si="65"/>
        <v>0</v>
      </c>
      <c r="BR159" s="399">
        <f t="shared" si="66"/>
        <v>0</v>
      </c>
      <c r="BS159" s="399">
        <f t="shared" si="67"/>
        <v>0</v>
      </c>
      <c r="BT159" s="399">
        <f t="shared" si="68"/>
        <v>0</v>
      </c>
      <c r="BU159" s="399">
        <f t="shared" si="69"/>
        <v>0</v>
      </c>
      <c r="BV159" s="399">
        <f t="shared" si="70"/>
        <v>0</v>
      </c>
      <c r="BW159" s="399">
        <f t="shared" si="71"/>
        <v>0</v>
      </c>
      <c r="BX159" s="399">
        <f t="shared" si="72"/>
        <v>0</v>
      </c>
      <c r="BY159" s="399">
        <f t="shared" si="73"/>
        <v>0</v>
      </c>
      <c r="BZ159" s="399">
        <f t="shared" si="74"/>
        <v>0</v>
      </c>
      <c r="CA159" s="399">
        <f t="shared" si="75"/>
        <v>0</v>
      </c>
      <c r="CB159" s="399">
        <f t="shared" si="76"/>
        <v>0</v>
      </c>
      <c r="CC159" s="399">
        <f t="shared" si="77"/>
        <v>0</v>
      </c>
      <c r="CD159" s="399">
        <f t="shared" si="78"/>
        <v>0</v>
      </c>
      <c r="CE159" s="399">
        <f t="shared" si="79"/>
        <v>0</v>
      </c>
      <c r="CF159" s="399">
        <f t="shared" si="80"/>
        <v>0</v>
      </c>
      <c r="CG159" s="399">
        <f t="shared" si="81"/>
        <v>0</v>
      </c>
      <c r="CH159" s="399">
        <f t="shared" si="82"/>
        <v>0</v>
      </c>
      <c r="CI159" s="399">
        <f t="shared" si="83"/>
        <v>0</v>
      </c>
      <c r="CJ159" s="399">
        <f t="shared" si="84"/>
        <v>0</v>
      </c>
      <c r="CK159" s="399">
        <f t="shared" si="85"/>
        <v>0</v>
      </c>
      <c r="CL159" s="399">
        <f t="shared" si="86"/>
        <v>0</v>
      </c>
      <c r="CM159" s="399">
        <f t="shared" si="87"/>
        <v>0</v>
      </c>
      <c r="CN159" s="399">
        <f t="shared" si="88"/>
        <v>0</v>
      </c>
      <c r="CO159" s="399">
        <f t="shared" si="89"/>
        <v>0</v>
      </c>
      <c r="CP159" s="399">
        <f t="shared" si="90"/>
        <v>0</v>
      </c>
      <c r="CQ159" s="423">
        <f t="shared" si="91"/>
        <v>0</v>
      </c>
      <c r="CS159" s="394" t="e">
        <f t="shared" si="92"/>
        <v>#DIV/0!</v>
      </c>
    </row>
    <row r="160" spans="3:97">
      <c r="C160" s="107"/>
      <c r="D160" s="395"/>
      <c r="E160" s="84"/>
      <c r="F160" s="84"/>
      <c r="G160" s="389"/>
      <c r="H160" s="390"/>
      <c r="I160" s="390"/>
      <c r="J160" s="390"/>
      <c r="K160" s="390"/>
      <c r="L160" s="390"/>
      <c r="M160" s="390"/>
      <c r="N160" s="390"/>
      <c r="O160" s="390"/>
      <c r="P160" s="390"/>
      <c r="Q160" s="390"/>
      <c r="R160" s="390"/>
      <c r="S160" s="390"/>
      <c r="T160" s="390"/>
      <c r="U160" s="390"/>
      <c r="V160" s="390"/>
      <c r="W160" s="390"/>
      <c r="X160" s="390"/>
      <c r="Y160" s="390"/>
      <c r="Z160" s="390"/>
      <c r="AA160" s="390"/>
      <c r="AB160" s="390"/>
      <c r="AC160" s="390"/>
      <c r="AD160" s="390"/>
      <c r="AE160" s="390"/>
      <c r="AF160" s="390"/>
      <c r="AG160" s="390"/>
      <c r="AH160" s="390"/>
      <c r="AI160" s="391"/>
      <c r="AK160" s="437"/>
      <c r="AL160" s="437"/>
      <c r="AM160" s="437"/>
      <c r="AN160" s="437"/>
      <c r="AO160" s="437"/>
      <c r="AP160" s="437"/>
      <c r="AQ160" s="437"/>
      <c r="AR160" s="437"/>
      <c r="AS160" s="437"/>
      <c r="AT160" s="437"/>
      <c r="AU160" s="437"/>
      <c r="AV160" s="437"/>
      <c r="AW160" s="437"/>
      <c r="AX160" s="437"/>
      <c r="AY160" s="437"/>
      <c r="AZ160" s="437"/>
      <c r="BA160" s="437"/>
      <c r="BB160" s="437"/>
      <c r="BC160" s="437"/>
      <c r="BD160" s="437"/>
      <c r="BE160" s="437"/>
      <c r="BF160" s="437"/>
      <c r="BG160" s="437"/>
      <c r="BH160" s="437"/>
      <c r="BI160" s="437"/>
      <c r="BJ160" s="437"/>
      <c r="BK160" s="437"/>
      <c r="BL160" s="437"/>
      <c r="BM160" s="393"/>
      <c r="BO160" s="399">
        <f t="shared" si="63"/>
        <v>0</v>
      </c>
      <c r="BP160" s="399">
        <f t="shared" si="64"/>
        <v>0</v>
      </c>
      <c r="BQ160" s="399">
        <f t="shared" si="65"/>
        <v>0</v>
      </c>
      <c r="BR160" s="399">
        <f t="shared" si="66"/>
        <v>0</v>
      </c>
      <c r="BS160" s="399">
        <f t="shared" si="67"/>
        <v>0</v>
      </c>
      <c r="BT160" s="399">
        <f t="shared" si="68"/>
        <v>0</v>
      </c>
      <c r="BU160" s="399">
        <f t="shared" si="69"/>
        <v>0</v>
      </c>
      <c r="BV160" s="399">
        <f t="shared" si="70"/>
        <v>0</v>
      </c>
      <c r="BW160" s="399">
        <f t="shared" si="71"/>
        <v>0</v>
      </c>
      <c r="BX160" s="399">
        <f t="shared" si="72"/>
        <v>0</v>
      </c>
      <c r="BY160" s="399">
        <f t="shared" si="73"/>
        <v>0</v>
      </c>
      <c r="BZ160" s="399">
        <f t="shared" si="74"/>
        <v>0</v>
      </c>
      <c r="CA160" s="399">
        <f t="shared" si="75"/>
        <v>0</v>
      </c>
      <c r="CB160" s="399">
        <f t="shared" si="76"/>
        <v>0</v>
      </c>
      <c r="CC160" s="399">
        <f t="shared" si="77"/>
        <v>0</v>
      </c>
      <c r="CD160" s="399">
        <f t="shared" si="78"/>
        <v>0</v>
      </c>
      <c r="CE160" s="399">
        <f t="shared" si="79"/>
        <v>0</v>
      </c>
      <c r="CF160" s="399">
        <f t="shared" si="80"/>
        <v>0</v>
      </c>
      <c r="CG160" s="399">
        <f t="shared" si="81"/>
        <v>0</v>
      </c>
      <c r="CH160" s="399">
        <f t="shared" si="82"/>
        <v>0</v>
      </c>
      <c r="CI160" s="399">
        <f t="shared" si="83"/>
        <v>0</v>
      </c>
      <c r="CJ160" s="399">
        <f t="shared" si="84"/>
        <v>0</v>
      </c>
      <c r="CK160" s="399">
        <f t="shared" si="85"/>
        <v>0</v>
      </c>
      <c r="CL160" s="399">
        <f t="shared" si="86"/>
        <v>0</v>
      </c>
      <c r="CM160" s="399">
        <f t="shared" si="87"/>
        <v>0</v>
      </c>
      <c r="CN160" s="399">
        <f t="shared" si="88"/>
        <v>0</v>
      </c>
      <c r="CO160" s="399">
        <f t="shared" si="89"/>
        <v>0</v>
      </c>
      <c r="CP160" s="399">
        <f t="shared" si="90"/>
        <v>0</v>
      </c>
      <c r="CQ160" s="423">
        <f t="shared" si="91"/>
        <v>0</v>
      </c>
      <c r="CS160" s="394" t="e">
        <f t="shared" si="92"/>
        <v>#DIV/0!</v>
      </c>
    </row>
    <row r="161" spans="3:97">
      <c r="C161" s="107"/>
      <c r="D161" s="395"/>
      <c r="E161" s="84"/>
      <c r="F161" s="84"/>
      <c r="G161" s="389"/>
      <c r="H161" s="390"/>
      <c r="I161" s="390"/>
      <c r="J161" s="390"/>
      <c r="K161" s="390"/>
      <c r="L161" s="390"/>
      <c r="M161" s="390"/>
      <c r="N161" s="390"/>
      <c r="O161" s="390"/>
      <c r="P161" s="390"/>
      <c r="Q161" s="390"/>
      <c r="R161" s="390"/>
      <c r="S161" s="390"/>
      <c r="T161" s="390"/>
      <c r="U161" s="390"/>
      <c r="V161" s="390"/>
      <c r="W161" s="390"/>
      <c r="X161" s="390"/>
      <c r="Y161" s="390"/>
      <c r="Z161" s="390"/>
      <c r="AA161" s="390"/>
      <c r="AB161" s="390"/>
      <c r="AC161" s="390"/>
      <c r="AD161" s="390"/>
      <c r="AE161" s="390"/>
      <c r="AF161" s="390"/>
      <c r="AG161" s="390"/>
      <c r="AH161" s="390"/>
      <c r="AI161" s="391"/>
      <c r="AK161" s="437"/>
      <c r="AL161" s="437"/>
      <c r="AM161" s="437"/>
      <c r="AN161" s="437"/>
      <c r="AO161" s="437"/>
      <c r="AP161" s="437"/>
      <c r="AQ161" s="437"/>
      <c r="AR161" s="437"/>
      <c r="AS161" s="437"/>
      <c r="AT161" s="437"/>
      <c r="AU161" s="437"/>
      <c r="AV161" s="437"/>
      <c r="AW161" s="437"/>
      <c r="AX161" s="437"/>
      <c r="AY161" s="437"/>
      <c r="AZ161" s="437"/>
      <c r="BA161" s="437"/>
      <c r="BB161" s="437"/>
      <c r="BC161" s="437"/>
      <c r="BD161" s="437"/>
      <c r="BE161" s="437"/>
      <c r="BF161" s="437"/>
      <c r="BG161" s="437"/>
      <c r="BH161" s="437"/>
      <c r="BI161" s="437"/>
      <c r="BJ161" s="437"/>
      <c r="BK161" s="437"/>
      <c r="BL161" s="437"/>
      <c r="BM161" s="393"/>
      <c r="BO161" s="399">
        <f t="shared" si="63"/>
        <v>0</v>
      </c>
      <c r="BP161" s="399">
        <f t="shared" si="64"/>
        <v>0</v>
      </c>
      <c r="BQ161" s="399">
        <f t="shared" si="65"/>
        <v>0</v>
      </c>
      <c r="BR161" s="399">
        <f t="shared" si="66"/>
        <v>0</v>
      </c>
      <c r="BS161" s="399">
        <f t="shared" si="67"/>
        <v>0</v>
      </c>
      <c r="BT161" s="399">
        <f t="shared" si="68"/>
        <v>0</v>
      </c>
      <c r="BU161" s="399">
        <f t="shared" si="69"/>
        <v>0</v>
      </c>
      <c r="BV161" s="399">
        <f t="shared" si="70"/>
        <v>0</v>
      </c>
      <c r="BW161" s="399">
        <f t="shared" si="71"/>
        <v>0</v>
      </c>
      <c r="BX161" s="399">
        <f t="shared" si="72"/>
        <v>0</v>
      </c>
      <c r="BY161" s="399">
        <f t="shared" si="73"/>
        <v>0</v>
      </c>
      <c r="BZ161" s="399">
        <f t="shared" si="74"/>
        <v>0</v>
      </c>
      <c r="CA161" s="399">
        <f t="shared" si="75"/>
        <v>0</v>
      </c>
      <c r="CB161" s="399">
        <f t="shared" si="76"/>
        <v>0</v>
      </c>
      <c r="CC161" s="399">
        <f t="shared" si="77"/>
        <v>0</v>
      </c>
      <c r="CD161" s="399">
        <f t="shared" si="78"/>
        <v>0</v>
      </c>
      <c r="CE161" s="399">
        <f t="shared" si="79"/>
        <v>0</v>
      </c>
      <c r="CF161" s="399">
        <f t="shared" si="80"/>
        <v>0</v>
      </c>
      <c r="CG161" s="399">
        <f t="shared" si="81"/>
        <v>0</v>
      </c>
      <c r="CH161" s="399">
        <f t="shared" si="82"/>
        <v>0</v>
      </c>
      <c r="CI161" s="399">
        <f t="shared" si="83"/>
        <v>0</v>
      </c>
      <c r="CJ161" s="399">
        <f t="shared" si="84"/>
        <v>0</v>
      </c>
      <c r="CK161" s="399">
        <f t="shared" si="85"/>
        <v>0</v>
      </c>
      <c r="CL161" s="399">
        <f t="shared" si="86"/>
        <v>0</v>
      </c>
      <c r="CM161" s="399">
        <f t="shared" si="87"/>
        <v>0</v>
      </c>
      <c r="CN161" s="399">
        <f t="shared" si="88"/>
        <v>0</v>
      </c>
      <c r="CO161" s="399">
        <f t="shared" si="89"/>
        <v>0</v>
      </c>
      <c r="CP161" s="399">
        <f t="shared" si="90"/>
        <v>0</v>
      </c>
      <c r="CQ161" s="423">
        <f t="shared" si="91"/>
        <v>0</v>
      </c>
      <c r="CS161" s="394" t="e">
        <f t="shared" si="92"/>
        <v>#DIV/0!</v>
      </c>
    </row>
    <row r="162" spans="3:97">
      <c r="C162" s="107"/>
      <c r="D162" s="395"/>
      <c r="E162" s="84"/>
      <c r="F162" s="84"/>
      <c r="G162" s="389"/>
      <c r="H162" s="390"/>
      <c r="I162" s="390"/>
      <c r="J162" s="390"/>
      <c r="K162" s="390"/>
      <c r="L162" s="390"/>
      <c r="M162" s="390"/>
      <c r="N162" s="390"/>
      <c r="O162" s="390"/>
      <c r="P162" s="390"/>
      <c r="Q162" s="390"/>
      <c r="R162" s="390"/>
      <c r="S162" s="390"/>
      <c r="T162" s="390"/>
      <c r="U162" s="390"/>
      <c r="V162" s="390"/>
      <c r="W162" s="390"/>
      <c r="X162" s="390"/>
      <c r="Y162" s="390"/>
      <c r="Z162" s="390"/>
      <c r="AA162" s="390"/>
      <c r="AB162" s="390"/>
      <c r="AC162" s="390"/>
      <c r="AD162" s="390"/>
      <c r="AE162" s="390"/>
      <c r="AF162" s="390"/>
      <c r="AG162" s="390"/>
      <c r="AH162" s="390"/>
      <c r="AI162" s="391"/>
      <c r="AK162" s="437"/>
      <c r="AL162" s="437"/>
      <c r="AM162" s="437"/>
      <c r="AN162" s="437"/>
      <c r="AO162" s="437"/>
      <c r="AP162" s="437"/>
      <c r="AQ162" s="437"/>
      <c r="AR162" s="437"/>
      <c r="AS162" s="437"/>
      <c r="AT162" s="437"/>
      <c r="AU162" s="437"/>
      <c r="AV162" s="437"/>
      <c r="AW162" s="437"/>
      <c r="AX162" s="437"/>
      <c r="AY162" s="437"/>
      <c r="AZ162" s="437"/>
      <c r="BA162" s="437"/>
      <c r="BB162" s="437"/>
      <c r="BC162" s="437"/>
      <c r="BD162" s="437"/>
      <c r="BE162" s="437"/>
      <c r="BF162" s="437"/>
      <c r="BG162" s="437"/>
      <c r="BH162" s="437"/>
      <c r="BI162" s="437"/>
      <c r="BJ162" s="437"/>
      <c r="BK162" s="437"/>
      <c r="BL162" s="437"/>
      <c r="BM162" s="393"/>
      <c r="BO162" s="399">
        <f t="shared" si="63"/>
        <v>0</v>
      </c>
      <c r="BP162" s="399">
        <f t="shared" si="64"/>
        <v>0</v>
      </c>
      <c r="BQ162" s="399">
        <f t="shared" si="65"/>
        <v>0</v>
      </c>
      <c r="BR162" s="399">
        <f t="shared" si="66"/>
        <v>0</v>
      </c>
      <c r="BS162" s="399">
        <f t="shared" si="67"/>
        <v>0</v>
      </c>
      <c r="BT162" s="399">
        <f t="shared" si="68"/>
        <v>0</v>
      </c>
      <c r="BU162" s="399">
        <f t="shared" si="69"/>
        <v>0</v>
      </c>
      <c r="BV162" s="399">
        <f t="shared" si="70"/>
        <v>0</v>
      </c>
      <c r="BW162" s="399">
        <f t="shared" si="71"/>
        <v>0</v>
      </c>
      <c r="BX162" s="399">
        <f t="shared" si="72"/>
        <v>0</v>
      </c>
      <c r="BY162" s="399">
        <f t="shared" si="73"/>
        <v>0</v>
      </c>
      <c r="BZ162" s="399">
        <f t="shared" si="74"/>
        <v>0</v>
      </c>
      <c r="CA162" s="399">
        <f t="shared" si="75"/>
        <v>0</v>
      </c>
      <c r="CB162" s="399">
        <f t="shared" si="76"/>
        <v>0</v>
      </c>
      <c r="CC162" s="399">
        <f t="shared" si="77"/>
        <v>0</v>
      </c>
      <c r="CD162" s="399">
        <f t="shared" si="78"/>
        <v>0</v>
      </c>
      <c r="CE162" s="399">
        <f t="shared" si="79"/>
        <v>0</v>
      </c>
      <c r="CF162" s="399">
        <f t="shared" si="80"/>
        <v>0</v>
      </c>
      <c r="CG162" s="399">
        <f t="shared" si="81"/>
        <v>0</v>
      </c>
      <c r="CH162" s="399">
        <f t="shared" si="82"/>
        <v>0</v>
      </c>
      <c r="CI162" s="399">
        <f t="shared" si="83"/>
        <v>0</v>
      </c>
      <c r="CJ162" s="399">
        <f t="shared" si="84"/>
        <v>0</v>
      </c>
      <c r="CK162" s="399">
        <f t="shared" si="85"/>
        <v>0</v>
      </c>
      <c r="CL162" s="399">
        <f t="shared" si="86"/>
        <v>0</v>
      </c>
      <c r="CM162" s="399">
        <f t="shared" si="87"/>
        <v>0</v>
      </c>
      <c r="CN162" s="399">
        <f t="shared" si="88"/>
        <v>0</v>
      </c>
      <c r="CO162" s="399">
        <f t="shared" si="89"/>
        <v>0</v>
      </c>
      <c r="CP162" s="399">
        <f t="shared" si="90"/>
        <v>0</v>
      </c>
      <c r="CQ162" s="423">
        <f t="shared" si="91"/>
        <v>0</v>
      </c>
      <c r="CS162" s="394" t="e">
        <f t="shared" si="92"/>
        <v>#DIV/0!</v>
      </c>
    </row>
    <row r="163" spans="3:97">
      <c r="C163" s="107"/>
      <c r="D163" s="395"/>
      <c r="E163" s="84"/>
      <c r="F163" s="84"/>
      <c r="G163" s="389"/>
      <c r="H163" s="390"/>
      <c r="I163" s="390"/>
      <c r="J163" s="390"/>
      <c r="K163" s="390"/>
      <c r="L163" s="390"/>
      <c r="M163" s="390"/>
      <c r="N163" s="390"/>
      <c r="O163" s="390"/>
      <c r="P163" s="390"/>
      <c r="Q163" s="390"/>
      <c r="R163" s="390"/>
      <c r="S163" s="390"/>
      <c r="T163" s="390"/>
      <c r="U163" s="390"/>
      <c r="V163" s="390"/>
      <c r="W163" s="390"/>
      <c r="X163" s="390"/>
      <c r="Y163" s="390"/>
      <c r="Z163" s="390"/>
      <c r="AA163" s="390"/>
      <c r="AB163" s="390"/>
      <c r="AC163" s="390"/>
      <c r="AD163" s="390"/>
      <c r="AE163" s="390"/>
      <c r="AF163" s="390"/>
      <c r="AG163" s="390"/>
      <c r="AH163" s="390"/>
      <c r="AI163" s="391"/>
      <c r="AK163" s="437"/>
      <c r="AL163" s="437"/>
      <c r="AM163" s="437"/>
      <c r="AN163" s="437"/>
      <c r="AO163" s="437"/>
      <c r="AP163" s="437"/>
      <c r="AQ163" s="437"/>
      <c r="AR163" s="437"/>
      <c r="AS163" s="437"/>
      <c r="AT163" s="437"/>
      <c r="AU163" s="437"/>
      <c r="AV163" s="437"/>
      <c r="AW163" s="437"/>
      <c r="AX163" s="437"/>
      <c r="AY163" s="437"/>
      <c r="AZ163" s="437"/>
      <c r="BA163" s="437"/>
      <c r="BB163" s="437"/>
      <c r="BC163" s="437"/>
      <c r="BD163" s="437"/>
      <c r="BE163" s="437"/>
      <c r="BF163" s="437"/>
      <c r="BG163" s="437"/>
      <c r="BH163" s="437"/>
      <c r="BI163" s="437"/>
      <c r="BJ163" s="437"/>
      <c r="BK163" s="437"/>
      <c r="BL163" s="437"/>
      <c r="BM163" s="393"/>
      <c r="BO163" s="399">
        <f t="shared" si="63"/>
        <v>0</v>
      </c>
      <c r="BP163" s="399">
        <f t="shared" si="64"/>
        <v>0</v>
      </c>
      <c r="BQ163" s="399">
        <f t="shared" si="65"/>
        <v>0</v>
      </c>
      <c r="BR163" s="399">
        <f t="shared" si="66"/>
        <v>0</v>
      </c>
      <c r="BS163" s="399">
        <f t="shared" si="67"/>
        <v>0</v>
      </c>
      <c r="BT163" s="399">
        <f t="shared" si="68"/>
        <v>0</v>
      </c>
      <c r="BU163" s="399">
        <f t="shared" si="69"/>
        <v>0</v>
      </c>
      <c r="BV163" s="399">
        <f t="shared" si="70"/>
        <v>0</v>
      </c>
      <c r="BW163" s="399">
        <f t="shared" si="71"/>
        <v>0</v>
      </c>
      <c r="BX163" s="399">
        <f t="shared" si="72"/>
        <v>0</v>
      </c>
      <c r="BY163" s="399">
        <f t="shared" si="73"/>
        <v>0</v>
      </c>
      <c r="BZ163" s="399">
        <f t="shared" si="74"/>
        <v>0</v>
      </c>
      <c r="CA163" s="399">
        <f t="shared" si="75"/>
        <v>0</v>
      </c>
      <c r="CB163" s="399">
        <f t="shared" si="76"/>
        <v>0</v>
      </c>
      <c r="CC163" s="399">
        <f t="shared" si="77"/>
        <v>0</v>
      </c>
      <c r="CD163" s="399">
        <f t="shared" si="78"/>
        <v>0</v>
      </c>
      <c r="CE163" s="399">
        <f t="shared" si="79"/>
        <v>0</v>
      </c>
      <c r="CF163" s="399">
        <f t="shared" si="80"/>
        <v>0</v>
      </c>
      <c r="CG163" s="399">
        <f t="shared" si="81"/>
        <v>0</v>
      </c>
      <c r="CH163" s="399">
        <f t="shared" si="82"/>
        <v>0</v>
      </c>
      <c r="CI163" s="399">
        <f t="shared" si="83"/>
        <v>0</v>
      </c>
      <c r="CJ163" s="399">
        <f t="shared" si="84"/>
        <v>0</v>
      </c>
      <c r="CK163" s="399">
        <f t="shared" si="85"/>
        <v>0</v>
      </c>
      <c r="CL163" s="399">
        <f t="shared" si="86"/>
        <v>0</v>
      </c>
      <c r="CM163" s="399">
        <f t="shared" si="87"/>
        <v>0</v>
      </c>
      <c r="CN163" s="399">
        <f t="shared" si="88"/>
        <v>0</v>
      </c>
      <c r="CO163" s="399">
        <f t="shared" si="89"/>
        <v>0</v>
      </c>
      <c r="CP163" s="399">
        <f t="shared" si="90"/>
        <v>0</v>
      </c>
      <c r="CQ163" s="423">
        <f t="shared" si="91"/>
        <v>0</v>
      </c>
      <c r="CS163" s="394" t="e">
        <f t="shared" si="92"/>
        <v>#DIV/0!</v>
      </c>
    </row>
    <row r="164" spans="3:97">
      <c r="C164" s="107"/>
      <c r="D164" s="395"/>
      <c r="E164" s="84"/>
      <c r="F164" s="84"/>
      <c r="G164" s="389"/>
      <c r="H164" s="390"/>
      <c r="I164" s="390"/>
      <c r="J164" s="390"/>
      <c r="K164" s="390"/>
      <c r="L164" s="390"/>
      <c r="M164" s="390"/>
      <c r="N164" s="390"/>
      <c r="O164" s="390"/>
      <c r="P164" s="390"/>
      <c r="Q164" s="390"/>
      <c r="R164" s="390"/>
      <c r="S164" s="390"/>
      <c r="T164" s="390"/>
      <c r="U164" s="390"/>
      <c r="V164" s="390"/>
      <c r="W164" s="390"/>
      <c r="X164" s="390"/>
      <c r="Y164" s="390"/>
      <c r="Z164" s="390"/>
      <c r="AA164" s="390"/>
      <c r="AB164" s="390"/>
      <c r="AC164" s="390"/>
      <c r="AD164" s="390"/>
      <c r="AE164" s="390"/>
      <c r="AF164" s="390"/>
      <c r="AG164" s="390"/>
      <c r="AH164" s="390"/>
      <c r="AI164" s="391"/>
      <c r="AK164" s="437"/>
      <c r="AL164" s="437"/>
      <c r="AM164" s="437"/>
      <c r="AN164" s="437"/>
      <c r="AO164" s="437"/>
      <c r="AP164" s="437"/>
      <c r="AQ164" s="437"/>
      <c r="AR164" s="437"/>
      <c r="AS164" s="437"/>
      <c r="AT164" s="437"/>
      <c r="AU164" s="437"/>
      <c r="AV164" s="437"/>
      <c r="AW164" s="437"/>
      <c r="AX164" s="437"/>
      <c r="AY164" s="437"/>
      <c r="AZ164" s="437"/>
      <c r="BA164" s="437"/>
      <c r="BB164" s="437"/>
      <c r="BC164" s="437"/>
      <c r="BD164" s="437"/>
      <c r="BE164" s="437"/>
      <c r="BF164" s="437"/>
      <c r="BG164" s="437"/>
      <c r="BH164" s="437"/>
      <c r="BI164" s="437"/>
      <c r="BJ164" s="437"/>
      <c r="BK164" s="437"/>
      <c r="BL164" s="437"/>
      <c r="BM164" s="393"/>
      <c r="BO164" s="399">
        <f t="shared" si="63"/>
        <v>0</v>
      </c>
      <c r="BP164" s="399">
        <f t="shared" si="64"/>
        <v>0</v>
      </c>
      <c r="BQ164" s="399">
        <f t="shared" si="65"/>
        <v>0</v>
      </c>
      <c r="BR164" s="399">
        <f t="shared" si="66"/>
        <v>0</v>
      </c>
      <c r="BS164" s="399">
        <f t="shared" si="67"/>
        <v>0</v>
      </c>
      <c r="BT164" s="399">
        <f t="shared" si="68"/>
        <v>0</v>
      </c>
      <c r="BU164" s="399">
        <f t="shared" si="69"/>
        <v>0</v>
      </c>
      <c r="BV164" s="399">
        <f t="shared" si="70"/>
        <v>0</v>
      </c>
      <c r="BW164" s="399">
        <f t="shared" si="71"/>
        <v>0</v>
      </c>
      <c r="BX164" s="399">
        <f t="shared" si="72"/>
        <v>0</v>
      </c>
      <c r="BY164" s="399">
        <f t="shared" si="73"/>
        <v>0</v>
      </c>
      <c r="BZ164" s="399">
        <f t="shared" si="74"/>
        <v>0</v>
      </c>
      <c r="CA164" s="399">
        <f t="shared" si="75"/>
        <v>0</v>
      </c>
      <c r="CB164" s="399">
        <f t="shared" si="76"/>
        <v>0</v>
      </c>
      <c r="CC164" s="399">
        <f t="shared" si="77"/>
        <v>0</v>
      </c>
      <c r="CD164" s="399">
        <f t="shared" si="78"/>
        <v>0</v>
      </c>
      <c r="CE164" s="399">
        <f t="shared" si="79"/>
        <v>0</v>
      </c>
      <c r="CF164" s="399">
        <f t="shared" si="80"/>
        <v>0</v>
      </c>
      <c r="CG164" s="399">
        <f t="shared" si="81"/>
        <v>0</v>
      </c>
      <c r="CH164" s="399">
        <f t="shared" si="82"/>
        <v>0</v>
      </c>
      <c r="CI164" s="399">
        <f t="shared" si="83"/>
        <v>0</v>
      </c>
      <c r="CJ164" s="399">
        <f t="shared" si="84"/>
        <v>0</v>
      </c>
      <c r="CK164" s="399">
        <f t="shared" si="85"/>
        <v>0</v>
      </c>
      <c r="CL164" s="399">
        <f t="shared" si="86"/>
        <v>0</v>
      </c>
      <c r="CM164" s="399">
        <f t="shared" si="87"/>
        <v>0</v>
      </c>
      <c r="CN164" s="399">
        <f t="shared" si="88"/>
        <v>0</v>
      </c>
      <c r="CO164" s="399">
        <f t="shared" si="89"/>
        <v>0</v>
      </c>
      <c r="CP164" s="399">
        <f t="shared" si="90"/>
        <v>0</v>
      </c>
      <c r="CQ164" s="423">
        <f t="shared" si="91"/>
        <v>0</v>
      </c>
      <c r="CS164" s="394" t="e">
        <f t="shared" si="92"/>
        <v>#DIV/0!</v>
      </c>
    </row>
    <row r="165" spans="3:97">
      <c r="C165" s="107"/>
      <c r="D165" s="395"/>
      <c r="E165" s="84"/>
      <c r="F165" s="84"/>
      <c r="G165" s="389"/>
      <c r="H165" s="390"/>
      <c r="I165" s="390"/>
      <c r="J165" s="390"/>
      <c r="K165" s="390"/>
      <c r="L165" s="390"/>
      <c r="M165" s="390"/>
      <c r="N165" s="390"/>
      <c r="O165" s="390"/>
      <c r="P165" s="390"/>
      <c r="Q165" s="390"/>
      <c r="R165" s="390"/>
      <c r="S165" s="390"/>
      <c r="T165" s="390"/>
      <c r="U165" s="390"/>
      <c r="V165" s="390"/>
      <c r="W165" s="390"/>
      <c r="X165" s="390"/>
      <c r="Y165" s="390"/>
      <c r="Z165" s="390"/>
      <c r="AA165" s="390"/>
      <c r="AB165" s="390"/>
      <c r="AC165" s="390"/>
      <c r="AD165" s="390"/>
      <c r="AE165" s="390"/>
      <c r="AF165" s="390"/>
      <c r="AG165" s="390"/>
      <c r="AH165" s="390"/>
      <c r="AI165" s="391"/>
      <c r="AK165" s="437"/>
      <c r="AL165" s="437"/>
      <c r="AM165" s="437"/>
      <c r="AN165" s="437"/>
      <c r="AO165" s="437"/>
      <c r="AP165" s="437"/>
      <c r="AQ165" s="437"/>
      <c r="AR165" s="437"/>
      <c r="AS165" s="437"/>
      <c r="AT165" s="437"/>
      <c r="AU165" s="437"/>
      <c r="AV165" s="437"/>
      <c r="AW165" s="437"/>
      <c r="AX165" s="437"/>
      <c r="AY165" s="437"/>
      <c r="AZ165" s="437"/>
      <c r="BA165" s="437"/>
      <c r="BB165" s="437"/>
      <c r="BC165" s="437"/>
      <c r="BD165" s="437"/>
      <c r="BE165" s="437"/>
      <c r="BF165" s="437"/>
      <c r="BG165" s="437"/>
      <c r="BH165" s="437"/>
      <c r="BI165" s="437"/>
      <c r="BJ165" s="437"/>
      <c r="BK165" s="437"/>
      <c r="BL165" s="437"/>
      <c r="BM165" s="393"/>
      <c r="BO165" s="399">
        <f t="shared" si="63"/>
        <v>0</v>
      </c>
      <c r="BP165" s="399">
        <f t="shared" si="64"/>
        <v>0</v>
      </c>
      <c r="BQ165" s="399">
        <f t="shared" si="65"/>
        <v>0</v>
      </c>
      <c r="BR165" s="399">
        <f t="shared" si="66"/>
        <v>0</v>
      </c>
      <c r="BS165" s="399">
        <f t="shared" si="67"/>
        <v>0</v>
      </c>
      <c r="BT165" s="399">
        <f t="shared" si="68"/>
        <v>0</v>
      </c>
      <c r="BU165" s="399">
        <f t="shared" si="69"/>
        <v>0</v>
      </c>
      <c r="BV165" s="399">
        <f t="shared" si="70"/>
        <v>0</v>
      </c>
      <c r="BW165" s="399">
        <f t="shared" si="71"/>
        <v>0</v>
      </c>
      <c r="BX165" s="399">
        <f t="shared" si="72"/>
        <v>0</v>
      </c>
      <c r="BY165" s="399">
        <f t="shared" si="73"/>
        <v>0</v>
      </c>
      <c r="BZ165" s="399">
        <f t="shared" si="74"/>
        <v>0</v>
      </c>
      <c r="CA165" s="399">
        <f t="shared" si="75"/>
        <v>0</v>
      </c>
      <c r="CB165" s="399">
        <f t="shared" si="76"/>
        <v>0</v>
      </c>
      <c r="CC165" s="399">
        <f t="shared" si="77"/>
        <v>0</v>
      </c>
      <c r="CD165" s="399">
        <f t="shared" si="78"/>
        <v>0</v>
      </c>
      <c r="CE165" s="399">
        <f t="shared" si="79"/>
        <v>0</v>
      </c>
      <c r="CF165" s="399">
        <f t="shared" si="80"/>
        <v>0</v>
      </c>
      <c r="CG165" s="399">
        <f t="shared" si="81"/>
        <v>0</v>
      </c>
      <c r="CH165" s="399">
        <f t="shared" si="82"/>
        <v>0</v>
      </c>
      <c r="CI165" s="399">
        <f t="shared" si="83"/>
        <v>0</v>
      </c>
      <c r="CJ165" s="399">
        <f t="shared" si="84"/>
        <v>0</v>
      </c>
      <c r="CK165" s="399">
        <f t="shared" si="85"/>
        <v>0</v>
      </c>
      <c r="CL165" s="399">
        <f t="shared" si="86"/>
        <v>0</v>
      </c>
      <c r="CM165" s="399">
        <f t="shared" si="87"/>
        <v>0</v>
      </c>
      <c r="CN165" s="399">
        <f t="shared" si="88"/>
        <v>0</v>
      </c>
      <c r="CO165" s="399">
        <f t="shared" si="89"/>
        <v>0</v>
      </c>
      <c r="CP165" s="399">
        <f t="shared" si="90"/>
        <v>0</v>
      </c>
      <c r="CQ165" s="423">
        <f t="shared" si="91"/>
        <v>0</v>
      </c>
      <c r="CS165" s="394" t="e">
        <f t="shared" si="92"/>
        <v>#DIV/0!</v>
      </c>
    </row>
    <row r="166" spans="3:97">
      <c r="C166" s="107"/>
      <c r="D166" s="395"/>
      <c r="E166" s="84"/>
      <c r="F166" s="84"/>
      <c r="G166" s="389"/>
      <c r="H166" s="390"/>
      <c r="I166" s="390"/>
      <c r="J166" s="390"/>
      <c r="K166" s="390"/>
      <c r="L166" s="390"/>
      <c r="M166" s="390"/>
      <c r="N166" s="390"/>
      <c r="O166" s="390"/>
      <c r="P166" s="390"/>
      <c r="Q166" s="390"/>
      <c r="R166" s="390"/>
      <c r="S166" s="390"/>
      <c r="T166" s="390"/>
      <c r="U166" s="390"/>
      <c r="V166" s="390"/>
      <c r="W166" s="390"/>
      <c r="X166" s="390"/>
      <c r="Y166" s="390"/>
      <c r="Z166" s="390"/>
      <c r="AA166" s="390"/>
      <c r="AB166" s="390"/>
      <c r="AC166" s="390"/>
      <c r="AD166" s="390"/>
      <c r="AE166" s="390"/>
      <c r="AF166" s="390"/>
      <c r="AG166" s="390"/>
      <c r="AH166" s="390"/>
      <c r="AI166" s="391"/>
      <c r="AK166" s="437"/>
      <c r="AL166" s="437"/>
      <c r="AM166" s="437"/>
      <c r="AN166" s="437"/>
      <c r="AO166" s="437"/>
      <c r="AP166" s="437"/>
      <c r="AQ166" s="437"/>
      <c r="AR166" s="437"/>
      <c r="AS166" s="437"/>
      <c r="AT166" s="437"/>
      <c r="AU166" s="437"/>
      <c r="AV166" s="437"/>
      <c r="AW166" s="437"/>
      <c r="AX166" s="437"/>
      <c r="AY166" s="437"/>
      <c r="AZ166" s="437"/>
      <c r="BA166" s="437"/>
      <c r="BB166" s="437"/>
      <c r="BC166" s="437"/>
      <c r="BD166" s="437"/>
      <c r="BE166" s="437"/>
      <c r="BF166" s="437"/>
      <c r="BG166" s="437"/>
      <c r="BH166" s="437"/>
      <c r="BI166" s="437"/>
      <c r="BJ166" s="437"/>
      <c r="BK166" s="437"/>
      <c r="BL166" s="437"/>
      <c r="BM166" s="393"/>
      <c r="BO166" s="399">
        <f t="shared" si="63"/>
        <v>0</v>
      </c>
      <c r="BP166" s="399">
        <f t="shared" si="64"/>
        <v>0</v>
      </c>
      <c r="BQ166" s="399">
        <f t="shared" si="65"/>
        <v>0</v>
      </c>
      <c r="BR166" s="399">
        <f t="shared" si="66"/>
        <v>0</v>
      </c>
      <c r="BS166" s="399">
        <f t="shared" si="67"/>
        <v>0</v>
      </c>
      <c r="BT166" s="399">
        <f t="shared" si="68"/>
        <v>0</v>
      </c>
      <c r="BU166" s="399">
        <f t="shared" si="69"/>
        <v>0</v>
      </c>
      <c r="BV166" s="399">
        <f t="shared" si="70"/>
        <v>0</v>
      </c>
      <c r="BW166" s="399">
        <f t="shared" si="71"/>
        <v>0</v>
      </c>
      <c r="BX166" s="399">
        <f t="shared" si="72"/>
        <v>0</v>
      </c>
      <c r="BY166" s="399">
        <f t="shared" si="73"/>
        <v>0</v>
      </c>
      <c r="BZ166" s="399">
        <f t="shared" si="74"/>
        <v>0</v>
      </c>
      <c r="CA166" s="399">
        <f t="shared" si="75"/>
        <v>0</v>
      </c>
      <c r="CB166" s="399">
        <f t="shared" si="76"/>
        <v>0</v>
      </c>
      <c r="CC166" s="399">
        <f t="shared" si="77"/>
        <v>0</v>
      </c>
      <c r="CD166" s="399">
        <f t="shared" si="78"/>
        <v>0</v>
      </c>
      <c r="CE166" s="399">
        <f t="shared" si="79"/>
        <v>0</v>
      </c>
      <c r="CF166" s="399">
        <f t="shared" si="80"/>
        <v>0</v>
      </c>
      <c r="CG166" s="399">
        <f t="shared" si="81"/>
        <v>0</v>
      </c>
      <c r="CH166" s="399">
        <f t="shared" si="82"/>
        <v>0</v>
      </c>
      <c r="CI166" s="399">
        <f t="shared" si="83"/>
        <v>0</v>
      </c>
      <c r="CJ166" s="399">
        <f t="shared" si="84"/>
        <v>0</v>
      </c>
      <c r="CK166" s="399">
        <f t="shared" si="85"/>
        <v>0</v>
      </c>
      <c r="CL166" s="399">
        <f t="shared" si="86"/>
        <v>0</v>
      </c>
      <c r="CM166" s="399">
        <f t="shared" si="87"/>
        <v>0</v>
      </c>
      <c r="CN166" s="399">
        <f t="shared" si="88"/>
        <v>0</v>
      </c>
      <c r="CO166" s="399">
        <f t="shared" si="89"/>
        <v>0</v>
      </c>
      <c r="CP166" s="399">
        <f t="shared" si="90"/>
        <v>0</v>
      </c>
      <c r="CQ166" s="423">
        <f t="shared" si="91"/>
        <v>0</v>
      </c>
      <c r="CS166" s="394" t="e">
        <f t="shared" si="92"/>
        <v>#DIV/0!</v>
      </c>
    </row>
    <row r="167" spans="3:97">
      <c r="C167" s="107"/>
      <c r="D167" s="395"/>
      <c r="E167" s="84"/>
      <c r="F167" s="84"/>
      <c r="G167" s="389"/>
      <c r="H167" s="390"/>
      <c r="I167" s="390"/>
      <c r="J167" s="390"/>
      <c r="K167" s="390"/>
      <c r="L167" s="390"/>
      <c r="M167" s="390"/>
      <c r="N167" s="390"/>
      <c r="O167" s="390"/>
      <c r="P167" s="390"/>
      <c r="Q167" s="390"/>
      <c r="R167" s="390"/>
      <c r="S167" s="390"/>
      <c r="T167" s="390"/>
      <c r="U167" s="390"/>
      <c r="V167" s="390"/>
      <c r="W167" s="390"/>
      <c r="X167" s="390"/>
      <c r="Y167" s="390"/>
      <c r="Z167" s="390"/>
      <c r="AA167" s="390"/>
      <c r="AB167" s="390"/>
      <c r="AC167" s="390"/>
      <c r="AD167" s="390"/>
      <c r="AE167" s="390"/>
      <c r="AF167" s="390"/>
      <c r="AG167" s="390"/>
      <c r="AH167" s="390"/>
      <c r="AI167" s="391"/>
      <c r="AK167" s="437"/>
      <c r="AL167" s="437"/>
      <c r="AM167" s="437"/>
      <c r="AN167" s="437"/>
      <c r="AO167" s="437"/>
      <c r="AP167" s="437"/>
      <c r="AQ167" s="437"/>
      <c r="AR167" s="437"/>
      <c r="AS167" s="437"/>
      <c r="AT167" s="437"/>
      <c r="AU167" s="437"/>
      <c r="AV167" s="437"/>
      <c r="AW167" s="437"/>
      <c r="AX167" s="437"/>
      <c r="AY167" s="437"/>
      <c r="AZ167" s="437"/>
      <c r="BA167" s="437"/>
      <c r="BB167" s="437"/>
      <c r="BC167" s="437"/>
      <c r="BD167" s="437"/>
      <c r="BE167" s="437"/>
      <c r="BF167" s="437"/>
      <c r="BG167" s="437"/>
      <c r="BH167" s="437"/>
      <c r="BI167" s="437"/>
      <c r="BJ167" s="437"/>
      <c r="BK167" s="437"/>
      <c r="BL167" s="437"/>
      <c r="BM167" s="393"/>
      <c r="BO167" s="399">
        <f t="shared" si="63"/>
        <v>0</v>
      </c>
      <c r="BP167" s="399">
        <f t="shared" si="64"/>
        <v>0</v>
      </c>
      <c r="BQ167" s="399">
        <f t="shared" si="65"/>
        <v>0</v>
      </c>
      <c r="BR167" s="399">
        <f t="shared" si="66"/>
        <v>0</v>
      </c>
      <c r="BS167" s="399">
        <f t="shared" si="67"/>
        <v>0</v>
      </c>
      <c r="BT167" s="399">
        <f t="shared" si="68"/>
        <v>0</v>
      </c>
      <c r="BU167" s="399">
        <f t="shared" si="69"/>
        <v>0</v>
      </c>
      <c r="BV167" s="399">
        <f t="shared" si="70"/>
        <v>0</v>
      </c>
      <c r="BW167" s="399">
        <f t="shared" si="71"/>
        <v>0</v>
      </c>
      <c r="BX167" s="399">
        <f t="shared" si="72"/>
        <v>0</v>
      </c>
      <c r="BY167" s="399">
        <f t="shared" si="73"/>
        <v>0</v>
      </c>
      <c r="BZ167" s="399">
        <f t="shared" si="74"/>
        <v>0</v>
      </c>
      <c r="CA167" s="399">
        <f t="shared" si="75"/>
        <v>0</v>
      </c>
      <c r="CB167" s="399">
        <f t="shared" si="76"/>
        <v>0</v>
      </c>
      <c r="CC167" s="399">
        <f t="shared" si="77"/>
        <v>0</v>
      </c>
      <c r="CD167" s="399">
        <f t="shared" si="78"/>
        <v>0</v>
      </c>
      <c r="CE167" s="399">
        <f t="shared" si="79"/>
        <v>0</v>
      </c>
      <c r="CF167" s="399">
        <f t="shared" si="80"/>
        <v>0</v>
      </c>
      <c r="CG167" s="399">
        <f t="shared" si="81"/>
        <v>0</v>
      </c>
      <c r="CH167" s="399">
        <f t="shared" si="82"/>
        <v>0</v>
      </c>
      <c r="CI167" s="399">
        <f t="shared" si="83"/>
        <v>0</v>
      </c>
      <c r="CJ167" s="399">
        <f t="shared" si="84"/>
        <v>0</v>
      </c>
      <c r="CK167" s="399">
        <f t="shared" si="85"/>
        <v>0</v>
      </c>
      <c r="CL167" s="399">
        <f t="shared" si="86"/>
        <v>0</v>
      </c>
      <c r="CM167" s="399">
        <f t="shared" si="87"/>
        <v>0</v>
      </c>
      <c r="CN167" s="399">
        <f t="shared" si="88"/>
        <v>0</v>
      </c>
      <c r="CO167" s="399">
        <f t="shared" si="89"/>
        <v>0</v>
      </c>
      <c r="CP167" s="399">
        <f t="shared" si="90"/>
        <v>0</v>
      </c>
      <c r="CQ167" s="423">
        <f t="shared" si="91"/>
        <v>0</v>
      </c>
      <c r="CS167" s="394" t="e">
        <f t="shared" si="92"/>
        <v>#DIV/0!</v>
      </c>
    </row>
    <row r="168" spans="3:97">
      <c r="C168" s="107"/>
      <c r="D168" s="395"/>
      <c r="E168" s="84"/>
      <c r="F168" s="84"/>
      <c r="G168" s="389"/>
      <c r="H168" s="390"/>
      <c r="I168" s="390"/>
      <c r="J168" s="390"/>
      <c r="K168" s="390"/>
      <c r="L168" s="390"/>
      <c r="M168" s="390"/>
      <c r="N168" s="390"/>
      <c r="O168" s="390"/>
      <c r="P168" s="390"/>
      <c r="Q168" s="390"/>
      <c r="R168" s="390"/>
      <c r="S168" s="390"/>
      <c r="T168" s="390"/>
      <c r="U168" s="390"/>
      <c r="V168" s="390"/>
      <c r="W168" s="390"/>
      <c r="X168" s="390"/>
      <c r="Y168" s="390"/>
      <c r="Z168" s="390"/>
      <c r="AA168" s="390"/>
      <c r="AB168" s="390"/>
      <c r="AC168" s="390"/>
      <c r="AD168" s="390"/>
      <c r="AE168" s="390"/>
      <c r="AF168" s="390"/>
      <c r="AG168" s="390"/>
      <c r="AH168" s="390"/>
      <c r="AI168" s="391"/>
      <c r="AK168" s="437"/>
      <c r="AL168" s="437"/>
      <c r="AM168" s="437"/>
      <c r="AN168" s="437"/>
      <c r="AO168" s="437"/>
      <c r="AP168" s="437"/>
      <c r="AQ168" s="437"/>
      <c r="AR168" s="437"/>
      <c r="AS168" s="437"/>
      <c r="AT168" s="437"/>
      <c r="AU168" s="437"/>
      <c r="AV168" s="437"/>
      <c r="AW168" s="437"/>
      <c r="AX168" s="437"/>
      <c r="AY168" s="437"/>
      <c r="AZ168" s="437"/>
      <c r="BA168" s="437"/>
      <c r="BB168" s="437"/>
      <c r="BC168" s="437"/>
      <c r="BD168" s="437"/>
      <c r="BE168" s="437"/>
      <c r="BF168" s="437"/>
      <c r="BG168" s="437"/>
      <c r="BH168" s="437"/>
      <c r="BI168" s="437"/>
      <c r="BJ168" s="437"/>
      <c r="BK168" s="437"/>
      <c r="BL168" s="437"/>
      <c r="BM168" s="393"/>
      <c r="BO168" s="399">
        <f t="shared" si="63"/>
        <v>0</v>
      </c>
      <c r="BP168" s="399">
        <f t="shared" si="64"/>
        <v>0</v>
      </c>
      <c r="BQ168" s="399">
        <f t="shared" si="65"/>
        <v>0</v>
      </c>
      <c r="BR168" s="399">
        <f t="shared" si="66"/>
        <v>0</v>
      </c>
      <c r="BS168" s="399">
        <f t="shared" si="67"/>
        <v>0</v>
      </c>
      <c r="BT168" s="399">
        <f t="shared" si="68"/>
        <v>0</v>
      </c>
      <c r="BU168" s="399">
        <f t="shared" si="69"/>
        <v>0</v>
      </c>
      <c r="BV168" s="399">
        <f t="shared" si="70"/>
        <v>0</v>
      </c>
      <c r="BW168" s="399">
        <f t="shared" si="71"/>
        <v>0</v>
      </c>
      <c r="BX168" s="399">
        <f t="shared" si="72"/>
        <v>0</v>
      </c>
      <c r="BY168" s="399">
        <f t="shared" si="73"/>
        <v>0</v>
      </c>
      <c r="BZ168" s="399">
        <f t="shared" si="74"/>
        <v>0</v>
      </c>
      <c r="CA168" s="399">
        <f t="shared" si="75"/>
        <v>0</v>
      </c>
      <c r="CB168" s="399">
        <f t="shared" si="76"/>
        <v>0</v>
      </c>
      <c r="CC168" s="399">
        <f t="shared" si="77"/>
        <v>0</v>
      </c>
      <c r="CD168" s="399">
        <f t="shared" si="78"/>
        <v>0</v>
      </c>
      <c r="CE168" s="399">
        <f t="shared" si="79"/>
        <v>0</v>
      </c>
      <c r="CF168" s="399">
        <f t="shared" si="80"/>
        <v>0</v>
      </c>
      <c r="CG168" s="399">
        <f t="shared" si="81"/>
        <v>0</v>
      </c>
      <c r="CH168" s="399">
        <f t="shared" si="82"/>
        <v>0</v>
      </c>
      <c r="CI168" s="399">
        <f t="shared" si="83"/>
        <v>0</v>
      </c>
      <c r="CJ168" s="399">
        <f t="shared" si="84"/>
        <v>0</v>
      </c>
      <c r="CK168" s="399">
        <f t="shared" si="85"/>
        <v>0</v>
      </c>
      <c r="CL168" s="399">
        <f t="shared" si="86"/>
        <v>0</v>
      </c>
      <c r="CM168" s="399">
        <f t="shared" si="87"/>
        <v>0</v>
      </c>
      <c r="CN168" s="399">
        <f t="shared" si="88"/>
        <v>0</v>
      </c>
      <c r="CO168" s="399">
        <f t="shared" si="89"/>
        <v>0</v>
      </c>
      <c r="CP168" s="399">
        <f t="shared" si="90"/>
        <v>0</v>
      </c>
      <c r="CQ168" s="423">
        <f t="shared" si="91"/>
        <v>0</v>
      </c>
      <c r="CS168" s="394" t="e">
        <f t="shared" si="92"/>
        <v>#DIV/0!</v>
      </c>
    </row>
    <row r="169" spans="3:97">
      <c r="C169" s="107"/>
      <c r="D169" s="395"/>
      <c r="E169" s="84"/>
      <c r="F169" s="84"/>
      <c r="G169" s="389"/>
      <c r="H169" s="390"/>
      <c r="I169" s="390"/>
      <c r="J169" s="390"/>
      <c r="K169" s="390"/>
      <c r="L169" s="390"/>
      <c r="M169" s="390"/>
      <c r="N169" s="390"/>
      <c r="O169" s="390"/>
      <c r="P169" s="390"/>
      <c r="Q169" s="390"/>
      <c r="R169" s="390"/>
      <c r="S169" s="390"/>
      <c r="T169" s="390"/>
      <c r="U169" s="390"/>
      <c r="V169" s="390"/>
      <c r="W169" s="390"/>
      <c r="X169" s="390"/>
      <c r="Y169" s="390"/>
      <c r="Z169" s="390"/>
      <c r="AA169" s="390"/>
      <c r="AB169" s="390"/>
      <c r="AC169" s="390"/>
      <c r="AD169" s="390"/>
      <c r="AE169" s="390"/>
      <c r="AF169" s="390"/>
      <c r="AG169" s="390"/>
      <c r="AH169" s="390"/>
      <c r="AI169" s="391"/>
      <c r="AK169" s="437"/>
      <c r="AL169" s="437"/>
      <c r="AM169" s="437"/>
      <c r="AN169" s="437"/>
      <c r="AO169" s="437"/>
      <c r="AP169" s="437"/>
      <c r="AQ169" s="437"/>
      <c r="AR169" s="437"/>
      <c r="AS169" s="437"/>
      <c r="AT169" s="437"/>
      <c r="AU169" s="437"/>
      <c r="AV169" s="437"/>
      <c r="AW169" s="437"/>
      <c r="AX169" s="437"/>
      <c r="AY169" s="437"/>
      <c r="AZ169" s="437"/>
      <c r="BA169" s="437"/>
      <c r="BB169" s="437"/>
      <c r="BC169" s="437"/>
      <c r="BD169" s="437"/>
      <c r="BE169" s="437"/>
      <c r="BF169" s="437"/>
      <c r="BG169" s="437"/>
      <c r="BH169" s="437"/>
      <c r="BI169" s="437"/>
      <c r="BJ169" s="437"/>
      <c r="BK169" s="437"/>
      <c r="BL169" s="437"/>
      <c r="BM169" s="393"/>
      <c r="BO169" s="399">
        <f t="shared" si="63"/>
        <v>0</v>
      </c>
      <c r="BP169" s="399">
        <f t="shared" si="64"/>
        <v>0</v>
      </c>
      <c r="BQ169" s="399">
        <f t="shared" si="65"/>
        <v>0</v>
      </c>
      <c r="BR169" s="399">
        <f t="shared" si="66"/>
        <v>0</v>
      </c>
      <c r="BS169" s="399">
        <f t="shared" si="67"/>
        <v>0</v>
      </c>
      <c r="BT169" s="399">
        <f t="shared" si="68"/>
        <v>0</v>
      </c>
      <c r="BU169" s="399">
        <f t="shared" si="69"/>
        <v>0</v>
      </c>
      <c r="BV169" s="399">
        <f t="shared" si="70"/>
        <v>0</v>
      </c>
      <c r="BW169" s="399">
        <f t="shared" si="71"/>
        <v>0</v>
      </c>
      <c r="BX169" s="399">
        <f t="shared" si="72"/>
        <v>0</v>
      </c>
      <c r="BY169" s="399">
        <f t="shared" si="73"/>
        <v>0</v>
      </c>
      <c r="BZ169" s="399">
        <f t="shared" si="74"/>
        <v>0</v>
      </c>
      <c r="CA169" s="399">
        <f t="shared" si="75"/>
        <v>0</v>
      </c>
      <c r="CB169" s="399">
        <f t="shared" si="76"/>
        <v>0</v>
      </c>
      <c r="CC169" s="399">
        <f t="shared" si="77"/>
        <v>0</v>
      </c>
      <c r="CD169" s="399">
        <f t="shared" si="78"/>
        <v>0</v>
      </c>
      <c r="CE169" s="399">
        <f t="shared" si="79"/>
        <v>0</v>
      </c>
      <c r="CF169" s="399">
        <f t="shared" si="80"/>
        <v>0</v>
      </c>
      <c r="CG169" s="399">
        <f t="shared" si="81"/>
        <v>0</v>
      </c>
      <c r="CH169" s="399">
        <f t="shared" si="82"/>
        <v>0</v>
      </c>
      <c r="CI169" s="399">
        <f t="shared" si="83"/>
        <v>0</v>
      </c>
      <c r="CJ169" s="399">
        <f t="shared" si="84"/>
        <v>0</v>
      </c>
      <c r="CK169" s="399">
        <f t="shared" si="85"/>
        <v>0</v>
      </c>
      <c r="CL169" s="399">
        <f t="shared" si="86"/>
        <v>0</v>
      </c>
      <c r="CM169" s="399">
        <f t="shared" si="87"/>
        <v>0</v>
      </c>
      <c r="CN169" s="399">
        <f t="shared" si="88"/>
        <v>0</v>
      </c>
      <c r="CO169" s="399">
        <f t="shared" si="89"/>
        <v>0</v>
      </c>
      <c r="CP169" s="399">
        <f t="shared" si="90"/>
        <v>0</v>
      </c>
      <c r="CQ169" s="423">
        <f t="shared" si="91"/>
        <v>0</v>
      </c>
      <c r="CS169" s="394" t="e">
        <f t="shared" si="92"/>
        <v>#DIV/0!</v>
      </c>
    </row>
    <row r="170" spans="3:97">
      <c r="C170" s="107"/>
      <c r="D170" s="395"/>
      <c r="E170" s="84"/>
      <c r="F170" s="84"/>
      <c r="G170" s="389"/>
      <c r="H170" s="390"/>
      <c r="I170" s="390"/>
      <c r="J170" s="390"/>
      <c r="K170" s="390"/>
      <c r="L170" s="390"/>
      <c r="M170" s="390"/>
      <c r="N170" s="390"/>
      <c r="O170" s="390"/>
      <c r="P170" s="390"/>
      <c r="Q170" s="390"/>
      <c r="R170" s="390"/>
      <c r="S170" s="390"/>
      <c r="T170" s="390"/>
      <c r="U170" s="390"/>
      <c r="V170" s="390"/>
      <c r="W170" s="390"/>
      <c r="X170" s="390"/>
      <c r="Y170" s="390"/>
      <c r="Z170" s="390"/>
      <c r="AA170" s="390"/>
      <c r="AB170" s="390"/>
      <c r="AC170" s="390"/>
      <c r="AD170" s="390"/>
      <c r="AE170" s="390"/>
      <c r="AF170" s="390"/>
      <c r="AG170" s="390"/>
      <c r="AH170" s="390"/>
      <c r="AI170" s="391"/>
      <c r="AK170" s="437"/>
      <c r="AL170" s="437"/>
      <c r="AM170" s="437"/>
      <c r="AN170" s="437"/>
      <c r="AO170" s="437"/>
      <c r="AP170" s="437"/>
      <c r="AQ170" s="437"/>
      <c r="AR170" s="437"/>
      <c r="AS170" s="437"/>
      <c r="AT170" s="437"/>
      <c r="AU170" s="437"/>
      <c r="AV170" s="437"/>
      <c r="AW170" s="437"/>
      <c r="AX170" s="437"/>
      <c r="AY170" s="437"/>
      <c r="AZ170" s="437"/>
      <c r="BA170" s="437"/>
      <c r="BB170" s="437"/>
      <c r="BC170" s="437"/>
      <c r="BD170" s="437"/>
      <c r="BE170" s="437"/>
      <c r="BF170" s="437"/>
      <c r="BG170" s="437"/>
      <c r="BH170" s="437"/>
      <c r="BI170" s="437"/>
      <c r="BJ170" s="437"/>
      <c r="BK170" s="437"/>
      <c r="BL170" s="437"/>
      <c r="BM170" s="393"/>
      <c r="BO170" s="399">
        <f t="shared" si="63"/>
        <v>0</v>
      </c>
      <c r="BP170" s="399">
        <f t="shared" si="64"/>
        <v>0</v>
      </c>
      <c r="BQ170" s="399">
        <f t="shared" si="65"/>
        <v>0</v>
      </c>
      <c r="BR170" s="399">
        <f t="shared" si="66"/>
        <v>0</v>
      </c>
      <c r="BS170" s="399">
        <f t="shared" si="67"/>
        <v>0</v>
      </c>
      <c r="BT170" s="399">
        <f t="shared" si="68"/>
        <v>0</v>
      </c>
      <c r="BU170" s="399">
        <f t="shared" si="69"/>
        <v>0</v>
      </c>
      <c r="BV170" s="399">
        <f t="shared" si="70"/>
        <v>0</v>
      </c>
      <c r="BW170" s="399">
        <f t="shared" si="71"/>
        <v>0</v>
      </c>
      <c r="BX170" s="399">
        <f t="shared" si="72"/>
        <v>0</v>
      </c>
      <c r="BY170" s="399">
        <f t="shared" si="73"/>
        <v>0</v>
      </c>
      <c r="BZ170" s="399">
        <f t="shared" si="74"/>
        <v>0</v>
      </c>
      <c r="CA170" s="399">
        <f t="shared" si="75"/>
        <v>0</v>
      </c>
      <c r="CB170" s="399">
        <f t="shared" si="76"/>
        <v>0</v>
      </c>
      <c r="CC170" s="399">
        <f t="shared" si="77"/>
        <v>0</v>
      </c>
      <c r="CD170" s="399">
        <f t="shared" si="78"/>
        <v>0</v>
      </c>
      <c r="CE170" s="399">
        <f t="shared" si="79"/>
        <v>0</v>
      </c>
      <c r="CF170" s="399">
        <f t="shared" si="80"/>
        <v>0</v>
      </c>
      <c r="CG170" s="399">
        <f t="shared" si="81"/>
        <v>0</v>
      </c>
      <c r="CH170" s="399">
        <f t="shared" si="82"/>
        <v>0</v>
      </c>
      <c r="CI170" s="399">
        <f t="shared" si="83"/>
        <v>0</v>
      </c>
      <c r="CJ170" s="399">
        <f t="shared" si="84"/>
        <v>0</v>
      </c>
      <c r="CK170" s="399">
        <f t="shared" si="85"/>
        <v>0</v>
      </c>
      <c r="CL170" s="399">
        <f t="shared" si="86"/>
        <v>0</v>
      </c>
      <c r="CM170" s="399">
        <f t="shared" si="87"/>
        <v>0</v>
      </c>
      <c r="CN170" s="399">
        <f t="shared" si="88"/>
        <v>0</v>
      </c>
      <c r="CO170" s="399">
        <f t="shared" si="89"/>
        <v>0</v>
      </c>
      <c r="CP170" s="399">
        <f t="shared" si="90"/>
        <v>0</v>
      </c>
      <c r="CQ170" s="423">
        <f t="shared" si="91"/>
        <v>0</v>
      </c>
      <c r="CS170" s="394" t="e">
        <f t="shared" si="92"/>
        <v>#DIV/0!</v>
      </c>
    </row>
    <row r="171" spans="3:97">
      <c r="C171" s="107"/>
      <c r="D171" s="395"/>
      <c r="E171" s="84"/>
      <c r="F171" s="84"/>
      <c r="G171" s="389"/>
      <c r="H171" s="390"/>
      <c r="I171" s="390"/>
      <c r="J171" s="390"/>
      <c r="K171" s="390"/>
      <c r="L171" s="390"/>
      <c r="M171" s="390"/>
      <c r="N171" s="390"/>
      <c r="O171" s="390"/>
      <c r="P171" s="390"/>
      <c r="Q171" s="390"/>
      <c r="R171" s="390"/>
      <c r="S171" s="390"/>
      <c r="T171" s="390"/>
      <c r="U171" s="390"/>
      <c r="V171" s="390"/>
      <c r="W171" s="390"/>
      <c r="X171" s="390"/>
      <c r="Y171" s="390"/>
      <c r="Z171" s="390"/>
      <c r="AA171" s="390"/>
      <c r="AB171" s="390"/>
      <c r="AC171" s="390"/>
      <c r="AD171" s="390"/>
      <c r="AE171" s="390"/>
      <c r="AF171" s="390"/>
      <c r="AG171" s="390"/>
      <c r="AH171" s="390"/>
      <c r="AI171" s="391"/>
      <c r="AK171" s="437"/>
      <c r="AL171" s="437"/>
      <c r="AM171" s="437"/>
      <c r="AN171" s="437"/>
      <c r="AO171" s="437"/>
      <c r="AP171" s="437"/>
      <c r="AQ171" s="437"/>
      <c r="AR171" s="437"/>
      <c r="AS171" s="437"/>
      <c r="AT171" s="437"/>
      <c r="AU171" s="437"/>
      <c r="AV171" s="437"/>
      <c r="AW171" s="437"/>
      <c r="AX171" s="437"/>
      <c r="AY171" s="437"/>
      <c r="AZ171" s="437"/>
      <c r="BA171" s="437"/>
      <c r="BB171" s="437"/>
      <c r="BC171" s="437"/>
      <c r="BD171" s="437"/>
      <c r="BE171" s="437"/>
      <c r="BF171" s="437"/>
      <c r="BG171" s="437"/>
      <c r="BH171" s="437"/>
      <c r="BI171" s="437"/>
      <c r="BJ171" s="437"/>
      <c r="BK171" s="437"/>
      <c r="BL171" s="437"/>
      <c r="BM171" s="393"/>
      <c r="BO171" s="399">
        <f t="shared" si="63"/>
        <v>0</v>
      </c>
      <c r="BP171" s="399">
        <f t="shared" si="64"/>
        <v>0</v>
      </c>
      <c r="BQ171" s="399">
        <f t="shared" si="65"/>
        <v>0</v>
      </c>
      <c r="BR171" s="399">
        <f t="shared" si="66"/>
        <v>0</v>
      </c>
      <c r="BS171" s="399">
        <f t="shared" si="67"/>
        <v>0</v>
      </c>
      <c r="BT171" s="399">
        <f t="shared" si="68"/>
        <v>0</v>
      </c>
      <c r="BU171" s="399">
        <f t="shared" si="69"/>
        <v>0</v>
      </c>
      <c r="BV171" s="399">
        <f t="shared" si="70"/>
        <v>0</v>
      </c>
      <c r="BW171" s="399">
        <f t="shared" si="71"/>
        <v>0</v>
      </c>
      <c r="BX171" s="399">
        <f t="shared" si="72"/>
        <v>0</v>
      </c>
      <c r="BY171" s="399">
        <f t="shared" si="73"/>
        <v>0</v>
      </c>
      <c r="BZ171" s="399">
        <f t="shared" si="74"/>
        <v>0</v>
      </c>
      <c r="CA171" s="399">
        <f t="shared" si="75"/>
        <v>0</v>
      </c>
      <c r="CB171" s="399">
        <f t="shared" si="76"/>
        <v>0</v>
      </c>
      <c r="CC171" s="399">
        <f t="shared" si="77"/>
        <v>0</v>
      </c>
      <c r="CD171" s="399">
        <f t="shared" si="78"/>
        <v>0</v>
      </c>
      <c r="CE171" s="399">
        <f t="shared" si="79"/>
        <v>0</v>
      </c>
      <c r="CF171" s="399">
        <f t="shared" si="80"/>
        <v>0</v>
      </c>
      <c r="CG171" s="399">
        <f t="shared" si="81"/>
        <v>0</v>
      </c>
      <c r="CH171" s="399">
        <f t="shared" si="82"/>
        <v>0</v>
      </c>
      <c r="CI171" s="399">
        <f t="shared" si="83"/>
        <v>0</v>
      </c>
      <c r="CJ171" s="399">
        <f t="shared" si="84"/>
        <v>0</v>
      </c>
      <c r="CK171" s="399">
        <f t="shared" si="85"/>
        <v>0</v>
      </c>
      <c r="CL171" s="399">
        <f t="shared" si="86"/>
        <v>0</v>
      </c>
      <c r="CM171" s="399">
        <f t="shared" si="87"/>
        <v>0</v>
      </c>
      <c r="CN171" s="399">
        <f t="shared" si="88"/>
        <v>0</v>
      </c>
      <c r="CO171" s="399">
        <f t="shared" si="89"/>
        <v>0</v>
      </c>
      <c r="CP171" s="399">
        <f t="shared" si="90"/>
        <v>0</v>
      </c>
      <c r="CQ171" s="423">
        <f t="shared" si="91"/>
        <v>0</v>
      </c>
      <c r="CS171" s="394" t="e">
        <f t="shared" si="92"/>
        <v>#DIV/0!</v>
      </c>
    </row>
    <row r="172" spans="3:97">
      <c r="C172" s="107"/>
      <c r="D172" s="395"/>
      <c r="E172" s="84"/>
      <c r="F172" s="84"/>
      <c r="G172" s="389"/>
      <c r="H172" s="390"/>
      <c r="I172" s="390"/>
      <c r="J172" s="390"/>
      <c r="K172" s="390"/>
      <c r="L172" s="390"/>
      <c r="M172" s="390"/>
      <c r="N172" s="390"/>
      <c r="O172" s="390"/>
      <c r="P172" s="390"/>
      <c r="Q172" s="390"/>
      <c r="R172" s="390"/>
      <c r="S172" s="390"/>
      <c r="T172" s="390"/>
      <c r="U172" s="390"/>
      <c r="V172" s="390"/>
      <c r="W172" s="390"/>
      <c r="X172" s="390"/>
      <c r="Y172" s="390"/>
      <c r="Z172" s="390"/>
      <c r="AA172" s="390"/>
      <c r="AB172" s="390"/>
      <c r="AC172" s="390"/>
      <c r="AD172" s="390"/>
      <c r="AE172" s="390"/>
      <c r="AF172" s="390"/>
      <c r="AG172" s="390"/>
      <c r="AH172" s="390"/>
      <c r="AI172" s="391"/>
      <c r="AK172" s="437"/>
      <c r="AL172" s="437"/>
      <c r="AM172" s="437"/>
      <c r="AN172" s="437"/>
      <c r="AO172" s="437"/>
      <c r="AP172" s="437"/>
      <c r="AQ172" s="437"/>
      <c r="AR172" s="437"/>
      <c r="AS172" s="437"/>
      <c r="AT172" s="437"/>
      <c r="AU172" s="437"/>
      <c r="AV172" s="437"/>
      <c r="AW172" s="437"/>
      <c r="AX172" s="437"/>
      <c r="AY172" s="437"/>
      <c r="AZ172" s="437"/>
      <c r="BA172" s="437"/>
      <c r="BB172" s="437"/>
      <c r="BC172" s="437"/>
      <c r="BD172" s="437"/>
      <c r="BE172" s="437"/>
      <c r="BF172" s="437"/>
      <c r="BG172" s="437"/>
      <c r="BH172" s="437"/>
      <c r="BI172" s="437"/>
      <c r="BJ172" s="437"/>
      <c r="BK172" s="437"/>
      <c r="BL172" s="437"/>
      <c r="BM172" s="393"/>
      <c r="BO172" s="399">
        <f t="shared" si="63"/>
        <v>0</v>
      </c>
      <c r="BP172" s="399">
        <f t="shared" si="64"/>
        <v>0</v>
      </c>
      <c r="BQ172" s="399">
        <f t="shared" si="65"/>
        <v>0</v>
      </c>
      <c r="BR172" s="399">
        <f t="shared" si="66"/>
        <v>0</v>
      </c>
      <c r="BS172" s="399">
        <f t="shared" si="67"/>
        <v>0</v>
      </c>
      <c r="BT172" s="399">
        <f t="shared" si="68"/>
        <v>0</v>
      </c>
      <c r="BU172" s="399">
        <f t="shared" si="69"/>
        <v>0</v>
      </c>
      <c r="BV172" s="399">
        <f t="shared" si="70"/>
        <v>0</v>
      </c>
      <c r="BW172" s="399">
        <f t="shared" si="71"/>
        <v>0</v>
      </c>
      <c r="BX172" s="399">
        <f t="shared" si="72"/>
        <v>0</v>
      </c>
      <c r="BY172" s="399">
        <f t="shared" si="73"/>
        <v>0</v>
      </c>
      <c r="BZ172" s="399">
        <f t="shared" si="74"/>
        <v>0</v>
      </c>
      <c r="CA172" s="399">
        <f t="shared" si="75"/>
        <v>0</v>
      </c>
      <c r="CB172" s="399">
        <f t="shared" si="76"/>
        <v>0</v>
      </c>
      <c r="CC172" s="399">
        <f t="shared" si="77"/>
        <v>0</v>
      </c>
      <c r="CD172" s="399">
        <f t="shared" si="78"/>
        <v>0</v>
      </c>
      <c r="CE172" s="399">
        <f t="shared" si="79"/>
        <v>0</v>
      </c>
      <c r="CF172" s="399">
        <f t="shared" si="80"/>
        <v>0</v>
      </c>
      <c r="CG172" s="399">
        <f t="shared" si="81"/>
        <v>0</v>
      </c>
      <c r="CH172" s="399">
        <f t="shared" si="82"/>
        <v>0</v>
      </c>
      <c r="CI172" s="399">
        <f t="shared" si="83"/>
        <v>0</v>
      </c>
      <c r="CJ172" s="399">
        <f t="shared" si="84"/>
        <v>0</v>
      </c>
      <c r="CK172" s="399">
        <f t="shared" si="85"/>
        <v>0</v>
      </c>
      <c r="CL172" s="399">
        <f t="shared" si="86"/>
        <v>0</v>
      </c>
      <c r="CM172" s="399">
        <f t="shared" si="87"/>
        <v>0</v>
      </c>
      <c r="CN172" s="399">
        <f t="shared" si="88"/>
        <v>0</v>
      </c>
      <c r="CO172" s="399">
        <f t="shared" si="89"/>
        <v>0</v>
      </c>
      <c r="CP172" s="399">
        <f t="shared" si="90"/>
        <v>0</v>
      </c>
      <c r="CQ172" s="423">
        <f t="shared" si="91"/>
        <v>0</v>
      </c>
      <c r="CS172" s="394" t="e">
        <f t="shared" si="92"/>
        <v>#DIV/0!</v>
      </c>
    </row>
    <row r="173" spans="3:97">
      <c r="C173" s="107"/>
      <c r="D173" s="395"/>
      <c r="E173" s="84"/>
      <c r="F173" s="84"/>
      <c r="G173" s="389"/>
      <c r="H173" s="390"/>
      <c r="I173" s="390"/>
      <c r="J173" s="390"/>
      <c r="K173" s="390"/>
      <c r="L173" s="390"/>
      <c r="M173" s="390"/>
      <c r="N173" s="390"/>
      <c r="O173" s="390"/>
      <c r="P173" s="390"/>
      <c r="Q173" s="390"/>
      <c r="R173" s="390"/>
      <c r="S173" s="390"/>
      <c r="T173" s="390"/>
      <c r="U173" s="390"/>
      <c r="V173" s="390"/>
      <c r="W173" s="390"/>
      <c r="X173" s="390"/>
      <c r="Y173" s="390"/>
      <c r="Z173" s="390"/>
      <c r="AA173" s="390"/>
      <c r="AB173" s="390"/>
      <c r="AC173" s="390"/>
      <c r="AD173" s="390"/>
      <c r="AE173" s="390"/>
      <c r="AF173" s="390"/>
      <c r="AG173" s="390"/>
      <c r="AH173" s="390"/>
      <c r="AI173" s="391"/>
      <c r="AK173" s="437"/>
      <c r="AL173" s="437"/>
      <c r="AM173" s="437"/>
      <c r="AN173" s="437"/>
      <c r="AO173" s="437"/>
      <c r="AP173" s="437"/>
      <c r="AQ173" s="437"/>
      <c r="AR173" s="437"/>
      <c r="AS173" s="437"/>
      <c r="AT173" s="437"/>
      <c r="AU173" s="437"/>
      <c r="AV173" s="437"/>
      <c r="AW173" s="437"/>
      <c r="AX173" s="437"/>
      <c r="AY173" s="437"/>
      <c r="AZ173" s="437"/>
      <c r="BA173" s="437"/>
      <c r="BB173" s="437"/>
      <c r="BC173" s="437"/>
      <c r="BD173" s="437"/>
      <c r="BE173" s="437"/>
      <c r="BF173" s="437"/>
      <c r="BG173" s="437"/>
      <c r="BH173" s="437"/>
      <c r="BI173" s="437"/>
      <c r="BJ173" s="437"/>
      <c r="BK173" s="437"/>
      <c r="BL173" s="437"/>
      <c r="BM173" s="393"/>
      <c r="BO173" s="399">
        <f t="shared" si="63"/>
        <v>0</v>
      </c>
      <c r="BP173" s="399">
        <f t="shared" si="64"/>
        <v>0</v>
      </c>
      <c r="BQ173" s="399">
        <f t="shared" si="65"/>
        <v>0</v>
      </c>
      <c r="BR173" s="399">
        <f t="shared" si="66"/>
        <v>0</v>
      </c>
      <c r="BS173" s="399">
        <f t="shared" si="67"/>
        <v>0</v>
      </c>
      <c r="BT173" s="399">
        <f t="shared" si="68"/>
        <v>0</v>
      </c>
      <c r="BU173" s="399">
        <f t="shared" si="69"/>
        <v>0</v>
      </c>
      <c r="BV173" s="399">
        <f t="shared" si="70"/>
        <v>0</v>
      </c>
      <c r="BW173" s="399">
        <f t="shared" si="71"/>
        <v>0</v>
      </c>
      <c r="BX173" s="399">
        <f t="shared" si="72"/>
        <v>0</v>
      </c>
      <c r="BY173" s="399">
        <f t="shared" si="73"/>
        <v>0</v>
      </c>
      <c r="BZ173" s="399">
        <f t="shared" si="74"/>
        <v>0</v>
      </c>
      <c r="CA173" s="399">
        <f t="shared" si="75"/>
        <v>0</v>
      </c>
      <c r="CB173" s="399">
        <f t="shared" si="76"/>
        <v>0</v>
      </c>
      <c r="CC173" s="399">
        <f t="shared" si="77"/>
        <v>0</v>
      </c>
      <c r="CD173" s="399">
        <f t="shared" si="78"/>
        <v>0</v>
      </c>
      <c r="CE173" s="399">
        <f t="shared" si="79"/>
        <v>0</v>
      </c>
      <c r="CF173" s="399">
        <f t="shared" si="80"/>
        <v>0</v>
      </c>
      <c r="CG173" s="399">
        <f t="shared" si="81"/>
        <v>0</v>
      </c>
      <c r="CH173" s="399">
        <f t="shared" si="82"/>
        <v>0</v>
      </c>
      <c r="CI173" s="399">
        <f t="shared" si="83"/>
        <v>0</v>
      </c>
      <c r="CJ173" s="399">
        <f t="shared" si="84"/>
        <v>0</v>
      </c>
      <c r="CK173" s="399">
        <f t="shared" si="85"/>
        <v>0</v>
      </c>
      <c r="CL173" s="399">
        <f t="shared" si="86"/>
        <v>0</v>
      </c>
      <c r="CM173" s="399">
        <f t="shared" si="87"/>
        <v>0</v>
      </c>
      <c r="CN173" s="399">
        <f t="shared" si="88"/>
        <v>0</v>
      </c>
      <c r="CO173" s="399">
        <f t="shared" si="89"/>
        <v>0</v>
      </c>
      <c r="CP173" s="399">
        <f t="shared" si="90"/>
        <v>0</v>
      </c>
      <c r="CQ173" s="423">
        <f t="shared" si="91"/>
        <v>0</v>
      </c>
      <c r="CS173" s="394" t="e">
        <f t="shared" si="92"/>
        <v>#DIV/0!</v>
      </c>
    </row>
    <row r="174" spans="3:97">
      <c r="C174" s="107"/>
      <c r="D174" s="395"/>
      <c r="E174" s="84"/>
      <c r="F174" s="84"/>
      <c r="G174" s="389"/>
      <c r="H174" s="390"/>
      <c r="I174" s="390"/>
      <c r="J174" s="390"/>
      <c r="K174" s="390"/>
      <c r="L174" s="390"/>
      <c r="M174" s="390"/>
      <c r="N174" s="390"/>
      <c r="O174" s="390"/>
      <c r="P174" s="390"/>
      <c r="Q174" s="390"/>
      <c r="R174" s="390"/>
      <c r="S174" s="390"/>
      <c r="T174" s="390"/>
      <c r="U174" s="390"/>
      <c r="V174" s="390"/>
      <c r="W174" s="390"/>
      <c r="X174" s="390"/>
      <c r="Y174" s="390"/>
      <c r="Z174" s="390"/>
      <c r="AA174" s="390"/>
      <c r="AB174" s="390"/>
      <c r="AC174" s="390"/>
      <c r="AD174" s="390"/>
      <c r="AE174" s="390"/>
      <c r="AF174" s="390"/>
      <c r="AG174" s="390"/>
      <c r="AH174" s="390"/>
      <c r="AI174" s="391"/>
      <c r="AK174" s="437"/>
      <c r="AL174" s="437"/>
      <c r="AM174" s="437"/>
      <c r="AN174" s="437"/>
      <c r="AO174" s="437"/>
      <c r="AP174" s="437"/>
      <c r="AQ174" s="437"/>
      <c r="AR174" s="437"/>
      <c r="AS174" s="437"/>
      <c r="AT174" s="437"/>
      <c r="AU174" s="437"/>
      <c r="AV174" s="437"/>
      <c r="AW174" s="437"/>
      <c r="AX174" s="437"/>
      <c r="AY174" s="437"/>
      <c r="AZ174" s="437"/>
      <c r="BA174" s="437"/>
      <c r="BB174" s="437"/>
      <c r="BC174" s="437"/>
      <c r="BD174" s="437"/>
      <c r="BE174" s="437"/>
      <c r="BF174" s="437"/>
      <c r="BG174" s="437"/>
      <c r="BH174" s="437"/>
      <c r="BI174" s="437"/>
      <c r="BJ174" s="437"/>
      <c r="BK174" s="437"/>
      <c r="BL174" s="437"/>
      <c r="BM174" s="393"/>
      <c r="BO174" s="399">
        <f t="shared" si="63"/>
        <v>0</v>
      </c>
      <c r="BP174" s="399">
        <f t="shared" si="64"/>
        <v>0</v>
      </c>
      <c r="BQ174" s="399">
        <f t="shared" si="65"/>
        <v>0</v>
      </c>
      <c r="BR174" s="399">
        <f t="shared" si="66"/>
        <v>0</v>
      </c>
      <c r="BS174" s="399">
        <f t="shared" si="67"/>
        <v>0</v>
      </c>
      <c r="BT174" s="399">
        <f t="shared" si="68"/>
        <v>0</v>
      </c>
      <c r="BU174" s="399">
        <f t="shared" si="69"/>
        <v>0</v>
      </c>
      <c r="BV174" s="399">
        <f t="shared" si="70"/>
        <v>0</v>
      </c>
      <c r="BW174" s="399">
        <f t="shared" si="71"/>
        <v>0</v>
      </c>
      <c r="BX174" s="399">
        <f t="shared" si="72"/>
        <v>0</v>
      </c>
      <c r="BY174" s="399">
        <f t="shared" si="73"/>
        <v>0</v>
      </c>
      <c r="BZ174" s="399">
        <f t="shared" si="74"/>
        <v>0</v>
      </c>
      <c r="CA174" s="399">
        <f t="shared" si="75"/>
        <v>0</v>
      </c>
      <c r="CB174" s="399">
        <f t="shared" si="76"/>
        <v>0</v>
      </c>
      <c r="CC174" s="399">
        <f t="shared" si="77"/>
        <v>0</v>
      </c>
      <c r="CD174" s="399">
        <f t="shared" si="78"/>
        <v>0</v>
      </c>
      <c r="CE174" s="399">
        <f t="shared" si="79"/>
        <v>0</v>
      </c>
      <c r="CF174" s="399">
        <f t="shared" si="80"/>
        <v>0</v>
      </c>
      <c r="CG174" s="399">
        <f t="shared" si="81"/>
        <v>0</v>
      </c>
      <c r="CH174" s="399">
        <f t="shared" si="82"/>
        <v>0</v>
      </c>
      <c r="CI174" s="399">
        <f t="shared" si="83"/>
        <v>0</v>
      </c>
      <c r="CJ174" s="399">
        <f t="shared" si="84"/>
        <v>0</v>
      </c>
      <c r="CK174" s="399">
        <f t="shared" si="85"/>
        <v>0</v>
      </c>
      <c r="CL174" s="399">
        <f t="shared" si="86"/>
        <v>0</v>
      </c>
      <c r="CM174" s="399">
        <f t="shared" si="87"/>
        <v>0</v>
      </c>
      <c r="CN174" s="399">
        <f t="shared" si="88"/>
        <v>0</v>
      </c>
      <c r="CO174" s="399">
        <f t="shared" si="89"/>
        <v>0</v>
      </c>
      <c r="CP174" s="399">
        <f t="shared" si="90"/>
        <v>0</v>
      </c>
      <c r="CQ174" s="423">
        <f t="shared" si="91"/>
        <v>0</v>
      </c>
      <c r="CS174" s="394" t="e">
        <f t="shared" si="92"/>
        <v>#DIV/0!</v>
      </c>
    </row>
    <row r="175" spans="3:97">
      <c r="C175" s="107"/>
      <c r="D175" s="395"/>
      <c r="E175" s="84"/>
      <c r="F175" s="84"/>
      <c r="G175" s="389"/>
      <c r="H175" s="390"/>
      <c r="I175" s="390"/>
      <c r="J175" s="390"/>
      <c r="K175" s="390"/>
      <c r="L175" s="390"/>
      <c r="M175" s="390"/>
      <c r="N175" s="390"/>
      <c r="O175" s="390"/>
      <c r="P175" s="390"/>
      <c r="Q175" s="390"/>
      <c r="R175" s="390"/>
      <c r="S175" s="390"/>
      <c r="T175" s="390"/>
      <c r="U175" s="390"/>
      <c r="V175" s="390"/>
      <c r="W175" s="390"/>
      <c r="X175" s="390"/>
      <c r="Y175" s="390"/>
      <c r="Z175" s="390"/>
      <c r="AA175" s="390"/>
      <c r="AB175" s="390"/>
      <c r="AC175" s="390"/>
      <c r="AD175" s="390"/>
      <c r="AE175" s="390"/>
      <c r="AF175" s="390"/>
      <c r="AG175" s="390"/>
      <c r="AH175" s="390"/>
      <c r="AI175" s="391"/>
      <c r="AK175" s="437"/>
      <c r="AL175" s="437"/>
      <c r="AM175" s="437"/>
      <c r="AN175" s="437"/>
      <c r="AO175" s="437"/>
      <c r="AP175" s="437"/>
      <c r="AQ175" s="437"/>
      <c r="AR175" s="437"/>
      <c r="AS175" s="437"/>
      <c r="AT175" s="437"/>
      <c r="AU175" s="437"/>
      <c r="AV175" s="437"/>
      <c r="AW175" s="437"/>
      <c r="AX175" s="437"/>
      <c r="AY175" s="437"/>
      <c r="AZ175" s="437"/>
      <c r="BA175" s="437"/>
      <c r="BB175" s="437"/>
      <c r="BC175" s="437"/>
      <c r="BD175" s="437"/>
      <c r="BE175" s="437"/>
      <c r="BF175" s="437"/>
      <c r="BG175" s="437"/>
      <c r="BH175" s="437"/>
      <c r="BI175" s="437"/>
      <c r="BJ175" s="437"/>
      <c r="BK175" s="437"/>
      <c r="BL175" s="437"/>
      <c r="BM175" s="393"/>
      <c r="BO175" s="399">
        <f t="shared" si="63"/>
        <v>0</v>
      </c>
      <c r="BP175" s="399">
        <f t="shared" si="64"/>
        <v>0</v>
      </c>
      <c r="BQ175" s="399">
        <f t="shared" si="65"/>
        <v>0</v>
      </c>
      <c r="BR175" s="399">
        <f t="shared" si="66"/>
        <v>0</v>
      </c>
      <c r="BS175" s="399">
        <f t="shared" si="67"/>
        <v>0</v>
      </c>
      <c r="BT175" s="399">
        <f t="shared" si="68"/>
        <v>0</v>
      </c>
      <c r="BU175" s="399">
        <f t="shared" si="69"/>
        <v>0</v>
      </c>
      <c r="BV175" s="399">
        <f t="shared" si="70"/>
        <v>0</v>
      </c>
      <c r="BW175" s="399">
        <f t="shared" si="71"/>
        <v>0</v>
      </c>
      <c r="BX175" s="399">
        <f t="shared" si="72"/>
        <v>0</v>
      </c>
      <c r="BY175" s="399">
        <f t="shared" si="73"/>
        <v>0</v>
      </c>
      <c r="BZ175" s="399">
        <f t="shared" si="74"/>
        <v>0</v>
      </c>
      <c r="CA175" s="399">
        <f t="shared" si="75"/>
        <v>0</v>
      </c>
      <c r="CB175" s="399">
        <f t="shared" si="76"/>
        <v>0</v>
      </c>
      <c r="CC175" s="399">
        <f t="shared" si="77"/>
        <v>0</v>
      </c>
      <c r="CD175" s="399">
        <f t="shared" si="78"/>
        <v>0</v>
      </c>
      <c r="CE175" s="399">
        <f t="shared" si="79"/>
        <v>0</v>
      </c>
      <c r="CF175" s="399">
        <f t="shared" si="80"/>
        <v>0</v>
      </c>
      <c r="CG175" s="399">
        <f t="shared" si="81"/>
        <v>0</v>
      </c>
      <c r="CH175" s="399">
        <f t="shared" si="82"/>
        <v>0</v>
      </c>
      <c r="CI175" s="399">
        <f t="shared" si="83"/>
        <v>0</v>
      </c>
      <c r="CJ175" s="399">
        <f t="shared" si="84"/>
        <v>0</v>
      </c>
      <c r="CK175" s="399">
        <f t="shared" si="85"/>
        <v>0</v>
      </c>
      <c r="CL175" s="399">
        <f t="shared" si="86"/>
        <v>0</v>
      </c>
      <c r="CM175" s="399">
        <f t="shared" si="87"/>
        <v>0</v>
      </c>
      <c r="CN175" s="399">
        <f t="shared" si="88"/>
        <v>0</v>
      </c>
      <c r="CO175" s="399">
        <f t="shared" si="89"/>
        <v>0</v>
      </c>
      <c r="CP175" s="399">
        <f t="shared" si="90"/>
        <v>0</v>
      </c>
      <c r="CQ175" s="423">
        <f t="shared" si="91"/>
        <v>0</v>
      </c>
      <c r="CS175" s="394" t="e">
        <f t="shared" si="92"/>
        <v>#DIV/0!</v>
      </c>
    </row>
    <row r="176" spans="3:97">
      <c r="C176" s="107"/>
      <c r="D176" s="395"/>
      <c r="E176" s="84"/>
      <c r="F176" s="84"/>
      <c r="G176" s="389"/>
      <c r="H176" s="390"/>
      <c r="I176" s="390"/>
      <c r="J176" s="390"/>
      <c r="K176" s="390"/>
      <c r="L176" s="390"/>
      <c r="M176" s="390"/>
      <c r="N176" s="390"/>
      <c r="O176" s="390"/>
      <c r="P176" s="390"/>
      <c r="Q176" s="390"/>
      <c r="R176" s="390"/>
      <c r="S176" s="390"/>
      <c r="T176" s="390"/>
      <c r="U176" s="390"/>
      <c r="V176" s="390"/>
      <c r="W176" s="390"/>
      <c r="X176" s="390"/>
      <c r="Y176" s="390"/>
      <c r="Z176" s="390"/>
      <c r="AA176" s="390"/>
      <c r="AB176" s="390"/>
      <c r="AC176" s="390"/>
      <c r="AD176" s="390"/>
      <c r="AE176" s="390"/>
      <c r="AF176" s="390"/>
      <c r="AG176" s="390"/>
      <c r="AH176" s="390"/>
      <c r="AI176" s="391"/>
      <c r="AK176" s="437"/>
      <c r="AL176" s="437"/>
      <c r="AM176" s="437"/>
      <c r="AN176" s="437"/>
      <c r="AO176" s="437"/>
      <c r="AP176" s="437"/>
      <c r="AQ176" s="437"/>
      <c r="AR176" s="437"/>
      <c r="AS176" s="437"/>
      <c r="AT176" s="437"/>
      <c r="AU176" s="437"/>
      <c r="AV176" s="437"/>
      <c r="AW176" s="437"/>
      <c r="AX176" s="437"/>
      <c r="AY176" s="437"/>
      <c r="AZ176" s="437"/>
      <c r="BA176" s="437"/>
      <c r="BB176" s="437"/>
      <c r="BC176" s="437"/>
      <c r="BD176" s="437"/>
      <c r="BE176" s="437"/>
      <c r="BF176" s="437"/>
      <c r="BG176" s="437"/>
      <c r="BH176" s="437"/>
      <c r="BI176" s="437"/>
      <c r="BJ176" s="437"/>
      <c r="BK176" s="437"/>
      <c r="BL176" s="437"/>
      <c r="BM176" s="393"/>
      <c r="BO176" s="399">
        <f t="shared" si="63"/>
        <v>0</v>
      </c>
      <c r="BP176" s="399">
        <f t="shared" si="64"/>
        <v>0</v>
      </c>
      <c r="BQ176" s="399">
        <f t="shared" si="65"/>
        <v>0</v>
      </c>
      <c r="BR176" s="399">
        <f t="shared" si="66"/>
        <v>0</v>
      </c>
      <c r="BS176" s="399">
        <f t="shared" si="67"/>
        <v>0</v>
      </c>
      <c r="BT176" s="399">
        <f t="shared" si="68"/>
        <v>0</v>
      </c>
      <c r="BU176" s="399">
        <f t="shared" si="69"/>
        <v>0</v>
      </c>
      <c r="BV176" s="399">
        <f t="shared" si="70"/>
        <v>0</v>
      </c>
      <c r="BW176" s="399">
        <f t="shared" si="71"/>
        <v>0</v>
      </c>
      <c r="BX176" s="399">
        <f t="shared" si="72"/>
        <v>0</v>
      </c>
      <c r="BY176" s="399">
        <f t="shared" si="73"/>
        <v>0</v>
      </c>
      <c r="BZ176" s="399">
        <f t="shared" si="74"/>
        <v>0</v>
      </c>
      <c r="CA176" s="399">
        <f t="shared" si="75"/>
        <v>0</v>
      </c>
      <c r="CB176" s="399">
        <f t="shared" si="76"/>
        <v>0</v>
      </c>
      <c r="CC176" s="399">
        <f t="shared" si="77"/>
        <v>0</v>
      </c>
      <c r="CD176" s="399">
        <f t="shared" si="78"/>
        <v>0</v>
      </c>
      <c r="CE176" s="399">
        <f t="shared" si="79"/>
        <v>0</v>
      </c>
      <c r="CF176" s="399">
        <f t="shared" si="80"/>
        <v>0</v>
      </c>
      <c r="CG176" s="399">
        <f t="shared" si="81"/>
        <v>0</v>
      </c>
      <c r="CH176" s="399">
        <f t="shared" si="82"/>
        <v>0</v>
      </c>
      <c r="CI176" s="399">
        <f t="shared" si="83"/>
        <v>0</v>
      </c>
      <c r="CJ176" s="399">
        <f t="shared" si="84"/>
        <v>0</v>
      </c>
      <c r="CK176" s="399">
        <f t="shared" si="85"/>
        <v>0</v>
      </c>
      <c r="CL176" s="399">
        <f t="shared" si="86"/>
        <v>0</v>
      </c>
      <c r="CM176" s="399">
        <f t="shared" si="87"/>
        <v>0</v>
      </c>
      <c r="CN176" s="399">
        <f t="shared" si="88"/>
        <v>0</v>
      </c>
      <c r="CO176" s="399">
        <f t="shared" si="89"/>
        <v>0</v>
      </c>
      <c r="CP176" s="399">
        <f t="shared" si="90"/>
        <v>0</v>
      </c>
      <c r="CQ176" s="423">
        <f t="shared" si="91"/>
        <v>0</v>
      </c>
      <c r="CS176" s="394" t="e">
        <f t="shared" si="92"/>
        <v>#DIV/0!</v>
      </c>
    </row>
    <row r="177" spans="3:97">
      <c r="C177" s="107"/>
      <c r="D177" s="395"/>
      <c r="E177" s="84"/>
      <c r="F177" s="84"/>
      <c r="G177" s="389"/>
      <c r="H177" s="390"/>
      <c r="I177" s="390"/>
      <c r="J177" s="390"/>
      <c r="K177" s="390"/>
      <c r="L177" s="390"/>
      <c r="M177" s="390"/>
      <c r="N177" s="390"/>
      <c r="O177" s="390"/>
      <c r="P177" s="390"/>
      <c r="Q177" s="390"/>
      <c r="R177" s="390"/>
      <c r="S177" s="390"/>
      <c r="T177" s="390"/>
      <c r="U177" s="390"/>
      <c r="V177" s="390"/>
      <c r="W177" s="390"/>
      <c r="X177" s="390"/>
      <c r="Y177" s="390"/>
      <c r="Z177" s="390"/>
      <c r="AA177" s="390"/>
      <c r="AB177" s="390"/>
      <c r="AC177" s="390"/>
      <c r="AD177" s="390"/>
      <c r="AE177" s="390"/>
      <c r="AF177" s="390"/>
      <c r="AG177" s="390"/>
      <c r="AH177" s="390"/>
      <c r="AI177" s="391"/>
      <c r="AK177" s="437"/>
      <c r="AL177" s="437"/>
      <c r="AM177" s="437"/>
      <c r="AN177" s="437"/>
      <c r="AO177" s="437"/>
      <c r="AP177" s="437"/>
      <c r="AQ177" s="437"/>
      <c r="AR177" s="437"/>
      <c r="AS177" s="437"/>
      <c r="AT177" s="437"/>
      <c r="AU177" s="437"/>
      <c r="AV177" s="437"/>
      <c r="AW177" s="437"/>
      <c r="AX177" s="437"/>
      <c r="AY177" s="437"/>
      <c r="AZ177" s="437"/>
      <c r="BA177" s="437"/>
      <c r="BB177" s="437"/>
      <c r="BC177" s="437"/>
      <c r="BD177" s="437"/>
      <c r="BE177" s="437"/>
      <c r="BF177" s="437"/>
      <c r="BG177" s="437"/>
      <c r="BH177" s="437"/>
      <c r="BI177" s="437"/>
      <c r="BJ177" s="437"/>
      <c r="BK177" s="437"/>
      <c r="BL177" s="437"/>
      <c r="BM177" s="393"/>
      <c r="BO177" s="399">
        <f t="shared" si="63"/>
        <v>0</v>
      </c>
      <c r="BP177" s="399">
        <f t="shared" si="64"/>
        <v>0</v>
      </c>
      <c r="BQ177" s="399">
        <f t="shared" si="65"/>
        <v>0</v>
      </c>
      <c r="BR177" s="399">
        <f t="shared" si="66"/>
        <v>0</v>
      </c>
      <c r="BS177" s="399">
        <f t="shared" si="67"/>
        <v>0</v>
      </c>
      <c r="BT177" s="399">
        <f t="shared" si="68"/>
        <v>0</v>
      </c>
      <c r="BU177" s="399">
        <f t="shared" si="69"/>
        <v>0</v>
      </c>
      <c r="BV177" s="399">
        <f t="shared" si="70"/>
        <v>0</v>
      </c>
      <c r="BW177" s="399">
        <f t="shared" si="71"/>
        <v>0</v>
      </c>
      <c r="BX177" s="399">
        <f t="shared" si="72"/>
        <v>0</v>
      </c>
      <c r="BY177" s="399">
        <f t="shared" si="73"/>
        <v>0</v>
      </c>
      <c r="BZ177" s="399">
        <f t="shared" si="74"/>
        <v>0</v>
      </c>
      <c r="CA177" s="399">
        <f t="shared" si="75"/>
        <v>0</v>
      </c>
      <c r="CB177" s="399">
        <f t="shared" si="76"/>
        <v>0</v>
      </c>
      <c r="CC177" s="399">
        <f t="shared" si="77"/>
        <v>0</v>
      </c>
      <c r="CD177" s="399">
        <f t="shared" si="78"/>
        <v>0</v>
      </c>
      <c r="CE177" s="399">
        <f t="shared" si="79"/>
        <v>0</v>
      </c>
      <c r="CF177" s="399">
        <f t="shared" si="80"/>
        <v>0</v>
      </c>
      <c r="CG177" s="399">
        <f t="shared" si="81"/>
        <v>0</v>
      </c>
      <c r="CH177" s="399">
        <f t="shared" si="82"/>
        <v>0</v>
      </c>
      <c r="CI177" s="399">
        <f t="shared" si="83"/>
        <v>0</v>
      </c>
      <c r="CJ177" s="399">
        <f t="shared" si="84"/>
        <v>0</v>
      </c>
      <c r="CK177" s="399">
        <f t="shared" si="85"/>
        <v>0</v>
      </c>
      <c r="CL177" s="399">
        <f t="shared" si="86"/>
        <v>0</v>
      </c>
      <c r="CM177" s="399">
        <f t="shared" si="87"/>
        <v>0</v>
      </c>
      <c r="CN177" s="399">
        <f t="shared" si="88"/>
        <v>0</v>
      </c>
      <c r="CO177" s="399">
        <f t="shared" si="89"/>
        <v>0</v>
      </c>
      <c r="CP177" s="399">
        <f t="shared" si="90"/>
        <v>0</v>
      </c>
      <c r="CQ177" s="423">
        <f t="shared" si="91"/>
        <v>0</v>
      </c>
      <c r="CS177" s="394" t="e">
        <f t="shared" si="92"/>
        <v>#DIV/0!</v>
      </c>
    </row>
    <row r="178" spans="3:97">
      <c r="C178" s="107"/>
      <c r="D178" s="395"/>
      <c r="E178" s="84"/>
      <c r="F178" s="84"/>
      <c r="G178" s="389"/>
      <c r="H178" s="390"/>
      <c r="I178" s="390"/>
      <c r="J178" s="390"/>
      <c r="K178" s="390"/>
      <c r="L178" s="390"/>
      <c r="M178" s="390"/>
      <c r="N178" s="390"/>
      <c r="O178" s="390"/>
      <c r="P178" s="390"/>
      <c r="Q178" s="390"/>
      <c r="R178" s="390"/>
      <c r="S178" s="390"/>
      <c r="T178" s="390"/>
      <c r="U178" s="390"/>
      <c r="V178" s="390"/>
      <c r="W178" s="390"/>
      <c r="X178" s="390"/>
      <c r="Y178" s="390"/>
      <c r="Z178" s="390"/>
      <c r="AA178" s="390"/>
      <c r="AB178" s="390"/>
      <c r="AC178" s="390"/>
      <c r="AD178" s="390"/>
      <c r="AE178" s="390"/>
      <c r="AF178" s="390"/>
      <c r="AG178" s="390"/>
      <c r="AH178" s="390"/>
      <c r="AI178" s="391"/>
      <c r="AK178" s="437"/>
      <c r="AL178" s="437"/>
      <c r="AM178" s="437"/>
      <c r="AN178" s="437"/>
      <c r="AO178" s="437"/>
      <c r="AP178" s="437"/>
      <c r="AQ178" s="437"/>
      <c r="AR178" s="437"/>
      <c r="AS178" s="437"/>
      <c r="AT178" s="437"/>
      <c r="AU178" s="437"/>
      <c r="AV178" s="437"/>
      <c r="AW178" s="437"/>
      <c r="AX178" s="437"/>
      <c r="AY178" s="437"/>
      <c r="AZ178" s="437"/>
      <c r="BA178" s="437"/>
      <c r="BB178" s="437"/>
      <c r="BC178" s="437"/>
      <c r="BD178" s="437"/>
      <c r="BE178" s="437"/>
      <c r="BF178" s="437"/>
      <c r="BG178" s="437"/>
      <c r="BH178" s="437"/>
      <c r="BI178" s="437"/>
      <c r="BJ178" s="437"/>
      <c r="BK178" s="437"/>
      <c r="BL178" s="437"/>
      <c r="BM178" s="393"/>
      <c r="BO178" s="399">
        <f t="shared" si="63"/>
        <v>0</v>
      </c>
      <c r="BP178" s="399">
        <f t="shared" si="64"/>
        <v>0</v>
      </c>
      <c r="BQ178" s="399">
        <f t="shared" si="65"/>
        <v>0</v>
      </c>
      <c r="BR178" s="399">
        <f t="shared" si="66"/>
        <v>0</v>
      </c>
      <c r="BS178" s="399">
        <f t="shared" si="67"/>
        <v>0</v>
      </c>
      <c r="BT178" s="399">
        <f t="shared" si="68"/>
        <v>0</v>
      </c>
      <c r="BU178" s="399">
        <f t="shared" si="69"/>
        <v>0</v>
      </c>
      <c r="BV178" s="399">
        <f t="shared" si="70"/>
        <v>0</v>
      </c>
      <c r="BW178" s="399">
        <f t="shared" si="71"/>
        <v>0</v>
      </c>
      <c r="BX178" s="399">
        <f t="shared" si="72"/>
        <v>0</v>
      </c>
      <c r="BY178" s="399">
        <f t="shared" si="73"/>
        <v>0</v>
      </c>
      <c r="BZ178" s="399">
        <f t="shared" si="74"/>
        <v>0</v>
      </c>
      <c r="CA178" s="399">
        <f t="shared" si="75"/>
        <v>0</v>
      </c>
      <c r="CB178" s="399">
        <f t="shared" si="76"/>
        <v>0</v>
      </c>
      <c r="CC178" s="399">
        <f t="shared" si="77"/>
        <v>0</v>
      </c>
      <c r="CD178" s="399">
        <f t="shared" si="78"/>
        <v>0</v>
      </c>
      <c r="CE178" s="399">
        <f t="shared" si="79"/>
        <v>0</v>
      </c>
      <c r="CF178" s="399">
        <f t="shared" si="80"/>
        <v>0</v>
      </c>
      <c r="CG178" s="399">
        <f t="shared" si="81"/>
        <v>0</v>
      </c>
      <c r="CH178" s="399">
        <f t="shared" si="82"/>
        <v>0</v>
      </c>
      <c r="CI178" s="399">
        <f t="shared" si="83"/>
        <v>0</v>
      </c>
      <c r="CJ178" s="399">
        <f t="shared" si="84"/>
        <v>0</v>
      </c>
      <c r="CK178" s="399">
        <f t="shared" si="85"/>
        <v>0</v>
      </c>
      <c r="CL178" s="399">
        <f t="shared" si="86"/>
        <v>0</v>
      </c>
      <c r="CM178" s="399">
        <f t="shared" si="87"/>
        <v>0</v>
      </c>
      <c r="CN178" s="399">
        <f t="shared" si="88"/>
        <v>0</v>
      </c>
      <c r="CO178" s="399">
        <f t="shared" si="89"/>
        <v>0</v>
      </c>
      <c r="CP178" s="399">
        <f t="shared" si="90"/>
        <v>0</v>
      </c>
      <c r="CQ178" s="423">
        <f t="shared" si="91"/>
        <v>0</v>
      </c>
      <c r="CS178" s="394" t="e">
        <f t="shared" si="92"/>
        <v>#DIV/0!</v>
      </c>
    </row>
    <row r="179" spans="3:97">
      <c r="C179" s="107"/>
      <c r="D179" s="395"/>
      <c r="E179" s="84"/>
      <c r="F179" s="84"/>
      <c r="G179" s="389"/>
      <c r="H179" s="390"/>
      <c r="I179" s="390"/>
      <c r="J179" s="390"/>
      <c r="K179" s="390"/>
      <c r="L179" s="390"/>
      <c r="M179" s="390"/>
      <c r="N179" s="390"/>
      <c r="O179" s="390"/>
      <c r="P179" s="390"/>
      <c r="Q179" s="390"/>
      <c r="R179" s="390"/>
      <c r="S179" s="390"/>
      <c r="T179" s="390"/>
      <c r="U179" s="390"/>
      <c r="V179" s="390"/>
      <c r="W179" s="390"/>
      <c r="X179" s="390"/>
      <c r="Y179" s="390"/>
      <c r="Z179" s="390"/>
      <c r="AA179" s="390"/>
      <c r="AB179" s="390"/>
      <c r="AC179" s="390"/>
      <c r="AD179" s="390"/>
      <c r="AE179" s="390"/>
      <c r="AF179" s="390"/>
      <c r="AG179" s="390"/>
      <c r="AH179" s="390"/>
      <c r="AI179" s="391"/>
      <c r="AK179" s="437"/>
      <c r="AL179" s="437"/>
      <c r="AM179" s="437"/>
      <c r="AN179" s="437"/>
      <c r="AO179" s="437"/>
      <c r="AP179" s="437"/>
      <c r="AQ179" s="437"/>
      <c r="AR179" s="437"/>
      <c r="AS179" s="437"/>
      <c r="AT179" s="437"/>
      <c r="AU179" s="437"/>
      <c r="AV179" s="437"/>
      <c r="AW179" s="437"/>
      <c r="AX179" s="437"/>
      <c r="AY179" s="437"/>
      <c r="AZ179" s="437"/>
      <c r="BA179" s="437"/>
      <c r="BB179" s="437"/>
      <c r="BC179" s="437"/>
      <c r="BD179" s="437"/>
      <c r="BE179" s="437"/>
      <c r="BF179" s="437"/>
      <c r="BG179" s="437"/>
      <c r="BH179" s="437"/>
      <c r="BI179" s="437"/>
      <c r="BJ179" s="437"/>
      <c r="BK179" s="437"/>
      <c r="BL179" s="437"/>
      <c r="BM179" s="393"/>
      <c r="BO179" s="399">
        <f t="shared" si="63"/>
        <v>0</v>
      </c>
      <c r="BP179" s="399">
        <f t="shared" si="64"/>
        <v>0</v>
      </c>
      <c r="BQ179" s="399">
        <f t="shared" si="65"/>
        <v>0</v>
      </c>
      <c r="BR179" s="399">
        <f t="shared" si="66"/>
        <v>0</v>
      </c>
      <c r="BS179" s="399">
        <f t="shared" si="67"/>
        <v>0</v>
      </c>
      <c r="BT179" s="399">
        <f t="shared" si="68"/>
        <v>0</v>
      </c>
      <c r="BU179" s="399">
        <f t="shared" si="69"/>
        <v>0</v>
      </c>
      <c r="BV179" s="399">
        <f t="shared" si="70"/>
        <v>0</v>
      </c>
      <c r="BW179" s="399">
        <f t="shared" si="71"/>
        <v>0</v>
      </c>
      <c r="BX179" s="399">
        <f t="shared" si="72"/>
        <v>0</v>
      </c>
      <c r="BY179" s="399">
        <f t="shared" si="73"/>
        <v>0</v>
      </c>
      <c r="BZ179" s="399">
        <f t="shared" si="74"/>
        <v>0</v>
      </c>
      <c r="CA179" s="399">
        <f t="shared" si="75"/>
        <v>0</v>
      </c>
      <c r="CB179" s="399">
        <f t="shared" si="76"/>
        <v>0</v>
      </c>
      <c r="CC179" s="399">
        <f t="shared" si="77"/>
        <v>0</v>
      </c>
      <c r="CD179" s="399">
        <f t="shared" si="78"/>
        <v>0</v>
      </c>
      <c r="CE179" s="399">
        <f t="shared" si="79"/>
        <v>0</v>
      </c>
      <c r="CF179" s="399">
        <f t="shared" si="80"/>
        <v>0</v>
      </c>
      <c r="CG179" s="399">
        <f t="shared" si="81"/>
        <v>0</v>
      </c>
      <c r="CH179" s="399">
        <f t="shared" si="82"/>
        <v>0</v>
      </c>
      <c r="CI179" s="399">
        <f t="shared" si="83"/>
        <v>0</v>
      </c>
      <c r="CJ179" s="399">
        <f t="shared" si="84"/>
        <v>0</v>
      </c>
      <c r="CK179" s="399">
        <f t="shared" si="85"/>
        <v>0</v>
      </c>
      <c r="CL179" s="399">
        <f t="shared" si="86"/>
        <v>0</v>
      </c>
      <c r="CM179" s="399">
        <f t="shared" si="87"/>
        <v>0</v>
      </c>
      <c r="CN179" s="399">
        <f t="shared" si="88"/>
        <v>0</v>
      </c>
      <c r="CO179" s="399">
        <f t="shared" si="89"/>
        <v>0</v>
      </c>
      <c r="CP179" s="399">
        <f t="shared" si="90"/>
        <v>0</v>
      </c>
      <c r="CQ179" s="423">
        <f t="shared" si="91"/>
        <v>0</v>
      </c>
      <c r="CS179" s="394" t="e">
        <f t="shared" si="92"/>
        <v>#DIV/0!</v>
      </c>
    </row>
    <row r="180" spans="3:97">
      <c r="C180" s="107"/>
      <c r="D180" s="395"/>
      <c r="E180" s="84"/>
      <c r="F180" s="84"/>
      <c r="G180" s="389"/>
      <c r="H180" s="390"/>
      <c r="I180" s="390"/>
      <c r="J180" s="390"/>
      <c r="K180" s="390"/>
      <c r="L180" s="390"/>
      <c r="M180" s="390"/>
      <c r="N180" s="390"/>
      <c r="O180" s="390"/>
      <c r="P180" s="390"/>
      <c r="Q180" s="390"/>
      <c r="R180" s="390"/>
      <c r="S180" s="390"/>
      <c r="T180" s="390"/>
      <c r="U180" s="390"/>
      <c r="V180" s="390"/>
      <c r="W180" s="390"/>
      <c r="X180" s="390"/>
      <c r="Y180" s="390"/>
      <c r="Z180" s="390"/>
      <c r="AA180" s="390"/>
      <c r="AB180" s="390"/>
      <c r="AC180" s="390"/>
      <c r="AD180" s="390"/>
      <c r="AE180" s="390"/>
      <c r="AF180" s="390"/>
      <c r="AG180" s="390"/>
      <c r="AH180" s="390"/>
      <c r="AI180" s="391"/>
      <c r="AK180" s="437"/>
      <c r="AL180" s="437"/>
      <c r="AM180" s="437"/>
      <c r="AN180" s="437"/>
      <c r="AO180" s="437"/>
      <c r="AP180" s="437"/>
      <c r="AQ180" s="437"/>
      <c r="AR180" s="437"/>
      <c r="AS180" s="437"/>
      <c r="AT180" s="437"/>
      <c r="AU180" s="437"/>
      <c r="AV180" s="437"/>
      <c r="AW180" s="437"/>
      <c r="AX180" s="437"/>
      <c r="AY180" s="437"/>
      <c r="AZ180" s="437"/>
      <c r="BA180" s="437"/>
      <c r="BB180" s="437"/>
      <c r="BC180" s="437"/>
      <c r="BD180" s="437"/>
      <c r="BE180" s="437"/>
      <c r="BF180" s="437"/>
      <c r="BG180" s="437"/>
      <c r="BH180" s="437"/>
      <c r="BI180" s="437"/>
      <c r="BJ180" s="437"/>
      <c r="BK180" s="437"/>
      <c r="BL180" s="437"/>
      <c r="BM180" s="393"/>
      <c r="BO180" s="399">
        <f t="shared" si="63"/>
        <v>0</v>
      </c>
      <c r="BP180" s="399">
        <f t="shared" si="64"/>
        <v>0</v>
      </c>
      <c r="BQ180" s="399">
        <f t="shared" si="65"/>
        <v>0</v>
      </c>
      <c r="BR180" s="399">
        <f t="shared" si="66"/>
        <v>0</v>
      </c>
      <c r="BS180" s="399">
        <f t="shared" si="67"/>
        <v>0</v>
      </c>
      <c r="BT180" s="399">
        <f t="shared" si="68"/>
        <v>0</v>
      </c>
      <c r="BU180" s="399">
        <f t="shared" si="69"/>
        <v>0</v>
      </c>
      <c r="BV180" s="399">
        <f t="shared" si="70"/>
        <v>0</v>
      </c>
      <c r="BW180" s="399">
        <f t="shared" si="71"/>
        <v>0</v>
      </c>
      <c r="BX180" s="399">
        <f t="shared" si="72"/>
        <v>0</v>
      </c>
      <c r="BY180" s="399">
        <f t="shared" si="73"/>
        <v>0</v>
      </c>
      <c r="BZ180" s="399">
        <f t="shared" si="74"/>
        <v>0</v>
      </c>
      <c r="CA180" s="399">
        <f t="shared" si="75"/>
        <v>0</v>
      </c>
      <c r="CB180" s="399">
        <f t="shared" si="76"/>
        <v>0</v>
      </c>
      <c r="CC180" s="399">
        <f t="shared" si="77"/>
        <v>0</v>
      </c>
      <c r="CD180" s="399">
        <f t="shared" si="78"/>
        <v>0</v>
      </c>
      <c r="CE180" s="399">
        <f t="shared" si="79"/>
        <v>0</v>
      </c>
      <c r="CF180" s="399">
        <f t="shared" si="80"/>
        <v>0</v>
      </c>
      <c r="CG180" s="399">
        <f t="shared" si="81"/>
        <v>0</v>
      </c>
      <c r="CH180" s="399">
        <f t="shared" si="82"/>
        <v>0</v>
      </c>
      <c r="CI180" s="399">
        <f t="shared" si="83"/>
        <v>0</v>
      </c>
      <c r="CJ180" s="399">
        <f t="shared" si="84"/>
        <v>0</v>
      </c>
      <c r="CK180" s="399">
        <f t="shared" si="85"/>
        <v>0</v>
      </c>
      <c r="CL180" s="399">
        <f t="shared" si="86"/>
        <v>0</v>
      </c>
      <c r="CM180" s="399">
        <f t="shared" si="87"/>
        <v>0</v>
      </c>
      <c r="CN180" s="399">
        <f t="shared" si="88"/>
        <v>0</v>
      </c>
      <c r="CO180" s="399">
        <f t="shared" si="89"/>
        <v>0</v>
      </c>
      <c r="CP180" s="399">
        <f t="shared" si="90"/>
        <v>0</v>
      </c>
      <c r="CQ180" s="423">
        <f t="shared" si="91"/>
        <v>0</v>
      </c>
      <c r="CS180" s="394" t="e">
        <f t="shared" si="92"/>
        <v>#DIV/0!</v>
      </c>
    </row>
    <row r="181" spans="3:97">
      <c r="C181" s="107"/>
      <c r="D181" s="395"/>
      <c r="E181" s="84"/>
      <c r="F181" s="84"/>
      <c r="G181" s="389"/>
      <c r="H181" s="390"/>
      <c r="I181" s="390"/>
      <c r="J181" s="390"/>
      <c r="K181" s="390"/>
      <c r="L181" s="390"/>
      <c r="M181" s="390"/>
      <c r="N181" s="390"/>
      <c r="O181" s="390"/>
      <c r="P181" s="390"/>
      <c r="Q181" s="390"/>
      <c r="R181" s="390"/>
      <c r="S181" s="390"/>
      <c r="T181" s="390"/>
      <c r="U181" s="390"/>
      <c r="V181" s="390"/>
      <c r="W181" s="390"/>
      <c r="X181" s="390"/>
      <c r="Y181" s="390"/>
      <c r="Z181" s="390"/>
      <c r="AA181" s="390"/>
      <c r="AB181" s="390"/>
      <c r="AC181" s="390"/>
      <c r="AD181" s="390"/>
      <c r="AE181" s="390"/>
      <c r="AF181" s="390"/>
      <c r="AG181" s="390"/>
      <c r="AH181" s="390"/>
      <c r="AI181" s="391"/>
      <c r="AK181" s="437"/>
      <c r="AL181" s="437"/>
      <c r="AM181" s="437"/>
      <c r="AN181" s="437"/>
      <c r="AO181" s="437"/>
      <c r="AP181" s="437"/>
      <c r="AQ181" s="437"/>
      <c r="AR181" s="437"/>
      <c r="AS181" s="437"/>
      <c r="AT181" s="437"/>
      <c r="AU181" s="437"/>
      <c r="AV181" s="437"/>
      <c r="AW181" s="437"/>
      <c r="AX181" s="437"/>
      <c r="AY181" s="437"/>
      <c r="AZ181" s="437"/>
      <c r="BA181" s="437"/>
      <c r="BB181" s="437"/>
      <c r="BC181" s="437"/>
      <c r="BD181" s="437"/>
      <c r="BE181" s="437"/>
      <c r="BF181" s="437"/>
      <c r="BG181" s="437"/>
      <c r="BH181" s="437"/>
      <c r="BI181" s="437"/>
      <c r="BJ181" s="437"/>
      <c r="BK181" s="437"/>
      <c r="BL181" s="437"/>
      <c r="BM181" s="393"/>
      <c r="BO181" s="399">
        <f t="shared" si="63"/>
        <v>0</v>
      </c>
      <c r="BP181" s="399">
        <f t="shared" si="64"/>
        <v>0</v>
      </c>
      <c r="BQ181" s="399">
        <f t="shared" si="65"/>
        <v>0</v>
      </c>
      <c r="BR181" s="399">
        <f t="shared" si="66"/>
        <v>0</v>
      </c>
      <c r="BS181" s="399">
        <f t="shared" si="67"/>
        <v>0</v>
      </c>
      <c r="BT181" s="399">
        <f t="shared" si="68"/>
        <v>0</v>
      </c>
      <c r="BU181" s="399">
        <f t="shared" si="69"/>
        <v>0</v>
      </c>
      <c r="BV181" s="399">
        <f t="shared" si="70"/>
        <v>0</v>
      </c>
      <c r="BW181" s="399">
        <f t="shared" si="71"/>
        <v>0</v>
      </c>
      <c r="BX181" s="399">
        <f t="shared" si="72"/>
        <v>0</v>
      </c>
      <c r="BY181" s="399">
        <f t="shared" si="73"/>
        <v>0</v>
      </c>
      <c r="BZ181" s="399">
        <f t="shared" si="74"/>
        <v>0</v>
      </c>
      <c r="CA181" s="399">
        <f t="shared" si="75"/>
        <v>0</v>
      </c>
      <c r="CB181" s="399">
        <f t="shared" si="76"/>
        <v>0</v>
      </c>
      <c r="CC181" s="399">
        <f t="shared" si="77"/>
        <v>0</v>
      </c>
      <c r="CD181" s="399">
        <f t="shared" si="78"/>
        <v>0</v>
      </c>
      <c r="CE181" s="399">
        <f t="shared" si="79"/>
        <v>0</v>
      </c>
      <c r="CF181" s="399">
        <f t="shared" si="80"/>
        <v>0</v>
      </c>
      <c r="CG181" s="399">
        <f t="shared" si="81"/>
        <v>0</v>
      </c>
      <c r="CH181" s="399">
        <f t="shared" si="82"/>
        <v>0</v>
      </c>
      <c r="CI181" s="399">
        <f t="shared" si="83"/>
        <v>0</v>
      </c>
      <c r="CJ181" s="399">
        <f t="shared" si="84"/>
        <v>0</v>
      </c>
      <c r="CK181" s="399">
        <f t="shared" si="85"/>
        <v>0</v>
      </c>
      <c r="CL181" s="399">
        <f t="shared" si="86"/>
        <v>0</v>
      </c>
      <c r="CM181" s="399">
        <f t="shared" si="87"/>
        <v>0</v>
      </c>
      <c r="CN181" s="399">
        <f t="shared" si="88"/>
        <v>0</v>
      </c>
      <c r="CO181" s="399">
        <f t="shared" si="89"/>
        <v>0</v>
      </c>
      <c r="CP181" s="399">
        <f t="shared" si="90"/>
        <v>0</v>
      </c>
      <c r="CQ181" s="423">
        <f t="shared" si="91"/>
        <v>0</v>
      </c>
      <c r="CS181" s="394" t="e">
        <f t="shared" si="92"/>
        <v>#DIV/0!</v>
      </c>
    </row>
    <row r="182" spans="3:97">
      <c r="C182" s="107"/>
      <c r="D182" s="395"/>
      <c r="E182" s="84"/>
      <c r="F182" s="84"/>
      <c r="G182" s="389"/>
      <c r="H182" s="390"/>
      <c r="I182" s="390"/>
      <c r="J182" s="390"/>
      <c r="K182" s="390"/>
      <c r="L182" s="390"/>
      <c r="M182" s="390"/>
      <c r="N182" s="390"/>
      <c r="O182" s="390"/>
      <c r="P182" s="390"/>
      <c r="Q182" s="390"/>
      <c r="R182" s="390"/>
      <c r="S182" s="390"/>
      <c r="T182" s="390"/>
      <c r="U182" s="390"/>
      <c r="V182" s="390"/>
      <c r="W182" s="390"/>
      <c r="X182" s="390"/>
      <c r="Y182" s="390"/>
      <c r="Z182" s="390"/>
      <c r="AA182" s="390"/>
      <c r="AB182" s="390"/>
      <c r="AC182" s="390"/>
      <c r="AD182" s="390"/>
      <c r="AE182" s="390"/>
      <c r="AF182" s="390"/>
      <c r="AG182" s="390"/>
      <c r="AH182" s="390"/>
      <c r="AI182" s="391"/>
      <c r="AK182" s="437"/>
      <c r="AL182" s="437"/>
      <c r="AM182" s="437"/>
      <c r="AN182" s="437"/>
      <c r="AO182" s="437"/>
      <c r="AP182" s="437"/>
      <c r="AQ182" s="437"/>
      <c r="AR182" s="437"/>
      <c r="AS182" s="437"/>
      <c r="AT182" s="437"/>
      <c r="AU182" s="437"/>
      <c r="AV182" s="437"/>
      <c r="AW182" s="437"/>
      <c r="AX182" s="437"/>
      <c r="AY182" s="437"/>
      <c r="AZ182" s="437"/>
      <c r="BA182" s="437"/>
      <c r="BB182" s="437"/>
      <c r="BC182" s="437"/>
      <c r="BD182" s="437"/>
      <c r="BE182" s="437"/>
      <c r="BF182" s="437"/>
      <c r="BG182" s="437"/>
      <c r="BH182" s="437"/>
      <c r="BI182" s="437"/>
      <c r="BJ182" s="437"/>
      <c r="BK182" s="437"/>
      <c r="BL182" s="437"/>
      <c r="BM182" s="393"/>
      <c r="BO182" s="399">
        <f t="shared" si="63"/>
        <v>0</v>
      </c>
      <c r="BP182" s="399">
        <f t="shared" si="64"/>
        <v>0</v>
      </c>
      <c r="BQ182" s="399">
        <f t="shared" si="65"/>
        <v>0</v>
      </c>
      <c r="BR182" s="399">
        <f t="shared" si="66"/>
        <v>0</v>
      </c>
      <c r="BS182" s="399">
        <f t="shared" si="67"/>
        <v>0</v>
      </c>
      <c r="BT182" s="399">
        <f t="shared" si="68"/>
        <v>0</v>
      </c>
      <c r="BU182" s="399">
        <f t="shared" si="69"/>
        <v>0</v>
      </c>
      <c r="BV182" s="399">
        <f t="shared" si="70"/>
        <v>0</v>
      </c>
      <c r="BW182" s="399">
        <f t="shared" si="71"/>
        <v>0</v>
      </c>
      <c r="BX182" s="399">
        <f t="shared" si="72"/>
        <v>0</v>
      </c>
      <c r="BY182" s="399">
        <f t="shared" si="73"/>
        <v>0</v>
      </c>
      <c r="BZ182" s="399">
        <f t="shared" si="74"/>
        <v>0</v>
      </c>
      <c r="CA182" s="399">
        <f t="shared" si="75"/>
        <v>0</v>
      </c>
      <c r="CB182" s="399">
        <f t="shared" si="76"/>
        <v>0</v>
      </c>
      <c r="CC182" s="399">
        <f t="shared" si="77"/>
        <v>0</v>
      </c>
      <c r="CD182" s="399">
        <f t="shared" si="78"/>
        <v>0</v>
      </c>
      <c r="CE182" s="399">
        <f t="shared" si="79"/>
        <v>0</v>
      </c>
      <c r="CF182" s="399">
        <f t="shared" si="80"/>
        <v>0</v>
      </c>
      <c r="CG182" s="399">
        <f t="shared" si="81"/>
        <v>0</v>
      </c>
      <c r="CH182" s="399">
        <f t="shared" si="82"/>
        <v>0</v>
      </c>
      <c r="CI182" s="399">
        <f t="shared" si="83"/>
        <v>0</v>
      </c>
      <c r="CJ182" s="399">
        <f t="shared" si="84"/>
        <v>0</v>
      </c>
      <c r="CK182" s="399">
        <f t="shared" si="85"/>
        <v>0</v>
      </c>
      <c r="CL182" s="399">
        <f t="shared" si="86"/>
        <v>0</v>
      </c>
      <c r="CM182" s="399">
        <f t="shared" si="87"/>
        <v>0</v>
      </c>
      <c r="CN182" s="399">
        <f t="shared" si="88"/>
        <v>0</v>
      </c>
      <c r="CO182" s="399">
        <f t="shared" si="89"/>
        <v>0</v>
      </c>
      <c r="CP182" s="399">
        <f t="shared" si="90"/>
        <v>0</v>
      </c>
      <c r="CQ182" s="423">
        <f t="shared" si="91"/>
        <v>0</v>
      </c>
      <c r="CS182" s="394" t="e">
        <f t="shared" si="92"/>
        <v>#DIV/0!</v>
      </c>
    </row>
    <row r="183" spans="3:97">
      <c r="C183" s="107"/>
      <c r="D183" s="395"/>
      <c r="E183" s="84"/>
      <c r="F183" s="84"/>
      <c r="G183" s="389"/>
      <c r="H183" s="390"/>
      <c r="I183" s="390"/>
      <c r="J183" s="390"/>
      <c r="K183" s="390"/>
      <c r="L183" s="390"/>
      <c r="M183" s="390"/>
      <c r="N183" s="390"/>
      <c r="O183" s="390"/>
      <c r="P183" s="390"/>
      <c r="Q183" s="390"/>
      <c r="R183" s="390"/>
      <c r="S183" s="390"/>
      <c r="T183" s="390"/>
      <c r="U183" s="390"/>
      <c r="V183" s="390"/>
      <c r="W183" s="390"/>
      <c r="X183" s="390"/>
      <c r="Y183" s="390"/>
      <c r="Z183" s="390"/>
      <c r="AA183" s="390"/>
      <c r="AB183" s="390"/>
      <c r="AC183" s="390"/>
      <c r="AD183" s="390"/>
      <c r="AE183" s="390"/>
      <c r="AF183" s="390"/>
      <c r="AG183" s="390"/>
      <c r="AH183" s="390"/>
      <c r="AI183" s="391"/>
      <c r="AK183" s="437"/>
      <c r="AL183" s="437"/>
      <c r="AM183" s="437"/>
      <c r="AN183" s="437"/>
      <c r="AO183" s="437"/>
      <c r="AP183" s="437"/>
      <c r="AQ183" s="437"/>
      <c r="AR183" s="437"/>
      <c r="AS183" s="437"/>
      <c r="AT183" s="437"/>
      <c r="AU183" s="437"/>
      <c r="AV183" s="437"/>
      <c r="AW183" s="437"/>
      <c r="AX183" s="437"/>
      <c r="AY183" s="437"/>
      <c r="AZ183" s="437"/>
      <c r="BA183" s="437"/>
      <c r="BB183" s="437"/>
      <c r="BC183" s="437"/>
      <c r="BD183" s="437"/>
      <c r="BE183" s="437"/>
      <c r="BF183" s="437"/>
      <c r="BG183" s="437"/>
      <c r="BH183" s="437"/>
      <c r="BI183" s="437"/>
      <c r="BJ183" s="437"/>
      <c r="BK183" s="437"/>
      <c r="BL183" s="437"/>
      <c r="BM183" s="393"/>
      <c r="BO183" s="399">
        <f t="shared" si="63"/>
        <v>0</v>
      </c>
      <c r="BP183" s="399">
        <f t="shared" si="64"/>
        <v>0</v>
      </c>
      <c r="BQ183" s="399">
        <f t="shared" si="65"/>
        <v>0</v>
      </c>
      <c r="BR183" s="399">
        <f t="shared" si="66"/>
        <v>0</v>
      </c>
      <c r="BS183" s="399">
        <f t="shared" si="67"/>
        <v>0</v>
      </c>
      <c r="BT183" s="399">
        <f t="shared" si="68"/>
        <v>0</v>
      </c>
      <c r="BU183" s="399">
        <f t="shared" si="69"/>
        <v>0</v>
      </c>
      <c r="BV183" s="399">
        <f t="shared" si="70"/>
        <v>0</v>
      </c>
      <c r="BW183" s="399">
        <f t="shared" si="71"/>
        <v>0</v>
      </c>
      <c r="BX183" s="399">
        <f t="shared" si="72"/>
        <v>0</v>
      </c>
      <c r="BY183" s="399">
        <f t="shared" si="73"/>
        <v>0</v>
      </c>
      <c r="BZ183" s="399">
        <f t="shared" si="74"/>
        <v>0</v>
      </c>
      <c r="CA183" s="399">
        <f t="shared" si="75"/>
        <v>0</v>
      </c>
      <c r="CB183" s="399">
        <f t="shared" si="76"/>
        <v>0</v>
      </c>
      <c r="CC183" s="399">
        <f t="shared" si="77"/>
        <v>0</v>
      </c>
      <c r="CD183" s="399">
        <f t="shared" si="78"/>
        <v>0</v>
      </c>
      <c r="CE183" s="399">
        <f t="shared" si="79"/>
        <v>0</v>
      </c>
      <c r="CF183" s="399">
        <f t="shared" si="80"/>
        <v>0</v>
      </c>
      <c r="CG183" s="399">
        <f t="shared" si="81"/>
        <v>0</v>
      </c>
      <c r="CH183" s="399">
        <f t="shared" si="82"/>
        <v>0</v>
      </c>
      <c r="CI183" s="399">
        <f t="shared" si="83"/>
        <v>0</v>
      </c>
      <c r="CJ183" s="399">
        <f t="shared" si="84"/>
        <v>0</v>
      </c>
      <c r="CK183" s="399">
        <f t="shared" si="85"/>
        <v>0</v>
      </c>
      <c r="CL183" s="399">
        <f t="shared" si="86"/>
        <v>0</v>
      </c>
      <c r="CM183" s="399">
        <f t="shared" si="87"/>
        <v>0</v>
      </c>
      <c r="CN183" s="399">
        <f t="shared" si="88"/>
        <v>0</v>
      </c>
      <c r="CO183" s="399">
        <f t="shared" si="89"/>
        <v>0</v>
      </c>
      <c r="CP183" s="399">
        <f t="shared" si="90"/>
        <v>0</v>
      </c>
      <c r="CQ183" s="423">
        <f t="shared" si="91"/>
        <v>0</v>
      </c>
      <c r="CS183" s="394" t="e">
        <f t="shared" si="92"/>
        <v>#DIV/0!</v>
      </c>
    </row>
    <row r="184" spans="3:97">
      <c r="C184" s="107"/>
      <c r="D184" s="395"/>
      <c r="E184" s="84"/>
      <c r="F184" s="84"/>
      <c r="G184" s="389"/>
      <c r="H184" s="390"/>
      <c r="I184" s="390"/>
      <c r="J184" s="390"/>
      <c r="K184" s="390"/>
      <c r="L184" s="390"/>
      <c r="M184" s="390"/>
      <c r="N184" s="390"/>
      <c r="O184" s="390"/>
      <c r="P184" s="390"/>
      <c r="Q184" s="390"/>
      <c r="R184" s="390"/>
      <c r="S184" s="390"/>
      <c r="T184" s="390"/>
      <c r="U184" s="390"/>
      <c r="V184" s="390"/>
      <c r="W184" s="390"/>
      <c r="X184" s="390"/>
      <c r="Y184" s="390"/>
      <c r="Z184" s="390"/>
      <c r="AA184" s="390"/>
      <c r="AB184" s="390"/>
      <c r="AC184" s="390"/>
      <c r="AD184" s="390"/>
      <c r="AE184" s="390"/>
      <c r="AF184" s="390"/>
      <c r="AG184" s="390"/>
      <c r="AH184" s="390"/>
      <c r="AI184" s="391"/>
      <c r="AK184" s="437"/>
      <c r="AL184" s="437"/>
      <c r="AM184" s="437"/>
      <c r="AN184" s="437"/>
      <c r="AO184" s="437"/>
      <c r="AP184" s="437"/>
      <c r="AQ184" s="437"/>
      <c r="AR184" s="437"/>
      <c r="AS184" s="437"/>
      <c r="AT184" s="437"/>
      <c r="AU184" s="437"/>
      <c r="AV184" s="437"/>
      <c r="AW184" s="437"/>
      <c r="AX184" s="437"/>
      <c r="AY184" s="437"/>
      <c r="AZ184" s="437"/>
      <c r="BA184" s="437"/>
      <c r="BB184" s="437"/>
      <c r="BC184" s="437"/>
      <c r="BD184" s="437"/>
      <c r="BE184" s="437"/>
      <c r="BF184" s="437"/>
      <c r="BG184" s="437"/>
      <c r="BH184" s="437"/>
      <c r="BI184" s="437"/>
      <c r="BJ184" s="437"/>
      <c r="BK184" s="437"/>
      <c r="BL184" s="437"/>
      <c r="BM184" s="393"/>
      <c r="BO184" s="399">
        <f t="shared" si="63"/>
        <v>0</v>
      </c>
      <c r="BP184" s="399">
        <f t="shared" si="64"/>
        <v>0</v>
      </c>
      <c r="BQ184" s="399">
        <f t="shared" si="65"/>
        <v>0</v>
      </c>
      <c r="BR184" s="399">
        <f t="shared" si="66"/>
        <v>0</v>
      </c>
      <c r="BS184" s="399">
        <f t="shared" si="67"/>
        <v>0</v>
      </c>
      <c r="BT184" s="399">
        <f t="shared" si="68"/>
        <v>0</v>
      </c>
      <c r="BU184" s="399">
        <f t="shared" si="69"/>
        <v>0</v>
      </c>
      <c r="BV184" s="399">
        <f t="shared" si="70"/>
        <v>0</v>
      </c>
      <c r="BW184" s="399">
        <f t="shared" si="71"/>
        <v>0</v>
      </c>
      <c r="BX184" s="399">
        <f t="shared" si="72"/>
        <v>0</v>
      </c>
      <c r="BY184" s="399">
        <f t="shared" si="73"/>
        <v>0</v>
      </c>
      <c r="BZ184" s="399">
        <f t="shared" si="74"/>
        <v>0</v>
      </c>
      <c r="CA184" s="399">
        <f t="shared" si="75"/>
        <v>0</v>
      </c>
      <c r="CB184" s="399">
        <f t="shared" si="76"/>
        <v>0</v>
      </c>
      <c r="CC184" s="399">
        <f t="shared" si="77"/>
        <v>0</v>
      </c>
      <c r="CD184" s="399">
        <f t="shared" si="78"/>
        <v>0</v>
      </c>
      <c r="CE184" s="399">
        <f t="shared" si="79"/>
        <v>0</v>
      </c>
      <c r="CF184" s="399">
        <f t="shared" si="80"/>
        <v>0</v>
      </c>
      <c r="CG184" s="399">
        <f t="shared" si="81"/>
        <v>0</v>
      </c>
      <c r="CH184" s="399">
        <f t="shared" si="82"/>
        <v>0</v>
      </c>
      <c r="CI184" s="399">
        <f t="shared" si="83"/>
        <v>0</v>
      </c>
      <c r="CJ184" s="399">
        <f t="shared" si="84"/>
        <v>0</v>
      </c>
      <c r="CK184" s="399">
        <f t="shared" si="85"/>
        <v>0</v>
      </c>
      <c r="CL184" s="399">
        <f t="shared" si="86"/>
        <v>0</v>
      </c>
      <c r="CM184" s="399">
        <f t="shared" si="87"/>
        <v>0</v>
      </c>
      <c r="CN184" s="399">
        <f t="shared" si="88"/>
        <v>0</v>
      </c>
      <c r="CO184" s="399">
        <f t="shared" si="89"/>
        <v>0</v>
      </c>
      <c r="CP184" s="399">
        <f t="shared" si="90"/>
        <v>0</v>
      </c>
      <c r="CQ184" s="423">
        <f t="shared" si="91"/>
        <v>0</v>
      </c>
      <c r="CS184" s="394" t="e">
        <f t="shared" si="92"/>
        <v>#DIV/0!</v>
      </c>
    </row>
    <row r="185" spans="3:97">
      <c r="C185" s="107"/>
      <c r="D185" s="395"/>
      <c r="E185" s="84"/>
      <c r="F185" s="84"/>
      <c r="G185" s="389"/>
      <c r="H185" s="390"/>
      <c r="I185" s="390"/>
      <c r="J185" s="390"/>
      <c r="K185" s="390"/>
      <c r="L185" s="390"/>
      <c r="M185" s="390"/>
      <c r="N185" s="390"/>
      <c r="O185" s="390"/>
      <c r="P185" s="390"/>
      <c r="Q185" s="390"/>
      <c r="R185" s="390"/>
      <c r="S185" s="390"/>
      <c r="T185" s="390"/>
      <c r="U185" s="390"/>
      <c r="V185" s="390"/>
      <c r="W185" s="390"/>
      <c r="X185" s="390"/>
      <c r="Y185" s="390"/>
      <c r="Z185" s="390"/>
      <c r="AA185" s="390"/>
      <c r="AB185" s="390"/>
      <c r="AC185" s="390"/>
      <c r="AD185" s="390"/>
      <c r="AE185" s="390"/>
      <c r="AF185" s="390"/>
      <c r="AG185" s="390"/>
      <c r="AH185" s="390"/>
      <c r="AI185" s="391"/>
      <c r="AK185" s="437"/>
      <c r="AL185" s="437"/>
      <c r="AM185" s="437"/>
      <c r="AN185" s="437"/>
      <c r="AO185" s="437"/>
      <c r="AP185" s="437"/>
      <c r="AQ185" s="437"/>
      <c r="AR185" s="437"/>
      <c r="AS185" s="437"/>
      <c r="AT185" s="437"/>
      <c r="AU185" s="437"/>
      <c r="AV185" s="437"/>
      <c r="AW185" s="437"/>
      <c r="AX185" s="437"/>
      <c r="AY185" s="437"/>
      <c r="AZ185" s="437"/>
      <c r="BA185" s="437"/>
      <c r="BB185" s="437"/>
      <c r="BC185" s="437"/>
      <c r="BD185" s="437"/>
      <c r="BE185" s="437"/>
      <c r="BF185" s="437"/>
      <c r="BG185" s="437"/>
      <c r="BH185" s="437"/>
      <c r="BI185" s="437"/>
      <c r="BJ185" s="437"/>
      <c r="BK185" s="437"/>
      <c r="BL185" s="437"/>
      <c r="BM185" s="393"/>
      <c r="BO185" s="399">
        <f t="shared" si="63"/>
        <v>0</v>
      </c>
      <c r="BP185" s="399">
        <f t="shared" si="64"/>
        <v>0</v>
      </c>
      <c r="BQ185" s="399">
        <f t="shared" si="65"/>
        <v>0</v>
      </c>
      <c r="BR185" s="399">
        <f t="shared" si="66"/>
        <v>0</v>
      </c>
      <c r="BS185" s="399">
        <f t="shared" si="67"/>
        <v>0</v>
      </c>
      <c r="BT185" s="399">
        <f t="shared" si="68"/>
        <v>0</v>
      </c>
      <c r="BU185" s="399">
        <f t="shared" si="69"/>
        <v>0</v>
      </c>
      <c r="BV185" s="399">
        <f t="shared" si="70"/>
        <v>0</v>
      </c>
      <c r="BW185" s="399">
        <f t="shared" si="71"/>
        <v>0</v>
      </c>
      <c r="BX185" s="399">
        <f t="shared" si="72"/>
        <v>0</v>
      </c>
      <c r="BY185" s="399">
        <f t="shared" si="73"/>
        <v>0</v>
      </c>
      <c r="BZ185" s="399">
        <f t="shared" si="74"/>
        <v>0</v>
      </c>
      <c r="CA185" s="399">
        <f t="shared" si="75"/>
        <v>0</v>
      </c>
      <c r="CB185" s="399">
        <f t="shared" si="76"/>
        <v>0</v>
      </c>
      <c r="CC185" s="399">
        <f t="shared" si="77"/>
        <v>0</v>
      </c>
      <c r="CD185" s="399">
        <f t="shared" si="78"/>
        <v>0</v>
      </c>
      <c r="CE185" s="399">
        <f t="shared" si="79"/>
        <v>0</v>
      </c>
      <c r="CF185" s="399">
        <f t="shared" si="80"/>
        <v>0</v>
      </c>
      <c r="CG185" s="399">
        <f t="shared" si="81"/>
        <v>0</v>
      </c>
      <c r="CH185" s="399">
        <f t="shared" si="82"/>
        <v>0</v>
      </c>
      <c r="CI185" s="399">
        <f t="shared" si="83"/>
        <v>0</v>
      </c>
      <c r="CJ185" s="399">
        <f t="shared" si="84"/>
        <v>0</v>
      </c>
      <c r="CK185" s="399">
        <f t="shared" si="85"/>
        <v>0</v>
      </c>
      <c r="CL185" s="399">
        <f t="shared" si="86"/>
        <v>0</v>
      </c>
      <c r="CM185" s="399">
        <f t="shared" si="87"/>
        <v>0</v>
      </c>
      <c r="CN185" s="399">
        <f t="shared" si="88"/>
        <v>0</v>
      </c>
      <c r="CO185" s="399">
        <f t="shared" si="89"/>
        <v>0</v>
      </c>
      <c r="CP185" s="399">
        <f t="shared" si="90"/>
        <v>0</v>
      </c>
      <c r="CQ185" s="423">
        <f t="shared" si="91"/>
        <v>0</v>
      </c>
      <c r="CS185" s="394" t="e">
        <f t="shared" si="92"/>
        <v>#DIV/0!</v>
      </c>
    </row>
    <row r="186" spans="3:97">
      <c r="C186" s="107"/>
      <c r="D186" s="395"/>
      <c r="E186" s="84"/>
      <c r="F186" s="84"/>
      <c r="G186" s="389"/>
      <c r="H186" s="390"/>
      <c r="I186" s="390"/>
      <c r="J186" s="390"/>
      <c r="K186" s="390"/>
      <c r="L186" s="390"/>
      <c r="M186" s="390"/>
      <c r="N186" s="390"/>
      <c r="O186" s="390"/>
      <c r="P186" s="390"/>
      <c r="Q186" s="390"/>
      <c r="R186" s="390"/>
      <c r="S186" s="390"/>
      <c r="T186" s="390"/>
      <c r="U186" s="390"/>
      <c r="V186" s="390"/>
      <c r="W186" s="390"/>
      <c r="X186" s="390"/>
      <c r="Y186" s="390"/>
      <c r="Z186" s="390"/>
      <c r="AA186" s="390"/>
      <c r="AB186" s="390"/>
      <c r="AC186" s="390"/>
      <c r="AD186" s="390"/>
      <c r="AE186" s="390"/>
      <c r="AF186" s="390"/>
      <c r="AG186" s="390"/>
      <c r="AH186" s="390"/>
      <c r="AI186" s="391"/>
      <c r="AK186" s="437"/>
      <c r="AL186" s="437"/>
      <c r="AM186" s="437"/>
      <c r="AN186" s="437"/>
      <c r="AO186" s="437"/>
      <c r="AP186" s="437"/>
      <c r="AQ186" s="437"/>
      <c r="AR186" s="437"/>
      <c r="AS186" s="437"/>
      <c r="AT186" s="437"/>
      <c r="AU186" s="437"/>
      <c r="AV186" s="437"/>
      <c r="AW186" s="437"/>
      <c r="AX186" s="437"/>
      <c r="AY186" s="437"/>
      <c r="AZ186" s="437"/>
      <c r="BA186" s="437"/>
      <c r="BB186" s="437"/>
      <c r="BC186" s="437"/>
      <c r="BD186" s="437"/>
      <c r="BE186" s="437"/>
      <c r="BF186" s="437"/>
      <c r="BG186" s="437"/>
      <c r="BH186" s="437"/>
      <c r="BI186" s="437"/>
      <c r="BJ186" s="437"/>
      <c r="BK186" s="437"/>
      <c r="BL186" s="437"/>
      <c r="BM186" s="393"/>
      <c r="BO186" s="399">
        <f t="shared" si="63"/>
        <v>0</v>
      </c>
      <c r="BP186" s="399">
        <f t="shared" si="64"/>
        <v>0</v>
      </c>
      <c r="BQ186" s="399">
        <f t="shared" si="65"/>
        <v>0</v>
      </c>
      <c r="BR186" s="399">
        <f t="shared" si="66"/>
        <v>0</v>
      </c>
      <c r="BS186" s="399">
        <f t="shared" si="67"/>
        <v>0</v>
      </c>
      <c r="BT186" s="399">
        <f t="shared" si="68"/>
        <v>0</v>
      </c>
      <c r="BU186" s="399">
        <f t="shared" si="69"/>
        <v>0</v>
      </c>
      <c r="BV186" s="399">
        <f t="shared" si="70"/>
        <v>0</v>
      </c>
      <c r="BW186" s="399">
        <f t="shared" si="71"/>
        <v>0</v>
      </c>
      <c r="BX186" s="399">
        <f t="shared" si="72"/>
        <v>0</v>
      </c>
      <c r="BY186" s="399">
        <f t="shared" si="73"/>
        <v>0</v>
      </c>
      <c r="BZ186" s="399">
        <f t="shared" si="74"/>
        <v>0</v>
      </c>
      <c r="CA186" s="399">
        <f t="shared" si="75"/>
        <v>0</v>
      </c>
      <c r="CB186" s="399">
        <f t="shared" si="76"/>
        <v>0</v>
      </c>
      <c r="CC186" s="399">
        <f t="shared" si="77"/>
        <v>0</v>
      </c>
      <c r="CD186" s="399">
        <f t="shared" si="78"/>
        <v>0</v>
      </c>
      <c r="CE186" s="399">
        <f t="shared" si="79"/>
        <v>0</v>
      </c>
      <c r="CF186" s="399">
        <f t="shared" si="80"/>
        <v>0</v>
      </c>
      <c r="CG186" s="399">
        <f t="shared" si="81"/>
        <v>0</v>
      </c>
      <c r="CH186" s="399">
        <f t="shared" si="82"/>
        <v>0</v>
      </c>
      <c r="CI186" s="399">
        <f t="shared" si="83"/>
        <v>0</v>
      </c>
      <c r="CJ186" s="399">
        <f t="shared" si="84"/>
        <v>0</v>
      </c>
      <c r="CK186" s="399">
        <f t="shared" si="85"/>
        <v>0</v>
      </c>
      <c r="CL186" s="399">
        <f t="shared" si="86"/>
        <v>0</v>
      </c>
      <c r="CM186" s="399">
        <f t="shared" si="87"/>
        <v>0</v>
      </c>
      <c r="CN186" s="399">
        <f t="shared" si="88"/>
        <v>0</v>
      </c>
      <c r="CO186" s="399">
        <f t="shared" si="89"/>
        <v>0</v>
      </c>
      <c r="CP186" s="399">
        <f t="shared" si="90"/>
        <v>0</v>
      </c>
      <c r="CQ186" s="423">
        <f t="shared" si="91"/>
        <v>0</v>
      </c>
      <c r="CS186" s="394" t="e">
        <f t="shared" si="92"/>
        <v>#DIV/0!</v>
      </c>
    </row>
    <row r="187" spans="3:97">
      <c r="C187" s="107"/>
      <c r="D187" s="395"/>
      <c r="E187" s="84"/>
      <c r="F187" s="84"/>
      <c r="G187" s="389"/>
      <c r="H187" s="390"/>
      <c r="I187" s="390"/>
      <c r="J187" s="390"/>
      <c r="K187" s="390"/>
      <c r="L187" s="390"/>
      <c r="M187" s="390"/>
      <c r="N187" s="390"/>
      <c r="O187" s="390"/>
      <c r="P187" s="390"/>
      <c r="Q187" s="390"/>
      <c r="R187" s="390"/>
      <c r="S187" s="390"/>
      <c r="T187" s="390"/>
      <c r="U187" s="390"/>
      <c r="V187" s="390"/>
      <c r="W187" s="390"/>
      <c r="X187" s="390"/>
      <c r="Y187" s="390"/>
      <c r="Z187" s="390"/>
      <c r="AA187" s="390"/>
      <c r="AB187" s="390"/>
      <c r="AC187" s="390"/>
      <c r="AD187" s="390"/>
      <c r="AE187" s="390"/>
      <c r="AF187" s="390"/>
      <c r="AG187" s="390"/>
      <c r="AH187" s="390"/>
      <c r="AI187" s="391"/>
      <c r="AK187" s="437"/>
      <c r="AL187" s="437"/>
      <c r="AM187" s="437"/>
      <c r="AN187" s="437"/>
      <c r="AO187" s="437"/>
      <c r="AP187" s="437"/>
      <c r="AQ187" s="437"/>
      <c r="AR187" s="437"/>
      <c r="AS187" s="437"/>
      <c r="AT187" s="437"/>
      <c r="AU187" s="437"/>
      <c r="AV187" s="437"/>
      <c r="AW187" s="437"/>
      <c r="AX187" s="437"/>
      <c r="AY187" s="437"/>
      <c r="AZ187" s="437"/>
      <c r="BA187" s="437"/>
      <c r="BB187" s="437"/>
      <c r="BC187" s="437"/>
      <c r="BD187" s="437"/>
      <c r="BE187" s="437"/>
      <c r="BF187" s="437"/>
      <c r="BG187" s="437"/>
      <c r="BH187" s="437"/>
      <c r="BI187" s="437"/>
      <c r="BJ187" s="437"/>
      <c r="BK187" s="437"/>
      <c r="BL187" s="437"/>
      <c r="BM187" s="393"/>
      <c r="BO187" s="399">
        <f t="shared" si="63"/>
        <v>0</v>
      </c>
      <c r="BP187" s="399">
        <f t="shared" si="64"/>
        <v>0</v>
      </c>
      <c r="BQ187" s="399">
        <f t="shared" si="65"/>
        <v>0</v>
      </c>
      <c r="BR187" s="399">
        <f t="shared" si="66"/>
        <v>0</v>
      </c>
      <c r="BS187" s="399">
        <f t="shared" si="67"/>
        <v>0</v>
      </c>
      <c r="BT187" s="399">
        <f t="shared" si="68"/>
        <v>0</v>
      </c>
      <c r="BU187" s="399">
        <f t="shared" si="69"/>
        <v>0</v>
      </c>
      <c r="BV187" s="399">
        <f t="shared" si="70"/>
        <v>0</v>
      </c>
      <c r="BW187" s="399">
        <f t="shared" si="71"/>
        <v>0</v>
      </c>
      <c r="BX187" s="399">
        <f t="shared" si="72"/>
        <v>0</v>
      </c>
      <c r="BY187" s="399">
        <f t="shared" si="73"/>
        <v>0</v>
      </c>
      <c r="BZ187" s="399">
        <f t="shared" si="74"/>
        <v>0</v>
      </c>
      <c r="CA187" s="399">
        <f t="shared" si="75"/>
        <v>0</v>
      </c>
      <c r="CB187" s="399">
        <f t="shared" si="76"/>
        <v>0</v>
      </c>
      <c r="CC187" s="399">
        <f t="shared" si="77"/>
        <v>0</v>
      </c>
      <c r="CD187" s="399">
        <f t="shared" si="78"/>
        <v>0</v>
      </c>
      <c r="CE187" s="399">
        <f t="shared" si="79"/>
        <v>0</v>
      </c>
      <c r="CF187" s="399">
        <f t="shared" si="80"/>
        <v>0</v>
      </c>
      <c r="CG187" s="399">
        <f t="shared" si="81"/>
        <v>0</v>
      </c>
      <c r="CH187" s="399">
        <f t="shared" si="82"/>
        <v>0</v>
      </c>
      <c r="CI187" s="399">
        <f t="shared" si="83"/>
        <v>0</v>
      </c>
      <c r="CJ187" s="399">
        <f t="shared" si="84"/>
        <v>0</v>
      </c>
      <c r="CK187" s="399">
        <f t="shared" si="85"/>
        <v>0</v>
      </c>
      <c r="CL187" s="399">
        <f t="shared" si="86"/>
        <v>0</v>
      </c>
      <c r="CM187" s="399">
        <f t="shared" si="87"/>
        <v>0</v>
      </c>
      <c r="CN187" s="399">
        <f t="shared" si="88"/>
        <v>0</v>
      </c>
      <c r="CO187" s="399">
        <f t="shared" si="89"/>
        <v>0</v>
      </c>
      <c r="CP187" s="399">
        <f t="shared" si="90"/>
        <v>0</v>
      </c>
      <c r="CQ187" s="423">
        <f t="shared" si="91"/>
        <v>0</v>
      </c>
      <c r="CS187" s="394" t="e">
        <f t="shared" si="92"/>
        <v>#DIV/0!</v>
      </c>
    </row>
    <row r="188" spans="3:97">
      <c r="C188" s="107"/>
      <c r="D188" s="395"/>
      <c r="E188" s="84"/>
      <c r="F188" s="84"/>
      <c r="G188" s="389"/>
      <c r="H188" s="390"/>
      <c r="I188" s="390"/>
      <c r="J188" s="390"/>
      <c r="K188" s="390"/>
      <c r="L188" s="390"/>
      <c r="M188" s="390"/>
      <c r="N188" s="390"/>
      <c r="O188" s="390"/>
      <c r="P188" s="390"/>
      <c r="Q188" s="390"/>
      <c r="R188" s="390"/>
      <c r="S188" s="390"/>
      <c r="T188" s="390"/>
      <c r="U188" s="390"/>
      <c r="V188" s="390"/>
      <c r="W188" s="390"/>
      <c r="X188" s="390"/>
      <c r="Y188" s="390"/>
      <c r="Z188" s="390"/>
      <c r="AA188" s="390"/>
      <c r="AB188" s="390"/>
      <c r="AC188" s="390"/>
      <c r="AD188" s="390"/>
      <c r="AE188" s="390"/>
      <c r="AF188" s="390"/>
      <c r="AG188" s="390"/>
      <c r="AH188" s="390"/>
      <c r="AI188" s="391"/>
      <c r="AK188" s="437"/>
      <c r="AL188" s="437"/>
      <c r="AM188" s="437"/>
      <c r="AN188" s="437"/>
      <c r="AO188" s="437"/>
      <c r="AP188" s="437"/>
      <c r="AQ188" s="437"/>
      <c r="AR188" s="437"/>
      <c r="AS188" s="437"/>
      <c r="AT188" s="437"/>
      <c r="AU188" s="437"/>
      <c r="AV188" s="437"/>
      <c r="AW188" s="437"/>
      <c r="AX188" s="437"/>
      <c r="AY188" s="437"/>
      <c r="AZ188" s="437"/>
      <c r="BA188" s="437"/>
      <c r="BB188" s="437"/>
      <c r="BC188" s="437"/>
      <c r="BD188" s="437"/>
      <c r="BE188" s="437"/>
      <c r="BF188" s="437"/>
      <c r="BG188" s="437"/>
      <c r="BH188" s="437"/>
      <c r="BI188" s="437"/>
      <c r="BJ188" s="437"/>
      <c r="BK188" s="437"/>
      <c r="BL188" s="437"/>
      <c r="BM188" s="393"/>
      <c r="BO188" s="399">
        <f t="shared" si="63"/>
        <v>0</v>
      </c>
      <c r="BP188" s="399">
        <f t="shared" si="64"/>
        <v>0</v>
      </c>
      <c r="BQ188" s="399">
        <f t="shared" si="65"/>
        <v>0</v>
      </c>
      <c r="BR188" s="399">
        <f t="shared" si="66"/>
        <v>0</v>
      </c>
      <c r="BS188" s="399">
        <f t="shared" si="67"/>
        <v>0</v>
      </c>
      <c r="BT188" s="399">
        <f t="shared" si="68"/>
        <v>0</v>
      </c>
      <c r="BU188" s="399">
        <f t="shared" si="69"/>
        <v>0</v>
      </c>
      <c r="BV188" s="399">
        <f t="shared" si="70"/>
        <v>0</v>
      </c>
      <c r="BW188" s="399">
        <f t="shared" si="71"/>
        <v>0</v>
      </c>
      <c r="BX188" s="399">
        <f t="shared" si="72"/>
        <v>0</v>
      </c>
      <c r="BY188" s="399">
        <f t="shared" si="73"/>
        <v>0</v>
      </c>
      <c r="BZ188" s="399">
        <f t="shared" si="74"/>
        <v>0</v>
      </c>
      <c r="CA188" s="399">
        <f t="shared" si="75"/>
        <v>0</v>
      </c>
      <c r="CB188" s="399">
        <f t="shared" si="76"/>
        <v>0</v>
      </c>
      <c r="CC188" s="399">
        <f t="shared" si="77"/>
        <v>0</v>
      </c>
      <c r="CD188" s="399">
        <f t="shared" si="78"/>
        <v>0</v>
      </c>
      <c r="CE188" s="399">
        <f t="shared" si="79"/>
        <v>0</v>
      </c>
      <c r="CF188" s="399">
        <f t="shared" si="80"/>
        <v>0</v>
      </c>
      <c r="CG188" s="399">
        <f t="shared" si="81"/>
        <v>0</v>
      </c>
      <c r="CH188" s="399">
        <f t="shared" si="82"/>
        <v>0</v>
      </c>
      <c r="CI188" s="399">
        <f t="shared" si="83"/>
        <v>0</v>
      </c>
      <c r="CJ188" s="399">
        <f t="shared" si="84"/>
        <v>0</v>
      </c>
      <c r="CK188" s="399">
        <f t="shared" si="85"/>
        <v>0</v>
      </c>
      <c r="CL188" s="399">
        <f t="shared" si="86"/>
        <v>0</v>
      </c>
      <c r="CM188" s="399">
        <f t="shared" si="87"/>
        <v>0</v>
      </c>
      <c r="CN188" s="399">
        <f t="shared" si="88"/>
        <v>0</v>
      </c>
      <c r="CO188" s="399">
        <f t="shared" si="89"/>
        <v>0</v>
      </c>
      <c r="CP188" s="399">
        <f t="shared" si="90"/>
        <v>0</v>
      </c>
      <c r="CQ188" s="423">
        <f t="shared" si="91"/>
        <v>0</v>
      </c>
      <c r="CS188" s="394" t="e">
        <f t="shared" si="92"/>
        <v>#DIV/0!</v>
      </c>
    </row>
    <row r="189" spans="3:97">
      <c r="C189" s="107"/>
      <c r="D189" s="395"/>
      <c r="E189" s="84"/>
      <c r="F189" s="84"/>
      <c r="G189" s="389"/>
      <c r="H189" s="390"/>
      <c r="I189" s="390"/>
      <c r="J189" s="390"/>
      <c r="K189" s="390"/>
      <c r="L189" s="390"/>
      <c r="M189" s="390"/>
      <c r="N189" s="390"/>
      <c r="O189" s="390"/>
      <c r="P189" s="390"/>
      <c r="Q189" s="390"/>
      <c r="R189" s="390"/>
      <c r="S189" s="390"/>
      <c r="T189" s="390"/>
      <c r="U189" s="390"/>
      <c r="V189" s="390"/>
      <c r="W189" s="390"/>
      <c r="X189" s="390"/>
      <c r="Y189" s="390"/>
      <c r="Z189" s="390"/>
      <c r="AA189" s="390"/>
      <c r="AB189" s="390"/>
      <c r="AC189" s="390"/>
      <c r="AD189" s="390"/>
      <c r="AE189" s="390"/>
      <c r="AF189" s="390"/>
      <c r="AG189" s="390"/>
      <c r="AH189" s="390"/>
      <c r="AI189" s="391"/>
      <c r="AK189" s="437"/>
      <c r="AL189" s="437"/>
      <c r="AM189" s="437"/>
      <c r="AN189" s="437"/>
      <c r="AO189" s="437"/>
      <c r="AP189" s="437"/>
      <c r="AQ189" s="437"/>
      <c r="AR189" s="437"/>
      <c r="AS189" s="437"/>
      <c r="AT189" s="437"/>
      <c r="AU189" s="437"/>
      <c r="AV189" s="437"/>
      <c r="AW189" s="437"/>
      <c r="AX189" s="437"/>
      <c r="AY189" s="437"/>
      <c r="AZ189" s="437"/>
      <c r="BA189" s="437"/>
      <c r="BB189" s="437"/>
      <c r="BC189" s="437"/>
      <c r="BD189" s="437"/>
      <c r="BE189" s="437"/>
      <c r="BF189" s="437"/>
      <c r="BG189" s="437"/>
      <c r="BH189" s="437"/>
      <c r="BI189" s="437"/>
      <c r="BJ189" s="437"/>
      <c r="BK189" s="437"/>
      <c r="BL189" s="437"/>
      <c r="BM189" s="393"/>
      <c r="BO189" s="399">
        <f t="shared" si="63"/>
        <v>0</v>
      </c>
      <c r="BP189" s="399">
        <f t="shared" si="64"/>
        <v>0</v>
      </c>
      <c r="BQ189" s="399">
        <f t="shared" si="65"/>
        <v>0</v>
      </c>
      <c r="BR189" s="399">
        <f t="shared" si="66"/>
        <v>0</v>
      </c>
      <c r="BS189" s="399">
        <f t="shared" si="67"/>
        <v>0</v>
      </c>
      <c r="BT189" s="399">
        <f t="shared" si="68"/>
        <v>0</v>
      </c>
      <c r="BU189" s="399">
        <f t="shared" si="69"/>
        <v>0</v>
      </c>
      <c r="BV189" s="399">
        <f t="shared" si="70"/>
        <v>0</v>
      </c>
      <c r="BW189" s="399">
        <f t="shared" si="71"/>
        <v>0</v>
      </c>
      <c r="BX189" s="399">
        <f t="shared" si="72"/>
        <v>0</v>
      </c>
      <c r="BY189" s="399">
        <f t="shared" si="73"/>
        <v>0</v>
      </c>
      <c r="BZ189" s="399">
        <f t="shared" si="74"/>
        <v>0</v>
      </c>
      <c r="CA189" s="399">
        <f t="shared" si="75"/>
        <v>0</v>
      </c>
      <c r="CB189" s="399">
        <f t="shared" si="76"/>
        <v>0</v>
      </c>
      <c r="CC189" s="399">
        <f t="shared" si="77"/>
        <v>0</v>
      </c>
      <c r="CD189" s="399">
        <f t="shared" si="78"/>
        <v>0</v>
      </c>
      <c r="CE189" s="399">
        <f t="shared" si="79"/>
        <v>0</v>
      </c>
      <c r="CF189" s="399">
        <f t="shared" si="80"/>
        <v>0</v>
      </c>
      <c r="CG189" s="399">
        <f t="shared" si="81"/>
        <v>0</v>
      </c>
      <c r="CH189" s="399">
        <f t="shared" si="82"/>
        <v>0</v>
      </c>
      <c r="CI189" s="399">
        <f t="shared" si="83"/>
        <v>0</v>
      </c>
      <c r="CJ189" s="399">
        <f t="shared" si="84"/>
        <v>0</v>
      </c>
      <c r="CK189" s="399">
        <f t="shared" si="85"/>
        <v>0</v>
      </c>
      <c r="CL189" s="399">
        <f t="shared" si="86"/>
        <v>0</v>
      </c>
      <c r="CM189" s="399">
        <f t="shared" si="87"/>
        <v>0</v>
      </c>
      <c r="CN189" s="399">
        <f t="shared" si="88"/>
        <v>0</v>
      </c>
      <c r="CO189" s="399">
        <f t="shared" si="89"/>
        <v>0</v>
      </c>
      <c r="CP189" s="399">
        <f t="shared" si="90"/>
        <v>0</v>
      </c>
      <c r="CQ189" s="423">
        <f t="shared" si="91"/>
        <v>0</v>
      </c>
      <c r="CS189" s="394" t="e">
        <f t="shared" si="92"/>
        <v>#DIV/0!</v>
      </c>
    </row>
    <row r="190" spans="3:97">
      <c r="C190" s="107"/>
      <c r="D190" s="395"/>
      <c r="E190" s="84"/>
      <c r="F190" s="84"/>
      <c r="G190" s="389"/>
      <c r="H190" s="390"/>
      <c r="I190" s="390"/>
      <c r="J190" s="390"/>
      <c r="K190" s="390"/>
      <c r="L190" s="390"/>
      <c r="M190" s="390"/>
      <c r="N190" s="390"/>
      <c r="O190" s="390"/>
      <c r="P190" s="390"/>
      <c r="Q190" s="390"/>
      <c r="R190" s="390"/>
      <c r="S190" s="390"/>
      <c r="T190" s="390"/>
      <c r="U190" s="390"/>
      <c r="V190" s="390"/>
      <c r="W190" s="390"/>
      <c r="X190" s="390"/>
      <c r="Y190" s="390"/>
      <c r="Z190" s="390"/>
      <c r="AA190" s="390"/>
      <c r="AB190" s="390"/>
      <c r="AC190" s="390"/>
      <c r="AD190" s="390"/>
      <c r="AE190" s="390"/>
      <c r="AF190" s="390"/>
      <c r="AG190" s="390"/>
      <c r="AH190" s="390"/>
      <c r="AI190" s="391"/>
      <c r="AK190" s="437"/>
      <c r="AL190" s="437"/>
      <c r="AM190" s="437"/>
      <c r="AN190" s="437"/>
      <c r="AO190" s="437"/>
      <c r="AP190" s="437"/>
      <c r="AQ190" s="437"/>
      <c r="AR190" s="437"/>
      <c r="AS190" s="437"/>
      <c r="AT190" s="437"/>
      <c r="AU190" s="437"/>
      <c r="AV190" s="437"/>
      <c r="AW190" s="437"/>
      <c r="AX190" s="437"/>
      <c r="AY190" s="437"/>
      <c r="AZ190" s="437"/>
      <c r="BA190" s="437"/>
      <c r="BB190" s="437"/>
      <c r="BC190" s="437"/>
      <c r="BD190" s="437"/>
      <c r="BE190" s="437"/>
      <c r="BF190" s="437"/>
      <c r="BG190" s="437"/>
      <c r="BH190" s="437"/>
      <c r="BI190" s="437"/>
      <c r="BJ190" s="437"/>
      <c r="BK190" s="437"/>
      <c r="BL190" s="437"/>
      <c r="BM190" s="393"/>
      <c r="BO190" s="399">
        <f t="shared" si="63"/>
        <v>0</v>
      </c>
      <c r="BP190" s="399">
        <f t="shared" si="64"/>
        <v>0</v>
      </c>
      <c r="BQ190" s="399">
        <f t="shared" si="65"/>
        <v>0</v>
      </c>
      <c r="BR190" s="399">
        <f t="shared" si="66"/>
        <v>0</v>
      </c>
      <c r="BS190" s="399">
        <f t="shared" si="67"/>
        <v>0</v>
      </c>
      <c r="BT190" s="399">
        <f t="shared" si="68"/>
        <v>0</v>
      </c>
      <c r="BU190" s="399">
        <f t="shared" si="69"/>
        <v>0</v>
      </c>
      <c r="BV190" s="399">
        <f t="shared" si="70"/>
        <v>0</v>
      </c>
      <c r="BW190" s="399">
        <f t="shared" si="71"/>
        <v>0</v>
      </c>
      <c r="BX190" s="399">
        <f t="shared" si="72"/>
        <v>0</v>
      </c>
      <c r="BY190" s="399">
        <f t="shared" si="73"/>
        <v>0</v>
      </c>
      <c r="BZ190" s="399">
        <f t="shared" si="74"/>
        <v>0</v>
      </c>
      <c r="CA190" s="399">
        <f t="shared" si="75"/>
        <v>0</v>
      </c>
      <c r="CB190" s="399">
        <f t="shared" si="76"/>
        <v>0</v>
      </c>
      <c r="CC190" s="399">
        <f t="shared" si="77"/>
        <v>0</v>
      </c>
      <c r="CD190" s="399">
        <f t="shared" si="78"/>
        <v>0</v>
      </c>
      <c r="CE190" s="399">
        <f t="shared" si="79"/>
        <v>0</v>
      </c>
      <c r="CF190" s="399">
        <f t="shared" si="80"/>
        <v>0</v>
      </c>
      <c r="CG190" s="399">
        <f t="shared" si="81"/>
        <v>0</v>
      </c>
      <c r="CH190" s="399">
        <f t="shared" si="82"/>
        <v>0</v>
      </c>
      <c r="CI190" s="399">
        <f t="shared" si="83"/>
        <v>0</v>
      </c>
      <c r="CJ190" s="399">
        <f t="shared" si="84"/>
        <v>0</v>
      </c>
      <c r="CK190" s="399">
        <f t="shared" si="85"/>
        <v>0</v>
      </c>
      <c r="CL190" s="399">
        <f t="shared" si="86"/>
        <v>0</v>
      </c>
      <c r="CM190" s="399">
        <f t="shared" si="87"/>
        <v>0</v>
      </c>
      <c r="CN190" s="399">
        <f t="shared" si="88"/>
        <v>0</v>
      </c>
      <c r="CO190" s="399">
        <f t="shared" si="89"/>
        <v>0</v>
      </c>
      <c r="CP190" s="399">
        <f t="shared" si="90"/>
        <v>0</v>
      </c>
      <c r="CQ190" s="423">
        <f t="shared" si="91"/>
        <v>0</v>
      </c>
      <c r="CS190" s="394" t="e">
        <f t="shared" si="92"/>
        <v>#DIV/0!</v>
      </c>
    </row>
    <row r="191" spans="3:97">
      <c r="C191" s="107"/>
      <c r="D191" s="395"/>
      <c r="E191" s="84"/>
      <c r="F191" s="84"/>
      <c r="G191" s="389"/>
      <c r="H191" s="390"/>
      <c r="I191" s="390"/>
      <c r="J191" s="390"/>
      <c r="K191" s="390"/>
      <c r="L191" s="390"/>
      <c r="M191" s="390"/>
      <c r="N191" s="390"/>
      <c r="O191" s="390"/>
      <c r="P191" s="390"/>
      <c r="Q191" s="390"/>
      <c r="R191" s="390"/>
      <c r="S191" s="390"/>
      <c r="T191" s="390"/>
      <c r="U191" s="390"/>
      <c r="V191" s="390"/>
      <c r="W191" s="390"/>
      <c r="X191" s="390"/>
      <c r="Y191" s="390"/>
      <c r="Z191" s="390"/>
      <c r="AA191" s="390"/>
      <c r="AB191" s="390"/>
      <c r="AC191" s="390"/>
      <c r="AD191" s="390"/>
      <c r="AE191" s="390"/>
      <c r="AF191" s="390"/>
      <c r="AG191" s="390"/>
      <c r="AH191" s="390"/>
      <c r="AI191" s="391"/>
      <c r="AK191" s="437"/>
      <c r="AL191" s="437"/>
      <c r="AM191" s="437"/>
      <c r="AN191" s="437"/>
      <c r="AO191" s="437"/>
      <c r="AP191" s="437"/>
      <c r="AQ191" s="437"/>
      <c r="AR191" s="437"/>
      <c r="AS191" s="437"/>
      <c r="AT191" s="437"/>
      <c r="AU191" s="437"/>
      <c r="AV191" s="437"/>
      <c r="AW191" s="437"/>
      <c r="AX191" s="437"/>
      <c r="AY191" s="437"/>
      <c r="AZ191" s="437"/>
      <c r="BA191" s="437"/>
      <c r="BB191" s="437"/>
      <c r="BC191" s="437"/>
      <c r="BD191" s="437"/>
      <c r="BE191" s="437"/>
      <c r="BF191" s="437"/>
      <c r="BG191" s="437"/>
      <c r="BH191" s="437"/>
      <c r="BI191" s="437"/>
      <c r="BJ191" s="437"/>
      <c r="BK191" s="437"/>
      <c r="BL191" s="437"/>
      <c r="BM191" s="393"/>
      <c r="BO191" s="399">
        <f t="shared" si="63"/>
        <v>0</v>
      </c>
      <c r="BP191" s="399">
        <f t="shared" si="64"/>
        <v>0</v>
      </c>
      <c r="BQ191" s="399">
        <f t="shared" si="65"/>
        <v>0</v>
      </c>
      <c r="BR191" s="399">
        <f t="shared" si="66"/>
        <v>0</v>
      </c>
      <c r="BS191" s="399">
        <f t="shared" si="67"/>
        <v>0</v>
      </c>
      <c r="BT191" s="399">
        <f t="shared" si="68"/>
        <v>0</v>
      </c>
      <c r="BU191" s="399">
        <f t="shared" si="69"/>
        <v>0</v>
      </c>
      <c r="BV191" s="399">
        <f t="shared" si="70"/>
        <v>0</v>
      </c>
      <c r="BW191" s="399">
        <f t="shared" si="71"/>
        <v>0</v>
      </c>
      <c r="BX191" s="399">
        <f t="shared" si="72"/>
        <v>0</v>
      </c>
      <c r="BY191" s="399">
        <f t="shared" si="73"/>
        <v>0</v>
      </c>
      <c r="BZ191" s="399">
        <f t="shared" si="74"/>
        <v>0</v>
      </c>
      <c r="CA191" s="399">
        <f t="shared" si="75"/>
        <v>0</v>
      </c>
      <c r="CB191" s="399">
        <f t="shared" si="76"/>
        <v>0</v>
      </c>
      <c r="CC191" s="399">
        <f t="shared" si="77"/>
        <v>0</v>
      </c>
      <c r="CD191" s="399">
        <f t="shared" si="78"/>
        <v>0</v>
      </c>
      <c r="CE191" s="399">
        <f t="shared" si="79"/>
        <v>0</v>
      </c>
      <c r="CF191" s="399">
        <f t="shared" si="80"/>
        <v>0</v>
      </c>
      <c r="CG191" s="399">
        <f t="shared" si="81"/>
        <v>0</v>
      </c>
      <c r="CH191" s="399">
        <f t="shared" si="82"/>
        <v>0</v>
      </c>
      <c r="CI191" s="399">
        <f t="shared" si="83"/>
        <v>0</v>
      </c>
      <c r="CJ191" s="399">
        <f t="shared" si="84"/>
        <v>0</v>
      </c>
      <c r="CK191" s="399">
        <f t="shared" si="85"/>
        <v>0</v>
      </c>
      <c r="CL191" s="399">
        <f t="shared" si="86"/>
        <v>0</v>
      </c>
      <c r="CM191" s="399">
        <f t="shared" si="87"/>
        <v>0</v>
      </c>
      <c r="CN191" s="399">
        <f t="shared" si="88"/>
        <v>0</v>
      </c>
      <c r="CO191" s="399">
        <f t="shared" si="89"/>
        <v>0</v>
      </c>
      <c r="CP191" s="399">
        <f t="shared" si="90"/>
        <v>0</v>
      </c>
      <c r="CQ191" s="423">
        <f t="shared" si="91"/>
        <v>0</v>
      </c>
      <c r="CS191" s="394" t="e">
        <f t="shared" si="92"/>
        <v>#DIV/0!</v>
      </c>
    </row>
    <row r="192" spans="3:97">
      <c r="C192" s="107"/>
      <c r="D192" s="395"/>
      <c r="E192" s="84"/>
      <c r="F192" s="84"/>
      <c r="G192" s="389"/>
      <c r="H192" s="390"/>
      <c r="I192" s="390"/>
      <c r="J192" s="390"/>
      <c r="K192" s="390"/>
      <c r="L192" s="390"/>
      <c r="M192" s="390"/>
      <c r="N192" s="390"/>
      <c r="O192" s="390"/>
      <c r="P192" s="390"/>
      <c r="Q192" s="390"/>
      <c r="R192" s="390"/>
      <c r="S192" s="390"/>
      <c r="T192" s="390"/>
      <c r="U192" s="390"/>
      <c r="V192" s="390"/>
      <c r="W192" s="390"/>
      <c r="X192" s="390"/>
      <c r="Y192" s="390"/>
      <c r="Z192" s="390"/>
      <c r="AA192" s="390"/>
      <c r="AB192" s="390"/>
      <c r="AC192" s="390"/>
      <c r="AD192" s="390"/>
      <c r="AE192" s="390"/>
      <c r="AF192" s="390"/>
      <c r="AG192" s="390"/>
      <c r="AH192" s="390"/>
      <c r="AI192" s="391"/>
      <c r="AK192" s="437"/>
      <c r="AL192" s="437"/>
      <c r="AM192" s="437"/>
      <c r="AN192" s="437"/>
      <c r="AO192" s="437"/>
      <c r="AP192" s="437"/>
      <c r="AQ192" s="437"/>
      <c r="AR192" s="437"/>
      <c r="AS192" s="437"/>
      <c r="AT192" s="437"/>
      <c r="AU192" s="437"/>
      <c r="AV192" s="437"/>
      <c r="AW192" s="437"/>
      <c r="AX192" s="437"/>
      <c r="AY192" s="437"/>
      <c r="AZ192" s="437"/>
      <c r="BA192" s="437"/>
      <c r="BB192" s="437"/>
      <c r="BC192" s="437"/>
      <c r="BD192" s="437"/>
      <c r="BE192" s="437"/>
      <c r="BF192" s="437"/>
      <c r="BG192" s="437"/>
      <c r="BH192" s="437"/>
      <c r="BI192" s="437"/>
      <c r="BJ192" s="437"/>
      <c r="BK192" s="437"/>
      <c r="BL192" s="437"/>
      <c r="BM192" s="393"/>
      <c r="BO192" s="399">
        <f t="shared" si="63"/>
        <v>0</v>
      </c>
      <c r="BP192" s="399">
        <f t="shared" si="64"/>
        <v>0</v>
      </c>
      <c r="BQ192" s="399">
        <f t="shared" si="65"/>
        <v>0</v>
      </c>
      <c r="BR192" s="399">
        <f t="shared" si="66"/>
        <v>0</v>
      </c>
      <c r="BS192" s="399">
        <f t="shared" si="67"/>
        <v>0</v>
      </c>
      <c r="BT192" s="399">
        <f t="shared" si="68"/>
        <v>0</v>
      </c>
      <c r="BU192" s="399">
        <f t="shared" si="69"/>
        <v>0</v>
      </c>
      <c r="BV192" s="399">
        <f t="shared" si="70"/>
        <v>0</v>
      </c>
      <c r="BW192" s="399">
        <f t="shared" si="71"/>
        <v>0</v>
      </c>
      <c r="BX192" s="399">
        <f t="shared" si="72"/>
        <v>0</v>
      </c>
      <c r="BY192" s="399">
        <f t="shared" si="73"/>
        <v>0</v>
      </c>
      <c r="BZ192" s="399">
        <f t="shared" si="74"/>
        <v>0</v>
      </c>
      <c r="CA192" s="399">
        <f t="shared" si="75"/>
        <v>0</v>
      </c>
      <c r="CB192" s="399">
        <f t="shared" si="76"/>
        <v>0</v>
      </c>
      <c r="CC192" s="399">
        <f t="shared" si="77"/>
        <v>0</v>
      </c>
      <c r="CD192" s="399">
        <f t="shared" si="78"/>
        <v>0</v>
      </c>
      <c r="CE192" s="399">
        <f t="shared" si="79"/>
        <v>0</v>
      </c>
      <c r="CF192" s="399">
        <f t="shared" si="80"/>
        <v>0</v>
      </c>
      <c r="CG192" s="399">
        <f t="shared" si="81"/>
        <v>0</v>
      </c>
      <c r="CH192" s="399">
        <f t="shared" si="82"/>
        <v>0</v>
      </c>
      <c r="CI192" s="399">
        <f t="shared" si="83"/>
        <v>0</v>
      </c>
      <c r="CJ192" s="399">
        <f t="shared" si="84"/>
        <v>0</v>
      </c>
      <c r="CK192" s="399">
        <f t="shared" si="85"/>
        <v>0</v>
      </c>
      <c r="CL192" s="399">
        <f t="shared" si="86"/>
        <v>0</v>
      </c>
      <c r="CM192" s="399">
        <f t="shared" si="87"/>
        <v>0</v>
      </c>
      <c r="CN192" s="399">
        <f t="shared" si="88"/>
        <v>0</v>
      </c>
      <c r="CO192" s="399">
        <f t="shared" si="89"/>
        <v>0</v>
      </c>
      <c r="CP192" s="399">
        <f t="shared" si="90"/>
        <v>0</v>
      </c>
      <c r="CQ192" s="423">
        <f t="shared" si="91"/>
        <v>0</v>
      </c>
      <c r="CS192" s="394" t="e">
        <f t="shared" si="92"/>
        <v>#DIV/0!</v>
      </c>
    </row>
    <row r="193" spans="3:97">
      <c r="C193" s="107"/>
      <c r="D193" s="395"/>
      <c r="E193" s="84"/>
      <c r="F193" s="84"/>
      <c r="G193" s="389"/>
      <c r="H193" s="390"/>
      <c r="I193" s="390"/>
      <c r="J193" s="390"/>
      <c r="K193" s="390"/>
      <c r="L193" s="390"/>
      <c r="M193" s="390"/>
      <c r="N193" s="390"/>
      <c r="O193" s="390"/>
      <c r="P193" s="390"/>
      <c r="Q193" s="390"/>
      <c r="R193" s="390"/>
      <c r="S193" s="390"/>
      <c r="T193" s="390"/>
      <c r="U193" s="390"/>
      <c r="V193" s="390"/>
      <c r="W193" s="390"/>
      <c r="X193" s="390"/>
      <c r="Y193" s="390"/>
      <c r="Z193" s="390"/>
      <c r="AA193" s="390"/>
      <c r="AB193" s="390"/>
      <c r="AC193" s="390"/>
      <c r="AD193" s="390"/>
      <c r="AE193" s="390"/>
      <c r="AF193" s="390"/>
      <c r="AG193" s="390"/>
      <c r="AH193" s="390"/>
      <c r="AI193" s="391"/>
      <c r="AK193" s="437"/>
      <c r="AL193" s="437"/>
      <c r="AM193" s="437"/>
      <c r="AN193" s="437"/>
      <c r="AO193" s="437"/>
      <c r="AP193" s="437"/>
      <c r="AQ193" s="437"/>
      <c r="AR193" s="437"/>
      <c r="AS193" s="437"/>
      <c r="AT193" s="437"/>
      <c r="AU193" s="437"/>
      <c r="AV193" s="437"/>
      <c r="AW193" s="437"/>
      <c r="AX193" s="437"/>
      <c r="AY193" s="437"/>
      <c r="AZ193" s="437"/>
      <c r="BA193" s="437"/>
      <c r="BB193" s="437"/>
      <c r="BC193" s="437"/>
      <c r="BD193" s="437"/>
      <c r="BE193" s="437"/>
      <c r="BF193" s="437"/>
      <c r="BG193" s="437"/>
      <c r="BH193" s="437"/>
      <c r="BI193" s="437"/>
      <c r="BJ193" s="437"/>
      <c r="BK193" s="437"/>
      <c r="BL193" s="437"/>
      <c r="BM193" s="393"/>
      <c r="BO193" s="399">
        <f t="shared" si="63"/>
        <v>0</v>
      </c>
      <c r="BP193" s="399">
        <f t="shared" si="64"/>
        <v>0</v>
      </c>
      <c r="BQ193" s="399">
        <f t="shared" si="65"/>
        <v>0</v>
      </c>
      <c r="BR193" s="399">
        <f t="shared" si="66"/>
        <v>0</v>
      </c>
      <c r="BS193" s="399">
        <f t="shared" si="67"/>
        <v>0</v>
      </c>
      <c r="BT193" s="399">
        <f t="shared" si="68"/>
        <v>0</v>
      </c>
      <c r="BU193" s="399">
        <f t="shared" si="69"/>
        <v>0</v>
      </c>
      <c r="BV193" s="399">
        <f t="shared" si="70"/>
        <v>0</v>
      </c>
      <c r="BW193" s="399">
        <f t="shared" si="71"/>
        <v>0</v>
      </c>
      <c r="BX193" s="399">
        <f t="shared" si="72"/>
        <v>0</v>
      </c>
      <c r="BY193" s="399">
        <f t="shared" si="73"/>
        <v>0</v>
      </c>
      <c r="BZ193" s="399">
        <f t="shared" si="74"/>
        <v>0</v>
      </c>
      <c r="CA193" s="399">
        <f t="shared" si="75"/>
        <v>0</v>
      </c>
      <c r="CB193" s="399">
        <f t="shared" si="76"/>
        <v>0</v>
      </c>
      <c r="CC193" s="399">
        <f t="shared" si="77"/>
        <v>0</v>
      </c>
      <c r="CD193" s="399">
        <f t="shared" si="78"/>
        <v>0</v>
      </c>
      <c r="CE193" s="399">
        <f t="shared" si="79"/>
        <v>0</v>
      </c>
      <c r="CF193" s="399">
        <f t="shared" si="80"/>
        <v>0</v>
      </c>
      <c r="CG193" s="399">
        <f t="shared" si="81"/>
        <v>0</v>
      </c>
      <c r="CH193" s="399">
        <f t="shared" si="82"/>
        <v>0</v>
      </c>
      <c r="CI193" s="399">
        <f t="shared" si="83"/>
        <v>0</v>
      </c>
      <c r="CJ193" s="399">
        <f t="shared" si="84"/>
        <v>0</v>
      </c>
      <c r="CK193" s="399">
        <f t="shared" si="85"/>
        <v>0</v>
      </c>
      <c r="CL193" s="399">
        <f t="shared" si="86"/>
        <v>0</v>
      </c>
      <c r="CM193" s="399">
        <f t="shared" si="87"/>
        <v>0</v>
      </c>
      <c r="CN193" s="399">
        <f t="shared" si="88"/>
        <v>0</v>
      </c>
      <c r="CO193" s="399">
        <f t="shared" si="89"/>
        <v>0</v>
      </c>
      <c r="CP193" s="399">
        <f t="shared" si="90"/>
        <v>0</v>
      </c>
      <c r="CQ193" s="423">
        <f t="shared" si="91"/>
        <v>0</v>
      </c>
      <c r="CS193" s="394" t="e">
        <f t="shared" si="92"/>
        <v>#DIV/0!</v>
      </c>
    </row>
    <row r="194" spans="3:97">
      <c r="C194" s="107"/>
      <c r="D194" s="395"/>
      <c r="E194" s="84"/>
      <c r="F194" s="84"/>
      <c r="G194" s="389"/>
      <c r="H194" s="390"/>
      <c r="I194" s="390"/>
      <c r="J194" s="390"/>
      <c r="K194" s="390"/>
      <c r="L194" s="390"/>
      <c r="M194" s="390"/>
      <c r="N194" s="390"/>
      <c r="O194" s="390"/>
      <c r="P194" s="390"/>
      <c r="Q194" s="390"/>
      <c r="R194" s="390"/>
      <c r="S194" s="390"/>
      <c r="T194" s="390"/>
      <c r="U194" s="390"/>
      <c r="V194" s="390"/>
      <c r="W194" s="390"/>
      <c r="X194" s="390"/>
      <c r="Y194" s="390"/>
      <c r="Z194" s="390"/>
      <c r="AA194" s="390"/>
      <c r="AB194" s="390"/>
      <c r="AC194" s="390"/>
      <c r="AD194" s="390"/>
      <c r="AE194" s="390"/>
      <c r="AF194" s="390"/>
      <c r="AG194" s="390"/>
      <c r="AH194" s="390"/>
      <c r="AI194" s="391"/>
      <c r="AK194" s="437"/>
      <c r="AL194" s="437"/>
      <c r="AM194" s="437"/>
      <c r="AN194" s="437"/>
      <c r="AO194" s="437"/>
      <c r="AP194" s="437"/>
      <c r="AQ194" s="437"/>
      <c r="AR194" s="437"/>
      <c r="AS194" s="437"/>
      <c r="AT194" s="437"/>
      <c r="AU194" s="437"/>
      <c r="AV194" s="437"/>
      <c r="AW194" s="437"/>
      <c r="AX194" s="437"/>
      <c r="AY194" s="437"/>
      <c r="AZ194" s="437"/>
      <c r="BA194" s="437"/>
      <c r="BB194" s="437"/>
      <c r="BC194" s="437"/>
      <c r="BD194" s="437"/>
      <c r="BE194" s="437"/>
      <c r="BF194" s="437"/>
      <c r="BG194" s="437"/>
      <c r="BH194" s="437"/>
      <c r="BI194" s="437"/>
      <c r="BJ194" s="437"/>
      <c r="BK194" s="437"/>
      <c r="BL194" s="437"/>
      <c r="BM194" s="393"/>
      <c r="BO194" s="399">
        <f t="shared" si="63"/>
        <v>0</v>
      </c>
      <c r="BP194" s="399">
        <f t="shared" si="64"/>
        <v>0</v>
      </c>
      <c r="BQ194" s="399">
        <f t="shared" si="65"/>
        <v>0</v>
      </c>
      <c r="BR194" s="399">
        <f t="shared" si="66"/>
        <v>0</v>
      </c>
      <c r="BS194" s="399">
        <f t="shared" si="67"/>
        <v>0</v>
      </c>
      <c r="BT194" s="399">
        <f t="shared" si="68"/>
        <v>0</v>
      </c>
      <c r="BU194" s="399">
        <f t="shared" si="69"/>
        <v>0</v>
      </c>
      <c r="BV194" s="399">
        <f t="shared" si="70"/>
        <v>0</v>
      </c>
      <c r="BW194" s="399">
        <f t="shared" si="71"/>
        <v>0</v>
      </c>
      <c r="BX194" s="399">
        <f t="shared" si="72"/>
        <v>0</v>
      </c>
      <c r="BY194" s="399">
        <f t="shared" si="73"/>
        <v>0</v>
      </c>
      <c r="BZ194" s="399">
        <f t="shared" si="74"/>
        <v>0</v>
      </c>
      <c r="CA194" s="399">
        <f t="shared" si="75"/>
        <v>0</v>
      </c>
      <c r="CB194" s="399">
        <f t="shared" si="76"/>
        <v>0</v>
      </c>
      <c r="CC194" s="399">
        <f t="shared" si="77"/>
        <v>0</v>
      </c>
      <c r="CD194" s="399">
        <f t="shared" si="78"/>
        <v>0</v>
      </c>
      <c r="CE194" s="399">
        <f t="shared" si="79"/>
        <v>0</v>
      </c>
      <c r="CF194" s="399">
        <f t="shared" si="80"/>
        <v>0</v>
      </c>
      <c r="CG194" s="399">
        <f t="shared" si="81"/>
        <v>0</v>
      </c>
      <c r="CH194" s="399">
        <f t="shared" si="82"/>
        <v>0</v>
      </c>
      <c r="CI194" s="399">
        <f t="shared" si="83"/>
        <v>0</v>
      </c>
      <c r="CJ194" s="399">
        <f t="shared" si="84"/>
        <v>0</v>
      </c>
      <c r="CK194" s="399">
        <f t="shared" si="85"/>
        <v>0</v>
      </c>
      <c r="CL194" s="399">
        <f t="shared" si="86"/>
        <v>0</v>
      </c>
      <c r="CM194" s="399">
        <f t="shared" si="87"/>
        <v>0</v>
      </c>
      <c r="CN194" s="399">
        <f t="shared" si="88"/>
        <v>0</v>
      </c>
      <c r="CO194" s="399">
        <f t="shared" si="89"/>
        <v>0</v>
      </c>
      <c r="CP194" s="399">
        <f t="shared" si="90"/>
        <v>0</v>
      </c>
      <c r="CQ194" s="423">
        <f t="shared" si="91"/>
        <v>0</v>
      </c>
      <c r="CS194" s="394" t="e">
        <f t="shared" si="92"/>
        <v>#DIV/0!</v>
      </c>
    </row>
    <row r="195" spans="3:97">
      <c r="C195" s="107"/>
      <c r="D195" s="395"/>
      <c r="E195" s="84"/>
      <c r="F195" s="84"/>
      <c r="G195" s="389"/>
      <c r="H195" s="390"/>
      <c r="I195" s="390"/>
      <c r="J195" s="390"/>
      <c r="K195" s="390"/>
      <c r="L195" s="390"/>
      <c r="M195" s="390"/>
      <c r="N195" s="390"/>
      <c r="O195" s="390"/>
      <c r="P195" s="390"/>
      <c r="Q195" s="390"/>
      <c r="R195" s="390"/>
      <c r="S195" s="390"/>
      <c r="T195" s="390"/>
      <c r="U195" s="390"/>
      <c r="V195" s="390"/>
      <c r="W195" s="390"/>
      <c r="X195" s="390"/>
      <c r="Y195" s="390"/>
      <c r="Z195" s="390"/>
      <c r="AA195" s="390"/>
      <c r="AB195" s="390"/>
      <c r="AC195" s="390"/>
      <c r="AD195" s="390"/>
      <c r="AE195" s="390"/>
      <c r="AF195" s="390"/>
      <c r="AG195" s="390"/>
      <c r="AH195" s="390"/>
      <c r="AI195" s="391"/>
      <c r="AK195" s="437"/>
      <c r="AL195" s="437"/>
      <c r="AM195" s="437"/>
      <c r="AN195" s="437"/>
      <c r="AO195" s="437"/>
      <c r="AP195" s="437"/>
      <c r="AQ195" s="437"/>
      <c r="AR195" s="437"/>
      <c r="AS195" s="437"/>
      <c r="AT195" s="437"/>
      <c r="AU195" s="437"/>
      <c r="AV195" s="437"/>
      <c r="AW195" s="437"/>
      <c r="AX195" s="437"/>
      <c r="AY195" s="437"/>
      <c r="AZ195" s="437"/>
      <c r="BA195" s="437"/>
      <c r="BB195" s="437"/>
      <c r="BC195" s="437"/>
      <c r="BD195" s="437"/>
      <c r="BE195" s="437"/>
      <c r="BF195" s="437"/>
      <c r="BG195" s="437"/>
      <c r="BH195" s="437"/>
      <c r="BI195" s="437"/>
      <c r="BJ195" s="437"/>
      <c r="BK195" s="437"/>
      <c r="BL195" s="437"/>
      <c r="BM195" s="393"/>
      <c r="BO195" s="399">
        <f t="shared" si="63"/>
        <v>0</v>
      </c>
      <c r="BP195" s="399">
        <f t="shared" si="64"/>
        <v>0</v>
      </c>
      <c r="BQ195" s="399">
        <f t="shared" si="65"/>
        <v>0</v>
      </c>
      <c r="BR195" s="399">
        <f t="shared" si="66"/>
        <v>0</v>
      </c>
      <c r="BS195" s="399">
        <f t="shared" si="67"/>
        <v>0</v>
      </c>
      <c r="BT195" s="399">
        <f t="shared" si="68"/>
        <v>0</v>
      </c>
      <c r="BU195" s="399">
        <f t="shared" si="69"/>
        <v>0</v>
      </c>
      <c r="BV195" s="399">
        <f t="shared" si="70"/>
        <v>0</v>
      </c>
      <c r="BW195" s="399">
        <f t="shared" si="71"/>
        <v>0</v>
      </c>
      <c r="BX195" s="399">
        <f t="shared" si="72"/>
        <v>0</v>
      </c>
      <c r="BY195" s="399">
        <f t="shared" si="73"/>
        <v>0</v>
      </c>
      <c r="BZ195" s="399">
        <f t="shared" si="74"/>
        <v>0</v>
      </c>
      <c r="CA195" s="399">
        <f t="shared" si="75"/>
        <v>0</v>
      </c>
      <c r="CB195" s="399">
        <f t="shared" si="76"/>
        <v>0</v>
      </c>
      <c r="CC195" s="399">
        <f t="shared" si="77"/>
        <v>0</v>
      </c>
      <c r="CD195" s="399">
        <f t="shared" si="78"/>
        <v>0</v>
      </c>
      <c r="CE195" s="399">
        <f t="shared" si="79"/>
        <v>0</v>
      </c>
      <c r="CF195" s="399">
        <f t="shared" si="80"/>
        <v>0</v>
      </c>
      <c r="CG195" s="399">
        <f t="shared" si="81"/>
        <v>0</v>
      </c>
      <c r="CH195" s="399">
        <f t="shared" si="82"/>
        <v>0</v>
      </c>
      <c r="CI195" s="399">
        <f t="shared" si="83"/>
        <v>0</v>
      </c>
      <c r="CJ195" s="399">
        <f t="shared" si="84"/>
        <v>0</v>
      </c>
      <c r="CK195" s="399">
        <f t="shared" si="85"/>
        <v>0</v>
      </c>
      <c r="CL195" s="399">
        <f t="shared" si="86"/>
        <v>0</v>
      </c>
      <c r="CM195" s="399">
        <f t="shared" si="87"/>
        <v>0</v>
      </c>
      <c r="CN195" s="399">
        <f t="shared" si="88"/>
        <v>0</v>
      </c>
      <c r="CO195" s="399">
        <f t="shared" si="89"/>
        <v>0</v>
      </c>
      <c r="CP195" s="399">
        <f t="shared" si="90"/>
        <v>0</v>
      </c>
      <c r="CQ195" s="423">
        <f t="shared" si="91"/>
        <v>0</v>
      </c>
      <c r="CS195" s="394" t="e">
        <f t="shared" si="92"/>
        <v>#DIV/0!</v>
      </c>
    </row>
    <row r="196" spans="3:97">
      <c r="C196" s="107"/>
      <c r="D196" s="395"/>
      <c r="E196" s="84"/>
      <c r="F196" s="84"/>
      <c r="G196" s="389"/>
      <c r="H196" s="390"/>
      <c r="I196" s="390"/>
      <c r="J196" s="390"/>
      <c r="K196" s="390"/>
      <c r="L196" s="390"/>
      <c r="M196" s="390"/>
      <c r="N196" s="390"/>
      <c r="O196" s="390"/>
      <c r="P196" s="390"/>
      <c r="Q196" s="390"/>
      <c r="R196" s="390"/>
      <c r="S196" s="390"/>
      <c r="T196" s="390"/>
      <c r="U196" s="390"/>
      <c r="V196" s="390"/>
      <c r="W196" s="390"/>
      <c r="X196" s="390"/>
      <c r="Y196" s="390"/>
      <c r="Z196" s="390"/>
      <c r="AA196" s="390"/>
      <c r="AB196" s="390"/>
      <c r="AC196" s="390"/>
      <c r="AD196" s="390"/>
      <c r="AE196" s="390"/>
      <c r="AF196" s="390"/>
      <c r="AG196" s="390"/>
      <c r="AH196" s="390"/>
      <c r="AI196" s="391"/>
      <c r="AK196" s="437"/>
      <c r="AL196" s="437"/>
      <c r="AM196" s="437"/>
      <c r="AN196" s="437"/>
      <c r="AO196" s="437"/>
      <c r="AP196" s="437"/>
      <c r="AQ196" s="437"/>
      <c r="AR196" s="437"/>
      <c r="AS196" s="437"/>
      <c r="AT196" s="437"/>
      <c r="AU196" s="437"/>
      <c r="AV196" s="437"/>
      <c r="AW196" s="437"/>
      <c r="AX196" s="437"/>
      <c r="AY196" s="437"/>
      <c r="AZ196" s="437"/>
      <c r="BA196" s="437"/>
      <c r="BB196" s="437"/>
      <c r="BC196" s="437"/>
      <c r="BD196" s="437"/>
      <c r="BE196" s="437"/>
      <c r="BF196" s="437"/>
      <c r="BG196" s="437"/>
      <c r="BH196" s="437"/>
      <c r="BI196" s="437"/>
      <c r="BJ196" s="437"/>
      <c r="BK196" s="437"/>
      <c r="BL196" s="437"/>
      <c r="BM196" s="393"/>
      <c r="BO196" s="399">
        <f t="shared" si="63"/>
        <v>0</v>
      </c>
      <c r="BP196" s="399">
        <f t="shared" si="64"/>
        <v>0</v>
      </c>
      <c r="BQ196" s="399">
        <f t="shared" si="65"/>
        <v>0</v>
      </c>
      <c r="BR196" s="399">
        <f t="shared" si="66"/>
        <v>0</v>
      </c>
      <c r="BS196" s="399">
        <f t="shared" si="67"/>
        <v>0</v>
      </c>
      <c r="BT196" s="399">
        <f t="shared" si="68"/>
        <v>0</v>
      </c>
      <c r="BU196" s="399">
        <f t="shared" si="69"/>
        <v>0</v>
      </c>
      <c r="BV196" s="399">
        <f t="shared" si="70"/>
        <v>0</v>
      </c>
      <c r="BW196" s="399">
        <f t="shared" si="71"/>
        <v>0</v>
      </c>
      <c r="BX196" s="399">
        <f t="shared" si="72"/>
        <v>0</v>
      </c>
      <c r="BY196" s="399">
        <f t="shared" si="73"/>
        <v>0</v>
      </c>
      <c r="BZ196" s="399">
        <f t="shared" si="74"/>
        <v>0</v>
      </c>
      <c r="CA196" s="399">
        <f t="shared" si="75"/>
        <v>0</v>
      </c>
      <c r="CB196" s="399">
        <f t="shared" si="76"/>
        <v>0</v>
      </c>
      <c r="CC196" s="399">
        <f t="shared" si="77"/>
        <v>0</v>
      </c>
      <c r="CD196" s="399">
        <f t="shared" si="78"/>
        <v>0</v>
      </c>
      <c r="CE196" s="399">
        <f t="shared" si="79"/>
        <v>0</v>
      </c>
      <c r="CF196" s="399">
        <f t="shared" si="80"/>
        <v>0</v>
      </c>
      <c r="CG196" s="399">
        <f t="shared" si="81"/>
        <v>0</v>
      </c>
      <c r="CH196" s="399">
        <f t="shared" si="82"/>
        <v>0</v>
      </c>
      <c r="CI196" s="399">
        <f t="shared" si="83"/>
        <v>0</v>
      </c>
      <c r="CJ196" s="399">
        <f t="shared" si="84"/>
        <v>0</v>
      </c>
      <c r="CK196" s="399">
        <f t="shared" si="85"/>
        <v>0</v>
      </c>
      <c r="CL196" s="399">
        <f t="shared" si="86"/>
        <v>0</v>
      </c>
      <c r="CM196" s="399">
        <f t="shared" si="87"/>
        <v>0</v>
      </c>
      <c r="CN196" s="399">
        <f t="shared" si="88"/>
        <v>0</v>
      </c>
      <c r="CO196" s="399">
        <f t="shared" si="89"/>
        <v>0</v>
      </c>
      <c r="CP196" s="399">
        <f t="shared" si="90"/>
        <v>0</v>
      </c>
      <c r="CQ196" s="423">
        <f t="shared" si="91"/>
        <v>0</v>
      </c>
      <c r="CS196" s="394" t="e">
        <f t="shared" si="92"/>
        <v>#DIV/0!</v>
      </c>
    </row>
    <row r="197" spans="3:97">
      <c r="C197" s="107"/>
      <c r="D197" s="395"/>
      <c r="E197" s="84"/>
      <c r="F197" s="84"/>
      <c r="G197" s="389"/>
      <c r="H197" s="390"/>
      <c r="I197" s="390"/>
      <c r="J197" s="390"/>
      <c r="K197" s="390"/>
      <c r="L197" s="390"/>
      <c r="M197" s="390"/>
      <c r="N197" s="390"/>
      <c r="O197" s="390"/>
      <c r="P197" s="390"/>
      <c r="Q197" s="390"/>
      <c r="R197" s="390"/>
      <c r="S197" s="390"/>
      <c r="T197" s="390"/>
      <c r="U197" s="390"/>
      <c r="V197" s="390"/>
      <c r="W197" s="390"/>
      <c r="X197" s="390"/>
      <c r="Y197" s="390"/>
      <c r="Z197" s="390"/>
      <c r="AA197" s="390"/>
      <c r="AB197" s="390"/>
      <c r="AC197" s="390"/>
      <c r="AD197" s="390"/>
      <c r="AE197" s="390"/>
      <c r="AF197" s="390"/>
      <c r="AG197" s="390"/>
      <c r="AH197" s="390"/>
      <c r="AI197" s="391"/>
      <c r="AK197" s="437"/>
      <c r="AL197" s="437"/>
      <c r="AM197" s="437"/>
      <c r="AN197" s="437"/>
      <c r="AO197" s="437"/>
      <c r="AP197" s="437"/>
      <c r="AQ197" s="437"/>
      <c r="AR197" s="437"/>
      <c r="AS197" s="437"/>
      <c r="AT197" s="437"/>
      <c r="AU197" s="437"/>
      <c r="AV197" s="437"/>
      <c r="AW197" s="437"/>
      <c r="AX197" s="437"/>
      <c r="AY197" s="437"/>
      <c r="AZ197" s="437"/>
      <c r="BA197" s="437"/>
      <c r="BB197" s="437"/>
      <c r="BC197" s="437"/>
      <c r="BD197" s="437"/>
      <c r="BE197" s="437"/>
      <c r="BF197" s="437"/>
      <c r="BG197" s="437"/>
      <c r="BH197" s="437"/>
      <c r="BI197" s="437"/>
      <c r="BJ197" s="437"/>
      <c r="BK197" s="437"/>
      <c r="BL197" s="437"/>
      <c r="BM197" s="393"/>
      <c r="BO197" s="399">
        <f t="shared" si="63"/>
        <v>0</v>
      </c>
      <c r="BP197" s="399">
        <f t="shared" si="64"/>
        <v>0</v>
      </c>
      <c r="BQ197" s="399">
        <f t="shared" si="65"/>
        <v>0</v>
      </c>
      <c r="BR197" s="399">
        <f t="shared" si="66"/>
        <v>0</v>
      </c>
      <c r="BS197" s="399">
        <f t="shared" si="67"/>
        <v>0</v>
      </c>
      <c r="BT197" s="399">
        <f t="shared" si="68"/>
        <v>0</v>
      </c>
      <c r="BU197" s="399">
        <f t="shared" si="69"/>
        <v>0</v>
      </c>
      <c r="BV197" s="399">
        <f t="shared" si="70"/>
        <v>0</v>
      </c>
      <c r="BW197" s="399">
        <f t="shared" si="71"/>
        <v>0</v>
      </c>
      <c r="BX197" s="399">
        <f t="shared" si="72"/>
        <v>0</v>
      </c>
      <c r="BY197" s="399">
        <f t="shared" si="73"/>
        <v>0</v>
      </c>
      <c r="BZ197" s="399">
        <f t="shared" si="74"/>
        <v>0</v>
      </c>
      <c r="CA197" s="399">
        <f t="shared" si="75"/>
        <v>0</v>
      </c>
      <c r="CB197" s="399">
        <f t="shared" si="76"/>
        <v>0</v>
      </c>
      <c r="CC197" s="399">
        <f t="shared" si="77"/>
        <v>0</v>
      </c>
      <c r="CD197" s="399">
        <f t="shared" si="78"/>
        <v>0</v>
      </c>
      <c r="CE197" s="399">
        <f t="shared" si="79"/>
        <v>0</v>
      </c>
      <c r="CF197" s="399">
        <f t="shared" si="80"/>
        <v>0</v>
      </c>
      <c r="CG197" s="399">
        <f t="shared" si="81"/>
        <v>0</v>
      </c>
      <c r="CH197" s="399">
        <f t="shared" si="82"/>
        <v>0</v>
      </c>
      <c r="CI197" s="399">
        <f t="shared" si="83"/>
        <v>0</v>
      </c>
      <c r="CJ197" s="399">
        <f t="shared" si="84"/>
        <v>0</v>
      </c>
      <c r="CK197" s="399">
        <f t="shared" si="85"/>
        <v>0</v>
      </c>
      <c r="CL197" s="399">
        <f t="shared" si="86"/>
        <v>0</v>
      </c>
      <c r="CM197" s="399">
        <f t="shared" si="87"/>
        <v>0</v>
      </c>
      <c r="CN197" s="399">
        <f t="shared" si="88"/>
        <v>0</v>
      </c>
      <c r="CO197" s="399">
        <f t="shared" si="89"/>
        <v>0</v>
      </c>
      <c r="CP197" s="399">
        <f t="shared" si="90"/>
        <v>0</v>
      </c>
      <c r="CQ197" s="423">
        <f t="shared" si="91"/>
        <v>0</v>
      </c>
      <c r="CS197" s="394" t="e">
        <f t="shared" si="92"/>
        <v>#DIV/0!</v>
      </c>
    </row>
    <row r="198" spans="3:97">
      <c r="C198" s="107"/>
      <c r="D198" s="395"/>
      <c r="E198" s="84"/>
      <c r="F198" s="84"/>
      <c r="G198" s="389"/>
      <c r="H198" s="390"/>
      <c r="I198" s="390"/>
      <c r="J198" s="390"/>
      <c r="K198" s="390"/>
      <c r="L198" s="390"/>
      <c r="M198" s="390"/>
      <c r="N198" s="390"/>
      <c r="O198" s="390"/>
      <c r="P198" s="390"/>
      <c r="Q198" s="390"/>
      <c r="R198" s="390"/>
      <c r="S198" s="390"/>
      <c r="T198" s="390"/>
      <c r="U198" s="390"/>
      <c r="V198" s="390"/>
      <c r="W198" s="390"/>
      <c r="X198" s="390"/>
      <c r="Y198" s="390"/>
      <c r="Z198" s="390"/>
      <c r="AA198" s="390"/>
      <c r="AB198" s="390"/>
      <c r="AC198" s="390"/>
      <c r="AD198" s="390"/>
      <c r="AE198" s="390"/>
      <c r="AF198" s="390"/>
      <c r="AG198" s="390"/>
      <c r="AH198" s="390"/>
      <c r="AI198" s="391"/>
      <c r="AK198" s="437"/>
      <c r="AL198" s="437"/>
      <c r="AM198" s="437"/>
      <c r="AN198" s="437"/>
      <c r="AO198" s="437"/>
      <c r="AP198" s="437"/>
      <c r="AQ198" s="437"/>
      <c r="AR198" s="437"/>
      <c r="AS198" s="437"/>
      <c r="AT198" s="437"/>
      <c r="AU198" s="437"/>
      <c r="AV198" s="437"/>
      <c r="AW198" s="437"/>
      <c r="AX198" s="437"/>
      <c r="AY198" s="437"/>
      <c r="AZ198" s="437"/>
      <c r="BA198" s="437"/>
      <c r="BB198" s="437"/>
      <c r="BC198" s="437"/>
      <c r="BD198" s="437"/>
      <c r="BE198" s="437"/>
      <c r="BF198" s="437"/>
      <c r="BG198" s="437"/>
      <c r="BH198" s="437"/>
      <c r="BI198" s="437"/>
      <c r="BJ198" s="437"/>
      <c r="BK198" s="437"/>
      <c r="BL198" s="437"/>
      <c r="BM198" s="393"/>
      <c r="BO198" s="399">
        <f t="shared" si="63"/>
        <v>0</v>
      </c>
      <c r="BP198" s="399">
        <f t="shared" si="64"/>
        <v>0</v>
      </c>
      <c r="BQ198" s="399">
        <f t="shared" si="65"/>
        <v>0</v>
      </c>
      <c r="BR198" s="399">
        <f t="shared" si="66"/>
        <v>0</v>
      </c>
      <c r="BS198" s="399">
        <f t="shared" si="67"/>
        <v>0</v>
      </c>
      <c r="BT198" s="399">
        <f t="shared" si="68"/>
        <v>0</v>
      </c>
      <c r="BU198" s="399">
        <f t="shared" si="69"/>
        <v>0</v>
      </c>
      <c r="BV198" s="399">
        <f t="shared" si="70"/>
        <v>0</v>
      </c>
      <c r="BW198" s="399">
        <f t="shared" si="71"/>
        <v>0</v>
      </c>
      <c r="BX198" s="399">
        <f t="shared" si="72"/>
        <v>0</v>
      </c>
      <c r="BY198" s="399">
        <f t="shared" si="73"/>
        <v>0</v>
      </c>
      <c r="BZ198" s="399">
        <f t="shared" si="74"/>
        <v>0</v>
      </c>
      <c r="CA198" s="399">
        <f t="shared" si="75"/>
        <v>0</v>
      </c>
      <c r="CB198" s="399">
        <f t="shared" si="76"/>
        <v>0</v>
      </c>
      <c r="CC198" s="399">
        <f t="shared" si="77"/>
        <v>0</v>
      </c>
      <c r="CD198" s="399">
        <f t="shared" si="78"/>
        <v>0</v>
      </c>
      <c r="CE198" s="399">
        <f t="shared" si="79"/>
        <v>0</v>
      </c>
      <c r="CF198" s="399">
        <f t="shared" si="80"/>
        <v>0</v>
      </c>
      <c r="CG198" s="399">
        <f t="shared" si="81"/>
        <v>0</v>
      </c>
      <c r="CH198" s="399">
        <f t="shared" si="82"/>
        <v>0</v>
      </c>
      <c r="CI198" s="399">
        <f t="shared" si="83"/>
        <v>0</v>
      </c>
      <c r="CJ198" s="399">
        <f t="shared" si="84"/>
        <v>0</v>
      </c>
      <c r="CK198" s="399">
        <f t="shared" si="85"/>
        <v>0</v>
      </c>
      <c r="CL198" s="399">
        <f t="shared" si="86"/>
        <v>0</v>
      </c>
      <c r="CM198" s="399">
        <f t="shared" si="87"/>
        <v>0</v>
      </c>
      <c r="CN198" s="399">
        <f t="shared" si="88"/>
        <v>0</v>
      </c>
      <c r="CO198" s="399">
        <f t="shared" si="89"/>
        <v>0</v>
      </c>
      <c r="CP198" s="399">
        <f t="shared" si="90"/>
        <v>0</v>
      </c>
      <c r="CQ198" s="423">
        <f t="shared" si="91"/>
        <v>0</v>
      </c>
      <c r="CS198" s="394" t="e">
        <f t="shared" si="92"/>
        <v>#DIV/0!</v>
      </c>
    </row>
    <row r="199" spans="3:97">
      <c r="C199" s="107"/>
      <c r="D199" s="395"/>
      <c r="E199" s="84"/>
      <c r="F199" s="84"/>
      <c r="G199" s="389"/>
      <c r="H199" s="390"/>
      <c r="I199" s="390"/>
      <c r="J199" s="390"/>
      <c r="K199" s="390"/>
      <c r="L199" s="390"/>
      <c r="M199" s="390"/>
      <c r="N199" s="390"/>
      <c r="O199" s="390"/>
      <c r="P199" s="390"/>
      <c r="Q199" s="390"/>
      <c r="R199" s="390"/>
      <c r="S199" s="390"/>
      <c r="T199" s="390"/>
      <c r="U199" s="390"/>
      <c r="V199" s="390"/>
      <c r="W199" s="390"/>
      <c r="X199" s="390"/>
      <c r="Y199" s="390"/>
      <c r="Z199" s="390"/>
      <c r="AA199" s="390"/>
      <c r="AB199" s="390"/>
      <c r="AC199" s="390"/>
      <c r="AD199" s="390"/>
      <c r="AE199" s="390"/>
      <c r="AF199" s="390"/>
      <c r="AG199" s="390"/>
      <c r="AH199" s="390"/>
      <c r="AI199" s="391"/>
      <c r="AK199" s="437"/>
      <c r="AL199" s="437"/>
      <c r="AM199" s="437"/>
      <c r="AN199" s="437"/>
      <c r="AO199" s="437"/>
      <c r="AP199" s="437"/>
      <c r="AQ199" s="437"/>
      <c r="AR199" s="437"/>
      <c r="AS199" s="437"/>
      <c r="AT199" s="437"/>
      <c r="AU199" s="437"/>
      <c r="AV199" s="437"/>
      <c r="AW199" s="437"/>
      <c r="AX199" s="437"/>
      <c r="AY199" s="437"/>
      <c r="AZ199" s="437"/>
      <c r="BA199" s="437"/>
      <c r="BB199" s="437"/>
      <c r="BC199" s="437"/>
      <c r="BD199" s="437"/>
      <c r="BE199" s="437"/>
      <c r="BF199" s="437"/>
      <c r="BG199" s="437"/>
      <c r="BH199" s="437"/>
      <c r="BI199" s="437"/>
      <c r="BJ199" s="437"/>
      <c r="BK199" s="437"/>
      <c r="BL199" s="437"/>
      <c r="BM199" s="393"/>
      <c r="BO199" s="399">
        <f t="shared" si="63"/>
        <v>0</v>
      </c>
      <c r="BP199" s="399">
        <f t="shared" si="64"/>
        <v>0</v>
      </c>
      <c r="BQ199" s="399">
        <f t="shared" si="65"/>
        <v>0</v>
      </c>
      <c r="BR199" s="399">
        <f t="shared" si="66"/>
        <v>0</v>
      </c>
      <c r="BS199" s="399">
        <f t="shared" si="67"/>
        <v>0</v>
      </c>
      <c r="BT199" s="399">
        <f t="shared" si="68"/>
        <v>0</v>
      </c>
      <c r="BU199" s="399">
        <f t="shared" si="69"/>
        <v>0</v>
      </c>
      <c r="BV199" s="399">
        <f t="shared" si="70"/>
        <v>0</v>
      </c>
      <c r="BW199" s="399">
        <f t="shared" si="71"/>
        <v>0</v>
      </c>
      <c r="BX199" s="399">
        <f t="shared" si="72"/>
        <v>0</v>
      </c>
      <c r="BY199" s="399">
        <f t="shared" si="73"/>
        <v>0</v>
      </c>
      <c r="BZ199" s="399">
        <f t="shared" si="74"/>
        <v>0</v>
      </c>
      <c r="CA199" s="399">
        <f t="shared" si="75"/>
        <v>0</v>
      </c>
      <c r="CB199" s="399">
        <f t="shared" si="76"/>
        <v>0</v>
      </c>
      <c r="CC199" s="399">
        <f t="shared" si="77"/>
        <v>0</v>
      </c>
      <c r="CD199" s="399">
        <f t="shared" si="78"/>
        <v>0</v>
      </c>
      <c r="CE199" s="399">
        <f t="shared" si="79"/>
        <v>0</v>
      </c>
      <c r="CF199" s="399">
        <f t="shared" si="80"/>
        <v>0</v>
      </c>
      <c r="CG199" s="399">
        <f t="shared" si="81"/>
        <v>0</v>
      </c>
      <c r="CH199" s="399">
        <f t="shared" si="82"/>
        <v>0</v>
      </c>
      <c r="CI199" s="399">
        <f t="shared" si="83"/>
        <v>0</v>
      </c>
      <c r="CJ199" s="399">
        <f t="shared" si="84"/>
        <v>0</v>
      </c>
      <c r="CK199" s="399">
        <f t="shared" si="85"/>
        <v>0</v>
      </c>
      <c r="CL199" s="399">
        <f t="shared" si="86"/>
        <v>0</v>
      </c>
      <c r="CM199" s="399">
        <f t="shared" si="87"/>
        <v>0</v>
      </c>
      <c r="CN199" s="399">
        <f t="shared" si="88"/>
        <v>0</v>
      </c>
      <c r="CO199" s="399">
        <f t="shared" si="89"/>
        <v>0</v>
      </c>
      <c r="CP199" s="399">
        <f t="shared" si="90"/>
        <v>0</v>
      </c>
      <c r="CQ199" s="423">
        <f t="shared" si="91"/>
        <v>0</v>
      </c>
      <c r="CS199" s="394" t="e">
        <f t="shared" si="92"/>
        <v>#DIV/0!</v>
      </c>
    </row>
    <row r="200" spans="3:97">
      <c r="C200" s="107"/>
      <c r="D200" s="395"/>
      <c r="E200" s="84"/>
      <c r="F200" s="84"/>
      <c r="G200" s="389"/>
      <c r="H200" s="390"/>
      <c r="I200" s="390"/>
      <c r="J200" s="390"/>
      <c r="K200" s="390"/>
      <c r="L200" s="390"/>
      <c r="M200" s="390"/>
      <c r="N200" s="390"/>
      <c r="O200" s="390"/>
      <c r="P200" s="390"/>
      <c r="Q200" s="390"/>
      <c r="R200" s="390"/>
      <c r="S200" s="390"/>
      <c r="T200" s="390"/>
      <c r="U200" s="390"/>
      <c r="V200" s="390"/>
      <c r="W200" s="390"/>
      <c r="X200" s="390"/>
      <c r="Y200" s="390"/>
      <c r="Z200" s="390"/>
      <c r="AA200" s="390"/>
      <c r="AB200" s="390"/>
      <c r="AC200" s="390"/>
      <c r="AD200" s="390"/>
      <c r="AE200" s="390"/>
      <c r="AF200" s="390"/>
      <c r="AG200" s="390"/>
      <c r="AH200" s="390"/>
      <c r="AI200" s="391"/>
      <c r="AK200" s="437"/>
      <c r="AL200" s="437"/>
      <c r="AM200" s="437"/>
      <c r="AN200" s="437"/>
      <c r="AO200" s="437"/>
      <c r="AP200" s="437"/>
      <c r="AQ200" s="437"/>
      <c r="AR200" s="437"/>
      <c r="AS200" s="437"/>
      <c r="AT200" s="437"/>
      <c r="AU200" s="437"/>
      <c r="AV200" s="437"/>
      <c r="AW200" s="437"/>
      <c r="AX200" s="437"/>
      <c r="AY200" s="437"/>
      <c r="AZ200" s="437"/>
      <c r="BA200" s="437"/>
      <c r="BB200" s="437"/>
      <c r="BC200" s="437"/>
      <c r="BD200" s="437"/>
      <c r="BE200" s="437"/>
      <c r="BF200" s="437"/>
      <c r="BG200" s="437"/>
      <c r="BH200" s="437"/>
      <c r="BI200" s="437"/>
      <c r="BJ200" s="437"/>
      <c r="BK200" s="437"/>
      <c r="BL200" s="437"/>
      <c r="BM200" s="393"/>
      <c r="BO200" s="399">
        <f t="shared" si="63"/>
        <v>0</v>
      </c>
      <c r="BP200" s="399">
        <f t="shared" si="64"/>
        <v>0</v>
      </c>
      <c r="BQ200" s="399">
        <f t="shared" si="65"/>
        <v>0</v>
      </c>
      <c r="BR200" s="399">
        <f t="shared" si="66"/>
        <v>0</v>
      </c>
      <c r="BS200" s="399">
        <f t="shared" si="67"/>
        <v>0</v>
      </c>
      <c r="BT200" s="399">
        <f t="shared" si="68"/>
        <v>0</v>
      </c>
      <c r="BU200" s="399">
        <f t="shared" si="69"/>
        <v>0</v>
      </c>
      <c r="BV200" s="399">
        <f t="shared" si="70"/>
        <v>0</v>
      </c>
      <c r="BW200" s="399">
        <f t="shared" si="71"/>
        <v>0</v>
      </c>
      <c r="BX200" s="399">
        <f t="shared" si="72"/>
        <v>0</v>
      </c>
      <c r="BY200" s="399">
        <f t="shared" si="73"/>
        <v>0</v>
      </c>
      <c r="BZ200" s="399">
        <f t="shared" si="74"/>
        <v>0</v>
      </c>
      <c r="CA200" s="399">
        <f t="shared" si="75"/>
        <v>0</v>
      </c>
      <c r="CB200" s="399">
        <f t="shared" si="76"/>
        <v>0</v>
      </c>
      <c r="CC200" s="399">
        <f t="shared" si="77"/>
        <v>0</v>
      </c>
      <c r="CD200" s="399">
        <f t="shared" si="78"/>
        <v>0</v>
      </c>
      <c r="CE200" s="399">
        <f t="shared" si="79"/>
        <v>0</v>
      </c>
      <c r="CF200" s="399">
        <f t="shared" si="80"/>
        <v>0</v>
      </c>
      <c r="CG200" s="399">
        <f t="shared" si="81"/>
        <v>0</v>
      </c>
      <c r="CH200" s="399">
        <f t="shared" si="82"/>
        <v>0</v>
      </c>
      <c r="CI200" s="399">
        <f t="shared" si="83"/>
        <v>0</v>
      </c>
      <c r="CJ200" s="399">
        <f t="shared" si="84"/>
        <v>0</v>
      </c>
      <c r="CK200" s="399">
        <f t="shared" si="85"/>
        <v>0</v>
      </c>
      <c r="CL200" s="399">
        <f t="shared" si="86"/>
        <v>0</v>
      </c>
      <c r="CM200" s="399">
        <f t="shared" si="87"/>
        <v>0</v>
      </c>
      <c r="CN200" s="399">
        <f t="shared" si="88"/>
        <v>0</v>
      </c>
      <c r="CO200" s="399">
        <f t="shared" si="89"/>
        <v>0</v>
      </c>
      <c r="CP200" s="399">
        <f t="shared" si="90"/>
        <v>0</v>
      </c>
      <c r="CQ200" s="423">
        <f t="shared" si="91"/>
        <v>0</v>
      </c>
      <c r="CS200" s="394" t="e">
        <f t="shared" si="92"/>
        <v>#DIV/0!</v>
      </c>
    </row>
    <row r="201" spans="3:97">
      <c r="C201" s="107"/>
      <c r="D201" s="395"/>
      <c r="E201" s="84"/>
      <c r="F201" s="84"/>
      <c r="G201" s="389"/>
      <c r="H201" s="390"/>
      <c r="I201" s="390"/>
      <c r="J201" s="390"/>
      <c r="K201" s="390"/>
      <c r="L201" s="390"/>
      <c r="M201" s="390"/>
      <c r="N201" s="390"/>
      <c r="O201" s="390"/>
      <c r="P201" s="390"/>
      <c r="Q201" s="390"/>
      <c r="R201" s="390"/>
      <c r="S201" s="390"/>
      <c r="T201" s="390"/>
      <c r="U201" s="390"/>
      <c r="V201" s="390"/>
      <c r="W201" s="390"/>
      <c r="X201" s="390"/>
      <c r="Y201" s="390"/>
      <c r="Z201" s="390"/>
      <c r="AA201" s="390"/>
      <c r="AB201" s="390"/>
      <c r="AC201" s="390"/>
      <c r="AD201" s="390"/>
      <c r="AE201" s="390"/>
      <c r="AF201" s="390"/>
      <c r="AG201" s="390"/>
      <c r="AH201" s="390"/>
      <c r="AI201" s="391"/>
      <c r="AK201" s="437"/>
      <c r="AL201" s="437"/>
      <c r="AM201" s="437"/>
      <c r="AN201" s="437"/>
      <c r="AO201" s="437"/>
      <c r="AP201" s="437"/>
      <c r="AQ201" s="437"/>
      <c r="AR201" s="437"/>
      <c r="AS201" s="437"/>
      <c r="AT201" s="437"/>
      <c r="AU201" s="437"/>
      <c r="AV201" s="437"/>
      <c r="AW201" s="437"/>
      <c r="AX201" s="437"/>
      <c r="AY201" s="437"/>
      <c r="AZ201" s="437"/>
      <c r="BA201" s="437"/>
      <c r="BB201" s="437"/>
      <c r="BC201" s="437"/>
      <c r="BD201" s="437"/>
      <c r="BE201" s="437"/>
      <c r="BF201" s="437"/>
      <c r="BG201" s="437"/>
      <c r="BH201" s="437"/>
      <c r="BI201" s="437"/>
      <c r="BJ201" s="437"/>
      <c r="BK201" s="437"/>
      <c r="BL201" s="437"/>
      <c r="BM201" s="393"/>
      <c r="BO201" s="399">
        <f t="shared" si="63"/>
        <v>0</v>
      </c>
      <c r="BP201" s="399">
        <f t="shared" si="64"/>
        <v>0</v>
      </c>
      <c r="BQ201" s="399">
        <f t="shared" si="65"/>
        <v>0</v>
      </c>
      <c r="BR201" s="399">
        <f t="shared" si="66"/>
        <v>0</v>
      </c>
      <c r="BS201" s="399">
        <f t="shared" si="67"/>
        <v>0</v>
      </c>
      <c r="BT201" s="399">
        <f t="shared" si="68"/>
        <v>0</v>
      </c>
      <c r="BU201" s="399">
        <f t="shared" si="69"/>
        <v>0</v>
      </c>
      <c r="BV201" s="399">
        <f t="shared" si="70"/>
        <v>0</v>
      </c>
      <c r="BW201" s="399">
        <f t="shared" si="71"/>
        <v>0</v>
      </c>
      <c r="BX201" s="399">
        <f t="shared" si="72"/>
        <v>0</v>
      </c>
      <c r="BY201" s="399">
        <f t="shared" si="73"/>
        <v>0</v>
      </c>
      <c r="BZ201" s="399">
        <f t="shared" si="74"/>
        <v>0</v>
      </c>
      <c r="CA201" s="399">
        <f t="shared" si="75"/>
        <v>0</v>
      </c>
      <c r="CB201" s="399">
        <f t="shared" si="76"/>
        <v>0</v>
      </c>
      <c r="CC201" s="399">
        <f t="shared" si="77"/>
        <v>0</v>
      </c>
      <c r="CD201" s="399">
        <f t="shared" si="78"/>
        <v>0</v>
      </c>
      <c r="CE201" s="399">
        <f t="shared" si="79"/>
        <v>0</v>
      </c>
      <c r="CF201" s="399">
        <f t="shared" si="80"/>
        <v>0</v>
      </c>
      <c r="CG201" s="399">
        <f t="shared" si="81"/>
        <v>0</v>
      </c>
      <c r="CH201" s="399">
        <f t="shared" si="82"/>
        <v>0</v>
      </c>
      <c r="CI201" s="399">
        <f t="shared" si="83"/>
        <v>0</v>
      </c>
      <c r="CJ201" s="399">
        <f t="shared" si="84"/>
        <v>0</v>
      </c>
      <c r="CK201" s="399">
        <f t="shared" si="85"/>
        <v>0</v>
      </c>
      <c r="CL201" s="399">
        <f t="shared" si="86"/>
        <v>0</v>
      </c>
      <c r="CM201" s="399">
        <f t="shared" si="87"/>
        <v>0</v>
      </c>
      <c r="CN201" s="399">
        <f t="shared" si="88"/>
        <v>0</v>
      </c>
      <c r="CO201" s="399">
        <f t="shared" si="89"/>
        <v>0</v>
      </c>
      <c r="CP201" s="399">
        <f t="shared" si="90"/>
        <v>0</v>
      </c>
      <c r="CQ201" s="423">
        <f t="shared" si="91"/>
        <v>0</v>
      </c>
      <c r="CS201" s="394" t="e">
        <f t="shared" si="92"/>
        <v>#DIV/0!</v>
      </c>
    </row>
    <row r="202" spans="3:97">
      <c r="C202" s="107"/>
      <c r="D202" s="395"/>
      <c r="E202" s="84"/>
      <c r="F202" s="84"/>
      <c r="G202" s="389"/>
      <c r="H202" s="390"/>
      <c r="I202" s="390"/>
      <c r="J202" s="390"/>
      <c r="K202" s="390"/>
      <c r="L202" s="390"/>
      <c r="M202" s="390"/>
      <c r="N202" s="390"/>
      <c r="O202" s="390"/>
      <c r="P202" s="390"/>
      <c r="Q202" s="390"/>
      <c r="R202" s="390"/>
      <c r="S202" s="390"/>
      <c r="T202" s="390"/>
      <c r="U202" s="390"/>
      <c r="V202" s="390"/>
      <c r="W202" s="390"/>
      <c r="X202" s="390"/>
      <c r="Y202" s="390"/>
      <c r="Z202" s="390"/>
      <c r="AA202" s="390"/>
      <c r="AB202" s="390"/>
      <c r="AC202" s="390"/>
      <c r="AD202" s="390"/>
      <c r="AE202" s="390"/>
      <c r="AF202" s="390"/>
      <c r="AG202" s="390"/>
      <c r="AH202" s="390"/>
      <c r="AI202" s="391"/>
      <c r="AK202" s="437"/>
      <c r="AL202" s="437"/>
      <c r="AM202" s="437"/>
      <c r="AN202" s="437"/>
      <c r="AO202" s="437"/>
      <c r="AP202" s="437"/>
      <c r="AQ202" s="437"/>
      <c r="AR202" s="437"/>
      <c r="AS202" s="437"/>
      <c r="AT202" s="437"/>
      <c r="AU202" s="437"/>
      <c r="AV202" s="437"/>
      <c r="AW202" s="437"/>
      <c r="AX202" s="437"/>
      <c r="AY202" s="437"/>
      <c r="AZ202" s="437"/>
      <c r="BA202" s="437"/>
      <c r="BB202" s="437"/>
      <c r="BC202" s="437"/>
      <c r="BD202" s="437"/>
      <c r="BE202" s="437"/>
      <c r="BF202" s="437"/>
      <c r="BG202" s="437"/>
      <c r="BH202" s="437"/>
      <c r="BI202" s="437"/>
      <c r="BJ202" s="437"/>
      <c r="BK202" s="437"/>
      <c r="BL202" s="437"/>
      <c r="BM202" s="393"/>
      <c r="BO202" s="399">
        <f t="shared" si="63"/>
        <v>0</v>
      </c>
      <c r="BP202" s="399">
        <f t="shared" si="64"/>
        <v>0</v>
      </c>
      <c r="BQ202" s="399">
        <f t="shared" si="65"/>
        <v>0</v>
      </c>
      <c r="BR202" s="399">
        <f t="shared" si="66"/>
        <v>0</v>
      </c>
      <c r="BS202" s="399">
        <f t="shared" si="67"/>
        <v>0</v>
      </c>
      <c r="BT202" s="399">
        <f t="shared" si="68"/>
        <v>0</v>
      </c>
      <c r="BU202" s="399">
        <f t="shared" si="69"/>
        <v>0</v>
      </c>
      <c r="BV202" s="399">
        <f t="shared" si="70"/>
        <v>0</v>
      </c>
      <c r="BW202" s="399">
        <f t="shared" si="71"/>
        <v>0</v>
      </c>
      <c r="BX202" s="399">
        <f t="shared" si="72"/>
        <v>0</v>
      </c>
      <c r="BY202" s="399">
        <f t="shared" si="73"/>
        <v>0</v>
      </c>
      <c r="BZ202" s="399">
        <f t="shared" si="74"/>
        <v>0</v>
      </c>
      <c r="CA202" s="399">
        <f t="shared" si="75"/>
        <v>0</v>
      </c>
      <c r="CB202" s="399">
        <f t="shared" si="76"/>
        <v>0</v>
      </c>
      <c r="CC202" s="399">
        <f t="shared" si="77"/>
        <v>0</v>
      </c>
      <c r="CD202" s="399">
        <f t="shared" si="78"/>
        <v>0</v>
      </c>
      <c r="CE202" s="399">
        <f t="shared" si="79"/>
        <v>0</v>
      </c>
      <c r="CF202" s="399">
        <f t="shared" si="80"/>
        <v>0</v>
      </c>
      <c r="CG202" s="399">
        <f t="shared" si="81"/>
        <v>0</v>
      </c>
      <c r="CH202" s="399">
        <f t="shared" si="82"/>
        <v>0</v>
      </c>
      <c r="CI202" s="399">
        <f t="shared" si="83"/>
        <v>0</v>
      </c>
      <c r="CJ202" s="399">
        <f t="shared" si="84"/>
        <v>0</v>
      </c>
      <c r="CK202" s="399">
        <f t="shared" si="85"/>
        <v>0</v>
      </c>
      <c r="CL202" s="399">
        <f t="shared" si="86"/>
        <v>0</v>
      </c>
      <c r="CM202" s="399">
        <f t="shared" si="87"/>
        <v>0</v>
      </c>
      <c r="CN202" s="399">
        <f t="shared" si="88"/>
        <v>0</v>
      </c>
      <c r="CO202" s="399">
        <f t="shared" si="89"/>
        <v>0</v>
      </c>
      <c r="CP202" s="399">
        <f t="shared" si="90"/>
        <v>0</v>
      </c>
      <c r="CQ202" s="423">
        <f t="shared" si="91"/>
        <v>0</v>
      </c>
      <c r="CS202" s="394" t="e">
        <f t="shared" si="92"/>
        <v>#DIV/0!</v>
      </c>
    </row>
    <row r="203" spans="3:97">
      <c r="C203" s="107"/>
      <c r="D203" s="395"/>
      <c r="E203" s="84"/>
      <c r="F203" s="84"/>
      <c r="G203" s="389"/>
      <c r="H203" s="390"/>
      <c r="I203" s="390"/>
      <c r="J203" s="390"/>
      <c r="K203" s="390"/>
      <c r="L203" s="390"/>
      <c r="M203" s="390"/>
      <c r="N203" s="390"/>
      <c r="O203" s="390"/>
      <c r="P203" s="390"/>
      <c r="Q203" s="390"/>
      <c r="R203" s="390"/>
      <c r="S203" s="390"/>
      <c r="T203" s="390"/>
      <c r="U203" s="390"/>
      <c r="V203" s="390"/>
      <c r="W203" s="390"/>
      <c r="X203" s="390"/>
      <c r="Y203" s="390"/>
      <c r="Z203" s="390"/>
      <c r="AA203" s="390"/>
      <c r="AB203" s="390"/>
      <c r="AC203" s="390"/>
      <c r="AD203" s="390"/>
      <c r="AE203" s="390"/>
      <c r="AF203" s="390"/>
      <c r="AG203" s="390"/>
      <c r="AH203" s="390"/>
      <c r="AI203" s="391"/>
      <c r="AK203" s="437"/>
      <c r="AL203" s="437"/>
      <c r="AM203" s="437"/>
      <c r="AN203" s="437"/>
      <c r="AO203" s="437"/>
      <c r="AP203" s="437"/>
      <c r="AQ203" s="437"/>
      <c r="AR203" s="437"/>
      <c r="AS203" s="437"/>
      <c r="AT203" s="437"/>
      <c r="AU203" s="437"/>
      <c r="AV203" s="437"/>
      <c r="AW203" s="437"/>
      <c r="AX203" s="437"/>
      <c r="AY203" s="437"/>
      <c r="AZ203" s="437"/>
      <c r="BA203" s="437"/>
      <c r="BB203" s="437"/>
      <c r="BC203" s="437"/>
      <c r="BD203" s="437"/>
      <c r="BE203" s="437"/>
      <c r="BF203" s="437"/>
      <c r="BG203" s="437"/>
      <c r="BH203" s="437"/>
      <c r="BI203" s="437"/>
      <c r="BJ203" s="437"/>
      <c r="BK203" s="437"/>
      <c r="BL203" s="437"/>
      <c r="BM203" s="393"/>
      <c r="BO203" s="399">
        <f t="shared" si="63"/>
        <v>0</v>
      </c>
      <c r="BP203" s="399">
        <f t="shared" si="64"/>
        <v>0</v>
      </c>
      <c r="BQ203" s="399">
        <f t="shared" si="65"/>
        <v>0</v>
      </c>
      <c r="BR203" s="399">
        <f t="shared" si="66"/>
        <v>0</v>
      </c>
      <c r="BS203" s="399">
        <f t="shared" si="67"/>
        <v>0</v>
      </c>
      <c r="BT203" s="399">
        <f t="shared" si="68"/>
        <v>0</v>
      </c>
      <c r="BU203" s="399">
        <f t="shared" si="69"/>
        <v>0</v>
      </c>
      <c r="BV203" s="399">
        <f t="shared" si="70"/>
        <v>0</v>
      </c>
      <c r="BW203" s="399">
        <f t="shared" si="71"/>
        <v>0</v>
      </c>
      <c r="BX203" s="399">
        <f t="shared" si="72"/>
        <v>0</v>
      </c>
      <c r="BY203" s="399">
        <f t="shared" si="73"/>
        <v>0</v>
      </c>
      <c r="BZ203" s="399">
        <f t="shared" si="74"/>
        <v>0</v>
      </c>
      <c r="CA203" s="399">
        <f t="shared" si="75"/>
        <v>0</v>
      </c>
      <c r="CB203" s="399">
        <f t="shared" si="76"/>
        <v>0</v>
      </c>
      <c r="CC203" s="399">
        <f t="shared" si="77"/>
        <v>0</v>
      </c>
      <c r="CD203" s="399">
        <f t="shared" si="78"/>
        <v>0</v>
      </c>
      <c r="CE203" s="399">
        <f t="shared" si="79"/>
        <v>0</v>
      </c>
      <c r="CF203" s="399">
        <f t="shared" si="80"/>
        <v>0</v>
      </c>
      <c r="CG203" s="399">
        <f t="shared" si="81"/>
        <v>0</v>
      </c>
      <c r="CH203" s="399">
        <f t="shared" si="82"/>
        <v>0</v>
      </c>
      <c r="CI203" s="399">
        <f t="shared" si="83"/>
        <v>0</v>
      </c>
      <c r="CJ203" s="399">
        <f t="shared" si="84"/>
        <v>0</v>
      </c>
      <c r="CK203" s="399">
        <f t="shared" si="85"/>
        <v>0</v>
      </c>
      <c r="CL203" s="399">
        <f t="shared" si="86"/>
        <v>0</v>
      </c>
      <c r="CM203" s="399">
        <f t="shared" si="87"/>
        <v>0</v>
      </c>
      <c r="CN203" s="399">
        <f t="shared" si="88"/>
        <v>0</v>
      </c>
      <c r="CO203" s="399">
        <f t="shared" si="89"/>
        <v>0</v>
      </c>
      <c r="CP203" s="399">
        <f t="shared" si="90"/>
        <v>0</v>
      </c>
      <c r="CQ203" s="423">
        <f t="shared" si="91"/>
        <v>0</v>
      </c>
      <c r="CS203" s="394" t="e">
        <f t="shared" si="92"/>
        <v>#DIV/0!</v>
      </c>
    </row>
    <row r="204" spans="3:97">
      <c r="C204" s="107"/>
      <c r="D204" s="395"/>
      <c r="E204" s="84"/>
      <c r="F204" s="84"/>
      <c r="G204" s="389"/>
      <c r="H204" s="390"/>
      <c r="I204" s="390"/>
      <c r="J204" s="390"/>
      <c r="K204" s="390"/>
      <c r="L204" s="390"/>
      <c r="M204" s="390"/>
      <c r="N204" s="390"/>
      <c r="O204" s="390"/>
      <c r="P204" s="390"/>
      <c r="Q204" s="390"/>
      <c r="R204" s="390"/>
      <c r="S204" s="390"/>
      <c r="T204" s="390"/>
      <c r="U204" s="390"/>
      <c r="V204" s="390"/>
      <c r="W204" s="390"/>
      <c r="X204" s="390"/>
      <c r="Y204" s="390"/>
      <c r="Z204" s="390"/>
      <c r="AA204" s="390"/>
      <c r="AB204" s="390"/>
      <c r="AC204" s="390"/>
      <c r="AD204" s="390"/>
      <c r="AE204" s="390"/>
      <c r="AF204" s="390"/>
      <c r="AG204" s="390"/>
      <c r="AH204" s="390"/>
      <c r="AI204" s="391"/>
      <c r="AK204" s="437"/>
      <c r="AL204" s="437"/>
      <c r="AM204" s="437"/>
      <c r="AN204" s="437"/>
      <c r="AO204" s="437"/>
      <c r="AP204" s="437"/>
      <c r="AQ204" s="437"/>
      <c r="AR204" s="437"/>
      <c r="AS204" s="437"/>
      <c r="AT204" s="437"/>
      <c r="AU204" s="437"/>
      <c r="AV204" s="437"/>
      <c r="AW204" s="437"/>
      <c r="AX204" s="437"/>
      <c r="AY204" s="437"/>
      <c r="AZ204" s="437"/>
      <c r="BA204" s="437"/>
      <c r="BB204" s="437"/>
      <c r="BC204" s="437"/>
      <c r="BD204" s="437"/>
      <c r="BE204" s="437"/>
      <c r="BF204" s="437"/>
      <c r="BG204" s="437"/>
      <c r="BH204" s="437"/>
      <c r="BI204" s="437"/>
      <c r="BJ204" s="437"/>
      <c r="BK204" s="437"/>
      <c r="BL204" s="437"/>
      <c r="BM204" s="393"/>
      <c r="BO204" s="399">
        <f t="shared" si="63"/>
        <v>0</v>
      </c>
      <c r="BP204" s="399">
        <f t="shared" si="64"/>
        <v>0</v>
      </c>
      <c r="BQ204" s="399">
        <f t="shared" si="65"/>
        <v>0</v>
      </c>
      <c r="BR204" s="399">
        <f t="shared" si="66"/>
        <v>0</v>
      </c>
      <c r="BS204" s="399">
        <f t="shared" si="67"/>
        <v>0</v>
      </c>
      <c r="BT204" s="399">
        <f t="shared" si="68"/>
        <v>0</v>
      </c>
      <c r="BU204" s="399">
        <f t="shared" si="69"/>
        <v>0</v>
      </c>
      <c r="BV204" s="399">
        <f t="shared" si="70"/>
        <v>0</v>
      </c>
      <c r="BW204" s="399">
        <f t="shared" si="71"/>
        <v>0</v>
      </c>
      <c r="BX204" s="399">
        <f t="shared" si="72"/>
        <v>0</v>
      </c>
      <c r="BY204" s="399">
        <f t="shared" si="73"/>
        <v>0</v>
      </c>
      <c r="BZ204" s="399">
        <f t="shared" si="74"/>
        <v>0</v>
      </c>
      <c r="CA204" s="399">
        <f t="shared" si="75"/>
        <v>0</v>
      </c>
      <c r="CB204" s="399">
        <f t="shared" si="76"/>
        <v>0</v>
      </c>
      <c r="CC204" s="399">
        <f t="shared" si="77"/>
        <v>0</v>
      </c>
      <c r="CD204" s="399">
        <f t="shared" si="78"/>
        <v>0</v>
      </c>
      <c r="CE204" s="399">
        <f t="shared" si="79"/>
        <v>0</v>
      </c>
      <c r="CF204" s="399">
        <f t="shared" si="80"/>
        <v>0</v>
      </c>
      <c r="CG204" s="399">
        <f t="shared" si="81"/>
        <v>0</v>
      </c>
      <c r="CH204" s="399">
        <f t="shared" si="82"/>
        <v>0</v>
      </c>
      <c r="CI204" s="399">
        <f t="shared" si="83"/>
        <v>0</v>
      </c>
      <c r="CJ204" s="399">
        <f t="shared" si="84"/>
        <v>0</v>
      </c>
      <c r="CK204" s="399">
        <f t="shared" si="85"/>
        <v>0</v>
      </c>
      <c r="CL204" s="399">
        <f t="shared" si="86"/>
        <v>0</v>
      </c>
      <c r="CM204" s="399">
        <f t="shared" si="87"/>
        <v>0</v>
      </c>
      <c r="CN204" s="399">
        <f t="shared" si="88"/>
        <v>0</v>
      </c>
      <c r="CO204" s="399">
        <f t="shared" si="89"/>
        <v>0</v>
      </c>
      <c r="CP204" s="399">
        <f t="shared" si="90"/>
        <v>0</v>
      </c>
      <c r="CQ204" s="423">
        <f t="shared" si="91"/>
        <v>0</v>
      </c>
      <c r="CS204" s="394" t="e">
        <f t="shared" si="92"/>
        <v>#DIV/0!</v>
      </c>
    </row>
    <row r="205" spans="3:97">
      <c r="C205" s="107"/>
      <c r="D205" s="395"/>
      <c r="E205" s="84"/>
      <c r="F205" s="84"/>
      <c r="G205" s="389"/>
      <c r="H205" s="390"/>
      <c r="I205" s="390"/>
      <c r="J205" s="390"/>
      <c r="K205" s="390"/>
      <c r="L205" s="390"/>
      <c r="M205" s="390"/>
      <c r="N205" s="390"/>
      <c r="O205" s="390"/>
      <c r="P205" s="390"/>
      <c r="Q205" s="390"/>
      <c r="R205" s="390"/>
      <c r="S205" s="390"/>
      <c r="T205" s="390"/>
      <c r="U205" s="390"/>
      <c r="V205" s="390"/>
      <c r="W205" s="390"/>
      <c r="X205" s="390"/>
      <c r="Y205" s="390"/>
      <c r="Z205" s="390"/>
      <c r="AA205" s="390"/>
      <c r="AB205" s="390"/>
      <c r="AC205" s="390"/>
      <c r="AD205" s="390"/>
      <c r="AE205" s="390"/>
      <c r="AF205" s="390"/>
      <c r="AG205" s="390"/>
      <c r="AH205" s="390"/>
      <c r="AI205" s="391"/>
      <c r="AK205" s="437"/>
      <c r="AL205" s="437"/>
      <c r="AM205" s="437"/>
      <c r="AN205" s="437"/>
      <c r="AO205" s="437"/>
      <c r="AP205" s="437"/>
      <c r="AQ205" s="437"/>
      <c r="AR205" s="437"/>
      <c r="AS205" s="437"/>
      <c r="AT205" s="437"/>
      <c r="AU205" s="437"/>
      <c r="AV205" s="437"/>
      <c r="AW205" s="437"/>
      <c r="AX205" s="437"/>
      <c r="AY205" s="437"/>
      <c r="AZ205" s="437"/>
      <c r="BA205" s="437"/>
      <c r="BB205" s="437"/>
      <c r="BC205" s="437"/>
      <c r="BD205" s="437"/>
      <c r="BE205" s="437"/>
      <c r="BF205" s="437"/>
      <c r="BG205" s="437"/>
      <c r="BH205" s="437"/>
      <c r="BI205" s="437"/>
      <c r="BJ205" s="437"/>
      <c r="BK205" s="437"/>
      <c r="BL205" s="437"/>
      <c r="BM205" s="393"/>
      <c r="BO205" s="399">
        <f t="shared" si="63"/>
        <v>0</v>
      </c>
      <c r="BP205" s="399">
        <f t="shared" si="64"/>
        <v>0</v>
      </c>
      <c r="BQ205" s="399">
        <f t="shared" si="65"/>
        <v>0</v>
      </c>
      <c r="BR205" s="399">
        <f t="shared" si="66"/>
        <v>0</v>
      </c>
      <c r="BS205" s="399">
        <f t="shared" si="67"/>
        <v>0</v>
      </c>
      <c r="BT205" s="399">
        <f t="shared" si="68"/>
        <v>0</v>
      </c>
      <c r="BU205" s="399">
        <f t="shared" si="69"/>
        <v>0</v>
      </c>
      <c r="BV205" s="399">
        <f t="shared" si="70"/>
        <v>0</v>
      </c>
      <c r="BW205" s="399">
        <f t="shared" si="71"/>
        <v>0</v>
      </c>
      <c r="BX205" s="399">
        <f t="shared" si="72"/>
        <v>0</v>
      </c>
      <c r="BY205" s="399">
        <f t="shared" si="73"/>
        <v>0</v>
      </c>
      <c r="BZ205" s="399">
        <f t="shared" si="74"/>
        <v>0</v>
      </c>
      <c r="CA205" s="399">
        <f t="shared" si="75"/>
        <v>0</v>
      </c>
      <c r="CB205" s="399">
        <f t="shared" si="76"/>
        <v>0</v>
      </c>
      <c r="CC205" s="399">
        <f t="shared" si="77"/>
        <v>0</v>
      </c>
      <c r="CD205" s="399">
        <f t="shared" si="78"/>
        <v>0</v>
      </c>
      <c r="CE205" s="399">
        <f t="shared" si="79"/>
        <v>0</v>
      </c>
      <c r="CF205" s="399">
        <f t="shared" si="80"/>
        <v>0</v>
      </c>
      <c r="CG205" s="399">
        <f t="shared" si="81"/>
        <v>0</v>
      </c>
      <c r="CH205" s="399">
        <f t="shared" si="82"/>
        <v>0</v>
      </c>
      <c r="CI205" s="399">
        <f t="shared" si="83"/>
        <v>0</v>
      </c>
      <c r="CJ205" s="399">
        <f t="shared" si="84"/>
        <v>0</v>
      </c>
      <c r="CK205" s="399">
        <f t="shared" si="85"/>
        <v>0</v>
      </c>
      <c r="CL205" s="399">
        <f t="shared" si="86"/>
        <v>0</v>
      </c>
      <c r="CM205" s="399">
        <f t="shared" si="87"/>
        <v>0</v>
      </c>
      <c r="CN205" s="399">
        <f t="shared" si="88"/>
        <v>0</v>
      </c>
      <c r="CO205" s="399">
        <f t="shared" si="89"/>
        <v>0</v>
      </c>
      <c r="CP205" s="399">
        <f t="shared" si="90"/>
        <v>0</v>
      </c>
      <c r="CQ205" s="423">
        <f t="shared" si="91"/>
        <v>0</v>
      </c>
      <c r="CS205" s="394" t="e">
        <f t="shared" si="92"/>
        <v>#DIV/0!</v>
      </c>
    </row>
    <row r="206" spans="3:97">
      <c r="C206" s="107"/>
      <c r="D206" s="395"/>
      <c r="E206" s="84"/>
      <c r="F206" s="84"/>
      <c r="G206" s="389"/>
      <c r="H206" s="390"/>
      <c r="I206" s="390"/>
      <c r="J206" s="390"/>
      <c r="K206" s="390"/>
      <c r="L206" s="390"/>
      <c r="M206" s="390"/>
      <c r="N206" s="390"/>
      <c r="O206" s="390"/>
      <c r="P206" s="390"/>
      <c r="Q206" s="390"/>
      <c r="R206" s="390"/>
      <c r="S206" s="390"/>
      <c r="T206" s="390"/>
      <c r="U206" s="390"/>
      <c r="V206" s="390"/>
      <c r="W206" s="390"/>
      <c r="X206" s="390"/>
      <c r="Y206" s="390"/>
      <c r="Z206" s="390"/>
      <c r="AA206" s="390"/>
      <c r="AB206" s="390"/>
      <c r="AC206" s="390"/>
      <c r="AD206" s="390"/>
      <c r="AE206" s="390"/>
      <c r="AF206" s="390"/>
      <c r="AG206" s="390"/>
      <c r="AH206" s="390"/>
      <c r="AI206" s="391"/>
      <c r="AK206" s="437"/>
      <c r="AL206" s="437"/>
      <c r="AM206" s="437"/>
      <c r="AN206" s="437"/>
      <c r="AO206" s="437"/>
      <c r="AP206" s="437"/>
      <c r="AQ206" s="437"/>
      <c r="AR206" s="437"/>
      <c r="AS206" s="437"/>
      <c r="AT206" s="437"/>
      <c r="AU206" s="437"/>
      <c r="AV206" s="437"/>
      <c r="AW206" s="437"/>
      <c r="AX206" s="437"/>
      <c r="AY206" s="437"/>
      <c r="AZ206" s="437"/>
      <c r="BA206" s="437"/>
      <c r="BB206" s="437"/>
      <c r="BC206" s="437"/>
      <c r="BD206" s="437"/>
      <c r="BE206" s="437"/>
      <c r="BF206" s="437"/>
      <c r="BG206" s="437"/>
      <c r="BH206" s="437"/>
      <c r="BI206" s="437"/>
      <c r="BJ206" s="437"/>
      <c r="BK206" s="437"/>
      <c r="BL206" s="437"/>
      <c r="BM206" s="393"/>
      <c r="BO206" s="399">
        <f t="shared" si="63"/>
        <v>0</v>
      </c>
      <c r="BP206" s="399">
        <f t="shared" si="64"/>
        <v>0</v>
      </c>
      <c r="BQ206" s="399">
        <f t="shared" si="65"/>
        <v>0</v>
      </c>
      <c r="BR206" s="399">
        <f t="shared" si="66"/>
        <v>0</v>
      </c>
      <c r="BS206" s="399">
        <f t="shared" si="67"/>
        <v>0</v>
      </c>
      <c r="BT206" s="399">
        <f t="shared" si="68"/>
        <v>0</v>
      </c>
      <c r="BU206" s="399">
        <f t="shared" si="69"/>
        <v>0</v>
      </c>
      <c r="BV206" s="399">
        <f t="shared" si="70"/>
        <v>0</v>
      </c>
      <c r="BW206" s="399">
        <f t="shared" si="71"/>
        <v>0</v>
      </c>
      <c r="BX206" s="399">
        <f t="shared" si="72"/>
        <v>0</v>
      </c>
      <c r="BY206" s="399">
        <f t="shared" si="73"/>
        <v>0</v>
      </c>
      <c r="BZ206" s="399">
        <f t="shared" si="74"/>
        <v>0</v>
      </c>
      <c r="CA206" s="399">
        <f t="shared" si="75"/>
        <v>0</v>
      </c>
      <c r="CB206" s="399">
        <f t="shared" si="76"/>
        <v>0</v>
      </c>
      <c r="CC206" s="399">
        <f t="shared" si="77"/>
        <v>0</v>
      </c>
      <c r="CD206" s="399">
        <f t="shared" si="78"/>
        <v>0</v>
      </c>
      <c r="CE206" s="399">
        <f t="shared" si="79"/>
        <v>0</v>
      </c>
      <c r="CF206" s="399">
        <f t="shared" si="80"/>
        <v>0</v>
      </c>
      <c r="CG206" s="399">
        <f t="shared" si="81"/>
        <v>0</v>
      </c>
      <c r="CH206" s="399">
        <f t="shared" si="82"/>
        <v>0</v>
      </c>
      <c r="CI206" s="399">
        <f t="shared" si="83"/>
        <v>0</v>
      </c>
      <c r="CJ206" s="399">
        <f t="shared" si="84"/>
        <v>0</v>
      </c>
      <c r="CK206" s="399">
        <f t="shared" si="85"/>
        <v>0</v>
      </c>
      <c r="CL206" s="399">
        <f t="shared" si="86"/>
        <v>0</v>
      </c>
      <c r="CM206" s="399">
        <f t="shared" si="87"/>
        <v>0</v>
      </c>
      <c r="CN206" s="399">
        <f t="shared" si="88"/>
        <v>0</v>
      </c>
      <c r="CO206" s="399">
        <f t="shared" si="89"/>
        <v>0</v>
      </c>
      <c r="CP206" s="399">
        <f t="shared" si="90"/>
        <v>0</v>
      </c>
      <c r="CQ206" s="423">
        <f t="shared" si="91"/>
        <v>0</v>
      </c>
      <c r="CS206" s="394" t="e">
        <f t="shared" si="92"/>
        <v>#DIV/0!</v>
      </c>
    </row>
    <row r="207" spans="3:97">
      <c r="C207" s="107"/>
      <c r="D207" s="395"/>
      <c r="E207" s="84"/>
      <c r="F207" s="84"/>
      <c r="G207" s="389"/>
      <c r="H207" s="390"/>
      <c r="I207" s="390"/>
      <c r="J207" s="390"/>
      <c r="K207" s="390"/>
      <c r="L207" s="390"/>
      <c r="M207" s="390"/>
      <c r="N207" s="390"/>
      <c r="O207" s="390"/>
      <c r="P207" s="390"/>
      <c r="Q207" s="390"/>
      <c r="R207" s="390"/>
      <c r="S207" s="390"/>
      <c r="T207" s="390"/>
      <c r="U207" s="390"/>
      <c r="V207" s="390"/>
      <c r="W207" s="390"/>
      <c r="X207" s="390"/>
      <c r="Y207" s="390"/>
      <c r="Z207" s="390"/>
      <c r="AA207" s="390"/>
      <c r="AB207" s="390"/>
      <c r="AC207" s="390"/>
      <c r="AD207" s="390"/>
      <c r="AE207" s="390"/>
      <c r="AF207" s="390"/>
      <c r="AG207" s="390"/>
      <c r="AH207" s="390"/>
      <c r="AI207" s="391"/>
      <c r="AK207" s="437"/>
      <c r="AL207" s="437"/>
      <c r="AM207" s="437"/>
      <c r="AN207" s="437"/>
      <c r="AO207" s="437"/>
      <c r="AP207" s="437"/>
      <c r="AQ207" s="437"/>
      <c r="AR207" s="437"/>
      <c r="AS207" s="437"/>
      <c r="AT207" s="437"/>
      <c r="AU207" s="437"/>
      <c r="AV207" s="437"/>
      <c r="AW207" s="437"/>
      <c r="AX207" s="437"/>
      <c r="AY207" s="437"/>
      <c r="AZ207" s="437"/>
      <c r="BA207" s="437"/>
      <c r="BB207" s="437"/>
      <c r="BC207" s="437"/>
      <c r="BD207" s="437"/>
      <c r="BE207" s="437"/>
      <c r="BF207" s="437"/>
      <c r="BG207" s="437"/>
      <c r="BH207" s="437"/>
      <c r="BI207" s="437"/>
      <c r="BJ207" s="437"/>
      <c r="BK207" s="437"/>
      <c r="BL207" s="437"/>
      <c r="BM207" s="393"/>
      <c r="BO207" s="399">
        <f t="shared" si="63"/>
        <v>0</v>
      </c>
      <c r="BP207" s="399">
        <f t="shared" si="64"/>
        <v>0</v>
      </c>
      <c r="BQ207" s="399">
        <f t="shared" si="65"/>
        <v>0</v>
      </c>
      <c r="BR207" s="399">
        <f t="shared" si="66"/>
        <v>0</v>
      </c>
      <c r="BS207" s="399">
        <f t="shared" si="67"/>
        <v>0</v>
      </c>
      <c r="BT207" s="399">
        <f t="shared" si="68"/>
        <v>0</v>
      </c>
      <c r="BU207" s="399">
        <f t="shared" si="69"/>
        <v>0</v>
      </c>
      <c r="BV207" s="399">
        <f t="shared" si="70"/>
        <v>0</v>
      </c>
      <c r="BW207" s="399">
        <f t="shared" si="71"/>
        <v>0</v>
      </c>
      <c r="BX207" s="399">
        <f t="shared" si="72"/>
        <v>0</v>
      </c>
      <c r="BY207" s="399">
        <f t="shared" si="73"/>
        <v>0</v>
      </c>
      <c r="BZ207" s="399">
        <f t="shared" si="74"/>
        <v>0</v>
      </c>
      <c r="CA207" s="399">
        <f t="shared" si="75"/>
        <v>0</v>
      </c>
      <c r="CB207" s="399">
        <f t="shared" si="76"/>
        <v>0</v>
      </c>
      <c r="CC207" s="399">
        <f t="shared" si="77"/>
        <v>0</v>
      </c>
      <c r="CD207" s="399">
        <f t="shared" si="78"/>
        <v>0</v>
      </c>
      <c r="CE207" s="399">
        <f t="shared" si="79"/>
        <v>0</v>
      </c>
      <c r="CF207" s="399">
        <f t="shared" si="80"/>
        <v>0</v>
      </c>
      <c r="CG207" s="399">
        <f t="shared" si="81"/>
        <v>0</v>
      </c>
      <c r="CH207" s="399">
        <f t="shared" si="82"/>
        <v>0</v>
      </c>
      <c r="CI207" s="399">
        <f t="shared" si="83"/>
        <v>0</v>
      </c>
      <c r="CJ207" s="399">
        <f t="shared" si="84"/>
        <v>0</v>
      </c>
      <c r="CK207" s="399">
        <f t="shared" si="85"/>
        <v>0</v>
      </c>
      <c r="CL207" s="399">
        <f t="shared" si="86"/>
        <v>0</v>
      </c>
      <c r="CM207" s="399">
        <f t="shared" si="87"/>
        <v>0</v>
      </c>
      <c r="CN207" s="399">
        <f t="shared" si="88"/>
        <v>0</v>
      </c>
      <c r="CO207" s="399">
        <f t="shared" si="89"/>
        <v>0</v>
      </c>
      <c r="CP207" s="399">
        <f t="shared" si="90"/>
        <v>0</v>
      </c>
      <c r="CQ207" s="423">
        <f t="shared" si="91"/>
        <v>0</v>
      </c>
      <c r="CS207" s="394" t="e">
        <f t="shared" si="92"/>
        <v>#DIV/0!</v>
      </c>
    </row>
    <row r="208" spans="3:97">
      <c r="C208" s="107"/>
      <c r="D208" s="395"/>
      <c r="E208" s="84"/>
      <c r="F208" s="84"/>
      <c r="G208" s="389"/>
      <c r="H208" s="390"/>
      <c r="I208" s="390"/>
      <c r="J208" s="390"/>
      <c r="K208" s="390"/>
      <c r="L208" s="390"/>
      <c r="M208" s="390"/>
      <c r="N208" s="390"/>
      <c r="O208" s="390"/>
      <c r="P208" s="390"/>
      <c r="Q208" s="390"/>
      <c r="R208" s="390"/>
      <c r="S208" s="390"/>
      <c r="T208" s="390"/>
      <c r="U208" s="390"/>
      <c r="V208" s="390"/>
      <c r="W208" s="390"/>
      <c r="X208" s="390"/>
      <c r="Y208" s="390"/>
      <c r="Z208" s="390"/>
      <c r="AA208" s="390"/>
      <c r="AB208" s="390"/>
      <c r="AC208" s="390"/>
      <c r="AD208" s="390"/>
      <c r="AE208" s="390"/>
      <c r="AF208" s="390"/>
      <c r="AG208" s="390"/>
      <c r="AH208" s="390"/>
      <c r="AI208" s="391"/>
      <c r="AK208" s="437"/>
      <c r="AL208" s="437"/>
      <c r="AM208" s="437"/>
      <c r="AN208" s="437"/>
      <c r="AO208" s="437"/>
      <c r="AP208" s="437"/>
      <c r="AQ208" s="437"/>
      <c r="AR208" s="437"/>
      <c r="AS208" s="437"/>
      <c r="AT208" s="437"/>
      <c r="AU208" s="437"/>
      <c r="AV208" s="437"/>
      <c r="AW208" s="437"/>
      <c r="AX208" s="437"/>
      <c r="AY208" s="437"/>
      <c r="AZ208" s="437"/>
      <c r="BA208" s="437"/>
      <c r="BB208" s="437"/>
      <c r="BC208" s="437"/>
      <c r="BD208" s="437"/>
      <c r="BE208" s="437"/>
      <c r="BF208" s="437"/>
      <c r="BG208" s="437"/>
      <c r="BH208" s="437"/>
      <c r="BI208" s="437"/>
      <c r="BJ208" s="437"/>
      <c r="BK208" s="437"/>
      <c r="BL208" s="437"/>
      <c r="BM208" s="393"/>
      <c r="BO208" s="399">
        <f t="shared" si="63"/>
        <v>0</v>
      </c>
      <c r="BP208" s="399">
        <f t="shared" si="64"/>
        <v>0</v>
      </c>
      <c r="BQ208" s="399">
        <f t="shared" si="65"/>
        <v>0</v>
      </c>
      <c r="BR208" s="399">
        <f t="shared" si="66"/>
        <v>0</v>
      </c>
      <c r="BS208" s="399">
        <f t="shared" si="67"/>
        <v>0</v>
      </c>
      <c r="BT208" s="399">
        <f t="shared" si="68"/>
        <v>0</v>
      </c>
      <c r="BU208" s="399">
        <f t="shared" si="69"/>
        <v>0</v>
      </c>
      <c r="BV208" s="399">
        <f t="shared" si="70"/>
        <v>0</v>
      </c>
      <c r="BW208" s="399">
        <f t="shared" si="71"/>
        <v>0</v>
      </c>
      <c r="BX208" s="399">
        <f t="shared" si="72"/>
        <v>0</v>
      </c>
      <c r="BY208" s="399">
        <f t="shared" si="73"/>
        <v>0</v>
      </c>
      <c r="BZ208" s="399">
        <f t="shared" si="74"/>
        <v>0</v>
      </c>
      <c r="CA208" s="399">
        <f t="shared" si="75"/>
        <v>0</v>
      </c>
      <c r="CB208" s="399">
        <f t="shared" si="76"/>
        <v>0</v>
      </c>
      <c r="CC208" s="399">
        <f t="shared" si="77"/>
        <v>0</v>
      </c>
      <c r="CD208" s="399">
        <f t="shared" si="78"/>
        <v>0</v>
      </c>
      <c r="CE208" s="399">
        <f t="shared" si="79"/>
        <v>0</v>
      </c>
      <c r="CF208" s="399">
        <f t="shared" si="80"/>
        <v>0</v>
      </c>
      <c r="CG208" s="399">
        <f t="shared" si="81"/>
        <v>0</v>
      </c>
      <c r="CH208" s="399">
        <f t="shared" si="82"/>
        <v>0</v>
      </c>
      <c r="CI208" s="399">
        <f t="shared" si="83"/>
        <v>0</v>
      </c>
      <c r="CJ208" s="399">
        <f t="shared" si="84"/>
        <v>0</v>
      </c>
      <c r="CK208" s="399">
        <f t="shared" si="85"/>
        <v>0</v>
      </c>
      <c r="CL208" s="399">
        <f t="shared" si="86"/>
        <v>0</v>
      </c>
      <c r="CM208" s="399">
        <f t="shared" si="87"/>
        <v>0</v>
      </c>
      <c r="CN208" s="399">
        <f t="shared" si="88"/>
        <v>0</v>
      </c>
      <c r="CO208" s="399">
        <f t="shared" si="89"/>
        <v>0</v>
      </c>
      <c r="CP208" s="399">
        <f t="shared" si="90"/>
        <v>0</v>
      </c>
      <c r="CQ208" s="423">
        <f t="shared" si="91"/>
        <v>0</v>
      </c>
      <c r="CS208" s="394" t="e">
        <f t="shared" si="92"/>
        <v>#DIV/0!</v>
      </c>
    </row>
    <row r="209" spans="3:97">
      <c r="C209" s="107"/>
      <c r="D209" s="395"/>
      <c r="E209" s="84"/>
      <c r="F209" s="84"/>
      <c r="G209" s="389"/>
      <c r="H209" s="390"/>
      <c r="I209" s="390"/>
      <c r="J209" s="390"/>
      <c r="K209" s="390"/>
      <c r="L209" s="390"/>
      <c r="M209" s="390"/>
      <c r="N209" s="390"/>
      <c r="O209" s="390"/>
      <c r="P209" s="390"/>
      <c r="Q209" s="390"/>
      <c r="R209" s="390"/>
      <c r="S209" s="390"/>
      <c r="T209" s="390"/>
      <c r="U209" s="390"/>
      <c r="V209" s="390"/>
      <c r="W209" s="390"/>
      <c r="X209" s="390"/>
      <c r="Y209" s="390"/>
      <c r="Z209" s="390"/>
      <c r="AA209" s="390"/>
      <c r="AB209" s="390"/>
      <c r="AC209" s="390"/>
      <c r="AD209" s="390"/>
      <c r="AE209" s="390"/>
      <c r="AF209" s="390"/>
      <c r="AG209" s="390"/>
      <c r="AH209" s="390"/>
      <c r="AI209" s="391"/>
      <c r="AK209" s="437"/>
      <c r="AL209" s="437"/>
      <c r="AM209" s="437"/>
      <c r="AN209" s="437"/>
      <c r="AO209" s="437"/>
      <c r="AP209" s="437"/>
      <c r="AQ209" s="437"/>
      <c r="AR209" s="437"/>
      <c r="AS209" s="437"/>
      <c r="AT209" s="437"/>
      <c r="AU209" s="437"/>
      <c r="AV209" s="437"/>
      <c r="AW209" s="437"/>
      <c r="AX209" s="437"/>
      <c r="AY209" s="437"/>
      <c r="AZ209" s="437"/>
      <c r="BA209" s="437"/>
      <c r="BB209" s="437"/>
      <c r="BC209" s="437"/>
      <c r="BD209" s="437"/>
      <c r="BE209" s="437"/>
      <c r="BF209" s="437"/>
      <c r="BG209" s="437"/>
      <c r="BH209" s="437"/>
      <c r="BI209" s="437"/>
      <c r="BJ209" s="437"/>
      <c r="BK209" s="437"/>
      <c r="BL209" s="437"/>
      <c r="BM209" s="393"/>
      <c r="BO209" s="399">
        <f t="shared" si="63"/>
        <v>0</v>
      </c>
      <c r="BP209" s="399">
        <f t="shared" si="64"/>
        <v>0</v>
      </c>
      <c r="BQ209" s="399">
        <f t="shared" si="65"/>
        <v>0</v>
      </c>
      <c r="BR209" s="399">
        <f t="shared" si="66"/>
        <v>0</v>
      </c>
      <c r="BS209" s="399">
        <f t="shared" si="67"/>
        <v>0</v>
      </c>
      <c r="BT209" s="399">
        <f t="shared" si="68"/>
        <v>0</v>
      </c>
      <c r="BU209" s="399">
        <f t="shared" si="69"/>
        <v>0</v>
      </c>
      <c r="BV209" s="399">
        <f t="shared" si="70"/>
        <v>0</v>
      </c>
      <c r="BW209" s="399">
        <f t="shared" si="71"/>
        <v>0</v>
      </c>
      <c r="BX209" s="399">
        <f t="shared" si="72"/>
        <v>0</v>
      </c>
      <c r="BY209" s="399">
        <f t="shared" si="73"/>
        <v>0</v>
      </c>
      <c r="BZ209" s="399">
        <f t="shared" si="74"/>
        <v>0</v>
      </c>
      <c r="CA209" s="399">
        <f t="shared" si="75"/>
        <v>0</v>
      </c>
      <c r="CB209" s="399">
        <f t="shared" si="76"/>
        <v>0</v>
      </c>
      <c r="CC209" s="399">
        <f t="shared" si="77"/>
        <v>0</v>
      </c>
      <c r="CD209" s="399">
        <f t="shared" si="78"/>
        <v>0</v>
      </c>
      <c r="CE209" s="399">
        <f t="shared" si="79"/>
        <v>0</v>
      </c>
      <c r="CF209" s="399">
        <f t="shared" si="80"/>
        <v>0</v>
      </c>
      <c r="CG209" s="399">
        <f t="shared" si="81"/>
        <v>0</v>
      </c>
      <c r="CH209" s="399">
        <f t="shared" si="82"/>
        <v>0</v>
      </c>
      <c r="CI209" s="399">
        <f t="shared" si="83"/>
        <v>0</v>
      </c>
      <c r="CJ209" s="399">
        <f t="shared" si="84"/>
        <v>0</v>
      </c>
      <c r="CK209" s="399">
        <f t="shared" si="85"/>
        <v>0</v>
      </c>
      <c r="CL209" s="399">
        <f t="shared" si="86"/>
        <v>0</v>
      </c>
      <c r="CM209" s="399">
        <f t="shared" si="87"/>
        <v>0</v>
      </c>
      <c r="CN209" s="399">
        <f t="shared" si="88"/>
        <v>0</v>
      </c>
      <c r="CO209" s="399">
        <f t="shared" si="89"/>
        <v>0</v>
      </c>
      <c r="CP209" s="399">
        <f t="shared" si="90"/>
        <v>0</v>
      </c>
      <c r="CQ209" s="423">
        <f t="shared" si="91"/>
        <v>0</v>
      </c>
      <c r="CS209" s="394" t="e">
        <f t="shared" si="92"/>
        <v>#DIV/0!</v>
      </c>
    </row>
    <row r="210" spans="3:97">
      <c r="C210" s="107"/>
      <c r="D210" s="395"/>
      <c r="E210" s="84"/>
      <c r="F210" s="84"/>
      <c r="G210" s="389"/>
      <c r="H210" s="390"/>
      <c r="I210" s="390"/>
      <c r="J210" s="390"/>
      <c r="K210" s="390"/>
      <c r="L210" s="390"/>
      <c r="M210" s="390"/>
      <c r="N210" s="390"/>
      <c r="O210" s="390"/>
      <c r="P210" s="390"/>
      <c r="Q210" s="390"/>
      <c r="R210" s="390"/>
      <c r="S210" s="390"/>
      <c r="T210" s="390"/>
      <c r="U210" s="390"/>
      <c r="V210" s="390"/>
      <c r="W210" s="390"/>
      <c r="X210" s="390"/>
      <c r="Y210" s="390"/>
      <c r="Z210" s="390"/>
      <c r="AA210" s="390"/>
      <c r="AB210" s="390"/>
      <c r="AC210" s="390"/>
      <c r="AD210" s="390"/>
      <c r="AE210" s="390"/>
      <c r="AF210" s="390"/>
      <c r="AG210" s="390"/>
      <c r="AH210" s="390"/>
      <c r="AI210" s="391"/>
      <c r="AK210" s="437"/>
      <c r="AL210" s="437"/>
      <c r="AM210" s="437"/>
      <c r="AN210" s="437"/>
      <c r="AO210" s="437"/>
      <c r="AP210" s="437"/>
      <c r="AQ210" s="437"/>
      <c r="AR210" s="437"/>
      <c r="AS210" s="437"/>
      <c r="AT210" s="437"/>
      <c r="AU210" s="437"/>
      <c r="AV210" s="437"/>
      <c r="AW210" s="437"/>
      <c r="AX210" s="437"/>
      <c r="AY210" s="437"/>
      <c r="AZ210" s="437"/>
      <c r="BA210" s="437"/>
      <c r="BB210" s="437"/>
      <c r="BC210" s="437"/>
      <c r="BD210" s="437"/>
      <c r="BE210" s="437"/>
      <c r="BF210" s="437"/>
      <c r="BG210" s="437"/>
      <c r="BH210" s="437"/>
      <c r="BI210" s="437"/>
      <c r="BJ210" s="437"/>
      <c r="BK210" s="437"/>
      <c r="BL210" s="437"/>
      <c r="BM210" s="393"/>
      <c r="BO210" s="399">
        <f t="shared" si="63"/>
        <v>0</v>
      </c>
      <c r="BP210" s="399">
        <f t="shared" si="64"/>
        <v>0</v>
      </c>
      <c r="BQ210" s="399">
        <f t="shared" si="65"/>
        <v>0</v>
      </c>
      <c r="BR210" s="399">
        <f t="shared" si="66"/>
        <v>0</v>
      </c>
      <c r="BS210" s="399">
        <f t="shared" si="67"/>
        <v>0</v>
      </c>
      <c r="BT210" s="399">
        <f t="shared" si="68"/>
        <v>0</v>
      </c>
      <c r="BU210" s="399">
        <f t="shared" si="69"/>
        <v>0</v>
      </c>
      <c r="BV210" s="399">
        <f t="shared" si="70"/>
        <v>0</v>
      </c>
      <c r="BW210" s="399">
        <f t="shared" si="71"/>
        <v>0</v>
      </c>
      <c r="BX210" s="399">
        <f t="shared" si="72"/>
        <v>0</v>
      </c>
      <c r="BY210" s="399">
        <f t="shared" si="73"/>
        <v>0</v>
      </c>
      <c r="BZ210" s="399">
        <f t="shared" si="74"/>
        <v>0</v>
      </c>
      <c r="CA210" s="399">
        <f t="shared" si="75"/>
        <v>0</v>
      </c>
      <c r="CB210" s="399">
        <f t="shared" si="76"/>
        <v>0</v>
      </c>
      <c r="CC210" s="399">
        <f t="shared" si="77"/>
        <v>0</v>
      </c>
      <c r="CD210" s="399">
        <f t="shared" si="78"/>
        <v>0</v>
      </c>
      <c r="CE210" s="399">
        <f t="shared" si="79"/>
        <v>0</v>
      </c>
      <c r="CF210" s="399">
        <f t="shared" si="80"/>
        <v>0</v>
      </c>
      <c r="CG210" s="399">
        <f t="shared" si="81"/>
        <v>0</v>
      </c>
      <c r="CH210" s="399">
        <f t="shared" si="82"/>
        <v>0</v>
      </c>
      <c r="CI210" s="399">
        <f t="shared" si="83"/>
        <v>0</v>
      </c>
      <c r="CJ210" s="399">
        <f t="shared" si="84"/>
        <v>0</v>
      </c>
      <c r="CK210" s="399">
        <f t="shared" si="85"/>
        <v>0</v>
      </c>
      <c r="CL210" s="399">
        <f t="shared" si="86"/>
        <v>0</v>
      </c>
      <c r="CM210" s="399">
        <f t="shared" si="87"/>
        <v>0</v>
      </c>
      <c r="CN210" s="399">
        <f t="shared" si="88"/>
        <v>0</v>
      </c>
      <c r="CO210" s="399">
        <f t="shared" si="89"/>
        <v>0</v>
      </c>
      <c r="CP210" s="399">
        <f t="shared" si="90"/>
        <v>0</v>
      </c>
      <c r="CQ210" s="423">
        <f t="shared" si="91"/>
        <v>0</v>
      </c>
      <c r="CS210" s="394" t="e">
        <f t="shared" si="92"/>
        <v>#DIV/0!</v>
      </c>
    </row>
    <row r="211" spans="3:97">
      <c r="C211" s="107"/>
      <c r="D211" s="395"/>
      <c r="E211" s="84"/>
      <c r="F211" s="84"/>
      <c r="G211" s="389"/>
      <c r="H211" s="390"/>
      <c r="I211" s="390"/>
      <c r="J211" s="390"/>
      <c r="K211" s="390"/>
      <c r="L211" s="390"/>
      <c r="M211" s="390"/>
      <c r="N211" s="390"/>
      <c r="O211" s="390"/>
      <c r="P211" s="390"/>
      <c r="Q211" s="390"/>
      <c r="R211" s="390"/>
      <c r="S211" s="390"/>
      <c r="T211" s="390"/>
      <c r="U211" s="390"/>
      <c r="V211" s="390"/>
      <c r="W211" s="390"/>
      <c r="X211" s="390"/>
      <c r="Y211" s="390"/>
      <c r="Z211" s="390"/>
      <c r="AA211" s="390"/>
      <c r="AB211" s="390"/>
      <c r="AC211" s="390"/>
      <c r="AD211" s="390"/>
      <c r="AE211" s="390"/>
      <c r="AF211" s="390"/>
      <c r="AG211" s="390"/>
      <c r="AH211" s="390"/>
      <c r="AI211" s="391"/>
      <c r="AK211" s="437"/>
      <c r="AL211" s="437"/>
      <c r="AM211" s="437"/>
      <c r="AN211" s="437"/>
      <c r="AO211" s="437"/>
      <c r="AP211" s="437"/>
      <c r="AQ211" s="437"/>
      <c r="AR211" s="437"/>
      <c r="AS211" s="437"/>
      <c r="AT211" s="437"/>
      <c r="AU211" s="437"/>
      <c r="AV211" s="437"/>
      <c r="AW211" s="437"/>
      <c r="AX211" s="437"/>
      <c r="AY211" s="437"/>
      <c r="AZ211" s="437"/>
      <c r="BA211" s="437"/>
      <c r="BB211" s="437"/>
      <c r="BC211" s="437"/>
      <c r="BD211" s="437"/>
      <c r="BE211" s="437"/>
      <c r="BF211" s="437"/>
      <c r="BG211" s="437"/>
      <c r="BH211" s="437"/>
      <c r="BI211" s="437"/>
      <c r="BJ211" s="437"/>
      <c r="BK211" s="437"/>
      <c r="BL211" s="437"/>
      <c r="BM211" s="393"/>
      <c r="BO211" s="399">
        <f t="shared" ref="BO211:BO274" si="93">G211*BO$4</f>
        <v>0</v>
      </c>
      <c r="BP211" s="399">
        <f t="shared" ref="BP211:BP274" si="94">H211*BP$4</f>
        <v>0</v>
      </c>
      <c r="BQ211" s="399">
        <f t="shared" ref="BQ211:BQ274" si="95">I211*BQ$4</f>
        <v>0</v>
      </c>
      <c r="BR211" s="399">
        <f t="shared" ref="BR211:BR274" si="96">J211*BR$4</f>
        <v>0</v>
      </c>
      <c r="BS211" s="399">
        <f t="shared" ref="BS211:BS274" si="97">K211*BS$4</f>
        <v>0</v>
      </c>
      <c r="BT211" s="399">
        <f t="shared" ref="BT211:BT274" si="98">L211*BT$4</f>
        <v>0</v>
      </c>
      <c r="BU211" s="399">
        <f t="shared" ref="BU211:BU274" si="99">M211*BU$4</f>
        <v>0</v>
      </c>
      <c r="BV211" s="399">
        <f t="shared" ref="BV211:BV274" si="100">N211*BV$4</f>
        <v>0</v>
      </c>
      <c r="BW211" s="399">
        <f t="shared" ref="BW211:BW274" si="101">O211*BW$4</f>
        <v>0</v>
      </c>
      <c r="BX211" s="399">
        <f t="shared" ref="BX211:BX274" si="102">P211*BX$4</f>
        <v>0</v>
      </c>
      <c r="BY211" s="399">
        <f t="shared" ref="BY211:BY274" si="103">Q211*BY$4</f>
        <v>0</v>
      </c>
      <c r="BZ211" s="399">
        <f t="shared" ref="BZ211:BZ274" si="104">R211*BZ$4</f>
        <v>0</v>
      </c>
      <c r="CA211" s="399">
        <f t="shared" ref="CA211:CA274" si="105">S211*CA$4</f>
        <v>0</v>
      </c>
      <c r="CB211" s="399">
        <f t="shared" ref="CB211:CB274" si="106">T211*CB$4</f>
        <v>0</v>
      </c>
      <c r="CC211" s="399">
        <f t="shared" ref="CC211:CC274" si="107">U211*CC$4</f>
        <v>0</v>
      </c>
      <c r="CD211" s="399">
        <f t="shared" ref="CD211:CD274" si="108">V211*CD$4</f>
        <v>0</v>
      </c>
      <c r="CE211" s="399">
        <f t="shared" ref="CE211:CE274" si="109">W211*CE$4</f>
        <v>0</v>
      </c>
      <c r="CF211" s="399">
        <f t="shared" ref="CF211:CF274" si="110">X211*CF$4</f>
        <v>0</v>
      </c>
      <c r="CG211" s="399">
        <f t="shared" ref="CG211:CG274" si="111">Y211*CG$4</f>
        <v>0</v>
      </c>
      <c r="CH211" s="399">
        <f t="shared" ref="CH211:CH274" si="112">Z211*CH$4</f>
        <v>0</v>
      </c>
      <c r="CI211" s="399">
        <f t="shared" ref="CI211:CI274" si="113">AA211*CI$4</f>
        <v>0</v>
      </c>
      <c r="CJ211" s="399">
        <f t="shared" ref="CJ211:CJ274" si="114">AB211*CJ$4</f>
        <v>0</v>
      </c>
      <c r="CK211" s="399">
        <f t="shared" ref="CK211:CK274" si="115">AC211*CK$4</f>
        <v>0</v>
      </c>
      <c r="CL211" s="399">
        <f t="shared" ref="CL211:CL274" si="116">AD211*CL$4</f>
        <v>0</v>
      </c>
      <c r="CM211" s="399">
        <f t="shared" ref="CM211:CM274" si="117">AE211*CM$4</f>
        <v>0</v>
      </c>
      <c r="CN211" s="399">
        <f t="shared" ref="CN211:CN274" si="118">AF211*CN$4</f>
        <v>0</v>
      </c>
      <c r="CO211" s="399">
        <f t="shared" ref="CO211:CO274" si="119">AG211*CO$4</f>
        <v>0</v>
      </c>
      <c r="CP211" s="399">
        <f t="shared" ref="CP211:CP274" si="120">AH211*CP$4</f>
        <v>0</v>
      </c>
      <c r="CQ211" s="423">
        <f t="shared" ref="CQ211:CQ274" si="121">SUM(BO211:CP211)</f>
        <v>0</v>
      </c>
      <c r="CS211" s="394" t="e">
        <f t="shared" ref="CS211:CS274" si="122">CQ211/AI211</f>
        <v>#DIV/0!</v>
      </c>
    </row>
    <row r="212" spans="3:97">
      <c r="C212" s="107"/>
      <c r="D212" s="395"/>
      <c r="E212" s="84"/>
      <c r="F212" s="84"/>
      <c r="G212" s="389"/>
      <c r="H212" s="390"/>
      <c r="I212" s="390"/>
      <c r="J212" s="390"/>
      <c r="K212" s="390"/>
      <c r="L212" s="390"/>
      <c r="M212" s="390"/>
      <c r="N212" s="390"/>
      <c r="O212" s="390"/>
      <c r="P212" s="390"/>
      <c r="Q212" s="390"/>
      <c r="R212" s="390"/>
      <c r="S212" s="390"/>
      <c r="T212" s="390"/>
      <c r="U212" s="390"/>
      <c r="V212" s="390"/>
      <c r="W212" s="390"/>
      <c r="X212" s="390"/>
      <c r="Y212" s="390"/>
      <c r="Z212" s="390"/>
      <c r="AA212" s="390"/>
      <c r="AB212" s="390"/>
      <c r="AC212" s="390"/>
      <c r="AD212" s="390"/>
      <c r="AE212" s="390"/>
      <c r="AF212" s="390"/>
      <c r="AG212" s="390"/>
      <c r="AH212" s="390"/>
      <c r="AI212" s="391"/>
      <c r="AK212" s="437"/>
      <c r="AL212" s="437"/>
      <c r="AM212" s="437"/>
      <c r="AN212" s="437"/>
      <c r="AO212" s="437"/>
      <c r="AP212" s="437"/>
      <c r="AQ212" s="437"/>
      <c r="AR212" s="437"/>
      <c r="AS212" s="437"/>
      <c r="AT212" s="437"/>
      <c r="AU212" s="437"/>
      <c r="AV212" s="437"/>
      <c r="AW212" s="437"/>
      <c r="AX212" s="437"/>
      <c r="AY212" s="437"/>
      <c r="AZ212" s="437"/>
      <c r="BA212" s="437"/>
      <c r="BB212" s="437"/>
      <c r="BC212" s="437"/>
      <c r="BD212" s="437"/>
      <c r="BE212" s="437"/>
      <c r="BF212" s="437"/>
      <c r="BG212" s="437"/>
      <c r="BH212" s="437"/>
      <c r="BI212" s="437"/>
      <c r="BJ212" s="437"/>
      <c r="BK212" s="437"/>
      <c r="BL212" s="437"/>
      <c r="BM212" s="393"/>
      <c r="BO212" s="399">
        <f t="shared" si="93"/>
        <v>0</v>
      </c>
      <c r="BP212" s="399">
        <f t="shared" si="94"/>
        <v>0</v>
      </c>
      <c r="BQ212" s="399">
        <f t="shared" si="95"/>
        <v>0</v>
      </c>
      <c r="BR212" s="399">
        <f t="shared" si="96"/>
        <v>0</v>
      </c>
      <c r="BS212" s="399">
        <f t="shared" si="97"/>
        <v>0</v>
      </c>
      <c r="BT212" s="399">
        <f t="shared" si="98"/>
        <v>0</v>
      </c>
      <c r="BU212" s="399">
        <f t="shared" si="99"/>
        <v>0</v>
      </c>
      <c r="BV212" s="399">
        <f t="shared" si="100"/>
        <v>0</v>
      </c>
      <c r="BW212" s="399">
        <f t="shared" si="101"/>
        <v>0</v>
      </c>
      <c r="BX212" s="399">
        <f t="shared" si="102"/>
        <v>0</v>
      </c>
      <c r="BY212" s="399">
        <f t="shared" si="103"/>
        <v>0</v>
      </c>
      <c r="BZ212" s="399">
        <f t="shared" si="104"/>
        <v>0</v>
      </c>
      <c r="CA212" s="399">
        <f t="shared" si="105"/>
        <v>0</v>
      </c>
      <c r="CB212" s="399">
        <f t="shared" si="106"/>
        <v>0</v>
      </c>
      <c r="CC212" s="399">
        <f t="shared" si="107"/>
        <v>0</v>
      </c>
      <c r="CD212" s="399">
        <f t="shared" si="108"/>
        <v>0</v>
      </c>
      <c r="CE212" s="399">
        <f t="shared" si="109"/>
        <v>0</v>
      </c>
      <c r="CF212" s="399">
        <f t="shared" si="110"/>
        <v>0</v>
      </c>
      <c r="CG212" s="399">
        <f t="shared" si="111"/>
        <v>0</v>
      </c>
      <c r="CH212" s="399">
        <f t="shared" si="112"/>
        <v>0</v>
      </c>
      <c r="CI212" s="399">
        <f t="shared" si="113"/>
        <v>0</v>
      </c>
      <c r="CJ212" s="399">
        <f t="shared" si="114"/>
        <v>0</v>
      </c>
      <c r="CK212" s="399">
        <f t="shared" si="115"/>
        <v>0</v>
      </c>
      <c r="CL212" s="399">
        <f t="shared" si="116"/>
        <v>0</v>
      </c>
      <c r="CM212" s="399">
        <f t="shared" si="117"/>
        <v>0</v>
      </c>
      <c r="CN212" s="399">
        <f t="shared" si="118"/>
        <v>0</v>
      </c>
      <c r="CO212" s="399">
        <f t="shared" si="119"/>
        <v>0</v>
      </c>
      <c r="CP212" s="399">
        <f t="shared" si="120"/>
        <v>0</v>
      </c>
      <c r="CQ212" s="423">
        <f t="shared" si="121"/>
        <v>0</v>
      </c>
      <c r="CS212" s="394" t="e">
        <f t="shared" si="122"/>
        <v>#DIV/0!</v>
      </c>
    </row>
    <row r="213" spans="3:97">
      <c r="C213" s="107"/>
      <c r="D213" s="395"/>
      <c r="E213" s="84"/>
      <c r="F213" s="84"/>
      <c r="G213" s="389"/>
      <c r="H213" s="390"/>
      <c r="I213" s="390"/>
      <c r="J213" s="390"/>
      <c r="K213" s="390"/>
      <c r="L213" s="390"/>
      <c r="M213" s="390"/>
      <c r="N213" s="390"/>
      <c r="O213" s="390"/>
      <c r="P213" s="390"/>
      <c r="Q213" s="390"/>
      <c r="R213" s="390"/>
      <c r="S213" s="390"/>
      <c r="T213" s="390"/>
      <c r="U213" s="390"/>
      <c r="V213" s="390"/>
      <c r="W213" s="390"/>
      <c r="X213" s="390"/>
      <c r="Y213" s="390"/>
      <c r="Z213" s="390"/>
      <c r="AA213" s="390"/>
      <c r="AB213" s="390"/>
      <c r="AC213" s="390"/>
      <c r="AD213" s="390"/>
      <c r="AE213" s="390"/>
      <c r="AF213" s="390"/>
      <c r="AG213" s="390"/>
      <c r="AH213" s="390"/>
      <c r="AI213" s="391"/>
      <c r="AK213" s="437"/>
      <c r="AL213" s="437"/>
      <c r="AM213" s="437"/>
      <c r="AN213" s="437"/>
      <c r="AO213" s="437"/>
      <c r="AP213" s="437"/>
      <c r="AQ213" s="437"/>
      <c r="AR213" s="437"/>
      <c r="AS213" s="437"/>
      <c r="AT213" s="437"/>
      <c r="AU213" s="437"/>
      <c r="AV213" s="437"/>
      <c r="AW213" s="437"/>
      <c r="AX213" s="437"/>
      <c r="AY213" s="437"/>
      <c r="AZ213" s="437"/>
      <c r="BA213" s="437"/>
      <c r="BB213" s="437"/>
      <c r="BC213" s="437"/>
      <c r="BD213" s="437"/>
      <c r="BE213" s="437"/>
      <c r="BF213" s="437"/>
      <c r="BG213" s="437"/>
      <c r="BH213" s="437"/>
      <c r="BI213" s="437"/>
      <c r="BJ213" s="437"/>
      <c r="BK213" s="437"/>
      <c r="BL213" s="437"/>
      <c r="BM213" s="393"/>
      <c r="BO213" s="399">
        <f t="shared" si="93"/>
        <v>0</v>
      </c>
      <c r="BP213" s="399">
        <f t="shared" si="94"/>
        <v>0</v>
      </c>
      <c r="BQ213" s="399">
        <f t="shared" si="95"/>
        <v>0</v>
      </c>
      <c r="BR213" s="399">
        <f t="shared" si="96"/>
        <v>0</v>
      </c>
      <c r="BS213" s="399">
        <f t="shared" si="97"/>
        <v>0</v>
      </c>
      <c r="BT213" s="399">
        <f t="shared" si="98"/>
        <v>0</v>
      </c>
      <c r="BU213" s="399">
        <f t="shared" si="99"/>
        <v>0</v>
      </c>
      <c r="BV213" s="399">
        <f t="shared" si="100"/>
        <v>0</v>
      </c>
      <c r="BW213" s="399">
        <f t="shared" si="101"/>
        <v>0</v>
      </c>
      <c r="BX213" s="399">
        <f t="shared" si="102"/>
        <v>0</v>
      </c>
      <c r="BY213" s="399">
        <f t="shared" si="103"/>
        <v>0</v>
      </c>
      <c r="BZ213" s="399">
        <f t="shared" si="104"/>
        <v>0</v>
      </c>
      <c r="CA213" s="399">
        <f t="shared" si="105"/>
        <v>0</v>
      </c>
      <c r="CB213" s="399">
        <f t="shared" si="106"/>
        <v>0</v>
      </c>
      <c r="CC213" s="399">
        <f t="shared" si="107"/>
        <v>0</v>
      </c>
      <c r="CD213" s="399">
        <f t="shared" si="108"/>
        <v>0</v>
      </c>
      <c r="CE213" s="399">
        <f t="shared" si="109"/>
        <v>0</v>
      </c>
      <c r="CF213" s="399">
        <f t="shared" si="110"/>
        <v>0</v>
      </c>
      <c r="CG213" s="399">
        <f t="shared" si="111"/>
        <v>0</v>
      </c>
      <c r="CH213" s="399">
        <f t="shared" si="112"/>
        <v>0</v>
      </c>
      <c r="CI213" s="399">
        <f t="shared" si="113"/>
        <v>0</v>
      </c>
      <c r="CJ213" s="399">
        <f t="shared" si="114"/>
        <v>0</v>
      </c>
      <c r="CK213" s="399">
        <f t="shared" si="115"/>
        <v>0</v>
      </c>
      <c r="CL213" s="399">
        <f t="shared" si="116"/>
        <v>0</v>
      </c>
      <c r="CM213" s="399">
        <f t="shared" si="117"/>
        <v>0</v>
      </c>
      <c r="CN213" s="399">
        <f t="shared" si="118"/>
        <v>0</v>
      </c>
      <c r="CO213" s="399">
        <f t="shared" si="119"/>
        <v>0</v>
      </c>
      <c r="CP213" s="399">
        <f t="shared" si="120"/>
        <v>0</v>
      </c>
      <c r="CQ213" s="423">
        <f t="shared" si="121"/>
        <v>0</v>
      </c>
      <c r="CS213" s="394" t="e">
        <f t="shared" si="122"/>
        <v>#DIV/0!</v>
      </c>
    </row>
    <row r="214" spans="3:97">
      <c r="C214" s="107"/>
      <c r="D214" s="395"/>
      <c r="E214" s="84"/>
      <c r="F214" s="84"/>
      <c r="G214" s="389"/>
      <c r="H214" s="390"/>
      <c r="I214" s="390"/>
      <c r="J214" s="390"/>
      <c r="K214" s="390"/>
      <c r="L214" s="390"/>
      <c r="M214" s="390"/>
      <c r="N214" s="390"/>
      <c r="O214" s="390"/>
      <c r="P214" s="390"/>
      <c r="Q214" s="390"/>
      <c r="R214" s="390"/>
      <c r="S214" s="390"/>
      <c r="T214" s="390"/>
      <c r="U214" s="390"/>
      <c r="V214" s="390"/>
      <c r="W214" s="390"/>
      <c r="X214" s="390"/>
      <c r="Y214" s="390"/>
      <c r="Z214" s="390"/>
      <c r="AA214" s="390"/>
      <c r="AB214" s="390"/>
      <c r="AC214" s="390"/>
      <c r="AD214" s="390"/>
      <c r="AE214" s="390"/>
      <c r="AF214" s="390"/>
      <c r="AG214" s="390"/>
      <c r="AH214" s="390"/>
      <c r="AI214" s="391"/>
      <c r="AK214" s="437"/>
      <c r="AL214" s="437"/>
      <c r="AM214" s="437"/>
      <c r="AN214" s="437"/>
      <c r="AO214" s="437"/>
      <c r="AP214" s="437"/>
      <c r="AQ214" s="437"/>
      <c r="AR214" s="437"/>
      <c r="AS214" s="437"/>
      <c r="AT214" s="437"/>
      <c r="AU214" s="437"/>
      <c r="AV214" s="437"/>
      <c r="AW214" s="437"/>
      <c r="AX214" s="437"/>
      <c r="AY214" s="437"/>
      <c r="AZ214" s="437"/>
      <c r="BA214" s="437"/>
      <c r="BB214" s="437"/>
      <c r="BC214" s="437"/>
      <c r="BD214" s="437"/>
      <c r="BE214" s="437"/>
      <c r="BF214" s="437"/>
      <c r="BG214" s="437"/>
      <c r="BH214" s="437"/>
      <c r="BI214" s="437"/>
      <c r="BJ214" s="437"/>
      <c r="BK214" s="437"/>
      <c r="BL214" s="437"/>
      <c r="BM214" s="393"/>
      <c r="BO214" s="399">
        <f t="shared" si="93"/>
        <v>0</v>
      </c>
      <c r="BP214" s="399">
        <f t="shared" si="94"/>
        <v>0</v>
      </c>
      <c r="BQ214" s="399">
        <f t="shared" si="95"/>
        <v>0</v>
      </c>
      <c r="BR214" s="399">
        <f t="shared" si="96"/>
        <v>0</v>
      </c>
      <c r="BS214" s="399">
        <f t="shared" si="97"/>
        <v>0</v>
      </c>
      <c r="BT214" s="399">
        <f t="shared" si="98"/>
        <v>0</v>
      </c>
      <c r="BU214" s="399">
        <f t="shared" si="99"/>
        <v>0</v>
      </c>
      <c r="BV214" s="399">
        <f t="shared" si="100"/>
        <v>0</v>
      </c>
      <c r="BW214" s="399">
        <f t="shared" si="101"/>
        <v>0</v>
      </c>
      <c r="BX214" s="399">
        <f t="shared" si="102"/>
        <v>0</v>
      </c>
      <c r="BY214" s="399">
        <f t="shared" si="103"/>
        <v>0</v>
      </c>
      <c r="BZ214" s="399">
        <f t="shared" si="104"/>
        <v>0</v>
      </c>
      <c r="CA214" s="399">
        <f t="shared" si="105"/>
        <v>0</v>
      </c>
      <c r="CB214" s="399">
        <f t="shared" si="106"/>
        <v>0</v>
      </c>
      <c r="CC214" s="399">
        <f t="shared" si="107"/>
        <v>0</v>
      </c>
      <c r="CD214" s="399">
        <f t="shared" si="108"/>
        <v>0</v>
      </c>
      <c r="CE214" s="399">
        <f t="shared" si="109"/>
        <v>0</v>
      </c>
      <c r="CF214" s="399">
        <f t="shared" si="110"/>
        <v>0</v>
      </c>
      <c r="CG214" s="399">
        <f t="shared" si="111"/>
        <v>0</v>
      </c>
      <c r="CH214" s="399">
        <f t="shared" si="112"/>
        <v>0</v>
      </c>
      <c r="CI214" s="399">
        <f t="shared" si="113"/>
        <v>0</v>
      </c>
      <c r="CJ214" s="399">
        <f t="shared" si="114"/>
        <v>0</v>
      </c>
      <c r="CK214" s="399">
        <f t="shared" si="115"/>
        <v>0</v>
      </c>
      <c r="CL214" s="399">
        <f t="shared" si="116"/>
        <v>0</v>
      </c>
      <c r="CM214" s="399">
        <f t="shared" si="117"/>
        <v>0</v>
      </c>
      <c r="CN214" s="399">
        <f t="shared" si="118"/>
        <v>0</v>
      </c>
      <c r="CO214" s="399">
        <f t="shared" si="119"/>
        <v>0</v>
      </c>
      <c r="CP214" s="399">
        <f t="shared" si="120"/>
        <v>0</v>
      </c>
      <c r="CQ214" s="423">
        <f t="shared" si="121"/>
        <v>0</v>
      </c>
      <c r="CS214" s="394" t="e">
        <f t="shared" si="122"/>
        <v>#DIV/0!</v>
      </c>
    </row>
    <row r="215" spans="3:97">
      <c r="C215" s="107"/>
      <c r="D215" s="395"/>
      <c r="E215" s="84"/>
      <c r="F215" s="84"/>
      <c r="G215" s="389"/>
      <c r="H215" s="390"/>
      <c r="I215" s="390"/>
      <c r="J215" s="390"/>
      <c r="K215" s="390"/>
      <c r="L215" s="390"/>
      <c r="M215" s="390"/>
      <c r="N215" s="390"/>
      <c r="O215" s="390"/>
      <c r="P215" s="390"/>
      <c r="Q215" s="390"/>
      <c r="R215" s="390"/>
      <c r="S215" s="390"/>
      <c r="T215" s="390"/>
      <c r="U215" s="390"/>
      <c r="V215" s="390"/>
      <c r="W215" s="390"/>
      <c r="X215" s="390"/>
      <c r="Y215" s="390"/>
      <c r="Z215" s="390"/>
      <c r="AA215" s="390"/>
      <c r="AB215" s="390"/>
      <c r="AC215" s="390"/>
      <c r="AD215" s="390"/>
      <c r="AE215" s="390"/>
      <c r="AF215" s="390"/>
      <c r="AG215" s="390"/>
      <c r="AH215" s="390"/>
      <c r="AI215" s="391"/>
      <c r="AK215" s="437"/>
      <c r="AL215" s="437"/>
      <c r="AM215" s="437"/>
      <c r="AN215" s="437"/>
      <c r="AO215" s="437"/>
      <c r="AP215" s="437"/>
      <c r="AQ215" s="437"/>
      <c r="AR215" s="437"/>
      <c r="AS215" s="437"/>
      <c r="AT215" s="437"/>
      <c r="AU215" s="437"/>
      <c r="AV215" s="437"/>
      <c r="AW215" s="437"/>
      <c r="AX215" s="437"/>
      <c r="AY215" s="437"/>
      <c r="AZ215" s="437"/>
      <c r="BA215" s="437"/>
      <c r="BB215" s="437"/>
      <c r="BC215" s="437"/>
      <c r="BD215" s="437"/>
      <c r="BE215" s="437"/>
      <c r="BF215" s="437"/>
      <c r="BG215" s="437"/>
      <c r="BH215" s="437"/>
      <c r="BI215" s="437"/>
      <c r="BJ215" s="437"/>
      <c r="BK215" s="437"/>
      <c r="BL215" s="437"/>
      <c r="BM215" s="393"/>
      <c r="BO215" s="399">
        <f t="shared" si="93"/>
        <v>0</v>
      </c>
      <c r="BP215" s="399">
        <f t="shared" si="94"/>
        <v>0</v>
      </c>
      <c r="BQ215" s="399">
        <f t="shared" si="95"/>
        <v>0</v>
      </c>
      <c r="BR215" s="399">
        <f t="shared" si="96"/>
        <v>0</v>
      </c>
      <c r="BS215" s="399">
        <f t="shared" si="97"/>
        <v>0</v>
      </c>
      <c r="BT215" s="399">
        <f t="shared" si="98"/>
        <v>0</v>
      </c>
      <c r="BU215" s="399">
        <f t="shared" si="99"/>
        <v>0</v>
      </c>
      <c r="BV215" s="399">
        <f t="shared" si="100"/>
        <v>0</v>
      </c>
      <c r="BW215" s="399">
        <f t="shared" si="101"/>
        <v>0</v>
      </c>
      <c r="BX215" s="399">
        <f t="shared" si="102"/>
        <v>0</v>
      </c>
      <c r="BY215" s="399">
        <f t="shared" si="103"/>
        <v>0</v>
      </c>
      <c r="BZ215" s="399">
        <f t="shared" si="104"/>
        <v>0</v>
      </c>
      <c r="CA215" s="399">
        <f t="shared" si="105"/>
        <v>0</v>
      </c>
      <c r="CB215" s="399">
        <f t="shared" si="106"/>
        <v>0</v>
      </c>
      <c r="CC215" s="399">
        <f t="shared" si="107"/>
        <v>0</v>
      </c>
      <c r="CD215" s="399">
        <f t="shared" si="108"/>
        <v>0</v>
      </c>
      <c r="CE215" s="399">
        <f t="shared" si="109"/>
        <v>0</v>
      </c>
      <c r="CF215" s="399">
        <f t="shared" si="110"/>
        <v>0</v>
      </c>
      <c r="CG215" s="399">
        <f t="shared" si="111"/>
        <v>0</v>
      </c>
      <c r="CH215" s="399">
        <f t="shared" si="112"/>
        <v>0</v>
      </c>
      <c r="CI215" s="399">
        <f t="shared" si="113"/>
        <v>0</v>
      </c>
      <c r="CJ215" s="399">
        <f t="shared" si="114"/>
        <v>0</v>
      </c>
      <c r="CK215" s="399">
        <f t="shared" si="115"/>
        <v>0</v>
      </c>
      <c r="CL215" s="399">
        <f t="shared" si="116"/>
        <v>0</v>
      </c>
      <c r="CM215" s="399">
        <f t="shared" si="117"/>
        <v>0</v>
      </c>
      <c r="CN215" s="399">
        <f t="shared" si="118"/>
        <v>0</v>
      </c>
      <c r="CO215" s="399">
        <f t="shared" si="119"/>
        <v>0</v>
      </c>
      <c r="CP215" s="399">
        <f t="shared" si="120"/>
        <v>0</v>
      </c>
      <c r="CQ215" s="423">
        <f t="shared" si="121"/>
        <v>0</v>
      </c>
      <c r="CS215" s="394" t="e">
        <f t="shared" si="122"/>
        <v>#DIV/0!</v>
      </c>
    </row>
    <row r="216" spans="3:97">
      <c r="C216" s="107"/>
      <c r="D216" s="395"/>
      <c r="E216" s="84"/>
      <c r="F216" s="84"/>
      <c r="G216" s="389"/>
      <c r="H216" s="390"/>
      <c r="I216" s="390"/>
      <c r="J216" s="390"/>
      <c r="K216" s="390"/>
      <c r="L216" s="390"/>
      <c r="M216" s="390"/>
      <c r="N216" s="390"/>
      <c r="O216" s="390"/>
      <c r="P216" s="390"/>
      <c r="Q216" s="390"/>
      <c r="R216" s="390"/>
      <c r="S216" s="390"/>
      <c r="T216" s="390"/>
      <c r="U216" s="390"/>
      <c r="V216" s="390"/>
      <c r="W216" s="390"/>
      <c r="X216" s="390"/>
      <c r="Y216" s="390"/>
      <c r="Z216" s="390"/>
      <c r="AA216" s="390"/>
      <c r="AB216" s="390"/>
      <c r="AC216" s="390"/>
      <c r="AD216" s="390"/>
      <c r="AE216" s="390"/>
      <c r="AF216" s="390"/>
      <c r="AG216" s="390"/>
      <c r="AH216" s="390"/>
      <c r="AI216" s="391"/>
      <c r="AK216" s="437"/>
      <c r="AL216" s="437"/>
      <c r="AM216" s="437"/>
      <c r="AN216" s="437"/>
      <c r="AO216" s="437"/>
      <c r="AP216" s="437"/>
      <c r="AQ216" s="437"/>
      <c r="AR216" s="437"/>
      <c r="AS216" s="437"/>
      <c r="AT216" s="437"/>
      <c r="AU216" s="437"/>
      <c r="AV216" s="437"/>
      <c r="AW216" s="437"/>
      <c r="AX216" s="437"/>
      <c r="AY216" s="437"/>
      <c r="AZ216" s="437"/>
      <c r="BA216" s="437"/>
      <c r="BB216" s="437"/>
      <c r="BC216" s="437"/>
      <c r="BD216" s="437"/>
      <c r="BE216" s="437"/>
      <c r="BF216" s="437"/>
      <c r="BG216" s="437"/>
      <c r="BH216" s="437"/>
      <c r="BI216" s="437"/>
      <c r="BJ216" s="437"/>
      <c r="BK216" s="437"/>
      <c r="BL216" s="437"/>
      <c r="BM216" s="393"/>
      <c r="BO216" s="399">
        <f t="shared" si="93"/>
        <v>0</v>
      </c>
      <c r="BP216" s="399">
        <f t="shared" si="94"/>
        <v>0</v>
      </c>
      <c r="BQ216" s="399">
        <f t="shared" si="95"/>
        <v>0</v>
      </c>
      <c r="BR216" s="399">
        <f t="shared" si="96"/>
        <v>0</v>
      </c>
      <c r="BS216" s="399">
        <f t="shared" si="97"/>
        <v>0</v>
      </c>
      <c r="BT216" s="399">
        <f t="shared" si="98"/>
        <v>0</v>
      </c>
      <c r="BU216" s="399">
        <f t="shared" si="99"/>
        <v>0</v>
      </c>
      <c r="BV216" s="399">
        <f t="shared" si="100"/>
        <v>0</v>
      </c>
      <c r="BW216" s="399">
        <f t="shared" si="101"/>
        <v>0</v>
      </c>
      <c r="BX216" s="399">
        <f t="shared" si="102"/>
        <v>0</v>
      </c>
      <c r="BY216" s="399">
        <f t="shared" si="103"/>
        <v>0</v>
      </c>
      <c r="BZ216" s="399">
        <f t="shared" si="104"/>
        <v>0</v>
      </c>
      <c r="CA216" s="399">
        <f t="shared" si="105"/>
        <v>0</v>
      </c>
      <c r="CB216" s="399">
        <f t="shared" si="106"/>
        <v>0</v>
      </c>
      <c r="CC216" s="399">
        <f t="shared" si="107"/>
        <v>0</v>
      </c>
      <c r="CD216" s="399">
        <f t="shared" si="108"/>
        <v>0</v>
      </c>
      <c r="CE216" s="399">
        <f t="shared" si="109"/>
        <v>0</v>
      </c>
      <c r="CF216" s="399">
        <f t="shared" si="110"/>
        <v>0</v>
      </c>
      <c r="CG216" s="399">
        <f t="shared" si="111"/>
        <v>0</v>
      </c>
      <c r="CH216" s="399">
        <f t="shared" si="112"/>
        <v>0</v>
      </c>
      <c r="CI216" s="399">
        <f t="shared" si="113"/>
        <v>0</v>
      </c>
      <c r="CJ216" s="399">
        <f t="shared" si="114"/>
        <v>0</v>
      </c>
      <c r="CK216" s="399">
        <f t="shared" si="115"/>
        <v>0</v>
      </c>
      <c r="CL216" s="399">
        <f t="shared" si="116"/>
        <v>0</v>
      </c>
      <c r="CM216" s="399">
        <f t="shared" si="117"/>
        <v>0</v>
      </c>
      <c r="CN216" s="399">
        <f t="shared" si="118"/>
        <v>0</v>
      </c>
      <c r="CO216" s="399">
        <f t="shared" si="119"/>
        <v>0</v>
      </c>
      <c r="CP216" s="399">
        <f t="shared" si="120"/>
        <v>0</v>
      </c>
      <c r="CQ216" s="423">
        <f t="shared" si="121"/>
        <v>0</v>
      </c>
      <c r="CS216" s="394" t="e">
        <f t="shared" si="122"/>
        <v>#DIV/0!</v>
      </c>
    </row>
    <row r="217" spans="3:97">
      <c r="C217" s="107"/>
      <c r="D217" s="395"/>
      <c r="E217" s="84"/>
      <c r="F217" s="84"/>
      <c r="G217" s="389"/>
      <c r="H217" s="390"/>
      <c r="I217" s="390"/>
      <c r="J217" s="390"/>
      <c r="K217" s="390"/>
      <c r="L217" s="390"/>
      <c r="M217" s="390"/>
      <c r="N217" s="390"/>
      <c r="O217" s="390"/>
      <c r="P217" s="390"/>
      <c r="Q217" s="390"/>
      <c r="R217" s="390"/>
      <c r="S217" s="390"/>
      <c r="T217" s="390"/>
      <c r="U217" s="390"/>
      <c r="V217" s="390"/>
      <c r="W217" s="390"/>
      <c r="X217" s="390"/>
      <c r="Y217" s="390"/>
      <c r="Z217" s="390"/>
      <c r="AA217" s="390"/>
      <c r="AB217" s="390"/>
      <c r="AC217" s="390"/>
      <c r="AD217" s="390"/>
      <c r="AE217" s="390"/>
      <c r="AF217" s="390"/>
      <c r="AG217" s="390"/>
      <c r="AH217" s="390"/>
      <c r="AI217" s="391"/>
      <c r="AK217" s="437"/>
      <c r="AL217" s="437"/>
      <c r="AM217" s="437"/>
      <c r="AN217" s="437"/>
      <c r="AO217" s="437"/>
      <c r="AP217" s="437"/>
      <c r="AQ217" s="437"/>
      <c r="AR217" s="437"/>
      <c r="AS217" s="437"/>
      <c r="AT217" s="437"/>
      <c r="AU217" s="437"/>
      <c r="AV217" s="437"/>
      <c r="AW217" s="437"/>
      <c r="AX217" s="437"/>
      <c r="AY217" s="437"/>
      <c r="AZ217" s="437"/>
      <c r="BA217" s="437"/>
      <c r="BB217" s="437"/>
      <c r="BC217" s="437"/>
      <c r="BD217" s="437"/>
      <c r="BE217" s="437"/>
      <c r="BF217" s="437"/>
      <c r="BG217" s="437"/>
      <c r="BH217" s="437"/>
      <c r="BI217" s="437"/>
      <c r="BJ217" s="437"/>
      <c r="BK217" s="437"/>
      <c r="BL217" s="437"/>
      <c r="BM217" s="393"/>
      <c r="BO217" s="399">
        <f t="shared" si="93"/>
        <v>0</v>
      </c>
      <c r="BP217" s="399">
        <f t="shared" si="94"/>
        <v>0</v>
      </c>
      <c r="BQ217" s="399">
        <f t="shared" si="95"/>
        <v>0</v>
      </c>
      <c r="BR217" s="399">
        <f t="shared" si="96"/>
        <v>0</v>
      </c>
      <c r="BS217" s="399">
        <f t="shared" si="97"/>
        <v>0</v>
      </c>
      <c r="BT217" s="399">
        <f t="shared" si="98"/>
        <v>0</v>
      </c>
      <c r="BU217" s="399">
        <f t="shared" si="99"/>
        <v>0</v>
      </c>
      <c r="BV217" s="399">
        <f t="shared" si="100"/>
        <v>0</v>
      </c>
      <c r="BW217" s="399">
        <f t="shared" si="101"/>
        <v>0</v>
      </c>
      <c r="BX217" s="399">
        <f t="shared" si="102"/>
        <v>0</v>
      </c>
      <c r="BY217" s="399">
        <f t="shared" si="103"/>
        <v>0</v>
      </c>
      <c r="BZ217" s="399">
        <f t="shared" si="104"/>
        <v>0</v>
      </c>
      <c r="CA217" s="399">
        <f t="shared" si="105"/>
        <v>0</v>
      </c>
      <c r="CB217" s="399">
        <f t="shared" si="106"/>
        <v>0</v>
      </c>
      <c r="CC217" s="399">
        <f t="shared" si="107"/>
        <v>0</v>
      </c>
      <c r="CD217" s="399">
        <f t="shared" si="108"/>
        <v>0</v>
      </c>
      <c r="CE217" s="399">
        <f t="shared" si="109"/>
        <v>0</v>
      </c>
      <c r="CF217" s="399">
        <f t="shared" si="110"/>
        <v>0</v>
      </c>
      <c r="CG217" s="399">
        <f t="shared" si="111"/>
        <v>0</v>
      </c>
      <c r="CH217" s="399">
        <f t="shared" si="112"/>
        <v>0</v>
      </c>
      <c r="CI217" s="399">
        <f t="shared" si="113"/>
        <v>0</v>
      </c>
      <c r="CJ217" s="399">
        <f t="shared" si="114"/>
        <v>0</v>
      </c>
      <c r="CK217" s="399">
        <f t="shared" si="115"/>
        <v>0</v>
      </c>
      <c r="CL217" s="399">
        <f t="shared" si="116"/>
        <v>0</v>
      </c>
      <c r="CM217" s="399">
        <f t="shared" si="117"/>
        <v>0</v>
      </c>
      <c r="CN217" s="399">
        <f t="shared" si="118"/>
        <v>0</v>
      </c>
      <c r="CO217" s="399">
        <f t="shared" si="119"/>
        <v>0</v>
      </c>
      <c r="CP217" s="399">
        <f t="shared" si="120"/>
        <v>0</v>
      </c>
      <c r="CQ217" s="423">
        <f t="shared" si="121"/>
        <v>0</v>
      </c>
      <c r="CS217" s="394" t="e">
        <f t="shared" si="122"/>
        <v>#DIV/0!</v>
      </c>
    </row>
    <row r="218" spans="3:97">
      <c r="C218" s="107"/>
      <c r="D218" s="395"/>
      <c r="E218" s="84"/>
      <c r="F218" s="84"/>
      <c r="G218" s="389"/>
      <c r="H218" s="390"/>
      <c r="I218" s="390"/>
      <c r="J218" s="390"/>
      <c r="K218" s="390"/>
      <c r="L218" s="390"/>
      <c r="M218" s="390"/>
      <c r="N218" s="390"/>
      <c r="O218" s="390"/>
      <c r="P218" s="390"/>
      <c r="Q218" s="390"/>
      <c r="R218" s="390"/>
      <c r="S218" s="390"/>
      <c r="T218" s="390"/>
      <c r="U218" s="390"/>
      <c r="V218" s="390"/>
      <c r="W218" s="390"/>
      <c r="X218" s="390"/>
      <c r="Y218" s="390"/>
      <c r="Z218" s="390"/>
      <c r="AA218" s="390"/>
      <c r="AB218" s="390"/>
      <c r="AC218" s="390"/>
      <c r="AD218" s="390"/>
      <c r="AE218" s="390"/>
      <c r="AF218" s="390"/>
      <c r="AG218" s="390"/>
      <c r="AH218" s="390"/>
      <c r="AI218" s="391"/>
      <c r="AK218" s="437"/>
      <c r="AL218" s="437"/>
      <c r="AM218" s="437"/>
      <c r="AN218" s="437"/>
      <c r="AO218" s="437"/>
      <c r="AP218" s="437"/>
      <c r="AQ218" s="437"/>
      <c r="AR218" s="437"/>
      <c r="AS218" s="437"/>
      <c r="AT218" s="437"/>
      <c r="AU218" s="437"/>
      <c r="AV218" s="437"/>
      <c r="AW218" s="437"/>
      <c r="AX218" s="437"/>
      <c r="AY218" s="437"/>
      <c r="AZ218" s="437"/>
      <c r="BA218" s="437"/>
      <c r="BB218" s="437"/>
      <c r="BC218" s="437"/>
      <c r="BD218" s="437"/>
      <c r="BE218" s="437"/>
      <c r="BF218" s="437"/>
      <c r="BG218" s="437"/>
      <c r="BH218" s="437"/>
      <c r="BI218" s="437"/>
      <c r="BJ218" s="437"/>
      <c r="BK218" s="437"/>
      <c r="BL218" s="437"/>
      <c r="BM218" s="393"/>
      <c r="BO218" s="399">
        <f t="shared" si="93"/>
        <v>0</v>
      </c>
      <c r="BP218" s="399">
        <f t="shared" si="94"/>
        <v>0</v>
      </c>
      <c r="BQ218" s="399">
        <f t="shared" si="95"/>
        <v>0</v>
      </c>
      <c r="BR218" s="399">
        <f t="shared" si="96"/>
        <v>0</v>
      </c>
      <c r="BS218" s="399">
        <f t="shared" si="97"/>
        <v>0</v>
      </c>
      <c r="BT218" s="399">
        <f t="shared" si="98"/>
        <v>0</v>
      </c>
      <c r="BU218" s="399">
        <f t="shared" si="99"/>
        <v>0</v>
      </c>
      <c r="BV218" s="399">
        <f t="shared" si="100"/>
        <v>0</v>
      </c>
      <c r="BW218" s="399">
        <f t="shared" si="101"/>
        <v>0</v>
      </c>
      <c r="BX218" s="399">
        <f t="shared" si="102"/>
        <v>0</v>
      </c>
      <c r="BY218" s="399">
        <f t="shared" si="103"/>
        <v>0</v>
      </c>
      <c r="BZ218" s="399">
        <f t="shared" si="104"/>
        <v>0</v>
      </c>
      <c r="CA218" s="399">
        <f t="shared" si="105"/>
        <v>0</v>
      </c>
      <c r="CB218" s="399">
        <f t="shared" si="106"/>
        <v>0</v>
      </c>
      <c r="CC218" s="399">
        <f t="shared" si="107"/>
        <v>0</v>
      </c>
      <c r="CD218" s="399">
        <f t="shared" si="108"/>
        <v>0</v>
      </c>
      <c r="CE218" s="399">
        <f t="shared" si="109"/>
        <v>0</v>
      </c>
      <c r="CF218" s="399">
        <f t="shared" si="110"/>
        <v>0</v>
      </c>
      <c r="CG218" s="399">
        <f t="shared" si="111"/>
        <v>0</v>
      </c>
      <c r="CH218" s="399">
        <f t="shared" si="112"/>
        <v>0</v>
      </c>
      <c r="CI218" s="399">
        <f t="shared" si="113"/>
        <v>0</v>
      </c>
      <c r="CJ218" s="399">
        <f t="shared" si="114"/>
        <v>0</v>
      </c>
      <c r="CK218" s="399">
        <f t="shared" si="115"/>
        <v>0</v>
      </c>
      <c r="CL218" s="399">
        <f t="shared" si="116"/>
        <v>0</v>
      </c>
      <c r="CM218" s="399">
        <f t="shared" si="117"/>
        <v>0</v>
      </c>
      <c r="CN218" s="399">
        <f t="shared" si="118"/>
        <v>0</v>
      </c>
      <c r="CO218" s="399">
        <f t="shared" si="119"/>
        <v>0</v>
      </c>
      <c r="CP218" s="399">
        <f t="shared" si="120"/>
        <v>0</v>
      </c>
      <c r="CQ218" s="423">
        <f t="shared" si="121"/>
        <v>0</v>
      </c>
      <c r="CS218" s="394" t="e">
        <f t="shared" si="122"/>
        <v>#DIV/0!</v>
      </c>
    </row>
    <row r="219" spans="3:97">
      <c r="C219" s="107"/>
      <c r="D219" s="395"/>
      <c r="E219" s="84"/>
      <c r="F219" s="84"/>
      <c r="G219" s="389"/>
      <c r="H219" s="390"/>
      <c r="I219" s="390"/>
      <c r="J219" s="390"/>
      <c r="K219" s="390"/>
      <c r="L219" s="390"/>
      <c r="M219" s="390"/>
      <c r="N219" s="390"/>
      <c r="O219" s="390"/>
      <c r="P219" s="390"/>
      <c r="Q219" s="390"/>
      <c r="R219" s="390"/>
      <c r="S219" s="390"/>
      <c r="T219" s="390"/>
      <c r="U219" s="390"/>
      <c r="V219" s="390"/>
      <c r="W219" s="390"/>
      <c r="X219" s="390"/>
      <c r="Y219" s="390"/>
      <c r="Z219" s="390"/>
      <c r="AA219" s="390"/>
      <c r="AB219" s="390"/>
      <c r="AC219" s="390"/>
      <c r="AD219" s="390"/>
      <c r="AE219" s="390"/>
      <c r="AF219" s="390"/>
      <c r="AG219" s="390"/>
      <c r="AH219" s="390"/>
      <c r="AI219" s="391"/>
      <c r="AK219" s="437"/>
      <c r="AL219" s="437"/>
      <c r="AM219" s="437"/>
      <c r="AN219" s="437"/>
      <c r="AO219" s="437"/>
      <c r="AP219" s="437"/>
      <c r="AQ219" s="437"/>
      <c r="AR219" s="437"/>
      <c r="AS219" s="437"/>
      <c r="AT219" s="437"/>
      <c r="AU219" s="437"/>
      <c r="AV219" s="437"/>
      <c r="AW219" s="437"/>
      <c r="AX219" s="437"/>
      <c r="AY219" s="437"/>
      <c r="AZ219" s="437"/>
      <c r="BA219" s="437"/>
      <c r="BB219" s="437"/>
      <c r="BC219" s="437"/>
      <c r="BD219" s="437"/>
      <c r="BE219" s="437"/>
      <c r="BF219" s="437"/>
      <c r="BG219" s="437"/>
      <c r="BH219" s="437"/>
      <c r="BI219" s="437"/>
      <c r="BJ219" s="437"/>
      <c r="BK219" s="437"/>
      <c r="BL219" s="437"/>
      <c r="BM219" s="393"/>
      <c r="BO219" s="399">
        <f t="shared" si="93"/>
        <v>0</v>
      </c>
      <c r="BP219" s="399">
        <f t="shared" si="94"/>
        <v>0</v>
      </c>
      <c r="BQ219" s="399">
        <f t="shared" si="95"/>
        <v>0</v>
      </c>
      <c r="BR219" s="399">
        <f t="shared" si="96"/>
        <v>0</v>
      </c>
      <c r="BS219" s="399">
        <f t="shared" si="97"/>
        <v>0</v>
      </c>
      <c r="BT219" s="399">
        <f t="shared" si="98"/>
        <v>0</v>
      </c>
      <c r="BU219" s="399">
        <f t="shared" si="99"/>
        <v>0</v>
      </c>
      <c r="BV219" s="399">
        <f t="shared" si="100"/>
        <v>0</v>
      </c>
      <c r="BW219" s="399">
        <f t="shared" si="101"/>
        <v>0</v>
      </c>
      <c r="BX219" s="399">
        <f t="shared" si="102"/>
        <v>0</v>
      </c>
      <c r="BY219" s="399">
        <f t="shared" si="103"/>
        <v>0</v>
      </c>
      <c r="BZ219" s="399">
        <f t="shared" si="104"/>
        <v>0</v>
      </c>
      <c r="CA219" s="399">
        <f t="shared" si="105"/>
        <v>0</v>
      </c>
      <c r="CB219" s="399">
        <f t="shared" si="106"/>
        <v>0</v>
      </c>
      <c r="CC219" s="399">
        <f t="shared" si="107"/>
        <v>0</v>
      </c>
      <c r="CD219" s="399">
        <f t="shared" si="108"/>
        <v>0</v>
      </c>
      <c r="CE219" s="399">
        <f t="shared" si="109"/>
        <v>0</v>
      </c>
      <c r="CF219" s="399">
        <f t="shared" si="110"/>
        <v>0</v>
      </c>
      <c r="CG219" s="399">
        <f t="shared" si="111"/>
        <v>0</v>
      </c>
      <c r="CH219" s="399">
        <f t="shared" si="112"/>
        <v>0</v>
      </c>
      <c r="CI219" s="399">
        <f t="shared" si="113"/>
        <v>0</v>
      </c>
      <c r="CJ219" s="399">
        <f t="shared" si="114"/>
        <v>0</v>
      </c>
      <c r="CK219" s="399">
        <f t="shared" si="115"/>
        <v>0</v>
      </c>
      <c r="CL219" s="399">
        <f t="shared" si="116"/>
        <v>0</v>
      </c>
      <c r="CM219" s="399">
        <f t="shared" si="117"/>
        <v>0</v>
      </c>
      <c r="CN219" s="399">
        <f t="shared" si="118"/>
        <v>0</v>
      </c>
      <c r="CO219" s="399">
        <f t="shared" si="119"/>
        <v>0</v>
      </c>
      <c r="CP219" s="399">
        <f t="shared" si="120"/>
        <v>0</v>
      </c>
      <c r="CQ219" s="423">
        <f t="shared" si="121"/>
        <v>0</v>
      </c>
      <c r="CS219" s="394" t="e">
        <f t="shared" si="122"/>
        <v>#DIV/0!</v>
      </c>
    </row>
    <row r="220" spans="3:97">
      <c r="C220" s="107"/>
      <c r="D220" s="395"/>
      <c r="E220" s="84"/>
      <c r="F220" s="84"/>
      <c r="G220" s="389"/>
      <c r="H220" s="390"/>
      <c r="I220" s="390"/>
      <c r="J220" s="390"/>
      <c r="K220" s="390"/>
      <c r="L220" s="390"/>
      <c r="M220" s="390"/>
      <c r="N220" s="390"/>
      <c r="O220" s="390"/>
      <c r="P220" s="390"/>
      <c r="Q220" s="390"/>
      <c r="R220" s="390"/>
      <c r="S220" s="390"/>
      <c r="T220" s="390"/>
      <c r="U220" s="390"/>
      <c r="V220" s="390"/>
      <c r="W220" s="390"/>
      <c r="X220" s="390"/>
      <c r="Y220" s="390"/>
      <c r="Z220" s="390"/>
      <c r="AA220" s="390"/>
      <c r="AB220" s="390"/>
      <c r="AC220" s="390"/>
      <c r="AD220" s="390"/>
      <c r="AE220" s="390"/>
      <c r="AF220" s="390"/>
      <c r="AG220" s="390"/>
      <c r="AH220" s="390"/>
      <c r="AI220" s="391"/>
      <c r="AK220" s="437"/>
      <c r="AL220" s="437"/>
      <c r="AM220" s="437"/>
      <c r="AN220" s="437"/>
      <c r="AO220" s="437"/>
      <c r="AP220" s="437"/>
      <c r="AQ220" s="437"/>
      <c r="AR220" s="437"/>
      <c r="AS220" s="437"/>
      <c r="AT220" s="437"/>
      <c r="AU220" s="437"/>
      <c r="AV220" s="437"/>
      <c r="AW220" s="437"/>
      <c r="AX220" s="437"/>
      <c r="AY220" s="437"/>
      <c r="AZ220" s="437"/>
      <c r="BA220" s="437"/>
      <c r="BB220" s="437"/>
      <c r="BC220" s="437"/>
      <c r="BD220" s="437"/>
      <c r="BE220" s="437"/>
      <c r="BF220" s="437"/>
      <c r="BG220" s="437"/>
      <c r="BH220" s="437"/>
      <c r="BI220" s="437"/>
      <c r="BJ220" s="437"/>
      <c r="BK220" s="437"/>
      <c r="BL220" s="437"/>
      <c r="BM220" s="393"/>
      <c r="BO220" s="399">
        <f t="shared" si="93"/>
        <v>0</v>
      </c>
      <c r="BP220" s="399">
        <f t="shared" si="94"/>
        <v>0</v>
      </c>
      <c r="BQ220" s="399">
        <f t="shared" si="95"/>
        <v>0</v>
      </c>
      <c r="BR220" s="399">
        <f t="shared" si="96"/>
        <v>0</v>
      </c>
      <c r="BS220" s="399">
        <f t="shared" si="97"/>
        <v>0</v>
      </c>
      <c r="BT220" s="399">
        <f t="shared" si="98"/>
        <v>0</v>
      </c>
      <c r="BU220" s="399">
        <f t="shared" si="99"/>
        <v>0</v>
      </c>
      <c r="BV220" s="399">
        <f t="shared" si="100"/>
        <v>0</v>
      </c>
      <c r="BW220" s="399">
        <f t="shared" si="101"/>
        <v>0</v>
      </c>
      <c r="BX220" s="399">
        <f t="shared" si="102"/>
        <v>0</v>
      </c>
      <c r="BY220" s="399">
        <f t="shared" si="103"/>
        <v>0</v>
      </c>
      <c r="BZ220" s="399">
        <f t="shared" si="104"/>
        <v>0</v>
      </c>
      <c r="CA220" s="399">
        <f t="shared" si="105"/>
        <v>0</v>
      </c>
      <c r="CB220" s="399">
        <f t="shared" si="106"/>
        <v>0</v>
      </c>
      <c r="CC220" s="399">
        <f t="shared" si="107"/>
        <v>0</v>
      </c>
      <c r="CD220" s="399">
        <f t="shared" si="108"/>
        <v>0</v>
      </c>
      <c r="CE220" s="399">
        <f t="shared" si="109"/>
        <v>0</v>
      </c>
      <c r="CF220" s="399">
        <f t="shared" si="110"/>
        <v>0</v>
      </c>
      <c r="CG220" s="399">
        <f t="shared" si="111"/>
        <v>0</v>
      </c>
      <c r="CH220" s="399">
        <f t="shared" si="112"/>
        <v>0</v>
      </c>
      <c r="CI220" s="399">
        <f t="shared" si="113"/>
        <v>0</v>
      </c>
      <c r="CJ220" s="399">
        <f t="shared" si="114"/>
        <v>0</v>
      </c>
      <c r="CK220" s="399">
        <f t="shared" si="115"/>
        <v>0</v>
      </c>
      <c r="CL220" s="399">
        <f t="shared" si="116"/>
        <v>0</v>
      </c>
      <c r="CM220" s="399">
        <f t="shared" si="117"/>
        <v>0</v>
      </c>
      <c r="CN220" s="399">
        <f t="shared" si="118"/>
        <v>0</v>
      </c>
      <c r="CO220" s="399">
        <f t="shared" si="119"/>
        <v>0</v>
      </c>
      <c r="CP220" s="399">
        <f t="shared" si="120"/>
        <v>0</v>
      </c>
      <c r="CQ220" s="423">
        <f t="shared" si="121"/>
        <v>0</v>
      </c>
      <c r="CS220" s="394" t="e">
        <f t="shared" si="122"/>
        <v>#DIV/0!</v>
      </c>
    </row>
    <row r="221" spans="3:97">
      <c r="C221" s="107"/>
      <c r="D221" s="395"/>
      <c r="E221" s="84"/>
      <c r="F221" s="84"/>
      <c r="G221" s="389"/>
      <c r="H221" s="390"/>
      <c r="I221" s="390"/>
      <c r="J221" s="390"/>
      <c r="K221" s="390"/>
      <c r="L221" s="390"/>
      <c r="M221" s="390"/>
      <c r="N221" s="390"/>
      <c r="O221" s="390"/>
      <c r="P221" s="390"/>
      <c r="Q221" s="390"/>
      <c r="R221" s="390"/>
      <c r="S221" s="390"/>
      <c r="T221" s="390"/>
      <c r="U221" s="390"/>
      <c r="V221" s="390"/>
      <c r="W221" s="390"/>
      <c r="X221" s="390"/>
      <c r="Y221" s="390"/>
      <c r="Z221" s="390"/>
      <c r="AA221" s="390"/>
      <c r="AB221" s="390"/>
      <c r="AC221" s="390"/>
      <c r="AD221" s="390"/>
      <c r="AE221" s="390"/>
      <c r="AF221" s="390"/>
      <c r="AG221" s="390"/>
      <c r="AH221" s="390"/>
      <c r="AI221" s="391"/>
      <c r="AK221" s="437"/>
      <c r="AL221" s="437"/>
      <c r="AM221" s="437"/>
      <c r="AN221" s="437"/>
      <c r="AO221" s="437"/>
      <c r="AP221" s="437"/>
      <c r="AQ221" s="437"/>
      <c r="AR221" s="437"/>
      <c r="AS221" s="437"/>
      <c r="AT221" s="437"/>
      <c r="AU221" s="437"/>
      <c r="AV221" s="437"/>
      <c r="AW221" s="437"/>
      <c r="AX221" s="437"/>
      <c r="AY221" s="437"/>
      <c r="AZ221" s="437"/>
      <c r="BA221" s="437"/>
      <c r="BB221" s="437"/>
      <c r="BC221" s="437"/>
      <c r="BD221" s="437"/>
      <c r="BE221" s="437"/>
      <c r="BF221" s="437"/>
      <c r="BG221" s="437"/>
      <c r="BH221" s="437"/>
      <c r="BI221" s="437"/>
      <c r="BJ221" s="437"/>
      <c r="BK221" s="437"/>
      <c r="BL221" s="437"/>
      <c r="BM221" s="393"/>
      <c r="BO221" s="399">
        <f t="shared" si="93"/>
        <v>0</v>
      </c>
      <c r="BP221" s="399">
        <f t="shared" si="94"/>
        <v>0</v>
      </c>
      <c r="BQ221" s="399">
        <f t="shared" si="95"/>
        <v>0</v>
      </c>
      <c r="BR221" s="399">
        <f t="shared" si="96"/>
        <v>0</v>
      </c>
      <c r="BS221" s="399">
        <f t="shared" si="97"/>
        <v>0</v>
      </c>
      <c r="BT221" s="399">
        <f t="shared" si="98"/>
        <v>0</v>
      </c>
      <c r="BU221" s="399">
        <f t="shared" si="99"/>
        <v>0</v>
      </c>
      <c r="BV221" s="399">
        <f t="shared" si="100"/>
        <v>0</v>
      </c>
      <c r="BW221" s="399">
        <f t="shared" si="101"/>
        <v>0</v>
      </c>
      <c r="BX221" s="399">
        <f t="shared" si="102"/>
        <v>0</v>
      </c>
      <c r="BY221" s="399">
        <f t="shared" si="103"/>
        <v>0</v>
      </c>
      <c r="BZ221" s="399">
        <f t="shared" si="104"/>
        <v>0</v>
      </c>
      <c r="CA221" s="399">
        <f t="shared" si="105"/>
        <v>0</v>
      </c>
      <c r="CB221" s="399">
        <f t="shared" si="106"/>
        <v>0</v>
      </c>
      <c r="CC221" s="399">
        <f t="shared" si="107"/>
        <v>0</v>
      </c>
      <c r="CD221" s="399">
        <f t="shared" si="108"/>
        <v>0</v>
      </c>
      <c r="CE221" s="399">
        <f t="shared" si="109"/>
        <v>0</v>
      </c>
      <c r="CF221" s="399">
        <f t="shared" si="110"/>
        <v>0</v>
      </c>
      <c r="CG221" s="399">
        <f t="shared" si="111"/>
        <v>0</v>
      </c>
      <c r="CH221" s="399">
        <f t="shared" si="112"/>
        <v>0</v>
      </c>
      <c r="CI221" s="399">
        <f t="shared" si="113"/>
        <v>0</v>
      </c>
      <c r="CJ221" s="399">
        <f t="shared" si="114"/>
        <v>0</v>
      </c>
      <c r="CK221" s="399">
        <f t="shared" si="115"/>
        <v>0</v>
      </c>
      <c r="CL221" s="399">
        <f t="shared" si="116"/>
        <v>0</v>
      </c>
      <c r="CM221" s="399">
        <f t="shared" si="117"/>
        <v>0</v>
      </c>
      <c r="CN221" s="399">
        <f t="shared" si="118"/>
        <v>0</v>
      </c>
      <c r="CO221" s="399">
        <f t="shared" si="119"/>
        <v>0</v>
      </c>
      <c r="CP221" s="399">
        <f t="shared" si="120"/>
        <v>0</v>
      </c>
      <c r="CQ221" s="423">
        <f t="shared" si="121"/>
        <v>0</v>
      </c>
      <c r="CS221" s="394" t="e">
        <f t="shared" si="122"/>
        <v>#DIV/0!</v>
      </c>
    </row>
    <row r="222" spans="3:97">
      <c r="C222" s="107"/>
      <c r="D222" s="395"/>
      <c r="E222" s="84"/>
      <c r="F222" s="84"/>
      <c r="G222" s="389"/>
      <c r="H222" s="390"/>
      <c r="I222" s="390"/>
      <c r="J222" s="390"/>
      <c r="K222" s="390"/>
      <c r="L222" s="390"/>
      <c r="M222" s="390"/>
      <c r="N222" s="390"/>
      <c r="O222" s="390"/>
      <c r="P222" s="390"/>
      <c r="Q222" s="390"/>
      <c r="R222" s="390"/>
      <c r="S222" s="390"/>
      <c r="T222" s="390"/>
      <c r="U222" s="390"/>
      <c r="V222" s="390"/>
      <c r="W222" s="390"/>
      <c r="X222" s="390"/>
      <c r="Y222" s="390"/>
      <c r="Z222" s="390"/>
      <c r="AA222" s="390"/>
      <c r="AB222" s="390"/>
      <c r="AC222" s="390"/>
      <c r="AD222" s="390"/>
      <c r="AE222" s="390"/>
      <c r="AF222" s="390"/>
      <c r="AG222" s="390"/>
      <c r="AH222" s="390"/>
      <c r="AI222" s="391"/>
      <c r="AK222" s="437"/>
      <c r="AL222" s="437"/>
      <c r="AM222" s="437"/>
      <c r="AN222" s="437"/>
      <c r="AO222" s="437"/>
      <c r="AP222" s="437"/>
      <c r="AQ222" s="437"/>
      <c r="AR222" s="437"/>
      <c r="AS222" s="437"/>
      <c r="AT222" s="437"/>
      <c r="AU222" s="437"/>
      <c r="AV222" s="437"/>
      <c r="AW222" s="437"/>
      <c r="AX222" s="437"/>
      <c r="AY222" s="437"/>
      <c r="AZ222" s="437"/>
      <c r="BA222" s="437"/>
      <c r="BB222" s="437"/>
      <c r="BC222" s="437"/>
      <c r="BD222" s="437"/>
      <c r="BE222" s="437"/>
      <c r="BF222" s="437"/>
      <c r="BG222" s="437"/>
      <c r="BH222" s="437"/>
      <c r="BI222" s="437"/>
      <c r="BJ222" s="437"/>
      <c r="BK222" s="437"/>
      <c r="BL222" s="437"/>
      <c r="BM222" s="393"/>
      <c r="BO222" s="399">
        <f t="shared" si="93"/>
        <v>0</v>
      </c>
      <c r="BP222" s="399">
        <f t="shared" si="94"/>
        <v>0</v>
      </c>
      <c r="BQ222" s="399">
        <f t="shared" si="95"/>
        <v>0</v>
      </c>
      <c r="BR222" s="399">
        <f t="shared" si="96"/>
        <v>0</v>
      </c>
      <c r="BS222" s="399">
        <f t="shared" si="97"/>
        <v>0</v>
      </c>
      <c r="BT222" s="399">
        <f t="shared" si="98"/>
        <v>0</v>
      </c>
      <c r="BU222" s="399">
        <f t="shared" si="99"/>
        <v>0</v>
      </c>
      <c r="BV222" s="399">
        <f t="shared" si="100"/>
        <v>0</v>
      </c>
      <c r="BW222" s="399">
        <f t="shared" si="101"/>
        <v>0</v>
      </c>
      <c r="BX222" s="399">
        <f t="shared" si="102"/>
        <v>0</v>
      </c>
      <c r="BY222" s="399">
        <f t="shared" si="103"/>
        <v>0</v>
      </c>
      <c r="BZ222" s="399">
        <f t="shared" si="104"/>
        <v>0</v>
      </c>
      <c r="CA222" s="399">
        <f t="shared" si="105"/>
        <v>0</v>
      </c>
      <c r="CB222" s="399">
        <f t="shared" si="106"/>
        <v>0</v>
      </c>
      <c r="CC222" s="399">
        <f t="shared" si="107"/>
        <v>0</v>
      </c>
      <c r="CD222" s="399">
        <f t="shared" si="108"/>
        <v>0</v>
      </c>
      <c r="CE222" s="399">
        <f t="shared" si="109"/>
        <v>0</v>
      </c>
      <c r="CF222" s="399">
        <f t="shared" si="110"/>
        <v>0</v>
      </c>
      <c r="CG222" s="399">
        <f t="shared" si="111"/>
        <v>0</v>
      </c>
      <c r="CH222" s="399">
        <f t="shared" si="112"/>
        <v>0</v>
      </c>
      <c r="CI222" s="399">
        <f t="shared" si="113"/>
        <v>0</v>
      </c>
      <c r="CJ222" s="399">
        <f t="shared" si="114"/>
        <v>0</v>
      </c>
      <c r="CK222" s="399">
        <f t="shared" si="115"/>
        <v>0</v>
      </c>
      <c r="CL222" s="399">
        <f t="shared" si="116"/>
        <v>0</v>
      </c>
      <c r="CM222" s="399">
        <f t="shared" si="117"/>
        <v>0</v>
      </c>
      <c r="CN222" s="399">
        <f t="shared" si="118"/>
        <v>0</v>
      </c>
      <c r="CO222" s="399">
        <f t="shared" si="119"/>
        <v>0</v>
      </c>
      <c r="CP222" s="399">
        <f t="shared" si="120"/>
        <v>0</v>
      </c>
      <c r="CQ222" s="423">
        <f t="shared" si="121"/>
        <v>0</v>
      </c>
      <c r="CS222" s="394" t="e">
        <f t="shared" si="122"/>
        <v>#DIV/0!</v>
      </c>
    </row>
    <row r="223" spans="3:97">
      <c r="C223" s="107"/>
      <c r="D223" s="395"/>
      <c r="E223" s="84"/>
      <c r="F223" s="84"/>
      <c r="G223" s="389"/>
      <c r="H223" s="390"/>
      <c r="I223" s="390"/>
      <c r="J223" s="390"/>
      <c r="K223" s="390"/>
      <c r="L223" s="390"/>
      <c r="M223" s="390"/>
      <c r="N223" s="390"/>
      <c r="O223" s="390"/>
      <c r="P223" s="390"/>
      <c r="Q223" s="390"/>
      <c r="R223" s="390"/>
      <c r="S223" s="390"/>
      <c r="T223" s="390"/>
      <c r="U223" s="390"/>
      <c r="V223" s="390"/>
      <c r="W223" s="390"/>
      <c r="X223" s="390"/>
      <c r="Y223" s="390"/>
      <c r="Z223" s="390"/>
      <c r="AA223" s="390"/>
      <c r="AB223" s="390"/>
      <c r="AC223" s="390"/>
      <c r="AD223" s="390"/>
      <c r="AE223" s="390"/>
      <c r="AF223" s="390"/>
      <c r="AG223" s="390"/>
      <c r="AH223" s="390"/>
      <c r="AI223" s="391"/>
      <c r="AK223" s="437"/>
      <c r="AL223" s="437"/>
      <c r="AM223" s="437"/>
      <c r="AN223" s="437"/>
      <c r="AO223" s="437"/>
      <c r="AP223" s="437"/>
      <c r="AQ223" s="437"/>
      <c r="AR223" s="437"/>
      <c r="AS223" s="437"/>
      <c r="AT223" s="437"/>
      <c r="AU223" s="437"/>
      <c r="AV223" s="437"/>
      <c r="AW223" s="437"/>
      <c r="AX223" s="437"/>
      <c r="AY223" s="437"/>
      <c r="AZ223" s="437"/>
      <c r="BA223" s="437"/>
      <c r="BB223" s="437"/>
      <c r="BC223" s="437"/>
      <c r="BD223" s="437"/>
      <c r="BE223" s="437"/>
      <c r="BF223" s="437"/>
      <c r="BG223" s="437"/>
      <c r="BH223" s="437"/>
      <c r="BI223" s="437"/>
      <c r="BJ223" s="437"/>
      <c r="BK223" s="437"/>
      <c r="BL223" s="437"/>
      <c r="BM223" s="393"/>
      <c r="BO223" s="399">
        <f t="shared" si="93"/>
        <v>0</v>
      </c>
      <c r="BP223" s="399">
        <f t="shared" si="94"/>
        <v>0</v>
      </c>
      <c r="BQ223" s="399">
        <f t="shared" si="95"/>
        <v>0</v>
      </c>
      <c r="BR223" s="399">
        <f t="shared" si="96"/>
        <v>0</v>
      </c>
      <c r="BS223" s="399">
        <f t="shared" si="97"/>
        <v>0</v>
      </c>
      <c r="BT223" s="399">
        <f t="shared" si="98"/>
        <v>0</v>
      </c>
      <c r="BU223" s="399">
        <f t="shared" si="99"/>
        <v>0</v>
      </c>
      <c r="BV223" s="399">
        <f t="shared" si="100"/>
        <v>0</v>
      </c>
      <c r="BW223" s="399">
        <f t="shared" si="101"/>
        <v>0</v>
      </c>
      <c r="BX223" s="399">
        <f t="shared" si="102"/>
        <v>0</v>
      </c>
      <c r="BY223" s="399">
        <f t="shared" si="103"/>
        <v>0</v>
      </c>
      <c r="BZ223" s="399">
        <f t="shared" si="104"/>
        <v>0</v>
      </c>
      <c r="CA223" s="399">
        <f t="shared" si="105"/>
        <v>0</v>
      </c>
      <c r="CB223" s="399">
        <f t="shared" si="106"/>
        <v>0</v>
      </c>
      <c r="CC223" s="399">
        <f t="shared" si="107"/>
        <v>0</v>
      </c>
      <c r="CD223" s="399">
        <f t="shared" si="108"/>
        <v>0</v>
      </c>
      <c r="CE223" s="399">
        <f t="shared" si="109"/>
        <v>0</v>
      </c>
      <c r="CF223" s="399">
        <f t="shared" si="110"/>
        <v>0</v>
      </c>
      <c r="CG223" s="399">
        <f t="shared" si="111"/>
        <v>0</v>
      </c>
      <c r="CH223" s="399">
        <f t="shared" si="112"/>
        <v>0</v>
      </c>
      <c r="CI223" s="399">
        <f t="shared" si="113"/>
        <v>0</v>
      </c>
      <c r="CJ223" s="399">
        <f t="shared" si="114"/>
        <v>0</v>
      </c>
      <c r="CK223" s="399">
        <f t="shared" si="115"/>
        <v>0</v>
      </c>
      <c r="CL223" s="399">
        <f t="shared" si="116"/>
        <v>0</v>
      </c>
      <c r="CM223" s="399">
        <f t="shared" si="117"/>
        <v>0</v>
      </c>
      <c r="CN223" s="399">
        <f t="shared" si="118"/>
        <v>0</v>
      </c>
      <c r="CO223" s="399">
        <f t="shared" si="119"/>
        <v>0</v>
      </c>
      <c r="CP223" s="399">
        <f t="shared" si="120"/>
        <v>0</v>
      </c>
      <c r="CQ223" s="423">
        <f t="shared" si="121"/>
        <v>0</v>
      </c>
      <c r="CS223" s="394" t="e">
        <f t="shared" si="122"/>
        <v>#DIV/0!</v>
      </c>
    </row>
    <row r="224" spans="3:97">
      <c r="C224" s="107"/>
      <c r="D224" s="395"/>
      <c r="E224" s="84"/>
      <c r="F224" s="84"/>
      <c r="G224" s="389"/>
      <c r="H224" s="390"/>
      <c r="I224" s="390"/>
      <c r="J224" s="390"/>
      <c r="K224" s="390"/>
      <c r="L224" s="390"/>
      <c r="M224" s="390"/>
      <c r="N224" s="390"/>
      <c r="O224" s="390"/>
      <c r="P224" s="390"/>
      <c r="Q224" s="390"/>
      <c r="R224" s="390"/>
      <c r="S224" s="390"/>
      <c r="T224" s="390"/>
      <c r="U224" s="390"/>
      <c r="V224" s="390"/>
      <c r="W224" s="390"/>
      <c r="X224" s="390"/>
      <c r="Y224" s="390"/>
      <c r="Z224" s="390"/>
      <c r="AA224" s="390"/>
      <c r="AB224" s="390"/>
      <c r="AC224" s="390"/>
      <c r="AD224" s="390"/>
      <c r="AE224" s="390"/>
      <c r="AF224" s="390"/>
      <c r="AG224" s="390"/>
      <c r="AH224" s="390"/>
      <c r="AI224" s="391"/>
      <c r="AK224" s="437"/>
      <c r="AL224" s="437"/>
      <c r="AM224" s="437"/>
      <c r="AN224" s="437"/>
      <c r="AO224" s="437"/>
      <c r="AP224" s="437"/>
      <c r="AQ224" s="437"/>
      <c r="AR224" s="437"/>
      <c r="AS224" s="437"/>
      <c r="AT224" s="437"/>
      <c r="AU224" s="437"/>
      <c r="AV224" s="437"/>
      <c r="AW224" s="437"/>
      <c r="AX224" s="437"/>
      <c r="AY224" s="437"/>
      <c r="AZ224" s="437"/>
      <c r="BA224" s="437"/>
      <c r="BB224" s="437"/>
      <c r="BC224" s="437"/>
      <c r="BD224" s="437"/>
      <c r="BE224" s="437"/>
      <c r="BF224" s="437"/>
      <c r="BG224" s="437"/>
      <c r="BH224" s="437"/>
      <c r="BI224" s="437"/>
      <c r="BJ224" s="437"/>
      <c r="BK224" s="437"/>
      <c r="BL224" s="437"/>
      <c r="BM224" s="393"/>
      <c r="BO224" s="399">
        <f t="shared" si="93"/>
        <v>0</v>
      </c>
      <c r="BP224" s="399">
        <f t="shared" si="94"/>
        <v>0</v>
      </c>
      <c r="BQ224" s="399">
        <f t="shared" si="95"/>
        <v>0</v>
      </c>
      <c r="BR224" s="399">
        <f t="shared" si="96"/>
        <v>0</v>
      </c>
      <c r="BS224" s="399">
        <f t="shared" si="97"/>
        <v>0</v>
      </c>
      <c r="BT224" s="399">
        <f t="shared" si="98"/>
        <v>0</v>
      </c>
      <c r="BU224" s="399">
        <f t="shared" si="99"/>
        <v>0</v>
      </c>
      <c r="BV224" s="399">
        <f t="shared" si="100"/>
        <v>0</v>
      </c>
      <c r="BW224" s="399">
        <f t="shared" si="101"/>
        <v>0</v>
      </c>
      <c r="BX224" s="399">
        <f t="shared" si="102"/>
        <v>0</v>
      </c>
      <c r="BY224" s="399">
        <f t="shared" si="103"/>
        <v>0</v>
      </c>
      <c r="BZ224" s="399">
        <f t="shared" si="104"/>
        <v>0</v>
      </c>
      <c r="CA224" s="399">
        <f t="shared" si="105"/>
        <v>0</v>
      </c>
      <c r="CB224" s="399">
        <f t="shared" si="106"/>
        <v>0</v>
      </c>
      <c r="CC224" s="399">
        <f t="shared" si="107"/>
        <v>0</v>
      </c>
      <c r="CD224" s="399">
        <f t="shared" si="108"/>
        <v>0</v>
      </c>
      <c r="CE224" s="399">
        <f t="shared" si="109"/>
        <v>0</v>
      </c>
      <c r="CF224" s="399">
        <f t="shared" si="110"/>
        <v>0</v>
      </c>
      <c r="CG224" s="399">
        <f t="shared" si="111"/>
        <v>0</v>
      </c>
      <c r="CH224" s="399">
        <f t="shared" si="112"/>
        <v>0</v>
      </c>
      <c r="CI224" s="399">
        <f t="shared" si="113"/>
        <v>0</v>
      </c>
      <c r="CJ224" s="399">
        <f t="shared" si="114"/>
        <v>0</v>
      </c>
      <c r="CK224" s="399">
        <f t="shared" si="115"/>
        <v>0</v>
      </c>
      <c r="CL224" s="399">
        <f t="shared" si="116"/>
        <v>0</v>
      </c>
      <c r="CM224" s="399">
        <f t="shared" si="117"/>
        <v>0</v>
      </c>
      <c r="CN224" s="399">
        <f t="shared" si="118"/>
        <v>0</v>
      </c>
      <c r="CO224" s="399">
        <f t="shared" si="119"/>
        <v>0</v>
      </c>
      <c r="CP224" s="399">
        <f t="shared" si="120"/>
        <v>0</v>
      </c>
      <c r="CQ224" s="423">
        <f t="shared" si="121"/>
        <v>0</v>
      </c>
      <c r="CS224" s="394" t="e">
        <f t="shared" si="122"/>
        <v>#DIV/0!</v>
      </c>
    </row>
    <row r="225" spans="3:97">
      <c r="C225" s="107"/>
      <c r="D225" s="395"/>
      <c r="E225" s="84"/>
      <c r="F225" s="84"/>
      <c r="G225" s="389"/>
      <c r="H225" s="390"/>
      <c r="I225" s="390"/>
      <c r="J225" s="390"/>
      <c r="K225" s="390"/>
      <c r="L225" s="390"/>
      <c r="M225" s="390"/>
      <c r="N225" s="390"/>
      <c r="O225" s="390"/>
      <c r="P225" s="390"/>
      <c r="Q225" s="390"/>
      <c r="R225" s="390"/>
      <c r="S225" s="390"/>
      <c r="T225" s="390"/>
      <c r="U225" s="390"/>
      <c r="V225" s="390"/>
      <c r="W225" s="390"/>
      <c r="X225" s="390"/>
      <c r="Y225" s="390"/>
      <c r="Z225" s="390"/>
      <c r="AA225" s="390"/>
      <c r="AB225" s="390"/>
      <c r="AC225" s="390"/>
      <c r="AD225" s="390"/>
      <c r="AE225" s="390"/>
      <c r="AF225" s="390"/>
      <c r="AG225" s="390"/>
      <c r="AH225" s="390"/>
      <c r="AI225" s="391"/>
      <c r="AK225" s="437"/>
      <c r="AL225" s="437"/>
      <c r="AM225" s="437"/>
      <c r="AN225" s="437"/>
      <c r="AO225" s="437"/>
      <c r="AP225" s="437"/>
      <c r="AQ225" s="437"/>
      <c r="AR225" s="437"/>
      <c r="AS225" s="437"/>
      <c r="AT225" s="437"/>
      <c r="AU225" s="437"/>
      <c r="AV225" s="437"/>
      <c r="AW225" s="437"/>
      <c r="AX225" s="437"/>
      <c r="AY225" s="437"/>
      <c r="AZ225" s="437"/>
      <c r="BA225" s="437"/>
      <c r="BB225" s="437"/>
      <c r="BC225" s="437"/>
      <c r="BD225" s="437"/>
      <c r="BE225" s="437"/>
      <c r="BF225" s="437"/>
      <c r="BG225" s="437"/>
      <c r="BH225" s="437"/>
      <c r="BI225" s="437"/>
      <c r="BJ225" s="437"/>
      <c r="BK225" s="437"/>
      <c r="BL225" s="437"/>
      <c r="BM225" s="393"/>
      <c r="BO225" s="399">
        <f t="shared" si="93"/>
        <v>0</v>
      </c>
      <c r="BP225" s="399">
        <f t="shared" si="94"/>
        <v>0</v>
      </c>
      <c r="BQ225" s="399">
        <f t="shared" si="95"/>
        <v>0</v>
      </c>
      <c r="BR225" s="399">
        <f t="shared" si="96"/>
        <v>0</v>
      </c>
      <c r="BS225" s="399">
        <f t="shared" si="97"/>
        <v>0</v>
      </c>
      <c r="BT225" s="399">
        <f t="shared" si="98"/>
        <v>0</v>
      </c>
      <c r="BU225" s="399">
        <f t="shared" si="99"/>
        <v>0</v>
      </c>
      <c r="BV225" s="399">
        <f t="shared" si="100"/>
        <v>0</v>
      </c>
      <c r="BW225" s="399">
        <f t="shared" si="101"/>
        <v>0</v>
      </c>
      <c r="BX225" s="399">
        <f t="shared" si="102"/>
        <v>0</v>
      </c>
      <c r="BY225" s="399">
        <f t="shared" si="103"/>
        <v>0</v>
      </c>
      <c r="BZ225" s="399">
        <f t="shared" si="104"/>
        <v>0</v>
      </c>
      <c r="CA225" s="399">
        <f t="shared" si="105"/>
        <v>0</v>
      </c>
      <c r="CB225" s="399">
        <f t="shared" si="106"/>
        <v>0</v>
      </c>
      <c r="CC225" s="399">
        <f t="shared" si="107"/>
        <v>0</v>
      </c>
      <c r="CD225" s="399">
        <f t="shared" si="108"/>
        <v>0</v>
      </c>
      <c r="CE225" s="399">
        <f t="shared" si="109"/>
        <v>0</v>
      </c>
      <c r="CF225" s="399">
        <f t="shared" si="110"/>
        <v>0</v>
      </c>
      <c r="CG225" s="399">
        <f t="shared" si="111"/>
        <v>0</v>
      </c>
      <c r="CH225" s="399">
        <f t="shared" si="112"/>
        <v>0</v>
      </c>
      <c r="CI225" s="399">
        <f t="shared" si="113"/>
        <v>0</v>
      </c>
      <c r="CJ225" s="399">
        <f t="shared" si="114"/>
        <v>0</v>
      </c>
      <c r="CK225" s="399">
        <f t="shared" si="115"/>
        <v>0</v>
      </c>
      <c r="CL225" s="399">
        <f t="shared" si="116"/>
        <v>0</v>
      </c>
      <c r="CM225" s="399">
        <f t="shared" si="117"/>
        <v>0</v>
      </c>
      <c r="CN225" s="399">
        <f t="shared" si="118"/>
        <v>0</v>
      </c>
      <c r="CO225" s="399">
        <f t="shared" si="119"/>
        <v>0</v>
      </c>
      <c r="CP225" s="399">
        <f t="shared" si="120"/>
        <v>0</v>
      </c>
      <c r="CQ225" s="423">
        <f t="shared" si="121"/>
        <v>0</v>
      </c>
      <c r="CS225" s="394" t="e">
        <f t="shared" si="122"/>
        <v>#DIV/0!</v>
      </c>
    </row>
    <row r="226" spans="3:97">
      <c r="C226" s="107"/>
      <c r="D226" s="395"/>
      <c r="E226" s="84"/>
      <c r="F226" s="84"/>
      <c r="G226" s="389"/>
      <c r="H226" s="390"/>
      <c r="I226" s="390"/>
      <c r="J226" s="390"/>
      <c r="K226" s="390"/>
      <c r="L226" s="390"/>
      <c r="M226" s="390"/>
      <c r="N226" s="390"/>
      <c r="O226" s="390"/>
      <c r="P226" s="390"/>
      <c r="Q226" s="390"/>
      <c r="R226" s="390"/>
      <c r="S226" s="390"/>
      <c r="T226" s="390"/>
      <c r="U226" s="390"/>
      <c r="V226" s="390"/>
      <c r="W226" s="390"/>
      <c r="X226" s="390"/>
      <c r="Y226" s="390"/>
      <c r="Z226" s="390"/>
      <c r="AA226" s="390"/>
      <c r="AB226" s="390"/>
      <c r="AC226" s="390"/>
      <c r="AD226" s="390"/>
      <c r="AE226" s="390"/>
      <c r="AF226" s="390"/>
      <c r="AG226" s="390"/>
      <c r="AH226" s="390"/>
      <c r="AI226" s="391"/>
      <c r="AK226" s="437"/>
      <c r="AL226" s="437"/>
      <c r="AM226" s="437"/>
      <c r="AN226" s="437"/>
      <c r="AO226" s="437"/>
      <c r="AP226" s="437"/>
      <c r="AQ226" s="437"/>
      <c r="AR226" s="437"/>
      <c r="AS226" s="437"/>
      <c r="AT226" s="437"/>
      <c r="AU226" s="437"/>
      <c r="AV226" s="437"/>
      <c r="AW226" s="437"/>
      <c r="AX226" s="437"/>
      <c r="AY226" s="437"/>
      <c r="AZ226" s="437"/>
      <c r="BA226" s="437"/>
      <c r="BB226" s="437"/>
      <c r="BC226" s="437"/>
      <c r="BD226" s="437"/>
      <c r="BE226" s="437"/>
      <c r="BF226" s="437"/>
      <c r="BG226" s="437"/>
      <c r="BH226" s="437"/>
      <c r="BI226" s="437"/>
      <c r="BJ226" s="437"/>
      <c r="BK226" s="437"/>
      <c r="BL226" s="437"/>
      <c r="BM226" s="393"/>
      <c r="BO226" s="399">
        <f t="shared" si="93"/>
        <v>0</v>
      </c>
      <c r="BP226" s="399">
        <f t="shared" si="94"/>
        <v>0</v>
      </c>
      <c r="BQ226" s="399">
        <f t="shared" si="95"/>
        <v>0</v>
      </c>
      <c r="BR226" s="399">
        <f t="shared" si="96"/>
        <v>0</v>
      </c>
      <c r="BS226" s="399">
        <f t="shared" si="97"/>
        <v>0</v>
      </c>
      <c r="BT226" s="399">
        <f t="shared" si="98"/>
        <v>0</v>
      </c>
      <c r="BU226" s="399">
        <f t="shared" si="99"/>
        <v>0</v>
      </c>
      <c r="BV226" s="399">
        <f t="shared" si="100"/>
        <v>0</v>
      </c>
      <c r="BW226" s="399">
        <f t="shared" si="101"/>
        <v>0</v>
      </c>
      <c r="BX226" s="399">
        <f t="shared" si="102"/>
        <v>0</v>
      </c>
      <c r="BY226" s="399">
        <f t="shared" si="103"/>
        <v>0</v>
      </c>
      <c r="BZ226" s="399">
        <f t="shared" si="104"/>
        <v>0</v>
      </c>
      <c r="CA226" s="399">
        <f t="shared" si="105"/>
        <v>0</v>
      </c>
      <c r="CB226" s="399">
        <f t="shared" si="106"/>
        <v>0</v>
      </c>
      <c r="CC226" s="399">
        <f t="shared" si="107"/>
        <v>0</v>
      </c>
      <c r="CD226" s="399">
        <f t="shared" si="108"/>
        <v>0</v>
      </c>
      <c r="CE226" s="399">
        <f t="shared" si="109"/>
        <v>0</v>
      </c>
      <c r="CF226" s="399">
        <f t="shared" si="110"/>
        <v>0</v>
      </c>
      <c r="CG226" s="399">
        <f t="shared" si="111"/>
        <v>0</v>
      </c>
      <c r="CH226" s="399">
        <f t="shared" si="112"/>
        <v>0</v>
      </c>
      <c r="CI226" s="399">
        <f t="shared" si="113"/>
        <v>0</v>
      </c>
      <c r="CJ226" s="399">
        <f t="shared" si="114"/>
        <v>0</v>
      </c>
      <c r="CK226" s="399">
        <f t="shared" si="115"/>
        <v>0</v>
      </c>
      <c r="CL226" s="399">
        <f t="shared" si="116"/>
        <v>0</v>
      </c>
      <c r="CM226" s="399">
        <f t="shared" si="117"/>
        <v>0</v>
      </c>
      <c r="CN226" s="399">
        <f t="shared" si="118"/>
        <v>0</v>
      </c>
      <c r="CO226" s="399">
        <f t="shared" si="119"/>
        <v>0</v>
      </c>
      <c r="CP226" s="399">
        <f t="shared" si="120"/>
        <v>0</v>
      </c>
      <c r="CQ226" s="423">
        <f t="shared" si="121"/>
        <v>0</v>
      </c>
      <c r="CS226" s="394" t="e">
        <f t="shared" si="122"/>
        <v>#DIV/0!</v>
      </c>
    </row>
    <row r="227" spans="3:97">
      <c r="C227" s="107"/>
      <c r="D227" s="395"/>
      <c r="E227" s="84"/>
      <c r="F227" s="84"/>
      <c r="G227" s="389"/>
      <c r="H227" s="390"/>
      <c r="I227" s="390"/>
      <c r="J227" s="390"/>
      <c r="K227" s="390"/>
      <c r="L227" s="390"/>
      <c r="M227" s="390"/>
      <c r="N227" s="390"/>
      <c r="O227" s="390"/>
      <c r="P227" s="390"/>
      <c r="Q227" s="390"/>
      <c r="R227" s="390"/>
      <c r="S227" s="390"/>
      <c r="T227" s="390"/>
      <c r="U227" s="390"/>
      <c r="V227" s="390"/>
      <c r="W227" s="390"/>
      <c r="X227" s="390"/>
      <c r="Y227" s="390"/>
      <c r="Z227" s="390"/>
      <c r="AA227" s="390"/>
      <c r="AB227" s="390"/>
      <c r="AC227" s="390"/>
      <c r="AD227" s="390"/>
      <c r="AE227" s="390"/>
      <c r="AF227" s="390"/>
      <c r="AG227" s="390"/>
      <c r="AH227" s="390"/>
      <c r="AI227" s="391"/>
      <c r="AK227" s="437"/>
      <c r="AL227" s="437"/>
      <c r="AM227" s="437"/>
      <c r="AN227" s="437"/>
      <c r="AO227" s="437"/>
      <c r="AP227" s="437"/>
      <c r="AQ227" s="437"/>
      <c r="AR227" s="437"/>
      <c r="AS227" s="437"/>
      <c r="AT227" s="437"/>
      <c r="AU227" s="437"/>
      <c r="AV227" s="437"/>
      <c r="AW227" s="437"/>
      <c r="AX227" s="437"/>
      <c r="AY227" s="437"/>
      <c r="AZ227" s="437"/>
      <c r="BA227" s="437"/>
      <c r="BB227" s="437"/>
      <c r="BC227" s="437"/>
      <c r="BD227" s="437"/>
      <c r="BE227" s="437"/>
      <c r="BF227" s="437"/>
      <c r="BG227" s="437"/>
      <c r="BH227" s="437"/>
      <c r="BI227" s="437"/>
      <c r="BJ227" s="437"/>
      <c r="BK227" s="437"/>
      <c r="BL227" s="437"/>
      <c r="BM227" s="393"/>
      <c r="BO227" s="399">
        <f t="shared" si="93"/>
        <v>0</v>
      </c>
      <c r="BP227" s="399">
        <f t="shared" si="94"/>
        <v>0</v>
      </c>
      <c r="BQ227" s="399">
        <f t="shared" si="95"/>
        <v>0</v>
      </c>
      <c r="BR227" s="399">
        <f t="shared" si="96"/>
        <v>0</v>
      </c>
      <c r="BS227" s="399">
        <f t="shared" si="97"/>
        <v>0</v>
      </c>
      <c r="BT227" s="399">
        <f t="shared" si="98"/>
        <v>0</v>
      </c>
      <c r="BU227" s="399">
        <f t="shared" si="99"/>
        <v>0</v>
      </c>
      <c r="BV227" s="399">
        <f t="shared" si="100"/>
        <v>0</v>
      </c>
      <c r="BW227" s="399">
        <f t="shared" si="101"/>
        <v>0</v>
      </c>
      <c r="BX227" s="399">
        <f t="shared" si="102"/>
        <v>0</v>
      </c>
      <c r="BY227" s="399">
        <f t="shared" si="103"/>
        <v>0</v>
      </c>
      <c r="BZ227" s="399">
        <f t="shared" si="104"/>
        <v>0</v>
      </c>
      <c r="CA227" s="399">
        <f t="shared" si="105"/>
        <v>0</v>
      </c>
      <c r="CB227" s="399">
        <f t="shared" si="106"/>
        <v>0</v>
      </c>
      <c r="CC227" s="399">
        <f t="shared" si="107"/>
        <v>0</v>
      </c>
      <c r="CD227" s="399">
        <f t="shared" si="108"/>
        <v>0</v>
      </c>
      <c r="CE227" s="399">
        <f t="shared" si="109"/>
        <v>0</v>
      </c>
      <c r="CF227" s="399">
        <f t="shared" si="110"/>
        <v>0</v>
      </c>
      <c r="CG227" s="399">
        <f t="shared" si="111"/>
        <v>0</v>
      </c>
      <c r="CH227" s="399">
        <f t="shared" si="112"/>
        <v>0</v>
      </c>
      <c r="CI227" s="399">
        <f t="shared" si="113"/>
        <v>0</v>
      </c>
      <c r="CJ227" s="399">
        <f t="shared" si="114"/>
        <v>0</v>
      </c>
      <c r="CK227" s="399">
        <f t="shared" si="115"/>
        <v>0</v>
      </c>
      <c r="CL227" s="399">
        <f t="shared" si="116"/>
        <v>0</v>
      </c>
      <c r="CM227" s="399">
        <f t="shared" si="117"/>
        <v>0</v>
      </c>
      <c r="CN227" s="399">
        <f t="shared" si="118"/>
        <v>0</v>
      </c>
      <c r="CO227" s="399">
        <f t="shared" si="119"/>
        <v>0</v>
      </c>
      <c r="CP227" s="399">
        <f t="shared" si="120"/>
        <v>0</v>
      </c>
      <c r="CQ227" s="423">
        <f t="shared" si="121"/>
        <v>0</v>
      </c>
      <c r="CS227" s="394" t="e">
        <f t="shared" si="122"/>
        <v>#DIV/0!</v>
      </c>
    </row>
    <row r="228" spans="3:97">
      <c r="C228" s="107"/>
      <c r="D228" s="395"/>
      <c r="E228" s="84"/>
      <c r="F228" s="84"/>
      <c r="G228" s="389"/>
      <c r="H228" s="390"/>
      <c r="I228" s="390"/>
      <c r="J228" s="390"/>
      <c r="K228" s="390"/>
      <c r="L228" s="390"/>
      <c r="M228" s="390"/>
      <c r="N228" s="390"/>
      <c r="O228" s="390"/>
      <c r="P228" s="390"/>
      <c r="Q228" s="390"/>
      <c r="R228" s="390"/>
      <c r="S228" s="390"/>
      <c r="T228" s="390"/>
      <c r="U228" s="390"/>
      <c r="V228" s="390"/>
      <c r="W228" s="390"/>
      <c r="X228" s="390"/>
      <c r="Y228" s="390"/>
      <c r="Z228" s="390"/>
      <c r="AA228" s="390"/>
      <c r="AB228" s="390"/>
      <c r="AC228" s="390"/>
      <c r="AD228" s="390"/>
      <c r="AE228" s="390"/>
      <c r="AF228" s="390"/>
      <c r="AG228" s="390"/>
      <c r="AH228" s="390"/>
      <c r="AI228" s="391"/>
      <c r="AK228" s="437"/>
      <c r="AL228" s="437"/>
      <c r="AM228" s="437"/>
      <c r="AN228" s="437"/>
      <c r="AO228" s="437"/>
      <c r="AP228" s="437"/>
      <c r="AQ228" s="437"/>
      <c r="AR228" s="437"/>
      <c r="AS228" s="437"/>
      <c r="AT228" s="437"/>
      <c r="AU228" s="437"/>
      <c r="AV228" s="437"/>
      <c r="AW228" s="437"/>
      <c r="AX228" s="437"/>
      <c r="AY228" s="437"/>
      <c r="AZ228" s="437"/>
      <c r="BA228" s="437"/>
      <c r="BB228" s="437"/>
      <c r="BC228" s="437"/>
      <c r="BD228" s="437"/>
      <c r="BE228" s="437"/>
      <c r="BF228" s="437"/>
      <c r="BG228" s="437"/>
      <c r="BH228" s="437"/>
      <c r="BI228" s="437"/>
      <c r="BJ228" s="437"/>
      <c r="BK228" s="437"/>
      <c r="BL228" s="437"/>
      <c r="BM228" s="393"/>
      <c r="BO228" s="399">
        <f t="shared" si="93"/>
        <v>0</v>
      </c>
      <c r="BP228" s="399">
        <f t="shared" si="94"/>
        <v>0</v>
      </c>
      <c r="BQ228" s="399">
        <f t="shared" si="95"/>
        <v>0</v>
      </c>
      <c r="BR228" s="399">
        <f t="shared" si="96"/>
        <v>0</v>
      </c>
      <c r="BS228" s="399">
        <f t="shared" si="97"/>
        <v>0</v>
      </c>
      <c r="BT228" s="399">
        <f t="shared" si="98"/>
        <v>0</v>
      </c>
      <c r="BU228" s="399">
        <f t="shared" si="99"/>
        <v>0</v>
      </c>
      <c r="BV228" s="399">
        <f t="shared" si="100"/>
        <v>0</v>
      </c>
      <c r="BW228" s="399">
        <f t="shared" si="101"/>
        <v>0</v>
      </c>
      <c r="BX228" s="399">
        <f t="shared" si="102"/>
        <v>0</v>
      </c>
      <c r="BY228" s="399">
        <f t="shared" si="103"/>
        <v>0</v>
      </c>
      <c r="BZ228" s="399">
        <f t="shared" si="104"/>
        <v>0</v>
      </c>
      <c r="CA228" s="399">
        <f t="shared" si="105"/>
        <v>0</v>
      </c>
      <c r="CB228" s="399">
        <f t="shared" si="106"/>
        <v>0</v>
      </c>
      <c r="CC228" s="399">
        <f t="shared" si="107"/>
        <v>0</v>
      </c>
      <c r="CD228" s="399">
        <f t="shared" si="108"/>
        <v>0</v>
      </c>
      <c r="CE228" s="399">
        <f t="shared" si="109"/>
        <v>0</v>
      </c>
      <c r="CF228" s="399">
        <f t="shared" si="110"/>
        <v>0</v>
      </c>
      <c r="CG228" s="399">
        <f t="shared" si="111"/>
        <v>0</v>
      </c>
      <c r="CH228" s="399">
        <f t="shared" si="112"/>
        <v>0</v>
      </c>
      <c r="CI228" s="399">
        <f t="shared" si="113"/>
        <v>0</v>
      </c>
      <c r="CJ228" s="399">
        <f t="shared" si="114"/>
        <v>0</v>
      </c>
      <c r="CK228" s="399">
        <f t="shared" si="115"/>
        <v>0</v>
      </c>
      <c r="CL228" s="399">
        <f t="shared" si="116"/>
        <v>0</v>
      </c>
      <c r="CM228" s="399">
        <f t="shared" si="117"/>
        <v>0</v>
      </c>
      <c r="CN228" s="399">
        <f t="shared" si="118"/>
        <v>0</v>
      </c>
      <c r="CO228" s="399">
        <f t="shared" si="119"/>
        <v>0</v>
      </c>
      <c r="CP228" s="399">
        <f t="shared" si="120"/>
        <v>0</v>
      </c>
      <c r="CQ228" s="423">
        <f t="shared" si="121"/>
        <v>0</v>
      </c>
      <c r="CS228" s="394" t="e">
        <f t="shared" si="122"/>
        <v>#DIV/0!</v>
      </c>
    </row>
    <row r="229" spans="3:97">
      <c r="C229" s="107"/>
      <c r="D229" s="395"/>
      <c r="E229" s="84"/>
      <c r="F229" s="84"/>
      <c r="G229" s="389"/>
      <c r="H229" s="390"/>
      <c r="I229" s="390"/>
      <c r="J229" s="390"/>
      <c r="K229" s="390"/>
      <c r="L229" s="390"/>
      <c r="M229" s="390"/>
      <c r="N229" s="390"/>
      <c r="O229" s="390"/>
      <c r="P229" s="390"/>
      <c r="Q229" s="390"/>
      <c r="R229" s="390"/>
      <c r="S229" s="390"/>
      <c r="T229" s="390"/>
      <c r="U229" s="390"/>
      <c r="V229" s="390"/>
      <c r="W229" s="390"/>
      <c r="X229" s="390"/>
      <c r="Y229" s="390"/>
      <c r="Z229" s="390"/>
      <c r="AA229" s="390"/>
      <c r="AB229" s="390"/>
      <c r="AC229" s="390"/>
      <c r="AD229" s="390"/>
      <c r="AE229" s="390"/>
      <c r="AF229" s="390"/>
      <c r="AG229" s="390"/>
      <c r="AH229" s="390"/>
      <c r="AI229" s="391"/>
      <c r="AK229" s="437"/>
      <c r="AL229" s="437"/>
      <c r="AM229" s="437"/>
      <c r="AN229" s="437"/>
      <c r="AO229" s="437"/>
      <c r="AP229" s="437"/>
      <c r="AQ229" s="437"/>
      <c r="AR229" s="437"/>
      <c r="AS229" s="437"/>
      <c r="AT229" s="437"/>
      <c r="AU229" s="437"/>
      <c r="AV229" s="437"/>
      <c r="AW229" s="437"/>
      <c r="AX229" s="437"/>
      <c r="AY229" s="437"/>
      <c r="AZ229" s="437"/>
      <c r="BA229" s="437"/>
      <c r="BB229" s="437"/>
      <c r="BC229" s="437"/>
      <c r="BD229" s="437"/>
      <c r="BE229" s="437"/>
      <c r="BF229" s="437"/>
      <c r="BG229" s="437"/>
      <c r="BH229" s="437"/>
      <c r="BI229" s="437"/>
      <c r="BJ229" s="437"/>
      <c r="BK229" s="437"/>
      <c r="BL229" s="437"/>
      <c r="BM229" s="393"/>
      <c r="BO229" s="399">
        <f t="shared" si="93"/>
        <v>0</v>
      </c>
      <c r="BP229" s="399">
        <f t="shared" si="94"/>
        <v>0</v>
      </c>
      <c r="BQ229" s="399">
        <f t="shared" si="95"/>
        <v>0</v>
      </c>
      <c r="BR229" s="399">
        <f t="shared" si="96"/>
        <v>0</v>
      </c>
      <c r="BS229" s="399">
        <f t="shared" si="97"/>
        <v>0</v>
      </c>
      <c r="BT229" s="399">
        <f t="shared" si="98"/>
        <v>0</v>
      </c>
      <c r="BU229" s="399">
        <f t="shared" si="99"/>
        <v>0</v>
      </c>
      <c r="BV229" s="399">
        <f t="shared" si="100"/>
        <v>0</v>
      </c>
      <c r="BW229" s="399">
        <f t="shared" si="101"/>
        <v>0</v>
      </c>
      <c r="BX229" s="399">
        <f t="shared" si="102"/>
        <v>0</v>
      </c>
      <c r="BY229" s="399">
        <f t="shared" si="103"/>
        <v>0</v>
      </c>
      <c r="BZ229" s="399">
        <f t="shared" si="104"/>
        <v>0</v>
      </c>
      <c r="CA229" s="399">
        <f t="shared" si="105"/>
        <v>0</v>
      </c>
      <c r="CB229" s="399">
        <f t="shared" si="106"/>
        <v>0</v>
      </c>
      <c r="CC229" s="399">
        <f t="shared" si="107"/>
        <v>0</v>
      </c>
      <c r="CD229" s="399">
        <f t="shared" si="108"/>
        <v>0</v>
      </c>
      <c r="CE229" s="399">
        <f t="shared" si="109"/>
        <v>0</v>
      </c>
      <c r="CF229" s="399">
        <f t="shared" si="110"/>
        <v>0</v>
      </c>
      <c r="CG229" s="399">
        <f t="shared" si="111"/>
        <v>0</v>
      </c>
      <c r="CH229" s="399">
        <f t="shared" si="112"/>
        <v>0</v>
      </c>
      <c r="CI229" s="399">
        <f t="shared" si="113"/>
        <v>0</v>
      </c>
      <c r="CJ229" s="399">
        <f t="shared" si="114"/>
        <v>0</v>
      </c>
      <c r="CK229" s="399">
        <f t="shared" si="115"/>
        <v>0</v>
      </c>
      <c r="CL229" s="399">
        <f t="shared" si="116"/>
        <v>0</v>
      </c>
      <c r="CM229" s="399">
        <f t="shared" si="117"/>
        <v>0</v>
      </c>
      <c r="CN229" s="399">
        <f t="shared" si="118"/>
        <v>0</v>
      </c>
      <c r="CO229" s="399">
        <f t="shared" si="119"/>
        <v>0</v>
      </c>
      <c r="CP229" s="399">
        <f t="shared" si="120"/>
        <v>0</v>
      </c>
      <c r="CQ229" s="423">
        <f t="shared" si="121"/>
        <v>0</v>
      </c>
      <c r="CS229" s="394" t="e">
        <f t="shared" si="122"/>
        <v>#DIV/0!</v>
      </c>
    </row>
    <row r="230" spans="3:97">
      <c r="C230" s="107"/>
      <c r="D230" s="395"/>
      <c r="E230" s="84"/>
      <c r="F230" s="84"/>
      <c r="G230" s="389"/>
      <c r="H230" s="390"/>
      <c r="I230" s="390"/>
      <c r="J230" s="390"/>
      <c r="K230" s="390"/>
      <c r="L230" s="390"/>
      <c r="M230" s="390"/>
      <c r="N230" s="390"/>
      <c r="O230" s="390"/>
      <c r="P230" s="390"/>
      <c r="Q230" s="390"/>
      <c r="R230" s="390"/>
      <c r="S230" s="390"/>
      <c r="T230" s="390"/>
      <c r="U230" s="390"/>
      <c r="V230" s="390"/>
      <c r="W230" s="390"/>
      <c r="X230" s="390"/>
      <c r="Y230" s="390"/>
      <c r="Z230" s="390"/>
      <c r="AA230" s="390"/>
      <c r="AB230" s="390"/>
      <c r="AC230" s="390"/>
      <c r="AD230" s="390"/>
      <c r="AE230" s="390"/>
      <c r="AF230" s="390"/>
      <c r="AG230" s="390"/>
      <c r="AH230" s="390"/>
      <c r="AI230" s="391"/>
      <c r="AK230" s="437"/>
      <c r="AL230" s="437"/>
      <c r="AM230" s="437"/>
      <c r="AN230" s="437"/>
      <c r="AO230" s="437"/>
      <c r="AP230" s="437"/>
      <c r="AQ230" s="437"/>
      <c r="AR230" s="437"/>
      <c r="AS230" s="437"/>
      <c r="AT230" s="437"/>
      <c r="AU230" s="437"/>
      <c r="AV230" s="437"/>
      <c r="AW230" s="437"/>
      <c r="AX230" s="437"/>
      <c r="AY230" s="437"/>
      <c r="AZ230" s="437"/>
      <c r="BA230" s="437"/>
      <c r="BB230" s="437"/>
      <c r="BC230" s="437"/>
      <c r="BD230" s="437"/>
      <c r="BE230" s="437"/>
      <c r="BF230" s="437"/>
      <c r="BG230" s="437"/>
      <c r="BH230" s="437"/>
      <c r="BI230" s="437"/>
      <c r="BJ230" s="437"/>
      <c r="BK230" s="437"/>
      <c r="BL230" s="437"/>
      <c r="BM230" s="393"/>
      <c r="BO230" s="399">
        <f t="shared" si="93"/>
        <v>0</v>
      </c>
      <c r="BP230" s="399">
        <f t="shared" si="94"/>
        <v>0</v>
      </c>
      <c r="BQ230" s="399">
        <f t="shared" si="95"/>
        <v>0</v>
      </c>
      <c r="BR230" s="399">
        <f t="shared" si="96"/>
        <v>0</v>
      </c>
      <c r="BS230" s="399">
        <f t="shared" si="97"/>
        <v>0</v>
      </c>
      <c r="BT230" s="399">
        <f t="shared" si="98"/>
        <v>0</v>
      </c>
      <c r="BU230" s="399">
        <f t="shared" si="99"/>
        <v>0</v>
      </c>
      <c r="BV230" s="399">
        <f t="shared" si="100"/>
        <v>0</v>
      </c>
      <c r="BW230" s="399">
        <f t="shared" si="101"/>
        <v>0</v>
      </c>
      <c r="BX230" s="399">
        <f t="shared" si="102"/>
        <v>0</v>
      </c>
      <c r="BY230" s="399">
        <f t="shared" si="103"/>
        <v>0</v>
      </c>
      <c r="BZ230" s="399">
        <f t="shared" si="104"/>
        <v>0</v>
      </c>
      <c r="CA230" s="399">
        <f t="shared" si="105"/>
        <v>0</v>
      </c>
      <c r="CB230" s="399">
        <f t="shared" si="106"/>
        <v>0</v>
      </c>
      <c r="CC230" s="399">
        <f t="shared" si="107"/>
        <v>0</v>
      </c>
      <c r="CD230" s="399">
        <f t="shared" si="108"/>
        <v>0</v>
      </c>
      <c r="CE230" s="399">
        <f t="shared" si="109"/>
        <v>0</v>
      </c>
      <c r="CF230" s="399">
        <f t="shared" si="110"/>
        <v>0</v>
      </c>
      <c r="CG230" s="399">
        <f t="shared" si="111"/>
        <v>0</v>
      </c>
      <c r="CH230" s="399">
        <f t="shared" si="112"/>
        <v>0</v>
      </c>
      <c r="CI230" s="399">
        <f t="shared" si="113"/>
        <v>0</v>
      </c>
      <c r="CJ230" s="399">
        <f t="shared" si="114"/>
        <v>0</v>
      </c>
      <c r="CK230" s="399">
        <f t="shared" si="115"/>
        <v>0</v>
      </c>
      <c r="CL230" s="399">
        <f t="shared" si="116"/>
        <v>0</v>
      </c>
      <c r="CM230" s="399">
        <f t="shared" si="117"/>
        <v>0</v>
      </c>
      <c r="CN230" s="399">
        <f t="shared" si="118"/>
        <v>0</v>
      </c>
      <c r="CO230" s="399">
        <f t="shared" si="119"/>
        <v>0</v>
      </c>
      <c r="CP230" s="399">
        <f t="shared" si="120"/>
        <v>0</v>
      </c>
      <c r="CQ230" s="423">
        <f t="shared" si="121"/>
        <v>0</v>
      </c>
      <c r="CS230" s="394" t="e">
        <f t="shared" si="122"/>
        <v>#DIV/0!</v>
      </c>
    </row>
    <row r="231" spans="3:97">
      <c r="C231" s="107"/>
      <c r="D231" s="395"/>
      <c r="E231" s="84"/>
      <c r="F231" s="84"/>
      <c r="G231" s="389"/>
      <c r="H231" s="390"/>
      <c r="I231" s="390"/>
      <c r="J231" s="390"/>
      <c r="K231" s="390"/>
      <c r="L231" s="390"/>
      <c r="M231" s="390"/>
      <c r="N231" s="390"/>
      <c r="O231" s="390"/>
      <c r="P231" s="390"/>
      <c r="Q231" s="390"/>
      <c r="R231" s="390"/>
      <c r="S231" s="390"/>
      <c r="T231" s="390"/>
      <c r="U231" s="390"/>
      <c r="V231" s="390"/>
      <c r="W231" s="390"/>
      <c r="X231" s="390"/>
      <c r="Y231" s="390"/>
      <c r="Z231" s="390"/>
      <c r="AA231" s="390"/>
      <c r="AB231" s="390"/>
      <c r="AC231" s="390"/>
      <c r="AD231" s="390"/>
      <c r="AE231" s="390"/>
      <c r="AF231" s="390"/>
      <c r="AG231" s="390"/>
      <c r="AH231" s="390"/>
      <c r="AI231" s="391"/>
      <c r="AK231" s="437"/>
      <c r="AL231" s="437"/>
      <c r="AM231" s="437"/>
      <c r="AN231" s="437"/>
      <c r="AO231" s="437"/>
      <c r="AP231" s="437"/>
      <c r="AQ231" s="437"/>
      <c r="AR231" s="437"/>
      <c r="AS231" s="437"/>
      <c r="AT231" s="437"/>
      <c r="AU231" s="437"/>
      <c r="AV231" s="437"/>
      <c r="AW231" s="437"/>
      <c r="AX231" s="437"/>
      <c r="AY231" s="437"/>
      <c r="AZ231" s="437"/>
      <c r="BA231" s="437"/>
      <c r="BB231" s="437"/>
      <c r="BC231" s="437"/>
      <c r="BD231" s="437"/>
      <c r="BE231" s="437"/>
      <c r="BF231" s="437"/>
      <c r="BG231" s="437"/>
      <c r="BH231" s="437"/>
      <c r="BI231" s="437"/>
      <c r="BJ231" s="437"/>
      <c r="BK231" s="437"/>
      <c r="BL231" s="437"/>
      <c r="BM231" s="393"/>
      <c r="BO231" s="399">
        <f t="shared" si="93"/>
        <v>0</v>
      </c>
      <c r="BP231" s="399">
        <f t="shared" si="94"/>
        <v>0</v>
      </c>
      <c r="BQ231" s="399">
        <f t="shared" si="95"/>
        <v>0</v>
      </c>
      <c r="BR231" s="399">
        <f t="shared" si="96"/>
        <v>0</v>
      </c>
      <c r="BS231" s="399">
        <f t="shared" si="97"/>
        <v>0</v>
      </c>
      <c r="BT231" s="399">
        <f t="shared" si="98"/>
        <v>0</v>
      </c>
      <c r="BU231" s="399">
        <f t="shared" si="99"/>
        <v>0</v>
      </c>
      <c r="BV231" s="399">
        <f t="shared" si="100"/>
        <v>0</v>
      </c>
      <c r="BW231" s="399">
        <f t="shared" si="101"/>
        <v>0</v>
      </c>
      <c r="BX231" s="399">
        <f t="shared" si="102"/>
        <v>0</v>
      </c>
      <c r="BY231" s="399">
        <f t="shared" si="103"/>
        <v>0</v>
      </c>
      <c r="BZ231" s="399">
        <f t="shared" si="104"/>
        <v>0</v>
      </c>
      <c r="CA231" s="399">
        <f t="shared" si="105"/>
        <v>0</v>
      </c>
      <c r="CB231" s="399">
        <f t="shared" si="106"/>
        <v>0</v>
      </c>
      <c r="CC231" s="399">
        <f t="shared" si="107"/>
        <v>0</v>
      </c>
      <c r="CD231" s="399">
        <f t="shared" si="108"/>
        <v>0</v>
      </c>
      <c r="CE231" s="399">
        <f t="shared" si="109"/>
        <v>0</v>
      </c>
      <c r="CF231" s="399">
        <f t="shared" si="110"/>
        <v>0</v>
      </c>
      <c r="CG231" s="399">
        <f t="shared" si="111"/>
        <v>0</v>
      </c>
      <c r="CH231" s="399">
        <f t="shared" si="112"/>
        <v>0</v>
      </c>
      <c r="CI231" s="399">
        <f t="shared" si="113"/>
        <v>0</v>
      </c>
      <c r="CJ231" s="399">
        <f t="shared" si="114"/>
        <v>0</v>
      </c>
      <c r="CK231" s="399">
        <f t="shared" si="115"/>
        <v>0</v>
      </c>
      <c r="CL231" s="399">
        <f t="shared" si="116"/>
        <v>0</v>
      </c>
      <c r="CM231" s="399">
        <f t="shared" si="117"/>
        <v>0</v>
      </c>
      <c r="CN231" s="399">
        <f t="shared" si="118"/>
        <v>0</v>
      </c>
      <c r="CO231" s="399">
        <f t="shared" si="119"/>
        <v>0</v>
      </c>
      <c r="CP231" s="399">
        <f t="shared" si="120"/>
        <v>0</v>
      </c>
      <c r="CQ231" s="423">
        <f t="shared" si="121"/>
        <v>0</v>
      </c>
      <c r="CS231" s="394" t="e">
        <f t="shared" si="122"/>
        <v>#DIV/0!</v>
      </c>
    </row>
    <row r="232" spans="3:97">
      <c r="C232" s="107"/>
      <c r="D232" s="395"/>
      <c r="E232" s="84"/>
      <c r="F232" s="84"/>
      <c r="G232" s="389"/>
      <c r="H232" s="390"/>
      <c r="I232" s="390"/>
      <c r="J232" s="390"/>
      <c r="K232" s="390"/>
      <c r="L232" s="390"/>
      <c r="M232" s="390"/>
      <c r="N232" s="390"/>
      <c r="O232" s="390"/>
      <c r="P232" s="390"/>
      <c r="Q232" s="390"/>
      <c r="R232" s="390"/>
      <c r="S232" s="390"/>
      <c r="T232" s="390"/>
      <c r="U232" s="390"/>
      <c r="V232" s="390"/>
      <c r="W232" s="390"/>
      <c r="X232" s="390"/>
      <c r="Y232" s="390"/>
      <c r="Z232" s="390"/>
      <c r="AA232" s="390"/>
      <c r="AB232" s="390"/>
      <c r="AC232" s="390"/>
      <c r="AD232" s="390"/>
      <c r="AE232" s="390"/>
      <c r="AF232" s="390"/>
      <c r="AG232" s="390"/>
      <c r="AH232" s="390"/>
      <c r="AI232" s="391"/>
      <c r="AK232" s="437"/>
      <c r="AL232" s="437"/>
      <c r="AM232" s="437"/>
      <c r="AN232" s="437"/>
      <c r="AO232" s="437"/>
      <c r="AP232" s="437"/>
      <c r="AQ232" s="437"/>
      <c r="AR232" s="437"/>
      <c r="AS232" s="437"/>
      <c r="AT232" s="437"/>
      <c r="AU232" s="437"/>
      <c r="AV232" s="437"/>
      <c r="AW232" s="437"/>
      <c r="AX232" s="437"/>
      <c r="AY232" s="437"/>
      <c r="AZ232" s="437"/>
      <c r="BA232" s="437"/>
      <c r="BB232" s="437"/>
      <c r="BC232" s="437"/>
      <c r="BD232" s="437"/>
      <c r="BE232" s="437"/>
      <c r="BF232" s="437"/>
      <c r="BG232" s="437"/>
      <c r="BH232" s="437"/>
      <c r="BI232" s="437"/>
      <c r="BJ232" s="437"/>
      <c r="BK232" s="437"/>
      <c r="BL232" s="437"/>
      <c r="BM232" s="393"/>
      <c r="BO232" s="399">
        <f t="shared" si="93"/>
        <v>0</v>
      </c>
      <c r="BP232" s="399">
        <f t="shared" si="94"/>
        <v>0</v>
      </c>
      <c r="BQ232" s="399">
        <f t="shared" si="95"/>
        <v>0</v>
      </c>
      <c r="BR232" s="399">
        <f t="shared" si="96"/>
        <v>0</v>
      </c>
      <c r="BS232" s="399">
        <f t="shared" si="97"/>
        <v>0</v>
      </c>
      <c r="BT232" s="399">
        <f t="shared" si="98"/>
        <v>0</v>
      </c>
      <c r="BU232" s="399">
        <f t="shared" si="99"/>
        <v>0</v>
      </c>
      <c r="BV232" s="399">
        <f t="shared" si="100"/>
        <v>0</v>
      </c>
      <c r="BW232" s="399">
        <f t="shared" si="101"/>
        <v>0</v>
      </c>
      <c r="BX232" s="399">
        <f t="shared" si="102"/>
        <v>0</v>
      </c>
      <c r="BY232" s="399">
        <f t="shared" si="103"/>
        <v>0</v>
      </c>
      <c r="BZ232" s="399">
        <f t="shared" si="104"/>
        <v>0</v>
      </c>
      <c r="CA232" s="399">
        <f t="shared" si="105"/>
        <v>0</v>
      </c>
      <c r="CB232" s="399">
        <f t="shared" si="106"/>
        <v>0</v>
      </c>
      <c r="CC232" s="399">
        <f t="shared" si="107"/>
        <v>0</v>
      </c>
      <c r="CD232" s="399">
        <f t="shared" si="108"/>
        <v>0</v>
      </c>
      <c r="CE232" s="399">
        <f t="shared" si="109"/>
        <v>0</v>
      </c>
      <c r="CF232" s="399">
        <f t="shared" si="110"/>
        <v>0</v>
      </c>
      <c r="CG232" s="399">
        <f t="shared" si="111"/>
        <v>0</v>
      </c>
      <c r="CH232" s="399">
        <f t="shared" si="112"/>
        <v>0</v>
      </c>
      <c r="CI232" s="399">
        <f t="shared" si="113"/>
        <v>0</v>
      </c>
      <c r="CJ232" s="399">
        <f t="shared" si="114"/>
        <v>0</v>
      </c>
      <c r="CK232" s="399">
        <f t="shared" si="115"/>
        <v>0</v>
      </c>
      <c r="CL232" s="399">
        <f t="shared" si="116"/>
        <v>0</v>
      </c>
      <c r="CM232" s="399">
        <f t="shared" si="117"/>
        <v>0</v>
      </c>
      <c r="CN232" s="399">
        <f t="shared" si="118"/>
        <v>0</v>
      </c>
      <c r="CO232" s="399">
        <f t="shared" si="119"/>
        <v>0</v>
      </c>
      <c r="CP232" s="399">
        <f t="shared" si="120"/>
        <v>0</v>
      </c>
      <c r="CQ232" s="423">
        <f t="shared" si="121"/>
        <v>0</v>
      </c>
      <c r="CS232" s="394" t="e">
        <f t="shared" si="122"/>
        <v>#DIV/0!</v>
      </c>
    </row>
    <row r="233" spans="3:97">
      <c r="C233" s="107"/>
      <c r="D233" s="395"/>
      <c r="E233" s="84"/>
      <c r="F233" s="84"/>
      <c r="G233" s="389"/>
      <c r="H233" s="390"/>
      <c r="I233" s="390"/>
      <c r="J233" s="390"/>
      <c r="K233" s="390"/>
      <c r="L233" s="390"/>
      <c r="M233" s="390"/>
      <c r="N233" s="390"/>
      <c r="O233" s="390"/>
      <c r="P233" s="390"/>
      <c r="Q233" s="390"/>
      <c r="R233" s="390"/>
      <c r="S233" s="390"/>
      <c r="T233" s="390"/>
      <c r="U233" s="390"/>
      <c r="V233" s="390"/>
      <c r="W233" s="390"/>
      <c r="X233" s="390"/>
      <c r="Y233" s="390"/>
      <c r="Z233" s="390"/>
      <c r="AA233" s="390"/>
      <c r="AB233" s="390"/>
      <c r="AC233" s="390"/>
      <c r="AD233" s="390"/>
      <c r="AE233" s="390"/>
      <c r="AF233" s="390"/>
      <c r="AG233" s="390"/>
      <c r="AH233" s="390"/>
      <c r="AI233" s="391"/>
      <c r="AK233" s="437"/>
      <c r="AL233" s="437"/>
      <c r="AM233" s="437"/>
      <c r="AN233" s="437"/>
      <c r="AO233" s="437"/>
      <c r="AP233" s="437"/>
      <c r="AQ233" s="437"/>
      <c r="AR233" s="437"/>
      <c r="AS233" s="437"/>
      <c r="AT233" s="437"/>
      <c r="AU233" s="437"/>
      <c r="AV233" s="437"/>
      <c r="AW233" s="437"/>
      <c r="AX233" s="437"/>
      <c r="AY233" s="437"/>
      <c r="AZ233" s="437"/>
      <c r="BA233" s="437"/>
      <c r="BB233" s="437"/>
      <c r="BC233" s="437"/>
      <c r="BD233" s="437"/>
      <c r="BE233" s="437"/>
      <c r="BF233" s="437"/>
      <c r="BG233" s="437"/>
      <c r="BH233" s="437"/>
      <c r="BI233" s="437"/>
      <c r="BJ233" s="437"/>
      <c r="BK233" s="437"/>
      <c r="BL233" s="437"/>
      <c r="BM233" s="393"/>
      <c r="BO233" s="399">
        <f t="shared" si="93"/>
        <v>0</v>
      </c>
      <c r="BP233" s="399">
        <f t="shared" si="94"/>
        <v>0</v>
      </c>
      <c r="BQ233" s="399">
        <f t="shared" si="95"/>
        <v>0</v>
      </c>
      <c r="BR233" s="399">
        <f t="shared" si="96"/>
        <v>0</v>
      </c>
      <c r="BS233" s="399">
        <f t="shared" si="97"/>
        <v>0</v>
      </c>
      <c r="BT233" s="399">
        <f t="shared" si="98"/>
        <v>0</v>
      </c>
      <c r="BU233" s="399">
        <f t="shared" si="99"/>
        <v>0</v>
      </c>
      <c r="BV233" s="399">
        <f t="shared" si="100"/>
        <v>0</v>
      </c>
      <c r="BW233" s="399">
        <f t="shared" si="101"/>
        <v>0</v>
      </c>
      <c r="BX233" s="399">
        <f t="shared" si="102"/>
        <v>0</v>
      </c>
      <c r="BY233" s="399">
        <f t="shared" si="103"/>
        <v>0</v>
      </c>
      <c r="BZ233" s="399">
        <f t="shared" si="104"/>
        <v>0</v>
      </c>
      <c r="CA233" s="399">
        <f t="shared" si="105"/>
        <v>0</v>
      </c>
      <c r="CB233" s="399">
        <f t="shared" si="106"/>
        <v>0</v>
      </c>
      <c r="CC233" s="399">
        <f t="shared" si="107"/>
        <v>0</v>
      </c>
      <c r="CD233" s="399">
        <f t="shared" si="108"/>
        <v>0</v>
      </c>
      <c r="CE233" s="399">
        <f t="shared" si="109"/>
        <v>0</v>
      </c>
      <c r="CF233" s="399">
        <f t="shared" si="110"/>
        <v>0</v>
      </c>
      <c r="CG233" s="399">
        <f t="shared" si="111"/>
        <v>0</v>
      </c>
      <c r="CH233" s="399">
        <f t="shared" si="112"/>
        <v>0</v>
      </c>
      <c r="CI233" s="399">
        <f t="shared" si="113"/>
        <v>0</v>
      </c>
      <c r="CJ233" s="399">
        <f t="shared" si="114"/>
        <v>0</v>
      </c>
      <c r="CK233" s="399">
        <f t="shared" si="115"/>
        <v>0</v>
      </c>
      <c r="CL233" s="399">
        <f t="shared" si="116"/>
        <v>0</v>
      </c>
      <c r="CM233" s="399">
        <f t="shared" si="117"/>
        <v>0</v>
      </c>
      <c r="CN233" s="399">
        <f t="shared" si="118"/>
        <v>0</v>
      </c>
      <c r="CO233" s="399">
        <f t="shared" si="119"/>
        <v>0</v>
      </c>
      <c r="CP233" s="399">
        <f t="shared" si="120"/>
        <v>0</v>
      </c>
      <c r="CQ233" s="423">
        <f t="shared" si="121"/>
        <v>0</v>
      </c>
      <c r="CS233" s="394" t="e">
        <f t="shared" si="122"/>
        <v>#DIV/0!</v>
      </c>
    </row>
    <row r="234" spans="3:97">
      <c r="C234" s="107"/>
      <c r="D234" s="395"/>
      <c r="E234" s="84"/>
      <c r="F234" s="84"/>
      <c r="G234" s="389"/>
      <c r="H234" s="390"/>
      <c r="I234" s="390"/>
      <c r="J234" s="390"/>
      <c r="K234" s="390"/>
      <c r="L234" s="390"/>
      <c r="M234" s="390"/>
      <c r="N234" s="390"/>
      <c r="O234" s="390"/>
      <c r="P234" s="390"/>
      <c r="Q234" s="390"/>
      <c r="R234" s="390"/>
      <c r="S234" s="390"/>
      <c r="T234" s="390"/>
      <c r="U234" s="390"/>
      <c r="V234" s="390"/>
      <c r="W234" s="390"/>
      <c r="X234" s="390"/>
      <c r="Y234" s="390"/>
      <c r="Z234" s="390"/>
      <c r="AA234" s="390"/>
      <c r="AB234" s="390"/>
      <c r="AC234" s="390"/>
      <c r="AD234" s="390"/>
      <c r="AE234" s="390"/>
      <c r="AF234" s="390"/>
      <c r="AG234" s="390"/>
      <c r="AH234" s="390"/>
      <c r="AI234" s="391"/>
      <c r="AK234" s="437"/>
      <c r="AL234" s="437"/>
      <c r="AM234" s="437"/>
      <c r="AN234" s="437"/>
      <c r="AO234" s="437"/>
      <c r="AP234" s="437"/>
      <c r="AQ234" s="437"/>
      <c r="AR234" s="437"/>
      <c r="AS234" s="437"/>
      <c r="AT234" s="437"/>
      <c r="AU234" s="437"/>
      <c r="AV234" s="437"/>
      <c r="AW234" s="437"/>
      <c r="AX234" s="437"/>
      <c r="AY234" s="437"/>
      <c r="AZ234" s="437"/>
      <c r="BA234" s="437"/>
      <c r="BB234" s="437"/>
      <c r="BC234" s="437"/>
      <c r="BD234" s="437"/>
      <c r="BE234" s="437"/>
      <c r="BF234" s="437"/>
      <c r="BG234" s="437"/>
      <c r="BH234" s="437"/>
      <c r="BI234" s="437"/>
      <c r="BJ234" s="437"/>
      <c r="BK234" s="437"/>
      <c r="BL234" s="437"/>
      <c r="BM234" s="393"/>
      <c r="BO234" s="399">
        <f t="shared" si="93"/>
        <v>0</v>
      </c>
      <c r="BP234" s="399">
        <f t="shared" si="94"/>
        <v>0</v>
      </c>
      <c r="BQ234" s="399">
        <f t="shared" si="95"/>
        <v>0</v>
      </c>
      <c r="BR234" s="399">
        <f t="shared" si="96"/>
        <v>0</v>
      </c>
      <c r="BS234" s="399">
        <f t="shared" si="97"/>
        <v>0</v>
      </c>
      <c r="BT234" s="399">
        <f t="shared" si="98"/>
        <v>0</v>
      </c>
      <c r="BU234" s="399">
        <f t="shared" si="99"/>
        <v>0</v>
      </c>
      <c r="BV234" s="399">
        <f t="shared" si="100"/>
        <v>0</v>
      </c>
      <c r="BW234" s="399">
        <f t="shared" si="101"/>
        <v>0</v>
      </c>
      <c r="BX234" s="399">
        <f t="shared" si="102"/>
        <v>0</v>
      </c>
      <c r="BY234" s="399">
        <f t="shared" si="103"/>
        <v>0</v>
      </c>
      <c r="BZ234" s="399">
        <f t="shared" si="104"/>
        <v>0</v>
      </c>
      <c r="CA234" s="399">
        <f t="shared" si="105"/>
        <v>0</v>
      </c>
      <c r="CB234" s="399">
        <f t="shared" si="106"/>
        <v>0</v>
      </c>
      <c r="CC234" s="399">
        <f t="shared" si="107"/>
        <v>0</v>
      </c>
      <c r="CD234" s="399">
        <f t="shared" si="108"/>
        <v>0</v>
      </c>
      <c r="CE234" s="399">
        <f t="shared" si="109"/>
        <v>0</v>
      </c>
      <c r="CF234" s="399">
        <f t="shared" si="110"/>
        <v>0</v>
      </c>
      <c r="CG234" s="399">
        <f t="shared" si="111"/>
        <v>0</v>
      </c>
      <c r="CH234" s="399">
        <f t="shared" si="112"/>
        <v>0</v>
      </c>
      <c r="CI234" s="399">
        <f t="shared" si="113"/>
        <v>0</v>
      </c>
      <c r="CJ234" s="399">
        <f t="shared" si="114"/>
        <v>0</v>
      </c>
      <c r="CK234" s="399">
        <f t="shared" si="115"/>
        <v>0</v>
      </c>
      <c r="CL234" s="399">
        <f t="shared" si="116"/>
        <v>0</v>
      </c>
      <c r="CM234" s="399">
        <f t="shared" si="117"/>
        <v>0</v>
      </c>
      <c r="CN234" s="399">
        <f t="shared" si="118"/>
        <v>0</v>
      </c>
      <c r="CO234" s="399">
        <f t="shared" si="119"/>
        <v>0</v>
      </c>
      <c r="CP234" s="399">
        <f t="shared" si="120"/>
        <v>0</v>
      </c>
      <c r="CQ234" s="423">
        <f t="shared" si="121"/>
        <v>0</v>
      </c>
      <c r="CS234" s="394" t="e">
        <f t="shared" si="122"/>
        <v>#DIV/0!</v>
      </c>
    </row>
    <row r="235" spans="3:97">
      <c r="C235" s="107"/>
      <c r="D235" s="395"/>
      <c r="E235" s="84"/>
      <c r="F235" s="84"/>
      <c r="G235" s="389"/>
      <c r="H235" s="390"/>
      <c r="I235" s="390"/>
      <c r="J235" s="390"/>
      <c r="K235" s="390"/>
      <c r="L235" s="390"/>
      <c r="M235" s="390"/>
      <c r="N235" s="390"/>
      <c r="O235" s="390"/>
      <c r="P235" s="390"/>
      <c r="Q235" s="390"/>
      <c r="R235" s="390"/>
      <c r="S235" s="390"/>
      <c r="T235" s="390"/>
      <c r="U235" s="390"/>
      <c r="V235" s="390"/>
      <c r="W235" s="390"/>
      <c r="X235" s="390"/>
      <c r="Y235" s="390"/>
      <c r="Z235" s="390"/>
      <c r="AA235" s="390"/>
      <c r="AB235" s="390"/>
      <c r="AC235" s="390"/>
      <c r="AD235" s="390"/>
      <c r="AE235" s="390"/>
      <c r="AF235" s="390"/>
      <c r="AG235" s="390"/>
      <c r="AH235" s="390"/>
      <c r="AI235" s="391"/>
      <c r="AK235" s="437"/>
      <c r="AL235" s="437"/>
      <c r="AM235" s="437"/>
      <c r="AN235" s="437"/>
      <c r="AO235" s="437"/>
      <c r="AP235" s="437"/>
      <c r="AQ235" s="437"/>
      <c r="AR235" s="437"/>
      <c r="AS235" s="437"/>
      <c r="AT235" s="437"/>
      <c r="AU235" s="437"/>
      <c r="AV235" s="437"/>
      <c r="AW235" s="437"/>
      <c r="AX235" s="437"/>
      <c r="AY235" s="437"/>
      <c r="AZ235" s="437"/>
      <c r="BA235" s="437"/>
      <c r="BB235" s="437"/>
      <c r="BC235" s="437"/>
      <c r="BD235" s="437"/>
      <c r="BE235" s="437"/>
      <c r="BF235" s="437"/>
      <c r="BG235" s="437"/>
      <c r="BH235" s="437"/>
      <c r="BI235" s="437"/>
      <c r="BJ235" s="437"/>
      <c r="BK235" s="437"/>
      <c r="BL235" s="437"/>
      <c r="BM235" s="393"/>
      <c r="BO235" s="399">
        <f t="shared" si="93"/>
        <v>0</v>
      </c>
      <c r="BP235" s="399">
        <f t="shared" si="94"/>
        <v>0</v>
      </c>
      <c r="BQ235" s="399">
        <f t="shared" si="95"/>
        <v>0</v>
      </c>
      <c r="BR235" s="399">
        <f t="shared" si="96"/>
        <v>0</v>
      </c>
      <c r="BS235" s="399">
        <f t="shared" si="97"/>
        <v>0</v>
      </c>
      <c r="BT235" s="399">
        <f t="shared" si="98"/>
        <v>0</v>
      </c>
      <c r="BU235" s="399">
        <f t="shared" si="99"/>
        <v>0</v>
      </c>
      <c r="BV235" s="399">
        <f t="shared" si="100"/>
        <v>0</v>
      </c>
      <c r="BW235" s="399">
        <f t="shared" si="101"/>
        <v>0</v>
      </c>
      <c r="BX235" s="399">
        <f t="shared" si="102"/>
        <v>0</v>
      </c>
      <c r="BY235" s="399">
        <f t="shared" si="103"/>
        <v>0</v>
      </c>
      <c r="BZ235" s="399">
        <f t="shared" si="104"/>
        <v>0</v>
      </c>
      <c r="CA235" s="399">
        <f t="shared" si="105"/>
        <v>0</v>
      </c>
      <c r="CB235" s="399">
        <f t="shared" si="106"/>
        <v>0</v>
      </c>
      <c r="CC235" s="399">
        <f t="shared" si="107"/>
        <v>0</v>
      </c>
      <c r="CD235" s="399">
        <f t="shared" si="108"/>
        <v>0</v>
      </c>
      <c r="CE235" s="399">
        <f t="shared" si="109"/>
        <v>0</v>
      </c>
      <c r="CF235" s="399">
        <f t="shared" si="110"/>
        <v>0</v>
      </c>
      <c r="CG235" s="399">
        <f t="shared" si="111"/>
        <v>0</v>
      </c>
      <c r="CH235" s="399">
        <f t="shared" si="112"/>
        <v>0</v>
      </c>
      <c r="CI235" s="399">
        <f t="shared" si="113"/>
        <v>0</v>
      </c>
      <c r="CJ235" s="399">
        <f t="shared" si="114"/>
        <v>0</v>
      </c>
      <c r="CK235" s="399">
        <f t="shared" si="115"/>
        <v>0</v>
      </c>
      <c r="CL235" s="399">
        <f t="shared" si="116"/>
        <v>0</v>
      </c>
      <c r="CM235" s="399">
        <f t="shared" si="117"/>
        <v>0</v>
      </c>
      <c r="CN235" s="399">
        <f t="shared" si="118"/>
        <v>0</v>
      </c>
      <c r="CO235" s="399">
        <f t="shared" si="119"/>
        <v>0</v>
      </c>
      <c r="CP235" s="399">
        <f t="shared" si="120"/>
        <v>0</v>
      </c>
      <c r="CQ235" s="423">
        <f t="shared" si="121"/>
        <v>0</v>
      </c>
      <c r="CS235" s="394" t="e">
        <f t="shared" si="122"/>
        <v>#DIV/0!</v>
      </c>
    </row>
    <row r="236" spans="3:97">
      <c r="C236" s="107"/>
      <c r="D236" s="395"/>
      <c r="E236" s="84"/>
      <c r="F236" s="84"/>
      <c r="G236" s="389"/>
      <c r="H236" s="390"/>
      <c r="I236" s="390"/>
      <c r="J236" s="390"/>
      <c r="K236" s="390"/>
      <c r="L236" s="390"/>
      <c r="M236" s="390"/>
      <c r="N236" s="390"/>
      <c r="O236" s="390"/>
      <c r="P236" s="390"/>
      <c r="Q236" s="390"/>
      <c r="R236" s="390"/>
      <c r="S236" s="390"/>
      <c r="T236" s="390"/>
      <c r="U236" s="390"/>
      <c r="V236" s="390"/>
      <c r="W236" s="390"/>
      <c r="X236" s="390"/>
      <c r="Y236" s="390"/>
      <c r="Z236" s="390"/>
      <c r="AA236" s="390"/>
      <c r="AB236" s="390"/>
      <c r="AC236" s="390"/>
      <c r="AD236" s="390"/>
      <c r="AE236" s="390"/>
      <c r="AF236" s="390"/>
      <c r="AG236" s="390"/>
      <c r="AH236" s="390"/>
      <c r="AI236" s="391"/>
      <c r="AK236" s="437"/>
      <c r="AL236" s="437"/>
      <c r="AM236" s="437"/>
      <c r="AN236" s="437"/>
      <c r="AO236" s="437"/>
      <c r="AP236" s="437"/>
      <c r="AQ236" s="437"/>
      <c r="AR236" s="437"/>
      <c r="AS236" s="437"/>
      <c r="AT236" s="437"/>
      <c r="AU236" s="437"/>
      <c r="AV236" s="437"/>
      <c r="AW236" s="437"/>
      <c r="AX236" s="437"/>
      <c r="AY236" s="437"/>
      <c r="AZ236" s="437"/>
      <c r="BA236" s="437"/>
      <c r="BB236" s="437"/>
      <c r="BC236" s="437"/>
      <c r="BD236" s="437"/>
      <c r="BE236" s="437"/>
      <c r="BF236" s="437"/>
      <c r="BG236" s="437"/>
      <c r="BH236" s="437"/>
      <c r="BI236" s="437"/>
      <c r="BJ236" s="437"/>
      <c r="BK236" s="437"/>
      <c r="BL236" s="437"/>
      <c r="BM236" s="393"/>
      <c r="BO236" s="399">
        <f t="shared" si="93"/>
        <v>0</v>
      </c>
      <c r="BP236" s="399">
        <f t="shared" si="94"/>
        <v>0</v>
      </c>
      <c r="BQ236" s="399">
        <f t="shared" si="95"/>
        <v>0</v>
      </c>
      <c r="BR236" s="399">
        <f t="shared" si="96"/>
        <v>0</v>
      </c>
      <c r="BS236" s="399">
        <f t="shared" si="97"/>
        <v>0</v>
      </c>
      <c r="BT236" s="399">
        <f t="shared" si="98"/>
        <v>0</v>
      </c>
      <c r="BU236" s="399">
        <f t="shared" si="99"/>
        <v>0</v>
      </c>
      <c r="BV236" s="399">
        <f t="shared" si="100"/>
        <v>0</v>
      </c>
      <c r="BW236" s="399">
        <f t="shared" si="101"/>
        <v>0</v>
      </c>
      <c r="BX236" s="399">
        <f t="shared" si="102"/>
        <v>0</v>
      </c>
      <c r="BY236" s="399">
        <f t="shared" si="103"/>
        <v>0</v>
      </c>
      <c r="BZ236" s="399">
        <f t="shared" si="104"/>
        <v>0</v>
      </c>
      <c r="CA236" s="399">
        <f t="shared" si="105"/>
        <v>0</v>
      </c>
      <c r="CB236" s="399">
        <f t="shared" si="106"/>
        <v>0</v>
      </c>
      <c r="CC236" s="399">
        <f t="shared" si="107"/>
        <v>0</v>
      </c>
      <c r="CD236" s="399">
        <f t="shared" si="108"/>
        <v>0</v>
      </c>
      <c r="CE236" s="399">
        <f t="shared" si="109"/>
        <v>0</v>
      </c>
      <c r="CF236" s="399">
        <f t="shared" si="110"/>
        <v>0</v>
      </c>
      <c r="CG236" s="399">
        <f t="shared" si="111"/>
        <v>0</v>
      </c>
      <c r="CH236" s="399">
        <f t="shared" si="112"/>
        <v>0</v>
      </c>
      <c r="CI236" s="399">
        <f t="shared" si="113"/>
        <v>0</v>
      </c>
      <c r="CJ236" s="399">
        <f t="shared" si="114"/>
        <v>0</v>
      </c>
      <c r="CK236" s="399">
        <f t="shared" si="115"/>
        <v>0</v>
      </c>
      <c r="CL236" s="399">
        <f t="shared" si="116"/>
        <v>0</v>
      </c>
      <c r="CM236" s="399">
        <f t="shared" si="117"/>
        <v>0</v>
      </c>
      <c r="CN236" s="399">
        <f t="shared" si="118"/>
        <v>0</v>
      </c>
      <c r="CO236" s="399">
        <f t="shared" si="119"/>
        <v>0</v>
      </c>
      <c r="CP236" s="399">
        <f t="shared" si="120"/>
        <v>0</v>
      </c>
      <c r="CQ236" s="423">
        <f t="shared" si="121"/>
        <v>0</v>
      </c>
      <c r="CS236" s="394" t="e">
        <f t="shared" si="122"/>
        <v>#DIV/0!</v>
      </c>
    </row>
    <row r="237" spans="3:97">
      <c r="C237" s="107"/>
      <c r="D237" s="395"/>
      <c r="E237" s="84"/>
      <c r="F237" s="84"/>
      <c r="G237" s="389"/>
      <c r="H237" s="390"/>
      <c r="I237" s="390"/>
      <c r="J237" s="390"/>
      <c r="K237" s="390"/>
      <c r="L237" s="390"/>
      <c r="M237" s="390"/>
      <c r="N237" s="390"/>
      <c r="O237" s="390"/>
      <c r="P237" s="390"/>
      <c r="Q237" s="390"/>
      <c r="R237" s="390"/>
      <c r="S237" s="390"/>
      <c r="T237" s="390"/>
      <c r="U237" s="390"/>
      <c r="V237" s="390"/>
      <c r="W237" s="390"/>
      <c r="X237" s="390"/>
      <c r="Y237" s="390"/>
      <c r="Z237" s="390"/>
      <c r="AA237" s="390"/>
      <c r="AB237" s="390"/>
      <c r="AC237" s="390"/>
      <c r="AD237" s="390"/>
      <c r="AE237" s="390"/>
      <c r="AF237" s="390"/>
      <c r="AG237" s="390"/>
      <c r="AH237" s="390"/>
      <c r="AI237" s="391"/>
      <c r="AK237" s="437"/>
      <c r="AL237" s="437"/>
      <c r="AM237" s="437"/>
      <c r="AN237" s="437"/>
      <c r="AO237" s="437"/>
      <c r="AP237" s="437"/>
      <c r="AQ237" s="437"/>
      <c r="AR237" s="437"/>
      <c r="AS237" s="437"/>
      <c r="AT237" s="437"/>
      <c r="AU237" s="437"/>
      <c r="AV237" s="437"/>
      <c r="AW237" s="437"/>
      <c r="AX237" s="437"/>
      <c r="AY237" s="437"/>
      <c r="AZ237" s="437"/>
      <c r="BA237" s="437"/>
      <c r="BB237" s="437"/>
      <c r="BC237" s="437"/>
      <c r="BD237" s="437"/>
      <c r="BE237" s="437"/>
      <c r="BF237" s="437"/>
      <c r="BG237" s="437"/>
      <c r="BH237" s="437"/>
      <c r="BI237" s="437"/>
      <c r="BJ237" s="437"/>
      <c r="BK237" s="437"/>
      <c r="BL237" s="437"/>
      <c r="BM237" s="393"/>
      <c r="BO237" s="399">
        <f t="shared" si="93"/>
        <v>0</v>
      </c>
      <c r="BP237" s="399">
        <f t="shared" si="94"/>
        <v>0</v>
      </c>
      <c r="BQ237" s="399">
        <f t="shared" si="95"/>
        <v>0</v>
      </c>
      <c r="BR237" s="399">
        <f t="shared" si="96"/>
        <v>0</v>
      </c>
      <c r="BS237" s="399">
        <f t="shared" si="97"/>
        <v>0</v>
      </c>
      <c r="BT237" s="399">
        <f t="shared" si="98"/>
        <v>0</v>
      </c>
      <c r="BU237" s="399">
        <f t="shared" si="99"/>
        <v>0</v>
      </c>
      <c r="BV237" s="399">
        <f t="shared" si="100"/>
        <v>0</v>
      </c>
      <c r="BW237" s="399">
        <f t="shared" si="101"/>
        <v>0</v>
      </c>
      <c r="BX237" s="399">
        <f t="shared" si="102"/>
        <v>0</v>
      </c>
      <c r="BY237" s="399">
        <f t="shared" si="103"/>
        <v>0</v>
      </c>
      <c r="BZ237" s="399">
        <f t="shared" si="104"/>
        <v>0</v>
      </c>
      <c r="CA237" s="399">
        <f t="shared" si="105"/>
        <v>0</v>
      </c>
      <c r="CB237" s="399">
        <f t="shared" si="106"/>
        <v>0</v>
      </c>
      <c r="CC237" s="399">
        <f t="shared" si="107"/>
        <v>0</v>
      </c>
      <c r="CD237" s="399">
        <f t="shared" si="108"/>
        <v>0</v>
      </c>
      <c r="CE237" s="399">
        <f t="shared" si="109"/>
        <v>0</v>
      </c>
      <c r="CF237" s="399">
        <f t="shared" si="110"/>
        <v>0</v>
      </c>
      <c r="CG237" s="399">
        <f t="shared" si="111"/>
        <v>0</v>
      </c>
      <c r="CH237" s="399">
        <f t="shared" si="112"/>
        <v>0</v>
      </c>
      <c r="CI237" s="399">
        <f t="shared" si="113"/>
        <v>0</v>
      </c>
      <c r="CJ237" s="399">
        <f t="shared" si="114"/>
        <v>0</v>
      </c>
      <c r="CK237" s="399">
        <f t="shared" si="115"/>
        <v>0</v>
      </c>
      <c r="CL237" s="399">
        <f t="shared" si="116"/>
        <v>0</v>
      </c>
      <c r="CM237" s="399">
        <f t="shared" si="117"/>
        <v>0</v>
      </c>
      <c r="CN237" s="399">
        <f t="shared" si="118"/>
        <v>0</v>
      </c>
      <c r="CO237" s="399">
        <f t="shared" si="119"/>
        <v>0</v>
      </c>
      <c r="CP237" s="399">
        <f t="shared" si="120"/>
        <v>0</v>
      </c>
      <c r="CQ237" s="423">
        <f t="shared" si="121"/>
        <v>0</v>
      </c>
      <c r="CS237" s="394" t="e">
        <f t="shared" si="122"/>
        <v>#DIV/0!</v>
      </c>
    </row>
    <row r="238" spans="3:97">
      <c r="C238" s="107"/>
      <c r="D238" s="395"/>
      <c r="E238" s="84"/>
      <c r="F238" s="84"/>
      <c r="G238" s="389"/>
      <c r="H238" s="390"/>
      <c r="I238" s="390"/>
      <c r="J238" s="390"/>
      <c r="K238" s="390"/>
      <c r="L238" s="390"/>
      <c r="M238" s="390"/>
      <c r="N238" s="390"/>
      <c r="O238" s="390"/>
      <c r="P238" s="390"/>
      <c r="Q238" s="390"/>
      <c r="R238" s="390"/>
      <c r="S238" s="390"/>
      <c r="T238" s="390"/>
      <c r="U238" s="390"/>
      <c r="V238" s="390"/>
      <c r="W238" s="390"/>
      <c r="X238" s="390"/>
      <c r="Y238" s="390"/>
      <c r="Z238" s="390"/>
      <c r="AA238" s="390"/>
      <c r="AB238" s="390"/>
      <c r="AC238" s="390"/>
      <c r="AD238" s="390"/>
      <c r="AE238" s="390"/>
      <c r="AF238" s="390"/>
      <c r="AG238" s="390"/>
      <c r="AH238" s="390"/>
      <c r="AI238" s="391"/>
      <c r="AK238" s="437"/>
      <c r="AL238" s="437"/>
      <c r="AM238" s="437"/>
      <c r="AN238" s="437"/>
      <c r="AO238" s="437"/>
      <c r="AP238" s="437"/>
      <c r="AQ238" s="437"/>
      <c r="AR238" s="437"/>
      <c r="AS238" s="437"/>
      <c r="AT238" s="437"/>
      <c r="AU238" s="437"/>
      <c r="AV238" s="437"/>
      <c r="AW238" s="437"/>
      <c r="AX238" s="437"/>
      <c r="AY238" s="437"/>
      <c r="AZ238" s="437"/>
      <c r="BA238" s="437"/>
      <c r="BB238" s="437"/>
      <c r="BC238" s="437"/>
      <c r="BD238" s="437"/>
      <c r="BE238" s="437"/>
      <c r="BF238" s="437"/>
      <c r="BG238" s="437"/>
      <c r="BH238" s="437"/>
      <c r="BI238" s="437"/>
      <c r="BJ238" s="437"/>
      <c r="BK238" s="437"/>
      <c r="BL238" s="437"/>
      <c r="BM238" s="393"/>
      <c r="BO238" s="399">
        <f t="shared" si="93"/>
        <v>0</v>
      </c>
      <c r="BP238" s="399">
        <f t="shared" si="94"/>
        <v>0</v>
      </c>
      <c r="BQ238" s="399">
        <f t="shared" si="95"/>
        <v>0</v>
      </c>
      <c r="BR238" s="399">
        <f t="shared" si="96"/>
        <v>0</v>
      </c>
      <c r="BS238" s="399">
        <f t="shared" si="97"/>
        <v>0</v>
      </c>
      <c r="BT238" s="399">
        <f t="shared" si="98"/>
        <v>0</v>
      </c>
      <c r="BU238" s="399">
        <f t="shared" si="99"/>
        <v>0</v>
      </c>
      <c r="BV238" s="399">
        <f t="shared" si="100"/>
        <v>0</v>
      </c>
      <c r="BW238" s="399">
        <f t="shared" si="101"/>
        <v>0</v>
      </c>
      <c r="BX238" s="399">
        <f t="shared" si="102"/>
        <v>0</v>
      </c>
      <c r="BY238" s="399">
        <f t="shared" si="103"/>
        <v>0</v>
      </c>
      <c r="BZ238" s="399">
        <f t="shared" si="104"/>
        <v>0</v>
      </c>
      <c r="CA238" s="399">
        <f t="shared" si="105"/>
        <v>0</v>
      </c>
      <c r="CB238" s="399">
        <f t="shared" si="106"/>
        <v>0</v>
      </c>
      <c r="CC238" s="399">
        <f t="shared" si="107"/>
        <v>0</v>
      </c>
      <c r="CD238" s="399">
        <f t="shared" si="108"/>
        <v>0</v>
      </c>
      <c r="CE238" s="399">
        <f t="shared" si="109"/>
        <v>0</v>
      </c>
      <c r="CF238" s="399">
        <f t="shared" si="110"/>
        <v>0</v>
      </c>
      <c r="CG238" s="399">
        <f t="shared" si="111"/>
        <v>0</v>
      </c>
      <c r="CH238" s="399">
        <f t="shared" si="112"/>
        <v>0</v>
      </c>
      <c r="CI238" s="399">
        <f t="shared" si="113"/>
        <v>0</v>
      </c>
      <c r="CJ238" s="399">
        <f t="shared" si="114"/>
        <v>0</v>
      </c>
      <c r="CK238" s="399">
        <f t="shared" si="115"/>
        <v>0</v>
      </c>
      <c r="CL238" s="399">
        <f t="shared" si="116"/>
        <v>0</v>
      </c>
      <c r="CM238" s="399">
        <f t="shared" si="117"/>
        <v>0</v>
      </c>
      <c r="CN238" s="399">
        <f t="shared" si="118"/>
        <v>0</v>
      </c>
      <c r="CO238" s="399">
        <f t="shared" si="119"/>
        <v>0</v>
      </c>
      <c r="CP238" s="399">
        <f t="shared" si="120"/>
        <v>0</v>
      </c>
      <c r="CQ238" s="423">
        <f t="shared" si="121"/>
        <v>0</v>
      </c>
      <c r="CS238" s="394" t="e">
        <f t="shared" si="122"/>
        <v>#DIV/0!</v>
      </c>
    </row>
    <row r="239" spans="3:97">
      <c r="C239" s="107"/>
      <c r="D239" s="395"/>
      <c r="E239" s="84"/>
      <c r="F239" s="84"/>
      <c r="G239" s="389"/>
      <c r="H239" s="390"/>
      <c r="I239" s="390"/>
      <c r="J239" s="390"/>
      <c r="K239" s="390"/>
      <c r="L239" s="390"/>
      <c r="M239" s="390"/>
      <c r="N239" s="390"/>
      <c r="O239" s="390"/>
      <c r="P239" s="390"/>
      <c r="Q239" s="390"/>
      <c r="R239" s="390"/>
      <c r="S239" s="390"/>
      <c r="T239" s="390"/>
      <c r="U239" s="390"/>
      <c r="V239" s="390"/>
      <c r="W239" s="390"/>
      <c r="X239" s="390"/>
      <c r="Y239" s="390"/>
      <c r="Z239" s="390"/>
      <c r="AA239" s="390"/>
      <c r="AB239" s="390"/>
      <c r="AC239" s="390"/>
      <c r="AD239" s="390"/>
      <c r="AE239" s="390"/>
      <c r="AF239" s="390"/>
      <c r="AG239" s="390"/>
      <c r="AH239" s="390"/>
      <c r="AI239" s="391"/>
      <c r="AK239" s="437"/>
      <c r="AL239" s="437"/>
      <c r="AM239" s="437"/>
      <c r="AN239" s="437"/>
      <c r="AO239" s="437"/>
      <c r="AP239" s="437"/>
      <c r="AQ239" s="437"/>
      <c r="AR239" s="437"/>
      <c r="AS239" s="437"/>
      <c r="AT239" s="437"/>
      <c r="AU239" s="437"/>
      <c r="AV239" s="437"/>
      <c r="AW239" s="437"/>
      <c r="AX239" s="437"/>
      <c r="AY239" s="437"/>
      <c r="AZ239" s="437"/>
      <c r="BA239" s="437"/>
      <c r="BB239" s="437"/>
      <c r="BC239" s="437"/>
      <c r="BD239" s="437"/>
      <c r="BE239" s="437"/>
      <c r="BF239" s="437"/>
      <c r="BG239" s="437"/>
      <c r="BH239" s="437"/>
      <c r="BI239" s="437"/>
      <c r="BJ239" s="437"/>
      <c r="BK239" s="437"/>
      <c r="BL239" s="437"/>
      <c r="BM239" s="393"/>
      <c r="BO239" s="399">
        <f t="shared" si="93"/>
        <v>0</v>
      </c>
      <c r="BP239" s="399">
        <f t="shared" si="94"/>
        <v>0</v>
      </c>
      <c r="BQ239" s="399">
        <f t="shared" si="95"/>
        <v>0</v>
      </c>
      <c r="BR239" s="399">
        <f t="shared" si="96"/>
        <v>0</v>
      </c>
      <c r="BS239" s="399">
        <f t="shared" si="97"/>
        <v>0</v>
      </c>
      <c r="BT239" s="399">
        <f t="shared" si="98"/>
        <v>0</v>
      </c>
      <c r="BU239" s="399">
        <f t="shared" si="99"/>
        <v>0</v>
      </c>
      <c r="BV239" s="399">
        <f t="shared" si="100"/>
        <v>0</v>
      </c>
      <c r="BW239" s="399">
        <f t="shared" si="101"/>
        <v>0</v>
      </c>
      <c r="BX239" s="399">
        <f t="shared" si="102"/>
        <v>0</v>
      </c>
      <c r="BY239" s="399">
        <f t="shared" si="103"/>
        <v>0</v>
      </c>
      <c r="BZ239" s="399">
        <f t="shared" si="104"/>
        <v>0</v>
      </c>
      <c r="CA239" s="399">
        <f t="shared" si="105"/>
        <v>0</v>
      </c>
      <c r="CB239" s="399">
        <f t="shared" si="106"/>
        <v>0</v>
      </c>
      <c r="CC239" s="399">
        <f t="shared" si="107"/>
        <v>0</v>
      </c>
      <c r="CD239" s="399">
        <f t="shared" si="108"/>
        <v>0</v>
      </c>
      <c r="CE239" s="399">
        <f t="shared" si="109"/>
        <v>0</v>
      </c>
      <c r="CF239" s="399">
        <f t="shared" si="110"/>
        <v>0</v>
      </c>
      <c r="CG239" s="399">
        <f t="shared" si="111"/>
        <v>0</v>
      </c>
      <c r="CH239" s="399">
        <f t="shared" si="112"/>
        <v>0</v>
      </c>
      <c r="CI239" s="399">
        <f t="shared" si="113"/>
        <v>0</v>
      </c>
      <c r="CJ239" s="399">
        <f t="shared" si="114"/>
        <v>0</v>
      </c>
      <c r="CK239" s="399">
        <f t="shared" si="115"/>
        <v>0</v>
      </c>
      <c r="CL239" s="399">
        <f t="shared" si="116"/>
        <v>0</v>
      </c>
      <c r="CM239" s="399">
        <f t="shared" si="117"/>
        <v>0</v>
      </c>
      <c r="CN239" s="399">
        <f t="shared" si="118"/>
        <v>0</v>
      </c>
      <c r="CO239" s="399">
        <f t="shared" si="119"/>
        <v>0</v>
      </c>
      <c r="CP239" s="399">
        <f t="shared" si="120"/>
        <v>0</v>
      </c>
      <c r="CQ239" s="423">
        <f t="shared" si="121"/>
        <v>0</v>
      </c>
      <c r="CS239" s="394" t="e">
        <f t="shared" si="122"/>
        <v>#DIV/0!</v>
      </c>
    </row>
    <row r="240" spans="3:97">
      <c r="C240" s="107"/>
      <c r="D240" s="395"/>
      <c r="E240" s="84"/>
      <c r="F240" s="84"/>
      <c r="G240" s="389"/>
      <c r="H240" s="390"/>
      <c r="I240" s="390"/>
      <c r="J240" s="390"/>
      <c r="K240" s="390"/>
      <c r="L240" s="390"/>
      <c r="M240" s="390"/>
      <c r="N240" s="390"/>
      <c r="O240" s="390"/>
      <c r="P240" s="390"/>
      <c r="Q240" s="390"/>
      <c r="R240" s="390"/>
      <c r="S240" s="390"/>
      <c r="T240" s="390"/>
      <c r="U240" s="390"/>
      <c r="V240" s="390"/>
      <c r="W240" s="390"/>
      <c r="X240" s="390"/>
      <c r="Y240" s="390"/>
      <c r="Z240" s="390"/>
      <c r="AA240" s="390"/>
      <c r="AB240" s="390"/>
      <c r="AC240" s="390"/>
      <c r="AD240" s="390"/>
      <c r="AE240" s="390"/>
      <c r="AF240" s="390"/>
      <c r="AG240" s="390"/>
      <c r="AH240" s="390"/>
      <c r="AI240" s="391"/>
      <c r="AK240" s="437"/>
      <c r="AL240" s="437"/>
      <c r="AM240" s="437"/>
      <c r="AN240" s="437"/>
      <c r="AO240" s="437"/>
      <c r="AP240" s="437"/>
      <c r="AQ240" s="437"/>
      <c r="AR240" s="437"/>
      <c r="AS240" s="437"/>
      <c r="AT240" s="437"/>
      <c r="AU240" s="437"/>
      <c r="AV240" s="437"/>
      <c r="AW240" s="437"/>
      <c r="AX240" s="437"/>
      <c r="AY240" s="437"/>
      <c r="AZ240" s="437"/>
      <c r="BA240" s="437"/>
      <c r="BB240" s="437"/>
      <c r="BC240" s="437"/>
      <c r="BD240" s="437"/>
      <c r="BE240" s="437"/>
      <c r="BF240" s="437"/>
      <c r="BG240" s="437"/>
      <c r="BH240" s="437"/>
      <c r="BI240" s="437"/>
      <c r="BJ240" s="437"/>
      <c r="BK240" s="437"/>
      <c r="BL240" s="437"/>
      <c r="BM240" s="393"/>
      <c r="BO240" s="399">
        <f t="shared" si="93"/>
        <v>0</v>
      </c>
      <c r="BP240" s="399">
        <f t="shared" si="94"/>
        <v>0</v>
      </c>
      <c r="BQ240" s="399">
        <f t="shared" si="95"/>
        <v>0</v>
      </c>
      <c r="BR240" s="399">
        <f t="shared" si="96"/>
        <v>0</v>
      </c>
      <c r="BS240" s="399">
        <f t="shared" si="97"/>
        <v>0</v>
      </c>
      <c r="BT240" s="399">
        <f t="shared" si="98"/>
        <v>0</v>
      </c>
      <c r="BU240" s="399">
        <f t="shared" si="99"/>
        <v>0</v>
      </c>
      <c r="BV240" s="399">
        <f t="shared" si="100"/>
        <v>0</v>
      </c>
      <c r="BW240" s="399">
        <f t="shared" si="101"/>
        <v>0</v>
      </c>
      <c r="BX240" s="399">
        <f t="shared" si="102"/>
        <v>0</v>
      </c>
      <c r="BY240" s="399">
        <f t="shared" si="103"/>
        <v>0</v>
      </c>
      <c r="BZ240" s="399">
        <f t="shared" si="104"/>
        <v>0</v>
      </c>
      <c r="CA240" s="399">
        <f t="shared" si="105"/>
        <v>0</v>
      </c>
      <c r="CB240" s="399">
        <f t="shared" si="106"/>
        <v>0</v>
      </c>
      <c r="CC240" s="399">
        <f t="shared" si="107"/>
        <v>0</v>
      </c>
      <c r="CD240" s="399">
        <f t="shared" si="108"/>
        <v>0</v>
      </c>
      <c r="CE240" s="399">
        <f t="shared" si="109"/>
        <v>0</v>
      </c>
      <c r="CF240" s="399">
        <f t="shared" si="110"/>
        <v>0</v>
      </c>
      <c r="CG240" s="399">
        <f t="shared" si="111"/>
        <v>0</v>
      </c>
      <c r="CH240" s="399">
        <f t="shared" si="112"/>
        <v>0</v>
      </c>
      <c r="CI240" s="399">
        <f t="shared" si="113"/>
        <v>0</v>
      </c>
      <c r="CJ240" s="399">
        <f t="shared" si="114"/>
        <v>0</v>
      </c>
      <c r="CK240" s="399">
        <f t="shared" si="115"/>
        <v>0</v>
      </c>
      <c r="CL240" s="399">
        <f t="shared" si="116"/>
        <v>0</v>
      </c>
      <c r="CM240" s="399">
        <f t="shared" si="117"/>
        <v>0</v>
      </c>
      <c r="CN240" s="399">
        <f t="shared" si="118"/>
        <v>0</v>
      </c>
      <c r="CO240" s="399">
        <f t="shared" si="119"/>
        <v>0</v>
      </c>
      <c r="CP240" s="399">
        <f t="shared" si="120"/>
        <v>0</v>
      </c>
      <c r="CQ240" s="423">
        <f t="shared" si="121"/>
        <v>0</v>
      </c>
      <c r="CS240" s="394" t="e">
        <f t="shared" si="122"/>
        <v>#DIV/0!</v>
      </c>
    </row>
    <row r="241" spans="3:97">
      <c r="C241" s="107"/>
      <c r="D241" s="395"/>
      <c r="E241" s="84"/>
      <c r="F241" s="84"/>
      <c r="G241" s="389"/>
      <c r="H241" s="390"/>
      <c r="I241" s="390"/>
      <c r="J241" s="390"/>
      <c r="K241" s="390"/>
      <c r="L241" s="390"/>
      <c r="M241" s="390"/>
      <c r="N241" s="390"/>
      <c r="O241" s="390"/>
      <c r="P241" s="390"/>
      <c r="Q241" s="390"/>
      <c r="R241" s="390"/>
      <c r="S241" s="390"/>
      <c r="T241" s="390"/>
      <c r="U241" s="390"/>
      <c r="V241" s="390"/>
      <c r="W241" s="390"/>
      <c r="X241" s="390"/>
      <c r="Y241" s="390"/>
      <c r="Z241" s="390"/>
      <c r="AA241" s="390"/>
      <c r="AB241" s="390"/>
      <c r="AC241" s="390"/>
      <c r="AD241" s="390"/>
      <c r="AE241" s="390"/>
      <c r="AF241" s="390"/>
      <c r="AG241" s="390"/>
      <c r="AH241" s="390"/>
      <c r="AI241" s="391"/>
      <c r="AK241" s="437"/>
      <c r="AL241" s="437"/>
      <c r="AM241" s="437"/>
      <c r="AN241" s="437"/>
      <c r="AO241" s="437"/>
      <c r="AP241" s="437"/>
      <c r="AQ241" s="437"/>
      <c r="AR241" s="437"/>
      <c r="AS241" s="437"/>
      <c r="AT241" s="437"/>
      <c r="AU241" s="437"/>
      <c r="AV241" s="437"/>
      <c r="AW241" s="437"/>
      <c r="AX241" s="437"/>
      <c r="AY241" s="437"/>
      <c r="AZ241" s="437"/>
      <c r="BA241" s="437"/>
      <c r="BB241" s="437"/>
      <c r="BC241" s="437"/>
      <c r="BD241" s="437"/>
      <c r="BE241" s="437"/>
      <c r="BF241" s="437"/>
      <c r="BG241" s="437"/>
      <c r="BH241" s="437"/>
      <c r="BI241" s="437"/>
      <c r="BJ241" s="437"/>
      <c r="BK241" s="437"/>
      <c r="BL241" s="437"/>
      <c r="BM241" s="393"/>
      <c r="BO241" s="399">
        <f t="shared" si="93"/>
        <v>0</v>
      </c>
      <c r="BP241" s="399">
        <f t="shared" si="94"/>
        <v>0</v>
      </c>
      <c r="BQ241" s="399">
        <f t="shared" si="95"/>
        <v>0</v>
      </c>
      <c r="BR241" s="399">
        <f t="shared" si="96"/>
        <v>0</v>
      </c>
      <c r="BS241" s="399">
        <f t="shared" si="97"/>
        <v>0</v>
      </c>
      <c r="BT241" s="399">
        <f t="shared" si="98"/>
        <v>0</v>
      </c>
      <c r="BU241" s="399">
        <f t="shared" si="99"/>
        <v>0</v>
      </c>
      <c r="BV241" s="399">
        <f t="shared" si="100"/>
        <v>0</v>
      </c>
      <c r="BW241" s="399">
        <f t="shared" si="101"/>
        <v>0</v>
      </c>
      <c r="BX241" s="399">
        <f t="shared" si="102"/>
        <v>0</v>
      </c>
      <c r="BY241" s="399">
        <f t="shared" si="103"/>
        <v>0</v>
      </c>
      <c r="BZ241" s="399">
        <f t="shared" si="104"/>
        <v>0</v>
      </c>
      <c r="CA241" s="399">
        <f t="shared" si="105"/>
        <v>0</v>
      </c>
      <c r="CB241" s="399">
        <f t="shared" si="106"/>
        <v>0</v>
      </c>
      <c r="CC241" s="399">
        <f t="shared" si="107"/>
        <v>0</v>
      </c>
      <c r="CD241" s="399">
        <f t="shared" si="108"/>
        <v>0</v>
      </c>
      <c r="CE241" s="399">
        <f t="shared" si="109"/>
        <v>0</v>
      </c>
      <c r="CF241" s="399">
        <f t="shared" si="110"/>
        <v>0</v>
      </c>
      <c r="CG241" s="399">
        <f t="shared" si="111"/>
        <v>0</v>
      </c>
      <c r="CH241" s="399">
        <f t="shared" si="112"/>
        <v>0</v>
      </c>
      <c r="CI241" s="399">
        <f t="shared" si="113"/>
        <v>0</v>
      </c>
      <c r="CJ241" s="399">
        <f t="shared" si="114"/>
        <v>0</v>
      </c>
      <c r="CK241" s="399">
        <f t="shared" si="115"/>
        <v>0</v>
      </c>
      <c r="CL241" s="399">
        <f t="shared" si="116"/>
        <v>0</v>
      </c>
      <c r="CM241" s="399">
        <f t="shared" si="117"/>
        <v>0</v>
      </c>
      <c r="CN241" s="399">
        <f t="shared" si="118"/>
        <v>0</v>
      </c>
      <c r="CO241" s="399">
        <f t="shared" si="119"/>
        <v>0</v>
      </c>
      <c r="CP241" s="399">
        <f t="shared" si="120"/>
        <v>0</v>
      </c>
      <c r="CQ241" s="423">
        <f t="shared" si="121"/>
        <v>0</v>
      </c>
      <c r="CS241" s="394" t="e">
        <f t="shared" si="122"/>
        <v>#DIV/0!</v>
      </c>
    </row>
    <row r="242" spans="3:97">
      <c r="C242" s="107"/>
      <c r="D242" s="395"/>
      <c r="E242" s="84"/>
      <c r="F242" s="84"/>
      <c r="G242" s="389"/>
      <c r="H242" s="390"/>
      <c r="I242" s="390"/>
      <c r="J242" s="390"/>
      <c r="K242" s="390"/>
      <c r="L242" s="390"/>
      <c r="M242" s="390"/>
      <c r="N242" s="390"/>
      <c r="O242" s="390"/>
      <c r="P242" s="390"/>
      <c r="Q242" s="390"/>
      <c r="R242" s="390"/>
      <c r="S242" s="390"/>
      <c r="T242" s="390"/>
      <c r="U242" s="390"/>
      <c r="V242" s="390"/>
      <c r="W242" s="390"/>
      <c r="X242" s="390"/>
      <c r="Y242" s="390"/>
      <c r="Z242" s="390"/>
      <c r="AA242" s="390"/>
      <c r="AB242" s="390"/>
      <c r="AC242" s="390"/>
      <c r="AD242" s="390"/>
      <c r="AE242" s="390"/>
      <c r="AF242" s="390"/>
      <c r="AG242" s="390"/>
      <c r="AH242" s="390"/>
      <c r="AI242" s="391"/>
      <c r="AK242" s="437"/>
      <c r="AL242" s="437"/>
      <c r="AM242" s="437"/>
      <c r="AN242" s="437"/>
      <c r="AO242" s="437"/>
      <c r="AP242" s="437"/>
      <c r="AQ242" s="437"/>
      <c r="AR242" s="437"/>
      <c r="AS242" s="437"/>
      <c r="AT242" s="437"/>
      <c r="AU242" s="437"/>
      <c r="AV242" s="437"/>
      <c r="AW242" s="437"/>
      <c r="AX242" s="437"/>
      <c r="AY242" s="437"/>
      <c r="AZ242" s="437"/>
      <c r="BA242" s="437"/>
      <c r="BB242" s="437"/>
      <c r="BC242" s="437"/>
      <c r="BD242" s="437"/>
      <c r="BE242" s="437"/>
      <c r="BF242" s="437"/>
      <c r="BG242" s="437"/>
      <c r="BH242" s="437"/>
      <c r="BI242" s="437"/>
      <c r="BJ242" s="437"/>
      <c r="BK242" s="437"/>
      <c r="BL242" s="437"/>
      <c r="BM242" s="393"/>
      <c r="BO242" s="399">
        <f t="shared" si="93"/>
        <v>0</v>
      </c>
      <c r="BP242" s="399">
        <f t="shared" si="94"/>
        <v>0</v>
      </c>
      <c r="BQ242" s="399">
        <f t="shared" si="95"/>
        <v>0</v>
      </c>
      <c r="BR242" s="399">
        <f t="shared" si="96"/>
        <v>0</v>
      </c>
      <c r="BS242" s="399">
        <f t="shared" si="97"/>
        <v>0</v>
      </c>
      <c r="BT242" s="399">
        <f t="shared" si="98"/>
        <v>0</v>
      </c>
      <c r="BU242" s="399">
        <f t="shared" si="99"/>
        <v>0</v>
      </c>
      <c r="BV242" s="399">
        <f t="shared" si="100"/>
        <v>0</v>
      </c>
      <c r="BW242" s="399">
        <f t="shared" si="101"/>
        <v>0</v>
      </c>
      <c r="BX242" s="399">
        <f t="shared" si="102"/>
        <v>0</v>
      </c>
      <c r="BY242" s="399">
        <f t="shared" si="103"/>
        <v>0</v>
      </c>
      <c r="BZ242" s="399">
        <f t="shared" si="104"/>
        <v>0</v>
      </c>
      <c r="CA242" s="399">
        <f t="shared" si="105"/>
        <v>0</v>
      </c>
      <c r="CB242" s="399">
        <f t="shared" si="106"/>
        <v>0</v>
      </c>
      <c r="CC242" s="399">
        <f t="shared" si="107"/>
        <v>0</v>
      </c>
      <c r="CD242" s="399">
        <f t="shared" si="108"/>
        <v>0</v>
      </c>
      <c r="CE242" s="399">
        <f t="shared" si="109"/>
        <v>0</v>
      </c>
      <c r="CF242" s="399">
        <f t="shared" si="110"/>
        <v>0</v>
      </c>
      <c r="CG242" s="399">
        <f t="shared" si="111"/>
        <v>0</v>
      </c>
      <c r="CH242" s="399">
        <f t="shared" si="112"/>
        <v>0</v>
      </c>
      <c r="CI242" s="399">
        <f t="shared" si="113"/>
        <v>0</v>
      </c>
      <c r="CJ242" s="399">
        <f t="shared" si="114"/>
        <v>0</v>
      </c>
      <c r="CK242" s="399">
        <f t="shared" si="115"/>
        <v>0</v>
      </c>
      <c r="CL242" s="399">
        <f t="shared" si="116"/>
        <v>0</v>
      </c>
      <c r="CM242" s="399">
        <f t="shared" si="117"/>
        <v>0</v>
      </c>
      <c r="CN242" s="399">
        <f t="shared" si="118"/>
        <v>0</v>
      </c>
      <c r="CO242" s="399">
        <f t="shared" si="119"/>
        <v>0</v>
      </c>
      <c r="CP242" s="399">
        <f t="shared" si="120"/>
        <v>0</v>
      </c>
      <c r="CQ242" s="423">
        <f t="shared" si="121"/>
        <v>0</v>
      </c>
      <c r="CS242" s="394" t="e">
        <f t="shared" si="122"/>
        <v>#DIV/0!</v>
      </c>
    </row>
    <row r="243" spans="3:97">
      <c r="C243" s="107"/>
      <c r="D243" s="395"/>
      <c r="E243" s="84"/>
      <c r="F243" s="84"/>
      <c r="G243" s="389"/>
      <c r="H243" s="390"/>
      <c r="I243" s="390"/>
      <c r="J243" s="390"/>
      <c r="K243" s="390"/>
      <c r="L243" s="390"/>
      <c r="M243" s="390"/>
      <c r="N243" s="390"/>
      <c r="O243" s="390"/>
      <c r="P243" s="390"/>
      <c r="Q243" s="390"/>
      <c r="R243" s="390"/>
      <c r="S243" s="390"/>
      <c r="T243" s="390"/>
      <c r="U243" s="390"/>
      <c r="V243" s="390"/>
      <c r="W243" s="390"/>
      <c r="X243" s="390"/>
      <c r="Y243" s="390"/>
      <c r="Z243" s="390"/>
      <c r="AA243" s="390"/>
      <c r="AB243" s="390"/>
      <c r="AC243" s="390"/>
      <c r="AD243" s="390"/>
      <c r="AE243" s="390"/>
      <c r="AF243" s="390"/>
      <c r="AG243" s="390"/>
      <c r="AH243" s="390"/>
      <c r="AI243" s="391"/>
      <c r="AK243" s="437"/>
      <c r="AL243" s="437"/>
      <c r="AM243" s="437"/>
      <c r="AN243" s="437"/>
      <c r="AO243" s="437"/>
      <c r="AP243" s="437"/>
      <c r="AQ243" s="437"/>
      <c r="AR243" s="437"/>
      <c r="AS243" s="437"/>
      <c r="AT243" s="437"/>
      <c r="AU243" s="437"/>
      <c r="AV243" s="437"/>
      <c r="AW243" s="437"/>
      <c r="AX243" s="437"/>
      <c r="AY243" s="437"/>
      <c r="AZ243" s="437"/>
      <c r="BA243" s="437"/>
      <c r="BB243" s="437"/>
      <c r="BC243" s="437"/>
      <c r="BD243" s="437"/>
      <c r="BE243" s="437"/>
      <c r="BF243" s="437"/>
      <c r="BG243" s="437"/>
      <c r="BH243" s="437"/>
      <c r="BI243" s="437"/>
      <c r="BJ243" s="437"/>
      <c r="BK243" s="437"/>
      <c r="BL243" s="437"/>
      <c r="BM243" s="393"/>
      <c r="BO243" s="399">
        <f t="shared" si="93"/>
        <v>0</v>
      </c>
      <c r="BP243" s="399">
        <f t="shared" si="94"/>
        <v>0</v>
      </c>
      <c r="BQ243" s="399">
        <f t="shared" si="95"/>
        <v>0</v>
      </c>
      <c r="BR243" s="399">
        <f t="shared" si="96"/>
        <v>0</v>
      </c>
      <c r="BS243" s="399">
        <f t="shared" si="97"/>
        <v>0</v>
      </c>
      <c r="BT243" s="399">
        <f t="shared" si="98"/>
        <v>0</v>
      </c>
      <c r="BU243" s="399">
        <f t="shared" si="99"/>
        <v>0</v>
      </c>
      <c r="BV243" s="399">
        <f t="shared" si="100"/>
        <v>0</v>
      </c>
      <c r="BW243" s="399">
        <f t="shared" si="101"/>
        <v>0</v>
      </c>
      <c r="BX243" s="399">
        <f t="shared" si="102"/>
        <v>0</v>
      </c>
      <c r="BY243" s="399">
        <f t="shared" si="103"/>
        <v>0</v>
      </c>
      <c r="BZ243" s="399">
        <f t="shared" si="104"/>
        <v>0</v>
      </c>
      <c r="CA243" s="399">
        <f t="shared" si="105"/>
        <v>0</v>
      </c>
      <c r="CB243" s="399">
        <f t="shared" si="106"/>
        <v>0</v>
      </c>
      <c r="CC243" s="399">
        <f t="shared" si="107"/>
        <v>0</v>
      </c>
      <c r="CD243" s="399">
        <f t="shared" si="108"/>
        <v>0</v>
      </c>
      <c r="CE243" s="399">
        <f t="shared" si="109"/>
        <v>0</v>
      </c>
      <c r="CF243" s="399">
        <f t="shared" si="110"/>
        <v>0</v>
      </c>
      <c r="CG243" s="399">
        <f t="shared" si="111"/>
        <v>0</v>
      </c>
      <c r="CH243" s="399">
        <f t="shared" si="112"/>
        <v>0</v>
      </c>
      <c r="CI243" s="399">
        <f t="shared" si="113"/>
        <v>0</v>
      </c>
      <c r="CJ243" s="399">
        <f t="shared" si="114"/>
        <v>0</v>
      </c>
      <c r="CK243" s="399">
        <f t="shared" si="115"/>
        <v>0</v>
      </c>
      <c r="CL243" s="399">
        <f t="shared" si="116"/>
        <v>0</v>
      </c>
      <c r="CM243" s="399">
        <f t="shared" si="117"/>
        <v>0</v>
      </c>
      <c r="CN243" s="399">
        <f t="shared" si="118"/>
        <v>0</v>
      </c>
      <c r="CO243" s="399">
        <f t="shared" si="119"/>
        <v>0</v>
      </c>
      <c r="CP243" s="399">
        <f t="shared" si="120"/>
        <v>0</v>
      </c>
      <c r="CQ243" s="423">
        <f t="shared" si="121"/>
        <v>0</v>
      </c>
      <c r="CS243" s="394" t="e">
        <f t="shared" si="122"/>
        <v>#DIV/0!</v>
      </c>
    </row>
    <row r="244" spans="3:97">
      <c r="C244" s="107"/>
      <c r="D244" s="395"/>
      <c r="E244" s="84"/>
      <c r="F244" s="84"/>
      <c r="G244" s="389"/>
      <c r="H244" s="390"/>
      <c r="I244" s="390"/>
      <c r="J244" s="390"/>
      <c r="K244" s="390"/>
      <c r="L244" s="390"/>
      <c r="M244" s="390"/>
      <c r="N244" s="390"/>
      <c r="O244" s="390"/>
      <c r="P244" s="390"/>
      <c r="Q244" s="390"/>
      <c r="R244" s="390"/>
      <c r="S244" s="390"/>
      <c r="T244" s="390"/>
      <c r="U244" s="390"/>
      <c r="V244" s="390"/>
      <c r="W244" s="390"/>
      <c r="X244" s="390"/>
      <c r="Y244" s="390"/>
      <c r="Z244" s="390"/>
      <c r="AA244" s="390"/>
      <c r="AB244" s="390"/>
      <c r="AC244" s="390"/>
      <c r="AD244" s="390"/>
      <c r="AE244" s="390"/>
      <c r="AF244" s="390"/>
      <c r="AG244" s="390"/>
      <c r="AH244" s="390"/>
      <c r="AI244" s="391"/>
      <c r="AK244" s="437"/>
      <c r="AL244" s="437"/>
      <c r="AM244" s="437"/>
      <c r="AN244" s="437"/>
      <c r="AO244" s="437"/>
      <c r="AP244" s="437"/>
      <c r="AQ244" s="437"/>
      <c r="AR244" s="437"/>
      <c r="AS244" s="437"/>
      <c r="AT244" s="437"/>
      <c r="AU244" s="437"/>
      <c r="AV244" s="437"/>
      <c r="AW244" s="437"/>
      <c r="AX244" s="437"/>
      <c r="AY244" s="437"/>
      <c r="AZ244" s="437"/>
      <c r="BA244" s="437"/>
      <c r="BB244" s="437"/>
      <c r="BC244" s="437"/>
      <c r="BD244" s="437"/>
      <c r="BE244" s="437"/>
      <c r="BF244" s="437"/>
      <c r="BG244" s="437"/>
      <c r="BH244" s="437"/>
      <c r="BI244" s="437"/>
      <c r="BJ244" s="437"/>
      <c r="BK244" s="437"/>
      <c r="BL244" s="437"/>
      <c r="BM244" s="393"/>
      <c r="BO244" s="399">
        <f t="shared" si="93"/>
        <v>0</v>
      </c>
      <c r="BP244" s="399">
        <f t="shared" si="94"/>
        <v>0</v>
      </c>
      <c r="BQ244" s="399">
        <f t="shared" si="95"/>
        <v>0</v>
      </c>
      <c r="BR244" s="399">
        <f t="shared" si="96"/>
        <v>0</v>
      </c>
      <c r="BS244" s="399">
        <f t="shared" si="97"/>
        <v>0</v>
      </c>
      <c r="BT244" s="399">
        <f t="shared" si="98"/>
        <v>0</v>
      </c>
      <c r="BU244" s="399">
        <f t="shared" si="99"/>
        <v>0</v>
      </c>
      <c r="BV244" s="399">
        <f t="shared" si="100"/>
        <v>0</v>
      </c>
      <c r="BW244" s="399">
        <f t="shared" si="101"/>
        <v>0</v>
      </c>
      <c r="BX244" s="399">
        <f t="shared" si="102"/>
        <v>0</v>
      </c>
      <c r="BY244" s="399">
        <f t="shared" si="103"/>
        <v>0</v>
      </c>
      <c r="BZ244" s="399">
        <f t="shared" si="104"/>
        <v>0</v>
      </c>
      <c r="CA244" s="399">
        <f t="shared" si="105"/>
        <v>0</v>
      </c>
      <c r="CB244" s="399">
        <f t="shared" si="106"/>
        <v>0</v>
      </c>
      <c r="CC244" s="399">
        <f t="shared" si="107"/>
        <v>0</v>
      </c>
      <c r="CD244" s="399">
        <f t="shared" si="108"/>
        <v>0</v>
      </c>
      <c r="CE244" s="399">
        <f t="shared" si="109"/>
        <v>0</v>
      </c>
      <c r="CF244" s="399">
        <f t="shared" si="110"/>
        <v>0</v>
      </c>
      <c r="CG244" s="399">
        <f t="shared" si="111"/>
        <v>0</v>
      </c>
      <c r="CH244" s="399">
        <f t="shared" si="112"/>
        <v>0</v>
      </c>
      <c r="CI244" s="399">
        <f t="shared" si="113"/>
        <v>0</v>
      </c>
      <c r="CJ244" s="399">
        <f t="shared" si="114"/>
        <v>0</v>
      </c>
      <c r="CK244" s="399">
        <f t="shared" si="115"/>
        <v>0</v>
      </c>
      <c r="CL244" s="399">
        <f t="shared" si="116"/>
        <v>0</v>
      </c>
      <c r="CM244" s="399">
        <f t="shared" si="117"/>
        <v>0</v>
      </c>
      <c r="CN244" s="399">
        <f t="shared" si="118"/>
        <v>0</v>
      </c>
      <c r="CO244" s="399">
        <f t="shared" si="119"/>
        <v>0</v>
      </c>
      <c r="CP244" s="399">
        <f t="shared" si="120"/>
        <v>0</v>
      </c>
      <c r="CQ244" s="423">
        <f t="shared" si="121"/>
        <v>0</v>
      </c>
      <c r="CS244" s="394" t="e">
        <f t="shared" si="122"/>
        <v>#DIV/0!</v>
      </c>
    </row>
    <row r="245" spans="3:97">
      <c r="C245" s="107"/>
      <c r="D245" s="395"/>
      <c r="E245" s="84"/>
      <c r="F245" s="84"/>
      <c r="G245" s="389"/>
      <c r="H245" s="390"/>
      <c r="I245" s="390"/>
      <c r="J245" s="390"/>
      <c r="K245" s="390"/>
      <c r="L245" s="390"/>
      <c r="M245" s="390"/>
      <c r="N245" s="390"/>
      <c r="O245" s="390"/>
      <c r="P245" s="390"/>
      <c r="Q245" s="390"/>
      <c r="R245" s="390"/>
      <c r="S245" s="390"/>
      <c r="T245" s="390"/>
      <c r="U245" s="390"/>
      <c r="V245" s="390"/>
      <c r="W245" s="390"/>
      <c r="X245" s="390"/>
      <c r="Y245" s="390"/>
      <c r="Z245" s="390"/>
      <c r="AA245" s="390"/>
      <c r="AB245" s="390"/>
      <c r="AC245" s="390"/>
      <c r="AD245" s="390"/>
      <c r="AE245" s="390"/>
      <c r="AF245" s="390"/>
      <c r="AG245" s="390"/>
      <c r="AH245" s="390"/>
      <c r="AI245" s="391"/>
      <c r="AK245" s="437"/>
      <c r="AL245" s="437"/>
      <c r="AM245" s="437"/>
      <c r="AN245" s="437"/>
      <c r="AO245" s="437"/>
      <c r="AP245" s="437"/>
      <c r="AQ245" s="437"/>
      <c r="AR245" s="437"/>
      <c r="AS245" s="437"/>
      <c r="AT245" s="437"/>
      <c r="AU245" s="437"/>
      <c r="AV245" s="437"/>
      <c r="AW245" s="437"/>
      <c r="AX245" s="437"/>
      <c r="AY245" s="437"/>
      <c r="AZ245" s="437"/>
      <c r="BA245" s="437"/>
      <c r="BB245" s="437"/>
      <c r="BC245" s="437"/>
      <c r="BD245" s="437"/>
      <c r="BE245" s="437"/>
      <c r="BF245" s="437"/>
      <c r="BG245" s="437"/>
      <c r="BH245" s="437"/>
      <c r="BI245" s="437"/>
      <c r="BJ245" s="437"/>
      <c r="BK245" s="437"/>
      <c r="BL245" s="437"/>
      <c r="BM245" s="393"/>
      <c r="BO245" s="399">
        <f t="shared" si="93"/>
        <v>0</v>
      </c>
      <c r="BP245" s="399">
        <f t="shared" si="94"/>
        <v>0</v>
      </c>
      <c r="BQ245" s="399">
        <f t="shared" si="95"/>
        <v>0</v>
      </c>
      <c r="BR245" s="399">
        <f t="shared" si="96"/>
        <v>0</v>
      </c>
      <c r="BS245" s="399">
        <f t="shared" si="97"/>
        <v>0</v>
      </c>
      <c r="BT245" s="399">
        <f t="shared" si="98"/>
        <v>0</v>
      </c>
      <c r="BU245" s="399">
        <f t="shared" si="99"/>
        <v>0</v>
      </c>
      <c r="BV245" s="399">
        <f t="shared" si="100"/>
        <v>0</v>
      </c>
      <c r="BW245" s="399">
        <f t="shared" si="101"/>
        <v>0</v>
      </c>
      <c r="BX245" s="399">
        <f t="shared" si="102"/>
        <v>0</v>
      </c>
      <c r="BY245" s="399">
        <f t="shared" si="103"/>
        <v>0</v>
      </c>
      <c r="BZ245" s="399">
        <f t="shared" si="104"/>
        <v>0</v>
      </c>
      <c r="CA245" s="399">
        <f t="shared" si="105"/>
        <v>0</v>
      </c>
      <c r="CB245" s="399">
        <f t="shared" si="106"/>
        <v>0</v>
      </c>
      <c r="CC245" s="399">
        <f t="shared" si="107"/>
        <v>0</v>
      </c>
      <c r="CD245" s="399">
        <f t="shared" si="108"/>
        <v>0</v>
      </c>
      <c r="CE245" s="399">
        <f t="shared" si="109"/>
        <v>0</v>
      </c>
      <c r="CF245" s="399">
        <f t="shared" si="110"/>
        <v>0</v>
      </c>
      <c r="CG245" s="399">
        <f t="shared" si="111"/>
        <v>0</v>
      </c>
      <c r="CH245" s="399">
        <f t="shared" si="112"/>
        <v>0</v>
      </c>
      <c r="CI245" s="399">
        <f t="shared" si="113"/>
        <v>0</v>
      </c>
      <c r="CJ245" s="399">
        <f t="shared" si="114"/>
        <v>0</v>
      </c>
      <c r="CK245" s="399">
        <f t="shared" si="115"/>
        <v>0</v>
      </c>
      <c r="CL245" s="399">
        <f t="shared" si="116"/>
        <v>0</v>
      </c>
      <c r="CM245" s="399">
        <f t="shared" si="117"/>
        <v>0</v>
      </c>
      <c r="CN245" s="399">
        <f t="shared" si="118"/>
        <v>0</v>
      </c>
      <c r="CO245" s="399">
        <f t="shared" si="119"/>
        <v>0</v>
      </c>
      <c r="CP245" s="399">
        <f t="shared" si="120"/>
        <v>0</v>
      </c>
      <c r="CQ245" s="423">
        <f t="shared" si="121"/>
        <v>0</v>
      </c>
      <c r="CS245" s="394" t="e">
        <f t="shared" si="122"/>
        <v>#DIV/0!</v>
      </c>
    </row>
    <row r="246" spans="3:97">
      <c r="C246" s="107"/>
      <c r="D246" s="395"/>
      <c r="E246" s="84"/>
      <c r="F246" s="84"/>
      <c r="G246" s="389"/>
      <c r="H246" s="390"/>
      <c r="I246" s="390"/>
      <c r="J246" s="390"/>
      <c r="K246" s="390"/>
      <c r="L246" s="390"/>
      <c r="M246" s="390"/>
      <c r="N246" s="390"/>
      <c r="O246" s="390"/>
      <c r="P246" s="390"/>
      <c r="Q246" s="390"/>
      <c r="R246" s="390"/>
      <c r="S246" s="390"/>
      <c r="T246" s="390"/>
      <c r="U246" s="390"/>
      <c r="V246" s="390"/>
      <c r="W246" s="390"/>
      <c r="X246" s="390"/>
      <c r="Y246" s="390"/>
      <c r="Z246" s="390"/>
      <c r="AA246" s="390"/>
      <c r="AB246" s="390"/>
      <c r="AC246" s="390"/>
      <c r="AD246" s="390"/>
      <c r="AE246" s="390"/>
      <c r="AF246" s="390"/>
      <c r="AG246" s="390"/>
      <c r="AH246" s="390"/>
      <c r="AI246" s="391"/>
      <c r="AK246" s="437"/>
      <c r="AL246" s="437"/>
      <c r="AM246" s="437"/>
      <c r="AN246" s="437"/>
      <c r="AO246" s="437"/>
      <c r="AP246" s="437"/>
      <c r="AQ246" s="437"/>
      <c r="AR246" s="437"/>
      <c r="AS246" s="437"/>
      <c r="AT246" s="437"/>
      <c r="AU246" s="437"/>
      <c r="AV246" s="437"/>
      <c r="AW246" s="437"/>
      <c r="AX246" s="437"/>
      <c r="AY246" s="437"/>
      <c r="AZ246" s="437"/>
      <c r="BA246" s="437"/>
      <c r="BB246" s="437"/>
      <c r="BC246" s="437"/>
      <c r="BD246" s="437"/>
      <c r="BE246" s="437"/>
      <c r="BF246" s="437"/>
      <c r="BG246" s="437"/>
      <c r="BH246" s="437"/>
      <c r="BI246" s="437"/>
      <c r="BJ246" s="437"/>
      <c r="BK246" s="437"/>
      <c r="BL246" s="437"/>
      <c r="BM246" s="393"/>
      <c r="BO246" s="399">
        <f t="shared" si="93"/>
        <v>0</v>
      </c>
      <c r="BP246" s="399">
        <f t="shared" si="94"/>
        <v>0</v>
      </c>
      <c r="BQ246" s="399">
        <f t="shared" si="95"/>
        <v>0</v>
      </c>
      <c r="BR246" s="399">
        <f t="shared" si="96"/>
        <v>0</v>
      </c>
      <c r="BS246" s="399">
        <f t="shared" si="97"/>
        <v>0</v>
      </c>
      <c r="BT246" s="399">
        <f t="shared" si="98"/>
        <v>0</v>
      </c>
      <c r="BU246" s="399">
        <f t="shared" si="99"/>
        <v>0</v>
      </c>
      <c r="BV246" s="399">
        <f t="shared" si="100"/>
        <v>0</v>
      </c>
      <c r="BW246" s="399">
        <f t="shared" si="101"/>
        <v>0</v>
      </c>
      <c r="BX246" s="399">
        <f t="shared" si="102"/>
        <v>0</v>
      </c>
      <c r="BY246" s="399">
        <f t="shared" si="103"/>
        <v>0</v>
      </c>
      <c r="BZ246" s="399">
        <f t="shared" si="104"/>
        <v>0</v>
      </c>
      <c r="CA246" s="399">
        <f t="shared" si="105"/>
        <v>0</v>
      </c>
      <c r="CB246" s="399">
        <f t="shared" si="106"/>
        <v>0</v>
      </c>
      <c r="CC246" s="399">
        <f t="shared" si="107"/>
        <v>0</v>
      </c>
      <c r="CD246" s="399">
        <f t="shared" si="108"/>
        <v>0</v>
      </c>
      <c r="CE246" s="399">
        <f t="shared" si="109"/>
        <v>0</v>
      </c>
      <c r="CF246" s="399">
        <f t="shared" si="110"/>
        <v>0</v>
      </c>
      <c r="CG246" s="399">
        <f t="shared" si="111"/>
        <v>0</v>
      </c>
      <c r="CH246" s="399">
        <f t="shared" si="112"/>
        <v>0</v>
      </c>
      <c r="CI246" s="399">
        <f t="shared" si="113"/>
        <v>0</v>
      </c>
      <c r="CJ246" s="399">
        <f t="shared" si="114"/>
        <v>0</v>
      </c>
      <c r="CK246" s="399">
        <f t="shared" si="115"/>
        <v>0</v>
      </c>
      <c r="CL246" s="399">
        <f t="shared" si="116"/>
        <v>0</v>
      </c>
      <c r="CM246" s="399">
        <f t="shared" si="117"/>
        <v>0</v>
      </c>
      <c r="CN246" s="399">
        <f t="shared" si="118"/>
        <v>0</v>
      </c>
      <c r="CO246" s="399">
        <f t="shared" si="119"/>
        <v>0</v>
      </c>
      <c r="CP246" s="399">
        <f t="shared" si="120"/>
        <v>0</v>
      </c>
      <c r="CQ246" s="423">
        <f t="shared" si="121"/>
        <v>0</v>
      </c>
      <c r="CS246" s="394" t="e">
        <f t="shared" si="122"/>
        <v>#DIV/0!</v>
      </c>
    </row>
    <row r="247" spans="3:97">
      <c r="C247" s="107"/>
      <c r="D247" s="395"/>
      <c r="E247" s="84"/>
      <c r="F247" s="84"/>
      <c r="G247" s="389"/>
      <c r="H247" s="390"/>
      <c r="I247" s="390"/>
      <c r="J247" s="390"/>
      <c r="K247" s="390"/>
      <c r="L247" s="390"/>
      <c r="M247" s="390"/>
      <c r="N247" s="390"/>
      <c r="O247" s="390"/>
      <c r="P247" s="390"/>
      <c r="Q247" s="390"/>
      <c r="R247" s="390"/>
      <c r="S247" s="390"/>
      <c r="T247" s="390"/>
      <c r="U247" s="390"/>
      <c r="V247" s="390"/>
      <c r="W247" s="390"/>
      <c r="X247" s="390"/>
      <c r="Y247" s="390"/>
      <c r="Z247" s="390"/>
      <c r="AA247" s="390"/>
      <c r="AB247" s="390"/>
      <c r="AC247" s="390"/>
      <c r="AD247" s="390"/>
      <c r="AE247" s="390"/>
      <c r="AF247" s="390"/>
      <c r="AG247" s="390"/>
      <c r="AH247" s="390"/>
      <c r="AI247" s="391"/>
      <c r="AK247" s="437"/>
      <c r="AL247" s="437"/>
      <c r="AM247" s="437"/>
      <c r="AN247" s="437"/>
      <c r="AO247" s="437"/>
      <c r="AP247" s="437"/>
      <c r="AQ247" s="437"/>
      <c r="AR247" s="437"/>
      <c r="AS247" s="437"/>
      <c r="AT247" s="437"/>
      <c r="AU247" s="437"/>
      <c r="AV247" s="437"/>
      <c r="AW247" s="437"/>
      <c r="AX247" s="437"/>
      <c r="AY247" s="437"/>
      <c r="AZ247" s="437"/>
      <c r="BA247" s="437"/>
      <c r="BB247" s="437"/>
      <c r="BC247" s="437"/>
      <c r="BD247" s="437"/>
      <c r="BE247" s="437"/>
      <c r="BF247" s="437"/>
      <c r="BG247" s="437"/>
      <c r="BH247" s="437"/>
      <c r="BI247" s="437"/>
      <c r="BJ247" s="437"/>
      <c r="BK247" s="437"/>
      <c r="BL247" s="437"/>
      <c r="BM247" s="393"/>
      <c r="BO247" s="399">
        <f t="shared" si="93"/>
        <v>0</v>
      </c>
      <c r="BP247" s="399">
        <f t="shared" si="94"/>
        <v>0</v>
      </c>
      <c r="BQ247" s="399">
        <f t="shared" si="95"/>
        <v>0</v>
      </c>
      <c r="BR247" s="399">
        <f t="shared" si="96"/>
        <v>0</v>
      </c>
      <c r="BS247" s="399">
        <f t="shared" si="97"/>
        <v>0</v>
      </c>
      <c r="BT247" s="399">
        <f t="shared" si="98"/>
        <v>0</v>
      </c>
      <c r="BU247" s="399">
        <f t="shared" si="99"/>
        <v>0</v>
      </c>
      <c r="BV247" s="399">
        <f t="shared" si="100"/>
        <v>0</v>
      </c>
      <c r="BW247" s="399">
        <f t="shared" si="101"/>
        <v>0</v>
      </c>
      <c r="BX247" s="399">
        <f t="shared" si="102"/>
        <v>0</v>
      </c>
      <c r="BY247" s="399">
        <f t="shared" si="103"/>
        <v>0</v>
      </c>
      <c r="BZ247" s="399">
        <f t="shared" si="104"/>
        <v>0</v>
      </c>
      <c r="CA247" s="399">
        <f t="shared" si="105"/>
        <v>0</v>
      </c>
      <c r="CB247" s="399">
        <f t="shared" si="106"/>
        <v>0</v>
      </c>
      <c r="CC247" s="399">
        <f t="shared" si="107"/>
        <v>0</v>
      </c>
      <c r="CD247" s="399">
        <f t="shared" si="108"/>
        <v>0</v>
      </c>
      <c r="CE247" s="399">
        <f t="shared" si="109"/>
        <v>0</v>
      </c>
      <c r="CF247" s="399">
        <f t="shared" si="110"/>
        <v>0</v>
      </c>
      <c r="CG247" s="399">
        <f t="shared" si="111"/>
        <v>0</v>
      </c>
      <c r="CH247" s="399">
        <f t="shared" si="112"/>
        <v>0</v>
      </c>
      <c r="CI247" s="399">
        <f t="shared" si="113"/>
        <v>0</v>
      </c>
      <c r="CJ247" s="399">
        <f t="shared" si="114"/>
        <v>0</v>
      </c>
      <c r="CK247" s="399">
        <f t="shared" si="115"/>
        <v>0</v>
      </c>
      <c r="CL247" s="399">
        <f t="shared" si="116"/>
        <v>0</v>
      </c>
      <c r="CM247" s="399">
        <f t="shared" si="117"/>
        <v>0</v>
      </c>
      <c r="CN247" s="399">
        <f t="shared" si="118"/>
        <v>0</v>
      </c>
      <c r="CO247" s="399">
        <f t="shared" si="119"/>
        <v>0</v>
      </c>
      <c r="CP247" s="399">
        <f t="shared" si="120"/>
        <v>0</v>
      </c>
      <c r="CQ247" s="423">
        <f t="shared" si="121"/>
        <v>0</v>
      </c>
      <c r="CS247" s="394" t="e">
        <f t="shared" si="122"/>
        <v>#DIV/0!</v>
      </c>
    </row>
    <row r="248" spans="3:97">
      <c r="C248" s="107"/>
      <c r="D248" s="395"/>
      <c r="E248" s="84"/>
      <c r="F248" s="84"/>
      <c r="G248" s="389"/>
      <c r="H248" s="390"/>
      <c r="I248" s="390"/>
      <c r="J248" s="390"/>
      <c r="K248" s="390"/>
      <c r="L248" s="390"/>
      <c r="M248" s="390"/>
      <c r="N248" s="390"/>
      <c r="O248" s="390"/>
      <c r="P248" s="390"/>
      <c r="Q248" s="390"/>
      <c r="R248" s="390"/>
      <c r="S248" s="390"/>
      <c r="T248" s="390"/>
      <c r="U248" s="390"/>
      <c r="V248" s="390"/>
      <c r="W248" s="390"/>
      <c r="X248" s="390"/>
      <c r="Y248" s="390"/>
      <c r="Z248" s="390"/>
      <c r="AA248" s="390"/>
      <c r="AB248" s="390"/>
      <c r="AC248" s="390"/>
      <c r="AD248" s="390"/>
      <c r="AE248" s="390"/>
      <c r="AF248" s="390"/>
      <c r="AG248" s="390"/>
      <c r="AH248" s="390"/>
      <c r="AI248" s="391"/>
      <c r="AK248" s="437"/>
      <c r="AL248" s="437"/>
      <c r="AM248" s="437"/>
      <c r="AN248" s="437"/>
      <c r="AO248" s="437"/>
      <c r="AP248" s="437"/>
      <c r="AQ248" s="437"/>
      <c r="AR248" s="437"/>
      <c r="AS248" s="437"/>
      <c r="AT248" s="437"/>
      <c r="AU248" s="437"/>
      <c r="AV248" s="437"/>
      <c r="AW248" s="437"/>
      <c r="AX248" s="437"/>
      <c r="AY248" s="437"/>
      <c r="AZ248" s="437"/>
      <c r="BA248" s="437"/>
      <c r="BB248" s="437"/>
      <c r="BC248" s="437"/>
      <c r="BD248" s="437"/>
      <c r="BE248" s="437"/>
      <c r="BF248" s="437"/>
      <c r="BG248" s="437"/>
      <c r="BH248" s="437"/>
      <c r="BI248" s="437"/>
      <c r="BJ248" s="437"/>
      <c r="BK248" s="437"/>
      <c r="BL248" s="437"/>
      <c r="BM248" s="393"/>
      <c r="BO248" s="399">
        <f t="shared" si="93"/>
        <v>0</v>
      </c>
      <c r="BP248" s="399">
        <f t="shared" si="94"/>
        <v>0</v>
      </c>
      <c r="BQ248" s="399">
        <f t="shared" si="95"/>
        <v>0</v>
      </c>
      <c r="BR248" s="399">
        <f t="shared" si="96"/>
        <v>0</v>
      </c>
      <c r="BS248" s="399">
        <f t="shared" si="97"/>
        <v>0</v>
      </c>
      <c r="BT248" s="399">
        <f t="shared" si="98"/>
        <v>0</v>
      </c>
      <c r="BU248" s="399">
        <f t="shared" si="99"/>
        <v>0</v>
      </c>
      <c r="BV248" s="399">
        <f t="shared" si="100"/>
        <v>0</v>
      </c>
      <c r="BW248" s="399">
        <f t="shared" si="101"/>
        <v>0</v>
      </c>
      <c r="BX248" s="399">
        <f t="shared" si="102"/>
        <v>0</v>
      </c>
      <c r="BY248" s="399">
        <f t="shared" si="103"/>
        <v>0</v>
      </c>
      <c r="BZ248" s="399">
        <f t="shared" si="104"/>
        <v>0</v>
      </c>
      <c r="CA248" s="399">
        <f t="shared" si="105"/>
        <v>0</v>
      </c>
      <c r="CB248" s="399">
        <f t="shared" si="106"/>
        <v>0</v>
      </c>
      <c r="CC248" s="399">
        <f t="shared" si="107"/>
        <v>0</v>
      </c>
      <c r="CD248" s="399">
        <f t="shared" si="108"/>
        <v>0</v>
      </c>
      <c r="CE248" s="399">
        <f t="shared" si="109"/>
        <v>0</v>
      </c>
      <c r="CF248" s="399">
        <f t="shared" si="110"/>
        <v>0</v>
      </c>
      <c r="CG248" s="399">
        <f t="shared" si="111"/>
        <v>0</v>
      </c>
      <c r="CH248" s="399">
        <f t="shared" si="112"/>
        <v>0</v>
      </c>
      <c r="CI248" s="399">
        <f t="shared" si="113"/>
        <v>0</v>
      </c>
      <c r="CJ248" s="399">
        <f t="shared" si="114"/>
        <v>0</v>
      </c>
      <c r="CK248" s="399">
        <f t="shared" si="115"/>
        <v>0</v>
      </c>
      <c r="CL248" s="399">
        <f t="shared" si="116"/>
        <v>0</v>
      </c>
      <c r="CM248" s="399">
        <f t="shared" si="117"/>
        <v>0</v>
      </c>
      <c r="CN248" s="399">
        <f t="shared" si="118"/>
        <v>0</v>
      </c>
      <c r="CO248" s="399">
        <f t="shared" si="119"/>
        <v>0</v>
      </c>
      <c r="CP248" s="399">
        <f t="shared" si="120"/>
        <v>0</v>
      </c>
      <c r="CQ248" s="423">
        <f t="shared" si="121"/>
        <v>0</v>
      </c>
      <c r="CS248" s="394" t="e">
        <f t="shared" si="122"/>
        <v>#DIV/0!</v>
      </c>
    </row>
    <row r="249" spans="3:97">
      <c r="C249" s="107"/>
      <c r="D249" s="395"/>
      <c r="E249" s="84"/>
      <c r="F249" s="84"/>
      <c r="G249" s="389"/>
      <c r="H249" s="390"/>
      <c r="I249" s="390"/>
      <c r="J249" s="390"/>
      <c r="K249" s="390"/>
      <c r="L249" s="390"/>
      <c r="M249" s="390"/>
      <c r="N249" s="390"/>
      <c r="O249" s="390"/>
      <c r="P249" s="390"/>
      <c r="Q249" s="390"/>
      <c r="R249" s="390"/>
      <c r="S249" s="390"/>
      <c r="T249" s="390"/>
      <c r="U249" s="390"/>
      <c r="V249" s="390"/>
      <c r="W249" s="390"/>
      <c r="X249" s="390"/>
      <c r="Y249" s="390"/>
      <c r="Z249" s="390"/>
      <c r="AA249" s="390"/>
      <c r="AB249" s="390"/>
      <c r="AC249" s="390"/>
      <c r="AD249" s="390"/>
      <c r="AE249" s="390"/>
      <c r="AF249" s="390"/>
      <c r="AG249" s="390"/>
      <c r="AH249" s="390"/>
      <c r="AI249" s="391"/>
      <c r="AK249" s="437"/>
      <c r="AL249" s="437"/>
      <c r="AM249" s="437"/>
      <c r="AN249" s="437"/>
      <c r="AO249" s="437"/>
      <c r="AP249" s="437"/>
      <c r="AQ249" s="437"/>
      <c r="AR249" s="437"/>
      <c r="AS249" s="437"/>
      <c r="AT249" s="437"/>
      <c r="AU249" s="437"/>
      <c r="AV249" s="437"/>
      <c r="AW249" s="437"/>
      <c r="AX249" s="437"/>
      <c r="AY249" s="437"/>
      <c r="AZ249" s="437"/>
      <c r="BA249" s="437"/>
      <c r="BB249" s="437"/>
      <c r="BC249" s="437"/>
      <c r="BD249" s="437"/>
      <c r="BE249" s="437"/>
      <c r="BF249" s="437"/>
      <c r="BG249" s="437"/>
      <c r="BH249" s="437"/>
      <c r="BI249" s="437"/>
      <c r="BJ249" s="437"/>
      <c r="BK249" s="437"/>
      <c r="BL249" s="437"/>
      <c r="BM249" s="393"/>
      <c r="BO249" s="399">
        <f t="shared" si="93"/>
        <v>0</v>
      </c>
      <c r="BP249" s="399">
        <f t="shared" si="94"/>
        <v>0</v>
      </c>
      <c r="BQ249" s="399">
        <f t="shared" si="95"/>
        <v>0</v>
      </c>
      <c r="BR249" s="399">
        <f t="shared" si="96"/>
        <v>0</v>
      </c>
      <c r="BS249" s="399">
        <f t="shared" si="97"/>
        <v>0</v>
      </c>
      <c r="BT249" s="399">
        <f t="shared" si="98"/>
        <v>0</v>
      </c>
      <c r="BU249" s="399">
        <f t="shared" si="99"/>
        <v>0</v>
      </c>
      <c r="BV249" s="399">
        <f t="shared" si="100"/>
        <v>0</v>
      </c>
      <c r="BW249" s="399">
        <f t="shared" si="101"/>
        <v>0</v>
      </c>
      <c r="BX249" s="399">
        <f t="shared" si="102"/>
        <v>0</v>
      </c>
      <c r="BY249" s="399">
        <f t="shared" si="103"/>
        <v>0</v>
      </c>
      <c r="BZ249" s="399">
        <f t="shared" si="104"/>
        <v>0</v>
      </c>
      <c r="CA249" s="399">
        <f t="shared" si="105"/>
        <v>0</v>
      </c>
      <c r="CB249" s="399">
        <f t="shared" si="106"/>
        <v>0</v>
      </c>
      <c r="CC249" s="399">
        <f t="shared" si="107"/>
        <v>0</v>
      </c>
      <c r="CD249" s="399">
        <f t="shared" si="108"/>
        <v>0</v>
      </c>
      <c r="CE249" s="399">
        <f t="shared" si="109"/>
        <v>0</v>
      </c>
      <c r="CF249" s="399">
        <f t="shared" si="110"/>
        <v>0</v>
      </c>
      <c r="CG249" s="399">
        <f t="shared" si="111"/>
        <v>0</v>
      </c>
      <c r="CH249" s="399">
        <f t="shared" si="112"/>
        <v>0</v>
      </c>
      <c r="CI249" s="399">
        <f t="shared" si="113"/>
        <v>0</v>
      </c>
      <c r="CJ249" s="399">
        <f t="shared" si="114"/>
        <v>0</v>
      </c>
      <c r="CK249" s="399">
        <f t="shared" si="115"/>
        <v>0</v>
      </c>
      <c r="CL249" s="399">
        <f t="shared" si="116"/>
        <v>0</v>
      </c>
      <c r="CM249" s="399">
        <f t="shared" si="117"/>
        <v>0</v>
      </c>
      <c r="CN249" s="399">
        <f t="shared" si="118"/>
        <v>0</v>
      </c>
      <c r="CO249" s="399">
        <f t="shared" si="119"/>
        <v>0</v>
      </c>
      <c r="CP249" s="399">
        <f t="shared" si="120"/>
        <v>0</v>
      </c>
      <c r="CQ249" s="423">
        <f t="shared" si="121"/>
        <v>0</v>
      </c>
      <c r="CS249" s="394" t="e">
        <f t="shared" si="122"/>
        <v>#DIV/0!</v>
      </c>
    </row>
    <row r="250" spans="3:97">
      <c r="C250" s="107"/>
      <c r="D250" s="395"/>
      <c r="E250" s="84"/>
      <c r="F250" s="84"/>
      <c r="G250" s="389"/>
      <c r="H250" s="390"/>
      <c r="I250" s="390"/>
      <c r="J250" s="390"/>
      <c r="K250" s="390"/>
      <c r="L250" s="390"/>
      <c r="M250" s="390"/>
      <c r="N250" s="390"/>
      <c r="O250" s="390"/>
      <c r="P250" s="390"/>
      <c r="Q250" s="390"/>
      <c r="R250" s="390"/>
      <c r="S250" s="390"/>
      <c r="T250" s="390"/>
      <c r="U250" s="390"/>
      <c r="V250" s="390"/>
      <c r="W250" s="390"/>
      <c r="X250" s="390"/>
      <c r="Y250" s="390"/>
      <c r="Z250" s="390"/>
      <c r="AA250" s="390"/>
      <c r="AB250" s="390"/>
      <c r="AC250" s="390"/>
      <c r="AD250" s="390"/>
      <c r="AE250" s="390"/>
      <c r="AF250" s="390"/>
      <c r="AG250" s="390"/>
      <c r="AH250" s="390"/>
      <c r="AI250" s="391"/>
      <c r="AK250" s="437"/>
      <c r="AL250" s="437"/>
      <c r="AM250" s="437"/>
      <c r="AN250" s="437"/>
      <c r="AO250" s="437"/>
      <c r="AP250" s="437"/>
      <c r="AQ250" s="437"/>
      <c r="AR250" s="437"/>
      <c r="AS250" s="437"/>
      <c r="AT250" s="437"/>
      <c r="AU250" s="437"/>
      <c r="AV250" s="437"/>
      <c r="AW250" s="437"/>
      <c r="AX250" s="437"/>
      <c r="AY250" s="437"/>
      <c r="AZ250" s="437"/>
      <c r="BA250" s="437"/>
      <c r="BB250" s="437"/>
      <c r="BC250" s="437"/>
      <c r="BD250" s="437"/>
      <c r="BE250" s="437"/>
      <c r="BF250" s="437"/>
      <c r="BG250" s="437"/>
      <c r="BH250" s="437"/>
      <c r="BI250" s="437"/>
      <c r="BJ250" s="437"/>
      <c r="BK250" s="437"/>
      <c r="BL250" s="437"/>
      <c r="BM250" s="393"/>
      <c r="BO250" s="399">
        <f t="shared" si="93"/>
        <v>0</v>
      </c>
      <c r="BP250" s="399">
        <f t="shared" si="94"/>
        <v>0</v>
      </c>
      <c r="BQ250" s="399">
        <f t="shared" si="95"/>
        <v>0</v>
      </c>
      <c r="BR250" s="399">
        <f t="shared" si="96"/>
        <v>0</v>
      </c>
      <c r="BS250" s="399">
        <f t="shared" si="97"/>
        <v>0</v>
      </c>
      <c r="BT250" s="399">
        <f t="shared" si="98"/>
        <v>0</v>
      </c>
      <c r="BU250" s="399">
        <f t="shared" si="99"/>
        <v>0</v>
      </c>
      <c r="BV250" s="399">
        <f t="shared" si="100"/>
        <v>0</v>
      </c>
      <c r="BW250" s="399">
        <f t="shared" si="101"/>
        <v>0</v>
      </c>
      <c r="BX250" s="399">
        <f t="shared" si="102"/>
        <v>0</v>
      </c>
      <c r="BY250" s="399">
        <f t="shared" si="103"/>
        <v>0</v>
      </c>
      <c r="BZ250" s="399">
        <f t="shared" si="104"/>
        <v>0</v>
      </c>
      <c r="CA250" s="399">
        <f t="shared" si="105"/>
        <v>0</v>
      </c>
      <c r="CB250" s="399">
        <f t="shared" si="106"/>
        <v>0</v>
      </c>
      <c r="CC250" s="399">
        <f t="shared" si="107"/>
        <v>0</v>
      </c>
      <c r="CD250" s="399">
        <f t="shared" si="108"/>
        <v>0</v>
      </c>
      <c r="CE250" s="399">
        <f t="shared" si="109"/>
        <v>0</v>
      </c>
      <c r="CF250" s="399">
        <f t="shared" si="110"/>
        <v>0</v>
      </c>
      <c r="CG250" s="399">
        <f t="shared" si="111"/>
        <v>0</v>
      </c>
      <c r="CH250" s="399">
        <f t="shared" si="112"/>
        <v>0</v>
      </c>
      <c r="CI250" s="399">
        <f t="shared" si="113"/>
        <v>0</v>
      </c>
      <c r="CJ250" s="399">
        <f t="shared" si="114"/>
        <v>0</v>
      </c>
      <c r="CK250" s="399">
        <f t="shared" si="115"/>
        <v>0</v>
      </c>
      <c r="CL250" s="399">
        <f t="shared" si="116"/>
        <v>0</v>
      </c>
      <c r="CM250" s="399">
        <f t="shared" si="117"/>
        <v>0</v>
      </c>
      <c r="CN250" s="399">
        <f t="shared" si="118"/>
        <v>0</v>
      </c>
      <c r="CO250" s="399">
        <f t="shared" si="119"/>
        <v>0</v>
      </c>
      <c r="CP250" s="399">
        <f t="shared" si="120"/>
        <v>0</v>
      </c>
      <c r="CQ250" s="423">
        <f t="shared" si="121"/>
        <v>0</v>
      </c>
      <c r="CS250" s="394" t="e">
        <f t="shared" si="122"/>
        <v>#DIV/0!</v>
      </c>
    </row>
    <row r="251" spans="3:97">
      <c r="C251" s="107"/>
      <c r="D251" s="395"/>
      <c r="E251" s="84"/>
      <c r="F251" s="84"/>
      <c r="G251" s="389"/>
      <c r="H251" s="390"/>
      <c r="I251" s="390"/>
      <c r="J251" s="390"/>
      <c r="K251" s="390"/>
      <c r="L251" s="390"/>
      <c r="M251" s="390"/>
      <c r="N251" s="390"/>
      <c r="O251" s="390"/>
      <c r="P251" s="390"/>
      <c r="Q251" s="390"/>
      <c r="R251" s="390"/>
      <c r="S251" s="390"/>
      <c r="T251" s="390"/>
      <c r="U251" s="390"/>
      <c r="V251" s="390"/>
      <c r="W251" s="390"/>
      <c r="X251" s="390"/>
      <c r="Y251" s="390"/>
      <c r="Z251" s="390"/>
      <c r="AA251" s="390"/>
      <c r="AB251" s="390"/>
      <c r="AC251" s="390"/>
      <c r="AD251" s="390"/>
      <c r="AE251" s="390"/>
      <c r="AF251" s="390"/>
      <c r="AG251" s="390"/>
      <c r="AH251" s="390"/>
      <c r="AI251" s="391"/>
      <c r="AK251" s="437"/>
      <c r="AL251" s="437"/>
      <c r="AM251" s="437"/>
      <c r="AN251" s="437"/>
      <c r="AO251" s="437"/>
      <c r="AP251" s="437"/>
      <c r="AQ251" s="437"/>
      <c r="AR251" s="437"/>
      <c r="AS251" s="437"/>
      <c r="AT251" s="437"/>
      <c r="AU251" s="437"/>
      <c r="AV251" s="437"/>
      <c r="AW251" s="437"/>
      <c r="AX251" s="437"/>
      <c r="AY251" s="437"/>
      <c r="AZ251" s="437"/>
      <c r="BA251" s="437"/>
      <c r="BB251" s="437"/>
      <c r="BC251" s="437"/>
      <c r="BD251" s="437"/>
      <c r="BE251" s="437"/>
      <c r="BF251" s="437"/>
      <c r="BG251" s="437"/>
      <c r="BH251" s="437"/>
      <c r="BI251" s="437"/>
      <c r="BJ251" s="437"/>
      <c r="BK251" s="437"/>
      <c r="BL251" s="437"/>
      <c r="BM251" s="393"/>
      <c r="BO251" s="399">
        <f t="shared" si="93"/>
        <v>0</v>
      </c>
      <c r="BP251" s="399">
        <f t="shared" si="94"/>
        <v>0</v>
      </c>
      <c r="BQ251" s="399">
        <f t="shared" si="95"/>
        <v>0</v>
      </c>
      <c r="BR251" s="399">
        <f t="shared" si="96"/>
        <v>0</v>
      </c>
      <c r="BS251" s="399">
        <f t="shared" si="97"/>
        <v>0</v>
      </c>
      <c r="BT251" s="399">
        <f t="shared" si="98"/>
        <v>0</v>
      </c>
      <c r="BU251" s="399">
        <f t="shared" si="99"/>
        <v>0</v>
      </c>
      <c r="BV251" s="399">
        <f t="shared" si="100"/>
        <v>0</v>
      </c>
      <c r="BW251" s="399">
        <f t="shared" si="101"/>
        <v>0</v>
      </c>
      <c r="BX251" s="399">
        <f t="shared" si="102"/>
        <v>0</v>
      </c>
      <c r="BY251" s="399">
        <f t="shared" si="103"/>
        <v>0</v>
      </c>
      <c r="BZ251" s="399">
        <f t="shared" si="104"/>
        <v>0</v>
      </c>
      <c r="CA251" s="399">
        <f t="shared" si="105"/>
        <v>0</v>
      </c>
      <c r="CB251" s="399">
        <f t="shared" si="106"/>
        <v>0</v>
      </c>
      <c r="CC251" s="399">
        <f t="shared" si="107"/>
        <v>0</v>
      </c>
      <c r="CD251" s="399">
        <f t="shared" si="108"/>
        <v>0</v>
      </c>
      <c r="CE251" s="399">
        <f t="shared" si="109"/>
        <v>0</v>
      </c>
      <c r="CF251" s="399">
        <f t="shared" si="110"/>
        <v>0</v>
      </c>
      <c r="CG251" s="399">
        <f t="shared" si="111"/>
        <v>0</v>
      </c>
      <c r="CH251" s="399">
        <f t="shared" si="112"/>
        <v>0</v>
      </c>
      <c r="CI251" s="399">
        <f t="shared" si="113"/>
        <v>0</v>
      </c>
      <c r="CJ251" s="399">
        <f t="shared" si="114"/>
        <v>0</v>
      </c>
      <c r="CK251" s="399">
        <f t="shared" si="115"/>
        <v>0</v>
      </c>
      <c r="CL251" s="399">
        <f t="shared" si="116"/>
        <v>0</v>
      </c>
      <c r="CM251" s="399">
        <f t="shared" si="117"/>
        <v>0</v>
      </c>
      <c r="CN251" s="399">
        <f t="shared" si="118"/>
        <v>0</v>
      </c>
      <c r="CO251" s="399">
        <f t="shared" si="119"/>
        <v>0</v>
      </c>
      <c r="CP251" s="399">
        <f t="shared" si="120"/>
        <v>0</v>
      </c>
      <c r="CQ251" s="423">
        <f t="shared" si="121"/>
        <v>0</v>
      </c>
      <c r="CS251" s="394" t="e">
        <f t="shared" si="122"/>
        <v>#DIV/0!</v>
      </c>
    </row>
    <row r="252" spans="3:97">
      <c r="C252" s="107"/>
      <c r="D252" s="395"/>
      <c r="E252" s="84"/>
      <c r="F252" s="84"/>
      <c r="G252" s="389"/>
      <c r="H252" s="390"/>
      <c r="I252" s="390"/>
      <c r="J252" s="390"/>
      <c r="K252" s="390"/>
      <c r="L252" s="390"/>
      <c r="M252" s="390"/>
      <c r="N252" s="390"/>
      <c r="O252" s="390"/>
      <c r="P252" s="390"/>
      <c r="Q252" s="390"/>
      <c r="R252" s="390"/>
      <c r="S252" s="390"/>
      <c r="T252" s="390"/>
      <c r="U252" s="390"/>
      <c r="V252" s="390"/>
      <c r="W252" s="390"/>
      <c r="X252" s="390"/>
      <c r="Y252" s="390"/>
      <c r="Z252" s="390"/>
      <c r="AA252" s="390"/>
      <c r="AB252" s="390"/>
      <c r="AC252" s="390"/>
      <c r="AD252" s="390"/>
      <c r="AE252" s="390"/>
      <c r="AF252" s="390"/>
      <c r="AG252" s="390"/>
      <c r="AH252" s="390"/>
      <c r="AI252" s="391"/>
      <c r="AK252" s="437"/>
      <c r="AL252" s="437"/>
      <c r="AM252" s="437"/>
      <c r="AN252" s="437"/>
      <c r="AO252" s="437"/>
      <c r="AP252" s="437"/>
      <c r="AQ252" s="437"/>
      <c r="AR252" s="437"/>
      <c r="AS252" s="437"/>
      <c r="AT252" s="437"/>
      <c r="AU252" s="437"/>
      <c r="AV252" s="437"/>
      <c r="AW252" s="437"/>
      <c r="AX252" s="437"/>
      <c r="AY252" s="437"/>
      <c r="AZ252" s="437"/>
      <c r="BA252" s="437"/>
      <c r="BB252" s="437"/>
      <c r="BC252" s="437"/>
      <c r="BD252" s="437"/>
      <c r="BE252" s="437"/>
      <c r="BF252" s="437"/>
      <c r="BG252" s="437"/>
      <c r="BH252" s="437"/>
      <c r="BI252" s="437"/>
      <c r="BJ252" s="437"/>
      <c r="BK252" s="437"/>
      <c r="BL252" s="437"/>
      <c r="BM252" s="393"/>
      <c r="BO252" s="399">
        <f t="shared" si="93"/>
        <v>0</v>
      </c>
      <c r="BP252" s="399">
        <f t="shared" si="94"/>
        <v>0</v>
      </c>
      <c r="BQ252" s="399">
        <f t="shared" si="95"/>
        <v>0</v>
      </c>
      <c r="BR252" s="399">
        <f t="shared" si="96"/>
        <v>0</v>
      </c>
      <c r="BS252" s="399">
        <f t="shared" si="97"/>
        <v>0</v>
      </c>
      <c r="BT252" s="399">
        <f t="shared" si="98"/>
        <v>0</v>
      </c>
      <c r="BU252" s="399">
        <f t="shared" si="99"/>
        <v>0</v>
      </c>
      <c r="BV252" s="399">
        <f t="shared" si="100"/>
        <v>0</v>
      </c>
      <c r="BW252" s="399">
        <f t="shared" si="101"/>
        <v>0</v>
      </c>
      <c r="BX252" s="399">
        <f t="shared" si="102"/>
        <v>0</v>
      </c>
      <c r="BY252" s="399">
        <f t="shared" si="103"/>
        <v>0</v>
      </c>
      <c r="BZ252" s="399">
        <f t="shared" si="104"/>
        <v>0</v>
      </c>
      <c r="CA252" s="399">
        <f t="shared" si="105"/>
        <v>0</v>
      </c>
      <c r="CB252" s="399">
        <f t="shared" si="106"/>
        <v>0</v>
      </c>
      <c r="CC252" s="399">
        <f t="shared" si="107"/>
        <v>0</v>
      </c>
      <c r="CD252" s="399">
        <f t="shared" si="108"/>
        <v>0</v>
      </c>
      <c r="CE252" s="399">
        <f t="shared" si="109"/>
        <v>0</v>
      </c>
      <c r="CF252" s="399">
        <f t="shared" si="110"/>
        <v>0</v>
      </c>
      <c r="CG252" s="399">
        <f t="shared" si="111"/>
        <v>0</v>
      </c>
      <c r="CH252" s="399">
        <f t="shared" si="112"/>
        <v>0</v>
      </c>
      <c r="CI252" s="399">
        <f t="shared" si="113"/>
        <v>0</v>
      </c>
      <c r="CJ252" s="399">
        <f t="shared" si="114"/>
        <v>0</v>
      </c>
      <c r="CK252" s="399">
        <f t="shared" si="115"/>
        <v>0</v>
      </c>
      <c r="CL252" s="399">
        <f t="shared" si="116"/>
        <v>0</v>
      </c>
      <c r="CM252" s="399">
        <f t="shared" si="117"/>
        <v>0</v>
      </c>
      <c r="CN252" s="399">
        <f t="shared" si="118"/>
        <v>0</v>
      </c>
      <c r="CO252" s="399">
        <f t="shared" si="119"/>
        <v>0</v>
      </c>
      <c r="CP252" s="399">
        <f t="shared" si="120"/>
        <v>0</v>
      </c>
      <c r="CQ252" s="423">
        <f t="shared" si="121"/>
        <v>0</v>
      </c>
      <c r="CS252" s="394" t="e">
        <f t="shared" si="122"/>
        <v>#DIV/0!</v>
      </c>
    </row>
    <row r="253" spans="3:97">
      <c r="C253" s="107"/>
      <c r="D253" s="395"/>
      <c r="E253" s="84"/>
      <c r="F253" s="84"/>
      <c r="G253" s="389"/>
      <c r="H253" s="390"/>
      <c r="I253" s="390"/>
      <c r="J253" s="390"/>
      <c r="K253" s="390"/>
      <c r="L253" s="390"/>
      <c r="M253" s="390"/>
      <c r="N253" s="390"/>
      <c r="O253" s="390"/>
      <c r="P253" s="390"/>
      <c r="Q253" s="390"/>
      <c r="R253" s="390"/>
      <c r="S253" s="390"/>
      <c r="T253" s="390"/>
      <c r="U253" s="390"/>
      <c r="V253" s="390"/>
      <c r="W253" s="390"/>
      <c r="X253" s="390"/>
      <c r="Y253" s="390"/>
      <c r="Z253" s="390"/>
      <c r="AA253" s="390"/>
      <c r="AB253" s="390"/>
      <c r="AC253" s="390"/>
      <c r="AD253" s="390"/>
      <c r="AE253" s="390"/>
      <c r="AF253" s="390"/>
      <c r="AG253" s="390"/>
      <c r="AH253" s="390"/>
      <c r="AI253" s="391"/>
      <c r="AK253" s="437"/>
      <c r="AL253" s="437"/>
      <c r="AM253" s="437"/>
      <c r="AN253" s="437"/>
      <c r="AO253" s="437"/>
      <c r="AP253" s="437"/>
      <c r="AQ253" s="437"/>
      <c r="AR253" s="437"/>
      <c r="AS253" s="437"/>
      <c r="AT253" s="437"/>
      <c r="AU253" s="437"/>
      <c r="AV253" s="437"/>
      <c r="AW253" s="437"/>
      <c r="AX253" s="437"/>
      <c r="AY253" s="437"/>
      <c r="AZ253" s="437"/>
      <c r="BA253" s="437"/>
      <c r="BB253" s="437"/>
      <c r="BC253" s="437"/>
      <c r="BD253" s="437"/>
      <c r="BE253" s="437"/>
      <c r="BF253" s="437"/>
      <c r="BG253" s="437"/>
      <c r="BH253" s="437"/>
      <c r="BI253" s="437"/>
      <c r="BJ253" s="437"/>
      <c r="BK253" s="437"/>
      <c r="BL253" s="437"/>
      <c r="BM253" s="393"/>
      <c r="BO253" s="399">
        <f t="shared" si="93"/>
        <v>0</v>
      </c>
      <c r="BP253" s="399">
        <f t="shared" si="94"/>
        <v>0</v>
      </c>
      <c r="BQ253" s="399">
        <f t="shared" si="95"/>
        <v>0</v>
      </c>
      <c r="BR253" s="399">
        <f t="shared" si="96"/>
        <v>0</v>
      </c>
      <c r="BS253" s="399">
        <f t="shared" si="97"/>
        <v>0</v>
      </c>
      <c r="BT253" s="399">
        <f t="shared" si="98"/>
        <v>0</v>
      </c>
      <c r="BU253" s="399">
        <f t="shared" si="99"/>
        <v>0</v>
      </c>
      <c r="BV253" s="399">
        <f t="shared" si="100"/>
        <v>0</v>
      </c>
      <c r="BW253" s="399">
        <f t="shared" si="101"/>
        <v>0</v>
      </c>
      <c r="BX253" s="399">
        <f t="shared" si="102"/>
        <v>0</v>
      </c>
      <c r="BY253" s="399">
        <f t="shared" si="103"/>
        <v>0</v>
      </c>
      <c r="BZ253" s="399">
        <f t="shared" si="104"/>
        <v>0</v>
      </c>
      <c r="CA253" s="399">
        <f t="shared" si="105"/>
        <v>0</v>
      </c>
      <c r="CB253" s="399">
        <f t="shared" si="106"/>
        <v>0</v>
      </c>
      <c r="CC253" s="399">
        <f t="shared" si="107"/>
        <v>0</v>
      </c>
      <c r="CD253" s="399">
        <f t="shared" si="108"/>
        <v>0</v>
      </c>
      <c r="CE253" s="399">
        <f t="shared" si="109"/>
        <v>0</v>
      </c>
      <c r="CF253" s="399">
        <f t="shared" si="110"/>
        <v>0</v>
      </c>
      <c r="CG253" s="399">
        <f t="shared" si="111"/>
        <v>0</v>
      </c>
      <c r="CH253" s="399">
        <f t="shared" si="112"/>
        <v>0</v>
      </c>
      <c r="CI253" s="399">
        <f t="shared" si="113"/>
        <v>0</v>
      </c>
      <c r="CJ253" s="399">
        <f t="shared" si="114"/>
        <v>0</v>
      </c>
      <c r="CK253" s="399">
        <f t="shared" si="115"/>
        <v>0</v>
      </c>
      <c r="CL253" s="399">
        <f t="shared" si="116"/>
        <v>0</v>
      </c>
      <c r="CM253" s="399">
        <f t="shared" si="117"/>
        <v>0</v>
      </c>
      <c r="CN253" s="399">
        <f t="shared" si="118"/>
        <v>0</v>
      </c>
      <c r="CO253" s="399">
        <f t="shared" si="119"/>
        <v>0</v>
      </c>
      <c r="CP253" s="399">
        <f t="shared" si="120"/>
        <v>0</v>
      </c>
      <c r="CQ253" s="423">
        <f t="shared" si="121"/>
        <v>0</v>
      </c>
      <c r="CS253" s="394" t="e">
        <f t="shared" si="122"/>
        <v>#DIV/0!</v>
      </c>
    </row>
    <row r="254" spans="3:97">
      <c r="C254" s="107"/>
      <c r="D254" s="395"/>
      <c r="E254" s="84"/>
      <c r="F254" s="84"/>
      <c r="G254" s="389"/>
      <c r="H254" s="390"/>
      <c r="I254" s="390"/>
      <c r="J254" s="390"/>
      <c r="K254" s="390"/>
      <c r="L254" s="390"/>
      <c r="M254" s="390"/>
      <c r="N254" s="390"/>
      <c r="O254" s="390"/>
      <c r="P254" s="390"/>
      <c r="Q254" s="390"/>
      <c r="R254" s="390"/>
      <c r="S254" s="390"/>
      <c r="T254" s="390"/>
      <c r="U254" s="390"/>
      <c r="V254" s="390"/>
      <c r="W254" s="390"/>
      <c r="X254" s="390"/>
      <c r="Y254" s="390"/>
      <c r="Z254" s="390"/>
      <c r="AA254" s="390"/>
      <c r="AB254" s="390"/>
      <c r="AC254" s="390"/>
      <c r="AD254" s="390"/>
      <c r="AE254" s="390"/>
      <c r="AF254" s="390"/>
      <c r="AG254" s="390"/>
      <c r="AH254" s="390"/>
      <c r="AI254" s="391"/>
      <c r="AK254" s="437"/>
      <c r="AL254" s="437"/>
      <c r="AM254" s="437"/>
      <c r="AN254" s="437"/>
      <c r="AO254" s="437"/>
      <c r="AP254" s="437"/>
      <c r="AQ254" s="437"/>
      <c r="AR254" s="437"/>
      <c r="AS254" s="437"/>
      <c r="AT254" s="437"/>
      <c r="AU254" s="437"/>
      <c r="AV254" s="437"/>
      <c r="AW254" s="437"/>
      <c r="AX254" s="437"/>
      <c r="AY254" s="437"/>
      <c r="AZ254" s="437"/>
      <c r="BA254" s="437"/>
      <c r="BB254" s="437"/>
      <c r="BC254" s="437"/>
      <c r="BD254" s="437"/>
      <c r="BE254" s="437"/>
      <c r="BF254" s="437"/>
      <c r="BG254" s="437"/>
      <c r="BH254" s="437"/>
      <c r="BI254" s="437"/>
      <c r="BJ254" s="437"/>
      <c r="BK254" s="437"/>
      <c r="BL254" s="437"/>
      <c r="BM254" s="393"/>
      <c r="BO254" s="399">
        <f t="shared" si="93"/>
        <v>0</v>
      </c>
      <c r="BP254" s="399">
        <f t="shared" si="94"/>
        <v>0</v>
      </c>
      <c r="BQ254" s="399">
        <f t="shared" si="95"/>
        <v>0</v>
      </c>
      <c r="BR254" s="399">
        <f t="shared" si="96"/>
        <v>0</v>
      </c>
      <c r="BS254" s="399">
        <f t="shared" si="97"/>
        <v>0</v>
      </c>
      <c r="BT254" s="399">
        <f t="shared" si="98"/>
        <v>0</v>
      </c>
      <c r="BU254" s="399">
        <f t="shared" si="99"/>
        <v>0</v>
      </c>
      <c r="BV254" s="399">
        <f t="shared" si="100"/>
        <v>0</v>
      </c>
      <c r="BW254" s="399">
        <f t="shared" si="101"/>
        <v>0</v>
      </c>
      <c r="BX254" s="399">
        <f t="shared" si="102"/>
        <v>0</v>
      </c>
      <c r="BY254" s="399">
        <f t="shared" si="103"/>
        <v>0</v>
      </c>
      <c r="BZ254" s="399">
        <f t="shared" si="104"/>
        <v>0</v>
      </c>
      <c r="CA254" s="399">
        <f t="shared" si="105"/>
        <v>0</v>
      </c>
      <c r="CB254" s="399">
        <f t="shared" si="106"/>
        <v>0</v>
      </c>
      <c r="CC254" s="399">
        <f t="shared" si="107"/>
        <v>0</v>
      </c>
      <c r="CD254" s="399">
        <f t="shared" si="108"/>
        <v>0</v>
      </c>
      <c r="CE254" s="399">
        <f t="shared" si="109"/>
        <v>0</v>
      </c>
      <c r="CF254" s="399">
        <f t="shared" si="110"/>
        <v>0</v>
      </c>
      <c r="CG254" s="399">
        <f t="shared" si="111"/>
        <v>0</v>
      </c>
      <c r="CH254" s="399">
        <f t="shared" si="112"/>
        <v>0</v>
      </c>
      <c r="CI254" s="399">
        <f t="shared" si="113"/>
        <v>0</v>
      </c>
      <c r="CJ254" s="399">
        <f t="shared" si="114"/>
        <v>0</v>
      </c>
      <c r="CK254" s="399">
        <f t="shared" si="115"/>
        <v>0</v>
      </c>
      <c r="CL254" s="399">
        <f t="shared" si="116"/>
        <v>0</v>
      </c>
      <c r="CM254" s="399">
        <f t="shared" si="117"/>
        <v>0</v>
      </c>
      <c r="CN254" s="399">
        <f t="shared" si="118"/>
        <v>0</v>
      </c>
      <c r="CO254" s="399">
        <f t="shared" si="119"/>
        <v>0</v>
      </c>
      <c r="CP254" s="399">
        <f t="shared" si="120"/>
        <v>0</v>
      </c>
      <c r="CQ254" s="423">
        <f t="shared" si="121"/>
        <v>0</v>
      </c>
      <c r="CS254" s="394" t="e">
        <f t="shared" si="122"/>
        <v>#DIV/0!</v>
      </c>
    </row>
    <row r="255" spans="3:97">
      <c r="C255" s="107"/>
      <c r="D255" s="395"/>
      <c r="E255" s="84"/>
      <c r="F255" s="84"/>
      <c r="G255" s="389"/>
      <c r="H255" s="390"/>
      <c r="I255" s="390"/>
      <c r="J255" s="390"/>
      <c r="K255" s="390"/>
      <c r="L255" s="390"/>
      <c r="M255" s="390"/>
      <c r="N255" s="390"/>
      <c r="O255" s="390"/>
      <c r="P255" s="390"/>
      <c r="Q255" s="390"/>
      <c r="R255" s="390"/>
      <c r="S255" s="390"/>
      <c r="T255" s="390"/>
      <c r="U255" s="390"/>
      <c r="V255" s="390"/>
      <c r="W255" s="390"/>
      <c r="X255" s="390"/>
      <c r="Y255" s="390"/>
      <c r="Z255" s="390"/>
      <c r="AA255" s="390"/>
      <c r="AB255" s="390"/>
      <c r="AC255" s="390"/>
      <c r="AD255" s="390"/>
      <c r="AE255" s="390"/>
      <c r="AF255" s="390"/>
      <c r="AG255" s="390"/>
      <c r="AH255" s="390"/>
      <c r="AI255" s="391"/>
      <c r="AK255" s="437"/>
      <c r="AL255" s="437"/>
      <c r="AM255" s="437"/>
      <c r="AN255" s="437"/>
      <c r="AO255" s="437"/>
      <c r="AP255" s="437"/>
      <c r="AQ255" s="437"/>
      <c r="AR255" s="437"/>
      <c r="AS255" s="437"/>
      <c r="AT255" s="437"/>
      <c r="AU255" s="437"/>
      <c r="AV255" s="437"/>
      <c r="AW255" s="437"/>
      <c r="AX255" s="437"/>
      <c r="AY255" s="437"/>
      <c r="AZ255" s="437"/>
      <c r="BA255" s="437"/>
      <c r="BB255" s="437"/>
      <c r="BC255" s="437"/>
      <c r="BD255" s="437"/>
      <c r="BE255" s="437"/>
      <c r="BF255" s="437"/>
      <c r="BG255" s="437"/>
      <c r="BH255" s="437"/>
      <c r="BI255" s="437"/>
      <c r="BJ255" s="437"/>
      <c r="BK255" s="437"/>
      <c r="BL255" s="437"/>
      <c r="BM255" s="393"/>
      <c r="BO255" s="399">
        <f t="shared" si="93"/>
        <v>0</v>
      </c>
      <c r="BP255" s="399">
        <f t="shared" si="94"/>
        <v>0</v>
      </c>
      <c r="BQ255" s="399">
        <f t="shared" si="95"/>
        <v>0</v>
      </c>
      <c r="BR255" s="399">
        <f t="shared" si="96"/>
        <v>0</v>
      </c>
      <c r="BS255" s="399">
        <f t="shared" si="97"/>
        <v>0</v>
      </c>
      <c r="BT255" s="399">
        <f t="shared" si="98"/>
        <v>0</v>
      </c>
      <c r="BU255" s="399">
        <f t="shared" si="99"/>
        <v>0</v>
      </c>
      <c r="BV255" s="399">
        <f t="shared" si="100"/>
        <v>0</v>
      </c>
      <c r="BW255" s="399">
        <f t="shared" si="101"/>
        <v>0</v>
      </c>
      <c r="BX255" s="399">
        <f t="shared" si="102"/>
        <v>0</v>
      </c>
      <c r="BY255" s="399">
        <f t="shared" si="103"/>
        <v>0</v>
      </c>
      <c r="BZ255" s="399">
        <f t="shared" si="104"/>
        <v>0</v>
      </c>
      <c r="CA255" s="399">
        <f t="shared" si="105"/>
        <v>0</v>
      </c>
      <c r="CB255" s="399">
        <f t="shared" si="106"/>
        <v>0</v>
      </c>
      <c r="CC255" s="399">
        <f t="shared" si="107"/>
        <v>0</v>
      </c>
      <c r="CD255" s="399">
        <f t="shared" si="108"/>
        <v>0</v>
      </c>
      <c r="CE255" s="399">
        <f t="shared" si="109"/>
        <v>0</v>
      </c>
      <c r="CF255" s="399">
        <f t="shared" si="110"/>
        <v>0</v>
      </c>
      <c r="CG255" s="399">
        <f t="shared" si="111"/>
        <v>0</v>
      </c>
      <c r="CH255" s="399">
        <f t="shared" si="112"/>
        <v>0</v>
      </c>
      <c r="CI255" s="399">
        <f t="shared" si="113"/>
        <v>0</v>
      </c>
      <c r="CJ255" s="399">
        <f t="shared" si="114"/>
        <v>0</v>
      </c>
      <c r="CK255" s="399">
        <f t="shared" si="115"/>
        <v>0</v>
      </c>
      <c r="CL255" s="399">
        <f t="shared" si="116"/>
        <v>0</v>
      </c>
      <c r="CM255" s="399">
        <f t="shared" si="117"/>
        <v>0</v>
      </c>
      <c r="CN255" s="399">
        <f t="shared" si="118"/>
        <v>0</v>
      </c>
      <c r="CO255" s="399">
        <f t="shared" si="119"/>
        <v>0</v>
      </c>
      <c r="CP255" s="399">
        <f t="shared" si="120"/>
        <v>0</v>
      </c>
      <c r="CQ255" s="423">
        <f t="shared" si="121"/>
        <v>0</v>
      </c>
      <c r="CS255" s="394" t="e">
        <f t="shared" si="122"/>
        <v>#DIV/0!</v>
      </c>
    </row>
    <row r="256" spans="3:97">
      <c r="C256" s="107"/>
      <c r="D256" s="395"/>
      <c r="E256" s="84"/>
      <c r="F256" s="84"/>
      <c r="G256" s="389"/>
      <c r="H256" s="390"/>
      <c r="I256" s="390"/>
      <c r="J256" s="390"/>
      <c r="K256" s="390"/>
      <c r="L256" s="390"/>
      <c r="M256" s="390"/>
      <c r="N256" s="390"/>
      <c r="O256" s="390"/>
      <c r="P256" s="390"/>
      <c r="Q256" s="390"/>
      <c r="R256" s="390"/>
      <c r="S256" s="390"/>
      <c r="T256" s="390"/>
      <c r="U256" s="390"/>
      <c r="V256" s="390"/>
      <c r="W256" s="390"/>
      <c r="X256" s="390"/>
      <c r="Y256" s="390"/>
      <c r="Z256" s="390"/>
      <c r="AA256" s="390"/>
      <c r="AB256" s="390"/>
      <c r="AC256" s="390"/>
      <c r="AD256" s="390"/>
      <c r="AE256" s="390"/>
      <c r="AF256" s="390"/>
      <c r="AG256" s="390"/>
      <c r="AH256" s="390"/>
      <c r="AI256" s="391"/>
      <c r="AK256" s="437"/>
      <c r="AL256" s="437"/>
      <c r="AM256" s="437"/>
      <c r="AN256" s="437"/>
      <c r="AO256" s="437"/>
      <c r="AP256" s="437"/>
      <c r="AQ256" s="437"/>
      <c r="AR256" s="437"/>
      <c r="AS256" s="437"/>
      <c r="AT256" s="437"/>
      <c r="AU256" s="437"/>
      <c r="AV256" s="437"/>
      <c r="AW256" s="437"/>
      <c r="AX256" s="437"/>
      <c r="AY256" s="437"/>
      <c r="AZ256" s="437"/>
      <c r="BA256" s="437"/>
      <c r="BB256" s="437"/>
      <c r="BC256" s="437"/>
      <c r="BD256" s="437"/>
      <c r="BE256" s="437"/>
      <c r="BF256" s="437"/>
      <c r="BG256" s="437"/>
      <c r="BH256" s="437"/>
      <c r="BI256" s="437"/>
      <c r="BJ256" s="437"/>
      <c r="BK256" s="437"/>
      <c r="BL256" s="437"/>
      <c r="BM256" s="393"/>
      <c r="BO256" s="399">
        <f t="shared" si="93"/>
        <v>0</v>
      </c>
      <c r="BP256" s="399">
        <f t="shared" si="94"/>
        <v>0</v>
      </c>
      <c r="BQ256" s="399">
        <f t="shared" si="95"/>
        <v>0</v>
      </c>
      <c r="BR256" s="399">
        <f t="shared" si="96"/>
        <v>0</v>
      </c>
      <c r="BS256" s="399">
        <f t="shared" si="97"/>
        <v>0</v>
      </c>
      <c r="BT256" s="399">
        <f t="shared" si="98"/>
        <v>0</v>
      </c>
      <c r="BU256" s="399">
        <f t="shared" si="99"/>
        <v>0</v>
      </c>
      <c r="BV256" s="399">
        <f t="shared" si="100"/>
        <v>0</v>
      </c>
      <c r="BW256" s="399">
        <f t="shared" si="101"/>
        <v>0</v>
      </c>
      <c r="BX256" s="399">
        <f t="shared" si="102"/>
        <v>0</v>
      </c>
      <c r="BY256" s="399">
        <f t="shared" si="103"/>
        <v>0</v>
      </c>
      <c r="BZ256" s="399">
        <f t="shared" si="104"/>
        <v>0</v>
      </c>
      <c r="CA256" s="399">
        <f t="shared" si="105"/>
        <v>0</v>
      </c>
      <c r="CB256" s="399">
        <f t="shared" si="106"/>
        <v>0</v>
      </c>
      <c r="CC256" s="399">
        <f t="shared" si="107"/>
        <v>0</v>
      </c>
      <c r="CD256" s="399">
        <f t="shared" si="108"/>
        <v>0</v>
      </c>
      <c r="CE256" s="399">
        <f t="shared" si="109"/>
        <v>0</v>
      </c>
      <c r="CF256" s="399">
        <f t="shared" si="110"/>
        <v>0</v>
      </c>
      <c r="CG256" s="399">
        <f t="shared" si="111"/>
        <v>0</v>
      </c>
      <c r="CH256" s="399">
        <f t="shared" si="112"/>
        <v>0</v>
      </c>
      <c r="CI256" s="399">
        <f t="shared" si="113"/>
        <v>0</v>
      </c>
      <c r="CJ256" s="399">
        <f t="shared" si="114"/>
        <v>0</v>
      </c>
      <c r="CK256" s="399">
        <f t="shared" si="115"/>
        <v>0</v>
      </c>
      <c r="CL256" s="399">
        <f t="shared" si="116"/>
        <v>0</v>
      </c>
      <c r="CM256" s="399">
        <f t="shared" si="117"/>
        <v>0</v>
      </c>
      <c r="CN256" s="399">
        <f t="shared" si="118"/>
        <v>0</v>
      </c>
      <c r="CO256" s="399">
        <f t="shared" si="119"/>
        <v>0</v>
      </c>
      <c r="CP256" s="399">
        <f t="shared" si="120"/>
        <v>0</v>
      </c>
      <c r="CQ256" s="423">
        <f t="shared" si="121"/>
        <v>0</v>
      </c>
      <c r="CS256" s="394" t="e">
        <f t="shared" si="122"/>
        <v>#DIV/0!</v>
      </c>
    </row>
    <row r="257" spans="3:97">
      <c r="C257" s="107"/>
      <c r="D257" s="395"/>
      <c r="E257" s="84"/>
      <c r="F257" s="84"/>
      <c r="G257" s="389"/>
      <c r="H257" s="390"/>
      <c r="I257" s="390"/>
      <c r="J257" s="390"/>
      <c r="K257" s="390"/>
      <c r="L257" s="390"/>
      <c r="M257" s="390"/>
      <c r="N257" s="390"/>
      <c r="O257" s="390"/>
      <c r="P257" s="390"/>
      <c r="Q257" s="390"/>
      <c r="R257" s="390"/>
      <c r="S257" s="390"/>
      <c r="T257" s="390"/>
      <c r="U257" s="390"/>
      <c r="V257" s="390"/>
      <c r="W257" s="390"/>
      <c r="X257" s="390"/>
      <c r="Y257" s="390"/>
      <c r="Z257" s="390"/>
      <c r="AA257" s="390"/>
      <c r="AB257" s="390"/>
      <c r="AC257" s="390"/>
      <c r="AD257" s="390"/>
      <c r="AE257" s="390"/>
      <c r="AF257" s="390"/>
      <c r="AG257" s="390"/>
      <c r="AH257" s="390"/>
      <c r="AI257" s="391"/>
      <c r="AK257" s="437"/>
      <c r="AL257" s="437"/>
      <c r="AM257" s="437"/>
      <c r="AN257" s="437"/>
      <c r="AO257" s="437"/>
      <c r="AP257" s="437"/>
      <c r="AQ257" s="437"/>
      <c r="AR257" s="437"/>
      <c r="AS257" s="437"/>
      <c r="AT257" s="437"/>
      <c r="AU257" s="437"/>
      <c r="AV257" s="437"/>
      <c r="AW257" s="437"/>
      <c r="AX257" s="437"/>
      <c r="AY257" s="437"/>
      <c r="AZ257" s="437"/>
      <c r="BA257" s="437"/>
      <c r="BB257" s="437"/>
      <c r="BC257" s="437"/>
      <c r="BD257" s="437"/>
      <c r="BE257" s="437"/>
      <c r="BF257" s="437"/>
      <c r="BG257" s="437"/>
      <c r="BH257" s="437"/>
      <c r="BI257" s="437"/>
      <c r="BJ257" s="437"/>
      <c r="BK257" s="437"/>
      <c r="BL257" s="437"/>
      <c r="BM257" s="393"/>
      <c r="BO257" s="399">
        <f t="shared" si="93"/>
        <v>0</v>
      </c>
      <c r="BP257" s="399">
        <f t="shared" si="94"/>
        <v>0</v>
      </c>
      <c r="BQ257" s="399">
        <f t="shared" si="95"/>
        <v>0</v>
      </c>
      <c r="BR257" s="399">
        <f t="shared" si="96"/>
        <v>0</v>
      </c>
      <c r="BS257" s="399">
        <f t="shared" si="97"/>
        <v>0</v>
      </c>
      <c r="BT257" s="399">
        <f t="shared" si="98"/>
        <v>0</v>
      </c>
      <c r="BU257" s="399">
        <f t="shared" si="99"/>
        <v>0</v>
      </c>
      <c r="BV257" s="399">
        <f t="shared" si="100"/>
        <v>0</v>
      </c>
      <c r="BW257" s="399">
        <f t="shared" si="101"/>
        <v>0</v>
      </c>
      <c r="BX257" s="399">
        <f t="shared" si="102"/>
        <v>0</v>
      </c>
      <c r="BY257" s="399">
        <f t="shared" si="103"/>
        <v>0</v>
      </c>
      <c r="BZ257" s="399">
        <f t="shared" si="104"/>
        <v>0</v>
      </c>
      <c r="CA257" s="399">
        <f t="shared" si="105"/>
        <v>0</v>
      </c>
      <c r="CB257" s="399">
        <f t="shared" si="106"/>
        <v>0</v>
      </c>
      <c r="CC257" s="399">
        <f t="shared" si="107"/>
        <v>0</v>
      </c>
      <c r="CD257" s="399">
        <f t="shared" si="108"/>
        <v>0</v>
      </c>
      <c r="CE257" s="399">
        <f t="shared" si="109"/>
        <v>0</v>
      </c>
      <c r="CF257" s="399">
        <f t="shared" si="110"/>
        <v>0</v>
      </c>
      <c r="CG257" s="399">
        <f t="shared" si="111"/>
        <v>0</v>
      </c>
      <c r="CH257" s="399">
        <f t="shared" si="112"/>
        <v>0</v>
      </c>
      <c r="CI257" s="399">
        <f t="shared" si="113"/>
        <v>0</v>
      </c>
      <c r="CJ257" s="399">
        <f t="shared" si="114"/>
        <v>0</v>
      </c>
      <c r="CK257" s="399">
        <f t="shared" si="115"/>
        <v>0</v>
      </c>
      <c r="CL257" s="399">
        <f t="shared" si="116"/>
        <v>0</v>
      </c>
      <c r="CM257" s="399">
        <f t="shared" si="117"/>
        <v>0</v>
      </c>
      <c r="CN257" s="399">
        <f t="shared" si="118"/>
        <v>0</v>
      </c>
      <c r="CO257" s="399">
        <f t="shared" si="119"/>
        <v>0</v>
      </c>
      <c r="CP257" s="399">
        <f t="shared" si="120"/>
        <v>0</v>
      </c>
      <c r="CQ257" s="423">
        <f t="shared" si="121"/>
        <v>0</v>
      </c>
      <c r="CS257" s="394" t="e">
        <f t="shared" si="122"/>
        <v>#DIV/0!</v>
      </c>
    </row>
    <row r="258" spans="3:97">
      <c r="C258" s="107"/>
      <c r="D258" s="395"/>
      <c r="E258" s="84"/>
      <c r="F258" s="84"/>
      <c r="G258" s="389"/>
      <c r="H258" s="390"/>
      <c r="I258" s="390"/>
      <c r="J258" s="390"/>
      <c r="K258" s="390"/>
      <c r="L258" s="390"/>
      <c r="M258" s="390"/>
      <c r="N258" s="390"/>
      <c r="O258" s="390"/>
      <c r="P258" s="390"/>
      <c r="Q258" s="390"/>
      <c r="R258" s="390"/>
      <c r="S258" s="390"/>
      <c r="T258" s="390"/>
      <c r="U258" s="390"/>
      <c r="V258" s="390"/>
      <c r="W258" s="390"/>
      <c r="X258" s="390"/>
      <c r="Y258" s="390"/>
      <c r="Z258" s="390"/>
      <c r="AA258" s="390"/>
      <c r="AB258" s="390"/>
      <c r="AC258" s="390"/>
      <c r="AD258" s="390"/>
      <c r="AE258" s="390"/>
      <c r="AF258" s="390"/>
      <c r="AG258" s="390"/>
      <c r="AH258" s="390"/>
      <c r="AI258" s="391"/>
      <c r="AK258" s="437"/>
      <c r="AL258" s="437"/>
      <c r="AM258" s="437"/>
      <c r="AN258" s="437"/>
      <c r="AO258" s="437"/>
      <c r="AP258" s="437"/>
      <c r="AQ258" s="437"/>
      <c r="AR258" s="437"/>
      <c r="AS258" s="437"/>
      <c r="AT258" s="437"/>
      <c r="AU258" s="437"/>
      <c r="AV258" s="437"/>
      <c r="AW258" s="437"/>
      <c r="AX258" s="437"/>
      <c r="AY258" s="437"/>
      <c r="AZ258" s="437"/>
      <c r="BA258" s="437"/>
      <c r="BB258" s="437"/>
      <c r="BC258" s="437"/>
      <c r="BD258" s="437"/>
      <c r="BE258" s="437"/>
      <c r="BF258" s="437"/>
      <c r="BG258" s="437"/>
      <c r="BH258" s="437"/>
      <c r="BI258" s="437"/>
      <c r="BJ258" s="437"/>
      <c r="BK258" s="437"/>
      <c r="BL258" s="437"/>
      <c r="BM258" s="393"/>
      <c r="BO258" s="399">
        <f t="shared" si="93"/>
        <v>0</v>
      </c>
      <c r="BP258" s="399">
        <f t="shared" si="94"/>
        <v>0</v>
      </c>
      <c r="BQ258" s="399">
        <f t="shared" si="95"/>
        <v>0</v>
      </c>
      <c r="BR258" s="399">
        <f t="shared" si="96"/>
        <v>0</v>
      </c>
      <c r="BS258" s="399">
        <f t="shared" si="97"/>
        <v>0</v>
      </c>
      <c r="BT258" s="399">
        <f t="shared" si="98"/>
        <v>0</v>
      </c>
      <c r="BU258" s="399">
        <f t="shared" si="99"/>
        <v>0</v>
      </c>
      <c r="BV258" s="399">
        <f t="shared" si="100"/>
        <v>0</v>
      </c>
      <c r="BW258" s="399">
        <f t="shared" si="101"/>
        <v>0</v>
      </c>
      <c r="BX258" s="399">
        <f t="shared" si="102"/>
        <v>0</v>
      </c>
      <c r="BY258" s="399">
        <f t="shared" si="103"/>
        <v>0</v>
      </c>
      <c r="BZ258" s="399">
        <f t="shared" si="104"/>
        <v>0</v>
      </c>
      <c r="CA258" s="399">
        <f t="shared" si="105"/>
        <v>0</v>
      </c>
      <c r="CB258" s="399">
        <f t="shared" si="106"/>
        <v>0</v>
      </c>
      <c r="CC258" s="399">
        <f t="shared" si="107"/>
        <v>0</v>
      </c>
      <c r="CD258" s="399">
        <f t="shared" si="108"/>
        <v>0</v>
      </c>
      <c r="CE258" s="399">
        <f t="shared" si="109"/>
        <v>0</v>
      </c>
      <c r="CF258" s="399">
        <f t="shared" si="110"/>
        <v>0</v>
      </c>
      <c r="CG258" s="399">
        <f t="shared" si="111"/>
        <v>0</v>
      </c>
      <c r="CH258" s="399">
        <f t="shared" si="112"/>
        <v>0</v>
      </c>
      <c r="CI258" s="399">
        <f t="shared" si="113"/>
        <v>0</v>
      </c>
      <c r="CJ258" s="399">
        <f t="shared" si="114"/>
        <v>0</v>
      </c>
      <c r="CK258" s="399">
        <f t="shared" si="115"/>
        <v>0</v>
      </c>
      <c r="CL258" s="399">
        <f t="shared" si="116"/>
        <v>0</v>
      </c>
      <c r="CM258" s="399">
        <f t="shared" si="117"/>
        <v>0</v>
      </c>
      <c r="CN258" s="399">
        <f t="shared" si="118"/>
        <v>0</v>
      </c>
      <c r="CO258" s="399">
        <f t="shared" si="119"/>
        <v>0</v>
      </c>
      <c r="CP258" s="399">
        <f t="shared" si="120"/>
        <v>0</v>
      </c>
      <c r="CQ258" s="423">
        <f t="shared" si="121"/>
        <v>0</v>
      </c>
      <c r="CS258" s="394" t="e">
        <f t="shared" si="122"/>
        <v>#DIV/0!</v>
      </c>
    </row>
    <row r="259" spans="3:97">
      <c r="C259" s="107"/>
      <c r="D259" s="395"/>
      <c r="E259" s="84"/>
      <c r="F259" s="84"/>
      <c r="G259" s="389"/>
      <c r="H259" s="390"/>
      <c r="I259" s="390"/>
      <c r="J259" s="390"/>
      <c r="K259" s="390"/>
      <c r="L259" s="390"/>
      <c r="M259" s="390"/>
      <c r="N259" s="390"/>
      <c r="O259" s="390"/>
      <c r="P259" s="390"/>
      <c r="Q259" s="390"/>
      <c r="R259" s="390"/>
      <c r="S259" s="390"/>
      <c r="T259" s="390"/>
      <c r="U259" s="390"/>
      <c r="V259" s="390"/>
      <c r="W259" s="390"/>
      <c r="X259" s="390"/>
      <c r="Y259" s="390"/>
      <c r="Z259" s="390"/>
      <c r="AA259" s="390"/>
      <c r="AB259" s="390"/>
      <c r="AC259" s="390"/>
      <c r="AD259" s="390"/>
      <c r="AE259" s="390"/>
      <c r="AF259" s="390"/>
      <c r="AG259" s="390"/>
      <c r="AH259" s="390"/>
      <c r="AI259" s="391"/>
      <c r="AK259" s="437"/>
      <c r="AL259" s="437"/>
      <c r="AM259" s="437"/>
      <c r="AN259" s="437"/>
      <c r="AO259" s="437"/>
      <c r="AP259" s="437"/>
      <c r="AQ259" s="437"/>
      <c r="AR259" s="437"/>
      <c r="AS259" s="437"/>
      <c r="AT259" s="437"/>
      <c r="AU259" s="437"/>
      <c r="AV259" s="437"/>
      <c r="AW259" s="437"/>
      <c r="AX259" s="437"/>
      <c r="AY259" s="437"/>
      <c r="AZ259" s="437"/>
      <c r="BA259" s="437"/>
      <c r="BB259" s="437"/>
      <c r="BC259" s="437"/>
      <c r="BD259" s="437"/>
      <c r="BE259" s="437"/>
      <c r="BF259" s="437"/>
      <c r="BG259" s="437"/>
      <c r="BH259" s="437"/>
      <c r="BI259" s="437"/>
      <c r="BJ259" s="437"/>
      <c r="BK259" s="437"/>
      <c r="BL259" s="437"/>
      <c r="BM259" s="393"/>
      <c r="BO259" s="399">
        <f t="shared" si="93"/>
        <v>0</v>
      </c>
      <c r="BP259" s="399">
        <f t="shared" si="94"/>
        <v>0</v>
      </c>
      <c r="BQ259" s="399">
        <f t="shared" si="95"/>
        <v>0</v>
      </c>
      <c r="BR259" s="399">
        <f t="shared" si="96"/>
        <v>0</v>
      </c>
      <c r="BS259" s="399">
        <f t="shared" si="97"/>
        <v>0</v>
      </c>
      <c r="BT259" s="399">
        <f t="shared" si="98"/>
        <v>0</v>
      </c>
      <c r="BU259" s="399">
        <f t="shared" si="99"/>
        <v>0</v>
      </c>
      <c r="BV259" s="399">
        <f t="shared" si="100"/>
        <v>0</v>
      </c>
      <c r="BW259" s="399">
        <f t="shared" si="101"/>
        <v>0</v>
      </c>
      <c r="BX259" s="399">
        <f t="shared" si="102"/>
        <v>0</v>
      </c>
      <c r="BY259" s="399">
        <f t="shared" si="103"/>
        <v>0</v>
      </c>
      <c r="BZ259" s="399">
        <f t="shared" si="104"/>
        <v>0</v>
      </c>
      <c r="CA259" s="399">
        <f t="shared" si="105"/>
        <v>0</v>
      </c>
      <c r="CB259" s="399">
        <f t="shared" si="106"/>
        <v>0</v>
      </c>
      <c r="CC259" s="399">
        <f t="shared" si="107"/>
        <v>0</v>
      </c>
      <c r="CD259" s="399">
        <f t="shared" si="108"/>
        <v>0</v>
      </c>
      <c r="CE259" s="399">
        <f t="shared" si="109"/>
        <v>0</v>
      </c>
      <c r="CF259" s="399">
        <f t="shared" si="110"/>
        <v>0</v>
      </c>
      <c r="CG259" s="399">
        <f t="shared" si="111"/>
        <v>0</v>
      </c>
      <c r="CH259" s="399">
        <f t="shared" si="112"/>
        <v>0</v>
      </c>
      <c r="CI259" s="399">
        <f t="shared" si="113"/>
        <v>0</v>
      </c>
      <c r="CJ259" s="399">
        <f t="shared" si="114"/>
        <v>0</v>
      </c>
      <c r="CK259" s="399">
        <f t="shared" si="115"/>
        <v>0</v>
      </c>
      <c r="CL259" s="399">
        <f t="shared" si="116"/>
        <v>0</v>
      </c>
      <c r="CM259" s="399">
        <f t="shared" si="117"/>
        <v>0</v>
      </c>
      <c r="CN259" s="399">
        <f t="shared" si="118"/>
        <v>0</v>
      </c>
      <c r="CO259" s="399">
        <f t="shared" si="119"/>
        <v>0</v>
      </c>
      <c r="CP259" s="399">
        <f t="shared" si="120"/>
        <v>0</v>
      </c>
      <c r="CQ259" s="423">
        <f t="shared" si="121"/>
        <v>0</v>
      </c>
      <c r="CS259" s="394" t="e">
        <f t="shared" si="122"/>
        <v>#DIV/0!</v>
      </c>
    </row>
    <row r="260" spans="3:97">
      <c r="C260" s="107"/>
      <c r="D260" s="395"/>
      <c r="E260" s="84"/>
      <c r="F260" s="84"/>
      <c r="G260" s="389"/>
      <c r="H260" s="390"/>
      <c r="I260" s="390"/>
      <c r="J260" s="390"/>
      <c r="K260" s="390"/>
      <c r="L260" s="390"/>
      <c r="M260" s="390"/>
      <c r="N260" s="390"/>
      <c r="O260" s="390"/>
      <c r="P260" s="390"/>
      <c r="Q260" s="390"/>
      <c r="R260" s="390"/>
      <c r="S260" s="390"/>
      <c r="T260" s="390"/>
      <c r="U260" s="390"/>
      <c r="V260" s="390"/>
      <c r="W260" s="390"/>
      <c r="X260" s="390"/>
      <c r="Y260" s="390"/>
      <c r="Z260" s="390"/>
      <c r="AA260" s="390"/>
      <c r="AB260" s="390"/>
      <c r="AC260" s="390"/>
      <c r="AD260" s="390"/>
      <c r="AE260" s="390"/>
      <c r="AF260" s="390"/>
      <c r="AG260" s="390"/>
      <c r="AH260" s="390"/>
      <c r="AI260" s="391"/>
      <c r="AK260" s="437"/>
      <c r="AL260" s="437"/>
      <c r="AM260" s="437"/>
      <c r="AN260" s="437"/>
      <c r="AO260" s="437"/>
      <c r="AP260" s="437"/>
      <c r="AQ260" s="437"/>
      <c r="AR260" s="437"/>
      <c r="AS260" s="437"/>
      <c r="AT260" s="437"/>
      <c r="AU260" s="437"/>
      <c r="AV260" s="437"/>
      <c r="AW260" s="437"/>
      <c r="AX260" s="437"/>
      <c r="AY260" s="437"/>
      <c r="AZ260" s="437"/>
      <c r="BA260" s="437"/>
      <c r="BB260" s="437"/>
      <c r="BC260" s="437"/>
      <c r="BD260" s="437"/>
      <c r="BE260" s="437"/>
      <c r="BF260" s="437"/>
      <c r="BG260" s="437"/>
      <c r="BH260" s="437"/>
      <c r="BI260" s="437"/>
      <c r="BJ260" s="437"/>
      <c r="BK260" s="437"/>
      <c r="BL260" s="437"/>
      <c r="BM260" s="393"/>
      <c r="BO260" s="399">
        <f t="shared" si="93"/>
        <v>0</v>
      </c>
      <c r="BP260" s="399">
        <f t="shared" si="94"/>
        <v>0</v>
      </c>
      <c r="BQ260" s="399">
        <f t="shared" si="95"/>
        <v>0</v>
      </c>
      <c r="BR260" s="399">
        <f t="shared" si="96"/>
        <v>0</v>
      </c>
      <c r="BS260" s="399">
        <f t="shared" si="97"/>
        <v>0</v>
      </c>
      <c r="BT260" s="399">
        <f t="shared" si="98"/>
        <v>0</v>
      </c>
      <c r="BU260" s="399">
        <f t="shared" si="99"/>
        <v>0</v>
      </c>
      <c r="BV260" s="399">
        <f t="shared" si="100"/>
        <v>0</v>
      </c>
      <c r="BW260" s="399">
        <f t="shared" si="101"/>
        <v>0</v>
      </c>
      <c r="BX260" s="399">
        <f t="shared" si="102"/>
        <v>0</v>
      </c>
      <c r="BY260" s="399">
        <f t="shared" si="103"/>
        <v>0</v>
      </c>
      <c r="BZ260" s="399">
        <f t="shared" si="104"/>
        <v>0</v>
      </c>
      <c r="CA260" s="399">
        <f t="shared" si="105"/>
        <v>0</v>
      </c>
      <c r="CB260" s="399">
        <f t="shared" si="106"/>
        <v>0</v>
      </c>
      <c r="CC260" s="399">
        <f t="shared" si="107"/>
        <v>0</v>
      </c>
      <c r="CD260" s="399">
        <f t="shared" si="108"/>
        <v>0</v>
      </c>
      <c r="CE260" s="399">
        <f t="shared" si="109"/>
        <v>0</v>
      </c>
      <c r="CF260" s="399">
        <f t="shared" si="110"/>
        <v>0</v>
      </c>
      <c r="CG260" s="399">
        <f t="shared" si="111"/>
        <v>0</v>
      </c>
      <c r="CH260" s="399">
        <f t="shared" si="112"/>
        <v>0</v>
      </c>
      <c r="CI260" s="399">
        <f t="shared" si="113"/>
        <v>0</v>
      </c>
      <c r="CJ260" s="399">
        <f t="shared" si="114"/>
        <v>0</v>
      </c>
      <c r="CK260" s="399">
        <f t="shared" si="115"/>
        <v>0</v>
      </c>
      <c r="CL260" s="399">
        <f t="shared" si="116"/>
        <v>0</v>
      </c>
      <c r="CM260" s="399">
        <f t="shared" si="117"/>
        <v>0</v>
      </c>
      <c r="CN260" s="399">
        <f t="shared" si="118"/>
        <v>0</v>
      </c>
      <c r="CO260" s="399">
        <f t="shared" si="119"/>
        <v>0</v>
      </c>
      <c r="CP260" s="399">
        <f t="shared" si="120"/>
        <v>0</v>
      </c>
      <c r="CQ260" s="423">
        <f t="shared" si="121"/>
        <v>0</v>
      </c>
      <c r="CS260" s="394" t="e">
        <f t="shared" si="122"/>
        <v>#DIV/0!</v>
      </c>
    </row>
    <row r="261" spans="3:97">
      <c r="C261" s="107"/>
      <c r="D261" s="395"/>
      <c r="E261" s="84"/>
      <c r="F261" s="84"/>
      <c r="G261" s="389"/>
      <c r="H261" s="390"/>
      <c r="I261" s="390"/>
      <c r="J261" s="390"/>
      <c r="K261" s="390"/>
      <c r="L261" s="390"/>
      <c r="M261" s="390"/>
      <c r="N261" s="390"/>
      <c r="O261" s="390"/>
      <c r="P261" s="390"/>
      <c r="Q261" s="390"/>
      <c r="R261" s="390"/>
      <c r="S261" s="390"/>
      <c r="T261" s="390"/>
      <c r="U261" s="390"/>
      <c r="V261" s="390"/>
      <c r="W261" s="390"/>
      <c r="X261" s="390"/>
      <c r="Y261" s="390"/>
      <c r="Z261" s="390"/>
      <c r="AA261" s="390"/>
      <c r="AB261" s="390"/>
      <c r="AC261" s="390"/>
      <c r="AD261" s="390"/>
      <c r="AE261" s="390"/>
      <c r="AF261" s="390"/>
      <c r="AG261" s="390"/>
      <c r="AH261" s="390"/>
      <c r="AI261" s="391"/>
      <c r="AK261" s="437"/>
      <c r="AL261" s="437"/>
      <c r="AM261" s="437"/>
      <c r="AN261" s="437"/>
      <c r="AO261" s="437"/>
      <c r="AP261" s="437"/>
      <c r="AQ261" s="437"/>
      <c r="AR261" s="437"/>
      <c r="AS261" s="437"/>
      <c r="AT261" s="437"/>
      <c r="AU261" s="437"/>
      <c r="AV261" s="437"/>
      <c r="AW261" s="437"/>
      <c r="AX261" s="437"/>
      <c r="AY261" s="437"/>
      <c r="AZ261" s="437"/>
      <c r="BA261" s="437"/>
      <c r="BB261" s="437"/>
      <c r="BC261" s="437"/>
      <c r="BD261" s="437"/>
      <c r="BE261" s="437"/>
      <c r="BF261" s="437"/>
      <c r="BG261" s="437"/>
      <c r="BH261" s="437"/>
      <c r="BI261" s="437"/>
      <c r="BJ261" s="437"/>
      <c r="BK261" s="437"/>
      <c r="BL261" s="437"/>
      <c r="BM261" s="393"/>
      <c r="BO261" s="399">
        <f t="shared" si="93"/>
        <v>0</v>
      </c>
      <c r="BP261" s="399">
        <f t="shared" si="94"/>
        <v>0</v>
      </c>
      <c r="BQ261" s="399">
        <f t="shared" si="95"/>
        <v>0</v>
      </c>
      <c r="BR261" s="399">
        <f t="shared" si="96"/>
        <v>0</v>
      </c>
      <c r="BS261" s="399">
        <f t="shared" si="97"/>
        <v>0</v>
      </c>
      <c r="BT261" s="399">
        <f t="shared" si="98"/>
        <v>0</v>
      </c>
      <c r="BU261" s="399">
        <f t="shared" si="99"/>
        <v>0</v>
      </c>
      <c r="BV261" s="399">
        <f t="shared" si="100"/>
        <v>0</v>
      </c>
      <c r="BW261" s="399">
        <f t="shared" si="101"/>
        <v>0</v>
      </c>
      <c r="BX261" s="399">
        <f t="shared" si="102"/>
        <v>0</v>
      </c>
      <c r="BY261" s="399">
        <f t="shared" si="103"/>
        <v>0</v>
      </c>
      <c r="BZ261" s="399">
        <f t="shared" si="104"/>
        <v>0</v>
      </c>
      <c r="CA261" s="399">
        <f t="shared" si="105"/>
        <v>0</v>
      </c>
      <c r="CB261" s="399">
        <f t="shared" si="106"/>
        <v>0</v>
      </c>
      <c r="CC261" s="399">
        <f t="shared" si="107"/>
        <v>0</v>
      </c>
      <c r="CD261" s="399">
        <f t="shared" si="108"/>
        <v>0</v>
      </c>
      <c r="CE261" s="399">
        <f t="shared" si="109"/>
        <v>0</v>
      </c>
      <c r="CF261" s="399">
        <f t="shared" si="110"/>
        <v>0</v>
      </c>
      <c r="CG261" s="399">
        <f t="shared" si="111"/>
        <v>0</v>
      </c>
      <c r="CH261" s="399">
        <f t="shared" si="112"/>
        <v>0</v>
      </c>
      <c r="CI261" s="399">
        <f t="shared" si="113"/>
        <v>0</v>
      </c>
      <c r="CJ261" s="399">
        <f t="shared" si="114"/>
        <v>0</v>
      </c>
      <c r="CK261" s="399">
        <f t="shared" si="115"/>
        <v>0</v>
      </c>
      <c r="CL261" s="399">
        <f t="shared" si="116"/>
        <v>0</v>
      </c>
      <c r="CM261" s="399">
        <f t="shared" si="117"/>
        <v>0</v>
      </c>
      <c r="CN261" s="399">
        <f t="shared" si="118"/>
        <v>0</v>
      </c>
      <c r="CO261" s="399">
        <f t="shared" si="119"/>
        <v>0</v>
      </c>
      <c r="CP261" s="399">
        <f t="shared" si="120"/>
        <v>0</v>
      </c>
      <c r="CQ261" s="423">
        <f t="shared" si="121"/>
        <v>0</v>
      </c>
      <c r="CS261" s="394" t="e">
        <f t="shared" si="122"/>
        <v>#DIV/0!</v>
      </c>
    </row>
    <row r="262" spans="3:97">
      <c r="C262" s="107"/>
      <c r="D262" s="395"/>
      <c r="E262" s="84"/>
      <c r="F262" s="84"/>
      <c r="G262" s="389"/>
      <c r="H262" s="390"/>
      <c r="I262" s="390"/>
      <c r="J262" s="390"/>
      <c r="K262" s="390"/>
      <c r="L262" s="390"/>
      <c r="M262" s="390"/>
      <c r="N262" s="390"/>
      <c r="O262" s="390"/>
      <c r="P262" s="390"/>
      <c r="Q262" s="390"/>
      <c r="R262" s="390"/>
      <c r="S262" s="390"/>
      <c r="T262" s="390"/>
      <c r="U262" s="390"/>
      <c r="V262" s="390"/>
      <c r="W262" s="390"/>
      <c r="X262" s="390"/>
      <c r="Y262" s="390"/>
      <c r="Z262" s="390"/>
      <c r="AA262" s="390"/>
      <c r="AB262" s="390"/>
      <c r="AC262" s="390"/>
      <c r="AD262" s="390"/>
      <c r="AE262" s="390"/>
      <c r="AF262" s="390"/>
      <c r="AG262" s="390"/>
      <c r="AH262" s="390"/>
      <c r="AI262" s="391"/>
      <c r="AK262" s="437"/>
      <c r="AL262" s="437"/>
      <c r="AM262" s="437"/>
      <c r="AN262" s="437"/>
      <c r="AO262" s="437"/>
      <c r="AP262" s="437"/>
      <c r="AQ262" s="437"/>
      <c r="AR262" s="437"/>
      <c r="AS262" s="437"/>
      <c r="AT262" s="437"/>
      <c r="AU262" s="437"/>
      <c r="AV262" s="437"/>
      <c r="AW262" s="437"/>
      <c r="AX262" s="437"/>
      <c r="AY262" s="437"/>
      <c r="AZ262" s="437"/>
      <c r="BA262" s="437"/>
      <c r="BB262" s="437"/>
      <c r="BC262" s="437"/>
      <c r="BD262" s="437"/>
      <c r="BE262" s="437"/>
      <c r="BF262" s="437"/>
      <c r="BG262" s="437"/>
      <c r="BH262" s="437"/>
      <c r="BI262" s="437"/>
      <c r="BJ262" s="437"/>
      <c r="BK262" s="437"/>
      <c r="BL262" s="437"/>
      <c r="BM262" s="393"/>
      <c r="BO262" s="399">
        <f t="shared" si="93"/>
        <v>0</v>
      </c>
      <c r="BP262" s="399">
        <f t="shared" si="94"/>
        <v>0</v>
      </c>
      <c r="BQ262" s="399">
        <f t="shared" si="95"/>
        <v>0</v>
      </c>
      <c r="BR262" s="399">
        <f t="shared" si="96"/>
        <v>0</v>
      </c>
      <c r="BS262" s="399">
        <f t="shared" si="97"/>
        <v>0</v>
      </c>
      <c r="BT262" s="399">
        <f t="shared" si="98"/>
        <v>0</v>
      </c>
      <c r="BU262" s="399">
        <f t="shared" si="99"/>
        <v>0</v>
      </c>
      <c r="BV262" s="399">
        <f t="shared" si="100"/>
        <v>0</v>
      </c>
      <c r="BW262" s="399">
        <f t="shared" si="101"/>
        <v>0</v>
      </c>
      <c r="BX262" s="399">
        <f t="shared" si="102"/>
        <v>0</v>
      </c>
      <c r="BY262" s="399">
        <f t="shared" si="103"/>
        <v>0</v>
      </c>
      <c r="BZ262" s="399">
        <f t="shared" si="104"/>
        <v>0</v>
      </c>
      <c r="CA262" s="399">
        <f t="shared" si="105"/>
        <v>0</v>
      </c>
      <c r="CB262" s="399">
        <f t="shared" si="106"/>
        <v>0</v>
      </c>
      <c r="CC262" s="399">
        <f t="shared" si="107"/>
        <v>0</v>
      </c>
      <c r="CD262" s="399">
        <f t="shared" si="108"/>
        <v>0</v>
      </c>
      <c r="CE262" s="399">
        <f t="shared" si="109"/>
        <v>0</v>
      </c>
      <c r="CF262" s="399">
        <f t="shared" si="110"/>
        <v>0</v>
      </c>
      <c r="CG262" s="399">
        <f t="shared" si="111"/>
        <v>0</v>
      </c>
      <c r="CH262" s="399">
        <f t="shared" si="112"/>
        <v>0</v>
      </c>
      <c r="CI262" s="399">
        <f t="shared" si="113"/>
        <v>0</v>
      </c>
      <c r="CJ262" s="399">
        <f t="shared" si="114"/>
        <v>0</v>
      </c>
      <c r="CK262" s="399">
        <f t="shared" si="115"/>
        <v>0</v>
      </c>
      <c r="CL262" s="399">
        <f t="shared" si="116"/>
        <v>0</v>
      </c>
      <c r="CM262" s="399">
        <f t="shared" si="117"/>
        <v>0</v>
      </c>
      <c r="CN262" s="399">
        <f t="shared" si="118"/>
        <v>0</v>
      </c>
      <c r="CO262" s="399">
        <f t="shared" si="119"/>
        <v>0</v>
      </c>
      <c r="CP262" s="399">
        <f t="shared" si="120"/>
        <v>0</v>
      </c>
      <c r="CQ262" s="423">
        <f t="shared" si="121"/>
        <v>0</v>
      </c>
      <c r="CS262" s="394" t="e">
        <f t="shared" si="122"/>
        <v>#DIV/0!</v>
      </c>
    </row>
    <row r="263" spans="3:97">
      <c r="C263" s="107"/>
      <c r="D263" s="395"/>
      <c r="E263" s="84"/>
      <c r="F263" s="84"/>
      <c r="G263" s="389"/>
      <c r="H263" s="390"/>
      <c r="I263" s="390"/>
      <c r="J263" s="390"/>
      <c r="K263" s="390"/>
      <c r="L263" s="390"/>
      <c r="M263" s="390"/>
      <c r="N263" s="390"/>
      <c r="O263" s="390"/>
      <c r="P263" s="390"/>
      <c r="Q263" s="390"/>
      <c r="R263" s="390"/>
      <c r="S263" s="390"/>
      <c r="T263" s="390"/>
      <c r="U263" s="390"/>
      <c r="V263" s="390"/>
      <c r="W263" s="390"/>
      <c r="X263" s="390"/>
      <c r="Y263" s="390"/>
      <c r="Z263" s="390"/>
      <c r="AA263" s="390"/>
      <c r="AB263" s="390"/>
      <c r="AC263" s="390"/>
      <c r="AD263" s="390"/>
      <c r="AE263" s="390"/>
      <c r="AF263" s="390"/>
      <c r="AG263" s="390"/>
      <c r="AH263" s="390"/>
      <c r="AI263" s="391"/>
      <c r="AK263" s="437"/>
      <c r="AL263" s="437"/>
      <c r="AM263" s="437"/>
      <c r="AN263" s="437"/>
      <c r="AO263" s="437"/>
      <c r="AP263" s="437"/>
      <c r="AQ263" s="437"/>
      <c r="AR263" s="437"/>
      <c r="AS263" s="437"/>
      <c r="AT263" s="437"/>
      <c r="AU263" s="437"/>
      <c r="AV263" s="437"/>
      <c r="AW263" s="437"/>
      <c r="AX263" s="437"/>
      <c r="AY263" s="437"/>
      <c r="AZ263" s="437"/>
      <c r="BA263" s="437"/>
      <c r="BB263" s="437"/>
      <c r="BC263" s="437"/>
      <c r="BD263" s="437"/>
      <c r="BE263" s="437"/>
      <c r="BF263" s="437"/>
      <c r="BG263" s="437"/>
      <c r="BH263" s="437"/>
      <c r="BI263" s="437"/>
      <c r="BJ263" s="437"/>
      <c r="BK263" s="437"/>
      <c r="BL263" s="437"/>
      <c r="BM263" s="393"/>
      <c r="BO263" s="399">
        <f t="shared" si="93"/>
        <v>0</v>
      </c>
      <c r="BP263" s="399">
        <f t="shared" si="94"/>
        <v>0</v>
      </c>
      <c r="BQ263" s="399">
        <f t="shared" si="95"/>
        <v>0</v>
      </c>
      <c r="BR263" s="399">
        <f t="shared" si="96"/>
        <v>0</v>
      </c>
      <c r="BS263" s="399">
        <f t="shared" si="97"/>
        <v>0</v>
      </c>
      <c r="BT263" s="399">
        <f t="shared" si="98"/>
        <v>0</v>
      </c>
      <c r="BU263" s="399">
        <f t="shared" si="99"/>
        <v>0</v>
      </c>
      <c r="BV263" s="399">
        <f t="shared" si="100"/>
        <v>0</v>
      </c>
      <c r="BW263" s="399">
        <f t="shared" si="101"/>
        <v>0</v>
      </c>
      <c r="BX263" s="399">
        <f t="shared" si="102"/>
        <v>0</v>
      </c>
      <c r="BY263" s="399">
        <f t="shared" si="103"/>
        <v>0</v>
      </c>
      <c r="BZ263" s="399">
        <f t="shared" si="104"/>
        <v>0</v>
      </c>
      <c r="CA263" s="399">
        <f t="shared" si="105"/>
        <v>0</v>
      </c>
      <c r="CB263" s="399">
        <f t="shared" si="106"/>
        <v>0</v>
      </c>
      <c r="CC263" s="399">
        <f t="shared" si="107"/>
        <v>0</v>
      </c>
      <c r="CD263" s="399">
        <f t="shared" si="108"/>
        <v>0</v>
      </c>
      <c r="CE263" s="399">
        <f t="shared" si="109"/>
        <v>0</v>
      </c>
      <c r="CF263" s="399">
        <f t="shared" si="110"/>
        <v>0</v>
      </c>
      <c r="CG263" s="399">
        <f t="shared" si="111"/>
        <v>0</v>
      </c>
      <c r="CH263" s="399">
        <f t="shared" si="112"/>
        <v>0</v>
      </c>
      <c r="CI263" s="399">
        <f t="shared" si="113"/>
        <v>0</v>
      </c>
      <c r="CJ263" s="399">
        <f t="shared" si="114"/>
        <v>0</v>
      </c>
      <c r="CK263" s="399">
        <f t="shared" si="115"/>
        <v>0</v>
      </c>
      <c r="CL263" s="399">
        <f t="shared" si="116"/>
        <v>0</v>
      </c>
      <c r="CM263" s="399">
        <f t="shared" si="117"/>
        <v>0</v>
      </c>
      <c r="CN263" s="399">
        <f t="shared" si="118"/>
        <v>0</v>
      </c>
      <c r="CO263" s="399">
        <f t="shared" si="119"/>
        <v>0</v>
      </c>
      <c r="CP263" s="399">
        <f t="shared" si="120"/>
        <v>0</v>
      </c>
      <c r="CQ263" s="423">
        <f t="shared" si="121"/>
        <v>0</v>
      </c>
      <c r="CS263" s="394" t="e">
        <f t="shared" si="122"/>
        <v>#DIV/0!</v>
      </c>
    </row>
    <row r="264" spans="3:97">
      <c r="C264" s="107"/>
      <c r="D264" s="395"/>
      <c r="E264" s="84"/>
      <c r="F264" s="84"/>
      <c r="G264" s="389"/>
      <c r="H264" s="390"/>
      <c r="I264" s="390"/>
      <c r="J264" s="390"/>
      <c r="K264" s="390"/>
      <c r="L264" s="390"/>
      <c r="M264" s="390"/>
      <c r="N264" s="390"/>
      <c r="O264" s="390"/>
      <c r="P264" s="390"/>
      <c r="Q264" s="390"/>
      <c r="R264" s="390"/>
      <c r="S264" s="390"/>
      <c r="T264" s="390"/>
      <c r="U264" s="390"/>
      <c r="V264" s="390"/>
      <c r="W264" s="390"/>
      <c r="X264" s="390"/>
      <c r="Y264" s="390"/>
      <c r="Z264" s="390"/>
      <c r="AA264" s="390"/>
      <c r="AB264" s="390"/>
      <c r="AC264" s="390"/>
      <c r="AD264" s="390"/>
      <c r="AE264" s="390"/>
      <c r="AF264" s="390"/>
      <c r="AG264" s="390"/>
      <c r="AH264" s="390"/>
      <c r="AI264" s="391"/>
      <c r="AK264" s="437"/>
      <c r="AL264" s="437"/>
      <c r="AM264" s="437"/>
      <c r="AN264" s="437"/>
      <c r="AO264" s="437"/>
      <c r="AP264" s="437"/>
      <c r="AQ264" s="437"/>
      <c r="AR264" s="437"/>
      <c r="AS264" s="437"/>
      <c r="AT264" s="437"/>
      <c r="AU264" s="437"/>
      <c r="AV264" s="437"/>
      <c r="AW264" s="437"/>
      <c r="AX264" s="437"/>
      <c r="AY264" s="437"/>
      <c r="AZ264" s="437"/>
      <c r="BA264" s="437"/>
      <c r="BB264" s="437"/>
      <c r="BC264" s="437"/>
      <c r="BD264" s="437"/>
      <c r="BE264" s="437"/>
      <c r="BF264" s="437"/>
      <c r="BG264" s="437"/>
      <c r="BH264" s="437"/>
      <c r="BI264" s="437"/>
      <c r="BJ264" s="437"/>
      <c r="BK264" s="437"/>
      <c r="BL264" s="437"/>
      <c r="BM264" s="393"/>
      <c r="BO264" s="399">
        <f t="shared" si="93"/>
        <v>0</v>
      </c>
      <c r="BP264" s="399">
        <f t="shared" si="94"/>
        <v>0</v>
      </c>
      <c r="BQ264" s="399">
        <f t="shared" si="95"/>
        <v>0</v>
      </c>
      <c r="BR264" s="399">
        <f t="shared" si="96"/>
        <v>0</v>
      </c>
      <c r="BS264" s="399">
        <f t="shared" si="97"/>
        <v>0</v>
      </c>
      <c r="BT264" s="399">
        <f t="shared" si="98"/>
        <v>0</v>
      </c>
      <c r="BU264" s="399">
        <f t="shared" si="99"/>
        <v>0</v>
      </c>
      <c r="BV264" s="399">
        <f t="shared" si="100"/>
        <v>0</v>
      </c>
      <c r="BW264" s="399">
        <f t="shared" si="101"/>
        <v>0</v>
      </c>
      <c r="BX264" s="399">
        <f t="shared" si="102"/>
        <v>0</v>
      </c>
      <c r="BY264" s="399">
        <f t="shared" si="103"/>
        <v>0</v>
      </c>
      <c r="BZ264" s="399">
        <f t="shared" si="104"/>
        <v>0</v>
      </c>
      <c r="CA264" s="399">
        <f t="shared" si="105"/>
        <v>0</v>
      </c>
      <c r="CB264" s="399">
        <f t="shared" si="106"/>
        <v>0</v>
      </c>
      <c r="CC264" s="399">
        <f t="shared" si="107"/>
        <v>0</v>
      </c>
      <c r="CD264" s="399">
        <f t="shared" si="108"/>
        <v>0</v>
      </c>
      <c r="CE264" s="399">
        <f t="shared" si="109"/>
        <v>0</v>
      </c>
      <c r="CF264" s="399">
        <f t="shared" si="110"/>
        <v>0</v>
      </c>
      <c r="CG264" s="399">
        <f t="shared" si="111"/>
        <v>0</v>
      </c>
      <c r="CH264" s="399">
        <f t="shared" si="112"/>
        <v>0</v>
      </c>
      <c r="CI264" s="399">
        <f t="shared" si="113"/>
        <v>0</v>
      </c>
      <c r="CJ264" s="399">
        <f t="shared" si="114"/>
        <v>0</v>
      </c>
      <c r="CK264" s="399">
        <f t="shared" si="115"/>
        <v>0</v>
      </c>
      <c r="CL264" s="399">
        <f t="shared" si="116"/>
        <v>0</v>
      </c>
      <c r="CM264" s="399">
        <f t="shared" si="117"/>
        <v>0</v>
      </c>
      <c r="CN264" s="399">
        <f t="shared" si="118"/>
        <v>0</v>
      </c>
      <c r="CO264" s="399">
        <f t="shared" si="119"/>
        <v>0</v>
      </c>
      <c r="CP264" s="399">
        <f t="shared" si="120"/>
        <v>0</v>
      </c>
      <c r="CQ264" s="423">
        <f t="shared" si="121"/>
        <v>0</v>
      </c>
      <c r="CS264" s="394" t="e">
        <f t="shared" si="122"/>
        <v>#DIV/0!</v>
      </c>
    </row>
    <row r="265" spans="3:97">
      <c r="C265" s="107"/>
      <c r="D265" s="395"/>
      <c r="E265" s="84"/>
      <c r="F265" s="84"/>
      <c r="G265" s="389"/>
      <c r="H265" s="390"/>
      <c r="I265" s="390"/>
      <c r="J265" s="390"/>
      <c r="K265" s="390"/>
      <c r="L265" s="390"/>
      <c r="M265" s="390"/>
      <c r="N265" s="390"/>
      <c r="O265" s="390"/>
      <c r="P265" s="390"/>
      <c r="Q265" s="390"/>
      <c r="R265" s="390"/>
      <c r="S265" s="390"/>
      <c r="T265" s="390"/>
      <c r="U265" s="390"/>
      <c r="V265" s="390"/>
      <c r="W265" s="390"/>
      <c r="X265" s="390"/>
      <c r="Y265" s="390"/>
      <c r="Z265" s="390"/>
      <c r="AA265" s="390"/>
      <c r="AB265" s="390"/>
      <c r="AC265" s="390"/>
      <c r="AD265" s="390"/>
      <c r="AE265" s="390"/>
      <c r="AF265" s="390"/>
      <c r="AG265" s="390"/>
      <c r="AH265" s="390"/>
      <c r="AI265" s="391"/>
      <c r="AK265" s="437"/>
      <c r="AL265" s="437"/>
      <c r="AM265" s="437"/>
      <c r="AN265" s="437"/>
      <c r="AO265" s="437"/>
      <c r="AP265" s="437"/>
      <c r="AQ265" s="437"/>
      <c r="AR265" s="437"/>
      <c r="AS265" s="437"/>
      <c r="AT265" s="437"/>
      <c r="AU265" s="437"/>
      <c r="AV265" s="437"/>
      <c r="AW265" s="437"/>
      <c r="AX265" s="437"/>
      <c r="AY265" s="437"/>
      <c r="AZ265" s="437"/>
      <c r="BA265" s="437"/>
      <c r="BB265" s="437"/>
      <c r="BC265" s="437"/>
      <c r="BD265" s="437"/>
      <c r="BE265" s="437"/>
      <c r="BF265" s="437"/>
      <c r="BG265" s="437"/>
      <c r="BH265" s="437"/>
      <c r="BI265" s="437"/>
      <c r="BJ265" s="437"/>
      <c r="BK265" s="437"/>
      <c r="BL265" s="437"/>
      <c r="BM265" s="393"/>
      <c r="BO265" s="399">
        <f t="shared" si="93"/>
        <v>0</v>
      </c>
      <c r="BP265" s="399">
        <f t="shared" si="94"/>
        <v>0</v>
      </c>
      <c r="BQ265" s="399">
        <f t="shared" si="95"/>
        <v>0</v>
      </c>
      <c r="BR265" s="399">
        <f t="shared" si="96"/>
        <v>0</v>
      </c>
      <c r="BS265" s="399">
        <f t="shared" si="97"/>
        <v>0</v>
      </c>
      <c r="BT265" s="399">
        <f t="shared" si="98"/>
        <v>0</v>
      </c>
      <c r="BU265" s="399">
        <f t="shared" si="99"/>
        <v>0</v>
      </c>
      <c r="BV265" s="399">
        <f t="shared" si="100"/>
        <v>0</v>
      </c>
      <c r="BW265" s="399">
        <f t="shared" si="101"/>
        <v>0</v>
      </c>
      <c r="BX265" s="399">
        <f t="shared" si="102"/>
        <v>0</v>
      </c>
      <c r="BY265" s="399">
        <f t="shared" si="103"/>
        <v>0</v>
      </c>
      <c r="BZ265" s="399">
        <f t="shared" si="104"/>
        <v>0</v>
      </c>
      <c r="CA265" s="399">
        <f t="shared" si="105"/>
        <v>0</v>
      </c>
      <c r="CB265" s="399">
        <f t="shared" si="106"/>
        <v>0</v>
      </c>
      <c r="CC265" s="399">
        <f t="shared" si="107"/>
        <v>0</v>
      </c>
      <c r="CD265" s="399">
        <f t="shared" si="108"/>
        <v>0</v>
      </c>
      <c r="CE265" s="399">
        <f t="shared" si="109"/>
        <v>0</v>
      </c>
      <c r="CF265" s="399">
        <f t="shared" si="110"/>
        <v>0</v>
      </c>
      <c r="CG265" s="399">
        <f t="shared" si="111"/>
        <v>0</v>
      </c>
      <c r="CH265" s="399">
        <f t="shared" si="112"/>
        <v>0</v>
      </c>
      <c r="CI265" s="399">
        <f t="shared" si="113"/>
        <v>0</v>
      </c>
      <c r="CJ265" s="399">
        <f t="shared" si="114"/>
        <v>0</v>
      </c>
      <c r="CK265" s="399">
        <f t="shared" si="115"/>
        <v>0</v>
      </c>
      <c r="CL265" s="399">
        <f t="shared" si="116"/>
        <v>0</v>
      </c>
      <c r="CM265" s="399">
        <f t="shared" si="117"/>
        <v>0</v>
      </c>
      <c r="CN265" s="399">
        <f t="shared" si="118"/>
        <v>0</v>
      </c>
      <c r="CO265" s="399">
        <f t="shared" si="119"/>
        <v>0</v>
      </c>
      <c r="CP265" s="399">
        <f t="shared" si="120"/>
        <v>0</v>
      </c>
      <c r="CQ265" s="423">
        <f t="shared" si="121"/>
        <v>0</v>
      </c>
      <c r="CS265" s="394" t="e">
        <f t="shared" si="122"/>
        <v>#DIV/0!</v>
      </c>
    </row>
    <row r="266" spans="3:97">
      <c r="C266" s="107"/>
      <c r="D266" s="395"/>
      <c r="E266" s="84"/>
      <c r="F266" s="84"/>
      <c r="G266" s="389"/>
      <c r="H266" s="390"/>
      <c r="I266" s="390"/>
      <c r="J266" s="390"/>
      <c r="K266" s="390"/>
      <c r="L266" s="390"/>
      <c r="M266" s="390"/>
      <c r="N266" s="390"/>
      <c r="O266" s="390"/>
      <c r="P266" s="390"/>
      <c r="Q266" s="390"/>
      <c r="R266" s="390"/>
      <c r="S266" s="390"/>
      <c r="T266" s="390"/>
      <c r="U266" s="390"/>
      <c r="V266" s="390"/>
      <c r="W266" s="390"/>
      <c r="X266" s="390"/>
      <c r="Y266" s="390"/>
      <c r="Z266" s="390"/>
      <c r="AA266" s="390"/>
      <c r="AB266" s="390"/>
      <c r="AC266" s="390"/>
      <c r="AD266" s="390"/>
      <c r="AE266" s="390"/>
      <c r="AF266" s="390"/>
      <c r="AG266" s="390"/>
      <c r="AH266" s="390"/>
      <c r="AI266" s="391"/>
      <c r="AK266" s="437"/>
      <c r="AL266" s="437"/>
      <c r="AM266" s="437"/>
      <c r="AN266" s="437"/>
      <c r="AO266" s="437"/>
      <c r="AP266" s="437"/>
      <c r="AQ266" s="437"/>
      <c r="AR266" s="437"/>
      <c r="AS266" s="437"/>
      <c r="AT266" s="437"/>
      <c r="AU266" s="437"/>
      <c r="AV266" s="437"/>
      <c r="AW266" s="437"/>
      <c r="AX266" s="437"/>
      <c r="AY266" s="437"/>
      <c r="AZ266" s="437"/>
      <c r="BA266" s="437"/>
      <c r="BB266" s="437"/>
      <c r="BC266" s="437"/>
      <c r="BD266" s="437"/>
      <c r="BE266" s="437"/>
      <c r="BF266" s="437"/>
      <c r="BG266" s="437"/>
      <c r="BH266" s="437"/>
      <c r="BI266" s="437"/>
      <c r="BJ266" s="437"/>
      <c r="BK266" s="437"/>
      <c r="BL266" s="437"/>
      <c r="BM266" s="393"/>
      <c r="BO266" s="399">
        <f t="shared" si="93"/>
        <v>0</v>
      </c>
      <c r="BP266" s="399">
        <f t="shared" si="94"/>
        <v>0</v>
      </c>
      <c r="BQ266" s="399">
        <f t="shared" si="95"/>
        <v>0</v>
      </c>
      <c r="BR266" s="399">
        <f t="shared" si="96"/>
        <v>0</v>
      </c>
      <c r="BS266" s="399">
        <f t="shared" si="97"/>
        <v>0</v>
      </c>
      <c r="BT266" s="399">
        <f t="shared" si="98"/>
        <v>0</v>
      </c>
      <c r="BU266" s="399">
        <f t="shared" si="99"/>
        <v>0</v>
      </c>
      <c r="BV266" s="399">
        <f t="shared" si="100"/>
        <v>0</v>
      </c>
      <c r="BW266" s="399">
        <f t="shared" si="101"/>
        <v>0</v>
      </c>
      <c r="BX266" s="399">
        <f t="shared" si="102"/>
        <v>0</v>
      </c>
      <c r="BY266" s="399">
        <f t="shared" si="103"/>
        <v>0</v>
      </c>
      <c r="BZ266" s="399">
        <f t="shared" si="104"/>
        <v>0</v>
      </c>
      <c r="CA266" s="399">
        <f t="shared" si="105"/>
        <v>0</v>
      </c>
      <c r="CB266" s="399">
        <f t="shared" si="106"/>
        <v>0</v>
      </c>
      <c r="CC266" s="399">
        <f t="shared" si="107"/>
        <v>0</v>
      </c>
      <c r="CD266" s="399">
        <f t="shared" si="108"/>
        <v>0</v>
      </c>
      <c r="CE266" s="399">
        <f t="shared" si="109"/>
        <v>0</v>
      </c>
      <c r="CF266" s="399">
        <f t="shared" si="110"/>
        <v>0</v>
      </c>
      <c r="CG266" s="399">
        <f t="shared" si="111"/>
        <v>0</v>
      </c>
      <c r="CH266" s="399">
        <f t="shared" si="112"/>
        <v>0</v>
      </c>
      <c r="CI266" s="399">
        <f t="shared" si="113"/>
        <v>0</v>
      </c>
      <c r="CJ266" s="399">
        <f t="shared" si="114"/>
        <v>0</v>
      </c>
      <c r="CK266" s="399">
        <f t="shared" si="115"/>
        <v>0</v>
      </c>
      <c r="CL266" s="399">
        <f t="shared" si="116"/>
        <v>0</v>
      </c>
      <c r="CM266" s="399">
        <f t="shared" si="117"/>
        <v>0</v>
      </c>
      <c r="CN266" s="399">
        <f t="shared" si="118"/>
        <v>0</v>
      </c>
      <c r="CO266" s="399">
        <f t="shared" si="119"/>
        <v>0</v>
      </c>
      <c r="CP266" s="399">
        <f t="shared" si="120"/>
        <v>0</v>
      </c>
      <c r="CQ266" s="423">
        <f t="shared" si="121"/>
        <v>0</v>
      </c>
      <c r="CS266" s="394" t="e">
        <f t="shared" si="122"/>
        <v>#DIV/0!</v>
      </c>
    </row>
    <row r="267" spans="3:97">
      <c r="C267" s="107"/>
      <c r="D267" s="395"/>
      <c r="E267" s="84"/>
      <c r="F267" s="84"/>
      <c r="G267" s="389"/>
      <c r="H267" s="390"/>
      <c r="I267" s="390"/>
      <c r="J267" s="390"/>
      <c r="K267" s="390"/>
      <c r="L267" s="390"/>
      <c r="M267" s="390"/>
      <c r="N267" s="390"/>
      <c r="O267" s="390"/>
      <c r="P267" s="390"/>
      <c r="Q267" s="390"/>
      <c r="R267" s="390"/>
      <c r="S267" s="390"/>
      <c r="T267" s="390"/>
      <c r="U267" s="390"/>
      <c r="V267" s="390"/>
      <c r="W267" s="390"/>
      <c r="X267" s="390"/>
      <c r="Y267" s="390"/>
      <c r="Z267" s="390"/>
      <c r="AA267" s="390"/>
      <c r="AB267" s="390"/>
      <c r="AC267" s="390"/>
      <c r="AD267" s="390"/>
      <c r="AE267" s="390"/>
      <c r="AF267" s="390"/>
      <c r="AG267" s="390"/>
      <c r="AH267" s="390"/>
      <c r="AI267" s="391"/>
      <c r="AK267" s="437"/>
      <c r="AL267" s="437"/>
      <c r="AM267" s="437"/>
      <c r="AN267" s="437"/>
      <c r="AO267" s="437"/>
      <c r="AP267" s="437"/>
      <c r="AQ267" s="437"/>
      <c r="AR267" s="437"/>
      <c r="AS267" s="437"/>
      <c r="AT267" s="437"/>
      <c r="AU267" s="437"/>
      <c r="AV267" s="437"/>
      <c r="AW267" s="437"/>
      <c r="AX267" s="437"/>
      <c r="AY267" s="437"/>
      <c r="AZ267" s="437"/>
      <c r="BA267" s="437"/>
      <c r="BB267" s="437"/>
      <c r="BC267" s="437"/>
      <c r="BD267" s="437"/>
      <c r="BE267" s="437"/>
      <c r="BF267" s="437"/>
      <c r="BG267" s="437"/>
      <c r="BH267" s="437"/>
      <c r="BI267" s="437"/>
      <c r="BJ267" s="437"/>
      <c r="BK267" s="437"/>
      <c r="BL267" s="437"/>
      <c r="BM267" s="393"/>
      <c r="BO267" s="399">
        <f t="shared" si="93"/>
        <v>0</v>
      </c>
      <c r="BP267" s="399">
        <f t="shared" si="94"/>
        <v>0</v>
      </c>
      <c r="BQ267" s="399">
        <f t="shared" si="95"/>
        <v>0</v>
      </c>
      <c r="BR267" s="399">
        <f t="shared" si="96"/>
        <v>0</v>
      </c>
      <c r="BS267" s="399">
        <f t="shared" si="97"/>
        <v>0</v>
      </c>
      <c r="BT267" s="399">
        <f t="shared" si="98"/>
        <v>0</v>
      </c>
      <c r="BU267" s="399">
        <f t="shared" si="99"/>
        <v>0</v>
      </c>
      <c r="BV267" s="399">
        <f t="shared" si="100"/>
        <v>0</v>
      </c>
      <c r="BW267" s="399">
        <f t="shared" si="101"/>
        <v>0</v>
      </c>
      <c r="BX267" s="399">
        <f t="shared" si="102"/>
        <v>0</v>
      </c>
      <c r="BY267" s="399">
        <f t="shared" si="103"/>
        <v>0</v>
      </c>
      <c r="BZ267" s="399">
        <f t="shared" si="104"/>
        <v>0</v>
      </c>
      <c r="CA267" s="399">
        <f t="shared" si="105"/>
        <v>0</v>
      </c>
      <c r="CB267" s="399">
        <f t="shared" si="106"/>
        <v>0</v>
      </c>
      <c r="CC267" s="399">
        <f t="shared" si="107"/>
        <v>0</v>
      </c>
      <c r="CD267" s="399">
        <f t="shared" si="108"/>
        <v>0</v>
      </c>
      <c r="CE267" s="399">
        <f t="shared" si="109"/>
        <v>0</v>
      </c>
      <c r="CF267" s="399">
        <f t="shared" si="110"/>
        <v>0</v>
      </c>
      <c r="CG267" s="399">
        <f t="shared" si="111"/>
        <v>0</v>
      </c>
      <c r="CH267" s="399">
        <f t="shared" si="112"/>
        <v>0</v>
      </c>
      <c r="CI267" s="399">
        <f t="shared" si="113"/>
        <v>0</v>
      </c>
      <c r="CJ267" s="399">
        <f t="shared" si="114"/>
        <v>0</v>
      </c>
      <c r="CK267" s="399">
        <f t="shared" si="115"/>
        <v>0</v>
      </c>
      <c r="CL267" s="399">
        <f t="shared" si="116"/>
        <v>0</v>
      </c>
      <c r="CM267" s="399">
        <f t="shared" si="117"/>
        <v>0</v>
      </c>
      <c r="CN267" s="399">
        <f t="shared" si="118"/>
        <v>0</v>
      </c>
      <c r="CO267" s="399">
        <f t="shared" si="119"/>
        <v>0</v>
      </c>
      <c r="CP267" s="399">
        <f t="shared" si="120"/>
        <v>0</v>
      </c>
      <c r="CQ267" s="423">
        <f t="shared" si="121"/>
        <v>0</v>
      </c>
      <c r="CS267" s="394" t="e">
        <f t="shared" si="122"/>
        <v>#DIV/0!</v>
      </c>
    </row>
    <row r="268" spans="3:97">
      <c r="C268" s="107"/>
      <c r="D268" s="395"/>
      <c r="E268" s="84"/>
      <c r="F268" s="84"/>
      <c r="G268" s="389"/>
      <c r="H268" s="390"/>
      <c r="I268" s="390"/>
      <c r="J268" s="390"/>
      <c r="K268" s="390"/>
      <c r="L268" s="390"/>
      <c r="M268" s="390"/>
      <c r="N268" s="390"/>
      <c r="O268" s="390"/>
      <c r="P268" s="390"/>
      <c r="Q268" s="390"/>
      <c r="R268" s="390"/>
      <c r="S268" s="390"/>
      <c r="T268" s="390"/>
      <c r="U268" s="390"/>
      <c r="V268" s="390"/>
      <c r="W268" s="390"/>
      <c r="X268" s="390"/>
      <c r="Y268" s="390"/>
      <c r="Z268" s="390"/>
      <c r="AA268" s="390"/>
      <c r="AB268" s="390"/>
      <c r="AC268" s="390"/>
      <c r="AD268" s="390"/>
      <c r="AE268" s="390"/>
      <c r="AF268" s="390"/>
      <c r="AG268" s="390"/>
      <c r="AH268" s="390"/>
      <c r="AI268" s="391"/>
      <c r="AK268" s="437"/>
      <c r="AL268" s="437"/>
      <c r="AM268" s="437"/>
      <c r="AN268" s="437"/>
      <c r="AO268" s="437"/>
      <c r="AP268" s="437"/>
      <c r="AQ268" s="437"/>
      <c r="AR268" s="437"/>
      <c r="AS268" s="437"/>
      <c r="AT268" s="437"/>
      <c r="AU268" s="437"/>
      <c r="AV268" s="437"/>
      <c r="AW268" s="437"/>
      <c r="AX268" s="437"/>
      <c r="AY268" s="437"/>
      <c r="AZ268" s="437"/>
      <c r="BA268" s="437"/>
      <c r="BB268" s="437"/>
      <c r="BC268" s="437"/>
      <c r="BD268" s="437"/>
      <c r="BE268" s="437"/>
      <c r="BF268" s="437"/>
      <c r="BG268" s="437"/>
      <c r="BH268" s="437"/>
      <c r="BI268" s="437"/>
      <c r="BJ268" s="437"/>
      <c r="BK268" s="437"/>
      <c r="BL268" s="437"/>
      <c r="BM268" s="393"/>
      <c r="BO268" s="399">
        <f t="shared" si="93"/>
        <v>0</v>
      </c>
      <c r="BP268" s="399">
        <f t="shared" si="94"/>
        <v>0</v>
      </c>
      <c r="BQ268" s="399">
        <f t="shared" si="95"/>
        <v>0</v>
      </c>
      <c r="BR268" s="399">
        <f t="shared" si="96"/>
        <v>0</v>
      </c>
      <c r="BS268" s="399">
        <f t="shared" si="97"/>
        <v>0</v>
      </c>
      <c r="BT268" s="399">
        <f t="shared" si="98"/>
        <v>0</v>
      </c>
      <c r="BU268" s="399">
        <f t="shared" si="99"/>
        <v>0</v>
      </c>
      <c r="BV268" s="399">
        <f t="shared" si="100"/>
        <v>0</v>
      </c>
      <c r="BW268" s="399">
        <f t="shared" si="101"/>
        <v>0</v>
      </c>
      <c r="BX268" s="399">
        <f t="shared" si="102"/>
        <v>0</v>
      </c>
      <c r="BY268" s="399">
        <f t="shared" si="103"/>
        <v>0</v>
      </c>
      <c r="BZ268" s="399">
        <f t="shared" si="104"/>
        <v>0</v>
      </c>
      <c r="CA268" s="399">
        <f t="shared" si="105"/>
        <v>0</v>
      </c>
      <c r="CB268" s="399">
        <f t="shared" si="106"/>
        <v>0</v>
      </c>
      <c r="CC268" s="399">
        <f t="shared" si="107"/>
        <v>0</v>
      </c>
      <c r="CD268" s="399">
        <f t="shared" si="108"/>
        <v>0</v>
      </c>
      <c r="CE268" s="399">
        <f t="shared" si="109"/>
        <v>0</v>
      </c>
      <c r="CF268" s="399">
        <f t="shared" si="110"/>
        <v>0</v>
      </c>
      <c r="CG268" s="399">
        <f t="shared" si="111"/>
        <v>0</v>
      </c>
      <c r="CH268" s="399">
        <f t="shared" si="112"/>
        <v>0</v>
      </c>
      <c r="CI268" s="399">
        <f t="shared" si="113"/>
        <v>0</v>
      </c>
      <c r="CJ268" s="399">
        <f t="shared" si="114"/>
        <v>0</v>
      </c>
      <c r="CK268" s="399">
        <f t="shared" si="115"/>
        <v>0</v>
      </c>
      <c r="CL268" s="399">
        <f t="shared" si="116"/>
        <v>0</v>
      </c>
      <c r="CM268" s="399">
        <f t="shared" si="117"/>
        <v>0</v>
      </c>
      <c r="CN268" s="399">
        <f t="shared" si="118"/>
        <v>0</v>
      </c>
      <c r="CO268" s="399">
        <f t="shared" si="119"/>
        <v>0</v>
      </c>
      <c r="CP268" s="399">
        <f t="shared" si="120"/>
        <v>0</v>
      </c>
      <c r="CQ268" s="423">
        <f t="shared" si="121"/>
        <v>0</v>
      </c>
      <c r="CS268" s="394" t="e">
        <f t="shared" si="122"/>
        <v>#DIV/0!</v>
      </c>
    </row>
    <row r="269" spans="3:97">
      <c r="C269" s="107"/>
      <c r="D269" s="395"/>
      <c r="E269" s="84"/>
      <c r="F269" s="84"/>
      <c r="G269" s="389"/>
      <c r="H269" s="390"/>
      <c r="I269" s="390"/>
      <c r="J269" s="390"/>
      <c r="K269" s="390"/>
      <c r="L269" s="390"/>
      <c r="M269" s="390"/>
      <c r="N269" s="390"/>
      <c r="O269" s="390"/>
      <c r="P269" s="390"/>
      <c r="Q269" s="390"/>
      <c r="R269" s="390"/>
      <c r="S269" s="390"/>
      <c r="T269" s="390"/>
      <c r="U269" s="390"/>
      <c r="V269" s="390"/>
      <c r="W269" s="390"/>
      <c r="X269" s="390"/>
      <c r="Y269" s="390"/>
      <c r="Z269" s="390"/>
      <c r="AA269" s="390"/>
      <c r="AB269" s="390"/>
      <c r="AC269" s="390"/>
      <c r="AD269" s="390"/>
      <c r="AE269" s="390"/>
      <c r="AF269" s="390"/>
      <c r="AG269" s="390"/>
      <c r="AH269" s="390"/>
      <c r="AI269" s="391"/>
      <c r="AK269" s="437"/>
      <c r="AL269" s="437"/>
      <c r="AM269" s="437"/>
      <c r="AN269" s="437"/>
      <c r="AO269" s="437"/>
      <c r="AP269" s="437"/>
      <c r="AQ269" s="437"/>
      <c r="AR269" s="437"/>
      <c r="AS269" s="437"/>
      <c r="AT269" s="437"/>
      <c r="AU269" s="437"/>
      <c r="AV269" s="437"/>
      <c r="AW269" s="437"/>
      <c r="AX269" s="437"/>
      <c r="AY269" s="437"/>
      <c r="AZ269" s="437"/>
      <c r="BA269" s="437"/>
      <c r="BB269" s="437"/>
      <c r="BC269" s="437"/>
      <c r="BD269" s="437"/>
      <c r="BE269" s="437"/>
      <c r="BF269" s="437"/>
      <c r="BG269" s="437"/>
      <c r="BH269" s="437"/>
      <c r="BI269" s="437"/>
      <c r="BJ269" s="437"/>
      <c r="BK269" s="437"/>
      <c r="BL269" s="437"/>
      <c r="BM269" s="393"/>
      <c r="BO269" s="399">
        <f t="shared" si="93"/>
        <v>0</v>
      </c>
      <c r="BP269" s="399">
        <f t="shared" si="94"/>
        <v>0</v>
      </c>
      <c r="BQ269" s="399">
        <f t="shared" si="95"/>
        <v>0</v>
      </c>
      <c r="BR269" s="399">
        <f t="shared" si="96"/>
        <v>0</v>
      </c>
      <c r="BS269" s="399">
        <f t="shared" si="97"/>
        <v>0</v>
      </c>
      <c r="BT269" s="399">
        <f t="shared" si="98"/>
        <v>0</v>
      </c>
      <c r="BU269" s="399">
        <f t="shared" si="99"/>
        <v>0</v>
      </c>
      <c r="BV269" s="399">
        <f t="shared" si="100"/>
        <v>0</v>
      </c>
      <c r="BW269" s="399">
        <f t="shared" si="101"/>
        <v>0</v>
      </c>
      <c r="BX269" s="399">
        <f t="shared" si="102"/>
        <v>0</v>
      </c>
      <c r="BY269" s="399">
        <f t="shared" si="103"/>
        <v>0</v>
      </c>
      <c r="BZ269" s="399">
        <f t="shared" si="104"/>
        <v>0</v>
      </c>
      <c r="CA269" s="399">
        <f t="shared" si="105"/>
        <v>0</v>
      </c>
      <c r="CB269" s="399">
        <f t="shared" si="106"/>
        <v>0</v>
      </c>
      <c r="CC269" s="399">
        <f t="shared" si="107"/>
        <v>0</v>
      </c>
      <c r="CD269" s="399">
        <f t="shared" si="108"/>
        <v>0</v>
      </c>
      <c r="CE269" s="399">
        <f t="shared" si="109"/>
        <v>0</v>
      </c>
      <c r="CF269" s="399">
        <f t="shared" si="110"/>
        <v>0</v>
      </c>
      <c r="CG269" s="399">
        <f t="shared" si="111"/>
        <v>0</v>
      </c>
      <c r="CH269" s="399">
        <f t="shared" si="112"/>
        <v>0</v>
      </c>
      <c r="CI269" s="399">
        <f t="shared" si="113"/>
        <v>0</v>
      </c>
      <c r="CJ269" s="399">
        <f t="shared" si="114"/>
        <v>0</v>
      </c>
      <c r="CK269" s="399">
        <f t="shared" si="115"/>
        <v>0</v>
      </c>
      <c r="CL269" s="399">
        <f t="shared" si="116"/>
        <v>0</v>
      </c>
      <c r="CM269" s="399">
        <f t="shared" si="117"/>
        <v>0</v>
      </c>
      <c r="CN269" s="399">
        <f t="shared" si="118"/>
        <v>0</v>
      </c>
      <c r="CO269" s="399">
        <f t="shared" si="119"/>
        <v>0</v>
      </c>
      <c r="CP269" s="399">
        <f t="shared" si="120"/>
        <v>0</v>
      </c>
      <c r="CQ269" s="423">
        <f t="shared" si="121"/>
        <v>0</v>
      </c>
      <c r="CS269" s="394" t="e">
        <f t="shared" si="122"/>
        <v>#DIV/0!</v>
      </c>
    </row>
    <row r="270" spans="3:97">
      <c r="C270" s="107"/>
      <c r="D270" s="395"/>
      <c r="E270" s="84"/>
      <c r="F270" s="84"/>
      <c r="G270" s="389"/>
      <c r="H270" s="390"/>
      <c r="I270" s="390"/>
      <c r="J270" s="390"/>
      <c r="K270" s="390"/>
      <c r="L270" s="390"/>
      <c r="M270" s="390"/>
      <c r="N270" s="390"/>
      <c r="O270" s="390"/>
      <c r="P270" s="390"/>
      <c r="Q270" s="390"/>
      <c r="R270" s="390"/>
      <c r="S270" s="390"/>
      <c r="T270" s="390"/>
      <c r="U270" s="390"/>
      <c r="V270" s="390"/>
      <c r="W270" s="390"/>
      <c r="X270" s="390"/>
      <c r="Y270" s="390"/>
      <c r="Z270" s="390"/>
      <c r="AA270" s="390"/>
      <c r="AB270" s="390"/>
      <c r="AC270" s="390"/>
      <c r="AD270" s="390"/>
      <c r="AE270" s="390"/>
      <c r="AF270" s="390"/>
      <c r="AG270" s="390"/>
      <c r="AH270" s="390"/>
      <c r="AI270" s="391"/>
      <c r="AK270" s="437"/>
      <c r="AL270" s="437"/>
      <c r="AM270" s="437"/>
      <c r="AN270" s="437"/>
      <c r="AO270" s="437"/>
      <c r="AP270" s="437"/>
      <c r="AQ270" s="437"/>
      <c r="AR270" s="437"/>
      <c r="AS270" s="437"/>
      <c r="AT270" s="437"/>
      <c r="AU270" s="437"/>
      <c r="AV270" s="437"/>
      <c r="AW270" s="437"/>
      <c r="AX270" s="437"/>
      <c r="AY270" s="437"/>
      <c r="AZ270" s="437"/>
      <c r="BA270" s="437"/>
      <c r="BB270" s="437"/>
      <c r="BC270" s="437"/>
      <c r="BD270" s="437"/>
      <c r="BE270" s="437"/>
      <c r="BF270" s="437"/>
      <c r="BG270" s="437"/>
      <c r="BH270" s="437"/>
      <c r="BI270" s="437"/>
      <c r="BJ270" s="437"/>
      <c r="BK270" s="437"/>
      <c r="BL270" s="437"/>
      <c r="BM270" s="393"/>
      <c r="BO270" s="399">
        <f t="shared" si="93"/>
        <v>0</v>
      </c>
      <c r="BP270" s="399">
        <f t="shared" si="94"/>
        <v>0</v>
      </c>
      <c r="BQ270" s="399">
        <f t="shared" si="95"/>
        <v>0</v>
      </c>
      <c r="BR270" s="399">
        <f t="shared" si="96"/>
        <v>0</v>
      </c>
      <c r="BS270" s="399">
        <f t="shared" si="97"/>
        <v>0</v>
      </c>
      <c r="BT270" s="399">
        <f t="shared" si="98"/>
        <v>0</v>
      </c>
      <c r="BU270" s="399">
        <f t="shared" si="99"/>
        <v>0</v>
      </c>
      <c r="BV270" s="399">
        <f t="shared" si="100"/>
        <v>0</v>
      </c>
      <c r="BW270" s="399">
        <f t="shared" si="101"/>
        <v>0</v>
      </c>
      <c r="BX270" s="399">
        <f t="shared" si="102"/>
        <v>0</v>
      </c>
      <c r="BY270" s="399">
        <f t="shared" si="103"/>
        <v>0</v>
      </c>
      <c r="BZ270" s="399">
        <f t="shared" si="104"/>
        <v>0</v>
      </c>
      <c r="CA270" s="399">
        <f t="shared" si="105"/>
        <v>0</v>
      </c>
      <c r="CB270" s="399">
        <f t="shared" si="106"/>
        <v>0</v>
      </c>
      <c r="CC270" s="399">
        <f t="shared" si="107"/>
        <v>0</v>
      </c>
      <c r="CD270" s="399">
        <f t="shared" si="108"/>
        <v>0</v>
      </c>
      <c r="CE270" s="399">
        <f t="shared" si="109"/>
        <v>0</v>
      </c>
      <c r="CF270" s="399">
        <f t="shared" si="110"/>
        <v>0</v>
      </c>
      <c r="CG270" s="399">
        <f t="shared" si="111"/>
        <v>0</v>
      </c>
      <c r="CH270" s="399">
        <f t="shared" si="112"/>
        <v>0</v>
      </c>
      <c r="CI270" s="399">
        <f t="shared" si="113"/>
        <v>0</v>
      </c>
      <c r="CJ270" s="399">
        <f t="shared" si="114"/>
        <v>0</v>
      </c>
      <c r="CK270" s="399">
        <f t="shared" si="115"/>
        <v>0</v>
      </c>
      <c r="CL270" s="399">
        <f t="shared" si="116"/>
        <v>0</v>
      </c>
      <c r="CM270" s="399">
        <f t="shared" si="117"/>
        <v>0</v>
      </c>
      <c r="CN270" s="399">
        <f t="shared" si="118"/>
        <v>0</v>
      </c>
      <c r="CO270" s="399">
        <f t="shared" si="119"/>
        <v>0</v>
      </c>
      <c r="CP270" s="399">
        <f t="shared" si="120"/>
        <v>0</v>
      </c>
      <c r="CQ270" s="423">
        <f t="shared" si="121"/>
        <v>0</v>
      </c>
      <c r="CS270" s="394" t="e">
        <f t="shared" si="122"/>
        <v>#DIV/0!</v>
      </c>
    </row>
    <row r="271" spans="3:97">
      <c r="C271" s="107"/>
      <c r="D271" s="395"/>
      <c r="E271" s="84"/>
      <c r="F271" s="84"/>
      <c r="G271" s="389"/>
      <c r="H271" s="390"/>
      <c r="I271" s="390"/>
      <c r="J271" s="390"/>
      <c r="K271" s="390"/>
      <c r="L271" s="390"/>
      <c r="M271" s="390"/>
      <c r="N271" s="390"/>
      <c r="O271" s="390"/>
      <c r="P271" s="390"/>
      <c r="Q271" s="390"/>
      <c r="R271" s="390"/>
      <c r="S271" s="390"/>
      <c r="T271" s="390"/>
      <c r="U271" s="390"/>
      <c r="V271" s="390"/>
      <c r="W271" s="390"/>
      <c r="X271" s="390"/>
      <c r="Y271" s="390"/>
      <c r="Z271" s="390"/>
      <c r="AA271" s="390"/>
      <c r="AB271" s="390"/>
      <c r="AC271" s="390"/>
      <c r="AD271" s="390"/>
      <c r="AE271" s="390"/>
      <c r="AF271" s="390"/>
      <c r="AG271" s="390"/>
      <c r="AH271" s="390"/>
      <c r="AI271" s="391"/>
      <c r="AK271" s="437"/>
      <c r="AL271" s="437"/>
      <c r="AM271" s="437"/>
      <c r="AN271" s="437"/>
      <c r="AO271" s="437"/>
      <c r="AP271" s="437"/>
      <c r="AQ271" s="437"/>
      <c r="AR271" s="437"/>
      <c r="AS271" s="437"/>
      <c r="AT271" s="437"/>
      <c r="AU271" s="437"/>
      <c r="AV271" s="437"/>
      <c r="AW271" s="437"/>
      <c r="AX271" s="437"/>
      <c r="AY271" s="437"/>
      <c r="AZ271" s="437"/>
      <c r="BA271" s="437"/>
      <c r="BB271" s="437"/>
      <c r="BC271" s="437"/>
      <c r="BD271" s="437"/>
      <c r="BE271" s="437"/>
      <c r="BF271" s="437"/>
      <c r="BG271" s="437"/>
      <c r="BH271" s="437"/>
      <c r="BI271" s="437"/>
      <c r="BJ271" s="437"/>
      <c r="BK271" s="437"/>
      <c r="BL271" s="437"/>
      <c r="BM271" s="393"/>
      <c r="BO271" s="399">
        <f t="shared" si="93"/>
        <v>0</v>
      </c>
      <c r="BP271" s="399">
        <f t="shared" si="94"/>
        <v>0</v>
      </c>
      <c r="BQ271" s="399">
        <f t="shared" si="95"/>
        <v>0</v>
      </c>
      <c r="BR271" s="399">
        <f t="shared" si="96"/>
        <v>0</v>
      </c>
      <c r="BS271" s="399">
        <f t="shared" si="97"/>
        <v>0</v>
      </c>
      <c r="BT271" s="399">
        <f t="shared" si="98"/>
        <v>0</v>
      </c>
      <c r="BU271" s="399">
        <f t="shared" si="99"/>
        <v>0</v>
      </c>
      <c r="BV271" s="399">
        <f t="shared" si="100"/>
        <v>0</v>
      </c>
      <c r="BW271" s="399">
        <f t="shared" si="101"/>
        <v>0</v>
      </c>
      <c r="BX271" s="399">
        <f t="shared" si="102"/>
        <v>0</v>
      </c>
      <c r="BY271" s="399">
        <f t="shared" si="103"/>
        <v>0</v>
      </c>
      <c r="BZ271" s="399">
        <f t="shared" si="104"/>
        <v>0</v>
      </c>
      <c r="CA271" s="399">
        <f t="shared" si="105"/>
        <v>0</v>
      </c>
      <c r="CB271" s="399">
        <f t="shared" si="106"/>
        <v>0</v>
      </c>
      <c r="CC271" s="399">
        <f t="shared" si="107"/>
        <v>0</v>
      </c>
      <c r="CD271" s="399">
        <f t="shared" si="108"/>
        <v>0</v>
      </c>
      <c r="CE271" s="399">
        <f t="shared" si="109"/>
        <v>0</v>
      </c>
      <c r="CF271" s="399">
        <f t="shared" si="110"/>
        <v>0</v>
      </c>
      <c r="CG271" s="399">
        <f t="shared" si="111"/>
        <v>0</v>
      </c>
      <c r="CH271" s="399">
        <f t="shared" si="112"/>
        <v>0</v>
      </c>
      <c r="CI271" s="399">
        <f t="shared" si="113"/>
        <v>0</v>
      </c>
      <c r="CJ271" s="399">
        <f t="shared" si="114"/>
        <v>0</v>
      </c>
      <c r="CK271" s="399">
        <f t="shared" si="115"/>
        <v>0</v>
      </c>
      <c r="CL271" s="399">
        <f t="shared" si="116"/>
        <v>0</v>
      </c>
      <c r="CM271" s="399">
        <f t="shared" si="117"/>
        <v>0</v>
      </c>
      <c r="CN271" s="399">
        <f t="shared" si="118"/>
        <v>0</v>
      </c>
      <c r="CO271" s="399">
        <f t="shared" si="119"/>
        <v>0</v>
      </c>
      <c r="CP271" s="399">
        <f t="shared" si="120"/>
        <v>0</v>
      </c>
      <c r="CQ271" s="423">
        <f t="shared" si="121"/>
        <v>0</v>
      </c>
      <c r="CS271" s="394" t="e">
        <f t="shared" si="122"/>
        <v>#DIV/0!</v>
      </c>
    </row>
    <row r="272" spans="3:97">
      <c r="C272" s="107"/>
      <c r="D272" s="395"/>
      <c r="E272" s="84"/>
      <c r="F272" s="84"/>
      <c r="G272" s="389"/>
      <c r="H272" s="390"/>
      <c r="I272" s="390"/>
      <c r="J272" s="390"/>
      <c r="K272" s="390"/>
      <c r="L272" s="390"/>
      <c r="M272" s="390"/>
      <c r="N272" s="390"/>
      <c r="O272" s="390"/>
      <c r="P272" s="390"/>
      <c r="Q272" s="390"/>
      <c r="R272" s="390"/>
      <c r="S272" s="390"/>
      <c r="T272" s="390"/>
      <c r="U272" s="390"/>
      <c r="V272" s="390"/>
      <c r="W272" s="390"/>
      <c r="X272" s="390"/>
      <c r="Y272" s="390"/>
      <c r="Z272" s="390"/>
      <c r="AA272" s="390"/>
      <c r="AB272" s="390"/>
      <c r="AC272" s="390"/>
      <c r="AD272" s="390"/>
      <c r="AE272" s="390"/>
      <c r="AF272" s="390"/>
      <c r="AG272" s="390"/>
      <c r="AH272" s="390"/>
      <c r="AI272" s="391"/>
      <c r="AK272" s="437"/>
      <c r="AL272" s="437"/>
      <c r="AM272" s="437"/>
      <c r="AN272" s="437"/>
      <c r="AO272" s="437"/>
      <c r="AP272" s="437"/>
      <c r="AQ272" s="437"/>
      <c r="AR272" s="437"/>
      <c r="AS272" s="437"/>
      <c r="AT272" s="437"/>
      <c r="AU272" s="437"/>
      <c r="AV272" s="437"/>
      <c r="AW272" s="437"/>
      <c r="AX272" s="437"/>
      <c r="AY272" s="437"/>
      <c r="AZ272" s="437"/>
      <c r="BA272" s="437"/>
      <c r="BB272" s="437"/>
      <c r="BC272" s="437"/>
      <c r="BD272" s="437"/>
      <c r="BE272" s="437"/>
      <c r="BF272" s="437"/>
      <c r="BG272" s="437"/>
      <c r="BH272" s="437"/>
      <c r="BI272" s="437"/>
      <c r="BJ272" s="437"/>
      <c r="BK272" s="437"/>
      <c r="BL272" s="437"/>
      <c r="BM272" s="393"/>
      <c r="BO272" s="399">
        <f t="shared" si="93"/>
        <v>0</v>
      </c>
      <c r="BP272" s="399">
        <f t="shared" si="94"/>
        <v>0</v>
      </c>
      <c r="BQ272" s="399">
        <f t="shared" si="95"/>
        <v>0</v>
      </c>
      <c r="BR272" s="399">
        <f t="shared" si="96"/>
        <v>0</v>
      </c>
      <c r="BS272" s="399">
        <f t="shared" si="97"/>
        <v>0</v>
      </c>
      <c r="BT272" s="399">
        <f t="shared" si="98"/>
        <v>0</v>
      </c>
      <c r="BU272" s="399">
        <f t="shared" si="99"/>
        <v>0</v>
      </c>
      <c r="BV272" s="399">
        <f t="shared" si="100"/>
        <v>0</v>
      </c>
      <c r="BW272" s="399">
        <f t="shared" si="101"/>
        <v>0</v>
      </c>
      <c r="BX272" s="399">
        <f t="shared" si="102"/>
        <v>0</v>
      </c>
      <c r="BY272" s="399">
        <f t="shared" si="103"/>
        <v>0</v>
      </c>
      <c r="BZ272" s="399">
        <f t="shared" si="104"/>
        <v>0</v>
      </c>
      <c r="CA272" s="399">
        <f t="shared" si="105"/>
        <v>0</v>
      </c>
      <c r="CB272" s="399">
        <f t="shared" si="106"/>
        <v>0</v>
      </c>
      <c r="CC272" s="399">
        <f t="shared" si="107"/>
        <v>0</v>
      </c>
      <c r="CD272" s="399">
        <f t="shared" si="108"/>
        <v>0</v>
      </c>
      <c r="CE272" s="399">
        <f t="shared" si="109"/>
        <v>0</v>
      </c>
      <c r="CF272" s="399">
        <f t="shared" si="110"/>
        <v>0</v>
      </c>
      <c r="CG272" s="399">
        <f t="shared" si="111"/>
        <v>0</v>
      </c>
      <c r="CH272" s="399">
        <f t="shared" si="112"/>
        <v>0</v>
      </c>
      <c r="CI272" s="399">
        <f t="shared" si="113"/>
        <v>0</v>
      </c>
      <c r="CJ272" s="399">
        <f t="shared" si="114"/>
        <v>0</v>
      </c>
      <c r="CK272" s="399">
        <f t="shared" si="115"/>
        <v>0</v>
      </c>
      <c r="CL272" s="399">
        <f t="shared" si="116"/>
        <v>0</v>
      </c>
      <c r="CM272" s="399">
        <f t="shared" si="117"/>
        <v>0</v>
      </c>
      <c r="CN272" s="399">
        <f t="shared" si="118"/>
        <v>0</v>
      </c>
      <c r="CO272" s="399">
        <f t="shared" si="119"/>
        <v>0</v>
      </c>
      <c r="CP272" s="399">
        <f t="shared" si="120"/>
        <v>0</v>
      </c>
      <c r="CQ272" s="423">
        <f t="shared" si="121"/>
        <v>0</v>
      </c>
      <c r="CS272" s="394" t="e">
        <f t="shared" si="122"/>
        <v>#DIV/0!</v>
      </c>
    </row>
    <row r="273" spans="3:97">
      <c r="C273" s="107"/>
      <c r="D273" s="395"/>
      <c r="E273" s="84"/>
      <c r="F273" s="84"/>
      <c r="G273" s="389"/>
      <c r="H273" s="390"/>
      <c r="I273" s="390"/>
      <c r="J273" s="390"/>
      <c r="K273" s="390"/>
      <c r="L273" s="390"/>
      <c r="M273" s="390"/>
      <c r="N273" s="390"/>
      <c r="O273" s="390"/>
      <c r="P273" s="390"/>
      <c r="Q273" s="390"/>
      <c r="R273" s="390"/>
      <c r="S273" s="390"/>
      <c r="T273" s="390"/>
      <c r="U273" s="390"/>
      <c r="V273" s="390"/>
      <c r="W273" s="390"/>
      <c r="X273" s="390"/>
      <c r="Y273" s="390"/>
      <c r="Z273" s="390"/>
      <c r="AA273" s="390"/>
      <c r="AB273" s="390"/>
      <c r="AC273" s="390"/>
      <c r="AD273" s="390"/>
      <c r="AE273" s="390"/>
      <c r="AF273" s="390"/>
      <c r="AG273" s="390"/>
      <c r="AH273" s="390"/>
      <c r="AI273" s="391"/>
      <c r="AK273" s="437"/>
      <c r="AL273" s="437"/>
      <c r="AM273" s="437"/>
      <c r="AN273" s="437"/>
      <c r="AO273" s="437"/>
      <c r="AP273" s="437"/>
      <c r="AQ273" s="437"/>
      <c r="AR273" s="437"/>
      <c r="AS273" s="437"/>
      <c r="AT273" s="437"/>
      <c r="AU273" s="437"/>
      <c r="AV273" s="437"/>
      <c r="AW273" s="437"/>
      <c r="AX273" s="437"/>
      <c r="AY273" s="437"/>
      <c r="AZ273" s="437"/>
      <c r="BA273" s="437"/>
      <c r="BB273" s="437"/>
      <c r="BC273" s="437"/>
      <c r="BD273" s="437"/>
      <c r="BE273" s="437"/>
      <c r="BF273" s="437"/>
      <c r="BG273" s="437"/>
      <c r="BH273" s="437"/>
      <c r="BI273" s="437"/>
      <c r="BJ273" s="437"/>
      <c r="BK273" s="437"/>
      <c r="BL273" s="437"/>
      <c r="BM273" s="393"/>
      <c r="BO273" s="399">
        <f t="shared" si="93"/>
        <v>0</v>
      </c>
      <c r="BP273" s="399">
        <f t="shared" si="94"/>
        <v>0</v>
      </c>
      <c r="BQ273" s="399">
        <f t="shared" si="95"/>
        <v>0</v>
      </c>
      <c r="BR273" s="399">
        <f t="shared" si="96"/>
        <v>0</v>
      </c>
      <c r="BS273" s="399">
        <f t="shared" si="97"/>
        <v>0</v>
      </c>
      <c r="BT273" s="399">
        <f t="shared" si="98"/>
        <v>0</v>
      </c>
      <c r="BU273" s="399">
        <f t="shared" si="99"/>
        <v>0</v>
      </c>
      <c r="BV273" s="399">
        <f t="shared" si="100"/>
        <v>0</v>
      </c>
      <c r="BW273" s="399">
        <f t="shared" si="101"/>
        <v>0</v>
      </c>
      <c r="BX273" s="399">
        <f t="shared" si="102"/>
        <v>0</v>
      </c>
      <c r="BY273" s="399">
        <f t="shared" si="103"/>
        <v>0</v>
      </c>
      <c r="BZ273" s="399">
        <f t="shared" si="104"/>
        <v>0</v>
      </c>
      <c r="CA273" s="399">
        <f t="shared" si="105"/>
        <v>0</v>
      </c>
      <c r="CB273" s="399">
        <f t="shared" si="106"/>
        <v>0</v>
      </c>
      <c r="CC273" s="399">
        <f t="shared" si="107"/>
        <v>0</v>
      </c>
      <c r="CD273" s="399">
        <f t="shared" si="108"/>
        <v>0</v>
      </c>
      <c r="CE273" s="399">
        <f t="shared" si="109"/>
        <v>0</v>
      </c>
      <c r="CF273" s="399">
        <f t="shared" si="110"/>
        <v>0</v>
      </c>
      <c r="CG273" s="399">
        <f t="shared" si="111"/>
        <v>0</v>
      </c>
      <c r="CH273" s="399">
        <f t="shared" si="112"/>
        <v>0</v>
      </c>
      <c r="CI273" s="399">
        <f t="shared" si="113"/>
        <v>0</v>
      </c>
      <c r="CJ273" s="399">
        <f t="shared" si="114"/>
        <v>0</v>
      </c>
      <c r="CK273" s="399">
        <f t="shared" si="115"/>
        <v>0</v>
      </c>
      <c r="CL273" s="399">
        <f t="shared" si="116"/>
        <v>0</v>
      </c>
      <c r="CM273" s="399">
        <f t="shared" si="117"/>
        <v>0</v>
      </c>
      <c r="CN273" s="399">
        <f t="shared" si="118"/>
        <v>0</v>
      </c>
      <c r="CO273" s="399">
        <f t="shared" si="119"/>
        <v>0</v>
      </c>
      <c r="CP273" s="399">
        <f t="shared" si="120"/>
        <v>0</v>
      </c>
      <c r="CQ273" s="423">
        <f t="shared" si="121"/>
        <v>0</v>
      </c>
      <c r="CS273" s="394" t="e">
        <f t="shared" si="122"/>
        <v>#DIV/0!</v>
      </c>
    </row>
    <row r="274" spans="3:97">
      <c r="C274" s="107"/>
      <c r="D274" s="395"/>
      <c r="E274" s="84"/>
      <c r="F274" s="84"/>
      <c r="G274" s="389"/>
      <c r="H274" s="390"/>
      <c r="I274" s="390"/>
      <c r="J274" s="390"/>
      <c r="K274" s="390"/>
      <c r="L274" s="390"/>
      <c r="M274" s="390"/>
      <c r="N274" s="390"/>
      <c r="O274" s="390"/>
      <c r="P274" s="390"/>
      <c r="Q274" s="390"/>
      <c r="R274" s="390"/>
      <c r="S274" s="390"/>
      <c r="T274" s="390"/>
      <c r="U274" s="390"/>
      <c r="V274" s="390"/>
      <c r="W274" s="390"/>
      <c r="X274" s="390"/>
      <c r="Y274" s="390"/>
      <c r="Z274" s="390"/>
      <c r="AA274" s="390"/>
      <c r="AB274" s="390"/>
      <c r="AC274" s="390"/>
      <c r="AD274" s="390"/>
      <c r="AE274" s="390"/>
      <c r="AF274" s="390"/>
      <c r="AG274" s="390"/>
      <c r="AH274" s="390"/>
      <c r="AI274" s="391"/>
      <c r="AK274" s="437"/>
      <c r="AL274" s="437"/>
      <c r="AM274" s="437"/>
      <c r="AN274" s="437"/>
      <c r="AO274" s="437"/>
      <c r="AP274" s="437"/>
      <c r="AQ274" s="437"/>
      <c r="AR274" s="437"/>
      <c r="AS274" s="437"/>
      <c r="AT274" s="437"/>
      <c r="AU274" s="437"/>
      <c r="AV274" s="437"/>
      <c r="AW274" s="437"/>
      <c r="AX274" s="437"/>
      <c r="AY274" s="437"/>
      <c r="AZ274" s="437"/>
      <c r="BA274" s="437"/>
      <c r="BB274" s="437"/>
      <c r="BC274" s="437"/>
      <c r="BD274" s="437"/>
      <c r="BE274" s="437"/>
      <c r="BF274" s="437"/>
      <c r="BG274" s="437"/>
      <c r="BH274" s="437"/>
      <c r="BI274" s="437"/>
      <c r="BJ274" s="437"/>
      <c r="BK274" s="437"/>
      <c r="BL274" s="437"/>
      <c r="BM274" s="393"/>
      <c r="BO274" s="399">
        <f t="shared" si="93"/>
        <v>0</v>
      </c>
      <c r="BP274" s="399">
        <f t="shared" si="94"/>
        <v>0</v>
      </c>
      <c r="BQ274" s="399">
        <f t="shared" si="95"/>
        <v>0</v>
      </c>
      <c r="BR274" s="399">
        <f t="shared" si="96"/>
        <v>0</v>
      </c>
      <c r="BS274" s="399">
        <f t="shared" si="97"/>
        <v>0</v>
      </c>
      <c r="BT274" s="399">
        <f t="shared" si="98"/>
        <v>0</v>
      </c>
      <c r="BU274" s="399">
        <f t="shared" si="99"/>
        <v>0</v>
      </c>
      <c r="BV274" s="399">
        <f t="shared" si="100"/>
        <v>0</v>
      </c>
      <c r="BW274" s="399">
        <f t="shared" si="101"/>
        <v>0</v>
      </c>
      <c r="BX274" s="399">
        <f t="shared" si="102"/>
        <v>0</v>
      </c>
      <c r="BY274" s="399">
        <f t="shared" si="103"/>
        <v>0</v>
      </c>
      <c r="BZ274" s="399">
        <f t="shared" si="104"/>
        <v>0</v>
      </c>
      <c r="CA274" s="399">
        <f t="shared" si="105"/>
        <v>0</v>
      </c>
      <c r="CB274" s="399">
        <f t="shared" si="106"/>
        <v>0</v>
      </c>
      <c r="CC274" s="399">
        <f t="shared" si="107"/>
        <v>0</v>
      </c>
      <c r="CD274" s="399">
        <f t="shared" si="108"/>
        <v>0</v>
      </c>
      <c r="CE274" s="399">
        <f t="shared" si="109"/>
        <v>0</v>
      </c>
      <c r="CF274" s="399">
        <f t="shared" si="110"/>
        <v>0</v>
      </c>
      <c r="CG274" s="399">
        <f t="shared" si="111"/>
        <v>0</v>
      </c>
      <c r="CH274" s="399">
        <f t="shared" si="112"/>
        <v>0</v>
      </c>
      <c r="CI274" s="399">
        <f t="shared" si="113"/>
        <v>0</v>
      </c>
      <c r="CJ274" s="399">
        <f t="shared" si="114"/>
        <v>0</v>
      </c>
      <c r="CK274" s="399">
        <f t="shared" si="115"/>
        <v>0</v>
      </c>
      <c r="CL274" s="399">
        <f t="shared" si="116"/>
        <v>0</v>
      </c>
      <c r="CM274" s="399">
        <f t="shared" si="117"/>
        <v>0</v>
      </c>
      <c r="CN274" s="399">
        <f t="shared" si="118"/>
        <v>0</v>
      </c>
      <c r="CO274" s="399">
        <f t="shared" si="119"/>
        <v>0</v>
      </c>
      <c r="CP274" s="399">
        <f t="shared" si="120"/>
        <v>0</v>
      </c>
      <c r="CQ274" s="423">
        <f t="shared" si="121"/>
        <v>0</v>
      </c>
      <c r="CS274" s="394" t="e">
        <f t="shared" si="122"/>
        <v>#DIV/0!</v>
      </c>
    </row>
    <row r="275" spans="3:97">
      <c r="C275" s="107"/>
      <c r="D275" s="395"/>
      <c r="E275" s="84"/>
      <c r="F275" s="84"/>
      <c r="G275" s="389"/>
      <c r="H275" s="390"/>
      <c r="I275" s="390"/>
      <c r="J275" s="390"/>
      <c r="K275" s="390"/>
      <c r="L275" s="390"/>
      <c r="M275" s="390"/>
      <c r="N275" s="390"/>
      <c r="O275" s="390"/>
      <c r="P275" s="390"/>
      <c r="Q275" s="390"/>
      <c r="R275" s="390"/>
      <c r="S275" s="390"/>
      <c r="T275" s="390"/>
      <c r="U275" s="390"/>
      <c r="V275" s="390"/>
      <c r="W275" s="390"/>
      <c r="X275" s="390"/>
      <c r="Y275" s="390"/>
      <c r="Z275" s="390"/>
      <c r="AA275" s="390"/>
      <c r="AB275" s="390"/>
      <c r="AC275" s="390"/>
      <c r="AD275" s="390"/>
      <c r="AE275" s="390"/>
      <c r="AF275" s="390"/>
      <c r="AG275" s="390"/>
      <c r="AH275" s="390"/>
      <c r="AI275" s="391"/>
      <c r="AK275" s="437"/>
      <c r="AL275" s="437"/>
      <c r="AM275" s="437"/>
      <c r="AN275" s="437"/>
      <c r="AO275" s="437"/>
      <c r="AP275" s="437"/>
      <c r="AQ275" s="437"/>
      <c r="AR275" s="437"/>
      <c r="AS275" s="437"/>
      <c r="AT275" s="437"/>
      <c r="AU275" s="437"/>
      <c r="AV275" s="437"/>
      <c r="AW275" s="437"/>
      <c r="AX275" s="437"/>
      <c r="AY275" s="437"/>
      <c r="AZ275" s="437"/>
      <c r="BA275" s="437"/>
      <c r="BB275" s="437"/>
      <c r="BC275" s="437"/>
      <c r="BD275" s="437"/>
      <c r="BE275" s="437"/>
      <c r="BF275" s="437"/>
      <c r="BG275" s="437"/>
      <c r="BH275" s="437"/>
      <c r="BI275" s="437"/>
      <c r="BJ275" s="437"/>
      <c r="BK275" s="437"/>
      <c r="BL275" s="437"/>
      <c r="BM275" s="393"/>
      <c r="BO275" s="399">
        <f t="shared" ref="BO275:BO338" si="123">G275*BO$4</f>
        <v>0</v>
      </c>
      <c r="BP275" s="399">
        <f t="shared" ref="BP275:BP338" si="124">H275*BP$4</f>
        <v>0</v>
      </c>
      <c r="BQ275" s="399">
        <f t="shared" ref="BQ275:BQ338" si="125">I275*BQ$4</f>
        <v>0</v>
      </c>
      <c r="BR275" s="399">
        <f t="shared" ref="BR275:BR338" si="126">J275*BR$4</f>
        <v>0</v>
      </c>
      <c r="BS275" s="399">
        <f t="shared" ref="BS275:BS338" si="127">K275*BS$4</f>
        <v>0</v>
      </c>
      <c r="BT275" s="399">
        <f t="shared" ref="BT275:BT338" si="128">L275*BT$4</f>
        <v>0</v>
      </c>
      <c r="BU275" s="399">
        <f t="shared" ref="BU275:BU338" si="129">M275*BU$4</f>
        <v>0</v>
      </c>
      <c r="BV275" s="399">
        <f t="shared" ref="BV275:BV338" si="130">N275*BV$4</f>
        <v>0</v>
      </c>
      <c r="BW275" s="399">
        <f t="shared" ref="BW275:BW338" si="131">O275*BW$4</f>
        <v>0</v>
      </c>
      <c r="BX275" s="399">
        <f t="shared" ref="BX275:BX338" si="132">P275*BX$4</f>
        <v>0</v>
      </c>
      <c r="BY275" s="399">
        <f t="shared" ref="BY275:BY338" si="133">Q275*BY$4</f>
        <v>0</v>
      </c>
      <c r="BZ275" s="399">
        <f t="shared" ref="BZ275:BZ338" si="134">R275*BZ$4</f>
        <v>0</v>
      </c>
      <c r="CA275" s="399">
        <f t="shared" ref="CA275:CA338" si="135">S275*CA$4</f>
        <v>0</v>
      </c>
      <c r="CB275" s="399">
        <f t="shared" ref="CB275:CB338" si="136">T275*CB$4</f>
        <v>0</v>
      </c>
      <c r="CC275" s="399">
        <f t="shared" ref="CC275:CC338" si="137">U275*CC$4</f>
        <v>0</v>
      </c>
      <c r="CD275" s="399">
        <f t="shared" ref="CD275:CD338" si="138">V275*CD$4</f>
        <v>0</v>
      </c>
      <c r="CE275" s="399">
        <f t="shared" ref="CE275:CE338" si="139">W275*CE$4</f>
        <v>0</v>
      </c>
      <c r="CF275" s="399">
        <f t="shared" ref="CF275:CF338" si="140">X275*CF$4</f>
        <v>0</v>
      </c>
      <c r="CG275" s="399">
        <f t="shared" ref="CG275:CG338" si="141">Y275*CG$4</f>
        <v>0</v>
      </c>
      <c r="CH275" s="399">
        <f t="shared" ref="CH275:CH338" si="142">Z275*CH$4</f>
        <v>0</v>
      </c>
      <c r="CI275" s="399">
        <f t="shared" ref="CI275:CI338" si="143">AA275*CI$4</f>
        <v>0</v>
      </c>
      <c r="CJ275" s="399">
        <f t="shared" ref="CJ275:CJ338" si="144">AB275*CJ$4</f>
        <v>0</v>
      </c>
      <c r="CK275" s="399">
        <f t="shared" ref="CK275:CK338" si="145">AC275*CK$4</f>
        <v>0</v>
      </c>
      <c r="CL275" s="399">
        <f t="shared" ref="CL275:CL338" si="146">AD275*CL$4</f>
        <v>0</v>
      </c>
      <c r="CM275" s="399">
        <f t="shared" ref="CM275:CM338" si="147">AE275*CM$4</f>
        <v>0</v>
      </c>
      <c r="CN275" s="399">
        <f t="shared" ref="CN275:CN338" si="148">AF275*CN$4</f>
        <v>0</v>
      </c>
      <c r="CO275" s="399">
        <f t="shared" ref="CO275:CO338" si="149">AG275*CO$4</f>
        <v>0</v>
      </c>
      <c r="CP275" s="399">
        <f t="shared" ref="CP275:CP338" si="150">AH275*CP$4</f>
        <v>0</v>
      </c>
      <c r="CQ275" s="423">
        <f t="shared" ref="CQ275:CQ338" si="151">SUM(BO275:CP275)</f>
        <v>0</v>
      </c>
      <c r="CS275" s="394" t="e">
        <f t="shared" ref="CS275:CS338" si="152">CQ275/AI275</f>
        <v>#DIV/0!</v>
      </c>
    </row>
    <row r="276" spans="3:97">
      <c r="C276" s="107"/>
      <c r="D276" s="395"/>
      <c r="E276" s="84"/>
      <c r="F276" s="84"/>
      <c r="G276" s="389"/>
      <c r="H276" s="390"/>
      <c r="I276" s="390"/>
      <c r="J276" s="390"/>
      <c r="K276" s="390"/>
      <c r="L276" s="390"/>
      <c r="M276" s="390"/>
      <c r="N276" s="390"/>
      <c r="O276" s="390"/>
      <c r="P276" s="390"/>
      <c r="Q276" s="390"/>
      <c r="R276" s="390"/>
      <c r="S276" s="390"/>
      <c r="T276" s="390"/>
      <c r="U276" s="390"/>
      <c r="V276" s="390"/>
      <c r="W276" s="390"/>
      <c r="X276" s="390"/>
      <c r="Y276" s="390"/>
      <c r="Z276" s="390"/>
      <c r="AA276" s="390"/>
      <c r="AB276" s="390"/>
      <c r="AC276" s="390"/>
      <c r="AD276" s="390"/>
      <c r="AE276" s="390"/>
      <c r="AF276" s="390"/>
      <c r="AG276" s="390"/>
      <c r="AH276" s="390"/>
      <c r="AI276" s="391"/>
      <c r="AK276" s="437"/>
      <c r="AL276" s="437"/>
      <c r="AM276" s="437"/>
      <c r="AN276" s="437"/>
      <c r="AO276" s="437"/>
      <c r="AP276" s="437"/>
      <c r="AQ276" s="437"/>
      <c r="AR276" s="437"/>
      <c r="AS276" s="437"/>
      <c r="AT276" s="437"/>
      <c r="AU276" s="437"/>
      <c r="AV276" s="437"/>
      <c r="AW276" s="437"/>
      <c r="AX276" s="437"/>
      <c r="AY276" s="437"/>
      <c r="AZ276" s="437"/>
      <c r="BA276" s="437"/>
      <c r="BB276" s="437"/>
      <c r="BC276" s="437"/>
      <c r="BD276" s="437"/>
      <c r="BE276" s="437"/>
      <c r="BF276" s="437"/>
      <c r="BG276" s="437"/>
      <c r="BH276" s="437"/>
      <c r="BI276" s="437"/>
      <c r="BJ276" s="437"/>
      <c r="BK276" s="437"/>
      <c r="BL276" s="437"/>
      <c r="BM276" s="393"/>
      <c r="BO276" s="399">
        <f t="shared" si="123"/>
        <v>0</v>
      </c>
      <c r="BP276" s="399">
        <f t="shared" si="124"/>
        <v>0</v>
      </c>
      <c r="BQ276" s="399">
        <f t="shared" si="125"/>
        <v>0</v>
      </c>
      <c r="BR276" s="399">
        <f t="shared" si="126"/>
        <v>0</v>
      </c>
      <c r="BS276" s="399">
        <f t="shared" si="127"/>
        <v>0</v>
      </c>
      <c r="BT276" s="399">
        <f t="shared" si="128"/>
        <v>0</v>
      </c>
      <c r="BU276" s="399">
        <f t="shared" si="129"/>
        <v>0</v>
      </c>
      <c r="BV276" s="399">
        <f t="shared" si="130"/>
        <v>0</v>
      </c>
      <c r="BW276" s="399">
        <f t="shared" si="131"/>
        <v>0</v>
      </c>
      <c r="BX276" s="399">
        <f t="shared" si="132"/>
        <v>0</v>
      </c>
      <c r="BY276" s="399">
        <f t="shared" si="133"/>
        <v>0</v>
      </c>
      <c r="BZ276" s="399">
        <f t="shared" si="134"/>
        <v>0</v>
      </c>
      <c r="CA276" s="399">
        <f t="shared" si="135"/>
        <v>0</v>
      </c>
      <c r="CB276" s="399">
        <f t="shared" si="136"/>
        <v>0</v>
      </c>
      <c r="CC276" s="399">
        <f t="shared" si="137"/>
        <v>0</v>
      </c>
      <c r="CD276" s="399">
        <f t="shared" si="138"/>
        <v>0</v>
      </c>
      <c r="CE276" s="399">
        <f t="shared" si="139"/>
        <v>0</v>
      </c>
      <c r="CF276" s="399">
        <f t="shared" si="140"/>
        <v>0</v>
      </c>
      <c r="CG276" s="399">
        <f t="shared" si="141"/>
        <v>0</v>
      </c>
      <c r="CH276" s="399">
        <f t="shared" si="142"/>
        <v>0</v>
      </c>
      <c r="CI276" s="399">
        <f t="shared" si="143"/>
        <v>0</v>
      </c>
      <c r="CJ276" s="399">
        <f t="shared" si="144"/>
        <v>0</v>
      </c>
      <c r="CK276" s="399">
        <f t="shared" si="145"/>
        <v>0</v>
      </c>
      <c r="CL276" s="399">
        <f t="shared" si="146"/>
        <v>0</v>
      </c>
      <c r="CM276" s="399">
        <f t="shared" si="147"/>
        <v>0</v>
      </c>
      <c r="CN276" s="399">
        <f t="shared" si="148"/>
        <v>0</v>
      </c>
      <c r="CO276" s="399">
        <f t="shared" si="149"/>
        <v>0</v>
      </c>
      <c r="CP276" s="399">
        <f t="shared" si="150"/>
        <v>0</v>
      </c>
      <c r="CQ276" s="423">
        <f t="shared" si="151"/>
        <v>0</v>
      </c>
      <c r="CS276" s="394" t="e">
        <f t="shared" si="152"/>
        <v>#DIV/0!</v>
      </c>
    </row>
    <row r="277" spans="3:97">
      <c r="C277" s="107"/>
      <c r="D277" s="395"/>
      <c r="E277" s="84"/>
      <c r="F277" s="84"/>
      <c r="G277" s="389"/>
      <c r="H277" s="390"/>
      <c r="I277" s="390"/>
      <c r="J277" s="390"/>
      <c r="K277" s="390"/>
      <c r="L277" s="390"/>
      <c r="M277" s="390"/>
      <c r="N277" s="390"/>
      <c r="O277" s="390"/>
      <c r="P277" s="390"/>
      <c r="Q277" s="390"/>
      <c r="R277" s="390"/>
      <c r="S277" s="390"/>
      <c r="T277" s="390"/>
      <c r="U277" s="390"/>
      <c r="V277" s="390"/>
      <c r="W277" s="390"/>
      <c r="X277" s="390"/>
      <c r="Y277" s="390"/>
      <c r="Z277" s="390"/>
      <c r="AA277" s="390"/>
      <c r="AB277" s="390"/>
      <c r="AC277" s="390"/>
      <c r="AD277" s="390"/>
      <c r="AE277" s="390"/>
      <c r="AF277" s="390"/>
      <c r="AG277" s="390"/>
      <c r="AH277" s="390"/>
      <c r="AI277" s="391"/>
      <c r="AK277" s="437"/>
      <c r="AL277" s="437"/>
      <c r="AM277" s="437"/>
      <c r="AN277" s="437"/>
      <c r="AO277" s="437"/>
      <c r="AP277" s="437"/>
      <c r="AQ277" s="437"/>
      <c r="AR277" s="437"/>
      <c r="AS277" s="437"/>
      <c r="AT277" s="437"/>
      <c r="AU277" s="437"/>
      <c r="AV277" s="437"/>
      <c r="AW277" s="437"/>
      <c r="AX277" s="437"/>
      <c r="AY277" s="437"/>
      <c r="AZ277" s="437"/>
      <c r="BA277" s="437"/>
      <c r="BB277" s="437"/>
      <c r="BC277" s="437"/>
      <c r="BD277" s="437"/>
      <c r="BE277" s="437"/>
      <c r="BF277" s="437"/>
      <c r="BG277" s="437"/>
      <c r="BH277" s="437"/>
      <c r="BI277" s="437"/>
      <c r="BJ277" s="437"/>
      <c r="BK277" s="437"/>
      <c r="BL277" s="437"/>
      <c r="BM277" s="393"/>
      <c r="BO277" s="399">
        <f t="shared" si="123"/>
        <v>0</v>
      </c>
      <c r="BP277" s="399">
        <f t="shared" si="124"/>
        <v>0</v>
      </c>
      <c r="BQ277" s="399">
        <f t="shared" si="125"/>
        <v>0</v>
      </c>
      <c r="BR277" s="399">
        <f t="shared" si="126"/>
        <v>0</v>
      </c>
      <c r="BS277" s="399">
        <f t="shared" si="127"/>
        <v>0</v>
      </c>
      <c r="BT277" s="399">
        <f t="shared" si="128"/>
        <v>0</v>
      </c>
      <c r="BU277" s="399">
        <f t="shared" si="129"/>
        <v>0</v>
      </c>
      <c r="BV277" s="399">
        <f t="shared" si="130"/>
        <v>0</v>
      </c>
      <c r="BW277" s="399">
        <f t="shared" si="131"/>
        <v>0</v>
      </c>
      <c r="BX277" s="399">
        <f t="shared" si="132"/>
        <v>0</v>
      </c>
      <c r="BY277" s="399">
        <f t="shared" si="133"/>
        <v>0</v>
      </c>
      <c r="BZ277" s="399">
        <f t="shared" si="134"/>
        <v>0</v>
      </c>
      <c r="CA277" s="399">
        <f t="shared" si="135"/>
        <v>0</v>
      </c>
      <c r="CB277" s="399">
        <f t="shared" si="136"/>
        <v>0</v>
      </c>
      <c r="CC277" s="399">
        <f t="shared" si="137"/>
        <v>0</v>
      </c>
      <c r="CD277" s="399">
        <f t="shared" si="138"/>
        <v>0</v>
      </c>
      <c r="CE277" s="399">
        <f t="shared" si="139"/>
        <v>0</v>
      </c>
      <c r="CF277" s="399">
        <f t="shared" si="140"/>
        <v>0</v>
      </c>
      <c r="CG277" s="399">
        <f t="shared" si="141"/>
        <v>0</v>
      </c>
      <c r="CH277" s="399">
        <f t="shared" si="142"/>
        <v>0</v>
      </c>
      <c r="CI277" s="399">
        <f t="shared" si="143"/>
        <v>0</v>
      </c>
      <c r="CJ277" s="399">
        <f t="shared" si="144"/>
        <v>0</v>
      </c>
      <c r="CK277" s="399">
        <f t="shared" si="145"/>
        <v>0</v>
      </c>
      <c r="CL277" s="399">
        <f t="shared" si="146"/>
        <v>0</v>
      </c>
      <c r="CM277" s="399">
        <f t="shared" si="147"/>
        <v>0</v>
      </c>
      <c r="CN277" s="399">
        <f t="shared" si="148"/>
        <v>0</v>
      </c>
      <c r="CO277" s="399">
        <f t="shared" si="149"/>
        <v>0</v>
      </c>
      <c r="CP277" s="399">
        <f t="shared" si="150"/>
        <v>0</v>
      </c>
      <c r="CQ277" s="423">
        <f t="shared" si="151"/>
        <v>0</v>
      </c>
      <c r="CS277" s="394" t="e">
        <f t="shared" si="152"/>
        <v>#DIV/0!</v>
      </c>
    </row>
    <row r="278" spans="3:97">
      <c r="C278" s="107"/>
      <c r="D278" s="395"/>
      <c r="E278" s="84"/>
      <c r="F278" s="84"/>
      <c r="G278" s="389"/>
      <c r="H278" s="390"/>
      <c r="I278" s="390"/>
      <c r="J278" s="390"/>
      <c r="K278" s="390"/>
      <c r="L278" s="390"/>
      <c r="M278" s="390"/>
      <c r="N278" s="390"/>
      <c r="O278" s="390"/>
      <c r="P278" s="390"/>
      <c r="Q278" s="390"/>
      <c r="R278" s="390"/>
      <c r="S278" s="390"/>
      <c r="T278" s="390"/>
      <c r="U278" s="390"/>
      <c r="V278" s="390"/>
      <c r="W278" s="390"/>
      <c r="X278" s="390"/>
      <c r="Y278" s="390"/>
      <c r="Z278" s="390"/>
      <c r="AA278" s="390"/>
      <c r="AB278" s="390"/>
      <c r="AC278" s="390"/>
      <c r="AD278" s="390"/>
      <c r="AE278" s="390"/>
      <c r="AF278" s="390"/>
      <c r="AG278" s="390"/>
      <c r="AH278" s="390"/>
      <c r="AI278" s="391"/>
      <c r="AK278" s="437"/>
      <c r="AL278" s="437"/>
      <c r="AM278" s="437"/>
      <c r="AN278" s="437"/>
      <c r="AO278" s="437"/>
      <c r="AP278" s="437"/>
      <c r="AQ278" s="437"/>
      <c r="AR278" s="437"/>
      <c r="AS278" s="437"/>
      <c r="AT278" s="437"/>
      <c r="AU278" s="437"/>
      <c r="AV278" s="437"/>
      <c r="AW278" s="437"/>
      <c r="AX278" s="437"/>
      <c r="AY278" s="437"/>
      <c r="AZ278" s="437"/>
      <c r="BA278" s="437"/>
      <c r="BB278" s="437"/>
      <c r="BC278" s="437"/>
      <c r="BD278" s="437"/>
      <c r="BE278" s="437"/>
      <c r="BF278" s="437"/>
      <c r="BG278" s="437"/>
      <c r="BH278" s="437"/>
      <c r="BI278" s="437"/>
      <c r="BJ278" s="437"/>
      <c r="BK278" s="437"/>
      <c r="BL278" s="437"/>
      <c r="BM278" s="393"/>
      <c r="BO278" s="399">
        <f t="shared" si="123"/>
        <v>0</v>
      </c>
      <c r="BP278" s="399">
        <f t="shared" si="124"/>
        <v>0</v>
      </c>
      <c r="BQ278" s="399">
        <f t="shared" si="125"/>
        <v>0</v>
      </c>
      <c r="BR278" s="399">
        <f t="shared" si="126"/>
        <v>0</v>
      </c>
      <c r="BS278" s="399">
        <f t="shared" si="127"/>
        <v>0</v>
      </c>
      <c r="BT278" s="399">
        <f t="shared" si="128"/>
        <v>0</v>
      </c>
      <c r="BU278" s="399">
        <f t="shared" si="129"/>
        <v>0</v>
      </c>
      <c r="BV278" s="399">
        <f t="shared" si="130"/>
        <v>0</v>
      </c>
      <c r="BW278" s="399">
        <f t="shared" si="131"/>
        <v>0</v>
      </c>
      <c r="BX278" s="399">
        <f t="shared" si="132"/>
        <v>0</v>
      </c>
      <c r="BY278" s="399">
        <f t="shared" si="133"/>
        <v>0</v>
      </c>
      <c r="BZ278" s="399">
        <f t="shared" si="134"/>
        <v>0</v>
      </c>
      <c r="CA278" s="399">
        <f t="shared" si="135"/>
        <v>0</v>
      </c>
      <c r="CB278" s="399">
        <f t="shared" si="136"/>
        <v>0</v>
      </c>
      <c r="CC278" s="399">
        <f t="shared" si="137"/>
        <v>0</v>
      </c>
      <c r="CD278" s="399">
        <f t="shared" si="138"/>
        <v>0</v>
      </c>
      <c r="CE278" s="399">
        <f t="shared" si="139"/>
        <v>0</v>
      </c>
      <c r="CF278" s="399">
        <f t="shared" si="140"/>
        <v>0</v>
      </c>
      <c r="CG278" s="399">
        <f t="shared" si="141"/>
        <v>0</v>
      </c>
      <c r="CH278" s="399">
        <f t="shared" si="142"/>
        <v>0</v>
      </c>
      <c r="CI278" s="399">
        <f t="shared" si="143"/>
        <v>0</v>
      </c>
      <c r="CJ278" s="399">
        <f t="shared" si="144"/>
        <v>0</v>
      </c>
      <c r="CK278" s="399">
        <f t="shared" si="145"/>
        <v>0</v>
      </c>
      <c r="CL278" s="399">
        <f t="shared" si="146"/>
        <v>0</v>
      </c>
      <c r="CM278" s="399">
        <f t="shared" si="147"/>
        <v>0</v>
      </c>
      <c r="CN278" s="399">
        <f t="shared" si="148"/>
        <v>0</v>
      </c>
      <c r="CO278" s="399">
        <f t="shared" si="149"/>
        <v>0</v>
      </c>
      <c r="CP278" s="399">
        <f t="shared" si="150"/>
        <v>0</v>
      </c>
      <c r="CQ278" s="423">
        <f t="shared" si="151"/>
        <v>0</v>
      </c>
      <c r="CS278" s="394" t="e">
        <f t="shared" si="152"/>
        <v>#DIV/0!</v>
      </c>
    </row>
    <row r="279" spans="3:97">
      <c r="C279" s="107"/>
      <c r="D279" s="395"/>
      <c r="E279" s="84"/>
      <c r="F279" s="84"/>
      <c r="G279" s="389"/>
      <c r="H279" s="390"/>
      <c r="I279" s="390"/>
      <c r="J279" s="390"/>
      <c r="K279" s="390"/>
      <c r="L279" s="390"/>
      <c r="M279" s="390"/>
      <c r="N279" s="390"/>
      <c r="O279" s="390"/>
      <c r="P279" s="390"/>
      <c r="Q279" s="390"/>
      <c r="R279" s="390"/>
      <c r="S279" s="390"/>
      <c r="T279" s="390"/>
      <c r="U279" s="390"/>
      <c r="V279" s="390"/>
      <c r="W279" s="390"/>
      <c r="X279" s="390"/>
      <c r="Y279" s="390"/>
      <c r="Z279" s="390"/>
      <c r="AA279" s="390"/>
      <c r="AB279" s="390"/>
      <c r="AC279" s="390"/>
      <c r="AD279" s="390"/>
      <c r="AE279" s="390"/>
      <c r="AF279" s="390"/>
      <c r="AG279" s="390"/>
      <c r="AH279" s="390"/>
      <c r="AI279" s="391"/>
      <c r="AK279" s="437"/>
      <c r="AL279" s="437"/>
      <c r="AM279" s="437"/>
      <c r="AN279" s="437"/>
      <c r="AO279" s="437"/>
      <c r="AP279" s="437"/>
      <c r="AQ279" s="437"/>
      <c r="AR279" s="437"/>
      <c r="AS279" s="437"/>
      <c r="AT279" s="437"/>
      <c r="AU279" s="437"/>
      <c r="AV279" s="437"/>
      <c r="AW279" s="437"/>
      <c r="AX279" s="437"/>
      <c r="AY279" s="437"/>
      <c r="AZ279" s="437"/>
      <c r="BA279" s="437"/>
      <c r="BB279" s="437"/>
      <c r="BC279" s="437"/>
      <c r="BD279" s="437"/>
      <c r="BE279" s="437"/>
      <c r="BF279" s="437"/>
      <c r="BG279" s="437"/>
      <c r="BH279" s="437"/>
      <c r="BI279" s="437"/>
      <c r="BJ279" s="437"/>
      <c r="BK279" s="437"/>
      <c r="BL279" s="437"/>
      <c r="BM279" s="393"/>
      <c r="BO279" s="399">
        <f t="shared" si="123"/>
        <v>0</v>
      </c>
      <c r="BP279" s="399">
        <f t="shared" si="124"/>
        <v>0</v>
      </c>
      <c r="BQ279" s="399">
        <f t="shared" si="125"/>
        <v>0</v>
      </c>
      <c r="BR279" s="399">
        <f t="shared" si="126"/>
        <v>0</v>
      </c>
      <c r="BS279" s="399">
        <f t="shared" si="127"/>
        <v>0</v>
      </c>
      <c r="BT279" s="399">
        <f t="shared" si="128"/>
        <v>0</v>
      </c>
      <c r="BU279" s="399">
        <f t="shared" si="129"/>
        <v>0</v>
      </c>
      <c r="BV279" s="399">
        <f t="shared" si="130"/>
        <v>0</v>
      </c>
      <c r="BW279" s="399">
        <f t="shared" si="131"/>
        <v>0</v>
      </c>
      <c r="BX279" s="399">
        <f t="shared" si="132"/>
        <v>0</v>
      </c>
      <c r="BY279" s="399">
        <f t="shared" si="133"/>
        <v>0</v>
      </c>
      <c r="BZ279" s="399">
        <f t="shared" si="134"/>
        <v>0</v>
      </c>
      <c r="CA279" s="399">
        <f t="shared" si="135"/>
        <v>0</v>
      </c>
      <c r="CB279" s="399">
        <f t="shared" si="136"/>
        <v>0</v>
      </c>
      <c r="CC279" s="399">
        <f t="shared" si="137"/>
        <v>0</v>
      </c>
      <c r="CD279" s="399">
        <f t="shared" si="138"/>
        <v>0</v>
      </c>
      <c r="CE279" s="399">
        <f t="shared" si="139"/>
        <v>0</v>
      </c>
      <c r="CF279" s="399">
        <f t="shared" si="140"/>
        <v>0</v>
      </c>
      <c r="CG279" s="399">
        <f t="shared" si="141"/>
        <v>0</v>
      </c>
      <c r="CH279" s="399">
        <f t="shared" si="142"/>
        <v>0</v>
      </c>
      <c r="CI279" s="399">
        <f t="shared" si="143"/>
        <v>0</v>
      </c>
      <c r="CJ279" s="399">
        <f t="shared" si="144"/>
        <v>0</v>
      </c>
      <c r="CK279" s="399">
        <f t="shared" si="145"/>
        <v>0</v>
      </c>
      <c r="CL279" s="399">
        <f t="shared" si="146"/>
        <v>0</v>
      </c>
      <c r="CM279" s="399">
        <f t="shared" si="147"/>
        <v>0</v>
      </c>
      <c r="CN279" s="399">
        <f t="shared" si="148"/>
        <v>0</v>
      </c>
      <c r="CO279" s="399">
        <f t="shared" si="149"/>
        <v>0</v>
      </c>
      <c r="CP279" s="399">
        <f t="shared" si="150"/>
        <v>0</v>
      </c>
      <c r="CQ279" s="423">
        <f t="shared" si="151"/>
        <v>0</v>
      </c>
      <c r="CS279" s="394" t="e">
        <f t="shared" si="152"/>
        <v>#DIV/0!</v>
      </c>
    </row>
    <row r="280" spans="3:97">
      <c r="C280" s="107"/>
      <c r="D280" s="395"/>
      <c r="E280" s="84"/>
      <c r="F280" s="84"/>
      <c r="G280" s="389"/>
      <c r="H280" s="390"/>
      <c r="I280" s="390"/>
      <c r="J280" s="390"/>
      <c r="K280" s="390"/>
      <c r="L280" s="390"/>
      <c r="M280" s="390"/>
      <c r="N280" s="390"/>
      <c r="O280" s="390"/>
      <c r="P280" s="390"/>
      <c r="Q280" s="390"/>
      <c r="R280" s="390"/>
      <c r="S280" s="390"/>
      <c r="T280" s="390"/>
      <c r="U280" s="390"/>
      <c r="V280" s="390"/>
      <c r="W280" s="390"/>
      <c r="X280" s="390"/>
      <c r="Y280" s="390"/>
      <c r="Z280" s="390"/>
      <c r="AA280" s="390"/>
      <c r="AB280" s="390"/>
      <c r="AC280" s="390"/>
      <c r="AD280" s="390"/>
      <c r="AE280" s="390"/>
      <c r="AF280" s="390"/>
      <c r="AG280" s="390"/>
      <c r="AH280" s="390"/>
      <c r="AI280" s="391"/>
      <c r="AK280" s="437"/>
      <c r="AL280" s="437"/>
      <c r="AM280" s="437"/>
      <c r="AN280" s="437"/>
      <c r="AO280" s="437"/>
      <c r="AP280" s="437"/>
      <c r="AQ280" s="437"/>
      <c r="AR280" s="437"/>
      <c r="AS280" s="437"/>
      <c r="AT280" s="437"/>
      <c r="AU280" s="437"/>
      <c r="AV280" s="437"/>
      <c r="AW280" s="437"/>
      <c r="AX280" s="437"/>
      <c r="AY280" s="437"/>
      <c r="AZ280" s="437"/>
      <c r="BA280" s="437"/>
      <c r="BB280" s="437"/>
      <c r="BC280" s="437"/>
      <c r="BD280" s="437"/>
      <c r="BE280" s="437"/>
      <c r="BF280" s="437"/>
      <c r="BG280" s="437"/>
      <c r="BH280" s="437"/>
      <c r="BI280" s="437"/>
      <c r="BJ280" s="437"/>
      <c r="BK280" s="437"/>
      <c r="BL280" s="437"/>
      <c r="BM280" s="393"/>
      <c r="BO280" s="399">
        <f t="shared" si="123"/>
        <v>0</v>
      </c>
      <c r="BP280" s="399">
        <f t="shared" si="124"/>
        <v>0</v>
      </c>
      <c r="BQ280" s="399">
        <f t="shared" si="125"/>
        <v>0</v>
      </c>
      <c r="BR280" s="399">
        <f t="shared" si="126"/>
        <v>0</v>
      </c>
      <c r="BS280" s="399">
        <f t="shared" si="127"/>
        <v>0</v>
      </c>
      <c r="BT280" s="399">
        <f t="shared" si="128"/>
        <v>0</v>
      </c>
      <c r="BU280" s="399">
        <f t="shared" si="129"/>
        <v>0</v>
      </c>
      <c r="BV280" s="399">
        <f t="shared" si="130"/>
        <v>0</v>
      </c>
      <c r="BW280" s="399">
        <f t="shared" si="131"/>
        <v>0</v>
      </c>
      <c r="BX280" s="399">
        <f t="shared" si="132"/>
        <v>0</v>
      </c>
      <c r="BY280" s="399">
        <f t="shared" si="133"/>
        <v>0</v>
      </c>
      <c r="BZ280" s="399">
        <f t="shared" si="134"/>
        <v>0</v>
      </c>
      <c r="CA280" s="399">
        <f t="shared" si="135"/>
        <v>0</v>
      </c>
      <c r="CB280" s="399">
        <f t="shared" si="136"/>
        <v>0</v>
      </c>
      <c r="CC280" s="399">
        <f t="shared" si="137"/>
        <v>0</v>
      </c>
      <c r="CD280" s="399">
        <f t="shared" si="138"/>
        <v>0</v>
      </c>
      <c r="CE280" s="399">
        <f t="shared" si="139"/>
        <v>0</v>
      </c>
      <c r="CF280" s="399">
        <f t="shared" si="140"/>
        <v>0</v>
      </c>
      <c r="CG280" s="399">
        <f t="shared" si="141"/>
        <v>0</v>
      </c>
      <c r="CH280" s="399">
        <f t="shared" si="142"/>
        <v>0</v>
      </c>
      <c r="CI280" s="399">
        <f t="shared" si="143"/>
        <v>0</v>
      </c>
      <c r="CJ280" s="399">
        <f t="shared" si="144"/>
        <v>0</v>
      </c>
      <c r="CK280" s="399">
        <f t="shared" si="145"/>
        <v>0</v>
      </c>
      <c r="CL280" s="399">
        <f t="shared" si="146"/>
        <v>0</v>
      </c>
      <c r="CM280" s="399">
        <f t="shared" si="147"/>
        <v>0</v>
      </c>
      <c r="CN280" s="399">
        <f t="shared" si="148"/>
        <v>0</v>
      </c>
      <c r="CO280" s="399">
        <f t="shared" si="149"/>
        <v>0</v>
      </c>
      <c r="CP280" s="399">
        <f t="shared" si="150"/>
        <v>0</v>
      </c>
      <c r="CQ280" s="423">
        <f t="shared" si="151"/>
        <v>0</v>
      </c>
      <c r="CS280" s="394" t="e">
        <f t="shared" si="152"/>
        <v>#DIV/0!</v>
      </c>
    </row>
    <row r="281" spans="3:97">
      <c r="C281" s="107"/>
      <c r="D281" s="395"/>
      <c r="E281" s="84"/>
      <c r="F281" s="84"/>
      <c r="G281" s="389"/>
      <c r="H281" s="390"/>
      <c r="I281" s="390"/>
      <c r="J281" s="390"/>
      <c r="K281" s="390"/>
      <c r="L281" s="390"/>
      <c r="M281" s="390"/>
      <c r="N281" s="390"/>
      <c r="O281" s="390"/>
      <c r="P281" s="390"/>
      <c r="Q281" s="390"/>
      <c r="R281" s="390"/>
      <c r="S281" s="390"/>
      <c r="T281" s="390"/>
      <c r="U281" s="390"/>
      <c r="V281" s="390"/>
      <c r="W281" s="390"/>
      <c r="X281" s="390"/>
      <c r="Y281" s="390"/>
      <c r="Z281" s="390"/>
      <c r="AA281" s="390"/>
      <c r="AB281" s="390"/>
      <c r="AC281" s="390"/>
      <c r="AD281" s="390"/>
      <c r="AE281" s="390"/>
      <c r="AF281" s="390"/>
      <c r="AG281" s="390"/>
      <c r="AH281" s="390"/>
      <c r="AI281" s="391"/>
      <c r="AK281" s="437"/>
      <c r="AL281" s="437"/>
      <c r="AM281" s="437"/>
      <c r="AN281" s="437"/>
      <c r="AO281" s="437"/>
      <c r="AP281" s="437"/>
      <c r="AQ281" s="437"/>
      <c r="AR281" s="437"/>
      <c r="AS281" s="437"/>
      <c r="AT281" s="437"/>
      <c r="AU281" s="437"/>
      <c r="AV281" s="437"/>
      <c r="AW281" s="437"/>
      <c r="AX281" s="437"/>
      <c r="AY281" s="437"/>
      <c r="AZ281" s="437"/>
      <c r="BA281" s="437"/>
      <c r="BB281" s="437"/>
      <c r="BC281" s="437"/>
      <c r="BD281" s="437"/>
      <c r="BE281" s="437"/>
      <c r="BF281" s="437"/>
      <c r="BG281" s="437"/>
      <c r="BH281" s="437"/>
      <c r="BI281" s="437"/>
      <c r="BJ281" s="437"/>
      <c r="BK281" s="437"/>
      <c r="BL281" s="437"/>
      <c r="BM281" s="393"/>
      <c r="BO281" s="399">
        <f t="shared" si="123"/>
        <v>0</v>
      </c>
      <c r="BP281" s="399">
        <f t="shared" si="124"/>
        <v>0</v>
      </c>
      <c r="BQ281" s="399">
        <f t="shared" si="125"/>
        <v>0</v>
      </c>
      <c r="BR281" s="399">
        <f t="shared" si="126"/>
        <v>0</v>
      </c>
      <c r="BS281" s="399">
        <f t="shared" si="127"/>
        <v>0</v>
      </c>
      <c r="BT281" s="399">
        <f t="shared" si="128"/>
        <v>0</v>
      </c>
      <c r="BU281" s="399">
        <f t="shared" si="129"/>
        <v>0</v>
      </c>
      <c r="BV281" s="399">
        <f t="shared" si="130"/>
        <v>0</v>
      </c>
      <c r="BW281" s="399">
        <f t="shared" si="131"/>
        <v>0</v>
      </c>
      <c r="BX281" s="399">
        <f t="shared" si="132"/>
        <v>0</v>
      </c>
      <c r="BY281" s="399">
        <f t="shared" si="133"/>
        <v>0</v>
      </c>
      <c r="BZ281" s="399">
        <f t="shared" si="134"/>
        <v>0</v>
      </c>
      <c r="CA281" s="399">
        <f t="shared" si="135"/>
        <v>0</v>
      </c>
      <c r="CB281" s="399">
        <f t="shared" si="136"/>
        <v>0</v>
      </c>
      <c r="CC281" s="399">
        <f t="shared" si="137"/>
        <v>0</v>
      </c>
      <c r="CD281" s="399">
        <f t="shared" si="138"/>
        <v>0</v>
      </c>
      <c r="CE281" s="399">
        <f t="shared" si="139"/>
        <v>0</v>
      </c>
      <c r="CF281" s="399">
        <f t="shared" si="140"/>
        <v>0</v>
      </c>
      <c r="CG281" s="399">
        <f t="shared" si="141"/>
        <v>0</v>
      </c>
      <c r="CH281" s="399">
        <f t="shared" si="142"/>
        <v>0</v>
      </c>
      <c r="CI281" s="399">
        <f t="shared" si="143"/>
        <v>0</v>
      </c>
      <c r="CJ281" s="399">
        <f t="shared" si="144"/>
        <v>0</v>
      </c>
      <c r="CK281" s="399">
        <f t="shared" si="145"/>
        <v>0</v>
      </c>
      <c r="CL281" s="399">
        <f t="shared" si="146"/>
        <v>0</v>
      </c>
      <c r="CM281" s="399">
        <f t="shared" si="147"/>
        <v>0</v>
      </c>
      <c r="CN281" s="399">
        <f t="shared" si="148"/>
        <v>0</v>
      </c>
      <c r="CO281" s="399">
        <f t="shared" si="149"/>
        <v>0</v>
      </c>
      <c r="CP281" s="399">
        <f t="shared" si="150"/>
        <v>0</v>
      </c>
      <c r="CQ281" s="423">
        <f t="shared" si="151"/>
        <v>0</v>
      </c>
      <c r="CS281" s="394" t="e">
        <f t="shared" si="152"/>
        <v>#DIV/0!</v>
      </c>
    </row>
    <row r="282" spans="3:97">
      <c r="C282" s="107"/>
      <c r="D282" s="395"/>
      <c r="E282" s="84"/>
      <c r="F282" s="84"/>
      <c r="G282" s="389"/>
      <c r="H282" s="390"/>
      <c r="I282" s="390"/>
      <c r="J282" s="390"/>
      <c r="K282" s="390"/>
      <c r="L282" s="390"/>
      <c r="M282" s="390"/>
      <c r="N282" s="390"/>
      <c r="O282" s="390"/>
      <c r="P282" s="390"/>
      <c r="Q282" s="390"/>
      <c r="R282" s="390"/>
      <c r="S282" s="390"/>
      <c r="T282" s="390"/>
      <c r="U282" s="390"/>
      <c r="V282" s="390"/>
      <c r="W282" s="390"/>
      <c r="X282" s="390"/>
      <c r="Y282" s="390"/>
      <c r="Z282" s="390"/>
      <c r="AA282" s="390"/>
      <c r="AB282" s="390"/>
      <c r="AC282" s="390"/>
      <c r="AD282" s="390"/>
      <c r="AE282" s="390"/>
      <c r="AF282" s="390"/>
      <c r="AG282" s="390"/>
      <c r="AH282" s="390"/>
      <c r="AI282" s="391"/>
      <c r="AK282" s="437"/>
      <c r="AL282" s="437"/>
      <c r="AM282" s="437"/>
      <c r="AN282" s="437"/>
      <c r="AO282" s="437"/>
      <c r="AP282" s="437"/>
      <c r="AQ282" s="437"/>
      <c r="AR282" s="437"/>
      <c r="AS282" s="437"/>
      <c r="AT282" s="437"/>
      <c r="AU282" s="437"/>
      <c r="AV282" s="437"/>
      <c r="AW282" s="437"/>
      <c r="AX282" s="437"/>
      <c r="AY282" s="437"/>
      <c r="AZ282" s="437"/>
      <c r="BA282" s="437"/>
      <c r="BB282" s="437"/>
      <c r="BC282" s="437"/>
      <c r="BD282" s="437"/>
      <c r="BE282" s="437"/>
      <c r="BF282" s="437"/>
      <c r="BG282" s="437"/>
      <c r="BH282" s="437"/>
      <c r="BI282" s="437"/>
      <c r="BJ282" s="437"/>
      <c r="BK282" s="437"/>
      <c r="BL282" s="437"/>
      <c r="BM282" s="393"/>
      <c r="BO282" s="399">
        <f t="shared" si="123"/>
        <v>0</v>
      </c>
      <c r="BP282" s="399">
        <f t="shared" si="124"/>
        <v>0</v>
      </c>
      <c r="BQ282" s="399">
        <f t="shared" si="125"/>
        <v>0</v>
      </c>
      <c r="BR282" s="399">
        <f t="shared" si="126"/>
        <v>0</v>
      </c>
      <c r="BS282" s="399">
        <f t="shared" si="127"/>
        <v>0</v>
      </c>
      <c r="BT282" s="399">
        <f t="shared" si="128"/>
        <v>0</v>
      </c>
      <c r="BU282" s="399">
        <f t="shared" si="129"/>
        <v>0</v>
      </c>
      <c r="BV282" s="399">
        <f t="shared" si="130"/>
        <v>0</v>
      </c>
      <c r="BW282" s="399">
        <f t="shared" si="131"/>
        <v>0</v>
      </c>
      <c r="BX282" s="399">
        <f t="shared" si="132"/>
        <v>0</v>
      </c>
      <c r="BY282" s="399">
        <f t="shared" si="133"/>
        <v>0</v>
      </c>
      <c r="BZ282" s="399">
        <f t="shared" si="134"/>
        <v>0</v>
      </c>
      <c r="CA282" s="399">
        <f t="shared" si="135"/>
        <v>0</v>
      </c>
      <c r="CB282" s="399">
        <f t="shared" si="136"/>
        <v>0</v>
      </c>
      <c r="CC282" s="399">
        <f t="shared" si="137"/>
        <v>0</v>
      </c>
      <c r="CD282" s="399">
        <f t="shared" si="138"/>
        <v>0</v>
      </c>
      <c r="CE282" s="399">
        <f t="shared" si="139"/>
        <v>0</v>
      </c>
      <c r="CF282" s="399">
        <f t="shared" si="140"/>
        <v>0</v>
      </c>
      <c r="CG282" s="399">
        <f t="shared" si="141"/>
        <v>0</v>
      </c>
      <c r="CH282" s="399">
        <f t="shared" si="142"/>
        <v>0</v>
      </c>
      <c r="CI282" s="399">
        <f t="shared" si="143"/>
        <v>0</v>
      </c>
      <c r="CJ282" s="399">
        <f t="shared" si="144"/>
        <v>0</v>
      </c>
      <c r="CK282" s="399">
        <f t="shared" si="145"/>
        <v>0</v>
      </c>
      <c r="CL282" s="399">
        <f t="shared" si="146"/>
        <v>0</v>
      </c>
      <c r="CM282" s="399">
        <f t="shared" si="147"/>
        <v>0</v>
      </c>
      <c r="CN282" s="399">
        <f t="shared" si="148"/>
        <v>0</v>
      </c>
      <c r="CO282" s="399">
        <f t="shared" si="149"/>
        <v>0</v>
      </c>
      <c r="CP282" s="399">
        <f t="shared" si="150"/>
        <v>0</v>
      </c>
      <c r="CQ282" s="423">
        <f t="shared" si="151"/>
        <v>0</v>
      </c>
      <c r="CS282" s="394" t="e">
        <f t="shared" si="152"/>
        <v>#DIV/0!</v>
      </c>
    </row>
    <row r="283" spans="3:97">
      <c r="C283" s="107"/>
      <c r="D283" s="395"/>
      <c r="E283" s="84"/>
      <c r="F283" s="84"/>
      <c r="G283" s="389"/>
      <c r="H283" s="390"/>
      <c r="I283" s="390"/>
      <c r="J283" s="390"/>
      <c r="K283" s="390"/>
      <c r="L283" s="390"/>
      <c r="M283" s="390"/>
      <c r="N283" s="390"/>
      <c r="O283" s="390"/>
      <c r="P283" s="390"/>
      <c r="Q283" s="390"/>
      <c r="R283" s="390"/>
      <c r="S283" s="390"/>
      <c r="T283" s="390"/>
      <c r="U283" s="390"/>
      <c r="V283" s="390"/>
      <c r="W283" s="390"/>
      <c r="X283" s="390"/>
      <c r="Y283" s="390"/>
      <c r="Z283" s="390"/>
      <c r="AA283" s="390"/>
      <c r="AB283" s="390"/>
      <c r="AC283" s="390"/>
      <c r="AD283" s="390"/>
      <c r="AE283" s="390"/>
      <c r="AF283" s="390"/>
      <c r="AG283" s="390"/>
      <c r="AH283" s="390"/>
      <c r="AI283" s="391"/>
      <c r="AK283" s="437"/>
      <c r="AL283" s="437"/>
      <c r="AM283" s="437"/>
      <c r="AN283" s="437"/>
      <c r="AO283" s="437"/>
      <c r="AP283" s="437"/>
      <c r="AQ283" s="437"/>
      <c r="AR283" s="437"/>
      <c r="AS283" s="437"/>
      <c r="AT283" s="437"/>
      <c r="AU283" s="437"/>
      <c r="AV283" s="437"/>
      <c r="AW283" s="437"/>
      <c r="AX283" s="437"/>
      <c r="AY283" s="437"/>
      <c r="AZ283" s="437"/>
      <c r="BA283" s="437"/>
      <c r="BB283" s="437"/>
      <c r="BC283" s="437"/>
      <c r="BD283" s="437"/>
      <c r="BE283" s="437"/>
      <c r="BF283" s="437"/>
      <c r="BG283" s="437"/>
      <c r="BH283" s="437"/>
      <c r="BI283" s="437"/>
      <c r="BJ283" s="437"/>
      <c r="BK283" s="437"/>
      <c r="BL283" s="437"/>
      <c r="BM283" s="393"/>
      <c r="BO283" s="399">
        <f t="shared" si="123"/>
        <v>0</v>
      </c>
      <c r="BP283" s="399">
        <f t="shared" si="124"/>
        <v>0</v>
      </c>
      <c r="BQ283" s="399">
        <f t="shared" si="125"/>
        <v>0</v>
      </c>
      <c r="BR283" s="399">
        <f t="shared" si="126"/>
        <v>0</v>
      </c>
      <c r="BS283" s="399">
        <f t="shared" si="127"/>
        <v>0</v>
      </c>
      <c r="BT283" s="399">
        <f t="shared" si="128"/>
        <v>0</v>
      </c>
      <c r="BU283" s="399">
        <f t="shared" si="129"/>
        <v>0</v>
      </c>
      <c r="BV283" s="399">
        <f t="shared" si="130"/>
        <v>0</v>
      </c>
      <c r="BW283" s="399">
        <f t="shared" si="131"/>
        <v>0</v>
      </c>
      <c r="BX283" s="399">
        <f t="shared" si="132"/>
        <v>0</v>
      </c>
      <c r="BY283" s="399">
        <f t="shared" si="133"/>
        <v>0</v>
      </c>
      <c r="BZ283" s="399">
        <f t="shared" si="134"/>
        <v>0</v>
      </c>
      <c r="CA283" s="399">
        <f t="shared" si="135"/>
        <v>0</v>
      </c>
      <c r="CB283" s="399">
        <f t="shared" si="136"/>
        <v>0</v>
      </c>
      <c r="CC283" s="399">
        <f t="shared" si="137"/>
        <v>0</v>
      </c>
      <c r="CD283" s="399">
        <f t="shared" si="138"/>
        <v>0</v>
      </c>
      <c r="CE283" s="399">
        <f t="shared" si="139"/>
        <v>0</v>
      </c>
      <c r="CF283" s="399">
        <f t="shared" si="140"/>
        <v>0</v>
      </c>
      <c r="CG283" s="399">
        <f t="shared" si="141"/>
        <v>0</v>
      </c>
      <c r="CH283" s="399">
        <f t="shared" si="142"/>
        <v>0</v>
      </c>
      <c r="CI283" s="399">
        <f t="shared" si="143"/>
        <v>0</v>
      </c>
      <c r="CJ283" s="399">
        <f t="shared" si="144"/>
        <v>0</v>
      </c>
      <c r="CK283" s="399">
        <f t="shared" si="145"/>
        <v>0</v>
      </c>
      <c r="CL283" s="399">
        <f t="shared" si="146"/>
        <v>0</v>
      </c>
      <c r="CM283" s="399">
        <f t="shared" si="147"/>
        <v>0</v>
      </c>
      <c r="CN283" s="399">
        <f t="shared" si="148"/>
        <v>0</v>
      </c>
      <c r="CO283" s="399">
        <f t="shared" si="149"/>
        <v>0</v>
      </c>
      <c r="CP283" s="399">
        <f t="shared" si="150"/>
        <v>0</v>
      </c>
      <c r="CQ283" s="423">
        <f t="shared" si="151"/>
        <v>0</v>
      </c>
      <c r="CS283" s="394" t="e">
        <f t="shared" si="152"/>
        <v>#DIV/0!</v>
      </c>
    </row>
    <row r="284" spans="3:97">
      <c r="C284" s="107"/>
      <c r="D284" s="395"/>
      <c r="E284" s="84"/>
      <c r="F284" s="84"/>
      <c r="G284" s="389"/>
      <c r="H284" s="390"/>
      <c r="I284" s="390"/>
      <c r="J284" s="390"/>
      <c r="K284" s="390"/>
      <c r="L284" s="390"/>
      <c r="M284" s="390"/>
      <c r="N284" s="390"/>
      <c r="O284" s="390"/>
      <c r="P284" s="390"/>
      <c r="Q284" s="390"/>
      <c r="R284" s="390"/>
      <c r="S284" s="390"/>
      <c r="T284" s="390"/>
      <c r="U284" s="390"/>
      <c r="V284" s="390"/>
      <c r="W284" s="390"/>
      <c r="X284" s="390"/>
      <c r="Y284" s="390"/>
      <c r="Z284" s="390"/>
      <c r="AA284" s="390"/>
      <c r="AB284" s="390"/>
      <c r="AC284" s="390"/>
      <c r="AD284" s="390"/>
      <c r="AE284" s="390"/>
      <c r="AF284" s="390"/>
      <c r="AG284" s="390"/>
      <c r="AH284" s="390"/>
      <c r="AI284" s="391"/>
      <c r="AK284" s="437"/>
      <c r="AL284" s="437"/>
      <c r="AM284" s="437"/>
      <c r="AN284" s="437"/>
      <c r="AO284" s="437"/>
      <c r="AP284" s="437"/>
      <c r="AQ284" s="437"/>
      <c r="AR284" s="437"/>
      <c r="AS284" s="437"/>
      <c r="AT284" s="437"/>
      <c r="AU284" s="437"/>
      <c r="AV284" s="437"/>
      <c r="AW284" s="437"/>
      <c r="AX284" s="437"/>
      <c r="AY284" s="437"/>
      <c r="AZ284" s="437"/>
      <c r="BA284" s="437"/>
      <c r="BB284" s="437"/>
      <c r="BC284" s="437"/>
      <c r="BD284" s="437"/>
      <c r="BE284" s="437"/>
      <c r="BF284" s="437"/>
      <c r="BG284" s="437"/>
      <c r="BH284" s="437"/>
      <c r="BI284" s="437"/>
      <c r="BJ284" s="437"/>
      <c r="BK284" s="437"/>
      <c r="BL284" s="437"/>
      <c r="BM284" s="393"/>
      <c r="BO284" s="399">
        <f t="shared" si="123"/>
        <v>0</v>
      </c>
      <c r="BP284" s="399">
        <f t="shared" si="124"/>
        <v>0</v>
      </c>
      <c r="BQ284" s="399">
        <f t="shared" si="125"/>
        <v>0</v>
      </c>
      <c r="BR284" s="399">
        <f t="shared" si="126"/>
        <v>0</v>
      </c>
      <c r="BS284" s="399">
        <f t="shared" si="127"/>
        <v>0</v>
      </c>
      <c r="BT284" s="399">
        <f t="shared" si="128"/>
        <v>0</v>
      </c>
      <c r="BU284" s="399">
        <f t="shared" si="129"/>
        <v>0</v>
      </c>
      <c r="BV284" s="399">
        <f t="shared" si="130"/>
        <v>0</v>
      </c>
      <c r="BW284" s="399">
        <f t="shared" si="131"/>
        <v>0</v>
      </c>
      <c r="BX284" s="399">
        <f t="shared" si="132"/>
        <v>0</v>
      </c>
      <c r="BY284" s="399">
        <f t="shared" si="133"/>
        <v>0</v>
      </c>
      <c r="BZ284" s="399">
        <f t="shared" si="134"/>
        <v>0</v>
      </c>
      <c r="CA284" s="399">
        <f t="shared" si="135"/>
        <v>0</v>
      </c>
      <c r="CB284" s="399">
        <f t="shared" si="136"/>
        <v>0</v>
      </c>
      <c r="CC284" s="399">
        <f t="shared" si="137"/>
        <v>0</v>
      </c>
      <c r="CD284" s="399">
        <f t="shared" si="138"/>
        <v>0</v>
      </c>
      <c r="CE284" s="399">
        <f t="shared" si="139"/>
        <v>0</v>
      </c>
      <c r="CF284" s="399">
        <f t="shared" si="140"/>
        <v>0</v>
      </c>
      <c r="CG284" s="399">
        <f t="shared" si="141"/>
        <v>0</v>
      </c>
      <c r="CH284" s="399">
        <f t="shared" si="142"/>
        <v>0</v>
      </c>
      <c r="CI284" s="399">
        <f t="shared" si="143"/>
        <v>0</v>
      </c>
      <c r="CJ284" s="399">
        <f t="shared" si="144"/>
        <v>0</v>
      </c>
      <c r="CK284" s="399">
        <f t="shared" si="145"/>
        <v>0</v>
      </c>
      <c r="CL284" s="399">
        <f t="shared" si="146"/>
        <v>0</v>
      </c>
      <c r="CM284" s="399">
        <f t="shared" si="147"/>
        <v>0</v>
      </c>
      <c r="CN284" s="399">
        <f t="shared" si="148"/>
        <v>0</v>
      </c>
      <c r="CO284" s="399">
        <f t="shared" si="149"/>
        <v>0</v>
      </c>
      <c r="CP284" s="399">
        <f t="shared" si="150"/>
        <v>0</v>
      </c>
      <c r="CQ284" s="423">
        <f t="shared" si="151"/>
        <v>0</v>
      </c>
      <c r="CS284" s="394" t="e">
        <f t="shared" si="152"/>
        <v>#DIV/0!</v>
      </c>
    </row>
    <row r="285" spans="3:97">
      <c r="C285" s="107"/>
      <c r="D285" s="395"/>
      <c r="E285" s="84"/>
      <c r="F285" s="84"/>
      <c r="G285" s="389"/>
      <c r="H285" s="390"/>
      <c r="I285" s="390"/>
      <c r="J285" s="390"/>
      <c r="K285" s="390"/>
      <c r="L285" s="390"/>
      <c r="M285" s="390"/>
      <c r="N285" s="390"/>
      <c r="O285" s="390"/>
      <c r="P285" s="390"/>
      <c r="Q285" s="390"/>
      <c r="R285" s="390"/>
      <c r="S285" s="390"/>
      <c r="T285" s="390"/>
      <c r="U285" s="390"/>
      <c r="V285" s="390"/>
      <c r="W285" s="390"/>
      <c r="X285" s="390"/>
      <c r="Y285" s="390"/>
      <c r="Z285" s="390"/>
      <c r="AA285" s="390"/>
      <c r="AB285" s="390"/>
      <c r="AC285" s="390"/>
      <c r="AD285" s="390"/>
      <c r="AE285" s="390"/>
      <c r="AF285" s="390"/>
      <c r="AG285" s="390"/>
      <c r="AH285" s="390"/>
      <c r="AI285" s="391"/>
      <c r="AK285" s="437"/>
      <c r="AL285" s="437"/>
      <c r="AM285" s="437"/>
      <c r="AN285" s="437"/>
      <c r="AO285" s="437"/>
      <c r="AP285" s="437"/>
      <c r="AQ285" s="437"/>
      <c r="AR285" s="437"/>
      <c r="AS285" s="437"/>
      <c r="AT285" s="437"/>
      <c r="AU285" s="437"/>
      <c r="AV285" s="437"/>
      <c r="AW285" s="437"/>
      <c r="AX285" s="437"/>
      <c r="AY285" s="437"/>
      <c r="AZ285" s="437"/>
      <c r="BA285" s="437"/>
      <c r="BB285" s="437"/>
      <c r="BC285" s="437"/>
      <c r="BD285" s="437"/>
      <c r="BE285" s="437"/>
      <c r="BF285" s="437"/>
      <c r="BG285" s="437"/>
      <c r="BH285" s="437"/>
      <c r="BI285" s="437"/>
      <c r="BJ285" s="437"/>
      <c r="BK285" s="437"/>
      <c r="BL285" s="437"/>
      <c r="BM285" s="393"/>
      <c r="BO285" s="399">
        <f t="shared" si="123"/>
        <v>0</v>
      </c>
      <c r="BP285" s="399">
        <f t="shared" si="124"/>
        <v>0</v>
      </c>
      <c r="BQ285" s="399">
        <f t="shared" si="125"/>
        <v>0</v>
      </c>
      <c r="BR285" s="399">
        <f t="shared" si="126"/>
        <v>0</v>
      </c>
      <c r="BS285" s="399">
        <f t="shared" si="127"/>
        <v>0</v>
      </c>
      <c r="BT285" s="399">
        <f t="shared" si="128"/>
        <v>0</v>
      </c>
      <c r="BU285" s="399">
        <f t="shared" si="129"/>
        <v>0</v>
      </c>
      <c r="BV285" s="399">
        <f t="shared" si="130"/>
        <v>0</v>
      </c>
      <c r="BW285" s="399">
        <f t="shared" si="131"/>
        <v>0</v>
      </c>
      <c r="BX285" s="399">
        <f t="shared" si="132"/>
        <v>0</v>
      </c>
      <c r="BY285" s="399">
        <f t="shared" si="133"/>
        <v>0</v>
      </c>
      <c r="BZ285" s="399">
        <f t="shared" si="134"/>
        <v>0</v>
      </c>
      <c r="CA285" s="399">
        <f t="shared" si="135"/>
        <v>0</v>
      </c>
      <c r="CB285" s="399">
        <f t="shared" si="136"/>
        <v>0</v>
      </c>
      <c r="CC285" s="399">
        <f t="shared" si="137"/>
        <v>0</v>
      </c>
      <c r="CD285" s="399">
        <f t="shared" si="138"/>
        <v>0</v>
      </c>
      <c r="CE285" s="399">
        <f t="shared" si="139"/>
        <v>0</v>
      </c>
      <c r="CF285" s="399">
        <f t="shared" si="140"/>
        <v>0</v>
      </c>
      <c r="CG285" s="399">
        <f t="shared" si="141"/>
        <v>0</v>
      </c>
      <c r="CH285" s="399">
        <f t="shared" si="142"/>
        <v>0</v>
      </c>
      <c r="CI285" s="399">
        <f t="shared" si="143"/>
        <v>0</v>
      </c>
      <c r="CJ285" s="399">
        <f t="shared" si="144"/>
        <v>0</v>
      </c>
      <c r="CK285" s="399">
        <f t="shared" si="145"/>
        <v>0</v>
      </c>
      <c r="CL285" s="399">
        <f t="shared" si="146"/>
        <v>0</v>
      </c>
      <c r="CM285" s="399">
        <f t="shared" si="147"/>
        <v>0</v>
      </c>
      <c r="CN285" s="399">
        <f t="shared" si="148"/>
        <v>0</v>
      </c>
      <c r="CO285" s="399">
        <f t="shared" si="149"/>
        <v>0</v>
      </c>
      <c r="CP285" s="399">
        <f t="shared" si="150"/>
        <v>0</v>
      </c>
      <c r="CQ285" s="423">
        <f t="shared" si="151"/>
        <v>0</v>
      </c>
      <c r="CS285" s="394" t="e">
        <f t="shared" si="152"/>
        <v>#DIV/0!</v>
      </c>
    </row>
    <row r="286" spans="3:97">
      <c r="C286" s="107"/>
      <c r="D286" s="395"/>
      <c r="E286" s="84"/>
      <c r="F286" s="84"/>
      <c r="G286" s="389"/>
      <c r="H286" s="390"/>
      <c r="I286" s="390"/>
      <c r="J286" s="390"/>
      <c r="K286" s="390"/>
      <c r="L286" s="390"/>
      <c r="M286" s="390"/>
      <c r="N286" s="390"/>
      <c r="O286" s="390"/>
      <c r="P286" s="390"/>
      <c r="Q286" s="390"/>
      <c r="R286" s="390"/>
      <c r="S286" s="390"/>
      <c r="T286" s="390"/>
      <c r="U286" s="390"/>
      <c r="V286" s="390"/>
      <c r="W286" s="390"/>
      <c r="X286" s="390"/>
      <c r="Y286" s="390"/>
      <c r="Z286" s="390"/>
      <c r="AA286" s="390"/>
      <c r="AB286" s="390"/>
      <c r="AC286" s="390"/>
      <c r="AD286" s="390"/>
      <c r="AE286" s="390"/>
      <c r="AF286" s="390"/>
      <c r="AG286" s="390"/>
      <c r="AH286" s="390"/>
      <c r="AI286" s="391"/>
      <c r="AK286" s="437"/>
      <c r="AL286" s="437"/>
      <c r="AM286" s="437"/>
      <c r="AN286" s="437"/>
      <c r="AO286" s="437"/>
      <c r="AP286" s="437"/>
      <c r="AQ286" s="437"/>
      <c r="AR286" s="437"/>
      <c r="AS286" s="437"/>
      <c r="AT286" s="437"/>
      <c r="AU286" s="437"/>
      <c r="AV286" s="437"/>
      <c r="AW286" s="437"/>
      <c r="AX286" s="437"/>
      <c r="AY286" s="437"/>
      <c r="AZ286" s="437"/>
      <c r="BA286" s="437"/>
      <c r="BB286" s="437"/>
      <c r="BC286" s="437"/>
      <c r="BD286" s="437"/>
      <c r="BE286" s="437"/>
      <c r="BF286" s="437"/>
      <c r="BG286" s="437"/>
      <c r="BH286" s="437"/>
      <c r="BI286" s="437"/>
      <c r="BJ286" s="437"/>
      <c r="BK286" s="437"/>
      <c r="BL286" s="437"/>
      <c r="BM286" s="393"/>
      <c r="BO286" s="399">
        <f t="shared" si="123"/>
        <v>0</v>
      </c>
      <c r="BP286" s="399">
        <f t="shared" si="124"/>
        <v>0</v>
      </c>
      <c r="BQ286" s="399">
        <f t="shared" si="125"/>
        <v>0</v>
      </c>
      <c r="BR286" s="399">
        <f t="shared" si="126"/>
        <v>0</v>
      </c>
      <c r="BS286" s="399">
        <f t="shared" si="127"/>
        <v>0</v>
      </c>
      <c r="BT286" s="399">
        <f t="shared" si="128"/>
        <v>0</v>
      </c>
      <c r="BU286" s="399">
        <f t="shared" si="129"/>
        <v>0</v>
      </c>
      <c r="BV286" s="399">
        <f t="shared" si="130"/>
        <v>0</v>
      </c>
      <c r="BW286" s="399">
        <f t="shared" si="131"/>
        <v>0</v>
      </c>
      <c r="BX286" s="399">
        <f t="shared" si="132"/>
        <v>0</v>
      </c>
      <c r="BY286" s="399">
        <f t="shared" si="133"/>
        <v>0</v>
      </c>
      <c r="BZ286" s="399">
        <f t="shared" si="134"/>
        <v>0</v>
      </c>
      <c r="CA286" s="399">
        <f t="shared" si="135"/>
        <v>0</v>
      </c>
      <c r="CB286" s="399">
        <f t="shared" si="136"/>
        <v>0</v>
      </c>
      <c r="CC286" s="399">
        <f t="shared" si="137"/>
        <v>0</v>
      </c>
      <c r="CD286" s="399">
        <f t="shared" si="138"/>
        <v>0</v>
      </c>
      <c r="CE286" s="399">
        <f t="shared" si="139"/>
        <v>0</v>
      </c>
      <c r="CF286" s="399">
        <f t="shared" si="140"/>
        <v>0</v>
      </c>
      <c r="CG286" s="399">
        <f t="shared" si="141"/>
        <v>0</v>
      </c>
      <c r="CH286" s="399">
        <f t="shared" si="142"/>
        <v>0</v>
      </c>
      <c r="CI286" s="399">
        <f t="shared" si="143"/>
        <v>0</v>
      </c>
      <c r="CJ286" s="399">
        <f t="shared" si="144"/>
        <v>0</v>
      </c>
      <c r="CK286" s="399">
        <f t="shared" si="145"/>
        <v>0</v>
      </c>
      <c r="CL286" s="399">
        <f t="shared" si="146"/>
        <v>0</v>
      </c>
      <c r="CM286" s="399">
        <f t="shared" si="147"/>
        <v>0</v>
      </c>
      <c r="CN286" s="399">
        <f t="shared" si="148"/>
        <v>0</v>
      </c>
      <c r="CO286" s="399">
        <f t="shared" si="149"/>
        <v>0</v>
      </c>
      <c r="CP286" s="399">
        <f t="shared" si="150"/>
        <v>0</v>
      </c>
      <c r="CQ286" s="423">
        <f t="shared" si="151"/>
        <v>0</v>
      </c>
      <c r="CS286" s="394" t="e">
        <f t="shared" si="152"/>
        <v>#DIV/0!</v>
      </c>
    </row>
    <row r="287" spans="3:97">
      <c r="C287" s="107"/>
      <c r="D287" s="395"/>
      <c r="E287" s="84"/>
      <c r="F287" s="84"/>
      <c r="G287" s="389"/>
      <c r="H287" s="390"/>
      <c r="I287" s="390"/>
      <c r="J287" s="390"/>
      <c r="K287" s="390"/>
      <c r="L287" s="390"/>
      <c r="M287" s="390"/>
      <c r="N287" s="390"/>
      <c r="O287" s="390"/>
      <c r="P287" s="390"/>
      <c r="Q287" s="390"/>
      <c r="R287" s="390"/>
      <c r="S287" s="390"/>
      <c r="T287" s="390"/>
      <c r="U287" s="390"/>
      <c r="V287" s="390"/>
      <c r="W287" s="390"/>
      <c r="X287" s="390"/>
      <c r="Y287" s="390"/>
      <c r="Z287" s="390"/>
      <c r="AA287" s="390"/>
      <c r="AB287" s="390"/>
      <c r="AC287" s="390"/>
      <c r="AD287" s="390"/>
      <c r="AE287" s="390"/>
      <c r="AF287" s="390"/>
      <c r="AG287" s="390"/>
      <c r="AH287" s="390"/>
      <c r="AI287" s="391"/>
      <c r="AK287" s="437"/>
      <c r="AL287" s="437"/>
      <c r="AM287" s="437"/>
      <c r="AN287" s="437"/>
      <c r="AO287" s="437"/>
      <c r="AP287" s="437"/>
      <c r="AQ287" s="437"/>
      <c r="AR287" s="437"/>
      <c r="AS287" s="437"/>
      <c r="AT287" s="437"/>
      <c r="AU287" s="437"/>
      <c r="AV287" s="437"/>
      <c r="AW287" s="437"/>
      <c r="AX287" s="437"/>
      <c r="AY287" s="437"/>
      <c r="AZ287" s="437"/>
      <c r="BA287" s="437"/>
      <c r="BB287" s="437"/>
      <c r="BC287" s="437"/>
      <c r="BD287" s="437"/>
      <c r="BE287" s="437"/>
      <c r="BF287" s="437"/>
      <c r="BG287" s="437"/>
      <c r="BH287" s="437"/>
      <c r="BI287" s="437"/>
      <c r="BJ287" s="437"/>
      <c r="BK287" s="437"/>
      <c r="BL287" s="437"/>
      <c r="BM287" s="393"/>
      <c r="BO287" s="399">
        <f t="shared" si="123"/>
        <v>0</v>
      </c>
      <c r="BP287" s="399">
        <f t="shared" si="124"/>
        <v>0</v>
      </c>
      <c r="BQ287" s="399">
        <f t="shared" si="125"/>
        <v>0</v>
      </c>
      <c r="BR287" s="399">
        <f t="shared" si="126"/>
        <v>0</v>
      </c>
      <c r="BS287" s="399">
        <f t="shared" si="127"/>
        <v>0</v>
      </c>
      <c r="BT287" s="399">
        <f t="shared" si="128"/>
        <v>0</v>
      </c>
      <c r="BU287" s="399">
        <f t="shared" si="129"/>
        <v>0</v>
      </c>
      <c r="BV287" s="399">
        <f t="shared" si="130"/>
        <v>0</v>
      </c>
      <c r="BW287" s="399">
        <f t="shared" si="131"/>
        <v>0</v>
      </c>
      <c r="BX287" s="399">
        <f t="shared" si="132"/>
        <v>0</v>
      </c>
      <c r="BY287" s="399">
        <f t="shared" si="133"/>
        <v>0</v>
      </c>
      <c r="BZ287" s="399">
        <f t="shared" si="134"/>
        <v>0</v>
      </c>
      <c r="CA287" s="399">
        <f t="shared" si="135"/>
        <v>0</v>
      </c>
      <c r="CB287" s="399">
        <f t="shared" si="136"/>
        <v>0</v>
      </c>
      <c r="CC287" s="399">
        <f t="shared" si="137"/>
        <v>0</v>
      </c>
      <c r="CD287" s="399">
        <f t="shared" si="138"/>
        <v>0</v>
      </c>
      <c r="CE287" s="399">
        <f t="shared" si="139"/>
        <v>0</v>
      </c>
      <c r="CF287" s="399">
        <f t="shared" si="140"/>
        <v>0</v>
      </c>
      <c r="CG287" s="399">
        <f t="shared" si="141"/>
        <v>0</v>
      </c>
      <c r="CH287" s="399">
        <f t="shared" si="142"/>
        <v>0</v>
      </c>
      <c r="CI287" s="399">
        <f t="shared" si="143"/>
        <v>0</v>
      </c>
      <c r="CJ287" s="399">
        <f t="shared" si="144"/>
        <v>0</v>
      </c>
      <c r="CK287" s="399">
        <f t="shared" si="145"/>
        <v>0</v>
      </c>
      <c r="CL287" s="399">
        <f t="shared" si="146"/>
        <v>0</v>
      </c>
      <c r="CM287" s="399">
        <f t="shared" si="147"/>
        <v>0</v>
      </c>
      <c r="CN287" s="399">
        <f t="shared" si="148"/>
        <v>0</v>
      </c>
      <c r="CO287" s="399">
        <f t="shared" si="149"/>
        <v>0</v>
      </c>
      <c r="CP287" s="399">
        <f t="shared" si="150"/>
        <v>0</v>
      </c>
      <c r="CQ287" s="423">
        <f t="shared" si="151"/>
        <v>0</v>
      </c>
      <c r="CS287" s="394" t="e">
        <f t="shared" si="152"/>
        <v>#DIV/0!</v>
      </c>
    </row>
    <row r="288" spans="3:97">
      <c r="C288" s="107"/>
      <c r="D288" s="395"/>
      <c r="E288" s="84"/>
      <c r="F288" s="84"/>
      <c r="G288" s="389"/>
      <c r="H288" s="390"/>
      <c r="I288" s="390"/>
      <c r="J288" s="390"/>
      <c r="K288" s="390"/>
      <c r="L288" s="390"/>
      <c r="M288" s="390"/>
      <c r="N288" s="390"/>
      <c r="O288" s="390"/>
      <c r="P288" s="390"/>
      <c r="Q288" s="390"/>
      <c r="R288" s="390"/>
      <c r="S288" s="390"/>
      <c r="T288" s="390"/>
      <c r="U288" s="390"/>
      <c r="V288" s="390"/>
      <c r="W288" s="390"/>
      <c r="X288" s="390"/>
      <c r="Y288" s="390"/>
      <c r="Z288" s="390"/>
      <c r="AA288" s="390"/>
      <c r="AB288" s="390"/>
      <c r="AC288" s="390"/>
      <c r="AD288" s="390"/>
      <c r="AE288" s="390"/>
      <c r="AF288" s="390"/>
      <c r="AG288" s="390"/>
      <c r="AH288" s="390"/>
      <c r="AI288" s="391"/>
      <c r="AK288" s="437"/>
      <c r="AL288" s="437"/>
      <c r="AM288" s="437"/>
      <c r="AN288" s="437"/>
      <c r="AO288" s="437"/>
      <c r="AP288" s="437"/>
      <c r="AQ288" s="437"/>
      <c r="AR288" s="437"/>
      <c r="AS288" s="437"/>
      <c r="AT288" s="437"/>
      <c r="AU288" s="437"/>
      <c r="AV288" s="437"/>
      <c r="AW288" s="437"/>
      <c r="AX288" s="437"/>
      <c r="AY288" s="437"/>
      <c r="AZ288" s="437"/>
      <c r="BA288" s="437"/>
      <c r="BB288" s="437"/>
      <c r="BC288" s="437"/>
      <c r="BD288" s="437"/>
      <c r="BE288" s="437"/>
      <c r="BF288" s="437"/>
      <c r="BG288" s="437"/>
      <c r="BH288" s="437"/>
      <c r="BI288" s="437"/>
      <c r="BJ288" s="437"/>
      <c r="BK288" s="437"/>
      <c r="BL288" s="437"/>
      <c r="BM288" s="393"/>
      <c r="BO288" s="399">
        <f t="shared" si="123"/>
        <v>0</v>
      </c>
      <c r="BP288" s="399">
        <f t="shared" si="124"/>
        <v>0</v>
      </c>
      <c r="BQ288" s="399">
        <f t="shared" si="125"/>
        <v>0</v>
      </c>
      <c r="BR288" s="399">
        <f t="shared" si="126"/>
        <v>0</v>
      </c>
      <c r="BS288" s="399">
        <f t="shared" si="127"/>
        <v>0</v>
      </c>
      <c r="BT288" s="399">
        <f t="shared" si="128"/>
        <v>0</v>
      </c>
      <c r="BU288" s="399">
        <f t="shared" si="129"/>
        <v>0</v>
      </c>
      <c r="BV288" s="399">
        <f t="shared" si="130"/>
        <v>0</v>
      </c>
      <c r="BW288" s="399">
        <f t="shared" si="131"/>
        <v>0</v>
      </c>
      <c r="BX288" s="399">
        <f t="shared" si="132"/>
        <v>0</v>
      </c>
      <c r="BY288" s="399">
        <f t="shared" si="133"/>
        <v>0</v>
      </c>
      <c r="BZ288" s="399">
        <f t="shared" si="134"/>
        <v>0</v>
      </c>
      <c r="CA288" s="399">
        <f t="shared" si="135"/>
        <v>0</v>
      </c>
      <c r="CB288" s="399">
        <f t="shared" si="136"/>
        <v>0</v>
      </c>
      <c r="CC288" s="399">
        <f t="shared" si="137"/>
        <v>0</v>
      </c>
      <c r="CD288" s="399">
        <f t="shared" si="138"/>
        <v>0</v>
      </c>
      <c r="CE288" s="399">
        <f t="shared" si="139"/>
        <v>0</v>
      </c>
      <c r="CF288" s="399">
        <f t="shared" si="140"/>
        <v>0</v>
      </c>
      <c r="CG288" s="399">
        <f t="shared" si="141"/>
        <v>0</v>
      </c>
      <c r="CH288" s="399">
        <f t="shared" si="142"/>
        <v>0</v>
      </c>
      <c r="CI288" s="399">
        <f t="shared" si="143"/>
        <v>0</v>
      </c>
      <c r="CJ288" s="399">
        <f t="shared" si="144"/>
        <v>0</v>
      </c>
      <c r="CK288" s="399">
        <f t="shared" si="145"/>
        <v>0</v>
      </c>
      <c r="CL288" s="399">
        <f t="shared" si="146"/>
        <v>0</v>
      </c>
      <c r="CM288" s="399">
        <f t="shared" si="147"/>
        <v>0</v>
      </c>
      <c r="CN288" s="399">
        <f t="shared" si="148"/>
        <v>0</v>
      </c>
      <c r="CO288" s="399">
        <f t="shared" si="149"/>
        <v>0</v>
      </c>
      <c r="CP288" s="399">
        <f t="shared" si="150"/>
        <v>0</v>
      </c>
      <c r="CQ288" s="423">
        <f t="shared" si="151"/>
        <v>0</v>
      </c>
      <c r="CS288" s="394" t="e">
        <f t="shared" si="152"/>
        <v>#DIV/0!</v>
      </c>
    </row>
    <row r="289" spans="3:97">
      <c r="C289" s="107"/>
      <c r="D289" s="395"/>
      <c r="E289" s="84"/>
      <c r="F289" s="84"/>
      <c r="G289" s="389"/>
      <c r="H289" s="390"/>
      <c r="I289" s="390"/>
      <c r="J289" s="390"/>
      <c r="K289" s="390"/>
      <c r="L289" s="390"/>
      <c r="M289" s="390"/>
      <c r="N289" s="390"/>
      <c r="O289" s="390"/>
      <c r="P289" s="390"/>
      <c r="Q289" s="390"/>
      <c r="R289" s="390"/>
      <c r="S289" s="390"/>
      <c r="T289" s="390"/>
      <c r="U289" s="390"/>
      <c r="V289" s="390"/>
      <c r="W289" s="390"/>
      <c r="X289" s="390"/>
      <c r="Y289" s="390"/>
      <c r="Z289" s="390"/>
      <c r="AA289" s="390"/>
      <c r="AB289" s="390"/>
      <c r="AC289" s="390"/>
      <c r="AD289" s="390"/>
      <c r="AE289" s="390"/>
      <c r="AF289" s="390"/>
      <c r="AG289" s="390"/>
      <c r="AH289" s="390"/>
      <c r="AI289" s="391"/>
      <c r="AK289" s="437"/>
      <c r="AL289" s="437"/>
      <c r="AM289" s="437"/>
      <c r="AN289" s="437"/>
      <c r="AO289" s="437"/>
      <c r="AP289" s="437"/>
      <c r="AQ289" s="437"/>
      <c r="AR289" s="437"/>
      <c r="AS289" s="437"/>
      <c r="AT289" s="437"/>
      <c r="AU289" s="437"/>
      <c r="AV289" s="437"/>
      <c r="AW289" s="437"/>
      <c r="AX289" s="437"/>
      <c r="AY289" s="437"/>
      <c r="AZ289" s="437"/>
      <c r="BA289" s="437"/>
      <c r="BB289" s="437"/>
      <c r="BC289" s="437"/>
      <c r="BD289" s="437"/>
      <c r="BE289" s="437"/>
      <c r="BF289" s="437"/>
      <c r="BG289" s="437"/>
      <c r="BH289" s="437"/>
      <c r="BI289" s="437"/>
      <c r="BJ289" s="437"/>
      <c r="BK289" s="437"/>
      <c r="BL289" s="437"/>
      <c r="BM289" s="393"/>
      <c r="BO289" s="399">
        <f t="shared" si="123"/>
        <v>0</v>
      </c>
      <c r="BP289" s="399">
        <f t="shared" si="124"/>
        <v>0</v>
      </c>
      <c r="BQ289" s="399">
        <f t="shared" si="125"/>
        <v>0</v>
      </c>
      <c r="BR289" s="399">
        <f t="shared" si="126"/>
        <v>0</v>
      </c>
      <c r="BS289" s="399">
        <f t="shared" si="127"/>
        <v>0</v>
      </c>
      <c r="BT289" s="399">
        <f t="shared" si="128"/>
        <v>0</v>
      </c>
      <c r="BU289" s="399">
        <f t="shared" si="129"/>
        <v>0</v>
      </c>
      <c r="BV289" s="399">
        <f t="shared" si="130"/>
        <v>0</v>
      </c>
      <c r="BW289" s="399">
        <f t="shared" si="131"/>
        <v>0</v>
      </c>
      <c r="BX289" s="399">
        <f t="shared" si="132"/>
        <v>0</v>
      </c>
      <c r="BY289" s="399">
        <f t="shared" si="133"/>
        <v>0</v>
      </c>
      <c r="BZ289" s="399">
        <f t="shared" si="134"/>
        <v>0</v>
      </c>
      <c r="CA289" s="399">
        <f t="shared" si="135"/>
        <v>0</v>
      </c>
      <c r="CB289" s="399">
        <f t="shared" si="136"/>
        <v>0</v>
      </c>
      <c r="CC289" s="399">
        <f t="shared" si="137"/>
        <v>0</v>
      </c>
      <c r="CD289" s="399">
        <f t="shared" si="138"/>
        <v>0</v>
      </c>
      <c r="CE289" s="399">
        <f t="shared" si="139"/>
        <v>0</v>
      </c>
      <c r="CF289" s="399">
        <f t="shared" si="140"/>
        <v>0</v>
      </c>
      <c r="CG289" s="399">
        <f t="shared" si="141"/>
        <v>0</v>
      </c>
      <c r="CH289" s="399">
        <f t="shared" si="142"/>
        <v>0</v>
      </c>
      <c r="CI289" s="399">
        <f t="shared" si="143"/>
        <v>0</v>
      </c>
      <c r="CJ289" s="399">
        <f t="shared" si="144"/>
        <v>0</v>
      </c>
      <c r="CK289" s="399">
        <f t="shared" si="145"/>
        <v>0</v>
      </c>
      <c r="CL289" s="399">
        <f t="shared" si="146"/>
        <v>0</v>
      </c>
      <c r="CM289" s="399">
        <f t="shared" si="147"/>
        <v>0</v>
      </c>
      <c r="CN289" s="399">
        <f t="shared" si="148"/>
        <v>0</v>
      </c>
      <c r="CO289" s="399">
        <f t="shared" si="149"/>
        <v>0</v>
      </c>
      <c r="CP289" s="399">
        <f t="shared" si="150"/>
        <v>0</v>
      </c>
      <c r="CQ289" s="423">
        <f t="shared" si="151"/>
        <v>0</v>
      </c>
      <c r="CS289" s="394" t="e">
        <f t="shared" si="152"/>
        <v>#DIV/0!</v>
      </c>
    </row>
    <row r="290" spans="3:97">
      <c r="C290" s="107"/>
      <c r="D290" s="395"/>
      <c r="E290" s="84"/>
      <c r="F290" s="84"/>
      <c r="G290" s="389"/>
      <c r="H290" s="390"/>
      <c r="I290" s="390"/>
      <c r="J290" s="390"/>
      <c r="K290" s="390"/>
      <c r="L290" s="390"/>
      <c r="M290" s="390"/>
      <c r="N290" s="390"/>
      <c r="O290" s="390"/>
      <c r="P290" s="390"/>
      <c r="Q290" s="390"/>
      <c r="R290" s="390"/>
      <c r="S290" s="390"/>
      <c r="T290" s="390"/>
      <c r="U290" s="390"/>
      <c r="V290" s="390"/>
      <c r="W290" s="390"/>
      <c r="X290" s="390"/>
      <c r="Y290" s="390"/>
      <c r="Z290" s="390"/>
      <c r="AA290" s="390"/>
      <c r="AB290" s="390"/>
      <c r="AC290" s="390"/>
      <c r="AD290" s="390"/>
      <c r="AE290" s="390"/>
      <c r="AF290" s="390"/>
      <c r="AG290" s="390"/>
      <c r="AH290" s="390"/>
      <c r="AI290" s="391"/>
      <c r="AK290" s="437"/>
      <c r="AL290" s="437"/>
      <c r="AM290" s="437"/>
      <c r="AN290" s="437"/>
      <c r="AO290" s="437"/>
      <c r="AP290" s="437"/>
      <c r="AQ290" s="437"/>
      <c r="AR290" s="437"/>
      <c r="AS290" s="437"/>
      <c r="AT290" s="437"/>
      <c r="AU290" s="437"/>
      <c r="AV290" s="437"/>
      <c r="AW290" s="437"/>
      <c r="AX290" s="437"/>
      <c r="AY290" s="437"/>
      <c r="AZ290" s="437"/>
      <c r="BA290" s="437"/>
      <c r="BB290" s="437"/>
      <c r="BC290" s="437"/>
      <c r="BD290" s="437"/>
      <c r="BE290" s="437"/>
      <c r="BF290" s="437"/>
      <c r="BG290" s="437"/>
      <c r="BH290" s="437"/>
      <c r="BI290" s="437"/>
      <c r="BJ290" s="437"/>
      <c r="BK290" s="437"/>
      <c r="BL290" s="437"/>
      <c r="BM290" s="393"/>
      <c r="BO290" s="399">
        <f t="shared" si="123"/>
        <v>0</v>
      </c>
      <c r="BP290" s="399">
        <f t="shared" si="124"/>
        <v>0</v>
      </c>
      <c r="BQ290" s="399">
        <f t="shared" si="125"/>
        <v>0</v>
      </c>
      <c r="BR290" s="399">
        <f t="shared" si="126"/>
        <v>0</v>
      </c>
      <c r="BS290" s="399">
        <f t="shared" si="127"/>
        <v>0</v>
      </c>
      <c r="BT290" s="399">
        <f t="shared" si="128"/>
        <v>0</v>
      </c>
      <c r="BU290" s="399">
        <f t="shared" si="129"/>
        <v>0</v>
      </c>
      <c r="BV290" s="399">
        <f t="shared" si="130"/>
        <v>0</v>
      </c>
      <c r="BW290" s="399">
        <f t="shared" si="131"/>
        <v>0</v>
      </c>
      <c r="BX290" s="399">
        <f t="shared" si="132"/>
        <v>0</v>
      </c>
      <c r="BY290" s="399">
        <f t="shared" si="133"/>
        <v>0</v>
      </c>
      <c r="BZ290" s="399">
        <f t="shared" si="134"/>
        <v>0</v>
      </c>
      <c r="CA290" s="399">
        <f t="shared" si="135"/>
        <v>0</v>
      </c>
      <c r="CB290" s="399">
        <f t="shared" si="136"/>
        <v>0</v>
      </c>
      <c r="CC290" s="399">
        <f t="shared" si="137"/>
        <v>0</v>
      </c>
      <c r="CD290" s="399">
        <f t="shared" si="138"/>
        <v>0</v>
      </c>
      <c r="CE290" s="399">
        <f t="shared" si="139"/>
        <v>0</v>
      </c>
      <c r="CF290" s="399">
        <f t="shared" si="140"/>
        <v>0</v>
      </c>
      <c r="CG290" s="399">
        <f t="shared" si="141"/>
        <v>0</v>
      </c>
      <c r="CH290" s="399">
        <f t="shared" si="142"/>
        <v>0</v>
      </c>
      <c r="CI290" s="399">
        <f t="shared" si="143"/>
        <v>0</v>
      </c>
      <c r="CJ290" s="399">
        <f t="shared" si="144"/>
        <v>0</v>
      </c>
      <c r="CK290" s="399">
        <f t="shared" si="145"/>
        <v>0</v>
      </c>
      <c r="CL290" s="399">
        <f t="shared" si="146"/>
        <v>0</v>
      </c>
      <c r="CM290" s="399">
        <f t="shared" si="147"/>
        <v>0</v>
      </c>
      <c r="CN290" s="399">
        <f t="shared" si="148"/>
        <v>0</v>
      </c>
      <c r="CO290" s="399">
        <f t="shared" si="149"/>
        <v>0</v>
      </c>
      <c r="CP290" s="399">
        <f t="shared" si="150"/>
        <v>0</v>
      </c>
      <c r="CQ290" s="423">
        <f t="shared" si="151"/>
        <v>0</v>
      </c>
      <c r="CS290" s="394" t="e">
        <f t="shared" si="152"/>
        <v>#DIV/0!</v>
      </c>
    </row>
    <row r="291" spans="3:97">
      <c r="C291" s="107"/>
      <c r="D291" s="395"/>
      <c r="E291" s="84"/>
      <c r="F291" s="84"/>
      <c r="G291" s="389"/>
      <c r="H291" s="390"/>
      <c r="I291" s="390"/>
      <c r="J291" s="390"/>
      <c r="K291" s="390"/>
      <c r="L291" s="390"/>
      <c r="M291" s="390"/>
      <c r="N291" s="390"/>
      <c r="O291" s="390"/>
      <c r="P291" s="390"/>
      <c r="Q291" s="390"/>
      <c r="R291" s="390"/>
      <c r="S291" s="390"/>
      <c r="T291" s="390"/>
      <c r="U291" s="390"/>
      <c r="V291" s="390"/>
      <c r="W291" s="390"/>
      <c r="X291" s="390"/>
      <c r="Y291" s="390"/>
      <c r="Z291" s="390"/>
      <c r="AA291" s="390"/>
      <c r="AB291" s="390"/>
      <c r="AC291" s="390"/>
      <c r="AD291" s="390"/>
      <c r="AE291" s="390"/>
      <c r="AF291" s="390"/>
      <c r="AG291" s="390"/>
      <c r="AH291" s="390"/>
      <c r="AI291" s="391"/>
      <c r="AK291" s="437"/>
      <c r="AL291" s="437"/>
      <c r="AM291" s="437"/>
      <c r="AN291" s="437"/>
      <c r="AO291" s="437"/>
      <c r="AP291" s="437"/>
      <c r="AQ291" s="437"/>
      <c r="AR291" s="437"/>
      <c r="AS291" s="437"/>
      <c r="AT291" s="437"/>
      <c r="AU291" s="437"/>
      <c r="AV291" s="437"/>
      <c r="AW291" s="437"/>
      <c r="AX291" s="437"/>
      <c r="AY291" s="437"/>
      <c r="AZ291" s="437"/>
      <c r="BA291" s="437"/>
      <c r="BB291" s="437"/>
      <c r="BC291" s="437"/>
      <c r="BD291" s="437"/>
      <c r="BE291" s="437"/>
      <c r="BF291" s="437"/>
      <c r="BG291" s="437"/>
      <c r="BH291" s="437"/>
      <c r="BI291" s="437"/>
      <c r="BJ291" s="437"/>
      <c r="BK291" s="437"/>
      <c r="BL291" s="437"/>
      <c r="BM291" s="393"/>
      <c r="BO291" s="399">
        <f t="shared" si="123"/>
        <v>0</v>
      </c>
      <c r="BP291" s="399">
        <f t="shared" si="124"/>
        <v>0</v>
      </c>
      <c r="BQ291" s="399">
        <f t="shared" si="125"/>
        <v>0</v>
      </c>
      <c r="BR291" s="399">
        <f t="shared" si="126"/>
        <v>0</v>
      </c>
      <c r="BS291" s="399">
        <f t="shared" si="127"/>
        <v>0</v>
      </c>
      <c r="BT291" s="399">
        <f t="shared" si="128"/>
        <v>0</v>
      </c>
      <c r="BU291" s="399">
        <f t="shared" si="129"/>
        <v>0</v>
      </c>
      <c r="BV291" s="399">
        <f t="shared" si="130"/>
        <v>0</v>
      </c>
      <c r="BW291" s="399">
        <f t="shared" si="131"/>
        <v>0</v>
      </c>
      <c r="BX291" s="399">
        <f t="shared" si="132"/>
        <v>0</v>
      </c>
      <c r="BY291" s="399">
        <f t="shared" si="133"/>
        <v>0</v>
      </c>
      <c r="BZ291" s="399">
        <f t="shared" si="134"/>
        <v>0</v>
      </c>
      <c r="CA291" s="399">
        <f t="shared" si="135"/>
        <v>0</v>
      </c>
      <c r="CB291" s="399">
        <f t="shared" si="136"/>
        <v>0</v>
      </c>
      <c r="CC291" s="399">
        <f t="shared" si="137"/>
        <v>0</v>
      </c>
      <c r="CD291" s="399">
        <f t="shared" si="138"/>
        <v>0</v>
      </c>
      <c r="CE291" s="399">
        <f t="shared" si="139"/>
        <v>0</v>
      </c>
      <c r="CF291" s="399">
        <f t="shared" si="140"/>
        <v>0</v>
      </c>
      <c r="CG291" s="399">
        <f t="shared" si="141"/>
        <v>0</v>
      </c>
      <c r="CH291" s="399">
        <f t="shared" si="142"/>
        <v>0</v>
      </c>
      <c r="CI291" s="399">
        <f t="shared" si="143"/>
        <v>0</v>
      </c>
      <c r="CJ291" s="399">
        <f t="shared" si="144"/>
        <v>0</v>
      </c>
      <c r="CK291" s="399">
        <f t="shared" si="145"/>
        <v>0</v>
      </c>
      <c r="CL291" s="399">
        <f t="shared" si="146"/>
        <v>0</v>
      </c>
      <c r="CM291" s="399">
        <f t="shared" si="147"/>
        <v>0</v>
      </c>
      <c r="CN291" s="399">
        <f t="shared" si="148"/>
        <v>0</v>
      </c>
      <c r="CO291" s="399">
        <f t="shared" si="149"/>
        <v>0</v>
      </c>
      <c r="CP291" s="399">
        <f t="shared" si="150"/>
        <v>0</v>
      </c>
      <c r="CQ291" s="423">
        <f t="shared" si="151"/>
        <v>0</v>
      </c>
      <c r="CS291" s="394" t="e">
        <f t="shared" si="152"/>
        <v>#DIV/0!</v>
      </c>
    </row>
    <row r="292" spans="3:97">
      <c r="C292" s="107"/>
      <c r="D292" s="395"/>
      <c r="E292" s="84"/>
      <c r="F292" s="84"/>
      <c r="G292" s="389"/>
      <c r="H292" s="390"/>
      <c r="I292" s="390"/>
      <c r="J292" s="390"/>
      <c r="K292" s="390"/>
      <c r="L292" s="390"/>
      <c r="M292" s="390"/>
      <c r="N292" s="390"/>
      <c r="O292" s="390"/>
      <c r="P292" s="390"/>
      <c r="Q292" s="390"/>
      <c r="R292" s="390"/>
      <c r="S292" s="390"/>
      <c r="T292" s="390"/>
      <c r="U292" s="390"/>
      <c r="V292" s="390"/>
      <c r="W292" s="390"/>
      <c r="X292" s="390"/>
      <c r="Y292" s="390"/>
      <c r="Z292" s="390"/>
      <c r="AA292" s="390"/>
      <c r="AB292" s="390"/>
      <c r="AC292" s="390"/>
      <c r="AD292" s="390"/>
      <c r="AE292" s="390"/>
      <c r="AF292" s="390"/>
      <c r="AG292" s="390"/>
      <c r="AH292" s="390"/>
      <c r="AI292" s="391"/>
      <c r="AK292" s="437"/>
      <c r="AL292" s="437"/>
      <c r="AM292" s="437"/>
      <c r="AN292" s="437"/>
      <c r="AO292" s="437"/>
      <c r="AP292" s="437"/>
      <c r="AQ292" s="437"/>
      <c r="AR292" s="437"/>
      <c r="AS292" s="437"/>
      <c r="AT292" s="437"/>
      <c r="AU292" s="437"/>
      <c r="AV292" s="437"/>
      <c r="AW292" s="437"/>
      <c r="AX292" s="437"/>
      <c r="AY292" s="437"/>
      <c r="AZ292" s="437"/>
      <c r="BA292" s="437"/>
      <c r="BB292" s="437"/>
      <c r="BC292" s="437"/>
      <c r="BD292" s="437"/>
      <c r="BE292" s="437"/>
      <c r="BF292" s="437"/>
      <c r="BG292" s="437"/>
      <c r="BH292" s="437"/>
      <c r="BI292" s="437"/>
      <c r="BJ292" s="437"/>
      <c r="BK292" s="437"/>
      <c r="BL292" s="437"/>
      <c r="BM292" s="393"/>
      <c r="BO292" s="399">
        <f t="shared" si="123"/>
        <v>0</v>
      </c>
      <c r="BP292" s="399">
        <f t="shared" si="124"/>
        <v>0</v>
      </c>
      <c r="BQ292" s="399">
        <f t="shared" si="125"/>
        <v>0</v>
      </c>
      <c r="BR292" s="399">
        <f t="shared" si="126"/>
        <v>0</v>
      </c>
      <c r="BS292" s="399">
        <f t="shared" si="127"/>
        <v>0</v>
      </c>
      <c r="BT292" s="399">
        <f t="shared" si="128"/>
        <v>0</v>
      </c>
      <c r="BU292" s="399">
        <f t="shared" si="129"/>
        <v>0</v>
      </c>
      <c r="BV292" s="399">
        <f t="shared" si="130"/>
        <v>0</v>
      </c>
      <c r="BW292" s="399">
        <f t="shared" si="131"/>
        <v>0</v>
      </c>
      <c r="BX292" s="399">
        <f t="shared" si="132"/>
        <v>0</v>
      </c>
      <c r="BY292" s="399">
        <f t="shared" si="133"/>
        <v>0</v>
      </c>
      <c r="BZ292" s="399">
        <f t="shared" si="134"/>
        <v>0</v>
      </c>
      <c r="CA292" s="399">
        <f t="shared" si="135"/>
        <v>0</v>
      </c>
      <c r="CB292" s="399">
        <f t="shared" si="136"/>
        <v>0</v>
      </c>
      <c r="CC292" s="399">
        <f t="shared" si="137"/>
        <v>0</v>
      </c>
      <c r="CD292" s="399">
        <f t="shared" si="138"/>
        <v>0</v>
      </c>
      <c r="CE292" s="399">
        <f t="shared" si="139"/>
        <v>0</v>
      </c>
      <c r="CF292" s="399">
        <f t="shared" si="140"/>
        <v>0</v>
      </c>
      <c r="CG292" s="399">
        <f t="shared" si="141"/>
        <v>0</v>
      </c>
      <c r="CH292" s="399">
        <f t="shared" si="142"/>
        <v>0</v>
      </c>
      <c r="CI292" s="399">
        <f t="shared" si="143"/>
        <v>0</v>
      </c>
      <c r="CJ292" s="399">
        <f t="shared" si="144"/>
        <v>0</v>
      </c>
      <c r="CK292" s="399">
        <f t="shared" si="145"/>
        <v>0</v>
      </c>
      <c r="CL292" s="399">
        <f t="shared" si="146"/>
        <v>0</v>
      </c>
      <c r="CM292" s="399">
        <f t="shared" si="147"/>
        <v>0</v>
      </c>
      <c r="CN292" s="399">
        <f t="shared" si="148"/>
        <v>0</v>
      </c>
      <c r="CO292" s="399">
        <f t="shared" si="149"/>
        <v>0</v>
      </c>
      <c r="CP292" s="399">
        <f t="shared" si="150"/>
        <v>0</v>
      </c>
      <c r="CQ292" s="423">
        <f t="shared" si="151"/>
        <v>0</v>
      </c>
      <c r="CS292" s="394" t="e">
        <f t="shared" si="152"/>
        <v>#DIV/0!</v>
      </c>
    </row>
    <row r="293" spans="3:97">
      <c r="C293" s="107"/>
      <c r="D293" s="395"/>
      <c r="E293" s="84"/>
      <c r="F293" s="84"/>
      <c r="G293" s="389"/>
      <c r="H293" s="390"/>
      <c r="I293" s="390"/>
      <c r="J293" s="390"/>
      <c r="K293" s="390"/>
      <c r="L293" s="390"/>
      <c r="M293" s="390"/>
      <c r="N293" s="390"/>
      <c r="O293" s="390"/>
      <c r="P293" s="390"/>
      <c r="Q293" s="390"/>
      <c r="R293" s="390"/>
      <c r="S293" s="390"/>
      <c r="T293" s="390"/>
      <c r="U293" s="390"/>
      <c r="V293" s="390"/>
      <c r="W293" s="390"/>
      <c r="X293" s="390"/>
      <c r="Y293" s="390"/>
      <c r="Z293" s="390"/>
      <c r="AA293" s="390"/>
      <c r="AB293" s="390"/>
      <c r="AC293" s="390"/>
      <c r="AD293" s="390"/>
      <c r="AE293" s="390"/>
      <c r="AF293" s="390"/>
      <c r="AG293" s="390"/>
      <c r="AH293" s="390"/>
      <c r="AI293" s="391"/>
      <c r="AK293" s="437"/>
      <c r="AL293" s="437"/>
      <c r="AM293" s="437"/>
      <c r="AN293" s="437"/>
      <c r="AO293" s="437"/>
      <c r="AP293" s="437"/>
      <c r="AQ293" s="437"/>
      <c r="AR293" s="437"/>
      <c r="AS293" s="437"/>
      <c r="AT293" s="437"/>
      <c r="AU293" s="437"/>
      <c r="AV293" s="437"/>
      <c r="AW293" s="437"/>
      <c r="AX293" s="437"/>
      <c r="AY293" s="437"/>
      <c r="AZ293" s="437"/>
      <c r="BA293" s="437"/>
      <c r="BB293" s="437"/>
      <c r="BC293" s="437"/>
      <c r="BD293" s="437"/>
      <c r="BE293" s="437"/>
      <c r="BF293" s="437"/>
      <c r="BG293" s="437"/>
      <c r="BH293" s="437"/>
      <c r="BI293" s="437"/>
      <c r="BJ293" s="437"/>
      <c r="BK293" s="437"/>
      <c r="BL293" s="437"/>
      <c r="BM293" s="393"/>
      <c r="BO293" s="399">
        <f t="shared" si="123"/>
        <v>0</v>
      </c>
      <c r="BP293" s="399">
        <f t="shared" si="124"/>
        <v>0</v>
      </c>
      <c r="BQ293" s="399">
        <f t="shared" si="125"/>
        <v>0</v>
      </c>
      <c r="BR293" s="399">
        <f t="shared" si="126"/>
        <v>0</v>
      </c>
      <c r="BS293" s="399">
        <f t="shared" si="127"/>
        <v>0</v>
      </c>
      <c r="BT293" s="399">
        <f t="shared" si="128"/>
        <v>0</v>
      </c>
      <c r="BU293" s="399">
        <f t="shared" si="129"/>
        <v>0</v>
      </c>
      <c r="BV293" s="399">
        <f t="shared" si="130"/>
        <v>0</v>
      </c>
      <c r="BW293" s="399">
        <f t="shared" si="131"/>
        <v>0</v>
      </c>
      <c r="BX293" s="399">
        <f t="shared" si="132"/>
        <v>0</v>
      </c>
      <c r="BY293" s="399">
        <f t="shared" si="133"/>
        <v>0</v>
      </c>
      <c r="BZ293" s="399">
        <f t="shared" si="134"/>
        <v>0</v>
      </c>
      <c r="CA293" s="399">
        <f t="shared" si="135"/>
        <v>0</v>
      </c>
      <c r="CB293" s="399">
        <f t="shared" si="136"/>
        <v>0</v>
      </c>
      <c r="CC293" s="399">
        <f t="shared" si="137"/>
        <v>0</v>
      </c>
      <c r="CD293" s="399">
        <f t="shared" si="138"/>
        <v>0</v>
      </c>
      <c r="CE293" s="399">
        <f t="shared" si="139"/>
        <v>0</v>
      </c>
      <c r="CF293" s="399">
        <f t="shared" si="140"/>
        <v>0</v>
      </c>
      <c r="CG293" s="399">
        <f t="shared" si="141"/>
        <v>0</v>
      </c>
      <c r="CH293" s="399">
        <f t="shared" si="142"/>
        <v>0</v>
      </c>
      <c r="CI293" s="399">
        <f t="shared" si="143"/>
        <v>0</v>
      </c>
      <c r="CJ293" s="399">
        <f t="shared" si="144"/>
        <v>0</v>
      </c>
      <c r="CK293" s="399">
        <f t="shared" si="145"/>
        <v>0</v>
      </c>
      <c r="CL293" s="399">
        <f t="shared" si="146"/>
        <v>0</v>
      </c>
      <c r="CM293" s="399">
        <f t="shared" si="147"/>
        <v>0</v>
      </c>
      <c r="CN293" s="399">
        <f t="shared" si="148"/>
        <v>0</v>
      </c>
      <c r="CO293" s="399">
        <f t="shared" si="149"/>
        <v>0</v>
      </c>
      <c r="CP293" s="399">
        <f t="shared" si="150"/>
        <v>0</v>
      </c>
      <c r="CQ293" s="423">
        <f t="shared" si="151"/>
        <v>0</v>
      </c>
      <c r="CS293" s="394" t="e">
        <f t="shared" si="152"/>
        <v>#DIV/0!</v>
      </c>
    </row>
    <row r="294" spans="3:97">
      <c r="C294" s="107"/>
      <c r="D294" s="395"/>
      <c r="E294" s="84"/>
      <c r="F294" s="84"/>
      <c r="G294" s="389"/>
      <c r="H294" s="390"/>
      <c r="I294" s="390"/>
      <c r="J294" s="390"/>
      <c r="K294" s="390"/>
      <c r="L294" s="390"/>
      <c r="M294" s="390"/>
      <c r="N294" s="390"/>
      <c r="O294" s="390"/>
      <c r="P294" s="390"/>
      <c r="Q294" s="390"/>
      <c r="R294" s="390"/>
      <c r="S294" s="390"/>
      <c r="T294" s="390"/>
      <c r="U294" s="390"/>
      <c r="V294" s="390"/>
      <c r="W294" s="390"/>
      <c r="X294" s="390"/>
      <c r="Y294" s="390"/>
      <c r="Z294" s="390"/>
      <c r="AA294" s="390"/>
      <c r="AB294" s="390"/>
      <c r="AC294" s="390"/>
      <c r="AD294" s="390"/>
      <c r="AE294" s="390"/>
      <c r="AF294" s="390"/>
      <c r="AG294" s="390"/>
      <c r="AH294" s="390"/>
      <c r="AI294" s="391"/>
      <c r="AK294" s="437"/>
      <c r="AL294" s="437"/>
      <c r="AM294" s="437"/>
      <c r="AN294" s="437"/>
      <c r="AO294" s="437"/>
      <c r="AP294" s="437"/>
      <c r="AQ294" s="437"/>
      <c r="AR294" s="437"/>
      <c r="AS294" s="437"/>
      <c r="AT294" s="437"/>
      <c r="AU294" s="437"/>
      <c r="AV294" s="437"/>
      <c r="AW294" s="437"/>
      <c r="AX294" s="437"/>
      <c r="AY294" s="437"/>
      <c r="AZ294" s="437"/>
      <c r="BA294" s="437"/>
      <c r="BB294" s="437"/>
      <c r="BC294" s="437"/>
      <c r="BD294" s="437"/>
      <c r="BE294" s="437"/>
      <c r="BF294" s="437"/>
      <c r="BG294" s="437"/>
      <c r="BH294" s="437"/>
      <c r="BI294" s="437"/>
      <c r="BJ294" s="437"/>
      <c r="BK294" s="437"/>
      <c r="BL294" s="437"/>
      <c r="BM294" s="393"/>
      <c r="BO294" s="399">
        <f t="shared" si="123"/>
        <v>0</v>
      </c>
      <c r="BP294" s="399">
        <f t="shared" si="124"/>
        <v>0</v>
      </c>
      <c r="BQ294" s="399">
        <f t="shared" si="125"/>
        <v>0</v>
      </c>
      <c r="BR294" s="399">
        <f t="shared" si="126"/>
        <v>0</v>
      </c>
      <c r="BS294" s="399">
        <f t="shared" si="127"/>
        <v>0</v>
      </c>
      <c r="BT294" s="399">
        <f t="shared" si="128"/>
        <v>0</v>
      </c>
      <c r="BU294" s="399">
        <f t="shared" si="129"/>
        <v>0</v>
      </c>
      <c r="BV294" s="399">
        <f t="shared" si="130"/>
        <v>0</v>
      </c>
      <c r="BW294" s="399">
        <f t="shared" si="131"/>
        <v>0</v>
      </c>
      <c r="BX294" s="399">
        <f t="shared" si="132"/>
        <v>0</v>
      </c>
      <c r="BY294" s="399">
        <f t="shared" si="133"/>
        <v>0</v>
      </c>
      <c r="BZ294" s="399">
        <f t="shared" si="134"/>
        <v>0</v>
      </c>
      <c r="CA294" s="399">
        <f t="shared" si="135"/>
        <v>0</v>
      </c>
      <c r="CB294" s="399">
        <f t="shared" si="136"/>
        <v>0</v>
      </c>
      <c r="CC294" s="399">
        <f t="shared" si="137"/>
        <v>0</v>
      </c>
      <c r="CD294" s="399">
        <f t="shared" si="138"/>
        <v>0</v>
      </c>
      <c r="CE294" s="399">
        <f t="shared" si="139"/>
        <v>0</v>
      </c>
      <c r="CF294" s="399">
        <f t="shared" si="140"/>
        <v>0</v>
      </c>
      <c r="CG294" s="399">
        <f t="shared" si="141"/>
        <v>0</v>
      </c>
      <c r="CH294" s="399">
        <f t="shared" si="142"/>
        <v>0</v>
      </c>
      <c r="CI294" s="399">
        <f t="shared" si="143"/>
        <v>0</v>
      </c>
      <c r="CJ294" s="399">
        <f t="shared" si="144"/>
        <v>0</v>
      </c>
      <c r="CK294" s="399">
        <f t="shared" si="145"/>
        <v>0</v>
      </c>
      <c r="CL294" s="399">
        <f t="shared" si="146"/>
        <v>0</v>
      </c>
      <c r="CM294" s="399">
        <f t="shared" si="147"/>
        <v>0</v>
      </c>
      <c r="CN294" s="399">
        <f t="shared" si="148"/>
        <v>0</v>
      </c>
      <c r="CO294" s="399">
        <f t="shared" si="149"/>
        <v>0</v>
      </c>
      <c r="CP294" s="399">
        <f t="shared" si="150"/>
        <v>0</v>
      </c>
      <c r="CQ294" s="423">
        <f t="shared" si="151"/>
        <v>0</v>
      </c>
      <c r="CS294" s="394" t="e">
        <f t="shared" si="152"/>
        <v>#DIV/0!</v>
      </c>
    </row>
    <row r="295" spans="3:97">
      <c r="C295" s="107"/>
      <c r="D295" s="395"/>
      <c r="E295" s="84"/>
      <c r="F295" s="84"/>
      <c r="G295" s="389"/>
      <c r="H295" s="390"/>
      <c r="I295" s="390"/>
      <c r="J295" s="390"/>
      <c r="K295" s="390"/>
      <c r="L295" s="390"/>
      <c r="M295" s="390"/>
      <c r="N295" s="390"/>
      <c r="O295" s="390"/>
      <c r="P295" s="390"/>
      <c r="Q295" s="390"/>
      <c r="R295" s="390"/>
      <c r="S295" s="390"/>
      <c r="T295" s="390"/>
      <c r="U295" s="390"/>
      <c r="V295" s="390"/>
      <c r="W295" s="390"/>
      <c r="X295" s="390"/>
      <c r="Y295" s="390"/>
      <c r="Z295" s="390"/>
      <c r="AA295" s="390"/>
      <c r="AB295" s="390"/>
      <c r="AC295" s="390"/>
      <c r="AD295" s="390"/>
      <c r="AE295" s="390"/>
      <c r="AF295" s="390"/>
      <c r="AG295" s="390"/>
      <c r="AH295" s="390"/>
      <c r="AI295" s="391"/>
      <c r="AK295" s="437"/>
      <c r="AL295" s="437"/>
      <c r="AM295" s="437"/>
      <c r="AN295" s="437"/>
      <c r="AO295" s="437"/>
      <c r="AP295" s="437"/>
      <c r="AQ295" s="437"/>
      <c r="AR295" s="437"/>
      <c r="AS295" s="437"/>
      <c r="AT295" s="437"/>
      <c r="AU295" s="437"/>
      <c r="AV295" s="437"/>
      <c r="AW295" s="437"/>
      <c r="AX295" s="437"/>
      <c r="AY295" s="437"/>
      <c r="AZ295" s="437"/>
      <c r="BA295" s="437"/>
      <c r="BB295" s="437"/>
      <c r="BC295" s="437"/>
      <c r="BD295" s="437"/>
      <c r="BE295" s="437"/>
      <c r="BF295" s="437"/>
      <c r="BG295" s="437"/>
      <c r="BH295" s="437"/>
      <c r="BI295" s="437"/>
      <c r="BJ295" s="437"/>
      <c r="BK295" s="437"/>
      <c r="BL295" s="437"/>
      <c r="BM295" s="393"/>
      <c r="BO295" s="399">
        <f t="shared" si="123"/>
        <v>0</v>
      </c>
      <c r="BP295" s="399">
        <f t="shared" si="124"/>
        <v>0</v>
      </c>
      <c r="BQ295" s="399">
        <f t="shared" si="125"/>
        <v>0</v>
      </c>
      <c r="BR295" s="399">
        <f t="shared" si="126"/>
        <v>0</v>
      </c>
      <c r="BS295" s="399">
        <f t="shared" si="127"/>
        <v>0</v>
      </c>
      <c r="BT295" s="399">
        <f t="shared" si="128"/>
        <v>0</v>
      </c>
      <c r="BU295" s="399">
        <f t="shared" si="129"/>
        <v>0</v>
      </c>
      <c r="BV295" s="399">
        <f t="shared" si="130"/>
        <v>0</v>
      </c>
      <c r="BW295" s="399">
        <f t="shared" si="131"/>
        <v>0</v>
      </c>
      <c r="BX295" s="399">
        <f t="shared" si="132"/>
        <v>0</v>
      </c>
      <c r="BY295" s="399">
        <f t="shared" si="133"/>
        <v>0</v>
      </c>
      <c r="BZ295" s="399">
        <f t="shared" si="134"/>
        <v>0</v>
      </c>
      <c r="CA295" s="399">
        <f t="shared" si="135"/>
        <v>0</v>
      </c>
      <c r="CB295" s="399">
        <f t="shared" si="136"/>
        <v>0</v>
      </c>
      <c r="CC295" s="399">
        <f t="shared" si="137"/>
        <v>0</v>
      </c>
      <c r="CD295" s="399">
        <f t="shared" si="138"/>
        <v>0</v>
      </c>
      <c r="CE295" s="399">
        <f t="shared" si="139"/>
        <v>0</v>
      </c>
      <c r="CF295" s="399">
        <f t="shared" si="140"/>
        <v>0</v>
      </c>
      <c r="CG295" s="399">
        <f t="shared" si="141"/>
        <v>0</v>
      </c>
      <c r="CH295" s="399">
        <f t="shared" si="142"/>
        <v>0</v>
      </c>
      <c r="CI295" s="399">
        <f t="shared" si="143"/>
        <v>0</v>
      </c>
      <c r="CJ295" s="399">
        <f t="shared" si="144"/>
        <v>0</v>
      </c>
      <c r="CK295" s="399">
        <f t="shared" si="145"/>
        <v>0</v>
      </c>
      <c r="CL295" s="399">
        <f t="shared" si="146"/>
        <v>0</v>
      </c>
      <c r="CM295" s="399">
        <f t="shared" si="147"/>
        <v>0</v>
      </c>
      <c r="CN295" s="399">
        <f t="shared" si="148"/>
        <v>0</v>
      </c>
      <c r="CO295" s="399">
        <f t="shared" si="149"/>
        <v>0</v>
      </c>
      <c r="CP295" s="399">
        <f t="shared" si="150"/>
        <v>0</v>
      </c>
      <c r="CQ295" s="423">
        <f t="shared" si="151"/>
        <v>0</v>
      </c>
      <c r="CS295" s="394" t="e">
        <f t="shared" si="152"/>
        <v>#DIV/0!</v>
      </c>
    </row>
    <row r="296" spans="3:97">
      <c r="C296" s="107"/>
      <c r="D296" s="395"/>
      <c r="E296" s="84"/>
      <c r="F296" s="84"/>
      <c r="G296" s="389"/>
      <c r="H296" s="390"/>
      <c r="I296" s="390"/>
      <c r="J296" s="390"/>
      <c r="K296" s="390"/>
      <c r="L296" s="390"/>
      <c r="M296" s="390"/>
      <c r="N296" s="390"/>
      <c r="O296" s="390"/>
      <c r="P296" s="390"/>
      <c r="Q296" s="390"/>
      <c r="R296" s="390"/>
      <c r="S296" s="390"/>
      <c r="T296" s="390"/>
      <c r="U296" s="390"/>
      <c r="V296" s="390"/>
      <c r="W296" s="390"/>
      <c r="X296" s="390"/>
      <c r="Y296" s="390"/>
      <c r="Z296" s="390"/>
      <c r="AA296" s="390"/>
      <c r="AB296" s="390"/>
      <c r="AC296" s="390"/>
      <c r="AD296" s="390"/>
      <c r="AE296" s="390"/>
      <c r="AF296" s="390"/>
      <c r="AG296" s="390"/>
      <c r="AH296" s="390"/>
      <c r="AI296" s="391"/>
      <c r="AK296" s="437"/>
      <c r="AL296" s="437"/>
      <c r="AM296" s="437"/>
      <c r="AN296" s="437"/>
      <c r="AO296" s="437"/>
      <c r="AP296" s="437"/>
      <c r="AQ296" s="437"/>
      <c r="AR296" s="437"/>
      <c r="AS296" s="437"/>
      <c r="AT296" s="437"/>
      <c r="AU296" s="437"/>
      <c r="AV296" s="437"/>
      <c r="AW296" s="437"/>
      <c r="AX296" s="437"/>
      <c r="AY296" s="437"/>
      <c r="AZ296" s="437"/>
      <c r="BA296" s="437"/>
      <c r="BB296" s="437"/>
      <c r="BC296" s="437"/>
      <c r="BD296" s="437"/>
      <c r="BE296" s="437"/>
      <c r="BF296" s="437"/>
      <c r="BG296" s="437"/>
      <c r="BH296" s="437"/>
      <c r="BI296" s="437"/>
      <c r="BJ296" s="437"/>
      <c r="BK296" s="437"/>
      <c r="BL296" s="437"/>
      <c r="BM296" s="393"/>
      <c r="BO296" s="399">
        <f t="shared" si="123"/>
        <v>0</v>
      </c>
      <c r="BP296" s="399">
        <f t="shared" si="124"/>
        <v>0</v>
      </c>
      <c r="BQ296" s="399">
        <f t="shared" si="125"/>
        <v>0</v>
      </c>
      <c r="BR296" s="399">
        <f t="shared" si="126"/>
        <v>0</v>
      </c>
      <c r="BS296" s="399">
        <f t="shared" si="127"/>
        <v>0</v>
      </c>
      <c r="BT296" s="399">
        <f t="shared" si="128"/>
        <v>0</v>
      </c>
      <c r="BU296" s="399">
        <f t="shared" si="129"/>
        <v>0</v>
      </c>
      <c r="BV296" s="399">
        <f t="shared" si="130"/>
        <v>0</v>
      </c>
      <c r="BW296" s="399">
        <f t="shared" si="131"/>
        <v>0</v>
      </c>
      <c r="BX296" s="399">
        <f t="shared" si="132"/>
        <v>0</v>
      </c>
      <c r="BY296" s="399">
        <f t="shared" si="133"/>
        <v>0</v>
      </c>
      <c r="BZ296" s="399">
        <f t="shared" si="134"/>
        <v>0</v>
      </c>
      <c r="CA296" s="399">
        <f t="shared" si="135"/>
        <v>0</v>
      </c>
      <c r="CB296" s="399">
        <f t="shared" si="136"/>
        <v>0</v>
      </c>
      <c r="CC296" s="399">
        <f t="shared" si="137"/>
        <v>0</v>
      </c>
      <c r="CD296" s="399">
        <f t="shared" si="138"/>
        <v>0</v>
      </c>
      <c r="CE296" s="399">
        <f t="shared" si="139"/>
        <v>0</v>
      </c>
      <c r="CF296" s="399">
        <f t="shared" si="140"/>
        <v>0</v>
      </c>
      <c r="CG296" s="399">
        <f t="shared" si="141"/>
        <v>0</v>
      </c>
      <c r="CH296" s="399">
        <f t="shared" si="142"/>
        <v>0</v>
      </c>
      <c r="CI296" s="399">
        <f t="shared" si="143"/>
        <v>0</v>
      </c>
      <c r="CJ296" s="399">
        <f t="shared" si="144"/>
        <v>0</v>
      </c>
      <c r="CK296" s="399">
        <f t="shared" si="145"/>
        <v>0</v>
      </c>
      <c r="CL296" s="399">
        <f t="shared" si="146"/>
        <v>0</v>
      </c>
      <c r="CM296" s="399">
        <f t="shared" si="147"/>
        <v>0</v>
      </c>
      <c r="CN296" s="399">
        <f t="shared" si="148"/>
        <v>0</v>
      </c>
      <c r="CO296" s="399">
        <f t="shared" si="149"/>
        <v>0</v>
      </c>
      <c r="CP296" s="399">
        <f t="shared" si="150"/>
        <v>0</v>
      </c>
      <c r="CQ296" s="423">
        <f t="shared" si="151"/>
        <v>0</v>
      </c>
      <c r="CS296" s="394" t="e">
        <f t="shared" si="152"/>
        <v>#DIV/0!</v>
      </c>
    </row>
    <row r="297" spans="3:97">
      <c r="C297" s="107"/>
      <c r="D297" s="395"/>
      <c r="E297" s="84"/>
      <c r="F297" s="84"/>
      <c r="G297" s="389"/>
      <c r="H297" s="390"/>
      <c r="I297" s="390"/>
      <c r="J297" s="390"/>
      <c r="K297" s="390"/>
      <c r="L297" s="390"/>
      <c r="M297" s="390"/>
      <c r="N297" s="390"/>
      <c r="O297" s="390"/>
      <c r="P297" s="390"/>
      <c r="Q297" s="390"/>
      <c r="R297" s="390"/>
      <c r="S297" s="390"/>
      <c r="T297" s="390"/>
      <c r="U297" s="390"/>
      <c r="V297" s="390"/>
      <c r="W297" s="390"/>
      <c r="X297" s="390"/>
      <c r="Y297" s="390"/>
      <c r="Z297" s="390"/>
      <c r="AA297" s="390"/>
      <c r="AB297" s="390"/>
      <c r="AC297" s="390"/>
      <c r="AD297" s="390"/>
      <c r="AE297" s="390"/>
      <c r="AF297" s="390"/>
      <c r="AG297" s="390"/>
      <c r="AH297" s="390"/>
      <c r="AI297" s="391"/>
      <c r="AK297" s="437"/>
      <c r="AL297" s="437"/>
      <c r="AM297" s="437"/>
      <c r="AN297" s="437"/>
      <c r="AO297" s="437"/>
      <c r="AP297" s="437"/>
      <c r="AQ297" s="437"/>
      <c r="AR297" s="437"/>
      <c r="AS297" s="437"/>
      <c r="AT297" s="437"/>
      <c r="AU297" s="437"/>
      <c r="AV297" s="437"/>
      <c r="AW297" s="437"/>
      <c r="AX297" s="437"/>
      <c r="AY297" s="437"/>
      <c r="AZ297" s="437"/>
      <c r="BA297" s="437"/>
      <c r="BB297" s="437"/>
      <c r="BC297" s="437"/>
      <c r="BD297" s="437"/>
      <c r="BE297" s="437"/>
      <c r="BF297" s="437"/>
      <c r="BG297" s="437"/>
      <c r="BH297" s="437"/>
      <c r="BI297" s="437"/>
      <c r="BJ297" s="437"/>
      <c r="BK297" s="437"/>
      <c r="BL297" s="437"/>
      <c r="BM297" s="393"/>
      <c r="BO297" s="399">
        <f t="shared" si="123"/>
        <v>0</v>
      </c>
      <c r="BP297" s="399">
        <f t="shared" si="124"/>
        <v>0</v>
      </c>
      <c r="BQ297" s="399">
        <f t="shared" si="125"/>
        <v>0</v>
      </c>
      <c r="BR297" s="399">
        <f t="shared" si="126"/>
        <v>0</v>
      </c>
      <c r="BS297" s="399">
        <f t="shared" si="127"/>
        <v>0</v>
      </c>
      <c r="BT297" s="399">
        <f t="shared" si="128"/>
        <v>0</v>
      </c>
      <c r="BU297" s="399">
        <f t="shared" si="129"/>
        <v>0</v>
      </c>
      <c r="BV297" s="399">
        <f t="shared" si="130"/>
        <v>0</v>
      </c>
      <c r="BW297" s="399">
        <f t="shared" si="131"/>
        <v>0</v>
      </c>
      <c r="BX297" s="399">
        <f t="shared" si="132"/>
        <v>0</v>
      </c>
      <c r="BY297" s="399">
        <f t="shared" si="133"/>
        <v>0</v>
      </c>
      <c r="BZ297" s="399">
        <f t="shared" si="134"/>
        <v>0</v>
      </c>
      <c r="CA297" s="399">
        <f t="shared" si="135"/>
        <v>0</v>
      </c>
      <c r="CB297" s="399">
        <f t="shared" si="136"/>
        <v>0</v>
      </c>
      <c r="CC297" s="399">
        <f t="shared" si="137"/>
        <v>0</v>
      </c>
      <c r="CD297" s="399">
        <f t="shared" si="138"/>
        <v>0</v>
      </c>
      <c r="CE297" s="399">
        <f t="shared" si="139"/>
        <v>0</v>
      </c>
      <c r="CF297" s="399">
        <f t="shared" si="140"/>
        <v>0</v>
      </c>
      <c r="CG297" s="399">
        <f t="shared" si="141"/>
        <v>0</v>
      </c>
      <c r="CH297" s="399">
        <f t="shared" si="142"/>
        <v>0</v>
      </c>
      <c r="CI297" s="399">
        <f t="shared" si="143"/>
        <v>0</v>
      </c>
      <c r="CJ297" s="399">
        <f t="shared" si="144"/>
        <v>0</v>
      </c>
      <c r="CK297" s="399">
        <f t="shared" si="145"/>
        <v>0</v>
      </c>
      <c r="CL297" s="399">
        <f t="shared" si="146"/>
        <v>0</v>
      </c>
      <c r="CM297" s="399">
        <f t="shared" si="147"/>
        <v>0</v>
      </c>
      <c r="CN297" s="399">
        <f t="shared" si="148"/>
        <v>0</v>
      </c>
      <c r="CO297" s="399">
        <f t="shared" si="149"/>
        <v>0</v>
      </c>
      <c r="CP297" s="399">
        <f t="shared" si="150"/>
        <v>0</v>
      </c>
      <c r="CQ297" s="423">
        <f t="shared" si="151"/>
        <v>0</v>
      </c>
      <c r="CS297" s="394" t="e">
        <f t="shared" si="152"/>
        <v>#DIV/0!</v>
      </c>
    </row>
    <row r="298" spans="3:97">
      <c r="C298" s="107"/>
      <c r="D298" s="395"/>
      <c r="E298" s="84"/>
      <c r="F298" s="84"/>
      <c r="G298" s="389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  <c r="T298" s="390"/>
      <c r="U298" s="390"/>
      <c r="V298" s="390"/>
      <c r="W298" s="390"/>
      <c r="X298" s="390"/>
      <c r="Y298" s="390"/>
      <c r="Z298" s="390"/>
      <c r="AA298" s="390"/>
      <c r="AB298" s="390"/>
      <c r="AC298" s="390"/>
      <c r="AD298" s="390"/>
      <c r="AE298" s="390"/>
      <c r="AF298" s="390"/>
      <c r="AG298" s="390"/>
      <c r="AH298" s="390"/>
      <c r="AI298" s="391"/>
      <c r="AK298" s="437"/>
      <c r="AL298" s="437"/>
      <c r="AM298" s="437"/>
      <c r="AN298" s="437"/>
      <c r="AO298" s="437"/>
      <c r="AP298" s="437"/>
      <c r="AQ298" s="437"/>
      <c r="AR298" s="437"/>
      <c r="AS298" s="437"/>
      <c r="AT298" s="437"/>
      <c r="AU298" s="437"/>
      <c r="AV298" s="437"/>
      <c r="AW298" s="437"/>
      <c r="AX298" s="437"/>
      <c r="AY298" s="437"/>
      <c r="AZ298" s="437"/>
      <c r="BA298" s="437"/>
      <c r="BB298" s="437"/>
      <c r="BC298" s="437"/>
      <c r="BD298" s="437"/>
      <c r="BE298" s="437"/>
      <c r="BF298" s="437"/>
      <c r="BG298" s="437"/>
      <c r="BH298" s="437"/>
      <c r="BI298" s="437"/>
      <c r="BJ298" s="437"/>
      <c r="BK298" s="437"/>
      <c r="BL298" s="437"/>
      <c r="BM298" s="393"/>
      <c r="BO298" s="399">
        <f t="shared" si="123"/>
        <v>0</v>
      </c>
      <c r="BP298" s="399">
        <f t="shared" si="124"/>
        <v>0</v>
      </c>
      <c r="BQ298" s="399">
        <f t="shared" si="125"/>
        <v>0</v>
      </c>
      <c r="BR298" s="399">
        <f t="shared" si="126"/>
        <v>0</v>
      </c>
      <c r="BS298" s="399">
        <f t="shared" si="127"/>
        <v>0</v>
      </c>
      <c r="BT298" s="399">
        <f t="shared" si="128"/>
        <v>0</v>
      </c>
      <c r="BU298" s="399">
        <f t="shared" si="129"/>
        <v>0</v>
      </c>
      <c r="BV298" s="399">
        <f t="shared" si="130"/>
        <v>0</v>
      </c>
      <c r="BW298" s="399">
        <f t="shared" si="131"/>
        <v>0</v>
      </c>
      <c r="BX298" s="399">
        <f t="shared" si="132"/>
        <v>0</v>
      </c>
      <c r="BY298" s="399">
        <f t="shared" si="133"/>
        <v>0</v>
      </c>
      <c r="BZ298" s="399">
        <f t="shared" si="134"/>
        <v>0</v>
      </c>
      <c r="CA298" s="399">
        <f t="shared" si="135"/>
        <v>0</v>
      </c>
      <c r="CB298" s="399">
        <f t="shared" si="136"/>
        <v>0</v>
      </c>
      <c r="CC298" s="399">
        <f t="shared" si="137"/>
        <v>0</v>
      </c>
      <c r="CD298" s="399">
        <f t="shared" si="138"/>
        <v>0</v>
      </c>
      <c r="CE298" s="399">
        <f t="shared" si="139"/>
        <v>0</v>
      </c>
      <c r="CF298" s="399">
        <f t="shared" si="140"/>
        <v>0</v>
      </c>
      <c r="CG298" s="399">
        <f t="shared" si="141"/>
        <v>0</v>
      </c>
      <c r="CH298" s="399">
        <f t="shared" si="142"/>
        <v>0</v>
      </c>
      <c r="CI298" s="399">
        <f t="shared" si="143"/>
        <v>0</v>
      </c>
      <c r="CJ298" s="399">
        <f t="shared" si="144"/>
        <v>0</v>
      </c>
      <c r="CK298" s="399">
        <f t="shared" si="145"/>
        <v>0</v>
      </c>
      <c r="CL298" s="399">
        <f t="shared" si="146"/>
        <v>0</v>
      </c>
      <c r="CM298" s="399">
        <f t="shared" si="147"/>
        <v>0</v>
      </c>
      <c r="CN298" s="399">
        <f t="shared" si="148"/>
        <v>0</v>
      </c>
      <c r="CO298" s="399">
        <f t="shared" si="149"/>
        <v>0</v>
      </c>
      <c r="CP298" s="399">
        <f t="shared" si="150"/>
        <v>0</v>
      </c>
      <c r="CQ298" s="423">
        <f t="shared" si="151"/>
        <v>0</v>
      </c>
      <c r="CS298" s="394" t="e">
        <f t="shared" si="152"/>
        <v>#DIV/0!</v>
      </c>
    </row>
    <row r="299" spans="3:97">
      <c r="C299" s="107"/>
      <c r="D299" s="395"/>
      <c r="E299" s="84"/>
      <c r="F299" s="84"/>
      <c r="G299" s="389"/>
      <c r="H299" s="390"/>
      <c r="I299" s="390"/>
      <c r="J299" s="390"/>
      <c r="K299" s="390"/>
      <c r="L299" s="390"/>
      <c r="M299" s="390"/>
      <c r="N299" s="390"/>
      <c r="O299" s="390"/>
      <c r="P299" s="390"/>
      <c r="Q299" s="390"/>
      <c r="R299" s="390"/>
      <c r="S299" s="390"/>
      <c r="T299" s="390"/>
      <c r="U299" s="390"/>
      <c r="V299" s="390"/>
      <c r="W299" s="390"/>
      <c r="X299" s="390"/>
      <c r="Y299" s="390"/>
      <c r="Z299" s="390"/>
      <c r="AA299" s="390"/>
      <c r="AB299" s="390"/>
      <c r="AC299" s="390"/>
      <c r="AD299" s="390"/>
      <c r="AE299" s="390"/>
      <c r="AF299" s="390"/>
      <c r="AG299" s="390"/>
      <c r="AH299" s="390"/>
      <c r="AI299" s="391"/>
      <c r="AK299" s="437"/>
      <c r="AL299" s="437"/>
      <c r="AM299" s="437"/>
      <c r="AN299" s="437"/>
      <c r="AO299" s="437"/>
      <c r="AP299" s="437"/>
      <c r="AQ299" s="437"/>
      <c r="AR299" s="437"/>
      <c r="AS299" s="437"/>
      <c r="AT299" s="437"/>
      <c r="AU299" s="437"/>
      <c r="AV299" s="437"/>
      <c r="AW299" s="437"/>
      <c r="AX299" s="437"/>
      <c r="AY299" s="437"/>
      <c r="AZ299" s="437"/>
      <c r="BA299" s="437"/>
      <c r="BB299" s="437"/>
      <c r="BC299" s="437"/>
      <c r="BD299" s="437"/>
      <c r="BE299" s="437"/>
      <c r="BF299" s="437"/>
      <c r="BG299" s="437"/>
      <c r="BH299" s="437"/>
      <c r="BI299" s="437"/>
      <c r="BJ299" s="437"/>
      <c r="BK299" s="437"/>
      <c r="BL299" s="437"/>
      <c r="BM299" s="393"/>
      <c r="BO299" s="399">
        <f t="shared" si="123"/>
        <v>0</v>
      </c>
      <c r="BP299" s="399">
        <f t="shared" si="124"/>
        <v>0</v>
      </c>
      <c r="BQ299" s="399">
        <f t="shared" si="125"/>
        <v>0</v>
      </c>
      <c r="BR299" s="399">
        <f t="shared" si="126"/>
        <v>0</v>
      </c>
      <c r="BS299" s="399">
        <f t="shared" si="127"/>
        <v>0</v>
      </c>
      <c r="BT299" s="399">
        <f t="shared" si="128"/>
        <v>0</v>
      </c>
      <c r="BU299" s="399">
        <f t="shared" si="129"/>
        <v>0</v>
      </c>
      <c r="BV299" s="399">
        <f t="shared" si="130"/>
        <v>0</v>
      </c>
      <c r="BW299" s="399">
        <f t="shared" si="131"/>
        <v>0</v>
      </c>
      <c r="BX299" s="399">
        <f t="shared" si="132"/>
        <v>0</v>
      </c>
      <c r="BY299" s="399">
        <f t="shared" si="133"/>
        <v>0</v>
      </c>
      <c r="BZ299" s="399">
        <f t="shared" si="134"/>
        <v>0</v>
      </c>
      <c r="CA299" s="399">
        <f t="shared" si="135"/>
        <v>0</v>
      </c>
      <c r="CB299" s="399">
        <f t="shared" si="136"/>
        <v>0</v>
      </c>
      <c r="CC299" s="399">
        <f t="shared" si="137"/>
        <v>0</v>
      </c>
      <c r="CD299" s="399">
        <f t="shared" si="138"/>
        <v>0</v>
      </c>
      <c r="CE299" s="399">
        <f t="shared" si="139"/>
        <v>0</v>
      </c>
      <c r="CF299" s="399">
        <f t="shared" si="140"/>
        <v>0</v>
      </c>
      <c r="CG299" s="399">
        <f t="shared" si="141"/>
        <v>0</v>
      </c>
      <c r="CH299" s="399">
        <f t="shared" si="142"/>
        <v>0</v>
      </c>
      <c r="CI299" s="399">
        <f t="shared" si="143"/>
        <v>0</v>
      </c>
      <c r="CJ299" s="399">
        <f t="shared" si="144"/>
        <v>0</v>
      </c>
      <c r="CK299" s="399">
        <f t="shared" si="145"/>
        <v>0</v>
      </c>
      <c r="CL299" s="399">
        <f t="shared" si="146"/>
        <v>0</v>
      </c>
      <c r="CM299" s="399">
        <f t="shared" si="147"/>
        <v>0</v>
      </c>
      <c r="CN299" s="399">
        <f t="shared" si="148"/>
        <v>0</v>
      </c>
      <c r="CO299" s="399">
        <f t="shared" si="149"/>
        <v>0</v>
      </c>
      <c r="CP299" s="399">
        <f t="shared" si="150"/>
        <v>0</v>
      </c>
      <c r="CQ299" s="423">
        <f t="shared" si="151"/>
        <v>0</v>
      </c>
      <c r="CS299" s="394" t="e">
        <f t="shared" si="152"/>
        <v>#DIV/0!</v>
      </c>
    </row>
    <row r="300" spans="3:97">
      <c r="C300" s="107"/>
      <c r="D300" s="395"/>
      <c r="E300" s="84"/>
      <c r="F300" s="84"/>
      <c r="G300" s="389"/>
      <c r="H300" s="390"/>
      <c r="I300" s="390"/>
      <c r="J300" s="390"/>
      <c r="K300" s="390"/>
      <c r="L300" s="390"/>
      <c r="M300" s="390"/>
      <c r="N300" s="390"/>
      <c r="O300" s="390"/>
      <c r="P300" s="390"/>
      <c r="Q300" s="390"/>
      <c r="R300" s="390"/>
      <c r="S300" s="390"/>
      <c r="T300" s="390"/>
      <c r="U300" s="390"/>
      <c r="V300" s="390"/>
      <c r="W300" s="390"/>
      <c r="X300" s="390"/>
      <c r="Y300" s="390"/>
      <c r="Z300" s="390"/>
      <c r="AA300" s="390"/>
      <c r="AB300" s="390"/>
      <c r="AC300" s="390"/>
      <c r="AD300" s="390"/>
      <c r="AE300" s="390"/>
      <c r="AF300" s="390"/>
      <c r="AG300" s="390"/>
      <c r="AH300" s="390"/>
      <c r="AI300" s="391"/>
      <c r="AK300" s="437"/>
      <c r="AL300" s="437"/>
      <c r="AM300" s="437"/>
      <c r="AN300" s="437"/>
      <c r="AO300" s="437"/>
      <c r="AP300" s="437"/>
      <c r="AQ300" s="437"/>
      <c r="AR300" s="437"/>
      <c r="AS300" s="437"/>
      <c r="AT300" s="437"/>
      <c r="AU300" s="437"/>
      <c r="AV300" s="437"/>
      <c r="AW300" s="437"/>
      <c r="AX300" s="437"/>
      <c r="AY300" s="437"/>
      <c r="AZ300" s="437"/>
      <c r="BA300" s="437"/>
      <c r="BB300" s="437"/>
      <c r="BC300" s="437"/>
      <c r="BD300" s="437"/>
      <c r="BE300" s="437"/>
      <c r="BF300" s="437"/>
      <c r="BG300" s="437"/>
      <c r="BH300" s="437"/>
      <c r="BI300" s="437"/>
      <c r="BJ300" s="437"/>
      <c r="BK300" s="437"/>
      <c r="BL300" s="437"/>
      <c r="BM300" s="393"/>
      <c r="BO300" s="399">
        <f t="shared" si="123"/>
        <v>0</v>
      </c>
      <c r="BP300" s="399">
        <f t="shared" si="124"/>
        <v>0</v>
      </c>
      <c r="BQ300" s="399">
        <f t="shared" si="125"/>
        <v>0</v>
      </c>
      <c r="BR300" s="399">
        <f t="shared" si="126"/>
        <v>0</v>
      </c>
      <c r="BS300" s="399">
        <f t="shared" si="127"/>
        <v>0</v>
      </c>
      <c r="BT300" s="399">
        <f t="shared" si="128"/>
        <v>0</v>
      </c>
      <c r="BU300" s="399">
        <f t="shared" si="129"/>
        <v>0</v>
      </c>
      <c r="BV300" s="399">
        <f t="shared" si="130"/>
        <v>0</v>
      </c>
      <c r="BW300" s="399">
        <f t="shared" si="131"/>
        <v>0</v>
      </c>
      <c r="BX300" s="399">
        <f t="shared" si="132"/>
        <v>0</v>
      </c>
      <c r="BY300" s="399">
        <f t="shared" si="133"/>
        <v>0</v>
      </c>
      <c r="BZ300" s="399">
        <f t="shared" si="134"/>
        <v>0</v>
      </c>
      <c r="CA300" s="399">
        <f t="shared" si="135"/>
        <v>0</v>
      </c>
      <c r="CB300" s="399">
        <f t="shared" si="136"/>
        <v>0</v>
      </c>
      <c r="CC300" s="399">
        <f t="shared" si="137"/>
        <v>0</v>
      </c>
      <c r="CD300" s="399">
        <f t="shared" si="138"/>
        <v>0</v>
      </c>
      <c r="CE300" s="399">
        <f t="shared" si="139"/>
        <v>0</v>
      </c>
      <c r="CF300" s="399">
        <f t="shared" si="140"/>
        <v>0</v>
      </c>
      <c r="CG300" s="399">
        <f t="shared" si="141"/>
        <v>0</v>
      </c>
      <c r="CH300" s="399">
        <f t="shared" si="142"/>
        <v>0</v>
      </c>
      <c r="CI300" s="399">
        <f t="shared" si="143"/>
        <v>0</v>
      </c>
      <c r="CJ300" s="399">
        <f t="shared" si="144"/>
        <v>0</v>
      </c>
      <c r="CK300" s="399">
        <f t="shared" si="145"/>
        <v>0</v>
      </c>
      <c r="CL300" s="399">
        <f t="shared" si="146"/>
        <v>0</v>
      </c>
      <c r="CM300" s="399">
        <f t="shared" si="147"/>
        <v>0</v>
      </c>
      <c r="CN300" s="399">
        <f t="shared" si="148"/>
        <v>0</v>
      </c>
      <c r="CO300" s="399">
        <f t="shared" si="149"/>
        <v>0</v>
      </c>
      <c r="CP300" s="399">
        <f t="shared" si="150"/>
        <v>0</v>
      </c>
      <c r="CQ300" s="423">
        <f t="shared" si="151"/>
        <v>0</v>
      </c>
      <c r="CS300" s="394" t="e">
        <f t="shared" si="152"/>
        <v>#DIV/0!</v>
      </c>
    </row>
    <row r="301" spans="3:97">
      <c r="C301" s="107"/>
      <c r="D301" s="395"/>
      <c r="E301" s="84"/>
      <c r="F301" s="84"/>
      <c r="G301" s="389"/>
      <c r="H301" s="390"/>
      <c r="I301" s="390"/>
      <c r="J301" s="390"/>
      <c r="K301" s="390"/>
      <c r="L301" s="390"/>
      <c r="M301" s="390"/>
      <c r="N301" s="390"/>
      <c r="O301" s="390"/>
      <c r="P301" s="390"/>
      <c r="Q301" s="390"/>
      <c r="R301" s="390"/>
      <c r="S301" s="390"/>
      <c r="T301" s="390"/>
      <c r="U301" s="390"/>
      <c r="V301" s="390"/>
      <c r="W301" s="390"/>
      <c r="X301" s="390"/>
      <c r="Y301" s="390"/>
      <c r="Z301" s="390"/>
      <c r="AA301" s="390"/>
      <c r="AB301" s="390"/>
      <c r="AC301" s="390"/>
      <c r="AD301" s="390"/>
      <c r="AE301" s="390"/>
      <c r="AF301" s="390"/>
      <c r="AG301" s="390"/>
      <c r="AH301" s="390"/>
      <c r="AI301" s="391"/>
      <c r="AK301" s="437"/>
      <c r="AL301" s="437"/>
      <c r="AM301" s="437"/>
      <c r="AN301" s="437"/>
      <c r="AO301" s="437"/>
      <c r="AP301" s="437"/>
      <c r="AQ301" s="437"/>
      <c r="AR301" s="437"/>
      <c r="AS301" s="437"/>
      <c r="AT301" s="437"/>
      <c r="AU301" s="437"/>
      <c r="AV301" s="437"/>
      <c r="AW301" s="437"/>
      <c r="AX301" s="437"/>
      <c r="AY301" s="437"/>
      <c r="AZ301" s="437"/>
      <c r="BA301" s="437"/>
      <c r="BB301" s="437"/>
      <c r="BC301" s="437"/>
      <c r="BD301" s="437"/>
      <c r="BE301" s="437"/>
      <c r="BF301" s="437"/>
      <c r="BG301" s="437"/>
      <c r="BH301" s="437"/>
      <c r="BI301" s="437"/>
      <c r="BJ301" s="437"/>
      <c r="BK301" s="437"/>
      <c r="BL301" s="437"/>
      <c r="BM301" s="393"/>
      <c r="BO301" s="399">
        <f t="shared" si="123"/>
        <v>0</v>
      </c>
      <c r="BP301" s="399">
        <f t="shared" si="124"/>
        <v>0</v>
      </c>
      <c r="BQ301" s="399">
        <f t="shared" si="125"/>
        <v>0</v>
      </c>
      <c r="BR301" s="399">
        <f t="shared" si="126"/>
        <v>0</v>
      </c>
      <c r="BS301" s="399">
        <f t="shared" si="127"/>
        <v>0</v>
      </c>
      <c r="BT301" s="399">
        <f t="shared" si="128"/>
        <v>0</v>
      </c>
      <c r="BU301" s="399">
        <f t="shared" si="129"/>
        <v>0</v>
      </c>
      <c r="BV301" s="399">
        <f t="shared" si="130"/>
        <v>0</v>
      </c>
      <c r="BW301" s="399">
        <f t="shared" si="131"/>
        <v>0</v>
      </c>
      <c r="BX301" s="399">
        <f t="shared" si="132"/>
        <v>0</v>
      </c>
      <c r="BY301" s="399">
        <f t="shared" si="133"/>
        <v>0</v>
      </c>
      <c r="BZ301" s="399">
        <f t="shared" si="134"/>
        <v>0</v>
      </c>
      <c r="CA301" s="399">
        <f t="shared" si="135"/>
        <v>0</v>
      </c>
      <c r="CB301" s="399">
        <f t="shared" si="136"/>
        <v>0</v>
      </c>
      <c r="CC301" s="399">
        <f t="shared" si="137"/>
        <v>0</v>
      </c>
      <c r="CD301" s="399">
        <f t="shared" si="138"/>
        <v>0</v>
      </c>
      <c r="CE301" s="399">
        <f t="shared" si="139"/>
        <v>0</v>
      </c>
      <c r="CF301" s="399">
        <f t="shared" si="140"/>
        <v>0</v>
      </c>
      <c r="CG301" s="399">
        <f t="shared" si="141"/>
        <v>0</v>
      </c>
      <c r="CH301" s="399">
        <f t="shared" si="142"/>
        <v>0</v>
      </c>
      <c r="CI301" s="399">
        <f t="shared" si="143"/>
        <v>0</v>
      </c>
      <c r="CJ301" s="399">
        <f t="shared" si="144"/>
        <v>0</v>
      </c>
      <c r="CK301" s="399">
        <f t="shared" si="145"/>
        <v>0</v>
      </c>
      <c r="CL301" s="399">
        <f t="shared" si="146"/>
        <v>0</v>
      </c>
      <c r="CM301" s="399">
        <f t="shared" si="147"/>
        <v>0</v>
      </c>
      <c r="CN301" s="399">
        <f t="shared" si="148"/>
        <v>0</v>
      </c>
      <c r="CO301" s="399">
        <f t="shared" si="149"/>
        <v>0</v>
      </c>
      <c r="CP301" s="399">
        <f t="shared" si="150"/>
        <v>0</v>
      </c>
      <c r="CQ301" s="423">
        <f t="shared" si="151"/>
        <v>0</v>
      </c>
      <c r="CS301" s="394" t="e">
        <f t="shared" si="152"/>
        <v>#DIV/0!</v>
      </c>
    </row>
    <row r="302" spans="3:97">
      <c r="C302" s="107"/>
      <c r="D302" s="395"/>
      <c r="E302" s="84"/>
      <c r="F302" s="84"/>
      <c r="G302" s="389"/>
      <c r="H302" s="390"/>
      <c r="I302" s="390"/>
      <c r="J302" s="390"/>
      <c r="K302" s="390"/>
      <c r="L302" s="390"/>
      <c r="M302" s="390"/>
      <c r="N302" s="390"/>
      <c r="O302" s="390"/>
      <c r="P302" s="390"/>
      <c r="Q302" s="390"/>
      <c r="R302" s="390"/>
      <c r="S302" s="390"/>
      <c r="T302" s="390"/>
      <c r="U302" s="390"/>
      <c r="V302" s="390"/>
      <c r="W302" s="390"/>
      <c r="X302" s="390"/>
      <c r="Y302" s="390"/>
      <c r="Z302" s="390"/>
      <c r="AA302" s="390"/>
      <c r="AB302" s="390"/>
      <c r="AC302" s="390"/>
      <c r="AD302" s="390"/>
      <c r="AE302" s="390"/>
      <c r="AF302" s="390"/>
      <c r="AG302" s="390"/>
      <c r="AH302" s="390"/>
      <c r="AI302" s="391"/>
      <c r="AK302" s="437"/>
      <c r="AL302" s="437"/>
      <c r="AM302" s="437"/>
      <c r="AN302" s="437"/>
      <c r="AO302" s="437"/>
      <c r="AP302" s="437"/>
      <c r="AQ302" s="437"/>
      <c r="AR302" s="437"/>
      <c r="AS302" s="437"/>
      <c r="AT302" s="437"/>
      <c r="AU302" s="437"/>
      <c r="AV302" s="437"/>
      <c r="AW302" s="437"/>
      <c r="AX302" s="437"/>
      <c r="AY302" s="437"/>
      <c r="AZ302" s="437"/>
      <c r="BA302" s="437"/>
      <c r="BB302" s="437"/>
      <c r="BC302" s="437"/>
      <c r="BD302" s="437"/>
      <c r="BE302" s="437"/>
      <c r="BF302" s="437"/>
      <c r="BG302" s="437"/>
      <c r="BH302" s="437"/>
      <c r="BI302" s="437"/>
      <c r="BJ302" s="437"/>
      <c r="BK302" s="437"/>
      <c r="BL302" s="437"/>
      <c r="BM302" s="393"/>
      <c r="BO302" s="399">
        <f t="shared" si="123"/>
        <v>0</v>
      </c>
      <c r="BP302" s="399">
        <f t="shared" si="124"/>
        <v>0</v>
      </c>
      <c r="BQ302" s="399">
        <f t="shared" si="125"/>
        <v>0</v>
      </c>
      <c r="BR302" s="399">
        <f t="shared" si="126"/>
        <v>0</v>
      </c>
      <c r="BS302" s="399">
        <f t="shared" si="127"/>
        <v>0</v>
      </c>
      <c r="BT302" s="399">
        <f t="shared" si="128"/>
        <v>0</v>
      </c>
      <c r="BU302" s="399">
        <f t="shared" si="129"/>
        <v>0</v>
      </c>
      <c r="BV302" s="399">
        <f t="shared" si="130"/>
        <v>0</v>
      </c>
      <c r="BW302" s="399">
        <f t="shared" si="131"/>
        <v>0</v>
      </c>
      <c r="BX302" s="399">
        <f t="shared" si="132"/>
        <v>0</v>
      </c>
      <c r="BY302" s="399">
        <f t="shared" si="133"/>
        <v>0</v>
      </c>
      <c r="BZ302" s="399">
        <f t="shared" si="134"/>
        <v>0</v>
      </c>
      <c r="CA302" s="399">
        <f t="shared" si="135"/>
        <v>0</v>
      </c>
      <c r="CB302" s="399">
        <f t="shared" si="136"/>
        <v>0</v>
      </c>
      <c r="CC302" s="399">
        <f t="shared" si="137"/>
        <v>0</v>
      </c>
      <c r="CD302" s="399">
        <f t="shared" si="138"/>
        <v>0</v>
      </c>
      <c r="CE302" s="399">
        <f t="shared" si="139"/>
        <v>0</v>
      </c>
      <c r="CF302" s="399">
        <f t="shared" si="140"/>
        <v>0</v>
      </c>
      <c r="CG302" s="399">
        <f t="shared" si="141"/>
        <v>0</v>
      </c>
      <c r="CH302" s="399">
        <f t="shared" si="142"/>
        <v>0</v>
      </c>
      <c r="CI302" s="399">
        <f t="shared" si="143"/>
        <v>0</v>
      </c>
      <c r="CJ302" s="399">
        <f t="shared" si="144"/>
        <v>0</v>
      </c>
      <c r="CK302" s="399">
        <f t="shared" si="145"/>
        <v>0</v>
      </c>
      <c r="CL302" s="399">
        <f t="shared" si="146"/>
        <v>0</v>
      </c>
      <c r="CM302" s="399">
        <f t="shared" si="147"/>
        <v>0</v>
      </c>
      <c r="CN302" s="399">
        <f t="shared" si="148"/>
        <v>0</v>
      </c>
      <c r="CO302" s="399">
        <f t="shared" si="149"/>
        <v>0</v>
      </c>
      <c r="CP302" s="399">
        <f t="shared" si="150"/>
        <v>0</v>
      </c>
      <c r="CQ302" s="423">
        <f t="shared" si="151"/>
        <v>0</v>
      </c>
      <c r="CS302" s="394" t="e">
        <f t="shared" si="152"/>
        <v>#DIV/0!</v>
      </c>
    </row>
    <row r="303" spans="3:97">
      <c r="C303" s="107"/>
      <c r="D303" s="395"/>
      <c r="E303" s="84"/>
      <c r="F303" s="84"/>
      <c r="G303" s="389"/>
      <c r="H303" s="390"/>
      <c r="I303" s="390"/>
      <c r="J303" s="390"/>
      <c r="K303" s="390"/>
      <c r="L303" s="390"/>
      <c r="M303" s="390"/>
      <c r="N303" s="390"/>
      <c r="O303" s="390"/>
      <c r="P303" s="390"/>
      <c r="Q303" s="390"/>
      <c r="R303" s="390"/>
      <c r="S303" s="390"/>
      <c r="T303" s="390"/>
      <c r="U303" s="390"/>
      <c r="V303" s="390"/>
      <c r="W303" s="390"/>
      <c r="X303" s="390"/>
      <c r="Y303" s="390"/>
      <c r="Z303" s="390"/>
      <c r="AA303" s="390"/>
      <c r="AB303" s="390"/>
      <c r="AC303" s="390"/>
      <c r="AD303" s="390"/>
      <c r="AE303" s="390"/>
      <c r="AF303" s="390"/>
      <c r="AG303" s="390"/>
      <c r="AH303" s="390"/>
      <c r="AI303" s="391"/>
      <c r="AK303" s="437"/>
      <c r="AL303" s="437"/>
      <c r="AM303" s="437"/>
      <c r="AN303" s="437"/>
      <c r="AO303" s="437"/>
      <c r="AP303" s="437"/>
      <c r="AQ303" s="437"/>
      <c r="AR303" s="437"/>
      <c r="AS303" s="437"/>
      <c r="AT303" s="437"/>
      <c r="AU303" s="437"/>
      <c r="AV303" s="437"/>
      <c r="AW303" s="437"/>
      <c r="AX303" s="437"/>
      <c r="AY303" s="437"/>
      <c r="AZ303" s="437"/>
      <c r="BA303" s="437"/>
      <c r="BB303" s="437"/>
      <c r="BC303" s="437"/>
      <c r="BD303" s="437"/>
      <c r="BE303" s="437"/>
      <c r="BF303" s="437"/>
      <c r="BG303" s="437"/>
      <c r="BH303" s="437"/>
      <c r="BI303" s="437"/>
      <c r="BJ303" s="437"/>
      <c r="BK303" s="437"/>
      <c r="BL303" s="437"/>
      <c r="BM303" s="393"/>
      <c r="BO303" s="399">
        <f t="shared" si="123"/>
        <v>0</v>
      </c>
      <c r="BP303" s="399">
        <f t="shared" si="124"/>
        <v>0</v>
      </c>
      <c r="BQ303" s="399">
        <f t="shared" si="125"/>
        <v>0</v>
      </c>
      <c r="BR303" s="399">
        <f t="shared" si="126"/>
        <v>0</v>
      </c>
      <c r="BS303" s="399">
        <f t="shared" si="127"/>
        <v>0</v>
      </c>
      <c r="BT303" s="399">
        <f t="shared" si="128"/>
        <v>0</v>
      </c>
      <c r="BU303" s="399">
        <f t="shared" si="129"/>
        <v>0</v>
      </c>
      <c r="BV303" s="399">
        <f t="shared" si="130"/>
        <v>0</v>
      </c>
      <c r="BW303" s="399">
        <f t="shared" si="131"/>
        <v>0</v>
      </c>
      <c r="BX303" s="399">
        <f t="shared" si="132"/>
        <v>0</v>
      </c>
      <c r="BY303" s="399">
        <f t="shared" si="133"/>
        <v>0</v>
      </c>
      <c r="BZ303" s="399">
        <f t="shared" si="134"/>
        <v>0</v>
      </c>
      <c r="CA303" s="399">
        <f t="shared" si="135"/>
        <v>0</v>
      </c>
      <c r="CB303" s="399">
        <f t="shared" si="136"/>
        <v>0</v>
      </c>
      <c r="CC303" s="399">
        <f t="shared" si="137"/>
        <v>0</v>
      </c>
      <c r="CD303" s="399">
        <f t="shared" si="138"/>
        <v>0</v>
      </c>
      <c r="CE303" s="399">
        <f t="shared" si="139"/>
        <v>0</v>
      </c>
      <c r="CF303" s="399">
        <f t="shared" si="140"/>
        <v>0</v>
      </c>
      <c r="CG303" s="399">
        <f t="shared" si="141"/>
        <v>0</v>
      </c>
      <c r="CH303" s="399">
        <f t="shared" si="142"/>
        <v>0</v>
      </c>
      <c r="CI303" s="399">
        <f t="shared" si="143"/>
        <v>0</v>
      </c>
      <c r="CJ303" s="399">
        <f t="shared" si="144"/>
        <v>0</v>
      </c>
      <c r="CK303" s="399">
        <f t="shared" si="145"/>
        <v>0</v>
      </c>
      <c r="CL303" s="399">
        <f t="shared" si="146"/>
        <v>0</v>
      </c>
      <c r="CM303" s="399">
        <f t="shared" si="147"/>
        <v>0</v>
      </c>
      <c r="CN303" s="399">
        <f t="shared" si="148"/>
        <v>0</v>
      </c>
      <c r="CO303" s="399">
        <f t="shared" si="149"/>
        <v>0</v>
      </c>
      <c r="CP303" s="399">
        <f t="shared" si="150"/>
        <v>0</v>
      </c>
      <c r="CQ303" s="423">
        <f t="shared" si="151"/>
        <v>0</v>
      </c>
      <c r="CS303" s="394" t="e">
        <f t="shared" si="152"/>
        <v>#DIV/0!</v>
      </c>
    </row>
    <row r="304" spans="3:97">
      <c r="C304" s="107"/>
      <c r="D304" s="395"/>
      <c r="E304" s="84"/>
      <c r="F304" s="84"/>
      <c r="G304" s="389"/>
      <c r="H304" s="390"/>
      <c r="I304" s="390"/>
      <c r="J304" s="390"/>
      <c r="K304" s="390"/>
      <c r="L304" s="390"/>
      <c r="M304" s="390"/>
      <c r="N304" s="390"/>
      <c r="O304" s="390"/>
      <c r="P304" s="390"/>
      <c r="Q304" s="390"/>
      <c r="R304" s="390"/>
      <c r="S304" s="390"/>
      <c r="T304" s="390"/>
      <c r="U304" s="390"/>
      <c r="V304" s="390"/>
      <c r="W304" s="390"/>
      <c r="X304" s="390"/>
      <c r="Y304" s="390"/>
      <c r="Z304" s="390"/>
      <c r="AA304" s="390"/>
      <c r="AB304" s="390"/>
      <c r="AC304" s="390"/>
      <c r="AD304" s="390"/>
      <c r="AE304" s="390"/>
      <c r="AF304" s="390"/>
      <c r="AG304" s="390"/>
      <c r="AH304" s="390"/>
      <c r="AI304" s="391"/>
      <c r="AK304" s="437"/>
      <c r="AL304" s="437"/>
      <c r="AM304" s="437"/>
      <c r="AN304" s="437"/>
      <c r="AO304" s="437"/>
      <c r="AP304" s="437"/>
      <c r="AQ304" s="437"/>
      <c r="AR304" s="437"/>
      <c r="AS304" s="437"/>
      <c r="AT304" s="437"/>
      <c r="AU304" s="437"/>
      <c r="AV304" s="437"/>
      <c r="AW304" s="437"/>
      <c r="AX304" s="437"/>
      <c r="AY304" s="437"/>
      <c r="AZ304" s="437"/>
      <c r="BA304" s="437"/>
      <c r="BB304" s="437"/>
      <c r="BC304" s="437"/>
      <c r="BD304" s="437"/>
      <c r="BE304" s="437"/>
      <c r="BF304" s="437"/>
      <c r="BG304" s="437"/>
      <c r="BH304" s="437"/>
      <c r="BI304" s="437"/>
      <c r="BJ304" s="437"/>
      <c r="BK304" s="437"/>
      <c r="BL304" s="437"/>
      <c r="BM304" s="393"/>
      <c r="BO304" s="399">
        <f t="shared" si="123"/>
        <v>0</v>
      </c>
      <c r="BP304" s="399">
        <f t="shared" si="124"/>
        <v>0</v>
      </c>
      <c r="BQ304" s="399">
        <f t="shared" si="125"/>
        <v>0</v>
      </c>
      <c r="BR304" s="399">
        <f t="shared" si="126"/>
        <v>0</v>
      </c>
      <c r="BS304" s="399">
        <f t="shared" si="127"/>
        <v>0</v>
      </c>
      <c r="BT304" s="399">
        <f t="shared" si="128"/>
        <v>0</v>
      </c>
      <c r="BU304" s="399">
        <f t="shared" si="129"/>
        <v>0</v>
      </c>
      <c r="BV304" s="399">
        <f t="shared" si="130"/>
        <v>0</v>
      </c>
      <c r="BW304" s="399">
        <f t="shared" si="131"/>
        <v>0</v>
      </c>
      <c r="BX304" s="399">
        <f t="shared" si="132"/>
        <v>0</v>
      </c>
      <c r="BY304" s="399">
        <f t="shared" si="133"/>
        <v>0</v>
      </c>
      <c r="BZ304" s="399">
        <f t="shared" si="134"/>
        <v>0</v>
      </c>
      <c r="CA304" s="399">
        <f t="shared" si="135"/>
        <v>0</v>
      </c>
      <c r="CB304" s="399">
        <f t="shared" si="136"/>
        <v>0</v>
      </c>
      <c r="CC304" s="399">
        <f t="shared" si="137"/>
        <v>0</v>
      </c>
      <c r="CD304" s="399">
        <f t="shared" si="138"/>
        <v>0</v>
      </c>
      <c r="CE304" s="399">
        <f t="shared" si="139"/>
        <v>0</v>
      </c>
      <c r="CF304" s="399">
        <f t="shared" si="140"/>
        <v>0</v>
      </c>
      <c r="CG304" s="399">
        <f t="shared" si="141"/>
        <v>0</v>
      </c>
      <c r="CH304" s="399">
        <f t="shared" si="142"/>
        <v>0</v>
      </c>
      <c r="CI304" s="399">
        <f t="shared" si="143"/>
        <v>0</v>
      </c>
      <c r="CJ304" s="399">
        <f t="shared" si="144"/>
        <v>0</v>
      </c>
      <c r="CK304" s="399">
        <f t="shared" si="145"/>
        <v>0</v>
      </c>
      <c r="CL304" s="399">
        <f t="shared" si="146"/>
        <v>0</v>
      </c>
      <c r="CM304" s="399">
        <f t="shared" si="147"/>
        <v>0</v>
      </c>
      <c r="CN304" s="399">
        <f t="shared" si="148"/>
        <v>0</v>
      </c>
      <c r="CO304" s="399">
        <f t="shared" si="149"/>
        <v>0</v>
      </c>
      <c r="CP304" s="399">
        <f t="shared" si="150"/>
        <v>0</v>
      </c>
      <c r="CQ304" s="423">
        <f t="shared" si="151"/>
        <v>0</v>
      </c>
      <c r="CS304" s="394" t="e">
        <f t="shared" si="152"/>
        <v>#DIV/0!</v>
      </c>
    </row>
    <row r="305" spans="3:97">
      <c r="C305" s="107"/>
      <c r="D305" s="395"/>
      <c r="E305" s="84"/>
      <c r="F305" s="84"/>
      <c r="G305" s="389"/>
      <c r="H305" s="390"/>
      <c r="I305" s="390"/>
      <c r="J305" s="390"/>
      <c r="K305" s="390"/>
      <c r="L305" s="390"/>
      <c r="M305" s="390"/>
      <c r="N305" s="390"/>
      <c r="O305" s="390"/>
      <c r="P305" s="390"/>
      <c r="Q305" s="390"/>
      <c r="R305" s="390"/>
      <c r="S305" s="390"/>
      <c r="T305" s="390"/>
      <c r="U305" s="390"/>
      <c r="V305" s="390"/>
      <c r="W305" s="390"/>
      <c r="X305" s="390"/>
      <c r="Y305" s="390"/>
      <c r="Z305" s="390"/>
      <c r="AA305" s="390"/>
      <c r="AB305" s="390"/>
      <c r="AC305" s="390"/>
      <c r="AD305" s="390"/>
      <c r="AE305" s="390"/>
      <c r="AF305" s="390"/>
      <c r="AG305" s="390"/>
      <c r="AH305" s="390"/>
      <c r="AI305" s="391"/>
      <c r="AK305" s="437"/>
      <c r="AL305" s="437"/>
      <c r="AM305" s="437"/>
      <c r="AN305" s="437"/>
      <c r="AO305" s="437"/>
      <c r="AP305" s="437"/>
      <c r="AQ305" s="437"/>
      <c r="AR305" s="437"/>
      <c r="AS305" s="437"/>
      <c r="AT305" s="437"/>
      <c r="AU305" s="437"/>
      <c r="AV305" s="437"/>
      <c r="AW305" s="437"/>
      <c r="AX305" s="437"/>
      <c r="AY305" s="437"/>
      <c r="AZ305" s="437"/>
      <c r="BA305" s="437"/>
      <c r="BB305" s="437"/>
      <c r="BC305" s="437"/>
      <c r="BD305" s="437"/>
      <c r="BE305" s="437"/>
      <c r="BF305" s="437"/>
      <c r="BG305" s="437"/>
      <c r="BH305" s="437"/>
      <c r="BI305" s="437"/>
      <c r="BJ305" s="437"/>
      <c r="BK305" s="437"/>
      <c r="BL305" s="437"/>
      <c r="BM305" s="393"/>
      <c r="BO305" s="399">
        <f t="shared" si="123"/>
        <v>0</v>
      </c>
      <c r="BP305" s="399">
        <f t="shared" si="124"/>
        <v>0</v>
      </c>
      <c r="BQ305" s="399">
        <f t="shared" si="125"/>
        <v>0</v>
      </c>
      <c r="BR305" s="399">
        <f t="shared" si="126"/>
        <v>0</v>
      </c>
      <c r="BS305" s="399">
        <f t="shared" si="127"/>
        <v>0</v>
      </c>
      <c r="BT305" s="399">
        <f t="shared" si="128"/>
        <v>0</v>
      </c>
      <c r="BU305" s="399">
        <f t="shared" si="129"/>
        <v>0</v>
      </c>
      <c r="BV305" s="399">
        <f t="shared" si="130"/>
        <v>0</v>
      </c>
      <c r="BW305" s="399">
        <f t="shared" si="131"/>
        <v>0</v>
      </c>
      <c r="BX305" s="399">
        <f t="shared" si="132"/>
        <v>0</v>
      </c>
      <c r="BY305" s="399">
        <f t="shared" si="133"/>
        <v>0</v>
      </c>
      <c r="BZ305" s="399">
        <f t="shared" si="134"/>
        <v>0</v>
      </c>
      <c r="CA305" s="399">
        <f t="shared" si="135"/>
        <v>0</v>
      </c>
      <c r="CB305" s="399">
        <f t="shared" si="136"/>
        <v>0</v>
      </c>
      <c r="CC305" s="399">
        <f t="shared" si="137"/>
        <v>0</v>
      </c>
      <c r="CD305" s="399">
        <f t="shared" si="138"/>
        <v>0</v>
      </c>
      <c r="CE305" s="399">
        <f t="shared" si="139"/>
        <v>0</v>
      </c>
      <c r="CF305" s="399">
        <f t="shared" si="140"/>
        <v>0</v>
      </c>
      <c r="CG305" s="399">
        <f t="shared" si="141"/>
        <v>0</v>
      </c>
      <c r="CH305" s="399">
        <f t="shared" si="142"/>
        <v>0</v>
      </c>
      <c r="CI305" s="399">
        <f t="shared" si="143"/>
        <v>0</v>
      </c>
      <c r="CJ305" s="399">
        <f t="shared" si="144"/>
        <v>0</v>
      </c>
      <c r="CK305" s="399">
        <f t="shared" si="145"/>
        <v>0</v>
      </c>
      <c r="CL305" s="399">
        <f t="shared" si="146"/>
        <v>0</v>
      </c>
      <c r="CM305" s="399">
        <f t="shared" si="147"/>
        <v>0</v>
      </c>
      <c r="CN305" s="399">
        <f t="shared" si="148"/>
        <v>0</v>
      </c>
      <c r="CO305" s="399">
        <f t="shared" si="149"/>
        <v>0</v>
      </c>
      <c r="CP305" s="399">
        <f t="shared" si="150"/>
        <v>0</v>
      </c>
      <c r="CQ305" s="423">
        <f t="shared" si="151"/>
        <v>0</v>
      </c>
      <c r="CS305" s="394" t="e">
        <f t="shared" si="152"/>
        <v>#DIV/0!</v>
      </c>
    </row>
    <row r="306" spans="3:97">
      <c r="C306" s="107"/>
      <c r="D306" s="395"/>
      <c r="E306" s="84"/>
      <c r="F306" s="84"/>
      <c r="G306" s="389"/>
      <c r="H306" s="390"/>
      <c r="I306" s="390"/>
      <c r="J306" s="390"/>
      <c r="K306" s="390"/>
      <c r="L306" s="390"/>
      <c r="M306" s="390"/>
      <c r="N306" s="390"/>
      <c r="O306" s="390"/>
      <c r="P306" s="390"/>
      <c r="Q306" s="390"/>
      <c r="R306" s="390"/>
      <c r="S306" s="390"/>
      <c r="T306" s="390"/>
      <c r="U306" s="390"/>
      <c r="V306" s="390"/>
      <c r="W306" s="390"/>
      <c r="X306" s="390"/>
      <c r="Y306" s="390"/>
      <c r="Z306" s="390"/>
      <c r="AA306" s="390"/>
      <c r="AB306" s="390"/>
      <c r="AC306" s="390"/>
      <c r="AD306" s="390"/>
      <c r="AE306" s="390"/>
      <c r="AF306" s="390"/>
      <c r="AG306" s="390"/>
      <c r="AH306" s="390"/>
      <c r="AI306" s="391"/>
      <c r="AK306" s="437"/>
      <c r="AL306" s="437"/>
      <c r="AM306" s="437"/>
      <c r="AN306" s="437"/>
      <c r="AO306" s="437"/>
      <c r="AP306" s="437"/>
      <c r="AQ306" s="437"/>
      <c r="AR306" s="437"/>
      <c r="AS306" s="437"/>
      <c r="AT306" s="437"/>
      <c r="AU306" s="437"/>
      <c r="AV306" s="437"/>
      <c r="AW306" s="437"/>
      <c r="AX306" s="437"/>
      <c r="AY306" s="437"/>
      <c r="AZ306" s="437"/>
      <c r="BA306" s="437"/>
      <c r="BB306" s="437"/>
      <c r="BC306" s="437"/>
      <c r="BD306" s="437"/>
      <c r="BE306" s="437"/>
      <c r="BF306" s="437"/>
      <c r="BG306" s="437"/>
      <c r="BH306" s="437"/>
      <c r="BI306" s="437"/>
      <c r="BJ306" s="437"/>
      <c r="BK306" s="437"/>
      <c r="BL306" s="437"/>
      <c r="BM306" s="393"/>
      <c r="BO306" s="399">
        <f t="shared" si="123"/>
        <v>0</v>
      </c>
      <c r="BP306" s="399">
        <f t="shared" si="124"/>
        <v>0</v>
      </c>
      <c r="BQ306" s="399">
        <f t="shared" si="125"/>
        <v>0</v>
      </c>
      <c r="BR306" s="399">
        <f t="shared" si="126"/>
        <v>0</v>
      </c>
      <c r="BS306" s="399">
        <f t="shared" si="127"/>
        <v>0</v>
      </c>
      <c r="BT306" s="399">
        <f t="shared" si="128"/>
        <v>0</v>
      </c>
      <c r="BU306" s="399">
        <f t="shared" si="129"/>
        <v>0</v>
      </c>
      <c r="BV306" s="399">
        <f t="shared" si="130"/>
        <v>0</v>
      </c>
      <c r="BW306" s="399">
        <f t="shared" si="131"/>
        <v>0</v>
      </c>
      <c r="BX306" s="399">
        <f t="shared" si="132"/>
        <v>0</v>
      </c>
      <c r="BY306" s="399">
        <f t="shared" si="133"/>
        <v>0</v>
      </c>
      <c r="BZ306" s="399">
        <f t="shared" si="134"/>
        <v>0</v>
      </c>
      <c r="CA306" s="399">
        <f t="shared" si="135"/>
        <v>0</v>
      </c>
      <c r="CB306" s="399">
        <f t="shared" si="136"/>
        <v>0</v>
      </c>
      <c r="CC306" s="399">
        <f t="shared" si="137"/>
        <v>0</v>
      </c>
      <c r="CD306" s="399">
        <f t="shared" si="138"/>
        <v>0</v>
      </c>
      <c r="CE306" s="399">
        <f t="shared" si="139"/>
        <v>0</v>
      </c>
      <c r="CF306" s="399">
        <f t="shared" si="140"/>
        <v>0</v>
      </c>
      <c r="CG306" s="399">
        <f t="shared" si="141"/>
        <v>0</v>
      </c>
      <c r="CH306" s="399">
        <f t="shared" si="142"/>
        <v>0</v>
      </c>
      <c r="CI306" s="399">
        <f t="shared" si="143"/>
        <v>0</v>
      </c>
      <c r="CJ306" s="399">
        <f t="shared" si="144"/>
        <v>0</v>
      </c>
      <c r="CK306" s="399">
        <f t="shared" si="145"/>
        <v>0</v>
      </c>
      <c r="CL306" s="399">
        <f t="shared" si="146"/>
        <v>0</v>
      </c>
      <c r="CM306" s="399">
        <f t="shared" si="147"/>
        <v>0</v>
      </c>
      <c r="CN306" s="399">
        <f t="shared" si="148"/>
        <v>0</v>
      </c>
      <c r="CO306" s="399">
        <f t="shared" si="149"/>
        <v>0</v>
      </c>
      <c r="CP306" s="399">
        <f t="shared" si="150"/>
        <v>0</v>
      </c>
      <c r="CQ306" s="423">
        <f t="shared" si="151"/>
        <v>0</v>
      </c>
      <c r="CS306" s="394" t="e">
        <f t="shared" si="152"/>
        <v>#DIV/0!</v>
      </c>
    </row>
    <row r="307" spans="3:97">
      <c r="C307" s="107"/>
      <c r="D307" s="395"/>
      <c r="E307" s="84"/>
      <c r="F307" s="84"/>
      <c r="G307" s="389"/>
      <c r="H307" s="390"/>
      <c r="I307" s="390"/>
      <c r="J307" s="390"/>
      <c r="K307" s="390"/>
      <c r="L307" s="390"/>
      <c r="M307" s="390"/>
      <c r="N307" s="390"/>
      <c r="O307" s="390"/>
      <c r="P307" s="390"/>
      <c r="Q307" s="390"/>
      <c r="R307" s="390"/>
      <c r="S307" s="390"/>
      <c r="T307" s="390"/>
      <c r="U307" s="390"/>
      <c r="V307" s="390"/>
      <c r="W307" s="390"/>
      <c r="X307" s="390"/>
      <c r="Y307" s="390"/>
      <c r="Z307" s="390"/>
      <c r="AA307" s="390"/>
      <c r="AB307" s="390"/>
      <c r="AC307" s="390"/>
      <c r="AD307" s="390"/>
      <c r="AE307" s="390"/>
      <c r="AF307" s="390"/>
      <c r="AG307" s="390"/>
      <c r="AH307" s="390"/>
      <c r="AI307" s="391"/>
      <c r="AK307" s="437"/>
      <c r="AL307" s="437"/>
      <c r="AM307" s="437"/>
      <c r="AN307" s="437"/>
      <c r="AO307" s="437"/>
      <c r="AP307" s="437"/>
      <c r="AQ307" s="437"/>
      <c r="AR307" s="437"/>
      <c r="AS307" s="437"/>
      <c r="AT307" s="437"/>
      <c r="AU307" s="437"/>
      <c r="AV307" s="437"/>
      <c r="AW307" s="437"/>
      <c r="AX307" s="437"/>
      <c r="AY307" s="437"/>
      <c r="AZ307" s="437"/>
      <c r="BA307" s="437"/>
      <c r="BB307" s="437"/>
      <c r="BC307" s="437"/>
      <c r="BD307" s="437"/>
      <c r="BE307" s="437"/>
      <c r="BF307" s="437"/>
      <c r="BG307" s="437"/>
      <c r="BH307" s="437"/>
      <c r="BI307" s="437"/>
      <c r="BJ307" s="437"/>
      <c r="BK307" s="437"/>
      <c r="BL307" s="437"/>
      <c r="BM307" s="393"/>
      <c r="BO307" s="399">
        <f t="shared" si="123"/>
        <v>0</v>
      </c>
      <c r="BP307" s="399">
        <f t="shared" si="124"/>
        <v>0</v>
      </c>
      <c r="BQ307" s="399">
        <f t="shared" si="125"/>
        <v>0</v>
      </c>
      <c r="BR307" s="399">
        <f t="shared" si="126"/>
        <v>0</v>
      </c>
      <c r="BS307" s="399">
        <f t="shared" si="127"/>
        <v>0</v>
      </c>
      <c r="BT307" s="399">
        <f t="shared" si="128"/>
        <v>0</v>
      </c>
      <c r="BU307" s="399">
        <f t="shared" si="129"/>
        <v>0</v>
      </c>
      <c r="BV307" s="399">
        <f t="shared" si="130"/>
        <v>0</v>
      </c>
      <c r="BW307" s="399">
        <f t="shared" si="131"/>
        <v>0</v>
      </c>
      <c r="BX307" s="399">
        <f t="shared" si="132"/>
        <v>0</v>
      </c>
      <c r="BY307" s="399">
        <f t="shared" si="133"/>
        <v>0</v>
      </c>
      <c r="BZ307" s="399">
        <f t="shared" si="134"/>
        <v>0</v>
      </c>
      <c r="CA307" s="399">
        <f t="shared" si="135"/>
        <v>0</v>
      </c>
      <c r="CB307" s="399">
        <f t="shared" si="136"/>
        <v>0</v>
      </c>
      <c r="CC307" s="399">
        <f t="shared" si="137"/>
        <v>0</v>
      </c>
      <c r="CD307" s="399">
        <f t="shared" si="138"/>
        <v>0</v>
      </c>
      <c r="CE307" s="399">
        <f t="shared" si="139"/>
        <v>0</v>
      </c>
      <c r="CF307" s="399">
        <f t="shared" si="140"/>
        <v>0</v>
      </c>
      <c r="CG307" s="399">
        <f t="shared" si="141"/>
        <v>0</v>
      </c>
      <c r="CH307" s="399">
        <f t="shared" si="142"/>
        <v>0</v>
      </c>
      <c r="CI307" s="399">
        <f t="shared" si="143"/>
        <v>0</v>
      </c>
      <c r="CJ307" s="399">
        <f t="shared" si="144"/>
        <v>0</v>
      </c>
      <c r="CK307" s="399">
        <f t="shared" si="145"/>
        <v>0</v>
      </c>
      <c r="CL307" s="399">
        <f t="shared" si="146"/>
        <v>0</v>
      </c>
      <c r="CM307" s="399">
        <f t="shared" si="147"/>
        <v>0</v>
      </c>
      <c r="CN307" s="399">
        <f t="shared" si="148"/>
        <v>0</v>
      </c>
      <c r="CO307" s="399">
        <f t="shared" si="149"/>
        <v>0</v>
      </c>
      <c r="CP307" s="399">
        <f t="shared" si="150"/>
        <v>0</v>
      </c>
      <c r="CQ307" s="423">
        <f t="shared" si="151"/>
        <v>0</v>
      </c>
      <c r="CS307" s="394" t="e">
        <f t="shared" si="152"/>
        <v>#DIV/0!</v>
      </c>
    </row>
    <row r="308" spans="3:97">
      <c r="C308" s="107"/>
      <c r="D308" s="395"/>
      <c r="E308" s="84"/>
      <c r="F308" s="84"/>
      <c r="G308" s="389"/>
      <c r="H308" s="390"/>
      <c r="I308" s="390"/>
      <c r="J308" s="390"/>
      <c r="K308" s="390"/>
      <c r="L308" s="390"/>
      <c r="M308" s="390"/>
      <c r="N308" s="390"/>
      <c r="O308" s="390"/>
      <c r="P308" s="390"/>
      <c r="Q308" s="390"/>
      <c r="R308" s="390"/>
      <c r="S308" s="390"/>
      <c r="T308" s="390"/>
      <c r="U308" s="390"/>
      <c r="V308" s="390"/>
      <c r="W308" s="390"/>
      <c r="X308" s="390"/>
      <c r="Y308" s="390"/>
      <c r="Z308" s="390"/>
      <c r="AA308" s="390"/>
      <c r="AB308" s="390"/>
      <c r="AC308" s="390"/>
      <c r="AD308" s="390"/>
      <c r="AE308" s="390"/>
      <c r="AF308" s="390"/>
      <c r="AG308" s="390"/>
      <c r="AH308" s="390"/>
      <c r="AI308" s="391"/>
      <c r="AK308" s="437"/>
      <c r="AL308" s="437"/>
      <c r="AM308" s="437"/>
      <c r="AN308" s="437"/>
      <c r="AO308" s="437"/>
      <c r="AP308" s="437"/>
      <c r="AQ308" s="437"/>
      <c r="AR308" s="437"/>
      <c r="AS308" s="437"/>
      <c r="AT308" s="437"/>
      <c r="AU308" s="437"/>
      <c r="AV308" s="437"/>
      <c r="AW308" s="437"/>
      <c r="AX308" s="437"/>
      <c r="AY308" s="437"/>
      <c r="AZ308" s="437"/>
      <c r="BA308" s="437"/>
      <c r="BB308" s="437"/>
      <c r="BC308" s="437"/>
      <c r="BD308" s="437"/>
      <c r="BE308" s="437"/>
      <c r="BF308" s="437"/>
      <c r="BG308" s="437"/>
      <c r="BH308" s="437"/>
      <c r="BI308" s="437"/>
      <c r="BJ308" s="437"/>
      <c r="BK308" s="437"/>
      <c r="BL308" s="437"/>
      <c r="BM308" s="393"/>
      <c r="BO308" s="399">
        <f t="shared" si="123"/>
        <v>0</v>
      </c>
      <c r="BP308" s="399">
        <f t="shared" si="124"/>
        <v>0</v>
      </c>
      <c r="BQ308" s="399">
        <f t="shared" si="125"/>
        <v>0</v>
      </c>
      <c r="BR308" s="399">
        <f t="shared" si="126"/>
        <v>0</v>
      </c>
      <c r="BS308" s="399">
        <f t="shared" si="127"/>
        <v>0</v>
      </c>
      <c r="BT308" s="399">
        <f t="shared" si="128"/>
        <v>0</v>
      </c>
      <c r="BU308" s="399">
        <f t="shared" si="129"/>
        <v>0</v>
      </c>
      <c r="BV308" s="399">
        <f t="shared" si="130"/>
        <v>0</v>
      </c>
      <c r="BW308" s="399">
        <f t="shared" si="131"/>
        <v>0</v>
      </c>
      <c r="BX308" s="399">
        <f t="shared" si="132"/>
        <v>0</v>
      </c>
      <c r="BY308" s="399">
        <f t="shared" si="133"/>
        <v>0</v>
      </c>
      <c r="BZ308" s="399">
        <f t="shared" si="134"/>
        <v>0</v>
      </c>
      <c r="CA308" s="399">
        <f t="shared" si="135"/>
        <v>0</v>
      </c>
      <c r="CB308" s="399">
        <f t="shared" si="136"/>
        <v>0</v>
      </c>
      <c r="CC308" s="399">
        <f t="shared" si="137"/>
        <v>0</v>
      </c>
      <c r="CD308" s="399">
        <f t="shared" si="138"/>
        <v>0</v>
      </c>
      <c r="CE308" s="399">
        <f t="shared" si="139"/>
        <v>0</v>
      </c>
      <c r="CF308" s="399">
        <f t="shared" si="140"/>
        <v>0</v>
      </c>
      <c r="CG308" s="399">
        <f t="shared" si="141"/>
        <v>0</v>
      </c>
      <c r="CH308" s="399">
        <f t="shared" si="142"/>
        <v>0</v>
      </c>
      <c r="CI308" s="399">
        <f t="shared" si="143"/>
        <v>0</v>
      </c>
      <c r="CJ308" s="399">
        <f t="shared" si="144"/>
        <v>0</v>
      </c>
      <c r="CK308" s="399">
        <f t="shared" si="145"/>
        <v>0</v>
      </c>
      <c r="CL308" s="399">
        <f t="shared" si="146"/>
        <v>0</v>
      </c>
      <c r="CM308" s="399">
        <f t="shared" si="147"/>
        <v>0</v>
      </c>
      <c r="CN308" s="399">
        <f t="shared" si="148"/>
        <v>0</v>
      </c>
      <c r="CO308" s="399">
        <f t="shared" si="149"/>
        <v>0</v>
      </c>
      <c r="CP308" s="399">
        <f t="shared" si="150"/>
        <v>0</v>
      </c>
      <c r="CQ308" s="423">
        <f t="shared" si="151"/>
        <v>0</v>
      </c>
      <c r="CS308" s="394" t="e">
        <f t="shared" si="152"/>
        <v>#DIV/0!</v>
      </c>
    </row>
    <row r="309" spans="3:97">
      <c r="C309" s="107"/>
      <c r="D309" s="395"/>
      <c r="E309" s="84"/>
      <c r="F309" s="84"/>
      <c r="G309" s="389"/>
      <c r="H309" s="390"/>
      <c r="I309" s="390"/>
      <c r="J309" s="390"/>
      <c r="K309" s="390"/>
      <c r="L309" s="390"/>
      <c r="M309" s="390"/>
      <c r="N309" s="390"/>
      <c r="O309" s="390"/>
      <c r="P309" s="390"/>
      <c r="Q309" s="390"/>
      <c r="R309" s="390"/>
      <c r="S309" s="390"/>
      <c r="T309" s="390"/>
      <c r="U309" s="390"/>
      <c r="V309" s="390"/>
      <c r="W309" s="390"/>
      <c r="X309" s="390"/>
      <c r="Y309" s="390"/>
      <c r="Z309" s="390"/>
      <c r="AA309" s="390"/>
      <c r="AB309" s="390"/>
      <c r="AC309" s="390"/>
      <c r="AD309" s="390"/>
      <c r="AE309" s="390"/>
      <c r="AF309" s="390"/>
      <c r="AG309" s="390"/>
      <c r="AH309" s="390"/>
      <c r="AI309" s="391"/>
      <c r="AK309" s="437"/>
      <c r="AL309" s="437"/>
      <c r="AM309" s="437"/>
      <c r="AN309" s="437"/>
      <c r="AO309" s="437"/>
      <c r="AP309" s="437"/>
      <c r="AQ309" s="437"/>
      <c r="AR309" s="437"/>
      <c r="AS309" s="437"/>
      <c r="AT309" s="437"/>
      <c r="AU309" s="437"/>
      <c r="AV309" s="437"/>
      <c r="AW309" s="437"/>
      <c r="AX309" s="437"/>
      <c r="AY309" s="437"/>
      <c r="AZ309" s="437"/>
      <c r="BA309" s="437"/>
      <c r="BB309" s="437"/>
      <c r="BC309" s="437"/>
      <c r="BD309" s="437"/>
      <c r="BE309" s="437"/>
      <c r="BF309" s="437"/>
      <c r="BG309" s="437"/>
      <c r="BH309" s="437"/>
      <c r="BI309" s="437"/>
      <c r="BJ309" s="437"/>
      <c r="BK309" s="437"/>
      <c r="BL309" s="437"/>
      <c r="BM309" s="393"/>
      <c r="BO309" s="399">
        <f t="shared" si="123"/>
        <v>0</v>
      </c>
      <c r="BP309" s="399">
        <f t="shared" si="124"/>
        <v>0</v>
      </c>
      <c r="BQ309" s="399">
        <f t="shared" si="125"/>
        <v>0</v>
      </c>
      <c r="BR309" s="399">
        <f t="shared" si="126"/>
        <v>0</v>
      </c>
      <c r="BS309" s="399">
        <f t="shared" si="127"/>
        <v>0</v>
      </c>
      <c r="BT309" s="399">
        <f t="shared" si="128"/>
        <v>0</v>
      </c>
      <c r="BU309" s="399">
        <f t="shared" si="129"/>
        <v>0</v>
      </c>
      <c r="BV309" s="399">
        <f t="shared" si="130"/>
        <v>0</v>
      </c>
      <c r="BW309" s="399">
        <f t="shared" si="131"/>
        <v>0</v>
      </c>
      <c r="BX309" s="399">
        <f t="shared" si="132"/>
        <v>0</v>
      </c>
      <c r="BY309" s="399">
        <f t="shared" si="133"/>
        <v>0</v>
      </c>
      <c r="BZ309" s="399">
        <f t="shared" si="134"/>
        <v>0</v>
      </c>
      <c r="CA309" s="399">
        <f t="shared" si="135"/>
        <v>0</v>
      </c>
      <c r="CB309" s="399">
        <f t="shared" si="136"/>
        <v>0</v>
      </c>
      <c r="CC309" s="399">
        <f t="shared" si="137"/>
        <v>0</v>
      </c>
      <c r="CD309" s="399">
        <f t="shared" si="138"/>
        <v>0</v>
      </c>
      <c r="CE309" s="399">
        <f t="shared" si="139"/>
        <v>0</v>
      </c>
      <c r="CF309" s="399">
        <f t="shared" si="140"/>
        <v>0</v>
      </c>
      <c r="CG309" s="399">
        <f t="shared" si="141"/>
        <v>0</v>
      </c>
      <c r="CH309" s="399">
        <f t="shared" si="142"/>
        <v>0</v>
      </c>
      <c r="CI309" s="399">
        <f t="shared" si="143"/>
        <v>0</v>
      </c>
      <c r="CJ309" s="399">
        <f t="shared" si="144"/>
        <v>0</v>
      </c>
      <c r="CK309" s="399">
        <f t="shared" si="145"/>
        <v>0</v>
      </c>
      <c r="CL309" s="399">
        <f t="shared" si="146"/>
        <v>0</v>
      </c>
      <c r="CM309" s="399">
        <f t="shared" si="147"/>
        <v>0</v>
      </c>
      <c r="CN309" s="399">
        <f t="shared" si="148"/>
        <v>0</v>
      </c>
      <c r="CO309" s="399">
        <f t="shared" si="149"/>
        <v>0</v>
      </c>
      <c r="CP309" s="399">
        <f t="shared" si="150"/>
        <v>0</v>
      </c>
      <c r="CQ309" s="423">
        <f t="shared" si="151"/>
        <v>0</v>
      </c>
      <c r="CS309" s="394" t="e">
        <f t="shared" si="152"/>
        <v>#DIV/0!</v>
      </c>
    </row>
    <row r="310" spans="3:97">
      <c r="C310" s="107"/>
      <c r="D310" s="395"/>
      <c r="E310" s="84"/>
      <c r="F310" s="84"/>
      <c r="G310" s="389"/>
      <c r="H310" s="390"/>
      <c r="I310" s="390"/>
      <c r="J310" s="390"/>
      <c r="K310" s="390"/>
      <c r="L310" s="390"/>
      <c r="M310" s="390"/>
      <c r="N310" s="390"/>
      <c r="O310" s="390"/>
      <c r="P310" s="390"/>
      <c r="Q310" s="390"/>
      <c r="R310" s="390"/>
      <c r="S310" s="390"/>
      <c r="T310" s="390"/>
      <c r="U310" s="390"/>
      <c r="V310" s="390"/>
      <c r="W310" s="390"/>
      <c r="X310" s="390"/>
      <c r="Y310" s="390"/>
      <c r="Z310" s="390"/>
      <c r="AA310" s="390"/>
      <c r="AB310" s="390"/>
      <c r="AC310" s="390"/>
      <c r="AD310" s="390"/>
      <c r="AE310" s="390"/>
      <c r="AF310" s="390"/>
      <c r="AG310" s="390"/>
      <c r="AH310" s="390"/>
      <c r="AI310" s="391"/>
      <c r="AK310" s="437"/>
      <c r="AL310" s="437"/>
      <c r="AM310" s="437"/>
      <c r="AN310" s="437"/>
      <c r="AO310" s="437"/>
      <c r="AP310" s="437"/>
      <c r="AQ310" s="437"/>
      <c r="AR310" s="437"/>
      <c r="AS310" s="437"/>
      <c r="AT310" s="437"/>
      <c r="AU310" s="437"/>
      <c r="AV310" s="437"/>
      <c r="AW310" s="437"/>
      <c r="AX310" s="437"/>
      <c r="AY310" s="437"/>
      <c r="AZ310" s="437"/>
      <c r="BA310" s="437"/>
      <c r="BB310" s="437"/>
      <c r="BC310" s="437"/>
      <c r="BD310" s="437"/>
      <c r="BE310" s="437"/>
      <c r="BF310" s="437"/>
      <c r="BG310" s="437"/>
      <c r="BH310" s="437"/>
      <c r="BI310" s="437"/>
      <c r="BJ310" s="437"/>
      <c r="BK310" s="437"/>
      <c r="BL310" s="437"/>
      <c r="BM310" s="393"/>
      <c r="BO310" s="399">
        <f t="shared" si="123"/>
        <v>0</v>
      </c>
      <c r="BP310" s="399">
        <f t="shared" si="124"/>
        <v>0</v>
      </c>
      <c r="BQ310" s="399">
        <f t="shared" si="125"/>
        <v>0</v>
      </c>
      <c r="BR310" s="399">
        <f t="shared" si="126"/>
        <v>0</v>
      </c>
      <c r="BS310" s="399">
        <f t="shared" si="127"/>
        <v>0</v>
      </c>
      <c r="BT310" s="399">
        <f t="shared" si="128"/>
        <v>0</v>
      </c>
      <c r="BU310" s="399">
        <f t="shared" si="129"/>
        <v>0</v>
      </c>
      <c r="BV310" s="399">
        <f t="shared" si="130"/>
        <v>0</v>
      </c>
      <c r="BW310" s="399">
        <f t="shared" si="131"/>
        <v>0</v>
      </c>
      <c r="BX310" s="399">
        <f t="shared" si="132"/>
        <v>0</v>
      </c>
      <c r="BY310" s="399">
        <f t="shared" si="133"/>
        <v>0</v>
      </c>
      <c r="BZ310" s="399">
        <f t="shared" si="134"/>
        <v>0</v>
      </c>
      <c r="CA310" s="399">
        <f t="shared" si="135"/>
        <v>0</v>
      </c>
      <c r="CB310" s="399">
        <f t="shared" si="136"/>
        <v>0</v>
      </c>
      <c r="CC310" s="399">
        <f t="shared" si="137"/>
        <v>0</v>
      </c>
      <c r="CD310" s="399">
        <f t="shared" si="138"/>
        <v>0</v>
      </c>
      <c r="CE310" s="399">
        <f t="shared" si="139"/>
        <v>0</v>
      </c>
      <c r="CF310" s="399">
        <f t="shared" si="140"/>
        <v>0</v>
      </c>
      <c r="CG310" s="399">
        <f t="shared" si="141"/>
        <v>0</v>
      </c>
      <c r="CH310" s="399">
        <f t="shared" si="142"/>
        <v>0</v>
      </c>
      <c r="CI310" s="399">
        <f t="shared" si="143"/>
        <v>0</v>
      </c>
      <c r="CJ310" s="399">
        <f t="shared" si="144"/>
        <v>0</v>
      </c>
      <c r="CK310" s="399">
        <f t="shared" si="145"/>
        <v>0</v>
      </c>
      <c r="CL310" s="399">
        <f t="shared" si="146"/>
        <v>0</v>
      </c>
      <c r="CM310" s="399">
        <f t="shared" si="147"/>
        <v>0</v>
      </c>
      <c r="CN310" s="399">
        <f t="shared" si="148"/>
        <v>0</v>
      </c>
      <c r="CO310" s="399">
        <f t="shared" si="149"/>
        <v>0</v>
      </c>
      <c r="CP310" s="399">
        <f t="shared" si="150"/>
        <v>0</v>
      </c>
      <c r="CQ310" s="423">
        <f t="shared" si="151"/>
        <v>0</v>
      </c>
      <c r="CS310" s="394" t="e">
        <f t="shared" si="152"/>
        <v>#DIV/0!</v>
      </c>
    </row>
    <row r="311" spans="3:97">
      <c r="C311" s="107"/>
      <c r="D311" s="395"/>
      <c r="E311" s="84"/>
      <c r="F311" s="84"/>
      <c r="G311" s="389"/>
      <c r="H311" s="390"/>
      <c r="I311" s="390"/>
      <c r="J311" s="390"/>
      <c r="K311" s="390"/>
      <c r="L311" s="390"/>
      <c r="M311" s="390"/>
      <c r="N311" s="390"/>
      <c r="O311" s="390"/>
      <c r="P311" s="390"/>
      <c r="Q311" s="390"/>
      <c r="R311" s="390"/>
      <c r="S311" s="390"/>
      <c r="T311" s="390"/>
      <c r="U311" s="390"/>
      <c r="V311" s="390"/>
      <c r="W311" s="390"/>
      <c r="X311" s="390"/>
      <c r="Y311" s="390"/>
      <c r="Z311" s="390"/>
      <c r="AA311" s="390"/>
      <c r="AB311" s="390"/>
      <c r="AC311" s="390"/>
      <c r="AD311" s="390"/>
      <c r="AE311" s="390"/>
      <c r="AF311" s="390"/>
      <c r="AG311" s="390"/>
      <c r="AH311" s="390"/>
      <c r="AI311" s="391"/>
      <c r="AK311" s="437"/>
      <c r="AL311" s="437"/>
      <c r="AM311" s="437"/>
      <c r="AN311" s="437"/>
      <c r="AO311" s="437"/>
      <c r="AP311" s="437"/>
      <c r="AQ311" s="437"/>
      <c r="AR311" s="437"/>
      <c r="AS311" s="437"/>
      <c r="AT311" s="437"/>
      <c r="AU311" s="437"/>
      <c r="AV311" s="437"/>
      <c r="AW311" s="437"/>
      <c r="AX311" s="437"/>
      <c r="AY311" s="437"/>
      <c r="AZ311" s="437"/>
      <c r="BA311" s="437"/>
      <c r="BB311" s="437"/>
      <c r="BC311" s="437"/>
      <c r="BD311" s="437"/>
      <c r="BE311" s="437"/>
      <c r="BF311" s="437"/>
      <c r="BG311" s="437"/>
      <c r="BH311" s="437"/>
      <c r="BI311" s="437"/>
      <c r="BJ311" s="437"/>
      <c r="BK311" s="437"/>
      <c r="BL311" s="437"/>
      <c r="BM311" s="393"/>
      <c r="BO311" s="399">
        <f t="shared" si="123"/>
        <v>0</v>
      </c>
      <c r="BP311" s="399">
        <f t="shared" si="124"/>
        <v>0</v>
      </c>
      <c r="BQ311" s="399">
        <f t="shared" si="125"/>
        <v>0</v>
      </c>
      <c r="BR311" s="399">
        <f t="shared" si="126"/>
        <v>0</v>
      </c>
      <c r="BS311" s="399">
        <f t="shared" si="127"/>
        <v>0</v>
      </c>
      <c r="BT311" s="399">
        <f t="shared" si="128"/>
        <v>0</v>
      </c>
      <c r="BU311" s="399">
        <f t="shared" si="129"/>
        <v>0</v>
      </c>
      <c r="BV311" s="399">
        <f t="shared" si="130"/>
        <v>0</v>
      </c>
      <c r="BW311" s="399">
        <f t="shared" si="131"/>
        <v>0</v>
      </c>
      <c r="BX311" s="399">
        <f t="shared" si="132"/>
        <v>0</v>
      </c>
      <c r="BY311" s="399">
        <f t="shared" si="133"/>
        <v>0</v>
      </c>
      <c r="BZ311" s="399">
        <f t="shared" si="134"/>
        <v>0</v>
      </c>
      <c r="CA311" s="399">
        <f t="shared" si="135"/>
        <v>0</v>
      </c>
      <c r="CB311" s="399">
        <f t="shared" si="136"/>
        <v>0</v>
      </c>
      <c r="CC311" s="399">
        <f t="shared" si="137"/>
        <v>0</v>
      </c>
      <c r="CD311" s="399">
        <f t="shared" si="138"/>
        <v>0</v>
      </c>
      <c r="CE311" s="399">
        <f t="shared" si="139"/>
        <v>0</v>
      </c>
      <c r="CF311" s="399">
        <f t="shared" si="140"/>
        <v>0</v>
      </c>
      <c r="CG311" s="399">
        <f t="shared" si="141"/>
        <v>0</v>
      </c>
      <c r="CH311" s="399">
        <f t="shared" si="142"/>
        <v>0</v>
      </c>
      <c r="CI311" s="399">
        <f t="shared" si="143"/>
        <v>0</v>
      </c>
      <c r="CJ311" s="399">
        <f t="shared" si="144"/>
        <v>0</v>
      </c>
      <c r="CK311" s="399">
        <f t="shared" si="145"/>
        <v>0</v>
      </c>
      <c r="CL311" s="399">
        <f t="shared" si="146"/>
        <v>0</v>
      </c>
      <c r="CM311" s="399">
        <f t="shared" si="147"/>
        <v>0</v>
      </c>
      <c r="CN311" s="399">
        <f t="shared" si="148"/>
        <v>0</v>
      </c>
      <c r="CO311" s="399">
        <f t="shared" si="149"/>
        <v>0</v>
      </c>
      <c r="CP311" s="399">
        <f t="shared" si="150"/>
        <v>0</v>
      </c>
      <c r="CQ311" s="423">
        <f t="shared" si="151"/>
        <v>0</v>
      </c>
      <c r="CS311" s="394" t="e">
        <f t="shared" si="152"/>
        <v>#DIV/0!</v>
      </c>
    </row>
    <row r="312" spans="3:97">
      <c r="C312" s="107"/>
      <c r="D312" s="395"/>
      <c r="E312" s="84"/>
      <c r="F312" s="84"/>
      <c r="G312" s="389"/>
      <c r="H312" s="390"/>
      <c r="I312" s="390"/>
      <c r="J312" s="390"/>
      <c r="K312" s="390"/>
      <c r="L312" s="390"/>
      <c r="M312" s="390"/>
      <c r="N312" s="390"/>
      <c r="O312" s="390"/>
      <c r="P312" s="390"/>
      <c r="Q312" s="390"/>
      <c r="R312" s="390"/>
      <c r="S312" s="390"/>
      <c r="T312" s="390"/>
      <c r="U312" s="390"/>
      <c r="V312" s="390"/>
      <c r="W312" s="390"/>
      <c r="X312" s="390"/>
      <c r="Y312" s="390"/>
      <c r="Z312" s="390"/>
      <c r="AA312" s="390"/>
      <c r="AB312" s="390"/>
      <c r="AC312" s="390"/>
      <c r="AD312" s="390"/>
      <c r="AE312" s="390"/>
      <c r="AF312" s="390"/>
      <c r="AG312" s="390"/>
      <c r="AH312" s="390"/>
      <c r="AI312" s="391"/>
      <c r="AK312" s="437"/>
      <c r="AL312" s="437"/>
      <c r="AM312" s="437"/>
      <c r="AN312" s="437"/>
      <c r="AO312" s="437"/>
      <c r="AP312" s="437"/>
      <c r="AQ312" s="437"/>
      <c r="AR312" s="437"/>
      <c r="AS312" s="437"/>
      <c r="AT312" s="437"/>
      <c r="AU312" s="437"/>
      <c r="AV312" s="437"/>
      <c r="AW312" s="437"/>
      <c r="AX312" s="437"/>
      <c r="AY312" s="437"/>
      <c r="AZ312" s="437"/>
      <c r="BA312" s="437"/>
      <c r="BB312" s="437"/>
      <c r="BC312" s="437"/>
      <c r="BD312" s="437"/>
      <c r="BE312" s="437"/>
      <c r="BF312" s="437"/>
      <c r="BG312" s="437"/>
      <c r="BH312" s="437"/>
      <c r="BI312" s="437"/>
      <c r="BJ312" s="437"/>
      <c r="BK312" s="437"/>
      <c r="BL312" s="437"/>
      <c r="BM312" s="393"/>
      <c r="BO312" s="399">
        <f t="shared" si="123"/>
        <v>0</v>
      </c>
      <c r="BP312" s="399">
        <f t="shared" si="124"/>
        <v>0</v>
      </c>
      <c r="BQ312" s="399">
        <f t="shared" si="125"/>
        <v>0</v>
      </c>
      <c r="BR312" s="399">
        <f t="shared" si="126"/>
        <v>0</v>
      </c>
      <c r="BS312" s="399">
        <f t="shared" si="127"/>
        <v>0</v>
      </c>
      <c r="BT312" s="399">
        <f t="shared" si="128"/>
        <v>0</v>
      </c>
      <c r="BU312" s="399">
        <f t="shared" si="129"/>
        <v>0</v>
      </c>
      <c r="BV312" s="399">
        <f t="shared" si="130"/>
        <v>0</v>
      </c>
      <c r="BW312" s="399">
        <f t="shared" si="131"/>
        <v>0</v>
      </c>
      <c r="BX312" s="399">
        <f t="shared" si="132"/>
        <v>0</v>
      </c>
      <c r="BY312" s="399">
        <f t="shared" si="133"/>
        <v>0</v>
      </c>
      <c r="BZ312" s="399">
        <f t="shared" si="134"/>
        <v>0</v>
      </c>
      <c r="CA312" s="399">
        <f t="shared" si="135"/>
        <v>0</v>
      </c>
      <c r="CB312" s="399">
        <f t="shared" si="136"/>
        <v>0</v>
      </c>
      <c r="CC312" s="399">
        <f t="shared" si="137"/>
        <v>0</v>
      </c>
      <c r="CD312" s="399">
        <f t="shared" si="138"/>
        <v>0</v>
      </c>
      <c r="CE312" s="399">
        <f t="shared" si="139"/>
        <v>0</v>
      </c>
      <c r="CF312" s="399">
        <f t="shared" si="140"/>
        <v>0</v>
      </c>
      <c r="CG312" s="399">
        <f t="shared" si="141"/>
        <v>0</v>
      </c>
      <c r="CH312" s="399">
        <f t="shared" si="142"/>
        <v>0</v>
      </c>
      <c r="CI312" s="399">
        <f t="shared" si="143"/>
        <v>0</v>
      </c>
      <c r="CJ312" s="399">
        <f t="shared" si="144"/>
        <v>0</v>
      </c>
      <c r="CK312" s="399">
        <f t="shared" si="145"/>
        <v>0</v>
      </c>
      <c r="CL312" s="399">
        <f t="shared" si="146"/>
        <v>0</v>
      </c>
      <c r="CM312" s="399">
        <f t="shared" si="147"/>
        <v>0</v>
      </c>
      <c r="CN312" s="399">
        <f t="shared" si="148"/>
        <v>0</v>
      </c>
      <c r="CO312" s="399">
        <f t="shared" si="149"/>
        <v>0</v>
      </c>
      <c r="CP312" s="399">
        <f t="shared" si="150"/>
        <v>0</v>
      </c>
      <c r="CQ312" s="423">
        <f t="shared" si="151"/>
        <v>0</v>
      </c>
      <c r="CS312" s="394" t="e">
        <f t="shared" si="152"/>
        <v>#DIV/0!</v>
      </c>
    </row>
    <row r="313" spans="3:97">
      <c r="C313" s="107"/>
      <c r="D313" s="395"/>
      <c r="E313" s="84"/>
      <c r="F313" s="84"/>
      <c r="G313" s="389"/>
      <c r="H313" s="390"/>
      <c r="I313" s="390"/>
      <c r="J313" s="390"/>
      <c r="K313" s="390"/>
      <c r="L313" s="390"/>
      <c r="M313" s="390"/>
      <c r="N313" s="390"/>
      <c r="O313" s="390"/>
      <c r="P313" s="390"/>
      <c r="Q313" s="390"/>
      <c r="R313" s="390"/>
      <c r="S313" s="390"/>
      <c r="T313" s="390"/>
      <c r="U313" s="390"/>
      <c r="V313" s="390"/>
      <c r="W313" s="390"/>
      <c r="X313" s="390"/>
      <c r="Y313" s="390"/>
      <c r="Z313" s="390"/>
      <c r="AA313" s="390"/>
      <c r="AB313" s="390"/>
      <c r="AC313" s="390"/>
      <c r="AD313" s="390"/>
      <c r="AE313" s="390"/>
      <c r="AF313" s="390"/>
      <c r="AG313" s="390"/>
      <c r="AH313" s="390"/>
      <c r="AI313" s="391"/>
      <c r="AK313" s="437"/>
      <c r="AL313" s="437"/>
      <c r="AM313" s="437"/>
      <c r="AN313" s="437"/>
      <c r="AO313" s="437"/>
      <c r="AP313" s="437"/>
      <c r="AQ313" s="437"/>
      <c r="AR313" s="437"/>
      <c r="AS313" s="437"/>
      <c r="AT313" s="437"/>
      <c r="AU313" s="437"/>
      <c r="AV313" s="437"/>
      <c r="AW313" s="437"/>
      <c r="AX313" s="437"/>
      <c r="AY313" s="437"/>
      <c r="AZ313" s="437"/>
      <c r="BA313" s="437"/>
      <c r="BB313" s="437"/>
      <c r="BC313" s="437"/>
      <c r="BD313" s="437"/>
      <c r="BE313" s="437"/>
      <c r="BF313" s="437"/>
      <c r="BG313" s="437"/>
      <c r="BH313" s="437"/>
      <c r="BI313" s="437"/>
      <c r="BJ313" s="437"/>
      <c r="BK313" s="437"/>
      <c r="BL313" s="437"/>
      <c r="BM313" s="393"/>
      <c r="BO313" s="399">
        <f t="shared" si="123"/>
        <v>0</v>
      </c>
      <c r="BP313" s="399">
        <f t="shared" si="124"/>
        <v>0</v>
      </c>
      <c r="BQ313" s="399">
        <f t="shared" si="125"/>
        <v>0</v>
      </c>
      <c r="BR313" s="399">
        <f t="shared" si="126"/>
        <v>0</v>
      </c>
      <c r="BS313" s="399">
        <f t="shared" si="127"/>
        <v>0</v>
      </c>
      <c r="BT313" s="399">
        <f t="shared" si="128"/>
        <v>0</v>
      </c>
      <c r="BU313" s="399">
        <f t="shared" si="129"/>
        <v>0</v>
      </c>
      <c r="BV313" s="399">
        <f t="shared" si="130"/>
        <v>0</v>
      </c>
      <c r="BW313" s="399">
        <f t="shared" si="131"/>
        <v>0</v>
      </c>
      <c r="BX313" s="399">
        <f t="shared" si="132"/>
        <v>0</v>
      </c>
      <c r="BY313" s="399">
        <f t="shared" si="133"/>
        <v>0</v>
      </c>
      <c r="BZ313" s="399">
        <f t="shared" si="134"/>
        <v>0</v>
      </c>
      <c r="CA313" s="399">
        <f t="shared" si="135"/>
        <v>0</v>
      </c>
      <c r="CB313" s="399">
        <f t="shared" si="136"/>
        <v>0</v>
      </c>
      <c r="CC313" s="399">
        <f t="shared" si="137"/>
        <v>0</v>
      </c>
      <c r="CD313" s="399">
        <f t="shared" si="138"/>
        <v>0</v>
      </c>
      <c r="CE313" s="399">
        <f t="shared" si="139"/>
        <v>0</v>
      </c>
      <c r="CF313" s="399">
        <f t="shared" si="140"/>
        <v>0</v>
      </c>
      <c r="CG313" s="399">
        <f t="shared" si="141"/>
        <v>0</v>
      </c>
      <c r="CH313" s="399">
        <f t="shared" si="142"/>
        <v>0</v>
      </c>
      <c r="CI313" s="399">
        <f t="shared" si="143"/>
        <v>0</v>
      </c>
      <c r="CJ313" s="399">
        <f t="shared" si="144"/>
        <v>0</v>
      </c>
      <c r="CK313" s="399">
        <f t="shared" si="145"/>
        <v>0</v>
      </c>
      <c r="CL313" s="399">
        <f t="shared" si="146"/>
        <v>0</v>
      </c>
      <c r="CM313" s="399">
        <f t="shared" si="147"/>
        <v>0</v>
      </c>
      <c r="CN313" s="399">
        <f t="shared" si="148"/>
        <v>0</v>
      </c>
      <c r="CO313" s="399">
        <f t="shared" si="149"/>
        <v>0</v>
      </c>
      <c r="CP313" s="399">
        <f t="shared" si="150"/>
        <v>0</v>
      </c>
      <c r="CQ313" s="423">
        <f t="shared" si="151"/>
        <v>0</v>
      </c>
      <c r="CS313" s="394" t="e">
        <f t="shared" si="152"/>
        <v>#DIV/0!</v>
      </c>
    </row>
    <row r="314" spans="3:97">
      <c r="C314" s="107"/>
      <c r="D314" s="395"/>
      <c r="E314" s="84"/>
      <c r="F314" s="84"/>
      <c r="G314" s="389"/>
      <c r="H314" s="390"/>
      <c r="I314" s="390"/>
      <c r="J314" s="390"/>
      <c r="K314" s="390"/>
      <c r="L314" s="390"/>
      <c r="M314" s="390"/>
      <c r="N314" s="390"/>
      <c r="O314" s="390"/>
      <c r="P314" s="390"/>
      <c r="Q314" s="390"/>
      <c r="R314" s="390"/>
      <c r="S314" s="390"/>
      <c r="T314" s="390"/>
      <c r="U314" s="390"/>
      <c r="V314" s="390"/>
      <c r="W314" s="390"/>
      <c r="X314" s="390"/>
      <c r="Y314" s="390"/>
      <c r="Z314" s="390"/>
      <c r="AA314" s="390"/>
      <c r="AB314" s="390"/>
      <c r="AC314" s="390"/>
      <c r="AD314" s="390"/>
      <c r="AE314" s="390"/>
      <c r="AF314" s="390"/>
      <c r="AG314" s="390"/>
      <c r="AH314" s="390"/>
      <c r="AI314" s="391"/>
      <c r="AK314" s="437"/>
      <c r="AL314" s="437"/>
      <c r="AM314" s="437"/>
      <c r="AN314" s="437"/>
      <c r="AO314" s="437"/>
      <c r="AP314" s="437"/>
      <c r="AQ314" s="437"/>
      <c r="AR314" s="437"/>
      <c r="AS314" s="437"/>
      <c r="AT314" s="437"/>
      <c r="AU314" s="437"/>
      <c r="AV314" s="437"/>
      <c r="AW314" s="437"/>
      <c r="AX314" s="437"/>
      <c r="AY314" s="437"/>
      <c r="AZ314" s="437"/>
      <c r="BA314" s="437"/>
      <c r="BB314" s="437"/>
      <c r="BC314" s="437"/>
      <c r="BD314" s="437"/>
      <c r="BE314" s="437"/>
      <c r="BF314" s="437"/>
      <c r="BG314" s="437"/>
      <c r="BH314" s="437"/>
      <c r="BI314" s="437"/>
      <c r="BJ314" s="437"/>
      <c r="BK314" s="437"/>
      <c r="BL314" s="437"/>
      <c r="BM314" s="393"/>
      <c r="BO314" s="399">
        <f t="shared" si="123"/>
        <v>0</v>
      </c>
      <c r="BP314" s="399">
        <f t="shared" si="124"/>
        <v>0</v>
      </c>
      <c r="BQ314" s="399">
        <f t="shared" si="125"/>
        <v>0</v>
      </c>
      <c r="BR314" s="399">
        <f t="shared" si="126"/>
        <v>0</v>
      </c>
      <c r="BS314" s="399">
        <f t="shared" si="127"/>
        <v>0</v>
      </c>
      <c r="BT314" s="399">
        <f t="shared" si="128"/>
        <v>0</v>
      </c>
      <c r="BU314" s="399">
        <f t="shared" si="129"/>
        <v>0</v>
      </c>
      <c r="BV314" s="399">
        <f t="shared" si="130"/>
        <v>0</v>
      </c>
      <c r="BW314" s="399">
        <f t="shared" si="131"/>
        <v>0</v>
      </c>
      <c r="BX314" s="399">
        <f t="shared" si="132"/>
        <v>0</v>
      </c>
      <c r="BY314" s="399">
        <f t="shared" si="133"/>
        <v>0</v>
      </c>
      <c r="BZ314" s="399">
        <f t="shared" si="134"/>
        <v>0</v>
      </c>
      <c r="CA314" s="399">
        <f t="shared" si="135"/>
        <v>0</v>
      </c>
      <c r="CB314" s="399">
        <f t="shared" si="136"/>
        <v>0</v>
      </c>
      <c r="CC314" s="399">
        <f t="shared" si="137"/>
        <v>0</v>
      </c>
      <c r="CD314" s="399">
        <f t="shared" si="138"/>
        <v>0</v>
      </c>
      <c r="CE314" s="399">
        <f t="shared" si="139"/>
        <v>0</v>
      </c>
      <c r="CF314" s="399">
        <f t="shared" si="140"/>
        <v>0</v>
      </c>
      <c r="CG314" s="399">
        <f t="shared" si="141"/>
        <v>0</v>
      </c>
      <c r="CH314" s="399">
        <f t="shared" si="142"/>
        <v>0</v>
      </c>
      <c r="CI314" s="399">
        <f t="shared" si="143"/>
        <v>0</v>
      </c>
      <c r="CJ314" s="399">
        <f t="shared" si="144"/>
        <v>0</v>
      </c>
      <c r="CK314" s="399">
        <f t="shared" si="145"/>
        <v>0</v>
      </c>
      <c r="CL314" s="399">
        <f t="shared" si="146"/>
        <v>0</v>
      </c>
      <c r="CM314" s="399">
        <f t="shared" si="147"/>
        <v>0</v>
      </c>
      <c r="CN314" s="399">
        <f t="shared" si="148"/>
        <v>0</v>
      </c>
      <c r="CO314" s="399">
        <f t="shared" si="149"/>
        <v>0</v>
      </c>
      <c r="CP314" s="399">
        <f t="shared" si="150"/>
        <v>0</v>
      </c>
      <c r="CQ314" s="423">
        <f t="shared" si="151"/>
        <v>0</v>
      </c>
      <c r="CS314" s="394" t="e">
        <f t="shared" si="152"/>
        <v>#DIV/0!</v>
      </c>
    </row>
    <row r="315" spans="3:97">
      <c r="C315" s="107"/>
      <c r="D315" s="395"/>
      <c r="E315" s="84"/>
      <c r="F315" s="84"/>
      <c r="G315" s="389"/>
      <c r="H315" s="390"/>
      <c r="I315" s="390"/>
      <c r="J315" s="390"/>
      <c r="K315" s="390"/>
      <c r="L315" s="390"/>
      <c r="M315" s="390"/>
      <c r="N315" s="390"/>
      <c r="O315" s="390"/>
      <c r="P315" s="390"/>
      <c r="Q315" s="390"/>
      <c r="R315" s="390"/>
      <c r="S315" s="390"/>
      <c r="T315" s="390"/>
      <c r="U315" s="390"/>
      <c r="V315" s="390"/>
      <c r="W315" s="390"/>
      <c r="X315" s="390"/>
      <c r="Y315" s="390"/>
      <c r="Z315" s="390"/>
      <c r="AA315" s="390"/>
      <c r="AB315" s="390"/>
      <c r="AC315" s="390"/>
      <c r="AD315" s="390"/>
      <c r="AE315" s="390"/>
      <c r="AF315" s="390"/>
      <c r="AG315" s="390"/>
      <c r="AH315" s="390"/>
      <c r="AI315" s="391"/>
      <c r="AK315" s="437"/>
      <c r="AL315" s="437"/>
      <c r="AM315" s="437"/>
      <c r="AN315" s="437"/>
      <c r="AO315" s="437"/>
      <c r="AP315" s="437"/>
      <c r="AQ315" s="437"/>
      <c r="AR315" s="437"/>
      <c r="AS315" s="437"/>
      <c r="AT315" s="437"/>
      <c r="AU315" s="437"/>
      <c r="AV315" s="437"/>
      <c r="AW315" s="437"/>
      <c r="AX315" s="437"/>
      <c r="AY315" s="437"/>
      <c r="AZ315" s="437"/>
      <c r="BA315" s="437"/>
      <c r="BB315" s="437"/>
      <c r="BC315" s="437"/>
      <c r="BD315" s="437"/>
      <c r="BE315" s="437"/>
      <c r="BF315" s="437"/>
      <c r="BG315" s="437"/>
      <c r="BH315" s="437"/>
      <c r="BI315" s="437"/>
      <c r="BJ315" s="437"/>
      <c r="BK315" s="437"/>
      <c r="BL315" s="437"/>
      <c r="BM315" s="393"/>
      <c r="BO315" s="399">
        <f t="shared" si="123"/>
        <v>0</v>
      </c>
      <c r="BP315" s="399">
        <f t="shared" si="124"/>
        <v>0</v>
      </c>
      <c r="BQ315" s="399">
        <f t="shared" si="125"/>
        <v>0</v>
      </c>
      <c r="BR315" s="399">
        <f t="shared" si="126"/>
        <v>0</v>
      </c>
      <c r="BS315" s="399">
        <f t="shared" si="127"/>
        <v>0</v>
      </c>
      <c r="BT315" s="399">
        <f t="shared" si="128"/>
        <v>0</v>
      </c>
      <c r="BU315" s="399">
        <f t="shared" si="129"/>
        <v>0</v>
      </c>
      <c r="BV315" s="399">
        <f t="shared" si="130"/>
        <v>0</v>
      </c>
      <c r="BW315" s="399">
        <f t="shared" si="131"/>
        <v>0</v>
      </c>
      <c r="BX315" s="399">
        <f t="shared" si="132"/>
        <v>0</v>
      </c>
      <c r="BY315" s="399">
        <f t="shared" si="133"/>
        <v>0</v>
      </c>
      <c r="BZ315" s="399">
        <f t="shared" si="134"/>
        <v>0</v>
      </c>
      <c r="CA315" s="399">
        <f t="shared" si="135"/>
        <v>0</v>
      </c>
      <c r="CB315" s="399">
        <f t="shared" si="136"/>
        <v>0</v>
      </c>
      <c r="CC315" s="399">
        <f t="shared" si="137"/>
        <v>0</v>
      </c>
      <c r="CD315" s="399">
        <f t="shared" si="138"/>
        <v>0</v>
      </c>
      <c r="CE315" s="399">
        <f t="shared" si="139"/>
        <v>0</v>
      </c>
      <c r="CF315" s="399">
        <f t="shared" si="140"/>
        <v>0</v>
      </c>
      <c r="CG315" s="399">
        <f t="shared" si="141"/>
        <v>0</v>
      </c>
      <c r="CH315" s="399">
        <f t="shared" si="142"/>
        <v>0</v>
      </c>
      <c r="CI315" s="399">
        <f t="shared" si="143"/>
        <v>0</v>
      </c>
      <c r="CJ315" s="399">
        <f t="shared" si="144"/>
        <v>0</v>
      </c>
      <c r="CK315" s="399">
        <f t="shared" si="145"/>
        <v>0</v>
      </c>
      <c r="CL315" s="399">
        <f t="shared" si="146"/>
        <v>0</v>
      </c>
      <c r="CM315" s="399">
        <f t="shared" si="147"/>
        <v>0</v>
      </c>
      <c r="CN315" s="399">
        <f t="shared" si="148"/>
        <v>0</v>
      </c>
      <c r="CO315" s="399">
        <f t="shared" si="149"/>
        <v>0</v>
      </c>
      <c r="CP315" s="399">
        <f t="shared" si="150"/>
        <v>0</v>
      </c>
      <c r="CQ315" s="423">
        <f t="shared" si="151"/>
        <v>0</v>
      </c>
      <c r="CS315" s="394" t="e">
        <f t="shared" si="152"/>
        <v>#DIV/0!</v>
      </c>
    </row>
    <row r="316" spans="3:97">
      <c r="C316" s="107"/>
      <c r="D316" s="395"/>
      <c r="E316" s="84"/>
      <c r="F316" s="84"/>
      <c r="G316" s="389"/>
      <c r="H316" s="390"/>
      <c r="I316" s="390"/>
      <c r="J316" s="390"/>
      <c r="K316" s="390"/>
      <c r="L316" s="390"/>
      <c r="M316" s="390"/>
      <c r="N316" s="390"/>
      <c r="O316" s="390"/>
      <c r="P316" s="390"/>
      <c r="Q316" s="390"/>
      <c r="R316" s="390"/>
      <c r="S316" s="390"/>
      <c r="T316" s="390"/>
      <c r="U316" s="390"/>
      <c r="V316" s="390"/>
      <c r="W316" s="390"/>
      <c r="X316" s="390"/>
      <c r="Y316" s="390"/>
      <c r="Z316" s="390"/>
      <c r="AA316" s="390"/>
      <c r="AB316" s="390"/>
      <c r="AC316" s="390"/>
      <c r="AD316" s="390"/>
      <c r="AE316" s="390"/>
      <c r="AF316" s="390"/>
      <c r="AG316" s="390"/>
      <c r="AH316" s="390"/>
      <c r="AI316" s="391"/>
      <c r="AK316" s="437"/>
      <c r="AL316" s="437"/>
      <c r="AM316" s="437"/>
      <c r="AN316" s="437"/>
      <c r="AO316" s="437"/>
      <c r="AP316" s="437"/>
      <c r="AQ316" s="437"/>
      <c r="AR316" s="437"/>
      <c r="AS316" s="437"/>
      <c r="AT316" s="437"/>
      <c r="AU316" s="437"/>
      <c r="AV316" s="437"/>
      <c r="AW316" s="437"/>
      <c r="AX316" s="437"/>
      <c r="AY316" s="437"/>
      <c r="AZ316" s="437"/>
      <c r="BA316" s="437"/>
      <c r="BB316" s="437"/>
      <c r="BC316" s="437"/>
      <c r="BD316" s="437"/>
      <c r="BE316" s="437"/>
      <c r="BF316" s="437"/>
      <c r="BG316" s="437"/>
      <c r="BH316" s="437"/>
      <c r="BI316" s="437"/>
      <c r="BJ316" s="437"/>
      <c r="BK316" s="437"/>
      <c r="BL316" s="437"/>
      <c r="BM316" s="393"/>
      <c r="BO316" s="399">
        <f t="shared" si="123"/>
        <v>0</v>
      </c>
      <c r="BP316" s="399">
        <f t="shared" si="124"/>
        <v>0</v>
      </c>
      <c r="BQ316" s="399">
        <f t="shared" si="125"/>
        <v>0</v>
      </c>
      <c r="BR316" s="399">
        <f t="shared" si="126"/>
        <v>0</v>
      </c>
      <c r="BS316" s="399">
        <f t="shared" si="127"/>
        <v>0</v>
      </c>
      <c r="BT316" s="399">
        <f t="shared" si="128"/>
        <v>0</v>
      </c>
      <c r="BU316" s="399">
        <f t="shared" si="129"/>
        <v>0</v>
      </c>
      <c r="BV316" s="399">
        <f t="shared" si="130"/>
        <v>0</v>
      </c>
      <c r="BW316" s="399">
        <f t="shared" si="131"/>
        <v>0</v>
      </c>
      <c r="BX316" s="399">
        <f t="shared" si="132"/>
        <v>0</v>
      </c>
      <c r="BY316" s="399">
        <f t="shared" si="133"/>
        <v>0</v>
      </c>
      <c r="BZ316" s="399">
        <f t="shared" si="134"/>
        <v>0</v>
      </c>
      <c r="CA316" s="399">
        <f t="shared" si="135"/>
        <v>0</v>
      </c>
      <c r="CB316" s="399">
        <f t="shared" si="136"/>
        <v>0</v>
      </c>
      <c r="CC316" s="399">
        <f t="shared" si="137"/>
        <v>0</v>
      </c>
      <c r="CD316" s="399">
        <f t="shared" si="138"/>
        <v>0</v>
      </c>
      <c r="CE316" s="399">
        <f t="shared" si="139"/>
        <v>0</v>
      </c>
      <c r="CF316" s="399">
        <f t="shared" si="140"/>
        <v>0</v>
      </c>
      <c r="CG316" s="399">
        <f t="shared" si="141"/>
        <v>0</v>
      </c>
      <c r="CH316" s="399">
        <f t="shared" si="142"/>
        <v>0</v>
      </c>
      <c r="CI316" s="399">
        <f t="shared" si="143"/>
        <v>0</v>
      </c>
      <c r="CJ316" s="399">
        <f t="shared" si="144"/>
        <v>0</v>
      </c>
      <c r="CK316" s="399">
        <f t="shared" si="145"/>
        <v>0</v>
      </c>
      <c r="CL316" s="399">
        <f t="shared" si="146"/>
        <v>0</v>
      </c>
      <c r="CM316" s="399">
        <f t="shared" si="147"/>
        <v>0</v>
      </c>
      <c r="CN316" s="399">
        <f t="shared" si="148"/>
        <v>0</v>
      </c>
      <c r="CO316" s="399">
        <f t="shared" si="149"/>
        <v>0</v>
      </c>
      <c r="CP316" s="399">
        <f t="shared" si="150"/>
        <v>0</v>
      </c>
      <c r="CQ316" s="423">
        <f t="shared" si="151"/>
        <v>0</v>
      </c>
      <c r="CS316" s="394" t="e">
        <f t="shared" si="152"/>
        <v>#DIV/0!</v>
      </c>
    </row>
    <row r="317" spans="3:97">
      <c r="C317" s="107"/>
      <c r="D317" s="395"/>
      <c r="E317" s="84"/>
      <c r="F317" s="84"/>
      <c r="G317" s="389"/>
      <c r="H317" s="390"/>
      <c r="I317" s="390"/>
      <c r="J317" s="390"/>
      <c r="K317" s="390"/>
      <c r="L317" s="390"/>
      <c r="M317" s="390"/>
      <c r="N317" s="390"/>
      <c r="O317" s="390"/>
      <c r="P317" s="390"/>
      <c r="Q317" s="390"/>
      <c r="R317" s="390"/>
      <c r="S317" s="390"/>
      <c r="T317" s="390"/>
      <c r="U317" s="390"/>
      <c r="V317" s="390"/>
      <c r="W317" s="390"/>
      <c r="X317" s="390"/>
      <c r="Y317" s="390"/>
      <c r="Z317" s="390"/>
      <c r="AA317" s="390"/>
      <c r="AB317" s="390"/>
      <c r="AC317" s="390"/>
      <c r="AD317" s="390"/>
      <c r="AE317" s="390"/>
      <c r="AF317" s="390"/>
      <c r="AG317" s="390"/>
      <c r="AH317" s="390"/>
      <c r="AI317" s="391"/>
      <c r="AK317" s="437"/>
      <c r="AL317" s="437"/>
      <c r="AM317" s="437"/>
      <c r="AN317" s="437"/>
      <c r="AO317" s="437"/>
      <c r="AP317" s="437"/>
      <c r="AQ317" s="437"/>
      <c r="AR317" s="437"/>
      <c r="AS317" s="437"/>
      <c r="AT317" s="437"/>
      <c r="AU317" s="437"/>
      <c r="AV317" s="437"/>
      <c r="AW317" s="437"/>
      <c r="AX317" s="437"/>
      <c r="AY317" s="437"/>
      <c r="AZ317" s="437"/>
      <c r="BA317" s="437"/>
      <c r="BB317" s="437"/>
      <c r="BC317" s="437"/>
      <c r="BD317" s="437"/>
      <c r="BE317" s="437"/>
      <c r="BF317" s="437"/>
      <c r="BG317" s="437"/>
      <c r="BH317" s="437"/>
      <c r="BI317" s="437"/>
      <c r="BJ317" s="437"/>
      <c r="BK317" s="437"/>
      <c r="BL317" s="437"/>
      <c r="BM317" s="393"/>
      <c r="BO317" s="399">
        <f t="shared" si="123"/>
        <v>0</v>
      </c>
      <c r="BP317" s="399">
        <f t="shared" si="124"/>
        <v>0</v>
      </c>
      <c r="BQ317" s="399">
        <f t="shared" si="125"/>
        <v>0</v>
      </c>
      <c r="BR317" s="399">
        <f t="shared" si="126"/>
        <v>0</v>
      </c>
      <c r="BS317" s="399">
        <f t="shared" si="127"/>
        <v>0</v>
      </c>
      <c r="BT317" s="399">
        <f t="shared" si="128"/>
        <v>0</v>
      </c>
      <c r="BU317" s="399">
        <f t="shared" si="129"/>
        <v>0</v>
      </c>
      <c r="BV317" s="399">
        <f t="shared" si="130"/>
        <v>0</v>
      </c>
      <c r="BW317" s="399">
        <f t="shared" si="131"/>
        <v>0</v>
      </c>
      <c r="BX317" s="399">
        <f t="shared" si="132"/>
        <v>0</v>
      </c>
      <c r="BY317" s="399">
        <f t="shared" si="133"/>
        <v>0</v>
      </c>
      <c r="BZ317" s="399">
        <f t="shared" si="134"/>
        <v>0</v>
      </c>
      <c r="CA317" s="399">
        <f t="shared" si="135"/>
        <v>0</v>
      </c>
      <c r="CB317" s="399">
        <f t="shared" si="136"/>
        <v>0</v>
      </c>
      <c r="CC317" s="399">
        <f t="shared" si="137"/>
        <v>0</v>
      </c>
      <c r="CD317" s="399">
        <f t="shared" si="138"/>
        <v>0</v>
      </c>
      <c r="CE317" s="399">
        <f t="shared" si="139"/>
        <v>0</v>
      </c>
      <c r="CF317" s="399">
        <f t="shared" si="140"/>
        <v>0</v>
      </c>
      <c r="CG317" s="399">
        <f t="shared" si="141"/>
        <v>0</v>
      </c>
      <c r="CH317" s="399">
        <f t="shared" si="142"/>
        <v>0</v>
      </c>
      <c r="CI317" s="399">
        <f t="shared" si="143"/>
        <v>0</v>
      </c>
      <c r="CJ317" s="399">
        <f t="shared" si="144"/>
        <v>0</v>
      </c>
      <c r="CK317" s="399">
        <f t="shared" si="145"/>
        <v>0</v>
      </c>
      <c r="CL317" s="399">
        <f t="shared" si="146"/>
        <v>0</v>
      </c>
      <c r="CM317" s="399">
        <f t="shared" si="147"/>
        <v>0</v>
      </c>
      <c r="CN317" s="399">
        <f t="shared" si="148"/>
        <v>0</v>
      </c>
      <c r="CO317" s="399">
        <f t="shared" si="149"/>
        <v>0</v>
      </c>
      <c r="CP317" s="399">
        <f t="shared" si="150"/>
        <v>0</v>
      </c>
      <c r="CQ317" s="423">
        <f t="shared" si="151"/>
        <v>0</v>
      </c>
      <c r="CS317" s="394" t="e">
        <f t="shared" si="152"/>
        <v>#DIV/0!</v>
      </c>
    </row>
    <row r="318" spans="3:97">
      <c r="C318" s="107"/>
      <c r="D318" s="395"/>
      <c r="E318" s="84"/>
      <c r="F318" s="84"/>
      <c r="G318" s="389"/>
      <c r="H318" s="390"/>
      <c r="I318" s="390"/>
      <c r="J318" s="390"/>
      <c r="K318" s="390"/>
      <c r="L318" s="390"/>
      <c r="M318" s="390"/>
      <c r="N318" s="390"/>
      <c r="O318" s="390"/>
      <c r="P318" s="390"/>
      <c r="Q318" s="390"/>
      <c r="R318" s="390"/>
      <c r="S318" s="390"/>
      <c r="T318" s="390"/>
      <c r="U318" s="390"/>
      <c r="V318" s="390"/>
      <c r="W318" s="390"/>
      <c r="X318" s="390"/>
      <c r="Y318" s="390"/>
      <c r="Z318" s="390"/>
      <c r="AA318" s="390"/>
      <c r="AB318" s="390"/>
      <c r="AC318" s="390"/>
      <c r="AD318" s="390"/>
      <c r="AE318" s="390"/>
      <c r="AF318" s="390"/>
      <c r="AG318" s="390"/>
      <c r="AH318" s="390"/>
      <c r="AI318" s="391"/>
      <c r="AK318" s="437"/>
      <c r="AL318" s="437"/>
      <c r="AM318" s="437"/>
      <c r="AN318" s="437"/>
      <c r="AO318" s="437"/>
      <c r="AP318" s="437"/>
      <c r="AQ318" s="437"/>
      <c r="AR318" s="437"/>
      <c r="AS318" s="437"/>
      <c r="AT318" s="437"/>
      <c r="AU318" s="437"/>
      <c r="AV318" s="437"/>
      <c r="AW318" s="437"/>
      <c r="AX318" s="437"/>
      <c r="AY318" s="437"/>
      <c r="AZ318" s="437"/>
      <c r="BA318" s="437"/>
      <c r="BB318" s="437"/>
      <c r="BC318" s="437"/>
      <c r="BD318" s="437"/>
      <c r="BE318" s="437"/>
      <c r="BF318" s="437"/>
      <c r="BG318" s="437"/>
      <c r="BH318" s="437"/>
      <c r="BI318" s="437"/>
      <c r="BJ318" s="437"/>
      <c r="BK318" s="437"/>
      <c r="BL318" s="437"/>
      <c r="BM318" s="393"/>
      <c r="BO318" s="399">
        <f t="shared" si="123"/>
        <v>0</v>
      </c>
      <c r="BP318" s="399">
        <f t="shared" si="124"/>
        <v>0</v>
      </c>
      <c r="BQ318" s="399">
        <f t="shared" si="125"/>
        <v>0</v>
      </c>
      <c r="BR318" s="399">
        <f t="shared" si="126"/>
        <v>0</v>
      </c>
      <c r="BS318" s="399">
        <f t="shared" si="127"/>
        <v>0</v>
      </c>
      <c r="BT318" s="399">
        <f t="shared" si="128"/>
        <v>0</v>
      </c>
      <c r="BU318" s="399">
        <f t="shared" si="129"/>
        <v>0</v>
      </c>
      <c r="BV318" s="399">
        <f t="shared" si="130"/>
        <v>0</v>
      </c>
      <c r="BW318" s="399">
        <f t="shared" si="131"/>
        <v>0</v>
      </c>
      <c r="BX318" s="399">
        <f t="shared" si="132"/>
        <v>0</v>
      </c>
      <c r="BY318" s="399">
        <f t="shared" si="133"/>
        <v>0</v>
      </c>
      <c r="BZ318" s="399">
        <f t="shared" si="134"/>
        <v>0</v>
      </c>
      <c r="CA318" s="399">
        <f t="shared" si="135"/>
        <v>0</v>
      </c>
      <c r="CB318" s="399">
        <f t="shared" si="136"/>
        <v>0</v>
      </c>
      <c r="CC318" s="399">
        <f t="shared" si="137"/>
        <v>0</v>
      </c>
      <c r="CD318" s="399">
        <f t="shared" si="138"/>
        <v>0</v>
      </c>
      <c r="CE318" s="399">
        <f t="shared" si="139"/>
        <v>0</v>
      </c>
      <c r="CF318" s="399">
        <f t="shared" si="140"/>
        <v>0</v>
      </c>
      <c r="CG318" s="399">
        <f t="shared" si="141"/>
        <v>0</v>
      </c>
      <c r="CH318" s="399">
        <f t="shared" si="142"/>
        <v>0</v>
      </c>
      <c r="CI318" s="399">
        <f t="shared" si="143"/>
        <v>0</v>
      </c>
      <c r="CJ318" s="399">
        <f t="shared" si="144"/>
        <v>0</v>
      </c>
      <c r="CK318" s="399">
        <f t="shared" si="145"/>
        <v>0</v>
      </c>
      <c r="CL318" s="399">
        <f t="shared" si="146"/>
        <v>0</v>
      </c>
      <c r="CM318" s="399">
        <f t="shared" si="147"/>
        <v>0</v>
      </c>
      <c r="CN318" s="399">
        <f t="shared" si="148"/>
        <v>0</v>
      </c>
      <c r="CO318" s="399">
        <f t="shared" si="149"/>
        <v>0</v>
      </c>
      <c r="CP318" s="399">
        <f t="shared" si="150"/>
        <v>0</v>
      </c>
      <c r="CQ318" s="423">
        <f t="shared" si="151"/>
        <v>0</v>
      </c>
      <c r="CS318" s="394" t="e">
        <f t="shared" si="152"/>
        <v>#DIV/0!</v>
      </c>
    </row>
    <row r="319" spans="3:97">
      <c r="C319" s="107"/>
      <c r="D319" s="395"/>
      <c r="E319" s="84"/>
      <c r="F319" s="84"/>
      <c r="G319" s="389"/>
      <c r="H319" s="390"/>
      <c r="I319" s="390"/>
      <c r="J319" s="390"/>
      <c r="K319" s="390"/>
      <c r="L319" s="390"/>
      <c r="M319" s="390"/>
      <c r="N319" s="390"/>
      <c r="O319" s="390"/>
      <c r="P319" s="390"/>
      <c r="Q319" s="390"/>
      <c r="R319" s="390"/>
      <c r="S319" s="390"/>
      <c r="T319" s="390"/>
      <c r="U319" s="390"/>
      <c r="V319" s="390"/>
      <c r="W319" s="390"/>
      <c r="X319" s="390"/>
      <c r="Y319" s="390"/>
      <c r="Z319" s="390"/>
      <c r="AA319" s="390"/>
      <c r="AB319" s="390"/>
      <c r="AC319" s="390"/>
      <c r="AD319" s="390"/>
      <c r="AE319" s="390"/>
      <c r="AF319" s="390"/>
      <c r="AG319" s="390"/>
      <c r="AH319" s="390"/>
      <c r="AI319" s="391"/>
      <c r="AK319" s="437"/>
      <c r="AL319" s="437"/>
      <c r="AM319" s="437"/>
      <c r="AN319" s="437"/>
      <c r="AO319" s="437"/>
      <c r="AP319" s="437"/>
      <c r="AQ319" s="437"/>
      <c r="AR319" s="437"/>
      <c r="AS319" s="437"/>
      <c r="AT319" s="437"/>
      <c r="AU319" s="437"/>
      <c r="AV319" s="437"/>
      <c r="AW319" s="437"/>
      <c r="AX319" s="437"/>
      <c r="AY319" s="437"/>
      <c r="AZ319" s="437"/>
      <c r="BA319" s="437"/>
      <c r="BB319" s="437"/>
      <c r="BC319" s="437"/>
      <c r="BD319" s="437"/>
      <c r="BE319" s="437"/>
      <c r="BF319" s="437"/>
      <c r="BG319" s="437"/>
      <c r="BH319" s="437"/>
      <c r="BI319" s="437"/>
      <c r="BJ319" s="437"/>
      <c r="BK319" s="437"/>
      <c r="BL319" s="437"/>
      <c r="BM319" s="393"/>
      <c r="BO319" s="399">
        <f t="shared" si="123"/>
        <v>0</v>
      </c>
      <c r="BP319" s="399">
        <f t="shared" si="124"/>
        <v>0</v>
      </c>
      <c r="BQ319" s="399">
        <f t="shared" si="125"/>
        <v>0</v>
      </c>
      <c r="BR319" s="399">
        <f t="shared" si="126"/>
        <v>0</v>
      </c>
      <c r="BS319" s="399">
        <f t="shared" si="127"/>
        <v>0</v>
      </c>
      <c r="BT319" s="399">
        <f t="shared" si="128"/>
        <v>0</v>
      </c>
      <c r="BU319" s="399">
        <f t="shared" si="129"/>
        <v>0</v>
      </c>
      <c r="BV319" s="399">
        <f t="shared" si="130"/>
        <v>0</v>
      </c>
      <c r="BW319" s="399">
        <f t="shared" si="131"/>
        <v>0</v>
      </c>
      <c r="BX319" s="399">
        <f t="shared" si="132"/>
        <v>0</v>
      </c>
      <c r="BY319" s="399">
        <f t="shared" si="133"/>
        <v>0</v>
      </c>
      <c r="BZ319" s="399">
        <f t="shared" si="134"/>
        <v>0</v>
      </c>
      <c r="CA319" s="399">
        <f t="shared" si="135"/>
        <v>0</v>
      </c>
      <c r="CB319" s="399">
        <f t="shared" si="136"/>
        <v>0</v>
      </c>
      <c r="CC319" s="399">
        <f t="shared" si="137"/>
        <v>0</v>
      </c>
      <c r="CD319" s="399">
        <f t="shared" si="138"/>
        <v>0</v>
      </c>
      <c r="CE319" s="399">
        <f t="shared" si="139"/>
        <v>0</v>
      </c>
      <c r="CF319" s="399">
        <f t="shared" si="140"/>
        <v>0</v>
      </c>
      <c r="CG319" s="399">
        <f t="shared" si="141"/>
        <v>0</v>
      </c>
      <c r="CH319" s="399">
        <f t="shared" si="142"/>
        <v>0</v>
      </c>
      <c r="CI319" s="399">
        <f t="shared" si="143"/>
        <v>0</v>
      </c>
      <c r="CJ319" s="399">
        <f t="shared" si="144"/>
        <v>0</v>
      </c>
      <c r="CK319" s="399">
        <f t="shared" si="145"/>
        <v>0</v>
      </c>
      <c r="CL319" s="399">
        <f t="shared" si="146"/>
        <v>0</v>
      </c>
      <c r="CM319" s="399">
        <f t="shared" si="147"/>
        <v>0</v>
      </c>
      <c r="CN319" s="399">
        <f t="shared" si="148"/>
        <v>0</v>
      </c>
      <c r="CO319" s="399">
        <f t="shared" si="149"/>
        <v>0</v>
      </c>
      <c r="CP319" s="399">
        <f t="shared" si="150"/>
        <v>0</v>
      </c>
      <c r="CQ319" s="423">
        <f t="shared" si="151"/>
        <v>0</v>
      </c>
      <c r="CS319" s="394" t="e">
        <f t="shared" si="152"/>
        <v>#DIV/0!</v>
      </c>
    </row>
    <row r="320" spans="3:97">
      <c r="C320" s="107"/>
      <c r="D320" s="395"/>
      <c r="E320" s="84"/>
      <c r="F320" s="84"/>
      <c r="G320" s="389"/>
      <c r="H320" s="390"/>
      <c r="I320" s="390"/>
      <c r="J320" s="390"/>
      <c r="K320" s="390"/>
      <c r="L320" s="390"/>
      <c r="M320" s="390"/>
      <c r="N320" s="390"/>
      <c r="O320" s="390"/>
      <c r="P320" s="390"/>
      <c r="Q320" s="390"/>
      <c r="R320" s="390"/>
      <c r="S320" s="390"/>
      <c r="T320" s="390"/>
      <c r="U320" s="390"/>
      <c r="V320" s="390"/>
      <c r="W320" s="390"/>
      <c r="X320" s="390"/>
      <c r="Y320" s="390"/>
      <c r="Z320" s="390"/>
      <c r="AA320" s="390"/>
      <c r="AB320" s="390"/>
      <c r="AC320" s="390"/>
      <c r="AD320" s="390"/>
      <c r="AE320" s="390"/>
      <c r="AF320" s="390"/>
      <c r="AG320" s="390"/>
      <c r="AH320" s="390"/>
      <c r="AI320" s="391"/>
      <c r="AK320" s="437"/>
      <c r="AL320" s="437"/>
      <c r="AM320" s="437"/>
      <c r="AN320" s="437"/>
      <c r="AO320" s="437"/>
      <c r="AP320" s="437"/>
      <c r="AQ320" s="437"/>
      <c r="AR320" s="437"/>
      <c r="AS320" s="437"/>
      <c r="AT320" s="437"/>
      <c r="AU320" s="437"/>
      <c r="AV320" s="437"/>
      <c r="AW320" s="437"/>
      <c r="AX320" s="437"/>
      <c r="AY320" s="437"/>
      <c r="AZ320" s="437"/>
      <c r="BA320" s="437"/>
      <c r="BB320" s="437"/>
      <c r="BC320" s="437"/>
      <c r="BD320" s="437"/>
      <c r="BE320" s="437"/>
      <c r="BF320" s="437"/>
      <c r="BG320" s="437"/>
      <c r="BH320" s="437"/>
      <c r="BI320" s="437"/>
      <c r="BJ320" s="437"/>
      <c r="BK320" s="437"/>
      <c r="BL320" s="437"/>
      <c r="BM320" s="393"/>
      <c r="BO320" s="399">
        <f t="shared" si="123"/>
        <v>0</v>
      </c>
      <c r="BP320" s="399">
        <f t="shared" si="124"/>
        <v>0</v>
      </c>
      <c r="BQ320" s="399">
        <f t="shared" si="125"/>
        <v>0</v>
      </c>
      <c r="BR320" s="399">
        <f t="shared" si="126"/>
        <v>0</v>
      </c>
      <c r="BS320" s="399">
        <f t="shared" si="127"/>
        <v>0</v>
      </c>
      <c r="BT320" s="399">
        <f t="shared" si="128"/>
        <v>0</v>
      </c>
      <c r="BU320" s="399">
        <f t="shared" si="129"/>
        <v>0</v>
      </c>
      <c r="BV320" s="399">
        <f t="shared" si="130"/>
        <v>0</v>
      </c>
      <c r="BW320" s="399">
        <f t="shared" si="131"/>
        <v>0</v>
      </c>
      <c r="BX320" s="399">
        <f t="shared" si="132"/>
        <v>0</v>
      </c>
      <c r="BY320" s="399">
        <f t="shared" si="133"/>
        <v>0</v>
      </c>
      <c r="BZ320" s="399">
        <f t="shared" si="134"/>
        <v>0</v>
      </c>
      <c r="CA320" s="399">
        <f t="shared" si="135"/>
        <v>0</v>
      </c>
      <c r="CB320" s="399">
        <f t="shared" si="136"/>
        <v>0</v>
      </c>
      <c r="CC320" s="399">
        <f t="shared" si="137"/>
        <v>0</v>
      </c>
      <c r="CD320" s="399">
        <f t="shared" si="138"/>
        <v>0</v>
      </c>
      <c r="CE320" s="399">
        <f t="shared" si="139"/>
        <v>0</v>
      </c>
      <c r="CF320" s="399">
        <f t="shared" si="140"/>
        <v>0</v>
      </c>
      <c r="CG320" s="399">
        <f t="shared" si="141"/>
        <v>0</v>
      </c>
      <c r="CH320" s="399">
        <f t="shared" si="142"/>
        <v>0</v>
      </c>
      <c r="CI320" s="399">
        <f t="shared" si="143"/>
        <v>0</v>
      </c>
      <c r="CJ320" s="399">
        <f t="shared" si="144"/>
        <v>0</v>
      </c>
      <c r="CK320" s="399">
        <f t="shared" si="145"/>
        <v>0</v>
      </c>
      <c r="CL320" s="399">
        <f t="shared" si="146"/>
        <v>0</v>
      </c>
      <c r="CM320" s="399">
        <f t="shared" si="147"/>
        <v>0</v>
      </c>
      <c r="CN320" s="399">
        <f t="shared" si="148"/>
        <v>0</v>
      </c>
      <c r="CO320" s="399">
        <f t="shared" si="149"/>
        <v>0</v>
      </c>
      <c r="CP320" s="399">
        <f t="shared" si="150"/>
        <v>0</v>
      </c>
      <c r="CQ320" s="423">
        <f t="shared" si="151"/>
        <v>0</v>
      </c>
      <c r="CS320" s="394" t="e">
        <f t="shared" si="152"/>
        <v>#DIV/0!</v>
      </c>
    </row>
    <row r="321" spans="3:97">
      <c r="C321" s="107"/>
      <c r="D321" s="395"/>
      <c r="E321" s="84"/>
      <c r="F321" s="84"/>
      <c r="G321" s="389"/>
      <c r="H321" s="390"/>
      <c r="I321" s="390"/>
      <c r="J321" s="390"/>
      <c r="K321" s="390"/>
      <c r="L321" s="390"/>
      <c r="M321" s="390"/>
      <c r="N321" s="390"/>
      <c r="O321" s="390"/>
      <c r="P321" s="390"/>
      <c r="Q321" s="390"/>
      <c r="R321" s="390"/>
      <c r="S321" s="390"/>
      <c r="T321" s="390"/>
      <c r="U321" s="390"/>
      <c r="V321" s="390"/>
      <c r="W321" s="390"/>
      <c r="X321" s="390"/>
      <c r="Y321" s="390"/>
      <c r="Z321" s="390"/>
      <c r="AA321" s="390"/>
      <c r="AB321" s="390"/>
      <c r="AC321" s="390"/>
      <c r="AD321" s="390"/>
      <c r="AE321" s="390"/>
      <c r="AF321" s="390"/>
      <c r="AG321" s="390"/>
      <c r="AH321" s="390"/>
      <c r="AI321" s="391"/>
      <c r="AK321" s="437"/>
      <c r="AL321" s="437"/>
      <c r="AM321" s="437"/>
      <c r="AN321" s="437"/>
      <c r="AO321" s="437"/>
      <c r="AP321" s="437"/>
      <c r="AQ321" s="437"/>
      <c r="AR321" s="437"/>
      <c r="AS321" s="437"/>
      <c r="AT321" s="437"/>
      <c r="AU321" s="437"/>
      <c r="AV321" s="437"/>
      <c r="AW321" s="437"/>
      <c r="AX321" s="437"/>
      <c r="AY321" s="437"/>
      <c r="AZ321" s="437"/>
      <c r="BA321" s="437"/>
      <c r="BB321" s="437"/>
      <c r="BC321" s="437"/>
      <c r="BD321" s="437"/>
      <c r="BE321" s="437"/>
      <c r="BF321" s="437"/>
      <c r="BG321" s="437"/>
      <c r="BH321" s="437"/>
      <c r="BI321" s="437"/>
      <c r="BJ321" s="437"/>
      <c r="BK321" s="437"/>
      <c r="BL321" s="437"/>
      <c r="BM321" s="393"/>
      <c r="BO321" s="399">
        <f t="shared" si="123"/>
        <v>0</v>
      </c>
      <c r="BP321" s="399">
        <f t="shared" si="124"/>
        <v>0</v>
      </c>
      <c r="BQ321" s="399">
        <f t="shared" si="125"/>
        <v>0</v>
      </c>
      <c r="BR321" s="399">
        <f t="shared" si="126"/>
        <v>0</v>
      </c>
      <c r="BS321" s="399">
        <f t="shared" si="127"/>
        <v>0</v>
      </c>
      <c r="BT321" s="399">
        <f t="shared" si="128"/>
        <v>0</v>
      </c>
      <c r="BU321" s="399">
        <f t="shared" si="129"/>
        <v>0</v>
      </c>
      <c r="BV321" s="399">
        <f t="shared" si="130"/>
        <v>0</v>
      </c>
      <c r="BW321" s="399">
        <f t="shared" si="131"/>
        <v>0</v>
      </c>
      <c r="BX321" s="399">
        <f t="shared" si="132"/>
        <v>0</v>
      </c>
      <c r="BY321" s="399">
        <f t="shared" si="133"/>
        <v>0</v>
      </c>
      <c r="BZ321" s="399">
        <f t="shared" si="134"/>
        <v>0</v>
      </c>
      <c r="CA321" s="399">
        <f t="shared" si="135"/>
        <v>0</v>
      </c>
      <c r="CB321" s="399">
        <f t="shared" si="136"/>
        <v>0</v>
      </c>
      <c r="CC321" s="399">
        <f t="shared" si="137"/>
        <v>0</v>
      </c>
      <c r="CD321" s="399">
        <f t="shared" si="138"/>
        <v>0</v>
      </c>
      <c r="CE321" s="399">
        <f t="shared" si="139"/>
        <v>0</v>
      </c>
      <c r="CF321" s="399">
        <f t="shared" si="140"/>
        <v>0</v>
      </c>
      <c r="CG321" s="399">
        <f t="shared" si="141"/>
        <v>0</v>
      </c>
      <c r="CH321" s="399">
        <f t="shared" si="142"/>
        <v>0</v>
      </c>
      <c r="CI321" s="399">
        <f t="shared" si="143"/>
        <v>0</v>
      </c>
      <c r="CJ321" s="399">
        <f t="shared" si="144"/>
        <v>0</v>
      </c>
      <c r="CK321" s="399">
        <f t="shared" si="145"/>
        <v>0</v>
      </c>
      <c r="CL321" s="399">
        <f t="shared" si="146"/>
        <v>0</v>
      </c>
      <c r="CM321" s="399">
        <f t="shared" si="147"/>
        <v>0</v>
      </c>
      <c r="CN321" s="399">
        <f t="shared" si="148"/>
        <v>0</v>
      </c>
      <c r="CO321" s="399">
        <f t="shared" si="149"/>
        <v>0</v>
      </c>
      <c r="CP321" s="399">
        <f t="shared" si="150"/>
        <v>0</v>
      </c>
      <c r="CQ321" s="423">
        <f t="shared" si="151"/>
        <v>0</v>
      </c>
      <c r="CS321" s="394" t="e">
        <f t="shared" si="152"/>
        <v>#DIV/0!</v>
      </c>
    </row>
    <row r="322" spans="3:97">
      <c r="C322" s="107"/>
      <c r="D322" s="395"/>
      <c r="E322" s="84"/>
      <c r="F322" s="84"/>
      <c r="G322" s="389"/>
      <c r="H322" s="390"/>
      <c r="I322" s="390"/>
      <c r="J322" s="390"/>
      <c r="K322" s="390"/>
      <c r="L322" s="390"/>
      <c r="M322" s="390"/>
      <c r="N322" s="390"/>
      <c r="O322" s="390"/>
      <c r="P322" s="390"/>
      <c r="Q322" s="390"/>
      <c r="R322" s="390"/>
      <c r="S322" s="390"/>
      <c r="T322" s="390"/>
      <c r="U322" s="390"/>
      <c r="V322" s="390"/>
      <c r="W322" s="390"/>
      <c r="X322" s="390"/>
      <c r="Y322" s="390"/>
      <c r="Z322" s="390"/>
      <c r="AA322" s="390"/>
      <c r="AB322" s="390"/>
      <c r="AC322" s="390"/>
      <c r="AD322" s="390"/>
      <c r="AE322" s="390"/>
      <c r="AF322" s="390"/>
      <c r="AG322" s="390"/>
      <c r="AH322" s="390"/>
      <c r="AI322" s="391"/>
      <c r="AK322" s="437"/>
      <c r="AL322" s="437"/>
      <c r="AM322" s="437"/>
      <c r="AN322" s="437"/>
      <c r="AO322" s="437"/>
      <c r="AP322" s="437"/>
      <c r="AQ322" s="437"/>
      <c r="AR322" s="437"/>
      <c r="AS322" s="437"/>
      <c r="AT322" s="437"/>
      <c r="AU322" s="437"/>
      <c r="AV322" s="437"/>
      <c r="AW322" s="437"/>
      <c r="AX322" s="437"/>
      <c r="AY322" s="437"/>
      <c r="AZ322" s="437"/>
      <c r="BA322" s="437"/>
      <c r="BB322" s="437"/>
      <c r="BC322" s="437"/>
      <c r="BD322" s="437"/>
      <c r="BE322" s="437"/>
      <c r="BF322" s="437"/>
      <c r="BG322" s="437"/>
      <c r="BH322" s="437"/>
      <c r="BI322" s="437"/>
      <c r="BJ322" s="437"/>
      <c r="BK322" s="437"/>
      <c r="BL322" s="437"/>
      <c r="BM322" s="393"/>
      <c r="BO322" s="399">
        <f t="shared" si="123"/>
        <v>0</v>
      </c>
      <c r="BP322" s="399">
        <f t="shared" si="124"/>
        <v>0</v>
      </c>
      <c r="BQ322" s="399">
        <f t="shared" si="125"/>
        <v>0</v>
      </c>
      <c r="BR322" s="399">
        <f t="shared" si="126"/>
        <v>0</v>
      </c>
      <c r="BS322" s="399">
        <f t="shared" si="127"/>
        <v>0</v>
      </c>
      <c r="BT322" s="399">
        <f t="shared" si="128"/>
        <v>0</v>
      </c>
      <c r="BU322" s="399">
        <f t="shared" si="129"/>
        <v>0</v>
      </c>
      <c r="BV322" s="399">
        <f t="shared" si="130"/>
        <v>0</v>
      </c>
      <c r="BW322" s="399">
        <f t="shared" si="131"/>
        <v>0</v>
      </c>
      <c r="BX322" s="399">
        <f t="shared" si="132"/>
        <v>0</v>
      </c>
      <c r="BY322" s="399">
        <f t="shared" si="133"/>
        <v>0</v>
      </c>
      <c r="BZ322" s="399">
        <f t="shared" si="134"/>
        <v>0</v>
      </c>
      <c r="CA322" s="399">
        <f t="shared" si="135"/>
        <v>0</v>
      </c>
      <c r="CB322" s="399">
        <f t="shared" si="136"/>
        <v>0</v>
      </c>
      <c r="CC322" s="399">
        <f t="shared" si="137"/>
        <v>0</v>
      </c>
      <c r="CD322" s="399">
        <f t="shared" si="138"/>
        <v>0</v>
      </c>
      <c r="CE322" s="399">
        <f t="shared" si="139"/>
        <v>0</v>
      </c>
      <c r="CF322" s="399">
        <f t="shared" si="140"/>
        <v>0</v>
      </c>
      <c r="CG322" s="399">
        <f t="shared" si="141"/>
        <v>0</v>
      </c>
      <c r="CH322" s="399">
        <f t="shared" si="142"/>
        <v>0</v>
      </c>
      <c r="CI322" s="399">
        <f t="shared" si="143"/>
        <v>0</v>
      </c>
      <c r="CJ322" s="399">
        <f t="shared" si="144"/>
        <v>0</v>
      </c>
      <c r="CK322" s="399">
        <f t="shared" si="145"/>
        <v>0</v>
      </c>
      <c r="CL322" s="399">
        <f t="shared" si="146"/>
        <v>0</v>
      </c>
      <c r="CM322" s="399">
        <f t="shared" si="147"/>
        <v>0</v>
      </c>
      <c r="CN322" s="399">
        <f t="shared" si="148"/>
        <v>0</v>
      </c>
      <c r="CO322" s="399">
        <f t="shared" si="149"/>
        <v>0</v>
      </c>
      <c r="CP322" s="399">
        <f t="shared" si="150"/>
        <v>0</v>
      </c>
      <c r="CQ322" s="423">
        <f t="shared" si="151"/>
        <v>0</v>
      </c>
      <c r="CS322" s="394" t="e">
        <f t="shared" si="152"/>
        <v>#DIV/0!</v>
      </c>
    </row>
    <row r="323" spans="3:97">
      <c r="C323" s="107"/>
      <c r="D323" s="395"/>
      <c r="E323" s="84"/>
      <c r="F323" s="84"/>
      <c r="G323" s="389"/>
      <c r="H323" s="390"/>
      <c r="I323" s="390"/>
      <c r="J323" s="390"/>
      <c r="K323" s="390"/>
      <c r="L323" s="390"/>
      <c r="M323" s="390"/>
      <c r="N323" s="390"/>
      <c r="O323" s="390"/>
      <c r="P323" s="390"/>
      <c r="Q323" s="390"/>
      <c r="R323" s="390"/>
      <c r="S323" s="390"/>
      <c r="T323" s="390"/>
      <c r="U323" s="390"/>
      <c r="V323" s="390"/>
      <c r="W323" s="390"/>
      <c r="X323" s="390"/>
      <c r="Y323" s="390"/>
      <c r="Z323" s="390"/>
      <c r="AA323" s="390"/>
      <c r="AB323" s="390"/>
      <c r="AC323" s="390"/>
      <c r="AD323" s="390"/>
      <c r="AE323" s="390"/>
      <c r="AF323" s="390"/>
      <c r="AG323" s="390"/>
      <c r="AH323" s="390"/>
      <c r="AI323" s="391"/>
      <c r="AK323" s="437"/>
      <c r="AL323" s="437"/>
      <c r="AM323" s="437"/>
      <c r="AN323" s="437"/>
      <c r="AO323" s="437"/>
      <c r="AP323" s="437"/>
      <c r="AQ323" s="437"/>
      <c r="AR323" s="437"/>
      <c r="AS323" s="437"/>
      <c r="AT323" s="437"/>
      <c r="AU323" s="437"/>
      <c r="AV323" s="437"/>
      <c r="AW323" s="437"/>
      <c r="AX323" s="437"/>
      <c r="AY323" s="437"/>
      <c r="AZ323" s="437"/>
      <c r="BA323" s="437"/>
      <c r="BB323" s="437"/>
      <c r="BC323" s="437"/>
      <c r="BD323" s="437"/>
      <c r="BE323" s="437"/>
      <c r="BF323" s="437"/>
      <c r="BG323" s="437"/>
      <c r="BH323" s="437"/>
      <c r="BI323" s="437"/>
      <c r="BJ323" s="437"/>
      <c r="BK323" s="437"/>
      <c r="BL323" s="437"/>
      <c r="BM323" s="393"/>
      <c r="BO323" s="399">
        <f t="shared" si="123"/>
        <v>0</v>
      </c>
      <c r="BP323" s="399">
        <f t="shared" si="124"/>
        <v>0</v>
      </c>
      <c r="BQ323" s="399">
        <f t="shared" si="125"/>
        <v>0</v>
      </c>
      <c r="BR323" s="399">
        <f t="shared" si="126"/>
        <v>0</v>
      </c>
      <c r="BS323" s="399">
        <f t="shared" si="127"/>
        <v>0</v>
      </c>
      <c r="BT323" s="399">
        <f t="shared" si="128"/>
        <v>0</v>
      </c>
      <c r="BU323" s="399">
        <f t="shared" si="129"/>
        <v>0</v>
      </c>
      <c r="BV323" s="399">
        <f t="shared" si="130"/>
        <v>0</v>
      </c>
      <c r="BW323" s="399">
        <f t="shared" si="131"/>
        <v>0</v>
      </c>
      <c r="BX323" s="399">
        <f t="shared" si="132"/>
        <v>0</v>
      </c>
      <c r="BY323" s="399">
        <f t="shared" si="133"/>
        <v>0</v>
      </c>
      <c r="BZ323" s="399">
        <f t="shared" si="134"/>
        <v>0</v>
      </c>
      <c r="CA323" s="399">
        <f t="shared" si="135"/>
        <v>0</v>
      </c>
      <c r="CB323" s="399">
        <f t="shared" si="136"/>
        <v>0</v>
      </c>
      <c r="CC323" s="399">
        <f t="shared" si="137"/>
        <v>0</v>
      </c>
      <c r="CD323" s="399">
        <f t="shared" si="138"/>
        <v>0</v>
      </c>
      <c r="CE323" s="399">
        <f t="shared" si="139"/>
        <v>0</v>
      </c>
      <c r="CF323" s="399">
        <f t="shared" si="140"/>
        <v>0</v>
      </c>
      <c r="CG323" s="399">
        <f t="shared" si="141"/>
        <v>0</v>
      </c>
      <c r="CH323" s="399">
        <f t="shared" si="142"/>
        <v>0</v>
      </c>
      <c r="CI323" s="399">
        <f t="shared" si="143"/>
        <v>0</v>
      </c>
      <c r="CJ323" s="399">
        <f t="shared" si="144"/>
        <v>0</v>
      </c>
      <c r="CK323" s="399">
        <f t="shared" si="145"/>
        <v>0</v>
      </c>
      <c r="CL323" s="399">
        <f t="shared" si="146"/>
        <v>0</v>
      </c>
      <c r="CM323" s="399">
        <f t="shared" si="147"/>
        <v>0</v>
      </c>
      <c r="CN323" s="399">
        <f t="shared" si="148"/>
        <v>0</v>
      </c>
      <c r="CO323" s="399">
        <f t="shared" si="149"/>
        <v>0</v>
      </c>
      <c r="CP323" s="399">
        <f t="shared" si="150"/>
        <v>0</v>
      </c>
      <c r="CQ323" s="423">
        <f t="shared" si="151"/>
        <v>0</v>
      </c>
      <c r="CS323" s="394" t="e">
        <f t="shared" si="152"/>
        <v>#DIV/0!</v>
      </c>
    </row>
    <row r="324" spans="3:97">
      <c r="C324" s="107"/>
      <c r="D324" s="395"/>
      <c r="E324" s="84"/>
      <c r="F324" s="84"/>
      <c r="G324" s="389"/>
      <c r="H324" s="390"/>
      <c r="I324" s="390"/>
      <c r="J324" s="390"/>
      <c r="K324" s="390"/>
      <c r="L324" s="390"/>
      <c r="M324" s="390"/>
      <c r="N324" s="390"/>
      <c r="O324" s="390"/>
      <c r="P324" s="390"/>
      <c r="Q324" s="390"/>
      <c r="R324" s="390"/>
      <c r="S324" s="390"/>
      <c r="T324" s="390"/>
      <c r="U324" s="390"/>
      <c r="V324" s="390"/>
      <c r="W324" s="390"/>
      <c r="X324" s="390"/>
      <c r="Y324" s="390"/>
      <c r="Z324" s="390"/>
      <c r="AA324" s="390"/>
      <c r="AB324" s="390"/>
      <c r="AC324" s="390"/>
      <c r="AD324" s="390"/>
      <c r="AE324" s="390"/>
      <c r="AF324" s="390"/>
      <c r="AG324" s="390"/>
      <c r="AH324" s="390"/>
      <c r="AI324" s="391"/>
      <c r="AK324" s="437"/>
      <c r="AL324" s="437"/>
      <c r="AM324" s="437"/>
      <c r="AN324" s="437"/>
      <c r="AO324" s="437"/>
      <c r="AP324" s="437"/>
      <c r="AQ324" s="437"/>
      <c r="AR324" s="437"/>
      <c r="AS324" s="437"/>
      <c r="AT324" s="437"/>
      <c r="AU324" s="437"/>
      <c r="AV324" s="437"/>
      <c r="AW324" s="437"/>
      <c r="AX324" s="437"/>
      <c r="AY324" s="437"/>
      <c r="AZ324" s="437"/>
      <c r="BA324" s="437"/>
      <c r="BB324" s="437"/>
      <c r="BC324" s="437"/>
      <c r="BD324" s="437"/>
      <c r="BE324" s="437"/>
      <c r="BF324" s="437"/>
      <c r="BG324" s="437"/>
      <c r="BH324" s="437"/>
      <c r="BI324" s="437"/>
      <c r="BJ324" s="437"/>
      <c r="BK324" s="437"/>
      <c r="BL324" s="437"/>
      <c r="BM324" s="393"/>
      <c r="BO324" s="399">
        <f t="shared" si="123"/>
        <v>0</v>
      </c>
      <c r="BP324" s="399">
        <f t="shared" si="124"/>
        <v>0</v>
      </c>
      <c r="BQ324" s="399">
        <f t="shared" si="125"/>
        <v>0</v>
      </c>
      <c r="BR324" s="399">
        <f t="shared" si="126"/>
        <v>0</v>
      </c>
      <c r="BS324" s="399">
        <f t="shared" si="127"/>
        <v>0</v>
      </c>
      <c r="BT324" s="399">
        <f t="shared" si="128"/>
        <v>0</v>
      </c>
      <c r="BU324" s="399">
        <f t="shared" si="129"/>
        <v>0</v>
      </c>
      <c r="BV324" s="399">
        <f t="shared" si="130"/>
        <v>0</v>
      </c>
      <c r="BW324" s="399">
        <f t="shared" si="131"/>
        <v>0</v>
      </c>
      <c r="BX324" s="399">
        <f t="shared" si="132"/>
        <v>0</v>
      </c>
      <c r="BY324" s="399">
        <f t="shared" si="133"/>
        <v>0</v>
      </c>
      <c r="BZ324" s="399">
        <f t="shared" si="134"/>
        <v>0</v>
      </c>
      <c r="CA324" s="399">
        <f t="shared" si="135"/>
        <v>0</v>
      </c>
      <c r="CB324" s="399">
        <f t="shared" si="136"/>
        <v>0</v>
      </c>
      <c r="CC324" s="399">
        <f t="shared" si="137"/>
        <v>0</v>
      </c>
      <c r="CD324" s="399">
        <f t="shared" si="138"/>
        <v>0</v>
      </c>
      <c r="CE324" s="399">
        <f t="shared" si="139"/>
        <v>0</v>
      </c>
      <c r="CF324" s="399">
        <f t="shared" si="140"/>
        <v>0</v>
      </c>
      <c r="CG324" s="399">
        <f t="shared" si="141"/>
        <v>0</v>
      </c>
      <c r="CH324" s="399">
        <f t="shared" si="142"/>
        <v>0</v>
      </c>
      <c r="CI324" s="399">
        <f t="shared" si="143"/>
        <v>0</v>
      </c>
      <c r="CJ324" s="399">
        <f t="shared" si="144"/>
        <v>0</v>
      </c>
      <c r="CK324" s="399">
        <f t="shared" si="145"/>
        <v>0</v>
      </c>
      <c r="CL324" s="399">
        <f t="shared" si="146"/>
        <v>0</v>
      </c>
      <c r="CM324" s="399">
        <f t="shared" si="147"/>
        <v>0</v>
      </c>
      <c r="CN324" s="399">
        <f t="shared" si="148"/>
        <v>0</v>
      </c>
      <c r="CO324" s="399">
        <f t="shared" si="149"/>
        <v>0</v>
      </c>
      <c r="CP324" s="399">
        <f t="shared" si="150"/>
        <v>0</v>
      </c>
      <c r="CQ324" s="423">
        <f t="shared" si="151"/>
        <v>0</v>
      </c>
      <c r="CS324" s="394" t="e">
        <f t="shared" si="152"/>
        <v>#DIV/0!</v>
      </c>
    </row>
    <row r="325" spans="3:97">
      <c r="C325" s="107"/>
      <c r="D325" s="395"/>
      <c r="E325" s="84"/>
      <c r="F325" s="84"/>
      <c r="G325" s="389"/>
      <c r="H325" s="390"/>
      <c r="I325" s="390"/>
      <c r="J325" s="390"/>
      <c r="K325" s="390"/>
      <c r="L325" s="390"/>
      <c r="M325" s="390"/>
      <c r="N325" s="390"/>
      <c r="O325" s="390"/>
      <c r="P325" s="390"/>
      <c r="Q325" s="390"/>
      <c r="R325" s="390"/>
      <c r="S325" s="390"/>
      <c r="T325" s="390"/>
      <c r="U325" s="390"/>
      <c r="V325" s="390"/>
      <c r="W325" s="390"/>
      <c r="X325" s="390"/>
      <c r="Y325" s="390"/>
      <c r="Z325" s="390"/>
      <c r="AA325" s="390"/>
      <c r="AB325" s="390"/>
      <c r="AC325" s="390"/>
      <c r="AD325" s="390"/>
      <c r="AE325" s="390"/>
      <c r="AF325" s="390"/>
      <c r="AG325" s="390"/>
      <c r="AH325" s="390"/>
      <c r="AI325" s="391"/>
      <c r="AK325" s="437"/>
      <c r="AL325" s="437"/>
      <c r="AM325" s="437"/>
      <c r="AN325" s="437"/>
      <c r="AO325" s="437"/>
      <c r="AP325" s="437"/>
      <c r="AQ325" s="437"/>
      <c r="AR325" s="437"/>
      <c r="AS325" s="437"/>
      <c r="AT325" s="437"/>
      <c r="AU325" s="437"/>
      <c r="AV325" s="437"/>
      <c r="AW325" s="437"/>
      <c r="AX325" s="437"/>
      <c r="AY325" s="437"/>
      <c r="AZ325" s="437"/>
      <c r="BA325" s="437"/>
      <c r="BB325" s="437"/>
      <c r="BC325" s="437"/>
      <c r="BD325" s="437"/>
      <c r="BE325" s="437"/>
      <c r="BF325" s="437"/>
      <c r="BG325" s="437"/>
      <c r="BH325" s="437"/>
      <c r="BI325" s="437"/>
      <c r="BJ325" s="437"/>
      <c r="BK325" s="437"/>
      <c r="BL325" s="437"/>
      <c r="BM325" s="393"/>
      <c r="BO325" s="399">
        <f t="shared" si="123"/>
        <v>0</v>
      </c>
      <c r="BP325" s="399">
        <f t="shared" si="124"/>
        <v>0</v>
      </c>
      <c r="BQ325" s="399">
        <f t="shared" si="125"/>
        <v>0</v>
      </c>
      <c r="BR325" s="399">
        <f t="shared" si="126"/>
        <v>0</v>
      </c>
      <c r="BS325" s="399">
        <f t="shared" si="127"/>
        <v>0</v>
      </c>
      <c r="BT325" s="399">
        <f t="shared" si="128"/>
        <v>0</v>
      </c>
      <c r="BU325" s="399">
        <f t="shared" si="129"/>
        <v>0</v>
      </c>
      <c r="BV325" s="399">
        <f t="shared" si="130"/>
        <v>0</v>
      </c>
      <c r="BW325" s="399">
        <f t="shared" si="131"/>
        <v>0</v>
      </c>
      <c r="BX325" s="399">
        <f t="shared" si="132"/>
        <v>0</v>
      </c>
      <c r="BY325" s="399">
        <f t="shared" si="133"/>
        <v>0</v>
      </c>
      <c r="BZ325" s="399">
        <f t="shared" si="134"/>
        <v>0</v>
      </c>
      <c r="CA325" s="399">
        <f t="shared" si="135"/>
        <v>0</v>
      </c>
      <c r="CB325" s="399">
        <f t="shared" si="136"/>
        <v>0</v>
      </c>
      <c r="CC325" s="399">
        <f t="shared" si="137"/>
        <v>0</v>
      </c>
      <c r="CD325" s="399">
        <f t="shared" si="138"/>
        <v>0</v>
      </c>
      <c r="CE325" s="399">
        <f t="shared" si="139"/>
        <v>0</v>
      </c>
      <c r="CF325" s="399">
        <f t="shared" si="140"/>
        <v>0</v>
      </c>
      <c r="CG325" s="399">
        <f t="shared" si="141"/>
        <v>0</v>
      </c>
      <c r="CH325" s="399">
        <f t="shared" si="142"/>
        <v>0</v>
      </c>
      <c r="CI325" s="399">
        <f t="shared" si="143"/>
        <v>0</v>
      </c>
      <c r="CJ325" s="399">
        <f t="shared" si="144"/>
        <v>0</v>
      </c>
      <c r="CK325" s="399">
        <f t="shared" si="145"/>
        <v>0</v>
      </c>
      <c r="CL325" s="399">
        <f t="shared" si="146"/>
        <v>0</v>
      </c>
      <c r="CM325" s="399">
        <f t="shared" si="147"/>
        <v>0</v>
      </c>
      <c r="CN325" s="399">
        <f t="shared" si="148"/>
        <v>0</v>
      </c>
      <c r="CO325" s="399">
        <f t="shared" si="149"/>
        <v>0</v>
      </c>
      <c r="CP325" s="399">
        <f t="shared" si="150"/>
        <v>0</v>
      </c>
      <c r="CQ325" s="423">
        <f t="shared" si="151"/>
        <v>0</v>
      </c>
      <c r="CS325" s="394" t="e">
        <f t="shared" si="152"/>
        <v>#DIV/0!</v>
      </c>
    </row>
    <row r="326" spans="3:97">
      <c r="C326" s="107"/>
      <c r="D326" s="395"/>
      <c r="E326" s="84"/>
      <c r="F326" s="84"/>
      <c r="G326" s="389"/>
      <c r="H326" s="390"/>
      <c r="I326" s="390"/>
      <c r="J326" s="390"/>
      <c r="K326" s="390"/>
      <c r="L326" s="390"/>
      <c r="M326" s="390"/>
      <c r="N326" s="390"/>
      <c r="O326" s="390"/>
      <c r="P326" s="390"/>
      <c r="Q326" s="390"/>
      <c r="R326" s="390"/>
      <c r="S326" s="390"/>
      <c r="T326" s="390"/>
      <c r="U326" s="390"/>
      <c r="V326" s="390"/>
      <c r="W326" s="390"/>
      <c r="X326" s="390"/>
      <c r="Y326" s="390"/>
      <c r="Z326" s="390"/>
      <c r="AA326" s="390"/>
      <c r="AB326" s="390"/>
      <c r="AC326" s="390"/>
      <c r="AD326" s="390"/>
      <c r="AE326" s="390"/>
      <c r="AF326" s="390"/>
      <c r="AG326" s="390"/>
      <c r="AH326" s="390"/>
      <c r="AI326" s="391"/>
      <c r="AK326" s="437"/>
      <c r="AL326" s="437"/>
      <c r="AM326" s="437"/>
      <c r="AN326" s="437"/>
      <c r="AO326" s="437"/>
      <c r="AP326" s="437"/>
      <c r="AQ326" s="437"/>
      <c r="AR326" s="437"/>
      <c r="AS326" s="437"/>
      <c r="AT326" s="437"/>
      <c r="AU326" s="437"/>
      <c r="AV326" s="437"/>
      <c r="AW326" s="437"/>
      <c r="AX326" s="437"/>
      <c r="AY326" s="437"/>
      <c r="AZ326" s="437"/>
      <c r="BA326" s="437"/>
      <c r="BB326" s="437"/>
      <c r="BC326" s="437"/>
      <c r="BD326" s="437"/>
      <c r="BE326" s="437"/>
      <c r="BF326" s="437"/>
      <c r="BG326" s="437"/>
      <c r="BH326" s="437"/>
      <c r="BI326" s="437"/>
      <c r="BJ326" s="437"/>
      <c r="BK326" s="437"/>
      <c r="BL326" s="437"/>
      <c r="BM326" s="393"/>
      <c r="BO326" s="399">
        <f t="shared" si="123"/>
        <v>0</v>
      </c>
      <c r="BP326" s="399">
        <f t="shared" si="124"/>
        <v>0</v>
      </c>
      <c r="BQ326" s="399">
        <f t="shared" si="125"/>
        <v>0</v>
      </c>
      <c r="BR326" s="399">
        <f t="shared" si="126"/>
        <v>0</v>
      </c>
      <c r="BS326" s="399">
        <f t="shared" si="127"/>
        <v>0</v>
      </c>
      <c r="BT326" s="399">
        <f t="shared" si="128"/>
        <v>0</v>
      </c>
      <c r="BU326" s="399">
        <f t="shared" si="129"/>
        <v>0</v>
      </c>
      <c r="BV326" s="399">
        <f t="shared" si="130"/>
        <v>0</v>
      </c>
      <c r="BW326" s="399">
        <f t="shared" si="131"/>
        <v>0</v>
      </c>
      <c r="BX326" s="399">
        <f t="shared" si="132"/>
        <v>0</v>
      </c>
      <c r="BY326" s="399">
        <f t="shared" si="133"/>
        <v>0</v>
      </c>
      <c r="BZ326" s="399">
        <f t="shared" si="134"/>
        <v>0</v>
      </c>
      <c r="CA326" s="399">
        <f t="shared" si="135"/>
        <v>0</v>
      </c>
      <c r="CB326" s="399">
        <f t="shared" si="136"/>
        <v>0</v>
      </c>
      <c r="CC326" s="399">
        <f t="shared" si="137"/>
        <v>0</v>
      </c>
      <c r="CD326" s="399">
        <f t="shared" si="138"/>
        <v>0</v>
      </c>
      <c r="CE326" s="399">
        <f t="shared" si="139"/>
        <v>0</v>
      </c>
      <c r="CF326" s="399">
        <f t="shared" si="140"/>
        <v>0</v>
      </c>
      <c r="CG326" s="399">
        <f t="shared" si="141"/>
        <v>0</v>
      </c>
      <c r="CH326" s="399">
        <f t="shared" si="142"/>
        <v>0</v>
      </c>
      <c r="CI326" s="399">
        <f t="shared" si="143"/>
        <v>0</v>
      </c>
      <c r="CJ326" s="399">
        <f t="shared" si="144"/>
        <v>0</v>
      </c>
      <c r="CK326" s="399">
        <f t="shared" si="145"/>
        <v>0</v>
      </c>
      <c r="CL326" s="399">
        <f t="shared" si="146"/>
        <v>0</v>
      </c>
      <c r="CM326" s="399">
        <f t="shared" si="147"/>
        <v>0</v>
      </c>
      <c r="CN326" s="399">
        <f t="shared" si="148"/>
        <v>0</v>
      </c>
      <c r="CO326" s="399">
        <f t="shared" si="149"/>
        <v>0</v>
      </c>
      <c r="CP326" s="399">
        <f t="shared" si="150"/>
        <v>0</v>
      </c>
      <c r="CQ326" s="423">
        <f t="shared" si="151"/>
        <v>0</v>
      </c>
      <c r="CS326" s="394" t="e">
        <f t="shared" si="152"/>
        <v>#DIV/0!</v>
      </c>
    </row>
    <row r="327" spans="3:97">
      <c r="C327" s="107"/>
      <c r="D327" s="395"/>
      <c r="E327" s="84"/>
      <c r="F327" s="84"/>
      <c r="G327" s="389"/>
      <c r="H327" s="390"/>
      <c r="I327" s="390"/>
      <c r="J327" s="390"/>
      <c r="K327" s="390"/>
      <c r="L327" s="390"/>
      <c r="M327" s="390"/>
      <c r="N327" s="390"/>
      <c r="O327" s="390"/>
      <c r="P327" s="390"/>
      <c r="Q327" s="390"/>
      <c r="R327" s="390"/>
      <c r="S327" s="390"/>
      <c r="T327" s="390"/>
      <c r="U327" s="390"/>
      <c r="V327" s="390"/>
      <c r="W327" s="390"/>
      <c r="X327" s="390"/>
      <c r="Y327" s="390"/>
      <c r="Z327" s="390"/>
      <c r="AA327" s="390"/>
      <c r="AB327" s="390"/>
      <c r="AC327" s="390"/>
      <c r="AD327" s="390"/>
      <c r="AE327" s="390"/>
      <c r="AF327" s="390"/>
      <c r="AG327" s="390"/>
      <c r="AH327" s="390"/>
      <c r="AI327" s="391"/>
      <c r="AK327" s="437"/>
      <c r="AL327" s="437"/>
      <c r="AM327" s="437"/>
      <c r="AN327" s="437"/>
      <c r="AO327" s="437"/>
      <c r="AP327" s="437"/>
      <c r="AQ327" s="437"/>
      <c r="AR327" s="437"/>
      <c r="AS327" s="437"/>
      <c r="AT327" s="437"/>
      <c r="AU327" s="437"/>
      <c r="AV327" s="437"/>
      <c r="AW327" s="437"/>
      <c r="AX327" s="437"/>
      <c r="AY327" s="437"/>
      <c r="AZ327" s="437"/>
      <c r="BA327" s="437"/>
      <c r="BB327" s="437"/>
      <c r="BC327" s="437"/>
      <c r="BD327" s="437"/>
      <c r="BE327" s="437"/>
      <c r="BF327" s="437"/>
      <c r="BG327" s="437"/>
      <c r="BH327" s="437"/>
      <c r="BI327" s="437"/>
      <c r="BJ327" s="437"/>
      <c r="BK327" s="437"/>
      <c r="BL327" s="437"/>
      <c r="BM327" s="393"/>
      <c r="BO327" s="399">
        <f t="shared" si="123"/>
        <v>0</v>
      </c>
      <c r="BP327" s="399">
        <f t="shared" si="124"/>
        <v>0</v>
      </c>
      <c r="BQ327" s="399">
        <f t="shared" si="125"/>
        <v>0</v>
      </c>
      <c r="BR327" s="399">
        <f t="shared" si="126"/>
        <v>0</v>
      </c>
      <c r="BS327" s="399">
        <f t="shared" si="127"/>
        <v>0</v>
      </c>
      <c r="BT327" s="399">
        <f t="shared" si="128"/>
        <v>0</v>
      </c>
      <c r="BU327" s="399">
        <f t="shared" si="129"/>
        <v>0</v>
      </c>
      <c r="BV327" s="399">
        <f t="shared" si="130"/>
        <v>0</v>
      </c>
      <c r="BW327" s="399">
        <f t="shared" si="131"/>
        <v>0</v>
      </c>
      <c r="BX327" s="399">
        <f t="shared" si="132"/>
        <v>0</v>
      </c>
      <c r="BY327" s="399">
        <f t="shared" si="133"/>
        <v>0</v>
      </c>
      <c r="BZ327" s="399">
        <f t="shared" si="134"/>
        <v>0</v>
      </c>
      <c r="CA327" s="399">
        <f t="shared" si="135"/>
        <v>0</v>
      </c>
      <c r="CB327" s="399">
        <f t="shared" si="136"/>
        <v>0</v>
      </c>
      <c r="CC327" s="399">
        <f t="shared" si="137"/>
        <v>0</v>
      </c>
      <c r="CD327" s="399">
        <f t="shared" si="138"/>
        <v>0</v>
      </c>
      <c r="CE327" s="399">
        <f t="shared" si="139"/>
        <v>0</v>
      </c>
      <c r="CF327" s="399">
        <f t="shared" si="140"/>
        <v>0</v>
      </c>
      <c r="CG327" s="399">
        <f t="shared" si="141"/>
        <v>0</v>
      </c>
      <c r="CH327" s="399">
        <f t="shared" si="142"/>
        <v>0</v>
      </c>
      <c r="CI327" s="399">
        <f t="shared" si="143"/>
        <v>0</v>
      </c>
      <c r="CJ327" s="399">
        <f t="shared" si="144"/>
        <v>0</v>
      </c>
      <c r="CK327" s="399">
        <f t="shared" si="145"/>
        <v>0</v>
      </c>
      <c r="CL327" s="399">
        <f t="shared" si="146"/>
        <v>0</v>
      </c>
      <c r="CM327" s="399">
        <f t="shared" si="147"/>
        <v>0</v>
      </c>
      <c r="CN327" s="399">
        <f t="shared" si="148"/>
        <v>0</v>
      </c>
      <c r="CO327" s="399">
        <f t="shared" si="149"/>
        <v>0</v>
      </c>
      <c r="CP327" s="399">
        <f t="shared" si="150"/>
        <v>0</v>
      </c>
      <c r="CQ327" s="423">
        <f t="shared" si="151"/>
        <v>0</v>
      </c>
      <c r="CS327" s="394" t="e">
        <f t="shared" si="152"/>
        <v>#DIV/0!</v>
      </c>
    </row>
    <row r="328" spans="3:97">
      <c r="C328" s="107"/>
      <c r="D328" s="395"/>
      <c r="E328" s="84"/>
      <c r="F328" s="84"/>
      <c r="G328" s="389"/>
      <c r="H328" s="390"/>
      <c r="I328" s="390"/>
      <c r="J328" s="390"/>
      <c r="K328" s="390"/>
      <c r="L328" s="390"/>
      <c r="M328" s="390"/>
      <c r="N328" s="390"/>
      <c r="O328" s="390"/>
      <c r="P328" s="390"/>
      <c r="Q328" s="390"/>
      <c r="R328" s="390"/>
      <c r="S328" s="390"/>
      <c r="T328" s="390"/>
      <c r="U328" s="390"/>
      <c r="V328" s="390"/>
      <c r="W328" s="390"/>
      <c r="X328" s="390"/>
      <c r="Y328" s="390"/>
      <c r="Z328" s="390"/>
      <c r="AA328" s="390"/>
      <c r="AB328" s="390"/>
      <c r="AC328" s="390"/>
      <c r="AD328" s="390"/>
      <c r="AE328" s="390"/>
      <c r="AF328" s="390"/>
      <c r="AG328" s="390"/>
      <c r="AH328" s="390"/>
      <c r="AI328" s="391"/>
      <c r="AK328" s="437"/>
      <c r="AL328" s="437"/>
      <c r="AM328" s="437"/>
      <c r="AN328" s="437"/>
      <c r="AO328" s="437"/>
      <c r="AP328" s="437"/>
      <c r="AQ328" s="437"/>
      <c r="AR328" s="437"/>
      <c r="AS328" s="437"/>
      <c r="AT328" s="437"/>
      <c r="AU328" s="437"/>
      <c r="AV328" s="437"/>
      <c r="AW328" s="437"/>
      <c r="AX328" s="437"/>
      <c r="AY328" s="437"/>
      <c r="AZ328" s="437"/>
      <c r="BA328" s="437"/>
      <c r="BB328" s="437"/>
      <c r="BC328" s="437"/>
      <c r="BD328" s="437"/>
      <c r="BE328" s="437"/>
      <c r="BF328" s="437"/>
      <c r="BG328" s="437"/>
      <c r="BH328" s="437"/>
      <c r="BI328" s="437"/>
      <c r="BJ328" s="437"/>
      <c r="BK328" s="437"/>
      <c r="BL328" s="437"/>
      <c r="BM328" s="393"/>
      <c r="BO328" s="399">
        <f t="shared" si="123"/>
        <v>0</v>
      </c>
      <c r="BP328" s="399">
        <f t="shared" si="124"/>
        <v>0</v>
      </c>
      <c r="BQ328" s="399">
        <f t="shared" si="125"/>
        <v>0</v>
      </c>
      <c r="BR328" s="399">
        <f t="shared" si="126"/>
        <v>0</v>
      </c>
      <c r="BS328" s="399">
        <f t="shared" si="127"/>
        <v>0</v>
      </c>
      <c r="BT328" s="399">
        <f t="shared" si="128"/>
        <v>0</v>
      </c>
      <c r="BU328" s="399">
        <f t="shared" si="129"/>
        <v>0</v>
      </c>
      <c r="BV328" s="399">
        <f t="shared" si="130"/>
        <v>0</v>
      </c>
      <c r="BW328" s="399">
        <f t="shared" si="131"/>
        <v>0</v>
      </c>
      <c r="BX328" s="399">
        <f t="shared" si="132"/>
        <v>0</v>
      </c>
      <c r="BY328" s="399">
        <f t="shared" si="133"/>
        <v>0</v>
      </c>
      <c r="BZ328" s="399">
        <f t="shared" si="134"/>
        <v>0</v>
      </c>
      <c r="CA328" s="399">
        <f t="shared" si="135"/>
        <v>0</v>
      </c>
      <c r="CB328" s="399">
        <f t="shared" si="136"/>
        <v>0</v>
      </c>
      <c r="CC328" s="399">
        <f t="shared" si="137"/>
        <v>0</v>
      </c>
      <c r="CD328" s="399">
        <f t="shared" si="138"/>
        <v>0</v>
      </c>
      <c r="CE328" s="399">
        <f t="shared" si="139"/>
        <v>0</v>
      </c>
      <c r="CF328" s="399">
        <f t="shared" si="140"/>
        <v>0</v>
      </c>
      <c r="CG328" s="399">
        <f t="shared" si="141"/>
        <v>0</v>
      </c>
      <c r="CH328" s="399">
        <f t="shared" si="142"/>
        <v>0</v>
      </c>
      <c r="CI328" s="399">
        <f t="shared" si="143"/>
        <v>0</v>
      </c>
      <c r="CJ328" s="399">
        <f t="shared" si="144"/>
        <v>0</v>
      </c>
      <c r="CK328" s="399">
        <f t="shared" si="145"/>
        <v>0</v>
      </c>
      <c r="CL328" s="399">
        <f t="shared" si="146"/>
        <v>0</v>
      </c>
      <c r="CM328" s="399">
        <f t="shared" si="147"/>
        <v>0</v>
      </c>
      <c r="CN328" s="399">
        <f t="shared" si="148"/>
        <v>0</v>
      </c>
      <c r="CO328" s="399">
        <f t="shared" si="149"/>
        <v>0</v>
      </c>
      <c r="CP328" s="399">
        <f t="shared" si="150"/>
        <v>0</v>
      </c>
      <c r="CQ328" s="423">
        <f t="shared" si="151"/>
        <v>0</v>
      </c>
      <c r="CS328" s="394" t="e">
        <f t="shared" si="152"/>
        <v>#DIV/0!</v>
      </c>
    </row>
    <row r="329" spans="3:97">
      <c r="C329" s="107"/>
      <c r="D329" s="395"/>
      <c r="E329" s="84"/>
      <c r="F329" s="84"/>
      <c r="G329" s="389"/>
      <c r="H329" s="390"/>
      <c r="I329" s="390"/>
      <c r="J329" s="390"/>
      <c r="K329" s="390"/>
      <c r="L329" s="390"/>
      <c r="M329" s="390"/>
      <c r="N329" s="390"/>
      <c r="O329" s="390"/>
      <c r="P329" s="390"/>
      <c r="Q329" s="390"/>
      <c r="R329" s="390"/>
      <c r="S329" s="390"/>
      <c r="T329" s="390"/>
      <c r="U329" s="390"/>
      <c r="V329" s="390"/>
      <c r="W329" s="390"/>
      <c r="X329" s="390"/>
      <c r="Y329" s="390"/>
      <c r="Z329" s="390"/>
      <c r="AA329" s="390"/>
      <c r="AB329" s="390"/>
      <c r="AC329" s="390"/>
      <c r="AD329" s="390"/>
      <c r="AE329" s="390"/>
      <c r="AF329" s="390"/>
      <c r="AG329" s="390"/>
      <c r="AH329" s="390"/>
      <c r="AI329" s="391"/>
      <c r="AK329" s="437"/>
      <c r="AL329" s="437"/>
      <c r="AM329" s="437"/>
      <c r="AN329" s="437"/>
      <c r="AO329" s="437"/>
      <c r="AP329" s="437"/>
      <c r="AQ329" s="437"/>
      <c r="AR329" s="437"/>
      <c r="AS329" s="437"/>
      <c r="AT329" s="437"/>
      <c r="AU329" s="437"/>
      <c r="AV329" s="437"/>
      <c r="AW329" s="437"/>
      <c r="AX329" s="437"/>
      <c r="AY329" s="437"/>
      <c r="AZ329" s="437"/>
      <c r="BA329" s="437"/>
      <c r="BB329" s="437"/>
      <c r="BC329" s="437"/>
      <c r="BD329" s="437"/>
      <c r="BE329" s="437"/>
      <c r="BF329" s="437"/>
      <c r="BG329" s="437"/>
      <c r="BH329" s="437"/>
      <c r="BI329" s="437"/>
      <c r="BJ329" s="437"/>
      <c r="BK329" s="437"/>
      <c r="BL329" s="437"/>
      <c r="BM329" s="393"/>
      <c r="BO329" s="399">
        <f t="shared" si="123"/>
        <v>0</v>
      </c>
      <c r="BP329" s="399">
        <f t="shared" si="124"/>
        <v>0</v>
      </c>
      <c r="BQ329" s="399">
        <f t="shared" si="125"/>
        <v>0</v>
      </c>
      <c r="BR329" s="399">
        <f t="shared" si="126"/>
        <v>0</v>
      </c>
      <c r="BS329" s="399">
        <f t="shared" si="127"/>
        <v>0</v>
      </c>
      <c r="BT329" s="399">
        <f t="shared" si="128"/>
        <v>0</v>
      </c>
      <c r="BU329" s="399">
        <f t="shared" si="129"/>
        <v>0</v>
      </c>
      <c r="BV329" s="399">
        <f t="shared" si="130"/>
        <v>0</v>
      </c>
      <c r="BW329" s="399">
        <f t="shared" si="131"/>
        <v>0</v>
      </c>
      <c r="BX329" s="399">
        <f t="shared" si="132"/>
        <v>0</v>
      </c>
      <c r="BY329" s="399">
        <f t="shared" si="133"/>
        <v>0</v>
      </c>
      <c r="BZ329" s="399">
        <f t="shared" si="134"/>
        <v>0</v>
      </c>
      <c r="CA329" s="399">
        <f t="shared" si="135"/>
        <v>0</v>
      </c>
      <c r="CB329" s="399">
        <f t="shared" si="136"/>
        <v>0</v>
      </c>
      <c r="CC329" s="399">
        <f t="shared" si="137"/>
        <v>0</v>
      </c>
      <c r="CD329" s="399">
        <f t="shared" si="138"/>
        <v>0</v>
      </c>
      <c r="CE329" s="399">
        <f t="shared" si="139"/>
        <v>0</v>
      </c>
      <c r="CF329" s="399">
        <f t="shared" si="140"/>
        <v>0</v>
      </c>
      <c r="CG329" s="399">
        <f t="shared" si="141"/>
        <v>0</v>
      </c>
      <c r="CH329" s="399">
        <f t="shared" si="142"/>
        <v>0</v>
      </c>
      <c r="CI329" s="399">
        <f t="shared" si="143"/>
        <v>0</v>
      </c>
      <c r="CJ329" s="399">
        <f t="shared" si="144"/>
        <v>0</v>
      </c>
      <c r="CK329" s="399">
        <f t="shared" si="145"/>
        <v>0</v>
      </c>
      <c r="CL329" s="399">
        <f t="shared" si="146"/>
        <v>0</v>
      </c>
      <c r="CM329" s="399">
        <f t="shared" si="147"/>
        <v>0</v>
      </c>
      <c r="CN329" s="399">
        <f t="shared" si="148"/>
        <v>0</v>
      </c>
      <c r="CO329" s="399">
        <f t="shared" si="149"/>
        <v>0</v>
      </c>
      <c r="CP329" s="399">
        <f t="shared" si="150"/>
        <v>0</v>
      </c>
      <c r="CQ329" s="423">
        <f t="shared" si="151"/>
        <v>0</v>
      </c>
      <c r="CS329" s="394" t="e">
        <f t="shared" si="152"/>
        <v>#DIV/0!</v>
      </c>
    </row>
    <row r="330" spans="3:97">
      <c r="C330" s="107"/>
      <c r="D330" s="395"/>
      <c r="E330" s="84"/>
      <c r="F330" s="84"/>
      <c r="G330" s="389"/>
      <c r="H330" s="390"/>
      <c r="I330" s="390"/>
      <c r="J330" s="390"/>
      <c r="K330" s="390"/>
      <c r="L330" s="390"/>
      <c r="M330" s="390"/>
      <c r="N330" s="390"/>
      <c r="O330" s="390"/>
      <c r="P330" s="390"/>
      <c r="Q330" s="390"/>
      <c r="R330" s="390"/>
      <c r="S330" s="390"/>
      <c r="T330" s="390"/>
      <c r="U330" s="390"/>
      <c r="V330" s="390"/>
      <c r="W330" s="390"/>
      <c r="X330" s="390"/>
      <c r="Y330" s="390"/>
      <c r="Z330" s="390"/>
      <c r="AA330" s="390"/>
      <c r="AB330" s="390"/>
      <c r="AC330" s="390"/>
      <c r="AD330" s="390"/>
      <c r="AE330" s="390"/>
      <c r="AF330" s="390"/>
      <c r="AG330" s="390"/>
      <c r="AH330" s="390"/>
      <c r="AI330" s="391"/>
      <c r="AK330" s="437"/>
      <c r="AL330" s="437"/>
      <c r="AM330" s="437"/>
      <c r="AN330" s="437"/>
      <c r="AO330" s="437"/>
      <c r="AP330" s="437"/>
      <c r="AQ330" s="437"/>
      <c r="AR330" s="437"/>
      <c r="AS330" s="437"/>
      <c r="AT330" s="437"/>
      <c r="AU330" s="437"/>
      <c r="AV330" s="437"/>
      <c r="AW330" s="437"/>
      <c r="AX330" s="437"/>
      <c r="AY330" s="437"/>
      <c r="AZ330" s="437"/>
      <c r="BA330" s="437"/>
      <c r="BB330" s="437"/>
      <c r="BC330" s="437"/>
      <c r="BD330" s="437"/>
      <c r="BE330" s="437"/>
      <c r="BF330" s="437"/>
      <c r="BG330" s="437"/>
      <c r="BH330" s="437"/>
      <c r="BI330" s="437"/>
      <c r="BJ330" s="437"/>
      <c r="BK330" s="437"/>
      <c r="BL330" s="437"/>
      <c r="BM330" s="393"/>
      <c r="BO330" s="399">
        <f t="shared" si="123"/>
        <v>0</v>
      </c>
      <c r="BP330" s="399">
        <f t="shared" si="124"/>
        <v>0</v>
      </c>
      <c r="BQ330" s="399">
        <f t="shared" si="125"/>
        <v>0</v>
      </c>
      <c r="BR330" s="399">
        <f t="shared" si="126"/>
        <v>0</v>
      </c>
      <c r="BS330" s="399">
        <f t="shared" si="127"/>
        <v>0</v>
      </c>
      <c r="BT330" s="399">
        <f t="shared" si="128"/>
        <v>0</v>
      </c>
      <c r="BU330" s="399">
        <f t="shared" si="129"/>
        <v>0</v>
      </c>
      <c r="BV330" s="399">
        <f t="shared" si="130"/>
        <v>0</v>
      </c>
      <c r="BW330" s="399">
        <f t="shared" si="131"/>
        <v>0</v>
      </c>
      <c r="BX330" s="399">
        <f t="shared" si="132"/>
        <v>0</v>
      </c>
      <c r="BY330" s="399">
        <f t="shared" si="133"/>
        <v>0</v>
      </c>
      <c r="BZ330" s="399">
        <f t="shared" si="134"/>
        <v>0</v>
      </c>
      <c r="CA330" s="399">
        <f t="shared" si="135"/>
        <v>0</v>
      </c>
      <c r="CB330" s="399">
        <f t="shared" si="136"/>
        <v>0</v>
      </c>
      <c r="CC330" s="399">
        <f t="shared" si="137"/>
        <v>0</v>
      </c>
      <c r="CD330" s="399">
        <f t="shared" si="138"/>
        <v>0</v>
      </c>
      <c r="CE330" s="399">
        <f t="shared" si="139"/>
        <v>0</v>
      </c>
      <c r="CF330" s="399">
        <f t="shared" si="140"/>
        <v>0</v>
      </c>
      <c r="CG330" s="399">
        <f t="shared" si="141"/>
        <v>0</v>
      </c>
      <c r="CH330" s="399">
        <f t="shared" si="142"/>
        <v>0</v>
      </c>
      <c r="CI330" s="399">
        <f t="shared" si="143"/>
        <v>0</v>
      </c>
      <c r="CJ330" s="399">
        <f t="shared" si="144"/>
        <v>0</v>
      </c>
      <c r="CK330" s="399">
        <f t="shared" si="145"/>
        <v>0</v>
      </c>
      <c r="CL330" s="399">
        <f t="shared" si="146"/>
        <v>0</v>
      </c>
      <c r="CM330" s="399">
        <f t="shared" si="147"/>
        <v>0</v>
      </c>
      <c r="CN330" s="399">
        <f t="shared" si="148"/>
        <v>0</v>
      </c>
      <c r="CO330" s="399">
        <f t="shared" si="149"/>
        <v>0</v>
      </c>
      <c r="CP330" s="399">
        <f t="shared" si="150"/>
        <v>0</v>
      </c>
      <c r="CQ330" s="423">
        <f t="shared" si="151"/>
        <v>0</v>
      </c>
      <c r="CS330" s="394" t="e">
        <f t="shared" si="152"/>
        <v>#DIV/0!</v>
      </c>
    </row>
    <row r="331" spans="3:97">
      <c r="C331" s="107"/>
      <c r="D331" s="395"/>
      <c r="E331" s="84"/>
      <c r="F331" s="84"/>
      <c r="G331" s="389"/>
      <c r="H331" s="390"/>
      <c r="I331" s="390"/>
      <c r="J331" s="390"/>
      <c r="K331" s="390"/>
      <c r="L331" s="390"/>
      <c r="M331" s="390"/>
      <c r="N331" s="390"/>
      <c r="O331" s="390"/>
      <c r="P331" s="390"/>
      <c r="Q331" s="390"/>
      <c r="R331" s="390"/>
      <c r="S331" s="390"/>
      <c r="T331" s="390"/>
      <c r="U331" s="390"/>
      <c r="V331" s="390"/>
      <c r="W331" s="390"/>
      <c r="X331" s="390"/>
      <c r="Y331" s="390"/>
      <c r="Z331" s="390"/>
      <c r="AA331" s="390"/>
      <c r="AB331" s="390"/>
      <c r="AC331" s="390"/>
      <c r="AD331" s="390"/>
      <c r="AE331" s="390"/>
      <c r="AF331" s="390"/>
      <c r="AG331" s="390"/>
      <c r="AH331" s="390"/>
      <c r="AI331" s="391"/>
      <c r="AK331" s="437"/>
      <c r="AL331" s="437"/>
      <c r="AM331" s="437"/>
      <c r="AN331" s="437"/>
      <c r="AO331" s="437"/>
      <c r="AP331" s="437"/>
      <c r="AQ331" s="437"/>
      <c r="AR331" s="437"/>
      <c r="AS331" s="437"/>
      <c r="AT331" s="437"/>
      <c r="AU331" s="437"/>
      <c r="AV331" s="437"/>
      <c r="AW331" s="437"/>
      <c r="AX331" s="437"/>
      <c r="AY331" s="437"/>
      <c r="AZ331" s="437"/>
      <c r="BA331" s="437"/>
      <c r="BB331" s="437"/>
      <c r="BC331" s="437"/>
      <c r="BD331" s="437"/>
      <c r="BE331" s="437"/>
      <c r="BF331" s="437"/>
      <c r="BG331" s="437"/>
      <c r="BH331" s="437"/>
      <c r="BI331" s="437"/>
      <c r="BJ331" s="437"/>
      <c r="BK331" s="437"/>
      <c r="BL331" s="437"/>
      <c r="BM331" s="393"/>
      <c r="BO331" s="399">
        <f t="shared" si="123"/>
        <v>0</v>
      </c>
      <c r="BP331" s="399">
        <f t="shared" si="124"/>
        <v>0</v>
      </c>
      <c r="BQ331" s="399">
        <f t="shared" si="125"/>
        <v>0</v>
      </c>
      <c r="BR331" s="399">
        <f t="shared" si="126"/>
        <v>0</v>
      </c>
      <c r="BS331" s="399">
        <f t="shared" si="127"/>
        <v>0</v>
      </c>
      <c r="BT331" s="399">
        <f t="shared" si="128"/>
        <v>0</v>
      </c>
      <c r="BU331" s="399">
        <f t="shared" si="129"/>
        <v>0</v>
      </c>
      <c r="BV331" s="399">
        <f t="shared" si="130"/>
        <v>0</v>
      </c>
      <c r="BW331" s="399">
        <f t="shared" si="131"/>
        <v>0</v>
      </c>
      <c r="BX331" s="399">
        <f t="shared" si="132"/>
        <v>0</v>
      </c>
      <c r="BY331" s="399">
        <f t="shared" si="133"/>
        <v>0</v>
      </c>
      <c r="BZ331" s="399">
        <f t="shared" si="134"/>
        <v>0</v>
      </c>
      <c r="CA331" s="399">
        <f t="shared" si="135"/>
        <v>0</v>
      </c>
      <c r="CB331" s="399">
        <f t="shared" si="136"/>
        <v>0</v>
      </c>
      <c r="CC331" s="399">
        <f t="shared" si="137"/>
        <v>0</v>
      </c>
      <c r="CD331" s="399">
        <f t="shared" si="138"/>
        <v>0</v>
      </c>
      <c r="CE331" s="399">
        <f t="shared" si="139"/>
        <v>0</v>
      </c>
      <c r="CF331" s="399">
        <f t="shared" si="140"/>
        <v>0</v>
      </c>
      <c r="CG331" s="399">
        <f t="shared" si="141"/>
        <v>0</v>
      </c>
      <c r="CH331" s="399">
        <f t="shared" si="142"/>
        <v>0</v>
      </c>
      <c r="CI331" s="399">
        <f t="shared" si="143"/>
        <v>0</v>
      </c>
      <c r="CJ331" s="399">
        <f t="shared" si="144"/>
        <v>0</v>
      </c>
      <c r="CK331" s="399">
        <f t="shared" si="145"/>
        <v>0</v>
      </c>
      <c r="CL331" s="399">
        <f t="shared" si="146"/>
        <v>0</v>
      </c>
      <c r="CM331" s="399">
        <f t="shared" si="147"/>
        <v>0</v>
      </c>
      <c r="CN331" s="399">
        <f t="shared" si="148"/>
        <v>0</v>
      </c>
      <c r="CO331" s="399">
        <f t="shared" si="149"/>
        <v>0</v>
      </c>
      <c r="CP331" s="399">
        <f t="shared" si="150"/>
        <v>0</v>
      </c>
      <c r="CQ331" s="423">
        <f t="shared" si="151"/>
        <v>0</v>
      </c>
      <c r="CS331" s="394" t="e">
        <f t="shared" si="152"/>
        <v>#DIV/0!</v>
      </c>
    </row>
    <row r="332" spans="3:97">
      <c r="C332" s="107"/>
      <c r="D332" s="395"/>
      <c r="E332" s="84"/>
      <c r="F332" s="84"/>
      <c r="G332" s="389"/>
      <c r="H332" s="390"/>
      <c r="I332" s="390"/>
      <c r="J332" s="390"/>
      <c r="K332" s="390"/>
      <c r="L332" s="390"/>
      <c r="M332" s="390"/>
      <c r="N332" s="390"/>
      <c r="O332" s="390"/>
      <c r="P332" s="390"/>
      <c r="Q332" s="390"/>
      <c r="R332" s="390"/>
      <c r="S332" s="390"/>
      <c r="T332" s="390"/>
      <c r="U332" s="390"/>
      <c r="V332" s="390"/>
      <c r="W332" s="390"/>
      <c r="X332" s="390"/>
      <c r="Y332" s="390"/>
      <c r="Z332" s="390"/>
      <c r="AA332" s="390"/>
      <c r="AB332" s="390"/>
      <c r="AC332" s="390"/>
      <c r="AD332" s="390"/>
      <c r="AE332" s="390"/>
      <c r="AF332" s="390"/>
      <c r="AG332" s="390"/>
      <c r="AH332" s="390"/>
      <c r="AI332" s="391"/>
      <c r="AK332" s="437"/>
      <c r="AL332" s="437"/>
      <c r="AM332" s="437"/>
      <c r="AN332" s="437"/>
      <c r="AO332" s="437"/>
      <c r="AP332" s="437"/>
      <c r="AQ332" s="437"/>
      <c r="AR332" s="437"/>
      <c r="AS332" s="437"/>
      <c r="AT332" s="437"/>
      <c r="AU332" s="437"/>
      <c r="AV332" s="437"/>
      <c r="AW332" s="437"/>
      <c r="AX332" s="437"/>
      <c r="AY332" s="437"/>
      <c r="AZ332" s="437"/>
      <c r="BA332" s="437"/>
      <c r="BB332" s="437"/>
      <c r="BC332" s="437"/>
      <c r="BD332" s="437"/>
      <c r="BE332" s="437"/>
      <c r="BF332" s="437"/>
      <c r="BG332" s="437"/>
      <c r="BH332" s="437"/>
      <c r="BI332" s="437"/>
      <c r="BJ332" s="437"/>
      <c r="BK332" s="437"/>
      <c r="BL332" s="437"/>
      <c r="BM332" s="393"/>
      <c r="BO332" s="399">
        <f t="shared" si="123"/>
        <v>0</v>
      </c>
      <c r="BP332" s="399">
        <f t="shared" si="124"/>
        <v>0</v>
      </c>
      <c r="BQ332" s="399">
        <f t="shared" si="125"/>
        <v>0</v>
      </c>
      <c r="BR332" s="399">
        <f t="shared" si="126"/>
        <v>0</v>
      </c>
      <c r="BS332" s="399">
        <f t="shared" si="127"/>
        <v>0</v>
      </c>
      <c r="BT332" s="399">
        <f t="shared" si="128"/>
        <v>0</v>
      </c>
      <c r="BU332" s="399">
        <f t="shared" si="129"/>
        <v>0</v>
      </c>
      <c r="BV332" s="399">
        <f t="shared" si="130"/>
        <v>0</v>
      </c>
      <c r="BW332" s="399">
        <f t="shared" si="131"/>
        <v>0</v>
      </c>
      <c r="BX332" s="399">
        <f t="shared" si="132"/>
        <v>0</v>
      </c>
      <c r="BY332" s="399">
        <f t="shared" si="133"/>
        <v>0</v>
      </c>
      <c r="BZ332" s="399">
        <f t="shared" si="134"/>
        <v>0</v>
      </c>
      <c r="CA332" s="399">
        <f t="shared" si="135"/>
        <v>0</v>
      </c>
      <c r="CB332" s="399">
        <f t="shared" si="136"/>
        <v>0</v>
      </c>
      <c r="CC332" s="399">
        <f t="shared" si="137"/>
        <v>0</v>
      </c>
      <c r="CD332" s="399">
        <f t="shared" si="138"/>
        <v>0</v>
      </c>
      <c r="CE332" s="399">
        <f t="shared" si="139"/>
        <v>0</v>
      </c>
      <c r="CF332" s="399">
        <f t="shared" si="140"/>
        <v>0</v>
      </c>
      <c r="CG332" s="399">
        <f t="shared" si="141"/>
        <v>0</v>
      </c>
      <c r="CH332" s="399">
        <f t="shared" si="142"/>
        <v>0</v>
      </c>
      <c r="CI332" s="399">
        <f t="shared" si="143"/>
        <v>0</v>
      </c>
      <c r="CJ332" s="399">
        <f t="shared" si="144"/>
        <v>0</v>
      </c>
      <c r="CK332" s="399">
        <f t="shared" si="145"/>
        <v>0</v>
      </c>
      <c r="CL332" s="399">
        <f t="shared" si="146"/>
        <v>0</v>
      </c>
      <c r="CM332" s="399">
        <f t="shared" si="147"/>
        <v>0</v>
      </c>
      <c r="CN332" s="399">
        <f t="shared" si="148"/>
        <v>0</v>
      </c>
      <c r="CO332" s="399">
        <f t="shared" si="149"/>
        <v>0</v>
      </c>
      <c r="CP332" s="399">
        <f t="shared" si="150"/>
        <v>0</v>
      </c>
      <c r="CQ332" s="423">
        <f t="shared" si="151"/>
        <v>0</v>
      </c>
      <c r="CS332" s="394" t="e">
        <f t="shared" si="152"/>
        <v>#DIV/0!</v>
      </c>
    </row>
    <row r="333" spans="3:97">
      <c r="C333" s="107"/>
      <c r="D333" s="395"/>
      <c r="E333" s="84"/>
      <c r="F333" s="84"/>
      <c r="G333" s="389"/>
      <c r="H333" s="390"/>
      <c r="I333" s="390"/>
      <c r="J333" s="390"/>
      <c r="K333" s="390"/>
      <c r="L333" s="390"/>
      <c r="M333" s="390"/>
      <c r="N333" s="390"/>
      <c r="O333" s="390"/>
      <c r="P333" s="390"/>
      <c r="Q333" s="390"/>
      <c r="R333" s="390"/>
      <c r="S333" s="390"/>
      <c r="T333" s="390"/>
      <c r="U333" s="390"/>
      <c r="V333" s="390"/>
      <c r="W333" s="390"/>
      <c r="X333" s="390"/>
      <c r="Y333" s="390"/>
      <c r="Z333" s="390"/>
      <c r="AA333" s="390"/>
      <c r="AB333" s="390"/>
      <c r="AC333" s="390"/>
      <c r="AD333" s="390"/>
      <c r="AE333" s="390"/>
      <c r="AF333" s="390"/>
      <c r="AG333" s="390"/>
      <c r="AH333" s="390"/>
      <c r="AI333" s="391"/>
      <c r="AK333" s="437"/>
      <c r="AL333" s="437"/>
      <c r="AM333" s="437"/>
      <c r="AN333" s="437"/>
      <c r="AO333" s="437"/>
      <c r="AP333" s="437"/>
      <c r="AQ333" s="437"/>
      <c r="AR333" s="437"/>
      <c r="AS333" s="437"/>
      <c r="AT333" s="437"/>
      <c r="AU333" s="437"/>
      <c r="AV333" s="437"/>
      <c r="AW333" s="437"/>
      <c r="AX333" s="437"/>
      <c r="AY333" s="437"/>
      <c r="AZ333" s="437"/>
      <c r="BA333" s="437"/>
      <c r="BB333" s="437"/>
      <c r="BC333" s="437"/>
      <c r="BD333" s="437"/>
      <c r="BE333" s="437"/>
      <c r="BF333" s="437"/>
      <c r="BG333" s="437"/>
      <c r="BH333" s="437"/>
      <c r="BI333" s="437"/>
      <c r="BJ333" s="437"/>
      <c r="BK333" s="437"/>
      <c r="BL333" s="437"/>
      <c r="BM333" s="393"/>
      <c r="BO333" s="399">
        <f t="shared" si="123"/>
        <v>0</v>
      </c>
      <c r="BP333" s="399">
        <f t="shared" si="124"/>
        <v>0</v>
      </c>
      <c r="BQ333" s="399">
        <f t="shared" si="125"/>
        <v>0</v>
      </c>
      <c r="BR333" s="399">
        <f t="shared" si="126"/>
        <v>0</v>
      </c>
      <c r="BS333" s="399">
        <f t="shared" si="127"/>
        <v>0</v>
      </c>
      <c r="BT333" s="399">
        <f t="shared" si="128"/>
        <v>0</v>
      </c>
      <c r="BU333" s="399">
        <f t="shared" si="129"/>
        <v>0</v>
      </c>
      <c r="BV333" s="399">
        <f t="shared" si="130"/>
        <v>0</v>
      </c>
      <c r="BW333" s="399">
        <f t="shared" si="131"/>
        <v>0</v>
      </c>
      <c r="BX333" s="399">
        <f t="shared" si="132"/>
        <v>0</v>
      </c>
      <c r="BY333" s="399">
        <f t="shared" si="133"/>
        <v>0</v>
      </c>
      <c r="BZ333" s="399">
        <f t="shared" si="134"/>
        <v>0</v>
      </c>
      <c r="CA333" s="399">
        <f t="shared" si="135"/>
        <v>0</v>
      </c>
      <c r="CB333" s="399">
        <f t="shared" si="136"/>
        <v>0</v>
      </c>
      <c r="CC333" s="399">
        <f t="shared" si="137"/>
        <v>0</v>
      </c>
      <c r="CD333" s="399">
        <f t="shared" si="138"/>
        <v>0</v>
      </c>
      <c r="CE333" s="399">
        <f t="shared" si="139"/>
        <v>0</v>
      </c>
      <c r="CF333" s="399">
        <f t="shared" si="140"/>
        <v>0</v>
      </c>
      <c r="CG333" s="399">
        <f t="shared" si="141"/>
        <v>0</v>
      </c>
      <c r="CH333" s="399">
        <f t="shared" si="142"/>
        <v>0</v>
      </c>
      <c r="CI333" s="399">
        <f t="shared" si="143"/>
        <v>0</v>
      </c>
      <c r="CJ333" s="399">
        <f t="shared" si="144"/>
        <v>0</v>
      </c>
      <c r="CK333" s="399">
        <f t="shared" si="145"/>
        <v>0</v>
      </c>
      <c r="CL333" s="399">
        <f t="shared" si="146"/>
        <v>0</v>
      </c>
      <c r="CM333" s="399">
        <f t="shared" si="147"/>
        <v>0</v>
      </c>
      <c r="CN333" s="399">
        <f t="shared" si="148"/>
        <v>0</v>
      </c>
      <c r="CO333" s="399">
        <f t="shared" si="149"/>
        <v>0</v>
      </c>
      <c r="CP333" s="399">
        <f t="shared" si="150"/>
        <v>0</v>
      </c>
      <c r="CQ333" s="423">
        <f t="shared" si="151"/>
        <v>0</v>
      </c>
      <c r="CS333" s="394" t="e">
        <f t="shared" si="152"/>
        <v>#DIV/0!</v>
      </c>
    </row>
    <row r="334" spans="3:97">
      <c r="C334" s="107"/>
      <c r="D334" s="395"/>
      <c r="E334" s="84"/>
      <c r="F334" s="84"/>
      <c r="G334" s="389"/>
      <c r="H334" s="390"/>
      <c r="I334" s="390"/>
      <c r="J334" s="390"/>
      <c r="K334" s="390"/>
      <c r="L334" s="390"/>
      <c r="M334" s="390"/>
      <c r="N334" s="390"/>
      <c r="O334" s="390"/>
      <c r="P334" s="390"/>
      <c r="Q334" s="390"/>
      <c r="R334" s="390"/>
      <c r="S334" s="390"/>
      <c r="T334" s="390"/>
      <c r="U334" s="390"/>
      <c r="V334" s="390"/>
      <c r="W334" s="390"/>
      <c r="X334" s="390"/>
      <c r="Y334" s="390"/>
      <c r="Z334" s="390"/>
      <c r="AA334" s="390"/>
      <c r="AB334" s="390"/>
      <c r="AC334" s="390"/>
      <c r="AD334" s="390"/>
      <c r="AE334" s="390"/>
      <c r="AF334" s="390"/>
      <c r="AG334" s="390"/>
      <c r="AH334" s="390"/>
      <c r="AI334" s="391"/>
      <c r="AK334" s="437"/>
      <c r="AL334" s="437"/>
      <c r="AM334" s="437"/>
      <c r="AN334" s="437"/>
      <c r="AO334" s="437"/>
      <c r="AP334" s="437"/>
      <c r="AQ334" s="437"/>
      <c r="AR334" s="437"/>
      <c r="AS334" s="437"/>
      <c r="AT334" s="437"/>
      <c r="AU334" s="437"/>
      <c r="AV334" s="437"/>
      <c r="AW334" s="437"/>
      <c r="AX334" s="437"/>
      <c r="AY334" s="437"/>
      <c r="AZ334" s="437"/>
      <c r="BA334" s="437"/>
      <c r="BB334" s="437"/>
      <c r="BC334" s="437"/>
      <c r="BD334" s="437"/>
      <c r="BE334" s="437"/>
      <c r="BF334" s="437"/>
      <c r="BG334" s="437"/>
      <c r="BH334" s="437"/>
      <c r="BI334" s="437"/>
      <c r="BJ334" s="437"/>
      <c r="BK334" s="437"/>
      <c r="BL334" s="437"/>
      <c r="BM334" s="393"/>
      <c r="BO334" s="399">
        <f t="shared" si="123"/>
        <v>0</v>
      </c>
      <c r="BP334" s="399">
        <f t="shared" si="124"/>
        <v>0</v>
      </c>
      <c r="BQ334" s="399">
        <f t="shared" si="125"/>
        <v>0</v>
      </c>
      <c r="BR334" s="399">
        <f t="shared" si="126"/>
        <v>0</v>
      </c>
      <c r="BS334" s="399">
        <f t="shared" si="127"/>
        <v>0</v>
      </c>
      <c r="BT334" s="399">
        <f t="shared" si="128"/>
        <v>0</v>
      </c>
      <c r="BU334" s="399">
        <f t="shared" si="129"/>
        <v>0</v>
      </c>
      <c r="BV334" s="399">
        <f t="shared" si="130"/>
        <v>0</v>
      </c>
      <c r="BW334" s="399">
        <f t="shared" si="131"/>
        <v>0</v>
      </c>
      <c r="BX334" s="399">
        <f t="shared" si="132"/>
        <v>0</v>
      </c>
      <c r="BY334" s="399">
        <f t="shared" si="133"/>
        <v>0</v>
      </c>
      <c r="BZ334" s="399">
        <f t="shared" si="134"/>
        <v>0</v>
      </c>
      <c r="CA334" s="399">
        <f t="shared" si="135"/>
        <v>0</v>
      </c>
      <c r="CB334" s="399">
        <f t="shared" si="136"/>
        <v>0</v>
      </c>
      <c r="CC334" s="399">
        <f t="shared" si="137"/>
        <v>0</v>
      </c>
      <c r="CD334" s="399">
        <f t="shared" si="138"/>
        <v>0</v>
      </c>
      <c r="CE334" s="399">
        <f t="shared" si="139"/>
        <v>0</v>
      </c>
      <c r="CF334" s="399">
        <f t="shared" si="140"/>
        <v>0</v>
      </c>
      <c r="CG334" s="399">
        <f t="shared" si="141"/>
        <v>0</v>
      </c>
      <c r="CH334" s="399">
        <f t="shared" si="142"/>
        <v>0</v>
      </c>
      <c r="CI334" s="399">
        <f t="shared" si="143"/>
        <v>0</v>
      </c>
      <c r="CJ334" s="399">
        <f t="shared" si="144"/>
        <v>0</v>
      </c>
      <c r="CK334" s="399">
        <f t="shared" si="145"/>
        <v>0</v>
      </c>
      <c r="CL334" s="399">
        <f t="shared" si="146"/>
        <v>0</v>
      </c>
      <c r="CM334" s="399">
        <f t="shared" si="147"/>
        <v>0</v>
      </c>
      <c r="CN334" s="399">
        <f t="shared" si="148"/>
        <v>0</v>
      </c>
      <c r="CO334" s="399">
        <f t="shared" si="149"/>
        <v>0</v>
      </c>
      <c r="CP334" s="399">
        <f t="shared" si="150"/>
        <v>0</v>
      </c>
      <c r="CQ334" s="423">
        <f t="shared" si="151"/>
        <v>0</v>
      </c>
      <c r="CS334" s="394" t="e">
        <f t="shared" si="152"/>
        <v>#DIV/0!</v>
      </c>
    </row>
    <row r="335" spans="3:97">
      <c r="C335" s="107"/>
      <c r="D335" s="395"/>
      <c r="E335" s="84"/>
      <c r="F335" s="84"/>
      <c r="G335" s="389"/>
      <c r="H335" s="390"/>
      <c r="I335" s="390"/>
      <c r="J335" s="390"/>
      <c r="K335" s="390"/>
      <c r="L335" s="390"/>
      <c r="M335" s="390"/>
      <c r="N335" s="390"/>
      <c r="O335" s="390"/>
      <c r="P335" s="390"/>
      <c r="Q335" s="390"/>
      <c r="R335" s="390"/>
      <c r="S335" s="390"/>
      <c r="T335" s="390"/>
      <c r="U335" s="390"/>
      <c r="V335" s="390"/>
      <c r="W335" s="390"/>
      <c r="X335" s="390"/>
      <c r="Y335" s="390"/>
      <c r="Z335" s="390"/>
      <c r="AA335" s="390"/>
      <c r="AB335" s="390"/>
      <c r="AC335" s="390"/>
      <c r="AD335" s="390"/>
      <c r="AE335" s="390"/>
      <c r="AF335" s="390"/>
      <c r="AG335" s="390"/>
      <c r="AH335" s="390"/>
      <c r="AI335" s="391"/>
      <c r="AK335" s="437"/>
      <c r="AL335" s="437"/>
      <c r="AM335" s="437"/>
      <c r="AN335" s="437"/>
      <c r="AO335" s="437"/>
      <c r="AP335" s="437"/>
      <c r="AQ335" s="437"/>
      <c r="AR335" s="437"/>
      <c r="AS335" s="437"/>
      <c r="AT335" s="437"/>
      <c r="AU335" s="437"/>
      <c r="AV335" s="437"/>
      <c r="AW335" s="437"/>
      <c r="AX335" s="437"/>
      <c r="AY335" s="437"/>
      <c r="AZ335" s="437"/>
      <c r="BA335" s="437"/>
      <c r="BB335" s="437"/>
      <c r="BC335" s="437"/>
      <c r="BD335" s="437"/>
      <c r="BE335" s="437"/>
      <c r="BF335" s="437"/>
      <c r="BG335" s="437"/>
      <c r="BH335" s="437"/>
      <c r="BI335" s="437"/>
      <c r="BJ335" s="437"/>
      <c r="BK335" s="437"/>
      <c r="BL335" s="437"/>
      <c r="BM335" s="393"/>
      <c r="BO335" s="399">
        <f t="shared" si="123"/>
        <v>0</v>
      </c>
      <c r="BP335" s="399">
        <f t="shared" si="124"/>
        <v>0</v>
      </c>
      <c r="BQ335" s="399">
        <f t="shared" si="125"/>
        <v>0</v>
      </c>
      <c r="BR335" s="399">
        <f t="shared" si="126"/>
        <v>0</v>
      </c>
      <c r="BS335" s="399">
        <f t="shared" si="127"/>
        <v>0</v>
      </c>
      <c r="BT335" s="399">
        <f t="shared" si="128"/>
        <v>0</v>
      </c>
      <c r="BU335" s="399">
        <f t="shared" si="129"/>
        <v>0</v>
      </c>
      <c r="BV335" s="399">
        <f t="shared" si="130"/>
        <v>0</v>
      </c>
      <c r="BW335" s="399">
        <f t="shared" si="131"/>
        <v>0</v>
      </c>
      <c r="BX335" s="399">
        <f t="shared" si="132"/>
        <v>0</v>
      </c>
      <c r="BY335" s="399">
        <f t="shared" si="133"/>
        <v>0</v>
      </c>
      <c r="BZ335" s="399">
        <f t="shared" si="134"/>
        <v>0</v>
      </c>
      <c r="CA335" s="399">
        <f t="shared" si="135"/>
        <v>0</v>
      </c>
      <c r="CB335" s="399">
        <f t="shared" si="136"/>
        <v>0</v>
      </c>
      <c r="CC335" s="399">
        <f t="shared" si="137"/>
        <v>0</v>
      </c>
      <c r="CD335" s="399">
        <f t="shared" si="138"/>
        <v>0</v>
      </c>
      <c r="CE335" s="399">
        <f t="shared" si="139"/>
        <v>0</v>
      </c>
      <c r="CF335" s="399">
        <f t="shared" si="140"/>
        <v>0</v>
      </c>
      <c r="CG335" s="399">
        <f t="shared" si="141"/>
        <v>0</v>
      </c>
      <c r="CH335" s="399">
        <f t="shared" si="142"/>
        <v>0</v>
      </c>
      <c r="CI335" s="399">
        <f t="shared" si="143"/>
        <v>0</v>
      </c>
      <c r="CJ335" s="399">
        <f t="shared" si="144"/>
        <v>0</v>
      </c>
      <c r="CK335" s="399">
        <f t="shared" si="145"/>
        <v>0</v>
      </c>
      <c r="CL335" s="399">
        <f t="shared" si="146"/>
        <v>0</v>
      </c>
      <c r="CM335" s="399">
        <f t="shared" si="147"/>
        <v>0</v>
      </c>
      <c r="CN335" s="399">
        <f t="shared" si="148"/>
        <v>0</v>
      </c>
      <c r="CO335" s="399">
        <f t="shared" si="149"/>
        <v>0</v>
      </c>
      <c r="CP335" s="399">
        <f t="shared" si="150"/>
        <v>0</v>
      </c>
      <c r="CQ335" s="423">
        <f t="shared" si="151"/>
        <v>0</v>
      </c>
      <c r="CS335" s="394" t="e">
        <f t="shared" si="152"/>
        <v>#DIV/0!</v>
      </c>
    </row>
    <row r="336" spans="3:97">
      <c r="C336" s="107"/>
      <c r="D336" s="395"/>
      <c r="E336" s="84"/>
      <c r="F336" s="84"/>
      <c r="G336" s="389"/>
      <c r="H336" s="390"/>
      <c r="I336" s="390"/>
      <c r="J336" s="390"/>
      <c r="K336" s="390"/>
      <c r="L336" s="390"/>
      <c r="M336" s="390"/>
      <c r="N336" s="390"/>
      <c r="O336" s="390"/>
      <c r="P336" s="390"/>
      <c r="Q336" s="390"/>
      <c r="R336" s="390"/>
      <c r="S336" s="390"/>
      <c r="T336" s="390"/>
      <c r="U336" s="390"/>
      <c r="V336" s="390"/>
      <c r="W336" s="390"/>
      <c r="X336" s="390"/>
      <c r="Y336" s="390"/>
      <c r="Z336" s="390"/>
      <c r="AA336" s="390"/>
      <c r="AB336" s="390"/>
      <c r="AC336" s="390"/>
      <c r="AD336" s="390"/>
      <c r="AE336" s="390"/>
      <c r="AF336" s="390"/>
      <c r="AG336" s="390"/>
      <c r="AH336" s="390"/>
      <c r="AI336" s="391"/>
      <c r="AK336" s="437"/>
      <c r="AL336" s="437"/>
      <c r="AM336" s="437"/>
      <c r="AN336" s="437"/>
      <c r="AO336" s="437"/>
      <c r="AP336" s="437"/>
      <c r="AQ336" s="437"/>
      <c r="AR336" s="437"/>
      <c r="AS336" s="437"/>
      <c r="AT336" s="437"/>
      <c r="AU336" s="437"/>
      <c r="AV336" s="437"/>
      <c r="AW336" s="437"/>
      <c r="AX336" s="437"/>
      <c r="AY336" s="437"/>
      <c r="AZ336" s="437"/>
      <c r="BA336" s="437"/>
      <c r="BB336" s="437"/>
      <c r="BC336" s="437"/>
      <c r="BD336" s="437"/>
      <c r="BE336" s="437"/>
      <c r="BF336" s="437"/>
      <c r="BG336" s="437"/>
      <c r="BH336" s="437"/>
      <c r="BI336" s="437"/>
      <c r="BJ336" s="437"/>
      <c r="BK336" s="437"/>
      <c r="BL336" s="437"/>
      <c r="BM336" s="393"/>
      <c r="BO336" s="399">
        <f t="shared" si="123"/>
        <v>0</v>
      </c>
      <c r="BP336" s="399">
        <f t="shared" si="124"/>
        <v>0</v>
      </c>
      <c r="BQ336" s="399">
        <f t="shared" si="125"/>
        <v>0</v>
      </c>
      <c r="BR336" s="399">
        <f t="shared" si="126"/>
        <v>0</v>
      </c>
      <c r="BS336" s="399">
        <f t="shared" si="127"/>
        <v>0</v>
      </c>
      <c r="BT336" s="399">
        <f t="shared" si="128"/>
        <v>0</v>
      </c>
      <c r="BU336" s="399">
        <f t="shared" si="129"/>
        <v>0</v>
      </c>
      <c r="BV336" s="399">
        <f t="shared" si="130"/>
        <v>0</v>
      </c>
      <c r="BW336" s="399">
        <f t="shared" si="131"/>
        <v>0</v>
      </c>
      <c r="BX336" s="399">
        <f t="shared" si="132"/>
        <v>0</v>
      </c>
      <c r="BY336" s="399">
        <f t="shared" si="133"/>
        <v>0</v>
      </c>
      <c r="BZ336" s="399">
        <f t="shared" si="134"/>
        <v>0</v>
      </c>
      <c r="CA336" s="399">
        <f t="shared" si="135"/>
        <v>0</v>
      </c>
      <c r="CB336" s="399">
        <f t="shared" si="136"/>
        <v>0</v>
      </c>
      <c r="CC336" s="399">
        <f t="shared" si="137"/>
        <v>0</v>
      </c>
      <c r="CD336" s="399">
        <f t="shared" si="138"/>
        <v>0</v>
      </c>
      <c r="CE336" s="399">
        <f t="shared" si="139"/>
        <v>0</v>
      </c>
      <c r="CF336" s="399">
        <f t="shared" si="140"/>
        <v>0</v>
      </c>
      <c r="CG336" s="399">
        <f t="shared" si="141"/>
        <v>0</v>
      </c>
      <c r="CH336" s="399">
        <f t="shared" si="142"/>
        <v>0</v>
      </c>
      <c r="CI336" s="399">
        <f t="shared" si="143"/>
        <v>0</v>
      </c>
      <c r="CJ336" s="399">
        <f t="shared" si="144"/>
        <v>0</v>
      </c>
      <c r="CK336" s="399">
        <f t="shared" si="145"/>
        <v>0</v>
      </c>
      <c r="CL336" s="399">
        <f t="shared" si="146"/>
        <v>0</v>
      </c>
      <c r="CM336" s="399">
        <f t="shared" si="147"/>
        <v>0</v>
      </c>
      <c r="CN336" s="399">
        <f t="shared" si="148"/>
        <v>0</v>
      </c>
      <c r="CO336" s="399">
        <f t="shared" si="149"/>
        <v>0</v>
      </c>
      <c r="CP336" s="399">
        <f t="shared" si="150"/>
        <v>0</v>
      </c>
      <c r="CQ336" s="423">
        <f t="shared" si="151"/>
        <v>0</v>
      </c>
      <c r="CS336" s="394" t="e">
        <f t="shared" si="152"/>
        <v>#DIV/0!</v>
      </c>
    </row>
    <row r="337" spans="3:97">
      <c r="C337" s="107"/>
      <c r="D337" s="395"/>
      <c r="E337" s="84"/>
      <c r="F337" s="84"/>
      <c r="G337" s="389"/>
      <c r="H337" s="390"/>
      <c r="I337" s="390"/>
      <c r="J337" s="390"/>
      <c r="K337" s="390"/>
      <c r="L337" s="390"/>
      <c r="M337" s="390"/>
      <c r="N337" s="390"/>
      <c r="O337" s="390"/>
      <c r="P337" s="390"/>
      <c r="Q337" s="390"/>
      <c r="R337" s="390"/>
      <c r="S337" s="390"/>
      <c r="T337" s="390"/>
      <c r="U337" s="390"/>
      <c r="V337" s="390"/>
      <c r="W337" s="390"/>
      <c r="X337" s="390"/>
      <c r="Y337" s="390"/>
      <c r="Z337" s="390"/>
      <c r="AA337" s="390"/>
      <c r="AB337" s="390"/>
      <c r="AC337" s="390"/>
      <c r="AD337" s="390"/>
      <c r="AE337" s="390"/>
      <c r="AF337" s="390"/>
      <c r="AG337" s="390"/>
      <c r="AH337" s="390"/>
      <c r="AI337" s="391"/>
      <c r="AK337" s="437"/>
      <c r="AL337" s="437"/>
      <c r="AM337" s="437"/>
      <c r="AN337" s="437"/>
      <c r="AO337" s="437"/>
      <c r="AP337" s="437"/>
      <c r="AQ337" s="437"/>
      <c r="AR337" s="437"/>
      <c r="AS337" s="437"/>
      <c r="AT337" s="437"/>
      <c r="AU337" s="437"/>
      <c r="AV337" s="437"/>
      <c r="AW337" s="437"/>
      <c r="AX337" s="437"/>
      <c r="AY337" s="437"/>
      <c r="AZ337" s="437"/>
      <c r="BA337" s="437"/>
      <c r="BB337" s="437"/>
      <c r="BC337" s="437"/>
      <c r="BD337" s="437"/>
      <c r="BE337" s="437"/>
      <c r="BF337" s="437"/>
      <c r="BG337" s="437"/>
      <c r="BH337" s="437"/>
      <c r="BI337" s="437"/>
      <c r="BJ337" s="437"/>
      <c r="BK337" s="437"/>
      <c r="BL337" s="437"/>
      <c r="BM337" s="393"/>
      <c r="BO337" s="399">
        <f t="shared" si="123"/>
        <v>0</v>
      </c>
      <c r="BP337" s="399">
        <f t="shared" si="124"/>
        <v>0</v>
      </c>
      <c r="BQ337" s="399">
        <f t="shared" si="125"/>
        <v>0</v>
      </c>
      <c r="BR337" s="399">
        <f t="shared" si="126"/>
        <v>0</v>
      </c>
      <c r="BS337" s="399">
        <f t="shared" si="127"/>
        <v>0</v>
      </c>
      <c r="BT337" s="399">
        <f t="shared" si="128"/>
        <v>0</v>
      </c>
      <c r="BU337" s="399">
        <f t="shared" si="129"/>
        <v>0</v>
      </c>
      <c r="BV337" s="399">
        <f t="shared" si="130"/>
        <v>0</v>
      </c>
      <c r="BW337" s="399">
        <f t="shared" si="131"/>
        <v>0</v>
      </c>
      <c r="BX337" s="399">
        <f t="shared" si="132"/>
        <v>0</v>
      </c>
      <c r="BY337" s="399">
        <f t="shared" si="133"/>
        <v>0</v>
      </c>
      <c r="BZ337" s="399">
        <f t="shared" si="134"/>
        <v>0</v>
      </c>
      <c r="CA337" s="399">
        <f t="shared" si="135"/>
        <v>0</v>
      </c>
      <c r="CB337" s="399">
        <f t="shared" si="136"/>
        <v>0</v>
      </c>
      <c r="CC337" s="399">
        <f t="shared" si="137"/>
        <v>0</v>
      </c>
      <c r="CD337" s="399">
        <f t="shared" si="138"/>
        <v>0</v>
      </c>
      <c r="CE337" s="399">
        <f t="shared" si="139"/>
        <v>0</v>
      </c>
      <c r="CF337" s="399">
        <f t="shared" si="140"/>
        <v>0</v>
      </c>
      <c r="CG337" s="399">
        <f t="shared" si="141"/>
        <v>0</v>
      </c>
      <c r="CH337" s="399">
        <f t="shared" si="142"/>
        <v>0</v>
      </c>
      <c r="CI337" s="399">
        <f t="shared" si="143"/>
        <v>0</v>
      </c>
      <c r="CJ337" s="399">
        <f t="shared" si="144"/>
        <v>0</v>
      </c>
      <c r="CK337" s="399">
        <f t="shared" si="145"/>
        <v>0</v>
      </c>
      <c r="CL337" s="399">
        <f t="shared" si="146"/>
        <v>0</v>
      </c>
      <c r="CM337" s="399">
        <f t="shared" si="147"/>
        <v>0</v>
      </c>
      <c r="CN337" s="399">
        <f t="shared" si="148"/>
        <v>0</v>
      </c>
      <c r="CO337" s="399">
        <f t="shared" si="149"/>
        <v>0</v>
      </c>
      <c r="CP337" s="399">
        <f t="shared" si="150"/>
        <v>0</v>
      </c>
      <c r="CQ337" s="423">
        <f t="shared" si="151"/>
        <v>0</v>
      </c>
      <c r="CS337" s="394" t="e">
        <f t="shared" si="152"/>
        <v>#DIV/0!</v>
      </c>
    </row>
    <row r="338" spans="3:97">
      <c r="C338" s="107"/>
      <c r="D338" s="395"/>
      <c r="E338" s="84"/>
      <c r="F338" s="84"/>
      <c r="G338" s="389"/>
      <c r="H338" s="390"/>
      <c r="I338" s="390"/>
      <c r="J338" s="390"/>
      <c r="K338" s="390"/>
      <c r="L338" s="390"/>
      <c r="M338" s="390"/>
      <c r="N338" s="390"/>
      <c r="O338" s="390"/>
      <c r="P338" s="390"/>
      <c r="Q338" s="390"/>
      <c r="R338" s="390"/>
      <c r="S338" s="390"/>
      <c r="T338" s="390"/>
      <c r="U338" s="390"/>
      <c r="V338" s="390"/>
      <c r="W338" s="390"/>
      <c r="X338" s="390"/>
      <c r="Y338" s="390"/>
      <c r="Z338" s="390"/>
      <c r="AA338" s="390"/>
      <c r="AB338" s="390"/>
      <c r="AC338" s="390"/>
      <c r="AD338" s="390"/>
      <c r="AE338" s="390"/>
      <c r="AF338" s="390"/>
      <c r="AG338" s="390"/>
      <c r="AH338" s="390"/>
      <c r="AI338" s="391"/>
      <c r="AK338" s="437"/>
      <c r="AL338" s="437"/>
      <c r="AM338" s="437"/>
      <c r="AN338" s="437"/>
      <c r="AO338" s="437"/>
      <c r="AP338" s="437"/>
      <c r="AQ338" s="437"/>
      <c r="AR338" s="437"/>
      <c r="AS338" s="437"/>
      <c r="AT338" s="437"/>
      <c r="AU338" s="437"/>
      <c r="AV338" s="437"/>
      <c r="AW338" s="437"/>
      <c r="AX338" s="437"/>
      <c r="AY338" s="437"/>
      <c r="AZ338" s="437"/>
      <c r="BA338" s="437"/>
      <c r="BB338" s="437"/>
      <c r="BC338" s="437"/>
      <c r="BD338" s="437"/>
      <c r="BE338" s="437"/>
      <c r="BF338" s="437"/>
      <c r="BG338" s="437"/>
      <c r="BH338" s="437"/>
      <c r="BI338" s="437"/>
      <c r="BJ338" s="437"/>
      <c r="BK338" s="437"/>
      <c r="BL338" s="437"/>
      <c r="BM338" s="393"/>
      <c r="BO338" s="399">
        <f t="shared" si="123"/>
        <v>0</v>
      </c>
      <c r="BP338" s="399">
        <f t="shared" si="124"/>
        <v>0</v>
      </c>
      <c r="BQ338" s="399">
        <f t="shared" si="125"/>
        <v>0</v>
      </c>
      <c r="BR338" s="399">
        <f t="shared" si="126"/>
        <v>0</v>
      </c>
      <c r="BS338" s="399">
        <f t="shared" si="127"/>
        <v>0</v>
      </c>
      <c r="BT338" s="399">
        <f t="shared" si="128"/>
        <v>0</v>
      </c>
      <c r="BU338" s="399">
        <f t="shared" si="129"/>
        <v>0</v>
      </c>
      <c r="BV338" s="399">
        <f t="shared" si="130"/>
        <v>0</v>
      </c>
      <c r="BW338" s="399">
        <f t="shared" si="131"/>
        <v>0</v>
      </c>
      <c r="BX338" s="399">
        <f t="shared" si="132"/>
        <v>0</v>
      </c>
      <c r="BY338" s="399">
        <f t="shared" si="133"/>
        <v>0</v>
      </c>
      <c r="BZ338" s="399">
        <f t="shared" si="134"/>
        <v>0</v>
      </c>
      <c r="CA338" s="399">
        <f t="shared" si="135"/>
        <v>0</v>
      </c>
      <c r="CB338" s="399">
        <f t="shared" si="136"/>
        <v>0</v>
      </c>
      <c r="CC338" s="399">
        <f t="shared" si="137"/>
        <v>0</v>
      </c>
      <c r="CD338" s="399">
        <f t="shared" si="138"/>
        <v>0</v>
      </c>
      <c r="CE338" s="399">
        <f t="shared" si="139"/>
        <v>0</v>
      </c>
      <c r="CF338" s="399">
        <f t="shared" si="140"/>
        <v>0</v>
      </c>
      <c r="CG338" s="399">
        <f t="shared" si="141"/>
        <v>0</v>
      </c>
      <c r="CH338" s="399">
        <f t="shared" si="142"/>
        <v>0</v>
      </c>
      <c r="CI338" s="399">
        <f t="shared" si="143"/>
        <v>0</v>
      </c>
      <c r="CJ338" s="399">
        <f t="shared" si="144"/>
        <v>0</v>
      </c>
      <c r="CK338" s="399">
        <f t="shared" si="145"/>
        <v>0</v>
      </c>
      <c r="CL338" s="399">
        <f t="shared" si="146"/>
        <v>0</v>
      </c>
      <c r="CM338" s="399">
        <f t="shared" si="147"/>
        <v>0</v>
      </c>
      <c r="CN338" s="399">
        <f t="shared" si="148"/>
        <v>0</v>
      </c>
      <c r="CO338" s="399">
        <f t="shared" si="149"/>
        <v>0</v>
      </c>
      <c r="CP338" s="399">
        <f t="shared" si="150"/>
        <v>0</v>
      </c>
      <c r="CQ338" s="423">
        <f t="shared" si="151"/>
        <v>0</v>
      </c>
      <c r="CS338" s="394" t="e">
        <f t="shared" si="152"/>
        <v>#DIV/0!</v>
      </c>
    </row>
    <row r="339" spans="3:97">
      <c r="C339" s="107"/>
      <c r="D339" s="395"/>
      <c r="E339" s="84"/>
      <c r="F339" s="84"/>
      <c r="G339" s="389"/>
      <c r="H339" s="390"/>
      <c r="I339" s="390"/>
      <c r="J339" s="390"/>
      <c r="K339" s="390"/>
      <c r="L339" s="390"/>
      <c r="M339" s="390"/>
      <c r="N339" s="390"/>
      <c r="O339" s="390"/>
      <c r="P339" s="390"/>
      <c r="Q339" s="390"/>
      <c r="R339" s="390"/>
      <c r="S339" s="390"/>
      <c r="T339" s="390"/>
      <c r="U339" s="390"/>
      <c r="V339" s="390"/>
      <c r="W339" s="390"/>
      <c r="X339" s="390"/>
      <c r="Y339" s="390"/>
      <c r="Z339" s="390"/>
      <c r="AA339" s="390"/>
      <c r="AB339" s="390"/>
      <c r="AC339" s="390"/>
      <c r="AD339" s="390"/>
      <c r="AE339" s="390"/>
      <c r="AF339" s="390"/>
      <c r="AG339" s="390"/>
      <c r="AH339" s="390"/>
      <c r="AI339" s="391"/>
      <c r="AK339" s="437"/>
      <c r="AL339" s="437"/>
      <c r="AM339" s="437"/>
      <c r="AN339" s="437"/>
      <c r="AO339" s="437"/>
      <c r="AP339" s="437"/>
      <c r="AQ339" s="437"/>
      <c r="AR339" s="437"/>
      <c r="AS339" s="437"/>
      <c r="AT339" s="437"/>
      <c r="AU339" s="437"/>
      <c r="AV339" s="437"/>
      <c r="AW339" s="437"/>
      <c r="AX339" s="437"/>
      <c r="AY339" s="437"/>
      <c r="AZ339" s="437"/>
      <c r="BA339" s="437"/>
      <c r="BB339" s="437"/>
      <c r="BC339" s="437"/>
      <c r="BD339" s="437"/>
      <c r="BE339" s="437"/>
      <c r="BF339" s="437"/>
      <c r="BG339" s="437"/>
      <c r="BH339" s="437"/>
      <c r="BI339" s="437"/>
      <c r="BJ339" s="437"/>
      <c r="BK339" s="437"/>
      <c r="BL339" s="437"/>
      <c r="BM339" s="393"/>
      <c r="BO339" s="399">
        <f t="shared" ref="BO339:BO402" si="153">G339*BO$4</f>
        <v>0</v>
      </c>
      <c r="BP339" s="399">
        <f t="shared" ref="BP339:BP402" si="154">H339*BP$4</f>
        <v>0</v>
      </c>
      <c r="BQ339" s="399">
        <f t="shared" ref="BQ339:BQ402" si="155">I339*BQ$4</f>
        <v>0</v>
      </c>
      <c r="BR339" s="399">
        <f t="shared" ref="BR339:BR402" si="156">J339*BR$4</f>
        <v>0</v>
      </c>
      <c r="BS339" s="399">
        <f t="shared" ref="BS339:BS402" si="157">K339*BS$4</f>
        <v>0</v>
      </c>
      <c r="BT339" s="399">
        <f t="shared" ref="BT339:BT402" si="158">L339*BT$4</f>
        <v>0</v>
      </c>
      <c r="BU339" s="399">
        <f t="shared" ref="BU339:BU402" si="159">M339*BU$4</f>
        <v>0</v>
      </c>
      <c r="BV339" s="399">
        <f t="shared" ref="BV339:BV402" si="160">N339*BV$4</f>
        <v>0</v>
      </c>
      <c r="BW339" s="399">
        <f t="shared" ref="BW339:BW402" si="161">O339*BW$4</f>
        <v>0</v>
      </c>
      <c r="BX339" s="399">
        <f t="shared" ref="BX339:BX402" si="162">P339*BX$4</f>
        <v>0</v>
      </c>
      <c r="BY339" s="399">
        <f t="shared" ref="BY339:BY402" si="163">Q339*BY$4</f>
        <v>0</v>
      </c>
      <c r="BZ339" s="399">
        <f t="shared" ref="BZ339:BZ402" si="164">R339*BZ$4</f>
        <v>0</v>
      </c>
      <c r="CA339" s="399">
        <f t="shared" ref="CA339:CA402" si="165">S339*CA$4</f>
        <v>0</v>
      </c>
      <c r="CB339" s="399">
        <f t="shared" ref="CB339:CB402" si="166">T339*CB$4</f>
        <v>0</v>
      </c>
      <c r="CC339" s="399">
        <f t="shared" ref="CC339:CC402" si="167">U339*CC$4</f>
        <v>0</v>
      </c>
      <c r="CD339" s="399">
        <f t="shared" ref="CD339:CD402" si="168">V339*CD$4</f>
        <v>0</v>
      </c>
      <c r="CE339" s="399">
        <f t="shared" ref="CE339:CE402" si="169">W339*CE$4</f>
        <v>0</v>
      </c>
      <c r="CF339" s="399">
        <f t="shared" ref="CF339:CF402" si="170">X339*CF$4</f>
        <v>0</v>
      </c>
      <c r="CG339" s="399">
        <f t="shared" ref="CG339:CG402" si="171">Y339*CG$4</f>
        <v>0</v>
      </c>
      <c r="CH339" s="399">
        <f t="shared" ref="CH339:CH402" si="172">Z339*CH$4</f>
        <v>0</v>
      </c>
      <c r="CI339" s="399">
        <f t="shared" ref="CI339:CI402" si="173">AA339*CI$4</f>
        <v>0</v>
      </c>
      <c r="CJ339" s="399">
        <f t="shared" ref="CJ339:CJ402" si="174">AB339*CJ$4</f>
        <v>0</v>
      </c>
      <c r="CK339" s="399">
        <f t="shared" ref="CK339:CK402" si="175">AC339*CK$4</f>
        <v>0</v>
      </c>
      <c r="CL339" s="399">
        <f t="shared" ref="CL339:CL402" si="176">AD339*CL$4</f>
        <v>0</v>
      </c>
      <c r="CM339" s="399">
        <f t="shared" ref="CM339:CM402" si="177">AE339*CM$4</f>
        <v>0</v>
      </c>
      <c r="CN339" s="399">
        <f t="shared" ref="CN339:CN402" si="178">AF339*CN$4</f>
        <v>0</v>
      </c>
      <c r="CO339" s="399">
        <f t="shared" ref="CO339:CO402" si="179">AG339*CO$4</f>
        <v>0</v>
      </c>
      <c r="CP339" s="399">
        <f t="shared" ref="CP339:CP402" si="180">AH339*CP$4</f>
        <v>0</v>
      </c>
      <c r="CQ339" s="423">
        <f t="shared" ref="CQ339:CQ402" si="181">SUM(BO339:CP339)</f>
        <v>0</v>
      </c>
      <c r="CS339" s="394" t="e">
        <f t="shared" ref="CS339:CS402" si="182">CQ339/AI339</f>
        <v>#DIV/0!</v>
      </c>
    </row>
    <row r="340" spans="3:97">
      <c r="C340" s="107"/>
      <c r="D340" s="395"/>
      <c r="E340" s="84"/>
      <c r="F340" s="84"/>
      <c r="G340" s="389"/>
      <c r="H340" s="390"/>
      <c r="I340" s="390"/>
      <c r="J340" s="390"/>
      <c r="K340" s="390"/>
      <c r="L340" s="390"/>
      <c r="M340" s="390"/>
      <c r="N340" s="390"/>
      <c r="O340" s="390"/>
      <c r="P340" s="390"/>
      <c r="Q340" s="390"/>
      <c r="R340" s="390"/>
      <c r="S340" s="390"/>
      <c r="T340" s="390"/>
      <c r="U340" s="390"/>
      <c r="V340" s="390"/>
      <c r="W340" s="390"/>
      <c r="X340" s="390"/>
      <c r="Y340" s="390"/>
      <c r="Z340" s="390"/>
      <c r="AA340" s="390"/>
      <c r="AB340" s="390"/>
      <c r="AC340" s="390"/>
      <c r="AD340" s="390"/>
      <c r="AE340" s="390"/>
      <c r="AF340" s="390"/>
      <c r="AG340" s="390"/>
      <c r="AH340" s="390"/>
      <c r="AI340" s="391"/>
      <c r="AK340" s="437"/>
      <c r="AL340" s="437"/>
      <c r="AM340" s="437"/>
      <c r="AN340" s="437"/>
      <c r="AO340" s="437"/>
      <c r="AP340" s="437"/>
      <c r="AQ340" s="437"/>
      <c r="AR340" s="437"/>
      <c r="AS340" s="437"/>
      <c r="AT340" s="437"/>
      <c r="AU340" s="437"/>
      <c r="AV340" s="437"/>
      <c r="AW340" s="437"/>
      <c r="AX340" s="437"/>
      <c r="AY340" s="437"/>
      <c r="AZ340" s="437"/>
      <c r="BA340" s="437"/>
      <c r="BB340" s="437"/>
      <c r="BC340" s="437"/>
      <c r="BD340" s="437"/>
      <c r="BE340" s="437"/>
      <c r="BF340" s="437"/>
      <c r="BG340" s="437"/>
      <c r="BH340" s="437"/>
      <c r="BI340" s="437"/>
      <c r="BJ340" s="437"/>
      <c r="BK340" s="437"/>
      <c r="BL340" s="437"/>
      <c r="BM340" s="393"/>
      <c r="BO340" s="399">
        <f t="shared" si="153"/>
        <v>0</v>
      </c>
      <c r="BP340" s="399">
        <f t="shared" si="154"/>
        <v>0</v>
      </c>
      <c r="BQ340" s="399">
        <f t="shared" si="155"/>
        <v>0</v>
      </c>
      <c r="BR340" s="399">
        <f t="shared" si="156"/>
        <v>0</v>
      </c>
      <c r="BS340" s="399">
        <f t="shared" si="157"/>
        <v>0</v>
      </c>
      <c r="BT340" s="399">
        <f t="shared" si="158"/>
        <v>0</v>
      </c>
      <c r="BU340" s="399">
        <f t="shared" si="159"/>
        <v>0</v>
      </c>
      <c r="BV340" s="399">
        <f t="shared" si="160"/>
        <v>0</v>
      </c>
      <c r="BW340" s="399">
        <f t="shared" si="161"/>
        <v>0</v>
      </c>
      <c r="BX340" s="399">
        <f t="shared" si="162"/>
        <v>0</v>
      </c>
      <c r="BY340" s="399">
        <f t="shared" si="163"/>
        <v>0</v>
      </c>
      <c r="BZ340" s="399">
        <f t="shared" si="164"/>
        <v>0</v>
      </c>
      <c r="CA340" s="399">
        <f t="shared" si="165"/>
        <v>0</v>
      </c>
      <c r="CB340" s="399">
        <f t="shared" si="166"/>
        <v>0</v>
      </c>
      <c r="CC340" s="399">
        <f t="shared" si="167"/>
        <v>0</v>
      </c>
      <c r="CD340" s="399">
        <f t="shared" si="168"/>
        <v>0</v>
      </c>
      <c r="CE340" s="399">
        <f t="shared" si="169"/>
        <v>0</v>
      </c>
      <c r="CF340" s="399">
        <f t="shared" si="170"/>
        <v>0</v>
      </c>
      <c r="CG340" s="399">
        <f t="shared" si="171"/>
        <v>0</v>
      </c>
      <c r="CH340" s="399">
        <f t="shared" si="172"/>
        <v>0</v>
      </c>
      <c r="CI340" s="399">
        <f t="shared" si="173"/>
        <v>0</v>
      </c>
      <c r="CJ340" s="399">
        <f t="shared" si="174"/>
        <v>0</v>
      </c>
      <c r="CK340" s="399">
        <f t="shared" si="175"/>
        <v>0</v>
      </c>
      <c r="CL340" s="399">
        <f t="shared" si="176"/>
        <v>0</v>
      </c>
      <c r="CM340" s="399">
        <f t="shared" si="177"/>
        <v>0</v>
      </c>
      <c r="CN340" s="399">
        <f t="shared" si="178"/>
        <v>0</v>
      </c>
      <c r="CO340" s="399">
        <f t="shared" si="179"/>
        <v>0</v>
      </c>
      <c r="CP340" s="399">
        <f t="shared" si="180"/>
        <v>0</v>
      </c>
      <c r="CQ340" s="423">
        <f t="shared" si="181"/>
        <v>0</v>
      </c>
      <c r="CS340" s="394" t="e">
        <f t="shared" si="182"/>
        <v>#DIV/0!</v>
      </c>
    </row>
    <row r="341" spans="3:97">
      <c r="C341" s="107"/>
      <c r="D341" s="395"/>
      <c r="E341" s="84"/>
      <c r="F341" s="84"/>
      <c r="G341" s="389"/>
      <c r="H341" s="390"/>
      <c r="I341" s="390"/>
      <c r="J341" s="390"/>
      <c r="K341" s="390"/>
      <c r="L341" s="390"/>
      <c r="M341" s="390"/>
      <c r="N341" s="390"/>
      <c r="O341" s="390"/>
      <c r="P341" s="390"/>
      <c r="Q341" s="390"/>
      <c r="R341" s="390"/>
      <c r="S341" s="390"/>
      <c r="T341" s="390"/>
      <c r="U341" s="390"/>
      <c r="V341" s="390"/>
      <c r="W341" s="390"/>
      <c r="X341" s="390"/>
      <c r="Y341" s="390"/>
      <c r="Z341" s="390"/>
      <c r="AA341" s="390"/>
      <c r="AB341" s="390"/>
      <c r="AC341" s="390"/>
      <c r="AD341" s="390"/>
      <c r="AE341" s="390"/>
      <c r="AF341" s="390"/>
      <c r="AG341" s="390"/>
      <c r="AH341" s="390"/>
      <c r="AI341" s="391"/>
      <c r="AK341" s="437"/>
      <c r="AL341" s="437"/>
      <c r="AM341" s="437"/>
      <c r="AN341" s="437"/>
      <c r="AO341" s="437"/>
      <c r="AP341" s="437"/>
      <c r="AQ341" s="437"/>
      <c r="AR341" s="437"/>
      <c r="AS341" s="437"/>
      <c r="AT341" s="437"/>
      <c r="AU341" s="437"/>
      <c r="AV341" s="437"/>
      <c r="AW341" s="437"/>
      <c r="AX341" s="437"/>
      <c r="AY341" s="437"/>
      <c r="AZ341" s="437"/>
      <c r="BA341" s="437"/>
      <c r="BB341" s="437"/>
      <c r="BC341" s="437"/>
      <c r="BD341" s="437"/>
      <c r="BE341" s="437"/>
      <c r="BF341" s="437"/>
      <c r="BG341" s="437"/>
      <c r="BH341" s="437"/>
      <c r="BI341" s="437"/>
      <c r="BJ341" s="437"/>
      <c r="BK341" s="437"/>
      <c r="BL341" s="437"/>
      <c r="BM341" s="393"/>
      <c r="BO341" s="399">
        <f t="shared" si="153"/>
        <v>0</v>
      </c>
      <c r="BP341" s="399">
        <f t="shared" si="154"/>
        <v>0</v>
      </c>
      <c r="BQ341" s="399">
        <f t="shared" si="155"/>
        <v>0</v>
      </c>
      <c r="BR341" s="399">
        <f t="shared" si="156"/>
        <v>0</v>
      </c>
      <c r="BS341" s="399">
        <f t="shared" si="157"/>
        <v>0</v>
      </c>
      <c r="BT341" s="399">
        <f t="shared" si="158"/>
        <v>0</v>
      </c>
      <c r="BU341" s="399">
        <f t="shared" si="159"/>
        <v>0</v>
      </c>
      <c r="BV341" s="399">
        <f t="shared" si="160"/>
        <v>0</v>
      </c>
      <c r="BW341" s="399">
        <f t="shared" si="161"/>
        <v>0</v>
      </c>
      <c r="BX341" s="399">
        <f t="shared" si="162"/>
        <v>0</v>
      </c>
      <c r="BY341" s="399">
        <f t="shared" si="163"/>
        <v>0</v>
      </c>
      <c r="BZ341" s="399">
        <f t="shared" si="164"/>
        <v>0</v>
      </c>
      <c r="CA341" s="399">
        <f t="shared" si="165"/>
        <v>0</v>
      </c>
      <c r="CB341" s="399">
        <f t="shared" si="166"/>
        <v>0</v>
      </c>
      <c r="CC341" s="399">
        <f t="shared" si="167"/>
        <v>0</v>
      </c>
      <c r="CD341" s="399">
        <f t="shared" si="168"/>
        <v>0</v>
      </c>
      <c r="CE341" s="399">
        <f t="shared" si="169"/>
        <v>0</v>
      </c>
      <c r="CF341" s="399">
        <f t="shared" si="170"/>
        <v>0</v>
      </c>
      <c r="CG341" s="399">
        <f t="shared" si="171"/>
        <v>0</v>
      </c>
      <c r="CH341" s="399">
        <f t="shared" si="172"/>
        <v>0</v>
      </c>
      <c r="CI341" s="399">
        <f t="shared" si="173"/>
        <v>0</v>
      </c>
      <c r="CJ341" s="399">
        <f t="shared" si="174"/>
        <v>0</v>
      </c>
      <c r="CK341" s="399">
        <f t="shared" si="175"/>
        <v>0</v>
      </c>
      <c r="CL341" s="399">
        <f t="shared" si="176"/>
        <v>0</v>
      </c>
      <c r="CM341" s="399">
        <f t="shared" si="177"/>
        <v>0</v>
      </c>
      <c r="CN341" s="399">
        <f t="shared" si="178"/>
        <v>0</v>
      </c>
      <c r="CO341" s="399">
        <f t="shared" si="179"/>
        <v>0</v>
      </c>
      <c r="CP341" s="399">
        <f t="shared" si="180"/>
        <v>0</v>
      </c>
      <c r="CQ341" s="423">
        <f t="shared" si="181"/>
        <v>0</v>
      </c>
      <c r="CS341" s="394" t="e">
        <f t="shared" si="182"/>
        <v>#DIV/0!</v>
      </c>
    </row>
    <row r="342" spans="3:97">
      <c r="C342" s="107"/>
      <c r="D342" s="395"/>
      <c r="E342" s="84"/>
      <c r="F342" s="84"/>
      <c r="G342" s="389"/>
      <c r="H342" s="390"/>
      <c r="I342" s="390"/>
      <c r="J342" s="390"/>
      <c r="K342" s="390"/>
      <c r="L342" s="390"/>
      <c r="M342" s="390"/>
      <c r="N342" s="390"/>
      <c r="O342" s="390"/>
      <c r="P342" s="390"/>
      <c r="Q342" s="390"/>
      <c r="R342" s="390"/>
      <c r="S342" s="390"/>
      <c r="T342" s="390"/>
      <c r="U342" s="390"/>
      <c r="V342" s="390"/>
      <c r="W342" s="390"/>
      <c r="X342" s="390"/>
      <c r="Y342" s="390"/>
      <c r="Z342" s="390"/>
      <c r="AA342" s="390"/>
      <c r="AB342" s="390"/>
      <c r="AC342" s="390"/>
      <c r="AD342" s="390"/>
      <c r="AE342" s="390"/>
      <c r="AF342" s="390"/>
      <c r="AG342" s="390"/>
      <c r="AH342" s="390"/>
      <c r="AI342" s="391"/>
      <c r="AK342" s="437"/>
      <c r="AL342" s="437"/>
      <c r="AM342" s="437"/>
      <c r="AN342" s="437"/>
      <c r="AO342" s="437"/>
      <c r="AP342" s="437"/>
      <c r="AQ342" s="437"/>
      <c r="AR342" s="437"/>
      <c r="AS342" s="437"/>
      <c r="AT342" s="437"/>
      <c r="AU342" s="437"/>
      <c r="AV342" s="437"/>
      <c r="AW342" s="437"/>
      <c r="AX342" s="437"/>
      <c r="AY342" s="437"/>
      <c r="AZ342" s="437"/>
      <c r="BA342" s="437"/>
      <c r="BB342" s="437"/>
      <c r="BC342" s="437"/>
      <c r="BD342" s="437"/>
      <c r="BE342" s="437"/>
      <c r="BF342" s="437"/>
      <c r="BG342" s="437"/>
      <c r="BH342" s="437"/>
      <c r="BI342" s="437"/>
      <c r="BJ342" s="437"/>
      <c r="BK342" s="437"/>
      <c r="BL342" s="437"/>
      <c r="BM342" s="393"/>
      <c r="BO342" s="399">
        <f t="shared" si="153"/>
        <v>0</v>
      </c>
      <c r="BP342" s="399">
        <f t="shared" si="154"/>
        <v>0</v>
      </c>
      <c r="BQ342" s="399">
        <f t="shared" si="155"/>
        <v>0</v>
      </c>
      <c r="BR342" s="399">
        <f t="shared" si="156"/>
        <v>0</v>
      </c>
      <c r="BS342" s="399">
        <f t="shared" si="157"/>
        <v>0</v>
      </c>
      <c r="BT342" s="399">
        <f t="shared" si="158"/>
        <v>0</v>
      </c>
      <c r="BU342" s="399">
        <f t="shared" si="159"/>
        <v>0</v>
      </c>
      <c r="BV342" s="399">
        <f t="shared" si="160"/>
        <v>0</v>
      </c>
      <c r="BW342" s="399">
        <f t="shared" si="161"/>
        <v>0</v>
      </c>
      <c r="BX342" s="399">
        <f t="shared" si="162"/>
        <v>0</v>
      </c>
      <c r="BY342" s="399">
        <f t="shared" si="163"/>
        <v>0</v>
      </c>
      <c r="BZ342" s="399">
        <f t="shared" si="164"/>
        <v>0</v>
      </c>
      <c r="CA342" s="399">
        <f t="shared" si="165"/>
        <v>0</v>
      </c>
      <c r="CB342" s="399">
        <f t="shared" si="166"/>
        <v>0</v>
      </c>
      <c r="CC342" s="399">
        <f t="shared" si="167"/>
        <v>0</v>
      </c>
      <c r="CD342" s="399">
        <f t="shared" si="168"/>
        <v>0</v>
      </c>
      <c r="CE342" s="399">
        <f t="shared" si="169"/>
        <v>0</v>
      </c>
      <c r="CF342" s="399">
        <f t="shared" si="170"/>
        <v>0</v>
      </c>
      <c r="CG342" s="399">
        <f t="shared" si="171"/>
        <v>0</v>
      </c>
      <c r="CH342" s="399">
        <f t="shared" si="172"/>
        <v>0</v>
      </c>
      <c r="CI342" s="399">
        <f t="shared" si="173"/>
        <v>0</v>
      </c>
      <c r="CJ342" s="399">
        <f t="shared" si="174"/>
        <v>0</v>
      </c>
      <c r="CK342" s="399">
        <f t="shared" si="175"/>
        <v>0</v>
      </c>
      <c r="CL342" s="399">
        <f t="shared" si="176"/>
        <v>0</v>
      </c>
      <c r="CM342" s="399">
        <f t="shared" si="177"/>
        <v>0</v>
      </c>
      <c r="CN342" s="399">
        <f t="shared" si="178"/>
        <v>0</v>
      </c>
      <c r="CO342" s="399">
        <f t="shared" si="179"/>
        <v>0</v>
      </c>
      <c r="CP342" s="399">
        <f t="shared" si="180"/>
        <v>0</v>
      </c>
      <c r="CQ342" s="423">
        <f t="shared" si="181"/>
        <v>0</v>
      </c>
      <c r="CS342" s="394" t="e">
        <f t="shared" si="182"/>
        <v>#DIV/0!</v>
      </c>
    </row>
    <row r="343" spans="3:97">
      <c r="C343" s="107"/>
      <c r="D343" s="395"/>
      <c r="E343" s="84"/>
      <c r="F343" s="84"/>
      <c r="G343" s="389"/>
      <c r="H343" s="390"/>
      <c r="I343" s="390"/>
      <c r="J343" s="390"/>
      <c r="K343" s="390"/>
      <c r="L343" s="390"/>
      <c r="M343" s="390"/>
      <c r="N343" s="390"/>
      <c r="O343" s="390"/>
      <c r="P343" s="390"/>
      <c r="Q343" s="390"/>
      <c r="R343" s="390"/>
      <c r="S343" s="390"/>
      <c r="T343" s="390"/>
      <c r="U343" s="390"/>
      <c r="V343" s="390"/>
      <c r="W343" s="390"/>
      <c r="X343" s="390"/>
      <c r="Y343" s="390"/>
      <c r="Z343" s="390"/>
      <c r="AA343" s="390"/>
      <c r="AB343" s="390"/>
      <c r="AC343" s="390"/>
      <c r="AD343" s="390"/>
      <c r="AE343" s="390"/>
      <c r="AF343" s="390"/>
      <c r="AG343" s="390"/>
      <c r="AH343" s="390"/>
      <c r="AI343" s="391"/>
      <c r="AK343" s="437"/>
      <c r="AL343" s="437"/>
      <c r="AM343" s="437"/>
      <c r="AN343" s="437"/>
      <c r="AO343" s="437"/>
      <c r="AP343" s="437"/>
      <c r="AQ343" s="437"/>
      <c r="AR343" s="437"/>
      <c r="AS343" s="437"/>
      <c r="AT343" s="437"/>
      <c r="AU343" s="437"/>
      <c r="AV343" s="437"/>
      <c r="AW343" s="437"/>
      <c r="AX343" s="437"/>
      <c r="AY343" s="437"/>
      <c r="AZ343" s="437"/>
      <c r="BA343" s="437"/>
      <c r="BB343" s="437"/>
      <c r="BC343" s="437"/>
      <c r="BD343" s="437"/>
      <c r="BE343" s="437"/>
      <c r="BF343" s="437"/>
      <c r="BG343" s="437"/>
      <c r="BH343" s="437"/>
      <c r="BI343" s="437"/>
      <c r="BJ343" s="437"/>
      <c r="BK343" s="437"/>
      <c r="BL343" s="437"/>
      <c r="BM343" s="393"/>
      <c r="BO343" s="399">
        <f t="shared" si="153"/>
        <v>0</v>
      </c>
      <c r="BP343" s="399">
        <f t="shared" si="154"/>
        <v>0</v>
      </c>
      <c r="BQ343" s="399">
        <f t="shared" si="155"/>
        <v>0</v>
      </c>
      <c r="BR343" s="399">
        <f t="shared" si="156"/>
        <v>0</v>
      </c>
      <c r="BS343" s="399">
        <f t="shared" si="157"/>
        <v>0</v>
      </c>
      <c r="BT343" s="399">
        <f t="shared" si="158"/>
        <v>0</v>
      </c>
      <c r="BU343" s="399">
        <f t="shared" si="159"/>
        <v>0</v>
      </c>
      <c r="BV343" s="399">
        <f t="shared" si="160"/>
        <v>0</v>
      </c>
      <c r="BW343" s="399">
        <f t="shared" si="161"/>
        <v>0</v>
      </c>
      <c r="BX343" s="399">
        <f t="shared" si="162"/>
        <v>0</v>
      </c>
      <c r="BY343" s="399">
        <f t="shared" si="163"/>
        <v>0</v>
      </c>
      <c r="BZ343" s="399">
        <f t="shared" si="164"/>
        <v>0</v>
      </c>
      <c r="CA343" s="399">
        <f t="shared" si="165"/>
        <v>0</v>
      </c>
      <c r="CB343" s="399">
        <f t="shared" si="166"/>
        <v>0</v>
      </c>
      <c r="CC343" s="399">
        <f t="shared" si="167"/>
        <v>0</v>
      </c>
      <c r="CD343" s="399">
        <f t="shared" si="168"/>
        <v>0</v>
      </c>
      <c r="CE343" s="399">
        <f t="shared" si="169"/>
        <v>0</v>
      </c>
      <c r="CF343" s="399">
        <f t="shared" si="170"/>
        <v>0</v>
      </c>
      <c r="CG343" s="399">
        <f t="shared" si="171"/>
        <v>0</v>
      </c>
      <c r="CH343" s="399">
        <f t="shared" si="172"/>
        <v>0</v>
      </c>
      <c r="CI343" s="399">
        <f t="shared" si="173"/>
        <v>0</v>
      </c>
      <c r="CJ343" s="399">
        <f t="shared" si="174"/>
        <v>0</v>
      </c>
      <c r="CK343" s="399">
        <f t="shared" si="175"/>
        <v>0</v>
      </c>
      <c r="CL343" s="399">
        <f t="shared" si="176"/>
        <v>0</v>
      </c>
      <c r="CM343" s="399">
        <f t="shared" si="177"/>
        <v>0</v>
      </c>
      <c r="CN343" s="399">
        <f t="shared" si="178"/>
        <v>0</v>
      </c>
      <c r="CO343" s="399">
        <f t="shared" si="179"/>
        <v>0</v>
      </c>
      <c r="CP343" s="399">
        <f t="shared" si="180"/>
        <v>0</v>
      </c>
      <c r="CQ343" s="423">
        <f t="shared" si="181"/>
        <v>0</v>
      </c>
      <c r="CS343" s="394" t="e">
        <f t="shared" si="182"/>
        <v>#DIV/0!</v>
      </c>
    </row>
    <row r="344" spans="3:97">
      <c r="C344" s="107"/>
      <c r="D344" s="395"/>
      <c r="E344" s="84"/>
      <c r="F344" s="84"/>
      <c r="G344" s="389"/>
      <c r="H344" s="390"/>
      <c r="I344" s="390"/>
      <c r="J344" s="390"/>
      <c r="K344" s="390"/>
      <c r="L344" s="390"/>
      <c r="M344" s="390"/>
      <c r="N344" s="390"/>
      <c r="O344" s="390"/>
      <c r="P344" s="390"/>
      <c r="Q344" s="390"/>
      <c r="R344" s="390"/>
      <c r="S344" s="390"/>
      <c r="T344" s="390"/>
      <c r="U344" s="390"/>
      <c r="V344" s="390"/>
      <c r="W344" s="390"/>
      <c r="X344" s="390"/>
      <c r="Y344" s="390"/>
      <c r="Z344" s="390"/>
      <c r="AA344" s="390"/>
      <c r="AB344" s="390"/>
      <c r="AC344" s="390"/>
      <c r="AD344" s="390"/>
      <c r="AE344" s="390"/>
      <c r="AF344" s="390"/>
      <c r="AG344" s="390"/>
      <c r="AH344" s="390"/>
      <c r="AI344" s="391"/>
      <c r="AK344" s="437"/>
      <c r="AL344" s="437"/>
      <c r="AM344" s="437"/>
      <c r="AN344" s="437"/>
      <c r="AO344" s="437"/>
      <c r="AP344" s="437"/>
      <c r="AQ344" s="437"/>
      <c r="AR344" s="437"/>
      <c r="AS344" s="437"/>
      <c r="AT344" s="437"/>
      <c r="AU344" s="437"/>
      <c r="AV344" s="437"/>
      <c r="AW344" s="437"/>
      <c r="AX344" s="437"/>
      <c r="AY344" s="437"/>
      <c r="AZ344" s="437"/>
      <c r="BA344" s="437"/>
      <c r="BB344" s="437"/>
      <c r="BC344" s="437"/>
      <c r="BD344" s="437"/>
      <c r="BE344" s="437"/>
      <c r="BF344" s="437"/>
      <c r="BG344" s="437"/>
      <c r="BH344" s="437"/>
      <c r="BI344" s="437"/>
      <c r="BJ344" s="437"/>
      <c r="BK344" s="437"/>
      <c r="BL344" s="437"/>
      <c r="BM344" s="393"/>
      <c r="BO344" s="399">
        <f t="shared" si="153"/>
        <v>0</v>
      </c>
      <c r="BP344" s="399">
        <f t="shared" si="154"/>
        <v>0</v>
      </c>
      <c r="BQ344" s="399">
        <f t="shared" si="155"/>
        <v>0</v>
      </c>
      <c r="BR344" s="399">
        <f t="shared" si="156"/>
        <v>0</v>
      </c>
      <c r="BS344" s="399">
        <f t="shared" si="157"/>
        <v>0</v>
      </c>
      <c r="BT344" s="399">
        <f t="shared" si="158"/>
        <v>0</v>
      </c>
      <c r="BU344" s="399">
        <f t="shared" si="159"/>
        <v>0</v>
      </c>
      <c r="BV344" s="399">
        <f t="shared" si="160"/>
        <v>0</v>
      </c>
      <c r="BW344" s="399">
        <f t="shared" si="161"/>
        <v>0</v>
      </c>
      <c r="BX344" s="399">
        <f t="shared" si="162"/>
        <v>0</v>
      </c>
      <c r="BY344" s="399">
        <f t="shared" si="163"/>
        <v>0</v>
      </c>
      <c r="BZ344" s="399">
        <f t="shared" si="164"/>
        <v>0</v>
      </c>
      <c r="CA344" s="399">
        <f t="shared" si="165"/>
        <v>0</v>
      </c>
      <c r="CB344" s="399">
        <f t="shared" si="166"/>
        <v>0</v>
      </c>
      <c r="CC344" s="399">
        <f t="shared" si="167"/>
        <v>0</v>
      </c>
      <c r="CD344" s="399">
        <f t="shared" si="168"/>
        <v>0</v>
      </c>
      <c r="CE344" s="399">
        <f t="shared" si="169"/>
        <v>0</v>
      </c>
      <c r="CF344" s="399">
        <f t="shared" si="170"/>
        <v>0</v>
      </c>
      <c r="CG344" s="399">
        <f t="shared" si="171"/>
        <v>0</v>
      </c>
      <c r="CH344" s="399">
        <f t="shared" si="172"/>
        <v>0</v>
      </c>
      <c r="CI344" s="399">
        <f t="shared" si="173"/>
        <v>0</v>
      </c>
      <c r="CJ344" s="399">
        <f t="shared" si="174"/>
        <v>0</v>
      </c>
      <c r="CK344" s="399">
        <f t="shared" si="175"/>
        <v>0</v>
      </c>
      <c r="CL344" s="399">
        <f t="shared" si="176"/>
        <v>0</v>
      </c>
      <c r="CM344" s="399">
        <f t="shared" si="177"/>
        <v>0</v>
      </c>
      <c r="CN344" s="399">
        <f t="shared" si="178"/>
        <v>0</v>
      </c>
      <c r="CO344" s="399">
        <f t="shared" si="179"/>
        <v>0</v>
      </c>
      <c r="CP344" s="399">
        <f t="shared" si="180"/>
        <v>0</v>
      </c>
      <c r="CQ344" s="423">
        <f t="shared" si="181"/>
        <v>0</v>
      </c>
      <c r="CS344" s="394" t="e">
        <f t="shared" si="182"/>
        <v>#DIV/0!</v>
      </c>
    </row>
    <row r="345" spans="3:97">
      <c r="C345" s="107"/>
      <c r="D345" s="395"/>
      <c r="E345" s="84"/>
      <c r="F345" s="84"/>
      <c r="G345" s="389"/>
      <c r="H345" s="390"/>
      <c r="I345" s="390"/>
      <c r="J345" s="390"/>
      <c r="K345" s="390"/>
      <c r="L345" s="390"/>
      <c r="M345" s="390"/>
      <c r="N345" s="390"/>
      <c r="O345" s="390"/>
      <c r="P345" s="390"/>
      <c r="Q345" s="390"/>
      <c r="R345" s="390"/>
      <c r="S345" s="390"/>
      <c r="T345" s="390"/>
      <c r="U345" s="390"/>
      <c r="V345" s="390"/>
      <c r="W345" s="390"/>
      <c r="X345" s="390"/>
      <c r="Y345" s="390"/>
      <c r="Z345" s="390"/>
      <c r="AA345" s="390"/>
      <c r="AB345" s="390"/>
      <c r="AC345" s="390"/>
      <c r="AD345" s="390"/>
      <c r="AE345" s="390"/>
      <c r="AF345" s="390"/>
      <c r="AG345" s="390"/>
      <c r="AH345" s="390"/>
      <c r="AI345" s="391"/>
      <c r="AK345" s="437"/>
      <c r="AL345" s="437"/>
      <c r="AM345" s="437"/>
      <c r="AN345" s="437"/>
      <c r="AO345" s="437"/>
      <c r="AP345" s="437"/>
      <c r="AQ345" s="437"/>
      <c r="AR345" s="437"/>
      <c r="AS345" s="437"/>
      <c r="AT345" s="437"/>
      <c r="AU345" s="437"/>
      <c r="AV345" s="437"/>
      <c r="AW345" s="437"/>
      <c r="AX345" s="437"/>
      <c r="AY345" s="437"/>
      <c r="AZ345" s="437"/>
      <c r="BA345" s="437"/>
      <c r="BB345" s="437"/>
      <c r="BC345" s="437"/>
      <c r="BD345" s="437"/>
      <c r="BE345" s="437"/>
      <c r="BF345" s="437"/>
      <c r="BG345" s="437"/>
      <c r="BH345" s="437"/>
      <c r="BI345" s="437"/>
      <c r="BJ345" s="437"/>
      <c r="BK345" s="437"/>
      <c r="BL345" s="437"/>
      <c r="BM345" s="393"/>
      <c r="BO345" s="399">
        <f t="shared" si="153"/>
        <v>0</v>
      </c>
      <c r="BP345" s="399">
        <f t="shared" si="154"/>
        <v>0</v>
      </c>
      <c r="BQ345" s="399">
        <f t="shared" si="155"/>
        <v>0</v>
      </c>
      <c r="BR345" s="399">
        <f t="shared" si="156"/>
        <v>0</v>
      </c>
      <c r="BS345" s="399">
        <f t="shared" si="157"/>
        <v>0</v>
      </c>
      <c r="BT345" s="399">
        <f t="shared" si="158"/>
        <v>0</v>
      </c>
      <c r="BU345" s="399">
        <f t="shared" si="159"/>
        <v>0</v>
      </c>
      <c r="BV345" s="399">
        <f t="shared" si="160"/>
        <v>0</v>
      </c>
      <c r="BW345" s="399">
        <f t="shared" si="161"/>
        <v>0</v>
      </c>
      <c r="BX345" s="399">
        <f t="shared" si="162"/>
        <v>0</v>
      </c>
      <c r="BY345" s="399">
        <f t="shared" si="163"/>
        <v>0</v>
      </c>
      <c r="BZ345" s="399">
        <f t="shared" si="164"/>
        <v>0</v>
      </c>
      <c r="CA345" s="399">
        <f t="shared" si="165"/>
        <v>0</v>
      </c>
      <c r="CB345" s="399">
        <f t="shared" si="166"/>
        <v>0</v>
      </c>
      <c r="CC345" s="399">
        <f t="shared" si="167"/>
        <v>0</v>
      </c>
      <c r="CD345" s="399">
        <f t="shared" si="168"/>
        <v>0</v>
      </c>
      <c r="CE345" s="399">
        <f t="shared" si="169"/>
        <v>0</v>
      </c>
      <c r="CF345" s="399">
        <f t="shared" si="170"/>
        <v>0</v>
      </c>
      <c r="CG345" s="399">
        <f t="shared" si="171"/>
        <v>0</v>
      </c>
      <c r="CH345" s="399">
        <f t="shared" si="172"/>
        <v>0</v>
      </c>
      <c r="CI345" s="399">
        <f t="shared" si="173"/>
        <v>0</v>
      </c>
      <c r="CJ345" s="399">
        <f t="shared" si="174"/>
        <v>0</v>
      </c>
      <c r="CK345" s="399">
        <f t="shared" si="175"/>
        <v>0</v>
      </c>
      <c r="CL345" s="399">
        <f t="shared" si="176"/>
        <v>0</v>
      </c>
      <c r="CM345" s="399">
        <f t="shared" si="177"/>
        <v>0</v>
      </c>
      <c r="CN345" s="399">
        <f t="shared" si="178"/>
        <v>0</v>
      </c>
      <c r="CO345" s="399">
        <f t="shared" si="179"/>
        <v>0</v>
      </c>
      <c r="CP345" s="399">
        <f t="shared" si="180"/>
        <v>0</v>
      </c>
      <c r="CQ345" s="423">
        <f t="shared" si="181"/>
        <v>0</v>
      </c>
      <c r="CS345" s="394" t="e">
        <f t="shared" si="182"/>
        <v>#DIV/0!</v>
      </c>
    </row>
    <row r="346" spans="3:97">
      <c r="C346" s="107"/>
      <c r="D346" s="395"/>
      <c r="E346" s="84"/>
      <c r="F346" s="84"/>
      <c r="G346" s="389"/>
      <c r="H346" s="390"/>
      <c r="I346" s="390"/>
      <c r="J346" s="390"/>
      <c r="K346" s="390"/>
      <c r="L346" s="390"/>
      <c r="M346" s="390"/>
      <c r="N346" s="390"/>
      <c r="O346" s="390"/>
      <c r="P346" s="390"/>
      <c r="Q346" s="390"/>
      <c r="R346" s="390"/>
      <c r="S346" s="390"/>
      <c r="T346" s="390"/>
      <c r="U346" s="390"/>
      <c r="V346" s="390"/>
      <c r="W346" s="390"/>
      <c r="X346" s="390"/>
      <c r="Y346" s="390"/>
      <c r="Z346" s="390"/>
      <c r="AA346" s="390"/>
      <c r="AB346" s="390"/>
      <c r="AC346" s="390"/>
      <c r="AD346" s="390"/>
      <c r="AE346" s="390"/>
      <c r="AF346" s="390"/>
      <c r="AG346" s="390"/>
      <c r="AH346" s="390"/>
      <c r="AI346" s="391"/>
      <c r="AK346" s="437"/>
      <c r="AL346" s="437"/>
      <c r="AM346" s="437"/>
      <c r="AN346" s="437"/>
      <c r="AO346" s="437"/>
      <c r="AP346" s="437"/>
      <c r="AQ346" s="437"/>
      <c r="AR346" s="437"/>
      <c r="AS346" s="437"/>
      <c r="AT346" s="437"/>
      <c r="AU346" s="437"/>
      <c r="AV346" s="437"/>
      <c r="AW346" s="437"/>
      <c r="AX346" s="437"/>
      <c r="AY346" s="437"/>
      <c r="AZ346" s="437"/>
      <c r="BA346" s="437"/>
      <c r="BB346" s="437"/>
      <c r="BC346" s="437"/>
      <c r="BD346" s="437"/>
      <c r="BE346" s="437"/>
      <c r="BF346" s="437"/>
      <c r="BG346" s="437"/>
      <c r="BH346" s="437"/>
      <c r="BI346" s="437"/>
      <c r="BJ346" s="437"/>
      <c r="BK346" s="437"/>
      <c r="BL346" s="437"/>
      <c r="BM346" s="393"/>
      <c r="BO346" s="399">
        <f t="shared" si="153"/>
        <v>0</v>
      </c>
      <c r="BP346" s="399">
        <f t="shared" si="154"/>
        <v>0</v>
      </c>
      <c r="BQ346" s="399">
        <f t="shared" si="155"/>
        <v>0</v>
      </c>
      <c r="BR346" s="399">
        <f t="shared" si="156"/>
        <v>0</v>
      </c>
      <c r="BS346" s="399">
        <f t="shared" si="157"/>
        <v>0</v>
      </c>
      <c r="BT346" s="399">
        <f t="shared" si="158"/>
        <v>0</v>
      </c>
      <c r="BU346" s="399">
        <f t="shared" si="159"/>
        <v>0</v>
      </c>
      <c r="BV346" s="399">
        <f t="shared" si="160"/>
        <v>0</v>
      </c>
      <c r="BW346" s="399">
        <f t="shared" si="161"/>
        <v>0</v>
      </c>
      <c r="BX346" s="399">
        <f t="shared" si="162"/>
        <v>0</v>
      </c>
      <c r="BY346" s="399">
        <f t="shared" si="163"/>
        <v>0</v>
      </c>
      <c r="BZ346" s="399">
        <f t="shared" si="164"/>
        <v>0</v>
      </c>
      <c r="CA346" s="399">
        <f t="shared" si="165"/>
        <v>0</v>
      </c>
      <c r="CB346" s="399">
        <f t="shared" si="166"/>
        <v>0</v>
      </c>
      <c r="CC346" s="399">
        <f t="shared" si="167"/>
        <v>0</v>
      </c>
      <c r="CD346" s="399">
        <f t="shared" si="168"/>
        <v>0</v>
      </c>
      <c r="CE346" s="399">
        <f t="shared" si="169"/>
        <v>0</v>
      </c>
      <c r="CF346" s="399">
        <f t="shared" si="170"/>
        <v>0</v>
      </c>
      <c r="CG346" s="399">
        <f t="shared" si="171"/>
        <v>0</v>
      </c>
      <c r="CH346" s="399">
        <f t="shared" si="172"/>
        <v>0</v>
      </c>
      <c r="CI346" s="399">
        <f t="shared" si="173"/>
        <v>0</v>
      </c>
      <c r="CJ346" s="399">
        <f t="shared" si="174"/>
        <v>0</v>
      </c>
      <c r="CK346" s="399">
        <f t="shared" si="175"/>
        <v>0</v>
      </c>
      <c r="CL346" s="399">
        <f t="shared" si="176"/>
        <v>0</v>
      </c>
      <c r="CM346" s="399">
        <f t="shared" si="177"/>
        <v>0</v>
      </c>
      <c r="CN346" s="399">
        <f t="shared" si="178"/>
        <v>0</v>
      </c>
      <c r="CO346" s="399">
        <f t="shared" si="179"/>
        <v>0</v>
      </c>
      <c r="CP346" s="399">
        <f t="shared" si="180"/>
        <v>0</v>
      </c>
      <c r="CQ346" s="423">
        <f t="shared" si="181"/>
        <v>0</v>
      </c>
      <c r="CS346" s="394" t="e">
        <f t="shared" si="182"/>
        <v>#DIV/0!</v>
      </c>
    </row>
    <row r="347" spans="3:97">
      <c r="C347" s="107"/>
      <c r="D347" s="395"/>
      <c r="E347" s="84"/>
      <c r="F347" s="84"/>
      <c r="G347" s="389"/>
      <c r="H347" s="390"/>
      <c r="I347" s="390"/>
      <c r="J347" s="390"/>
      <c r="K347" s="390"/>
      <c r="L347" s="390"/>
      <c r="M347" s="390"/>
      <c r="N347" s="390"/>
      <c r="O347" s="390"/>
      <c r="P347" s="390"/>
      <c r="Q347" s="390"/>
      <c r="R347" s="390"/>
      <c r="S347" s="390"/>
      <c r="T347" s="390"/>
      <c r="U347" s="390"/>
      <c r="V347" s="390"/>
      <c r="W347" s="390"/>
      <c r="X347" s="390"/>
      <c r="Y347" s="390"/>
      <c r="Z347" s="390"/>
      <c r="AA347" s="390"/>
      <c r="AB347" s="390"/>
      <c r="AC347" s="390"/>
      <c r="AD347" s="390"/>
      <c r="AE347" s="390"/>
      <c r="AF347" s="390"/>
      <c r="AG347" s="390"/>
      <c r="AH347" s="390"/>
      <c r="AI347" s="391"/>
      <c r="AK347" s="437"/>
      <c r="AL347" s="437"/>
      <c r="AM347" s="437"/>
      <c r="AN347" s="437"/>
      <c r="AO347" s="437"/>
      <c r="AP347" s="437"/>
      <c r="AQ347" s="437"/>
      <c r="AR347" s="437"/>
      <c r="AS347" s="437"/>
      <c r="AT347" s="437"/>
      <c r="AU347" s="437"/>
      <c r="AV347" s="437"/>
      <c r="AW347" s="437"/>
      <c r="AX347" s="437"/>
      <c r="AY347" s="437"/>
      <c r="AZ347" s="437"/>
      <c r="BA347" s="437"/>
      <c r="BB347" s="437"/>
      <c r="BC347" s="437"/>
      <c r="BD347" s="437"/>
      <c r="BE347" s="437"/>
      <c r="BF347" s="437"/>
      <c r="BG347" s="437"/>
      <c r="BH347" s="437"/>
      <c r="BI347" s="437"/>
      <c r="BJ347" s="437"/>
      <c r="BK347" s="437"/>
      <c r="BL347" s="437"/>
      <c r="BM347" s="393"/>
      <c r="BO347" s="399">
        <f t="shared" si="153"/>
        <v>0</v>
      </c>
      <c r="BP347" s="399">
        <f t="shared" si="154"/>
        <v>0</v>
      </c>
      <c r="BQ347" s="399">
        <f t="shared" si="155"/>
        <v>0</v>
      </c>
      <c r="BR347" s="399">
        <f t="shared" si="156"/>
        <v>0</v>
      </c>
      <c r="BS347" s="399">
        <f t="shared" si="157"/>
        <v>0</v>
      </c>
      <c r="BT347" s="399">
        <f t="shared" si="158"/>
        <v>0</v>
      </c>
      <c r="BU347" s="399">
        <f t="shared" si="159"/>
        <v>0</v>
      </c>
      <c r="BV347" s="399">
        <f t="shared" si="160"/>
        <v>0</v>
      </c>
      <c r="BW347" s="399">
        <f t="shared" si="161"/>
        <v>0</v>
      </c>
      <c r="BX347" s="399">
        <f t="shared" si="162"/>
        <v>0</v>
      </c>
      <c r="BY347" s="399">
        <f t="shared" si="163"/>
        <v>0</v>
      </c>
      <c r="BZ347" s="399">
        <f t="shared" si="164"/>
        <v>0</v>
      </c>
      <c r="CA347" s="399">
        <f t="shared" si="165"/>
        <v>0</v>
      </c>
      <c r="CB347" s="399">
        <f t="shared" si="166"/>
        <v>0</v>
      </c>
      <c r="CC347" s="399">
        <f t="shared" si="167"/>
        <v>0</v>
      </c>
      <c r="CD347" s="399">
        <f t="shared" si="168"/>
        <v>0</v>
      </c>
      <c r="CE347" s="399">
        <f t="shared" si="169"/>
        <v>0</v>
      </c>
      <c r="CF347" s="399">
        <f t="shared" si="170"/>
        <v>0</v>
      </c>
      <c r="CG347" s="399">
        <f t="shared" si="171"/>
        <v>0</v>
      </c>
      <c r="CH347" s="399">
        <f t="shared" si="172"/>
        <v>0</v>
      </c>
      <c r="CI347" s="399">
        <f t="shared" si="173"/>
        <v>0</v>
      </c>
      <c r="CJ347" s="399">
        <f t="shared" si="174"/>
        <v>0</v>
      </c>
      <c r="CK347" s="399">
        <f t="shared" si="175"/>
        <v>0</v>
      </c>
      <c r="CL347" s="399">
        <f t="shared" si="176"/>
        <v>0</v>
      </c>
      <c r="CM347" s="399">
        <f t="shared" si="177"/>
        <v>0</v>
      </c>
      <c r="CN347" s="399">
        <f t="shared" si="178"/>
        <v>0</v>
      </c>
      <c r="CO347" s="399">
        <f t="shared" si="179"/>
        <v>0</v>
      </c>
      <c r="CP347" s="399">
        <f t="shared" si="180"/>
        <v>0</v>
      </c>
      <c r="CQ347" s="423">
        <f t="shared" si="181"/>
        <v>0</v>
      </c>
      <c r="CS347" s="394" t="e">
        <f t="shared" si="182"/>
        <v>#DIV/0!</v>
      </c>
    </row>
    <row r="348" spans="3:97">
      <c r="C348" s="107"/>
      <c r="D348" s="395"/>
      <c r="E348" s="84"/>
      <c r="F348" s="84"/>
      <c r="G348" s="389"/>
      <c r="H348" s="390"/>
      <c r="I348" s="390"/>
      <c r="J348" s="390"/>
      <c r="K348" s="390"/>
      <c r="L348" s="390"/>
      <c r="M348" s="390"/>
      <c r="N348" s="390"/>
      <c r="O348" s="390"/>
      <c r="P348" s="390"/>
      <c r="Q348" s="390"/>
      <c r="R348" s="390"/>
      <c r="S348" s="390"/>
      <c r="T348" s="390"/>
      <c r="U348" s="390"/>
      <c r="V348" s="390"/>
      <c r="W348" s="390"/>
      <c r="X348" s="390"/>
      <c r="Y348" s="390"/>
      <c r="Z348" s="390"/>
      <c r="AA348" s="390"/>
      <c r="AB348" s="390"/>
      <c r="AC348" s="390"/>
      <c r="AD348" s="390"/>
      <c r="AE348" s="390"/>
      <c r="AF348" s="390"/>
      <c r="AG348" s="390"/>
      <c r="AH348" s="390"/>
      <c r="AI348" s="391"/>
      <c r="AK348" s="437"/>
      <c r="AL348" s="437"/>
      <c r="AM348" s="437"/>
      <c r="AN348" s="437"/>
      <c r="AO348" s="437"/>
      <c r="AP348" s="437"/>
      <c r="AQ348" s="437"/>
      <c r="AR348" s="437"/>
      <c r="AS348" s="437"/>
      <c r="AT348" s="437"/>
      <c r="AU348" s="437"/>
      <c r="AV348" s="437"/>
      <c r="AW348" s="437"/>
      <c r="AX348" s="437"/>
      <c r="AY348" s="437"/>
      <c r="AZ348" s="437"/>
      <c r="BA348" s="437"/>
      <c r="BB348" s="437"/>
      <c r="BC348" s="437"/>
      <c r="BD348" s="437"/>
      <c r="BE348" s="437"/>
      <c r="BF348" s="437"/>
      <c r="BG348" s="437"/>
      <c r="BH348" s="437"/>
      <c r="BI348" s="437"/>
      <c r="BJ348" s="437"/>
      <c r="BK348" s="437"/>
      <c r="BL348" s="437"/>
      <c r="BM348" s="393"/>
      <c r="BO348" s="399">
        <f t="shared" si="153"/>
        <v>0</v>
      </c>
      <c r="BP348" s="399">
        <f t="shared" si="154"/>
        <v>0</v>
      </c>
      <c r="BQ348" s="399">
        <f t="shared" si="155"/>
        <v>0</v>
      </c>
      <c r="BR348" s="399">
        <f t="shared" si="156"/>
        <v>0</v>
      </c>
      <c r="BS348" s="399">
        <f t="shared" si="157"/>
        <v>0</v>
      </c>
      <c r="BT348" s="399">
        <f t="shared" si="158"/>
        <v>0</v>
      </c>
      <c r="BU348" s="399">
        <f t="shared" si="159"/>
        <v>0</v>
      </c>
      <c r="BV348" s="399">
        <f t="shared" si="160"/>
        <v>0</v>
      </c>
      <c r="BW348" s="399">
        <f t="shared" si="161"/>
        <v>0</v>
      </c>
      <c r="BX348" s="399">
        <f t="shared" si="162"/>
        <v>0</v>
      </c>
      <c r="BY348" s="399">
        <f t="shared" si="163"/>
        <v>0</v>
      </c>
      <c r="BZ348" s="399">
        <f t="shared" si="164"/>
        <v>0</v>
      </c>
      <c r="CA348" s="399">
        <f t="shared" si="165"/>
        <v>0</v>
      </c>
      <c r="CB348" s="399">
        <f t="shared" si="166"/>
        <v>0</v>
      </c>
      <c r="CC348" s="399">
        <f t="shared" si="167"/>
        <v>0</v>
      </c>
      <c r="CD348" s="399">
        <f t="shared" si="168"/>
        <v>0</v>
      </c>
      <c r="CE348" s="399">
        <f t="shared" si="169"/>
        <v>0</v>
      </c>
      <c r="CF348" s="399">
        <f t="shared" si="170"/>
        <v>0</v>
      </c>
      <c r="CG348" s="399">
        <f t="shared" si="171"/>
        <v>0</v>
      </c>
      <c r="CH348" s="399">
        <f t="shared" si="172"/>
        <v>0</v>
      </c>
      <c r="CI348" s="399">
        <f t="shared" si="173"/>
        <v>0</v>
      </c>
      <c r="CJ348" s="399">
        <f t="shared" si="174"/>
        <v>0</v>
      </c>
      <c r="CK348" s="399">
        <f t="shared" si="175"/>
        <v>0</v>
      </c>
      <c r="CL348" s="399">
        <f t="shared" si="176"/>
        <v>0</v>
      </c>
      <c r="CM348" s="399">
        <f t="shared" si="177"/>
        <v>0</v>
      </c>
      <c r="CN348" s="399">
        <f t="shared" si="178"/>
        <v>0</v>
      </c>
      <c r="CO348" s="399">
        <f t="shared" si="179"/>
        <v>0</v>
      </c>
      <c r="CP348" s="399">
        <f t="shared" si="180"/>
        <v>0</v>
      </c>
      <c r="CQ348" s="423">
        <f t="shared" si="181"/>
        <v>0</v>
      </c>
      <c r="CS348" s="394" t="e">
        <f t="shared" si="182"/>
        <v>#DIV/0!</v>
      </c>
    </row>
    <row r="349" spans="3:97">
      <c r="C349" s="107"/>
      <c r="D349" s="395"/>
      <c r="E349" s="84"/>
      <c r="F349" s="84"/>
      <c r="G349" s="389"/>
      <c r="H349" s="390"/>
      <c r="I349" s="390"/>
      <c r="J349" s="390"/>
      <c r="K349" s="390"/>
      <c r="L349" s="390"/>
      <c r="M349" s="390"/>
      <c r="N349" s="390"/>
      <c r="O349" s="390"/>
      <c r="P349" s="390"/>
      <c r="Q349" s="390"/>
      <c r="R349" s="390"/>
      <c r="S349" s="390"/>
      <c r="T349" s="390"/>
      <c r="U349" s="390"/>
      <c r="V349" s="390"/>
      <c r="W349" s="390"/>
      <c r="X349" s="390"/>
      <c r="Y349" s="390"/>
      <c r="Z349" s="390"/>
      <c r="AA349" s="390"/>
      <c r="AB349" s="390"/>
      <c r="AC349" s="390"/>
      <c r="AD349" s="390"/>
      <c r="AE349" s="390"/>
      <c r="AF349" s="390"/>
      <c r="AG349" s="390"/>
      <c r="AH349" s="390"/>
      <c r="AI349" s="391"/>
      <c r="AK349" s="437"/>
      <c r="AL349" s="437"/>
      <c r="AM349" s="437"/>
      <c r="AN349" s="437"/>
      <c r="AO349" s="437"/>
      <c r="AP349" s="437"/>
      <c r="AQ349" s="437"/>
      <c r="AR349" s="437"/>
      <c r="AS349" s="437"/>
      <c r="AT349" s="437"/>
      <c r="AU349" s="437"/>
      <c r="AV349" s="437"/>
      <c r="AW349" s="437"/>
      <c r="AX349" s="437"/>
      <c r="AY349" s="437"/>
      <c r="AZ349" s="437"/>
      <c r="BA349" s="437"/>
      <c r="BB349" s="437"/>
      <c r="BC349" s="437"/>
      <c r="BD349" s="437"/>
      <c r="BE349" s="437"/>
      <c r="BF349" s="437"/>
      <c r="BG349" s="437"/>
      <c r="BH349" s="437"/>
      <c r="BI349" s="437"/>
      <c r="BJ349" s="437"/>
      <c r="BK349" s="437"/>
      <c r="BL349" s="437"/>
      <c r="BM349" s="393"/>
      <c r="BO349" s="399">
        <f t="shared" si="153"/>
        <v>0</v>
      </c>
      <c r="BP349" s="399">
        <f t="shared" si="154"/>
        <v>0</v>
      </c>
      <c r="BQ349" s="399">
        <f t="shared" si="155"/>
        <v>0</v>
      </c>
      <c r="BR349" s="399">
        <f t="shared" si="156"/>
        <v>0</v>
      </c>
      <c r="BS349" s="399">
        <f t="shared" si="157"/>
        <v>0</v>
      </c>
      <c r="BT349" s="399">
        <f t="shared" si="158"/>
        <v>0</v>
      </c>
      <c r="BU349" s="399">
        <f t="shared" si="159"/>
        <v>0</v>
      </c>
      <c r="BV349" s="399">
        <f t="shared" si="160"/>
        <v>0</v>
      </c>
      <c r="BW349" s="399">
        <f t="shared" si="161"/>
        <v>0</v>
      </c>
      <c r="BX349" s="399">
        <f t="shared" si="162"/>
        <v>0</v>
      </c>
      <c r="BY349" s="399">
        <f t="shared" si="163"/>
        <v>0</v>
      </c>
      <c r="BZ349" s="399">
        <f t="shared" si="164"/>
        <v>0</v>
      </c>
      <c r="CA349" s="399">
        <f t="shared" si="165"/>
        <v>0</v>
      </c>
      <c r="CB349" s="399">
        <f t="shared" si="166"/>
        <v>0</v>
      </c>
      <c r="CC349" s="399">
        <f t="shared" si="167"/>
        <v>0</v>
      </c>
      <c r="CD349" s="399">
        <f t="shared" si="168"/>
        <v>0</v>
      </c>
      <c r="CE349" s="399">
        <f t="shared" si="169"/>
        <v>0</v>
      </c>
      <c r="CF349" s="399">
        <f t="shared" si="170"/>
        <v>0</v>
      </c>
      <c r="CG349" s="399">
        <f t="shared" si="171"/>
        <v>0</v>
      </c>
      <c r="CH349" s="399">
        <f t="shared" si="172"/>
        <v>0</v>
      </c>
      <c r="CI349" s="399">
        <f t="shared" si="173"/>
        <v>0</v>
      </c>
      <c r="CJ349" s="399">
        <f t="shared" si="174"/>
        <v>0</v>
      </c>
      <c r="CK349" s="399">
        <f t="shared" si="175"/>
        <v>0</v>
      </c>
      <c r="CL349" s="399">
        <f t="shared" si="176"/>
        <v>0</v>
      </c>
      <c r="CM349" s="399">
        <f t="shared" si="177"/>
        <v>0</v>
      </c>
      <c r="CN349" s="399">
        <f t="shared" si="178"/>
        <v>0</v>
      </c>
      <c r="CO349" s="399">
        <f t="shared" si="179"/>
        <v>0</v>
      </c>
      <c r="CP349" s="399">
        <f t="shared" si="180"/>
        <v>0</v>
      </c>
      <c r="CQ349" s="423">
        <f t="shared" si="181"/>
        <v>0</v>
      </c>
      <c r="CS349" s="394" t="e">
        <f t="shared" si="182"/>
        <v>#DIV/0!</v>
      </c>
    </row>
    <row r="350" spans="3:97">
      <c r="C350" s="107"/>
      <c r="D350" s="395"/>
      <c r="E350" s="84"/>
      <c r="F350" s="84"/>
      <c r="G350" s="389"/>
      <c r="H350" s="390"/>
      <c r="I350" s="390"/>
      <c r="J350" s="390"/>
      <c r="K350" s="390"/>
      <c r="L350" s="390"/>
      <c r="M350" s="390"/>
      <c r="N350" s="390"/>
      <c r="O350" s="390"/>
      <c r="P350" s="390"/>
      <c r="Q350" s="390"/>
      <c r="R350" s="390"/>
      <c r="S350" s="390"/>
      <c r="T350" s="390"/>
      <c r="U350" s="390"/>
      <c r="V350" s="390"/>
      <c r="W350" s="390"/>
      <c r="X350" s="390"/>
      <c r="Y350" s="390"/>
      <c r="Z350" s="390"/>
      <c r="AA350" s="390"/>
      <c r="AB350" s="390"/>
      <c r="AC350" s="390"/>
      <c r="AD350" s="390"/>
      <c r="AE350" s="390"/>
      <c r="AF350" s="390"/>
      <c r="AG350" s="390"/>
      <c r="AH350" s="390"/>
      <c r="AI350" s="391"/>
      <c r="AK350" s="437"/>
      <c r="AL350" s="437"/>
      <c r="AM350" s="437"/>
      <c r="AN350" s="437"/>
      <c r="AO350" s="437"/>
      <c r="AP350" s="437"/>
      <c r="AQ350" s="437"/>
      <c r="AR350" s="437"/>
      <c r="AS350" s="437"/>
      <c r="AT350" s="437"/>
      <c r="AU350" s="437"/>
      <c r="AV350" s="437"/>
      <c r="AW350" s="437"/>
      <c r="AX350" s="437"/>
      <c r="AY350" s="437"/>
      <c r="AZ350" s="437"/>
      <c r="BA350" s="437"/>
      <c r="BB350" s="437"/>
      <c r="BC350" s="437"/>
      <c r="BD350" s="437"/>
      <c r="BE350" s="437"/>
      <c r="BF350" s="437"/>
      <c r="BG350" s="437"/>
      <c r="BH350" s="437"/>
      <c r="BI350" s="437"/>
      <c r="BJ350" s="437"/>
      <c r="BK350" s="437"/>
      <c r="BL350" s="437"/>
      <c r="BM350" s="393"/>
      <c r="BO350" s="399">
        <f t="shared" si="153"/>
        <v>0</v>
      </c>
      <c r="BP350" s="399">
        <f t="shared" si="154"/>
        <v>0</v>
      </c>
      <c r="BQ350" s="399">
        <f t="shared" si="155"/>
        <v>0</v>
      </c>
      <c r="BR350" s="399">
        <f t="shared" si="156"/>
        <v>0</v>
      </c>
      <c r="BS350" s="399">
        <f t="shared" si="157"/>
        <v>0</v>
      </c>
      <c r="BT350" s="399">
        <f t="shared" si="158"/>
        <v>0</v>
      </c>
      <c r="BU350" s="399">
        <f t="shared" si="159"/>
        <v>0</v>
      </c>
      <c r="BV350" s="399">
        <f t="shared" si="160"/>
        <v>0</v>
      </c>
      <c r="BW350" s="399">
        <f t="shared" si="161"/>
        <v>0</v>
      </c>
      <c r="BX350" s="399">
        <f t="shared" si="162"/>
        <v>0</v>
      </c>
      <c r="BY350" s="399">
        <f t="shared" si="163"/>
        <v>0</v>
      </c>
      <c r="BZ350" s="399">
        <f t="shared" si="164"/>
        <v>0</v>
      </c>
      <c r="CA350" s="399">
        <f t="shared" si="165"/>
        <v>0</v>
      </c>
      <c r="CB350" s="399">
        <f t="shared" si="166"/>
        <v>0</v>
      </c>
      <c r="CC350" s="399">
        <f t="shared" si="167"/>
        <v>0</v>
      </c>
      <c r="CD350" s="399">
        <f t="shared" si="168"/>
        <v>0</v>
      </c>
      <c r="CE350" s="399">
        <f t="shared" si="169"/>
        <v>0</v>
      </c>
      <c r="CF350" s="399">
        <f t="shared" si="170"/>
        <v>0</v>
      </c>
      <c r="CG350" s="399">
        <f t="shared" si="171"/>
        <v>0</v>
      </c>
      <c r="CH350" s="399">
        <f t="shared" si="172"/>
        <v>0</v>
      </c>
      <c r="CI350" s="399">
        <f t="shared" si="173"/>
        <v>0</v>
      </c>
      <c r="CJ350" s="399">
        <f t="shared" si="174"/>
        <v>0</v>
      </c>
      <c r="CK350" s="399">
        <f t="shared" si="175"/>
        <v>0</v>
      </c>
      <c r="CL350" s="399">
        <f t="shared" si="176"/>
        <v>0</v>
      </c>
      <c r="CM350" s="399">
        <f t="shared" si="177"/>
        <v>0</v>
      </c>
      <c r="CN350" s="399">
        <f t="shared" si="178"/>
        <v>0</v>
      </c>
      <c r="CO350" s="399">
        <f t="shared" si="179"/>
        <v>0</v>
      </c>
      <c r="CP350" s="399">
        <f t="shared" si="180"/>
        <v>0</v>
      </c>
      <c r="CQ350" s="423">
        <f t="shared" si="181"/>
        <v>0</v>
      </c>
      <c r="CS350" s="394" t="e">
        <f t="shared" si="182"/>
        <v>#DIV/0!</v>
      </c>
    </row>
    <row r="351" spans="3:97">
      <c r="C351" s="107"/>
      <c r="D351" s="395"/>
      <c r="E351" s="84"/>
      <c r="F351" s="84"/>
      <c r="G351" s="389"/>
      <c r="H351" s="390"/>
      <c r="I351" s="390"/>
      <c r="J351" s="390"/>
      <c r="K351" s="390"/>
      <c r="L351" s="390"/>
      <c r="M351" s="390"/>
      <c r="N351" s="390"/>
      <c r="O351" s="390"/>
      <c r="P351" s="390"/>
      <c r="Q351" s="390"/>
      <c r="R351" s="390"/>
      <c r="S351" s="390"/>
      <c r="T351" s="390"/>
      <c r="U351" s="390"/>
      <c r="V351" s="390"/>
      <c r="W351" s="390"/>
      <c r="X351" s="390"/>
      <c r="Y351" s="390"/>
      <c r="Z351" s="390"/>
      <c r="AA351" s="390"/>
      <c r="AB351" s="390"/>
      <c r="AC351" s="390"/>
      <c r="AD351" s="390"/>
      <c r="AE351" s="390"/>
      <c r="AF351" s="390"/>
      <c r="AG351" s="390"/>
      <c r="AH351" s="390"/>
      <c r="AI351" s="391"/>
      <c r="AK351" s="437"/>
      <c r="AL351" s="437"/>
      <c r="AM351" s="437"/>
      <c r="AN351" s="437"/>
      <c r="AO351" s="437"/>
      <c r="AP351" s="437"/>
      <c r="AQ351" s="437"/>
      <c r="AR351" s="437"/>
      <c r="AS351" s="437"/>
      <c r="AT351" s="437"/>
      <c r="AU351" s="437"/>
      <c r="AV351" s="437"/>
      <c r="AW351" s="437"/>
      <c r="AX351" s="437"/>
      <c r="AY351" s="437"/>
      <c r="AZ351" s="437"/>
      <c r="BA351" s="437"/>
      <c r="BB351" s="437"/>
      <c r="BC351" s="437"/>
      <c r="BD351" s="437"/>
      <c r="BE351" s="437"/>
      <c r="BF351" s="437"/>
      <c r="BG351" s="437"/>
      <c r="BH351" s="437"/>
      <c r="BI351" s="437"/>
      <c r="BJ351" s="437"/>
      <c r="BK351" s="437"/>
      <c r="BL351" s="437"/>
      <c r="BM351" s="393"/>
      <c r="BO351" s="399">
        <f t="shared" si="153"/>
        <v>0</v>
      </c>
      <c r="BP351" s="399">
        <f t="shared" si="154"/>
        <v>0</v>
      </c>
      <c r="BQ351" s="399">
        <f t="shared" si="155"/>
        <v>0</v>
      </c>
      <c r="BR351" s="399">
        <f t="shared" si="156"/>
        <v>0</v>
      </c>
      <c r="BS351" s="399">
        <f t="shared" si="157"/>
        <v>0</v>
      </c>
      <c r="BT351" s="399">
        <f t="shared" si="158"/>
        <v>0</v>
      </c>
      <c r="BU351" s="399">
        <f t="shared" si="159"/>
        <v>0</v>
      </c>
      <c r="BV351" s="399">
        <f t="shared" si="160"/>
        <v>0</v>
      </c>
      <c r="BW351" s="399">
        <f t="shared" si="161"/>
        <v>0</v>
      </c>
      <c r="BX351" s="399">
        <f t="shared" si="162"/>
        <v>0</v>
      </c>
      <c r="BY351" s="399">
        <f t="shared" si="163"/>
        <v>0</v>
      </c>
      <c r="BZ351" s="399">
        <f t="shared" si="164"/>
        <v>0</v>
      </c>
      <c r="CA351" s="399">
        <f t="shared" si="165"/>
        <v>0</v>
      </c>
      <c r="CB351" s="399">
        <f t="shared" si="166"/>
        <v>0</v>
      </c>
      <c r="CC351" s="399">
        <f t="shared" si="167"/>
        <v>0</v>
      </c>
      <c r="CD351" s="399">
        <f t="shared" si="168"/>
        <v>0</v>
      </c>
      <c r="CE351" s="399">
        <f t="shared" si="169"/>
        <v>0</v>
      </c>
      <c r="CF351" s="399">
        <f t="shared" si="170"/>
        <v>0</v>
      </c>
      <c r="CG351" s="399">
        <f t="shared" si="171"/>
        <v>0</v>
      </c>
      <c r="CH351" s="399">
        <f t="shared" si="172"/>
        <v>0</v>
      </c>
      <c r="CI351" s="399">
        <f t="shared" si="173"/>
        <v>0</v>
      </c>
      <c r="CJ351" s="399">
        <f t="shared" si="174"/>
        <v>0</v>
      </c>
      <c r="CK351" s="399">
        <f t="shared" si="175"/>
        <v>0</v>
      </c>
      <c r="CL351" s="399">
        <f t="shared" si="176"/>
        <v>0</v>
      </c>
      <c r="CM351" s="399">
        <f t="shared" si="177"/>
        <v>0</v>
      </c>
      <c r="CN351" s="399">
        <f t="shared" si="178"/>
        <v>0</v>
      </c>
      <c r="CO351" s="399">
        <f t="shared" si="179"/>
        <v>0</v>
      </c>
      <c r="CP351" s="399">
        <f t="shared" si="180"/>
        <v>0</v>
      </c>
      <c r="CQ351" s="423">
        <f t="shared" si="181"/>
        <v>0</v>
      </c>
      <c r="CS351" s="394" t="e">
        <f t="shared" si="182"/>
        <v>#DIV/0!</v>
      </c>
    </row>
    <row r="352" spans="3:97">
      <c r="C352" s="107"/>
      <c r="D352" s="395"/>
      <c r="E352" s="84"/>
      <c r="F352" s="84"/>
      <c r="G352" s="389"/>
      <c r="H352" s="390"/>
      <c r="I352" s="390"/>
      <c r="J352" s="390"/>
      <c r="K352" s="390"/>
      <c r="L352" s="390"/>
      <c r="M352" s="390"/>
      <c r="N352" s="390"/>
      <c r="O352" s="390"/>
      <c r="P352" s="390"/>
      <c r="Q352" s="390"/>
      <c r="R352" s="390"/>
      <c r="S352" s="390"/>
      <c r="T352" s="390"/>
      <c r="U352" s="390"/>
      <c r="V352" s="390"/>
      <c r="W352" s="390"/>
      <c r="X352" s="390"/>
      <c r="Y352" s="390"/>
      <c r="Z352" s="390"/>
      <c r="AA352" s="390"/>
      <c r="AB352" s="390"/>
      <c r="AC352" s="390"/>
      <c r="AD352" s="390"/>
      <c r="AE352" s="390"/>
      <c r="AF352" s="390"/>
      <c r="AG352" s="390"/>
      <c r="AH352" s="390"/>
      <c r="AI352" s="391"/>
      <c r="AK352" s="437"/>
      <c r="AL352" s="437"/>
      <c r="AM352" s="437"/>
      <c r="AN352" s="437"/>
      <c r="AO352" s="437"/>
      <c r="AP352" s="437"/>
      <c r="AQ352" s="437"/>
      <c r="AR352" s="437"/>
      <c r="AS352" s="437"/>
      <c r="AT352" s="437"/>
      <c r="AU352" s="437"/>
      <c r="AV352" s="437"/>
      <c r="AW352" s="437"/>
      <c r="AX352" s="437"/>
      <c r="AY352" s="437"/>
      <c r="AZ352" s="437"/>
      <c r="BA352" s="437"/>
      <c r="BB352" s="437"/>
      <c r="BC352" s="437"/>
      <c r="BD352" s="437"/>
      <c r="BE352" s="437"/>
      <c r="BF352" s="437"/>
      <c r="BG352" s="437"/>
      <c r="BH352" s="437"/>
      <c r="BI352" s="437"/>
      <c r="BJ352" s="437"/>
      <c r="BK352" s="437"/>
      <c r="BL352" s="437"/>
      <c r="BM352" s="393"/>
      <c r="BO352" s="399">
        <f t="shared" si="153"/>
        <v>0</v>
      </c>
      <c r="BP352" s="399">
        <f t="shared" si="154"/>
        <v>0</v>
      </c>
      <c r="BQ352" s="399">
        <f t="shared" si="155"/>
        <v>0</v>
      </c>
      <c r="BR352" s="399">
        <f t="shared" si="156"/>
        <v>0</v>
      </c>
      <c r="BS352" s="399">
        <f t="shared" si="157"/>
        <v>0</v>
      </c>
      <c r="BT352" s="399">
        <f t="shared" si="158"/>
        <v>0</v>
      </c>
      <c r="BU352" s="399">
        <f t="shared" si="159"/>
        <v>0</v>
      </c>
      <c r="BV352" s="399">
        <f t="shared" si="160"/>
        <v>0</v>
      </c>
      <c r="BW352" s="399">
        <f t="shared" si="161"/>
        <v>0</v>
      </c>
      <c r="BX352" s="399">
        <f t="shared" si="162"/>
        <v>0</v>
      </c>
      <c r="BY352" s="399">
        <f t="shared" si="163"/>
        <v>0</v>
      </c>
      <c r="BZ352" s="399">
        <f t="shared" si="164"/>
        <v>0</v>
      </c>
      <c r="CA352" s="399">
        <f t="shared" si="165"/>
        <v>0</v>
      </c>
      <c r="CB352" s="399">
        <f t="shared" si="166"/>
        <v>0</v>
      </c>
      <c r="CC352" s="399">
        <f t="shared" si="167"/>
        <v>0</v>
      </c>
      <c r="CD352" s="399">
        <f t="shared" si="168"/>
        <v>0</v>
      </c>
      <c r="CE352" s="399">
        <f t="shared" si="169"/>
        <v>0</v>
      </c>
      <c r="CF352" s="399">
        <f t="shared" si="170"/>
        <v>0</v>
      </c>
      <c r="CG352" s="399">
        <f t="shared" si="171"/>
        <v>0</v>
      </c>
      <c r="CH352" s="399">
        <f t="shared" si="172"/>
        <v>0</v>
      </c>
      <c r="CI352" s="399">
        <f t="shared" si="173"/>
        <v>0</v>
      </c>
      <c r="CJ352" s="399">
        <f t="shared" si="174"/>
        <v>0</v>
      </c>
      <c r="CK352" s="399">
        <f t="shared" si="175"/>
        <v>0</v>
      </c>
      <c r="CL352" s="399">
        <f t="shared" si="176"/>
        <v>0</v>
      </c>
      <c r="CM352" s="399">
        <f t="shared" si="177"/>
        <v>0</v>
      </c>
      <c r="CN352" s="399">
        <f t="shared" si="178"/>
        <v>0</v>
      </c>
      <c r="CO352" s="399">
        <f t="shared" si="179"/>
        <v>0</v>
      </c>
      <c r="CP352" s="399">
        <f t="shared" si="180"/>
        <v>0</v>
      </c>
      <c r="CQ352" s="423">
        <f t="shared" si="181"/>
        <v>0</v>
      </c>
      <c r="CS352" s="394" t="e">
        <f t="shared" si="182"/>
        <v>#DIV/0!</v>
      </c>
    </row>
    <row r="353" spans="3:97">
      <c r="C353" s="107"/>
      <c r="D353" s="395"/>
      <c r="E353" s="84"/>
      <c r="F353" s="84"/>
      <c r="G353" s="389"/>
      <c r="H353" s="390"/>
      <c r="I353" s="390"/>
      <c r="J353" s="390"/>
      <c r="K353" s="390"/>
      <c r="L353" s="390"/>
      <c r="M353" s="390"/>
      <c r="N353" s="390"/>
      <c r="O353" s="390"/>
      <c r="P353" s="390"/>
      <c r="Q353" s="390"/>
      <c r="R353" s="390"/>
      <c r="S353" s="390"/>
      <c r="T353" s="390"/>
      <c r="U353" s="390"/>
      <c r="V353" s="390"/>
      <c r="W353" s="390"/>
      <c r="X353" s="390"/>
      <c r="Y353" s="390"/>
      <c r="Z353" s="390"/>
      <c r="AA353" s="390"/>
      <c r="AB353" s="390"/>
      <c r="AC353" s="390"/>
      <c r="AD353" s="390"/>
      <c r="AE353" s="390"/>
      <c r="AF353" s="390"/>
      <c r="AG353" s="390"/>
      <c r="AH353" s="390"/>
      <c r="AI353" s="391"/>
      <c r="AK353" s="437"/>
      <c r="AL353" s="437"/>
      <c r="AM353" s="437"/>
      <c r="AN353" s="437"/>
      <c r="AO353" s="437"/>
      <c r="AP353" s="437"/>
      <c r="AQ353" s="437"/>
      <c r="AR353" s="437"/>
      <c r="AS353" s="437"/>
      <c r="AT353" s="437"/>
      <c r="AU353" s="437"/>
      <c r="AV353" s="437"/>
      <c r="AW353" s="437"/>
      <c r="AX353" s="437"/>
      <c r="AY353" s="437"/>
      <c r="AZ353" s="437"/>
      <c r="BA353" s="437"/>
      <c r="BB353" s="437"/>
      <c r="BC353" s="437"/>
      <c r="BD353" s="437"/>
      <c r="BE353" s="437"/>
      <c r="BF353" s="437"/>
      <c r="BG353" s="437"/>
      <c r="BH353" s="437"/>
      <c r="BI353" s="437"/>
      <c r="BJ353" s="437"/>
      <c r="BK353" s="437"/>
      <c r="BL353" s="437"/>
      <c r="BM353" s="393"/>
      <c r="BO353" s="399">
        <f t="shared" si="153"/>
        <v>0</v>
      </c>
      <c r="BP353" s="399">
        <f t="shared" si="154"/>
        <v>0</v>
      </c>
      <c r="BQ353" s="399">
        <f t="shared" si="155"/>
        <v>0</v>
      </c>
      <c r="BR353" s="399">
        <f t="shared" si="156"/>
        <v>0</v>
      </c>
      <c r="BS353" s="399">
        <f t="shared" si="157"/>
        <v>0</v>
      </c>
      <c r="BT353" s="399">
        <f t="shared" si="158"/>
        <v>0</v>
      </c>
      <c r="BU353" s="399">
        <f t="shared" si="159"/>
        <v>0</v>
      </c>
      <c r="BV353" s="399">
        <f t="shared" si="160"/>
        <v>0</v>
      </c>
      <c r="BW353" s="399">
        <f t="shared" si="161"/>
        <v>0</v>
      </c>
      <c r="BX353" s="399">
        <f t="shared" si="162"/>
        <v>0</v>
      </c>
      <c r="BY353" s="399">
        <f t="shared" si="163"/>
        <v>0</v>
      </c>
      <c r="BZ353" s="399">
        <f t="shared" si="164"/>
        <v>0</v>
      </c>
      <c r="CA353" s="399">
        <f t="shared" si="165"/>
        <v>0</v>
      </c>
      <c r="CB353" s="399">
        <f t="shared" si="166"/>
        <v>0</v>
      </c>
      <c r="CC353" s="399">
        <f t="shared" si="167"/>
        <v>0</v>
      </c>
      <c r="CD353" s="399">
        <f t="shared" si="168"/>
        <v>0</v>
      </c>
      <c r="CE353" s="399">
        <f t="shared" si="169"/>
        <v>0</v>
      </c>
      <c r="CF353" s="399">
        <f t="shared" si="170"/>
        <v>0</v>
      </c>
      <c r="CG353" s="399">
        <f t="shared" si="171"/>
        <v>0</v>
      </c>
      <c r="CH353" s="399">
        <f t="shared" si="172"/>
        <v>0</v>
      </c>
      <c r="CI353" s="399">
        <f t="shared" si="173"/>
        <v>0</v>
      </c>
      <c r="CJ353" s="399">
        <f t="shared" si="174"/>
        <v>0</v>
      </c>
      <c r="CK353" s="399">
        <f t="shared" si="175"/>
        <v>0</v>
      </c>
      <c r="CL353" s="399">
        <f t="shared" si="176"/>
        <v>0</v>
      </c>
      <c r="CM353" s="399">
        <f t="shared" si="177"/>
        <v>0</v>
      </c>
      <c r="CN353" s="399">
        <f t="shared" si="178"/>
        <v>0</v>
      </c>
      <c r="CO353" s="399">
        <f t="shared" si="179"/>
        <v>0</v>
      </c>
      <c r="CP353" s="399">
        <f t="shared" si="180"/>
        <v>0</v>
      </c>
      <c r="CQ353" s="423">
        <f t="shared" si="181"/>
        <v>0</v>
      </c>
      <c r="CS353" s="394" t="e">
        <f t="shared" si="182"/>
        <v>#DIV/0!</v>
      </c>
    </row>
    <row r="354" spans="3:97">
      <c r="C354" s="107"/>
      <c r="D354" s="395"/>
      <c r="E354" s="84"/>
      <c r="F354" s="84"/>
      <c r="G354" s="389"/>
      <c r="H354" s="390"/>
      <c r="I354" s="390"/>
      <c r="J354" s="390"/>
      <c r="K354" s="390"/>
      <c r="L354" s="390"/>
      <c r="M354" s="390"/>
      <c r="N354" s="390"/>
      <c r="O354" s="390"/>
      <c r="P354" s="390"/>
      <c r="Q354" s="390"/>
      <c r="R354" s="390"/>
      <c r="S354" s="390"/>
      <c r="T354" s="390"/>
      <c r="U354" s="390"/>
      <c r="V354" s="390"/>
      <c r="W354" s="390"/>
      <c r="X354" s="390"/>
      <c r="Y354" s="390"/>
      <c r="Z354" s="390"/>
      <c r="AA354" s="390"/>
      <c r="AB354" s="390"/>
      <c r="AC354" s="390"/>
      <c r="AD354" s="390"/>
      <c r="AE354" s="390"/>
      <c r="AF354" s="390"/>
      <c r="AG354" s="390"/>
      <c r="AH354" s="390"/>
      <c r="AI354" s="391"/>
      <c r="AK354" s="437"/>
      <c r="AL354" s="437"/>
      <c r="AM354" s="437"/>
      <c r="AN354" s="437"/>
      <c r="AO354" s="437"/>
      <c r="AP354" s="437"/>
      <c r="AQ354" s="437"/>
      <c r="AR354" s="437"/>
      <c r="AS354" s="437"/>
      <c r="AT354" s="437"/>
      <c r="AU354" s="437"/>
      <c r="AV354" s="437"/>
      <c r="AW354" s="437"/>
      <c r="AX354" s="437"/>
      <c r="AY354" s="437"/>
      <c r="AZ354" s="437"/>
      <c r="BA354" s="437"/>
      <c r="BB354" s="437"/>
      <c r="BC354" s="437"/>
      <c r="BD354" s="437"/>
      <c r="BE354" s="437"/>
      <c r="BF354" s="437"/>
      <c r="BG354" s="437"/>
      <c r="BH354" s="437"/>
      <c r="BI354" s="437"/>
      <c r="BJ354" s="437"/>
      <c r="BK354" s="437"/>
      <c r="BL354" s="437"/>
      <c r="BM354" s="393"/>
      <c r="BO354" s="399">
        <f t="shared" si="153"/>
        <v>0</v>
      </c>
      <c r="BP354" s="399">
        <f t="shared" si="154"/>
        <v>0</v>
      </c>
      <c r="BQ354" s="399">
        <f t="shared" si="155"/>
        <v>0</v>
      </c>
      <c r="BR354" s="399">
        <f t="shared" si="156"/>
        <v>0</v>
      </c>
      <c r="BS354" s="399">
        <f t="shared" si="157"/>
        <v>0</v>
      </c>
      <c r="BT354" s="399">
        <f t="shared" si="158"/>
        <v>0</v>
      </c>
      <c r="BU354" s="399">
        <f t="shared" si="159"/>
        <v>0</v>
      </c>
      <c r="BV354" s="399">
        <f t="shared" si="160"/>
        <v>0</v>
      </c>
      <c r="BW354" s="399">
        <f t="shared" si="161"/>
        <v>0</v>
      </c>
      <c r="BX354" s="399">
        <f t="shared" si="162"/>
        <v>0</v>
      </c>
      <c r="BY354" s="399">
        <f t="shared" si="163"/>
        <v>0</v>
      </c>
      <c r="BZ354" s="399">
        <f t="shared" si="164"/>
        <v>0</v>
      </c>
      <c r="CA354" s="399">
        <f t="shared" si="165"/>
        <v>0</v>
      </c>
      <c r="CB354" s="399">
        <f t="shared" si="166"/>
        <v>0</v>
      </c>
      <c r="CC354" s="399">
        <f t="shared" si="167"/>
        <v>0</v>
      </c>
      <c r="CD354" s="399">
        <f t="shared" si="168"/>
        <v>0</v>
      </c>
      <c r="CE354" s="399">
        <f t="shared" si="169"/>
        <v>0</v>
      </c>
      <c r="CF354" s="399">
        <f t="shared" si="170"/>
        <v>0</v>
      </c>
      <c r="CG354" s="399">
        <f t="shared" si="171"/>
        <v>0</v>
      </c>
      <c r="CH354" s="399">
        <f t="shared" si="172"/>
        <v>0</v>
      </c>
      <c r="CI354" s="399">
        <f t="shared" si="173"/>
        <v>0</v>
      </c>
      <c r="CJ354" s="399">
        <f t="shared" si="174"/>
        <v>0</v>
      </c>
      <c r="CK354" s="399">
        <f t="shared" si="175"/>
        <v>0</v>
      </c>
      <c r="CL354" s="399">
        <f t="shared" si="176"/>
        <v>0</v>
      </c>
      <c r="CM354" s="399">
        <f t="shared" si="177"/>
        <v>0</v>
      </c>
      <c r="CN354" s="399">
        <f t="shared" si="178"/>
        <v>0</v>
      </c>
      <c r="CO354" s="399">
        <f t="shared" si="179"/>
        <v>0</v>
      </c>
      <c r="CP354" s="399">
        <f t="shared" si="180"/>
        <v>0</v>
      </c>
      <c r="CQ354" s="423">
        <f t="shared" si="181"/>
        <v>0</v>
      </c>
      <c r="CS354" s="394" t="e">
        <f t="shared" si="182"/>
        <v>#DIV/0!</v>
      </c>
    </row>
    <row r="355" spans="3:97">
      <c r="C355" s="107"/>
      <c r="D355" s="395"/>
      <c r="E355" s="84"/>
      <c r="F355" s="84"/>
      <c r="G355" s="389"/>
      <c r="H355" s="390"/>
      <c r="I355" s="390"/>
      <c r="J355" s="390"/>
      <c r="K355" s="390"/>
      <c r="L355" s="390"/>
      <c r="M355" s="390"/>
      <c r="N355" s="390"/>
      <c r="O355" s="390"/>
      <c r="P355" s="390"/>
      <c r="Q355" s="390"/>
      <c r="R355" s="390"/>
      <c r="S355" s="390"/>
      <c r="T355" s="390"/>
      <c r="U355" s="390"/>
      <c r="V355" s="390"/>
      <c r="W355" s="390"/>
      <c r="X355" s="390"/>
      <c r="Y355" s="390"/>
      <c r="Z355" s="390"/>
      <c r="AA355" s="390"/>
      <c r="AB355" s="390"/>
      <c r="AC355" s="390"/>
      <c r="AD355" s="390"/>
      <c r="AE355" s="390"/>
      <c r="AF355" s="390"/>
      <c r="AG355" s="390"/>
      <c r="AH355" s="390"/>
      <c r="AI355" s="391"/>
      <c r="AK355" s="437"/>
      <c r="AL355" s="437"/>
      <c r="AM355" s="437"/>
      <c r="AN355" s="437"/>
      <c r="AO355" s="437"/>
      <c r="AP355" s="437"/>
      <c r="AQ355" s="437"/>
      <c r="AR355" s="437"/>
      <c r="AS355" s="437"/>
      <c r="AT355" s="437"/>
      <c r="AU355" s="437"/>
      <c r="AV355" s="437"/>
      <c r="AW355" s="437"/>
      <c r="AX355" s="437"/>
      <c r="AY355" s="437"/>
      <c r="AZ355" s="437"/>
      <c r="BA355" s="437"/>
      <c r="BB355" s="437"/>
      <c r="BC355" s="437"/>
      <c r="BD355" s="437"/>
      <c r="BE355" s="437"/>
      <c r="BF355" s="437"/>
      <c r="BG355" s="437"/>
      <c r="BH355" s="437"/>
      <c r="BI355" s="437"/>
      <c r="BJ355" s="437"/>
      <c r="BK355" s="437"/>
      <c r="BL355" s="437"/>
      <c r="BM355" s="393"/>
      <c r="BO355" s="399">
        <f t="shared" si="153"/>
        <v>0</v>
      </c>
      <c r="BP355" s="399">
        <f t="shared" si="154"/>
        <v>0</v>
      </c>
      <c r="BQ355" s="399">
        <f t="shared" si="155"/>
        <v>0</v>
      </c>
      <c r="BR355" s="399">
        <f t="shared" si="156"/>
        <v>0</v>
      </c>
      <c r="BS355" s="399">
        <f t="shared" si="157"/>
        <v>0</v>
      </c>
      <c r="BT355" s="399">
        <f t="shared" si="158"/>
        <v>0</v>
      </c>
      <c r="BU355" s="399">
        <f t="shared" si="159"/>
        <v>0</v>
      </c>
      <c r="BV355" s="399">
        <f t="shared" si="160"/>
        <v>0</v>
      </c>
      <c r="BW355" s="399">
        <f t="shared" si="161"/>
        <v>0</v>
      </c>
      <c r="BX355" s="399">
        <f t="shared" si="162"/>
        <v>0</v>
      </c>
      <c r="BY355" s="399">
        <f t="shared" si="163"/>
        <v>0</v>
      </c>
      <c r="BZ355" s="399">
        <f t="shared" si="164"/>
        <v>0</v>
      </c>
      <c r="CA355" s="399">
        <f t="shared" si="165"/>
        <v>0</v>
      </c>
      <c r="CB355" s="399">
        <f t="shared" si="166"/>
        <v>0</v>
      </c>
      <c r="CC355" s="399">
        <f t="shared" si="167"/>
        <v>0</v>
      </c>
      <c r="CD355" s="399">
        <f t="shared" si="168"/>
        <v>0</v>
      </c>
      <c r="CE355" s="399">
        <f t="shared" si="169"/>
        <v>0</v>
      </c>
      <c r="CF355" s="399">
        <f t="shared" si="170"/>
        <v>0</v>
      </c>
      <c r="CG355" s="399">
        <f t="shared" si="171"/>
        <v>0</v>
      </c>
      <c r="CH355" s="399">
        <f t="shared" si="172"/>
        <v>0</v>
      </c>
      <c r="CI355" s="399">
        <f t="shared" si="173"/>
        <v>0</v>
      </c>
      <c r="CJ355" s="399">
        <f t="shared" si="174"/>
        <v>0</v>
      </c>
      <c r="CK355" s="399">
        <f t="shared" si="175"/>
        <v>0</v>
      </c>
      <c r="CL355" s="399">
        <f t="shared" si="176"/>
        <v>0</v>
      </c>
      <c r="CM355" s="399">
        <f t="shared" si="177"/>
        <v>0</v>
      </c>
      <c r="CN355" s="399">
        <f t="shared" si="178"/>
        <v>0</v>
      </c>
      <c r="CO355" s="399">
        <f t="shared" si="179"/>
        <v>0</v>
      </c>
      <c r="CP355" s="399">
        <f t="shared" si="180"/>
        <v>0</v>
      </c>
      <c r="CQ355" s="423">
        <f t="shared" si="181"/>
        <v>0</v>
      </c>
      <c r="CS355" s="394" t="e">
        <f t="shared" si="182"/>
        <v>#DIV/0!</v>
      </c>
    </row>
    <row r="356" spans="3:97">
      <c r="C356" s="107"/>
      <c r="D356" s="395"/>
      <c r="E356" s="84"/>
      <c r="F356" s="84"/>
      <c r="G356" s="389"/>
      <c r="H356" s="390"/>
      <c r="I356" s="390"/>
      <c r="J356" s="390"/>
      <c r="K356" s="390"/>
      <c r="L356" s="390"/>
      <c r="M356" s="390"/>
      <c r="N356" s="390"/>
      <c r="O356" s="390"/>
      <c r="P356" s="390"/>
      <c r="Q356" s="390"/>
      <c r="R356" s="390"/>
      <c r="S356" s="390"/>
      <c r="T356" s="390"/>
      <c r="U356" s="390"/>
      <c r="V356" s="390"/>
      <c r="W356" s="390"/>
      <c r="X356" s="390"/>
      <c r="Y356" s="390"/>
      <c r="Z356" s="390"/>
      <c r="AA356" s="390"/>
      <c r="AB356" s="390"/>
      <c r="AC356" s="390"/>
      <c r="AD356" s="390"/>
      <c r="AE356" s="390"/>
      <c r="AF356" s="390"/>
      <c r="AG356" s="390"/>
      <c r="AH356" s="390"/>
      <c r="AI356" s="391"/>
      <c r="AK356" s="437"/>
      <c r="AL356" s="437"/>
      <c r="AM356" s="437"/>
      <c r="AN356" s="437"/>
      <c r="AO356" s="437"/>
      <c r="AP356" s="437"/>
      <c r="AQ356" s="437"/>
      <c r="AR356" s="437"/>
      <c r="AS356" s="437"/>
      <c r="AT356" s="437"/>
      <c r="AU356" s="437"/>
      <c r="AV356" s="437"/>
      <c r="AW356" s="437"/>
      <c r="AX356" s="437"/>
      <c r="AY356" s="437"/>
      <c r="AZ356" s="437"/>
      <c r="BA356" s="437"/>
      <c r="BB356" s="437"/>
      <c r="BC356" s="437"/>
      <c r="BD356" s="437"/>
      <c r="BE356" s="437"/>
      <c r="BF356" s="437"/>
      <c r="BG356" s="437"/>
      <c r="BH356" s="437"/>
      <c r="BI356" s="437"/>
      <c r="BJ356" s="437"/>
      <c r="BK356" s="437"/>
      <c r="BL356" s="437"/>
      <c r="BM356" s="393"/>
      <c r="BO356" s="399">
        <f t="shared" si="153"/>
        <v>0</v>
      </c>
      <c r="BP356" s="399">
        <f t="shared" si="154"/>
        <v>0</v>
      </c>
      <c r="BQ356" s="399">
        <f t="shared" si="155"/>
        <v>0</v>
      </c>
      <c r="BR356" s="399">
        <f t="shared" si="156"/>
        <v>0</v>
      </c>
      <c r="BS356" s="399">
        <f t="shared" si="157"/>
        <v>0</v>
      </c>
      <c r="BT356" s="399">
        <f t="shared" si="158"/>
        <v>0</v>
      </c>
      <c r="BU356" s="399">
        <f t="shared" si="159"/>
        <v>0</v>
      </c>
      <c r="BV356" s="399">
        <f t="shared" si="160"/>
        <v>0</v>
      </c>
      <c r="BW356" s="399">
        <f t="shared" si="161"/>
        <v>0</v>
      </c>
      <c r="BX356" s="399">
        <f t="shared" si="162"/>
        <v>0</v>
      </c>
      <c r="BY356" s="399">
        <f t="shared" si="163"/>
        <v>0</v>
      </c>
      <c r="BZ356" s="399">
        <f t="shared" si="164"/>
        <v>0</v>
      </c>
      <c r="CA356" s="399">
        <f t="shared" si="165"/>
        <v>0</v>
      </c>
      <c r="CB356" s="399">
        <f t="shared" si="166"/>
        <v>0</v>
      </c>
      <c r="CC356" s="399">
        <f t="shared" si="167"/>
        <v>0</v>
      </c>
      <c r="CD356" s="399">
        <f t="shared" si="168"/>
        <v>0</v>
      </c>
      <c r="CE356" s="399">
        <f t="shared" si="169"/>
        <v>0</v>
      </c>
      <c r="CF356" s="399">
        <f t="shared" si="170"/>
        <v>0</v>
      </c>
      <c r="CG356" s="399">
        <f t="shared" si="171"/>
        <v>0</v>
      </c>
      <c r="CH356" s="399">
        <f t="shared" si="172"/>
        <v>0</v>
      </c>
      <c r="CI356" s="399">
        <f t="shared" si="173"/>
        <v>0</v>
      </c>
      <c r="CJ356" s="399">
        <f t="shared" si="174"/>
        <v>0</v>
      </c>
      <c r="CK356" s="399">
        <f t="shared" si="175"/>
        <v>0</v>
      </c>
      <c r="CL356" s="399">
        <f t="shared" si="176"/>
        <v>0</v>
      </c>
      <c r="CM356" s="399">
        <f t="shared" si="177"/>
        <v>0</v>
      </c>
      <c r="CN356" s="399">
        <f t="shared" si="178"/>
        <v>0</v>
      </c>
      <c r="CO356" s="399">
        <f t="shared" si="179"/>
        <v>0</v>
      </c>
      <c r="CP356" s="399">
        <f t="shared" si="180"/>
        <v>0</v>
      </c>
      <c r="CQ356" s="423">
        <f t="shared" si="181"/>
        <v>0</v>
      </c>
      <c r="CS356" s="394" t="e">
        <f t="shared" si="182"/>
        <v>#DIV/0!</v>
      </c>
    </row>
    <row r="357" spans="3:97">
      <c r="C357" s="107"/>
      <c r="D357" s="395"/>
      <c r="E357" s="84"/>
      <c r="F357" s="84"/>
      <c r="G357" s="389"/>
      <c r="H357" s="390"/>
      <c r="I357" s="390"/>
      <c r="J357" s="390"/>
      <c r="K357" s="390"/>
      <c r="L357" s="390"/>
      <c r="M357" s="390"/>
      <c r="N357" s="390"/>
      <c r="O357" s="390"/>
      <c r="P357" s="390"/>
      <c r="Q357" s="390"/>
      <c r="R357" s="390"/>
      <c r="S357" s="390"/>
      <c r="T357" s="390"/>
      <c r="U357" s="390"/>
      <c r="V357" s="390"/>
      <c r="W357" s="390"/>
      <c r="X357" s="390"/>
      <c r="Y357" s="390"/>
      <c r="Z357" s="390"/>
      <c r="AA357" s="390"/>
      <c r="AB357" s="390"/>
      <c r="AC357" s="390"/>
      <c r="AD357" s="390"/>
      <c r="AE357" s="390"/>
      <c r="AF357" s="390"/>
      <c r="AG357" s="390"/>
      <c r="AH357" s="390"/>
      <c r="AI357" s="391"/>
      <c r="AK357" s="437"/>
      <c r="AL357" s="437"/>
      <c r="AM357" s="437"/>
      <c r="AN357" s="437"/>
      <c r="AO357" s="437"/>
      <c r="AP357" s="437"/>
      <c r="AQ357" s="437"/>
      <c r="AR357" s="437"/>
      <c r="AS357" s="437"/>
      <c r="AT357" s="437"/>
      <c r="AU357" s="437"/>
      <c r="AV357" s="437"/>
      <c r="AW357" s="437"/>
      <c r="AX357" s="437"/>
      <c r="AY357" s="437"/>
      <c r="AZ357" s="437"/>
      <c r="BA357" s="437"/>
      <c r="BB357" s="437"/>
      <c r="BC357" s="437"/>
      <c r="BD357" s="437"/>
      <c r="BE357" s="437"/>
      <c r="BF357" s="437"/>
      <c r="BG357" s="437"/>
      <c r="BH357" s="437"/>
      <c r="BI357" s="437"/>
      <c r="BJ357" s="437"/>
      <c r="BK357" s="437"/>
      <c r="BL357" s="437"/>
      <c r="BM357" s="393"/>
      <c r="BO357" s="399">
        <f t="shared" si="153"/>
        <v>0</v>
      </c>
      <c r="BP357" s="399">
        <f t="shared" si="154"/>
        <v>0</v>
      </c>
      <c r="BQ357" s="399">
        <f t="shared" si="155"/>
        <v>0</v>
      </c>
      <c r="BR357" s="399">
        <f t="shared" si="156"/>
        <v>0</v>
      </c>
      <c r="BS357" s="399">
        <f t="shared" si="157"/>
        <v>0</v>
      </c>
      <c r="BT357" s="399">
        <f t="shared" si="158"/>
        <v>0</v>
      </c>
      <c r="BU357" s="399">
        <f t="shared" si="159"/>
        <v>0</v>
      </c>
      <c r="BV357" s="399">
        <f t="shared" si="160"/>
        <v>0</v>
      </c>
      <c r="BW357" s="399">
        <f t="shared" si="161"/>
        <v>0</v>
      </c>
      <c r="BX357" s="399">
        <f t="shared" si="162"/>
        <v>0</v>
      </c>
      <c r="BY357" s="399">
        <f t="shared" si="163"/>
        <v>0</v>
      </c>
      <c r="BZ357" s="399">
        <f t="shared" si="164"/>
        <v>0</v>
      </c>
      <c r="CA357" s="399">
        <f t="shared" si="165"/>
        <v>0</v>
      </c>
      <c r="CB357" s="399">
        <f t="shared" si="166"/>
        <v>0</v>
      </c>
      <c r="CC357" s="399">
        <f t="shared" si="167"/>
        <v>0</v>
      </c>
      <c r="CD357" s="399">
        <f t="shared" si="168"/>
        <v>0</v>
      </c>
      <c r="CE357" s="399">
        <f t="shared" si="169"/>
        <v>0</v>
      </c>
      <c r="CF357" s="399">
        <f t="shared" si="170"/>
        <v>0</v>
      </c>
      <c r="CG357" s="399">
        <f t="shared" si="171"/>
        <v>0</v>
      </c>
      <c r="CH357" s="399">
        <f t="shared" si="172"/>
        <v>0</v>
      </c>
      <c r="CI357" s="399">
        <f t="shared" si="173"/>
        <v>0</v>
      </c>
      <c r="CJ357" s="399">
        <f t="shared" si="174"/>
        <v>0</v>
      </c>
      <c r="CK357" s="399">
        <f t="shared" si="175"/>
        <v>0</v>
      </c>
      <c r="CL357" s="399">
        <f t="shared" si="176"/>
        <v>0</v>
      </c>
      <c r="CM357" s="399">
        <f t="shared" si="177"/>
        <v>0</v>
      </c>
      <c r="CN357" s="399">
        <f t="shared" si="178"/>
        <v>0</v>
      </c>
      <c r="CO357" s="399">
        <f t="shared" si="179"/>
        <v>0</v>
      </c>
      <c r="CP357" s="399">
        <f t="shared" si="180"/>
        <v>0</v>
      </c>
      <c r="CQ357" s="423">
        <f t="shared" si="181"/>
        <v>0</v>
      </c>
      <c r="CS357" s="394" t="e">
        <f t="shared" si="182"/>
        <v>#DIV/0!</v>
      </c>
    </row>
    <row r="358" spans="3:97">
      <c r="C358" s="107"/>
      <c r="D358" s="395"/>
      <c r="E358" s="84"/>
      <c r="F358" s="84"/>
      <c r="G358" s="389"/>
      <c r="H358" s="390"/>
      <c r="I358" s="390"/>
      <c r="J358" s="390"/>
      <c r="K358" s="390"/>
      <c r="L358" s="390"/>
      <c r="M358" s="390"/>
      <c r="N358" s="390"/>
      <c r="O358" s="390"/>
      <c r="P358" s="390"/>
      <c r="Q358" s="390"/>
      <c r="R358" s="390"/>
      <c r="S358" s="390"/>
      <c r="T358" s="390"/>
      <c r="U358" s="390"/>
      <c r="V358" s="390"/>
      <c r="W358" s="390"/>
      <c r="X358" s="390"/>
      <c r="Y358" s="390"/>
      <c r="Z358" s="390"/>
      <c r="AA358" s="390"/>
      <c r="AB358" s="390"/>
      <c r="AC358" s="390"/>
      <c r="AD358" s="390"/>
      <c r="AE358" s="390"/>
      <c r="AF358" s="390"/>
      <c r="AG358" s="390"/>
      <c r="AH358" s="390"/>
      <c r="AI358" s="391"/>
      <c r="AK358" s="437"/>
      <c r="AL358" s="437"/>
      <c r="AM358" s="437"/>
      <c r="AN358" s="437"/>
      <c r="AO358" s="437"/>
      <c r="AP358" s="437"/>
      <c r="AQ358" s="437"/>
      <c r="AR358" s="437"/>
      <c r="AS358" s="437"/>
      <c r="AT358" s="437"/>
      <c r="AU358" s="437"/>
      <c r="AV358" s="437"/>
      <c r="AW358" s="437"/>
      <c r="AX358" s="437"/>
      <c r="AY358" s="437"/>
      <c r="AZ358" s="437"/>
      <c r="BA358" s="437"/>
      <c r="BB358" s="437"/>
      <c r="BC358" s="437"/>
      <c r="BD358" s="437"/>
      <c r="BE358" s="437"/>
      <c r="BF358" s="437"/>
      <c r="BG358" s="437"/>
      <c r="BH358" s="437"/>
      <c r="BI358" s="437"/>
      <c r="BJ358" s="437"/>
      <c r="BK358" s="437"/>
      <c r="BL358" s="437"/>
      <c r="BM358" s="393"/>
      <c r="BO358" s="399">
        <f t="shared" si="153"/>
        <v>0</v>
      </c>
      <c r="BP358" s="399">
        <f t="shared" si="154"/>
        <v>0</v>
      </c>
      <c r="BQ358" s="399">
        <f t="shared" si="155"/>
        <v>0</v>
      </c>
      <c r="BR358" s="399">
        <f t="shared" si="156"/>
        <v>0</v>
      </c>
      <c r="BS358" s="399">
        <f t="shared" si="157"/>
        <v>0</v>
      </c>
      <c r="BT358" s="399">
        <f t="shared" si="158"/>
        <v>0</v>
      </c>
      <c r="BU358" s="399">
        <f t="shared" si="159"/>
        <v>0</v>
      </c>
      <c r="BV358" s="399">
        <f t="shared" si="160"/>
        <v>0</v>
      </c>
      <c r="BW358" s="399">
        <f t="shared" si="161"/>
        <v>0</v>
      </c>
      <c r="BX358" s="399">
        <f t="shared" si="162"/>
        <v>0</v>
      </c>
      <c r="BY358" s="399">
        <f t="shared" si="163"/>
        <v>0</v>
      </c>
      <c r="BZ358" s="399">
        <f t="shared" si="164"/>
        <v>0</v>
      </c>
      <c r="CA358" s="399">
        <f t="shared" si="165"/>
        <v>0</v>
      </c>
      <c r="CB358" s="399">
        <f t="shared" si="166"/>
        <v>0</v>
      </c>
      <c r="CC358" s="399">
        <f t="shared" si="167"/>
        <v>0</v>
      </c>
      <c r="CD358" s="399">
        <f t="shared" si="168"/>
        <v>0</v>
      </c>
      <c r="CE358" s="399">
        <f t="shared" si="169"/>
        <v>0</v>
      </c>
      <c r="CF358" s="399">
        <f t="shared" si="170"/>
        <v>0</v>
      </c>
      <c r="CG358" s="399">
        <f t="shared" si="171"/>
        <v>0</v>
      </c>
      <c r="CH358" s="399">
        <f t="shared" si="172"/>
        <v>0</v>
      </c>
      <c r="CI358" s="399">
        <f t="shared" si="173"/>
        <v>0</v>
      </c>
      <c r="CJ358" s="399">
        <f t="shared" si="174"/>
        <v>0</v>
      </c>
      <c r="CK358" s="399">
        <f t="shared" si="175"/>
        <v>0</v>
      </c>
      <c r="CL358" s="399">
        <f t="shared" si="176"/>
        <v>0</v>
      </c>
      <c r="CM358" s="399">
        <f t="shared" si="177"/>
        <v>0</v>
      </c>
      <c r="CN358" s="399">
        <f t="shared" si="178"/>
        <v>0</v>
      </c>
      <c r="CO358" s="399">
        <f t="shared" si="179"/>
        <v>0</v>
      </c>
      <c r="CP358" s="399">
        <f t="shared" si="180"/>
        <v>0</v>
      </c>
      <c r="CQ358" s="423">
        <f t="shared" si="181"/>
        <v>0</v>
      </c>
      <c r="CS358" s="394" t="e">
        <f t="shared" si="182"/>
        <v>#DIV/0!</v>
      </c>
    </row>
    <row r="359" spans="3:97">
      <c r="C359" s="107"/>
      <c r="D359" s="395"/>
      <c r="E359" s="84"/>
      <c r="F359" s="84"/>
      <c r="G359" s="389"/>
      <c r="H359" s="390"/>
      <c r="I359" s="390"/>
      <c r="J359" s="390"/>
      <c r="K359" s="390"/>
      <c r="L359" s="390"/>
      <c r="M359" s="390"/>
      <c r="N359" s="390"/>
      <c r="O359" s="390"/>
      <c r="P359" s="390"/>
      <c r="Q359" s="390"/>
      <c r="R359" s="390"/>
      <c r="S359" s="390"/>
      <c r="T359" s="390"/>
      <c r="U359" s="390"/>
      <c r="V359" s="390"/>
      <c r="W359" s="390"/>
      <c r="X359" s="390"/>
      <c r="Y359" s="390"/>
      <c r="Z359" s="390"/>
      <c r="AA359" s="390"/>
      <c r="AB359" s="390"/>
      <c r="AC359" s="390"/>
      <c r="AD359" s="390"/>
      <c r="AE359" s="390"/>
      <c r="AF359" s="390"/>
      <c r="AG359" s="390"/>
      <c r="AH359" s="390"/>
      <c r="AI359" s="391"/>
      <c r="AK359" s="437"/>
      <c r="AL359" s="437"/>
      <c r="AM359" s="437"/>
      <c r="AN359" s="437"/>
      <c r="AO359" s="437"/>
      <c r="AP359" s="437"/>
      <c r="AQ359" s="437"/>
      <c r="AR359" s="437"/>
      <c r="AS359" s="437"/>
      <c r="AT359" s="437"/>
      <c r="AU359" s="437"/>
      <c r="AV359" s="437"/>
      <c r="AW359" s="437"/>
      <c r="AX359" s="437"/>
      <c r="AY359" s="437"/>
      <c r="AZ359" s="437"/>
      <c r="BA359" s="437"/>
      <c r="BB359" s="437"/>
      <c r="BC359" s="437"/>
      <c r="BD359" s="437"/>
      <c r="BE359" s="437"/>
      <c r="BF359" s="437"/>
      <c r="BG359" s="437"/>
      <c r="BH359" s="437"/>
      <c r="BI359" s="437"/>
      <c r="BJ359" s="437"/>
      <c r="BK359" s="437"/>
      <c r="BL359" s="437"/>
      <c r="BM359" s="393"/>
      <c r="BO359" s="399">
        <f t="shared" si="153"/>
        <v>0</v>
      </c>
      <c r="BP359" s="399">
        <f t="shared" si="154"/>
        <v>0</v>
      </c>
      <c r="BQ359" s="399">
        <f t="shared" si="155"/>
        <v>0</v>
      </c>
      <c r="BR359" s="399">
        <f t="shared" si="156"/>
        <v>0</v>
      </c>
      <c r="BS359" s="399">
        <f t="shared" si="157"/>
        <v>0</v>
      </c>
      <c r="BT359" s="399">
        <f t="shared" si="158"/>
        <v>0</v>
      </c>
      <c r="BU359" s="399">
        <f t="shared" si="159"/>
        <v>0</v>
      </c>
      <c r="BV359" s="399">
        <f t="shared" si="160"/>
        <v>0</v>
      </c>
      <c r="BW359" s="399">
        <f t="shared" si="161"/>
        <v>0</v>
      </c>
      <c r="BX359" s="399">
        <f t="shared" si="162"/>
        <v>0</v>
      </c>
      <c r="BY359" s="399">
        <f t="shared" si="163"/>
        <v>0</v>
      </c>
      <c r="BZ359" s="399">
        <f t="shared" si="164"/>
        <v>0</v>
      </c>
      <c r="CA359" s="399">
        <f t="shared" si="165"/>
        <v>0</v>
      </c>
      <c r="CB359" s="399">
        <f t="shared" si="166"/>
        <v>0</v>
      </c>
      <c r="CC359" s="399">
        <f t="shared" si="167"/>
        <v>0</v>
      </c>
      <c r="CD359" s="399">
        <f t="shared" si="168"/>
        <v>0</v>
      </c>
      <c r="CE359" s="399">
        <f t="shared" si="169"/>
        <v>0</v>
      </c>
      <c r="CF359" s="399">
        <f t="shared" si="170"/>
        <v>0</v>
      </c>
      <c r="CG359" s="399">
        <f t="shared" si="171"/>
        <v>0</v>
      </c>
      <c r="CH359" s="399">
        <f t="shared" si="172"/>
        <v>0</v>
      </c>
      <c r="CI359" s="399">
        <f t="shared" si="173"/>
        <v>0</v>
      </c>
      <c r="CJ359" s="399">
        <f t="shared" si="174"/>
        <v>0</v>
      </c>
      <c r="CK359" s="399">
        <f t="shared" si="175"/>
        <v>0</v>
      </c>
      <c r="CL359" s="399">
        <f t="shared" si="176"/>
        <v>0</v>
      </c>
      <c r="CM359" s="399">
        <f t="shared" si="177"/>
        <v>0</v>
      </c>
      <c r="CN359" s="399">
        <f t="shared" si="178"/>
        <v>0</v>
      </c>
      <c r="CO359" s="399">
        <f t="shared" si="179"/>
        <v>0</v>
      </c>
      <c r="CP359" s="399">
        <f t="shared" si="180"/>
        <v>0</v>
      </c>
      <c r="CQ359" s="423">
        <f t="shared" si="181"/>
        <v>0</v>
      </c>
      <c r="CS359" s="394" t="e">
        <f t="shared" si="182"/>
        <v>#DIV/0!</v>
      </c>
    </row>
    <row r="360" spans="3:97">
      <c r="C360" s="107"/>
      <c r="D360" s="395"/>
      <c r="E360" s="84"/>
      <c r="F360" s="84"/>
      <c r="G360" s="389"/>
      <c r="H360" s="390"/>
      <c r="I360" s="390"/>
      <c r="J360" s="390"/>
      <c r="K360" s="390"/>
      <c r="L360" s="390"/>
      <c r="M360" s="390"/>
      <c r="N360" s="390"/>
      <c r="O360" s="390"/>
      <c r="P360" s="390"/>
      <c r="Q360" s="390"/>
      <c r="R360" s="390"/>
      <c r="S360" s="390"/>
      <c r="T360" s="390"/>
      <c r="U360" s="390"/>
      <c r="V360" s="390"/>
      <c r="W360" s="390"/>
      <c r="X360" s="390"/>
      <c r="Y360" s="390"/>
      <c r="Z360" s="390"/>
      <c r="AA360" s="390"/>
      <c r="AB360" s="390"/>
      <c r="AC360" s="390"/>
      <c r="AD360" s="390"/>
      <c r="AE360" s="390"/>
      <c r="AF360" s="390"/>
      <c r="AG360" s="390"/>
      <c r="AH360" s="390"/>
      <c r="AI360" s="391"/>
      <c r="AK360" s="437"/>
      <c r="AL360" s="437"/>
      <c r="AM360" s="437"/>
      <c r="AN360" s="437"/>
      <c r="AO360" s="437"/>
      <c r="AP360" s="437"/>
      <c r="AQ360" s="437"/>
      <c r="AR360" s="437"/>
      <c r="AS360" s="437"/>
      <c r="AT360" s="437"/>
      <c r="AU360" s="437"/>
      <c r="AV360" s="437"/>
      <c r="AW360" s="437"/>
      <c r="AX360" s="437"/>
      <c r="AY360" s="437"/>
      <c r="AZ360" s="437"/>
      <c r="BA360" s="437"/>
      <c r="BB360" s="437"/>
      <c r="BC360" s="437"/>
      <c r="BD360" s="437"/>
      <c r="BE360" s="437"/>
      <c r="BF360" s="437"/>
      <c r="BG360" s="437"/>
      <c r="BH360" s="437"/>
      <c r="BI360" s="437"/>
      <c r="BJ360" s="437"/>
      <c r="BK360" s="437"/>
      <c r="BL360" s="437"/>
      <c r="BM360" s="393"/>
      <c r="BO360" s="399">
        <f t="shared" si="153"/>
        <v>0</v>
      </c>
      <c r="BP360" s="399">
        <f t="shared" si="154"/>
        <v>0</v>
      </c>
      <c r="BQ360" s="399">
        <f t="shared" si="155"/>
        <v>0</v>
      </c>
      <c r="BR360" s="399">
        <f t="shared" si="156"/>
        <v>0</v>
      </c>
      <c r="BS360" s="399">
        <f t="shared" si="157"/>
        <v>0</v>
      </c>
      <c r="BT360" s="399">
        <f t="shared" si="158"/>
        <v>0</v>
      </c>
      <c r="BU360" s="399">
        <f t="shared" si="159"/>
        <v>0</v>
      </c>
      <c r="BV360" s="399">
        <f t="shared" si="160"/>
        <v>0</v>
      </c>
      <c r="BW360" s="399">
        <f t="shared" si="161"/>
        <v>0</v>
      </c>
      <c r="BX360" s="399">
        <f t="shared" si="162"/>
        <v>0</v>
      </c>
      <c r="BY360" s="399">
        <f t="shared" si="163"/>
        <v>0</v>
      </c>
      <c r="BZ360" s="399">
        <f t="shared" si="164"/>
        <v>0</v>
      </c>
      <c r="CA360" s="399">
        <f t="shared" si="165"/>
        <v>0</v>
      </c>
      <c r="CB360" s="399">
        <f t="shared" si="166"/>
        <v>0</v>
      </c>
      <c r="CC360" s="399">
        <f t="shared" si="167"/>
        <v>0</v>
      </c>
      <c r="CD360" s="399">
        <f t="shared" si="168"/>
        <v>0</v>
      </c>
      <c r="CE360" s="399">
        <f t="shared" si="169"/>
        <v>0</v>
      </c>
      <c r="CF360" s="399">
        <f t="shared" si="170"/>
        <v>0</v>
      </c>
      <c r="CG360" s="399">
        <f t="shared" si="171"/>
        <v>0</v>
      </c>
      <c r="CH360" s="399">
        <f t="shared" si="172"/>
        <v>0</v>
      </c>
      <c r="CI360" s="399">
        <f t="shared" si="173"/>
        <v>0</v>
      </c>
      <c r="CJ360" s="399">
        <f t="shared" si="174"/>
        <v>0</v>
      </c>
      <c r="CK360" s="399">
        <f t="shared" si="175"/>
        <v>0</v>
      </c>
      <c r="CL360" s="399">
        <f t="shared" si="176"/>
        <v>0</v>
      </c>
      <c r="CM360" s="399">
        <f t="shared" si="177"/>
        <v>0</v>
      </c>
      <c r="CN360" s="399">
        <f t="shared" si="178"/>
        <v>0</v>
      </c>
      <c r="CO360" s="399">
        <f t="shared" si="179"/>
        <v>0</v>
      </c>
      <c r="CP360" s="399">
        <f t="shared" si="180"/>
        <v>0</v>
      </c>
      <c r="CQ360" s="423">
        <f t="shared" si="181"/>
        <v>0</v>
      </c>
      <c r="CS360" s="394" t="e">
        <f t="shared" si="182"/>
        <v>#DIV/0!</v>
      </c>
    </row>
    <row r="361" spans="3:97">
      <c r="C361" s="107"/>
      <c r="D361" s="395"/>
      <c r="E361" s="84"/>
      <c r="F361" s="84"/>
      <c r="G361" s="389"/>
      <c r="H361" s="390"/>
      <c r="I361" s="390"/>
      <c r="J361" s="390"/>
      <c r="K361" s="390"/>
      <c r="L361" s="390"/>
      <c r="M361" s="390"/>
      <c r="N361" s="390"/>
      <c r="O361" s="390"/>
      <c r="P361" s="390"/>
      <c r="Q361" s="390"/>
      <c r="R361" s="390"/>
      <c r="S361" s="390"/>
      <c r="T361" s="390"/>
      <c r="U361" s="390"/>
      <c r="V361" s="390"/>
      <c r="W361" s="390"/>
      <c r="X361" s="390"/>
      <c r="Y361" s="390"/>
      <c r="Z361" s="390"/>
      <c r="AA361" s="390"/>
      <c r="AB361" s="390"/>
      <c r="AC361" s="390"/>
      <c r="AD361" s="390"/>
      <c r="AE361" s="390"/>
      <c r="AF361" s="390"/>
      <c r="AG361" s="390"/>
      <c r="AH361" s="390"/>
      <c r="AI361" s="391"/>
      <c r="AK361" s="437"/>
      <c r="AL361" s="437"/>
      <c r="AM361" s="437"/>
      <c r="AN361" s="437"/>
      <c r="AO361" s="437"/>
      <c r="AP361" s="437"/>
      <c r="AQ361" s="437"/>
      <c r="AR361" s="437"/>
      <c r="AS361" s="437"/>
      <c r="AT361" s="437"/>
      <c r="AU361" s="437"/>
      <c r="AV361" s="437"/>
      <c r="AW361" s="437"/>
      <c r="AX361" s="437"/>
      <c r="AY361" s="437"/>
      <c r="AZ361" s="437"/>
      <c r="BA361" s="437"/>
      <c r="BB361" s="437"/>
      <c r="BC361" s="437"/>
      <c r="BD361" s="437"/>
      <c r="BE361" s="437"/>
      <c r="BF361" s="437"/>
      <c r="BG361" s="437"/>
      <c r="BH361" s="437"/>
      <c r="BI361" s="437"/>
      <c r="BJ361" s="437"/>
      <c r="BK361" s="437"/>
      <c r="BL361" s="437"/>
      <c r="BM361" s="393"/>
      <c r="BO361" s="399">
        <f t="shared" si="153"/>
        <v>0</v>
      </c>
      <c r="BP361" s="399">
        <f t="shared" si="154"/>
        <v>0</v>
      </c>
      <c r="BQ361" s="399">
        <f t="shared" si="155"/>
        <v>0</v>
      </c>
      <c r="BR361" s="399">
        <f t="shared" si="156"/>
        <v>0</v>
      </c>
      <c r="BS361" s="399">
        <f t="shared" si="157"/>
        <v>0</v>
      </c>
      <c r="BT361" s="399">
        <f t="shared" si="158"/>
        <v>0</v>
      </c>
      <c r="BU361" s="399">
        <f t="shared" si="159"/>
        <v>0</v>
      </c>
      <c r="BV361" s="399">
        <f t="shared" si="160"/>
        <v>0</v>
      </c>
      <c r="BW361" s="399">
        <f t="shared" si="161"/>
        <v>0</v>
      </c>
      <c r="BX361" s="399">
        <f t="shared" si="162"/>
        <v>0</v>
      </c>
      <c r="BY361" s="399">
        <f t="shared" si="163"/>
        <v>0</v>
      </c>
      <c r="BZ361" s="399">
        <f t="shared" si="164"/>
        <v>0</v>
      </c>
      <c r="CA361" s="399">
        <f t="shared" si="165"/>
        <v>0</v>
      </c>
      <c r="CB361" s="399">
        <f t="shared" si="166"/>
        <v>0</v>
      </c>
      <c r="CC361" s="399">
        <f t="shared" si="167"/>
        <v>0</v>
      </c>
      <c r="CD361" s="399">
        <f t="shared" si="168"/>
        <v>0</v>
      </c>
      <c r="CE361" s="399">
        <f t="shared" si="169"/>
        <v>0</v>
      </c>
      <c r="CF361" s="399">
        <f t="shared" si="170"/>
        <v>0</v>
      </c>
      <c r="CG361" s="399">
        <f t="shared" si="171"/>
        <v>0</v>
      </c>
      <c r="CH361" s="399">
        <f t="shared" si="172"/>
        <v>0</v>
      </c>
      <c r="CI361" s="399">
        <f t="shared" si="173"/>
        <v>0</v>
      </c>
      <c r="CJ361" s="399">
        <f t="shared" si="174"/>
        <v>0</v>
      </c>
      <c r="CK361" s="399">
        <f t="shared" si="175"/>
        <v>0</v>
      </c>
      <c r="CL361" s="399">
        <f t="shared" si="176"/>
        <v>0</v>
      </c>
      <c r="CM361" s="399">
        <f t="shared" si="177"/>
        <v>0</v>
      </c>
      <c r="CN361" s="399">
        <f t="shared" si="178"/>
        <v>0</v>
      </c>
      <c r="CO361" s="399">
        <f t="shared" si="179"/>
        <v>0</v>
      </c>
      <c r="CP361" s="399">
        <f t="shared" si="180"/>
        <v>0</v>
      </c>
      <c r="CQ361" s="423">
        <f t="shared" si="181"/>
        <v>0</v>
      </c>
      <c r="CS361" s="394" t="e">
        <f t="shared" si="182"/>
        <v>#DIV/0!</v>
      </c>
    </row>
    <row r="362" spans="3:97">
      <c r="C362" s="107"/>
      <c r="D362" s="395"/>
      <c r="E362" s="84"/>
      <c r="F362" s="84"/>
      <c r="G362" s="389"/>
      <c r="H362" s="390"/>
      <c r="I362" s="390"/>
      <c r="J362" s="390"/>
      <c r="K362" s="390"/>
      <c r="L362" s="390"/>
      <c r="M362" s="390"/>
      <c r="N362" s="390"/>
      <c r="O362" s="390"/>
      <c r="P362" s="390"/>
      <c r="Q362" s="390"/>
      <c r="R362" s="390"/>
      <c r="S362" s="390"/>
      <c r="T362" s="390"/>
      <c r="U362" s="390"/>
      <c r="V362" s="390"/>
      <c r="W362" s="390"/>
      <c r="X362" s="390"/>
      <c r="Y362" s="390"/>
      <c r="Z362" s="390"/>
      <c r="AA362" s="390"/>
      <c r="AB362" s="390"/>
      <c r="AC362" s="390"/>
      <c r="AD362" s="390"/>
      <c r="AE362" s="390"/>
      <c r="AF362" s="390"/>
      <c r="AG362" s="390"/>
      <c r="AH362" s="390"/>
      <c r="AI362" s="391"/>
      <c r="AK362" s="437"/>
      <c r="AL362" s="437"/>
      <c r="AM362" s="437"/>
      <c r="AN362" s="437"/>
      <c r="AO362" s="437"/>
      <c r="AP362" s="437"/>
      <c r="AQ362" s="437"/>
      <c r="AR362" s="437"/>
      <c r="AS362" s="437"/>
      <c r="AT362" s="437"/>
      <c r="AU362" s="437"/>
      <c r="AV362" s="437"/>
      <c r="AW362" s="437"/>
      <c r="AX362" s="437"/>
      <c r="AY362" s="437"/>
      <c r="AZ362" s="437"/>
      <c r="BA362" s="437"/>
      <c r="BB362" s="437"/>
      <c r="BC362" s="437"/>
      <c r="BD362" s="437"/>
      <c r="BE362" s="437"/>
      <c r="BF362" s="437"/>
      <c r="BG362" s="437"/>
      <c r="BH362" s="437"/>
      <c r="BI362" s="437"/>
      <c r="BJ362" s="437"/>
      <c r="BK362" s="437"/>
      <c r="BL362" s="437"/>
      <c r="BM362" s="393"/>
      <c r="BO362" s="399">
        <f t="shared" si="153"/>
        <v>0</v>
      </c>
      <c r="BP362" s="399">
        <f t="shared" si="154"/>
        <v>0</v>
      </c>
      <c r="BQ362" s="399">
        <f t="shared" si="155"/>
        <v>0</v>
      </c>
      <c r="BR362" s="399">
        <f t="shared" si="156"/>
        <v>0</v>
      </c>
      <c r="BS362" s="399">
        <f t="shared" si="157"/>
        <v>0</v>
      </c>
      <c r="BT362" s="399">
        <f t="shared" si="158"/>
        <v>0</v>
      </c>
      <c r="BU362" s="399">
        <f t="shared" si="159"/>
        <v>0</v>
      </c>
      <c r="BV362" s="399">
        <f t="shared" si="160"/>
        <v>0</v>
      </c>
      <c r="BW362" s="399">
        <f t="shared" si="161"/>
        <v>0</v>
      </c>
      <c r="BX362" s="399">
        <f t="shared" si="162"/>
        <v>0</v>
      </c>
      <c r="BY362" s="399">
        <f t="shared" si="163"/>
        <v>0</v>
      </c>
      <c r="BZ362" s="399">
        <f t="shared" si="164"/>
        <v>0</v>
      </c>
      <c r="CA362" s="399">
        <f t="shared" si="165"/>
        <v>0</v>
      </c>
      <c r="CB362" s="399">
        <f t="shared" si="166"/>
        <v>0</v>
      </c>
      <c r="CC362" s="399">
        <f t="shared" si="167"/>
        <v>0</v>
      </c>
      <c r="CD362" s="399">
        <f t="shared" si="168"/>
        <v>0</v>
      </c>
      <c r="CE362" s="399">
        <f t="shared" si="169"/>
        <v>0</v>
      </c>
      <c r="CF362" s="399">
        <f t="shared" si="170"/>
        <v>0</v>
      </c>
      <c r="CG362" s="399">
        <f t="shared" si="171"/>
        <v>0</v>
      </c>
      <c r="CH362" s="399">
        <f t="shared" si="172"/>
        <v>0</v>
      </c>
      <c r="CI362" s="399">
        <f t="shared" si="173"/>
        <v>0</v>
      </c>
      <c r="CJ362" s="399">
        <f t="shared" si="174"/>
        <v>0</v>
      </c>
      <c r="CK362" s="399">
        <f t="shared" si="175"/>
        <v>0</v>
      </c>
      <c r="CL362" s="399">
        <f t="shared" si="176"/>
        <v>0</v>
      </c>
      <c r="CM362" s="399">
        <f t="shared" si="177"/>
        <v>0</v>
      </c>
      <c r="CN362" s="399">
        <f t="shared" si="178"/>
        <v>0</v>
      </c>
      <c r="CO362" s="399">
        <f t="shared" si="179"/>
        <v>0</v>
      </c>
      <c r="CP362" s="399">
        <f t="shared" si="180"/>
        <v>0</v>
      </c>
      <c r="CQ362" s="423">
        <f t="shared" si="181"/>
        <v>0</v>
      </c>
      <c r="CS362" s="394" t="e">
        <f t="shared" si="182"/>
        <v>#DIV/0!</v>
      </c>
    </row>
    <row r="363" spans="3:97">
      <c r="C363" s="107"/>
      <c r="D363" s="395"/>
      <c r="E363" s="84"/>
      <c r="F363" s="84"/>
      <c r="G363" s="389"/>
      <c r="H363" s="390"/>
      <c r="I363" s="390"/>
      <c r="J363" s="390"/>
      <c r="K363" s="390"/>
      <c r="L363" s="390"/>
      <c r="M363" s="390"/>
      <c r="N363" s="390"/>
      <c r="O363" s="390"/>
      <c r="P363" s="390"/>
      <c r="Q363" s="390"/>
      <c r="R363" s="390"/>
      <c r="S363" s="390"/>
      <c r="T363" s="390"/>
      <c r="U363" s="390"/>
      <c r="V363" s="390"/>
      <c r="W363" s="390"/>
      <c r="X363" s="390"/>
      <c r="Y363" s="390"/>
      <c r="Z363" s="390"/>
      <c r="AA363" s="390"/>
      <c r="AB363" s="390"/>
      <c r="AC363" s="390"/>
      <c r="AD363" s="390"/>
      <c r="AE363" s="390"/>
      <c r="AF363" s="390"/>
      <c r="AG363" s="390"/>
      <c r="AH363" s="390"/>
      <c r="AI363" s="391"/>
      <c r="AK363" s="437"/>
      <c r="AL363" s="437"/>
      <c r="AM363" s="437"/>
      <c r="AN363" s="437"/>
      <c r="AO363" s="437"/>
      <c r="AP363" s="437"/>
      <c r="AQ363" s="437"/>
      <c r="AR363" s="437"/>
      <c r="AS363" s="437"/>
      <c r="AT363" s="437"/>
      <c r="AU363" s="437"/>
      <c r="AV363" s="437"/>
      <c r="AW363" s="437"/>
      <c r="AX363" s="437"/>
      <c r="AY363" s="437"/>
      <c r="AZ363" s="437"/>
      <c r="BA363" s="437"/>
      <c r="BB363" s="437"/>
      <c r="BC363" s="437"/>
      <c r="BD363" s="437"/>
      <c r="BE363" s="437"/>
      <c r="BF363" s="437"/>
      <c r="BG363" s="437"/>
      <c r="BH363" s="437"/>
      <c r="BI363" s="437"/>
      <c r="BJ363" s="437"/>
      <c r="BK363" s="437"/>
      <c r="BL363" s="437"/>
      <c r="BM363" s="393"/>
      <c r="BO363" s="399">
        <f t="shared" si="153"/>
        <v>0</v>
      </c>
      <c r="BP363" s="399">
        <f t="shared" si="154"/>
        <v>0</v>
      </c>
      <c r="BQ363" s="399">
        <f t="shared" si="155"/>
        <v>0</v>
      </c>
      <c r="BR363" s="399">
        <f t="shared" si="156"/>
        <v>0</v>
      </c>
      <c r="BS363" s="399">
        <f t="shared" si="157"/>
        <v>0</v>
      </c>
      <c r="BT363" s="399">
        <f t="shared" si="158"/>
        <v>0</v>
      </c>
      <c r="BU363" s="399">
        <f t="shared" si="159"/>
        <v>0</v>
      </c>
      <c r="BV363" s="399">
        <f t="shared" si="160"/>
        <v>0</v>
      </c>
      <c r="BW363" s="399">
        <f t="shared" si="161"/>
        <v>0</v>
      </c>
      <c r="BX363" s="399">
        <f t="shared" si="162"/>
        <v>0</v>
      </c>
      <c r="BY363" s="399">
        <f t="shared" si="163"/>
        <v>0</v>
      </c>
      <c r="BZ363" s="399">
        <f t="shared" si="164"/>
        <v>0</v>
      </c>
      <c r="CA363" s="399">
        <f t="shared" si="165"/>
        <v>0</v>
      </c>
      <c r="CB363" s="399">
        <f t="shared" si="166"/>
        <v>0</v>
      </c>
      <c r="CC363" s="399">
        <f t="shared" si="167"/>
        <v>0</v>
      </c>
      <c r="CD363" s="399">
        <f t="shared" si="168"/>
        <v>0</v>
      </c>
      <c r="CE363" s="399">
        <f t="shared" si="169"/>
        <v>0</v>
      </c>
      <c r="CF363" s="399">
        <f t="shared" si="170"/>
        <v>0</v>
      </c>
      <c r="CG363" s="399">
        <f t="shared" si="171"/>
        <v>0</v>
      </c>
      <c r="CH363" s="399">
        <f t="shared" si="172"/>
        <v>0</v>
      </c>
      <c r="CI363" s="399">
        <f t="shared" si="173"/>
        <v>0</v>
      </c>
      <c r="CJ363" s="399">
        <f t="shared" si="174"/>
        <v>0</v>
      </c>
      <c r="CK363" s="399">
        <f t="shared" si="175"/>
        <v>0</v>
      </c>
      <c r="CL363" s="399">
        <f t="shared" si="176"/>
        <v>0</v>
      </c>
      <c r="CM363" s="399">
        <f t="shared" si="177"/>
        <v>0</v>
      </c>
      <c r="CN363" s="399">
        <f t="shared" si="178"/>
        <v>0</v>
      </c>
      <c r="CO363" s="399">
        <f t="shared" si="179"/>
        <v>0</v>
      </c>
      <c r="CP363" s="399">
        <f t="shared" si="180"/>
        <v>0</v>
      </c>
      <c r="CQ363" s="423">
        <f t="shared" si="181"/>
        <v>0</v>
      </c>
      <c r="CS363" s="394" t="e">
        <f t="shared" si="182"/>
        <v>#DIV/0!</v>
      </c>
    </row>
    <row r="364" spans="3:97">
      <c r="C364" s="107"/>
      <c r="D364" s="395"/>
      <c r="E364" s="84"/>
      <c r="F364" s="84"/>
      <c r="G364" s="389"/>
      <c r="H364" s="390"/>
      <c r="I364" s="390"/>
      <c r="J364" s="390"/>
      <c r="K364" s="390"/>
      <c r="L364" s="390"/>
      <c r="M364" s="390"/>
      <c r="N364" s="390"/>
      <c r="O364" s="390"/>
      <c r="P364" s="390"/>
      <c r="Q364" s="390"/>
      <c r="R364" s="390"/>
      <c r="S364" s="390"/>
      <c r="T364" s="390"/>
      <c r="U364" s="390"/>
      <c r="V364" s="390"/>
      <c r="W364" s="390"/>
      <c r="X364" s="390"/>
      <c r="Y364" s="390"/>
      <c r="Z364" s="390"/>
      <c r="AA364" s="390"/>
      <c r="AB364" s="390"/>
      <c r="AC364" s="390"/>
      <c r="AD364" s="390"/>
      <c r="AE364" s="390"/>
      <c r="AF364" s="390"/>
      <c r="AG364" s="390"/>
      <c r="AH364" s="390"/>
      <c r="AI364" s="391"/>
      <c r="AK364" s="437"/>
      <c r="AL364" s="437"/>
      <c r="AM364" s="437"/>
      <c r="AN364" s="437"/>
      <c r="AO364" s="437"/>
      <c r="AP364" s="437"/>
      <c r="AQ364" s="437"/>
      <c r="AR364" s="437"/>
      <c r="AS364" s="437"/>
      <c r="AT364" s="437"/>
      <c r="AU364" s="437"/>
      <c r="AV364" s="437"/>
      <c r="AW364" s="437"/>
      <c r="AX364" s="437"/>
      <c r="AY364" s="437"/>
      <c r="AZ364" s="437"/>
      <c r="BA364" s="437"/>
      <c r="BB364" s="437"/>
      <c r="BC364" s="437"/>
      <c r="BD364" s="437"/>
      <c r="BE364" s="437"/>
      <c r="BF364" s="437"/>
      <c r="BG364" s="437"/>
      <c r="BH364" s="437"/>
      <c r="BI364" s="437"/>
      <c r="BJ364" s="437"/>
      <c r="BK364" s="437"/>
      <c r="BL364" s="437"/>
      <c r="BM364" s="393"/>
      <c r="BO364" s="399">
        <f t="shared" si="153"/>
        <v>0</v>
      </c>
      <c r="BP364" s="399">
        <f t="shared" si="154"/>
        <v>0</v>
      </c>
      <c r="BQ364" s="399">
        <f t="shared" si="155"/>
        <v>0</v>
      </c>
      <c r="BR364" s="399">
        <f t="shared" si="156"/>
        <v>0</v>
      </c>
      <c r="BS364" s="399">
        <f t="shared" si="157"/>
        <v>0</v>
      </c>
      <c r="BT364" s="399">
        <f t="shared" si="158"/>
        <v>0</v>
      </c>
      <c r="BU364" s="399">
        <f t="shared" si="159"/>
        <v>0</v>
      </c>
      <c r="BV364" s="399">
        <f t="shared" si="160"/>
        <v>0</v>
      </c>
      <c r="BW364" s="399">
        <f t="shared" si="161"/>
        <v>0</v>
      </c>
      <c r="BX364" s="399">
        <f t="shared" si="162"/>
        <v>0</v>
      </c>
      <c r="BY364" s="399">
        <f t="shared" si="163"/>
        <v>0</v>
      </c>
      <c r="BZ364" s="399">
        <f t="shared" si="164"/>
        <v>0</v>
      </c>
      <c r="CA364" s="399">
        <f t="shared" si="165"/>
        <v>0</v>
      </c>
      <c r="CB364" s="399">
        <f t="shared" si="166"/>
        <v>0</v>
      </c>
      <c r="CC364" s="399">
        <f t="shared" si="167"/>
        <v>0</v>
      </c>
      <c r="CD364" s="399">
        <f t="shared" si="168"/>
        <v>0</v>
      </c>
      <c r="CE364" s="399">
        <f t="shared" si="169"/>
        <v>0</v>
      </c>
      <c r="CF364" s="399">
        <f t="shared" si="170"/>
        <v>0</v>
      </c>
      <c r="CG364" s="399">
        <f t="shared" si="171"/>
        <v>0</v>
      </c>
      <c r="CH364" s="399">
        <f t="shared" si="172"/>
        <v>0</v>
      </c>
      <c r="CI364" s="399">
        <f t="shared" si="173"/>
        <v>0</v>
      </c>
      <c r="CJ364" s="399">
        <f t="shared" si="174"/>
        <v>0</v>
      </c>
      <c r="CK364" s="399">
        <f t="shared" si="175"/>
        <v>0</v>
      </c>
      <c r="CL364" s="399">
        <f t="shared" si="176"/>
        <v>0</v>
      </c>
      <c r="CM364" s="399">
        <f t="shared" si="177"/>
        <v>0</v>
      </c>
      <c r="CN364" s="399">
        <f t="shared" si="178"/>
        <v>0</v>
      </c>
      <c r="CO364" s="399">
        <f t="shared" si="179"/>
        <v>0</v>
      </c>
      <c r="CP364" s="399">
        <f t="shared" si="180"/>
        <v>0</v>
      </c>
      <c r="CQ364" s="423">
        <f t="shared" si="181"/>
        <v>0</v>
      </c>
      <c r="CS364" s="394" t="e">
        <f t="shared" si="182"/>
        <v>#DIV/0!</v>
      </c>
    </row>
    <row r="365" spans="3:97">
      <c r="C365" s="107"/>
      <c r="D365" s="395"/>
      <c r="E365" s="84"/>
      <c r="F365" s="84"/>
      <c r="G365" s="389"/>
      <c r="H365" s="390"/>
      <c r="I365" s="390"/>
      <c r="J365" s="390"/>
      <c r="K365" s="390"/>
      <c r="L365" s="390"/>
      <c r="M365" s="390"/>
      <c r="N365" s="390"/>
      <c r="O365" s="390"/>
      <c r="P365" s="390"/>
      <c r="Q365" s="390"/>
      <c r="R365" s="390"/>
      <c r="S365" s="390"/>
      <c r="T365" s="390"/>
      <c r="U365" s="390"/>
      <c r="V365" s="390"/>
      <c r="W365" s="390"/>
      <c r="X365" s="390"/>
      <c r="Y365" s="390"/>
      <c r="Z365" s="390"/>
      <c r="AA365" s="390"/>
      <c r="AB365" s="390"/>
      <c r="AC365" s="390"/>
      <c r="AD365" s="390"/>
      <c r="AE365" s="390"/>
      <c r="AF365" s="390"/>
      <c r="AG365" s="390"/>
      <c r="AH365" s="390"/>
      <c r="AI365" s="391"/>
      <c r="AK365" s="437"/>
      <c r="AL365" s="437"/>
      <c r="AM365" s="437"/>
      <c r="AN365" s="437"/>
      <c r="AO365" s="437"/>
      <c r="AP365" s="437"/>
      <c r="AQ365" s="437"/>
      <c r="AR365" s="437"/>
      <c r="AS365" s="437"/>
      <c r="AT365" s="437"/>
      <c r="AU365" s="437"/>
      <c r="AV365" s="437"/>
      <c r="AW365" s="437"/>
      <c r="AX365" s="437"/>
      <c r="AY365" s="437"/>
      <c r="AZ365" s="437"/>
      <c r="BA365" s="437"/>
      <c r="BB365" s="437"/>
      <c r="BC365" s="437"/>
      <c r="BD365" s="437"/>
      <c r="BE365" s="437"/>
      <c r="BF365" s="437"/>
      <c r="BG365" s="437"/>
      <c r="BH365" s="437"/>
      <c r="BI365" s="437"/>
      <c r="BJ365" s="437"/>
      <c r="BK365" s="437"/>
      <c r="BL365" s="437"/>
      <c r="BM365" s="393"/>
      <c r="BO365" s="399">
        <f t="shared" si="153"/>
        <v>0</v>
      </c>
      <c r="BP365" s="399">
        <f t="shared" si="154"/>
        <v>0</v>
      </c>
      <c r="BQ365" s="399">
        <f t="shared" si="155"/>
        <v>0</v>
      </c>
      <c r="BR365" s="399">
        <f t="shared" si="156"/>
        <v>0</v>
      </c>
      <c r="BS365" s="399">
        <f t="shared" si="157"/>
        <v>0</v>
      </c>
      <c r="BT365" s="399">
        <f t="shared" si="158"/>
        <v>0</v>
      </c>
      <c r="BU365" s="399">
        <f t="shared" si="159"/>
        <v>0</v>
      </c>
      <c r="BV365" s="399">
        <f t="shared" si="160"/>
        <v>0</v>
      </c>
      <c r="BW365" s="399">
        <f t="shared" si="161"/>
        <v>0</v>
      </c>
      <c r="BX365" s="399">
        <f t="shared" si="162"/>
        <v>0</v>
      </c>
      <c r="BY365" s="399">
        <f t="shared" si="163"/>
        <v>0</v>
      </c>
      <c r="BZ365" s="399">
        <f t="shared" si="164"/>
        <v>0</v>
      </c>
      <c r="CA365" s="399">
        <f t="shared" si="165"/>
        <v>0</v>
      </c>
      <c r="CB365" s="399">
        <f t="shared" si="166"/>
        <v>0</v>
      </c>
      <c r="CC365" s="399">
        <f t="shared" si="167"/>
        <v>0</v>
      </c>
      <c r="CD365" s="399">
        <f t="shared" si="168"/>
        <v>0</v>
      </c>
      <c r="CE365" s="399">
        <f t="shared" si="169"/>
        <v>0</v>
      </c>
      <c r="CF365" s="399">
        <f t="shared" si="170"/>
        <v>0</v>
      </c>
      <c r="CG365" s="399">
        <f t="shared" si="171"/>
        <v>0</v>
      </c>
      <c r="CH365" s="399">
        <f t="shared" si="172"/>
        <v>0</v>
      </c>
      <c r="CI365" s="399">
        <f t="shared" si="173"/>
        <v>0</v>
      </c>
      <c r="CJ365" s="399">
        <f t="shared" si="174"/>
        <v>0</v>
      </c>
      <c r="CK365" s="399">
        <f t="shared" si="175"/>
        <v>0</v>
      </c>
      <c r="CL365" s="399">
        <f t="shared" si="176"/>
        <v>0</v>
      </c>
      <c r="CM365" s="399">
        <f t="shared" si="177"/>
        <v>0</v>
      </c>
      <c r="CN365" s="399">
        <f t="shared" si="178"/>
        <v>0</v>
      </c>
      <c r="CO365" s="399">
        <f t="shared" si="179"/>
        <v>0</v>
      </c>
      <c r="CP365" s="399">
        <f t="shared" si="180"/>
        <v>0</v>
      </c>
      <c r="CQ365" s="423">
        <f t="shared" si="181"/>
        <v>0</v>
      </c>
      <c r="CS365" s="394" t="e">
        <f t="shared" si="182"/>
        <v>#DIV/0!</v>
      </c>
    </row>
    <row r="366" spans="3:97">
      <c r="C366" s="107"/>
      <c r="D366" s="395"/>
      <c r="E366" s="84"/>
      <c r="F366" s="84"/>
      <c r="G366" s="389"/>
      <c r="H366" s="390"/>
      <c r="I366" s="390"/>
      <c r="J366" s="390"/>
      <c r="K366" s="390"/>
      <c r="L366" s="390"/>
      <c r="M366" s="390"/>
      <c r="N366" s="390"/>
      <c r="O366" s="390"/>
      <c r="P366" s="390"/>
      <c r="Q366" s="390"/>
      <c r="R366" s="390"/>
      <c r="S366" s="390"/>
      <c r="T366" s="390"/>
      <c r="U366" s="390"/>
      <c r="V366" s="390"/>
      <c r="W366" s="390"/>
      <c r="X366" s="390"/>
      <c r="Y366" s="390"/>
      <c r="Z366" s="390"/>
      <c r="AA366" s="390"/>
      <c r="AB366" s="390"/>
      <c r="AC366" s="390"/>
      <c r="AD366" s="390"/>
      <c r="AE366" s="390"/>
      <c r="AF366" s="390"/>
      <c r="AG366" s="390"/>
      <c r="AH366" s="390"/>
      <c r="AI366" s="391"/>
      <c r="AK366" s="437"/>
      <c r="AL366" s="437"/>
      <c r="AM366" s="437"/>
      <c r="AN366" s="437"/>
      <c r="AO366" s="437"/>
      <c r="AP366" s="437"/>
      <c r="AQ366" s="437"/>
      <c r="AR366" s="437"/>
      <c r="AS366" s="437"/>
      <c r="AT366" s="437"/>
      <c r="AU366" s="437"/>
      <c r="AV366" s="437"/>
      <c r="AW366" s="437"/>
      <c r="AX366" s="437"/>
      <c r="AY366" s="437"/>
      <c r="AZ366" s="437"/>
      <c r="BA366" s="437"/>
      <c r="BB366" s="437"/>
      <c r="BC366" s="437"/>
      <c r="BD366" s="437"/>
      <c r="BE366" s="437"/>
      <c r="BF366" s="437"/>
      <c r="BG366" s="437"/>
      <c r="BH366" s="437"/>
      <c r="BI366" s="437"/>
      <c r="BJ366" s="437"/>
      <c r="BK366" s="437"/>
      <c r="BL366" s="437"/>
      <c r="BM366" s="393"/>
      <c r="BO366" s="399">
        <f t="shared" si="153"/>
        <v>0</v>
      </c>
      <c r="BP366" s="399">
        <f t="shared" si="154"/>
        <v>0</v>
      </c>
      <c r="BQ366" s="399">
        <f t="shared" si="155"/>
        <v>0</v>
      </c>
      <c r="BR366" s="399">
        <f t="shared" si="156"/>
        <v>0</v>
      </c>
      <c r="BS366" s="399">
        <f t="shared" si="157"/>
        <v>0</v>
      </c>
      <c r="BT366" s="399">
        <f t="shared" si="158"/>
        <v>0</v>
      </c>
      <c r="BU366" s="399">
        <f t="shared" si="159"/>
        <v>0</v>
      </c>
      <c r="BV366" s="399">
        <f t="shared" si="160"/>
        <v>0</v>
      </c>
      <c r="BW366" s="399">
        <f t="shared" si="161"/>
        <v>0</v>
      </c>
      <c r="BX366" s="399">
        <f t="shared" si="162"/>
        <v>0</v>
      </c>
      <c r="BY366" s="399">
        <f t="shared" si="163"/>
        <v>0</v>
      </c>
      <c r="BZ366" s="399">
        <f t="shared" si="164"/>
        <v>0</v>
      </c>
      <c r="CA366" s="399">
        <f t="shared" si="165"/>
        <v>0</v>
      </c>
      <c r="CB366" s="399">
        <f t="shared" si="166"/>
        <v>0</v>
      </c>
      <c r="CC366" s="399">
        <f t="shared" si="167"/>
        <v>0</v>
      </c>
      <c r="CD366" s="399">
        <f t="shared" si="168"/>
        <v>0</v>
      </c>
      <c r="CE366" s="399">
        <f t="shared" si="169"/>
        <v>0</v>
      </c>
      <c r="CF366" s="399">
        <f t="shared" si="170"/>
        <v>0</v>
      </c>
      <c r="CG366" s="399">
        <f t="shared" si="171"/>
        <v>0</v>
      </c>
      <c r="CH366" s="399">
        <f t="shared" si="172"/>
        <v>0</v>
      </c>
      <c r="CI366" s="399">
        <f t="shared" si="173"/>
        <v>0</v>
      </c>
      <c r="CJ366" s="399">
        <f t="shared" si="174"/>
        <v>0</v>
      </c>
      <c r="CK366" s="399">
        <f t="shared" si="175"/>
        <v>0</v>
      </c>
      <c r="CL366" s="399">
        <f t="shared" si="176"/>
        <v>0</v>
      </c>
      <c r="CM366" s="399">
        <f t="shared" si="177"/>
        <v>0</v>
      </c>
      <c r="CN366" s="399">
        <f t="shared" si="178"/>
        <v>0</v>
      </c>
      <c r="CO366" s="399">
        <f t="shared" si="179"/>
        <v>0</v>
      </c>
      <c r="CP366" s="399">
        <f t="shared" si="180"/>
        <v>0</v>
      </c>
      <c r="CQ366" s="423">
        <f t="shared" si="181"/>
        <v>0</v>
      </c>
      <c r="CS366" s="394" t="e">
        <f t="shared" si="182"/>
        <v>#DIV/0!</v>
      </c>
    </row>
    <row r="367" spans="3:97">
      <c r="C367" s="107"/>
      <c r="D367" s="395"/>
      <c r="E367" s="84"/>
      <c r="F367" s="84"/>
      <c r="G367" s="389"/>
      <c r="H367" s="390"/>
      <c r="I367" s="390"/>
      <c r="J367" s="390"/>
      <c r="K367" s="390"/>
      <c r="L367" s="390"/>
      <c r="M367" s="390"/>
      <c r="N367" s="390"/>
      <c r="O367" s="390"/>
      <c r="P367" s="390"/>
      <c r="Q367" s="390"/>
      <c r="R367" s="390"/>
      <c r="S367" s="390"/>
      <c r="T367" s="390"/>
      <c r="U367" s="390"/>
      <c r="V367" s="390"/>
      <c r="W367" s="390"/>
      <c r="X367" s="390"/>
      <c r="Y367" s="390"/>
      <c r="Z367" s="390"/>
      <c r="AA367" s="390"/>
      <c r="AB367" s="390"/>
      <c r="AC367" s="390"/>
      <c r="AD367" s="390"/>
      <c r="AE367" s="390"/>
      <c r="AF367" s="390"/>
      <c r="AG367" s="390"/>
      <c r="AH367" s="390"/>
      <c r="AI367" s="391"/>
      <c r="AK367" s="437"/>
      <c r="AL367" s="437"/>
      <c r="AM367" s="437"/>
      <c r="AN367" s="437"/>
      <c r="AO367" s="437"/>
      <c r="AP367" s="437"/>
      <c r="AQ367" s="437"/>
      <c r="AR367" s="437"/>
      <c r="AS367" s="437"/>
      <c r="AT367" s="437"/>
      <c r="AU367" s="437"/>
      <c r="AV367" s="437"/>
      <c r="AW367" s="437"/>
      <c r="AX367" s="437"/>
      <c r="AY367" s="437"/>
      <c r="AZ367" s="437"/>
      <c r="BA367" s="437"/>
      <c r="BB367" s="437"/>
      <c r="BC367" s="437"/>
      <c r="BD367" s="437"/>
      <c r="BE367" s="437"/>
      <c r="BF367" s="437"/>
      <c r="BG367" s="437"/>
      <c r="BH367" s="437"/>
      <c r="BI367" s="437"/>
      <c r="BJ367" s="437"/>
      <c r="BK367" s="437"/>
      <c r="BL367" s="437"/>
      <c r="BM367" s="393"/>
      <c r="BO367" s="399">
        <f t="shared" si="153"/>
        <v>0</v>
      </c>
      <c r="BP367" s="399">
        <f t="shared" si="154"/>
        <v>0</v>
      </c>
      <c r="BQ367" s="399">
        <f t="shared" si="155"/>
        <v>0</v>
      </c>
      <c r="BR367" s="399">
        <f t="shared" si="156"/>
        <v>0</v>
      </c>
      <c r="BS367" s="399">
        <f t="shared" si="157"/>
        <v>0</v>
      </c>
      <c r="BT367" s="399">
        <f t="shared" si="158"/>
        <v>0</v>
      </c>
      <c r="BU367" s="399">
        <f t="shared" si="159"/>
        <v>0</v>
      </c>
      <c r="BV367" s="399">
        <f t="shared" si="160"/>
        <v>0</v>
      </c>
      <c r="BW367" s="399">
        <f t="shared" si="161"/>
        <v>0</v>
      </c>
      <c r="BX367" s="399">
        <f t="shared" si="162"/>
        <v>0</v>
      </c>
      <c r="BY367" s="399">
        <f t="shared" si="163"/>
        <v>0</v>
      </c>
      <c r="BZ367" s="399">
        <f t="shared" si="164"/>
        <v>0</v>
      </c>
      <c r="CA367" s="399">
        <f t="shared" si="165"/>
        <v>0</v>
      </c>
      <c r="CB367" s="399">
        <f t="shared" si="166"/>
        <v>0</v>
      </c>
      <c r="CC367" s="399">
        <f t="shared" si="167"/>
        <v>0</v>
      </c>
      <c r="CD367" s="399">
        <f t="shared" si="168"/>
        <v>0</v>
      </c>
      <c r="CE367" s="399">
        <f t="shared" si="169"/>
        <v>0</v>
      </c>
      <c r="CF367" s="399">
        <f t="shared" si="170"/>
        <v>0</v>
      </c>
      <c r="CG367" s="399">
        <f t="shared" si="171"/>
        <v>0</v>
      </c>
      <c r="CH367" s="399">
        <f t="shared" si="172"/>
        <v>0</v>
      </c>
      <c r="CI367" s="399">
        <f t="shared" si="173"/>
        <v>0</v>
      </c>
      <c r="CJ367" s="399">
        <f t="shared" si="174"/>
        <v>0</v>
      </c>
      <c r="CK367" s="399">
        <f t="shared" si="175"/>
        <v>0</v>
      </c>
      <c r="CL367" s="399">
        <f t="shared" si="176"/>
        <v>0</v>
      </c>
      <c r="CM367" s="399">
        <f t="shared" si="177"/>
        <v>0</v>
      </c>
      <c r="CN367" s="399">
        <f t="shared" si="178"/>
        <v>0</v>
      </c>
      <c r="CO367" s="399">
        <f t="shared" si="179"/>
        <v>0</v>
      </c>
      <c r="CP367" s="399">
        <f t="shared" si="180"/>
        <v>0</v>
      </c>
      <c r="CQ367" s="423">
        <f t="shared" si="181"/>
        <v>0</v>
      </c>
      <c r="CS367" s="394" t="e">
        <f t="shared" si="182"/>
        <v>#DIV/0!</v>
      </c>
    </row>
    <row r="368" spans="3:97">
      <c r="C368" s="107"/>
      <c r="D368" s="395"/>
      <c r="E368" s="84"/>
      <c r="F368" s="84"/>
      <c r="G368" s="389"/>
      <c r="H368" s="390"/>
      <c r="I368" s="390"/>
      <c r="J368" s="390"/>
      <c r="K368" s="390"/>
      <c r="L368" s="390"/>
      <c r="M368" s="390"/>
      <c r="N368" s="390"/>
      <c r="O368" s="390"/>
      <c r="P368" s="390"/>
      <c r="Q368" s="390"/>
      <c r="R368" s="390"/>
      <c r="S368" s="390"/>
      <c r="T368" s="390"/>
      <c r="U368" s="390"/>
      <c r="V368" s="390"/>
      <c r="W368" s="390"/>
      <c r="X368" s="390"/>
      <c r="Y368" s="390"/>
      <c r="Z368" s="390"/>
      <c r="AA368" s="390"/>
      <c r="AB368" s="390"/>
      <c r="AC368" s="390"/>
      <c r="AD368" s="390"/>
      <c r="AE368" s="390"/>
      <c r="AF368" s="390"/>
      <c r="AG368" s="390"/>
      <c r="AH368" s="390"/>
      <c r="AI368" s="391"/>
      <c r="AK368" s="437"/>
      <c r="AL368" s="437"/>
      <c r="AM368" s="437"/>
      <c r="AN368" s="437"/>
      <c r="AO368" s="437"/>
      <c r="AP368" s="437"/>
      <c r="AQ368" s="437"/>
      <c r="AR368" s="437"/>
      <c r="AS368" s="437"/>
      <c r="AT368" s="437"/>
      <c r="AU368" s="437"/>
      <c r="AV368" s="437"/>
      <c r="AW368" s="437"/>
      <c r="AX368" s="437"/>
      <c r="AY368" s="437"/>
      <c r="AZ368" s="437"/>
      <c r="BA368" s="437"/>
      <c r="BB368" s="437"/>
      <c r="BC368" s="437"/>
      <c r="BD368" s="437"/>
      <c r="BE368" s="437"/>
      <c r="BF368" s="437"/>
      <c r="BG368" s="437"/>
      <c r="BH368" s="437"/>
      <c r="BI368" s="437"/>
      <c r="BJ368" s="437"/>
      <c r="BK368" s="437"/>
      <c r="BL368" s="437"/>
      <c r="BM368" s="393"/>
      <c r="BO368" s="399">
        <f t="shared" si="153"/>
        <v>0</v>
      </c>
      <c r="BP368" s="399">
        <f t="shared" si="154"/>
        <v>0</v>
      </c>
      <c r="BQ368" s="399">
        <f t="shared" si="155"/>
        <v>0</v>
      </c>
      <c r="BR368" s="399">
        <f t="shared" si="156"/>
        <v>0</v>
      </c>
      <c r="BS368" s="399">
        <f t="shared" si="157"/>
        <v>0</v>
      </c>
      <c r="BT368" s="399">
        <f t="shared" si="158"/>
        <v>0</v>
      </c>
      <c r="BU368" s="399">
        <f t="shared" si="159"/>
        <v>0</v>
      </c>
      <c r="BV368" s="399">
        <f t="shared" si="160"/>
        <v>0</v>
      </c>
      <c r="BW368" s="399">
        <f t="shared" si="161"/>
        <v>0</v>
      </c>
      <c r="BX368" s="399">
        <f t="shared" si="162"/>
        <v>0</v>
      </c>
      <c r="BY368" s="399">
        <f t="shared" si="163"/>
        <v>0</v>
      </c>
      <c r="BZ368" s="399">
        <f t="shared" si="164"/>
        <v>0</v>
      </c>
      <c r="CA368" s="399">
        <f t="shared" si="165"/>
        <v>0</v>
      </c>
      <c r="CB368" s="399">
        <f t="shared" si="166"/>
        <v>0</v>
      </c>
      <c r="CC368" s="399">
        <f t="shared" si="167"/>
        <v>0</v>
      </c>
      <c r="CD368" s="399">
        <f t="shared" si="168"/>
        <v>0</v>
      </c>
      <c r="CE368" s="399">
        <f t="shared" si="169"/>
        <v>0</v>
      </c>
      <c r="CF368" s="399">
        <f t="shared" si="170"/>
        <v>0</v>
      </c>
      <c r="CG368" s="399">
        <f t="shared" si="171"/>
        <v>0</v>
      </c>
      <c r="CH368" s="399">
        <f t="shared" si="172"/>
        <v>0</v>
      </c>
      <c r="CI368" s="399">
        <f t="shared" si="173"/>
        <v>0</v>
      </c>
      <c r="CJ368" s="399">
        <f t="shared" si="174"/>
        <v>0</v>
      </c>
      <c r="CK368" s="399">
        <f t="shared" si="175"/>
        <v>0</v>
      </c>
      <c r="CL368" s="399">
        <f t="shared" si="176"/>
        <v>0</v>
      </c>
      <c r="CM368" s="399">
        <f t="shared" si="177"/>
        <v>0</v>
      </c>
      <c r="CN368" s="399">
        <f t="shared" si="178"/>
        <v>0</v>
      </c>
      <c r="CO368" s="399">
        <f t="shared" si="179"/>
        <v>0</v>
      </c>
      <c r="CP368" s="399">
        <f t="shared" si="180"/>
        <v>0</v>
      </c>
      <c r="CQ368" s="423">
        <f t="shared" si="181"/>
        <v>0</v>
      </c>
      <c r="CS368" s="394" t="e">
        <f t="shared" si="182"/>
        <v>#DIV/0!</v>
      </c>
    </row>
    <row r="369" spans="3:97">
      <c r="C369" s="107"/>
      <c r="D369" s="395"/>
      <c r="E369" s="84"/>
      <c r="F369" s="84"/>
      <c r="G369" s="389"/>
      <c r="H369" s="390"/>
      <c r="I369" s="390"/>
      <c r="J369" s="390"/>
      <c r="K369" s="390"/>
      <c r="L369" s="390"/>
      <c r="M369" s="390"/>
      <c r="N369" s="390"/>
      <c r="O369" s="390"/>
      <c r="P369" s="390"/>
      <c r="Q369" s="390"/>
      <c r="R369" s="390"/>
      <c r="S369" s="390"/>
      <c r="T369" s="390"/>
      <c r="U369" s="390"/>
      <c r="V369" s="390"/>
      <c r="W369" s="390"/>
      <c r="X369" s="390"/>
      <c r="Y369" s="390"/>
      <c r="Z369" s="390"/>
      <c r="AA369" s="390"/>
      <c r="AB369" s="390"/>
      <c r="AC369" s="390"/>
      <c r="AD369" s="390"/>
      <c r="AE369" s="390"/>
      <c r="AF369" s="390"/>
      <c r="AG369" s="390"/>
      <c r="AH369" s="390"/>
      <c r="AI369" s="391"/>
      <c r="AK369" s="437"/>
      <c r="AL369" s="437"/>
      <c r="AM369" s="437"/>
      <c r="AN369" s="437"/>
      <c r="AO369" s="437"/>
      <c r="AP369" s="437"/>
      <c r="AQ369" s="437"/>
      <c r="AR369" s="437"/>
      <c r="AS369" s="437"/>
      <c r="AT369" s="437"/>
      <c r="AU369" s="437"/>
      <c r="AV369" s="437"/>
      <c r="AW369" s="437"/>
      <c r="AX369" s="437"/>
      <c r="AY369" s="437"/>
      <c r="AZ369" s="437"/>
      <c r="BA369" s="437"/>
      <c r="BB369" s="437"/>
      <c r="BC369" s="437"/>
      <c r="BD369" s="437"/>
      <c r="BE369" s="437"/>
      <c r="BF369" s="437"/>
      <c r="BG369" s="437"/>
      <c r="BH369" s="437"/>
      <c r="BI369" s="437"/>
      <c r="BJ369" s="437"/>
      <c r="BK369" s="437"/>
      <c r="BL369" s="437"/>
      <c r="BM369" s="393"/>
      <c r="BO369" s="399">
        <f t="shared" si="153"/>
        <v>0</v>
      </c>
      <c r="BP369" s="399">
        <f t="shared" si="154"/>
        <v>0</v>
      </c>
      <c r="BQ369" s="399">
        <f t="shared" si="155"/>
        <v>0</v>
      </c>
      <c r="BR369" s="399">
        <f t="shared" si="156"/>
        <v>0</v>
      </c>
      <c r="BS369" s="399">
        <f t="shared" si="157"/>
        <v>0</v>
      </c>
      <c r="BT369" s="399">
        <f t="shared" si="158"/>
        <v>0</v>
      </c>
      <c r="BU369" s="399">
        <f t="shared" si="159"/>
        <v>0</v>
      </c>
      <c r="BV369" s="399">
        <f t="shared" si="160"/>
        <v>0</v>
      </c>
      <c r="BW369" s="399">
        <f t="shared" si="161"/>
        <v>0</v>
      </c>
      <c r="BX369" s="399">
        <f t="shared" si="162"/>
        <v>0</v>
      </c>
      <c r="BY369" s="399">
        <f t="shared" si="163"/>
        <v>0</v>
      </c>
      <c r="BZ369" s="399">
        <f t="shared" si="164"/>
        <v>0</v>
      </c>
      <c r="CA369" s="399">
        <f t="shared" si="165"/>
        <v>0</v>
      </c>
      <c r="CB369" s="399">
        <f t="shared" si="166"/>
        <v>0</v>
      </c>
      <c r="CC369" s="399">
        <f t="shared" si="167"/>
        <v>0</v>
      </c>
      <c r="CD369" s="399">
        <f t="shared" si="168"/>
        <v>0</v>
      </c>
      <c r="CE369" s="399">
        <f t="shared" si="169"/>
        <v>0</v>
      </c>
      <c r="CF369" s="399">
        <f t="shared" si="170"/>
        <v>0</v>
      </c>
      <c r="CG369" s="399">
        <f t="shared" si="171"/>
        <v>0</v>
      </c>
      <c r="CH369" s="399">
        <f t="shared" si="172"/>
        <v>0</v>
      </c>
      <c r="CI369" s="399">
        <f t="shared" si="173"/>
        <v>0</v>
      </c>
      <c r="CJ369" s="399">
        <f t="shared" si="174"/>
        <v>0</v>
      </c>
      <c r="CK369" s="399">
        <f t="shared" si="175"/>
        <v>0</v>
      </c>
      <c r="CL369" s="399">
        <f t="shared" si="176"/>
        <v>0</v>
      </c>
      <c r="CM369" s="399">
        <f t="shared" si="177"/>
        <v>0</v>
      </c>
      <c r="CN369" s="399">
        <f t="shared" si="178"/>
        <v>0</v>
      </c>
      <c r="CO369" s="399">
        <f t="shared" si="179"/>
        <v>0</v>
      </c>
      <c r="CP369" s="399">
        <f t="shared" si="180"/>
        <v>0</v>
      </c>
      <c r="CQ369" s="423">
        <f t="shared" si="181"/>
        <v>0</v>
      </c>
      <c r="CS369" s="394" t="e">
        <f t="shared" si="182"/>
        <v>#DIV/0!</v>
      </c>
    </row>
    <row r="370" spans="3:97">
      <c r="C370" s="107"/>
      <c r="D370" s="395"/>
      <c r="E370" s="84"/>
      <c r="F370" s="84"/>
      <c r="G370" s="389"/>
      <c r="H370" s="390"/>
      <c r="I370" s="390"/>
      <c r="J370" s="390"/>
      <c r="K370" s="390"/>
      <c r="L370" s="390"/>
      <c r="M370" s="390"/>
      <c r="N370" s="390"/>
      <c r="O370" s="390"/>
      <c r="P370" s="390"/>
      <c r="Q370" s="390"/>
      <c r="R370" s="390"/>
      <c r="S370" s="390"/>
      <c r="T370" s="390"/>
      <c r="U370" s="390"/>
      <c r="V370" s="390"/>
      <c r="W370" s="390"/>
      <c r="X370" s="390"/>
      <c r="Y370" s="390"/>
      <c r="Z370" s="390"/>
      <c r="AA370" s="390"/>
      <c r="AB370" s="390"/>
      <c r="AC370" s="390"/>
      <c r="AD370" s="390"/>
      <c r="AE370" s="390"/>
      <c r="AF370" s="390"/>
      <c r="AG370" s="390"/>
      <c r="AH370" s="390"/>
      <c r="AI370" s="391"/>
      <c r="AK370" s="437"/>
      <c r="AL370" s="437"/>
      <c r="AM370" s="437"/>
      <c r="AN370" s="437"/>
      <c r="AO370" s="437"/>
      <c r="AP370" s="437"/>
      <c r="AQ370" s="437"/>
      <c r="AR370" s="437"/>
      <c r="AS370" s="437"/>
      <c r="AT370" s="437"/>
      <c r="AU370" s="437"/>
      <c r="AV370" s="437"/>
      <c r="AW370" s="437"/>
      <c r="AX370" s="437"/>
      <c r="AY370" s="437"/>
      <c r="AZ370" s="437"/>
      <c r="BA370" s="437"/>
      <c r="BB370" s="437"/>
      <c r="BC370" s="437"/>
      <c r="BD370" s="437"/>
      <c r="BE370" s="437"/>
      <c r="BF370" s="437"/>
      <c r="BG370" s="437"/>
      <c r="BH370" s="437"/>
      <c r="BI370" s="437"/>
      <c r="BJ370" s="437"/>
      <c r="BK370" s="437"/>
      <c r="BL370" s="437"/>
      <c r="BM370" s="393"/>
      <c r="BO370" s="399">
        <f t="shared" si="153"/>
        <v>0</v>
      </c>
      <c r="BP370" s="399">
        <f t="shared" si="154"/>
        <v>0</v>
      </c>
      <c r="BQ370" s="399">
        <f t="shared" si="155"/>
        <v>0</v>
      </c>
      <c r="BR370" s="399">
        <f t="shared" si="156"/>
        <v>0</v>
      </c>
      <c r="BS370" s="399">
        <f t="shared" si="157"/>
        <v>0</v>
      </c>
      <c r="BT370" s="399">
        <f t="shared" si="158"/>
        <v>0</v>
      </c>
      <c r="BU370" s="399">
        <f t="shared" si="159"/>
        <v>0</v>
      </c>
      <c r="BV370" s="399">
        <f t="shared" si="160"/>
        <v>0</v>
      </c>
      <c r="BW370" s="399">
        <f t="shared" si="161"/>
        <v>0</v>
      </c>
      <c r="BX370" s="399">
        <f t="shared" si="162"/>
        <v>0</v>
      </c>
      <c r="BY370" s="399">
        <f t="shared" si="163"/>
        <v>0</v>
      </c>
      <c r="BZ370" s="399">
        <f t="shared" si="164"/>
        <v>0</v>
      </c>
      <c r="CA370" s="399">
        <f t="shared" si="165"/>
        <v>0</v>
      </c>
      <c r="CB370" s="399">
        <f t="shared" si="166"/>
        <v>0</v>
      </c>
      <c r="CC370" s="399">
        <f t="shared" si="167"/>
        <v>0</v>
      </c>
      <c r="CD370" s="399">
        <f t="shared" si="168"/>
        <v>0</v>
      </c>
      <c r="CE370" s="399">
        <f t="shared" si="169"/>
        <v>0</v>
      </c>
      <c r="CF370" s="399">
        <f t="shared" si="170"/>
        <v>0</v>
      </c>
      <c r="CG370" s="399">
        <f t="shared" si="171"/>
        <v>0</v>
      </c>
      <c r="CH370" s="399">
        <f t="shared" si="172"/>
        <v>0</v>
      </c>
      <c r="CI370" s="399">
        <f t="shared" si="173"/>
        <v>0</v>
      </c>
      <c r="CJ370" s="399">
        <f t="shared" si="174"/>
        <v>0</v>
      </c>
      <c r="CK370" s="399">
        <f t="shared" si="175"/>
        <v>0</v>
      </c>
      <c r="CL370" s="399">
        <f t="shared" si="176"/>
        <v>0</v>
      </c>
      <c r="CM370" s="399">
        <f t="shared" si="177"/>
        <v>0</v>
      </c>
      <c r="CN370" s="399">
        <f t="shared" si="178"/>
        <v>0</v>
      </c>
      <c r="CO370" s="399">
        <f t="shared" si="179"/>
        <v>0</v>
      </c>
      <c r="CP370" s="399">
        <f t="shared" si="180"/>
        <v>0</v>
      </c>
      <c r="CQ370" s="423">
        <f t="shared" si="181"/>
        <v>0</v>
      </c>
      <c r="CS370" s="394" t="e">
        <f t="shared" si="182"/>
        <v>#DIV/0!</v>
      </c>
    </row>
    <row r="371" spans="3:97">
      <c r="C371" s="107"/>
      <c r="D371" s="395"/>
      <c r="E371" s="84"/>
      <c r="F371" s="84"/>
      <c r="G371" s="389"/>
      <c r="H371" s="390"/>
      <c r="I371" s="390"/>
      <c r="J371" s="390"/>
      <c r="K371" s="390"/>
      <c r="L371" s="390"/>
      <c r="M371" s="390"/>
      <c r="N371" s="390"/>
      <c r="O371" s="390"/>
      <c r="P371" s="390"/>
      <c r="Q371" s="390"/>
      <c r="R371" s="390"/>
      <c r="S371" s="390"/>
      <c r="T371" s="390"/>
      <c r="U371" s="390"/>
      <c r="V371" s="390"/>
      <c r="W371" s="390"/>
      <c r="X371" s="390"/>
      <c r="Y371" s="390"/>
      <c r="Z371" s="390"/>
      <c r="AA371" s="390"/>
      <c r="AB371" s="390"/>
      <c r="AC371" s="390"/>
      <c r="AD371" s="390"/>
      <c r="AE371" s="390"/>
      <c r="AF371" s="390"/>
      <c r="AG371" s="390"/>
      <c r="AH371" s="390"/>
      <c r="AI371" s="391"/>
      <c r="AK371" s="437"/>
      <c r="AL371" s="437"/>
      <c r="AM371" s="437"/>
      <c r="AN371" s="437"/>
      <c r="AO371" s="437"/>
      <c r="AP371" s="437"/>
      <c r="AQ371" s="437"/>
      <c r="AR371" s="437"/>
      <c r="AS371" s="437"/>
      <c r="AT371" s="437"/>
      <c r="AU371" s="437"/>
      <c r="AV371" s="437"/>
      <c r="AW371" s="437"/>
      <c r="AX371" s="437"/>
      <c r="AY371" s="437"/>
      <c r="AZ371" s="437"/>
      <c r="BA371" s="437"/>
      <c r="BB371" s="437"/>
      <c r="BC371" s="437"/>
      <c r="BD371" s="437"/>
      <c r="BE371" s="437"/>
      <c r="BF371" s="437"/>
      <c r="BG371" s="437"/>
      <c r="BH371" s="437"/>
      <c r="BI371" s="437"/>
      <c r="BJ371" s="437"/>
      <c r="BK371" s="437"/>
      <c r="BL371" s="437"/>
      <c r="BM371" s="393"/>
      <c r="BO371" s="399">
        <f t="shared" si="153"/>
        <v>0</v>
      </c>
      <c r="BP371" s="399">
        <f t="shared" si="154"/>
        <v>0</v>
      </c>
      <c r="BQ371" s="399">
        <f t="shared" si="155"/>
        <v>0</v>
      </c>
      <c r="BR371" s="399">
        <f t="shared" si="156"/>
        <v>0</v>
      </c>
      <c r="BS371" s="399">
        <f t="shared" si="157"/>
        <v>0</v>
      </c>
      <c r="BT371" s="399">
        <f t="shared" si="158"/>
        <v>0</v>
      </c>
      <c r="BU371" s="399">
        <f t="shared" si="159"/>
        <v>0</v>
      </c>
      <c r="BV371" s="399">
        <f t="shared" si="160"/>
        <v>0</v>
      </c>
      <c r="BW371" s="399">
        <f t="shared" si="161"/>
        <v>0</v>
      </c>
      <c r="BX371" s="399">
        <f t="shared" si="162"/>
        <v>0</v>
      </c>
      <c r="BY371" s="399">
        <f t="shared" si="163"/>
        <v>0</v>
      </c>
      <c r="BZ371" s="399">
        <f t="shared" si="164"/>
        <v>0</v>
      </c>
      <c r="CA371" s="399">
        <f t="shared" si="165"/>
        <v>0</v>
      </c>
      <c r="CB371" s="399">
        <f t="shared" si="166"/>
        <v>0</v>
      </c>
      <c r="CC371" s="399">
        <f t="shared" si="167"/>
        <v>0</v>
      </c>
      <c r="CD371" s="399">
        <f t="shared" si="168"/>
        <v>0</v>
      </c>
      <c r="CE371" s="399">
        <f t="shared" si="169"/>
        <v>0</v>
      </c>
      <c r="CF371" s="399">
        <f t="shared" si="170"/>
        <v>0</v>
      </c>
      <c r="CG371" s="399">
        <f t="shared" si="171"/>
        <v>0</v>
      </c>
      <c r="CH371" s="399">
        <f t="shared" si="172"/>
        <v>0</v>
      </c>
      <c r="CI371" s="399">
        <f t="shared" si="173"/>
        <v>0</v>
      </c>
      <c r="CJ371" s="399">
        <f t="shared" si="174"/>
        <v>0</v>
      </c>
      <c r="CK371" s="399">
        <f t="shared" si="175"/>
        <v>0</v>
      </c>
      <c r="CL371" s="399">
        <f t="shared" si="176"/>
        <v>0</v>
      </c>
      <c r="CM371" s="399">
        <f t="shared" si="177"/>
        <v>0</v>
      </c>
      <c r="CN371" s="399">
        <f t="shared" si="178"/>
        <v>0</v>
      </c>
      <c r="CO371" s="399">
        <f t="shared" si="179"/>
        <v>0</v>
      </c>
      <c r="CP371" s="399">
        <f t="shared" si="180"/>
        <v>0</v>
      </c>
      <c r="CQ371" s="423">
        <f t="shared" si="181"/>
        <v>0</v>
      </c>
      <c r="CS371" s="394" t="e">
        <f t="shared" si="182"/>
        <v>#DIV/0!</v>
      </c>
    </row>
    <row r="372" spans="3:97">
      <c r="C372" s="107"/>
      <c r="D372" s="395"/>
      <c r="E372" s="84"/>
      <c r="F372" s="84"/>
      <c r="G372" s="389"/>
      <c r="H372" s="390"/>
      <c r="I372" s="390"/>
      <c r="J372" s="390"/>
      <c r="K372" s="390"/>
      <c r="L372" s="390"/>
      <c r="M372" s="390"/>
      <c r="N372" s="390"/>
      <c r="O372" s="390"/>
      <c r="P372" s="390"/>
      <c r="Q372" s="390"/>
      <c r="R372" s="390"/>
      <c r="S372" s="390"/>
      <c r="T372" s="390"/>
      <c r="U372" s="390"/>
      <c r="V372" s="390"/>
      <c r="W372" s="390"/>
      <c r="X372" s="390"/>
      <c r="Y372" s="390"/>
      <c r="Z372" s="390"/>
      <c r="AA372" s="390"/>
      <c r="AB372" s="390"/>
      <c r="AC372" s="390"/>
      <c r="AD372" s="390"/>
      <c r="AE372" s="390"/>
      <c r="AF372" s="390"/>
      <c r="AG372" s="390"/>
      <c r="AH372" s="390"/>
      <c r="AI372" s="391"/>
      <c r="AK372" s="437"/>
      <c r="AL372" s="437"/>
      <c r="AM372" s="437"/>
      <c r="AN372" s="437"/>
      <c r="AO372" s="437"/>
      <c r="AP372" s="437"/>
      <c r="AQ372" s="437"/>
      <c r="AR372" s="437"/>
      <c r="AS372" s="437"/>
      <c r="AT372" s="437"/>
      <c r="AU372" s="437"/>
      <c r="AV372" s="437"/>
      <c r="AW372" s="437"/>
      <c r="AX372" s="437"/>
      <c r="AY372" s="437"/>
      <c r="AZ372" s="437"/>
      <c r="BA372" s="437"/>
      <c r="BB372" s="437"/>
      <c r="BC372" s="437"/>
      <c r="BD372" s="437"/>
      <c r="BE372" s="437"/>
      <c r="BF372" s="437"/>
      <c r="BG372" s="437"/>
      <c r="BH372" s="437"/>
      <c r="BI372" s="437"/>
      <c r="BJ372" s="437"/>
      <c r="BK372" s="437"/>
      <c r="BL372" s="437"/>
      <c r="BM372" s="393"/>
      <c r="BO372" s="399">
        <f t="shared" si="153"/>
        <v>0</v>
      </c>
      <c r="BP372" s="399">
        <f t="shared" si="154"/>
        <v>0</v>
      </c>
      <c r="BQ372" s="399">
        <f t="shared" si="155"/>
        <v>0</v>
      </c>
      <c r="BR372" s="399">
        <f t="shared" si="156"/>
        <v>0</v>
      </c>
      <c r="BS372" s="399">
        <f t="shared" si="157"/>
        <v>0</v>
      </c>
      <c r="BT372" s="399">
        <f t="shared" si="158"/>
        <v>0</v>
      </c>
      <c r="BU372" s="399">
        <f t="shared" si="159"/>
        <v>0</v>
      </c>
      <c r="BV372" s="399">
        <f t="shared" si="160"/>
        <v>0</v>
      </c>
      <c r="BW372" s="399">
        <f t="shared" si="161"/>
        <v>0</v>
      </c>
      <c r="BX372" s="399">
        <f t="shared" si="162"/>
        <v>0</v>
      </c>
      <c r="BY372" s="399">
        <f t="shared" si="163"/>
        <v>0</v>
      </c>
      <c r="BZ372" s="399">
        <f t="shared" si="164"/>
        <v>0</v>
      </c>
      <c r="CA372" s="399">
        <f t="shared" si="165"/>
        <v>0</v>
      </c>
      <c r="CB372" s="399">
        <f t="shared" si="166"/>
        <v>0</v>
      </c>
      <c r="CC372" s="399">
        <f t="shared" si="167"/>
        <v>0</v>
      </c>
      <c r="CD372" s="399">
        <f t="shared" si="168"/>
        <v>0</v>
      </c>
      <c r="CE372" s="399">
        <f t="shared" si="169"/>
        <v>0</v>
      </c>
      <c r="CF372" s="399">
        <f t="shared" si="170"/>
        <v>0</v>
      </c>
      <c r="CG372" s="399">
        <f t="shared" si="171"/>
        <v>0</v>
      </c>
      <c r="CH372" s="399">
        <f t="shared" si="172"/>
        <v>0</v>
      </c>
      <c r="CI372" s="399">
        <f t="shared" si="173"/>
        <v>0</v>
      </c>
      <c r="CJ372" s="399">
        <f t="shared" si="174"/>
        <v>0</v>
      </c>
      <c r="CK372" s="399">
        <f t="shared" si="175"/>
        <v>0</v>
      </c>
      <c r="CL372" s="399">
        <f t="shared" si="176"/>
        <v>0</v>
      </c>
      <c r="CM372" s="399">
        <f t="shared" si="177"/>
        <v>0</v>
      </c>
      <c r="CN372" s="399">
        <f t="shared" si="178"/>
        <v>0</v>
      </c>
      <c r="CO372" s="399">
        <f t="shared" si="179"/>
        <v>0</v>
      </c>
      <c r="CP372" s="399">
        <f t="shared" si="180"/>
        <v>0</v>
      </c>
      <c r="CQ372" s="423">
        <f t="shared" si="181"/>
        <v>0</v>
      </c>
      <c r="CS372" s="394" t="e">
        <f t="shared" si="182"/>
        <v>#DIV/0!</v>
      </c>
    </row>
    <row r="373" spans="3:97">
      <c r="C373" s="107"/>
      <c r="D373" s="395"/>
      <c r="E373" s="84"/>
      <c r="F373" s="84"/>
      <c r="G373" s="389"/>
      <c r="H373" s="390"/>
      <c r="I373" s="390"/>
      <c r="J373" s="390"/>
      <c r="K373" s="390"/>
      <c r="L373" s="390"/>
      <c r="M373" s="390"/>
      <c r="N373" s="390"/>
      <c r="O373" s="390"/>
      <c r="P373" s="390"/>
      <c r="Q373" s="390"/>
      <c r="R373" s="390"/>
      <c r="S373" s="390"/>
      <c r="T373" s="390"/>
      <c r="U373" s="390"/>
      <c r="V373" s="390"/>
      <c r="W373" s="390"/>
      <c r="X373" s="390"/>
      <c r="Y373" s="390"/>
      <c r="Z373" s="390"/>
      <c r="AA373" s="390"/>
      <c r="AB373" s="390"/>
      <c r="AC373" s="390"/>
      <c r="AD373" s="390"/>
      <c r="AE373" s="390"/>
      <c r="AF373" s="390"/>
      <c r="AG373" s="390"/>
      <c r="AH373" s="390"/>
      <c r="AI373" s="391"/>
      <c r="AK373" s="437"/>
      <c r="AL373" s="437"/>
      <c r="AM373" s="437"/>
      <c r="AN373" s="437"/>
      <c r="AO373" s="437"/>
      <c r="AP373" s="437"/>
      <c r="AQ373" s="437"/>
      <c r="AR373" s="437"/>
      <c r="AS373" s="437"/>
      <c r="AT373" s="437"/>
      <c r="AU373" s="437"/>
      <c r="AV373" s="437"/>
      <c r="AW373" s="437"/>
      <c r="AX373" s="437"/>
      <c r="AY373" s="437"/>
      <c r="AZ373" s="437"/>
      <c r="BA373" s="437"/>
      <c r="BB373" s="437"/>
      <c r="BC373" s="437"/>
      <c r="BD373" s="437"/>
      <c r="BE373" s="437"/>
      <c r="BF373" s="437"/>
      <c r="BG373" s="437"/>
      <c r="BH373" s="437"/>
      <c r="BI373" s="437"/>
      <c r="BJ373" s="437"/>
      <c r="BK373" s="437"/>
      <c r="BL373" s="437"/>
      <c r="BM373" s="393"/>
      <c r="BO373" s="399">
        <f t="shared" si="153"/>
        <v>0</v>
      </c>
      <c r="BP373" s="399">
        <f t="shared" si="154"/>
        <v>0</v>
      </c>
      <c r="BQ373" s="399">
        <f t="shared" si="155"/>
        <v>0</v>
      </c>
      <c r="BR373" s="399">
        <f t="shared" si="156"/>
        <v>0</v>
      </c>
      <c r="BS373" s="399">
        <f t="shared" si="157"/>
        <v>0</v>
      </c>
      <c r="BT373" s="399">
        <f t="shared" si="158"/>
        <v>0</v>
      </c>
      <c r="BU373" s="399">
        <f t="shared" si="159"/>
        <v>0</v>
      </c>
      <c r="BV373" s="399">
        <f t="shared" si="160"/>
        <v>0</v>
      </c>
      <c r="BW373" s="399">
        <f t="shared" si="161"/>
        <v>0</v>
      </c>
      <c r="BX373" s="399">
        <f t="shared" si="162"/>
        <v>0</v>
      </c>
      <c r="BY373" s="399">
        <f t="shared" si="163"/>
        <v>0</v>
      </c>
      <c r="BZ373" s="399">
        <f t="shared" si="164"/>
        <v>0</v>
      </c>
      <c r="CA373" s="399">
        <f t="shared" si="165"/>
        <v>0</v>
      </c>
      <c r="CB373" s="399">
        <f t="shared" si="166"/>
        <v>0</v>
      </c>
      <c r="CC373" s="399">
        <f t="shared" si="167"/>
        <v>0</v>
      </c>
      <c r="CD373" s="399">
        <f t="shared" si="168"/>
        <v>0</v>
      </c>
      <c r="CE373" s="399">
        <f t="shared" si="169"/>
        <v>0</v>
      </c>
      <c r="CF373" s="399">
        <f t="shared" si="170"/>
        <v>0</v>
      </c>
      <c r="CG373" s="399">
        <f t="shared" si="171"/>
        <v>0</v>
      </c>
      <c r="CH373" s="399">
        <f t="shared" si="172"/>
        <v>0</v>
      </c>
      <c r="CI373" s="399">
        <f t="shared" si="173"/>
        <v>0</v>
      </c>
      <c r="CJ373" s="399">
        <f t="shared" si="174"/>
        <v>0</v>
      </c>
      <c r="CK373" s="399">
        <f t="shared" si="175"/>
        <v>0</v>
      </c>
      <c r="CL373" s="399">
        <f t="shared" si="176"/>
        <v>0</v>
      </c>
      <c r="CM373" s="399">
        <f t="shared" si="177"/>
        <v>0</v>
      </c>
      <c r="CN373" s="399">
        <f t="shared" si="178"/>
        <v>0</v>
      </c>
      <c r="CO373" s="399">
        <f t="shared" si="179"/>
        <v>0</v>
      </c>
      <c r="CP373" s="399">
        <f t="shared" si="180"/>
        <v>0</v>
      </c>
      <c r="CQ373" s="423">
        <f t="shared" si="181"/>
        <v>0</v>
      </c>
      <c r="CS373" s="394" t="e">
        <f t="shared" si="182"/>
        <v>#DIV/0!</v>
      </c>
    </row>
    <row r="374" spans="3:97">
      <c r="C374" s="107"/>
      <c r="D374" s="395"/>
      <c r="E374" s="84"/>
      <c r="F374" s="84"/>
      <c r="G374" s="389"/>
      <c r="H374" s="390"/>
      <c r="I374" s="390"/>
      <c r="J374" s="390"/>
      <c r="K374" s="390"/>
      <c r="L374" s="390"/>
      <c r="M374" s="390"/>
      <c r="N374" s="390"/>
      <c r="O374" s="390"/>
      <c r="P374" s="390"/>
      <c r="Q374" s="390"/>
      <c r="R374" s="390"/>
      <c r="S374" s="390"/>
      <c r="T374" s="390"/>
      <c r="U374" s="390"/>
      <c r="V374" s="390"/>
      <c r="W374" s="390"/>
      <c r="X374" s="390"/>
      <c r="Y374" s="390"/>
      <c r="Z374" s="390"/>
      <c r="AA374" s="390"/>
      <c r="AB374" s="390"/>
      <c r="AC374" s="390"/>
      <c r="AD374" s="390"/>
      <c r="AE374" s="390"/>
      <c r="AF374" s="390"/>
      <c r="AG374" s="390"/>
      <c r="AH374" s="390"/>
      <c r="AI374" s="391"/>
      <c r="AK374" s="437"/>
      <c r="AL374" s="437"/>
      <c r="AM374" s="437"/>
      <c r="AN374" s="437"/>
      <c r="AO374" s="437"/>
      <c r="AP374" s="437"/>
      <c r="AQ374" s="437"/>
      <c r="AR374" s="437"/>
      <c r="AS374" s="437"/>
      <c r="AT374" s="437"/>
      <c r="AU374" s="437"/>
      <c r="AV374" s="437"/>
      <c r="AW374" s="437"/>
      <c r="AX374" s="437"/>
      <c r="AY374" s="437"/>
      <c r="AZ374" s="437"/>
      <c r="BA374" s="437"/>
      <c r="BB374" s="437"/>
      <c r="BC374" s="437"/>
      <c r="BD374" s="437"/>
      <c r="BE374" s="437"/>
      <c r="BF374" s="437"/>
      <c r="BG374" s="437"/>
      <c r="BH374" s="437"/>
      <c r="BI374" s="437"/>
      <c r="BJ374" s="437"/>
      <c r="BK374" s="437"/>
      <c r="BL374" s="437"/>
      <c r="BM374" s="393"/>
      <c r="BO374" s="399">
        <f t="shared" si="153"/>
        <v>0</v>
      </c>
      <c r="BP374" s="399">
        <f t="shared" si="154"/>
        <v>0</v>
      </c>
      <c r="BQ374" s="399">
        <f t="shared" si="155"/>
        <v>0</v>
      </c>
      <c r="BR374" s="399">
        <f t="shared" si="156"/>
        <v>0</v>
      </c>
      <c r="BS374" s="399">
        <f t="shared" si="157"/>
        <v>0</v>
      </c>
      <c r="BT374" s="399">
        <f t="shared" si="158"/>
        <v>0</v>
      </c>
      <c r="BU374" s="399">
        <f t="shared" si="159"/>
        <v>0</v>
      </c>
      <c r="BV374" s="399">
        <f t="shared" si="160"/>
        <v>0</v>
      </c>
      <c r="BW374" s="399">
        <f t="shared" si="161"/>
        <v>0</v>
      </c>
      <c r="BX374" s="399">
        <f t="shared" si="162"/>
        <v>0</v>
      </c>
      <c r="BY374" s="399">
        <f t="shared" si="163"/>
        <v>0</v>
      </c>
      <c r="BZ374" s="399">
        <f t="shared" si="164"/>
        <v>0</v>
      </c>
      <c r="CA374" s="399">
        <f t="shared" si="165"/>
        <v>0</v>
      </c>
      <c r="CB374" s="399">
        <f t="shared" si="166"/>
        <v>0</v>
      </c>
      <c r="CC374" s="399">
        <f t="shared" si="167"/>
        <v>0</v>
      </c>
      <c r="CD374" s="399">
        <f t="shared" si="168"/>
        <v>0</v>
      </c>
      <c r="CE374" s="399">
        <f t="shared" si="169"/>
        <v>0</v>
      </c>
      <c r="CF374" s="399">
        <f t="shared" si="170"/>
        <v>0</v>
      </c>
      <c r="CG374" s="399">
        <f t="shared" si="171"/>
        <v>0</v>
      </c>
      <c r="CH374" s="399">
        <f t="shared" si="172"/>
        <v>0</v>
      </c>
      <c r="CI374" s="399">
        <f t="shared" si="173"/>
        <v>0</v>
      </c>
      <c r="CJ374" s="399">
        <f t="shared" si="174"/>
        <v>0</v>
      </c>
      <c r="CK374" s="399">
        <f t="shared" si="175"/>
        <v>0</v>
      </c>
      <c r="CL374" s="399">
        <f t="shared" si="176"/>
        <v>0</v>
      </c>
      <c r="CM374" s="399">
        <f t="shared" si="177"/>
        <v>0</v>
      </c>
      <c r="CN374" s="399">
        <f t="shared" si="178"/>
        <v>0</v>
      </c>
      <c r="CO374" s="399">
        <f t="shared" si="179"/>
        <v>0</v>
      </c>
      <c r="CP374" s="399">
        <f t="shared" si="180"/>
        <v>0</v>
      </c>
      <c r="CQ374" s="423">
        <f t="shared" si="181"/>
        <v>0</v>
      </c>
      <c r="CS374" s="394" t="e">
        <f t="shared" si="182"/>
        <v>#DIV/0!</v>
      </c>
    </row>
    <row r="375" spans="3:97">
      <c r="C375" s="107"/>
      <c r="D375" s="395"/>
      <c r="E375" s="84"/>
      <c r="F375" s="84"/>
      <c r="G375" s="389"/>
      <c r="H375" s="390"/>
      <c r="I375" s="390"/>
      <c r="J375" s="390"/>
      <c r="K375" s="390"/>
      <c r="L375" s="390"/>
      <c r="M375" s="390"/>
      <c r="N375" s="390"/>
      <c r="O375" s="390"/>
      <c r="P375" s="390"/>
      <c r="Q375" s="390"/>
      <c r="R375" s="390"/>
      <c r="S375" s="390"/>
      <c r="T375" s="390"/>
      <c r="U375" s="390"/>
      <c r="V375" s="390"/>
      <c r="W375" s="390"/>
      <c r="X375" s="390"/>
      <c r="Y375" s="390"/>
      <c r="Z375" s="390"/>
      <c r="AA375" s="390"/>
      <c r="AB375" s="390"/>
      <c r="AC375" s="390"/>
      <c r="AD375" s="390"/>
      <c r="AE375" s="390"/>
      <c r="AF375" s="390"/>
      <c r="AG375" s="390"/>
      <c r="AH375" s="390"/>
      <c r="AI375" s="391"/>
      <c r="AK375" s="437"/>
      <c r="AL375" s="437"/>
      <c r="AM375" s="437"/>
      <c r="AN375" s="437"/>
      <c r="AO375" s="437"/>
      <c r="AP375" s="437"/>
      <c r="AQ375" s="437"/>
      <c r="AR375" s="437"/>
      <c r="AS375" s="437"/>
      <c r="AT375" s="437"/>
      <c r="AU375" s="437"/>
      <c r="AV375" s="437"/>
      <c r="AW375" s="437"/>
      <c r="AX375" s="437"/>
      <c r="AY375" s="437"/>
      <c r="AZ375" s="437"/>
      <c r="BA375" s="437"/>
      <c r="BB375" s="437"/>
      <c r="BC375" s="437"/>
      <c r="BD375" s="437"/>
      <c r="BE375" s="437"/>
      <c r="BF375" s="437"/>
      <c r="BG375" s="437"/>
      <c r="BH375" s="437"/>
      <c r="BI375" s="437"/>
      <c r="BJ375" s="437"/>
      <c r="BK375" s="437"/>
      <c r="BL375" s="437"/>
      <c r="BM375" s="393"/>
      <c r="BO375" s="399">
        <f t="shared" si="153"/>
        <v>0</v>
      </c>
      <c r="BP375" s="399">
        <f t="shared" si="154"/>
        <v>0</v>
      </c>
      <c r="BQ375" s="399">
        <f t="shared" si="155"/>
        <v>0</v>
      </c>
      <c r="BR375" s="399">
        <f t="shared" si="156"/>
        <v>0</v>
      </c>
      <c r="BS375" s="399">
        <f t="shared" si="157"/>
        <v>0</v>
      </c>
      <c r="BT375" s="399">
        <f t="shared" si="158"/>
        <v>0</v>
      </c>
      <c r="BU375" s="399">
        <f t="shared" si="159"/>
        <v>0</v>
      </c>
      <c r="BV375" s="399">
        <f t="shared" si="160"/>
        <v>0</v>
      </c>
      <c r="BW375" s="399">
        <f t="shared" si="161"/>
        <v>0</v>
      </c>
      <c r="BX375" s="399">
        <f t="shared" si="162"/>
        <v>0</v>
      </c>
      <c r="BY375" s="399">
        <f t="shared" si="163"/>
        <v>0</v>
      </c>
      <c r="BZ375" s="399">
        <f t="shared" si="164"/>
        <v>0</v>
      </c>
      <c r="CA375" s="399">
        <f t="shared" si="165"/>
        <v>0</v>
      </c>
      <c r="CB375" s="399">
        <f t="shared" si="166"/>
        <v>0</v>
      </c>
      <c r="CC375" s="399">
        <f t="shared" si="167"/>
        <v>0</v>
      </c>
      <c r="CD375" s="399">
        <f t="shared" si="168"/>
        <v>0</v>
      </c>
      <c r="CE375" s="399">
        <f t="shared" si="169"/>
        <v>0</v>
      </c>
      <c r="CF375" s="399">
        <f t="shared" si="170"/>
        <v>0</v>
      </c>
      <c r="CG375" s="399">
        <f t="shared" si="171"/>
        <v>0</v>
      </c>
      <c r="CH375" s="399">
        <f t="shared" si="172"/>
        <v>0</v>
      </c>
      <c r="CI375" s="399">
        <f t="shared" si="173"/>
        <v>0</v>
      </c>
      <c r="CJ375" s="399">
        <f t="shared" si="174"/>
        <v>0</v>
      </c>
      <c r="CK375" s="399">
        <f t="shared" si="175"/>
        <v>0</v>
      </c>
      <c r="CL375" s="399">
        <f t="shared" si="176"/>
        <v>0</v>
      </c>
      <c r="CM375" s="399">
        <f t="shared" si="177"/>
        <v>0</v>
      </c>
      <c r="CN375" s="399">
        <f t="shared" si="178"/>
        <v>0</v>
      </c>
      <c r="CO375" s="399">
        <f t="shared" si="179"/>
        <v>0</v>
      </c>
      <c r="CP375" s="399">
        <f t="shared" si="180"/>
        <v>0</v>
      </c>
      <c r="CQ375" s="423">
        <f t="shared" si="181"/>
        <v>0</v>
      </c>
      <c r="CS375" s="394" t="e">
        <f t="shared" si="182"/>
        <v>#DIV/0!</v>
      </c>
    </row>
    <row r="376" spans="3:97">
      <c r="C376" s="107"/>
      <c r="D376" s="395"/>
      <c r="E376" s="84"/>
      <c r="F376" s="84"/>
      <c r="G376" s="389"/>
      <c r="H376" s="390"/>
      <c r="I376" s="390"/>
      <c r="J376" s="390"/>
      <c r="K376" s="390"/>
      <c r="L376" s="390"/>
      <c r="M376" s="390"/>
      <c r="N376" s="390"/>
      <c r="O376" s="390"/>
      <c r="P376" s="390"/>
      <c r="Q376" s="390"/>
      <c r="R376" s="390"/>
      <c r="S376" s="390"/>
      <c r="T376" s="390"/>
      <c r="U376" s="390"/>
      <c r="V376" s="390"/>
      <c r="W376" s="390"/>
      <c r="X376" s="390"/>
      <c r="Y376" s="390"/>
      <c r="Z376" s="390"/>
      <c r="AA376" s="390"/>
      <c r="AB376" s="390"/>
      <c r="AC376" s="390"/>
      <c r="AD376" s="390"/>
      <c r="AE376" s="390"/>
      <c r="AF376" s="390"/>
      <c r="AG376" s="390"/>
      <c r="AH376" s="390"/>
      <c r="AI376" s="391"/>
      <c r="AK376" s="437"/>
      <c r="AL376" s="437"/>
      <c r="AM376" s="437"/>
      <c r="AN376" s="437"/>
      <c r="AO376" s="437"/>
      <c r="AP376" s="437"/>
      <c r="AQ376" s="437"/>
      <c r="AR376" s="437"/>
      <c r="AS376" s="437"/>
      <c r="AT376" s="437"/>
      <c r="AU376" s="437"/>
      <c r="AV376" s="437"/>
      <c r="AW376" s="437"/>
      <c r="AX376" s="437"/>
      <c r="AY376" s="437"/>
      <c r="AZ376" s="437"/>
      <c r="BA376" s="437"/>
      <c r="BB376" s="437"/>
      <c r="BC376" s="437"/>
      <c r="BD376" s="437"/>
      <c r="BE376" s="437"/>
      <c r="BF376" s="437"/>
      <c r="BG376" s="437"/>
      <c r="BH376" s="437"/>
      <c r="BI376" s="437"/>
      <c r="BJ376" s="437"/>
      <c r="BK376" s="437"/>
      <c r="BL376" s="437"/>
      <c r="BM376" s="393"/>
      <c r="BO376" s="399">
        <f t="shared" si="153"/>
        <v>0</v>
      </c>
      <c r="BP376" s="399">
        <f t="shared" si="154"/>
        <v>0</v>
      </c>
      <c r="BQ376" s="399">
        <f t="shared" si="155"/>
        <v>0</v>
      </c>
      <c r="BR376" s="399">
        <f t="shared" si="156"/>
        <v>0</v>
      </c>
      <c r="BS376" s="399">
        <f t="shared" si="157"/>
        <v>0</v>
      </c>
      <c r="BT376" s="399">
        <f t="shared" si="158"/>
        <v>0</v>
      </c>
      <c r="BU376" s="399">
        <f t="shared" si="159"/>
        <v>0</v>
      </c>
      <c r="BV376" s="399">
        <f t="shared" si="160"/>
        <v>0</v>
      </c>
      <c r="BW376" s="399">
        <f t="shared" si="161"/>
        <v>0</v>
      </c>
      <c r="BX376" s="399">
        <f t="shared" si="162"/>
        <v>0</v>
      </c>
      <c r="BY376" s="399">
        <f t="shared" si="163"/>
        <v>0</v>
      </c>
      <c r="BZ376" s="399">
        <f t="shared" si="164"/>
        <v>0</v>
      </c>
      <c r="CA376" s="399">
        <f t="shared" si="165"/>
        <v>0</v>
      </c>
      <c r="CB376" s="399">
        <f t="shared" si="166"/>
        <v>0</v>
      </c>
      <c r="CC376" s="399">
        <f t="shared" si="167"/>
        <v>0</v>
      </c>
      <c r="CD376" s="399">
        <f t="shared" si="168"/>
        <v>0</v>
      </c>
      <c r="CE376" s="399">
        <f t="shared" si="169"/>
        <v>0</v>
      </c>
      <c r="CF376" s="399">
        <f t="shared" si="170"/>
        <v>0</v>
      </c>
      <c r="CG376" s="399">
        <f t="shared" si="171"/>
        <v>0</v>
      </c>
      <c r="CH376" s="399">
        <f t="shared" si="172"/>
        <v>0</v>
      </c>
      <c r="CI376" s="399">
        <f t="shared" si="173"/>
        <v>0</v>
      </c>
      <c r="CJ376" s="399">
        <f t="shared" si="174"/>
        <v>0</v>
      </c>
      <c r="CK376" s="399">
        <f t="shared" si="175"/>
        <v>0</v>
      </c>
      <c r="CL376" s="399">
        <f t="shared" si="176"/>
        <v>0</v>
      </c>
      <c r="CM376" s="399">
        <f t="shared" si="177"/>
        <v>0</v>
      </c>
      <c r="CN376" s="399">
        <f t="shared" si="178"/>
        <v>0</v>
      </c>
      <c r="CO376" s="399">
        <f t="shared" si="179"/>
        <v>0</v>
      </c>
      <c r="CP376" s="399">
        <f t="shared" si="180"/>
        <v>0</v>
      </c>
      <c r="CQ376" s="423">
        <f t="shared" si="181"/>
        <v>0</v>
      </c>
      <c r="CS376" s="394" t="e">
        <f t="shared" si="182"/>
        <v>#DIV/0!</v>
      </c>
    </row>
    <row r="377" spans="3:97">
      <c r="C377" s="107"/>
      <c r="D377" s="395"/>
      <c r="E377" s="84"/>
      <c r="F377" s="84"/>
      <c r="G377" s="389"/>
      <c r="H377" s="390"/>
      <c r="I377" s="390"/>
      <c r="J377" s="390"/>
      <c r="K377" s="390"/>
      <c r="L377" s="390"/>
      <c r="M377" s="390"/>
      <c r="N377" s="390"/>
      <c r="O377" s="390"/>
      <c r="P377" s="390"/>
      <c r="Q377" s="390"/>
      <c r="R377" s="390"/>
      <c r="S377" s="390"/>
      <c r="T377" s="390"/>
      <c r="U377" s="390"/>
      <c r="V377" s="390"/>
      <c r="W377" s="390"/>
      <c r="X377" s="390"/>
      <c r="Y377" s="390"/>
      <c r="Z377" s="390"/>
      <c r="AA377" s="390"/>
      <c r="AB377" s="390"/>
      <c r="AC377" s="390"/>
      <c r="AD377" s="390"/>
      <c r="AE377" s="390"/>
      <c r="AF377" s="390"/>
      <c r="AG377" s="390"/>
      <c r="AH377" s="390"/>
      <c r="AI377" s="391"/>
      <c r="AK377" s="437"/>
      <c r="AL377" s="437"/>
      <c r="AM377" s="437"/>
      <c r="AN377" s="437"/>
      <c r="AO377" s="437"/>
      <c r="AP377" s="437"/>
      <c r="AQ377" s="437"/>
      <c r="AR377" s="437"/>
      <c r="AS377" s="437"/>
      <c r="AT377" s="437"/>
      <c r="AU377" s="437"/>
      <c r="AV377" s="437"/>
      <c r="AW377" s="437"/>
      <c r="AX377" s="437"/>
      <c r="AY377" s="437"/>
      <c r="AZ377" s="437"/>
      <c r="BA377" s="437"/>
      <c r="BB377" s="437"/>
      <c r="BC377" s="437"/>
      <c r="BD377" s="437"/>
      <c r="BE377" s="437"/>
      <c r="BF377" s="437"/>
      <c r="BG377" s="437"/>
      <c r="BH377" s="437"/>
      <c r="BI377" s="437"/>
      <c r="BJ377" s="437"/>
      <c r="BK377" s="437"/>
      <c r="BL377" s="437"/>
      <c r="BM377" s="393"/>
      <c r="BO377" s="399">
        <f t="shared" si="153"/>
        <v>0</v>
      </c>
      <c r="BP377" s="399">
        <f t="shared" si="154"/>
        <v>0</v>
      </c>
      <c r="BQ377" s="399">
        <f t="shared" si="155"/>
        <v>0</v>
      </c>
      <c r="BR377" s="399">
        <f t="shared" si="156"/>
        <v>0</v>
      </c>
      <c r="BS377" s="399">
        <f t="shared" si="157"/>
        <v>0</v>
      </c>
      <c r="BT377" s="399">
        <f t="shared" si="158"/>
        <v>0</v>
      </c>
      <c r="BU377" s="399">
        <f t="shared" si="159"/>
        <v>0</v>
      </c>
      <c r="BV377" s="399">
        <f t="shared" si="160"/>
        <v>0</v>
      </c>
      <c r="BW377" s="399">
        <f t="shared" si="161"/>
        <v>0</v>
      </c>
      <c r="BX377" s="399">
        <f t="shared" si="162"/>
        <v>0</v>
      </c>
      <c r="BY377" s="399">
        <f t="shared" si="163"/>
        <v>0</v>
      </c>
      <c r="BZ377" s="399">
        <f t="shared" si="164"/>
        <v>0</v>
      </c>
      <c r="CA377" s="399">
        <f t="shared" si="165"/>
        <v>0</v>
      </c>
      <c r="CB377" s="399">
        <f t="shared" si="166"/>
        <v>0</v>
      </c>
      <c r="CC377" s="399">
        <f t="shared" si="167"/>
        <v>0</v>
      </c>
      <c r="CD377" s="399">
        <f t="shared" si="168"/>
        <v>0</v>
      </c>
      <c r="CE377" s="399">
        <f t="shared" si="169"/>
        <v>0</v>
      </c>
      <c r="CF377" s="399">
        <f t="shared" si="170"/>
        <v>0</v>
      </c>
      <c r="CG377" s="399">
        <f t="shared" si="171"/>
        <v>0</v>
      </c>
      <c r="CH377" s="399">
        <f t="shared" si="172"/>
        <v>0</v>
      </c>
      <c r="CI377" s="399">
        <f t="shared" si="173"/>
        <v>0</v>
      </c>
      <c r="CJ377" s="399">
        <f t="shared" si="174"/>
        <v>0</v>
      </c>
      <c r="CK377" s="399">
        <f t="shared" si="175"/>
        <v>0</v>
      </c>
      <c r="CL377" s="399">
        <f t="shared" si="176"/>
        <v>0</v>
      </c>
      <c r="CM377" s="399">
        <f t="shared" si="177"/>
        <v>0</v>
      </c>
      <c r="CN377" s="399">
        <f t="shared" si="178"/>
        <v>0</v>
      </c>
      <c r="CO377" s="399">
        <f t="shared" si="179"/>
        <v>0</v>
      </c>
      <c r="CP377" s="399">
        <f t="shared" si="180"/>
        <v>0</v>
      </c>
      <c r="CQ377" s="423">
        <f t="shared" si="181"/>
        <v>0</v>
      </c>
      <c r="CS377" s="394" t="e">
        <f t="shared" si="182"/>
        <v>#DIV/0!</v>
      </c>
    </row>
    <row r="378" spans="3:97">
      <c r="C378" s="107"/>
      <c r="D378" s="395"/>
      <c r="E378" s="84"/>
      <c r="F378" s="84"/>
      <c r="G378" s="389"/>
      <c r="H378" s="390"/>
      <c r="I378" s="390"/>
      <c r="J378" s="390"/>
      <c r="K378" s="390"/>
      <c r="L378" s="390"/>
      <c r="M378" s="390"/>
      <c r="N378" s="390"/>
      <c r="O378" s="390"/>
      <c r="P378" s="390"/>
      <c r="Q378" s="390"/>
      <c r="R378" s="390"/>
      <c r="S378" s="390"/>
      <c r="T378" s="390"/>
      <c r="U378" s="390"/>
      <c r="V378" s="390"/>
      <c r="W378" s="390"/>
      <c r="X378" s="390"/>
      <c r="Y378" s="390"/>
      <c r="Z378" s="390"/>
      <c r="AA378" s="390"/>
      <c r="AB378" s="390"/>
      <c r="AC378" s="390"/>
      <c r="AD378" s="390"/>
      <c r="AE378" s="390"/>
      <c r="AF378" s="390"/>
      <c r="AG378" s="390"/>
      <c r="AH378" s="390"/>
      <c r="AI378" s="391"/>
      <c r="AK378" s="437"/>
      <c r="AL378" s="437"/>
      <c r="AM378" s="437"/>
      <c r="AN378" s="437"/>
      <c r="AO378" s="437"/>
      <c r="AP378" s="437"/>
      <c r="AQ378" s="437"/>
      <c r="AR378" s="437"/>
      <c r="AS378" s="437"/>
      <c r="AT378" s="437"/>
      <c r="AU378" s="437"/>
      <c r="AV378" s="437"/>
      <c r="AW378" s="437"/>
      <c r="AX378" s="437"/>
      <c r="AY378" s="437"/>
      <c r="AZ378" s="437"/>
      <c r="BA378" s="437"/>
      <c r="BB378" s="437"/>
      <c r="BC378" s="437"/>
      <c r="BD378" s="437"/>
      <c r="BE378" s="437"/>
      <c r="BF378" s="437"/>
      <c r="BG378" s="437"/>
      <c r="BH378" s="437"/>
      <c r="BI378" s="437"/>
      <c r="BJ378" s="437"/>
      <c r="BK378" s="437"/>
      <c r="BL378" s="437"/>
      <c r="BM378" s="393"/>
      <c r="BO378" s="399">
        <f t="shared" si="153"/>
        <v>0</v>
      </c>
      <c r="BP378" s="399">
        <f t="shared" si="154"/>
        <v>0</v>
      </c>
      <c r="BQ378" s="399">
        <f t="shared" si="155"/>
        <v>0</v>
      </c>
      <c r="BR378" s="399">
        <f t="shared" si="156"/>
        <v>0</v>
      </c>
      <c r="BS378" s="399">
        <f t="shared" si="157"/>
        <v>0</v>
      </c>
      <c r="BT378" s="399">
        <f t="shared" si="158"/>
        <v>0</v>
      </c>
      <c r="BU378" s="399">
        <f t="shared" si="159"/>
        <v>0</v>
      </c>
      <c r="BV378" s="399">
        <f t="shared" si="160"/>
        <v>0</v>
      </c>
      <c r="BW378" s="399">
        <f t="shared" si="161"/>
        <v>0</v>
      </c>
      <c r="BX378" s="399">
        <f t="shared" si="162"/>
        <v>0</v>
      </c>
      <c r="BY378" s="399">
        <f t="shared" si="163"/>
        <v>0</v>
      </c>
      <c r="BZ378" s="399">
        <f t="shared" si="164"/>
        <v>0</v>
      </c>
      <c r="CA378" s="399">
        <f t="shared" si="165"/>
        <v>0</v>
      </c>
      <c r="CB378" s="399">
        <f t="shared" si="166"/>
        <v>0</v>
      </c>
      <c r="CC378" s="399">
        <f t="shared" si="167"/>
        <v>0</v>
      </c>
      <c r="CD378" s="399">
        <f t="shared" si="168"/>
        <v>0</v>
      </c>
      <c r="CE378" s="399">
        <f t="shared" si="169"/>
        <v>0</v>
      </c>
      <c r="CF378" s="399">
        <f t="shared" si="170"/>
        <v>0</v>
      </c>
      <c r="CG378" s="399">
        <f t="shared" si="171"/>
        <v>0</v>
      </c>
      <c r="CH378" s="399">
        <f t="shared" si="172"/>
        <v>0</v>
      </c>
      <c r="CI378" s="399">
        <f t="shared" si="173"/>
        <v>0</v>
      </c>
      <c r="CJ378" s="399">
        <f t="shared" si="174"/>
        <v>0</v>
      </c>
      <c r="CK378" s="399">
        <f t="shared" si="175"/>
        <v>0</v>
      </c>
      <c r="CL378" s="399">
        <f t="shared" si="176"/>
        <v>0</v>
      </c>
      <c r="CM378" s="399">
        <f t="shared" si="177"/>
        <v>0</v>
      </c>
      <c r="CN378" s="399">
        <f t="shared" si="178"/>
        <v>0</v>
      </c>
      <c r="CO378" s="399">
        <f t="shared" si="179"/>
        <v>0</v>
      </c>
      <c r="CP378" s="399">
        <f t="shared" si="180"/>
        <v>0</v>
      </c>
      <c r="CQ378" s="423">
        <f t="shared" si="181"/>
        <v>0</v>
      </c>
      <c r="CS378" s="394" t="e">
        <f t="shared" si="182"/>
        <v>#DIV/0!</v>
      </c>
    </row>
    <row r="379" spans="3:97">
      <c r="C379" s="107"/>
      <c r="D379" s="395"/>
      <c r="E379" s="84"/>
      <c r="F379" s="84"/>
      <c r="G379" s="389"/>
      <c r="H379" s="390"/>
      <c r="I379" s="390"/>
      <c r="J379" s="390"/>
      <c r="K379" s="390"/>
      <c r="L379" s="390"/>
      <c r="M379" s="390"/>
      <c r="N379" s="390"/>
      <c r="O379" s="390"/>
      <c r="P379" s="390"/>
      <c r="Q379" s="390"/>
      <c r="R379" s="390"/>
      <c r="S379" s="390"/>
      <c r="T379" s="390"/>
      <c r="U379" s="390"/>
      <c r="V379" s="390"/>
      <c r="W379" s="390"/>
      <c r="X379" s="390"/>
      <c r="Y379" s="390"/>
      <c r="Z379" s="390"/>
      <c r="AA379" s="390"/>
      <c r="AB379" s="390"/>
      <c r="AC379" s="390"/>
      <c r="AD379" s="390"/>
      <c r="AE379" s="390"/>
      <c r="AF379" s="390"/>
      <c r="AG379" s="390"/>
      <c r="AH379" s="390"/>
      <c r="AI379" s="391"/>
      <c r="AK379" s="437"/>
      <c r="AL379" s="437"/>
      <c r="AM379" s="437"/>
      <c r="AN379" s="437"/>
      <c r="AO379" s="437"/>
      <c r="AP379" s="437"/>
      <c r="AQ379" s="437"/>
      <c r="AR379" s="437"/>
      <c r="AS379" s="437"/>
      <c r="AT379" s="437"/>
      <c r="AU379" s="437"/>
      <c r="AV379" s="437"/>
      <c r="AW379" s="437"/>
      <c r="AX379" s="437"/>
      <c r="AY379" s="437"/>
      <c r="AZ379" s="437"/>
      <c r="BA379" s="437"/>
      <c r="BB379" s="437"/>
      <c r="BC379" s="437"/>
      <c r="BD379" s="437"/>
      <c r="BE379" s="437"/>
      <c r="BF379" s="437"/>
      <c r="BG379" s="437"/>
      <c r="BH379" s="437"/>
      <c r="BI379" s="437"/>
      <c r="BJ379" s="437"/>
      <c r="BK379" s="437"/>
      <c r="BL379" s="437"/>
      <c r="BM379" s="393"/>
      <c r="BO379" s="399">
        <f t="shared" si="153"/>
        <v>0</v>
      </c>
      <c r="BP379" s="399">
        <f t="shared" si="154"/>
        <v>0</v>
      </c>
      <c r="BQ379" s="399">
        <f t="shared" si="155"/>
        <v>0</v>
      </c>
      <c r="BR379" s="399">
        <f t="shared" si="156"/>
        <v>0</v>
      </c>
      <c r="BS379" s="399">
        <f t="shared" si="157"/>
        <v>0</v>
      </c>
      <c r="BT379" s="399">
        <f t="shared" si="158"/>
        <v>0</v>
      </c>
      <c r="BU379" s="399">
        <f t="shared" si="159"/>
        <v>0</v>
      </c>
      <c r="BV379" s="399">
        <f t="shared" si="160"/>
        <v>0</v>
      </c>
      <c r="BW379" s="399">
        <f t="shared" si="161"/>
        <v>0</v>
      </c>
      <c r="BX379" s="399">
        <f t="shared" si="162"/>
        <v>0</v>
      </c>
      <c r="BY379" s="399">
        <f t="shared" si="163"/>
        <v>0</v>
      </c>
      <c r="BZ379" s="399">
        <f t="shared" si="164"/>
        <v>0</v>
      </c>
      <c r="CA379" s="399">
        <f t="shared" si="165"/>
        <v>0</v>
      </c>
      <c r="CB379" s="399">
        <f t="shared" si="166"/>
        <v>0</v>
      </c>
      <c r="CC379" s="399">
        <f t="shared" si="167"/>
        <v>0</v>
      </c>
      <c r="CD379" s="399">
        <f t="shared" si="168"/>
        <v>0</v>
      </c>
      <c r="CE379" s="399">
        <f t="shared" si="169"/>
        <v>0</v>
      </c>
      <c r="CF379" s="399">
        <f t="shared" si="170"/>
        <v>0</v>
      </c>
      <c r="CG379" s="399">
        <f t="shared" si="171"/>
        <v>0</v>
      </c>
      <c r="CH379" s="399">
        <f t="shared" si="172"/>
        <v>0</v>
      </c>
      <c r="CI379" s="399">
        <f t="shared" si="173"/>
        <v>0</v>
      </c>
      <c r="CJ379" s="399">
        <f t="shared" si="174"/>
        <v>0</v>
      </c>
      <c r="CK379" s="399">
        <f t="shared" si="175"/>
        <v>0</v>
      </c>
      <c r="CL379" s="399">
        <f t="shared" si="176"/>
        <v>0</v>
      </c>
      <c r="CM379" s="399">
        <f t="shared" si="177"/>
        <v>0</v>
      </c>
      <c r="CN379" s="399">
        <f t="shared" si="178"/>
        <v>0</v>
      </c>
      <c r="CO379" s="399">
        <f t="shared" si="179"/>
        <v>0</v>
      </c>
      <c r="CP379" s="399">
        <f t="shared" si="180"/>
        <v>0</v>
      </c>
      <c r="CQ379" s="423">
        <f t="shared" si="181"/>
        <v>0</v>
      </c>
      <c r="CS379" s="394" t="e">
        <f t="shared" si="182"/>
        <v>#DIV/0!</v>
      </c>
    </row>
    <row r="380" spans="3:97">
      <c r="C380" s="107"/>
      <c r="D380" s="395"/>
      <c r="E380" s="84"/>
      <c r="F380" s="84"/>
      <c r="G380" s="389"/>
      <c r="H380" s="390"/>
      <c r="I380" s="390"/>
      <c r="J380" s="390"/>
      <c r="K380" s="390"/>
      <c r="L380" s="390"/>
      <c r="M380" s="390"/>
      <c r="N380" s="390"/>
      <c r="O380" s="390"/>
      <c r="P380" s="390"/>
      <c r="Q380" s="390"/>
      <c r="R380" s="390"/>
      <c r="S380" s="390"/>
      <c r="T380" s="390"/>
      <c r="U380" s="390"/>
      <c r="V380" s="390"/>
      <c r="W380" s="390"/>
      <c r="X380" s="390"/>
      <c r="Y380" s="390"/>
      <c r="Z380" s="390"/>
      <c r="AA380" s="390"/>
      <c r="AB380" s="390"/>
      <c r="AC380" s="390"/>
      <c r="AD380" s="390"/>
      <c r="AE380" s="390"/>
      <c r="AF380" s="390"/>
      <c r="AG380" s="390"/>
      <c r="AH380" s="390"/>
      <c r="AI380" s="391"/>
      <c r="AK380" s="437"/>
      <c r="AL380" s="437"/>
      <c r="AM380" s="437"/>
      <c r="AN380" s="437"/>
      <c r="AO380" s="437"/>
      <c r="AP380" s="437"/>
      <c r="AQ380" s="437"/>
      <c r="AR380" s="437"/>
      <c r="AS380" s="437"/>
      <c r="AT380" s="437"/>
      <c r="AU380" s="437"/>
      <c r="AV380" s="437"/>
      <c r="AW380" s="437"/>
      <c r="AX380" s="437"/>
      <c r="AY380" s="437"/>
      <c r="AZ380" s="437"/>
      <c r="BA380" s="437"/>
      <c r="BB380" s="437"/>
      <c r="BC380" s="437"/>
      <c r="BD380" s="437"/>
      <c r="BE380" s="437"/>
      <c r="BF380" s="437"/>
      <c r="BG380" s="437"/>
      <c r="BH380" s="437"/>
      <c r="BI380" s="437"/>
      <c r="BJ380" s="437"/>
      <c r="BK380" s="437"/>
      <c r="BL380" s="437"/>
      <c r="BM380" s="393"/>
      <c r="BO380" s="399">
        <f t="shared" si="153"/>
        <v>0</v>
      </c>
      <c r="BP380" s="399">
        <f t="shared" si="154"/>
        <v>0</v>
      </c>
      <c r="BQ380" s="399">
        <f t="shared" si="155"/>
        <v>0</v>
      </c>
      <c r="BR380" s="399">
        <f t="shared" si="156"/>
        <v>0</v>
      </c>
      <c r="BS380" s="399">
        <f t="shared" si="157"/>
        <v>0</v>
      </c>
      <c r="BT380" s="399">
        <f t="shared" si="158"/>
        <v>0</v>
      </c>
      <c r="BU380" s="399">
        <f t="shared" si="159"/>
        <v>0</v>
      </c>
      <c r="BV380" s="399">
        <f t="shared" si="160"/>
        <v>0</v>
      </c>
      <c r="BW380" s="399">
        <f t="shared" si="161"/>
        <v>0</v>
      </c>
      <c r="BX380" s="399">
        <f t="shared" si="162"/>
        <v>0</v>
      </c>
      <c r="BY380" s="399">
        <f t="shared" si="163"/>
        <v>0</v>
      </c>
      <c r="BZ380" s="399">
        <f t="shared" si="164"/>
        <v>0</v>
      </c>
      <c r="CA380" s="399">
        <f t="shared" si="165"/>
        <v>0</v>
      </c>
      <c r="CB380" s="399">
        <f t="shared" si="166"/>
        <v>0</v>
      </c>
      <c r="CC380" s="399">
        <f t="shared" si="167"/>
        <v>0</v>
      </c>
      <c r="CD380" s="399">
        <f t="shared" si="168"/>
        <v>0</v>
      </c>
      <c r="CE380" s="399">
        <f t="shared" si="169"/>
        <v>0</v>
      </c>
      <c r="CF380" s="399">
        <f t="shared" si="170"/>
        <v>0</v>
      </c>
      <c r="CG380" s="399">
        <f t="shared" si="171"/>
        <v>0</v>
      </c>
      <c r="CH380" s="399">
        <f t="shared" si="172"/>
        <v>0</v>
      </c>
      <c r="CI380" s="399">
        <f t="shared" si="173"/>
        <v>0</v>
      </c>
      <c r="CJ380" s="399">
        <f t="shared" si="174"/>
        <v>0</v>
      </c>
      <c r="CK380" s="399">
        <f t="shared" si="175"/>
        <v>0</v>
      </c>
      <c r="CL380" s="399">
        <f t="shared" si="176"/>
        <v>0</v>
      </c>
      <c r="CM380" s="399">
        <f t="shared" si="177"/>
        <v>0</v>
      </c>
      <c r="CN380" s="399">
        <f t="shared" si="178"/>
        <v>0</v>
      </c>
      <c r="CO380" s="399">
        <f t="shared" si="179"/>
        <v>0</v>
      </c>
      <c r="CP380" s="399">
        <f t="shared" si="180"/>
        <v>0</v>
      </c>
      <c r="CQ380" s="423">
        <f t="shared" si="181"/>
        <v>0</v>
      </c>
      <c r="CS380" s="394" t="e">
        <f t="shared" si="182"/>
        <v>#DIV/0!</v>
      </c>
    </row>
    <row r="381" spans="3:97">
      <c r="C381" s="107"/>
      <c r="D381" s="395"/>
      <c r="E381" s="84"/>
      <c r="F381" s="84"/>
      <c r="G381" s="389"/>
      <c r="H381" s="390"/>
      <c r="I381" s="390"/>
      <c r="J381" s="390"/>
      <c r="K381" s="390"/>
      <c r="L381" s="390"/>
      <c r="M381" s="390"/>
      <c r="N381" s="390"/>
      <c r="O381" s="390"/>
      <c r="P381" s="390"/>
      <c r="Q381" s="390"/>
      <c r="R381" s="390"/>
      <c r="S381" s="390"/>
      <c r="T381" s="390"/>
      <c r="U381" s="390"/>
      <c r="V381" s="390"/>
      <c r="W381" s="390"/>
      <c r="X381" s="390"/>
      <c r="Y381" s="390"/>
      <c r="Z381" s="390"/>
      <c r="AA381" s="390"/>
      <c r="AB381" s="390"/>
      <c r="AC381" s="390"/>
      <c r="AD381" s="390"/>
      <c r="AE381" s="390"/>
      <c r="AF381" s="390"/>
      <c r="AG381" s="390"/>
      <c r="AH381" s="390"/>
      <c r="AI381" s="391"/>
      <c r="AK381" s="437"/>
      <c r="AL381" s="437"/>
      <c r="AM381" s="437"/>
      <c r="AN381" s="437"/>
      <c r="AO381" s="437"/>
      <c r="AP381" s="437"/>
      <c r="AQ381" s="437"/>
      <c r="AR381" s="437"/>
      <c r="AS381" s="437"/>
      <c r="AT381" s="437"/>
      <c r="AU381" s="437"/>
      <c r="AV381" s="437"/>
      <c r="AW381" s="437"/>
      <c r="AX381" s="437"/>
      <c r="AY381" s="437"/>
      <c r="AZ381" s="437"/>
      <c r="BA381" s="437"/>
      <c r="BB381" s="437"/>
      <c r="BC381" s="437"/>
      <c r="BD381" s="437"/>
      <c r="BE381" s="437"/>
      <c r="BF381" s="437"/>
      <c r="BG381" s="437"/>
      <c r="BH381" s="437"/>
      <c r="BI381" s="437"/>
      <c r="BJ381" s="437"/>
      <c r="BK381" s="437"/>
      <c r="BL381" s="437"/>
      <c r="BM381" s="393"/>
      <c r="BO381" s="399">
        <f t="shared" si="153"/>
        <v>0</v>
      </c>
      <c r="BP381" s="399">
        <f t="shared" si="154"/>
        <v>0</v>
      </c>
      <c r="BQ381" s="399">
        <f t="shared" si="155"/>
        <v>0</v>
      </c>
      <c r="BR381" s="399">
        <f t="shared" si="156"/>
        <v>0</v>
      </c>
      <c r="BS381" s="399">
        <f t="shared" si="157"/>
        <v>0</v>
      </c>
      <c r="BT381" s="399">
        <f t="shared" si="158"/>
        <v>0</v>
      </c>
      <c r="BU381" s="399">
        <f t="shared" si="159"/>
        <v>0</v>
      </c>
      <c r="BV381" s="399">
        <f t="shared" si="160"/>
        <v>0</v>
      </c>
      <c r="BW381" s="399">
        <f t="shared" si="161"/>
        <v>0</v>
      </c>
      <c r="BX381" s="399">
        <f t="shared" si="162"/>
        <v>0</v>
      </c>
      <c r="BY381" s="399">
        <f t="shared" si="163"/>
        <v>0</v>
      </c>
      <c r="BZ381" s="399">
        <f t="shared" si="164"/>
        <v>0</v>
      </c>
      <c r="CA381" s="399">
        <f t="shared" si="165"/>
        <v>0</v>
      </c>
      <c r="CB381" s="399">
        <f t="shared" si="166"/>
        <v>0</v>
      </c>
      <c r="CC381" s="399">
        <f t="shared" si="167"/>
        <v>0</v>
      </c>
      <c r="CD381" s="399">
        <f t="shared" si="168"/>
        <v>0</v>
      </c>
      <c r="CE381" s="399">
        <f t="shared" si="169"/>
        <v>0</v>
      </c>
      <c r="CF381" s="399">
        <f t="shared" si="170"/>
        <v>0</v>
      </c>
      <c r="CG381" s="399">
        <f t="shared" si="171"/>
        <v>0</v>
      </c>
      <c r="CH381" s="399">
        <f t="shared" si="172"/>
        <v>0</v>
      </c>
      <c r="CI381" s="399">
        <f t="shared" si="173"/>
        <v>0</v>
      </c>
      <c r="CJ381" s="399">
        <f t="shared" si="174"/>
        <v>0</v>
      </c>
      <c r="CK381" s="399">
        <f t="shared" si="175"/>
        <v>0</v>
      </c>
      <c r="CL381" s="399">
        <f t="shared" si="176"/>
        <v>0</v>
      </c>
      <c r="CM381" s="399">
        <f t="shared" si="177"/>
        <v>0</v>
      </c>
      <c r="CN381" s="399">
        <f t="shared" si="178"/>
        <v>0</v>
      </c>
      <c r="CO381" s="399">
        <f t="shared" si="179"/>
        <v>0</v>
      </c>
      <c r="CP381" s="399">
        <f t="shared" si="180"/>
        <v>0</v>
      </c>
      <c r="CQ381" s="423">
        <f t="shared" si="181"/>
        <v>0</v>
      </c>
      <c r="CS381" s="394" t="e">
        <f t="shared" si="182"/>
        <v>#DIV/0!</v>
      </c>
    </row>
    <row r="382" spans="3:97">
      <c r="C382" s="107"/>
      <c r="D382" s="395"/>
      <c r="E382" s="84"/>
      <c r="F382" s="84"/>
      <c r="G382" s="389"/>
      <c r="H382" s="390"/>
      <c r="I382" s="390"/>
      <c r="J382" s="390"/>
      <c r="K382" s="390"/>
      <c r="L382" s="390"/>
      <c r="M382" s="390"/>
      <c r="N382" s="390"/>
      <c r="O382" s="390"/>
      <c r="P382" s="390"/>
      <c r="Q382" s="390"/>
      <c r="R382" s="390"/>
      <c r="S382" s="390"/>
      <c r="T382" s="390"/>
      <c r="U382" s="390"/>
      <c r="V382" s="390"/>
      <c r="W382" s="390"/>
      <c r="X382" s="390"/>
      <c r="Y382" s="390"/>
      <c r="Z382" s="390"/>
      <c r="AA382" s="390"/>
      <c r="AB382" s="390"/>
      <c r="AC382" s="390"/>
      <c r="AD382" s="390"/>
      <c r="AE382" s="390"/>
      <c r="AF382" s="390"/>
      <c r="AG382" s="390"/>
      <c r="AH382" s="390"/>
      <c r="AI382" s="391"/>
      <c r="AK382" s="437"/>
      <c r="AL382" s="437"/>
      <c r="AM382" s="437"/>
      <c r="AN382" s="437"/>
      <c r="AO382" s="437"/>
      <c r="AP382" s="437"/>
      <c r="AQ382" s="437"/>
      <c r="AR382" s="437"/>
      <c r="AS382" s="437"/>
      <c r="AT382" s="437"/>
      <c r="AU382" s="437"/>
      <c r="AV382" s="437"/>
      <c r="AW382" s="437"/>
      <c r="AX382" s="437"/>
      <c r="AY382" s="437"/>
      <c r="AZ382" s="437"/>
      <c r="BA382" s="437"/>
      <c r="BB382" s="437"/>
      <c r="BC382" s="437"/>
      <c r="BD382" s="437"/>
      <c r="BE382" s="437"/>
      <c r="BF382" s="437"/>
      <c r="BG382" s="437"/>
      <c r="BH382" s="437"/>
      <c r="BI382" s="437"/>
      <c r="BJ382" s="437"/>
      <c r="BK382" s="437"/>
      <c r="BL382" s="437"/>
      <c r="BM382" s="393"/>
      <c r="BO382" s="399">
        <f t="shared" si="153"/>
        <v>0</v>
      </c>
      <c r="BP382" s="399">
        <f t="shared" si="154"/>
        <v>0</v>
      </c>
      <c r="BQ382" s="399">
        <f t="shared" si="155"/>
        <v>0</v>
      </c>
      <c r="BR382" s="399">
        <f t="shared" si="156"/>
        <v>0</v>
      </c>
      <c r="BS382" s="399">
        <f t="shared" si="157"/>
        <v>0</v>
      </c>
      <c r="BT382" s="399">
        <f t="shared" si="158"/>
        <v>0</v>
      </c>
      <c r="BU382" s="399">
        <f t="shared" si="159"/>
        <v>0</v>
      </c>
      <c r="BV382" s="399">
        <f t="shared" si="160"/>
        <v>0</v>
      </c>
      <c r="BW382" s="399">
        <f t="shared" si="161"/>
        <v>0</v>
      </c>
      <c r="BX382" s="399">
        <f t="shared" si="162"/>
        <v>0</v>
      </c>
      <c r="BY382" s="399">
        <f t="shared" si="163"/>
        <v>0</v>
      </c>
      <c r="BZ382" s="399">
        <f t="shared" si="164"/>
        <v>0</v>
      </c>
      <c r="CA382" s="399">
        <f t="shared" si="165"/>
        <v>0</v>
      </c>
      <c r="CB382" s="399">
        <f t="shared" si="166"/>
        <v>0</v>
      </c>
      <c r="CC382" s="399">
        <f t="shared" si="167"/>
        <v>0</v>
      </c>
      <c r="CD382" s="399">
        <f t="shared" si="168"/>
        <v>0</v>
      </c>
      <c r="CE382" s="399">
        <f t="shared" si="169"/>
        <v>0</v>
      </c>
      <c r="CF382" s="399">
        <f t="shared" si="170"/>
        <v>0</v>
      </c>
      <c r="CG382" s="399">
        <f t="shared" si="171"/>
        <v>0</v>
      </c>
      <c r="CH382" s="399">
        <f t="shared" si="172"/>
        <v>0</v>
      </c>
      <c r="CI382" s="399">
        <f t="shared" si="173"/>
        <v>0</v>
      </c>
      <c r="CJ382" s="399">
        <f t="shared" si="174"/>
        <v>0</v>
      </c>
      <c r="CK382" s="399">
        <f t="shared" si="175"/>
        <v>0</v>
      </c>
      <c r="CL382" s="399">
        <f t="shared" si="176"/>
        <v>0</v>
      </c>
      <c r="CM382" s="399">
        <f t="shared" si="177"/>
        <v>0</v>
      </c>
      <c r="CN382" s="399">
        <f t="shared" si="178"/>
        <v>0</v>
      </c>
      <c r="CO382" s="399">
        <f t="shared" si="179"/>
        <v>0</v>
      </c>
      <c r="CP382" s="399">
        <f t="shared" si="180"/>
        <v>0</v>
      </c>
      <c r="CQ382" s="423">
        <f t="shared" si="181"/>
        <v>0</v>
      </c>
      <c r="CS382" s="394" t="e">
        <f t="shared" si="182"/>
        <v>#DIV/0!</v>
      </c>
    </row>
    <row r="383" spans="3:97">
      <c r="C383" s="107"/>
      <c r="D383" s="395"/>
      <c r="E383" s="84"/>
      <c r="F383" s="84"/>
      <c r="G383" s="389"/>
      <c r="H383" s="390"/>
      <c r="I383" s="390"/>
      <c r="J383" s="390"/>
      <c r="K383" s="390"/>
      <c r="L383" s="390"/>
      <c r="M383" s="390"/>
      <c r="N383" s="390"/>
      <c r="O383" s="390"/>
      <c r="P383" s="390"/>
      <c r="Q383" s="390"/>
      <c r="R383" s="390"/>
      <c r="S383" s="390"/>
      <c r="T383" s="390"/>
      <c r="U383" s="390"/>
      <c r="V383" s="390"/>
      <c r="W383" s="390"/>
      <c r="X383" s="390"/>
      <c r="Y383" s="390"/>
      <c r="Z383" s="390"/>
      <c r="AA383" s="390"/>
      <c r="AB383" s="390"/>
      <c r="AC383" s="390"/>
      <c r="AD383" s="390"/>
      <c r="AE383" s="390"/>
      <c r="AF383" s="390"/>
      <c r="AG383" s="390"/>
      <c r="AH383" s="390"/>
      <c r="AI383" s="391"/>
      <c r="AK383" s="437"/>
      <c r="AL383" s="437"/>
      <c r="AM383" s="437"/>
      <c r="AN383" s="437"/>
      <c r="AO383" s="437"/>
      <c r="AP383" s="437"/>
      <c r="AQ383" s="437"/>
      <c r="AR383" s="437"/>
      <c r="AS383" s="437"/>
      <c r="AT383" s="437"/>
      <c r="AU383" s="437"/>
      <c r="AV383" s="437"/>
      <c r="AW383" s="437"/>
      <c r="AX383" s="437"/>
      <c r="AY383" s="437"/>
      <c r="AZ383" s="437"/>
      <c r="BA383" s="437"/>
      <c r="BB383" s="437"/>
      <c r="BC383" s="437"/>
      <c r="BD383" s="437"/>
      <c r="BE383" s="437"/>
      <c r="BF383" s="437"/>
      <c r="BG383" s="437"/>
      <c r="BH383" s="437"/>
      <c r="BI383" s="437"/>
      <c r="BJ383" s="437"/>
      <c r="BK383" s="437"/>
      <c r="BL383" s="437"/>
      <c r="BM383" s="393"/>
      <c r="BO383" s="399">
        <f t="shared" si="153"/>
        <v>0</v>
      </c>
      <c r="BP383" s="399">
        <f t="shared" si="154"/>
        <v>0</v>
      </c>
      <c r="BQ383" s="399">
        <f t="shared" si="155"/>
        <v>0</v>
      </c>
      <c r="BR383" s="399">
        <f t="shared" si="156"/>
        <v>0</v>
      </c>
      <c r="BS383" s="399">
        <f t="shared" si="157"/>
        <v>0</v>
      </c>
      <c r="BT383" s="399">
        <f t="shared" si="158"/>
        <v>0</v>
      </c>
      <c r="BU383" s="399">
        <f t="shared" si="159"/>
        <v>0</v>
      </c>
      <c r="BV383" s="399">
        <f t="shared" si="160"/>
        <v>0</v>
      </c>
      <c r="BW383" s="399">
        <f t="shared" si="161"/>
        <v>0</v>
      </c>
      <c r="BX383" s="399">
        <f t="shared" si="162"/>
        <v>0</v>
      </c>
      <c r="BY383" s="399">
        <f t="shared" si="163"/>
        <v>0</v>
      </c>
      <c r="BZ383" s="399">
        <f t="shared" si="164"/>
        <v>0</v>
      </c>
      <c r="CA383" s="399">
        <f t="shared" si="165"/>
        <v>0</v>
      </c>
      <c r="CB383" s="399">
        <f t="shared" si="166"/>
        <v>0</v>
      </c>
      <c r="CC383" s="399">
        <f t="shared" si="167"/>
        <v>0</v>
      </c>
      <c r="CD383" s="399">
        <f t="shared" si="168"/>
        <v>0</v>
      </c>
      <c r="CE383" s="399">
        <f t="shared" si="169"/>
        <v>0</v>
      </c>
      <c r="CF383" s="399">
        <f t="shared" si="170"/>
        <v>0</v>
      </c>
      <c r="CG383" s="399">
        <f t="shared" si="171"/>
        <v>0</v>
      </c>
      <c r="CH383" s="399">
        <f t="shared" si="172"/>
        <v>0</v>
      </c>
      <c r="CI383" s="399">
        <f t="shared" si="173"/>
        <v>0</v>
      </c>
      <c r="CJ383" s="399">
        <f t="shared" si="174"/>
        <v>0</v>
      </c>
      <c r="CK383" s="399">
        <f t="shared" si="175"/>
        <v>0</v>
      </c>
      <c r="CL383" s="399">
        <f t="shared" si="176"/>
        <v>0</v>
      </c>
      <c r="CM383" s="399">
        <f t="shared" si="177"/>
        <v>0</v>
      </c>
      <c r="CN383" s="399">
        <f t="shared" si="178"/>
        <v>0</v>
      </c>
      <c r="CO383" s="399">
        <f t="shared" si="179"/>
        <v>0</v>
      </c>
      <c r="CP383" s="399">
        <f t="shared" si="180"/>
        <v>0</v>
      </c>
      <c r="CQ383" s="423">
        <f t="shared" si="181"/>
        <v>0</v>
      </c>
      <c r="CS383" s="394" t="e">
        <f t="shared" si="182"/>
        <v>#DIV/0!</v>
      </c>
    </row>
    <row r="384" spans="3:97">
      <c r="C384" s="107"/>
      <c r="D384" s="395"/>
      <c r="E384" s="84"/>
      <c r="F384" s="84"/>
      <c r="G384" s="389"/>
      <c r="H384" s="390"/>
      <c r="I384" s="390"/>
      <c r="J384" s="390"/>
      <c r="K384" s="390"/>
      <c r="L384" s="390"/>
      <c r="M384" s="390"/>
      <c r="N384" s="390"/>
      <c r="O384" s="390"/>
      <c r="P384" s="390"/>
      <c r="Q384" s="390"/>
      <c r="R384" s="390"/>
      <c r="S384" s="390"/>
      <c r="T384" s="390"/>
      <c r="U384" s="390"/>
      <c r="V384" s="390"/>
      <c r="W384" s="390"/>
      <c r="X384" s="390"/>
      <c r="Y384" s="390"/>
      <c r="Z384" s="390"/>
      <c r="AA384" s="390"/>
      <c r="AB384" s="390"/>
      <c r="AC384" s="390"/>
      <c r="AD384" s="390"/>
      <c r="AE384" s="390"/>
      <c r="AF384" s="390"/>
      <c r="AG384" s="390"/>
      <c r="AH384" s="390"/>
      <c r="AI384" s="391"/>
      <c r="AK384" s="437"/>
      <c r="AL384" s="437"/>
      <c r="AM384" s="437"/>
      <c r="AN384" s="437"/>
      <c r="AO384" s="437"/>
      <c r="AP384" s="437"/>
      <c r="AQ384" s="437"/>
      <c r="AR384" s="437"/>
      <c r="AS384" s="437"/>
      <c r="AT384" s="437"/>
      <c r="AU384" s="437"/>
      <c r="AV384" s="437"/>
      <c r="AW384" s="437"/>
      <c r="AX384" s="437"/>
      <c r="AY384" s="437"/>
      <c r="AZ384" s="437"/>
      <c r="BA384" s="437"/>
      <c r="BB384" s="437"/>
      <c r="BC384" s="437"/>
      <c r="BD384" s="437"/>
      <c r="BE384" s="437"/>
      <c r="BF384" s="437"/>
      <c r="BG384" s="437"/>
      <c r="BH384" s="437"/>
      <c r="BI384" s="437"/>
      <c r="BJ384" s="437"/>
      <c r="BK384" s="437"/>
      <c r="BL384" s="437"/>
      <c r="BM384" s="393"/>
      <c r="BO384" s="399">
        <f t="shared" si="153"/>
        <v>0</v>
      </c>
      <c r="BP384" s="399">
        <f t="shared" si="154"/>
        <v>0</v>
      </c>
      <c r="BQ384" s="399">
        <f t="shared" si="155"/>
        <v>0</v>
      </c>
      <c r="BR384" s="399">
        <f t="shared" si="156"/>
        <v>0</v>
      </c>
      <c r="BS384" s="399">
        <f t="shared" si="157"/>
        <v>0</v>
      </c>
      <c r="BT384" s="399">
        <f t="shared" si="158"/>
        <v>0</v>
      </c>
      <c r="BU384" s="399">
        <f t="shared" si="159"/>
        <v>0</v>
      </c>
      <c r="BV384" s="399">
        <f t="shared" si="160"/>
        <v>0</v>
      </c>
      <c r="BW384" s="399">
        <f t="shared" si="161"/>
        <v>0</v>
      </c>
      <c r="BX384" s="399">
        <f t="shared" si="162"/>
        <v>0</v>
      </c>
      <c r="BY384" s="399">
        <f t="shared" si="163"/>
        <v>0</v>
      </c>
      <c r="BZ384" s="399">
        <f t="shared" si="164"/>
        <v>0</v>
      </c>
      <c r="CA384" s="399">
        <f t="shared" si="165"/>
        <v>0</v>
      </c>
      <c r="CB384" s="399">
        <f t="shared" si="166"/>
        <v>0</v>
      </c>
      <c r="CC384" s="399">
        <f t="shared" si="167"/>
        <v>0</v>
      </c>
      <c r="CD384" s="399">
        <f t="shared" si="168"/>
        <v>0</v>
      </c>
      <c r="CE384" s="399">
        <f t="shared" si="169"/>
        <v>0</v>
      </c>
      <c r="CF384" s="399">
        <f t="shared" si="170"/>
        <v>0</v>
      </c>
      <c r="CG384" s="399">
        <f t="shared" si="171"/>
        <v>0</v>
      </c>
      <c r="CH384" s="399">
        <f t="shared" si="172"/>
        <v>0</v>
      </c>
      <c r="CI384" s="399">
        <f t="shared" si="173"/>
        <v>0</v>
      </c>
      <c r="CJ384" s="399">
        <f t="shared" si="174"/>
        <v>0</v>
      </c>
      <c r="CK384" s="399">
        <f t="shared" si="175"/>
        <v>0</v>
      </c>
      <c r="CL384" s="399">
        <f t="shared" si="176"/>
        <v>0</v>
      </c>
      <c r="CM384" s="399">
        <f t="shared" si="177"/>
        <v>0</v>
      </c>
      <c r="CN384" s="399">
        <f t="shared" si="178"/>
        <v>0</v>
      </c>
      <c r="CO384" s="399">
        <f t="shared" si="179"/>
        <v>0</v>
      </c>
      <c r="CP384" s="399">
        <f t="shared" si="180"/>
        <v>0</v>
      </c>
      <c r="CQ384" s="423">
        <f t="shared" si="181"/>
        <v>0</v>
      </c>
      <c r="CS384" s="394" t="e">
        <f t="shared" si="182"/>
        <v>#DIV/0!</v>
      </c>
    </row>
    <row r="385" spans="3:97">
      <c r="C385" s="107"/>
      <c r="D385" s="395"/>
      <c r="E385" s="84"/>
      <c r="F385" s="84"/>
      <c r="G385" s="389"/>
      <c r="H385" s="390"/>
      <c r="I385" s="390"/>
      <c r="J385" s="390"/>
      <c r="K385" s="390"/>
      <c r="L385" s="390"/>
      <c r="M385" s="390"/>
      <c r="N385" s="390"/>
      <c r="O385" s="390"/>
      <c r="P385" s="390"/>
      <c r="Q385" s="390"/>
      <c r="R385" s="390"/>
      <c r="S385" s="390"/>
      <c r="T385" s="390"/>
      <c r="U385" s="390"/>
      <c r="V385" s="390"/>
      <c r="W385" s="390"/>
      <c r="X385" s="390"/>
      <c r="Y385" s="390"/>
      <c r="Z385" s="390"/>
      <c r="AA385" s="390"/>
      <c r="AB385" s="390"/>
      <c r="AC385" s="390"/>
      <c r="AD385" s="390"/>
      <c r="AE385" s="390"/>
      <c r="AF385" s="390"/>
      <c r="AG385" s="390"/>
      <c r="AH385" s="390"/>
      <c r="AI385" s="391"/>
      <c r="AK385" s="437"/>
      <c r="AL385" s="437"/>
      <c r="AM385" s="437"/>
      <c r="AN385" s="437"/>
      <c r="AO385" s="437"/>
      <c r="AP385" s="437"/>
      <c r="AQ385" s="437"/>
      <c r="AR385" s="437"/>
      <c r="AS385" s="437"/>
      <c r="AT385" s="437"/>
      <c r="AU385" s="437"/>
      <c r="AV385" s="437"/>
      <c r="AW385" s="437"/>
      <c r="AX385" s="437"/>
      <c r="AY385" s="437"/>
      <c r="AZ385" s="437"/>
      <c r="BA385" s="437"/>
      <c r="BB385" s="437"/>
      <c r="BC385" s="437"/>
      <c r="BD385" s="437"/>
      <c r="BE385" s="437"/>
      <c r="BF385" s="437"/>
      <c r="BG385" s="437"/>
      <c r="BH385" s="437"/>
      <c r="BI385" s="437"/>
      <c r="BJ385" s="437"/>
      <c r="BK385" s="437"/>
      <c r="BL385" s="437"/>
      <c r="BM385" s="393"/>
      <c r="BO385" s="399">
        <f t="shared" si="153"/>
        <v>0</v>
      </c>
      <c r="BP385" s="399">
        <f t="shared" si="154"/>
        <v>0</v>
      </c>
      <c r="BQ385" s="399">
        <f t="shared" si="155"/>
        <v>0</v>
      </c>
      <c r="BR385" s="399">
        <f t="shared" si="156"/>
        <v>0</v>
      </c>
      <c r="BS385" s="399">
        <f t="shared" si="157"/>
        <v>0</v>
      </c>
      <c r="BT385" s="399">
        <f t="shared" si="158"/>
        <v>0</v>
      </c>
      <c r="BU385" s="399">
        <f t="shared" si="159"/>
        <v>0</v>
      </c>
      <c r="BV385" s="399">
        <f t="shared" si="160"/>
        <v>0</v>
      </c>
      <c r="BW385" s="399">
        <f t="shared" si="161"/>
        <v>0</v>
      </c>
      <c r="BX385" s="399">
        <f t="shared" si="162"/>
        <v>0</v>
      </c>
      <c r="BY385" s="399">
        <f t="shared" si="163"/>
        <v>0</v>
      </c>
      <c r="BZ385" s="399">
        <f t="shared" si="164"/>
        <v>0</v>
      </c>
      <c r="CA385" s="399">
        <f t="shared" si="165"/>
        <v>0</v>
      </c>
      <c r="CB385" s="399">
        <f t="shared" si="166"/>
        <v>0</v>
      </c>
      <c r="CC385" s="399">
        <f t="shared" si="167"/>
        <v>0</v>
      </c>
      <c r="CD385" s="399">
        <f t="shared" si="168"/>
        <v>0</v>
      </c>
      <c r="CE385" s="399">
        <f t="shared" si="169"/>
        <v>0</v>
      </c>
      <c r="CF385" s="399">
        <f t="shared" si="170"/>
        <v>0</v>
      </c>
      <c r="CG385" s="399">
        <f t="shared" si="171"/>
        <v>0</v>
      </c>
      <c r="CH385" s="399">
        <f t="shared" si="172"/>
        <v>0</v>
      </c>
      <c r="CI385" s="399">
        <f t="shared" si="173"/>
        <v>0</v>
      </c>
      <c r="CJ385" s="399">
        <f t="shared" si="174"/>
        <v>0</v>
      </c>
      <c r="CK385" s="399">
        <f t="shared" si="175"/>
        <v>0</v>
      </c>
      <c r="CL385" s="399">
        <f t="shared" si="176"/>
        <v>0</v>
      </c>
      <c r="CM385" s="399">
        <f t="shared" si="177"/>
        <v>0</v>
      </c>
      <c r="CN385" s="399">
        <f t="shared" si="178"/>
        <v>0</v>
      </c>
      <c r="CO385" s="399">
        <f t="shared" si="179"/>
        <v>0</v>
      </c>
      <c r="CP385" s="399">
        <f t="shared" si="180"/>
        <v>0</v>
      </c>
      <c r="CQ385" s="423">
        <f t="shared" si="181"/>
        <v>0</v>
      </c>
      <c r="CS385" s="394" t="e">
        <f t="shared" si="182"/>
        <v>#DIV/0!</v>
      </c>
    </row>
    <row r="386" spans="3:97">
      <c r="C386" s="107"/>
      <c r="D386" s="395"/>
      <c r="E386" s="84"/>
      <c r="F386" s="84"/>
      <c r="G386" s="389"/>
      <c r="H386" s="390"/>
      <c r="I386" s="390"/>
      <c r="J386" s="390"/>
      <c r="K386" s="390"/>
      <c r="L386" s="390"/>
      <c r="M386" s="390"/>
      <c r="N386" s="390"/>
      <c r="O386" s="390"/>
      <c r="P386" s="390"/>
      <c r="Q386" s="390"/>
      <c r="R386" s="390"/>
      <c r="S386" s="390"/>
      <c r="T386" s="390"/>
      <c r="U386" s="390"/>
      <c r="V386" s="390"/>
      <c r="W386" s="390"/>
      <c r="X386" s="390"/>
      <c r="Y386" s="390"/>
      <c r="Z386" s="390"/>
      <c r="AA386" s="390"/>
      <c r="AB386" s="390"/>
      <c r="AC386" s="390"/>
      <c r="AD386" s="390"/>
      <c r="AE386" s="390"/>
      <c r="AF386" s="390"/>
      <c r="AG386" s="390"/>
      <c r="AH386" s="390"/>
      <c r="AI386" s="391"/>
      <c r="AK386" s="437"/>
      <c r="AL386" s="437"/>
      <c r="AM386" s="437"/>
      <c r="AN386" s="437"/>
      <c r="AO386" s="437"/>
      <c r="AP386" s="437"/>
      <c r="AQ386" s="437"/>
      <c r="AR386" s="437"/>
      <c r="AS386" s="437"/>
      <c r="AT386" s="437"/>
      <c r="AU386" s="437"/>
      <c r="AV386" s="437"/>
      <c r="AW386" s="437"/>
      <c r="AX386" s="437"/>
      <c r="AY386" s="437"/>
      <c r="AZ386" s="437"/>
      <c r="BA386" s="437"/>
      <c r="BB386" s="437"/>
      <c r="BC386" s="437"/>
      <c r="BD386" s="437"/>
      <c r="BE386" s="437"/>
      <c r="BF386" s="437"/>
      <c r="BG386" s="437"/>
      <c r="BH386" s="437"/>
      <c r="BI386" s="437"/>
      <c r="BJ386" s="437"/>
      <c r="BK386" s="437"/>
      <c r="BL386" s="437"/>
      <c r="BM386" s="393"/>
      <c r="BO386" s="399">
        <f t="shared" si="153"/>
        <v>0</v>
      </c>
      <c r="BP386" s="399">
        <f t="shared" si="154"/>
        <v>0</v>
      </c>
      <c r="BQ386" s="399">
        <f t="shared" si="155"/>
        <v>0</v>
      </c>
      <c r="BR386" s="399">
        <f t="shared" si="156"/>
        <v>0</v>
      </c>
      <c r="BS386" s="399">
        <f t="shared" si="157"/>
        <v>0</v>
      </c>
      <c r="BT386" s="399">
        <f t="shared" si="158"/>
        <v>0</v>
      </c>
      <c r="BU386" s="399">
        <f t="shared" si="159"/>
        <v>0</v>
      </c>
      <c r="BV386" s="399">
        <f t="shared" si="160"/>
        <v>0</v>
      </c>
      <c r="BW386" s="399">
        <f t="shared" si="161"/>
        <v>0</v>
      </c>
      <c r="BX386" s="399">
        <f t="shared" si="162"/>
        <v>0</v>
      </c>
      <c r="BY386" s="399">
        <f t="shared" si="163"/>
        <v>0</v>
      </c>
      <c r="BZ386" s="399">
        <f t="shared" si="164"/>
        <v>0</v>
      </c>
      <c r="CA386" s="399">
        <f t="shared" si="165"/>
        <v>0</v>
      </c>
      <c r="CB386" s="399">
        <f t="shared" si="166"/>
        <v>0</v>
      </c>
      <c r="CC386" s="399">
        <f t="shared" si="167"/>
        <v>0</v>
      </c>
      <c r="CD386" s="399">
        <f t="shared" si="168"/>
        <v>0</v>
      </c>
      <c r="CE386" s="399">
        <f t="shared" si="169"/>
        <v>0</v>
      </c>
      <c r="CF386" s="399">
        <f t="shared" si="170"/>
        <v>0</v>
      </c>
      <c r="CG386" s="399">
        <f t="shared" si="171"/>
        <v>0</v>
      </c>
      <c r="CH386" s="399">
        <f t="shared" si="172"/>
        <v>0</v>
      </c>
      <c r="CI386" s="399">
        <f t="shared" si="173"/>
        <v>0</v>
      </c>
      <c r="CJ386" s="399">
        <f t="shared" si="174"/>
        <v>0</v>
      </c>
      <c r="CK386" s="399">
        <f t="shared" si="175"/>
        <v>0</v>
      </c>
      <c r="CL386" s="399">
        <f t="shared" si="176"/>
        <v>0</v>
      </c>
      <c r="CM386" s="399">
        <f t="shared" si="177"/>
        <v>0</v>
      </c>
      <c r="CN386" s="399">
        <f t="shared" si="178"/>
        <v>0</v>
      </c>
      <c r="CO386" s="399">
        <f t="shared" si="179"/>
        <v>0</v>
      </c>
      <c r="CP386" s="399">
        <f t="shared" si="180"/>
        <v>0</v>
      </c>
      <c r="CQ386" s="423">
        <f t="shared" si="181"/>
        <v>0</v>
      </c>
      <c r="CS386" s="394" t="e">
        <f t="shared" si="182"/>
        <v>#DIV/0!</v>
      </c>
    </row>
    <row r="387" spans="3:97">
      <c r="C387" s="107"/>
      <c r="D387" s="395"/>
      <c r="E387" s="84"/>
      <c r="F387" s="84"/>
      <c r="G387" s="389"/>
      <c r="H387" s="390"/>
      <c r="I387" s="390"/>
      <c r="J387" s="390"/>
      <c r="K387" s="390"/>
      <c r="L387" s="390"/>
      <c r="M387" s="390"/>
      <c r="N387" s="390"/>
      <c r="O387" s="390"/>
      <c r="P387" s="390"/>
      <c r="Q387" s="390"/>
      <c r="R387" s="390"/>
      <c r="S387" s="390"/>
      <c r="T387" s="390"/>
      <c r="U387" s="390"/>
      <c r="V387" s="390"/>
      <c r="W387" s="390"/>
      <c r="X387" s="390"/>
      <c r="Y387" s="390"/>
      <c r="Z387" s="390"/>
      <c r="AA387" s="390"/>
      <c r="AB387" s="390"/>
      <c r="AC387" s="390"/>
      <c r="AD387" s="390"/>
      <c r="AE387" s="390"/>
      <c r="AF387" s="390"/>
      <c r="AG387" s="390"/>
      <c r="AH387" s="390"/>
      <c r="AI387" s="391"/>
      <c r="AK387" s="437"/>
      <c r="AL387" s="437"/>
      <c r="AM387" s="437"/>
      <c r="AN387" s="437"/>
      <c r="AO387" s="437"/>
      <c r="AP387" s="437"/>
      <c r="AQ387" s="437"/>
      <c r="AR387" s="437"/>
      <c r="AS387" s="437"/>
      <c r="AT387" s="437"/>
      <c r="AU387" s="437"/>
      <c r="AV387" s="437"/>
      <c r="AW387" s="437"/>
      <c r="AX387" s="437"/>
      <c r="AY387" s="437"/>
      <c r="AZ387" s="437"/>
      <c r="BA387" s="437"/>
      <c r="BB387" s="437"/>
      <c r="BC387" s="437"/>
      <c r="BD387" s="437"/>
      <c r="BE387" s="437"/>
      <c r="BF387" s="437"/>
      <c r="BG387" s="437"/>
      <c r="BH387" s="437"/>
      <c r="BI387" s="437"/>
      <c r="BJ387" s="437"/>
      <c r="BK387" s="437"/>
      <c r="BL387" s="437"/>
      <c r="BM387" s="393"/>
      <c r="BO387" s="399">
        <f t="shared" si="153"/>
        <v>0</v>
      </c>
      <c r="BP387" s="399">
        <f t="shared" si="154"/>
        <v>0</v>
      </c>
      <c r="BQ387" s="399">
        <f t="shared" si="155"/>
        <v>0</v>
      </c>
      <c r="BR387" s="399">
        <f t="shared" si="156"/>
        <v>0</v>
      </c>
      <c r="BS387" s="399">
        <f t="shared" si="157"/>
        <v>0</v>
      </c>
      <c r="BT387" s="399">
        <f t="shared" si="158"/>
        <v>0</v>
      </c>
      <c r="BU387" s="399">
        <f t="shared" si="159"/>
        <v>0</v>
      </c>
      <c r="BV387" s="399">
        <f t="shared" si="160"/>
        <v>0</v>
      </c>
      <c r="BW387" s="399">
        <f t="shared" si="161"/>
        <v>0</v>
      </c>
      <c r="BX387" s="399">
        <f t="shared" si="162"/>
        <v>0</v>
      </c>
      <c r="BY387" s="399">
        <f t="shared" si="163"/>
        <v>0</v>
      </c>
      <c r="BZ387" s="399">
        <f t="shared" si="164"/>
        <v>0</v>
      </c>
      <c r="CA387" s="399">
        <f t="shared" si="165"/>
        <v>0</v>
      </c>
      <c r="CB387" s="399">
        <f t="shared" si="166"/>
        <v>0</v>
      </c>
      <c r="CC387" s="399">
        <f t="shared" si="167"/>
        <v>0</v>
      </c>
      <c r="CD387" s="399">
        <f t="shared" si="168"/>
        <v>0</v>
      </c>
      <c r="CE387" s="399">
        <f t="shared" si="169"/>
        <v>0</v>
      </c>
      <c r="CF387" s="399">
        <f t="shared" si="170"/>
        <v>0</v>
      </c>
      <c r="CG387" s="399">
        <f t="shared" si="171"/>
        <v>0</v>
      </c>
      <c r="CH387" s="399">
        <f t="shared" si="172"/>
        <v>0</v>
      </c>
      <c r="CI387" s="399">
        <f t="shared" si="173"/>
        <v>0</v>
      </c>
      <c r="CJ387" s="399">
        <f t="shared" si="174"/>
        <v>0</v>
      </c>
      <c r="CK387" s="399">
        <f t="shared" si="175"/>
        <v>0</v>
      </c>
      <c r="CL387" s="399">
        <f t="shared" si="176"/>
        <v>0</v>
      </c>
      <c r="CM387" s="399">
        <f t="shared" si="177"/>
        <v>0</v>
      </c>
      <c r="CN387" s="399">
        <f t="shared" si="178"/>
        <v>0</v>
      </c>
      <c r="CO387" s="399">
        <f t="shared" si="179"/>
        <v>0</v>
      </c>
      <c r="CP387" s="399">
        <f t="shared" si="180"/>
        <v>0</v>
      </c>
      <c r="CQ387" s="423">
        <f t="shared" si="181"/>
        <v>0</v>
      </c>
      <c r="CS387" s="394" t="e">
        <f t="shared" si="182"/>
        <v>#DIV/0!</v>
      </c>
    </row>
    <row r="388" spans="3:97">
      <c r="C388" s="107"/>
      <c r="D388" s="395"/>
      <c r="E388" s="84"/>
      <c r="F388" s="84"/>
      <c r="G388" s="389"/>
      <c r="H388" s="390"/>
      <c r="I388" s="390"/>
      <c r="J388" s="390"/>
      <c r="K388" s="390"/>
      <c r="L388" s="390"/>
      <c r="M388" s="390"/>
      <c r="N388" s="390"/>
      <c r="O388" s="390"/>
      <c r="P388" s="390"/>
      <c r="Q388" s="390"/>
      <c r="R388" s="390"/>
      <c r="S388" s="390"/>
      <c r="T388" s="390"/>
      <c r="U388" s="390"/>
      <c r="V388" s="390"/>
      <c r="W388" s="390"/>
      <c r="X388" s="390"/>
      <c r="Y388" s="390"/>
      <c r="Z388" s="390"/>
      <c r="AA388" s="390"/>
      <c r="AB388" s="390"/>
      <c r="AC388" s="390"/>
      <c r="AD388" s="390"/>
      <c r="AE388" s="390"/>
      <c r="AF388" s="390"/>
      <c r="AG388" s="390"/>
      <c r="AH388" s="390"/>
      <c r="AI388" s="391"/>
      <c r="AK388" s="437"/>
      <c r="AL388" s="437"/>
      <c r="AM388" s="437"/>
      <c r="AN388" s="437"/>
      <c r="AO388" s="437"/>
      <c r="AP388" s="437"/>
      <c r="AQ388" s="437"/>
      <c r="AR388" s="437"/>
      <c r="AS388" s="437"/>
      <c r="AT388" s="437"/>
      <c r="AU388" s="437"/>
      <c r="AV388" s="437"/>
      <c r="AW388" s="437"/>
      <c r="AX388" s="437"/>
      <c r="AY388" s="437"/>
      <c r="AZ388" s="437"/>
      <c r="BA388" s="437"/>
      <c r="BB388" s="437"/>
      <c r="BC388" s="437"/>
      <c r="BD388" s="437"/>
      <c r="BE388" s="437"/>
      <c r="BF388" s="437"/>
      <c r="BG388" s="437"/>
      <c r="BH388" s="437"/>
      <c r="BI388" s="437"/>
      <c r="BJ388" s="437"/>
      <c r="BK388" s="437"/>
      <c r="BL388" s="437"/>
      <c r="BM388" s="393"/>
      <c r="BO388" s="399">
        <f t="shared" si="153"/>
        <v>0</v>
      </c>
      <c r="BP388" s="399">
        <f t="shared" si="154"/>
        <v>0</v>
      </c>
      <c r="BQ388" s="399">
        <f t="shared" si="155"/>
        <v>0</v>
      </c>
      <c r="BR388" s="399">
        <f t="shared" si="156"/>
        <v>0</v>
      </c>
      <c r="BS388" s="399">
        <f t="shared" si="157"/>
        <v>0</v>
      </c>
      <c r="BT388" s="399">
        <f t="shared" si="158"/>
        <v>0</v>
      </c>
      <c r="BU388" s="399">
        <f t="shared" si="159"/>
        <v>0</v>
      </c>
      <c r="BV388" s="399">
        <f t="shared" si="160"/>
        <v>0</v>
      </c>
      <c r="BW388" s="399">
        <f t="shared" si="161"/>
        <v>0</v>
      </c>
      <c r="BX388" s="399">
        <f t="shared" si="162"/>
        <v>0</v>
      </c>
      <c r="BY388" s="399">
        <f t="shared" si="163"/>
        <v>0</v>
      </c>
      <c r="BZ388" s="399">
        <f t="shared" si="164"/>
        <v>0</v>
      </c>
      <c r="CA388" s="399">
        <f t="shared" si="165"/>
        <v>0</v>
      </c>
      <c r="CB388" s="399">
        <f t="shared" si="166"/>
        <v>0</v>
      </c>
      <c r="CC388" s="399">
        <f t="shared" si="167"/>
        <v>0</v>
      </c>
      <c r="CD388" s="399">
        <f t="shared" si="168"/>
        <v>0</v>
      </c>
      <c r="CE388" s="399">
        <f t="shared" si="169"/>
        <v>0</v>
      </c>
      <c r="CF388" s="399">
        <f t="shared" si="170"/>
        <v>0</v>
      </c>
      <c r="CG388" s="399">
        <f t="shared" si="171"/>
        <v>0</v>
      </c>
      <c r="CH388" s="399">
        <f t="shared" si="172"/>
        <v>0</v>
      </c>
      <c r="CI388" s="399">
        <f t="shared" si="173"/>
        <v>0</v>
      </c>
      <c r="CJ388" s="399">
        <f t="shared" si="174"/>
        <v>0</v>
      </c>
      <c r="CK388" s="399">
        <f t="shared" si="175"/>
        <v>0</v>
      </c>
      <c r="CL388" s="399">
        <f t="shared" si="176"/>
        <v>0</v>
      </c>
      <c r="CM388" s="399">
        <f t="shared" si="177"/>
        <v>0</v>
      </c>
      <c r="CN388" s="399">
        <f t="shared" si="178"/>
        <v>0</v>
      </c>
      <c r="CO388" s="399">
        <f t="shared" si="179"/>
        <v>0</v>
      </c>
      <c r="CP388" s="399">
        <f t="shared" si="180"/>
        <v>0</v>
      </c>
      <c r="CQ388" s="423">
        <f t="shared" si="181"/>
        <v>0</v>
      </c>
      <c r="CS388" s="394" t="e">
        <f t="shared" si="182"/>
        <v>#DIV/0!</v>
      </c>
    </row>
    <row r="389" spans="3:97">
      <c r="C389" s="107"/>
      <c r="D389" s="395"/>
      <c r="E389" s="84"/>
      <c r="F389" s="84"/>
      <c r="G389" s="389"/>
      <c r="H389" s="390"/>
      <c r="I389" s="390"/>
      <c r="J389" s="390"/>
      <c r="K389" s="390"/>
      <c r="L389" s="390"/>
      <c r="M389" s="390"/>
      <c r="N389" s="390"/>
      <c r="O389" s="390"/>
      <c r="P389" s="390"/>
      <c r="Q389" s="390"/>
      <c r="R389" s="390"/>
      <c r="S389" s="390"/>
      <c r="T389" s="390"/>
      <c r="U389" s="390"/>
      <c r="V389" s="390"/>
      <c r="W389" s="390"/>
      <c r="X389" s="390"/>
      <c r="Y389" s="390"/>
      <c r="Z389" s="390"/>
      <c r="AA389" s="390"/>
      <c r="AB389" s="390"/>
      <c r="AC389" s="390"/>
      <c r="AD389" s="390"/>
      <c r="AE389" s="390"/>
      <c r="AF389" s="390"/>
      <c r="AG389" s="390"/>
      <c r="AH389" s="390"/>
      <c r="AI389" s="391"/>
      <c r="AK389" s="437"/>
      <c r="AL389" s="437"/>
      <c r="AM389" s="437"/>
      <c r="AN389" s="437"/>
      <c r="AO389" s="437"/>
      <c r="AP389" s="437"/>
      <c r="AQ389" s="437"/>
      <c r="AR389" s="437"/>
      <c r="AS389" s="437"/>
      <c r="AT389" s="437"/>
      <c r="AU389" s="437"/>
      <c r="AV389" s="437"/>
      <c r="AW389" s="437"/>
      <c r="AX389" s="437"/>
      <c r="AY389" s="437"/>
      <c r="AZ389" s="437"/>
      <c r="BA389" s="437"/>
      <c r="BB389" s="437"/>
      <c r="BC389" s="437"/>
      <c r="BD389" s="437"/>
      <c r="BE389" s="437"/>
      <c r="BF389" s="437"/>
      <c r="BG389" s="437"/>
      <c r="BH389" s="437"/>
      <c r="BI389" s="437"/>
      <c r="BJ389" s="437"/>
      <c r="BK389" s="437"/>
      <c r="BL389" s="437"/>
      <c r="BM389" s="393"/>
      <c r="BO389" s="399">
        <f t="shared" si="153"/>
        <v>0</v>
      </c>
      <c r="BP389" s="399">
        <f t="shared" si="154"/>
        <v>0</v>
      </c>
      <c r="BQ389" s="399">
        <f t="shared" si="155"/>
        <v>0</v>
      </c>
      <c r="BR389" s="399">
        <f t="shared" si="156"/>
        <v>0</v>
      </c>
      <c r="BS389" s="399">
        <f t="shared" si="157"/>
        <v>0</v>
      </c>
      <c r="BT389" s="399">
        <f t="shared" si="158"/>
        <v>0</v>
      </c>
      <c r="BU389" s="399">
        <f t="shared" si="159"/>
        <v>0</v>
      </c>
      <c r="BV389" s="399">
        <f t="shared" si="160"/>
        <v>0</v>
      </c>
      <c r="BW389" s="399">
        <f t="shared" si="161"/>
        <v>0</v>
      </c>
      <c r="BX389" s="399">
        <f t="shared" si="162"/>
        <v>0</v>
      </c>
      <c r="BY389" s="399">
        <f t="shared" si="163"/>
        <v>0</v>
      </c>
      <c r="BZ389" s="399">
        <f t="shared" si="164"/>
        <v>0</v>
      </c>
      <c r="CA389" s="399">
        <f t="shared" si="165"/>
        <v>0</v>
      </c>
      <c r="CB389" s="399">
        <f t="shared" si="166"/>
        <v>0</v>
      </c>
      <c r="CC389" s="399">
        <f t="shared" si="167"/>
        <v>0</v>
      </c>
      <c r="CD389" s="399">
        <f t="shared" si="168"/>
        <v>0</v>
      </c>
      <c r="CE389" s="399">
        <f t="shared" si="169"/>
        <v>0</v>
      </c>
      <c r="CF389" s="399">
        <f t="shared" si="170"/>
        <v>0</v>
      </c>
      <c r="CG389" s="399">
        <f t="shared" si="171"/>
        <v>0</v>
      </c>
      <c r="CH389" s="399">
        <f t="shared" si="172"/>
        <v>0</v>
      </c>
      <c r="CI389" s="399">
        <f t="shared" si="173"/>
        <v>0</v>
      </c>
      <c r="CJ389" s="399">
        <f t="shared" si="174"/>
        <v>0</v>
      </c>
      <c r="CK389" s="399">
        <f t="shared" si="175"/>
        <v>0</v>
      </c>
      <c r="CL389" s="399">
        <f t="shared" si="176"/>
        <v>0</v>
      </c>
      <c r="CM389" s="399">
        <f t="shared" si="177"/>
        <v>0</v>
      </c>
      <c r="CN389" s="399">
        <f t="shared" si="178"/>
        <v>0</v>
      </c>
      <c r="CO389" s="399">
        <f t="shared" si="179"/>
        <v>0</v>
      </c>
      <c r="CP389" s="399">
        <f t="shared" si="180"/>
        <v>0</v>
      </c>
      <c r="CQ389" s="423">
        <f t="shared" si="181"/>
        <v>0</v>
      </c>
      <c r="CS389" s="394" t="e">
        <f t="shared" si="182"/>
        <v>#DIV/0!</v>
      </c>
    </row>
    <row r="390" spans="3:97">
      <c r="C390" s="107"/>
      <c r="D390" s="395"/>
      <c r="E390" s="84"/>
      <c r="F390" s="84"/>
      <c r="G390" s="389"/>
      <c r="H390" s="390"/>
      <c r="I390" s="390"/>
      <c r="J390" s="390"/>
      <c r="K390" s="390"/>
      <c r="L390" s="390"/>
      <c r="M390" s="390"/>
      <c r="N390" s="390"/>
      <c r="O390" s="390"/>
      <c r="P390" s="390"/>
      <c r="Q390" s="390"/>
      <c r="R390" s="390"/>
      <c r="S390" s="390"/>
      <c r="T390" s="390"/>
      <c r="U390" s="390"/>
      <c r="V390" s="390"/>
      <c r="W390" s="390"/>
      <c r="X390" s="390"/>
      <c r="Y390" s="390"/>
      <c r="Z390" s="390"/>
      <c r="AA390" s="390"/>
      <c r="AB390" s="390"/>
      <c r="AC390" s="390"/>
      <c r="AD390" s="390"/>
      <c r="AE390" s="390"/>
      <c r="AF390" s="390"/>
      <c r="AG390" s="390"/>
      <c r="AH390" s="390"/>
      <c r="AI390" s="391"/>
      <c r="AK390" s="437"/>
      <c r="AL390" s="437"/>
      <c r="AM390" s="437"/>
      <c r="AN390" s="437"/>
      <c r="AO390" s="437"/>
      <c r="AP390" s="437"/>
      <c r="AQ390" s="437"/>
      <c r="AR390" s="437"/>
      <c r="AS390" s="437"/>
      <c r="AT390" s="437"/>
      <c r="AU390" s="437"/>
      <c r="AV390" s="437"/>
      <c r="AW390" s="437"/>
      <c r="AX390" s="437"/>
      <c r="AY390" s="437"/>
      <c r="AZ390" s="437"/>
      <c r="BA390" s="437"/>
      <c r="BB390" s="437"/>
      <c r="BC390" s="437"/>
      <c r="BD390" s="437"/>
      <c r="BE390" s="437"/>
      <c r="BF390" s="437"/>
      <c r="BG390" s="437"/>
      <c r="BH390" s="437"/>
      <c r="BI390" s="437"/>
      <c r="BJ390" s="437"/>
      <c r="BK390" s="437"/>
      <c r="BL390" s="437"/>
      <c r="BM390" s="393"/>
      <c r="BO390" s="399">
        <f t="shared" si="153"/>
        <v>0</v>
      </c>
      <c r="BP390" s="399">
        <f t="shared" si="154"/>
        <v>0</v>
      </c>
      <c r="BQ390" s="399">
        <f t="shared" si="155"/>
        <v>0</v>
      </c>
      <c r="BR390" s="399">
        <f t="shared" si="156"/>
        <v>0</v>
      </c>
      <c r="BS390" s="399">
        <f t="shared" si="157"/>
        <v>0</v>
      </c>
      <c r="BT390" s="399">
        <f t="shared" si="158"/>
        <v>0</v>
      </c>
      <c r="BU390" s="399">
        <f t="shared" si="159"/>
        <v>0</v>
      </c>
      <c r="BV390" s="399">
        <f t="shared" si="160"/>
        <v>0</v>
      </c>
      <c r="BW390" s="399">
        <f t="shared" si="161"/>
        <v>0</v>
      </c>
      <c r="BX390" s="399">
        <f t="shared" si="162"/>
        <v>0</v>
      </c>
      <c r="BY390" s="399">
        <f t="shared" si="163"/>
        <v>0</v>
      </c>
      <c r="BZ390" s="399">
        <f t="shared" si="164"/>
        <v>0</v>
      </c>
      <c r="CA390" s="399">
        <f t="shared" si="165"/>
        <v>0</v>
      </c>
      <c r="CB390" s="399">
        <f t="shared" si="166"/>
        <v>0</v>
      </c>
      <c r="CC390" s="399">
        <f t="shared" si="167"/>
        <v>0</v>
      </c>
      <c r="CD390" s="399">
        <f t="shared" si="168"/>
        <v>0</v>
      </c>
      <c r="CE390" s="399">
        <f t="shared" si="169"/>
        <v>0</v>
      </c>
      <c r="CF390" s="399">
        <f t="shared" si="170"/>
        <v>0</v>
      </c>
      <c r="CG390" s="399">
        <f t="shared" si="171"/>
        <v>0</v>
      </c>
      <c r="CH390" s="399">
        <f t="shared" si="172"/>
        <v>0</v>
      </c>
      <c r="CI390" s="399">
        <f t="shared" si="173"/>
        <v>0</v>
      </c>
      <c r="CJ390" s="399">
        <f t="shared" si="174"/>
        <v>0</v>
      </c>
      <c r="CK390" s="399">
        <f t="shared" si="175"/>
        <v>0</v>
      </c>
      <c r="CL390" s="399">
        <f t="shared" si="176"/>
        <v>0</v>
      </c>
      <c r="CM390" s="399">
        <f t="shared" si="177"/>
        <v>0</v>
      </c>
      <c r="CN390" s="399">
        <f t="shared" si="178"/>
        <v>0</v>
      </c>
      <c r="CO390" s="399">
        <f t="shared" si="179"/>
        <v>0</v>
      </c>
      <c r="CP390" s="399">
        <f t="shared" si="180"/>
        <v>0</v>
      </c>
      <c r="CQ390" s="423">
        <f t="shared" si="181"/>
        <v>0</v>
      </c>
      <c r="CS390" s="394" t="e">
        <f t="shared" si="182"/>
        <v>#DIV/0!</v>
      </c>
    </row>
    <row r="391" spans="3:97">
      <c r="C391" s="107"/>
      <c r="D391" s="395"/>
      <c r="E391" s="84"/>
      <c r="F391" s="84"/>
      <c r="G391" s="389"/>
      <c r="H391" s="390"/>
      <c r="I391" s="390"/>
      <c r="J391" s="390"/>
      <c r="K391" s="390"/>
      <c r="L391" s="390"/>
      <c r="M391" s="390"/>
      <c r="N391" s="390"/>
      <c r="O391" s="390"/>
      <c r="P391" s="390"/>
      <c r="Q391" s="390"/>
      <c r="R391" s="390"/>
      <c r="S391" s="390"/>
      <c r="T391" s="390"/>
      <c r="U391" s="390"/>
      <c r="V391" s="390"/>
      <c r="W391" s="390"/>
      <c r="X391" s="390"/>
      <c r="Y391" s="390"/>
      <c r="Z391" s="390"/>
      <c r="AA391" s="390"/>
      <c r="AB391" s="390"/>
      <c r="AC391" s="390"/>
      <c r="AD391" s="390"/>
      <c r="AE391" s="390"/>
      <c r="AF391" s="390"/>
      <c r="AG391" s="390"/>
      <c r="AH391" s="390"/>
      <c r="AI391" s="391"/>
      <c r="AK391" s="437"/>
      <c r="AL391" s="437"/>
      <c r="AM391" s="437"/>
      <c r="AN391" s="437"/>
      <c r="AO391" s="437"/>
      <c r="AP391" s="437"/>
      <c r="AQ391" s="437"/>
      <c r="AR391" s="437"/>
      <c r="AS391" s="437"/>
      <c r="AT391" s="437"/>
      <c r="AU391" s="437"/>
      <c r="AV391" s="437"/>
      <c r="AW391" s="437"/>
      <c r="AX391" s="437"/>
      <c r="AY391" s="437"/>
      <c r="AZ391" s="437"/>
      <c r="BA391" s="437"/>
      <c r="BB391" s="437"/>
      <c r="BC391" s="437"/>
      <c r="BD391" s="437"/>
      <c r="BE391" s="437"/>
      <c r="BF391" s="437"/>
      <c r="BG391" s="437"/>
      <c r="BH391" s="437"/>
      <c r="BI391" s="437"/>
      <c r="BJ391" s="437"/>
      <c r="BK391" s="437"/>
      <c r="BL391" s="437"/>
      <c r="BM391" s="393"/>
      <c r="BO391" s="399">
        <f t="shared" si="153"/>
        <v>0</v>
      </c>
      <c r="BP391" s="399">
        <f t="shared" si="154"/>
        <v>0</v>
      </c>
      <c r="BQ391" s="399">
        <f t="shared" si="155"/>
        <v>0</v>
      </c>
      <c r="BR391" s="399">
        <f t="shared" si="156"/>
        <v>0</v>
      </c>
      <c r="BS391" s="399">
        <f t="shared" si="157"/>
        <v>0</v>
      </c>
      <c r="BT391" s="399">
        <f t="shared" si="158"/>
        <v>0</v>
      </c>
      <c r="BU391" s="399">
        <f t="shared" si="159"/>
        <v>0</v>
      </c>
      <c r="BV391" s="399">
        <f t="shared" si="160"/>
        <v>0</v>
      </c>
      <c r="BW391" s="399">
        <f t="shared" si="161"/>
        <v>0</v>
      </c>
      <c r="BX391" s="399">
        <f t="shared" si="162"/>
        <v>0</v>
      </c>
      <c r="BY391" s="399">
        <f t="shared" si="163"/>
        <v>0</v>
      </c>
      <c r="BZ391" s="399">
        <f t="shared" si="164"/>
        <v>0</v>
      </c>
      <c r="CA391" s="399">
        <f t="shared" si="165"/>
        <v>0</v>
      </c>
      <c r="CB391" s="399">
        <f t="shared" si="166"/>
        <v>0</v>
      </c>
      <c r="CC391" s="399">
        <f t="shared" si="167"/>
        <v>0</v>
      </c>
      <c r="CD391" s="399">
        <f t="shared" si="168"/>
        <v>0</v>
      </c>
      <c r="CE391" s="399">
        <f t="shared" si="169"/>
        <v>0</v>
      </c>
      <c r="CF391" s="399">
        <f t="shared" si="170"/>
        <v>0</v>
      </c>
      <c r="CG391" s="399">
        <f t="shared" si="171"/>
        <v>0</v>
      </c>
      <c r="CH391" s="399">
        <f t="shared" si="172"/>
        <v>0</v>
      </c>
      <c r="CI391" s="399">
        <f t="shared" si="173"/>
        <v>0</v>
      </c>
      <c r="CJ391" s="399">
        <f t="shared" si="174"/>
        <v>0</v>
      </c>
      <c r="CK391" s="399">
        <f t="shared" si="175"/>
        <v>0</v>
      </c>
      <c r="CL391" s="399">
        <f t="shared" si="176"/>
        <v>0</v>
      </c>
      <c r="CM391" s="399">
        <f t="shared" si="177"/>
        <v>0</v>
      </c>
      <c r="CN391" s="399">
        <f t="shared" si="178"/>
        <v>0</v>
      </c>
      <c r="CO391" s="399">
        <f t="shared" si="179"/>
        <v>0</v>
      </c>
      <c r="CP391" s="399">
        <f t="shared" si="180"/>
        <v>0</v>
      </c>
      <c r="CQ391" s="423">
        <f t="shared" si="181"/>
        <v>0</v>
      </c>
      <c r="CS391" s="394" t="e">
        <f t="shared" si="182"/>
        <v>#DIV/0!</v>
      </c>
    </row>
    <row r="392" spans="3:97">
      <c r="C392" s="107"/>
      <c r="D392" s="395"/>
      <c r="E392" s="84"/>
      <c r="F392" s="84"/>
      <c r="G392" s="389"/>
      <c r="H392" s="390"/>
      <c r="I392" s="390"/>
      <c r="J392" s="390"/>
      <c r="K392" s="390"/>
      <c r="L392" s="390"/>
      <c r="M392" s="390"/>
      <c r="N392" s="390"/>
      <c r="O392" s="390"/>
      <c r="P392" s="390"/>
      <c r="Q392" s="390"/>
      <c r="R392" s="390"/>
      <c r="S392" s="390"/>
      <c r="T392" s="390"/>
      <c r="U392" s="390"/>
      <c r="V392" s="390"/>
      <c r="W392" s="390"/>
      <c r="X392" s="390"/>
      <c r="Y392" s="390"/>
      <c r="Z392" s="390"/>
      <c r="AA392" s="390"/>
      <c r="AB392" s="390"/>
      <c r="AC392" s="390"/>
      <c r="AD392" s="390"/>
      <c r="AE392" s="390"/>
      <c r="AF392" s="390"/>
      <c r="AG392" s="390"/>
      <c r="AH392" s="390"/>
      <c r="AI392" s="391"/>
      <c r="AK392" s="437"/>
      <c r="AL392" s="437"/>
      <c r="AM392" s="437"/>
      <c r="AN392" s="437"/>
      <c r="AO392" s="437"/>
      <c r="AP392" s="437"/>
      <c r="AQ392" s="437"/>
      <c r="AR392" s="437"/>
      <c r="AS392" s="437"/>
      <c r="AT392" s="437"/>
      <c r="AU392" s="437"/>
      <c r="AV392" s="437"/>
      <c r="AW392" s="437"/>
      <c r="AX392" s="437"/>
      <c r="AY392" s="437"/>
      <c r="AZ392" s="437"/>
      <c r="BA392" s="437"/>
      <c r="BB392" s="437"/>
      <c r="BC392" s="437"/>
      <c r="BD392" s="437"/>
      <c r="BE392" s="437"/>
      <c r="BF392" s="437"/>
      <c r="BG392" s="437"/>
      <c r="BH392" s="437"/>
      <c r="BI392" s="437"/>
      <c r="BJ392" s="437"/>
      <c r="BK392" s="437"/>
      <c r="BL392" s="437"/>
      <c r="BM392" s="393"/>
      <c r="BO392" s="399">
        <f t="shared" si="153"/>
        <v>0</v>
      </c>
      <c r="BP392" s="399">
        <f t="shared" si="154"/>
        <v>0</v>
      </c>
      <c r="BQ392" s="399">
        <f t="shared" si="155"/>
        <v>0</v>
      </c>
      <c r="BR392" s="399">
        <f t="shared" si="156"/>
        <v>0</v>
      </c>
      <c r="BS392" s="399">
        <f t="shared" si="157"/>
        <v>0</v>
      </c>
      <c r="BT392" s="399">
        <f t="shared" si="158"/>
        <v>0</v>
      </c>
      <c r="BU392" s="399">
        <f t="shared" si="159"/>
        <v>0</v>
      </c>
      <c r="BV392" s="399">
        <f t="shared" si="160"/>
        <v>0</v>
      </c>
      <c r="BW392" s="399">
        <f t="shared" si="161"/>
        <v>0</v>
      </c>
      <c r="BX392" s="399">
        <f t="shared" si="162"/>
        <v>0</v>
      </c>
      <c r="BY392" s="399">
        <f t="shared" si="163"/>
        <v>0</v>
      </c>
      <c r="BZ392" s="399">
        <f t="shared" si="164"/>
        <v>0</v>
      </c>
      <c r="CA392" s="399">
        <f t="shared" si="165"/>
        <v>0</v>
      </c>
      <c r="CB392" s="399">
        <f t="shared" si="166"/>
        <v>0</v>
      </c>
      <c r="CC392" s="399">
        <f t="shared" si="167"/>
        <v>0</v>
      </c>
      <c r="CD392" s="399">
        <f t="shared" si="168"/>
        <v>0</v>
      </c>
      <c r="CE392" s="399">
        <f t="shared" si="169"/>
        <v>0</v>
      </c>
      <c r="CF392" s="399">
        <f t="shared" si="170"/>
        <v>0</v>
      </c>
      <c r="CG392" s="399">
        <f t="shared" si="171"/>
        <v>0</v>
      </c>
      <c r="CH392" s="399">
        <f t="shared" si="172"/>
        <v>0</v>
      </c>
      <c r="CI392" s="399">
        <f t="shared" si="173"/>
        <v>0</v>
      </c>
      <c r="CJ392" s="399">
        <f t="shared" si="174"/>
        <v>0</v>
      </c>
      <c r="CK392" s="399">
        <f t="shared" si="175"/>
        <v>0</v>
      </c>
      <c r="CL392" s="399">
        <f t="shared" si="176"/>
        <v>0</v>
      </c>
      <c r="CM392" s="399">
        <f t="shared" si="177"/>
        <v>0</v>
      </c>
      <c r="CN392" s="399">
        <f t="shared" si="178"/>
        <v>0</v>
      </c>
      <c r="CO392" s="399">
        <f t="shared" si="179"/>
        <v>0</v>
      </c>
      <c r="CP392" s="399">
        <f t="shared" si="180"/>
        <v>0</v>
      </c>
      <c r="CQ392" s="423">
        <f t="shared" si="181"/>
        <v>0</v>
      </c>
      <c r="CS392" s="394" t="e">
        <f t="shared" si="182"/>
        <v>#DIV/0!</v>
      </c>
    </row>
    <row r="393" spans="3:97">
      <c r="C393" s="107"/>
      <c r="D393" s="395"/>
      <c r="E393" s="84"/>
      <c r="F393" s="84"/>
      <c r="G393" s="389"/>
      <c r="H393" s="390"/>
      <c r="I393" s="390"/>
      <c r="J393" s="390"/>
      <c r="K393" s="390"/>
      <c r="L393" s="390"/>
      <c r="M393" s="390"/>
      <c r="N393" s="390"/>
      <c r="O393" s="390"/>
      <c r="P393" s="390"/>
      <c r="Q393" s="390"/>
      <c r="R393" s="390"/>
      <c r="S393" s="390"/>
      <c r="T393" s="390"/>
      <c r="U393" s="390"/>
      <c r="V393" s="390"/>
      <c r="W393" s="390"/>
      <c r="X393" s="390"/>
      <c r="Y393" s="390"/>
      <c r="Z393" s="390"/>
      <c r="AA393" s="390"/>
      <c r="AB393" s="390"/>
      <c r="AC393" s="390"/>
      <c r="AD393" s="390"/>
      <c r="AE393" s="390"/>
      <c r="AF393" s="390"/>
      <c r="AG393" s="390"/>
      <c r="AH393" s="390"/>
      <c r="AI393" s="391"/>
      <c r="AK393" s="437"/>
      <c r="AL393" s="437"/>
      <c r="AM393" s="437"/>
      <c r="AN393" s="437"/>
      <c r="AO393" s="437"/>
      <c r="AP393" s="437"/>
      <c r="AQ393" s="437"/>
      <c r="AR393" s="437"/>
      <c r="AS393" s="437"/>
      <c r="AT393" s="437"/>
      <c r="AU393" s="437"/>
      <c r="AV393" s="437"/>
      <c r="AW393" s="437"/>
      <c r="AX393" s="437"/>
      <c r="AY393" s="437"/>
      <c r="AZ393" s="437"/>
      <c r="BA393" s="437"/>
      <c r="BB393" s="437"/>
      <c r="BC393" s="437"/>
      <c r="BD393" s="437"/>
      <c r="BE393" s="437"/>
      <c r="BF393" s="437"/>
      <c r="BG393" s="437"/>
      <c r="BH393" s="437"/>
      <c r="BI393" s="437"/>
      <c r="BJ393" s="437"/>
      <c r="BK393" s="437"/>
      <c r="BL393" s="437"/>
      <c r="BM393" s="393"/>
      <c r="BO393" s="399">
        <f t="shared" si="153"/>
        <v>0</v>
      </c>
      <c r="BP393" s="399">
        <f t="shared" si="154"/>
        <v>0</v>
      </c>
      <c r="BQ393" s="399">
        <f t="shared" si="155"/>
        <v>0</v>
      </c>
      <c r="BR393" s="399">
        <f t="shared" si="156"/>
        <v>0</v>
      </c>
      <c r="BS393" s="399">
        <f t="shared" si="157"/>
        <v>0</v>
      </c>
      <c r="BT393" s="399">
        <f t="shared" si="158"/>
        <v>0</v>
      </c>
      <c r="BU393" s="399">
        <f t="shared" si="159"/>
        <v>0</v>
      </c>
      <c r="BV393" s="399">
        <f t="shared" si="160"/>
        <v>0</v>
      </c>
      <c r="BW393" s="399">
        <f t="shared" si="161"/>
        <v>0</v>
      </c>
      <c r="BX393" s="399">
        <f t="shared" si="162"/>
        <v>0</v>
      </c>
      <c r="BY393" s="399">
        <f t="shared" si="163"/>
        <v>0</v>
      </c>
      <c r="BZ393" s="399">
        <f t="shared" si="164"/>
        <v>0</v>
      </c>
      <c r="CA393" s="399">
        <f t="shared" si="165"/>
        <v>0</v>
      </c>
      <c r="CB393" s="399">
        <f t="shared" si="166"/>
        <v>0</v>
      </c>
      <c r="CC393" s="399">
        <f t="shared" si="167"/>
        <v>0</v>
      </c>
      <c r="CD393" s="399">
        <f t="shared" si="168"/>
        <v>0</v>
      </c>
      <c r="CE393" s="399">
        <f t="shared" si="169"/>
        <v>0</v>
      </c>
      <c r="CF393" s="399">
        <f t="shared" si="170"/>
        <v>0</v>
      </c>
      <c r="CG393" s="399">
        <f t="shared" si="171"/>
        <v>0</v>
      </c>
      <c r="CH393" s="399">
        <f t="shared" si="172"/>
        <v>0</v>
      </c>
      <c r="CI393" s="399">
        <f t="shared" si="173"/>
        <v>0</v>
      </c>
      <c r="CJ393" s="399">
        <f t="shared" si="174"/>
        <v>0</v>
      </c>
      <c r="CK393" s="399">
        <f t="shared" si="175"/>
        <v>0</v>
      </c>
      <c r="CL393" s="399">
        <f t="shared" si="176"/>
        <v>0</v>
      </c>
      <c r="CM393" s="399">
        <f t="shared" si="177"/>
        <v>0</v>
      </c>
      <c r="CN393" s="399">
        <f t="shared" si="178"/>
        <v>0</v>
      </c>
      <c r="CO393" s="399">
        <f t="shared" si="179"/>
        <v>0</v>
      </c>
      <c r="CP393" s="399">
        <f t="shared" si="180"/>
        <v>0</v>
      </c>
      <c r="CQ393" s="423">
        <f t="shared" si="181"/>
        <v>0</v>
      </c>
      <c r="CS393" s="394" t="e">
        <f t="shared" si="182"/>
        <v>#DIV/0!</v>
      </c>
    </row>
    <row r="394" spans="3:97">
      <c r="C394" s="107"/>
      <c r="D394" s="395"/>
      <c r="E394" s="84"/>
      <c r="F394" s="84"/>
      <c r="G394" s="389"/>
      <c r="H394" s="390"/>
      <c r="I394" s="390"/>
      <c r="J394" s="390"/>
      <c r="K394" s="390"/>
      <c r="L394" s="390"/>
      <c r="M394" s="390"/>
      <c r="N394" s="390"/>
      <c r="O394" s="390"/>
      <c r="P394" s="390"/>
      <c r="Q394" s="390"/>
      <c r="R394" s="390"/>
      <c r="S394" s="390"/>
      <c r="T394" s="390"/>
      <c r="U394" s="390"/>
      <c r="V394" s="390"/>
      <c r="W394" s="390"/>
      <c r="X394" s="390"/>
      <c r="Y394" s="390"/>
      <c r="Z394" s="390"/>
      <c r="AA394" s="390"/>
      <c r="AB394" s="390"/>
      <c r="AC394" s="390"/>
      <c r="AD394" s="390"/>
      <c r="AE394" s="390"/>
      <c r="AF394" s="390"/>
      <c r="AG394" s="390"/>
      <c r="AH394" s="390"/>
      <c r="AI394" s="391"/>
      <c r="AK394" s="437"/>
      <c r="AL394" s="437"/>
      <c r="AM394" s="437"/>
      <c r="AN394" s="437"/>
      <c r="AO394" s="437"/>
      <c r="AP394" s="437"/>
      <c r="AQ394" s="437"/>
      <c r="AR394" s="437"/>
      <c r="AS394" s="437"/>
      <c r="AT394" s="437"/>
      <c r="AU394" s="437"/>
      <c r="AV394" s="437"/>
      <c r="AW394" s="437"/>
      <c r="AX394" s="437"/>
      <c r="AY394" s="437"/>
      <c r="AZ394" s="437"/>
      <c r="BA394" s="437"/>
      <c r="BB394" s="437"/>
      <c r="BC394" s="437"/>
      <c r="BD394" s="437"/>
      <c r="BE394" s="437"/>
      <c r="BF394" s="437"/>
      <c r="BG394" s="437"/>
      <c r="BH394" s="437"/>
      <c r="BI394" s="437"/>
      <c r="BJ394" s="437"/>
      <c r="BK394" s="437"/>
      <c r="BL394" s="437"/>
      <c r="BM394" s="393"/>
      <c r="BO394" s="399">
        <f t="shared" si="153"/>
        <v>0</v>
      </c>
      <c r="BP394" s="399">
        <f t="shared" si="154"/>
        <v>0</v>
      </c>
      <c r="BQ394" s="399">
        <f t="shared" si="155"/>
        <v>0</v>
      </c>
      <c r="BR394" s="399">
        <f t="shared" si="156"/>
        <v>0</v>
      </c>
      <c r="BS394" s="399">
        <f t="shared" si="157"/>
        <v>0</v>
      </c>
      <c r="BT394" s="399">
        <f t="shared" si="158"/>
        <v>0</v>
      </c>
      <c r="BU394" s="399">
        <f t="shared" si="159"/>
        <v>0</v>
      </c>
      <c r="BV394" s="399">
        <f t="shared" si="160"/>
        <v>0</v>
      </c>
      <c r="BW394" s="399">
        <f t="shared" si="161"/>
        <v>0</v>
      </c>
      <c r="BX394" s="399">
        <f t="shared" si="162"/>
        <v>0</v>
      </c>
      <c r="BY394" s="399">
        <f t="shared" si="163"/>
        <v>0</v>
      </c>
      <c r="BZ394" s="399">
        <f t="shared" si="164"/>
        <v>0</v>
      </c>
      <c r="CA394" s="399">
        <f t="shared" si="165"/>
        <v>0</v>
      </c>
      <c r="CB394" s="399">
        <f t="shared" si="166"/>
        <v>0</v>
      </c>
      <c r="CC394" s="399">
        <f t="shared" si="167"/>
        <v>0</v>
      </c>
      <c r="CD394" s="399">
        <f t="shared" si="168"/>
        <v>0</v>
      </c>
      <c r="CE394" s="399">
        <f t="shared" si="169"/>
        <v>0</v>
      </c>
      <c r="CF394" s="399">
        <f t="shared" si="170"/>
        <v>0</v>
      </c>
      <c r="CG394" s="399">
        <f t="shared" si="171"/>
        <v>0</v>
      </c>
      <c r="CH394" s="399">
        <f t="shared" si="172"/>
        <v>0</v>
      </c>
      <c r="CI394" s="399">
        <f t="shared" si="173"/>
        <v>0</v>
      </c>
      <c r="CJ394" s="399">
        <f t="shared" si="174"/>
        <v>0</v>
      </c>
      <c r="CK394" s="399">
        <f t="shared" si="175"/>
        <v>0</v>
      </c>
      <c r="CL394" s="399">
        <f t="shared" si="176"/>
        <v>0</v>
      </c>
      <c r="CM394" s="399">
        <f t="shared" si="177"/>
        <v>0</v>
      </c>
      <c r="CN394" s="399">
        <f t="shared" si="178"/>
        <v>0</v>
      </c>
      <c r="CO394" s="399">
        <f t="shared" si="179"/>
        <v>0</v>
      </c>
      <c r="CP394" s="399">
        <f t="shared" si="180"/>
        <v>0</v>
      </c>
      <c r="CQ394" s="423">
        <f t="shared" si="181"/>
        <v>0</v>
      </c>
      <c r="CS394" s="394" t="e">
        <f t="shared" si="182"/>
        <v>#DIV/0!</v>
      </c>
    </row>
    <row r="395" spans="3:97">
      <c r="C395" s="107"/>
      <c r="D395" s="395"/>
      <c r="E395" s="84"/>
      <c r="F395" s="84"/>
      <c r="G395" s="389"/>
      <c r="H395" s="390"/>
      <c r="I395" s="390"/>
      <c r="J395" s="390"/>
      <c r="K395" s="390"/>
      <c r="L395" s="390"/>
      <c r="M395" s="390"/>
      <c r="N395" s="390"/>
      <c r="O395" s="390"/>
      <c r="P395" s="390"/>
      <c r="Q395" s="390"/>
      <c r="R395" s="390"/>
      <c r="S395" s="390"/>
      <c r="T395" s="390"/>
      <c r="U395" s="390"/>
      <c r="V395" s="390"/>
      <c r="W395" s="390"/>
      <c r="X395" s="390"/>
      <c r="Y395" s="390"/>
      <c r="Z395" s="390"/>
      <c r="AA395" s="390"/>
      <c r="AB395" s="390"/>
      <c r="AC395" s="390"/>
      <c r="AD395" s="390"/>
      <c r="AE395" s="390"/>
      <c r="AF395" s="390"/>
      <c r="AG395" s="390"/>
      <c r="AH395" s="390"/>
      <c r="AI395" s="391"/>
      <c r="AK395" s="437"/>
      <c r="AL395" s="437"/>
      <c r="AM395" s="437"/>
      <c r="AN395" s="437"/>
      <c r="AO395" s="437"/>
      <c r="AP395" s="437"/>
      <c r="AQ395" s="437"/>
      <c r="AR395" s="437"/>
      <c r="AS395" s="437"/>
      <c r="AT395" s="437"/>
      <c r="AU395" s="437"/>
      <c r="AV395" s="437"/>
      <c r="AW395" s="437"/>
      <c r="AX395" s="437"/>
      <c r="AY395" s="437"/>
      <c r="AZ395" s="437"/>
      <c r="BA395" s="437"/>
      <c r="BB395" s="437"/>
      <c r="BC395" s="437"/>
      <c r="BD395" s="437"/>
      <c r="BE395" s="437"/>
      <c r="BF395" s="437"/>
      <c r="BG395" s="437"/>
      <c r="BH395" s="437"/>
      <c r="BI395" s="437"/>
      <c r="BJ395" s="437"/>
      <c r="BK395" s="437"/>
      <c r="BL395" s="437"/>
      <c r="BM395" s="393"/>
      <c r="BO395" s="399">
        <f t="shared" si="153"/>
        <v>0</v>
      </c>
      <c r="BP395" s="399">
        <f t="shared" si="154"/>
        <v>0</v>
      </c>
      <c r="BQ395" s="399">
        <f t="shared" si="155"/>
        <v>0</v>
      </c>
      <c r="BR395" s="399">
        <f t="shared" si="156"/>
        <v>0</v>
      </c>
      <c r="BS395" s="399">
        <f t="shared" si="157"/>
        <v>0</v>
      </c>
      <c r="BT395" s="399">
        <f t="shared" si="158"/>
        <v>0</v>
      </c>
      <c r="BU395" s="399">
        <f t="shared" si="159"/>
        <v>0</v>
      </c>
      <c r="BV395" s="399">
        <f t="shared" si="160"/>
        <v>0</v>
      </c>
      <c r="BW395" s="399">
        <f t="shared" si="161"/>
        <v>0</v>
      </c>
      <c r="BX395" s="399">
        <f t="shared" si="162"/>
        <v>0</v>
      </c>
      <c r="BY395" s="399">
        <f t="shared" si="163"/>
        <v>0</v>
      </c>
      <c r="BZ395" s="399">
        <f t="shared" si="164"/>
        <v>0</v>
      </c>
      <c r="CA395" s="399">
        <f t="shared" si="165"/>
        <v>0</v>
      </c>
      <c r="CB395" s="399">
        <f t="shared" si="166"/>
        <v>0</v>
      </c>
      <c r="CC395" s="399">
        <f t="shared" si="167"/>
        <v>0</v>
      </c>
      <c r="CD395" s="399">
        <f t="shared" si="168"/>
        <v>0</v>
      </c>
      <c r="CE395" s="399">
        <f t="shared" si="169"/>
        <v>0</v>
      </c>
      <c r="CF395" s="399">
        <f t="shared" si="170"/>
        <v>0</v>
      </c>
      <c r="CG395" s="399">
        <f t="shared" si="171"/>
        <v>0</v>
      </c>
      <c r="CH395" s="399">
        <f t="shared" si="172"/>
        <v>0</v>
      </c>
      <c r="CI395" s="399">
        <f t="shared" si="173"/>
        <v>0</v>
      </c>
      <c r="CJ395" s="399">
        <f t="shared" si="174"/>
        <v>0</v>
      </c>
      <c r="CK395" s="399">
        <f t="shared" si="175"/>
        <v>0</v>
      </c>
      <c r="CL395" s="399">
        <f t="shared" si="176"/>
        <v>0</v>
      </c>
      <c r="CM395" s="399">
        <f t="shared" si="177"/>
        <v>0</v>
      </c>
      <c r="CN395" s="399">
        <f t="shared" si="178"/>
        <v>0</v>
      </c>
      <c r="CO395" s="399">
        <f t="shared" si="179"/>
        <v>0</v>
      </c>
      <c r="CP395" s="399">
        <f t="shared" si="180"/>
        <v>0</v>
      </c>
      <c r="CQ395" s="423">
        <f t="shared" si="181"/>
        <v>0</v>
      </c>
      <c r="CS395" s="394" t="e">
        <f t="shared" si="182"/>
        <v>#DIV/0!</v>
      </c>
    </row>
    <row r="396" spans="3:97">
      <c r="C396" s="107"/>
      <c r="D396" s="395"/>
      <c r="E396" s="84"/>
      <c r="F396" s="84"/>
      <c r="G396" s="389"/>
      <c r="H396" s="390"/>
      <c r="I396" s="390"/>
      <c r="J396" s="390"/>
      <c r="K396" s="390"/>
      <c r="L396" s="390"/>
      <c r="M396" s="390"/>
      <c r="N396" s="390"/>
      <c r="O396" s="390"/>
      <c r="P396" s="390"/>
      <c r="Q396" s="390"/>
      <c r="R396" s="390"/>
      <c r="S396" s="390"/>
      <c r="T396" s="390"/>
      <c r="U396" s="390"/>
      <c r="V396" s="390"/>
      <c r="W396" s="390"/>
      <c r="X396" s="390"/>
      <c r="Y396" s="390"/>
      <c r="Z396" s="390"/>
      <c r="AA396" s="390"/>
      <c r="AB396" s="390"/>
      <c r="AC396" s="390"/>
      <c r="AD396" s="390"/>
      <c r="AE396" s="390"/>
      <c r="AF396" s="390"/>
      <c r="AG396" s="390"/>
      <c r="AH396" s="390"/>
      <c r="AI396" s="391"/>
      <c r="AK396" s="437"/>
      <c r="AL396" s="437"/>
      <c r="AM396" s="437"/>
      <c r="AN396" s="437"/>
      <c r="AO396" s="437"/>
      <c r="AP396" s="437"/>
      <c r="AQ396" s="437"/>
      <c r="AR396" s="437"/>
      <c r="AS396" s="437"/>
      <c r="AT396" s="437"/>
      <c r="AU396" s="437"/>
      <c r="AV396" s="437"/>
      <c r="AW396" s="437"/>
      <c r="AX396" s="437"/>
      <c r="AY396" s="437"/>
      <c r="AZ396" s="437"/>
      <c r="BA396" s="437"/>
      <c r="BB396" s="437"/>
      <c r="BC396" s="437"/>
      <c r="BD396" s="437"/>
      <c r="BE396" s="437"/>
      <c r="BF396" s="437"/>
      <c r="BG396" s="437"/>
      <c r="BH396" s="437"/>
      <c r="BI396" s="437"/>
      <c r="BJ396" s="437"/>
      <c r="BK396" s="437"/>
      <c r="BL396" s="437"/>
      <c r="BM396" s="393"/>
      <c r="BO396" s="399">
        <f t="shared" si="153"/>
        <v>0</v>
      </c>
      <c r="BP396" s="399">
        <f t="shared" si="154"/>
        <v>0</v>
      </c>
      <c r="BQ396" s="399">
        <f t="shared" si="155"/>
        <v>0</v>
      </c>
      <c r="BR396" s="399">
        <f t="shared" si="156"/>
        <v>0</v>
      </c>
      <c r="BS396" s="399">
        <f t="shared" si="157"/>
        <v>0</v>
      </c>
      <c r="BT396" s="399">
        <f t="shared" si="158"/>
        <v>0</v>
      </c>
      <c r="BU396" s="399">
        <f t="shared" si="159"/>
        <v>0</v>
      </c>
      <c r="BV396" s="399">
        <f t="shared" si="160"/>
        <v>0</v>
      </c>
      <c r="BW396" s="399">
        <f t="shared" si="161"/>
        <v>0</v>
      </c>
      <c r="BX396" s="399">
        <f t="shared" si="162"/>
        <v>0</v>
      </c>
      <c r="BY396" s="399">
        <f t="shared" si="163"/>
        <v>0</v>
      </c>
      <c r="BZ396" s="399">
        <f t="shared" si="164"/>
        <v>0</v>
      </c>
      <c r="CA396" s="399">
        <f t="shared" si="165"/>
        <v>0</v>
      </c>
      <c r="CB396" s="399">
        <f t="shared" si="166"/>
        <v>0</v>
      </c>
      <c r="CC396" s="399">
        <f t="shared" si="167"/>
        <v>0</v>
      </c>
      <c r="CD396" s="399">
        <f t="shared" si="168"/>
        <v>0</v>
      </c>
      <c r="CE396" s="399">
        <f t="shared" si="169"/>
        <v>0</v>
      </c>
      <c r="CF396" s="399">
        <f t="shared" si="170"/>
        <v>0</v>
      </c>
      <c r="CG396" s="399">
        <f t="shared" si="171"/>
        <v>0</v>
      </c>
      <c r="CH396" s="399">
        <f t="shared" si="172"/>
        <v>0</v>
      </c>
      <c r="CI396" s="399">
        <f t="shared" si="173"/>
        <v>0</v>
      </c>
      <c r="CJ396" s="399">
        <f t="shared" si="174"/>
        <v>0</v>
      </c>
      <c r="CK396" s="399">
        <f t="shared" si="175"/>
        <v>0</v>
      </c>
      <c r="CL396" s="399">
        <f t="shared" si="176"/>
        <v>0</v>
      </c>
      <c r="CM396" s="399">
        <f t="shared" si="177"/>
        <v>0</v>
      </c>
      <c r="CN396" s="399">
        <f t="shared" si="178"/>
        <v>0</v>
      </c>
      <c r="CO396" s="399">
        <f t="shared" si="179"/>
        <v>0</v>
      </c>
      <c r="CP396" s="399">
        <f t="shared" si="180"/>
        <v>0</v>
      </c>
      <c r="CQ396" s="423">
        <f t="shared" si="181"/>
        <v>0</v>
      </c>
      <c r="CS396" s="394" t="e">
        <f t="shared" si="182"/>
        <v>#DIV/0!</v>
      </c>
    </row>
    <row r="397" spans="3:97">
      <c r="C397" s="107"/>
      <c r="D397" s="395"/>
      <c r="E397" s="84"/>
      <c r="F397" s="84"/>
      <c r="G397" s="389"/>
      <c r="H397" s="390"/>
      <c r="I397" s="390"/>
      <c r="J397" s="390"/>
      <c r="K397" s="390"/>
      <c r="L397" s="390"/>
      <c r="M397" s="390"/>
      <c r="N397" s="390"/>
      <c r="O397" s="390"/>
      <c r="P397" s="390"/>
      <c r="Q397" s="390"/>
      <c r="R397" s="390"/>
      <c r="S397" s="390"/>
      <c r="T397" s="390"/>
      <c r="U397" s="390"/>
      <c r="V397" s="390"/>
      <c r="W397" s="390"/>
      <c r="X397" s="390"/>
      <c r="Y397" s="390"/>
      <c r="Z397" s="390"/>
      <c r="AA397" s="390"/>
      <c r="AB397" s="390"/>
      <c r="AC397" s="390"/>
      <c r="AD397" s="390"/>
      <c r="AE397" s="390"/>
      <c r="AF397" s="390"/>
      <c r="AG397" s="390"/>
      <c r="AH397" s="390"/>
      <c r="AI397" s="391"/>
      <c r="AK397" s="437"/>
      <c r="AL397" s="437"/>
      <c r="AM397" s="437"/>
      <c r="AN397" s="437"/>
      <c r="AO397" s="437"/>
      <c r="AP397" s="437"/>
      <c r="AQ397" s="437"/>
      <c r="AR397" s="437"/>
      <c r="AS397" s="437"/>
      <c r="AT397" s="437"/>
      <c r="AU397" s="437"/>
      <c r="AV397" s="437"/>
      <c r="AW397" s="437"/>
      <c r="AX397" s="437"/>
      <c r="AY397" s="437"/>
      <c r="AZ397" s="437"/>
      <c r="BA397" s="437"/>
      <c r="BB397" s="437"/>
      <c r="BC397" s="437"/>
      <c r="BD397" s="437"/>
      <c r="BE397" s="437"/>
      <c r="BF397" s="437"/>
      <c r="BG397" s="437"/>
      <c r="BH397" s="437"/>
      <c r="BI397" s="437"/>
      <c r="BJ397" s="437"/>
      <c r="BK397" s="437"/>
      <c r="BL397" s="437"/>
      <c r="BM397" s="393"/>
      <c r="BO397" s="399">
        <f t="shared" si="153"/>
        <v>0</v>
      </c>
      <c r="BP397" s="399">
        <f t="shared" si="154"/>
        <v>0</v>
      </c>
      <c r="BQ397" s="399">
        <f t="shared" si="155"/>
        <v>0</v>
      </c>
      <c r="BR397" s="399">
        <f t="shared" si="156"/>
        <v>0</v>
      </c>
      <c r="BS397" s="399">
        <f t="shared" si="157"/>
        <v>0</v>
      </c>
      <c r="BT397" s="399">
        <f t="shared" si="158"/>
        <v>0</v>
      </c>
      <c r="BU397" s="399">
        <f t="shared" si="159"/>
        <v>0</v>
      </c>
      <c r="BV397" s="399">
        <f t="shared" si="160"/>
        <v>0</v>
      </c>
      <c r="BW397" s="399">
        <f t="shared" si="161"/>
        <v>0</v>
      </c>
      <c r="BX397" s="399">
        <f t="shared" si="162"/>
        <v>0</v>
      </c>
      <c r="BY397" s="399">
        <f t="shared" si="163"/>
        <v>0</v>
      </c>
      <c r="BZ397" s="399">
        <f t="shared" si="164"/>
        <v>0</v>
      </c>
      <c r="CA397" s="399">
        <f t="shared" si="165"/>
        <v>0</v>
      </c>
      <c r="CB397" s="399">
        <f t="shared" si="166"/>
        <v>0</v>
      </c>
      <c r="CC397" s="399">
        <f t="shared" si="167"/>
        <v>0</v>
      </c>
      <c r="CD397" s="399">
        <f t="shared" si="168"/>
        <v>0</v>
      </c>
      <c r="CE397" s="399">
        <f t="shared" si="169"/>
        <v>0</v>
      </c>
      <c r="CF397" s="399">
        <f t="shared" si="170"/>
        <v>0</v>
      </c>
      <c r="CG397" s="399">
        <f t="shared" si="171"/>
        <v>0</v>
      </c>
      <c r="CH397" s="399">
        <f t="shared" si="172"/>
        <v>0</v>
      </c>
      <c r="CI397" s="399">
        <f t="shared" si="173"/>
        <v>0</v>
      </c>
      <c r="CJ397" s="399">
        <f t="shared" si="174"/>
        <v>0</v>
      </c>
      <c r="CK397" s="399">
        <f t="shared" si="175"/>
        <v>0</v>
      </c>
      <c r="CL397" s="399">
        <f t="shared" si="176"/>
        <v>0</v>
      </c>
      <c r="CM397" s="399">
        <f t="shared" si="177"/>
        <v>0</v>
      </c>
      <c r="CN397" s="399">
        <f t="shared" si="178"/>
        <v>0</v>
      </c>
      <c r="CO397" s="399">
        <f t="shared" si="179"/>
        <v>0</v>
      </c>
      <c r="CP397" s="399">
        <f t="shared" si="180"/>
        <v>0</v>
      </c>
      <c r="CQ397" s="423">
        <f t="shared" si="181"/>
        <v>0</v>
      </c>
      <c r="CS397" s="394" t="e">
        <f t="shared" si="182"/>
        <v>#DIV/0!</v>
      </c>
    </row>
    <row r="398" spans="3:97">
      <c r="C398" s="107"/>
      <c r="D398" s="395"/>
      <c r="E398" s="84"/>
      <c r="F398" s="84"/>
      <c r="G398" s="389"/>
      <c r="H398" s="390"/>
      <c r="I398" s="390"/>
      <c r="J398" s="390"/>
      <c r="K398" s="390"/>
      <c r="L398" s="390"/>
      <c r="M398" s="390"/>
      <c r="N398" s="390"/>
      <c r="O398" s="390"/>
      <c r="P398" s="390"/>
      <c r="Q398" s="390"/>
      <c r="R398" s="390"/>
      <c r="S398" s="390"/>
      <c r="T398" s="390"/>
      <c r="U398" s="390"/>
      <c r="V398" s="390"/>
      <c r="W398" s="390"/>
      <c r="X398" s="390"/>
      <c r="Y398" s="390"/>
      <c r="Z398" s="390"/>
      <c r="AA398" s="390"/>
      <c r="AB398" s="390"/>
      <c r="AC398" s="390"/>
      <c r="AD398" s="390"/>
      <c r="AE398" s="390"/>
      <c r="AF398" s="390"/>
      <c r="AG398" s="390"/>
      <c r="AH398" s="390"/>
      <c r="AI398" s="391"/>
      <c r="AK398" s="437"/>
      <c r="AL398" s="437"/>
      <c r="AM398" s="437"/>
      <c r="AN398" s="437"/>
      <c r="AO398" s="437"/>
      <c r="AP398" s="437"/>
      <c r="AQ398" s="437"/>
      <c r="AR398" s="437"/>
      <c r="AS398" s="437"/>
      <c r="AT398" s="437"/>
      <c r="AU398" s="437"/>
      <c r="AV398" s="437"/>
      <c r="AW398" s="437"/>
      <c r="AX398" s="437"/>
      <c r="AY398" s="437"/>
      <c r="AZ398" s="437"/>
      <c r="BA398" s="437"/>
      <c r="BB398" s="437"/>
      <c r="BC398" s="437"/>
      <c r="BD398" s="437"/>
      <c r="BE398" s="437"/>
      <c r="BF398" s="437"/>
      <c r="BG398" s="437"/>
      <c r="BH398" s="437"/>
      <c r="BI398" s="437"/>
      <c r="BJ398" s="437"/>
      <c r="BK398" s="437"/>
      <c r="BL398" s="437"/>
      <c r="BM398" s="393"/>
      <c r="BO398" s="399">
        <f t="shared" si="153"/>
        <v>0</v>
      </c>
      <c r="BP398" s="399">
        <f t="shared" si="154"/>
        <v>0</v>
      </c>
      <c r="BQ398" s="399">
        <f t="shared" si="155"/>
        <v>0</v>
      </c>
      <c r="BR398" s="399">
        <f t="shared" si="156"/>
        <v>0</v>
      </c>
      <c r="BS398" s="399">
        <f t="shared" si="157"/>
        <v>0</v>
      </c>
      <c r="BT398" s="399">
        <f t="shared" si="158"/>
        <v>0</v>
      </c>
      <c r="BU398" s="399">
        <f t="shared" si="159"/>
        <v>0</v>
      </c>
      <c r="BV398" s="399">
        <f t="shared" si="160"/>
        <v>0</v>
      </c>
      <c r="BW398" s="399">
        <f t="shared" si="161"/>
        <v>0</v>
      </c>
      <c r="BX398" s="399">
        <f t="shared" si="162"/>
        <v>0</v>
      </c>
      <c r="BY398" s="399">
        <f t="shared" si="163"/>
        <v>0</v>
      </c>
      <c r="BZ398" s="399">
        <f t="shared" si="164"/>
        <v>0</v>
      </c>
      <c r="CA398" s="399">
        <f t="shared" si="165"/>
        <v>0</v>
      </c>
      <c r="CB398" s="399">
        <f t="shared" si="166"/>
        <v>0</v>
      </c>
      <c r="CC398" s="399">
        <f t="shared" si="167"/>
        <v>0</v>
      </c>
      <c r="CD398" s="399">
        <f t="shared" si="168"/>
        <v>0</v>
      </c>
      <c r="CE398" s="399">
        <f t="shared" si="169"/>
        <v>0</v>
      </c>
      <c r="CF398" s="399">
        <f t="shared" si="170"/>
        <v>0</v>
      </c>
      <c r="CG398" s="399">
        <f t="shared" si="171"/>
        <v>0</v>
      </c>
      <c r="CH398" s="399">
        <f t="shared" si="172"/>
        <v>0</v>
      </c>
      <c r="CI398" s="399">
        <f t="shared" si="173"/>
        <v>0</v>
      </c>
      <c r="CJ398" s="399">
        <f t="shared" si="174"/>
        <v>0</v>
      </c>
      <c r="CK398" s="399">
        <f t="shared" si="175"/>
        <v>0</v>
      </c>
      <c r="CL398" s="399">
        <f t="shared" si="176"/>
        <v>0</v>
      </c>
      <c r="CM398" s="399">
        <f t="shared" si="177"/>
        <v>0</v>
      </c>
      <c r="CN398" s="399">
        <f t="shared" si="178"/>
        <v>0</v>
      </c>
      <c r="CO398" s="399">
        <f t="shared" si="179"/>
        <v>0</v>
      </c>
      <c r="CP398" s="399">
        <f t="shared" si="180"/>
        <v>0</v>
      </c>
      <c r="CQ398" s="423">
        <f t="shared" si="181"/>
        <v>0</v>
      </c>
      <c r="CS398" s="394" t="e">
        <f t="shared" si="182"/>
        <v>#DIV/0!</v>
      </c>
    </row>
    <row r="399" spans="3:97">
      <c r="C399" s="107"/>
      <c r="D399" s="395"/>
      <c r="E399" s="84"/>
      <c r="F399" s="84"/>
      <c r="G399" s="389"/>
      <c r="H399" s="390"/>
      <c r="I399" s="390"/>
      <c r="J399" s="390"/>
      <c r="K399" s="390"/>
      <c r="L399" s="390"/>
      <c r="M399" s="390"/>
      <c r="N399" s="390"/>
      <c r="O399" s="390"/>
      <c r="P399" s="390"/>
      <c r="Q399" s="390"/>
      <c r="R399" s="390"/>
      <c r="S399" s="390"/>
      <c r="T399" s="390"/>
      <c r="U399" s="390"/>
      <c r="V399" s="390"/>
      <c r="W399" s="390"/>
      <c r="X399" s="390"/>
      <c r="Y399" s="390"/>
      <c r="Z399" s="390"/>
      <c r="AA399" s="390"/>
      <c r="AB399" s="390"/>
      <c r="AC399" s="390"/>
      <c r="AD399" s="390"/>
      <c r="AE399" s="390"/>
      <c r="AF399" s="390"/>
      <c r="AG399" s="390"/>
      <c r="AH399" s="390"/>
      <c r="AI399" s="391"/>
      <c r="AK399" s="437"/>
      <c r="AL399" s="437"/>
      <c r="AM399" s="437"/>
      <c r="AN399" s="437"/>
      <c r="AO399" s="437"/>
      <c r="AP399" s="437"/>
      <c r="AQ399" s="437"/>
      <c r="AR399" s="437"/>
      <c r="AS399" s="437"/>
      <c r="AT399" s="437"/>
      <c r="AU399" s="437"/>
      <c r="AV399" s="437"/>
      <c r="AW399" s="437"/>
      <c r="AX399" s="437"/>
      <c r="AY399" s="437"/>
      <c r="AZ399" s="437"/>
      <c r="BA399" s="437"/>
      <c r="BB399" s="437"/>
      <c r="BC399" s="437"/>
      <c r="BD399" s="437"/>
      <c r="BE399" s="437"/>
      <c r="BF399" s="437"/>
      <c r="BG399" s="437"/>
      <c r="BH399" s="437"/>
      <c r="BI399" s="437"/>
      <c r="BJ399" s="437"/>
      <c r="BK399" s="437"/>
      <c r="BL399" s="437"/>
      <c r="BM399" s="393"/>
      <c r="BO399" s="399">
        <f t="shared" si="153"/>
        <v>0</v>
      </c>
      <c r="BP399" s="399">
        <f t="shared" si="154"/>
        <v>0</v>
      </c>
      <c r="BQ399" s="399">
        <f t="shared" si="155"/>
        <v>0</v>
      </c>
      <c r="BR399" s="399">
        <f t="shared" si="156"/>
        <v>0</v>
      </c>
      <c r="BS399" s="399">
        <f t="shared" si="157"/>
        <v>0</v>
      </c>
      <c r="BT399" s="399">
        <f t="shared" si="158"/>
        <v>0</v>
      </c>
      <c r="BU399" s="399">
        <f t="shared" si="159"/>
        <v>0</v>
      </c>
      <c r="BV399" s="399">
        <f t="shared" si="160"/>
        <v>0</v>
      </c>
      <c r="BW399" s="399">
        <f t="shared" si="161"/>
        <v>0</v>
      </c>
      <c r="BX399" s="399">
        <f t="shared" si="162"/>
        <v>0</v>
      </c>
      <c r="BY399" s="399">
        <f t="shared" si="163"/>
        <v>0</v>
      </c>
      <c r="BZ399" s="399">
        <f t="shared" si="164"/>
        <v>0</v>
      </c>
      <c r="CA399" s="399">
        <f t="shared" si="165"/>
        <v>0</v>
      </c>
      <c r="CB399" s="399">
        <f t="shared" si="166"/>
        <v>0</v>
      </c>
      <c r="CC399" s="399">
        <f t="shared" si="167"/>
        <v>0</v>
      </c>
      <c r="CD399" s="399">
        <f t="shared" si="168"/>
        <v>0</v>
      </c>
      <c r="CE399" s="399">
        <f t="shared" si="169"/>
        <v>0</v>
      </c>
      <c r="CF399" s="399">
        <f t="shared" si="170"/>
        <v>0</v>
      </c>
      <c r="CG399" s="399">
        <f t="shared" si="171"/>
        <v>0</v>
      </c>
      <c r="CH399" s="399">
        <f t="shared" si="172"/>
        <v>0</v>
      </c>
      <c r="CI399" s="399">
        <f t="shared" si="173"/>
        <v>0</v>
      </c>
      <c r="CJ399" s="399">
        <f t="shared" si="174"/>
        <v>0</v>
      </c>
      <c r="CK399" s="399">
        <f t="shared" si="175"/>
        <v>0</v>
      </c>
      <c r="CL399" s="399">
        <f t="shared" si="176"/>
        <v>0</v>
      </c>
      <c r="CM399" s="399">
        <f t="shared" si="177"/>
        <v>0</v>
      </c>
      <c r="CN399" s="399">
        <f t="shared" si="178"/>
        <v>0</v>
      </c>
      <c r="CO399" s="399">
        <f t="shared" si="179"/>
        <v>0</v>
      </c>
      <c r="CP399" s="399">
        <f t="shared" si="180"/>
        <v>0</v>
      </c>
      <c r="CQ399" s="423">
        <f t="shared" si="181"/>
        <v>0</v>
      </c>
      <c r="CS399" s="394" t="e">
        <f t="shared" si="182"/>
        <v>#DIV/0!</v>
      </c>
    </row>
    <row r="400" spans="3:97">
      <c r="C400" s="107"/>
      <c r="D400" s="395"/>
      <c r="E400" s="84"/>
      <c r="F400" s="84"/>
      <c r="G400" s="389"/>
      <c r="H400" s="390"/>
      <c r="I400" s="390"/>
      <c r="J400" s="390"/>
      <c r="K400" s="390"/>
      <c r="L400" s="390"/>
      <c r="M400" s="390"/>
      <c r="N400" s="390"/>
      <c r="O400" s="390"/>
      <c r="P400" s="390"/>
      <c r="Q400" s="390"/>
      <c r="R400" s="390"/>
      <c r="S400" s="390"/>
      <c r="T400" s="390"/>
      <c r="U400" s="390"/>
      <c r="V400" s="390"/>
      <c r="W400" s="390"/>
      <c r="X400" s="390"/>
      <c r="Y400" s="390"/>
      <c r="Z400" s="390"/>
      <c r="AA400" s="390"/>
      <c r="AB400" s="390"/>
      <c r="AC400" s="390"/>
      <c r="AD400" s="390"/>
      <c r="AE400" s="390"/>
      <c r="AF400" s="390"/>
      <c r="AG400" s="390"/>
      <c r="AH400" s="390"/>
      <c r="AI400" s="391"/>
      <c r="AK400" s="437"/>
      <c r="AL400" s="437"/>
      <c r="AM400" s="437"/>
      <c r="AN400" s="437"/>
      <c r="AO400" s="437"/>
      <c r="AP400" s="437"/>
      <c r="AQ400" s="437"/>
      <c r="AR400" s="437"/>
      <c r="AS400" s="437"/>
      <c r="AT400" s="437"/>
      <c r="AU400" s="437"/>
      <c r="AV400" s="437"/>
      <c r="AW400" s="437"/>
      <c r="AX400" s="437"/>
      <c r="AY400" s="437"/>
      <c r="AZ400" s="437"/>
      <c r="BA400" s="437"/>
      <c r="BB400" s="437"/>
      <c r="BC400" s="437"/>
      <c r="BD400" s="437"/>
      <c r="BE400" s="437"/>
      <c r="BF400" s="437"/>
      <c r="BG400" s="437"/>
      <c r="BH400" s="437"/>
      <c r="BI400" s="437"/>
      <c r="BJ400" s="437"/>
      <c r="BK400" s="437"/>
      <c r="BL400" s="437"/>
      <c r="BM400" s="393"/>
      <c r="BO400" s="399">
        <f t="shared" si="153"/>
        <v>0</v>
      </c>
      <c r="BP400" s="399">
        <f t="shared" si="154"/>
        <v>0</v>
      </c>
      <c r="BQ400" s="399">
        <f t="shared" si="155"/>
        <v>0</v>
      </c>
      <c r="BR400" s="399">
        <f t="shared" si="156"/>
        <v>0</v>
      </c>
      <c r="BS400" s="399">
        <f t="shared" si="157"/>
        <v>0</v>
      </c>
      <c r="BT400" s="399">
        <f t="shared" si="158"/>
        <v>0</v>
      </c>
      <c r="BU400" s="399">
        <f t="shared" si="159"/>
        <v>0</v>
      </c>
      <c r="BV400" s="399">
        <f t="shared" si="160"/>
        <v>0</v>
      </c>
      <c r="BW400" s="399">
        <f t="shared" si="161"/>
        <v>0</v>
      </c>
      <c r="BX400" s="399">
        <f t="shared" si="162"/>
        <v>0</v>
      </c>
      <c r="BY400" s="399">
        <f t="shared" si="163"/>
        <v>0</v>
      </c>
      <c r="BZ400" s="399">
        <f t="shared" si="164"/>
        <v>0</v>
      </c>
      <c r="CA400" s="399">
        <f t="shared" si="165"/>
        <v>0</v>
      </c>
      <c r="CB400" s="399">
        <f t="shared" si="166"/>
        <v>0</v>
      </c>
      <c r="CC400" s="399">
        <f t="shared" si="167"/>
        <v>0</v>
      </c>
      <c r="CD400" s="399">
        <f t="shared" si="168"/>
        <v>0</v>
      </c>
      <c r="CE400" s="399">
        <f t="shared" si="169"/>
        <v>0</v>
      </c>
      <c r="CF400" s="399">
        <f t="shared" si="170"/>
        <v>0</v>
      </c>
      <c r="CG400" s="399">
        <f t="shared" si="171"/>
        <v>0</v>
      </c>
      <c r="CH400" s="399">
        <f t="shared" si="172"/>
        <v>0</v>
      </c>
      <c r="CI400" s="399">
        <f t="shared" si="173"/>
        <v>0</v>
      </c>
      <c r="CJ400" s="399">
        <f t="shared" si="174"/>
        <v>0</v>
      </c>
      <c r="CK400" s="399">
        <f t="shared" si="175"/>
        <v>0</v>
      </c>
      <c r="CL400" s="399">
        <f t="shared" si="176"/>
        <v>0</v>
      </c>
      <c r="CM400" s="399">
        <f t="shared" si="177"/>
        <v>0</v>
      </c>
      <c r="CN400" s="399">
        <f t="shared" si="178"/>
        <v>0</v>
      </c>
      <c r="CO400" s="399">
        <f t="shared" si="179"/>
        <v>0</v>
      </c>
      <c r="CP400" s="399">
        <f t="shared" si="180"/>
        <v>0</v>
      </c>
      <c r="CQ400" s="423">
        <f t="shared" si="181"/>
        <v>0</v>
      </c>
      <c r="CS400" s="394" t="e">
        <f t="shared" si="182"/>
        <v>#DIV/0!</v>
      </c>
    </row>
    <row r="401" spans="3:97">
      <c r="C401" s="107"/>
      <c r="D401" s="395"/>
      <c r="E401" s="84"/>
      <c r="F401" s="84"/>
      <c r="G401" s="389"/>
      <c r="H401" s="390"/>
      <c r="I401" s="390"/>
      <c r="J401" s="390"/>
      <c r="K401" s="390"/>
      <c r="L401" s="390"/>
      <c r="M401" s="390"/>
      <c r="N401" s="390"/>
      <c r="O401" s="390"/>
      <c r="P401" s="390"/>
      <c r="Q401" s="390"/>
      <c r="R401" s="390"/>
      <c r="S401" s="390"/>
      <c r="T401" s="390"/>
      <c r="U401" s="390"/>
      <c r="V401" s="390"/>
      <c r="W401" s="390"/>
      <c r="X401" s="390"/>
      <c r="Y401" s="390"/>
      <c r="Z401" s="390"/>
      <c r="AA401" s="390"/>
      <c r="AB401" s="390"/>
      <c r="AC401" s="390"/>
      <c r="AD401" s="390"/>
      <c r="AE401" s="390"/>
      <c r="AF401" s="390"/>
      <c r="AG401" s="390"/>
      <c r="AH401" s="390"/>
      <c r="AI401" s="391"/>
      <c r="AK401" s="437"/>
      <c r="AL401" s="437"/>
      <c r="AM401" s="437"/>
      <c r="AN401" s="437"/>
      <c r="AO401" s="437"/>
      <c r="AP401" s="437"/>
      <c r="AQ401" s="437"/>
      <c r="AR401" s="437"/>
      <c r="AS401" s="437"/>
      <c r="AT401" s="437"/>
      <c r="AU401" s="437"/>
      <c r="AV401" s="437"/>
      <c r="AW401" s="437"/>
      <c r="AX401" s="437"/>
      <c r="AY401" s="437"/>
      <c r="AZ401" s="437"/>
      <c r="BA401" s="437"/>
      <c r="BB401" s="437"/>
      <c r="BC401" s="437"/>
      <c r="BD401" s="437"/>
      <c r="BE401" s="437"/>
      <c r="BF401" s="437"/>
      <c r="BG401" s="437"/>
      <c r="BH401" s="437"/>
      <c r="BI401" s="437"/>
      <c r="BJ401" s="437"/>
      <c r="BK401" s="437"/>
      <c r="BL401" s="437"/>
      <c r="BM401" s="393"/>
      <c r="BO401" s="399">
        <f t="shared" si="153"/>
        <v>0</v>
      </c>
      <c r="BP401" s="399">
        <f t="shared" si="154"/>
        <v>0</v>
      </c>
      <c r="BQ401" s="399">
        <f t="shared" si="155"/>
        <v>0</v>
      </c>
      <c r="BR401" s="399">
        <f t="shared" si="156"/>
        <v>0</v>
      </c>
      <c r="BS401" s="399">
        <f t="shared" si="157"/>
        <v>0</v>
      </c>
      <c r="BT401" s="399">
        <f t="shared" si="158"/>
        <v>0</v>
      </c>
      <c r="BU401" s="399">
        <f t="shared" si="159"/>
        <v>0</v>
      </c>
      <c r="BV401" s="399">
        <f t="shared" si="160"/>
        <v>0</v>
      </c>
      <c r="BW401" s="399">
        <f t="shared" si="161"/>
        <v>0</v>
      </c>
      <c r="BX401" s="399">
        <f t="shared" si="162"/>
        <v>0</v>
      </c>
      <c r="BY401" s="399">
        <f t="shared" si="163"/>
        <v>0</v>
      </c>
      <c r="BZ401" s="399">
        <f t="shared" si="164"/>
        <v>0</v>
      </c>
      <c r="CA401" s="399">
        <f t="shared" si="165"/>
        <v>0</v>
      </c>
      <c r="CB401" s="399">
        <f t="shared" si="166"/>
        <v>0</v>
      </c>
      <c r="CC401" s="399">
        <f t="shared" si="167"/>
        <v>0</v>
      </c>
      <c r="CD401" s="399">
        <f t="shared" si="168"/>
        <v>0</v>
      </c>
      <c r="CE401" s="399">
        <f t="shared" si="169"/>
        <v>0</v>
      </c>
      <c r="CF401" s="399">
        <f t="shared" si="170"/>
        <v>0</v>
      </c>
      <c r="CG401" s="399">
        <f t="shared" si="171"/>
        <v>0</v>
      </c>
      <c r="CH401" s="399">
        <f t="shared" si="172"/>
        <v>0</v>
      </c>
      <c r="CI401" s="399">
        <f t="shared" si="173"/>
        <v>0</v>
      </c>
      <c r="CJ401" s="399">
        <f t="shared" si="174"/>
        <v>0</v>
      </c>
      <c r="CK401" s="399">
        <f t="shared" si="175"/>
        <v>0</v>
      </c>
      <c r="CL401" s="399">
        <f t="shared" si="176"/>
        <v>0</v>
      </c>
      <c r="CM401" s="399">
        <f t="shared" si="177"/>
        <v>0</v>
      </c>
      <c r="CN401" s="399">
        <f t="shared" si="178"/>
        <v>0</v>
      </c>
      <c r="CO401" s="399">
        <f t="shared" si="179"/>
        <v>0</v>
      </c>
      <c r="CP401" s="399">
        <f t="shared" si="180"/>
        <v>0</v>
      </c>
      <c r="CQ401" s="423">
        <f t="shared" si="181"/>
        <v>0</v>
      </c>
      <c r="CS401" s="394" t="e">
        <f t="shared" si="182"/>
        <v>#DIV/0!</v>
      </c>
    </row>
    <row r="402" spans="3:97">
      <c r="C402" s="107"/>
      <c r="D402" s="395"/>
      <c r="E402" s="84"/>
      <c r="F402" s="84"/>
      <c r="G402" s="389"/>
      <c r="H402" s="390"/>
      <c r="I402" s="390"/>
      <c r="J402" s="390"/>
      <c r="K402" s="390"/>
      <c r="L402" s="390"/>
      <c r="M402" s="390"/>
      <c r="N402" s="390"/>
      <c r="O402" s="390"/>
      <c r="P402" s="390"/>
      <c r="Q402" s="390"/>
      <c r="R402" s="390"/>
      <c r="S402" s="390"/>
      <c r="T402" s="390"/>
      <c r="U402" s="390"/>
      <c r="V402" s="390"/>
      <c r="W402" s="390"/>
      <c r="X402" s="390"/>
      <c r="Y402" s="390"/>
      <c r="Z402" s="390"/>
      <c r="AA402" s="390"/>
      <c r="AB402" s="390"/>
      <c r="AC402" s="390"/>
      <c r="AD402" s="390"/>
      <c r="AE402" s="390"/>
      <c r="AF402" s="390"/>
      <c r="AG402" s="390"/>
      <c r="AH402" s="390"/>
      <c r="AI402" s="391"/>
      <c r="AK402" s="437"/>
      <c r="AL402" s="437"/>
      <c r="AM402" s="437"/>
      <c r="AN402" s="437"/>
      <c r="AO402" s="437"/>
      <c r="AP402" s="437"/>
      <c r="AQ402" s="437"/>
      <c r="AR402" s="437"/>
      <c r="AS402" s="437"/>
      <c r="AT402" s="437"/>
      <c r="AU402" s="437"/>
      <c r="AV402" s="437"/>
      <c r="AW402" s="437"/>
      <c r="AX402" s="437"/>
      <c r="AY402" s="437"/>
      <c r="AZ402" s="437"/>
      <c r="BA402" s="437"/>
      <c r="BB402" s="437"/>
      <c r="BC402" s="437"/>
      <c r="BD402" s="437"/>
      <c r="BE402" s="437"/>
      <c r="BF402" s="437"/>
      <c r="BG402" s="437"/>
      <c r="BH402" s="437"/>
      <c r="BI402" s="437"/>
      <c r="BJ402" s="437"/>
      <c r="BK402" s="437"/>
      <c r="BL402" s="437"/>
      <c r="BM402" s="393"/>
      <c r="BO402" s="399">
        <f t="shared" si="153"/>
        <v>0</v>
      </c>
      <c r="BP402" s="399">
        <f t="shared" si="154"/>
        <v>0</v>
      </c>
      <c r="BQ402" s="399">
        <f t="shared" si="155"/>
        <v>0</v>
      </c>
      <c r="BR402" s="399">
        <f t="shared" si="156"/>
        <v>0</v>
      </c>
      <c r="BS402" s="399">
        <f t="shared" si="157"/>
        <v>0</v>
      </c>
      <c r="BT402" s="399">
        <f t="shared" si="158"/>
        <v>0</v>
      </c>
      <c r="BU402" s="399">
        <f t="shared" si="159"/>
        <v>0</v>
      </c>
      <c r="BV402" s="399">
        <f t="shared" si="160"/>
        <v>0</v>
      </c>
      <c r="BW402" s="399">
        <f t="shared" si="161"/>
        <v>0</v>
      </c>
      <c r="BX402" s="399">
        <f t="shared" si="162"/>
        <v>0</v>
      </c>
      <c r="BY402" s="399">
        <f t="shared" si="163"/>
        <v>0</v>
      </c>
      <c r="BZ402" s="399">
        <f t="shared" si="164"/>
        <v>0</v>
      </c>
      <c r="CA402" s="399">
        <f t="shared" si="165"/>
        <v>0</v>
      </c>
      <c r="CB402" s="399">
        <f t="shared" si="166"/>
        <v>0</v>
      </c>
      <c r="CC402" s="399">
        <f t="shared" si="167"/>
        <v>0</v>
      </c>
      <c r="CD402" s="399">
        <f t="shared" si="168"/>
        <v>0</v>
      </c>
      <c r="CE402" s="399">
        <f t="shared" si="169"/>
        <v>0</v>
      </c>
      <c r="CF402" s="399">
        <f t="shared" si="170"/>
        <v>0</v>
      </c>
      <c r="CG402" s="399">
        <f t="shared" si="171"/>
        <v>0</v>
      </c>
      <c r="CH402" s="399">
        <f t="shared" si="172"/>
        <v>0</v>
      </c>
      <c r="CI402" s="399">
        <f t="shared" si="173"/>
        <v>0</v>
      </c>
      <c r="CJ402" s="399">
        <f t="shared" si="174"/>
        <v>0</v>
      </c>
      <c r="CK402" s="399">
        <f t="shared" si="175"/>
        <v>0</v>
      </c>
      <c r="CL402" s="399">
        <f t="shared" si="176"/>
        <v>0</v>
      </c>
      <c r="CM402" s="399">
        <f t="shared" si="177"/>
        <v>0</v>
      </c>
      <c r="CN402" s="399">
        <f t="shared" si="178"/>
        <v>0</v>
      </c>
      <c r="CO402" s="399">
        <f t="shared" si="179"/>
        <v>0</v>
      </c>
      <c r="CP402" s="399">
        <f t="shared" si="180"/>
        <v>0</v>
      </c>
      <c r="CQ402" s="423">
        <f t="shared" si="181"/>
        <v>0</v>
      </c>
      <c r="CS402" s="394" t="e">
        <f t="shared" si="182"/>
        <v>#DIV/0!</v>
      </c>
    </row>
    <row r="403" spans="3:97">
      <c r="C403" s="107"/>
      <c r="D403" s="395"/>
      <c r="E403" s="84"/>
      <c r="F403" s="84"/>
      <c r="G403" s="389"/>
      <c r="H403" s="390"/>
      <c r="I403" s="390"/>
      <c r="J403" s="390"/>
      <c r="K403" s="390"/>
      <c r="L403" s="390"/>
      <c r="M403" s="390"/>
      <c r="N403" s="390"/>
      <c r="O403" s="390"/>
      <c r="P403" s="390"/>
      <c r="Q403" s="390"/>
      <c r="R403" s="390"/>
      <c r="S403" s="390"/>
      <c r="T403" s="390"/>
      <c r="U403" s="390"/>
      <c r="V403" s="390"/>
      <c r="W403" s="390"/>
      <c r="X403" s="390"/>
      <c r="Y403" s="390"/>
      <c r="Z403" s="390"/>
      <c r="AA403" s="390"/>
      <c r="AB403" s="390"/>
      <c r="AC403" s="390"/>
      <c r="AD403" s="390"/>
      <c r="AE403" s="390"/>
      <c r="AF403" s="390"/>
      <c r="AG403" s="390"/>
      <c r="AH403" s="390"/>
      <c r="AI403" s="391"/>
      <c r="AK403" s="437"/>
      <c r="AL403" s="437"/>
      <c r="AM403" s="437"/>
      <c r="AN403" s="437"/>
      <c r="AO403" s="437"/>
      <c r="AP403" s="437"/>
      <c r="AQ403" s="437"/>
      <c r="AR403" s="437"/>
      <c r="AS403" s="437"/>
      <c r="AT403" s="437"/>
      <c r="AU403" s="437"/>
      <c r="AV403" s="437"/>
      <c r="AW403" s="437"/>
      <c r="AX403" s="437"/>
      <c r="AY403" s="437"/>
      <c r="AZ403" s="437"/>
      <c r="BA403" s="437"/>
      <c r="BB403" s="437"/>
      <c r="BC403" s="437"/>
      <c r="BD403" s="437"/>
      <c r="BE403" s="437"/>
      <c r="BF403" s="437"/>
      <c r="BG403" s="437"/>
      <c r="BH403" s="437"/>
      <c r="BI403" s="437"/>
      <c r="BJ403" s="437"/>
      <c r="BK403" s="437"/>
      <c r="BL403" s="437"/>
      <c r="BM403" s="393"/>
      <c r="BO403" s="399">
        <f t="shared" ref="BO403:BO466" si="183">G403*BO$4</f>
        <v>0</v>
      </c>
      <c r="BP403" s="399">
        <f t="shared" ref="BP403:BP466" si="184">H403*BP$4</f>
        <v>0</v>
      </c>
      <c r="BQ403" s="399">
        <f t="shared" ref="BQ403:BQ466" si="185">I403*BQ$4</f>
        <v>0</v>
      </c>
      <c r="BR403" s="399">
        <f t="shared" ref="BR403:BR466" si="186">J403*BR$4</f>
        <v>0</v>
      </c>
      <c r="BS403" s="399">
        <f t="shared" ref="BS403:BS466" si="187">K403*BS$4</f>
        <v>0</v>
      </c>
      <c r="BT403" s="399">
        <f t="shared" ref="BT403:BT466" si="188">L403*BT$4</f>
        <v>0</v>
      </c>
      <c r="BU403" s="399">
        <f t="shared" ref="BU403:BU466" si="189">M403*BU$4</f>
        <v>0</v>
      </c>
      <c r="BV403" s="399">
        <f t="shared" ref="BV403:BV466" si="190">N403*BV$4</f>
        <v>0</v>
      </c>
      <c r="BW403" s="399">
        <f t="shared" ref="BW403:BW466" si="191">O403*BW$4</f>
        <v>0</v>
      </c>
      <c r="BX403" s="399">
        <f t="shared" ref="BX403:BX466" si="192">P403*BX$4</f>
        <v>0</v>
      </c>
      <c r="BY403" s="399">
        <f t="shared" ref="BY403:BY466" si="193">Q403*BY$4</f>
        <v>0</v>
      </c>
      <c r="BZ403" s="399">
        <f t="shared" ref="BZ403:BZ466" si="194">R403*BZ$4</f>
        <v>0</v>
      </c>
      <c r="CA403" s="399">
        <f t="shared" ref="CA403:CA466" si="195">S403*CA$4</f>
        <v>0</v>
      </c>
      <c r="CB403" s="399">
        <f t="shared" ref="CB403:CB466" si="196">T403*CB$4</f>
        <v>0</v>
      </c>
      <c r="CC403" s="399">
        <f t="shared" ref="CC403:CC466" si="197">U403*CC$4</f>
        <v>0</v>
      </c>
      <c r="CD403" s="399">
        <f t="shared" ref="CD403:CD466" si="198">V403*CD$4</f>
        <v>0</v>
      </c>
      <c r="CE403" s="399">
        <f t="shared" ref="CE403:CE466" si="199">W403*CE$4</f>
        <v>0</v>
      </c>
      <c r="CF403" s="399">
        <f t="shared" ref="CF403:CF466" si="200">X403*CF$4</f>
        <v>0</v>
      </c>
      <c r="CG403" s="399">
        <f t="shared" ref="CG403:CG466" si="201">Y403*CG$4</f>
        <v>0</v>
      </c>
      <c r="CH403" s="399">
        <f t="shared" ref="CH403:CH466" si="202">Z403*CH$4</f>
        <v>0</v>
      </c>
      <c r="CI403" s="399">
        <f t="shared" ref="CI403:CI466" si="203">AA403*CI$4</f>
        <v>0</v>
      </c>
      <c r="CJ403" s="399">
        <f t="shared" ref="CJ403:CJ466" si="204">AB403*CJ$4</f>
        <v>0</v>
      </c>
      <c r="CK403" s="399">
        <f t="shared" ref="CK403:CK466" si="205">AC403*CK$4</f>
        <v>0</v>
      </c>
      <c r="CL403" s="399">
        <f t="shared" ref="CL403:CL466" si="206">AD403*CL$4</f>
        <v>0</v>
      </c>
      <c r="CM403" s="399">
        <f t="shared" ref="CM403:CM466" si="207">AE403*CM$4</f>
        <v>0</v>
      </c>
      <c r="CN403" s="399">
        <f t="shared" ref="CN403:CN466" si="208">AF403*CN$4</f>
        <v>0</v>
      </c>
      <c r="CO403" s="399">
        <f t="shared" ref="CO403:CO466" si="209">AG403*CO$4</f>
        <v>0</v>
      </c>
      <c r="CP403" s="399">
        <f t="shared" ref="CP403:CP466" si="210">AH403*CP$4</f>
        <v>0</v>
      </c>
      <c r="CQ403" s="423">
        <f t="shared" ref="CQ403:CQ466" si="211">SUM(BO403:CP403)</f>
        <v>0</v>
      </c>
      <c r="CS403" s="394" t="e">
        <f t="shared" ref="CS403:CS466" si="212">CQ403/AI403</f>
        <v>#DIV/0!</v>
      </c>
    </row>
    <row r="404" spans="3:97">
      <c r="C404" s="107"/>
      <c r="D404" s="395"/>
      <c r="E404" s="84"/>
      <c r="F404" s="84"/>
      <c r="G404" s="389"/>
      <c r="H404" s="390"/>
      <c r="I404" s="390"/>
      <c r="J404" s="390"/>
      <c r="K404" s="390"/>
      <c r="L404" s="390"/>
      <c r="M404" s="390"/>
      <c r="N404" s="390"/>
      <c r="O404" s="390"/>
      <c r="P404" s="390"/>
      <c r="Q404" s="390"/>
      <c r="R404" s="390"/>
      <c r="S404" s="390"/>
      <c r="T404" s="390"/>
      <c r="U404" s="390"/>
      <c r="V404" s="390"/>
      <c r="W404" s="390"/>
      <c r="X404" s="390"/>
      <c r="Y404" s="390"/>
      <c r="Z404" s="390"/>
      <c r="AA404" s="390"/>
      <c r="AB404" s="390"/>
      <c r="AC404" s="390"/>
      <c r="AD404" s="390"/>
      <c r="AE404" s="390"/>
      <c r="AF404" s="390"/>
      <c r="AG404" s="390"/>
      <c r="AH404" s="390"/>
      <c r="AI404" s="391"/>
      <c r="AK404" s="437"/>
      <c r="AL404" s="437"/>
      <c r="AM404" s="437"/>
      <c r="AN404" s="437"/>
      <c r="AO404" s="437"/>
      <c r="AP404" s="437"/>
      <c r="AQ404" s="437"/>
      <c r="AR404" s="437"/>
      <c r="AS404" s="437"/>
      <c r="AT404" s="437"/>
      <c r="AU404" s="437"/>
      <c r="AV404" s="437"/>
      <c r="AW404" s="437"/>
      <c r="AX404" s="437"/>
      <c r="AY404" s="437"/>
      <c r="AZ404" s="437"/>
      <c r="BA404" s="437"/>
      <c r="BB404" s="437"/>
      <c r="BC404" s="437"/>
      <c r="BD404" s="437"/>
      <c r="BE404" s="437"/>
      <c r="BF404" s="437"/>
      <c r="BG404" s="437"/>
      <c r="BH404" s="437"/>
      <c r="BI404" s="437"/>
      <c r="BJ404" s="437"/>
      <c r="BK404" s="437"/>
      <c r="BL404" s="437"/>
      <c r="BM404" s="393"/>
      <c r="BO404" s="399">
        <f t="shared" si="183"/>
        <v>0</v>
      </c>
      <c r="BP404" s="399">
        <f t="shared" si="184"/>
        <v>0</v>
      </c>
      <c r="BQ404" s="399">
        <f t="shared" si="185"/>
        <v>0</v>
      </c>
      <c r="BR404" s="399">
        <f t="shared" si="186"/>
        <v>0</v>
      </c>
      <c r="BS404" s="399">
        <f t="shared" si="187"/>
        <v>0</v>
      </c>
      <c r="BT404" s="399">
        <f t="shared" si="188"/>
        <v>0</v>
      </c>
      <c r="BU404" s="399">
        <f t="shared" si="189"/>
        <v>0</v>
      </c>
      <c r="BV404" s="399">
        <f t="shared" si="190"/>
        <v>0</v>
      </c>
      <c r="BW404" s="399">
        <f t="shared" si="191"/>
        <v>0</v>
      </c>
      <c r="BX404" s="399">
        <f t="shared" si="192"/>
        <v>0</v>
      </c>
      <c r="BY404" s="399">
        <f t="shared" si="193"/>
        <v>0</v>
      </c>
      <c r="BZ404" s="399">
        <f t="shared" si="194"/>
        <v>0</v>
      </c>
      <c r="CA404" s="399">
        <f t="shared" si="195"/>
        <v>0</v>
      </c>
      <c r="CB404" s="399">
        <f t="shared" si="196"/>
        <v>0</v>
      </c>
      <c r="CC404" s="399">
        <f t="shared" si="197"/>
        <v>0</v>
      </c>
      <c r="CD404" s="399">
        <f t="shared" si="198"/>
        <v>0</v>
      </c>
      <c r="CE404" s="399">
        <f t="shared" si="199"/>
        <v>0</v>
      </c>
      <c r="CF404" s="399">
        <f t="shared" si="200"/>
        <v>0</v>
      </c>
      <c r="CG404" s="399">
        <f t="shared" si="201"/>
        <v>0</v>
      </c>
      <c r="CH404" s="399">
        <f t="shared" si="202"/>
        <v>0</v>
      </c>
      <c r="CI404" s="399">
        <f t="shared" si="203"/>
        <v>0</v>
      </c>
      <c r="CJ404" s="399">
        <f t="shared" si="204"/>
        <v>0</v>
      </c>
      <c r="CK404" s="399">
        <f t="shared" si="205"/>
        <v>0</v>
      </c>
      <c r="CL404" s="399">
        <f t="shared" si="206"/>
        <v>0</v>
      </c>
      <c r="CM404" s="399">
        <f t="shared" si="207"/>
        <v>0</v>
      </c>
      <c r="CN404" s="399">
        <f t="shared" si="208"/>
        <v>0</v>
      </c>
      <c r="CO404" s="399">
        <f t="shared" si="209"/>
        <v>0</v>
      </c>
      <c r="CP404" s="399">
        <f t="shared" si="210"/>
        <v>0</v>
      </c>
      <c r="CQ404" s="423">
        <f t="shared" si="211"/>
        <v>0</v>
      </c>
      <c r="CS404" s="394" t="e">
        <f t="shared" si="212"/>
        <v>#DIV/0!</v>
      </c>
    </row>
    <row r="405" spans="3:97">
      <c r="C405" s="107"/>
      <c r="D405" s="395"/>
      <c r="E405" s="84"/>
      <c r="F405" s="84"/>
      <c r="G405" s="389"/>
      <c r="H405" s="390"/>
      <c r="I405" s="390"/>
      <c r="J405" s="390"/>
      <c r="K405" s="390"/>
      <c r="L405" s="390"/>
      <c r="M405" s="390"/>
      <c r="N405" s="390"/>
      <c r="O405" s="390"/>
      <c r="P405" s="390"/>
      <c r="Q405" s="390"/>
      <c r="R405" s="390"/>
      <c r="S405" s="390"/>
      <c r="T405" s="390"/>
      <c r="U405" s="390"/>
      <c r="V405" s="390"/>
      <c r="W405" s="390"/>
      <c r="X405" s="390"/>
      <c r="Y405" s="390"/>
      <c r="Z405" s="390"/>
      <c r="AA405" s="390"/>
      <c r="AB405" s="390"/>
      <c r="AC405" s="390"/>
      <c r="AD405" s="390"/>
      <c r="AE405" s="390"/>
      <c r="AF405" s="390"/>
      <c r="AG405" s="390"/>
      <c r="AH405" s="390"/>
      <c r="AI405" s="391"/>
      <c r="AK405" s="437"/>
      <c r="AL405" s="437"/>
      <c r="AM405" s="437"/>
      <c r="AN405" s="437"/>
      <c r="AO405" s="437"/>
      <c r="AP405" s="437"/>
      <c r="AQ405" s="437"/>
      <c r="AR405" s="437"/>
      <c r="AS405" s="437"/>
      <c r="AT405" s="437"/>
      <c r="AU405" s="437"/>
      <c r="AV405" s="437"/>
      <c r="AW405" s="437"/>
      <c r="AX405" s="437"/>
      <c r="AY405" s="437"/>
      <c r="AZ405" s="437"/>
      <c r="BA405" s="437"/>
      <c r="BB405" s="437"/>
      <c r="BC405" s="437"/>
      <c r="BD405" s="437"/>
      <c r="BE405" s="437"/>
      <c r="BF405" s="437"/>
      <c r="BG405" s="437"/>
      <c r="BH405" s="437"/>
      <c r="BI405" s="437"/>
      <c r="BJ405" s="437"/>
      <c r="BK405" s="437"/>
      <c r="BL405" s="437"/>
      <c r="BM405" s="393"/>
      <c r="BO405" s="399">
        <f t="shared" si="183"/>
        <v>0</v>
      </c>
      <c r="BP405" s="399">
        <f t="shared" si="184"/>
        <v>0</v>
      </c>
      <c r="BQ405" s="399">
        <f t="shared" si="185"/>
        <v>0</v>
      </c>
      <c r="BR405" s="399">
        <f t="shared" si="186"/>
        <v>0</v>
      </c>
      <c r="BS405" s="399">
        <f t="shared" si="187"/>
        <v>0</v>
      </c>
      <c r="BT405" s="399">
        <f t="shared" si="188"/>
        <v>0</v>
      </c>
      <c r="BU405" s="399">
        <f t="shared" si="189"/>
        <v>0</v>
      </c>
      <c r="BV405" s="399">
        <f t="shared" si="190"/>
        <v>0</v>
      </c>
      <c r="BW405" s="399">
        <f t="shared" si="191"/>
        <v>0</v>
      </c>
      <c r="BX405" s="399">
        <f t="shared" si="192"/>
        <v>0</v>
      </c>
      <c r="BY405" s="399">
        <f t="shared" si="193"/>
        <v>0</v>
      </c>
      <c r="BZ405" s="399">
        <f t="shared" si="194"/>
        <v>0</v>
      </c>
      <c r="CA405" s="399">
        <f t="shared" si="195"/>
        <v>0</v>
      </c>
      <c r="CB405" s="399">
        <f t="shared" si="196"/>
        <v>0</v>
      </c>
      <c r="CC405" s="399">
        <f t="shared" si="197"/>
        <v>0</v>
      </c>
      <c r="CD405" s="399">
        <f t="shared" si="198"/>
        <v>0</v>
      </c>
      <c r="CE405" s="399">
        <f t="shared" si="199"/>
        <v>0</v>
      </c>
      <c r="CF405" s="399">
        <f t="shared" si="200"/>
        <v>0</v>
      </c>
      <c r="CG405" s="399">
        <f t="shared" si="201"/>
        <v>0</v>
      </c>
      <c r="CH405" s="399">
        <f t="shared" si="202"/>
        <v>0</v>
      </c>
      <c r="CI405" s="399">
        <f t="shared" si="203"/>
        <v>0</v>
      </c>
      <c r="CJ405" s="399">
        <f t="shared" si="204"/>
        <v>0</v>
      </c>
      <c r="CK405" s="399">
        <f t="shared" si="205"/>
        <v>0</v>
      </c>
      <c r="CL405" s="399">
        <f t="shared" si="206"/>
        <v>0</v>
      </c>
      <c r="CM405" s="399">
        <f t="shared" si="207"/>
        <v>0</v>
      </c>
      <c r="CN405" s="399">
        <f t="shared" si="208"/>
        <v>0</v>
      </c>
      <c r="CO405" s="399">
        <f t="shared" si="209"/>
        <v>0</v>
      </c>
      <c r="CP405" s="399">
        <f t="shared" si="210"/>
        <v>0</v>
      </c>
      <c r="CQ405" s="423">
        <f t="shared" si="211"/>
        <v>0</v>
      </c>
      <c r="CS405" s="394" t="e">
        <f t="shared" si="212"/>
        <v>#DIV/0!</v>
      </c>
    </row>
    <row r="406" spans="3:97">
      <c r="C406" s="107"/>
      <c r="D406" s="395"/>
      <c r="E406" s="84"/>
      <c r="F406" s="84"/>
      <c r="G406" s="389"/>
      <c r="H406" s="390"/>
      <c r="I406" s="390"/>
      <c r="J406" s="390"/>
      <c r="K406" s="390"/>
      <c r="L406" s="390"/>
      <c r="M406" s="390"/>
      <c r="N406" s="390"/>
      <c r="O406" s="390"/>
      <c r="P406" s="390"/>
      <c r="Q406" s="390"/>
      <c r="R406" s="390"/>
      <c r="S406" s="390"/>
      <c r="T406" s="390"/>
      <c r="U406" s="390"/>
      <c r="V406" s="390"/>
      <c r="W406" s="390"/>
      <c r="X406" s="390"/>
      <c r="Y406" s="390"/>
      <c r="Z406" s="390"/>
      <c r="AA406" s="390"/>
      <c r="AB406" s="390"/>
      <c r="AC406" s="390"/>
      <c r="AD406" s="390"/>
      <c r="AE406" s="390"/>
      <c r="AF406" s="390"/>
      <c r="AG406" s="390"/>
      <c r="AH406" s="390"/>
      <c r="AI406" s="391"/>
      <c r="AK406" s="437"/>
      <c r="AL406" s="437"/>
      <c r="AM406" s="437"/>
      <c r="AN406" s="437"/>
      <c r="AO406" s="437"/>
      <c r="AP406" s="437"/>
      <c r="AQ406" s="437"/>
      <c r="AR406" s="437"/>
      <c r="AS406" s="437"/>
      <c r="AT406" s="437"/>
      <c r="AU406" s="437"/>
      <c r="AV406" s="437"/>
      <c r="AW406" s="437"/>
      <c r="AX406" s="437"/>
      <c r="AY406" s="437"/>
      <c r="AZ406" s="437"/>
      <c r="BA406" s="437"/>
      <c r="BB406" s="437"/>
      <c r="BC406" s="437"/>
      <c r="BD406" s="437"/>
      <c r="BE406" s="437"/>
      <c r="BF406" s="437"/>
      <c r="BG406" s="437"/>
      <c r="BH406" s="437"/>
      <c r="BI406" s="437"/>
      <c r="BJ406" s="437"/>
      <c r="BK406" s="437"/>
      <c r="BL406" s="437"/>
      <c r="BM406" s="393"/>
      <c r="BO406" s="399">
        <f t="shared" si="183"/>
        <v>0</v>
      </c>
      <c r="BP406" s="399">
        <f t="shared" si="184"/>
        <v>0</v>
      </c>
      <c r="BQ406" s="399">
        <f t="shared" si="185"/>
        <v>0</v>
      </c>
      <c r="BR406" s="399">
        <f t="shared" si="186"/>
        <v>0</v>
      </c>
      <c r="BS406" s="399">
        <f t="shared" si="187"/>
        <v>0</v>
      </c>
      <c r="BT406" s="399">
        <f t="shared" si="188"/>
        <v>0</v>
      </c>
      <c r="BU406" s="399">
        <f t="shared" si="189"/>
        <v>0</v>
      </c>
      <c r="BV406" s="399">
        <f t="shared" si="190"/>
        <v>0</v>
      </c>
      <c r="BW406" s="399">
        <f t="shared" si="191"/>
        <v>0</v>
      </c>
      <c r="BX406" s="399">
        <f t="shared" si="192"/>
        <v>0</v>
      </c>
      <c r="BY406" s="399">
        <f t="shared" si="193"/>
        <v>0</v>
      </c>
      <c r="BZ406" s="399">
        <f t="shared" si="194"/>
        <v>0</v>
      </c>
      <c r="CA406" s="399">
        <f t="shared" si="195"/>
        <v>0</v>
      </c>
      <c r="CB406" s="399">
        <f t="shared" si="196"/>
        <v>0</v>
      </c>
      <c r="CC406" s="399">
        <f t="shared" si="197"/>
        <v>0</v>
      </c>
      <c r="CD406" s="399">
        <f t="shared" si="198"/>
        <v>0</v>
      </c>
      <c r="CE406" s="399">
        <f t="shared" si="199"/>
        <v>0</v>
      </c>
      <c r="CF406" s="399">
        <f t="shared" si="200"/>
        <v>0</v>
      </c>
      <c r="CG406" s="399">
        <f t="shared" si="201"/>
        <v>0</v>
      </c>
      <c r="CH406" s="399">
        <f t="shared" si="202"/>
        <v>0</v>
      </c>
      <c r="CI406" s="399">
        <f t="shared" si="203"/>
        <v>0</v>
      </c>
      <c r="CJ406" s="399">
        <f t="shared" si="204"/>
        <v>0</v>
      </c>
      <c r="CK406" s="399">
        <f t="shared" si="205"/>
        <v>0</v>
      </c>
      <c r="CL406" s="399">
        <f t="shared" si="206"/>
        <v>0</v>
      </c>
      <c r="CM406" s="399">
        <f t="shared" si="207"/>
        <v>0</v>
      </c>
      <c r="CN406" s="399">
        <f t="shared" si="208"/>
        <v>0</v>
      </c>
      <c r="CO406" s="399">
        <f t="shared" si="209"/>
        <v>0</v>
      </c>
      <c r="CP406" s="399">
        <f t="shared" si="210"/>
        <v>0</v>
      </c>
      <c r="CQ406" s="423">
        <f t="shared" si="211"/>
        <v>0</v>
      </c>
      <c r="CS406" s="394" t="e">
        <f t="shared" si="212"/>
        <v>#DIV/0!</v>
      </c>
    </row>
    <row r="407" spans="3:97">
      <c r="C407" s="107"/>
      <c r="D407" s="395"/>
      <c r="E407" s="84"/>
      <c r="F407" s="84"/>
      <c r="G407" s="389"/>
      <c r="H407" s="390"/>
      <c r="I407" s="390"/>
      <c r="J407" s="390"/>
      <c r="K407" s="390"/>
      <c r="L407" s="390"/>
      <c r="M407" s="390"/>
      <c r="N407" s="390"/>
      <c r="O407" s="390"/>
      <c r="P407" s="390"/>
      <c r="Q407" s="390"/>
      <c r="R407" s="390"/>
      <c r="S407" s="390"/>
      <c r="T407" s="390"/>
      <c r="U407" s="390"/>
      <c r="V407" s="390"/>
      <c r="W407" s="390"/>
      <c r="X407" s="390"/>
      <c r="Y407" s="390"/>
      <c r="Z407" s="390"/>
      <c r="AA407" s="390"/>
      <c r="AB407" s="390"/>
      <c r="AC407" s="390"/>
      <c r="AD407" s="390"/>
      <c r="AE407" s="390"/>
      <c r="AF407" s="390"/>
      <c r="AG407" s="390"/>
      <c r="AH407" s="390"/>
      <c r="AI407" s="391"/>
      <c r="AK407" s="437"/>
      <c r="AL407" s="437"/>
      <c r="AM407" s="437"/>
      <c r="AN407" s="437"/>
      <c r="AO407" s="437"/>
      <c r="AP407" s="437"/>
      <c r="AQ407" s="437"/>
      <c r="AR407" s="437"/>
      <c r="AS407" s="437"/>
      <c r="AT407" s="437"/>
      <c r="AU407" s="437"/>
      <c r="AV407" s="437"/>
      <c r="AW407" s="437"/>
      <c r="AX407" s="437"/>
      <c r="AY407" s="437"/>
      <c r="AZ407" s="437"/>
      <c r="BA407" s="437"/>
      <c r="BB407" s="437"/>
      <c r="BC407" s="437"/>
      <c r="BD407" s="437"/>
      <c r="BE407" s="437"/>
      <c r="BF407" s="437"/>
      <c r="BG407" s="437"/>
      <c r="BH407" s="437"/>
      <c r="BI407" s="437"/>
      <c r="BJ407" s="437"/>
      <c r="BK407" s="437"/>
      <c r="BL407" s="437"/>
      <c r="BM407" s="393"/>
      <c r="BO407" s="399">
        <f t="shared" si="183"/>
        <v>0</v>
      </c>
      <c r="BP407" s="399">
        <f t="shared" si="184"/>
        <v>0</v>
      </c>
      <c r="BQ407" s="399">
        <f t="shared" si="185"/>
        <v>0</v>
      </c>
      <c r="BR407" s="399">
        <f t="shared" si="186"/>
        <v>0</v>
      </c>
      <c r="BS407" s="399">
        <f t="shared" si="187"/>
        <v>0</v>
      </c>
      <c r="BT407" s="399">
        <f t="shared" si="188"/>
        <v>0</v>
      </c>
      <c r="BU407" s="399">
        <f t="shared" si="189"/>
        <v>0</v>
      </c>
      <c r="BV407" s="399">
        <f t="shared" si="190"/>
        <v>0</v>
      </c>
      <c r="BW407" s="399">
        <f t="shared" si="191"/>
        <v>0</v>
      </c>
      <c r="BX407" s="399">
        <f t="shared" si="192"/>
        <v>0</v>
      </c>
      <c r="BY407" s="399">
        <f t="shared" si="193"/>
        <v>0</v>
      </c>
      <c r="BZ407" s="399">
        <f t="shared" si="194"/>
        <v>0</v>
      </c>
      <c r="CA407" s="399">
        <f t="shared" si="195"/>
        <v>0</v>
      </c>
      <c r="CB407" s="399">
        <f t="shared" si="196"/>
        <v>0</v>
      </c>
      <c r="CC407" s="399">
        <f t="shared" si="197"/>
        <v>0</v>
      </c>
      <c r="CD407" s="399">
        <f t="shared" si="198"/>
        <v>0</v>
      </c>
      <c r="CE407" s="399">
        <f t="shared" si="199"/>
        <v>0</v>
      </c>
      <c r="CF407" s="399">
        <f t="shared" si="200"/>
        <v>0</v>
      </c>
      <c r="CG407" s="399">
        <f t="shared" si="201"/>
        <v>0</v>
      </c>
      <c r="CH407" s="399">
        <f t="shared" si="202"/>
        <v>0</v>
      </c>
      <c r="CI407" s="399">
        <f t="shared" si="203"/>
        <v>0</v>
      </c>
      <c r="CJ407" s="399">
        <f t="shared" si="204"/>
        <v>0</v>
      </c>
      <c r="CK407" s="399">
        <f t="shared" si="205"/>
        <v>0</v>
      </c>
      <c r="CL407" s="399">
        <f t="shared" si="206"/>
        <v>0</v>
      </c>
      <c r="CM407" s="399">
        <f t="shared" si="207"/>
        <v>0</v>
      </c>
      <c r="CN407" s="399">
        <f t="shared" si="208"/>
        <v>0</v>
      </c>
      <c r="CO407" s="399">
        <f t="shared" si="209"/>
        <v>0</v>
      </c>
      <c r="CP407" s="399">
        <f t="shared" si="210"/>
        <v>0</v>
      </c>
      <c r="CQ407" s="423">
        <f t="shared" si="211"/>
        <v>0</v>
      </c>
      <c r="CS407" s="394" t="e">
        <f t="shared" si="212"/>
        <v>#DIV/0!</v>
      </c>
    </row>
    <row r="408" spans="3:97">
      <c r="C408" s="107"/>
      <c r="D408" s="395"/>
      <c r="E408" s="84"/>
      <c r="F408" s="84"/>
      <c r="G408" s="389"/>
      <c r="H408" s="390"/>
      <c r="I408" s="390"/>
      <c r="J408" s="390"/>
      <c r="K408" s="390"/>
      <c r="L408" s="390"/>
      <c r="M408" s="390"/>
      <c r="N408" s="390"/>
      <c r="O408" s="390"/>
      <c r="P408" s="390"/>
      <c r="Q408" s="390"/>
      <c r="R408" s="390"/>
      <c r="S408" s="390"/>
      <c r="T408" s="390"/>
      <c r="U408" s="390"/>
      <c r="V408" s="390"/>
      <c r="W408" s="390"/>
      <c r="X408" s="390"/>
      <c r="Y408" s="390"/>
      <c r="Z408" s="390"/>
      <c r="AA408" s="390"/>
      <c r="AB408" s="390"/>
      <c r="AC408" s="390"/>
      <c r="AD408" s="390"/>
      <c r="AE408" s="390"/>
      <c r="AF408" s="390"/>
      <c r="AG408" s="390"/>
      <c r="AH408" s="390"/>
      <c r="AI408" s="391"/>
      <c r="AK408" s="437"/>
      <c r="AL408" s="437"/>
      <c r="AM408" s="437"/>
      <c r="AN408" s="437"/>
      <c r="AO408" s="437"/>
      <c r="AP408" s="437"/>
      <c r="AQ408" s="437"/>
      <c r="AR408" s="437"/>
      <c r="AS408" s="437"/>
      <c r="AT408" s="437"/>
      <c r="AU408" s="437"/>
      <c r="AV408" s="437"/>
      <c r="AW408" s="437"/>
      <c r="AX408" s="437"/>
      <c r="AY408" s="437"/>
      <c r="AZ408" s="437"/>
      <c r="BA408" s="437"/>
      <c r="BB408" s="437"/>
      <c r="BC408" s="437"/>
      <c r="BD408" s="437"/>
      <c r="BE408" s="437"/>
      <c r="BF408" s="437"/>
      <c r="BG408" s="437"/>
      <c r="BH408" s="437"/>
      <c r="BI408" s="437"/>
      <c r="BJ408" s="437"/>
      <c r="BK408" s="437"/>
      <c r="BL408" s="437"/>
      <c r="BM408" s="393"/>
      <c r="BO408" s="399">
        <f t="shared" si="183"/>
        <v>0</v>
      </c>
      <c r="BP408" s="399">
        <f t="shared" si="184"/>
        <v>0</v>
      </c>
      <c r="BQ408" s="399">
        <f t="shared" si="185"/>
        <v>0</v>
      </c>
      <c r="BR408" s="399">
        <f t="shared" si="186"/>
        <v>0</v>
      </c>
      <c r="BS408" s="399">
        <f t="shared" si="187"/>
        <v>0</v>
      </c>
      <c r="BT408" s="399">
        <f t="shared" si="188"/>
        <v>0</v>
      </c>
      <c r="BU408" s="399">
        <f t="shared" si="189"/>
        <v>0</v>
      </c>
      <c r="BV408" s="399">
        <f t="shared" si="190"/>
        <v>0</v>
      </c>
      <c r="BW408" s="399">
        <f t="shared" si="191"/>
        <v>0</v>
      </c>
      <c r="BX408" s="399">
        <f t="shared" si="192"/>
        <v>0</v>
      </c>
      <c r="BY408" s="399">
        <f t="shared" si="193"/>
        <v>0</v>
      </c>
      <c r="BZ408" s="399">
        <f t="shared" si="194"/>
        <v>0</v>
      </c>
      <c r="CA408" s="399">
        <f t="shared" si="195"/>
        <v>0</v>
      </c>
      <c r="CB408" s="399">
        <f t="shared" si="196"/>
        <v>0</v>
      </c>
      <c r="CC408" s="399">
        <f t="shared" si="197"/>
        <v>0</v>
      </c>
      <c r="CD408" s="399">
        <f t="shared" si="198"/>
        <v>0</v>
      </c>
      <c r="CE408" s="399">
        <f t="shared" si="199"/>
        <v>0</v>
      </c>
      <c r="CF408" s="399">
        <f t="shared" si="200"/>
        <v>0</v>
      </c>
      <c r="CG408" s="399">
        <f t="shared" si="201"/>
        <v>0</v>
      </c>
      <c r="CH408" s="399">
        <f t="shared" si="202"/>
        <v>0</v>
      </c>
      <c r="CI408" s="399">
        <f t="shared" si="203"/>
        <v>0</v>
      </c>
      <c r="CJ408" s="399">
        <f t="shared" si="204"/>
        <v>0</v>
      </c>
      <c r="CK408" s="399">
        <f t="shared" si="205"/>
        <v>0</v>
      </c>
      <c r="CL408" s="399">
        <f t="shared" si="206"/>
        <v>0</v>
      </c>
      <c r="CM408" s="399">
        <f t="shared" si="207"/>
        <v>0</v>
      </c>
      <c r="CN408" s="399">
        <f t="shared" si="208"/>
        <v>0</v>
      </c>
      <c r="CO408" s="399">
        <f t="shared" si="209"/>
        <v>0</v>
      </c>
      <c r="CP408" s="399">
        <f t="shared" si="210"/>
        <v>0</v>
      </c>
      <c r="CQ408" s="423">
        <f t="shared" si="211"/>
        <v>0</v>
      </c>
      <c r="CS408" s="394" t="e">
        <f t="shared" si="212"/>
        <v>#DIV/0!</v>
      </c>
    </row>
    <row r="409" spans="3:97">
      <c r="C409" s="107"/>
      <c r="D409" s="395"/>
      <c r="E409" s="84"/>
      <c r="F409" s="84"/>
      <c r="G409" s="389"/>
      <c r="H409" s="390"/>
      <c r="I409" s="390"/>
      <c r="J409" s="390"/>
      <c r="K409" s="390"/>
      <c r="L409" s="390"/>
      <c r="M409" s="390"/>
      <c r="N409" s="390"/>
      <c r="O409" s="390"/>
      <c r="P409" s="390"/>
      <c r="Q409" s="390"/>
      <c r="R409" s="390"/>
      <c r="S409" s="390"/>
      <c r="T409" s="390"/>
      <c r="U409" s="390"/>
      <c r="V409" s="390"/>
      <c r="W409" s="390"/>
      <c r="X409" s="390"/>
      <c r="Y409" s="390"/>
      <c r="Z409" s="390"/>
      <c r="AA409" s="390"/>
      <c r="AB409" s="390"/>
      <c r="AC409" s="390"/>
      <c r="AD409" s="390"/>
      <c r="AE409" s="390"/>
      <c r="AF409" s="390"/>
      <c r="AG409" s="390"/>
      <c r="AH409" s="390"/>
      <c r="AI409" s="391"/>
      <c r="AK409" s="437"/>
      <c r="AL409" s="437"/>
      <c r="AM409" s="437"/>
      <c r="AN409" s="437"/>
      <c r="AO409" s="437"/>
      <c r="AP409" s="437"/>
      <c r="AQ409" s="437"/>
      <c r="AR409" s="437"/>
      <c r="AS409" s="437"/>
      <c r="AT409" s="437"/>
      <c r="AU409" s="437"/>
      <c r="AV409" s="437"/>
      <c r="AW409" s="437"/>
      <c r="AX409" s="437"/>
      <c r="AY409" s="437"/>
      <c r="AZ409" s="437"/>
      <c r="BA409" s="437"/>
      <c r="BB409" s="437"/>
      <c r="BC409" s="437"/>
      <c r="BD409" s="437"/>
      <c r="BE409" s="437"/>
      <c r="BF409" s="437"/>
      <c r="BG409" s="437"/>
      <c r="BH409" s="437"/>
      <c r="BI409" s="437"/>
      <c r="BJ409" s="437"/>
      <c r="BK409" s="437"/>
      <c r="BL409" s="437"/>
      <c r="BM409" s="393"/>
      <c r="BO409" s="399">
        <f t="shared" si="183"/>
        <v>0</v>
      </c>
      <c r="BP409" s="399">
        <f t="shared" si="184"/>
        <v>0</v>
      </c>
      <c r="BQ409" s="399">
        <f t="shared" si="185"/>
        <v>0</v>
      </c>
      <c r="BR409" s="399">
        <f t="shared" si="186"/>
        <v>0</v>
      </c>
      <c r="BS409" s="399">
        <f t="shared" si="187"/>
        <v>0</v>
      </c>
      <c r="BT409" s="399">
        <f t="shared" si="188"/>
        <v>0</v>
      </c>
      <c r="BU409" s="399">
        <f t="shared" si="189"/>
        <v>0</v>
      </c>
      <c r="BV409" s="399">
        <f t="shared" si="190"/>
        <v>0</v>
      </c>
      <c r="BW409" s="399">
        <f t="shared" si="191"/>
        <v>0</v>
      </c>
      <c r="BX409" s="399">
        <f t="shared" si="192"/>
        <v>0</v>
      </c>
      <c r="BY409" s="399">
        <f t="shared" si="193"/>
        <v>0</v>
      </c>
      <c r="BZ409" s="399">
        <f t="shared" si="194"/>
        <v>0</v>
      </c>
      <c r="CA409" s="399">
        <f t="shared" si="195"/>
        <v>0</v>
      </c>
      <c r="CB409" s="399">
        <f t="shared" si="196"/>
        <v>0</v>
      </c>
      <c r="CC409" s="399">
        <f t="shared" si="197"/>
        <v>0</v>
      </c>
      <c r="CD409" s="399">
        <f t="shared" si="198"/>
        <v>0</v>
      </c>
      <c r="CE409" s="399">
        <f t="shared" si="199"/>
        <v>0</v>
      </c>
      <c r="CF409" s="399">
        <f t="shared" si="200"/>
        <v>0</v>
      </c>
      <c r="CG409" s="399">
        <f t="shared" si="201"/>
        <v>0</v>
      </c>
      <c r="CH409" s="399">
        <f t="shared" si="202"/>
        <v>0</v>
      </c>
      <c r="CI409" s="399">
        <f t="shared" si="203"/>
        <v>0</v>
      </c>
      <c r="CJ409" s="399">
        <f t="shared" si="204"/>
        <v>0</v>
      </c>
      <c r="CK409" s="399">
        <f t="shared" si="205"/>
        <v>0</v>
      </c>
      <c r="CL409" s="399">
        <f t="shared" si="206"/>
        <v>0</v>
      </c>
      <c r="CM409" s="399">
        <f t="shared" si="207"/>
        <v>0</v>
      </c>
      <c r="CN409" s="399">
        <f t="shared" si="208"/>
        <v>0</v>
      </c>
      <c r="CO409" s="399">
        <f t="shared" si="209"/>
        <v>0</v>
      </c>
      <c r="CP409" s="399">
        <f t="shared" si="210"/>
        <v>0</v>
      </c>
      <c r="CQ409" s="423">
        <f t="shared" si="211"/>
        <v>0</v>
      </c>
      <c r="CS409" s="394" t="e">
        <f t="shared" si="212"/>
        <v>#DIV/0!</v>
      </c>
    </row>
    <row r="410" spans="3:97">
      <c r="C410" s="107"/>
      <c r="D410" s="395"/>
      <c r="E410" s="84"/>
      <c r="F410" s="84"/>
      <c r="G410" s="389"/>
      <c r="H410" s="390"/>
      <c r="I410" s="390"/>
      <c r="J410" s="390"/>
      <c r="K410" s="390"/>
      <c r="L410" s="390"/>
      <c r="M410" s="390"/>
      <c r="N410" s="390"/>
      <c r="O410" s="390"/>
      <c r="P410" s="390"/>
      <c r="Q410" s="390"/>
      <c r="R410" s="390"/>
      <c r="S410" s="390"/>
      <c r="T410" s="390"/>
      <c r="U410" s="390"/>
      <c r="V410" s="390"/>
      <c r="W410" s="390"/>
      <c r="X410" s="390"/>
      <c r="Y410" s="390"/>
      <c r="Z410" s="390"/>
      <c r="AA410" s="390"/>
      <c r="AB410" s="390"/>
      <c r="AC410" s="390"/>
      <c r="AD410" s="390"/>
      <c r="AE410" s="390"/>
      <c r="AF410" s="390"/>
      <c r="AG410" s="390"/>
      <c r="AH410" s="390"/>
      <c r="AI410" s="391"/>
      <c r="AK410" s="437"/>
      <c r="AL410" s="437"/>
      <c r="AM410" s="437"/>
      <c r="AN410" s="437"/>
      <c r="AO410" s="437"/>
      <c r="AP410" s="437"/>
      <c r="AQ410" s="437"/>
      <c r="AR410" s="437"/>
      <c r="AS410" s="437"/>
      <c r="AT410" s="437"/>
      <c r="AU410" s="437"/>
      <c r="AV410" s="437"/>
      <c r="AW410" s="437"/>
      <c r="AX410" s="437"/>
      <c r="AY410" s="437"/>
      <c r="AZ410" s="437"/>
      <c r="BA410" s="437"/>
      <c r="BB410" s="437"/>
      <c r="BC410" s="437"/>
      <c r="BD410" s="437"/>
      <c r="BE410" s="437"/>
      <c r="BF410" s="437"/>
      <c r="BG410" s="437"/>
      <c r="BH410" s="437"/>
      <c r="BI410" s="437"/>
      <c r="BJ410" s="437"/>
      <c r="BK410" s="437"/>
      <c r="BL410" s="437"/>
      <c r="BM410" s="393"/>
      <c r="BO410" s="399">
        <f t="shared" si="183"/>
        <v>0</v>
      </c>
      <c r="BP410" s="399">
        <f t="shared" si="184"/>
        <v>0</v>
      </c>
      <c r="BQ410" s="399">
        <f t="shared" si="185"/>
        <v>0</v>
      </c>
      <c r="BR410" s="399">
        <f t="shared" si="186"/>
        <v>0</v>
      </c>
      <c r="BS410" s="399">
        <f t="shared" si="187"/>
        <v>0</v>
      </c>
      <c r="BT410" s="399">
        <f t="shared" si="188"/>
        <v>0</v>
      </c>
      <c r="BU410" s="399">
        <f t="shared" si="189"/>
        <v>0</v>
      </c>
      <c r="BV410" s="399">
        <f t="shared" si="190"/>
        <v>0</v>
      </c>
      <c r="BW410" s="399">
        <f t="shared" si="191"/>
        <v>0</v>
      </c>
      <c r="BX410" s="399">
        <f t="shared" si="192"/>
        <v>0</v>
      </c>
      <c r="BY410" s="399">
        <f t="shared" si="193"/>
        <v>0</v>
      </c>
      <c r="BZ410" s="399">
        <f t="shared" si="194"/>
        <v>0</v>
      </c>
      <c r="CA410" s="399">
        <f t="shared" si="195"/>
        <v>0</v>
      </c>
      <c r="CB410" s="399">
        <f t="shared" si="196"/>
        <v>0</v>
      </c>
      <c r="CC410" s="399">
        <f t="shared" si="197"/>
        <v>0</v>
      </c>
      <c r="CD410" s="399">
        <f t="shared" si="198"/>
        <v>0</v>
      </c>
      <c r="CE410" s="399">
        <f t="shared" si="199"/>
        <v>0</v>
      </c>
      <c r="CF410" s="399">
        <f t="shared" si="200"/>
        <v>0</v>
      </c>
      <c r="CG410" s="399">
        <f t="shared" si="201"/>
        <v>0</v>
      </c>
      <c r="CH410" s="399">
        <f t="shared" si="202"/>
        <v>0</v>
      </c>
      <c r="CI410" s="399">
        <f t="shared" si="203"/>
        <v>0</v>
      </c>
      <c r="CJ410" s="399">
        <f t="shared" si="204"/>
        <v>0</v>
      </c>
      <c r="CK410" s="399">
        <f t="shared" si="205"/>
        <v>0</v>
      </c>
      <c r="CL410" s="399">
        <f t="shared" si="206"/>
        <v>0</v>
      </c>
      <c r="CM410" s="399">
        <f t="shared" si="207"/>
        <v>0</v>
      </c>
      <c r="CN410" s="399">
        <f t="shared" si="208"/>
        <v>0</v>
      </c>
      <c r="CO410" s="399">
        <f t="shared" si="209"/>
        <v>0</v>
      </c>
      <c r="CP410" s="399">
        <f t="shared" si="210"/>
        <v>0</v>
      </c>
      <c r="CQ410" s="423">
        <f t="shared" si="211"/>
        <v>0</v>
      </c>
      <c r="CS410" s="394" t="e">
        <f t="shared" si="212"/>
        <v>#DIV/0!</v>
      </c>
    </row>
    <row r="411" spans="3:97">
      <c r="C411" s="107"/>
      <c r="D411" s="395"/>
      <c r="E411" s="84"/>
      <c r="F411" s="84"/>
      <c r="G411" s="389"/>
      <c r="H411" s="390"/>
      <c r="I411" s="390"/>
      <c r="J411" s="390"/>
      <c r="K411" s="390"/>
      <c r="L411" s="390"/>
      <c r="M411" s="390"/>
      <c r="N411" s="390"/>
      <c r="O411" s="390"/>
      <c r="P411" s="390"/>
      <c r="Q411" s="390"/>
      <c r="R411" s="390"/>
      <c r="S411" s="390"/>
      <c r="T411" s="390"/>
      <c r="U411" s="390"/>
      <c r="V411" s="390"/>
      <c r="W411" s="390"/>
      <c r="X411" s="390"/>
      <c r="Y411" s="390"/>
      <c r="Z411" s="390"/>
      <c r="AA411" s="390"/>
      <c r="AB411" s="390"/>
      <c r="AC411" s="390"/>
      <c r="AD411" s="390"/>
      <c r="AE411" s="390"/>
      <c r="AF411" s="390"/>
      <c r="AG411" s="390"/>
      <c r="AH411" s="390"/>
      <c r="AI411" s="391"/>
      <c r="AK411" s="437"/>
      <c r="AL411" s="437"/>
      <c r="AM411" s="437"/>
      <c r="AN411" s="437"/>
      <c r="AO411" s="437"/>
      <c r="AP411" s="437"/>
      <c r="AQ411" s="437"/>
      <c r="AR411" s="437"/>
      <c r="AS411" s="437"/>
      <c r="AT411" s="437"/>
      <c r="AU411" s="437"/>
      <c r="AV411" s="437"/>
      <c r="AW411" s="437"/>
      <c r="AX411" s="437"/>
      <c r="AY411" s="437"/>
      <c r="AZ411" s="437"/>
      <c r="BA411" s="437"/>
      <c r="BB411" s="437"/>
      <c r="BC411" s="437"/>
      <c r="BD411" s="437"/>
      <c r="BE411" s="437"/>
      <c r="BF411" s="437"/>
      <c r="BG411" s="437"/>
      <c r="BH411" s="437"/>
      <c r="BI411" s="437"/>
      <c r="BJ411" s="437"/>
      <c r="BK411" s="437"/>
      <c r="BL411" s="437"/>
      <c r="BM411" s="393"/>
      <c r="BO411" s="399">
        <f t="shared" si="183"/>
        <v>0</v>
      </c>
      <c r="BP411" s="399">
        <f t="shared" si="184"/>
        <v>0</v>
      </c>
      <c r="BQ411" s="399">
        <f t="shared" si="185"/>
        <v>0</v>
      </c>
      <c r="BR411" s="399">
        <f t="shared" si="186"/>
        <v>0</v>
      </c>
      <c r="BS411" s="399">
        <f t="shared" si="187"/>
        <v>0</v>
      </c>
      <c r="BT411" s="399">
        <f t="shared" si="188"/>
        <v>0</v>
      </c>
      <c r="BU411" s="399">
        <f t="shared" si="189"/>
        <v>0</v>
      </c>
      <c r="BV411" s="399">
        <f t="shared" si="190"/>
        <v>0</v>
      </c>
      <c r="BW411" s="399">
        <f t="shared" si="191"/>
        <v>0</v>
      </c>
      <c r="BX411" s="399">
        <f t="shared" si="192"/>
        <v>0</v>
      </c>
      <c r="BY411" s="399">
        <f t="shared" si="193"/>
        <v>0</v>
      </c>
      <c r="BZ411" s="399">
        <f t="shared" si="194"/>
        <v>0</v>
      </c>
      <c r="CA411" s="399">
        <f t="shared" si="195"/>
        <v>0</v>
      </c>
      <c r="CB411" s="399">
        <f t="shared" si="196"/>
        <v>0</v>
      </c>
      <c r="CC411" s="399">
        <f t="shared" si="197"/>
        <v>0</v>
      </c>
      <c r="CD411" s="399">
        <f t="shared" si="198"/>
        <v>0</v>
      </c>
      <c r="CE411" s="399">
        <f t="shared" si="199"/>
        <v>0</v>
      </c>
      <c r="CF411" s="399">
        <f t="shared" si="200"/>
        <v>0</v>
      </c>
      <c r="CG411" s="399">
        <f t="shared" si="201"/>
        <v>0</v>
      </c>
      <c r="CH411" s="399">
        <f t="shared" si="202"/>
        <v>0</v>
      </c>
      <c r="CI411" s="399">
        <f t="shared" si="203"/>
        <v>0</v>
      </c>
      <c r="CJ411" s="399">
        <f t="shared" si="204"/>
        <v>0</v>
      </c>
      <c r="CK411" s="399">
        <f t="shared" si="205"/>
        <v>0</v>
      </c>
      <c r="CL411" s="399">
        <f t="shared" si="206"/>
        <v>0</v>
      </c>
      <c r="CM411" s="399">
        <f t="shared" si="207"/>
        <v>0</v>
      </c>
      <c r="CN411" s="399">
        <f t="shared" si="208"/>
        <v>0</v>
      </c>
      <c r="CO411" s="399">
        <f t="shared" si="209"/>
        <v>0</v>
      </c>
      <c r="CP411" s="399">
        <f t="shared" si="210"/>
        <v>0</v>
      </c>
      <c r="CQ411" s="423">
        <f t="shared" si="211"/>
        <v>0</v>
      </c>
      <c r="CS411" s="394" t="e">
        <f t="shared" si="212"/>
        <v>#DIV/0!</v>
      </c>
    </row>
    <row r="412" spans="3:97">
      <c r="C412" s="107"/>
      <c r="D412" s="395"/>
      <c r="E412" s="84"/>
      <c r="F412" s="84"/>
      <c r="G412" s="389"/>
      <c r="H412" s="390"/>
      <c r="I412" s="390"/>
      <c r="J412" s="390"/>
      <c r="K412" s="390"/>
      <c r="L412" s="390"/>
      <c r="M412" s="390"/>
      <c r="N412" s="390"/>
      <c r="O412" s="390"/>
      <c r="P412" s="390"/>
      <c r="Q412" s="390"/>
      <c r="R412" s="390"/>
      <c r="S412" s="390"/>
      <c r="T412" s="390"/>
      <c r="U412" s="390"/>
      <c r="V412" s="390"/>
      <c r="W412" s="390"/>
      <c r="X412" s="390"/>
      <c r="Y412" s="390"/>
      <c r="Z412" s="390"/>
      <c r="AA412" s="390"/>
      <c r="AB412" s="390"/>
      <c r="AC412" s="390"/>
      <c r="AD412" s="390"/>
      <c r="AE412" s="390"/>
      <c r="AF412" s="390"/>
      <c r="AG412" s="390"/>
      <c r="AH412" s="390"/>
      <c r="AI412" s="391"/>
      <c r="AK412" s="437"/>
      <c r="AL412" s="437"/>
      <c r="AM412" s="437"/>
      <c r="AN412" s="437"/>
      <c r="AO412" s="437"/>
      <c r="AP412" s="437"/>
      <c r="AQ412" s="437"/>
      <c r="AR412" s="437"/>
      <c r="AS412" s="437"/>
      <c r="AT412" s="437"/>
      <c r="AU412" s="437"/>
      <c r="AV412" s="437"/>
      <c r="AW412" s="437"/>
      <c r="AX412" s="437"/>
      <c r="AY412" s="437"/>
      <c r="AZ412" s="437"/>
      <c r="BA412" s="437"/>
      <c r="BB412" s="437"/>
      <c r="BC412" s="437"/>
      <c r="BD412" s="437"/>
      <c r="BE412" s="437"/>
      <c r="BF412" s="437"/>
      <c r="BG412" s="437"/>
      <c r="BH412" s="437"/>
      <c r="BI412" s="437"/>
      <c r="BJ412" s="437"/>
      <c r="BK412" s="437"/>
      <c r="BL412" s="437"/>
      <c r="BM412" s="393"/>
      <c r="BO412" s="399">
        <f t="shared" si="183"/>
        <v>0</v>
      </c>
      <c r="BP412" s="399">
        <f t="shared" si="184"/>
        <v>0</v>
      </c>
      <c r="BQ412" s="399">
        <f t="shared" si="185"/>
        <v>0</v>
      </c>
      <c r="BR412" s="399">
        <f t="shared" si="186"/>
        <v>0</v>
      </c>
      <c r="BS412" s="399">
        <f t="shared" si="187"/>
        <v>0</v>
      </c>
      <c r="BT412" s="399">
        <f t="shared" si="188"/>
        <v>0</v>
      </c>
      <c r="BU412" s="399">
        <f t="shared" si="189"/>
        <v>0</v>
      </c>
      <c r="BV412" s="399">
        <f t="shared" si="190"/>
        <v>0</v>
      </c>
      <c r="BW412" s="399">
        <f t="shared" si="191"/>
        <v>0</v>
      </c>
      <c r="BX412" s="399">
        <f t="shared" si="192"/>
        <v>0</v>
      </c>
      <c r="BY412" s="399">
        <f t="shared" si="193"/>
        <v>0</v>
      </c>
      <c r="BZ412" s="399">
        <f t="shared" si="194"/>
        <v>0</v>
      </c>
      <c r="CA412" s="399">
        <f t="shared" si="195"/>
        <v>0</v>
      </c>
      <c r="CB412" s="399">
        <f t="shared" si="196"/>
        <v>0</v>
      </c>
      <c r="CC412" s="399">
        <f t="shared" si="197"/>
        <v>0</v>
      </c>
      <c r="CD412" s="399">
        <f t="shared" si="198"/>
        <v>0</v>
      </c>
      <c r="CE412" s="399">
        <f t="shared" si="199"/>
        <v>0</v>
      </c>
      <c r="CF412" s="399">
        <f t="shared" si="200"/>
        <v>0</v>
      </c>
      <c r="CG412" s="399">
        <f t="shared" si="201"/>
        <v>0</v>
      </c>
      <c r="CH412" s="399">
        <f t="shared" si="202"/>
        <v>0</v>
      </c>
      <c r="CI412" s="399">
        <f t="shared" si="203"/>
        <v>0</v>
      </c>
      <c r="CJ412" s="399">
        <f t="shared" si="204"/>
        <v>0</v>
      </c>
      <c r="CK412" s="399">
        <f t="shared" si="205"/>
        <v>0</v>
      </c>
      <c r="CL412" s="399">
        <f t="shared" si="206"/>
        <v>0</v>
      </c>
      <c r="CM412" s="399">
        <f t="shared" si="207"/>
        <v>0</v>
      </c>
      <c r="CN412" s="399">
        <f t="shared" si="208"/>
        <v>0</v>
      </c>
      <c r="CO412" s="399">
        <f t="shared" si="209"/>
        <v>0</v>
      </c>
      <c r="CP412" s="399">
        <f t="shared" si="210"/>
        <v>0</v>
      </c>
      <c r="CQ412" s="423">
        <f t="shared" si="211"/>
        <v>0</v>
      </c>
      <c r="CS412" s="394" t="e">
        <f t="shared" si="212"/>
        <v>#DIV/0!</v>
      </c>
    </row>
    <row r="413" spans="3:97">
      <c r="C413" s="107"/>
      <c r="D413" s="395"/>
      <c r="E413" s="84"/>
      <c r="F413" s="84"/>
      <c r="G413" s="389"/>
      <c r="H413" s="390"/>
      <c r="I413" s="390"/>
      <c r="J413" s="390"/>
      <c r="K413" s="390"/>
      <c r="L413" s="390"/>
      <c r="M413" s="390"/>
      <c r="N413" s="390"/>
      <c r="O413" s="390"/>
      <c r="P413" s="390"/>
      <c r="Q413" s="390"/>
      <c r="R413" s="390"/>
      <c r="S413" s="390"/>
      <c r="T413" s="390"/>
      <c r="U413" s="390"/>
      <c r="V413" s="390"/>
      <c r="W413" s="390"/>
      <c r="X413" s="390"/>
      <c r="Y413" s="390"/>
      <c r="Z413" s="390"/>
      <c r="AA413" s="390"/>
      <c r="AB413" s="390"/>
      <c r="AC413" s="390"/>
      <c r="AD413" s="390"/>
      <c r="AE413" s="390"/>
      <c r="AF413" s="390"/>
      <c r="AG413" s="390"/>
      <c r="AH413" s="390"/>
      <c r="AI413" s="391"/>
      <c r="AK413" s="437"/>
      <c r="AL413" s="437"/>
      <c r="AM413" s="437"/>
      <c r="AN413" s="437"/>
      <c r="AO413" s="437"/>
      <c r="AP413" s="437"/>
      <c r="AQ413" s="437"/>
      <c r="AR413" s="437"/>
      <c r="AS413" s="437"/>
      <c r="AT413" s="437"/>
      <c r="AU413" s="437"/>
      <c r="AV413" s="437"/>
      <c r="AW413" s="437"/>
      <c r="AX413" s="437"/>
      <c r="AY413" s="437"/>
      <c r="AZ413" s="437"/>
      <c r="BA413" s="437"/>
      <c r="BB413" s="437"/>
      <c r="BC413" s="437"/>
      <c r="BD413" s="437"/>
      <c r="BE413" s="437"/>
      <c r="BF413" s="437"/>
      <c r="BG413" s="437"/>
      <c r="BH413" s="437"/>
      <c r="BI413" s="437"/>
      <c r="BJ413" s="437"/>
      <c r="BK413" s="437"/>
      <c r="BL413" s="437"/>
      <c r="BM413" s="393"/>
      <c r="BO413" s="399">
        <f t="shared" si="183"/>
        <v>0</v>
      </c>
      <c r="BP413" s="399">
        <f t="shared" si="184"/>
        <v>0</v>
      </c>
      <c r="BQ413" s="399">
        <f t="shared" si="185"/>
        <v>0</v>
      </c>
      <c r="BR413" s="399">
        <f t="shared" si="186"/>
        <v>0</v>
      </c>
      <c r="BS413" s="399">
        <f t="shared" si="187"/>
        <v>0</v>
      </c>
      <c r="BT413" s="399">
        <f t="shared" si="188"/>
        <v>0</v>
      </c>
      <c r="BU413" s="399">
        <f t="shared" si="189"/>
        <v>0</v>
      </c>
      <c r="BV413" s="399">
        <f t="shared" si="190"/>
        <v>0</v>
      </c>
      <c r="BW413" s="399">
        <f t="shared" si="191"/>
        <v>0</v>
      </c>
      <c r="BX413" s="399">
        <f t="shared" si="192"/>
        <v>0</v>
      </c>
      <c r="BY413" s="399">
        <f t="shared" si="193"/>
        <v>0</v>
      </c>
      <c r="BZ413" s="399">
        <f t="shared" si="194"/>
        <v>0</v>
      </c>
      <c r="CA413" s="399">
        <f t="shared" si="195"/>
        <v>0</v>
      </c>
      <c r="CB413" s="399">
        <f t="shared" si="196"/>
        <v>0</v>
      </c>
      <c r="CC413" s="399">
        <f t="shared" si="197"/>
        <v>0</v>
      </c>
      <c r="CD413" s="399">
        <f t="shared" si="198"/>
        <v>0</v>
      </c>
      <c r="CE413" s="399">
        <f t="shared" si="199"/>
        <v>0</v>
      </c>
      <c r="CF413" s="399">
        <f t="shared" si="200"/>
        <v>0</v>
      </c>
      <c r="CG413" s="399">
        <f t="shared" si="201"/>
        <v>0</v>
      </c>
      <c r="CH413" s="399">
        <f t="shared" si="202"/>
        <v>0</v>
      </c>
      <c r="CI413" s="399">
        <f t="shared" si="203"/>
        <v>0</v>
      </c>
      <c r="CJ413" s="399">
        <f t="shared" si="204"/>
        <v>0</v>
      </c>
      <c r="CK413" s="399">
        <f t="shared" si="205"/>
        <v>0</v>
      </c>
      <c r="CL413" s="399">
        <f t="shared" si="206"/>
        <v>0</v>
      </c>
      <c r="CM413" s="399">
        <f t="shared" si="207"/>
        <v>0</v>
      </c>
      <c r="CN413" s="399">
        <f t="shared" si="208"/>
        <v>0</v>
      </c>
      <c r="CO413" s="399">
        <f t="shared" si="209"/>
        <v>0</v>
      </c>
      <c r="CP413" s="399">
        <f t="shared" si="210"/>
        <v>0</v>
      </c>
      <c r="CQ413" s="423">
        <f t="shared" si="211"/>
        <v>0</v>
      </c>
      <c r="CS413" s="394" t="e">
        <f t="shared" si="212"/>
        <v>#DIV/0!</v>
      </c>
    </row>
    <row r="414" spans="3:97">
      <c r="C414" s="107"/>
      <c r="D414" s="395"/>
      <c r="E414" s="84"/>
      <c r="F414" s="84"/>
      <c r="G414" s="389"/>
      <c r="H414" s="390"/>
      <c r="I414" s="390"/>
      <c r="J414" s="390"/>
      <c r="K414" s="390"/>
      <c r="L414" s="390"/>
      <c r="M414" s="390"/>
      <c r="N414" s="390"/>
      <c r="O414" s="390"/>
      <c r="P414" s="390"/>
      <c r="Q414" s="390"/>
      <c r="R414" s="390"/>
      <c r="S414" s="390"/>
      <c r="T414" s="390"/>
      <c r="U414" s="390"/>
      <c r="V414" s="390"/>
      <c r="W414" s="390"/>
      <c r="X414" s="390"/>
      <c r="Y414" s="390"/>
      <c r="Z414" s="390"/>
      <c r="AA414" s="390"/>
      <c r="AB414" s="390"/>
      <c r="AC414" s="390"/>
      <c r="AD414" s="390"/>
      <c r="AE414" s="390"/>
      <c r="AF414" s="390"/>
      <c r="AG414" s="390"/>
      <c r="AH414" s="390"/>
      <c r="AI414" s="391"/>
      <c r="AK414" s="437"/>
      <c r="AL414" s="437"/>
      <c r="AM414" s="437"/>
      <c r="AN414" s="437"/>
      <c r="AO414" s="437"/>
      <c r="AP414" s="437"/>
      <c r="AQ414" s="437"/>
      <c r="AR414" s="437"/>
      <c r="AS414" s="437"/>
      <c r="AT414" s="437"/>
      <c r="AU414" s="437"/>
      <c r="AV414" s="437"/>
      <c r="AW414" s="437"/>
      <c r="AX414" s="437"/>
      <c r="AY414" s="437"/>
      <c r="AZ414" s="437"/>
      <c r="BA414" s="437"/>
      <c r="BB414" s="437"/>
      <c r="BC414" s="437"/>
      <c r="BD414" s="437"/>
      <c r="BE414" s="437"/>
      <c r="BF414" s="437"/>
      <c r="BG414" s="437"/>
      <c r="BH414" s="437"/>
      <c r="BI414" s="437"/>
      <c r="BJ414" s="437"/>
      <c r="BK414" s="437"/>
      <c r="BL414" s="437"/>
      <c r="BM414" s="393"/>
      <c r="BO414" s="399">
        <f t="shared" si="183"/>
        <v>0</v>
      </c>
      <c r="BP414" s="399">
        <f t="shared" si="184"/>
        <v>0</v>
      </c>
      <c r="BQ414" s="399">
        <f t="shared" si="185"/>
        <v>0</v>
      </c>
      <c r="BR414" s="399">
        <f t="shared" si="186"/>
        <v>0</v>
      </c>
      <c r="BS414" s="399">
        <f t="shared" si="187"/>
        <v>0</v>
      </c>
      <c r="BT414" s="399">
        <f t="shared" si="188"/>
        <v>0</v>
      </c>
      <c r="BU414" s="399">
        <f t="shared" si="189"/>
        <v>0</v>
      </c>
      <c r="BV414" s="399">
        <f t="shared" si="190"/>
        <v>0</v>
      </c>
      <c r="BW414" s="399">
        <f t="shared" si="191"/>
        <v>0</v>
      </c>
      <c r="BX414" s="399">
        <f t="shared" si="192"/>
        <v>0</v>
      </c>
      <c r="BY414" s="399">
        <f t="shared" si="193"/>
        <v>0</v>
      </c>
      <c r="BZ414" s="399">
        <f t="shared" si="194"/>
        <v>0</v>
      </c>
      <c r="CA414" s="399">
        <f t="shared" si="195"/>
        <v>0</v>
      </c>
      <c r="CB414" s="399">
        <f t="shared" si="196"/>
        <v>0</v>
      </c>
      <c r="CC414" s="399">
        <f t="shared" si="197"/>
        <v>0</v>
      </c>
      <c r="CD414" s="399">
        <f t="shared" si="198"/>
        <v>0</v>
      </c>
      <c r="CE414" s="399">
        <f t="shared" si="199"/>
        <v>0</v>
      </c>
      <c r="CF414" s="399">
        <f t="shared" si="200"/>
        <v>0</v>
      </c>
      <c r="CG414" s="399">
        <f t="shared" si="201"/>
        <v>0</v>
      </c>
      <c r="CH414" s="399">
        <f t="shared" si="202"/>
        <v>0</v>
      </c>
      <c r="CI414" s="399">
        <f t="shared" si="203"/>
        <v>0</v>
      </c>
      <c r="CJ414" s="399">
        <f t="shared" si="204"/>
        <v>0</v>
      </c>
      <c r="CK414" s="399">
        <f t="shared" si="205"/>
        <v>0</v>
      </c>
      <c r="CL414" s="399">
        <f t="shared" si="206"/>
        <v>0</v>
      </c>
      <c r="CM414" s="399">
        <f t="shared" si="207"/>
        <v>0</v>
      </c>
      <c r="CN414" s="399">
        <f t="shared" si="208"/>
        <v>0</v>
      </c>
      <c r="CO414" s="399">
        <f t="shared" si="209"/>
        <v>0</v>
      </c>
      <c r="CP414" s="399">
        <f t="shared" si="210"/>
        <v>0</v>
      </c>
      <c r="CQ414" s="423">
        <f t="shared" si="211"/>
        <v>0</v>
      </c>
      <c r="CS414" s="394" t="e">
        <f t="shared" si="212"/>
        <v>#DIV/0!</v>
      </c>
    </row>
    <row r="415" spans="3:97">
      <c r="C415" s="107"/>
      <c r="D415" s="395"/>
      <c r="E415" s="84"/>
      <c r="F415" s="84"/>
      <c r="G415" s="389"/>
      <c r="H415" s="390"/>
      <c r="I415" s="390"/>
      <c r="J415" s="390"/>
      <c r="K415" s="390"/>
      <c r="L415" s="390"/>
      <c r="M415" s="390"/>
      <c r="N415" s="390"/>
      <c r="O415" s="390"/>
      <c r="P415" s="390"/>
      <c r="Q415" s="390"/>
      <c r="R415" s="390"/>
      <c r="S415" s="390"/>
      <c r="T415" s="390"/>
      <c r="U415" s="390"/>
      <c r="V415" s="390"/>
      <c r="W415" s="390"/>
      <c r="X415" s="390"/>
      <c r="Y415" s="390"/>
      <c r="Z415" s="390"/>
      <c r="AA415" s="390"/>
      <c r="AB415" s="390"/>
      <c r="AC415" s="390"/>
      <c r="AD415" s="390"/>
      <c r="AE415" s="390"/>
      <c r="AF415" s="390"/>
      <c r="AG415" s="390"/>
      <c r="AH415" s="390"/>
      <c r="AI415" s="391"/>
      <c r="AK415" s="437"/>
      <c r="AL415" s="437"/>
      <c r="AM415" s="437"/>
      <c r="AN415" s="437"/>
      <c r="AO415" s="437"/>
      <c r="AP415" s="437"/>
      <c r="AQ415" s="437"/>
      <c r="AR415" s="437"/>
      <c r="AS415" s="437"/>
      <c r="AT415" s="437"/>
      <c r="AU415" s="437"/>
      <c r="AV415" s="437"/>
      <c r="AW415" s="437"/>
      <c r="AX415" s="437"/>
      <c r="AY415" s="437"/>
      <c r="AZ415" s="437"/>
      <c r="BA415" s="437"/>
      <c r="BB415" s="437"/>
      <c r="BC415" s="437"/>
      <c r="BD415" s="437"/>
      <c r="BE415" s="437"/>
      <c r="BF415" s="437"/>
      <c r="BG415" s="437"/>
      <c r="BH415" s="437"/>
      <c r="BI415" s="437"/>
      <c r="BJ415" s="437"/>
      <c r="BK415" s="437"/>
      <c r="BL415" s="437"/>
      <c r="BM415" s="393"/>
      <c r="BO415" s="399">
        <f t="shared" si="183"/>
        <v>0</v>
      </c>
      <c r="BP415" s="399">
        <f t="shared" si="184"/>
        <v>0</v>
      </c>
      <c r="BQ415" s="399">
        <f t="shared" si="185"/>
        <v>0</v>
      </c>
      <c r="BR415" s="399">
        <f t="shared" si="186"/>
        <v>0</v>
      </c>
      <c r="BS415" s="399">
        <f t="shared" si="187"/>
        <v>0</v>
      </c>
      <c r="BT415" s="399">
        <f t="shared" si="188"/>
        <v>0</v>
      </c>
      <c r="BU415" s="399">
        <f t="shared" si="189"/>
        <v>0</v>
      </c>
      <c r="BV415" s="399">
        <f t="shared" si="190"/>
        <v>0</v>
      </c>
      <c r="BW415" s="399">
        <f t="shared" si="191"/>
        <v>0</v>
      </c>
      <c r="BX415" s="399">
        <f t="shared" si="192"/>
        <v>0</v>
      </c>
      <c r="BY415" s="399">
        <f t="shared" si="193"/>
        <v>0</v>
      </c>
      <c r="BZ415" s="399">
        <f t="shared" si="194"/>
        <v>0</v>
      </c>
      <c r="CA415" s="399">
        <f t="shared" si="195"/>
        <v>0</v>
      </c>
      <c r="CB415" s="399">
        <f t="shared" si="196"/>
        <v>0</v>
      </c>
      <c r="CC415" s="399">
        <f t="shared" si="197"/>
        <v>0</v>
      </c>
      <c r="CD415" s="399">
        <f t="shared" si="198"/>
        <v>0</v>
      </c>
      <c r="CE415" s="399">
        <f t="shared" si="199"/>
        <v>0</v>
      </c>
      <c r="CF415" s="399">
        <f t="shared" si="200"/>
        <v>0</v>
      </c>
      <c r="CG415" s="399">
        <f t="shared" si="201"/>
        <v>0</v>
      </c>
      <c r="CH415" s="399">
        <f t="shared" si="202"/>
        <v>0</v>
      </c>
      <c r="CI415" s="399">
        <f t="shared" si="203"/>
        <v>0</v>
      </c>
      <c r="CJ415" s="399">
        <f t="shared" si="204"/>
        <v>0</v>
      </c>
      <c r="CK415" s="399">
        <f t="shared" si="205"/>
        <v>0</v>
      </c>
      <c r="CL415" s="399">
        <f t="shared" si="206"/>
        <v>0</v>
      </c>
      <c r="CM415" s="399">
        <f t="shared" si="207"/>
        <v>0</v>
      </c>
      <c r="CN415" s="399">
        <f t="shared" si="208"/>
        <v>0</v>
      </c>
      <c r="CO415" s="399">
        <f t="shared" si="209"/>
        <v>0</v>
      </c>
      <c r="CP415" s="399">
        <f t="shared" si="210"/>
        <v>0</v>
      </c>
      <c r="CQ415" s="423">
        <f t="shared" si="211"/>
        <v>0</v>
      </c>
      <c r="CS415" s="394" t="e">
        <f t="shared" si="212"/>
        <v>#DIV/0!</v>
      </c>
    </row>
    <row r="416" spans="3:97">
      <c r="C416" s="107"/>
      <c r="D416" s="395"/>
      <c r="E416" s="84"/>
      <c r="F416" s="84"/>
      <c r="G416" s="389"/>
      <c r="H416" s="390"/>
      <c r="I416" s="390"/>
      <c r="J416" s="390"/>
      <c r="K416" s="390"/>
      <c r="L416" s="390"/>
      <c r="M416" s="390"/>
      <c r="N416" s="390"/>
      <c r="O416" s="390"/>
      <c r="P416" s="390"/>
      <c r="Q416" s="390"/>
      <c r="R416" s="390"/>
      <c r="S416" s="390"/>
      <c r="T416" s="390"/>
      <c r="U416" s="390"/>
      <c r="V416" s="390"/>
      <c r="W416" s="390"/>
      <c r="X416" s="390"/>
      <c r="Y416" s="390"/>
      <c r="Z416" s="390"/>
      <c r="AA416" s="390"/>
      <c r="AB416" s="390"/>
      <c r="AC416" s="390"/>
      <c r="AD416" s="390"/>
      <c r="AE416" s="390"/>
      <c r="AF416" s="390"/>
      <c r="AG416" s="390"/>
      <c r="AH416" s="390"/>
      <c r="AI416" s="391"/>
      <c r="AK416" s="437"/>
      <c r="AL416" s="437"/>
      <c r="AM416" s="437"/>
      <c r="AN416" s="437"/>
      <c r="AO416" s="437"/>
      <c r="AP416" s="437"/>
      <c r="AQ416" s="437"/>
      <c r="AR416" s="437"/>
      <c r="AS416" s="437"/>
      <c r="AT416" s="437"/>
      <c r="AU416" s="437"/>
      <c r="AV416" s="437"/>
      <c r="AW416" s="437"/>
      <c r="AX416" s="437"/>
      <c r="AY416" s="437"/>
      <c r="AZ416" s="437"/>
      <c r="BA416" s="437"/>
      <c r="BB416" s="437"/>
      <c r="BC416" s="437"/>
      <c r="BD416" s="437"/>
      <c r="BE416" s="437"/>
      <c r="BF416" s="437"/>
      <c r="BG416" s="437"/>
      <c r="BH416" s="437"/>
      <c r="BI416" s="437"/>
      <c r="BJ416" s="437"/>
      <c r="BK416" s="437"/>
      <c r="BL416" s="437"/>
      <c r="BM416" s="393"/>
      <c r="BO416" s="399">
        <f t="shared" si="183"/>
        <v>0</v>
      </c>
      <c r="BP416" s="399">
        <f t="shared" si="184"/>
        <v>0</v>
      </c>
      <c r="BQ416" s="399">
        <f t="shared" si="185"/>
        <v>0</v>
      </c>
      <c r="BR416" s="399">
        <f t="shared" si="186"/>
        <v>0</v>
      </c>
      <c r="BS416" s="399">
        <f t="shared" si="187"/>
        <v>0</v>
      </c>
      <c r="BT416" s="399">
        <f t="shared" si="188"/>
        <v>0</v>
      </c>
      <c r="BU416" s="399">
        <f t="shared" si="189"/>
        <v>0</v>
      </c>
      <c r="BV416" s="399">
        <f t="shared" si="190"/>
        <v>0</v>
      </c>
      <c r="BW416" s="399">
        <f t="shared" si="191"/>
        <v>0</v>
      </c>
      <c r="BX416" s="399">
        <f t="shared" si="192"/>
        <v>0</v>
      </c>
      <c r="BY416" s="399">
        <f t="shared" si="193"/>
        <v>0</v>
      </c>
      <c r="BZ416" s="399">
        <f t="shared" si="194"/>
        <v>0</v>
      </c>
      <c r="CA416" s="399">
        <f t="shared" si="195"/>
        <v>0</v>
      </c>
      <c r="CB416" s="399">
        <f t="shared" si="196"/>
        <v>0</v>
      </c>
      <c r="CC416" s="399">
        <f t="shared" si="197"/>
        <v>0</v>
      </c>
      <c r="CD416" s="399">
        <f t="shared" si="198"/>
        <v>0</v>
      </c>
      <c r="CE416" s="399">
        <f t="shared" si="199"/>
        <v>0</v>
      </c>
      <c r="CF416" s="399">
        <f t="shared" si="200"/>
        <v>0</v>
      </c>
      <c r="CG416" s="399">
        <f t="shared" si="201"/>
        <v>0</v>
      </c>
      <c r="CH416" s="399">
        <f t="shared" si="202"/>
        <v>0</v>
      </c>
      <c r="CI416" s="399">
        <f t="shared" si="203"/>
        <v>0</v>
      </c>
      <c r="CJ416" s="399">
        <f t="shared" si="204"/>
        <v>0</v>
      </c>
      <c r="CK416" s="399">
        <f t="shared" si="205"/>
        <v>0</v>
      </c>
      <c r="CL416" s="399">
        <f t="shared" si="206"/>
        <v>0</v>
      </c>
      <c r="CM416" s="399">
        <f t="shared" si="207"/>
        <v>0</v>
      </c>
      <c r="CN416" s="399">
        <f t="shared" si="208"/>
        <v>0</v>
      </c>
      <c r="CO416" s="399">
        <f t="shared" si="209"/>
        <v>0</v>
      </c>
      <c r="CP416" s="399">
        <f t="shared" si="210"/>
        <v>0</v>
      </c>
      <c r="CQ416" s="423">
        <f t="shared" si="211"/>
        <v>0</v>
      </c>
      <c r="CS416" s="394" t="e">
        <f t="shared" si="212"/>
        <v>#DIV/0!</v>
      </c>
    </row>
    <row r="417" spans="3:97">
      <c r="C417" s="107"/>
      <c r="D417" s="395"/>
      <c r="E417" s="84"/>
      <c r="F417" s="84"/>
      <c r="G417" s="389"/>
      <c r="H417" s="390"/>
      <c r="I417" s="390"/>
      <c r="J417" s="390"/>
      <c r="K417" s="390"/>
      <c r="L417" s="390"/>
      <c r="M417" s="390"/>
      <c r="N417" s="390"/>
      <c r="O417" s="390"/>
      <c r="P417" s="390"/>
      <c r="Q417" s="390"/>
      <c r="R417" s="390"/>
      <c r="S417" s="390"/>
      <c r="T417" s="390"/>
      <c r="U417" s="390"/>
      <c r="V417" s="390"/>
      <c r="W417" s="390"/>
      <c r="X417" s="390"/>
      <c r="Y417" s="390"/>
      <c r="Z417" s="390"/>
      <c r="AA417" s="390"/>
      <c r="AB417" s="390"/>
      <c r="AC417" s="390"/>
      <c r="AD417" s="390"/>
      <c r="AE417" s="390"/>
      <c r="AF417" s="390"/>
      <c r="AG417" s="390"/>
      <c r="AH417" s="390"/>
      <c r="AI417" s="391"/>
      <c r="AK417" s="437"/>
      <c r="AL417" s="437"/>
      <c r="AM417" s="437"/>
      <c r="AN417" s="437"/>
      <c r="AO417" s="437"/>
      <c r="AP417" s="437"/>
      <c r="AQ417" s="437"/>
      <c r="AR417" s="437"/>
      <c r="AS417" s="437"/>
      <c r="AT417" s="437"/>
      <c r="AU417" s="437"/>
      <c r="AV417" s="437"/>
      <c r="AW417" s="437"/>
      <c r="AX417" s="437"/>
      <c r="AY417" s="437"/>
      <c r="AZ417" s="437"/>
      <c r="BA417" s="437"/>
      <c r="BB417" s="437"/>
      <c r="BC417" s="437"/>
      <c r="BD417" s="437"/>
      <c r="BE417" s="437"/>
      <c r="BF417" s="437"/>
      <c r="BG417" s="437"/>
      <c r="BH417" s="437"/>
      <c r="BI417" s="437"/>
      <c r="BJ417" s="437"/>
      <c r="BK417" s="437"/>
      <c r="BL417" s="437"/>
      <c r="BM417" s="393"/>
      <c r="BO417" s="399">
        <f t="shared" si="183"/>
        <v>0</v>
      </c>
      <c r="BP417" s="399">
        <f t="shared" si="184"/>
        <v>0</v>
      </c>
      <c r="BQ417" s="399">
        <f t="shared" si="185"/>
        <v>0</v>
      </c>
      <c r="BR417" s="399">
        <f t="shared" si="186"/>
        <v>0</v>
      </c>
      <c r="BS417" s="399">
        <f t="shared" si="187"/>
        <v>0</v>
      </c>
      <c r="BT417" s="399">
        <f t="shared" si="188"/>
        <v>0</v>
      </c>
      <c r="BU417" s="399">
        <f t="shared" si="189"/>
        <v>0</v>
      </c>
      <c r="BV417" s="399">
        <f t="shared" si="190"/>
        <v>0</v>
      </c>
      <c r="BW417" s="399">
        <f t="shared" si="191"/>
        <v>0</v>
      </c>
      <c r="BX417" s="399">
        <f t="shared" si="192"/>
        <v>0</v>
      </c>
      <c r="BY417" s="399">
        <f t="shared" si="193"/>
        <v>0</v>
      </c>
      <c r="BZ417" s="399">
        <f t="shared" si="194"/>
        <v>0</v>
      </c>
      <c r="CA417" s="399">
        <f t="shared" si="195"/>
        <v>0</v>
      </c>
      <c r="CB417" s="399">
        <f t="shared" si="196"/>
        <v>0</v>
      </c>
      <c r="CC417" s="399">
        <f t="shared" si="197"/>
        <v>0</v>
      </c>
      <c r="CD417" s="399">
        <f t="shared" si="198"/>
        <v>0</v>
      </c>
      <c r="CE417" s="399">
        <f t="shared" si="199"/>
        <v>0</v>
      </c>
      <c r="CF417" s="399">
        <f t="shared" si="200"/>
        <v>0</v>
      </c>
      <c r="CG417" s="399">
        <f t="shared" si="201"/>
        <v>0</v>
      </c>
      <c r="CH417" s="399">
        <f t="shared" si="202"/>
        <v>0</v>
      </c>
      <c r="CI417" s="399">
        <f t="shared" si="203"/>
        <v>0</v>
      </c>
      <c r="CJ417" s="399">
        <f t="shared" si="204"/>
        <v>0</v>
      </c>
      <c r="CK417" s="399">
        <f t="shared" si="205"/>
        <v>0</v>
      </c>
      <c r="CL417" s="399">
        <f t="shared" si="206"/>
        <v>0</v>
      </c>
      <c r="CM417" s="399">
        <f t="shared" si="207"/>
        <v>0</v>
      </c>
      <c r="CN417" s="399">
        <f t="shared" si="208"/>
        <v>0</v>
      </c>
      <c r="CO417" s="399">
        <f t="shared" si="209"/>
        <v>0</v>
      </c>
      <c r="CP417" s="399">
        <f t="shared" si="210"/>
        <v>0</v>
      </c>
      <c r="CQ417" s="423">
        <f t="shared" si="211"/>
        <v>0</v>
      </c>
      <c r="CS417" s="394" t="e">
        <f t="shared" si="212"/>
        <v>#DIV/0!</v>
      </c>
    </row>
    <row r="418" spans="3:97">
      <c r="C418" s="107"/>
      <c r="D418" s="395"/>
      <c r="E418" s="84"/>
      <c r="F418" s="84"/>
      <c r="G418" s="389"/>
      <c r="H418" s="390"/>
      <c r="I418" s="390"/>
      <c r="J418" s="390"/>
      <c r="K418" s="390"/>
      <c r="L418" s="390"/>
      <c r="M418" s="390"/>
      <c r="N418" s="390"/>
      <c r="O418" s="390"/>
      <c r="P418" s="390"/>
      <c r="Q418" s="390"/>
      <c r="R418" s="390"/>
      <c r="S418" s="390"/>
      <c r="T418" s="390"/>
      <c r="U418" s="390"/>
      <c r="V418" s="390"/>
      <c r="W418" s="390"/>
      <c r="X418" s="390"/>
      <c r="Y418" s="390"/>
      <c r="Z418" s="390"/>
      <c r="AA418" s="390"/>
      <c r="AB418" s="390"/>
      <c r="AC418" s="390"/>
      <c r="AD418" s="390"/>
      <c r="AE418" s="390"/>
      <c r="AF418" s="390"/>
      <c r="AG418" s="390"/>
      <c r="AH418" s="390"/>
      <c r="AI418" s="391"/>
      <c r="AK418" s="437"/>
      <c r="AL418" s="437"/>
      <c r="AM418" s="437"/>
      <c r="AN418" s="437"/>
      <c r="AO418" s="437"/>
      <c r="AP418" s="437"/>
      <c r="AQ418" s="437"/>
      <c r="AR418" s="437"/>
      <c r="AS418" s="437"/>
      <c r="AT418" s="437"/>
      <c r="AU418" s="437"/>
      <c r="AV418" s="437"/>
      <c r="AW418" s="437"/>
      <c r="AX418" s="437"/>
      <c r="AY418" s="437"/>
      <c r="AZ418" s="437"/>
      <c r="BA418" s="437"/>
      <c r="BB418" s="437"/>
      <c r="BC418" s="437"/>
      <c r="BD418" s="437"/>
      <c r="BE418" s="437"/>
      <c r="BF418" s="437"/>
      <c r="BG418" s="437"/>
      <c r="BH418" s="437"/>
      <c r="BI418" s="437"/>
      <c r="BJ418" s="437"/>
      <c r="BK418" s="437"/>
      <c r="BL418" s="437"/>
      <c r="BM418" s="393"/>
      <c r="BO418" s="399">
        <f t="shared" si="183"/>
        <v>0</v>
      </c>
      <c r="BP418" s="399">
        <f t="shared" si="184"/>
        <v>0</v>
      </c>
      <c r="BQ418" s="399">
        <f t="shared" si="185"/>
        <v>0</v>
      </c>
      <c r="BR418" s="399">
        <f t="shared" si="186"/>
        <v>0</v>
      </c>
      <c r="BS418" s="399">
        <f t="shared" si="187"/>
        <v>0</v>
      </c>
      <c r="BT418" s="399">
        <f t="shared" si="188"/>
        <v>0</v>
      </c>
      <c r="BU418" s="399">
        <f t="shared" si="189"/>
        <v>0</v>
      </c>
      <c r="BV418" s="399">
        <f t="shared" si="190"/>
        <v>0</v>
      </c>
      <c r="BW418" s="399">
        <f t="shared" si="191"/>
        <v>0</v>
      </c>
      <c r="BX418" s="399">
        <f t="shared" si="192"/>
        <v>0</v>
      </c>
      <c r="BY418" s="399">
        <f t="shared" si="193"/>
        <v>0</v>
      </c>
      <c r="BZ418" s="399">
        <f t="shared" si="194"/>
        <v>0</v>
      </c>
      <c r="CA418" s="399">
        <f t="shared" si="195"/>
        <v>0</v>
      </c>
      <c r="CB418" s="399">
        <f t="shared" si="196"/>
        <v>0</v>
      </c>
      <c r="CC418" s="399">
        <f t="shared" si="197"/>
        <v>0</v>
      </c>
      <c r="CD418" s="399">
        <f t="shared" si="198"/>
        <v>0</v>
      </c>
      <c r="CE418" s="399">
        <f t="shared" si="199"/>
        <v>0</v>
      </c>
      <c r="CF418" s="399">
        <f t="shared" si="200"/>
        <v>0</v>
      </c>
      <c r="CG418" s="399">
        <f t="shared" si="201"/>
        <v>0</v>
      </c>
      <c r="CH418" s="399">
        <f t="shared" si="202"/>
        <v>0</v>
      </c>
      <c r="CI418" s="399">
        <f t="shared" si="203"/>
        <v>0</v>
      </c>
      <c r="CJ418" s="399">
        <f t="shared" si="204"/>
        <v>0</v>
      </c>
      <c r="CK418" s="399">
        <f t="shared" si="205"/>
        <v>0</v>
      </c>
      <c r="CL418" s="399">
        <f t="shared" si="206"/>
        <v>0</v>
      </c>
      <c r="CM418" s="399">
        <f t="shared" si="207"/>
        <v>0</v>
      </c>
      <c r="CN418" s="399">
        <f t="shared" si="208"/>
        <v>0</v>
      </c>
      <c r="CO418" s="399">
        <f t="shared" si="209"/>
        <v>0</v>
      </c>
      <c r="CP418" s="399">
        <f t="shared" si="210"/>
        <v>0</v>
      </c>
      <c r="CQ418" s="423">
        <f t="shared" si="211"/>
        <v>0</v>
      </c>
      <c r="CS418" s="394" t="e">
        <f t="shared" si="212"/>
        <v>#DIV/0!</v>
      </c>
    </row>
    <row r="419" spans="3:97">
      <c r="C419" s="107"/>
      <c r="D419" s="395"/>
      <c r="E419" s="84"/>
      <c r="F419" s="84"/>
      <c r="G419" s="389"/>
      <c r="H419" s="390"/>
      <c r="I419" s="390"/>
      <c r="J419" s="390"/>
      <c r="K419" s="390"/>
      <c r="L419" s="390"/>
      <c r="M419" s="390"/>
      <c r="N419" s="390"/>
      <c r="O419" s="390"/>
      <c r="P419" s="390"/>
      <c r="Q419" s="390"/>
      <c r="R419" s="390"/>
      <c r="S419" s="390"/>
      <c r="T419" s="390"/>
      <c r="U419" s="390"/>
      <c r="V419" s="390"/>
      <c r="W419" s="390"/>
      <c r="X419" s="390"/>
      <c r="Y419" s="390"/>
      <c r="Z419" s="390"/>
      <c r="AA419" s="390"/>
      <c r="AB419" s="390"/>
      <c r="AC419" s="390"/>
      <c r="AD419" s="390"/>
      <c r="AE419" s="390"/>
      <c r="AF419" s="390"/>
      <c r="AG419" s="390"/>
      <c r="AH419" s="390"/>
      <c r="AI419" s="391"/>
      <c r="AK419" s="437"/>
      <c r="AL419" s="437"/>
      <c r="AM419" s="437"/>
      <c r="AN419" s="437"/>
      <c r="AO419" s="437"/>
      <c r="AP419" s="437"/>
      <c r="AQ419" s="437"/>
      <c r="AR419" s="437"/>
      <c r="AS419" s="437"/>
      <c r="AT419" s="437"/>
      <c r="AU419" s="437"/>
      <c r="AV419" s="437"/>
      <c r="AW419" s="437"/>
      <c r="AX419" s="437"/>
      <c r="AY419" s="437"/>
      <c r="AZ419" s="437"/>
      <c r="BA419" s="437"/>
      <c r="BB419" s="437"/>
      <c r="BC419" s="437"/>
      <c r="BD419" s="437"/>
      <c r="BE419" s="437"/>
      <c r="BF419" s="437"/>
      <c r="BG419" s="437"/>
      <c r="BH419" s="437"/>
      <c r="BI419" s="437"/>
      <c r="BJ419" s="437"/>
      <c r="BK419" s="437"/>
      <c r="BL419" s="437"/>
      <c r="BM419" s="393"/>
      <c r="BO419" s="399">
        <f t="shared" si="183"/>
        <v>0</v>
      </c>
      <c r="BP419" s="399">
        <f t="shared" si="184"/>
        <v>0</v>
      </c>
      <c r="BQ419" s="399">
        <f t="shared" si="185"/>
        <v>0</v>
      </c>
      <c r="BR419" s="399">
        <f t="shared" si="186"/>
        <v>0</v>
      </c>
      <c r="BS419" s="399">
        <f t="shared" si="187"/>
        <v>0</v>
      </c>
      <c r="BT419" s="399">
        <f t="shared" si="188"/>
        <v>0</v>
      </c>
      <c r="BU419" s="399">
        <f t="shared" si="189"/>
        <v>0</v>
      </c>
      <c r="BV419" s="399">
        <f t="shared" si="190"/>
        <v>0</v>
      </c>
      <c r="BW419" s="399">
        <f t="shared" si="191"/>
        <v>0</v>
      </c>
      <c r="BX419" s="399">
        <f t="shared" si="192"/>
        <v>0</v>
      </c>
      <c r="BY419" s="399">
        <f t="shared" si="193"/>
        <v>0</v>
      </c>
      <c r="BZ419" s="399">
        <f t="shared" si="194"/>
        <v>0</v>
      </c>
      <c r="CA419" s="399">
        <f t="shared" si="195"/>
        <v>0</v>
      </c>
      <c r="CB419" s="399">
        <f t="shared" si="196"/>
        <v>0</v>
      </c>
      <c r="CC419" s="399">
        <f t="shared" si="197"/>
        <v>0</v>
      </c>
      <c r="CD419" s="399">
        <f t="shared" si="198"/>
        <v>0</v>
      </c>
      <c r="CE419" s="399">
        <f t="shared" si="199"/>
        <v>0</v>
      </c>
      <c r="CF419" s="399">
        <f t="shared" si="200"/>
        <v>0</v>
      </c>
      <c r="CG419" s="399">
        <f t="shared" si="201"/>
        <v>0</v>
      </c>
      <c r="CH419" s="399">
        <f t="shared" si="202"/>
        <v>0</v>
      </c>
      <c r="CI419" s="399">
        <f t="shared" si="203"/>
        <v>0</v>
      </c>
      <c r="CJ419" s="399">
        <f t="shared" si="204"/>
        <v>0</v>
      </c>
      <c r="CK419" s="399">
        <f t="shared" si="205"/>
        <v>0</v>
      </c>
      <c r="CL419" s="399">
        <f t="shared" si="206"/>
        <v>0</v>
      </c>
      <c r="CM419" s="399">
        <f t="shared" si="207"/>
        <v>0</v>
      </c>
      <c r="CN419" s="399">
        <f t="shared" si="208"/>
        <v>0</v>
      </c>
      <c r="CO419" s="399">
        <f t="shared" si="209"/>
        <v>0</v>
      </c>
      <c r="CP419" s="399">
        <f t="shared" si="210"/>
        <v>0</v>
      </c>
      <c r="CQ419" s="423">
        <f t="shared" si="211"/>
        <v>0</v>
      </c>
      <c r="CS419" s="394" t="e">
        <f t="shared" si="212"/>
        <v>#DIV/0!</v>
      </c>
    </row>
    <row r="420" spans="3:97">
      <c r="C420" s="107"/>
      <c r="D420" s="395"/>
      <c r="E420" s="84"/>
      <c r="F420" s="84"/>
      <c r="G420" s="389"/>
      <c r="H420" s="390"/>
      <c r="I420" s="390"/>
      <c r="J420" s="390"/>
      <c r="K420" s="390"/>
      <c r="L420" s="390"/>
      <c r="M420" s="390"/>
      <c r="N420" s="390"/>
      <c r="O420" s="390"/>
      <c r="P420" s="390"/>
      <c r="Q420" s="390"/>
      <c r="R420" s="390"/>
      <c r="S420" s="390"/>
      <c r="T420" s="390"/>
      <c r="U420" s="390"/>
      <c r="V420" s="390"/>
      <c r="W420" s="390"/>
      <c r="X420" s="390"/>
      <c r="Y420" s="390"/>
      <c r="Z420" s="390"/>
      <c r="AA420" s="390"/>
      <c r="AB420" s="390"/>
      <c r="AC420" s="390"/>
      <c r="AD420" s="390"/>
      <c r="AE420" s="390"/>
      <c r="AF420" s="390"/>
      <c r="AG420" s="390"/>
      <c r="AH420" s="390"/>
      <c r="AI420" s="391"/>
      <c r="AK420" s="437"/>
      <c r="AL420" s="437"/>
      <c r="AM420" s="437"/>
      <c r="AN420" s="437"/>
      <c r="AO420" s="437"/>
      <c r="AP420" s="437"/>
      <c r="AQ420" s="437"/>
      <c r="AR420" s="437"/>
      <c r="AS420" s="437"/>
      <c r="AT420" s="437"/>
      <c r="AU420" s="437"/>
      <c r="AV420" s="437"/>
      <c r="AW420" s="437"/>
      <c r="AX420" s="437"/>
      <c r="AY420" s="437"/>
      <c r="AZ420" s="437"/>
      <c r="BA420" s="437"/>
      <c r="BB420" s="437"/>
      <c r="BC420" s="437"/>
      <c r="BD420" s="437"/>
      <c r="BE420" s="437"/>
      <c r="BF420" s="437"/>
      <c r="BG420" s="437"/>
      <c r="BH420" s="437"/>
      <c r="BI420" s="437"/>
      <c r="BJ420" s="437"/>
      <c r="BK420" s="437"/>
      <c r="BL420" s="437"/>
      <c r="BM420" s="393"/>
      <c r="BO420" s="399">
        <f t="shared" si="183"/>
        <v>0</v>
      </c>
      <c r="BP420" s="399">
        <f t="shared" si="184"/>
        <v>0</v>
      </c>
      <c r="BQ420" s="399">
        <f t="shared" si="185"/>
        <v>0</v>
      </c>
      <c r="BR420" s="399">
        <f t="shared" si="186"/>
        <v>0</v>
      </c>
      <c r="BS420" s="399">
        <f t="shared" si="187"/>
        <v>0</v>
      </c>
      <c r="BT420" s="399">
        <f t="shared" si="188"/>
        <v>0</v>
      </c>
      <c r="BU420" s="399">
        <f t="shared" si="189"/>
        <v>0</v>
      </c>
      <c r="BV420" s="399">
        <f t="shared" si="190"/>
        <v>0</v>
      </c>
      <c r="BW420" s="399">
        <f t="shared" si="191"/>
        <v>0</v>
      </c>
      <c r="BX420" s="399">
        <f t="shared" si="192"/>
        <v>0</v>
      </c>
      <c r="BY420" s="399">
        <f t="shared" si="193"/>
        <v>0</v>
      </c>
      <c r="BZ420" s="399">
        <f t="shared" si="194"/>
        <v>0</v>
      </c>
      <c r="CA420" s="399">
        <f t="shared" si="195"/>
        <v>0</v>
      </c>
      <c r="CB420" s="399">
        <f t="shared" si="196"/>
        <v>0</v>
      </c>
      <c r="CC420" s="399">
        <f t="shared" si="197"/>
        <v>0</v>
      </c>
      <c r="CD420" s="399">
        <f t="shared" si="198"/>
        <v>0</v>
      </c>
      <c r="CE420" s="399">
        <f t="shared" si="199"/>
        <v>0</v>
      </c>
      <c r="CF420" s="399">
        <f t="shared" si="200"/>
        <v>0</v>
      </c>
      <c r="CG420" s="399">
        <f t="shared" si="201"/>
        <v>0</v>
      </c>
      <c r="CH420" s="399">
        <f t="shared" si="202"/>
        <v>0</v>
      </c>
      <c r="CI420" s="399">
        <f t="shared" si="203"/>
        <v>0</v>
      </c>
      <c r="CJ420" s="399">
        <f t="shared" si="204"/>
        <v>0</v>
      </c>
      <c r="CK420" s="399">
        <f t="shared" si="205"/>
        <v>0</v>
      </c>
      <c r="CL420" s="399">
        <f t="shared" si="206"/>
        <v>0</v>
      </c>
      <c r="CM420" s="399">
        <f t="shared" si="207"/>
        <v>0</v>
      </c>
      <c r="CN420" s="399">
        <f t="shared" si="208"/>
        <v>0</v>
      </c>
      <c r="CO420" s="399">
        <f t="shared" si="209"/>
        <v>0</v>
      </c>
      <c r="CP420" s="399">
        <f t="shared" si="210"/>
        <v>0</v>
      </c>
      <c r="CQ420" s="423">
        <f t="shared" si="211"/>
        <v>0</v>
      </c>
      <c r="CS420" s="394" t="e">
        <f t="shared" si="212"/>
        <v>#DIV/0!</v>
      </c>
    </row>
    <row r="421" spans="3:97">
      <c r="C421" s="107"/>
      <c r="D421" s="395"/>
      <c r="E421" s="84"/>
      <c r="F421" s="84"/>
      <c r="G421" s="389"/>
      <c r="H421" s="390"/>
      <c r="I421" s="390"/>
      <c r="J421" s="390"/>
      <c r="K421" s="390"/>
      <c r="L421" s="390"/>
      <c r="M421" s="390"/>
      <c r="N421" s="390"/>
      <c r="O421" s="390"/>
      <c r="P421" s="390"/>
      <c r="Q421" s="390"/>
      <c r="R421" s="390"/>
      <c r="S421" s="390"/>
      <c r="T421" s="390"/>
      <c r="U421" s="390"/>
      <c r="V421" s="390"/>
      <c r="W421" s="390"/>
      <c r="X421" s="390"/>
      <c r="Y421" s="390"/>
      <c r="Z421" s="390"/>
      <c r="AA421" s="390"/>
      <c r="AB421" s="390"/>
      <c r="AC421" s="390"/>
      <c r="AD421" s="390"/>
      <c r="AE421" s="390"/>
      <c r="AF421" s="390"/>
      <c r="AG421" s="390"/>
      <c r="AH421" s="390"/>
      <c r="AI421" s="391"/>
      <c r="AK421" s="437"/>
      <c r="AL421" s="437"/>
      <c r="AM421" s="437"/>
      <c r="AN421" s="437"/>
      <c r="AO421" s="437"/>
      <c r="AP421" s="437"/>
      <c r="AQ421" s="437"/>
      <c r="AR421" s="437"/>
      <c r="AS421" s="437"/>
      <c r="AT421" s="437"/>
      <c r="AU421" s="437"/>
      <c r="AV421" s="437"/>
      <c r="AW421" s="437"/>
      <c r="AX421" s="437"/>
      <c r="AY421" s="437"/>
      <c r="AZ421" s="437"/>
      <c r="BA421" s="437"/>
      <c r="BB421" s="437"/>
      <c r="BC421" s="437"/>
      <c r="BD421" s="437"/>
      <c r="BE421" s="437"/>
      <c r="BF421" s="437"/>
      <c r="BG421" s="437"/>
      <c r="BH421" s="437"/>
      <c r="BI421" s="437"/>
      <c r="BJ421" s="437"/>
      <c r="BK421" s="437"/>
      <c r="BL421" s="437"/>
      <c r="BM421" s="393"/>
      <c r="BO421" s="399">
        <f t="shared" si="183"/>
        <v>0</v>
      </c>
      <c r="BP421" s="399">
        <f t="shared" si="184"/>
        <v>0</v>
      </c>
      <c r="BQ421" s="399">
        <f t="shared" si="185"/>
        <v>0</v>
      </c>
      <c r="BR421" s="399">
        <f t="shared" si="186"/>
        <v>0</v>
      </c>
      <c r="BS421" s="399">
        <f t="shared" si="187"/>
        <v>0</v>
      </c>
      <c r="BT421" s="399">
        <f t="shared" si="188"/>
        <v>0</v>
      </c>
      <c r="BU421" s="399">
        <f t="shared" si="189"/>
        <v>0</v>
      </c>
      <c r="BV421" s="399">
        <f t="shared" si="190"/>
        <v>0</v>
      </c>
      <c r="BW421" s="399">
        <f t="shared" si="191"/>
        <v>0</v>
      </c>
      <c r="BX421" s="399">
        <f t="shared" si="192"/>
        <v>0</v>
      </c>
      <c r="BY421" s="399">
        <f t="shared" si="193"/>
        <v>0</v>
      </c>
      <c r="BZ421" s="399">
        <f t="shared" si="194"/>
        <v>0</v>
      </c>
      <c r="CA421" s="399">
        <f t="shared" si="195"/>
        <v>0</v>
      </c>
      <c r="CB421" s="399">
        <f t="shared" si="196"/>
        <v>0</v>
      </c>
      <c r="CC421" s="399">
        <f t="shared" si="197"/>
        <v>0</v>
      </c>
      <c r="CD421" s="399">
        <f t="shared" si="198"/>
        <v>0</v>
      </c>
      <c r="CE421" s="399">
        <f t="shared" si="199"/>
        <v>0</v>
      </c>
      <c r="CF421" s="399">
        <f t="shared" si="200"/>
        <v>0</v>
      </c>
      <c r="CG421" s="399">
        <f t="shared" si="201"/>
        <v>0</v>
      </c>
      <c r="CH421" s="399">
        <f t="shared" si="202"/>
        <v>0</v>
      </c>
      <c r="CI421" s="399">
        <f t="shared" si="203"/>
        <v>0</v>
      </c>
      <c r="CJ421" s="399">
        <f t="shared" si="204"/>
        <v>0</v>
      </c>
      <c r="CK421" s="399">
        <f t="shared" si="205"/>
        <v>0</v>
      </c>
      <c r="CL421" s="399">
        <f t="shared" si="206"/>
        <v>0</v>
      </c>
      <c r="CM421" s="399">
        <f t="shared" si="207"/>
        <v>0</v>
      </c>
      <c r="CN421" s="399">
        <f t="shared" si="208"/>
        <v>0</v>
      </c>
      <c r="CO421" s="399">
        <f t="shared" si="209"/>
        <v>0</v>
      </c>
      <c r="CP421" s="399">
        <f t="shared" si="210"/>
        <v>0</v>
      </c>
      <c r="CQ421" s="423">
        <f t="shared" si="211"/>
        <v>0</v>
      </c>
      <c r="CS421" s="394" t="e">
        <f t="shared" si="212"/>
        <v>#DIV/0!</v>
      </c>
    </row>
    <row r="422" spans="3:97">
      <c r="C422" s="107"/>
      <c r="D422" s="395"/>
      <c r="E422" s="84"/>
      <c r="F422" s="84"/>
      <c r="G422" s="389"/>
      <c r="H422" s="390"/>
      <c r="I422" s="390"/>
      <c r="J422" s="390"/>
      <c r="K422" s="390"/>
      <c r="L422" s="390"/>
      <c r="M422" s="390"/>
      <c r="N422" s="390"/>
      <c r="O422" s="390"/>
      <c r="P422" s="390"/>
      <c r="Q422" s="390"/>
      <c r="R422" s="390"/>
      <c r="S422" s="390"/>
      <c r="T422" s="390"/>
      <c r="U422" s="390"/>
      <c r="V422" s="390"/>
      <c r="W422" s="390"/>
      <c r="X422" s="390"/>
      <c r="Y422" s="390"/>
      <c r="Z422" s="390"/>
      <c r="AA422" s="390"/>
      <c r="AB422" s="390"/>
      <c r="AC422" s="390"/>
      <c r="AD422" s="390"/>
      <c r="AE422" s="390"/>
      <c r="AF422" s="390"/>
      <c r="AG422" s="390"/>
      <c r="AH422" s="390"/>
      <c r="AI422" s="391"/>
      <c r="AK422" s="437"/>
      <c r="AL422" s="437"/>
      <c r="AM422" s="437"/>
      <c r="AN422" s="437"/>
      <c r="AO422" s="437"/>
      <c r="AP422" s="437"/>
      <c r="AQ422" s="437"/>
      <c r="AR422" s="437"/>
      <c r="AS422" s="437"/>
      <c r="AT422" s="437"/>
      <c r="AU422" s="437"/>
      <c r="AV422" s="437"/>
      <c r="AW422" s="437"/>
      <c r="AX422" s="437"/>
      <c r="AY422" s="437"/>
      <c r="AZ422" s="437"/>
      <c r="BA422" s="437"/>
      <c r="BB422" s="437"/>
      <c r="BC422" s="437"/>
      <c r="BD422" s="437"/>
      <c r="BE422" s="437"/>
      <c r="BF422" s="437"/>
      <c r="BG422" s="437"/>
      <c r="BH422" s="437"/>
      <c r="BI422" s="437"/>
      <c r="BJ422" s="437"/>
      <c r="BK422" s="437"/>
      <c r="BL422" s="437"/>
      <c r="BM422" s="393"/>
      <c r="BO422" s="399">
        <f t="shared" si="183"/>
        <v>0</v>
      </c>
      <c r="BP422" s="399">
        <f t="shared" si="184"/>
        <v>0</v>
      </c>
      <c r="BQ422" s="399">
        <f t="shared" si="185"/>
        <v>0</v>
      </c>
      <c r="BR422" s="399">
        <f t="shared" si="186"/>
        <v>0</v>
      </c>
      <c r="BS422" s="399">
        <f t="shared" si="187"/>
        <v>0</v>
      </c>
      <c r="BT422" s="399">
        <f t="shared" si="188"/>
        <v>0</v>
      </c>
      <c r="BU422" s="399">
        <f t="shared" si="189"/>
        <v>0</v>
      </c>
      <c r="BV422" s="399">
        <f t="shared" si="190"/>
        <v>0</v>
      </c>
      <c r="BW422" s="399">
        <f t="shared" si="191"/>
        <v>0</v>
      </c>
      <c r="BX422" s="399">
        <f t="shared" si="192"/>
        <v>0</v>
      </c>
      <c r="BY422" s="399">
        <f t="shared" si="193"/>
        <v>0</v>
      </c>
      <c r="BZ422" s="399">
        <f t="shared" si="194"/>
        <v>0</v>
      </c>
      <c r="CA422" s="399">
        <f t="shared" si="195"/>
        <v>0</v>
      </c>
      <c r="CB422" s="399">
        <f t="shared" si="196"/>
        <v>0</v>
      </c>
      <c r="CC422" s="399">
        <f t="shared" si="197"/>
        <v>0</v>
      </c>
      <c r="CD422" s="399">
        <f t="shared" si="198"/>
        <v>0</v>
      </c>
      <c r="CE422" s="399">
        <f t="shared" si="199"/>
        <v>0</v>
      </c>
      <c r="CF422" s="399">
        <f t="shared" si="200"/>
        <v>0</v>
      </c>
      <c r="CG422" s="399">
        <f t="shared" si="201"/>
        <v>0</v>
      </c>
      <c r="CH422" s="399">
        <f t="shared" si="202"/>
        <v>0</v>
      </c>
      <c r="CI422" s="399">
        <f t="shared" si="203"/>
        <v>0</v>
      </c>
      <c r="CJ422" s="399">
        <f t="shared" si="204"/>
        <v>0</v>
      </c>
      <c r="CK422" s="399">
        <f t="shared" si="205"/>
        <v>0</v>
      </c>
      <c r="CL422" s="399">
        <f t="shared" si="206"/>
        <v>0</v>
      </c>
      <c r="CM422" s="399">
        <f t="shared" si="207"/>
        <v>0</v>
      </c>
      <c r="CN422" s="399">
        <f t="shared" si="208"/>
        <v>0</v>
      </c>
      <c r="CO422" s="399">
        <f t="shared" si="209"/>
        <v>0</v>
      </c>
      <c r="CP422" s="399">
        <f t="shared" si="210"/>
        <v>0</v>
      </c>
      <c r="CQ422" s="423">
        <f t="shared" si="211"/>
        <v>0</v>
      </c>
      <c r="CS422" s="394" t="e">
        <f t="shared" si="212"/>
        <v>#DIV/0!</v>
      </c>
    </row>
    <row r="423" spans="3:97">
      <c r="C423" s="107"/>
      <c r="D423" s="395"/>
      <c r="E423" s="84"/>
      <c r="F423" s="84"/>
      <c r="G423" s="389"/>
      <c r="H423" s="390"/>
      <c r="I423" s="390"/>
      <c r="J423" s="390"/>
      <c r="K423" s="390"/>
      <c r="L423" s="390"/>
      <c r="M423" s="390"/>
      <c r="N423" s="390"/>
      <c r="O423" s="390"/>
      <c r="P423" s="390"/>
      <c r="Q423" s="390"/>
      <c r="R423" s="390"/>
      <c r="S423" s="390"/>
      <c r="T423" s="390"/>
      <c r="U423" s="390"/>
      <c r="V423" s="390"/>
      <c r="W423" s="390"/>
      <c r="X423" s="390"/>
      <c r="Y423" s="390"/>
      <c r="Z423" s="390"/>
      <c r="AA423" s="390"/>
      <c r="AB423" s="390"/>
      <c r="AC423" s="390"/>
      <c r="AD423" s="390"/>
      <c r="AE423" s="390"/>
      <c r="AF423" s="390"/>
      <c r="AG423" s="390"/>
      <c r="AH423" s="390"/>
      <c r="AI423" s="391"/>
      <c r="AK423" s="437"/>
      <c r="AL423" s="437"/>
      <c r="AM423" s="437"/>
      <c r="AN423" s="437"/>
      <c r="AO423" s="437"/>
      <c r="AP423" s="437"/>
      <c r="AQ423" s="437"/>
      <c r="AR423" s="437"/>
      <c r="AS423" s="437"/>
      <c r="AT423" s="437"/>
      <c r="AU423" s="437"/>
      <c r="AV423" s="437"/>
      <c r="AW423" s="437"/>
      <c r="AX423" s="437"/>
      <c r="AY423" s="437"/>
      <c r="AZ423" s="437"/>
      <c r="BA423" s="437"/>
      <c r="BB423" s="437"/>
      <c r="BC423" s="437"/>
      <c r="BD423" s="437"/>
      <c r="BE423" s="437"/>
      <c r="BF423" s="437"/>
      <c r="BG423" s="437"/>
      <c r="BH423" s="437"/>
      <c r="BI423" s="437"/>
      <c r="BJ423" s="437"/>
      <c r="BK423" s="437"/>
      <c r="BL423" s="437"/>
      <c r="BM423" s="393"/>
      <c r="BO423" s="399">
        <f t="shared" si="183"/>
        <v>0</v>
      </c>
      <c r="BP423" s="399">
        <f t="shared" si="184"/>
        <v>0</v>
      </c>
      <c r="BQ423" s="399">
        <f t="shared" si="185"/>
        <v>0</v>
      </c>
      <c r="BR423" s="399">
        <f t="shared" si="186"/>
        <v>0</v>
      </c>
      <c r="BS423" s="399">
        <f t="shared" si="187"/>
        <v>0</v>
      </c>
      <c r="BT423" s="399">
        <f t="shared" si="188"/>
        <v>0</v>
      </c>
      <c r="BU423" s="399">
        <f t="shared" si="189"/>
        <v>0</v>
      </c>
      <c r="BV423" s="399">
        <f t="shared" si="190"/>
        <v>0</v>
      </c>
      <c r="BW423" s="399">
        <f t="shared" si="191"/>
        <v>0</v>
      </c>
      <c r="BX423" s="399">
        <f t="shared" si="192"/>
        <v>0</v>
      </c>
      <c r="BY423" s="399">
        <f t="shared" si="193"/>
        <v>0</v>
      </c>
      <c r="BZ423" s="399">
        <f t="shared" si="194"/>
        <v>0</v>
      </c>
      <c r="CA423" s="399">
        <f t="shared" si="195"/>
        <v>0</v>
      </c>
      <c r="CB423" s="399">
        <f t="shared" si="196"/>
        <v>0</v>
      </c>
      <c r="CC423" s="399">
        <f t="shared" si="197"/>
        <v>0</v>
      </c>
      <c r="CD423" s="399">
        <f t="shared" si="198"/>
        <v>0</v>
      </c>
      <c r="CE423" s="399">
        <f t="shared" si="199"/>
        <v>0</v>
      </c>
      <c r="CF423" s="399">
        <f t="shared" si="200"/>
        <v>0</v>
      </c>
      <c r="CG423" s="399">
        <f t="shared" si="201"/>
        <v>0</v>
      </c>
      <c r="CH423" s="399">
        <f t="shared" si="202"/>
        <v>0</v>
      </c>
      <c r="CI423" s="399">
        <f t="shared" si="203"/>
        <v>0</v>
      </c>
      <c r="CJ423" s="399">
        <f t="shared" si="204"/>
        <v>0</v>
      </c>
      <c r="CK423" s="399">
        <f t="shared" si="205"/>
        <v>0</v>
      </c>
      <c r="CL423" s="399">
        <f t="shared" si="206"/>
        <v>0</v>
      </c>
      <c r="CM423" s="399">
        <f t="shared" si="207"/>
        <v>0</v>
      </c>
      <c r="CN423" s="399">
        <f t="shared" si="208"/>
        <v>0</v>
      </c>
      <c r="CO423" s="399">
        <f t="shared" si="209"/>
        <v>0</v>
      </c>
      <c r="CP423" s="399">
        <f t="shared" si="210"/>
        <v>0</v>
      </c>
      <c r="CQ423" s="423">
        <f t="shared" si="211"/>
        <v>0</v>
      </c>
      <c r="CS423" s="394" t="e">
        <f t="shared" si="212"/>
        <v>#DIV/0!</v>
      </c>
    </row>
    <row r="424" spans="3:97">
      <c r="C424" s="107"/>
      <c r="D424" s="395"/>
      <c r="E424" s="84"/>
      <c r="F424" s="84"/>
      <c r="G424" s="389"/>
      <c r="H424" s="390"/>
      <c r="I424" s="390"/>
      <c r="J424" s="390"/>
      <c r="K424" s="390"/>
      <c r="L424" s="390"/>
      <c r="M424" s="390"/>
      <c r="N424" s="390"/>
      <c r="O424" s="390"/>
      <c r="P424" s="390"/>
      <c r="Q424" s="390"/>
      <c r="R424" s="390"/>
      <c r="S424" s="390"/>
      <c r="T424" s="390"/>
      <c r="U424" s="390"/>
      <c r="V424" s="390"/>
      <c r="W424" s="390"/>
      <c r="X424" s="390"/>
      <c r="Y424" s="390"/>
      <c r="Z424" s="390"/>
      <c r="AA424" s="390"/>
      <c r="AB424" s="390"/>
      <c r="AC424" s="390"/>
      <c r="AD424" s="390"/>
      <c r="AE424" s="390"/>
      <c r="AF424" s="390"/>
      <c r="AG424" s="390"/>
      <c r="AH424" s="390"/>
      <c r="AI424" s="391"/>
      <c r="AK424" s="437"/>
      <c r="AL424" s="437"/>
      <c r="AM424" s="437"/>
      <c r="AN424" s="437"/>
      <c r="AO424" s="437"/>
      <c r="AP424" s="437"/>
      <c r="AQ424" s="437"/>
      <c r="AR424" s="437"/>
      <c r="AS424" s="437"/>
      <c r="AT424" s="437"/>
      <c r="AU424" s="437"/>
      <c r="AV424" s="437"/>
      <c r="AW424" s="437"/>
      <c r="AX424" s="437"/>
      <c r="AY424" s="437"/>
      <c r="AZ424" s="437"/>
      <c r="BA424" s="437"/>
      <c r="BB424" s="437"/>
      <c r="BC424" s="437"/>
      <c r="BD424" s="437"/>
      <c r="BE424" s="437"/>
      <c r="BF424" s="437"/>
      <c r="BG424" s="437"/>
      <c r="BH424" s="437"/>
      <c r="BI424" s="437"/>
      <c r="BJ424" s="437"/>
      <c r="BK424" s="437"/>
      <c r="BL424" s="437"/>
      <c r="BM424" s="393"/>
      <c r="BO424" s="399">
        <f t="shared" si="183"/>
        <v>0</v>
      </c>
      <c r="BP424" s="399">
        <f t="shared" si="184"/>
        <v>0</v>
      </c>
      <c r="BQ424" s="399">
        <f t="shared" si="185"/>
        <v>0</v>
      </c>
      <c r="BR424" s="399">
        <f t="shared" si="186"/>
        <v>0</v>
      </c>
      <c r="BS424" s="399">
        <f t="shared" si="187"/>
        <v>0</v>
      </c>
      <c r="BT424" s="399">
        <f t="shared" si="188"/>
        <v>0</v>
      </c>
      <c r="BU424" s="399">
        <f t="shared" si="189"/>
        <v>0</v>
      </c>
      <c r="BV424" s="399">
        <f t="shared" si="190"/>
        <v>0</v>
      </c>
      <c r="BW424" s="399">
        <f t="shared" si="191"/>
        <v>0</v>
      </c>
      <c r="BX424" s="399">
        <f t="shared" si="192"/>
        <v>0</v>
      </c>
      <c r="BY424" s="399">
        <f t="shared" si="193"/>
        <v>0</v>
      </c>
      <c r="BZ424" s="399">
        <f t="shared" si="194"/>
        <v>0</v>
      </c>
      <c r="CA424" s="399">
        <f t="shared" si="195"/>
        <v>0</v>
      </c>
      <c r="CB424" s="399">
        <f t="shared" si="196"/>
        <v>0</v>
      </c>
      <c r="CC424" s="399">
        <f t="shared" si="197"/>
        <v>0</v>
      </c>
      <c r="CD424" s="399">
        <f t="shared" si="198"/>
        <v>0</v>
      </c>
      <c r="CE424" s="399">
        <f t="shared" si="199"/>
        <v>0</v>
      </c>
      <c r="CF424" s="399">
        <f t="shared" si="200"/>
        <v>0</v>
      </c>
      <c r="CG424" s="399">
        <f t="shared" si="201"/>
        <v>0</v>
      </c>
      <c r="CH424" s="399">
        <f t="shared" si="202"/>
        <v>0</v>
      </c>
      <c r="CI424" s="399">
        <f t="shared" si="203"/>
        <v>0</v>
      </c>
      <c r="CJ424" s="399">
        <f t="shared" si="204"/>
        <v>0</v>
      </c>
      <c r="CK424" s="399">
        <f t="shared" si="205"/>
        <v>0</v>
      </c>
      <c r="CL424" s="399">
        <f t="shared" si="206"/>
        <v>0</v>
      </c>
      <c r="CM424" s="399">
        <f t="shared" si="207"/>
        <v>0</v>
      </c>
      <c r="CN424" s="399">
        <f t="shared" si="208"/>
        <v>0</v>
      </c>
      <c r="CO424" s="399">
        <f t="shared" si="209"/>
        <v>0</v>
      </c>
      <c r="CP424" s="399">
        <f t="shared" si="210"/>
        <v>0</v>
      </c>
      <c r="CQ424" s="423">
        <f t="shared" si="211"/>
        <v>0</v>
      </c>
      <c r="CS424" s="394" t="e">
        <f t="shared" si="212"/>
        <v>#DIV/0!</v>
      </c>
    </row>
    <row r="425" spans="3:97">
      <c r="C425" s="107"/>
      <c r="D425" s="395"/>
      <c r="E425" s="84"/>
      <c r="F425" s="84"/>
      <c r="G425" s="389"/>
      <c r="H425" s="390"/>
      <c r="I425" s="390"/>
      <c r="J425" s="390"/>
      <c r="K425" s="390"/>
      <c r="L425" s="390"/>
      <c r="M425" s="390"/>
      <c r="N425" s="390"/>
      <c r="O425" s="390"/>
      <c r="P425" s="390"/>
      <c r="Q425" s="390"/>
      <c r="R425" s="390"/>
      <c r="S425" s="390"/>
      <c r="T425" s="390"/>
      <c r="U425" s="390"/>
      <c r="V425" s="390"/>
      <c r="W425" s="390"/>
      <c r="X425" s="390"/>
      <c r="Y425" s="390"/>
      <c r="Z425" s="390"/>
      <c r="AA425" s="390"/>
      <c r="AB425" s="390"/>
      <c r="AC425" s="390"/>
      <c r="AD425" s="390"/>
      <c r="AE425" s="390"/>
      <c r="AF425" s="390"/>
      <c r="AG425" s="390"/>
      <c r="AH425" s="390"/>
      <c r="AI425" s="391"/>
      <c r="AK425" s="437"/>
      <c r="AL425" s="437"/>
      <c r="AM425" s="437"/>
      <c r="AN425" s="437"/>
      <c r="AO425" s="437"/>
      <c r="AP425" s="437"/>
      <c r="AQ425" s="437"/>
      <c r="AR425" s="437"/>
      <c r="AS425" s="437"/>
      <c r="AT425" s="437"/>
      <c r="AU425" s="437"/>
      <c r="AV425" s="437"/>
      <c r="AW425" s="437"/>
      <c r="AX425" s="437"/>
      <c r="AY425" s="437"/>
      <c r="AZ425" s="437"/>
      <c r="BA425" s="437"/>
      <c r="BB425" s="437"/>
      <c r="BC425" s="437"/>
      <c r="BD425" s="437"/>
      <c r="BE425" s="437"/>
      <c r="BF425" s="437"/>
      <c r="BG425" s="437"/>
      <c r="BH425" s="437"/>
      <c r="BI425" s="437"/>
      <c r="BJ425" s="437"/>
      <c r="BK425" s="437"/>
      <c r="BL425" s="437"/>
      <c r="BM425" s="393"/>
      <c r="BO425" s="399">
        <f t="shared" si="183"/>
        <v>0</v>
      </c>
      <c r="BP425" s="399">
        <f t="shared" si="184"/>
        <v>0</v>
      </c>
      <c r="BQ425" s="399">
        <f t="shared" si="185"/>
        <v>0</v>
      </c>
      <c r="BR425" s="399">
        <f t="shared" si="186"/>
        <v>0</v>
      </c>
      <c r="BS425" s="399">
        <f t="shared" si="187"/>
        <v>0</v>
      </c>
      <c r="BT425" s="399">
        <f t="shared" si="188"/>
        <v>0</v>
      </c>
      <c r="BU425" s="399">
        <f t="shared" si="189"/>
        <v>0</v>
      </c>
      <c r="BV425" s="399">
        <f t="shared" si="190"/>
        <v>0</v>
      </c>
      <c r="BW425" s="399">
        <f t="shared" si="191"/>
        <v>0</v>
      </c>
      <c r="BX425" s="399">
        <f t="shared" si="192"/>
        <v>0</v>
      </c>
      <c r="BY425" s="399">
        <f t="shared" si="193"/>
        <v>0</v>
      </c>
      <c r="BZ425" s="399">
        <f t="shared" si="194"/>
        <v>0</v>
      </c>
      <c r="CA425" s="399">
        <f t="shared" si="195"/>
        <v>0</v>
      </c>
      <c r="CB425" s="399">
        <f t="shared" si="196"/>
        <v>0</v>
      </c>
      <c r="CC425" s="399">
        <f t="shared" si="197"/>
        <v>0</v>
      </c>
      <c r="CD425" s="399">
        <f t="shared" si="198"/>
        <v>0</v>
      </c>
      <c r="CE425" s="399">
        <f t="shared" si="199"/>
        <v>0</v>
      </c>
      <c r="CF425" s="399">
        <f t="shared" si="200"/>
        <v>0</v>
      </c>
      <c r="CG425" s="399">
        <f t="shared" si="201"/>
        <v>0</v>
      </c>
      <c r="CH425" s="399">
        <f t="shared" si="202"/>
        <v>0</v>
      </c>
      <c r="CI425" s="399">
        <f t="shared" si="203"/>
        <v>0</v>
      </c>
      <c r="CJ425" s="399">
        <f t="shared" si="204"/>
        <v>0</v>
      </c>
      <c r="CK425" s="399">
        <f t="shared" si="205"/>
        <v>0</v>
      </c>
      <c r="CL425" s="399">
        <f t="shared" si="206"/>
        <v>0</v>
      </c>
      <c r="CM425" s="399">
        <f t="shared" si="207"/>
        <v>0</v>
      </c>
      <c r="CN425" s="399">
        <f t="shared" si="208"/>
        <v>0</v>
      </c>
      <c r="CO425" s="399">
        <f t="shared" si="209"/>
        <v>0</v>
      </c>
      <c r="CP425" s="399">
        <f t="shared" si="210"/>
        <v>0</v>
      </c>
      <c r="CQ425" s="423">
        <f t="shared" si="211"/>
        <v>0</v>
      </c>
      <c r="CS425" s="394" t="e">
        <f t="shared" si="212"/>
        <v>#DIV/0!</v>
      </c>
    </row>
    <row r="426" spans="3:97">
      <c r="C426" s="107"/>
      <c r="D426" s="395"/>
      <c r="E426" s="84"/>
      <c r="F426" s="84"/>
      <c r="G426" s="389"/>
      <c r="H426" s="390"/>
      <c r="I426" s="390"/>
      <c r="J426" s="390"/>
      <c r="K426" s="390"/>
      <c r="L426" s="390"/>
      <c r="M426" s="390"/>
      <c r="N426" s="390"/>
      <c r="O426" s="390"/>
      <c r="P426" s="390"/>
      <c r="Q426" s="390"/>
      <c r="R426" s="390"/>
      <c r="S426" s="390"/>
      <c r="T426" s="390"/>
      <c r="U426" s="390"/>
      <c r="V426" s="390"/>
      <c r="W426" s="390"/>
      <c r="X426" s="390"/>
      <c r="Y426" s="390"/>
      <c r="Z426" s="390"/>
      <c r="AA426" s="390"/>
      <c r="AB426" s="390"/>
      <c r="AC426" s="390"/>
      <c r="AD426" s="390"/>
      <c r="AE426" s="390"/>
      <c r="AF426" s="390"/>
      <c r="AG426" s="390"/>
      <c r="AH426" s="390"/>
      <c r="AI426" s="391"/>
      <c r="AK426" s="437"/>
      <c r="AL426" s="437"/>
      <c r="AM426" s="437"/>
      <c r="AN426" s="437"/>
      <c r="AO426" s="437"/>
      <c r="AP426" s="437"/>
      <c r="AQ426" s="437"/>
      <c r="AR426" s="437"/>
      <c r="AS426" s="437"/>
      <c r="AT426" s="437"/>
      <c r="AU426" s="437"/>
      <c r="AV426" s="437"/>
      <c r="AW426" s="437"/>
      <c r="AX426" s="437"/>
      <c r="AY426" s="437"/>
      <c r="AZ426" s="437"/>
      <c r="BA426" s="437"/>
      <c r="BB426" s="437"/>
      <c r="BC426" s="437"/>
      <c r="BD426" s="437"/>
      <c r="BE426" s="437"/>
      <c r="BF426" s="437"/>
      <c r="BG426" s="437"/>
      <c r="BH426" s="437"/>
      <c r="BI426" s="437"/>
      <c r="BJ426" s="437"/>
      <c r="BK426" s="437"/>
      <c r="BL426" s="437"/>
      <c r="BM426" s="393"/>
      <c r="BO426" s="399">
        <f t="shared" si="183"/>
        <v>0</v>
      </c>
      <c r="BP426" s="399">
        <f t="shared" si="184"/>
        <v>0</v>
      </c>
      <c r="BQ426" s="399">
        <f t="shared" si="185"/>
        <v>0</v>
      </c>
      <c r="BR426" s="399">
        <f t="shared" si="186"/>
        <v>0</v>
      </c>
      <c r="BS426" s="399">
        <f t="shared" si="187"/>
        <v>0</v>
      </c>
      <c r="BT426" s="399">
        <f t="shared" si="188"/>
        <v>0</v>
      </c>
      <c r="BU426" s="399">
        <f t="shared" si="189"/>
        <v>0</v>
      </c>
      <c r="BV426" s="399">
        <f t="shared" si="190"/>
        <v>0</v>
      </c>
      <c r="BW426" s="399">
        <f t="shared" si="191"/>
        <v>0</v>
      </c>
      <c r="BX426" s="399">
        <f t="shared" si="192"/>
        <v>0</v>
      </c>
      <c r="BY426" s="399">
        <f t="shared" si="193"/>
        <v>0</v>
      </c>
      <c r="BZ426" s="399">
        <f t="shared" si="194"/>
        <v>0</v>
      </c>
      <c r="CA426" s="399">
        <f t="shared" si="195"/>
        <v>0</v>
      </c>
      <c r="CB426" s="399">
        <f t="shared" si="196"/>
        <v>0</v>
      </c>
      <c r="CC426" s="399">
        <f t="shared" si="197"/>
        <v>0</v>
      </c>
      <c r="CD426" s="399">
        <f t="shared" si="198"/>
        <v>0</v>
      </c>
      <c r="CE426" s="399">
        <f t="shared" si="199"/>
        <v>0</v>
      </c>
      <c r="CF426" s="399">
        <f t="shared" si="200"/>
        <v>0</v>
      </c>
      <c r="CG426" s="399">
        <f t="shared" si="201"/>
        <v>0</v>
      </c>
      <c r="CH426" s="399">
        <f t="shared" si="202"/>
        <v>0</v>
      </c>
      <c r="CI426" s="399">
        <f t="shared" si="203"/>
        <v>0</v>
      </c>
      <c r="CJ426" s="399">
        <f t="shared" si="204"/>
        <v>0</v>
      </c>
      <c r="CK426" s="399">
        <f t="shared" si="205"/>
        <v>0</v>
      </c>
      <c r="CL426" s="399">
        <f t="shared" si="206"/>
        <v>0</v>
      </c>
      <c r="CM426" s="399">
        <f t="shared" si="207"/>
        <v>0</v>
      </c>
      <c r="CN426" s="399">
        <f t="shared" si="208"/>
        <v>0</v>
      </c>
      <c r="CO426" s="399">
        <f t="shared" si="209"/>
        <v>0</v>
      </c>
      <c r="CP426" s="399">
        <f t="shared" si="210"/>
        <v>0</v>
      </c>
      <c r="CQ426" s="423">
        <f t="shared" si="211"/>
        <v>0</v>
      </c>
      <c r="CS426" s="394" t="e">
        <f t="shared" si="212"/>
        <v>#DIV/0!</v>
      </c>
    </row>
    <row r="427" spans="3:97">
      <c r="C427" s="107"/>
      <c r="D427" s="395"/>
      <c r="E427" s="84"/>
      <c r="F427" s="84"/>
      <c r="G427" s="389"/>
      <c r="H427" s="390"/>
      <c r="I427" s="390"/>
      <c r="J427" s="390"/>
      <c r="K427" s="390"/>
      <c r="L427" s="390"/>
      <c r="M427" s="390"/>
      <c r="N427" s="390"/>
      <c r="O427" s="390"/>
      <c r="P427" s="390"/>
      <c r="Q427" s="390"/>
      <c r="R427" s="390"/>
      <c r="S427" s="390"/>
      <c r="T427" s="390"/>
      <c r="U427" s="390"/>
      <c r="V427" s="390"/>
      <c r="W427" s="390"/>
      <c r="X427" s="390"/>
      <c r="Y427" s="390"/>
      <c r="Z427" s="390"/>
      <c r="AA427" s="390"/>
      <c r="AB427" s="390"/>
      <c r="AC427" s="390"/>
      <c r="AD427" s="390"/>
      <c r="AE427" s="390"/>
      <c r="AF427" s="390"/>
      <c r="AG427" s="390"/>
      <c r="AH427" s="390"/>
      <c r="AI427" s="391"/>
      <c r="AK427" s="437"/>
      <c r="AL427" s="437"/>
      <c r="AM427" s="437"/>
      <c r="AN427" s="437"/>
      <c r="AO427" s="437"/>
      <c r="AP427" s="437"/>
      <c r="AQ427" s="437"/>
      <c r="AR427" s="437"/>
      <c r="AS427" s="437"/>
      <c r="AT427" s="437"/>
      <c r="AU427" s="437"/>
      <c r="AV427" s="437"/>
      <c r="AW427" s="437"/>
      <c r="AX427" s="437"/>
      <c r="AY427" s="437"/>
      <c r="AZ427" s="437"/>
      <c r="BA427" s="437"/>
      <c r="BB427" s="437"/>
      <c r="BC427" s="437"/>
      <c r="BD427" s="437"/>
      <c r="BE427" s="437"/>
      <c r="BF427" s="437"/>
      <c r="BG427" s="437"/>
      <c r="BH427" s="437"/>
      <c r="BI427" s="437"/>
      <c r="BJ427" s="437"/>
      <c r="BK427" s="437"/>
      <c r="BL427" s="437"/>
      <c r="BM427" s="393"/>
      <c r="BO427" s="399">
        <f t="shared" si="183"/>
        <v>0</v>
      </c>
      <c r="BP427" s="399">
        <f t="shared" si="184"/>
        <v>0</v>
      </c>
      <c r="BQ427" s="399">
        <f t="shared" si="185"/>
        <v>0</v>
      </c>
      <c r="BR427" s="399">
        <f t="shared" si="186"/>
        <v>0</v>
      </c>
      <c r="BS427" s="399">
        <f t="shared" si="187"/>
        <v>0</v>
      </c>
      <c r="BT427" s="399">
        <f t="shared" si="188"/>
        <v>0</v>
      </c>
      <c r="BU427" s="399">
        <f t="shared" si="189"/>
        <v>0</v>
      </c>
      <c r="BV427" s="399">
        <f t="shared" si="190"/>
        <v>0</v>
      </c>
      <c r="BW427" s="399">
        <f t="shared" si="191"/>
        <v>0</v>
      </c>
      <c r="BX427" s="399">
        <f t="shared" si="192"/>
        <v>0</v>
      </c>
      <c r="BY427" s="399">
        <f t="shared" si="193"/>
        <v>0</v>
      </c>
      <c r="BZ427" s="399">
        <f t="shared" si="194"/>
        <v>0</v>
      </c>
      <c r="CA427" s="399">
        <f t="shared" si="195"/>
        <v>0</v>
      </c>
      <c r="CB427" s="399">
        <f t="shared" si="196"/>
        <v>0</v>
      </c>
      <c r="CC427" s="399">
        <f t="shared" si="197"/>
        <v>0</v>
      </c>
      <c r="CD427" s="399">
        <f t="shared" si="198"/>
        <v>0</v>
      </c>
      <c r="CE427" s="399">
        <f t="shared" si="199"/>
        <v>0</v>
      </c>
      <c r="CF427" s="399">
        <f t="shared" si="200"/>
        <v>0</v>
      </c>
      <c r="CG427" s="399">
        <f t="shared" si="201"/>
        <v>0</v>
      </c>
      <c r="CH427" s="399">
        <f t="shared" si="202"/>
        <v>0</v>
      </c>
      <c r="CI427" s="399">
        <f t="shared" si="203"/>
        <v>0</v>
      </c>
      <c r="CJ427" s="399">
        <f t="shared" si="204"/>
        <v>0</v>
      </c>
      <c r="CK427" s="399">
        <f t="shared" si="205"/>
        <v>0</v>
      </c>
      <c r="CL427" s="399">
        <f t="shared" si="206"/>
        <v>0</v>
      </c>
      <c r="CM427" s="399">
        <f t="shared" si="207"/>
        <v>0</v>
      </c>
      <c r="CN427" s="399">
        <f t="shared" si="208"/>
        <v>0</v>
      </c>
      <c r="CO427" s="399">
        <f t="shared" si="209"/>
        <v>0</v>
      </c>
      <c r="CP427" s="399">
        <f t="shared" si="210"/>
        <v>0</v>
      </c>
      <c r="CQ427" s="423">
        <f t="shared" si="211"/>
        <v>0</v>
      </c>
      <c r="CS427" s="394" t="e">
        <f t="shared" si="212"/>
        <v>#DIV/0!</v>
      </c>
    </row>
    <row r="428" spans="3:97">
      <c r="C428" s="107"/>
      <c r="D428" s="395"/>
      <c r="E428" s="84"/>
      <c r="F428" s="84"/>
      <c r="G428" s="389"/>
      <c r="H428" s="390"/>
      <c r="I428" s="390"/>
      <c r="J428" s="390"/>
      <c r="K428" s="390"/>
      <c r="L428" s="390"/>
      <c r="M428" s="390"/>
      <c r="N428" s="390"/>
      <c r="O428" s="390"/>
      <c r="P428" s="390"/>
      <c r="Q428" s="390"/>
      <c r="R428" s="390"/>
      <c r="S428" s="390"/>
      <c r="T428" s="390"/>
      <c r="U428" s="390"/>
      <c r="V428" s="390"/>
      <c r="W428" s="390"/>
      <c r="X428" s="390"/>
      <c r="Y428" s="390"/>
      <c r="Z428" s="390"/>
      <c r="AA428" s="390"/>
      <c r="AB428" s="390"/>
      <c r="AC428" s="390"/>
      <c r="AD428" s="390"/>
      <c r="AE428" s="390"/>
      <c r="AF428" s="390"/>
      <c r="AG428" s="390"/>
      <c r="AH428" s="390"/>
      <c r="AI428" s="391"/>
      <c r="AK428" s="437"/>
      <c r="AL428" s="437"/>
      <c r="AM428" s="437"/>
      <c r="AN428" s="437"/>
      <c r="AO428" s="437"/>
      <c r="AP428" s="437"/>
      <c r="AQ428" s="437"/>
      <c r="AR428" s="437"/>
      <c r="AS428" s="437"/>
      <c r="AT428" s="437"/>
      <c r="AU428" s="437"/>
      <c r="AV428" s="437"/>
      <c r="AW428" s="437"/>
      <c r="AX428" s="437"/>
      <c r="AY428" s="437"/>
      <c r="AZ428" s="437"/>
      <c r="BA428" s="437"/>
      <c r="BB428" s="437"/>
      <c r="BC428" s="437"/>
      <c r="BD428" s="437"/>
      <c r="BE428" s="437"/>
      <c r="BF428" s="437"/>
      <c r="BG428" s="437"/>
      <c r="BH428" s="437"/>
      <c r="BI428" s="437"/>
      <c r="BJ428" s="437"/>
      <c r="BK428" s="437"/>
      <c r="BL428" s="437"/>
      <c r="BM428" s="393"/>
      <c r="BO428" s="399">
        <f t="shared" si="183"/>
        <v>0</v>
      </c>
      <c r="BP428" s="399">
        <f t="shared" si="184"/>
        <v>0</v>
      </c>
      <c r="BQ428" s="399">
        <f t="shared" si="185"/>
        <v>0</v>
      </c>
      <c r="BR428" s="399">
        <f t="shared" si="186"/>
        <v>0</v>
      </c>
      <c r="BS428" s="399">
        <f t="shared" si="187"/>
        <v>0</v>
      </c>
      <c r="BT428" s="399">
        <f t="shared" si="188"/>
        <v>0</v>
      </c>
      <c r="BU428" s="399">
        <f t="shared" si="189"/>
        <v>0</v>
      </c>
      <c r="BV428" s="399">
        <f t="shared" si="190"/>
        <v>0</v>
      </c>
      <c r="BW428" s="399">
        <f t="shared" si="191"/>
        <v>0</v>
      </c>
      <c r="BX428" s="399">
        <f t="shared" si="192"/>
        <v>0</v>
      </c>
      <c r="BY428" s="399">
        <f t="shared" si="193"/>
        <v>0</v>
      </c>
      <c r="BZ428" s="399">
        <f t="shared" si="194"/>
        <v>0</v>
      </c>
      <c r="CA428" s="399">
        <f t="shared" si="195"/>
        <v>0</v>
      </c>
      <c r="CB428" s="399">
        <f t="shared" si="196"/>
        <v>0</v>
      </c>
      <c r="CC428" s="399">
        <f t="shared" si="197"/>
        <v>0</v>
      </c>
      <c r="CD428" s="399">
        <f t="shared" si="198"/>
        <v>0</v>
      </c>
      <c r="CE428" s="399">
        <f t="shared" si="199"/>
        <v>0</v>
      </c>
      <c r="CF428" s="399">
        <f t="shared" si="200"/>
        <v>0</v>
      </c>
      <c r="CG428" s="399">
        <f t="shared" si="201"/>
        <v>0</v>
      </c>
      <c r="CH428" s="399">
        <f t="shared" si="202"/>
        <v>0</v>
      </c>
      <c r="CI428" s="399">
        <f t="shared" si="203"/>
        <v>0</v>
      </c>
      <c r="CJ428" s="399">
        <f t="shared" si="204"/>
        <v>0</v>
      </c>
      <c r="CK428" s="399">
        <f t="shared" si="205"/>
        <v>0</v>
      </c>
      <c r="CL428" s="399">
        <f t="shared" si="206"/>
        <v>0</v>
      </c>
      <c r="CM428" s="399">
        <f t="shared" si="207"/>
        <v>0</v>
      </c>
      <c r="CN428" s="399">
        <f t="shared" si="208"/>
        <v>0</v>
      </c>
      <c r="CO428" s="399">
        <f t="shared" si="209"/>
        <v>0</v>
      </c>
      <c r="CP428" s="399">
        <f t="shared" si="210"/>
        <v>0</v>
      </c>
      <c r="CQ428" s="423">
        <f t="shared" si="211"/>
        <v>0</v>
      </c>
      <c r="CS428" s="394" t="e">
        <f t="shared" si="212"/>
        <v>#DIV/0!</v>
      </c>
    </row>
    <row r="429" spans="3:97">
      <c r="C429" s="107"/>
      <c r="D429" s="395"/>
      <c r="E429" s="84"/>
      <c r="F429" s="84"/>
      <c r="G429" s="389"/>
      <c r="H429" s="390"/>
      <c r="I429" s="390"/>
      <c r="J429" s="390"/>
      <c r="K429" s="390"/>
      <c r="L429" s="390"/>
      <c r="M429" s="390"/>
      <c r="N429" s="390"/>
      <c r="O429" s="390"/>
      <c r="P429" s="390"/>
      <c r="Q429" s="390"/>
      <c r="R429" s="390"/>
      <c r="S429" s="390"/>
      <c r="T429" s="390"/>
      <c r="U429" s="390"/>
      <c r="V429" s="390"/>
      <c r="W429" s="390"/>
      <c r="X429" s="390"/>
      <c r="Y429" s="390"/>
      <c r="Z429" s="390"/>
      <c r="AA429" s="390"/>
      <c r="AB429" s="390"/>
      <c r="AC429" s="390"/>
      <c r="AD429" s="390"/>
      <c r="AE429" s="390"/>
      <c r="AF429" s="390"/>
      <c r="AG429" s="390"/>
      <c r="AH429" s="390"/>
      <c r="AI429" s="391"/>
      <c r="AK429" s="437"/>
      <c r="AL429" s="437"/>
      <c r="AM429" s="437"/>
      <c r="AN429" s="437"/>
      <c r="AO429" s="437"/>
      <c r="AP429" s="437"/>
      <c r="AQ429" s="437"/>
      <c r="AR429" s="437"/>
      <c r="AS429" s="437"/>
      <c r="AT429" s="437"/>
      <c r="AU429" s="437"/>
      <c r="AV429" s="437"/>
      <c r="AW429" s="437"/>
      <c r="AX429" s="437"/>
      <c r="AY429" s="437"/>
      <c r="AZ429" s="437"/>
      <c r="BA429" s="437"/>
      <c r="BB429" s="437"/>
      <c r="BC429" s="437"/>
      <c r="BD429" s="437"/>
      <c r="BE429" s="437"/>
      <c r="BF429" s="437"/>
      <c r="BG429" s="437"/>
      <c r="BH429" s="437"/>
      <c r="BI429" s="437"/>
      <c r="BJ429" s="437"/>
      <c r="BK429" s="437"/>
      <c r="BL429" s="437"/>
      <c r="BM429" s="393"/>
      <c r="BO429" s="399">
        <f t="shared" si="183"/>
        <v>0</v>
      </c>
      <c r="BP429" s="399">
        <f t="shared" si="184"/>
        <v>0</v>
      </c>
      <c r="BQ429" s="399">
        <f t="shared" si="185"/>
        <v>0</v>
      </c>
      <c r="BR429" s="399">
        <f t="shared" si="186"/>
        <v>0</v>
      </c>
      <c r="BS429" s="399">
        <f t="shared" si="187"/>
        <v>0</v>
      </c>
      <c r="BT429" s="399">
        <f t="shared" si="188"/>
        <v>0</v>
      </c>
      <c r="BU429" s="399">
        <f t="shared" si="189"/>
        <v>0</v>
      </c>
      <c r="BV429" s="399">
        <f t="shared" si="190"/>
        <v>0</v>
      </c>
      <c r="BW429" s="399">
        <f t="shared" si="191"/>
        <v>0</v>
      </c>
      <c r="BX429" s="399">
        <f t="shared" si="192"/>
        <v>0</v>
      </c>
      <c r="BY429" s="399">
        <f t="shared" si="193"/>
        <v>0</v>
      </c>
      <c r="BZ429" s="399">
        <f t="shared" si="194"/>
        <v>0</v>
      </c>
      <c r="CA429" s="399">
        <f t="shared" si="195"/>
        <v>0</v>
      </c>
      <c r="CB429" s="399">
        <f t="shared" si="196"/>
        <v>0</v>
      </c>
      <c r="CC429" s="399">
        <f t="shared" si="197"/>
        <v>0</v>
      </c>
      <c r="CD429" s="399">
        <f t="shared" si="198"/>
        <v>0</v>
      </c>
      <c r="CE429" s="399">
        <f t="shared" si="199"/>
        <v>0</v>
      </c>
      <c r="CF429" s="399">
        <f t="shared" si="200"/>
        <v>0</v>
      </c>
      <c r="CG429" s="399">
        <f t="shared" si="201"/>
        <v>0</v>
      </c>
      <c r="CH429" s="399">
        <f t="shared" si="202"/>
        <v>0</v>
      </c>
      <c r="CI429" s="399">
        <f t="shared" si="203"/>
        <v>0</v>
      </c>
      <c r="CJ429" s="399">
        <f t="shared" si="204"/>
        <v>0</v>
      </c>
      <c r="CK429" s="399">
        <f t="shared" si="205"/>
        <v>0</v>
      </c>
      <c r="CL429" s="399">
        <f t="shared" si="206"/>
        <v>0</v>
      </c>
      <c r="CM429" s="399">
        <f t="shared" si="207"/>
        <v>0</v>
      </c>
      <c r="CN429" s="399">
        <f t="shared" si="208"/>
        <v>0</v>
      </c>
      <c r="CO429" s="399">
        <f t="shared" si="209"/>
        <v>0</v>
      </c>
      <c r="CP429" s="399">
        <f t="shared" si="210"/>
        <v>0</v>
      </c>
      <c r="CQ429" s="423">
        <f t="shared" si="211"/>
        <v>0</v>
      </c>
      <c r="CS429" s="394" t="e">
        <f t="shared" si="212"/>
        <v>#DIV/0!</v>
      </c>
    </row>
    <row r="430" spans="3:97">
      <c r="C430" s="107"/>
      <c r="D430" s="395"/>
      <c r="E430" s="84"/>
      <c r="F430" s="84"/>
      <c r="G430" s="389"/>
      <c r="H430" s="390"/>
      <c r="I430" s="390"/>
      <c r="J430" s="390"/>
      <c r="K430" s="390"/>
      <c r="L430" s="390"/>
      <c r="M430" s="390"/>
      <c r="N430" s="390"/>
      <c r="O430" s="390"/>
      <c r="P430" s="390"/>
      <c r="Q430" s="390"/>
      <c r="R430" s="390"/>
      <c r="S430" s="390"/>
      <c r="T430" s="390"/>
      <c r="U430" s="390"/>
      <c r="V430" s="390"/>
      <c r="W430" s="390"/>
      <c r="X430" s="390"/>
      <c r="Y430" s="390"/>
      <c r="Z430" s="390"/>
      <c r="AA430" s="390"/>
      <c r="AB430" s="390"/>
      <c r="AC430" s="390"/>
      <c r="AD430" s="390"/>
      <c r="AE430" s="390"/>
      <c r="AF430" s="390"/>
      <c r="AG430" s="390"/>
      <c r="AH430" s="390"/>
      <c r="AI430" s="391"/>
      <c r="AK430" s="437"/>
      <c r="AL430" s="437"/>
      <c r="AM430" s="437"/>
      <c r="AN430" s="437"/>
      <c r="AO430" s="437"/>
      <c r="AP430" s="437"/>
      <c r="AQ430" s="437"/>
      <c r="AR430" s="437"/>
      <c r="AS430" s="437"/>
      <c r="AT430" s="437"/>
      <c r="AU430" s="437"/>
      <c r="AV430" s="437"/>
      <c r="AW430" s="437"/>
      <c r="AX430" s="437"/>
      <c r="AY430" s="437"/>
      <c r="AZ430" s="437"/>
      <c r="BA430" s="437"/>
      <c r="BB430" s="437"/>
      <c r="BC430" s="437"/>
      <c r="BD430" s="437"/>
      <c r="BE430" s="437"/>
      <c r="BF430" s="437"/>
      <c r="BG430" s="437"/>
      <c r="BH430" s="437"/>
      <c r="BI430" s="437"/>
      <c r="BJ430" s="437"/>
      <c r="BK430" s="437"/>
      <c r="BL430" s="437"/>
      <c r="BM430" s="393"/>
      <c r="BO430" s="399">
        <f t="shared" si="183"/>
        <v>0</v>
      </c>
      <c r="BP430" s="399">
        <f t="shared" si="184"/>
        <v>0</v>
      </c>
      <c r="BQ430" s="399">
        <f t="shared" si="185"/>
        <v>0</v>
      </c>
      <c r="BR430" s="399">
        <f t="shared" si="186"/>
        <v>0</v>
      </c>
      <c r="BS430" s="399">
        <f t="shared" si="187"/>
        <v>0</v>
      </c>
      <c r="BT430" s="399">
        <f t="shared" si="188"/>
        <v>0</v>
      </c>
      <c r="BU430" s="399">
        <f t="shared" si="189"/>
        <v>0</v>
      </c>
      <c r="BV430" s="399">
        <f t="shared" si="190"/>
        <v>0</v>
      </c>
      <c r="BW430" s="399">
        <f t="shared" si="191"/>
        <v>0</v>
      </c>
      <c r="BX430" s="399">
        <f t="shared" si="192"/>
        <v>0</v>
      </c>
      <c r="BY430" s="399">
        <f t="shared" si="193"/>
        <v>0</v>
      </c>
      <c r="BZ430" s="399">
        <f t="shared" si="194"/>
        <v>0</v>
      </c>
      <c r="CA430" s="399">
        <f t="shared" si="195"/>
        <v>0</v>
      </c>
      <c r="CB430" s="399">
        <f t="shared" si="196"/>
        <v>0</v>
      </c>
      <c r="CC430" s="399">
        <f t="shared" si="197"/>
        <v>0</v>
      </c>
      <c r="CD430" s="399">
        <f t="shared" si="198"/>
        <v>0</v>
      </c>
      <c r="CE430" s="399">
        <f t="shared" si="199"/>
        <v>0</v>
      </c>
      <c r="CF430" s="399">
        <f t="shared" si="200"/>
        <v>0</v>
      </c>
      <c r="CG430" s="399">
        <f t="shared" si="201"/>
        <v>0</v>
      </c>
      <c r="CH430" s="399">
        <f t="shared" si="202"/>
        <v>0</v>
      </c>
      <c r="CI430" s="399">
        <f t="shared" si="203"/>
        <v>0</v>
      </c>
      <c r="CJ430" s="399">
        <f t="shared" si="204"/>
        <v>0</v>
      </c>
      <c r="CK430" s="399">
        <f t="shared" si="205"/>
        <v>0</v>
      </c>
      <c r="CL430" s="399">
        <f t="shared" si="206"/>
        <v>0</v>
      </c>
      <c r="CM430" s="399">
        <f t="shared" si="207"/>
        <v>0</v>
      </c>
      <c r="CN430" s="399">
        <f t="shared" si="208"/>
        <v>0</v>
      </c>
      <c r="CO430" s="399">
        <f t="shared" si="209"/>
        <v>0</v>
      </c>
      <c r="CP430" s="399">
        <f t="shared" si="210"/>
        <v>0</v>
      </c>
      <c r="CQ430" s="423">
        <f t="shared" si="211"/>
        <v>0</v>
      </c>
      <c r="CS430" s="394" t="e">
        <f t="shared" si="212"/>
        <v>#DIV/0!</v>
      </c>
    </row>
    <row r="431" spans="3:97">
      <c r="C431" s="107"/>
      <c r="D431" s="395"/>
      <c r="E431" s="84"/>
      <c r="F431" s="84"/>
      <c r="G431" s="389"/>
      <c r="H431" s="390"/>
      <c r="I431" s="390"/>
      <c r="J431" s="390"/>
      <c r="K431" s="390"/>
      <c r="L431" s="390"/>
      <c r="M431" s="390"/>
      <c r="N431" s="390"/>
      <c r="O431" s="390"/>
      <c r="P431" s="390"/>
      <c r="Q431" s="390"/>
      <c r="R431" s="390"/>
      <c r="S431" s="390"/>
      <c r="T431" s="390"/>
      <c r="U431" s="390"/>
      <c r="V431" s="390"/>
      <c r="W431" s="390"/>
      <c r="X431" s="390"/>
      <c r="Y431" s="390"/>
      <c r="Z431" s="390"/>
      <c r="AA431" s="390"/>
      <c r="AB431" s="390"/>
      <c r="AC431" s="390"/>
      <c r="AD431" s="390"/>
      <c r="AE431" s="390"/>
      <c r="AF431" s="390"/>
      <c r="AG431" s="390"/>
      <c r="AH431" s="390"/>
      <c r="AI431" s="391"/>
      <c r="AK431" s="437"/>
      <c r="AL431" s="437"/>
      <c r="AM431" s="437"/>
      <c r="AN431" s="437"/>
      <c r="AO431" s="437"/>
      <c r="AP431" s="437"/>
      <c r="AQ431" s="437"/>
      <c r="AR431" s="437"/>
      <c r="AS431" s="437"/>
      <c r="AT431" s="437"/>
      <c r="AU431" s="437"/>
      <c r="AV431" s="437"/>
      <c r="AW431" s="437"/>
      <c r="AX431" s="437"/>
      <c r="AY431" s="437"/>
      <c r="AZ431" s="437"/>
      <c r="BA431" s="437"/>
      <c r="BB431" s="437"/>
      <c r="BC431" s="437"/>
      <c r="BD431" s="437"/>
      <c r="BE431" s="437"/>
      <c r="BF431" s="437"/>
      <c r="BG431" s="437"/>
      <c r="BH431" s="437"/>
      <c r="BI431" s="437"/>
      <c r="BJ431" s="437"/>
      <c r="BK431" s="437"/>
      <c r="BL431" s="437"/>
      <c r="BM431" s="393"/>
      <c r="BO431" s="399">
        <f t="shared" si="183"/>
        <v>0</v>
      </c>
      <c r="BP431" s="399">
        <f t="shared" si="184"/>
        <v>0</v>
      </c>
      <c r="BQ431" s="399">
        <f t="shared" si="185"/>
        <v>0</v>
      </c>
      <c r="BR431" s="399">
        <f t="shared" si="186"/>
        <v>0</v>
      </c>
      <c r="BS431" s="399">
        <f t="shared" si="187"/>
        <v>0</v>
      </c>
      <c r="BT431" s="399">
        <f t="shared" si="188"/>
        <v>0</v>
      </c>
      <c r="BU431" s="399">
        <f t="shared" si="189"/>
        <v>0</v>
      </c>
      <c r="BV431" s="399">
        <f t="shared" si="190"/>
        <v>0</v>
      </c>
      <c r="BW431" s="399">
        <f t="shared" si="191"/>
        <v>0</v>
      </c>
      <c r="BX431" s="399">
        <f t="shared" si="192"/>
        <v>0</v>
      </c>
      <c r="BY431" s="399">
        <f t="shared" si="193"/>
        <v>0</v>
      </c>
      <c r="BZ431" s="399">
        <f t="shared" si="194"/>
        <v>0</v>
      </c>
      <c r="CA431" s="399">
        <f t="shared" si="195"/>
        <v>0</v>
      </c>
      <c r="CB431" s="399">
        <f t="shared" si="196"/>
        <v>0</v>
      </c>
      <c r="CC431" s="399">
        <f t="shared" si="197"/>
        <v>0</v>
      </c>
      <c r="CD431" s="399">
        <f t="shared" si="198"/>
        <v>0</v>
      </c>
      <c r="CE431" s="399">
        <f t="shared" si="199"/>
        <v>0</v>
      </c>
      <c r="CF431" s="399">
        <f t="shared" si="200"/>
        <v>0</v>
      </c>
      <c r="CG431" s="399">
        <f t="shared" si="201"/>
        <v>0</v>
      </c>
      <c r="CH431" s="399">
        <f t="shared" si="202"/>
        <v>0</v>
      </c>
      <c r="CI431" s="399">
        <f t="shared" si="203"/>
        <v>0</v>
      </c>
      <c r="CJ431" s="399">
        <f t="shared" si="204"/>
        <v>0</v>
      </c>
      <c r="CK431" s="399">
        <f t="shared" si="205"/>
        <v>0</v>
      </c>
      <c r="CL431" s="399">
        <f t="shared" si="206"/>
        <v>0</v>
      </c>
      <c r="CM431" s="399">
        <f t="shared" si="207"/>
        <v>0</v>
      </c>
      <c r="CN431" s="399">
        <f t="shared" si="208"/>
        <v>0</v>
      </c>
      <c r="CO431" s="399">
        <f t="shared" si="209"/>
        <v>0</v>
      </c>
      <c r="CP431" s="399">
        <f t="shared" si="210"/>
        <v>0</v>
      </c>
      <c r="CQ431" s="423">
        <f t="shared" si="211"/>
        <v>0</v>
      </c>
      <c r="CS431" s="394" t="e">
        <f t="shared" si="212"/>
        <v>#DIV/0!</v>
      </c>
    </row>
    <row r="432" spans="3:97">
      <c r="C432" s="107"/>
      <c r="D432" s="395"/>
      <c r="E432" s="84"/>
      <c r="F432" s="84"/>
      <c r="G432" s="389"/>
      <c r="H432" s="390"/>
      <c r="I432" s="390"/>
      <c r="J432" s="390"/>
      <c r="K432" s="390"/>
      <c r="L432" s="390"/>
      <c r="M432" s="390"/>
      <c r="N432" s="390"/>
      <c r="O432" s="390"/>
      <c r="P432" s="390"/>
      <c r="Q432" s="390"/>
      <c r="R432" s="390"/>
      <c r="S432" s="390"/>
      <c r="T432" s="390"/>
      <c r="U432" s="390"/>
      <c r="V432" s="390"/>
      <c r="W432" s="390"/>
      <c r="X432" s="390"/>
      <c r="Y432" s="390"/>
      <c r="Z432" s="390"/>
      <c r="AA432" s="390"/>
      <c r="AB432" s="390"/>
      <c r="AC432" s="390"/>
      <c r="AD432" s="390"/>
      <c r="AE432" s="390"/>
      <c r="AF432" s="390"/>
      <c r="AG432" s="390"/>
      <c r="AH432" s="390"/>
      <c r="AI432" s="391"/>
      <c r="AK432" s="437"/>
      <c r="AL432" s="437"/>
      <c r="AM432" s="437"/>
      <c r="AN432" s="437"/>
      <c r="AO432" s="437"/>
      <c r="AP432" s="437"/>
      <c r="AQ432" s="437"/>
      <c r="AR432" s="437"/>
      <c r="AS432" s="437"/>
      <c r="AT432" s="437"/>
      <c r="AU432" s="437"/>
      <c r="AV432" s="437"/>
      <c r="AW432" s="437"/>
      <c r="AX432" s="437"/>
      <c r="AY432" s="437"/>
      <c r="AZ432" s="437"/>
      <c r="BA432" s="437"/>
      <c r="BB432" s="437"/>
      <c r="BC432" s="437"/>
      <c r="BD432" s="437"/>
      <c r="BE432" s="437"/>
      <c r="BF432" s="437"/>
      <c r="BG432" s="437"/>
      <c r="BH432" s="437"/>
      <c r="BI432" s="437"/>
      <c r="BJ432" s="437"/>
      <c r="BK432" s="437"/>
      <c r="BL432" s="437"/>
      <c r="BM432" s="393"/>
      <c r="BO432" s="399">
        <f t="shared" si="183"/>
        <v>0</v>
      </c>
      <c r="BP432" s="399">
        <f t="shared" si="184"/>
        <v>0</v>
      </c>
      <c r="BQ432" s="399">
        <f t="shared" si="185"/>
        <v>0</v>
      </c>
      <c r="BR432" s="399">
        <f t="shared" si="186"/>
        <v>0</v>
      </c>
      <c r="BS432" s="399">
        <f t="shared" si="187"/>
        <v>0</v>
      </c>
      <c r="BT432" s="399">
        <f t="shared" si="188"/>
        <v>0</v>
      </c>
      <c r="BU432" s="399">
        <f t="shared" si="189"/>
        <v>0</v>
      </c>
      <c r="BV432" s="399">
        <f t="shared" si="190"/>
        <v>0</v>
      </c>
      <c r="BW432" s="399">
        <f t="shared" si="191"/>
        <v>0</v>
      </c>
      <c r="BX432" s="399">
        <f t="shared" si="192"/>
        <v>0</v>
      </c>
      <c r="BY432" s="399">
        <f t="shared" si="193"/>
        <v>0</v>
      </c>
      <c r="BZ432" s="399">
        <f t="shared" si="194"/>
        <v>0</v>
      </c>
      <c r="CA432" s="399">
        <f t="shared" si="195"/>
        <v>0</v>
      </c>
      <c r="CB432" s="399">
        <f t="shared" si="196"/>
        <v>0</v>
      </c>
      <c r="CC432" s="399">
        <f t="shared" si="197"/>
        <v>0</v>
      </c>
      <c r="CD432" s="399">
        <f t="shared" si="198"/>
        <v>0</v>
      </c>
      <c r="CE432" s="399">
        <f t="shared" si="199"/>
        <v>0</v>
      </c>
      <c r="CF432" s="399">
        <f t="shared" si="200"/>
        <v>0</v>
      </c>
      <c r="CG432" s="399">
        <f t="shared" si="201"/>
        <v>0</v>
      </c>
      <c r="CH432" s="399">
        <f t="shared" si="202"/>
        <v>0</v>
      </c>
      <c r="CI432" s="399">
        <f t="shared" si="203"/>
        <v>0</v>
      </c>
      <c r="CJ432" s="399">
        <f t="shared" si="204"/>
        <v>0</v>
      </c>
      <c r="CK432" s="399">
        <f t="shared" si="205"/>
        <v>0</v>
      </c>
      <c r="CL432" s="399">
        <f t="shared" si="206"/>
        <v>0</v>
      </c>
      <c r="CM432" s="399">
        <f t="shared" si="207"/>
        <v>0</v>
      </c>
      <c r="CN432" s="399">
        <f t="shared" si="208"/>
        <v>0</v>
      </c>
      <c r="CO432" s="399">
        <f t="shared" si="209"/>
        <v>0</v>
      </c>
      <c r="CP432" s="399">
        <f t="shared" si="210"/>
        <v>0</v>
      </c>
      <c r="CQ432" s="423">
        <f t="shared" si="211"/>
        <v>0</v>
      </c>
      <c r="CS432" s="394" t="e">
        <f t="shared" si="212"/>
        <v>#DIV/0!</v>
      </c>
    </row>
    <row r="433" spans="3:97">
      <c r="C433" s="107"/>
      <c r="D433" s="395"/>
      <c r="E433" s="84"/>
      <c r="F433" s="84"/>
      <c r="G433" s="389"/>
      <c r="H433" s="390"/>
      <c r="I433" s="390"/>
      <c r="J433" s="390"/>
      <c r="K433" s="390"/>
      <c r="L433" s="390"/>
      <c r="M433" s="390"/>
      <c r="N433" s="390"/>
      <c r="O433" s="390"/>
      <c r="P433" s="390"/>
      <c r="Q433" s="390"/>
      <c r="R433" s="390"/>
      <c r="S433" s="390"/>
      <c r="T433" s="390"/>
      <c r="U433" s="390"/>
      <c r="V433" s="390"/>
      <c r="W433" s="390"/>
      <c r="X433" s="390"/>
      <c r="Y433" s="390"/>
      <c r="Z433" s="390"/>
      <c r="AA433" s="390"/>
      <c r="AB433" s="390"/>
      <c r="AC433" s="390"/>
      <c r="AD433" s="390"/>
      <c r="AE433" s="390"/>
      <c r="AF433" s="390"/>
      <c r="AG433" s="390"/>
      <c r="AH433" s="390"/>
      <c r="AI433" s="391"/>
      <c r="AK433" s="437"/>
      <c r="AL433" s="437"/>
      <c r="AM433" s="437"/>
      <c r="AN433" s="437"/>
      <c r="AO433" s="437"/>
      <c r="AP433" s="437"/>
      <c r="AQ433" s="437"/>
      <c r="AR433" s="437"/>
      <c r="AS433" s="437"/>
      <c r="AT433" s="437"/>
      <c r="AU433" s="437"/>
      <c r="AV433" s="437"/>
      <c r="AW433" s="437"/>
      <c r="AX433" s="437"/>
      <c r="AY433" s="437"/>
      <c r="AZ433" s="437"/>
      <c r="BA433" s="437"/>
      <c r="BB433" s="437"/>
      <c r="BC433" s="437"/>
      <c r="BD433" s="437"/>
      <c r="BE433" s="437"/>
      <c r="BF433" s="437"/>
      <c r="BG433" s="437"/>
      <c r="BH433" s="437"/>
      <c r="BI433" s="437"/>
      <c r="BJ433" s="437"/>
      <c r="BK433" s="437"/>
      <c r="BL433" s="437"/>
      <c r="BM433" s="393"/>
      <c r="BO433" s="399">
        <f t="shared" si="183"/>
        <v>0</v>
      </c>
      <c r="BP433" s="399">
        <f t="shared" si="184"/>
        <v>0</v>
      </c>
      <c r="BQ433" s="399">
        <f t="shared" si="185"/>
        <v>0</v>
      </c>
      <c r="BR433" s="399">
        <f t="shared" si="186"/>
        <v>0</v>
      </c>
      <c r="BS433" s="399">
        <f t="shared" si="187"/>
        <v>0</v>
      </c>
      <c r="BT433" s="399">
        <f t="shared" si="188"/>
        <v>0</v>
      </c>
      <c r="BU433" s="399">
        <f t="shared" si="189"/>
        <v>0</v>
      </c>
      <c r="BV433" s="399">
        <f t="shared" si="190"/>
        <v>0</v>
      </c>
      <c r="BW433" s="399">
        <f t="shared" si="191"/>
        <v>0</v>
      </c>
      <c r="BX433" s="399">
        <f t="shared" si="192"/>
        <v>0</v>
      </c>
      <c r="BY433" s="399">
        <f t="shared" si="193"/>
        <v>0</v>
      </c>
      <c r="BZ433" s="399">
        <f t="shared" si="194"/>
        <v>0</v>
      </c>
      <c r="CA433" s="399">
        <f t="shared" si="195"/>
        <v>0</v>
      </c>
      <c r="CB433" s="399">
        <f t="shared" si="196"/>
        <v>0</v>
      </c>
      <c r="CC433" s="399">
        <f t="shared" si="197"/>
        <v>0</v>
      </c>
      <c r="CD433" s="399">
        <f t="shared" si="198"/>
        <v>0</v>
      </c>
      <c r="CE433" s="399">
        <f t="shared" si="199"/>
        <v>0</v>
      </c>
      <c r="CF433" s="399">
        <f t="shared" si="200"/>
        <v>0</v>
      </c>
      <c r="CG433" s="399">
        <f t="shared" si="201"/>
        <v>0</v>
      </c>
      <c r="CH433" s="399">
        <f t="shared" si="202"/>
        <v>0</v>
      </c>
      <c r="CI433" s="399">
        <f t="shared" si="203"/>
        <v>0</v>
      </c>
      <c r="CJ433" s="399">
        <f t="shared" si="204"/>
        <v>0</v>
      </c>
      <c r="CK433" s="399">
        <f t="shared" si="205"/>
        <v>0</v>
      </c>
      <c r="CL433" s="399">
        <f t="shared" si="206"/>
        <v>0</v>
      </c>
      <c r="CM433" s="399">
        <f t="shared" si="207"/>
        <v>0</v>
      </c>
      <c r="CN433" s="399">
        <f t="shared" si="208"/>
        <v>0</v>
      </c>
      <c r="CO433" s="399">
        <f t="shared" si="209"/>
        <v>0</v>
      </c>
      <c r="CP433" s="399">
        <f t="shared" si="210"/>
        <v>0</v>
      </c>
      <c r="CQ433" s="423">
        <f t="shared" si="211"/>
        <v>0</v>
      </c>
      <c r="CS433" s="394" t="e">
        <f t="shared" si="212"/>
        <v>#DIV/0!</v>
      </c>
    </row>
    <row r="434" spans="3:97">
      <c r="C434" s="107"/>
      <c r="D434" s="395"/>
      <c r="E434" s="84"/>
      <c r="F434" s="84"/>
      <c r="G434" s="389"/>
      <c r="H434" s="390"/>
      <c r="I434" s="390"/>
      <c r="J434" s="390"/>
      <c r="K434" s="390"/>
      <c r="L434" s="390"/>
      <c r="M434" s="390"/>
      <c r="N434" s="390"/>
      <c r="O434" s="390"/>
      <c r="P434" s="390"/>
      <c r="Q434" s="390"/>
      <c r="R434" s="390"/>
      <c r="S434" s="390"/>
      <c r="T434" s="390"/>
      <c r="U434" s="390"/>
      <c r="V434" s="390"/>
      <c r="W434" s="390"/>
      <c r="X434" s="390"/>
      <c r="Y434" s="390"/>
      <c r="Z434" s="390"/>
      <c r="AA434" s="390"/>
      <c r="AB434" s="390"/>
      <c r="AC434" s="390"/>
      <c r="AD434" s="390"/>
      <c r="AE434" s="390"/>
      <c r="AF434" s="390"/>
      <c r="AG434" s="390"/>
      <c r="AH434" s="390"/>
      <c r="AI434" s="391"/>
      <c r="AK434" s="437"/>
      <c r="AL434" s="437"/>
      <c r="AM434" s="437"/>
      <c r="AN434" s="437"/>
      <c r="AO434" s="437"/>
      <c r="AP434" s="437"/>
      <c r="AQ434" s="437"/>
      <c r="AR434" s="437"/>
      <c r="AS434" s="437"/>
      <c r="AT434" s="437"/>
      <c r="AU434" s="437"/>
      <c r="AV434" s="437"/>
      <c r="AW434" s="437"/>
      <c r="AX434" s="437"/>
      <c r="AY434" s="437"/>
      <c r="AZ434" s="437"/>
      <c r="BA434" s="437"/>
      <c r="BB434" s="437"/>
      <c r="BC434" s="437"/>
      <c r="BD434" s="437"/>
      <c r="BE434" s="437"/>
      <c r="BF434" s="437"/>
      <c r="BG434" s="437"/>
      <c r="BH434" s="437"/>
      <c r="BI434" s="437"/>
      <c r="BJ434" s="437"/>
      <c r="BK434" s="437"/>
      <c r="BL434" s="437"/>
      <c r="BM434" s="393"/>
      <c r="BO434" s="399">
        <f t="shared" si="183"/>
        <v>0</v>
      </c>
      <c r="BP434" s="399">
        <f t="shared" si="184"/>
        <v>0</v>
      </c>
      <c r="BQ434" s="399">
        <f t="shared" si="185"/>
        <v>0</v>
      </c>
      <c r="BR434" s="399">
        <f t="shared" si="186"/>
        <v>0</v>
      </c>
      <c r="BS434" s="399">
        <f t="shared" si="187"/>
        <v>0</v>
      </c>
      <c r="BT434" s="399">
        <f t="shared" si="188"/>
        <v>0</v>
      </c>
      <c r="BU434" s="399">
        <f t="shared" si="189"/>
        <v>0</v>
      </c>
      <c r="BV434" s="399">
        <f t="shared" si="190"/>
        <v>0</v>
      </c>
      <c r="BW434" s="399">
        <f t="shared" si="191"/>
        <v>0</v>
      </c>
      <c r="BX434" s="399">
        <f t="shared" si="192"/>
        <v>0</v>
      </c>
      <c r="BY434" s="399">
        <f t="shared" si="193"/>
        <v>0</v>
      </c>
      <c r="BZ434" s="399">
        <f t="shared" si="194"/>
        <v>0</v>
      </c>
      <c r="CA434" s="399">
        <f t="shared" si="195"/>
        <v>0</v>
      </c>
      <c r="CB434" s="399">
        <f t="shared" si="196"/>
        <v>0</v>
      </c>
      <c r="CC434" s="399">
        <f t="shared" si="197"/>
        <v>0</v>
      </c>
      <c r="CD434" s="399">
        <f t="shared" si="198"/>
        <v>0</v>
      </c>
      <c r="CE434" s="399">
        <f t="shared" si="199"/>
        <v>0</v>
      </c>
      <c r="CF434" s="399">
        <f t="shared" si="200"/>
        <v>0</v>
      </c>
      <c r="CG434" s="399">
        <f t="shared" si="201"/>
        <v>0</v>
      </c>
      <c r="CH434" s="399">
        <f t="shared" si="202"/>
        <v>0</v>
      </c>
      <c r="CI434" s="399">
        <f t="shared" si="203"/>
        <v>0</v>
      </c>
      <c r="CJ434" s="399">
        <f t="shared" si="204"/>
        <v>0</v>
      </c>
      <c r="CK434" s="399">
        <f t="shared" si="205"/>
        <v>0</v>
      </c>
      <c r="CL434" s="399">
        <f t="shared" si="206"/>
        <v>0</v>
      </c>
      <c r="CM434" s="399">
        <f t="shared" si="207"/>
        <v>0</v>
      </c>
      <c r="CN434" s="399">
        <f t="shared" si="208"/>
        <v>0</v>
      </c>
      <c r="CO434" s="399">
        <f t="shared" si="209"/>
        <v>0</v>
      </c>
      <c r="CP434" s="399">
        <f t="shared" si="210"/>
        <v>0</v>
      </c>
      <c r="CQ434" s="423">
        <f t="shared" si="211"/>
        <v>0</v>
      </c>
      <c r="CS434" s="394" t="e">
        <f t="shared" si="212"/>
        <v>#DIV/0!</v>
      </c>
    </row>
    <row r="435" spans="3:97">
      <c r="C435" s="107"/>
      <c r="D435" s="395"/>
      <c r="E435" s="84"/>
      <c r="F435" s="84"/>
      <c r="G435" s="389"/>
      <c r="H435" s="390"/>
      <c r="I435" s="390"/>
      <c r="J435" s="390"/>
      <c r="K435" s="390"/>
      <c r="L435" s="390"/>
      <c r="M435" s="390"/>
      <c r="N435" s="390"/>
      <c r="O435" s="390"/>
      <c r="P435" s="390"/>
      <c r="Q435" s="390"/>
      <c r="R435" s="390"/>
      <c r="S435" s="390"/>
      <c r="T435" s="390"/>
      <c r="U435" s="390"/>
      <c r="V435" s="390"/>
      <c r="W435" s="390"/>
      <c r="X435" s="390"/>
      <c r="Y435" s="390"/>
      <c r="Z435" s="390"/>
      <c r="AA435" s="390"/>
      <c r="AB435" s="390"/>
      <c r="AC435" s="390"/>
      <c r="AD435" s="390"/>
      <c r="AE435" s="390"/>
      <c r="AF435" s="390"/>
      <c r="AG435" s="390"/>
      <c r="AH435" s="390"/>
      <c r="AI435" s="391"/>
      <c r="AK435" s="437"/>
      <c r="AL435" s="437"/>
      <c r="AM435" s="437"/>
      <c r="AN435" s="437"/>
      <c r="AO435" s="437"/>
      <c r="AP435" s="437"/>
      <c r="AQ435" s="437"/>
      <c r="AR435" s="437"/>
      <c r="AS435" s="437"/>
      <c r="AT435" s="437"/>
      <c r="AU435" s="437"/>
      <c r="AV435" s="437"/>
      <c r="AW435" s="437"/>
      <c r="AX435" s="437"/>
      <c r="AY435" s="437"/>
      <c r="AZ435" s="437"/>
      <c r="BA435" s="437"/>
      <c r="BB435" s="437"/>
      <c r="BC435" s="437"/>
      <c r="BD435" s="437"/>
      <c r="BE435" s="437"/>
      <c r="BF435" s="437"/>
      <c r="BG435" s="437"/>
      <c r="BH435" s="437"/>
      <c r="BI435" s="437"/>
      <c r="BJ435" s="437"/>
      <c r="BK435" s="437"/>
      <c r="BL435" s="437"/>
      <c r="BM435" s="393"/>
      <c r="BO435" s="399">
        <f t="shared" si="183"/>
        <v>0</v>
      </c>
      <c r="BP435" s="399">
        <f t="shared" si="184"/>
        <v>0</v>
      </c>
      <c r="BQ435" s="399">
        <f t="shared" si="185"/>
        <v>0</v>
      </c>
      <c r="BR435" s="399">
        <f t="shared" si="186"/>
        <v>0</v>
      </c>
      <c r="BS435" s="399">
        <f t="shared" si="187"/>
        <v>0</v>
      </c>
      <c r="BT435" s="399">
        <f t="shared" si="188"/>
        <v>0</v>
      </c>
      <c r="BU435" s="399">
        <f t="shared" si="189"/>
        <v>0</v>
      </c>
      <c r="BV435" s="399">
        <f t="shared" si="190"/>
        <v>0</v>
      </c>
      <c r="BW435" s="399">
        <f t="shared" si="191"/>
        <v>0</v>
      </c>
      <c r="BX435" s="399">
        <f t="shared" si="192"/>
        <v>0</v>
      </c>
      <c r="BY435" s="399">
        <f t="shared" si="193"/>
        <v>0</v>
      </c>
      <c r="BZ435" s="399">
        <f t="shared" si="194"/>
        <v>0</v>
      </c>
      <c r="CA435" s="399">
        <f t="shared" si="195"/>
        <v>0</v>
      </c>
      <c r="CB435" s="399">
        <f t="shared" si="196"/>
        <v>0</v>
      </c>
      <c r="CC435" s="399">
        <f t="shared" si="197"/>
        <v>0</v>
      </c>
      <c r="CD435" s="399">
        <f t="shared" si="198"/>
        <v>0</v>
      </c>
      <c r="CE435" s="399">
        <f t="shared" si="199"/>
        <v>0</v>
      </c>
      <c r="CF435" s="399">
        <f t="shared" si="200"/>
        <v>0</v>
      </c>
      <c r="CG435" s="399">
        <f t="shared" si="201"/>
        <v>0</v>
      </c>
      <c r="CH435" s="399">
        <f t="shared" si="202"/>
        <v>0</v>
      </c>
      <c r="CI435" s="399">
        <f t="shared" si="203"/>
        <v>0</v>
      </c>
      <c r="CJ435" s="399">
        <f t="shared" si="204"/>
        <v>0</v>
      </c>
      <c r="CK435" s="399">
        <f t="shared" si="205"/>
        <v>0</v>
      </c>
      <c r="CL435" s="399">
        <f t="shared" si="206"/>
        <v>0</v>
      </c>
      <c r="CM435" s="399">
        <f t="shared" si="207"/>
        <v>0</v>
      </c>
      <c r="CN435" s="399">
        <f t="shared" si="208"/>
        <v>0</v>
      </c>
      <c r="CO435" s="399">
        <f t="shared" si="209"/>
        <v>0</v>
      </c>
      <c r="CP435" s="399">
        <f t="shared" si="210"/>
        <v>0</v>
      </c>
      <c r="CQ435" s="423">
        <f t="shared" si="211"/>
        <v>0</v>
      </c>
      <c r="CS435" s="394" t="e">
        <f t="shared" si="212"/>
        <v>#DIV/0!</v>
      </c>
    </row>
    <row r="436" spans="3:97">
      <c r="C436" s="107"/>
      <c r="D436" s="395"/>
      <c r="E436" s="84"/>
      <c r="F436" s="84"/>
      <c r="G436" s="389"/>
      <c r="H436" s="390"/>
      <c r="I436" s="390"/>
      <c r="J436" s="390"/>
      <c r="K436" s="390"/>
      <c r="L436" s="390"/>
      <c r="M436" s="390"/>
      <c r="N436" s="390"/>
      <c r="O436" s="390"/>
      <c r="P436" s="390"/>
      <c r="Q436" s="390"/>
      <c r="R436" s="390"/>
      <c r="S436" s="390"/>
      <c r="T436" s="390"/>
      <c r="U436" s="390"/>
      <c r="V436" s="390"/>
      <c r="W436" s="390"/>
      <c r="X436" s="390"/>
      <c r="Y436" s="390"/>
      <c r="Z436" s="390"/>
      <c r="AA436" s="390"/>
      <c r="AB436" s="390"/>
      <c r="AC436" s="390"/>
      <c r="AD436" s="390"/>
      <c r="AE436" s="390"/>
      <c r="AF436" s="390"/>
      <c r="AG436" s="390"/>
      <c r="AH436" s="390"/>
      <c r="AI436" s="391"/>
      <c r="AK436" s="437"/>
      <c r="AL436" s="437"/>
      <c r="AM436" s="437"/>
      <c r="AN436" s="437"/>
      <c r="AO436" s="437"/>
      <c r="AP436" s="437"/>
      <c r="AQ436" s="437"/>
      <c r="AR436" s="437"/>
      <c r="AS436" s="437"/>
      <c r="AT436" s="437"/>
      <c r="AU436" s="437"/>
      <c r="AV436" s="437"/>
      <c r="AW436" s="437"/>
      <c r="AX436" s="437"/>
      <c r="AY436" s="437"/>
      <c r="AZ436" s="437"/>
      <c r="BA436" s="437"/>
      <c r="BB436" s="437"/>
      <c r="BC436" s="437"/>
      <c r="BD436" s="437"/>
      <c r="BE436" s="437"/>
      <c r="BF436" s="437"/>
      <c r="BG436" s="437"/>
      <c r="BH436" s="437"/>
      <c r="BI436" s="437"/>
      <c r="BJ436" s="437"/>
      <c r="BK436" s="437"/>
      <c r="BL436" s="437"/>
      <c r="BM436" s="393"/>
      <c r="BO436" s="399">
        <f t="shared" si="183"/>
        <v>0</v>
      </c>
      <c r="BP436" s="399">
        <f t="shared" si="184"/>
        <v>0</v>
      </c>
      <c r="BQ436" s="399">
        <f t="shared" si="185"/>
        <v>0</v>
      </c>
      <c r="BR436" s="399">
        <f t="shared" si="186"/>
        <v>0</v>
      </c>
      <c r="BS436" s="399">
        <f t="shared" si="187"/>
        <v>0</v>
      </c>
      <c r="BT436" s="399">
        <f t="shared" si="188"/>
        <v>0</v>
      </c>
      <c r="BU436" s="399">
        <f t="shared" si="189"/>
        <v>0</v>
      </c>
      <c r="BV436" s="399">
        <f t="shared" si="190"/>
        <v>0</v>
      </c>
      <c r="BW436" s="399">
        <f t="shared" si="191"/>
        <v>0</v>
      </c>
      <c r="BX436" s="399">
        <f t="shared" si="192"/>
        <v>0</v>
      </c>
      <c r="BY436" s="399">
        <f t="shared" si="193"/>
        <v>0</v>
      </c>
      <c r="BZ436" s="399">
        <f t="shared" si="194"/>
        <v>0</v>
      </c>
      <c r="CA436" s="399">
        <f t="shared" si="195"/>
        <v>0</v>
      </c>
      <c r="CB436" s="399">
        <f t="shared" si="196"/>
        <v>0</v>
      </c>
      <c r="CC436" s="399">
        <f t="shared" si="197"/>
        <v>0</v>
      </c>
      <c r="CD436" s="399">
        <f t="shared" si="198"/>
        <v>0</v>
      </c>
      <c r="CE436" s="399">
        <f t="shared" si="199"/>
        <v>0</v>
      </c>
      <c r="CF436" s="399">
        <f t="shared" si="200"/>
        <v>0</v>
      </c>
      <c r="CG436" s="399">
        <f t="shared" si="201"/>
        <v>0</v>
      </c>
      <c r="CH436" s="399">
        <f t="shared" si="202"/>
        <v>0</v>
      </c>
      <c r="CI436" s="399">
        <f t="shared" si="203"/>
        <v>0</v>
      </c>
      <c r="CJ436" s="399">
        <f t="shared" si="204"/>
        <v>0</v>
      </c>
      <c r="CK436" s="399">
        <f t="shared" si="205"/>
        <v>0</v>
      </c>
      <c r="CL436" s="399">
        <f t="shared" si="206"/>
        <v>0</v>
      </c>
      <c r="CM436" s="399">
        <f t="shared" si="207"/>
        <v>0</v>
      </c>
      <c r="CN436" s="399">
        <f t="shared" si="208"/>
        <v>0</v>
      </c>
      <c r="CO436" s="399">
        <f t="shared" si="209"/>
        <v>0</v>
      </c>
      <c r="CP436" s="399">
        <f t="shared" si="210"/>
        <v>0</v>
      </c>
      <c r="CQ436" s="423">
        <f t="shared" si="211"/>
        <v>0</v>
      </c>
      <c r="CS436" s="394" t="e">
        <f t="shared" si="212"/>
        <v>#DIV/0!</v>
      </c>
    </row>
    <row r="437" spans="3:97">
      <c r="C437" s="107"/>
      <c r="D437" s="395"/>
      <c r="E437" s="84"/>
      <c r="F437" s="84"/>
      <c r="G437" s="389"/>
      <c r="H437" s="390"/>
      <c r="I437" s="390"/>
      <c r="J437" s="390"/>
      <c r="K437" s="390"/>
      <c r="L437" s="390"/>
      <c r="M437" s="390"/>
      <c r="N437" s="390"/>
      <c r="O437" s="390"/>
      <c r="P437" s="390"/>
      <c r="Q437" s="390"/>
      <c r="R437" s="390"/>
      <c r="S437" s="390"/>
      <c r="T437" s="390"/>
      <c r="U437" s="390"/>
      <c r="V437" s="390"/>
      <c r="W437" s="390"/>
      <c r="X437" s="390"/>
      <c r="Y437" s="390"/>
      <c r="Z437" s="390"/>
      <c r="AA437" s="390"/>
      <c r="AB437" s="390"/>
      <c r="AC437" s="390"/>
      <c r="AD437" s="390"/>
      <c r="AE437" s="390"/>
      <c r="AF437" s="390"/>
      <c r="AG437" s="390"/>
      <c r="AH437" s="390"/>
      <c r="AI437" s="391"/>
      <c r="AK437" s="437"/>
      <c r="AL437" s="437"/>
      <c r="AM437" s="437"/>
      <c r="AN437" s="437"/>
      <c r="AO437" s="437"/>
      <c r="AP437" s="437"/>
      <c r="AQ437" s="437"/>
      <c r="AR437" s="437"/>
      <c r="AS437" s="437"/>
      <c r="AT437" s="437"/>
      <c r="AU437" s="437"/>
      <c r="AV437" s="437"/>
      <c r="AW437" s="437"/>
      <c r="AX437" s="437"/>
      <c r="AY437" s="437"/>
      <c r="AZ437" s="437"/>
      <c r="BA437" s="437"/>
      <c r="BB437" s="437"/>
      <c r="BC437" s="437"/>
      <c r="BD437" s="437"/>
      <c r="BE437" s="437"/>
      <c r="BF437" s="437"/>
      <c r="BG437" s="437"/>
      <c r="BH437" s="437"/>
      <c r="BI437" s="437"/>
      <c r="BJ437" s="437"/>
      <c r="BK437" s="437"/>
      <c r="BL437" s="437"/>
      <c r="BM437" s="393"/>
      <c r="BO437" s="399">
        <f t="shared" si="183"/>
        <v>0</v>
      </c>
      <c r="BP437" s="399">
        <f t="shared" si="184"/>
        <v>0</v>
      </c>
      <c r="BQ437" s="399">
        <f t="shared" si="185"/>
        <v>0</v>
      </c>
      <c r="BR437" s="399">
        <f t="shared" si="186"/>
        <v>0</v>
      </c>
      <c r="BS437" s="399">
        <f t="shared" si="187"/>
        <v>0</v>
      </c>
      <c r="BT437" s="399">
        <f t="shared" si="188"/>
        <v>0</v>
      </c>
      <c r="BU437" s="399">
        <f t="shared" si="189"/>
        <v>0</v>
      </c>
      <c r="BV437" s="399">
        <f t="shared" si="190"/>
        <v>0</v>
      </c>
      <c r="BW437" s="399">
        <f t="shared" si="191"/>
        <v>0</v>
      </c>
      <c r="BX437" s="399">
        <f t="shared" si="192"/>
        <v>0</v>
      </c>
      <c r="BY437" s="399">
        <f t="shared" si="193"/>
        <v>0</v>
      </c>
      <c r="BZ437" s="399">
        <f t="shared" si="194"/>
        <v>0</v>
      </c>
      <c r="CA437" s="399">
        <f t="shared" si="195"/>
        <v>0</v>
      </c>
      <c r="CB437" s="399">
        <f t="shared" si="196"/>
        <v>0</v>
      </c>
      <c r="CC437" s="399">
        <f t="shared" si="197"/>
        <v>0</v>
      </c>
      <c r="CD437" s="399">
        <f t="shared" si="198"/>
        <v>0</v>
      </c>
      <c r="CE437" s="399">
        <f t="shared" si="199"/>
        <v>0</v>
      </c>
      <c r="CF437" s="399">
        <f t="shared" si="200"/>
        <v>0</v>
      </c>
      <c r="CG437" s="399">
        <f t="shared" si="201"/>
        <v>0</v>
      </c>
      <c r="CH437" s="399">
        <f t="shared" si="202"/>
        <v>0</v>
      </c>
      <c r="CI437" s="399">
        <f t="shared" si="203"/>
        <v>0</v>
      </c>
      <c r="CJ437" s="399">
        <f t="shared" si="204"/>
        <v>0</v>
      </c>
      <c r="CK437" s="399">
        <f t="shared" si="205"/>
        <v>0</v>
      </c>
      <c r="CL437" s="399">
        <f t="shared" si="206"/>
        <v>0</v>
      </c>
      <c r="CM437" s="399">
        <f t="shared" si="207"/>
        <v>0</v>
      </c>
      <c r="CN437" s="399">
        <f t="shared" si="208"/>
        <v>0</v>
      </c>
      <c r="CO437" s="399">
        <f t="shared" si="209"/>
        <v>0</v>
      </c>
      <c r="CP437" s="399">
        <f t="shared" si="210"/>
        <v>0</v>
      </c>
      <c r="CQ437" s="423">
        <f t="shared" si="211"/>
        <v>0</v>
      </c>
      <c r="CS437" s="394" t="e">
        <f t="shared" si="212"/>
        <v>#DIV/0!</v>
      </c>
    </row>
    <row r="438" spans="3:97">
      <c r="C438" s="107"/>
      <c r="D438" s="395"/>
      <c r="E438" s="84"/>
      <c r="F438" s="84"/>
      <c r="G438" s="389"/>
      <c r="H438" s="390"/>
      <c r="I438" s="390"/>
      <c r="J438" s="390"/>
      <c r="K438" s="390"/>
      <c r="L438" s="390"/>
      <c r="M438" s="390"/>
      <c r="N438" s="390"/>
      <c r="O438" s="390"/>
      <c r="P438" s="390"/>
      <c r="Q438" s="390"/>
      <c r="R438" s="390"/>
      <c r="S438" s="390"/>
      <c r="T438" s="390"/>
      <c r="U438" s="390"/>
      <c r="V438" s="390"/>
      <c r="W438" s="390"/>
      <c r="X438" s="390"/>
      <c r="Y438" s="390"/>
      <c r="Z438" s="390"/>
      <c r="AA438" s="390"/>
      <c r="AB438" s="390"/>
      <c r="AC438" s="390"/>
      <c r="AD438" s="390"/>
      <c r="AE438" s="390"/>
      <c r="AF438" s="390"/>
      <c r="AG438" s="390"/>
      <c r="AH438" s="390"/>
      <c r="AI438" s="391"/>
      <c r="AK438" s="437"/>
      <c r="AL438" s="437"/>
      <c r="AM438" s="437"/>
      <c r="AN438" s="437"/>
      <c r="AO438" s="437"/>
      <c r="AP438" s="437"/>
      <c r="AQ438" s="437"/>
      <c r="AR438" s="437"/>
      <c r="AS438" s="437"/>
      <c r="AT438" s="437"/>
      <c r="AU438" s="437"/>
      <c r="AV438" s="437"/>
      <c r="AW438" s="437"/>
      <c r="AX438" s="437"/>
      <c r="AY438" s="437"/>
      <c r="AZ438" s="437"/>
      <c r="BA438" s="437"/>
      <c r="BB438" s="437"/>
      <c r="BC438" s="437"/>
      <c r="BD438" s="437"/>
      <c r="BE438" s="437"/>
      <c r="BF438" s="437"/>
      <c r="BG438" s="437"/>
      <c r="BH438" s="437"/>
      <c r="BI438" s="437"/>
      <c r="BJ438" s="437"/>
      <c r="BK438" s="437"/>
      <c r="BL438" s="437"/>
      <c r="BM438" s="393"/>
      <c r="BO438" s="399">
        <f t="shared" si="183"/>
        <v>0</v>
      </c>
      <c r="BP438" s="399">
        <f t="shared" si="184"/>
        <v>0</v>
      </c>
      <c r="BQ438" s="399">
        <f t="shared" si="185"/>
        <v>0</v>
      </c>
      <c r="BR438" s="399">
        <f t="shared" si="186"/>
        <v>0</v>
      </c>
      <c r="BS438" s="399">
        <f t="shared" si="187"/>
        <v>0</v>
      </c>
      <c r="BT438" s="399">
        <f t="shared" si="188"/>
        <v>0</v>
      </c>
      <c r="BU438" s="399">
        <f t="shared" si="189"/>
        <v>0</v>
      </c>
      <c r="BV438" s="399">
        <f t="shared" si="190"/>
        <v>0</v>
      </c>
      <c r="BW438" s="399">
        <f t="shared" si="191"/>
        <v>0</v>
      </c>
      <c r="BX438" s="399">
        <f t="shared" si="192"/>
        <v>0</v>
      </c>
      <c r="BY438" s="399">
        <f t="shared" si="193"/>
        <v>0</v>
      </c>
      <c r="BZ438" s="399">
        <f t="shared" si="194"/>
        <v>0</v>
      </c>
      <c r="CA438" s="399">
        <f t="shared" si="195"/>
        <v>0</v>
      </c>
      <c r="CB438" s="399">
        <f t="shared" si="196"/>
        <v>0</v>
      </c>
      <c r="CC438" s="399">
        <f t="shared" si="197"/>
        <v>0</v>
      </c>
      <c r="CD438" s="399">
        <f t="shared" si="198"/>
        <v>0</v>
      </c>
      <c r="CE438" s="399">
        <f t="shared" si="199"/>
        <v>0</v>
      </c>
      <c r="CF438" s="399">
        <f t="shared" si="200"/>
        <v>0</v>
      </c>
      <c r="CG438" s="399">
        <f t="shared" si="201"/>
        <v>0</v>
      </c>
      <c r="CH438" s="399">
        <f t="shared" si="202"/>
        <v>0</v>
      </c>
      <c r="CI438" s="399">
        <f t="shared" si="203"/>
        <v>0</v>
      </c>
      <c r="CJ438" s="399">
        <f t="shared" si="204"/>
        <v>0</v>
      </c>
      <c r="CK438" s="399">
        <f t="shared" si="205"/>
        <v>0</v>
      </c>
      <c r="CL438" s="399">
        <f t="shared" si="206"/>
        <v>0</v>
      </c>
      <c r="CM438" s="399">
        <f t="shared" si="207"/>
        <v>0</v>
      </c>
      <c r="CN438" s="399">
        <f t="shared" si="208"/>
        <v>0</v>
      </c>
      <c r="CO438" s="399">
        <f t="shared" si="209"/>
        <v>0</v>
      </c>
      <c r="CP438" s="399">
        <f t="shared" si="210"/>
        <v>0</v>
      </c>
      <c r="CQ438" s="423">
        <f t="shared" si="211"/>
        <v>0</v>
      </c>
      <c r="CS438" s="394" t="e">
        <f t="shared" si="212"/>
        <v>#DIV/0!</v>
      </c>
    </row>
    <row r="439" spans="3:97">
      <c r="C439" s="107"/>
      <c r="D439" s="395"/>
      <c r="E439" s="84"/>
      <c r="F439" s="84"/>
      <c r="G439" s="389"/>
      <c r="H439" s="390"/>
      <c r="I439" s="390"/>
      <c r="J439" s="390"/>
      <c r="K439" s="390"/>
      <c r="L439" s="390"/>
      <c r="M439" s="390"/>
      <c r="N439" s="390"/>
      <c r="O439" s="390"/>
      <c r="P439" s="390"/>
      <c r="Q439" s="390"/>
      <c r="R439" s="390"/>
      <c r="S439" s="390"/>
      <c r="T439" s="390"/>
      <c r="U439" s="390"/>
      <c r="V439" s="390"/>
      <c r="W439" s="390"/>
      <c r="X439" s="390"/>
      <c r="Y439" s="390"/>
      <c r="Z439" s="390"/>
      <c r="AA439" s="390"/>
      <c r="AB439" s="390"/>
      <c r="AC439" s="390"/>
      <c r="AD439" s="390"/>
      <c r="AE439" s="390"/>
      <c r="AF439" s="390"/>
      <c r="AG439" s="390"/>
      <c r="AH439" s="390"/>
      <c r="AI439" s="391"/>
      <c r="AK439" s="437"/>
      <c r="AL439" s="437"/>
      <c r="AM439" s="437"/>
      <c r="AN439" s="437"/>
      <c r="AO439" s="437"/>
      <c r="AP439" s="437"/>
      <c r="AQ439" s="437"/>
      <c r="AR439" s="437"/>
      <c r="AS439" s="437"/>
      <c r="AT439" s="437"/>
      <c r="AU439" s="437"/>
      <c r="AV439" s="437"/>
      <c r="AW439" s="437"/>
      <c r="AX439" s="437"/>
      <c r="AY439" s="437"/>
      <c r="AZ439" s="437"/>
      <c r="BA439" s="437"/>
      <c r="BB439" s="437"/>
      <c r="BC439" s="437"/>
      <c r="BD439" s="437"/>
      <c r="BE439" s="437"/>
      <c r="BF439" s="437"/>
      <c r="BG439" s="437"/>
      <c r="BH439" s="437"/>
      <c r="BI439" s="437"/>
      <c r="BJ439" s="437"/>
      <c r="BK439" s="437"/>
      <c r="BL439" s="437"/>
      <c r="BM439" s="393"/>
      <c r="BO439" s="399">
        <f t="shared" si="183"/>
        <v>0</v>
      </c>
      <c r="BP439" s="399">
        <f t="shared" si="184"/>
        <v>0</v>
      </c>
      <c r="BQ439" s="399">
        <f t="shared" si="185"/>
        <v>0</v>
      </c>
      <c r="BR439" s="399">
        <f t="shared" si="186"/>
        <v>0</v>
      </c>
      <c r="BS439" s="399">
        <f t="shared" si="187"/>
        <v>0</v>
      </c>
      <c r="BT439" s="399">
        <f t="shared" si="188"/>
        <v>0</v>
      </c>
      <c r="BU439" s="399">
        <f t="shared" si="189"/>
        <v>0</v>
      </c>
      <c r="BV439" s="399">
        <f t="shared" si="190"/>
        <v>0</v>
      </c>
      <c r="BW439" s="399">
        <f t="shared" si="191"/>
        <v>0</v>
      </c>
      <c r="BX439" s="399">
        <f t="shared" si="192"/>
        <v>0</v>
      </c>
      <c r="BY439" s="399">
        <f t="shared" si="193"/>
        <v>0</v>
      </c>
      <c r="BZ439" s="399">
        <f t="shared" si="194"/>
        <v>0</v>
      </c>
      <c r="CA439" s="399">
        <f t="shared" si="195"/>
        <v>0</v>
      </c>
      <c r="CB439" s="399">
        <f t="shared" si="196"/>
        <v>0</v>
      </c>
      <c r="CC439" s="399">
        <f t="shared" si="197"/>
        <v>0</v>
      </c>
      <c r="CD439" s="399">
        <f t="shared" si="198"/>
        <v>0</v>
      </c>
      <c r="CE439" s="399">
        <f t="shared" si="199"/>
        <v>0</v>
      </c>
      <c r="CF439" s="399">
        <f t="shared" si="200"/>
        <v>0</v>
      </c>
      <c r="CG439" s="399">
        <f t="shared" si="201"/>
        <v>0</v>
      </c>
      <c r="CH439" s="399">
        <f t="shared" si="202"/>
        <v>0</v>
      </c>
      <c r="CI439" s="399">
        <f t="shared" si="203"/>
        <v>0</v>
      </c>
      <c r="CJ439" s="399">
        <f t="shared" si="204"/>
        <v>0</v>
      </c>
      <c r="CK439" s="399">
        <f t="shared" si="205"/>
        <v>0</v>
      </c>
      <c r="CL439" s="399">
        <f t="shared" si="206"/>
        <v>0</v>
      </c>
      <c r="CM439" s="399">
        <f t="shared" si="207"/>
        <v>0</v>
      </c>
      <c r="CN439" s="399">
        <f t="shared" si="208"/>
        <v>0</v>
      </c>
      <c r="CO439" s="399">
        <f t="shared" si="209"/>
        <v>0</v>
      </c>
      <c r="CP439" s="399">
        <f t="shared" si="210"/>
        <v>0</v>
      </c>
      <c r="CQ439" s="423">
        <f t="shared" si="211"/>
        <v>0</v>
      </c>
      <c r="CS439" s="394" t="e">
        <f t="shared" si="212"/>
        <v>#DIV/0!</v>
      </c>
    </row>
    <row r="440" spans="3:97">
      <c r="C440" s="107"/>
      <c r="D440" s="395"/>
      <c r="E440" s="84"/>
      <c r="F440" s="84"/>
      <c r="G440" s="389"/>
      <c r="H440" s="390"/>
      <c r="I440" s="390"/>
      <c r="J440" s="390"/>
      <c r="K440" s="390"/>
      <c r="L440" s="390"/>
      <c r="M440" s="390"/>
      <c r="N440" s="390"/>
      <c r="O440" s="390"/>
      <c r="P440" s="390"/>
      <c r="Q440" s="390"/>
      <c r="R440" s="390"/>
      <c r="S440" s="390"/>
      <c r="T440" s="390"/>
      <c r="U440" s="390"/>
      <c r="V440" s="390"/>
      <c r="W440" s="390"/>
      <c r="X440" s="390"/>
      <c r="Y440" s="390"/>
      <c r="Z440" s="390"/>
      <c r="AA440" s="390"/>
      <c r="AB440" s="390"/>
      <c r="AC440" s="390"/>
      <c r="AD440" s="390"/>
      <c r="AE440" s="390"/>
      <c r="AF440" s="390"/>
      <c r="AG440" s="390"/>
      <c r="AH440" s="390"/>
      <c r="AI440" s="391"/>
      <c r="AK440" s="437"/>
      <c r="AL440" s="437"/>
      <c r="AM440" s="437"/>
      <c r="AN440" s="437"/>
      <c r="AO440" s="437"/>
      <c r="AP440" s="437"/>
      <c r="AQ440" s="437"/>
      <c r="AR440" s="437"/>
      <c r="AS440" s="437"/>
      <c r="AT440" s="437"/>
      <c r="AU440" s="437"/>
      <c r="AV440" s="437"/>
      <c r="AW440" s="437"/>
      <c r="AX440" s="437"/>
      <c r="AY440" s="437"/>
      <c r="AZ440" s="437"/>
      <c r="BA440" s="437"/>
      <c r="BB440" s="437"/>
      <c r="BC440" s="437"/>
      <c r="BD440" s="437"/>
      <c r="BE440" s="437"/>
      <c r="BF440" s="437"/>
      <c r="BG440" s="437"/>
      <c r="BH440" s="437"/>
      <c r="BI440" s="437"/>
      <c r="BJ440" s="437"/>
      <c r="BK440" s="437"/>
      <c r="BL440" s="437"/>
      <c r="BM440" s="393"/>
      <c r="BO440" s="399">
        <f t="shared" si="183"/>
        <v>0</v>
      </c>
      <c r="BP440" s="399">
        <f t="shared" si="184"/>
        <v>0</v>
      </c>
      <c r="BQ440" s="399">
        <f t="shared" si="185"/>
        <v>0</v>
      </c>
      <c r="BR440" s="399">
        <f t="shared" si="186"/>
        <v>0</v>
      </c>
      <c r="BS440" s="399">
        <f t="shared" si="187"/>
        <v>0</v>
      </c>
      <c r="BT440" s="399">
        <f t="shared" si="188"/>
        <v>0</v>
      </c>
      <c r="BU440" s="399">
        <f t="shared" si="189"/>
        <v>0</v>
      </c>
      <c r="BV440" s="399">
        <f t="shared" si="190"/>
        <v>0</v>
      </c>
      <c r="BW440" s="399">
        <f t="shared" si="191"/>
        <v>0</v>
      </c>
      <c r="BX440" s="399">
        <f t="shared" si="192"/>
        <v>0</v>
      </c>
      <c r="BY440" s="399">
        <f t="shared" si="193"/>
        <v>0</v>
      </c>
      <c r="BZ440" s="399">
        <f t="shared" si="194"/>
        <v>0</v>
      </c>
      <c r="CA440" s="399">
        <f t="shared" si="195"/>
        <v>0</v>
      </c>
      <c r="CB440" s="399">
        <f t="shared" si="196"/>
        <v>0</v>
      </c>
      <c r="CC440" s="399">
        <f t="shared" si="197"/>
        <v>0</v>
      </c>
      <c r="CD440" s="399">
        <f t="shared" si="198"/>
        <v>0</v>
      </c>
      <c r="CE440" s="399">
        <f t="shared" si="199"/>
        <v>0</v>
      </c>
      <c r="CF440" s="399">
        <f t="shared" si="200"/>
        <v>0</v>
      </c>
      <c r="CG440" s="399">
        <f t="shared" si="201"/>
        <v>0</v>
      </c>
      <c r="CH440" s="399">
        <f t="shared" si="202"/>
        <v>0</v>
      </c>
      <c r="CI440" s="399">
        <f t="shared" si="203"/>
        <v>0</v>
      </c>
      <c r="CJ440" s="399">
        <f t="shared" si="204"/>
        <v>0</v>
      </c>
      <c r="CK440" s="399">
        <f t="shared" si="205"/>
        <v>0</v>
      </c>
      <c r="CL440" s="399">
        <f t="shared" si="206"/>
        <v>0</v>
      </c>
      <c r="CM440" s="399">
        <f t="shared" si="207"/>
        <v>0</v>
      </c>
      <c r="CN440" s="399">
        <f t="shared" si="208"/>
        <v>0</v>
      </c>
      <c r="CO440" s="399">
        <f t="shared" si="209"/>
        <v>0</v>
      </c>
      <c r="CP440" s="399">
        <f t="shared" si="210"/>
        <v>0</v>
      </c>
      <c r="CQ440" s="423">
        <f t="shared" si="211"/>
        <v>0</v>
      </c>
      <c r="CS440" s="394" t="e">
        <f t="shared" si="212"/>
        <v>#DIV/0!</v>
      </c>
    </row>
    <row r="441" spans="3:97">
      <c r="C441" s="107"/>
      <c r="D441" s="395"/>
      <c r="E441" s="84"/>
      <c r="F441" s="84"/>
      <c r="G441" s="389"/>
      <c r="H441" s="390"/>
      <c r="I441" s="390"/>
      <c r="J441" s="390"/>
      <c r="K441" s="390"/>
      <c r="L441" s="390"/>
      <c r="M441" s="390"/>
      <c r="N441" s="390"/>
      <c r="O441" s="390"/>
      <c r="P441" s="390"/>
      <c r="Q441" s="390"/>
      <c r="R441" s="390"/>
      <c r="S441" s="390"/>
      <c r="T441" s="390"/>
      <c r="U441" s="390"/>
      <c r="V441" s="390"/>
      <c r="W441" s="390"/>
      <c r="X441" s="390"/>
      <c r="Y441" s="390"/>
      <c r="Z441" s="390"/>
      <c r="AA441" s="390"/>
      <c r="AB441" s="390"/>
      <c r="AC441" s="390"/>
      <c r="AD441" s="390"/>
      <c r="AE441" s="390"/>
      <c r="AF441" s="390"/>
      <c r="AG441" s="390"/>
      <c r="AH441" s="390"/>
      <c r="AI441" s="391"/>
      <c r="AK441" s="437"/>
      <c r="AL441" s="437"/>
      <c r="AM441" s="437"/>
      <c r="AN441" s="437"/>
      <c r="AO441" s="437"/>
      <c r="AP441" s="437"/>
      <c r="AQ441" s="437"/>
      <c r="AR441" s="437"/>
      <c r="AS441" s="437"/>
      <c r="AT441" s="437"/>
      <c r="AU441" s="437"/>
      <c r="AV441" s="437"/>
      <c r="AW441" s="437"/>
      <c r="AX441" s="437"/>
      <c r="AY441" s="437"/>
      <c r="AZ441" s="437"/>
      <c r="BA441" s="437"/>
      <c r="BB441" s="437"/>
      <c r="BC441" s="437"/>
      <c r="BD441" s="437"/>
      <c r="BE441" s="437"/>
      <c r="BF441" s="437"/>
      <c r="BG441" s="437"/>
      <c r="BH441" s="437"/>
      <c r="BI441" s="437"/>
      <c r="BJ441" s="437"/>
      <c r="BK441" s="437"/>
      <c r="BL441" s="437"/>
      <c r="BM441" s="393"/>
      <c r="BO441" s="399">
        <f t="shared" si="183"/>
        <v>0</v>
      </c>
      <c r="BP441" s="399">
        <f t="shared" si="184"/>
        <v>0</v>
      </c>
      <c r="BQ441" s="399">
        <f t="shared" si="185"/>
        <v>0</v>
      </c>
      <c r="BR441" s="399">
        <f t="shared" si="186"/>
        <v>0</v>
      </c>
      <c r="BS441" s="399">
        <f t="shared" si="187"/>
        <v>0</v>
      </c>
      <c r="BT441" s="399">
        <f t="shared" si="188"/>
        <v>0</v>
      </c>
      <c r="BU441" s="399">
        <f t="shared" si="189"/>
        <v>0</v>
      </c>
      <c r="BV441" s="399">
        <f t="shared" si="190"/>
        <v>0</v>
      </c>
      <c r="BW441" s="399">
        <f t="shared" si="191"/>
        <v>0</v>
      </c>
      <c r="BX441" s="399">
        <f t="shared" si="192"/>
        <v>0</v>
      </c>
      <c r="BY441" s="399">
        <f t="shared" si="193"/>
        <v>0</v>
      </c>
      <c r="BZ441" s="399">
        <f t="shared" si="194"/>
        <v>0</v>
      </c>
      <c r="CA441" s="399">
        <f t="shared" si="195"/>
        <v>0</v>
      </c>
      <c r="CB441" s="399">
        <f t="shared" si="196"/>
        <v>0</v>
      </c>
      <c r="CC441" s="399">
        <f t="shared" si="197"/>
        <v>0</v>
      </c>
      <c r="CD441" s="399">
        <f t="shared" si="198"/>
        <v>0</v>
      </c>
      <c r="CE441" s="399">
        <f t="shared" si="199"/>
        <v>0</v>
      </c>
      <c r="CF441" s="399">
        <f t="shared" si="200"/>
        <v>0</v>
      </c>
      <c r="CG441" s="399">
        <f t="shared" si="201"/>
        <v>0</v>
      </c>
      <c r="CH441" s="399">
        <f t="shared" si="202"/>
        <v>0</v>
      </c>
      <c r="CI441" s="399">
        <f t="shared" si="203"/>
        <v>0</v>
      </c>
      <c r="CJ441" s="399">
        <f t="shared" si="204"/>
        <v>0</v>
      </c>
      <c r="CK441" s="399">
        <f t="shared" si="205"/>
        <v>0</v>
      </c>
      <c r="CL441" s="399">
        <f t="shared" si="206"/>
        <v>0</v>
      </c>
      <c r="CM441" s="399">
        <f t="shared" si="207"/>
        <v>0</v>
      </c>
      <c r="CN441" s="399">
        <f t="shared" si="208"/>
        <v>0</v>
      </c>
      <c r="CO441" s="399">
        <f t="shared" si="209"/>
        <v>0</v>
      </c>
      <c r="CP441" s="399">
        <f t="shared" si="210"/>
        <v>0</v>
      </c>
      <c r="CQ441" s="423">
        <f t="shared" si="211"/>
        <v>0</v>
      </c>
      <c r="CS441" s="394" t="e">
        <f t="shared" si="212"/>
        <v>#DIV/0!</v>
      </c>
    </row>
    <row r="442" spans="3:97">
      <c r="C442" s="107"/>
      <c r="D442" s="395"/>
      <c r="E442" s="84"/>
      <c r="F442" s="84"/>
      <c r="G442" s="389"/>
      <c r="H442" s="390"/>
      <c r="I442" s="390"/>
      <c r="J442" s="390"/>
      <c r="K442" s="390"/>
      <c r="L442" s="390"/>
      <c r="M442" s="390"/>
      <c r="N442" s="390"/>
      <c r="O442" s="390"/>
      <c r="P442" s="390"/>
      <c r="Q442" s="390"/>
      <c r="R442" s="390"/>
      <c r="S442" s="390"/>
      <c r="T442" s="390"/>
      <c r="U442" s="390"/>
      <c r="V442" s="390"/>
      <c r="W442" s="390"/>
      <c r="X442" s="390"/>
      <c r="Y442" s="390"/>
      <c r="Z442" s="390"/>
      <c r="AA442" s="390"/>
      <c r="AB442" s="390"/>
      <c r="AC442" s="390"/>
      <c r="AD442" s="390"/>
      <c r="AE442" s="390"/>
      <c r="AF442" s="390"/>
      <c r="AG442" s="390"/>
      <c r="AH442" s="390"/>
      <c r="AI442" s="391"/>
      <c r="AK442" s="437"/>
      <c r="AL442" s="437"/>
      <c r="AM442" s="437"/>
      <c r="AN442" s="437"/>
      <c r="AO442" s="437"/>
      <c r="AP442" s="437"/>
      <c r="AQ442" s="437"/>
      <c r="AR442" s="437"/>
      <c r="AS442" s="437"/>
      <c r="AT442" s="437"/>
      <c r="AU442" s="437"/>
      <c r="AV442" s="437"/>
      <c r="AW442" s="437"/>
      <c r="AX442" s="437"/>
      <c r="AY442" s="437"/>
      <c r="AZ442" s="437"/>
      <c r="BA442" s="437"/>
      <c r="BB442" s="437"/>
      <c r="BC442" s="437"/>
      <c r="BD442" s="437"/>
      <c r="BE442" s="437"/>
      <c r="BF442" s="437"/>
      <c r="BG442" s="437"/>
      <c r="BH442" s="437"/>
      <c r="BI442" s="437"/>
      <c r="BJ442" s="437"/>
      <c r="BK442" s="437"/>
      <c r="BL442" s="437"/>
      <c r="BM442" s="393"/>
      <c r="BO442" s="399">
        <f t="shared" si="183"/>
        <v>0</v>
      </c>
      <c r="BP442" s="399">
        <f t="shared" si="184"/>
        <v>0</v>
      </c>
      <c r="BQ442" s="399">
        <f t="shared" si="185"/>
        <v>0</v>
      </c>
      <c r="BR442" s="399">
        <f t="shared" si="186"/>
        <v>0</v>
      </c>
      <c r="BS442" s="399">
        <f t="shared" si="187"/>
        <v>0</v>
      </c>
      <c r="BT442" s="399">
        <f t="shared" si="188"/>
        <v>0</v>
      </c>
      <c r="BU442" s="399">
        <f t="shared" si="189"/>
        <v>0</v>
      </c>
      <c r="BV442" s="399">
        <f t="shared" si="190"/>
        <v>0</v>
      </c>
      <c r="BW442" s="399">
        <f t="shared" si="191"/>
        <v>0</v>
      </c>
      <c r="BX442" s="399">
        <f t="shared" si="192"/>
        <v>0</v>
      </c>
      <c r="BY442" s="399">
        <f t="shared" si="193"/>
        <v>0</v>
      </c>
      <c r="BZ442" s="399">
        <f t="shared" si="194"/>
        <v>0</v>
      </c>
      <c r="CA442" s="399">
        <f t="shared" si="195"/>
        <v>0</v>
      </c>
      <c r="CB442" s="399">
        <f t="shared" si="196"/>
        <v>0</v>
      </c>
      <c r="CC442" s="399">
        <f t="shared" si="197"/>
        <v>0</v>
      </c>
      <c r="CD442" s="399">
        <f t="shared" si="198"/>
        <v>0</v>
      </c>
      <c r="CE442" s="399">
        <f t="shared" si="199"/>
        <v>0</v>
      </c>
      <c r="CF442" s="399">
        <f t="shared" si="200"/>
        <v>0</v>
      </c>
      <c r="CG442" s="399">
        <f t="shared" si="201"/>
        <v>0</v>
      </c>
      <c r="CH442" s="399">
        <f t="shared" si="202"/>
        <v>0</v>
      </c>
      <c r="CI442" s="399">
        <f t="shared" si="203"/>
        <v>0</v>
      </c>
      <c r="CJ442" s="399">
        <f t="shared" si="204"/>
        <v>0</v>
      </c>
      <c r="CK442" s="399">
        <f t="shared" si="205"/>
        <v>0</v>
      </c>
      <c r="CL442" s="399">
        <f t="shared" si="206"/>
        <v>0</v>
      </c>
      <c r="CM442" s="399">
        <f t="shared" si="207"/>
        <v>0</v>
      </c>
      <c r="CN442" s="399">
        <f t="shared" si="208"/>
        <v>0</v>
      </c>
      <c r="CO442" s="399">
        <f t="shared" si="209"/>
        <v>0</v>
      </c>
      <c r="CP442" s="399">
        <f t="shared" si="210"/>
        <v>0</v>
      </c>
      <c r="CQ442" s="423">
        <f t="shared" si="211"/>
        <v>0</v>
      </c>
      <c r="CS442" s="394" t="e">
        <f t="shared" si="212"/>
        <v>#DIV/0!</v>
      </c>
    </row>
    <row r="443" spans="3:97">
      <c r="C443" s="107"/>
      <c r="D443" s="395"/>
      <c r="E443" s="84"/>
      <c r="F443" s="84"/>
      <c r="G443" s="389"/>
      <c r="H443" s="390"/>
      <c r="I443" s="390"/>
      <c r="J443" s="390"/>
      <c r="K443" s="390"/>
      <c r="L443" s="390"/>
      <c r="M443" s="390"/>
      <c r="N443" s="390"/>
      <c r="O443" s="390"/>
      <c r="P443" s="390"/>
      <c r="Q443" s="390"/>
      <c r="R443" s="390"/>
      <c r="S443" s="390"/>
      <c r="T443" s="390"/>
      <c r="U443" s="390"/>
      <c r="V443" s="390"/>
      <c r="W443" s="390"/>
      <c r="X443" s="390"/>
      <c r="Y443" s="390"/>
      <c r="Z443" s="390"/>
      <c r="AA443" s="390"/>
      <c r="AB443" s="390"/>
      <c r="AC443" s="390"/>
      <c r="AD443" s="390"/>
      <c r="AE443" s="390"/>
      <c r="AF443" s="390"/>
      <c r="AG443" s="390"/>
      <c r="AH443" s="390"/>
      <c r="AI443" s="391"/>
      <c r="AK443" s="437"/>
      <c r="AL443" s="437"/>
      <c r="AM443" s="437"/>
      <c r="AN443" s="437"/>
      <c r="AO443" s="437"/>
      <c r="AP443" s="437"/>
      <c r="AQ443" s="437"/>
      <c r="AR443" s="437"/>
      <c r="AS443" s="437"/>
      <c r="AT443" s="437"/>
      <c r="AU443" s="437"/>
      <c r="AV443" s="437"/>
      <c r="AW443" s="437"/>
      <c r="AX443" s="437"/>
      <c r="AY443" s="437"/>
      <c r="AZ443" s="437"/>
      <c r="BA443" s="437"/>
      <c r="BB443" s="437"/>
      <c r="BC443" s="437"/>
      <c r="BD443" s="437"/>
      <c r="BE443" s="437"/>
      <c r="BF443" s="437"/>
      <c r="BG443" s="437"/>
      <c r="BH443" s="437"/>
      <c r="BI443" s="437"/>
      <c r="BJ443" s="437"/>
      <c r="BK443" s="437"/>
      <c r="BL443" s="437"/>
      <c r="BM443" s="393"/>
      <c r="BO443" s="399">
        <f t="shared" si="183"/>
        <v>0</v>
      </c>
      <c r="BP443" s="399">
        <f t="shared" si="184"/>
        <v>0</v>
      </c>
      <c r="BQ443" s="399">
        <f t="shared" si="185"/>
        <v>0</v>
      </c>
      <c r="BR443" s="399">
        <f t="shared" si="186"/>
        <v>0</v>
      </c>
      <c r="BS443" s="399">
        <f t="shared" si="187"/>
        <v>0</v>
      </c>
      <c r="BT443" s="399">
        <f t="shared" si="188"/>
        <v>0</v>
      </c>
      <c r="BU443" s="399">
        <f t="shared" si="189"/>
        <v>0</v>
      </c>
      <c r="BV443" s="399">
        <f t="shared" si="190"/>
        <v>0</v>
      </c>
      <c r="BW443" s="399">
        <f t="shared" si="191"/>
        <v>0</v>
      </c>
      <c r="BX443" s="399">
        <f t="shared" si="192"/>
        <v>0</v>
      </c>
      <c r="BY443" s="399">
        <f t="shared" si="193"/>
        <v>0</v>
      </c>
      <c r="BZ443" s="399">
        <f t="shared" si="194"/>
        <v>0</v>
      </c>
      <c r="CA443" s="399">
        <f t="shared" si="195"/>
        <v>0</v>
      </c>
      <c r="CB443" s="399">
        <f t="shared" si="196"/>
        <v>0</v>
      </c>
      <c r="CC443" s="399">
        <f t="shared" si="197"/>
        <v>0</v>
      </c>
      <c r="CD443" s="399">
        <f t="shared" si="198"/>
        <v>0</v>
      </c>
      <c r="CE443" s="399">
        <f t="shared" si="199"/>
        <v>0</v>
      </c>
      <c r="CF443" s="399">
        <f t="shared" si="200"/>
        <v>0</v>
      </c>
      <c r="CG443" s="399">
        <f t="shared" si="201"/>
        <v>0</v>
      </c>
      <c r="CH443" s="399">
        <f t="shared" si="202"/>
        <v>0</v>
      </c>
      <c r="CI443" s="399">
        <f t="shared" si="203"/>
        <v>0</v>
      </c>
      <c r="CJ443" s="399">
        <f t="shared" si="204"/>
        <v>0</v>
      </c>
      <c r="CK443" s="399">
        <f t="shared" si="205"/>
        <v>0</v>
      </c>
      <c r="CL443" s="399">
        <f t="shared" si="206"/>
        <v>0</v>
      </c>
      <c r="CM443" s="399">
        <f t="shared" si="207"/>
        <v>0</v>
      </c>
      <c r="CN443" s="399">
        <f t="shared" si="208"/>
        <v>0</v>
      </c>
      <c r="CO443" s="399">
        <f t="shared" si="209"/>
        <v>0</v>
      </c>
      <c r="CP443" s="399">
        <f t="shared" si="210"/>
        <v>0</v>
      </c>
      <c r="CQ443" s="423">
        <f t="shared" si="211"/>
        <v>0</v>
      </c>
      <c r="CS443" s="394" t="e">
        <f t="shared" si="212"/>
        <v>#DIV/0!</v>
      </c>
    </row>
    <row r="444" spans="3:97">
      <c r="C444" s="107"/>
      <c r="D444" s="395"/>
      <c r="E444" s="84"/>
      <c r="F444" s="84"/>
      <c r="G444" s="389"/>
      <c r="H444" s="390"/>
      <c r="I444" s="390"/>
      <c r="J444" s="390"/>
      <c r="K444" s="390"/>
      <c r="L444" s="390"/>
      <c r="M444" s="390"/>
      <c r="N444" s="390"/>
      <c r="O444" s="390"/>
      <c r="P444" s="390"/>
      <c r="Q444" s="390"/>
      <c r="R444" s="390"/>
      <c r="S444" s="390"/>
      <c r="T444" s="390"/>
      <c r="U444" s="390"/>
      <c r="V444" s="390"/>
      <c r="W444" s="390"/>
      <c r="X444" s="390"/>
      <c r="Y444" s="390"/>
      <c r="Z444" s="390"/>
      <c r="AA444" s="390"/>
      <c r="AB444" s="390"/>
      <c r="AC444" s="390"/>
      <c r="AD444" s="390"/>
      <c r="AE444" s="390"/>
      <c r="AF444" s="390"/>
      <c r="AG444" s="390"/>
      <c r="AH444" s="390"/>
      <c r="AI444" s="391"/>
      <c r="AK444" s="437"/>
      <c r="AL444" s="437"/>
      <c r="AM444" s="437"/>
      <c r="AN444" s="437"/>
      <c r="AO444" s="437"/>
      <c r="AP444" s="437"/>
      <c r="AQ444" s="437"/>
      <c r="AR444" s="437"/>
      <c r="AS444" s="437"/>
      <c r="AT444" s="437"/>
      <c r="AU444" s="437"/>
      <c r="AV444" s="437"/>
      <c r="AW444" s="437"/>
      <c r="AX444" s="437"/>
      <c r="AY444" s="437"/>
      <c r="AZ444" s="437"/>
      <c r="BA444" s="437"/>
      <c r="BB444" s="437"/>
      <c r="BC444" s="437"/>
      <c r="BD444" s="437"/>
      <c r="BE444" s="437"/>
      <c r="BF444" s="437"/>
      <c r="BG444" s="437"/>
      <c r="BH444" s="437"/>
      <c r="BI444" s="437"/>
      <c r="BJ444" s="437"/>
      <c r="BK444" s="437"/>
      <c r="BL444" s="437"/>
      <c r="BM444" s="393"/>
      <c r="BO444" s="399">
        <f t="shared" si="183"/>
        <v>0</v>
      </c>
      <c r="BP444" s="399">
        <f t="shared" si="184"/>
        <v>0</v>
      </c>
      <c r="BQ444" s="399">
        <f t="shared" si="185"/>
        <v>0</v>
      </c>
      <c r="BR444" s="399">
        <f t="shared" si="186"/>
        <v>0</v>
      </c>
      <c r="BS444" s="399">
        <f t="shared" si="187"/>
        <v>0</v>
      </c>
      <c r="BT444" s="399">
        <f t="shared" si="188"/>
        <v>0</v>
      </c>
      <c r="BU444" s="399">
        <f t="shared" si="189"/>
        <v>0</v>
      </c>
      <c r="BV444" s="399">
        <f t="shared" si="190"/>
        <v>0</v>
      </c>
      <c r="BW444" s="399">
        <f t="shared" si="191"/>
        <v>0</v>
      </c>
      <c r="BX444" s="399">
        <f t="shared" si="192"/>
        <v>0</v>
      </c>
      <c r="BY444" s="399">
        <f t="shared" si="193"/>
        <v>0</v>
      </c>
      <c r="BZ444" s="399">
        <f t="shared" si="194"/>
        <v>0</v>
      </c>
      <c r="CA444" s="399">
        <f t="shared" si="195"/>
        <v>0</v>
      </c>
      <c r="CB444" s="399">
        <f t="shared" si="196"/>
        <v>0</v>
      </c>
      <c r="CC444" s="399">
        <f t="shared" si="197"/>
        <v>0</v>
      </c>
      <c r="CD444" s="399">
        <f t="shared" si="198"/>
        <v>0</v>
      </c>
      <c r="CE444" s="399">
        <f t="shared" si="199"/>
        <v>0</v>
      </c>
      <c r="CF444" s="399">
        <f t="shared" si="200"/>
        <v>0</v>
      </c>
      <c r="CG444" s="399">
        <f t="shared" si="201"/>
        <v>0</v>
      </c>
      <c r="CH444" s="399">
        <f t="shared" si="202"/>
        <v>0</v>
      </c>
      <c r="CI444" s="399">
        <f t="shared" si="203"/>
        <v>0</v>
      </c>
      <c r="CJ444" s="399">
        <f t="shared" si="204"/>
        <v>0</v>
      </c>
      <c r="CK444" s="399">
        <f t="shared" si="205"/>
        <v>0</v>
      </c>
      <c r="CL444" s="399">
        <f t="shared" si="206"/>
        <v>0</v>
      </c>
      <c r="CM444" s="399">
        <f t="shared" si="207"/>
        <v>0</v>
      </c>
      <c r="CN444" s="399">
        <f t="shared" si="208"/>
        <v>0</v>
      </c>
      <c r="CO444" s="399">
        <f t="shared" si="209"/>
        <v>0</v>
      </c>
      <c r="CP444" s="399">
        <f t="shared" si="210"/>
        <v>0</v>
      </c>
      <c r="CQ444" s="423">
        <f t="shared" si="211"/>
        <v>0</v>
      </c>
      <c r="CS444" s="394" t="e">
        <f t="shared" si="212"/>
        <v>#DIV/0!</v>
      </c>
    </row>
    <row r="445" spans="3:97">
      <c r="C445" s="107"/>
      <c r="D445" s="395"/>
      <c r="E445" s="84"/>
      <c r="F445" s="84"/>
      <c r="G445" s="389"/>
      <c r="H445" s="390"/>
      <c r="I445" s="390"/>
      <c r="J445" s="390"/>
      <c r="K445" s="390"/>
      <c r="L445" s="390"/>
      <c r="M445" s="390"/>
      <c r="N445" s="390"/>
      <c r="O445" s="390"/>
      <c r="P445" s="390"/>
      <c r="Q445" s="390"/>
      <c r="R445" s="390"/>
      <c r="S445" s="390"/>
      <c r="T445" s="390"/>
      <c r="U445" s="390"/>
      <c r="V445" s="390"/>
      <c r="W445" s="390"/>
      <c r="X445" s="390"/>
      <c r="Y445" s="390"/>
      <c r="Z445" s="390"/>
      <c r="AA445" s="390"/>
      <c r="AB445" s="390"/>
      <c r="AC445" s="390"/>
      <c r="AD445" s="390"/>
      <c r="AE445" s="390"/>
      <c r="AF445" s="390"/>
      <c r="AG445" s="390"/>
      <c r="AH445" s="390"/>
      <c r="AI445" s="391"/>
      <c r="AK445" s="437"/>
      <c r="AL445" s="437"/>
      <c r="AM445" s="437"/>
      <c r="AN445" s="437"/>
      <c r="AO445" s="437"/>
      <c r="AP445" s="437"/>
      <c r="AQ445" s="437"/>
      <c r="AR445" s="437"/>
      <c r="AS445" s="437"/>
      <c r="AT445" s="437"/>
      <c r="AU445" s="437"/>
      <c r="AV445" s="437"/>
      <c r="AW445" s="437"/>
      <c r="AX445" s="437"/>
      <c r="AY445" s="437"/>
      <c r="AZ445" s="437"/>
      <c r="BA445" s="437"/>
      <c r="BB445" s="437"/>
      <c r="BC445" s="437"/>
      <c r="BD445" s="437"/>
      <c r="BE445" s="437"/>
      <c r="BF445" s="437"/>
      <c r="BG445" s="437"/>
      <c r="BH445" s="437"/>
      <c r="BI445" s="437"/>
      <c r="BJ445" s="437"/>
      <c r="BK445" s="437"/>
      <c r="BL445" s="437"/>
      <c r="BM445" s="393"/>
      <c r="BO445" s="399">
        <f t="shared" si="183"/>
        <v>0</v>
      </c>
      <c r="BP445" s="399">
        <f t="shared" si="184"/>
        <v>0</v>
      </c>
      <c r="BQ445" s="399">
        <f t="shared" si="185"/>
        <v>0</v>
      </c>
      <c r="BR445" s="399">
        <f t="shared" si="186"/>
        <v>0</v>
      </c>
      <c r="BS445" s="399">
        <f t="shared" si="187"/>
        <v>0</v>
      </c>
      <c r="BT445" s="399">
        <f t="shared" si="188"/>
        <v>0</v>
      </c>
      <c r="BU445" s="399">
        <f t="shared" si="189"/>
        <v>0</v>
      </c>
      <c r="BV445" s="399">
        <f t="shared" si="190"/>
        <v>0</v>
      </c>
      <c r="BW445" s="399">
        <f t="shared" si="191"/>
        <v>0</v>
      </c>
      <c r="BX445" s="399">
        <f t="shared" si="192"/>
        <v>0</v>
      </c>
      <c r="BY445" s="399">
        <f t="shared" si="193"/>
        <v>0</v>
      </c>
      <c r="BZ445" s="399">
        <f t="shared" si="194"/>
        <v>0</v>
      </c>
      <c r="CA445" s="399">
        <f t="shared" si="195"/>
        <v>0</v>
      </c>
      <c r="CB445" s="399">
        <f t="shared" si="196"/>
        <v>0</v>
      </c>
      <c r="CC445" s="399">
        <f t="shared" si="197"/>
        <v>0</v>
      </c>
      <c r="CD445" s="399">
        <f t="shared" si="198"/>
        <v>0</v>
      </c>
      <c r="CE445" s="399">
        <f t="shared" si="199"/>
        <v>0</v>
      </c>
      <c r="CF445" s="399">
        <f t="shared" si="200"/>
        <v>0</v>
      </c>
      <c r="CG445" s="399">
        <f t="shared" si="201"/>
        <v>0</v>
      </c>
      <c r="CH445" s="399">
        <f t="shared" si="202"/>
        <v>0</v>
      </c>
      <c r="CI445" s="399">
        <f t="shared" si="203"/>
        <v>0</v>
      </c>
      <c r="CJ445" s="399">
        <f t="shared" si="204"/>
        <v>0</v>
      </c>
      <c r="CK445" s="399">
        <f t="shared" si="205"/>
        <v>0</v>
      </c>
      <c r="CL445" s="399">
        <f t="shared" si="206"/>
        <v>0</v>
      </c>
      <c r="CM445" s="399">
        <f t="shared" si="207"/>
        <v>0</v>
      </c>
      <c r="CN445" s="399">
        <f t="shared" si="208"/>
        <v>0</v>
      </c>
      <c r="CO445" s="399">
        <f t="shared" si="209"/>
        <v>0</v>
      </c>
      <c r="CP445" s="399">
        <f t="shared" si="210"/>
        <v>0</v>
      </c>
      <c r="CQ445" s="423">
        <f t="shared" si="211"/>
        <v>0</v>
      </c>
      <c r="CS445" s="394" t="e">
        <f t="shared" si="212"/>
        <v>#DIV/0!</v>
      </c>
    </row>
    <row r="446" spans="3:97">
      <c r="C446" s="107"/>
      <c r="D446" s="395"/>
      <c r="E446" s="84"/>
      <c r="F446" s="84"/>
      <c r="G446" s="389"/>
      <c r="H446" s="390"/>
      <c r="I446" s="390"/>
      <c r="J446" s="390"/>
      <c r="K446" s="390"/>
      <c r="L446" s="390"/>
      <c r="M446" s="390"/>
      <c r="N446" s="390"/>
      <c r="O446" s="390"/>
      <c r="P446" s="390"/>
      <c r="Q446" s="390"/>
      <c r="R446" s="390"/>
      <c r="S446" s="390"/>
      <c r="T446" s="390"/>
      <c r="U446" s="390"/>
      <c r="V446" s="390"/>
      <c r="W446" s="390"/>
      <c r="X446" s="390"/>
      <c r="Y446" s="390"/>
      <c r="Z446" s="390"/>
      <c r="AA446" s="390"/>
      <c r="AB446" s="390"/>
      <c r="AC446" s="390"/>
      <c r="AD446" s="390"/>
      <c r="AE446" s="390"/>
      <c r="AF446" s="390"/>
      <c r="AG446" s="390"/>
      <c r="AH446" s="390"/>
      <c r="AI446" s="391"/>
      <c r="AK446" s="437"/>
      <c r="AL446" s="437"/>
      <c r="AM446" s="437"/>
      <c r="AN446" s="437"/>
      <c r="AO446" s="437"/>
      <c r="AP446" s="437"/>
      <c r="AQ446" s="437"/>
      <c r="AR446" s="437"/>
      <c r="AS446" s="437"/>
      <c r="AT446" s="437"/>
      <c r="AU446" s="437"/>
      <c r="AV446" s="437"/>
      <c r="AW446" s="437"/>
      <c r="AX446" s="437"/>
      <c r="AY446" s="437"/>
      <c r="AZ446" s="437"/>
      <c r="BA446" s="437"/>
      <c r="BB446" s="437"/>
      <c r="BC446" s="437"/>
      <c r="BD446" s="437"/>
      <c r="BE446" s="437"/>
      <c r="BF446" s="437"/>
      <c r="BG446" s="437"/>
      <c r="BH446" s="437"/>
      <c r="BI446" s="437"/>
      <c r="BJ446" s="437"/>
      <c r="BK446" s="437"/>
      <c r="BL446" s="437"/>
      <c r="BM446" s="393"/>
      <c r="BO446" s="399">
        <f t="shared" si="183"/>
        <v>0</v>
      </c>
      <c r="BP446" s="399">
        <f t="shared" si="184"/>
        <v>0</v>
      </c>
      <c r="BQ446" s="399">
        <f t="shared" si="185"/>
        <v>0</v>
      </c>
      <c r="BR446" s="399">
        <f t="shared" si="186"/>
        <v>0</v>
      </c>
      <c r="BS446" s="399">
        <f t="shared" si="187"/>
        <v>0</v>
      </c>
      <c r="BT446" s="399">
        <f t="shared" si="188"/>
        <v>0</v>
      </c>
      <c r="BU446" s="399">
        <f t="shared" si="189"/>
        <v>0</v>
      </c>
      <c r="BV446" s="399">
        <f t="shared" si="190"/>
        <v>0</v>
      </c>
      <c r="BW446" s="399">
        <f t="shared" si="191"/>
        <v>0</v>
      </c>
      <c r="BX446" s="399">
        <f t="shared" si="192"/>
        <v>0</v>
      </c>
      <c r="BY446" s="399">
        <f t="shared" si="193"/>
        <v>0</v>
      </c>
      <c r="BZ446" s="399">
        <f t="shared" si="194"/>
        <v>0</v>
      </c>
      <c r="CA446" s="399">
        <f t="shared" si="195"/>
        <v>0</v>
      </c>
      <c r="CB446" s="399">
        <f t="shared" si="196"/>
        <v>0</v>
      </c>
      <c r="CC446" s="399">
        <f t="shared" si="197"/>
        <v>0</v>
      </c>
      <c r="CD446" s="399">
        <f t="shared" si="198"/>
        <v>0</v>
      </c>
      <c r="CE446" s="399">
        <f t="shared" si="199"/>
        <v>0</v>
      </c>
      <c r="CF446" s="399">
        <f t="shared" si="200"/>
        <v>0</v>
      </c>
      <c r="CG446" s="399">
        <f t="shared" si="201"/>
        <v>0</v>
      </c>
      <c r="CH446" s="399">
        <f t="shared" si="202"/>
        <v>0</v>
      </c>
      <c r="CI446" s="399">
        <f t="shared" si="203"/>
        <v>0</v>
      </c>
      <c r="CJ446" s="399">
        <f t="shared" si="204"/>
        <v>0</v>
      </c>
      <c r="CK446" s="399">
        <f t="shared" si="205"/>
        <v>0</v>
      </c>
      <c r="CL446" s="399">
        <f t="shared" si="206"/>
        <v>0</v>
      </c>
      <c r="CM446" s="399">
        <f t="shared" si="207"/>
        <v>0</v>
      </c>
      <c r="CN446" s="399">
        <f t="shared" si="208"/>
        <v>0</v>
      </c>
      <c r="CO446" s="399">
        <f t="shared" si="209"/>
        <v>0</v>
      </c>
      <c r="CP446" s="399">
        <f t="shared" si="210"/>
        <v>0</v>
      </c>
      <c r="CQ446" s="423">
        <f t="shared" si="211"/>
        <v>0</v>
      </c>
      <c r="CS446" s="394" t="e">
        <f t="shared" si="212"/>
        <v>#DIV/0!</v>
      </c>
    </row>
    <row r="447" spans="3:97">
      <c r="C447" s="107"/>
      <c r="D447" s="395"/>
      <c r="E447" s="84"/>
      <c r="F447" s="84"/>
      <c r="G447" s="389"/>
      <c r="H447" s="390"/>
      <c r="I447" s="390"/>
      <c r="J447" s="390"/>
      <c r="K447" s="390"/>
      <c r="L447" s="390"/>
      <c r="M447" s="390"/>
      <c r="N447" s="390"/>
      <c r="O447" s="390"/>
      <c r="P447" s="390"/>
      <c r="Q447" s="390"/>
      <c r="R447" s="390"/>
      <c r="S447" s="390"/>
      <c r="T447" s="390"/>
      <c r="U447" s="390"/>
      <c r="V447" s="390"/>
      <c r="W447" s="390"/>
      <c r="X447" s="390"/>
      <c r="Y447" s="390"/>
      <c r="Z447" s="390"/>
      <c r="AA447" s="390"/>
      <c r="AB447" s="390"/>
      <c r="AC447" s="390"/>
      <c r="AD447" s="390"/>
      <c r="AE447" s="390"/>
      <c r="AF447" s="390"/>
      <c r="AG447" s="390"/>
      <c r="AH447" s="390"/>
      <c r="AI447" s="391"/>
      <c r="AK447" s="437"/>
      <c r="AL447" s="437"/>
      <c r="AM447" s="437"/>
      <c r="AN447" s="437"/>
      <c r="AO447" s="437"/>
      <c r="AP447" s="437"/>
      <c r="AQ447" s="437"/>
      <c r="AR447" s="437"/>
      <c r="AS447" s="437"/>
      <c r="AT447" s="437"/>
      <c r="AU447" s="437"/>
      <c r="AV447" s="437"/>
      <c r="AW447" s="437"/>
      <c r="AX447" s="437"/>
      <c r="AY447" s="437"/>
      <c r="AZ447" s="437"/>
      <c r="BA447" s="437"/>
      <c r="BB447" s="437"/>
      <c r="BC447" s="437"/>
      <c r="BD447" s="437"/>
      <c r="BE447" s="437"/>
      <c r="BF447" s="437"/>
      <c r="BG447" s="437"/>
      <c r="BH447" s="437"/>
      <c r="BI447" s="437"/>
      <c r="BJ447" s="437"/>
      <c r="BK447" s="437"/>
      <c r="BL447" s="437"/>
      <c r="BM447" s="393"/>
      <c r="BO447" s="399">
        <f t="shared" si="183"/>
        <v>0</v>
      </c>
      <c r="BP447" s="399">
        <f t="shared" si="184"/>
        <v>0</v>
      </c>
      <c r="BQ447" s="399">
        <f t="shared" si="185"/>
        <v>0</v>
      </c>
      <c r="BR447" s="399">
        <f t="shared" si="186"/>
        <v>0</v>
      </c>
      <c r="BS447" s="399">
        <f t="shared" si="187"/>
        <v>0</v>
      </c>
      <c r="BT447" s="399">
        <f t="shared" si="188"/>
        <v>0</v>
      </c>
      <c r="BU447" s="399">
        <f t="shared" si="189"/>
        <v>0</v>
      </c>
      <c r="BV447" s="399">
        <f t="shared" si="190"/>
        <v>0</v>
      </c>
      <c r="BW447" s="399">
        <f t="shared" si="191"/>
        <v>0</v>
      </c>
      <c r="BX447" s="399">
        <f t="shared" si="192"/>
        <v>0</v>
      </c>
      <c r="BY447" s="399">
        <f t="shared" si="193"/>
        <v>0</v>
      </c>
      <c r="BZ447" s="399">
        <f t="shared" si="194"/>
        <v>0</v>
      </c>
      <c r="CA447" s="399">
        <f t="shared" si="195"/>
        <v>0</v>
      </c>
      <c r="CB447" s="399">
        <f t="shared" si="196"/>
        <v>0</v>
      </c>
      <c r="CC447" s="399">
        <f t="shared" si="197"/>
        <v>0</v>
      </c>
      <c r="CD447" s="399">
        <f t="shared" si="198"/>
        <v>0</v>
      </c>
      <c r="CE447" s="399">
        <f t="shared" si="199"/>
        <v>0</v>
      </c>
      <c r="CF447" s="399">
        <f t="shared" si="200"/>
        <v>0</v>
      </c>
      <c r="CG447" s="399">
        <f t="shared" si="201"/>
        <v>0</v>
      </c>
      <c r="CH447" s="399">
        <f t="shared" si="202"/>
        <v>0</v>
      </c>
      <c r="CI447" s="399">
        <f t="shared" si="203"/>
        <v>0</v>
      </c>
      <c r="CJ447" s="399">
        <f t="shared" si="204"/>
        <v>0</v>
      </c>
      <c r="CK447" s="399">
        <f t="shared" si="205"/>
        <v>0</v>
      </c>
      <c r="CL447" s="399">
        <f t="shared" si="206"/>
        <v>0</v>
      </c>
      <c r="CM447" s="399">
        <f t="shared" si="207"/>
        <v>0</v>
      </c>
      <c r="CN447" s="399">
        <f t="shared" si="208"/>
        <v>0</v>
      </c>
      <c r="CO447" s="399">
        <f t="shared" si="209"/>
        <v>0</v>
      </c>
      <c r="CP447" s="399">
        <f t="shared" si="210"/>
        <v>0</v>
      </c>
      <c r="CQ447" s="423">
        <f t="shared" si="211"/>
        <v>0</v>
      </c>
      <c r="CS447" s="394" t="e">
        <f t="shared" si="212"/>
        <v>#DIV/0!</v>
      </c>
    </row>
    <row r="448" spans="3:97">
      <c r="C448" s="107"/>
      <c r="D448" s="395"/>
      <c r="E448" s="84"/>
      <c r="F448" s="84"/>
      <c r="G448" s="389"/>
      <c r="H448" s="390"/>
      <c r="I448" s="390"/>
      <c r="J448" s="390"/>
      <c r="K448" s="390"/>
      <c r="L448" s="390"/>
      <c r="M448" s="390"/>
      <c r="N448" s="390"/>
      <c r="O448" s="390"/>
      <c r="P448" s="390"/>
      <c r="Q448" s="390"/>
      <c r="R448" s="390"/>
      <c r="S448" s="390"/>
      <c r="T448" s="390"/>
      <c r="U448" s="390"/>
      <c r="V448" s="390"/>
      <c r="W448" s="390"/>
      <c r="X448" s="390"/>
      <c r="Y448" s="390"/>
      <c r="Z448" s="390"/>
      <c r="AA448" s="390"/>
      <c r="AB448" s="390"/>
      <c r="AC448" s="390"/>
      <c r="AD448" s="390"/>
      <c r="AE448" s="390"/>
      <c r="AF448" s="390"/>
      <c r="AG448" s="390"/>
      <c r="AH448" s="390"/>
      <c r="AI448" s="391"/>
      <c r="AK448" s="437"/>
      <c r="AL448" s="437"/>
      <c r="AM448" s="437"/>
      <c r="AN448" s="437"/>
      <c r="AO448" s="437"/>
      <c r="AP448" s="437"/>
      <c r="AQ448" s="437"/>
      <c r="AR448" s="437"/>
      <c r="AS448" s="437"/>
      <c r="AT448" s="437"/>
      <c r="AU448" s="437"/>
      <c r="AV448" s="437"/>
      <c r="AW448" s="437"/>
      <c r="AX448" s="437"/>
      <c r="AY448" s="437"/>
      <c r="AZ448" s="437"/>
      <c r="BA448" s="437"/>
      <c r="BB448" s="437"/>
      <c r="BC448" s="437"/>
      <c r="BD448" s="437"/>
      <c r="BE448" s="437"/>
      <c r="BF448" s="437"/>
      <c r="BG448" s="437"/>
      <c r="BH448" s="437"/>
      <c r="BI448" s="437"/>
      <c r="BJ448" s="437"/>
      <c r="BK448" s="437"/>
      <c r="BL448" s="437"/>
      <c r="BM448" s="393"/>
      <c r="BO448" s="399">
        <f t="shared" si="183"/>
        <v>0</v>
      </c>
      <c r="BP448" s="399">
        <f t="shared" si="184"/>
        <v>0</v>
      </c>
      <c r="BQ448" s="399">
        <f t="shared" si="185"/>
        <v>0</v>
      </c>
      <c r="BR448" s="399">
        <f t="shared" si="186"/>
        <v>0</v>
      </c>
      <c r="BS448" s="399">
        <f t="shared" si="187"/>
        <v>0</v>
      </c>
      <c r="BT448" s="399">
        <f t="shared" si="188"/>
        <v>0</v>
      </c>
      <c r="BU448" s="399">
        <f t="shared" si="189"/>
        <v>0</v>
      </c>
      <c r="BV448" s="399">
        <f t="shared" si="190"/>
        <v>0</v>
      </c>
      <c r="BW448" s="399">
        <f t="shared" si="191"/>
        <v>0</v>
      </c>
      <c r="BX448" s="399">
        <f t="shared" si="192"/>
        <v>0</v>
      </c>
      <c r="BY448" s="399">
        <f t="shared" si="193"/>
        <v>0</v>
      </c>
      <c r="BZ448" s="399">
        <f t="shared" si="194"/>
        <v>0</v>
      </c>
      <c r="CA448" s="399">
        <f t="shared" si="195"/>
        <v>0</v>
      </c>
      <c r="CB448" s="399">
        <f t="shared" si="196"/>
        <v>0</v>
      </c>
      <c r="CC448" s="399">
        <f t="shared" si="197"/>
        <v>0</v>
      </c>
      <c r="CD448" s="399">
        <f t="shared" si="198"/>
        <v>0</v>
      </c>
      <c r="CE448" s="399">
        <f t="shared" si="199"/>
        <v>0</v>
      </c>
      <c r="CF448" s="399">
        <f t="shared" si="200"/>
        <v>0</v>
      </c>
      <c r="CG448" s="399">
        <f t="shared" si="201"/>
        <v>0</v>
      </c>
      <c r="CH448" s="399">
        <f t="shared" si="202"/>
        <v>0</v>
      </c>
      <c r="CI448" s="399">
        <f t="shared" si="203"/>
        <v>0</v>
      </c>
      <c r="CJ448" s="399">
        <f t="shared" si="204"/>
        <v>0</v>
      </c>
      <c r="CK448" s="399">
        <f t="shared" si="205"/>
        <v>0</v>
      </c>
      <c r="CL448" s="399">
        <f t="shared" si="206"/>
        <v>0</v>
      </c>
      <c r="CM448" s="399">
        <f t="shared" si="207"/>
        <v>0</v>
      </c>
      <c r="CN448" s="399">
        <f t="shared" si="208"/>
        <v>0</v>
      </c>
      <c r="CO448" s="399">
        <f t="shared" si="209"/>
        <v>0</v>
      </c>
      <c r="CP448" s="399">
        <f t="shared" si="210"/>
        <v>0</v>
      </c>
      <c r="CQ448" s="423">
        <f t="shared" si="211"/>
        <v>0</v>
      </c>
      <c r="CS448" s="394" t="e">
        <f t="shared" si="212"/>
        <v>#DIV/0!</v>
      </c>
    </row>
    <row r="449" spans="3:97">
      <c r="C449" s="107"/>
      <c r="D449" s="395"/>
      <c r="E449" s="84"/>
      <c r="F449" s="84"/>
      <c r="G449" s="389"/>
      <c r="H449" s="390"/>
      <c r="I449" s="390"/>
      <c r="J449" s="390"/>
      <c r="K449" s="390"/>
      <c r="L449" s="390"/>
      <c r="M449" s="390"/>
      <c r="N449" s="390"/>
      <c r="O449" s="390"/>
      <c r="P449" s="390"/>
      <c r="Q449" s="390"/>
      <c r="R449" s="390"/>
      <c r="S449" s="390"/>
      <c r="T449" s="390"/>
      <c r="U449" s="390"/>
      <c r="V449" s="390"/>
      <c r="W449" s="390"/>
      <c r="X449" s="390"/>
      <c r="Y449" s="390"/>
      <c r="Z449" s="390"/>
      <c r="AA449" s="390"/>
      <c r="AB449" s="390"/>
      <c r="AC449" s="390"/>
      <c r="AD449" s="390"/>
      <c r="AE449" s="390"/>
      <c r="AF449" s="390"/>
      <c r="AG449" s="390"/>
      <c r="AH449" s="390"/>
      <c r="AI449" s="391"/>
      <c r="AK449" s="437"/>
      <c r="AL449" s="437"/>
      <c r="AM449" s="437"/>
      <c r="AN449" s="437"/>
      <c r="AO449" s="437"/>
      <c r="AP449" s="437"/>
      <c r="AQ449" s="437"/>
      <c r="AR449" s="437"/>
      <c r="AS449" s="437"/>
      <c r="AT449" s="437"/>
      <c r="AU449" s="437"/>
      <c r="AV449" s="437"/>
      <c r="AW449" s="437"/>
      <c r="AX449" s="437"/>
      <c r="AY449" s="437"/>
      <c r="AZ449" s="437"/>
      <c r="BA449" s="437"/>
      <c r="BB449" s="437"/>
      <c r="BC449" s="437"/>
      <c r="BD449" s="437"/>
      <c r="BE449" s="437"/>
      <c r="BF449" s="437"/>
      <c r="BG449" s="437"/>
      <c r="BH449" s="437"/>
      <c r="BI449" s="437"/>
      <c r="BJ449" s="437"/>
      <c r="BK449" s="437"/>
      <c r="BL449" s="437"/>
      <c r="BM449" s="393"/>
      <c r="BO449" s="399">
        <f t="shared" si="183"/>
        <v>0</v>
      </c>
      <c r="BP449" s="399">
        <f t="shared" si="184"/>
        <v>0</v>
      </c>
      <c r="BQ449" s="399">
        <f t="shared" si="185"/>
        <v>0</v>
      </c>
      <c r="BR449" s="399">
        <f t="shared" si="186"/>
        <v>0</v>
      </c>
      <c r="BS449" s="399">
        <f t="shared" si="187"/>
        <v>0</v>
      </c>
      <c r="BT449" s="399">
        <f t="shared" si="188"/>
        <v>0</v>
      </c>
      <c r="BU449" s="399">
        <f t="shared" si="189"/>
        <v>0</v>
      </c>
      <c r="BV449" s="399">
        <f t="shared" si="190"/>
        <v>0</v>
      </c>
      <c r="BW449" s="399">
        <f t="shared" si="191"/>
        <v>0</v>
      </c>
      <c r="BX449" s="399">
        <f t="shared" si="192"/>
        <v>0</v>
      </c>
      <c r="BY449" s="399">
        <f t="shared" si="193"/>
        <v>0</v>
      </c>
      <c r="BZ449" s="399">
        <f t="shared" si="194"/>
        <v>0</v>
      </c>
      <c r="CA449" s="399">
        <f t="shared" si="195"/>
        <v>0</v>
      </c>
      <c r="CB449" s="399">
        <f t="shared" si="196"/>
        <v>0</v>
      </c>
      <c r="CC449" s="399">
        <f t="shared" si="197"/>
        <v>0</v>
      </c>
      <c r="CD449" s="399">
        <f t="shared" si="198"/>
        <v>0</v>
      </c>
      <c r="CE449" s="399">
        <f t="shared" si="199"/>
        <v>0</v>
      </c>
      <c r="CF449" s="399">
        <f t="shared" si="200"/>
        <v>0</v>
      </c>
      <c r="CG449" s="399">
        <f t="shared" si="201"/>
        <v>0</v>
      </c>
      <c r="CH449" s="399">
        <f t="shared" si="202"/>
        <v>0</v>
      </c>
      <c r="CI449" s="399">
        <f t="shared" si="203"/>
        <v>0</v>
      </c>
      <c r="CJ449" s="399">
        <f t="shared" si="204"/>
        <v>0</v>
      </c>
      <c r="CK449" s="399">
        <f t="shared" si="205"/>
        <v>0</v>
      </c>
      <c r="CL449" s="399">
        <f t="shared" si="206"/>
        <v>0</v>
      </c>
      <c r="CM449" s="399">
        <f t="shared" si="207"/>
        <v>0</v>
      </c>
      <c r="CN449" s="399">
        <f t="shared" si="208"/>
        <v>0</v>
      </c>
      <c r="CO449" s="399">
        <f t="shared" si="209"/>
        <v>0</v>
      </c>
      <c r="CP449" s="399">
        <f t="shared" si="210"/>
        <v>0</v>
      </c>
      <c r="CQ449" s="423">
        <f t="shared" si="211"/>
        <v>0</v>
      </c>
      <c r="CS449" s="394" t="e">
        <f t="shared" si="212"/>
        <v>#DIV/0!</v>
      </c>
    </row>
    <row r="450" spans="3:97">
      <c r="C450" s="107"/>
      <c r="D450" s="395"/>
      <c r="E450" s="84"/>
      <c r="F450" s="84"/>
      <c r="G450" s="389"/>
      <c r="H450" s="390"/>
      <c r="I450" s="390"/>
      <c r="J450" s="390"/>
      <c r="K450" s="390"/>
      <c r="L450" s="390"/>
      <c r="M450" s="390"/>
      <c r="N450" s="390"/>
      <c r="O450" s="390"/>
      <c r="P450" s="390"/>
      <c r="Q450" s="390"/>
      <c r="R450" s="390"/>
      <c r="S450" s="390"/>
      <c r="T450" s="390"/>
      <c r="U450" s="390"/>
      <c r="V450" s="390"/>
      <c r="W450" s="390"/>
      <c r="X450" s="390"/>
      <c r="Y450" s="390"/>
      <c r="Z450" s="390"/>
      <c r="AA450" s="390"/>
      <c r="AB450" s="390"/>
      <c r="AC450" s="390"/>
      <c r="AD450" s="390"/>
      <c r="AE450" s="390"/>
      <c r="AF450" s="390"/>
      <c r="AG450" s="390"/>
      <c r="AH450" s="390"/>
      <c r="AI450" s="391"/>
      <c r="AK450" s="437"/>
      <c r="AL450" s="437"/>
      <c r="AM450" s="437"/>
      <c r="AN450" s="437"/>
      <c r="AO450" s="437"/>
      <c r="AP450" s="437"/>
      <c r="AQ450" s="437"/>
      <c r="AR450" s="437"/>
      <c r="AS450" s="437"/>
      <c r="AT450" s="437"/>
      <c r="AU450" s="437"/>
      <c r="AV450" s="437"/>
      <c r="AW450" s="437"/>
      <c r="AX450" s="437"/>
      <c r="AY450" s="437"/>
      <c r="AZ450" s="437"/>
      <c r="BA450" s="437"/>
      <c r="BB450" s="437"/>
      <c r="BC450" s="437"/>
      <c r="BD450" s="437"/>
      <c r="BE450" s="437"/>
      <c r="BF450" s="437"/>
      <c r="BG450" s="437"/>
      <c r="BH450" s="437"/>
      <c r="BI450" s="437"/>
      <c r="BJ450" s="437"/>
      <c r="BK450" s="437"/>
      <c r="BL450" s="437"/>
      <c r="BM450" s="393"/>
      <c r="BO450" s="399">
        <f t="shared" si="183"/>
        <v>0</v>
      </c>
      <c r="BP450" s="399">
        <f t="shared" si="184"/>
        <v>0</v>
      </c>
      <c r="BQ450" s="399">
        <f t="shared" si="185"/>
        <v>0</v>
      </c>
      <c r="BR450" s="399">
        <f t="shared" si="186"/>
        <v>0</v>
      </c>
      <c r="BS450" s="399">
        <f t="shared" si="187"/>
        <v>0</v>
      </c>
      <c r="BT450" s="399">
        <f t="shared" si="188"/>
        <v>0</v>
      </c>
      <c r="BU450" s="399">
        <f t="shared" si="189"/>
        <v>0</v>
      </c>
      <c r="BV450" s="399">
        <f t="shared" si="190"/>
        <v>0</v>
      </c>
      <c r="BW450" s="399">
        <f t="shared" si="191"/>
        <v>0</v>
      </c>
      <c r="BX450" s="399">
        <f t="shared" si="192"/>
        <v>0</v>
      </c>
      <c r="BY450" s="399">
        <f t="shared" si="193"/>
        <v>0</v>
      </c>
      <c r="BZ450" s="399">
        <f t="shared" si="194"/>
        <v>0</v>
      </c>
      <c r="CA450" s="399">
        <f t="shared" si="195"/>
        <v>0</v>
      </c>
      <c r="CB450" s="399">
        <f t="shared" si="196"/>
        <v>0</v>
      </c>
      <c r="CC450" s="399">
        <f t="shared" si="197"/>
        <v>0</v>
      </c>
      <c r="CD450" s="399">
        <f t="shared" si="198"/>
        <v>0</v>
      </c>
      <c r="CE450" s="399">
        <f t="shared" si="199"/>
        <v>0</v>
      </c>
      <c r="CF450" s="399">
        <f t="shared" si="200"/>
        <v>0</v>
      </c>
      <c r="CG450" s="399">
        <f t="shared" si="201"/>
        <v>0</v>
      </c>
      <c r="CH450" s="399">
        <f t="shared" si="202"/>
        <v>0</v>
      </c>
      <c r="CI450" s="399">
        <f t="shared" si="203"/>
        <v>0</v>
      </c>
      <c r="CJ450" s="399">
        <f t="shared" si="204"/>
        <v>0</v>
      </c>
      <c r="CK450" s="399">
        <f t="shared" si="205"/>
        <v>0</v>
      </c>
      <c r="CL450" s="399">
        <f t="shared" si="206"/>
        <v>0</v>
      </c>
      <c r="CM450" s="399">
        <f t="shared" si="207"/>
        <v>0</v>
      </c>
      <c r="CN450" s="399">
        <f t="shared" si="208"/>
        <v>0</v>
      </c>
      <c r="CO450" s="399">
        <f t="shared" si="209"/>
        <v>0</v>
      </c>
      <c r="CP450" s="399">
        <f t="shared" si="210"/>
        <v>0</v>
      </c>
      <c r="CQ450" s="423">
        <f t="shared" si="211"/>
        <v>0</v>
      </c>
      <c r="CS450" s="394" t="e">
        <f t="shared" si="212"/>
        <v>#DIV/0!</v>
      </c>
    </row>
    <row r="451" spans="3:97">
      <c r="C451" s="107"/>
      <c r="D451" s="395"/>
      <c r="E451" s="84"/>
      <c r="F451" s="84"/>
      <c r="G451" s="389"/>
      <c r="H451" s="390"/>
      <c r="I451" s="390"/>
      <c r="J451" s="390"/>
      <c r="K451" s="390"/>
      <c r="L451" s="390"/>
      <c r="M451" s="390"/>
      <c r="N451" s="390"/>
      <c r="O451" s="390"/>
      <c r="P451" s="390"/>
      <c r="Q451" s="390"/>
      <c r="R451" s="390"/>
      <c r="S451" s="390"/>
      <c r="T451" s="390"/>
      <c r="U451" s="390"/>
      <c r="V451" s="390"/>
      <c r="W451" s="390"/>
      <c r="X451" s="390"/>
      <c r="Y451" s="390"/>
      <c r="Z451" s="390"/>
      <c r="AA451" s="390"/>
      <c r="AB451" s="390"/>
      <c r="AC451" s="390"/>
      <c r="AD451" s="390"/>
      <c r="AE451" s="390"/>
      <c r="AF451" s="390"/>
      <c r="AG451" s="390"/>
      <c r="AH451" s="390"/>
      <c r="AI451" s="391"/>
      <c r="AK451" s="437"/>
      <c r="AL451" s="437"/>
      <c r="AM451" s="437"/>
      <c r="AN451" s="437"/>
      <c r="AO451" s="437"/>
      <c r="AP451" s="437"/>
      <c r="AQ451" s="437"/>
      <c r="AR451" s="437"/>
      <c r="AS451" s="437"/>
      <c r="AT451" s="437"/>
      <c r="AU451" s="437"/>
      <c r="AV451" s="437"/>
      <c r="AW451" s="437"/>
      <c r="AX451" s="437"/>
      <c r="AY451" s="437"/>
      <c r="AZ451" s="437"/>
      <c r="BA451" s="437"/>
      <c r="BB451" s="437"/>
      <c r="BC451" s="437"/>
      <c r="BD451" s="437"/>
      <c r="BE451" s="437"/>
      <c r="BF451" s="437"/>
      <c r="BG451" s="437"/>
      <c r="BH451" s="437"/>
      <c r="BI451" s="437"/>
      <c r="BJ451" s="437"/>
      <c r="BK451" s="437"/>
      <c r="BL451" s="437"/>
      <c r="BM451" s="393"/>
      <c r="BO451" s="399">
        <f t="shared" si="183"/>
        <v>0</v>
      </c>
      <c r="BP451" s="399">
        <f t="shared" si="184"/>
        <v>0</v>
      </c>
      <c r="BQ451" s="399">
        <f t="shared" si="185"/>
        <v>0</v>
      </c>
      <c r="BR451" s="399">
        <f t="shared" si="186"/>
        <v>0</v>
      </c>
      <c r="BS451" s="399">
        <f t="shared" si="187"/>
        <v>0</v>
      </c>
      <c r="BT451" s="399">
        <f t="shared" si="188"/>
        <v>0</v>
      </c>
      <c r="BU451" s="399">
        <f t="shared" si="189"/>
        <v>0</v>
      </c>
      <c r="BV451" s="399">
        <f t="shared" si="190"/>
        <v>0</v>
      </c>
      <c r="BW451" s="399">
        <f t="shared" si="191"/>
        <v>0</v>
      </c>
      <c r="BX451" s="399">
        <f t="shared" si="192"/>
        <v>0</v>
      </c>
      <c r="BY451" s="399">
        <f t="shared" si="193"/>
        <v>0</v>
      </c>
      <c r="BZ451" s="399">
        <f t="shared" si="194"/>
        <v>0</v>
      </c>
      <c r="CA451" s="399">
        <f t="shared" si="195"/>
        <v>0</v>
      </c>
      <c r="CB451" s="399">
        <f t="shared" si="196"/>
        <v>0</v>
      </c>
      <c r="CC451" s="399">
        <f t="shared" si="197"/>
        <v>0</v>
      </c>
      <c r="CD451" s="399">
        <f t="shared" si="198"/>
        <v>0</v>
      </c>
      <c r="CE451" s="399">
        <f t="shared" si="199"/>
        <v>0</v>
      </c>
      <c r="CF451" s="399">
        <f t="shared" si="200"/>
        <v>0</v>
      </c>
      <c r="CG451" s="399">
        <f t="shared" si="201"/>
        <v>0</v>
      </c>
      <c r="CH451" s="399">
        <f t="shared" si="202"/>
        <v>0</v>
      </c>
      <c r="CI451" s="399">
        <f t="shared" si="203"/>
        <v>0</v>
      </c>
      <c r="CJ451" s="399">
        <f t="shared" si="204"/>
        <v>0</v>
      </c>
      <c r="CK451" s="399">
        <f t="shared" si="205"/>
        <v>0</v>
      </c>
      <c r="CL451" s="399">
        <f t="shared" si="206"/>
        <v>0</v>
      </c>
      <c r="CM451" s="399">
        <f t="shared" si="207"/>
        <v>0</v>
      </c>
      <c r="CN451" s="399">
        <f t="shared" si="208"/>
        <v>0</v>
      </c>
      <c r="CO451" s="399">
        <f t="shared" si="209"/>
        <v>0</v>
      </c>
      <c r="CP451" s="399">
        <f t="shared" si="210"/>
        <v>0</v>
      </c>
      <c r="CQ451" s="423">
        <f t="shared" si="211"/>
        <v>0</v>
      </c>
      <c r="CS451" s="394" t="e">
        <f t="shared" si="212"/>
        <v>#DIV/0!</v>
      </c>
    </row>
    <row r="452" spans="3:97">
      <c r="C452" s="107"/>
      <c r="D452" s="395"/>
      <c r="E452" s="84"/>
      <c r="F452" s="84"/>
      <c r="G452" s="389"/>
      <c r="H452" s="390"/>
      <c r="I452" s="390"/>
      <c r="J452" s="390"/>
      <c r="K452" s="390"/>
      <c r="L452" s="390"/>
      <c r="M452" s="390"/>
      <c r="N452" s="390"/>
      <c r="O452" s="390"/>
      <c r="P452" s="390"/>
      <c r="Q452" s="390"/>
      <c r="R452" s="390"/>
      <c r="S452" s="390"/>
      <c r="T452" s="390"/>
      <c r="U452" s="390"/>
      <c r="V452" s="390"/>
      <c r="W452" s="390"/>
      <c r="X452" s="390"/>
      <c r="Y452" s="390"/>
      <c r="Z452" s="390"/>
      <c r="AA452" s="390"/>
      <c r="AB452" s="390"/>
      <c r="AC452" s="390"/>
      <c r="AD452" s="390"/>
      <c r="AE452" s="390"/>
      <c r="AF452" s="390"/>
      <c r="AG452" s="390"/>
      <c r="AH452" s="390"/>
      <c r="AI452" s="391"/>
      <c r="AK452" s="437"/>
      <c r="AL452" s="437"/>
      <c r="AM452" s="437"/>
      <c r="AN452" s="437"/>
      <c r="AO452" s="437"/>
      <c r="AP452" s="437"/>
      <c r="AQ452" s="437"/>
      <c r="AR452" s="437"/>
      <c r="AS452" s="437"/>
      <c r="AT452" s="437"/>
      <c r="AU452" s="437"/>
      <c r="AV452" s="437"/>
      <c r="AW452" s="437"/>
      <c r="AX452" s="437"/>
      <c r="AY452" s="437"/>
      <c r="AZ452" s="437"/>
      <c r="BA452" s="437"/>
      <c r="BB452" s="437"/>
      <c r="BC452" s="437"/>
      <c r="BD452" s="437"/>
      <c r="BE452" s="437"/>
      <c r="BF452" s="437"/>
      <c r="BG452" s="437"/>
      <c r="BH452" s="437"/>
      <c r="BI452" s="437"/>
      <c r="BJ452" s="437"/>
      <c r="BK452" s="437"/>
      <c r="BL452" s="437"/>
      <c r="BM452" s="393"/>
      <c r="BO452" s="399">
        <f t="shared" si="183"/>
        <v>0</v>
      </c>
      <c r="BP452" s="399">
        <f t="shared" si="184"/>
        <v>0</v>
      </c>
      <c r="BQ452" s="399">
        <f t="shared" si="185"/>
        <v>0</v>
      </c>
      <c r="BR452" s="399">
        <f t="shared" si="186"/>
        <v>0</v>
      </c>
      <c r="BS452" s="399">
        <f t="shared" si="187"/>
        <v>0</v>
      </c>
      <c r="BT452" s="399">
        <f t="shared" si="188"/>
        <v>0</v>
      </c>
      <c r="BU452" s="399">
        <f t="shared" si="189"/>
        <v>0</v>
      </c>
      <c r="BV452" s="399">
        <f t="shared" si="190"/>
        <v>0</v>
      </c>
      <c r="BW452" s="399">
        <f t="shared" si="191"/>
        <v>0</v>
      </c>
      <c r="BX452" s="399">
        <f t="shared" si="192"/>
        <v>0</v>
      </c>
      <c r="BY452" s="399">
        <f t="shared" si="193"/>
        <v>0</v>
      </c>
      <c r="BZ452" s="399">
        <f t="shared" si="194"/>
        <v>0</v>
      </c>
      <c r="CA452" s="399">
        <f t="shared" si="195"/>
        <v>0</v>
      </c>
      <c r="CB452" s="399">
        <f t="shared" si="196"/>
        <v>0</v>
      </c>
      <c r="CC452" s="399">
        <f t="shared" si="197"/>
        <v>0</v>
      </c>
      <c r="CD452" s="399">
        <f t="shared" si="198"/>
        <v>0</v>
      </c>
      <c r="CE452" s="399">
        <f t="shared" si="199"/>
        <v>0</v>
      </c>
      <c r="CF452" s="399">
        <f t="shared" si="200"/>
        <v>0</v>
      </c>
      <c r="CG452" s="399">
        <f t="shared" si="201"/>
        <v>0</v>
      </c>
      <c r="CH452" s="399">
        <f t="shared" si="202"/>
        <v>0</v>
      </c>
      <c r="CI452" s="399">
        <f t="shared" si="203"/>
        <v>0</v>
      </c>
      <c r="CJ452" s="399">
        <f t="shared" si="204"/>
        <v>0</v>
      </c>
      <c r="CK452" s="399">
        <f t="shared" si="205"/>
        <v>0</v>
      </c>
      <c r="CL452" s="399">
        <f t="shared" si="206"/>
        <v>0</v>
      </c>
      <c r="CM452" s="399">
        <f t="shared" si="207"/>
        <v>0</v>
      </c>
      <c r="CN452" s="399">
        <f t="shared" si="208"/>
        <v>0</v>
      </c>
      <c r="CO452" s="399">
        <f t="shared" si="209"/>
        <v>0</v>
      </c>
      <c r="CP452" s="399">
        <f t="shared" si="210"/>
        <v>0</v>
      </c>
      <c r="CQ452" s="423">
        <f t="shared" si="211"/>
        <v>0</v>
      </c>
      <c r="CS452" s="394" t="e">
        <f t="shared" si="212"/>
        <v>#DIV/0!</v>
      </c>
    </row>
    <row r="453" spans="3:97">
      <c r="C453" s="107"/>
      <c r="D453" s="395"/>
      <c r="E453" s="84"/>
      <c r="F453" s="84"/>
      <c r="G453" s="389"/>
      <c r="H453" s="390"/>
      <c r="I453" s="390"/>
      <c r="J453" s="390"/>
      <c r="K453" s="390"/>
      <c r="L453" s="390"/>
      <c r="M453" s="390"/>
      <c r="N453" s="390"/>
      <c r="O453" s="390"/>
      <c r="P453" s="390"/>
      <c r="Q453" s="390"/>
      <c r="R453" s="390"/>
      <c r="S453" s="390"/>
      <c r="T453" s="390"/>
      <c r="U453" s="390"/>
      <c r="V453" s="390"/>
      <c r="W453" s="390"/>
      <c r="X453" s="390"/>
      <c r="Y453" s="390"/>
      <c r="Z453" s="390"/>
      <c r="AA453" s="390"/>
      <c r="AB453" s="390"/>
      <c r="AC453" s="390"/>
      <c r="AD453" s="390"/>
      <c r="AE453" s="390"/>
      <c r="AF453" s="390"/>
      <c r="AG453" s="390"/>
      <c r="AH453" s="390"/>
      <c r="AI453" s="391"/>
      <c r="AK453" s="437"/>
      <c r="AL453" s="437"/>
      <c r="AM453" s="437"/>
      <c r="AN453" s="437"/>
      <c r="AO453" s="437"/>
      <c r="AP453" s="437"/>
      <c r="AQ453" s="437"/>
      <c r="AR453" s="437"/>
      <c r="AS453" s="437"/>
      <c r="AT453" s="437"/>
      <c r="AU453" s="437"/>
      <c r="AV453" s="437"/>
      <c r="AW453" s="437"/>
      <c r="AX453" s="437"/>
      <c r="AY453" s="437"/>
      <c r="AZ453" s="437"/>
      <c r="BA453" s="437"/>
      <c r="BB453" s="437"/>
      <c r="BC453" s="437"/>
      <c r="BD453" s="437"/>
      <c r="BE453" s="437"/>
      <c r="BF453" s="437"/>
      <c r="BG453" s="437"/>
      <c r="BH453" s="437"/>
      <c r="BI453" s="437"/>
      <c r="BJ453" s="437"/>
      <c r="BK453" s="437"/>
      <c r="BL453" s="437"/>
      <c r="BM453" s="393"/>
      <c r="BO453" s="399">
        <f t="shared" si="183"/>
        <v>0</v>
      </c>
      <c r="BP453" s="399">
        <f t="shared" si="184"/>
        <v>0</v>
      </c>
      <c r="BQ453" s="399">
        <f t="shared" si="185"/>
        <v>0</v>
      </c>
      <c r="BR453" s="399">
        <f t="shared" si="186"/>
        <v>0</v>
      </c>
      <c r="BS453" s="399">
        <f t="shared" si="187"/>
        <v>0</v>
      </c>
      <c r="BT453" s="399">
        <f t="shared" si="188"/>
        <v>0</v>
      </c>
      <c r="BU453" s="399">
        <f t="shared" si="189"/>
        <v>0</v>
      </c>
      <c r="BV453" s="399">
        <f t="shared" si="190"/>
        <v>0</v>
      </c>
      <c r="BW453" s="399">
        <f t="shared" si="191"/>
        <v>0</v>
      </c>
      <c r="BX453" s="399">
        <f t="shared" si="192"/>
        <v>0</v>
      </c>
      <c r="BY453" s="399">
        <f t="shared" si="193"/>
        <v>0</v>
      </c>
      <c r="BZ453" s="399">
        <f t="shared" si="194"/>
        <v>0</v>
      </c>
      <c r="CA453" s="399">
        <f t="shared" si="195"/>
        <v>0</v>
      </c>
      <c r="CB453" s="399">
        <f t="shared" si="196"/>
        <v>0</v>
      </c>
      <c r="CC453" s="399">
        <f t="shared" si="197"/>
        <v>0</v>
      </c>
      <c r="CD453" s="399">
        <f t="shared" si="198"/>
        <v>0</v>
      </c>
      <c r="CE453" s="399">
        <f t="shared" si="199"/>
        <v>0</v>
      </c>
      <c r="CF453" s="399">
        <f t="shared" si="200"/>
        <v>0</v>
      </c>
      <c r="CG453" s="399">
        <f t="shared" si="201"/>
        <v>0</v>
      </c>
      <c r="CH453" s="399">
        <f t="shared" si="202"/>
        <v>0</v>
      </c>
      <c r="CI453" s="399">
        <f t="shared" si="203"/>
        <v>0</v>
      </c>
      <c r="CJ453" s="399">
        <f t="shared" si="204"/>
        <v>0</v>
      </c>
      <c r="CK453" s="399">
        <f t="shared" si="205"/>
        <v>0</v>
      </c>
      <c r="CL453" s="399">
        <f t="shared" si="206"/>
        <v>0</v>
      </c>
      <c r="CM453" s="399">
        <f t="shared" si="207"/>
        <v>0</v>
      </c>
      <c r="CN453" s="399">
        <f t="shared" si="208"/>
        <v>0</v>
      </c>
      <c r="CO453" s="399">
        <f t="shared" si="209"/>
        <v>0</v>
      </c>
      <c r="CP453" s="399">
        <f t="shared" si="210"/>
        <v>0</v>
      </c>
      <c r="CQ453" s="423">
        <f t="shared" si="211"/>
        <v>0</v>
      </c>
      <c r="CS453" s="394" t="e">
        <f t="shared" si="212"/>
        <v>#DIV/0!</v>
      </c>
    </row>
    <row r="454" spans="3:97">
      <c r="C454" s="107"/>
      <c r="D454" s="395"/>
      <c r="E454" s="84"/>
      <c r="F454" s="84"/>
      <c r="G454" s="389"/>
      <c r="H454" s="390"/>
      <c r="I454" s="390"/>
      <c r="J454" s="390"/>
      <c r="K454" s="390"/>
      <c r="L454" s="390"/>
      <c r="M454" s="390"/>
      <c r="N454" s="390"/>
      <c r="O454" s="390"/>
      <c r="P454" s="390"/>
      <c r="Q454" s="390"/>
      <c r="R454" s="390"/>
      <c r="S454" s="390"/>
      <c r="T454" s="390"/>
      <c r="U454" s="390"/>
      <c r="V454" s="390"/>
      <c r="W454" s="390"/>
      <c r="X454" s="390"/>
      <c r="Y454" s="390"/>
      <c r="Z454" s="390"/>
      <c r="AA454" s="390"/>
      <c r="AB454" s="390"/>
      <c r="AC454" s="390"/>
      <c r="AD454" s="390"/>
      <c r="AE454" s="390"/>
      <c r="AF454" s="390"/>
      <c r="AG454" s="390"/>
      <c r="AH454" s="390"/>
      <c r="AI454" s="391"/>
      <c r="AK454" s="437"/>
      <c r="AL454" s="437"/>
      <c r="AM454" s="437"/>
      <c r="AN454" s="437"/>
      <c r="AO454" s="437"/>
      <c r="AP454" s="437"/>
      <c r="AQ454" s="437"/>
      <c r="AR454" s="437"/>
      <c r="AS454" s="437"/>
      <c r="AT454" s="437"/>
      <c r="AU454" s="437"/>
      <c r="AV454" s="437"/>
      <c r="AW454" s="437"/>
      <c r="AX454" s="437"/>
      <c r="AY454" s="437"/>
      <c r="AZ454" s="437"/>
      <c r="BA454" s="437"/>
      <c r="BB454" s="437"/>
      <c r="BC454" s="437"/>
      <c r="BD454" s="437"/>
      <c r="BE454" s="437"/>
      <c r="BF454" s="437"/>
      <c r="BG454" s="437"/>
      <c r="BH454" s="437"/>
      <c r="BI454" s="437"/>
      <c r="BJ454" s="437"/>
      <c r="BK454" s="437"/>
      <c r="BL454" s="437"/>
      <c r="BM454" s="393"/>
      <c r="BO454" s="399">
        <f t="shared" si="183"/>
        <v>0</v>
      </c>
      <c r="BP454" s="399">
        <f t="shared" si="184"/>
        <v>0</v>
      </c>
      <c r="BQ454" s="399">
        <f t="shared" si="185"/>
        <v>0</v>
      </c>
      <c r="BR454" s="399">
        <f t="shared" si="186"/>
        <v>0</v>
      </c>
      <c r="BS454" s="399">
        <f t="shared" si="187"/>
        <v>0</v>
      </c>
      <c r="BT454" s="399">
        <f t="shared" si="188"/>
        <v>0</v>
      </c>
      <c r="BU454" s="399">
        <f t="shared" si="189"/>
        <v>0</v>
      </c>
      <c r="BV454" s="399">
        <f t="shared" si="190"/>
        <v>0</v>
      </c>
      <c r="BW454" s="399">
        <f t="shared" si="191"/>
        <v>0</v>
      </c>
      <c r="BX454" s="399">
        <f t="shared" si="192"/>
        <v>0</v>
      </c>
      <c r="BY454" s="399">
        <f t="shared" si="193"/>
        <v>0</v>
      </c>
      <c r="BZ454" s="399">
        <f t="shared" si="194"/>
        <v>0</v>
      </c>
      <c r="CA454" s="399">
        <f t="shared" si="195"/>
        <v>0</v>
      </c>
      <c r="CB454" s="399">
        <f t="shared" si="196"/>
        <v>0</v>
      </c>
      <c r="CC454" s="399">
        <f t="shared" si="197"/>
        <v>0</v>
      </c>
      <c r="CD454" s="399">
        <f t="shared" si="198"/>
        <v>0</v>
      </c>
      <c r="CE454" s="399">
        <f t="shared" si="199"/>
        <v>0</v>
      </c>
      <c r="CF454" s="399">
        <f t="shared" si="200"/>
        <v>0</v>
      </c>
      <c r="CG454" s="399">
        <f t="shared" si="201"/>
        <v>0</v>
      </c>
      <c r="CH454" s="399">
        <f t="shared" si="202"/>
        <v>0</v>
      </c>
      <c r="CI454" s="399">
        <f t="shared" si="203"/>
        <v>0</v>
      </c>
      <c r="CJ454" s="399">
        <f t="shared" si="204"/>
        <v>0</v>
      </c>
      <c r="CK454" s="399">
        <f t="shared" si="205"/>
        <v>0</v>
      </c>
      <c r="CL454" s="399">
        <f t="shared" si="206"/>
        <v>0</v>
      </c>
      <c r="CM454" s="399">
        <f t="shared" si="207"/>
        <v>0</v>
      </c>
      <c r="CN454" s="399">
        <f t="shared" si="208"/>
        <v>0</v>
      </c>
      <c r="CO454" s="399">
        <f t="shared" si="209"/>
        <v>0</v>
      </c>
      <c r="CP454" s="399">
        <f t="shared" si="210"/>
        <v>0</v>
      </c>
      <c r="CQ454" s="423">
        <f t="shared" si="211"/>
        <v>0</v>
      </c>
      <c r="CS454" s="394" t="e">
        <f t="shared" si="212"/>
        <v>#DIV/0!</v>
      </c>
    </row>
    <row r="455" spans="3:97">
      <c r="C455" s="107"/>
      <c r="D455" s="395"/>
      <c r="E455" s="84"/>
      <c r="F455" s="84"/>
      <c r="G455" s="389"/>
      <c r="H455" s="390"/>
      <c r="I455" s="390"/>
      <c r="J455" s="390"/>
      <c r="K455" s="390"/>
      <c r="L455" s="390"/>
      <c r="M455" s="390"/>
      <c r="N455" s="390"/>
      <c r="O455" s="390"/>
      <c r="P455" s="390"/>
      <c r="Q455" s="390"/>
      <c r="R455" s="390"/>
      <c r="S455" s="390"/>
      <c r="T455" s="390"/>
      <c r="U455" s="390"/>
      <c r="V455" s="390"/>
      <c r="W455" s="390"/>
      <c r="X455" s="390"/>
      <c r="Y455" s="390"/>
      <c r="Z455" s="390"/>
      <c r="AA455" s="390"/>
      <c r="AB455" s="390"/>
      <c r="AC455" s="390"/>
      <c r="AD455" s="390"/>
      <c r="AE455" s="390"/>
      <c r="AF455" s="390"/>
      <c r="AG455" s="390"/>
      <c r="AH455" s="390"/>
      <c r="AI455" s="391"/>
      <c r="AK455" s="437"/>
      <c r="AL455" s="437"/>
      <c r="AM455" s="437"/>
      <c r="AN455" s="437"/>
      <c r="AO455" s="437"/>
      <c r="AP455" s="437"/>
      <c r="AQ455" s="437"/>
      <c r="AR455" s="437"/>
      <c r="AS455" s="437"/>
      <c r="AT455" s="437"/>
      <c r="AU455" s="437"/>
      <c r="AV455" s="437"/>
      <c r="AW455" s="437"/>
      <c r="AX455" s="437"/>
      <c r="AY455" s="437"/>
      <c r="AZ455" s="437"/>
      <c r="BA455" s="437"/>
      <c r="BB455" s="437"/>
      <c r="BC455" s="437"/>
      <c r="BD455" s="437"/>
      <c r="BE455" s="437"/>
      <c r="BF455" s="437"/>
      <c r="BG455" s="437"/>
      <c r="BH455" s="437"/>
      <c r="BI455" s="437"/>
      <c r="BJ455" s="437"/>
      <c r="BK455" s="437"/>
      <c r="BL455" s="437"/>
      <c r="BM455" s="393"/>
      <c r="BO455" s="399">
        <f t="shared" si="183"/>
        <v>0</v>
      </c>
      <c r="BP455" s="399">
        <f t="shared" si="184"/>
        <v>0</v>
      </c>
      <c r="BQ455" s="399">
        <f t="shared" si="185"/>
        <v>0</v>
      </c>
      <c r="BR455" s="399">
        <f t="shared" si="186"/>
        <v>0</v>
      </c>
      <c r="BS455" s="399">
        <f t="shared" si="187"/>
        <v>0</v>
      </c>
      <c r="BT455" s="399">
        <f t="shared" si="188"/>
        <v>0</v>
      </c>
      <c r="BU455" s="399">
        <f t="shared" si="189"/>
        <v>0</v>
      </c>
      <c r="BV455" s="399">
        <f t="shared" si="190"/>
        <v>0</v>
      </c>
      <c r="BW455" s="399">
        <f t="shared" si="191"/>
        <v>0</v>
      </c>
      <c r="BX455" s="399">
        <f t="shared" si="192"/>
        <v>0</v>
      </c>
      <c r="BY455" s="399">
        <f t="shared" si="193"/>
        <v>0</v>
      </c>
      <c r="BZ455" s="399">
        <f t="shared" si="194"/>
        <v>0</v>
      </c>
      <c r="CA455" s="399">
        <f t="shared" si="195"/>
        <v>0</v>
      </c>
      <c r="CB455" s="399">
        <f t="shared" si="196"/>
        <v>0</v>
      </c>
      <c r="CC455" s="399">
        <f t="shared" si="197"/>
        <v>0</v>
      </c>
      <c r="CD455" s="399">
        <f t="shared" si="198"/>
        <v>0</v>
      </c>
      <c r="CE455" s="399">
        <f t="shared" si="199"/>
        <v>0</v>
      </c>
      <c r="CF455" s="399">
        <f t="shared" si="200"/>
        <v>0</v>
      </c>
      <c r="CG455" s="399">
        <f t="shared" si="201"/>
        <v>0</v>
      </c>
      <c r="CH455" s="399">
        <f t="shared" si="202"/>
        <v>0</v>
      </c>
      <c r="CI455" s="399">
        <f t="shared" si="203"/>
        <v>0</v>
      </c>
      <c r="CJ455" s="399">
        <f t="shared" si="204"/>
        <v>0</v>
      </c>
      <c r="CK455" s="399">
        <f t="shared" si="205"/>
        <v>0</v>
      </c>
      <c r="CL455" s="399">
        <f t="shared" si="206"/>
        <v>0</v>
      </c>
      <c r="CM455" s="399">
        <f t="shared" si="207"/>
        <v>0</v>
      </c>
      <c r="CN455" s="399">
        <f t="shared" si="208"/>
        <v>0</v>
      </c>
      <c r="CO455" s="399">
        <f t="shared" si="209"/>
        <v>0</v>
      </c>
      <c r="CP455" s="399">
        <f t="shared" si="210"/>
        <v>0</v>
      </c>
      <c r="CQ455" s="423">
        <f t="shared" si="211"/>
        <v>0</v>
      </c>
      <c r="CS455" s="394" t="e">
        <f t="shared" si="212"/>
        <v>#DIV/0!</v>
      </c>
    </row>
    <row r="456" spans="3:97">
      <c r="C456" s="107"/>
      <c r="D456" s="395"/>
      <c r="E456" s="84"/>
      <c r="F456" s="84"/>
      <c r="G456" s="389"/>
      <c r="H456" s="390"/>
      <c r="I456" s="390"/>
      <c r="J456" s="390"/>
      <c r="K456" s="390"/>
      <c r="L456" s="390"/>
      <c r="M456" s="390"/>
      <c r="N456" s="390"/>
      <c r="O456" s="390"/>
      <c r="P456" s="390"/>
      <c r="Q456" s="390"/>
      <c r="R456" s="390"/>
      <c r="S456" s="390"/>
      <c r="T456" s="390"/>
      <c r="U456" s="390"/>
      <c r="V456" s="390"/>
      <c r="W456" s="390"/>
      <c r="X456" s="390"/>
      <c r="Y456" s="390"/>
      <c r="Z456" s="390"/>
      <c r="AA456" s="390"/>
      <c r="AB456" s="390"/>
      <c r="AC456" s="390"/>
      <c r="AD456" s="390"/>
      <c r="AE456" s="390"/>
      <c r="AF456" s="390"/>
      <c r="AG456" s="390"/>
      <c r="AH456" s="390"/>
      <c r="AI456" s="391"/>
      <c r="AK456" s="437"/>
      <c r="AL456" s="437"/>
      <c r="AM456" s="437"/>
      <c r="AN456" s="437"/>
      <c r="AO456" s="437"/>
      <c r="AP456" s="437"/>
      <c r="AQ456" s="437"/>
      <c r="AR456" s="437"/>
      <c r="AS456" s="437"/>
      <c r="AT456" s="437"/>
      <c r="AU456" s="437"/>
      <c r="AV456" s="437"/>
      <c r="AW456" s="437"/>
      <c r="AX456" s="437"/>
      <c r="AY456" s="437"/>
      <c r="AZ456" s="437"/>
      <c r="BA456" s="437"/>
      <c r="BB456" s="437"/>
      <c r="BC456" s="437"/>
      <c r="BD456" s="437"/>
      <c r="BE456" s="437"/>
      <c r="BF456" s="437"/>
      <c r="BG456" s="437"/>
      <c r="BH456" s="437"/>
      <c r="BI456" s="437"/>
      <c r="BJ456" s="437"/>
      <c r="BK456" s="437"/>
      <c r="BL456" s="437"/>
      <c r="BM456" s="393"/>
      <c r="BO456" s="399">
        <f t="shared" si="183"/>
        <v>0</v>
      </c>
      <c r="BP456" s="399">
        <f t="shared" si="184"/>
        <v>0</v>
      </c>
      <c r="BQ456" s="399">
        <f t="shared" si="185"/>
        <v>0</v>
      </c>
      <c r="BR456" s="399">
        <f t="shared" si="186"/>
        <v>0</v>
      </c>
      <c r="BS456" s="399">
        <f t="shared" si="187"/>
        <v>0</v>
      </c>
      <c r="BT456" s="399">
        <f t="shared" si="188"/>
        <v>0</v>
      </c>
      <c r="BU456" s="399">
        <f t="shared" si="189"/>
        <v>0</v>
      </c>
      <c r="BV456" s="399">
        <f t="shared" si="190"/>
        <v>0</v>
      </c>
      <c r="BW456" s="399">
        <f t="shared" si="191"/>
        <v>0</v>
      </c>
      <c r="BX456" s="399">
        <f t="shared" si="192"/>
        <v>0</v>
      </c>
      <c r="BY456" s="399">
        <f t="shared" si="193"/>
        <v>0</v>
      </c>
      <c r="BZ456" s="399">
        <f t="shared" si="194"/>
        <v>0</v>
      </c>
      <c r="CA456" s="399">
        <f t="shared" si="195"/>
        <v>0</v>
      </c>
      <c r="CB456" s="399">
        <f t="shared" si="196"/>
        <v>0</v>
      </c>
      <c r="CC456" s="399">
        <f t="shared" si="197"/>
        <v>0</v>
      </c>
      <c r="CD456" s="399">
        <f t="shared" si="198"/>
        <v>0</v>
      </c>
      <c r="CE456" s="399">
        <f t="shared" si="199"/>
        <v>0</v>
      </c>
      <c r="CF456" s="399">
        <f t="shared" si="200"/>
        <v>0</v>
      </c>
      <c r="CG456" s="399">
        <f t="shared" si="201"/>
        <v>0</v>
      </c>
      <c r="CH456" s="399">
        <f t="shared" si="202"/>
        <v>0</v>
      </c>
      <c r="CI456" s="399">
        <f t="shared" si="203"/>
        <v>0</v>
      </c>
      <c r="CJ456" s="399">
        <f t="shared" si="204"/>
        <v>0</v>
      </c>
      <c r="CK456" s="399">
        <f t="shared" si="205"/>
        <v>0</v>
      </c>
      <c r="CL456" s="399">
        <f t="shared" si="206"/>
        <v>0</v>
      </c>
      <c r="CM456" s="399">
        <f t="shared" si="207"/>
        <v>0</v>
      </c>
      <c r="CN456" s="399">
        <f t="shared" si="208"/>
        <v>0</v>
      </c>
      <c r="CO456" s="399">
        <f t="shared" si="209"/>
        <v>0</v>
      </c>
      <c r="CP456" s="399">
        <f t="shared" si="210"/>
        <v>0</v>
      </c>
      <c r="CQ456" s="423">
        <f t="shared" si="211"/>
        <v>0</v>
      </c>
      <c r="CS456" s="394" t="e">
        <f t="shared" si="212"/>
        <v>#DIV/0!</v>
      </c>
    </row>
    <row r="457" spans="3:97">
      <c r="C457" s="107"/>
      <c r="D457" s="395"/>
      <c r="E457" s="84"/>
      <c r="F457" s="84"/>
      <c r="G457" s="389"/>
      <c r="H457" s="390"/>
      <c r="I457" s="390"/>
      <c r="J457" s="390"/>
      <c r="K457" s="390"/>
      <c r="L457" s="390"/>
      <c r="M457" s="390"/>
      <c r="N457" s="390"/>
      <c r="O457" s="390"/>
      <c r="P457" s="390"/>
      <c r="Q457" s="390"/>
      <c r="R457" s="390"/>
      <c r="S457" s="390"/>
      <c r="T457" s="390"/>
      <c r="U457" s="390"/>
      <c r="V457" s="390"/>
      <c r="W457" s="390"/>
      <c r="X457" s="390"/>
      <c r="Y457" s="390"/>
      <c r="Z457" s="390"/>
      <c r="AA457" s="390"/>
      <c r="AB457" s="390"/>
      <c r="AC457" s="390"/>
      <c r="AD457" s="390"/>
      <c r="AE457" s="390"/>
      <c r="AF457" s="390"/>
      <c r="AG457" s="390"/>
      <c r="AH457" s="390"/>
      <c r="AI457" s="391"/>
      <c r="AK457" s="437"/>
      <c r="AL457" s="437"/>
      <c r="AM457" s="437"/>
      <c r="AN457" s="437"/>
      <c r="AO457" s="437"/>
      <c r="AP457" s="437"/>
      <c r="AQ457" s="437"/>
      <c r="AR457" s="437"/>
      <c r="AS457" s="437"/>
      <c r="AT457" s="437"/>
      <c r="AU457" s="437"/>
      <c r="AV457" s="437"/>
      <c r="AW457" s="437"/>
      <c r="AX457" s="437"/>
      <c r="AY457" s="437"/>
      <c r="AZ457" s="437"/>
      <c r="BA457" s="437"/>
      <c r="BB457" s="437"/>
      <c r="BC457" s="437"/>
      <c r="BD457" s="437"/>
      <c r="BE457" s="437"/>
      <c r="BF457" s="437"/>
      <c r="BG457" s="437"/>
      <c r="BH457" s="437"/>
      <c r="BI457" s="437"/>
      <c r="BJ457" s="437"/>
      <c r="BK457" s="437"/>
      <c r="BL457" s="437"/>
      <c r="BM457" s="393"/>
      <c r="BO457" s="399">
        <f t="shared" si="183"/>
        <v>0</v>
      </c>
      <c r="BP457" s="399">
        <f t="shared" si="184"/>
        <v>0</v>
      </c>
      <c r="BQ457" s="399">
        <f t="shared" si="185"/>
        <v>0</v>
      </c>
      <c r="BR457" s="399">
        <f t="shared" si="186"/>
        <v>0</v>
      </c>
      <c r="BS457" s="399">
        <f t="shared" si="187"/>
        <v>0</v>
      </c>
      <c r="BT457" s="399">
        <f t="shared" si="188"/>
        <v>0</v>
      </c>
      <c r="BU457" s="399">
        <f t="shared" si="189"/>
        <v>0</v>
      </c>
      <c r="BV457" s="399">
        <f t="shared" si="190"/>
        <v>0</v>
      </c>
      <c r="BW457" s="399">
        <f t="shared" si="191"/>
        <v>0</v>
      </c>
      <c r="BX457" s="399">
        <f t="shared" si="192"/>
        <v>0</v>
      </c>
      <c r="BY457" s="399">
        <f t="shared" si="193"/>
        <v>0</v>
      </c>
      <c r="BZ457" s="399">
        <f t="shared" si="194"/>
        <v>0</v>
      </c>
      <c r="CA457" s="399">
        <f t="shared" si="195"/>
        <v>0</v>
      </c>
      <c r="CB457" s="399">
        <f t="shared" si="196"/>
        <v>0</v>
      </c>
      <c r="CC457" s="399">
        <f t="shared" si="197"/>
        <v>0</v>
      </c>
      <c r="CD457" s="399">
        <f t="shared" si="198"/>
        <v>0</v>
      </c>
      <c r="CE457" s="399">
        <f t="shared" si="199"/>
        <v>0</v>
      </c>
      <c r="CF457" s="399">
        <f t="shared" si="200"/>
        <v>0</v>
      </c>
      <c r="CG457" s="399">
        <f t="shared" si="201"/>
        <v>0</v>
      </c>
      <c r="CH457" s="399">
        <f t="shared" si="202"/>
        <v>0</v>
      </c>
      <c r="CI457" s="399">
        <f t="shared" si="203"/>
        <v>0</v>
      </c>
      <c r="CJ457" s="399">
        <f t="shared" si="204"/>
        <v>0</v>
      </c>
      <c r="CK457" s="399">
        <f t="shared" si="205"/>
        <v>0</v>
      </c>
      <c r="CL457" s="399">
        <f t="shared" si="206"/>
        <v>0</v>
      </c>
      <c r="CM457" s="399">
        <f t="shared" si="207"/>
        <v>0</v>
      </c>
      <c r="CN457" s="399">
        <f t="shared" si="208"/>
        <v>0</v>
      </c>
      <c r="CO457" s="399">
        <f t="shared" si="209"/>
        <v>0</v>
      </c>
      <c r="CP457" s="399">
        <f t="shared" si="210"/>
        <v>0</v>
      </c>
      <c r="CQ457" s="423">
        <f t="shared" si="211"/>
        <v>0</v>
      </c>
      <c r="CS457" s="394" t="e">
        <f t="shared" si="212"/>
        <v>#DIV/0!</v>
      </c>
    </row>
    <row r="458" spans="3:97">
      <c r="C458" s="107"/>
      <c r="D458" s="395"/>
      <c r="E458" s="84"/>
      <c r="F458" s="84"/>
      <c r="G458" s="389"/>
      <c r="H458" s="390"/>
      <c r="I458" s="390"/>
      <c r="J458" s="390"/>
      <c r="K458" s="390"/>
      <c r="L458" s="390"/>
      <c r="M458" s="390"/>
      <c r="N458" s="390"/>
      <c r="O458" s="390"/>
      <c r="P458" s="390"/>
      <c r="Q458" s="390"/>
      <c r="R458" s="390"/>
      <c r="S458" s="390"/>
      <c r="T458" s="390"/>
      <c r="U458" s="390"/>
      <c r="V458" s="390"/>
      <c r="W458" s="390"/>
      <c r="X458" s="390"/>
      <c r="Y458" s="390"/>
      <c r="Z458" s="390"/>
      <c r="AA458" s="390"/>
      <c r="AB458" s="390"/>
      <c r="AC458" s="390"/>
      <c r="AD458" s="390"/>
      <c r="AE458" s="390"/>
      <c r="AF458" s="390"/>
      <c r="AG458" s="390"/>
      <c r="AH458" s="390"/>
      <c r="AI458" s="391"/>
      <c r="AK458" s="437"/>
      <c r="AL458" s="437"/>
      <c r="AM458" s="437"/>
      <c r="AN458" s="437"/>
      <c r="AO458" s="437"/>
      <c r="AP458" s="437"/>
      <c r="AQ458" s="437"/>
      <c r="AR458" s="437"/>
      <c r="AS458" s="437"/>
      <c r="AT458" s="437"/>
      <c r="AU458" s="437"/>
      <c r="AV458" s="437"/>
      <c r="AW458" s="437"/>
      <c r="AX458" s="437"/>
      <c r="AY458" s="437"/>
      <c r="AZ458" s="437"/>
      <c r="BA458" s="437"/>
      <c r="BB458" s="437"/>
      <c r="BC458" s="437"/>
      <c r="BD458" s="437"/>
      <c r="BE458" s="437"/>
      <c r="BF458" s="437"/>
      <c r="BG458" s="437"/>
      <c r="BH458" s="437"/>
      <c r="BI458" s="437"/>
      <c r="BJ458" s="437"/>
      <c r="BK458" s="437"/>
      <c r="BL458" s="437"/>
      <c r="BM458" s="393"/>
      <c r="BO458" s="399">
        <f t="shared" si="183"/>
        <v>0</v>
      </c>
      <c r="BP458" s="399">
        <f t="shared" si="184"/>
        <v>0</v>
      </c>
      <c r="BQ458" s="399">
        <f t="shared" si="185"/>
        <v>0</v>
      </c>
      <c r="BR458" s="399">
        <f t="shared" si="186"/>
        <v>0</v>
      </c>
      <c r="BS458" s="399">
        <f t="shared" si="187"/>
        <v>0</v>
      </c>
      <c r="BT458" s="399">
        <f t="shared" si="188"/>
        <v>0</v>
      </c>
      <c r="BU458" s="399">
        <f t="shared" si="189"/>
        <v>0</v>
      </c>
      <c r="BV458" s="399">
        <f t="shared" si="190"/>
        <v>0</v>
      </c>
      <c r="BW458" s="399">
        <f t="shared" si="191"/>
        <v>0</v>
      </c>
      <c r="BX458" s="399">
        <f t="shared" si="192"/>
        <v>0</v>
      </c>
      <c r="BY458" s="399">
        <f t="shared" si="193"/>
        <v>0</v>
      </c>
      <c r="BZ458" s="399">
        <f t="shared" si="194"/>
        <v>0</v>
      </c>
      <c r="CA458" s="399">
        <f t="shared" si="195"/>
        <v>0</v>
      </c>
      <c r="CB458" s="399">
        <f t="shared" si="196"/>
        <v>0</v>
      </c>
      <c r="CC458" s="399">
        <f t="shared" si="197"/>
        <v>0</v>
      </c>
      <c r="CD458" s="399">
        <f t="shared" si="198"/>
        <v>0</v>
      </c>
      <c r="CE458" s="399">
        <f t="shared" si="199"/>
        <v>0</v>
      </c>
      <c r="CF458" s="399">
        <f t="shared" si="200"/>
        <v>0</v>
      </c>
      <c r="CG458" s="399">
        <f t="shared" si="201"/>
        <v>0</v>
      </c>
      <c r="CH458" s="399">
        <f t="shared" si="202"/>
        <v>0</v>
      </c>
      <c r="CI458" s="399">
        <f t="shared" si="203"/>
        <v>0</v>
      </c>
      <c r="CJ458" s="399">
        <f t="shared" si="204"/>
        <v>0</v>
      </c>
      <c r="CK458" s="399">
        <f t="shared" si="205"/>
        <v>0</v>
      </c>
      <c r="CL458" s="399">
        <f t="shared" si="206"/>
        <v>0</v>
      </c>
      <c r="CM458" s="399">
        <f t="shared" si="207"/>
        <v>0</v>
      </c>
      <c r="CN458" s="399">
        <f t="shared" si="208"/>
        <v>0</v>
      </c>
      <c r="CO458" s="399">
        <f t="shared" si="209"/>
        <v>0</v>
      </c>
      <c r="CP458" s="399">
        <f t="shared" si="210"/>
        <v>0</v>
      </c>
      <c r="CQ458" s="423">
        <f t="shared" si="211"/>
        <v>0</v>
      </c>
      <c r="CS458" s="394" t="e">
        <f t="shared" si="212"/>
        <v>#DIV/0!</v>
      </c>
    </row>
    <row r="459" spans="3:97">
      <c r="C459" s="107"/>
      <c r="D459" s="395"/>
      <c r="E459" s="84"/>
      <c r="F459" s="84"/>
      <c r="G459" s="389"/>
      <c r="H459" s="390"/>
      <c r="I459" s="390"/>
      <c r="J459" s="390"/>
      <c r="K459" s="390"/>
      <c r="L459" s="390"/>
      <c r="M459" s="390"/>
      <c r="N459" s="390"/>
      <c r="O459" s="390"/>
      <c r="P459" s="390"/>
      <c r="Q459" s="390"/>
      <c r="R459" s="390"/>
      <c r="S459" s="390"/>
      <c r="T459" s="390"/>
      <c r="U459" s="390"/>
      <c r="V459" s="390"/>
      <c r="W459" s="390"/>
      <c r="X459" s="390"/>
      <c r="Y459" s="390"/>
      <c r="Z459" s="390"/>
      <c r="AA459" s="390"/>
      <c r="AB459" s="390"/>
      <c r="AC459" s="390"/>
      <c r="AD459" s="390"/>
      <c r="AE459" s="390"/>
      <c r="AF459" s="390"/>
      <c r="AG459" s="390"/>
      <c r="AH459" s="390"/>
      <c r="AI459" s="391"/>
      <c r="AK459" s="437"/>
      <c r="AL459" s="437"/>
      <c r="AM459" s="437"/>
      <c r="AN459" s="437"/>
      <c r="AO459" s="437"/>
      <c r="AP459" s="437"/>
      <c r="AQ459" s="437"/>
      <c r="AR459" s="437"/>
      <c r="AS459" s="437"/>
      <c r="AT459" s="437"/>
      <c r="AU459" s="437"/>
      <c r="AV459" s="437"/>
      <c r="AW459" s="437"/>
      <c r="AX459" s="437"/>
      <c r="AY459" s="437"/>
      <c r="AZ459" s="437"/>
      <c r="BA459" s="437"/>
      <c r="BB459" s="437"/>
      <c r="BC459" s="437"/>
      <c r="BD459" s="437"/>
      <c r="BE459" s="437"/>
      <c r="BF459" s="437"/>
      <c r="BG459" s="437"/>
      <c r="BH459" s="437"/>
      <c r="BI459" s="437"/>
      <c r="BJ459" s="437"/>
      <c r="BK459" s="437"/>
      <c r="BL459" s="437"/>
      <c r="BM459" s="393"/>
      <c r="BO459" s="399">
        <f t="shared" si="183"/>
        <v>0</v>
      </c>
      <c r="BP459" s="399">
        <f t="shared" si="184"/>
        <v>0</v>
      </c>
      <c r="BQ459" s="399">
        <f t="shared" si="185"/>
        <v>0</v>
      </c>
      <c r="BR459" s="399">
        <f t="shared" si="186"/>
        <v>0</v>
      </c>
      <c r="BS459" s="399">
        <f t="shared" si="187"/>
        <v>0</v>
      </c>
      <c r="BT459" s="399">
        <f t="shared" si="188"/>
        <v>0</v>
      </c>
      <c r="BU459" s="399">
        <f t="shared" si="189"/>
        <v>0</v>
      </c>
      <c r="BV459" s="399">
        <f t="shared" si="190"/>
        <v>0</v>
      </c>
      <c r="BW459" s="399">
        <f t="shared" si="191"/>
        <v>0</v>
      </c>
      <c r="BX459" s="399">
        <f t="shared" si="192"/>
        <v>0</v>
      </c>
      <c r="BY459" s="399">
        <f t="shared" si="193"/>
        <v>0</v>
      </c>
      <c r="BZ459" s="399">
        <f t="shared" si="194"/>
        <v>0</v>
      </c>
      <c r="CA459" s="399">
        <f t="shared" si="195"/>
        <v>0</v>
      </c>
      <c r="CB459" s="399">
        <f t="shared" si="196"/>
        <v>0</v>
      </c>
      <c r="CC459" s="399">
        <f t="shared" si="197"/>
        <v>0</v>
      </c>
      <c r="CD459" s="399">
        <f t="shared" si="198"/>
        <v>0</v>
      </c>
      <c r="CE459" s="399">
        <f t="shared" si="199"/>
        <v>0</v>
      </c>
      <c r="CF459" s="399">
        <f t="shared" si="200"/>
        <v>0</v>
      </c>
      <c r="CG459" s="399">
        <f t="shared" si="201"/>
        <v>0</v>
      </c>
      <c r="CH459" s="399">
        <f t="shared" si="202"/>
        <v>0</v>
      </c>
      <c r="CI459" s="399">
        <f t="shared" si="203"/>
        <v>0</v>
      </c>
      <c r="CJ459" s="399">
        <f t="shared" si="204"/>
        <v>0</v>
      </c>
      <c r="CK459" s="399">
        <f t="shared" si="205"/>
        <v>0</v>
      </c>
      <c r="CL459" s="399">
        <f t="shared" si="206"/>
        <v>0</v>
      </c>
      <c r="CM459" s="399">
        <f t="shared" si="207"/>
        <v>0</v>
      </c>
      <c r="CN459" s="399">
        <f t="shared" si="208"/>
        <v>0</v>
      </c>
      <c r="CO459" s="399">
        <f t="shared" si="209"/>
        <v>0</v>
      </c>
      <c r="CP459" s="399">
        <f t="shared" si="210"/>
        <v>0</v>
      </c>
      <c r="CQ459" s="423">
        <f t="shared" si="211"/>
        <v>0</v>
      </c>
      <c r="CS459" s="394" t="e">
        <f t="shared" si="212"/>
        <v>#DIV/0!</v>
      </c>
    </row>
    <row r="460" spans="3:97">
      <c r="C460" s="107"/>
      <c r="D460" s="395"/>
      <c r="E460" s="84"/>
      <c r="F460" s="84"/>
      <c r="G460" s="389"/>
      <c r="H460" s="390"/>
      <c r="I460" s="390"/>
      <c r="J460" s="390"/>
      <c r="K460" s="390"/>
      <c r="L460" s="390"/>
      <c r="M460" s="390"/>
      <c r="N460" s="390"/>
      <c r="O460" s="390"/>
      <c r="P460" s="390"/>
      <c r="Q460" s="390"/>
      <c r="R460" s="390"/>
      <c r="S460" s="390"/>
      <c r="T460" s="390"/>
      <c r="U460" s="390"/>
      <c r="V460" s="390"/>
      <c r="W460" s="390"/>
      <c r="X460" s="390"/>
      <c r="Y460" s="390"/>
      <c r="Z460" s="390"/>
      <c r="AA460" s="390"/>
      <c r="AB460" s="390"/>
      <c r="AC460" s="390"/>
      <c r="AD460" s="390"/>
      <c r="AE460" s="390"/>
      <c r="AF460" s="390"/>
      <c r="AG460" s="390"/>
      <c r="AH460" s="390"/>
      <c r="AI460" s="391"/>
      <c r="AK460" s="437"/>
      <c r="AL460" s="437"/>
      <c r="AM460" s="437"/>
      <c r="AN460" s="437"/>
      <c r="AO460" s="437"/>
      <c r="AP460" s="437"/>
      <c r="AQ460" s="437"/>
      <c r="AR460" s="437"/>
      <c r="AS460" s="437"/>
      <c r="AT460" s="437"/>
      <c r="AU460" s="437"/>
      <c r="AV460" s="437"/>
      <c r="AW460" s="437"/>
      <c r="AX460" s="437"/>
      <c r="AY460" s="437"/>
      <c r="AZ460" s="437"/>
      <c r="BA460" s="437"/>
      <c r="BB460" s="437"/>
      <c r="BC460" s="437"/>
      <c r="BD460" s="437"/>
      <c r="BE460" s="437"/>
      <c r="BF460" s="437"/>
      <c r="BG460" s="437"/>
      <c r="BH460" s="437"/>
      <c r="BI460" s="437"/>
      <c r="BJ460" s="437"/>
      <c r="BK460" s="437"/>
      <c r="BL460" s="437"/>
      <c r="BM460" s="393"/>
      <c r="BO460" s="399">
        <f t="shared" si="183"/>
        <v>0</v>
      </c>
      <c r="BP460" s="399">
        <f t="shared" si="184"/>
        <v>0</v>
      </c>
      <c r="BQ460" s="399">
        <f t="shared" si="185"/>
        <v>0</v>
      </c>
      <c r="BR460" s="399">
        <f t="shared" si="186"/>
        <v>0</v>
      </c>
      <c r="BS460" s="399">
        <f t="shared" si="187"/>
        <v>0</v>
      </c>
      <c r="BT460" s="399">
        <f t="shared" si="188"/>
        <v>0</v>
      </c>
      <c r="BU460" s="399">
        <f t="shared" si="189"/>
        <v>0</v>
      </c>
      <c r="BV460" s="399">
        <f t="shared" si="190"/>
        <v>0</v>
      </c>
      <c r="BW460" s="399">
        <f t="shared" si="191"/>
        <v>0</v>
      </c>
      <c r="BX460" s="399">
        <f t="shared" si="192"/>
        <v>0</v>
      </c>
      <c r="BY460" s="399">
        <f t="shared" si="193"/>
        <v>0</v>
      </c>
      <c r="BZ460" s="399">
        <f t="shared" si="194"/>
        <v>0</v>
      </c>
      <c r="CA460" s="399">
        <f t="shared" si="195"/>
        <v>0</v>
      </c>
      <c r="CB460" s="399">
        <f t="shared" si="196"/>
        <v>0</v>
      </c>
      <c r="CC460" s="399">
        <f t="shared" si="197"/>
        <v>0</v>
      </c>
      <c r="CD460" s="399">
        <f t="shared" si="198"/>
        <v>0</v>
      </c>
      <c r="CE460" s="399">
        <f t="shared" si="199"/>
        <v>0</v>
      </c>
      <c r="CF460" s="399">
        <f t="shared" si="200"/>
        <v>0</v>
      </c>
      <c r="CG460" s="399">
        <f t="shared" si="201"/>
        <v>0</v>
      </c>
      <c r="CH460" s="399">
        <f t="shared" si="202"/>
        <v>0</v>
      </c>
      <c r="CI460" s="399">
        <f t="shared" si="203"/>
        <v>0</v>
      </c>
      <c r="CJ460" s="399">
        <f t="shared" si="204"/>
        <v>0</v>
      </c>
      <c r="CK460" s="399">
        <f t="shared" si="205"/>
        <v>0</v>
      </c>
      <c r="CL460" s="399">
        <f t="shared" si="206"/>
        <v>0</v>
      </c>
      <c r="CM460" s="399">
        <f t="shared" si="207"/>
        <v>0</v>
      </c>
      <c r="CN460" s="399">
        <f t="shared" si="208"/>
        <v>0</v>
      </c>
      <c r="CO460" s="399">
        <f t="shared" si="209"/>
        <v>0</v>
      </c>
      <c r="CP460" s="399">
        <f t="shared" si="210"/>
        <v>0</v>
      </c>
      <c r="CQ460" s="423">
        <f t="shared" si="211"/>
        <v>0</v>
      </c>
      <c r="CS460" s="394" t="e">
        <f t="shared" si="212"/>
        <v>#DIV/0!</v>
      </c>
    </row>
    <row r="461" spans="3:97">
      <c r="C461" s="107"/>
      <c r="D461" s="395"/>
      <c r="E461" s="84"/>
      <c r="F461" s="84"/>
      <c r="G461" s="389"/>
      <c r="H461" s="390"/>
      <c r="I461" s="390"/>
      <c r="J461" s="390"/>
      <c r="K461" s="390"/>
      <c r="L461" s="390"/>
      <c r="M461" s="390"/>
      <c r="N461" s="390"/>
      <c r="O461" s="390"/>
      <c r="P461" s="390"/>
      <c r="Q461" s="390"/>
      <c r="R461" s="390"/>
      <c r="S461" s="390"/>
      <c r="T461" s="390"/>
      <c r="U461" s="390"/>
      <c r="V461" s="390"/>
      <c r="W461" s="390"/>
      <c r="X461" s="390"/>
      <c r="Y461" s="390"/>
      <c r="Z461" s="390"/>
      <c r="AA461" s="390"/>
      <c r="AB461" s="390"/>
      <c r="AC461" s="390"/>
      <c r="AD461" s="390"/>
      <c r="AE461" s="390"/>
      <c r="AF461" s="390"/>
      <c r="AG461" s="390"/>
      <c r="AH461" s="390"/>
      <c r="AI461" s="391"/>
      <c r="AK461" s="437"/>
      <c r="AL461" s="437"/>
      <c r="AM461" s="437"/>
      <c r="AN461" s="437"/>
      <c r="AO461" s="437"/>
      <c r="AP461" s="437"/>
      <c r="AQ461" s="437"/>
      <c r="AR461" s="437"/>
      <c r="AS461" s="437"/>
      <c r="AT461" s="437"/>
      <c r="AU461" s="437"/>
      <c r="AV461" s="437"/>
      <c r="AW461" s="437"/>
      <c r="AX461" s="437"/>
      <c r="AY461" s="437"/>
      <c r="AZ461" s="437"/>
      <c r="BA461" s="437"/>
      <c r="BB461" s="437"/>
      <c r="BC461" s="437"/>
      <c r="BD461" s="437"/>
      <c r="BE461" s="437"/>
      <c r="BF461" s="437"/>
      <c r="BG461" s="437"/>
      <c r="BH461" s="437"/>
      <c r="BI461" s="437"/>
      <c r="BJ461" s="437"/>
      <c r="BK461" s="437"/>
      <c r="BL461" s="437"/>
      <c r="BM461" s="393"/>
      <c r="BO461" s="399">
        <f t="shared" si="183"/>
        <v>0</v>
      </c>
      <c r="BP461" s="399">
        <f t="shared" si="184"/>
        <v>0</v>
      </c>
      <c r="BQ461" s="399">
        <f t="shared" si="185"/>
        <v>0</v>
      </c>
      <c r="BR461" s="399">
        <f t="shared" si="186"/>
        <v>0</v>
      </c>
      <c r="BS461" s="399">
        <f t="shared" si="187"/>
        <v>0</v>
      </c>
      <c r="BT461" s="399">
        <f t="shared" si="188"/>
        <v>0</v>
      </c>
      <c r="BU461" s="399">
        <f t="shared" si="189"/>
        <v>0</v>
      </c>
      <c r="BV461" s="399">
        <f t="shared" si="190"/>
        <v>0</v>
      </c>
      <c r="BW461" s="399">
        <f t="shared" si="191"/>
        <v>0</v>
      </c>
      <c r="BX461" s="399">
        <f t="shared" si="192"/>
        <v>0</v>
      </c>
      <c r="BY461" s="399">
        <f t="shared" si="193"/>
        <v>0</v>
      </c>
      <c r="BZ461" s="399">
        <f t="shared" si="194"/>
        <v>0</v>
      </c>
      <c r="CA461" s="399">
        <f t="shared" si="195"/>
        <v>0</v>
      </c>
      <c r="CB461" s="399">
        <f t="shared" si="196"/>
        <v>0</v>
      </c>
      <c r="CC461" s="399">
        <f t="shared" si="197"/>
        <v>0</v>
      </c>
      <c r="CD461" s="399">
        <f t="shared" si="198"/>
        <v>0</v>
      </c>
      <c r="CE461" s="399">
        <f t="shared" si="199"/>
        <v>0</v>
      </c>
      <c r="CF461" s="399">
        <f t="shared" si="200"/>
        <v>0</v>
      </c>
      <c r="CG461" s="399">
        <f t="shared" si="201"/>
        <v>0</v>
      </c>
      <c r="CH461" s="399">
        <f t="shared" si="202"/>
        <v>0</v>
      </c>
      <c r="CI461" s="399">
        <f t="shared" si="203"/>
        <v>0</v>
      </c>
      <c r="CJ461" s="399">
        <f t="shared" si="204"/>
        <v>0</v>
      </c>
      <c r="CK461" s="399">
        <f t="shared" si="205"/>
        <v>0</v>
      </c>
      <c r="CL461" s="399">
        <f t="shared" si="206"/>
        <v>0</v>
      </c>
      <c r="CM461" s="399">
        <f t="shared" si="207"/>
        <v>0</v>
      </c>
      <c r="CN461" s="399">
        <f t="shared" si="208"/>
        <v>0</v>
      </c>
      <c r="CO461" s="399">
        <f t="shared" si="209"/>
        <v>0</v>
      </c>
      <c r="CP461" s="399">
        <f t="shared" si="210"/>
        <v>0</v>
      </c>
      <c r="CQ461" s="423">
        <f t="shared" si="211"/>
        <v>0</v>
      </c>
      <c r="CS461" s="394" t="e">
        <f t="shared" si="212"/>
        <v>#DIV/0!</v>
      </c>
    </row>
    <row r="462" spans="3:97">
      <c r="C462" s="107"/>
      <c r="D462" s="395"/>
      <c r="E462" s="84"/>
      <c r="F462" s="84"/>
      <c r="G462" s="389"/>
      <c r="H462" s="390"/>
      <c r="I462" s="390"/>
      <c r="J462" s="390"/>
      <c r="K462" s="390"/>
      <c r="L462" s="390"/>
      <c r="M462" s="390"/>
      <c r="N462" s="390"/>
      <c r="O462" s="390"/>
      <c r="P462" s="390"/>
      <c r="Q462" s="390"/>
      <c r="R462" s="390"/>
      <c r="S462" s="390"/>
      <c r="T462" s="390"/>
      <c r="U462" s="390"/>
      <c r="V462" s="390"/>
      <c r="W462" s="390"/>
      <c r="X462" s="390"/>
      <c r="Y462" s="390"/>
      <c r="Z462" s="390"/>
      <c r="AA462" s="390"/>
      <c r="AB462" s="390"/>
      <c r="AC462" s="390"/>
      <c r="AD462" s="390"/>
      <c r="AE462" s="390"/>
      <c r="AF462" s="390"/>
      <c r="AG462" s="390"/>
      <c r="AH462" s="390"/>
      <c r="AI462" s="391"/>
      <c r="AK462" s="437"/>
      <c r="AL462" s="437"/>
      <c r="AM462" s="437"/>
      <c r="AN462" s="437"/>
      <c r="AO462" s="437"/>
      <c r="AP462" s="437"/>
      <c r="AQ462" s="437"/>
      <c r="AR462" s="437"/>
      <c r="AS462" s="437"/>
      <c r="AT462" s="437"/>
      <c r="AU462" s="437"/>
      <c r="AV462" s="437"/>
      <c r="AW462" s="437"/>
      <c r="AX462" s="437"/>
      <c r="AY462" s="437"/>
      <c r="AZ462" s="437"/>
      <c r="BA462" s="437"/>
      <c r="BB462" s="437"/>
      <c r="BC462" s="437"/>
      <c r="BD462" s="437"/>
      <c r="BE462" s="437"/>
      <c r="BF462" s="437"/>
      <c r="BG462" s="437"/>
      <c r="BH462" s="437"/>
      <c r="BI462" s="437"/>
      <c r="BJ462" s="437"/>
      <c r="BK462" s="437"/>
      <c r="BL462" s="437"/>
      <c r="BM462" s="393"/>
      <c r="BO462" s="399">
        <f t="shared" si="183"/>
        <v>0</v>
      </c>
      <c r="BP462" s="399">
        <f t="shared" si="184"/>
        <v>0</v>
      </c>
      <c r="BQ462" s="399">
        <f t="shared" si="185"/>
        <v>0</v>
      </c>
      <c r="BR462" s="399">
        <f t="shared" si="186"/>
        <v>0</v>
      </c>
      <c r="BS462" s="399">
        <f t="shared" si="187"/>
        <v>0</v>
      </c>
      <c r="BT462" s="399">
        <f t="shared" si="188"/>
        <v>0</v>
      </c>
      <c r="BU462" s="399">
        <f t="shared" si="189"/>
        <v>0</v>
      </c>
      <c r="BV462" s="399">
        <f t="shared" si="190"/>
        <v>0</v>
      </c>
      <c r="BW462" s="399">
        <f t="shared" si="191"/>
        <v>0</v>
      </c>
      <c r="BX462" s="399">
        <f t="shared" si="192"/>
        <v>0</v>
      </c>
      <c r="BY462" s="399">
        <f t="shared" si="193"/>
        <v>0</v>
      </c>
      <c r="BZ462" s="399">
        <f t="shared" si="194"/>
        <v>0</v>
      </c>
      <c r="CA462" s="399">
        <f t="shared" si="195"/>
        <v>0</v>
      </c>
      <c r="CB462" s="399">
        <f t="shared" si="196"/>
        <v>0</v>
      </c>
      <c r="CC462" s="399">
        <f t="shared" si="197"/>
        <v>0</v>
      </c>
      <c r="CD462" s="399">
        <f t="shared" si="198"/>
        <v>0</v>
      </c>
      <c r="CE462" s="399">
        <f t="shared" si="199"/>
        <v>0</v>
      </c>
      <c r="CF462" s="399">
        <f t="shared" si="200"/>
        <v>0</v>
      </c>
      <c r="CG462" s="399">
        <f t="shared" si="201"/>
        <v>0</v>
      </c>
      <c r="CH462" s="399">
        <f t="shared" si="202"/>
        <v>0</v>
      </c>
      <c r="CI462" s="399">
        <f t="shared" si="203"/>
        <v>0</v>
      </c>
      <c r="CJ462" s="399">
        <f t="shared" si="204"/>
        <v>0</v>
      </c>
      <c r="CK462" s="399">
        <f t="shared" si="205"/>
        <v>0</v>
      </c>
      <c r="CL462" s="399">
        <f t="shared" si="206"/>
        <v>0</v>
      </c>
      <c r="CM462" s="399">
        <f t="shared" si="207"/>
        <v>0</v>
      </c>
      <c r="CN462" s="399">
        <f t="shared" si="208"/>
        <v>0</v>
      </c>
      <c r="CO462" s="399">
        <f t="shared" si="209"/>
        <v>0</v>
      </c>
      <c r="CP462" s="399">
        <f t="shared" si="210"/>
        <v>0</v>
      </c>
      <c r="CQ462" s="423">
        <f t="shared" si="211"/>
        <v>0</v>
      </c>
      <c r="CS462" s="394" t="e">
        <f t="shared" si="212"/>
        <v>#DIV/0!</v>
      </c>
    </row>
    <row r="463" spans="3:97">
      <c r="C463" s="107"/>
      <c r="D463" s="395"/>
      <c r="E463" s="84"/>
      <c r="F463" s="84"/>
      <c r="G463" s="389"/>
      <c r="H463" s="390"/>
      <c r="I463" s="390"/>
      <c r="J463" s="390"/>
      <c r="K463" s="390"/>
      <c r="L463" s="390"/>
      <c r="M463" s="390"/>
      <c r="N463" s="390"/>
      <c r="O463" s="390"/>
      <c r="P463" s="390"/>
      <c r="Q463" s="390"/>
      <c r="R463" s="390"/>
      <c r="S463" s="390"/>
      <c r="T463" s="390"/>
      <c r="U463" s="390"/>
      <c r="V463" s="390"/>
      <c r="W463" s="390"/>
      <c r="X463" s="390"/>
      <c r="Y463" s="390"/>
      <c r="Z463" s="390"/>
      <c r="AA463" s="390"/>
      <c r="AB463" s="390"/>
      <c r="AC463" s="390"/>
      <c r="AD463" s="390"/>
      <c r="AE463" s="390"/>
      <c r="AF463" s="390"/>
      <c r="AG463" s="390"/>
      <c r="AH463" s="390"/>
      <c r="AI463" s="391"/>
      <c r="AK463" s="437"/>
      <c r="AL463" s="437"/>
      <c r="AM463" s="437"/>
      <c r="AN463" s="437"/>
      <c r="AO463" s="437"/>
      <c r="AP463" s="437"/>
      <c r="AQ463" s="437"/>
      <c r="AR463" s="437"/>
      <c r="AS463" s="437"/>
      <c r="AT463" s="437"/>
      <c r="AU463" s="437"/>
      <c r="AV463" s="437"/>
      <c r="AW463" s="437"/>
      <c r="AX463" s="437"/>
      <c r="AY463" s="437"/>
      <c r="AZ463" s="437"/>
      <c r="BA463" s="437"/>
      <c r="BB463" s="437"/>
      <c r="BC463" s="437"/>
      <c r="BD463" s="437"/>
      <c r="BE463" s="437"/>
      <c r="BF463" s="437"/>
      <c r="BG463" s="437"/>
      <c r="BH463" s="437"/>
      <c r="BI463" s="437"/>
      <c r="BJ463" s="437"/>
      <c r="BK463" s="437"/>
      <c r="BL463" s="437"/>
      <c r="BM463" s="393"/>
      <c r="BO463" s="399">
        <f t="shared" si="183"/>
        <v>0</v>
      </c>
      <c r="BP463" s="399">
        <f t="shared" si="184"/>
        <v>0</v>
      </c>
      <c r="BQ463" s="399">
        <f t="shared" si="185"/>
        <v>0</v>
      </c>
      <c r="BR463" s="399">
        <f t="shared" si="186"/>
        <v>0</v>
      </c>
      <c r="BS463" s="399">
        <f t="shared" si="187"/>
        <v>0</v>
      </c>
      <c r="BT463" s="399">
        <f t="shared" si="188"/>
        <v>0</v>
      </c>
      <c r="BU463" s="399">
        <f t="shared" si="189"/>
        <v>0</v>
      </c>
      <c r="BV463" s="399">
        <f t="shared" si="190"/>
        <v>0</v>
      </c>
      <c r="BW463" s="399">
        <f t="shared" si="191"/>
        <v>0</v>
      </c>
      <c r="BX463" s="399">
        <f t="shared" si="192"/>
        <v>0</v>
      </c>
      <c r="BY463" s="399">
        <f t="shared" si="193"/>
        <v>0</v>
      </c>
      <c r="BZ463" s="399">
        <f t="shared" si="194"/>
        <v>0</v>
      </c>
      <c r="CA463" s="399">
        <f t="shared" si="195"/>
        <v>0</v>
      </c>
      <c r="CB463" s="399">
        <f t="shared" si="196"/>
        <v>0</v>
      </c>
      <c r="CC463" s="399">
        <f t="shared" si="197"/>
        <v>0</v>
      </c>
      <c r="CD463" s="399">
        <f t="shared" si="198"/>
        <v>0</v>
      </c>
      <c r="CE463" s="399">
        <f t="shared" si="199"/>
        <v>0</v>
      </c>
      <c r="CF463" s="399">
        <f t="shared" si="200"/>
        <v>0</v>
      </c>
      <c r="CG463" s="399">
        <f t="shared" si="201"/>
        <v>0</v>
      </c>
      <c r="CH463" s="399">
        <f t="shared" si="202"/>
        <v>0</v>
      </c>
      <c r="CI463" s="399">
        <f t="shared" si="203"/>
        <v>0</v>
      </c>
      <c r="CJ463" s="399">
        <f t="shared" si="204"/>
        <v>0</v>
      </c>
      <c r="CK463" s="399">
        <f t="shared" si="205"/>
        <v>0</v>
      </c>
      <c r="CL463" s="399">
        <f t="shared" si="206"/>
        <v>0</v>
      </c>
      <c r="CM463" s="399">
        <f t="shared" si="207"/>
        <v>0</v>
      </c>
      <c r="CN463" s="399">
        <f t="shared" si="208"/>
        <v>0</v>
      </c>
      <c r="CO463" s="399">
        <f t="shared" si="209"/>
        <v>0</v>
      </c>
      <c r="CP463" s="399">
        <f t="shared" si="210"/>
        <v>0</v>
      </c>
      <c r="CQ463" s="423">
        <f t="shared" si="211"/>
        <v>0</v>
      </c>
      <c r="CS463" s="394" t="e">
        <f t="shared" si="212"/>
        <v>#DIV/0!</v>
      </c>
    </row>
    <row r="464" spans="3:97">
      <c r="C464" s="107"/>
      <c r="D464" s="395"/>
      <c r="E464" s="84"/>
      <c r="F464" s="84"/>
      <c r="G464" s="389"/>
      <c r="H464" s="390"/>
      <c r="I464" s="390"/>
      <c r="J464" s="390"/>
      <c r="K464" s="390"/>
      <c r="L464" s="390"/>
      <c r="M464" s="390"/>
      <c r="N464" s="390"/>
      <c r="O464" s="390"/>
      <c r="P464" s="390"/>
      <c r="Q464" s="390"/>
      <c r="R464" s="390"/>
      <c r="S464" s="390"/>
      <c r="T464" s="390"/>
      <c r="U464" s="390"/>
      <c r="V464" s="390"/>
      <c r="W464" s="390"/>
      <c r="X464" s="390"/>
      <c r="Y464" s="390"/>
      <c r="Z464" s="390"/>
      <c r="AA464" s="390"/>
      <c r="AB464" s="390"/>
      <c r="AC464" s="390"/>
      <c r="AD464" s="390"/>
      <c r="AE464" s="390"/>
      <c r="AF464" s="390"/>
      <c r="AG464" s="390"/>
      <c r="AH464" s="390"/>
      <c r="AI464" s="391"/>
      <c r="AK464" s="437"/>
      <c r="AL464" s="437"/>
      <c r="AM464" s="437"/>
      <c r="AN464" s="437"/>
      <c r="AO464" s="437"/>
      <c r="AP464" s="437"/>
      <c r="AQ464" s="437"/>
      <c r="AR464" s="437"/>
      <c r="AS464" s="437"/>
      <c r="AT464" s="437"/>
      <c r="AU464" s="437"/>
      <c r="AV464" s="437"/>
      <c r="AW464" s="437"/>
      <c r="AX464" s="437"/>
      <c r="AY464" s="437"/>
      <c r="AZ464" s="437"/>
      <c r="BA464" s="437"/>
      <c r="BB464" s="437"/>
      <c r="BC464" s="437"/>
      <c r="BD464" s="437"/>
      <c r="BE464" s="437"/>
      <c r="BF464" s="437"/>
      <c r="BG464" s="437"/>
      <c r="BH464" s="437"/>
      <c r="BI464" s="437"/>
      <c r="BJ464" s="437"/>
      <c r="BK464" s="437"/>
      <c r="BL464" s="437"/>
      <c r="BM464" s="393"/>
      <c r="BO464" s="399">
        <f t="shared" si="183"/>
        <v>0</v>
      </c>
      <c r="BP464" s="399">
        <f t="shared" si="184"/>
        <v>0</v>
      </c>
      <c r="BQ464" s="399">
        <f t="shared" si="185"/>
        <v>0</v>
      </c>
      <c r="BR464" s="399">
        <f t="shared" si="186"/>
        <v>0</v>
      </c>
      <c r="BS464" s="399">
        <f t="shared" si="187"/>
        <v>0</v>
      </c>
      <c r="BT464" s="399">
        <f t="shared" si="188"/>
        <v>0</v>
      </c>
      <c r="BU464" s="399">
        <f t="shared" si="189"/>
        <v>0</v>
      </c>
      <c r="BV464" s="399">
        <f t="shared" si="190"/>
        <v>0</v>
      </c>
      <c r="BW464" s="399">
        <f t="shared" si="191"/>
        <v>0</v>
      </c>
      <c r="BX464" s="399">
        <f t="shared" si="192"/>
        <v>0</v>
      </c>
      <c r="BY464" s="399">
        <f t="shared" si="193"/>
        <v>0</v>
      </c>
      <c r="BZ464" s="399">
        <f t="shared" si="194"/>
        <v>0</v>
      </c>
      <c r="CA464" s="399">
        <f t="shared" si="195"/>
        <v>0</v>
      </c>
      <c r="CB464" s="399">
        <f t="shared" si="196"/>
        <v>0</v>
      </c>
      <c r="CC464" s="399">
        <f t="shared" si="197"/>
        <v>0</v>
      </c>
      <c r="CD464" s="399">
        <f t="shared" si="198"/>
        <v>0</v>
      </c>
      <c r="CE464" s="399">
        <f t="shared" si="199"/>
        <v>0</v>
      </c>
      <c r="CF464" s="399">
        <f t="shared" si="200"/>
        <v>0</v>
      </c>
      <c r="CG464" s="399">
        <f t="shared" si="201"/>
        <v>0</v>
      </c>
      <c r="CH464" s="399">
        <f t="shared" si="202"/>
        <v>0</v>
      </c>
      <c r="CI464" s="399">
        <f t="shared" si="203"/>
        <v>0</v>
      </c>
      <c r="CJ464" s="399">
        <f t="shared" si="204"/>
        <v>0</v>
      </c>
      <c r="CK464" s="399">
        <f t="shared" si="205"/>
        <v>0</v>
      </c>
      <c r="CL464" s="399">
        <f t="shared" si="206"/>
        <v>0</v>
      </c>
      <c r="CM464" s="399">
        <f t="shared" si="207"/>
        <v>0</v>
      </c>
      <c r="CN464" s="399">
        <f t="shared" si="208"/>
        <v>0</v>
      </c>
      <c r="CO464" s="399">
        <f t="shared" si="209"/>
        <v>0</v>
      </c>
      <c r="CP464" s="399">
        <f t="shared" si="210"/>
        <v>0</v>
      </c>
      <c r="CQ464" s="423">
        <f t="shared" si="211"/>
        <v>0</v>
      </c>
      <c r="CS464" s="394" t="e">
        <f t="shared" si="212"/>
        <v>#DIV/0!</v>
      </c>
    </row>
    <row r="465" spans="3:97">
      <c r="C465" s="107"/>
      <c r="D465" s="395"/>
      <c r="E465" s="84"/>
      <c r="F465" s="84"/>
      <c r="G465" s="389"/>
      <c r="H465" s="390"/>
      <c r="I465" s="390"/>
      <c r="J465" s="390"/>
      <c r="K465" s="390"/>
      <c r="L465" s="390"/>
      <c r="M465" s="390"/>
      <c r="N465" s="390"/>
      <c r="O465" s="390"/>
      <c r="P465" s="390"/>
      <c r="Q465" s="390"/>
      <c r="R465" s="390"/>
      <c r="S465" s="390"/>
      <c r="T465" s="390"/>
      <c r="U465" s="390"/>
      <c r="V465" s="390"/>
      <c r="W465" s="390"/>
      <c r="X465" s="390"/>
      <c r="Y465" s="390"/>
      <c r="Z465" s="390"/>
      <c r="AA465" s="390"/>
      <c r="AB465" s="390"/>
      <c r="AC465" s="390"/>
      <c r="AD465" s="390"/>
      <c r="AE465" s="390"/>
      <c r="AF465" s="390"/>
      <c r="AG465" s="390"/>
      <c r="AH465" s="390"/>
      <c r="AI465" s="391"/>
      <c r="AK465" s="437"/>
      <c r="AL465" s="437"/>
      <c r="AM465" s="437"/>
      <c r="AN465" s="437"/>
      <c r="AO465" s="437"/>
      <c r="AP465" s="437"/>
      <c r="AQ465" s="437"/>
      <c r="AR465" s="437"/>
      <c r="AS465" s="437"/>
      <c r="AT465" s="437"/>
      <c r="AU465" s="437"/>
      <c r="AV465" s="437"/>
      <c r="AW465" s="437"/>
      <c r="AX465" s="437"/>
      <c r="AY465" s="437"/>
      <c r="AZ465" s="437"/>
      <c r="BA465" s="437"/>
      <c r="BB465" s="437"/>
      <c r="BC465" s="437"/>
      <c r="BD465" s="437"/>
      <c r="BE465" s="437"/>
      <c r="BF465" s="437"/>
      <c r="BG465" s="437"/>
      <c r="BH465" s="437"/>
      <c r="BI465" s="437"/>
      <c r="BJ465" s="437"/>
      <c r="BK465" s="437"/>
      <c r="BL465" s="437"/>
      <c r="BM465" s="393"/>
      <c r="BO465" s="399">
        <f t="shared" si="183"/>
        <v>0</v>
      </c>
      <c r="BP465" s="399">
        <f t="shared" si="184"/>
        <v>0</v>
      </c>
      <c r="BQ465" s="399">
        <f t="shared" si="185"/>
        <v>0</v>
      </c>
      <c r="BR465" s="399">
        <f t="shared" si="186"/>
        <v>0</v>
      </c>
      <c r="BS465" s="399">
        <f t="shared" si="187"/>
        <v>0</v>
      </c>
      <c r="BT465" s="399">
        <f t="shared" si="188"/>
        <v>0</v>
      </c>
      <c r="BU465" s="399">
        <f t="shared" si="189"/>
        <v>0</v>
      </c>
      <c r="BV465" s="399">
        <f t="shared" si="190"/>
        <v>0</v>
      </c>
      <c r="BW465" s="399">
        <f t="shared" si="191"/>
        <v>0</v>
      </c>
      <c r="BX465" s="399">
        <f t="shared" si="192"/>
        <v>0</v>
      </c>
      <c r="BY465" s="399">
        <f t="shared" si="193"/>
        <v>0</v>
      </c>
      <c r="BZ465" s="399">
        <f t="shared" si="194"/>
        <v>0</v>
      </c>
      <c r="CA465" s="399">
        <f t="shared" si="195"/>
        <v>0</v>
      </c>
      <c r="CB465" s="399">
        <f t="shared" si="196"/>
        <v>0</v>
      </c>
      <c r="CC465" s="399">
        <f t="shared" si="197"/>
        <v>0</v>
      </c>
      <c r="CD465" s="399">
        <f t="shared" si="198"/>
        <v>0</v>
      </c>
      <c r="CE465" s="399">
        <f t="shared" si="199"/>
        <v>0</v>
      </c>
      <c r="CF465" s="399">
        <f t="shared" si="200"/>
        <v>0</v>
      </c>
      <c r="CG465" s="399">
        <f t="shared" si="201"/>
        <v>0</v>
      </c>
      <c r="CH465" s="399">
        <f t="shared" si="202"/>
        <v>0</v>
      </c>
      <c r="CI465" s="399">
        <f t="shared" si="203"/>
        <v>0</v>
      </c>
      <c r="CJ465" s="399">
        <f t="shared" si="204"/>
        <v>0</v>
      </c>
      <c r="CK465" s="399">
        <f t="shared" si="205"/>
        <v>0</v>
      </c>
      <c r="CL465" s="399">
        <f t="shared" si="206"/>
        <v>0</v>
      </c>
      <c r="CM465" s="399">
        <f t="shared" si="207"/>
        <v>0</v>
      </c>
      <c r="CN465" s="399">
        <f t="shared" si="208"/>
        <v>0</v>
      </c>
      <c r="CO465" s="399">
        <f t="shared" si="209"/>
        <v>0</v>
      </c>
      <c r="CP465" s="399">
        <f t="shared" si="210"/>
        <v>0</v>
      </c>
      <c r="CQ465" s="423">
        <f t="shared" si="211"/>
        <v>0</v>
      </c>
      <c r="CS465" s="394" t="e">
        <f t="shared" si="212"/>
        <v>#DIV/0!</v>
      </c>
    </row>
    <row r="466" spans="3:97">
      <c r="C466" s="107"/>
      <c r="D466" s="395"/>
      <c r="E466" s="84"/>
      <c r="F466" s="84"/>
      <c r="G466" s="389"/>
      <c r="H466" s="390"/>
      <c r="I466" s="390"/>
      <c r="J466" s="390"/>
      <c r="K466" s="390"/>
      <c r="L466" s="390"/>
      <c r="M466" s="390"/>
      <c r="N466" s="390"/>
      <c r="O466" s="390"/>
      <c r="P466" s="390"/>
      <c r="Q466" s="390"/>
      <c r="R466" s="390"/>
      <c r="S466" s="390"/>
      <c r="T466" s="390"/>
      <c r="U466" s="390"/>
      <c r="V466" s="390"/>
      <c r="W466" s="390"/>
      <c r="X466" s="390"/>
      <c r="Y466" s="390"/>
      <c r="Z466" s="390"/>
      <c r="AA466" s="390"/>
      <c r="AB466" s="390"/>
      <c r="AC466" s="390"/>
      <c r="AD466" s="390"/>
      <c r="AE466" s="390"/>
      <c r="AF466" s="390"/>
      <c r="AG466" s="390"/>
      <c r="AH466" s="390"/>
      <c r="AI466" s="391"/>
      <c r="AK466" s="437"/>
      <c r="AL466" s="437"/>
      <c r="AM466" s="437"/>
      <c r="AN466" s="437"/>
      <c r="AO466" s="437"/>
      <c r="AP466" s="437"/>
      <c r="AQ466" s="437"/>
      <c r="AR466" s="437"/>
      <c r="AS466" s="437"/>
      <c r="AT466" s="437"/>
      <c r="AU466" s="437"/>
      <c r="AV466" s="437"/>
      <c r="AW466" s="437"/>
      <c r="AX466" s="437"/>
      <c r="AY466" s="437"/>
      <c r="AZ466" s="437"/>
      <c r="BA466" s="437"/>
      <c r="BB466" s="437"/>
      <c r="BC466" s="437"/>
      <c r="BD466" s="437"/>
      <c r="BE466" s="437"/>
      <c r="BF466" s="437"/>
      <c r="BG466" s="437"/>
      <c r="BH466" s="437"/>
      <c r="BI466" s="437"/>
      <c r="BJ466" s="437"/>
      <c r="BK466" s="437"/>
      <c r="BL466" s="437"/>
      <c r="BM466" s="393"/>
      <c r="BO466" s="399">
        <f t="shared" si="183"/>
        <v>0</v>
      </c>
      <c r="BP466" s="399">
        <f t="shared" si="184"/>
        <v>0</v>
      </c>
      <c r="BQ466" s="399">
        <f t="shared" si="185"/>
        <v>0</v>
      </c>
      <c r="BR466" s="399">
        <f t="shared" si="186"/>
        <v>0</v>
      </c>
      <c r="BS466" s="399">
        <f t="shared" si="187"/>
        <v>0</v>
      </c>
      <c r="BT466" s="399">
        <f t="shared" si="188"/>
        <v>0</v>
      </c>
      <c r="BU466" s="399">
        <f t="shared" si="189"/>
        <v>0</v>
      </c>
      <c r="BV466" s="399">
        <f t="shared" si="190"/>
        <v>0</v>
      </c>
      <c r="BW466" s="399">
        <f t="shared" si="191"/>
        <v>0</v>
      </c>
      <c r="BX466" s="399">
        <f t="shared" si="192"/>
        <v>0</v>
      </c>
      <c r="BY466" s="399">
        <f t="shared" si="193"/>
        <v>0</v>
      </c>
      <c r="BZ466" s="399">
        <f t="shared" si="194"/>
        <v>0</v>
      </c>
      <c r="CA466" s="399">
        <f t="shared" si="195"/>
        <v>0</v>
      </c>
      <c r="CB466" s="399">
        <f t="shared" si="196"/>
        <v>0</v>
      </c>
      <c r="CC466" s="399">
        <f t="shared" si="197"/>
        <v>0</v>
      </c>
      <c r="CD466" s="399">
        <f t="shared" si="198"/>
        <v>0</v>
      </c>
      <c r="CE466" s="399">
        <f t="shared" si="199"/>
        <v>0</v>
      </c>
      <c r="CF466" s="399">
        <f t="shared" si="200"/>
        <v>0</v>
      </c>
      <c r="CG466" s="399">
        <f t="shared" si="201"/>
        <v>0</v>
      </c>
      <c r="CH466" s="399">
        <f t="shared" si="202"/>
        <v>0</v>
      </c>
      <c r="CI466" s="399">
        <f t="shared" si="203"/>
        <v>0</v>
      </c>
      <c r="CJ466" s="399">
        <f t="shared" si="204"/>
        <v>0</v>
      </c>
      <c r="CK466" s="399">
        <f t="shared" si="205"/>
        <v>0</v>
      </c>
      <c r="CL466" s="399">
        <f t="shared" si="206"/>
        <v>0</v>
      </c>
      <c r="CM466" s="399">
        <f t="shared" si="207"/>
        <v>0</v>
      </c>
      <c r="CN466" s="399">
        <f t="shared" si="208"/>
        <v>0</v>
      </c>
      <c r="CO466" s="399">
        <f t="shared" si="209"/>
        <v>0</v>
      </c>
      <c r="CP466" s="399">
        <f t="shared" si="210"/>
        <v>0</v>
      </c>
      <c r="CQ466" s="423">
        <f t="shared" si="211"/>
        <v>0</v>
      </c>
      <c r="CS466" s="394" t="e">
        <f t="shared" si="212"/>
        <v>#DIV/0!</v>
      </c>
    </row>
    <row r="467" spans="3:97">
      <c r="C467" s="107"/>
      <c r="D467" s="395"/>
      <c r="E467" s="84"/>
      <c r="F467" s="84"/>
      <c r="G467" s="389"/>
      <c r="H467" s="390"/>
      <c r="I467" s="390"/>
      <c r="J467" s="390"/>
      <c r="K467" s="390"/>
      <c r="L467" s="390"/>
      <c r="M467" s="390"/>
      <c r="N467" s="390"/>
      <c r="O467" s="390"/>
      <c r="P467" s="390"/>
      <c r="Q467" s="390"/>
      <c r="R467" s="390"/>
      <c r="S467" s="390"/>
      <c r="T467" s="390"/>
      <c r="U467" s="390"/>
      <c r="V467" s="390"/>
      <c r="W467" s="390"/>
      <c r="X467" s="390"/>
      <c r="Y467" s="390"/>
      <c r="Z467" s="390"/>
      <c r="AA467" s="390"/>
      <c r="AB467" s="390"/>
      <c r="AC467" s="390"/>
      <c r="AD467" s="390"/>
      <c r="AE467" s="390"/>
      <c r="AF467" s="390"/>
      <c r="AG467" s="390"/>
      <c r="AH467" s="390"/>
      <c r="AI467" s="391"/>
      <c r="AK467" s="437"/>
      <c r="AL467" s="437"/>
      <c r="AM467" s="437"/>
      <c r="AN467" s="437"/>
      <c r="AO467" s="437"/>
      <c r="AP467" s="437"/>
      <c r="AQ467" s="437"/>
      <c r="AR467" s="437"/>
      <c r="AS467" s="437"/>
      <c r="AT467" s="437"/>
      <c r="AU467" s="437"/>
      <c r="AV467" s="437"/>
      <c r="AW467" s="437"/>
      <c r="AX467" s="437"/>
      <c r="AY467" s="437"/>
      <c r="AZ467" s="437"/>
      <c r="BA467" s="437"/>
      <c r="BB467" s="437"/>
      <c r="BC467" s="437"/>
      <c r="BD467" s="437"/>
      <c r="BE467" s="437"/>
      <c r="BF467" s="437"/>
      <c r="BG467" s="437"/>
      <c r="BH467" s="437"/>
      <c r="BI467" s="437"/>
      <c r="BJ467" s="437"/>
      <c r="BK467" s="437"/>
      <c r="BL467" s="437"/>
      <c r="BM467" s="393"/>
      <c r="BO467" s="399">
        <f t="shared" ref="BO467:BO530" si="213">G467*BO$4</f>
        <v>0</v>
      </c>
      <c r="BP467" s="399">
        <f t="shared" ref="BP467:BP530" si="214">H467*BP$4</f>
        <v>0</v>
      </c>
      <c r="BQ467" s="399">
        <f t="shared" ref="BQ467:BQ530" si="215">I467*BQ$4</f>
        <v>0</v>
      </c>
      <c r="BR467" s="399">
        <f t="shared" ref="BR467:BR530" si="216">J467*BR$4</f>
        <v>0</v>
      </c>
      <c r="BS467" s="399">
        <f t="shared" ref="BS467:BS530" si="217">K467*BS$4</f>
        <v>0</v>
      </c>
      <c r="BT467" s="399">
        <f t="shared" ref="BT467:BT530" si="218">L467*BT$4</f>
        <v>0</v>
      </c>
      <c r="BU467" s="399">
        <f t="shared" ref="BU467:BU530" si="219">M467*BU$4</f>
        <v>0</v>
      </c>
      <c r="BV467" s="399">
        <f t="shared" ref="BV467:BV530" si="220">N467*BV$4</f>
        <v>0</v>
      </c>
      <c r="BW467" s="399">
        <f t="shared" ref="BW467:BW530" si="221">O467*BW$4</f>
        <v>0</v>
      </c>
      <c r="BX467" s="399">
        <f t="shared" ref="BX467:BX530" si="222">P467*BX$4</f>
        <v>0</v>
      </c>
      <c r="BY467" s="399">
        <f t="shared" ref="BY467:BY530" si="223">Q467*BY$4</f>
        <v>0</v>
      </c>
      <c r="BZ467" s="399">
        <f t="shared" ref="BZ467:BZ530" si="224">R467*BZ$4</f>
        <v>0</v>
      </c>
      <c r="CA467" s="399">
        <f t="shared" ref="CA467:CA530" si="225">S467*CA$4</f>
        <v>0</v>
      </c>
      <c r="CB467" s="399">
        <f t="shared" ref="CB467:CB530" si="226">T467*CB$4</f>
        <v>0</v>
      </c>
      <c r="CC467" s="399">
        <f t="shared" ref="CC467:CC530" si="227">U467*CC$4</f>
        <v>0</v>
      </c>
      <c r="CD467" s="399">
        <f t="shared" ref="CD467:CD530" si="228">V467*CD$4</f>
        <v>0</v>
      </c>
      <c r="CE467" s="399">
        <f t="shared" ref="CE467:CE530" si="229">W467*CE$4</f>
        <v>0</v>
      </c>
      <c r="CF467" s="399">
        <f t="shared" ref="CF467:CF530" si="230">X467*CF$4</f>
        <v>0</v>
      </c>
      <c r="CG467" s="399">
        <f t="shared" ref="CG467:CG530" si="231">Y467*CG$4</f>
        <v>0</v>
      </c>
      <c r="CH467" s="399">
        <f t="shared" ref="CH467:CH530" si="232">Z467*CH$4</f>
        <v>0</v>
      </c>
      <c r="CI467" s="399">
        <f t="shared" ref="CI467:CI530" si="233">AA467*CI$4</f>
        <v>0</v>
      </c>
      <c r="CJ467" s="399">
        <f t="shared" ref="CJ467:CJ530" si="234">AB467*CJ$4</f>
        <v>0</v>
      </c>
      <c r="CK467" s="399">
        <f t="shared" ref="CK467:CK530" si="235">AC467*CK$4</f>
        <v>0</v>
      </c>
      <c r="CL467" s="399">
        <f t="shared" ref="CL467:CL530" si="236">AD467*CL$4</f>
        <v>0</v>
      </c>
      <c r="CM467" s="399">
        <f t="shared" ref="CM467:CM530" si="237">AE467*CM$4</f>
        <v>0</v>
      </c>
      <c r="CN467" s="399">
        <f t="shared" ref="CN467:CN530" si="238">AF467*CN$4</f>
        <v>0</v>
      </c>
      <c r="CO467" s="399">
        <f t="shared" ref="CO467:CO530" si="239">AG467*CO$4</f>
        <v>0</v>
      </c>
      <c r="CP467" s="399">
        <f t="shared" ref="CP467:CP530" si="240">AH467*CP$4</f>
        <v>0</v>
      </c>
      <c r="CQ467" s="423">
        <f t="shared" ref="CQ467:CQ530" si="241">SUM(BO467:CP467)</f>
        <v>0</v>
      </c>
      <c r="CS467" s="394" t="e">
        <f t="shared" ref="CS467:CS530" si="242">CQ467/AI467</f>
        <v>#DIV/0!</v>
      </c>
    </row>
    <row r="468" spans="3:97">
      <c r="C468" s="107"/>
      <c r="D468" s="395"/>
      <c r="E468" s="84"/>
      <c r="F468" s="84"/>
      <c r="G468" s="389"/>
      <c r="H468" s="390"/>
      <c r="I468" s="390"/>
      <c r="J468" s="390"/>
      <c r="K468" s="390"/>
      <c r="L468" s="390"/>
      <c r="M468" s="390"/>
      <c r="N468" s="390"/>
      <c r="O468" s="390"/>
      <c r="P468" s="390"/>
      <c r="Q468" s="390"/>
      <c r="R468" s="390"/>
      <c r="S468" s="390"/>
      <c r="T468" s="390"/>
      <c r="U468" s="390"/>
      <c r="V468" s="390"/>
      <c r="W468" s="390"/>
      <c r="X468" s="390"/>
      <c r="Y468" s="390"/>
      <c r="Z468" s="390"/>
      <c r="AA468" s="390"/>
      <c r="AB468" s="390"/>
      <c r="AC468" s="390"/>
      <c r="AD468" s="390"/>
      <c r="AE468" s="390"/>
      <c r="AF468" s="390"/>
      <c r="AG468" s="390"/>
      <c r="AH468" s="390"/>
      <c r="AI468" s="391"/>
      <c r="AK468" s="437"/>
      <c r="AL468" s="437"/>
      <c r="AM468" s="437"/>
      <c r="AN468" s="437"/>
      <c r="AO468" s="437"/>
      <c r="AP468" s="437"/>
      <c r="AQ468" s="437"/>
      <c r="AR468" s="437"/>
      <c r="AS468" s="437"/>
      <c r="AT468" s="437"/>
      <c r="AU468" s="437"/>
      <c r="AV468" s="437"/>
      <c r="AW468" s="437"/>
      <c r="AX468" s="437"/>
      <c r="AY468" s="437"/>
      <c r="AZ468" s="437"/>
      <c r="BA468" s="437"/>
      <c r="BB468" s="437"/>
      <c r="BC468" s="437"/>
      <c r="BD468" s="437"/>
      <c r="BE468" s="437"/>
      <c r="BF468" s="437"/>
      <c r="BG468" s="437"/>
      <c r="BH468" s="437"/>
      <c r="BI468" s="437"/>
      <c r="BJ468" s="437"/>
      <c r="BK468" s="437"/>
      <c r="BL468" s="437"/>
      <c r="BM468" s="393"/>
      <c r="BO468" s="399">
        <f t="shared" si="213"/>
        <v>0</v>
      </c>
      <c r="BP468" s="399">
        <f t="shared" si="214"/>
        <v>0</v>
      </c>
      <c r="BQ468" s="399">
        <f t="shared" si="215"/>
        <v>0</v>
      </c>
      <c r="BR468" s="399">
        <f t="shared" si="216"/>
        <v>0</v>
      </c>
      <c r="BS468" s="399">
        <f t="shared" si="217"/>
        <v>0</v>
      </c>
      <c r="BT468" s="399">
        <f t="shared" si="218"/>
        <v>0</v>
      </c>
      <c r="BU468" s="399">
        <f t="shared" si="219"/>
        <v>0</v>
      </c>
      <c r="BV468" s="399">
        <f t="shared" si="220"/>
        <v>0</v>
      </c>
      <c r="BW468" s="399">
        <f t="shared" si="221"/>
        <v>0</v>
      </c>
      <c r="BX468" s="399">
        <f t="shared" si="222"/>
        <v>0</v>
      </c>
      <c r="BY468" s="399">
        <f t="shared" si="223"/>
        <v>0</v>
      </c>
      <c r="BZ468" s="399">
        <f t="shared" si="224"/>
        <v>0</v>
      </c>
      <c r="CA468" s="399">
        <f t="shared" si="225"/>
        <v>0</v>
      </c>
      <c r="CB468" s="399">
        <f t="shared" si="226"/>
        <v>0</v>
      </c>
      <c r="CC468" s="399">
        <f t="shared" si="227"/>
        <v>0</v>
      </c>
      <c r="CD468" s="399">
        <f t="shared" si="228"/>
        <v>0</v>
      </c>
      <c r="CE468" s="399">
        <f t="shared" si="229"/>
        <v>0</v>
      </c>
      <c r="CF468" s="399">
        <f t="shared" si="230"/>
        <v>0</v>
      </c>
      <c r="CG468" s="399">
        <f t="shared" si="231"/>
        <v>0</v>
      </c>
      <c r="CH468" s="399">
        <f t="shared" si="232"/>
        <v>0</v>
      </c>
      <c r="CI468" s="399">
        <f t="shared" si="233"/>
        <v>0</v>
      </c>
      <c r="CJ468" s="399">
        <f t="shared" si="234"/>
        <v>0</v>
      </c>
      <c r="CK468" s="399">
        <f t="shared" si="235"/>
        <v>0</v>
      </c>
      <c r="CL468" s="399">
        <f t="shared" si="236"/>
        <v>0</v>
      </c>
      <c r="CM468" s="399">
        <f t="shared" si="237"/>
        <v>0</v>
      </c>
      <c r="CN468" s="399">
        <f t="shared" si="238"/>
        <v>0</v>
      </c>
      <c r="CO468" s="399">
        <f t="shared" si="239"/>
        <v>0</v>
      </c>
      <c r="CP468" s="399">
        <f t="shared" si="240"/>
        <v>0</v>
      </c>
      <c r="CQ468" s="423">
        <f t="shared" si="241"/>
        <v>0</v>
      </c>
      <c r="CS468" s="394" t="e">
        <f t="shared" si="242"/>
        <v>#DIV/0!</v>
      </c>
    </row>
    <row r="469" spans="3:97">
      <c r="C469" s="107"/>
      <c r="D469" s="395"/>
      <c r="E469" s="84"/>
      <c r="F469" s="84"/>
      <c r="G469" s="389"/>
      <c r="H469" s="390"/>
      <c r="I469" s="390"/>
      <c r="J469" s="390"/>
      <c r="K469" s="390"/>
      <c r="L469" s="390"/>
      <c r="M469" s="390"/>
      <c r="N469" s="390"/>
      <c r="O469" s="390"/>
      <c r="P469" s="390"/>
      <c r="Q469" s="390"/>
      <c r="R469" s="390"/>
      <c r="S469" s="390"/>
      <c r="T469" s="390"/>
      <c r="U469" s="390"/>
      <c r="V469" s="390"/>
      <c r="W469" s="390"/>
      <c r="X469" s="390"/>
      <c r="Y469" s="390"/>
      <c r="Z469" s="390"/>
      <c r="AA469" s="390"/>
      <c r="AB469" s="390"/>
      <c r="AC469" s="390"/>
      <c r="AD469" s="390"/>
      <c r="AE469" s="390"/>
      <c r="AF469" s="390"/>
      <c r="AG469" s="390"/>
      <c r="AH469" s="390"/>
      <c r="AI469" s="391"/>
      <c r="AK469" s="437"/>
      <c r="AL469" s="437"/>
      <c r="AM469" s="437"/>
      <c r="AN469" s="437"/>
      <c r="AO469" s="437"/>
      <c r="AP469" s="437"/>
      <c r="AQ469" s="437"/>
      <c r="AR469" s="437"/>
      <c r="AS469" s="437"/>
      <c r="AT469" s="437"/>
      <c r="AU469" s="437"/>
      <c r="AV469" s="437"/>
      <c r="AW469" s="437"/>
      <c r="AX469" s="437"/>
      <c r="AY469" s="437"/>
      <c r="AZ469" s="437"/>
      <c r="BA469" s="437"/>
      <c r="BB469" s="437"/>
      <c r="BC469" s="437"/>
      <c r="BD469" s="437"/>
      <c r="BE469" s="437"/>
      <c r="BF469" s="437"/>
      <c r="BG469" s="437"/>
      <c r="BH469" s="437"/>
      <c r="BI469" s="437"/>
      <c r="BJ469" s="437"/>
      <c r="BK469" s="437"/>
      <c r="BL469" s="437"/>
      <c r="BM469" s="393"/>
      <c r="BO469" s="399">
        <f t="shared" si="213"/>
        <v>0</v>
      </c>
      <c r="BP469" s="399">
        <f t="shared" si="214"/>
        <v>0</v>
      </c>
      <c r="BQ469" s="399">
        <f t="shared" si="215"/>
        <v>0</v>
      </c>
      <c r="BR469" s="399">
        <f t="shared" si="216"/>
        <v>0</v>
      </c>
      <c r="BS469" s="399">
        <f t="shared" si="217"/>
        <v>0</v>
      </c>
      <c r="BT469" s="399">
        <f t="shared" si="218"/>
        <v>0</v>
      </c>
      <c r="BU469" s="399">
        <f t="shared" si="219"/>
        <v>0</v>
      </c>
      <c r="BV469" s="399">
        <f t="shared" si="220"/>
        <v>0</v>
      </c>
      <c r="BW469" s="399">
        <f t="shared" si="221"/>
        <v>0</v>
      </c>
      <c r="BX469" s="399">
        <f t="shared" si="222"/>
        <v>0</v>
      </c>
      <c r="BY469" s="399">
        <f t="shared" si="223"/>
        <v>0</v>
      </c>
      <c r="BZ469" s="399">
        <f t="shared" si="224"/>
        <v>0</v>
      </c>
      <c r="CA469" s="399">
        <f t="shared" si="225"/>
        <v>0</v>
      </c>
      <c r="CB469" s="399">
        <f t="shared" si="226"/>
        <v>0</v>
      </c>
      <c r="CC469" s="399">
        <f t="shared" si="227"/>
        <v>0</v>
      </c>
      <c r="CD469" s="399">
        <f t="shared" si="228"/>
        <v>0</v>
      </c>
      <c r="CE469" s="399">
        <f t="shared" si="229"/>
        <v>0</v>
      </c>
      <c r="CF469" s="399">
        <f t="shared" si="230"/>
        <v>0</v>
      </c>
      <c r="CG469" s="399">
        <f t="shared" si="231"/>
        <v>0</v>
      </c>
      <c r="CH469" s="399">
        <f t="shared" si="232"/>
        <v>0</v>
      </c>
      <c r="CI469" s="399">
        <f t="shared" si="233"/>
        <v>0</v>
      </c>
      <c r="CJ469" s="399">
        <f t="shared" si="234"/>
        <v>0</v>
      </c>
      <c r="CK469" s="399">
        <f t="shared" si="235"/>
        <v>0</v>
      </c>
      <c r="CL469" s="399">
        <f t="shared" si="236"/>
        <v>0</v>
      </c>
      <c r="CM469" s="399">
        <f t="shared" si="237"/>
        <v>0</v>
      </c>
      <c r="CN469" s="399">
        <f t="shared" si="238"/>
        <v>0</v>
      </c>
      <c r="CO469" s="399">
        <f t="shared" si="239"/>
        <v>0</v>
      </c>
      <c r="CP469" s="399">
        <f t="shared" si="240"/>
        <v>0</v>
      </c>
      <c r="CQ469" s="423">
        <f t="shared" si="241"/>
        <v>0</v>
      </c>
      <c r="CS469" s="394" t="e">
        <f t="shared" si="242"/>
        <v>#DIV/0!</v>
      </c>
    </row>
    <row r="470" spans="3:97">
      <c r="C470" s="107"/>
      <c r="D470" s="395"/>
      <c r="E470" s="84"/>
      <c r="F470" s="84"/>
      <c r="G470" s="389"/>
      <c r="H470" s="390"/>
      <c r="I470" s="390"/>
      <c r="J470" s="390"/>
      <c r="K470" s="390"/>
      <c r="L470" s="390"/>
      <c r="M470" s="390"/>
      <c r="N470" s="390"/>
      <c r="O470" s="390"/>
      <c r="P470" s="390"/>
      <c r="Q470" s="390"/>
      <c r="R470" s="390"/>
      <c r="S470" s="390"/>
      <c r="T470" s="390"/>
      <c r="U470" s="390"/>
      <c r="V470" s="390"/>
      <c r="W470" s="390"/>
      <c r="X470" s="390"/>
      <c r="Y470" s="390"/>
      <c r="Z470" s="390"/>
      <c r="AA470" s="390"/>
      <c r="AB470" s="390"/>
      <c r="AC470" s="390"/>
      <c r="AD470" s="390"/>
      <c r="AE470" s="390"/>
      <c r="AF470" s="390"/>
      <c r="AG470" s="390"/>
      <c r="AH470" s="390"/>
      <c r="AI470" s="391"/>
      <c r="AK470" s="437"/>
      <c r="AL470" s="437"/>
      <c r="AM470" s="437"/>
      <c r="AN470" s="437"/>
      <c r="AO470" s="437"/>
      <c r="AP470" s="437"/>
      <c r="AQ470" s="437"/>
      <c r="AR470" s="437"/>
      <c r="AS470" s="437"/>
      <c r="AT470" s="437"/>
      <c r="AU470" s="437"/>
      <c r="AV470" s="437"/>
      <c r="AW470" s="437"/>
      <c r="AX470" s="437"/>
      <c r="AY470" s="437"/>
      <c r="AZ470" s="437"/>
      <c r="BA470" s="437"/>
      <c r="BB470" s="437"/>
      <c r="BC470" s="437"/>
      <c r="BD470" s="437"/>
      <c r="BE470" s="437"/>
      <c r="BF470" s="437"/>
      <c r="BG470" s="437"/>
      <c r="BH470" s="437"/>
      <c r="BI470" s="437"/>
      <c r="BJ470" s="437"/>
      <c r="BK470" s="437"/>
      <c r="BL470" s="437"/>
      <c r="BM470" s="393"/>
      <c r="BO470" s="399">
        <f t="shared" si="213"/>
        <v>0</v>
      </c>
      <c r="BP470" s="399">
        <f t="shared" si="214"/>
        <v>0</v>
      </c>
      <c r="BQ470" s="399">
        <f t="shared" si="215"/>
        <v>0</v>
      </c>
      <c r="BR470" s="399">
        <f t="shared" si="216"/>
        <v>0</v>
      </c>
      <c r="BS470" s="399">
        <f t="shared" si="217"/>
        <v>0</v>
      </c>
      <c r="BT470" s="399">
        <f t="shared" si="218"/>
        <v>0</v>
      </c>
      <c r="BU470" s="399">
        <f t="shared" si="219"/>
        <v>0</v>
      </c>
      <c r="BV470" s="399">
        <f t="shared" si="220"/>
        <v>0</v>
      </c>
      <c r="BW470" s="399">
        <f t="shared" si="221"/>
        <v>0</v>
      </c>
      <c r="BX470" s="399">
        <f t="shared" si="222"/>
        <v>0</v>
      </c>
      <c r="BY470" s="399">
        <f t="shared" si="223"/>
        <v>0</v>
      </c>
      <c r="BZ470" s="399">
        <f t="shared" si="224"/>
        <v>0</v>
      </c>
      <c r="CA470" s="399">
        <f t="shared" si="225"/>
        <v>0</v>
      </c>
      <c r="CB470" s="399">
        <f t="shared" si="226"/>
        <v>0</v>
      </c>
      <c r="CC470" s="399">
        <f t="shared" si="227"/>
        <v>0</v>
      </c>
      <c r="CD470" s="399">
        <f t="shared" si="228"/>
        <v>0</v>
      </c>
      <c r="CE470" s="399">
        <f t="shared" si="229"/>
        <v>0</v>
      </c>
      <c r="CF470" s="399">
        <f t="shared" si="230"/>
        <v>0</v>
      </c>
      <c r="CG470" s="399">
        <f t="shared" si="231"/>
        <v>0</v>
      </c>
      <c r="CH470" s="399">
        <f t="shared" si="232"/>
        <v>0</v>
      </c>
      <c r="CI470" s="399">
        <f t="shared" si="233"/>
        <v>0</v>
      </c>
      <c r="CJ470" s="399">
        <f t="shared" si="234"/>
        <v>0</v>
      </c>
      <c r="CK470" s="399">
        <f t="shared" si="235"/>
        <v>0</v>
      </c>
      <c r="CL470" s="399">
        <f t="shared" si="236"/>
        <v>0</v>
      </c>
      <c r="CM470" s="399">
        <f t="shared" si="237"/>
        <v>0</v>
      </c>
      <c r="CN470" s="399">
        <f t="shared" si="238"/>
        <v>0</v>
      </c>
      <c r="CO470" s="399">
        <f t="shared" si="239"/>
        <v>0</v>
      </c>
      <c r="CP470" s="399">
        <f t="shared" si="240"/>
        <v>0</v>
      </c>
      <c r="CQ470" s="423">
        <f t="shared" si="241"/>
        <v>0</v>
      </c>
      <c r="CS470" s="394" t="e">
        <f t="shared" si="242"/>
        <v>#DIV/0!</v>
      </c>
    </row>
    <row r="471" spans="3:97">
      <c r="C471" s="107"/>
      <c r="D471" s="395"/>
      <c r="E471" s="84"/>
      <c r="F471" s="84"/>
      <c r="G471" s="389"/>
      <c r="H471" s="390"/>
      <c r="I471" s="390"/>
      <c r="J471" s="390"/>
      <c r="K471" s="390"/>
      <c r="L471" s="390"/>
      <c r="M471" s="390"/>
      <c r="N471" s="390"/>
      <c r="O471" s="390"/>
      <c r="P471" s="390"/>
      <c r="Q471" s="390"/>
      <c r="R471" s="390"/>
      <c r="S471" s="390"/>
      <c r="T471" s="390"/>
      <c r="U471" s="390"/>
      <c r="V471" s="390"/>
      <c r="W471" s="390"/>
      <c r="X471" s="390"/>
      <c r="Y471" s="390"/>
      <c r="Z471" s="390"/>
      <c r="AA471" s="390"/>
      <c r="AB471" s="390"/>
      <c r="AC471" s="390"/>
      <c r="AD471" s="390"/>
      <c r="AE471" s="390"/>
      <c r="AF471" s="390"/>
      <c r="AG471" s="390"/>
      <c r="AH471" s="390"/>
      <c r="AI471" s="391"/>
      <c r="AK471" s="437"/>
      <c r="AL471" s="437"/>
      <c r="AM471" s="437"/>
      <c r="AN471" s="437"/>
      <c r="AO471" s="437"/>
      <c r="AP471" s="437"/>
      <c r="AQ471" s="437"/>
      <c r="AR471" s="437"/>
      <c r="AS471" s="437"/>
      <c r="AT471" s="437"/>
      <c r="AU471" s="437"/>
      <c r="AV471" s="437"/>
      <c r="AW471" s="437"/>
      <c r="AX471" s="437"/>
      <c r="AY471" s="437"/>
      <c r="AZ471" s="437"/>
      <c r="BA471" s="437"/>
      <c r="BB471" s="437"/>
      <c r="BC471" s="437"/>
      <c r="BD471" s="437"/>
      <c r="BE471" s="437"/>
      <c r="BF471" s="437"/>
      <c r="BG471" s="437"/>
      <c r="BH471" s="437"/>
      <c r="BI471" s="437"/>
      <c r="BJ471" s="437"/>
      <c r="BK471" s="437"/>
      <c r="BL471" s="437"/>
      <c r="BM471" s="393"/>
      <c r="BO471" s="399">
        <f t="shared" si="213"/>
        <v>0</v>
      </c>
      <c r="BP471" s="399">
        <f t="shared" si="214"/>
        <v>0</v>
      </c>
      <c r="BQ471" s="399">
        <f t="shared" si="215"/>
        <v>0</v>
      </c>
      <c r="BR471" s="399">
        <f t="shared" si="216"/>
        <v>0</v>
      </c>
      <c r="BS471" s="399">
        <f t="shared" si="217"/>
        <v>0</v>
      </c>
      <c r="BT471" s="399">
        <f t="shared" si="218"/>
        <v>0</v>
      </c>
      <c r="BU471" s="399">
        <f t="shared" si="219"/>
        <v>0</v>
      </c>
      <c r="BV471" s="399">
        <f t="shared" si="220"/>
        <v>0</v>
      </c>
      <c r="BW471" s="399">
        <f t="shared" si="221"/>
        <v>0</v>
      </c>
      <c r="BX471" s="399">
        <f t="shared" si="222"/>
        <v>0</v>
      </c>
      <c r="BY471" s="399">
        <f t="shared" si="223"/>
        <v>0</v>
      </c>
      <c r="BZ471" s="399">
        <f t="shared" si="224"/>
        <v>0</v>
      </c>
      <c r="CA471" s="399">
        <f t="shared" si="225"/>
        <v>0</v>
      </c>
      <c r="CB471" s="399">
        <f t="shared" si="226"/>
        <v>0</v>
      </c>
      <c r="CC471" s="399">
        <f t="shared" si="227"/>
        <v>0</v>
      </c>
      <c r="CD471" s="399">
        <f t="shared" si="228"/>
        <v>0</v>
      </c>
      <c r="CE471" s="399">
        <f t="shared" si="229"/>
        <v>0</v>
      </c>
      <c r="CF471" s="399">
        <f t="shared" si="230"/>
        <v>0</v>
      </c>
      <c r="CG471" s="399">
        <f t="shared" si="231"/>
        <v>0</v>
      </c>
      <c r="CH471" s="399">
        <f t="shared" si="232"/>
        <v>0</v>
      </c>
      <c r="CI471" s="399">
        <f t="shared" si="233"/>
        <v>0</v>
      </c>
      <c r="CJ471" s="399">
        <f t="shared" si="234"/>
        <v>0</v>
      </c>
      <c r="CK471" s="399">
        <f t="shared" si="235"/>
        <v>0</v>
      </c>
      <c r="CL471" s="399">
        <f t="shared" si="236"/>
        <v>0</v>
      </c>
      <c r="CM471" s="399">
        <f t="shared" si="237"/>
        <v>0</v>
      </c>
      <c r="CN471" s="399">
        <f t="shared" si="238"/>
        <v>0</v>
      </c>
      <c r="CO471" s="399">
        <f t="shared" si="239"/>
        <v>0</v>
      </c>
      <c r="CP471" s="399">
        <f t="shared" si="240"/>
        <v>0</v>
      </c>
      <c r="CQ471" s="423">
        <f t="shared" si="241"/>
        <v>0</v>
      </c>
      <c r="CS471" s="394" t="e">
        <f t="shared" si="242"/>
        <v>#DIV/0!</v>
      </c>
    </row>
    <row r="472" spans="3:97">
      <c r="C472" s="107"/>
      <c r="D472" s="395"/>
      <c r="E472" s="84"/>
      <c r="F472" s="84"/>
      <c r="G472" s="389"/>
      <c r="H472" s="390"/>
      <c r="I472" s="390"/>
      <c r="J472" s="390"/>
      <c r="K472" s="390"/>
      <c r="L472" s="390"/>
      <c r="M472" s="390"/>
      <c r="N472" s="390"/>
      <c r="O472" s="390"/>
      <c r="P472" s="390"/>
      <c r="Q472" s="390"/>
      <c r="R472" s="390"/>
      <c r="S472" s="390"/>
      <c r="T472" s="390"/>
      <c r="U472" s="390"/>
      <c r="V472" s="390"/>
      <c r="W472" s="390"/>
      <c r="X472" s="390"/>
      <c r="Y472" s="390"/>
      <c r="Z472" s="390"/>
      <c r="AA472" s="390"/>
      <c r="AB472" s="390"/>
      <c r="AC472" s="390"/>
      <c r="AD472" s="390"/>
      <c r="AE472" s="390"/>
      <c r="AF472" s="390"/>
      <c r="AG472" s="390"/>
      <c r="AH472" s="390"/>
      <c r="AI472" s="391"/>
      <c r="AK472" s="437"/>
      <c r="AL472" s="437"/>
      <c r="AM472" s="437"/>
      <c r="AN472" s="437"/>
      <c r="AO472" s="437"/>
      <c r="AP472" s="437"/>
      <c r="AQ472" s="437"/>
      <c r="AR472" s="437"/>
      <c r="AS472" s="437"/>
      <c r="AT472" s="437"/>
      <c r="AU472" s="437"/>
      <c r="AV472" s="437"/>
      <c r="AW472" s="437"/>
      <c r="AX472" s="437"/>
      <c r="AY472" s="437"/>
      <c r="AZ472" s="437"/>
      <c r="BA472" s="437"/>
      <c r="BB472" s="437"/>
      <c r="BC472" s="437"/>
      <c r="BD472" s="437"/>
      <c r="BE472" s="437"/>
      <c r="BF472" s="437"/>
      <c r="BG472" s="437"/>
      <c r="BH472" s="437"/>
      <c r="BI472" s="437"/>
      <c r="BJ472" s="437"/>
      <c r="BK472" s="437"/>
      <c r="BL472" s="437"/>
      <c r="BM472" s="393"/>
      <c r="BO472" s="399">
        <f t="shared" si="213"/>
        <v>0</v>
      </c>
      <c r="BP472" s="399">
        <f t="shared" si="214"/>
        <v>0</v>
      </c>
      <c r="BQ472" s="399">
        <f t="shared" si="215"/>
        <v>0</v>
      </c>
      <c r="BR472" s="399">
        <f t="shared" si="216"/>
        <v>0</v>
      </c>
      <c r="BS472" s="399">
        <f t="shared" si="217"/>
        <v>0</v>
      </c>
      <c r="BT472" s="399">
        <f t="shared" si="218"/>
        <v>0</v>
      </c>
      <c r="BU472" s="399">
        <f t="shared" si="219"/>
        <v>0</v>
      </c>
      <c r="BV472" s="399">
        <f t="shared" si="220"/>
        <v>0</v>
      </c>
      <c r="BW472" s="399">
        <f t="shared" si="221"/>
        <v>0</v>
      </c>
      <c r="BX472" s="399">
        <f t="shared" si="222"/>
        <v>0</v>
      </c>
      <c r="BY472" s="399">
        <f t="shared" si="223"/>
        <v>0</v>
      </c>
      <c r="BZ472" s="399">
        <f t="shared" si="224"/>
        <v>0</v>
      </c>
      <c r="CA472" s="399">
        <f t="shared" si="225"/>
        <v>0</v>
      </c>
      <c r="CB472" s="399">
        <f t="shared" si="226"/>
        <v>0</v>
      </c>
      <c r="CC472" s="399">
        <f t="shared" si="227"/>
        <v>0</v>
      </c>
      <c r="CD472" s="399">
        <f t="shared" si="228"/>
        <v>0</v>
      </c>
      <c r="CE472" s="399">
        <f t="shared" si="229"/>
        <v>0</v>
      </c>
      <c r="CF472" s="399">
        <f t="shared" si="230"/>
        <v>0</v>
      </c>
      <c r="CG472" s="399">
        <f t="shared" si="231"/>
        <v>0</v>
      </c>
      <c r="CH472" s="399">
        <f t="shared" si="232"/>
        <v>0</v>
      </c>
      <c r="CI472" s="399">
        <f t="shared" si="233"/>
        <v>0</v>
      </c>
      <c r="CJ472" s="399">
        <f t="shared" si="234"/>
        <v>0</v>
      </c>
      <c r="CK472" s="399">
        <f t="shared" si="235"/>
        <v>0</v>
      </c>
      <c r="CL472" s="399">
        <f t="shared" si="236"/>
        <v>0</v>
      </c>
      <c r="CM472" s="399">
        <f t="shared" si="237"/>
        <v>0</v>
      </c>
      <c r="CN472" s="399">
        <f t="shared" si="238"/>
        <v>0</v>
      </c>
      <c r="CO472" s="399">
        <f t="shared" si="239"/>
        <v>0</v>
      </c>
      <c r="CP472" s="399">
        <f t="shared" si="240"/>
        <v>0</v>
      </c>
      <c r="CQ472" s="423">
        <f t="shared" si="241"/>
        <v>0</v>
      </c>
      <c r="CS472" s="394" t="e">
        <f t="shared" si="242"/>
        <v>#DIV/0!</v>
      </c>
    </row>
    <row r="473" spans="3:97">
      <c r="C473" s="107"/>
      <c r="D473" s="395"/>
      <c r="E473" s="84"/>
      <c r="F473" s="84"/>
      <c r="G473" s="389"/>
      <c r="H473" s="390"/>
      <c r="I473" s="390"/>
      <c r="J473" s="390"/>
      <c r="K473" s="390"/>
      <c r="L473" s="390"/>
      <c r="M473" s="390"/>
      <c r="N473" s="390"/>
      <c r="O473" s="390"/>
      <c r="P473" s="390"/>
      <c r="Q473" s="390"/>
      <c r="R473" s="390"/>
      <c r="S473" s="390"/>
      <c r="T473" s="390"/>
      <c r="U473" s="390"/>
      <c r="V473" s="390"/>
      <c r="W473" s="390"/>
      <c r="X473" s="390"/>
      <c r="Y473" s="390"/>
      <c r="Z473" s="390"/>
      <c r="AA473" s="390"/>
      <c r="AB473" s="390"/>
      <c r="AC473" s="390"/>
      <c r="AD473" s="390"/>
      <c r="AE473" s="390"/>
      <c r="AF473" s="390"/>
      <c r="AG473" s="390"/>
      <c r="AH473" s="390"/>
      <c r="AI473" s="391"/>
      <c r="AK473" s="437"/>
      <c r="AL473" s="437"/>
      <c r="AM473" s="437"/>
      <c r="AN473" s="437"/>
      <c r="AO473" s="437"/>
      <c r="AP473" s="437"/>
      <c r="AQ473" s="437"/>
      <c r="AR473" s="437"/>
      <c r="AS473" s="437"/>
      <c r="AT473" s="437"/>
      <c r="AU473" s="437"/>
      <c r="AV473" s="437"/>
      <c r="AW473" s="437"/>
      <c r="AX473" s="437"/>
      <c r="AY473" s="437"/>
      <c r="AZ473" s="437"/>
      <c r="BA473" s="437"/>
      <c r="BB473" s="437"/>
      <c r="BC473" s="437"/>
      <c r="BD473" s="437"/>
      <c r="BE473" s="437"/>
      <c r="BF473" s="437"/>
      <c r="BG473" s="437"/>
      <c r="BH473" s="437"/>
      <c r="BI473" s="437"/>
      <c r="BJ473" s="437"/>
      <c r="BK473" s="437"/>
      <c r="BL473" s="437"/>
      <c r="BM473" s="393"/>
      <c r="BO473" s="399">
        <f t="shared" si="213"/>
        <v>0</v>
      </c>
      <c r="BP473" s="399">
        <f t="shared" si="214"/>
        <v>0</v>
      </c>
      <c r="BQ473" s="399">
        <f t="shared" si="215"/>
        <v>0</v>
      </c>
      <c r="BR473" s="399">
        <f t="shared" si="216"/>
        <v>0</v>
      </c>
      <c r="BS473" s="399">
        <f t="shared" si="217"/>
        <v>0</v>
      </c>
      <c r="BT473" s="399">
        <f t="shared" si="218"/>
        <v>0</v>
      </c>
      <c r="BU473" s="399">
        <f t="shared" si="219"/>
        <v>0</v>
      </c>
      <c r="BV473" s="399">
        <f t="shared" si="220"/>
        <v>0</v>
      </c>
      <c r="BW473" s="399">
        <f t="shared" si="221"/>
        <v>0</v>
      </c>
      <c r="BX473" s="399">
        <f t="shared" si="222"/>
        <v>0</v>
      </c>
      <c r="BY473" s="399">
        <f t="shared" si="223"/>
        <v>0</v>
      </c>
      <c r="BZ473" s="399">
        <f t="shared" si="224"/>
        <v>0</v>
      </c>
      <c r="CA473" s="399">
        <f t="shared" si="225"/>
        <v>0</v>
      </c>
      <c r="CB473" s="399">
        <f t="shared" si="226"/>
        <v>0</v>
      </c>
      <c r="CC473" s="399">
        <f t="shared" si="227"/>
        <v>0</v>
      </c>
      <c r="CD473" s="399">
        <f t="shared" si="228"/>
        <v>0</v>
      </c>
      <c r="CE473" s="399">
        <f t="shared" si="229"/>
        <v>0</v>
      </c>
      <c r="CF473" s="399">
        <f t="shared" si="230"/>
        <v>0</v>
      </c>
      <c r="CG473" s="399">
        <f t="shared" si="231"/>
        <v>0</v>
      </c>
      <c r="CH473" s="399">
        <f t="shared" si="232"/>
        <v>0</v>
      </c>
      <c r="CI473" s="399">
        <f t="shared" si="233"/>
        <v>0</v>
      </c>
      <c r="CJ473" s="399">
        <f t="shared" si="234"/>
        <v>0</v>
      </c>
      <c r="CK473" s="399">
        <f t="shared" si="235"/>
        <v>0</v>
      </c>
      <c r="CL473" s="399">
        <f t="shared" si="236"/>
        <v>0</v>
      </c>
      <c r="CM473" s="399">
        <f t="shared" si="237"/>
        <v>0</v>
      </c>
      <c r="CN473" s="399">
        <f t="shared" si="238"/>
        <v>0</v>
      </c>
      <c r="CO473" s="399">
        <f t="shared" si="239"/>
        <v>0</v>
      </c>
      <c r="CP473" s="399">
        <f t="shared" si="240"/>
        <v>0</v>
      </c>
      <c r="CQ473" s="423">
        <f t="shared" si="241"/>
        <v>0</v>
      </c>
      <c r="CS473" s="394" t="e">
        <f t="shared" si="242"/>
        <v>#DIV/0!</v>
      </c>
    </row>
    <row r="474" spans="3:97">
      <c r="C474" s="107"/>
      <c r="D474" s="395"/>
      <c r="E474" s="84"/>
      <c r="F474" s="84"/>
      <c r="G474" s="389"/>
      <c r="H474" s="390"/>
      <c r="I474" s="390"/>
      <c r="J474" s="390"/>
      <c r="K474" s="390"/>
      <c r="L474" s="390"/>
      <c r="M474" s="390"/>
      <c r="N474" s="390"/>
      <c r="O474" s="390"/>
      <c r="P474" s="390"/>
      <c r="Q474" s="390"/>
      <c r="R474" s="390"/>
      <c r="S474" s="390"/>
      <c r="T474" s="390"/>
      <c r="U474" s="390"/>
      <c r="V474" s="390"/>
      <c r="W474" s="390"/>
      <c r="X474" s="390"/>
      <c r="Y474" s="390"/>
      <c r="Z474" s="390"/>
      <c r="AA474" s="390"/>
      <c r="AB474" s="390"/>
      <c r="AC474" s="390"/>
      <c r="AD474" s="390"/>
      <c r="AE474" s="390"/>
      <c r="AF474" s="390"/>
      <c r="AG474" s="390"/>
      <c r="AH474" s="390"/>
      <c r="AI474" s="391"/>
      <c r="AK474" s="437"/>
      <c r="AL474" s="437"/>
      <c r="AM474" s="437"/>
      <c r="AN474" s="437"/>
      <c r="AO474" s="437"/>
      <c r="AP474" s="437"/>
      <c r="AQ474" s="437"/>
      <c r="AR474" s="437"/>
      <c r="AS474" s="437"/>
      <c r="AT474" s="437"/>
      <c r="AU474" s="437"/>
      <c r="AV474" s="437"/>
      <c r="AW474" s="437"/>
      <c r="AX474" s="437"/>
      <c r="AY474" s="437"/>
      <c r="AZ474" s="437"/>
      <c r="BA474" s="437"/>
      <c r="BB474" s="437"/>
      <c r="BC474" s="437"/>
      <c r="BD474" s="437"/>
      <c r="BE474" s="437"/>
      <c r="BF474" s="437"/>
      <c r="BG474" s="437"/>
      <c r="BH474" s="437"/>
      <c r="BI474" s="437"/>
      <c r="BJ474" s="437"/>
      <c r="BK474" s="437"/>
      <c r="BL474" s="437"/>
      <c r="BM474" s="393"/>
      <c r="BO474" s="399">
        <f t="shared" si="213"/>
        <v>0</v>
      </c>
      <c r="BP474" s="399">
        <f t="shared" si="214"/>
        <v>0</v>
      </c>
      <c r="BQ474" s="399">
        <f t="shared" si="215"/>
        <v>0</v>
      </c>
      <c r="BR474" s="399">
        <f t="shared" si="216"/>
        <v>0</v>
      </c>
      <c r="BS474" s="399">
        <f t="shared" si="217"/>
        <v>0</v>
      </c>
      <c r="BT474" s="399">
        <f t="shared" si="218"/>
        <v>0</v>
      </c>
      <c r="BU474" s="399">
        <f t="shared" si="219"/>
        <v>0</v>
      </c>
      <c r="BV474" s="399">
        <f t="shared" si="220"/>
        <v>0</v>
      </c>
      <c r="BW474" s="399">
        <f t="shared" si="221"/>
        <v>0</v>
      </c>
      <c r="BX474" s="399">
        <f t="shared" si="222"/>
        <v>0</v>
      </c>
      <c r="BY474" s="399">
        <f t="shared" si="223"/>
        <v>0</v>
      </c>
      <c r="BZ474" s="399">
        <f t="shared" si="224"/>
        <v>0</v>
      </c>
      <c r="CA474" s="399">
        <f t="shared" si="225"/>
        <v>0</v>
      </c>
      <c r="CB474" s="399">
        <f t="shared" si="226"/>
        <v>0</v>
      </c>
      <c r="CC474" s="399">
        <f t="shared" si="227"/>
        <v>0</v>
      </c>
      <c r="CD474" s="399">
        <f t="shared" si="228"/>
        <v>0</v>
      </c>
      <c r="CE474" s="399">
        <f t="shared" si="229"/>
        <v>0</v>
      </c>
      <c r="CF474" s="399">
        <f t="shared" si="230"/>
        <v>0</v>
      </c>
      <c r="CG474" s="399">
        <f t="shared" si="231"/>
        <v>0</v>
      </c>
      <c r="CH474" s="399">
        <f t="shared" si="232"/>
        <v>0</v>
      </c>
      <c r="CI474" s="399">
        <f t="shared" si="233"/>
        <v>0</v>
      </c>
      <c r="CJ474" s="399">
        <f t="shared" si="234"/>
        <v>0</v>
      </c>
      <c r="CK474" s="399">
        <f t="shared" si="235"/>
        <v>0</v>
      </c>
      <c r="CL474" s="399">
        <f t="shared" si="236"/>
        <v>0</v>
      </c>
      <c r="CM474" s="399">
        <f t="shared" si="237"/>
        <v>0</v>
      </c>
      <c r="CN474" s="399">
        <f t="shared" si="238"/>
        <v>0</v>
      </c>
      <c r="CO474" s="399">
        <f t="shared" si="239"/>
        <v>0</v>
      </c>
      <c r="CP474" s="399">
        <f t="shared" si="240"/>
        <v>0</v>
      </c>
      <c r="CQ474" s="423">
        <f t="shared" si="241"/>
        <v>0</v>
      </c>
      <c r="CS474" s="394" t="e">
        <f t="shared" si="242"/>
        <v>#DIV/0!</v>
      </c>
    </row>
    <row r="475" spans="3:97">
      <c r="C475" s="107"/>
      <c r="D475" s="395"/>
      <c r="E475" s="84"/>
      <c r="F475" s="84"/>
      <c r="G475" s="389"/>
      <c r="H475" s="390"/>
      <c r="I475" s="390"/>
      <c r="J475" s="390"/>
      <c r="K475" s="390"/>
      <c r="L475" s="390"/>
      <c r="M475" s="390"/>
      <c r="N475" s="390"/>
      <c r="O475" s="390"/>
      <c r="P475" s="390"/>
      <c r="Q475" s="390"/>
      <c r="R475" s="390"/>
      <c r="S475" s="390"/>
      <c r="T475" s="390"/>
      <c r="U475" s="390"/>
      <c r="V475" s="390"/>
      <c r="W475" s="390"/>
      <c r="X475" s="390"/>
      <c r="Y475" s="390"/>
      <c r="Z475" s="390"/>
      <c r="AA475" s="390"/>
      <c r="AB475" s="390"/>
      <c r="AC475" s="390"/>
      <c r="AD475" s="390"/>
      <c r="AE475" s="390"/>
      <c r="AF475" s="390"/>
      <c r="AG475" s="390"/>
      <c r="AH475" s="390"/>
      <c r="AI475" s="391"/>
      <c r="AK475" s="437"/>
      <c r="AL475" s="437"/>
      <c r="AM475" s="437"/>
      <c r="AN475" s="437"/>
      <c r="AO475" s="437"/>
      <c r="AP475" s="437"/>
      <c r="AQ475" s="437"/>
      <c r="AR475" s="437"/>
      <c r="AS475" s="437"/>
      <c r="AT475" s="437"/>
      <c r="AU475" s="437"/>
      <c r="AV475" s="437"/>
      <c r="AW475" s="437"/>
      <c r="AX475" s="437"/>
      <c r="AY475" s="437"/>
      <c r="AZ475" s="437"/>
      <c r="BA475" s="437"/>
      <c r="BB475" s="437"/>
      <c r="BC475" s="437"/>
      <c r="BD475" s="437"/>
      <c r="BE475" s="437"/>
      <c r="BF475" s="437"/>
      <c r="BG475" s="437"/>
      <c r="BH475" s="437"/>
      <c r="BI475" s="437"/>
      <c r="BJ475" s="437"/>
      <c r="BK475" s="437"/>
      <c r="BL475" s="437"/>
      <c r="BM475" s="393"/>
      <c r="BO475" s="399">
        <f t="shared" si="213"/>
        <v>0</v>
      </c>
      <c r="BP475" s="399">
        <f t="shared" si="214"/>
        <v>0</v>
      </c>
      <c r="BQ475" s="399">
        <f t="shared" si="215"/>
        <v>0</v>
      </c>
      <c r="BR475" s="399">
        <f t="shared" si="216"/>
        <v>0</v>
      </c>
      <c r="BS475" s="399">
        <f t="shared" si="217"/>
        <v>0</v>
      </c>
      <c r="BT475" s="399">
        <f t="shared" si="218"/>
        <v>0</v>
      </c>
      <c r="BU475" s="399">
        <f t="shared" si="219"/>
        <v>0</v>
      </c>
      <c r="BV475" s="399">
        <f t="shared" si="220"/>
        <v>0</v>
      </c>
      <c r="BW475" s="399">
        <f t="shared" si="221"/>
        <v>0</v>
      </c>
      <c r="BX475" s="399">
        <f t="shared" si="222"/>
        <v>0</v>
      </c>
      <c r="BY475" s="399">
        <f t="shared" si="223"/>
        <v>0</v>
      </c>
      <c r="BZ475" s="399">
        <f t="shared" si="224"/>
        <v>0</v>
      </c>
      <c r="CA475" s="399">
        <f t="shared" si="225"/>
        <v>0</v>
      </c>
      <c r="CB475" s="399">
        <f t="shared" si="226"/>
        <v>0</v>
      </c>
      <c r="CC475" s="399">
        <f t="shared" si="227"/>
        <v>0</v>
      </c>
      <c r="CD475" s="399">
        <f t="shared" si="228"/>
        <v>0</v>
      </c>
      <c r="CE475" s="399">
        <f t="shared" si="229"/>
        <v>0</v>
      </c>
      <c r="CF475" s="399">
        <f t="shared" si="230"/>
        <v>0</v>
      </c>
      <c r="CG475" s="399">
        <f t="shared" si="231"/>
        <v>0</v>
      </c>
      <c r="CH475" s="399">
        <f t="shared" si="232"/>
        <v>0</v>
      </c>
      <c r="CI475" s="399">
        <f t="shared" si="233"/>
        <v>0</v>
      </c>
      <c r="CJ475" s="399">
        <f t="shared" si="234"/>
        <v>0</v>
      </c>
      <c r="CK475" s="399">
        <f t="shared" si="235"/>
        <v>0</v>
      </c>
      <c r="CL475" s="399">
        <f t="shared" si="236"/>
        <v>0</v>
      </c>
      <c r="CM475" s="399">
        <f t="shared" si="237"/>
        <v>0</v>
      </c>
      <c r="CN475" s="399">
        <f t="shared" si="238"/>
        <v>0</v>
      </c>
      <c r="CO475" s="399">
        <f t="shared" si="239"/>
        <v>0</v>
      </c>
      <c r="CP475" s="399">
        <f t="shared" si="240"/>
        <v>0</v>
      </c>
      <c r="CQ475" s="423">
        <f t="shared" si="241"/>
        <v>0</v>
      </c>
      <c r="CS475" s="394" t="e">
        <f t="shared" si="242"/>
        <v>#DIV/0!</v>
      </c>
    </row>
    <row r="476" spans="3:97">
      <c r="C476" s="107"/>
      <c r="D476" s="395"/>
      <c r="E476" s="84"/>
      <c r="F476" s="84"/>
      <c r="G476" s="389"/>
      <c r="H476" s="390"/>
      <c r="I476" s="390"/>
      <c r="J476" s="390"/>
      <c r="K476" s="390"/>
      <c r="L476" s="390"/>
      <c r="M476" s="390"/>
      <c r="N476" s="390"/>
      <c r="O476" s="390"/>
      <c r="P476" s="390"/>
      <c r="Q476" s="390"/>
      <c r="R476" s="390"/>
      <c r="S476" s="390"/>
      <c r="T476" s="390"/>
      <c r="U476" s="390"/>
      <c r="V476" s="390"/>
      <c r="W476" s="390"/>
      <c r="X476" s="390"/>
      <c r="Y476" s="390"/>
      <c r="Z476" s="390"/>
      <c r="AA476" s="390"/>
      <c r="AB476" s="390"/>
      <c r="AC476" s="390"/>
      <c r="AD476" s="390"/>
      <c r="AE476" s="390"/>
      <c r="AF476" s="390"/>
      <c r="AG476" s="390"/>
      <c r="AH476" s="390"/>
      <c r="AI476" s="391"/>
      <c r="AK476" s="437"/>
      <c r="AL476" s="437"/>
      <c r="AM476" s="437"/>
      <c r="AN476" s="437"/>
      <c r="AO476" s="437"/>
      <c r="AP476" s="437"/>
      <c r="AQ476" s="437"/>
      <c r="AR476" s="437"/>
      <c r="AS476" s="437"/>
      <c r="AT476" s="437"/>
      <c r="AU476" s="437"/>
      <c r="AV476" s="437"/>
      <c r="AW476" s="437"/>
      <c r="AX476" s="437"/>
      <c r="AY476" s="437"/>
      <c r="AZ476" s="437"/>
      <c r="BA476" s="437"/>
      <c r="BB476" s="437"/>
      <c r="BC476" s="437"/>
      <c r="BD476" s="437"/>
      <c r="BE476" s="437"/>
      <c r="BF476" s="437"/>
      <c r="BG476" s="437"/>
      <c r="BH476" s="437"/>
      <c r="BI476" s="437"/>
      <c r="BJ476" s="437"/>
      <c r="BK476" s="437"/>
      <c r="BL476" s="437"/>
      <c r="BM476" s="393"/>
      <c r="BO476" s="399">
        <f t="shared" si="213"/>
        <v>0</v>
      </c>
      <c r="BP476" s="399">
        <f t="shared" si="214"/>
        <v>0</v>
      </c>
      <c r="BQ476" s="399">
        <f t="shared" si="215"/>
        <v>0</v>
      </c>
      <c r="BR476" s="399">
        <f t="shared" si="216"/>
        <v>0</v>
      </c>
      <c r="BS476" s="399">
        <f t="shared" si="217"/>
        <v>0</v>
      </c>
      <c r="BT476" s="399">
        <f t="shared" si="218"/>
        <v>0</v>
      </c>
      <c r="BU476" s="399">
        <f t="shared" si="219"/>
        <v>0</v>
      </c>
      <c r="BV476" s="399">
        <f t="shared" si="220"/>
        <v>0</v>
      </c>
      <c r="BW476" s="399">
        <f t="shared" si="221"/>
        <v>0</v>
      </c>
      <c r="BX476" s="399">
        <f t="shared" si="222"/>
        <v>0</v>
      </c>
      <c r="BY476" s="399">
        <f t="shared" si="223"/>
        <v>0</v>
      </c>
      <c r="BZ476" s="399">
        <f t="shared" si="224"/>
        <v>0</v>
      </c>
      <c r="CA476" s="399">
        <f t="shared" si="225"/>
        <v>0</v>
      </c>
      <c r="CB476" s="399">
        <f t="shared" si="226"/>
        <v>0</v>
      </c>
      <c r="CC476" s="399">
        <f t="shared" si="227"/>
        <v>0</v>
      </c>
      <c r="CD476" s="399">
        <f t="shared" si="228"/>
        <v>0</v>
      </c>
      <c r="CE476" s="399">
        <f t="shared" si="229"/>
        <v>0</v>
      </c>
      <c r="CF476" s="399">
        <f t="shared" si="230"/>
        <v>0</v>
      </c>
      <c r="CG476" s="399">
        <f t="shared" si="231"/>
        <v>0</v>
      </c>
      <c r="CH476" s="399">
        <f t="shared" si="232"/>
        <v>0</v>
      </c>
      <c r="CI476" s="399">
        <f t="shared" si="233"/>
        <v>0</v>
      </c>
      <c r="CJ476" s="399">
        <f t="shared" si="234"/>
        <v>0</v>
      </c>
      <c r="CK476" s="399">
        <f t="shared" si="235"/>
        <v>0</v>
      </c>
      <c r="CL476" s="399">
        <f t="shared" si="236"/>
        <v>0</v>
      </c>
      <c r="CM476" s="399">
        <f t="shared" si="237"/>
        <v>0</v>
      </c>
      <c r="CN476" s="399">
        <f t="shared" si="238"/>
        <v>0</v>
      </c>
      <c r="CO476" s="399">
        <f t="shared" si="239"/>
        <v>0</v>
      </c>
      <c r="CP476" s="399">
        <f t="shared" si="240"/>
        <v>0</v>
      </c>
      <c r="CQ476" s="423">
        <f t="shared" si="241"/>
        <v>0</v>
      </c>
      <c r="CS476" s="394" t="e">
        <f t="shared" si="242"/>
        <v>#DIV/0!</v>
      </c>
    </row>
    <row r="477" spans="3:97">
      <c r="C477" s="107"/>
      <c r="D477" s="395"/>
      <c r="E477" s="84"/>
      <c r="F477" s="84"/>
      <c r="G477" s="389"/>
      <c r="H477" s="390"/>
      <c r="I477" s="390"/>
      <c r="J477" s="390"/>
      <c r="K477" s="390"/>
      <c r="L477" s="390"/>
      <c r="M477" s="390"/>
      <c r="N477" s="390"/>
      <c r="O477" s="390"/>
      <c r="P477" s="390"/>
      <c r="Q477" s="390"/>
      <c r="R477" s="390"/>
      <c r="S477" s="390"/>
      <c r="T477" s="390"/>
      <c r="U477" s="390"/>
      <c r="V477" s="390"/>
      <c r="W477" s="390"/>
      <c r="X477" s="390"/>
      <c r="Y477" s="390"/>
      <c r="Z477" s="390"/>
      <c r="AA477" s="390"/>
      <c r="AB477" s="390"/>
      <c r="AC477" s="390"/>
      <c r="AD477" s="390"/>
      <c r="AE477" s="390"/>
      <c r="AF477" s="390"/>
      <c r="AG477" s="390"/>
      <c r="AH477" s="390"/>
      <c r="AI477" s="391"/>
      <c r="AK477" s="437"/>
      <c r="AL477" s="437"/>
      <c r="AM477" s="437"/>
      <c r="AN477" s="437"/>
      <c r="AO477" s="437"/>
      <c r="AP477" s="437"/>
      <c r="AQ477" s="437"/>
      <c r="AR477" s="437"/>
      <c r="AS477" s="437"/>
      <c r="AT477" s="437"/>
      <c r="AU477" s="437"/>
      <c r="AV477" s="437"/>
      <c r="AW477" s="437"/>
      <c r="AX477" s="437"/>
      <c r="AY477" s="437"/>
      <c r="AZ477" s="437"/>
      <c r="BA477" s="437"/>
      <c r="BB477" s="437"/>
      <c r="BC477" s="437"/>
      <c r="BD477" s="437"/>
      <c r="BE477" s="437"/>
      <c r="BF477" s="437"/>
      <c r="BG477" s="437"/>
      <c r="BH477" s="437"/>
      <c r="BI477" s="437"/>
      <c r="BJ477" s="437"/>
      <c r="BK477" s="437"/>
      <c r="BL477" s="437"/>
      <c r="BM477" s="393"/>
      <c r="BO477" s="399">
        <f t="shared" si="213"/>
        <v>0</v>
      </c>
      <c r="BP477" s="399">
        <f t="shared" si="214"/>
        <v>0</v>
      </c>
      <c r="BQ477" s="399">
        <f t="shared" si="215"/>
        <v>0</v>
      </c>
      <c r="BR477" s="399">
        <f t="shared" si="216"/>
        <v>0</v>
      </c>
      <c r="BS477" s="399">
        <f t="shared" si="217"/>
        <v>0</v>
      </c>
      <c r="BT477" s="399">
        <f t="shared" si="218"/>
        <v>0</v>
      </c>
      <c r="BU477" s="399">
        <f t="shared" si="219"/>
        <v>0</v>
      </c>
      <c r="BV477" s="399">
        <f t="shared" si="220"/>
        <v>0</v>
      </c>
      <c r="BW477" s="399">
        <f t="shared" si="221"/>
        <v>0</v>
      </c>
      <c r="BX477" s="399">
        <f t="shared" si="222"/>
        <v>0</v>
      </c>
      <c r="BY477" s="399">
        <f t="shared" si="223"/>
        <v>0</v>
      </c>
      <c r="BZ477" s="399">
        <f t="shared" si="224"/>
        <v>0</v>
      </c>
      <c r="CA477" s="399">
        <f t="shared" si="225"/>
        <v>0</v>
      </c>
      <c r="CB477" s="399">
        <f t="shared" si="226"/>
        <v>0</v>
      </c>
      <c r="CC477" s="399">
        <f t="shared" si="227"/>
        <v>0</v>
      </c>
      <c r="CD477" s="399">
        <f t="shared" si="228"/>
        <v>0</v>
      </c>
      <c r="CE477" s="399">
        <f t="shared" si="229"/>
        <v>0</v>
      </c>
      <c r="CF477" s="399">
        <f t="shared" si="230"/>
        <v>0</v>
      </c>
      <c r="CG477" s="399">
        <f t="shared" si="231"/>
        <v>0</v>
      </c>
      <c r="CH477" s="399">
        <f t="shared" si="232"/>
        <v>0</v>
      </c>
      <c r="CI477" s="399">
        <f t="shared" si="233"/>
        <v>0</v>
      </c>
      <c r="CJ477" s="399">
        <f t="shared" si="234"/>
        <v>0</v>
      </c>
      <c r="CK477" s="399">
        <f t="shared" si="235"/>
        <v>0</v>
      </c>
      <c r="CL477" s="399">
        <f t="shared" si="236"/>
        <v>0</v>
      </c>
      <c r="CM477" s="399">
        <f t="shared" si="237"/>
        <v>0</v>
      </c>
      <c r="CN477" s="399">
        <f t="shared" si="238"/>
        <v>0</v>
      </c>
      <c r="CO477" s="399">
        <f t="shared" si="239"/>
        <v>0</v>
      </c>
      <c r="CP477" s="399">
        <f t="shared" si="240"/>
        <v>0</v>
      </c>
      <c r="CQ477" s="423">
        <f t="shared" si="241"/>
        <v>0</v>
      </c>
      <c r="CS477" s="394" t="e">
        <f t="shared" si="242"/>
        <v>#DIV/0!</v>
      </c>
    </row>
    <row r="478" spans="3:97">
      <c r="C478" s="107"/>
      <c r="D478" s="395"/>
      <c r="E478" s="84"/>
      <c r="F478" s="84"/>
      <c r="G478" s="389"/>
      <c r="H478" s="390"/>
      <c r="I478" s="390"/>
      <c r="J478" s="390"/>
      <c r="K478" s="390"/>
      <c r="L478" s="390"/>
      <c r="M478" s="390"/>
      <c r="N478" s="390"/>
      <c r="O478" s="390"/>
      <c r="P478" s="390"/>
      <c r="Q478" s="390"/>
      <c r="R478" s="390"/>
      <c r="S478" s="390"/>
      <c r="T478" s="390"/>
      <c r="U478" s="390"/>
      <c r="V478" s="390"/>
      <c r="W478" s="390"/>
      <c r="X478" s="390"/>
      <c r="Y478" s="390"/>
      <c r="Z478" s="390"/>
      <c r="AA478" s="390"/>
      <c r="AB478" s="390"/>
      <c r="AC478" s="390"/>
      <c r="AD478" s="390"/>
      <c r="AE478" s="390"/>
      <c r="AF478" s="390"/>
      <c r="AG478" s="390"/>
      <c r="AH478" s="390"/>
      <c r="AI478" s="391"/>
      <c r="AK478" s="437"/>
      <c r="AL478" s="437"/>
      <c r="AM478" s="437"/>
      <c r="AN478" s="437"/>
      <c r="AO478" s="437"/>
      <c r="AP478" s="437"/>
      <c r="AQ478" s="437"/>
      <c r="AR478" s="437"/>
      <c r="AS478" s="437"/>
      <c r="AT478" s="437"/>
      <c r="AU478" s="437"/>
      <c r="AV478" s="437"/>
      <c r="AW478" s="437"/>
      <c r="AX478" s="437"/>
      <c r="AY478" s="437"/>
      <c r="AZ478" s="437"/>
      <c r="BA478" s="437"/>
      <c r="BB478" s="437"/>
      <c r="BC478" s="437"/>
      <c r="BD478" s="437"/>
      <c r="BE478" s="437"/>
      <c r="BF478" s="437"/>
      <c r="BG478" s="437"/>
      <c r="BH478" s="437"/>
      <c r="BI478" s="437"/>
      <c r="BJ478" s="437"/>
      <c r="BK478" s="437"/>
      <c r="BL478" s="437"/>
      <c r="BM478" s="393"/>
      <c r="BO478" s="399">
        <f t="shared" si="213"/>
        <v>0</v>
      </c>
      <c r="BP478" s="399">
        <f t="shared" si="214"/>
        <v>0</v>
      </c>
      <c r="BQ478" s="399">
        <f t="shared" si="215"/>
        <v>0</v>
      </c>
      <c r="BR478" s="399">
        <f t="shared" si="216"/>
        <v>0</v>
      </c>
      <c r="BS478" s="399">
        <f t="shared" si="217"/>
        <v>0</v>
      </c>
      <c r="BT478" s="399">
        <f t="shared" si="218"/>
        <v>0</v>
      </c>
      <c r="BU478" s="399">
        <f t="shared" si="219"/>
        <v>0</v>
      </c>
      <c r="BV478" s="399">
        <f t="shared" si="220"/>
        <v>0</v>
      </c>
      <c r="BW478" s="399">
        <f t="shared" si="221"/>
        <v>0</v>
      </c>
      <c r="BX478" s="399">
        <f t="shared" si="222"/>
        <v>0</v>
      </c>
      <c r="BY478" s="399">
        <f t="shared" si="223"/>
        <v>0</v>
      </c>
      <c r="BZ478" s="399">
        <f t="shared" si="224"/>
        <v>0</v>
      </c>
      <c r="CA478" s="399">
        <f t="shared" si="225"/>
        <v>0</v>
      </c>
      <c r="CB478" s="399">
        <f t="shared" si="226"/>
        <v>0</v>
      </c>
      <c r="CC478" s="399">
        <f t="shared" si="227"/>
        <v>0</v>
      </c>
      <c r="CD478" s="399">
        <f t="shared" si="228"/>
        <v>0</v>
      </c>
      <c r="CE478" s="399">
        <f t="shared" si="229"/>
        <v>0</v>
      </c>
      <c r="CF478" s="399">
        <f t="shared" si="230"/>
        <v>0</v>
      </c>
      <c r="CG478" s="399">
        <f t="shared" si="231"/>
        <v>0</v>
      </c>
      <c r="CH478" s="399">
        <f t="shared" si="232"/>
        <v>0</v>
      </c>
      <c r="CI478" s="399">
        <f t="shared" si="233"/>
        <v>0</v>
      </c>
      <c r="CJ478" s="399">
        <f t="shared" si="234"/>
        <v>0</v>
      </c>
      <c r="CK478" s="399">
        <f t="shared" si="235"/>
        <v>0</v>
      </c>
      <c r="CL478" s="399">
        <f t="shared" si="236"/>
        <v>0</v>
      </c>
      <c r="CM478" s="399">
        <f t="shared" si="237"/>
        <v>0</v>
      </c>
      <c r="CN478" s="399">
        <f t="shared" si="238"/>
        <v>0</v>
      </c>
      <c r="CO478" s="399">
        <f t="shared" si="239"/>
        <v>0</v>
      </c>
      <c r="CP478" s="399">
        <f t="shared" si="240"/>
        <v>0</v>
      </c>
      <c r="CQ478" s="423">
        <f t="shared" si="241"/>
        <v>0</v>
      </c>
      <c r="CS478" s="394" t="e">
        <f t="shared" si="242"/>
        <v>#DIV/0!</v>
      </c>
    </row>
    <row r="479" spans="3:97">
      <c r="C479" s="107"/>
      <c r="D479" s="395"/>
      <c r="E479" s="84"/>
      <c r="F479" s="84"/>
      <c r="G479" s="389"/>
      <c r="H479" s="390"/>
      <c r="I479" s="390"/>
      <c r="J479" s="390"/>
      <c r="K479" s="390"/>
      <c r="L479" s="390"/>
      <c r="M479" s="390"/>
      <c r="N479" s="390"/>
      <c r="O479" s="390"/>
      <c r="P479" s="390"/>
      <c r="Q479" s="390"/>
      <c r="R479" s="390"/>
      <c r="S479" s="390"/>
      <c r="T479" s="390"/>
      <c r="U479" s="390"/>
      <c r="V479" s="390"/>
      <c r="W479" s="390"/>
      <c r="X479" s="390"/>
      <c r="Y479" s="390"/>
      <c r="Z479" s="390"/>
      <c r="AA479" s="390"/>
      <c r="AB479" s="390"/>
      <c r="AC479" s="390"/>
      <c r="AD479" s="390"/>
      <c r="AE479" s="390"/>
      <c r="AF479" s="390"/>
      <c r="AG479" s="390"/>
      <c r="AH479" s="390"/>
      <c r="AI479" s="391"/>
      <c r="AK479" s="437"/>
      <c r="AL479" s="437"/>
      <c r="AM479" s="437"/>
      <c r="AN479" s="437"/>
      <c r="AO479" s="437"/>
      <c r="AP479" s="437"/>
      <c r="AQ479" s="437"/>
      <c r="AR479" s="437"/>
      <c r="AS479" s="437"/>
      <c r="AT479" s="437"/>
      <c r="AU479" s="437"/>
      <c r="AV479" s="437"/>
      <c r="AW479" s="437"/>
      <c r="AX479" s="437"/>
      <c r="AY479" s="437"/>
      <c r="AZ479" s="437"/>
      <c r="BA479" s="437"/>
      <c r="BB479" s="437"/>
      <c r="BC479" s="437"/>
      <c r="BD479" s="437"/>
      <c r="BE479" s="437"/>
      <c r="BF479" s="437"/>
      <c r="BG479" s="437"/>
      <c r="BH479" s="437"/>
      <c r="BI479" s="437"/>
      <c r="BJ479" s="437"/>
      <c r="BK479" s="437"/>
      <c r="BL479" s="437"/>
      <c r="BM479" s="393"/>
      <c r="BO479" s="399">
        <f t="shared" si="213"/>
        <v>0</v>
      </c>
      <c r="BP479" s="399">
        <f t="shared" si="214"/>
        <v>0</v>
      </c>
      <c r="BQ479" s="399">
        <f t="shared" si="215"/>
        <v>0</v>
      </c>
      <c r="BR479" s="399">
        <f t="shared" si="216"/>
        <v>0</v>
      </c>
      <c r="BS479" s="399">
        <f t="shared" si="217"/>
        <v>0</v>
      </c>
      <c r="BT479" s="399">
        <f t="shared" si="218"/>
        <v>0</v>
      </c>
      <c r="BU479" s="399">
        <f t="shared" si="219"/>
        <v>0</v>
      </c>
      <c r="BV479" s="399">
        <f t="shared" si="220"/>
        <v>0</v>
      </c>
      <c r="BW479" s="399">
        <f t="shared" si="221"/>
        <v>0</v>
      </c>
      <c r="BX479" s="399">
        <f t="shared" si="222"/>
        <v>0</v>
      </c>
      <c r="BY479" s="399">
        <f t="shared" si="223"/>
        <v>0</v>
      </c>
      <c r="BZ479" s="399">
        <f t="shared" si="224"/>
        <v>0</v>
      </c>
      <c r="CA479" s="399">
        <f t="shared" si="225"/>
        <v>0</v>
      </c>
      <c r="CB479" s="399">
        <f t="shared" si="226"/>
        <v>0</v>
      </c>
      <c r="CC479" s="399">
        <f t="shared" si="227"/>
        <v>0</v>
      </c>
      <c r="CD479" s="399">
        <f t="shared" si="228"/>
        <v>0</v>
      </c>
      <c r="CE479" s="399">
        <f t="shared" si="229"/>
        <v>0</v>
      </c>
      <c r="CF479" s="399">
        <f t="shared" si="230"/>
        <v>0</v>
      </c>
      <c r="CG479" s="399">
        <f t="shared" si="231"/>
        <v>0</v>
      </c>
      <c r="CH479" s="399">
        <f t="shared" si="232"/>
        <v>0</v>
      </c>
      <c r="CI479" s="399">
        <f t="shared" si="233"/>
        <v>0</v>
      </c>
      <c r="CJ479" s="399">
        <f t="shared" si="234"/>
        <v>0</v>
      </c>
      <c r="CK479" s="399">
        <f t="shared" si="235"/>
        <v>0</v>
      </c>
      <c r="CL479" s="399">
        <f t="shared" si="236"/>
        <v>0</v>
      </c>
      <c r="CM479" s="399">
        <f t="shared" si="237"/>
        <v>0</v>
      </c>
      <c r="CN479" s="399">
        <f t="shared" si="238"/>
        <v>0</v>
      </c>
      <c r="CO479" s="399">
        <f t="shared" si="239"/>
        <v>0</v>
      </c>
      <c r="CP479" s="399">
        <f t="shared" si="240"/>
        <v>0</v>
      </c>
      <c r="CQ479" s="423">
        <f t="shared" si="241"/>
        <v>0</v>
      </c>
      <c r="CS479" s="394" t="e">
        <f t="shared" si="242"/>
        <v>#DIV/0!</v>
      </c>
    </row>
    <row r="480" spans="3:97">
      <c r="C480" s="107"/>
      <c r="D480" s="395"/>
      <c r="E480" s="84"/>
      <c r="F480" s="84"/>
      <c r="G480" s="389"/>
      <c r="H480" s="390"/>
      <c r="I480" s="390"/>
      <c r="J480" s="390"/>
      <c r="K480" s="390"/>
      <c r="L480" s="390"/>
      <c r="M480" s="390"/>
      <c r="N480" s="390"/>
      <c r="O480" s="390"/>
      <c r="P480" s="390"/>
      <c r="Q480" s="390"/>
      <c r="R480" s="390"/>
      <c r="S480" s="390"/>
      <c r="T480" s="390"/>
      <c r="U480" s="390"/>
      <c r="V480" s="390"/>
      <c r="W480" s="390"/>
      <c r="X480" s="390"/>
      <c r="Y480" s="390"/>
      <c r="Z480" s="390"/>
      <c r="AA480" s="390"/>
      <c r="AB480" s="390"/>
      <c r="AC480" s="390"/>
      <c r="AD480" s="390"/>
      <c r="AE480" s="390"/>
      <c r="AF480" s="390"/>
      <c r="AG480" s="390"/>
      <c r="AH480" s="390"/>
      <c r="AI480" s="391"/>
      <c r="AK480" s="437"/>
      <c r="AL480" s="437"/>
      <c r="AM480" s="437"/>
      <c r="AN480" s="437"/>
      <c r="AO480" s="437"/>
      <c r="AP480" s="437"/>
      <c r="AQ480" s="437"/>
      <c r="AR480" s="437"/>
      <c r="AS480" s="437"/>
      <c r="AT480" s="437"/>
      <c r="AU480" s="437"/>
      <c r="AV480" s="437"/>
      <c r="AW480" s="437"/>
      <c r="AX480" s="437"/>
      <c r="AY480" s="437"/>
      <c r="AZ480" s="437"/>
      <c r="BA480" s="437"/>
      <c r="BB480" s="437"/>
      <c r="BC480" s="437"/>
      <c r="BD480" s="437"/>
      <c r="BE480" s="437"/>
      <c r="BF480" s="437"/>
      <c r="BG480" s="437"/>
      <c r="BH480" s="437"/>
      <c r="BI480" s="437"/>
      <c r="BJ480" s="437"/>
      <c r="BK480" s="437"/>
      <c r="BL480" s="437"/>
      <c r="BM480" s="393"/>
      <c r="BO480" s="399">
        <f t="shared" si="213"/>
        <v>0</v>
      </c>
      <c r="BP480" s="399">
        <f t="shared" si="214"/>
        <v>0</v>
      </c>
      <c r="BQ480" s="399">
        <f t="shared" si="215"/>
        <v>0</v>
      </c>
      <c r="BR480" s="399">
        <f t="shared" si="216"/>
        <v>0</v>
      </c>
      <c r="BS480" s="399">
        <f t="shared" si="217"/>
        <v>0</v>
      </c>
      <c r="BT480" s="399">
        <f t="shared" si="218"/>
        <v>0</v>
      </c>
      <c r="BU480" s="399">
        <f t="shared" si="219"/>
        <v>0</v>
      </c>
      <c r="BV480" s="399">
        <f t="shared" si="220"/>
        <v>0</v>
      </c>
      <c r="BW480" s="399">
        <f t="shared" si="221"/>
        <v>0</v>
      </c>
      <c r="BX480" s="399">
        <f t="shared" si="222"/>
        <v>0</v>
      </c>
      <c r="BY480" s="399">
        <f t="shared" si="223"/>
        <v>0</v>
      </c>
      <c r="BZ480" s="399">
        <f t="shared" si="224"/>
        <v>0</v>
      </c>
      <c r="CA480" s="399">
        <f t="shared" si="225"/>
        <v>0</v>
      </c>
      <c r="CB480" s="399">
        <f t="shared" si="226"/>
        <v>0</v>
      </c>
      <c r="CC480" s="399">
        <f t="shared" si="227"/>
        <v>0</v>
      </c>
      <c r="CD480" s="399">
        <f t="shared" si="228"/>
        <v>0</v>
      </c>
      <c r="CE480" s="399">
        <f t="shared" si="229"/>
        <v>0</v>
      </c>
      <c r="CF480" s="399">
        <f t="shared" si="230"/>
        <v>0</v>
      </c>
      <c r="CG480" s="399">
        <f t="shared" si="231"/>
        <v>0</v>
      </c>
      <c r="CH480" s="399">
        <f t="shared" si="232"/>
        <v>0</v>
      </c>
      <c r="CI480" s="399">
        <f t="shared" si="233"/>
        <v>0</v>
      </c>
      <c r="CJ480" s="399">
        <f t="shared" si="234"/>
        <v>0</v>
      </c>
      <c r="CK480" s="399">
        <f t="shared" si="235"/>
        <v>0</v>
      </c>
      <c r="CL480" s="399">
        <f t="shared" si="236"/>
        <v>0</v>
      </c>
      <c r="CM480" s="399">
        <f t="shared" si="237"/>
        <v>0</v>
      </c>
      <c r="CN480" s="399">
        <f t="shared" si="238"/>
        <v>0</v>
      </c>
      <c r="CO480" s="399">
        <f t="shared" si="239"/>
        <v>0</v>
      </c>
      <c r="CP480" s="399">
        <f t="shared" si="240"/>
        <v>0</v>
      </c>
      <c r="CQ480" s="423">
        <f t="shared" si="241"/>
        <v>0</v>
      </c>
      <c r="CS480" s="394" t="e">
        <f t="shared" si="242"/>
        <v>#DIV/0!</v>
      </c>
    </row>
    <row r="481" spans="3:97">
      <c r="C481" s="107"/>
      <c r="D481" s="395"/>
      <c r="E481" s="84"/>
      <c r="F481" s="84"/>
      <c r="G481" s="389"/>
      <c r="H481" s="390"/>
      <c r="I481" s="390"/>
      <c r="J481" s="390"/>
      <c r="K481" s="390"/>
      <c r="L481" s="390"/>
      <c r="M481" s="390"/>
      <c r="N481" s="390"/>
      <c r="O481" s="390"/>
      <c r="P481" s="390"/>
      <c r="Q481" s="390"/>
      <c r="R481" s="390"/>
      <c r="S481" s="390"/>
      <c r="T481" s="390"/>
      <c r="U481" s="390"/>
      <c r="V481" s="390"/>
      <c r="W481" s="390"/>
      <c r="X481" s="390"/>
      <c r="Y481" s="390"/>
      <c r="Z481" s="390"/>
      <c r="AA481" s="390"/>
      <c r="AB481" s="390"/>
      <c r="AC481" s="390"/>
      <c r="AD481" s="390"/>
      <c r="AE481" s="390"/>
      <c r="AF481" s="390"/>
      <c r="AG481" s="390"/>
      <c r="AH481" s="390"/>
      <c r="AI481" s="391"/>
      <c r="AK481" s="437"/>
      <c r="AL481" s="437"/>
      <c r="AM481" s="437"/>
      <c r="AN481" s="437"/>
      <c r="AO481" s="437"/>
      <c r="AP481" s="437"/>
      <c r="AQ481" s="437"/>
      <c r="AR481" s="437"/>
      <c r="AS481" s="437"/>
      <c r="AT481" s="437"/>
      <c r="AU481" s="437"/>
      <c r="AV481" s="437"/>
      <c r="AW481" s="437"/>
      <c r="AX481" s="437"/>
      <c r="AY481" s="437"/>
      <c r="AZ481" s="437"/>
      <c r="BA481" s="437"/>
      <c r="BB481" s="437"/>
      <c r="BC481" s="437"/>
      <c r="BD481" s="437"/>
      <c r="BE481" s="437"/>
      <c r="BF481" s="437"/>
      <c r="BG481" s="437"/>
      <c r="BH481" s="437"/>
      <c r="BI481" s="437"/>
      <c r="BJ481" s="437"/>
      <c r="BK481" s="437"/>
      <c r="BL481" s="437"/>
      <c r="BM481" s="393"/>
      <c r="BO481" s="399">
        <f t="shared" si="213"/>
        <v>0</v>
      </c>
      <c r="BP481" s="399">
        <f t="shared" si="214"/>
        <v>0</v>
      </c>
      <c r="BQ481" s="399">
        <f t="shared" si="215"/>
        <v>0</v>
      </c>
      <c r="BR481" s="399">
        <f t="shared" si="216"/>
        <v>0</v>
      </c>
      <c r="BS481" s="399">
        <f t="shared" si="217"/>
        <v>0</v>
      </c>
      <c r="BT481" s="399">
        <f t="shared" si="218"/>
        <v>0</v>
      </c>
      <c r="BU481" s="399">
        <f t="shared" si="219"/>
        <v>0</v>
      </c>
      <c r="BV481" s="399">
        <f t="shared" si="220"/>
        <v>0</v>
      </c>
      <c r="BW481" s="399">
        <f t="shared" si="221"/>
        <v>0</v>
      </c>
      <c r="BX481" s="399">
        <f t="shared" si="222"/>
        <v>0</v>
      </c>
      <c r="BY481" s="399">
        <f t="shared" si="223"/>
        <v>0</v>
      </c>
      <c r="BZ481" s="399">
        <f t="shared" si="224"/>
        <v>0</v>
      </c>
      <c r="CA481" s="399">
        <f t="shared" si="225"/>
        <v>0</v>
      </c>
      <c r="CB481" s="399">
        <f t="shared" si="226"/>
        <v>0</v>
      </c>
      <c r="CC481" s="399">
        <f t="shared" si="227"/>
        <v>0</v>
      </c>
      <c r="CD481" s="399">
        <f t="shared" si="228"/>
        <v>0</v>
      </c>
      <c r="CE481" s="399">
        <f t="shared" si="229"/>
        <v>0</v>
      </c>
      <c r="CF481" s="399">
        <f t="shared" si="230"/>
        <v>0</v>
      </c>
      <c r="CG481" s="399">
        <f t="shared" si="231"/>
        <v>0</v>
      </c>
      <c r="CH481" s="399">
        <f t="shared" si="232"/>
        <v>0</v>
      </c>
      <c r="CI481" s="399">
        <f t="shared" si="233"/>
        <v>0</v>
      </c>
      <c r="CJ481" s="399">
        <f t="shared" si="234"/>
        <v>0</v>
      </c>
      <c r="CK481" s="399">
        <f t="shared" si="235"/>
        <v>0</v>
      </c>
      <c r="CL481" s="399">
        <f t="shared" si="236"/>
        <v>0</v>
      </c>
      <c r="CM481" s="399">
        <f t="shared" si="237"/>
        <v>0</v>
      </c>
      <c r="CN481" s="399">
        <f t="shared" si="238"/>
        <v>0</v>
      </c>
      <c r="CO481" s="399">
        <f t="shared" si="239"/>
        <v>0</v>
      </c>
      <c r="CP481" s="399">
        <f t="shared" si="240"/>
        <v>0</v>
      </c>
      <c r="CQ481" s="423">
        <f t="shared" si="241"/>
        <v>0</v>
      </c>
      <c r="CS481" s="394" t="e">
        <f t="shared" si="242"/>
        <v>#DIV/0!</v>
      </c>
    </row>
    <row r="482" spans="3:97">
      <c r="C482" s="107"/>
      <c r="D482" s="395"/>
      <c r="E482" s="84"/>
      <c r="F482" s="84"/>
      <c r="G482" s="389"/>
      <c r="H482" s="390"/>
      <c r="I482" s="390"/>
      <c r="J482" s="390"/>
      <c r="K482" s="390"/>
      <c r="L482" s="390"/>
      <c r="M482" s="390"/>
      <c r="N482" s="390"/>
      <c r="O482" s="390"/>
      <c r="P482" s="390"/>
      <c r="Q482" s="390"/>
      <c r="R482" s="390"/>
      <c r="S482" s="390"/>
      <c r="T482" s="390"/>
      <c r="U482" s="390"/>
      <c r="V482" s="390"/>
      <c r="W482" s="390"/>
      <c r="X482" s="390"/>
      <c r="Y482" s="390"/>
      <c r="Z482" s="390"/>
      <c r="AA482" s="390"/>
      <c r="AB482" s="390"/>
      <c r="AC482" s="390"/>
      <c r="AD482" s="390"/>
      <c r="AE482" s="390"/>
      <c r="AF482" s="390"/>
      <c r="AG482" s="390"/>
      <c r="AH482" s="390"/>
      <c r="AI482" s="391"/>
      <c r="AK482" s="437"/>
      <c r="AL482" s="437"/>
      <c r="AM482" s="437"/>
      <c r="AN482" s="437"/>
      <c r="AO482" s="437"/>
      <c r="AP482" s="437"/>
      <c r="AQ482" s="437"/>
      <c r="AR482" s="437"/>
      <c r="AS482" s="437"/>
      <c r="AT482" s="437"/>
      <c r="AU482" s="437"/>
      <c r="AV482" s="437"/>
      <c r="AW482" s="437"/>
      <c r="AX482" s="437"/>
      <c r="AY482" s="437"/>
      <c r="AZ482" s="437"/>
      <c r="BA482" s="437"/>
      <c r="BB482" s="437"/>
      <c r="BC482" s="437"/>
      <c r="BD482" s="437"/>
      <c r="BE482" s="437"/>
      <c r="BF482" s="437"/>
      <c r="BG482" s="437"/>
      <c r="BH482" s="437"/>
      <c r="BI482" s="437"/>
      <c r="BJ482" s="437"/>
      <c r="BK482" s="437"/>
      <c r="BL482" s="437"/>
      <c r="BM482" s="393"/>
      <c r="BO482" s="399">
        <f t="shared" si="213"/>
        <v>0</v>
      </c>
      <c r="BP482" s="399">
        <f t="shared" si="214"/>
        <v>0</v>
      </c>
      <c r="BQ482" s="399">
        <f t="shared" si="215"/>
        <v>0</v>
      </c>
      <c r="BR482" s="399">
        <f t="shared" si="216"/>
        <v>0</v>
      </c>
      <c r="BS482" s="399">
        <f t="shared" si="217"/>
        <v>0</v>
      </c>
      <c r="BT482" s="399">
        <f t="shared" si="218"/>
        <v>0</v>
      </c>
      <c r="BU482" s="399">
        <f t="shared" si="219"/>
        <v>0</v>
      </c>
      <c r="BV482" s="399">
        <f t="shared" si="220"/>
        <v>0</v>
      </c>
      <c r="BW482" s="399">
        <f t="shared" si="221"/>
        <v>0</v>
      </c>
      <c r="BX482" s="399">
        <f t="shared" si="222"/>
        <v>0</v>
      </c>
      <c r="BY482" s="399">
        <f t="shared" si="223"/>
        <v>0</v>
      </c>
      <c r="BZ482" s="399">
        <f t="shared" si="224"/>
        <v>0</v>
      </c>
      <c r="CA482" s="399">
        <f t="shared" si="225"/>
        <v>0</v>
      </c>
      <c r="CB482" s="399">
        <f t="shared" si="226"/>
        <v>0</v>
      </c>
      <c r="CC482" s="399">
        <f t="shared" si="227"/>
        <v>0</v>
      </c>
      <c r="CD482" s="399">
        <f t="shared" si="228"/>
        <v>0</v>
      </c>
      <c r="CE482" s="399">
        <f t="shared" si="229"/>
        <v>0</v>
      </c>
      <c r="CF482" s="399">
        <f t="shared" si="230"/>
        <v>0</v>
      </c>
      <c r="CG482" s="399">
        <f t="shared" si="231"/>
        <v>0</v>
      </c>
      <c r="CH482" s="399">
        <f t="shared" si="232"/>
        <v>0</v>
      </c>
      <c r="CI482" s="399">
        <f t="shared" si="233"/>
        <v>0</v>
      </c>
      <c r="CJ482" s="399">
        <f t="shared" si="234"/>
        <v>0</v>
      </c>
      <c r="CK482" s="399">
        <f t="shared" si="235"/>
        <v>0</v>
      </c>
      <c r="CL482" s="399">
        <f t="shared" si="236"/>
        <v>0</v>
      </c>
      <c r="CM482" s="399">
        <f t="shared" si="237"/>
        <v>0</v>
      </c>
      <c r="CN482" s="399">
        <f t="shared" si="238"/>
        <v>0</v>
      </c>
      <c r="CO482" s="399">
        <f t="shared" si="239"/>
        <v>0</v>
      </c>
      <c r="CP482" s="399">
        <f t="shared" si="240"/>
        <v>0</v>
      </c>
      <c r="CQ482" s="423">
        <f t="shared" si="241"/>
        <v>0</v>
      </c>
      <c r="CS482" s="394" t="e">
        <f t="shared" si="242"/>
        <v>#DIV/0!</v>
      </c>
    </row>
    <row r="483" spans="3:97">
      <c r="C483" s="107"/>
      <c r="D483" s="395"/>
      <c r="E483" s="84"/>
      <c r="F483" s="84"/>
      <c r="G483" s="389"/>
      <c r="H483" s="390"/>
      <c r="I483" s="390"/>
      <c r="J483" s="390"/>
      <c r="K483" s="390"/>
      <c r="L483" s="390"/>
      <c r="M483" s="390"/>
      <c r="N483" s="390"/>
      <c r="O483" s="390"/>
      <c r="P483" s="390"/>
      <c r="Q483" s="390"/>
      <c r="R483" s="390"/>
      <c r="S483" s="390"/>
      <c r="T483" s="390"/>
      <c r="U483" s="390"/>
      <c r="V483" s="390"/>
      <c r="W483" s="390"/>
      <c r="X483" s="390"/>
      <c r="Y483" s="390"/>
      <c r="Z483" s="390"/>
      <c r="AA483" s="390"/>
      <c r="AB483" s="390"/>
      <c r="AC483" s="390"/>
      <c r="AD483" s="390"/>
      <c r="AE483" s="390"/>
      <c r="AF483" s="390"/>
      <c r="AG483" s="390"/>
      <c r="AH483" s="390"/>
      <c r="AI483" s="391"/>
      <c r="AK483" s="437"/>
      <c r="AL483" s="437"/>
      <c r="AM483" s="437"/>
      <c r="AN483" s="437"/>
      <c r="AO483" s="437"/>
      <c r="AP483" s="437"/>
      <c r="AQ483" s="437"/>
      <c r="AR483" s="437"/>
      <c r="AS483" s="437"/>
      <c r="AT483" s="437"/>
      <c r="AU483" s="437"/>
      <c r="AV483" s="437"/>
      <c r="AW483" s="437"/>
      <c r="AX483" s="437"/>
      <c r="AY483" s="437"/>
      <c r="AZ483" s="437"/>
      <c r="BA483" s="437"/>
      <c r="BB483" s="437"/>
      <c r="BC483" s="437"/>
      <c r="BD483" s="437"/>
      <c r="BE483" s="437"/>
      <c r="BF483" s="437"/>
      <c r="BG483" s="437"/>
      <c r="BH483" s="437"/>
      <c r="BI483" s="437"/>
      <c r="BJ483" s="437"/>
      <c r="BK483" s="437"/>
      <c r="BL483" s="437"/>
      <c r="BM483" s="393"/>
      <c r="BO483" s="399">
        <f t="shared" si="213"/>
        <v>0</v>
      </c>
      <c r="BP483" s="399">
        <f t="shared" si="214"/>
        <v>0</v>
      </c>
      <c r="BQ483" s="399">
        <f t="shared" si="215"/>
        <v>0</v>
      </c>
      <c r="BR483" s="399">
        <f t="shared" si="216"/>
        <v>0</v>
      </c>
      <c r="BS483" s="399">
        <f t="shared" si="217"/>
        <v>0</v>
      </c>
      <c r="BT483" s="399">
        <f t="shared" si="218"/>
        <v>0</v>
      </c>
      <c r="BU483" s="399">
        <f t="shared" si="219"/>
        <v>0</v>
      </c>
      <c r="BV483" s="399">
        <f t="shared" si="220"/>
        <v>0</v>
      </c>
      <c r="BW483" s="399">
        <f t="shared" si="221"/>
        <v>0</v>
      </c>
      <c r="BX483" s="399">
        <f t="shared" si="222"/>
        <v>0</v>
      </c>
      <c r="BY483" s="399">
        <f t="shared" si="223"/>
        <v>0</v>
      </c>
      <c r="BZ483" s="399">
        <f t="shared" si="224"/>
        <v>0</v>
      </c>
      <c r="CA483" s="399">
        <f t="shared" si="225"/>
        <v>0</v>
      </c>
      <c r="CB483" s="399">
        <f t="shared" si="226"/>
        <v>0</v>
      </c>
      <c r="CC483" s="399">
        <f t="shared" si="227"/>
        <v>0</v>
      </c>
      <c r="CD483" s="399">
        <f t="shared" si="228"/>
        <v>0</v>
      </c>
      <c r="CE483" s="399">
        <f t="shared" si="229"/>
        <v>0</v>
      </c>
      <c r="CF483" s="399">
        <f t="shared" si="230"/>
        <v>0</v>
      </c>
      <c r="CG483" s="399">
        <f t="shared" si="231"/>
        <v>0</v>
      </c>
      <c r="CH483" s="399">
        <f t="shared" si="232"/>
        <v>0</v>
      </c>
      <c r="CI483" s="399">
        <f t="shared" si="233"/>
        <v>0</v>
      </c>
      <c r="CJ483" s="399">
        <f t="shared" si="234"/>
        <v>0</v>
      </c>
      <c r="CK483" s="399">
        <f t="shared" si="235"/>
        <v>0</v>
      </c>
      <c r="CL483" s="399">
        <f t="shared" si="236"/>
        <v>0</v>
      </c>
      <c r="CM483" s="399">
        <f t="shared" si="237"/>
        <v>0</v>
      </c>
      <c r="CN483" s="399">
        <f t="shared" si="238"/>
        <v>0</v>
      </c>
      <c r="CO483" s="399">
        <f t="shared" si="239"/>
        <v>0</v>
      </c>
      <c r="CP483" s="399">
        <f t="shared" si="240"/>
        <v>0</v>
      </c>
      <c r="CQ483" s="423">
        <f t="shared" si="241"/>
        <v>0</v>
      </c>
      <c r="CS483" s="394" t="e">
        <f t="shared" si="242"/>
        <v>#DIV/0!</v>
      </c>
    </row>
    <row r="484" spans="3:97">
      <c r="C484" s="107"/>
      <c r="D484" s="395"/>
      <c r="E484" s="84"/>
      <c r="F484" s="84"/>
      <c r="G484" s="389"/>
      <c r="H484" s="390"/>
      <c r="I484" s="390"/>
      <c r="J484" s="390"/>
      <c r="K484" s="390"/>
      <c r="L484" s="390"/>
      <c r="M484" s="390"/>
      <c r="N484" s="390"/>
      <c r="O484" s="390"/>
      <c r="P484" s="390"/>
      <c r="Q484" s="390"/>
      <c r="R484" s="390"/>
      <c r="S484" s="390"/>
      <c r="T484" s="390"/>
      <c r="U484" s="390"/>
      <c r="V484" s="390"/>
      <c r="W484" s="390"/>
      <c r="X484" s="390"/>
      <c r="Y484" s="390"/>
      <c r="Z484" s="390"/>
      <c r="AA484" s="390"/>
      <c r="AB484" s="390"/>
      <c r="AC484" s="390"/>
      <c r="AD484" s="390"/>
      <c r="AE484" s="390"/>
      <c r="AF484" s="390"/>
      <c r="AG484" s="390"/>
      <c r="AH484" s="390"/>
      <c r="AI484" s="391"/>
      <c r="AK484" s="437"/>
      <c r="AL484" s="437"/>
      <c r="AM484" s="437"/>
      <c r="AN484" s="437"/>
      <c r="AO484" s="437"/>
      <c r="AP484" s="437"/>
      <c r="AQ484" s="437"/>
      <c r="AR484" s="437"/>
      <c r="AS484" s="437"/>
      <c r="AT484" s="437"/>
      <c r="AU484" s="437"/>
      <c r="AV484" s="437"/>
      <c r="AW484" s="437"/>
      <c r="AX484" s="437"/>
      <c r="AY484" s="437"/>
      <c r="AZ484" s="437"/>
      <c r="BA484" s="437"/>
      <c r="BB484" s="437"/>
      <c r="BC484" s="437"/>
      <c r="BD484" s="437"/>
      <c r="BE484" s="437"/>
      <c r="BF484" s="437"/>
      <c r="BG484" s="437"/>
      <c r="BH484" s="437"/>
      <c r="BI484" s="437"/>
      <c r="BJ484" s="437"/>
      <c r="BK484" s="437"/>
      <c r="BL484" s="437"/>
      <c r="BM484" s="393"/>
      <c r="BO484" s="399">
        <f t="shared" si="213"/>
        <v>0</v>
      </c>
      <c r="BP484" s="399">
        <f t="shared" si="214"/>
        <v>0</v>
      </c>
      <c r="BQ484" s="399">
        <f t="shared" si="215"/>
        <v>0</v>
      </c>
      <c r="BR484" s="399">
        <f t="shared" si="216"/>
        <v>0</v>
      </c>
      <c r="BS484" s="399">
        <f t="shared" si="217"/>
        <v>0</v>
      </c>
      <c r="BT484" s="399">
        <f t="shared" si="218"/>
        <v>0</v>
      </c>
      <c r="BU484" s="399">
        <f t="shared" si="219"/>
        <v>0</v>
      </c>
      <c r="BV484" s="399">
        <f t="shared" si="220"/>
        <v>0</v>
      </c>
      <c r="BW484" s="399">
        <f t="shared" si="221"/>
        <v>0</v>
      </c>
      <c r="BX484" s="399">
        <f t="shared" si="222"/>
        <v>0</v>
      </c>
      <c r="BY484" s="399">
        <f t="shared" si="223"/>
        <v>0</v>
      </c>
      <c r="BZ484" s="399">
        <f t="shared" si="224"/>
        <v>0</v>
      </c>
      <c r="CA484" s="399">
        <f t="shared" si="225"/>
        <v>0</v>
      </c>
      <c r="CB484" s="399">
        <f t="shared" si="226"/>
        <v>0</v>
      </c>
      <c r="CC484" s="399">
        <f t="shared" si="227"/>
        <v>0</v>
      </c>
      <c r="CD484" s="399">
        <f t="shared" si="228"/>
        <v>0</v>
      </c>
      <c r="CE484" s="399">
        <f t="shared" si="229"/>
        <v>0</v>
      </c>
      <c r="CF484" s="399">
        <f t="shared" si="230"/>
        <v>0</v>
      </c>
      <c r="CG484" s="399">
        <f t="shared" si="231"/>
        <v>0</v>
      </c>
      <c r="CH484" s="399">
        <f t="shared" si="232"/>
        <v>0</v>
      </c>
      <c r="CI484" s="399">
        <f t="shared" si="233"/>
        <v>0</v>
      </c>
      <c r="CJ484" s="399">
        <f t="shared" si="234"/>
        <v>0</v>
      </c>
      <c r="CK484" s="399">
        <f t="shared" si="235"/>
        <v>0</v>
      </c>
      <c r="CL484" s="399">
        <f t="shared" si="236"/>
        <v>0</v>
      </c>
      <c r="CM484" s="399">
        <f t="shared" si="237"/>
        <v>0</v>
      </c>
      <c r="CN484" s="399">
        <f t="shared" si="238"/>
        <v>0</v>
      </c>
      <c r="CO484" s="399">
        <f t="shared" si="239"/>
        <v>0</v>
      </c>
      <c r="CP484" s="399">
        <f t="shared" si="240"/>
        <v>0</v>
      </c>
      <c r="CQ484" s="423">
        <f t="shared" si="241"/>
        <v>0</v>
      </c>
      <c r="CS484" s="394" t="e">
        <f t="shared" si="242"/>
        <v>#DIV/0!</v>
      </c>
    </row>
    <row r="485" spans="3:97">
      <c r="C485" s="107"/>
      <c r="D485" s="395"/>
      <c r="E485" s="84"/>
      <c r="F485" s="84"/>
      <c r="G485" s="389"/>
      <c r="H485" s="390"/>
      <c r="I485" s="390"/>
      <c r="J485" s="390"/>
      <c r="K485" s="390"/>
      <c r="L485" s="390"/>
      <c r="M485" s="390"/>
      <c r="N485" s="390"/>
      <c r="O485" s="390"/>
      <c r="P485" s="390"/>
      <c r="Q485" s="390"/>
      <c r="R485" s="390"/>
      <c r="S485" s="390"/>
      <c r="T485" s="390"/>
      <c r="U485" s="390"/>
      <c r="V485" s="390"/>
      <c r="W485" s="390"/>
      <c r="X485" s="390"/>
      <c r="Y485" s="390"/>
      <c r="Z485" s="390"/>
      <c r="AA485" s="390"/>
      <c r="AB485" s="390"/>
      <c r="AC485" s="390"/>
      <c r="AD485" s="390"/>
      <c r="AE485" s="390"/>
      <c r="AF485" s="390"/>
      <c r="AG485" s="390"/>
      <c r="AH485" s="390"/>
      <c r="AI485" s="391"/>
      <c r="AK485" s="437"/>
      <c r="AL485" s="437"/>
      <c r="AM485" s="437"/>
      <c r="AN485" s="437"/>
      <c r="AO485" s="437"/>
      <c r="AP485" s="437"/>
      <c r="AQ485" s="437"/>
      <c r="AR485" s="437"/>
      <c r="AS485" s="437"/>
      <c r="AT485" s="437"/>
      <c r="AU485" s="437"/>
      <c r="AV485" s="437"/>
      <c r="AW485" s="437"/>
      <c r="AX485" s="437"/>
      <c r="AY485" s="437"/>
      <c r="AZ485" s="437"/>
      <c r="BA485" s="437"/>
      <c r="BB485" s="437"/>
      <c r="BC485" s="437"/>
      <c r="BD485" s="437"/>
      <c r="BE485" s="437"/>
      <c r="BF485" s="437"/>
      <c r="BG485" s="437"/>
      <c r="BH485" s="437"/>
      <c r="BI485" s="437"/>
      <c r="BJ485" s="437"/>
      <c r="BK485" s="437"/>
      <c r="BL485" s="437"/>
      <c r="BM485" s="393"/>
      <c r="BO485" s="399">
        <f t="shared" si="213"/>
        <v>0</v>
      </c>
      <c r="BP485" s="399">
        <f t="shared" si="214"/>
        <v>0</v>
      </c>
      <c r="BQ485" s="399">
        <f t="shared" si="215"/>
        <v>0</v>
      </c>
      <c r="BR485" s="399">
        <f t="shared" si="216"/>
        <v>0</v>
      </c>
      <c r="BS485" s="399">
        <f t="shared" si="217"/>
        <v>0</v>
      </c>
      <c r="BT485" s="399">
        <f t="shared" si="218"/>
        <v>0</v>
      </c>
      <c r="BU485" s="399">
        <f t="shared" si="219"/>
        <v>0</v>
      </c>
      <c r="BV485" s="399">
        <f t="shared" si="220"/>
        <v>0</v>
      </c>
      <c r="BW485" s="399">
        <f t="shared" si="221"/>
        <v>0</v>
      </c>
      <c r="BX485" s="399">
        <f t="shared" si="222"/>
        <v>0</v>
      </c>
      <c r="BY485" s="399">
        <f t="shared" si="223"/>
        <v>0</v>
      </c>
      <c r="BZ485" s="399">
        <f t="shared" si="224"/>
        <v>0</v>
      </c>
      <c r="CA485" s="399">
        <f t="shared" si="225"/>
        <v>0</v>
      </c>
      <c r="CB485" s="399">
        <f t="shared" si="226"/>
        <v>0</v>
      </c>
      <c r="CC485" s="399">
        <f t="shared" si="227"/>
        <v>0</v>
      </c>
      <c r="CD485" s="399">
        <f t="shared" si="228"/>
        <v>0</v>
      </c>
      <c r="CE485" s="399">
        <f t="shared" si="229"/>
        <v>0</v>
      </c>
      <c r="CF485" s="399">
        <f t="shared" si="230"/>
        <v>0</v>
      </c>
      <c r="CG485" s="399">
        <f t="shared" si="231"/>
        <v>0</v>
      </c>
      <c r="CH485" s="399">
        <f t="shared" si="232"/>
        <v>0</v>
      </c>
      <c r="CI485" s="399">
        <f t="shared" si="233"/>
        <v>0</v>
      </c>
      <c r="CJ485" s="399">
        <f t="shared" si="234"/>
        <v>0</v>
      </c>
      <c r="CK485" s="399">
        <f t="shared" si="235"/>
        <v>0</v>
      </c>
      <c r="CL485" s="399">
        <f t="shared" si="236"/>
        <v>0</v>
      </c>
      <c r="CM485" s="399">
        <f t="shared" si="237"/>
        <v>0</v>
      </c>
      <c r="CN485" s="399">
        <f t="shared" si="238"/>
        <v>0</v>
      </c>
      <c r="CO485" s="399">
        <f t="shared" si="239"/>
        <v>0</v>
      </c>
      <c r="CP485" s="399">
        <f t="shared" si="240"/>
        <v>0</v>
      </c>
      <c r="CQ485" s="423">
        <f t="shared" si="241"/>
        <v>0</v>
      </c>
      <c r="CS485" s="394" t="e">
        <f t="shared" si="242"/>
        <v>#DIV/0!</v>
      </c>
    </row>
    <row r="486" spans="3:97">
      <c r="C486" s="107"/>
      <c r="D486" s="395"/>
      <c r="E486" s="84"/>
      <c r="F486" s="84"/>
      <c r="G486" s="389"/>
      <c r="H486" s="390"/>
      <c r="I486" s="390"/>
      <c r="J486" s="390"/>
      <c r="K486" s="390"/>
      <c r="L486" s="390"/>
      <c r="M486" s="390"/>
      <c r="N486" s="390"/>
      <c r="O486" s="390"/>
      <c r="P486" s="390"/>
      <c r="Q486" s="390"/>
      <c r="R486" s="390"/>
      <c r="S486" s="390"/>
      <c r="T486" s="390"/>
      <c r="U486" s="390"/>
      <c r="V486" s="390"/>
      <c r="W486" s="390"/>
      <c r="X486" s="390"/>
      <c r="Y486" s="390"/>
      <c r="Z486" s="390"/>
      <c r="AA486" s="390"/>
      <c r="AB486" s="390"/>
      <c r="AC486" s="390"/>
      <c r="AD486" s="390"/>
      <c r="AE486" s="390"/>
      <c r="AF486" s="390"/>
      <c r="AG486" s="390"/>
      <c r="AH486" s="390"/>
      <c r="AI486" s="391"/>
      <c r="AK486" s="437"/>
      <c r="AL486" s="437"/>
      <c r="AM486" s="437"/>
      <c r="AN486" s="437"/>
      <c r="AO486" s="437"/>
      <c r="AP486" s="437"/>
      <c r="AQ486" s="437"/>
      <c r="AR486" s="437"/>
      <c r="AS486" s="437"/>
      <c r="AT486" s="437"/>
      <c r="AU486" s="437"/>
      <c r="AV486" s="437"/>
      <c r="AW486" s="437"/>
      <c r="AX486" s="437"/>
      <c r="AY486" s="437"/>
      <c r="AZ486" s="437"/>
      <c r="BA486" s="437"/>
      <c r="BB486" s="437"/>
      <c r="BC486" s="437"/>
      <c r="BD486" s="437"/>
      <c r="BE486" s="437"/>
      <c r="BF486" s="437"/>
      <c r="BG486" s="437"/>
      <c r="BH486" s="437"/>
      <c r="BI486" s="437"/>
      <c r="BJ486" s="437"/>
      <c r="BK486" s="437"/>
      <c r="BL486" s="437"/>
      <c r="BM486" s="393"/>
      <c r="BO486" s="399">
        <f t="shared" si="213"/>
        <v>0</v>
      </c>
      <c r="BP486" s="399">
        <f t="shared" si="214"/>
        <v>0</v>
      </c>
      <c r="BQ486" s="399">
        <f t="shared" si="215"/>
        <v>0</v>
      </c>
      <c r="BR486" s="399">
        <f t="shared" si="216"/>
        <v>0</v>
      </c>
      <c r="BS486" s="399">
        <f t="shared" si="217"/>
        <v>0</v>
      </c>
      <c r="BT486" s="399">
        <f t="shared" si="218"/>
        <v>0</v>
      </c>
      <c r="BU486" s="399">
        <f t="shared" si="219"/>
        <v>0</v>
      </c>
      <c r="BV486" s="399">
        <f t="shared" si="220"/>
        <v>0</v>
      </c>
      <c r="BW486" s="399">
        <f t="shared" si="221"/>
        <v>0</v>
      </c>
      <c r="BX486" s="399">
        <f t="shared" si="222"/>
        <v>0</v>
      </c>
      <c r="BY486" s="399">
        <f t="shared" si="223"/>
        <v>0</v>
      </c>
      <c r="BZ486" s="399">
        <f t="shared" si="224"/>
        <v>0</v>
      </c>
      <c r="CA486" s="399">
        <f t="shared" si="225"/>
        <v>0</v>
      </c>
      <c r="CB486" s="399">
        <f t="shared" si="226"/>
        <v>0</v>
      </c>
      <c r="CC486" s="399">
        <f t="shared" si="227"/>
        <v>0</v>
      </c>
      <c r="CD486" s="399">
        <f t="shared" si="228"/>
        <v>0</v>
      </c>
      <c r="CE486" s="399">
        <f t="shared" si="229"/>
        <v>0</v>
      </c>
      <c r="CF486" s="399">
        <f t="shared" si="230"/>
        <v>0</v>
      </c>
      <c r="CG486" s="399">
        <f t="shared" si="231"/>
        <v>0</v>
      </c>
      <c r="CH486" s="399">
        <f t="shared" si="232"/>
        <v>0</v>
      </c>
      <c r="CI486" s="399">
        <f t="shared" si="233"/>
        <v>0</v>
      </c>
      <c r="CJ486" s="399">
        <f t="shared" si="234"/>
        <v>0</v>
      </c>
      <c r="CK486" s="399">
        <f t="shared" si="235"/>
        <v>0</v>
      </c>
      <c r="CL486" s="399">
        <f t="shared" si="236"/>
        <v>0</v>
      </c>
      <c r="CM486" s="399">
        <f t="shared" si="237"/>
        <v>0</v>
      </c>
      <c r="CN486" s="399">
        <f t="shared" si="238"/>
        <v>0</v>
      </c>
      <c r="CO486" s="399">
        <f t="shared" si="239"/>
        <v>0</v>
      </c>
      <c r="CP486" s="399">
        <f t="shared" si="240"/>
        <v>0</v>
      </c>
      <c r="CQ486" s="423">
        <f t="shared" si="241"/>
        <v>0</v>
      </c>
      <c r="CS486" s="394" t="e">
        <f t="shared" si="242"/>
        <v>#DIV/0!</v>
      </c>
    </row>
    <row r="487" spans="3:97">
      <c r="C487" s="107"/>
      <c r="D487" s="395"/>
      <c r="E487" s="84"/>
      <c r="F487" s="84"/>
      <c r="G487" s="389"/>
      <c r="H487" s="390"/>
      <c r="I487" s="390"/>
      <c r="J487" s="390"/>
      <c r="K487" s="390"/>
      <c r="L487" s="390"/>
      <c r="M487" s="390"/>
      <c r="N487" s="390"/>
      <c r="O487" s="390"/>
      <c r="P487" s="390"/>
      <c r="Q487" s="390"/>
      <c r="R487" s="390"/>
      <c r="S487" s="390"/>
      <c r="T487" s="390"/>
      <c r="U487" s="390"/>
      <c r="V487" s="390"/>
      <c r="W487" s="390"/>
      <c r="X487" s="390"/>
      <c r="Y487" s="390"/>
      <c r="Z487" s="390"/>
      <c r="AA487" s="390"/>
      <c r="AB487" s="390"/>
      <c r="AC487" s="390"/>
      <c r="AD487" s="390"/>
      <c r="AE487" s="390"/>
      <c r="AF487" s="390"/>
      <c r="AG487" s="390"/>
      <c r="AH487" s="390"/>
      <c r="AI487" s="391"/>
      <c r="AK487" s="437"/>
      <c r="AL487" s="437"/>
      <c r="AM487" s="437"/>
      <c r="AN487" s="437"/>
      <c r="AO487" s="437"/>
      <c r="AP487" s="437"/>
      <c r="AQ487" s="437"/>
      <c r="AR487" s="437"/>
      <c r="AS487" s="437"/>
      <c r="AT487" s="437"/>
      <c r="AU487" s="437"/>
      <c r="AV487" s="437"/>
      <c r="AW487" s="437"/>
      <c r="AX487" s="437"/>
      <c r="AY487" s="437"/>
      <c r="AZ487" s="437"/>
      <c r="BA487" s="437"/>
      <c r="BB487" s="437"/>
      <c r="BC487" s="437"/>
      <c r="BD487" s="437"/>
      <c r="BE487" s="437"/>
      <c r="BF487" s="437"/>
      <c r="BG487" s="437"/>
      <c r="BH487" s="437"/>
      <c r="BI487" s="437"/>
      <c r="BJ487" s="437"/>
      <c r="BK487" s="437"/>
      <c r="BL487" s="437"/>
      <c r="BM487" s="393"/>
      <c r="BO487" s="399">
        <f t="shared" si="213"/>
        <v>0</v>
      </c>
      <c r="BP487" s="399">
        <f t="shared" si="214"/>
        <v>0</v>
      </c>
      <c r="BQ487" s="399">
        <f t="shared" si="215"/>
        <v>0</v>
      </c>
      <c r="BR487" s="399">
        <f t="shared" si="216"/>
        <v>0</v>
      </c>
      <c r="BS487" s="399">
        <f t="shared" si="217"/>
        <v>0</v>
      </c>
      <c r="BT487" s="399">
        <f t="shared" si="218"/>
        <v>0</v>
      </c>
      <c r="BU487" s="399">
        <f t="shared" si="219"/>
        <v>0</v>
      </c>
      <c r="BV487" s="399">
        <f t="shared" si="220"/>
        <v>0</v>
      </c>
      <c r="BW487" s="399">
        <f t="shared" si="221"/>
        <v>0</v>
      </c>
      <c r="BX487" s="399">
        <f t="shared" si="222"/>
        <v>0</v>
      </c>
      <c r="BY487" s="399">
        <f t="shared" si="223"/>
        <v>0</v>
      </c>
      <c r="BZ487" s="399">
        <f t="shared" si="224"/>
        <v>0</v>
      </c>
      <c r="CA487" s="399">
        <f t="shared" si="225"/>
        <v>0</v>
      </c>
      <c r="CB487" s="399">
        <f t="shared" si="226"/>
        <v>0</v>
      </c>
      <c r="CC487" s="399">
        <f t="shared" si="227"/>
        <v>0</v>
      </c>
      <c r="CD487" s="399">
        <f t="shared" si="228"/>
        <v>0</v>
      </c>
      <c r="CE487" s="399">
        <f t="shared" si="229"/>
        <v>0</v>
      </c>
      <c r="CF487" s="399">
        <f t="shared" si="230"/>
        <v>0</v>
      </c>
      <c r="CG487" s="399">
        <f t="shared" si="231"/>
        <v>0</v>
      </c>
      <c r="CH487" s="399">
        <f t="shared" si="232"/>
        <v>0</v>
      </c>
      <c r="CI487" s="399">
        <f t="shared" si="233"/>
        <v>0</v>
      </c>
      <c r="CJ487" s="399">
        <f t="shared" si="234"/>
        <v>0</v>
      </c>
      <c r="CK487" s="399">
        <f t="shared" si="235"/>
        <v>0</v>
      </c>
      <c r="CL487" s="399">
        <f t="shared" si="236"/>
        <v>0</v>
      </c>
      <c r="CM487" s="399">
        <f t="shared" si="237"/>
        <v>0</v>
      </c>
      <c r="CN487" s="399">
        <f t="shared" si="238"/>
        <v>0</v>
      </c>
      <c r="CO487" s="399">
        <f t="shared" si="239"/>
        <v>0</v>
      </c>
      <c r="CP487" s="399">
        <f t="shared" si="240"/>
        <v>0</v>
      </c>
      <c r="CQ487" s="423">
        <f t="shared" si="241"/>
        <v>0</v>
      </c>
      <c r="CS487" s="394" t="e">
        <f t="shared" si="242"/>
        <v>#DIV/0!</v>
      </c>
    </row>
    <row r="488" spans="3:97">
      <c r="C488" s="107"/>
      <c r="D488" s="395"/>
      <c r="E488" s="84"/>
      <c r="F488" s="84"/>
      <c r="G488" s="389"/>
      <c r="H488" s="390"/>
      <c r="I488" s="390"/>
      <c r="J488" s="390"/>
      <c r="K488" s="390"/>
      <c r="L488" s="390"/>
      <c r="M488" s="390"/>
      <c r="N488" s="390"/>
      <c r="O488" s="390"/>
      <c r="P488" s="390"/>
      <c r="Q488" s="390"/>
      <c r="R488" s="390"/>
      <c r="S488" s="390"/>
      <c r="T488" s="390"/>
      <c r="U488" s="390"/>
      <c r="V488" s="390"/>
      <c r="W488" s="390"/>
      <c r="X488" s="390"/>
      <c r="Y488" s="390"/>
      <c r="Z488" s="390"/>
      <c r="AA488" s="390"/>
      <c r="AB488" s="390"/>
      <c r="AC488" s="390"/>
      <c r="AD488" s="390"/>
      <c r="AE488" s="390"/>
      <c r="AF488" s="390"/>
      <c r="AG488" s="390"/>
      <c r="AH488" s="390"/>
      <c r="AI488" s="391"/>
      <c r="AK488" s="437"/>
      <c r="AL488" s="437"/>
      <c r="AM488" s="437"/>
      <c r="AN488" s="437"/>
      <c r="AO488" s="437"/>
      <c r="AP488" s="437"/>
      <c r="AQ488" s="437"/>
      <c r="AR488" s="437"/>
      <c r="AS488" s="437"/>
      <c r="AT488" s="437"/>
      <c r="AU488" s="437"/>
      <c r="AV488" s="437"/>
      <c r="AW488" s="437"/>
      <c r="AX488" s="437"/>
      <c r="AY488" s="437"/>
      <c r="AZ488" s="437"/>
      <c r="BA488" s="437"/>
      <c r="BB488" s="437"/>
      <c r="BC488" s="437"/>
      <c r="BD488" s="437"/>
      <c r="BE488" s="437"/>
      <c r="BF488" s="437"/>
      <c r="BG488" s="437"/>
      <c r="BH488" s="437"/>
      <c r="BI488" s="437"/>
      <c r="BJ488" s="437"/>
      <c r="BK488" s="437"/>
      <c r="BL488" s="437"/>
      <c r="BM488" s="393"/>
      <c r="BO488" s="399">
        <f t="shared" si="213"/>
        <v>0</v>
      </c>
      <c r="BP488" s="399">
        <f t="shared" si="214"/>
        <v>0</v>
      </c>
      <c r="BQ488" s="399">
        <f t="shared" si="215"/>
        <v>0</v>
      </c>
      <c r="BR488" s="399">
        <f t="shared" si="216"/>
        <v>0</v>
      </c>
      <c r="BS488" s="399">
        <f t="shared" si="217"/>
        <v>0</v>
      </c>
      <c r="BT488" s="399">
        <f t="shared" si="218"/>
        <v>0</v>
      </c>
      <c r="BU488" s="399">
        <f t="shared" si="219"/>
        <v>0</v>
      </c>
      <c r="BV488" s="399">
        <f t="shared" si="220"/>
        <v>0</v>
      </c>
      <c r="BW488" s="399">
        <f t="shared" si="221"/>
        <v>0</v>
      </c>
      <c r="BX488" s="399">
        <f t="shared" si="222"/>
        <v>0</v>
      </c>
      <c r="BY488" s="399">
        <f t="shared" si="223"/>
        <v>0</v>
      </c>
      <c r="BZ488" s="399">
        <f t="shared" si="224"/>
        <v>0</v>
      </c>
      <c r="CA488" s="399">
        <f t="shared" si="225"/>
        <v>0</v>
      </c>
      <c r="CB488" s="399">
        <f t="shared" si="226"/>
        <v>0</v>
      </c>
      <c r="CC488" s="399">
        <f t="shared" si="227"/>
        <v>0</v>
      </c>
      <c r="CD488" s="399">
        <f t="shared" si="228"/>
        <v>0</v>
      </c>
      <c r="CE488" s="399">
        <f t="shared" si="229"/>
        <v>0</v>
      </c>
      <c r="CF488" s="399">
        <f t="shared" si="230"/>
        <v>0</v>
      </c>
      <c r="CG488" s="399">
        <f t="shared" si="231"/>
        <v>0</v>
      </c>
      <c r="CH488" s="399">
        <f t="shared" si="232"/>
        <v>0</v>
      </c>
      <c r="CI488" s="399">
        <f t="shared" si="233"/>
        <v>0</v>
      </c>
      <c r="CJ488" s="399">
        <f t="shared" si="234"/>
        <v>0</v>
      </c>
      <c r="CK488" s="399">
        <f t="shared" si="235"/>
        <v>0</v>
      </c>
      <c r="CL488" s="399">
        <f t="shared" si="236"/>
        <v>0</v>
      </c>
      <c r="CM488" s="399">
        <f t="shared" si="237"/>
        <v>0</v>
      </c>
      <c r="CN488" s="399">
        <f t="shared" si="238"/>
        <v>0</v>
      </c>
      <c r="CO488" s="399">
        <f t="shared" si="239"/>
        <v>0</v>
      </c>
      <c r="CP488" s="399">
        <f t="shared" si="240"/>
        <v>0</v>
      </c>
      <c r="CQ488" s="423">
        <f t="shared" si="241"/>
        <v>0</v>
      </c>
      <c r="CS488" s="394" t="e">
        <f t="shared" si="242"/>
        <v>#DIV/0!</v>
      </c>
    </row>
    <row r="489" spans="3:97">
      <c r="C489" s="107"/>
      <c r="D489" s="395"/>
      <c r="E489" s="84"/>
      <c r="F489" s="84"/>
      <c r="G489" s="389"/>
      <c r="H489" s="390"/>
      <c r="I489" s="390"/>
      <c r="J489" s="390"/>
      <c r="K489" s="390"/>
      <c r="L489" s="390"/>
      <c r="M489" s="390"/>
      <c r="N489" s="390"/>
      <c r="O489" s="390"/>
      <c r="P489" s="390"/>
      <c r="Q489" s="390"/>
      <c r="R489" s="390"/>
      <c r="S489" s="390"/>
      <c r="T489" s="390"/>
      <c r="U489" s="390"/>
      <c r="V489" s="390"/>
      <c r="W489" s="390"/>
      <c r="X489" s="390"/>
      <c r="Y489" s="390"/>
      <c r="Z489" s="390"/>
      <c r="AA489" s="390"/>
      <c r="AB489" s="390"/>
      <c r="AC489" s="390"/>
      <c r="AD489" s="390"/>
      <c r="AE489" s="390"/>
      <c r="AF489" s="390"/>
      <c r="AG489" s="390"/>
      <c r="AH489" s="390"/>
      <c r="AI489" s="391"/>
      <c r="AK489" s="437"/>
      <c r="AL489" s="437"/>
      <c r="AM489" s="437"/>
      <c r="AN489" s="437"/>
      <c r="AO489" s="437"/>
      <c r="AP489" s="437"/>
      <c r="AQ489" s="437"/>
      <c r="AR489" s="437"/>
      <c r="AS489" s="437"/>
      <c r="AT489" s="437"/>
      <c r="AU489" s="437"/>
      <c r="AV489" s="437"/>
      <c r="AW489" s="437"/>
      <c r="AX489" s="437"/>
      <c r="AY489" s="437"/>
      <c r="AZ489" s="437"/>
      <c r="BA489" s="437"/>
      <c r="BB489" s="437"/>
      <c r="BC489" s="437"/>
      <c r="BD489" s="437"/>
      <c r="BE489" s="437"/>
      <c r="BF489" s="437"/>
      <c r="BG489" s="437"/>
      <c r="BH489" s="437"/>
      <c r="BI489" s="437"/>
      <c r="BJ489" s="437"/>
      <c r="BK489" s="437"/>
      <c r="BL489" s="437"/>
      <c r="BM489" s="393"/>
      <c r="BO489" s="399">
        <f t="shared" si="213"/>
        <v>0</v>
      </c>
      <c r="BP489" s="399">
        <f t="shared" si="214"/>
        <v>0</v>
      </c>
      <c r="BQ489" s="399">
        <f t="shared" si="215"/>
        <v>0</v>
      </c>
      <c r="BR489" s="399">
        <f t="shared" si="216"/>
        <v>0</v>
      </c>
      <c r="BS489" s="399">
        <f t="shared" si="217"/>
        <v>0</v>
      </c>
      <c r="BT489" s="399">
        <f t="shared" si="218"/>
        <v>0</v>
      </c>
      <c r="BU489" s="399">
        <f t="shared" si="219"/>
        <v>0</v>
      </c>
      <c r="BV489" s="399">
        <f t="shared" si="220"/>
        <v>0</v>
      </c>
      <c r="BW489" s="399">
        <f t="shared" si="221"/>
        <v>0</v>
      </c>
      <c r="BX489" s="399">
        <f t="shared" si="222"/>
        <v>0</v>
      </c>
      <c r="BY489" s="399">
        <f t="shared" si="223"/>
        <v>0</v>
      </c>
      <c r="BZ489" s="399">
        <f t="shared" si="224"/>
        <v>0</v>
      </c>
      <c r="CA489" s="399">
        <f t="shared" si="225"/>
        <v>0</v>
      </c>
      <c r="CB489" s="399">
        <f t="shared" si="226"/>
        <v>0</v>
      </c>
      <c r="CC489" s="399">
        <f t="shared" si="227"/>
        <v>0</v>
      </c>
      <c r="CD489" s="399">
        <f t="shared" si="228"/>
        <v>0</v>
      </c>
      <c r="CE489" s="399">
        <f t="shared" si="229"/>
        <v>0</v>
      </c>
      <c r="CF489" s="399">
        <f t="shared" si="230"/>
        <v>0</v>
      </c>
      <c r="CG489" s="399">
        <f t="shared" si="231"/>
        <v>0</v>
      </c>
      <c r="CH489" s="399">
        <f t="shared" si="232"/>
        <v>0</v>
      </c>
      <c r="CI489" s="399">
        <f t="shared" si="233"/>
        <v>0</v>
      </c>
      <c r="CJ489" s="399">
        <f t="shared" si="234"/>
        <v>0</v>
      </c>
      <c r="CK489" s="399">
        <f t="shared" si="235"/>
        <v>0</v>
      </c>
      <c r="CL489" s="399">
        <f t="shared" si="236"/>
        <v>0</v>
      </c>
      <c r="CM489" s="399">
        <f t="shared" si="237"/>
        <v>0</v>
      </c>
      <c r="CN489" s="399">
        <f t="shared" si="238"/>
        <v>0</v>
      </c>
      <c r="CO489" s="399">
        <f t="shared" si="239"/>
        <v>0</v>
      </c>
      <c r="CP489" s="399">
        <f t="shared" si="240"/>
        <v>0</v>
      </c>
      <c r="CQ489" s="423">
        <f t="shared" si="241"/>
        <v>0</v>
      </c>
      <c r="CS489" s="394" t="e">
        <f t="shared" si="242"/>
        <v>#DIV/0!</v>
      </c>
    </row>
    <row r="490" spans="3:97">
      <c r="C490" s="107"/>
      <c r="D490" s="395"/>
      <c r="E490" s="84"/>
      <c r="F490" s="84"/>
      <c r="G490" s="389"/>
      <c r="H490" s="390"/>
      <c r="I490" s="390"/>
      <c r="J490" s="390"/>
      <c r="K490" s="390"/>
      <c r="L490" s="390"/>
      <c r="M490" s="390"/>
      <c r="N490" s="390"/>
      <c r="O490" s="390"/>
      <c r="P490" s="390"/>
      <c r="Q490" s="390"/>
      <c r="R490" s="390"/>
      <c r="S490" s="390"/>
      <c r="T490" s="390"/>
      <c r="U490" s="390"/>
      <c r="V490" s="390"/>
      <c r="W490" s="390"/>
      <c r="X490" s="390"/>
      <c r="Y490" s="390"/>
      <c r="Z490" s="390"/>
      <c r="AA490" s="390"/>
      <c r="AB490" s="390"/>
      <c r="AC490" s="390"/>
      <c r="AD490" s="390"/>
      <c r="AE490" s="390"/>
      <c r="AF490" s="390"/>
      <c r="AG490" s="390"/>
      <c r="AH490" s="390"/>
      <c r="AI490" s="391"/>
      <c r="AK490" s="437"/>
      <c r="AL490" s="437"/>
      <c r="AM490" s="437"/>
      <c r="AN490" s="437"/>
      <c r="AO490" s="437"/>
      <c r="AP490" s="437"/>
      <c r="AQ490" s="437"/>
      <c r="AR490" s="437"/>
      <c r="AS490" s="437"/>
      <c r="AT490" s="437"/>
      <c r="AU490" s="437"/>
      <c r="AV490" s="437"/>
      <c r="AW490" s="437"/>
      <c r="AX490" s="437"/>
      <c r="AY490" s="437"/>
      <c r="AZ490" s="437"/>
      <c r="BA490" s="437"/>
      <c r="BB490" s="437"/>
      <c r="BC490" s="437"/>
      <c r="BD490" s="437"/>
      <c r="BE490" s="437"/>
      <c r="BF490" s="437"/>
      <c r="BG490" s="437"/>
      <c r="BH490" s="437"/>
      <c r="BI490" s="437"/>
      <c r="BJ490" s="437"/>
      <c r="BK490" s="437"/>
      <c r="BL490" s="437"/>
      <c r="BM490" s="393"/>
      <c r="BO490" s="399">
        <f t="shared" si="213"/>
        <v>0</v>
      </c>
      <c r="BP490" s="399">
        <f t="shared" si="214"/>
        <v>0</v>
      </c>
      <c r="BQ490" s="399">
        <f t="shared" si="215"/>
        <v>0</v>
      </c>
      <c r="BR490" s="399">
        <f t="shared" si="216"/>
        <v>0</v>
      </c>
      <c r="BS490" s="399">
        <f t="shared" si="217"/>
        <v>0</v>
      </c>
      <c r="BT490" s="399">
        <f t="shared" si="218"/>
        <v>0</v>
      </c>
      <c r="BU490" s="399">
        <f t="shared" si="219"/>
        <v>0</v>
      </c>
      <c r="BV490" s="399">
        <f t="shared" si="220"/>
        <v>0</v>
      </c>
      <c r="BW490" s="399">
        <f t="shared" si="221"/>
        <v>0</v>
      </c>
      <c r="BX490" s="399">
        <f t="shared" si="222"/>
        <v>0</v>
      </c>
      <c r="BY490" s="399">
        <f t="shared" si="223"/>
        <v>0</v>
      </c>
      <c r="BZ490" s="399">
        <f t="shared" si="224"/>
        <v>0</v>
      </c>
      <c r="CA490" s="399">
        <f t="shared" si="225"/>
        <v>0</v>
      </c>
      <c r="CB490" s="399">
        <f t="shared" si="226"/>
        <v>0</v>
      </c>
      <c r="CC490" s="399">
        <f t="shared" si="227"/>
        <v>0</v>
      </c>
      <c r="CD490" s="399">
        <f t="shared" si="228"/>
        <v>0</v>
      </c>
      <c r="CE490" s="399">
        <f t="shared" si="229"/>
        <v>0</v>
      </c>
      <c r="CF490" s="399">
        <f t="shared" si="230"/>
        <v>0</v>
      </c>
      <c r="CG490" s="399">
        <f t="shared" si="231"/>
        <v>0</v>
      </c>
      <c r="CH490" s="399">
        <f t="shared" si="232"/>
        <v>0</v>
      </c>
      <c r="CI490" s="399">
        <f t="shared" si="233"/>
        <v>0</v>
      </c>
      <c r="CJ490" s="399">
        <f t="shared" si="234"/>
        <v>0</v>
      </c>
      <c r="CK490" s="399">
        <f t="shared" si="235"/>
        <v>0</v>
      </c>
      <c r="CL490" s="399">
        <f t="shared" si="236"/>
        <v>0</v>
      </c>
      <c r="CM490" s="399">
        <f t="shared" si="237"/>
        <v>0</v>
      </c>
      <c r="CN490" s="399">
        <f t="shared" si="238"/>
        <v>0</v>
      </c>
      <c r="CO490" s="399">
        <f t="shared" si="239"/>
        <v>0</v>
      </c>
      <c r="CP490" s="399">
        <f t="shared" si="240"/>
        <v>0</v>
      </c>
      <c r="CQ490" s="423">
        <f t="shared" si="241"/>
        <v>0</v>
      </c>
      <c r="CS490" s="394" t="e">
        <f t="shared" si="242"/>
        <v>#DIV/0!</v>
      </c>
    </row>
    <row r="491" spans="3:97">
      <c r="C491" s="107"/>
      <c r="D491" s="395"/>
      <c r="E491" s="84"/>
      <c r="F491" s="84"/>
      <c r="G491" s="389"/>
      <c r="H491" s="390"/>
      <c r="I491" s="390"/>
      <c r="J491" s="390"/>
      <c r="K491" s="390"/>
      <c r="L491" s="390"/>
      <c r="M491" s="390"/>
      <c r="N491" s="390"/>
      <c r="O491" s="390"/>
      <c r="P491" s="390"/>
      <c r="Q491" s="390"/>
      <c r="R491" s="390"/>
      <c r="S491" s="390"/>
      <c r="T491" s="390"/>
      <c r="U491" s="390"/>
      <c r="V491" s="390"/>
      <c r="W491" s="390"/>
      <c r="X491" s="390"/>
      <c r="Y491" s="390"/>
      <c r="Z491" s="390"/>
      <c r="AA491" s="390"/>
      <c r="AB491" s="390"/>
      <c r="AC491" s="390"/>
      <c r="AD491" s="390"/>
      <c r="AE491" s="390"/>
      <c r="AF491" s="390"/>
      <c r="AG491" s="390"/>
      <c r="AH491" s="390"/>
      <c r="AI491" s="391"/>
      <c r="AK491" s="437"/>
      <c r="AL491" s="437"/>
      <c r="AM491" s="437"/>
      <c r="AN491" s="437"/>
      <c r="AO491" s="437"/>
      <c r="AP491" s="437"/>
      <c r="AQ491" s="437"/>
      <c r="AR491" s="437"/>
      <c r="AS491" s="437"/>
      <c r="AT491" s="437"/>
      <c r="AU491" s="437"/>
      <c r="AV491" s="437"/>
      <c r="AW491" s="437"/>
      <c r="AX491" s="437"/>
      <c r="AY491" s="437"/>
      <c r="AZ491" s="437"/>
      <c r="BA491" s="437"/>
      <c r="BB491" s="437"/>
      <c r="BC491" s="437"/>
      <c r="BD491" s="437"/>
      <c r="BE491" s="437"/>
      <c r="BF491" s="437"/>
      <c r="BG491" s="437"/>
      <c r="BH491" s="437"/>
      <c r="BI491" s="437"/>
      <c r="BJ491" s="437"/>
      <c r="BK491" s="437"/>
      <c r="BL491" s="437"/>
      <c r="BM491" s="393"/>
      <c r="BO491" s="399">
        <f t="shared" si="213"/>
        <v>0</v>
      </c>
      <c r="BP491" s="399">
        <f t="shared" si="214"/>
        <v>0</v>
      </c>
      <c r="BQ491" s="399">
        <f t="shared" si="215"/>
        <v>0</v>
      </c>
      <c r="BR491" s="399">
        <f t="shared" si="216"/>
        <v>0</v>
      </c>
      <c r="BS491" s="399">
        <f t="shared" si="217"/>
        <v>0</v>
      </c>
      <c r="BT491" s="399">
        <f t="shared" si="218"/>
        <v>0</v>
      </c>
      <c r="BU491" s="399">
        <f t="shared" si="219"/>
        <v>0</v>
      </c>
      <c r="BV491" s="399">
        <f t="shared" si="220"/>
        <v>0</v>
      </c>
      <c r="BW491" s="399">
        <f t="shared" si="221"/>
        <v>0</v>
      </c>
      <c r="BX491" s="399">
        <f t="shared" si="222"/>
        <v>0</v>
      </c>
      <c r="BY491" s="399">
        <f t="shared" si="223"/>
        <v>0</v>
      </c>
      <c r="BZ491" s="399">
        <f t="shared" si="224"/>
        <v>0</v>
      </c>
      <c r="CA491" s="399">
        <f t="shared" si="225"/>
        <v>0</v>
      </c>
      <c r="CB491" s="399">
        <f t="shared" si="226"/>
        <v>0</v>
      </c>
      <c r="CC491" s="399">
        <f t="shared" si="227"/>
        <v>0</v>
      </c>
      <c r="CD491" s="399">
        <f t="shared" si="228"/>
        <v>0</v>
      </c>
      <c r="CE491" s="399">
        <f t="shared" si="229"/>
        <v>0</v>
      </c>
      <c r="CF491" s="399">
        <f t="shared" si="230"/>
        <v>0</v>
      </c>
      <c r="CG491" s="399">
        <f t="shared" si="231"/>
        <v>0</v>
      </c>
      <c r="CH491" s="399">
        <f t="shared" si="232"/>
        <v>0</v>
      </c>
      <c r="CI491" s="399">
        <f t="shared" si="233"/>
        <v>0</v>
      </c>
      <c r="CJ491" s="399">
        <f t="shared" si="234"/>
        <v>0</v>
      </c>
      <c r="CK491" s="399">
        <f t="shared" si="235"/>
        <v>0</v>
      </c>
      <c r="CL491" s="399">
        <f t="shared" si="236"/>
        <v>0</v>
      </c>
      <c r="CM491" s="399">
        <f t="shared" si="237"/>
        <v>0</v>
      </c>
      <c r="CN491" s="399">
        <f t="shared" si="238"/>
        <v>0</v>
      </c>
      <c r="CO491" s="399">
        <f t="shared" si="239"/>
        <v>0</v>
      </c>
      <c r="CP491" s="399">
        <f t="shared" si="240"/>
        <v>0</v>
      </c>
      <c r="CQ491" s="423">
        <f t="shared" si="241"/>
        <v>0</v>
      </c>
      <c r="CS491" s="394" t="e">
        <f t="shared" si="242"/>
        <v>#DIV/0!</v>
      </c>
    </row>
    <row r="492" spans="3:97">
      <c r="C492" s="107"/>
      <c r="D492" s="395"/>
      <c r="E492" s="84"/>
      <c r="F492" s="84"/>
      <c r="G492" s="389"/>
      <c r="H492" s="390"/>
      <c r="I492" s="390"/>
      <c r="J492" s="390"/>
      <c r="K492" s="390"/>
      <c r="L492" s="390"/>
      <c r="M492" s="390"/>
      <c r="N492" s="390"/>
      <c r="O492" s="390"/>
      <c r="P492" s="390"/>
      <c r="Q492" s="390"/>
      <c r="R492" s="390"/>
      <c r="S492" s="390"/>
      <c r="T492" s="390"/>
      <c r="U492" s="390"/>
      <c r="V492" s="390"/>
      <c r="W492" s="390"/>
      <c r="X492" s="390"/>
      <c r="Y492" s="390"/>
      <c r="Z492" s="390"/>
      <c r="AA492" s="390"/>
      <c r="AB492" s="390"/>
      <c r="AC492" s="390"/>
      <c r="AD492" s="390"/>
      <c r="AE492" s="390"/>
      <c r="AF492" s="390"/>
      <c r="AG492" s="390"/>
      <c r="AH492" s="390"/>
      <c r="AI492" s="391"/>
      <c r="AK492" s="437"/>
      <c r="AL492" s="437"/>
      <c r="AM492" s="437"/>
      <c r="AN492" s="437"/>
      <c r="AO492" s="437"/>
      <c r="AP492" s="437"/>
      <c r="AQ492" s="437"/>
      <c r="AR492" s="437"/>
      <c r="AS492" s="437"/>
      <c r="AT492" s="437"/>
      <c r="AU492" s="437"/>
      <c r="AV492" s="437"/>
      <c r="AW492" s="437"/>
      <c r="AX492" s="437"/>
      <c r="AY492" s="437"/>
      <c r="AZ492" s="437"/>
      <c r="BA492" s="437"/>
      <c r="BB492" s="437"/>
      <c r="BC492" s="437"/>
      <c r="BD492" s="437"/>
      <c r="BE492" s="437"/>
      <c r="BF492" s="437"/>
      <c r="BG492" s="437"/>
      <c r="BH492" s="437"/>
      <c r="BI492" s="437"/>
      <c r="BJ492" s="437"/>
      <c r="BK492" s="437"/>
      <c r="BL492" s="437"/>
      <c r="BM492" s="393"/>
      <c r="BO492" s="399">
        <f t="shared" si="213"/>
        <v>0</v>
      </c>
      <c r="BP492" s="399">
        <f t="shared" si="214"/>
        <v>0</v>
      </c>
      <c r="BQ492" s="399">
        <f t="shared" si="215"/>
        <v>0</v>
      </c>
      <c r="BR492" s="399">
        <f t="shared" si="216"/>
        <v>0</v>
      </c>
      <c r="BS492" s="399">
        <f t="shared" si="217"/>
        <v>0</v>
      </c>
      <c r="BT492" s="399">
        <f t="shared" si="218"/>
        <v>0</v>
      </c>
      <c r="BU492" s="399">
        <f t="shared" si="219"/>
        <v>0</v>
      </c>
      <c r="BV492" s="399">
        <f t="shared" si="220"/>
        <v>0</v>
      </c>
      <c r="BW492" s="399">
        <f t="shared" si="221"/>
        <v>0</v>
      </c>
      <c r="BX492" s="399">
        <f t="shared" si="222"/>
        <v>0</v>
      </c>
      <c r="BY492" s="399">
        <f t="shared" si="223"/>
        <v>0</v>
      </c>
      <c r="BZ492" s="399">
        <f t="shared" si="224"/>
        <v>0</v>
      </c>
      <c r="CA492" s="399">
        <f t="shared" si="225"/>
        <v>0</v>
      </c>
      <c r="CB492" s="399">
        <f t="shared" si="226"/>
        <v>0</v>
      </c>
      <c r="CC492" s="399">
        <f t="shared" si="227"/>
        <v>0</v>
      </c>
      <c r="CD492" s="399">
        <f t="shared" si="228"/>
        <v>0</v>
      </c>
      <c r="CE492" s="399">
        <f t="shared" si="229"/>
        <v>0</v>
      </c>
      <c r="CF492" s="399">
        <f t="shared" si="230"/>
        <v>0</v>
      </c>
      <c r="CG492" s="399">
        <f t="shared" si="231"/>
        <v>0</v>
      </c>
      <c r="CH492" s="399">
        <f t="shared" si="232"/>
        <v>0</v>
      </c>
      <c r="CI492" s="399">
        <f t="shared" si="233"/>
        <v>0</v>
      </c>
      <c r="CJ492" s="399">
        <f t="shared" si="234"/>
        <v>0</v>
      </c>
      <c r="CK492" s="399">
        <f t="shared" si="235"/>
        <v>0</v>
      </c>
      <c r="CL492" s="399">
        <f t="shared" si="236"/>
        <v>0</v>
      </c>
      <c r="CM492" s="399">
        <f t="shared" si="237"/>
        <v>0</v>
      </c>
      <c r="CN492" s="399">
        <f t="shared" si="238"/>
        <v>0</v>
      </c>
      <c r="CO492" s="399">
        <f t="shared" si="239"/>
        <v>0</v>
      </c>
      <c r="CP492" s="399">
        <f t="shared" si="240"/>
        <v>0</v>
      </c>
      <c r="CQ492" s="423">
        <f t="shared" si="241"/>
        <v>0</v>
      </c>
      <c r="CS492" s="394" t="e">
        <f t="shared" si="242"/>
        <v>#DIV/0!</v>
      </c>
    </row>
    <row r="493" spans="3:97">
      <c r="C493" s="107"/>
      <c r="D493" s="395"/>
      <c r="E493" s="84"/>
      <c r="F493" s="84"/>
      <c r="G493" s="389"/>
      <c r="H493" s="390"/>
      <c r="I493" s="390"/>
      <c r="J493" s="390"/>
      <c r="K493" s="390"/>
      <c r="L493" s="390"/>
      <c r="M493" s="390"/>
      <c r="N493" s="390"/>
      <c r="O493" s="390"/>
      <c r="P493" s="390"/>
      <c r="Q493" s="390"/>
      <c r="R493" s="390"/>
      <c r="S493" s="390"/>
      <c r="T493" s="390"/>
      <c r="U493" s="390"/>
      <c r="V493" s="390"/>
      <c r="W493" s="390"/>
      <c r="X493" s="390"/>
      <c r="Y493" s="390"/>
      <c r="Z493" s="390"/>
      <c r="AA493" s="390"/>
      <c r="AB493" s="390"/>
      <c r="AC493" s="390"/>
      <c r="AD493" s="390"/>
      <c r="AE493" s="390"/>
      <c r="AF493" s="390"/>
      <c r="AG493" s="390"/>
      <c r="AH493" s="390"/>
      <c r="AI493" s="391"/>
      <c r="AK493" s="437"/>
      <c r="AL493" s="437"/>
      <c r="AM493" s="437"/>
      <c r="AN493" s="437"/>
      <c r="AO493" s="437"/>
      <c r="AP493" s="437"/>
      <c r="AQ493" s="437"/>
      <c r="AR493" s="437"/>
      <c r="AS493" s="437"/>
      <c r="AT493" s="437"/>
      <c r="AU493" s="437"/>
      <c r="AV493" s="437"/>
      <c r="AW493" s="437"/>
      <c r="AX493" s="437"/>
      <c r="AY493" s="437"/>
      <c r="AZ493" s="437"/>
      <c r="BA493" s="437"/>
      <c r="BB493" s="437"/>
      <c r="BC493" s="437"/>
      <c r="BD493" s="437"/>
      <c r="BE493" s="437"/>
      <c r="BF493" s="437"/>
      <c r="BG493" s="437"/>
      <c r="BH493" s="437"/>
      <c r="BI493" s="437"/>
      <c r="BJ493" s="437"/>
      <c r="BK493" s="437"/>
      <c r="BL493" s="437"/>
      <c r="BM493" s="393"/>
      <c r="BO493" s="399">
        <f t="shared" si="213"/>
        <v>0</v>
      </c>
      <c r="BP493" s="399">
        <f t="shared" si="214"/>
        <v>0</v>
      </c>
      <c r="BQ493" s="399">
        <f t="shared" si="215"/>
        <v>0</v>
      </c>
      <c r="BR493" s="399">
        <f t="shared" si="216"/>
        <v>0</v>
      </c>
      <c r="BS493" s="399">
        <f t="shared" si="217"/>
        <v>0</v>
      </c>
      <c r="BT493" s="399">
        <f t="shared" si="218"/>
        <v>0</v>
      </c>
      <c r="BU493" s="399">
        <f t="shared" si="219"/>
        <v>0</v>
      </c>
      <c r="BV493" s="399">
        <f t="shared" si="220"/>
        <v>0</v>
      </c>
      <c r="BW493" s="399">
        <f t="shared" si="221"/>
        <v>0</v>
      </c>
      <c r="BX493" s="399">
        <f t="shared" si="222"/>
        <v>0</v>
      </c>
      <c r="BY493" s="399">
        <f t="shared" si="223"/>
        <v>0</v>
      </c>
      <c r="BZ493" s="399">
        <f t="shared" si="224"/>
        <v>0</v>
      </c>
      <c r="CA493" s="399">
        <f t="shared" si="225"/>
        <v>0</v>
      </c>
      <c r="CB493" s="399">
        <f t="shared" si="226"/>
        <v>0</v>
      </c>
      <c r="CC493" s="399">
        <f t="shared" si="227"/>
        <v>0</v>
      </c>
      <c r="CD493" s="399">
        <f t="shared" si="228"/>
        <v>0</v>
      </c>
      <c r="CE493" s="399">
        <f t="shared" si="229"/>
        <v>0</v>
      </c>
      <c r="CF493" s="399">
        <f t="shared" si="230"/>
        <v>0</v>
      </c>
      <c r="CG493" s="399">
        <f t="shared" si="231"/>
        <v>0</v>
      </c>
      <c r="CH493" s="399">
        <f t="shared" si="232"/>
        <v>0</v>
      </c>
      <c r="CI493" s="399">
        <f t="shared" si="233"/>
        <v>0</v>
      </c>
      <c r="CJ493" s="399">
        <f t="shared" si="234"/>
        <v>0</v>
      </c>
      <c r="CK493" s="399">
        <f t="shared" si="235"/>
        <v>0</v>
      </c>
      <c r="CL493" s="399">
        <f t="shared" si="236"/>
        <v>0</v>
      </c>
      <c r="CM493" s="399">
        <f t="shared" si="237"/>
        <v>0</v>
      </c>
      <c r="CN493" s="399">
        <f t="shared" si="238"/>
        <v>0</v>
      </c>
      <c r="CO493" s="399">
        <f t="shared" si="239"/>
        <v>0</v>
      </c>
      <c r="CP493" s="399">
        <f t="shared" si="240"/>
        <v>0</v>
      </c>
      <c r="CQ493" s="423">
        <f t="shared" si="241"/>
        <v>0</v>
      </c>
      <c r="CS493" s="394" t="e">
        <f t="shared" si="242"/>
        <v>#DIV/0!</v>
      </c>
    </row>
    <row r="494" spans="3:97">
      <c r="C494" s="107"/>
      <c r="D494" s="395"/>
      <c r="E494" s="84"/>
      <c r="F494" s="84"/>
      <c r="G494" s="389"/>
      <c r="H494" s="390"/>
      <c r="I494" s="390"/>
      <c r="J494" s="390"/>
      <c r="K494" s="390"/>
      <c r="L494" s="390"/>
      <c r="M494" s="390"/>
      <c r="N494" s="390"/>
      <c r="O494" s="390"/>
      <c r="P494" s="390"/>
      <c r="Q494" s="390"/>
      <c r="R494" s="390"/>
      <c r="S494" s="390"/>
      <c r="T494" s="390"/>
      <c r="U494" s="390"/>
      <c r="V494" s="390"/>
      <c r="W494" s="390"/>
      <c r="X494" s="390"/>
      <c r="Y494" s="390"/>
      <c r="Z494" s="390"/>
      <c r="AA494" s="390"/>
      <c r="AB494" s="390"/>
      <c r="AC494" s="390"/>
      <c r="AD494" s="390"/>
      <c r="AE494" s="390"/>
      <c r="AF494" s="390"/>
      <c r="AG494" s="390"/>
      <c r="AH494" s="390"/>
      <c r="AI494" s="391"/>
      <c r="AK494" s="437"/>
      <c r="AL494" s="437"/>
      <c r="AM494" s="437"/>
      <c r="AN494" s="437"/>
      <c r="AO494" s="437"/>
      <c r="AP494" s="437"/>
      <c r="AQ494" s="437"/>
      <c r="AR494" s="437"/>
      <c r="AS494" s="437"/>
      <c r="AT494" s="437"/>
      <c r="AU494" s="437"/>
      <c r="AV494" s="437"/>
      <c r="AW494" s="437"/>
      <c r="AX494" s="437"/>
      <c r="AY494" s="437"/>
      <c r="AZ494" s="437"/>
      <c r="BA494" s="437"/>
      <c r="BB494" s="437"/>
      <c r="BC494" s="437"/>
      <c r="BD494" s="437"/>
      <c r="BE494" s="437"/>
      <c r="BF494" s="437"/>
      <c r="BG494" s="437"/>
      <c r="BH494" s="437"/>
      <c r="BI494" s="437"/>
      <c r="BJ494" s="437"/>
      <c r="BK494" s="437"/>
      <c r="BL494" s="437"/>
      <c r="BM494" s="393"/>
      <c r="BO494" s="399">
        <f t="shared" si="213"/>
        <v>0</v>
      </c>
      <c r="BP494" s="399">
        <f t="shared" si="214"/>
        <v>0</v>
      </c>
      <c r="BQ494" s="399">
        <f t="shared" si="215"/>
        <v>0</v>
      </c>
      <c r="BR494" s="399">
        <f t="shared" si="216"/>
        <v>0</v>
      </c>
      <c r="BS494" s="399">
        <f t="shared" si="217"/>
        <v>0</v>
      </c>
      <c r="BT494" s="399">
        <f t="shared" si="218"/>
        <v>0</v>
      </c>
      <c r="BU494" s="399">
        <f t="shared" si="219"/>
        <v>0</v>
      </c>
      <c r="BV494" s="399">
        <f t="shared" si="220"/>
        <v>0</v>
      </c>
      <c r="BW494" s="399">
        <f t="shared" si="221"/>
        <v>0</v>
      </c>
      <c r="BX494" s="399">
        <f t="shared" si="222"/>
        <v>0</v>
      </c>
      <c r="BY494" s="399">
        <f t="shared" si="223"/>
        <v>0</v>
      </c>
      <c r="BZ494" s="399">
        <f t="shared" si="224"/>
        <v>0</v>
      </c>
      <c r="CA494" s="399">
        <f t="shared" si="225"/>
        <v>0</v>
      </c>
      <c r="CB494" s="399">
        <f t="shared" si="226"/>
        <v>0</v>
      </c>
      <c r="CC494" s="399">
        <f t="shared" si="227"/>
        <v>0</v>
      </c>
      <c r="CD494" s="399">
        <f t="shared" si="228"/>
        <v>0</v>
      </c>
      <c r="CE494" s="399">
        <f t="shared" si="229"/>
        <v>0</v>
      </c>
      <c r="CF494" s="399">
        <f t="shared" si="230"/>
        <v>0</v>
      </c>
      <c r="CG494" s="399">
        <f t="shared" si="231"/>
        <v>0</v>
      </c>
      <c r="CH494" s="399">
        <f t="shared" si="232"/>
        <v>0</v>
      </c>
      <c r="CI494" s="399">
        <f t="shared" si="233"/>
        <v>0</v>
      </c>
      <c r="CJ494" s="399">
        <f t="shared" si="234"/>
        <v>0</v>
      </c>
      <c r="CK494" s="399">
        <f t="shared" si="235"/>
        <v>0</v>
      </c>
      <c r="CL494" s="399">
        <f t="shared" si="236"/>
        <v>0</v>
      </c>
      <c r="CM494" s="399">
        <f t="shared" si="237"/>
        <v>0</v>
      </c>
      <c r="CN494" s="399">
        <f t="shared" si="238"/>
        <v>0</v>
      </c>
      <c r="CO494" s="399">
        <f t="shared" si="239"/>
        <v>0</v>
      </c>
      <c r="CP494" s="399">
        <f t="shared" si="240"/>
        <v>0</v>
      </c>
      <c r="CQ494" s="423">
        <f t="shared" si="241"/>
        <v>0</v>
      </c>
      <c r="CS494" s="394" t="e">
        <f t="shared" si="242"/>
        <v>#DIV/0!</v>
      </c>
    </row>
    <row r="495" spans="3:97">
      <c r="C495" s="107"/>
      <c r="D495" s="395"/>
      <c r="E495" s="84"/>
      <c r="F495" s="84"/>
      <c r="G495" s="389"/>
      <c r="H495" s="390"/>
      <c r="I495" s="390"/>
      <c r="J495" s="390"/>
      <c r="K495" s="390"/>
      <c r="L495" s="390"/>
      <c r="M495" s="390"/>
      <c r="N495" s="390"/>
      <c r="O495" s="390"/>
      <c r="P495" s="390"/>
      <c r="Q495" s="390"/>
      <c r="R495" s="390"/>
      <c r="S495" s="390"/>
      <c r="T495" s="390"/>
      <c r="U495" s="390"/>
      <c r="V495" s="390"/>
      <c r="W495" s="390"/>
      <c r="X495" s="390"/>
      <c r="Y495" s="390"/>
      <c r="Z495" s="390"/>
      <c r="AA495" s="390"/>
      <c r="AB495" s="390"/>
      <c r="AC495" s="390"/>
      <c r="AD495" s="390"/>
      <c r="AE495" s="390"/>
      <c r="AF495" s="390"/>
      <c r="AG495" s="390"/>
      <c r="AH495" s="390"/>
      <c r="AI495" s="391"/>
      <c r="AK495" s="437"/>
      <c r="AL495" s="437"/>
      <c r="AM495" s="437"/>
      <c r="AN495" s="437"/>
      <c r="AO495" s="437"/>
      <c r="AP495" s="437"/>
      <c r="AQ495" s="437"/>
      <c r="AR495" s="437"/>
      <c r="AS495" s="437"/>
      <c r="AT495" s="437"/>
      <c r="AU495" s="437"/>
      <c r="AV495" s="437"/>
      <c r="AW495" s="437"/>
      <c r="AX495" s="437"/>
      <c r="AY495" s="437"/>
      <c r="AZ495" s="437"/>
      <c r="BA495" s="437"/>
      <c r="BB495" s="437"/>
      <c r="BC495" s="437"/>
      <c r="BD495" s="437"/>
      <c r="BE495" s="437"/>
      <c r="BF495" s="437"/>
      <c r="BG495" s="437"/>
      <c r="BH495" s="437"/>
      <c r="BI495" s="437"/>
      <c r="BJ495" s="437"/>
      <c r="BK495" s="437"/>
      <c r="BL495" s="437"/>
      <c r="BM495" s="393"/>
      <c r="BO495" s="399">
        <f t="shared" si="213"/>
        <v>0</v>
      </c>
      <c r="BP495" s="399">
        <f t="shared" si="214"/>
        <v>0</v>
      </c>
      <c r="BQ495" s="399">
        <f t="shared" si="215"/>
        <v>0</v>
      </c>
      <c r="BR495" s="399">
        <f t="shared" si="216"/>
        <v>0</v>
      </c>
      <c r="BS495" s="399">
        <f t="shared" si="217"/>
        <v>0</v>
      </c>
      <c r="BT495" s="399">
        <f t="shared" si="218"/>
        <v>0</v>
      </c>
      <c r="BU495" s="399">
        <f t="shared" si="219"/>
        <v>0</v>
      </c>
      <c r="BV495" s="399">
        <f t="shared" si="220"/>
        <v>0</v>
      </c>
      <c r="BW495" s="399">
        <f t="shared" si="221"/>
        <v>0</v>
      </c>
      <c r="BX495" s="399">
        <f t="shared" si="222"/>
        <v>0</v>
      </c>
      <c r="BY495" s="399">
        <f t="shared" si="223"/>
        <v>0</v>
      </c>
      <c r="BZ495" s="399">
        <f t="shared" si="224"/>
        <v>0</v>
      </c>
      <c r="CA495" s="399">
        <f t="shared" si="225"/>
        <v>0</v>
      </c>
      <c r="CB495" s="399">
        <f t="shared" si="226"/>
        <v>0</v>
      </c>
      <c r="CC495" s="399">
        <f t="shared" si="227"/>
        <v>0</v>
      </c>
      <c r="CD495" s="399">
        <f t="shared" si="228"/>
        <v>0</v>
      </c>
      <c r="CE495" s="399">
        <f t="shared" si="229"/>
        <v>0</v>
      </c>
      <c r="CF495" s="399">
        <f t="shared" si="230"/>
        <v>0</v>
      </c>
      <c r="CG495" s="399">
        <f t="shared" si="231"/>
        <v>0</v>
      </c>
      <c r="CH495" s="399">
        <f t="shared" si="232"/>
        <v>0</v>
      </c>
      <c r="CI495" s="399">
        <f t="shared" si="233"/>
        <v>0</v>
      </c>
      <c r="CJ495" s="399">
        <f t="shared" si="234"/>
        <v>0</v>
      </c>
      <c r="CK495" s="399">
        <f t="shared" si="235"/>
        <v>0</v>
      </c>
      <c r="CL495" s="399">
        <f t="shared" si="236"/>
        <v>0</v>
      </c>
      <c r="CM495" s="399">
        <f t="shared" si="237"/>
        <v>0</v>
      </c>
      <c r="CN495" s="399">
        <f t="shared" si="238"/>
        <v>0</v>
      </c>
      <c r="CO495" s="399">
        <f t="shared" si="239"/>
        <v>0</v>
      </c>
      <c r="CP495" s="399">
        <f t="shared" si="240"/>
        <v>0</v>
      </c>
      <c r="CQ495" s="423">
        <f t="shared" si="241"/>
        <v>0</v>
      </c>
      <c r="CS495" s="394" t="e">
        <f t="shared" si="242"/>
        <v>#DIV/0!</v>
      </c>
    </row>
    <row r="496" spans="3:97">
      <c r="C496" s="107"/>
      <c r="D496" s="395"/>
      <c r="E496" s="84"/>
      <c r="F496" s="84"/>
      <c r="G496" s="389"/>
      <c r="H496" s="390"/>
      <c r="I496" s="390"/>
      <c r="J496" s="390"/>
      <c r="K496" s="390"/>
      <c r="L496" s="390"/>
      <c r="M496" s="390"/>
      <c r="N496" s="390"/>
      <c r="O496" s="390"/>
      <c r="P496" s="390"/>
      <c r="Q496" s="390"/>
      <c r="R496" s="390"/>
      <c r="S496" s="390"/>
      <c r="T496" s="390"/>
      <c r="U496" s="390"/>
      <c r="V496" s="390"/>
      <c r="W496" s="390"/>
      <c r="X496" s="390"/>
      <c r="Y496" s="390"/>
      <c r="Z496" s="390"/>
      <c r="AA496" s="390"/>
      <c r="AB496" s="390"/>
      <c r="AC496" s="390"/>
      <c r="AD496" s="390"/>
      <c r="AE496" s="390"/>
      <c r="AF496" s="390"/>
      <c r="AG496" s="390"/>
      <c r="AH496" s="390"/>
      <c r="AI496" s="391"/>
      <c r="AK496" s="437"/>
      <c r="AL496" s="437"/>
      <c r="AM496" s="437"/>
      <c r="AN496" s="437"/>
      <c r="AO496" s="437"/>
      <c r="AP496" s="437"/>
      <c r="AQ496" s="437"/>
      <c r="AR496" s="437"/>
      <c r="AS496" s="437"/>
      <c r="AT496" s="437"/>
      <c r="AU496" s="437"/>
      <c r="AV496" s="437"/>
      <c r="AW496" s="437"/>
      <c r="AX496" s="437"/>
      <c r="AY496" s="437"/>
      <c r="AZ496" s="437"/>
      <c r="BA496" s="437"/>
      <c r="BB496" s="437"/>
      <c r="BC496" s="437"/>
      <c r="BD496" s="437"/>
      <c r="BE496" s="437"/>
      <c r="BF496" s="437"/>
      <c r="BG496" s="437"/>
      <c r="BH496" s="437"/>
      <c r="BI496" s="437"/>
      <c r="BJ496" s="437"/>
      <c r="BK496" s="437"/>
      <c r="BL496" s="437"/>
      <c r="BM496" s="393"/>
      <c r="BO496" s="399">
        <f t="shared" si="213"/>
        <v>0</v>
      </c>
      <c r="BP496" s="399">
        <f t="shared" si="214"/>
        <v>0</v>
      </c>
      <c r="BQ496" s="399">
        <f t="shared" si="215"/>
        <v>0</v>
      </c>
      <c r="BR496" s="399">
        <f t="shared" si="216"/>
        <v>0</v>
      </c>
      <c r="BS496" s="399">
        <f t="shared" si="217"/>
        <v>0</v>
      </c>
      <c r="BT496" s="399">
        <f t="shared" si="218"/>
        <v>0</v>
      </c>
      <c r="BU496" s="399">
        <f t="shared" si="219"/>
        <v>0</v>
      </c>
      <c r="BV496" s="399">
        <f t="shared" si="220"/>
        <v>0</v>
      </c>
      <c r="BW496" s="399">
        <f t="shared" si="221"/>
        <v>0</v>
      </c>
      <c r="BX496" s="399">
        <f t="shared" si="222"/>
        <v>0</v>
      </c>
      <c r="BY496" s="399">
        <f t="shared" si="223"/>
        <v>0</v>
      </c>
      <c r="BZ496" s="399">
        <f t="shared" si="224"/>
        <v>0</v>
      </c>
      <c r="CA496" s="399">
        <f t="shared" si="225"/>
        <v>0</v>
      </c>
      <c r="CB496" s="399">
        <f t="shared" si="226"/>
        <v>0</v>
      </c>
      <c r="CC496" s="399">
        <f t="shared" si="227"/>
        <v>0</v>
      </c>
      <c r="CD496" s="399">
        <f t="shared" si="228"/>
        <v>0</v>
      </c>
      <c r="CE496" s="399">
        <f t="shared" si="229"/>
        <v>0</v>
      </c>
      <c r="CF496" s="399">
        <f t="shared" si="230"/>
        <v>0</v>
      </c>
      <c r="CG496" s="399">
        <f t="shared" si="231"/>
        <v>0</v>
      </c>
      <c r="CH496" s="399">
        <f t="shared" si="232"/>
        <v>0</v>
      </c>
      <c r="CI496" s="399">
        <f t="shared" si="233"/>
        <v>0</v>
      </c>
      <c r="CJ496" s="399">
        <f t="shared" si="234"/>
        <v>0</v>
      </c>
      <c r="CK496" s="399">
        <f t="shared" si="235"/>
        <v>0</v>
      </c>
      <c r="CL496" s="399">
        <f t="shared" si="236"/>
        <v>0</v>
      </c>
      <c r="CM496" s="399">
        <f t="shared" si="237"/>
        <v>0</v>
      </c>
      <c r="CN496" s="399">
        <f t="shared" si="238"/>
        <v>0</v>
      </c>
      <c r="CO496" s="399">
        <f t="shared" si="239"/>
        <v>0</v>
      </c>
      <c r="CP496" s="399">
        <f t="shared" si="240"/>
        <v>0</v>
      </c>
      <c r="CQ496" s="423">
        <f t="shared" si="241"/>
        <v>0</v>
      </c>
      <c r="CS496" s="394" t="e">
        <f t="shared" si="242"/>
        <v>#DIV/0!</v>
      </c>
    </row>
    <row r="497" spans="3:97">
      <c r="C497" s="107"/>
      <c r="D497" s="395"/>
      <c r="E497" s="84"/>
      <c r="F497" s="84"/>
      <c r="G497" s="389"/>
      <c r="H497" s="390"/>
      <c r="I497" s="390"/>
      <c r="J497" s="390"/>
      <c r="K497" s="390"/>
      <c r="L497" s="390"/>
      <c r="M497" s="390"/>
      <c r="N497" s="390"/>
      <c r="O497" s="390"/>
      <c r="P497" s="390"/>
      <c r="Q497" s="390"/>
      <c r="R497" s="390"/>
      <c r="S497" s="390"/>
      <c r="T497" s="390"/>
      <c r="U497" s="390"/>
      <c r="V497" s="390"/>
      <c r="W497" s="390"/>
      <c r="X497" s="390"/>
      <c r="Y497" s="390"/>
      <c r="Z497" s="390"/>
      <c r="AA497" s="390"/>
      <c r="AB497" s="390"/>
      <c r="AC497" s="390"/>
      <c r="AD497" s="390"/>
      <c r="AE497" s="390"/>
      <c r="AF497" s="390"/>
      <c r="AG497" s="390"/>
      <c r="AH497" s="390"/>
      <c r="AI497" s="391"/>
      <c r="AK497" s="437"/>
      <c r="AL497" s="437"/>
      <c r="AM497" s="437"/>
      <c r="AN497" s="437"/>
      <c r="AO497" s="437"/>
      <c r="AP497" s="437"/>
      <c r="AQ497" s="437"/>
      <c r="AR497" s="437"/>
      <c r="AS497" s="437"/>
      <c r="AT497" s="437"/>
      <c r="AU497" s="437"/>
      <c r="AV497" s="437"/>
      <c r="AW497" s="437"/>
      <c r="AX497" s="437"/>
      <c r="AY497" s="437"/>
      <c r="AZ497" s="437"/>
      <c r="BA497" s="437"/>
      <c r="BB497" s="437"/>
      <c r="BC497" s="437"/>
      <c r="BD497" s="437"/>
      <c r="BE497" s="437"/>
      <c r="BF497" s="437"/>
      <c r="BG497" s="437"/>
      <c r="BH497" s="437"/>
      <c r="BI497" s="437"/>
      <c r="BJ497" s="437"/>
      <c r="BK497" s="437"/>
      <c r="BL497" s="437"/>
      <c r="BM497" s="393"/>
      <c r="BO497" s="399">
        <f t="shared" si="213"/>
        <v>0</v>
      </c>
      <c r="BP497" s="399">
        <f t="shared" si="214"/>
        <v>0</v>
      </c>
      <c r="BQ497" s="399">
        <f t="shared" si="215"/>
        <v>0</v>
      </c>
      <c r="BR497" s="399">
        <f t="shared" si="216"/>
        <v>0</v>
      </c>
      <c r="BS497" s="399">
        <f t="shared" si="217"/>
        <v>0</v>
      </c>
      <c r="BT497" s="399">
        <f t="shared" si="218"/>
        <v>0</v>
      </c>
      <c r="BU497" s="399">
        <f t="shared" si="219"/>
        <v>0</v>
      </c>
      <c r="BV497" s="399">
        <f t="shared" si="220"/>
        <v>0</v>
      </c>
      <c r="BW497" s="399">
        <f t="shared" si="221"/>
        <v>0</v>
      </c>
      <c r="BX497" s="399">
        <f t="shared" si="222"/>
        <v>0</v>
      </c>
      <c r="BY497" s="399">
        <f t="shared" si="223"/>
        <v>0</v>
      </c>
      <c r="BZ497" s="399">
        <f t="shared" si="224"/>
        <v>0</v>
      </c>
      <c r="CA497" s="399">
        <f t="shared" si="225"/>
        <v>0</v>
      </c>
      <c r="CB497" s="399">
        <f t="shared" si="226"/>
        <v>0</v>
      </c>
      <c r="CC497" s="399">
        <f t="shared" si="227"/>
        <v>0</v>
      </c>
      <c r="CD497" s="399">
        <f t="shared" si="228"/>
        <v>0</v>
      </c>
      <c r="CE497" s="399">
        <f t="shared" si="229"/>
        <v>0</v>
      </c>
      <c r="CF497" s="399">
        <f t="shared" si="230"/>
        <v>0</v>
      </c>
      <c r="CG497" s="399">
        <f t="shared" si="231"/>
        <v>0</v>
      </c>
      <c r="CH497" s="399">
        <f t="shared" si="232"/>
        <v>0</v>
      </c>
      <c r="CI497" s="399">
        <f t="shared" si="233"/>
        <v>0</v>
      </c>
      <c r="CJ497" s="399">
        <f t="shared" si="234"/>
        <v>0</v>
      </c>
      <c r="CK497" s="399">
        <f t="shared" si="235"/>
        <v>0</v>
      </c>
      <c r="CL497" s="399">
        <f t="shared" si="236"/>
        <v>0</v>
      </c>
      <c r="CM497" s="399">
        <f t="shared" si="237"/>
        <v>0</v>
      </c>
      <c r="CN497" s="399">
        <f t="shared" si="238"/>
        <v>0</v>
      </c>
      <c r="CO497" s="399">
        <f t="shared" si="239"/>
        <v>0</v>
      </c>
      <c r="CP497" s="399">
        <f t="shared" si="240"/>
        <v>0</v>
      </c>
      <c r="CQ497" s="423">
        <f t="shared" si="241"/>
        <v>0</v>
      </c>
      <c r="CS497" s="394" t="e">
        <f t="shared" si="242"/>
        <v>#DIV/0!</v>
      </c>
    </row>
    <row r="498" spans="3:97">
      <c r="C498" s="107"/>
      <c r="D498" s="395"/>
      <c r="E498" s="84"/>
      <c r="F498" s="84"/>
      <c r="G498" s="389"/>
      <c r="H498" s="390"/>
      <c r="I498" s="390"/>
      <c r="J498" s="390"/>
      <c r="K498" s="390"/>
      <c r="L498" s="390"/>
      <c r="M498" s="390"/>
      <c r="N498" s="390"/>
      <c r="O498" s="390"/>
      <c r="P498" s="390"/>
      <c r="Q498" s="390"/>
      <c r="R498" s="390"/>
      <c r="S498" s="390"/>
      <c r="T498" s="390"/>
      <c r="U498" s="390"/>
      <c r="V498" s="390"/>
      <c r="W498" s="390"/>
      <c r="X498" s="390"/>
      <c r="Y498" s="390"/>
      <c r="Z498" s="390"/>
      <c r="AA498" s="390"/>
      <c r="AB498" s="390"/>
      <c r="AC498" s="390"/>
      <c r="AD498" s="390"/>
      <c r="AE498" s="390"/>
      <c r="AF498" s="390"/>
      <c r="AG498" s="390"/>
      <c r="AH498" s="390"/>
      <c r="AI498" s="391"/>
      <c r="AK498" s="437"/>
      <c r="AL498" s="437"/>
      <c r="AM498" s="437"/>
      <c r="AN498" s="437"/>
      <c r="AO498" s="437"/>
      <c r="AP498" s="437"/>
      <c r="AQ498" s="437"/>
      <c r="AR498" s="437"/>
      <c r="AS498" s="437"/>
      <c r="AT498" s="437"/>
      <c r="AU498" s="437"/>
      <c r="AV498" s="437"/>
      <c r="AW498" s="437"/>
      <c r="AX498" s="437"/>
      <c r="AY498" s="437"/>
      <c r="AZ498" s="437"/>
      <c r="BA498" s="437"/>
      <c r="BB498" s="437"/>
      <c r="BC498" s="437"/>
      <c r="BD498" s="437"/>
      <c r="BE498" s="437"/>
      <c r="BF498" s="437"/>
      <c r="BG498" s="437"/>
      <c r="BH498" s="437"/>
      <c r="BI498" s="437"/>
      <c r="BJ498" s="437"/>
      <c r="BK498" s="437"/>
      <c r="BL498" s="437"/>
      <c r="BM498" s="393"/>
      <c r="BO498" s="399">
        <f t="shared" si="213"/>
        <v>0</v>
      </c>
      <c r="BP498" s="399">
        <f t="shared" si="214"/>
        <v>0</v>
      </c>
      <c r="BQ498" s="399">
        <f t="shared" si="215"/>
        <v>0</v>
      </c>
      <c r="BR498" s="399">
        <f t="shared" si="216"/>
        <v>0</v>
      </c>
      <c r="BS498" s="399">
        <f t="shared" si="217"/>
        <v>0</v>
      </c>
      <c r="BT498" s="399">
        <f t="shared" si="218"/>
        <v>0</v>
      </c>
      <c r="BU498" s="399">
        <f t="shared" si="219"/>
        <v>0</v>
      </c>
      <c r="BV498" s="399">
        <f t="shared" si="220"/>
        <v>0</v>
      </c>
      <c r="BW498" s="399">
        <f t="shared" si="221"/>
        <v>0</v>
      </c>
      <c r="BX498" s="399">
        <f t="shared" si="222"/>
        <v>0</v>
      </c>
      <c r="BY498" s="399">
        <f t="shared" si="223"/>
        <v>0</v>
      </c>
      <c r="BZ498" s="399">
        <f t="shared" si="224"/>
        <v>0</v>
      </c>
      <c r="CA498" s="399">
        <f t="shared" si="225"/>
        <v>0</v>
      </c>
      <c r="CB498" s="399">
        <f t="shared" si="226"/>
        <v>0</v>
      </c>
      <c r="CC498" s="399">
        <f t="shared" si="227"/>
        <v>0</v>
      </c>
      <c r="CD498" s="399">
        <f t="shared" si="228"/>
        <v>0</v>
      </c>
      <c r="CE498" s="399">
        <f t="shared" si="229"/>
        <v>0</v>
      </c>
      <c r="CF498" s="399">
        <f t="shared" si="230"/>
        <v>0</v>
      </c>
      <c r="CG498" s="399">
        <f t="shared" si="231"/>
        <v>0</v>
      </c>
      <c r="CH498" s="399">
        <f t="shared" si="232"/>
        <v>0</v>
      </c>
      <c r="CI498" s="399">
        <f t="shared" si="233"/>
        <v>0</v>
      </c>
      <c r="CJ498" s="399">
        <f t="shared" si="234"/>
        <v>0</v>
      </c>
      <c r="CK498" s="399">
        <f t="shared" si="235"/>
        <v>0</v>
      </c>
      <c r="CL498" s="399">
        <f t="shared" si="236"/>
        <v>0</v>
      </c>
      <c r="CM498" s="399">
        <f t="shared" si="237"/>
        <v>0</v>
      </c>
      <c r="CN498" s="399">
        <f t="shared" si="238"/>
        <v>0</v>
      </c>
      <c r="CO498" s="399">
        <f t="shared" si="239"/>
        <v>0</v>
      </c>
      <c r="CP498" s="399">
        <f t="shared" si="240"/>
        <v>0</v>
      </c>
      <c r="CQ498" s="423">
        <f t="shared" si="241"/>
        <v>0</v>
      </c>
      <c r="CS498" s="394" t="e">
        <f t="shared" si="242"/>
        <v>#DIV/0!</v>
      </c>
    </row>
    <row r="499" spans="3:97">
      <c r="C499" s="107"/>
      <c r="D499" s="395"/>
      <c r="E499" s="84"/>
      <c r="F499" s="84"/>
      <c r="G499" s="389"/>
      <c r="H499" s="390"/>
      <c r="I499" s="390"/>
      <c r="J499" s="390"/>
      <c r="K499" s="390"/>
      <c r="L499" s="390"/>
      <c r="M499" s="390"/>
      <c r="N499" s="390"/>
      <c r="O499" s="390"/>
      <c r="P499" s="390"/>
      <c r="Q499" s="390"/>
      <c r="R499" s="390"/>
      <c r="S499" s="390"/>
      <c r="T499" s="390"/>
      <c r="U499" s="390"/>
      <c r="V499" s="390"/>
      <c r="W499" s="390"/>
      <c r="X499" s="390"/>
      <c r="Y499" s="390"/>
      <c r="Z499" s="390"/>
      <c r="AA499" s="390"/>
      <c r="AB499" s="390"/>
      <c r="AC499" s="390"/>
      <c r="AD499" s="390"/>
      <c r="AE499" s="390"/>
      <c r="AF499" s="390"/>
      <c r="AG499" s="390"/>
      <c r="AH499" s="390"/>
      <c r="AI499" s="391"/>
      <c r="AK499" s="437"/>
      <c r="AL499" s="437"/>
      <c r="AM499" s="437"/>
      <c r="AN499" s="437"/>
      <c r="AO499" s="437"/>
      <c r="AP499" s="437"/>
      <c r="AQ499" s="437"/>
      <c r="AR499" s="437"/>
      <c r="AS499" s="437"/>
      <c r="AT499" s="437"/>
      <c r="AU499" s="437"/>
      <c r="AV499" s="437"/>
      <c r="AW499" s="437"/>
      <c r="AX499" s="437"/>
      <c r="AY499" s="437"/>
      <c r="AZ499" s="437"/>
      <c r="BA499" s="437"/>
      <c r="BB499" s="437"/>
      <c r="BC499" s="437"/>
      <c r="BD499" s="437"/>
      <c r="BE499" s="437"/>
      <c r="BF499" s="437"/>
      <c r="BG499" s="437"/>
      <c r="BH499" s="437"/>
      <c r="BI499" s="437"/>
      <c r="BJ499" s="437"/>
      <c r="BK499" s="437"/>
      <c r="BL499" s="437"/>
      <c r="BM499" s="393"/>
      <c r="BO499" s="399">
        <f t="shared" si="213"/>
        <v>0</v>
      </c>
      <c r="BP499" s="399">
        <f t="shared" si="214"/>
        <v>0</v>
      </c>
      <c r="BQ499" s="399">
        <f t="shared" si="215"/>
        <v>0</v>
      </c>
      <c r="BR499" s="399">
        <f t="shared" si="216"/>
        <v>0</v>
      </c>
      <c r="BS499" s="399">
        <f t="shared" si="217"/>
        <v>0</v>
      </c>
      <c r="BT499" s="399">
        <f t="shared" si="218"/>
        <v>0</v>
      </c>
      <c r="BU499" s="399">
        <f t="shared" si="219"/>
        <v>0</v>
      </c>
      <c r="BV499" s="399">
        <f t="shared" si="220"/>
        <v>0</v>
      </c>
      <c r="BW499" s="399">
        <f t="shared" si="221"/>
        <v>0</v>
      </c>
      <c r="BX499" s="399">
        <f t="shared" si="222"/>
        <v>0</v>
      </c>
      <c r="BY499" s="399">
        <f t="shared" si="223"/>
        <v>0</v>
      </c>
      <c r="BZ499" s="399">
        <f t="shared" si="224"/>
        <v>0</v>
      </c>
      <c r="CA499" s="399">
        <f t="shared" si="225"/>
        <v>0</v>
      </c>
      <c r="CB499" s="399">
        <f t="shared" si="226"/>
        <v>0</v>
      </c>
      <c r="CC499" s="399">
        <f t="shared" si="227"/>
        <v>0</v>
      </c>
      <c r="CD499" s="399">
        <f t="shared" si="228"/>
        <v>0</v>
      </c>
      <c r="CE499" s="399">
        <f t="shared" si="229"/>
        <v>0</v>
      </c>
      <c r="CF499" s="399">
        <f t="shared" si="230"/>
        <v>0</v>
      </c>
      <c r="CG499" s="399">
        <f t="shared" si="231"/>
        <v>0</v>
      </c>
      <c r="CH499" s="399">
        <f t="shared" si="232"/>
        <v>0</v>
      </c>
      <c r="CI499" s="399">
        <f t="shared" si="233"/>
        <v>0</v>
      </c>
      <c r="CJ499" s="399">
        <f t="shared" si="234"/>
        <v>0</v>
      </c>
      <c r="CK499" s="399">
        <f t="shared" si="235"/>
        <v>0</v>
      </c>
      <c r="CL499" s="399">
        <f t="shared" si="236"/>
        <v>0</v>
      </c>
      <c r="CM499" s="399">
        <f t="shared" si="237"/>
        <v>0</v>
      </c>
      <c r="CN499" s="399">
        <f t="shared" si="238"/>
        <v>0</v>
      </c>
      <c r="CO499" s="399">
        <f t="shared" si="239"/>
        <v>0</v>
      </c>
      <c r="CP499" s="399">
        <f t="shared" si="240"/>
        <v>0</v>
      </c>
      <c r="CQ499" s="423">
        <f t="shared" si="241"/>
        <v>0</v>
      </c>
      <c r="CS499" s="394" t="e">
        <f t="shared" si="242"/>
        <v>#DIV/0!</v>
      </c>
    </row>
    <row r="500" spans="3:97">
      <c r="C500" s="107"/>
      <c r="D500" s="395"/>
      <c r="E500" s="84"/>
      <c r="F500" s="84"/>
      <c r="G500" s="389"/>
      <c r="H500" s="390"/>
      <c r="I500" s="390"/>
      <c r="J500" s="390"/>
      <c r="K500" s="390"/>
      <c r="L500" s="390"/>
      <c r="M500" s="390"/>
      <c r="N500" s="390"/>
      <c r="O500" s="390"/>
      <c r="P500" s="390"/>
      <c r="Q500" s="390"/>
      <c r="R500" s="390"/>
      <c r="S500" s="390"/>
      <c r="T500" s="390"/>
      <c r="U500" s="390"/>
      <c r="V500" s="390"/>
      <c r="W500" s="390"/>
      <c r="X500" s="390"/>
      <c r="Y500" s="390"/>
      <c r="Z500" s="390"/>
      <c r="AA500" s="390"/>
      <c r="AB500" s="390"/>
      <c r="AC500" s="390"/>
      <c r="AD500" s="390"/>
      <c r="AE500" s="390"/>
      <c r="AF500" s="390"/>
      <c r="AG500" s="390"/>
      <c r="AH500" s="390"/>
      <c r="AI500" s="391"/>
      <c r="AK500" s="437"/>
      <c r="AL500" s="437"/>
      <c r="AM500" s="437"/>
      <c r="AN500" s="437"/>
      <c r="AO500" s="437"/>
      <c r="AP500" s="437"/>
      <c r="AQ500" s="437"/>
      <c r="AR500" s="437"/>
      <c r="AS500" s="437"/>
      <c r="AT500" s="437"/>
      <c r="AU500" s="437"/>
      <c r="AV500" s="437"/>
      <c r="AW500" s="437"/>
      <c r="AX500" s="437"/>
      <c r="AY500" s="437"/>
      <c r="AZ500" s="437"/>
      <c r="BA500" s="437"/>
      <c r="BB500" s="437"/>
      <c r="BC500" s="437"/>
      <c r="BD500" s="437"/>
      <c r="BE500" s="437"/>
      <c r="BF500" s="437"/>
      <c r="BG500" s="437"/>
      <c r="BH500" s="437"/>
      <c r="BI500" s="437"/>
      <c r="BJ500" s="437"/>
      <c r="BK500" s="437"/>
      <c r="BL500" s="437"/>
      <c r="BM500" s="393"/>
      <c r="BO500" s="399">
        <f t="shared" si="213"/>
        <v>0</v>
      </c>
      <c r="BP500" s="399">
        <f t="shared" si="214"/>
        <v>0</v>
      </c>
      <c r="BQ500" s="399">
        <f t="shared" si="215"/>
        <v>0</v>
      </c>
      <c r="BR500" s="399">
        <f t="shared" si="216"/>
        <v>0</v>
      </c>
      <c r="BS500" s="399">
        <f t="shared" si="217"/>
        <v>0</v>
      </c>
      <c r="BT500" s="399">
        <f t="shared" si="218"/>
        <v>0</v>
      </c>
      <c r="BU500" s="399">
        <f t="shared" si="219"/>
        <v>0</v>
      </c>
      <c r="BV500" s="399">
        <f t="shared" si="220"/>
        <v>0</v>
      </c>
      <c r="BW500" s="399">
        <f t="shared" si="221"/>
        <v>0</v>
      </c>
      <c r="BX500" s="399">
        <f t="shared" si="222"/>
        <v>0</v>
      </c>
      <c r="BY500" s="399">
        <f t="shared" si="223"/>
        <v>0</v>
      </c>
      <c r="BZ500" s="399">
        <f t="shared" si="224"/>
        <v>0</v>
      </c>
      <c r="CA500" s="399">
        <f t="shared" si="225"/>
        <v>0</v>
      </c>
      <c r="CB500" s="399">
        <f t="shared" si="226"/>
        <v>0</v>
      </c>
      <c r="CC500" s="399">
        <f t="shared" si="227"/>
        <v>0</v>
      </c>
      <c r="CD500" s="399">
        <f t="shared" si="228"/>
        <v>0</v>
      </c>
      <c r="CE500" s="399">
        <f t="shared" si="229"/>
        <v>0</v>
      </c>
      <c r="CF500" s="399">
        <f t="shared" si="230"/>
        <v>0</v>
      </c>
      <c r="CG500" s="399">
        <f t="shared" si="231"/>
        <v>0</v>
      </c>
      <c r="CH500" s="399">
        <f t="shared" si="232"/>
        <v>0</v>
      </c>
      <c r="CI500" s="399">
        <f t="shared" si="233"/>
        <v>0</v>
      </c>
      <c r="CJ500" s="399">
        <f t="shared" si="234"/>
        <v>0</v>
      </c>
      <c r="CK500" s="399">
        <f t="shared" si="235"/>
        <v>0</v>
      </c>
      <c r="CL500" s="399">
        <f t="shared" si="236"/>
        <v>0</v>
      </c>
      <c r="CM500" s="399">
        <f t="shared" si="237"/>
        <v>0</v>
      </c>
      <c r="CN500" s="399">
        <f t="shared" si="238"/>
        <v>0</v>
      </c>
      <c r="CO500" s="399">
        <f t="shared" si="239"/>
        <v>0</v>
      </c>
      <c r="CP500" s="399">
        <f t="shared" si="240"/>
        <v>0</v>
      </c>
      <c r="CQ500" s="423">
        <f t="shared" si="241"/>
        <v>0</v>
      </c>
      <c r="CS500" s="394" t="e">
        <f t="shared" si="242"/>
        <v>#DIV/0!</v>
      </c>
    </row>
    <row r="501" spans="3:97">
      <c r="C501" s="107"/>
      <c r="D501" s="395"/>
      <c r="E501" s="84"/>
      <c r="F501" s="84"/>
      <c r="G501" s="389"/>
      <c r="H501" s="390"/>
      <c r="I501" s="390"/>
      <c r="J501" s="390"/>
      <c r="K501" s="390"/>
      <c r="L501" s="390"/>
      <c r="M501" s="390"/>
      <c r="N501" s="390"/>
      <c r="O501" s="390"/>
      <c r="P501" s="390"/>
      <c r="Q501" s="390"/>
      <c r="R501" s="390"/>
      <c r="S501" s="390"/>
      <c r="T501" s="390"/>
      <c r="U501" s="390"/>
      <c r="V501" s="390"/>
      <c r="W501" s="390"/>
      <c r="X501" s="390"/>
      <c r="Y501" s="390"/>
      <c r="Z501" s="390"/>
      <c r="AA501" s="390"/>
      <c r="AB501" s="390"/>
      <c r="AC501" s="390"/>
      <c r="AD501" s="390"/>
      <c r="AE501" s="390"/>
      <c r="AF501" s="390"/>
      <c r="AG501" s="390"/>
      <c r="AH501" s="390"/>
      <c r="AI501" s="391"/>
      <c r="AK501" s="437"/>
      <c r="AL501" s="437"/>
      <c r="AM501" s="437"/>
      <c r="AN501" s="437"/>
      <c r="AO501" s="437"/>
      <c r="AP501" s="437"/>
      <c r="AQ501" s="437"/>
      <c r="AR501" s="437"/>
      <c r="AS501" s="437"/>
      <c r="AT501" s="437"/>
      <c r="AU501" s="437"/>
      <c r="AV501" s="437"/>
      <c r="AW501" s="437"/>
      <c r="AX501" s="437"/>
      <c r="AY501" s="437"/>
      <c r="AZ501" s="437"/>
      <c r="BA501" s="437"/>
      <c r="BB501" s="437"/>
      <c r="BC501" s="437"/>
      <c r="BD501" s="437"/>
      <c r="BE501" s="437"/>
      <c r="BF501" s="437"/>
      <c r="BG501" s="437"/>
      <c r="BH501" s="437"/>
      <c r="BI501" s="437"/>
      <c r="BJ501" s="437"/>
      <c r="BK501" s="437"/>
      <c r="BL501" s="437"/>
      <c r="BM501" s="393"/>
      <c r="BO501" s="399">
        <f t="shared" si="213"/>
        <v>0</v>
      </c>
      <c r="BP501" s="399">
        <f t="shared" si="214"/>
        <v>0</v>
      </c>
      <c r="BQ501" s="399">
        <f t="shared" si="215"/>
        <v>0</v>
      </c>
      <c r="BR501" s="399">
        <f t="shared" si="216"/>
        <v>0</v>
      </c>
      <c r="BS501" s="399">
        <f t="shared" si="217"/>
        <v>0</v>
      </c>
      <c r="BT501" s="399">
        <f t="shared" si="218"/>
        <v>0</v>
      </c>
      <c r="BU501" s="399">
        <f t="shared" si="219"/>
        <v>0</v>
      </c>
      <c r="BV501" s="399">
        <f t="shared" si="220"/>
        <v>0</v>
      </c>
      <c r="BW501" s="399">
        <f t="shared" si="221"/>
        <v>0</v>
      </c>
      <c r="BX501" s="399">
        <f t="shared" si="222"/>
        <v>0</v>
      </c>
      <c r="BY501" s="399">
        <f t="shared" si="223"/>
        <v>0</v>
      </c>
      <c r="BZ501" s="399">
        <f t="shared" si="224"/>
        <v>0</v>
      </c>
      <c r="CA501" s="399">
        <f t="shared" si="225"/>
        <v>0</v>
      </c>
      <c r="CB501" s="399">
        <f t="shared" si="226"/>
        <v>0</v>
      </c>
      <c r="CC501" s="399">
        <f t="shared" si="227"/>
        <v>0</v>
      </c>
      <c r="CD501" s="399">
        <f t="shared" si="228"/>
        <v>0</v>
      </c>
      <c r="CE501" s="399">
        <f t="shared" si="229"/>
        <v>0</v>
      </c>
      <c r="CF501" s="399">
        <f t="shared" si="230"/>
        <v>0</v>
      </c>
      <c r="CG501" s="399">
        <f t="shared" si="231"/>
        <v>0</v>
      </c>
      <c r="CH501" s="399">
        <f t="shared" si="232"/>
        <v>0</v>
      </c>
      <c r="CI501" s="399">
        <f t="shared" si="233"/>
        <v>0</v>
      </c>
      <c r="CJ501" s="399">
        <f t="shared" si="234"/>
        <v>0</v>
      </c>
      <c r="CK501" s="399">
        <f t="shared" si="235"/>
        <v>0</v>
      </c>
      <c r="CL501" s="399">
        <f t="shared" si="236"/>
        <v>0</v>
      </c>
      <c r="CM501" s="399">
        <f t="shared" si="237"/>
        <v>0</v>
      </c>
      <c r="CN501" s="399">
        <f t="shared" si="238"/>
        <v>0</v>
      </c>
      <c r="CO501" s="399">
        <f t="shared" si="239"/>
        <v>0</v>
      </c>
      <c r="CP501" s="399">
        <f t="shared" si="240"/>
        <v>0</v>
      </c>
      <c r="CQ501" s="423">
        <f t="shared" si="241"/>
        <v>0</v>
      </c>
      <c r="CS501" s="394" t="e">
        <f t="shared" si="242"/>
        <v>#DIV/0!</v>
      </c>
    </row>
    <row r="502" spans="3:97">
      <c r="C502" s="107"/>
      <c r="D502" s="395"/>
      <c r="E502" s="84"/>
      <c r="F502" s="84"/>
      <c r="G502" s="389"/>
      <c r="H502" s="390"/>
      <c r="I502" s="390"/>
      <c r="J502" s="390"/>
      <c r="K502" s="390"/>
      <c r="L502" s="390"/>
      <c r="M502" s="390"/>
      <c r="N502" s="390"/>
      <c r="O502" s="390"/>
      <c r="P502" s="390"/>
      <c r="Q502" s="390"/>
      <c r="R502" s="390"/>
      <c r="S502" s="390"/>
      <c r="T502" s="390"/>
      <c r="U502" s="390"/>
      <c r="V502" s="390"/>
      <c r="W502" s="390"/>
      <c r="X502" s="390"/>
      <c r="Y502" s="390"/>
      <c r="Z502" s="390"/>
      <c r="AA502" s="390"/>
      <c r="AB502" s="390"/>
      <c r="AC502" s="390"/>
      <c r="AD502" s="390"/>
      <c r="AE502" s="390"/>
      <c r="AF502" s="390"/>
      <c r="AG502" s="390"/>
      <c r="AH502" s="390"/>
      <c r="AI502" s="391"/>
      <c r="AK502" s="437"/>
      <c r="AL502" s="437"/>
      <c r="AM502" s="437"/>
      <c r="AN502" s="437"/>
      <c r="AO502" s="437"/>
      <c r="AP502" s="437"/>
      <c r="AQ502" s="437"/>
      <c r="AR502" s="437"/>
      <c r="AS502" s="437"/>
      <c r="AT502" s="437"/>
      <c r="AU502" s="437"/>
      <c r="AV502" s="437"/>
      <c r="AW502" s="437"/>
      <c r="AX502" s="437"/>
      <c r="AY502" s="437"/>
      <c r="AZ502" s="437"/>
      <c r="BA502" s="437"/>
      <c r="BB502" s="437"/>
      <c r="BC502" s="437"/>
      <c r="BD502" s="437"/>
      <c r="BE502" s="437"/>
      <c r="BF502" s="437"/>
      <c r="BG502" s="437"/>
      <c r="BH502" s="437"/>
      <c r="BI502" s="437"/>
      <c r="BJ502" s="437"/>
      <c r="BK502" s="437"/>
      <c r="BL502" s="437"/>
      <c r="BM502" s="393"/>
      <c r="BO502" s="399">
        <f t="shared" si="213"/>
        <v>0</v>
      </c>
      <c r="BP502" s="399">
        <f t="shared" si="214"/>
        <v>0</v>
      </c>
      <c r="BQ502" s="399">
        <f t="shared" si="215"/>
        <v>0</v>
      </c>
      <c r="BR502" s="399">
        <f t="shared" si="216"/>
        <v>0</v>
      </c>
      <c r="BS502" s="399">
        <f t="shared" si="217"/>
        <v>0</v>
      </c>
      <c r="BT502" s="399">
        <f t="shared" si="218"/>
        <v>0</v>
      </c>
      <c r="BU502" s="399">
        <f t="shared" si="219"/>
        <v>0</v>
      </c>
      <c r="BV502" s="399">
        <f t="shared" si="220"/>
        <v>0</v>
      </c>
      <c r="BW502" s="399">
        <f t="shared" si="221"/>
        <v>0</v>
      </c>
      <c r="BX502" s="399">
        <f t="shared" si="222"/>
        <v>0</v>
      </c>
      <c r="BY502" s="399">
        <f t="shared" si="223"/>
        <v>0</v>
      </c>
      <c r="BZ502" s="399">
        <f t="shared" si="224"/>
        <v>0</v>
      </c>
      <c r="CA502" s="399">
        <f t="shared" si="225"/>
        <v>0</v>
      </c>
      <c r="CB502" s="399">
        <f t="shared" si="226"/>
        <v>0</v>
      </c>
      <c r="CC502" s="399">
        <f t="shared" si="227"/>
        <v>0</v>
      </c>
      <c r="CD502" s="399">
        <f t="shared" si="228"/>
        <v>0</v>
      </c>
      <c r="CE502" s="399">
        <f t="shared" si="229"/>
        <v>0</v>
      </c>
      <c r="CF502" s="399">
        <f t="shared" si="230"/>
        <v>0</v>
      </c>
      <c r="CG502" s="399">
        <f t="shared" si="231"/>
        <v>0</v>
      </c>
      <c r="CH502" s="399">
        <f t="shared" si="232"/>
        <v>0</v>
      </c>
      <c r="CI502" s="399">
        <f t="shared" si="233"/>
        <v>0</v>
      </c>
      <c r="CJ502" s="399">
        <f t="shared" si="234"/>
        <v>0</v>
      </c>
      <c r="CK502" s="399">
        <f t="shared" si="235"/>
        <v>0</v>
      </c>
      <c r="CL502" s="399">
        <f t="shared" si="236"/>
        <v>0</v>
      </c>
      <c r="CM502" s="399">
        <f t="shared" si="237"/>
        <v>0</v>
      </c>
      <c r="CN502" s="399">
        <f t="shared" si="238"/>
        <v>0</v>
      </c>
      <c r="CO502" s="399">
        <f t="shared" si="239"/>
        <v>0</v>
      </c>
      <c r="CP502" s="399">
        <f t="shared" si="240"/>
        <v>0</v>
      </c>
      <c r="CQ502" s="423">
        <f t="shared" si="241"/>
        <v>0</v>
      </c>
      <c r="CS502" s="394" t="e">
        <f t="shared" si="242"/>
        <v>#DIV/0!</v>
      </c>
    </row>
    <row r="503" spans="3:97">
      <c r="C503" s="107"/>
      <c r="D503" s="395"/>
      <c r="E503" s="84"/>
      <c r="F503" s="84"/>
      <c r="G503" s="389"/>
      <c r="H503" s="390"/>
      <c r="I503" s="390"/>
      <c r="J503" s="390"/>
      <c r="K503" s="390"/>
      <c r="L503" s="390"/>
      <c r="M503" s="390"/>
      <c r="N503" s="390"/>
      <c r="O503" s="390"/>
      <c r="P503" s="390"/>
      <c r="Q503" s="390"/>
      <c r="R503" s="390"/>
      <c r="S503" s="390"/>
      <c r="T503" s="390"/>
      <c r="U503" s="390"/>
      <c r="V503" s="390"/>
      <c r="W503" s="390"/>
      <c r="X503" s="390"/>
      <c r="Y503" s="390"/>
      <c r="Z503" s="390"/>
      <c r="AA503" s="390"/>
      <c r="AB503" s="390"/>
      <c r="AC503" s="390"/>
      <c r="AD503" s="390"/>
      <c r="AE503" s="390"/>
      <c r="AF503" s="390"/>
      <c r="AG503" s="390"/>
      <c r="AH503" s="390"/>
      <c r="AI503" s="391"/>
      <c r="AK503" s="437"/>
      <c r="AL503" s="437"/>
      <c r="AM503" s="437"/>
      <c r="AN503" s="437"/>
      <c r="AO503" s="437"/>
      <c r="AP503" s="437"/>
      <c r="AQ503" s="437"/>
      <c r="AR503" s="437"/>
      <c r="AS503" s="437"/>
      <c r="AT503" s="437"/>
      <c r="AU503" s="437"/>
      <c r="AV503" s="437"/>
      <c r="AW503" s="437"/>
      <c r="AX503" s="437"/>
      <c r="AY503" s="437"/>
      <c r="AZ503" s="437"/>
      <c r="BA503" s="437"/>
      <c r="BB503" s="437"/>
      <c r="BC503" s="437"/>
      <c r="BD503" s="437"/>
      <c r="BE503" s="437"/>
      <c r="BF503" s="437"/>
      <c r="BG503" s="437"/>
      <c r="BH503" s="437"/>
      <c r="BI503" s="437"/>
      <c r="BJ503" s="437"/>
      <c r="BK503" s="437"/>
      <c r="BL503" s="437"/>
      <c r="BM503" s="393"/>
      <c r="BO503" s="399">
        <f t="shared" si="213"/>
        <v>0</v>
      </c>
      <c r="BP503" s="399">
        <f t="shared" si="214"/>
        <v>0</v>
      </c>
      <c r="BQ503" s="399">
        <f t="shared" si="215"/>
        <v>0</v>
      </c>
      <c r="BR503" s="399">
        <f t="shared" si="216"/>
        <v>0</v>
      </c>
      <c r="BS503" s="399">
        <f t="shared" si="217"/>
        <v>0</v>
      </c>
      <c r="BT503" s="399">
        <f t="shared" si="218"/>
        <v>0</v>
      </c>
      <c r="BU503" s="399">
        <f t="shared" si="219"/>
        <v>0</v>
      </c>
      <c r="BV503" s="399">
        <f t="shared" si="220"/>
        <v>0</v>
      </c>
      <c r="BW503" s="399">
        <f t="shared" si="221"/>
        <v>0</v>
      </c>
      <c r="BX503" s="399">
        <f t="shared" si="222"/>
        <v>0</v>
      </c>
      <c r="BY503" s="399">
        <f t="shared" si="223"/>
        <v>0</v>
      </c>
      <c r="BZ503" s="399">
        <f t="shared" si="224"/>
        <v>0</v>
      </c>
      <c r="CA503" s="399">
        <f t="shared" si="225"/>
        <v>0</v>
      </c>
      <c r="CB503" s="399">
        <f t="shared" si="226"/>
        <v>0</v>
      </c>
      <c r="CC503" s="399">
        <f t="shared" si="227"/>
        <v>0</v>
      </c>
      <c r="CD503" s="399">
        <f t="shared" si="228"/>
        <v>0</v>
      </c>
      <c r="CE503" s="399">
        <f t="shared" si="229"/>
        <v>0</v>
      </c>
      <c r="CF503" s="399">
        <f t="shared" si="230"/>
        <v>0</v>
      </c>
      <c r="CG503" s="399">
        <f t="shared" si="231"/>
        <v>0</v>
      </c>
      <c r="CH503" s="399">
        <f t="shared" si="232"/>
        <v>0</v>
      </c>
      <c r="CI503" s="399">
        <f t="shared" si="233"/>
        <v>0</v>
      </c>
      <c r="CJ503" s="399">
        <f t="shared" si="234"/>
        <v>0</v>
      </c>
      <c r="CK503" s="399">
        <f t="shared" si="235"/>
        <v>0</v>
      </c>
      <c r="CL503" s="399">
        <f t="shared" si="236"/>
        <v>0</v>
      </c>
      <c r="CM503" s="399">
        <f t="shared" si="237"/>
        <v>0</v>
      </c>
      <c r="CN503" s="399">
        <f t="shared" si="238"/>
        <v>0</v>
      </c>
      <c r="CO503" s="399">
        <f t="shared" si="239"/>
        <v>0</v>
      </c>
      <c r="CP503" s="399">
        <f t="shared" si="240"/>
        <v>0</v>
      </c>
      <c r="CQ503" s="423">
        <f t="shared" si="241"/>
        <v>0</v>
      </c>
      <c r="CS503" s="394" t="e">
        <f t="shared" si="242"/>
        <v>#DIV/0!</v>
      </c>
    </row>
    <row r="504" spans="3:97">
      <c r="C504" s="107"/>
      <c r="D504" s="395"/>
      <c r="E504" s="84"/>
      <c r="F504" s="84"/>
      <c r="G504" s="389"/>
      <c r="H504" s="390"/>
      <c r="I504" s="390"/>
      <c r="J504" s="390"/>
      <c r="K504" s="390"/>
      <c r="L504" s="390"/>
      <c r="M504" s="390"/>
      <c r="N504" s="390"/>
      <c r="O504" s="390"/>
      <c r="P504" s="390"/>
      <c r="Q504" s="390"/>
      <c r="R504" s="390"/>
      <c r="S504" s="390"/>
      <c r="T504" s="390"/>
      <c r="U504" s="390"/>
      <c r="V504" s="390"/>
      <c r="W504" s="390"/>
      <c r="X504" s="390"/>
      <c r="Y504" s="390"/>
      <c r="Z504" s="390"/>
      <c r="AA504" s="390"/>
      <c r="AB504" s="390"/>
      <c r="AC504" s="390"/>
      <c r="AD504" s="390"/>
      <c r="AE504" s="390"/>
      <c r="AF504" s="390"/>
      <c r="AG504" s="390"/>
      <c r="AH504" s="390"/>
      <c r="AI504" s="391"/>
      <c r="AK504" s="437"/>
      <c r="AL504" s="437"/>
      <c r="AM504" s="437"/>
      <c r="AN504" s="437"/>
      <c r="AO504" s="437"/>
      <c r="AP504" s="437"/>
      <c r="AQ504" s="437"/>
      <c r="AR504" s="437"/>
      <c r="AS504" s="437"/>
      <c r="AT504" s="437"/>
      <c r="AU504" s="437"/>
      <c r="AV504" s="437"/>
      <c r="AW504" s="437"/>
      <c r="AX504" s="437"/>
      <c r="AY504" s="437"/>
      <c r="AZ504" s="437"/>
      <c r="BA504" s="437"/>
      <c r="BB504" s="437"/>
      <c r="BC504" s="437"/>
      <c r="BD504" s="437"/>
      <c r="BE504" s="437"/>
      <c r="BF504" s="437"/>
      <c r="BG504" s="437"/>
      <c r="BH504" s="437"/>
      <c r="BI504" s="437"/>
      <c r="BJ504" s="437"/>
      <c r="BK504" s="437"/>
      <c r="BL504" s="437"/>
      <c r="BM504" s="393"/>
      <c r="BO504" s="399">
        <f t="shared" si="213"/>
        <v>0</v>
      </c>
      <c r="BP504" s="399">
        <f t="shared" si="214"/>
        <v>0</v>
      </c>
      <c r="BQ504" s="399">
        <f t="shared" si="215"/>
        <v>0</v>
      </c>
      <c r="BR504" s="399">
        <f t="shared" si="216"/>
        <v>0</v>
      </c>
      <c r="BS504" s="399">
        <f t="shared" si="217"/>
        <v>0</v>
      </c>
      <c r="BT504" s="399">
        <f t="shared" si="218"/>
        <v>0</v>
      </c>
      <c r="BU504" s="399">
        <f t="shared" si="219"/>
        <v>0</v>
      </c>
      <c r="BV504" s="399">
        <f t="shared" si="220"/>
        <v>0</v>
      </c>
      <c r="BW504" s="399">
        <f t="shared" si="221"/>
        <v>0</v>
      </c>
      <c r="BX504" s="399">
        <f t="shared" si="222"/>
        <v>0</v>
      </c>
      <c r="BY504" s="399">
        <f t="shared" si="223"/>
        <v>0</v>
      </c>
      <c r="BZ504" s="399">
        <f t="shared" si="224"/>
        <v>0</v>
      </c>
      <c r="CA504" s="399">
        <f t="shared" si="225"/>
        <v>0</v>
      </c>
      <c r="CB504" s="399">
        <f t="shared" si="226"/>
        <v>0</v>
      </c>
      <c r="CC504" s="399">
        <f t="shared" si="227"/>
        <v>0</v>
      </c>
      <c r="CD504" s="399">
        <f t="shared" si="228"/>
        <v>0</v>
      </c>
      <c r="CE504" s="399">
        <f t="shared" si="229"/>
        <v>0</v>
      </c>
      <c r="CF504" s="399">
        <f t="shared" si="230"/>
        <v>0</v>
      </c>
      <c r="CG504" s="399">
        <f t="shared" si="231"/>
        <v>0</v>
      </c>
      <c r="CH504" s="399">
        <f t="shared" si="232"/>
        <v>0</v>
      </c>
      <c r="CI504" s="399">
        <f t="shared" si="233"/>
        <v>0</v>
      </c>
      <c r="CJ504" s="399">
        <f t="shared" si="234"/>
        <v>0</v>
      </c>
      <c r="CK504" s="399">
        <f t="shared" si="235"/>
        <v>0</v>
      </c>
      <c r="CL504" s="399">
        <f t="shared" si="236"/>
        <v>0</v>
      </c>
      <c r="CM504" s="399">
        <f t="shared" si="237"/>
        <v>0</v>
      </c>
      <c r="CN504" s="399">
        <f t="shared" si="238"/>
        <v>0</v>
      </c>
      <c r="CO504" s="399">
        <f t="shared" si="239"/>
        <v>0</v>
      </c>
      <c r="CP504" s="399">
        <f t="shared" si="240"/>
        <v>0</v>
      </c>
      <c r="CQ504" s="423">
        <f t="shared" si="241"/>
        <v>0</v>
      </c>
      <c r="CS504" s="394" t="e">
        <f t="shared" si="242"/>
        <v>#DIV/0!</v>
      </c>
    </row>
    <row r="505" spans="3:97">
      <c r="C505" s="107"/>
      <c r="D505" s="395"/>
      <c r="E505" s="84"/>
      <c r="F505" s="84"/>
      <c r="G505" s="389"/>
      <c r="H505" s="390"/>
      <c r="I505" s="390"/>
      <c r="J505" s="390"/>
      <c r="K505" s="390"/>
      <c r="L505" s="390"/>
      <c r="M505" s="390"/>
      <c r="N505" s="390"/>
      <c r="O505" s="390"/>
      <c r="P505" s="390"/>
      <c r="Q505" s="390"/>
      <c r="R505" s="390"/>
      <c r="S505" s="390"/>
      <c r="T505" s="390"/>
      <c r="U505" s="390"/>
      <c r="V505" s="390"/>
      <c r="W505" s="390"/>
      <c r="X505" s="390"/>
      <c r="Y505" s="390"/>
      <c r="Z505" s="390"/>
      <c r="AA505" s="390"/>
      <c r="AB505" s="390"/>
      <c r="AC505" s="390"/>
      <c r="AD505" s="390"/>
      <c r="AE505" s="390"/>
      <c r="AF505" s="390"/>
      <c r="AG505" s="390"/>
      <c r="AH505" s="390"/>
      <c r="AI505" s="391"/>
      <c r="AK505" s="437"/>
      <c r="AL505" s="437"/>
      <c r="AM505" s="437"/>
      <c r="AN505" s="437"/>
      <c r="AO505" s="437"/>
      <c r="AP505" s="437"/>
      <c r="AQ505" s="437"/>
      <c r="AR505" s="437"/>
      <c r="AS505" s="437"/>
      <c r="AT505" s="437"/>
      <c r="AU505" s="437"/>
      <c r="AV505" s="437"/>
      <c r="AW505" s="437"/>
      <c r="AX505" s="437"/>
      <c r="AY505" s="437"/>
      <c r="AZ505" s="437"/>
      <c r="BA505" s="437"/>
      <c r="BB505" s="437"/>
      <c r="BC505" s="437"/>
      <c r="BD505" s="437"/>
      <c r="BE505" s="437"/>
      <c r="BF505" s="437"/>
      <c r="BG505" s="437"/>
      <c r="BH505" s="437"/>
      <c r="BI505" s="437"/>
      <c r="BJ505" s="437"/>
      <c r="BK505" s="437"/>
      <c r="BL505" s="437"/>
      <c r="BM505" s="393"/>
      <c r="BO505" s="399">
        <f t="shared" si="213"/>
        <v>0</v>
      </c>
      <c r="BP505" s="399">
        <f t="shared" si="214"/>
        <v>0</v>
      </c>
      <c r="BQ505" s="399">
        <f t="shared" si="215"/>
        <v>0</v>
      </c>
      <c r="BR505" s="399">
        <f t="shared" si="216"/>
        <v>0</v>
      </c>
      <c r="BS505" s="399">
        <f t="shared" si="217"/>
        <v>0</v>
      </c>
      <c r="BT505" s="399">
        <f t="shared" si="218"/>
        <v>0</v>
      </c>
      <c r="BU505" s="399">
        <f t="shared" si="219"/>
        <v>0</v>
      </c>
      <c r="BV505" s="399">
        <f t="shared" si="220"/>
        <v>0</v>
      </c>
      <c r="BW505" s="399">
        <f t="shared" si="221"/>
        <v>0</v>
      </c>
      <c r="BX505" s="399">
        <f t="shared" si="222"/>
        <v>0</v>
      </c>
      <c r="BY505" s="399">
        <f t="shared" si="223"/>
        <v>0</v>
      </c>
      <c r="BZ505" s="399">
        <f t="shared" si="224"/>
        <v>0</v>
      </c>
      <c r="CA505" s="399">
        <f t="shared" si="225"/>
        <v>0</v>
      </c>
      <c r="CB505" s="399">
        <f t="shared" si="226"/>
        <v>0</v>
      </c>
      <c r="CC505" s="399">
        <f t="shared" si="227"/>
        <v>0</v>
      </c>
      <c r="CD505" s="399">
        <f t="shared" si="228"/>
        <v>0</v>
      </c>
      <c r="CE505" s="399">
        <f t="shared" si="229"/>
        <v>0</v>
      </c>
      <c r="CF505" s="399">
        <f t="shared" si="230"/>
        <v>0</v>
      </c>
      <c r="CG505" s="399">
        <f t="shared" si="231"/>
        <v>0</v>
      </c>
      <c r="CH505" s="399">
        <f t="shared" si="232"/>
        <v>0</v>
      </c>
      <c r="CI505" s="399">
        <f t="shared" si="233"/>
        <v>0</v>
      </c>
      <c r="CJ505" s="399">
        <f t="shared" si="234"/>
        <v>0</v>
      </c>
      <c r="CK505" s="399">
        <f t="shared" si="235"/>
        <v>0</v>
      </c>
      <c r="CL505" s="399">
        <f t="shared" si="236"/>
        <v>0</v>
      </c>
      <c r="CM505" s="399">
        <f t="shared" si="237"/>
        <v>0</v>
      </c>
      <c r="CN505" s="399">
        <f t="shared" si="238"/>
        <v>0</v>
      </c>
      <c r="CO505" s="399">
        <f t="shared" si="239"/>
        <v>0</v>
      </c>
      <c r="CP505" s="399">
        <f t="shared" si="240"/>
        <v>0</v>
      </c>
      <c r="CQ505" s="423">
        <f t="shared" si="241"/>
        <v>0</v>
      </c>
      <c r="CS505" s="394" t="e">
        <f t="shared" si="242"/>
        <v>#DIV/0!</v>
      </c>
    </row>
    <row r="506" spans="3:97">
      <c r="C506" s="107"/>
      <c r="D506" s="395"/>
      <c r="E506" s="84"/>
      <c r="F506" s="84"/>
      <c r="G506" s="389"/>
      <c r="H506" s="390"/>
      <c r="I506" s="390"/>
      <c r="J506" s="390"/>
      <c r="K506" s="390"/>
      <c r="L506" s="390"/>
      <c r="M506" s="390"/>
      <c r="N506" s="390"/>
      <c r="O506" s="390"/>
      <c r="P506" s="390"/>
      <c r="Q506" s="390"/>
      <c r="R506" s="390"/>
      <c r="S506" s="390"/>
      <c r="T506" s="390"/>
      <c r="U506" s="390"/>
      <c r="V506" s="390"/>
      <c r="W506" s="390"/>
      <c r="X506" s="390"/>
      <c r="Y506" s="390"/>
      <c r="Z506" s="390"/>
      <c r="AA506" s="390"/>
      <c r="AB506" s="390"/>
      <c r="AC506" s="390"/>
      <c r="AD506" s="390"/>
      <c r="AE506" s="390"/>
      <c r="AF506" s="390"/>
      <c r="AG506" s="390"/>
      <c r="AH506" s="390"/>
      <c r="AI506" s="391"/>
      <c r="AK506" s="437"/>
      <c r="AL506" s="437"/>
      <c r="AM506" s="437"/>
      <c r="AN506" s="437"/>
      <c r="AO506" s="437"/>
      <c r="AP506" s="437"/>
      <c r="AQ506" s="437"/>
      <c r="AR506" s="437"/>
      <c r="AS506" s="437"/>
      <c r="AT506" s="437"/>
      <c r="AU506" s="437"/>
      <c r="AV506" s="437"/>
      <c r="AW506" s="437"/>
      <c r="AX506" s="437"/>
      <c r="AY506" s="437"/>
      <c r="AZ506" s="437"/>
      <c r="BA506" s="437"/>
      <c r="BB506" s="437"/>
      <c r="BC506" s="437"/>
      <c r="BD506" s="437"/>
      <c r="BE506" s="437"/>
      <c r="BF506" s="437"/>
      <c r="BG506" s="437"/>
      <c r="BH506" s="437"/>
      <c r="BI506" s="437"/>
      <c r="BJ506" s="437"/>
      <c r="BK506" s="437"/>
      <c r="BL506" s="437"/>
      <c r="BM506" s="393"/>
      <c r="BO506" s="399">
        <f t="shared" si="213"/>
        <v>0</v>
      </c>
      <c r="BP506" s="399">
        <f t="shared" si="214"/>
        <v>0</v>
      </c>
      <c r="BQ506" s="399">
        <f t="shared" si="215"/>
        <v>0</v>
      </c>
      <c r="BR506" s="399">
        <f t="shared" si="216"/>
        <v>0</v>
      </c>
      <c r="BS506" s="399">
        <f t="shared" si="217"/>
        <v>0</v>
      </c>
      <c r="BT506" s="399">
        <f t="shared" si="218"/>
        <v>0</v>
      </c>
      <c r="BU506" s="399">
        <f t="shared" si="219"/>
        <v>0</v>
      </c>
      <c r="BV506" s="399">
        <f t="shared" si="220"/>
        <v>0</v>
      </c>
      <c r="BW506" s="399">
        <f t="shared" si="221"/>
        <v>0</v>
      </c>
      <c r="BX506" s="399">
        <f t="shared" si="222"/>
        <v>0</v>
      </c>
      <c r="BY506" s="399">
        <f t="shared" si="223"/>
        <v>0</v>
      </c>
      <c r="BZ506" s="399">
        <f t="shared" si="224"/>
        <v>0</v>
      </c>
      <c r="CA506" s="399">
        <f t="shared" si="225"/>
        <v>0</v>
      </c>
      <c r="CB506" s="399">
        <f t="shared" si="226"/>
        <v>0</v>
      </c>
      <c r="CC506" s="399">
        <f t="shared" si="227"/>
        <v>0</v>
      </c>
      <c r="CD506" s="399">
        <f t="shared" si="228"/>
        <v>0</v>
      </c>
      <c r="CE506" s="399">
        <f t="shared" si="229"/>
        <v>0</v>
      </c>
      <c r="CF506" s="399">
        <f t="shared" si="230"/>
        <v>0</v>
      </c>
      <c r="CG506" s="399">
        <f t="shared" si="231"/>
        <v>0</v>
      </c>
      <c r="CH506" s="399">
        <f t="shared" si="232"/>
        <v>0</v>
      </c>
      <c r="CI506" s="399">
        <f t="shared" si="233"/>
        <v>0</v>
      </c>
      <c r="CJ506" s="399">
        <f t="shared" si="234"/>
        <v>0</v>
      </c>
      <c r="CK506" s="399">
        <f t="shared" si="235"/>
        <v>0</v>
      </c>
      <c r="CL506" s="399">
        <f t="shared" si="236"/>
        <v>0</v>
      </c>
      <c r="CM506" s="399">
        <f t="shared" si="237"/>
        <v>0</v>
      </c>
      <c r="CN506" s="399">
        <f t="shared" si="238"/>
        <v>0</v>
      </c>
      <c r="CO506" s="399">
        <f t="shared" si="239"/>
        <v>0</v>
      </c>
      <c r="CP506" s="399">
        <f t="shared" si="240"/>
        <v>0</v>
      </c>
      <c r="CQ506" s="423">
        <f t="shared" si="241"/>
        <v>0</v>
      </c>
      <c r="CS506" s="394" t="e">
        <f t="shared" si="242"/>
        <v>#DIV/0!</v>
      </c>
    </row>
    <row r="507" spans="3:97">
      <c r="C507" s="107"/>
      <c r="D507" s="395"/>
      <c r="E507" s="84"/>
      <c r="F507" s="84"/>
      <c r="G507" s="389"/>
      <c r="H507" s="390"/>
      <c r="I507" s="390"/>
      <c r="J507" s="390"/>
      <c r="K507" s="390"/>
      <c r="L507" s="390"/>
      <c r="M507" s="390"/>
      <c r="N507" s="390"/>
      <c r="O507" s="390"/>
      <c r="P507" s="390"/>
      <c r="Q507" s="390"/>
      <c r="R507" s="390"/>
      <c r="S507" s="390"/>
      <c r="T507" s="390"/>
      <c r="U507" s="390"/>
      <c r="V507" s="390"/>
      <c r="W507" s="390"/>
      <c r="X507" s="390"/>
      <c r="Y507" s="390"/>
      <c r="Z507" s="390"/>
      <c r="AA507" s="390"/>
      <c r="AB507" s="390"/>
      <c r="AC507" s="390"/>
      <c r="AD507" s="390"/>
      <c r="AE507" s="390"/>
      <c r="AF507" s="390"/>
      <c r="AG507" s="390"/>
      <c r="AH507" s="390"/>
      <c r="AI507" s="391"/>
      <c r="AK507" s="437"/>
      <c r="AL507" s="437"/>
      <c r="AM507" s="437"/>
      <c r="AN507" s="437"/>
      <c r="AO507" s="437"/>
      <c r="AP507" s="437"/>
      <c r="AQ507" s="437"/>
      <c r="AR507" s="437"/>
      <c r="AS507" s="437"/>
      <c r="AT507" s="437"/>
      <c r="AU507" s="437"/>
      <c r="AV507" s="437"/>
      <c r="AW507" s="437"/>
      <c r="AX507" s="437"/>
      <c r="AY507" s="437"/>
      <c r="AZ507" s="437"/>
      <c r="BA507" s="437"/>
      <c r="BB507" s="437"/>
      <c r="BC507" s="437"/>
      <c r="BD507" s="437"/>
      <c r="BE507" s="437"/>
      <c r="BF507" s="437"/>
      <c r="BG507" s="437"/>
      <c r="BH507" s="437"/>
      <c r="BI507" s="437"/>
      <c r="BJ507" s="437"/>
      <c r="BK507" s="437"/>
      <c r="BL507" s="437"/>
      <c r="BM507" s="393"/>
      <c r="BO507" s="399">
        <f t="shared" si="213"/>
        <v>0</v>
      </c>
      <c r="BP507" s="399">
        <f t="shared" si="214"/>
        <v>0</v>
      </c>
      <c r="BQ507" s="399">
        <f t="shared" si="215"/>
        <v>0</v>
      </c>
      <c r="BR507" s="399">
        <f t="shared" si="216"/>
        <v>0</v>
      </c>
      <c r="BS507" s="399">
        <f t="shared" si="217"/>
        <v>0</v>
      </c>
      <c r="BT507" s="399">
        <f t="shared" si="218"/>
        <v>0</v>
      </c>
      <c r="BU507" s="399">
        <f t="shared" si="219"/>
        <v>0</v>
      </c>
      <c r="BV507" s="399">
        <f t="shared" si="220"/>
        <v>0</v>
      </c>
      <c r="BW507" s="399">
        <f t="shared" si="221"/>
        <v>0</v>
      </c>
      <c r="BX507" s="399">
        <f t="shared" si="222"/>
        <v>0</v>
      </c>
      <c r="BY507" s="399">
        <f t="shared" si="223"/>
        <v>0</v>
      </c>
      <c r="BZ507" s="399">
        <f t="shared" si="224"/>
        <v>0</v>
      </c>
      <c r="CA507" s="399">
        <f t="shared" si="225"/>
        <v>0</v>
      </c>
      <c r="CB507" s="399">
        <f t="shared" si="226"/>
        <v>0</v>
      </c>
      <c r="CC507" s="399">
        <f t="shared" si="227"/>
        <v>0</v>
      </c>
      <c r="CD507" s="399">
        <f t="shared" si="228"/>
        <v>0</v>
      </c>
      <c r="CE507" s="399">
        <f t="shared" si="229"/>
        <v>0</v>
      </c>
      <c r="CF507" s="399">
        <f t="shared" si="230"/>
        <v>0</v>
      </c>
      <c r="CG507" s="399">
        <f t="shared" si="231"/>
        <v>0</v>
      </c>
      <c r="CH507" s="399">
        <f t="shared" si="232"/>
        <v>0</v>
      </c>
      <c r="CI507" s="399">
        <f t="shared" si="233"/>
        <v>0</v>
      </c>
      <c r="CJ507" s="399">
        <f t="shared" si="234"/>
        <v>0</v>
      </c>
      <c r="CK507" s="399">
        <f t="shared" si="235"/>
        <v>0</v>
      </c>
      <c r="CL507" s="399">
        <f t="shared" si="236"/>
        <v>0</v>
      </c>
      <c r="CM507" s="399">
        <f t="shared" si="237"/>
        <v>0</v>
      </c>
      <c r="CN507" s="399">
        <f t="shared" si="238"/>
        <v>0</v>
      </c>
      <c r="CO507" s="399">
        <f t="shared" si="239"/>
        <v>0</v>
      </c>
      <c r="CP507" s="399">
        <f t="shared" si="240"/>
        <v>0</v>
      </c>
      <c r="CQ507" s="423">
        <f t="shared" si="241"/>
        <v>0</v>
      </c>
      <c r="CS507" s="394" t="e">
        <f t="shared" si="242"/>
        <v>#DIV/0!</v>
      </c>
    </row>
    <row r="508" spans="3:97">
      <c r="C508" s="107"/>
      <c r="D508" s="395"/>
      <c r="E508" s="84"/>
      <c r="F508" s="84"/>
      <c r="G508" s="389"/>
      <c r="H508" s="390"/>
      <c r="I508" s="390"/>
      <c r="J508" s="390"/>
      <c r="K508" s="390"/>
      <c r="L508" s="390"/>
      <c r="M508" s="390"/>
      <c r="N508" s="390"/>
      <c r="O508" s="390"/>
      <c r="P508" s="390"/>
      <c r="Q508" s="390"/>
      <c r="R508" s="390"/>
      <c r="S508" s="390"/>
      <c r="T508" s="390"/>
      <c r="U508" s="390"/>
      <c r="V508" s="390"/>
      <c r="W508" s="390"/>
      <c r="X508" s="390"/>
      <c r="Y508" s="390"/>
      <c r="Z508" s="390"/>
      <c r="AA508" s="390"/>
      <c r="AB508" s="390"/>
      <c r="AC508" s="390"/>
      <c r="AD508" s="390"/>
      <c r="AE508" s="390"/>
      <c r="AF508" s="390"/>
      <c r="AG508" s="390"/>
      <c r="AH508" s="390"/>
      <c r="AI508" s="391"/>
      <c r="AK508" s="437"/>
      <c r="AL508" s="437"/>
      <c r="AM508" s="437"/>
      <c r="AN508" s="437"/>
      <c r="AO508" s="437"/>
      <c r="AP508" s="437"/>
      <c r="AQ508" s="437"/>
      <c r="AR508" s="437"/>
      <c r="AS508" s="437"/>
      <c r="AT508" s="437"/>
      <c r="AU508" s="437"/>
      <c r="AV508" s="437"/>
      <c r="AW508" s="437"/>
      <c r="AX508" s="437"/>
      <c r="AY508" s="437"/>
      <c r="AZ508" s="437"/>
      <c r="BA508" s="437"/>
      <c r="BB508" s="437"/>
      <c r="BC508" s="437"/>
      <c r="BD508" s="437"/>
      <c r="BE508" s="437"/>
      <c r="BF508" s="437"/>
      <c r="BG508" s="437"/>
      <c r="BH508" s="437"/>
      <c r="BI508" s="437"/>
      <c r="BJ508" s="437"/>
      <c r="BK508" s="437"/>
      <c r="BL508" s="437"/>
      <c r="BM508" s="393"/>
      <c r="BO508" s="399">
        <f t="shared" si="213"/>
        <v>0</v>
      </c>
      <c r="BP508" s="399">
        <f t="shared" si="214"/>
        <v>0</v>
      </c>
      <c r="BQ508" s="399">
        <f t="shared" si="215"/>
        <v>0</v>
      </c>
      <c r="BR508" s="399">
        <f t="shared" si="216"/>
        <v>0</v>
      </c>
      <c r="BS508" s="399">
        <f t="shared" si="217"/>
        <v>0</v>
      </c>
      <c r="BT508" s="399">
        <f t="shared" si="218"/>
        <v>0</v>
      </c>
      <c r="BU508" s="399">
        <f t="shared" si="219"/>
        <v>0</v>
      </c>
      <c r="BV508" s="399">
        <f t="shared" si="220"/>
        <v>0</v>
      </c>
      <c r="BW508" s="399">
        <f t="shared" si="221"/>
        <v>0</v>
      </c>
      <c r="BX508" s="399">
        <f t="shared" si="222"/>
        <v>0</v>
      </c>
      <c r="BY508" s="399">
        <f t="shared" si="223"/>
        <v>0</v>
      </c>
      <c r="BZ508" s="399">
        <f t="shared" si="224"/>
        <v>0</v>
      </c>
      <c r="CA508" s="399">
        <f t="shared" si="225"/>
        <v>0</v>
      </c>
      <c r="CB508" s="399">
        <f t="shared" si="226"/>
        <v>0</v>
      </c>
      <c r="CC508" s="399">
        <f t="shared" si="227"/>
        <v>0</v>
      </c>
      <c r="CD508" s="399">
        <f t="shared" si="228"/>
        <v>0</v>
      </c>
      <c r="CE508" s="399">
        <f t="shared" si="229"/>
        <v>0</v>
      </c>
      <c r="CF508" s="399">
        <f t="shared" si="230"/>
        <v>0</v>
      </c>
      <c r="CG508" s="399">
        <f t="shared" si="231"/>
        <v>0</v>
      </c>
      <c r="CH508" s="399">
        <f t="shared" si="232"/>
        <v>0</v>
      </c>
      <c r="CI508" s="399">
        <f t="shared" si="233"/>
        <v>0</v>
      </c>
      <c r="CJ508" s="399">
        <f t="shared" si="234"/>
        <v>0</v>
      </c>
      <c r="CK508" s="399">
        <f t="shared" si="235"/>
        <v>0</v>
      </c>
      <c r="CL508" s="399">
        <f t="shared" si="236"/>
        <v>0</v>
      </c>
      <c r="CM508" s="399">
        <f t="shared" si="237"/>
        <v>0</v>
      </c>
      <c r="CN508" s="399">
        <f t="shared" si="238"/>
        <v>0</v>
      </c>
      <c r="CO508" s="399">
        <f t="shared" si="239"/>
        <v>0</v>
      </c>
      <c r="CP508" s="399">
        <f t="shared" si="240"/>
        <v>0</v>
      </c>
      <c r="CQ508" s="423">
        <f t="shared" si="241"/>
        <v>0</v>
      </c>
      <c r="CS508" s="394" t="e">
        <f t="shared" si="242"/>
        <v>#DIV/0!</v>
      </c>
    </row>
    <row r="509" spans="3:97">
      <c r="C509" s="107"/>
      <c r="D509" s="395"/>
      <c r="E509" s="84"/>
      <c r="F509" s="84"/>
      <c r="G509" s="389"/>
      <c r="H509" s="390"/>
      <c r="I509" s="390"/>
      <c r="J509" s="390"/>
      <c r="K509" s="390"/>
      <c r="L509" s="390"/>
      <c r="M509" s="390"/>
      <c r="N509" s="390"/>
      <c r="O509" s="390"/>
      <c r="P509" s="390"/>
      <c r="Q509" s="390"/>
      <c r="R509" s="390"/>
      <c r="S509" s="390"/>
      <c r="T509" s="390"/>
      <c r="U509" s="390"/>
      <c r="V509" s="390"/>
      <c r="W509" s="390"/>
      <c r="X509" s="390"/>
      <c r="Y509" s="390"/>
      <c r="Z509" s="390"/>
      <c r="AA509" s="390"/>
      <c r="AB509" s="390"/>
      <c r="AC509" s="390"/>
      <c r="AD509" s="390"/>
      <c r="AE509" s="390"/>
      <c r="AF509" s="390"/>
      <c r="AG509" s="390"/>
      <c r="AH509" s="390"/>
      <c r="AI509" s="391"/>
      <c r="AK509" s="437"/>
      <c r="AL509" s="437"/>
      <c r="AM509" s="437"/>
      <c r="AN509" s="437"/>
      <c r="AO509" s="437"/>
      <c r="AP509" s="437"/>
      <c r="AQ509" s="437"/>
      <c r="AR509" s="437"/>
      <c r="AS509" s="437"/>
      <c r="AT509" s="437"/>
      <c r="AU509" s="437"/>
      <c r="AV509" s="437"/>
      <c r="AW509" s="437"/>
      <c r="AX509" s="437"/>
      <c r="AY509" s="437"/>
      <c r="AZ509" s="437"/>
      <c r="BA509" s="437"/>
      <c r="BB509" s="437"/>
      <c r="BC509" s="437"/>
      <c r="BD509" s="437"/>
      <c r="BE509" s="437"/>
      <c r="BF509" s="437"/>
      <c r="BG509" s="437"/>
      <c r="BH509" s="437"/>
      <c r="BI509" s="437"/>
      <c r="BJ509" s="437"/>
      <c r="BK509" s="437"/>
      <c r="BL509" s="437"/>
      <c r="BM509" s="393"/>
      <c r="BO509" s="399">
        <f t="shared" si="213"/>
        <v>0</v>
      </c>
      <c r="BP509" s="399">
        <f t="shared" si="214"/>
        <v>0</v>
      </c>
      <c r="BQ509" s="399">
        <f t="shared" si="215"/>
        <v>0</v>
      </c>
      <c r="BR509" s="399">
        <f t="shared" si="216"/>
        <v>0</v>
      </c>
      <c r="BS509" s="399">
        <f t="shared" si="217"/>
        <v>0</v>
      </c>
      <c r="BT509" s="399">
        <f t="shared" si="218"/>
        <v>0</v>
      </c>
      <c r="BU509" s="399">
        <f t="shared" si="219"/>
        <v>0</v>
      </c>
      <c r="BV509" s="399">
        <f t="shared" si="220"/>
        <v>0</v>
      </c>
      <c r="BW509" s="399">
        <f t="shared" si="221"/>
        <v>0</v>
      </c>
      <c r="BX509" s="399">
        <f t="shared" si="222"/>
        <v>0</v>
      </c>
      <c r="BY509" s="399">
        <f t="shared" si="223"/>
        <v>0</v>
      </c>
      <c r="BZ509" s="399">
        <f t="shared" si="224"/>
        <v>0</v>
      </c>
      <c r="CA509" s="399">
        <f t="shared" si="225"/>
        <v>0</v>
      </c>
      <c r="CB509" s="399">
        <f t="shared" si="226"/>
        <v>0</v>
      </c>
      <c r="CC509" s="399">
        <f t="shared" si="227"/>
        <v>0</v>
      </c>
      <c r="CD509" s="399">
        <f t="shared" si="228"/>
        <v>0</v>
      </c>
      <c r="CE509" s="399">
        <f t="shared" si="229"/>
        <v>0</v>
      </c>
      <c r="CF509" s="399">
        <f t="shared" si="230"/>
        <v>0</v>
      </c>
      <c r="CG509" s="399">
        <f t="shared" si="231"/>
        <v>0</v>
      </c>
      <c r="CH509" s="399">
        <f t="shared" si="232"/>
        <v>0</v>
      </c>
      <c r="CI509" s="399">
        <f t="shared" si="233"/>
        <v>0</v>
      </c>
      <c r="CJ509" s="399">
        <f t="shared" si="234"/>
        <v>0</v>
      </c>
      <c r="CK509" s="399">
        <f t="shared" si="235"/>
        <v>0</v>
      </c>
      <c r="CL509" s="399">
        <f t="shared" si="236"/>
        <v>0</v>
      </c>
      <c r="CM509" s="399">
        <f t="shared" si="237"/>
        <v>0</v>
      </c>
      <c r="CN509" s="399">
        <f t="shared" si="238"/>
        <v>0</v>
      </c>
      <c r="CO509" s="399">
        <f t="shared" si="239"/>
        <v>0</v>
      </c>
      <c r="CP509" s="399">
        <f t="shared" si="240"/>
        <v>0</v>
      </c>
      <c r="CQ509" s="423">
        <f t="shared" si="241"/>
        <v>0</v>
      </c>
      <c r="CS509" s="394" t="e">
        <f t="shared" si="242"/>
        <v>#DIV/0!</v>
      </c>
    </row>
    <row r="510" spans="3:97">
      <c r="C510" s="107"/>
      <c r="D510" s="395"/>
      <c r="E510" s="84"/>
      <c r="F510" s="84"/>
      <c r="G510" s="389"/>
      <c r="H510" s="390"/>
      <c r="I510" s="390"/>
      <c r="J510" s="390"/>
      <c r="K510" s="390"/>
      <c r="L510" s="390"/>
      <c r="M510" s="390"/>
      <c r="N510" s="390"/>
      <c r="O510" s="390"/>
      <c r="P510" s="390"/>
      <c r="Q510" s="390"/>
      <c r="R510" s="390"/>
      <c r="S510" s="390"/>
      <c r="T510" s="390"/>
      <c r="U510" s="390"/>
      <c r="V510" s="390"/>
      <c r="W510" s="390"/>
      <c r="X510" s="390"/>
      <c r="Y510" s="390"/>
      <c r="Z510" s="390"/>
      <c r="AA510" s="390"/>
      <c r="AB510" s="390"/>
      <c r="AC510" s="390"/>
      <c r="AD510" s="390"/>
      <c r="AE510" s="390"/>
      <c r="AF510" s="390"/>
      <c r="AG510" s="390"/>
      <c r="AH510" s="390"/>
      <c r="AI510" s="391"/>
      <c r="AK510" s="437"/>
      <c r="AL510" s="437"/>
      <c r="AM510" s="437"/>
      <c r="AN510" s="437"/>
      <c r="AO510" s="437"/>
      <c r="AP510" s="437"/>
      <c r="AQ510" s="437"/>
      <c r="AR510" s="437"/>
      <c r="AS510" s="437"/>
      <c r="AT510" s="437"/>
      <c r="AU510" s="437"/>
      <c r="AV510" s="437"/>
      <c r="AW510" s="437"/>
      <c r="AX510" s="437"/>
      <c r="AY510" s="437"/>
      <c r="AZ510" s="437"/>
      <c r="BA510" s="437"/>
      <c r="BB510" s="437"/>
      <c r="BC510" s="437"/>
      <c r="BD510" s="437"/>
      <c r="BE510" s="437"/>
      <c r="BF510" s="437"/>
      <c r="BG510" s="437"/>
      <c r="BH510" s="437"/>
      <c r="BI510" s="437"/>
      <c r="BJ510" s="437"/>
      <c r="BK510" s="437"/>
      <c r="BL510" s="437"/>
      <c r="BM510" s="393"/>
      <c r="BO510" s="399">
        <f t="shared" si="213"/>
        <v>0</v>
      </c>
      <c r="BP510" s="399">
        <f t="shared" si="214"/>
        <v>0</v>
      </c>
      <c r="BQ510" s="399">
        <f t="shared" si="215"/>
        <v>0</v>
      </c>
      <c r="BR510" s="399">
        <f t="shared" si="216"/>
        <v>0</v>
      </c>
      <c r="BS510" s="399">
        <f t="shared" si="217"/>
        <v>0</v>
      </c>
      <c r="BT510" s="399">
        <f t="shared" si="218"/>
        <v>0</v>
      </c>
      <c r="BU510" s="399">
        <f t="shared" si="219"/>
        <v>0</v>
      </c>
      <c r="BV510" s="399">
        <f t="shared" si="220"/>
        <v>0</v>
      </c>
      <c r="BW510" s="399">
        <f t="shared" si="221"/>
        <v>0</v>
      </c>
      <c r="BX510" s="399">
        <f t="shared" si="222"/>
        <v>0</v>
      </c>
      <c r="BY510" s="399">
        <f t="shared" si="223"/>
        <v>0</v>
      </c>
      <c r="BZ510" s="399">
        <f t="shared" si="224"/>
        <v>0</v>
      </c>
      <c r="CA510" s="399">
        <f t="shared" si="225"/>
        <v>0</v>
      </c>
      <c r="CB510" s="399">
        <f t="shared" si="226"/>
        <v>0</v>
      </c>
      <c r="CC510" s="399">
        <f t="shared" si="227"/>
        <v>0</v>
      </c>
      <c r="CD510" s="399">
        <f t="shared" si="228"/>
        <v>0</v>
      </c>
      <c r="CE510" s="399">
        <f t="shared" si="229"/>
        <v>0</v>
      </c>
      <c r="CF510" s="399">
        <f t="shared" si="230"/>
        <v>0</v>
      </c>
      <c r="CG510" s="399">
        <f t="shared" si="231"/>
        <v>0</v>
      </c>
      <c r="CH510" s="399">
        <f t="shared" si="232"/>
        <v>0</v>
      </c>
      <c r="CI510" s="399">
        <f t="shared" si="233"/>
        <v>0</v>
      </c>
      <c r="CJ510" s="399">
        <f t="shared" si="234"/>
        <v>0</v>
      </c>
      <c r="CK510" s="399">
        <f t="shared" si="235"/>
        <v>0</v>
      </c>
      <c r="CL510" s="399">
        <f t="shared" si="236"/>
        <v>0</v>
      </c>
      <c r="CM510" s="399">
        <f t="shared" si="237"/>
        <v>0</v>
      </c>
      <c r="CN510" s="399">
        <f t="shared" si="238"/>
        <v>0</v>
      </c>
      <c r="CO510" s="399">
        <f t="shared" si="239"/>
        <v>0</v>
      </c>
      <c r="CP510" s="399">
        <f t="shared" si="240"/>
        <v>0</v>
      </c>
      <c r="CQ510" s="423">
        <f t="shared" si="241"/>
        <v>0</v>
      </c>
      <c r="CS510" s="394" t="e">
        <f t="shared" si="242"/>
        <v>#DIV/0!</v>
      </c>
    </row>
    <row r="511" spans="3:97">
      <c r="C511" s="107"/>
      <c r="D511" s="395"/>
      <c r="E511" s="84"/>
      <c r="F511" s="84"/>
      <c r="G511" s="389"/>
      <c r="H511" s="390"/>
      <c r="I511" s="390"/>
      <c r="J511" s="390"/>
      <c r="K511" s="390"/>
      <c r="L511" s="390"/>
      <c r="M511" s="390"/>
      <c r="N511" s="390"/>
      <c r="O511" s="390"/>
      <c r="P511" s="390"/>
      <c r="Q511" s="390"/>
      <c r="R511" s="390"/>
      <c r="S511" s="390"/>
      <c r="T511" s="390"/>
      <c r="U511" s="390"/>
      <c r="V511" s="390"/>
      <c r="W511" s="390"/>
      <c r="X511" s="390"/>
      <c r="Y511" s="390"/>
      <c r="Z511" s="390"/>
      <c r="AA511" s="390"/>
      <c r="AB511" s="390"/>
      <c r="AC511" s="390"/>
      <c r="AD511" s="390"/>
      <c r="AE511" s="390"/>
      <c r="AF511" s="390"/>
      <c r="AG511" s="390"/>
      <c r="AH511" s="390"/>
      <c r="AI511" s="391"/>
      <c r="AK511" s="437"/>
      <c r="AL511" s="437"/>
      <c r="AM511" s="437"/>
      <c r="AN511" s="437"/>
      <c r="AO511" s="437"/>
      <c r="AP511" s="437"/>
      <c r="AQ511" s="437"/>
      <c r="AR511" s="437"/>
      <c r="AS511" s="437"/>
      <c r="AT511" s="437"/>
      <c r="AU511" s="437"/>
      <c r="AV511" s="437"/>
      <c r="AW511" s="437"/>
      <c r="AX511" s="437"/>
      <c r="AY511" s="437"/>
      <c r="AZ511" s="437"/>
      <c r="BA511" s="437"/>
      <c r="BB511" s="437"/>
      <c r="BC511" s="437"/>
      <c r="BD511" s="437"/>
      <c r="BE511" s="437"/>
      <c r="BF511" s="437"/>
      <c r="BG511" s="437"/>
      <c r="BH511" s="437"/>
      <c r="BI511" s="437"/>
      <c r="BJ511" s="437"/>
      <c r="BK511" s="437"/>
      <c r="BL511" s="437"/>
      <c r="BM511" s="393"/>
      <c r="BO511" s="399">
        <f t="shared" si="213"/>
        <v>0</v>
      </c>
      <c r="BP511" s="399">
        <f t="shared" si="214"/>
        <v>0</v>
      </c>
      <c r="BQ511" s="399">
        <f t="shared" si="215"/>
        <v>0</v>
      </c>
      <c r="BR511" s="399">
        <f t="shared" si="216"/>
        <v>0</v>
      </c>
      <c r="BS511" s="399">
        <f t="shared" si="217"/>
        <v>0</v>
      </c>
      <c r="BT511" s="399">
        <f t="shared" si="218"/>
        <v>0</v>
      </c>
      <c r="BU511" s="399">
        <f t="shared" si="219"/>
        <v>0</v>
      </c>
      <c r="BV511" s="399">
        <f t="shared" si="220"/>
        <v>0</v>
      </c>
      <c r="BW511" s="399">
        <f t="shared" si="221"/>
        <v>0</v>
      </c>
      <c r="BX511" s="399">
        <f t="shared" si="222"/>
        <v>0</v>
      </c>
      <c r="BY511" s="399">
        <f t="shared" si="223"/>
        <v>0</v>
      </c>
      <c r="BZ511" s="399">
        <f t="shared" si="224"/>
        <v>0</v>
      </c>
      <c r="CA511" s="399">
        <f t="shared" si="225"/>
        <v>0</v>
      </c>
      <c r="CB511" s="399">
        <f t="shared" si="226"/>
        <v>0</v>
      </c>
      <c r="CC511" s="399">
        <f t="shared" si="227"/>
        <v>0</v>
      </c>
      <c r="CD511" s="399">
        <f t="shared" si="228"/>
        <v>0</v>
      </c>
      <c r="CE511" s="399">
        <f t="shared" si="229"/>
        <v>0</v>
      </c>
      <c r="CF511" s="399">
        <f t="shared" si="230"/>
        <v>0</v>
      </c>
      <c r="CG511" s="399">
        <f t="shared" si="231"/>
        <v>0</v>
      </c>
      <c r="CH511" s="399">
        <f t="shared" si="232"/>
        <v>0</v>
      </c>
      <c r="CI511" s="399">
        <f t="shared" si="233"/>
        <v>0</v>
      </c>
      <c r="CJ511" s="399">
        <f t="shared" si="234"/>
        <v>0</v>
      </c>
      <c r="CK511" s="399">
        <f t="shared" si="235"/>
        <v>0</v>
      </c>
      <c r="CL511" s="399">
        <f t="shared" si="236"/>
        <v>0</v>
      </c>
      <c r="CM511" s="399">
        <f t="shared" si="237"/>
        <v>0</v>
      </c>
      <c r="CN511" s="399">
        <f t="shared" si="238"/>
        <v>0</v>
      </c>
      <c r="CO511" s="399">
        <f t="shared" si="239"/>
        <v>0</v>
      </c>
      <c r="CP511" s="399">
        <f t="shared" si="240"/>
        <v>0</v>
      </c>
      <c r="CQ511" s="423">
        <f t="shared" si="241"/>
        <v>0</v>
      </c>
      <c r="CS511" s="394" t="e">
        <f t="shared" si="242"/>
        <v>#DIV/0!</v>
      </c>
    </row>
    <row r="512" spans="3:97">
      <c r="C512" s="107"/>
      <c r="D512" s="395"/>
      <c r="E512" s="84"/>
      <c r="F512" s="84"/>
      <c r="G512" s="389"/>
      <c r="H512" s="390"/>
      <c r="I512" s="390"/>
      <c r="J512" s="390"/>
      <c r="K512" s="390"/>
      <c r="L512" s="390"/>
      <c r="M512" s="390"/>
      <c r="N512" s="390"/>
      <c r="O512" s="390"/>
      <c r="P512" s="390"/>
      <c r="Q512" s="390"/>
      <c r="R512" s="390"/>
      <c r="S512" s="390"/>
      <c r="T512" s="390"/>
      <c r="U512" s="390"/>
      <c r="V512" s="390"/>
      <c r="W512" s="390"/>
      <c r="X512" s="390"/>
      <c r="Y512" s="390"/>
      <c r="Z512" s="390"/>
      <c r="AA512" s="390"/>
      <c r="AB512" s="390"/>
      <c r="AC512" s="390"/>
      <c r="AD512" s="390"/>
      <c r="AE512" s="390"/>
      <c r="AF512" s="390"/>
      <c r="AG512" s="390"/>
      <c r="AH512" s="390"/>
      <c r="AI512" s="391"/>
      <c r="AK512" s="437"/>
      <c r="AL512" s="437"/>
      <c r="AM512" s="437"/>
      <c r="AN512" s="437"/>
      <c r="AO512" s="437"/>
      <c r="AP512" s="437"/>
      <c r="AQ512" s="437"/>
      <c r="AR512" s="437"/>
      <c r="AS512" s="437"/>
      <c r="AT512" s="437"/>
      <c r="AU512" s="437"/>
      <c r="AV512" s="437"/>
      <c r="AW512" s="437"/>
      <c r="AX512" s="437"/>
      <c r="AY512" s="437"/>
      <c r="AZ512" s="437"/>
      <c r="BA512" s="437"/>
      <c r="BB512" s="437"/>
      <c r="BC512" s="437"/>
      <c r="BD512" s="437"/>
      <c r="BE512" s="437"/>
      <c r="BF512" s="437"/>
      <c r="BG512" s="437"/>
      <c r="BH512" s="437"/>
      <c r="BI512" s="437"/>
      <c r="BJ512" s="437"/>
      <c r="BK512" s="437"/>
      <c r="BL512" s="437"/>
      <c r="BM512" s="393"/>
      <c r="BO512" s="399">
        <f t="shared" si="213"/>
        <v>0</v>
      </c>
      <c r="BP512" s="399">
        <f t="shared" si="214"/>
        <v>0</v>
      </c>
      <c r="BQ512" s="399">
        <f t="shared" si="215"/>
        <v>0</v>
      </c>
      <c r="BR512" s="399">
        <f t="shared" si="216"/>
        <v>0</v>
      </c>
      <c r="BS512" s="399">
        <f t="shared" si="217"/>
        <v>0</v>
      </c>
      <c r="BT512" s="399">
        <f t="shared" si="218"/>
        <v>0</v>
      </c>
      <c r="BU512" s="399">
        <f t="shared" si="219"/>
        <v>0</v>
      </c>
      <c r="BV512" s="399">
        <f t="shared" si="220"/>
        <v>0</v>
      </c>
      <c r="BW512" s="399">
        <f t="shared" si="221"/>
        <v>0</v>
      </c>
      <c r="BX512" s="399">
        <f t="shared" si="222"/>
        <v>0</v>
      </c>
      <c r="BY512" s="399">
        <f t="shared" si="223"/>
        <v>0</v>
      </c>
      <c r="BZ512" s="399">
        <f t="shared" si="224"/>
        <v>0</v>
      </c>
      <c r="CA512" s="399">
        <f t="shared" si="225"/>
        <v>0</v>
      </c>
      <c r="CB512" s="399">
        <f t="shared" si="226"/>
        <v>0</v>
      </c>
      <c r="CC512" s="399">
        <f t="shared" si="227"/>
        <v>0</v>
      </c>
      <c r="CD512" s="399">
        <f t="shared" si="228"/>
        <v>0</v>
      </c>
      <c r="CE512" s="399">
        <f t="shared" si="229"/>
        <v>0</v>
      </c>
      <c r="CF512" s="399">
        <f t="shared" si="230"/>
        <v>0</v>
      </c>
      <c r="CG512" s="399">
        <f t="shared" si="231"/>
        <v>0</v>
      </c>
      <c r="CH512" s="399">
        <f t="shared" si="232"/>
        <v>0</v>
      </c>
      <c r="CI512" s="399">
        <f t="shared" si="233"/>
        <v>0</v>
      </c>
      <c r="CJ512" s="399">
        <f t="shared" si="234"/>
        <v>0</v>
      </c>
      <c r="CK512" s="399">
        <f t="shared" si="235"/>
        <v>0</v>
      </c>
      <c r="CL512" s="399">
        <f t="shared" si="236"/>
        <v>0</v>
      </c>
      <c r="CM512" s="399">
        <f t="shared" si="237"/>
        <v>0</v>
      </c>
      <c r="CN512" s="399">
        <f t="shared" si="238"/>
        <v>0</v>
      </c>
      <c r="CO512" s="399">
        <f t="shared" si="239"/>
        <v>0</v>
      </c>
      <c r="CP512" s="399">
        <f t="shared" si="240"/>
        <v>0</v>
      </c>
      <c r="CQ512" s="423">
        <f t="shared" si="241"/>
        <v>0</v>
      </c>
      <c r="CS512" s="394" t="e">
        <f t="shared" si="242"/>
        <v>#DIV/0!</v>
      </c>
    </row>
    <row r="513" spans="3:97">
      <c r="C513" s="107"/>
      <c r="D513" s="395"/>
      <c r="E513" s="84"/>
      <c r="F513" s="84"/>
      <c r="G513" s="389"/>
      <c r="H513" s="390"/>
      <c r="I513" s="390"/>
      <c r="J513" s="390"/>
      <c r="K513" s="390"/>
      <c r="L513" s="390"/>
      <c r="M513" s="390"/>
      <c r="N513" s="390"/>
      <c r="O513" s="390"/>
      <c r="P513" s="390"/>
      <c r="Q513" s="390"/>
      <c r="R513" s="390"/>
      <c r="S513" s="390"/>
      <c r="T513" s="390"/>
      <c r="U513" s="390"/>
      <c r="V513" s="390"/>
      <c r="W513" s="390"/>
      <c r="X513" s="390"/>
      <c r="Y513" s="390"/>
      <c r="Z513" s="390"/>
      <c r="AA513" s="390"/>
      <c r="AB513" s="390"/>
      <c r="AC513" s="390"/>
      <c r="AD513" s="390"/>
      <c r="AE513" s="390"/>
      <c r="AF513" s="390"/>
      <c r="AG513" s="390"/>
      <c r="AH513" s="390"/>
      <c r="AI513" s="391"/>
      <c r="AK513" s="437"/>
      <c r="AL513" s="437"/>
      <c r="AM513" s="437"/>
      <c r="AN513" s="437"/>
      <c r="AO513" s="437"/>
      <c r="AP513" s="437"/>
      <c r="AQ513" s="437"/>
      <c r="AR513" s="437"/>
      <c r="AS513" s="437"/>
      <c r="AT513" s="437"/>
      <c r="AU513" s="437"/>
      <c r="AV513" s="437"/>
      <c r="AW513" s="437"/>
      <c r="AX513" s="437"/>
      <c r="AY513" s="437"/>
      <c r="AZ513" s="437"/>
      <c r="BA513" s="437"/>
      <c r="BB513" s="437"/>
      <c r="BC513" s="437"/>
      <c r="BD513" s="437"/>
      <c r="BE513" s="437"/>
      <c r="BF513" s="437"/>
      <c r="BG513" s="437"/>
      <c r="BH513" s="437"/>
      <c r="BI513" s="437"/>
      <c r="BJ513" s="437"/>
      <c r="BK513" s="437"/>
      <c r="BL513" s="437"/>
      <c r="BM513" s="393"/>
      <c r="BO513" s="399">
        <f t="shared" si="213"/>
        <v>0</v>
      </c>
      <c r="BP513" s="399">
        <f t="shared" si="214"/>
        <v>0</v>
      </c>
      <c r="BQ513" s="399">
        <f t="shared" si="215"/>
        <v>0</v>
      </c>
      <c r="BR513" s="399">
        <f t="shared" si="216"/>
        <v>0</v>
      </c>
      <c r="BS513" s="399">
        <f t="shared" si="217"/>
        <v>0</v>
      </c>
      <c r="BT513" s="399">
        <f t="shared" si="218"/>
        <v>0</v>
      </c>
      <c r="BU513" s="399">
        <f t="shared" si="219"/>
        <v>0</v>
      </c>
      <c r="BV513" s="399">
        <f t="shared" si="220"/>
        <v>0</v>
      </c>
      <c r="BW513" s="399">
        <f t="shared" si="221"/>
        <v>0</v>
      </c>
      <c r="BX513" s="399">
        <f t="shared" si="222"/>
        <v>0</v>
      </c>
      <c r="BY513" s="399">
        <f t="shared" si="223"/>
        <v>0</v>
      </c>
      <c r="BZ513" s="399">
        <f t="shared" si="224"/>
        <v>0</v>
      </c>
      <c r="CA513" s="399">
        <f t="shared" si="225"/>
        <v>0</v>
      </c>
      <c r="CB513" s="399">
        <f t="shared" si="226"/>
        <v>0</v>
      </c>
      <c r="CC513" s="399">
        <f t="shared" si="227"/>
        <v>0</v>
      </c>
      <c r="CD513" s="399">
        <f t="shared" si="228"/>
        <v>0</v>
      </c>
      <c r="CE513" s="399">
        <f t="shared" si="229"/>
        <v>0</v>
      </c>
      <c r="CF513" s="399">
        <f t="shared" si="230"/>
        <v>0</v>
      </c>
      <c r="CG513" s="399">
        <f t="shared" si="231"/>
        <v>0</v>
      </c>
      <c r="CH513" s="399">
        <f t="shared" si="232"/>
        <v>0</v>
      </c>
      <c r="CI513" s="399">
        <f t="shared" si="233"/>
        <v>0</v>
      </c>
      <c r="CJ513" s="399">
        <f t="shared" si="234"/>
        <v>0</v>
      </c>
      <c r="CK513" s="399">
        <f t="shared" si="235"/>
        <v>0</v>
      </c>
      <c r="CL513" s="399">
        <f t="shared" si="236"/>
        <v>0</v>
      </c>
      <c r="CM513" s="399">
        <f t="shared" si="237"/>
        <v>0</v>
      </c>
      <c r="CN513" s="399">
        <f t="shared" si="238"/>
        <v>0</v>
      </c>
      <c r="CO513" s="399">
        <f t="shared" si="239"/>
        <v>0</v>
      </c>
      <c r="CP513" s="399">
        <f t="shared" si="240"/>
        <v>0</v>
      </c>
      <c r="CQ513" s="423">
        <f t="shared" si="241"/>
        <v>0</v>
      </c>
      <c r="CS513" s="394" t="e">
        <f t="shared" si="242"/>
        <v>#DIV/0!</v>
      </c>
    </row>
    <row r="514" spans="3:97">
      <c r="C514" s="107"/>
      <c r="D514" s="395"/>
      <c r="E514" s="84"/>
      <c r="F514" s="84"/>
      <c r="G514" s="389"/>
      <c r="H514" s="390"/>
      <c r="I514" s="390"/>
      <c r="J514" s="390"/>
      <c r="K514" s="390"/>
      <c r="L514" s="390"/>
      <c r="M514" s="390"/>
      <c r="N514" s="390"/>
      <c r="O514" s="390"/>
      <c r="P514" s="390"/>
      <c r="Q514" s="390"/>
      <c r="R514" s="390"/>
      <c r="S514" s="390"/>
      <c r="T514" s="390"/>
      <c r="U514" s="390"/>
      <c r="V514" s="390"/>
      <c r="W514" s="390"/>
      <c r="X514" s="390"/>
      <c r="Y514" s="390"/>
      <c r="Z514" s="390"/>
      <c r="AA514" s="390"/>
      <c r="AB514" s="390"/>
      <c r="AC514" s="390"/>
      <c r="AD514" s="390"/>
      <c r="AE514" s="390"/>
      <c r="AF514" s="390"/>
      <c r="AG514" s="390"/>
      <c r="AH514" s="390"/>
      <c r="AI514" s="391"/>
      <c r="AK514" s="437"/>
      <c r="AL514" s="437"/>
      <c r="AM514" s="437"/>
      <c r="AN514" s="437"/>
      <c r="AO514" s="437"/>
      <c r="AP514" s="437"/>
      <c r="AQ514" s="437"/>
      <c r="AR514" s="437"/>
      <c r="AS514" s="437"/>
      <c r="AT514" s="437"/>
      <c r="AU514" s="437"/>
      <c r="AV514" s="437"/>
      <c r="AW514" s="437"/>
      <c r="AX514" s="437"/>
      <c r="AY514" s="437"/>
      <c r="AZ514" s="437"/>
      <c r="BA514" s="437"/>
      <c r="BB514" s="437"/>
      <c r="BC514" s="437"/>
      <c r="BD514" s="437"/>
      <c r="BE514" s="437"/>
      <c r="BF514" s="437"/>
      <c r="BG514" s="437"/>
      <c r="BH514" s="437"/>
      <c r="BI514" s="437"/>
      <c r="BJ514" s="437"/>
      <c r="BK514" s="437"/>
      <c r="BL514" s="437"/>
      <c r="BM514" s="393"/>
      <c r="BO514" s="399">
        <f t="shared" si="213"/>
        <v>0</v>
      </c>
      <c r="BP514" s="399">
        <f t="shared" si="214"/>
        <v>0</v>
      </c>
      <c r="BQ514" s="399">
        <f t="shared" si="215"/>
        <v>0</v>
      </c>
      <c r="BR514" s="399">
        <f t="shared" si="216"/>
        <v>0</v>
      </c>
      <c r="BS514" s="399">
        <f t="shared" si="217"/>
        <v>0</v>
      </c>
      <c r="BT514" s="399">
        <f t="shared" si="218"/>
        <v>0</v>
      </c>
      <c r="BU514" s="399">
        <f t="shared" si="219"/>
        <v>0</v>
      </c>
      <c r="BV514" s="399">
        <f t="shared" si="220"/>
        <v>0</v>
      </c>
      <c r="BW514" s="399">
        <f t="shared" si="221"/>
        <v>0</v>
      </c>
      <c r="BX514" s="399">
        <f t="shared" si="222"/>
        <v>0</v>
      </c>
      <c r="BY514" s="399">
        <f t="shared" si="223"/>
        <v>0</v>
      </c>
      <c r="BZ514" s="399">
        <f t="shared" si="224"/>
        <v>0</v>
      </c>
      <c r="CA514" s="399">
        <f t="shared" si="225"/>
        <v>0</v>
      </c>
      <c r="CB514" s="399">
        <f t="shared" si="226"/>
        <v>0</v>
      </c>
      <c r="CC514" s="399">
        <f t="shared" si="227"/>
        <v>0</v>
      </c>
      <c r="CD514" s="399">
        <f t="shared" si="228"/>
        <v>0</v>
      </c>
      <c r="CE514" s="399">
        <f t="shared" si="229"/>
        <v>0</v>
      </c>
      <c r="CF514" s="399">
        <f t="shared" si="230"/>
        <v>0</v>
      </c>
      <c r="CG514" s="399">
        <f t="shared" si="231"/>
        <v>0</v>
      </c>
      <c r="CH514" s="399">
        <f t="shared" si="232"/>
        <v>0</v>
      </c>
      <c r="CI514" s="399">
        <f t="shared" si="233"/>
        <v>0</v>
      </c>
      <c r="CJ514" s="399">
        <f t="shared" si="234"/>
        <v>0</v>
      </c>
      <c r="CK514" s="399">
        <f t="shared" si="235"/>
        <v>0</v>
      </c>
      <c r="CL514" s="399">
        <f t="shared" si="236"/>
        <v>0</v>
      </c>
      <c r="CM514" s="399">
        <f t="shared" si="237"/>
        <v>0</v>
      </c>
      <c r="CN514" s="399">
        <f t="shared" si="238"/>
        <v>0</v>
      </c>
      <c r="CO514" s="399">
        <f t="shared" si="239"/>
        <v>0</v>
      </c>
      <c r="CP514" s="399">
        <f t="shared" si="240"/>
        <v>0</v>
      </c>
      <c r="CQ514" s="423">
        <f t="shared" si="241"/>
        <v>0</v>
      </c>
      <c r="CS514" s="394" t="e">
        <f t="shared" si="242"/>
        <v>#DIV/0!</v>
      </c>
    </row>
    <row r="515" spans="3:97">
      <c r="C515" s="107"/>
      <c r="D515" s="395"/>
      <c r="E515" s="84"/>
      <c r="F515" s="84"/>
      <c r="G515" s="389"/>
      <c r="H515" s="390"/>
      <c r="I515" s="390"/>
      <c r="J515" s="390"/>
      <c r="K515" s="390"/>
      <c r="L515" s="390"/>
      <c r="M515" s="390"/>
      <c r="N515" s="390"/>
      <c r="O515" s="390"/>
      <c r="P515" s="390"/>
      <c r="Q515" s="390"/>
      <c r="R515" s="390"/>
      <c r="S515" s="390"/>
      <c r="T515" s="390"/>
      <c r="U515" s="390"/>
      <c r="V515" s="390"/>
      <c r="W515" s="390"/>
      <c r="X515" s="390"/>
      <c r="Y515" s="390"/>
      <c r="Z515" s="390"/>
      <c r="AA515" s="390"/>
      <c r="AB515" s="390"/>
      <c r="AC515" s="390"/>
      <c r="AD515" s="390"/>
      <c r="AE515" s="390"/>
      <c r="AF515" s="390"/>
      <c r="AG515" s="390"/>
      <c r="AH515" s="390"/>
      <c r="AI515" s="391"/>
      <c r="AK515" s="437"/>
      <c r="AL515" s="437"/>
      <c r="AM515" s="437"/>
      <c r="AN515" s="437"/>
      <c r="AO515" s="437"/>
      <c r="AP515" s="437"/>
      <c r="AQ515" s="437"/>
      <c r="AR515" s="437"/>
      <c r="AS515" s="437"/>
      <c r="AT515" s="437"/>
      <c r="AU515" s="437"/>
      <c r="AV515" s="437"/>
      <c r="AW515" s="437"/>
      <c r="AX515" s="437"/>
      <c r="AY515" s="437"/>
      <c r="AZ515" s="437"/>
      <c r="BA515" s="437"/>
      <c r="BB515" s="437"/>
      <c r="BC515" s="437"/>
      <c r="BD515" s="437"/>
      <c r="BE515" s="437"/>
      <c r="BF515" s="437"/>
      <c r="BG515" s="437"/>
      <c r="BH515" s="437"/>
      <c r="BI515" s="437"/>
      <c r="BJ515" s="437"/>
      <c r="BK515" s="437"/>
      <c r="BL515" s="437"/>
      <c r="BM515" s="393"/>
      <c r="BO515" s="399">
        <f t="shared" si="213"/>
        <v>0</v>
      </c>
      <c r="BP515" s="399">
        <f t="shared" si="214"/>
        <v>0</v>
      </c>
      <c r="BQ515" s="399">
        <f t="shared" si="215"/>
        <v>0</v>
      </c>
      <c r="BR515" s="399">
        <f t="shared" si="216"/>
        <v>0</v>
      </c>
      <c r="BS515" s="399">
        <f t="shared" si="217"/>
        <v>0</v>
      </c>
      <c r="BT515" s="399">
        <f t="shared" si="218"/>
        <v>0</v>
      </c>
      <c r="BU515" s="399">
        <f t="shared" si="219"/>
        <v>0</v>
      </c>
      <c r="BV515" s="399">
        <f t="shared" si="220"/>
        <v>0</v>
      </c>
      <c r="BW515" s="399">
        <f t="shared" si="221"/>
        <v>0</v>
      </c>
      <c r="BX515" s="399">
        <f t="shared" si="222"/>
        <v>0</v>
      </c>
      <c r="BY515" s="399">
        <f t="shared" si="223"/>
        <v>0</v>
      </c>
      <c r="BZ515" s="399">
        <f t="shared" si="224"/>
        <v>0</v>
      </c>
      <c r="CA515" s="399">
        <f t="shared" si="225"/>
        <v>0</v>
      </c>
      <c r="CB515" s="399">
        <f t="shared" si="226"/>
        <v>0</v>
      </c>
      <c r="CC515" s="399">
        <f t="shared" si="227"/>
        <v>0</v>
      </c>
      <c r="CD515" s="399">
        <f t="shared" si="228"/>
        <v>0</v>
      </c>
      <c r="CE515" s="399">
        <f t="shared" si="229"/>
        <v>0</v>
      </c>
      <c r="CF515" s="399">
        <f t="shared" si="230"/>
        <v>0</v>
      </c>
      <c r="CG515" s="399">
        <f t="shared" si="231"/>
        <v>0</v>
      </c>
      <c r="CH515" s="399">
        <f t="shared" si="232"/>
        <v>0</v>
      </c>
      <c r="CI515" s="399">
        <f t="shared" si="233"/>
        <v>0</v>
      </c>
      <c r="CJ515" s="399">
        <f t="shared" si="234"/>
        <v>0</v>
      </c>
      <c r="CK515" s="399">
        <f t="shared" si="235"/>
        <v>0</v>
      </c>
      <c r="CL515" s="399">
        <f t="shared" si="236"/>
        <v>0</v>
      </c>
      <c r="CM515" s="399">
        <f t="shared" si="237"/>
        <v>0</v>
      </c>
      <c r="CN515" s="399">
        <f t="shared" si="238"/>
        <v>0</v>
      </c>
      <c r="CO515" s="399">
        <f t="shared" si="239"/>
        <v>0</v>
      </c>
      <c r="CP515" s="399">
        <f t="shared" si="240"/>
        <v>0</v>
      </c>
      <c r="CQ515" s="423">
        <f t="shared" si="241"/>
        <v>0</v>
      </c>
      <c r="CS515" s="394" t="e">
        <f t="shared" si="242"/>
        <v>#DIV/0!</v>
      </c>
    </row>
    <row r="516" spans="3:97">
      <c r="C516" s="107"/>
      <c r="D516" s="395"/>
      <c r="E516" s="84"/>
      <c r="F516" s="84"/>
      <c r="G516" s="389"/>
      <c r="H516" s="390"/>
      <c r="I516" s="390"/>
      <c r="J516" s="390"/>
      <c r="K516" s="390"/>
      <c r="L516" s="390"/>
      <c r="M516" s="390"/>
      <c r="N516" s="390"/>
      <c r="O516" s="390"/>
      <c r="P516" s="390"/>
      <c r="Q516" s="390"/>
      <c r="R516" s="390"/>
      <c r="S516" s="390"/>
      <c r="T516" s="390"/>
      <c r="U516" s="390"/>
      <c r="V516" s="390"/>
      <c r="W516" s="390"/>
      <c r="X516" s="390"/>
      <c r="Y516" s="390"/>
      <c r="Z516" s="390"/>
      <c r="AA516" s="390"/>
      <c r="AB516" s="390"/>
      <c r="AC516" s="390"/>
      <c r="AD516" s="390"/>
      <c r="AE516" s="390"/>
      <c r="AF516" s="390"/>
      <c r="AG516" s="390"/>
      <c r="AH516" s="390"/>
      <c r="AI516" s="391"/>
      <c r="AK516" s="437"/>
      <c r="AL516" s="437"/>
      <c r="AM516" s="437"/>
      <c r="AN516" s="437"/>
      <c r="AO516" s="437"/>
      <c r="AP516" s="437"/>
      <c r="AQ516" s="437"/>
      <c r="AR516" s="437"/>
      <c r="AS516" s="437"/>
      <c r="AT516" s="437"/>
      <c r="AU516" s="437"/>
      <c r="AV516" s="437"/>
      <c r="AW516" s="437"/>
      <c r="AX516" s="437"/>
      <c r="AY516" s="437"/>
      <c r="AZ516" s="437"/>
      <c r="BA516" s="437"/>
      <c r="BB516" s="437"/>
      <c r="BC516" s="437"/>
      <c r="BD516" s="437"/>
      <c r="BE516" s="437"/>
      <c r="BF516" s="437"/>
      <c r="BG516" s="437"/>
      <c r="BH516" s="437"/>
      <c r="BI516" s="437"/>
      <c r="BJ516" s="437"/>
      <c r="BK516" s="437"/>
      <c r="BL516" s="437"/>
      <c r="BM516" s="393"/>
      <c r="BO516" s="399">
        <f t="shared" si="213"/>
        <v>0</v>
      </c>
      <c r="BP516" s="399">
        <f t="shared" si="214"/>
        <v>0</v>
      </c>
      <c r="BQ516" s="399">
        <f t="shared" si="215"/>
        <v>0</v>
      </c>
      <c r="BR516" s="399">
        <f t="shared" si="216"/>
        <v>0</v>
      </c>
      <c r="BS516" s="399">
        <f t="shared" si="217"/>
        <v>0</v>
      </c>
      <c r="BT516" s="399">
        <f t="shared" si="218"/>
        <v>0</v>
      </c>
      <c r="BU516" s="399">
        <f t="shared" si="219"/>
        <v>0</v>
      </c>
      <c r="BV516" s="399">
        <f t="shared" si="220"/>
        <v>0</v>
      </c>
      <c r="BW516" s="399">
        <f t="shared" si="221"/>
        <v>0</v>
      </c>
      <c r="BX516" s="399">
        <f t="shared" si="222"/>
        <v>0</v>
      </c>
      <c r="BY516" s="399">
        <f t="shared" si="223"/>
        <v>0</v>
      </c>
      <c r="BZ516" s="399">
        <f t="shared" si="224"/>
        <v>0</v>
      </c>
      <c r="CA516" s="399">
        <f t="shared" si="225"/>
        <v>0</v>
      </c>
      <c r="CB516" s="399">
        <f t="shared" si="226"/>
        <v>0</v>
      </c>
      <c r="CC516" s="399">
        <f t="shared" si="227"/>
        <v>0</v>
      </c>
      <c r="CD516" s="399">
        <f t="shared" si="228"/>
        <v>0</v>
      </c>
      <c r="CE516" s="399">
        <f t="shared" si="229"/>
        <v>0</v>
      </c>
      <c r="CF516" s="399">
        <f t="shared" si="230"/>
        <v>0</v>
      </c>
      <c r="CG516" s="399">
        <f t="shared" si="231"/>
        <v>0</v>
      </c>
      <c r="CH516" s="399">
        <f t="shared" si="232"/>
        <v>0</v>
      </c>
      <c r="CI516" s="399">
        <f t="shared" si="233"/>
        <v>0</v>
      </c>
      <c r="CJ516" s="399">
        <f t="shared" si="234"/>
        <v>0</v>
      </c>
      <c r="CK516" s="399">
        <f t="shared" si="235"/>
        <v>0</v>
      </c>
      <c r="CL516" s="399">
        <f t="shared" si="236"/>
        <v>0</v>
      </c>
      <c r="CM516" s="399">
        <f t="shared" si="237"/>
        <v>0</v>
      </c>
      <c r="CN516" s="399">
        <f t="shared" si="238"/>
        <v>0</v>
      </c>
      <c r="CO516" s="399">
        <f t="shared" si="239"/>
        <v>0</v>
      </c>
      <c r="CP516" s="399">
        <f t="shared" si="240"/>
        <v>0</v>
      </c>
      <c r="CQ516" s="423">
        <f t="shared" si="241"/>
        <v>0</v>
      </c>
      <c r="CS516" s="394" t="e">
        <f t="shared" si="242"/>
        <v>#DIV/0!</v>
      </c>
    </row>
    <row r="517" spans="3:97">
      <c r="C517" s="107"/>
      <c r="D517" s="395"/>
      <c r="E517" s="84"/>
      <c r="F517" s="84"/>
      <c r="G517" s="389"/>
      <c r="H517" s="390"/>
      <c r="I517" s="390"/>
      <c r="J517" s="390"/>
      <c r="K517" s="390"/>
      <c r="L517" s="390"/>
      <c r="M517" s="390"/>
      <c r="N517" s="390"/>
      <c r="O517" s="390"/>
      <c r="P517" s="390"/>
      <c r="Q517" s="390"/>
      <c r="R517" s="390"/>
      <c r="S517" s="390"/>
      <c r="T517" s="390"/>
      <c r="U517" s="390"/>
      <c r="V517" s="390"/>
      <c r="W517" s="390"/>
      <c r="X517" s="390"/>
      <c r="Y517" s="390"/>
      <c r="Z517" s="390"/>
      <c r="AA517" s="390"/>
      <c r="AB517" s="390"/>
      <c r="AC517" s="390"/>
      <c r="AD517" s="390"/>
      <c r="AE517" s="390"/>
      <c r="AF517" s="390"/>
      <c r="AG517" s="390"/>
      <c r="AH517" s="390"/>
      <c r="AI517" s="391"/>
      <c r="AK517" s="437"/>
      <c r="AL517" s="437"/>
      <c r="AM517" s="437"/>
      <c r="AN517" s="437"/>
      <c r="AO517" s="437"/>
      <c r="AP517" s="437"/>
      <c r="AQ517" s="437"/>
      <c r="AR517" s="437"/>
      <c r="AS517" s="437"/>
      <c r="AT517" s="437"/>
      <c r="AU517" s="437"/>
      <c r="AV517" s="437"/>
      <c r="AW517" s="437"/>
      <c r="AX517" s="437"/>
      <c r="AY517" s="437"/>
      <c r="AZ517" s="437"/>
      <c r="BA517" s="437"/>
      <c r="BB517" s="437"/>
      <c r="BC517" s="437"/>
      <c r="BD517" s="437"/>
      <c r="BE517" s="437"/>
      <c r="BF517" s="437"/>
      <c r="BG517" s="437"/>
      <c r="BH517" s="437"/>
      <c r="BI517" s="437"/>
      <c r="BJ517" s="437"/>
      <c r="BK517" s="437"/>
      <c r="BL517" s="437"/>
      <c r="BM517" s="393"/>
      <c r="BO517" s="399">
        <f t="shared" si="213"/>
        <v>0</v>
      </c>
      <c r="BP517" s="399">
        <f t="shared" si="214"/>
        <v>0</v>
      </c>
      <c r="BQ517" s="399">
        <f t="shared" si="215"/>
        <v>0</v>
      </c>
      <c r="BR517" s="399">
        <f t="shared" si="216"/>
        <v>0</v>
      </c>
      <c r="BS517" s="399">
        <f t="shared" si="217"/>
        <v>0</v>
      </c>
      <c r="BT517" s="399">
        <f t="shared" si="218"/>
        <v>0</v>
      </c>
      <c r="BU517" s="399">
        <f t="shared" si="219"/>
        <v>0</v>
      </c>
      <c r="BV517" s="399">
        <f t="shared" si="220"/>
        <v>0</v>
      </c>
      <c r="BW517" s="399">
        <f t="shared" si="221"/>
        <v>0</v>
      </c>
      <c r="BX517" s="399">
        <f t="shared" si="222"/>
        <v>0</v>
      </c>
      <c r="BY517" s="399">
        <f t="shared" si="223"/>
        <v>0</v>
      </c>
      <c r="BZ517" s="399">
        <f t="shared" si="224"/>
        <v>0</v>
      </c>
      <c r="CA517" s="399">
        <f t="shared" si="225"/>
        <v>0</v>
      </c>
      <c r="CB517" s="399">
        <f t="shared" si="226"/>
        <v>0</v>
      </c>
      <c r="CC517" s="399">
        <f t="shared" si="227"/>
        <v>0</v>
      </c>
      <c r="CD517" s="399">
        <f t="shared" si="228"/>
        <v>0</v>
      </c>
      <c r="CE517" s="399">
        <f t="shared" si="229"/>
        <v>0</v>
      </c>
      <c r="CF517" s="399">
        <f t="shared" si="230"/>
        <v>0</v>
      </c>
      <c r="CG517" s="399">
        <f t="shared" si="231"/>
        <v>0</v>
      </c>
      <c r="CH517" s="399">
        <f t="shared" si="232"/>
        <v>0</v>
      </c>
      <c r="CI517" s="399">
        <f t="shared" si="233"/>
        <v>0</v>
      </c>
      <c r="CJ517" s="399">
        <f t="shared" si="234"/>
        <v>0</v>
      </c>
      <c r="CK517" s="399">
        <f t="shared" si="235"/>
        <v>0</v>
      </c>
      <c r="CL517" s="399">
        <f t="shared" si="236"/>
        <v>0</v>
      </c>
      <c r="CM517" s="399">
        <f t="shared" si="237"/>
        <v>0</v>
      </c>
      <c r="CN517" s="399">
        <f t="shared" si="238"/>
        <v>0</v>
      </c>
      <c r="CO517" s="399">
        <f t="shared" si="239"/>
        <v>0</v>
      </c>
      <c r="CP517" s="399">
        <f t="shared" si="240"/>
        <v>0</v>
      </c>
      <c r="CQ517" s="423">
        <f t="shared" si="241"/>
        <v>0</v>
      </c>
      <c r="CS517" s="394" t="e">
        <f t="shared" si="242"/>
        <v>#DIV/0!</v>
      </c>
    </row>
    <row r="518" spans="3:97">
      <c r="C518" s="107"/>
      <c r="D518" s="395"/>
      <c r="E518" s="84"/>
      <c r="F518" s="84"/>
      <c r="G518" s="389"/>
      <c r="H518" s="390"/>
      <c r="I518" s="390"/>
      <c r="J518" s="390"/>
      <c r="K518" s="390"/>
      <c r="L518" s="390"/>
      <c r="M518" s="390"/>
      <c r="N518" s="390"/>
      <c r="O518" s="390"/>
      <c r="P518" s="390"/>
      <c r="Q518" s="390"/>
      <c r="R518" s="390"/>
      <c r="S518" s="390"/>
      <c r="T518" s="390"/>
      <c r="U518" s="390"/>
      <c r="V518" s="390"/>
      <c r="W518" s="390"/>
      <c r="X518" s="390"/>
      <c r="Y518" s="390"/>
      <c r="Z518" s="390"/>
      <c r="AA518" s="390"/>
      <c r="AB518" s="390"/>
      <c r="AC518" s="390"/>
      <c r="AD518" s="390"/>
      <c r="AE518" s="390"/>
      <c r="AF518" s="390"/>
      <c r="AG518" s="390"/>
      <c r="AH518" s="390"/>
      <c r="AI518" s="391"/>
      <c r="AK518" s="437"/>
      <c r="AL518" s="437"/>
      <c r="AM518" s="437"/>
      <c r="AN518" s="437"/>
      <c r="AO518" s="437"/>
      <c r="AP518" s="437"/>
      <c r="AQ518" s="437"/>
      <c r="AR518" s="437"/>
      <c r="AS518" s="437"/>
      <c r="AT518" s="437"/>
      <c r="AU518" s="437"/>
      <c r="AV518" s="437"/>
      <c r="AW518" s="437"/>
      <c r="AX518" s="437"/>
      <c r="AY518" s="437"/>
      <c r="AZ518" s="437"/>
      <c r="BA518" s="437"/>
      <c r="BB518" s="437"/>
      <c r="BC518" s="437"/>
      <c r="BD518" s="437"/>
      <c r="BE518" s="437"/>
      <c r="BF518" s="437"/>
      <c r="BG518" s="437"/>
      <c r="BH518" s="437"/>
      <c r="BI518" s="437"/>
      <c r="BJ518" s="437"/>
      <c r="BK518" s="437"/>
      <c r="BL518" s="437"/>
      <c r="BM518" s="393"/>
      <c r="BO518" s="399">
        <f t="shared" si="213"/>
        <v>0</v>
      </c>
      <c r="BP518" s="399">
        <f t="shared" si="214"/>
        <v>0</v>
      </c>
      <c r="BQ518" s="399">
        <f t="shared" si="215"/>
        <v>0</v>
      </c>
      <c r="BR518" s="399">
        <f t="shared" si="216"/>
        <v>0</v>
      </c>
      <c r="BS518" s="399">
        <f t="shared" si="217"/>
        <v>0</v>
      </c>
      <c r="BT518" s="399">
        <f t="shared" si="218"/>
        <v>0</v>
      </c>
      <c r="BU518" s="399">
        <f t="shared" si="219"/>
        <v>0</v>
      </c>
      <c r="BV518" s="399">
        <f t="shared" si="220"/>
        <v>0</v>
      </c>
      <c r="BW518" s="399">
        <f t="shared" si="221"/>
        <v>0</v>
      </c>
      <c r="BX518" s="399">
        <f t="shared" si="222"/>
        <v>0</v>
      </c>
      <c r="BY518" s="399">
        <f t="shared" si="223"/>
        <v>0</v>
      </c>
      <c r="BZ518" s="399">
        <f t="shared" si="224"/>
        <v>0</v>
      </c>
      <c r="CA518" s="399">
        <f t="shared" si="225"/>
        <v>0</v>
      </c>
      <c r="CB518" s="399">
        <f t="shared" si="226"/>
        <v>0</v>
      </c>
      <c r="CC518" s="399">
        <f t="shared" si="227"/>
        <v>0</v>
      </c>
      <c r="CD518" s="399">
        <f t="shared" si="228"/>
        <v>0</v>
      </c>
      <c r="CE518" s="399">
        <f t="shared" si="229"/>
        <v>0</v>
      </c>
      <c r="CF518" s="399">
        <f t="shared" si="230"/>
        <v>0</v>
      </c>
      <c r="CG518" s="399">
        <f t="shared" si="231"/>
        <v>0</v>
      </c>
      <c r="CH518" s="399">
        <f t="shared" si="232"/>
        <v>0</v>
      </c>
      <c r="CI518" s="399">
        <f t="shared" si="233"/>
        <v>0</v>
      </c>
      <c r="CJ518" s="399">
        <f t="shared" si="234"/>
        <v>0</v>
      </c>
      <c r="CK518" s="399">
        <f t="shared" si="235"/>
        <v>0</v>
      </c>
      <c r="CL518" s="399">
        <f t="shared" si="236"/>
        <v>0</v>
      </c>
      <c r="CM518" s="399">
        <f t="shared" si="237"/>
        <v>0</v>
      </c>
      <c r="CN518" s="399">
        <f t="shared" si="238"/>
        <v>0</v>
      </c>
      <c r="CO518" s="399">
        <f t="shared" si="239"/>
        <v>0</v>
      </c>
      <c r="CP518" s="399">
        <f t="shared" si="240"/>
        <v>0</v>
      </c>
      <c r="CQ518" s="423">
        <f t="shared" si="241"/>
        <v>0</v>
      </c>
      <c r="CS518" s="394" t="e">
        <f t="shared" si="242"/>
        <v>#DIV/0!</v>
      </c>
    </row>
    <row r="519" spans="3:97">
      <c r="C519" s="107"/>
      <c r="D519" s="395"/>
      <c r="E519" s="84"/>
      <c r="F519" s="84"/>
      <c r="G519" s="389"/>
      <c r="H519" s="390"/>
      <c r="I519" s="390"/>
      <c r="J519" s="390"/>
      <c r="K519" s="390"/>
      <c r="L519" s="390"/>
      <c r="M519" s="390"/>
      <c r="N519" s="390"/>
      <c r="O519" s="390"/>
      <c r="P519" s="390"/>
      <c r="Q519" s="390"/>
      <c r="R519" s="390"/>
      <c r="S519" s="390"/>
      <c r="T519" s="390"/>
      <c r="U519" s="390"/>
      <c r="V519" s="390"/>
      <c r="W519" s="390"/>
      <c r="X519" s="390"/>
      <c r="Y519" s="390"/>
      <c r="Z519" s="390"/>
      <c r="AA519" s="390"/>
      <c r="AB519" s="390"/>
      <c r="AC519" s="390"/>
      <c r="AD519" s="390"/>
      <c r="AE519" s="390"/>
      <c r="AF519" s="390"/>
      <c r="AG519" s="390"/>
      <c r="AH519" s="390"/>
      <c r="AI519" s="391"/>
      <c r="AK519" s="437"/>
      <c r="AL519" s="437"/>
      <c r="AM519" s="437"/>
      <c r="AN519" s="437"/>
      <c r="AO519" s="437"/>
      <c r="AP519" s="437"/>
      <c r="AQ519" s="437"/>
      <c r="AR519" s="437"/>
      <c r="AS519" s="437"/>
      <c r="AT519" s="437"/>
      <c r="AU519" s="437"/>
      <c r="AV519" s="437"/>
      <c r="AW519" s="437"/>
      <c r="AX519" s="437"/>
      <c r="AY519" s="437"/>
      <c r="AZ519" s="437"/>
      <c r="BA519" s="437"/>
      <c r="BB519" s="437"/>
      <c r="BC519" s="437"/>
      <c r="BD519" s="437"/>
      <c r="BE519" s="437"/>
      <c r="BF519" s="437"/>
      <c r="BG519" s="437"/>
      <c r="BH519" s="437"/>
      <c r="BI519" s="437"/>
      <c r="BJ519" s="437"/>
      <c r="BK519" s="437"/>
      <c r="BL519" s="437"/>
      <c r="BM519" s="393"/>
      <c r="BO519" s="399">
        <f t="shared" si="213"/>
        <v>0</v>
      </c>
      <c r="BP519" s="399">
        <f t="shared" si="214"/>
        <v>0</v>
      </c>
      <c r="BQ519" s="399">
        <f t="shared" si="215"/>
        <v>0</v>
      </c>
      <c r="BR519" s="399">
        <f t="shared" si="216"/>
        <v>0</v>
      </c>
      <c r="BS519" s="399">
        <f t="shared" si="217"/>
        <v>0</v>
      </c>
      <c r="BT519" s="399">
        <f t="shared" si="218"/>
        <v>0</v>
      </c>
      <c r="BU519" s="399">
        <f t="shared" si="219"/>
        <v>0</v>
      </c>
      <c r="BV519" s="399">
        <f t="shared" si="220"/>
        <v>0</v>
      </c>
      <c r="BW519" s="399">
        <f t="shared" si="221"/>
        <v>0</v>
      </c>
      <c r="BX519" s="399">
        <f t="shared" si="222"/>
        <v>0</v>
      </c>
      <c r="BY519" s="399">
        <f t="shared" si="223"/>
        <v>0</v>
      </c>
      <c r="BZ519" s="399">
        <f t="shared" si="224"/>
        <v>0</v>
      </c>
      <c r="CA519" s="399">
        <f t="shared" si="225"/>
        <v>0</v>
      </c>
      <c r="CB519" s="399">
        <f t="shared" si="226"/>
        <v>0</v>
      </c>
      <c r="CC519" s="399">
        <f t="shared" si="227"/>
        <v>0</v>
      </c>
      <c r="CD519" s="399">
        <f t="shared" si="228"/>
        <v>0</v>
      </c>
      <c r="CE519" s="399">
        <f t="shared" si="229"/>
        <v>0</v>
      </c>
      <c r="CF519" s="399">
        <f t="shared" si="230"/>
        <v>0</v>
      </c>
      <c r="CG519" s="399">
        <f t="shared" si="231"/>
        <v>0</v>
      </c>
      <c r="CH519" s="399">
        <f t="shared" si="232"/>
        <v>0</v>
      </c>
      <c r="CI519" s="399">
        <f t="shared" si="233"/>
        <v>0</v>
      </c>
      <c r="CJ519" s="399">
        <f t="shared" si="234"/>
        <v>0</v>
      </c>
      <c r="CK519" s="399">
        <f t="shared" si="235"/>
        <v>0</v>
      </c>
      <c r="CL519" s="399">
        <f t="shared" si="236"/>
        <v>0</v>
      </c>
      <c r="CM519" s="399">
        <f t="shared" si="237"/>
        <v>0</v>
      </c>
      <c r="CN519" s="399">
        <f t="shared" si="238"/>
        <v>0</v>
      </c>
      <c r="CO519" s="399">
        <f t="shared" si="239"/>
        <v>0</v>
      </c>
      <c r="CP519" s="399">
        <f t="shared" si="240"/>
        <v>0</v>
      </c>
      <c r="CQ519" s="423">
        <f t="shared" si="241"/>
        <v>0</v>
      </c>
      <c r="CS519" s="394" t="e">
        <f t="shared" si="242"/>
        <v>#DIV/0!</v>
      </c>
    </row>
    <row r="520" spans="3:97">
      <c r="C520" s="107"/>
      <c r="D520" s="395"/>
      <c r="E520" s="84"/>
      <c r="F520" s="84"/>
      <c r="G520" s="389"/>
      <c r="H520" s="390"/>
      <c r="I520" s="390"/>
      <c r="J520" s="390"/>
      <c r="K520" s="390"/>
      <c r="L520" s="390"/>
      <c r="M520" s="390"/>
      <c r="N520" s="390"/>
      <c r="O520" s="390"/>
      <c r="P520" s="390"/>
      <c r="Q520" s="390"/>
      <c r="R520" s="390"/>
      <c r="S520" s="390"/>
      <c r="T520" s="390"/>
      <c r="U520" s="390"/>
      <c r="V520" s="390"/>
      <c r="W520" s="390"/>
      <c r="X520" s="390"/>
      <c r="Y520" s="390"/>
      <c r="Z520" s="390"/>
      <c r="AA520" s="390"/>
      <c r="AB520" s="390"/>
      <c r="AC520" s="390"/>
      <c r="AD520" s="390"/>
      <c r="AE520" s="390"/>
      <c r="AF520" s="390"/>
      <c r="AG520" s="390"/>
      <c r="AH520" s="390"/>
      <c r="AI520" s="391"/>
      <c r="AK520" s="437"/>
      <c r="AL520" s="437"/>
      <c r="AM520" s="437"/>
      <c r="AN520" s="437"/>
      <c r="AO520" s="437"/>
      <c r="AP520" s="437"/>
      <c r="AQ520" s="437"/>
      <c r="AR520" s="437"/>
      <c r="AS520" s="437"/>
      <c r="AT520" s="437"/>
      <c r="AU520" s="437"/>
      <c r="AV520" s="437"/>
      <c r="AW520" s="437"/>
      <c r="AX520" s="437"/>
      <c r="AY520" s="437"/>
      <c r="AZ520" s="437"/>
      <c r="BA520" s="437"/>
      <c r="BB520" s="437"/>
      <c r="BC520" s="437"/>
      <c r="BD520" s="437"/>
      <c r="BE520" s="437"/>
      <c r="BF520" s="437"/>
      <c r="BG520" s="437"/>
      <c r="BH520" s="437"/>
      <c r="BI520" s="437"/>
      <c r="BJ520" s="437"/>
      <c r="BK520" s="437"/>
      <c r="BL520" s="437"/>
      <c r="BM520" s="393"/>
      <c r="BO520" s="399">
        <f t="shared" si="213"/>
        <v>0</v>
      </c>
      <c r="BP520" s="399">
        <f t="shared" si="214"/>
        <v>0</v>
      </c>
      <c r="BQ520" s="399">
        <f t="shared" si="215"/>
        <v>0</v>
      </c>
      <c r="BR520" s="399">
        <f t="shared" si="216"/>
        <v>0</v>
      </c>
      <c r="BS520" s="399">
        <f t="shared" si="217"/>
        <v>0</v>
      </c>
      <c r="BT520" s="399">
        <f t="shared" si="218"/>
        <v>0</v>
      </c>
      <c r="BU520" s="399">
        <f t="shared" si="219"/>
        <v>0</v>
      </c>
      <c r="BV520" s="399">
        <f t="shared" si="220"/>
        <v>0</v>
      </c>
      <c r="BW520" s="399">
        <f t="shared" si="221"/>
        <v>0</v>
      </c>
      <c r="BX520" s="399">
        <f t="shared" si="222"/>
        <v>0</v>
      </c>
      <c r="BY520" s="399">
        <f t="shared" si="223"/>
        <v>0</v>
      </c>
      <c r="BZ520" s="399">
        <f t="shared" si="224"/>
        <v>0</v>
      </c>
      <c r="CA520" s="399">
        <f t="shared" si="225"/>
        <v>0</v>
      </c>
      <c r="CB520" s="399">
        <f t="shared" si="226"/>
        <v>0</v>
      </c>
      <c r="CC520" s="399">
        <f t="shared" si="227"/>
        <v>0</v>
      </c>
      <c r="CD520" s="399">
        <f t="shared" si="228"/>
        <v>0</v>
      </c>
      <c r="CE520" s="399">
        <f t="shared" si="229"/>
        <v>0</v>
      </c>
      <c r="CF520" s="399">
        <f t="shared" si="230"/>
        <v>0</v>
      </c>
      <c r="CG520" s="399">
        <f t="shared" si="231"/>
        <v>0</v>
      </c>
      <c r="CH520" s="399">
        <f t="shared" si="232"/>
        <v>0</v>
      </c>
      <c r="CI520" s="399">
        <f t="shared" si="233"/>
        <v>0</v>
      </c>
      <c r="CJ520" s="399">
        <f t="shared" si="234"/>
        <v>0</v>
      </c>
      <c r="CK520" s="399">
        <f t="shared" si="235"/>
        <v>0</v>
      </c>
      <c r="CL520" s="399">
        <f t="shared" si="236"/>
        <v>0</v>
      </c>
      <c r="CM520" s="399">
        <f t="shared" si="237"/>
        <v>0</v>
      </c>
      <c r="CN520" s="399">
        <f t="shared" si="238"/>
        <v>0</v>
      </c>
      <c r="CO520" s="399">
        <f t="shared" si="239"/>
        <v>0</v>
      </c>
      <c r="CP520" s="399">
        <f t="shared" si="240"/>
        <v>0</v>
      </c>
      <c r="CQ520" s="423">
        <f t="shared" si="241"/>
        <v>0</v>
      </c>
      <c r="CS520" s="394" t="e">
        <f t="shared" si="242"/>
        <v>#DIV/0!</v>
      </c>
    </row>
    <row r="521" spans="3:97">
      <c r="C521" s="107"/>
      <c r="D521" s="395"/>
      <c r="E521" s="84"/>
      <c r="F521" s="84"/>
      <c r="G521" s="389"/>
      <c r="H521" s="390"/>
      <c r="I521" s="390"/>
      <c r="J521" s="390"/>
      <c r="K521" s="390"/>
      <c r="L521" s="390"/>
      <c r="M521" s="390"/>
      <c r="N521" s="390"/>
      <c r="O521" s="390"/>
      <c r="P521" s="390"/>
      <c r="Q521" s="390"/>
      <c r="R521" s="390"/>
      <c r="S521" s="390"/>
      <c r="T521" s="390"/>
      <c r="U521" s="390"/>
      <c r="V521" s="390"/>
      <c r="W521" s="390"/>
      <c r="X521" s="390"/>
      <c r="Y521" s="390"/>
      <c r="Z521" s="390"/>
      <c r="AA521" s="390"/>
      <c r="AB521" s="390"/>
      <c r="AC521" s="390"/>
      <c r="AD521" s="390"/>
      <c r="AE521" s="390"/>
      <c r="AF521" s="390"/>
      <c r="AG521" s="390"/>
      <c r="AH521" s="390"/>
      <c r="AI521" s="391"/>
      <c r="AK521" s="437"/>
      <c r="AL521" s="437"/>
      <c r="AM521" s="437"/>
      <c r="AN521" s="437"/>
      <c r="AO521" s="437"/>
      <c r="AP521" s="437"/>
      <c r="AQ521" s="437"/>
      <c r="AR521" s="437"/>
      <c r="AS521" s="437"/>
      <c r="AT521" s="437"/>
      <c r="AU521" s="437"/>
      <c r="AV521" s="437"/>
      <c r="AW521" s="437"/>
      <c r="AX521" s="437"/>
      <c r="AY521" s="437"/>
      <c r="AZ521" s="437"/>
      <c r="BA521" s="437"/>
      <c r="BB521" s="437"/>
      <c r="BC521" s="437"/>
      <c r="BD521" s="437"/>
      <c r="BE521" s="437"/>
      <c r="BF521" s="437"/>
      <c r="BG521" s="437"/>
      <c r="BH521" s="437"/>
      <c r="BI521" s="437"/>
      <c r="BJ521" s="437"/>
      <c r="BK521" s="437"/>
      <c r="BL521" s="437"/>
      <c r="BM521" s="393"/>
      <c r="BO521" s="399">
        <f t="shared" si="213"/>
        <v>0</v>
      </c>
      <c r="BP521" s="399">
        <f t="shared" si="214"/>
        <v>0</v>
      </c>
      <c r="BQ521" s="399">
        <f t="shared" si="215"/>
        <v>0</v>
      </c>
      <c r="BR521" s="399">
        <f t="shared" si="216"/>
        <v>0</v>
      </c>
      <c r="BS521" s="399">
        <f t="shared" si="217"/>
        <v>0</v>
      </c>
      <c r="BT521" s="399">
        <f t="shared" si="218"/>
        <v>0</v>
      </c>
      <c r="BU521" s="399">
        <f t="shared" si="219"/>
        <v>0</v>
      </c>
      <c r="BV521" s="399">
        <f t="shared" si="220"/>
        <v>0</v>
      </c>
      <c r="BW521" s="399">
        <f t="shared" si="221"/>
        <v>0</v>
      </c>
      <c r="BX521" s="399">
        <f t="shared" si="222"/>
        <v>0</v>
      </c>
      <c r="BY521" s="399">
        <f t="shared" si="223"/>
        <v>0</v>
      </c>
      <c r="BZ521" s="399">
        <f t="shared" si="224"/>
        <v>0</v>
      </c>
      <c r="CA521" s="399">
        <f t="shared" si="225"/>
        <v>0</v>
      </c>
      <c r="CB521" s="399">
        <f t="shared" si="226"/>
        <v>0</v>
      </c>
      <c r="CC521" s="399">
        <f t="shared" si="227"/>
        <v>0</v>
      </c>
      <c r="CD521" s="399">
        <f t="shared" si="228"/>
        <v>0</v>
      </c>
      <c r="CE521" s="399">
        <f t="shared" si="229"/>
        <v>0</v>
      </c>
      <c r="CF521" s="399">
        <f t="shared" si="230"/>
        <v>0</v>
      </c>
      <c r="CG521" s="399">
        <f t="shared" si="231"/>
        <v>0</v>
      </c>
      <c r="CH521" s="399">
        <f t="shared" si="232"/>
        <v>0</v>
      </c>
      <c r="CI521" s="399">
        <f t="shared" si="233"/>
        <v>0</v>
      </c>
      <c r="CJ521" s="399">
        <f t="shared" si="234"/>
        <v>0</v>
      </c>
      <c r="CK521" s="399">
        <f t="shared" si="235"/>
        <v>0</v>
      </c>
      <c r="CL521" s="399">
        <f t="shared" si="236"/>
        <v>0</v>
      </c>
      <c r="CM521" s="399">
        <f t="shared" si="237"/>
        <v>0</v>
      </c>
      <c r="CN521" s="399">
        <f t="shared" si="238"/>
        <v>0</v>
      </c>
      <c r="CO521" s="399">
        <f t="shared" si="239"/>
        <v>0</v>
      </c>
      <c r="CP521" s="399">
        <f t="shared" si="240"/>
        <v>0</v>
      </c>
      <c r="CQ521" s="423">
        <f t="shared" si="241"/>
        <v>0</v>
      </c>
      <c r="CS521" s="394" t="e">
        <f t="shared" si="242"/>
        <v>#DIV/0!</v>
      </c>
    </row>
    <row r="522" spans="3:97">
      <c r="C522" s="107"/>
      <c r="D522" s="395"/>
      <c r="E522" s="84"/>
      <c r="F522" s="84"/>
      <c r="G522" s="389"/>
      <c r="H522" s="390"/>
      <c r="I522" s="390"/>
      <c r="J522" s="390"/>
      <c r="K522" s="390"/>
      <c r="L522" s="390"/>
      <c r="M522" s="390"/>
      <c r="N522" s="390"/>
      <c r="O522" s="390"/>
      <c r="P522" s="390"/>
      <c r="Q522" s="390"/>
      <c r="R522" s="390"/>
      <c r="S522" s="390"/>
      <c r="T522" s="390"/>
      <c r="U522" s="390"/>
      <c r="V522" s="390"/>
      <c r="W522" s="390"/>
      <c r="X522" s="390"/>
      <c r="Y522" s="390"/>
      <c r="Z522" s="390"/>
      <c r="AA522" s="390"/>
      <c r="AB522" s="390"/>
      <c r="AC522" s="390"/>
      <c r="AD522" s="390"/>
      <c r="AE522" s="390"/>
      <c r="AF522" s="390"/>
      <c r="AG522" s="390"/>
      <c r="AH522" s="390"/>
      <c r="AI522" s="391"/>
      <c r="AK522" s="437"/>
      <c r="AL522" s="437"/>
      <c r="AM522" s="437"/>
      <c r="AN522" s="437"/>
      <c r="AO522" s="437"/>
      <c r="AP522" s="437"/>
      <c r="AQ522" s="437"/>
      <c r="AR522" s="437"/>
      <c r="AS522" s="437"/>
      <c r="AT522" s="437"/>
      <c r="AU522" s="437"/>
      <c r="AV522" s="437"/>
      <c r="AW522" s="437"/>
      <c r="AX522" s="437"/>
      <c r="AY522" s="437"/>
      <c r="AZ522" s="437"/>
      <c r="BA522" s="437"/>
      <c r="BB522" s="437"/>
      <c r="BC522" s="437"/>
      <c r="BD522" s="437"/>
      <c r="BE522" s="437"/>
      <c r="BF522" s="437"/>
      <c r="BG522" s="437"/>
      <c r="BH522" s="437"/>
      <c r="BI522" s="437"/>
      <c r="BJ522" s="437"/>
      <c r="BK522" s="437"/>
      <c r="BL522" s="437"/>
      <c r="BM522" s="393"/>
      <c r="BO522" s="399">
        <f t="shared" si="213"/>
        <v>0</v>
      </c>
      <c r="BP522" s="399">
        <f t="shared" si="214"/>
        <v>0</v>
      </c>
      <c r="BQ522" s="399">
        <f t="shared" si="215"/>
        <v>0</v>
      </c>
      <c r="BR522" s="399">
        <f t="shared" si="216"/>
        <v>0</v>
      </c>
      <c r="BS522" s="399">
        <f t="shared" si="217"/>
        <v>0</v>
      </c>
      <c r="BT522" s="399">
        <f t="shared" si="218"/>
        <v>0</v>
      </c>
      <c r="BU522" s="399">
        <f t="shared" si="219"/>
        <v>0</v>
      </c>
      <c r="BV522" s="399">
        <f t="shared" si="220"/>
        <v>0</v>
      </c>
      <c r="BW522" s="399">
        <f t="shared" si="221"/>
        <v>0</v>
      </c>
      <c r="BX522" s="399">
        <f t="shared" si="222"/>
        <v>0</v>
      </c>
      <c r="BY522" s="399">
        <f t="shared" si="223"/>
        <v>0</v>
      </c>
      <c r="BZ522" s="399">
        <f t="shared" si="224"/>
        <v>0</v>
      </c>
      <c r="CA522" s="399">
        <f t="shared" si="225"/>
        <v>0</v>
      </c>
      <c r="CB522" s="399">
        <f t="shared" si="226"/>
        <v>0</v>
      </c>
      <c r="CC522" s="399">
        <f t="shared" si="227"/>
        <v>0</v>
      </c>
      <c r="CD522" s="399">
        <f t="shared" si="228"/>
        <v>0</v>
      </c>
      <c r="CE522" s="399">
        <f t="shared" si="229"/>
        <v>0</v>
      </c>
      <c r="CF522" s="399">
        <f t="shared" si="230"/>
        <v>0</v>
      </c>
      <c r="CG522" s="399">
        <f t="shared" si="231"/>
        <v>0</v>
      </c>
      <c r="CH522" s="399">
        <f t="shared" si="232"/>
        <v>0</v>
      </c>
      <c r="CI522" s="399">
        <f t="shared" si="233"/>
        <v>0</v>
      </c>
      <c r="CJ522" s="399">
        <f t="shared" si="234"/>
        <v>0</v>
      </c>
      <c r="CK522" s="399">
        <f t="shared" si="235"/>
        <v>0</v>
      </c>
      <c r="CL522" s="399">
        <f t="shared" si="236"/>
        <v>0</v>
      </c>
      <c r="CM522" s="399">
        <f t="shared" si="237"/>
        <v>0</v>
      </c>
      <c r="CN522" s="399">
        <f t="shared" si="238"/>
        <v>0</v>
      </c>
      <c r="CO522" s="399">
        <f t="shared" si="239"/>
        <v>0</v>
      </c>
      <c r="CP522" s="399">
        <f t="shared" si="240"/>
        <v>0</v>
      </c>
      <c r="CQ522" s="423">
        <f t="shared" si="241"/>
        <v>0</v>
      </c>
      <c r="CS522" s="394" t="e">
        <f t="shared" si="242"/>
        <v>#DIV/0!</v>
      </c>
    </row>
    <row r="523" spans="3:97">
      <c r="C523" s="107"/>
      <c r="D523" s="395"/>
      <c r="E523" s="84"/>
      <c r="F523" s="84"/>
      <c r="G523" s="389"/>
      <c r="H523" s="390"/>
      <c r="I523" s="390"/>
      <c r="J523" s="390"/>
      <c r="K523" s="390"/>
      <c r="L523" s="390"/>
      <c r="M523" s="390"/>
      <c r="N523" s="390"/>
      <c r="O523" s="390"/>
      <c r="P523" s="390"/>
      <c r="Q523" s="390"/>
      <c r="R523" s="390"/>
      <c r="S523" s="390"/>
      <c r="T523" s="390"/>
      <c r="U523" s="390"/>
      <c r="V523" s="390"/>
      <c r="W523" s="390"/>
      <c r="X523" s="390"/>
      <c r="Y523" s="390"/>
      <c r="Z523" s="390"/>
      <c r="AA523" s="390"/>
      <c r="AB523" s="390"/>
      <c r="AC523" s="390"/>
      <c r="AD523" s="390"/>
      <c r="AE523" s="390"/>
      <c r="AF523" s="390"/>
      <c r="AG523" s="390"/>
      <c r="AH523" s="390"/>
      <c r="AI523" s="391"/>
      <c r="AK523" s="437"/>
      <c r="AL523" s="437"/>
      <c r="AM523" s="437"/>
      <c r="AN523" s="437"/>
      <c r="AO523" s="437"/>
      <c r="AP523" s="437"/>
      <c r="AQ523" s="437"/>
      <c r="AR523" s="437"/>
      <c r="AS523" s="437"/>
      <c r="AT523" s="437"/>
      <c r="AU523" s="437"/>
      <c r="AV523" s="437"/>
      <c r="AW523" s="437"/>
      <c r="AX523" s="437"/>
      <c r="AY523" s="437"/>
      <c r="AZ523" s="437"/>
      <c r="BA523" s="437"/>
      <c r="BB523" s="437"/>
      <c r="BC523" s="437"/>
      <c r="BD523" s="437"/>
      <c r="BE523" s="437"/>
      <c r="BF523" s="437"/>
      <c r="BG523" s="437"/>
      <c r="BH523" s="437"/>
      <c r="BI523" s="437"/>
      <c r="BJ523" s="437"/>
      <c r="BK523" s="437"/>
      <c r="BL523" s="437"/>
      <c r="BM523" s="393"/>
      <c r="BO523" s="399">
        <f t="shared" si="213"/>
        <v>0</v>
      </c>
      <c r="BP523" s="399">
        <f t="shared" si="214"/>
        <v>0</v>
      </c>
      <c r="BQ523" s="399">
        <f t="shared" si="215"/>
        <v>0</v>
      </c>
      <c r="BR523" s="399">
        <f t="shared" si="216"/>
        <v>0</v>
      </c>
      <c r="BS523" s="399">
        <f t="shared" si="217"/>
        <v>0</v>
      </c>
      <c r="BT523" s="399">
        <f t="shared" si="218"/>
        <v>0</v>
      </c>
      <c r="BU523" s="399">
        <f t="shared" si="219"/>
        <v>0</v>
      </c>
      <c r="BV523" s="399">
        <f t="shared" si="220"/>
        <v>0</v>
      </c>
      <c r="BW523" s="399">
        <f t="shared" si="221"/>
        <v>0</v>
      </c>
      <c r="BX523" s="399">
        <f t="shared" si="222"/>
        <v>0</v>
      </c>
      <c r="BY523" s="399">
        <f t="shared" si="223"/>
        <v>0</v>
      </c>
      <c r="BZ523" s="399">
        <f t="shared" si="224"/>
        <v>0</v>
      </c>
      <c r="CA523" s="399">
        <f t="shared" si="225"/>
        <v>0</v>
      </c>
      <c r="CB523" s="399">
        <f t="shared" si="226"/>
        <v>0</v>
      </c>
      <c r="CC523" s="399">
        <f t="shared" si="227"/>
        <v>0</v>
      </c>
      <c r="CD523" s="399">
        <f t="shared" si="228"/>
        <v>0</v>
      </c>
      <c r="CE523" s="399">
        <f t="shared" si="229"/>
        <v>0</v>
      </c>
      <c r="CF523" s="399">
        <f t="shared" si="230"/>
        <v>0</v>
      </c>
      <c r="CG523" s="399">
        <f t="shared" si="231"/>
        <v>0</v>
      </c>
      <c r="CH523" s="399">
        <f t="shared" si="232"/>
        <v>0</v>
      </c>
      <c r="CI523" s="399">
        <f t="shared" si="233"/>
        <v>0</v>
      </c>
      <c r="CJ523" s="399">
        <f t="shared" si="234"/>
        <v>0</v>
      </c>
      <c r="CK523" s="399">
        <f t="shared" si="235"/>
        <v>0</v>
      </c>
      <c r="CL523" s="399">
        <f t="shared" si="236"/>
        <v>0</v>
      </c>
      <c r="CM523" s="399">
        <f t="shared" si="237"/>
        <v>0</v>
      </c>
      <c r="CN523" s="399">
        <f t="shared" si="238"/>
        <v>0</v>
      </c>
      <c r="CO523" s="399">
        <f t="shared" si="239"/>
        <v>0</v>
      </c>
      <c r="CP523" s="399">
        <f t="shared" si="240"/>
        <v>0</v>
      </c>
      <c r="CQ523" s="423">
        <f t="shared" si="241"/>
        <v>0</v>
      </c>
      <c r="CS523" s="394" t="e">
        <f t="shared" si="242"/>
        <v>#DIV/0!</v>
      </c>
    </row>
    <row r="524" spans="3:97">
      <c r="C524" s="107"/>
      <c r="D524" s="395"/>
      <c r="E524" s="84"/>
      <c r="F524" s="84"/>
      <c r="G524" s="389"/>
      <c r="H524" s="390"/>
      <c r="I524" s="390"/>
      <c r="J524" s="390"/>
      <c r="K524" s="390"/>
      <c r="L524" s="390"/>
      <c r="M524" s="390"/>
      <c r="N524" s="390"/>
      <c r="O524" s="390"/>
      <c r="P524" s="390"/>
      <c r="Q524" s="390"/>
      <c r="R524" s="390"/>
      <c r="S524" s="390"/>
      <c r="T524" s="390"/>
      <c r="U524" s="390"/>
      <c r="V524" s="390"/>
      <c r="W524" s="390"/>
      <c r="X524" s="390"/>
      <c r="Y524" s="390"/>
      <c r="Z524" s="390"/>
      <c r="AA524" s="390"/>
      <c r="AB524" s="390"/>
      <c r="AC524" s="390"/>
      <c r="AD524" s="390"/>
      <c r="AE524" s="390"/>
      <c r="AF524" s="390"/>
      <c r="AG524" s="390"/>
      <c r="AH524" s="390"/>
      <c r="AI524" s="391"/>
      <c r="AK524" s="437"/>
      <c r="AL524" s="437"/>
      <c r="AM524" s="437"/>
      <c r="AN524" s="437"/>
      <c r="AO524" s="437"/>
      <c r="AP524" s="437"/>
      <c r="AQ524" s="437"/>
      <c r="AR524" s="437"/>
      <c r="AS524" s="437"/>
      <c r="AT524" s="437"/>
      <c r="AU524" s="437"/>
      <c r="AV524" s="437"/>
      <c r="AW524" s="437"/>
      <c r="AX524" s="437"/>
      <c r="AY524" s="437"/>
      <c r="AZ524" s="437"/>
      <c r="BA524" s="437"/>
      <c r="BB524" s="437"/>
      <c r="BC524" s="437"/>
      <c r="BD524" s="437"/>
      <c r="BE524" s="437"/>
      <c r="BF524" s="437"/>
      <c r="BG524" s="437"/>
      <c r="BH524" s="437"/>
      <c r="BI524" s="437"/>
      <c r="BJ524" s="437"/>
      <c r="BK524" s="437"/>
      <c r="BL524" s="437"/>
      <c r="BM524" s="393"/>
      <c r="BO524" s="399">
        <f t="shared" si="213"/>
        <v>0</v>
      </c>
      <c r="BP524" s="399">
        <f t="shared" si="214"/>
        <v>0</v>
      </c>
      <c r="BQ524" s="399">
        <f t="shared" si="215"/>
        <v>0</v>
      </c>
      <c r="BR524" s="399">
        <f t="shared" si="216"/>
        <v>0</v>
      </c>
      <c r="BS524" s="399">
        <f t="shared" si="217"/>
        <v>0</v>
      </c>
      <c r="BT524" s="399">
        <f t="shared" si="218"/>
        <v>0</v>
      </c>
      <c r="BU524" s="399">
        <f t="shared" si="219"/>
        <v>0</v>
      </c>
      <c r="BV524" s="399">
        <f t="shared" si="220"/>
        <v>0</v>
      </c>
      <c r="BW524" s="399">
        <f t="shared" si="221"/>
        <v>0</v>
      </c>
      <c r="BX524" s="399">
        <f t="shared" si="222"/>
        <v>0</v>
      </c>
      <c r="BY524" s="399">
        <f t="shared" si="223"/>
        <v>0</v>
      </c>
      <c r="BZ524" s="399">
        <f t="shared" si="224"/>
        <v>0</v>
      </c>
      <c r="CA524" s="399">
        <f t="shared" si="225"/>
        <v>0</v>
      </c>
      <c r="CB524" s="399">
        <f t="shared" si="226"/>
        <v>0</v>
      </c>
      <c r="CC524" s="399">
        <f t="shared" si="227"/>
        <v>0</v>
      </c>
      <c r="CD524" s="399">
        <f t="shared" si="228"/>
        <v>0</v>
      </c>
      <c r="CE524" s="399">
        <f t="shared" si="229"/>
        <v>0</v>
      </c>
      <c r="CF524" s="399">
        <f t="shared" si="230"/>
        <v>0</v>
      </c>
      <c r="CG524" s="399">
        <f t="shared" si="231"/>
        <v>0</v>
      </c>
      <c r="CH524" s="399">
        <f t="shared" si="232"/>
        <v>0</v>
      </c>
      <c r="CI524" s="399">
        <f t="shared" si="233"/>
        <v>0</v>
      </c>
      <c r="CJ524" s="399">
        <f t="shared" si="234"/>
        <v>0</v>
      </c>
      <c r="CK524" s="399">
        <f t="shared" si="235"/>
        <v>0</v>
      </c>
      <c r="CL524" s="399">
        <f t="shared" si="236"/>
        <v>0</v>
      </c>
      <c r="CM524" s="399">
        <f t="shared" si="237"/>
        <v>0</v>
      </c>
      <c r="CN524" s="399">
        <f t="shared" si="238"/>
        <v>0</v>
      </c>
      <c r="CO524" s="399">
        <f t="shared" si="239"/>
        <v>0</v>
      </c>
      <c r="CP524" s="399">
        <f t="shared" si="240"/>
        <v>0</v>
      </c>
      <c r="CQ524" s="423">
        <f t="shared" si="241"/>
        <v>0</v>
      </c>
      <c r="CS524" s="394" t="e">
        <f t="shared" si="242"/>
        <v>#DIV/0!</v>
      </c>
    </row>
    <row r="525" spans="3:97">
      <c r="C525" s="107"/>
      <c r="D525" s="395"/>
      <c r="E525" s="84"/>
      <c r="F525" s="84"/>
      <c r="G525" s="389"/>
      <c r="H525" s="390"/>
      <c r="I525" s="390"/>
      <c r="J525" s="390"/>
      <c r="K525" s="390"/>
      <c r="L525" s="390"/>
      <c r="M525" s="390"/>
      <c r="N525" s="390"/>
      <c r="O525" s="390"/>
      <c r="P525" s="390"/>
      <c r="Q525" s="390"/>
      <c r="R525" s="390"/>
      <c r="S525" s="390"/>
      <c r="T525" s="390"/>
      <c r="U525" s="390"/>
      <c r="V525" s="390"/>
      <c r="W525" s="390"/>
      <c r="X525" s="390"/>
      <c r="Y525" s="390"/>
      <c r="Z525" s="390"/>
      <c r="AA525" s="390"/>
      <c r="AB525" s="390"/>
      <c r="AC525" s="390"/>
      <c r="AD525" s="390"/>
      <c r="AE525" s="390"/>
      <c r="AF525" s="390"/>
      <c r="AG525" s="390"/>
      <c r="AH525" s="390"/>
      <c r="AI525" s="391"/>
      <c r="AK525" s="437"/>
      <c r="AL525" s="437"/>
      <c r="AM525" s="437"/>
      <c r="AN525" s="437"/>
      <c r="AO525" s="437"/>
      <c r="AP525" s="437"/>
      <c r="AQ525" s="437"/>
      <c r="AR525" s="437"/>
      <c r="AS525" s="437"/>
      <c r="AT525" s="437"/>
      <c r="AU525" s="437"/>
      <c r="AV525" s="437"/>
      <c r="AW525" s="437"/>
      <c r="AX525" s="437"/>
      <c r="AY525" s="437"/>
      <c r="AZ525" s="437"/>
      <c r="BA525" s="437"/>
      <c r="BB525" s="437"/>
      <c r="BC525" s="437"/>
      <c r="BD525" s="437"/>
      <c r="BE525" s="437"/>
      <c r="BF525" s="437"/>
      <c r="BG525" s="437"/>
      <c r="BH525" s="437"/>
      <c r="BI525" s="437"/>
      <c r="BJ525" s="437"/>
      <c r="BK525" s="437"/>
      <c r="BL525" s="437"/>
      <c r="BM525" s="393"/>
      <c r="BO525" s="399">
        <f t="shared" si="213"/>
        <v>0</v>
      </c>
      <c r="BP525" s="399">
        <f t="shared" si="214"/>
        <v>0</v>
      </c>
      <c r="BQ525" s="399">
        <f t="shared" si="215"/>
        <v>0</v>
      </c>
      <c r="BR525" s="399">
        <f t="shared" si="216"/>
        <v>0</v>
      </c>
      <c r="BS525" s="399">
        <f t="shared" si="217"/>
        <v>0</v>
      </c>
      <c r="BT525" s="399">
        <f t="shared" si="218"/>
        <v>0</v>
      </c>
      <c r="BU525" s="399">
        <f t="shared" si="219"/>
        <v>0</v>
      </c>
      <c r="BV525" s="399">
        <f t="shared" si="220"/>
        <v>0</v>
      </c>
      <c r="BW525" s="399">
        <f t="shared" si="221"/>
        <v>0</v>
      </c>
      <c r="BX525" s="399">
        <f t="shared" si="222"/>
        <v>0</v>
      </c>
      <c r="BY525" s="399">
        <f t="shared" si="223"/>
        <v>0</v>
      </c>
      <c r="BZ525" s="399">
        <f t="shared" si="224"/>
        <v>0</v>
      </c>
      <c r="CA525" s="399">
        <f t="shared" si="225"/>
        <v>0</v>
      </c>
      <c r="CB525" s="399">
        <f t="shared" si="226"/>
        <v>0</v>
      </c>
      <c r="CC525" s="399">
        <f t="shared" si="227"/>
        <v>0</v>
      </c>
      <c r="CD525" s="399">
        <f t="shared" si="228"/>
        <v>0</v>
      </c>
      <c r="CE525" s="399">
        <f t="shared" si="229"/>
        <v>0</v>
      </c>
      <c r="CF525" s="399">
        <f t="shared" si="230"/>
        <v>0</v>
      </c>
      <c r="CG525" s="399">
        <f t="shared" si="231"/>
        <v>0</v>
      </c>
      <c r="CH525" s="399">
        <f t="shared" si="232"/>
        <v>0</v>
      </c>
      <c r="CI525" s="399">
        <f t="shared" si="233"/>
        <v>0</v>
      </c>
      <c r="CJ525" s="399">
        <f t="shared" si="234"/>
        <v>0</v>
      </c>
      <c r="CK525" s="399">
        <f t="shared" si="235"/>
        <v>0</v>
      </c>
      <c r="CL525" s="399">
        <f t="shared" si="236"/>
        <v>0</v>
      </c>
      <c r="CM525" s="399">
        <f t="shared" si="237"/>
        <v>0</v>
      </c>
      <c r="CN525" s="399">
        <f t="shared" si="238"/>
        <v>0</v>
      </c>
      <c r="CO525" s="399">
        <f t="shared" si="239"/>
        <v>0</v>
      </c>
      <c r="CP525" s="399">
        <f t="shared" si="240"/>
        <v>0</v>
      </c>
      <c r="CQ525" s="423">
        <f t="shared" si="241"/>
        <v>0</v>
      </c>
      <c r="CS525" s="394" t="e">
        <f t="shared" si="242"/>
        <v>#DIV/0!</v>
      </c>
    </row>
    <row r="526" spans="3:97">
      <c r="C526" s="107"/>
      <c r="D526" s="395"/>
      <c r="E526" s="84"/>
      <c r="F526" s="84"/>
      <c r="G526" s="389"/>
      <c r="H526" s="390"/>
      <c r="I526" s="390"/>
      <c r="J526" s="390"/>
      <c r="K526" s="390"/>
      <c r="L526" s="390"/>
      <c r="M526" s="390"/>
      <c r="N526" s="390"/>
      <c r="O526" s="390"/>
      <c r="P526" s="390"/>
      <c r="Q526" s="390"/>
      <c r="R526" s="390"/>
      <c r="S526" s="390"/>
      <c r="T526" s="390"/>
      <c r="U526" s="390"/>
      <c r="V526" s="390"/>
      <c r="W526" s="390"/>
      <c r="X526" s="390"/>
      <c r="Y526" s="390"/>
      <c r="Z526" s="390"/>
      <c r="AA526" s="390"/>
      <c r="AB526" s="390"/>
      <c r="AC526" s="390"/>
      <c r="AD526" s="390"/>
      <c r="AE526" s="390"/>
      <c r="AF526" s="390"/>
      <c r="AG526" s="390"/>
      <c r="AH526" s="390"/>
      <c r="AI526" s="391"/>
      <c r="AK526" s="437"/>
      <c r="AL526" s="437"/>
      <c r="AM526" s="437"/>
      <c r="AN526" s="437"/>
      <c r="AO526" s="437"/>
      <c r="AP526" s="437"/>
      <c r="AQ526" s="437"/>
      <c r="AR526" s="437"/>
      <c r="AS526" s="437"/>
      <c r="AT526" s="437"/>
      <c r="AU526" s="437"/>
      <c r="AV526" s="437"/>
      <c r="AW526" s="437"/>
      <c r="AX526" s="437"/>
      <c r="AY526" s="437"/>
      <c r="AZ526" s="437"/>
      <c r="BA526" s="437"/>
      <c r="BB526" s="437"/>
      <c r="BC526" s="437"/>
      <c r="BD526" s="437"/>
      <c r="BE526" s="437"/>
      <c r="BF526" s="437"/>
      <c r="BG526" s="437"/>
      <c r="BH526" s="437"/>
      <c r="BI526" s="437"/>
      <c r="BJ526" s="437"/>
      <c r="BK526" s="437"/>
      <c r="BL526" s="437"/>
      <c r="BM526" s="393"/>
      <c r="BO526" s="399">
        <f t="shared" si="213"/>
        <v>0</v>
      </c>
      <c r="BP526" s="399">
        <f t="shared" si="214"/>
        <v>0</v>
      </c>
      <c r="BQ526" s="399">
        <f t="shared" si="215"/>
        <v>0</v>
      </c>
      <c r="BR526" s="399">
        <f t="shared" si="216"/>
        <v>0</v>
      </c>
      <c r="BS526" s="399">
        <f t="shared" si="217"/>
        <v>0</v>
      </c>
      <c r="BT526" s="399">
        <f t="shared" si="218"/>
        <v>0</v>
      </c>
      <c r="BU526" s="399">
        <f t="shared" si="219"/>
        <v>0</v>
      </c>
      <c r="BV526" s="399">
        <f t="shared" si="220"/>
        <v>0</v>
      </c>
      <c r="BW526" s="399">
        <f t="shared" si="221"/>
        <v>0</v>
      </c>
      <c r="BX526" s="399">
        <f t="shared" si="222"/>
        <v>0</v>
      </c>
      <c r="BY526" s="399">
        <f t="shared" si="223"/>
        <v>0</v>
      </c>
      <c r="BZ526" s="399">
        <f t="shared" si="224"/>
        <v>0</v>
      </c>
      <c r="CA526" s="399">
        <f t="shared" si="225"/>
        <v>0</v>
      </c>
      <c r="CB526" s="399">
        <f t="shared" si="226"/>
        <v>0</v>
      </c>
      <c r="CC526" s="399">
        <f t="shared" si="227"/>
        <v>0</v>
      </c>
      <c r="CD526" s="399">
        <f t="shared" si="228"/>
        <v>0</v>
      </c>
      <c r="CE526" s="399">
        <f t="shared" si="229"/>
        <v>0</v>
      </c>
      <c r="CF526" s="399">
        <f t="shared" si="230"/>
        <v>0</v>
      </c>
      <c r="CG526" s="399">
        <f t="shared" si="231"/>
        <v>0</v>
      </c>
      <c r="CH526" s="399">
        <f t="shared" si="232"/>
        <v>0</v>
      </c>
      <c r="CI526" s="399">
        <f t="shared" si="233"/>
        <v>0</v>
      </c>
      <c r="CJ526" s="399">
        <f t="shared" si="234"/>
        <v>0</v>
      </c>
      <c r="CK526" s="399">
        <f t="shared" si="235"/>
        <v>0</v>
      </c>
      <c r="CL526" s="399">
        <f t="shared" si="236"/>
        <v>0</v>
      </c>
      <c r="CM526" s="399">
        <f t="shared" si="237"/>
        <v>0</v>
      </c>
      <c r="CN526" s="399">
        <f t="shared" si="238"/>
        <v>0</v>
      </c>
      <c r="CO526" s="399">
        <f t="shared" si="239"/>
        <v>0</v>
      </c>
      <c r="CP526" s="399">
        <f t="shared" si="240"/>
        <v>0</v>
      </c>
      <c r="CQ526" s="423">
        <f t="shared" si="241"/>
        <v>0</v>
      </c>
      <c r="CS526" s="394" t="e">
        <f t="shared" si="242"/>
        <v>#DIV/0!</v>
      </c>
    </row>
    <row r="527" spans="3:97">
      <c r="C527" s="107"/>
      <c r="D527" s="395"/>
      <c r="E527" s="84"/>
      <c r="F527" s="84"/>
      <c r="G527" s="389"/>
      <c r="H527" s="390"/>
      <c r="I527" s="390"/>
      <c r="J527" s="390"/>
      <c r="K527" s="390"/>
      <c r="L527" s="390"/>
      <c r="M527" s="390"/>
      <c r="N527" s="390"/>
      <c r="O527" s="390"/>
      <c r="P527" s="390"/>
      <c r="Q527" s="390"/>
      <c r="R527" s="390"/>
      <c r="S527" s="390"/>
      <c r="T527" s="390"/>
      <c r="U527" s="390"/>
      <c r="V527" s="390"/>
      <c r="W527" s="390"/>
      <c r="X527" s="390"/>
      <c r="Y527" s="390"/>
      <c r="Z527" s="390"/>
      <c r="AA527" s="390"/>
      <c r="AB527" s="390"/>
      <c r="AC527" s="390"/>
      <c r="AD527" s="390"/>
      <c r="AE527" s="390"/>
      <c r="AF527" s="390"/>
      <c r="AG527" s="390"/>
      <c r="AH527" s="390"/>
      <c r="AI527" s="391"/>
      <c r="AK527" s="437"/>
      <c r="AL527" s="437"/>
      <c r="AM527" s="437"/>
      <c r="AN527" s="437"/>
      <c r="AO527" s="437"/>
      <c r="AP527" s="437"/>
      <c r="AQ527" s="437"/>
      <c r="AR527" s="437"/>
      <c r="AS527" s="437"/>
      <c r="AT527" s="437"/>
      <c r="AU527" s="437"/>
      <c r="AV527" s="437"/>
      <c r="AW527" s="437"/>
      <c r="AX527" s="437"/>
      <c r="AY527" s="437"/>
      <c r="AZ527" s="437"/>
      <c r="BA527" s="437"/>
      <c r="BB527" s="437"/>
      <c r="BC527" s="437"/>
      <c r="BD527" s="437"/>
      <c r="BE527" s="437"/>
      <c r="BF527" s="437"/>
      <c r="BG527" s="437"/>
      <c r="BH527" s="437"/>
      <c r="BI527" s="437"/>
      <c r="BJ527" s="437"/>
      <c r="BK527" s="437"/>
      <c r="BL527" s="437"/>
      <c r="BM527" s="393"/>
      <c r="BO527" s="399">
        <f t="shared" si="213"/>
        <v>0</v>
      </c>
      <c r="BP527" s="399">
        <f t="shared" si="214"/>
        <v>0</v>
      </c>
      <c r="BQ527" s="399">
        <f t="shared" si="215"/>
        <v>0</v>
      </c>
      <c r="BR527" s="399">
        <f t="shared" si="216"/>
        <v>0</v>
      </c>
      <c r="BS527" s="399">
        <f t="shared" si="217"/>
        <v>0</v>
      </c>
      <c r="BT527" s="399">
        <f t="shared" si="218"/>
        <v>0</v>
      </c>
      <c r="BU527" s="399">
        <f t="shared" si="219"/>
        <v>0</v>
      </c>
      <c r="BV527" s="399">
        <f t="shared" si="220"/>
        <v>0</v>
      </c>
      <c r="BW527" s="399">
        <f t="shared" si="221"/>
        <v>0</v>
      </c>
      <c r="BX527" s="399">
        <f t="shared" si="222"/>
        <v>0</v>
      </c>
      <c r="BY527" s="399">
        <f t="shared" si="223"/>
        <v>0</v>
      </c>
      <c r="BZ527" s="399">
        <f t="shared" si="224"/>
        <v>0</v>
      </c>
      <c r="CA527" s="399">
        <f t="shared" si="225"/>
        <v>0</v>
      </c>
      <c r="CB527" s="399">
        <f t="shared" si="226"/>
        <v>0</v>
      </c>
      <c r="CC527" s="399">
        <f t="shared" si="227"/>
        <v>0</v>
      </c>
      <c r="CD527" s="399">
        <f t="shared" si="228"/>
        <v>0</v>
      </c>
      <c r="CE527" s="399">
        <f t="shared" si="229"/>
        <v>0</v>
      </c>
      <c r="CF527" s="399">
        <f t="shared" si="230"/>
        <v>0</v>
      </c>
      <c r="CG527" s="399">
        <f t="shared" si="231"/>
        <v>0</v>
      </c>
      <c r="CH527" s="399">
        <f t="shared" si="232"/>
        <v>0</v>
      </c>
      <c r="CI527" s="399">
        <f t="shared" si="233"/>
        <v>0</v>
      </c>
      <c r="CJ527" s="399">
        <f t="shared" si="234"/>
        <v>0</v>
      </c>
      <c r="CK527" s="399">
        <f t="shared" si="235"/>
        <v>0</v>
      </c>
      <c r="CL527" s="399">
        <f t="shared" si="236"/>
        <v>0</v>
      </c>
      <c r="CM527" s="399">
        <f t="shared" si="237"/>
        <v>0</v>
      </c>
      <c r="CN527" s="399">
        <f t="shared" si="238"/>
        <v>0</v>
      </c>
      <c r="CO527" s="399">
        <f t="shared" si="239"/>
        <v>0</v>
      </c>
      <c r="CP527" s="399">
        <f t="shared" si="240"/>
        <v>0</v>
      </c>
      <c r="CQ527" s="423">
        <f t="shared" si="241"/>
        <v>0</v>
      </c>
      <c r="CS527" s="394" t="e">
        <f t="shared" si="242"/>
        <v>#DIV/0!</v>
      </c>
    </row>
    <row r="528" spans="3:97">
      <c r="C528" s="107"/>
      <c r="D528" s="395"/>
      <c r="E528" s="84"/>
      <c r="F528" s="84"/>
      <c r="G528" s="389"/>
      <c r="H528" s="390"/>
      <c r="I528" s="390"/>
      <c r="J528" s="390"/>
      <c r="K528" s="390"/>
      <c r="L528" s="390"/>
      <c r="M528" s="390"/>
      <c r="N528" s="390"/>
      <c r="O528" s="390"/>
      <c r="P528" s="390"/>
      <c r="Q528" s="390"/>
      <c r="R528" s="390"/>
      <c r="S528" s="390"/>
      <c r="T528" s="390"/>
      <c r="U528" s="390"/>
      <c r="V528" s="390"/>
      <c r="W528" s="390"/>
      <c r="X528" s="390"/>
      <c r="Y528" s="390"/>
      <c r="Z528" s="390"/>
      <c r="AA528" s="390"/>
      <c r="AB528" s="390"/>
      <c r="AC528" s="390"/>
      <c r="AD528" s="390"/>
      <c r="AE528" s="390"/>
      <c r="AF528" s="390"/>
      <c r="AG528" s="390"/>
      <c r="AH528" s="390"/>
      <c r="AI528" s="391"/>
      <c r="AK528" s="437"/>
      <c r="AL528" s="437"/>
      <c r="AM528" s="437"/>
      <c r="AN528" s="437"/>
      <c r="AO528" s="437"/>
      <c r="AP528" s="437"/>
      <c r="AQ528" s="437"/>
      <c r="AR528" s="437"/>
      <c r="AS528" s="437"/>
      <c r="AT528" s="437"/>
      <c r="AU528" s="437"/>
      <c r="AV528" s="437"/>
      <c r="AW528" s="437"/>
      <c r="AX528" s="437"/>
      <c r="AY528" s="437"/>
      <c r="AZ528" s="437"/>
      <c r="BA528" s="437"/>
      <c r="BB528" s="437"/>
      <c r="BC528" s="437"/>
      <c r="BD528" s="437"/>
      <c r="BE528" s="437"/>
      <c r="BF528" s="437"/>
      <c r="BG528" s="437"/>
      <c r="BH528" s="437"/>
      <c r="BI528" s="437"/>
      <c r="BJ528" s="437"/>
      <c r="BK528" s="437"/>
      <c r="BL528" s="437"/>
      <c r="BM528" s="393"/>
      <c r="BO528" s="399">
        <f t="shared" si="213"/>
        <v>0</v>
      </c>
      <c r="BP528" s="399">
        <f t="shared" si="214"/>
        <v>0</v>
      </c>
      <c r="BQ528" s="399">
        <f t="shared" si="215"/>
        <v>0</v>
      </c>
      <c r="BR528" s="399">
        <f t="shared" si="216"/>
        <v>0</v>
      </c>
      <c r="BS528" s="399">
        <f t="shared" si="217"/>
        <v>0</v>
      </c>
      <c r="BT528" s="399">
        <f t="shared" si="218"/>
        <v>0</v>
      </c>
      <c r="BU528" s="399">
        <f t="shared" si="219"/>
        <v>0</v>
      </c>
      <c r="BV528" s="399">
        <f t="shared" si="220"/>
        <v>0</v>
      </c>
      <c r="BW528" s="399">
        <f t="shared" si="221"/>
        <v>0</v>
      </c>
      <c r="BX528" s="399">
        <f t="shared" si="222"/>
        <v>0</v>
      </c>
      <c r="BY528" s="399">
        <f t="shared" si="223"/>
        <v>0</v>
      </c>
      <c r="BZ528" s="399">
        <f t="shared" si="224"/>
        <v>0</v>
      </c>
      <c r="CA528" s="399">
        <f t="shared" si="225"/>
        <v>0</v>
      </c>
      <c r="CB528" s="399">
        <f t="shared" si="226"/>
        <v>0</v>
      </c>
      <c r="CC528" s="399">
        <f t="shared" si="227"/>
        <v>0</v>
      </c>
      <c r="CD528" s="399">
        <f t="shared" si="228"/>
        <v>0</v>
      </c>
      <c r="CE528" s="399">
        <f t="shared" si="229"/>
        <v>0</v>
      </c>
      <c r="CF528" s="399">
        <f t="shared" si="230"/>
        <v>0</v>
      </c>
      <c r="CG528" s="399">
        <f t="shared" si="231"/>
        <v>0</v>
      </c>
      <c r="CH528" s="399">
        <f t="shared" si="232"/>
        <v>0</v>
      </c>
      <c r="CI528" s="399">
        <f t="shared" si="233"/>
        <v>0</v>
      </c>
      <c r="CJ528" s="399">
        <f t="shared" si="234"/>
        <v>0</v>
      </c>
      <c r="CK528" s="399">
        <f t="shared" si="235"/>
        <v>0</v>
      </c>
      <c r="CL528" s="399">
        <f t="shared" si="236"/>
        <v>0</v>
      </c>
      <c r="CM528" s="399">
        <f t="shared" si="237"/>
        <v>0</v>
      </c>
      <c r="CN528" s="399">
        <f t="shared" si="238"/>
        <v>0</v>
      </c>
      <c r="CO528" s="399">
        <f t="shared" si="239"/>
        <v>0</v>
      </c>
      <c r="CP528" s="399">
        <f t="shared" si="240"/>
        <v>0</v>
      </c>
      <c r="CQ528" s="423">
        <f t="shared" si="241"/>
        <v>0</v>
      </c>
      <c r="CS528" s="394" t="e">
        <f t="shared" si="242"/>
        <v>#DIV/0!</v>
      </c>
    </row>
    <row r="529" spans="3:97">
      <c r="C529" s="107"/>
      <c r="D529" s="395"/>
      <c r="E529" s="84"/>
      <c r="F529" s="84"/>
      <c r="G529" s="389"/>
      <c r="H529" s="390"/>
      <c r="I529" s="390"/>
      <c r="J529" s="390"/>
      <c r="K529" s="390"/>
      <c r="L529" s="390"/>
      <c r="M529" s="390"/>
      <c r="N529" s="390"/>
      <c r="O529" s="390"/>
      <c r="P529" s="390"/>
      <c r="Q529" s="390"/>
      <c r="R529" s="390"/>
      <c r="S529" s="390"/>
      <c r="T529" s="390"/>
      <c r="U529" s="390"/>
      <c r="V529" s="390"/>
      <c r="W529" s="390"/>
      <c r="X529" s="390"/>
      <c r="Y529" s="390"/>
      <c r="Z529" s="390"/>
      <c r="AA529" s="390"/>
      <c r="AB529" s="390"/>
      <c r="AC529" s="390"/>
      <c r="AD529" s="390"/>
      <c r="AE529" s="390"/>
      <c r="AF529" s="390"/>
      <c r="AG529" s="390"/>
      <c r="AH529" s="390"/>
      <c r="AI529" s="391"/>
      <c r="AK529" s="437"/>
      <c r="AL529" s="437"/>
      <c r="AM529" s="437"/>
      <c r="AN529" s="437"/>
      <c r="AO529" s="437"/>
      <c r="AP529" s="437"/>
      <c r="AQ529" s="437"/>
      <c r="AR529" s="437"/>
      <c r="AS529" s="437"/>
      <c r="AT529" s="437"/>
      <c r="AU529" s="437"/>
      <c r="AV529" s="437"/>
      <c r="AW529" s="437"/>
      <c r="AX529" s="437"/>
      <c r="AY529" s="437"/>
      <c r="AZ529" s="437"/>
      <c r="BA529" s="437"/>
      <c r="BB529" s="437"/>
      <c r="BC529" s="437"/>
      <c r="BD529" s="437"/>
      <c r="BE529" s="437"/>
      <c r="BF529" s="437"/>
      <c r="BG529" s="437"/>
      <c r="BH529" s="437"/>
      <c r="BI529" s="437"/>
      <c r="BJ529" s="437"/>
      <c r="BK529" s="437"/>
      <c r="BL529" s="437"/>
      <c r="BM529" s="393"/>
      <c r="BO529" s="399">
        <f t="shared" si="213"/>
        <v>0</v>
      </c>
      <c r="BP529" s="399">
        <f t="shared" si="214"/>
        <v>0</v>
      </c>
      <c r="BQ529" s="399">
        <f t="shared" si="215"/>
        <v>0</v>
      </c>
      <c r="BR529" s="399">
        <f t="shared" si="216"/>
        <v>0</v>
      </c>
      <c r="BS529" s="399">
        <f t="shared" si="217"/>
        <v>0</v>
      </c>
      <c r="BT529" s="399">
        <f t="shared" si="218"/>
        <v>0</v>
      </c>
      <c r="BU529" s="399">
        <f t="shared" si="219"/>
        <v>0</v>
      </c>
      <c r="BV529" s="399">
        <f t="shared" si="220"/>
        <v>0</v>
      </c>
      <c r="BW529" s="399">
        <f t="shared" si="221"/>
        <v>0</v>
      </c>
      <c r="BX529" s="399">
        <f t="shared" si="222"/>
        <v>0</v>
      </c>
      <c r="BY529" s="399">
        <f t="shared" si="223"/>
        <v>0</v>
      </c>
      <c r="BZ529" s="399">
        <f t="shared" si="224"/>
        <v>0</v>
      </c>
      <c r="CA529" s="399">
        <f t="shared" si="225"/>
        <v>0</v>
      </c>
      <c r="CB529" s="399">
        <f t="shared" si="226"/>
        <v>0</v>
      </c>
      <c r="CC529" s="399">
        <f t="shared" si="227"/>
        <v>0</v>
      </c>
      <c r="CD529" s="399">
        <f t="shared" si="228"/>
        <v>0</v>
      </c>
      <c r="CE529" s="399">
        <f t="shared" si="229"/>
        <v>0</v>
      </c>
      <c r="CF529" s="399">
        <f t="shared" si="230"/>
        <v>0</v>
      </c>
      <c r="CG529" s="399">
        <f t="shared" si="231"/>
        <v>0</v>
      </c>
      <c r="CH529" s="399">
        <f t="shared" si="232"/>
        <v>0</v>
      </c>
      <c r="CI529" s="399">
        <f t="shared" si="233"/>
        <v>0</v>
      </c>
      <c r="CJ529" s="399">
        <f t="shared" si="234"/>
        <v>0</v>
      </c>
      <c r="CK529" s="399">
        <f t="shared" si="235"/>
        <v>0</v>
      </c>
      <c r="CL529" s="399">
        <f t="shared" si="236"/>
        <v>0</v>
      </c>
      <c r="CM529" s="399">
        <f t="shared" si="237"/>
        <v>0</v>
      </c>
      <c r="CN529" s="399">
        <f t="shared" si="238"/>
        <v>0</v>
      </c>
      <c r="CO529" s="399">
        <f t="shared" si="239"/>
        <v>0</v>
      </c>
      <c r="CP529" s="399">
        <f t="shared" si="240"/>
        <v>0</v>
      </c>
      <c r="CQ529" s="423">
        <f t="shared" si="241"/>
        <v>0</v>
      </c>
      <c r="CS529" s="394" t="e">
        <f t="shared" si="242"/>
        <v>#DIV/0!</v>
      </c>
    </row>
    <row r="530" spans="3:97">
      <c r="C530" s="107"/>
      <c r="D530" s="395"/>
      <c r="E530" s="84"/>
      <c r="F530" s="84"/>
      <c r="G530" s="389"/>
      <c r="H530" s="390"/>
      <c r="I530" s="390"/>
      <c r="J530" s="390"/>
      <c r="K530" s="390"/>
      <c r="L530" s="390"/>
      <c r="M530" s="390"/>
      <c r="N530" s="390"/>
      <c r="O530" s="390"/>
      <c r="P530" s="390"/>
      <c r="Q530" s="390"/>
      <c r="R530" s="390"/>
      <c r="S530" s="390"/>
      <c r="T530" s="390"/>
      <c r="U530" s="390"/>
      <c r="V530" s="390"/>
      <c r="W530" s="390"/>
      <c r="X530" s="390"/>
      <c r="Y530" s="390"/>
      <c r="Z530" s="390"/>
      <c r="AA530" s="390"/>
      <c r="AB530" s="390"/>
      <c r="AC530" s="390"/>
      <c r="AD530" s="390"/>
      <c r="AE530" s="390"/>
      <c r="AF530" s="390"/>
      <c r="AG530" s="390"/>
      <c r="AH530" s="390"/>
      <c r="AI530" s="391"/>
      <c r="AK530" s="437"/>
      <c r="AL530" s="437"/>
      <c r="AM530" s="437"/>
      <c r="AN530" s="437"/>
      <c r="AO530" s="437"/>
      <c r="AP530" s="437"/>
      <c r="AQ530" s="437"/>
      <c r="AR530" s="437"/>
      <c r="AS530" s="437"/>
      <c r="AT530" s="437"/>
      <c r="AU530" s="437"/>
      <c r="AV530" s="437"/>
      <c r="AW530" s="437"/>
      <c r="AX530" s="437"/>
      <c r="AY530" s="437"/>
      <c r="AZ530" s="437"/>
      <c r="BA530" s="437"/>
      <c r="BB530" s="437"/>
      <c r="BC530" s="437"/>
      <c r="BD530" s="437"/>
      <c r="BE530" s="437"/>
      <c r="BF530" s="437"/>
      <c r="BG530" s="437"/>
      <c r="BH530" s="437"/>
      <c r="BI530" s="437"/>
      <c r="BJ530" s="437"/>
      <c r="BK530" s="437"/>
      <c r="BL530" s="437"/>
      <c r="BM530" s="393"/>
      <c r="BO530" s="399">
        <f t="shared" si="213"/>
        <v>0</v>
      </c>
      <c r="BP530" s="399">
        <f t="shared" si="214"/>
        <v>0</v>
      </c>
      <c r="BQ530" s="399">
        <f t="shared" si="215"/>
        <v>0</v>
      </c>
      <c r="BR530" s="399">
        <f t="shared" si="216"/>
        <v>0</v>
      </c>
      <c r="BS530" s="399">
        <f t="shared" si="217"/>
        <v>0</v>
      </c>
      <c r="BT530" s="399">
        <f t="shared" si="218"/>
        <v>0</v>
      </c>
      <c r="BU530" s="399">
        <f t="shared" si="219"/>
        <v>0</v>
      </c>
      <c r="BV530" s="399">
        <f t="shared" si="220"/>
        <v>0</v>
      </c>
      <c r="BW530" s="399">
        <f t="shared" si="221"/>
        <v>0</v>
      </c>
      <c r="BX530" s="399">
        <f t="shared" si="222"/>
        <v>0</v>
      </c>
      <c r="BY530" s="399">
        <f t="shared" si="223"/>
        <v>0</v>
      </c>
      <c r="BZ530" s="399">
        <f t="shared" si="224"/>
        <v>0</v>
      </c>
      <c r="CA530" s="399">
        <f t="shared" si="225"/>
        <v>0</v>
      </c>
      <c r="CB530" s="399">
        <f t="shared" si="226"/>
        <v>0</v>
      </c>
      <c r="CC530" s="399">
        <f t="shared" si="227"/>
        <v>0</v>
      </c>
      <c r="CD530" s="399">
        <f t="shared" si="228"/>
        <v>0</v>
      </c>
      <c r="CE530" s="399">
        <f t="shared" si="229"/>
        <v>0</v>
      </c>
      <c r="CF530" s="399">
        <f t="shared" si="230"/>
        <v>0</v>
      </c>
      <c r="CG530" s="399">
        <f t="shared" si="231"/>
        <v>0</v>
      </c>
      <c r="CH530" s="399">
        <f t="shared" si="232"/>
        <v>0</v>
      </c>
      <c r="CI530" s="399">
        <f t="shared" si="233"/>
        <v>0</v>
      </c>
      <c r="CJ530" s="399">
        <f t="shared" si="234"/>
        <v>0</v>
      </c>
      <c r="CK530" s="399">
        <f t="shared" si="235"/>
        <v>0</v>
      </c>
      <c r="CL530" s="399">
        <f t="shared" si="236"/>
        <v>0</v>
      </c>
      <c r="CM530" s="399">
        <f t="shared" si="237"/>
        <v>0</v>
      </c>
      <c r="CN530" s="399">
        <f t="shared" si="238"/>
        <v>0</v>
      </c>
      <c r="CO530" s="399">
        <f t="shared" si="239"/>
        <v>0</v>
      </c>
      <c r="CP530" s="399">
        <f t="shared" si="240"/>
        <v>0</v>
      </c>
      <c r="CQ530" s="423">
        <f t="shared" si="241"/>
        <v>0</v>
      </c>
      <c r="CS530" s="394" t="e">
        <f t="shared" si="242"/>
        <v>#DIV/0!</v>
      </c>
    </row>
    <row r="531" spans="3:97">
      <c r="C531" s="107"/>
      <c r="D531" s="395"/>
      <c r="E531" s="84"/>
      <c r="F531" s="84"/>
      <c r="G531" s="389"/>
      <c r="H531" s="390"/>
      <c r="I531" s="390"/>
      <c r="J531" s="390"/>
      <c r="K531" s="390"/>
      <c r="L531" s="390"/>
      <c r="M531" s="390"/>
      <c r="N531" s="390"/>
      <c r="O531" s="390"/>
      <c r="P531" s="390"/>
      <c r="Q531" s="390"/>
      <c r="R531" s="390"/>
      <c r="S531" s="390"/>
      <c r="T531" s="390"/>
      <c r="U531" s="390"/>
      <c r="V531" s="390"/>
      <c r="W531" s="390"/>
      <c r="X531" s="390"/>
      <c r="Y531" s="390"/>
      <c r="Z531" s="390"/>
      <c r="AA531" s="390"/>
      <c r="AB531" s="390"/>
      <c r="AC531" s="390"/>
      <c r="AD531" s="390"/>
      <c r="AE531" s="390"/>
      <c r="AF531" s="390"/>
      <c r="AG531" s="390"/>
      <c r="AH531" s="390"/>
      <c r="AI531" s="391"/>
      <c r="AK531" s="437"/>
      <c r="AL531" s="437"/>
      <c r="AM531" s="437"/>
      <c r="AN531" s="437"/>
      <c r="AO531" s="437"/>
      <c r="AP531" s="437"/>
      <c r="AQ531" s="437"/>
      <c r="AR531" s="437"/>
      <c r="AS531" s="437"/>
      <c r="AT531" s="437"/>
      <c r="AU531" s="437"/>
      <c r="AV531" s="437"/>
      <c r="AW531" s="437"/>
      <c r="AX531" s="437"/>
      <c r="AY531" s="437"/>
      <c r="AZ531" s="437"/>
      <c r="BA531" s="437"/>
      <c r="BB531" s="437"/>
      <c r="BC531" s="437"/>
      <c r="BD531" s="437"/>
      <c r="BE531" s="437"/>
      <c r="BF531" s="437"/>
      <c r="BG531" s="437"/>
      <c r="BH531" s="437"/>
      <c r="BI531" s="437"/>
      <c r="BJ531" s="437"/>
      <c r="BK531" s="437"/>
      <c r="BL531" s="437"/>
      <c r="BM531" s="393"/>
      <c r="BO531" s="399">
        <f t="shared" ref="BO531:BO594" si="243">G531*BO$4</f>
        <v>0</v>
      </c>
      <c r="BP531" s="399">
        <f t="shared" ref="BP531:BP594" si="244">H531*BP$4</f>
        <v>0</v>
      </c>
      <c r="BQ531" s="399">
        <f t="shared" ref="BQ531:BQ594" si="245">I531*BQ$4</f>
        <v>0</v>
      </c>
      <c r="BR531" s="399">
        <f t="shared" ref="BR531:BR594" si="246">J531*BR$4</f>
        <v>0</v>
      </c>
      <c r="BS531" s="399">
        <f t="shared" ref="BS531:BS594" si="247">K531*BS$4</f>
        <v>0</v>
      </c>
      <c r="BT531" s="399">
        <f t="shared" ref="BT531:BT594" si="248">L531*BT$4</f>
        <v>0</v>
      </c>
      <c r="BU531" s="399">
        <f t="shared" ref="BU531:BU594" si="249">M531*BU$4</f>
        <v>0</v>
      </c>
      <c r="BV531" s="399">
        <f t="shared" ref="BV531:BV594" si="250">N531*BV$4</f>
        <v>0</v>
      </c>
      <c r="BW531" s="399">
        <f t="shared" ref="BW531:BW594" si="251">O531*BW$4</f>
        <v>0</v>
      </c>
      <c r="BX531" s="399">
        <f t="shared" ref="BX531:BX594" si="252">P531*BX$4</f>
        <v>0</v>
      </c>
      <c r="BY531" s="399">
        <f t="shared" ref="BY531:BY594" si="253">Q531*BY$4</f>
        <v>0</v>
      </c>
      <c r="BZ531" s="399">
        <f t="shared" ref="BZ531:BZ594" si="254">R531*BZ$4</f>
        <v>0</v>
      </c>
      <c r="CA531" s="399">
        <f t="shared" ref="CA531:CA594" si="255">S531*CA$4</f>
        <v>0</v>
      </c>
      <c r="CB531" s="399">
        <f t="shared" ref="CB531:CB594" si="256">T531*CB$4</f>
        <v>0</v>
      </c>
      <c r="CC531" s="399">
        <f t="shared" ref="CC531:CC594" si="257">U531*CC$4</f>
        <v>0</v>
      </c>
      <c r="CD531" s="399">
        <f t="shared" ref="CD531:CD594" si="258">V531*CD$4</f>
        <v>0</v>
      </c>
      <c r="CE531" s="399">
        <f t="shared" ref="CE531:CE594" si="259">W531*CE$4</f>
        <v>0</v>
      </c>
      <c r="CF531" s="399">
        <f t="shared" ref="CF531:CF594" si="260">X531*CF$4</f>
        <v>0</v>
      </c>
      <c r="CG531" s="399">
        <f t="shared" ref="CG531:CG594" si="261">Y531*CG$4</f>
        <v>0</v>
      </c>
      <c r="CH531" s="399">
        <f t="shared" ref="CH531:CH594" si="262">Z531*CH$4</f>
        <v>0</v>
      </c>
      <c r="CI531" s="399">
        <f t="shared" ref="CI531:CI594" si="263">AA531*CI$4</f>
        <v>0</v>
      </c>
      <c r="CJ531" s="399">
        <f t="shared" ref="CJ531:CJ594" si="264">AB531*CJ$4</f>
        <v>0</v>
      </c>
      <c r="CK531" s="399">
        <f t="shared" ref="CK531:CK594" si="265">AC531*CK$4</f>
        <v>0</v>
      </c>
      <c r="CL531" s="399">
        <f t="shared" ref="CL531:CL594" si="266">AD531*CL$4</f>
        <v>0</v>
      </c>
      <c r="CM531" s="399">
        <f t="shared" ref="CM531:CM594" si="267">AE531*CM$4</f>
        <v>0</v>
      </c>
      <c r="CN531" s="399">
        <f t="shared" ref="CN531:CN594" si="268">AF531*CN$4</f>
        <v>0</v>
      </c>
      <c r="CO531" s="399">
        <f t="shared" ref="CO531:CO594" si="269">AG531*CO$4</f>
        <v>0</v>
      </c>
      <c r="CP531" s="399">
        <f t="shared" ref="CP531:CP594" si="270">AH531*CP$4</f>
        <v>0</v>
      </c>
      <c r="CQ531" s="423">
        <f t="shared" ref="CQ531:CQ594" si="271">SUM(BO531:CP531)</f>
        <v>0</v>
      </c>
      <c r="CS531" s="394" t="e">
        <f t="shared" ref="CS531:CS594" si="272">CQ531/AI531</f>
        <v>#DIV/0!</v>
      </c>
    </row>
    <row r="532" spans="3:97">
      <c r="C532" s="107"/>
      <c r="D532" s="395"/>
      <c r="E532" s="84"/>
      <c r="F532" s="84"/>
      <c r="G532" s="389"/>
      <c r="H532" s="390"/>
      <c r="I532" s="390"/>
      <c r="J532" s="390"/>
      <c r="K532" s="390"/>
      <c r="L532" s="390"/>
      <c r="M532" s="390"/>
      <c r="N532" s="390"/>
      <c r="O532" s="390"/>
      <c r="P532" s="390"/>
      <c r="Q532" s="390"/>
      <c r="R532" s="390"/>
      <c r="S532" s="390"/>
      <c r="T532" s="390"/>
      <c r="U532" s="390"/>
      <c r="V532" s="390"/>
      <c r="W532" s="390"/>
      <c r="X532" s="390"/>
      <c r="Y532" s="390"/>
      <c r="Z532" s="390"/>
      <c r="AA532" s="390"/>
      <c r="AB532" s="390"/>
      <c r="AC532" s="390"/>
      <c r="AD532" s="390"/>
      <c r="AE532" s="390"/>
      <c r="AF532" s="390"/>
      <c r="AG532" s="390"/>
      <c r="AH532" s="390"/>
      <c r="AI532" s="391"/>
      <c r="AK532" s="437"/>
      <c r="AL532" s="437"/>
      <c r="AM532" s="437"/>
      <c r="AN532" s="437"/>
      <c r="AO532" s="437"/>
      <c r="AP532" s="437"/>
      <c r="AQ532" s="437"/>
      <c r="AR532" s="437"/>
      <c r="AS532" s="437"/>
      <c r="AT532" s="437"/>
      <c r="AU532" s="437"/>
      <c r="AV532" s="437"/>
      <c r="AW532" s="437"/>
      <c r="AX532" s="437"/>
      <c r="AY532" s="437"/>
      <c r="AZ532" s="437"/>
      <c r="BA532" s="437"/>
      <c r="BB532" s="437"/>
      <c r="BC532" s="437"/>
      <c r="BD532" s="437"/>
      <c r="BE532" s="437"/>
      <c r="BF532" s="437"/>
      <c r="BG532" s="437"/>
      <c r="BH532" s="437"/>
      <c r="BI532" s="437"/>
      <c r="BJ532" s="437"/>
      <c r="BK532" s="437"/>
      <c r="BL532" s="437"/>
      <c r="BM532" s="393"/>
      <c r="BO532" s="399">
        <f t="shared" si="243"/>
        <v>0</v>
      </c>
      <c r="BP532" s="399">
        <f t="shared" si="244"/>
        <v>0</v>
      </c>
      <c r="BQ532" s="399">
        <f t="shared" si="245"/>
        <v>0</v>
      </c>
      <c r="BR532" s="399">
        <f t="shared" si="246"/>
        <v>0</v>
      </c>
      <c r="BS532" s="399">
        <f t="shared" si="247"/>
        <v>0</v>
      </c>
      <c r="BT532" s="399">
        <f t="shared" si="248"/>
        <v>0</v>
      </c>
      <c r="BU532" s="399">
        <f t="shared" si="249"/>
        <v>0</v>
      </c>
      <c r="BV532" s="399">
        <f t="shared" si="250"/>
        <v>0</v>
      </c>
      <c r="BW532" s="399">
        <f t="shared" si="251"/>
        <v>0</v>
      </c>
      <c r="BX532" s="399">
        <f t="shared" si="252"/>
        <v>0</v>
      </c>
      <c r="BY532" s="399">
        <f t="shared" si="253"/>
        <v>0</v>
      </c>
      <c r="BZ532" s="399">
        <f t="shared" si="254"/>
        <v>0</v>
      </c>
      <c r="CA532" s="399">
        <f t="shared" si="255"/>
        <v>0</v>
      </c>
      <c r="CB532" s="399">
        <f t="shared" si="256"/>
        <v>0</v>
      </c>
      <c r="CC532" s="399">
        <f t="shared" si="257"/>
        <v>0</v>
      </c>
      <c r="CD532" s="399">
        <f t="shared" si="258"/>
        <v>0</v>
      </c>
      <c r="CE532" s="399">
        <f t="shared" si="259"/>
        <v>0</v>
      </c>
      <c r="CF532" s="399">
        <f t="shared" si="260"/>
        <v>0</v>
      </c>
      <c r="CG532" s="399">
        <f t="shared" si="261"/>
        <v>0</v>
      </c>
      <c r="CH532" s="399">
        <f t="shared" si="262"/>
        <v>0</v>
      </c>
      <c r="CI532" s="399">
        <f t="shared" si="263"/>
        <v>0</v>
      </c>
      <c r="CJ532" s="399">
        <f t="shared" si="264"/>
        <v>0</v>
      </c>
      <c r="CK532" s="399">
        <f t="shared" si="265"/>
        <v>0</v>
      </c>
      <c r="CL532" s="399">
        <f t="shared" si="266"/>
        <v>0</v>
      </c>
      <c r="CM532" s="399">
        <f t="shared" si="267"/>
        <v>0</v>
      </c>
      <c r="CN532" s="399">
        <f t="shared" si="268"/>
        <v>0</v>
      </c>
      <c r="CO532" s="399">
        <f t="shared" si="269"/>
        <v>0</v>
      </c>
      <c r="CP532" s="399">
        <f t="shared" si="270"/>
        <v>0</v>
      </c>
      <c r="CQ532" s="423">
        <f t="shared" si="271"/>
        <v>0</v>
      </c>
      <c r="CS532" s="394" t="e">
        <f t="shared" si="272"/>
        <v>#DIV/0!</v>
      </c>
    </row>
    <row r="533" spans="3:97">
      <c r="C533" s="107"/>
      <c r="D533" s="395"/>
      <c r="E533" s="84"/>
      <c r="F533" s="84"/>
      <c r="G533" s="389"/>
      <c r="H533" s="390"/>
      <c r="I533" s="390"/>
      <c r="J533" s="390"/>
      <c r="K533" s="390"/>
      <c r="L533" s="390"/>
      <c r="M533" s="390"/>
      <c r="N533" s="390"/>
      <c r="O533" s="390"/>
      <c r="P533" s="390"/>
      <c r="Q533" s="390"/>
      <c r="R533" s="390"/>
      <c r="S533" s="390"/>
      <c r="T533" s="390"/>
      <c r="U533" s="390"/>
      <c r="V533" s="390"/>
      <c r="W533" s="390"/>
      <c r="X533" s="390"/>
      <c r="Y533" s="390"/>
      <c r="Z533" s="390"/>
      <c r="AA533" s="390"/>
      <c r="AB533" s="390"/>
      <c r="AC533" s="390"/>
      <c r="AD533" s="390"/>
      <c r="AE533" s="390"/>
      <c r="AF533" s="390"/>
      <c r="AG533" s="390"/>
      <c r="AH533" s="390"/>
      <c r="AI533" s="391"/>
      <c r="AK533" s="437"/>
      <c r="AL533" s="437"/>
      <c r="AM533" s="437"/>
      <c r="AN533" s="437"/>
      <c r="AO533" s="437"/>
      <c r="AP533" s="437"/>
      <c r="AQ533" s="437"/>
      <c r="AR533" s="437"/>
      <c r="AS533" s="437"/>
      <c r="AT533" s="437"/>
      <c r="AU533" s="437"/>
      <c r="AV533" s="437"/>
      <c r="AW533" s="437"/>
      <c r="AX533" s="437"/>
      <c r="AY533" s="437"/>
      <c r="AZ533" s="437"/>
      <c r="BA533" s="437"/>
      <c r="BB533" s="437"/>
      <c r="BC533" s="437"/>
      <c r="BD533" s="437"/>
      <c r="BE533" s="437"/>
      <c r="BF533" s="437"/>
      <c r="BG533" s="437"/>
      <c r="BH533" s="437"/>
      <c r="BI533" s="437"/>
      <c r="BJ533" s="437"/>
      <c r="BK533" s="437"/>
      <c r="BL533" s="437"/>
      <c r="BM533" s="393"/>
      <c r="BO533" s="399">
        <f t="shared" si="243"/>
        <v>0</v>
      </c>
      <c r="BP533" s="399">
        <f t="shared" si="244"/>
        <v>0</v>
      </c>
      <c r="BQ533" s="399">
        <f t="shared" si="245"/>
        <v>0</v>
      </c>
      <c r="BR533" s="399">
        <f t="shared" si="246"/>
        <v>0</v>
      </c>
      <c r="BS533" s="399">
        <f t="shared" si="247"/>
        <v>0</v>
      </c>
      <c r="BT533" s="399">
        <f t="shared" si="248"/>
        <v>0</v>
      </c>
      <c r="BU533" s="399">
        <f t="shared" si="249"/>
        <v>0</v>
      </c>
      <c r="BV533" s="399">
        <f t="shared" si="250"/>
        <v>0</v>
      </c>
      <c r="BW533" s="399">
        <f t="shared" si="251"/>
        <v>0</v>
      </c>
      <c r="BX533" s="399">
        <f t="shared" si="252"/>
        <v>0</v>
      </c>
      <c r="BY533" s="399">
        <f t="shared" si="253"/>
        <v>0</v>
      </c>
      <c r="BZ533" s="399">
        <f t="shared" si="254"/>
        <v>0</v>
      </c>
      <c r="CA533" s="399">
        <f t="shared" si="255"/>
        <v>0</v>
      </c>
      <c r="CB533" s="399">
        <f t="shared" si="256"/>
        <v>0</v>
      </c>
      <c r="CC533" s="399">
        <f t="shared" si="257"/>
        <v>0</v>
      </c>
      <c r="CD533" s="399">
        <f t="shared" si="258"/>
        <v>0</v>
      </c>
      <c r="CE533" s="399">
        <f t="shared" si="259"/>
        <v>0</v>
      </c>
      <c r="CF533" s="399">
        <f t="shared" si="260"/>
        <v>0</v>
      </c>
      <c r="CG533" s="399">
        <f t="shared" si="261"/>
        <v>0</v>
      </c>
      <c r="CH533" s="399">
        <f t="shared" si="262"/>
        <v>0</v>
      </c>
      <c r="CI533" s="399">
        <f t="shared" si="263"/>
        <v>0</v>
      </c>
      <c r="CJ533" s="399">
        <f t="shared" si="264"/>
        <v>0</v>
      </c>
      <c r="CK533" s="399">
        <f t="shared" si="265"/>
        <v>0</v>
      </c>
      <c r="CL533" s="399">
        <f t="shared" si="266"/>
        <v>0</v>
      </c>
      <c r="CM533" s="399">
        <f t="shared" si="267"/>
        <v>0</v>
      </c>
      <c r="CN533" s="399">
        <f t="shared" si="268"/>
        <v>0</v>
      </c>
      <c r="CO533" s="399">
        <f t="shared" si="269"/>
        <v>0</v>
      </c>
      <c r="CP533" s="399">
        <f t="shared" si="270"/>
        <v>0</v>
      </c>
      <c r="CQ533" s="423">
        <f t="shared" si="271"/>
        <v>0</v>
      </c>
      <c r="CS533" s="394" t="e">
        <f t="shared" si="272"/>
        <v>#DIV/0!</v>
      </c>
    </row>
    <row r="534" spans="3:97">
      <c r="C534" s="107"/>
      <c r="D534" s="395"/>
      <c r="E534" s="84"/>
      <c r="F534" s="84"/>
      <c r="G534" s="389"/>
      <c r="H534" s="390"/>
      <c r="I534" s="390"/>
      <c r="J534" s="390"/>
      <c r="K534" s="390"/>
      <c r="L534" s="390"/>
      <c r="M534" s="390"/>
      <c r="N534" s="390"/>
      <c r="O534" s="390"/>
      <c r="P534" s="390"/>
      <c r="Q534" s="390"/>
      <c r="R534" s="390"/>
      <c r="S534" s="390"/>
      <c r="T534" s="390"/>
      <c r="U534" s="390"/>
      <c r="V534" s="390"/>
      <c r="W534" s="390"/>
      <c r="X534" s="390"/>
      <c r="Y534" s="390"/>
      <c r="Z534" s="390"/>
      <c r="AA534" s="390"/>
      <c r="AB534" s="390"/>
      <c r="AC534" s="390"/>
      <c r="AD534" s="390"/>
      <c r="AE534" s="390"/>
      <c r="AF534" s="390"/>
      <c r="AG534" s="390"/>
      <c r="AH534" s="390"/>
      <c r="AI534" s="391"/>
      <c r="AK534" s="437"/>
      <c r="AL534" s="437"/>
      <c r="AM534" s="437"/>
      <c r="AN534" s="437"/>
      <c r="AO534" s="437"/>
      <c r="AP534" s="437"/>
      <c r="AQ534" s="437"/>
      <c r="AR534" s="437"/>
      <c r="AS534" s="437"/>
      <c r="AT534" s="437"/>
      <c r="AU534" s="437"/>
      <c r="AV534" s="437"/>
      <c r="AW534" s="437"/>
      <c r="AX534" s="437"/>
      <c r="AY534" s="437"/>
      <c r="AZ534" s="437"/>
      <c r="BA534" s="437"/>
      <c r="BB534" s="437"/>
      <c r="BC534" s="437"/>
      <c r="BD534" s="437"/>
      <c r="BE534" s="437"/>
      <c r="BF534" s="437"/>
      <c r="BG534" s="437"/>
      <c r="BH534" s="437"/>
      <c r="BI534" s="437"/>
      <c r="BJ534" s="437"/>
      <c r="BK534" s="437"/>
      <c r="BL534" s="437"/>
      <c r="BM534" s="393"/>
      <c r="BO534" s="399">
        <f t="shared" si="243"/>
        <v>0</v>
      </c>
      <c r="BP534" s="399">
        <f t="shared" si="244"/>
        <v>0</v>
      </c>
      <c r="BQ534" s="399">
        <f t="shared" si="245"/>
        <v>0</v>
      </c>
      <c r="BR534" s="399">
        <f t="shared" si="246"/>
        <v>0</v>
      </c>
      <c r="BS534" s="399">
        <f t="shared" si="247"/>
        <v>0</v>
      </c>
      <c r="BT534" s="399">
        <f t="shared" si="248"/>
        <v>0</v>
      </c>
      <c r="BU534" s="399">
        <f t="shared" si="249"/>
        <v>0</v>
      </c>
      <c r="BV534" s="399">
        <f t="shared" si="250"/>
        <v>0</v>
      </c>
      <c r="BW534" s="399">
        <f t="shared" si="251"/>
        <v>0</v>
      </c>
      <c r="BX534" s="399">
        <f t="shared" si="252"/>
        <v>0</v>
      </c>
      <c r="BY534" s="399">
        <f t="shared" si="253"/>
        <v>0</v>
      </c>
      <c r="BZ534" s="399">
        <f t="shared" si="254"/>
        <v>0</v>
      </c>
      <c r="CA534" s="399">
        <f t="shared" si="255"/>
        <v>0</v>
      </c>
      <c r="CB534" s="399">
        <f t="shared" si="256"/>
        <v>0</v>
      </c>
      <c r="CC534" s="399">
        <f t="shared" si="257"/>
        <v>0</v>
      </c>
      <c r="CD534" s="399">
        <f t="shared" si="258"/>
        <v>0</v>
      </c>
      <c r="CE534" s="399">
        <f t="shared" si="259"/>
        <v>0</v>
      </c>
      <c r="CF534" s="399">
        <f t="shared" si="260"/>
        <v>0</v>
      </c>
      <c r="CG534" s="399">
        <f t="shared" si="261"/>
        <v>0</v>
      </c>
      <c r="CH534" s="399">
        <f t="shared" si="262"/>
        <v>0</v>
      </c>
      <c r="CI534" s="399">
        <f t="shared" si="263"/>
        <v>0</v>
      </c>
      <c r="CJ534" s="399">
        <f t="shared" si="264"/>
        <v>0</v>
      </c>
      <c r="CK534" s="399">
        <f t="shared" si="265"/>
        <v>0</v>
      </c>
      <c r="CL534" s="399">
        <f t="shared" si="266"/>
        <v>0</v>
      </c>
      <c r="CM534" s="399">
        <f t="shared" si="267"/>
        <v>0</v>
      </c>
      <c r="CN534" s="399">
        <f t="shared" si="268"/>
        <v>0</v>
      </c>
      <c r="CO534" s="399">
        <f t="shared" si="269"/>
        <v>0</v>
      </c>
      <c r="CP534" s="399">
        <f t="shared" si="270"/>
        <v>0</v>
      </c>
      <c r="CQ534" s="423">
        <f t="shared" si="271"/>
        <v>0</v>
      </c>
      <c r="CS534" s="394" t="e">
        <f t="shared" si="272"/>
        <v>#DIV/0!</v>
      </c>
    </row>
    <row r="535" spans="3:97">
      <c r="C535" s="107"/>
      <c r="D535" s="395"/>
      <c r="E535" s="84"/>
      <c r="F535" s="84"/>
      <c r="G535" s="389"/>
      <c r="H535" s="390"/>
      <c r="I535" s="390"/>
      <c r="J535" s="390"/>
      <c r="K535" s="390"/>
      <c r="L535" s="390"/>
      <c r="M535" s="390"/>
      <c r="N535" s="390"/>
      <c r="O535" s="390"/>
      <c r="P535" s="390"/>
      <c r="Q535" s="390"/>
      <c r="R535" s="390"/>
      <c r="S535" s="390"/>
      <c r="T535" s="390"/>
      <c r="U535" s="390"/>
      <c r="V535" s="390"/>
      <c r="W535" s="390"/>
      <c r="X535" s="390"/>
      <c r="Y535" s="390"/>
      <c r="Z535" s="390"/>
      <c r="AA535" s="390"/>
      <c r="AB535" s="390"/>
      <c r="AC535" s="390"/>
      <c r="AD535" s="390"/>
      <c r="AE535" s="390"/>
      <c r="AF535" s="390"/>
      <c r="AG535" s="390"/>
      <c r="AH535" s="390"/>
      <c r="AI535" s="391"/>
      <c r="AK535" s="437"/>
      <c r="AL535" s="437"/>
      <c r="AM535" s="437"/>
      <c r="AN535" s="437"/>
      <c r="AO535" s="437"/>
      <c r="AP535" s="437"/>
      <c r="AQ535" s="437"/>
      <c r="AR535" s="437"/>
      <c r="AS535" s="437"/>
      <c r="AT535" s="437"/>
      <c r="AU535" s="437"/>
      <c r="AV535" s="437"/>
      <c r="AW535" s="437"/>
      <c r="AX535" s="437"/>
      <c r="AY535" s="437"/>
      <c r="AZ535" s="437"/>
      <c r="BA535" s="437"/>
      <c r="BB535" s="437"/>
      <c r="BC535" s="437"/>
      <c r="BD535" s="437"/>
      <c r="BE535" s="437"/>
      <c r="BF535" s="437"/>
      <c r="BG535" s="437"/>
      <c r="BH535" s="437"/>
      <c r="BI535" s="437"/>
      <c r="BJ535" s="437"/>
      <c r="BK535" s="437"/>
      <c r="BL535" s="437"/>
      <c r="BM535" s="393"/>
      <c r="BO535" s="399">
        <f t="shared" si="243"/>
        <v>0</v>
      </c>
      <c r="BP535" s="399">
        <f t="shared" si="244"/>
        <v>0</v>
      </c>
      <c r="BQ535" s="399">
        <f t="shared" si="245"/>
        <v>0</v>
      </c>
      <c r="BR535" s="399">
        <f t="shared" si="246"/>
        <v>0</v>
      </c>
      <c r="BS535" s="399">
        <f t="shared" si="247"/>
        <v>0</v>
      </c>
      <c r="BT535" s="399">
        <f t="shared" si="248"/>
        <v>0</v>
      </c>
      <c r="BU535" s="399">
        <f t="shared" si="249"/>
        <v>0</v>
      </c>
      <c r="BV535" s="399">
        <f t="shared" si="250"/>
        <v>0</v>
      </c>
      <c r="BW535" s="399">
        <f t="shared" si="251"/>
        <v>0</v>
      </c>
      <c r="BX535" s="399">
        <f t="shared" si="252"/>
        <v>0</v>
      </c>
      <c r="BY535" s="399">
        <f t="shared" si="253"/>
        <v>0</v>
      </c>
      <c r="BZ535" s="399">
        <f t="shared" si="254"/>
        <v>0</v>
      </c>
      <c r="CA535" s="399">
        <f t="shared" si="255"/>
        <v>0</v>
      </c>
      <c r="CB535" s="399">
        <f t="shared" si="256"/>
        <v>0</v>
      </c>
      <c r="CC535" s="399">
        <f t="shared" si="257"/>
        <v>0</v>
      </c>
      <c r="CD535" s="399">
        <f t="shared" si="258"/>
        <v>0</v>
      </c>
      <c r="CE535" s="399">
        <f t="shared" si="259"/>
        <v>0</v>
      </c>
      <c r="CF535" s="399">
        <f t="shared" si="260"/>
        <v>0</v>
      </c>
      <c r="CG535" s="399">
        <f t="shared" si="261"/>
        <v>0</v>
      </c>
      <c r="CH535" s="399">
        <f t="shared" si="262"/>
        <v>0</v>
      </c>
      <c r="CI535" s="399">
        <f t="shared" si="263"/>
        <v>0</v>
      </c>
      <c r="CJ535" s="399">
        <f t="shared" si="264"/>
        <v>0</v>
      </c>
      <c r="CK535" s="399">
        <f t="shared" si="265"/>
        <v>0</v>
      </c>
      <c r="CL535" s="399">
        <f t="shared" si="266"/>
        <v>0</v>
      </c>
      <c r="CM535" s="399">
        <f t="shared" si="267"/>
        <v>0</v>
      </c>
      <c r="CN535" s="399">
        <f t="shared" si="268"/>
        <v>0</v>
      </c>
      <c r="CO535" s="399">
        <f t="shared" si="269"/>
        <v>0</v>
      </c>
      <c r="CP535" s="399">
        <f t="shared" si="270"/>
        <v>0</v>
      </c>
      <c r="CQ535" s="423">
        <f t="shared" si="271"/>
        <v>0</v>
      </c>
      <c r="CS535" s="394" t="e">
        <f t="shared" si="272"/>
        <v>#DIV/0!</v>
      </c>
    </row>
    <row r="536" spans="3:97">
      <c r="C536" s="107"/>
      <c r="D536" s="395"/>
      <c r="E536" s="84"/>
      <c r="F536" s="84"/>
      <c r="G536" s="389"/>
      <c r="H536" s="390"/>
      <c r="I536" s="390"/>
      <c r="J536" s="390"/>
      <c r="K536" s="390"/>
      <c r="L536" s="390"/>
      <c r="M536" s="390"/>
      <c r="N536" s="390"/>
      <c r="O536" s="390"/>
      <c r="P536" s="390"/>
      <c r="Q536" s="390"/>
      <c r="R536" s="390"/>
      <c r="S536" s="390"/>
      <c r="T536" s="390"/>
      <c r="U536" s="390"/>
      <c r="V536" s="390"/>
      <c r="W536" s="390"/>
      <c r="X536" s="390"/>
      <c r="Y536" s="390"/>
      <c r="Z536" s="390"/>
      <c r="AA536" s="390"/>
      <c r="AB536" s="390"/>
      <c r="AC536" s="390"/>
      <c r="AD536" s="390"/>
      <c r="AE536" s="390"/>
      <c r="AF536" s="390"/>
      <c r="AG536" s="390"/>
      <c r="AH536" s="390"/>
      <c r="AI536" s="391"/>
      <c r="AK536" s="437"/>
      <c r="AL536" s="437"/>
      <c r="AM536" s="437"/>
      <c r="AN536" s="437"/>
      <c r="AO536" s="437"/>
      <c r="AP536" s="437"/>
      <c r="AQ536" s="437"/>
      <c r="AR536" s="437"/>
      <c r="AS536" s="437"/>
      <c r="AT536" s="437"/>
      <c r="AU536" s="437"/>
      <c r="AV536" s="437"/>
      <c r="AW536" s="437"/>
      <c r="AX536" s="437"/>
      <c r="AY536" s="437"/>
      <c r="AZ536" s="437"/>
      <c r="BA536" s="437"/>
      <c r="BB536" s="437"/>
      <c r="BC536" s="437"/>
      <c r="BD536" s="437"/>
      <c r="BE536" s="437"/>
      <c r="BF536" s="437"/>
      <c r="BG536" s="437"/>
      <c r="BH536" s="437"/>
      <c r="BI536" s="437"/>
      <c r="BJ536" s="437"/>
      <c r="BK536" s="437"/>
      <c r="BL536" s="437"/>
      <c r="BM536" s="393"/>
      <c r="BO536" s="399">
        <f t="shared" si="243"/>
        <v>0</v>
      </c>
      <c r="BP536" s="399">
        <f t="shared" si="244"/>
        <v>0</v>
      </c>
      <c r="BQ536" s="399">
        <f t="shared" si="245"/>
        <v>0</v>
      </c>
      <c r="BR536" s="399">
        <f t="shared" si="246"/>
        <v>0</v>
      </c>
      <c r="BS536" s="399">
        <f t="shared" si="247"/>
        <v>0</v>
      </c>
      <c r="BT536" s="399">
        <f t="shared" si="248"/>
        <v>0</v>
      </c>
      <c r="BU536" s="399">
        <f t="shared" si="249"/>
        <v>0</v>
      </c>
      <c r="BV536" s="399">
        <f t="shared" si="250"/>
        <v>0</v>
      </c>
      <c r="BW536" s="399">
        <f t="shared" si="251"/>
        <v>0</v>
      </c>
      <c r="BX536" s="399">
        <f t="shared" si="252"/>
        <v>0</v>
      </c>
      <c r="BY536" s="399">
        <f t="shared" si="253"/>
        <v>0</v>
      </c>
      <c r="BZ536" s="399">
        <f t="shared" si="254"/>
        <v>0</v>
      </c>
      <c r="CA536" s="399">
        <f t="shared" si="255"/>
        <v>0</v>
      </c>
      <c r="CB536" s="399">
        <f t="shared" si="256"/>
        <v>0</v>
      </c>
      <c r="CC536" s="399">
        <f t="shared" si="257"/>
        <v>0</v>
      </c>
      <c r="CD536" s="399">
        <f t="shared" si="258"/>
        <v>0</v>
      </c>
      <c r="CE536" s="399">
        <f t="shared" si="259"/>
        <v>0</v>
      </c>
      <c r="CF536" s="399">
        <f t="shared" si="260"/>
        <v>0</v>
      </c>
      <c r="CG536" s="399">
        <f t="shared" si="261"/>
        <v>0</v>
      </c>
      <c r="CH536" s="399">
        <f t="shared" si="262"/>
        <v>0</v>
      </c>
      <c r="CI536" s="399">
        <f t="shared" si="263"/>
        <v>0</v>
      </c>
      <c r="CJ536" s="399">
        <f t="shared" si="264"/>
        <v>0</v>
      </c>
      <c r="CK536" s="399">
        <f t="shared" si="265"/>
        <v>0</v>
      </c>
      <c r="CL536" s="399">
        <f t="shared" si="266"/>
        <v>0</v>
      </c>
      <c r="CM536" s="399">
        <f t="shared" si="267"/>
        <v>0</v>
      </c>
      <c r="CN536" s="399">
        <f t="shared" si="268"/>
        <v>0</v>
      </c>
      <c r="CO536" s="399">
        <f t="shared" si="269"/>
        <v>0</v>
      </c>
      <c r="CP536" s="399">
        <f t="shared" si="270"/>
        <v>0</v>
      </c>
      <c r="CQ536" s="423">
        <f t="shared" si="271"/>
        <v>0</v>
      </c>
      <c r="CS536" s="394" t="e">
        <f t="shared" si="272"/>
        <v>#DIV/0!</v>
      </c>
    </row>
    <row r="537" spans="3:97">
      <c r="C537" s="107"/>
      <c r="D537" s="395"/>
      <c r="E537" s="84"/>
      <c r="F537" s="84"/>
      <c r="G537" s="389"/>
      <c r="H537" s="390"/>
      <c r="I537" s="390"/>
      <c r="J537" s="390"/>
      <c r="K537" s="390"/>
      <c r="L537" s="390"/>
      <c r="M537" s="390"/>
      <c r="N537" s="390"/>
      <c r="O537" s="390"/>
      <c r="P537" s="390"/>
      <c r="Q537" s="390"/>
      <c r="R537" s="390"/>
      <c r="S537" s="390"/>
      <c r="T537" s="390"/>
      <c r="U537" s="390"/>
      <c r="V537" s="390"/>
      <c r="W537" s="390"/>
      <c r="X537" s="390"/>
      <c r="Y537" s="390"/>
      <c r="Z537" s="390"/>
      <c r="AA537" s="390"/>
      <c r="AB537" s="390"/>
      <c r="AC537" s="390"/>
      <c r="AD537" s="390"/>
      <c r="AE537" s="390"/>
      <c r="AF537" s="390"/>
      <c r="AG537" s="390"/>
      <c r="AH537" s="390"/>
      <c r="AI537" s="391"/>
      <c r="AK537" s="437"/>
      <c r="AL537" s="437"/>
      <c r="AM537" s="437"/>
      <c r="AN537" s="437"/>
      <c r="AO537" s="437"/>
      <c r="AP537" s="437"/>
      <c r="AQ537" s="437"/>
      <c r="AR537" s="437"/>
      <c r="AS537" s="437"/>
      <c r="AT537" s="437"/>
      <c r="AU537" s="437"/>
      <c r="AV537" s="437"/>
      <c r="AW537" s="437"/>
      <c r="AX537" s="437"/>
      <c r="AY537" s="437"/>
      <c r="AZ537" s="437"/>
      <c r="BA537" s="437"/>
      <c r="BB537" s="437"/>
      <c r="BC537" s="437"/>
      <c r="BD537" s="437"/>
      <c r="BE537" s="437"/>
      <c r="BF537" s="437"/>
      <c r="BG537" s="437"/>
      <c r="BH537" s="437"/>
      <c r="BI537" s="437"/>
      <c r="BJ537" s="437"/>
      <c r="BK537" s="437"/>
      <c r="BL537" s="437"/>
      <c r="BM537" s="393"/>
      <c r="BO537" s="399">
        <f t="shared" si="243"/>
        <v>0</v>
      </c>
      <c r="BP537" s="399">
        <f t="shared" si="244"/>
        <v>0</v>
      </c>
      <c r="BQ537" s="399">
        <f t="shared" si="245"/>
        <v>0</v>
      </c>
      <c r="BR537" s="399">
        <f t="shared" si="246"/>
        <v>0</v>
      </c>
      <c r="BS537" s="399">
        <f t="shared" si="247"/>
        <v>0</v>
      </c>
      <c r="BT537" s="399">
        <f t="shared" si="248"/>
        <v>0</v>
      </c>
      <c r="BU537" s="399">
        <f t="shared" si="249"/>
        <v>0</v>
      </c>
      <c r="BV537" s="399">
        <f t="shared" si="250"/>
        <v>0</v>
      </c>
      <c r="BW537" s="399">
        <f t="shared" si="251"/>
        <v>0</v>
      </c>
      <c r="BX537" s="399">
        <f t="shared" si="252"/>
        <v>0</v>
      </c>
      <c r="BY537" s="399">
        <f t="shared" si="253"/>
        <v>0</v>
      </c>
      <c r="BZ537" s="399">
        <f t="shared" si="254"/>
        <v>0</v>
      </c>
      <c r="CA537" s="399">
        <f t="shared" si="255"/>
        <v>0</v>
      </c>
      <c r="CB537" s="399">
        <f t="shared" si="256"/>
        <v>0</v>
      </c>
      <c r="CC537" s="399">
        <f t="shared" si="257"/>
        <v>0</v>
      </c>
      <c r="CD537" s="399">
        <f t="shared" si="258"/>
        <v>0</v>
      </c>
      <c r="CE537" s="399">
        <f t="shared" si="259"/>
        <v>0</v>
      </c>
      <c r="CF537" s="399">
        <f t="shared" si="260"/>
        <v>0</v>
      </c>
      <c r="CG537" s="399">
        <f t="shared" si="261"/>
        <v>0</v>
      </c>
      <c r="CH537" s="399">
        <f t="shared" si="262"/>
        <v>0</v>
      </c>
      <c r="CI537" s="399">
        <f t="shared" si="263"/>
        <v>0</v>
      </c>
      <c r="CJ537" s="399">
        <f t="shared" si="264"/>
        <v>0</v>
      </c>
      <c r="CK537" s="399">
        <f t="shared" si="265"/>
        <v>0</v>
      </c>
      <c r="CL537" s="399">
        <f t="shared" si="266"/>
        <v>0</v>
      </c>
      <c r="CM537" s="399">
        <f t="shared" si="267"/>
        <v>0</v>
      </c>
      <c r="CN537" s="399">
        <f t="shared" si="268"/>
        <v>0</v>
      </c>
      <c r="CO537" s="399">
        <f t="shared" si="269"/>
        <v>0</v>
      </c>
      <c r="CP537" s="399">
        <f t="shared" si="270"/>
        <v>0</v>
      </c>
      <c r="CQ537" s="423">
        <f t="shared" si="271"/>
        <v>0</v>
      </c>
      <c r="CS537" s="394" t="e">
        <f t="shared" si="272"/>
        <v>#DIV/0!</v>
      </c>
    </row>
    <row r="538" spans="3:97">
      <c r="C538" s="107"/>
      <c r="D538" s="395"/>
      <c r="E538" s="84"/>
      <c r="F538" s="84"/>
      <c r="G538" s="389"/>
      <c r="H538" s="390"/>
      <c r="I538" s="390"/>
      <c r="J538" s="390"/>
      <c r="K538" s="390"/>
      <c r="L538" s="390"/>
      <c r="M538" s="390"/>
      <c r="N538" s="390"/>
      <c r="O538" s="390"/>
      <c r="P538" s="390"/>
      <c r="Q538" s="390"/>
      <c r="R538" s="390"/>
      <c r="S538" s="390"/>
      <c r="T538" s="390"/>
      <c r="U538" s="390"/>
      <c r="V538" s="390"/>
      <c r="W538" s="390"/>
      <c r="X538" s="390"/>
      <c r="Y538" s="390"/>
      <c r="Z538" s="390"/>
      <c r="AA538" s="390"/>
      <c r="AB538" s="390"/>
      <c r="AC538" s="390"/>
      <c r="AD538" s="390"/>
      <c r="AE538" s="390"/>
      <c r="AF538" s="390"/>
      <c r="AG538" s="390"/>
      <c r="AH538" s="390"/>
      <c r="AI538" s="391"/>
      <c r="AK538" s="437"/>
      <c r="AL538" s="437"/>
      <c r="AM538" s="437"/>
      <c r="AN538" s="437"/>
      <c r="AO538" s="437"/>
      <c r="AP538" s="437"/>
      <c r="AQ538" s="437"/>
      <c r="AR538" s="437"/>
      <c r="AS538" s="437"/>
      <c r="AT538" s="437"/>
      <c r="AU538" s="437"/>
      <c r="AV538" s="437"/>
      <c r="AW538" s="437"/>
      <c r="AX538" s="437"/>
      <c r="AY538" s="437"/>
      <c r="AZ538" s="437"/>
      <c r="BA538" s="437"/>
      <c r="BB538" s="437"/>
      <c r="BC538" s="437"/>
      <c r="BD538" s="437"/>
      <c r="BE538" s="437"/>
      <c r="BF538" s="437"/>
      <c r="BG538" s="437"/>
      <c r="BH538" s="437"/>
      <c r="BI538" s="437"/>
      <c r="BJ538" s="437"/>
      <c r="BK538" s="437"/>
      <c r="BL538" s="437"/>
      <c r="BM538" s="393"/>
      <c r="BO538" s="399">
        <f t="shared" si="243"/>
        <v>0</v>
      </c>
      <c r="BP538" s="399">
        <f t="shared" si="244"/>
        <v>0</v>
      </c>
      <c r="BQ538" s="399">
        <f t="shared" si="245"/>
        <v>0</v>
      </c>
      <c r="BR538" s="399">
        <f t="shared" si="246"/>
        <v>0</v>
      </c>
      <c r="BS538" s="399">
        <f t="shared" si="247"/>
        <v>0</v>
      </c>
      <c r="BT538" s="399">
        <f t="shared" si="248"/>
        <v>0</v>
      </c>
      <c r="BU538" s="399">
        <f t="shared" si="249"/>
        <v>0</v>
      </c>
      <c r="BV538" s="399">
        <f t="shared" si="250"/>
        <v>0</v>
      </c>
      <c r="BW538" s="399">
        <f t="shared" si="251"/>
        <v>0</v>
      </c>
      <c r="BX538" s="399">
        <f t="shared" si="252"/>
        <v>0</v>
      </c>
      <c r="BY538" s="399">
        <f t="shared" si="253"/>
        <v>0</v>
      </c>
      <c r="BZ538" s="399">
        <f t="shared" si="254"/>
        <v>0</v>
      </c>
      <c r="CA538" s="399">
        <f t="shared" si="255"/>
        <v>0</v>
      </c>
      <c r="CB538" s="399">
        <f t="shared" si="256"/>
        <v>0</v>
      </c>
      <c r="CC538" s="399">
        <f t="shared" si="257"/>
        <v>0</v>
      </c>
      <c r="CD538" s="399">
        <f t="shared" si="258"/>
        <v>0</v>
      </c>
      <c r="CE538" s="399">
        <f t="shared" si="259"/>
        <v>0</v>
      </c>
      <c r="CF538" s="399">
        <f t="shared" si="260"/>
        <v>0</v>
      </c>
      <c r="CG538" s="399">
        <f t="shared" si="261"/>
        <v>0</v>
      </c>
      <c r="CH538" s="399">
        <f t="shared" si="262"/>
        <v>0</v>
      </c>
      <c r="CI538" s="399">
        <f t="shared" si="263"/>
        <v>0</v>
      </c>
      <c r="CJ538" s="399">
        <f t="shared" si="264"/>
        <v>0</v>
      </c>
      <c r="CK538" s="399">
        <f t="shared" si="265"/>
        <v>0</v>
      </c>
      <c r="CL538" s="399">
        <f t="shared" si="266"/>
        <v>0</v>
      </c>
      <c r="CM538" s="399">
        <f t="shared" si="267"/>
        <v>0</v>
      </c>
      <c r="CN538" s="399">
        <f t="shared" si="268"/>
        <v>0</v>
      </c>
      <c r="CO538" s="399">
        <f t="shared" si="269"/>
        <v>0</v>
      </c>
      <c r="CP538" s="399">
        <f t="shared" si="270"/>
        <v>0</v>
      </c>
      <c r="CQ538" s="423">
        <f t="shared" si="271"/>
        <v>0</v>
      </c>
      <c r="CS538" s="394" t="e">
        <f t="shared" si="272"/>
        <v>#DIV/0!</v>
      </c>
    </row>
    <row r="539" spans="3:97">
      <c r="C539" s="107"/>
      <c r="D539" s="395"/>
      <c r="E539" s="84"/>
      <c r="F539" s="84"/>
      <c r="G539" s="389"/>
      <c r="H539" s="390"/>
      <c r="I539" s="390"/>
      <c r="J539" s="390"/>
      <c r="K539" s="390"/>
      <c r="L539" s="390"/>
      <c r="M539" s="390"/>
      <c r="N539" s="390"/>
      <c r="O539" s="390"/>
      <c r="P539" s="390"/>
      <c r="Q539" s="390"/>
      <c r="R539" s="390"/>
      <c r="S539" s="390"/>
      <c r="T539" s="390"/>
      <c r="U539" s="390"/>
      <c r="V539" s="390"/>
      <c r="W539" s="390"/>
      <c r="X539" s="390"/>
      <c r="Y539" s="390"/>
      <c r="Z539" s="390"/>
      <c r="AA539" s="390"/>
      <c r="AB539" s="390"/>
      <c r="AC539" s="390"/>
      <c r="AD539" s="390"/>
      <c r="AE539" s="390"/>
      <c r="AF539" s="390"/>
      <c r="AG539" s="390"/>
      <c r="AH539" s="390"/>
      <c r="AI539" s="391"/>
      <c r="AK539" s="437"/>
      <c r="AL539" s="437"/>
      <c r="AM539" s="437"/>
      <c r="AN539" s="437"/>
      <c r="AO539" s="437"/>
      <c r="AP539" s="437"/>
      <c r="AQ539" s="437"/>
      <c r="AR539" s="437"/>
      <c r="AS539" s="437"/>
      <c r="AT539" s="437"/>
      <c r="AU539" s="437"/>
      <c r="AV539" s="437"/>
      <c r="AW539" s="437"/>
      <c r="AX539" s="437"/>
      <c r="AY539" s="437"/>
      <c r="AZ539" s="437"/>
      <c r="BA539" s="437"/>
      <c r="BB539" s="437"/>
      <c r="BC539" s="437"/>
      <c r="BD539" s="437"/>
      <c r="BE539" s="437"/>
      <c r="BF539" s="437"/>
      <c r="BG539" s="437"/>
      <c r="BH539" s="437"/>
      <c r="BI539" s="437"/>
      <c r="BJ539" s="437"/>
      <c r="BK539" s="437"/>
      <c r="BL539" s="437"/>
      <c r="BM539" s="393"/>
      <c r="BO539" s="399">
        <f t="shared" si="243"/>
        <v>0</v>
      </c>
      <c r="BP539" s="399">
        <f t="shared" si="244"/>
        <v>0</v>
      </c>
      <c r="BQ539" s="399">
        <f t="shared" si="245"/>
        <v>0</v>
      </c>
      <c r="BR539" s="399">
        <f t="shared" si="246"/>
        <v>0</v>
      </c>
      <c r="BS539" s="399">
        <f t="shared" si="247"/>
        <v>0</v>
      </c>
      <c r="BT539" s="399">
        <f t="shared" si="248"/>
        <v>0</v>
      </c>
      <c r="BU539" s="399">
        <f t="shared" si="249"/>
        <v>0</v>
      </c>
      <c r="BV539" s="399">
        <f t="shared" si="250"/>
        <v>0</v>
      </c>
      <c r="BW539" s="399">
        <f t="shared" si="251"/>
        <v>0</v>
      </c>
      <c r="BX539" s="399">
        <f t="shared" si="252"/>
        <v>0</v>
      </c>
      <c r="BY539" s="399">
        <f t="shared" si="253"/>
        <v>0</v>
      </c>
      <c r="BZ539" s="399">
        <f t="shared" si="254"/>
        <v>0</v>
      </c>
      <c r="CA539" s="399">
        <f t="shared" si="255"/>
        <v>0</v>
      </c>
      <c r="CB539" s="399">
        <f t="shared" si="256"/>
        <v>0</v>
      </c>
      <c r="CC539" s="399">
        <f t="shared" si="257"/>
        <v>0</v>
      </c>
      <c r="CD539" s="399">
        <f t="shared" si="258"/>
        <v>0</v>
      </c>
      <c r="CE539" s="399">
        <f t="shared" si="259"/>
        <v>0</v>
      </c>
      <c r="CF539" s="399">
        <f t="shared" si="260"/>
        <v>0</v>
      </c>
      <c r="CG539" s="399">
        <f t="shared" si="261"/>
        <v>0</v>
      </c>
      <c r="CH539" s="399">
        <f t="shared" si="262"/>
        <v>0</v>
      </c>
      <c r="CI539" s="399">
        <f t="shared" si="263"/>
        <v>0</v>
      </c>
      <c r="CJ539" s="399">
        <f t="shared" si="264"/>
        <v>0</v>
      </c>
      <c r="CK539" s="399">
        <f t="shared" si="265"/>
        <v>0</v>
      </c>
      <c r="CL539" s="399">
        <f t="shared" si="266"/>
        <v>0</v>
      </c>
      <c r="CM539" s="399">
        <f t="shared" si="267"/>
        <v>0</v>
      </c>
      <c r="CN539" s="399">
        <f t="shared" si="268"/>
        <v>0</v>
      </c>
      <c r="CO539" s="399">
        <f t="shared" si="269"/>
        <v>0</v>
      </c>
      <c r="CP539" s="399">
        <f t="shared" si="270"/>
        <v>0</v>
      </c>
      <c r="CQ539" s="423">
        <f t="shared" si="271"/>
        <v>0</v>
      </c>
      <c r="CS539" s="394" t="e">
        <f t="shared" si="272"/>
        <v>#DIV/0!</v>
      </c>
    </row>
    <row r="540" spans="3:97">
      <c r="C540" s="107"/>
      <c r="D540" s="395"/>
      <c r="E540" s="84"/>
      <c r="F540" s="84"/>
      <c r="G540" s="389"/>
      <c r="H540" s="390"/>
      <c r="I540" s="390"/>
      <c r="J540" s="390"/>
      <c r="K540" s="390"/>
      <c r="L540" s="390"/>
      <c r="M540" s="390"/>
      <c r="N540" s="390"/>
      <c r="O540" s="390"/>
      <c r="P540" s="390"/>
      <c r="Q540" s="390"/>
      <c r="R540" s="390"/>
      <c r="S540" s="390"/>
      <c r="T540" s="390"/>
      <c r="U540" s="390"/>
      <c r="V540" s="390"/>
      <c r="W540" s="390"/>
      <c r="X540" s="390"/>
      <c r="Y540" s="390"/>
      <c r="Z540" s="390"/>
      <c r="AA540" s="390"/>
      <c r="AB540" s="390"/>
      <c r="AC540" s="390"/>
      <c r="AD540" s="390"/>
      <c r="AE540" s="390"/>
      <c r="AF540" s="390"/>
      <c r="AG540" s="390"/>
      <c r="AH540" s="390"/>
      <c r="AI540" s="391"/>
      <c r="AK540" s="437"/>
      <c r="AL540" s="437"/>
      <c r="AM540" s="437"/>
      <c r="AN540" s="437"/>
      <c r="AO540" s="437"/>
      <c r="AP540" s="437"/>
      <c r="AQ540" s="437"/>
      <c r="AR540" s="437"/>
      <c r="AS540" s="437"/>
      <c r="AT540" s="437"/>
      <c r="AU540" s="437"/>
      <c r="AV540" s="437"/>
      <c r="AW540" s="437"/>
      <c r="AX540" s="437"/>
      <c r="AY540" s="437"/>
      <c r="AZ540" s="437"/>
      <c r="BA540" s="437"/>
      <c r="BB540" s="437"/>
      <c r="BC540" s="437"/>
      <c r="BD540" s="437"/>
      <c r="BE540" s="437"/>
      <c r="BF540" s="437"/>
      <c r="BG540" s="437"/>
      <c r="BH540" s="437"/>
      <c r="BI540" s="437"/>
      <c r="BJ540" s="437"/>
      <c r="BK540" s="437"/>
      <c r="BL540" s="437"/>
      <c r="BM540" s="393"/>
      <c r="BO540" s="399">
        <f t="shared" si="243"/>
        <v>0</v>
      </c>
      <c r="BP540" s="399">
        <f t="shared" si="244"/>
        <v>0</v>
      </c>
      <c r="BQ540" s="399">
        <f t="shared" si="245"/>
        <v>0</v>
      </c>
      <c r="BR540" s="399">
        <f t="shared" si="246"/>
        <v>0</v>
      </c>
      <c r="BS540" s="399">
        <f t="shared" si="247"/>
        <v>0</v>
      </c>
      <c r="BT540" s="399">
        <f t="shared" si="248"/>
        <v>0</v>
      </c>
      <c r="BU540" s="399">
        <f t="shared" si="249"/>
        <v>0</v>
      </c>
      <c r="BV540" s="399">
        <f t="shared" si="250"/>
        <v>0</v>
      </c>
      <c r="BW540" s="399">
        <f t="shared" si="251"/>
        <v>0</v>
      </c>
      <c r="BX540" s="399">
        <f t="shared" si="252"/>
        <v>0</v>
      </c>
      <c r="BY540" s="399">
        <f t="shared" si="253"/>
        <v>0</v>
      </c>
      <c r="BZ540" s="399">
        <f t="shared" si="254"/>
        <v>0</v>
      </c>
      <c r="CA540" s="399">
        <f t="shared" si="255"/>
        <v>0</v>
      </c>
      <c r="CB540" s="399">
        <f t="shared" si="256"/>
        <v>0</v>
      </c>
      <c r="CC540" s="399">
        <f t="shared" si="257"/>
        <v>0</v>
      </c>
      <c r="CD540" s="399">
        <f t="shared" si="258"/>
        <v>0</v>
      </c>
      <c r="CE540" s="399">
        <f t="shared" si="259"/>
        <v>0</v>
      </c>
      <c r="CF540" s="399">
        <f t="shared" si="260"/>
        <v>0</v>
      </c>
      <c r="CG540" s="399">
        <f t="shared" si="261"/>
        <v>0</v>
      </c>
      <c r="CH540" s="399">
        <f t="shared" si="262"/>
        <v>0</v>
      </c>
      <c r="CI540" s="399">
        <f t="shared" si="263"/>
        <v>0</v>
      </c>
      <c r="CJ540" s="399">
        <f t="shared" si="264"/>
        <v>0</v>
      </c>
      <c r="CK540" s="399">
        <f t="shared" si="265"/>
        <v>0</v>
      </c>
      <c r="CL540" s="399">
        <f t="shared" si="266"/>
        <v>0</v>
      </c>
      <c r="CM540" s="399">
        <f t="shared" si="267"/>
        <v>0</v>
      </c>
      <c r="CN540" s="399">
        <f t="shared" si="268"/>
        <v>0</v>
      </c>
      <c r="CO540" s="399">
        <f t="shared" si="269"/>
        <v>0</v>
      </c>
      <c r="CP540" s="399">
        <f t="shared" si="270"/>
        <v>0</v>
      </c>
      <c r="CQ540" s="423">
        <f t="shared" si="271"/>
        <v>0</v>
      </c>
      <c r="CS540" s="394" t="e">
        <f t="shared" si="272"/>
        <v>#DIV/0!</v>
      </c>
    </row>
    <row r="541" spans="3:97">
      <c r="C541" s="107"/>
      <c r="D541" s="395"/>
      <c r="E541" s="84"/>
      <c r="F541" s="84"/>
      <c r="G541" s="389"/>
      <c r="H541" s="390"/>
      <c r="I541" s="390"/>
      <c r="J541" s="390"/>
      <c r="K541" s="390"/>
      <c r="L541" s="390"/>
      <c r="M541" s="390"/>
      <c r="N541" s="390"/>
      <c r="O541" s="390"/>
      <c r="P541" s="390"/>
      <c r="Q541" s="390"/>
      <c r="R541" s="390"/>
      <c r="S541" s="390"/>
      <c r="T541" s="390"/>
      <c r="U541" s="390"/>
      <c r="V541" s="390"/>
      <c r="W541" s="390"/>
      <c r="X541" s="390"/>
      <c r="Y541" s="390"/>
      <c r="Z541" s="390"/>
      <c r="AA541" s="390"/>
      <c r="AB541" s="390"/>
      <c r="AC541" s="390"/>
      <c r="AD541" s="390"/>
      <c r="AE541" s="390"/>
      <c r="AF541" s="390"/>
      <c r="AG541" s="390"/>
      <c r="AH541" s="390"/>
      <c r="AI541" s="391"/>
      <c r="AK541" s="437"/>
      <c r="AL541" s="437"/>
      <c r="AM541" s="437"/>
      <c r="AN541" s="437"/>
      <c r="AO541" s="437"/>
      <c r="AP541" s="437"/>
      <c r="AQ541" s="437"/>
      <c r="AR541" s="437"/>
      <c r="AS541" s="437"/>
      <c r="AT541" s="437"/>
      <c r="AU541" s="437"/>
      <c r="AV541" s="437"/>
      <c r="AW541" s="437"/>
      <c r="AX541" s="437"/>
      <c r="AY541" s="437"/>
      <c r="AZ541" s="437"/>
      <c r="BA541" s="437"/>
      <c r="BB541" s="437"/>
      <c r="BC541" s="437"/>
      <c r="BD541" s="437"/>
      <c r="BE541" s="437"/>
      <c r="BF541" s="437"/>
      <c r="BG541" s="437"/>
      <c r="BH541" s="437"/>
      <c r="BI541" s="437"/>
      <c r="BJ541" s="437"/>
      <c r="BK541" s="437"/>
      <c r="BL541" s="437"/>
      <c r="BM541" s="393"/>
      <c r="BO541" s="399">
        <f t="shared" si="243"/>
        <v>0</v>
      </c>
      <c r="BP541" s="399">
        <f t="shared" si="244"/>
        <v>0</v>
      </c>
      <c r="BQ541" s="399">
        <f t="shared" si="245"/>
        <v>0</v>
      </c>
      <c r="BR541" s="399">
        <f t="shared" si="246"/>
        <v>0</v>
      </c>
      <c r="BS541" s="399">
        <f t="shared" si="247"/>
        <v>0</v>
      </c>
      <c r="BT541" s="399">
        <f t="shared" si="248"/>
        <v>0</v>
      </c>
      <c r="BU541" s="399">
        <f t="shared" si="249"/>
        <v>0</v>
      </c>
      <c r="BV541" s="399">
        <f t="shared" si="250"/>
        <v>0</v>
      </c>
      <c r="BW541" s="399">
        <f t="shared" si="251"/>
        <v>0</v>
      </c>
      <c r="BX541" s="399">
        <f t="shared" si="252"/>
        <v>0</v>
      </c>
      <c r="BY541" s="399">
        <f t="shared" si="253"/>
        <v>0</v>
      </c>
      <c r="BZ541" s="399">
        <f t="shared" si="254"/>
        <v>0</v>
      </c>
      <c r="CA541" s="399">
        <f t="shared" si="255"/>
        <v>0</v>
      </c>
      <c r="CB541" s="399">
        <f t="shared" si="256"/>
        <v>0</v>
      </c>
      <c r="CC541" s="399">
        <f t="shared" si="257"/>
        <v>0</v>
      </c>
      <c r="CD541" s="399">
        <f t="shared" si="258"/>
        <v>0</v>
      </c>
      <c r="CE541" s="399">
        <f t="shared" si="259"/>
        <v>0</v>
      </c>
      <c r="CF541" s="399">
        <f t="shared" si="260"/>
        <v>0</v>
      </c>
      <c r="CG541" s="399">
        <f t="shared" si="261"/>
        <v>0</v>
      </c>
      <c r="CH541" s="399">
        <f t="shared" si="262"/>
        <v>0</v>
      </c>
      <c r="CI541" s="399">
        <f t="shared" si="263"/>
        <v>0</v>
      </c>
      <c r="CJ541" s="399">
        <f t="shared" si="264"/>
        <v>0</v>
      </c>
      <c r="CK541" s="399">
        <f t="shared" si="265"/>
        <v>0</v>
      </c>
      <c r="CL541" s="399">
        <f t="shared" si="266"/>
        <v>0</v>
      </c>
      <c r="CM541" s="399">
        <f t="shared" si="267"/>
        <v>0</v>
      </c>
      <c r="CN541" s="399">
        <f t="shared" si="268"/>
        <v>0</v>
      </c>
      <c r="CO541" s="399">
        <f t="shared" si="269"/>
        <v>0</v>
      </c>
      <c r="CP541" s="399">
        <f t="shared" si="270"/>
        <v>0</v>
      </c>
      <c r="CQ541" s="423">
        <f t="shared" si="271"/>
        <v>0</v>
      </c>
      <c r="CS541" s="394" t="e">
        <f t="shared" si="272"/>
        <v>#DIV/0!</v>
      </c>
    </row>
    <row r="542" spans="3:97">
      <c r="C542" s="107"/>
      <c r="D542" s="395"/>
      <c r="E542" s="84"/>
      <c r="F542" s="84"/>
      <c r="G542" s="389"/>
      <c r="H542" s="390"/>
      <c r="I542" s="390"/>
      <c r="J542" s="390"/>
      <c r="K542" s="390"/>
      <c r="L542" s="390"/>
      <c r="M542" s="390"/>
      <c r="N542" s="390"/>
      <c r="O542" s="390"/>
      <c r="P542" s="390"/>
      <c r="Q542" s="390"/>
      <c r="R542" s="390"/>
      <c r="S542" s="390"/>
      <c r="T542" s="390"/>
      <c r="U542" s="390"/>
      <c r="V542" s="390"/>
      <c r="W542" s="390"/>
      <c r="X542" s="390"/>
      <c r="Y542" s="390"/>
      <c r="Z542" s="390"/>
      <c r="AA542" s="390"/>
      <c r="AB542" s="390"/>
      <c r="AC542" s="390"/>
      <c r="AD542" s="390"/>
      <c r="AE542" s="390"/>
      <c r="AF542" s="390"/>
      <c r="AG542" s="390"/>
      <c r="AH542" s="390"/>
      <c r="AI542" s="391"/>
      <c r="AK542" s="437"/>
      <c r="AL542" s="437"/>
      <c r="AM542" s="437"/>
      <c r="AN542" s="437"/>
      <c r="AO542" s="437"/>
      <c r="AP542" s="437"/>
      <c r="AQ542" s="437"/>
      <c r="AR542" s="437"/>
      <c r="AS542" s="437"/>
      <c r="AT542" s="437"/>
      <c r="AU542" s="437"/>
      <c r="AV542" s="437"/>
      <c r="AW542" s="437"/>
      <c r="AX542" s="437"/>
      <c r="AY542" s="437"/>
      <c r="AZ542" s="437"/>
      <c r="BA542" s="437"/>
      <c r="BB542" s="437"/>
      <c r="BC542" s="437"/>
      <c r="BD542" s="437"/>
      <c r="BE542" s="437"/>
      <c r="BF542" s="437"/>
      <c r="BG542" s="437"/>
      <c r="BH542" s="437"/>
      <c r="BI542" s="437"/>
      <c r="BJ542" s="437"/>
      <c r="BK542" s="437"/>
      <c r="BL542" s="437"/>
      <c r="BM542" s="393"/>
      <c r="BO542" s="399">
        <f t="shared" si="243"/>
        <v>0</v>
      </c>
      <c r="BP542" s="399">
        <f t="shared" si="244"/>
        <v>0</v>
      </c>
      <c r="BQ542" s="399">
        <f t="shared" si="245"/>
        <v>0</v>
      </c>
      <c r="BR542" s="399">
        <f t="shared" si="246"/>
        <v>0</v>
      </c>
      <c r="BS542" s="399">
        <f t="shared" si="247"/>
        <v>0</v>
      </c>
      <c r="BT542" s="399">
        <f t="shared" si="248"/>
        <v>0</v>
      </c>
      <c r="BU542" s="399">
        <f t="shared" si="249"/>
        <v>0</v>
      </c>
      <c r="BV542" s="399">
        <f t="shared" si="250"/>
        <v>0</v>
      </c>
      <c r="BW542" s="399">
        <f t="shared" si="251"/>
        <v>0</v>
      </c>
      <c r="BX542" s="399">
        <f t="shared" si="252"/>
        <v>0</v>
      </c>
      <c r="BY542" s="399">
        <f t="shared" si="253"/>
        <v>0</v>
      </c>
      <c r="BZ542" s="399">
        <f t="shared" si="254"/>
        <v>0</v>
      </c>
      <c r="CA542" s="399">
        <f t="shared" si="255"/>
        <v>0</v>
      </c>
      <c r="CB542" s="399">
        <f t="shared" si="256"/>
        <v>0</v>
      </c>
      <c r="CC542" s="399">
        <f t="shared" si="257"/>
        <v>0</v>
      </c>
      <c r="CD542" s="399">
        <f t="shared" si="258"/>
        <v>0</v>
      </c>
      <c r="CE542" s="399">
        <f t="shared" si="259"/>
        <v>0</v>
      </c>
      <c r="CF542" s="399">
        <f t="shared" si="260"/>
        <v>0</v>
      </c>
      <c r="CG542" s="399">
        <f t="shared" si="261"/>
        <v>0</v>
      </c>
      <c r="CH542" s="399">
        <f t="shared" si="262"/>
        <v>0</v>
      </c>
      <c r="CI542" s="399">
        <f t="shared" si="263"/>
        <v>0</v>
      </c>
      <c r="CJ542" s="399">
        <f t="shared" si="264"/>
        <v>0</v>
      </c>
      <c r="CK542" s="399">
        <f t="shared" si="265"/>
        <v>0</v>
      </c>
      <c r="CL542" s="399">
        <f t="shared" si="266"/>
        <v>0</v>
      </c>
      <c r="CM542" s="399">
        <f t="shared" si="267"/>
        <v>0</v>
      </c>
      <c r="CN542" s="399">
        <f t="shared" si="268"/>
        <v>0</v>
      </c>
      <c r="CO542" s="399">
        <f t="shared" si="269"/>
        <v>0</v>
      </c>
      <c r="CP542" s="399">
        <f t="shared" si="270"/>
        <v>0</v>
      </c>
      <c r="CQ542" s="423">
        <f t="shared" si="271"/>
        <v>0</v>
      </c>
      <c r="CS542" s="394" t="e">
        <f t="shared" si="272"/>
        <v>#DIV/0!</v>
      </c>
    </row>
    <row r="543" spans="3:97">
      <c r="C543" s="107"/>
      <c r="D543" s="395"/>
      <c r="E543" s="84"/>
      <c r="F543" s="84"/>
      <c r="G543" s="389"/>
      <c r="H543" s="390"/>
      <c r="I543" s="390"/>
      <c r="J543" s="390"/>
      <c r="K543" s="390"/>
      <c r="L543" s="390"/>
      <c r="M543" s="390"/>
      <c r="N543" s="390"/>
      <c r="O543" s="390"/>
      <c r="P543" s="390"/>
      <c r="Q543" s="390"/>
      <c r="R543" s="390"/>
      <c r="S543" s="390"/>
      <c r="T543" s="390"/>
      <c r="U543" s="390"/>
      <c r="V543" s="390"/>
      <c r="W543" s="390"/>
      <c r="X543" s="390"/>
      <c r="Y543" s="390"/>
      <c r="Z543" s="390"/>
      <c r="AA543" s="390"/>
      <c r="AB543" s="390"/>
      <c r="AC543" s="390"/>
      <c r="AD543" s="390"/>
      <c r="AE543" s="390"/>
      <c r="AF543" s="390"/>
      <c r="AG543" s="390"/>
      <c r="AH543" s="390"/>
      <c r="AI543" s="391"/>
      <c r="AK543" s="437"/>
      <c r="AL543" s="437"/>
      <c r="AM543" s="437"/>
      <c r="AN543" s="437"/>
      <c r="AO543" s="437"/>
      <c r="AP543" s="437"/>
      <c r="AQ543" s="437"/>
      <c r="AR543" s="437"/>
      <c r="AS543" s="437"/>
      <c r="AT543" s="437"/>
      <c r="AU543" s="437"/>
      <c r="AV543" s="437"/>
      <c r="AW543" s="437"/>
      <c r="AX543" s="437"/>
      <c r="AY543" s="437"/>
      <c r="AZ543" s="437"/>
      <c r="BA543" s="437"/>
      <c r="BB543" s="437"/>
      <c r="BC543" s="437"/>
      <c r="BD543" s="437"/>
      <c r="BE543" s="437"/>
      <c r="BF543" s="437"/>
      <c r="BG543" s="437"/>
      <c r="BH543" s="437"/>
      <c r="BI543" s="437"/>
      <c r="BJ543" s="437"/>
      <c r="BK543" s="437"/>
      <c r="BL543" s="437"/>
      <c r="BM543" s="393"/>
      <c r="BO543" s="399">
        <f t="shared" si="243"/>
        <v>0</v>
      </c>
      <c r="BP543" s="399">
        <f t="shared" si="244"/>
        <v>0</v>
      </c>
      <c r="BQ543" s="399">
        <f t="shared" si="245"/>
        <v>0</v>
      </c>
      <c r="BR543" s="399">
        <f t="shared" si="246"/>
        <v>0</v>
      </c>
      <c r="BS543" s="399">
        <f t="shared" si="247"/>
        <v>0</v>
      </c>
      <c r="BT543" s="399">
        <f t="shared" si="248"/>
        <v>0</v>
      </c>
      <c r="BU543" s="399">
        <f t="shared" si="249"/>
        <v>0</v>
      </c>
      <c r="BV543" s="399">
        <f t="shared" si="250"/>
        <v>0</v>
      </c>
      <c r="BW543" s="399">
        <f t="shared" si="251"/>
        <v>0</v>
      </c>
      <c r="BX543" s="399">
        <f t="shared" si="252"/>
        <v>0</v>
      </c>
      <c r="BY543" s="399">
        <f t="shared" si="253"/>
        <v>0</v>
      </c>
      <c r="BZ543" s="399">
        <f t="shared" si="254"/>
        <v>0</v>
      </c>
      <c r="CA543" s="399">
        <f t="shared" si="255"/>
        <v>0</v>
      </c>
      <c r="CB543" s="399">
        <f t="shared" si="256"/>
        <v>0</v>
      </c>
      <c r="CC543" s="399">
        <f t="shared" si="257"/>
        <v>0</v>
      </c>
      <c r="CD543" s="399">
        <f t="shared" si="258"/>
        <v>0</v>
      </c>
      <c r="CE543" s="399">
        <f t="shared" si="259"/>
        <v>0</v>
      </c>
      <c r="CF543" s="399">
        <f t="shared" si="260"/>
        <v>0</v>
      </c>
      <c r="CG543" s="399">
        <f t="shared" si="261"/>
        <v>0</v>
      </c>
      <c r="CH543" s="399">
        <f t="shared" si="262"/>
        <v>0</v>
      </c>
      <c r="CI543" s="399">
        <f t="shared" si="263"/>
        <v>0</v>
      </c>
      <c r="CJ543" s="399">
        <f t="shared" si="264"/>
        <v>0</v>
      </c>
      <c r="CK543" s="399">
        <f t="shared" si="265"/>
        <v>0</v>
      </c>
      <c r="CL543" s="399">
        <f t="shared" si="266"/>
        <v>0</v>
      </c>
      <c r="CM543" s="399">
        <f t="shared" si="267"/>
        <v>0</v>
      </c>
      <c r="CN543" s="399">
        <f t="shared" si="268"/>
        <v>0</v>
      </c>
      <c r="CO543" s="399">
        <f t="shared" si="269"/>
        <v>0</v>
      </c>
      <c r="CP543" s="399">
        <f t="shared" si="270"/>
        <v>0</v>
      </c>
      <c r="CQ543" s="423">
        <f t="shared" si="271"/>
        <v>0</v>
      </c>
      <c r="CS543" s="394" t="e">
        <f t="shared" si="272"/>
        <v>#DIV/0!</v>
      </c>
    </row>
    <row r="544" spans="3:97">
      <c r="C544" s="107"/>
      <c r="D544" s="395"/>
      <c r="E544" s="84"/>
      <c r="F544" s="84"/>
      <c r="G544" s="389"/>
      <c r="H544" s="390"/>
      <c r="I544" s="390"/>
      <c r="J544" s="390"/>
      <c r="K544" s="390"/>
      <c r="L544" s="390"/>
      <c r="M544" s="390"/>
      <c r="N544" s="390"/>
      <c r="O544" s="390"/>
      <c r="P544" s="390"/>
      <c r="Q544" s="390"/>
      <c r="R544" s="390"/>
      <c r="S544" s="390"/>
      <c r="T544" s="390"/>
      <c r="U544" s="390"/>
      <c r="V544" s="390"/>
      <c r="W544" s="390"/>
      <c r="X544" s="390"/>
      <c r="Y544" s="390"/>
      <c r="Z544" s="390"/>
      <c r="AA544" s="390"/>
      <c r="AB544" s="390"/>
      <c r="AC544" s="390"/>
      <c r="AD544" s="390"/>
      <c r="AE544" s="390"/>
      <c r="AF544" s="390"/>
      <c r="AG544" s="390"/>
      <c r="AH544" s="390"/>
      <c r="AI544" s="391"/>
      <c r="AK544" s="437"/>
      <c r="AL544" s="437"/>
      <c r="AM544" s="437"/>
      <c r="AN544" s="437"/>
      <c r="AO544" s="437"/>
      <c r="AP544" s="437"/>
      <c r="AQ544" s="437"/>
      <c r="AR544" s="437"/>
      <c r="AS544" s="437"/>
      <c r="AT544" s="437"/>
      <c r="AU544" s="437"/>
      <c r="AV544" s="437"/>
      <c r="AW544" s="437"/>
      <c r="AX544" s="437"/>
      <c r="AY544" s="437"/>
      <c r="AZ544" s="437"/>
      <c r="BA544" s="437"/>
      <c r="BB544" s="437"/>
      <c r="BC544" s="437"/>
      <c r="BD544" s="437"/>
      <c r="BE544" s="437"/>
      <c r="BF544" s="437"/>
      <c r="BG544" s="437"/>
      <c r="BH544" s="437"/>
      <c r="BI544" s="437"/>
      <c r="BJ544" s="437"/>
      <c r="BK544" s="437"/>
      <c r="BL544" s="437"/>
      <c r="BM544" s="393"/>
      <c r="BO544" s="399">
        <f t="shared" si="243"/>
        <v>0</v>
      </c>
      <c r="BP544" s="399">
        <f t="shared" si="244"/>
        <v>0</v>
      </c>
      <c r="BQ544" s="399">
        <f t="shared" si="245"/>
        <v>0</v>
      </c>
      <c r="BR544" s="399">
        <f t="shared" si="246"/>
        <v>0</v>
      </c>
      <c r="BS544" s="399">
        <f t="shared" si="247"/>
        <v>0</v>
      </c>
      <c r="BT544" s="399">
        <f t="shared" si="248"/>
        <v>0</v>
      </c>
      <c r="BU544" s="399">
        <f t="shared" si="249"/>
        <v>0</v>
      </c>
      <c r="BV544" s="399">
        <f t="shared" si="250"/>
        <v>0</v>
      </c>
      <c r="BW544" s="399">
        <f t="shared" si="251"/>
        <v>0</v>
      </c>
      <c r="BX544" s="399">
        <f t="shared" si="252"/>
        <v>0</v>
      </c>
      <c r="BY544" s="399">
        <f t="shared" si="253"/>
        <v>0</v>
      </c>
      <c r="BZ544" s="399">
        <f t="shared" si="254"/>
        <v>0</v>
      </c>
      <c r="CA544" s="399">
        <f t="shared" si="255"/>
        <v>0</v>
      </c>
      <c r="CB544" s="399">
        <f t="shared" si="256"/>
        <v>0</v>
      </c>
      <c r="CC544" s="399">
        <f t="shared" si="257"/>
        <v>0</v>
      </c>
      <c r="CD544" s="399">
        <f t="shared" si="258"/>
        <v>0</v>
      </c>
      <c r="CE544" s="399">
        <f t="shared" si="259"/>
        <v>0</v>
      </c>
      <c r="CF544" s="399">
        <f t="shared" si="260"/>
        <v>0</v>
      </c>
      <c r="CG544" s="399">
        <f t="shared" si="261"/>
        <v>0</v>
      </c>
      <c r="CH544" s="399">
        <f t="shared" si="262"/>
        <v>0</v>
      </c>
      <c r="CI544" s="399">
        <f t="shared" si="263"/>
        <v>0</v>
      </c>
      <c r="CJ544" s="399">
        <f t="shared" si="264"/>
        <v>0</v>
      </c>
      <c r="CK544" s="399">
        <f t="shared" si="265"/>
        <v>0</v>
      </c>
      <c r="CL544" s="399">
        <f t="shared" si="266"/>
        <v>0</v>
      </c>
      <c r="CM544" s="399">
        <f t="shared" si="267"/>
        <v>0</v>
      </c>
      <c r="CN544" s="399">
        <f t="shared" si="268"/>
        <v>0</v>
      </c>
      <c r="CO544" s="399">
        <f t="shared" si="269"/>
        <v>0</v>
      </c>
      <c r="CP544" s="399">
        <f t="shared" si="270"/>
        <v>0</v>
      </c>
      <c r="CQ544" s="423">
        <f t="shared" si="271"/>
        <v>0</v>
      </c>
      <c r="CS544" s="394" t="e">
        <f t="shared" si="272"/>
        <v>#DIV/0!</v>
      </c>
    </row>
    <row r="545" spans="3:97">
      <c r="C545" s="107"/>
      <c r="D545" s="395"/>
      <c r="E545" s="84"/>
      <c r="F545" s="84"/>
      <c r="G545" s="389"/>
      <c r="H545" s="390"/>
      <c r="I545" s="390"/>
      <c r="J545" s="390"/>
      <c r="K545" s="390"/>
      <c r="L545" s="390"/>
      <c r="M545" s="390"/>
      <c r="N545" s="390"/>
      <c r="O545" s="390"/>
      <c r="P545" s="390"/>
      <c r="Q545" s="390"/>
      <c r="R545" s="390"/>
      <c r="S545" s="390"/>
      <c r="T545" s="390"/>
      <c r="U545" s="390"/>
      <c r="V545" s="390"/>
      <c r="W545" s="390"/>
      <c r="X545" s="390"/>
      <c r="Y545" s="390"/>
      <c r="Z545" s="390"/>
      <c r="AA545" s="390"/>
      <c r="AB545" s="390"/>
      <c r="AC545" s="390"/>
      <c r="AD545" s="390"/>
      <c r="AE545" s="390"/>
      <c r="AF545" s="390"/>
      <c r="AG545" s="390"/>
      <c r="AH545" s="390"/>
      <c r="AI545" s="391"/>
      <c r="AK545" s="437"/>
      <c r="AL545" s="437"/>
      <c r="AM545" s="437"/>
      <c r="AN545" s="437"/>
      <c r="AO545" s="437"/>
      <c r="AP545" s="437"/>
      <c r="AQ545" s="437"/>
      <c r="AR545" s="437"/>
      <c r="AS545" s="437"/>
      <c r="AT545" s="437"/>
      <c r="AU545" s="437"/>
      <c r="AV545" s="437"/>
      <c r="AW545" s="437"/>
      <c r="AX545" s="437"/>
      <c r="AY545" s="437"/>
      <c r="AZ545" s="437"/>
      <c r="BA545" s="437"/>
      <c r="BB545" s="437"/>
      <c r="BC545" s="437"/>
      <c r="BD545" s="437"/>
      <c r="BE545" s="437"/>
      <c r="BF545" s="437"/>
      <c r="BG545" s="437"/>
      <c r="BH545" s="437"/>
      <c r="BI545" s="437"/>
      <c r="BJ545" s="437"/>
      <c r="BK545" s="437"/>
      <c r="BL545" s="437"/>
      <c r="BM545" s="393"/>
      <c r="BO545" s="399">
        <f t="shared" si="243"/>
        <v>0</v>
      </c>
      <c r="BP545" s="399">
        <f t="shared" si="244"/>
        <v>0</v>
      </c>
      <c r="BQ545" s="399">
        <f t="shared" si="245"/>
        <v>0</v>
      </c>
      <c r="BR545" s="399">
        <f t="shared" si="246"/>
        <v>0</v>
      </c>
      <c r="BS545" s="399">
        <f t="shared" si="247"/>
        <v>0</v>
      </c>
      <c r="BT545" s="399">
        <f t="shared" si="248"/>
        <v>0</v>
      </c>
      <c r="BU545" s="399">
        <f t="shared" si="249"/>
        <v>0</v>
      </c>
      <c r="BV545" s="399">
        <f t="shared" si="250"/>
        <v>0</v>
      </c>
      <c r="BW545" s="399">
        <f t="shared" si="251"/>
        <v>0</v>
      </c>
      <c r="BX545" s="399">
        <f t="shared" si="252"/>
        <v>0</v>
      </c>
      <c r="BY545" s="399">
        <f t="shared" si="253"/>
        <v>0</v>
      </c>
      <c r="BZ545" s="399">
        <f t="shared" si="254"/>
        <v>0</v>
      </c>
      <c r="CA545" s="399">
        <f t="shared" si="255"/>
        <v>0</v>
      </c>
      <c r="CB545" s="399">
        <f t="shared" si="256"/>
        <v>0</v>
      </c>
      <c r="CC545" s="399">
        <f t="shared" si="257"/>
        <v>0</v>
      </c>
      <c r="CD545" s="399">
        <f t="shared" si="258"/>
        <v>0</v>
      </c>
      <c r="CE545" s="399">
        <f t="shared" si="259"/>
        <v>0</v>
      </c>
      <c r="CF545" s="399">
        <f t="shared" si="260"/>
        <v>0</v>
      </c>
      <c r="CG545" s="399">
        <f t="shared" si="261"/>
        <v>0</v>
      </c>
      <c r="CH545" s="399">
        <f t="shared" si="262"/>
        <v>0</v>
      </c>
      <c r="CI545" s="399">
        <f t="shared" si="263"/>
        <v>0</v>
      </c>
      <c r="CJ545" s="399">
        <f t="shared" si="264"/>
        <v>0</v>
      </c>
      <c r="CK545" s="399">
        <f t="shared" si="265"/>
        <v>0</v>
      </c>
      <c r="CL545" s="399">
        <f t="shared" si="266"/>
        <v>0</v>
      </c>
      <c r="CM545" s="399">
        <f t="shared" si="267"/>
        <v>0</v>
      </c>
      <c r="CN545" s="399">
        <f t="shared" si="268"/>
        <v>0</v>
      </c>
      <c r="CO545" s="399">
        <f t="shared" si="269"/>
        <v>0</v>
      </c>
      <c r="CP545" s="399">
        <f t="shared" si="270"/>
        <v>0</v>
      </c>
      <c r="CQ545" s="423">
        <f t="shared" si="271"/>
        <v>0</v>
      </c>
      <c r="CS545" s="394" t="e">
        <f t="shared" si="272"/>
        <v>#DIV/0!</v>
      </c>
    </row>
    <row r="546" spans="3:97">
      <c r="C546" s="107"/>
      <c r="D546" s="395"/>
      <c r="E546" s="84"/>
      <c r="F546" s="84"/>
      <c r="G546" s="389"/>
      <c r="H546" s="390"/>
      <c r="I546" s="390"/>
      <c r="J546" s="390"/>
      <c r="K546" s="390"/>
      <c r="L546" s="390"/>
      <c r="M546" s="390"/>
      <c r="N546" s="390"/>
      <c r="O546" s="390"/>
      <c r="P546" s="390"/>
      <c r="Q546" s="390"/>
      <c r="R546" s="390"/>
      <c r="S546" s="390"/>
      <c r="T546" s="390"/>
      <c r="U546" s="390"/>
      <c r="V546" s="390"/>
      <c r="W546" s="390"/>
      <c r="X546" s="390"/>
      <c r="Y546" s="390"/>
      <c r="Z546" s="390"/>
      <c r="AA546" s="390"/>
      <c r="AB546" s="390"/>
      <c r="AC546" s="390"/>
      <c r="AD546" s="390"/>
      <c r="AE546" s="390"/>
      <c r="AF546" s="390"/>
      <c r="AG546" s="390"/>
      <c r="AH546" s="390"/>
      <c r="AI546" s="391"/>
      <c r="AK546" s="437"/>
      <c r="AL546" s="437"/>
      <c r="AM546" s="437"/>
      <c r="AN546" s="437"/>
      <c r="AO546" s="437"/>
      <c r="AP546" s="437"/>
      <c r="AQ546" s="437"/>
      <c r="AR546" s="437"/>
      <c r="AS546" s="437"/>
      <c r="AT546" s="437"/>
      <c r="AU546" s="437"/>
      <c r="AV546" s="437"/>
      <c r="AW546" s="437"/>
      <c r="AX546" s="437"/>
      <c r="AY546" s="437"/>
      <c r="AZ546" s="437"/>
      <c r="BA546" s="437"/>
      <c r="BB546" s="437"/>
      <c r="BC546" s="437"/>
      <c r="BD546" s="437"/>
      <c r="BE546" s="437"/>
      <c r="BF546" s="437"/>
      <c r="BG546" s="437"/>
      <c r="BH546" s="437"/>
      <c r="BI546" s="437"/>
      <c r="BJ546" s="437"/>
      <c r="BK546" s="437"/>
      <c r="BL546" s="437"/>
      <c r="BM546" s="393"/>
      <c r="BO546" s="399">
        <f t="shared" si="243"/>
        <v>0</v>
      </c>
      <c r="BP546" s="399">
        <f t="shared" si="244"/>
        <v>0</v>
      </c>
      <c r="BQ546" s="399">
        <f t="shared" si="245"/>
        <v>0</v>
      </c>
      <c r="BR546" s="399">
        <f t="shared" si="246"/>
        <v>0</v>
      </c>
      <c r="BS546" s="399">
        <f t="shared" si="247"/>
        <v>0</v>
      </c>
      <c r="BT546" s="399">
        <f t="shared" si="248"/>
        <v>0</v>
      </c>
      <c r="BU546" s="399">
        <f t="shared" si="249"/>
        <v>0</v>
      </c>
      <c r="BV546" s="399">
        <f t="shared" si="250"/>
        <v>0</v>
      </c>
      <c r="BW546" s="399">
        <f t="shared" si="251"/>
        <v>0</v>
      </c>
      <c r="BX546" s="399">
        <f t="shared" si="252"/>
        <v>0</v>
      </c>
      <c r="BY546" s="399">
        <f t="shared" si="253"/>
        <v>0</v>
      </c>
      <c r="BZ546" s="399">
        <f t="shared" si="254"/>
        <v>0</v>
      </c>
      <c r="CA546" s="399">
        <f t="shared" si="255"/>
        <v>0</v>
      </c>
      <c r="CB546" s="399">
        <f t="shared" si="256"/>
        <v>0</v>
      </c>
      <c r="CC546" s="399">
        <f t="shared" si="257"/>
        <v>0</v>
      </c>
      <c r="CD546" s="399">
        <f t="shared" si="258"/>
        <v>0</v>
      </c>
      <c r="CE546" s="399">
        <f t="shared" si="259"/>
        <v>0</v>
      </c>
      <c r="CF546" s="399">
        <f t="shared" si="260"/>
        <v>0</v>
      </c>
      <c r="CG546" s="399">
        <f t="shared" si="261"/>
        <v>0</v>
      </c>
      <c r="CH546" s="399">
        <f t="shared" si="262"/>
        <v>0</v>
      </c>
      <c r="CI546" s="399">
        <f t="shared" si="263"/>
        <v>0</v>
      </c>
      <c r="CJ546" s="399">
        <f t="shared" si="264"/>
        <v>0</v>
      </c>
      <c r="CK546" s="399">
        <f t="shared" si="265"/>
        <v>0</v>
      </c>
      <c r="CL546" s="399">
        <f t="shared" si="266"/>
        <v>0</v>
      </c>
      <c r="CM546" s="399">
        <f t="shared" si="267"/>
        <v>0</v>
      </c>
      <c r="CN546" s="399">
        <f t="shared" si="268"/>
        <v>0</v>
      </c>
      <c r="CO546" s="399">
        <f t="shared" si="269"/>
        <v>0</v>
      </c>
      <c r="CP546" s="399">
        <f t="shared" si="270"/>
        <v>0</v>
      </c>
      <c r="CQ546" s="423">
        <f t="shared" si="271"/>
        <v>0</v>
      </c>
      <c r="CS546" s="394" t="e">
        <f t="shared" si="272"/>
        <v>#DIV/0!</v>
      </c>
    </row>
    <row r="547" spans="3:97">
      <c r="C547" s="107"/>
      <c r="D547" s="395"/>
      <c r="E547" s="84"/>
      <c r="F547" s="84"/>
      <c r="G547" s="389"/>
      <c r="H547" s="390"/>
      <c r="I547" s="390"/>
      <c r="J547" s="390"/>
      <c r="K547" s="390"/>
      <c r="L547" s="390"/>
      <c r="M547" s="390"/>
      <c r="N547" s="390"/>
      <c r="O547" s="390"/>
      <c r="P547" s="390"/>
      <c r="Q547" s="390"/>
      <c r="R547" s="390"/>
      <c r="S547" s="390"/>
      <c r="T547" s="390"/>
      <c r="U547" s="390"/>
      <c r="V547" s="390"/>
      <c r="W547" s="390"/>
      <c r="X547" s="390"/>
      <c r="Y547" s="390"/>
      <c r="Z547" s="390"/>
      <c r="AA547" s="390"/>
      <c r="AB547" s="390"/>
      <c r="AC547" s="390"/>
      <c r="AD547" s="390"/>
      <c r="AE547" s="390"/>
      <c r="AF547" s="390"/>
      <c r="AG547" s="390"/>
      <c r="AH547" s="390"/>
      <c r="AI547" s="391"/>
      <c r="AK547" s="437"/>
      <c r="AL547" s="437"/>
      <c r="AM547" s="437"/>
      <c r="AN547" s="437"/>
      <c r="AO547" s="437"/>
      <c r="AP547" s="437"/>
      <c r="AQ547" s="437"/>
      <c r="AR547" s="437"/>
      <c r="AS547" s="437"/>
      <c r="AT547" s="437"/>
      <c r="AU547" s="437"/>
      <c r="AV547" s="437"/>
      <c r="AW547" s="437"/>
      <c r="AX547" s="437"/>
      <c r="AY547" s="437"/>
      <c r="AZ547" s="437"/>
      <c r="BA547" s="437"/>
      <c r="BB547" s="437"/>
      <c r="BC547" s="437"/>
      <c r="BD547" s="437"/>
      <c r="BE547" s="437"/>
      <c r="BF547" s="437"/>
      <c r="BG547" s="437"/>
      <c r="BH547" s="437"/>
      <c r="BI547" s="437"/>
      <c r="BJ547" s="437"/>
      <c r="BK547" s="437"/>
      <c r="BL547" s="437"/>
      <c r="BM547" s="393"/>
      <c r="BO547" s="399">
        <f t="shared" si="243"/>
        <v>0</v>
      </c>
      <c r="BP547" s="399">
        <f t="shared" si="244"/>
        <v>0</v>
      </c>
      <c r="BQ547" s="399">
        <f t="shared" si="245"/>
        <v>0</v>
      </c>
      <c r="BR547" s="399">
        <f t="shared" si="246"/>
        <v>0</v>
      </c>
      <c r="BS547" s="399">
        <f t="shared" si="247"/>
        <v>0</v>
      </c>
      <c r="BT547" s="399">
        <f t="shared" si="248"/>
        <v>0</v>
      </c>
      <c r="BU547" s="399">
        <f t="shared" si="249"/>
        <v>0</v>
      </c>
      <c r="BV547" s="399">
        <f t="shared" si="250"/>
        <v>0</v>
      </c>
      <c r="BW547" s="399">
        <f t="shared" si="251"/>
        <v>0</v>
      </c>
      <c r="BX547" s="399">
        <f t="shared" si="252"/>
        <v>0</v>
      </c>
      <c r="BY547" s="399">
        <f t="shared" si="253"/>
        <v>0</v>
      </c>
      <c r="BZ547" s="399">
        <f t="shared" si="254"/>
        <v>0</v>
      </c>
      <c r="CA547" s="399">
        <f t="shared" si="255"/>
        <v>0</v>
      </c>
      <c r="CB547" s="399">
        <f t="shared" si="256"/>
        <v>0</v>
      </c>
      <c r="CC547" s="399">
        <f t="shared" si="257"/>
        <v>0</v>
      </c>
      <c r="CD547" s="399">
        <f t="shared" si="258"/>
        <v>0</v>
      </c>
      <c r="CE547" s="399">
        <f t="shared" si="259"/>
        <v>0</v>
      </c>
      <c r="CF547" s="399">
        <f t="shared" si="260"/>
        <v>0</v>
      </c>
      <c r="CG547" s="399">
        <f t="shared" si="261"/>
        <v>0</v>
      </c>
      <c r="CH547" s="399">
        <f t="shared" si="262"/>
        <v>0</v>
      </c>
      <c r="CI547" s="399">
        <f t="shared" si="263"/>
        <v>0</v>
      </c>
      <c r="CJ547" s="399">
        <f t="shared" si="264"/>
        <v>0</v>
      </c>
      <c r="CK547" s="399">
        <f t="shared" si="265"/>
        <v>0</v>
      </c>
      <c r="CL547" s="399">
        <f t="shared" si="266"/>
        <v>0</v>
      </c>
      <c r="CM547" s="399">
        <f t="shared" si="267"/>
        <v>0</v>
      </c>
      <c r="CN547" s="399">
        <f t="shared" si="268"/>
        <v>0</v>
      </c>
      <c r="CO547" s="399">
        <f t="shared" si="269"/>
        <v>0</v>
      </c>
      <c r="CP547" s="399">
        <f t="shared" si="270"/>
        <v>0</v>
      </c>
      <c r="CQ547" s="423">
        <f t="shared" si="271"/>
        <v>0</v>
      </c>
      <c r="CS547" s="394" t="e">
        <f t="shared" si="272"/>
        <v>#DIV/0!</v>
      </c>
    </row>
    <row r="548" spans="3:97">
      <c r="C548" s="107"/>
      <c r="D548" s="395"/>
      <c r="E548" s="84"/>
      <c r="F548" s="84"/>
      <c r="G548" s="389"/>
      <c r="H548" s="390"/>
      <c r="I548" s="390"/>
      <c r="J548" s="390"/>
      <c r="K548" s="390"/>
      <c r="L548" s="390"/>
      <c r="M548" s="390"/>
      <c r="N548" s="390"/>
      <c r="O548" s="390"/>
      <c r="P548" s="390"/>
      <c r="Q548" s="390"/>
      <c r="R548" s="390"/>
      <c r="S548" s="390"/>
      <c r="T548" s="390"/>
      <c r="U548" s="390"/>
      <c r="V548" s="390"/>
      <c r="W548" s="390"/>
      <c r="X548" s="390"/>
      <c r="Y548" s="390"/>
      <c r="Z548" s="390"/>
      <c r="AA548" s="390"/>
      <c r="AB548" s="390"/>
      <c r="AC548" s="390"/>
      <c r="AD548" s="390"/>
      <c r="AE548" s="390"/>
      <c r="AF548" s="390"/>
      <c r="AG548" s="390"/>
      <c r="AH548" s="390"/>
      <c r="AI548" s="391"/>
      <c r="AK548" s="437"/>
      <c r="AL548" s="437"/>
      <c r="AM548" s="437"/>
      <c r="AN548" s="437"/>
      <c r="AO548" s="437"/>
      <c r="AP548" s="437"/>
      <c r="AQ548" s="437"/>
      <c r="AR548" s="437"/>
      <c r="AS548" s="437"/>
      <c r="AT548" s="437"/>
      <c r="AU548" s="437"/>
      <c r="AV548" s="437"/>
      <c r="AW548" s="437"/>
      <c r="AX548" s="437"/>
      <c r="AY548" s="437"/>
      <c r="AZ548" s="437"/>
      <c r="BA548" s="437"/>
      <c r="BB548" s="437"/>
      <c r="BC548" s="437"/>
      <c r="BD548" s="437"/>
      <c r="BE548" s="437"/>
      <c r="BF548" s="437"/>
      <c r="BG548" s="437"/>
      <c r="BH548" s="437"/>
      <c r="BI548" s="437"/>
      <c r="BJ548" s="437"/>
      <c r="BK548" s="437"/>
      <c r="BL548" s="437"/>
      <c r="BM548" s="393"/>
      <c r="BO548" s="399">
        <f t="shared" si="243"/>
        <v>0</v>
      </c>
      <c r="BP548" s="399">
        <f t="shared" si="244"/>
        <v>0</v>
      </c>
      <c r="BQ548" s="399">
        <f t="shared" si="245"/>
        <v>0</v>
      </c>
      <c r="BR548" s="399">
        <f t="shared" si="246"/>
        <v>0</v>
      </c>
      <c r="BS548" s="399">
        <f t="shared" si="247"/>
        <v>0</v>
      </c>
      <c r="BT548" s="399">
        <f t="shared" si="248"/>
        <v>0</v>
      </c>
      <c r="BU548" s="399">
        <f t="shared" si="249"/>
        <v>0</v>
      </c>
      <c r="BV548" s="399">
        <f t="shared" si="250"/>
        <v>0</v>
      </c>
      <c r="BW548" s="399">
        <f t="shared" si="251"/>
        <v>0</v>
      </c>
      <c r="BX548" s="399">
        <f t="shared" si="252"/>
        <v>0</v>
      </c>
      <c r="BY548" s="399">
        <f t="shared" si="253"/>
        <v>0</v>
      </c>
      <c r="BZ548" s="399">
        <f t="shared" si="254"/>
        <v>0</v>
      </c>
      <c r="CA548" s="399">
        <f t="shared" si="255"/>
        <v>0</v>
      </c>
      <c r="CB548" s="399">
        <f t="shared" si="256"/>
        <v>0</v>
      </c>
      <c r="CC548" s="399">
        <f t="shared" si="257"/>
        <v>0</v>
      </c>
      <c r="CD548" s="399">
        <f t="shared" si="258"/>
        <v>0</v>
      </c>
      <c r="CE548" s="399">
        <f t="shared" si="259"/>
        <v>0</v>
      </c>
      <c r="CF548" s="399">
        <f t="shared" si="260"/>
        <v>0</v>
      </c>
      <c r="CG548" s="399">
        <f t="shared" si="261"/>
        <v>0</v>
      </c>
      <c r="CH548" s="399">
        <f t="shared" si="262"/>
        <v>0</v>
      </c>
      <c r="CI548" s="399">
        <f t="shared" si="263"/>
        <v>0</v>
      </c>
      <c r="CJ548" s="399">
        <f t="shared" si="264"/>
        <v>0</v>
      </c>
      <c r="CK548" s="399">
        <f t="shared" si="265"/>
        <v>0</v>
      </c>
      <c r="CL548" s="399">
        <f t="shared" si="266"/>
        <v>0</v>
      </c>
      <c r="CM548" s="399">
        <f t="shared" si="267"/>
        <v>0</v>
      </c>
      <c r="CN548" s="399">
        <f t="shared" si="268"/>
        <v>0</v>
      </c>
      <c r="CO548" s="399">
        <f t="shared" si="269"/>
        <v>0</v>
      </c>
      <c r="CP548" s="399">
        <f t="shared" si="270"/>
        <v>0</v>
      </c>
      <c r="CQ548" s="423">
        <f t="shared" si="271"/>
        <v>0</v>
      </c>
      <c r="CS548" s="394" t="e">
        <f t="shared" si="272"/>
        <v>#DIV/0!</v>
      </c>
    </row>
    <row r="549" spans="3:97">
      <c r="C549" s="107"/>
      <c r="D549" s="395"/>
      <c r="E549" s="84"/>
      <c r="F549" s="84"/>
      <c r="G549" s="389"/>
      <c r="H549" s="390"/>
      <c r="I549" s="390"/>
      <c r="J549" s="390"/>
      <c r="K549" s="390"/>
      <c r="L549" s="390"/>
      <c r="M549" s="390"/>
      <c r="N549" s="390"/>
      <c r="O549" s="390"/>
      <c r="P549" s="390"/>
      <c r="Q549" s="390"/>
      <c r="R549" s="390"/>
      <c r="S549" s="390"/>
      <c r="T549" s="390"/>
      <c r="U549" s="390"/>
      <c r="V549" s="390"/>
      <c r="W549" s="390"/>
      <c r="X549" s="390"/>
      <c r="Y549" s="390"/>
      <c r="Z549" s="390"/>
      <c r="AA549" s="390"/>
      <c r="AB549" s="390"/>
      <c r="AC549" s="390"/>
      <c r="AD549" s="390"/>
      <c r="AE549" s="390"/>
      <c r="AF549" s="390"/>
      <c r="AG549" s="390"/>
      <c r="AH549" s="390"/>
      <c r="AI549" s="391"/>
      <c r="AK549" s="437"/>
      <c r="AL549" s="437"/>
      <c r="AM549" s="437"/>
      <c r="AN549" s="437"/>
      <c r="AO549" s="437"/>
      <c r="AP549" s="437"/>
      <c r="AQ549" s="437"/>
      <c r="AR549" s="437"/>
      <c r="AS549" s="437"/>
      <c r="AT549" s="437"/>
      <c r="AU549" s="437"/>
      <c r="AV549" s="437"/>
      <c r="AW549" s="437"/>
      <c r="AX549" s="437"/>
      <c r="AY549" s="437"/>
      <c r="AZ549" s="437"/>
      <c r="BA549" s="437"/>
      <c r="BB549" s="437"/>
      <c r="BC549" s="437"/>
      <c r="BD549" s="437"/>
      <c r="BE549" s="437"/>
      <c r="BF549" s="437"/>
      <c r="BG549" s="437"/>
      <c r="BH549" s="437"/>
      <c r="BI549" s="437"/>
      <c r="BJ549" s="437"/>
      <c r="BK549" s="437"/>
      <c r="BL549" s="437"/>
      <c r="BM549" s="393"/>
      <c r="BO549" s="399">
        <f t="shared" si="243"/>
        <v>0</v>
      </c>
      <c r="BP549" s="399">
        <f t="shared" si="244"/>
        <v>0</v>
      </c>
      <c r="BQ549" s="399">
        <f t="shared" si="245"/>
        <v>0</v>
      </c>
      <c r="BR549" s="399">
        <f t="shared" si="246"/>
        <v>0</v>
      </c>
      <c r="BS549" s="399">
        <f t="shared" si="247"/>
        <v>0</v>
      </c>
      <c r="BT549" s="399">
        <f t="shared" si="248"/>
        <v>0</v>
      </c>
      <c r="BU549" s="399">
        <f t="shared" si="249"/>
        <v>0</v>
      </c>
      <c r="BV549" s="399">
        <f t="shared" si="250"/>
        <v>0</v>
      </c>
      <c r="BW549" s="399">
        <f t="shared" si="251"/>
        <v>0</v>
      </c>
      <c r="BX549" s="399">
        <f t="shared" si="252"/>
        <v>0</v>
      </c>
      <c r="BY549" s="399">
        <f t="shared" si="253"/>
        <v>0</v>
      </c>
      <c r="BZ549" s="399">
        <f t="shared" si="254"/>
        <v>0</v>
      </c>
      <c r="CA549" s="399">
        <f t="shared" si="255"/>
        <v>0</v>
      </c>
      <c r="CB549" s="399">
        <f t="shared" si="256"/>
        <v>0</v>
      </c>
      <c r="CC549" s="399">
        <f t="shared" si="257"/>
        <v>0</v>
      </c>
      <c r="CD549" s="399">
        <f t="shared" si="258"/>
        <v>0</v>
      </c>
      <c r="CE549" s="399">
        <f t="shared" si="259"/>
        <v>0</v>
      </c>
      <c r="CF549" s="399">
        <f t="shared" si="260"/>
        <v>0</v>
      </c>
      <c r="CG549" s="399">
        <f t="shared" si="261"/>
        <v>0</v>
      </c>
      <c r="CH549" s="399">
        <f t="shared" si="262"/>
        <v>0</v>
      </c>
      <c r="CI549" s="399">
        <f t="shared" si="263"/>
        <v>0</v>
      </c>
      <c r="CJ549" s="399">
        <f t="shared" si="264"/>
        <v>0</v>
      </c>
      <c r="CK549" s="399">
        <f t="shared" si="265"/>
        <v>0</v>
      </c>
      <c r="CL549" s="399">
        <f t="shared" si="266"/>
        <v>0</v>
      </c>
      <c r="CM549" s="399">
        <f t="shared" si="267"/>
        <v>0</v>
      </c>
      <c r="CN549" s="399">
        <f t="shared" si="268"/>
        <v>0</v>
      </c>
      <c r="CO549" s="399">
        <f t="shared" si="269"/>
        <v>0</v>
      </c>
      <c r="CP549" s="399">
        <f t="shared" si="270"/>
        <v>0</v>
      </c>
      <c r="CQ549" s="423">
        <f t="shared" si="271"/>
        <v>0</v>
      </c>
      <c r="CS549" s="394" t="e">
        <f t="shared" si="272"/>
        <v>#DIV/0!</v>
      </c>
    </row>
    <row r="550" spans="3:97">
      <c r="C550" s="107"/>
      <c r="D550" s="395"/>
      <c r="E550" s="84"/>
      <c r="F550" s="84"/>
      <c r="G550" s="389"/>
      <c r="H550" s="390"/>
      <c r="I550" s="390"/>
      <c r="J550" s="390"/>
      <c r="K550" s="390"/>
      <c r="L550" s="390"/>
      <c r="M550" s="390"/>
      <c r="N550" s="390"/>
      <c r="O550" s="390"/>
      <c r="P550" s="390"/>
      <c r="Q550" s="390"/>
      <c r="R550" s="390"/>
      <c r="S550" s="390"/>
      <c r="T550" s="390"/>
      <c r="U550" s="390"/>
      <c r="V550" s="390"/>
      <c r="W550" s="390"/>
      <c r="X550" s="390"/>
      <c r="Y550" s="390"/>
      <c r="Z550" s="390"/>
      <c r="AA550" s="390"/>
      <c r="AB550" s="390"/>
      <c r="AC550" s="390"/>
      <c r="AD550" s="390"/>
      <c r="AE550" s="390"/>
      <c r="AF550" s="390"/>
      <c r="AG550" s="390"/>
      <c r="AH550" s="390"/>
      <c r="AI550" s="391"/>
      <c r="AK550" s="437"/>
      <c r="AL550" s="437"/>
      <c r="AM550" s="437"/>
      <c r="AN550" s="437"/>
      <c r="AO550" s="437"/>
      <c r="AP550" s="437"/>
      <c r="AQ550" s="437"/>
      <c r="AR550" s="437"/>
      <c r="AS550" s="437"/>
      <c r="AT550" s="437"/>
      <c r="AU550" s="437"/>
      <c r="AV550" s="437"/>
      <c r="AW550" s="437"/>
      <c r="AX550" s="437"/>
      <c r="AY550" s="437"/>
      <c r="AZ550" s="437"/>
      <c r="BA550" s="437"/>
      <c r="BB550" s="437"/>
      <c r="BC550" s="437"/>
      <c r="BD550" s="437"/>
      <c r="BE550" s="437"/>
      <c r="BF550" s="437"/>
      <c r="BG550" s="437"/>
      <c r="BH550" s="437"/>
      <c r="BI550" s="437"/>
      <c r="BJ550" s="437"/>
      <c r="BK550" s="437"/>
      <c r="BL550" s="437"/>
      <c r="BM550" s="393"/>
      <c r="BO550" s="399">
        <f t="shared" si="243"/>
        <v>0</v>
      </c>
      <c r="BP550" s="399">
        <f t="shared" si="244"/>
        <v>0</v>
      </c>
      <c r="BQ550" s="399">
        <f t="shared" si="245"/>
        <v>0</v>
      </c>
      <c r="BR550" s="399">
        <f t="shared" si="246"/>
        <v>0</v>
      </c>
      <c r="BS550" s="399">
        <f t="shared" si="247"/>
        <v>0</v>
      </c>
      <c r="BT550" s="399">
        <f t="shared" si="248"/>
        <v>0</v>
      </c>
      <c r="BU550" s="399">
        <f t="shared" si="249"/>
        <v>0</v>
      </c>
      <c r="BV550" s="399">
        <f t="shared" si="250"/>
        <v>0</v>
      </c>
      <c r="BW550" s="399">
        <f t="shared" si="251"/>
        <v>0</v>
      </c>
      <c r="BX550" s="399">
        <f t="shared" si="252"/>
        <v>0</v>
      </c>
      <c r="BY550" s="399">
        <f t="shared" si="253"/>
        <v>0</v>
      </c>
      <c r="BZ550" s="399">
        <f t="shared" si="254"/>
        <v>0</v>
      </c>
      <c r="CA550" s="399">
        <f t="shared" si="255"/>
        <v>0</v>
      </c>
      <c r="CB550" s="399">
        <f t="shared" si="256"/>
        <v>0</v>
      </c>
      <c r="CC550" s="399">
        <f t="shared" si="257"/>
        <v>0</v>
      </c>
      <c r="CD550" s="399">
        <f t="shared" si="258"/>
        <v>0</v>
      </c>
      <c r="CE550" s="399">
        <f t="shared" si="259"/>
        <v>0</v>
      </c>
      <c r="CF550" s="399">
        <f t="shared" si="260"/>
        <v>0</v>
      </c>
      <c r="CG550" s="399">
        <f t="shared" si="261"/>
        <v>0</v>
      </c>
      <c r="CH550" s="399">
        <f t="shared" si="262"/>
        <v>0</v>
      </c>
      <c r="CI550" s="399">
        <f t="shared" si="263"/>
        <v>0</v>
      </c>
      <c r="CJ550" s="399">
        <f t="shared" si="264"/>
        <v>0</v>
      </c>
      <c r="CK550" s="399">
        <f t="shared" si="265"/>
        <v>0</v>
      </c>
      <c r="CL550" s="399">
        <f t="shared" si="266"/>
        <v>0</v>
      </c>
      <c r="CM550" s="399">
        <f t="shared" si="267"/>
        <v>0</v>
      </c>
      <c r="CN550" s="399">
        <f t="shared" si="268"/>
        <v>0</v>
      </c>
      <c r="CO550" s="399">
        <f t="shared" si="269"/>
        <v>0</v>
      </c>
      <c r="CP550" s="399">
        <f t="shared" si="270"/>
        <v>0</v>
      </c>
      <c r="CQ550" s="423">
        <f t="shared" si="271"/>
        <v>0</v>
      </c>
      <c r="CS550" s="394" t="e">
        <f t="shared" si="272"/>
        <v>#DIV/0!</v>
      </c>
    </row>
    <row r="551" spans="3:97">
      <c r="C551" s="107"/>
      <c r="D551" s="395"/>
      <c r="E551" s="84"/>
      <c r="F551" s="84"/>
      <c r="G551" s="389"/>
      <c r="H551" s="390"/>
      <c r="I551" s="390"/>
      <c r="J551" s="390"/>
      <c r="K551" s="390"/>
      <c r="L551" s="390"/>
      <c r="M551" s="390"/>
      <c r="N551" s="390"/>
      <c r="O551" s="390"/>
      <c r="P551" s="390"/>
      <c r="Q551" s="390"/>
      <c r="R551" s="390"/>
      <c r="S551" s="390"/>
      <c r="T551" s="390"/>
      <c r="U551" s="390"/>
      <c r="V551" s="390"/>
      <c r="W551" s="390"/>
      <c r="X551" s="390"/>
      <c r="Y551" s="390"/>
      <c r="Z551" s="390"/>
      <c r="AA551" s="390"/>
      <c r="AB551" s="390"/>
      <c r="AC551" s="390"/>
      <c r="AD551" s="390"/>
      <c r="AE551" s="390"/>
      <c r="AF551" s="390"/>
      <c r="AG551" s="390"/>
      <c r="AH551" s="390"/>
      <c r="AI551" s="391"/>
      <c r="AK551" s="437"/>
      <c r="AL551" s="437"/>
      <c r="AM551" s="437"/>
      <c r="AN551" s="437"/>
      <c r="AO551" s="437"/>
      <c r="AP551" s="437"/>
      <c r="AQ551" s="437"/>
      <c r="AR551" s="437"/>
      <c r="AS551" s="437"/>
      <c r="AT551" s="437"/>
      <c r="AU551" s="437"/>
      <c r="AV551" s="437"/>
      <c r="AW551" s="437"/>
      <c r="AX551" s="437"/>
      <c r="AY551" s="437"/>
      <c r="AZ551" s="437"/>
      <c r="BA551" s="437"/>
      <c r="BB551" s="437"/>
      <c r="BC551" s="437"/>
      <c r="BD551" s="437"/>
      <c r="BE551" s="437"/>
      <c r="BF551" s="437"/>
      <c r="BG551" s="437"/>
      <c r="BH551" s="437"/>
      <c r="BI551" s="437"/>
      <c r="BJ551" s="437"/>
      <c r="BK551" s="437"/>
      <c r="BL551" s="437"/>
      <c r="BM551" s="393"/>
      <c r="BO551" s="399">
        <f t="shared" si="243"/>
        <v>0</v>
      </c>
      <c r="BP551" s="399">
        <f t="shared" si="244"/>
        <v>0</v>
      </c>
      <c r="BQ551" s="399">
        <f t="shared" si="245"/>
        <v>0</v>
      </c>
      <c r="BR551" s="399">
        <f t="shared" si="246"/>
        <v>0</v>
      </c>
      <c r="BS551" s="399">
        <f t="shared" si="247"/>
        <v>0</v>
      </c>
      <c r="BT551" s="399">
        <f t="shared" si="248"/>
        <v>0</v>
      </c>
      <c r="BU551" s="399">
        <f t="shared" si="249"/>
        <v>0</v>
      </c>
      <c r="BV551" s="399">
        <f t="shared" si="250"/>
        <v>0</v>
      </c>
      <c r="BW551" s="399">
        <f t="shared" si="251"/>
        <v>0</v>
      </c>
      <c r="BX551" s="399">
        <f t="shared" si="252"/>
        <v>0</v>
      </c>
      <c r="BY551" s="399">
        <f t="shared" si="253"/>
        <v>0</v>
      </c>
      <c r="BZ551" s="399">
        <f t="shared" si="254"/>
        <v>0</v>
      </c>
      <c r="CA551" s="399">
        <f t="shared" si="255"/>
        <v>0</v>
      </c>
      <c r="CB551" s="399">
        <f t="shared" si="256"/>
        <v>0</v>
      </c>
      <c r="CC551" s="399">
        <f t="shared" si="257"/>
        <v>0</v>
      </c>
      <c r="CD551" s="399">
        <f t="shared" si="258"/>
        <v>0</v>
      </c>
      <c r="CE551" s="399">
        <f t="shared" si="259"/>
        <v>0</v>
      </c>
      <c r="CF551" s="399">
        <f t="shared" si="260"/>
        <v>0</v>
      </c>
      <c r="CG551" s="399">
        <f t="shared" si="261"/>
        <v>0</v>
      </c>
      <c r="CH551" s="399">
        <f t="shared" si="262"/>
        <v>0</v>
      </c>
      <c r="CI551" s="399">
        <f t="shared" si="263"/>
        <v>0</v>
      </c>
      <c r="CJ551" s="399">
        <f t="shared" si="264"/>
        <v>0</v>
      </c>
      <c r="CK551" s="399">
        <f t="shared" si="265"/>
        <v>0</v>
      </c>
      <c r="CL551" s="399">
        <f t="shared" si="266"/>
        <v>0</v>
      </c>
      <c r="CM551" s="399">
        <f t="shared" si="267"/>
        <v>0</v>
      </c>
      <c r="CN551" s="399">
        <f t="shared" si="268"/>
        <v>0</v>
      </c>
      <c r="CO551" s="399">
        <f t="shared" si="269"/>
        <v>0</v>
      </c>
      <c r="CP551" s="399">
        <f t="shared" si="270"/>
        <v>0</v>
      </c>
      <c r="CQ551" s="423">
        <f t="shared" si="271"/>
        <v>0</v>
      </c>
      <c r="CS551" s="394" t="e">
        <f t="shared" si="272"/>
        <v>#DIV/0!</v>
      </c>
    </row>
    <row r="552" spans="3:97">
      <c r="C552" s="107"/>
      <c r="D552" s="395"/>
      <c r="E552" s="84"/>
      <c r="F552" s="84"/>
      <c r="G552" s="389"/>
      <c r="H552" s="390"/>
      <c r="I552" s="390"/>
      <c r="J552" s="390"/>
      <c r="K552" s="390"/>
      <c r="L552" s="390"/>
      <c r="M552" s="390"/>
      <c r="N552" s="390"/>
      <c r="O552" s="390"/>
      <c r="P552" s="390"/>
      <c r="Q552" s="390"/>
      <c r="R552" s="390"/>
      <c r="S552" s="390"/>
      <c r="T552" s="390"/>
      <c r="U552" s="390"/>
      <c r="V552" s="390"/>
      <c r="W552" s="390"/>
      <c r="X552" s="390"/>
      <c r="Y552" s="390"/>
      <c r="Z552" s="390"/>
      <c r="AA552" s="390"/>
      <c r="AB552" s="390"/>
      <c r="AC552" s="390"/>
      <c r="AD552" s="390"/>
      <c r="AE552" s="390"/>
      <c r="AF552" s="390"/>
      <c r="AG552" s="390"/>
      <c r="AH552" s="390"/>
      <c r="AI552" s="391"/>
      <c r="AK552" s="437"/>
      <c r="AL552" s="437"/>
      <c r="AM552" s="437"/>
      <c r="AN552" s="437"/>
      <c r="AO552" s="437"/>
      <c r="AP552" s="437"/>
      <c r="AQ552" s="437"/>
      <c r="AR552" s="437"/>
      <c r="AS552" s="437"/>
      <c r="AT552" s="437"/>
      <c r="AU552" s="437"/>
      <c r="AV552" s="437"/>
      <c r="AW552" s="437"/>
      <c r="AX552" s="437"/>
      <c r="AY552" s="437"/>
      <c r="AZ552" s="437"/>
      <c r="BA552" s="437"/>
      <c r="BB552" s="437"/>
      <c r="BC552" s="437"/>
      <c r="BD552" s="437"/>
      <c r="BE552" s="437"/>
      <c r="BF552" s="437"/>
      <c r="BG552" s="437"/>
      <c r="BH552" s="437"/>
      <c r="BI552" s="437"/>
      <c r="BJ552" s="437"/>
      <c r="BK552" s="437"/>
      <c r="BL552" s="437"/>
      <c r="BM552" s="393"/>
      <c r="BO552" s="399">
        <f t="shared" si="243"/>
        <v>0</v>
      </c>
      <c r="BP552" s="399">
        <f t="shared" si="244"/>
        <v>0</v>
      </c>
      <c r="BQ552" s="399">
        <f t="shared" si="245"/>
        <v>0</v>
      </c>
      <c r="BR552" s="399">
        <f t="shared" si="246"/>
        <v>0</v>
      </c>
      <c r="BS552" s="399">
        <f t="shared" si="247"/>
        <v>0</v>
      </c>
      <c r="BT552" s="399">
        <f t="shared" si="248"/>
        <v>0</v>
      </c>
      <c r="BU552" s="399">
        <f t="shared" si="249"/>
        <v>0</v>
      </c>
      <c r="BV552" s="399">
        <f t="shared" si="250"/>
        <v>0</v>
      </c>
      <c r="BW552" s="399">
        <f t="shared" si="251"/>
        <v>0</v>
      </c>
      <c r="BX552" s="399">
        <f t="shared" si="252"/>
        <v>0</v>
      </c>
      <c r="BY552" s="399">
        <f t="shared" si="253"/>
        <v>0</v>
      </c>
      <c r="BZ552" s="399">
        <f t="shared" si="254"/>
        <v>0</v>
      </c>
      <c r="CA552" s="399">
        <f t="shared" si="255"/>
        <v>0</v>
      </c>
      <c r="CB552" s="399">
        <f t="shared" si="256"/>
        <v>0</v>
      </c>
      <c r="CC552" s="399">
        <f t="shared" si="257"/>
        <v>0</v>
      </c>
      <c r="CD552" s="399">
        <f t="shared" si="258"/>
        <v>0</v>
      </c>
      <c r="CE552" s="399">
        <f t="shared" si="259"/>
        <v>0</v>
      </c>
      <c r="CF552" s="399">
        <f t="shared" si="260"/>
        <v>0</v>
      </c>
      <c r="CG552" s="399">
        <f t="shared" si="261"/>
        <v>0</v>
      </c>
      <c r="CH552" s="399">
        <f t="shared" si="262"/>
        <v>0</v>
      </c>
      <c r="CI552" s="399">
        <f t="shared" si="263"/>
        <v>0</v>
      </c>
      <c r="CJ552" s="399">
        <f t="shared" si="264"/>
        <v>0</v>
      </c>
      <c r="CK552" s="399">
        <f t="shared" si="265"/>
        <v>0</v>
      </c>
      <c r="CL552" s="399">
        <f t="shared" si="266"/>
        <v>0</v>
      </c>
      <c r="CM552" s="399">
        <f t="shared" si="267"/>
        <v>0</v>
      </c>
      <c r="CN552" s="399">
        <f t="shared" si="268"/>
        <v>0</v>
      </c>
      <c r="CO552" s="399">
        <f t="shared" si="269"/>
        <v>0</v>
      </c>
      <c r="CP552" s="399">
        <f t="shared" si="270"/>
        <v>0</v>
      </c>
      <c r="CQ552" s="423">
        <f t="shared" si="271"/>
        <v>0</v>
      </c>
      <c r="CS552" s="394" t="e">
        <f t="shared" si="272"/>
        <v>#DIV/0!</v>
      </c>
    </row>
    <row r="553" spans="3:97">
      <c r="C553" s="107"/>
      <c r="D553" s="395"/>
      <c r="E553" s="84"/>
      <c r="F553" s="84"/>
      <c r="G553" s="389"/>
      <c r="H553" s="390"/>
      <c r="I553" s="390"/>
      <c r="J553" s="390"/>
      <c r="K553" s="390"/>
      <c r="L553" s="390"/>
      <c r="M553" s="390"/>
      <c r="N553" s="390"/>
      <c r="O553" s="390"/>
      <c r="P553" s="390"/>
      <c r="Q553" s="390"/>
      <c r="R553" s="390"/>
      <c r="S553" s="390"/>
      <c r="T553" s="390"/>
      <c r="U553" s="390"/>
      <c r="V553" s="390"/>
      <c r="W553" s="390"/>
      <c r="X553" s="390"/>
      <c r="Y553" s="390"/>
      <c r="Z553" s="390"/>
      <c r="AA553" s="390"/>
      <c r="AB553" s="390"/>
      <c r="AC553" s="390"/>
      <c r="AD553" s="390"/>
      <c r="AE553" s="390"/>
      <c r="AF553" s="390"/>
      <c r="AG553" s="390"/>
      <c r="AH553" s="390"/>
      <c r="AI553" s="391"/>
      <c r="AK553" s="437"/>
      <c r="AL553" s="437"/>
      <c r="AM553" s="437"/>
      <c r="AN553" s="437"/>
      <c r="AO553" s="437"/>
      <c r="AP553" s="437"/>
      <c r="AQ553" s="437"/>
      <c r="AR553" s="437"/>
      <c r="AS553" s="437"/>
      <c r="AT553" s="437"/>
      <c r="AU553" s="437"/>
      <c r="AV553" s="437"/>
      <c r="AW553" s="437"/>
      <c r="AX553" s="437"/>
      <c r="AY553" s="437"/>
      <c r="AZ553" s="437"/>
      <c r="BA553" s="437"/>
      <c r="BB553" s="437"/>
      <c r="BC553" s="437"/>
      <c r="BD553" s="437"/>
      <c r="BE553" s="437"/>
      <c r="BF553" s="437"/>
      <c r="BG553" s="437"/>
      <c r="BH553" s="437"/>
      <c r="BI553" s="437"/>
      <c r="BJ553" s="437"/>
      <c r="BK553" s="437"/>
      <c r="BL553" s="437"/>
      <c r="BM553" s="393"/>
      <c r="BO553" s="399">
        <f t="shared" si="243"/>
        <v>0</v>
      </c>
      <c r="BP553" s="399">
        <f t="shared" si="244"/>
        <v>0</v>
      </c>
      <c r="BQ553" s="399">
        <f t="shared" si="245"/>
        <v>0</v>
      </c>
      <c r="BR553" s="399">
        <f t="shared" si="246"/>
        <v>0</v>
      </c>
      <c r="BS553" s="399">
        <f t="shared" si="247"/>
        <v>0</v>
      </c>
      <c r="BT553" s="399">
        <f t="shared" si="248"/>
        <v>0</v>
      </c>
      <c r="BU553" s="399">
        <f t="shared" si="249"/>
        <v>0</v>
      </c>
      <c r="BV553" s="399">
        <f t="shared" si="250"/>
        <v>0</v>
      </c>
      <c r="BW553" s="399">
        <f t="shared" si="251"/>
        <v>0</v>
      </c>
      <c r="BX553" s="399">
        <f t="shared" si="252"/>
        <v>0</v>
      </c>
      <c r="BY553" s="399">
        <f t="shared" si="253"/>
        <v>0</v>
      </c>
      <c r="BZ553" s="399">
        <f t="shared" si="254"/>
        <v>0</v>
      </c>
      <c r="CA553" s="399">
        <f t="shared" si="255"/>
        <v>0</v>
      </c>
      <c r="CB553" s="399">
        <f t="shared" si="256"/>
        <v>0</v>
      </c>
      <c r="CC553" s="399">
        <f t="shared" si="257"/>
        <v>0</v>
      </c>
      <c r="CD553" s="399">
        <f t="shared" si="258"/>
        <v>0</v>
      </c>
      <c r="CE553" s="399">
        <f t="shared" si="259"/>
        <v>0</v>
      </c>
      <c r="CF553" s="399">
        <f t="shared" si="260"/>
        <v>0</v>
      </c>
      <c r="CG553" s="399">
        <f t="shared" si="261"/>
        <v>0</v>
      </c>
      <c r="CH553" s="399">
        <f t="shared" si="262"/>
        <v>0</v>
      </c>
      <c r="CI553" s="399">
        <f t="shared" si="263"/>
        <v>0</v>
      </c>
      <c r="CJ553" s="399">
        <f t="shared" si="264"/>
        <v>0</v>
      </c>
      <c r="CK553" s="399">
        <f t="shared" si="265"/>
        <v>0</v>
      </c>
      <c r="CL553" s="399">
        <f t="shared" si="266"/>
        <v>0</v>
      </c>
      <c r="CM553" s="399">
        <f t="shared" si="267"/>
        <v>0</v>
      </c>
      <c r="CN553" s="399">
        <f t="shared" si="268"/>
        <v>0</v>
      </c>
      <c r="CO553" s="399">
        <f t="shared" si="269"/>
        <v>0</v>
      </c>
      <c r="CP553" s="399">
        <f t="shared" si="270"/>
        <v>0</v>
      </c>
      <c r="CQ553" s="423">
        <f t="shared" si="271"/>
        <v>0</v>
      </c>
      <c r="CS553" s="394" t="e">
        <f t="shared" si="272"/>
        <v>#DIV/0!</v>
      </c>
    </row>
    <row r="554" spans="3:97">
      <c r="C554" s="107"/>
      <c r="D554" s="395"/>
      <c r="E554" s="84"/>
      <c r="F554" s="84"/>
      <c r="G554" s="389"/>
      <c r="H554" s="390"/>
      <c r="I554" s="390"/>
      <c r="J554" s="390"/>
      <c r="K554" s="390"/>
      <c r="L554" s="390"/>
      <c r="M554" s="390"/>
      <c r="N554" s="390"/>
      <c r="O554" s="390"/>
      <c r="P554" s="390"/>
      <c r="Q554" s="390"/>
      <c r="R554" s="390"/>
      <c r="S554" s="390"/>
      <c r="T554" s="390"/>
      <c r="U554" s="390"/>
      <c r="V554" s="390"/>
      <c r="W554" s="390"/>
      <c r="X554" s="390"/>
      <c r="Y554" s="390"/>
      <c r="Z554" s="390"/>
      <c r="AA554" s="390"/>
      <c r="AB554" s="390"/>
      <c r="AC554" s="390"/>
      <c r="AD554" s="390"/>
      <c r="AE554" s="390"/>
      <c r="AF554" s="390"/>
      <c r="AG554" s="390"/>
      <c r="AH554" s="390"/>
      <c r="AI554" s="391"/>
      <c r="AK554" s="437"/>
      <c r="AL554" s="437"/>
      <c r="AM554" s="437"/>
      <c r="AN554" s="437"/>
      <c r="AO554" s="437"/>
      <c r="AP554" s="437"/>
      <c r="AQ554" s="437"/>
      <c r="AR554" s="437"/>
      <c r="AS554" s="437"/>
      <c r="AT554" s="437"/>
      <c r="AU554" s="437"/>
      <c r="AV554" s="437"/>
      <c r="AW554" s="437"/>
      <c r="AX554" s="437"/>
      <c r="AY554" s="437"/>
      <c r="AZ554" s="437"/>
      <c r="BA554" s="437"/>
      <c r="BB554" s="437"/>
      <c r="BC554" s="437"/>
      <c r="BD554" s="437"/>
      <c r="BE554" s="437"/>
      <c r="BF554" s="437"/>
      <c r="BG554" s="437"/>
      <c r="BH554" s="437"/>
      <c r="BI554" s="437"/>
      <c r="BJ554" s="437"/>
      <c r="BK554" s="437"/>
      <c r="BL554" s="437"/>
      <c r="BM554" s="393"/>
      <c r="BO554" s="399">
        <f t="shared" si="243"/>
        <v>0</v>
      </c>
      <c r="BP554" s="399">
        <f t="shared" si="244"/>
        <v>0</v>
      </c>
      <c r="BQ554" s="399">
        <f t="shared" si="245"/>
        <v>0</v>
      </c>
      <c r="BR554" s="399">
        <f t="shared" si="246"/>
        <v>0</v>
      </c>
      <c r="BS554" s="399">
        <f t="shared" si="247"/>
        <v>0</v>
      </c>
      <c r="BT554" s="399">
        <f t="shared" si="248"/>
        <v>0</v>
      </c>
      <c r="BU554" s="399">
        <f t="shared" si="249"/>
        <v>0</v>
      </c>
      <c r="BV554" s="399">
        <f t="shared" si="250"/>
        <v>0</v>
      </c>
      <c r="BW554" s="399">
        <f t="shared" si="251"/>
        <v>0</v>
      </c>
      <c r="BX554" s="399">
        <f t="shared" si="252"/>
        <v>0</v>
      </c>
      <c r="BY554" s="399">
        <f t="shared" si="253"/>
        <v>0</v>
      </c>
      <c r="BZ554" s="399">
        <f t="shared" si="254"/>
        <v>0</v>
      </c>
      <c r="CA554" s="399">
        <f t="shared" si="255"/>
        <v>0</v>
      </c>
      <c r="CB554" s="399">
        <f t="shared" si="256"/>
        <v>0</v>
      </c>
      <c r="CC554" s="399">
        <f t="shared" si="257"/>
        <v>0</v>
      </c>
      <c r="CD554" s="399">
        <f t="shared" si="258"/>
        <v>0</v>
      </c>
      <c r="CE554" s="399">
        <f t="shared" si="259"/>
        <v>0</v>
      </c>
      <c r="CF554" s="399">
        <f t="shared" si="260"/>
        <v>0</v>
      </c>
      <c r="CG554" s="399">
        <f t="shared" si="261"/>
        <v>0</v>
      </c>
      <c r="CH554" s="399">
        <f t="shared" si="262"/>
        <v>0</v>
      </c>
      <c r="CI554" s="399">
        <f t="shared" si="263"/>
        <v>0</v>
      </c>
      <c r="CJ554" s="399">
        <f t="shared" si="264"/>
        <v>0</v>
      </c>
      <c r="CK554" s="399">
        <f t="shared" si="265"/>
        <v>0</v>
      </c>
      <c r="CL554" s="399">
        <f t="shared" si="266"/>
        <v>0</v>
      </c>
      <c r="CM554" s="399">
        <f t="shared" si="267"/>
        <v>0</v>
      </c>
      <c r="CN554" s="399">
        <f t="shared" si="268"/>
        <v>0</v>
      </c>
      <c r="CO554" s="399">
        <f t="shared" si="269"/>
        <v>0</v>
      </c>
      <c r="CP554" s="399">
        <f t="shared" si="270"/>
        <v>0</v>
      </c>
      <c r="CQ554" s="423">
        <f t="shared" si="271"/>
        <v>0</v>
      </c>
      <c r="CS554" s="394" t="e">
        <f t="shared" si="272"/>
        <v>#DIV/0!</v>
      </c>
    </row>
    <row r="555" spans="3:97">
      <c r="C555" s="107"/>
      <c r="D555" s="395"/>
      <c r="E555" s="84"/>
      <c r="F555" s="84"/>
      <c r="G555" s="389"/>
      <c r="H555" s="390"/>
      <c r="I555" s="390"/>
      <c r="J555" s="390"/>
      <c r="K555" s="390"/>
      <c r="L555" s="390"/>
      <c r="M555" s="390"/>
      <c r="N555" s="390"/>
      <c r="O555" s="390"/>
      <c r="P555" s="390"/>
      <c r="Q555" s="390"/>
      <c r="R555" s="390"/>
      <c r="S555" s="390"/>
      <c r="T555" s="390"/>
      <c r="U555" s="390"/>
      <c r="V555" s="390"/>
      <c r="W555" s="390"/>
      <c r="X555" s="390"/>
      <c r="Y555" s="390"/>
      <c r="Z555" s="390"/>
      <c r="AA555" s="390"/>
      <c r="AB555" s="390"/>
      <c r="AC555" s="390"/>
      <c r="AD555" s="390"/>
      <c r="AE555" s="390"/>
      <c r="AF555" s="390"/>
      <c r="AG555" s="390"/>
      <c r="AH555" s="390"/>
      <c r="AI555" s="391"/>
      <c r="AK555" s="437"/>
      <c r="AL555" s="437"/>
      <c r="AM555" s="437"/>
      <c r="AN555" s="437"/>
      <c r="AO555" s="437"/>
      <c r="AP555" s="437"/>
      <c r="AQ555" s="437"/>
      <c r="AR555" s="437"/>
      <c r="AS555" s="437"/>
      <c r="AT555" s="437"/>
      <c r="AU555" s="437"/>
      <c r="AV555" s="437"/>
      <c r="AW555" s="437"/>
      <c r="AX555" s="437"/>
      <c r="AY555" s="437"/>
      <c r="AZ555" s="437"/>
      <c r="BA555" s="437"/>
      <c r="BB555" s="437"/>
      <c r="BC555" s="437"/>
      <c r="BD555" s="437"/>
      <c r="BE555" s="437"/>
      <c r="BF555" s="437"/>
      <c r="BG555" s="437"/>
      <c r="BH555" s="437"/>
      <c r="BI555" s="437"/>
      <c r="BJ555" s="437"/>
      <c r="BK555" s="437"/>
      <c r="BL555" s="437"/>
      <c r="BM555" s="393"/>
      <c r="BO555" s="399">
        <f t="shared" si="243"/>
        <v>0</v>
      </c>
      <c r="BP555" s="399">
        <f t="shared" si="244"/>
        <v>0</v>
      </c>
      <c r="BQ555" s="399">
        <f t="shared" si="245"/>
        <v>0</v>
      </c>
      <c r="BR555" s="399">
        <f t="shared" si="246"/>
        <v>0</v>
      </c>
      <c r="BS555" s="399">
        <f t="shared" si="247"/>
        <v>0</v>
      </c>
      <c r="BT555" s="399">
        <f t="shared" si="248"/>
        <v>0</v>
      </c>
      <c r="BU555" s="399">
        <f t="shared" si="249"/>
        <v>0</v>
      </c>
      <c r="BV555" s="399">
        <f t="shared" si="250"/>
        <v>0</v>
      </c>
      <c r="BW555" s="399">
        <f t="shared" si="251"/>
        <v>0</v>
      </c>
      <c r="BX555" s="399">
        <f t="shared" si="252"/>
        <v>0</v>
      </c>
      <c r="BY555" s="399">
        <f t="shared" si="253"/>
        <v>0</v>
      </c>
      <c r="BZ555" s="399">
        <f t="shared" si="254"/>
        <v>0</v>
      </c>
      <c r="CA555" s="399">
        <f t="shared" si="255"/>
        <v>0</v>
      </c>
      <c r="CB555" s="399">
        <f t="shared" si="256"/>
        <v>0</v>
      </c>
      <c r="CC555" s="399">
        <f t="shared" si="257"/>
        <v>0</v>
      </c>
      <c r="CD555" s="399">
        <f t="shared" si="258"/>
        <v>0</v>
      </c>
      <c r="CE555" s="399">
        <f t="shared" si="259"/>
        <v>0</v>
      </c>
      <c r="CF555" s="399">
        <f t="shared" si="260"/>
        <v>0</v>
      </c>
      <c r="CG555" s="399">
        <f t="shared" si="261"/>
        <v>0</v>
      </c>
      <c r="CH555" s="399">
        <f t="shared" si="262"/>
        <v>0</v>
      </c>
      <c r="CI555" s="399">
        <f t="shared" si="263"/>
        <v>0</v>
      </c>
      <c r="CJ555" s="399">
        <f t="shared" si="264"/>
        <v>0</v>
      </c>
      <c r="CK555" s="399">
        <f t="shared" si="265"/>
        <v>0</v>
      </c>
      <c r="CL555" s="399">
        <f t="shared" si="266"/>
        <v>0</v>
      </c>
      <c r="CM555" s="399">
        <f t="shared" si="267"/>
        <v>0</v>
      </c>
      <c r="CN555" s="399">
        <f t="shared" si="268"/>
        <v>0</v>
      </c>
      <c r="CO555" s="399">
        <f t="shared" si="269"/>
        <v>0</v>
      </c>
      <c r="CP555" s="399">
        <f t="shared" si="270"/>
        <v>0</v>
      </c>
      <c r="CQ555" s="423">
        <f t="shared" si="271"/>
        <v>0</v>
      </c>
      <c r="CS555" s="394" t="e">
        <f t="shared" si="272"/>
        <v>#DIV/0!</v>
      </c>
    </row>
    <row r="556" spans="3:97">
      <c r="C556" s="107"/>
      <c r="D556" s="395"/>
      <c r="E556" s="84"/>
      <c r="F556" s="84"/>
      <c r="G556" s="389"/>
      <c r="H556" s="390"/>
      <c r="I556" s="390"/>
      <c r="J556" s="390"/>
      <c r="K556" s="390"/>
      <c r="L556" s="390"/>
      <c r="M556" s="390"/>
      <c r="N556" s="390"/>
      <c r="O556" s="390"/>
      <c r="P556" s="390"/>
      <c r="Q556" s="390"/>
      <c r="R556" s="390"/>
      <c r="S556" s="390"/>
      <c r="T556" s="390"/>
      <c r="U556" s="390"/>
      <c r="V556" s="390"/>
      <c r="W556" s="390"/>
      <c r="X556" s="390"/>
      <c r="Y556" s="390"/>
      <c r="Z556" s="390"/>
      <c r="AA556" s="390"/>
      <c r="AB556" s="390"/>
      <c r="AC556" s="390"/>
      <c r="AD556" s="390"/>
      <c r="AE556" s="390"/>
      <c r="AF556" s="390"/>
      <c r="AG556" s="390"/>
      <c r="AH556" s="390"/>
      <c r="AI556" s="391"/>
      <c r="AK556" s="437"/>
      <c r="AL556" s="437"/>
      <c r="AM556" s="437"/>
      <c r="AN556" s="437"/>
      <c r="AO556" s="437"/>
      <c r="AP556" s="437"/>
      <c r="AQ556" s="437"/>
      <c r="AR556" s="437"/>
      <c r="AS556" s="437"/>
      <c r="AT556" s="437"/>
      <c r="AU556" s="437"/>
      <c r="AV556" s="437"/>
      <c r="AW556" s="437"/>
      <c r="AX556" s="437"/>
      <c r="AY556" s="437"/>
      <c r="AZ556" s="437"/>
      <c r="BA556" s="437"/>
      <c r="BB556" s="437"/>
      <c r="BC556" s="437"/>
      <c r="BD556" s="437"/>
      <c r="BE556" s="437"/>
      <c r="BF556" s="437"/>
      <c r="BG556" s="437"/>
      <c r="BH556" s="437"/>
      <c r="BI556" s="437"/>
      <c r="BJ556" s="437"/>
      <c r="BK556" s="437"/>
      <c r="BL556" s="437"/>
      <c r="BM556" s="393"/>
      <c r="BO556" s="399">
        <f t="shared" si="243"/>
        <v>0</v>
      </c>
      <c r="BP556" s="399">
        <f t="shared" si="244"/>
        <v>0</v>
      </c>
      <c r="BQ556" s="399">
        <f t="shared" si="245"/>
        <v>0</v>
      </c>
      <c r="BR556" s="399">
        <f t="shared" si="246"/>
        <v>0</v>
      </c>
      <c r="BS556" s="399">
        <f t="shared" si="247"/>
        <v>0</v>
      </c>
      <c r="BT556" s="399">
        <f t="shared" si="248"/>
        <v>0</v>
      </c>
      <c r="BU556" s="399">
        <f t="shared" si="249"/>
        <v>0</v>
      </c>
      <c r="BV556" s="399">
        <f t="shared" si="250"/>
        <v>0</v>
      </c>
      <c r="BW556" s="399">
        <f t="shared" si="251"/>
        <v>0</v>
      </c>
      <c r="BX556" s="399">
        <f t="shared" si="252"/>
        <v>0</v>
      </c>
      <c r="BY556" s="399">
        <f t="shared" si="253"/>
        <v>0</v>
      </c>
      <c r="BZ556" s="399">
        <f t="shared" si="254"/>
        <v>0</v>
      </c>
      <c r="CA556" s="399">
        <f t="shared" si="255"/>
        <v>0</v>
      </c>
      <c r="CB556" s="399">
        <f t="shared" si="256"/>
        <v>0</v>
      </c>
      <c r="CC556" s="399">
        <f t="shared" si="257"/>
        <v>0</v>
      </c>
      <c r="CD556" s="399">
        <f t="shared" si="258"/>
        <v>0</v>
      </c>
      <c r="CE556" s="399">
        <f t="shared" si="259"/>
        <v>0</v>
      </c>
      <c r="CF556" s="399">
        <f t="shared" si="260"/>
        <v>0</v>
      </c>
      <c r="CG556" s="399">
        <f t="shared" si="261"/>
        <v>0</v>
      </c>
      <c r="CH556" s="399">
        <f t="shared" si="262"/>
        <v>0</v>
      </c>
      <c r="CI556" s="399">
        <f t="shared" si="263"/>
        <v>0</v>
      </c>
      <c r="CJ556" s="399">
        <f t="shared" si="264"/>
        <v>0</v>
      </c>
      <c r="CK556" s="399">
        <f t="shared" si="265"/>
        <v>0</v>
      </c>
      <c r="CL556" s="399">
        <f t="shared" si="266"/>
        <v>0</v>
      </c>
      <c r="CM556" s="399">
        <f t="shared" si="267"/>
        <v>0</v>
      </c>
      <c r="CN556" s="399">
        <f t="shared" si="268"/>
        <v>0</v>
      </c>
      <c r="CO556" s="399">
        <f t="shared" si="269"/>
        <v>0</v>
      </c>
      <c r="CP556" s="399">
        <f t="shared" si="270"/>
        <v>0</v>
      </c>
      <c r="CQ556" s="423">
        <f t="shared" si="271"/>
        <v>0</v>
      </c>
      <c r="CS556" s="394" t="e">
        <f t="shared" si="272"/>
        <v>#DIV/0!</v>
      </c>
    </row>
    <row r="557" spans="3:97">
      <c r="C557" s="107"/>
      <c r="D557" s="395"/>
      <c r="E557" s="84"/>
      <c r="F557" s="84"/>
      <c r="G557" s="389"/>
      <c r="H557" s="390"/>
      <c r="I557" s="390"/>
      <c r="J557" s="390"/>
      <c r="K557" s="390"/>
      <c r="L557" s="390"/>
      <c r="M557" s="390"/>
      <c r="N557" s="390"/>
      <c r="O557" s="390"/>
      <c r="P557" s="390"/>
      <c r="Q557" s="390"/>
      <c r="R557" s="390"/>
      <c r="S557" s="390"/>
      <c r="T557" s="390"/>
      <c r="U557" s="390"/>
      <c r="V557" s="390"/>
      <c r="W557" s="390"/>
      <c r="X557" s="390"/>
      <c r="Y557" s="390"/>
      <c r="Z557" s="390"/>
      <c r="AA557" s="390"/>
      <c r="AB557" s="390"/>
      <c r="AC557" s="390"/>
      <c r="AD557" s="390"/>
      <c r="AE557" s="390"/>
      <c r="AF557" s="390"/>
      <c r="AG557" s="390"/>
      <c r="AH557" s="390"/>
      <c r="AI557" s="391"/>
      <c r="AK557" s="437"/>
      <c r="AL557" s="437"/>
      <c r="AM557" s="437"/>
      <c r="AN557" s="437"/>
      <c r="AO557" s="437"/>
      <c r="AP557" s="437"/>
      <c r="AQ557" s="437"/>
      <c r="AR557" s="437"/>
      <c r="AS557" s="437"/>
      <c r="AT557" s="437"/>
      <c r="AU557" s="437"/>
      <c r="AV557" s="437"/>
      <c r="AW557" s="437"/>
      <c r="AX557" s="437"/>
      <c r="AY557" s="437"/>
      <c r="AZ557" s="437"/>
      <c r="BA557" s="437"/>
      <c r="BB557" s="437"/>
      <c r="BC557" s="437"/>
      <c r="BD557" s="437"/>
      <c r="BE557" s="437"/>
      <c r="BF557" s="437"/>
      <c r="BG557" s="437"/>
      <c r="BH557" s="437"/>
      <c r="BI557" s="437"/>
      <c r="BJ557" s="437"/>
      <c r="BK557" s="437"/>
      <c r="BL557" s="437"/>
      <c r="BM557" s="393"/>
      <c r="BO557" s="399">
        <f t="shared" si="243"/>
        <v>0</v>
      </c>
      <c r="BP557" s="399">
        <f t="shared" si="244"/>
        <v>0</v>
      </c>
      <c r="BQ557" s="399">
        <f t="shared" si="245"/>
        <v>0</v>
      </c>
      <c r="BR557" s="399">
        <f t="shared" si="246"/>
        <v>0</v>
      </c>
      <c r="BS557" s="399">
        <f t="shared" si="247"/>
        <v>0</v>
      </c>
      <c r="BT557" s="399">
        <f t="shared" si="248"/>
        <v>0</v>
      </c>
      <c r="BU557" s="399">
        <f t="shared" si="249"/>
        <v>0</v>
      </c>
      <c r="BV557" s="399">
        <f t="shared" si="250"/>
        <v>0</v>
      </c>
      <c r="BW557" s="399">
        <f t="shared" si="251"/>
        <v>0</v>
      </c>
      <c r="BX557" s="399">
        <f t="shared" si="252"/>
        <v>0</v>
      </c>
      <c r="BY557" s="399">
        <f t="shared" si="253"/>
        <v>0</v>
      </c>
      <c r="BZ557" s="399">
        <f t="shared" si="254"/>
        <v>0</v>
      </c>
      <c r="CA557" s="399">
        <f t="shared" si="255"/>
        <v>0</v>
      </c>
      <c r="CB557" s="399">
        <f t="shared" si="256"/>
        <v>0</v>
      </c>
      <c r="CC557" s="399">
        <f t="shared" si="257"/>
        <v>0</v>
      </c>
      <c r="CD557" s="399">
        <f t="shared" si="258"/>
        <v>0</v>
      </c>
      <c r="CE557" s="399">
        <f t="shared" si="259"/>
        <v>0</v>
      </c>
      <c r="CF557" s="399">
        <f t="shared" si="260"/>
        <v>0</v>
      </c>
      <c r="CG557" s="399">
        <f t="shared" si="261"/>
        <v>0</v>
      </c>
      <c r="CH557" s="399">
        <f t="shared" si="262"/>
        <v>0</v>
      </c>
      <c r="CI557" s="399">
        <f t="shared" si="263"/>
        <v>0</v>
      </c>
      <c r="CJ557" s="399">
        <f t="shared" si="264"/>
        <v>0</v>
      </c>
      <c r="CK557" s="399">
        <f t="shared" si="265"/>
        <v>0</v>
      </c>
      <c r="CL557" s="399">
        <f t="shared" si="266"/>
        <v>0</v>
      </c>
      <c r="CM557" s="399">
        <f t="shared" si="267"/>
        <v>0</v>
      </c>
      <c r="CN557" s="399">
        <f t="shared" si="268"/>
        <v>0</v>
      </c>
      <c r="CO557" s="399">
        <f t="shared" si="269"/>
        <v>0</v>
      </c>
      <c r="CP557" s="399">
        <f t="shared" si="270"/>
        <v>0</v>
      </c>
      <c r="CQ557" s="423">
        <f t="shared" si="271"/>
        <v>0</v>
      </c>
      <c r="CS557" s="394" t="e">
        <f t="shared" si="272"/>
        <v>#DIV/0!</v>
      </c>
    </row>
    <row r="558" spans="3:97">
      <c r="C558" s="107"/>
      <c r="D558" s="395"/>
      <c r="E558" s="84"/>
      <c r="F558" s="84"/>
      <c r="G558" s="389"/>
      <c r="H558" s="390"/>
      <c r="I558" s="390"/>
      <c r="J558" s="390"/>
      <c r="K558" s="390"/>
      <c r="L558" s="390"/>
      <c r="M558" s="390"/>
      <c r="N558" s="390"/>
      <c r="O558" s="390"/>
      <c r="P558" s="390"/>
      <c r="Q558" s="390"/>
      <c r="R558" s="390"/>
      <c r="S558" s="390"/>
      <c r="T558" s="390"/>
      <c r="U558" s="390"/>
      <c r="V558" s="390"/>
      <c r="W558" s="390"/>
      <c r="X558" s="390"/>
      <c r="Y558" s="390"/>
      <c r="Z558" s="390"/>
      <c r="AA558" s="390"/>
      <c r="AB558" s="390"/>
      <c r="AC558" s="390"/>
      <c r="AD558" s="390"/>
      <c r="AE558" s="390"/>
      <c r="AF558" s="390"/>
      <c r="AG558" s="390"/>
      <c r="AH558" s="390"/>
      <c r="AI558" s="391"/>
      <c r="AK558" s="437"/>
      <c r="AL558" s="437"/>
      <c r="AM558" s="437"/>
      <c r="AN558" s="437"/>
      <c r="AO558" s="437"/>
      <c r="AP558" s="437"/>
      <c r="AQ558" s="437"/>
      <c r="AR558" s="437"/>
      <c r="AS558" s="437"/>
      <c r="AT558" s="437"/>
      <c r="AU558" s="437"/>
      <c r="AV558" s="437"/>
      <c r="AW558" s="437"/>
      <c r="AX558" s="437"/>
      <c r="AY558" s="437"/>
      <c r="AZ558" s="437"/>
      <c r="BA558" s="437"/>
      <c r="BB558" s="437"/>
      <c r="BC558" s="437"/>
      <c r="BD558" s="437"/>
      <c r="BE558" s="437"/>
      <c r="BF558" s="437"/>
      <c r="BG558" s="437"/>
      <c r="BH558" s="437"/>
      <c r="BI558" s="437"/>
      <c r="BJ558" s="437"/>
      <c r="BK558" s="437"/>
      <c r="BL558" s="437"/>
      <c r="BM558" s="393"/>
      <c r="BO558" s="399">
        <f t="shared" si="243"/>
        <v>0</v>
      </c>
      <c r="BP558" s="399">
        <f t="shared" si="244"/>
        <v>0</v>
      </c>
      <c r="BQ558" s="399">
        <f t="shared" si="245"/>
        <v>0</v>
      </c>
      <c r="BR558" s="399">
        <f t="shared" si="246"/>
        <v>0</v>
      </c>
      <c r="BS558" s="399">
        <f t="shared" si="247"/>
        <v>0</v>
      </c>
      <c r="BT558" s="399">
        <f t="shared" si="248"/>
        <v>0</v>
      </c>
      <c r="BU558" s="399">
        <f t="shared" si="249"/>
        <v>0</v>
      </c>
      <c r="BV558" s="399">
        <f t="shared" si="250"/>
        <v>0</v>
      </c>
      <c r="BW558" s="399">
        <f t="shared" si="251"/>
        <v>0</v>
      </c>
      <c r="BX558" s="399">
        <f t="shared" si="252"/>
        <v>0</v>
      </c>
      <c r="BY558" s="399">
        <f t="shared" si="253"/>
        <v>0</v>
      </c>
      <c r="BZ558" s="399">
        <f t="shared" si="254"/>
        <v>0</v>
      </c>
      <c r="CA558" s="399">
        <f t="shared" si="255"/>
        <v>0</v>
      </c>
      <c r="CB558" s="399">
        <f t="shared" si="256"/>
        <v>0</v>
      </c>
      <c r="CC558" s="399">
        <f t="shared" si="257"/>
        <v>0</v>
      </c>
      <c r="CD558" s="399">
        <f t="shared" si="258"/>
        <v>0</v>
      </c>
      <c r="CE558" s="399">
        <f t="shared" si="259"/>
        <v>0</v>
      </c>
      <c r="CF558" s="399">
        <f t="shared" si="260"/>
        <v>0</v>
      </c>
      <c r="CG558" s="399">
        <f t="shared" si="261"/>
        <v>0</v>
      </c>
      <c r="CH558" s="399">
        <f t="shared" si="262"/>
        <v>0</v>
      </c>
      <c r="CI558" s="399">
        <f t="shared" si="263"/>
        <v>0</v>
      </c>
      <c r="CJ558" s="399">
        <f t="shared" si="264"/>
        <v>0</v>
      </c>
      <c r="CK558" s="399">
        <f t="shared" si="265"/>
        <v>0</v>
      </c>
      <c r="CL558" s="399">
        <f t="shared" si="266"/>
        <v>0</v>
      </c>
      <c r="CM558" s="399">
        <f t="shared" si="267"/>
        <v>0</v>
      </c>
      <c r="CN558" s="399">
        <f t="shared" si="268"/>
        <v>0</v>
      </c>
      <c r="CO558" s="399">
        <f t="shared" si="269"/>
        <v>0</v>
      </c>
      <c r="CP558" s="399">
        <f t="shared" si="270"/>
        <v>0</v>
      </c>
      <c r="CQ558" s="423">
        <f t="shared" si="271"/>
        <v>0</v>
      </c>
      <c r="CS558" s="394" t="e">
        <f t="shared" si="272"/>
        <v>#DIV/0!</v>
      </c>
    </row>
    <row r="559" spans="3:97">
      <c r="C559" s="107"/>
      <c r="D559" s="395"/>
      <c r="E559" s="84"/>
      <c r="F559" s="84"/>
      <c r="G559" s="389"/>
      <c r="H559" s="390"/>
      <c r="I559" s="390"/>
      <c r="J559" s="390"/>
      <c r="K559" s="390"/>
      <c r="L559" s="390"/>
      <c r="M559" s="390"/>
      <c r="N559" s="390"/>
      <c r="O559" s="390"/>
      <c r="P559" s="390"/>
      <c r="Q559" s="390"/>
      <c r="R559" s="390"/>
      <c r="S559" s="390"/>
      <c r="T559" s="390"/>
      <c r="U559" s="390"/>
      <c r="V559" s="390"/>
      <c r="W559" s="390"/>
      <c r="X559" s="390"/>
      <c r="Y559" s="390"/>
      <c r="Z559" s="390"/>
      <c r="AA559" s="390"/>
      <c r="AB559" s="390"/>
      <c r="AC559" s="390"/>
      <c r="AD559" s="390"/>
      <c r="AE559" s="390"/>
      <c r="AF559" s="390"/>
      <c r="AG559" s="390"/>
      <c r="AH559" s="390"/>
      <c r="AI559" s="391"/>
      <c r="AK559" s="437"/>
      <c r="AL559" s="437"/>
      <c r="AM559" s="437"/>
      <c r="AN559" s="437"/>
      <c r="AO559" s="437"/>
      <c r="AP559" s="437"/>
      <c r="AQ559" s="437"/>
      <c r="AR559" s="437"/>
      <c r="AS559" s="437"/>
      <c r="AT559" s="437"/>
      <c r="AU559" s="437"/>
      <c r="AV559" s="437"/>
      <c r="AW559" s="437"/>
      <c r="AX559" s="437"/>
      <c r="AY559" s="437"/>
      <c r="AZ559" s="437"/>
      <c r="BA559" s="437"/>
      <c r="BB559" s="437"/>
      <c r="BC559" s="437"/>
      <c r="BD559" s="437"/>
      <c r="BE559" s="437"/>
      <c r="BF559" s="437"/>
      <c r="BG559" s="437"/>
      <c r="BH559" s="437"/>
      <c r="BI559" s="437"/>
      <c r="BJ559" s="437"/>
      <c r="BK559" s="437"/>
      <c r="BL559" s="437"/>
      <c r="BM559" s="393"/>
      <c r="BO559" s="399">
        <f t="shared" si="243"/>
        <v>0</v>
      </c>
      <c r="BP559" s="399">
        <f t="shared" si="244"/>
        <v>0</v>
      </c>
      <c r="BQ559" s="399">
        <f t="shared" si="245"/>
        <v>0</v>
      </c>
      <c r="BR559" s="399">
        <f t="shared" si="246"/>
        <v>0</v>
      </c>
      <c r="BS559" s="399">
        <f t="shared" si="247"/>
        <v>0</v>
      </c>
      <c r="BT559" s="399">
        <f t="shared" si="248"/>
        <v>0</v>
      </c>
      <c r="BU559" s="399">
        <f t="shared" si="249"/>
        <v>0</v>
      </c>
      <c r="BV559" s="399">
        <f t="shared" si="250"/>
        <v>0</v>
      </c>
      <c r="BW559" s="399">
        <f t="shared" si="251"/>
        <v>0</v>
      </c>
      <c r="BX559" s="399">
        <f t="shared" si="252"/>
        <v>0</v>
      </c>
      <c r="BY559" s="399">
        <f t="shared" si="253"/>
        <v>0</v>
      </c>
      <c r="BZ559" s="399">
        <f t="shared" si="254"/>
        <v>0</v>
      </c>
      <c r="CA559" s="399">
        <f t="shared" si="255"/>
        <v>0</v>
      </c>
      <c r="CB559" s="399">
        <f t="shared" si="256"/>
        <v>0</v>
      </c>
      <c r="CC559" s="399">
        <f t="shared" si="257"/>
        <v>0</v>
      </c>
      <c r="CD559" s="399">
        <f t="shared" si="258"/>
        <v>0</v>
      </c>
      <c r="CE559" s="399">
        <f t="shared" si="259"/>
        <v>0</v>
      </c>
      <c r="CF559" s="399">
        <f t="shared" si="260"/>
        <v>0</v>
      </c>
      <c r="CG559" s="399">
        <f t="shared" si="261"/>
        <v>0</v>
      </c>
      <c r="CH559" s="399">
        <f t="shared" si="262"/>
        <v>0</v>
      </c>
      <c r="CI559" s="399">
        <f t="shared" si="263"/>
        <v>0</v>
      </c>
      <c r="CJ559" s="399">
        <f t="shared" si="264"/>
        <v>0</v>
      </c>
      <c r="CK559" s="399">
        <f t="shared" si="265"/>
        <v>0</v>
      </c>
      <c r="CL559" s="399">
        <f t="shared" si="266"/>
        <v>0</v>
      </c>
      <c r="CM559" s="399">
        <f t="shared" si="267"/>
        <v>0</v>
      </c>
      <c r="CN559" s="399">
        <f t="shared" si="268"/>
        <v>0</v>
      </c>
      <c r="CO559" s="399">
        <f t="shared" si="269"/>
        <v>0</v>
      </c>
      <c r="CP559" s="399">
        <f t="shared" si="270"/>
        <v>0</v>
      </c>
      <c r="CQ559" s="423">
        <f t="shared" si="271"/>
        <v>0</v>
      </c>
      <c r="CS559" s="394" t="e">
        <f t="shared" si="272"/>
        <v>#DIV/0!</v>
      </c>
    </row>
    <row r="560" spans="3:97">
      <c r="C560" s="107"/>
      <c r="D560" s="395"/>
      <c r="E560" s="84"/>
      <c r="F560" s="84"/>
      <c r="G560" s="389"/>
      <c r="H560" s="390"/>
      <c r="I560" s="390"/>
      <c r="J560" s="390"/>
      <c r="K560" s="390"/>
      <c r="L560" s="390"/>
      <c r="M560" s="390"/>
      <c r="N560" s="390"/>
      <c r="O560" s="390"/>
      <c r="P560" s="390"/>
      <c r="Q560" s="390"/>
      <c r="R560" s="390"/>
      <c r="S560" s="390"/>
      <c r="T560" s="390"/>
      <c r="U560" s="390"/>
      <c r="V560" s="390"/>
      <c r="W560" s="390"/>
      <c r="X560" s="390"/>
      <c r="Y560" s="390"/>
      <c r="Z560" s="390"/>
      <c r="AA560" s="390"/>
      <c r="AB560" s="390"/>
      <c r="AC560" s="390"/>
      <c r="AD560" s="390"/>
      <c r="AE560" s="390"/>
      <c r="AF560" s="390"/>
      <c r="AG560" s="390"/>
      <c r="AH560" s="390"/>
      <c r="AI560" s="391"/>
      <c r="AK560" s="437"/>
      <c r="AL560" s="437"/>
      <c r="AM560" s="437"/>
      <c r="AN560" s="437"/>
      <c r="AO560" s="437"/>
      <c r="AP560" s="437"/>
      <c r="AQ560" s="437"/>
      <c r="AR560" s="437"/>
      <c r="AS560" s="437"/>
      <c r="AT560" s="437"/>
      <c r="AU560" s="437"/>
      <c r="AV560" s="437"/>
      <c r="AW560" s="437"/>
      <c r="AX560" s="437"/>
      <c r="AY560" s="437"/>
      <c r="AZ560" s="437"/>
      <c r="BA560" s="437"/>
      <c r="BB560" s="437"/>
      <c r="BC560" s="437"/>
      <c r="BD560" s="437"/>
      <c r="BE560" s="437"/>
      <c r="BF560" s="437"/>
      <c r="BG560" s="437"/>
      <c r="BH560" s="437"/>
      <c r="BI560" s="437"/>
      <c r="BJ560" s="437"/>
      <c r="BK560" s="437"/>
      <c r="BL560" s="437"/>
      <c r="BM560" s="393"/>
      <c r="BO560" s="399">
        <f t="shared" si="243"/>
        <v>0</v>
      </c>
      <c r="BP560" s="399">
        <f t="shared" si="244"/>
        <v>0</v>
      </c>
      <c r="BQ560" s="399">
        <f t="shared" si="245"/>
        <v>0</v>
      </c>
      <c r="BR560" s="399">
        <f t="shared" si="246"/>
        <v>0</v>
      </c>
      <c r="BS560" s="399">
        <f t="shared" si="247"/>
        <v>0</v>
      </c>
      <c r="BT560" s="399">
        <f t="shared" si="248"/>
        <v>0</v>
      </c>
      <c r="BU560" s="399">
        <f t="shared" si="249"/>
        <v>0</v>
      </c>
      <c r="BV560" s="399">
        <f t="shared" si="250"/>
        <v>0</v>
      </c>
      <c r="BW560" s="399">
        <f t="shared" si="251"/>
        <v>0</v>
      </c>
      <c r="BX560" s="399">
        <f t="shared" si="252"/>
        <v>0</v>
      </c>
      <c r="BY560" s="399">
        <f t="shared" si="253"/>
        <v>0</v>
      </c>
      <c r="BZ560" s="399">
        <f t="shared" si="254"/>
        <v>0</v>
      </c>
      <c r="CA560" s="399">
        <f t="shared" si="255"/>
        <v>0</v>
      </c>
      <c r="CB560" s="399">
        <f t="shared" si="256"/>
        <v>0</v>
      </c>
      <c r="CC560" s="399">
        <f t="shared" si="257"/>
        <v>0</v>
      </c>
      <c r="CD560" s="399">
        <f t="shared" si="258"/>
        <v>0</v>
      </c>
      <c r="CE560" s="399">
        <f t="shared" si="259"/>
        <v>0</v>
      </c>
      <c r="CF560" s="399">
        <f t="shared" si="260"/>
        <v>0</v>
      </c>
      <c r="CG560" s="399">
        <f t="shared" si="261"/>
        <v>0</v>
      </c>
      <c r="CH560" s="399">
        <f t="shared" si="262"/>
        <v>0</v>
      </c>
      <c r="CI560" s="399">
        <f t="shared" si="263"/>
        <v>0</v>
      </c>
      <c r="CJ560" s="399">
        <f t="shared" si="264"/>
        <v>0</v>
      </c>
      <c r="CK560" s="399">
        <f t="shared" si="265"/>
        <v>0</v>
      </c>
      <c r="CL560" s="399">
        <f t="shared" si="266"/>
        <v>0</v>
      </c>
      <c r="CM560" s="399">
        <f t="shared" si="267"/>
        <v>0</v>
      </c>
      <c r="CN560" s="399">
        <f t="shared" si="268"/>
        <v>0</v>
      </c>
      <c r="CO560" s="399">
        <f t="shared" si="269"/>
        <v>0</v>
      </c>
      <c r="CP560" s="399">
        <f t="shared" si="270"/>
        <v>0</v>
      </c>
      <c r="CQ560" s="423">
        <f t="shared" si="271"/>
        <v>0</v>
      </c>
      <c r="CS560" s="394" t="e">
        <f t="shared" si="272"/>
        <v>#DIV/0!</v>
      </c>
    </row>
    <row r="561" spans="3:97">
      <c r="C561" s="107"/>
      <c r="D561" s="395"/>
      <c r="E561" s="84"/>
      <c r="F561" s="84"/>
      <c r="G561" s="389"/>
      <c r="H561" s="390"/>
      <c r="I561" s="390"/>
      <c r="J561" s="390"/>
      <c r="K561" s="390"/>
      <c r="L561" s="390"/>
      <c r="M561" s="390"/>
      <c r="N561" s="390"/>
      <c r="O561" s="390"/>
      <c r="P561" s="390"/>
      <c r="Q561" s="390"/>
      <c r="R561" s="390"/>
      <c r="S561" s="390"/>
      <c r="T561" s="390"/>
      <c r="U561" s="390"/>
      <c r="V561" s="390"/>
      <c r="W561" s="390"/>
      <c r="X561" s="390"/>
      <c r="Y561" s="390"/>
      <c r="Z561" s="390"/>
      <c r="AA561" s="390"/>
      <c r="AB561" s="390"/>
      <c r="AC561" s="390"/>
      <c r="AD561" s="390"/>
      <c r="AE561" s="390"/>
      <c r="AF561" s="390"/>
      <c r="AG561" s="390"/>
      <c r="AH561" s="390"/>
      <c r="AI561" s="391"/>
      <c r="AK561" s="437"/>
      <c r="AL561" s="437"/>
      <c r="AM561" s="437"/>
      <c r="AN561" s="437"/>
      <c r="AO561" s="437"/>
      <c r="AP561" s="437"/>
      <c r="AQ561" s="437"/>
      <c r="AR561" s="437"/>
      <c r="AS561" s="437"/>
      <c r="AT561" s="437"/>
      <c r="AU561" s="437"/>
      <c r="AV561" s="437"/>
      <c r="AW561" s="437"/>
      <c r="AX561" s="437"/>
      <c r="AY561" s="437"/>
      <c r="AZ561" s="437"/>
      <c r="BA561" s="437"/>
      <c r="BB561" s="437"/>
      <c r="BC561" s="437"/>
      <c r="BD561" s="437"/>
      <c r="BE561" s="437"/>
      <c r="BF561" s="437"/>
      <c r="BG561" s="437"/>
      <c r="BH561" s="437"/>
      <c r="BI561" s="437"/>
      <c r="BJ561" s="437"/>
      <c r="BK561" s="437"/>
      <c r="BL561" s="437"/>
      <c r="BM561" s="393"/>
      <c r="BO561" s="399">
        <f t="shared" si="243"/>
        <v>0</v>
      </c>
      <c r="BP561" s="399">
        <f t="shared" si="244"/>
        <v>0</v>
      </c>
      <c r="BQ561" s="399">
        <f t="shared" si="245"/>
        <v>0</v>
      </c>
      <c r="BR561" s="399">
        <f t="shared" si="246"/>
        <v>0</v>
      </c>
      <c r="BS561" s="399">
        <f t="shared" si="247"/>
        <v>0</v>
      </c>
      <c r="BT561" s="399">
        <f t="shared" si="248"/>
        <v>0</v>
      </c>
      <c r="BU561" s="399">
        <f t="shared" si="249"/>
        <v>0</v>
      </c>
      <c r="BV561" s="399">
        <f t="shared" si="250"/>
        <v>0</v>
      </c>
      <c r="BW561" s="399">
        <f t="shared" si="251"/>
        <v>0</v>
      </c>
      <c r="BX561" s="399">
        <f t="shared" si="252"/>
        <v>0</v>
      </c>
      <c r="BY561" s="399">
        <f t="shared" si="253"/>
        <v>0</v>
      </c>
      <c r="BZ561" s="399">
        <f t="shared" si="254"/>
        <v>0</v>
      </c>
      <c r="CA561" s="399">
        <f t="shared" si="255"/>
        <v>0</v>
      </c>
      <c r="CB561" s="399">
        <f t="shared" si="256"/>
        <v>0</v>
      </c>
      <c r="CC561" s="399">
        <f t="shared" si="257"/>
        <v>0</v>
      </c>
      <c r="CD561" s="399">
        <f t="shared" si="258"/>
        <v>0</v>
      </c>
      <c r="CE561" s="399">
        <f t="shared" si="259"/>
        <v>0</v>
      </c>
      <c r="CF561" s="399">
        <f t="shared" si="260"/>
        <v>0</v>
      </c>
      <c r="CG561" s="399">
        <f t="shared" si="261"/>
        <v>0</v>
      </c>
      <c r="CH561" s="399">
        <f t="shared" si="262"/>
        <v>0</v>
      </c>
      <c r="CI561" s="399">
        <f t="shared" si="263"/>
        <v>0</v>
      </c>
      <c r="CJ561" s="399">
        <f t="shared" si="264"/>
        <v>0</v>
      </c>
      <c r="CK561" s="399">
        <f t="shared" si="265"/>
        <v>0</v>
      </c>
      <c r="CL561" s="399">
        <f t="shared" si="266"/>
        <v>0</v>
      </c>
      <c r="CM561" s="399">
        <f t="shared" si="267"/>
        <v>0</v>
      </c>
      <c r="CN561" s="399">
        <f t="shared" si="268"/>
        <v>0</v>
      </c>
      <c r="CO561" s="399">
        <f t="shared" si="269"/>
        <v>0</v>
      </c>
      <c r="CP561" s="399">
        <f t="shared" si="270"/>
        <v>0</v>
      </c>
      <c r="CQ561" s="423">
        <f t="shared" si="271"/>
        <v>0</v>
      </c>
      <c r="CS561" s="394" t="e">
        <f t="shared" si="272"/>
        <v>#DIV/0!</v>
      </c>
    </row>
    <row r="562" spans="3:97">
      <c r="C562" s="107"/>
      <c r="D562" s="395"/>
      <c r="E562" s="84"/>
      <c r="F562" s="84"/>
      <c r="G562" s="389"/>
      <c r="H562" s="390"/>
      <c r="I562" s="390"/>
      <c r="J562" s="390"/>
      <c r="K562" s="390"/>
      <c r="L562" s="390"/>
      <c r="M562" s="390"/>
      <c r="N562" s="390"/>
      <c r="O562" s="390"/>
      <c r="P562" s="390"/>
      <c r="Q562" s="390"/>
      <c r="R562" s="390"/>
      <c r="S562" s="390"/>
      <c r="T562" s="390"/>
      <c r="U562" s="390"/>
      <c r="V562" s="390"/>
      <c r="W562" s="390"/>
      <c r="X562" s="390"/>
      <c r="Y562" s="390"/>
      <c r="Z562" s="390"/>
      <c r="AA562" s="390"/>
      <c r="AB562" s="390"/>
      <c r="AC562" s="390"/>
      <c r="AD562" s="390"/>
      <c r="AE562" s="390"/>
      <c r="AF562" s="390"/>
      <c r="AG562" s="390"/>
      <c r="AH562" s="390"/>
      <c r="AI562" s="391"/>
      <c r="AK562" s="437"/>
      <c r="AL562" s="437"/>
      <c r="AM562" s="437"/>
      <c r="AN562" s="437"/>
      <c r="AO562" s="437"/>
      <c r="AP562" s="437"/>
      <c r="AQ562" s="437"/>
      <c r="AR562" s="437"/>
      <c r="AS562" s="437"/>
      <c r="AT562" s="437"/>
      <c r="AU562" s="437"/>
      <c r="AV562" s="437"/>
      <c r="AW562" s="437"/>
      <c r="AX562" s="437"/>
      <c r="AY562" s="437"/>
      <c r="AZ562" s="437"/>
      <c r="BA562" s="437"/>
      <c r="BB562" s="437"/>
      <c r="BC562" s="437"/>
      <c r="BD562" s="437"/>
      <c r="BE562" s="437"/>
      <c r="BF562" s="437"/>
      <c r="BG562" s="437"/>
      <c r="BH562" s="437"/>
      <c r="BI562" s="437"/>
      <c r="BJ562" s="437"/>
      <c r="BK562" s="437"/>
      <c r="BL562" s="437"/>
      <c r="BM562" s="393"/>
      <c r="BO562" s="399">
        <f t="shared" si="243"/>
        <v>0</v>
      </c>
      <c r="BP562" s="399">
        <f t="shared" si="244"/>
        <v>0</v>
      </c>
      <c r="BQ562" s="399">
        <f t="shared" si="245"/>
        <v>0</v>
      </c>
      <c r="BR562" s="399">
        <f t="shared" si="246"/>
        <v>0</v>
      </c>
      <c r="BS562" s="399">
        <f t="shared" si="247"/>
        <v>0</v>
      </c>
      <c r="BT562" s="399">
        <f t="shared" si="248"/>
        <v>0</v>
      </c>
      <c r="BU562" s="399">
        <f t="shared" si="249"/>
        <v>0</v>
      </c>
      <c r="BV562" s="399">
        <f t="shared" si="250"/>
        <v>0</v>
      </c>
      <c r="BW562" s="399">
        <f t="shared" si="251"/>
        <v>0</v>
      </c>
      <c r="BX562" s="399">
        <f t="shared" si="252"/>
        <v>0</v>
      </c>
      <c r="BY562" s="399">
        <f t="shared" si="253"/>
        <v>0</v>
      </c>
      <c r="BZ562" s="399">
        <f t="shared" si="254"/>
        <v>0</v>
      </c>
      <c r="CA562" s="399">
        <f t="shared" si="255"/>
        <v>0</v>
      </c>
      <c r="CB562" s="399">
        <f t="shared" si="256"/>
        <v>0</v>
      </c>
      <c r="CC562" s="399">
        <f t="shared" si="257"/>
        <v>0</v>
      </c>
      <c r="CD562" s="399">
        <f t="shared" si="258"/>
        <v>0</v>
      </c>
      <c r="CE562" s="399">
        <f t="shared" si="259"/>
        <v>0</v>
      </c>
      <c r="CF562" s="399">
        <f t="shared" si="260"/>
        <v>0</v>
      </c>
      <c r="CG562" s="399">
        <f t="shared" si="261"/>
        <v>0</v>
      </c>
      <c r="CH562" s="399">
        <f t="shared" si="262"/>
        <v>0</v>
      </c>
      <c r="CI562" s="399">
        <f t="shared" si="263"/>
        <v>0</v>
      </c>
      <c r="CJ562" s="399">
        <f t="shared" si="264"/>
        <v>0</v>
      </c>
      <c r="CK562" s="399">
        <f t="shared" si="265"/>
        <v>0</v>
      </c>
      <c r="CL562" s="399">
        <f t="shared" si="266"/>
        <v>0</v>
      </c>
      <c r="CM562" s="399">
        <f t="shared" si="267"/>
        <v>0</v>
      </c>
      <c r="CN562" s="399">
        <f t="shared" si="268"/>
        <v>0</v>
      </c>
      <c r="CO562" s="399">
        <f t="shared" si="269"/>
        <v>0</v>
      </c>
      <c r="CP562" s="399">
        <f t="shared" si="270"/>
        <v>0</v>
      </c>
      <c r="CQ562" s="423">
        <f t="shared" si="271"/>
        <v>0</v>
      </c>
      <c r="CS562" s="394" t="e">
        <f t="shared" si="272"/>
        <v>#DIV/0!</v>
      </c>
    </row>
    <row r="563" spans="3:97">
      <c r="C563" s="107"/>
      <c r="D563" s="395"/>
      <c r="E563" s="84"/>
      <c r="F563" s="84"/>
      <c r="G563" s="389"/>
      <c r="H563" s="390"/>
      <c r="I563" s="390"/>
      <c r="J563" s="390"/>
      <c r="K563" s="390"/>
      <c r="L563" s="390"/>
      <c r="M563" s="390"/>
      <c r="N563" s="390"/>
      <c r="O563" s="390"/>
      <c r="P563" s="390"/>
      <c r="Q563" s="390"/>
      <c r="R563" s="390"/>
      <c r="S563" s="390"/>
      <c r="T563" s="390"/>
      <c r="U563" s="390"/>
      <c r="V563" s="390"/>
      <c r="W563" s="390"/>
      <c r="X563" s="390"/>
      <c r="Y563" s="390"/>
      <c r="Z563" s="390"/>
      <c r="AA563" s="390"/>
      <c r="AB563" s="390"/>
      <c r="AC563" s="390"/>
      <c r="AD563" s="390"/>
      <c r="AE563" s="390"/>
      <c r="AF563" s="390"/>
      <c r="AG563" s="390"/>
      <c r="AH563" s="390"/>
      <c r="AI563" s="391"/>
      <c r="AK563" s="437"/>
      <c r="AL563" s="437"/>
      <c r="AM563" s="437"/>
      <c r="AN563" s="437"/>
      <c r="AO563" s="437"/>
      <c r="AP563" s="437"/>
      <c r="AQ563" s="437"/>
      <c r="AR563" s="437"/>
      <c r="AS563" s="437"/>
      <c r="AT563" s="437"/>
      <c r="AU563" s="437"/>
      <c r="AV563" s="437"/>
      <c r="AW563" s="437"/>
      <c r="AX563" s="437"/>
      <c r="AY563" s="437"/>
      <c r="AZ563" s="437"/>
      <c r="BA563" s="437"/>
      <c r="BB563" s="437"/>
      <c r="BC563" s="437"/>
      <c r="BD563" s="437"/>
      <c r="BE563" s="437"/>
      <c r="BF563" s="437"/>
      <c r="BG563" s="437"/>
      <c r="BH563" s="437"/>
      <c r="BI563" s="437"/>
      <c r="BJ563" s="437"/>
      <c r="BK563" s="437"/>
      <c r="BL563" s="437"/>
      <c r="BM563" s="393"/>
      <c r="BO563" s="399">
        <f t="shared" si="243"/>
        <v>0</v>
      </c>
      <c r="BP563" s="399">
        <f t="shared" si="244"/>
        <v>0</v>
      </c>
      <c r="BQ563" s="399">
        <f t="shared" si="245"/>
        <v>0</v>
      </c>
      <c r="BR563" s="399">
        <f t="shared" si="246"/>
        <v>0</v>
      </c>
      <c r="BS563" s="399">
        <f t="shared" si="247"/>
        <v>0</v>
      </c>
      <c r="BT563" s="399">
        <f t="shared" si="248"/>
        <v>0</v>
      </c>
      <c r="BU563" s="399">
        <f t="shared" si="249"/>
        <v>0</v>
      </c>
      <c r="BV563" s="399">
        <f t="shared" si="250"/>
        <v>0</v>
      </c>
      <c r="BW563" s="399">
        <f t="shared" si="251"/>
        <v>0</v>
      </c>
      <c r="BX563" s="399">
        <f t="shared" si="252"/>
        <v>0</v>
      </c>
      <c r="BY563" s="399">
        <f t="shared" si="253"/>
        <v>0</v>
      </c>
      <c r="BZ563" s="399">
        <f t="shared" si="254"/>
        <v>0</v>
      </c>
      <c r="CA563" s="399">
        <f t="shared" si="255"/>
        <v>0</v>
      </c>
      <c r="CB563" s="399">
        <f t="shared" si="256"/>
        <v>0</v>
      </c>
      <c r="CC563" s="399">
        <f t="shared" si="257"/>
        <v>0</v>
      </c>
      <c r="CD563" s="399">
        <f t="shared" si="258"/>
        <v>0</v>
      </c>
      <c r="CE563" s="399">
        <f t="shared" si="259"/>
        <v>0</v>
      </c>
      <c r="CF563" s="399">
        <f t="shared" si="260"/>
        <v>0</v>
      </c>
      <c r="CG563" s="399">
        <f t="shared" si="261"/>
        <v>0</v>
      </c>
      <c r="CH563" s="399">
        <f t="shared" si="262"/>
        <v>0</v>
      </c>
      <c r="CI563" s="399">
        <f t="shared" si="263"/>
        <v>0</v>
      </c>
      <c r="CJ563" s="399">
        <f t="shared" si="264"/>
        <v>0</v>
      </c>
      <c r="CK563" s="399">
        <f t="shared" si="265"/>
        <v>0</v>
      </c>
      <c r="CL563" s="399">
        <f t="shared" si="266"/>
        <v>0</v>
      </c>
      <c r="CM563" s="399">
        <f t="shared" si="267"/>
        <v>0</v>
      </c>
      <c r="CN563" s="399">
        <f t="shared" si="268"/>
        <v>0</v>
      </c>
      <c r="CO563" s="399">
        <f t="shared" si="269"/>
        <v>0</v>
      </c>
      <c r="CP563" s="399">
        <f t="shared" si="270"/>
        <v>0</v>
      </c>
      <c r="CQ563" s="423">
        <f t="shared" si="271"/>
        <v>0</v>
      </c>
      <c r="CS563" s="394" t="e">
        <f t="shared" si="272"/>
        <v>#DIV/0!</v>
      </c>
    </row>
    <row r="564" spans="3:97">
      <c r="C564" s="107"/>
      <c r="D564" s="395"/>
      <c r="E564" s="84"/>
      <c r="F564" s="84"/>
      <c r="G564" s="389"/>
      <c r="H564" s="390"/>
      <c r="I564" s="390"/>
      <c r="J564" s="390"/>
      <c r="K564" s="390"/>
      <c r="L564" s="390"/>
      <c r="M564" s="390"/>
      <c r="N564" s="390"/>
      <c r="O564" s="390"/>
      <c r="P564" s="390"/>
      <c r="Q564" s="390"/>
      <c r="R564" s="390"/>
      <c r="S564" s="390"/>
      <c r="T564" s="390"/>
      <c r="U564" s="390"/>
      <c r="V564" s="390"/>
      <c r="W564" s="390"/>
      <c r="X564" s="390"/>
      <c r="Y564" s="390"/>
      <c r="Z564" s="390"/>
      <c r="AA564" s="390"/>
      <c r="AB564" s="390"/>
      <c r="AC564" s="390"/>
      <c r="AD564" s="390"/>
      <c r="AE564" s="390"/>
      <c r="AF564" s="390"/>
      <c r="AG564" s="390"/>
      <c r="AH564" s="390"/>
      <c r="AI564" s="391"/>
      <c r="AK564" s="437"/>
      <c r="AL564" s="437"/>
      <c r="AM564" s="437"/>
      <c r="AN564" s="437"/>
      <c r="AO564" s="437"/>
      <c r="AP564" s="437"/>
      <c r="AQ564" s="437"/>
      <c r="AR564" s="437"/>
      <c r="AS564" s="437"/>
      <c r="AT564" s="437"/>
      <c r="AU564" s="437"/>
      <c r="AV564" s="437"/>
      <c r="AW564" s="437"/>
      <c r="AX564" s="437"/>
      <c r="AY564" s="437"/>
      <c r="AZ564" s="437"/>
      <c r="BA564" s="437"/>
      <c r="BB564" s="437"/>
      <c r="BC564" s="437"/>
      <c r="BD564" s="437"/>
      <c r="BE564" s="437"/>
      <c r="BF564" s="437"/>
      <c r="BG564" s="437"/>
      <c r="BH564" s="437"/>
      <c r="BI564" s="437"/>
      <c r="BJ564" s="437"/>
      <c r="BK564" s="437"/>
      <c r="BL564" s="437"/>
      <c r="BM564" s="393"/>
      <c r="BO564" s="399">
        <f t="shared" si="243"/>
        <v>0</v>
      </c>
      <c r="BP564" s="399">
        <f t="shared" si="244"/>
        <v>0</v>
      </c>
      <c r="BQ564" s="399">
        <f t="shared" si="245"/>
        <v>0</v>
      </c>
      <c r="BR564" s="399">
        <f t="shared" si="246"/>
        <v>0</v>
      </c>
      <c r="BS564" s="399">
        <f t="shared" si="247"/>
        <v>0</v>
      </c>
      <c r="BT564" s="399">
        <f t="shared" si="248"/>
        <v>0</v>
      </c>
      <c r="BU564" s="399">
        <f t="shared" si="249"/>
        <v>0</v>
      </c>
      <c r="BV564" s="399">
        <f t="shared" si="250"/>
        <v>0</v>
      </c>
      <c r="BW564" s="399">
        <f t="shared" si="251"/>
        <v>0</v>
      </c>
      <c r="BX564" s="399">
        <f t="shared" si="252"/>
        <v>0</v>
      </c>
      <c r="BY564" s="399">
        <f t="shared" si="253"/>
        <v>0</v>
      </c>
      <c r="BZ564" s="399">
        <f t="shared" si="254"/>
        <v>0</v>
      </c>
      <c r="CA564" s="399">
        <f t="shared" si="255"/>
        <v>0</v>
      </c>
      <c r="CB564" s="399">
        <f t="shared" si="256"/>
        <v>0</v>
      </c>
      <c r="CC564" s="399">
        <f t="shared" si="257"/>
        <v>0</v>
      </c>
      <c r="CD564" s="399">
        <f t="shared" si="258"/>
        <v>0</v>
      </c>
      <c r="CE564" s="399">
        <f t="shared" si="259"/>
        <v>0</v>
      </c>
      <c r="CF564" s="399">
        <f t="shared" si="260"/>
        <v>0</v>
      </c>
      <c r="CG564" s="399">
        <f t="shared" si="261"/>
        <v>0</v>
      </c>
      <c r="CH564" s="399">
        <f t="shared" si="262"/>
        <v>0</v>
      </c>
      <c r="CI564" s="399">
        <f t="shared" si="263"/>
        <v>0</v>
      </c>
      <c r="CJ564" s="399">
        <f t="shared" si="264"/>
        <v>0</v>
      </c>
      <c r="CK564" s="399">
        <f t="shared" si="265"/>
        <v>0</v>
      </c>
      <c r="CL564" s="399">
        <f t="shared" si="266"/>
        <v>0</v>
      </c>
      <c r="CM564" s="399">
        <f t="shared" si="267"/>
        <v>0</v>
      </c>
      <c r="CN564" s="399">
        <f t="shared" si="268"/>
        <v>0</v>
      </c>
      <c r="CO564" s="399">
        <f t="shared" si="269"/>
        <v>0</v>
      </c>
      <c r="CP564" s="399">
        <f t="shared" si="270"/>
        <v>0</v>
      </c>
      <c r="CQ564" s="423">
        <f t="shared" si="271"/>
        <v>0</v>
      </c>
      <c r="CS564" s="394" t="e">
        <f t="shared" si="272"/>
        <v>#DIV/0!</v>
      </c>
    </row>
    <row r="565" spans="3:97">
      <c r="C565" s="107"/>
      <c r="D565" s="395"/>
      <c r="E565" s="84"/>
      <c r="F565" s="84"/>
      <c r="G565" s="389"/>
      <c r="H565" s="390"/>
      <c r="I565" s="390"/>
      <c r="J565" s="390"/>
      <c r="K565" s="390"/>
      <c r="L565" s="390"/>
      <c r="M565" s="390"/>
      <c r="N565" s="390"/>
      <c r="O565" s="390"/>
      <c r="P565" s="390"/>
      <c r="Q565" s="390"/>
      <c r="R565" s="390"/>
      <c r="S565" s="390"/>
      <c r="T565" s="390"/>
      <c r="U565" s="390"/>
      <c r="V565" s="390"/>
      <c r="W565" s="390"/>
      <c r="X565" s="390"/>
      <c r="Y565" s="390"/>
      <c r="Z565" s="390"/>
      <c r="AA565" s="390"/>
      <c r="AB565" s="390"/>
      <c r="AC565" s="390"/>
      <c r="AD565" s="390"/>
      <c r="AE565" s="390"/>
      <c r="AF565" s="390"/>
      <c r="AG565" s="390"/>
      <c r="AH565" s="390"/>
      <c r="AI565" s="391"/>
      <c r="AK565" s="437"/>
      <c r="AL565" s="437"/>
      <c r="AM565" s="437"/>
      <c r="AN565" s="437"/>
      <c r="AO565" s="437"/>
      <c r="AP565" s="437"/>
      <c r="AQ565" s="437"/>
      <c r="AR565" s="437"/>
      <c r="AS565" s="437"/>
      <c r="AT565" s="437"/>
      <c r="AU565" s="437"/>
      <c r="AV565" s="437"/>
      <c r="AW565" s="437"/>
      <c r="AX565" s="437"/>
      <c r="AY565" s="437"/>
      <c r="AZ565" s="437"/>
      <c r="BA565" s="437"/>
      <c r="BB565" s="437"/>
      <c r="BC565" s="437"/>
      <c r="BD565" s="437"/>
      <c r="BE565" s="437"/>
      <c r="BF565" s="437"/>
      <c r="BG565" s="437"/>
      <c r="BH565" s="437"/>
      <c r="BI565" s="437"/>
      <c r="BJ565" s="437"/>
      <c r="BK565" s="437"/>
      <c r="BL565" s="437"/>
      <c r="BM565" s="393"/>
      <c r="BO565" s="399">
        <f t="shared" si="243"/>
        <v>0</v>
      </c>
      <c r="BP565" s="399">
        <f t="shared" si="244"/>
        <v>0</v>
      </c>
      <c r="BQ565" s="399">
        <f t="shared" si="245"/>
        <v>0</v>
      </c>
      <c r="BR565" s="399">
        <f t="shared" si="246"/>
        <v>0</v>
      </c>
      <c r="BS565" s="399">
        <f t="shared" si="247"/>
        <v>0</v>
      </c>
      <c r="BT565" s="399">
        <f t="shared" si="248"/>
        <v>0</v>
      </c>
      <c r="BU565" s="399">
        <f t="shared" si="249"/>
        <v>0</v>
      </c>
      <c r="BV565" s="399">
        <f t="shared" si="250"/>
        <v>0</v>
      </c>
      <c r="BW565" s="399">
        <f t="shared" si="251"/>
        <v>0</v>
      </c>
      <c r="BX565" s="399">
        <f t="shared" si="252"/>
        <v>0</v>
      </c>
      <c r="BY565" s="399">
        <f t="shared" si="253"/>
        <v>0</v>
      </c>
      <c r="BZ565" s="399">
        <f t="shared" si="254"/>
        <v>0</v>
      </c>
      <c r="CA565" s="399">
        <f t="shared" si="255"/>
        <v>0</v>
      </c>
      <c r="CB565" s="399">
        <f t="shared" si="256"/>
        <v>0</v>
      </c>
      <c r="CC565" s="399">
        <f t="shared" si="257"/>
        <v>0</v>
      </c>
      <c r="CD565" s="399">
        <f t="shared" si="258"/>
        <v>0</v>
      </c>
      <c r="CE565" s="399">
        <f t="shared" si="259"/>
        <v>0</v>
      </c>
      <c r="CF565" s="399">
        <f t="shared" si="260"/>
        <v>0</v>
      </c>
      <c r="CG565" s="399">
        <f t="shared" si="261"/>
        <v>0</v>
      </c>
      <c r="CH565" s="399">
        <f t="shared" si="262"/>
        <v>0</v>
      </c>
      <c r="CI565" s="399">
        <f t="shared" si="263"/>
        <v>0</v>
      </c>
      <c r="CJ565" s="399">
        <f t="shared" si="264"/>
        <v>0</v>
      </c>
      <c r="CK565" s="399">
        <f t="shared" si="265"/>
        <v>0</v>
      </c>
      <c r="CL565" s="399">
        <f t="shared" si="266"/>
        <v>0</v>
      </c>
      <c r="CM565" s="399">
        <f t="shared" si="267"/>
        <v>0</v>
      </c>
      <c r="CN565" s="399">
        <f t="shared" si="268"/>
        <v>0</v>
      </c>
      <c r="CO565" s="399">
        <f t="shared" si="269"/>
        <v>0</v>
      </c>
      <c r="CP565" s="399">
        <f t="shared" si="270"/>
        <v>0</v>
      </c>
      <c r="CQ565" s="423">
        <f t="shared" si="271"/>
        <v>0</v>
      </c>
      <c r="CS565" s="394" t="e">
        <f t="shared" si="272"/>
        <v>#DIV/0!</v>
      </c>
    </row>
    <row r="566" spans="3:97">
      <c r="C566" s="107"/>
      <c r="D566" s="395"/>
      <c r="E566" s="84"/>
      <c r="F566" s="84"/>
      <c r="G566" s="389"/>
      <c r="H566" s="390"/>
      <c r="I566" s="390"/>
      <c r="J566" s="390"/>
      <c r="K566" s="390"/>
      <c r="L566" s="390"/>
      <c r="M566" s="390"/>
      <c r="N566" s="390"/>
      <c r="O566" s="390"/>
      <c r="P566" s="390"/>
      <c r="Q566" s="390"/>
      <c r="R566" s="390"/>
      <c r="S566" s="390"/>
      <c r="T566" s="390"/>
      <c r="U566" s="390"/>
      <c r="V566" s="390"/>
      <c r="W566" s="390"/>
      <c r="X566" s="390"/>
      <c r="Y566" s="390"/>
      <c r="Z566" s="390"/>
      <c r="AA566" s="390"/>
      <c r="AB566" s="390"/>
      <c r="AC566" s="390"/>
      <c r="AD566" s="390"/>
      <c r="AE566" s="390"/>
      <c r="AF566" s="390"/>
      <c r="AG566" s="390"/>
      <c r="AH566" s="390"/>
      <c r="AI566" s="391"/>
      <c r="AK566" s="437"/>
      <c r="AL566" s="437"/>
      <c r="AM566" s="437"/>
      <c r="AN566" s="437"/>
      <c r="AO566" s="437"/>
      <c r="AP566" s="437"/>
      <c r="AQ566" s="437"/>
      <c r="AR566" s="437"/>
      <c r="AS566" s="437"/>
      <c r="AT566" s="437"/>
      <c r="AU566" s="437"/>
      <c r="AV566" s="437"/>
      <c r="AW566" s="437"/>
      <c r="AX566" s="437"/>
      <c r="AY566" s="437"/>
      <c r="AZ566" s="437"/>
      <c r="BA566" s="437"/>
      <c r="BB566" s="437"/>
      <c r="BC566" s="437"/>
      <c r="BD566" s="437"/>
      <c r="BE566" s="437"/>
      <c r="BF566" s="437"/>
      <c r="BG566" s="437"/>
      <c r="BH566" s="437"/>
      <c r="BI566" s="437"/>
      <c r="BJ566" s="437"/>
      <c r="BK566" s="437"/>
      <c r="BL566" s="437"/>
      <c r="BM566" s="393"/>
      <c r="BO566" s="399">
        <f t="shared" si="243"/>
        <v>0</v>
      </c>
      <c r="BP566" s="399">
        <f t="shared" si="244"/>
        <v>0</v>
      </c>
      <c r="BQ566" s="399">
        <f t="shared" si="245"/>
        <v>0</v>
      </c>
      <c r="BR566" s="399">
        <f t="shared" si="246"/>
        <v>0</v>
      </c>
      <c r="BS566" s="399">
        <f t="shared" si="247"/>
        <v>0</v>
      </c>
      <c r="BT566" s="399">
        <f t="shared" si="248"/>
        <v>0</v>
      </c>
      <c r="BU566" s="399">
        <f t="shared" si="249"/>
        <v>0</v>
      </c>
      <c r="BV566" s="399">
        <f t="shared" si="250"/>
        <v>0</v>
      </c>
      <c r="BW566" s="399">
        <f t="shared" si="251"/>
        <v>0</v>
      </c>
      <c r="BX566" s="399">
        <f t="shared" si="252"/>
        <v>0</v>
      </c>
      <c r="BY566" s="399">
        <f t="shared" si="253"/>
        <v>0</v>
      </c>
      <c r="BZ566" s="399">
        <f t="shared" si="254"/>
        <v>0</v>
      </c>
      <c r="CA566" s="399">
        <f t="shared" si="255"/>
        <v>0</v>
      </c>
      <c r="CB566" s="399">
        <f t="shared" si="256"/>
        <v>0</v>
      </c>
      <c r="CC566" s="399">
        <f t="shared" si="257"/>
        <v>0</v>
      </c>
      <c r="CD566" s="399">
        <f t="shared" si="258"/>
        <v>0</v>
      </c>
      <c r="CE566" s="399">
        <f t="shared" si="259"/>
        <v>0</v>
      </c>
      <c r="CF566" s="399">
        <f t="shared" si="260"/>
        <v>0</v>
      </c>
      <c r="CG566" s="399">
        <f t="shared" si="261"/>
        <v>0</v>
      </c>
      <c r="CH566" s="399">
        <f t="shared" si="262"/>
        <v>0</v>
      </c>
      <c r="CI566" s="399">
        <f t="shared" si="263"/>
        <v>0</v>
      </c>
      <c r="CJ566" s="399">
        <f t="shared" si="264"/>
        <v>0</v>
      </c>
      <c r="CK566" s="399">
        <f t="shared" si="265"/>
        <v>0</v>
      </c>
      <c r="CL566" s="399">
        <f t="shared" si="266"/>
        <v>0</v>
      </c>
      <c r="CM566" s="399">
        <f t="shared" si="267"/>
        <v>0</v>
      </c>
      <c r="CN566" s="399">
        <f t="shared" si="268"/>
        <v>0</v>
      </c>
      <c r="CO566" s="399">
        <f t="shared" si="269"/>
        <v>0</v>
      </c>
      <c r="CP566" s="399">
        <f t="shared" si="270"/>
        <v>0</v>
      </c>
      <c r="CQ566" s="423">
        <f t="shared" si="271"/>
        <v>0</v>
      </c>
      <c r="CS566" s="394" t="e">
        <f t="shared" si="272"/>
        <v>#DIV/0!</v>
      </c>
    </row>
    <row r="567" spans="3:97">
      <c r="C567" s="107"/>
      <c r="D567" s="395"/>
      <c r="E567" s="84"/>
      <c r="F567" s="84"/>
      <c r="G567" s="389"/>
      <c r="H567" s="390"/>
      <c r="I567" s="390"/>
      <c r="J567" s="390"/>
      <c r="K567" s="390"/>
      <c r="L567" s="390"/>
      <c r="M567" s="390"/>
      <c r="N567" s="390"/>
      <c r="O567" s="390"/>
      <c r="P567" s="390"/>
      <c r="Q567" s="390"/>
      <c r="R567" s="390"/>
      <c r="S567" s="390"/>
      <c r="T567" s="390"/>
      <c r="U567" s="390"/>
      <c r="V567" s="390"/>
      <c r="W567" s="390"/>
      <c r="X567" s="390"/>
      <c r="Y567" s="390"/>
      <c r="Z567" s="390"/>
      <c r="AA567" s="390"/>
      <c r="AB567" s="390"/>
      <c r="AC567" s="390"/>
      <c r="AD567" s="390"/>
      <c r="AE567" s="390"/>
      <c r="AF567" s="390"/>
      <c r="AG567" s="390"/>
      <c r="AH567" s="390"/>
      <c r="AI567" s="391"/>
      <c r="AK567" s="437"/>
      <c r="AL567" s="437"/>
      <c r="AM567" s="437"/>
      <c r="AN567" s="437"/>
      <c r="AO567" s="437"/>
      <c r="AP567" s="437"/>
      <c r="AQ567" s="437"/>
      <c r="AR567" s="437"/>
      <c r="AS567" s="437"/>
      <c r="AT567" s="437"/>
      <c r="AU567" s="437"/>
      <c r="AV567" s="437"/>
      <c r="AW567" s="437"/>
      <c r="AX567" s="437"/>
      <c r="AY567" s="437"/>
      <c r="AZ567" s="437"/>
      <c r="BA567" s="437"/>
      <c r="BB567" s="437"/>
      <c r="BC567" s="437"/>
      <c r="BD567" s="437"/>
      <c r="BE567" s="437"/>
      <c r="BF567" s="437"/>
      <c r="BG567" s="437"/>
      <c r="BH567" s="437"/>
      <c r="BI567" s="437"/>
      <c r="BJ567" s="437"/>
      <c r="BK567" s="437"/>
      <c r="BL567" s="437"/>
      <c r="BM567" s="393"/>
      <c r="BO567" s="399">
        <f t="shared" si="243"/>
        <v>0</v>
      </c>
      <c r="BP567" s="399">
        <f t="shared" si="244"/>
        <v>0</v>
      </c>
      <c r="BQ567" s="399">
        <f t="shared" si="245"/>
        <v>0</v>
      </c>
      <c r="BR567" s="399">
        <f t="shared" si="246"/>
        <v>0</v>
      </c>
      <c r="BS567" s="399">
        <f t="shared" si="247"/>
        <v>0</v>
      </c>
      <c r="BT567" s="399">
        <f t="shared" si="248"/>
        <v>0</v>
      </c>
      <c r="BU567" s="399">
        <f t="shared" si="249"/>
        <v>0</v>
      </c>
      <c r="BV567" s="399">
        <f t="shared" si="250"/>
        <v>0</v>
      </c>
      <c r="BW567" s="399">
        <f t="shared" si="251"/>
        <v>0</v>
      </c>
      <c r="BX567" s="399">
        <f t="shared" si="252"/>
        <v>0</v>
      </c>
      <c r="BY567" s="399">
        <f t="shared" si="253"/>
        <v>0</v>
      </c>
      <c r="BZ567" s="399">
        <f t="shared" si="254"/>
        <v>0</v>
      </c>
      <c r="CA567" s="399">
        <f t="shared" si="255"/>
        <v>0</v>
      </c>
      <c r="CB567" s="399">
        <f t="shared" si="256"/>
        <v>0</v>
      </c>
      <c r="CC567" s="399">
        <f t="shared" si="257"/>
        <v>0</v>
      </c>
      <c r="CD567" s="399">
        <f t="shared" si="258"/>
        <v>0</v>
      </c>
      <c r="CE567" s="399">
        <f t="shared" si="259"/>
        <v>0</v>
      </c>
      <c r="CF567" s="399">
        <f t="shared" si="260"/>
        <v>0</v>
      </c>
      <c r="CG567" s="399">
        <f t="shared" si="261"/>
        <v>0</v>
      </c>
      <c r="CH567" s="399">
        <f t="shared" si="262"/>
        <v>0</v>
      </c>
      <c r="CI567" s="399">
        <f t="shared" si="263"/>
        <v>0</v>
      </c>
      <c r="CJ567" s="399">
        <f t="shared" si="264"/>
        <v>0</v>
      </c>
      <c r="CK567" s="399">
        <f t="shared" si="265"/>
        <v>0</v>
      </c>
      <c r="CL567" s="399">
        <f t="shared" si="266"/>
        <v>0</v>
      </c>
      <c r="CM567" s="399">
        <f t="shared" si="267"/>
        <v>0</v>
      </c>
      <c r="CN567" s="399">
        <f t="shared" si="268"/>
        <v>0</v>
      </c>
      <c r="CO567" s="399">
        <f t="shared" si="269"/>
        <v>0</v>
      </c>
      <c r="CP567" s="399">
        <f t="shared" si="270"/>
        <v>0</v>
      </c>
      <c r="CQ567" s="423">
        <f t="shared" si="271"/>
        <v>0</v>
      </c>
      <c r="CS567" s="394" t="e">
        <f t="shared" si="272"/>
        <v>#DIV/0!</v>
      </c>
    </row>
    <row r="568" spans="3:97">
      <c r="C568" s="107"/>
      <c r="D568" s="395"/>
      <c r="E568" s="84"/>
      <c r="F568" s="84"/>
      <c r="G568" s="389"/>
      <c r="H568" s="390"/>
      <c r="I568" s="390"/>
      <c r="J568" s="390"/>
      <c r="K568" s="390"/>
      <c r="L568" s="390"/>
      <c r="M568" s="390"/>
      <c r="N568" s="390"/>
      <c r="O568" s="390"/>
      <c r="P568" s="390"/>
      <c r="Q568" s="390"/>
      <c r="R568" s="390"/>
      <c r="S568" s="390"/>
      <c r="T568" s="390"/>
      <c r="U568" s="390"/>
      <c r="V568" s="390"/>
      <c r="W568" s="390"/>
      <c r="X568" s="390"/>
      <c r="Y568" s="390"/>
      <c r="Z568" s="390"/>
      <c r="AA568" s="390"/>
      <c r="AB568" s="390"/>
      <c r="AC568" s="390"/>
      <c r="AD568" s="390"/>
      <c r="AE568" s="390"/>
      <c r="AF568" s="390"/>
      <c r="AG568" s="390"/>
      <c r="AH568" s="390"/>
      <c r="AI568" s="391"/>
      <c r="AK568" s="437"/>
      <c r="AL568" s="437"/>
      <c r="AM568" s="437"/>
      <c r="AN568" s="437"/>
      <c r="AO568" s="437"/>
      <c r="AP568" s="437"/>
      <c r="AQ568" s="437"/>
      <c r="AR568" s="437"/>
      <c r="AS568" s="437"/>
      <c r="AT568" s="437"/>
      <c r="AU568" s="437"/>
      <c r="AV568" s="437"/>
      <c r="AW568" s="437"/>
      <c r="AX568" s="437"/>
      <c r="AY568" s="437"/>
      <c r="AZ568" s="437"/>
      <c r="BA568" s="437"/>
      <c r="BB568" s="437"/>
      <c r="BC568" s="437"/>
      <c r="BD568" s="437"/>
      <c r="BE568" s="437"/>
      <c r="BF568" s="437"/>
      <c r="BG568" s="437"/>
      <c r="BH568" s="437"/>
      <c r="BI568" s="437"/>
      <c r="BJ568" s="437"/>
      <c r="BK568" s="437"/>
      <c r="BL568" s="437"/>
      <c r="BM568" s="393"/>
      <c r="BO568" s="399">
        <f t="shared" si="243"/>
        <v>0</v>
      </c>
      <c r="BP568" s="399">
        <f t="shared" si="244"/>
        <v>0</v>
      </c>
      <c r="BQ568" s="399">
        <f t="shared" si="245"/>
        <v>0</v>
      </c>
      <c r="BR568" s="399">
        <f t="shared" si="246"/>
        <v>0</v>
      </c>
      <c r="BS568" s="399">
        <f t="shared" si="247"/>
        <v>0</v>
      </c>
      <c r="BT568" s="399">
        <f t="shared" si="248"/>
        <v>0</v>
      </c>
      <c r="BU568" s="399">
        <f t="shared" si="249"/>
        <v>0</v>
      </c>
      <c r="BV568" s="399">
        <f t="shared" si="250"/>
        <v>0</v>
      </c>
      <c r="BW568" s="399">
        <f t="shared" si="251"/>
        <v>0</v>
      </c>
      <c r="BX568" s="399">
        <f t="shared" si="252"/>
        <v>0</v>
      </c>
      <c r="BY568" s="399">
        <f t="shared" si="253"/>
        <v>0</v>
      </c>
      <c r="BZ568" s="399">
        <f t="shared" si="254"/>
        <v>0</v>
      </c>
      <c r="CA568" s="399">
        <f t="shared" si="255"/>
        <v>0</v>
      </c>
      <c r="CB568" s="399">
        <f t="shared" si="256"/>
        <v>0</v>
      </c>
      <c r="CC568" s="399">
        <f t="shared" si="257"/>
        <v>0</v>
      </c>
      <c r="CD568" s="399">
        <f t="shared" si="258"/>
        <v>0</v>
      </c>
      <c r="CE568" s="399">
        <f t="shared" si="259"/>
        <v>0</v>
      </c>
      <c r="CF568" s="399">
        <f t="shared" si="260"/>
        <v>0</v>
      </c>
      <c r="CG568" s="399">
        <f t="shared" si="261"/>
        <v>0</v>
      </c>
      <c r="CH568" s="399">
        <f t="shared" si="262"/>
        <v>0</v>
      </c>
      <c r="CI568" s="399">
        <f t="shared" si="263"/>
        <v>0</v>
      </c>
      <c r="CJ568" s="399">
        <f t="shared" si="264"/>
        <v>0</v>
      </c>
      <c r="CK568" s="399">
        <f t="shared" si="265"/>
        <v>0</v>
      </c>
      <c r="CL568" s="399">
        <f t="shared" si="266"/>
        <v>0</v>
      </c>
      <c r="CM568" s="399">
        <f t="shared" si="267"/>
        <v>0</v>
      </c>
      <c r="CN568" s="399">
        <f t="shared" si="268"/>
        <v>0</v>
      </c>
      <c r="CO568" s="399">
        <f t="shared" si="269"/>
        <v>0</v>
      </c>
      <c r="CP568" s="399">
        <f t="shared" si="270"/>
        <v>0</v>
      </c>
      <c r="CQ568" s="423">
        <f t="shared" si="271"/>
        <v>0</v>
      </c>
      <c r="CS568" s="394" t="e">
        <f t="shared" si="272"/>
        <v>#DIV/0!</v>
      </c>
    </row>
    <row r="569" spans="3:97">
      <c r="C569" s="107"/>
      <c r="D569" s="395"/>
      <c r="E569" s="84"/>
      <c r="F569" s="84"/>
      <c r="G569" s="389"/>
      <c r="H569" s="390"/>
      <c r="I569" s="390"/>
      <c r="J569" s="390"/>
      <c r="K569" s="390"/>
      <c r="L569" s="390"/>
      <c r="M569" s="390"/>
      <c r="N569" s="390"/>
      <c r="O569" s="390"/>
      <c r="P569" s="390"/>
      <c r="Q569" s="390"/>
      <c r="R569" s="390"/>
      <c r="S569" s="390"/>
      <c r="T569" s="390"/>
      <c r="U569" s="390"/>
      <c r="V569" s="390"/>
      <c r="W569" s="390"/>
      <c r="X569" s="390"/>
      <c r="Y569" s="390"/>
      <c r="Z569" s="390"/>
      <c r="AA569" s="390"/>
      <c r="AB569" s="390"/>
      <c r="AC569" s="390"/>
      <c r="AD569" s="390"/>
      <c r="AE569" s="390"/>
      <c r="AF569" s="390"/>
      <c r="AG569" s="390"/>
      <c r="AH569" s="390"/>
      <c r="AI569" s="391"/>
      <c r="AK569" s="437"/>
      <c r="AL569" s="437"/>
      <c r="AM569" s="437"/>
      <c r="AN569" s="437"/>
      <c r="AO569" s="437"/>
      <c r="AP569" s="437"/>
      <c r="AQ569" s="437"/>
      <c r="AR569" s="437"/>
      <c r="AS569" s="437"/>
      <c r="AT569" s="437"/>
      <c r="AU569" s="437"/>
      <c r="AV569" s="437"/>
      <c r="AW569" s="437"/>
      <c r="AX569" s="437"/>
      <c r="AY569" s="437"/>
      <c r="AZ569" s="437"/>
      <c r="BA569" s="437"/>
      <c r="BB569" s="437"/>
      <c r="BC569" s="437"/>
      <c r="BD569" s="437"/>
      <c r="BE569" s="437"/>
      <c r="BF569" s="437"/>
      <c r="BG569" s="437"/>
      <c r="BH569" s="437"/>
      <c r="BI569" s="437"/>
      <c r="BJ569" s="437"/>
      <c r="BK569" s="437"/>
      <c r="BL569" s="437"/>
      <c r="BM569" s="393"/>
      <c r="BO569" s="399">
        <f t="shared" si="243"/>
        <v>0</v>
      </c>
      <c r="BP569" s="399">
        <f t="shared" si="244"/>
        <v>0</v>
      </c>
      <c r="BQ569" s="399">
        <f t="shared" si="245"/>
        <v>0</v>
      </c>
      <c r="BR569" s="399">
        <f t="shared" si="246"/>
        <v>0</v>
      </c>
      <c r="BS569" s="399">
        <f t="shared" si="247"/>
        <v>0</v>
      </c>
      <c r="BT569" s="399">
        <f t="shared" si="248"/>
        <v>0</v>
      </c>
      <c r="BU569" s="399">
        <f t="shared" si="249"/>
        <v>0</v>
      </c>
      <c r="BV569" s="399">
        <f t="shared" si="250"/>
        <v>0</v>
      </c>
      <c r="BW569" s="399">
        <f t="shared" si="251"/>
        <v>0</v>
      </c>
      <c r="BX569" s="399">
        <f t="shared" si="252"/>
        <v>0</v>
      </c>
      <c r="BY569" s="399">
        <f t="shared" si="253"/>
        <v>0</v>
      </c>
      <c r="BZ569" s="399">
        <f t="shared" si="254"/>
        <v>0</v>
      </c>
      <c r="CA569" s="399">
        <f t="shared" si="255"/>
        <v>0</v>
      </c>
      <c r="CB569" s="399">
        <f t="shared" si="256"/>
        <v>0</v>
      </c>
      <c r="CC569" s="399">
        <f t="shared" si="257"/>
        <v>0</v>
      </c>
      <c r="CD569" s="399">
        <f t="shared" si="258"/>
        <v>0</v>
      </c>
      <c r="CE569" s="399">
        <f t="shared" si="259"/>
        <v>0</v>
      </c>
      <c r="CF569" s="399">
        <f t="shared" si="260"/>
        <v>0</v>
      </c>
      <c r="CG569" s="399">
        <f t="shared" si="261"/>
        <v>0</v>
      </c>
      <c r="CH569" s="399">
        <f t="shared" si="262"/>
        <v>0</v>
      </c>
      <c r="CI569" s="399">
        <f t="shared" si="263"/>
        <v>0</v>
      </c>
      <c r="CJ569" s="399">
        <f t="shared" si="264"/>
        <v>0</v>
      </c>
      <c r="CK569" s="399">
        <f t="shared" si="265"/>
        <v>0</v>
      </c>
      <c r="CL569" s="399">
        <f t="shared" si="266"/>
        <v>0</v>
      </c>
      <c r="CM569" s="399">
        <f t="shared" si="267"/>
        <v>0</v>
      </c>
      <c r="CN569" s="399">
        <f t="shared" si="268"/>
        <v>0</v>
      </c>
      <c r="CO569" s="399">
        <f t="shared" si="269"/>
        <v>0</v>
      </c>
      <c r="CP569" s="399">
        <f t="shared" si="270"/>
        <v>0</v>
      </c>
      <c r="CQ569" s="423">
        <f t="shared" si="271"/>
        <v>0</v>
      </c>
      <c r="CS569" s="394" t="e">
        <f t="shared" si="272"/>
        <v>#DIV/0!</v>
      </c>
    </row>
    <row r="570" spans="3:97">
      <c r="C570" s="107"/>
      <c r="D570" s="395"/>
      <c r="E570" s="84"/>
      <c r="F570" s="84"/>
      <c r="G570" s="389"/>
      <c r="H570" s="390"/>
      <c r="I570" s="390"/>
      <c r="J570" s="390"/>
      <c r="K570" s="390"/>
      <c r="L570" s="390"/>
      <c r="M570" s="390"/>
      <c r="N570" s="390"/>
      <c r="O570" s="390"/>
      <c r="P570" s="390"/>
      <c r="Q570" s="390"/>
      <c r="R570" s="390"/>
      <c r="S570" s="390"/>
      <c r="T570" s="390"/>
      <c r="U570" s="390"/>
      <c r="V570" s="390"/>
      <c r="W570" s="390"/>
      <c r="X570" s="390"/>
      <c r="Y570" s="390"/>
      <c r="Z570" s="390"/>
      <c r="AA570" s="390"/>
      <c r="AB570" s="390"/>
      <c r="AC570" s="390"/>
      <c r="AD570" s="390"/>
      <c r="AE570" s="390"/>
      <c r="AF570" s="390"/>
      <c r="AG570" s="390"/>
      <c r="AH570" s="390"/>
      <c r="AI570" s="391"/>
      <c r="AK570" s="437"/>
      <c r="AL570" s="437"/>
      <c r="AM570" s="437"/>
      <c r="AN570" s="437"/>
      <c r="AO570" s="437"/>
      <c r="AP570" s="437"/>
      <c r="AQ570" s="437"/>
      <c r="AR570" s="437"/>
      <c r="AS570" s="437"/>
      <c r="AT570" s="437"/>
      <c r="AU570" s="437"/>
      <c r="AV570" s="437"/>
      <c r="AW570" s="437"/>
      <c r="AX570" s="437"/>
      <c r="AY570" s="437"/>
      <c r="AZ570" s="437"/>
      <c r="BA570" s="437"/>
      <c r="BB570" s="437"/>
      <c r="BC570" s="437"/>
      <c r="BD570" s="437"/>
      <c r="BE570" s="437"/>
      <c r="BF570" s="437"/>
      <c r="BG570" s="437"/>
      <c r="BH570" s="437"/>
      <c r="BI570" s="437"/>
      <c r="BJ570" s="437"/>
      <c r="BK570" s="437"/>
      <c r="BL570" s="437"/>
      <c r="BM570" s="393"/>
      <c r="BO570" s="399">
        <f t="shared" si="243"/>
        <v>0</v>
      </c>
      <c r="BP570" s="399">
        <f t="shared" si="244"/>
        <v>0</v>
      </c>
      <c r="BQ570" s="399">
        <f t="shared" si="245"/>
        <v>0</v>
      </c>
      <c r="BR570" s="399">
        <f t="shared" si="246"/>
        <v>0</v>
      </c>
      <c r="BS570" s="399">
        <f t="shared" si="247"/>
        <v>0</v>
      </c>
      <c r="BT570" s="399">
        <f t="shared" si="248"/>
        <v>0</v>
      </c>
      <c r="BU570" s="399">
        <f t="shared" si="249"/>
        <v>0</v>
      </c>
      <c r="BV570" s="399">
        <f t="shared" si="250"/>
        <v>0</v>
      </c>
      <c r="BW570" s="399">
        <f t="shared" si="251"/>
        <v>0</v>
      </c>
      <c r="BX570" s="399">
        <f t="shared" si="252"/>
        <v>0</v>
      </c>
      <c r="BY570" s="399">
        <f t="shared" si="253"/>
        <v>0</v>
      </c>
      <c r="BZ570" s="399">
        <f t="shared" si="254"/>
        <v>0</v>
      </c>
      <c r="CA570" s="399">
        <f t="shared" si="255"/>
        <v>0</v>
      </c>
      <c r="CB570" s="399">
        <f t="shared" si="256"/>
        <v>0</v>
      </c>
      <c r="CC570" s="399">
        <f t="shared" si="257"/>
        <v>0</v>
      </c>
      <c r="CD570" s="399">
        <f t="shared" si="258"/>
        <v>0</v>
      </c>
      <c r="CE570" s="399">
        <f t="shared" si="259"/>
        <v>0</v>
      </c>
      <c r="CF570" s="399">
        <f t="shared" si="260"/>
        <v>0</v>
      </c>
      <c r="CG570" s="399">
        <f t="shared" si="261"/>
        <v>0</v>
      </c>
      <c r="CH570" s="399">
        <f t="shared" si="262"/>
        <v>0</v>
      </c>
      <c r="CI570" s="399">
        <f t="shared" si="263"/>
        <v>0</v>
      </c>
      <c r="CJ570" s="399">
        <f t="shared" si="264"/>
        <v>0</v>
      </c>
      <c r="CK570" s="399">
        <f t="shared" si="265"/>
        <v>0</v>
      </c>
      <c r="CL570" s="399">
        <f t="shared" si="266"/>
        <v>0</v>
      </c>
      <c r="CM570" s="399">
        <f t="shared" si="267"/>
        <v>0</v>
      </c>
      <c r="CN570" s="399">
        <f t="shared" si="268"/>
        <v>0</v>
      </c>
      <c r="CO570" s="399">
        <f t="shared" si="269"/>
        <v>0</v>
      </c>
      <c r="CP570" s="399">
        <f t="shared" si="270"/>
        <v>0</v>
      </c>
      <c r="CQ570" s="423">
        <f t="shared" si="271"/>
        <v>0</v>
      </c>
      <c r="CS570" s="394" t="e">
        <f t="shared" si="272"/>
        <v>#DIV/0!</v>
      </c>
    </row>
    <row r="571" spans="3:97">
      <c r="C571" s="107"/>
      <c r="D571" s="395"/>
      <c r="E571" s="84"/>
      <c r="F571" s="84"/>
      <c r="G571" s="389"/>
      <c r="H571" s="390"/>
      <c r="I571" s="390"/>
      <c r="J571" s="390"/>
      <c r="K571" s="390"/>
      <c r="L571" s="390"/>
      <c r="M571" s="390"/>
      <c r="N571" s="390"/>
      <c r="O571" s="390"/>
      <c r="P571" s="390"/>
      <c r="Q571" s="390"/>
      <c r="R571" s="390"/>
      <c r="S571" s="390"/>
      <c r="T571" s="390"/>
      <c r="U571" s="390"/>
      <c r="V571" s="390"/>
      <c r="W571" s="390"/>
      <c r="X571" s="390"/>
      <c r="Y571" s="390"/>
      <c r="Z571" s="390"/>
      <c r="AA571" s="390"/>
      <c r="AB571" s="390"/>
      <c r="AC571" s="390"/>
      <c r="AD571" s="390"/>
      <c r="AE571" s="390"/>
      <c r="AF571" s="390"/>
      <c r="AG571" s="390"/>
      <c r="AH571" s="390"/>
      <c r="AI571" s="391"/>
      <c r="AK571" s="437"/>
      <c r="AL571" s="437"/>
      <c r="AM571" s="437"/>
      <c r="AN571" s="437"/>
      <c r="AO571" s="437"/>
      <c r="AP571" s="437"/>
      <c r="AQ571" s="437"/>
      <c r="AR571" s="437"/>
      <c r="AS571" s="437"/>
      <c r="AT571" s="437"/>
      <c r="AU571" s="437"/>
      <c r="AV571" s="437"/>
      <c r="AW571" s="437"/>
      <c r="AX571" s="437"/>
      <c r="AY571" s="437"/>
      <c r="AZ571" s="437"/>
      <c r="BA571" s="437"/>
      <c r="BB571" s="437"/>
      <c r="BC571" s="437"/>
      <c r="BD571" s="437"/>
      <c r="BE571" s="437"/>
      <c r="BF571" s="437"/>
      <c r="BG571" s="437"/>
      <c r="BH571" s="437"/>
      <c r="BI571" s="437"/>
      <c r="BJ571" s="437"/>
      <c r="BK571" s="437"/>
      <c r="BL571" s="437"/>
      <c r="BM571" s="393"/>
      <c r="BO571" s="399">
        <f t="shared" si="243"/>
        <v>0</v>
      </c>
      <c r="BP571" s="399">
        <f t="shared" si="244"/>
        <v>0</v>
      </c>
      <c r="BQ571" s="399">
        <f t="shared" si="245"/>
        <v>0</v>
      </c>
      <c r="BR571" s="399">
        <f t="shared" si="246"/>
        <v>0</v>
      </c>
      <c r="BS571" s="399">
        <f t="shared" si="247"/>
        <v>0</v>
      </c>
      <c r="BT571" s="399">
        <f t="shared" si="248"/>
        <v>0</v>
      </c>
      <c r="BU571" s="399">
        <f t="shared" si="249"/>
        <v>0</v>
      </c>
      <c r="BV571" s="399">
        <f t="shared" si="250"/>
        <v>0</v>
      </c>
      <c r="BW571" s="399">
        <f t="shared" si="251"/>
        <v>0</v>
      </c>
      <c r="BX571" s="399">
        <f t="shared" si="252"/>
        <v>0</v>
      </c>
      <c r="BY571" s="399">
        <f t="shared" si="253"/>
        <v>0</v>
      </c>
      <c r="BZ571" s="399">
        <f t="shared" si="254"/>
        <v>0</v>
      </c>
      <c r="CA571" s="399">
        <f t="shared" si="255"/>
        <v>0</v>
      </c>
      <c r="CB571" s="399">
        <f t="shared" si="256"/>
        <v>0</v>
      </c>
      <c r="CC571" s="399">
        <f t="shared" si="257"/>
        <v>0</v>
      </c>
      <c r="CD571" s="399">
        <f t="shared" si="258"/>
        <v>0</v>
      </c>
      <c r="CE571" s="399">
        <f t="shared" si="259"/>
        <v>0</v>
      </c>
      <c r="CF571" s="399">
        <f t="shared" si="260"/>
        <v>0</v>
      </c>
      <c r="CG571" s="399">
        <f t="shared" si="261"/>
        <v>0</v>
      </c>
      <c r="CH571" s="399">
        <f t="shared" si="262"/>
        <v>0</v>
      </c>
      <c r="CI571" s="399">
        <f t="shared" si="263"/>
        <v>0</v>
      </c>
      <c r="CJ571" s="399">
        <f t="shared" si="264"/>
        <v>0</v>
      </c>
      <c r="CK571" s="399">
        <f t="shared" si="265"/>
        <v>0</v>
      </c>
      <c r="CL571" s="399">
        <f t="shared" si="266"/>
        <v>0</v>
      </c>
      <c r="CM571" s="399">
        <f t="shared" si="267"/>
        <v>0</v>
      </c>
      <c r="CN571" s="399">
        <f t="shared" si="268"/>
        <v>0</v>
      </c>
      <c r="CO571" s="399">
        <f t="shared" si="269"/>
        <v>0</v>
      </c>
      <c r="CP571" s="399">
        <f t="shared" si="270"/>
        <v>0</v>
      </c>
      <c r="CQ571" s="423">
        <f t="shared" si="271"/>
        <v>0</v>
      </c>
      <c r="CS571" s="394" t="e">
        <f t="shared" si="272"/>
        <v>#DIV/0!</v>
      </c>
    </row>
    <row r="572" spans="3:97">
      <c r="C572" s="107"/>
      <c r="D572" s="395"/>
      <c r="E572" s="84"/>
      <c r="F572" s="84"/>
      <c r="G572" s="389"/>
      <c r="H572" s="390"/>
      <c r="I572" s="390"/>
      <c r="J572" s="390"/>
      <c r="K572" s="390"/>
      <c r="L572" s="390"/>
      <c r="M572" s="390"/>
      <c r="N572" s="390"/>
      <c r="O572" s="390"/>
      <c r="P572" s="390"/>
      <c r="Q572" s="390"/>
      <c r="R572" s="390"/>
      <c r="S572" s="390"/>
      <c r="T572" s="390"/>
      <c r="U572" s="390"/>
      <c r="V572" s="390"/>
      <c r="W572" s="390"/>
      <c r="X572" s="390"/>
      <c r="Y572" s="390"/>
      <c r="Z572" s="390"/>
      <c r="AA572" s="390"/>
      <c r="AB572" s="390"/>
      <c r="AC572" s="390"/>
      <c r="AD572" s="390"/>
      <c r="AE572" s="390"/>
      <c r="AF572" s="390"/>
      <c r="AG572" s="390"/>
      <c r="AH572" s="390"/>
      <c r="AI572" s="391"/>
      <c r="AK572" s="437"/>
      <c r="AL572" s="437"/>
      <c r="AM572" s="437"/>
      <c r="AN572" s="437"/>
      <c r="AO572" s="437"/>
      <c r="AP572" s="437"/>
      <c r="AQ572" s="437"/>
      <c r="AR572" s="437"/>
      <c r="AS572" s="437"/>
      <c r="AT572" s="437"/>
      <c r="AU572" s="437"/>
      <c r="AV572" s="437"/>
      <c r="AW572" s="437"/>
      <c r="AX572" s="437"/>
      <c r="AY572" s="437"/>
      <c r="AZ572" s="437"/>
      <c r="BA572" s="437"/>
      <c r="BB572" s="437"/>
      <c r="BC572" s="437"/>
      <c r="BD572" s="437"/>
      <c r="BE572" s="437"/>
      <c r="BF572" s="437"/>
      <c r="BG572" s="437"/>
      <c r="BH572" s="437"/>
      <c r="BI572" s="437"/>
      <c r="BJ572" s="437"/>
      <c r="BK572" s="437"/>
      <c r="BL572" s="437"/>
      <c r="BM572" s="393"/>
      <c r="BO572" s="399">
        <f t="shared" si="243"/>
        <v>0</v>
      </c>
      <c r="BP572" s="399">
        <f t="shared" si="244"/>
        <v>0</v>
      </c>
      <c r="BQ572" s="399">
        <f t="shared" si="245"/>
        <v>0</v>
      </c>
      <c r="BR572" s="399">
        <f t="shared" si="246"/>
        <v>0</v>
      </c>
      <c r="BS572" s="399">
        <f t="shared" si="247"/>
        <v>0</v>
      </c>
      <c r="BT572" s="399">
        <f t="shared" si="248"/>
        <v>0</v>
      </c>
      <c r="BU572" s="399">
        <f t="shared" si="249"/>
        <v>0</v>
      </c>
      <c r="BV572" s="399">
        <f t="shared" si="250"/>
        <v>0</v>
      </c>
      <c r="BW572" s="399">
        <f t="shared" si="251"/>
        <v>0</v>
      </c>
      <c r="BX572" s="399">
        <f t="shared" si="252"/>
        <v>0</v>
      </c>
      <c r="BY572" s="399">
        <f t="shared" si="253"/>
        <v>0</v>
      </c>
      <c r="BZ572" s="399">
        <f t="shared" si="254"/>
        <v>0</v>
      </c>
      <c r="CA572" s="399">
        <f t="shared" si="255"/>
        <v>0</v>
      </c>
      <c r="CB572" s="399">
        <f t="shared" si="256"/>
        <v>0</v>
      </c>
      <c r="CC572" s="399">
        <f t="shared" si="257"/>
        <v>0</v>
      </c>
      <c r="CD572" s="399">
        <f t="shared" si="258"/>
        <v>0</v>
      </c>
      <c r="CE572" s="399">
        <f t="shared" si="259"/>
        <v>0</v>
      </c>
      <c r="CF572" s="399">
        <f t="shared" si="260"/>
        <v>0</v>
      </c>
      <c r="CG572" s="399">
        <f t="shared" si="261"/>
        <v>0</v>
      </c>
      <c r="CH572" s="399">
        <f t="shared" si="262"/>
        <v>0</v>
      </c>
      <c r="CI572" s="399">
        <f t="shared" si="263"/>
        <v>0</v>
      </c>
      <c r="CJ572" s="399">
        <f t="shared" si="264"/>
        <v>0</v>
      </c>
      <c r="CK572" s="399">
        <f t="shared" si="265"/>
        <v>0</v>
      </c>
      <c r="CL572" s="399">
        <f t="shared" si="266"/>
        <v>0</v>
      </c>
      <c r="CM572" s="399">
        <f t="shared" si="267"/>
        <v>0</v>
      </c>
      <c r="CN572" s="399">
        <f t="shared" si="268"/>
        <v>0</v>
      </c>
      <c r="CO572" s="399">
        <f t="shared" si="269"/>
        <v>0</v>
      </c>
      <c r="CP572" s="399">
        <f t="shared" si="270"/>
        <v>0</v>
      </c>
      <c r="CQ572" s="423">
        <f t="shared" si="271"/>
        <v>0</v>
      </c>
      <c r="CS572" s="394" t="e">
        <f t="shared" si="272"/>
        <v>#DIV/0!</v>
      </c>
    </row>
    <row r="573" spans="3:97">
      <c r="C573" s="107"/>
      <c r="D573" s="395"/>
      <c r="E573" s="84"/>
      <c r="F573" s="84"/>
      <c r="G573" s="389"/>
      <c r="H573" s="390"/>
      <c r="I573" s="390"/>
      <c r="J573" s="390"/>
      <c r="K573" s="390"/>
      <c r="L573" s="390"/>
      <c r="M573" s="390"/>
      <c r="N573" s="390"/>
      <c r="O573" s="390"/>
      <c r="P573" s="390"/>
      <c r="Q573" s="390"/>
      <c r="R573" s="390"/>
      <c r="S573" s="390"/>
      <c r="T573" s="390"/>
      <c r="U573" s="390"/>
      <c r="V573" s="390"/>
      <c r="W573" s="390"/>
      <c r="X573" s="390"/>
      <c r="Y573" s="390"/>
      <c r="Z573" s="390"/>
      <c r="AA573" s="390"/>
      <c r="AB573" s="390"/>
      <c r="AC573" s="390"/>
      <c r="AD573" s="390"/>
      <c r="AE573" s="390"/>
      <c r="AF573" s="390"/>
      <c r="AG573" s="390"/>
      <c r="AH573" s="390"/>
      <c r="AI573" s="391"/>
      <c r="AK573" s="437"/>
      <c r="AL573" s="437"/>
      <c r="AM573" s="437"/>
      <c r="AN573" s="437"/>
      <c r="AO573" s="437"/>
      <c r="AP573" s="437"/>
      <c r="AQ573" s="437"/>
      <c r="AR573" s="437"/>
      <c r="AS573" s="437"/>
      <c r="AT573" s="437"/>
      <c r="AU573" s="437"/>
      <c r="AV573" s="437"/>
      <c r="AW573" s="437"/>
      <c r="AX573" s="437"/>
      <c r="AY573" s="437"/>
      <c r="AZ573" s="437"/>
      <c r="BA573" s="437"/>
      <c r="BB573" s="437"/>
      <c r="BC573" s="437"/>
      <c r="BD573" s="437"/>
      <c r="BE573" s="437"/>
      <c r="BF573" s="437"/>
      <c r="BG573" s="437"/>
      <c r="BH573" s="437"/>
      <c r="BI573" s="437"/>
      <c r="BJ573" s="437"/>
      <c r="BK573" s="437"/>
      <c r="BL573" s="437"/>
      <c r="BM573" s="393"/>
      <c r="BO573" s="399">
        <f t="shared" si="243"/>
        <v>0</v>
      </c>
      <c r="BP573" s="399">
        <f t="shared" si="244"/>
        <v>0</v>
      </c>
      <c r="BQ573" s="399">
        <f t="shared" si="245"/>
        <v>0</v>
      </c>
      <c r="BR573" s="399">
        <f t="shared" si="246"/>
        <v>0</v>
      </c>
      <c r="BS573" s="399">
        <f t="shared" si="247"/>
        <v>0</v>
      </c>
      <c r="BT573" s="399">
        <f t="shared" si="248"/>
        <v>0</v>
      </c>
      <c r="BU573" s="399">
        <f t="shared" si="249"/>
        <v>0</v>
      </c>
      <c r="BV573" s="399">
        <f t="shared" si="250"/>
        <v>0</v>
      </c>
      <c r="BW573" s="399">
        <f t="shared" si="251"/>
        <v>0</v>
      </c>
      <c r="BX573" s="399">
        <f t="shared" si="252"/>
        <v>0</v>
      </c>
      <c r="BY573" s="399">
        <f t="shared" si="253"/>
        <v>0</v>
      </c>
      <c r="BZ573" s="399">
        <f t="shared" si="254"/>
        <v>0</v>
      </c>
      <c r="CA573" s="399">
        <f t="shared" si="255"/>
        <v>0</v>
      </c>
      <c r="CB573" s="399">
        <f t="shared" si="256"/>
        <v>0</v>
      </c>
      <c r="CC573" s="399">
        <f t="shared" si="257"/>
        <v>0</v>
      </c>
      <c r="CD573" s="399">
        <f t="shared" si="258"/>
        <v>0</v>
      </c>
      <c r="CE573" s="399">
        <f t="shared" si="259"/>
        <v>0</v>
      </c>
      <c r="CF573" s="399">
        <f t="shared" si="260"/>
        <v>0</v>
      </c>
      <c r="CG573" s="399">
        <f t="shared" si="261"/>
        <v>0</v>
      </c>
      <c r="CH573" s="399">
        <f t="shared" si="262"/>
        <v>0</v>
      </c>
      <c r="CI573" s="399">
        <f t="shared" si="263"/>
        <v>0</v>
      </c>
      <c r="CJ573" s="399">
        <f t="shared" si="264"/>
        <v>0</v>
      </c>
      <c r="CK573" s="399">
        <f t="shared" si="265"/>
        <v>0</v>
      </c>
      <c r="CL573" s="399">
        <f t="shared" si="266"/>
        <v>0</v>
      </c>
      <c r="CM573" s="399">
        <f t="shared" si="267"/>
        <v>0</v>
      </c>
      <c r="CN573" s="399">
        <f t="shared" si="268"/>
        <v>0</v>
      </c>
      <c r="CO573" s="399">
        <f t="shared" si="269"/>
        <v>0</v>
      </c>
      <c r="CP573" s="399">
        <f t="shared" si="270"/>
        <v>0</v>
      </c>
      <c r="CQ573" s="423">
        <f t="shared" si="271"/>
        <v>0</v>
      </c>
      <c r="CS573" s="394" t="e">
        <f t="shared" si="272"/>
        <v>#DIV/0!</v>
      </c>
    </row>
    <row r="574" spans="3:97">
      <c r="C574" s="107"/>
      <c r="D574" s="395"/>
      <c r="E574" s="84"/>
      <c r="F574" s="84"/>
      <c r="G574" s="389"/>
      <c r="H574" s="390"/>
      <c r="I574" s="390"/>
      <c r="J574" s="390"/>
      <c r="K574" s="390"/>
      <c r="L574" s="390"/>
      <c r="M574" s="390"/>
      <c r="N574" s="390"/>
      <c r="O574" s="390"/>
      <c r="P574" s="390"/>
      <c r="Q574" s="390"/>
      <c r="R574" s="390"/>
      <c r="S574" s="390"/>
      <c r="T574" s="390"/>
      <c r="U574" s="390"/>
      <c r="V574" s="390"/>
      <c r="W574" s="390"/>
      <c r="X574" s="390"/>
      <c r="Y574" s="390"/>
      <c r="Z574" s="390"/>
      <c r="AA574" s="390"/>
      <c r="AB574" s="390"/>
      <c r="AC574" s="390"/>
      <c r="AD574" s="390"/>
      <c r="AE574" s="390"/>
      <c r="AF574" s="390"/>
      <c r="AG574" s="390"/>
      <c r="AH574" s="390"/>
      <c r="AI574" s="391"/>
      <c r="AK574" s="437"/>
      <c r="AL574" s="437"/>
      <c r="AM574" s="437"/>
      <c r="AN574" s="437"/>
      <c r="AO574" s="437"/>
      <c r="AP574" s="437"/>
      <c r="AQ574" s="437"/>
      <c r="AR574" s="437"/>
      <c r="AS574" s="437"/>
      <c r="AT574" s="437"/>
      <c r="AU574" s="437"/>
      <c r="AV574" s="437"/>
      <c r="AW574" s="437"/>
      <c r="AX574" s="437"/>
      <c r="AY574" s="437"/>
      <c r="AZ574" s="437"/>
      <c r="BA574" s="437"/>
      <c r="BB574" s="437"/>
      <c r="BC574" s="437"/>
      <c r="BD574" s="437"/>
      <c r="BE574" s="437"/>
      <c r="BF574" s="437"/>
      <c r="BG574" s="437"/>
      <c r="BH574" s="437"/>
      <c r="BI574" s="437"/>
      <c r="BJ574" s="437"/>
      <c r="BK574" s="437"/>
      <c r="BL574" s="437"/>
      <c r="BM574" s="393"/>
      <c r="BO574" s="399">
        <f t="shared" si="243"/>
        <v>0</v>
      </c>
      <c r="BP574" s="399">
        <f t="shared" si="244"/>
        <v>0</v>
      </c>
      <c r="BQ574" s="399">
        <f t="shared" si="245"/>
        <v>0</v>
      </c>
      <c r="BR574" s="399">
        <f t="shared" si="246"/>
        <v>0</v>
      </c>
      <c r="BS574" s="399">
        <f t="shared" si="247"/>
        <v>0</v>
      </c>
      <c r="BT574" s="399">
        <f t="shared" si="248"/>
        <v>0</v>
      </c>
      <c r="BU574" s="399">
        <f t="shared" si="249"/>
        <v>0</v>
      </c>
      <c r="BV574" s="399">
        <f t="shared" si="250"/>
        <v>0</v>
      </c>
      <c r="BW574" s="399">
        <f t="shared" si="251"/>
        <v>0</v>
      </c>
      <c r="BX574" s="399">
        <f t="shared" si="252"/>
        <v>0</v>
      </c>
      <c r="BY574" s="399">
        <f t="shared" si="253"/>
        <v>0</v>
      </c>
      <c r="BZ574" s="399">
        <f t="shared" si="254"/>
        <v>0</v>
      </c>
      <c r="CA574" s="399">
        <f t="shared" si="255"/>
        <v>0</v>
      </c>
      <c r="CB574" s="399">
        <f t="shared" si="256"/>
        <v>0</v>
      </c>
      <c r="CC574" s="399">
        <f t="shared" si="257"/>
        <v>0</v>
      </c>
      <c r="CD574" s="399">
        <f t="shared" si="258"/>
        <v>0</v>
      </c>
      <c r="CE574" s="399">
        <f t="shared" si="259"/>
        <v>0</v>
      </c>
      <c r="CF574" s="399">
        <f t="shared" si="260"/>
        <v>0</v>
      </c>
      <c r="CG574" s="399">
        <f t="shared" si="261"/>
        <v>0</v>
      </c>
      <c r="CH574" s="399">
        <f t="shared" si="262"/>
        <v>0</v>
      </c>
      <c r="CI574" s="399">
        <f t="shared" si="263"/>
        <v>0</v>
      </c>
      <c r="CJ574" s="399">
        <f t="shared" si="264"/>
        <v>0</v>
      </c>
      <c r="CK574" s="399">
        <f t="shared" si="265"/>
        <v>0</v>
      </c>
      <c r="CL574" s="399">
        <f t="shared" si="266"/>
        <v>0</v>
      </c>
      <c r="CM574" s="399">
        <f t="shared" si="267"/>
        <v>0</v>
      </c>
      <c r="CN574" s="399">
        <f t="shared" si="268"/>
        <v>0</v>
      </c>
      <c r="CO574" s="399">
        <f t="shared" si="269"/>
        <v>0</v>
      </c>
      <c r="CP574" s="399">
        <f t="shared" si="270"/>
        <v>0</v>
      </c>
      <c r="CQ574" s="423">
        <f t="shared" si="271"/>
        <v>0</v>
      </c>
      <c r="CS574" s="394" t="e">
        <f t="shared" si="272"/>
        <v>#DIV/0!</v>
      </c>
    </row>
    <row r="575" spans="3:97">
      <c r="C575" s="107"/>
      <c r="D575" s="395"/>
      <c r="E575" s="84"/>
      <c r="F575" s="84"/>
      <c r="G575" s="389"/>
      <c r="H575" s="390"/>
      <c r="I575" s="390"/>
      <c r="J575" s="390"/>
      <c r="K575" s="390"/>
      <c r="L575" s="390"/>
      <c r="M575" s="390"/>
      <c r="N575" s="390"/>
      <c r="O575" s="390"/>
      <c r="P575" s="390"/>
      <c r="Q575" s="390"/>
      <c r="R575" s="390"/>
      <c r="S575" s="390"/>
      <c r="T575" s="390"/>
      <c r="U575" s="390"/>
      <c r="V575" s="390"/>
      <c r="W575" s="390"/>
      <c r="X575" s="390"/>
      <c r="Y575" s="390"/>
      <c r="Z575" s="390"/>
      <c r="AA575" s="390"/>
      <c r="AB575" s="390"/>
      <c r="AC575" s="390"/>
      <c r="AD575" s="390"/>
      <c r="AE575" s="390"/>
      <c r="AF575" s="390"/>
      <c r="AG575" s="390"/>
      <c r="AH575" s="390"/>
      <c r="AI575" s="391"/>
      <c r="AK575" s="437"/>
      <c r="AL575" s="437"/>
      <c r="AM575" s="437"/>
      <c r="AN575" s="437"/>
      <c r="AO575" s="437"/>
      <c r="AP575" s="437"/>
      <c r="AQ575" s="437"/>
      <c r="AR575" s="437"/>
      <c r="AS575" s="437"/>
      <c r="AT575" s="437"/>
      <c r="AU575" s="437"/>
      <c r="AV575" s="437"/>
      <c r="AW575" s="437"/>
      <c r="AX575" s="437"/>
      <c r="AY575" s="437"/>
      <c r="AZ575" s="437"/>
      <c r="BA575" s="437"/>
      <c r="BB575" s="437"/>
      <c r="BC575" s="437"/>
      <c r="BD575" s="437"/>
      <c r="BE575" s="437"/>
      <c r="BF575" s="437"/>
      <c r="BG575" s="437"/>
      <c r="BH575" s="437"/>
      <c r="BI575" s="437"/>
      <c r="BJ575" s="437"/>
      <c r="BK575" s="437"/>
      <c r="BL575" s="437"/>
      <c r="BM575" s="393"/>
      <c r="BO575" s="399">
        <f t="shared" si="243"/>
        <v>0</v>
      </c>
      <c r="BP575" s="399">
        <f t="shared" si="244"/>
        <v>0</v>
      </c>
      <c r="BQ575" s="399">
        <f t="shared" si="245"/>
        <v>0</v>
      </c>
      <c r="BR575" s="399">
        <f t="shared" si="246"/>
        <v>0</v>
      </c>
      <c r="BS575" s="399">
        <f t="shared" si="247"/>
        <v>0</v>
      </c>
      <c r="BT575" s="399">
        <f t="shared" si="248"/>
        <v>0</v>
      </c>
      <c r="BU575" s="399">
        <f t="shared" si="249"/>
        <v>0</v>
      </c>
      <c r="BV575" s="399">
        <f t="shared" si="250"/>
        <v>0</v>
      </c>
      <c r="BW575" s="399">
        <f t="shared" si="251"/>
        <v>0</v>
      </c>
      <c r="BX575" s="399">
        <f t="shared" si="252"/>
        <v>0</v>
      </c>
      <c r="BY575" s="399">
        <f t="shared" si="253"/>
        <v>0</v>
      </c>
      <c r="BZ575" s="399">
        <f t="shared" si="254"/>
        <v>0</v>
      </c>
      <c r="CA575" s="399">
        <f t="shared" si="255"/>
        <v>0</v>
      </c>
      <c r="CB575" s="399">
        <f t="shared" si="256"/>
        <v>0</v>
      </c>
      <c r="CC575" s="399">
        <f t="shared" si="257"/>
        <v>0</v>
      </c>
      <c r="CD575" s="399">
        <f t="shared" si="258"/>
        <v>0</v>
      </c>
      <c r="CE575" s="399">
        <f t="shared" si="259"/>
        <v>0</v>
      </c>
      <c r="CF575" s="399">
        <f t="shared" si="260"/>
        <v>0</v>
      </c>
      <c r="CG575" s="399">
        <f t="shared" si="261"/>
        <v>0</v>
      </c>
      <c r="CH575" s="399">
        <f t="shared" si="262"/>
        <v>0</v>
      </c>
      <c r="CI575" s="399">
        <f t="shared" si="263"/>
        <v>0</v>
      </c>
      <c r="CJ575" s="399">
        <f t="shared" si="264"/>
        <v>0</v>
      </c>
      <c r="CK575" s="399">
        <f t="shared" si="265"/>
        <v>0</v>
      </c>
      <c r="CL575" s="399">
        <f t="shared" si="266"/>
        <v>0</v>
      </c>
      <c r="CM575" s="399">
        <f t="shared" si="267"/>
        <v>0</v>
      </c>
      <c r="CN575" s="399">
        <f t="shared" si="268"/>
        <v>0</v>
      </c>
      <c r="CO575" s="399">
        <f t="shared" si="269"/>
        <v>0</v>
      </c>
      <c r="CP575" s="399">
        <f t="shared" si="270"/>
        <v>0</v>
      </c>
      <c r="CQ575" s="423">
        <f t="shared" si="271"/>
        <v>0</v>
      </c>
      <c r="CS575" s="394" t="e">
        <f t="shared" si="272"/>
        <v>#DIV/0!</v>
      </c>
    </row>
    <row r="576" spans="3:97">
      <c r="C576" s="107"/>
      <c r="D576" s="395"/>
      <c r="E576" s="84"/>
      <c r="F576" s="84"/>
      <c r="G576" s="389"/>
      <c r="H576" s="390"/>
      <c r="I576" s="390"/>
      <c r="J576" s="390"/>
      <c r="K576" s="390"/>
      <c r="L576" s="390"/>
      <c r="M576" s="390"/>
      <c r="N576" s="390"/>
      <c r="O576" s="390"/>
      <c r="P576" s="390"/>
      <c r="Q576" s="390"/>
      <c r="R576" s="390"/>
      <c r="S576" s="390"/>
      <c r="T576" s="390"/>
      <c r="U576" s="390"/>
      <c r="V576" s="390"/>
      <c r="W576" s="390"/>
      <c r="X576" s="390"/>
      <c r="Y576" s="390"/>
      <c r="Z576" s="390"/>
      <c r="AA576" s="390"/>
      <c r="AB576" s="390"/>
      <c r="AC576" s="390"/>
      <c r="AD576" s="390"/>
      <c r="AE576" s="390"/>
      <c r="AF576" s="390"/>
      <c r="AG576" s="390"/>
      <c r="AH576" s="390"/>
      <c r="AI576" s="391"/>
      <c r="AK576" s="437"/>
      <c r="AL576" s="437"/>
      <c r="AM576" s="437"/>
      <c r="AN576" s="437"/>
      <c r="AO576" s="437"/>
      <c r="AP576" s="437"/>
      <c r="AQ576" s="437"/>
      <c r="AR576" s="437"/>
      <c r="AS576" s="437"/>
      <c r="AT576" s="437"/>
      <c r="AU576" s="437"/>
      <c r="AV576" s="437"/>
      <c r="AW576" s="437"/>
      <c r="AX576" s="437"/>
      <c r="AY576" s="437"/>
      <c r="AZ576" s="437"/>
      <c r="BA576" s="437"/>
      <c r="BB576" s="437"/>
      <c r="BC576" s="437"/>
      <c r="BD576" s="437"/>
      <c r="BE576" s="437"/>
      <c r="BF576" s="437"/>
      <c r="BG576" s="437"/>
      <c r="BH576" s="437"/>
      <c r="BI576" s="437"/>
      <c r="BJ576" s="437"/>
      <c r="BK576" s="437"/>
      <c r="BL576" s="437"/>
      <c r="BM576" s="393"/>
      <c r="BO576" s="399">
        <f t="shared" si="243"/>
        <v>0</v>
      </c>
      <c r="BP576" s="399">
        <f t="shared" si="244"/>
        <v>0</v>
      </c>
      <c r="BQ576" s="399">
        <f t="shared" si="245"/>
        <v>0</v>
      </c>
      <c r="BR576" s="399">
        <f t="shared" si="246"/>
        <v>0</v>
      </c>
      <c r="BS576" s="399">
        <f t="shared" si="247"/>
        <v>0</v>
      </c>
      <c r="BT576" s="399">
        <f t="shared" si="248"/>
        <v>0</v>
      </c>
      <c r="BU576" s="399">
        <f t="shared" si="249"/>
        <v>0</v>
      </c>
      <c r="BV576" s="399">
        <f t="shared" si="250"/>
        <v>0</v>
      </c>
      <c r="BW576" s="399">
        <f t="shared" si="251"/>
        <v>0</v>
      </c>
      <c r="BX576" s="399">
        <f t="shared" si="252"/>
        <v>0</v>
      </c>
      <c r="BY576" s="399">
        <f t="shared" si="253"/>
        <v>0</v>
      </c>
      <c r="BZ576" s="399">
        <f t="shared" si="254"/>
        <v>0</v>
      </c>
      <c r="CA576" s="399">
        <f t="shared" si="255"/>
        <v>0</v>
      </c>
      <c r="CB576" s="399">
        <f t="shared" si="256"/>
        <v>0</v>
      </c>
      <c r="CC576" s="399">
        <f t="shared" si="257"/>
        <v>0</v>
      </c>
      <c r="CD576" s="399">
        <f t="shared" si="258"/>
        <v>0</v>
      </c>
      <c r="CE576" s="399">
        <f t="shared" si="259"/>
        <v>0</v>
      </c>
      <c r="CF576" s="399">
        <f t="shared" si="260"/>
        <v>0</v>
      </c>
      <c r="CG576" s="399">
        <f t="shared" si="261"/>
        <v>0</v>
      </c>
      <c r="CH576" s="399">
        <f t="shared" si="262"/>
        <v>0</v>
      </c>
      <c r="CI576" s="399">
        <f t="shared" si="263"/>
        <v>0</v>
      </c>
      <c r="CJ576" s="399">
        <f t="shared" si="264"/>
        <v>0</v>
      </c>
      <c r="CK576" s="399">
        <f t="shared" si="265"/>
        <v>0</v>
      </c>
      <c r="CL576" s="399">
        <f t="shared" si="266"/>
        <v>0</v>
      </c>
      <c r="CM576" s="399">
        <f t="shared" si="267"/>
        <v>0</v>
      </c>
      <c r="CN576" s="399">
        <f t="shared" si="268"/>
        <v>0</v>
      </c>
      <c r="CO576" s="399">
        <f t="shared" si="269"/>
        <v>0</v>
      </c>
      <c r="CP576" s="399">
        <f t="shared" si="270"/>
        <v>0</v>
      </c>
      <c r="CQ576" s="423">
        <f t="shared" si="271"/>
        <v>0</v>
      </c>
      <c r="CS576" s="394" t="e">
        <f t="shared" si="272"/>
        <v>#DIV/0!</v>
      </c>
    </row>
    <row r="577" spans="3:97">
      <c r="C577" s="107"/>
      <c r="D577" s="395"/>
      <c r="E577" s="84"/>
      <c r="F577" s="84"/>
      <c r="G577" s="389"/>
      <c r="H577" s="390"/>
      <c r="I577" s="390"/>
      <c r="J577" s="390"/>
      <c r="K577" s="390"/>
      <c r="L577" s="390"/>
      <c r="M577" s="390"/>
      <c r="N577" s="390"/>
      <c r="O577" s="390"/>
      <c r="P577" s="390"/>
      <c r="Q577" s="390"/>
      <c r="R577" s="390"/>
      <c r="S577" s="390"/>
      <c r="T577" s="390"/>
      <c r="U577" s="390"/>
      <c r="V577" s="390"/>
      <c r="W577" s="390"/>
      <c r="X577" s="390"/>
      <c r="Y577" s="390"/>
      <c r="Z577" s="390"/>
      <c r="AA577" s="390"/>
      <c r="AB577" s="390"/>
      <c r="AC577" s="390"/>
      <c r="AD577" s="390"/>
      <c r="AE577" s="390"/>
      <c r="AF577" s="390"/>
      <c r="AG577" s="390"/>
      <c r="AH577" s="390"/>
      <c r="AI577" s="391"/>
      <c r="AK577" s="437"/>
      <c r="AL577" s="437"/>
      <c r="AM577" s="437"/>
      <c r="AN577" s="437"/>
      <c r="AO577" s="437"/>
      <c r="AP577" s="437"/>
      <c r="AQ577" s="437"/>
      <c r="AR577" s="437"/>
      <c r="AS577" s="437"/>
      <c r="AT577" s="437"/>
      <c r="AU577" s="437"/>
      <c r="AV577" s="437"/>
      <c r="AW577" s="437"/>
      <c r="AX577" s="437"/>
      <c r="AY577" s="437"/>
      <c r="AZ577" s="437"/>
      <c r="BA577" s="437"/>
      <c r="BB577" s="437"/>
      <c r="BC577" s="437"/>
      <c r="BD577" s="437"/>
      <c r="BE577" s="437"/>
      <c r="BF577" s="437"/>
      <c r="BG577" s="437"/>
      <c r="BH577" s="437"/>
      <c r="BI577" s="437"/>
      <c r="BJ577" s="437"/>
      <c r="BK577" s="437"/>
      <c r="BL577" s="437"/>
      <c r="BM577" s="393"/>
      <c r="BO577" s="399">
        <f t="shared" si="243"/>
        <v>0</v>
      </c>
      <c r="BP577" s="399">
        <f t="shared" si="244"/>
        <v>0</v>
      </c>
      <c r="BQ577" s="399">
        <f t="shared" si="245"/>
        <v>0</v>
      </c>
      <c r="BR577" s="399">
        <f t="shared" si="246"/>
        <v>0</v>
      </c>
      <c r="BS577" s="399">
        <f t="shared" si="247"/>
        <v>0</v>
      </c>
      <c r="BT577" s="399">
        <f t="shared" si="248"/>
        <v>0</v>
      </c>
      <c r="BU577" s="399">
        <f t="shared" si="249"/>
        <v>0</v>
      </c>
      <c r="BV577" s="399">
        <f t="shared" si="250"/>
        <v>0</v>
      </c>
      <c r="BW577" s="399">
        <f t="shared" si="251"/>
        <v>0</v>
      </c>
      <c r="BX577" s="399">
        <f t="shared" si="252"/>
        <v>0</v>
      </c>
      <c r="BY577" s="399">
        <f t="shared" si="253"/>
        <v>0</v>
      </c>
      <c r="BZ577" s="399">
        <f t="shared" si="254"/>
        <v>0</v>
      </c>
      <c r="CA577" s="399">
        <f t="shared" si="255"/>
        <v>0</v>
      </c>
      <c r="CB577" s="399">
        <f t="shared" si="256"/>
        <v>0</v>
      </c>
      <c r="CC577" s="399">
        <f t="shared" si="257"/>
        <v>0</v>
      </c>
      <c r="CD577" s="399">
        <f t="shared" si="258"/>
        <v>0</v>
      </c>
      <c r="CE577" s="399">
        <f t="shared" si="259"/>
        <v>0</v>
      </c>
      <c r="CF577" s="399">
        <f t="shared" si="260"/>
        <v>0</v>
      </c>
      <c r="CG577" s="399">
        <f t="shared" si="261"/>
        <v>0</v>
      </c>
      <c r="CH577" s="399">
        <f t="shared" si="262"/>
        <v>0</v>
      </c>
      <c r="CI577" s="399">
        <f t="shared" si="263"/>
        <v>0</v>
      </c>
      <c r="CJ577" s="399">
        <f t="shared" si="264"/>
        <v>0</v>
      </c>
      <c r="CK577" s="399">
        <f t="shared" si="265"/>
        <v>0</v>
      </c>
      <c r="CL577" s="399">
        <f t="shared" si="266"/>
        <v>0</v>
      </c>
      <c r="CM577" s="399">
        <f t="shared" si="267"/>
        <v>0</v>
      </c>
      <c r="CN577" s="399">
        <f t="shared" si="268"/>
        <v>0</v>
      </c>
      <c r="CO577" s="399">
        <f t="shared" si="269"/>
        <v>0</v>
      </c>
      <c r="CP577" s="399">
        <f t="shared" si="270"/>
        <v>0</v>
      </c>
      <c r="CQ577" s="423">
        <f t="shared" si="271"/>
        <v>0</v>
      </c>
      <c r="CS577" s="394" t="e">
        <f t="shared" si="272"/>
        <v>#DIV/0!</v>
      </c>
    </row>
    <row r="578" spans="3:97">
      <c r="C578" s="107"/>
      <c r="D578" s="395"/>
      <c r="E578" s="84"/>
      <c r="F578" s="84"/>
      <c r="G578" s="389"/>
      <c r="H578" s="390"/>
      <c r="I578" s="390"/>
      <c r="J578" s="390"/>
      <c r="K578" s="390"/>
      <c r="L578" s="390"/>
      <c r="M578" s="390"/>
      <c r="N578" s="390"/>
      <c r="O578" s="390"/>
      <c r="P578" s="390"/>
      <c r="Q578" s="390"/>
      <c r="R578" s="390"/>
      <c r="S578" s="390"/>
      <c r="T578" s="390"/>
      <c r="U578" s="390"/>
      <c r="V578" s="390"/>
      <c r="W578" s="390"/>
      <c r="X578" s="390"/>
      <c r="Y578" s="390"/>
      <c r="Z578" s="390"/>
      <c r="AA578" s="390"/>
      <c r="AB578" s="390"/>
      <c r="AC578" s="390"/>
      <c r="AD578" s="390"/>
      <c r="AE578" s="390"/>
      <c r="AF578" s="390"/>
      <c r="AG578" s="390"/>
      <c r="AH578" s="390"/>
      <c r="AI578" s="391"/>
      <c r="AK578" s="437"/>
      <c r="AL578" s="437"/>
      <c r="AM578" s="437"/>
      <c r="AN578" s="437"/>
      <c r="AO578" s="437"/>
      <c r="AP578" s="437"/>
      <c r="AQ578" s="437"/>
      <c r="AR578" s="437"/>
      <c r="AS578" s="437"/>
      <c r="AT578" s="437"/>
      <c r="AU578" s="437"/>
      <c r="AV578" s="437"/>
      <c r="AW578" s="437"/>
      <c r="AX578" s="437"/>
      <c r="AY578" s="437"/>
      <c r="AZ578" s="437"/>
      <c r="BA578" s="437"/>
      <c r="BB578" s="437"/>
      <c r="BC578" s="437"/>
      <c r="BD578" s="437"/>
      <c r="BE578" s="437"/>
      <c r="BF578" s="437"/>
      <c r="BG578" s="437"/>
      <c r="BH578" s="437"/>
      <c r="BI578" s="437"/>
      <c r="BJ578" s="437"/>
      <c r="BK578" s="437"/>
      <c r="BL578" s="437"/>
      <c r="BM578" s="393"/>
      <c r="BO578" s="399">
        <f t="shared" si="243"/>
        <v>0</v>
      </c>
      <c r="BP578" s="399">
        <f t="shared" si="244"/>
        <v>0</v>
      </c>
      <c r="BQ578" s="399">
        <f t="shared" si="245"/>
        <v>0</v>
      </c>
      <c r="BR578" s="399">
        <f t="shared" si="246"/>
        <v>0</v>
      </c>
      <c r="BS578" s="399">
        <f t="shared" si="247"/>
        <v>0</v>
      </c>
      <c r="BT578" s="399">
        <f t="shared" si="248"/>
        <v>0</v>
      </c>
      <c r="BU578" s="399">
        <f t="shared" si="249"/>
        <v>0</v>
      </c>
      <c r="BV578" s="399">
        <f t="shared" si="250"/>
        <v>0</v>
      </c>
      <c r="BW578" s="399">
        <f t="shared" si="251"/>
        <v>0</v>
      </c>
      <c r="BX578" s="399">
        <f t="shared" si="252"/>
        <v>0</v>
      </c>
      <c r="BY578" s="399">
        <f t="shared" si="253"/>
        <v>0</v>
      </c>
      <c r="BZ578" s="399">
        <f t="shared" si="254"/>
        <v>0</v>
      </c>
      <c r="CA578" s="399">
        <f t="shared" si="255"/>
        <v>0</v>
      </c>
      <c r="CB578" s="399">
        <f t="shared" si="256"/>
        <v>0</v>
      </c>
      <c r="CC578" s="399">
        <f t="shared" si="257"/>
        <v>0</v>
      </c>
      <c r="CD578" s="399">
        <f t="shared" si="258"/>
        <v>0</v>
      </c>
      <c r="CE578" s="399">
        <f t="shared" si="259"/>
        <v>0</v>
      </c>
      <c r="CF578" s="399">
        <f t="shared" si="260"/>
        <v>0</v>
      </c>
      <c r="CG578" s="399">
        <f t="shared" si="261"/>
        <v>0</v>
      </c>
      <c r="CH578" s="399">
        <f t="shared" si="262"/>
        <v>0</v>
      </c>
      <c r="CI578" s="399">
        <f t="shared" si="263"/>
        <v>0</v>
      </c>
      <c r="CJ578" s="399">
        <f t="shared" si="264"/>
        <v>0</v>
      </c>
      <c r="CK578" s="399">
        <f t="shared" si="265"/>
        <v>0</v>
      </c>
      <c r="CL578" s="399">
        <f t="shared" si="266"/>
        <v>0</v>
      </c>
      <c r="CM578" s="399">
        <f t="shared" si="267"/>
        <v>0</v>
      </c>
      <c r="CN578" s="399">
        <f t="shared" si="268"/>
        <v>0</v>
      </c>
      <c r="CO578" s="399">
        <f t="shared" si="269"/>
        <v>0</v>
      </c>
      <c r="CP578" s="399">
        <f t="shared" si="270"/>
        <v>0</v>
      </c>
      <c r="CQ578" s="423">
        <f t="shared" si="271"/>
        <v>0</v>
      </c>
      <c r="CS578" s="394" t="e">
        <f t="shared" si="272"/>
        <v>#DIV/0!</v>
      </c>
    </row>
    <row r="579" spans="3:97">
      <c r="C579" s="107"/>
      <c r="D579" s="395"/>
      <c r="E579" s="84"/>
      <c r="F579" s="84"/>
      <c r="G579" s="389"/>
      <c r="H579" s="390"/>
      <c r="I579" s="390"/>
      <c r="J579" s="390"/>
      <c r="K579" s="390"/>
      <c r="L579" s="390"/>
      <c r="M579" s="390"/>
      <c r="N579" s="390"/>
      <c r="O579" s="390"/>
      <c r="P579" s="390"/>
      <c r="Q579" s="390"/>
      <c r="R579" s="390"/>
      <c r="S579" s="390"/>
      <c r="T579" s="390"/>
      <c r="U579" s="390"/>
      <c r="V579" s="390"/>
      <c r="W579" s="390"/>
      <c r="X579" s="390"/>
      <c r="Y579" s="390"/>
      <c r="Z579" s="390"/>
      <c r="AA579" s="390"/>
      <c r="AB579" s="390"/>
      <c r="AC579" s="390"/>
      <c r="AD579" s="390"/>
      <c r="AE579" s="390"/>
      <c r="AF579" s="390"/>
      <c r="AG579" s="390"/>
      <c r="AH579" s="390"/>
      <c r="AI579" s="391"/>
      <c r="AK579" s="437"/>
      <c r="AL579" s="437"/>
      <c r="AM579" s="437"/>
      <c r="AN579" s="437"/>
      <c r="AO579" s="437"/>
      <c r="AP579" s="437"/>
      <c r="AQ579" s="437"/>
      <c r="AR579" s="437"/>
      <c r="AS579" s="437"/>
      <c r="AT579" s="437"/>
      <c r="AU579" s="437"/>
      <c r="AV579" s="437"/>
      <c r="AW579" s="437"/>
      <c r="AX579" s="437"/>
      <c r="AY579" s="437"/>
      <c r="AZ579" s="437"/>
      <c r="BA579" s="437"/>
      <c r="BB579" s="437"/>
      <c r="BC579" s="437"/>
      <c r="BD579" s="437"/>
      <c r="BE579" s="437"/>
      <c r="BF579" s="437"/>
      <c r="BG579" s="437"/>
      <c r="BH579" s="437"/>
      <c r="BI579" s="437"/>
      <c r="BJ579" s="437"/>
      <c r="BK579" s="437"/>
      <c r="BL579" s="437"/>
      <c r="BM579" s="393"/>
      <c r="BO579" s="399">
        <f t="shared" si="243"/>
        <v>0</v>
      </c>
      <c r="BP579" s="399">
        <f t="shared" si="244"/>
        <v>0</v>
      </c>
      <c r="BQ579" s="399">
        <f t="shared" si="245"/>
        <v>0</v>
      </c>
      <c r="BR579" s="399">
        <f t="shared" si="246"/>
        <v>0</v>
      </c>
      <c r="BS579" s="399">
        <f t="shared" si="247"/>
        <v>0</v>
      </c>
      <c r="BT579" s="399">
        <f t="shared" si="248"/>
        <v>0</v>
      </c>
      <c r="BU579" s="399">
        <f t="shared" si="249"/>
        <v>0</v>
      </c>
      <c r="BV579" s="399">
        <f t="shared" si="250"/>
        <v>0</v>
      </c>
      <c r="BW579" s="399">
        <f t="shared" si="251"/>
        <v>0</v>
      </c>
      <c r="BX579" s="399">
        <f t="shared" si="252"/>
        <v>0</v>
      </c>
      <c r="BY579" s="399">
        <f t="shared" si="253"/>
        <v>0</v>
      </c>
      <c r="BZ579" s="399">
        <f t="shared" si="254"/>
        <v>0</v>
      </c>
      <c r="CA579" s="399">
        <f t="shared" si="255"/>
        <v>0</v>
      </c>
      <c r="CB579" s="399">
        <f t="shared" si="256"/>
        <v>0</v>
      </c>
      <c r="CC579" s="399">
        <f t="shared" si="257"/>
        <v>0</v>
      </c>
      <c r="CD579" s="399">
        <f t="shared" si="258"/>
        <v>0</v>
      </c>
      <c r="CE579" s="399">
        <f t="shared" si="259"/>
        <v>0</v>
      </c>
      <c r="CF579" s="399">
        <f t="shared" si="260"/>
        <v>0</v>
      </c>
      <c r="CG579" s="399">
        <f t="shared" si="261"/>
        <v>0</v>
      </c>
      <c r="CH579" s="399">
        <f t="shared" si="262"/>
        <v>0</v>
      </c>
      <c r="CI579" s="399">
        <f t="shared" si="263"/>
        <v>0</v>
      </c>
      <c r="CJ579" s="399">
        <f t="shared" si="264"/>
        <v>0</v>
      </c>
      <c r="CK579" s="399">
        <f t="shared" si="265"/>
        <v>0</v>
      </c>
      <c r="CL579" s="399">
        <f t="shared" si="266"/>
        <v>0</v>
      </c>
      <c r="CM579" s="399">
        <f t="shared" si="267"/>
        <v>0</v>
      </c>
      <c r="CN579" s="399">
        <f t="shared" si="268"/>
        <v>0</v>
      </c>
      <c r="CO579" s="399">
        <f t="shared" si="269"/>
        <v>0</v>
      </c>
      <c r="CP579" s="399">
        <f t="shared" si="270"/>
        <v>0</v>
      </c>
      <c r="CQ579" s="423">
        <f t="shared" si="271"/>
        <v>0</v>
      </c>
      <c r="CS579" s="394" t="e">
        <f t="shared" si="272"/>
        <v>#DIV/0!</v>
      </c>
    </row>
    <row r="580" spans="3:97">
      <c r="C580" s="107"/>
      <c r="D580" s="395"/>
      <c r="E580" s="84"/>
      <c r="F580" s="84"/>
      <c r="G580" s="389"/>
      <c r="H580" s="390"/>
      <c r="I580" s="390"/>
      <c r="J580" s="390"/>
      <c r="K580" s="390"/>
      <c r="L580" s="390"/>
      <c r="M580" s="390"/>
      <c r="N580" s="390"/>
      <c r="O580" s="390"/>
      <c r="P580" s="390"/>
      <c r="Q580" s="390"/>
      <c r="R580" s="390"/>
      <c r="S580" s="390"/>
      <c r="T580" s="390"/>
      <c r="U580" s="390"/>
      <c r="V580" s="390"/>
      <c r="W580" s="390"/>
      <c r="X580" s="390"/>
      <c r="Y580" s="390"/>
      <c r="Z580" s="390"/>
      <c r="AA580" s="390"/>
      <c r="AB580" s="390"/>
      <c r="AC580" s="390"/>
      <c r="AD580" s="390"/>
      <c r="AE580" s="390"/>
      <c r="AF580" s="390"/>
      <c r="AG580" s="390"/>
      <c r="AH580" s="390"/>
      <c r="AI580" s="391"/>
      <c r="AK580" s="437"/>
      <c r="AL580" s="437"/>
      <c r="AM580" s="437"/>
      <c r="AN580" s="437"/>
      <c r="AO580" s="437"/>
      <c r="AP580" s="437"/>
      <c r="AQ580" s="437"/>
      <c r="AR580" s="437"/>
      <c r="AS580" s="437"/>
      <c r="AT580" s="437"/>
      <c r="AU580" s="437"/>
      <c r="AV580" s="437"/>
      <c r="AW580" s="437"/>
      <c r="AX580" s="437"/>
      <c r="AY580" s="437"/>
      <c r="AZ580" s="437"/>
      <c r="BA580" s="437"/>
      <c r="BB580" s="437"/>
      <c r="BC580" s="437"/>
      <c r="BD580" s="437"/>
      <c r="BE580" s="437"/>
      <c r="BF580" s="437"/>
      <c r="BG580" s="437"/>
      <c r="BH580" s="437"/>
      <c r="BI580" s="437"/>
      <c r="BJ580" s="437"/>
      <c r="BK580" s="437"/>
      <c r="BL580" s="437"/>
      <c r="BM580" s="393"/>
      <c r="BO580" s="399">
        <f t="shared" si="243"/>
        <v>0</v>
      </c>
      <c r="BP580" s="399">
        <f t="shared" si="244"/>
        <v>0</v>
      </c>
      <c r="BQ580" s="399">
        <f t="shared" si="245"/>
        <v>0</v>
      </c>
      <c r="BR580" s="399">
        <f t="shared" si="246"/>
        <v>0</v>
      </c>
      <c r="BS580" s="399">
        <f t="shared" si="247"/>
        <v>0</v>
      </c>
      <c r="BT580" s="399">
        <f t="shared" si="248"/>
        <v>0</v>
      </c>
      <c r="BU580" s="399">
        <f t="shared" si="249"/>
        <v>0</v>
      </c>
      <c r="BV580" s="399">
        <f t="shared" si="250"/>
        <v>0</v>
      </c>
      <c r="BW580" s="399">
        <f t="shared" si="251"/>
        <v>0</v>
      </c>
      <c r="BX580" s="399">
        <f t="shared" si="252"/>
        <v>0</v>
      </c>
      <c r="BY580" s="399">
        <f t="shared" si="253"/>
        <v>0</v>
      </c>
      <c r="BZ580" s="399">
        <f t="shared" si="254"/>
        <v>0</v>
      </c>
      <c r="CA580" s="399">
        <f t="shared" si="255"/>
        <v>0</v>
      </c>
      <c r="CB580" s="399">
        <f t="shared" si="256"/>
        <v>0</v>
      </c>
      <c r="CC580" s="399">
        <f t="shared" si="257"/>
        <v>0</v>
      </c>
      <c r="CD580" s="399">
        <f t="shared" si="258"/>
        <v>0</v>
      </c>
      <c r="CE580" s="399">
        <f t="shared" si="259"/>
        <v>0</v>
      </c>
      <c r="CF580" s="399">
        <f t="shared" si="260"/>
        <v>0</v>
      </c>
      <c r="CG580" s="399">
        <f t="shared" si="261"/>
        <v>0</v>
      </c>
      <c r="CH580" s="399">
        <f t="shared" si="262"/>
        <v>0</v>
      </c>
      <c r="CI580" s="399">
        <f t="shared" si="263"/>
        <v>0</v>
      </c>
      <c r="CJ580" s="399">
        <f t="shared" si="264"/>
        <v>0</v>
      </c>
      <c r="CK580" s="399">
        <f t="shared" si="265"/>
        <v>0</v>
      </c>
      <c r="CL580" s="399">
        <f t="shared" si="266"/>
        <v>0</v>
      </c>
      <c r="CM580" s="399">
        <f t="shared" si="267"/>
        <v>0</v>
      </c>
      <c r="CN580" s="399">
        <f t="shared" si="268"/>
        <v>0</v>
      </c>
      <c r="CO580" s="399">
        <f t="shared" si="269"/>
        <v>0</v>
      </c>
      <c r="CP580" s="399">
        <f t="shared" si="270"/>
        <v>0</v>
      </c>
      <c r="CQ580" s="423">
        <f t="shared" si="271"/>
        <v>0</v>
      </c>
      <c r="CS580" s="394" t="e">
        <f t="shared" si="272"/>
        <v>#DIV/0!</v>
      </c>
    </row>
    <row r="581" spans="3:97">
      <c r="C581" s="107"/>
      <c r="D581" s="395"/>
      <c r="E581" s="84"/>
      <c r="F581" s="84"/>
      <c r="G581" s="389"/>
      <c r="H581" s="390"/>
      <c r="I581" s="390"/>
      <c r="J581" s="390"/>
      <c r="K581" s="390"/>
      <c r="L581" s="390"/>
      <c r="M581" s="390"/>
      <c r="N581" s="390"/>
      <c r="O581" s="390"/>
      <c r="P581" s="390"/>
      <c r="Q581" s="390"/>
      <c r="R581" s="390"/>
      <c r="S581" s="390"/>
      <c r="T581" s="390"/>
      <c r="U581" s="390"/>
      <c r="V581" s="390"/>
      <c r="W581" s="390"/>
      <c r="X581" s="390"/>
      <c r="Y581" s="390"/>
      <c r="Z581" s="390"/>
      <c r="AA581" s="390"/>
      <c r="AB581" s="390"/>
      <c r="AC581" s="390"/>
      <c r="AD581" s="390"/>
      <c r="AE581" s="390"/>
      <c r="AF581" s="390"/>
      <c r="AG581" s="390"/>
      <c r="AH581" s="390"/>
      <c r="AI581" s="391"/>
      <c r="AK581" s="437"/>
      <c r="AL581" s="437"/>
      <c r="AM581" s="437"/>
      <c r="AN581" s="437"/>
      <c r="AO581" s="437"/>
      <c r="AP581" s="437"/>
      <c r="AQ581" s="437"/>
      <c r="AR581" s="437"/>
      <c r="AS581" s="437"/>
      <c r="AT581" s="437"/>
      <c r="AU581" s="437"/>
      <c r="AV581" s="437"/>
      <c r="AW581" s="437"/>
      <c r="AX581" s="437"/>
      <c r="AY581" s="437"/>
      <c r="AZ581" s="437"/>
      <c r="BA581" s="437"/>
      <c r="BB581" s="437"/>
      <c r="BC581" s="437"/>
      <c r="BD581" s="437"/>
      <c r="BE581" s="437"/>
      <c r="BF581" s="437"/>
      <c r="BG581" s="437"/>
      <c r="BH581" s="437"/>
      <c r="BI581" s="437"/>
      <c r="BJ581" s="437"/>
      <c r="BK581" s="437"/>
      <c r="BL581" s="437"/>
      <c r="BM581" s="393"/>
      <c r="BO581" s="399">
        <f t="shared" si="243"/>
        <v>0</v>
      </c>
      <c r="BP581" s="399">
        <f t="shared" si="244"/>
        <v>0</v>
      </c>
      <c r="BQ581" s="399">
        <f t="shared" si="245"/>
        <v>0</v>
      </c>
      <c r="BR581" s="399">
        <f t="shared" si="246"/>
        <v>0</v>
      </c>
      <c r="BS581" s="399">
        <f t="shared" si="247"/>
        <v>0</v>
      </c>
      <c r="BT581" s="399">
        <f t="shared" si="248"/>
        <v>0</v>
      </c>
      <c r="BU581" s="399">
        <f t="shared" si="249"/>
        <v>0</v>
      </c>
      <c r="BV581" s="399">
        <f t="shared" si="250"/>
        <v>0</v>
      </c>
      <c r="BW581" s="399">
        <f t="shared" si="251"/>
        <v>0</v>
      </c>
      <c r="BX581" s="399">
        <f t="shared" si="252"/>
        <v>0</v>
      </c>
      <c r="BY581" s="399">
        <f t="shared" si="253"/>
        <v>0</v>
      </c>
      <c r="BZ581" s="399">
        <f t="shared" si="254"/>
        <v>0</v>
      </c>
      <c r="CA581" s="399">
        <f t="shared" si="255"/>
        <v>0</v>
      </c>
      <c r="CB581" s="399">
        <f t="shared" si="256"/>
        <v>0</v>
      </c>
      <c r="CC581" s="399">
        <f t="shared" si="257"/>
        <v>0</v>
      </c>
      <c r="CD581" s="399">
        <f t="shared" si="258"/>
        <v>0</v>
      </c>
      <c r="CE581" s="399">
        <f t="shared" si="259"/>
        <v>0</v>
      </c>
      <c r="CF581" s="399">
        <f t="shared" si="260"/>
        <v>0</v>
      </c>
      <c r="CG581" s="399">
        <f t="shared" si="261"/>
        <v>0</v>
      </c>
      <c r="CH581" s="399">
        <f t="shared" si="262"/>
        <v>0</v>
      </c>
      <c r="CI581" s="399">
        <f t="shared" si="263"/>
        <v>0</v>
      </c>
      <c r="CJ581" s="399">
        <f t="shared" si="264"/>
        <v>0</v>
      </c>
      <c r="CK581" s="399">
        <f t="shared" si="265"/>
        <v>0</v>
      </c>
      <c r="CL581" s="399">
        <f t="shared" si="266"/>
        <v>0</v>
      </c>
      <c r="CM581" s="399">
        <f t="shared" si="267"/>
        <v>0</v>
      </c>
      <c r="CN581" s="399">
        <f t="shared" si="268"/>
        <v>0</v>
      </c>
      <c r="CO581" s="399">
        <f t="shared" si="269"/>
        <v>0</v>
      </c>
      <c r="CP581" s="399">
        <f t="shared" si="270"/>
        <v>0</v>
      </c>
      <c r="CQ581" s="423">
        <f t="shared" si="271"/>
        <v>0</v>
      </c>
      <c r="CS581" s="394" t="e">
        <f t="shared" si="272"/>
        <v>#DIV/0!</v>
      </c>
    </row>
    <row r="582" spans="3:97">
      <c r="C582" s="107"/>
      <c r="D582" s="395"/>
      <c r="E582" s="84"/>
      <c r="F582" s="84"/>
      <c r="G582" s="389"/>
      <c r="H582" s="390"/>
      <c r="I582" s="390"/>
      <c r="J582" s="390"/>
      <c r="K582" s="390"/>
      <c r="L582" s="390"/>
      <c r="M582" s="390"/>
      <c r="N582" s="390"/>
      <c r="O582" s="390"/>
      <c r="P582" s="390"/>
      <c r="Q582" s="390"/>
      <c r="R582" s="390"/>
      <c r="S582" s="390"/>
      <c r="T582" s="390"/>
      <c r="U582" s="390"/>
      <c r="V582" s="390"/>
      <c r="W582" s="390"/>
      <c r="X582" s="390"/>
      <c r="Y582" s="390"/>
      <c r="Z582" s="390"/>
      <c r="AA582" s="390"/>
      <c r="AB582" s="390"/>
      <c r="AC582" s="390"/>
      <c r="AD582" s="390"/>
      <c r="AE582" s="390"/>
      <c r="AF582" s="390"/>
      <c r="AG582" s="390"/>
      <c r="AH582" s="390"/>
      <c r="AI582" s="391"/>
      <c r="AK582" s="437"/>
      <c r="AL582" s="437"/>
      <c r="AM582" s="437"/>
      <c r="AN582" s="437"/>
      <c r="AO582" s="437"/>
      <c r="AP582" s="437"/>
      <c r="AQ582" s="437"/>
      <c r="AR582" s="437"/>
      <c r="AS582" s="437"/>
      <c r="AT582" s="437"/>
      <c r="AU582" s="437"/>
      <c r="AV582" s="437"/>
      <c r="AW582" s="437"/>
      <c r="AX582" s="437"/>
      <c r="AY582" s="437"/>
      <c r="AZ582" s="437"/>
      <c r="BA582" s="437"/>
      <c r="BB582" s="437"/>
      <c r="BC582" s="437"/>
      <c r="BD582" s="437"/>
      <c r="BE582" s="437"/>
      <c r="BF582" s="437"/>
      <c r="BG582" s="437"/>
      <c r="BH582" s="437"/>
      <c r="BI582" s="437"/>
      <c r="BJ582" s="437"/>
      <c r="BK582" s="437"/>
      <c r="BL582" s="437"/>
      <c r="BM582" s="393"/>
      <c r="BO582" s="399">
        <f t="shared" si="243"/>
        <v>0</v>
      </c>
      <c r="BP582" s="399">
        <f t="shared" si="244"/>
        <v>0</v>
      </c>
      <c r="BQ582" s="399">
        <f t="shared" si="245"/>
        <v>0</v>
      </c>
      <c r="BR582" s="399">
        <f t="shared" si="246"/>
        <v>0</v>
      </c>
      <c r="BS582" s="399">
        <f t="shared" si="247"/>
        <v>0</v>
      </c>
      <c r="BT582" s="399">
        <f t="shared" si="248"/>
        <v>0</v>
      </c>
      <c r="BU582" s="399">
        <f t="shared" si="249"/>
        <v>0</v>
      </c>
      <c r="BV582" s="399">
        <f t="shared" si="250"/>
        <v>0</v>
      </c>
      <c r="BW582" s="399">
        <f t="shared" si="251"/>
        <v>0</v>
      </c>
      <c r="BX582" s="399">
        <f t="shared" si="252"/>
        <v>0</v>
      </c>
      <c r="BY582" s="399">
        <f t="shared" si="253"/>
        <v>0</v>
      </c>
      <c r="BZ582" s="399">
        <f t="shared" si="254"/>
        <v>0</v>
      </c>
      <c r="CA582" s="399">
        <f t="shared" si="255"/>
        <v>0</v>
      </c>
      <c r="CB582" s="399">
        <f t="shared" si="256"/>
        <v>0</v>
      </c>
      <c r="CC582" s="399">
        <f t="shared" si="257"/>
        <v>0</v>
      </c>
      <c r="CD582" s="399">
        <f t="shared" si="258"/>
        <v>0</v>
      </c>
      <c r="CE582" s="399">
        <f t="shared" si="259"/>
        <v>0</v>
      </c>
      <c r="CF582" s="399">
        <f t="shared" si="260"/>
        <v>0</v>
      </c>
      <c r="CG582" s="399">
        <f t="shared" si="261"/>
        <v>0</v>
      </c>
      <c r="CH582" s="399">
        <f t="shared" si="262"/>
        <v>0</v>
      </c>
      <c r="CI582" s="399">
        <f t="shared" si="263"/>
        <v>0</v>
      </c>
      <c r="CJ582" s="399">
        <f t="shared" si="264"/>
        <v>0</v>
      </c>
      <c r="CK582" s="399">
        <f t="shared" si="265"/>
        <v>0</v>
      </c>
      <c r="CL582" s="399">
        <f t="shared" si="266"/>
        <v>0</v>
      </c>
      <c r="CM582" s="399">
        <f t="shared" si="267"/>
        <v>0</v>
      </c>
      <c r="CN582" s="399">
        <f t="shared" si="268"/>
        <v>0</v>
      </c>
      <c r="CO582" s="399">
        <f t="shared" si="269"/>
        <v>0</v>
      </c>
      <c r="CP582" s="399">
        <f t="shared" si="270"/>
        <v>0</v>
      </c>
      <c r="CQ582" s="423">
        <f t="shared" si="271"/>
        <v>0</v>
      </c>
      <c r="CS582" s="394" t="e">
        <f t="shared" si="272"/>
        <v>#DIV/0!</v>
      </c>
    </row>
    <row r="583" spans="3:97">
      <c r="C583" s="107"/>
      <c r="D583" s="395"/>
      <c r="E583" s="84"/>
      <c r="F583" s="84"/>
      <c r="G583" s="389"/>
      <c r="H583" s="390"/>
      <c r="I583" s="390"/>
      <c r="J583" s="390"/>
      <c r="K583" s="390"/>
      <c r="L583" s="390"/>
      <c r="M583" s="390"/>
      <c r="N583" s="390"/>
      <c r="O583" s="390"/>
      <c r="P583" s="390"/>
      <c r="Q583" s="390"/>
      <c r="R583" s="390"/>
      <c r="S583" s="390"/>
      <c r="T583" s="390"/>
      <c r="U583" s="390"/>
      <c r="V583" s="390"/>
      <c r="W583" s="390"/>
      <c r="X583" s="390"/>
      <c r="Y583" s="390"/>
      <c r="Z583" s="390"/>
      <c r="AA583" s="390"/>
      <c r="AB583" s="390"/>
      <c r="AC583" s="390"/>
      <c r="AD583" s="390"/>
      <c r="AE583" s="390"/>
      <c r="AF583" s="390"/>
      <c r="AG583" s="390"/>
      <c r="AH583" s="390"/>
      <c r="AI583" s="391"/>
      <c r="AK583" s="437"/>
      <c r="AL583" s="437"/>
      <c r="AM583" s="437"/>
      <c r="AN583" s="437"/>
      <c r="AO583" s="437"/>
      <c r="AP583" s="437"/>
      <c r="AQ583" s="437"/>
      <c r="AR583" s="437"/>
      <c r="AS583" s="437"/>
      <c r="AT583" s="437"/>
      <c r="AU583" s="437"/>
      <c r="AV583" s="437"/>
      <c r="AW583" s="437"/>
      <c r="AX583" s="437"/>
      <c r="AY583" s="437"/>
      <c r="AZ583" s="437"/>
      <c r="BA583" s="437"/>
      <c r="BB583" s="437"/>
      <c r="BC583" s="437"/>
      <c r="BD583" s="437"/>
      <c r="BE583" s="437"/>
      <c r="BF583" s="437"/>
      <c r="BG583" s="437"/>
      <c r="BH583" s="437"/>
      <c r="BI583" s="437"/>
      <c r="BJ583" s="437"/>
      <c r="BK583" s="437"/>
      <c r="BL583" s="437"/>
      <c r="BM583" s="393"/>
      <c r="BO583" s="399">
        <f t="shared" si="243"/>
        <v>0</v>
      </c>
      <c r="BP583" s="399">
        <f t="shared" si="244"/>
        <v>0</v>
      </c>
      <c r="BQ583" s="399">
        <f t="shared" si="245"/>
        <v>0</v>
      </c>
      <c r="BR583" s="399">
        <f t="shared" si="246"/>
        <v>0</v>
      </c>
      <c r="BS583" s="399">
        <f t="shared" si="247"/>
        <v>0</v>
      </c>
      <c r="BT583" s="399">
        <f t="shared" si="248"/>
        <v>0</v>
      </c>
      <c r="BU583" s="399">
        <f t="shared" si="249"/>
        <v>0</v>
      </c>
      <c r="BV583" s="399">
        <f t="shared" si="250"/>
        <v>0</v>
      </c>
      <c r="BW583" s="399">
        <f t="shared" si="251"/>
        <v>0</v>
      </c>
      <c r="BX583" s="399">
        <f t="shared" si="252"/>
        <v>0</v>
      </c>
      <c r="BY583" s="399">
        <f t="shared" si="253"/>
        <v>0</v>
      </c>
      <c r="BZ583" s="399">
        <f t="shared" si="254"/>
        <v>0</v>
      </c>
      <c r="CA583" s="399">
        <f t="shared" si="255"/>
        <v>0</v>
      </c>
      <c r="CB583" s="399">
        <f t="shared" si="256"/>
        <v>0</v>
      </c>
      <c r="CC583" s="399">
        <f t="shared" si="257"/>
        <v>0</v>
      </c>
      <c r="CD583" s="399">
        <f t="shared" si="258"/>
        <v>0</v>
      </c>
      <c r="CE583" s="399">
        <f t="shared" si="259"/>
        <v>0</v>
      </c>
      <c r="CF583" s="399">
        <f t="shared" si="260"/>
        <v>0</v>
      </c>
      <c r="CG583" s="399">
        <f t="shared" si="261"/>
        <v>0</v>
      </c>
      <c r="CH583" s="399">
        <f t="shared" si="262"/>
        <v>0</v>
      </c>
      <c r="CI583" s="399">
        <f t="shared" si="263"/>
        <v>0</v>
      </c>
      <c r="CJ583" s="399">
        <f t="shared" si="264"/>
        <v>0</v>
      </c>
      <c r="CK583" s="399">
        <f t="shared" si="265"/>
        <v>0</v>
      </c>
      <c r="CL583" s="399">
        <f t="shared" si="266"/>
        <v>0</v>
      </c>
      <c r="CM583" s="399">
        <f t="shared" si="267"/>
        <v>0</v>
      </c>
      <c r="CN583" s="399">
        <f t="shared" si="268"/>
        <v>0</v>
      </c>
      <c r="CO583" s="399">
        <f t="shared" si="269"/>
        <v>0</v>
      </c>
      <c r="CP583" s="399">
        <f t="shared" si="270"/>
        <v>0</v>
      </c>
      <c r="CQ583" s="423">
        <f t="shared" si="271"/>
        <v>0</v>
      </c>
      <c r="CS583" s="394" t="e">
        <f t="shared" si="272"/>
        <v>#DIV/0!</v>
      </c>
    </row>
    <row r="584" spans="3:97">
      <c r="C584" s="107"/>
      <c r="D584" s="395"/>
      <c r="E584" s="84"/>
      <c r="F584" s="84"/>
      <c r="G584" s="389"/>
      <c r="H584" s="390"/>
      <c r="I584" s="390"/>
      <c r="J584" s="390"/>
      <c r="K584" s="390"/>
      <c r="L584" s="390"/>
      <c r="M584" s="390"/>
      <c r="N584" s="390"/>
      <c r="O584" s="390"/>
      <c r="P584" s="390"/>
      <c r="Q584" s="390"/>
      <c r="R584" s="390"/>
      <c r="S584" s="390"/>
      <c r="T584" s="390"/>
      <c r="U584" s="390"/>
      <c r="V584" s="390"/>
      <c r="W584" s="390"/>
      <c r="X584" s="390"/>
      <c r="Y584" s="390"/>
      <c r="Z584" s="390"/>
      <c r="AA584" s="390"/>
      <c r="AB584" s="390"/>
      <c r="AC584" s="390"/>
      <c r="AD584" s="390"/>
      <c r="AE584" s="390"/>
      <c r="AF584" s="390"/>
      <c r="AG584" s="390"/>
      <c r="AH584" s="390"/>
      <c r="AI584" s="391"/>
      <c r="AK584" s="437"/>
      <c r="AL584" s="437"/>
      <c r="AM584" s="437"/>
      <c r="AN584" s="437"/>
      <c r="AO584" s="437"/>
      <c r="AP584" s="437"/>
      <c r="AQ584" s="437"/>
      <c r="AR584" s="437"/>
      <c r="AS584" s="437"/>
      <c r="AT584" s="437"/>
      <c r="AU584" s="437"/>
      <c r="AV584" s="437"/>
      <c r="AW584" s="437"/>
      <c r="AX584" s="437"/>
      <c r="AY584" s="437"/>
      <c r="AZ584" s="437"/>
      <c r="BA584" s="437"/>
      <c r="BB584" s="437"/>
      <c r="BC584" s="437"/>
      <c r="BD584" s="437"/>
      <c r="BE584" s="437"/>
      <c r="BF584" s="437"/>
      <c r="BG584" s="437"/>
      <c r="BH584" s="437"/>
      <c r="BI584" s="437"/>
      <c r="BJ584" s="437"/>
      <c r="BK584" s="437"/>
      <c r="BL584" s="437"/>
      <c r="BM584" s="393"/>
      <c r="BO584" s="399">
        <f t="shared" si="243"/>
        <v>0</v>
      </c>
      <c r="BP584" s="399">
        <f t="shared" si="244"/>
        <v>0</v>
      </c>
      <c r="BQ584" s="399">
        <f t="shared" si="245"/>
        <v>0</v>
      </c>
      <c r="BR584" s="399">
        <f t="shared" si="246"/>
        <v>0</v>
      </c>
      <c r="BS584" s="399">
        <f t="shared" si="247"/>
        <v>0</v>
      </c>
      <c r="BT584" s="399">
        <f t="shared" si="248"/>
        <v>0</v>
      </c>
      <c r="BU584" s="399">
        <f t="shared" si="249"/>
        <v>0</v>
      </c>
      <c r="BV584" s="399">
        <f t="shared" si="250"/>
        <v>0</v>
      </c>
      <c r="BW584" s="399">
        <f t="shared" si="251"/>
        <v>0</v>
      </c>
      <c r="BX584" s="399">
        <f t="shared" si="252"/>
        <v>0</v>
      </c>
      <c r="BY584" s="399">
        <f t="shared" si="253"/>
        <v>0</v>
      </c>
      <c r="BZ584" s="399">
        <f t="shared" si="254"/>
        <v>0</v>
      </c>
      <c r="CA584" s="399">
        <f t="shared" si="255"/>
        <v>0</v>
      </c>
      <c r="CB584" s="399">
        <f t="shared" si="256"/>
        <v>0</v>
      </c>
      <c r="CC584" s="399">
        <f t="shared" si="257"/>
        <v>0</v>
      </c>
      <c r="CD584" s="399">
        <f t="shared" si="258"/>
        <v>0</v>
      </c>
      <c r="CE584" s="399">
        <f t="shared" si="259"/>
        <v>0</v>
      </c>
      <c r="CF584" s="399">
        <f t="shared" si="260"/>
        <v>0</v>
      </c>
      <c r="CG584" s="399">
        <f t="shared" si="261"/>
        <v>0</v>
      </c>
      <c r="CH584" s="399">
        <f t="shared" si="262"/>
        <v>0</v>
      </c>
      <c r="CI584" s="399">
        <f t="shared" si="263"/>
        <v>0</v>
      </c>
      <c r="CJ584" s="399">
        <f t="shared" si="264"/>
        <v>0</v>
      </c>
      <c r="CK584" s="399">
        <f t="shared" si="265"/>
        <v>0</v>
      </c>
      <c r="CL584" s="399">
        <f t="shared" si="266"/>
        <v>0</v>
      </c>
      <c r="CM584" s="399">
        <f t="shared" si="267"/>
        <v>0</v>
      </c>
      <c r="CN584" s="399">
        <f t="shared" si="268"/>
        <v>0</v>
      </c>
      <c r="CO584" s="399">
        <f t="shared" si="269"/>
        <v>0</v>
      </c>
      <c r="CP584" s="399">
        <f t="shared" si="270"/>
        <v>0</v>
      </c>
      <c r="CQ584" s="423">
        <f t="shared" si="271"/>
        <v>0</v>
      </c>
      <c r="CS584" s="394" t="e">
        <f t="shared" si="272"/>
        <v>#DIV/0!</v>
      </c>
    </row>
    <row r="585" spans="3:97">
      <c r="C585" s="107"/>
      <c r="D585" s="395"/>
      <c r="E585" s="84"/>
      <c r="F585" s="84"/>
      <c r="G585" s="389"/>
      <c r="H585" s="390"/>
      <c r="I585" s="390"/>
      <c r="J585" s="390"/>
      <c r="K585" s="390"/>
      <c r="L585" s="390"/>
      <c r="M585" s="390"/>
      <c r="N585" s="390"/>
      <c r="O585" s="390"/>
      <c r="P585" s="390"/>
      <c r="Q585" s="390"/>
      <c r="R585" s="390"/>
      <c r="S585" s="390"/>
      <c r="T585" s="390"/>
      <c r="U585" s="390"/>
      <c r="V585" s="390"/>
      <c r="W585" s="390"/>
      <c r="X585" s="390"/>
      <c r="Y585" s="390"/>
      <c r="Z585" s="390"/>
      <c r="AA585" s="390"/>
      <c r="AB585" s="390"/>
      <c r="AC585" s="390"/>
      <c r="AD585" s="390"/>
      <c r="AE585" s="390"/>
      <c r="AF585" s="390"/>
      <c r="AG585" s="390"/>
      <c r="AH585" s="390"/>
      <c r="AI585" s="391"/>
      <c r="AK585" s="437"/>
      <c r="AL585" s="437"/>
      <c r="AM585" s="437"/>
      <c r="AN585" s="437"/>
      <c r="AO585" s="437"/>
      <c r="AP585" s="437"/>
      <c r="AQ585" s="437"/>
      <c r="AR585" s="437"/>
      <c r="AS585" s="437"/>
      <c r="AT585" s="437"/>
      <c r="AU585" s="437"/>
      <c r="AV585" s="437"/>
      <c r="AW585" s="437"/>
      <c r="AX585" s="437"/>
      <c r="AY585" s="437"/>
      <c r="AZ585" s="437"/>
      <c r="BA585" s="437"/>
      <c r="BB585" s="437"/>
      <c r="BC585" s="437"/>
      <c r="BD585" s="437"/>
      <c r="BE585" s="437"/>
      <c r="BF585" s="437"/>
      <c r="BG585" s="437"/>
      <c r="BH585" s="437"/>
      <c r="BI585" s="437"/>
      <c r="BJ585" s="437"/>
      <c r="BK585" s="437"/>
      <c r="BL585" s="437"/>
      <c r="BM585" s="393"/>
      <c r="BO585" s="399">
        <f t="shared" si="243"/>
        <v>0</v>
      </c>
      <c r="BP585" s="399">
        <f t="shared" si="244"/>
        <v>0</v>
      </c>
      <c r="BQ585" s="399">
        <f t="shared" si="245"/>
        <v>0</v>
      </c>
      <c r="BR585" s="399">
        <f t="shared" si="246"/>
        <v>0</v>
      </c>
      <c r="BS585" s="399">
        <f t="shared" si="247"/>
        <v>0</v>
      </c>
      <c r="BT585" s="399">
        <f t="shared" si="248"/>
        <v>0</v>
      </c>
      <c r="BU585" s="399">
        <f t="shared" si="249"/>
        <v>0</v>
      </c>
      <c r="BV585" s="399">
        <f t="shared" si="250"/>
        <v>0</v>
      </c>
      <c r="BW585" s="399">
        <f t="shared" si="251"/>
        <v>0</v>
      </c>
      <c r="BX585" s="399">
        <f t="shared" si="252"/>
        <v>0</v>
      </c>
      <c r="BY585" s="399">
        <f t="shared" si="253"/>
        <v>0</v>
      </c>
      <c r="BZ585" s="399">
        <f t="shared" si="254"/>
        <v>0</v>
      </c>
      <c r="CA585" s="399">
        <f t="shared" si="255"/>
        <v>0</v>
      </c>
      <c r="CB585" s="399">
        <f t="shared" si="256"/>
        <v>0</v>
      </c>
      <c r="CC585" s="399">
        <f t="shared" si="257"/>
        <v>0</v>
      </c>
      <c r="CD585" s="399">
        <f t="shared" si="258"/>
        <v>0</v>
      </c>
      <c r="CE585" s="399">
        <f t="shared" si="259"/>
        <v>0</v>
      </c>
      <c r="CF585" s="399">
        <f t="shared" si="260"/>
        <v>0</v>
      </c>
      <c r="CG585" s="399">
        <f t="shared" si="261"/>
        <v>0</v>
      </c>
      <c r="CH585" s="399">
        <f t="shared" si="262"/>
        <v>0</v>
      </c>
      <c r="CI585" s="399">
        <f t="shared" si="263"/>
        <v>0</v>
      </c>
      <c r="CJ585" s="399">
        <f t="shared" si="264"/>
        <v>0</v>
      </c>
      <c r="CK585" s="399">
        <f t="shared" si="265"/>
        <v>0</v>
      </c>
      <c r="CL585" s="399">
        <f t="shared" si="266"/>
        <v>0</v>
      </c>
      <c r="CM585" s="399">
        <f t="shared" si="267"/>
        <v>0</v>
      </c>
      <c r="CN585" s="399">
        <f t="shared" si="268"/>
        <v>0</v>
      </c>
      <c r="CO585" s="399">
        <f t="shared" si="269"/>
        <v>0</v>
      </c>
      <c r="CP585" s="399">
        <f t="shared" si="270"/>
        <v>0</v>
      </c>
      <c r="CQ585" s="423">
        <f t="shared" si="271"/>
        <v>0</v>
      </c>
      <c r="CS585" s="394" t="e">
        <f t="shared" si="272"/>
        <v>#DIV/0!</v>
      </c>
    </row>
    <row r="586" spans="3:97">
      <c r="C586" s="107"/>
      <c r="D586" s="395"/>
      <c r="E586" s="84"/>
      <c r="F586" s="84"/>
      <c r="G586" s="389"/>
      <c r="H586" s="390"/>
      <c r="I586" s="390"/>
      <c r="J586" s="390"/>
      <c r="K586" s="390"/>
      <c r="L586" s="390"/>
      <c r="M586" s="390"/>
      <c r="N586" s="390"/>
      <c r="O586" s="390"/>
      <c r="P586" s="390"/>
      <c r="Q586" s="390"/>
      <c r="R586" s="390"/>
      <c r="S586" s="390"/>
      <c r="T586" s="390"/>
      <c r="U586" s="390"/>
      <c r="V586" s="390"/>
      <c r="W586" s="390"/>
      <c r="X586" s="390"/>
      <c r="Y586" s="390"/>
      <c r="Z586" s="390"/>
      <c r="AA586" s="390"/>
      <c r="AB586" s="390"/>
      <c r="AC586" s="390"/>
      <c r="AD586" s="390"/>
      <c r="AE586" s="390"/>
      <c r="AF586" s="390"/>
      <c r="AG586" s="390"/>
      <c r="AH586" s="390"/>
      <c r="AI586" s="391"/>
      <c r="AK586" s="437"/>
      <c r="AL586" s="437"/>
      <c r="AM586" s="437"/>
      <c r="AN586" s="437"/>
      <c r="AO586" s="437"/>
      <c r="AP586" s="437"/>
      <c r="AQ586" s="437"/>
      <c r="AR586" s="437"/>
      <c r="AS586" s="437"/>
      <c r="AT586" s="437"/>
      <c r="AU586" s="437"/>
      <c r="AV586" s="437"/>
      <c r="AW586" s="437"/>
      <c r="AX586" s="437"/>
      <c r="AY586" s="437"/>
      <c r="AZ586" s="437"/>
      <c r="BA586" s="437"/>
      <c r="BB586" s="437"/>
      <c r="BC586" s="437"/>
      <c r="BD586" s="437"/>
      <c r="BE586" s="437"/>
      <c r="BF586" s="437"/>
      <c r="BG586" s="437"/>
      <c r="BH586" s="437"/>
      <c r="BI586" s="437"/>
      <c r="BJ586" s="437"/>
      <c r="BK586" s="437"/>
      <c r="BL586" s="437"/>
      <c r="BM586" s="393"/>
      <c r="BO586" s="399">
        <f t="shared" si="243"/>
        <v>0</v>
      </c>
      <c r="BP586" s="399">
        <f t="shared" si="244"/>
        <v>0</v>
      </c>
      <c r="BQ586" s="399">
        <f t="shared" si="245"/>
        <v>0</v>
      </c>
      <c r="BR586" s="399">
        <f t="shared" si="246"/>
        <v>0</v>
      </c>
      <c r="BS586" s="399">
        <f t="shared" si="247"/>
        <v>0</v>
      </c>
      <c r="BT586" s="399">
        <f t="shared" si="248"/>
        <v>0</v>
      </c>
      <c r="BU586" s="399">
        <f t="shared" si="249"/>
        <v>0</v>
      </c>
      <c r="BV586" s="399">
        <f t="shared" si="250"/>
        <v>0</v>
      </c>
      <c r="BW586" s="399">
        <f t="shared" si="251"/>
        <v>0</v>
      </c>
      <c r="BX586" s="399">
        <f t="shared" si="252"/>
        <v>0</v>
      </c>
      <c r="BY586" s="399">
        <f t="shared" si="253"/>
        <v>0</v>
      </c>
      <c r="BZ586" s="399">
        <f t="shared" si="254"/>
        <v>0</v>
      </c>
      <c r="CA586" s="399">
        <f t="shared" si="255"/>
        <v>0</v>
      </c>
      <c r="CB586" s="399">
        <f t="shared" si="256"/>
        <v>0</v>
      </c>
      <c r="CC586" s="399">
        <f t="shared" si="257"/>
        <v>0</v>
      </c>
      <c r="CD586" s="399">
        <f t="shared" si="258"/>
        <v>0</v>
      </c>
      <c r="CE586" s="399">
        <f t="shared" si="259"/>
        <v>0</v>
      </c>
      <c r="CF586" s="399">
        <f t="shared" si="260"/>
        <v>0</v>
      </c>
      <c r="CG586" s="399">
        <f t="shared" si="261"/>
        <v>0</v>
      </c>
      <c r="CH586" s="399">
        <f t="shared" si="262"/>
        <v>0</v>
      </c>
      <c r="CI586" s="399">
        <f t="shared" si="263"/>
        <v>0</v>
      </c>
      <c r="CJ586" s="399">
        <f t="shared" si="264"/>
        <v>0</v>
      </c>
      <c r="CK586" s="399">
        <f t="shared" si="265"/>
        <v>0</v>
      </c>
      <c r="CL586" s="399">
        <f t="shared" si="266"/>
        <v>0</v>
      </c>
      <c r="CM586" s="399">
        <f t="shared" si="267"/>
        <v>0</v>
      </c>
      <c r="CN586" s="399">
        <f t="shared" si="268"/>
        <v>0</v>
      </c>
      <c r="CO586" s="399">
        <f t="shared" si="269"/>
        <v>0</v>
      </c>
      <c r="CP586" s="399">
        <f t="shared" si="270"/>
        <v>0</v>
      </c>
      <c r="CQ586" s="423">
        <f t="shared" si="271"/>
        <v>0</v>
      </c>
      <c r="CS586" s="394" t="e">
        <f t="shared" si="272"/>
        <v>#DIV/0!</v>
      </c>
    </row>
    <row r="587" spans="3:97">
      <c r="C587" s="107"/>
      <c r="D587" s="395"/>
      <c r="E587" s="84"/>
      <c r="F587" s="84"/>
      <c r="G587" s="389"/>
      <c r="H587" s="390"/>
      <c r="I587" s="390"/>
      <c r="J587" s="390"/>
      <c r="K587" s="390"/>
      <c r="L587" s="390"/>
      <c r="M587" s="390"/>
      <c r="N587" s="390"/>
      <c r="O587" s="390"/>
      <c r="P587" s="390"/>
      <c r="Q587" s="390"/>
      <c r="R587" s="390"/>
      <c r="S587" s="390"/>
      <c r="T587" s="390"/>
      <c r="U587" s="390"/>
      <c r="V587" s="390"/>
      <c r="W587" s="390"/>
      <c r="X587" s="390"/>
      <c r="Y587" s="390"/>
      <c r="Z587" s="390"/>
      <c r="AA587" s="390"/>
      <c r="AB587" s="390"/>
      <c r="AC587" s="390"/>
      <c r="AD587" s="390"/>
      <c r="AE587" s="390"/>
      <c r="AF587" s="390"/>
      <c r="AG587" s="390"/>
      <c r="AH587" s="390"/>
      <c r="AI587" s="391"/>
      <c r="AK587" s="437"/>
      <c r="AL587" s="437"/>
      <c r="AM587" s="437"/>
      <c r="AN587" s="437"/>
      <c r="AO587" s="437"/>
      <c r="AP587" s="437"/>
      <c r="AQ587" s="437"/>
      <c r="AR587" s="437"/>
      <c r="AS587" s="437"/>
      <c r="AT587" s="437"/>
      <c r="AU587" s="437"/>
      <c r="AV587" s="437"/>
      <c r="AW587" s="437"/>
      <c r="AX587" s="437"/>
      <c r="AY587" s="437"/>
      <c r="AZ587" s="437"/>
      <c r="BA587" s="437"/>
      <c r="BB587" s="437"/>
      <c r="BC587" s="437"/>
      <c r="BD587" s="437"/>
      <c r="BE587" s="437"/>
      <c r="BF587" s="437"/>
      <c r="BG587" s="437"/>
      <c r="BH587" s="437"/>
      <c r="BI587" s="437"/>
      <c r="BJ587" s="437"/>
      <c r="BK587" s="437"/>
      <c r="BL587" s="437"/>
      <c r="BM587" s="393"/>
      <c r="BO587" s="399">
        <f t="shared" si="243"/>
        <v>0</v>
      </c>
      <c r="BP587" s="399">
        <f t="shared" si="244"/>
        <v>0</v>
      </c>
      <c r="BQ587" s="399">
        <f t="shared" si="245"/>
        <v>0</v>
      </c>
      <c r="BR587" s="399">
        <f t="shared" si="246"/>
        <v>0</v>
      </c>
      <c r="BS587" s="399">
        <f t="shared" si="247"/>
        <v>0</v>
      </c>
      <c r="BT587" s="399">
        <f t="shared" si="248"/>
        <v>0</v>
      </c>
      <c r="BU587" s="399">
        <f t="shared" si="249"/>
        <v>0</v>
      </c>
      <c r="BV587" s="399">
        <f t="shared" si="250"/>
        <v>0</v>
      </c>
      <c r="BW587" s="399">
        <f t="shared" si="251"/>
        <v>0</v>
      </c>
      <c r="BX587" s="399">
        <f t="shared" si="252"/>
        <v>0</v>
      </c>
      <c r="BY587" s="399">
        <f t="shared" si="253"/>
        <v>0</v>
      </c>
      <c r="BZ587" s="399">
        <f t="shared" si="254"/>
        <v>0</v>
      </c>
      <c r="CA587" s="399">
        <f t="shared" si="255"/>
        <v>0</v>
      </c>
      <c r="CB587" s="399">
        <f t="shared" si="256"/>
        <v>0</v>
      </c>
      <c r="CC587" s="399">
        <f t="shared" si="257"/>
        <v>0</v>
      </c>
      <c r="CD587" s="399">
        <f t="shared" si="258"/>
        <v>0</v>
      </c>
      <c r="CE587" s="399">
        <f t="shared" si="259"/>
        <v>0</v>
      </c>
      <c r="CF587" s="399">
        <f t="shared" si="260"/>
        <v>0</v>
      </c>
      <c r="CG587" s="399">
        <f t="shared" si="261"/>
        <v>0</v>
      </c>
      <c r="CH587" s="399">
        <f t="shared" si="262"/>
        <v>0</v>
      </c>
      <c r="CI587" s="399">
        <f t="shared" si="263"/>
        <v>0</v>
      </c>
      <c r="CJ587" s="399">
        <f t="shared" si="264"/>
        <v>0</v>
      </c>
      <c r="CK587" s="399">
        <f t="shared" si="265"/>
        <v>0</v>
      </c>
      <c r="CL587" s="399">
        <f t="shared" si="266"/>
        <v>0</v>
      </c>
      <c r="CM587" s="399">
        <f t="shared" si="267"/>
        <v>0</v>
      </c>
      <c r="CN587" s="399">
        <f t="shared" si="268"/>
        <v>0</v>
      </c>
      <c r="CO587" s="399">
        <f t="shared" si="269"/>
        <v>0</v>
      </c>
      <c r="CP587" s="399">
        <f t="shared" si="270"/>
        <v>0</v>
      </c>
      <c r="CQ587" s="423">
        <f t="shared" si="271"/>
        <v>0</v>
      </c>
      <c r="CS587" s="394" t="e">
        <f t="shared" si="272"/>
        <v>#DIV/0!</v>
      </c>
    </row>
    <row r="588" spans="3:97">
      <c r="C588" s="107"/>
      <c r="D588" s="395"/>
      <c r="E588" s="84"/>
      <c r="F588" s="84"/>
      <c r="G588" s="389"/>
      <c r="H588" s="390"/>
      <c r="I588" s="390"/>
      <c r="J588" s="390"/>
      <c r="K588" s="390"/>
      <c r="L588" s="390"/>
      <c r="M588" s="390"/>
      <c r="N588" s="390"/>
      <c r="O588" s="390"/>
      <c r="P588" s="390"/>
      <c r="Q588" s="390"/>
      <c r="R588" s="390"/>
      <c r="S588" s="390"/>
      <c r="T588" s="390"/>
      <c r="U588" s="390"/>
      <c r="V588" s="390"/>
      <c r="W588" s="390"/>
      <c r="X588" s="390"/>
      <c r="Y588" s="390"/>
      <c r="Z588" s="390"/>
      <c r="AA588" s="390"/>
      <c r="AB588" s="390"/>
      <c r="AC588" s="390"/>
      <c r="AD588" s="390"/>
      <c r="AE588" s="390"/>
      <c r="AF588" s="390"/>
      <c r="AG588" s="390"/>
      <c r="AH588" s="390"/>
      <c r="AI588" s="391"/>
      <c r="AK588" s="437"/>
      <c r="AL588" s="437"/>
      <c r="AM588" s="437"/>
      <c r="AN588" s="437"/>
      <c r="AO588" s="437"/>
      <c r="AP588" s="437"/>
      <c r="AQ588" s="437"/>
      <c r="AR588" s="437"/>
      <c r="AS588" s="437"/>
      <c r="AT588" s="437"/>
      <c r="AU588" s="437"/>
      <c r="AV588" s="437"/>
      <c r="AW588" s="437"/>
      <c r="AX588" s="437"/>
      <c r="AY588" s="437"/>
      <c r="AZ588" s="437"/>
      <c r="BA588" s="437"/>
      <c r="BB588" s="437"/>
      <c r="BC588" s="437"/>
      <c r="BD588" s="437"/>
      <c r="BE588" s="437"/>
      <c r="BF588" s="437"/>
      <c r="BG588" s="437"/>
      <c r="BH588" s="437"/>
      <c r="BI588" s="437"/>
      <c r="BJ588" s="437"/>
      <c r="BK588" s="437"/>
      <c r="BL588" s="437"/>
      <c r="BM588" s="393"/>
      <c r="BO588" s="399">
        <f t="shared" si="243"/>
        <v>0</v>
      </c>
      <c r="BP588" s="399">
        <f t="shared" si="244"/>
        <v>0</v>
      </c>
      <c r="BQ588" s="399">
        <f t="shared" si="245"/>
        <v>0</v>
      </c>
      <c r="BR588" s="399">
        <f t="shared" si="246"/>
        <v>0</v>
      </c>
      <c r="BS588" s="399">
        <f t="shared" si="247"/>
        <v>0</v>
      </c>
      <c r="BT588" s="399">
        <f t="shared" si="248"/>
        <v>0</v>
      </c>
      <c r="BU588" s="399">
        <f t="shared" si="249"/>
        <v>0</v>
      </c>
      <c r="BV588" s="399">
        <f t="shared" si="250"/>
        <v>0</v>
      </c>
      <c r="BW588" s="399">
        <f t="shared" si="251"/>
        <v>0</v>
      </c>
      <c r="BX588" s="399">
        <f t="shared" si="252"/>
        <v>0</v>
      </c>
      <c r="BY588" s="399">
        <f t="shared" si="253"/>
        <v>0</v>
      </c>
      <c r="BZ588" s="399">
        <f t="shared" si="254"/>
        <v>0</v>
      </c>
      <c r="CA588" s="399">
        <f t="shared" si="255"/>
        <v>0</v>
      </c>
      <c r="CB588" s="399">
        <f t="shared" si="256"/>
        <v>0</v>
      </c>
      <c r="CC588" s="399">
        <f t="shared" si="257"/>
        <v>0</v>
      </c>
      <c r="CD588" s="399">
        <f t="shared" si="258"/>
        <v>0</v>
      </c>
      <c r="CE588" s="399">
        <f t="shared" si="259"/>
        <v>0</v>
      </c>
      <c r="CF588" s="399">
        <f t="shared" si="260"/>
        <v>0</v>
      </c>
      <c r="CG588" s="399">
        <f t="shared" si="261"/>
        <v>0</v>
      </c>
      <c r="CH588" s="399">
        <f t="shared" si="262"/>
        <v>0</v>
      </c>
      <c r="CI588" s="399">
        <f t="shared" si="263"/>
        <v>0</v>
      </c>
      <c r="CJ588" s="399">
        <f t="shared" si="264"/>
        <v>0</v>
      </c>
      <c r="CK588" s="399">
        <f t="shared" si="265"/>
        <v>0</v>
      </c>
      <c r="CL588" s="399">
        <f t="shared" si="266"/>
        <v>0</v>
      </c>
      <c r="CM588" s="399">
        <f t="shared" si="267"/>
        <v>0</v>
      </c>
      <c r="CN588" s="399">
        <f t="shared" si="268"/>
        <v>0</v>
      </c>
      <c r="CO588" s="399">
        <f t="shared" si="269"/>
        <v>0</v>
      </c>
      <c r="CP588" s="399">
        <f t="shared" si="270"/>
        <v>0</v>
      </c>
      <c r="CQ588" s="423">
        <f t="shared" si="271"/>
        <v>0</v>
      </c>
      <c r="CS588" s="394" t="e">
        <f t="shared" si="272"/>
        <v>#DIV/0!</v>
      </c>
    </row>
    <row r="589" spans="3:97">
      <c r="C589" s="107"/>
      <c r="D589" s="395"/>
      <c r="E589" s="84"/>
      <c r="F589" s="84"/>
      <c r="G589" s="389"/>
      <c r="H589" s="390"/>
      <c r="I589" s="390"/>
      <c r="J589" s="390"/>
      <c r="K589" s="390"/>
      <c r="L589" s="390"/>
      <c r="M589" s="390"/>
      <c r="N589" s="390"/>
      <c r="O589" s="390"/>
      <c r="P589" s="390"/>
      <c r="Q589" s="390"/>
      <c r="R589" s="390"/>
      <c r="S589" s="390"/>
      <c r="T589" s="390"/>
      <c r="U589" s="390"/>
      <c r="V589" s="390"/>
      <c r="W589" s="390"/>
      <c r="X589" s="390"/>
      <c r="Y589" s="390"/>
      <c r="Z589" s="390"/>
      <c r="AA589" s="390"/>
      <c r="AB589" s="390"/>
      <c r="AC589" s="390"/>
      <c r="AD589" s="390"/>
      <c r="AE589" s="390"/>
      <c r="AF589" s="390"/>
      <c r="AG589" s="390"/>
      <c r="AH589" s="390"/>
      <c r="AI589" s="391"/>
      <c r="AK589" s="437"/>
      <c r="AL589" s="437"/>
      <c r="AM589" s="437"/>
      <c r="AN589" s="437"/>
      <c r="AO589" s="437"/>
      <c r="AP589" s="437"/>
      <c r="AQ589" s="437"/>
      <c r="AR589" s="437"/>
      <c r="AS589" s="437"/>
      <c r="AT589" s="437"/>
      <c r="AU589" s="437"/>
      <c r="AV589" s="437"/>
      <c r="AW589" s="437"/>
      <c r="AX589" s="437"/>
      <c r="AY589" s="437"/>
      <c r="AZ589" s="437"/>
      <c r="BA589" s="437"/>
      <c r="BB589" s="437"/>
      <c r="BC589" s="437"/>
      <c r="BD589" s="437"/>
      <c r="BE589" s="437"/>
      <c r="BF589" s="437"/>
      <c r="BG589" s="437"/>
      <c r="BH589" s="437"/>
      <c r="BI589" s="437"/>
      <c r="BJ589" s="437"/>
      <c r="BK589" s="437"/>
      <c r="BL589" s="437"/>
      <c r="BM589" s="393"/>
      <c r="BO589" s="399">
        <f t="shared" si="243"/>
        <v>0</v>
      </c>
      <c r="BP589" s="399">
        <f t="shared" si="244"/>
        <v>0</v>
      </c>
      <c r="BQ589" s="399">
        <f t="shared" si="245"/>
        <v>0</v>
      </c>
      <c r="BR589" s="399">
        <f t="shared" si="246"/>
        <v>0</v>
      </c>
      <c r="BS589" s="399">
        <f t="shared" si="247"/>
        <v>0</v>
      </c>
      <c r="BT589" s="399">
        <f t="shared" si="248"/>
        <v>0</v>
      </c>
      <c r="BU589" s="399">
        <f t="shared" si="249"/>
        <v>0</v>
      </c>
      <c r="BV589" s="399">
        <f t="shared" si="250"/>
        <v>0</v>
      </c>
      <c r="BW589" s="399">
        <f t="shared" si="251"/>
        <v>0</v>
      </c>
      <c r="BX589" s="399">
        <f t="shared" si="252"/>
        <v>0</v>
      </c>
      <c r="BY589" s="399">
        <f t="shared" si="253"/>
        <v>0</v>
      </c>
      <c r="BZ589" s="399">
        <f t="shared" si="254"/>
        <v>0</v>
      </c>
      <c r="CA589" s="399">
        <f t="shared" si="255"/>
        <v>0</v>
      </c>
      <c r="CB589" s="399">
        <f t="shared" si="256"/>
        <v>0</v>
      </c>
      <c r="CC589" s="399">
        <f t="shared" si="257"/>
        <v>0</v>
      </c>
      <c r="CD589" s="399">
        <f t="shared" si="258"/>
        <v>0</v>
      </c>
      <c r="CE589" s="399">
        <f t="shared" si="259"/>
        <v>0</v>
      </c>
      <c r="CF589" s="399">
        <f t="shared" si="260"/>
        <v>0</v>
      </c>
      <c r="CG589" s="399">
        <f t="shared" si="261"/>
        <v>0</v>
      </c>
      <c r="CH589" s="399">
        <f t="shared" si="262"/>
        <v>0</v>
      </c>
      <c r="CI589" s="399">
        <f t="shared" si="263"/>
        <v>0</v>
      </c>
      <c r="CJ589" s="399">
        <f t="shared" si="264"/>
        <v>0</v>
      </c>
      <c r="CK589" s="399">
        <f t="shared" si="265"/>
        <v>0</v>
      </c>
      <c r="CL589" s="399">
        <f t="shared" si="266"/>
        <v>0</v>
      </c>
      <c r="CM589" s="399">
        <f t="shared" si="267"/>
        <v>0</v>
      </c>
      <c r="CN589" s="399">
        <f t="shared" si="268"/>
        <v>0</v>
      </c>
      <c r="CO589" s="399">
        <f t="shared" si="269"/>
        <v>0</v>
      </c>
      <c r="CP589" s="399">
        <f t="shared" si="270"/>
        <v>0</v>
      </c>
      <c r="CQ589" s="423">
        <f t="shared" si="271"/>
        <v>0</v>
      </c>
      <c r="CS589" s="394" t="e">
        <f t="shared" si="272"/>
        <v>#DIV/0!</v>
      </c>
    </row>
    <row r="590" spans="3:97">
      <c r="C590" s="107"/>
      <c r="D590" s="395"/>
      <c r="E590" s="84"/>
      <c r="F590" s="84"/>
      <c r="G590" s="389"/>
      <c r="H590" s="390"/>
      <c r="I590" s="390"/>
      <c r="J590" s="390"/>
      <c r="K590" s="390"/>
      <c r="L590" s="390"/>
      <c r="M590" s="390"/>
      <c r="N590" s="390"/>
      <c r="O590" s="390"/>
      <c r="P590" s="390"/>
      <c r="Q590" s="390"/>
      <c r="R590" s="390"/>
      <c r="S590" s="390"/>
      <c r="T590" s="390"/>
      <c r="U590" s="390"/>
      <c r="V590" s="390"/>
      <c r="W590" s="390"/>
      <c r="X590" s="390"/>
      <c r="Y590" s="390"/>
      <c r="Z590" s="390"/>
      <c r="AA590" s="390"/>
      <c r="AB590" s="390"/>
      <c r="AC590" s="390"/>
      <c r="AD590" s="390"/>
      <c r="AE590" s="390"/>
      <c r="AF590" s="390"/>
      <c r="AG590" s="390"/>
      <c r="AH590" s="390"/>
      <c r="AI590" s="391"/>
      <c r="AK590" s="437"/>
      <c r="AL590" s="437"/>
      <c r="AM590" s="437"/>
      <c r="AN590" s="437"/>
      <c r="AO590" s="437"/>
      <c r="AP590" s="437"/>
      <c r="AQ590" s="437"/>
      <c r="AR590" s="437"/>
      <c r="AS590" s="437"/>
      <c r="AT590" s="437"/>
      <c r="AU590" s="437"/>
      <c r="AV590" s="437"/>
      <c r="AW590" s="437"/>
      <c r="AX590" s="437"/>
      <c r="AY590" s="437"/>
      <c r="AZ590" s="437"/>
      <c r="BA590" s="437"/>
      <c r="BB590" s="437"/>
      <c r="BC590" s="437"/>
      <c r="BD590" s="437"/>
      <c r="BE590" s="437"/>
      <c r="BF590" s="437"/>
      <c r="BG590" s="437"/>
      <c r="BH590" s="437"/>
      <c r="BI590" s="437"/>
      <c r="BJ590" s="437"/>
      <c r="BK590" s="437"/>
      <c r="BL590" s="437"/>
      <c r="BM590" s="393"/>
      <c r="BO590" s="399">
        <f t="shared" si="243"/>
        <v>0</v>
      </c>
      <c r="BP590" s="399">
        <f t="shared" si="244"/>
        <v>0</v>
      </c>
      <c r="BQ590" s="399">
        <f t="shared" si="245"/>
        <v>0</v>
      </c>
      <c r="BR590" s="399">
        <f t="shared" si="246"/>
        <v>0</v>
      </c>
      <c r="BS590" s="399">
        <f t="shared" si="247"/>
        <v>0</v>
      </c>
      <c r="BT590" s="399">
        <f t="shared" si="248"/>
        <v>0</v>
      </c>
      <c r="BU590" s="399">
        <f t="shared" si="249"/>
        <v>0</v>
      </c>
      <c r="BV590" s="399">
        <f t="shared" si="250"/>
        <v>0</v>
      </c>
      <c r="BW590" s="399">
        <f t="shared" si="251"/>
        <v>0</v>
      </c>
      <c r="BX590" s="399">
        <f t="shared" si="252"/>
        <v>0</v>
      </c>
      <c r="BY590" s="399">
        <f t="shared" si="253"/>
        <v>0</v>
      </c>
      <c r="BZ590" s="399">
        <f t="shared" si="254"/>
        <v>0</v>
      </c>
      <c r="CA590" s="399">
        <f t="shared" si="255"/>
        <v>0</v>
      </c>
      <c r="CB590" s="399">
        <f t="shared" si="256"/>
        <v>0</v>
      </c>
      <c r="CC590" s="399">
        <f t="shared" si="257"/>
        <v>0</v>
      </c>
      <c r="CD590" s="399">
        <f t="shared" si="258"/>
        <v>0</v>
      </c>
      <c r="CE590" s="399">
        <f t="shared" si="259"/>
        <v>0</v>
      </c>
      <c r="CF590" s="399">
        <f t="shared" si="260"/>
        <v>0</v>
      </c>
      <c r="CG590" s="399">
        <f t="shared" si="261"/>
        <v>0</v>
      </c>
      <c r="CH590" s="399">
        <f t="shared" si="262"/>
        <v>0</v>
      </c>
      <c r="CI590" s="399">
        <f t="shared" si="263"/>
        <v>0</v>
      </c>
      <c r="CJ590" s="399">
        <f t="shared" si="264"/>
        <v>0</v>
      </c>
      <c r="CK590" s="399">
        <f t="shared" si="265"/>
        <v>0</v>
      </c>
      <c r="CL590" s="399">
        <f t="shared" si="266"/>
        <v>0</v>
      </c>
      <c r="CM590" s="399">
        <f t="shared" si="267"/>
        <v>0</v>
      </c>
      <c r="CN590" s="399">
        <f t="shared" si="268"/>
        <v>0</v>
      </c>
      <c r="CO590" s="399">
        <f t="shared" si="269"/>
        <v>0</v>
      </c>
      <c r="CP590" s="399">
        <f t="shared" si="270"/>
        <v>0</v>
      </c>
      <c r="CQ590" s="423">
        <f t="shared" si="271"/>
        <v>0</v>
      </c>
      <c r="CS590" s="394" t="e">
        <f t="shared" si="272"/>
        <v>#DIV/0!</v>
      </c>
    </row>
    <row r="591" spans="3:97">
      <c r="C591" s="107"/>
      <c r="D591" s="395"/>
      <c r="E591" s="84"/>
      <c r="F591" s="84"/>
      <c r="G591" s="389"/>
      <c r="H591" s="390"/>
      <c r="I591" s="390"/>
      <c r="J591" s="390"/>
      <c r="K591" s="390"/>
      <c r="L591" s="390"/>
      <c r="M591" s="390"/>
      <c r="N591" s="390"/>
      <c r="O591" s="390"/>
      <c r="P591" s="390"/>
      <c r="Q591" s="390"/>
      <c r="R591" s="390"/>
      <c r="S591" s="390"/>
      <c r="T591" s="390"/>
      <c r="U591" s="390"/>
      <c r="V591" s="390"/>
      <c r="W591" s="390"/>
      <c r="X591" s="390"/>
      <c r="Y591" s="390"/>
      <c r="Z591" s="390"/>
      <c r="AA591" s="390"/>
      <c r="AB591" s="390"/>
      <c r="AC591" s="390"/>
      <c r="AD591" s="390"/>
      <c r="AE591" s="390"/>
      <c r="AF591" s="390"/>
      <c r="AG591" s="390"/>
      <c r="AH591" s="390"/>
      <c r="AI591" s="391"/>
      <c r="AK591" s="437"/>
      <c r="AL591" s="437"/>
      <c r="AM591" s="437"/>
      <c r="AN591" s="437"/>
      <c r="AO591" s="437"/>
      <c r="AP591" s="437"/>
      <c r="AQ591" s="437"/>
      <c r="AR591" s="437"/>
      <c r="AS591" s="437"/>
      <c r="AT591" s="437"/>
      <c r="AU591" s="437"/>
      <c r="AV591" s="437"/>
      <c r="AW591" s="437"/>
      <c r="AX591" s="437"/>
      <c r="AY591" s="437"/>
      <c r="AZ591" s="437"/>
      <c r="BA591" s="437"/>
      <c r="BB591" s="437"/>
      <c r="BC591" s="437"/>
      <c r="BD591" s="437"/>
      <c r="BE591" s="437"/>
      <c r="BF591" s="437"/>
      <c r="BG591" s="437"/>
      <c r="BH591" s="437"/>
      <c r="BI591" s="437"/>
      <c r="BJ591" s="437"/>
      <c r="BK591" s="437"/>
      <c r="BL591" s="437"/>
      <c r="BM591" s="393"/>
      <c r="BO591" s="399">
        <f t="shared" si="243"/>
        <v>0</v>
      </c>
      <c r="BP591" s="399">
        <f t="shared" si="244"/>
        <v>0</v>
      </c>
      <c r="BQ591" s="399">
        <f t="shared" si="245"/>
        <v>0</v>
      </c>
      <c r="BR591" s="399">
        <f t="shared" si="246"/>
        <v>0</v>
      </c>
      <c r="BS591" s="399">
        <f t="shared" si="247"/>
        <v>0</v>
      </c>
      <c r="BT591" s="399">
        <f t="shared" si="248"/>
        <v>0</v>
      </c>
      <c r="BU591" s="399">
        <f t="shared" si="249"/>
        <v>0</v>
      </c>
      <c r="BV591" s="399">
        <f t="shared" si="250"/>
        <v>0</v>
      </c>
      <c r="BW591" s="399">
        <f t="shared" si="251"/>
        <v>0</v>
      </c>
      <c r="BX591" s="399">
        <f t="shared" si="252"/>
        <v>0</v>
      </c>
      <c r="BY591" s="399">
        <f t="shared" si="253"/>
        <v>0</v>
      </c>
      <c r="BZ591" s="399">
        <f t="shared" si="254"/>
        <v>0</v>
      </c>
      <c r="CA591" s="399">
        <f t="shared" si="255"/>
        <v>0</v>
      </c>
      <c r="CB591" s="399">
        <f t="shared" si="256"/>
        <v>0</v>
      </c>
      <c r="CC591" s="399">
        <f t="shared" si="257"/>
        <v>0</v>
      </c>
      <c r="CD591" s="399">
        <f t="shared" si="258"/>
        <v>0</v>
      </c>
      <c r="CE591" s="399">
        <f t="shared" si="259"/>
        <v>0</v>
      </c>
      <c r="CF591" s="399">
        <f t="shared" si="260"/>
        <v>0</v>
      </c>
      <c r="CG591" s="399">
        <f t="shared" si="261"/>
        <v>0</v>
      </c>
      <c r="CH591" s="399">
        <f t="shared" si="262"/>
        <v>0</v>
      </c>
      <c r="CI591" s="399">
        <f t="shared" si="263"/>
        <v>0</v>
      </c>
      <c r="CJ591" s="399">
        <f t="shared" si="264"/>
        <v>0</v>
      </c>
      <c r="CK591" s="399">
        <f t="shared" si="265"/>
        <v>0</v>
      </c>
      <c r="CL591" s="399">
        <f t="shared" si="266"/>
        <v>0</v>
      </c>
      <c r="CM591" s="399">
        <f t="shared" si="267"/>
        <v>0</v>
      </c>
      <c r="CN591" s="399">
        <f t="shared" si="268"/>
        <v>0</v>
      </c>
      <c r="CO591" s="399">
        <f t="shared" si="269"/>
        <v>0</v>
      </c>
      <c r="CP591" s="399">
        <f t="shared" si="270"/>
        <v>0</v>
      </c>
      <c r="CQ591" s="423">
        <f t="shared" si="271"/>
        <v>0</v>
      </c>
      <c r="CS591" s="394" t="e">
        <f t="shared" si="272"/>
        <v>#DIV/0!</v>
      </c>
    </row>
    <row r="592" spans="3:97">
      <c r="C592" s="107"/>
      <c r="D592" s="395"/>
      <c r="E592" s="84"/>
      <c r="F592" s="84"/>
      <c r="G592" s="389"/>
      <c r="H592" s="390"/>
      <c r="I592" s="390"/>
      <c r="J592" s="390"/>
      <c r="K592" s="390"/>
      <c r="L592" s="390"/>
      <c r="M592" s="390"/>
      <c r="N592" s="390"/>
      <c r="O592" s="390"/>
      <c r="P592" s="390"/>
      <c r="Q592" s="390"/>
      <c r="R592" s="390"/>
      <c r="S592" s="390"/>
      <c r="T592" s="390"/>
      <c r="U592" s="390"/>
      <c r="V592" s="390"/>
      <c r="W592" s="390"/>
      <c r="X592" s="390"/>
      <c r="Y592" s="390"/>
      <c r="Z592" s="390"/>
      <c r="AA592" s="390"/>
      <c r="AB592" s="390"/>
      <c r="AC592" s="390"/>
      <c r="AD592" s="390"/>
      <c r="AE592" s="390"/>
      <c r="AF592" s="390"/>
      <c r="AG592" s="390"/>
      <c r="AH592" s="390"/>
      <c r="AI592" s="391"/>
      <c r="AK592" s="437"/>
      <c r="AL592" s="437"/>
      <c r="AM592" s="437"/>
      <c r="AN592" s="437"/>
      <c r="AO592" s="437"/>
      <c r="AP592" s="437"/>
      <c r="AQ592" s="437"/>
      <c r="AR592" s="437"/>
      <c r="AS592" s="437"/>
      <c r="AT592" s="437"/>
      <c r="AU592" s="437"/>
      <c r="AV592" s="437"/>
      <c r="AW592" s="437"/>
      <c r="AX592" s="437"/>
      <c r="AY592" s="437"/>
      <c r="AZ592" s="437"/>
      <c r="BA592" s="437"/>
      <c r="BB592" s="437"/>
      <c r="BC592" s="437"/>
      <c r="BD592" s="437"/>
      <c r="BE592" s="437"/>
      <c r="BF592" s="437"/>
      <c r="BG592" s="437"/>
      <c r="BH592" s="437"/>
      <c r="BI592" s="437"/>
      <c r="BJ592" s="437"/>
      <c r="BK592" s="437"/>
      <c r="BL592" s="437"/>
      <c r="BM592" s="393"/>
      <c r="BO592" s="399">
        <f t="shared" si="243"/>
        <v>0</v>
      </c>
      <c r="BP592" s="399">
        <f t="shared" si="244"/>
        <v>0</v>
      </c>
      <c r="BQ592" s="399">
        <f t="shared" si="245"/>
        <v>0</v>
      </c>
      <c r="BR592" s="399">
        <f t="shared" si="246"/>
        <v>0</v>
      </c>
      <c r="BS592" s="399">
        <f t="shared" si="247"/>
        <v>0</v>
      </c>
      <c r="BT592" s="399">
        <f t="shared" si="248"/>
        <v>0</v>
      </c>
      <c r="BU592" s="399">
        <f t="shared" si="249"/>
        <v>0</v>
      </c>
      <c r="BV592" s="399">
        <f t="shared" si="250"/>
        <v>0</v>
      </c>
      <c r="BW592" s="399">
        <f t="shared" si="251"/>
        <v>0</v>
      </c>
      <c r="BX592" s="399">
        <f t="shared" si="252"/>
        <v>0</v>
      </c>
      <c r="BY592" s="399">
        <f t="shared" si="253"/>
        <v>0</v>
      </c>
      <c r="BZ592" s="399">
        <f t="shared" si="254"/>
        <v>0</v>
      </c>
      <c r="CA592" s="399">
        <f t="shared" si="255"/>
        <v>0</v>
      </c>
      <c r="CB592" s="399">
        <f t="shared" si="256"/>
        <v>0</v>
      </c>
      <c r="CC592" s="399">
        <f t="shared" si="257"/>
        <v>0</v>
      </c>
      <c r="CD592" s="399">
        <f t="shared" si="258"/>
        <v>0</v>
      </c>
      <c r="CE592" s="399">
        <f t="shared" si="259"/>
        <v>0</v>
      </c>
      <c r="CF592" s="399">
        <f t="shared" si="260"/>
        <v>0</v>
      </c>
      <c r="CG592" s="399">
        <f t="shared" si="261"/>
        <v>0</v>
      </c>
      <c r="CH592" s="399">
        <f t="shared" si="262"/>
        <v>0</v>
      </c>
      <c r="CI592" s="399">
        <f t="shared" si="263"/>
        <v>0</v>
      </c>
      <c r="CJ592" s="399">
        <f t="shared" si="264"/>
        <v>0</v>
      </c>
      <c r="CK592" s="399">
        <f t="shared" si="265"/>
        <v>0</v>
      </c>
      <c r="CL592" s="399">
        <f t="shared" si="266"/>
        <v>0</v>
      </c>
      <c r="CM592" s="399">
        <f t="shared" si="267"/>
        <v>0</v>
      </c>
      <c r="CN592" s="399">
        <f t="shared" si="268"/>
        <v>0</v>
      </c>
      <c r="CO592" s="399">
        <f t="shared" si="269"/>
        <v>0</v>
      </c>
      <c r="CP592" s="399">
        <f t="shared" si="270"/>
        <v>0</v>
      </c>
      <c r="CQ592" s="423">
        <f t="shared" si="271"/>
        <v>0</v>
      </c>
      <c r="CS592" s="394" t="e">
        <f t="shared" si="272"/>
        <v>#DIV/0!</v>
      </c>
    </row>
    <row r="593" spans="3:97">
      <c r="C593" s="107"/>
      <c r="D593" s="395"/>
      <c r="E593" s="84"/>
      <c r="F593" s="84"/>
      <c r="G593" s="389"/>
      <c r="H593" s="390"/>
      <c r="I593" s="390"/>
      <c r="J593" s="390"/>
      <c r="K593" s="390"/>
      <c r="L593" s="390"/>
      <c r="M593" s="390"/>
      <c r="N593" s="390"/>
      <c r="O593" s="390"/>
      <c r="P593" s="390"/>
      <c r="Q593" s="390"/>
      <c r="R593" s="390"/>
      <c r="S593" s="390"/>
      <c r="T593" s="390"/>
      <c r="U593" s="390"/>
      <c r="V593" s="390"/>
      <c r="W593" s="390"/>
      <c r="X593" s="390"/>
      <c r="Y593" s="390"/>
      <c r="Z593" s="390"/>
      <c r="AA593" s="390"/>
      <c r="AB593" s="390"/>
      <c r="AC593" s="390"/>
      <c r="AD593" s="390"/>
      <c r="AE593" s="390"/>
      <c r="AF593" s="390"/>
      <c r="AG593" s="390"/>
      <c r="AH593" s="390"/>
      <c r="AI593" s="391"/>
      <c r="AK593" s="437"/>
      <c r="AL593" s="437"/>
      <c r="AM593" s="437"/>
      <c r="AN593" s="437"/>
      <c r="AO593" s="437"/>
      <c r="AP593" s="437"/>
      <c r="AQ593" s="437"/>
      <c r="AR593" s="437"/>
      <c r="AS593" s="437"/>
      <c r="AT593" s="437"/>
      <c r="AU593" s="437"/>
      <c r="AV593" s="437"/>
      <c r="AW593" s="437"/>
      <c r="AX593" s="437"/>
      <c r="AY593" s="437"/>
      <c r="AZ593" s="437"/>
      <c r="BA593" s="437"/>
      <c r="BB593" s="437"/>
      <c r="BC593" s="437"/>
      <c r="BD593" s="437"/>
      <c r="BE593" s="437"/>
      <c r="BF593" s="437"/>
      <c r="BG593" s="437"/>
      <c r="BH593" s="437"/>
      <c r="BI593" s="437"/>
      <c r="BJ593" s="437"/>
      <c r="BK593" s="437"/>
      <c r="BL593" s="437"/>
      <c r="BM593" s="393"/>
      <c r="BO593" s="399">
        <f t="shared" si="243"/>
        <v>0</v>
      </c>
      <c r="BP593" s="399">
        <f t="shared" si="244"/>
        <v>0</v>
      </c>
      <c r="BQ593" s="399">
        <f t="shared" si="245"/>
        <v>0</v>
      </c>
      <c r="BR593" s="399">
        <f t="shared" si="246"/>
        <v>0</v>
      </c>
      <c r="BS593" s="399">
        <f t="shared" si="247"/>
        <v>0</v>
      </c>
      <c r="BT593" s="399">
        <f t="shared" si="248"/>
        <v>0</v>
      </c>
      <c r="BU593" s="399">
        <f t="shared" si="249"/>
        <v>0</v>
      </c>
      <c r="BV593" s="399">
        <f t="shared" si="250"/>
        <v>0</v>
      </c>
      <c r="BW593" s="399">
        <f t="shared" si="251"/>
        <v>0</v>
      </c>
      <c r="BX593" s="399">
        <f t="shared" si="252"/>
        <v>0</v>
      </c>
      <c r="BY593" s="399">
        <f t="shared" si="253"/>
        <v>0</v>
      </c>
      <c r="BZ593" s="399">
        <f t="shared" si="254"/>
        <v>0</v>
      </c>
      <c r="CA593" s="399">
        <f t="shared" si="255"/>
        <v>0</v>
      </c>
      <c r="CB593" s="399">
        <f t="shared" si="256"/>
        <v>0</v>
      </c>
      <c r="CC593" s="399">
        <f t="shared" si="257"/>
        <v>0</v>
      </c>
      <c r="CD593" s="399">
        <f t="shared" si="258"/>
        <v>0</v>
      </c>
      <c r="CE593" s="399">
        <f t="shared" si="259"/>
        <v>0</v>
      </c>
      <c r="CF593" s="399">
        <f t="shared" si="260"/>
        <v>0</v>
      </c>
      <c r="CG593" s="399">
        <f t="shared" si="261"/>
        <v>0</v>
      </c>
      <c r="CH593" s="399">
        <f t="shared" si="262"/>
        <v>0</v>
      </c>
      <c r="CI593" s="399">
        <f t="shared" si="263"/>
        <v>0</v>
      </c>
      <c r="CJ593" s="399">
        <f t="shared" si="264"/>
        <v>0</v>
      </c>
      <c r="CK593" s="399">
        <f t="shared" si="265"/>
        <v>0</v>
      </c>
      <c r="CL593" s="399">
        <f t="shared" si="266"/>
        <v>0</v>
      </c>
      <c r="CM593" s="399">
        <f t="shared" si="267"/>
        <v>0</v>
      </c>
      <c r="CN593" s="399">
        <f t="shared" si="268"/>
        <v>0</v>
      </c>
      <c r="CO593" s="399">
        <f t="shared" si="269"/>
        <v>0</v>
      </c>
      <c r="CP593" s="399">
        <f t="shared" si="270"/>
        <v>0</v>
      </c>
      <c r="CQ593" s="423">
        <f t="shared" si="271"/>
        <v>0</v>
      </c>
      <c r="CS593" s="394" t="e">
        <f t="shared" si="272"/>
        <v>#DIV/0!</v>
      </c>
    </row>
    <row r="594" spans="3:97">
      <c r="C594" s="107"/>
      <c r="D594" s="395"/>
      <c r="E594" s="84"/>
      <c r="F594" s="84"/>
      <c r="G594" s="389"/>
      <c r="H594" s="390"/>
      <c r="I594" s="390"/>
      <c r="J594" s="390"/>
      <c r="K594" s="390"/>
      <c r="L594" s="390"/>
      <c r="M594" s="390"/>
      <c r="N594" s="390"/>
      <c r="O594" s="390"/>
      <c r="P594" s="390"/>
      <c r="Q594" s="390"/>
      <c r="R594" s="390"/>
      <c r="S594" s="390"/>
      <c r="T594" s="390"/>
      <c r="U594" s="390"/>
      <c r="V594" s="390"/>
      <c r="W594" s="390"/>
      <c r="X594" s="390"/>
      <c r="Y594" s="390"/>
      <c r="Z594" s="390"/>
      <c r="AA594" s="390"/>
      <c r="AB594" s="390"/>
      <c r="AC594" s="390"/>
      <c r="AD594" s="390"/>
      <c r="AE594" s="390"/>
      <c r="AF594" s="390"/>
      <c r="AG594" s="390"/>
      <c r="AH594" s="390"/>
      <c r="AI594" s="391"/>
      <c r="AK594" s="437"/>
      <c r="AL594" s="437"/>
      <c r="AM594" s="437"/>
      <c r="AN594" s="437"/>
      <c r="AO594" s="437"/>
      <c r="AP594" s="437"/>
      <c r="AQ594" s="437"/>
      <c r="AR594" s="437"/>
      <c r="AS594" s="437"/>
      <c r="AT594" s="437"/>
      <c r="AU594" s="437"/>
      <c r="AV594" s="437"/>
      <c r="AW594" s="437"/>
      <c r="AX594" s="437"/>
      <c r="AY594" s="437"/>
      <c r="AZ594" s="437"/>
      <c r="BA594" s="437"/>
      <c r="BB594" s="437"/>
      <c r="BC594" s="437"/>
      <c r="BD594" s="437"/>
      <c r="BE594" s="437"/>
      <c r="BF594" s="437"/>
      <c r="BG594" s="437"/>
      <c r="BH594" s="437"/>
      <c r="BI594" s="437"/>
      <c r="BJ594" s="437"/>
      <c r="BK594" s="437"/>
      <c r="BL594" s="437"/>
      <c r="BM594" s="393"/>
      <c r="BO594" s="399">
        <f t="shared" si="243"/>
        <v>0</v>
      </c>
      <c r="BP594" s="399">
        <f t="shared" si="244"/>
        <v>0</v>
      </c>
      <c r="BQ594" s="399">
        <f t="shared" si="245"/>
        <v>0</v>
      </c>
      <c r="BR594" s="399">
        <f t="shared" si="246"/>
        <v>0</v>
      </c>
      <c r="BS594" s="399">
        <f t="shared" si="247"/>
        <v>0</v>
      </c>
      <c r="BT594" s="399">
        <f t="shared" si="248"/>
        <v>0</v>
      </c>
      <c r="BU594" s="399">
        <f t="shared" si="249"/>
        <v>0</v>
      </c>
      <c r="BV594" s="399">
        <f t="shared" si="250"/>
        <v>0</v>
      </c>
      <c r="BW594" s="399">
        <f t="shared" si="251"/>
        <v>0</v>
      </c>
      <c r="BX594" s="399">
        <f t="shared" si="252"/>
        <v>0</v>
      </c>
      <c r="BY594" s="399">
        <f t="shared" si="253"/>
        <v>0</v>
      </c>
      <c r="BZ594" s="399">
        <f t="shared" si="254"/>
        <v>0</v>
      </c>
      <c r="CA594" s="399">
        <f t="shared" si="255"/>
        <v>0</v>
      </c>
      <c r="CB594" s="399">
        <f t="shared" si="256"/>
        <v>0</v>
      </c>
      <c r="CC594" s="399">
        <f t="shared" si="257"/>
        <v>0</v>
      </c>
      <c r="CD594" s="399">
        <f t="shared" si="258"/>
        <v>0</v>
      </c>
      <c r="CE594" s="399">
        <f t="shared" si="259"/>
        <v>0</v>
      </c>
      <c r="CF594" s="399">
        <f t="shared" si="260"/>
        <v>0</v>
      </c>
      <c r="CG594" s="399">
        <f t="shared" si="261"/>
        <v>0</v>
      </c>
      <c r="CH594" s="399">
        <f t="shared" si="262"/>
        <v>0</v>
      </c>
      <c r="CI594" s="399">
        <f t="shared" si="263"/>
        <v>0</v>
      </c>
      <c r="CJ594" s="399">
        <f t="shared" si="264"/>
        <v>0</v>
      </c>
      <c r="CK594" s="399">
        <f t="shared" si="265"/>
        <v>0</v>
      </c>
      <c r="CL594" s="399">
        <f t="shared" si="266"/>
        <v>0</v>
      </c>
      <c r="CM594" s="399">
        <f t="shared" si="267"/>
        <v>0</v>
      </c>
      <c r="CN594" s="399">
        <f t="shared" si="268"/>
        <v>0</v>
      </c>
      <c r="CO594" s="399">
        <f t="shared" si="269"/>
        <v>0</v>
      </c>
      <c r="CP594" s="399">
        <f t="shared" si="270"/>
        <v>0</v>
      </c>
      <c r="CQ594" s="423">
        <f t="shared" si="271"/>
        <v>0</v>
      </c>
      <c r="CS594" s="394" t="e">
        <f t="shared" si="272"/>
        <v>#DIV/0!</v>
      </c>
    </row>
    <row r="595" spans="3:97">
      <c r="C595" s="107"/>
      <c r="D595" s="395"/>
      <c r="E595" s="84"/>
      <c r="F595" s="84"/>
      <c r="G595" s="389"/>
      <c r="H595" s="390"/>
      <c r="I595" s="390"/>
      <c r="J595" s="390"/>
      <c r="K595" s="390"/>
      <c r="L595" s="390"/>
      <c r="M595" s="390"/>
      <c r="N595" s="390"/>
      <c r="O595" s="390"/>
      <c r="P595" s="390"/>
      <c r="Q595" s="390"/>
      <c r="R595" s="390"/>
      <c r="S595" s="390"/>
      <c r="T595" s="390"/>
      <c r="U595" s="390"/>
      <c r="V595" s="390"/>
      <c r="W595" s="390"/>
      <c r="X595" s="390"/>
      <c r="Y595" s="390"/>
      <c r="Z595" s="390"/>
      <c r="AA595" s="390"/>
      <c r="AB595" s="390"/>
      <c r="AC595" s="390"/>
      <c r="AD595" s="390"/>
      <c r="AE595" s="390"/>
      <c r="AF595" s="390"/>
      <c r="AG595" s="390"/>
      <c r="AH595" s="390"/>
      <c r="AI595" s="391"/>
      <c r="AK595" s="437"/>
      <c r="AL595" s="437"/>
      <c r="AM595" s="437"/>
      <c r="AN595" s="437"/>
      <c r="AO595" s="437"/>
      <c r="AP595" s="437"/>
      <c r="AQ595" s="437"/>
      <c r="AR595" s="437"/>
      <c r="AS595" s="437"/>
      <c r="AT595" s="437"/>
      <c r="AU595" s="437"/>
      <c r="AV595" s="437"/>
      <c r="AW595" s="437"/>
      <c r="AX595" s="437"/>
      <c r="AY595" s="437"/>
      <c r="AZ595" s="437"/>
      <c r="BA595" s="437"/>
      <c r="BB595" s="437"/>
      <c r="BC595" s="437"/>
      <c r="BD595" s="437"/>
      <c r="BE595" s="437"/>
      <c r="BF595" s="437"/>
      <c r="BG595" s="437"/>
      <c r="BH595" s="437"/>
      <c r="BI595" s="437"/>
      <c r="BJ595" s="437"/>
      <c r="BK595" s="437"/>
      <c r="BL595" s="437"/>
      <c r="BM595" s="393"/>
      <c r="BO595" s="399">
        <f t="shared" ref="BO595:BO620" si="273">G595*BO$4</f>
        <v>0</v>
      </c>
      <c r="BP595" s="399">
        <f t="shared" ref="BP595:BP620" si="274">H595*BP$4</f>
        <v>0</v>
      </c>
      <c r="BQ595" s="399">
        <f t="shared" ref="BQ595:BQ620" si="275">I595*BQ$4</f>
        <v>0</v>
      </c>
      <c r="BR595" s="399">
        <f t="shared" ref="BR595:BR620" si="276">J595*BR$4</f>
        <v>0</v>
      </c>
      <c r="BS595" s="399">
        <f t="shared" ref="BS595:BS620" si="277">K595*BS$4</f>
        <v>0</v>
      </c>
      <c r="BT595" s="399">
        <f t="shared" ref="BT595:BT620" si="278">L595*BT$4</f>
        <v>0</v>
      </c>
      <c r="BU595" s="399">
        <f t="shared" ref="BU595:BU620" si="279">M595*BU$4</f>
        <v>0</v>
      </c>
      <c r="BV595" s="399">
        <f t="shared" ref="BV595:BV620" si="280">N595*BV$4</f>
        <v>0</v>
      </c>
      <c r="BW595" s="399">
        <f t="shared" ref="BW595:BW620" si="281">O595*BW$4</f>
        <v>0</v>
      </c>
      <c r="BX595" s="399">
        <f t="shared" ref="BX595:BX620" si="282">P595*BX$4</f>
        <v>0</v>
      </c>
      <c r="BY595" s="399">
        <f t="shared" ref="BY595:BY620" si="283">Q595*BY$4</f>
        <v>0</v>
      </c>
      <c r="BZ595" s="399">
        <f t="shared" ref="BZ595:BZ620" si="284">R595*BZ$4</f>
        <v>0</v>
      </c>
      <c r="CA595" s="399">
        <f t="shared" ref="CA595:CA620" si="285">S595*CA$4</f>
        <v>0</v>
      </c>
      <c r="CB595" s="399">
        <f t="shared" ref="CB595:CB620" si="286">T595*CB$4</f>
        <v>0</v>
      </c>
      <c r="CC595" s="399">
        <f t="shared" ref="CC595:CC620" si="287">U595*CC$4</f>
        <v>0</v>
      </c>
      <c r="CD595" s="399">
        <f t="shared" ref="CD595:CD620" si="288">V595*CD$4</f>
        <v>0</v>
      </c>
      <c r="CE595" s="399">
        <f t="shared" ref="CE595:CE620" si="289">W595*CE$4</f>
        <v>0</v>
      </c>
      <c r="CF595" s="399">
        <f t="shared" ref="CF595:CF620" si="290">X595*CF$4</f>
        <v>0</v>
      </c>
      <c r="CG595" s="399">
        <f t="shared" ref="CG595:CG620" si="291">Y595*CG$4</f>
        <v>0</v>
      </c>
      <c r="CH595" s="399">
        <f t="shared" ref="CH595:CH620" si="292">Z595*CH$4</f>
        <v>0</v>
      </c>
      <c r="CI595" s="399">
        <f t="shared" ref="CI595:CI620" si="293">AA595*CI$4</f>
        <v>0</v>
      </c>
      <c r="CJ595" s="399">
        <f t="shared" ref="CJ595:CJ620" si="294">AB595*CJ$4</f>
        <v>0</v>
      </c>
      <c r="CK595" s="399">
        <f t="shared" ref="CK595:CK620" si="295">AC595*CK$4</f>
        <v>0</v>
      </c>
      <c r="CL595" s="399">
        <f t="shared" ref="CL595:CL620" si="296">AD595*CL$4</f>
        <v>0</v>
      </c>
      <c r="CM595" s="399">
        <f t="shared" ref="CM595:CM620" si="297">AE595*CM$4</f>
        <v>0</v>
      </c>
      <c r="CN595" s="399">
        <f t="shared" ref="CN595:CN620" si="298">AF595*CN$4</f>
        <v>0</v>
      </c>
      <c r="CO595" s="399">
        <f t="shared" ref="CO595:CO620" si="299">AG595*CO$4</f>
        <v>0</v>
      </c>
      <c r="CP595" s="399">
        <f t="shared" ref="CP595:CP620" si="300">AH595*CP$4</f>
        <v>0</v>
      </c>
      <c r="CQ595" s="423">
        <f t="shared" ref="CQ595:CQ620" si="301">SUM(BO595:CP595)</f>
        <v>0</v>
      </c>
      <c r="CS595" s="394" t="e">
        <f t="shared" ref="CS595:CS620" si="302">CQ595/AI595</f>
        <v>#DIV/0!</v>
      </c>
    </row>
    <row r="596" spans="3:97">
      <c r="C596" s="107"/>
      <c r="D596" s="395"/>
      <c r="E596" s="84"/>
      <c r="F596" s="84"/>
      <c r="G596" s="389"/>
      <c r="H596" s="390"/>
      <c r="I596" s="390"/>
      <c r="J596" s="390"/>
      <c r="K596" s="390"/>
      <c r="L596" s="390"/>
      <c r="M596" s="390"/>
      <c r="N596" s="390"/>
      <c r="O596" s="390"/>
      <c r="P596" s="390"/>
      <c r="Q596" s="390"/>
      <c r="R596" s="390"/>
      <c r="S596" s="390"/>
      <c r="T596" s="390"/>
      <c r="U596" s="390"/>
      <c r="V596" s="390"/>
      <c r="W596" s="390"/>
      <c r="X596" s="390"/>
      <c r="Y596" s="390"/>
      <c r="Z596" s="390"/>
      <c r="AA596" s="390"/>
      <c r="AB596" s="390"/>
      <c r="AC596" s="390"/>
      <c r="AD596" s="390"/>
      <c r="AE596" s="390"/>
      <c r="AF596" s="390"/>
      <c r="AG596" s="390"/>
      <c r="AH596" s="390"/>
      <c r="AI596" s="391"/>
      <c r="AK596" s="437"/>
      <c r="AL596" s="437"/>
      <c r="AM596" s="437"/>
      <c r="AN596" s="437"/>
      <c r="AO596" s="437"/>
      <c r="AP596" s="437"/>
      <c r="AQ596" s="437"/>
      <c r="AR596" s="437"/>
      <c r="AS596" s="437"/>
      <c r="AT596" s="437"/>
      <c r="AU596" s="437"/>
      <c r="AV596" s="437"/>
      <c r="AW596" s="437"/>
      <c r="AX596" s="437"/>
      <c r="AY596" s="437"/>
      <c r="AZ596" s="437"/>
      <c r="BA596" s="437"/>
      <c r="BB596" s="437"/>
      <c r="BC596" s="437"/>
      <c r="BD596" s="437"/>
      <c r="BE596" s="437"/>
      <c r="BF596" s="437"/>
      <c r="BG596" s="437"/>
      <c r="BH596" s="437"/>
      <c r="BI596" s="437"/>
      <c r="BJ596" s="437"/>
      <c r="BK596" s="437"/>
      <c r="BL596" s="437"/>
      <c r="BM596" s="393"/>
      <c r="BO596" s="399">
        <f t="shared" si="273"/>
        <v>0</v>
      </c>
      <c r="BP596" s="399">
        <f t="shared" si="274"/>
        <v>0</v>
      </c>
      <c r="BQ596" s="399">
        <f t="shared" si="275"/>
        <v>0</v>
      </c>
      <c r="BR596" s="399">
        <f t="shared" si="276"/>
        <v>0</v>
      </c>
      <c r="BS596" s="399">
        <f t="shared" si="277"/>
        <v>0</v>
      </c>
      <c r="BT596" s="399">
        <f t="shared" si="278"/>
        <v>0</v>
      </c>
      <c r="BU596" s="399">
        <f t="shared" si="279"/>
        <v>0</v>
      </c>
      <c r="BV596" s="399">
        <f t="shared" si="280"/>
        <v>0</v>
      </c>
      <c r="BW596" s="399">
        <f t="shared" si="281"/>
        <v>0</v>
      </c>
      <c r="BX596" s="399">
        <f t="shared" si="282"/>
        <v>0</v>
      </c>
      <c r="BY596" s="399">
        <f t="shared" si="283"/>
        <v>0</v>
      </c>
      <c r="BZ596" s="399">
        <f t="shared" si="284"/>
        <v>0</v>
      </c>
      <c r="CA596" s="399">
        <f t="shared" si="285"/>
        <v>0</v>
      </c>
      <c r="CB596" s="399">
        <f t="shared" si="286"/>
        <v>0</v>
      </c>
      <c r="CC596" s="399">
        <f t="shared" si="287"/>
        <v>0</v>
      </c>
      <c r="CD596" s="399">
        <f t="shared" si="288"/>
        <v>0</v>
      </c>
      <c r="CE596" s="399">
        <f t="shared" si="289"/>
        <v>0</v>
      </c>
      <c r="CF596" s="399">
        <f t="shared" si="290"/>
        <v>0</v>
      </c>
      <c r="CG596" s="399">
        <f t="shared" si="291"/>
        <v>0</v>
      </c>
      <c r="CH596" s="399">
        <f t="shared" si="292"/>
        <v>0</v>
      </c>
      <c r="CI596" s="399">
        <f t="shared" si="293"/>
        <v>0</v>
      </c>
      <c r="CJ596" s="399">
        <f t="shared" si="294"/>
        <v>0</v>
      </c>
      <c r="CK596" s="399">
        <f t="shared" si="295"/>
        <v>0</v>
      </c>
      <c r="CL596" s="399">
        <f t="shared" si="296"/>
        <v>0</v>
      </c>
      <c r="CM596" s="399">
        <f t="shared" si="297"/>
        <v>0</v>
      </c>
      <c r="CN596" s="399">
        <f t="shared" si="298"/>
        <v>0</v>
      </c>
      <c r="CO596" s="399">
        <f t="shared" si="299"/>
        <v>0</v>
      </c>
      <c r="CP596" s="399">
        <f t="shared" si="300"/>
        <v>0</v>
      </c>
      <c r="CQ596" s="423">
        <f t="shared" si="301"/>
        <v>0</v>
      </c>
      <c r="CS596" s="394" t="e">
        <f t="shared" si="302"/>
        <v>#DIV/0!</v>
      </c>
    </row>
    <row r="597" spans="3:97">
      <c r="C597" s="107"/>
      <c r="D597" s="395"/>
      <c r="E597" s="84"/>
      <c r="F597" s="84"/>
      <c r="G597" s="389"/>
      <c r="H597" s="390"/>
      <c r="I597" s="390"/>
      <c r="J597" s="390"/>
      <c r="K597" s="390"/>
      <c r="L597" s="390"/>
      <c r="M597" s="390"/>
      <c r="N597" s="390"/>
      <c r="O597" s="390"/>
      <c r="P597" s="390"/>
      <c r="Q597" s="390"/>
      <c r="R597" s="390"/>
      <c r="S597" s="390"/>
      <c r="T597" s="390"/>
      <c r="U597" s="390"/>
      <c r="V597" s="390"/>
      <c r="W597" s="390"/>
      <c r="X597" s="390"/>
      <c r="Y597" s="390"/>
      <c r="Z597" s="390"/>
      <c r="AA597" s="390"/>
      <c r="AB597" s="390"/>
      <c r="AC597" s="390"/>
      <c r="AD597" s="390"/>
      <c r="AE597" s="390"/>
      <c r="AF597" s="390"/>
      <c r="AG597" s="390"/>
      <c r="AH597" s="390"/>
      <c r="AI597" s="391"/>
      <c r="AK597" s="437"/>
      <c r="AL597" s="437"/>
      <c r="AM597" s="437"/>
      <c r="AN597" s="437"/>
      <c r="AO597" s="437"/>
      <c r="AP597" s="437"/>
      <c r="AQ597" s="437"/>
      <c r="AR597" s="437"/>
      <c r="AS597" s="437"/>
      <c r="AT597" s="437"/>
      <c r="AU597" s="437"/>
      <c r="AV597" s="437"/>
      <c r="AW597" s="437"/>
      <c r="AX597" s="437"/>
      <c r="AY597" s="437"/>
      <c r="AZ597" s="437"/>
      <c r="BA597" s="437"/>
      <c r="BB597" s="437"/>
      <c r="BC597" s="437"/>
      <c r="BD597" s="437"/>
      <c r="BE597" s="437"/>
      <c r="BF597" s="437"/>
      <c r="BG597" s="437"/>
      <c r="BH597" s="437"/>
      <c r="BI597" s="437"/>
      <c r="BJ597" s="437"/>
      <c r="BK597" s="437"/>
      <c r="BL597" s="437"/>
      <c r="BM597" s="393"/>
      <c r="BO597" s="399">
        <f t="shared" si="273"/>
        <v>0</v>
      </c>
      <c r="BP597" s="399">
        <f t="shared" si="274"/>
        <v>0</v>
      </c>
      <c r="BQ597" s="399">
        <f t="shared" si="275"/>
        <v>0</v>
      </c>
      <c r="BR597" s="399">
        <f t="shared" si="276"/>
        <v>0</v>
      </c>
      <c r="BS597" s="399">
        <f t="shared" si="277"/>
        <v>0</v>
      </c>
      <c r="BT597" s="399">
        <f t="shared" si="278"/>
        <v>0</v>
      </c>
      <c r="BU597" s="399">
        <f t="shared" si="279"/>
        <v>0</v>
      </c>
      <c r="BV597" s="399">
        <f t="shared" si="280"/>
        <v>0</v>
      </c>
      <c r="BW597" s="399">
        <f t="shared" si="281"/>
        <v>0</v>
      </c>
      <c r="BX597" s="399">
        <f t="shared" si="282"/>
        <v>0</v>
      </c>
      <c r="BY597" s="399">
        <f t="shared" si="283"/>
        <v>0</v>
      </c>
      <c r="BZ597" s="399">
        <f t="shared" si="284"/>
        <v>0</v>
      </c>
      <c r="CA597" s="399">
        <f t="shared" si="285"/>
        <v>0</v>
      </c>
      <c r="CB597" s="399">
        <f t="shared" si="286"/>
        <v>0</v>
      </c>
      <c r="CC597" s="399">
        <f t="shared" si="287"/>
        <v>0</v>
      </c>
      <c r="CD597" s="399">
        <f t="shared" si="288"/>
        <v>0</v>
      </c>
      <c r="CE597" s="399">
        <f t="shared" si="289"/>
        <v>0</v>
      </c>
      <c r="CF597" s="399">
        <f t="shared" si="290"/>
        <v>0</v>
      </c>
      <c r="CG597" s="399">
        <f t="shared" si="291"/>
        <v>0</v>
      </c>
      <c r="CH597" s="399">
        <f t="shared" si="292"/>
        <v>0</v>
      </c>
      <c r="CI597" s="399">
        <f t="shared" si="293"/>
        <v>0</v>
      </c>
      <c r="CJ597" s="399">
        <f t="shared" si="294"/>
        <v>0</v>
      </c>
      <c r="CK597" s="399">
        <f t="shared" si="295"/>
        <v>0</v>
      </c>
      <c r="CL597" s="399">
        <f t="shared" si="296"/>
        <v>0</v>
      </c>
      <c r="CM597" s="399">
        <f t="shared" si="297"/>
        <v>0</v>
      </c>
      <c r="CN597" s="399">
        <f t="shared" si="298"/>
        <v>0</v>
      </c>
      <c r="CO597" s="399">
        <f t="shared" si="299"/>
        <v>0</v>
      </c>
      <c r="CP597" s="399">
        <f t="shared" si="300"/>
        <v>0</v>
      </c>
      <c r="CQ597" s="423">
        <f t="shared" si="301"/>
        <v>0</v>
      </c>
      <c r="CS597" s="394" t="e">
        <f t="shared" si="302"/>
        <v>#DIV/0!</v>
      </c>
    </row>
    <row r="598" spans="3:97">
      <c r="C598" s="107"/>
      <c r="D598" s="395"/>
      <c r="E598" s="84"/>
      <c r="F598" s="84"/>
      <c r="G598" s="389"/>
      <c r="H598" s="390"/>
      <c r="I598" s="390"/>
      <c r="J598" s="390"/>
      <c r="K598" s="390"/>
      <c r="L598" s="390"/>
      <c r="M598" s="390"/>
      <c r="N598" s="390"/>
      <c r="O598" s="390"/>
      <c r="P598" s="390"/>
      <c r="Q598" s="390"/>
      <c r="R598" s="390"/>
      <c r="S598" s="390"/>
      <c r="T598" s="390"/>
      <c r="U598" s="390"/>
      <c r="V598" s="390"/>
      <c r="W598" s="390"/>
      <c r="X598" s="390"/>
      <c r="Y598" s="390"/>
      <c r="Z598" s="390"/>
      <c r="AA598" s="390"/>
      <c r="AB598" s="390"/>
      <c r="AC598" s="390"/>
      <c r="AD598" s="390"/>
      <c r="AE598" s="390"/>
      <c r="AF598" s="390"/>
      <c r="AG598" s="390"/>
      <c r="AH598" s="390"/>
      <c r="AI598" s="391"/>
      <c r="AK598" s="437"/>
      <c r="AL598" s="437"/>
      <c r="AM598" s="437"/>
      <c r="AN598" s="437"/>
      <c r="AO598" s="437"/>
      <c r="AP598" s="437"/>
      <c r="AQ598" s="437"/>
      <c r="AR598" s="437"/>
      <c r="AS598" s="437"/>
      <c r="AT598" s="437"/>
      <c r="AU598" s="437"/>
      <c r="AV598" s="437"/>
      <c r="AW598" s="437"/>
      <c r="AX598" s="437"/>
      <c r="AY598" s="437"/>
      <c r="AZ598" s="437"/>
      <c r="BA598" s="437"/>
      <c r="BB598" s="437"/>
      <c r="BC598" s="437"/>
      <c r="BD598" s="437"/>
      <c r="BE598" s="437"/>
      <c r="BF598" s="437"/>
      <c r="BG598" s="437"/>
      <c r="BH598" s="437"/>
      <c r="BI598" s="437"/>
      <c r="BJ598" s="437"/>
      <c r="BK598" s="437"/>
      <c r="BL598" s="437"/>
      <c r="BM598" s="393"/>
      <c r="BO598" s="399">
        <f t="shared" si="273"/>
        <v>0</v>
      </c>
      <c r="BP598" s="399">
        <f t="shared" si="274"/>
        <v>0</v>
      </c>
      <c r="BQ598" s="399">
        <f t="shared" si="275"/>
        <v>0</v>
      </c>
      <c r="BR598" s="399">
        <f t="shared" si="276"/>
        <v>0</v>
      </c>
      <c r="BS598" s="399">
        <f t="shared" si="277"/>
        <v>0</v>
      </c>
      <c r="BT598" s="399">
        <f t="shared" si="278"/>
        <v>0</v>
      </c>
      <c r="BU598" s="399">
        <f t="shared" si="279"/>
        <v>0</v>
      </c>
      <c r="BV598" s="399">
        <f t="shared" si="280"/>
        <v>0</v>
      </c>
      <c r="BW598" s="399">
        <f t="shared" si="281"/>
        <v>0</v>
      </c>
      <c r="BX598" s="399">
        <f t="shared" si="282"/>
        <v>0</v>
      </c>
      <c r="BY598" s="399">
        <f t="shared" si="283"/>
        <v>0</v>
      </c>
      <c r="BZ598" s="399">
        <f t="shared" si="284"/>
        <v>0</v>
      </c>
      <c r="CA598" s="399">
        <f t="shared" si="285"/>
        <v>0</v>
      </c>
      <c r="CB598" s="399">
        <f t="shared" si="286"/>
        <v>0</v>
      </c>
      <c r="CC598" s="399">
        <f t="shared" si="287"/>
        <v>0</v>
      </c>
      <c r="CD598" s="399">
        <f t="shared" si="288"/>
        <v>0</v>
      </c>
      <c r="CE598" s="399">
        <f t="shared" si="289"/>
        <v>0</v>
      </c>
      <c r="CF598" s="399">
        <f t="shared" si="290"/>
        <v>0</v>
      </c>
      <c r="CG598" s="399">
        <f t="shared" si="291"/>
        <v>0</v>
      </c>
      <c r="CH598" s="399">
        <f t="shared" si="292"/>
        <v>0</v>
      </c>
      <c r="CI598" s="399">
        <f t="shared" si="293"/>
        <v>0</v>
      </c>
      <c r="CJ598" s="399">
        <f t="shared" si="294"/>
        <v>0</v>
      </c>
      <c r="CK598" s="399">
        <f t="shared" si="295"/>
        <v>0</v>
      </c>
      <c r="CL598" s="399">
        <f t="shared" si="296"/>
        <v>0</v>
      </c>
      <c r="CM598" s="399">
        <f t="shared" si="297"/>
        <v>0</v>
      </c>
      <c r="CN598" s="399">
        <f t="shared" si="298"/>
        <v>0</v>
      </c>
      <c r="CO598" s="399">
        <f t="shared" si="299"/>
        <v>0</v>
      </c>
      <c r="CP598" s="399">
        <f t="shared" si="300"/>
        <v>0</v>
      </c>
      <c r="CQ598" s="423">
        <f t="shared" si="301"/>
        <v>0</v>
      </c>
      <c r="CS598" s="394" t="e">
        <f t="shared" si="302"/>
        <v>#DIV/0!</v>
      </c>
    </row>
    <row r="599" spans="3:97">
      <c r="C599" s="107"/>
      <c r="D599" s="395"/>
      <c r="E599" s="84"/>
      <c r="F599" s="84"/>
      <c r="G599" s="389"/>
      <c r="H599" s="390"/>
      <c r="I599" s="390"/>
      <c r="J599" s="390"/>
      <c r="K599" s="390"/>
      <c r="L599" s="390"/>
      <c r="M599" s="390"/>
      <c r="N599" s="390"/>
      <c r="O599" s="390"/>
      <c r="P599" s="390"/>
      <c r="Q599" s="390"/>
      <c r="R599" s="390"/>
      <c r="S599" s="390"/>
      <c r="T599" s="390"/>
      <c r="U599" s="390"/>
      <c r="V599" s="390"/>
      <c r="W599" s="390"/>
      <c r="X599" s="390"/>
      <c r="Y599" s="390"/>
      <c r="Z599" s="390"/>
      <c r="AA599" s="390"/>
      <c r="AB599" s="390"/>
      <c r="AC599" s="390"/>
      <c r="AD599" s="390"/>
      <c r="AE599" s="390"/>
      <c r="AF599" s="390"/>
      <c r="AG599" s="390"/>
      <c r="AH599" s="390"/>
      <c r="AI599" s="391"/>
      <c r="AK599" s="437"/>
      <c r="AL599" s="437"/>
      <c r="AM599" s="437"/>
      <c r="AN599" s="437"/>
      <c r="AO599" s="437"/>
      <c r="AP599" s="437"/>
      <c r="AQ599" s="437"/>
      <c r="AR599" s="437"/>
      <c r="AS599" s="437"/>
      <c r="AT599" s="437"/>
      <c r="AU599" s="437"/>
      <c r="AV599" s="437"/>
      <c r="AW599" s="437"/>
      <c r="AX599" s="437"/>
      <c r="AY599" s="437"/>
      <c r="AZ599" s="437"/>
      <c r="BA599" s="437"/>
      <c r="BB599" s="437"/>
      <c r="BC599" s="437"/>
      <c r="BD599" s="437"/>
      <c r="BE599" s="437"/>
      <c r="BF599" s="437"/>
      <c r="BG599" s="437"/>
      <c r="BH599" s="437"/>
      <c r="BI599" s="437"/>
      <c r="BJ599" s="437"/>
      <c r="BK599" s="437"/>
      <c r="BL599" s="437"/>
      <c r="BM599" s="393"/>
      <c r="BO599" s="399">
        <f t="shared" si="273"/>
        <v>0</v>
      </c>
      <c r="BP599" s="399">
        <f t="shared" si="274"/>
        <v>0</v>
      </c>
      <c r="BQ599" s="399">
        <f t="shared" si="275"/>
        <v>0</v>
      </c>
      <c r="BR599" s="399">
        <f t="shared" si="276"/>
        <v>0</v>
      </c>
      <c r="BS599" s="399">
        <f t="shared" si="277"/>
        <v>0</v>
      </c>
      <c r="BT599" s="399">
        <f t="shared" si="278"/>
        <v>0</v>
      </c>
      <c r="BU599" s="399">
        <f t="shared" si="279"/>
        <v>0</v>
      </c>
      <c r="BV599" s="399">
        <f t="shared" si="280"/>
        <v>0</v>
      </c>
      <c r="BW599" s="399">
        <f t="shared" si="281"/>
        <v>0</v>
      </c>
      <c r="BX599" s="399">
        <f t="shared" si="282"/>
        <v>0</v>
      </c>
      <c r="BY599" s="399">
        <f t="shared" si="283"/>
        <v>0</v>
      </c>
      <c r="BZ599" s="399">
        <f t="shared" si="284"/>
        <v>0</v>
      </c>
      <c r="CA599" s="399">
        <f t="shared" si="285"/>
        <v>0</v>
      </c>
      <c r="CB599" s="399">
        <f t="shared" si="286"/>
        <v>0</v>
      </c>
      <c r="CC599" s="399">
        <f t="shared" si="287"/>
        <v>0</v>
      </c>
      <c r="CD599" s="399">
        <f t="shared" si="288"/>
        <v>0</v>
      </c>
      <c r="CE599" s="399">
        <f t="shared" si="289"/>
        <v>0</v>
      </c>
      <c r="CF599" s="399">
        <f t="shared" si="290"/>
        <v>0</v>
      </c>
      <c r="CG599" s="399">
        <f t="shared" si="291"/>
        <v>0</v>
      </c>
      <c r="CH599" s="399">
        <f t="shared" si="292"/>
        <v>0</v>
      </c>
      <c r="CI599" s="399">
        <f t="shared" si="293"/>
        <v>0</v>
      </c>
      <c r="CJ599" s="399">
        <f t="shared" si="294"/>
        <v>0</v>
      </c>
      <c r="CK599" s="399">
        <f t="shared" si="295"/>
        <v>0</v>
      </c>
      <c r="CL599" s="399">
        <f t="shared" si="296"/>
        <v>0</v>
      </c>
      <c r="CM599" s="399">
        <f t="shared" si="297"/>
        <v>0</v>
      </c>
      <c r="CN599" s="399">
        <f t="shared" si="298"/>
        <v>0</v>
      </c>
      <c r="CO599" s="399">
        <f t="shared" si="299"/>
        <v>0</v>
      </c>
      <c r="CP599" s="399">
        <f t="shared" si="300"/>
        <v>0</v>
      </c>
      <c r="CQ599" s="423">
        <f t="shared" si="301"/>
        <v>0</v>
      </c>
      <c r="CS599" s="394" t="e">
        <f t="shared" si="302"/>
        <v>#DIV/0!</v>
      </c>
    </row>
    <row r="600" spans="3:97">
      <c r="C600" s="107"/>
      <c r="D600" s="395"/>
      <c r="E600" s="84"/>
      <c r="F600" s="84"/>
      <c r="G600" s="389"/>
      <c r="H600" s="390"/>
      <c r="I600" s="390"/>
      <c r="J600" s="390"/>
      <c r="K600" s="390"/>
      <c r="L600" s="390"/>
      <c r="M600" s="390"/>
      <c r="N600" s="390"/>
      <c r="O600" s="390"/>
      <c r="P600" s="390"/>
      <c r="Q600" s="390"/>
      <c r="R600" s="390"/>
      <c r="S600" s="390"/>
      <c r="T600" s="390"/>
      <c r="U600" s="390"/>
      <c r="V600" s="390"/>
      <c r="W600" s="390"/>
      <c r="X600" s="390"/>
      <c r="Y600" s="390"/>
      <c r="Z600" s="390"/>
      <c r="AA600" s="390"/>
      <c r="AB600" s="390"/>
      <c r="AC600" s="390"/>
      <c r="AD600" s="390"/>
      <c r="AE600" s="390"/>
      <c r="AF600" s="390"/>
      <c r="AG600" s="390"/>
      <c r="AH600" s="390"/>
      <c r="AI600" s="391"/>
      <c r="AK600" s="437"/>
      <c r="AL600" s="437"/>
      <c r="AM600" s="437"/>
      <c r="AN600" s="437"/>
      <c r="AO600" s="437"/>
      <c r="AP600" s="437"/>
      <c r="AQ600" s="437"/>
      <c r="AR600" s="437"/>
      <c r="AS600" s="437"/>
      <c r="AT600" s="437"/>
      <c r="AU600" s="437"/>
      <c r="AV600" s="437"/>
      <c r="AW600" s="437"/>
      <c r="AX600" s="437"/>
      <c r="AY600" s="437"/>
      <c r="AZ600" s="437"/>
      <c r="BA600" s="437"/>
      <c r="BB600" s="437"/>
      <c r="BC600" s="437"/>
      <c r="BD600" s="437"/>
      <c r="BE600" s="437"/>
      <c r="BF600" s="437"/>
      <c r="BG600" s="437"/>
      <c r="BH600" s="437"/>
      <c r="BI600" s="437"/>
      <c r="BJ600" s="437"/>
      <c r="BK600" s="437"/>
      <c r="BL600" s="437"/>
      <c r="BM600" s="393"/>
      <c r="BO600" s="399">
        <f t="shared" si="273"/>
        <v>0</v>
      </c>
      <c r="BP600" s="399">
        <f t="shared" si="274"/>
        <v>0</v>
      </c>
      <c r="BQ600" s="399">
        <f t="shared" si="275"/>
        <v>0</v>
      </c>
      <c r="BR600" s="399">
        <f t="shared" si="276"/>
        <v>0</v>
      </c>
      <c r="BS600" s="399">
        <f t="shared" si="277"/>
        <v>0</v>
      </c>
      <c r="BT600" s="399">
        <f t="shared" si="278"/>
        <v>0</v>
      </c>
      <c r="BU600" s="399">
        <f t="shared" si="279"/>
        <v>0</v>
      </c>
      <c r="BV600" s="399">
        <f t="shared" si="280"/>
        <v>0</v>
      </c>
      <c r="BW600" s="399">
        <f t="shared" si="281"/>
        <v>0</v>
      </c>
      <c r="BX600" s="399">
        <f t="shared" si="282"/>
        <v>0</v>
      </c>
      <c r="BY600" s="399">
        <f t="shared" si="283"/>
        <v>0</v>
      </c>
      <c r="BZ600" s="399">
        <f t="shared" si="284"/>
        <v>0</v>
      </c>
      <c r="CA600" s="399">
        <f t="shared" si="285"/>
        <v>0</v>
      </c>
      <c r="CB600" s="399">
        <f t="shared" si="286"/>
        <v>0</v>
      </c>
      <c r="CC600" s="399">
        <f t="shared" si="287"/>
        <v>0</v>
      </c>
      <c r="CD600" s="399">
        <f t="shared" si="288"/>
        <v>0</v>
      </c>
      <c r="CE600" s="399">
        <f t="shared" si="289"/>
        <v>0</v>
      </c>
      <c r="CF600" s="399">
        <f t="shared" si="290"/>
        <v>0</v>
      </c>
      <c r="CG600" s="399">
        <f t="shared" si="291"/>
        <v>0</v>
      </c>
      <c r="CH600" s="399">
        <f t="shared" si="292"/>
        <v>0</v>
      </c>
      <c r="CI600" s="399">
        <f t="shared" si="293"/>
        <v>0</v>
      </c>
      <c r="CJ600" s="399">
        <f t="shared" si="294"/>
        <v>0</v>
      </c>
      <c r="CK600" s="399">
        <f t="shared" si="295"/>
        <v>0</v>
      </c>
      <c r="CL600" s="399">
        <f t="shared" si="296"/>
        <v>0</v>
      </c>
      <c r="CM600" s="399">
        <f t="shared" si="297"/>
        <v>0</v>
      </c>
      <c r="CN600" s="399">
        <f t="shared" si="298"/>
        <v>0</v>
      </c>
      <c r="CO600" s="399">
        <f t="shared" si="299"/>
        <v>0</v>
      </c>
      <c r="CP600" s="399">
        <f t="shared" si="300"/>
        <v>0</v>
      </c>
      <c r="CQ600" s="423">
        <f t="shared" si="301"/>
        <v>0</v>
      </c>
      <c r="CS600" s="394" t="e">
        <f t="shared" si="302"/>
        <v>#DIV/0!</v>
      </c>
    </row>
    <row r="601" spans="3:97">
      <c r="C601" s="107"/>
      <c r="D601" s="395"/>
      <c r="E601" s="84"/>
      <c r="F601" s="84"/>
      <c r="G601" s="389"/>
      <c r="H601" s="390"/>
      <c r="I601" s="390"/>
      <c r="J601" s="390"/>
      <c r="K601" s="390"/>
      <c r="L601" s="390"/>
      <c r="M601" s="390"/>
      <c r="N601" s="390"/>
      <c r="O601" s="390"/>
      <c r="P601" s="390"/>
      <c r="Q601" s="390"/>
      <c r="R601" s="390"/>
      <c r="S601" s="390"/>
      <c r="T601" s="390"/>
      <c r="U601" s="390"/>
      <c r="V601" s="390"/>
      <c r="W601" s="390"/>
      <c r="X601" s="390"/>
      <c r="Y601" s="390"/>
      <c r="Z601" s="390"/>
      <c r="AA601" s="390"/>
      <c r="AB601" s="390"/>
      <c r="AC601" s="390"/>
      <c r="AD601" s="390"/>
      <c r="AE601" s="390"/>
      <c r="AF601" s="390"/>
      <c r="AG601" s="390"/>
      <c r="AH601" s="390"/>
      <c r="AI601" s="391"/>
      <c r="AK601" s="437"/>
      <c r="AL601" s="437"/>
      <c r="AM601" s="437"/>
      <c r="AN601" s="437"/>
      <c r="AO601" s="437"/>
      <c r="AP601" s="437"/>
      <c r="AQ601" s="437"/>
      <c r="AR601" s="437"/>
      <c r="AS601" s="437"/>
      <c r="AT601" s="437"/>
      <c r="AU601" s="437"/>
      <c r="AV601" s="437"/>
      <c r="AW601" s="437"/>
      <c r="AX601" s="437"/>
      <c r="AY601" s="437"/>
      <c r="AZ601" s="437"/>
      <c r="BA601" s="437"/>
      <c r="BB601" s="437"/>
      <c r="BC601" s="437"/>
      <c r="BD601" s="437"/>
      <c r="BE601" s="437"/>
      <c r="BF601" s="437"/>
      <c r="BG601" s="437"/>
      <c r="BH601" s="437"/>
      <c r="BI601" s="437"/>
      <c r="BJ601" s="437"/>
      <c r="BK601" s="437"/>
      <c r="BL601" s="437"/>
      <c r="BM601" s="393"/>
      <c r="BO601" s="399">
        <f t="shared" si="273"/>
        <v>0</v>
      </c>
      <c r="BP601" s="399">
        <f t="shared" si="274"/>
        <v>0</v>
      </c>
      <c r="BQ601" s="399">
        <f t="shared" si="275"/>
        <v>0</v>
      </c>
      <c r="BR601" s="399">
        <f t="shared" si="276"/>
        <v>0</v>
      </c>
      <c r="BS601" s="399">
        <f t="shared" si="277"/>
        <v>0</v>
      </c>
      <c r="BT601" s="399">
        <f t="shared" si="278"/>
        <v>0</v>
      </c>
      <c r="BU601" s="399">
        <f t="shared" si="279"/>
        <v>0</v>
      </c>
      <c r="BV601" s="399">
        <f t="shared" si="280"/>
        <v>0</v>
      </c>
      <c r="BW601" s="399">
        <f t="shared" si="281"/>
        <v>0</v>
      </c>
      <c r="BX601" s="399">
        <f t="shared" si="282"/>
        <v>0</v>
      </c>
      <c r="BY601" s="399">
        <f t="shared" si="283"/>
        <v>0</v>
      </c>
      <c r="BZ601" s="399">
        <f t="shared" si="284"/>
        <v>0</v>
      </c>
      <c r="CA601" s="399">
        <f t="shared" si="285"/>
        <v>0</v>
      </c>
      <c r="CB601" s="399">
        <f t="shared" si="286"/>
        <v>0</v>
      </c>
      <c r="CC601" s="399">
        <f t="shared" si="287"/>
        <v>0</v>
      </c>
      <c r="CD601" s="399">
        <f t="shared" si="288"/>
        <v>0</v>
      </c>
      <c r="CE601" s="399">
        <f t="shared" si="289"/>
        <v>0</v>
      </c>
      <c r="CF601" s="399">
        <f t="shared" si="290"/>
        <v>0</v>
      </c>
      <c r="CG601" s="399">
        <f t="shared" si="291"/>
        <v>0</v>
      </c>
      <c r="CH601" s="399">
        <f t="shared" si="292"/>
        <v>0</v>
      </c>
      <c r="CI601" s="399">
        <f t="shared" si="293"/>
        <v>0</v>
      </c>
      <c r="CJ601" s="399">
        <f t="shared" si="294"/>
        <v>0</v>
      </c>
      <c r="CK601" s="399">
        <f t="shared" si="295"/>
        <v>0</v>
      </c>
      <c r="CL601" s="399">
        <f t="shared" si="296"/>
        <v>0</v>
      </c>
      <c r="CM601" s="399">
        <f t="shared" si="297"/>
        <v>0</v>
      </c>
      <c r="CN601" s="399">
        <f t="shared" si="298"/>
        <v>0</v>
      </c>
      <c r="CO601" s="399">
        <f t="shared" si="299"/>
        <v>0</v>
      </c>
      <c r="CP601" s="399">
        <f t="shared" si="300"/>
        <v>0</v>
      </c>
      <c r="CQ601" s="423">
        <f t="shared" si="301"/>
        <v>0</v>
      </c>
      <c r="CS601" s="394" t="e">
        <f t="shared" si="302"/>
        <v>#DIV/0!</v>
      </c>
    </row>
    <row r="602" spans="3:97">
      <c r="C602" s="107"/>
      <c r="D602" s="395"/>
      <c r="E602" s="84"/>
      <c r="F602" s="84"/>
      <c r="G602" s="389"/>
      <c r="H602" s="390"/>
      <c r="I602" s="390"/>
      <c r="J602" s="390"/>
      <c r="K602" s="390"/>
      <c r="L602" s="390"/>
      <c r="M602" s="390"/>
      <c r="N602" s="390"/>
      <c r="O602" s="390"/>
      <c r="P602" s="390"/>
      <c r="Q602" s="390"/>
      <c r="R602" s="390"/>
      <c r="S602" s="390"/>
      <c r="T602" s="390"/>
      <c r="U602" s="390"/>
      <c r="V602" s="390"/>
      <c r="W602" s="390"/>
      <c r="X602" s="390"/>
      <c r="Y602" s="390"/>
      <c r="Z602" s="390"/>
      <c r="AA602" s="390"/>
      <c r="AB602" s="390"/>
      <c r="AC602" s="390"/>
      <c r="AD602" s="390"/>
      <c r="AE602" s="390"/>
      <c r="AF602" s="390"/>
      <c r="AG602" s="390"/>
      <c r="AH602" s="390"/>
      <c r="AI602" s="391"/>
      <c r="AK602" s="437"/>
      <c r="AL602" s="437"/>
      <c r="AM602" s="437"/>
      <c r="AN602" s="437"/>
      <c r="AO602" s="437"/>
      <c r="AP602" s="437"/>
      <c r="AQ602" s="437"/>
      <c r="AR602" s="437"/>
      <c r="AS602" s="437"/>
      <c r="AT602" s="437"/>
      <c r="AU602" s="437"/>
      <c r="AV602" s="437"/>
      <c r="AW602" s="437"/>
      <c r="AX602" s="437"/>
      <c r="AY602" s="437"/>
      <c r="AZ602" s="437"/>
      <c r="BA602" s="437"/>
      <c r="BB602" s="437"/>
      <c r="BC602" s="437"/>
      <c r="BD602" s="437"/>
      <c r="BE602" s="437"/>
      <c r="BF602" s="437"/>
      <c r="BG602" s="437"/>
      <c r="BH602" s="437"/>
      <c r="BI602" s="437"/>
      <c r="BJ602" s="437"/>
      <c r="BK602" s="437"/>
      <c r="BL602" s="437"/>
      <c r="BM602" s="393"/>
      <c r="BO602" s="399">
        <f t="shared" si="273"/>
        <v>0</v>
      </c>
      <c r="BP602" s="399">
        <f t="shared" si="274"/>
        <v>0</v>
      </c>
      <c r="BQ602" s="399">
        <f t="shared" si="275"/>
        <v>0</v>
      </c>
      <c r="BR602" s="399">
        <f t="shared" si="276"/>
        <v>0</v>
      </c>
      <c r="BS602" s="399">
        <f t="shared" si="277"/>
        <v>0</v>
      </c>
      <c r="BT602" s="399">
        <f t="shared" si="278"/>
        <v>0</v>
      </c>
      <c r="BU602" s="399">
        <f t="shared" si="279"/>
        <v>0</v>
      </c>
      <c r="BV602" s="399">
        <f t="shared" si="280"/>
        <v>0</v>
      </c>
      <c r="BW602" s="399">
        <f t="shared" si="281"/>
        <v>0</v>
      </c>
      <c r="BX602" s="399">
        <f t="shared" si="282"/>
        <v>0</v>
      </c>
      <c r="BY602" s="399">
        <f t="shared" si="283"/>
        <v>0</v>
      </c>
      <c r="BZ602" s="399">
        <f t="shared" si="284"/>
        <v>0</v>
      </c>
      <c r="CA602" s="399">
        <f t="shared" si="285"/>
        <v>0</v>
      </c>
      <c r="CB602" s="399">
        <f t="shared" si="286"/>
        <v>0</v>
      </c>
      <c r="CC602" s="399">
        <f t="shared" si="287"/>
        <v>0</v>
      </c>
      <c r="CD602" s="399">
        <f t="shared" si="288"/>
        <v>0</v>
      </c>
      <c r="CE602" s="399">
        <f t="shared" si="289"/>
        <v>0</v>
      </c>
      <c r="CF602" s="399">
        <f t="shared" si="290"/>
        <v>0</v>
      </c>
      <c r="CG602" s="399">
        <f t="shared" si="291"/>
        <v>0</v>
      </c>
      <c r="CH602" s="399">
        <f t="shared" si="292"/>
        <v>0</v>
      </c>
      <c r="CI602" s="399">
        <f t="shared" si="293"/>
        <v>0</v>
      </c>
      <c r="CJ602" s="399">
        <f t="shared" si="294"/>
        <v>0</v>
      </c>
      <c r="CK602" s="399">
        <f t="shared" si="295"/>
        <v>0</v>
      </c>
      <c r="CL602" s="399">
        <f t="shared" si="296"/>
        <v>0</v>
      </c>
      <c r="CM602" s="399">
        <f t="shared" si="297"/>
        <v>0</v>
      </c>
      <c r="CN602" s="399">
        <f t="shared" si="298"/>
        <v>0</v>
      </c>
      <c r="CO602" s="399">
        <f t="shared" si="299"/>
        <v>0</v>
      </c>
      <c r="CP602" s="399">
        <f t="shared" si="300"/>
        <v>0</v>
      </c>
      <c r="CQ602" s="423">
        <f t="shared" si="301"/>
        <v>0</v>
      </c>
      <c r="CS602" s="394" t="e">
        <f t="shared" si="302"/>
        <v>#DIV/0!</v>
      </c>
    </row>
    <row r="603" spans="3:97">
      <c r="C603" s="107"/>
      <c r="D603" s="395"/>
      <c r="E603" s="84"/>
      <c r="F603" s="84"/>
      <c r="G603" s="389"/>
      <c r="H603" s="390"/>
      <c r="I603" s="390"/>
      <c r="J603" s="390"/>
      <c r="K603" s="390"/>
      <c r="L603" s="390"/>
      <c r="M603" s="390"/>
      <c r="N603" s="390"/>
      <c r="O603" s="390"/>
      <c r="P603" s="390"/>
      <c r="Q603" s="390"/>
      <c r="R603" s="390"/>
      <c r="S603" s="390"/>
      <c r="T603" s="390"/>
      <c r="U603" s="390"/>
      <c r="V603" s="390"/>
      <c r="W603" s="390"/>
      <c r="X603" s="390"/>
      <c r="Y603" s="390"/>
      <c r="Z603" s="390"/>
      <c r="AA603" s="390"/>
      <c r="AB603" s="390"/>
      <c r="AC603" s="390"/>
      <c r="AD603" s="390"/>
      <c r="AE603" s="390"/>
      <c r="AF603" s="390"/>
      <c r="AG603" s="390"/>
      <c r="AH603" s="390"/>
      <c r="AI603" s="391"/>
      <c r="AK603" s="437"/>
      <c r="AL603" s="437"/>
      <c r="AM603" s="437"/>
      <c r="AN603" s="437"/>
      <c r="AO603" s="437"/>
      <c r="AP603" s="437"/>
      <c r="AQ603" s="437"/>
      <c r="AR603" s="437"/>
      <c r="AS603" s="437"/>
      <c r="AT603" s="437"/>
      <c r="AU603" s="437"/>
      <c r="AV603" s="437"/>
      <c r="AW603" s="437"/>
      <c r="AX603" s="437"/>
      <c r="AY603" s="437"/>
      <c r="AZ603" s="437"/>
      <c r="BA603" s="437"/>
      <c r="BB603" s="437"/>
      <c r="BC603" s="437"/>
      <c r="BD603" s="437"/>
      <c r="BE603" s="437"/>
      <c r="BF603" s="437"/>
      <c r="BG603" s="437"/>
      <c r="BH603" s="437"/>
      <c r="BI603" s="437"/>
      <c r="BJ603" s="437"/>
      <c r="BK603" s="437"/>
      <c r="BL603" s="437"/>
      <c r="BM603" s="393"/>
      <c r="BO603" s="399">
        <f t="shared" si="273"/>
        <v>0</v>
      </c>
      <c r="BP603" s="399">
        <f t="shared" si="274"/>
        <v>0</v>
      </c>
      <c r="BQ603" s="399">
        <f t="shared" si="275"/>
        <v>0</v>
      </c>
      <c r="BR603" s="399">
        <f t="shared" si="276"/>
        <v>0</v>
      </c>
      <c r="BS603" s="399">
        <f t="shared" si="277"/>
        <v>0</v>
      </c>
      <c r="BT603" s="399">
        <f t="shared" si="278"/>
        <v>0</v>
      </c>
      <c r="BU603" s="399">
        <f t="shared" si="279"/>
        <v>0</v>
      </c>
      <c r="BV603" s="399">
        <f t="shared" si="280"/>
        <v>0</v>
      </c>
      <c r="BW603" s="399">
        <f t="shared" si="281"/>
        <v>0</v>
      </c>
      <c r="BX603" s="399">
        <f t="shared" si="282"/>
        <v>0</v>
      </c>
      <c r="BY603" s="399">
        <f t="shared" si="283"/>
        <v>0</v>
      </c>
      <c r="BZ603" s="399">
        <f t="shared" si="284"/>
        <v>0</v>
      </c>
      <c r="CA603" s="399">
        <f t="shared" si="285"/>
        <v>0</v>
      </c>
      <c r="CB603" s="399">
        <f t="shared" si="286"/>
        <v>0</v>
      </c>
      <c r="CC603" s="399">
        <f t="shared" si="287"/>
        <v>0</v>
      </c>
      <c r="CD603" s="399">
        <f t="shared" si="288"/>
        <v>0</v>
      </c>
      <c r="CE603" s="399">
        <f t="shared" si="289"/>
        <v>0</v>
      </c>
      <c r="CF603" s="399">
        <f t="shared" si="290"/>
        <v>0</v>
      </c>
      <c r="CG603" s="399">
        <f t="shared" si="291"/>
        <v>0</v>
      </c>
      <c r="CH603" s="399">
        <f t="shared" si="292"/>
        <v>0</v>
      </c>
      <c r="CI603" s="399">
        <f t="shared" si="293"/>
        <v>0</v>
      </c>
      <c r="CJ603" s="399">
        <f t="shared" si="294"/>
        <v>0</v>
      </c>
      <c r="CK603" s="399">
        <f t="shared" si="295"/>
        <v>0</v>
      </c>
      <c r="CL603" s="399">
        <f t="shared" si="296"/>
        <v>0</v>
      </c>
      <c r="CM603" s="399">
        <f t="shared" si="297"/>
        <v>0</v>
      </c>
      <c r="CN603" s="399">
        <f t="shared" si="298"/>
        <v>0</v>
      </c>
      <c r="CO603" s="399">
        <f t="shared" si="299"/>
        <v>0</v>
      </c>
      <c r="CP603" s="399">
        <f t="shared" si="300"/>
        <v>0</v>
      </c>
      <c r="CQ603" s="423">
        <f t="shared" si="301"/>
        <v>0</v>
      </c>
      <c r="CS603" s="394" t="e">
        <f t="shared" si="302"/>
        <v>#DIV/0!</v>
      </c>
    </row>
    <row r="604" spans="3:97">
      <c r="C604" s="107"/>
      <c r="D604" s="395"/>
      <c r="E604" s="84"/>
      <c r="F604" s="84"/>
      <c r="G604" s="389"/>
      <c r="H604" s="390"/>
      <c r="I604" s="390"/>
      <c r="J604" s="390"/>
      <c r="K604" s="390"/>
      <c r="L604" s="390"/>
      <c r="M604" s="390"/>
      <c r="N604" s="390"/>
      <c r="O604" s="390"/>
      <c r="P604" s="390"/>
      <c r="Q604" s="390"/>
      <c r="R604" s="390"/>
      <c r="S604" s="390"/>
      <c r="T604" s="390"/>
      <c r="U604" s="390"/>
      <c r="V604" s="390"/>
      <c r="W604" s="390"/>
      <c r="X604" s="390"/>
      <c r="Y604" s="390"/>
      <c r="Z604" s="390"/>
      <c r="AA604" s="390"/>
      <c r="AB604" s="390"/>
      <c r="AC604" s="390"/>
      <c r="AD604" s="390"/>
      <c r="AE604" s="390"/>
      <c r="AF604" s="390"/>
      <c r="AG604" s="390"/>
      <c r="AH604" s="390"/>
      <c r="AI604" s="391"/>
      <c r="AK604" s="437"/>
      <c r="AL604" s="437"/>
      <c r="AM604" s="437"/>
      <c r="AN604" s="437"/>
      <c r="AO604" s="437"/>
      <c r="AP604" s="437"/>
      <c r="AQ604" s="437"/>
      <c r="AR604" s="437"/>
      <c r="AS604" s="437"/>
      <c r="AT604" s="437"/>
      <c r="AU604" s="437"/>
      <c r="AV604" s="437"/>
      <c r="AW604" s="437"/>
      <c r="AX604" s="437"/>
      <c r="AY604" s="437"/>
      <c r="AZ604" s="437"/>
      <c r="BA604" s="437"/>
      <c r="BB604" s="437"/>
      <c r="BC604" s="437"/>
      <c r="BD604" s="437"/>
      <c r="BE604" s="437"/>
      <c r="BF604" s="437"/>
      <c r="BG604" s="437"/>
      <c r="BH604" s="437"/>
      <c r="BI604" s="437"/>
      <c r="BJ604" s="437"/>
      <c r="BK604" s="437"/>
      <c r="BL604" s="437"/>
      <c r="BM604" s="393"/>
      <c r="BO604" s="399">
        <f t="shared" si="273"/>
        <v>0</v>
      </c>
      <c r="BP604" s="399">
        <f t="shared" si="274"/>
        <v>0</v>
      </c>
      <c r="BQ604" s="399">
        <f t="shared" si="275"/>
        <v>0</v>
      </c>
      <c r="BR604" s="399">
        <f t="shared" si="276"/>
        <v>0</v>
      </c>
      <c r="BS604" s="399">
        <f t="shared" si="277"/>
        <v>0</v>
      </c>
      <c r="BT604" s="399">
        <f t="shared" si="278"/>
        <v>0</v>
      </c>
      <c r="BU604" s="399">
        <f t="shared" si="279"/>
        <v>0</v>
      </c>
      <c r="BV604" s="399">
        <f t="shared" si="280"/>
        <v>0</v>
      </c>
      <c r="BW604" s="399">
        <f t="shared" si="281"/>
        <v>0</v>
      </c>
      <c r="BX604" s="399">
        <f t="shared" si="282"/>
        <v>0</v>
      </c>
      <c r="BY604" s="399">
        <f t="shared" si="283"/>
        <v>0</v>
      </c>
      <c r="BZ604" s="399">
        <f t="shared" si="284"/>
        <v>0</v>
      </c>
      <c r="CA604" s="399">
        <f t="shared" si="285"/>
        <v>0</v>
      </c>
      <c r="CB604" s="399">
        <f t="shared" si="286"/>
        <v>0</v>
      </c>
      <c r="CC604" s="399">
        <f t="shared" si="287"/>
        <v>0</v>
      </c>
      <c r="CD604" s="399">
        <f t="shared" si="288"/>
        <v>0</v>
      </c>
      <c r="CE604" s="399">
        <f t="shared" si="289"/>
        <v>0</v>
      </c>
      <c r="CF604" s="399">
        <f t="shared" si="290"/>
        <v>0</v>
      </c>
      <c r="CG604" s="399">
        <f t="shared" si="291"/>
        <v>0</v>
      </c>
      <c r="CH604" s="399">
        <f t="shared" si="292"/>
        <v>0</v>
      </c>
      <c r="CI604" s="399">
        <f t="shared" si="293"/>
        <v>0</v>
      </c>
      <c r="CJ604" s="399">
        <f t="shared" si="294"/>
        <v>0</v>
      </c>
      <c r="CK604" s="399">
        <f t="shared" si="295"/>
        <v>0</v>
      </c>
      <c r="CL604" s="399">
        <f t="shared" si="296"/>
        <v>0</v>
      </c>
      <c r="CM604" s="399">
        <f t="shared" si="297"/>
        <v>0</v>
      </c>
      <c r="CN604" s="399">
        <f t="shared" si="298"/>
        <v>0</v>
      </c>
      <c r="CO604" s="399">
        <f t="shared" si="299"/>
        <v>0</v>
      </c>
      <c r="CP604" s="399">
        <f t="shared" si="300"/>
        <v>0</v>
      </c>
      <c r="CQ604" s="423">
        <f t="shared" si="301"/>
        <v>0</v>
      </c>
      <c r="CS604" s="394" t="e">
        <f t="shared" si="302"/>
        <v>#DIV/0!</v>
      </c>
    </row>
    <row r="605" spans="3:97">
      <c r="C605" s="107"/>
      <c r="D605" s="395"/>
      <c r="E605" s="84"/>
      <c r="F605" s="84"/>
      <c r="G605" s="389"/>
      <c r="H605" s="390"/>
      <c r="I605" s="390"/>
      <c r="J605" s="390"/>
      <c r="K605" s="390"/>
      <c r="L605" s="390"/>
      <c r="M605" s="390"/>
      <c r="N605" s="390"/>
      <c r="O605" s="390"/>
      <c r="P605" s="390"/>
      <c r="Q605" s="390"/>
      <c r="R605" s="390"/>
      <c r="S605" s="390"/>
      <c r="T605" s="390"/>
      <c r="U605" s="390"/>
      <c r="V605" s="390"/>
      <c r="W605" s="390"/>
      <c r="X605" s="390"/>
      <c r="Y605" s="390"/>
      <c r="Z605" s="390"/>
      <c r="AA605" s="390"/>
      <c r="AB605" s="390"/>
      <c r="AC605" s="390"/>
      <c r="AD605" s="390"/>
      <c r="AE605" s="390"/>
      <c r="AF605" s="390"/>
      <c r="AG605" s="390"/>
      <c r="AH605" s="390"/>
      <c r="AI605" s="391"/>
      <c r="AK605" s="437"/>
      <c r="AL605" s="437"/>
      <c r="AM605" s="437"/>
      <c r="AN605" s="437"/>
      <c r="AO605" s="437"/>
      <c r="AP605" s="437"/>
      <c r="AQ605" s="437"/>
      <c r="AR605" s="437"/>
      <c r="AS605" s="437"/>
      <c r="AT605" s="437"/>
      <c r="AU605" s="437"/>
      <c r="AV605" s="437"/>
      <c r="AW605" s="437"/>
      <c r="AX605" s="437"/>
      <c r="AY605" s="437"/>
      <c r="AZ605" s="437"/>
      <c r="BA605" s="437"/>
      <c r="BB605" s="437"/>
      <c r="BC605" s="437"/>
      <c r="BD605" s="437"/>
      <c r="BE605" s="437"/>
      <c r="BF605" s="437"/>
      <c r="BG605" s="437"/>
      <c r="BH605" s="437"/>
      <c r="BI605" s="437"/>
      <c r="BJ605" s="437"/>
      <c r="BK605" s="437"/>
      <c r="BL605" s="437"/>
      <c r="BM605" s="393"/>
      <c r="BO605" s="399">
        <f t="shared" si="273"/>
        <v>0</v>
      </c>
      <c r="BP605" s="399">
        <f t="shared" si="274"/>
        <v>0</v>
      </c>
      <c r="BQ605" s="399">
        <f t="shared" si="275"/>
        <v>0</v>
      </c>
      <c r="BR605" s="399">
        <f t="shared" si="276"/>
        <v>0</v>
      </c>
      <c r="BS605" s="399">
        <f t="shared" si="277"/>
        <v>0</v>
      </c>
      <c r="BT605" s="399">
        <f t="shared" si="278"/>
        <v>0</v>
      </c>
      <c r="BU605" s="399">
        <f t="shared" si="279"/>
        <v>0</v>
      </c>
      <c r="BV605" s="399">
        <f t="shared" si="280"/>
        <v>0</v>
      </c>
      <c r="BW605" s="399">
        <f t="shared" si="281"/>
        <v>0</v>
      </c>
      <c r="BX605" s="399">
        <f t="shared" si="282"/>
        <v>0</v>
      </c>
      <c r="BY605" s="399">
        <f t="shared" si="283"/>
        <v>0</v>
      </c>
      <c r="BZ605" s="399">
        <f t="shared" si="284"/>
        <v>0</v>
      </c>
      <c r="CA605" s="399">
        <f t="shared" si="285"/>
        <v>0</v>
      </c>
      <c r="CB605" s="399">
        <f t="shared" si="286"/>
        <v>0</v>
      </c>
      <c r="CC605" s="399">
        <f t="shared" si="287"/>
        <v>0</v>
      </c>
      <c r="CD605" s="399">
        <f t="shared" si="288"/>
        <v>0</v>
      </c>
      <c r="CE605" s="399">
        <f t="shared" si="289"/>
        <v>0</v>
      </c>
      <c r="CF605" s="399">
        <f t="shared" si="290"/>
        <v>0</v>
      </c>
      <c r="CG605" s="399">
        <f t="shared" si="291"/>
        <v>0</v>
      </c>
      <c r="CH605" s="399">
        <f t="shared" si="292"/>
        <v>0</v>
      </c>
      <c r="CI605" s="399">
        <f t="shared" si="293"/>
        <v>0</v>
      </c>
      <c r="CJ605" s="399">
        <f t="shared" si="294"/>
        <v>0</v>
      </c>
      <c r="CK605" s="399">
        <f t="shared" si="295"/>
        <v>0</v>
      </c>
      <c r="CL605" s="399">
        <f t="shared" si="296"/>
        <v>0</v>
      </c>
      <c r="CM605" s="399">
        <f t="shared" si="297"/>
        <v>0</v>
      </c>
      <c r="CN605" s="399">
        <f t="shared" si="298"/>
        <v>0</v>
      </c>
      <c r="CO605" s="399">
        <f t="shared" si="299"/>
        <v>0</v>
      </c>
      <c r="CP605" s="399">
        <f t="shared" si="300"/>
        <v>0</v>
      </c>
      <c r="CQ605" s="423">
        <f t="shared" si="301"/>
        <v>0</v>
      </c>
      <c r="CS605" s="394" t="e">
        <f t="shared" si="302"/>
        <v>#DIV/0!</v>
      </c>
    </row>
    <row r="606" spans="3:97">
      <c r="C606" s="107"/>
      <c r="D606" s="395"/>
      <c r="E606" s="84"/>
      <c r="F606" s="84"/>
      <c r="G606" s="389"/>
      <c r="H606" s="390"/>
      <c r="I606" s="390"/>
      <c r="J606" s="390"/>
      <c r="K606" s="390"/>
      <c r="L606" s="390"/>
      <c r="M606" s="390"/>
      <c r="N606" s="390"/>
      <c r="O606" s="390"/>
      <c r="P606" s="390"/>
      <c r="Q606" s="390"/>
      <c r="R606" s="390"/>
      <c r="S606" s="390"/>
      <c r="T606" s="390"/>
      <c r="U606" s="390"/>
      <c r="V606" s="390"/>
      <c r="W606" s="390"/>
      <c r="X606" s="390"/>
      <c r="Y606" s="390"/>
      <c r="Z606" s="390"/>
      <c r="AA606" s="390"/>
      <c r="AB606" s="390"/>
      <c r="AC606" s="390"/>
      <c r="AD606" s="390"/>
      <c r="AE606" s="390"/>
      <c r="AF606" s="390"/>
      <c r="AG606" s="390"/>
      <c r="AH606" s="390"/>
      <c r="AI606" s="391"/>
      <c r="AK606" s="437"/>
      <c r="AL606" s="437"/>
      <c r="AM606" s="437"/>
      <c r="AN606" s="437"/>
      <c r="AO606" s="437"/>
      <c r="AP606" s="437"/>
      <c r="AQ606" s="437"/>
      <c r="AR606" s="437"/>
      <c r="AS606" s="437"/>
      <c r="AT606" s="437"/>
      <c r="AU606" s="437"/>
      <c r="AV606" s="437"/>
      <c r="AW606" s="437"/>
      <c r="AX606" s="437"/>
      <c r="AY606" s="437"/>
      <c r="AZ606" s="437"/>
      <c r="BA606" s="437"/>
      <c r="BB606" s="437"/>
      <c r="BC606" s="437"/>
      <c r="BD606" s="437"/>
      <c r="BE606" s="437"/>
      <c r="BF606" s="437"/>
      <c r="BG606" s="437"/>
      <c r="BH606" s="437"/>
      <c r="BI606" s="437"/>
      <c r="BJ606" s="437"/>
      <c r="BK606" s="437"/>
      <c r="BL606" s="437"/>
      <c r="BM606" s="393"/>
      <c r="BO606" s="399">
        <f t="shared" si="273"/>
        <v>0</v>
      </c>
      <c r="BP606" s="399">
        <f t="shared" si="274"/>
        <v>0</v>
      </c>
      <c r="BQ606" s="399">
        <f t="shared" si="275"/>
        <v>0</v>
      </c>
      <c r="BR606" s="399">
        <f t="shared" si="276"/>
        <v>0</v>
      </c>
      <c r="BS606" s="399">
        <f t="shared" si="277"/>
        <v>0</v>
      </c>
      <c r="BT606" s="399">
        <f t="shared" si="278"/>
        <v>0</v>
      </c>
      <c r="BU606" s="399">
        <f t="shared" si="279"/>
        <v>0</v>
      </c>
      <c r="BV606" s="399">
        <f t="shared" si="280"/>
        <v>0</v>
      </c>
      <c r="BW606" s="399">
        <f t="shared" si="281"/>
        <v>0</v>
      </c>
      <c r="BX606" s="399">
        <f t="shared" si="282"/>
        <v>0</v>
      </c>
      <c r="BY606" s="399">
        <f t="shared" si="283"/>
        <v>0</v>
      </c>
      <c r="BZ606" s="399">
        <f t="shared" si="284"/>
        <v>0</v>
      </c>
      <c r="CA606" s="399">
        <f t="shared" si="285"/>
        <v>0</v>
      </c>
      <c r="CB606" s="399">
        <f t="shared" si="286"/>
        <v>0</v>
      </c>
      <c r="CC606" s="399">
        <f t="shared" si="287"/>
        <v>0</v>
      </c>
      <c r="CD606" s="399">
        <f t="shared" si="288"/>
        <v>0</v>
      </c>
      <c r="CE606" s="399">
        <f t="shared" si="289"/>
        <v>0</v>
      </c>
      <c r="CF606" s="399">
        <f t="shared" si="290"/>
        <v>0</v>
      </c>
      <c r="CG606" s="399">
        <f t="shared" si="291"/>
        <v>0</v>
      </c>
      <c r="CH606" s="399">
        <f t="shared" si="292"/>
        <v>0</v>
      </c>
      <c r="CI606" s="399">
        <f t="shared" si="293"/>
        <v>0</v>
      </c>
      <c r="CJ606" s="399">
        <f t="shared" si="294"/>
        <v>0</v>
      </c>
      <c r="CK606" s="399">
        <f t="shared" si="295"/>
        <v>0</v>
      </c>
      <c r="CL606" s="399">
        <f t="shared" si="296"/>
        <v>0</v>
      </c>
      <c r="CM606" s="399">
        <f t="shared" si="297"/>
        <v>0</v>
      </c>
      <c r="CN606" s="399">
        <f t="shared" si="298"/>
        <v>0</v>
      </c>
      <c r="CO606" s="399">
        <f t="shared" si="299"/>
        <v>0</v>
      </c>
      <c r="CP606" s="399">
        <f t="shared" si="300"/>
        <v>0</v>
      </c>
      <c r="CQ606" s="423">
        <f t="shared" si="301"/>
        <v>0</v>
      </c>
      <c r="CS606" s="394" t="e">
        <f t="shared" si="302"/>
        <v>#DIV/0!</v>
      </c>
    </row>
    <row r="607" spans="3:97">
      <c r="C607" s="107"/>
      <c r="D607" s="395"/>
      <c r="E607" s="84"/>
      <c r="F607" s="84"/>
      <c r="G607" s="389"/>
      <c r="H607" s="390"/>
      <c r="I607" s="390"/>
      <c r="J607" s="390"/>
      <c r="K607" s="390"/>
      <c r="L607" s="390"/>
      <c r="M607" s="390"/>
      <c r="N607" s="390"/>
      <c r="O607" s="390"/>
      <c r="P607" s="390"/>
      <c r="Q607" s="390"/>
      <c r="R607" s="390"/>
      <c r="S607" s="390"/>
      <c r="T607" s="390"/>
      <c r="U607" s="390"/>
      <c r="V607" s="390"/>
      <c r="W607" s="390"/>
      <c r="X607" s="390"/>
      <c r="Y607" s="390"/>
      <c r="Z607" s="390"/>
      <c r="AA607" s="390"/>
      <c r="AB607" s="390"/>
      <c r="AC607" s="390"/>
      <c r="AD607" s="390"/>
      <c r="AE607" s="390"/>
      <c r="AF607" s="390"/>
      <c r="AG607" s="390"/>
      <c r="AH607" s="390"/>
      <c r="AI607" s="391"/>
      <c r="AK607" s="437"/>
      <c r="AL607" s="437"/>
      <c r="AM607" s="437"/>
      <c r="AN607" s="437"/>
      <c r="AO607" s="437"/>
      <c r="AP607" s="437"/>
      <c r="AQ607" s="437"/>
      <c r="AR607" s="437"/>
      <c r="AS607" s="437"/>
      <c r="AT607" s="437"/>
      <c r="AU607" s="437"/>
      <c r="AV607" s="437"/>
      <c r="AW607" s="437"/>
      <c r="AX607" s="437"/>
      <c r="AY607" s="437"/>
      <c r="AZ607" s="437"/>
      <c r="BA607" s="437"/>
      <c r="BB607" s="437"/>
      <c r="BC607" s="437"/>
      <c r="BD607" s="437"/>
      <c r="BE607" s="437"/>
      <c r="BF607" s="437"/>
      <c r="BG607" s="437"/>
      <c r="BH607" s="437"/>
      <c r="BI607" s="437"/>
      <c r="BJ607" s="437"/>
      <c r="BK607" s="437"/>
      <c r="BL607" s="437"/>
      <c r="BM607" s="393"/>
      <c r="BO607" s="399">
        <f t="shared" si="273"/>
        <v>0</v>
      </c>
      <c r="BP607" s="399">
        <f t="shared" si="274"/>
        <v>0</v>
      </c>
      <c r="BQ607" s="399">
        <f t="shared" si="275"/>
        <v>0</v>
      </c>
      <c r="BR607" s="399">
        <f t="shared" si="276"/>
        <v>0</v>
      </c>
      <c r="BS607" s="399">
        <f t="shared" si="277"/>
        <v>0</v>
      </c>
      <c r="BT607" s="399">
        <f t="shared" si="278"/>
        <v>0</v>
      </c>
      <c r="BU607" s="399">
        <f t="shared" si="279"/>
        <v>0</v>
      </c>
      <c r="BV607" s="399">
        <f t="shared" si="280"/>
        <v>0</v>
      </c>
      <c r="BW607" s="399">
        <f t="shared" si="281"/>
        <v>0</v>
      </c>
      <c r="BX607" s="399">
        <f t="shared" si="282"/>
        <v>0</v>
      </c>
      <c r="BY607" s="399">
        <f t="shared" si="283"/>
        <v>0</v>
      </c>
      <c r="BZ607" s="399">
        <f t="shared" si="284"/>
        <v>0</v>
      </c>
      <c r="CA607" s="399">
        <f t="shared" si="285"/>
        <v>0</v>
      </c>
      <c r="CB607" s="399">
        <f t="shared" si="286"/>
        <v>0</v>
      </c>
      <c r="CC607" s="399">
        <f t="shared" si="287"/>
        <v>0</v>
      </c>
      <c r="CD607" s="399">
        <f t="shared" si="288"/>
        <v>0</v>
      </c>
      <c r="CE607" s="399">
        <f t="shared" si="289"/>
        <v>0</v>
      </c>
      <c r="CF607" s="399">
        <f t="shared" si="290"/>
        <v>0</v>
      </c>
      <c r="CG607" s="399">
        <f t="shared" si="291"/>
        <v>0</v>
      </c>
      <c r="CH607" s="399">
        <f t="shared" si="292"/>
        <v>0</v>
      </c>
      <c r="CI607" s="399">
        <f t="shared" si="293"/>
        <v>0</v>
      </c>
      <c r="CJ607" s="399">
        <f t="shared" si="294"/>
        <v>0</v>
      </c>
      <c r="CK607" s="399">
        <f t="shared" si="295"/>
        <v>0</v>
      </c>
      <c r="CL607" s="399">
        <f t="shared" si="296"/>
        <v>0</v>
      </c>
      <c r="CM607" s="399">
        <f t="shared" si="297"/>
        <v>0</v>
      </c>
      <c r="CN607" s="399">
        <f t="shared" si="298"/>
        <v>0</v>
      </c>
      <c r="CO607" s="399">
        <f t="shared" si="299"/>
        <v>0</v>
      </c>
      <c r="CP607" s="399">
        <f t="shared" si="300"/>
        <v>0</v>
      </c>
      <c r="CQ607" s="423">
        <f t="shared" si="301"/>
        <v>0</v>
      </c>
      <c r="CS607" s="394" t="e">
        <f t="shared" si="302"/>
        <v>#DIV/0!</v>
      </c>
    </row>
    <row r="608" spans="3:97">
      <c r="C608" s="107"/>
      <c r="D608" s="395"/>
      <c r="E608" s="84"/>
      <c r="F608" s="84"/>
      <c r="G608" s="389"/>
      <c r="H608" s="390"/>
      <c r="I608" s="390"/>
      <c r="J608" s="390"/>
      <c r="K608" s="390"/>
      <c r="L608" s="390"/>
      <c r="M608" s="390"/>
      <c r="N608" s="390"/>
      <c r="O608" s="390"/>
      <c r="P608" s="390"/>
      <c r="Q608" s="390"/>
      <c r="R608" s="390"/>
      <c r="S608" s="390"/>
      <c r="T608" s="390"/>
      <c r="U608" s="390"/>
      <c r="V608" s="390"/>
      <c r="W608" s="390"/>
      <c r="X608" s="390"/>
      <c r="Y608" s="390"/>
      <c r="Z608" s="390"/>
      <c r="AA608" s="390"/>
      <c r="AB608" s="390"/>
      <c r="AC608" s="390"/>
      <c r="AD608" s="390"/>
      <c r="AE608" s="390"/>
      <c r="AF608" s="390"/>
      <c r="AG608" s="390"/>
      <c r="AH608" s="390"/>
      <c r="AI608" s="391"/>
      <c r="AK608" s="437"/>
      <c r="AL608" s="437"/>
      <c r="AM608" s="437"/>
      <c r="AN608" s="437"/>
      <c r="AO608" s="437"/>
      <c r="AP608" s="437"/>
      <c r="AQ608" s="437"/>
      <c r="AR608" s="437"/>
      <c r="AS608" s="437"/>
      <c r="AT608" s="437"/>
      <c r="AU608" s="437"/>
      <c r="AV608" s="437"/>
      <c r="AW608" s="437"/>
      <c r="AX608" s="437"/>
      <c r="AY608" s="437"/>
      <c r="AZ608" s="437"/>
      <c r="BA608" s="437"/>
      <c r="BB608" s="437"/>
      <c r="BC608" s="437"/>
      <c r="BD608" s="437"/>
      <c r="BE608" s="437"/>
      <c r="BF608" s="437"/>
      <c r="BG608" s="437"/>
      <c r="BH608" s="437"/>
      <c r="BI608" s="437"/>
      <c r="BJ608" s="437"/>
      <c r="BK608" s="437"/>
      <c r="BL608" s="437"/>
      <c r="BM608" s="393"/>
      <c r="BO608" s="399">
        <f t="shared" si="273"/>
        <v>0</v>
      </c>
      <c r="BP608" s="399">
        <f t="shared" si="274"/>
        <v>0</v>
      </c>
      <c r="BQ608" s="399">
        <f t="shared" si="275"/>
        <v>0</v>
      </c>
      <c r="BR608" s="399">
        <f t="shared" si="276"/>
        <v>0</v>
      </c>
      <c r="BS608" s="399">
        <f t="shared" si="277"/>
        <v>0</v>
      </c>
      <c r="BT608" s="399">
        <f t="shared" si="278"/>
        <v>0</v>
      </c>
      <c r="BU608" s="399">
        <f t="shared" si="279"/>
        <v>0</v>
      </c>
      <c r="BV608" s="399">
        <f t="shared" si="280"/>
        <v>0</v>
      </c>
      <c r="BW608" s="399">
        <f t="shared" si="281"/>
        <v>0</v>
      </c>
      <c r="BX608" s="399">
        <f t="shared" si="282"/>
        <v>0</v>
      </c>
      <c r="BY608" s="399">
        <f t="shared" si="283"/>
        <v>0</v>
      </c>
      <c r="BZ608" s="399">
        <f t="shared" si="284"/>
        <v>0</v>
      </c>
      <c r="CA608" s="399">
        <f t="shared" si="285"/>
        <v>0</v>
      </c>
      <c r="CB608" s="399">
        <f t="shared" si="286"/>
        <v>0</v>
      </c>
      <c r="CC608" s="399">
        <f t="shared" si="287"/>
        <v>0</v>
      </c>
      <c r="CD608" s="399">
        <f t="shared" si="288"/>
        <v>0</v>
      </c>
      <c r="CE608" s="399">
        <f t="shared" si="289"/>
        <v>0</v>
      </c>
      <c r="CF608" s="399">
        <f t="shared" si="290"/>
        <v>0</v>
      </c>
      <c r="CG608" s="399">
        <f t="shared" si="291"/>
        <v>0</v>
      </c>
      <c r="CH608" s="399">
        <f t="shared" si="292"/>
        <v>0</v>
      </c>
      <c r="CI608" s="399">
        <f t="shared" si="293"/>
        <v>0</v>
      </c>
      <c r="CJ608" s="399">
        <f t="shared" si="294"/>
        <v>0</v>
      </c>
      <c r="CK608" s="399">
        <f t="shared" si="295"/>
        <v>0</v>
      </c>
      <c r="CL608" s="399">
        <f t="shared" si="296"/>
        <v>0</v>
      </c>
      <c r="CM608" s="399">
        <f t="shared" si="297"/>
        <v>0</v>
      </c>
      <c r="CN608" s="399">
        <f t="shared" si="298"/>
        <v>0</v>
      </c>
      <c r="CO608" s="399">
        <f t="shared" si="299"/>
        <v>0</v>
      </c>
      <c r="CP608" s="399">
        <f t="shared" si="300"/>
        <v>0</v>
      </c>
      <c r="CQ608" s="423">
        <f t="shared" si="301"/>
        <v>0</v>
      </c>
      <c r="CS608" s="394" t="e">
        <f t="shared" si="302"/>
        <v>#DIV/0!</v>
      </c>
    </row>
    <row r="609" spans="3:97">
      <c r="C609" s="107"/>
      <c r="D609" s="395"/>
      <c r="E609" s="84"/>
      <c r="F609" s="84"/>
      <c r="G609" s="389"/>
      <c r="H609" s="390"/>
      <c r="I609" s="390"/>
      <c r="J609" s="390"/>
      <c r="K609" s="390"/>
      <c r="L609" s="390"/>
      <c r="M609" s="390"/>
      <c r="N609" s="390"/>
      <c r="O609" s="390"/>
      <c r="P609" s="390"/>
      <c r="Q609" s="390"/>
      <c r="R609" s="390"/>
      <c r="S609" s="390"/>
      <c r="T609" s="390"/>
      <c r="U609" s="390"/>
      <c r="V609" s="390"/>
      <c r="W609" s="390"/>
      <c r="X609" s="390"/>
      <c r="Y609" s="390"/>
      <c r="Z609" s="390"/>
      <c r="AA609" s="390"/>
      <c r="AB609" s="390"/>
      <c r="AC609" s="390"/>
      <c r="AD609" s="390"/>
      <c r="AE609" s="390"/>
      <c r="AF609" s="390"/>
      <c r="AG609" s="390"/>
      <c r="AH609" s="390"/>
      <c r="AI609" s="391"/>
      <c r="AK609" s="437"/>
      <c r="AL609" s="437"/>
      <c r="AM609" s="437"/>
      <c r="AN609" s="437"/>
      <c r="AO609" s="437"/>
      <c r="AP609" s="437"/>
      <c r="AQ609" s="437"/>
      <c r="AR609" s="437"/>
      <c r="AS609" s="437"/>
      <c r="AT609" s="437"/>
      <c r="AU609" s="437"/>
      <c r="AV609" s="437"/>
      <c r="AW609" s="437"/>
      <c r="AX609" s="437"/>
      <c r="AY609" s="437"/>
      <c r="AZ609" s="437"/>
      <c r="BA609" s="437"/>
      <c r="BB609" s="437"/>
      <c r="BC609" s="437"/>
      <c r="BD609" s="437"/>
      <c r="BE609" s="437"/>
      <c r="BF609" s="437"/>
      <c r="BG609" s="437"/>
      <c r="BH609" s="437"/>
      <c r="BI609" s="437"/>
      <c r="BJ609" s="437"/>
      <c r="BK609" s="437"/>
      <c r="BL609" s="437"/>
      <c r="BM609" s="393"/>
      <c r="BO609" s="399">
        <f t="shared" si="273"/>
        <v>0</v>
      </c>
      <c r="BP609" s="399">
        <f t="shared" si="274"/>
        <v>0</v>
      </c>
      <c r="BQ609" s="399">
        <f t="shared" si="275"/>
        <v>0</v>
      </c>
      <c r="BR609" s="399">
        <f t="shared" si="276"/>
        <v>0</v>
      </c>
      <c r="BS609" s="399">
        <f t="shared" si="277"/>
        <v>0</v>
      </c>
      <c r="BT609" s="399">
        <f t="shared" si="278"/>
        <v>0</v>
      </c>
      <c r="BU609" s="399">
        <f t="shared" si="279"/>
        <v>0</v>
      </c>
      <c r="BV609" s="399">
        <f t="shared" si="280"/>
        <v>0</v>
      </c>
      <c r="BW609" s="399">
        <f t="shared" si="281"/>
        <v>0</v>
      </c>
      <c r="BX609" s="399">
        <f t="shared" si="282"/>
        <v>0</v>
      </c>
      <c r="BY609" s="399">
        <f t="shared" si="283"/>
        <v>0</v>
      </c>
      <c r="BZ609" s="399">
        <f t="shared" si="284"/>
        <v>0</v>
      </c>
      <c r="CA609" s="399">
        <f t="shared" si="285"/>
        <v>0</v>
      </c>
      <c r="CB609" s="399">
        <f t="shared" si="286"/>
        <v>0</v>
      </c>
      <c r="CC609" s="399">
        <f t="shared" si="287"/>
        <v>0</v>
      </c>
      <c r="CD609" s="399">
        <f t="shared" si="288"/>
        <v>0</v>
      </c>
      <c r="CE609" s="399">
        <f t="shared" si="289"/>
        <v>0</v>
      </c>
      <c r="CF609" s="399">
        <f t="shared" si="290"/>
        <v>0</v>
      </c>
      <c r="CG609" s="399">
        <f t="shared" si="291"/>
        <v>0</v>
      </c>
      <c r="CH609" s="399">
        <f t="shared" si="292"/>
        <v>0</v>
      </c>
      <c r="CI609" s="399">
        <f t="shared" si="293"/>
        <v>0</v>
      </c>
      <c r="CJ609" s="399">
        <f t="shared" si="294"/>
        <v>0</v>
      </c>
      <c r="CK609" s="399">
        <f t="shared" si="295"/>
        <v>0</v>
      </c>
      <c r="CL609" s="399">
        <f t="shared" si="296"/>
        <v>0</v>
      </c>
      <c r="CM609" s="399">
        <f t="shared" si="297"/>
        <v>0</v>
      </c>
      <c r="CN609" s="399">
        <f t="shared" si="298"/>
        <v>0</v>
      </c>
      <c r="CO609" s="399">
        <f t="shared" si="299"/>
        <v>0</v>
      </c>
      <c r="CP609" s="399">
        <f t="shared" si="300"/>
        <v>0</v>
      </c>
      <c r="CQ609" s="423">
        <f t="shared" si="301"/>
        <v>0</v>
      </c>
      <c r="CS609" s="394" t="e">
        <f t="shared" si="302"/>
        <v>#DIV/0!</v>
      </c>
    </row>
    <row r="610" spans="3:97">
      <c r="C610" s="107"/>
      <c r="D610" s="395"/>
      <c r="E610" s="84"/>
      <c r="F610" s="84"/>
      <c r="G610" s="389"/>
      <c r="H610" s="390"/>
      <c r="I610" s="390"/>
      <c r="J610" s="390"/>
      <c r="K610" s="390"/>
      <c r="L610" s="390"/>
      <c r="M610" s="390"/>
      <c r="N610" s="390"/>
      <c r="O610" s="390"/>
      <c r="P610" s="390"/>
      <c r="Q610" s="390"/>
      <c r="R610" s="390"/>
      <c r="S610" s="390"/>
      <c r="T610" s="390"/>
      <c r="U610" s="390"/>
      <c r="V610" s="390"/>
      <c r="W610" s="390"/>
      <c r="X610" s="390"/>
      <c r="Y610" s="390"/>
      <c r="Z610" s="390"/>
      <c r="AA610" s="390"/>
      <c r="AB610" s="390"/>
      <c r="AC610" s="390"/>
      <c r="AD610" s="390"/>
      <c r="AE610" s="390"/>
      <c r="AF610" s="390"/>
      <c r="AG610" s="390"/>
      <c r="AH610" s="390"/>
      <c r="AI610" s="391"/>
      <c r="AK610" s="437"/>
      <c r="AL610" s="437"/>
      <c r="AM610" s="437"/>
      <c r="AN610" s="437"/>
      <c r="AO610" s="437"/>
      <c r="AP610" s="437"/>
      <c r="AQ610" s="437"/>
      <c r="AR610" s="437"/>
      <c r="AS610" s="437"/>
      <c r="AT610" s="437"/>
      <c r="AU610" s="437"/>
      <c r="AV610" s="437"/>
      <c r="AW610" s="437"/>
      <c r="AX610" s="437"/>
      <c r="AY610" s="437"/>
      <c r="AZ610" s="437"/>
      <c r="BA610" s="437"/>
      <c r="BB610" s="437"/>
      <c r="BC610" s="437"/>
      <c r="BD610" s="437"/>
      <c r="BE610" s="437"/>
      <c r="BF610" s="437"/>
      <c r="BG610" s="437"/>
      <c r="BH610" s="437"/>
      <c r="BI610" s="437"/>
      <c r="BJ610" s="437"/>
      <c r="BK610" s="437"/>
      <c r="BL610" s="437"/>
      <c r="BM610" s="393"/>
      <c r="BO610" s="399">
        <f t="shared" si="273"/>
        <v>0</v>
      </c>
      <c r="BP610" s="399">
        <f t="shared" si="274"/>
        <v>0</v>
      </c>
      <c r="BQ610" s="399">
        <f t="shared" si="275"/>
        <v>0</v>
      </c>
      <c r="BR610" s="399">
        <f t="shared" si="276"/>
        <v>0</v>
      </c>
      <c r="BS610" s="399">
        <f t="shared" si="277"/>
        <v>0</v>
      </c>
      <c r="BT610" s="399">
        <f t="shared" si="278"/>
        <v>0</v>
      </c>
      <c r="BU610" s="399">
        <f t="shared" si="279"/>
        <v>0</v>
      </c>
      <c r="BV610" s="399">
        <f t="shared" si="280"/>
        <v>0</v>
      </c>
      <c r="BW610" s="399">
        <f t="shared" si="281"/>
        <v>0</v>
      </c>
      <c r="BX610" s="399">
        <f t="shared" si="282"/>
        <v>0</v>
      </c>
      <c r="BY610" s="399">
        <f t="shared" si="283"/>
        <v>0</v>
      </c>
      <c r="BZ610" s="399">
        <f t="shared" si="284"/>
        <v>0</v>
      </c>
      <c r="CA610" s="399">
        <f t="shared" si="285"/>
        <v>0</v>
      </c>
      <c r="CB610" s="399">
        <f t="shared" si="286"/>
        <v>0</v>
      </c>
      <c r="CC610" s="399">
        <f t="shared" si="287"/>
        <v>0</v>
      </c>
      <c r="CD610" s="399">
        <f t="shared" si="288"/>
        <v>0</v>
      </c>
      <c r="CE610" s="399">
        <f t="shared" si="289"/>
        <v>0</v>
      </c>
      <c r="CF610" s="399">
        <f t="shared" si="290"/>
        <v>0</v>
      </c>
      <c r="CG610" s="399">
        <f t="shared" si="291"/>
        <v>0</v>
      </c>
      <c r="CH610" s="399">
        <f t="shared" si="292"/>
        <v>0</v>
      </c>
      <c r="CI610" s="399">
        <f t="shared" si="293"/>
        <v>0</v>
      </c>
      <c r="CJ610" s="399">
        <f t="shared" si="294"/>
        <v>0</v>
      </c>
      <c r="CK610" s="399">
        <f t="shared" si="295"/>
        <v>0</v>
      </c>
      <c r="CL610" s="399">
        <f t="shared" si="296"/>
        <v>0</v>
      </c>
      <c r="CM610" s="399">
        <f t="shared" si="297"/>
        <v>0</v>
      </c>
      <c r="CN610" s="399">
        <f t="shared" si="298"/>
        <v>0</v>
      </c>
      <c r="CO610" s="399">
        <f t="shared" si="299"/>
        <v>0</v>
      </c>
      <c r="CP610" s="399">
        <f t="shared" si="300"/>
        <v>0</v>
      </c>
      <c r="CQ610" s="423">
        <f t="shared" si="301"/>
        <v>0</v>
      </c>
      <c r="CS610" s="394" t="e">
        <f t="shared" si="302"/>
        <v>#DIV/0!</v>
      </c>
    </row>
    <row r="611" spans="3:97">
      <c r="C611" s="107"/>
      <c r="D611" s="395"/>
      <c r="E611" s="84"/>
      <c r="F611" s="84"/>
      <c r="G611" s="389"/>
      <c r="H611" s="390"/>
      <c r="I611" s="390"/>
      <c r="J611" s="390"/>
      <c r="K611" s="390"/>
      <c r="L611" s="390"/>
      <c r="M611" s="390"/>
      <c r="N611" s="390"/>
      <c r="O611" s="390"/>
      <c r="P611" s="390"/>
      <c r="Q611" s="390"/>
      <c r="R611" s="390"/>
      <c r="S611" s="390"/>
      <c r="T611" s="390"/>
      <c r="U611" s="390"/>
      <c r="V611" s="390"/>
      <c r="W611" s="390"/>
      <c r="X611" s="390"/>
      <c r="Y611" s="390"/>
      <c r="Z611" s="390"/>
      <c r="AA611" s="390"/>
      <c r="AB611" s="390"/>
      <c r="AC611" s="390"/>
      <c r="AD611" s="390"/>
      <c r="AE611" s="390"/>
      <c r="AF611" s="390"/>
      <c r="AG611" s="390"/>
      <c r="AH611" s="390"/>
      <c r="AI611" s="391"/>
      <c r="AK611" s="437"/>
      <c r="AL611" s="437"/>
      <c r="AM611" s="437"/>
      <c r="AN611" s="437"/>
      <c r="AO611" s="437"/>
      <c r="AP611" s="437"/>
      <c r="AQ611" s="437"/>
      <c r="AR611" s="437"/>
      <c r="AS611" s="437"/>
      <c r="AT611" s="437"/>
      <c r="AU611" s="437"/>
      <c r="AV611" s="437"/>
      <c r="AW611" s="437"/>
      <c r="AX611" s="437"/>
      <c r="AY611" s="437"/>
      <c r="AZ611" s="437"/>
      <c r="BA611" s="437"/>
      <c r="BB611" s="437"/>
      <c r="BC611" s="437"/>
      <c r="BD611" s="437"/>
      <c r="BE611" s="437"/>
      <c r="BF611" s="437"/>
      <c r="BG611" s="437"/>
      <c r="BH611" s="437"/>
      <c r="BI611" s="437"/>
      <c r="BJ611" s="437"/>
      <c r="BK611" s="437"/>
      <c r="BL611" s="437"/>
      <c r="BM611" s="393"/>
      <c r="BO611" s="399">
        <f t="shared" si="273"/>
        <v>0</v>
      </c>
      <c r="BP611" s="399">
        <f t="shared" si="274"/>
        <v>0</v>
      </c>
      <c r="BQ611" s="399">
        <f t="shared" si="275"/>
        <v>0</v>
      </c>
      <c r="BR611" s="399">
        <f t="shared" si="276"/>
        <v>0</v>
      </c>
      <c r="BS611" s="399">
        <f t="shared" si="277"/>
        <v>0</v>
      </c>
      <c r="BT611" s="399">
        <f t="shared" si="278"/>
        <v>0</v>
      </c>
      <c r="BU611" s="399">
        <f t="shared" si="279"/>
        <v>0</v>
      </c>
      <c r="BV611" s="399">
        <f t="shared" si="280"/>
        <v>0</v>
      </c>
      <c r="BW611" s="399">
        <f t="shared" si="281"/>
        <v>0</v>
      </c>
      <c r="BX611" s="399">
        <f t="shared" si="282"/>
        <v>0</v>
      </c>
      <c r="BY611" s="399">
        <f t="shared" si="283"/>
        <v>0</v>
      </c>
      <c r="BZ611" s="399">
        <f t="shared" si="284"/>
        <v>0</v>
      </c>
      <c r="CA611" s="399">
        <f t="shared" si="285"/>
        <v>0</v>
      </c>
      <c r="CB611" s="399">
        <f t="shared" si="286"/>
        <v>0</v>
      </c>
      <c r="CC611" s="399">
        <f t="shared" si="287"/>
        <v>0</v>
      </c>
      <c r="CD611" s="399">
        <f t="shared" si="288"/>
        <v>0</v>
      </c>
      <c r="CE611" s="399">
        <f t="shared" si="289"/>
        <v>0</v>
      </c>
      <c r="CF611" s="399">
        <f t="shared" si="290"/>
        <v>0</v>
      </c>
      <c r="CG611" s="399">
        <f t="shared" si="291"/>
        <v>0</v>
      </c>
      <c r="CH611" s="399">
        <f t="shared" si="292"/>
        <v>0</v>
      </c>
      <c r="CI611" s="399">
        <f t="shared" si="293"/>
        <v>0</v>
      </c>
      <c r="CJ611" s="399">
        <f t="shared" si="294"/>
        <v>0</v>
      </c>
      <c r="CK611" s="399">
        <f t="shared" si="295"/>
        <v>0</v>
      </c>
      <c r="CL611" s="399">
        <f t="shared" si="296"/>
        <v>0</v>
      </c>
      <c r="CM611" s="399">
        <f t="shared" si="297"/>
        <v>0</v>
      </c>
      <c r="CN611" s="399">
        <f t="shared" si="298"/>
        <v>0</v>
      </c>
      <c r="CO611" s="399">
        <f t="shared" si="299"/>
        <v>0</v>
      </c>
      <c r="CP611" s="399">
        <f t="shared" si="300"/>
        <v>0</v>
      </c>
      <c r="CQ611" s="423">
        <f t="shared" si="301"/>
        <v>0</v>
      </c>
      <c r="CS611" s="394" t="e">
        <f t="shared" si="302"/>
        <v>#DIV/0!</v>
      </c>
    </row>
    <row r="612" spans="3:97">
      <c r="C612" s="107"/>
      <c r="D612" s="395"/>
      <c r="E612" s="84"/>
      <c r="F612" s="84"/>
      <c r="G612" s="389"/>
      <c r="H612" s="390"/>
      <c r="I612" s="390"/>
      <c r="J612" s="390"/>
      <c r="K612" s="390"/>
      <c r="L612" s="390"/>
      <c r="M612" s="390"/>
      <c r="N612" s="390"/>
      <c r="O612" s="390"/>
      <c r="P612" s="390"/>
      <c r="Q612" s="390"/>
      <c r="R612" s="390"/>
      <c r="S612" s="390"/>
      <c r="T612" s="390"/>
      <c r="U612" s="390"/>
      <c r="V612" s="390"/>
      <c r="W612" s="390"/>
      <c r="X612" s="390"/>
      <c r="Y612" s="390"/>
      <c r="Z612" s="390"/>
      <c r="AA612" s="390"/>
      <c r="AB612" s="390"/>
      <c r="AC612" s="390"/>
      <c r="AD612" s="390"/>
      <c r="AE612" s="390"/>
      <c r="AF612" s="390"/>
      <c r="AG612" s="390"/>
      <c r="AH612" s="390"/>
      <c r="AI612" s="391"/>
      <c r="AK612" s="437"/>
      <c r="AL612" s="437"/>
      <c r="AM612" s="437"/>
      <c r="AN612" s="437"/>
      <c r="AO612" s="437"/>
      <c r="AP612" s="437"/>
      <c r="AQ612" s="437"/>
      <c r="AR612" s="437"/>
      <c r="AS612" s="437"/>
      <c r="AT612" s="437"/>
      <c r="AU612" s="437"/>
      <c r="AV612" s="437"/>
      <c r="AW612" s="437"/>
      <c r="AX612" s="437"/>
      <c r="AY612" s="437"/>
      <c r="AZ612" s="437"/>
      <c r="BA612" s="437"/>
      <c r="BB612" s="437"/>
      <c r="BC612" s="437"/>
      <c r="BD612" s="437"/>
      <c r="BE612" s="437"/>
      <c r="BF612" s="437"/>
      <c r="BG612" s="437"/>
      <c r="BH612" s="437"/>
      <c r="BI612" s="437"/>
      <c r="BJ612" s="437"/>
      <c r="BK612" s="437"/>
      <c r="BL612" s="437"/>
      <c r="BM612" s="393"/>
      <c r="BO612" s="399">
        <f t="shared" si="273"/>
        <v>0</v>
      </c>
      <c r="BP612" s="399">
        <f t="shared" si="274"/>
        <v>0</v>
      </c>
      <c r="BQ612" s="399">
        <f t="shared" si="275"/>
        <v>0</v>
      </c>
      <c r="BR612" s="399">
        <f t="shared" si="276"/>
        <v>0</v>
      </c>
      <c r="BS612" s="399">
        <f t="shared" si="277"/>
        <v>0</v>
      </c>
      <c r="BT612" s="399">
        <f t="shared" si="278"/>
        <v>0</v>
      </c>
      <c r="BU612" s="399">
        <f t="shared" si="279"/>
        <v>0</v>
      </c>
      <c r="BV612" s="399">
        <f t="shared" si="280"/>
        <v>0</v>
      </c>
      <c r="BW612" s="399">
        <f t="shared" si="281"/>
        <v>0</v>
      </c>
      <c r="BX612" s="399">
        <f t="shared" si="282"/>
        <v>0</v>
      </c>
      <c r="BY612" s="399">
        <f t="shared" si="283"/>
        <v>0</v>
      </c>
      <c r="BZ612" s="399">
        <f t="shared" si="284"/>
        <v>0</v>
      </c>
      <c r="CA612" s="399">
        <f t="shared" si="285"/>
        <v>0</v>
      </c>
      <c r="CB612" s="399">
        <f t="shared" si="286"/>
        <v>0</v>
      </c>
      <c r="CC612" s="399">
        <f t="shared" si="287"/>
        <v>0</v>
      </c>
      <c r="CD612" s="399">
        <f t="shared" si="288"/>
        <v>0</v>
      </c>
      <c r="CE612" s="399">
        <f t="shared" si="289"/>
        <v>0</v>
      </c>
      <c r="CF612" s="399">
        <f t="shared" si="290"/>
        <v>0</v>
      </c>
      <c r="CG612" s="399">
        <f t="shared" si="291"/>
        <v>0</v>
      </c>
      <c r="CH612" s="399">
        <f t="shared" si="292"/>
        <v>0</v>
      </c>
      <c r="CI612" s="399">
        <f t="shared" si="293"/>
        <v>0</v>
      </c>
      <c r="CJ612" s="399">
        <f t="shared" si="294"/>
        <v>0</v>
      </c>
      <c r="CK612" s="399">
        <f t="shared" si="295"/>
        <v>0</v>
      </c>
      <c r="CL612" s="399">
        <f t="shared" si="296"/>
        <v>0</v>
      </c>
      <c r="CM612" s="399">
        <f t="shared" si="297"/>
        <v>0</v>
      </c>
      <c r="CN612" s="399">
        <f t="shared" si="298"/>
        <v>0</v>
      </c>
      <c r="CO612" s="399">
        <f t="shared" si="299"/>
        <v>0</v>
      </c>
      <c r="CP612" s="399">
        <f t="shared" si="300"/>
        <v>0</v>
      </c>
      <c r="CQ612" s="423">
        <f t="shared" si="301"/>
        <v>0</v>
      </c>
      <c r="CS612" s="394" t="e">
        <f t="shared" si="302"/>
        <v>#DIV/0!</v>
      </c>
    </row>
    <row r="613" spans="3:97">
      <c r="C613" s="107"/>
      <c r="D613" s="395"/>
      <c r="E613" s="84"/>
      <c r="F613" s="84"/>
      <c r="G613" s="389"/>
      <c r="H613" s="390"/>
      <c r="I613" s="390"/>
      <c r="J613" s="390"/>
      <c r="K613" s="390"/>
      <c r="L613" s="390"/>
      <c r="M613" s="390"/>
      <c r="N613" s="390"/>
      <c r="O613" s="390"/>
      <c r="P613" s="390"/>
      <c r="Q613" s="390"/>
      <c r="R613" s="390"/>
      <c r="S613" s="390"/>
      <c r="T613" s="390"/>
      <c r="U613" s="390"/>
      <c r="V613" s="390"/>
      <c r="W613" s="390"/>
      <c r="X613" s="390"/>
      <c r="Y613" s="390"/>
      <c r="Z613" s="390"/>
      <c r="AA613" s="390"/>
      <c r="AB613" s="390"/>
      <c r="AC613" s="390"/>
      <c r="AD613" s="390"/>
      <c r="AE613" s="390"/>
      <c r="AF613" s="390"/>
      <c r="AG613" s="390"/>
      <c r="AH613" s="390"/>
      <c r="AI613" s="391"/>
      <c r="AK613" s="437"/>
      <c r="AL613" s="437"/>
      <c r="AM613" s="437"/>
      <c r="AN613" s="437"/>
      <c r="AO613" s="437"/>
      <c r="AP613" s="437"/>
      <c r="AQ613" s="437"/>
      <c r="AR613" s="437"/>
      <c r="AS613" s="437"/>
      <c r="AT613" s="437"/>
      <c r="AU613" s="437"/>
      <c r="AV613" s="437"/>
      <c r="AW613" s="437"/>
      <c r="AX613" s="437"/>
      <c r="AY613" s="437"/>
      <c r="AZ613" s="437"/>
      <c r="BA613" s="437"/>
      <c r="BB613" s="437"/>
      <c r="BC613" s="437"/>
      <c r="BD613" s="437"/>
      <c r="BE613" s="437"/>
      <c r="BF613" s="437"/>
      <c r="BG613" s="437"/>
      <c r="BH613" s="437"/>
      <c r="BI613" s="437"/>
      <c r="BJ613" s="437"/>
      <c r="BK613" s="437"/>
      <c r="BL613" s="437"/>
      <c r="BM613" s="393"/>
      <c r="BO613" s="399">
        <f t="shared" si="273"/>
        <v>0</v>
      </c>
      <c r="BP613" s="399">
        <f t="shared" si="274"/>
        <v>0</v>
      </c>
      <c r="BQ613" s="399">
        <f t="shared" si="275"/>
        <v>0</v>
      </c>
      <c r="BR613" s="399">
        <f t="shared" si="276"/>
        <v>0</v>
      </c>
      <c r="BS613" s="399">
        <f t="shared" si="277"/>
        <v>0</v>
      </c>
      <c r="BT613" s="399">
        <f t="shared" si="278"/>
        <v>0</v>
      </c>
      <c r="BU613" s="399">
        <f t="shared" si="279"/>
        <v>0</v>
      </c>
      <c r="BV613" s="399">
        <f t="shared" si="280"/>
        <v>0</v>
      </c>
      <c r="BW613" s="399">
        <f t="shared" si="281"/>
        <v>0</v>
      </c>
      <c r="BX613" s="399">
        <f t="shared" si="282"/>
        <v>0</v>
      </c>
      <c r="BY613" s="399">
        <f t="shared" si="283"/>
        <v>0</v>
      </c>
      <c r="BZ613" s="399">
        <f t="shared" si="284"/>
        <v>0</v>
      </c>
      <c r="CA613" s="399">
        <f t="shared" si="285"/>
        <v>0</v>
      </c>
      <c r="CB613" s="399">
        <f t="shared" si="286"/>
        <v>0</v>
      </c>
      <c r="CC613" s="399">
        <f t="shared" si="287"/>
        <v>0</v>
      </c>
      <c r="CD613" s="399">
        <f t="shared" si="288"/>
        <v>0</v>
      </c>
      <c r="CE613" s="399">
        <f t="shared" si="289"/>
        <v>0</v>
      </c>
      <c r="CF613" s="399">
        <f t="shared" si="290"/>
        <v>0</v>
      </c>
      <c r="CG613" s="399">
        <f t="shared" si="291"/>
        <v>0</v>
      </c>
      <c r="CH613" s="399">
        <f t="shared" si="292"/>
        <v>0</v>
      </c>
      <c r="CI613" s="399">
        <f t="shared" si="293"/>
        <v>0</v>
      </c>
      <c r="CJ613" s="399">
        <f t="shared" si="294"/>
        <v>0</v>
      </c>
      <c r="CK613" s="399">
        <f t="shared" si="295"/>
        <v>0</v>
      </c>
      <c r="CL613" s="399">
        <f t="shared" si="296"/>
        <v>0</v>
      </c>
      <c r="CM613" s="399">
        <f t="shared" si="297"/>
        <v>0</v>
      </c>
      <c r="CN613" s="399">
        <f t="shared" si="298"/>
        <v>0</v>
      </c>
      <c r="CO613" s="399">
        <f t="shared" si="299"/>
        <v>0</v>
      </c>
      <c r="CP613" s="399">
        <f t="shared" si="300"/>
        <v>0</v>
      </c>
      <c r="CQ613" s="423">
        <f t="shared" si="301"/>
        <v>0</v>
      </c>
      <c r="CS613" s="394" t="e">
        <f t="shared" si="302"/>
        <v>#DIV/0!</v>
      </c>
    </row>
    <row r="614" spans="3:97">
      <c r="C614" s="107"/>
      <c r="D614" s="395"/>
      <c r="E614" s="84"/>
      <c r="F614" s="84"/>
      <c r="G614" s="389"/>
      <c r="H614" s="390"/>
      <c r="I614" s="390"/>
      <c r="J614" s="390"/>
      <c r="K614" s="390"/>
      <c r="L614" s="390"/>
      <c r="M614" s="390"/>
      <c r="N614" s="390"/>
      <c r="O614" s="390"/>
      <c r="P614" s="390"/>
      <c r="Q614" s="390"/>
      <c r="R614" s="390"/>
      <c r="S614" s="390"/>
      <c r="T614" s="390"/>
      <c r="U614" s="390"/>
      <c r="V614" s="390"/>
      <c r="W614" s="390"/>
      <c r="X614" s="390"/>
      <c r="Y614" s="390"/>
      <c r="Z614" s="390"/>
      <c r="AA614" s="390"/>
      <c r="AB614" s="390"/>
      <c r="AC614" s="390"/>
      <c r="AD614" s="390"/>
      <c r="AE614" s="390"/>
      <c r="AF614" s="390"/>
      <c r="AG614" s="390"/>
      <c r="AH614" s="390"/>
      <c r="AI614" s="391"/>
      <c r="AK614" s="437"/>
      <c r="AL614" s="437"/>
      <c r="AM614" s="437"/>
      <c r="AN614" s="437"/>
      <c r="AO614" s="437"/>
      <c r="AP614" s="437"/>
      <c r="AQ614" s="437"/>
      <c r="AR614" s="437"/>
      <c r="AS614" s="437"/>
      <c r="AT614" s="437"/>
      <c r="AU614" s="437"/>
      <c r="AV614" s="437"/>
      <c r="AW614" s="437"/>
      <c r="AX614" s="437"/>
      <c r="AY614" s="437"/>
      <c r="AZ614" s="437"/>
      <c r="BA614" s="437"/>
      <c r="BB614" s="437"/>
      <c r="BC614" s="437"/>
      <c r="BD614" s="437"/>
      <c r="BE614" s="437"/>
      <c r="BF614" s="437"/>
      <c r="BG614" s="437"/>
      <c r="BH614" s="437"/>
      <c r="BI614" s="437"/>
      <c r="BJ614" s="437"/>
      <c r="BK614" s="437"/>
      <c r="BL614" s="437"/>
      <c r="BM614" s="393"/>
      <c r="BO614" s="399">
        <f t="shared" si="273"/>
        <v>0</v>
      </c>
      <c r="BP614" s="399">
        <f t="shared" si="274"/>
        <v>0</v>
      </c>
      <c r="BQ614" s="399">
        <f t="shared" si="275"/>
        <v>0</v>
      </c>
      <c r="BR614" s="399">
        <f t="shared" si="276"/>
        <v>0</v>
      </c>
      <c r="BS614" s="399">
        <f t="shared" si="277"/>
        <v>0</v>
      </c>
      <c r="BT614" s="399">
        <f t="shared" si="278"/>
        <v>0</v>
      </c>
      <c r="BU614" s="399">
        <f t="shared" si="279"/>
        <v>0</v>
      </c>
      <c r="BV614" s="399">
        <f t="shared" si="280"/>
        <v>0</v>
      </c>
      <c r="BW614" s="399">
        <f t="shared" si="281"/>
        <v>0</v>
      </c>
      <c r="BX614" s="399">
        <f t="shared" si="282"/>
        <v>0</v>
      </c>
      <c r="BY614" s="399">
        <f t="shared" si="283"/>
        <v>0</v>
      </c>
      <c r="BZ614" s="399">
        <f t="shared" si="284"/>
        <v>0</v>
      </c>
      <c r="CA614" s="399">
        <f t="shared" si="285"/>
        <v>0</v>
      </c>
      <c r="CB614" s="399">
        <f t="shared" si="286"/>
        <v>0</v>
      </c>
      <c r="CC614" s="399">
        <f t="shared" si="287"/>
        <v>0</v>
      </c>
      <c r="CD614" s="399">
        <f t="shared" si="288"/>
        <v>0</v>
      </c>
      <c r="CE614" s="399">
        <f t="shared" si="289"/>
        <v>0</v>
      </c>
      <c r="CF614" s="399">
        <f t="shared" si="290"/>
        <v>0</v>
      </c>
      <c r="CG614" s="399">
        <f t="shared" si="291"/>
        <v>0</v>
      </c>
      <c r="CH614" s="399">
        <f t="shared" si="292"/>
        <v>0</v>
      </c>
      <c r="CI614" s="399">
        <f t="shared" si="293"/>
        <v>0</v>
      </c>
      <c r="CJ614" s="399">
        <f t="shared" si="294"/>
        <v>0</v>
      </c>
      <c r="CK614" s="399">
        <f t="shared" si="295"/>
        <v>0</v>
      </c>
      <c r="CL614" s="399">
        <f t="shared" si="296"/>
        <v>0</v>
      </c>
      <c r="CM614" s="399">
        <f t="shared" si="297"/>
        <v>0</v>
      </c>
      <c r="CN614" s="399">
        <f t="shared" si="298"/>
        <v>0</v>
      </c>
      <c r="CO614" s="399">
        <f t="shared" si="299"/>
        <v>0</v>
      </c>
      <c r="CP614" s="399">
        <f t="shared" si="300"/>
        <v>0</v>
      </c>
      <c r="CQ614" s="423">
        <f t="shared" si="301"/>
        <v>0</v>
      </c>
      <c r="CS614" s="394" t="e">
        <f t="shared" si="302"/>
        <v>#DIV/0!</v>
      </c>
    </row>
    <row r="615" spans="3:97">
      <c r="C615" s="107"/>
      <c r="D615" s="395"/>
      <c r="E615" s="84"/>
      <c r="F615" s="84"/>
      <c r="G615" s="389"/>
      <c r="H615" s="390"/>
      <c r="I615" s="390"/>
      <c r="J615" s="390"/>
      <c r="K615" s="390"/>
      <c r="L615" s="390"/>
      <c r="M615" s="390"/>
      <c r="N615" s="390"/>
      <c r="O615" s="390"/>
      <c r="P615" s="390"/>
      <c r="Q615" s="390"/>
      <c r="R615" s="390"/>
      <c r="S615" s="390"/>
      <c r="T615" s="390"/>
      <c r="U615" s="390"/>
      <c r="V615" s="390"/>
      <c r="W615" s="390"/>
      <c r="X615" s="390"/>
      <c r="Y615" s="390"/>
      <c r="Z615" s="390"/>
      <c r="AA615" s="390"/>
      <c r="AB615" s="390"/>
      <c r="AC615" s="390"/>
      <c r="AD615" s="390"/>
      <c r="AE615" s="390"/>
      <c r="AF615" s="390"/>
      <c r="AG615" s="390"/>
      <c r="AH615" s="390"/>
      <c r="AI615" s="391"/>
      <c r="AK615" s="437"/>
      <c r="AL615" s="437"/>
      <c r="AM615" s="437"/>
      <c r="AN615" s="437"/>
      <c r="AO615" s="437"/>
      <c r="AP615" s="437"/>
      <c r="AQ615" s="437"/>
      <c r="AR615" s="437"/>
      <c r="AS615" s="437"/>
      <c r="AT615" s="437"/>
      <c r="AU615" s="437"/>
      <c r="AV615" s="437"/>
      <c r="AW615" s="437"/>
      <c r="AX615" s="437"/>
      <c r="AY615" s="437"/>
      <c r="AZ615" s="437"/>
      <c r="BA615" s="437"/>
      <c r="BB615" s="437"/>
      <c r="BC615" s="437"/>
      <c r="BD615" s="437"/>
      <c r="BE615" s="437"/>
      <c r="BF615" s="437"/>
      <c r="BG615" s="437"/>
      <c r="BH615" s="437"/>
      <c r="BI615" s="437"/>
      <c r="BJ615" s="437"/>
      <c r="BK615" s="437"/>
      <c r="BL615" s="437"/>
      <c r="BM615" s="393"/>
      <c r="BO615" s="399">
        <f t="shared" si="273"/>
        <v>0</v>
      </c>
      <c r="BP615" s="399">
        <f t="shared" si="274"/>
        <v>0</v>
      </c>
      <c r="BQ615" s="399">
        <f t="shared" si="275"/>
        <v>0</v>
      </c>
      <c r="BR615" s="399">
        <f t="shared" si="276"/>
        <v>0</v>
      </c>
      <c r="BS615" s="399">
        <f t="shared" si="277"/>
        <v>0</v>
      </c>
      <c r="BT615" s="399">
        <f t="shared" si="278"/>
        <v>0</v>
      </c>
      <c r="BU615" s="399">
        <f t="shared" si="279"/>
        <v>0</v>
      </c>
      <c r="BV615" s="399">
        <f t="shared" si="280"/>
        <v>0</v>
      </c>
      <c r="BW615" s="399">
        <f t="shared" si="281"/>
        <v>0</v>
      </c>
      <c r="BX615" s="399">
        <f t="shared" si="282"/>
        <v>0</v>
      </c>
      <c r="BY615" s="399">
        <f t="shared" si="283"/>
        <v>0</v>
      </c>
      <c r="BZ615" s="399">
        <f t="shared" si="284"/>
        <v>0</v>
      </c>
      <c r="CA615" s="399">
        <f t="shared" si="285"/>
        <v>0</v>
      </c>
      <c r="CB615" s="399">
        <f t="shared" si="286"/>
        <v>0</v>
      </c>
      <c r="CC615" s="399">
        <f t="shared" si="287"/>
        <v>0</v>
      </c>
      <c r="CD615" s="399">
        <f t="shared" si="288"/>
        <v>0</v>
      </c>
      <c r="CE615" s="399">
        <f t="shared" si="289"/>
        <v>0</v>
      </c>
      <c r="CF615" s="399">
        <f t="shared" si="290"/>
        <v>0</v>
      </c>
      <c r="CG615" s="399">
        <f t="shared" si="291"/>
        <v>0</v>
      </c>
      <c r="CH615" s="399">
        <f t="shared" si="292"/>
        <v>0</v>
      </c>
      <c r="CI615" s="399">
        <f t="shared" si="293"/>
        <v>0</v>
      </c>
      <c r="CJ615" s="399">
        <f t="shared" si="294"/>
        <v>0</v>
      </c>
      <c r="CK615" s="399">
        <f t="shared" si="295"/>
        <v>0</v>
      </c>
      <c r="CL615" s="399">
        <f t="shared" si="296"/>
        <v>0</v>
      </c>
      <c r="CM615" s="399">
        <f t="shared" si="297"/>
        <v>0</v>
      </c>
      <c r="CN615" s="399">
        <f t="shared" si="298"/>
        <v>0</v>
      </c>
      <c r="CO615" s="399">
        <f t="shared" si="299"/>
        <v>0</v>
      </c>
      <c r="CP615" s="399">
        <f t="shared" si="300"/>
        <v>0</v>
      </c>
      <c r="CQ615" s="423">
        <f t="shared" si="301"/>
        <v>0</v>
      </c>
      <c r="CS615" s="394" t="e">
        <f t="shared" si="302"/>
        <v>#DIV/0!</v>
      </c>
    </row>
    <row r="616" spans="3:97">
      <c r="C616" s="107"/>
      <c r="D616" s="395"/>
      <c r="E616" s="84"/>
      <c r="F616" s="84"/>
      <c r="G616" s="389"/>
      <c r="H616" s="390"/>
      <c r="I616" s="390"/>
      <c r="J616" s="390"/>
      <c r="K616" s="390"/>
      <c r="L616" s="390"/>
      <c r="M616" s="390"/>
      <c r="N616" s="390"/>
      <c r="O616" s="390"/>
      <c r="P616" s="390"/>
      <c r="Q616" s="390"/>
      <c r="R616" s="390"/>
      <c r="S616" s="390"/>
      <c r="T616" s="390"/>
      <c r="U616" s="390"/>
      <c r="V616" s="390"/>
      <c r="W616" s="390"/>
      <c r="X616" s="390"/>
      <c r="Y616" s="390"/>
      <c r="Z616" s="390"/>
      <c r="AA616" s="390"/>
      <c r="AB616" s="390"/>
      <c r="AC616" s="390"/>
      <c r="AD616" s="390"/>
      <c r="AE616" s="390"/>
      <c r="AF616" s="390"/>
      <c r="AG616" s="390"/>
      <c r="AH616" s="390"/>
      <c r="AI616" s="391"/>
      <c r="AK616" s="437"/>
      <c r="AL616" s="437"/>
      <c r="AM616" s="437"/>
      <c r="AN616" s="437"/>
      <c r="AO616" s="437"/>
      <c r="AP616" s="437"/>
      <c r="AQ616" s="437"/>
      <c r="AR616" s="437"/>
      <c r="AS616" s="437"/>
      <c r="AT616" s="437"/>
      <c r="AU616" s="437"/>
      <c r="AV616" s="437"/>
      <c r="AW616" s="437"/>
      <c r="AX616" s="437"/>
      <c r="AY616" s="437"/>
      <c r="AZ616" s="437"/>
      <c r="BA616" s="437"/>
      <c r="BB616" s="437"/>
      <c r="BC616" s="437"/>
      <c r="BD616" s="437"/>
      <c r="BE616" s="437"/>
      <c r="BF616" s="437"/>
      <c r="BG616" s="437"/>
      <c r="BH616" s="437"/>
      <c r="BI616" s="437"/>
      <c r="BJ616" s="437"/>
      <c r="BK616" s="437"/>
      <c r="BL616" s="437"/>
      <c r="BM616" s="393"/>
      <c r="BO616" s="399">
        <f t="shared" si="273"/>
        <v>0</v>
      </c>
      <c r="BP616" s="399">
        <f t="shared" si="274"/>
        <v>0</v>
      </c>
      <c r="BQ616" s="399">
        <f t="shared" si="275"/>
        <v>0</v>
      </c>
      <c r="BR616" s="399">
        <f t="shared" si="276"/>
        <v>0</v>
      </c>
      <c r="BS616" s="399">
        <f t="shared" si="277"/>
        <v>0</v>
      </c>
      <c r="BT616" s="399">
        <f t="shared" si="278"/>
        <v>0</v>
      </c>
      <c r="BU616" s="399">
        <f t="shared" si="279"/>
        <v>0</v>
      </c>
      <c r="BV616" s="399">
        <f t="shared" si="280"/>
        <v>0</v>
      </c>
      <c r="BW616" s="399">
        <f t="shared" si="281"/>
        <v>0</v>
      </c>
      <c r="BX616" s="399">
        <f t="shared" si="282"/>
        <v>0</v>
      </c>
      <c r="BY616" s="399">
        <f t="shared" si="283"/>
        <v>0</v>
      </c>
      <c r="BZ616" s="399">
        <f t="shared" si="284"/>
        <v>0</v>
      </c>
      <c r="CA616" s="399">
        <f t="shared" si="285"/>
        <v>0</v>
      </c>
      <c r="CB616" s="399">
        <f t="shared" si="286"/>
        <v>0</v>
      </c>
      <c r="CC616" s="399">
        <f t="shared" si="287"/>
        <v>0</v>
      </c>
      <c r="CD616" s="399">
        <f t="shared" si="288"/>
        <v>0</v>
      </c>
      <c r="CE616" s="399">
        <f t="shared" si="289"/>
        <v>0</v>
      </c>
      <c r="CF616" s="399">
        <f t="shared" si="290"/>
        <v>0</v>
      </c>
      <c r="CG616" s="399">
        <f t="shared" si="291"/>
        <v>0</v>
      </c>
      <c r="CH616" s="399">
        <f t="shared" si="292"/>
        <v>0</v>
      </c>
      <c r="CI616" s="399">
        <f t="shared" si="293"/>
        <v>0</v>
      </c>
      <c r="CJ616" s="399">
        <f t="shared" si="294"/>
        <v>0</v>
      </c>
      <c r="CK616" s="399">
        <f t="shared" si="295"/>
        <v>0</v>
      </c>
      <c r="CL616" s="399">
        <f t="shared" si="296"/>
        <v>0</v>
      </c>
      <c r="CM616" s="399">
        <f t="shared" si="297"/>
        <v>0</v>
      </c>
      <c r="CN616" s="399">
        <f t="shared" si="298"/>
        <v>0</v>
      </c>
      <c r="CO616" s="399">
        <f t="shared" si="299"/>
        <v>0</v>
      </c>
      <c r="CP616" s="399">
        <f t="shared" si="300"/>
        <v>0</v>
      </c>
      <c r="CQ616" s="423">
        <f t="shared" si="301"/>
        <v>0</v>
      </c>
      <c r="CS616" s="394" t="e">
        <f t="shared" si="302"/>
        <v>#DIV/0!</v>
      </c>
    </row>
    <row r="617" spans="3:97">
      <c r="C617" s="107"/>
      <c r="D617" s="395"/>
      <c r="E617" s="84"/>
      <c r="F617" s="84"/>
      <c r="G617" s="389"/>
      <c r="H617" s="390"/>
      <c r="I617" s="390"/>
      <c r="J617" s="390"/>
      <c r="K617" s="390"/>
      <c r="L617" s="390"/>
      <c r="M617" s="390"/>
      <c r="N617" s="390"/>
      <c r="O617" s="390"/>
      <c r="P617" s="390"/>
      <c r="Q617" s="390"/>
      <c r="R617" s="390"/>
      <c r="S617" s="390"/>
      <c r="T617" s="390"/>
      <c r="U617" s="390"/>
      <c r="V617" s="390"/>
      <c r="W617" s="390"/>
      <c r="X617" s="390"/>
      <c r="Y617" s="390"/>
      <c r="Z617" s="390"/>
      <c r="AA617" s="390"/>
      <c r="AB617" s="390"/>
      <c r="AC617" s="390"/>
      <c r="AD617" s="390"/>
      <c r="AE617" s="390"/>
      <c r="AF617" s="390"/>
      <c r="AG617" s="390"/>
      <c r="AH617" s="390"/>
      <c r="AI617" s="391"/>
      <c r="AK617" s="437"/>
      <c r="AL617" s="437"/>
      <c r="AM617" s="437"/>
      <c r="AN617" s="437"/>
      <c r="AO617" s="437"/>
      <c r="AP617" s="437"/>
      <c r="AQ617" s="437"/>
      <c r="AR617" s="437"/>
      <c r="AS617" s="437"/>
      <c r="AT617" s="437"/>
      <c r="AU617" s="437"/>
      <c r="AV617" s="437"/>
      <c r="AW617" s="437"/>
      <c r="AX617" s="437"/>
      <c r="AY617" s="437"/>
      <c r="AZ617" s="437"/>
      <c r="BA617" s="437"/>
      <c r="BB617" s="437"/>
      <c r="BC617" s="437"/>
      <c r="BD617" s="437"/>
      <c r="BE617" s="437"/>
      <c r="BF617" s="437"/>
      <c r="BG617" s="437"/>
      <c r="BH617" s="437"/>
      <c r="BI617" s="437"/>
      <c r="BJ617" s="437"/>
      <c r="BK617" s="437"/>
      <c r="BL617" s="437"/>
      <c r="BM617" s="393"/>
      <c r="BO617" s="399">
        <f t="shared" si="273"/>
        <v>0</v>
      </c>
      <c r="BP617" s="399">
        <f t="shared" si="274"/>
        <v>0</v>
      </c>
      <c r="BQ617" s="399">
        <f t="shared" si="275"/>
        <v>0</v>
      </c>
      <c r="BR617" s="399">
        <f t="shared" si="276"/>
        <v>0</v>
      </c>
      <c r="BS617" s="399">
        <f t="shared" si="277"/>
        <v>0</v>
      </c>
      <c r="BT617" s="399">
        <f t="shared" si="278"/>
        <v>0</v>
      </c>
      <c r="BU617" s="399">
        <f t="shared" si="279"/>
        <v>0</v>
      </c>
      <c r="BV617" s="399">
        <f t="shared" si="280"/>
        <v>0</v>
      </c>
      <c r="BW617" s="399">
        <f t="shared" si="281"/>
        <v>0</v>
      </c>
      <c r="BX617" s="399">
        <f t="shared" si="282"/>
        <v>0</v>
      </c>
      <c r="BY617" s="399">
        <f t="shared" si="283"/>
        <v>0</v>
      </c>
      <c r="BZ617" s="399">
        <f t="shared" si="284"/>
        <v>0</v>
      </c>
      <c r="CA617" s="399">
        <f t="shared" si="285"/>
        <v>0</v>
      </c>
      <c r="CB617" s="399">
        <f t="shared" si="286"/>
        <v>0</v>
      </c>
      <c r="CC617" s="399">
        <f t="shared" si="287"/>
        <v>0</v>
      </c>
      <c r="CD617" s="399">
        <f t="shared" si="288"/>
        <v>0</v>
      </c>
      <c r="CE617" s="399">
        <f t="shared" si="289"/>
        <v>0</v>
      </c>
      <c r="CF617" s="399">
        <f t="shared" si="290"/>
        <v>0</v>
      </c>
      <c r="CG617" s="399">
        <f t="shared" si="291"/>
        <v>0</v>
      </c>
      <c r="CH617" s="399">
        <f t="shared" si="292"/>
        <v>0</v>
      </c>
      <c r="CI617" s="399">
        <f t="shared" si="293"/>
        <v>0</v>
      </c>
      <c r="CJ617" s="399">
        <f t="shared" si="294"/>
        <v>0</v>
      </c>
      <c r="CK617" s="399">
        <f t="shared" si="295"/>
        <v>0</v>
      </c>
      <c r="CL617" s="399">
        <f t="shared" si="296"/>
        <v>0</v>
      </c>
      <c r="CM617" s="399">
        <f t="shared" si="297"/>
        <v>0</v>
      </c>
      <c r="CN617" s="399">
        <f t="shared" si="298"/>
        <v>0</v>
      </c>
      <c r="CO617" s="399">
        <f t="shared" si="299"/>
        <v>0</v>
      </c>
      <c r="CP617" s="399">
        <f t="shared" si="300"/>
        <v>0</v>
      </c>
      <c r="CQ617" s="423">
        <f t="shared" si="301"/>
        <v>0</v>
      </c>
      <c r="CS617" s="394" t="e">
        <f t="shared" si="302"/>
        <v>#DIV/0!</v>
      </c>
    </row>
    <row r="618" spans="3:97">
      <c r="C618" s="107"/>
      <c r="D618" s="395"/>
      <c r="E618" s="84"/>
      <c r="F618" s="84"/>
      <c r="G618" s="389"/>
      <c r="H618" s="390"/>
      <c r="I618" s="390"/>
      <c r="J618" s="390"/>
      <c r="K618" s="390"/>
      <c r="L618" s="390"/>
      <c r="M618" s="390"/>
      <c r="N618" s="390"/>
      <c r="O618" s="390"/>
      <c r="P618" s="390"/>
      <c r="Q618" s="390"/>
      <c r="R618" s="390"/>
      <c r="S618" s="390"/>
      <c r="T618" s="390"/>
      <c r="U618" s="390"/>
      <c r="V618" s="390"/>
      <c r="W618" s="390"/>
      <c r="X618" s="390"/>
      <c r="Y618" s="390"/>
      <c r="Z618" s="390"/>
      <c r="AA618" s="390"/>
      <c r="AB618" s="390"/>
      <c r="AC618" s="390"/>
      <c r="AD618" s="390"/>
      <c r="AE618" s="390"/>
      <c r="AF618" s="390"/>
      <c r="AG618" s="390"/>
      <c r="AH618" s="390"/>
      <c r="AI618" s="391"/>
      <c r="AK618" s="437"/>
      <c r="AL618" s="437"/>
      <c r="AM618" s="437"/>
      <c r="AN618" s="437"/>
      <c r="AO618" s="437"/>
      <c r="AP618" s="437"/>
      <c r="AQ618" s="437"/>
      <c r="AR618" s="437"/>
      <c r="AS618" s="437"/>
      <c r="AT618" s="437"/>
      <c r="AU618" s="437"/>
      <c r="AV618" s="437"/>
      <c r="AW618" s="437"/>
      <c r="AX618" s="437"/>
      <c r="AY618" s="437"/>
      <c r="AZ618" s="437"/>
      <c r="BA618" s="437"/>
      <c r="BB618" s="437"/>
      <c r="BC618" s="437"/>
      <c r="BD618" s="437"/>
      <c r="BE618" s="437"/>
      <c r="BF618" s="437"/>
      <c r="BG618" s="437"/>
      <c r="BH618" s="437"/>
      <c r="BI618" s="437"/>
      <c r="BJ618" s="437"/>
      <c r="BK618" s="437"/>
      <c r="BL618" s="437"/>
      <c r="BM618" s="393"/>
      <c r="BO618" s="399">
        <f t="shared" si="273"/>
        <v>0</v>
      </c>
      <c r="BP618" s="399">
        <f t="shared" si="274"/>
        <v>0</v>
      </c>
      <c r="BQ618" s="399">
        <f t="shared" si="275"/>
        <v>0</v>
      </c>
      <c r="BR618" s="399">
        <f t="shared" si="276"/>
        <v>0</v>
      </c>
      <c r="BS618" s="399">
        <f t="shared" si="277"/>
        <v>0</v>
      </c>
      <c r="BT618" s="399">
        <f t="shared" si="278"/>
        <v>0</v>
      </c>
      <c r="BU618" s="399">
        <f t="shared" si="279"/>
        <v>0</v>
      </c>
      <c r="BV618" s="399">
        <f t="shared" si="280"/>
        <v>0</v>
      </c>
      <c r="BW618" s="399">
        <f t="shared" si="281"/>
        <v>0</v>
      </c>
      <c r="BX618" s="399">
        <f t="shared" si="282"/>
        <v>0</v>
      </c>
      <c r="BY618" s="399">
        <f t="shared" si="283"/>
        <v>0</v>
      </c>
      <c r="BZ618" s="399">
        <f t="shared" si="284"/>
        <v>0</v>
      </c>
      <c r="CA618" s="399">
        <f t="shared" si="285"/>
        <v>0</v>
      </c>
      <c r="CB618" s="399">
        <f t="shared" si="286"/>
        <v>0</v>
      </c>
      <c r="CC618" s="399">
        <f t="shared" si="287"/>
        <v>0</v>
      </c>
      <c r="CD618" s="399">
        <f t="shared" si="288"/>
        <v>0</v>
      </c>
      <c r="CE618" s="399">
        <f t="shared" si="289"/>
        <v>0</v>
      </c>
      <c r="CF618" s="399">
        <f t="shared" si="290"/>
        <v>0</v>
      </c>
      <c r="CG618" s="399">
        <f t="shared" si="291"/>
        <v>0</v>
      </c>
      <c r="CH618" s="399">
        <f t="shared" si="292"/>
        <v>0</v>
      </c>
      <c r="CI618" s="399">
        <f t="shared" si="293"/>
        <v>0</v>
      </c>
      <c r="CJ618" s="399">
        <f t="shared" si="294"/>
        <v>0</v>
      </c>
      <c r="CK618" s="399">
        <f t="shared" si="295"/>
        <v>0</v>
      </c>
      <c r="CL618" s="399">
        <f t="shared" si="296"/>
        <v>0</v>
      </c>
      <c r="CM618" s="399">
        <f t="shared" si="297"/>
        <v>0</v>
      </c>
      <c r="CN618" s="399">
        <f t="shared" si="298"/>
        <v>0</v>
      </c>
      <c r="CO618" s="399">
        <f t="shared" si="299"/>
        <v>0</v>
      </c>
      <c r="CP618" s="399">
        <f t="shared" si="300"/>
        <v>0</v>
      </c>
      <c r="CQ618" s="423">
        <f t="shared" si="301"/>
        <v>0</v>
      </c>
      <c r="CS618" s="394" t="e">
        <f t="shared" si="302"/>
        <v>#DIV/0!</v>
      </c>
    </row>
    <row r="619" spans="3:97">
      <c r="C619" s="107"/>
      <c r="D619" s="395"/>
      <c r="E619" s="84"/>
      <c r="F619" s="84"/>
      <c r="G619" s="389"/>
      <c r="H619" s="390"/>
      <c r="I619" s="390"/>
      <c r="J619" s="390"/>
      <c r="K619" s="390"/>
      <c r="L619" s="390"/>
      <c r="M619" s="390"/>
      <c r="N619" s="390"/>
      <c r="O619" s="390"/>
      <c r="P619" s="390"/>
      <c r="Q619" s="390"/>
      <c r="R619" s="390"/>
      <c r="S619" s="390"/>
      <c r="T619" s="390"/>
      <c r="U619" s="390"/>
      <c r="V619" s="390"/>
      <c r="W619" s="390"/>
      <c r="X619" s="390"/>
      <c r="Y619" s="390"/>
      <c r="Z619" s="390"/>
      <c r="AA619" s="390"/>
      <c r="AB619" s="390"/>
      <c r="AC619" s="390"/>
      <c r="AD619" s="390"/>
      <c r="AE619" s="390"/>
      <c r="AF619" s="390"/>
      <c r="AG619" s="390"/>
      <c r="AH619" s="390"/>
      <c r="AI619" s="391"/>
      <c r="AK619" s="437"/>
      <c r="AL619" s="437"/>
      <c r="AM619" s="437"/>
      <c r="AN619" s="437"/>
      <c r="AO619" s="437"/>
      <c r="AP619" s="437"/>
      <c r="AQ619" s="437"/>
      <c r="AR619" s="437"/>
      <c r="AS619" s="437"/>
      <c r="AT619" s="437"/>
      <c r="AU619" s="437"/>
      <c r="AV619" s="437"/>
      <c r="AW619" s="437"/>
      <c r="AX619" s="437"/>
      <c r="AY619" s="437"/>
      <c r="AZ619" s="437"/>
      <c r="BA619" s="437"/>
      <c r="BB619" s="437"/>
      <c r="BC619" s="437"/>
      <c r="BD619" s="437"/>
      <c r="BE619" s="437"/>
      <c r="BF619" s="437"/>
      <c r="BG619" s="437"/>
      <c r="BH619" s="437"/>
      <c r="BI619" s="437"/>
      <c r="BJ619" s="437"/>
      <c r="BK619" s="437"/>
      <c r="BL619" s="437"/>
      <c r="BM619" s="393"/>
      <c r="BO619" s="399">
        <f t="shared" si="273"/>
        <v>0</v>
      </c>
      <c r="BP619" s="399">
        <f t="shared" si="274"/>
        <v>0</v>
      </c>
      <c r="BQ619" s="399">
        <f t="shared" si="275"/>
        <v>0</v>
      </c>
      <c r="BR619" s="399">
        <f t="shared" si="276"/>
        <v>0</v>
      </c>
      <c r="BS619" s="399">
        <f t="shared" si="277"/>
        <v>0</v>
      </c>
      <c r="BT619" s="399">
        <f t="shared" si="278"/>
        <v>0</v>
      </c>
      <c r="BU619" s="399">
        <f t="shared" si="279"/>
        <v>0</v>
      </c>
      <c r="BV619" s="399">
        <f t="shared" si="280"/>
        <v>0</v>
      </c>
      <c r="BW619" s="399">
        <f t="shared" si="281"/>
        <v>0</v>
      </c>
      <c r="BX619" s="399">
        <f t="shared" si="282"/>
        <v>0</v>
      </c>
      <c r="BY619" s="399">
        <f t="shared" si="283"/>
        <v>0</v>
      </c>
      <c r="BZ619" s="399">
        <f t="shared" si="284"/>
        <v>0</v>
      </c>
      <c r="CA619" s="399">
        <f t="shared" si="285"/>
        <v>0</v>
      </c>
      <c r="CB619" s="399">
        <f t="shared" si="286"/>
        <v>0</v>
      </c>
      <c r="CC619" s="399">
        <f t="shared" si="287"/>
        <v>0</v>
      </c>
      <c r="CD619" s="399">
        <f t="shared" si="288"/>
        <v>0</v>
      </c>
      <c r="CE619" s="399">
        <f t="shared" si="289"/>
        <v>0</v>
      </c>
      <c r="CF619" s="399">
        <f t="shared" si="290"/>
        <v>0</v>
      </c>
      <c r="CG619" s="399">
        <f t="shared" si="291"/>
        <v>0</v>
      </c>
      <c r="CH619" s="399">
        <f t="shared" si="292"/>
        <v>0</v>
      </c>
      <c r="CI619" s="399">
        <f t="shared" si="293"/>
        <v>0</v>
      </c>
      <c r="CJ619" s="399">
        <f t="shared" si="294"/>
        <v>0</v>
      </c>
      <c r="CK619" s="399">
        <f t="shared" si="295"/>
        <v>0</v>
      </c>
      <c r="CL619" s="399">
        <f t="shared" si="296"/>
        <v>0</v>
      </c>
      <c r="CM619" s="399">
        <f t="shared" si="297"/>
        <v>0</v>
      </c>
      <c r="CN619" s="399">
        <f t="shared" si="298"/>
        <v>0</v>
      </c>
      <c r="CO619" s="399">
        <f t="shared" si="299"/>
        <v>0</v>
      </c>
      <c r="CP619" s="399">
        <f t="shared" si="300"/>
        <v>0</v>
      </c>
      <c r="CQ619" s="423">
        <f t="shared" si="301"/>
        <v>0</v>
      </c>
      <c r="CS619" s="394" t="e">
        <f t="shared" si="302"/>
        <v>#DIV/0!</v>
      </c>
    </row>
    <row r="620" spans="3:97">
      <c r="C620" s="107"/>
      <c r="D620" s="395"/>
      <c r="E620" s="84"/>
      <c r="F620" s="84"/>
      <c r="G620" s="389"/>
      <c r="H620" s="390"/>
      <c r="I620" s="390"/>
      <c r="J620" s="390"/>
      <c r="K620" s="390"/>
      <c r="L620" s="390"/>
      <c r="M620" s="390"/>
      <c r="N620" s="390"/>
      <c r="O620" s="390"/>
      <c r="P620" s="390"/>
      <c r="Q620" s="390"/>
      <c r="R620" s="390"/>
      <c r="S620" s="390"/>
      <c r="T620" s="390"/>
      <c r="U620" s="390"/>
      <c r="V620" s="390"/>
      <c r="W620" s="390"/>
      <c r="X620" s="390"/>
      <c r="Y620" s="390"/>
      <c r="Z620" s="390"/>
      <c r="AA620" s="390"/>
      <c r="AB620" s="390"/>
      <c r="AC620" s="390"/>
      <c r="AD620" s="390"/>
      <c r="AE620" s="390"/>
      <c r="AF620" s="390"/>
      <c r="AG620" s="390"/>
      <c r="AH620" s="390"/>
      <c r="AI620" s="391"/>
      <c r="AK620" s="437"/>
      <c r="AL620" s="437"/>
      <c r="AM620" s="437"/>
      <c r="AN620" s="437"/>
      <c r="AO620" s="437"/>
      <c r="AP620" s="437"/>
      <c r="AQ620" s="437"/>
      <c r="AR620" s="437"/>
      <c r="AS620" s="437"/>
      <c r="AT620" s="437"/>
      <c r="AU620" s="437"/>
      <c r="AV620" s="437"/>
      <c r="AW620" s="437"/>
      <c r="AX620" s="437"/>
      <c r="AY620" s="437"/>
      <c r="AZ620" s="437"/>
      <c r="BA620" s="437"/>
      <c r="BB620" s="437"/>
      <c r="BC620" s="437"/>
      <c r="BD620" s="437"/>
      <c r="BE620" s="437"/>
      <c r="BF620" s="437"/>
      <c r="BG620" s="437"/>
      <c r="BH620" s="437"/>
      <c r="BI620" s="437"/>
      <c r="BJ620" s="437"/>
      <c r="BK620" s="437"/>
      <c r="BL620" s="437"/>
      <c r="BM620" s="393"/>
      <c r="BO620" s="399">
        <f t="shared" si="273"/>
        <v>0</v>
      </c>
      <c r="BP620" s="399">
        <f t="shared" si="274"/>
        <v>0</v>
      </c>
      <c r="BQ620" s="399">
        <f t="shared" si="275"/>
        <v>0</v>
      </c>
      <c r="BR620" s="399">
        <f t="shared" si="276"/>
        <v>0</v>
      </c>
      <c r="BS620" s="399">
        <f t="shared" si="277"/>
        <v>0</v>
      </c>
      <c r="BT620" s="399">
        <f t="shared" si="278"/>
        <v>0</v>
      </c>
      <c r="BU620" s="399">
        <f t="shared" si="279"/>
        <v>0</v>
      </c>
      <c r="BV620" s="399">
        <f t="shared" si="280"/>
        <v>0</v>
      </c>
      <c r="BW620" s="399">
        <f t="shared" si="281"/>
        <v>0</v>
      </c>
      <c r="BX620" s="399">
        <f t="shared" si="282"/>
        <v>0</v>
      </c>
      <c r="BY620" s="399">
        <f t="shared" si="283"/>
        <v>0</v>
      </c>
      <c r="BZ620" s="399">
        <f t="shared" si="284"/>
        <v>0</v>
      </c>
      <c r="CA620" s="399">
        <f t="shared" si="285"/>
        <v>0</v>
      </c>
      <c r="CB620" s="399">
        <f t="shared" si="286"/>
        <v>0</v>
      </c>
      <c r="CC620" s="399">
        <f t="shared" si="287"/>
        <v>0</v>
      </c>
      <c r="CD620" s="399">
        <f t="shared" si="288"/>
        <v>0</v>
      </c>
      <c r="CE620" s="399">
        <f t="shared" si="289"/>
        <v>0</v>
      </c>
      <c r="CF620" s="399">
        <f t="shared" si="290"/>
        <v>0</v>
      </c>
      <c r="CG620" s="399">
        <f t="shared" si="291"/>
        <v>0</v>
      </c>
      <c r="CH620" s="399">
        <f t="shared" si="292"/>
        <v>0</v>
      </c>
      <c r="CI620" s="399">
        <f t="shared" si="293"/>
        <v>0</v>
      </c>
      <c r="CJ620" s="399">
        <f t="shared" si="294"/>
        <v>0</v>
      </c>
      <c r="CK620" s="399">
        <f t="shared" si="295"/>
        <v>0</v>
      </c>
      <c r="CL620" s="399">
        <f t="shared" si="296"/>
        <v>0</v>
      </c>
      <c r="CM620" s="399">
        <f t="shared" si="297"/>
        <v>0</v>
      </c>
      <c r="CN620" s="399">
        <f t="shared" si="298"/>
        <v>0</v>
      </c>
      <c r="CO620" s="399">
        <f t="shared" si="299"/>
        <v>0</v>
      </c>
      <c r="CP620" s="399">
        <f t="shared" si="300"/>
        <v>0</v>
      </c>
      <c r="CQ620" s="423">
        <f t="shared" si="301"/>
        <v>0</v>
      </c>
      <c r="CS620" s="394" t="e">
        <f t="shared" si="302"/>
        <v>#DIV/0!</v>
      </c>
    </row>
  </sheetData>
  <autoFilter ref="A6:CS620" xr:uid="{0B5DD721-A46D-43B9-A030-8EE4F687C76F}"/>
  <conditionalFormatting sqref="C6">
    <cfRule type="duplicateValues" dxfId="34" priority="9"/>
  </conditionalFormatting>
  <conditionalFormatting sqref="C7:C18">
    <cfRule type="duplicateValues" dxfId="33" priority="8589"/>
  </conditionalFormatting>
  <conditionalFormatting sqref="C19:C620">
    <cfRule type="duplicateValues" dxfId="32" priority="8588"/>
  </conditionalFormatting>
  <conditionalFormatting sqref="C413:C1048576 C1:C5">
    <cfRule type="duplicateValues" dxfId="31" priority="23"/>
  </conditionalFormatting>
  <conditionalFormatting sqref="D7:D275">
    <cfRule type="duplicateValues" dxfId="30" priority="8591"/>
  </conditionalFormatting>
  <conditionalFormatting sqref="D6:E6">
    <cfRule type="duplicateValues" dxfId="29" priority="8"/>
  </conditionalFormatting>
  <conditionalFormatting sqref="D430:E1048576 D1:E1 D3:E5 D2:F2 D276:D620">
    <cfRule type="duplicateValues" dxfId="28" priority="22"/>
  </conditionalFormatting>
  <conditionalFormatting sqref="E6">
    <cfRule type="duplicateValues" dxfId="27" priority="6"/>
    <cfRule type="duplicateValues" dxfId="26" priority="7"/>
  </conditionalFormatting>
  <conditionalFormatting sqref="E430:E1048576 E1:E5">
    <cfRule type="duplicateValues" dxfId="25" priority="20"/>
    <cfRule type="duplicateValues" dxfId="24" priority="21"/>
  </conditionalFormatting>
  <conditionalFormatting sqref="G1:AI1 AK1:BM1 BO1:CQ1">
    <cfRule type="containsText" dxfId="23" priority="4" operator="containsText" text="false">
      <formula>NOT(ISERROR(SEARCH("false",G1)))</formula>
    </cfRule>
  </conditionalFormatting>
  <pageMargins left="0.7" right="0.7" top="0.75" bottom="0.75" header="0.3" footer="0.3"/>
  <pageSetup paperSize="9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B976-4601-4541-B1F0-ED7621032ADE}">
  <sheetPr codeName="Sheet10">
    <tabColor rgb="FFFFC000"/>
  </sheetPr>
  <dimension ref="A3:I715"/>
  <sheetViews>
    <sheetView workbookViewId="0">
      <pane ySplit="3" topLeftCell="A4" activePane="bottomLeft" state="frozen"/>
      <selection activeCell="T16" sqref="T16"/>
      <selection pane="bottomLeft" activeCell="E6" sqref="E6"/>
    </sheetView>
  </sheetViews>
  <sheetFormatPr defaultRowHeight="15"/>
  <cols>
    <col min="1" max="1" width="43.28515625" style="142" bestFit="1" customWidth="1"/>
    <col min="2" max="2" width="12.42578125" style="264" bestFit="1" customWidth="1"/>
    <col min="3" max="3" width="8.7109375" style="264" bestFit="1" customWidth="1"/>
    <col min="4" max="4" width="11" bestFit="1" customWidth="1"/>
    <col min="5" max="5" width="11.5703125" bestFit="1" customWidth="1"/>
    <col min="6" max="6" width="11.28515625" bestFit="1" customWidth="1"/>
    <col min="7" max="7" width="11.85546875" customWidth="1"/>
    <col min="8" max="8" width="11.5703125" bestFit="1" customWidth="1"/>
    <col min="9" max="9" width="10.140625" bestFit="1" customWidth="1"/>
  </cols>
  <sheetData>
    <row r="3" spans="1:8" s="279" customFormat="1" ht="60">
      <c r="A3" s="348" t="s">
        <v>221</v>
      </c>
      <c r="B3" s="279" t="s">
        <v>1000</v>
      </c>
      <c r="C3" s="279" t="s">
        <v>1001</v>
      </c>
      <c r="D3" s="279" t="s">
        <v>1002</v>
      </c>
      <c r="E3" s="280" t="s">
        <v>991</v>
      </c>
      <c r="F3" t="s">
        <v>1029</v>
      </c>
    </row>
    <row r="4" spans="1:8">
      <c r="A4" t="s">
        <v>4437</v>
      </c>
      <c r="B4" s="268">
        <v>186.18</v>
      </c>
      <c r="C4" s="268">
        <v>134</v>
      </c>
      <c r="D4" s="268">
        <v>221.18</v>
      </c>
      <c r="E4" s="268">
        <v>23900</v>
      </c>
      <c r="F4" s="268">
        <v>0</v>
      </c>
      <c r="G4" s="108">
        <f>_xlfn.XLOOKUP(A4,Calculation!$A:$A,Calculation!$B:$B)</f>
        <v>23900</v>
      </c>
      <c r="H4" s="108"/>
    </row>
    <row r="5" spans="1:8">
      <c r="A5" t="s">
        <v>4641</v>
      </c>
      <c r="B5" s="268">
        <v>80.5</v>
      </c>
      <c r="C5" s="268">
        <v>65</v>
      </c>
      <c r="D5" s="268">
        <v>94.5</v>
      </c>
      <c r="E5" s="268">
        <v>8000</v>
      </c>
      <c r="F5" s="268">
        <v>0</v>
      </c>
      <c r="G5" s="108">
        <f>_xlfn.XLOOKUP(A5,Calculation!$A:$A,Calculation!$B:$B)</f>
        <v>8000</v>
      </c>
      <c r="H5" s="108"/>
    </row>
    <row r="6" spans="1:8">
      <c r="A6" t="s">
        <v>4760</v>
      </c>
      <c r="B6" s="268">
        <v>201.5</v>
      </c>
      <c r="C6" s="268">
        <v>150</v>
      </c>
      <c r="D6" s="268">
        <v>288.5</v>
      </c>
      <c r="E6" s="268">
        <v>25800</v>
      </c>
      <c r="F6" s="268">
        <v>0</v>
      </c>
      <c r="G6" s="108">
        <f>_xlfn.XLOOKUP(A6,Calculation!$A:$A,Calculation!$B:$B)</f>
        <v>25800</v>
      </c>
      <c r="H6" s="108"/>
    </row>
    <row r="7" spans="1:8">
      <c r="A7" t="s">
        <v>2779</v>
      </c>
      <c r="B7" s="268">
        <v>126</v>
      </c>
      <c r="C7" s="268">
        <v>116</v>
      </c>
      <c r="D7" s="268">
        <v>197.99999999999997</v>
      </c>
      <c r="E7" s="268">
        <v>12600</v>
      </c>
      <c r="F7" s="268">
        <v>0</v>
      </c>
      <c r="G7" s="108">
        <f>_xlfn.XLOOKUP(A7,Calculation!$A:$A,Calculation!$B:$B)</f>
        <v>12600</v>
      </c>
      <c r="H7" s="108"/>
    </row>
    <row r="8" spans="1:8">
      <c r="A8" t="s">
        <v>3412</v>
      </c>
      <c r="B8" s="268">
        <v>324.99</v>
      </c>
      <c r="C8" s="268">
        <v>360</v>
      </c>
      <c r="D8" s="268">
        <v>499.99</v>
      </c>
      <c r="E8" s="268">
        <v>60800</v>
      </c>
      <c r="F8" s="268">
        <v>0</v>
      </c>
      <c r="G8" s="108">
        <f>_xlfn.XLOOKUP(A8,Calculation!$A:$A,Calculation!$B:$B)</f>
        <v>60800</v>
      </c>
      <c r="H8" s="108"/>
    </row>
    <row r="9" spans="1:8">
      <c r="A9" t="s">
        <v>2665</v>
      </c>
      <c r="B9" s="268">
        <v>218.28</v>
      </c>
      <c r="C9" s="268">
        <v>273</v>
      </c>
      <c r="D9" s="268">
        <v>560.28</v>
      </c>
      <c r="E9" s="268">
        <v>32850</v>
      </c>
      <c r="F9" s="268">
        <v>0</v>
      </c>
      <c r="G9" s="108">
        <f>_xlfn.XLOOKUP(A9,Calculation!$A:$A,Calculation!$B:$B)</f>
        <v>32850</v>
      </c>
      <c r="H9" s="108"/>
    </row>
    <row r="10" spans="1:8">
      <c r="A10" t="s">
        <v>3721</v>
      </c>
      <c r="B10" s="268">
        <v>139</v>
      </c>
      <c r="C10" s="268">
        <v>184</v>
      </c>
      <c r="D10" s="268">
        <v>362</v>
      </c>
      <c r="E10" s="268">
        <v>29000</v>
      </c>
      <c r="F10" s="268">
        <v>0</v>
      </c>
      <c r="G10" s="108">
        <f>_xlfn.XLOOKUP(A10,Calculation!$A:$A,Calculation!$B:$B)</f>
        <v>29000</v>
      </c>
      <c r="H10" s="108"/>
    </row>
    <row r="11" spans="1:8">
      <c r="A11" t="s">
        <v>4397</v>
      </c>
      <c r="B11" s="268">
        <v>130</v>
      </c>
      <c r="C11" s="268">
        <v>135</v>
      </c>
      <c r="D11" s="268">
        <v>301</v>
      </c>
      <c r="E11" s="268">
        <v>10100</v>
      </c>
      <c r="F11" s="268">
        <v>0</v>
      </c>
      <c r="G11" s="108">
        <f>_xlfn.XLOOKUP(A11,Calculation!$A:$A,Calculation!$B:$B)</f>
        <v>10100</v>
      </c>
      <c r="H11" s="108"/>
    </row>
    <row r="12" spans="1:8">
      <c r="A12" t="s">
        <v>2654</v>
      </c>
      <c r="B12" s="268">
        <v>40.340000000000003</v>
      </c>
      <c r="C12" s="268">
        <v>46</v>
      </c>
      <c r="D12" s="268">
        <v>83.34</v>
      </c>
      <c r="E12" s="268">
        <v>3500</v>
      </c>
      <c r="F12" s="268">
        <v>0</v>
      </c>
      <c r="G12" s="108">
        <f>_xlfn.XLOOKUP(A12,Calculation!$A:$A,Calculation!$B:$B)</f>
        <v>3500</v>
      </c>
      <c r="H12" s="108"/>
    </row>
    <row r="13" spans="1:8">
      <c r="A13" t="s">
        <v>3216</v>
      </c>
      <c r="B13" s="268">
        <v>193</v>
      </c>
      <c r="C13" s="268">
        <v>266</v>
      </c>
      <c r="D13" s="268">
        <v>479</v>
      </c>
      <c r="E13" s="268">
        <v>36900</v>
      </c>
      <c r="F13" s="268">
        <v>0</v>
      </c>
      <c r="G13" s="108">
        <f>_xlfn.XLOOKUP(A13,Calculation!$A:$A,Calculation!$B:$B)</f>
        <v>36900</v>
      </c>
      <c r="H13" s="108"/>
    </row>
    <row r="14" spans="1:8">
      <c r="A14" t="s">
        <v>2710</v>
      </c>
      <c r="B14" s="268">
        <v>74.290000000000006</v>
      </c>
      <c r="C14" s="268">
        <v>69</v>
      </c>
      <c r="D14" s="268">
        <v>78.289999999999992</v>
      </c>
      <c r="E14" s="268">
        <v>8800</v>
      </c>
      <c r="F14" s="268">
        <v>0</v>
      </c>
      <c r="G14" s="108">
        <f>_xlfn.XLOOKUP(A14,Calculation!$A:$A,Calculation!$B:$B)</f>
        <v>8800</v>
      </c>
      <c r="H14" s="108"/>
    </row>
    <row r="15" spans="1:8">
      <c r="A15" t="s">
        <v>3369</v>
      </c>
      <c r="B15" s="268">
        <v>125</v>
      </c>
      <c r="C15" s="268">
        <v>141</v>
      </c>
      <c r="D15" s="268">
        <v>274</v>
      </c>
      <c r="E15" s="268">
        <v>20100</v>
      </c>
      <c r="F15" s="268">
        <v>0</v>
      </c>
      <c r="G15" s="108">
        <f>_xlfn.XLOOKUP(A15,Calculation!$A:$A,Calculation!$B:$B)</f>
        <v>20100</v>
      </c>
      <c r="H15" s="108"/>
    </row>
    <row r="16" spans="1:8">
      <c r="A16" t="s">
        <v>3476</v>
      </c>
      <c r="B16" s="268">
        <v>70.33</v>
      </c>
      <c r="C16" s="268">
        <v>84</v>
      </c>
      <c r="D16" s="268">
        <v>127.33</v>
      </c>
      <c r="E16" s="268">
        <v>5000</v>
      </c>
      <c r="F16" s="268">
        <v>0</v>
      </c>
      <c r="G16" s="108">
        <f>_xlfn.XLOOKUP(A16,Calculation!$A:$A,Calculation!$B:$B)</f>
        <v>5000</v>
      </c>
      <c r="H16" s="108"/>
    </row>
    <row r="17" spans="1:8">
      <c r="A17" t="s">
        <v>3775</v>
      </c>
      <c r="B17" s="268">
        <v>76.34</v>
      </c>
      <c r="C17" s="268">
        <v>75</v>
      </c>
      <c r="D17" s="268">
        <v>128.34</v>
      </c>
      <c r="E17" s="268">
        <v>13600</v>
      </c>
      <c r="F17" s="268">
        <v>0</v>
      </c>
      <c r="G17" s="108">
        <f>_xlfn.XLOOKUP(A17,Calculation!$A:$A,Calculation!$B:$B)</f>
        <v>13600</v>
      </c>
      <c r="H17" s="108"/>
    </row>
    <row r="18" spans="1:8">
      <c r="A18" t="s">
        <v>3742</v>
      </c>
      <c r="B18" s="268">
        <v>87</v>
      </c>
      <c r="C18" s="268">
        <v>70</v>
      </c>
      <c r="D18" s="268">
        <v>125</v>
      </c>
      <c r="E18" s="268">
        <v>8600</v>
      </c>
      <c r="F18" s="268">
        <v>0</v>
      </c>
      <c r="G18" s="108">
        <f>_xlfn.XLOOKUP(A18,Calculation!$A:$A,Calculation!$B:$B)</f>
        <v>8600</v>
      </c>
      <c r="H18" s="108"/>
    </row>
    <row r="19" spans="1:8">
      <c r="A19" t="s">
        <v>3541</v>
      </c>
      <c r="B19" s="268">
        <v>67</v>
      </c>
      <c r="C19" s="268">
        <v>72</v>
      </c>
      <c r="D19" s="268">
        <v>150</v>
      </c>
      <c r="E19" s="268">
        <v>7900</v>
      </c>
      <c r="F19" s="268">
        <v>0</v>
      </c>
      <c r="G19" s="108">
        <f>_xlfn.XLOOKUP(A19,Calculation!$A:$A,Calculation!$B:$B)</f>
        <v>7900</v>
      </c>
      <c r="H19" s="108"/>
    </row>
    <row r="20" spans="1:8">
      <c r="A20" t="s">
        <v>3736</v>
      </c>
      <c r="B20" s="268">
        <v>79</v>
      </c>
      <c r="C20" s="268">
        <v>72</v>
      </c>
      <c r="D20" s="268">
        <v>109</v>
      </c>
      <c r="E20" s="268">
        <v>8800</v>
      </c>
      <c r="F20" s="268">
        <v>0</v>
      </c>
      <c r="G20" s="108">
        <f>_xlfn.XLOOKUP(A20,Calculation!$A:$A,Calculation!$B:$B)</f>
        <v>8800</v>
      </c>
      <c r="H20" s="108"/>
    </row>
    <row r="21" spans="1:8">
      <c r="A21" t="s">
        <v>3768</v>
      </c>
      <c r="B21" s="268">
        <v>61.5</v>
      </c>
      <c r="C21" s="268">
        <v>54</v>
      </c>
      <c r="D21" s="268">
        <v>97.5</v>
      </c>
      <c r="E21" s="268">
        <v>15500</v>
      </c>
      <c r="F21" s="268">
        <v>0</v>
      </c>
      <c r="G21" s="108">
        <f>_xlfn.XLOOKUP(A21,Calculation!$A:$A,Calculation!$B:$B)</f>
        <v>15500</v>
      </c>
      <c r="H21" s="108"/>
    </row>
    <row r="22" spans="1:8">
      <c r="A22" t="s">
        <v>3697</v>
      </c>
      <c r="B22" s="268">
        <v>206.5</v>
      </c>
      <c r="C22" s="268">
        <v>239</v>
      </c>
      <c r="D22" s="268">
        <v>484.49999999999994</v>
      </c>
      <c r="E22" s="268">
        <v>39400</v>
      </c>
      <c r="F22" s="268">
        <v>0</v>
      </c>
      <c r="G22" s="108">
        <f>_xlfn.XLOOKUP(A22,Calculation!$A:$A,Calculation!$B:$B)</f>
        <v>39400</v>
      </c>
      <c r="H22" s="108"/>
    </row>
    <row r="23" spans="1:8">
      <c r="A23" t="s">
        <v>3946</v>
      </c>
      <c r="B23" s="268">
        <v>154</v>
      </c>
      <c r="C23" s="268">
        <v>144</v>
      </c>
      <c r="D23" s="268">
        <v>224</v>
      </c>
      <c r="E23" s="268">
        <v>17700</v>
      </c>
      <c r="F23" s="268">
        <v>0</v>
      </c>
      <c r="G23" s="108">
        <f>_xlfn.XLOOKUP(A23,Calculation!$A:$A,Calculation!$B:$B)</f>
        <v>17700</v>
      </c>
      <c r="H23" s="108"/>
    </row>
    <row r="24" spans="1:8">
      <c r="A24" t="s">
        <v>5007</v>
      </c>
      <c r="B24" s="268">
        <v>180.08</v>
      </c>
      <c r="C24" s="268">
        <v>156</v>
      </c>
      <c r="D24" s="268">
        <v>264.08</v>
      </c>
      <c r="E24" s="268">
        <v>20800</v>
      </c>
      <c r="F24" s="268">
        <v>0</v>
      </c>
      <c r="G24" s="108">
        <f>_xlfn.XLOOKUP(A24,Calculation!$A:$A,Calculation!$B:$B)</f>
        <v>20800</v>
      </c>
      <c r="H24" s="108"/>
    </row>
    <row r="25" spans="1:8">
      <c r="A25" t="s">
        <v>4671</v>
      </c>
      <c r="B25" s="268">
        <v>957.4</v>
      </c>
      <c r="C25" s="268">
        <v>1477</v>
      </c>
      <c r="D25" s="268">
        <v>2213.4</v>
      </c>
      <c r="E25" s="268">
        <v>300700</v>
      </c>
      <c r="F25" s="268">
        <v>0</v>
      </c>
      <c r="G25" s="108">
        <f>_xlfn.XLOOKUP(A25,Calculation!$A:$A,Calculation!$B:$B)</f>
        <v>300700</v>
      </c>
      <c r="H25" s="108"/>
    </row>
    <row r="26" spans="1:8">
      <c r="A26" t="s">
        <v>4450</v>
      </c>
      <c r="B26" s="268">
        <v>445.1</v>
      </c>
      <c r="C26" s="268">
        <v>532</v>
      </c>
      <c r="D26" s="268">
        <v>983.1</v>
      </c>
      <c r="E26" s="268">
        <v>88800</v>
      </c>
      <c r="F26" s="268">
        <v>0</v>
      </c>
      <c r="G26" s="108">
        <f>_xlfn.XLOOKUP(A26,Calculation!$A:$A,Calculation!$B:$B)</f>
        <v>88800</v>
      </c>
      <c r="H26" s="108"/>
    </row>
    <row r="27" spans="1:8">
      <c r="A27" t="s">
        <v>4548</v>
      </c>
      <c r="B27" s="268">
        <v>244.64</v>
      </c>
      <c r="C27" s="268">
        <v>258</v>
      </c>
      <c r="D27" s="268">
        <v>471.64</v>
      </c>
      <c r="E27" s="268">
        <v>43300</v>
      </c>
      <c r="F27" s="268">
        <v>0</v>
      </c>
      <c r="G27" s="108">
        <f>_xlfn.XLOOKUP(A27,Calculation!$A:$A,Calculation!$B:$B)</f>
        <v>43300</v>
      </c>
      <c r="H27" s="108"/>
    </row>
    <row r="28" spans="1:8">
      <c r="A28" t="s">
        <v>4558</v>
      </c>
      <c r="B28" s="268">
        <v>68.02</v>
      </c>
      <c r="C28" s="268">
        <v>83</v>
      </c>
      <c r="D28" s="268">
        <v>151.01999999999998</v>
      </c>
      <c r="E28" s="268">
        <v>15100</v>
      </c>
      <c r="F28" s="268">
        <v>0</v>
      </c>
      <c r="G28" s="108">
        <f>_xlfn.XLOOKUP(A28,Calculation!$A:$A,Calculation!$B:$B)</f>
        <v>15100</v>
      </c>
      <c r="H28" s="108"/>
    </row>
    <row r="29" spans="1:8">
      <c r="A29" t="s">
        <v>4483</v>
      </c>
      <c r="B29" s="268">
        <v>189.63</v>
      </c>
      <c r="C29" s="268">
        <v>159</v>
      </c>
      <c r="D29" s="268">
        <v>292.63</v>
      </c>
      <c r="E29" s="268">
        <v>26100</v>
      </c>
      <c r="F29" s="268">
        <v>0</v>
      </c>
      <c r="G29" s="108">
        <f>_xlfn.XLOOKUP(A29,Calculation!$A:$A,Calculation!$B:$B)</f>
        <v>26100</v>
      </c>
      <c r="H29" s="108"/>
    </row>
    <row r="30" spans="1:8">
      <c r="A30" t="s">
        <v>4553</v>
      </c>
      <c r="B30" s="268">
        <v>88.14</v>
      </c>
      <c r="C30" s="268">
        <v>97</v>
      </c>
      <c r="D30" s="268">
        <v>180.14</v>
      </c>
      <c r="E30" s="268">
        <v>17500</v>
      </c>
      <c r="F30" s="268">
        <v>0</v>
      </c>
      <c r="G30" s="108">
        <f>_xlfn.XLOOKUP(A30,Calculation!$A:$A,Calculation!$B:$B)</f>
        <v>17500</v>
      </c>
      <c r="H30" s="108"/>
    </row>
    <row r="31" spans="1:8">
      <c r="A31" t="s">
        <v>4564</v>
      </c>
      <c r="B31" s="268">
        <v>264.37</v>
      </c>
      <c r="C31" s="268">
        <v>276</v>
      </c>
      <c r="D31" s="268">
        <v>551.37</v>
      </c>
      <c r="E31" s="268">
        <v>65800</v>
      </c>
      <c r="F31" s="268">
        <v>0</v>
      </c>
      <c r="G31" s="108">
        <f>_xlfn.XLOOKUP(A31,Calculation!$A:$A,Calculation!$B:$B)</f>
        <v>65800</v>
      </c>
      <c r="H31" s="108"/>
    </row>
    <row r="32" spans="1:8">
      <c r="A32" t="s">
        <v>4964</v>
      </c>
      <c r="B32" s="268">
        <v>134</v>
      </c>
      <c r="C32" s="268">
        <v>148</v>
      </c>
      <c r="D32" s="268">
        <v>253</v>
      </c>
      <c r="E32" s="268">
        <v>25400</v>
      </c>
      <c r="F32" s="268">
        <v>0</v>
      </c>
      <c r="G32" s="108">
        <f>_xlfn.XLOOKUP(A32,Calculation!$A:$A,Calculation!$B:$B)</f>
        <v>25400</v>
      </c>
      <c r="H32" s="108"/>
    </row>
    <row r="33" spans="1:8">
      <c r="A33" t="s">
        <v>3104</v>
      </c>
      <c r="B33" s="268">
        <v>1340.5</v>
      </c>
      <c r="C33" s="268">
        <v>1239</v>
      </c>
      <c r="D33" s="268">
        <v>2450.5</v>
      </c>
      <c r="E33" s="268">
        <v>105200</v>
      </c>
      <c r="F33" s="268">
        <v>0</v>
      </c>
      <c r="G33" s="108">
        <f>_xlfn.XLOOKUP(A33,Calculation!$A:$A,Calculation!$B:$B)</f>
        <v>105200</v>
      </c>
      <c r="H33" s="108"/>
    </row>
    <row r="34" spans="1:8">
      <c r="A34" t="s">
        <v>4455</v>
      </c>
      <c r="B34" s="268">
        <v>25</v>
      </c>
      <c r="C34" s="268">
        <v>31</v>
      </c>
      <c r="D34" s="268">
        <v>46.999999999999986</v>
      </c>
      <c r="E34" s="268">
        <v>6200</v>
      </c>
      <c r="F34" s="268">
        <v>0</v>
      </c>
      <c r="G34" s="108">
        <f>_xlfn.XLOOKUP(A34,Calculation!$A:$A,Calculation!$B:$B)</f>
        <v>6200</v>
      </c>
      <c r="H34" s="108"/>
    </row>
    <row r="35" spans="1:8">
      <c r="A35" t="s">
        <v>3374</v>
      </c>
      <c r="B35" s="268">
        <v>182.8</v>
      </c>
      <c r="C35" s="268">
        <v>78</v>
      </c>
      <c r="D35" s="268">
        <v>189.8</v>
      </c>
      <c r="E35" s="268">
        <v>10800</v>
      </c>
      <c r="F35" s="268">
        <v>0</v>
      </c>
      <c r="G35" s="108">
        <f>_xlfn.XLOOKUP(A35,Calculation!$A:$A,Calculation!$B:$B)</f>
        <v>10800</v>
      </c>
      <c r="H35" s="108"/>
    </row>
    <row r="36" spans="1:8">
      <c r="A36" t="s">
        <v>4915</v>
      </c>
      <c r="B36" s="268">
        <v>109.4</v>
      </c>
      <c r="C36" s="268">
        <v>87</v>
      </c>
      <c r="D36" s="268">
        <v>169.40000000000003</v>
      </c>
      <c r="E36" s="268">
        <v>13500</v>
      </c>
      <c r="F36" s="268">
        <v>0</v>
      </c>
      <c r="G36" s="108">
        <f>_xlfn.XLOOKUP(A36,Calculation!$A:$A,Calculation!$B:$B)</f>
        <v>13500</v>
      </c>
      <c r="H36" s="108"/>
    </row>
    <row r="37" spans="1:8">
      <c r="A37" t="s">
        <v>3141</v>
      </c>
      <c r="B37" s="268">
        <v>147</v>
      </c>
      <c r="C37" s="268">
        <v>139</v>
      </c>
      <c r="D37" s="268">
        <v>269</v>
      </c>
      <c r="E37" s="268">
        <v>17200</v>
      </c>
      <c r="F37" s="268">
        <v>0</v>
      </c>
      <c r="G37" s="108">
        <f>_xlfn.XLOOKUP(A37,Calculation!$A:$A,Calculation!$B:$B)</f>
        <v>17200</v>
      </c>
      <c r="H37" s="108"/>
    </row>
    <row r="38" spans="1:8">
      <c r="A38" t="s">
        <v>3197</v>
      </c>
      <c r="B38" s="268">
        <v>119.1</v>
      </c>
      <c r="C38" s="268">
        <v>139</v>
      </c>
      <c r="D38" s="268">
        <v>231.10000000000002</v>
      </c>
      <c r="E38" s="268">
        <v>17200</v>
      </c>
      <c r="F38" s="268">
        <v>0</v>
      </c>
      <c r="G38" s="108">
        <f>_xlfn.XLOOKUP(A38,Calculation!$A:$A,Calculation!$B:$B)</f>
        <v>17200</v>
      </c>
      <c r="H38" s="108"/>
    </row>
    <row r="39" spans="1:8">
      <c r="A39" t="s">
        <v>2704</v>
      </c>
      <c r="B39" s="268">
        <v>3</v>
      </c>
      <c r="C39" s="268">
        <v>30</v>
      </c>
      <c r="D39" s="268">
        <v>40</v>
      </c>
      <c r="E39" s="268">
        <v>1700</v>
      </c>
      <c r="F39" s="268">
        <v>0</v>
      </c>
      <c r="G39" s="108">
        <f>_xlfn.XLOOKUP(A39,Calculation!$A:$A,Calculation!$B:$B)</f>
        <v>1700</v>
      </c>
      <c r="H39" s="108"/>
    </row>
    <row r="40" spans="1:8">
      <c r="A40" t="s">
        <v>2707</v>
      </c>
      <c r="B40" s="268">
        <v>7</v>
      </c>
      <c r="C40" s="268">
        <v>30</v>
      </c>
      <c r="D40" s="268">
        <v>42</v>
      </c>
      <c r="E40" s="268">
        <v>3400</v>
      </c>
      <c r="F40" s="268">
        <v>0</v>
      </c>
      <c r="G40" s="108">
        <f>_xlfn.XLOOKUP(A40,Calculation!$A:$A,Calculation!$B:$B)</f>
        <v>3400</v>
      </c>
      <c r="H40" s="108"/>
    </row>
    <row r="41" spans="1:8">
      <c r="A41" t="s">
        <v>3932</v>
      </c>
      <c r="B41" s="268">
        <v>330.59999999999997</v>
      </c>
      <c r="C41" s="268">
        <v>338</v>
      </c>
      <c r="D41" s="268">
        <v>641.6</v>
      </c>
      <c r="E41" s="268">
        <v>47300</v>
      </c>
      <c r="F41" s="268">
        <v>0</v>
      </c>
      <c r="G41" s="108">
        <f>_xlfn.XLOOKUP(A41,Calculation!$A:$A,Calculation!$B:$B)</f>
        <v>47300</v>
      </c>
      <c r="H41" s="108"/>
    </row>
    <row r="42" spans="1:8">
      <c r="A42" t="s">
        <v>2912</v>
      </c>
      <c r="B42" s="268">
        <v>8</v>
      </c>
      <c r="C42" s="268">
        <v>40</v>
      </c>
      <c r="D42" s="268">
        <v>53</v>
      </c>
      <c r="E42" s="268">
        <v>25400</v>
      </c>
      <c r="F42" s="268">
        <v>0</v>
      </c>
      <c r="G42" s="108">
        <f>_xlfn.XLOOKUP(A42,Calculation!$A:$A,Calculation!$B:$B)</f>
        <v>25400</v>
      </c>
      <c r="H42" s="108"/>
    </row>
    <row r="43" spans="1:8">
      <c r="A43" t="s">
        <v>2920</v>
      </c>
      <c r="B43" s="268">
        <v>281.2</v>
      </c>
      <c r="C43" s="268">
        <v>336</v>
      </c>
      <c r="D43" s="268">
        <v>670.2</v>
      </c>
      <c r="E43" s="268">
        <v>46600</v>
      </c>
      <c r="F43" s="268">
        <v>0</v>
      </c>
      <c r="G43" s="108">
        <f>_xlfn.XLOOKUP(A43,Calculation!$A:$A,Calculation!$B:$B)</f>
        <v>46600</v>
      </c>
      <c r="H43" s="108"/>
    </row>
    <row r="44" spans="1:8">
      <c r="A44" t="s">
        <v>2929</v>
      </c>
      <c r="B44" s="268">
        <v>156</v>
      </c>
      <c r="C44" s="268">
        <v>169</v>
      </c>
      <c r="D44" s="268">
        <v>342</v>
      </c>
      <c r="E44" s="268">
        <v>26300</v>
      </c>
      <c r="F44" s="268">
        <v>0</v>
      </c>
      <c r="G44" s="108">
        <f>_xlfn.XLOOKUP(A44,Calculation!$A:$A,Calculation!$B:$B)</f>
        <v>26300</v>
      </c>
      <c r="H44" s="108"/>
    </row>
    <row r="45" spans="1:8">
      <c r="A45" t="s">
        <v>2937</v>
      </c>
      <c r="B45" s="268">
        <v>184.2</v>
      </c>
      <c r="C45" s="268">
        <v>173</v>
      </c>
      <c r="D45" s="268">
        <v>352.20000000000005</v>
      </c>
      <c r="E45" s="268">
        <v>27000</v>
      </c>
      <c r="F45" s="268">
        <v>0</v>
      </c>
      <c r="G45" s="108">
        <f>_xlfn.XLOOKUP(A45,Calculation!$A:$A,Calculation!$B:$B)</f>
        <v>27000</v>
      </c>
      <c r="H45" s="108"/>
    </row>
    <row r="46" spans="1:8">
      <c r="A46" t="s">
        <v>2840</v>
      </c>
      <c r="B46" s="268">
        <v>198.93</v>
      </c>
      <c r="C46" s="268">
        <v>189</v>
      </c>
      <c r="D46" s="268">
        <v>328.93</v>
      </c>
      <c r="E46" s="268">
        <v>23500</v>
      </c>
      <c r="F46" s="268">
        <v>0</v>
      </c>
      <c r="G46" s="108">
        <f>_xlfn.XLOOKUP(A46,Calculation!$A:$A,Calculation!$B:$B)</f>
        <v>23500</v>
      </c>
      <c r="H46" s="108"/>
    </row>
    <row r="47" spans="1:8">
      <c r="A47" t="s">
        <v>3238</v>
      </c>
      <c r="B47" s="268">
        <v>27</v>
      </c>
      <c r="C47" s="268">
        <v>35</v>
      </c>
      <c r="D47" s="268">
        <v>43</v>
      </c>
      <c r="E47" s="268">
        <v>24300</v>
      </c>
      <c r="F47" s="268">
        <v>0</v>
      </c>
      <c r="G47" s="108">
        <f>_xlfn.XLOOKUP(A47,Calculation!$A:$A,Calculation!$B:$B)</f>
        <v>24300</v>
      </c>
      <c r="H47" s="108"/>
    </row>
    <row r="48" spans="1:8">
      <c r="A48" t="s">
        <v>3239</v>
      </c>
      <c r="B48" s="268">
        <v>219</v>
      </c>
      <c r="C48" s="268">
        <v>167</v>
      </c>
      <c r="D48" s="268">
        <v>332</v>
      </c>
      <c r="E48" s="268">
        <v>24900</v>
      </c>
      <c r="F48" s="268">
        <v>0</v>
      </c>
      <c r="G48" s="108">
        <f>_xlfn.XLOOKUP(A48,Calculation!$A:$A,Calculation!$B:$B)</f>
        <v>24900</v>
      </c>
      <c r="H48" s="108"/>
    </row>
    <row r="49" spans="1:8">
      <c r="A49" t="s">
        <v>3223</v>
      </c>
      <c r="B49" s="268">
        <v>198.9</v>
      </c>
      <c r="C49" s="268">
        <v>169</v>
      </c>
      <c r="D49" s="268">
        <v>341.90000000000003</v>
      </c>
      <c r="E49" s="268">
        <v>23300</v>
      </c>
      <c r="F49" s="268">
        <v>0</v>
      </c>
      <c r="G49" s="108">
        <f>_xlfn.XLOOKUP(A49,Calculation!$A:$A,Calculation!$B:$B)</f>
        <v>23300</v>
      </c>
      <c r="H49" s="108"/>
    </row>
    <row r="50" spans="1:8">
      <c r="A50" t="s">
        <v>3230</v>
      </c>
      <c r="B50" s="268">
        <v>105</v>
      </c>
      <c r="C50" s="268">
        <v>120</v>
      </c>
      <c r="D50" s="268">
        <v>232</v>
      </c>
      <c r="E50" s="268">
        <v>23300</v>
      </c>
      <c r="F50" s="268">
        <v>0</v>
      </c>
      <c r="G50" s="108">
        <f>_xlfn.XLOOKUP(A50,Calculation!$A:$A,Calculation!$B:$B)</f>
        <v>23300</v>
      </c>
      <c r="H50" s="108"/>
    </row>
    <row r="51" spans="1:8">
      <c r="A51" t="s">
        <v>4752</v>
      </c>
      <c r="B51" s="268">
        <v>353.4</v>
      </c>
      <c r="C51" s="268">
        <v>333</v>
      </c>
      <c r="D51" s="268">
        <v>667.40000000000009</v>
      </c>
      <c r="E51" s="268">
        <v>44100</v>
      </c>
      <c r="F51" s="268">
        <v>0</v>
      </c>
      <c r="G51" s="108">
        <f>_xlfn.XLOOKUP(A51,Calculation!$A:$A,Calculation!$B:$B)</f>
        <v>44100</v>
      </c>
      <c r="H51" s="108"/>
    </row>
    <row r="52" spans="1:8">
      <c r="A52" t="s">
        <v>2847</v>
      </c>
      <c r="B52" s="268">
        <v>14</v>
      </c>
      <c r="C52" s="268">
        <v>42</v>
      </c>
      <c r="D52" s="268">
        <v>54</v>
      </c>
      <c r="E52" s="268">
        <v>26200</v>
      </c>
      <c r="F52" s="268">
        <v>0</v>
      </c>
      <c r="G52" s="108">
        <f>_xlfn.XLOOKUP(A52,Calculation!$A:$A,Calculation!$B:$B)</f>
        <v>26200</v>
      </c>
      <c r="H52" s="108"/>
    </row>
    <row r="53" spans="1:8">
      <c r="A53" t="s">
        <v>2849</v>
      </c>
      <c r="B53" s="268">
        <v>62.5</v>
      </c>
      <c r="C53" s="268">
        <v>99</v>
      </c>
      <c r="D53" s="268">
        <v>168.5</v>
      </c>
      <c r="E53" s="268">
        <v>13500</v>
      </c>
      <c r="F53" s="268">
        <v>0</v>
      </c>
      <c r="G53" s="108">
        <f>_xlfn.XLOOKUP(A53,Calculation!$A:$A,Calculation!$B:$B)</f>
        <v>13500</v>
      </c>
      <c r="H53" s="108"/>
    </row>
    <row r="54" spans="1:8">
      <c r="A54" t="s">
        <v>3391</v>
      </c>
      <c r="B54" s="268">
        <v>315.10000000000002</v>
      </c>
      <c r="C54" s="268">
        <v>345</v>
      </c>
      <c r="D54" s="268">
        <v>631.09999999999991</v>
      </c>
      <c r="E54" s="268">
        <v>50400</v>
      </c>
      <c r="F54" s="268">
        <v>0</v>
      </c>
      <c r="G54" s="108">
        <f>_xlfn.XLOOKUP(A54,Calculation!$A:$A,Calculation!$B:$B)</f>
        <v>50400</v>
      </c>
      <c r="H54" s="108"/>
    </row>
    <row r="55" spans="1:8">
      <c r="A55" t="s">
        <v>2818</v>
      </c>
      <c r="B55" s="268">
        <v>202</v>
      </c>
      <c r="C55" s="268">
        <v>109</v>
      </c>
      <c r="D55" s="268">
        <v>204</v>
      </c>
      <c r="E55" s="268">
        <v>10400</v>
      </c>
      <c r="F55" s="268">
        <v>0</v>
      </c>
      <c r="G55" s="108">
        <f>_xlfn.XLOOKUP(A55,Calculation!$A:$A,Calculation!$B:$B)</f>
        <v>10400</v>
      </c>
      <c r="H55" s="108"/>
    </row>
    <row r="56" spans="1:8">
      <c r="A56" t="s">
        <v>4733</v>
      </c>
      <c r="B56" s="268">
        <v>122</v>
      </c>
      <c r="C56" s="268">
        <v>86</v>
      </c>
      <c r="D56" s="268">
        <v>176</v>
      </c>
      <c r="E56" s="268">
        <v>10500</v>
      </c>
      <c r="F56" s="268">
        <v>0</v>
      </c>
      <c r="G56" s="108">
        <f>_xlfn.XLOOKUP(A56,Calculation!$A:$A,Calculation!$B:$B)</f>
        <v>10500</v>
      </c>
      <c r="H56" s="108"/>
    </row>
    <row r="57" spans="1:8">
      <c r="A57" t="s">
        <v>5138</v>
      </c>
      <c r="B57" s="268">
        <v>199</v>
      </c>
      <c r="C57" s="268">
        <v>227</v>
      </c>
      <c r="D57" s="268">
        <v>457</v>
      </c>
      <c r="E57" s="268">
        <v>52300</v>
      </c>
      <c r="F57" s="268">
        <v>0</v>
      </c>
      <c r="G57" s="108">
        <f>_xlfn.XLOOKUP(A57,Calculation!$A:$A,Calculation!$B:$B)</f>
        <v>52300</v>
      </c>
      <c r="H57" s="108"/>
    </row>
    <row r="58" spans="1:8">
      <c r="A58" t="s">
        <v>3389</v>
      </c>
      <c r="B58" s="268">
        <v>10</v>
      </c>
      <c r="C58" s="268">
        <v>20</v>
      </c>
      <c r="D58" s="268">
        <v>38</v>
      </c>
      <c r="E58" s="268">
        <v>25100</v>
      </c>
      <c r="F58" s="268">
        <v>0</v>
      </c>
      <c r="G58" s="108">
        <f>_xlfn.XLOOKUP(A58,Calculation!$A:$A,Calculation!$B:$B)</f>
        <v>25100</v>
      </c>
      <c r="H58" s="108"/>
    </row>
    <row r="59" spans="1:8">
      <c r="A59" t="s">
        <v>3380</v>
      </c>
      <c r="B59" s="268">
        <v>27</v>
      </c>
      <c r="C59" s="268">
        <v>20</v>
      </c>
      <c r="D59" s="268">
        <v>51</v>
      </c>
      <c r="E59" s="268">
        <v>10900</v>
      </c>
      <c r="F59" s="268">
        <v>0</v>
      </c>
      <c r="G59" s="108">
        <f>_xlfn.XLOOKUP(A59,Calculation!$A:$A,Calculation!$B:$B)</f>
        <v>10900</v>
      </c>
      <c r="H59" s="108"/>
    </row>
    <row r="60" spans="1:8">
      <c r="A60" t="s">
        <v>4691</v>
      </c>
      <c r="B60" s="268">
        <v>61.3</v>
      </c>
      <c r="C60" s="268">
        <v>60</v>
      </c>
      <c r="D60" s="268">
        <v>139.29999999999995</v>
      </c>
      <c r="E60" s="268">
        <v>10000</v>
      </c>
      <c r="F60" s="268">
        <v>0</v>
      </c>
      <c r="G60" s="108">
        <f>_xlfn.XLOOKUP(A60,Calculation!$A:$A,Calculation!$B:$B)</f>
        <v>10000</v>
      </c>
      <c r="H60" s="108"/>
    </row>
    <row r="61" spans="1:8">
      <c r="A61" t="s">
        <v>2739</v>
      </c>
      <c r="B61" s="268">
        <v>26</v>
      </c>
      <c r="C61" s="268">
        <v>40</v>
      </c>
      <c r="D61" s="268">
        <v>69</v>
      </c>
      <c r="E61" s="268">
        <v>9400</v>
      </c>
      <c r="F61" s="268">
        <v>0</v>
      </c>
      <c r="G61" s="108">
        <f>_xlfn.XLOOKUP(A61,Calculation!$A:$A,Calculation!$B:$B)</f>
        <v>9400</v>
      </c>
      <c r="H61" s="108"/>
    </row>
    <row r="62" spans="1:8">
      <c r="A62" t="s">
        <v>4513</v>
      </c>
      <c r="B62" s="268">
        <v>125.78</v>
      </c>
      <c r="C62" s="268">
        <v>109</v>
      </c>
      <c r="D62" s="268">
        <v>250.78000000000003</v>
      </c>
      <c r="E62" s="268">
        <v>9000</v>
      </c>
      <c r="F62" s="268">
        <v>0</v>
      </c>
      <c r="G62" s="108">
        <f>_xlfn.XLOOKUP(A62,Calculation!$A:$A,Calculation!$B:$B)</f>
        <v>9000</v>
      </c>
      <c r="H62" s="108"/>
    </row>
    <row r="63" spans="1:8">
      <c r="A63" t="s">
        <v>3245</v>
      </c>
      <c r="B63" s="268">
        <v>146.4</v>
      </c>
      <c r="C63" s="268">
        <v>207</v>
      </c>
      <c r="D63" s="268">
        <v>322.40000000000003</v>
      </c>
      <c r="E63" s="268">
        <v>38300</v>
      </c>
      <c r="F63" s="268">
        <v>0</v>
      </c>
      <c r="G63" s="108">
        <f>_xlfn.XLOOKUP(A63,Calculation!$A:$A,Calculation!$B:$B)</f>
        <v>38300</v>
      </c>
      <c r="H63" s="108"/>
    </row>
    <row r="64" spans="1:8">
      <c r="A64" t="s">
        <v>3251</v>
      </c>
      <c r="B64" s="268">
        <v>148.5</v>
      </c>
      <c r="C64" s="268">
        <v>208</v>
      </c>
      <c r="D64" s="268">
        <v>336.50000000000006</v>
      </c>
      <c r="E64" s="268">
        <v>38600</v>
      </c>
      <c r="F64" s="268">
        <v>0</v>
      </c>
      <c r="G64" s="108">
        <f>_xlfn.XLOOKUP(A64,Calculation!$A:$A,Calculation!$B:$B)</f>
        <v>38600</v>
      </c>
      <c r="H64" s="108"/>
    </row>
    <row r="65" spans="1:8">
      <c r="A65" t="s">
        <v>3120</v>
      </c>
      <c r="B65" s="268">
        <v>24</v>
      </c>
      <c r="C65" s="268">
        <v>46</v>
      </c>
      <c r="D65" s="268">
        <v>62</v>
      </c>
      <c r="E65" s="268">
        <v>25000</v>
      </c>
      <c r="F65" s="268">
        <v>0</v>
      </c>
      <c r="G65" s="108">
        <f>_xlfn.XLOOKUP(A65,Calculation!$A:$A,Calculation!$B:$B)</f>
        <v>25000</v>
      </c>
      <c r="H65" s="108"/>
    </row>
    <row r="66" spans="1:8">
      <c r="A66" t="s">
        <v>3264</v>
      </c>
      <c r="B66" s="268">
        <v>215.5</v>
      </c>
      <c r="C66" s="268">
        <v>167</v>
      </c>
      <c r="D66" s="268">
        <v>420.5</v>
      </c>
      <c r="E66" s="268">
        <v>23400</v>
      </c>
      <c r="F66" s="268">
        <v>0</v>
      </c>
      <c r="G66" s="108">
        <f>_xlfn.XLOOKUP(A66,Calculation!$A:$A,Calculation!$B:$B)</f>
        <v>23400</v>
      </c>
      <c r="H66" s="108"/>
    </row>
    <row r="67" spans="1:8">
      <c r="A67" t="s">
        <v>3113</v>
      </c>
      <c r="B67" s="268">
        <v>152</v>
      </c>
      <c r="C67" s="268">
        <v>172</v>
      </c>
      <c r="D67" s="268">
        <v>304</v>
      </c>
      <c r="E67" s="268">
        <v>26200</v>
      </c>
      <c r="F67" s="268">
        <v>0</v>
      </c>
      <c r="G67" s="108">
        <f>_xlfn.XLOOKUP(A67,Calculation!$A:$A,Calculation!$B:$B)</f>
        <v>26200</v>
      </c>
      <c r="H67" s="108"/>
    </row>
    <row r="68" spans="1:8">
      <c r="A68" t="s">
        <v>3122</v>
      </c>
      <c r="B68" s="268">
        <v>120</v>
      </c>
      <c r="C68" s="268">
        <v>87</v>
      </c>
      <c r="D68" s="268">
        <v>174</v>
      </c>
      <c r="E68" s="268">
        <v>11000</v>
      </c>
      <c r="F68" s="268">
        <v>0</v>
      </c>
      <c r="G68" s="108">
        <f>_xlfn.XLOOKUP(A68,Calculation!$A:$A,Calculation!$B:$B)</f>
        <v>11000</v>
      </c>
      <c r="H68" s="108"/>
    </row>
    <row r="69" spans="1:8">
      <c r="A69" t="s">
        <v>3417</v>
      </c>
      <c r="B69" s="268">
        <v>5</v>
      </c>
      <c r="C69" s="268">
        <v>30</v>
      </c>
      <c r="D69" s="268">
        <v>42</v>
      </c>
      <c r="E69" s="268">
        <v>2000</v>
      </c>
      <c r="F69" s="268">
        <v>0</v>
      </c>
      <c r="G69" s="108">
        <f>_xlfn.XLOOKUP(A69,Calculation!$A:$A,Calculation!$B:$B)</f>
        <v>2000</v>
      </c>
      <c r="H69" s="108"/>
    </row>
    <row r="70" spans="1:8">
      <c r="A70" t="s">
        <v>3464</v>
      </c>
      <c r="B70" s="268">
        <v>8</v>
      </c>
      <c r="C70" s="268">
        <v>30</v>
      </c>
      <c r="D70" s="268">
        <v>44</v>
      </c>
      <c r="E70" s="268">
        <v>2000</v>
      </c>
      <c r="F70" s="268">
        <v>0</v>
      </c>
      <c r="G70" s="108">
        <f>_xlfn.XLOOKUP(A70,Calculation!$A:$A,Calculation!$B:$B)</f>
        <v>2000</v>
      </c>
      <c r="H70" s="108"/>
    </row>
    <row r="71" spans="1:8">
      <c r="A71" t="s">
        <v>3527</v>
      </c>
      <c r="B71" s="268">
        <v>23.36</v>
      </c>
      <c r="C71" s="268">
        <v>65</v>
      </c>
      <c r="D71" s="268">
        <v>87.360000000000014</v>
      </c>
      <c r="E71" s="268">
        <v>20500</v>
      </c>
      <c r="F71" s="268">
        <v>0</v>
      </c>
      <c r="G71" s="108">
        <f>_xlfn.XLOOKUP(A71,Calculation!$A:$A,Calculation!$B:$B)</f>
        <v>20500</v>
      </c>
      <c r="H71" s="108"/>
    </row>
    <row r="72" spans="1:8">
      <c r="A72" t="s">
        <v>3530</v>
      </c>
      <c r="B72" s="268">
        <v>13.7</v>
      </c>
      <c r="C72" s="268">
        <v>42</v>
      </c>
      <c r="D72" s="268">
        <v>65.7</v>
      </c>
      <c r="E72" s="268">
        <v>10200</v>
      </c>
      <c r="F72" s="268">
        <v>0</v>
      </c>
      <c r="G72" s="108">
        <f>_xlfn.XLOOKUP(A72,Calculation!$A:$A,Calculation!$B:$B)</f>
        <v>10200</v>
      </c>
      <c r="H72" s="108"/>
    </row>
    <row r="73" spans="1:8">
      <c r="A73" t="s">
        <v>4506</v>
      </c>
      <c r="B73" s="268">
        <v>208.76</v>
      </c>
      <c r="C73" s="268">
        <v>194</v>
      </c>
      <c r="D73" s="268">
        <v>366.76</v>
      </c>
      <c r="E73" s="268">
        <v>17600</v>
      </c>
      <c r="F73" s="268">
        <v>0</v>
      </c>
      <c r="G73" s="108">
        <f>_xlfn.XLOOKUP(A73,Calculation!$A:$A,Calculation!$B:$B)</f>
        <v>17600</v>
      </c>
      <c r="H73" s="108"/>
    </row>
    <row r="74" spans="1:8">
      <c r="A74" t="s">
        <v>4502</v>
      </c>
      <c r="B74" s="268">
        <v>158.93</v>
      </c>
      <c r="C74" s="268">
        <v>88</v>
      </c>
      <c r="D74" s="268">
        <v>170.93</v>
      </c>
      <c r="E74" s="268">
        <v>12200</v>
      </c>
      <c r="F74" s="268">
        <v>0</v>
      </c>
      <c r="G74" s="108">
        <f>_xlfn.XLOOKUP(A74,Calculation!$A:$A,Calculation!$B:$B)</f>
        <v>12200</v>
      </c>
      <c r="H74" s="108"/>
    </row>
    <row r="75" spans="1:8">
      <c r="A75" t="s">
        <v>3803</v>
      </c>
      <c r="B75" s="268">
        <v>1250.5</v>
      </c>
      <c r="C75" s="268">
        <v>1171</v>
      </c>
      <c r="D75" s="268">
        <v>2293.5</v>
      </c>
      <c r="E75" s="268">
        <v>102900</v>
      </c>
      <c r="F75" s="268">
        <v>0</v>
      </c>
      <c r="G75" s="108">
        <f>_xlfn.XLOOKUP(A75,Calculation!$A:$A,Calculation!$B:$B)</f>
        <v>102900</v>
      </c>
      <c r="H75" s="108"/>
    </row>
    <row r="76" spans="1:8">
      <c r="A76" t="s">
        <v>3342</v>
      </c>
      <c r="B76" s="268">
        <v>141</v>
      </c>
      <c r="C76" s="268">
        <v>76</v>
      </c>
      <c r="D76" s="268">
        <v>153</v>
      </c>
      <c r="E76" s="268">
        <v>11300</v>
      </c>
      <c r="F76" s="268">
        <v>0</v>
      </c>
      <c r="G76" s="108">
        <f>_xlfn.XLOOKUP(A76,Calculation!$A:$A,Calculation!$B:$B)</f>
        <v>11300</v>
      </c>
      <c r="H76" s="108"/>
    </row>
    <row r="77" spans="1:8">
      <c r="A77" t="s">
        <v>5139</v>
      </c>
      <c r="B77" s="268">
        <v>120</v>
      </c>
      <c r="C77" s="268">
        <v>146</v>
      </c>
      <c r="D77" s="268">
        <v>235</v>
      </c>
      <c r="E77" s="268">
        <v>44600</v>
      </c>
      <c r="F77" s="268">
        <v>0</v>
      </c>
      <c r="G77" s="108">
        <f>_xlfn.XLOOKUP(A77,Calculation!$A:$A,Calculation!$B:$B)</f>
        <v>44600</v>
      </c>
      <c r="H77" s="108"/>
    </row>
    <row r="78" spans="1:8">
      <c r="A78" t="s">
        <v>4128</v>
      </c>
      <c r="B78" s="268">
        <v>39</v>
      </c>
      <c r="C78" s="268">
        <v>57</v>
      </c>
      <c r="D78" s="268">
        <v>84</v>
      </c>
      <c r="E78" s="268">
        <v>10000</v>
      </c>
      <c r="F78" s="268">
        <v>0</v>
      </c>
      <c r="G78" s="108">
        <f>_xlfn.XLOOKUP(A78,Calculation!$A:$A,Calculation!$B:$B)</f>
        <v>10000</v>
      </c>
      <c r="H78" s="108"/>
    </row>
    <row r="79" spans="1:8">
      <c r="A79" t="s">
        <v>3335</v>
      </c>
      <c r="B79" s="268">
        <v>161.4</v>
      </c>
      <c r="C79" s="268">
        <v>169</v>
      </c>
      <c r="D79" s="268">
        <v>310.39999999999998</v>
      </c>
      <c r="E79" s="268">
        <v>23100</v>
      </c>
      <c r="F79" s="268">
        <v>0</v>
      </c>
      <c r="G79" s="108">
        <f>_xlfn.XLOOKUP(A79,Calculation!$A:$A,Calculation!$B:$B)</f>
        <v>23100</v>
      </c>
      <c r="H79" s="108"/>
    </row>
    <row r="80" spans="1:8">
      <c r="A80" t="s">
        <v>3797</v>
      </c>
      <c r="B80" s="268">
        <v>242.5</v>
      </c>
      <c r="C80" s="268">
        <v>224</v>
      </c>
      <c r="D80" s="268">
        <v>459.5</v>
      </c>
      <c r="E80" s="268">
        <v>36300</v>
      </c>
      <c r="F80" s="268">
        <v>0</v>
      </c>
      <c r="G80" s="108">
        <f>_xlfn.XLOOKUP(A80,Calculation!$A:$A,Calculation!$B:$B)</f>
        <v>36300</v>
      </c>
      <c r="H80" s="108"/>
    </row>
    <row r="81" spans="1:8">
      <c r="A81" t="s">
        <v>3548</v>
      </c>
      <c r="B81" s="268">
        <v>112.38</v>
      </c>
      <c r="C81" s="268">
        <v>76</v>
      </c>
      <c r="D81" s="268">
        <v>113.37999999999998</v>
      </c>
      <c r="E81" s="268">
        <v>9600</v>
      </c>
      <c r="F81" s="268">
        <v>0</v>
      </c>
      <c r="G81" s="108">
        <f>_xlfn.XLOOKUP(A81,Calculation!$A:$A,Calculation!$B:$B)</f>
        <v>9600</v>
      </c>
      <c r="H81" s="108"/>
    </row>
    <row r="82" spans="1:8">
      <c r="A82" t="s">
        <v>3561</v>
      </c>
      <c r="B82" s="268">
        <v>46.99</v>
      </c>
      <c r="C82" s="268">
        <v>31</v>
      </c>
      <c r="D82" s="268">
        <v>63.989999999999995</v>
      </c>
      <c r="E82" s="268">
        <v>3900</v>
      </c>
      <c r="F82" s="268">
        <v>0</v>
      </c>
      <c r="G82" s="108">
        <f>_xlfn.XLOOKUP(A82,Calculation!$A:$A,Calculation!$B:$B)</f>
        <v>3900</v>
      </c>
      <c r="H82" s="108"/>
    </row>
    <row r="83" spans="1:8">
      <c r="A83" t="s">
        <v>3554</v>
      </c>
      <c r="B83" s="268">
        <v>72.89</v>
      </c>
      <c r="C83" s="268">
        <v>76</v>
      </c>
      <c r="D83" s="268">
        <v>135.89000000000001</v>
      </c>
      <c r="E83" s="268">
        <v>9600</v>
      </c>
      <c r="F83" s="268">
        <v>0</v>
      </c>
      <c r="G83" s="108">
        <f>_xlfn.XLOOKUP(A83,Calculation!$A:$A,Calculation!$B:$B)</f>
        <v>9600</v>
      </c>
      <c r="H83" s="108"/>
    </row>
    <row r="84" spans="1:8">
      <c r="A84" t="s">
        <v>3568</v>
      </c>
      <c r="B84" s="268">
        <v>27.39</v>
      </c>
      <c r="C84" s="268">
        <v>29</v>
      </c>
      <c r="D84" s="268">
        <v>71.39</v>
      </c>
      <c r="E84" s="268">
        <v>3700</v>
      </c>
      <c r="F84" s="268">
        <v>0</v>
      </c>
      <c r="G84" s="108">
        <f>_xlfn.XLOOKUP(A84,Calculation!$A:$A,Calculation!$B:$B)</f>
        <v>3700</v>
      </c>
      <c r="H84" s="108"/>
    </row>
    <row r="85" spans="1:8">
      <c r="A85" t="s">
        <v>3381</v>
      </c>
      <c r="B85" s="268">
        <v>212.2</v>
      </c>
      <c r="C85" s="268">
        <v>156</v>
      </c>
      <c r="D85" s="268">
        <v>353.2</v>
      </c>
      <c r="E85" s="268">
        <v>19500</v>
      </c>
      <c r="F85" s="268">
        <v>0</v>
      </c>
      <c r="G85" s="108">
        <f>_xlfn.XLOOKUP(A85,Calculation!$A:$A,Calculation!$B:$B)</f>
        <v>19500</v>
      </c>
      <c r="H85" s="108"/>
    </row>
    <row r="86" spans="1:8">
      <c r="A86" t="s">
        <v>5135</v>
      </c>
      <c r="B86" s="268">
        <v>166.7</v>
      </c>
      <c r="C86" s="268">
        <v>146</v>
      </c>
      <c r="D86" s="268">
        <v>278.70000000000005</v>
      </c>
      <c r="E86" s="268">
        <v>20800</v>
      </c>
      <c r="F86" s="268">
        <v>0</v>
      </c>
      <c r="G86" s="108">
        <f>_xlfn.XLOOKUP(A86,Calculation!$A:$A,Calculation!$B:$B)</f>
        <v>20800</v>
      </c>
      <c r="H86" s="108"/>
    </row>
    <row r="87" spans="1:8">
      <c r="A87" t="s">
        <v>3675</v>
      </c>
      <c r="B87" s="268">
        <v>43</v>
      </c>
      <c r="C87" s="268">
        <v>36</v>
      </c>
      <c r="D87" s="268">
        <v>53.999999999999993</v>
      </c>
      <c r="E87" s="268">
        <v>5800</v>
      </c>
      <c r="F87" s="268">
        <v>0</v>
      </c>
      <c r="G87" s="108">
        <f>_xlfn.XLOOKUP(A87,Calculation!$A:$A,Calculation!$B:$B)</f>
        <v>5800</v>
      </c>
      <c r="H87" s="108"/>
    </row>
    <row r="88" spans="1:8">
      <c r="A88" t="s">
        <v>3750</v>
      </c>
      <c r="B88" s="268">
        <v>30</v>
      </c>
      <c r="C88" s="268">
        <v>22</v>
      </c>
      <c r="D88" s="268">
        <v>30</v>
      </c>
      <c r="E88" s="268">
        <v>1700</v>
      </c>
      <c r="F88" s="268">
        <v>0</v>
      </c>
      <c r="G88" s="108">
        <f>_xlfn.XLOOKUP(A88,Calculation!$A:$A,Calculation!$B:$B)</f>
        <v>1700</v>
      </c>
      <c r="H88" s="108"/>
    </row>
    <row r="89" spans="1:8">
      <c r="A89" t="s">
        <v>3678</v>
      </c>
      <c r="B89" s="268">
        <v>5</v>
      </c>
      <c r="C89" s="268">
        <v>20</v>
      </c>
      <c r="D89" s="268">
        <v>27</v>
      </c>
      <c r="E89" s="268">
        <v>1500</v>
      </c>
      <c r="F89" s="268">
        <v>0</v>
      </c>
      <c r="G89" s="108">
        <f>_xlfn.XLOOKUP(A89,Calculation!$A:$A,Calculation!$B:$B)</f>
        <v>1500</v>
      </c>
      <c r="H89" s="108"/>
    </row>
    <row r="90" spans="1:8">
      <c r="A90" t="s">
        <v>4344</v>
      </c>
      <c r="B90" s="268">
        <v>23</v>
      </c>
      <c r="C90" s="268">
        <v>40</v>
      </c>
      <c r="D90" s="268">
        <v>35</v>
      </c>
      <c r="E90" s="268">
        <v>46100</v>
      </c>
      <c r="F90" s="268">
        <v>0</v>
      </c>
      <c r="G90" s="108">
        <f>_xlfn.XLOOKUP(A90,Calculation!$A:$A,Calculation!$B:$B)</f>
        <v>46100</v>
      </c>
      <c r="H90" s="108"/>
    </row>
    <row r="91" spans="1:8">
      <c r="A91" t="s">
        <v>4538</v>
      </c>
      <c r="B91" s="268">
        <v>35</v>
      </c>
      <c r="C91" s="268">
        <v>40</v>
      </c>
      <c r="D91" s="268">
        <v>78</v>
      </c>
      <c r="E91" s="268">
        <v>10800</v>
      </c>
      <c r="F91" s="268">
        <v>0</v>
      </c>
      <c r="G91" s="108">
        <f>_xlfn.XLOOKUP(A91,Calculation!$A:$A,Calculation!$B:$B)</f>
        <v>10800</v>
      </c>
      <c r="H91" s="108"/>
    </row>
    <row r="92" spans="1:8">
      <c r="A92" t="s">
        <v>5136</v>
      </c>
      <c r="B92" s="268">
        <v>253.3</v>
      </c>
      <c r="C92" s="268">
        <v>288</v>
      </c>
      <c r="D92" s="268">
        <v>524.29999999999995</v>
      </c>
      <c r="E92" s="268">
        <v>52400</v>
      </c>
      <c r="F92" s="268">
        <v>0</v>
      </c>
      <c r="G92" s="108">
        <f>_xlfn.XLOOKUP(A92,Calculation!$A:$A,Calculation!$B:$B)</f>
        <v>52400</v>
      </c>
      <c r="H92" s="108"/>
    </row>
    <row r="93" spans="1:8">
      <c r="A93" t="s">
        <v>4955</v>
      </c>
      <c r="B93" s="268">
        <v>262</v>
      </c>
      <c r="C93" s="268">
        <v>288</v>
      </c>
      <c r="D93" s="268">
        <v>594</v>
      </c>
      <c r="E93" s="268">
        <v>52300</v>
      </c>
      <c r="F93" s="268">
        <v>0</v>
      </c>
      <c r="G93" s="108">
        <f>_xlfn.XLOOKUP(A93,Calculation!$A:$A,Calculation!$B:$B)</f>
        <v>52300</v>
      </c>
      <c r="H93" s="108"/>
    </row>
    <row r="94" spans="1:8">
      <c r="A94" t="s">
        <v>4983</v>
      </c>
      <c r="B94" s="268">
        <v>275.2</v>
      </c>
      <c r="C94" s="268">
        <v>358</v>
      </c>
      <c r="D94" s="268">
        <v>690.19999999999993</v>
      </c>
      <c r="E94" s="268">
        <v>69500</v>
      </c>
      <c r="F94" s="268">
        <v>0</v>
      </c>
      <c r="G94" s="108">
        <f>_xlfn.XLOOKUP(A94,Calculation!$A:$A,Calculation!$B:$B)</f>
        <v>69500</v>
      </c>
      <c r="H94" s="108"/>
    </row>
    <row r="95" spans="1:8">
      <c r="A95" t="s">
        <v>4112</v>
      </c>
      <c r="B95" s="268">
        <v>140</v>
      </c>
      <c r="C95" s="268">
        <v>146</v>
      </c>
      <c r="D95" s="268">
        <v>302</v>
      </c>
      <c r="E95" s="268">
        <v>25600</v>
      </c>
      <c r="F95" s="268">
        <v>0</v>
      </c>
      <c r="G95" s="108">
        <f>_xlfn.XLOOKUP(A95,Calculation!$A:$A,Calculation!$B:$B)</f>
        <v>25600</v>
      </c>
      <c r="H95" s="108"/>
    </row>
    <row r="96" spans="1:8">
      <c r="A96" t="s">
        <v>4106</v>
      </c>
      <c r="B96" s="268">
        <v>202.5</v>
      </c>
      <c r="C96" s="268">
        <v>166</v>
      </c>
      <c r="D96" s="268">
        <v>315.5</v>
      </c>
      <c r="E96" s="268">
        <v>22900</v>
      </c>
      <c r="F96" s="268">
        <v>0</v>
      </c>
      <c r="G96" s="108">
        <f>_xlfn.XLOOKUP(A96,Calculation!$A:$A,Calculation!$B:$B)</f>
        <v>22900</v>
      </c>
      <c r="H96" s="108"/>
    </row>
    <row r="97" spans="1:8">
      <c r="A97" t="s">
        <v>4090</v>
      </c>
      <c r="B97" s="268">
        <v>120</v>
      </c>
      <c r="C97" s="268">
        <v>142</v>
      </c>
      <c r="D97" s="268">
        <v>281</v>
      </c>
      <c r="E97" s="268">
        <v>23300</v>
      </c>
      <c r="F97" s="268">
        <v>0</v>
      </c>
      <c r="G97" s="108">
        <f>_xlfn.XLOOKUP(A97,Calculation!$A:$A,Calculation!$B:$B)</f>
        <v>23300</v>
      </c>
      <c r="H97" s="108"/>
    </row>
    <row r="98" spans="1:8">
      <c r="A98" t="s">
        <v>4369</v>
      </c>
      <c r="B98" s="268">
        <v>116.5</v>
      </c>
      <c r="C98" s="268">
        <v>120</v>
      </c>
      <c r="D98" s="268">
        <v>237.5</v>
      </c>
      <c r="E98" s="268">
        <v>9600</v>
      </c>
      <c r="F98" s="268">
        <v>0</v>
      </c>
      <c r="G98" s="108">
        <f>_xlfn.XLOOKUP(A98,Calculation!$A:$A,Calculation!$B:$B)</f>
        <v>9600</v>
      </c>
      <c r="H98" s="108"/>
    </row>
    <row r="99" spans="1:8">
      <c r="A99" t="s">
        <v>4533</v>
      </c>
      <c r="B99" s="268">
        <v>10</v>
      </c>
      <c r="C99" s="268">
        <v>20</v>
      </c>
      <c r="D99" s="268">
        <v>32</v>
      </c>
      <c r="E99" s="268">
        <v>1600</v>
      </c>
      <c r="F99" s="268">
        <v>0</v>
      </c>
      <c r="G99" s="108">
        <f>_xlfn.XLOOKUP(A99,Calculation!$A:$A,Calculation!$B:$B)</f>
        <v>1600</v>
      </c>
      <c r="H99" s="108"/>
    </row>
    <row r="100" spans="1:8">
      <c r="A100" t="s">
        <v>4541</v>
      </c>
      <c r="B100" s="268">
        <v>18</v>
      </c>
      <c r="C100" s="268">
        <v>25</v>
      </c>
      <c r="D100" s="268">
        <v>31</v>
      </c>
      <c r="E100" s="268">
        <v>2700</v>
      </c>
      <c r="F100" s="268">
        <v>0</v>
      </c>
      <c r="G100" s="108">
        <f>_xlfn.XLOOKUP(A100,Calculation!$A:$A,Calculation!$B:$B)</f>
        <v>2700</v>
      </c>
      <c r="H100" s="108"/>
    </row>
    <row r="101" spans="1:8">
      <c r="A101" t="s">
        <v>4536</v>
      </c>
      <c r="B101" s="268">
        <v>19.2</v>
      </c>
      <c r="C101" s="268">
        <v>25</v>
      </c>
      <c r="D101" s="268">
        <v>19.199999999999996</v>
      </c>
      <c r="E101" s="268">
        <v>1600</v>
      </c>
      <c r="F101" s="268">
        <v>0</v>
      </c>
      <c r="G101" s="108">
        <f>_xlfn.XLOOKUP(A101,Calculation!$A:$A,Calculation!$B:$B)</f>
        <v>1600</v>
      </c>
      <c r="H101" s="108"/>
    </row>
    <row r="102" spans="1:8">
      <c r="A102" t="s">
        <v>4579</v>
      </c>
      <c r="B102" s="268">
        <v>40.200000000000003</v>
      </c>
      <c r="C102" s="268">
        <v>45</v>
      </c>
      <c r="D102" s="268">
        <v>52.199999999999996</v>
      </c>
      <c r="E102" s="268">
        <v>5200</v>
      </c>
      <c r="F102" s="268">
        <v>0</v>
      </c>
      <c r="G102" s="108">
        <f>_xlfn.XLOOKUP(A102,Calculation!$A:$A,Calculation!$B:$B)</f>
        <v>5200</v>
      </c>
      <c r="H102" s="108"/>
    </row>
    <row r="103" spans="1:8">
      <c r="A103" t="s">
        <v>4714</v>
      </c>
      <c r="B103" s="268">
        <v>110</v>
      </c>
      <c r="C103" s="268">
        <v>121</v>
      </c>
      <c r="D103" s="268">
        <v>247.99999999999997</v>
      </c>
      <c r="E103" s="268">
        <v>19800</v>
      </c>
      <c r="F103" s="268">
        <v>0</v>
      </c>
      <c r="G103" s="108">
        <f>_xlfn.XLOOKUP(A103,Calculation!$A:$A,Calculation!$B:$B)</f>
        <v>19800</v>
      </c>
      <c r="H103" s="108"/>
    </row>
    <row r="104" spans="1:8">
      <c r="A104" t="s">
        <v>4698</v>
      </c>
      <c r="B104" s="268">
        <v>82.5</v>
      </c>
      <c r="C104" s="268">
        <v>80</v>
      </c>
      <c r="D104" s="268">
        <v>152.5</v>
      </c>
      <c r="E104" s="268">
        <v>23600</v>
      </c>
      <c r="F104" s="268">
        <v>0</v>
      </c>
      <c r="G104" s="108">
        <f>_xlfn.XLOOKUP(A104,Calculation!$A:$A,Calculation!$B:$B)</f>
        <v>23600</v>
      </c>
      <c r="H104" s="108"/>
    </row>
    <row r="105" spans="1:8">
      <c r="A105" t="s">
        <v>4706</v>
      </c>
      <c r="B105" s="268">
        <v>83</v>
      </c>
      <c r="C105" s="268">
        <v>71</v>
      </c>
      <c r="D105" s="268">
        <v>137</v>
      </c>
      <c r="E105" s="268">
        <v>19900</v>
      </c>
      <c r="F105" s="268">
        <v>0</v>
      </c>
      <c r="G105" s="108">
        <f>_xlfn.XLOOKUP(A105,Calculation!$A:$A,Calculation!$B:$B)</f>
        <v>19900</v>
      </c>
      <c r="H105" s="108"/>
    </row>
    <row r="106" spans="1:8">
      <c r="A106" t="s">
        <v>4911</v>
      </c>
      <c r="B106" s="268">
        <v>197</v>
      </c>
      <c r="C106" s="268">
        <v>141</v>
      </c>
      <c r="D106" s="268">
        <v>205.99999999999994</v>
      </c>
      <c r="E106" s="268">
        <v>24400</v>
      </c>
      <c r="F106" s="268">
        <v>0</v>
      </c>
      <c r="G106" s="108">
        <f>_xlfn.XLOOKUP(A106,Calculation!$A:$A,Calculation!$B:$B)</f>
        <v>24400</v>
      </c>
      <c r="H106" s="108"/>
    </row>
    <row r="107" spans="1:8">
      <c r="A107" t="s">
        <v>4740</v>
      </c>
      <c r="B107" s="268">
        <v>229</v>
      </c>
      <c r="C107" s="268">
        <v>237</v>
      </c>
      <c r="D107" s="268">
        <v>445.00000000000006</v>
      </c>
      <c r="E107" s="268">
        <v>41700</v>
      </c>
      <c r="F107" s="268">
        <v>0</v>
      </c>
      <c r="G107" s="108">
        <f>_xlfn.XLOOKUP(A107,Calculation!$A:$A,Calculation!$B:$B)</f>
        <v>41700</v>
      </c>
      <c r="H107" s="108"/>
    </row>
    <row r="108" spans="1:8">
      <c r="A108" t="s">
        <v>5034</v>
      </c>
      <c r="B108" s="268">
        <v>18</v>
      </c>
      <c r="C108" s="268">
        <v>33</v>
      </c>
      <c r="D108" s="268">
        <v>59</v>
      </c>
      <c r="E108" s="268">
        <v>6500</v>
      </c>
      <c r="F108" s="268">
        <v>0</v>
      </c>
      <c r="G108" s="108">
        <f>_xlfn.XLOOKUP(A108,Calculation!$A:$A,Calculation!$B:$B)</f>
        <v>6500</v>
      </c>
      <c r="H108" s="108"/>
    </row>
    <row r="109" spans="1:8">
      <c r="A109" t="s">
        <v>4970</v>
      </c>
      <c r="B109" s="268">
        <v>173</v>
      </c>
      <c r="C109" s="268">
        <v>99</v>
      </c>
      <c r="D109" s="268">
        <v>198</v>
      </c>
      <c r="E109" s="268">
        <v>10600</v>
      </c>
      <c r="F109" s="268">
        <v>0</v>
      </c>
      <c r="G109" s="108">
        <f>_xlfn.XLOOKUP(A109,Calculation!$A:$A,Calculation!$B:$B)</f>
        <v>10600</v>
      </c>
      <c r="H109" s="108"/>
    </row>
    <row r="110" spans="1:8">
      <c r="A110" t="s">
        <v>5037</v>
      </c>
      <c r="B110" s="268">
        <v>18</v>
      </c>
      <c r="C110" s="268">
        <v>35</v>
      </c>
      <c r="D110" s="268">
        <v>48</v>
      </c>
      <c r="E110" s="268">
        <v>6000</v>
      </c>
      <c r="F110" s="268">
        <v>0</v>
      </c>
      <c r="G110" s="108">
        <f>_xlfn.XLOOKUP(A110,Calculation!$A:$A,Calculation!$B:$B)</f>
        <v>6000</v>
      </c>
      <c r="H110" s="108"/>
    </row>
    <row r="111" spans="1:8">
      <c r="A111" t="s">
        <v>5030</v>
      </c>
      <c r="B111" s="268">
        <v>24</v>
      </c>
      <c r="C111" s="268">
        <v>31</v>
      </c>
      <c r="D111" s="268">
        <v>43.999999999999986</v>
      </c>
      <c r="E111" s="268">
        <v>1400</v>
      </c>
      <c r="F111" s="268">
        <v>0</v>
      </c>
      <c r="G111" s="108">
        <f>_xlfn.XLOOKUP(A111,Calculation!$A:$A,Calculation!$B:$B)</f>
        <v>1400</v>
      </c>
      <c r="H111" s="108"/>
    </row>
    <row r="112" spans="1:8">
      <c r="A112" t="s">
        <v>2878</v>
      </c>
      <c r="B112" s="268">
        <v>863.36</v>
      </c>
      <c r="C112" s="268">
        <v>858</v>
      </c>
      <c r="D112" s="268">
        <v>1724.3600000000001</v>
      </c>
      <c r="E112" s="268">
        <v>129200</v>
      </c>
      <c r="F112" s="268">
        <v>0</v>
      </c>
      <c r="G112" s="108">
        <f>_xlfn.XLOOKUP(A112,Calculation!$A:$A,Calculation!$B:$B)</f>
        <v>129200</v>
      </c>
      <c r="H112" s="108"/>
    </row>
    <row r="113" spans="1:8">
      <c r="A113" t="s">
        <v>2894</v>
      </c>
      <c r="B113" s="268">
        <v>237</v>
      </c>
      <c r="C113" s="268">
        <v>174</v>
      </c>
      <c r="D113" s="268">
        <v>297.00000000000006</v>
      </c>
      <c r="E113" s="268">
        <v>26800</v>
      </c>
      <c r="F113" s="268">
        <v>0</v>
      </c>
      <c r="G113" s="108">
        <f>_xlfn.XLOOKUP(A113,Calculation!$A:$A,Calculation!$B:$B)</f>
        <v>26800</v>
      </c>
      <c r="H113" s="108"/>
    </row>
    <row r="114" spans="1:8">
      <c r="A114" t="s">
        <v>3105</v>
      </c>
      <c r="B114" s="268">
        <v>709</v>
      </c>
      <c r="C114" s="268">
        <v>860</v>
      </c>
      <c r="D114" s="268">
        <v>1708</v>
      </c>
      <c r="E114" s="268">
        <v>129600</v>
      </c>
      <c r="F114" s="268">
        <v>0</v>
      </c>
      <c r="G114" s="108">
        <f>_xlfn.XLOOKUP(A114,Calculation!$A:$A,Calculation!$B:$B)</f>
        <v>129600</v>
      </c>
      <c r="H114" s="108"/>
    </row>
    <row r="115" spans="1:8">
      <c r="A115" t="s">
        <v>2900</v>
      </c>
      <c r="B115" s="268">
        <v>650.33999999999992</v>
      </c>
      <c r="C115" s="268">
        <v>697</v>
      </c>
      <c r="D115" s="268">
        <v>1377.34</v>
      </c>
      <c r="E115" s="268">
        <v>98900</v>
      </c>
      <c r="F115" s="268">
        <v>0</v>
      </c>
      <c r="G115" s="108">
        <f>_xlfn.XLOOKUP(A115,Calculation!$A:$A,Calculation!$B:$B)</f>
        <v>98900</v>
      </c>
      <c r="H115" s="108"/>
    </row>
    <row r="116" spans="1:8">
      <c r="A116" t="s">
        <v>3256</v>
      </c>
      <c r="B116" s="268">
        <v>186</v>
      </c>
      <c r="C116" s="268">
        <v>142</v>
      </c>
      <c r="D116" s="268">
        <v>274</v>
      </c>
      <c r="E116" s="268">
        <v>22500</v>
      </c>
      <c r="F116" s="268">
        <v>0</v>
      </c>
      <c r="G116" s="108">
        <f>_xlfn.XLOOKUP(A116,Calculation!$A:$A,Calculation!$B:$B)</f>
        <v>22500</v>
      </c>
      <c r="H116" s="108"/>
    </row>
    <row r="117" spans="1:8">
      <c r="A117" t="s">
        <v>4852</v>
      </c>
      <c r="B117" s="268">
        <v>280</v>
      </c>
      <c r="C117" s="268">
        <v>278</v>
      </c>
      <c r="D117" s="268">
        <v>547</v>
      </c>
      <c r="E117" s="268">
        <v>44100</v>
      </c>
      <c r="F117" s="268">
        <v>0</v>
      </c>
      <c r="G117" s="108">
        <f>_xlfn.XLOOKUP(A117,Calculation!$A:$A,Calculation!$B:$B)</f>
        <v>44100</v>
      </c>
      <c r="H117" s="108"/>
    </row>
    <row r="118" spans="1:8">
      <c r="A118" t="s">
        <v>2885</v>
      </c>
      <c r="B118" s="268">
        <v>669.2</v>
      </c>
      <c r="C118" s="268">
        <v>603</v>
      </c>
      <c r="D118" s="268">
        <v>1283.1999999999998</v>
      </c>
      <c r="E118" s="268">
        <v>92900</v>
      </c>
      <c r="F118" s="268">
        <v>0</v>
      </c>
      <c r="G118" s="108">
        <f>_xlfn.XLOOKUP(A118,Calculation!$A:$A,Calculation!$B:$B)</f>
        <v>92900</v>
      </c>
      <c r="H118" s="108"/>
    </row>
    <row r="119" spans="1:8">
      <c r="A119" t="s">
        <v>2822</v>
      </c>
      <c r="B119" s="268">
        <v>130</v>
      </c>
      <c r="C119" s="268">
        <v>118</v>
      </c>
      <c r="D119" s="268">
        <v>220</v>
      </c>
      <c r="E119" s="268">
        <v>24700</v>
      </c>
      <c r="F119" s="268">
        <v>0</v>
      </c>
      <c r="G119" s="108">
        <f>_xlfn.XLOOKUP(A119,Calculation!$A:$A,Calculation!$B:$B)</f>
        <v>24700</v>
      </c>
      <c r="H119" s="108"/>
    </row>
    <row r="120" spans="1:8">
      <c r="A120" t="s">
        <v>2828</v>
      </c>
      <c r="B120" s="268">
        <v>92.9</v>
      </c>
      <c r="C120" s="268">
        <v>120</v>
      </c>
      <c r="D120" s="268">
        <v>204.9</v>
      </c>
      <c r="E120" s="268">
        <v>25100</v>
      </c>
      <c r="F120" s="268">
        <v>0</v>
      </c>
      <c r="G120" s="108">
        <f>_xlfn.XLOOKUP(A120,Calculation!$A:$A,Calculation!$B:$B)</f>
        <v>25100</v>
      </c>
      <c r="H120" s="108"/>
    </row>
    <row r="121" spans="1:8">
      <c r="A121" t="s">
        <v>3967</v>
      </c>
      <c r="B121" s="268">
        <v>638.45000000000005</v>
      </c>
      <c r="C121" s="268">
        <v>664</v>
      </c>
      <c r="D121" s="268">
        <v>1257.45</v>
      </c>
      <c r="E121" s="268">
        <v>111500</v>
      </c>
      <c r="F121" s="268">
        <v>0</v>
      </c>
      <c r="G121" s="108">
        <f>_xlfn.XLOOKUP(A121,Calculation!$A:$A,Calculation!$B:$B)</f>
        <v>111500</v>
      </c>
      <c r="H121" s="108"/>
    </row>
    <row r="122" spans="1:8">
      <c r="A122" t="s">
        <v>3939</v>
      </c>
      <c r="B122" s="268">
        <v>633.79999999999995</v>
      </c>
      <c r="C122" s="268">
        <v>664</v>
      </c>
      <c r="D122" s="268">
        <v>1335.8000000000002</v>
      </c>
      <c r="E122" s="268">
        <v>111400</v>
      </c>
      <c r="F122" s="268">
        <v>0</v>
      </c>
      <c r="G122" s="108">
        <f>_xlfn.XLOOKUP(A122,Calculation!$A:$A,Calculation!$B:$B)</f>
        <v>111400</v>
      </c>
      <c r="H122" s="108"/>
    </row>
    <row r="123" spans="1:8">
      <c r="A123" t="s">
        <v>3322</v>
      </c>
      <c r="B123" s="268">
        <v>362</v>
      </c>
      <c r="C123" s="268">
        <v>297</v>
      </c>
      <c r="D123" s="268">
        <v>555</v>
      </c>
      <c r="E123" s="268">
        <v>43400</v>
      </c>
      <c r="F123" s="268">
        <v>0</v>
      </c>
      <c r="G123" s="108">
        <f>_xlfn.XLOOKUP(A123,Calculation!$A:$A,Calculation!$B:$B)</f>
        <v>43400</v>
      </c>
      <c r="H123" s="108"/>
    </row>
    <row r="124" spans="1:8">
      <c r="A124" t="s">
        <v>3328</v>
      </c>
      <c r="B124" s="268">
        <v>306.8</v>
      </c>
      <c r="C124" s="268">
        <v>296</v>
      </c>
      <c r="D124" s="268">
        <v>585.79999999999995</v>
      </c>
      <c r="E124" s="268">
        <v>43200</v>
      </c>
      <c r="F124" s="268">
        <v>0</v>
      </c>
      <c r="G124" s="108">
        <f>_xlfn.XLOOKUP(A124,Calculation!$A:$A,Calculation!$B:$B)</f>
        <v>43200</v>
      </c>
      <c r="H124" s="108"/>
    </row>
    <row r="125" spans="1:8">
      <c r="A125" t="s">
        <v>4859</v>
      </c>
      <c r="B125" s="268">
        <v>149</v>
      </c>
      <c r="C125" s="268">
        <v>116</v>
      </c>
      <c r="D125" s="268">
        <v>180</v>
      </c>
      <c r="E125" s="268">
        <v>22000</v>
      </c>
      <c r="F125" s="268">
        <v>0</v>
      </c>
      <c r="G125" s="108">
        <f>_xlfn.XLOOKUP(A125,Calculation!$A:$A,Calculation!$B:$B)</f>
        <v>22000</v>
      </c>
      <c r="H125" s="108"/>
    </row>
    <row r="126" spans="1:8">
      <c r="A126" t="s">
        <v>3952</v>
      </c>
      <c r="B126" s="268">
        <v>241.81</v>
      </c>
      <c r="C126" s="268">
        <v>148</v>
      </c>
      <c r="D126" s="268">
        <v>362.81</v>
      </c>
      <c r="E126" s="268">
        <v>24900</v>
      </c>
      <c r="F126" s="268">
        <v>0</v>
      </c>
      <c r="G126" s="108">
        <f>_xlfn.XLOOKUP(A126,Calculation!$A:$A,Calculation!$B:$B)</f>
        <v>24900</v>
      </c>
      <c r="H126" s="108"/>
    </row>
    <row r="127" spans="1:8">
      <c r="A127" t="s">
        <v>3985</v>
      </c>
      <c r="B127" s="268">
        <v>331</v>
      </c>
      <c r="C127" s="268">
        <v>297</v>
      </c>
      <c r="D127" s="268">
        <v>588</v>
      </c>
      <c r="E127" s="268">
        <v>43300</v>
      </c>
      <c r="F127" s="268">
        <v>0</v>
      </c>
      <c r="G127" s="108">
        <f>_xlfn.XLOOKUP(A127,Calculation!$A:$A,Calculation!$B:$B)</f>
        <v>43300</v>
      </c>
      <c r="H127" s="108"/>
    </row>
    <row r="128" spans="1:8">
      <c r="A128" t="s">
        <v>3873</v>
      </c>
      <c r="B128" s="268">
        <v>429</v>
      </c>
      <c r="C128" s="268">
        <v>515</v>
      </c>
      <c r="D128" s="268">
        <v>984</v>
      </c>
      <c r="E128" s="268">
        <v>79300</v>
      </c>
      <c r="F128" s="268">
        <v>0</v>
      </c>
      <c r="G128" s="108">
        <f>_xlfn.XLOOKUP(A128,Calculation!$A:$A,Calculation!$B:$B)</f>
        <v>79300</v>
      </c>
      <c r="H128" s="108"/>
    </row>
    <row r="129" spans="1:8">
      <c r="A129" t="s">
        <v>4306</v>
      </c>
      <c r="B129" s="268">
        <v>387</v>
      </c>
      <c r="C129" s="268">
        <v>451</v>
      </c>
      <c r="D129" s="268">
        <v>940</v>
      </c>
      <c r="E129" s="268">
        <v>77100</v>
      </c>
      <c r="F129" s="268">
        <v>0</v>
      </c>
      <c r="G129" s="108">
        <f>_xlfn.XLOOKUP(A129,Calculation!$A:$A,Calculation!$B:$B)</f>
        <v>77100</v>
      </c>
      <c r="H129" s="108"/>
    </row>
    <row r="130" spans="1:8">
      <c r="A130" t="s">
        <v>4336</v>
      </c>
      <c r="B130" s="268">
        <v>585.20000000000005</v>
      </c>
      <c r="C130" s="268">
        <v>736</v>
      </c>
      <c r="D130" s="268">
        <v>1423.2</v>
      </c>
      <c r="E130" s="268">
        <v>121700</v>
      </c>
      <c r="F130" s="268">
        <v>0</v>
      </c>
      <c r="G130" s="108">
        <f>_xlfn.XLOOKUP(A130,Calculation!$A:$A,Calculation!$B:$B)</f>
        <v>121700</v>
      </c>
      <c r="H130" s="108"/>
    </row>
    <row r="131" spans="1:8">
      <c r="A131" t="s">
        <v>3959</v>
      </c>
      <c r="B131" s="268">
        <v>259</v>
      </c>
      <c r="C131" s="268">
        <v>181</v>
      </c>
      <c r="D131" s="268">
        <v>391</v>
      </c>
      <c r="E131" s="268">
        <v>44700</v>
      </c>
      <c r="F131" s="268">
        <v>0</v>
      </c>
      <c r="G131" s="108">
        <f>_xlfn.XLOOKUP(A131,Calculation!$A:$A,Calculation!$B:$B)</f>
        <v>44700</v>
      </c>
      <c r="H131" s="108"/>
    </row>
    <row r="132" spans="1:8">
      <c r="A132" t="s">
        <v>4348</v>
      </c>
      <c r="B132" s="268">
        <v>205</v>
      </c>
      <c r="C132" s="268">
        <v>89</v>
      </c>
      <c r="D132" s="268">
        <v>237</v>
      </c>
      <c r="E132" s="268">
        <v>21300</v>
      </c>
      <c r="F132" s="268">
        <v>0</v>
      </c>
      <c r="G132" s="108">
        <f>_xlfn.XLOOKUP(A132,Calculation!$A:$A,Calculation!$B:$B)</f>
        <v>21300</v>
      </c>
      <c r="H132" s="108"/>
    </row>
    <row r="133" spans="1:8">
      <c r="A133" t="s">
        <v>3972</v>
      </c>
      <c r="B133" s="268">
        <v>227.5</v>
      </c>
      <c r="C133" s="268">
        <v>163</v>
      </c>
      <c r="D133" s="268">
        <v>336.5</v>
      </c>
      <c r="E133" s="268">
        <v>35200</v>
      </c>
      <c r="F133" s="268">
        <v>0</v>
      </c>
      <c r="G133" s="108">
        <f>_xlfn.XLOOKUP(A133,Calculation!$A:$A,Calculation!$B:$B)</f>
        <v>35200</v>
      </c>
      <c r="H133" s="108"/>
    </row>
    <row r="134" spans="1:8">
      <c r="A134" t="s">
        <v>4353</v>
      </c>
      <c r="B134" s="268">
        <v>153</v>
      </c>
      <c r="C134" s="268">
        <v>102</v>
      </c>
      <c r="D134" s="268">
        <v>205</v>
      </c>
      <c r="E134" s="268">
        <v>20200</v>
      </c>
      <c r="F134" s="268">
        <v>0</v>
      </c>
      <c r="G134" s="108">
        <f>_xlfn.XLOOKUP(A134,Calculation!$A:$A,Calculation!$B:$B)</f>
        <v>20200</v>
      </c>
      <c r="H134" s="108"/>
    </row>
    <row r="135" spans="1:8">
      <c r="A135" t="s">
        <v>4746</v>
      </c>
      <c r="B135" s="268">
        <v>599.20000000000005</v>
      </c>
      <c r="C135" s="268">
        <v>592</v>
      </c>
      <c r="D135" s="268">
        <v>1121.2</v>
      </c>
      <c r="E135" s="268">
        <v>99300</v>
      </c>
      <c r="F135" s="268">
        <v>0</v>
      </c>
      <c r="G135" s="108">
        <f>_xlfn.XLOOKUP(A135,Calculation!$A:$A,Calculation!$B:$B)</f>
        <v>99300</v>
      </c>
      <c r="H135" s="108"/>
    </row>
    <row r="136" spans="1:8">
      <c r="A136" t="s">
        <v>3208</v>
      </c>
      <c r="B136" s="268">
        <v>319.8</v>
      </c>
      <c r="C136" s="268">
        <v>341</v>
      </c>
      <c r="D136" s="268">
        <v>661.8</v>
      </c>
      <c r="E136" s="268">
        <v>48400</v>
      </c>
      <c r="F136" s="268">
        <v>0</v>
      </c>
      <c r="G136" s="108">
        <f>_xlfn.XLOOKUP(A136,Calculation!$A:$A,Calculation!$B:$B)</f>
        <v>48400</v>
      </c>
      <c r="H136" s="108"/>
    </row>
    <row r="137" spans="1:8">
      <c r="A137" t="s">
        <v>2717</v>
      </c>
      <c r="B137" s="268">
        <v>149.94</v>
      </c>
      <c r="C137" s="268">
        <v>171</v>
      </c>
      <c r="D137" s="268">
        <v>307.94</v>
      </c>
      <c r="E137" s="268">
        <v>26200</v>
      </c>
      <c r="F137" s="268">
        <v>0</v>
      </c>
      <c r="G137" s="108">
        <f>_xlfn.XLOOKUP(A137,Calculation!$A:$A,Calculation!$B:$B)</f>
        <v>26200</v>
      </c>
      <c r="H137" s="108"/>
    </row>
    <row r="138" spans="1:8">
      <c r="A138" t="s">
        <v>5130</v>
      </c>
      <c r="B138" s="268">
        <v>184</v>
      </c>
      <c r="C138" s="268">
        <v>197</v>
      </c>
      <c r="D138" s="268">
        <v>366</v>
      </c>
      <c r="E138" s="268">
        <v>26600</v>
      </c>
      <c r="F138" s="268">
        <v>0</v>
      </c>
      <c r="G138" s="108">
        <f>_xlfn.XLOOKUP(A138,Calculation!$A:$A,Calculation!$B:$B)</f>
        <v>26600</v>
      </c>
      <c r="H138" s="108"/>
    </row>
    <row r="139" spans="1:8">
      <c r="A139" t="s">
        <v>3203</v>
      </c>
      <c r="B139" s="268">
        <v>283</v>
      </c>
      <c r="C139" s="268">
        <v>218</v>
      </c>
      <c r="D139" s="268">
        <v>434.99999999999994</v>
      </c>
      <c r="E139" s="268">
        <v>25700</v>
      </c>
      <c r="F139" s="268">
        <v>0</v>
      </c>
      <c r="G139" s="108">
        <f>_xlfn.XLOOKUP(A139,Calculation!$A:$A,Calculation!$B:$B)</f>
        <v>25700</v>
      </c>
      <c r="H139" s="108"/>
    </row>
    <row r="140" spans="1:8">
      <c r="A140" t="s">
        <v>2724</v>
      </c>
      <c r="B140" s="268">
        <v>49</v>
      </c>
      <c r="C140" s="268">
        <v>46</v>
      </c>
      <c r="D140" s="268">
        <v>77.999999999999986</v>
      </c>
      <c r="E140" s="268">
        <v>4500</v>
      </c>
      <c r="F140" s="268">
        <v>0</v>
      </c>
      <c r="G140" s="108">
        <f>_xlfn.XLOOKUP(A140,Calculation!$A:$A,Calculation!$B:$B)</f>
        <v>4500</v>
      </c>
      <c r="H140" s="108"/>
    </row>
    <row r="141" spans="1:8">
      <c r="A141" t="s">
        <v>3172</v>
      </c>
      <c r="B141" s="268">
        <v>263.8</v>
      </c>
      <c r="C141" s="268">
        <v>216</v>
      </c>
      <c r="D141" s="268">
        <v>456.79999999999995</v>
      </c>
      <c r="E141" s="268">
        <v>56300</v>
      </c>
      <c r="F141" s="268">
        <v>0</v>
      </c>
      <c r="G141" s="108">
        <f>_xlfn.XLOOKUP(A141,Calculation!$A:$A,Calculation!$B:$B)</f>
        <v>56300</v>
      </c>
      <c r="H141" s="108"/>
    </row>
    <row r="142" spans="1:8">
      <c r="A142" t="s">
        <v>3184</v>
      </c>
      <c r="B142" s="268">
        <v>191</v>
      </c>
      <c r="C142" s="268">
        <v>192</v>
      </c>
      <c r="D142" s="268">
        <v>402</v>
      </c>
      <c r="E142" s="268">
        <v>63200</v>
      </c>
      <c r="F142" s="268">
        <v>0</v>
      </c>
      <c r="G142" s="108">
        <f>_xlfn.XLOOKUP(A142,Calculation!$A:$A,Calculation!$B:$B)</f>
        <v>63200</v>
      </c>
      <c r="H142" s="108"/>
    </row>
    <row r="143" spans="1:8">
      <c r="A143" t="s">
        <v>3177</v>
      </c>
      <c r="B143" s="268">
        <v>110</v>
      </c>
      <c r="C143" s="268">
        <v>173</v>
      </c>
      <c r="D143" s="268">
        <v>324</v>
      </c>
      <c r="E143" s="268">
        <v>56100</v>
      </c>
      <c r="F143" s="268">
        <v>0</v>
      </c>
      <c r="G143" s="108">
        <f>_xlfn.XLOOKUP(A143,Calculation!$A:$A,Calculation!$B:$B)</f>
        <v>56100</v>
      </c>
      <c r="H143" s="108"/>
    </row>
    <row r="144" spans="1:8">
      <c r="A144" t="s">
        <v>3189</v>
      </c>
      <c r="B144" s="268">
        <v>61.8</v>
      </c>
      <c r="C144" s="268">
        <v>77</v>
      </c>
      <c r="D144" s="268">
        <v>132.79999999999998</v>
      </c>
      <c r="E144" s="268">
        <v>17100</v>
      </c>
      <c r="F144" s="268">
        <v>0</v>
      </c>
      <c r="G144" s="108">
        <f>_xlfn.XLOOKUP(A144,Calculation!$A:$A,Calculation!$B:$B)</f>
        <v>17100</v>
      </c>
      <c r="H144" s="108"/>
    </row>
    <row r="145" spans="1:8">
      <c r="A145" t="s">
        <v>2733</v>
      </c>
      <c r="B145" s="268">
        <v>104.6</v>
      </c>
      <c r="C145" s="268">
        <v>81</v>
      </c>
      <c r="D145" s="268">
        <v>138.6</v>
      </c>
      <c r="E145" s="268">
        <v>8600</v>
      </c>
      <c r="F145" s="268">
        <v>0</v>
      </c>
      <c r="G145" s="108">
        <f>_xlfn.XLOOKUP(A145,Calculation!$A:$A,Calculation!$B:$B)</f>
        <v>8600</v>
      </c>
      <c r="H145" s="108"/>
    </row>
    <row r="146" spans="1:8">
      <c r="A146" t="s">
        <v>3428</v>
      </c>
      <c r="B146" s="268">
        <v>43</v>
      </c>
      <c r="C146" s="268">
        <v>77</v>
      </c>
      <c r="D146" s="268">
        <v>101</v>
      </c>
      <c r="E146" s="268">
        <v>4100</v>
      </c>
      <c r="F146" s="268">
        <v>0</v>
      </c>
      <c r="G146" s="108">
        <f>_xlfn.XLOOKUP(A146,Calculation!$A:$A,Calculation!$B:$B)</f>
        <v>4100</v>
      </c>
      <c r="H146" s="108"/>
    </row>
    <row r="147" spans="1:8">
      <c r="A147" t="s">
        <v>4496</v>
      </c>
      <c r="B147" s="268">
        <v>134</v>
      </c>
      <c r="C147" s="268">
        <v>146</v>
      </c>
      <c r="D147" s="268">
        <v>275</v>
      </c>
      <c r="E147" s="268">
        <v>13400</v>
      </c>
      <c r="F147" s="268">
        <v>0</v>
      </c>
      <c r="G147" s="108">
        <f>_xlfn.XLOOKUP(A147,Calculation!$A:$A,Calculation!$B:$B)</f>
        <v>13400</v>
      </c>
      <c r="H147" s="108"/>
    </row>
    <row r="148" spans="1:8">
      <c r="A148" t="s">
        <v>4487</v>
      </c>
      <c r="B148" s="268">
        <v>133</v>
      </c>
      <c r="C148" s="268">
        <v>130</v>
      </c>
      <c r="D148" s="268">
        <v>250</v>
      </c>
      <c r="E148" s="268">
        <v>13600</v>
      </c>
      <c r="F148" s="268">
        <v>0</v>
      </c>
      <c r="G148" s="108">
        <f>_xlfn.XLOOKUP(A148,Calculation!$A:$A,Calculation!$B:$B)</f>
        <v>13600</v>
      </c>
      <c r="H148" s="108"/>
    </row>
    <row r="149" spans="1:8">
      <c r="A149" t="s">
        <v>3520</v>
      </c>
      <c r="B149" s="268">
        <v>99.58</v>
      </c>
      <c r="C149" s="268">
        <v>75</v>
      </c>
      <c r="D149" s="268">
        <v>114.58000000000001</v>
      </c>
      <c r="E149" s="268">
        <v>6000</v>
      </c>
      <c r="F149" s="268">
        <v>0</v>
      </c>
      <c r="G149" s="108">
        <f>_xlfn.XLOOKUP(A149,Calculation!$A:$A,Calculation!$B:$B)</f>
        <v>6000</v>
      </c>
      <c r="H149" s="108"/>
    </row>
    <row r="150" spans="1:8">
      <c r="A150" t="s">
        <v>3835</v>
      </c>
      <c r="B150" s="268">
        <v>22.2</v>
      </c>
      <c r="C150" s="268">
        <v>88</v>
      </c>
      <c r="D150" s="268">
        <v>127.19999999999999</v>
      </c>
      <c r="E150" s="268">
        <v>63000</v>
      </c>
      <c r="F150" s="268">
        <v>0</v>
      </c>
      <c r="G150" s="108">
        <f>_xlfn.XLOOKUP(A150,Calculation!$A:$A,Calculation!$B:$B)</f>
        <v>63000</v>
      </c>
      <c r="H150" s="108"/>
    </row>
    <row r="151" spans="1:8">
      <c r="A151" t="s">
        <v>3912</v>
      </c>
      <c r="B151" s="268">
        <v>102</v>
      </c>
      <c r="C151" s="268">
        <v>224</v>
      </c>
      <c r="D151" s="268">
        <v>405</v>
      </c>
      <c r="E151" s="268">
        <v>58200</v>
      </c>
      <c r="F151" s="268">
        <v>0</v>
      </c>
      <c r="G151" s="108">
        <f>_xlfn.XLOOKUP(A151,Calculation!$A:$A,Calculation!$B:$B)</f>
        <v>58200</v>
      </c>
      <c r="H151" s="108"/>
    </row>
    <row r="152" spans="1:8">
      <c r="A152" t="s">
        <v>3813</v>
      </c>
      <c r="B152" s="268">
        <v>227</v>
      </c>
      <c r="C152" s="268">
        <v>216</v>
      </c>
      <c r="D152" s="268">
        <v>473</v>
      </c>
      <c r="E152" s="268">
        <v>61600</v>
      </c>
      <c r="F152" s="268">
        <v>0</v>
      </c>
      <c r="G152" s="108">
        <f>_xlfn.XLOOKUP(A152,Calculation!$A:$A,Calculation!$B:$B)</f>
        <v>61600</v>
      </c>
      <c r="H152" s="108"/>
    </row>
    <row r="153" spans="1:8">
      <c r="A153" t="s">
        <v>3978</v>
      </c>
      <c r="B153" s="268">
        <v>207</v>
      </c>
      <c r="C153" s="268">
        <v>194</v>
      </c>
      <c r="D153" s="268">
        <v>370</v>
      </c>
      <c r="E153" s="268">
        <v>26200</v>
      </c>
      <c r="F153" s="268">
        <v>0</v>
      </c>
      <c r="G153" s="108">
        <f>_xlfn.XLOOKUP(A153,Calculation!$A:$A,Calculation!$B:$B)</f>
        <v>26200</v>
      </c>
      <c r="H153" s="108"/>
    </row>
    <row r="154" spans="1:8">
      <c r="A154" t="s">
        <v>4138</v>
      </c>
      <c r="B154" s="268">
        <v>79</v>
      </c>
      <c r="C154" s="268">
        <v>109</v>
      </c>
      <c r="D154" s="268">
        <v>244</v>
      </c>
      <c r="E154" s="268">
        <v>12900</v>
      </c>
      <c r="F154" s="268">
        <v>0</v>
      </c>
      <c r="G154" s="108">
        <f>_xlfn.XLOOKUP(A154,Calculation!$A:$A,Calculation!$B:$B)</f>
        <v>12900</v>
      </c>
      <c r="H154" s="108"/>
    </row>
    <row r="155" spans="1:8">
      <c r="A155" t="s">
        <v>4131</v>
      </c>
      <c r="B155" s="268">
        <v>91.7</v>
      </c>
      <c r="C155" s="268">
        <v>90</v>
      </c>
      <c r="D155" s="268">
        <v>166.7</v>
      </c>
      <c r="E155" s="268">
        <v>12700</v>
      </c>
      <c r="F155" s="268">
        <v>0</v>
      </c>
      <c r="G155" s="108">
        <f>_xlfn.XLOOKUP(A155,Calculation!$A:$A,Calculation!$B:$B)</f>
        <v>12700</v>
      </c>
      <c r="H155" s="108"/>
    </row>
    <row r="156" spans="1:8">
      <c r="A156" t="s">
        <v>4066</v>
      </c>
      <c r="B156" s="268">
        <v>215</v>
      </c>
      <c r="C156" s="268">
        <v>186</v>
      </c>
      <c r="D156" s="268">
        <v>394</v>
      </c>
      <c r="E156" s="268">
        <v>25100</v>
      </c>
      <c r="F156" s="268">
        <v>0</v>
      </c>
      <c r="G156" s="108">
        <f>_xlfn.XLOOKUP(A156,Calculation!$A:$A,Calculation!$B:$B)</f>
        <v>25100</v>
      </c>
      <c r="H156" s="108"/>
    </row>
    <row r="157" spans="1:8">
      <c r="A157" t="s">
        <v>4063</v>
      </c>
      <c r="B157" s="268">
        <v>186</v>
      </c>
      <c r="C157" s="268">
        <v>162</v>
      </c>
      <c r="D157" s="268">
        <v>339</v>
      </c>
      <c r="E157" s="268">
        <v>31600</v>
      </c>
      <c r="F157" s="268">
        <v>0</v>
      </c>
      <c r="G157" s="108">
        <f>_xlfn.XLOOKUP(A157,Calculation!$A:$A,Calculation!$B:$B)</f>
        <v>31600</v>
      </c>
      <c r="H157" s="108"/>
    </row>
    <row r="158" spans="1:8">
      <c r="A158" t="s">
        <v>4099</v>
      </c>
      <c r="B158" s="268">
        <v>253</v>
      </c>
      <c r="C158" s="268">
        <v>188</v>
      </c>
      <c r="D158" s="268">
        <v>417</v>
      </c>
      <c r="E158" s="268">
        <v>31400</v>
      </c>
      <c r="F158" s="268">
        <v>0</v>
      </c>
      <c r="G158" s="108">
        <f>_xlfn.XLOOKUP(A158,Calculation!$A:$A,Calculation!$B:$B)</f>
        <v>31400</v>
      </c>
      <c r="H158" s="108"/>
    </row>
    <row r="159" spans="1:8">
      <c r="A159" t="s">
        <v>4029</v>
      </c>
      <c r="B159" s="268">
        <v>160</v>
      </c>
      <c r="C159" s="268">
        <v>159</v>
      </c>
      <c r="D159" s="268">
        <v>347</v>
      </c>
      <c r="E159" s="268">
        <v>24000</v>
      </c>
      <c r="F159" s="268">
        <v>0</v>
      </c>
      <c r="G159" s="108">
        <f>_xlfn.XLOOKUP(A159,Calculation!$A:$A,Calculation!$B:$B)</f>
        <v>24000</v>
      </c>
      <c r="H159" s="108"/>
    </row>
    <row r="160" spans="1:8">
      <c r="A160" t="s">
        <v>4074</v>
      </c>
      <c r="B160" s="268">
        <v>177</v>
      </c>
      <c r="C160" s="268">
        <v>189</v>
      </c>
      <c r="D160" s="268">
        <v>423</v>
      </c>
      <c r="E160" s="268">
        <v>31500</v>
      </c>
      <c r="F160" s="268">
        <v>0</v>
      </c>
      <c r="G160" s="108">
        <f>_xlfn.XLOOKUP(A160,Calculation!$A:$A,Calculation!$B:$B)</f>
        <v>31500</v>
      </c>
      <c r="H160" s="108"/>
    </row>
    <row r="161" spans="1:8">
      <c r="A161" t="s">
        <v>4021</v>
      </c>
      <c r="B161" s="268">
        <v>83</v>
      </c>
      <c r="C161" s="268">
        <v>87</v>
      </c>
      <c r="D161" s="268">
        <v>167</v>
      </c>
      <c r="E161" s="268">
        <v>12800</v>
      </c>
      <c r="F161" s="268">
        <v>0</v>
      </c>
      <c r="G161" s="108">
        <f>_xlfn.XLOOKUP(A161,Calculation!$A:$A,Calculation!$B:$B)</f>
        <v>12800</v>
      </c>
      <c r="H161" s="108"/>
    </row>
    <row r="162" spans="1:8">
      <c r="A162" t="s">
        <v>3990</v>
      </c>
      <c r="B162" s="268">
        <v>185.5</v>
      </c>
      <c r="C162" s="268">
        <v>175</v>
      </c>
      <c r="D162" s="268">
        <v>333.5</v>
      </c>
      <c r="E162" s="268">
        <v>24600</v>
      </c>
      <c r="F162" s="268">
        <v>0</v>
      </c>
      <c r="G162" s="108">
        <f>_xlfn.XLOOKUP(A162,Calculation!$A:$A,Calculation!$B:$B)</f>
        <v>24600</v>
      </c>
      <c r="H162" s="108"/>
    </row>
    <row r="163" spans="1:8">
      <c r="A163" t="s">
        <v>4012</v>
      </c>
      <c r="B163" s="268">
        <v>68</v>
      </c>
      <c r="C163" s="268">
        <v>87</v>
      </c>
      <c r="D163" s="268">
        <v>166.00000000000003</v>
      </c>
      <c r="E163" s="268">
        <v>12200</v>
      </c>
      <c r="F163" s="268">
        <v>0</v>
      </c>
      <c r="G163" s="108">
        <f>_xlfn.XLOOKUP(A163,Calculation!$A:$A,Calculation!$B:$B)</f>
        <v>12200</v>
      </c>
      <c r="H163" s="108"/>
    </row>
    <row r="164" spans="1:8">
      <c r="A164" t="s">
        <v>4005</v>
      </c>
      <c r="B164" s="268">
        <v>101.4</v>
      </c>
      <c r="C164" s="268">
        <v>88</v>
      </c>
      <c r="D164" s="268">
        <v>161.40000000000003</v>
      </c>
      <c r="E164" s="268">
        <v>12400</v>
      </c>
      <c r="F164" s="268">
        <v>0</v>
      </c>
      <c r="G164" s="108">
        <f>_xlfn.XLOOKUP(A164,Calculation!$A:$A,Calculation!$B:$B)</f>
        <v>12400</v>
      </c>
      <c r="H164" s="108"/>
    </row>
    <row r="165" spans="1:8">
      <c r="A165" t="s">
        <v>4235</v>
      </c>
      <c r="B165" s="268">
        <v>273.5</v>
      </c>
      <c r="C165" s="268">
        <v>216</v>
      </c>
      <c r="D165" s="268">
        <v>461.50000000000011</v>
      </c>
      <c r="E165" s="268">
        <v>56100</v>
      </c>
      <c r="F165" s="268">
        <v>0</v>
      </c>
      <c r="G165" s="108">
        <f>_xlfn.XLOOKUP(A165,Calculation!$A:$A,Calculation!$B:$B)</f>
        <v>56100</v>
      </c>
      <c r="H165" s="108"/>
    </row>
    <row r="166" spans="1:8">
      <c r="A166" t="s">
        <v>4443</v>
      </c>
      <c r="B166" s="268">
        <v>54.44</v>
      </c>
      <c r="C166" s="268">
        <v>37</v>
      </c>
      <c r="D166" s="268">
        <v>83.44</v>
      </c>
      <c r="E166" s="268">
        <v>4200</v>
      </c>
      <c r="F166" s="268">
        <v>0</v>
      </c>
      <c r="G166" s="108">
        <f>_xlfn.XLOOKUP(A166,Calculation!$A:$A,Calculation!$B:$B)</f>
        <v>4200</v>
      </c>
      <c r="H166" s="108"/>
    </row>
    <row r="167" spans="1:8">
      <c r="A167" t="s">
        <v>4314</v>
      </c>
      <c r="B167" s="268">
        <v>105</v>
      </c>
      <c r="C167" s="268">
        <v>99</v>
      </c>
      <c r="D167" s="268">
        <v>190</v>
      </c>
      <c r="E167" s="268">
        <v>16600</v>
      </c>
      <c r="F167" s="268">
        <v>0</v>
      </c>
      <c r="G167" s="108">
        <f>_xlfn.XLOOKUP(A167,Calculation!$A:$A,Calculation!$B:$B)</f>
        <v>16600</v>
      </c>
      <c r="H167" s="108"/>
    </row>
    <row r="168" spans="1:8">
      <c r="A168" t="s">
        <v>4298</v>
      </c>
      <c r="B168" s="268">
        <v>129</v>
      </c>
      <c r="C168" s="268">
        <v>96</v>
      </c>
      <c r="D168" s="268">
        <v>212</v>
      </c>
      <c r="E168" s="268">
        <v>13000</v>
      </c>
      <c r="F168" s="268">
        <v>0</v>
      </c>
      <c r="G168" s="108">
        <f>_xlfn.XLOOKUP(A168,Calculation!$A:$A,Calculation!$B:$B)</f>
        <v>13000</v>
      </c>
      <c r="H168" s="108"/>
    </row>
    <row r="169" spans="1:8">
      <c r="A169" t="s">
        <v>4361</v>
      </c>
      <c r="B169" s="268">
        <v>358.3</v>
      </c>
      <c r="C169" s="268">
        <v>337</v>
      </c>
      <c r="D169" s="268">
        <v>659.30000000000007</v>
      </c>
      <c r="E169" s="268">
        <v>47900</v>
      </c>
      <c r="F169" s="268">
        <v>0</v>
      </c>
      <c r="G169" s="108">
        <f>_xlfn.XLOOKUP(A169,Calculation!$A:$A,Calculation!$B:$B)</f>
        <v>47900</v>
      </c>
      <c r="H169" s="108"/>
    </row>
    <row r="170" spans="1:8">
      <c r="A170" t="s">
        <v>4328</v>
      </c>
      <c r="B170" s="268">
        <v>176</v>
      </c>
      <c r="C170" s="268">
        <v>190</v>
      </c>
      <c r="D170" s="268">
        <v>364</v>
      </c>
      <c r="E170" s="268">
        <v>31700</v>
      </c>
      <c r="F170" s="268">
        <v>0</v>
      </c>
      <c r="G170" s="108">
        <f>_xlfn.XLOOKUP(A170,Calculation!$A:$A,Calculation!$B:$B)</f>
        <v>31700</v>
      </c>
      <c r="H170" s="108"/>
    </row>
    <row r="171" spans="1:8">
      <c r="A171" t="s">
        <v>4685</v>
      </c>
      <c r="B171" s="268">
        <v>161</v>
      </c>
      <c r="C171" s="268">
        <v>151</v>
      </c>
      <c r="D171" s="268">
        <v>326</v>
      </c>
      <c r="E171" s="268">
        <v>26800</v>
      </c>
      <c r="F171" s="268">
        <v>0</v>
      </c>
      <c r="G171" s="108">
        <f>_xlfn.XLOOKUP(A171,Calculation!$A:$A,Calculation!$B:$B)</f>
        <v>26800</v>
      </c>
      <c r="H171" s="108"/>
    </row>
    <row r="172" spans="1:8">
      <c r="A172" t="s">
        <v>4321</v>
      </c>
      <c r="B172" s="268">
        <v>265</v>
      </c>
      <c r="C172" s="268">
        <v>189</v>
      </c>
      <c r="D172" s="268">
        <v>496</v>
      </c>
      <c r="E172" s="268">
        <v>31500</v>
      </c>
      <c r="F172" s="268">
        <v>0</v>
      </c>
      <c r="G172" s="108">
        <f>_xlfn.XLOOKUP(A172,Calculation!$A:$A,Calculation!$B:$B)</f>
        <v>31500</v>
      </c>
      <c r="H172" s="108"/>
    </row>
    <row r="173" spans="1:8">
      <c r="A173" t="s">
        <v>4664</v>
      </c>
      <c r="B173" s="268">
        <v>69</v>
      </c>
      <c r="C173" s="268">
        <v>42</v>
      </c>
      <c r="D173" s="268">
        <v>71</v>
      </c>
      <c r="E173" s="268">
        <v>4500</v>
      </c>
      <c r="F173" s="268">
        <v>0</v>
      </c>
      <c r="G173" s="108">
        <f>_xlfn.XLOOKUP(A173,Calculation!$A:$A,Calculation!$B:$B)</f>
        <v>4500</v>
      </c>
      <c r="H173" s="108"/>
    </row>
    <row r="174" spans="1:8">
      <c r="A174" t="s">
        <v>5023</v>
      </c>
      <c r="B174" s="268">
        <v>29.240000000000002</v>
      </c>
      <c r="C174" s="268">
        <v>62</v>
      </c>
      <c r="D174" s="268">
        <v>98.239999999999981</v>
      </c>
      <c r="E174" s="268">
        <v>5300</v>
      </c>
      <c r="F174" s="268">
        <v>0</v>
      </c>
      <c r="G174" s="108">
        <f>_xlfn.XLOOKUP(A174,Calculation!$A:$A,Calculation!$B:$B)</f>
        <v>5300</v>
      </c>
      <c r="H174" s="108"/>
    </row>
    <row r="175" spans="1:8">
      <c r="A175" t="s">
        <v>5014</v>
      </c>
      <c r="B175" s="268">
        <v>66.95</v>
      </c>
      <c r="C175" s="268">
        <v>64</v>
      </c>
      <c r="D175" s="268">
        <v>110.94999999999999</v>
      </c>
      <c r="E175" s="268">
        <v>5400</v>
      </c>
      <c r="F175" s="268">
        <v>0</v>
      </c>
      <c r="G175" s="108">
        <f>_xlfn.XLOOKUP(A175,Calculation!$A:$A,Calculation!$B:$B)</f>
        <v>5400</v>
      </c>
      <c r="H175" s="108"/>
    </row>
    <row r="176" spans="1:8">
      <c r="A176" t="s">
        <v>2647</v>
      </c>
      <c r="B176" s="268">
        <v>61</v>
      </c>
      <c r="C176" s="268">
        <v>63</v>
      </c>
      <c r="D176" s="268">
        <v>102</v>
      </c>
      <c r="E176" s="268">
        <v>6800</v>
      </c>
      <c r="F176" s="268">
        <v>0</v>
      </c>
      <c r="G176" s="108">
        <f>_xlfn.XLOOKUP(A176,Calculation!$A:$A,Calculation!$B:$B)</f>
        <v>6800</v>
      </c>
      <c r="H176" s="108"/>
    </row>
    <row r="177" spans="1:8">
      <c r="A177" t="s">
        <v>5140</v>
      </c>
      <c r="B177" s="268">
        <v>298.39999999999998</v>
      </c>
      <c r="C177" s="268">
        <v>340</v>
      </c>
      <c r="D177" s="268">
        <v>623.4</v>
      </c>
      <c r="E177" s="268">
        <v>63500</v>
      </c>
      <c r="F177" s="268">
        <v>0</v>
      </c>
      <c r="G177" s="108">
        <f>_xlfn.XLOOKUP(A177,Calculation!$A:$A,Calculation!$B:$B)</f>
        <v>63500</v>
      </c>
      <c r="H177" s="108"/>
    </row>
    <row r="178" spans="1:8">
      <c r="A178" t="s">
        <v>3810</v>
      </c>
      <c r="B178" s="268">
        <v>117.5</v>
      </c>
      <c r="C178" s="268">
        <v>72</v>
      </c>
      <c r="D178" s="268">
        <v>151.5</v>
      </c>
      <c r="E178" s="268">
        <v>11600</v>
      </c>
      <c r="F178" s="268">
        <v>0</v>
      </c>
      <c r="G178" s="108">
        <f>_xlfn.XLOOKUP(A178,Calculation!$A:$A,Calculation!$B:$B)</f>
        <v>11600</v>
      </c>
      <c r="H178" s="108"/>
    </row>
    <row r="179" spans="1:8">
      <c r="A179" t="s">
        <v>5137</v>
      </c>
      <c r="B179" s="268">
        <v>259.55</v>
      </c>
      <c r="C179" s="268">
        <v>369</v>
      </c>
      <c r="D179" s="268">
        <v>568.54999999999995</v>
      </c>
      <c r="E179" s="268">
        <v>42000</v>
      </c>
      <c r="F179" s="268">
        <v>0</v>
      </c>
      <c r="G179" s="108">
        <f>_xlfn.XLOOKUP(A179,Calculation!$A:$A,Calculation!$B:$B)</f>
        <v>42000</v>
      </c>
      <c r="H179" s="108"/>
    </row>
    <row r="180" spans="1:8">
      <c r="A180" t="s">
        <v>3505</v>
      </c>
      <c r="B180" s="268">
        <v>110.5</v>
      </c>
      <c r="C180" s="268">
        <v>58</v>
      </c>
      <c r="D180" s="268">
        <v>113.5</v>
      </c>
      <c r="E180" s="268">
        <v>7200</v>
      </c>
      <c r="F180" s="268">
        <v>0</v>
      </c>
      <c r="G180" s="108">
        <f>_xlfn.XLOOKUP(A180,Calculation!$A:$A,Calculation!$B:$B)</f>
        <v>7200</v>
      </c>
      <c r="H180" s="108"/>
    </row>
    <row r="181" spans="1:8">
      <c r="A181" t="s">
        <v>3512</v>
      </c>
      <c r="B181" s="268">
        <v>115.2</v>
      </c>
      <c r="C181" s="268">
        <v>83</v>
      </c>
      <c r="D181" s="268">
        <v>161.19999999999999</v>
      </c>
      <c r="E181" s="268">
        <v>9700</v>
      </c>
      <c r="F181" s="268">
        <v>0</v>
      </c>
      <c r="G181" s="108">
        <f>_xlfn.XLOOKUP(A181,Calculation!$A:$A,Calculation!$B:$B)</f>
        <v>9700</v>
      </c>
      <c r="H181" s="108"/>
    </row>
    <row r="182" spans="1:8">
      <c r="A182" t="s">
        <v>4119</v>
      </c>
      <c r="B182" s="268">
        <v>118.4</v>
      </c>
      <c r="C182" s="268">
        <v>44</v>
      </c>
      <c r="D182" s="268">
        <v>82.4</v>
      </c>
      <c r="E182" s="268">
        <v>17500</v>
      </c>
      <c r="F182" s="268">
        <v>0</v>
      </c>
      <c r="G182" s="108">
        <f>_xlfn.XLOOKUP(A182,Calculation!$A:$A,Calculation!$B:$B)</f>
        <v>17500</v>
      </c>
      <c r="H182" s="108"/>
    </row>
    <row r="183" spans="1:8">
      <c r="A183" t="s">
        <v>4123</v>
      </c>
      <c r="B183" s="268">
        <v>29.2</v>
      </c>
      <c r="C183" s="268">
        <v>60</v>
      </c>
      <c r="D183" s="268">
        <v>89.200000000000017</v>
      </c>
      <c r="E183" s="268">
        <v>14700</v>
      </c>
      <c r="F183" s="268">
        <v>0</v>
      </c>
      <c r="G183" s="108">
        <f>_xlfn.XLOOKUP(A183,Calculation!$A:$A,Calculation!$B:$B)</f>
        <v>14700</v>
      </c>
      <c r="H183" s="108"/>
    </row>
    <row r="184" spans="1:8">
      <c r="A184" t="s">
        <v>3280</v>
      </c>
      <c r="B184" s="268">
        <v>57.6</v>
      </c>
      <c r="C184" s="268">
        <v>61</v>
      </c>
      <c r="D184" s="268">
        <v>104.6</v>
      </c>
      <c r="E184" s="268">
        <v>14900</v>
      </c>
      <c r="F184" s="268">
        <v>0</v>
      </c>
      <c r="G184" s="108">
        <f>_xlfn.XLOOKUP(A184,Calculation!$A:$A,Calculation!$B:$B)</f>
        <v>14900</v>
      </c>
      <c r="H184" s="108"/>
    </row>
    <row r="185" spans="1:8">
      <c r="A185" t="s">
        <v>3611</v>
      </c>
      <c r="B185" s="268">
        <v>57.5</v>
      </c>
      <c r="C185" s="268">
        <v>57</v>
      </c>
      <c r="D185" s="268">
        <v>90.5</v>
      </c>
      <c r="E185" s="268">
        <v>9500</v>
      </c>
      <c r="F185" s="268">
        <v>0</v>
      </c>
      <c r="G185" s="108">
        <f>_xlfn.XLOOKUP(A185,Calculation!$A:$A,Calculation!$B:$B)</f>
        <v>9500</v>
      </c>
      <c r="H185" s="108"/>
    </row>
    <row r="186" spans="1:8">
      <c r="A186" t="s">
        <v>3704</v>
      </c>
      <c r="B186" s="268">
        <v>326.73</v>
      </c>
      <c r="C186" s="268">
        <v>331</v>
      </c>
      <c r="D186" s="268">
        <v>655.73</v>
      </c>
      <c r="E186" s="268">
        <v>56900</v>
      </c>
      <c r="F186" s="268">
        <v>0</v>
      </c>
      <c r="G186" s="108">
        <f>_xlfn.XLOOKUP(A186,Calculation!$A:$A,Calculation!$B:$B)</f>
        <v>56900</v>
      </c>
      <c r="H186" s="108"/>
    </row>
    <row r="187" spans="1:8">
      <c r="A187" t="s">
        <v>4569</v>
      </c>
      <c r="B187" s="268">
        <v>48.25</v>
      </c>
      <c r="C187" s="268">
        <v>76</v>
      </c>
      <c r="D187" s="268">
        <v>166.25</v>
      </c>
      <c r="E187" s="268">
        <v>13600</v>
      </c>
      <c r="F187" s="268">
        <v>0</v>
      </c>
      <c r="G187" s="108">
        <f>_xlfn.XLOOKUP(A187,Calculation!$A:$A,Calculation!$B:$B)</f>
        <v>13600</v>
      </c>
      <c r="H187" s="108"/>
    </row>
    <row r="188" spans="1:8">
      <c r="A188" t="s">
        <v>4575</v>
      </c>
      <c r="B188" s="268">
        <v>72.73</v>
      </c>
      <c r="C188" s="268">
        <v>76</v>
      </c>
      <c r="D188" s="268">
        <v>119.72999999999999</v>
      </c>
      <c r="E188" s="268">
        <v>12500</v>
      </c>
      <c r="F188" s="268">
        <v>0</v>
      </c>
      <c r="G188" s="108">
        <f>_xlfn.XLOOKUP(A188,Calculation!$A:$A,Calculation!$B:$B)</f>
        <v>12500</v>
      </c>
      <c r="H188" s="108"/>
    </row>
    <row r="189" spans="1:8">
      <c r="A189" t="s">
        <v>4649</v>
      </c>
      <c r="B189" s="268">
        <v>51.18</v>
      </c>
      <c r="C189" s="268">
        <v>74</v>
      </c>
      <c r="D189" s="268">
        <v>125.18000000000002</v>
      </c>
      <c r="E189" s="268">
        <v>18900</v>
      </c>
      <c r="F189" s="268">
        <v>0</v>
      </c>
      <c r="G189" s="108">
        <f>_xlfn.XLOOKUP(A189,Calculation!$A:$A,Calculation!$B:$B)</f>
        <v>18900</v>
      </c>
      <c r="H189" s="108"/>
    </row>
    <row r="190" spans="1:8">
      <c r="A190" t="s">
        <v>4653</v>
      </c>
      <c r="B190" s="268">
        <v>112.07</v>
      </c>
      <c r="C190" s="268">
        <v>121</v>
      </c>
      <c r="D190" s="268">
        <v>217.07</v>
      </c>
      <c r="E190" s="268">
        <v>27500</v>
      </c>
      <c r="F190" s="268">
        <v>0</v>
      </c>
      <c r="G190" s="108">
        <f>_xlfn.XLOOKUP(A190,Calculation!$A:$A,Calculation!$B:$B)</f>
        <v>27500</v>
      </c>
      <c r="H190" s="108"/>
    </row>
    <row r="191" spans="1:8">
      <c r="A191" t="s">
        <v>4659</v>
      </c>
      <c r="B191" s="268">
        <v>29.28</v>
      </c>
      <c r="C191" s="268">
        <v>48</v>
      </c>
      <c r="D191" s="268">
        <v>69.28</v>
      </c>
      <c r="E191" s="268">
        <v>15700</v>
      </c>
      <c r="F191" s="268">
        <v>0</v>
      </c>
      <c r="G191" s="108">
        <f>_xlfn.XLOOKUP(A191,Calculation!$A:$A,Calculation!$B:$B)</f>
        <v>15700</v>
      </c>
      <c r="H191" s="108"/>
    </row>
    <row r="192" spans="1:8">
      <c r="A192" t="s">
        <v>2871</v>
      </c>
      <c r="B192" s="268">
        <v>452</v>
      </c>
      <c r="C192" s="268">
        <v>545</v>
      </c>
      <c r="D192" s="268">
        <v>934</v>
      </c>
      <c r="E192" s="268">
        <v>99500</v>
      </c>
      <c r="F192" s="268">
        <v>0</v>
      </c>
      <c r="G192" s="108">
        <f>_xlfn.XLOOKUP(A192,Calculation!$A:$A,Calculation!$B:$B)</f>
        <v>99500</v>
      </c>
      <c r="H192" s="108"/>
    </row>
    <row r="193" spans="1:8">
      <c r="A193" t="s">
        <v>3006</v>
      </c>
      <c r="B193" s="268">
        <v>155.30000000000001</v>
      </c>
      <c r="C193" s="268">
        <v>181</v>
      </c>
      <c r="D193" s="268">
        <v>343.3</v>
      </c>
      <c r="E193" s="268">
        <v>26600</v>
      </c>
      <c r="F193" s="268">
        <v>0</v>
      </c>
      <c r="G193" s="108">
        <f>_xlfn.XLOOKUP(A193,Calculation!$A:$A,Calculation!$B:$B)</f>
        <v>26600</v>
      </c>
      <c r="H193" s="108"/>
    </row>
    <row r="194" spans="1:8">
      <c r="A194" t="s">
        <v>3039</v>
      </c>
      <c r="B194" s="268">
        <v>104</v>
      </c>
      <c r="C194" s="268">
        <v>87</v>
      </c>
      <c r="D194" s="268">
        <v>199</v>
      </c>
      <c r="E194" s="268">
        <v>15900</v>
      </c>
      <c r="F194" s="268">
        <v>0</v>
      </c>
      <c r="G194" s="108">
        <f>_xlfn.XLOOKUP(A194,Calculation!$A:$A,Calculation!$B:$B)</f>
        <v>15900</v>
      </c>
      <c r="H194" s="108"/>
    </row>
    <row r="195" spans="1:8">
      <c r="A195" t="s">
        <v>4718</v>
      </c>
      <c r="B195" s="268">
        <v>2012</v>
      </c>
      <c r="C195" s="268">
        <v>1700</v>
      </c>
      <c r="D195" s="268">
        <v>3268</v>
      </c>
      <c r="E195" s="268">
        <v>322700</v>
      </c>
      <c r="F195" s="268">
        <v>0</v>
      </c>
      <c r="G195" s="108">
        <f>_xlfn.XLOOKUP(A195,Calculation!$A:$A,Calculation!$B:$B)</f>
        <v>322700</v>
      </c>
      <c r="H195" s="108"/>
    </row>
    <row r="196" spans="1:8">
      <c r="A196" t="s">
        <v>3273</v>
      </c>
      <c r="B196" s="268">
        <v>119</v>
      </c>
      <c r="C196" s="268">
        <v>97</v>
      </c>
      <c r="D196" s="268">
        <v>184</v>
      </c>
      <c r="E196" s="268">
        <v>13300</v>
      </c>
      <c r="F196" s="268">
        <v>0</v>
      </c>
      <c r="G196" s="108">
        <f>_xlfn.XLOOKUP(A196,Calculation!$A:$A,Calculation!$B:$B)</f>
        <v>13300</v>
      </c>
      <c r="H196" s="108"/>
    </row>
    <row r="197" spans="1:8">
      <c r="A197" t="s">
        <v>3080</v>
      </c>
      <c r="B197" s="268">
        <v>888</v>
      </c>
      <c r="C197" s="268">
        <v>897</v>
      </c>
      <c r="D197" s="268">
        <v>1717</v>
      </c>
      <c r="E197" s="268">
        <v>138800</v>
      </c>
      <c r="F197" s="268">
        <v>0</v>
      </c>
      <c r="G197" s="108">
        <f>_xlfn.XLOOKUP(A197,Calculation!$A:$A,Calculation!$B:$B)</f>
        <v>138800</v>
      </c>
      <c r="H197" s="108"/>
    </row>
    <row r="198" spans="1:8">
      <c r="A198" t="s">
        <v>4864</v>
      </c>
      <c r="B198" s="268">
        <v>3718.3</v>
      </c>
      <c r="C198" s="268">
        <v>4043</v>
      </c>
      <c r="D198" s="268">
        <v>7169</v>
      </c>
      <c r="E198" s="268">
        <v>583900</v>
      </c>
      <c r="F198" s="268">
        <v>0</v>
      </c>
      <c r="G198" s="108">
        <f>_xlfn.XLOOKUP(A198,Calculation!$A:$A,Calculation!$B:$B)</f>
        <v>583900</v>
      </c>
      <c r="H198" s="108"/>
    </row>
    <row r="199" spans="1:8">
      <c r="A199" t="s">
        <v>4729</v>
      </c>
      <c r="B199" s="268">
        <v>613</v>
      </c>
      <c r="C199" s="268">
        <v>620</v>
      </c>
      <c r="D199" s="268">
        <v>1138</v>
      </c>
      <c r="E199" s="268">
        <v>106600</v>
      </c>
      <c r="F199" s="268">
        <v>0</v>
      </c>
      <c r="G199" s="108">
        <f>_xlfn.XLOOKUP(A199,Calculation!$A:$A,Calculation!$B:$B)</f>
        <v>106600</v>
      </c>
      <c r="H199" s="108"/>
    </row>
    <row r="200" spans="1:8">
      <c r="A200" t="s">
        <v>4973</v>
      </c>
      <c r="B200" s="268">
        <v>784</v>
      </c>
      <c r="C200" s="268">
        <v>628</v>
      </c>
      <c r="D200" s="268">
        <v>1414</v>
      </c>
      <c r="E200" s="268">
        <v>107700</v>
      </c>
      <c r="F200" s="268">
        <v>0</v>
      </c>
      <c r="G200" s="108">
        <f>_xlfn.XLOOKUP(A200,Calculation!$A:$A,Calculation!$B:$B)</f>
        <v>107700</v>
      </c>
      <c r="H200" s="108"/>
    </row>
    <row r="201" spans="1:8">
      <c r="A201" t="s">
        <v>3031</v>
      </c>
      <c r="B201" s="268">
        <v>148</v>
      </c>
      <c r="C201" s="268">
        <v>170</v>
      </c>
      <c r="D201" s="268">
        <v>359</v>
      </c>
      <c r="E201" s="268">
        <v>25000</v>
      </c>
      <c r="F201" s="268">
        <v>0</v>
      </c>
      <c r="G201" s="108">
        <f>_xlfn.XLOOKUP(A201,Calculation!$A:$A,Calculation!$B:$B)</f>
        <v>25000</v>
      </c>
      <c r="H201" s="108"/>
    </row>
    <row r="202" spans="1:8">
      <c r="A202" t="s">
        <v>4243</v>
      </c>
      <c r="B202" s="268">
        <v>141.5</v>
      </c>
      <c r="C202" s="268">
        <v>172</v>
      </c>
      <c r="D202" s="268">
        <v>363.5</v>
      </c>
      <c r="E202" s="268">
        <v>25300</v>
      </c>
      <c r="F202" s="268">
        <v>0</v>
      </c>
      <c r="G202" s="108">
        <f>_xlfn.XLOOKUP(A202,Calculation!$A:$A,Calculation!$B:$B)</f>
        <v>25300</v>
      </c>
      <c r="H202" s="108"/>
    </row>
    <row r="203" spans="1:8">
      <c r="A203" t="s">
        <v>2908</v>
      </c>
      <c r="B203" s="268">
        <v>236</v>
      </c>
      <c r="C203" s="268">
        <v>208</v>
      </c>
      <c r="D203" s="268">
        <v>315</v>
      </c>
      <c r="E203" s="268">
        <v>26500</v>
      </c>
      <c r="F203" s="268">
        <v>0</v>
      </c>
      <c r="G203" s="108">
        <f>_xlfn.XLOOKUP(A203,Calculation!$A:$A,Calculation!$B:$B)</f>
        <v>26500</v>
      </c>
      <c r="H203" s="108"/>
    </row>
    <row r="204" spans="1:8">
      <c r="A204" t="s">
        <v>3866</v>
      </c>
      <c r="B204" s="268">
        <v>171</v>
      </c>
      <c r="C204" s="268">
        <v>167</v>
      </c>
      <c r="D204" s="268">
        <v>336</v>
      </c>
      <c r="E204" s="268">
        <v>26000</v>
      </c>
      <c r="F204" s="268">
        <v>0</v>
      </c>
      <c r="G204" s="108">
        <f>_xlfn.XLOOKUP(A204,Calculation!$A:$A,Calculation!$B:$B)</f>
        <v>26000</v>
      </c>
      <c r="H204" s="108"/>
    </row>
    <row r="205" spans="1:8">
      <c r="A205" t="s">
        <v>2863</v>
      </c>
      <c r="B205" s="268">
        <v>346</v>
      </c>
      <c r="C205" s="268">
        <v>354</v>
      </c>
      <c r="D205" s="268">
        <v>671</v>
      </c>
      <c r="E205" s="268">
        <v>65500</v>
      </c>
      <c r="F205" s="268">
        <v>0</v>
      </c>
      <c r="G205" s="108">
        <f>_xlfn.XLOOKUP(A205,Calculation!$A:$A,Calculation!$B:$B)</f>
        <v>65500</v>
      </c>
      <c r="H205" s="108"/>
    </row>
    <row r="206" spans="1:8">
      <c r="A206" t="s">
        <v>2856</v>
      </c>
      <c r="B206" s="268">
        <v>341</v>
      </c>
      <c r="C206" s="268">
        <v>408</v>
      </c>
      <c r="D206" s="268">
        <v>725</v>
      </c>
      <c r="E206" s="268">
        <v>65200</v>
      </c>
      <c r="F206" s="268">
        <v>0</v>
      </c>
      <c r="G206" s="108">
        <f>_xlfn.XLOOKUP(A206,Calculation!$A:$A,Calculation!$B:$B)</f>
        <v>65200</v>
      </c>
      <c r="H206" s="108"/>
    </row>
    <row r="207" spans="1:8">
      <c r="A207" t="s">
        <v>4901</v>
      </c>
      <c r="B207" s="268">
        <v>129</v>
      </c>
      <c r="C207" s="268">
        <v>417</v>
      </c>
      <c r="D207" s="268">
        <v>456</v>
      </c>
      <c r="E207" s="268">
        <v>107700</v>
      </c>
      <c r="F207" s="268">
        <v>0</v>
      </c>
      <c r="G207" s="108">
        <f>_xlfn.XLOOKUP(A207,Calculation!$A:$A,Calculation!$B:$B)</f>
        <v>107700</v>
      </c>
      <c r="H207" s="108"/>
    </row>
    <row r="208" spans="1:8">
      <c r="A208" t="s">
        <v>2803</v>
      </c>
      <c r="B208" s="268">
        <v>148.5</v>
      </c>
      <c r="C208" s="268">
        <v>187</v>
      </c>
      <c r="D208" s="268">
        <v>360.50000000000006</v>
      </c>
      <c r="E208" s="268">
        <v>30000</v>
      </c>
      <c r="F208" s="268">
        <v>0</v>
      </c>
      <c r="G208" s="108">
        <f>_xlfn.XLOOKUP(A208,Calculation!$A:$A,Calculation!$B:$B)</f>
        <v>30000</v>
      </c>
      <c r="H208" s="108"/>
    </row>
    <row r="209" spans="1:8">
      <c r="A209" t="s">
        <v>2796</v>
      </c>
      <c r="B209" s="268">
        <v>104.4</v>
      </c>
      <c r="C209" s="268">
        <v>117</v>
      </c>
      <c r="D209" s="268">
        <v>234.4</v>
      </c>
      <c r="E209" s="268">
        <v>18800</v>
      </c>
      <c r="F209" s="268">
        <v>0</v>
      </c>
      <c r="G209" s="108">
        <f>_xlfn.XLOOKUP(A209,Calculation!$A:$A,Calculation!$B:$B)</f>
        <v>18800</v>
      </c>
      <c r="H209" s="108"/>
    </row>
    <row r="210" spans="1:8">
      <c r="A210" t="s">
        <v>4673</v>
      </c>
      <c r="B210" s="268">
        <v>569</v>
      </c>
      <c r="C210" s="268">
        <v>358</v>
      </c>
      <c r="D210" s="268">
        <v>822</v>
      </c>
      <c r="E210" s="268">
        <v>53200</v>
      </c>
      <c r="F210" s="268">
        <v>0</v>
      </c>
      <c r="G210" s="108">
        <f>_xlfn.XLOOKUP(A210,Calculation!$A:$A,Calculation!$B:$B)</f>
        <v>53200</v>
      </c>
      <c r="H210" s="108"/>
    </row>
    <row r="211" spans="1:8">
      <c r="A211" t="s">
        <v>3044</v>
      </c>
      <c r="B211" s="268">
        <v>142.5</v>
      </c>
      <c r="C211" s="268">
        <v>180</v>
      </c>
      <c r="D211" s="268">
        <v>354.5</v>
      </c>
      <c r="E211" s="268">
        <v>26500</v>
      </c>
      <c r="F211" s="268">
        <v>0</v>
      </c>
      <c r="G211" s="108">
        <f>_xlfn.XLOOKUP(A211,Calculation!$A:$A,Calculation!$B:$B)</f>
        <v>26500</v>
      </c>
      <c r="H211" s="108"/>
    </row>
    <row r="212" spans="1:8">
      <c r="A212" t="s">
        <v>3845</v>
      </c>
      <c r="B212" s="268">
        <v>93</v>
      </c>
      <c r="C212" s="268">
        <v>108</v>
      </c>
      <c r="D212" s="268">
        <v>193</v>
      </c>
      <c r="E212" s="268">
        <v>13000</v>
      </c>
      <c r="F212" s="268">
        <v>0</v>
      </c>
      <c r="G212" s="108">
        <f>_xlfn.XLOOKUP(A212,Calculation!$A:$A,Calculation!$B:$B)</f>
        <v>13000</v>
      </c>
      <c r="H212" s="108"/>
    </row>
    <row r="213" spans="1:8">
      <c r="A213" t="s">
        <v>3065</v>
      </c>
      <c r="B213" s="268">
        <v>80</v>
      </c>
      <c r="C213" s="268">
        <v>108</v>
      </c>
      <c r="D213" s="268">
        <v>215.00000000000003</v>
      </c>
      <c r="E213" s="268">
        <v>15900</v>
      </c>
      <c r="F213" s="268">
        <v>0</v>
      </c>
      <c r="G213" s="108">
        <f>_xlfn.XLOOKUP(A213,Calculation!$A:$A,Calculation!$B:$B)</f>
        <v>15900</v>
      </c>
      <c r="H213" s="108"/>
    </row>
    <row r="214" spans="1:8">
      <c r="A214" t="s">
        <v>3013</v>
      </c>
      <c r="B214" s="268">
        <v>133</v>
      </c>
      <c r="C214" s="268">
        <v>156</v>
      </c>
      <c r="D214" s="268">
        <v>300</v>
      </c>
      <c r="E214" s="268">
        <v>26700</v>
      </c>
      <c r="F214" s="268">
        <v>0</v>
      </c>
      <c r="G214" s="108">
        <f>_xlfn.XLOOKUP(A214,Calculation!$A:$A,Calculation!$B:$B)</f>
        <v>26700</v>
      </c>
      <c r="H214" s="108"/>
    </row>
    <row r="215" spans="1:8">
      <c r="A215" t="s">
        <v>2985</v>
      </c>
      <c r="B215" s="268">
        <v>131</v>
      </c>
      <c r="C215" s="268">
        <v>182</v>
      </c>
      <c r="D215" s="268">
        <v>376</v>
      </c>
      <c r="E215" s="268">
        <v>26700</v>
      </c>
      <c r="F215" s="268">
        <v>0</v>
      </c>
      <c r="G215" s="108">
        <f>_xlfn.XLOOKUP(A215,Calculation!$A:$A,Calculation!$B:$B)</f>
        <v>26700</v>
      </c>
      <c r="H215" s="108"/>
    </row>
    <row r="216" spans="1:8">
      <c r="A216" t="s">
        <v>3052</v>
      </c>
      <c r="B216" s="268">
        <v>174.5</v>
      </c>
      <c r="C216" s="268">
        <v>178</v>
      </c>
      <c r="D216" s="268">
        <v>333.5</v>
      </c>
      <c r="E216" s="268">
        <v>26200</v>
      </c>
      <c r="F216" s="268">
        <v>0</v>
      </c>
      <c r="G216" s="108">
        <f>_xlfn.XLOOKUP(A216,Calculation!$A:$A,Calculation!$B:$B)</f>
        <v>26200</v>
      </c>
      <c r="H216" s="108"/>
    </row>
    <row r="217" spans="1:8">
      <c r="A217" t="s">
        <v>3058</v>
      </c>
      <c r="B217" s="268">
        <v>169</v>
      </c>
      <c r="C217" s="268">
        <v>181</v>
      </c>
      <c r="D217" s="268">
        <v>334</v>
      </c>
      <c r="E217" s="268">
        <v>26600</v>
      </c>
      <c r="F217" s="268">
        <v>0</v>
      </c>
      <c r="G217" s="108">
        <f>_xlfn.XLOOKUP(A217,Calculation!$A:$A,Calculation!$B:$B)</f>
        <v>26600</v>
      </c>
      <c r="H217" s="108"/>
    </row>
    <row r="218" spans="1:8">
      <c r="A218" t="s">
        <v>3751</v>
      </c>
      <c r="B218" s="268">
        <v>158</v>
      </c>
      <c r="C218" s="268">
        <v>188</v>
      </c>
      <c r="D218" s="268">
        <v>363</v>
      </c>
      <c r="E218" s="268">
        <v>26500</v>
      </c>
      <c r="F218" s="268">
        <v>0</v>
      </c>
      <c r="G218" s="108">
        <f>_xlfn.XLOOKUP(A218,Calculation!$A:$A,Calculation!$B:$B)</f>
        <v>26500</v>
      </c>
      <c r="H218" s="108"/>
    </row>
    <row r="219" spans="1:8">
      <c r="A219" t="s">
        <v>3760</v>
      </c>
      <c r="B219" s="268">
        <v>170.5</v>
      </c>
      <c r="C219" s="268">
        <v>171</v>
      </c>
      <c r="D219" s="268">
        <v>362.5</v>
      </c>
      <c r="E219" s="268">
        <v>26200</v>
      </c>
      <c r="F219" s="268">
        <v>0</v>
      </c>
      <c r="G219" s="108">
        <f>_xlfn.XLOOKUP(A219,Calculation!$A:$A,Calculation!$B:$B)</f>
        <v>26200</v>
      </c>
      <c r="H219" s="108"/>
    </row>
    <row r="220" spans="1:8">
      <c r="A220" t="s">
        <v>3021</v>
      </c>
      <c r="B220" s="268">
        <v>240.5</v>
      </c>
      <c r="C220" s="268">
        <v>356</v>
      </c>
      <c r="D220" s="268">
        <v>680.5</v>
      </c>
      <c r="E220" s="268">
        <v>52400</v>
      </c>
      <c r="F220" s="268">
        <v>0</v>
      </c>
      <c r="G220" s="108">
        <f>_xlfn.XLOOKUP(A220,Calculation!$A:$A,Calculation!$B:$B)</f>
        <v>52400</v>
      </c>
      <c r="H220" s="108"/>
    </row>
    <row r="221" spans="1:8">
      <c r="A221" t="s">
        <v>3306</v>
      </c>
      <c r="B221" s="268">
        <v>146.5</v>
      </c>
      <c r="C221" s="268">
        <v>146</v>
      </c>
      <c r="D221" s="268">
        <v>311.5</v>
      </c>
      <c r="E221" s="268">
        <v>31100</v>
      </c>
      <c r="F221" s="268">
        <v>0</v>
      </c>
      <c r="G221" s="108">
        <f>_xlfn.XLOOKUP(A221,Calculation!$A:$A,Calculation!$B:$B)</f>
        <v>31100</v>
      </c>
      <c r="H221" s="108"/>
    </row>
    <row r="222" spans="1:8">
      <c r="A222" t="s">
        <v>3316</v>
      </c>
      <c r="B222" s="268">
        <v>268</v>
      </c>
      <c r="C222" s="268">
        <v>276</v>
      </c>
      <c r="D222" s="268">
        <v>543</v>
      </c>
      <c r="E222" s="268">
        <v>58700</v>
      </c>
      <c r="F222" s="268">
        <v>0</v>
      </c>
      <c r="G222" s="108">
        <f>_xlfn.XLOOKUP(A222,Calculation!$A:$A,Calculation!$B:$B)</f>
        <v>58700</v>
      </c>
      <c r="H222" s="108"/>
    </row>
    <row r="223" spans="1:8">
      <c r="A223" t="s">
        <v>3130</v>
      </c>
      <c r="B223" s="268">
        <v>662.5</v>
      </c>
      <c r="C223" s="268">
        <v>605</v>
      </c>
      <c r="D223" s="268">
        <v>1179.5</v>
      </c>
      <c r="E223" s="268">
        <v>53800</v>
      </c>
      <c r="F223" s="268">
        <v>0</v>
      </c>
      <c r="G223" s="108">
        <f>_xlfn.XLOOKUP(A223,Calculation!$A:$A,Calculation!$B:$B)</f>
        <v>53800</v>
      </c>
      <c r="H223" s="108"/>
    </row>
    <row r="224" spans="1:8">
      <c r="A224" t="s">
        <v>4876</v>
      </c>
      <c r="B224" s="268">
        <v>144</v>
      </c>
      <c r="C224" s="268">
        <v>148</v>
      </c>
      <c r="D224" s="268">
        <v>289</v>
      </c>
      <c r="E224" s="268">
        <v>22700</v>
      </c>
      <c r="F224" s="268">
        <v>0</v>
      </c>
      <c r="G224" s="108">
        <f>_xlfn.XLOOKUP(A224,Calculation!$A:$A,Calculation!$B:$B)</f>
        <v>22700</v>
      </c>
      <c r="H224" s="108"/>
    </row>
    <row r="225" spans="1:8">
      <c r="A225" t="s">
        <v>3857</v>
      </c>
      <c r="B225" s="268">
        <v>64.5</v>
      </c>
      <c r="C225" s="268">
        <v>61</v>
      </c>
      <c r="D225" s="268">
        <v>122.5</v>
      </c>
      <c r="E225" s="268">
        <v>10300</v>
      </c>
      <c r="F225" s="268">
        <v>0</v>
      </c>
      <c r="G225" s="108">
        <f>_xlfn.XLOOKUP(A225,Calculation!$A:$A,Calculation!$B:$B)</f>
        <v>10300</v>
      </c>
      <c r="H225" s="108"/>
    </row>
    <row r="226" spans="1:8">
      <c r="A226" t="s">
        <v>3925</v>
      </c>
      <c r="B226" s="268">
        <v>234</v>
      </c>
      <c r="C226" s="268">
        <v>173</v>
      </c>
      <c r="D226" s="268">
        <v>349</v>
      </c>
      <c r="E226" s="268">
        <v>24300</v>
      </c>
      <c r="F226" s="268">
        <v>0</v>
      </c>
      <c r="G226" s="108">
        <f>_xlfn.XLOOKUP(A226,Calculation!$A:$A,Calculation!$B:$B)</f>
        <v>24300</v>
      </c>
      <c r="H226" s="108"/>
    </row>
    <row r="227" spans="1:8">
      <c r="A227" t="s">
        <v>3919</v>
      </c>
      <c r="B227" s="268">
        <v>251</v>
      </c>
      <c r="C227" s="268">
        <v>168</v>
      </c>
      <c r="D227" s="268">
        <v>384</v>
      </c>
      <c r="E227" s="268">
        <v>27500</v>
      </c>
      <c r="F227" s="268">
        <v>0</v>
      </c>
      <c r="G227" s="108">
        <f>_xlfn.XLOOKUP(A227,Calculation!$A:$A,Calculation!$B:$B)</f>
        <v>27500</v>
      </c>
      <c r="H227" s="108"/>
    </row>
    <row r="228" spans="1:8">
      <c r="A228" t="s">
        <v>4991</v>
      </c>
      <c r="B228" s="268">
        <v>86.02</v>
      </c>
      <c r="C228" s="268">
        <v>36</v>
      </c>
      <c r="D228" s="268">
        <v>69.02000000000001</v>
      </c>
      <c r="E228" s="268">
        <v>3300</v>
      </c>
      <c r="F228" s="268">
        <v>0</v>
      </c>
      <c r="G228" s="108">
        <f>_xlfn.XLOOKUP(A228,Calculation!$A:$A,Calculation!$B:$B)</f>
        <v>3300</v>
      </c>
      <c r="H228" s="108"/>
    </row>
    <row r="229" spans="1:8">
      <c r="A229" t="s">
        <v>2800</v>
      </c>
      <c r="B229" s="268">
        <v>128.5</v>
      </c>
      <c r="C229" s="268">
        <v>169</v>
      </c>
      <c r="D229" s="268">
        <v>293.5</v>
      </c>
      <c r="E229" s="268">
        <v>27100</v>
      </c>
      <c r="F229" s="268">
        <v>0</v>
      </c>
      <c r="G229" s="108">
        <f>_xlfn.XLOOKUP(A229,Calculation!$A:$A,Calculation!$B:$B)</f>
        <v>27100</v>
      </c>
      <c r="H229" s="108"/>
    </row>
    <row r="230" spans="1:8">
      <c r="A230" t="s">
        <v>4998</v>
      </c>
      <c r="B230" s="268">
        <v>172.85</v>
      </c>
      <c r="C230" s="268">
        <v>126</v>
      </c>
      <c r="D230" s="268">
        <v>216.85000000000002</v>
      </c>
      <c r="E230" s="268">
        <v>18200</v>
      </c>
      <c r="F230" s="268">
        <v>0</v>
      </c>
      <c r="G230" s="108">
        <f>_xlfn.XLOOKUP(A230,Calculation!$A:$A,Calculation!$B:$B)</f>
        <v>18200</v>
      </c>
      <c r="H230" s="108"/>
    </row>
    <row r="231" spans="1:8">
      <c r="A231" t="s">
        <v>3135</v>
      </c>
      <c r="B231" s="268">
        <v>229.5</v>
      </c>
      <c r="C231" s="268">
        <v>198</v>
      </c>
      <c r="D231" s="268">
        <v>373.5</v>
      </c>
      <c r="E231" s="268">
        <v>18000</v>
      </c>
      <c r="F231" s="268">
        <v>0</v>
      </c>
      <c r="G231" s="108">
        <f>_xlfn.XLOOKUP(A231,Calculation!$A:$A,Calculation!$B:$B)</f>
        <v>18000</v>
      </c>
      <c r="H231" s="108"/>
    </row>
    <row r="232" spans="1:8">
      <c r="A232" t="s">
        <v>3734</v>
      </c>
      <c r="B232" s="268">
        <v>271</v>
      </c>
      <c r="C232" s="268">
        <v>339</v>
      </c>
      <c r="D232" s="268">
        <v>619.99999999999989</v>
      </c>
      <c r="E232" s="268">
        <v>54200</v>
      </c>
      <c r="F232" s="268">
        <v>0</v>
      </c>
      <c r="G232" s="108">
        <f>_xlfn.XLOOKUP(A232,Calculation!$A:$A,Calculation!$B:$B)</f>
        <v>54200</v>
      </c>
      <c r="H232" s="108"/>
    </row>
    <row r="233" spans="1:8">
      <c r="A233" t="s">
        <v>4788</v>
      </c>
      <c r="B233" s="268">
        <v>418.75</v>
      </c>
      <c r="C233" s="268">
        <v>346</v>
      </c>
      <c r="D233" s="268">
        <v>775.75</v>
      </c>
      <c r="E233" s="268">
        <v>48000</v>
      </c>
      <c r="F233" s="268">
        <v>0</v>
      </c>
      <c r="G233" s="108">
        <f>_xlfn.XLOOKUP(A233,Calculation!$A:$A,Calculation!$B:$B)</f>
        <v>48000</v>
      </c>
      <c r="H233" s="108"/>
    </row>
    <row r="234" spans="1:8">
      <c r="A234" t="s">
        <v>4894</v>
      </c>
      <c r="B234" s="268">
        <v>267.5</v>
      </c>
      <c r="C234" s="268">
        <v>167</v>
      </c>
      <c r="D234" s="268">
        <v>364.5</v>
      </c>
      <c r="E234" s="268">
        <v>29000</v>
      </c>
      <c r="F234" s="268">
        <v>0</v>
      </c>
      <c r="G234" s="108">
        <f>_xlfn.XLOOKUP(A234,Calculation!$A:$A,Calculation!$B:$B)</f>
        <v>29000</v>
      </c>
      <c r="H234" s="108"/>
    </row>
    <row r="235" spans="1:8">
      <c r="A235" t="s">
        <v>4684</v>
      </c>
      <c r="B235" s="268">
        <v>190.3</v>
      </c>
      <c r="C235" s="268">
        <v>168</v>
      </c>
      <c r="D235" s="268">
        <v>349.3</v>
      </c>
      <c r="E235" s="268">
        <v>25600</v>
      </c>
      <c r="F235" s="268">
        <v>0</v>
      </c>
      <c r="G235" s="108">
        <f>_xlfn.XLOOKUP(A235,Calculation!$A:$A,Calculation!$B:$B)</f>
        <v>25600</v>
      </c>
      <c r="H235" s="108"/>
    </row>
    <row r="236" spans="1:8">
      <c r="A236" t="s">
        <v>4883</v>
      </c>
      <c r="B236" s="268">
        <v>223</v>
      </c>
      <c r="C236" s="268">
        <v>146</v>
      </c>
      <c r="D236" s="268">
        <v>330</v>
      </c>
      <c r="E236" s="268">
        <v>22300</v>
      </c>
      <c r="F236" s="268">
        <v>0</v>
      </c>
      <c r="G236" s="108">
        <f>_xlfn.XLOOKUP(A236,Calculation!$A:$A,Calculation!$B:$B)</f>
        <v>22300</v>
      </c>
      <c r="H236" s="108"/>
    </row>
    <row r="237" spans="1:8">
      <c r="A237" t="s">
        <v>4345</v>
      </c>
      <c r="B237" s="268">
        <v>10</v>
      </c>
      <c r="C237" s="268">
        <v>32</v>
      </c>
      <c r="D237" s="268">
        <v>46</v>
      </c>
      <c r="E237" s="268">
        <v>42800</v>
      </c>
      <c r="F237" s="268">
        <v>0</v>
      </c>
      <c r="G237" s="108">
        <f>_xlfn.XLOOKUP(A237,Calculation!$A:$A,Calculation!$B:$B)</f>
        <v>42800</v>
      </c>
      <c r="H237" s="108"/>
    </row>
    <row r="238" spans="1:8">
      <c r="A238" t="s">
        <v>4773</v>
      </c>
      <c r="B238" s="268">
        <v>299</v>
      </c>
      <c r="C238" s="268">
        <v>252</v>
      </c>
      <c r="D238" s="268">
        <v>586</v>
      </c>
      <c r="E238" s="268">
        <v>47500</v>
      </c>
      <c r="F238" s="268">
        <v>0</v>
      </c>
      <c r="G238" s="108">
        <f>_xlfn.XLOOKUP(A238,Calculation!$A:$A,Calculation!$B:$B)</f>
        <v>47500</v>
      </c>
      <c r="H238" s="108"/>
    </row>
    <row r="239" spans="1:8">
      <c r="A239" t="s">
        <v>3073</v>
      </c>
      <c r="B239" s="268">
        <v>110.9</v>
      </c>
      <c r="C239" s="268">
        <v>97</v>
      </c>
      <c r="D239" s="268">
        <v>116.9</v>
      </c>
      <c r="E239" s="268">
        <v>12000</v>
      </c>
      <c r="F239" s="268">
        <v>0</v>
      </c>
      <c r="G239" s="108">
        <f>_xlfn.XLOOKUP(A239,Calculation!$A:$A,Calculation!$B:$B)</f>
        <v>12000</v>
      </c>
      <c r="H239" s="108"/>
    </row>
    <row r="240" spans="1:8">
      <c r="A240" t="s">
        <v>2742</v>
      </c>
      <c r="B240" s="268">
        <v>119.76</v>
      </c>
      <c r="C240" s="268">
        <v>101</v>
      </c>
      <c r="D240" s="268">
        <v>159.76</v>
      </c>
      <c r="E240" s="268">
        <v>10800</v>
      </c>
      <c r="F240" s="268">
        <v>0</v>
      </c>
      <c r="G240" s="108">
        <f>_xlfn.XLOOKUP(A240,Calculation!$A:$A,Calculation!$B:$B)</f>
        <v>10800</v>
      </c>
      <c r="H240" s="108"/>
    </row>
    <row r="241" spans="1:8">
      <c r="A241" t="s">
        <v>2748</v>
      </c>
      <c r="B241" s="268">
        <v>96</v>
      </c>
      <c r="C241" s="268">
        <v>100</v>
      </c>
      <c r="D241" s="268">
        <v>162</v>
      </c>
      <c r="E241" s="268">
        <v>10700</v>
      </c>
      <c r="F241" s="268">
        <v>0</v>
      </c>
      <c r="G241" s="108">
        <f>_xlfn.XLOOKUP(A241,Calculation!$A:$A,Calculation!$B:$B)</f>
        <v>10700</v>
      </c>
      <c r="H241" s="108"/>
    </row>
    <row r="242" spans="1:8">
      <c r="A242" t="s">
        <v>2770</v>
      </c>
      <c r="B242" s="268">
        <v>113.47</v>
      </c>
      <c r="C242" s="268">
        <v>97</v>
      </c>
      <c r="D242" s="268">
        <v>157.47</v>
      </c>
      <c r="E242" s="268">
        <v>10400</v>
      </c>
      <c r="F242" s="268">
        <v>0</v>
      </c>
      <c r="G242" s="108">
        <f>_xlfn.XLOOKUP(A242,Calculation!$A:$A,Calculation!$B:$B)</f>
        <v>10400</v>
      </c>
      <c r="H242" s="108"/>
    </row>
    <row r="243" spans="1:8">
      <c r="A243" t="s">
        <v>2756</v>
      </c>
      <c r="B243" s="268">
        <v>104.94</v>
      </c>
      <c r="C243" s="268">
        <v>106</v>
      </c>
      <c r="D243" s="268">
        <v>173.94</v>
      </c>
      <c r="E243" s="268">
        <v>10800</v>
      </c>
      <c r="F243" s="268">
        <v>0</v>
      </c>
      <c r="G243" s="108">
        <f>_xlfn.XLOOKUP(A243,Calculation!$A:$A,Calculation!$B:$B)</f>
        <v>10800</v>
      </c>
      <c r="H243" s="108"/>
    </row>
    <row r="244" spans="1:8">
      <c r="A244" t="s">
        <v>4620</v>
      </c>
      <c r="B244" s="268">
        <v>145.34</v>
      </c>
      <c r="C244" s="268">
        <v>179</v>
      </c>
      <c r="D244" s="268">
        <v>381.34000000000003</v>
      </c>
      <c r="E244" s="268">
        <v>52600</v>
      </c>
      <c r="F244" s="268">
        <v>0</v>
      </c>
      <c r="G244" s="108">
        <f>_xlfn.XLOOKUP(A244,Calculation!$A:$A,Calculation!$B:$B)</f>
        <v>52600</v>
      </c>
      <c r="H244" s="108"/>
    </row>
    <row r="245" spans="1:8">
      <c r="A245" t="s">
        <v>2763</v>
      </c>
      <c r="B245" s="268">
        <v>114.88</v>
      </c>
      <c r="C245" s="268">
        <v>107</v>
      </c>
      <c r="D245" s="268">
        <v>204.88000000000002</v>
      </c>
      <c r="E245" s="268">
        <v>10900</v>
      </c>
      <c r="F245" s="268">
        <v>0</v>
      </c>
      <c r="G245" s="108">
        <f>_xlfn.XLOOKUP(A245,Calculation!$A:$A,Calculation!$B:$B)</f>
        <v>10900</v>
      </c>
      <c r="H245" s="108"/>
    </row>
    <row r="246" spans="1:8">
      <c r="A246" t="s">
        <v>4632</v>
      </c>
      <c r="B246" s="268">
        <v>155.28</v>
      </c>
      <c r="C246" s="268">
        <v>179</v>
      </c>
      <c r="D246" s="268">
        <v>360.28</v>
      </c>
      <c r="E246" s="268">
        <v>52500</v>
      </c>
      <c r="F246" s="268">
        <v>0</v>
      </c>
      <c r="G246" s="108">
        <f>_xlfn.XLOOKUP(A246,Calculation!$A:$A,Calculation!$B:$B)</f>
        <v>52500</v>
      </c>
      <c r="H246" s="108"/>
    </row>
    <row r="247" spans="1:8">
      <c r="A247" t="s">
        <v>4627</v>
      </c>
      <c r="B247" s="268">
        <v>197.25</v>
      </c>
      <c r="C247" s="268">
        <v>209</v>
      </c>
      <c r="D247" s="268">
        <v>396.25</v>
      </c>
      <c r="E247" s="268">
        <v>52500</v>
      </c>
      <c r="F247" s="268">
        <v>0</v>
      </c>
      <c r="G247" s="108">
        <f>_xlfn.XLOOKUP(A247,Calculation!$A:$A,Calculation!$B:$B)</f>
        <v>52500</v>
      </c>
      <c r="H247" s="108"/>
    </row>
    <row r="248" spans="1:8">
      <c r="A248" t="s">
        <v>3368</v>
      </c>
      <c r="B248" s="268">
        <v>30</v>
      </c>
      <c r="C248" s="268">
        <v>20</v>
      </c>
      <c r="D248" s="268">
        <v>22</v>
      </c>
      <c r="E248" s="268">
        <v>46900</v>
      </c>
      <c r="F248" s="268">
        <v>0</v>
      </c>
      <c r="G248" s="108">
        <f>_xlfn.XLOOKUP(A248,Calculation!$A:$A,Calculation!$B:$B)</f>
        <v>46900</v>
      </c>
      <c r="H248" s="108"/>
    </row>
    <row r="249" spans="1:8">
      <c r="A249" t="s">
        <v>4846</v>
      </c>
      <c r="B249" s="268">
        <v>144.5</v>
      </c>
      <c r="C249" s="268">
        <v>95</v>
      </c>
      <c r="D249" s="268">
        <v>148.5</v>
      </c>
      <c r="E249" s="268">
        <v>11000</v>
      </c>
      <c r="F249" s="268">
        <v>0</v>
      </c>
      <c r="G249" s="108">
        <f>_xlfn.XLOOKUP(A249,Calculation!$A:$A,Calculation!$B:$B)</f>
        <v>11000</v>
      </c>
      <c r="H249" s="108"/>
    </row>
    <row r="250" spans="1:8">
      <c r="A250" t="s">
        <v>4890</v>
      </c>
      <c r="B250" s="268">
        <v>61.6</v>
      </c>
      <c r="C250" s="268">
        <v>64</v>
      </c>
      <c r="D250" s="268">
        <v>104.6</v>
      </c>
      <c r="E250" s="268">
        <v>12300</v>
      </c>
      <c r="F250" s="268">
        <v>0</v>
      </c>
      <c r="G250" s="108">
        <f>_xlfn.XLOOKUP(A250,Calculation!$A:$A,Calculation!$B:$B)</f>
        <v>12300</v>
      </c>
      <c r="H250" s="108"/>
    </row>
    <row r="251" spans="1:8">
      <c r="A251" t="s">
        <v>2669</v>
      </c>
      <c r="B251" s="268">
        <v>59.7</v>
      </c>
      <c r="C251" s="268">
        <v>56</v>
      </c>
      <c r="D251" s="268">
        <v>115.69999999999999</v>
      </c>
      <c r="E251" s="268">
        <v>5700</v>
      </c>
      <c r="F251" s="268">
        <v>0</v>
      </c>
      <c r="G251" s="108">
        <f>_xlfn.XLOOKUP(A251,Calculation!$A:$A,Calculation!$B:$B)</f>
        <v>5700</v>
      </c>
      <c r="H251" s="108"/>
    </row>
    <row r="252" spans="1:8">
      <c r="A252" t="s">
        <v>2677</v>
      </c>
      <c r="B252" s="268">
        <v>93.2</v>
      </c>
      <c r="C252" s="268">
        <v>78</v>
      </c>
      <c r="D252" s="268">
        <v>136.19999999999999</v>
      </c>
      <c r="E252" s="268">
        <v>5800</v>
      </c>
      <c r="F252" s="268">
        <v>0</v>
      </c>
      <c r="G252" s="108">
        <f>_xlfn.XLOOKUP(A252,Calculation!$A:$A,Calculation!$B:$B)</f>
        <v>5800</v>
      </c>
      <c r="H252" s="108"/>
    </row>
    <row r="253" spans="1:8">
      <c r="A253" t="s">
        <v>2684</v>
      </c>
      <c r="B253" s="268">
        <v>98</v>
      </c>
      <c r="C253" s="268">
        <v>71</v>
      </c>
      <c r="D253" s="268">
        <v>115</v>
      </c>
      <c r="E253" s="268">
        <v>5700</v>
      </c>
      <c r="F253" s="268">
        <v>0</v>
      </c>
      <c r="G253" s="108">
        <f>_xlfn.XLOOKUP(A253,Calculation!$A:$A,Calculation!$B:$B)</f>
        <v>5700</v>
      </c>
      <c r="H253" s="108"/>
    </row>
    <row r="254" spans="1:8">
      <c r="A254" t="s">
        <v>2690</v>
      </c>
      <c r="B254" s="268">
        <v>71.3</v>
      </c>
      <c r="C254" s="268">
        <v>72</v>
      </c>
      <c r="D254" s="268">
        <v>138.30000000000001</v>
      </c>
      <c r="E254" s="268">
        <v>5700</v>
      </c>
      <c r="F254" s="268">
        <v>0</v>
      </c>
      <c r="G254" s="108">
        <f>_xlfn.XLOOKUP(A254,Calculation!$A:$A,Calculation!$B:$B)</f>
        <v>5700</v>
      </c>
      <c r="H254" s="108"/>
    </row>
    <row r="255" spans="1:8">
      <c r="A255" t="s">
        <v>2698</v>
      </c>
      <c r="B255" s="268">
        <v>67.800000000000011</v>
      </c>
      <c r="C255" s="268">
        <v>53</v>
      </c>
      <c r="D255" s="268">
        <v>76.800000000000011</v>
      </c>
      <c r="E255" s="268">
        <v>4200</v>
      </c>
      <c r="F255" s="268">
        <v>0</v>
      </c>
      <c r="G255" s="108">
        <f>_xlfn.XLOOKUP(A255,Calculation!$A:$A,Calculation!$B:$B)</f>
        <v>4200</v>
      </c>
      <c r="H255" s="108"/>
    </row>
    <row r="256" spans="1:8">
      <c r="A256" t="s">
        <v>3414</v>
      </c>
      <c r="B256" s="268">
        <v>40</v>
      </c>
      <c r="C256" s="268">
        <v>40</v>
      </c>
      <c r="D256" s="268">
        <v>53</v>
      </c>
      <c r="E256" s="268">
        <v>1600</v>
      </c>
      <c r="F256" s="268">
        <v>0</v>
      </c>
      <c r="G256" s="108">
        <f>_xlfn.XLOOKUP(A256,Calculation!$A:$A,Calculation!$B:$B)</f>
        <v>1600</v>
      </c>
      <c r="H256" s="108"/>
    </row>
    <row r="257" spans="1:9">
      <c r="A257" t="s">
        <v>3819</v>
      </c>
      <c r="B257" s="268">
        <v>294.8</v>
      </c>
      <c r="C257" s="268">
        <v>230</v>
      </c>
      <c r="D257" s="268">
        <v>412.80000000000007</v>
      </c>
      <c r="E257" s="268">
        <v>15200</v>
      </c>
      <c r="F257" s="268">
        <v>0</v>
      </c>
      <c r="G257" s="108">
        <f>_xlfn.XLOOKUP(A257,Calculation!$A:$A,Calculation!$B:$B)</f>
        <v>15200</v>
      </c>
      <c r="H257" s="108"/>
    </row>
    <row r="258" spans="1:9">
      <c r="A258" t="s">
        <v>3823</v>
      </c>
      <c r="B258" s="268">
        <v>265.5</v>
      </c>
      <c r="C258" s="268">
        <v>216</v>
      </c>
      <c r="D258" s="268">
        <v>426.5</v>
      </c>
      <c r="E258" s="268">
        <v>15200</v>
      </c>
      <c r="F258" s="268">
        <v>0</v>
      </c>
      <c r="G258" s="108">
        <f>_xlfn.XLOOKUP(A258,Calculation!$A:$A,Calculation!$B:$B)</f>
        <v>15200</v>
      </c>
      <c r="H258" s="108"/>
    </row>
    <row r="259" spans="1:9">
      <c r="A259" t="s">
        <v>3829</v>
      </c>
      <c r="B259" s="268">
        <v>243</v>
      </c>
      <c r="C259" s="268">
        <v>209</v>
      </c>
      <c r="D259" s="268">
        <v>391</v>
      </c>
      <c r="E259" s="268">
        <v>15000</v>
      </c>
      <c r="F259" s="268">
        <v>0</v>
      </c>
      <c r="G259" s="108">
        <f>_xlfn.XLOOKUP(A259,Calculation!$A:$A,Calculation!$B:$B)</f>
        <v>15000</v>
      </c>
      <c r="H259" s="108"/>
    </row>
    <row r="260" spans="1:9">
      <c r="A260" t="s">
        <v>3298</v>
      </c>
      <c r="B260" s="268">
        <v>94</v>
      </c>
      <c r="C260" s="268">
        <v>127</v>
      </c>
      <c r="D260" s="268">
        <v>218</v>
      </c>
      <c r="E260" s="268">
        <v>20100</v>
      </c>
      <c r="F260" s="268">
        <v>0</v>
      </c>
      <c r="G260" s="108">
        <f>_xlfn.XLOOKUP(A260,Calculation!$A:$A,Calculation!$B:$B)</f>
        <v>20100</v>
      </c>
      <c r="H260" s="108"/>
    </row>
    <row r="261" spans="1:9">
      <c r="A261" t="s">
        <v>4253</v>
      </c>
      <c r="B261" s="268">
        <v>439.5</v>
      </c>
      <c r="C261" s="268">
        <v>623</v>
      </c>
      <c r="D261" s="268">
        <v>1115.5</v>
      </c>
      <c r="E261" s="268">
        <v>90000</v>
      </c>
      <c r="F261" s="268">
        <v>0</v>
      </c>
      <c r="G261" s="108">
        <f>_xlfn.XLOOKUP(A261,Calculation!$A:$A,Calculation!$B:$B)</f>
        <v>90000</v>
      </c>
      <c r="H261" s="108"/>
    </row>
    <row r="262" spans="1:9">
      <c r="A262" t="s">
        <v>3290</v>
      </c>
      <c r="B262" s="268">
        <v>67.3</v>
      </c>
      <c r="C262" s="268">
        <v>127</v>
      </c>
      <c r="D262" s="268">
        <v>278.29999999999995</v>
      </c>
      <c r="E262" s="268">
        <v>19100</v>
      </c>
      <c r="F262" s="268">
        <v>0</v>
      </c>
      <c r="G262" s="108">
        <f>_xlfn.XLOOKUP(A262,Calculation!$A:$A,Calculation!$B:$B)</f>
        <v>19100</v>
      </c>
      <c r="H262" s="108"/>
      <c r="I262" s="425"/>
    </row>
    <row r="263" spans="1:9">
      <c r="A263" t="s">
        <v>3284</v>
      </c>
      <c r="B263" s="268">
        <v>165.2</v>
      </c>
      <c r="C263" s="268">
        <v>188</v>
      </c>
      <c r="D263" s="268">
        <v>285.2</v>
      </c>
      <c r="E263" s="268">
        <v>19400</v>
      </c>
      <c r="F263" s="268">
        <v>0</v>
      </c>
      <c r="G263" s="108">
        <f>_xlfn.XLOOKUP(A263,Calculation!$A:$A,Calculation!$B:$B)</f>
        <v>19400</v>
      </c>
      <c r="H263" s="108"/>
    </row>
    <row r="264" spans="1:9">
      <c r="A264" t="s">
        <v>3347</v>
      </c>
      <c r="B264" s="268">
        <v>578</v>
      </c>
      <c r="C264" s="268">
        <v>622</v>
      </c>
      <c r="D264" s="268">
        <v>1158</v>
      </c>
      <c r="E264" s="268">
        <v>100300</v>
      </c>
      <c r="F264" s="268">
        <v>0</v>
      </c>
      <c r="G264" s="108">
        <f>_xlfn.XLOOKUP(A264,Calculation!$A:$A,Calculation!$B:$B)</f>
        <v>100300</v>
      </c>
      <c r="H264" s="108"/>
    </row>
    <row r="265" spans="1:9">
      <c r="A265" t="s">
        <v>4836</v>
      </c>
      <c r="B265" s="268">
        <v>903.2</v>
      </c>
      <c r="C265" s="268">
        <v>972</v>
      </c>
      <c r="D265" s="268">
        <v>1915.1999999999998</v>
      </c>
      <c r="E265" s="268">
        <v>178400</v>
      </c>
      <c r="F265" s="268">
        <v>0</v>
      </c>
      <c r="G265" s="108">
        <f>_xlfn.XLOOKUP(A265,Calculation!$A:$A,Calculation!$B:$B)</f>
        <v>178400</v>
      </c>
      <c r="H265" s="108"/>
    </row>
    <row r="266" spans="1:9">
      <c r="A266" t="s">
        <v>3575</v>
      </c>
      <c r="B266" s="268">
        <v>45</v>
      </c>
      <c r="C266" s="268">
        <v>63</v>
      </c>
      <c r="D266" s="268">
        <v>118</v>
      </c>
      <c r="E266" s="268">
        <v>9200</v>
      </c>
      <c r="F266" s="268">
        <v>0</v>
      </c>
      <c r="G266" s="108">
        <f>_xlfn.XLOOKUP(A266,Calculation!$A:$A,Calculation!$B:$B)</f>
        <v>9200</v>
      </c>
      <c r="H266" s="108"/>
    </row>
    <row r="267" spans="1:9">
      <c r="A267" t="s">
        <v>3580</v>
      </c>
      <c r="B267" s="268">
        <v>181</v>
      </c>
      <c r="C267" s="268">
        <v>180</v>
      </c>
      <c r="D267" s="268">
        <v>345</v>
      </c>
      <c r="E267" s="268">
        <v>40800</v>
      </c>
      <c r="F267" s="268">
        <v>0</v>
      </c>
      <c r="G267" s="108">
        <f>_xlfn.XLOOKUP(A267,Calculation!$A:$A,Calculation!$B:$B)</f>
        <v>40800</v>
      </c>
      <c r="H267" s="108"/>
    </row>
    <row r="268" spans="1:9">
      <c r="A268" t="s">
        <v>4376</v>
      </c>
      <c r="B268" s="268">
        <v>237</v>
      </c>
      <c r="C268" s="268">
        <v>263</v>
      </c>
      <c r="D268" s="268">
        <v>460</v>
      </c>
      <c r="E268" s="268">
        <v>49000</v>
      </c>
      <c r="F268" s="268">
        <v>0</v>
      </c>
      <c r="G268" s="108">
        <f>_xlfn.XLOOKUP(A268,Calculation!$A:$A,Calculation!$B:$B)</f>
        <v>49000</v>
      </c>
      <c r="H268" s="108"/>
    </row>
    <row r="269" spans="1:9">
      <c r="A269" t="s">
        <v>3583</v>
      </c>
      <c r="B269" s="268">
        <v>105.2</v>
      </c>
      <c r="C269" s="268">
        <v>149</v>
      </c>
      <c r="D269" s="268">
        <v>256.20000000000005</v>
      </c>
      <c r="E269" s="268">
        <v>24300</v>
      </c>
      <c r="F269" s="268">
        <v>0</v>
      </c>
      <c r="G269" s="108">
        <f>_xlfn.XLOOKUP(A269,Calculation!$A:$A,Calculation!$B:$B)</f>
        <v>24300</v>
      </c>
      <c r="H269" s="108"/>
    </row>
    <row r="270" spans="1:9">
      <c r="A270" t="s">
        <v>5133</v>
      </c>
      <c r="B270" s="268">
        <v>160</v>
      </c>
      <c r="C270" s="268">
        <v>130</v>
      </c>
      <c r="D270" s="268">
        <v>259</v>
      </c>
      <c r="E270" s="268">
        <v>23500</v>
      </c>
      <c r="F270" s="268">
        <v>0</v>
      </c>
      <c r="G270" s="108">
        <f>_xlfn.XLOOKUP(A270,Calculation!$A:$A,Calculation!$B:$B)</f>
        <v>23500</v>
      </c>
      <c r="H270" s="108"/>
    </row>
    <row r="271" spans="1:9">
      <c r="A271" t="s">
        <v>3592</v>
      </c>
      <c r="B271" s="268">
        <v>186</v>
      </c>
      <c r="C271" s="268">
        <v>175</v>
      </c>
      <c r="D271" s="268">
        <v>358</v>
      </c>
      <c r="E271" s="268">
        <v>31700</v>
      </c>
      <c r="F271" s="268">
        <v>0</v>
      </c>
      <c r="G271" s="108">
        <f>_xlfn.XLOOKUP(A271,Calculation!$A:$A,Calculation!$B:$B)</f>
        <v>31700</v>
      </c>
      <c r="H271" s="108"/>
    </row>
    <row r="272" spans="1:9">
      <c r="A272" t="s">
        <v>3596</v>
      </c>
      <c r="B272" s="268">
        <v>49.5</v>
      </c>
      <c r="C272" s="268">
        <v>58</v>
      </c>
      <c r="D272" s="268">
        <v>144.5</v>
      </c>
      <c r="E272" s="268">
        <v>9200</v>
      </c>
      <c r="F272" s="268">
        <v>0</v>
      </c>
      <c r="G272" s="108">
        <f>_xlfn.XLOOKUP(A272,Calculation!$A:$A,Calculation!$B:$B)</f>
        <v>9200</v>
      </c>
      <c r="H272" s="108"/>
    </row>
    <row r="273" spans="1:8">
      <c r="A273" t="s">
        <v>3729</v>
      </c>
      <c r="B273" s="268">
        <v>63</v>
      </c>
      <c r="C273" s="268">
        <v>51</v>
      </c>
      <c r="D273" s="268">
        <v>130</v>
      </c>
      <c r="E273" s="268">
        <v>8100</v>
      </c>
      <c r="F273" s="268">
        <v>0</v>
      </c>
      <c r="G273" s="108">
        <f>_xlfn.XLOOKUP(A273,Calculation!$A:$A,Calculation!$B:$B)</f>
        <v>8100</v>
      </c>
      <c r="H273" s="108"/>
    </row>
    <row r="274" spans="1:8">
      <c r="A274" t="s">
        <v>3601</v>
      </c>
      <c r="B274" s="268">
        <v>45</v>
      </c>
      <c r="C274" s="268">
        <v>50</v>
      </c>
      <c r="D274" s="268">
        <v>97</v>
      </c>
      <c r="E274" s="268">
        <v>7900</v>
      </c>
      <c r="F274" s="268">
        <v>0</v>
      </c>
      <c r="G274" s="108">
        <f>_xlfn.XLOOKUP(A274,Calculation!$A:$A,Calculation!$B:$B)</f>
        <v>7900</v>
      </c>
      <c r="H274" s="108"/>
    </row>
    <row r="275" spans="1:8">
      <c r="A275" t="s">
        <v>3586</v>
      </c>
      <c r="B275" s="268">
        <v>46</v>
      </c>
      <c r="C275" s="268">
        <v>63</v>
      </c>
      <c r="D275" s="268">
        <v>108</v>
      </c>
      <c r="E275" s="268">
        <v>8200</v>
      </c>
      <c r="F275" s="268">
        <v>0</v>
      </c>
      <c r="G275" s="108">
        <f>_xlfn.XLOOKUP(A275,Calculation!$A:$A,Calculation!$B:$B)</f>
        <v>8200</v>
      </c>
      <c r="H275" s="108"/>
    </row>
    <row r="276" spans="1:8">
      <c r="A276" t="s">
        <v>4401</v>
      </c>
      <c r="B276" s="268">
        <v>110</v>
      </c>
      <c r="C276" s="268">
        <v>100</v>
      </c>
      <c r="D276" s="268">
        <v>208</v>
      </c>
      <c r="E276" s="268">
        <v>8400</v>
      </c>
      <c r="F276" s="268">
        <v>0</v>
      </c>
      <c r="G276" s="108">
        <f>_xlfn.XLOOKUP(A276,Calculation!$A:$A,Calculation!$B:$B)</f>
        <v>8400</v>
      </c>
      <c r="H276" s="108"/>
    </row>
    <row r="277" spans="1:8">
      <c r="A277" t="s">
        <v>4419</v>
      </c>
      <c r="B277" s="268">
        <v>159</v>
      </c>
      <c r="C277" s="268">
        <v>211</v>
      </c>
      <c r="D277" s="268">
        <v>385</v>
      </c>
      <c r="E277" s="268">
        <v>20500</v>
      </c>
      <c r="F277" s="268">
        <v>0</v>
      </c>
      <c r="G277" s="108">
        <f>_xlfn.XLOOKUP(A277,Calculation!$A:$A,Calculation!$B:$B)</f>
        <v>20500</v>
      </c>
      <c r="H277" s="108"/>
    </row>
    <row r="278" spans="1:8">
      <c r="A278" t="s">
        <v>4410</v>
      </c>
      <c r="B278" s="268">
        <v>105</v>
      </c>
      <c r="C278" s="268">
        <v>140</v>
      </c>
      <c r="D278" s="268">
        <v>268</v>
      </c>
      <c r="E278" s="268">
        <v>11800</v>
      </c>
      <c r="F278" s="268">
        <v>0</v>
      </c>
      <c r="G278" s="108">
        <f>_xlfn.XLOOKUP(A278,Calculation!$A:$A,Calculation!$B:$B)</f>
        <v>11800</v>
      </c>
      <c r="H278" s="108"/>
    </row>
    <row r="279" spans="1:8">
      <c r="A279" t="s">
        <v>4384</v>
      </c>
      <c r="B279" s="268">
        <v>60.400000000000006</v>
      </c>
      <c r="C279" s="268">
        <v>40</v>
      </c>
      <c r="D279" s="268">
        <v>70.400000000000006</v>
      </c>
      <c r="E279" s="268">
        <v>4200</v>
      </c>
      <c r="F279" s="268">
        <v>0</v>
      </c>
      <c r="G279" s="108">
        <f>_xlfn.XLOOKUP(A279,Calculation!$A:$A,Calculation!$B:$B)</f>
        <v>4200</v>
      </c>
      <c r="H279" s="108"/>
    </row>
    <row r="280" spans="1:8">
      <c r="A280" t="s">
        <v>3779</v>
      </c>
      <c r="B280" s="268">
        <v>659</v>
      </c>
      <c r="C280" s="268">
        <v>504</v>
      </c>
      <c r="D280" s="268">
        <v>1192</v>
      </c>
      <c r="E280" s="268">
        <v>101700</v>
      </c>
      <c r="F280" s="268">
        <v>0</v>
      </c>
      <c r="G280" s="108">
        <f>_xlfn.XLOOKUP(A280,Calculation!$A:$A,Calculation!$B:$B)</f>
        <v>101700</v>
      </c>
      <c r="H280" s="108"/>
    </row>
    <row r="281" spans="1:8">
      <c r="A281" t="s">
        <v>3784</v>
      </c>
      <c r="B281" s="268">
        <v>645</v>
      </c>
      <c r="C281" s="268">
        <v>498</v>
      </c>
      <c r="D281" s="268">
        <v>1074</v>
      </c>
      <c r="E281" s="268">
        <v>101500</v>
      </c>
      <c r="F281" s="268">
        <v>0</v>
      </c>
      <c r="G281" s="108">
        <f>_xlfn.XLOOKUP(A281,Calculation!$A:$A,Calculation!$B:$B)</f>
        <v>101500</v>
      </c>
      <c r="H281" s="108"/>
    </row>
    <row r="282" spans="1:8">
      <c r="A282" t="s">
        <v>3791</v>
      </c>
      <c r="B282" s="268">
        <v>158</v>
      </c>
      <c r="C282" s="268">
        <v>130</v>
      </c>
      <c r="D282" s="268">
        <v>265</v>
      </c>
      <c r="E282" s="268">
        <v>20400</v>
      </c>
      <c r="F282" s="268">
        <v>0</v>
      </c>
      <c r="G282" s="108">
        <f>_xlfn.XLOOKUP(A282,Calculation!$A:$A,Calculation!$B:$B)</f>
        <v>20400</v>
      </c>
      <c r="H282" s="108"/>
    </row>
    <row r="283" spans="1:8">
      <c r="A283" t="s">
        <v>4391</v>
      </c>
      <c r="B283" s="268">
        <v>102</v>
      </c>
      <c r="C283" s="268">
        <v>75</v>
      </c>
      <c r="D283" s="268">
        <v>137</v>
      </c>
      <c r="E283" s="268">
        <v>16300</v>
      </c>
      <c r="F283" s="268">
        <v>0</v>
      </c>
      <c r="G283" s="108">
        <f>_xlfn.XLOOKUP(A283,Calculation!$A:$A,Calculation!$B:$B)</f>
        <v>16300</v>
      </c>
      <c r="H283" s="108"/>
    </row>
    <row r="284" spans="1:8">
      <c r="A284" t="s">
        <v>4518</v>
      </c>
      <c r="B284" s="268">
        <v>139</v>
      </c>
      <c r="C284" s="268">
        <v>133</v>
      </c>
      <c r="D284" s="268">
        <v>279</v>
      </c>
      <c r="E284" s="268">
        <v>9200</v>
      </c>
      <c r="F284" s="268">
        <v>0</v>
      </c>
      <c r="G284" s="108">
        <f>_xlfn.XLOOKUP(A284,Calculation!$A:$A,Calculation!$B:$B)</f>
        <v>9200</v>
      </c>
      <c r="H284" s="108"/>
    </row>
    <row r="285" spans="1:8">
      <c r="A285" t="s">
        <v>3540</v>
      </c>
      <c r="B285" s="268">
        <v>20</v>
      </c>
      <c r="C285" s="268">
        <v>31</v>
      </c>
      <c r="D285" s="268">
        <v>24</v>
      </c>
      <c r="E285" s="268">
        <v>1100</v>
      </c>
      <c r="F285" s="268">
        <v>0</v>
      </c>
      <c r="G285" s="108">
        <f>_xlfn.XLOOKUP(A285,Calculation!$A:$A,Calculation!$B:$B)</f>
        <v>1100</v>
      </c>
      <c r="H285" s="108"/>
    </row>
    <row r="286" spans="1:8">
      <c r="A286" t="s">
        <v>3467</v>
      </c>
      <c r="B286" s="268">
        <v>2999.7</v>
      </c>
      <c r="C286" s="268">
        <v>3885</v>
      </c>
      <c r="D286" s="268">
        <v>7992.7</v>
      </c>
      <c r="E286" s="268">
        <v>552200</v>
      </c>
      <c r="F286" s="268">
        <v>0</v>
      </c>
      <c r="G286" s="108">
        <f>_xlfn.XLOOKUP(A286,Calculation!$A:$A,Calculation!$B:$B)</f>
        <v>552200</v>
      </c>
      <c r="H286" s="108"/>
    </row>
    <row r="287" spans="1:8">
      <c r="A287" t="s">
        <v>4525</v>
      </c>
      <c r="B287" s="268">
        <v>2225.5</v>
      </c>
      <c r="C287" s="268">
        <v>2585</v>
      </c>
      <c r="D287" s="268">
        <v>5098.5</v>
      </c>
      <c r="E287" s="268">
        <v>367300</v>
      </c>
      <c r="F287" s="268">
        <v>0</v>
      </c>
      <c r="G287" s="108">
        <f>_xlfn.XLOOKUP(A287,Calculation!$A:$A,Calculation!$B:$B)</f>
        <v>367300</v>
      </c>
      <c r="H287" s="108"/>
    </row>
    <row r="288" spans="1:8">
      <c r="A288" t="s">
        <v>4598</v>
      </c>
      <c r="B288" s="268">
        <v>183.88</v>
      </c>
      <c r="C288" s="268">
        <v>213</v>
      </c>
      <c r="D288" s="268">
        <v>345.88</v>
      </c>
      <c r="E288" s="268">
        <v>41700</v>
      </c>
      <c r="F288" s="268">
        <v>0</v>
      </c>
      <c r="G288" s="108">
        <f>_xlfn.XLOOKUP(A288,Calculation!$A:$A,Calculation!$B:$B)</f>
        <v>41700</v>
      </c>
      <c r="H288" s="108"/>
    </row>
    <row r="289" spans="1:8">
      <c r="A289" t="s">
        <v>4589</v>
      </c>
      <c r="B289" s="268">
        <v>225.76000000000002</v>
      </c>
      <c r="C289" s="268">
        <v>247</v>
      </c>
      <c r="D289" s="268">
        <v>459.76</v>
      </c>
      <c r="E289" s="268">
        <v>41400</v>
      </c>
      <c r="F289" s="268">
        <v>0</v>
      </c>
      <c r="G289" s="108">
        <f>_xlfn.XLOOKUP(A289,Calculation!$A:$A,Calculation!$B:$B)</f>
        <v>41400</v>
      </c>
      <c r="H289" s="108"/>
    </row>
    <row r="290" spans="1:8">
      <c r="A290" t="s">
        <v>4581</v>
      </c>
      <c r="B290" s="268">
        <v>277.95999999999998</v>
      </c>
      <c r="C290" s="268">
        <v>247</v>
      </c>
      <c r="D290" s="268">
        <v>454.96</v>
      </c>
      <c r="E290" s="268">
        <v>41400</v>
      </c>
      <c r="F290" s="268">
        <v>0</v>
      </c>
      <c r="G290" s="108">
        <f>_xlfn.XLOOKUP(A290,Calculation!$A:$A,Calculation!$B:$B)</f>
        <v>41400</v>
      </c>
      <c r="H290" s="108"/>
    </row>
    <row r="291" spans="1:8">
      <c r="A291" t="s">
        <v>3086</v>
      </c>
      <c r="B291" s="268">
        <v>150</v>
      </c>
      <c r="C291" s="268">
        <v>174</v>
      </c>
      <c r="D291" s="268">
        <v>312</v>
      </c>
      <c r="E291" s="268">
        <v>22600</v>
      </c>
      <c r="F291" s="268">
        <v>0</v>
      </c>
      <c r="G291" s="108">
        <f>_xlfn.XLOOKUP(A291,Calculation!$A:$A,Calculation!$B:$B)</f>
        <v>22600</v>
      </c>
      <c r="H291" s="108"/>
    </row>
    <row r="292" spans="1:8">
      <c r="A292" t="s">
        <v>2834</v>
      </c>
      <c r="B292" s="268">
        <v>242</v>
      </c>
      <c r="C292" s="268">
        <v>298</v>
      </c>
      <c r="D292" s="268">
        <v>536</v>
      </c>
      <c r="E292" s="268">
        <v>33900</v>
      </c>
      <c r="F292" s="268">
        <v>0</v>
      </c>
      <c r="G292" s="108">
        <f>_xlfn.XLOOKUP(A292,Calculation!$A:$A,Calculation!$B:$B)</f>
        <v>33900</v>
      </c>
      <c r="H292" s="108"/>
    </row>
    <row r="293" spans="1:8">
      <c r="A293" t="s">
        <v>4829</v>
      </c>
      <c r="B293" s="268">
        <v>250.2</v>
      </c>
      <c r="C293" s="268">
        <v>260</v>
      </c>
      <c r="D293" s="268">
        <v>475.2</v>
      </c>
      <c r="E293" s="268">
        <v>33800</v>
      </c>
      <c r="F293" s="268">
        <v>0</v>
      </c>
      <c r="G293" s="108">
        <f>_xlfn.XLOOKUP(A293,Calculation!$A:$A,Calculation!$B:$B)</f>
        <v>33800</v>
      </c>
      <c r="H293" s="108"/>
    </row>
    <row r="294" spans="1:8">
      <c r="A294" t="s">
        <v>4241</v>
      </c>
      <c r="B294" s="268">
        <v>18.329999999999998</v>
      </c>
      <c r="C294" s="268">
        <v>107</v>
      </c>
      <c r="D294" s="268">
        <v>156.32999999999998</v>
      </c>
      <c r="E294" s="268">
        <v>72300</v>
      </c>
      <c r="F294" s="268">
        <v>0</v>
      </c>
      <c r="G294" s="108">
        <f>_xlfn.XLOOKUP(A294,Calculation!$A:$A,Calculation!$B:$B)</f>
        <v>72300</v>
      </c>
      <c r="H294" s="108"/>
    </row>
    <row r="295" spans="1:8">
      <c r="A295" t="s">
        <v>2584</v>
      </c>
      <c r="B295" s="268">
        <v>43.93</v>
      </c>
      <c r="C295" s="268">
        <v>46</v>
      </c>
      <c r="D295" s="268">
        <v>73.929999999999993</v>
      </c>
      <c r="E295" s="268">
        <v>2600</v>
      </c>
      <c r="F295" s="268">
        <v>0</v>
      </c>
      <c r="G295" s="108">
        <f>_xlfn.XLOOKUP(A295,Calculation!$A:$A,Calculation!$B:$B)</f>
        <v>2600</v>
      </c>
      <c r="H295" s="108"/>
    </row>
    <row r="296" spans="1:8">
      <c r="A296" t="s">
        <v>3895</v>
      </c>
      <c r="B296" s="268">
        <v>103</v>
      </c>
      <c r="C296" s="268">
        <v>105</v>
      </c>
      <c r="D296" s="268">
        <v>215</v>
      </c>
      <c r="E296" s="268">
        <v>18900</v>
      </c>
      <c r="F296" s="268">
        <v>0</v>
      </c>
      <c r="G296" s="108">
        <f>_xlfn.XLOOKUP(A296,Calculation!$A:$A,Calculation!$B:$B)</f>
        <v>18900</v>
      </c>
      <c r="H296" s="108"/>
    </row>
    <row r="297" spans="1:8">
      <c r="A297" t="s">
        <v>3533</v>
      </c>
      <c r="B297" s="268">
        <v>151</v>
      </c>
      <c r="C297" s="268">
        <v>177</v>
      </c>
      <c r="D297" s="268">
        <v>327.5</v>
      </c>
      <c r="E297" s="268">
        <v>37000</v>
      </c>
      <c r="F297" s="268">
        <v>0</v>
      </c>
      <c r="G297" s="108">
        <f>_xlfn.XLOOKUP(A297,Calculation!$A:$A,Calculation!$B:$B)</f>
        <v>37000</v>
      </c>
      <c r="H297" s="108"/>
    </row>
    <row r="298" spans="1:8">
      <c r="A298" t="s">
        <v>3420</v>
      </c>
      <c r="B298" s="268">
        <v>420.5</v>
      </c>
      <c r="C298" s="268">
        <v>563</v>
      </c>
      <c r="D298" s="268">
        <v>963.49999999999989</v>
      </c>
      <c r="E298" s="268">
        <v>98100</v>
      </c>
      <c r="F298" s="268">
        <v>0</v>
      </c>
      <c r="G298" s="108">
        <f>_xlfn.XLOOKUP(A298,Calculation!$A:$A,Calculation!$B:$B)</f>
        <v>98100</v>
      </c>
      <c r="H298" s="108"/>
    </row>
    <row r="299" spans="1:8">
      <c r="A299" t="s">
        <v>3447</v>
      </c>
      <c r="B299" s="268">
        <v>70.989999999999995</v>
      </c>
      <c r="C299" s="268">
        <v>89</v>
      </c>
      <c r="D299" s="268">
        <v>166.98999999999998</v>
      </c>
      <c r="E299" s="268">
        <v>12800</v>
      </c>
      <c r="F299" s="268">
        <v>0</v>
      </c>
      <c r="G299" s="108">
        <f>_xlfn.XLOOKUP(A299,Calculation!$A:$A,Calculation!$B:$B)</f>
        <v>12800</v>
      </c>
      <c r="H299" s="108"/>
    </row>
    <row r="300" spans="1:8">
      <c r="A300" t="s">
        <v>3462</v>
      </c>
      <c r="B300" s="268">
        <v>44.13</v>
      </c>
      <c r="C300" s="268">
        <v>67</v>
      </c>
      <c r="D300" s="268">
        <v>112.12999999999998</v>
      </c>
      <c r="E300" s="268">
        <v>12800</v>
      </c>
      <c r="F300" s="268">
        <v>0</v>
      </c>
      <c r="G300" s="108">
        <f>_xlfn.XLOOKUP(A300,Calculation!$A:$A,Calculation!$B:$B)</f>
        <v>12800</v>
      </c>
      <c r="H300" s="108"/>
    </row>
    <row r="301" spans="1:8">
      <c r="A301" t="s">
        <v>3492</v>
      </c>
      <c r="B301" s="268">
        <v>99.32</v>
      </c>
      <c r="C301" s="268">
        <v>88</v>
      </c>
      <c r="D301" s="268">
        <v>150.32000000000002</v>
      </c>
      <c r="E301" s="268">
        <v>12800</v>
      </c>
      <c r="F301" s="268">
        <v>0</v>
      </c>
      <c r="G301" s="108">
        <f>_xlfn.XLOOKUP(A301,Calculation!$A:$A,Calculation!$B:$B)</f>
        <v>12800</v>
      </c>
      <c r="H301" s="108"/>
    </row>
    <row r="302" spans="1:8">
      <c r="A302" t="s">
        <v>3434</v>
      </c>
      <c r="B302" s="268">
        <v>125.78</v>
      </c>
      <c r="C302" s="268">
        <v>130</v>
      </c>
      <c r="D302" s="268">
        <v>255.78</v>
      </c>
      <c r="E302" s="268">
        <v>25000</v>
      </c>
      <c r="F302" s="268">
        <v>0</v>
      </c>
      <c r="G302" s="108">
        <f>_xlfn.XLOOKUP(A302,Calculation!$A:$A,Calculation!$B:$B)</f>
        <v>25000</v>
      </c>
      <c r="H302" s="108"/>
    </row>
    <row r="303" spans="1:8">
      <c r="A303" t="s">
        <v>4468</v>
      </c>
      <c r="B303" s="268">
        <v>166.55</v>
      </c>
      <c r="C303" s="268">
        <v>173</v>
      </c>
      <c r="D303" s="268">
        <v>342.54999999999995</v>
      </c>
      <c r="E303" s="268">
        <v>26000</v>
      </c>
      <c r="F303" s="268">
        <v>0</v>
      </c>
      <c r="G303" s="108">
        <f>_xlfn.XLOOKUP(A303,Calculation!$A:$A,Calculation!$B:$B)</f>
        <v>26000</v>
      </c>
      <c r="H303" s="108"/>
    </row>
    <row r="304" spans="1:8">
      <c r="A304" t="s">
        <v>3499</v>
      </c>
      <c r="B304" s="268">
        <v>138.25</v>
      </c>
      <c r="C304" s="268">
        <v>151</v>
      </c>
      <c r="D304" s="268">
        <v>286.25</v>
      </c>
      <c r="E304" s="268">
        <v>24900</v>
      </c>
      <c r="F304" s="268">
        <v>0</v>
      </c>
      <c r="G304" s="108">
        <f>_xlfn.XLOOKUP(A304,Calculation!$A:$A,Calculation!$B:$B)</f>
        <v>24900</v>
      </c>
      <c r="H304" s="108"/>
    </row>
    <row r="305" spans="1:8">
      <c r="A305" t="s">
        <v>3441</v>
      </c>
      <c r="B305" s="268">
        <v>131.22</v>
      </c>
      <c r="C305" s="268">
        <v>130</v>
      </c>
      <c r="D305" s="268">
        <v>260.22000000000003</v>
      </c>
      <c r="E305" s="268">
        <v>24900</v>
      </c>
      <c r="F305" s="268">
        <v>0</v>
      </c>
      <c r="G305" s="108">
        <f>_xlfn.XLOOKUP(A305,Calculation!$A:$A,Calculation!$B:$B)</f>
        <v>24900</v>
      </c>
      <c r="H305" s="108"/>
    </row>
    <row r="306" spans="1:8">
      <c r="A306" t="s">
        <v>3455</v>
      </c>
      <c r="B306" s="268">
        <v>132.88</v>
      </c>
      <c r="C306" s="268">
        <v>175</v>
      </c>
      <c r="D306" s="268">
        <v>331.88</v>
      </c>
      <c r="E306" s="268">
        <v>33600</v>
      </c>
      <c r="F306" s="268">
        <v>0</v>
      </c>
      <c r="G306" s="108">
        <f>_xlfn.XLOOKUP(A306,Calculation!$A:$A,Calculation!$B:$B)</f>
        <v>33600</v>
      </c>
      <c r="H306" s="108"/>
    </row>
    <row r="307" spans="1:8">
      <c r="A307" t="s">
        <v>3853</v>
      </c>
      <c r="B307" s="268">
        <v>271</v>
      </c>
      <c r="C307" s="268">
        <v>266</v>
      </c>
      <c r="D307" s="268">
        <v>553</v>
      </c>
      <c r="E307" s="268">
        <v>55700</v>
      </c>
      <c r="F307" s="268">
        <v>0</v>
      </c>
      <c r="G307" s="108">
        <f>_xlfn.XLOOKUP(A307,Calculation!$A:$A,Calculation!$B:$B)</f>
        <v>55700</v>
      </c>
      <c r="H307" s="108"/>
    </row>
    <row r="308" spans="1:8">
      <c r="A308" t="s">
        <v>3880</v>
      </c>
      <c r="B308" s="268">
        <v>288</v>
      </c>
      <c r="C308" s="268">
        <v>225</v>
      </c>
      <c r="D308" s="268">
        <v>515</v>
      </c>
      <c r="E308" s="268">
        <v>40500</v>
      </c>
      <c r="F308" s="268">
        <v>0</v>
      </c>
      <c r="G308" s="108">
        <f>_xlfn.XLOOKUP(A308,Calculation!$A:$A,Calculation!$B:$B)</f>
        <v>40500</v>
      </c>
      <c r="H308" s="108"/>
    </row>
    <row r="309" spans="1:8">
      <c r="A309" t="s">
        <v>3148</v>
      </c>
      <c r="B309" s="268">
        <v>445</v>
      </c>
      <c r="C309" s="268">
        <v>326</v>
      </c>
      <c r="D309" s="268">
        <v>790</v>
      </c>
      <c r="E309" s="268">
        <v>52300</v>
      </c>
      <c r="F309" s="268">
        <v>0</v>
      </c>
      <c r="G309" s="108">
        <f>_xlfn.XLOOKUP(A309,Calculation!$A:$A,Calculation!$B:$B)</f>
        <v>52300</v>
      </c>
      <c r="H309" s="108"/>
    </row>
    <row r="310" spans="1:8">
      <c r="A310" t="s">
        <v>2978</v>
      </c>
      <c r="B310" s="268">
        <v>148.6</v>
      </c>
      <c r="C310" s="268">
        <v>143</v>
      </c>
      <c r="D310" s="268">
        <v>284.60000000000002</v>
      </c>
      <c r="E310" s="268">
        <v>24200</v>
      </c>
      <c r="F310" s="268">
        <v>0</v>
      </c>
      <c r="G310" s="108">
        <f>_xlfn.XLOOKUP(A310,Calculation!$A:$A,Calculation!$B:$B)</f>
        <v>24200</v>
      </c>
      <c r="H310" s="108"/>
    </row>
    <row r="311" spans="1:8">
      <c r="A311" t="s">
        <v>2993</v>
      </c>
      <c r="B311" s="268">
        <v>146.5</v>
      </c>
      <c r="C311" s="268">
        <v>167</v>
      </c>
      <c r="D311" s="268">
        <v>292.5</v>
      </c>
      <c r="E311" s="268">
        <v>24100</v>
      </c>
      <c r="F311" s="268">
        <v>0</v>
      </c>
      <c r="G311" s="108">
        <f>_xlfn.XLOOKUP(A311,Calculation!$A:$A,Calculation!$B:$B)</f>
        <v>24100</v>
      </c>
      <c r="H311" s="108"/>
    </row>
    <row r="312" spans="1:8">
      <c r="A312" t="s">
        <v>2965</v>
      </c>
      <c r="B312" s="268">
        <v>229.18</v>
      </c>
      <c r="C312" s="268">
        <v>165</v>
      </c>
      <c r="D312" s="268">
        <v>308.18</v>
      </c>
      <c r="E312" s="268">
        <v>23900</v>
      </c>
      <c r="F312" s="268">
        <v>0</v>
      </c>
      <c r="G312" s="108">
        <f>_xlfn.XLOOKUP(A312,Calculation!$A:$A,Calculation!$B:$B)</f>
        <v>23900</v>
      </c>
      <c r="H312" s="108"/>
    </row>
    <row r="313" spans="1:8">
      <c r="A313" t="s">
        <v>3000</v>
      </c>
      <c r="B313" s="268">
        <v>141</v>
      </c>
      <c r="C313" s="268">
        <v>166</v>
      </c>
      <c r="D313" s="268">
        <v>284</v>
      </c>
      <c r="E313" s="268">
        <v>24000</v>
      </c>
      <c r="F313" s="268">
        <v>0</v>
      </c>
      <c r="G313" s="108">
        <f>_xlfn.XLOOKUP(A313,Calculation!$A:$A,Calculation!$B:$B)</f>
        <v>24000</v>
      </c>
      <c r="H313" s="108"/>
    </row>
    <row r="314" spans="1:8">
      <c r="A314" t="s">
        <v>3482</v>
      </c>
      <c r="B314" s="268">
        <v>107.76</v>
      </c>
      <c r="C314" s="268">
        <v>89</v>
      </c>
      <c r="D314" s="268">
        <v>161.76</v>
      </c>
      <c r="E314" s="268">
        <v>12800</v>
      </c>
      <c r="F314" s="268">
        <v>0</v>
      </c>
      <c r="G314" s="108">
        <f>_xlfn.XLOOKUP(A314,Calculation!$A:$A,Calculation!$B:$B)</f>
        <v>12800</v>
      </c>
      <c r="H314" s="108"/>
    </row>
    <row r="315" spans="1:8">
      <c r="A315" t="s">
        <v>2958</v>
      </c>
      <c r="B315" s="268">
        <v>186</v>
      </c>
      <c r="C315" s="268">
        <v>193</v>
      </c>
      <c r="D315" s="268">
        <v>360</v>
      </c>
      <c r="E315" s="268">
        <v>26000</v>
      </c>
      <c r="F315" s="268">
        <v>0</v>
      </c>
      <c r="G315" s="108">
        <f>_xlfn.XLOOKUP(A315,Calculation!$A:$A,Calculation!$B:$B)</f>
        <v>26000</v>
      </c>
      <c r="H315" s="108"/>
    </row>
    <row r="316" spans="1:8">
      <c r="A316" t="s">
        <v>2945</v>
      </c>
      <c r="B316" s="268">
        <v>206</v>
      </c>
      <c r="C316" s="268">
        <v>180</v>
      </c>
      <c r="D316" s="268">
        <v>329</v>
      </c>
      <c r="E316" s="268">
        <v>24200</v>
      </c>
      <c r="F316" s="268">
        <v>0</v>
      </c>
      <c r="G316" s="108">
        <f>_xlfn.XLOOKUP(A316,Calculation!$A:$A,Calculation!$B:$B)</f>
        <v>24200</v>
      </c>
      <c r="H316" s="108"/>
    </row>
    <row r="317" spans="1:8">
      <c r="A317" t="s">
        <v>2951</v>
      </c>
      <c r="B317" s="268">
        <v>154</v>
      </c>
      <c r="C317" s="268">
        <v>193</v>
      </c>
      <c r="D317" s="268">
        <v>362</v>
      </c>
      <c r="E317" s="268">
        <v>26000</v>
      </c>
      <c r="F317" s="268">
        <v>0</v>
      </c>
      <c r="G317" s="108">
        <f>_xlfn.XLOOKUP(A317,Calculation!$A:$A,Calculation!$B:$B)</f>
        <v>26000</v>
      </c>
      <c r="H317" s="108"/>
    </row>
    <row r="318" spans="1:8">
      <c r="A318" t="s">
        <v>2927</v>
      </c>
      <c r="B318" s="268">
        <v>148.30000000000001</v>
      </c>
      <c r="C318" s="268">
        <v>126</v>
      </c>
      <c r="D318" s="268">
        <v>220.3</v>
      </c>
      <c r="E318" s="268">
        <v>16900</v>
      </c>
      <c r="F318" s="268">
        <v>0</v>
      </c>
      <c r="G318" s="108">
        <f>_xlfn.XLOOKUP(A318,Calculation!$A:$A,Calculation!$B:$B)</f>
        <v>16900</v>
      </c>
      <c r="H318" s="108"/>
    </row>
    <row r="319" spans="1:8">
      <c r="A319" t="s">
        <v>2972</v>
      </c>
      <c r="B319" s="268">
        <v>126</v>
      </c>
      <c r="C319" s="268">
        <v>172</v>
      </c>
      <c r="D319" s="268">
        <v>313</v>
      </c>
      <c r="E319" s="268">
        <v>23300</v>
      </c>
      <c r="F319" s="268">
        <v>0</v>
      </c>
      <c r="G319" s="108">
        <f>_xlfn.XLOOKUP(A319,Calculation!$A:$A,Calculation!$B:$B)</f>
        <v>23300</v>
      </c>
      <c r="H319" s="108"/>
    </row>
    <row r="320" spans="1:8">
      <c r="A320" t="s">
        <v>3904</v>
      </c>
      <c r="B320" s="268">
        <v>182.5</v>
      </c>
      <c r="C320" s="268">
        <v>136</v>
      </c>
      <c r="D320" s="268">
        <v>284.5</v>
      </c>
      <c r="E320" s="268">
        <v>21300</v>
      </c>
      <c r="F320" s="268">
        <v>0</v>
      </c>
      <c r="G320" s="108">
        <f>_xlfn.XLOOKUP(A320,Calculation!$A:$A,Calculation!$B:$B)</f>
        <v>21300</v>
      </c>
      <c r="H320" s="108"/>
    </row>
    <row r="321" spans="1:8">
      <c r="A321" t="s">
        <v>3356</v>
      </c>
      <c r="B321" s="268">
        <v>254</v>
      </c>
      <c r="C321" s="268">
        <v>158</v>
      </c>
      <c r="D321" s="268">
        <v>278</v>
      </c>
      <c r="E321" s="268">
        <v>15700</v>
      </c>
      <c r="F321" s="268">
        <v>0</v>
      </c>
      <c r="G321" s="108">
        <f>_xlfn.XLOOKUP(A321,Calculation!$A:$A,Calculation!$B:$B)</f>
        <v>15700</v>
      </c>
      <c r="H321" s="108"/>
    </row>
    <row r="322" spans="1:8">
      <c r="A322" t="s">
        <v>3362</v>
      </c>
      <c r="B322" s="268">
        <v>75</v>
      </c>
      <c r="C322" s="268">
        <v>129</v>
      </c>
      <c r="D322" s="268">
        <v>236</v>
      </c>
      <c r="E322" s="268">
        <v>15900</v>
      </c>
      <c r="F322" s="268">
        <v>0</v>
      </c>
      <c r="G322" s="108">
        <f>_xlfn.XLOOKUP(A322,Calculation!$A:$A,Calculation!$B:$B)</f>
        <v>15900</v>
      </c>
      <c r="H322" s="108"/>
    </row>
    <row r="323" spans="1:8">
      <c r="A323" t="s">
        <v>4821</v>
      </c>
      <c r="B323" s="268">
        <v>182.6</v>
      </c>
      <c r="C323" s="268">
        <v>174</v>
      </c>
      <c r="D323" s="268">
        <v>327.60000000000002</v>
      </c>
      <c r="E323" s="268">
        <v>22700</v>
      </c>
      <c r="F323" s="268">
        <v>0</v>
      </c>
      <c r="G323" s="108">
        <f>_xlfn.XLOOKUP(A323,Calculation!$A:$A,Calculation!$B:$B)</f>
        <v>22700</v>
      </c>
      <c r="H323" s="108"/>
    </row>
    <row r="324" spans="1:8">
      <c r="A324" t="s">
        <v>4812</v>
      </c>
      <c r="B324" s="268">
        <v>201</v>
      </c>
      <c r="C324" s="268">
        <v>148</v>
      </c>
      <c r="D324" s="268">
        <v>317</v>
      </c>
      <c r="E324" s="268">
        <v>22500</v>
      </c>
      <c r="F324" s="268">
        <v>0</v>
      </c>
      <c r="G324" s="108">
        <f>_xlfn.XLOOKUP(A324,Calculation!$A:$A,Calculation!$B:$B)</f>
        <v>22500</v>
      </c>
      <c r="H324" s="108"/>
    </row>
    <row r="325" spans="1:8">
      <c r="A325" t="s">
        <v>4809</v>
      </c>
      <c r="B325" s="268">
        <v>214</v>
      </c>
      <c r="C325" s="268">
        <v>174</v>
      </c>
      <c r="D325" s="268">
        <v>366</v>
      </c>
      <c r="E325" s="268">
        <v>22700</v>
      </c>
      <c r="F325" s="268">
        <v>0</v>
      </c>
      <c r="G325" s="108">
        <f>_xlfn.XLOOKUP(A325,Calculation!$A:$A,Calculation!$B:$B)</f>
        <v>22700</v>
      </c>
      <c r="H325" s="108"/>
    </row>
    <row r="326" spans="1:8">
      <c r="A326" t="s">
        <v>4732</v>
      </c>
      <c r="B326" s="268">
        <v>302.2</v>
      </c>
      <c r="C326" s="268">
        <v>150</v>
      </c>
      <c r="D326" s="268">
        <v>299.20000000000005</v>
      </c>
      <c r="E326" s="268">
        <v>22800</v>
      </c>
      <c r="F326" s="268">
        <v>0</v>
      </c>
      <c r="G326" s="108">
        <f>_xlfn.XLOOKUP(A326,Calculation!$A:$A,Calculation!$B:$B)</f>
        <v>22800</v>
      </c>
      <c r="H326" s="108"/>
    </row>
    <row r="327" spans="1:8">
      <c r="A327" t="s">
        <v>4840</v>
      </c>
      <c r="B327" s="268">
        <v>102</v>
      </c>
      <c r="C327" s="268">
        <v>89</v>
      </c>
      <c r="D327" s="268">
        <v>178</v>
      </c>
      <c r="E327" s="268">
        <v>11600</v>
      </c>
      <c r="F327" s="268">
        <v>0</v>
      </c>
      <c r="G327" s="108">
        <f>_xlfn.XLOOKUP(A327,Calculation!$A:$A,Calculation!$B:$B)</f>
        <v>11600</v>
      </c>
      <c r="H327" s="108"/>
    </row>
    <row r="328" spans="1:8">
      <c r="A328" t="s">
        <v>3093</v>
      </c>
      <c r="B328" s="268">
        <v>120</v>
      </c>
      <c r="C328" s="268">
        <v>89</v>
      </c>
      <c r="D328" s="268">
        <v>160</v>
      </c>
      <c r="E328" s="268">
        <v>11600</v>
      </c>
      <c r="F328" s="268">
        <v>0</v>
      </c>
      <c r="G328" s="108">
        <f>_xlfn.XLOOKUP(A328,Calculation!$A:$A,Calculation!$B:$B)</f>
        <v>11600</v>
      </c>
      <c r="H328" s="108"/>
    </row>
    <row r="329" spans="1:8">
      <c r="A329" t="s">
        <v>3404</v>
      </c>
      <c r="B329" s="268">
        <v>76.099999999999994</v>
      </c>
      <c r="C329" s="268">
        <v>85</v>
      </c>
      <c r="D329" s="268">
        <v>137.1</v>
      </c>
      <c r="E329" s="268">
        <v>4800</v>
      </c>
      <c r="F329" s="268">
        <v>0</v>
      </c>
      <c r="G329" s="108">
        <f>_xlfn.XLOOKUP(A329,Calculation!$A:$A,Calculation!$B:$B)</f>
        <v>4800</v>
      </c>
      <c r="H329" s="108"/>
    </row>
    <row r="330" spans="1:8">
      <c r="A330" t="s">
        <v>2813</v>
      </c>
      <c r="B330" s="268">
        <v>95.07</v>
      </c>
      <c r="C330" s="268">
        <v>86</v>
      </c>
      <c r="D330" s="268">
        <v>138.07</v>
      </c>
      <c r="E330" s="268">
        <v>4800</v>
      </c>
      <c r="F330" s="268">
        <v>0</v>
      </c>
      <c r="G330" s="108">
        <f>_xlfn.XLOOKUP(A330,Calculation!$A:$A,Calculation!$B:$B)</f>
        <v>4800</v>
      </c>
      <c r="H330" s="108"/>
    </row>
    <row r="331" spans="1:8">
      <c r="A331" t="s">
        <v>2579</v>
      </c>
      <c r="B331" s="268">
        <v>63.019999999999996</v>
      </c>
      <c r="C331" s="268">
        <v>77</v>
      </c>
      <c r="D331" s="268">
        <v>102.02</v>
      </c>
      <c r="E331" s="268">
        <v>4300</v>
      </c>
      <c r="F331" s="268">
        <v>0</v>
      </c>
      <c r="G331" s="108">
        <f>_xlfn.XLOOKUP(A331,Calculation!$A:$A,Calculation!$B:$B)</f>
        <v>4300</v>
      </c>
      <c r="H331" s="108"/>
    </row>
    <row r="332" spans="1:8">
      <c r="A332" t="s">
        <v>3398</v>
      </c>
      <c r="B332" s="268">
        <v>96.51</v>
      </c>
      <c r="C332" s="268">
        <v>86</v>
      </c>
      <c r="D332" s="268">
        <v>118.50999999999999</v>
      </c>
      <c r="E332" s="268">
        <v>4800</v>
      </c>
      <c r="F332" s="268">
        <v>0</v>
      </c>
      <c r="G332" s="108">
        <f>_xlfn.XLOOKUP(A332,Calculation!$A:$A,Calculation!$B:$B)</f>
        <v>4800</v>
      </c>
      <c r="H332" s="108"/>
    </row>
    <row r="333" spans="1:8">
      <c r="A333" t="s">
        <v>3165</v>
      </c>
      <c r="B333" s="268">
        <v>93.1</v>
      </c>
      <c r="C333" s="268">
        <v>83</v>
      </c>
      <c r="D333" s="268">
        <v>144.09999999999997</v>
      </c>
      <c r="E333" s="268">
        <v>24300</v>
      </c>
      <c r="F333" s="268">
        <v>0</v>
      </c>
      <c r="G333" s="108">
        <f>_xlfn.XLOOKUP(A333,Calculation!$A:$A,Calculation!$B:$B)</f>
        <v>24300</v>
      </c>
      <c r="H333" s="108"/>
    </row>
    <row r="334" spans="1:8">
      <c r="A334" t="s">
        <v>4923</v>
      </c>
      <c r="B334" s="268">
        <v>135</v>
      </c>
      <c r="C334" s="268">
        <v>293</v>
      </c>
      <c r="D334" s="268">
        <v>400</v>
      </c>
      <c r="E334" s="268">
        <v>43900</v>
      </c>
      <c r="F334" s="268">
        <v>0</v>
      </c>
      <c r="G334" s="108">
        <f>_xlfn.XLOOKUP(A334,Calculation!$A:$A,Calculation!$B:$B)</f>
        <v>43900</v>
      </c>
      <c r="H334" s="108"/>
    </row>
    <row r="335" spans="1:8">
      <c r="A335" t="s">
        <v>4222</v>
      </c>
      <c r="B335" s="268">
        <v>100</v>
      </c>
      <c r="C335" s="268">
        <v>63</v>
      </c>
      <c r="D335" s="268">
        <v>150</v>
      </c>
      <c r="E335" s="268">
        <v>6900</v>
      </c>
      <c r="F335" s="268">
        <v>0</v>
      </c>
      <c r="G335" s="108">
        <f>_xlfn.XLOOKUP(A335,Calculation!$A:$A,Calculation!$B:$B)</f>
        <v>6900</v>
      </c>
      <c r="H335" s="108"/>
    </row>
    <row r="336" spans="1:8">
      <c r="A336" t="s">
        <v>4046</v>
      </c>
      <c r="B336" s="268">
        <v>88</v>
      </c>
      <c r="C336" s="268">
        <v>115</v>
      </c>
      <c r="D336" s="268">
        <v>200</v>
      </c>
      <c r="E336" s="268">
        <v>25900</v>
      </c>
      <c r="F336" s="268">
        <v>0</v>
      </c>
      <c r="G336" s="108">
        <f>_xlfn.XLOOKUP(A336,Calculation!$A:$A,Calculation!$B:$B)</f>
        <v>25900</v>
      </c>
      <c r="H336" s="108"/>
    </row>
    <row r="337" spans="1:8">
      <c r="A337" t="s">
        <v>4766</v>
      </c>
      <c r="B337" s="268">
        <v>301</v>
      </c>
      <c r="C337" s="268">
        <v>328</v>
      </c>
      <c r="D337" s="268">
        <v>640</v>
      </c>
      <c r="E337" s="268">
        <v>52700</v>
      </c>
      <c r="F337" s="268">
        <v>0</v>
      </c>
      <c r="G337" s="108">
        <f>_xlfn.XLOOKUP(A337,Calculation!$A:$A,Calculation!$B:$B)</f>
        <v>52700</v>
      </c>
      <c r="H337" s="108"/>
    </row>
    <row r="338" spans="1:8">
      <c r="A338" t="s">
        <v>3998</v>
      </c>
      <c r="B338" s="268">
        <v>140</v>
      </c>
      <c r="C338" s="268">
        <v>133</v>
      </c>
      <c r="D338" s="268">
        <v>247</v>
      </c>
      <c r="E338" s="268">
        <v>19300</v>
      </c>
      <c r="F338" s="268">
        <v>0</v>
      </c>
      <c r="G338" s="108">
        <f>_xlfn.XLOOKUP(A338,Calculation!$A:$A,Calculation!$B:$B)</f>
        <v>19300</v>
      </c>
      <c r="H338" s="108"/>
    </row>
    <row r="339" spans="1:8">
      <c r="A339" t="s">
        <v>4038</v>
      </c>
      <c r="B339" s="268">
        <v>141</v>
      </c>
      <c r="C339" s="268">
        <v>114</v>
      </c>
      <c r="D339" s="268">
        <v>230</v>
      </c>
      <c r="E339" s="268">
        <v>19200</v>
      </c>
      <c r="F339" s="268">
        <v>0</v>
      </c>
      <c r="G339" s="108">
        <f>_xlfn.XLOOKUP(A339,Calculation!$A:$A,Calculation!$B:$B)</f>
        <v>19200</v>
      </c>
      <c r="H339" s="108"/>
    </row>
    <row r="340" spans="1:8">
      <c r="A340" t="s">
        <v>4780</v>
      </c>
      <c r="B340" s="268">
        <v>599</v>
      </c>
      <c r="C340" s="268">
        <v>657</v>
      </c>
      <c r="D340" s="268">
        <v>1230</v>
      </c>
      <c r="E340" s="268">
        <v>95600</v>
      </c>
      <c r="F340" s="268">
        <v>0</v>
      </c>
      <c r="G340" s="108">
        <f>_xlfn.XLOOKUP(A340,Calculation!$A:$A,Calculation!$B:$B)</f>
        <v>95600</v>
      </c>
      <c r="H340" s="108"/>
    </row>
    <row r="341" spans="1:8">
      <c r="A341" t="s">
        <v>3887</v>
      </c>
      <c r="B341" s="268">
        <v>161</v>
      </c>
      <c r="C341" s="268">
        <v>119</v>
      </c>
      <c r="D341" s="268">
        <v>270</v>
      </c>
      <c r="E341" s="268">
        <v>21300</v>
      </c>
      <c r="F341" s="268">
        <v>0</v>
      </c>
      <c r="G341" s="108">
        <f>_xlfn.XLOOKUP(A341,Calculation!$A:$A,Calculation!$B:$B)</f>
        <v>21300</v>
      </c>
      <c r="H341" s="108"/>
    </row>
    <row r="342" spans="1:8">
      <c r="A342" t="s">
        <v>4905</v>
      </c>
      <c r="B342" s="268">
        <v>98</v>
      </c>
      <c r="C342" s="268">
        <v>110</v>
      </c>
      <c r="D342" s="268">
        <v>185</v>
      </c>
      <c r="E342" s="268">
        <v>22900</v>
      </c>
      <c r="F342" s="268">
        <v>0</v>
      </c>
      <c r="G342" s="108">
        <f>_xlfn.XLOOKUP(A342,Calculation!$A:$A,Calculation!$B:$B)</f>
        <v>22900</v>
      </c>
      <c r="H342" s="108"/>
    </row>
    <row r="343" spans="1:8">
      <c r="A343" t="s">
        <v>4261</v>
      </c>
      <c r="B343" s="268">
        <v>126.5</v>
      </c>
      <c r="C343" s="268">
        <v>114</v>
      </c>
      <c r="D343" s="268">
        <v>225.5</v>
      </c>
      <c r="E343" s="268">
        <v>20400</v>
      </c>
      <c r="F343" s="268">
        <v>0</v>
      </c>
      <c r="G343" s="108">
        <f>_xlfn.XLOOKUP(A343,Calculation!$A:$A,Calculation!$B:$B)</f>
        <v>20400</v>
      </c>
      <c r="H343" s="108"/>
    </row>
    <row r="344" spans="1:8">
      <c r="A344" t="s">
        <v>4269</v>
      </c>
      <c r="B344" s="268">
        <v>101</v>
      </c>
      <c r="C344" s="268">
        <v>104</v>
      </c>
      <c r="D344" s="268">
        <v>210</v>
      </c>
      <c r="E344" s="268">
        <v>18600</v>
      </c>
      <c r="F344" s="268">
        <v>0</v>
      </c>
      <c r="G344" s="108">
        <f>_xlfn.XLOOKUP(A344,Calculation!$A:$A,Calculation!$B:$B)</f>
        <v>18600</v>
      </c>
      <c r="H344" s="108"/>
    </row>
    <row r="345" spans="1:8">
      <c r="A345" t="s">
        <v>4278</v>
      </c>
      <c r="B345" s="268">
        <v>191</v>
      </c>
      <c r="C345" s="268">
        <v>113</v>
      </c>
      <c r="D345" s="268">
        <v>274</v>
      </c>
      <c r="E345" s="268">
        <v>20300</v>
      </c>
      <c r="F345" s="268">
        <v>0</v>
      </c>
      <c r="G345" s="108">
        <f>_xlfn.XLOOKUP(A345,Calculation!$A:$A,Calculation!$B:$B)</f>
        <v>20300</v>
      </c>
      <c r="H345" s="108"/>
    </row>
    <row r="346" spans="1:8">
      <c r="A346" t="s">
        <v>2787</v>
      </c>
      <c r="B346" s="268">
        <v>150.32</v>
      </c>
      <c r="C346" s="268">
        <v>121</v>
      </c>
      <c r="D346" s="268">
        <v>215.32</v>
      </c>
      <c r="E346" s="268">
        <v>24700</v>
      </c>
      <c r="F346" s="268">
        <v>0</v>
      </c>
      <c r="G346" s="108">
        <f>_xlfn.XLOOKUP(A346,Calculation!$A:$A,Calculation!$B:$B)</f>
        <v>24700</v>
      </c>
      <c r="H346" s="108"/>
    </row>
    <row r="347" spans="1:8">
      <c r="A347" t="s">
        <v>3480</v>
      </c>
      <c r="B347" s="268">
        <v>84.86</v>
      </c>
      <c r="C347" s="268">
        <v>114</v>
      </c>
      <c r="D347" s="268">
        <v>177.85999999999999</v>
      </c>
      <c r="E347" s="268">
        <v>43000</v>
      </c>
      <c r="F347" s="268">
        <v>0</v>
      </c>
      <c r="G347" s="108">
        <f>_xlfn.XLOOKUP(A347,Calculation!$A:$A,Calculation!$B:$B)</f>
        <v>43000</v>
      </c>
      <c r="H347" s="108"/>
    </row>
    <row r="348" spans="1:8">
      <c r="A348" t="s">
        <v>3619</v>
      </c>
      <c r="B348" s="268">
        <v>102.3</v>
      </c>
      <c r="C348" s="268">
        <v>108</v>
      </c>
      <c r="D348" s="268">
        <v>208.3</v>
      </c>
      <c r="E348" s="268">
        <v>10300</v>
      </c>
      <c r="F348" s="268">
        <v>0</v>
      </c>
      <c r="G348" s="108">
        <f>_xlfn.XLOOKUP(A348,Calculation!$A:$A,Calculation!$B:$B)</f>
        <v>10300</v>
      </c>
      <c r="H348" s="108"/>
    </row>
    <row r="349" spans="1:8">
      <c r="A349" t="s">
        <v>3634</v>
      </c>
      <c r="B349" s="268">
        <v>49</v>
      </c>
      <c r="C349" s="268">
        <v>62</v>
      </c>
      <c r="D349" s="268">
        <v>122</v>
      </c>
      <c r="E349" s="268">
        <v>5800</v>
      </c>
      <c r="F349" s="268">
        <v>0</v>
      </c>
      <c r="G349" s="108">
        <f>_xlfn.XLOOKUP(A349,Calculation!$A:$A,Calculation!$B:$B)</f>
        <v>5800</v>
      </c>
      <c r="H349" s="108"/>
    </row>
    <row r="350" spans="1:8">
      <c r="A350" t="s">
        <v>3626</v>
      </c>
      <c r="B350" s="268">
        <v>82.5</v>
      </c>
      <c r="C350" s="268">
        <v>110</v>
      </c>
      <c r="D350" s="268">
        <v>204.5</v>
      </c>
      <c r="E350" s="268">
        <v>9800</v>
      </c>
      <c r="F350" s="268">
        <v>0</v>
      </c>
      <c r="G350" s="108">
        <f>_xlfn.XLOOKUP(A350,Calculation!$A:$A,Calculation!$B:$B)</f>
        <v>9800</v>
      </c>
      <c r="H350" s="108"/>
    </row>
    <row r="351" spans="1:8">
      <c r="A351" t="s">
        <v>3639</v>
      </c>
      <c r="B351" s="268">
        <v>82</v>
      </c>
      <c r="C351" s="268">
        <v>62</v>
      </c>
      <c r="D351" s="268">
        <v>116</v>
      </c>
      <c r="E351" s="268">
        <v>5700</v>
      </c>
      <c r="F351" s="268">
        <v>0</v>
      </c>
      <c r="G351" s="108">
        <f>_xlfn.XLOOKUP(A351,Calculation!$A:$A,Calculation!$B:$B)</f>
        <v>5700</v>
      </c>
      <c r="H351" s="108"/>
    </row>
    <row r="352" spans="1:8">
      <c r="A352" t="s">
        <v>4083</v>
      </c>
      <c r="B352" s="268">
        <v>139</v>
      </c>
      <c r="C352" s="268">
        <v>137</v>
      </c>
      <c r="D352" s="268">
        <v>235.00000000000003</v>
      </c>
      <c r="E352" s="268">
        <v>16200</v>
      </c>
      <c r="F352" s="268">
        <v>0</v>
      </c>
      <c r="G352" s="108">
        <f>_xlfn.XLOOKUP(A352,Calculation!$A:$A,Calculation!$B:$B)</f>
        <v>16200</v>
      </c>
      <c r="H352" s="108"/>
    </row>
    <row r="353" spans="1:8">
      <c r="A353" t="s">
        <v>4174</v>
      </c>
      <c r="B353" s="268">
        <v>103</v>
      </c>
      <c r="C353" s="268">
        <v>128</v>
      </c>
      <c r="D353" s="268">
        <v>215</v>
      </c>
      <c r="E353" s="268">
        <v>22600</v>
      </c>
      <c r="F353" s="268">
        <v>0</v>
      </c>
      <c r="G353" s="108">
        <f>_xlfn.XLOOKUP(A353,Calculation!$A:$A,Calculation!$B:$B)</f>
        <v>22600</v>
      </c>
      <c r="H353" s="108"/>
    </row>
    <row r="354" spans="1:8">
      <c r="A354" t="s">
        <v>4156</v>
      </c>
      <c r="B354" s="268">
        <v>165</v>
      </c>
      <c r="C354" s="268">
        <v>129</v>
      </c>
      <c r="D354" s="268">
        <v>268</v>
      </c>
      <c r="E354" s="268">
        <v>22800</v>
      </c>
      <c r="F354" s="268">
        <v>0</v>
      </c>
      <c r="G354" s="108">
        <f>_xlfn.XLOOKUP(A354,Calculation!$A:$A,Calculation!$B:$B)</f>
        <v>22800</v>
      </c>
      <c r="H354" s="108"/>
    </row>
    <row r="355" spans="1:8">
      <c r="A355" t="s">
        <v>4182</v>
      </c>
      <c r="B355" s="268">
        <v>85</v>
      </c>
      <c r="C355" s="268">
        <v>126</v>
      </c>
      <c r="D355" s="268">
        <v>225</v>
      </c>
      <c r="E355" s="268">
        <v>22400</v>
      </c>
      <c r="F355" s="268">
        <v>0</v>
      </c>
      <c r="G355" s="108">
        <f>_xlfn.XLOOKUP(A355,Calculation!$A:$A,Calculation!$B:$B)</f>
        <v>22400</v>
      </c>
      <c r="H355" s="108"/>
    </row>
    <row r="356" spans="1:8">
      <c r="A356" t="s">
        <v>4164</v>
      </c>
      <c r="B356" s="268">
        <v>102</v>
      </c>
      <c r="C356" s="268">
        <v>128</v>
      </c>
      <c r="D356" s="268">
        <v>238.99999999999997</v>
      </c>
      <c r="E356" s="268">
        <v>22700</v>
      </c>
      <c r="F356" s="268">
        <v>0</v>
      </c>
      <c r="G356" s="108">
        <f>_xlfn.XLOOKUP(A356,Calculation!$A:$A,Calculation!$B:$B)</f>
        <v>22700</v>
      </c>
      <c r="H356" s="108"/>
    </row>
    <row r="357" spans="1:8">
      <c r="A357" t="s">
        <v>4147</v>
      </c>
      <c r="B357" s="268">
        <v>78.5</v>
      </c>
      <c r="C357" s="268">
        <v>128</v>
      </c>
      <c r="D357" s="268">
        <v>202.49999999999997</v>
      </c>
      <c r="E357" s="268">
        <v>22700</v>
      </c>
      <c r="F357" s="268">
        <v>0</v>
      </c>
      <c r="G357" s="108">
        <f>_xlfn.XLOOKUP(A357,Calculation!$A:$A,Calculation!$B:$B)</f>
        <v>22700</v>
      </c>
      <c r="H357" s="108"/>
    </row>
    <row r="358" spans="1:8">
      <c r="A358" t="s">
        <v>4544</v>
      </c>
      <c r="B358" s="268">
        <v>34.020000000000003</v>
      </c>
      <c r="C358" s="268">
        <v>45</v>
      </c>
      <c r="D358" s="268">
        <v>86.02000000000001</v>
      </c>
      <c r="E358" s="268">
        <v>15100</v>
      </c>
      <c r="F358" s="268">
        <v>0</v>
      </c>
      <c r="G358" s="108">
        <f>_xlfn.XLOOKUP(A358,Calculation!$A:$A,Calculation!$B:$B)</f>
        <v>15100</v>
      </c>
      <c r="H358" s="108"/>
    </row>
    <row r="359" spans="1:8">
      <c r="A359" t="s">
        <v>4608</v>
      </c>
      <c r="B359" s="268">
        <v>26.5</v>
      </c>
      <c r="C359" s="268">
        <v>44</v>
      </c>
      <c r="D359" s="268">
        <v>68.5</v>
      </c>
      <c r="E359" s="268">
        <v>15100</v>
      </c>
      <c r="F359" s="268">
        <v>0</v>
      </c>
      <c r="G359" s="108">
        <f>_xlfn.XLOOKUP(A359,Calculation!$A:$A,Calculation!$B:$B)</f>
        <v>15100</v>
      </c>
      <c r="H359" s="108"/>
    </row>
    <row r="360" spans="1:8">
      <c r="A360" t="s">
        <v>4428</v>
      </c>
      <c r="B360" s="268">
        <v>233.51</v>
      </c>
      <c r="C360" s="268">
        <v>266</v>
      </c>
      <c r="D360" s="268">
        <v>530.51</v>
      </c>
      <c r="E360" s="268">
        <v>55400</v>
      </c>
      <c r="F360" s="268">
        <v>0</v>
      </c>
      <c r="G360" s="108">
        <f>_xlfn.XLOOKUP(A360,Calculation!$A:$A,Calculation!$B:$B)</f>
        <v>55400</v>
      </c>
      <c r="H360" s="108"/>
    </row>
    <row r="361" spans="1:8">
      <c r="A361" t="s">
        <v>4190</v>
      </c>
      <c r="B361" s="268">
        <v>104</v>
      </c>
      <c r="C361" s="268">
        <v>108</v>
      </c>
      <c r="D361" s="268">
        <v>192</v>
      </c>
      <c r="E361" s="268">
        <v>12700</v>
      </c>
      <c r="F361" s="268">
        <v>0</v>
      </c>
      <c r="G361" s="108">
        <f>_xlfn.XLOOKUP(A361,Calculation!$A:$A,Calculation!$B:$B)</f>
        <v>12700</v>
      </c>
      <c r="H361" s="108"/>
    </row>
    <row r="362" spans="1:8">
      <c r="A362" t="s">
        <v>4202</v>
      </c>
      <c r="B362" s="268">
        <v>104.2</v>
      </c>
      <c r="C362" s="268">
        <v>108</v>
      </c>
      <c r="D362" s="268">
        <v>188.20000000000002</v>
      </c>
      <c r="E362" s="268">
        <v>12700</v>
      </c>
      <c r="F362" s="268">
        <v>0</v>
      </c>
      <c r="G362" s="108">
        <f>_xlfn.XLOOKUP(A362,Calculation!$A:$A,Calculation!$B:$B)</f>
        <v>12700</v>
      </c>
      <c r="H362" s="108"/>
    </row>
    <row r="363" spans="1:8">
      <c r="A363" t="s">
        <v>4796</v>
      </c>
      <c r="B363" s="268">
        <v>505</v>
      </c>
      <c r="C363" s="268">
        <v>853</v>
      </c>
      <c r="D363" s="268">
        <v>1283</v>
      </c>
      <c r="E363" s="268">
        <v>100300</v>
      </c>
      <c r="F363" s="268">
        <v>0</v>
      </c>
      <c r="G363" s="108">
        <f>_xlfn.XLOOKUP(A363,Calculation!$A:$A,Calculation!$B:$B)</f>
        <v>100300</v>
      </c>
      <c r="H363" s="108"/>
    </row>
    <row r="364" spans="1:8">
      <c r="A364" t="s">
        <v>3158</v>
      </c>
      <c r="B364" s="268">
        <v>333</v>
      </c>
      <c r="C364" s="268">
        <v>255</v>
      </c>
      <c r="D364" s="268">
        <v>548</v>
      </c>
      <c r="E364" s="268">
        <v>44600</v>
      </c>
      <c r="F364" s="268">
        <v>0</v>
      </c>
      <c r="G364" s="108">
        <f>_xlfn.XLOOKUP(A364,Calculation!$A:$A,Calculation!$B:$B)</f>
        <v>44600</v>
      </c>
      <c r="H364" s="108"/>
    </row>
    <row r="365" spans="1:8">
      <c r="A365" t="s">
        <v>2640</v>
      </c>
      <c r="B365" s="268">
        <v>781</v>
      </c>
      <c r="C365" s="268">
        <v>839</v>
      </c>
      <c r="D365" s="268">
        <v>1658</v>
      </c>
      <c r="E365" s="268">
        <v>146700</v>
      </c>
      <c r="F365" s="268">
        <v>0</v>
      </c>
      <c r="G365" s="108">
        <f>_xlfn.XLOOKUP(A365,Calculation!$A:$A,Calculation!$B:$B)</f>
        <v>146700</v>
      </c>
      <c r="H365" s="108"/>
    </row>
    <row r="366" spans="1:8">
      <c r="A366" t="s">
        <v>3689</v>
      </c>
      <c r="B366" s="268">
        <v>132.5</v>
      </c>
      <c r="C366" s="268">
        <v>178</v>
      </c>
      <c r="D366" s="268">
        <v>331.49999999999994</v>
      </c>
      <c r="E366" s="268">
        <v>12100</v>
      </c>
      <c r="F366" s="268">
        <v>0</v>
      </c>
      <c r="G366" s="108">
        <f>_xlfn.XLOOKUP(A366,Calculation!$A:$A,Calculation!$B:$B)</f>
        <v>12100</v>
      </c>
      <c r="H366" s="108"/>
    </row>
    <row r="367" spans="1:8">
      <c r="A367" t="s">
        <v>3660</v>
      </c>
      <c r="B367" s="268">
        <v>75.5</v>
      </c>
      <c r="C367" s="268">
        <v>104</v>
      </c>
      <c r="D367" s="268">
        <v>199.5</v>
      </c>
      <c r="E367" s="268">
        <v>7800</v>
      </c>
      <c r="F367" s="268">
        <v>0</v>
      </c>
      <c r="G367" s="108">
        <f>_xlfn.XLOOKUP(A367,Calculation!$A:$A,Calculation!$B:$B)</f>
        <v>7800</v>
      </c>
      <c r="H367" s="108"/>
    </row>
    <row r="368" spans="1:8">
      <c r="A368" t="s">
        <v>3667</v>
      </c>
      <c r="B368" s="268">
        <v>98.5</v>
      </c>
      <c r="C368" s="268">
        <v>121</v>
      </c>
      <c r="D368" s="268">
        <v>221.49999999999997</v>
      </c>
      <c r="E368" s="268">
        <v>7800</v>
      </c>
      <c r="F368" s="268">
        <v>0</v>
      </c>
      <c r="G368" s="108">
        <f>_xlfn.XLOOKUP(A368,Calculation!$A:$A,Calculation!$B:$B)</f>
        <v>7800</v>
      </c>
      <c r="H368" s="108"/>
    </row>
    <row r="369" spans="1:8">
      <c r="A369" t="s">
        <v>4215</v>
      </c>
      <c r="B369" s="268">
        <v>115.6</v>
      </c>
      <c r="C369" s="268">
        <v>122</v>
      </c>
      <c r="D369" s="268">
        <v>247.59999999999997</v>
      </c>
      <c r="E369" s="268">
        <v>14400</v>
      </c>
      <c r="F369" s="268">
        <v>0</v>
      </c>
      <c r="G369" s="108">
        <f>_xlfn.XLOOKUP(A369,Calculation!$A:$A,Calculation!$B:$B)</f>
        <v>14400</v>
      </c>
      <c r="H369" s="108"/>
    </row>
    <row r="370" spans="1:8">
      <c r="A370" t="s">
        <v>4196</v>
      </c>
      <c r="B370" s="268">
        <v>71</v>
      </c>
      <c r="C370" s="268">
        <v>105</v>
      </c>
      <c r="D370" s="268">
        <v>172</v>
      </c>
      <c r="E370" s="268">
        <v>12300</v>
      </c>
      <c r="F370" s="268">
        <v>0</v>
      </c>
      <c r="G370" s="108">
        <f>_xlfn.XLOOKUP(A370,Calculation!$A:$A,Calculation!$B:$B)</f>
        <v>12300</v>
      </c>
      <c r="H370" s="108"/>
    </row>
    <row r="371" spans="1:8">
      <c r="A371" t="s">
        <v>4208</v>
      </c>
      <c r="B371" s="268">
        <v>111.2</v>
      </c>
      <c r="C371" s="268">
        <v>105</v>
      </c>
      <c r="D371" s="268">
        <v>219.2</v>
      </c>
      <c r="E371" s="268">
        <v>12300</v>
      </c>
      <c r="F371" s="268">
        <v>0</v>
      </c>
      <c r="G371" s="108">
        <f>_xlfn.XLOOKUP(A371,Calculation!$A:$A,Calculation!$B:$B)</f>
        <v>12300</v>
      </c>
      <c r="H371" s="108"/>
    </row>
    <row r="372" spans="1:8">
      <c r="A372" t="s">
        <v>3713</v>
      </c>
      <c r="B372" s="268">
        <v>195</v>
      </c>
      <c r="C372" s="268">
        <v>164</v>
      </c>
      <c r="D372" s="268">
        <v>310</v>
      </c>
      <c r="E372" s="268">
        <v>27900</v>
      </c>
      <c r="F372" s="268">
        <v>0</v>
      </c>
      <c r="G372" s="108">
        <f>_xlfn.XLOOKUP(A372,Calculation!$A:$A,Calculation!$B:$B)</f>
        <v>27900</v>
      </c>
      <c r="H372" s="108"/>
    </row>
    <row r="373" spans="1:8">
      <c r="A373" t="s">
        <v>3652</v>
      </c>
      <c r="B373" s="268">
        <v>105.2</v>
      </c>
      <c r="C373" s="268">
        <v>118</v>
      </c>
      <c r="D373" s="268">
        <v>260.20000000000005</v>
      </c>
      <c r="E373" s="268">
        <v>8000</v>
      </c>
      <c r="F373" s="268">
        <v>0</v>
      </c>
      <c r="G373" s="108">
        <f>_xlfn.XLOOKUP(A373,Calculation!$A:$A,Calculation!$B:$B)</f>
        <v>8000</v>
      </c>
      <c r="H373" s="108"/>
    </row>
    <row r="374" spans="1:8">
      <c r="A374" t="s">
        <v>3605</v>
      </c>
      <c r="B374" s="268">
        <v>555</v>
      </c>
      <c r="C374" s="268">
        <v>590</v>
      </c>
      <c r="D374" s="268">
        <v>1095</v>
      </c>
      <c r="E374" s="268">
        <v>137000</v>
      </c>
      <c r="F374" s="268">
        <v>0</v>
      </c>
      <c r="G374" s="108">
        <f>_xlfn.XLOOKUP(A374,Calculation!$A:$A,Calculation!$B:$B)</f>
        <v>137000</v>
      </c>
      <c r="H374" s="108"/>
    </row>
    <row r="375" spans="1:8">
      <c r="A375" t="s">
        <v>4611</v>
      </c>
      <c r="B375" s="268">
        <v>1186</v>
      </c>
      <c r="C375" s="268">
        <v>1260</v>
      </c>
      <c r="D375" s="268">
        <v>2395</v>
      </c>
      <c r="E375" s="268">
        <v>220200</v>
      </c>
      <c r="F375" s="268">
        <v>0</v>
      </c>
      <c r="G375" s="108">
        <f>_xlfn.XLOOKUP(A375,Calculation!$A:$A,Calculation!$B:$B)</f>
        <v>220200</v>
      </c>
      <c r="H375" s="108"/>
    </row>
    <row r="376" spans="1:8">
      <c r="A376" t="s">
        <v>4478</v>
      </c>
      <c r="B376" s="268">
        <v>412.59999999999997</v>
      </c>
      <c r="C376" s="268">
        <v>318</v>
      </c>
      <c r="D376" s="268">
        <v>572.59999999999991</v>
      </c>
      <c r="E376" s="268">
        <v>51600</v>
      </c>
      <c r="F376" s="268">
        <v>0</v>
      </c>
      <c r="G376" s="108">
        <f>_xlfn.XLOOKUP(A376,Calculation!$A:$A,Calculation!$B:$B)</f>
        <v>51600</v>
      </c>
      <c r="H376" s="108"/>
    </row>
    <row r="377" spans="1:8">
      <c r="A377" t="s">
        <v>4286</v>
      </c>
      <c r="B377" s="268">
        <v>187.70000000000002</v>
      </c>
      <c r="C377" s="268">
        <v>136</v>
      </c>
      <c r="D377" s="268">
        <v>276.7</v>
      </c>
      <c r="E377" s="268">
        <v>19000</v>
      </c>
      <c r="F377" s="268">
        <v>0</v>
      </c>
      <c r="G377" s="108">
        <f>_xlfn.XLOOKUP(A377,Calculation!$A:$A,Calculation!$B:$B)</f>
        <v>19000</v>
      </c>
      <c r="H377" s="108"/>
    </row>
    <row r="378" spans="1:8">
      <c r="A378" t="s">
        <v>4054</v>
      </c>
      <c r="B378" s="268">
        <v>115</v>
      </c>
      <c r="C378" s="268">
        <v>95</v>
      </c>
      <c r="D378" s="268">
        <v>207</v>
      </c>
      <c r="E378" s="268">
        <v>14400</v>
      </c>
      <c r="F378" s="268">
        <v>0</v>
      </c>
      <c r="G378" s="108">
        <f>_xlfn.XLOOKUP(A378,Calculation!$A:$A,Calculation!$B:$B)</f>
        <v>14400</v>
      </c>
      <c r="H378" s="108"/>
    </row>
    <row r="379" spans="1:8">
      <c r="A379" t="s">
        <v>3681</v>
      </c>
      <c r="B379" s="268">
        <v>151</v>
      </c>
      <c r="C379" s="268">
        <v>178</v>
      </c>
      <c r="D379" s="268">
        <v>323</v>
      </c>
      <c r="E379" s="268">
        <v>12100</v>
      </c>
      <c r="F379" s="268">
        <v>0</v>
      </c>
      <c r="G379" s="108">
        <f>_xlfn.XLOOKUP(A379,Calculation!$A:$A,Calculation!$B:$B)</f>
        <v>12100</v>
      </c>
      <c r="H379" s="108"/>
    </row>
    <row r="380" spans="1:8">
      <c r="A380" t="s">
        <v>3644</v>
      </c>
      <c r="B380" s="268">
        <v>165.5</v>
      </c>
      <c r="C380" s="268">
        <v>169</v>
      </c>
      <c r="D380" s="268">
        <v>328.5</v>
      </c>
      <c r="E380" s="268">
        <v>12600</v>
      </c>
      <c r="F380" s="268">
        <v>0</v>
      </c>
      <c r="G380" s="108">
        <f>_xlfn.XLOOKUP(A380,Calculation!$A:$A,Calculation!$B:$B)</f>
        <v>12600</v>
      </c>
      <c r="H380" s="108"/>
    </row>
    <row r="381" spans="1:8">
      <c r="A381" t="s">
        <v>4378</v>
      </c>
      <c r="B381" s="268">
        <v>250</v>
      </c>
      <c r="C381" s="268">
        <v>165</v>
      </c>
      <c r="D381" s="268">
        <v>309</v>
      </c>
      <c r="E381" s="268">
        <v>41400</v>
      </c>
      <c r="F381" s="268">
        <v>0</v>
      </c>
      <c r="G381" s="108">
        <f>_xlfn.XLOOKUP(A381,Calculation!$A:$A,Calculation!$B:$B)</f>
        <v>41400</v>
      </c>
      <c r="H381" s="108"/>
    </row>
    <row r="382" spans="1:8">
      <c r="A382" t="s">
        <v>4928</v>
      </c>
      <c r="B382" s="268">
        <v>299</v>
      </c>
      <c r="C382" s="268">
        <v>297</v>
      </c>
      <c r="D382" s="268">
        <v>552</v>
      </c>
      <c r="E382" s="268">
        <v>46600</v>
      </c>
      <c r="F382" s="268">
        <v>0</v>
      </c>
      <c r="G382" s="108">
        <f>_xlfn.XLOOKUP(A382,Calculation!$A:$A,Calculation!$B:$B)</f>
        <v>46600</v>
      </c>
      <c r="H382" s="108"/>
    </row>
    <row r="383" spans="1:8">
      <c r="A383" t="s">
        <v>5074</v>
      </c>
      <c r="B383" s="268">
        <v>283</v>
      </c>
      <c r="C383" s="268">
        <v>301</v>
      </c>
      <c r="D383" s="268">
        <v>574</v>
      </c>
      <c r="E383" s="268">
        <v>47200</v>
      </c>
      <c r="F383" s="268">
        <v>0</v>
      </c>
      <c r="G383" s="108">
        <f>_xlfn.XLOOKUP(A383,Calculation!$A:$A,Calculation!$B:$B)</f>
        <v>47200</v>
      </c>
      <c r="H383" s="108"/>
    </row>
    <row r="384" spans="1:8">
      <c r="A384" t="s">
        <v>4949</v>
      </c>
      <c r="B384" s="268">
        <v>310.60000000000002</v>
      </c>
      <c r="C384" s="268">
        <v>299</v>
      </c>
      <c r="D384" s="268">
        <v>598.59999999999991</v>
      </c>
      <c r="E384" s="268">
        <v>47000</v>
      </c>
      <c r="F384" s="268">
        <v>0</v>
      </c>
      <c r="G384" s="108">
        <f>_xlfn.XLOOKUP(A384,Calculation!$A:$A,Calculation!$B:$B)</f>
        <v>47000</v>
      </c>
      <c r="H384" s="108"/>
    </row>
    <row r="385" spans="1:8">
      <c r="A385" t="s">
        <v>4292</v>
      </c>
      <c r="B385" s="268">
        <v>139</v>
      </c>
      <c r="C385" s="268">
        <v>72</v>
      </c>
      <c r="D385" s="268">
        <v>128</v>
      </c>
      <c r="E385" s="268">
        <v>12600</v>
      </c>
      <c r="F385" s="268">
        <v>0</v>
      </c>
      <c r="G385" s="108">
        <f>_xlfn.XLOOKUP(A385,Calculation!$A:$A,Calculation!$B:$B)</f>
        <v>12600</v>
      </c>
      <c r="H385" s="108"/>
    </row>
    <row r="386" spans="1:8">
      <c r="A386" t="s">
        <v>4460</v>
      </c>
      <c r="B386" s="268">
        <v>74.2</v>
      </c>
      <c r="C386" s="268">
        <v>107</v>
      </c>
      <c r="D386" s="268">
        <v>192.2</v>
      </c>
      <c r="E386" s="268">
        <v>15400</v>
      </c>
      <c r="F386" s="268">
        <v>0</v>
      </c>
      <c r="G386" s="108">
        <f>_xlfn.XLOOKUP(A386,Calculation!$A:$A,Calculation!$B:$B)</f>
        <v>15400</v>
      </c>
      <c r="H386" s="108"/>
    </row>
    <row r="387" spans="1:8">
      <c r="A387" t="s">
        <v>2608</v>
      </c>
      <c r="B387" s="268">
        <v>96</v>
      </c>
      <c r="C387" s="268">
        <v>134</v>
      </c>
      <c r="D387" s="268">
        <v>255.99999999999997</v>
      </c>
      <c r="E387" s="268">
        <v>7700</v>
      </c>
      <c r="F387" s="268">
        <v>0</v>
      </c>
      <c r="G387" s="108">
        <f>_xlfn.XLOOKUP(A387,Calculation!$A:$A,Calculation!$B:$B)</f>
        <v>7700</v>
      </c>
      <c r="H387" s="108"/>
    </row>
    <row r="388" spans="1:8">
      <c r="A388" t="s">
        <v>2617</v>
      </c>
      <c r="B388" s="268">
        <v>128</v>
      </c>
      <c r="C388" s="268">
        <v>149</v>
      </c>
      <c r="D388" s="268">
        <v>257</v>
      </c>
      <c r="E388" s="268">
        <v>7800</v>
      </c>
      <c r="F388" s="268">
        <v>0</v>
      </c>
      <c r="G388" s="108">
        <f>_xlfn.XLOOKUP(A388,Calculation!$A:$A,Calculation!$B:$B)</f>
        <v>7800</v>
      </c>
      <c r="H388" s="108"/>
    </row>
    <row r="389" spans="1:8">
      <c r="A389" t="s">
        <v>2600</v>
      </c>
      <c r="B389" s="268">
        <v>111</v>
      </c>
      <c r="C389" s="268">
        <v>134</v>
      </c>
      <c r="D389" s="268">
        <v>264</v>
      </c>
      <c r="E389" s="268">
        <v>7700</v>
      </c>
      <c r="F389" s="268">
        <v>0</v>
      </c>
      <c r="G389" s="108">
        <f>_xlfn.XLOOKUP(A389,Calculation!$A:$A,Calculation!$B:$B)</f>
        <v>7700</v>
      </c>
      <c r="H389" s="108"/>
    </row>
    <row r="390" spans="1:8">
      <c r="A390" t="s">
        <v>2592</v>
      </c>
      <c r="B390" s="268">
        <v>128</v>
      </c>
      <c r="C390" s="268">
        <v>134</v>
      </c>
      <c r="D390" s="268">
        <v>239.99999999999997</v>
      </c>
      <c r="E390" s="268">
        <v>7700</v>
      </c>
      <c r="F390" s="268">
        <v>0</v>
      </c>
      <c r="G390" s="108">
        <f>_xlfn.XLOOKUP(A390,Calculation!$A:$A,Calculation!$B:$B)</f>
        <v>7700</v>
      </c>
      <c r="H390" s="108"/>
    </row>
    <row r="391" spans="1:8">
      <c r="A391" t="s">
        <v>2625</v>
      </c>
      <c r="B391" s="268">
        <v>100</v>
      </c>
      <c r="C391" s="268">
        <v>108</v>
      </c>
      <c r="D391" s="268">
        <v>178</v>
      </c>
      <c r="E391" s="268">
        <v>9100</v>
      </c>
      <c r="F391" s="268">
        <v>0</v>
      </c>
      <c r="G391" s="108">
        <f>_xlfn.XLOOKUP(A391,Calculation!$A:$A,Calculation!$B:$B)</f>
        <v>9100</v>
      </c>
      <c r="H391" s="108"/>
    </row>
    <row r="392" spans="1:8">
      <c r="A392" t="s">
        <v>2633</v>
      </c>
      <c r="B392" s="268">
        <v>85</v>
      </c>
      <c r="C392" s="268">
        <v>102</v>
      </c>
      <c r="D392" s="268">
        <v>180.99999999999997</v>
      </c>
      <c r="E392" s="268">
        <v>9200</v>
      </c>
      <c r="F392" s="268">
        <v>0</v>
      </c>
      <c r="G392" s="108">
        <f>_xlfn.XLOOKUP(A392,Calculation!$A:$A,Calculation!$B:$B)</f>
        <v>9200</v>
      </c>
      <c r="H392" s="108"/>
    </row>
    <row r="393" spans="1:8">
      <c r="A393" s="142" t="s">
        <v>997</v>
      </c>
      <c r="B393" s="268">
        <v>82830.810000000056</v>
      </c>
      <c r="C393" s="268">
        <v>84901</v>
      </c>
      <c r="D393" s="268">
        <v>161380.0100000001</v>
      </c>
      <c r="E393" s="268">
        <v>13565850</v>
      </c>
      <c r="F393" s="268">
        <v>0</v>
      </c>
      <c r="G393" s="108">
        <f>_xlfn.XLOOKUP(A393,Calculation!$A:$A,Calculation!$B:$B)</f>
        <v>13565850</v>
      </c>
      <c r="H393" s="108"/>
    </row>
    <row r="394" spans="1:8">
      <c r="A394"/>
      <c r="B394"/>
      <c r="C394"/>
      <c r="G394" s="108" t="e">
        <f>_xlfn.XLOOKUP(A394,Calculation!$A:$A,Calculation!$B:$B)</f>
        <v>#N/A</v>
      </c>
      <c r="H394" s="108"/>
    </row>
    <row r="395" spans="1:8">
      <c r="A395"/>
      <c r="B395"/>
      <c r="C395"/>
      <c r="G395" s="108" t="e">
        <f>_xlfn.XLOOKUP(A395,Calculation!$A:$A,Calculation!$B:$B)</f>
        <v>#N/A</v>
      </c>
      <c r="H395" s="108"/>
    </row>
    <row r="396" spans="1:8">
      <c r="A396"/>
      <c r="B396"/>
      <c r="C396"/>
      <c r="G396" s="108" t="e">
        <f>_xlfn.XLOOKUP(A396,Calculation!$A:$A,Calculation!$B:$B)</f>
        <v>#N/A</v>
      </c>
      <c r="H396" s="108"/>
    </row>
    <row r="397" spans="1:8">
      <c r="A397"/>
      <c r="B397"/>
      <c r="C397"/>
      <c r="G397" s="108" t="e">
        <f>_xlfn.XLOOKUP(A397,Calculation!$A:$A,Calculation!$B:$B)</f>
        <v>#N/A</v>
      </c>
      <c r="H397" s="108"/>
    </row>
    <row r="398" spans="1:8">
      <c r="A398"/>
      <c r="B398"/>
      <c r="C398"/>
      <c r="G398" s="108" t="e">
        <f>_xlfn.XLOOKUP(A398,Calculation!$A:$A,Calculation!$B:$B)</f>
        <v>#N/A</v>
      </c>
      <c r="H398" s="108"/>
    </row>
    <row r="399" spans="1:8">
      <c r="A399"/>
      <c r="B399"/>
      <c r="C399"/>
      <c r="G399" s="108" t="e">
        <f>_xlfn.XLOOKUP(A399,Calculation!$A:$A,Calculation!$B:$B)</f>
        <v>#N/A</v>
      </c>
      <c r="H399" s="108"/>
    </row>
    <row r="400" spans="1:8">
      <c r="A400"/>
      <c r="B400"/>
      <c r="C400"/>
      <c r="G400" s="108" t="e">
        <f>_xlfn.XLOOKUP(A400,Calculation!$A:$A,Calculation!$B:$B)</f>
        <v>#N/A</v>
      </c>
      <c r="H400" s="108"/>
    </row>
    <row r="401" spans="1:8">
      <c r="A401"/>
      <c r="B401"/>
      <c r="C401"/>
      <c r="G401" s="108" t="e">
        <f>_xlfn.XLOOKUP(A401,Calculation!$A:$A,Calculation!$B:$B)</f>
        <v>#N/A</v>
      </c>
      <c r="H401" s="108"/>
    </row>
    <row r="402" spans="1:8">
      <c r="A402"/>
      <c r="B402"/>
      <c r="C402"/>
      <c r="G402" s="108" t="e">
        <f>_xlfn.XLOOKUP(A402,Calculation!$A:$A,Calculation!$B:$B)</f>
        <v>#N/A</v>
      </c>
      <c r="H402" s="108"/>
    </row>
    <row r="403" spans="1:8">
      <c r="A403"/>
      <c r="B403"/>
      <c r="C403"/>
      <c r="G403" s="108" t="e">
        <f>_xlfn.XLOOKUP(A403,Calculation!$A:$A,Calculation!$B:$B)</f>
        <v>#N/A</v>
      </c>
      <c r="H403" s="108"/>
    </row>
    <row r="404" spans="1:8">
      <c r="A404"/>
      <c r="B404"/>
      <c r="C404"/>
      <c r="G404" s="108" t="e">
        <f>_xlfn.XLOOKUP(A404,Calculation!$A:$A,Calculation!$B:$B)</f>
        <v>#N/A</v>
      </c>
    </row>
    <row r="405" spans="1:8">
      <c r="A405"/>
      <c r="B405"/>
      <c r="C405"/>
    </row>
    <row r="406" spans="1:8">
      <c r="A406"/>
      <c r="B406"/>
      <c r="C406"/>
    </row>
    <row r="407" spans="1:8">
      <c r="B407"/>
      <c r="C407"/>
    </row>
    <row r="408" spans="1:8">
      <c r="B408"/>
      <c r="C408"/>
    </row>
    <row r="409" spans="1:8">
      <c r="B409"/>
      <c r="C409"/>
    </row>
    <row r="410" spans="1:8">
      <c r="B410"/>
      <c r="C410"/>
    </row>
    <row r="411" spans="1:8">
      <c r="B411"/>
      <c r="C411"/>
    </row>
    <row r="412" spans="1:8">
      <c r="B412"/>
      <c r="C412"/>
    </row>
    <row r="413" spans="1:8">
      <c r="B413"/>
      <c r="C413"/>
    </row>
    <row r="414" spans="1:8">
      <c r="B414"/>
      <c r="C414"/>
    </row>
    <row r="415" spans="1:8">
      <c r="B415"/>
      <c r="C415"/>
    </row>
    <row r="416" spans="1:8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>
      <c r="B531"/>
      <c r="C531"/>
    </row>
    <row r="532" spans="2:3">
      <c r="B532"/>
      <c r="C532"/>
    </row>
    <row r="533" spans="2:3">
      <c r="B533"/>
      <c r="C533"/>
    </row>
    <row r="534" spans="2:3">
      <c r="B534"/>
      <c r="C534"/>
    </row>
    <row r="535" spans="2:3">
      <c r="B535"/>
      <c r="C535"/>
    </row>
    <row r="536" spans="2:3">
      <c r="B536"/>
      <c r="C536"/>
    </row>
    <row r="537" spans="2:3">
      <c r="B537"/>
      <c r="C537"/>
    </row>
    <row r="538" spans="2:3">
      <c r="B538"/>
      <c r="C538"/>
    </row>
    <row r="539" spans="2:3">
      <c r="B539"/>
      <c r="C539"/>
    </row>
    <row r="540" spans="2:3">
      <c r="B540"/>
      <c r="C540"/>
    </row>
    <row r="541" spans="2:3">
      <c r="B541"/>
      <c r="C541"/>
    </row>
    <row r="542" spans="2:3">
      <c r="B542"/>
      <c r="C542"/>
    </row>
    <row r="543" spans="2:3">
      <c r="B543"/>
      <c r="C543"/>
    </row>
    <row r="544" spans="2:3">
      <c r="B544"/>
      <c r="C544"/>
    </row>
    <row r="545" spans="2:3">
      <c r="B545"/>
      <c r="C545"/>
    </row>
    <row r="546" spans="2:3">
      <c r="B546"/>
      <c r="C546"/>
    </row>
    <row r="547" spans="2:3">
      <c r="B547"/>
      <c r="C547"/>
    </row>
    <row r="548" spans="2:3">
      <c r="B548"/>
      <c r="C548"/>
    </row>
    <row r="549" spans="2:3">
      <c r="B549"/>
      <c r="C549"/>
    </row>
    <row r="550" spans="2:3">
      <c r="B550"/>
      <c r="C550"/>
    </row>
    <row r="551" spans="2:3">
      <c r="B551"/>
      <c r="C551"/>
    </row>
    <row r="552" spans="2:3">
      <c r="B552"/>
      <c r="C552"/>
    </row>
    <row r="553" spans="2:3">
      <c r="B553"/>
      <c r="C553"/>
    </row>
    <row r="554" spans="2:3">
      <c r="B554"/>
      <c r="C554"/>
    </row>
    <row r="555" spans="2:3">
      <c r="B555"/>
      <c r="C555"/>
    </row>
    <row r="556" spans="2:3">
      <c r="B556"/>
      <c r="C556"/>
    </row>
    <row r="557" spans="2:3">
      <c r="B557"/>
      <c r="C557"/>
    </row>
    <row r="558" spans="2:3">
      <c r="B558"/>
      <c r="C558"/>
    </row>
    <row r="559" spans="2:3">
      <c r="B559"/>
      <c r="C559"/>
    </row>
    <row r="560" spans="2:3">
      <c r="B560"/>
      <c r="C560"/>
    </row>
    <row r="561" spans="2:3">
      <c r="B561"/>
      <c r="C561"/>
    </row>
    <row r="562" spans="2:3">
      <c r="B562"/>
      <c r="C562"/>
    </row>
    <row r="563" spans="2:3">
      <c r="B563"/>
      <c r="C563"/>
    </row>
    <row r="564" spans="2:3">
      <c r="B564"/>
      <c r="C564"/>
    </row>
    <row r="565" spans="2:3">
      <c r="B565"/>
      <c r="C565"/>
    </row>
    <row r="566" spans="2:3">
      <c r="B566"/>
      <c r="C566"/>
    </row>
    <row r="567" spans="2:3">
      <c r="B567"/>
      <c r="C567"/>
    </row>
    <row r="568" spans="2:3">
      <c r="B568"/>
      <c r="C568"/>
    </row>
    <row r="569" spans="2:3">
      <c r="B569"/>
      <c r="C569"/>
    </row>
    <row r="570" spans="2:3">
      <c r="B570"/>
      <c r="C570"/>
    </row>
    <row r="571" spans="2:3">
      <c r="B571"/>
      <c r="C571"/>
    </row>
    <row r="572" spans="2:3">
      <c r="B572"/>
      <c r="C572"/>
    </row>
    <row r="573" spans="2:3">
      <c r="B573"/>
      <c r="C573"/>
    </row>
    <row r="574" spans="2:3">
      <c r="B574"/>
      <c r="C574"/>
    </row>
    <row r="575" spans="2:3">
      <c r="B575"/>
      <c r="C575"/>
    </row>
    <row r="576" spans="2:3">
      <c r="B576"/>
      <c r="C576"/>
    </row>
    <row r="577" spans="2:3">
      <c r="B577"/>
      <c r="C577"/>
    </row>
    <row r="578" spans="2:3">
      <c r="B578"/>
      <c r="C578"/>
    </row>
    <row r="579" spans="2:3">
      <c r="B579"/>
      <c r="C579"/>
    </row>
    <row r="580" spans="2:3">
      <c r="B580"/>
      <c r="C580"/>
    </row>
    <row r="581" spans="2:3">
      <c r="B581"/>
      <c r="C581"/>
    </row>
    <row r="582" spans="2:3">
      <c r="B582"/>
      <c r="C582"/>
    </row>
    <row r="583" spans="2:3">
      <c r="B583"/>
      <c r="C583"/>
    </row>
    <row r="584" spans="2:3">
      <c r="B584"/>
      <c r="C584"/>
    </row>
    <row r="585" spans="2:3">
      <c r="B585"/>
      <c r="C585"/>
    </row>
    <row r="586" spans="2:3">
      <c r="B586"/>
      <c r="C586"/>
    </row>
    <row r="587" spans="2:3">
      <c r="B587"/>
      <c r="C587"/>
    </row>
    <row r="588" spans="2:3">
      <c r="B588"/>
      <c r="C588"/>
    </row>
    <row r="589" spans="2:3">
      <c r="B589"/>
      <c r="C589"/>
    </row>
    <row r="590" spans="2:3">
      <c r="B590"/>
      <c r="C590"/>
    </row>
    <row r="591" spans="2:3">
      <c r="B591"/>
      <c r="C591"/>
    </row>
    <row r="592" spans="2:3">
      <c r="B592"/>
      <c r="C592"/>
    </row>
    <row r="593" spans="2:3">
      <c r="B593"/>
      <c r="C593"/>
    </row>
    <row r="594" spans="2:3">
      <c r="B594"/>
      <c r="C594"/>
    </row>
    <row r="595" spans="2:3">
      <c r="B595"/>
      <c r="C595"/>
    </row>
    <row r="596" spans="2:3">
      <c r="B596"/>
      <c r="C596"/>
    </row>
    <row r="597" spans="2:3">
      <c r="B597"/>
      <c r="C597"/>
    </row>
    <row r="598" spans="2:3">
      <c r="B598"/>
      <c r="C598"/>
    </row>
    <row r="599" spans="2:3">
      <c r="B599"/>
      <c r="C599"/>
    </row>
    <row r="600" spans="2:3">
      <c r="B600"/>
      <c r="C600"/>
    </row>
    <row r="601" spans="2:3">
      <c r="B601"/>
      <c r="C601"/>
    </row>
    <row r="602" spans="2:3">
      <c r="B602"/>
      <c r="C602"/>
    </row>
    <row r="603" spans="2:3">
      <c r="B603"/>
      <c r="C603"/>
    </row>
    <row r="604" spans="2:3">
      <c r="B604"/>
      <c r="C604"/>
    </row>
    <row r="605" spans="2:3">
      <c r="B605"/>
      <c r="C605"/>
    </row>
    <row r="606" spans="2:3">
      <c r="B606"/>
      <c r="C606"/>
    </row>
    <row r="607" spans="2:3">
      <c r="B607"/>
      <c r="C607"/>
    </row>
    <row r="608" spans="2:3">
      <c r="B608"/>
      <c r="C608"/>
    </row>
    <row r="609" spans="2:3">
      <c r="B609"/>
      <c r="C609"/>
    </row>
    <row r="610" spans="2:3">
      <c r="B610"/>
      <c r="C610"/>
    </row>
    <row r="611" spans="2:3">
      <c r="B611"/>
      <c r="C611"/>
    </row>
    <row r="612" spans="2:3">
      <c r="B612"/>
      <c r="C612"/>
    </row>
    <row r="613" spans="2:3">
      <c r="B613"/>
      <c r="C613"/>
    </row>
    <row r="614" spans="2:3">
      <c r="B614"/>
      <c r="C614"/>
    </row>
    <row r="615" spans="2:3">
      <c r="B615"/>
      <c r="C615"/>
    </row>
    <row r="616" spans="2:3">
      <c r="B616"/>
      <c r="C616"/>
    </row>
    <row r="617" spans="2:3">
      <c r="B617"/>
      <c r="C617"/>
    </row>
    <row r="618" spans="2:3">
      <c r="B618"/>
      <c r="C618"/>
    </row>
    <row r="619" spans="2:3">
      <c r="B619"/>
      <c r="C619"/>
    </row>
    <row r="620" spans="2:3">
      <c r="B620"/>
      <c r="C620"/>
    </row>
    <row r="621" spans="2:3">
      <c r="B621"/>
      <c r="C621"/>
    </row>
    <row r="622" spans="2:3">
      <c r="B622"/>
      <c r="C622"/>
    </row>
    <row r="623" spans="2:3">
      <c r="B623"/>
      <c r="C623"/>
    </row>
    <row r="624" spans="2:3">
      <c r="B624"/>
      <c r="C624"/>
    </row>
    <row r="625" spans="2:3">
      <c r="B625"/>
      <c r="C625"/>
    </row>
    <row r="626" spans="2:3">
      <c r="B626"/>
      <c r="C626"/>
    </row>
    <row r="627" spans="2:3">
      <c r="B627"/>
      <c r="C627"/>
    </row>
    <row r="628" spans="2:3">
      <c r="B628"/>
      <c r="C628"/>
    </row>
    <row r="629" spans="2:3">
      <c r="B629"/>
      <c r="C629"/>
    </row>
    <row r="630" spans="2:3">
      <c r="B630"/>
      <c r="C630"/>
    </row>
    <row r="631" spans="2:3">
      <c r="B631"/>
      <c r="C631"/>
    </row>
    <row r="632" spans="2:3">
      <c r="B632"/>
      <c r="C632"/>
    </row>
    <row r="633" spans="2:3">
      <c r="B633"/>
      <c r="C633"/>
    </row>
    <row r="634" spans="2:3">
      <c r="B634"/>
      <c r="C634"/>
    </row>
    <row r="635" spans="2:3">
      <c r="B635"/>
      <c r="C635"/>
    </row>
    <row r="636" spans="2:3">
      <c r="B636"/>
      <c r="C636"/>
    </row>
    <row r="637" spans="2:3">
      <c r="B637"/>
      <c r="C637"/>
    </row>
    <row r="638" spans="2:3">
      <c r="B638"/>
      <c r="C638"/>
    </row>
    <row r="639" spans="2:3">
      <c r="B639"/>
      <c r="C639"/>
    </row>
    <row r="640" spans="2:3">
      <c r="B640"/>
      <c r="C640"/>
    </row>
    <row r="641" spans="2:3">
      <c r="B641"/>
      <c r="C641"/>
    </row>
    <row r="642" spans="2:3">
      <c r="B642"/>
      <c r="C642"/>
    </row>
    <row r="643" spans="2:3">
      <c r="B643"/>
      <c r="C643"/>
    </row>
    <row r="644" spans="2:3">
      <c r="B644"/>
      <c r="C644"/>
    </row>
    <row r="645" spans="2:3">
      <c r="B645"/>
      <c r="C645"/>
    </row>
    <row r="646" spans="2:3">
      <c r="B646"/>
      <c r="C646"/>
    </row>
    <row r="647" spans="2:3">
      <c r="B647"/>
      <c r="C647"/>
    </row>
    <row r="648" spans="2:3">
      <c r="B648"/>
      <c r="C648"/>
    </row>
    <row r="649" spans="2:3">
      <c r="B649"/>
      <c r="C649"/>
    </row>
    <row r="650" spans="2:3">
      <c r="B650"/>
      <c r="C650"/>
    </row>
    <row r="651" spans="2:3">
      <c r="B651"/>
      <c r="C651"/>
    </row>
    <row r="652" spans="2:3">
      <c r="B652"/>
      <c r="C652"/>
    </row>
    <row r="653" spans="2:3">
      <c r="B653"/>
      <c r="C653"/>
    </row>
    <row r="654" spans="2:3">
      <c r="B654"/>
      <c r="C654"/>
    </row>
    <row r="655" spans="2:3">
      <c r="B655"/>
      <c r="C655"/>
    </row>
    <row r="656" spans="2:3">
      <c r="B656"/>
      <c r="C656"/>
    </row>
    <row r="657" spans="2:3">
      <c r="B657"/>
      <c r="C657"/>
    </row>
    <row r="658" spans="2:3">
      <c r="B658"/>
      <c r="C658"/>
    </row>
    <row r="659" spans="2:3">
      <c r="B659"/>
      <c r="C659"/>
    </row>
    <row r="660" spans="2:3">
      <c r="B660"/>
      <c r="C660"/>
    </row>
    <row r="661" spans="2:3">
      <c r="B661"/>
      <c r="C661"/>
    </row>
    <row r="662" spans="2:3">
      <c r="B662"/>
      <c r="C662"/>
    </row>
    <row r="663" spans="2:3">
      <c r="B663"/>
      <c r="C663"/>
    </row>
    <row r="664" spans="2:3">
      <c r="B664"/>
      <c r="C664"/>
    </row>
    <row r="665" spans="2:3">
      <c r="B665"/>
      <c r="C665"/>
    </row>
    <row r="666" spans="2:3">
      <c r="B666"/>
      <c r="C666"/>
    </row>
    <row r="667" spans="2:3">
      <c r="B667"/>
      <c r="C667"/>
    </row>
    <row r="668" spans="2:3">
      <c r="B668"/>
      <c r="C668"/>
    </row>
    <row r="669" spans="2:3">
      <c r="B669"/>
      <c r="C669"/>
    </row>
    <row r="670" spans="2:3">
      <c r="B670"/>
      <c r="C670"/>
    </row>
    <row r="671" spans="2:3">
      <c r="B671"/>
      <c r="C671"/>
    </row>
    <row r="672" spans="2:3">
      <c r="B672"/>
      <c r="C672"/>
    </row>
    <row r="673" spans="2:3">
      <c r="B673"/>
      <c r="C673"/>
    </row>
    <row r="674" spans="2:3">
      <c r="B674"/>
      <c r="C674"/>
    </row>
    <row r="675" spans="2:3">
      <c r="B675"/>
      <c r="C675"/>
    </row>
    <row r="676" spans="2:3">
      <c r="B676"/>
      <c r="C676"/>
    </row>
    <row r="677" spans="2:3">
      <c r="B677"/>
      <c r="C677"/>
    </row>
    <row r="678" spans="2:3">
      <c r="B678"/>
      <c r="C678"/>
    </row>
    <row r="679" spans="2:3">
      <c r="B679"/>
      <c r="C679"/>
    </row>
    <row r="680" spans="2:3">
      <c r="B680"/>
      <c r="C680"/>
    </row>
    <row r="681" spans="2:3">
      <c r="B681"/>
      <c r="C681"/>
    </row>
    <row r="682" spans="2:3">
      <c r="B682"/>
      <c r="C682"/>
    </row>
    <row r="683" spans="2:3">
      <c r="B683"/>
      <c r="C683"/>
    </row>
    <row r="684" spans="2:3">
      <c r="B684"/>
      <c r="C684"/>
    </row>
    <row r="685" spans="2:3">
      <c r="B685"/>
      <c r="C685"/>
    </row>
    <row r="686" spans="2:3">
      <c r="B686"/>
      <c r="C686"/>
    </row>
    <row r="687" spans="2:3">
      <c r="B687"/>
      <c r="C687"/>
    </row>
    <row r="688" spans="2:3">
      <c r="B688"/>
      <c r="C688"/>
    </row>
    <row r="689" spans="2:3">
      <c r="B689"/>
      <c r="C689"/>
    </row>
    <row r="690" spans="2:3">
      <c r="B690"/>
      <c r="C690"/>
    </row>
    <row r="691" spans="2:3">
      <c r="B691"/>
      <c r="C691"/>
    </row>
    <row r="692" spans="2:3">
      <c r="B692"/>
      <c r="C692"/>
    </row>
    <row r="693" spans="2:3">
      <c r="B693"/>
      <c r="C693"/>
    </row>
    <row r="694" spans="2:3">
      <c r="B694"/>
      <c r="C694"/>
    </row>
    <row r="695" spans="2:3">
      <c r="B695"/>
      <c r="C695"/>
    </row>
    <row r="696" spans="2:3">
      <c r="B696"/>
      <c r="C696"/>
    </row>
    <row r="697" spans="2:3">
      <c r="B697"/>
      <c r="C697"/>
    </row>
    <row r="698" spans="2:3">
      <c r="B698"/>
      <c r="C698"/>
    </row>
    <row r="699" spans="2:3">
      <c r="B699"/>
      <c r="C699"/>
    </row>
    <row r="700" spans="2:3">
      <c r="B700"/>
      <c r="C700"/>
    </row>
    <row r="701" spans="2:3">
      <c r="B701"/>
      <c r="C701"/>
    </row>
    <row r="702" spans="2:3">
      <c r="B702"/>
      <c r="C702"/>
    </row>
    <row r="703" spans="2:3">
      <c r="B703"/>
      <c r="C703"/>
    </row>
    <row r="704" spans="2:3">
      <c r="B704"/>
      <c r="C704"/>
    </row>
    <row r="705" spans="2:3">
      <c r="B705"/>
      <c r="C705"/>
    </row>
    <row r="706" spans="2:3">
      <c r="B706"/>
      <c r="C706"/>
    </row>
    <row r="707" spans="2:3">
      <c r="B707"/>
      <c r="C707"/>
    </row>
    <row r="708" spans="2:3">
      <c r="B708"/>
      <c r="C708"/>
    </row>
    <row r="709" spans="2:3">
      <c r="B709"/>
      <c r="C709"/>
    </row>
    <row r="710" spans="2:3">
      <c r="B710"/>
      <c r="C710"/>
    </row>
    <row r="711" spans="2:3">
      <c r="B711"/>
      <c r="C711"/>
    </row>
    <row r="712" spans="2:3">
      <c r="B712"/>
      <c r="C712"/>
    </row>
    <row r="713" spans="2:3">
      <c r="B713"/>
      <c r="C713"/>
    </row>
    <row r="714" spans="2:3">
      <c r="B714"/>
      <c r="C714"/>
    </row>
    <row r="715" spans="2:3">
      <c r="B715"/>
      <c r="C715"/>
    </row>
  </sheetData>
  <conditionalFormatting sqref="A1:A3 A5:A1048576">
    <cfRule type="duplicateValues" dxfId="22" priority="1"/>
  </conditionalFormatting>
  <conditionalFormatting sqref="A572:A1048576 A1:A3 A358:A398 A5:A356">
    <cfRule type="duplicateValues" dxfId="21" priority="2"/>
  </conditionalFormatting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B4275-5C57-4F7F-BBFA-118B2811FB31}">
  <sheetPr codeName="Sheet11"/>
  <dimension ref="A1:W525"/>
  <sheetViews>
    <sheetView workbookViewId="0">
      <pane ySplit="4" topLeftCell="A5" activePane="bottomLeft" state="frozen"/>
      <selection pane="bottomLeft" activeCell="B9" sqref="B9"/>
    </sheetView>
  </sheetViews>
  <sheetFormatPr defaultRowHeight="15"/>
  <cols>
    <col min="1" max="1" width="13.140625" bestFit="1" customWidth="1"/>
    <col min="2" max="2" width="31.5703125" bestFit="1" customWidth="1"/>
    <col min="3" max="3" width="10.28515625" customWidth="1"/>
    <col min="6" max="6" width="14.28515625" bestFit="1" customWidth="1"/>
    <col min="7" max="7" width="9.140625" customWidth="1"/>
    <col min="8" max="8" width="14.28515625" customWidth="1"/>
    <col min="9" max="11" width="9.140625" customWidth="1"/>
    <col min="14" max="14" width="11.5703125" bestFit="1" customWidth="1"/>
    <col min="17" max="17" width="24.7109375" bestFit="1" customWidth="1"/>
  </cols>
  <sheetData>
    <row r="1" spans="1:17">
      <c r="A1" s="147"/>
      <c r="B1" s="355">
        <f>SUBTOTAL(9,B5:B1048576)</f>
        <v>0</v>
      </c>
      <c r="C1" s="147">
        <f>'Jan-2026'!F4</f>
        <v>13565850</v>
      </c>
      <c r="D1" s="268">
        <f>B1-C1</f>
        <v>-13565850</v>
      </c>
      <c r="F1" s="355">
        <f>SUBTOTAL(9,F5:F1048576)</f>
        <v>13495640</v>
      </c>
      <c r="H1" s="268">
        <f>B1-F1</f>
        <v>-13495640</v>
      </c>
      <c r="M1" s="443"/>
      <c r="P1" s="205"/>
      <c r="Q1" s="205"/>
    </row>
    <row r="2" spans="1:17">
      <c r="A2" s="147" t="s">
        <v>998</v>
      </c>
      <c r="B2" s="147" t="s">
        <v>999</v>
      </c>
      <c r="C2" s="147"/>
      <c r="D2" s="147"/>
      <c r="M2" s="443"/>
      <c r="P2" s="205"/>
      <c r="Q2" s="205"/>
    </row>
    <row r="3" spans="1:17" ht="30">
      <c r="A3" s="509" t="s">
        <v>1113</v>
      </c>
      <c r="B3" s="509"/>
      <c r="C3" s="303"/>
      <c r="D3" s="147"/>
      <c r="E3" s="509" t="s">
        <v>1114</v>
      </c>
      <c r="F3" s="509"/>
      <c r="H3" s="307" t="s">
        <v>1120</v>
      </c>
      <c r="I3" s="307" t="s">
        <v>1123</v>
      </c>
      <c r="J3" s="307"/>
      <c r="L3" t="s">
        <v>1113</v>
      </c>
      <c r="M3" s="443" t="s">
        <v>5153</v>
      </c>
      <c r="P3" s="205"/>
      <c r="Q3" s="205"/>
    </row>
    <row r="4" spans="1:17">
      <c r="A4" s="281" t="s">
        <v>990</v>
      </c>
      <c r="B4" t="s">
        <v>1917</v>
      </c>
      <c r="E4" t="s">
        <v>221</v>
      </c>
      <c r="F4" t="s">
        <v>1883</v>
      </c>
      <c r="L4" t="s">
        <v>1883</v>
      </c>
      <c r="M4" t="s">
        <v>5154</v>
      </c>
      <c r="P4" s="205" t="s">
        <v>221</v>
      </c>
      <c r="Q4" s="205" t="s">
        <v>1023</v>
      </c>
    </row>
    <row r="5" spans="1:17" ht="16.5">
      <c r="A5" s="142" t="s">
        <v>5156</v>
      </c>
      <c r="B5" s="510"/>
      <c r="E5" t="s">
        <v>4437</v>
      </c>
      <c r="F5" s="268">
        <v>23900</v>
      </c>
      <c r="H5" t="e">
        <f>VLOOKUP(E5,A:B,1,FALSE)</f>
        <v>#N/A</v>
      </c>
      <c r="I5" t="e">
        <f t="shared" ref="I5:I68" si="0">VLOOKUP(A5,E:F,1,FALSE)</f>
        <v>#N/A</v>
      </c>
      <c r="L5" s="320" t="e">
        <f>_xlfn.XLOOKUP(E5,A:A,B:B,,0)</f>
        <v>#N/A</v>
      </c>
      <c r="M5" s="268" t="e">
        <f>L5-F5</f>
        <v>#N/A</v>
      </c>
      <c r="N5" s="320"/>
      <c r="O5" s="360"/>
      <c r="P5" s="320"/>
      <c r="Q5" s="429"/>
    </row>
    <row r="6" spans="1:17" ht="16.5">
      <c r="E6" t="s">
        <v>4641</v>
      </c>
      <c r="F6" s="268">
        <v>8000</v>
      </c>
      <c r="H6" t="e">
        <f t="shared" ref="H6:H69" si="1">VLOOKUP(E6,A:B,1,FALSE)</f>
        <v>#N/A</v>
      </c>
      <c r="I6" t="e">
        <f t="shared" si="0"/>
        <v>#N/A</v>
      </c>
      <c r="L6" s="320" t="e">
        <f t="shared" ref="L6:L69" si="2">_xlfn.XLOOKUP(E6,A:A,B:B,,0)</f>
        <v>#N/A</v>
      </c>
      <c r="M6" s="268" t="e">
        <f t="shared" ref="M6:M69" si="3">L6-F6</f>
        <v>#N/A</v>
      </c>
      <c r="O6" s="360"/>
      <c r="P6" s="320"/>
      <c r="Q6" s="429"/>
    </row>
    <row r="7" spans="1:17" ht="16.5">
      <c r="E7" t="s">
        <v>4760</v>
      </c>
      <c r="F7" s="268">
        <v>25800</v>
      </c>
      <c r="H7" t="e">
        <f t="shared" si="1"/>
        <v>#N/A</v>
      </c>
      <c r="I7" t="e">
        <f t="shared" si="0"/>
        <v>#N/A</v>
      </c>
      <c r="L7" s="320" t="e">
        <f t="shared" si="2"/>
        <v>#N/A</v>
      </c>
      <c r="M7" s="268" t="e">
        <f t="shared" si="3"/>
        <v>#N/A</v>
      </c>
      <c r="O7" s="360"/>
      <c r="P7" s="320"/>
      <c r="Q7" s="429"/>
    </row>
    <row r="8" spans="1:17" ht="16.5">
      <c r="E8" t="s">
        <v>2779</v>
      </c>
      <c r="F8" s="268">
        <v>12600</v>
      </c>
      <c r="H8" t="e">
        <f t="shared" si="1"/>
        <v>#N/A</v>
      </c>
      <c r="I8" t="e">
        <f t="shared" si="0"/>
        <v>#N/A</v>
      </c>
      <c r="L8" s="320" t="e">
        <f t="shared" si="2"/>
        <v>#N/A</v>
      </c>
      <c r="M8" s="268" t="e">
        <f t="shared" si="3"/>
        <v>#N/A</v>
      </c>
      <c r="O8" s="360"/>
      <c r="P8" s="320"/>
      <c r="Q8" s="429"/>
    </row>
    <row r="9" spans="1:17" ht="16.5">
      <c r="E9" t="s">
        <v>3412</v>
      </c>
      <c r="F9" s="268">
        <v>60800</v>
      </c>
      <c r="H9" t="e">
        <f t="shared" si="1"/>
        <v>#N/A</v>
      </c>
      <c r="I9" t="e">
        <f t="shared" si="0"/>
        <v>#N/A</v>
      </c>
      <c r="L9" s="320" t="e">
        <f t="shared" si="2"/>
        <v>#N/A</v>
      </c>
      <c r="M9" s="268" t="e">
        <f t="shared" si="3"/>
        <v>#N/A</v>
      </c>
      <c r="O9" s="360"/>
      <c r="P9" s="320"/>
      <c r="Q9" s="429"/>
    </row>
    <row r="10" spans="1:17" ht="16.5">
      <c r="E10" t="s">
        <v>3721</v>
      </c>
      <c r="F10" s="268">
        <v>29000</v>
      </c>
      <c r="H10" t="e">
        <f t="shared" si="1"/>
        <v>#N/A</v>
      </c>
      <c r="I10" t="e">
        <f t="shared" si="0"/>
        <v>#N/A</v>
      </c>
      <c r="L10" s="320" t="e">
        <f t="shared" si="2"/>
        <v>#N/A</v>
      </c>
      <c r="M10" s="268" t="e">
        <f t="shared" si="3"/>
        <v>#N/A</v>
      </c>
      <c r="O10" s="360"/>
      <c r="P10" s="320"/>
      <c r="Q10" s="429"/>
    </row>
    <row r="11" spans="1:17" ht="16.5">
      <c r="E11" t="s">
        <v>4397</v>
      </c>
      <c r="F11" s="268">
        <v>10100</v>
      </c>
      <c r="H11" t="e">
        <f t="shared" si="1"/>
        <v>#N/A</v>
      </c>
      <c r="I11" t="e">
        <f t="shared" si="0"/>
        <v>#N/A</v>
      </c>
      <c r="L11" s="320" t="e">
        <f t="shared" si="2"/>
        <v>#N/A</v>
      </c>
      <c r="M11" s="268" t="e">
        <f t="shared" si="3"/>
        <v>#N/A</v>
      </c>
      <c r="O11" s="360"/>
      <c r="P11" s="320"/>
      <c r="Q11" s="429"/>
    </row>
    <row r="12" spans="1:17" ht="16.5">
      <c r="E12" t="s">
        <v>2654</v>
      </c>
      <c r="F12" s="268">
        <v>3500</v>
      </c>
      <c r="H12" t="e">
        <f t="shared" si="1"/>
        <v>#N/A</v>
      </c>
      <c r="I12" t="e">
        <f t="shared" si="0"/>
        <v>#N/A</v>
      </c>
      <c r="L12" s="320" t="e">
        <f t="shared" si="2"/>
        <v>#N/A</v>
      </c>
      <c r="M12" s="268" t="e">
        <f t="shared" si="3"/>
        <v>#N/A</v>
      </c>
      <c r="O12" s="360"/>
      <c r="P12" s="320"/>
      <c r="Q12" s="429"/>
    </row>
    <row r="13" spans="1:17" ht="16.5">
      <c r="E13" t="s">
        <v>3216</v>
      </c>
      <c r="F13" s="268">
        <v>36900</v>
      </c>
      <c r="H13" t="e">
        <f t="shared" si="1"/>
        <v>#N/A</v>
      </c>
      <c r="I13" t="e">
        <f t="shared" si="0"/>
        <v>#N/A</v>
      </c>
      <c r="L13" s="320" t="e">
        <f t="shared" si="2"/>
        <v>#N/A</v>
      </c>
      <c r="M13" s="268" t="e">
        <f t="shared" si="3"/>
        <v>#N/A</v>
      </c>
      <c r="O13" s="360"/>
      <c r="P13" s="320"/>
      <c r="Q13" s="429"/>
    </row>
    <row r="14" spans="1:17" ht="16.5">
      <c r="E14" t="s">
        <v>2710</v>
      </c>
      <c r="F14" s="268">
        <v>8800</v>
      </c>
      <c r="H14" t="e">
        <f t="shared" si="1"/>
        <v>#N/A</v>
      </c>
      <c r="I14" t="e">
        <f t="shared" si="0"/>
        <v>#N/A</v>
      </c>
      <c r="L14" s="320" t="e">
        <f t="shared" si="2"/>
        <v>#N/A</v>
      </c>
      <c r="M14" s="268" t="e">
        <f t="shared" si="3"/>
        <v>#N/A</v>
      </c>
      <c r="O14" s="360"/>
      <c r="P14" s="320"/>
      <c r="Q14" s="429"/>
    </row>
    <row r="15" spans="1:17" ht="16.5">
      <c r="E15" t="s">
        <v>3369</v>
      </c>
      <c r="F15" s="268">
        <v>20100</v>
      </c>
      <c r="H15" t="e">
        <f t="shared" si="1"/>
        <v>#N/A</v>
      </c>
      <c r="I15" t="e">
        <f t="shared" si="0"/>
        <v>#N/A</v>
      </c>
      <c r="L15" s="320" t="e">
        <f t="shared" si="2"/>
        <v>#N/A</v>
      </c>
      <c r="M15" s="268" t="e">
        <f t="shared" si="3"/>
        <v>#N/A</v>
      </c>
      <c r="O15" s="360"/>
      <c r="P15" s="320"/>
      <c r="Q15" s="429"/>
    </row>
    <row r="16" spans="1:17" ht="16.5">
      <c r="E16" t="s">
        <v>3476</v>
      </c>
      <c r="F16" s="268">
        <v>5000</v>
      </c>
      <c r="H16" t="e">
        <f t="shared" si="1"/>
        <v>#N/A</v>
      </c>
      <c r="I16" t="e">
        <f t="shared" si="0"/>
        <v>#N/A</v>
      </c>
      <c r="L16" s="320" t="e">
        <f t="shared" si="2"/>
        <v>#N/A</v>
      </c>
      <c r="M16" s="268" t="e">
        <f t="shared" si="3"/>
        <v>#N/A</v>
      </c>
      <c r="O16" s="360"/>
      <c r="P16" s="320"/>
      <c r="Q16" s="429"/>
    </row>
    <row r="17" spans="5:17" ht="16.5">
      <c r="E17" t="s">
        <v>3775</v>
      </c>
      <c r="F17" s="268">
        <v>13600</v>
      </c>
      <c r="H17" t="e">
        <f t="shared" si="1"/>
        <v>#N/A</v>
      </c>
      <c r="I17" t="e">
        <f t="shared" si="0"/>
        <v>#N/A</v>
      </c>
      <c r="L17" s="320" t="e">
        <f t="shared" si="2"/>
        <v>#N/A</v>
      </c>
      <c r="M17" s="268" t="e">
        <f t="shared" si="3"/>
        <v>#N/A</v>
      </c>
      <c r="O17" s="360"/>
      <c r="P17" s="320"/>
      <c r="Q17" s="429"/>
    </row>
    <row r="18" spans="5:17" ht="16.5">
      <c r="E18" t="s">
        <v>3742</v>
      </c>
      <c r="F18" s="268">
        <v>8600</v>
      </c>
      <c r="H18" t="e">
        <f t="shared" si="1"/>
        <v>#N/A</v>
      </c>
      <c r="I18" t="e">
        <f t="shared" si="0"/>
        <v>#N/A</v>
      </c>
      <c r="L18" s="320" t="e">
        <f t="shared" si="2"/>
        <v>#N/A</v>
      </c>
      <c r="M18" s="268" t="e">
        <f t="shared" si="3"/>
        <v>#N/A</v>
      </c>
      <c r="O18" s="360"/>
      <c r="P18" s="320"/>
      <c r="Q18" s="429"/>
    </row>
    <row r="19" spans="5:17" ht="16.5">
      <c r="E19" t="s">
        <v>3541</v>
      </c>
      <c r="F19" s="268">
        <v>7900</v>
      </c>
      <c r="H19" t="e">
        <f t="shared" si="1"/>
        <v>#N/A</v>
      </c>
      <c r="I19" t="e">
        <f t="shared" si="0"/>
        <v>#N/A</v>
      </c>
      <c r="L19" s="320" t="e">
        <f t="shared" si="2"/>
        <v>#N/A</v>
      </c>
      <c r="M19" s="268" t="e">
        <f t="shared" si="3"/>
        <v>#N/A</v>
      </c>
      <c r="O19" s="360"/>
      <c r="P19" s="320"/>
      <c r="Q19" s="429"/>
    </row>
    <row r="20" spans="5:17" ht="16.5">
      <c r="E20" t="s">
        <v>3736</v>
      </c>
      <c r="F20" s="268">
        <v>8800</v>
      </c>
      <c r="H20" t="e">
        <f t="shared" si="1"/>
        <v>#N/A</v>
      </c>
      <c r="I20" t="e">
        <f t="shared" si="0"/>
        <v>#N/A</v>
      </c>
      <c r="L20" s="320" t="e">
        <f t="shared" si="2"/>
        <v>#N/A</v>
      </c>
      <c r="M20" s="268" t="e">
        <f t="shared" si="3"/>
        <v>#N/A</v>
      </c>
      <c r="O20" s="360"/>
      <c r="P20" s="320"/>
      <c r="Q20" s="429"/>
    </row>
    <row r="21" spans="5:17" ht="16.5">
      <c r="E21" t="s">
        <v>3768</v>
      </c>
      <c r="F21" s="268">
        <v>15500</v>
      </c>
      <c r="H21" t="e">
        <f t="shared" si="1"/>
        <v>#N/A</v>
      </c>
      <c r="I21" t="e">
        <f t="shared" si="0"/>
        <v>#N/A</v>
      </c>
      <c r="L21" s="320" t="e">
        <f t="shared" si="2"/>
        <v>#N/A</v>
      </c>
      <c r="M21" s="268" t="e">
        <f t="shared" si="3"/>
        <v>#N/A</v>
      </c>
      <c r="O21" s="360"/>
      <c r="P21" s="320"/>
      <c r="Q21" s="429"/>
    </row>
    <row r="22" spans="5:17" ht="16.5">
      <c r="E22" t="s">
        <v>3697</v>
      </c>
      <c r="F22" s="268">
        <v>39400</v>
      </c>
      <c r="H22" t="e">
        <f t="shared" si="1"/>
        <v>#N/A</v>
      </c>
      <c r="I22" t="e">
        <f t="shared" si="0"/>
        <v>#N/A</v>
      </c>
      <c r="L22" s="320" t="e">
        <f t="shared" si="2"/>
        <v>#N/A</v>
      </c>
      <c r="M22" s="268" t="e">
        <f t="shared" si="3"/>
        <v>#N/A</v>
      </c>
      <c r="O22" s="360"/>
      <c r="P22" s="320"/>
      <c r="Q22" s="429"/>
    </row>
    <row r="23" spans="5:17" ht="16.5">
      <c r="E23" t="s">
        <v>3946</v>
      </c>
      <c r="F23" s="268">
        <v>17700</v>
      </c>
      <c r="H23" t="e">
        <f t="shared" si="1"/>
        <v>#N/A</v>
      </c>
      <c r="I23" t="e">
        <f t="shared" si="0"/>
        <v>#N/A</v>
      </c>
      <c r="L23" s="320" t="e">
        <f t="shared" si="2"/>
        <v>#N/A</v>
      </c>
      <c r="M23" s="268" t="e">
        <f t="shared" si="3"/>
        <v>#N/A</v>
      </c>
      <c r="O23" s="360"/>
      <c r="P23" s="320"/>
      <c r="Q23" s="429"/>
    </row>
    <row r="24" spans="5:17" ht="16.5">
      <c r="E24" t="s">
        <v>5007</v>
      </c>
      <c r="F24" s="268">
        <v>20800</v>
      </c>
      <c r="H24" t="e">
        <f t="shared" si="1"/>
        <v>#N/A</v>
      </c>
      <c r="I24" t="e">
        <f t="shared" si="0"/>
        <v>#N/A</v>
      </c>
      <c r="L24" s="320" t="e">
        <f t="shared" si="2"/>
        <v>#N/A</v>
      </c>
      <c r="M24" s="268" t="e">
        <f t="shared" si="3"/>
        <v>#N/A</v>
      </c>
      <c r="N24" s="444"/>
      <c r="O24" s="360"/>
      <c r="P24" s="320"/>
      <c r="Q24" s="429"/>
    </row>
    <row r="25" spans="5:17" ht="16.5">
      <c r="E25" t="s">
        <v>4671</v>
      </c>
      <c r="F25" s="268">
        <v>300700</v>
      </c>
      <c r="H25" t="e">
        <f>VLOOKUP(E25,A:B,1,FALSE)</f>
        <v>#N/A</v>
      </c>
      <c r="I25" t="e">
        <f t="shared" si="0"/>
        <v>#N/A</v>
      </c>
      <c r="L25" s="320" t="e">
        <f t="shared" si="2"/>
        <v>#N/A</v>
      </c>
      <c r="M25" s="268" t="e">
        <f t="shared" si="3"/>
        <v>#N/A</v>
      </c>
      <c r="O25" s="360"/>
      <c r="P25" s="320"/>
      <c r="Q25" s="429"/>
    </row>
    <row r="26" spans="5:17" ht="16.5">
      <c r="E26" t="s">
        <v>4558</v>
      </c>
      <c r="F26" s="268">
        <v>15100</v>
      </c>
      <c r="H26" t="e">
        <f t="shared" si="1"/>
        <v>#N/A</v>
      </c>
      <c r="I26" t="e">
        <f t="shared" si="0"/>
        <v>#N/A</v>
      </c>
      <c r="L26" s="320" t="e">
        <f t="shared" si="2"/>
        <v>#N/A</v>
      </c>
      <c r="M26" s="268" t="e">
        <f t="shared" si="3"/>
        <v>#N/A</v>
      </c>
      <c r="O26" s="360"/>
      <c r="P26" s="320"/>
      <c r="Q26" s="429"/>
    </row>
    <row r="27" spans="5:17" ht="16.5">
      <c r="E27" t="s">
        <v>4553</v>
      </c>
      <c r="F27" s="268">
        <v>17500</v>
      </c>
      <c r="H27" t="e">
        <f t="shared" si="1"/>
        <v>#N/A</v>
      </c>
      <c r="I27" t="e">
        <f t="shared" si="0"/>
        <v>#N/A</v>
      </c>
      <c r="L27" s="320" t="e">
        <f t="shared" si="2"/>
        <v>#N/A</v>
      </c>
      <c r="M27" s="268" t="e">
        <f t="shared" si="3"/>
        <v>#N/A</v>
      </c>
      <c r="O27" s="360"/>
      <c r="P27" s="320"/>
      <c r="Q27" s="429"/>
    </row>
    <row r="28" spans="5:17" ht="16.5">
      <c r="E28" t="s">
        <v>4564</v>
      </c>
      <c r="F28" s="268">
        <v>65800</v>
      </c>
      <c r="H28" t="e">
        <f t="shared" si="1"/>
        <v>#N/A</v>
      </c>
      <c r="I28" t="e">
        <f t="shared" si="0"/>
        <v>#N/A</v>
      </c>
      <c r="L28" s="320" t="e">
        <f t="shared" si="2"/>
        <v>#N/A</v>
      </c>
      <c r="M28" s="268" t="e">
        <f t="shared" si="3"/>
        <v>#N/A</v>
      </c>
      <c r="O28" s="360"/>
      <c r="P28" s="320"/>
      <c r="Q28" s="429"/>
    </row>
    <row r="29" spans="5:17" ht="16.5">
      <c r="E29" t="s">
        <v>4964</v>
      </c>
      <c r="F29" s="268">
        <v>25400</v>
      </c>
      <c r="H29" t="e">
        <f t="shared" si="1"/>
        <v>#N/A</v>
      </c>
      <c r="I29" t="e">
        <f t="shared" si="0"/>
        <v>#N/A</v>
      </c>
      <c r="L29" s="320" t="e">
        <f t="shared" si="2"/>
        <v>#N/A</v>
      </c>
      <c r="M29" s="268" t="e">
        <f t="shared" si="3"/>
        <v>#N/A</v>
      </c>
      <c r="O29" s="360"/>
      <c r="P29" s="320"/>
      <c r="Q29" s="429"/>
    </row>
    <row r="30" spans="5:17" ht="16.5">
      <c r="E30" t="s">
        <v>4455</v>
      </c>
      <c r="F30" s="268">
        <v>6200</v>
      </c>
      <c r="H30" t="e">
        <f t="shared" si="1"/>
        <v>#N/A</v>
      </c>
      <c r="I30" t="e">
        <f t="shared" si="0"/>
        <v>#N/A</v>
      </c>
      <c r="L30" s="320" t="e">
        <f t="shared" si="2"/>
        <v>#N/A</v>
      </c>
      <c r="M30" s="268" t="e">
        <f t="shared" si="3"/>
        <v>#N/A</v>
      </c>
      <c r="O30" s="360"/>
      <c r="P30" s="320"/>
      <c r="Q30" s="429"/>
    </row>
    <row r="31" spans="5:17" ht="16.5">
      <c r="E31" t="s">
        <v>3374</v>
      </c>
      <c r="F31" s="268">
        <v>10800</v>
      </c>
      <c r="H31" t="e">
        <f t="shared" si="1"/>
        <v>#N/A</v>
      </c>
      <c r="I31" t="e">
        <f t="shared" si="0"/>
        <v>#N/A</v>
      </c>
      <c r="L31" s="320" t="e">
        <f t="shared" si="2"/>
        <v>#N/A</v>
      </c>
      <c r="M31" s="268" t="e">
        <f t="shared" si="3"/>
        <v>#N/A</v>
      </c>
      <c r="O31" s="360"/>
      <c r="P31" s="320"/>
      <c r="Q31" s="429"/>
    </row>
    <row r="32" spans="5:17" ht="16.5">
      <c r="E32" t="s">
        <v>4915</v>
      </c>
      <c r="F32" s="268">
        <v>13500</v>
      </c>
      <c r="H32" t="e">
        <f t="shared" si="1"/>
        <v>#N/A</v>
      </c>
      <c r="I32" t="e">
        <f t="shared" si="0"/>
        <v>#N/A</v>
      </c>
      <c r="L32" s="320" t="e">
        <f t="shared" si="2"/>
        <v>#N/A</v>
      </c>
      <c r="M32" s="268" t="e">
        <f t="shared" si="3"/>
        <v>#N/A</v>
      </c>
      <c r="O32" s="360"/>
      <c r="P32" s="320"/>
      <c r="Q32" s="429"/>
    </row>
    <row r="33" spans="5:17" ht="16.5">
      <c r="E33" t="s">
        <v>3141</v>
      </c>
      <c r="F33" s="268">
        <v>17200</v>
      </c>
      <c r="H33" t="e">
        <f t="shared" si="1"/>
        <v>#N/A</v>
      </c>
      <c r="I33" t="e">
        <f t="shared" si="0"/>
        <v>#N/A</v>
      </c>
      <c r="L33" s="320" t="e">
        <f t="shared" si="2"/>
        <v>#N/A</v>
      </c>
      <c r="M33" s="268" t="e">
        <f t="shared" si="3"/>
        <v>#N/A</v>
      </c>
      <c r="O33" s="360"/>
      <c r="P33" s="320"/>
      <c r="Q33" s="429"/>
    </row>
    <row r="34" spans="5:17" ht="16.5">
      <c r="E34" t="s">
        <v>3197</v>
      </c>
      <c r="F34" s="268">
        <v>17200</v>
      </c>
      <c r="H34" t="e">
        <f t="shared" si="1"/>
        <v>#N/A</v>
      </c>
      <c r="I34" t="e">
        <f t="shared" si="0"/>
        <v>#N/A</v>
      </c>
      <c r="L34" s="320" t="e">
        <f t="shared" si="2"/>
        <v>#N/A</v>
      </c>
      <c r="M34" s="268" t="e">
        <f t="shared" si="3"/>
        <v>#N/A</v>
      </c>
      <c r="O34" s="360"/>
      <c r="P34" s="320"/>
      <c r="Q34" s="429"/>
    </row>
    <row r="35" spans="5:17" ht="16.5">
      <c r="E35" t="s">
        <v>2704</v>
      </c>
      <c r="F35" s="268">
        <v>1700</v>
      </c>
      <c r="H35" t="e">
        <f t="shared" si="1"/>
        <v>#N/A</v>
      </c>
      <c r="I35" t="e">
        <f t="shared" si="0"/>
        <v>#N/A</v>
      </c>
      <c r="L35" s="320" t="e">
        <f t="shared" si="2"/>
        <v>#N/A</v>
      </c>
      <c r="M35" s="268" t="e">
        <f t="shared" si="3"/>
        <v>#N/A</v>
      </c>
      <c r="O35" s="360"/>
      <c r="P35" s="320"/>
      <c r="Q35" s="429"/>
    </row>
    <row r="36" spans="5:17" ht="16.5">
      <c r="E36" t="s">
        <v>2912</v>
      </c>
      <c r="F36" s="268">
        <v>25400</v>
      </c>
      <c r="H36" t="e">
        <f t="shared" si="1"/>
        <v>#N/A</v>
      </c>
      <c r="I36" t="e">
        <f t="shared" si="0"/>
        <v>#N/A</v>
      </c>
      <c r="L36" s="320" t="e">
        <f t="shared" si="2"/>
        <v>#N/A</v>
      </c>
      <c r="M36" s="268" t="e">
        <f t="shared" si="3"/>
        <v>#N/A</v>
      </c>
      <c r="O36" s="360"/>
      <c r="P36" s="320"/>
      <c r="Q36" s="429"/>
    </row>
    <row r="37" spans="5:17" ht="16.5">
      <c r="E37" t="s">
        <v>2920</v>
      </c>
      <c r="F37" s="268">
        <v>46600</v>
      </c>
      <c r="H37" t="e">
        <f t="shared" si="1"/>
        <v>#N/A</v>
      </c>
      <c r="I37" t="e">
        <f t="shared" si="0"/>
        <v>#N/A</v>
      </c>
      <c r="L37" s="320" t="e">
        <f t="shared" si="2"/>
        <v>#N/A</v>
      </c>
      <c r="M37" s="268" t="e">
        <f t="shared" si="3"/>
        <v>#N/A</v>
      </c>
      <c r="O37" s="360"/>
      <c r="P37" s="320"/>
      <c r="Q37" s="429"/>
    </row>
    <row r="38" spans="5:17" ht="16.5">
      <c r="E38" t="s">
        <v>2929</v>
      </c>
      <c r="F38" s="268">
        <v>26300</v>
      </c>
      <c r="H38" t="e">
        <f t="shared" si="1"/>
        <v>#N/A</v>
      </c>
      <c r="I38" t="e">
        <f t="shared" si="0"/>
        <v>#N/A</v>
      </c>
      <c r="L38" s="320" t="e">
        <f t="shared" si="2"/>
        <v>#N/A</v>
      </c>
      <c r="M38" s="268" t="e">
        <f t="shared" si="3"/>
        <v>#N/A</v>
      </c>
      <c r="O38" s="360"/>
      <c r="P38" s="320"/>
      <c r="Q38" s="429"/>
    </row>
    <row r="39" spans="5:17" ht="16.5">
      <c r="E39" t="s">
        <v>2937</v>
      </c>
      <c r="F39" s="268">
        <v>27000</v>
      </c>
      <c r="H39" t="e">
        <f t="shared" si="1"/>
        <v>#N/A</v>
      </c>
      <c r="I39" t="e">
        <f t="shared" si="0"/>
        <v>#N/A</v>
      </c>
      <c r="L39" s="320" t="e">
        <f t="shared" si="2"/>
        <v>#N/A</v>
      </c>
      <c r="M39" s="268" t="e">
        <f t="shared" si="3"/>
        <v>#N/A</v>
      </c>
      <c r="O39" s="360"/>
      <c r="P39" s="320"/>
      <c r="Q39" s="429"/>
    </row>
    <row r="40" spans="5:17" ht="16.5">
      <c r="E40" t="s">
        <v>2840</v>
      </c>
      <c r="F40" s="268">
        <v>23500</v>
      </c>
      <c r="H40" t="e">
        <f t="shared" si="1"/>
        <v>#N/A</v>
      </c>
      <c r="I40" t="e">
        <f t="shared" si="0"/>
        <v>#N/A</v>
      </c>
      <c r="L40" s="320" t="e">
        <f t="shared" si="2"/>
        <v>#N/A</v>
      </c>
      <c r="M40" s="268" t="e">
        <f t="shared" si="3"/>
        <v>#N/A</v>
      </c>
      <c r="O40" s="360"/>
      <c r="P40" s="320"/>
      <c r="Q40" s="429"/>
    </row>
    <row r="41" spans="5:17" ht="16.5">
      <c r="E41" t="s">
        <v>3238</v>
      </c>
      <c r="F41" s="268">
        <v>24300</v>
      </c>
      <c r="H41" t="e">
        <f t="shared" si="1"/>
        <v>#N/A</v>
      </c>
      <c r="I41" t="e">
        <f t="shared" si="0"/>
        <v>#N/A</v>
      </c>
      <c r="L41" s="320" t="e">
        <f t="shared" si="2"/>
        <v>#N/A</v>
      </c>
      <c r="M41" s="268" t="e">
        <f t="shared" si="3"/>
        <v>#N/A</v>
      </c>
      <c r="O41" s="360"/>
      <c r="P41" s="320"/>
      <c r="Q41" s="429"/>
    </row>
    <row r="42" spans="5:17" ht="16.5">
      <c r="E42" t="s">
        <v>3239</v>
      </c>
      <c r="F42" s="268">
        <v>24900</v>
      </c>
      <c r="H42" t="e">
        <f t="shared" si="1"/>
        <v>#N/A</v>
      </c>
      <c r="I42" t="e">
        <f t="shared" si="0"/>
        <v>#N/A</v>
      </c>
      <c r="L42" s="320" t="e">
        <f t="shared" si="2"/>
        <v>#N/A</v>
      </c>
      <c r="M42" s="268" t="e">
        <f t="shared" si="3"/>
        <v>#N/A</v>
      </c>
      <c r="O42" s="360"/>
      <c r="P42" s="320"/>
      <c r="Q42" s="429"/>
    </row>
    <row r="43" spans="5:17" ht="16.5">
      <c r="E43" t="s">
        <v>3223</v>
      </c>
      <c r="F43" s="268">
        <v>23300</v>
      </c>
      <c r="H43" t="e">
        <f t="shared" si="1"/>
        <v>#N/A</v>
      </c>
      <c r="I43" t="e">
        <f t="shared" si="0"/>
        <v>#N/A</v>
      </c>
      <c r="L43" s="320" t="e">
        <f t="shared" si="2"/>
        <v>#N/A</v>
      </c>
      <c r="M43" s="268" t="e">
        <f t="shared" si="3"/>
        <v>#N/A</v>
      </c>
      <c r="O43" s="360"/>
      <c r="P43" s="320"/>
      <c r="Q43" s="429"/>
    </row>
    <row r="44" spans="5:17" ht="16.5">
      <c r="E44" t="s">
        <v>3230</v>
      </c>
      <c r="F44" s="268">
        <v>23300</v>
      </c>
      <c r="H44" t="e">
        <f t="shared" si="1"/>
        <v>#N/A</v>
      </c>
      <c r="I44" t="e">
        <f t="shared" si="0"/>
        <v>#N/A</v>
      </c>
      <c r="L44" s="320" t="e">
        <f t="shared" si="2"/>
        <v>#N/A</v>
      </c>
      <c r="M44" s="268" t="e">
        <f t="shared" si="3"/>
        <v>#N/A</v>
      </c>
      <c r="O44" s="360"/>
      <c r="P44" s="320"/>
      <c r="Q44" s="429"/>
    </row>
    <row r="45" spans="5:17" ht="16.5">
      <c r="E45" t="s">
        <v>4752</v>
      </c>
      <c r="F45" s="268">
        <v>44100</v>
      </c>
      <c r="H45" t="e">
        <f t="shared" si="1"/>
        <v>#N/A</v>
      </c>
      <c r="I45" t="e">
        <f t="shared" si="0"/>
        <v>#N/A</v>
      </c>
      <c r="L45" s="320" t="e">
        <f t="shared" si="2"/>
        <v>#N/A</v>
      </c>
      <c r="M45" s="268" t="e">
        <f t="shared" si="3"/>
        <v>#N/A</v>
      </c>
      <c r="O45" s="360"/>
      <c r="P45" s="320"/>
      <c r="Q45" s="429"/>
    </row>
    <row r="46" spans="5:17" ht="16.5">
      <c r="E46" t="s">
        <v>2847</v>
      </c>
      <c r="F46" s="268">
        <v>26200</v>
      </c>
      <c r="H46" t="e">
        <f t="shared" si="1"/>
        <v>#N/A</v>
      </c>
      <c r="I46" t="e">
        <f t="shared" si="0"/>
        <v>#N/A</v>
      </c>
      <c r="L46" s="320" t="e">
        <f t="shared" si="2"/>
        <v>#N/A</v>
      </c>
      <c r="M46" s="268" t="e">
        <f t="shared" si="3"/>
        <v>#N/A</v>
      </c>
      <c r="O46" s="360"/>
      <c r="P46" s="320"/>
      <c r="Q46" s="429"/>
    </row>
    <row r="47" spans="5:17" ht="16.5">
      <c r="E47" t="s">
        <v>2849</v>
      </c>
      <c r="F47" s="268">
        <v>13500</v>
      </c>
      <c r="H47" t="e">
        <f t="shared" si="1"/>
        <v>#N/A</v>
      </c>
      <c r="I47" t="e">
        <f t="shared" si="0"/>
        <v>#N/A</v>
      </c>
      <c r="L47" s="320" t="e">
        <f t="shared" si="2"/>
        <v>#N/A</v>
      </c>
      <c r="M47" s="268" t="e">
        <f t="shared" si="3"/>
        <v>#N/A</v>
      </c>
      <c r="O47" s="360"/>
      <c r="P47" s="320"/>
      <c r="Q47" s="429"/>
    </row>
    <row r="48" spans="5:17" ht="16.5">
      <c r="E48" t="s">
        <v>3391</v>
      </c>
      <c r="F48" s="268">
        <v>50400</v>
      </c>
      <c r="H48" t="e">
        <f t="shared" si="1"/>
        <v>#N/A</v>
      </c>
      <c r="I48" t="e">
        <f t="shared" si="0"/>
        <v>#N/A</v>
      </c>
      <c r="L48" s="320" t="e">
        <f t="shared" si="2"/>
        <v>#N/A</v>
      </c>
      <c r="M48" s="268" t="e">
        <f t="shared" si="3"/>
        <v>#N/A</v>
      </c>
      <c r="O48" s="360"/>
      <c r="P48" s="320"/>
      <c r="Q48" s="429"/>
    </row>
    <row r="49" spans="5:17" ht="16.5">
      <c r="E49" t="s">
        <v>2818</v>
      </c>
      <c r="F49" s="268">
        <v>10400</v>
      </c>
      <c r="H49" t="e">
        <f t="shared" si="1"/>
        <v>#N/A</v>
      </c>
      <c r="I49" t="e">
        <f t="shared" si="0"/>
        <v>#N/A</v>
      </c>
      <c r="L49" s="320" t="e">
        <f t="shared" si="2"/>
        <v>#N/A</v>
      </c>
      <c r="M49" s="268" t="e">
        <f t="shared" si="3"/>
        <v>#N/A</v>
      </c>
      <c r="O49" s="360"/>
      <c r="P49" s="320"/>
      <c r="Q49" s="429"/>
    </row>
    <row r="50" spans="5:17" ht="16.5">
      <c r="E50" t="s">
        <v>4733</v>
      </c>
      <c r="F50" s="268">
        <v>10500</v>
      </c>
      <c r="H50" t="e">
        <f t="shared" si="1"/>
        <v>#N/A</v>
      </c>
      <c r="I50" t="e">
        <f t="shared" si="0"/>
        <v>#N/A</v>
      </c>
      <c r="L50" s="320" t="e">
        <f t="shared" si="2"/>
        <v>#N/A</v>
      </c>
      <c r="M50" s="268" t="e">
        <f t="shared" si="3"/>
        <v>#N/A</v>
      </c>
      <c r="O50" s="360"/>
      <c r="P50" s="320"/>
      <c r="Q50" s="429"/>
    </row>
    <row r="51" spans="5:17" ht="16.5">
      <c r="E51" t="s">
        <v>3389</v>
      </c>
      <c r="F51" s="268">
        <v>25100</v>
      </c>
      <c r="H51" t="e">
        <f t="shared" si="1"/>
        <v>#N/A</v>
      </c>
      <c r="I51" t="e">
        <f t="shared" si="0"/>
        <v>#N/A</v>
      </c>
      <c r="L51" s="320" t="e">
        <f t="shared" si="2"/>
        <v>#N/A</v>
      </c>
      <c r="M51" s="268" t="e">
        <f t="shared" si="3"/>
        <v>#N/A</v>
      </c>
      <c r="O51" s="360"/>
      <c r="P51" s="320"/>
      <c r="Q51" s="429"/>
    </row>
    <row r="52" spans="5:17" ht="16.5">
      <c r="E52" t="s">
        <v>3380</v>
      </c>
      <c r="F52" s="268">
        <v>10900</v>
      </c>
      <c r="H52" t="e">
        <f t="shared" si="1"/>
        <v>#N/A</v>
      </c>
      <c r="I52" t="e">
        <f t="shared" si="0"/>
        <v>#N/A</v>
      </c>
      <c r="L52" s="320" t="e">
        <f t="shared" si="2"/>
        <v>#N/A</v>
      </c>
      <c r="M52" s="268" t="e">
        <f t="shared" si="3"/>
        <v>#N/A</v>
      </c>
      <c r="O52" s="360"/>
      <c r="P52" s="320"/>
      <c r="Q52" s="429"/>
    </row>
    <row r="53" spans="5:17" ht="16.5">
      <c r="E53" t="s">
        <v>4691</v>
      </c>
      <c r="F53" s="268">
        <v>10000</v>
      </c>
      <c r="H53" t="e">
        <f t="shared" si="1"/>
        <v>#N/A</v>
      </c>
      <c r="I53" t="e">
        <f t="shared" si="0"/>
        <v>#N/A</v>
      </c>
      <c r="L53" s="320" t="e">
        <f t="shared" si="2"/>
        <v>#N/A</v>
      </c>
      <c r="M53" s="268" t="e">
        <f t="shared" si="3"/>
        <v>#N/A</v>
      </c>
      <c r="O53" s="360"/>
      <c r="P53" s="320"/>
      <c r="Q53" s="429"/>
    </row>
    <row r="54" spans="5:17" ht="16.5">
      <c r="E54" t="s">
        <v>2739</v>
      </c>
      <c r="F54" s="268">
        <v>9400</v>
      </c>
      <c r="H54" t="e">
        <f t="shared" si="1"/>
        <v>#N/A</v>
      </c>
      <c r="I54" t="e">
        <f t="shared" si="0"/>
        <v>#N/A</v>
      </c>
      <c r="L54" s="320" t="e">
        <f t="shared" si="2"/>
        <v>#N/A</v>
      </c>
      <c r="M54" s="268" t="e">
        <f t="shared" si="3"/>
        <v>#N/A</v>
      </c>
      <c r="O54" s="360"/>
      <c r="P54" s="320"/>
      <c r="Q54" s="429"/>
    </row>
    <row r="55" spans="5:17" ht="16.5">
      <c r="E55" t="s">
        <v>4513</v>
      </c>
      <c r="F55" s="268">
        <v>9000</v>
      </c>
      <c r="H55" t="e">
        <f t="shared" si="1"/>
        <v>#N/A</v>
      </c>
      <c r="I55" t="e">
        <f t="shared" si="0"/>
        <v>#N/A</v>
      </c>
      <c r="L55" s="320" t="e">
        <f t="shared" si="2"/>
        <v>#N/A</v>
      </c>
      <c r="M55" s="268" t="e">
        <f t="shared" si="3"/>
        <v>#N/A</v>
      </c>
      <c r="O55" s="360"/>
      <c r="P55" s="320"/>
      <c r="Q55" s="429"/>
    </row>
    <row r="56" spans="5:17" ht="16.5">
      <c r="E56" t="s">
        <v>3245</v>
      </c>
      <c r="F56" s="268">
        <v>38300</v>
      </c>
      <c r="H56" t="e">
        <f t="shared" si="1"/>
        <v>#N/A</v>
      </c>
      <c r="I56" t="e">
        <f t="shared" si="0"/>
        <v>#N/A</v>
      </c>
      <c r="L56" s="320" t="e">
        <f t="shared" si="2"/>
        <v>#N/A</v>
      </c>
      <c r="M56" s="268" t="e">
        <f t="shared" si="3"/>
        <v>#N/A</v>
      </c>
      <c r="O56" s="360"/>
      <c r="P56" s="320"/>
      <c r="Q56" s="429"/>
    </row>
    <row r="57" spans="5:17" ht="16.5">
      <c r="E57" t="s">
        <v>3251</v>
      </c>
      <c r="F57" s="268">
        <v>38600</v>
      </c>
      <c r="H57" t="e">
        <f t="shared" si="1"/>
        <v>#N/A</v>
      </c>
      <c r="I57" t="e">
        <f t="shared" si="0"/>
        <v>#N/A</v>
      </c>
      <c r="L57" s="320" t="e">
        <f t="shared" si="2"/>
        <v>#N/A</v>
      </c>
      <c r="M57" s="268" t="e">
        <f t="shared" si="3"/>
        <v>#N/A</v>
      </c>
      <c r="O57" s="360"/>
      <c r="P57" s="320"/>
      <c r="Q57" s="429"/>
    </row>
    <row r="58" spans="5:17" ht="16.5">
      <c r="E58" t="s">
        <v>3120</v>
      </c>
      <c r="F58" s="268">
        <v>25500</v>
      </c>
      <c r="H58" t="e">
        <f t="shared" si="1"/>
        <v>#N/A</v>
      </c>
      <c r="I58" t="e">
        <f t="shared" si="0"/>
        <v>#N/A</v>
      </c>
      <c r="L58" s="320" t="e">
        <f t="shared" si="2"/>
        <v>#N/A</v>
      </c>
      <c r="M58" s="268" t="e">
        <f t="shared" si="3"/>
        <v>#N/A</v>
      </c>
      <c r="N58" s="444"/>
      <c r="O58" s="360"/>
      <c r="P58" s="320"/>
      <c r="Q58" s="429"/>
    </row>
    <row r="59" spans="5:17" ht="16.5">
      <c r="E59" t="s">
        <v>3264</v>
      </c>
      <c r="F59" s="268">
        <v>23400</v>
      </c>
      <c r="H59" t="e">
        <f t="shared" si="1"/>
        <v>#N/A</v>
      </c>
      <c r="I59" t="e">
        <f t="shared" si="0"/>
        <v>#N/A</v>
      </c>
      <c r="L59" s="320" t="e">
        <f t="shared" si="2"/>
        <v>#N/A</v>
      </c>
      <c r="M59" s="268" t="e">
        <f t="shared" si="3"/>
        <v>#N/A</v>
      </c>
      <c r="O59" s="360"/>
      <c r="P59" s="320"/>
      <c r="Q59" s="429"/>
    </row>
    <row r="60" spans="5:17" ht="16.5">
      <c r="E60" t="s">
        <v>3113</v>
      </c>
      <c r="F60" s="268">
        <v>26200</v>
      </c>
      <c r="H60" t="e">
        <f t="shared" si="1"/>
        <v>#N/A</v>
      </c>
      <c r="I60" t="e">
        <f t="shared" si="0"/>
        <v>#N/A</v>
      </c>
      <c r="L60" s="320" t="e">
        <f t="shared" si="2"/>
        <v>#N/A</v>
      </c>
      <c r="M60" s="268" t="e">
        <f t="shared" si="3"/>
        <v>#N/A</v>
      </c>
      <c r="O60" s="360"/>
      <c r="P60" s="320"/>
      <c r="Q60" s="429"/>
    </row>
    <row r="61" spans="5:17" ht="16.5">
      <c r="E61" t="s">
        <v>3122</v>
      </c>
      <c r="F61" s="268">
        <v>11000</v>
      </c>
      <c r="H61" t="e">
        <f t="shared" si="1"/>
        <v>#N/A</v>
      </c>
      <c r="I61" t="e">
        <f t="shared" si="0"/>
        <v>#N/A</v>
      </c>
      <c r="L61" s="320" t="e">
        <f t="shared" si="2"/>
        <v>#N/A</v>
      </c>
      <c r="M61" s="268" t="e">
        <f t="shared" si="3"/>
        <v>#N/A</v>
      </c>
      <c r="O61" s="360"/>
      <c r="P61" s="320"/>
      <c r="Q61" s="429"/>
    </row>
    <row r="62" spans="5:17" ht="16.5">
      <c r="E62" t="s">
        <v>3417</v>
      </c>
      <c r="F62" s="268">
        <v>2000</v>
      </c>
      <c r="H62" t="e">
        <f t="shared" si="1"/>
        <v>#N/A</v>
      </c>
      <c r="I62" t="e">
        <f t="shared" si="0"/>
        <v>#N/A</v>
      </c>
      <c r="L62" s="320" t="e">
        <f t="shared" si="2"/>
        <v>#N/A</v>
      </c>
      <c r="M62" s="268" t="e">
        <f t="shared" si="3"/>
        <v>#N/A</v>
      </c>
      <c r="O62" s="360"/>
      <c r="P62" s="320"/>
      <c r="Q62" s="429"/>
    </row>
    <row r="63" spans="5:17" ht="16.5">
      <c r="E63" t="s">
        <v>3464</v>
      </c>
      <c r="F63" s="268">
        <v>2000</v>
      </c>
      <c r="H63" t="e">
        <f t="shared" si="1"/>
        <v>#N/A</v>
      </c>
      <c r="I63" t="e">
        <f t="shared" si="0"/>
        <v>#N/A</v>
      </c>
      <c r="L63" s="320" t="e">
        <f t="shared" si="2"/>
        <v>#N/A</v>
      </c>
      <c r="M63" s="268" t="e">
        <f t="shared" si="3"/>
        <v>#N/A</v>
      </c>
      <c r="O63" s="360"/>
      <c r="P63" s="320"/>
      <c r="Q63" s="429"/>
    </row>
    <row r="64" spans="5:17" ht="16.5">
      <c r="E64" t="s">
        <v>3530</v>
      </c>
      <c r="F64" s="268">
        <v>10200</v>
      </c>
      <c r="H64" t="e">
        <f t="shared" si="1"/>
        <v>#N/A</v>
      </c>
      <c r="I64" t="e">
        <f t="shared" si="0"/>
        <v>#N/A</v>
      </c>
      <c r="L64" s="320" t="e">
        <f t="shared" si="2"/>
        <v>#N/A</v>
      </c>
      <c r="M64" s="268" t="e">
        <f t="shared" si="3"/>
        <v>#N/A</v>
      </c>
      <c r="O64" s="360"/>
      <c r="P64" s="320"/>
      <c r="Q64" s="429"/>
    </row>
    <row r="65" spans="5:17" ht="16.5">
      <c r="E65" t="s">
        <v>4506</v>
      </c>
      <c r="F65" s="268">
        <v>17600</v>
      </c>
      <c r="H65" t="e">
        <f t="shared" si="1"/>
        <v>#N/A</v>
      </c>
      <c r="I65" t="e">
        <f t="shared" si="0"/>
        <v>#N/A</v>
      </c>
      <c r="L65" s="320" t="e">
        <f t="shared" si="2"/>
        <v>#N/A</v>
      </c>
      <c r="M65" s="268" t="e">
        <f t="shared" si="3"/>
        <v>#N/A</v>
      </c>
      <c r="O65" s="360"/>
      <c r="P65" s="320"/>
      <c r="Q65" s="429"/>
    </row>
    <row r="66" spans="5:17" ht="16.5">
      <c r="E66" t="s">
        <v>4502</v>
      </c>
      <c r="F66" s="268">
        <v>12200</v>
      </c>
      <c r="H66" t="e">
        <f t="shared" si="1"/>
        <v>#N/A</v>
      </c>
      <c r="I66" t="e">
        <f t="shared" si="0"/>
        <v>#N/A</v>
      </c>
      <c r="L66" s="320" t="e">
        <f t="shared" si="2"/>
        <v>#N/A</v>
      </c>
      <c r="M66" s="268" t="e">
        <f t="shared" si="3"/>
        <v>#N/A</v>
      </c>
      <c r="N66" s="444"/>
      <c r="O66" s="360"/>
      <c r="P66" s="320"/>
      <c r="Q66" s="429"/>
    </row>
    <row r="67" spans="5:17" ht="16.5">
      <c r="E67" t="s">
        <v>3342</v>
      </c>
      <c r="F67" s="268">
        <v>11300</v>
      </c>
      <c r="H67" t="e">
        <f t="shared" si="1"/>
        <v>#N/A</v>
      </c>
      <c r="I67" t="e">
        <f t="shared" si="0"/>
        <v>#N/A</v>
      </c>
      <c r="L67" s="320" t="e">
        <f t="shared" si="2"/>
        <v>#N/A</v>
      </c>
      <c r="M67" s="268" t="e">
        <f t="shared" si="3"/>
        <v>#N/A</v>
      </c>
      <c r="O67" s="360"/>
      <c r="P67" s="320"/>
      <c r="Q67" s="429"/>
    </row>
    <row r="68" spans="5:17" ht="16.5">
      <c r="E68" t="s">
        <v>4128</v>
      </c>
      <c r="F68" s="268">
        <v>10000</v>
      </c>
      <c r="H68" t="e">
        <f t="shared" si="1"/>
        <v>#N/A</v>
      </c>
      <c r="I68" t="e">
        <f t="shared" si="0"/>
        <v>#N/A</v>
      </c>
      <c r="L68" s="320" t="e">
        <f t="shared" si="2"/>
        <v>#N/A</v>
      </c>
      <c r="M68" s="268" t="e">
        <f t="shared" si="3"/>
        <v>#N/A</v>
      </c>
      <c r="O68" s="360"/>
      <c r="P68" s="320"/>
      <c r="Q68" s="429"/>
    </row>
    <row r="69" spans="5:17" ht="16.5">
      <c r="E69" t="s">
        <v>3335</v>
      </c>
      <c r="F69" s="268">
        <v>23100</v>
      </c>
      <c r="H69" t="e">
        <f t="shared" si="1"/>
        <v>#N/A</v>
      </c>
      <c r="I69" t="e">
        <f t="shared" ref="I69:I132" si="4">VLOOKUP(A69,E:F,1,FALSE)</f>
        <v>#N/A</v>
      </c>
      <c r="L69" s="320" t="e">
        <f t="shared" si="2"/>
        <v>#N/A</v>
      </c>
      <c r="M69" s="268" t="e">
        <f t="shared" si="3"/>
        <v>#N/A</v>
      </c>
      <c r="O69" s="360"/>
      <c r="P69" s="320"/>
      <c r="Q69" s="429"/>
    </row>
    <row r="70" spans="5:17" ht="16.5">
      <c r="E70" t="s">
        <v>3797</v>
      </c>
      <c r="F70" s="268">
        <v>36300</v>
      </c>
      <c r="H70" t="e">
        <f t="shared" ref="H70:H133" si="5">VLOOKUP(E70,A:B,1,FALSE)</f>
        <v>#N/A</v>
      </c>
      <c r="I70" t="e">
        <f t="shared" si="4"/>
        <v>#N/A</v>
      </c>
      <c r="L70" s="320" t="e">
        <f t="shared" ref="L70:L133" si="6">_xlfn.XLOOKUP(E70,A:A,B:B,,0)</f>
        <v>#N/A</v>
      </c>
      <c r="M70" s="268" t="e">
        <f t="shared" ref="M70:M133" si="7">L70-F70</f>
        <v>#N/A</v>
      </c>
      <c r="O70" s="360"/>
      <c r="P70" s="320"/>
      <c r="Q70" s="429"/>
    </row>
    <row r="71" spans="5:17" ht="16.5">
      <c r="E71" t="s">
        <v>3548</v>
      </c>
      <c r="F71" s="268">
        <v>9600</v>
      </c>
      <c r="H71" t="e">
        <f t="shared" si="5"/>
        <v>#N/A</v>
      </c>
      <c r="I71" t="e">
        <f t="shared" si="4"/>
        <v>#N/A</v>
      </c>
      <c r="L71" s="320" t="e">
        <f t="shared" si="6"/>
        <v>#N/A</v>
      </c>
      <c r="M71" s="268" t="e">
        <f t="shared" si="7"/>
        <v>#N/A</v>
      </c>
      <c r="O71" s="360"/>
      <c r="P71" s="320"/>
      <c r="Q71" s="429"/>
    </row>
    <row r="72" spans="5:17" ht="16.5">
      <c r="E72" t="s">
        <v>3561</v>
      </c>
      <c r="F72" s="268">
        <v>3900</v>
      </c>
      <c r="H72" t="e">
        <f t="shared" si="5"/>
        <v>#N/A</v>
      </c>
      <c r="I72" t="e">
        <f t="shared" si="4"/>
        <v>#N/A</v>
      </c>
      <c r="L72" s="320" t="e">
        <f t="shared" si="6"/>
        <v>#N/A</v>
      </c>
      <c r="M72" s="268" t="e">
        <f t="shared" si="7"/>
        <v>#N/A</v>
      </c>
      <c r="O72" s="360"/>
      <c r="P72" s="320"/>
      <c r="Q72" s="429"/>
    </row>
    <row r="73" spans="5:17" ht="16.5">
      <c r="E73" t="s">
        <v>3554</v>
      </c>
      <c r="F73" s="268">
        <v>9600</v>
      </c>
      <c r="H73" t="e">
        <f t="shared" si="5"/>
        <v>#N/A</v>
      </c>
      <c r="I73" t="e">
        <f t="shared" si="4"/>
        <v>#N/A</v>
      </c>
      <c r="L73" s="320" t="e">
        <f t="shared" si="6"/>
        <v>#N/A</v>
      </c>
      <c r="M73" s="268" t="e">
        <f t="shared" si="7"/>
        <v>#N/A</v>
      </c>
      <c r="O73" s="360"/>
      <c r="P73" s="320"/>
      <c r="Q73" s="429"/>
    </row>
    <row r="74" spans="5:17" ht="16.5">
      <c r="E74" t="s">
        <v>3568</v>
      </c>
      <c r="F74" s="268">
        <v>3700</v>
      </c>
      <c r="H74" t="e">
        <f t="shared" si="5"/>
        <v>#N/A</v>
      </c>
      <c r="I74" t="e">
        <f t="shared" si="4"/>
        <v>#N/A</v>
      </c>
      <c r="L74" s="320" t="e">
        <f t="shared" si="6"/>
        <v>#N/A</v>
      </c>
      <c r="M74" s="268" t="e">
        <f t="shared" si="7"/>
        <v>#N/A</v>
      </c>
      <c r="O74" s="360"/>
      <c r="P74" s="320"/>
      <c r="Q74" s="429"/>
    </row>
    <row r="75" spans="5:17" ht="16.5">
      <c r="E75" t="s">
        <v>3381</v>
      </c>
      <c r="F75" s="268">
        <v>19500</v>
      </c>
      <c r="H75" t="e">
        <f t="shared" si="5"/>
        <v>#N/A</v>
      </c>
      <c r="I75" t="e">
        <f t="shared" si="4"/>
        <v>#N/A</v>
      </c>
      <c r="L75" s="320" t="e">
        <f t="shared" si="6"/>
        <v>#N/A</v>
      </c>
      <c r="M75" s="268" t="e">
        <f t="shared" si="7"/>
        <v>#N/A</v>
      </c>
      <c r="O75" s="360"/>
      <c r="P75" s="320"/>
      <c r="Q75" s="429"/>
    </row>
    <row r="76" spans="5:17" ht="16.5">
      <c r="E76" t="s">
        <v>5135</v>
      </c>
      <c r="F76" s="268">
        <v>20800</v>
      </c>
      <c r="H76" t="e">
        <f t="shared" si="5"/>
        <v>#N/A</v>
      </c>
      <c r="I76" t="e">
        <f t="shared" si="4"/>
        <v>#N/A</v>
      </c>
      <c r="L76" s="320" t="e">
        <f t="shared" si="6"/>
        <v>#N/A</v>
      </c>
      <c r="M76" s="268" t="e">
        <f t="shared" si="7"/>
        <v>#N/A</v>
      </c>
      <c r="O76" s="360"/>
      <c r="P76" s="320"/>
      <c r="Q76" s="429"/>
    </row>
    <row r="77" spans="5:17" ht="16.5">
      <c r="E77" t="s">
        <v>3675</v>
      </c>
      <c r="F77" s="268">
        <v>5800</v>
      </c>
      <c r="H77" t="e">
        <f t="shared" si="5"/>
        <v>#N/A</v>
      </c>
      <c r="I77" t="e">
        <f t="shared" si="4"/>
        <v>#N/A</v>
      </c>
      <c r="L77" s="320" t="e">
        <f t="shared" si="6"/>
        <v>#N/A</v>
      </c>
      <c r="M77" s="268" t="e">
        <f t="shared" si="7"/>
        <v>#N/A</v>
      </c>
      <c r="O77" s="360"/>
      <c r="P77" s="320"/>
      <c r="Q77" s="429"/>
    </row>
    <row r="78" spans="5:17" ht="16.5">
      <c r="E78" t="s">
        <v>3750</v>
      </c>
      <c r="F78" s="268">
        <v>1700</v>
      </c>
      <c r="H78" t="e">
        <f t="shared" si="5"/>
        <v>#N/A</v>
      </c>
      <c r="I78" t="e">
        <f t="shared" si="4"/>
        <v>#N/A</v>
      </c>
      <c r="L78" s="320" t="e">
        <f t="shared" si="6"/>
        <v>#N/A</v>
      </c>
      <c r="M78" s="268" t="e">
        <f t="shared" si="7"/>
        <v>#N/A</v>
      </c>
      <c r="O78" s="360"/>
      <c r="P78" s="320"/>
      <c r="Q78" s="429"/>
    </row>
    <row r="79" spans="5:17" ht="16.5">
      <c r="E79" t="s">
        <v>3678</v>
      </c>
      <c r="F79" s="268">
        <v>1500</v>
      </c>
      <c r="H79" t="e">
        <f t="shared" si="5"/>
        <v>#N/A</v>
      </c>
      <c r="I79" t="e">
        <f t="shared" si="4"/>
        <v>#N/A</v>
      </c>
      <c r="L79" s="320" t="e">
        <f t="shared" si="6"/>
        <v>#N/A</v>
      </c>
      <c r="M79" s="268" t="e">
        <f t="shared" si="7"/>
        <v>#N/A</v>
      </c>
      <c r="O79" s="360"/>
      <c r="P79" s="320"/>
      <c r="Q79" s="429"/>
    </row>
    <row r="80" spans="5:17" ht="16.5">
      <c r="E80" t="s">
        <v>5136</v>
      </c>
      <c r="F80" s="268">
        <v>52400</v>
      </c>
      <c r="H80" t="e">
        <f t="shared" si="5"/>
        <v>#N/A</v>
      </c>
      <c r="I80" t="e">
        <f t="shared" si="4"/>
        <v>#N/A</v>
      </c>
      <c r="L80" s="320" t="e">
        <f t="shared" si="6"/>
        <v>#N/A</v>
      </c>
      <c r="M80" s="268" t="e">
        <f t="shared" si="7"/>
        <v>#N/A</v>
      </c>
      <c r="O80" s="360"/>
      <c r="P80" s="320"/>
      <c r="Q80" s="429"/>
    </row>
    <row r="81" spans="5:17" ht="16.5">
      <c r="E81" t="s">
        <v>4955</v>
      </c>
      <c r="F81" s="268">
        <v>52300</v>
      </c>
      <c r="H81" t="e">
        <f t="shared" si="5"/>
        <v>#N/A</v>
      </c>
      <c r="I81" t="e">
        <f t="shared" si="4"/>
        <v>#N/A</v>
      </c>
      <c r="L81" s="320" t="e">
        <f t="shared" si="6"/>
        <v>#N/A</v>
      </c>
      <c r="M81" s="268" t="e">
        <f t="shared" si="7"/>
        <v>#N/A</v>
      </c>
      <c r="O81" s="360"/>
      <c r="P81" s="320"/>
      <c r="Q81" s="429"/>
    </row>
    <row r="82" spans="5:17" ht="16.5">
      <c r="E82" t="s">
        <v>4983</v>
      </c>
      <c r="F82" s="268">
        <v>69500</v>
      </c>
      <c r="H82" t="e">
        <f t="shared" si="5"/>
        <v>#N/A</v>
      </c>
      <c r="I82" t="e">
        <f t="shared" si="4"/>
        <v>#N/A</v>
      </c>
      <c r="L82" s="320" t="e">
        <f t="shared" si="6"/>
        <v>#N/A</v>
      </c>
      <c r="M82" s="268" t="e">
        <f t="shared" si="7"/>
        <v>#N/A</v>
      </c>
      <c r="O82" s="360"/>
      <c r="P82" s="320"/>
      <c r="Q82" s="429"/>
    </row>
    <row r="83" spans="5:17" ht="16.5">
      <c r="E83" t="s">
        <v>4112</v>
      </c>
      <c r="F83" s="268">
        <v>25600</v>
      </c>
      <c r="H83" t="e">
        <f t="shared" si="5"/>
        <v>#N/A</v>
      </c>
      <c r="I83" t="e">
        <f t="shared" si="4"/>
        <v>#N/A</v>
      </c>
      <c r="L83" s="320" t="e">
        <f t="shared" si="6"/>
        <v>#N/A</v>
      </c>
      <c r="M83" s="268" t="e">
        <f t="shared" si="7"/>
        <v>#N/A</v>
      </c>
      <c r="O83" s="360"/>
      <c r="P83" s="320"/>
      <c r="Q83" s="429"/>
    </row>
    <row r="84" spans="5:17" ht="16.5">
      <c r="E84" t="s">
        <v>4106</v>
      </c>
      <c r="F84" s="268">
        <v>22900</v>
      </c>
      <c r="H84" t="e">
        <f t="shared" si="5"/>
        <v>#N/A</v>
      </c>
      <c r="I84" t="e">
        <f t="shared" si="4"/>
        <v>#N/A</v>
      </c>
      <c r="L84" s="320" t="e">
        <f t="shared" si="6"/>
        <v>#N/A</v>
      </c>
      <c r="M84" s="268" t="e">
        <f t="shared" si="7"/>
        <v>#N/A</v>
      </c>
      <c r="O84" s="360"/>
      <c r="P84" s="320"/>
      <c r="Q84" s="429"/>
    </row>
    <row r="85" spans="5:17" ht="16.5">
      <c r="E85" t="s">
        <v>4090</v>
      </c>
      <c r="F85" s="268">
        <v>23300</v>
      </c>
      <c r="H85" t="e">
        <f t="shared" si="5"/>
        <v>#N/A</v>
      </c>
      <c r="I85" t="e">
        <f t="shared" si="4"/>
        <v>#N/A</v>
      </c>
      <c r="L85" s="320" t="e">
        <f t="shared" si="6"/>
        <v>#N/A</v>
      </c>
      <c r="M85" s="268" t="e">
        <f t="shared" si="7"/>
        <v>#N/A</v>
      </c>
      <c r="O85" s="360"/>
      <c r="P85" s="320"/>
      <c r="Q85" s="429"/>
    </row>
    <row r="86" spans="5:17" ht="16.5">
      <c r="E86" t="s">
        <v>4369</v>
      </c>
      <c r="F86" s="268">
        <v>9600</v>
      </c>
      <c r="H86" t="e">
        <f t="shared" si="5"/>
        <v>#N/A</v>
      </c>
      <c r="I86" t="e">
        <f t="shared" si="4"/>
        <v>#N/A</v>
      </c>
      <c r="L86" s="320" t="e">
        <f t="shared" si="6"/>
        <v>#N/A</v>
      </c>
      <c r="M86" s="268" t="e">
        <f t="shared" si="7"/>
        <v>#N/A</v>
      </c>
      <c r="O86" s="360"/>
      <c r="P86" s="320"/>
      <c r="Q86" s="429"/>
    </row>
    <row r="87" spans="5:17" ht="16.5">
      <c r="E87" t="s">
        <v>4533</v>
      </c>
      <c r="F87" s="268">
        <v>1600</v>
      </c>
      <c r="H87" t="e">
        <f t="shared" si="5"/>
        <v>#N/A</v>
      </c>
      <c r="I87" t="e">
        <f t="shared" si="4"/>
        <v>#N/A</v>
      </c>
      <c r="L87" s="320" t="e">
        <f t="shared" si="6"/>
        <v>#N/A</v>
      </c>
      <c r="M87" s="268" t="e">
        <f t="shared" si="7"/>
        <v>#N/A</v>
      </c>
      <c r="O87" s="360"/>
      <c r="P87" s="320"/>
      <c r="Q87" s="429"/>
    </row>
    <row r="88" spans="5:17" ht="16.5">
      <c r="E88" t="s">
        <v>4541</v>
      </c>
      <c r="F88" s="268">
        <v>2700</v>
      </c>
      <c r="H88" t="e">
        <f t="shared" si="5"/>
        <v>#N/A</v>
      </c>
      <c r="I88" t="e">
        <f t="shared" si="4"/>
        <v>#N/A</v>
      </c>
      <c r="L88" s="320" t="e">
        <f t="shared" si="6"/>
        <v>#N/A</v>
      </c>
      <c r="M88" s="268" t="e">
        <f t="shared" si="7"/>
        <v>#N/A</v>
      </c>
      <c r="O88" s="360"/>
      <c r="P88" s="320"/>
      <c r="Q88" s="429"/>
    </row>
    <row r="89" spans="5:17" ht="16.5">
      <c r="E89" t="s">
        <v>4536</v>
      </c>
      <c r="F89" s="268">
        <v>1600</v>
      </c>
      <c r="H89" t="e">
        <f t="shared" si="5"/>
        <v>#N/A</v>
      </c>
      <c r="I89" t="e">
        <f t="shared" si="4"/>
        <v>#N/A</v>
      </c>
      <c r="L89" s="320" t="e">
        <f t="shared" si="6"/>
        <v>#N/A</v>
      </c>
      <c r="M89" s="268" t="e">
        <f t="shared" si="7"/>
        <v>#N/A</v>
      </c>
      <c r="O89" s="360"/>
      <c r="P89" s="320"/>
      <c r="Q89" s="429"/>
    </row>
    <row r="90" spans="5:17" ht="16.5">
      <c r="E90" t="s">
        <v>4714</v>
      </c>
      <c r="F90" s="268">
        <v>19800</v>
      </c>
      <c r="H90" t="e">
        <f t="shared" si="5"/>
        <v>#N/A</v>
      </c>
      <c r="I90" t="e">
        <f t="shared" si="4"/>
        <v>#N/A</v>
      </c>
      <c r="L90" s="320" t="e">
        <f t="shared" si="6"/>
        <v>#N/A</v>
      </c>
      <c r="M90" s="268" t="e">
        <f t="shared" si="7"/>
        <v>#N/A</v>
      </c>
      <c r="O90" s="360"/>
      <c r="P90" s="320"/>
      <c r="Q90" s="429"/>
    </row>
    <row r="91" spans="5:17" ht="16.5">
      <c r="E91" t="s">
        <v>4698</v>
      </c>
      <c r="F91" s="268">
        <v>23600</v>
      </c>
      <c r="H91" t="e">
        <f t="shared" si="5"/>
        <v>#N/A</v>
      </c>
      <c r="I91" t="e">
        <f t="shared" si="4"/>
        <v>#N/A</v>
      </c>
      <c r="L91" s="320" t="e">
        <f t="shared" si="6"/>
        <v>#N/A</v>
      </c>
      <c r="M91" s="268" t="e">
        <f t="shared" si="7"/>
        <v>#N/A</v>
      </c>
      <c r="O91" s="360"/>
      <c r="P91" s="320"/>
      <c r="Q91" s="429"/>
    </row>
    <row r="92" spans="5:17" ht="16.5">
      <c r="E92" t="s">
        <v>4706</v>
      </c>
      <c r="F92" s="268">
        <v>19900</v>
      </c>
      <c r="H92" t="e">
        <f t="shared" si="5"/>
        <v>#N/A</v>
      </c>
      <c r="I92" t="e">
        <f t="shared" si="4"/>
        <v>#N/A</v>
      </c>
      <c r="L92" s="320" t="e">
        <f t="shared" si="6"/>
        <v>#N/A</v>
      </c>
      <c r="M92" s="268" t="e">
        <f t="shared" si="7"/>
        <v>#N/A</v>
      </c>
      <c r="O92" s="360"/>
      <c r="P92" s="320"/>
      <c r="Q92" s="429"/>
    </row>
    <row r="93" spans="5:17" ht="16.5">
      <c r="E93" t="s">
        <v>4911</v>
      </c>
      <c r="F93" s="268">
        <v>24400</v>
      </c>
      <c r="H93" t="e">
        <f t="shared" si="5"/>
        <v>#N/A</v>
      </c>
      <c r="I93" t="e">
        <f t="shared" si="4"/>
        <v>#N/A</v>
      </c>
      <c r="L93" s="320" t="e">
        <f t="shared" si="6"/>
        <v>#N/A</v>
      </c>
      <c r="M93" s="268" t="e">
        <f t="shared" si="7"/>
        <v>#N/A</v>
      </c>
      <c r="O93" s="360"/>
      <c r="P93" s="320"/>
      <c r="Q93" s="429"/>
    </row>
    <row r="94" spans="5:17" ht="16.5">
      <c r="E94" t="s">
        <v>4970</v>
      </c>
      <c r="F94" s="268">
        <v>10600</v>
      </c>
      <c r="H94" t="e">
        <f t="shared" si="5"/>
        <v>#N/A</v>
      </c>
      <c r="I94" t="e">
        <f t="shared" si="4"/>
        <v>#N/A</v>
      </c>
      <c r="L94" s="320" t="e">
        <f t="shared" si="6"/>
        <v>#N/A</v>
      </c>
      <c r="M94" s="268" t="e">
        <f t="shared" si="7"/>
        <v>#N/A</v>
      </c>
      <c r="O94" s="360"/>
      <c r="P94" s="320"/>
      <c r="Q94" s="429"/>
    </row>
    <row r="95" spans="5:17" ht="16.5">
      <c r="E95" t="s">
        <v>5030</v>
      </c>
      <c r="F95" s="268">
        <v>1400</v>
      </c>
      <c r="H95" t="e">
        <f t="shared" si="5"/>
        <v>#N/A</v>
      </c>
      <c r="I95" t="e">
        <f t="shared" si="4"/>
        <v>#N/A</v>
      </c>
      <c r="L95" s="320" t="e">
        <f t="shared" si="6"/>
        <v>#N/A</v>
      </c>
      <c r="M95" s="268" t="e">
        <f t="shared" si="7"/>
        <v>#N/A</v>
      </c>
      <c r="O95" s="360"/>
      <c r="P95" s="320"/>
      <c r="Q95" s="429"/>
    </row>
    <row r="96" spans="5:17" ht="16.5">
      <c r="E96" t="s">
        <v>2878</v>
      </c>
      <c r="F96" s="268">
        <v>129200</v>
      </c>
      <c r="H96" t="e">
        <f t="shared" si="5"/>
        <v>#N/A</v>
      </c>
      <c r="I96" t="e">
        <f t="shared" si="4"/>
        <v>#N/A</v>
      </c>
      <c r="L96" s="320" t="e">
        <f t="shared" si="6"/>
        <v>#N/A</v>
      </c>
      <c r="M96" s="268" t="e">
        <f t="shared" si="7"/>
        <v>#N/A</v>
      </c>
      <c r="O96" s="360"/>
      <c r="P96" s="320"/>
      <c r="Q96" s="429"/>
    </row>
    <row r="97" spans="5:17" ht="16.5">
      <c r="E97" t="s">
        <v>2894</v>
      </c>
      <c r="F97" s="268">
        <v>26800</v>
      </c>
      <c r="H97" t="e">
        <f>VLOOKUP(E97,A:B,1,FALSE)</f>
        <v>#N/A</v>
      </c>
      <c r="I97" t="e">
        <f t="shared" si="4"/>
        <v>#N/A</v>
      </c>
      <c r="L97" s="320" t="e">
        <f t="shared" si="6"/>
        <v>#N/A</v>
      </c>
      <c r="M97" s="268" t="e">
        <f t="shared" si="7"/>
        <v>#N/A</v>
      </c>
      <c r="O97" s="360"/>
      <c r="P97" s="320"/>
      <c r="Q97" s="429"/>
    </row>
    <row r="98" spans="5:17" ht="16.5">
      <c r="E98" t="s">
        <v>3105</v>
      </c>
      <c r="F98" s="268">
        <v>129600</v>
      </c>
      <c r="H98" t="e">
        <f t="shared" si="5"/>
        <v>#N/A</v>
      </c>
      <c r="I98" t="e">
        <f t="shared" si="4"/>
        <v>#N/A</v>
      </c>
      <c r="L98" s="320" t="e">
        <f t="shared" si="6"/>
        <v>#N/A</v>
      </c>
      <c r="M98" s="268" t="e">
        <f t="shared" si="7"/>
        <v>#N/A</v>
      </c>
      <c r="O98" s="360"/>
      <c r="P98" s="320"/>
      <c r="Q98" s="429"/>
    </row>
    <row r="99" spans="5:17" ht="16.5">
      <c r="E99" t="s">
        <v>2900</v>
      </c>
      <c r="F99" s="268">
        <v>98900</v>
      </c>
      <c r="H99" t="e">
        <f t="shared" si="5"/>
        <v>#N/A</v>
      </c>
      <c r="I99" t="e">
        <f t="shared" si="4"/>
        <v>#N/A</v>
      </c>
      <c r="L99" s="320" t="e">
        <f t="shared" si="6"/>
        <v>#N/A</v>
      </c>
      <c r="M99" s="268" t="e">
        <f t="shared" si="7"/>
        <v>#N/A</v>
      </c>
      <c r="O99" s="360"/>
      <c r="P99" s="320"/>
      <c r="Q99" s="429"/>
    </row>
    <row r="100" spans="5:17" ht="16.5">
      <c r="E100" t="s">
        <v>3256</v>
      </c>
      <c r="F100" s="268">
        <v>22500</v>
      </c>
      <c r="H100" t="e">
        <f t="shared" si="5"/>
        <v>#N/A</v>
      </c>
      <c r="I100" t="e">
        <f t="shared" si="4"/>
        <v>#N/A</v>
      </c>
      <c r="L100" s="320" t="e">
        <f t="shared" si="6"/>
        <v>#N/A</v>
      </c>
      <c r="M100" s="268" t="e">
        <f t="shared" si="7"/>
        <v>#N/A</v>
      </c>
      <c r="O100" s="360"/>
      <c r="P100" s="320"/>
      <c r="Q100" s="429"/>
    </row>
    <row r="101" spans="5:17" ht="16.5">
      <c r="E101" t="s">
        <v>2885</v>
      </c>
      <c r="F101" s="268">
        <v>92900</v>
      </c>
      <c r="H101" t="e">
        <f t="shared" si="5"/>
        <v>#N/A</v>
      </c>
      <c r="I101" t="e">
        <f t="shared" si="4"/>
        <v>#N/A</v>
      </c>
      <c r="L101" s="320" t="e">
        <f t="shared" si="6"/>
        <v>#N/A</v>
      </c>
      <c r="M101" s="268" t="e">
        <f t="shared" si="7"/>
        <v>#N/A</v>
      </c>
      <c r="O101" s="360"/>
      <c r="P101" s="320"/>
      <c r="Q101" s="429"/>
    </row>
    <row r="102" spans="5:17" ht="16.5">
      <c r="E102" t="s">
        <v>2822</v>
      </c>
      <c r="F102" s="268">
        <v>24700</v>
      </c>
      <c r="H102" t="e">
        <f t="shared" si="5"/>
        <v>#N/A</v>
      </c>
      <c r="I102" t="e">
        <f t="shared" si="4"/>
        <v>#N/A</v>
      </c>
      <c r="L102" s="320" t="e">
        <f t="shared" si="6"/>
        <v>#N/A</v>
      </c>
      <c r="M102" s="268" t="e">
        <f t="shared" si="7"/>
        <v>#N/A</v>
      </c>
      <c r="O102" s="360"/>
      <c r="P102" s="320"/>
      <c r="Q102" s="429"/>
    </row>
    <row r="103" spans="5:17" ht="16.5">
      <c r="E103" t="s">
        <v>2828</v>
      </c>
      <c r="F103" s="268">
        <v>25100</v>
      </c>
      <c r="H103" t="e">
        <f t="shared" si="5"/>
        <v>#N/A</v>
      </c>
      <c r="I103" t="e">
        <f t="shared" si="4"/>
        <v>#N/A</v>
      </c>
      <c r="L103" s="320" t="e">
        <f t="shared" si="6"/>
        <v>#N/A</v>
      </c>
      <c r="M103" s="268" t="e">
        <f t="shared" si="7"/>
        <v>#N/A</v>
      </c>
      <c r="O103" s="360"/>
      <c r="P103" s="320"/>
      <c r="Q103" s="429"/>
    </row>
    <row r="104" spans="5:17" ht="16.5">
      <c r="E104" t="s">
        <v>3967</v>
      </c>
      <c r="F104" s="268">
        <v>111500</v>
      </c>
      <c r="H104" t="e">
        <f t="shared" si="5"/>
        <v>#N/A</v>
      </c>
      <c r="I104" t="e">
        <f t="shared" si="4"/>
        <v>#N/A</v>
      </c>
      <c r="L104" s="320" t="e">
        <f t="shared" si="6"/>
        <v>#N/A</v>
      </c>
      <c r="M104" s="268" t="e">
        <f t="shared" si="7"/>
        <v>#N/A</v>
      </c>
      <c r="O104" s="360"/>
      <c r="P104" s="320"/>
      <c r="Q104" s="429"/>
    </row>
    <row r="105" spans="5:17" ht="16.5">
      <c r="E105" t="s">
        <v>3939</v>
      </c>
      <c r="F105" s="268">
        <v>111400</v>
      </c>
      <c r="H105" t="e">
        <f t="shared" si="5"/>
        <v>#N/A</v>
      </c>
      <c r="I105" t="e">
        <f t="shared" si="4"/>
        <v>#N/A</v>
      </c>
      <c r="L105" s="320" t="e">
        <f t="shared" si="6"/>
        <v>#N/A</v>
      </c>
      <c r="M105" s="268" t="e">
        <f t="shared" si="7"/>
        <v>#N/A</v>
      </c>
      <c r="O105" s="360"/>
      <c r="P105" s="320"/>
      <c r="Q105" s="429"/>
    </row>
    <row r="106" spans="5:17" ht="16.5">
      <c r="E106" t="s">
        <v>3322</v>
      </c>
      <c r="F106" s="268">
        <v>43400</v>
      </c>
      <c r="H106" t="e">
        <f t="shared" si="5"/>
        <v>#N/A</v>
      </c>
      <c r="I106" t="e">
        <f t="shared" si="4"/>
        <v>#N/A</v>
      </c>
      <c r="L106" s="320" t="e">
        <f t="shared" si="6"/>
        <v>#N/A</v>
      </c>
      <c r="M106" s="268" t="e">
        <f t="shared" si="7"/>
        <v>#N/A</v>
      </c>
      <c r="O106" s="360"/>
      <c r="P106" s="320"/>
      <c r="Q106" s="429"/>
    </row>
    <row r="107" spans="5:17" ht="16.5">
      <c r="E107" t="s">
        <v>3328</v>
      </c>
      <c r="F107" s="268">
        <v>43200</v>
      </c>
      <c r="H107" t="e">
        <f t="shared" si="5"/>
        <v>#N/A</v>
      </c>
      <c r="I107" t="e">
        <f t="shared" si="4"/>
        <v>#N/A</v>
      </c>
      <c r="L107" s="320" t="e">
        <f t="shared" si="6"/>
        <v>#N/A</v>
      </c>
      <c r="M107" s="268" t="e">
        <f t="shared" si="7"/>
        <v>#N/A</v>
      </c>
      <c r="O107" s="360"/>
      <c r="P107" s="320"/>
      <c r="Q107" s="429"/>
    </row>
    <row r="108" spans="5:17" ht="16.5">
      <c r="E108" t="s">
        <v>4859</v>
      </c>
      <c r="F108" s="268">
        <v>22000</v>
      </c>
      <c r="H108" t="e">
        <f t="shared" si="5"/>
        <v>#N/A</v>
      </c>
      <c r="I108" t="e">
        <f t="shared" si="4"/>
        <v>#N/A</v>
      </c>
      <c r="L108" s="320" t="e">
        <f t="shared" si="6"/>
        <v>#N/A</v>
      </c>
      <c r="M108" s="268" t="e">
        <f t="shared" si="7"/>
        <v>#N/A</v>
      </c>
      <c r="O108" s="360"/>
      <c r="P108" s="320"/>
      <c r="Q108" s="429"/>
    </row>
    <row r="109" spans="5:17" ht="16.5">
      <c r="E109" t="s">
        <v>3952</v>
      </c>
      <c r="F109" s="268">
        <v>24900</v>
      </c>
      <c r="H109" t="e">
        <f t="shared" si="5"/>
        <v>#N/A</v>
      </c>
      <c r="I109" t="e">
        <f t="shared" si="4"/>
        <v>#N/A</v>
      </c>
      <c r="L109" s="320" t="e">
        <f t="shared" si="6"/>
        <v>#N/A</v>
      </c>
      <c r="M109" s="268" t="e">
        <f t="shared" si="7"/>
        <v>#N/A</v>
      </c>
      <c r="O109" s="360"/>
      <c r="P109" s="320"/>
      <c r="Q109" s="429"/>
    </row>
    <row r="110" spans="5:17" ht="16.5">
      <c r="E110" t="s">
        <v>3985</v>
      </c>
      <c r="F110" s="268">
        <v>43300</v>
      </c>
      <c r="H110" t="e">
        <f t="shared" si="5"/>
        <v>#N/A</v>
      </c>
      <c r="I110" t="e">
        <f t="shared" si="4"/>
        <v>#N/A</v>
      </c>
      <c r="L110" s="320" t="e">
        <f t="shared" si="6"/>
        <v>#N/A</v>
      </c>
      <c r="M110" s="268" t="e">
        <f t="shared" si="7"/>
        <v>#N/A</v>
      </c>
      <c r="O110" s="360"/>
      <c r="P110" s="320"/>
      <c r="Q110" s="429"/>
    </row>
    <row r="111" spans="5:17" ht="16.5">
      <c r="E111" t="s">
        <v>3873</v>
      </c>
      <c r="F111" s="268">
        <v>79300</v>
      </c>
      <c r="H111" t="e">
        <f t="shared" si="5"/>
        <v>#N/A</v>
      </c>
      <c r="I111" t="e">
        <f t="shared" si="4"/>
        <v>#N/A</v>
      </c>
      <c r="L111" s="320" t="e">
        <f t="shared" si="6"/>
        <v>#N/A</v>
      </c>
      <c r="M111" s="268" t="e">
        <f t="shared" si="7"/>
        <v>#N/A</v>
      </c>
      <c r="O111" s="360"/>
      <c r="P111" s="320"/>
      <c r="Q111" s="429"/>
    </row>
    <row r="112" spans="5:17" ht="16.5">
      <c r="E112" t="s">
        <v>4306</v>
      </c>
      <c r="F112" s="268">
        <v>77100</v>
      </c>
      <c r="H112" t="e">
        <f t="shared" si="5"/>
        <v>#N/A</v>
      </c>
      <c r="I112" t="e">
        <f t="shared" si="4"/>
        <v>#N/A</v>
      </c>
      <c r="L112" s="320" t="e">
        <f t="shared" si="6"/>
        <v>#N/A</v>
      </c>
      <c r="M112" s="268" t="e">
        <f t="shared" si="7"/>
        <v>#N/A</v>
      </c>
      <c r="O112" s="360"/>
      <c r="P112" s="320"/>
      <c r="Q112" s="429"/>
    </row>
    <row r="113" spans="5:17" ht="16.5">
      <c r="E113" t="s">
        <v>4336</v>
      </c>
      <c r="F113" s="268">
        <v>121700</v>
      </c>
      <c r="H113" t="e">
        <f t="shared" si="5"/>
        <v>#N/A</v>
      </c>
      <c r="I113" t="e">
        <f t="shared" si="4"/>
        <v>#N/A</v>
      </c>
      <c r="L113" s="320" t="e">
        <f t="shared" si="6"/>
        <v>#N/A</v>
      </c>
      <c r="M113" s="268" t="e">
        <f t="shared" si="7"/>
        <v>#N/A</v>
      </c>
      <c r="O113" s="360"/>
      <c r="P113" s="320"/>
      <c r="Q113" s="429"/>
    </row>
    <row r="114" spans="5:17" ht="16.5">
      <c r="E114" t="s">
        <v>3959</v>
      </c>
      <c r="F114" s="268">
        <v>44700</v>
      </c>
      <c r="H114" t="e">
        <f t="shared" si="5"/>
        <v>#N/A</v>
      </c>
      <c r="I114" t="e">
        <f t="shared" si="4"/>
        <v>#N/A</v>
      </c>
      <c r="L114" s="320" t="e">
        <f t="shared" si="6"/>
        <v>#N/A</v>
      </c>
      <c r="M114" s="268" t="e">
        <f t="shared" si="7"/>
        <v>#N/A</v>
      </c>
      <c r="O114" s="360"/>
      <c r="P114" s="320"/>
      <c r="Q114" s="429"/>
    </row>
    <row r="115" spans="5:17" ht="16.5">
      <c r="E115" t="s">
        <v>4348</v>
      </c>
      <c r="F115" s="268">
        <v>21900</v>
      </c>
      <c r="H115" t="e">
        <f t="shared" si="5"/>
        <v>#N/A</v>
      </c>
      <c r="I115" t="e">
        <f t="shared" si="4"/>
        <v>#N/A</v>
      </c>
      <c r="L115" s="320" t="e">
        <f t="shared" si="6"/>
        <v>#N/A</v>
      </c>
      <c r="M115" s="268" t="e">
        <f t="shared" si="7"/>
        <v>#N/A</v>
      </c>
      <c r="N115" s="444"/>
      <c r="O115" s="360"/>
      <c r="P115" s="320"/>
      <c r="Q115" s="429"/>
    </row>
    <row r="116" spans="5:17" ht="16.5">
      <c r="E116" t="s">
        <v>3972</v>
      </c>
      <c r="F116" s="268">
        <v>35200</v>
      </c>
      <c r="H116" t="e">
        <f t="shared" si="5"/>
        <v>#N/A</v>
      </c>
      <c r="I116" t="e">
        <f t="shared" si="4"/>
        <v>#N/A</v>
      </c>
      <c r="L116" s="320" t="e">
        <f t="shared" si="6"/>
        <v>#N/A</v>
      </c>
      <c r="M116" s="268" t="e">
        <f t="shared" si="7"/>
        <v>#N/A</v>
      </c>
      <c r="O116" s="360"/>
      <c r="P116" s="320"/>
      <c r="Q116" s="429"/>
    </row>
    <row r="117" spans="5:17" ht="16.5">
      <c r="E117" t="s">
        <v>4353</v>
      </c>
      <c r="F117" s="268">
        <v>20200</v>
      </c>
      <c r="H117" t="e">
        <f t="shared" si="5"/>
        <v>#N/A</v>
      </c>
      <c r="I117" t="e">
        <f t="shared" si="4"/>
        <v>#N/A</v>
      </c>
      <c r="L117" s="320" t="e">
        <f t="shared" si="6"/>
        <v>#N/A</v>
      </c>
      <c r="M117" s="268" t="e">
        <f t="shared" si="7"/>
        <v>#N/A</v>
      </c>
      <c r="O117" s="360"/>
      <c r="P117" s="320"/>
      <c r="Q117" s="429"/>
    </row>
    <row r="118" spans="5:17" ht="16.5">
      <c r="E118" t="s">
        <v>4746</v>
      </c>
      <c r="F118" s="268">
        <v>99300</v>
      </c>
      <c r="H118" t="e">
        <f t="shared" si="5"/>
        <v>#N/A</v>
      </c>
      <c r="I118" t="e">
        <f t="shared" si="4"/>
        <v>#N/A</v>
      </c>
      <c r="L118" s="320" t="e">
        <f t="shared" si="6"/>
        <v>#N/A</v>
      </c>
      <c r="M118" s="268" t="e">
        <f t="shared" si="7"/>
        <v>#N/A</v>
      </c>
      <c r="O118" s="360"/>
      <c r="P118" s="320"/>
      <c r="Q118" s="429"/>
    </row>
    <row r="119" spans="5:17" ht="16.5">
      <c r="E119" t="s">
        <v>3208</v>
      </c>
      <c r="F119" s="268">
        <v>48400</v>
      </c>
      <c r="H119" t="e">
        <f t="shared" si="5"/>
        <v>#N/A</v>
      </c>
      <c r="I119" t="e">
        <f t="shared" si="4"/>
        <v>#N/A</v>
      </c>
      <c r="L119" s="320" t="e">
        <f t="shared" si="6"/>
        <v>#N/A</v>
      </c>
      <c r="M119" s="268" t="e">
        <f t="shared" si="7"/>
        <v>#N/A</v>
      </c>
      <c r="O119" s="360"/>
      <c r="P119" s="320"/>
      <c r="Q119" s="429"/>
    </row>
    <row r="120" spans="5:17" ht="16.5">
      <c r="E120" t="s">
        <v>5130</v>
      </c>
      <c r="F120" s="268">
        <v>26600</v>
      </c>
      <c r="H120" t="e">
        <f t="shared" si="5"/>
        <v>#N/A</v>
      </c>
      <c r="I120" t="e">
        <f t="shared" si="4"/>
        <v>#N/A</v>
      </c>
      <c r="L120" s="320" t="e">
        <f t="shared" si="6"/>
        <v>#N/A</v>
      </c>
      <c r="M120" s="268" t="e">
        <f t="shared" si="7"/>
        <v>#N/A</v>
      </c>
      <c r="O120" s="360"/>
      <c r="P120" s="320"/>
      <c r="Q120" s="429"/>
    </row>
    <row r="121" spans="5:17" ht="16.5">
      <c r="E121" t="s">
        <v>3203</v>
      </c>
      <c r="F121" s="268">
        <v>25700</v>
      </c>
      <c r="H121" t="e">
        <f t="shared" si="5"/>
        <v>#N/A</v>
      </c>
      <c r="I121" t="e">
        <f t="shared" si="4"/>
        <v>#N/A</v>
      </c>
      <c r="L121" s="320" t="e">
        <f t="shared" si="6"/>
        <v>#N/A</v>
      </c>
      <c r="M121" s="268" t="e">
        <f t="shared" si="7"/>
        <v>#N/A</v>
      </c>
      <c r="O121" s="360"/>
      <c r="P121" s="320"/>
      <c r="Q121" s="429"/>
    </row>
    <row r="122" spans="5:17" ht="16.5">
      <c r="E122" t="s">
        <v>2724</v>
      </c>
      <c r="F122" s="268">
        <v>4500</v>
      </c>
      <c r="H122" t="e">
        <f t="shared" si="5"/>
        <v>#N/A</v>
      </c>
      <c r="I122" t="e">
        <f t="shared" si="4"/>
        <v>#N/A</v>
      </c>
      <c r="L122" s="320" t="e">
        <f t="shared" si="6"/>
        <v>#N/A</v>
      </c>
      <c r="M122" s="268" t="e">
        <f t="shared" si="7"/>
        <v>#N/A</v>
      </c>
      <c r="O122" s="360"/>
      <c r="P122" s="320"/>
      <c r="Q122" s="429"/>
    </row>
    <row r="123" spans="5:17" ht="16.5">
      <c r="E123" t="s">
        <v>3172</v>
      </c>
      <c r="F123" s="268">
        <v>56300</v>
      </c>
      <c r="H123" t="e">
        <f t="shared" si="5"/>
        <v>#N/A</v>
      </c>
      <c r="I123" t="e">
        <f t="shared" si="4"/>
        <v>#N/A</v>
      </c>
      <c r="L123" s="320" t="e">
        <f t="shared" si="6"/>
        <v>#N/A</v>
      </c>
      <c r="M123" s="268" t="e">
        <f t="shared" si="7"/>
        <v>#N/A</v>
      </c>
      <c r="O123" s="360"/>
      <c r="P123" s="320"/>
      <c r="Q123" s="429"/>
    </row>
    <row r="124" spans="5:17" ht="16.5">
      <c r="E124" t="s">
        <v>3184</v>
      </c>
      <c r="F124" s="268">
        <v>63200</v>
      </c>
      <c r="H124" t="e">
        <f t="shared" si="5"/>
        <v>#N/A</v>
      </c>
      <c r="I124" t="e">
        <f t="shared" si="4"/>
        <v>#N/A</v>
      </c>
      <c r="L124" s="320" t="e">
        <f t="shared" si="6"/>
        <v>#N/A</v>
      </c>
      <c r="M124" s="268" t="e">
        <f t="shared" si="7"/>
        <v>#N/A</v>
      </c>
      <c r="O124" s="360"/>
      <c r="P124" s="320"/>
      <c r="Q124" s="429"/>
    </row>
    <row r="125" spans="5:17" ht="16.5">
      <c r="E125" t="s">
        <v>3177</v>
      </c>
      <c r="F125" s="268">
        <v>56100</v>
      </c>
      <c r="H125" t="e">
        <f t="shared" si="5"/>
        <v>#N/A</v>
      </c>
      <c r="I125" t="e">
        <f t="shared" si="4"/>
        <v>#N/A</v>
      </c>
      <c r="L125" s="320" t="e">
        <f t="shared" si="6"/>
        <v>#N/A</v>
      </c>
      <c r="M125" s="268" t="e">
        <f t="shared" si="7"/>
        <v>#N/A</v>
      </c>
      <c r="O125" s="360"/>
      <c r="P125" s="320"/>
      <c r="Q125" s="429"/>
    </row>
    <row r="126" spans="5:17" ht="16.5">
      <c r="E126" t="s">
        <v>3189</v>
      </c>
      <c r="F126" s="268">
        <v>17100</v>
      </c>
      <c r="H126" t="e">
        <f t="shared" si="5"/>
        <v>#N/A</v>
      </c>
      <c r="I126" t="e">
        <f t="shared" si="4"/>
        <v>#N/A</v>
      </c>
      <c r="L126" s="320" t="e">
        <f t="shared" si="6"/>
        <v>#N/A</v>
      </c>
      <c r="M126" s="268" t="e">
        <f t="shared" si="7"/>
        <v>#N/A</v>
      </c>
      <c r="O126" s="360"/>
      <c r="P126" s="320"/>
      <c r="Q126" s="429"/>
    </row>
    <row r="127" spans="5:17" ht="16.5">
      <c r="E127" t="s">
        <v>2733</v>
      </c>
      <c r="F127" s="268">
        <v>8600</v>
      </c>
      <c r="H127" t="e">
        <f t="shared" si="5"/>
        <v>#N/A</v>
      </c>
      <c r="I127" t="e">
        <f t="shared" si="4"/>
        <v>#N/A</v>
      </c>
      <c r="L127" s="320" t="e">
        <f t="shared" si="6"/>
        <v>#N/A</v>
      </c>
      <c r="M127" s="268" t="e">
        <f t="shared" si="7"/>
        <v>#N/A</v>
      </c>
      <c r="O127" s="360"/>
      <c r="P127" s="320"/>
      <c r="Q127" s="429"/>
    </row>
    <row r="128" spans="5:17" ht="16.5">
      <c r="E128" t="s">
        <v>3428</v>
      </c>
      <c r="F128" s="268">
        <v>4100</v>
      </c>
      <c r="H128" t="e">
        <f t="shared" si="5"/>
        <v>#N/A</v>
      </c>
      <c r="I128" t="e">
        <f t="shared" si="4"/>
        <v>#N/A</v>
      </c>
      <c r="L128" s="320" t="e">
        <f t="shared" si="6"/>
        <v>#N/A</v>
      </c>
      <c r="M128" s="268" t="e">
        <f t="shared" si="7"/>
        <v>#N/A</v>
      </c>
      <c r="O128" s="360"/>
      <c r="P128" s="320"/>
      <c r="Q128" s="429"/>
    </row>
    <row r="129" spans="5:17" ht="16.5">
      <c r="E129" t="s">
        <v>4496</v>
      </c>
      <c r="F129" s="268">
        <v>13400</v>
      </c>
      <c r="H129" t="e">
        <f t="shared" si="5"/>
        <v>#N/A</v>
      </c>
      <c r="I129" t="e">
        <f t="shared" si="4"/>
        <v>#N/A</v>
      </c>
      <c r="L129" s="320" t="e">
        <f t="shared" si="6"/>
        <v>#N/A</v>
      </c>
      <c r="M129" s="268" t="e">
        <f t="shared" si="7"/>
        <v>#N/A</v>
      </c>
      <c r="O129" s="360"/>
      <c r="P129" s="320"/>
      <c r="Q129" s="429"/>
    </row>
    <row r="130" spans="5:17" ht="16.5">
      <c r="E130" t="s">
        <v>4487</v>
      </c>
      <c r="F130" s="268">
        <v>13600</v>
      </c>
      <c r="H130" t="e">
        <f t="shared" si="5"/>
        <v>#N/A</v>
      </c>
      <c r="I130" t="e">
        <f t="shared" si="4"/>
        <v>#N/A</v>
      </c>
      <c r="L130" s="320" t="e">
        <f t="shared" si="6"/>
        <v>#N/A</v>
      </c>
      <c r="M130" s="268" t="e">
        <f t="shared" si="7"/>
        <v>#N/A</v>
      </c>
      <c r="O130" s="360"/>
      <c r="P130" s="320"/>
      <c r="Q130" s="429"/>
    </row>
    <row r="131" spans="5:17" ht="16.5">
      <c r="E131" t="s">
        <v>3520</v>
      </c>
      <c r="F131" s="268">
        <v>6000</v>
      </c>
      <c r="H131" t="e">
        <f t="shared" si="5"/>
        <v>#N/A</v>
      </c>
      <c r="I131" t="e">
        <f t="shared" si="4"/>
        <v>#N/A</v>
      </c>
      <c r="L131" s="320" t="e">
        <f t="shared" si="6"/>
        <v>#N/A</v>
      </c>
      <c r="M131" s="268" t="e">
        <f t="shared" si="7"/>
        <v>#N/A</v>
      </c>
      <c r="O131" s="360"/>
      <c r="P131" s="320"/>
      <c r="Q131" s="429"/>
    </row>
    <row r="132" spans="5:17" ht="16.5">
      <c r="E132" t="s">
        <v>3835</v>
      </c>
      <c r="F132" s="268">
        <v>63000</v>
      </c>
      <c r="H132" t="e">
        <f t="shared" si="5"/>
        <v>#N/A</v>
      </c>
      <c r="I132" t="e">
        <f t="shared" si="4"/>
        <v>#N/A</v>
      </c>
      <c r="L132" s="320" t="e">
        <f t="shared" si="6"/>
        <v>#N/A</v>
      </c>
      <c r="M132" s="268" t="e">
        <f t="shared" si="7"/>
        <v>#N/A</v>
      </c>
      <c r="O132" s="360"/>
      <c r="P132" s="320"/>
      <c r="Q132" s="429"/>
    </row>
    <row r="133" spans="5:17" ht="16.5">
      <c r="E133" t="s">
        <v>3912</v>
      </c>
      <c r="F133" s="268">
        <v>58200</v>
      </c>
      <c r="H133" t="e">
        <f t="shared" si="5"/>
        <v>#N/A</v>
      </c>
      <c r="I133" t="e">
        <f t="shared" ref="I133:I196" si="8">VLOOKUP(A133,E:F,1,FALSE)</f>
        <v>#N/A</v>
      </c>
      <c r="L133" s="320" t="e">
        <f t="shared" si="6"/>
        <v>#N/A</v>
      </c>
      <c r="M133" s="268" t="e">
        <f t="shared" si="7"/>
        <v>#N/A</v>
      </c>
      <c r="O133" s="360"/>
      <c r="P133" s="320"/>
      <c r="Q133" s="429"/>
    </row>
    <row r="134" spans="5:17" ht="16.5">
      <c r="E134" t="s">
        <v>3813</v>
      </c>
      <c r="F134" s="268">
        <v>61600</v>
      </c>
      <c r="H134" t="e">
        <f t="shared" ref="H134:H197" si="9">VLOOKUP(E134,A:B,1,FALSE)</f>
        <v>#N/A</v>
      </c>
      <c r="I134" t="e">
        <f t="shared" si="8"/>
        <v>#N/A</v>
      </c>
      <c r="L134" s="320" t="e">
        <f t="shared" ref="L134:L197" si="10">_xlfn.XLOOKUP(E134,A:A,B:B,,0)</f>
        <v>#N/A</v>
      </c>
      <c r="M134" s="268" t="e">
        <f t="shared" ref="M134:M197" si="11">L134-F134</f>
        <v>#N/A</v>
      </c>
      <c r="O134" s="360"/>
      <c r="P134" s="320"/>
      <c r="Q134" s="429"/>
    </row>
    <row r="135" spans="5:17" ht="16.5">
      <c r="E135" t="s">
        <v>3978</v>
      </c>
      <c r="F135" s="268">
        <v>26200</v>
      </c>
      <c r="H135" t="e">
        <f t="shared" si="9"/>
        <v>#N/A</v>
      </c>
      <c r="I135" t="e">
        <f t="shared" si="8"/>
        <v>#N/A</v>
      </c>
      <c r="L135" s="320" t="e">
        <f t="shared" si="10"/>
        <v>#N/A</v>
      </c>
      <c r="M135" s="268" t="e">
        <f t="shared" si="11"/>
        <v>#N/A</v>
      </c>
      <c r="O135" s="360"/>
      <c r="P135" s="320"/>
      <c r="Q135" s="429"/>
    </row>
    <row r="136" spans="5:17" ht="16.5">
      <c r="E136" t="s">
        <v>4138</v>
      </c>
      <c r="F136" s="268">
        <v>12900</v>
      </c>
      <c r="H136" t="e">
        <f t="shared" si="9"/>
        <v>#N/A</v>
      </c>
      <c r="I136" t="e">
        <f t="shared" si="8"/>
        <v>#N/A</v>
      </c>
      <c r="L136" s="320" t="e">
        <f t="shared" si="10"/>
        <v>#N/A</v>
      </c>
      <c r="M136" s="268" t="e">
        <f t="shared" si="11"/>
        <v>#N/A</v>
      </c>
      <c r="O136" s="360"/>
      <c r="P136" s="320"/>
      <c r="Q136" s="429"/>
    </row>
    <row r="137" spans="5:17" ht="16.5">
      <c r="E137" t="s">
        <v>4131</v>
      </c>
      <c r="F137" s="268">
        <v>12700</v>
      </c>
      <c r="H137" t="e">
        <f t="shared" si="9"/>
        <v>#N/A</v>
      </c>
      <c r="I137" t="e">
        <f t="shared" si="8"/>
        <v>#N/A</v>
      </c>
      <c r="L137" s="320" t="e">
        <f t="shared" si="10"/>
        <v>#N/A</v>
      </c>
      <c r="M137" s="268" t="e">
        <f t="shared" si="11"/>
        <v>#N/A</v>
      </c>
      <c r="O137" s="360"/>
      <c r="P137" s="320"/>
      <c r="Q137" s="429"/>
    </row>
    <row r="138" spans="5:17" ht="16.5">
      <c r="E138" t="s">
        <v>4066</v>
      </c>
      <c r="F138" s="268">
        <v>25100</v>
      </c>
      <c r="H138" t="e">
        <f t="shared" si="9"/>
        <v>#N/A</v>
      </c>
      <c r="I138" t="e">
        <f t="shared" si="8"/>
        <v>#N/A</v>
      </c>
      <c r="L138" s="320" t="e">
        <f t="shared" si="10"/>
        <v>#N/A</v>
      </c>
      <c r="M138" s="268" t="e">
        <f t="shared" si="11"/>
        <v>#N/A</v>
      </c>
      <c r="O138" s="360"/>
      <c r="P138" s="320"/>
      <c r="Q138" s="429"/>
    </row>
    <row r="139" spans="5:17" ht="16.5">
      <c r="E139" t="s">
        <v>4063</v>
      </c>
      <c r="F139" s="268">
        <v>31600</v>
      </c>
      <c r="H139" t="e">
        <f t="shared" si="9"/>
        <v>#N/A</v>
      </c>
      <c r="I139" t="e">
        <f t="shared" si="8"/>
        <v>#N/A</v>
      </c>
      <c r="L139" s="320" t="e">
        <f t="shared" si="10"/>
        <v>#N/A</v>
      </c>
      <c r="M139" s="268" t="e">
        <f t="shared" si="11"/>
        <v>#N/A</v>
      </c>
      <c r="O139" s="360"/>
      <c r="P139" s="320"/>
      <c r="Q139" s="429"/>
    </row>
    <row r="140" spans="5:17" ht="16.5">
      <c r="E140" t="s">
        <v>4099</v>
      </c>
      <c r="F140" s="268">
        <v>31400</v>
      </c>
      <c r="H140" t="e">
        <f t="shared" si="9"/>
        <v>#N/A</v>
      </c>
      <c r="I140" t="e">
        <f t="shared" si="8"/>
        <v>#N/A</v>
      </c>
      <c r="L140" s="320" t="e">
        <f t="shared" si="10"/>
        <v>#N/A</v>
      </c>
      <c r="M140" s="268" t="e">
        <f t="shared" si="11"/>
        <v>#N/A</v>
      </c>
      <c r="O140" s="360"/>
      <c r="P140" s="320"/>
      <c r="Q140" s="429"/>
    </row>
    <row r="141" spans="5:17" ht="16.5">
      <c r="E141" t="s">
        <v>4029</v>
      </c>
      <c r="F141" s="268">
        <v>24000</v>
      </c>
      <c r="H141" t="e">
        <f t="shared" si="9"/>
        <v>#N/A</v>
      </c>
      <c r="I141" t="e">
        <f t="shared" si="8"/>
        <v>#N/A</v>
      </c>
      <c r="L141" s="320" t="e">
        <f t="shared" si="10"/>
        <v>#N/A</v>
      </c>
      <c r="M141" s="268" t="e">
        <f t="shared" si="11"/>
        <v>#N/A</v>
      </c>
      <c r="O141" s="360"/>
      <c r="P141" s="320"/>
      <c r="Q141" s="429"/>
    </row>
    <row r="142" spans="5:17" ht="16.5">
      <c r="E142" t="s">
        <v>4074</v>
      </c>
      <c r="F142" s="268">
        <v>31500</v>
      </c>
      <c r="H142" t="e">
        <f t="shared" si="9"/>
        <v>#N/A</v>
      </c>
      <c r="I142" t="e">
        <f t="shared" si="8"/>
        <v>#N/A</v>
      </c>
      <c r="L142" s="320" t="e">
        <f t="shared" si="10"/>
        <v>#N/A</v>
      </c>
      <c r="M142" s="268" t="e">
        <f t="shared" si="11"/>
        <v>#N/A</v>
      </c>
      <c r="O142" s="360"/>
      <c r="P142" s="320"/>
      <c r="Q142" s="429"/>
    </row>
    <row r="143" spans="5:17" ht="16.5">
      <c r="E143" t="s">
        <v>4021</v>
      </c>
      <c r="F143" s="268">
        <v>12800</v>
      </c>
      <c r="H143" t="e">
        <f t="shared" si="9"/>
        <v>#N/A</v>
      </c>
      <c r="I143" t="e">
        <f t="shared" si="8"/>
        <v>#N/A</v>
      </c>
      <c r="L143" s="320" t="e">
        <f t="shared" si="10"/>
        <v>#N/A</v>
      </c>
      <c r="M143" s="268" t="e">
        <f t="shared" si="11"/>
        <v>#N/A</v>
      </c>
      <c r="O143" s="360"/>
      <c r="P143" s="320"/>
      <c r="Q143" s="429"/>
    </row>
    <row r="144" spans="5:17" ht="16.5">
      <c r="E144" t="s">
        <v>3990</v>
      </c>
      <c r="F144" s="268">
        <v>24600</v>
      </c>
      <c r="H144" t="e">
        <f t="shared" si="9"/>
        <v>#N/A</v>
      </c>
      <c r="I144" t="e">
        <f t="shared" si="8"/>
        <v>#N/A</v>
      </c>
      <c r="L144" s="320" t="e">
        <f t="shared" si="10"/>
        <v>#N/A</v>
      </c>
      <c r="M144" s="268" t="e">
        <f t="shared" si="11"/>
        <v>#N/A</v>
      </c>
      <c r="O144" s="360"/>
      <c r="P144" s="320"/>
      <c r="Q144" s="429"/>
    </row>
    <row r="145" spans="5:17" ht="16.5">
      <c r="E145" t="s">
        <v>4012</v>
      </c>
      <c r="F145" s="268">
        <v>12200</v>
      </c>
      <c r="H145" t="e">
        <f t="shared" si="9"/>
        <v>#N/A</v>
      </c>
      <c r="I145" t="e">
        <f t="shared" si="8"/>
        <v>#N/A</v>
      </c>
      <c r="L145" s="320" t="e">
        <f t="shared" si="10"/>
        <v>#N/A</v>
      </c>
      <c r="M145" s="268" t="e">
        <f t="shared" si="11"/>
        <v>#N/A</v>
      </c>
      <c r="O145" s="360"/>
      <c r="P145" s="320"/>
      <c r="Q145" s="429"/>
    </row>
    <row r="146" spans="5:17" ht="16.5">
      <c r="E146" t="s">
        <v>4005</v>
      </c>
      <c r="F146" s="268">
        <v>12400</v>
      </c>
      <c r="H146" t="e">
        <f t="shared" si="9"/>
        <v>#N/A</v>
      </c>
      <c r="I146" t="e">
        <f t="shared" si="8"/>
        <v>#N/A</v>
      </c>
      <c r="L146" s="320" t="e">
        <f t="shared" si="10"/>
        <v>#N/A</v>
      </c>
      <c r="M146" s="268" t="e">
        <f t="shared" si="11"/>
        <v>#N/A</v>
      </c>
      <c r="O146" s="360"/>
      <c r="P146" s="320"/>
      <c r="Q146" s="429"/>
    </row>
    <row r="147" spans="5:17" ht="16.5">
      <c r="E147" t="s">
        <v>4235</v>
      </c>
      <c r="F147" s="268">
        <v>56100</v>
      </c>
      <c r="H147" t="e">
        <f t="shared" si="9"/>
        <v>#N/A</v>
      </c>
      <c r="I147" t="e">
        <f t="shared" si="8"/>
        <v>#N/A</v>
      </c>
      <c r="L147" s="320" t="e">
        <f t="shared" si="10"/>
        <v>#N/A</v>
      </c>
      <c r="M147" s="268" t="e">
        <f t="shared" si="11"/>
        <v>#N/A</v>
      </c>
      <c r="O147" s="360"/>
      <c r="P147" s="320"/>
      <c r="Q147" s="429"/>
    </row>
    <row r="148" spans="5:17" ht="16.5">
      <c r="E148" t="s">
        <v>4443</v>
      </c>
      <c r="F148" s="268">
        <v>4200</v>
      </c>
      <c r="H148" t="e">
        <f t="shared" si="9"/>
        <v>#N/A</v>
      </c>
      <c r="I148" t="e">
        <f t="shared" si="8"/>
        <v>#N/A</v>
      </c>
      <c r="L148" s="320" t="e">
        <f t="shared" si="10"/>
        <v>#N/A</v>
      </c>
      <c r="M148" s="268" t="e">
        <f t="shared" si="11"/>
        <v>#N/A</v>
      </c>
      <c r="O148" s="360"/>
      <c r="P148" s="320"/>
      <c r="Q148" s="429"/>
    </row>
    <row r="149" spans="5:17" ht="16.5">
      <c r="E149" t="s">
        <v>4314</v>
      </c>
      <c r="F149" s="268">
        <v>16600</v>
      </c>
      <c r="H149" t="e">
        <f t="shared" si="9"/>
        <v>#N/A</v>
      </c>
      <c r="I149" t="e">
        <f t="shared" si="8"/>
        <v>#N/A</v>
      </c>
      <c r="L149" s="320" t="e">
        <f t="shared" si="10"/>
        <v>#N/A</v>
      </c>
      <c r="M149" s="268" t="e">
        <f t="shared" si="11"/>
        <v>#N/A</v>
      </c>
      <c r="O149" s="360"/>
      <c r="P149" s="320"/>
      <c r="Q149" s="429"/>
    </row>
    <row r="150" spans="5:17" ht="16.5">
      <c r="E150" t="s">
        <v>4298</v>
      </c>
      <c r="F150" s="268">
        <v>13000</v>
      </c>
      <c r="H150" t="e">
        <f t="shared" si="9"/>
        <v>#N/A</v>
      </c>
      <c r="I150" t="e">
        <f t="shared" si="8"/>
        <v>#N/A</v>
      </c>
      <c r="L150" s="320" t="e">
        <f t="shared" si="10"/>
        <v>#N/A</v>
      </c>
      <c r="M150" s="268" t="e">
        <f t="shared" si="11"/>
        <v>#N/A</v>
      </c>
      <c r="O150" s="360"/>
      <c r="P150" s="320"/>
      <c r="Q150" s="429"/>
    </row>
    <row r="151" spans="5:17" ht="16.5">
      <c r="E151" t="s">
        <v>4361</v>
      </c>
      <c r="F151" s="268">
        <v>47900</v>
      </c>
      <c r="H151" t="e">
        <f t="shared" si="9"/>
        <v>#N/A</v>
      </c>
      <c r="I151" t="e">
        <f t="shared" si="8"/>
        <v>#N/A</v>
      </c>
      <c r="L151" s="320" t="e">
        <f t="shared" si="10"/>
        <v>#N/A</v>
      </c>
      <c r="M151" s="268" t="e">
        <f t="shared" si="11"/>
        <v>#N/A</v>
      </c>
      <c r="O151" s="360"/>
      <c r="P151" s="320"/>
      <c r="Q151" s="429"/>
    </row>
    <row r="152" spans="5:17" ht="16.5">
      <c r="E152" t="s">
        <v>4328</v>
      </c>
      <c r="F152" s="268">
        <v>31700</v>
      </c>
      <c r="H152" t="e">
        <f t="shared" si="9"/>
        <v>#N/A</v>
      </c>
      <c r="I152" t="e">
        <f t="shared" si="8"/>
        <v>#N/A</v>
      </c>
      <c r="L152" s="320" t="e">
        <f t="shared" si="10"/>
        <v>#N/A</v>
      </c>
      <c r="M152" s="268" t="e">
        <f t="shared" si="11"/>
        <v>#N/A</v>
      </c>
      <c r="O152" s="360"/>
      <c r="P152" s="320"/>
      <c r="Q152" s="429"/>
    </row>
    <row r="153" spans="5:17" ht="16.5">
      <c r="E153" t="s">
        <v>4685</v>
      </c>
      <c r="F153" s="268">
        <v>26800</v>
      </c>
      <c r="H153" t="e">
        <f t="shared" si="9"/>
        <v>#N/A</v>
      </c>
      <c r="I153" t="e">
        <f t="shared" si="8"/>
        <v>#N/A</v>
      </c>
      <c r="L153" s="320" t="e">
        <f t="shared" si="10"/>
        <v>#N/A</v>
      </c>
      <c r="M153" s="268" t="e">
        <f t="shared" si="11"/>
        <v>#N/A</v>
      </c>
      <c r="O153" s="360"/>
      <c r="P153" s="320"/>
      <c r="Q153" s="429"/>
    </row>
    <row r="154" spans="5:17" ht="16.5">
      <c r="E154" t="s">
        <v>4321</v>
      </c>
      <c r="F154" s="268">
        <v>31500</v>
      </c>
      <c r="H154" t="e">
        <f t="shared" si="9"/>
        <v>#N/A</v>
      </c>
      <c r="I154" t="e">
        <f t="shared" si="8"/>
        <v>#N/A</v>
      </c>
      <c r="L154" s="320" t="e">
        <f t="shared" si="10"/>
        <v>#N/A</v>
      </c>
      <c r="M154" s="268" t="e">
        <f t="shared" si="11"/>
        <v>#N/A</v>
      </c>
      <c r="O154" s="360"/>
      <c r="P154" s="320"/>
      <c r="Q154" s="429"/>
    </row>
    <row r="155" spans="5:17" ht="16.5">
      <c r="E155" t="s">
        <v>4664</v>
      </c>
      <c r="F155" s="268">
        <v>4500</v>
      </c>
      <c r="H155" t="e">
        <f t="shared" si="9"/>
        <v>#N/A</v>
      </c>
      <c r="I155" t="e">
        <f t="shared" si="8"/>
        <v>#N/A</v>
      </c>
      <c r="L155" s="320" t="e">
        <f t="shared" si="10"/>
        <v>#N/A</v>
      </c>
      <c r="M155" s="268" t="e">
        <f t="shared" si="11"/>
        <v>#N/A</v>
      </c>
      <c r="O155" s="360"/>
      <c r="P155" s="320"/>
      <c r="Q155" s="429"/>
    </row>
    <row r="156" spans="5:17" ht="16.5">
      <c r="E156" t="s">
        <v>5023</v>
      </c>
      <c r="F156" s="268">
        <v>5300</v>
      </c>
      <c r="H156" t="e">
        <f t="shared" si="9"/>
        <v>#N/A</v>
      </c>
      <c r="I156" t="e">
        <f t="shared" si="8"/>
        <v>#N/A</v>
      </c>
      <c r="L156" s="320" t="e">
        <f t="shared" si="10"/>
        <v>#N/A</v>
      </c>
      <c r="M156" s="268" t="e">
        <f t="shared" si="11"/>
        <v>#N/A</v>
      </c>
      <c r="O156" s="360"/>
      <c r="P156" s="320"/>
      <c r="Q156" s="429"/>
    </row>
    <row r="157" spans="5:17" ht="16.5">
      <c r="E157" t="s">
        <v>5014</v>
      </c>
      <c r="F157" s="268">
        <v>5400</v>
      </c>
      <c r="H157" t="e">
        <f t="shared" si="9"/>
        <v>#N/A</v>
      </c>
      <c r="I157" t="e">
        <f t="shared" si="8"/>
        <v>#N/A</v>
      </c>
      <c r="L157" s="320" t="e">
        <f t="shared" si="10"/>
        <v>#N/A</v>
      </c>
      <c r="M157" s="268" t="e">
        <f t="shared" si="11"/>
        <v>#N/A</v>
      </c>
      <c r="O157" s="360"/>
      <c r="P157" s="320"/>
      <c r="Q157" s="429"/>
    </row>
    <row r="158" spans="5:17" ht="16.5">
      <c r="E158" t="s">
        <v>2647</v>
      </c>
      <c r="F158" s="268">
        <v>6800</v>
      </c>
      <c r="H158" t="e">
        <f t="shared" si="9"/>
        <v>#N/A</v>
      </c>
      <c r="I158" t="e">
        <f t="shared" si="8"/>
        <v>#N/A</v>
      </c>
      <c r="L158" s="320" t="e">
        <f t="shared" si="10"/>
        <v>#N/A</v>
      </c>
      <c r="M158" s="268" t="e">
        <f t="shared" si="11"/>
        <v>#N/A</v>
      </c>
      <c r="O158" s="360"/>
      <c r="P158" s="320"/>
      <c r="Q158" s="429"/>
    </row>
    <row r="159" spans="5:17" ht="16.5">
      <c r="E159" t="s">
        <v>3810</v>
      </c>
      <c r="F159" s="268">
        <v>11600</v>
      </c>
      <c r="H159" t="e">
        <f t="shared" si="9"/>
        <v>#N/A</v>
      </c>
      <c r="I159" t="e">
        <f t="shared" si="8"/>
        <v>#N/A</v>
      </c>
      <c r="L159" s="320" t="e">
        <f t="shared" si="10"/>
        <v>#N/A</v>
      </c>
      <c r="M159" s="268" t="e">
        <f t="shared" si="11"/>
        <v>#N/A</v>
      </c>
      <c r="O159" s="360"/>
      <c r="P159" s="320"/>
      <c r="Q159" s="429"/>
    </row>
    <row r="160" spans="5:17" ht="16.5">
      <c r="E160" t="s">
        <v>3505</v>
      </c>
      <c r="F160" s="268">
        <v>7200</v>
      </c>
      <c r="H160" t="e">
        <f t="shared" si="9"/>
        <v>#N/A</v>
      </c>
      <c r="I160" t="e">
        <f t="shared" si="8"/>
        <v>#N/A</v>
      </c>
      <c r="L160" s="320" t="e">
        <f t="shared" si="10"/>
        <v>#N/A</v>
      </c>
      <c r="M160" s="268" t="e">
        <f t="shared" si="11"/>
        <v>#N/A</v>
      </c>
      <c r="O160" s="360"/>
      <c r="P160" s="320"/>
      <c r="Q160" s="429"/>
    </row>
    <row r="161" spans="5:17" ht="16.5">
      <c r="E161" t="s">
        <v>3512</v>
      </c>
      <c r="F161" s="268">
        <v>9700</v>
      </c>
      <c r="H161" t="e">
        <f t="shared" si="9"/>
        <v>#N/A</v>
      </c>
      <c r="I161" t="e">
        <f t="shared" si="8"/>
        <v>#N/A</v>
      </c>
      <c r="L161" s="320" t="e">
        <f t="shared" si="10"/>
        <v>#N/A</v>
      </c>
      <c r="M161" s="268" t="e">
        <f t="shared" si="11"/>
        <v>#N/A</v>
      </c>
      <c r="O161" s="360"/>
      <c r="P161" s="320"/>
      <c r="Q161" s="429"/>
    </row>
    <row r="162" spans="5:17" ht="16.5">
      <c r="E162" t="s">
        <v>4119</v>
      </c>
      <c r="F162" s="268">
        <v>17500</v>
      </c>
      <c r="H162" t="e">
        <f t="shared" si="9"/>
        <v>#N/A</v>
      </c>
      <c r="I162" t="e">
        <f t="shared" si="8"/>
        <v>#N/A</v>
      </c>
      <c r="L162" s="320" t="e">
        <f t="shared" si="10"/>
        <v>#N/A</v>
      </c>
      <c r="M162" s="268" t="e">
        <f t="shared" si="11"/>
        <v>#N/A</v>
      </c>
      <c r="O162" s="360"/>
      <c r="P162" s="320"/>
      <c r="Q162" s="429"/>
    </row>
    <row r="163" spans="5:17" ht="16.5">
      <c r="E163" t="s">
        <v>4123</v>
      </c>
      <c r="F163" s="268">
        <v>14700</v>
      </c>
      <c r="H163" t="e">
        <f t="shared" si="9"/>
        <v>#N/A</v>
      </c>
      <c r="I163" t="e">
        <f t="shared" si="8"/>
        <v>#N/A</v>
      </c>
      <c r="L163" s="320" t="e">
        <f t="shared" si="10"/>
        <v>#N/A</v>
      </c>
      <c r="M163" s="268" t="e">
        <f t="shared" si="11"/>
        <v>#N/A</v>
      </c>
      <c r="O163" s="360"/>
      <c r="P163" s="320"/>
      <c r="Q163" s="429"/>
    </row>
    <row r="164" spans="5:17" ht="16.5">
      <c r="E164" t="s">
        <v>3611</v>
      </c>
      <c r="F164" s="268">
        <v>9500</v>
      </c>
      <c r="H164" t="e">
        <f t="shared" si="9"/>
        <v>#N/A</v>
      </c>
      <c r="I164" t="e">
        <f t="shared" si="8"/>
        <v>#N/A</v>
      </c>
      <c r="L164" s="320" t="e">
        <f t="shared" si="10"/>
        <v>#N/A</v>
      </c>
      <c r="M164" s="268" t="e">
        <f t="shared" si="11"/>
        <v>#N/A</v>
      </c>
      <c r="O164" s="360"/>
      <c r="P164" s="320"/>
      <c r="Q164" s="429"/>
    </row>
    <row r="165" spans="5:17" ht="16.5">
      <c r="E165" t="s">
        <v>3704</v>
      </c>
      <c r="F165" s="268">
        <v>56900</v>
      </c>
      <c r="H165" t="e">
        <f t="shared" si="9"/>
        <v>#N/A</v>
      </c>
      <c r="I165" t="e">
        <f t="shared" si="8"/>
        <v>#N/A</v>
      </c>
      <c r="L165" s="320" t="e">
        <f t="shared" si="10"/>
        <v>#N/A</v>
      </c>
      <c r="M165" s="268" t="e">
        <f t="shared" si="11"/>
        <v>#N/A</v>
      </c>
      <c r="O165" s="360"/>
      <c r="P165" s="320"/>
      <c r="Q165" s="429"/>
    </row>
    <row r="166" spans="5:17" ht="16.5">
      <c r="E166" t="s">
        <v>4569</v>
      </c>
      <c r="F166" s="268">
        <v>13600</v>
      </c>
      <c r="H166" t="e">
        <f t="shared" si="9"/>
        <v>#N/A</v>
      </c>
      <c r="I166" t="e">
        <f t="shared" si="8"/>
        <v>#N/A</v>
      </c>
      <c r="L166" s="320" t="e">
        <f t="shared" si="10"/>
        <v>#N/A</v>
      </c>
      <c r="M166" s="268" t="e">
        <f t="shared" si="11"/>
        <v>#N/A</v>
      </c>
      <c r="O166" s="360"/>
      <c r="P166" s="320"/>
      <c r="Q166" s="429"/>
    </row>
    <row r="167" spans="5:17" ht="16.5">
      <c r="E167" t="s">
        <v>4575</v>
      </c>
      <c r="F167" s="268">
        <v>12500</v>
      </c>
      <c r="H167" t="e">
        <f t="shared" si="9"/>
        <v>#N/A</v>
      </c>
      <c r="I167" t="e">
        <f t="shared" si="8"/>
        <v>#N/A</v>
      </c>
      <c r="L167" s="320" t="e">
        <f t="shared" si="10"/>
        <v>#N/A</v>
      </c>
      <c r="M167" s="268" t="e">
        <f t="shared" si="11"/>
        <v>#N/A</v>
      </c>
      <c r="O167" s="360"/>
      <c r="P167" s="320"/>
      <c r="Q167" s="429"/>
    </row>
    <row r="168" spans="5:17" ht="16.5">
      <c r="E168" t="s">
        <v>4649</v>
      </c>
      <c r="F168" s="268">
        <v>18900</v>
      </c>
      <c r="H168" t="e">
        <f t="shared" si="9"/>
        <v>#N/A</v>
      </c>
      <c r="I168" t="e">
        <f t="shared" si="8"/>
        <v>#N/A</v>
      </c>
      <c r="L168" s="320" t="e">
        <f t="shared" si="10"/>
        <v>#N/A</v>
      </c>
      <c r="M168" s="268" t="e">
        <f t="shared" si="11"/>
        <v>#N/A</v>
      </c>
      <c r="O168" s="360"/>
      <c r="P168" s="320"/>
      <c r="Q168" s="429"/>
    </row>
    <row r="169" spans="5:17" ht="16.5">
      <c r="E169" t="s">
        <v>4659</v>
      </c>
      <c r="F169" s="268">
        <v>15700</v>
      </c>
      <c r="H169" t="e">
        <f t="shared" si="9"/>
        <v>#N/A</v>
      </c>
      <c r="I169" t="e">
        <f t="shared" si="8"/>
        <v>#N/A</v>
      </c>
      <c r="L169" s="320" t="e">
        <f t="shared" si="10"/>
        <v>#N/A</v>
      </c>
      <c r="M169" s="268" t="e">
        <f t="shared" si="11"/>
        <v>#N/A</v>
      </c>
      <c r="O169" s="360"/>
      <c r="P169" s="320"/>
      <c r="Q169" s="429"/>
    </row>
    <row r="170" spans="5:17" ht="16.5">
      <c r="E170" t="s">
        <v>2871</v>
      </c>
      <c r="F170" s="268">
        <v>99500</v>
      </c>
      <c r="H170" t="e">
        <f t="shared" si="9"/>
        <v>#N/A</v>
      </c>
      <c r="I170" t="e">
        <f t="shared" si="8"/>
        <v>#N/A</v>
      </c>
      <c r="L170" s="320" t="e">
        <f t="shared" si="10"/>
        <v>#N/A</v>
      </c>
      <c r="M170" s="268" t="e">
        <f t="shared" si="11"/>
        <v>#N/A</v>
      </c>
      <c r="O170" s="360"/>
      <c r="P170" s="320"/>
      <c r="Q170" s="429"/>
    </row>
    <row r="171" spans="5:17" ht="16.5">
      <c r="E171" t="s">
        <v>3006</v>
      </c>
      <c r="F171" s="268">
        <v>26600</v>
      </c>
      <c r="H171" t="e">
        <f t="shared" si="9"/>
        <v>#N/A</v>
      </c>
      <c r="I171" t="e">
        <f t="shared" si="8"/>
        <v>#N/A</v>
      </c>
      <c r="L171" s="320" t="e">
        <f t="shared" si="10"/>
        <v>#N/A</v>
      </c>
      <c r="M171" s="268" t="e">
        <f t="shared" si="11"/>
        <v>#N/A</v>
      </c>
      <c r="O171" s="360"/>
      <c r="P171" s="320"/>
      <c r="Q171" s="429"/>
    </row>
    <row r="172" spans="5:17" ht="16.5">
      <c r="E172" t="s">
        <v>3039</v>
      </c>
      <c r="F172" s="268">
        <v>15900</v>
      </c>
      <c r="H172" t="e">
        <f t="shared" si="9"/>
        <v>#N/A</v>
      </c>
      <c r="I172" t="e">
        <f t="shared" si="8"/>
        <v>#N/A</v>
      </c>
      <c r="L172" s="320" t="e">
        <f t="shared" si="10"/>
        <v>#N/A</v>
      </c>
      <c r="M172" s="268" t="e">
        <f t="shared" si="11"/>
        <v>#N/A</v>
      </c>
      <c r="O172" s="360"/>
      <c r="P172" s="320"/>
      <c r="Q172" s="429"/>
    </row>
    <row r="173" spans="5:17" ht="16.5">
      <c r="E173" t="s">
        <v>3273</v>
      </c>
      <c r="F173" s="268">
        <v>13300</v>
      </c>
      <c r="H173" t="e">
        <f t="shared" si="9"/>
        <v>#N/A</v>
      </c>
      <c r="I173" t="e">
        <f t="shared" si="8"/>
        <v>#N/A</v>
      </c>
      <c r="L173" s="320" t="e">
        <f t="shared" si="10"/>
        <v>#N/A</v>
      </c>
      <c r="M173" s="268" t="e">
        <f t="shared" si="11"/>
        <v>#N/A</v>
      </c>
      <c r="O173" s="360"/>
      <c r="P173" s="320"/>
      <c r="Q173" s="429"/>
    </row>
    <row r="174" spans="5:17" ht="16.5">
      <c r="E174" t="s">
        <v>3080</v>
      </c>
      <c r="F174" s="268">
        <v>138800</v>
      </c>
      <c r="H174" t="e">
        <f t="shared" si="9"/>
        <v>#N/A</v>
      </c>
      <c r="I174" t="e">
        <f t="shared" si="8"/>
        <v>#N/A</v>
      </c>
      <c r="L174" s="320" t="e">
        <f t="shared" si="10"/>
        <v>#N/A</v>
      </c>
      <c r="M174" s="268" t="e">
        <f t="shared" si="11"/>
        <v>#N/A</v>
      </c>
      <c r="O174" s="360"/>
      <c r="P174" s="320"/>
      <c r="Q174" s="429"/>
    </row>
    <row r="175" spans="5:17" ht="16.5">
      <c r="E175" t="s">
        <v>4864</v>
      </c>
      <c r="F175" s="268">
        <v>583900</v>
      </c>
      <c r="H175" t="e">
        <f t="shared" si="9"/>
        <v>#N/A</v>
      </c>
      <c r="I175" t="e">
        <f t="shared" si="8"/>
        <v>#N/A</v>
      </c>
      <c r="L175" s="320" t="e">
        <f t="shared" si="10"/>
        <v>#N/A</v>
      </c>
      <c r="M175" s="268" t="e">
        <f t="shared" si="11"/>
        <v>#N/A</v>
      </c>
      <c r="O175" s="360"/>
      <c r="P175" s="320"/>
      <c r="Q175" s="429"/>
    </row>
    <row r="176" spans="5:17" ht="16.5">
      <c r="E176" t="s">
        <v>4973</v>
      </c>
      <c r="F176" s="268">
        <v>107700</v>
      </c>
      <c r="H176" t="e">
        <f t="shared" si="9"/>
        <v>#N/A</v>
      </c>
      <c r="I176" t="e">
        <f t="shared" si="8"/>
        <v>#N/A</v>
      </c>
      <c r="L176" s="320" t="e">
        <f t="shared" si="10"/>
        <v>#N/A</v>
      </c>
      <c r="M176" s="268" t="e">
        <f t="shared" si="11"/>
        <v>#N/A</v>
      </c>
      <c r="O176" s="360"/>
      <c r="P176" s="320"/>
      <c r="Q176" s="429"/>
    </row>
    <row r="177" spans="5:17" ht="16.5">
      <c r="E177" t="s">
        <v>3031</v>
      </c>
      <c r="F177" s="268">
        <v>25000</v>
      </c>
      <c r="H177" t="e">
        <f t="shared" si="9"/>
        <v>#N/A</v>
      </c>
      <c r="I177" t="e">
        <f t="shared" si="8"/>
        <v>#N/A</v>
      </c>
      <c r="L177" s="320" t="e">
        <f t="shared" si="10"/>
        <v>#N/A</v>
      </c>
      <c r="M177" s="268" t="e">
        <f t="shared" si="11"/>
        <v>#N/A</v>
      </c>
      <c r="O177" s="360"/>
      <c r="P177" s="320"/>
      <c r="Q177" s="429"/>
    </row>
    <row r="178" spans="5:17" ht="16.5">
      <c r="E178" t="s">
        <v>4243</v>
      </c>
      <c r="F178" s="268">
        <v>25300</v>
      </c>
      <c r="H178" t="e">
        <f t="shared" si="9"/>
        <v>#N/A</v>
      </c>
      <c r="I178" t="e">
        <f t="shared" si="8"/>
        <v>#N/A</v>
      </c>
      <c r="L178" s="320" t="e">
        <f t="shared" si="10"/>
        <v>#N/A</v>
      </c>
      <c r="M178" s="268" t="e">
        <f t="shared" si="11"/>
        <v>#N/A</v>
      </c>
      <c r="O178" s="360"/>
      <c r="P178" s="320"/>
      <c r="Q178" s="429"/>
    </row>
    <row r="179" spans="5:17" ht="16.5">
      <c r="E179" t="s">
        <v>2908</v>
      </c>
      <c r="F179" s="268">
        <v>26500</v>
      </c>
      <c r="H179" t="e">
        <f t="shared" si="9"/>
        <v>#N/A</v>
      </c>
      <c r="I179" t="e">
        <f t="shared" si="8"/>
        <v>#N/A</v>
      </c>
      <c r="L179" s="320" t="e">
        <f t="shared" si="10"/>
        <v>#N/A</v>
      </c>
      <c r="M179" s="268" t="e">
        <f t="shared" si="11"/>
        <v>#N/A</v>
      </c>
      <c r="O179" s="360"/>
      <c r="P179" s="320"/>
      <c r="Q179" s="429"/>
    </row>
    <row r="180" spans="5:17" ht="16.5">
      <c r="E180" t="s">
        <v>3866</v>
      </c>
      <c r="F180" s="268">
        <v>26000</v>
      </c>
      <c r="H180" t="e">
        <f t="shared" si="9"/>
        <v>#N/A</v>
      </c>
      <c r="I180" t="e">
        <f t="shared" si="8"/>
        <v>#N/A</v>
      </c>
      <c r="L180" s="320" t="e">
        <f t="shared" si="10"/>
        <v>#N/A</v>
      </c>
      <c r="M180" s="268" t="e">
        <f t="shared" si="11"/>
        <v>#N/A</v>
      </c>
      <c r="O180" s="360"/>
      <c r="P180" s="320"/>
      <c r="Q180" s="429"/>
    </row>
    <row r="181" spans="5:17" ht="16.5">
      <c r="E181" t="s">
        <v>2863</v>
      </c>
      <c r="F181" s="268">
        <v>65500</v>
      </c>
      <c r="H181" t="e">
        <f t="shared" si="9"/>
        <v>#N/A</v>
      </c>
      <c r="I181" t="e">
        <f t="shared" si="8"/>
        <v>#N/A</v>
      </c>
      <c r="L181" s="320" t="e">
        <f t="shared" si="10"/>
        <v>#N/A</v>
      </c>
      <c r="M181" s="268" t="e">
        <f t="shared" si="11"/>
        <v>#N/A</v>
      </c>
      <c r="O181" s="360"/>
      <c r="P181" s="320"/>
      <c r="Q181" s="429"/>
    </row>
    <row r="182" spans="5:17" ht="16.5">
      <c r="E182" t="s">
        <v>2856</v>
      </c>
      <c r="F182" s="268">
        <v>65200</v>
      </c>
      <c r="H182" t="e">
        <f t="shared" si="9"/>
        <v>#N/A</v>
      </c>
      <c r="I182" t="e">
        <f t="shared" si="8"/>
        <v>#N/A</v>
      </c>
      <c r="L182" s="320" t="e">
        <f t="shared" si="10"/>
        <v>#N/A</v>
      </c>
      <c r="M182" s="268" t="e">
        <f t="shared" si="11"/>
        <v>#N/A</v>
      </c>
      <c r="O182" s="360"/>
      <c r="P182" s="320"/>
      <c r="Q182" s="429"/>
    </row>
    <row r="183" spans="5:17" ht="16.5">
      <c r="E183" t="s">
        <v>4901</v>
      </c>
      <c r="F183" s="268">
        <v>107700</v>
      </c>
      <c r="H183" t="e">
        <f t="shared" si="9"/>
        <v>#N/A</v>
      </c>
      <c r="I183" t="e">
        <f t="shared" si="8"/>
        <v>#N/A</v>
      </c>
      <c r="L183" s="320" t="e">
        <f t="shared" si="10"/>
        <v>#N/A</v>
      </c>
      <c r="M183" s="268" t="e">
        <f t="shared" si="11"/>
        <v>#N/A</v>
      </c>
      <c r="O183" s="360"/>
      <c r="P183" s="320"/>
      <c r="Q183" s="429"/>
    </row>
    <row r="184" spans="5:17" ht="16.5">
      <c r="E184" t="s">
        <v>2803</v>
      </c>
      <c r="F184" s="268">
        <v>30000</v>
      </c>
      <c r="H184" t="e">
        <f t="shared" si="9"/>
        <v>#N/A</v>
      </c>
      <c r="I184" t="e">
        <f t="shared" si="8"/>
        <v>#N/A</v>
      </c>
      <c r="L184" s="320" t="e">
        <f t="shared" si="10"/>
        <v>#N/A</v>
      </c>
      <c r="M184" s="268" t="e">
        <f t="shared" si="11"/>
        <v>#N/A</v>
      </c>
      <c r="O184" s="360"/>
      <c r="P184" s="320"/>
      <c r="Q184" s="429"/>
    </row>
    <row r="185" spans="5:17" ht="16.5">
      <c r="E185" t="s">
        <v>2796</v>
      </c>
      <c r="F185" s="268">
        <v>18800</v>
      </c>
      <c r="H185" t="e">
        <f t="shared" si="9"/>
        <v>#N/A</v>
      </c>
      <c r="I185" t="e">
        <f t="shared" si="8"/>
        <v>#N/A</v>
      </c>
      <c r="L185" s="320" t="e">
        <f t="shared" si="10"/>
        <v>#N/A</v>
      </c>
      <c r="M185" s="268" t="e">
        <f t="shared" si="11"/>
        <v>#N/A</v>
      </c>
      <c r="O185" s="360"/>
      <c r="P185" s="320"/>
      <c r="Q185" s="429"/>
    </row>
    <row r="186" spans="5:17" ht="16.5">
      <c r="E186" t="s">
        <v>4673</v>
      </c>
      <c r="F186" s="268">
        <v>53200</v>
      </c>
      <c r="H186" t="e">
        <f t="shared" si="9"/>
        <v>#N/A</v>
      </c>
      <c r="I186" t="e">
        <f t="shared" si="8"/>
        <v>#N/A</v>
      </c>
      <c r="L186" s="320" t="e">
        <f t="shared" si="10"/>
        <v>#N/A</v>
      </c>
      <c r="M186" s="268" t="e">
        <f t="shared" si="11"/>
        <v>#N/A</v>
      </c>
      <c r="O186" s="360"/>
      <c r="P186" s="320"/>
      <c r="Q186" s="429"/>
    </row>
    <row r="187" spans="5:17" ht="16.5">
      <c r="E187" t="s">
        <v>3044</v>
      </c>
      <c r="F187" s="268">
        <v>26500</v>
      </c>
      <c r="H187" t="e">
        <f t="shared" si="9"/>
        <v>#N/A</v>
      </c>
      <c r="I187" t="e">
        <f t="shared" si="8"/>
        <v>#N/A</v>
      </c>
      <c r="L187" s="320" t="e">
        <f t="shared" si="10"/>
        <v>#N/A</v>
      </c>
      <c r="M187" s="268" t="e">
        <f t="shared" si="11"/>
        <v>#N/A</v>
      </c>
      <c r="O187" s="360"/>
      <c r="P187" s="320"/>
      <c r="Q187" s="429"/>
    </row>
    <row r="188" spans="5:17" ht="16.5">
      <c r="E188" t="s">
        <v>3845</v>
      </c>
      <c r="F188" s="268">
        <v>13000</v>
      </c>
      <c r="H188" t="e">
        <f t="shared" si="9"/>
        <v>#N/A</v>
      </c>
      <c r="I188" t="e">
        <f t="shared" si="8"/>
        <v>#N/A</v>
      </c>
      <c r="L188" s="320" t="e">
        <f t="shared" si="10"/>
        <v>#N/A</v>
      </c>
      <c r="M188" s="268" t="e">
        <f t="shared" si="11"/>
        <v>#N/A</v>
      </c>
      <c r="O188" s="360"/>
      <c r="P188" s="320"/>
      <c r="Q188" s="429"/>
    </row>
    <row r="189" spans="5:17" ht="16.5">
      <c r="E189" t="s">
        <v>3065</v>
      </c>
      <c r="F189" s="268">
        <v>15900</v>
      </c>
      <c r="H189" t="e">
        <f t="shared" si="9"/>
        <v>#N/A</v>
      </c>
      <c r="I189" t="e">
        <f t="shared" si="8"/>
        <v>#N/A</v>
      </c>
      <c r="L189" s="320" t="e">
        <f t="shared" si="10"/>
        <v>#N/A</v>
      </c>
      <c r="M189" s="268" t="e">
        <f t="shared" si="11"/>
        <v>#N/A</v>
      </c>
      <c r="O189" s="360"/>
      <c r="P189" s="320"/>
      <c r="Q189" s="429"/>
    </row>
    <row r="190" spans="5:17" ht="16.5">
      <c r="E190" t="s">
        <v>3013</v>
      </c>
      <c r="F190" s="268">
        <v>26700</v>
      </c>
      <c r="H190" t="e">
        <f t="shared" si="9"/>
        <v>#N/A</v>
      </c>
      <c r="I190" t="e">
        <f t="shared" si="8"/>
        <v>#N/A</v>
      </c>
      <c r="L190" s="320" t="e">
        <f t="shared" si="10"/>
        <v>#N/A</v>
      </c>
      <c r="M190" s="268" t="e">
        <f t="shared" si="11"/>
        <v>#N/A</v>
      </c>
      <c r="O190" s="360"/>
      <c r="P190" s="320"/>
      <c r="Q190" s="429"/>
    </row>
    <row r="191" spans="5:17" ht="16.5">
      <c r="E191" t="s">
        <v>2985</v>
      </c>
      <c r="F191" s="268">
        <v>26700</v>
      </c>
      <c r="H191" t="e">
        <f t="shared" si="9"/>
        <v>#N/A</v>
      </c>
      <c r="I191" t="e">
        <f t="shared" si="8"/>
        <v>#N/A</v>
      </c>
      <c r="L191" s="320" t="e">
        <f t="shared" si="10"/>
        <v>#N/A</v>
      </c>
      <c r="M191" s="268" t="e">
        <f t="shared" si="11"/>
        <v>#N/A</v>
      </c>
      <c r="O191" s="360"/>
      <c r="P191" s="320"/>
      <c r="Q191" s="429"/>
    </row>
    <row r="192" spans="5:17" ht="16.5">
      <c r="E192" t="s">
        <v>3052</v>
      </c>
      <c r="F192" s="268">
        <v>26200</v>
      </c>
      <c r="H192" t="e">
        <f t="shared" si="9"/>
        <v>#N/A</v>
      </c>
      <c r="I192" t="e">
        <f t="shared" si="8"/>
        <v>#N/A</v>
      </c>
      <c r="L192" s="320" t="e">
        <f t="shared" si="10"/>
        <v>#N/A</v>
      </c>
      <c r="M192" s="268" t="e">
        <f t="shared" si="11"/>
        <v>#N/A</v>
      </c>
      <c r="O192" s="360"/>
      <c r="P192" s="320"/>
      <c r="Q192" s="429"/>
    </row>
    <row r="193" spans="5:17" ht="16.5">
      <c r="E193" t="s">
        <v>3058</v>
      </c>
      <c r="F193" s="268">
        <v>26600</v>
      </c>
      <c r="H193" t="e">
        <f t="shared" si="9"/>
        <v>#N/A</v>
      </c>
      <c r="I193" t="e">
        <f t="shared" si="8"/>
        <v>#N/A</v>
      </c>
      <c r="L193" s="320" t="e">
        <f t="shared" si="10"/>
        <v>#N/A</v>
      </c>
      <c r="M193" s="268" t="e">
        <f t="shared" si="11"/>
        <v>#N/A</v>
      </c>
      <c r="O193" s="360"/>
      <c r="P193" s="320"/>
      <c r="Q193" s="429"/>
    </row>
    <row r="194" spans="5:17" ht="16.5">
      <c r="E194" t="s">
        <v>3751</v>
      </c>
      <c r="F194" s="268">
        <v>26500</v>
      </c>
      <c r="H194" t="e">
        <f t="shared" si="9"/>
        <v>#N/A</v>
      </c>
      <c r="I194" t="e">
        <f t="shared" si="8"/>
        <v>#N/A</v>
      </c>
      <c r="L194" s="320" t="e">
        <f t="shared" si="10"/>
        <v>#N/A</v>
      </c>
      <c r="M194" s="268" t="e">
        <f t="shared" si="11"/>
        <v>#N/A</v>
      </c>
      <c r="O194" s="360"/>
      <c r="P194" s="320"/>
      <c r="Q194" s="429"/>
    </row>
    <row r="195" spans="5:17" ht="16.5">
      <c r="E195" t="s">
        <v>3760</v>
      </c>
      <c r="F195" s="268">
        <v>26200</v>
      </c>
      <c r="H195" t="e">
        <f t="shared" si="9"/>
        <v>#N/A</v>
      </c>
      <c r="I195" t="e">
        <f t="shared" si="8"/>
        <v>#N/A</v>
      </c>
      <c r="L195" s="320" t="e">
        <f t="shared" si="10"/>
        <v>#N/A</v>
      </c>
      <c r="M195" s="268" t="e">
        <f t="shared" si="11"/>
        <v>#N/A</v>
      </c>
      <c r="O195" s="360"/>
      <c r="P195" s="320"/>
      <c r="Q195" s="429"/>
    </row>
    <row r="196" spans="5:17" ht="16.5">
      <c r="E196" t="s">
        <v>3021</v>
      </c>
      <c r="F196" s="268">
        <v>52400</v>
      </c>
      <c r="H196" t="e">
        <f t="shared" si="9"/>
        <v>#N/A</v>
      </c>
      <c r="I196" t="e">
        <f t="shared" si="8"/>
        <v>#N/A</v>
      </c>
      <c r="L196" s="320" t="e">
        <f t="shared" si="10"/>
        <v>#N/A</v>
      </c>
      <c r="M196" s="268" t="e">
        <f t="shared" si="11"/>
        <v>#N/A</v>
      </c>
      <c r="O196" s="360"/>
      <c r="P196" s="320"/>
      <c r="Q196" s="429"/>
    </row>
    <row r="197" spans="5:17" ht="16.5">
      <c r="E197" t="s">
        <v>3306</v>
      </c>
      <c r="F197" s="268">
        <v>31100</v>
      </c>
      <c r="H197" t="e">
        <f t="shared" si="9"/>
        <v>#N/A</v>
      </c>
      <c r="I197" t="e">
        <f t="shared" ref="I197:I260" si="12">VLOOKUP(A197,E:F,1,FALSE)</f>
        <v>#N/A</v>
      </c>
      <c r="L197" s="320" t="e">
        <f t="shared" si="10"/>
        <v>#N/A</v>
      </c>
      <c r="M197" s="268" t="e">
        <f t="shared" si="11"/>
        <v>#N/A</v>
      </c>
      <c r="O197" s="360"/>
      <c r="P197" s="320"/>
      <c r="Q197" s="429"/>
    </row>
    <row r="198" spans="5:17" ht="16.5">
      <c r="E198" t="s">
        <v>3316</v>
      </c>
      <c r="F198" s="268">
        <v>58700</v>
      </c>
      <c r="H198" t="e">
        <f t="shared" ref="H198:H261" si="13">VLOOKUP(E198,A:B,1,FALSE)</f>
        <v>#N/A</v>
      </c>
      <c r="I198" t="e">
        <f t="shared" si="12"/>
        <v>#N/A</v>
      </c>
      <c r="L198" s="320" t="e">
        <f t="shared" ref="L198:L261" si="14">_xlfn.XLOOKUP(E198,A:A,B:B,,0)</f>
        <v>#N/A</v>
      </c>
      <c r="M198" s="268" t="e">
        <f t="shared" ref="M198:M261" si="15">L198-F198</f>
        <v>#N/A</v>
      </c>
      <c r="O198" s="360"/>
      <c r="P198" s="320"/>
      <c r="Q198" s="429"/>
    </row>
    <row r="199" spans="5:17" ht="16.5">
      <c r="E199" t="s">
        <v>4876</v>
      </c>
      <c r="F199" s="268">
        <v>22700</v>
      </c>
      <c r="H199" t="e">
        <f t="shared" si="13"/>
        <v>#N/A</v>
      </c>
      <c r="I199" t="e">
        <f t="shared" si="12"/>
        <v>#N/A</v>
      </c>
      <c r="L199" s="320" t="e">
        <f t="shared" si="14"/>
        <v>#N/A</v>
      </c>
      <c r="M199" s="268" t="e">
        <f t="shared" si="15"/>
        <v>#N/A</v>
      </c>
      <c r="O199" s="360"/>
      <c r="P199" s="320"/>
      <c r="Q199" s="429"/>
    </row>
    <row r="200" spans="5:17" ht="16.5">
      <c r="E200" t="s">
        <v>3857</v>
      </c>
      <c r="F200" s="268">
        <v>10300</v>
      </c>
      <c r="H200" t="e">
        <f t="shared" si="13"/>
        <v>#N/A</v>
      </c>
      <c r="I200" t="e">
        <f t="shared" si="12"/>
        <v>#N/A</v>
      </c>
      <c r="L200" s="320" t="e">
        <f t="shared" si="14"/>
        <v>#N/A</v>
      </c>
      <c r="M200" s="268" t="e">
        <f t="shared" si="15"/>
        <v>#N/A</v>
      </c>
      <c r="O200" s="360"/>
      <c r="P200" s="320"/>
      <c r="Q200" s="429"/>
    </row>
    <row r="201" spans="5:17" ht="16.5">
      <c r="E201" t="s">
        <v>3925</v>
      </c>
      <c r="F201" s="268">
        <v>24300</v>
      </c>
      <c r="H201" t="e">
        <f t="shared" si="13"/>
        <v>#N/A</v>
      </c>
      <c r="I201" t="e">
        <f t="shared" si="12"/>
        <v>#N/A</v>
      </c>
      <c r="L201" s="320" t="e">
        <f t="shared" si="14"/>
        <v>#N/A</v>
      </c>
      <c r="M201" s="268" t="e">
        <f t="shared" si="15"/>
        <v>#N/A</v>
      </c>
      <c r="O201" s="360"/>
      <c r="P201" s="320"/>
      <c r="Q201" s="429"/>
    </row>
    <row r="202" spans="5:17" ht="16.5">
      <c r="E202" t="s">
        <v>3919</v>
      </c>
      <c r="F202" s="268">
        <v>27200</v>
      </c>
      <c r="H202" t="e">
        <f t="shared" si="13"/>
        <v>#N/A</v>
      </c>
      <c r="I202" t="e">
        <f t="shared" si="12"/>
        <v>#N/A</v>
      </c>
      <c r="L202" s="320" t="e">
        <f t="shared" si="14"/>
        <v>#N/A</v>
      </c>
      <c r="M202" s="268" t="e">
        <f t="shared" si="15"/>
        <v>#N/A</v>
      </c>
      <c r="N202" s="444"/>
      <c r="O202" s="360"/>
      <c r="P202" s="320"/>
      <c r="Q202" s="429"/>
    </row>
    <row r="203" spans="5:17" ht="16.5">
      <c r="E203" t="s">
        <v>4991</v>
      </c>
      <c r="F203" s="268">
        <v>3300</v>
      </c>
      <c r="H203" t="e">
        <f t="shared" si="13"/>
        <v>#N/A</v>
      </c>
      <c r="I203" t="e">
        <f t="shared" si="12"/>
        <v>#N/A</v>
      </c>
      <c r="L203" s="320" t="e">
        <f t="shared" si="14"/>
        <v>#N/A</v>
      </c>
      <c r="M203" s="268" t="e">
        <f t="shared" si="15"/>
        <v>#N/A</v>
      </c>
      <c r="O203" s="360"/>
      <c r="P203" s="320"/>
      <c r="Q203" s="429"/>
    </row>
    <row r="204" spans="5:17" ht="16.5">
      <c r="E204" t="s">
        <v>2800</v>
      </c>
      <c r="F204" s="268">
        <v>27100</v>
      </c>
      <c r="H204" t="e">
        <f t="shared" si="13"/>
        <v>#N/A</v>
      </c>
      <c r="I204" t="e">
        <f t="shared" si="12"/>
        <v>#N/A</v>
      </c>
      <c r="L204" s="320" t="e">
        <f t="shared" si="14"/>
        <v>#N/A</v>
      </c>
      <c r="M204" s="268" t="e">
        <f t="shared" si="15"/>
        <v>#N/A</v>
      </c>
      <c r="O204" s="360"/>
      <c r="P204" s="320"/>
      <c r="Q204" s="429"/>
    </row>
    <row r="205" spans="5:17" ht="16.5">
      <c r="E205" t="s">
        <v>3135</v>
      </c>
      <c r="F205" s="268">
        <v>18000</v>
      </c>
      <c r="H205" t="e">
        <f t="shared" si="13"/>
        <v>#N/A</v>
      </c>
      <c r="I205" t="e">
        <f t="shared" si="12"/>
        <v>#N/A</v>
      </c>
      <c r="L205" s="320" t="e">
        <f t="shared" si="14"/>
        <v>#N/A</v>
      </c>
      <c r="M205" s="268" t="e">
        <f t="shared" si="15"/>
        <v>#N/A</v>
      </c>
      <c r="O205" s="360"/>
      <c r="P205" s="320"/>
      <c r="Q205" s="429"/>
    </row>
    <row r="206" spans="5:17" ht="16.5">
      <c r="E206" t="s">
        <v>3734</v>
      </c>
      <c r="F206" s="268">
        <v>54200</v>
      </c>
      <c r="H206" t="e">
        <f t="shared" si="13"/>
        <v>#N/A</v>
      </c>
      <c r="I206" t="e">
        <f t="shared" si="12"/>
        <v>#N/A</v>
      </c>
      <c r="L206" s="320" t="e">
        <f t="shared" si="14"/>
        <v>#N/A</v>
      </c>
      <c r="M206" s="268" t="e">
        <f t="shared" si="15"/>
        <v>#N/A</v>
      </c>
      <c r="O206" s="360"/>
      <c r="P206" s="320"/>
      <c r="Q206" s="429"/>
    </row>
    <row r="207" spans="5:17" ht="16.5">
      <c r="E207" t="s">
        <v>4788</v>
      </c>
      <c r="F207" s="268">
        <v>48000</v>
      </c>
      <c r="H207" t="e">
        <f t="shared" si="13"/>
        <v>#N/A</v>
      </c>
      <c r="I207" t="e">
        <f t="shared" si="12"/>
        <v>#N/A</v>
      </c>
      <c r="L207" s="320" t="e">
        <f t="shared" si="14"/>
        <v>#N/A</v>
      </c>
      <c r="M207" s="268" t="e">
        <f t="shared" si="15"/>
        <v>#N/A</v>
      </c>
      <c r="O207" s="360"/>
      <c r="P207" s="320"/>
      <c r="Q207" s="429"/>
    </row>
    <row r="208" spans="5:17" ht="16.5">
      <c r="E208" t="s">
        <v>4894</v>
      </c>
      <c r="F208" s="268">
        <v>29000</v>
      </c>
      <c r="H208" t="e">
        <f t="shared" si="13"/>
        <v>#N/A</v>
      </c>
      <c r="I208" t="e">
        <f t="shared" si="12"/>
        <v>#N/A</v>
      </c>
      <c r="L208" s="320" t="e">
        <f t="shared" si="14"/>
        <v>#N/A</v>
      </c>
      <c r="M208" s="268" t="e">
        <f t="shared" si="15"/>
        <v>#N/A</v>
      </c>
      <c r="O208" s="360"/>
      <c r="P208" s="320"/>
      <c r="Q208" s="429"/>
    </row>
    <row r="209" spans="5:17" ht="16.5">
      <c r="E209" t="s">
        <v>4684</v>
      </c>
      <c r="F209" s="268">
        <v>25600</v>
      </c>
      <c r="H209" t="e">
        <f t="shared" si="13"/>
        <v>#N/A</v>
      </c>
      <c r="I209" t="e">
        <f t="shared" si="12"/>
        <v>#N/A</v>
      </c>
      <c r="L209" s="320" t="e">
        <f t="shared" si="14"/>
        <v>#N/A</v>
      </c>
      <c r="M209" s="268" t="e">
        <f t="shared" si="15"/>
        <v>#N/A</v>
      </c>
      <c r="O209" s="360"/>
      <c r="P209" s="320"/>
      <c r="Q209" s="429"/>
    </row>
    <row r="210" spans="5:17" ht="16.5">
      <c r="E210" t="s">
        <v>4883</v>
      </c>
      <c r="F210" s="268">
        <v>22300</v>
      </c>
      <c r="H210" t="e">
        <f t="shared" si="13"/>
        <v>#N/A</v>
      </c>
      <c r="I210" t="e">
        <f t="shared" si="12"/>
        <v>#N/A</v>
      </c>
      <c r="L210" s="320" t="e">
        <f t="shared" si="14"/>
        <v>#N/A</v>
      </c>
      <c r="M210" s="268" t="e">
        <f t="shared" si="15"/>
        <v>#N/A</v>
      </c>
      <c r="O210" s="360"/>
      <c r="P210" s="320"/>
      <c r="Q210" s="429"/>
    </row>
    <row r="211" spans="5:17" ht="16.5">
      <c r="E211" t="s">
        <v>4345</v>
      </c>
      <c r="F211" s="268">
        <v>42800</v>
      </c>
      <c r="H211" t="e">
        <f t="shared" si="13"/>
        <v>#N/A</v>
      </c>
      <c r="I211" t="e">
        <f t="shared" si="12"/>
        <v>#N/A</v>
      </c>
      <c r="L211" s="320" t="e">
        <f t="shared" si="14"/>
        <v>#N/A</v>
      </c>
      <c r="M211" s="268" t="e">
        <f t="shared" si="15"/>
        <v>#N/A</v>
      </c>
      <c r="O211" s="360"/>
      <c r="P211" s="320"/>
      <c r="Q211" s="429"/>
    </row>
    <row r="212" spans="5:17" ht="16.5">
      <c r="E212" t="s">
        <v>4773</v>
      </c>
      <c r="F212" s="268">
        <v>47500</v>
      </c>
      <c r="H212" t="e">
        <f t="shared" si="13"/>
        <v>#N/A</v>
      </c>
      <c r="I212" t="e">
        <f t="shared" si="12"/>
        <v>#N/A</v>
      </c>
      <c r="L212" s="320" t="e">
        <f t="shared" si="14"/>
        <v>#N/A</v>
      </c>
      <c r="M212" s="268" t="e">
        <f t="shared" si="15"/>
        <v>#N/A</v>
      </c>
      <c r="O212" s="360"/>
      <c r="P212" s="320"/>
      <c r="Q212" s="429"/>
    </row>
    <row r="213" spans="5:17" ht="16.5">
      <c r="E213" t="s">
        <v>3073</v>
      </c>
      <c r="F213" s="268">
        <v>12000</v>
      </c>
      <c r="H213" t="e">
        <f t="shared" si="13"/>
        <v>#N/A</v>
      </c>
      <c r="I213" t="e">
        <f t="shared" si="12"/>
        <v>#N/A</v>
      </c>
      <c r="L213" s="320" t="e">
        <f t="shared" si="14"/>
        <v>#N/A</v>
      </c>
      <c r="M213" s="268" t="e">
        <f t="shared" si="15"/>
        <v>#N/A</v>
      </c>
      <c r="O213" s="360"/>
      <c r="P213" s="320"/>
      <c r="Q213" s="429"/>
    </row>
    <row r="214" spans="5:17" ht="16.5">
      <c r="E214" t="s">
        <v>2742</v>
      </c>
      <c r="F214" s="268">
        <v>10800</v>
      </c>
      <c r="H214" t="e">
        <f t="shared" si="13"/>
        <v>#N/A</v>
      </c>
      <c r="I214" t="e">
        <f t="shared" si="12"/>
        <v>#N/A</v>
      </c>
      <c r="L214" s="320" t="e">
        <f t="shared" si="14"/>
        <v>#N/A</v>
      </c>
      <c r="M214" s="268" t="e">
        <f t="shared" si="15"/>
        <v>#N/A</v>
      </c>
      <c r="O214" s="360"/>
      <c r="P214" s="320"/>
      <c r="Q214" s="429"/>
    </row>
    <row r="215" spans="5:17" ht="16.5">
      <c r="E215" t="s">
        <v>2748</v>
      </c>
      <c r="F215" s="268">
        <v>10700</v>
      </c>
      <c r="H215" t="e">
        <f t="shared" si="13"/>
        <v>#N/A</v>
      </c>
      <c r="I215" t="e">
        <f t="shared" si="12"/>
        <v>#N/A</v>
      </c>
      <c r="L215" s="320" t="e">
        <f t="shared" si="14"/>
        <v>#N/A</v>
      </c>
      <c r="M215" s="268" t="e">
        <f t="shared" si="15"/>
        <v>#N/A</v>
      </c>
      <c r="O215" s="360"/>
      <c r="P215" s="320"/>
      <c r="Q215" s="429"/>
    </row>
    <row r="216" spans="5:17" ht="16.5">
      <c r="E216" t="s">
        <v>2770</v>
      </c>
      <c r="F216" s="268">
        <v>10400</v>
      </c>
      <c r="H216" t="e">
        <f t="shared" si="13"/>
        <v>#N/A</v>
      </c>
      <c r="I216" t="e">
        <f t="shared" si="12"/>
        <v>#N/A</v>
      </c>
      <c r="L216" s="320" t="e">
        <f t="shared" si="14"/>
        <v>#N/A</v>
      </c>
      <c r="M216" s="268" t="e">
        <f t="shared" si="15"/>
        <v>#N/A</v>
      </c>
      <c r="O216" s="360"/>
      <c r="P216" s="320"/>
      <c r="Q216" s="429"/>
    </row>
    <row r="217" spans="5:17" ht="16.5">
      <c r="E217" t="s">
        <v>2756</v>
      </c>
      <c r="F217" s="268">
        <v>10800</v>
      </c>
      <c r="H217" t="e">
        <f t="shared" si="13"/>
        <v>#N/A</v>
      </c>
      <c r="I217" t="e">
        <f t="shared" si="12"/>
        <v>#N/A</v>
      </c>
      <c r="L217" s="320" t="e">
        <f t="shared" si="14"/>
        <v>#N/A</v>
      </c>
      <c r="M217" s="268" t="e">
        <f t="shared" si="15"/>
        <v>#N/A</v>
      </c>
      <c r="O217" s="360"/>
      <c r="P217" s="320"/>
      <c r="Q217" s="429"/>
    </row>
    <row r="218" spans="5:17" ht="16.5">
      <c r="E218" t="s">
        <v>4620</v>
      </c>
      <c r="F218" s="268">
        <v>52600</v>
      </c>
      <c r="H218" t="e">
        <f t="shared" si="13"/>
        <v>#N/A</v>
      </c>
      <c r="I218" t="e">
        <f t="shared" si="12"/>
        <v>#N/A</v>
      </c>
      <c r="L218" s="320" t="e">
        <f t="shared" si="14"/>
        <v>#N/A</v>
      </c>
      <c r="M218" s="268" t="e">
        <f t="shared" si="15"/>
        <v>#N/A</v>
      </c>
      <c r="O218" s="360"/>
      <c r="P218" s="320"/>
      <c r="Q218" s="429"/>
    </row>
    <row r="219" spans="5:17" ht="16.5">
      <c r="E219" t="s">
        <v>2763</v>
      </c>
      <c r="F219" s="268">
        <v>10900</v>
      </c>
      <c r="H219" t="e">
        <f t="shared" si="13"/>
        <v>#N/A</v>
      </c>
      <c r="I219" t="e">
        <f t="shared" si="12"/>
        <v>#N/A</v>
      </c>
      <c r="L219" s="320" t="e">
        <f t="shared" si="14"/>
        <v>#N/A</v>
      </c>
      <c r="M219" s="268" t="e">
        <f t="shared" si="15"/>
        <v>#N/A</v>
      </c>
      <c r="O219" s="360"/>
      <c r="P219" s="320"/>
      <c r="Q219" s="429"/>
    </row>
    <row r="220" spans="5:17" ht="16.5">
      <c r="E220" t="s">
        <v>4632</v>
      </c>
      <c r="F220" s="268">
        <v>52500</v>
      </c>
      <c r="H220" t="e">
        <f t="shared" si="13"/>
        <v>#N/A</v>
      </c>
      <c r="I220" t="e">
        <f t="shared" si="12"/>
        <v>#N/A</v>
      </c>
      <c r="L220" s="320" t="e">
        <f t="shared" si="14"/>
        <v>#N/A</v>
      </c>
      <c r="M220" s="268" t="e">
        <f t="shared" si="15"/>
        <v>#N/A</v>
      </c>
      <c r="O220" s="360"/>
      <c r="P220" s="320"/>
      <c r="Q220" s="429"/>
    </row>
    <row r="221" spans="5:17" ht="16.5">
      <c r="E221" t="s">
        <v>4627</v>
      </c>
      <c r="F221" s="268">
        <v>52500</v>
      </c>
      <c r="H221" t="e">
        <f t="shared" si="13"/>
        <v>#N/A</v>
      </c>
      <c r="I221" t="e">
        <f t="shared" si="12"/>
        <v>#N/A</v>
      </c>
      <c r="L221" s="320" t="e">
        <f t="shared" si="14"/>
        <v>#N/A</v>
      </c>
      <c r="M221" s="268" t="e">
        <f t="shared" si="15"/>
        <v>#N/A</v>
      </c>
      <c r="O221" s="360"/>
      <c r="P221" s="320"/>
      <c r="Q221" s="429"/>
    </row>
    <row r="222" spans="5:17" ht="16.5">
      <c r="E222" t="s">
        <v>4846</v>
      </c>
      <c r="F222" s="268">
        <v>11000</v>
      </c>
      <c r="H222" t="e">
        <f t="shared" si="13"/>
        <v>#N/A</v>
      </c>
      <c r="I222" t="e">
        <f t="shared" si="12"/>
        <v>#N/A</v>
      </c>
      <c r="L222" s="320" t="e">
        <f t="shared" si="14"/>
        <v>#N/A</v>
      </c>
      <c r="M222" s="268" t="e">
        <f t="shared" si="15"/>
        <v>#N/A</v>
      </c>
      <c r="O222" s="360"/>
      <c r="P222" s="320"/>
      <c r="Q222" s="429"/>
    </row>
    <row r="223" spans="5:17" ht="16.5">
      <c r="E223" t="s">
        <v>4890</v>
      </c>
      <c r="F223" s="268">
        <v>12300</v>
      </c>
      <c r="H223" t="e">
        <f t="shared" si="13"/>
        <v>#N/A</v>
      </c>
      <c r="I223" t="e">
        <f t="shared" si="12"/>
        <v>#N/A</v>
      </c>
      <c r="L223" s="320" t="e">
        <f t="shared" si="14"/>
        <v>#N/A</v>
      </c>
      <c r="M223" s="268" t="e">
        <f t="shared" si="15"/>
        <v>#N/A</v>
      </c>
      <c r="O223" s="360"/>
      <c r="P223" s="320"/>
      <c r="Q223" s="429"/>
    </row>
    <row r="224" spans="5:17" ht="16.5">
      <c r="E224" t="s">
        <v>2669</v>
      </c>
      <c r="F224" s="268">
        <v>5700</v>
      </c>
      <c r="H224" t="e">
        <f t="shared" si="13"/>
        <v>#N/A</v>
      </c>
      <c r="I224" t="e">
        <f t="shared" si="12"/>
        <v>#N/A</v>
      </c>
      <c r="L224" s="320" t="e">
        <f t="shared" si="14"/>
        <v>#N/A</v>
      </c>
      <c r="M224" s="268" t="e">
        <f t="shared" si="15"/>
        <v>#N/A</v>
      </c>
      <c r="O224" s="360"/>
      <c r="P224" s="320"/>
      <c r="Q224" s="429"/>
    </row>
    <row r="225" spans="5:17" ht="16.5">
      <c r="E225" t="s">
        <v>2677</v>
      </c>
      <c r="F225" s="268">
        <v>5800</v>
      </c>
      <c r="H225" t="e">
        <f t="shared" si="13"/>
        <v>#N/A</v>
      </c>
      <c r="I225" t="e">
        <f t="shared" si="12"/>
        <v>#N/A</v>
      </c>
      <c r="L225" s="320" t="e">
        <f t="shared" si="14"/>
        <v>#N/A</v>
      </c>
      <c r="M225" s="268" t="e">
        <f t="shared" si="15"/>
        <v>#N/A</v>
      </c>
      <c r="O225" s="360"/>
      <c r="P225" s="320"/>
      <c r="Q225" s="429"/>
    </row>
    <row r="226" spans="5:17" ht="16.5">
      <c r="E226" t="s">
        <v>2684</v>
      </c>
      <c r="F226" s="268">
        <v>5700</v>
      </c>
      <c r="H226" t="e">
        <f t="shared" si="13"/>
        <v>#N/A</v>
      </c>
      <c r="I226" t="e">
        <f t="shared" si="12"/>
        <v>#N/A</v>
      </c>
      <c r="L226" s="320" t="e">
        <f t="shared" si="14"/>
        <v>#N/A</v>
      </c>
      <c r="M226" s="268" t="e">
        <f t="shared" si="15"/>
        <v>#N/A</v>
      </c>
      <c r="O226" s="360"/>
      <c r="P226" s="320"/>
      <c r="Q226" s="429"/>
    </row>
    <row r="227" spans="5:17" ht="16.5">
      <c r="E227" t="s">
        <v>2690</v>
      </c>
      <c r="F227" s="268">
        <v>5700</v>
      </c>
      <c r="H227" t="e">
        <f t="shared" si="13"/>
        <v>#N/A</v>
      </c>
      <c r="I227" t="e">
        <f t="shared" si="12"/>
        <v>#N/A</v>
      </c>
      <c r="L227" s="320" t="e">
        <f t="shared" si="14"/>
        <v>#N/A</v>
      </c>
      <c r="M227" s="268" t="e">
        <f t="shared" si="15"/>
        <v>#N/A</v>
      </c>
      <c r="O227" s="360"/>
      <c r="P227" s="320"/>
      <c r="Q227" s="429"/>
    </row>
    <row r="228" spans="5:17" ht="16.5">
      <c r="E228" t="s">
        <v>2698</v>
      </c>
      <c r="F228" s="268">
        <v>4200</v>
      </c>
      <c r="H228" t="e">
        <f t="shared" si="13"/>
        <v>#N/A</v>
      </c>
      <c r="I228" t="e">
        <f t="shared" si="12"/>
        <v>#N/A</v>
      </c>
      <c r="L228" s="320" t="e">
        <f t="shared" si="14"/>
        <v>#N/A</v>
      </c>
      <c r="M228" s="268" t="e">
        <f t="shared" si="15"/>
        <v>#N/A</v>
      </c>
      <c r="O228" s="360"/>
      <c r="P228" s="320"/>
      <c r="Q228" s="429"/>
    </row>
    <row r="229" spans="5:17" ht="16.5">
      <c r="E229" t="s">
        <v>3819</v>
      </c>
      <c r="F229" s="268">
        <v>15200</v>
      </c>
      <c r="H229" t="e">
        <f t="shared" si="13"/>
        <v>#N/A</v>
      </c>
      <c r="I229" t="e">
        <f t="shared" si="12"/>
        <v>#N/A</v>
      </c>
      <c r="L229" s="320" t="e">
        <f t="shared" si="14"/>
        <v>#N/A</v>
      </c>
      <c r="M229" s="268" t="e">
        <f t="shared" si="15"/>
        <v>#N/A</v>
      </c>
      <c r="O229" s="360"/>
      <c r="P229" s="320"/>
      <c r="Q229" s="429"/>
    </row>
    <row r="230" spans="5:17" ht="16.5">
      <c r="E230" t="s">
        <v>3823</v>
      </c>
      <c r="F230" s="268">
        <v>15200</v>
      </c>
      <c r="H230" t="e">
        <f t="shared" si="13"/>
        <v>#N/A</v>
      </c>
      <c r="I230" t="e">
        <f t="shared" si="12"/>
        <v>#N/A</v>
      </c>
      <c r="L230" s="320" t="e">
        <f t="shared" si="14"/>
        <v>#N/A</v>
      </c>
      <c r="M230" s="268" t="e">
        <f t="shared" si="15"/>
        <v>#N/A</v>
      </c>
      <c r="O230" s="360"/>
      <c r="P230" s="320"/>
      <c r="Q230" s="429"/>
    </row>
    <row r="231" spans="5:17" ht="16.5">
      <c r="E231" t="s">
        <v>3829</v>
      </c>
      <c r="F231" s="268">
        <v>15000</v>
      </c>
      <c r="H231" t="e">
        <f t="shared" si="13"/>
        <v>#N/A</v>
      </c>
      <c r="I231" t="e">
        <f t="shared" si="12"/>
        <v>#N/A</v>
      </c>
      <c r="L231" s="320" t="e">
        <f t="shared" si="14"/>
        <v>#N/A</v>
      </c>
      <c r="M231" s="268" t="e">
        <f t="shared" si="15"/>
        <v>#N/A</v>
      </c>
      <c r="O231" s="360"/>
      <c r="P231" s="320"/>
      <c r="Q231" s="429"/>
    </row>
    <row r="232" spans="5:17" ht="16.5">
      <c r="E232" t="s">
        <v>3298</v>
      </c>
      <c r="F232" s="268">
        <v>20100</v>
      </c>
      <c r="H232" t="e">
        <f t="shared" si="13"/>
        <v>#N/A</v>
      </c>
      <c r="I232" t="e">
        <f t="shared" si="12"/>
        <v>#N/A</v>
      </c>
      <c r="L232" s="320" t="e">
        <f t="shared" si="14"/>
        <v>#N/A</v>
      </c>
      <c r="M232" s="268" t="e">
        <f t="shared" si="15"/>
        <v>#N/A</v>
      </c>
      <c r="O232" s="360"/>
      <c r="P232" s="320"/>
      <c r="Q232" s="429"/>
    </row>
    <row r="233" spans="5:17" ht="16.5">
      <c r="E233" t="s">
        <v>4253</v>
      </c>
      <c r="F233" s="268">
        <v>90000</v>
      </c>
      <c r="H233" t="e">
        <f t="shared" si="13"/>
        <v>#N/A</v>
      </c>
      <c r="I233" t="e">
        <f t="shared" si="12"/>
        <v>#N/A</v>
      </c>
      <c r="L233" s="320" t="e">
        <f t="shared" si="14"/>
        <v>#N/A</v>
      </c>
      <c r="M233" s="268" t="e">
        <f t="shared" si="15"/>
        <v>#N/A</v>
      </c>
      <c r="O233" s="360"/>
      <c r="P233" s="320"/>
      <c r="Q233" s="429"/>
    </row>
    <row r="234" spans="5:17" ht="16.5">
      <c r="E234" t="s">
        <v>3290</v>
      </c>
      <c r="F234" s="268">
        <v>19100</v>
      </c>
      <c r="H234" t="e">
        <f t="shared" si="13"/>
        <v>#N/A</v>
      </c>
      <c r="I234" t="e">
        <f t="shared" si="12"/>
        <v>#N/A</v>
      </c>
      <c r="L234" s="320" t="e">
        <f t="shared" si="14"/>
        <v>#N/A</v>
      </c>
      <c r="M234" s="268" t="e">
        <f t="shared" si="15"/>
        <v>#N/A</v>
      </c>
      <c r="O234" s="360"/>
      <c r="P234" s="320"/>
      <c r="Q234" s="429"/>
    </row>
    <row r="235" spans="5:17" ht="16.5">
      <c r="E235" t="s">
        <v>3284</v>
      </c>
      <c r="F235" s="268">
        <v>19400</v>
      </c>
      <c r="H235" t="e">
        <f t="shared" si="13"/>
        <v>#N/A</v>
      </c>
      <c r="I235" t="e">
        <f t="shared" si="12"/>
        <v>#N/A</v>
      </c>
      <c r="L235" s="320" t="e">
        <f t="shared" si="14"/>
        <v>#N/A</v>
      </c>
      <c r="M235" s="268" t="e">
        <f t="shared" si="15"/>
        <v>#N/A</v>
      </c>
      <c r="O235" s="360"/>
      <c r="P235" s="320"/>
      <c r="Q235" s="429"/>
    </row>
    <row r="236" spans="5:17" ht="16.5">
      <c r="E236" t="s">
        <v>3347</v>
      </c>
      <c r="F236" s="268">
        <v>100300</v>
      </c>
      <c r="H236" t="e">
        <f t="shared" si="13"/>
        <v>#N/A</v>
      </c>
      <c r="I236" t="e">
        <f t="shared" si="12"/>
        <v>#N/A</v>
      </c>
      <c r="L236" s="320" t="e">
        <f t="shared" si="14"/>
        <v>#N/A</v>
      </c>
      <c r="M236" s="268" t="e">
        <f t="shared" si="15"/>
        <v>#N/A</v>
      </c>
      <c r="O236" s="360"/>
      <c r="P236" s="320"/>
      <c r="Q236" s="429"/>
    </row>
    <row r="237" spans="5:17" ht="16.5">
      <c r="E237" t="s">
        <v>4836</v>
      </c>
      <c r="F237" s="268">
        <v>178400</v>
      </c>
      <c r="H237" t="e">
        <f t="shared" si="13"/>
        <v>#N/A</v>
      </c>
      <c r="I237" t="e">
        <f t="shared" si="12"/>
        <v>#N/A</v>
      </c>
      <c r="L237" s="320" t="e">
        <f t="shared" si="14"/>
        <v>#N/A</v>
      </c>
      <c r="M237" s="268" t="e">
        <f t="shared" si="15"/>
        <v>#N/A</v>
      </c>
      <c r="O237" s="360"/>
      <c r="P237" s="320"/>
      <c r="Q237" s="429"/>
    </row>
    <row r="238" spans="5:17" ht="16.5">
      <c r="E238" t="s">
        <v>3575</v>
      </c>
      <c r="F238" s="268">
        <v>9200</v>
      </c>
      <c r="H238" t="e">
        <f t="shared" si="13"/>
        <v>#N/A</v>
      </c>
      <c r="I238" t="e">
        <f t="shared" si="12"/>
        <v>#N/A</v>
      </c>
      <c r="L238" s="320" t="e">
        <f t="shared" si="14"/>
        <v>#N/A</v>
      </c>
      <c r="M238" s="268" t="e">
        <f t="shared" si="15"/>
        <v>#N/A</v>
      </c>
      <c r="O238" s="360"/>
      <c r="P238" s="320"/>
      <c r="Q238" s="429"/>
    </row>
    <row r="239" spans="5:17" ht="16.5">
      <c r="E239" t="s">
        <v>4376</v>
      </c>
      <c r="F239" s="268">
        <v>49000</v>
      </c>
      <c r="H239" t="e">
        <f t="shared" si="13"/>
        <v>#N/A</v>
      </c>
      <c r="I239" t="e">
        <f t="shared" si="12"/>
        <v>#N/A</v>
      </c>
      <c r="L239" s="320" t="e">
        <f t="shared" si="14"/>
        <v>#N/A</v>
      </c>
      <c r="M239" s="268" t="e">
        <f t="shared" si="15"/>
        <v>#N/A</v>
      </c>
      <c r="O239" s="360"/>
      <c r="P239" s="320"/>
      <c r="Q239" s="429"/>
    </row>
    <row r="240" spans="5:17" ht="16.5">
      <c r="E240" t="s">
        <v>3583</v>
      </c>
      <c r="F240" s="268">
        <v>24300</v>
      </c>
      <c r="H240" t="e">
        <f t="shared" si="13"/>
        <v>#N/A</v>
      </c>
      <c r="I240" t="e">
        <f t="shared" si="12"/>
        <v>#N/A</v>
      </c>
      <c r="L240" s="320" t="e">
        <f t="shared" si="14"/>
        <v>#N/A</v>
      </c>
      <c r="M240" s="268" t="e">
        <f t="shared" si="15"/>
        <v>#N/A</v>
      </c>
      <c r="O240" s="360"/>
      <c r="P240" s="320"/>
      <c r="Q240" s="429"/>
    </row>
    <row r="241" spans="5:17" ht="16.5">
      <c r="E241" t="s">
        <v>5133</v>
      </c>
      <c r="F241" s="268">
        <v>23500</v>
      </c>
      <c r="H241" t="e">
        <f t="shared" si="13"/>
        <v>#N/A</v>
      </c>
      <c r="I241" t="e">
        <f t="shared" si="12"/>
        <v>#N/A</v>
      </c>
      <c r="L241" s="320" t="e">
        <f t="shared" si="14"/>
        <v>#N/A</v>
      </c>
      <c r="M241" s="268" t="e">
        <f t="shared" si="15"/>
        <v>#N/A</v>
      </c>
      <c r="O241" s="360"/>
      <c r="P241" s="320"/>
      <c r="Q241" s="429"/>
    </row>
    <row r="242" spans="5:17" ht="16.5">
      <c r="E242" t="s">
        <v>3596</v>
      </c>
      <c r="F242" s="268">
        <v>9200</v>
      </c>
      <c r="H242" t="e">
        <f t="shared" si="13"/>
        <v>#N/A</v>
      </c>
      <c r="I242" t="e">
        <f t="shared" si="12"/>
        <v>#N/A</v>
      </c>
      <c r="L242" s="320" t="e">
        <f t="shared" si="14"/>
        <v>#N/A</v>
      </c>
      <c r="M242" s="268" t="e">
        <f t="shared" si="15"/>
        <v>#N/A</v>
      </c>
      <c r="O242" s="360"/>
      <c r="P242" s="320"/>
      <c r="Q242" s="429"/>
    </row>
    <row r="243" spans="5:17" ht="16.5">
      <c r="E243" t="s">
        <v>3729</v>
      </c>
      <c r="F243" s="268">
        <v>8100</v>
      </c>
      <c r="H243" t="e">
        <f t="shared" si="13"/>
        <v>#N/A</v>
      </c>
      <c r="I243" t="e">
        <f t="shared" si="12"/>
        <v>#N/A</v>
      </c>
      <c r="L243" s="320" t="e">
        <f t="shared" si="14"/>
        <v>#N/A</v>
      </c>
      <c r="M243" s="268" t="e">
        <f t="shared" si="15"/>
        <v>#N/A</v>
      </c>
      <c r="O243" s="360"/>
      <c r="P243" s="320"/>
      <c r="Q243" s="429"/>
    </row>
    <row r="244" spans="5:17" ht="16.5">
      <c r="E244" t="s">
        <v>3601</v>
      </c>
      <c r="F244" s="268">
        <v>7900</v>
      </c>
      <c r="H244" t="e">
        <f t="shared" si="13"/>
        <v>#N/A</v>
      </c>
      <c r="I244" t="e">
        <f t="shared" si="12"/>
        <v>#N/A</v>
      </c>
      <c r="L244" s="320" t="e">
        <f t="shared" si="14"/>
        <v>#N/A</v>
      </c>
      <c r="M244" s="268" t="e">
        <f t="shared" si="15"/>
        <v>#N/A</v>
      </c>
      <c r="O244" s="360"/>
      <c r="P244" s="320"/>
      <c r="Q244" s="429"/>
    </row>
    <row r="245" spans="5:17" ht="16.5">
      <c r="E245" t="s">
        <v>3586</v>
      </c>
      <c r="F245" s="268">
        <v>8200</v>
      </c>
      <c r="H245" t="e">
        <f t="shared" si="13"/>
        <v>#N/A</v>
      </c>
      <c r="I245" t="e">
        <f t="shared" si="12"/>
        <v>#N/A</v>
      </c>
      <c r="L245" s="320" t="e">
        <f t="shared" si="14"/>
        <v>#N/A</v>
      </c>
      <c r="M245" s="268" t="e">
        <f t="shared" si="15"/>
        <v>#N/A</v>
      </c>
      <c r="O245" s="360"/>
      <c r="P245" s="320"/>
      <c r="Q245" s="429"/>
    </row>
    <row r="246" spans="5:17" ht="16.5">
      <c r="E246" t="s">
        <v>4401</v>
      </c>
      <c r="F246" s="268">
        <v>8400</v>
      </c>
      <c r="H246" t="e">
        <f t="shared" si="13"/>
        <v>#N/A</v>
      </c>
      <c r="I246" t="e">
        <f t="shared" si="12"/>
        <v>#N/A</v>
      </c>
      <c r="L246" s="320" t="e">
        <f t="shared" si="14"/>
        <v>#N/A</v>
      </c>
      <c r="M246" s="268" t="e">
        <f t="shared" si="15"/>
        <v>#N/A</v>
      </c>
      <c r="O246" s="360"/>
      <c r="P246" s="320"/>
      <c r="Q246" s="429"/>
    </row>
    <row r="247" spans="5:17" ht="16.5">
      <c r="E247" t="s">
        <v>4410</v>
      </c>
      <c r="F247" s="268">
        <v>11800</v>
      </c>
      <c r="H247" t="e">
        <f t="shared" si="13"/>
        <v>#N/A</v>
      </c>
      <c r="I247" t="e">
        <f t="shared" si="12"/>
        <v>#N/A</v>
      </c>
      <c r="L247" s="320" t="e">
        <f t="shared" si="14"/>
        <v>#N/A</v>
      </c>
      <c r="M247" s="268" t="e">
        <f t="shared" si="15"/>
        <v>#N/A</v>
      </c>
      <c r="O247" s="360"/>
      <c r="P247" s="320"/>
      <c r="Q247" s="429"/>
    </row>
    <row r="248" spans="5:17" ht="16.5">
      <c r="E248" t="s">
        <v>4384</v>
      </c>
      <c r="F248" s="268">
        <v>4200</v>
      </c>
      <c r="H248" t="e">
        <f t="shared" si="13"/>
        <v>#N/A</v>
      </c>
      <c r="I248" t="e">
        <f t="shared" si="12"/>
        <v>#N/A</v>
      </c>
      <c r="L248" s="320" t="e">
        <f t="shared" si="14"/>
        <v>#N/A</v>
      </c>
      <c r="M248" s="268" t="e">
        <f t="shared" si="15"/>
        <v>#N/A</v>
      </c>
      <c r="O248" s="360"/>
      <c r="P248" s="320"/>
      <c r="Q248" s="429"/>
    </row>
    <row r="249" spans="5:17" ht="16.5">
      <c r="E249" t="s">
        <v>3779</v>
      </c>
      <c r="F249" s="268">
        <v>101700</v>
      </c>
      <c r="H249" t="e">
        <f t="shared" si="13"/>
        <v>#N/A</v>
      </c>
      <c r="I249" t="e">
        <f t="shared" si="12"/>
        <v>#N/A</v>
      </c>
      <c r="L249" s="320" t="e">
        <f t="shared" si="14"/>
        <v>#N/A</v>
      </c>
      <c r="M249" s="268" t="e">
        <f t="shared" si="15"/>
        <v>#N/A</v>
      </c>
      <c r="O249" s="360"/>
      <c r="P249" s="320"/>
      <c r="Q249" s="429"/>
    </row>
    <row r="250" spans="5:17" ht="16.5">
      <c r="E250" t="s">
        <v>3784</v>
      </c>
      <c r="F250" s="268">
        <v>101500</v>
      </c>
      <c r="H250" t="e">
        <f t="shared" si="13"/>
        <v>#N/A</v>
      </c>
      <c r="I250" t="e">
        <f t="shared" si="12"/>
        <v>#N/A</v>
      </c>
      <c r="L250" s="320" t="e">
        <f t="shared" si="14"/>
        <v>#N/A</v>
      </c>
      <c r="M250" s="268" t="e">
        <f t="shared" si="15"/>
        <v>#N/A</v>
      </c>
      <c r="O250" s="360"/>
      <c r="P250" s="320"/>
      <c r="Q250" s="429"/>
    </row>
    <row r="251" spans="5:17" ht="16.5">
      <c r="E251" t="s">
        <v>3791</v>
      </c>
      <c r="F251" s="268">
        <v>20400</v>
      </c>
      <c r="H251" t="e">
        <f t="shared" si="13"/>
        <v>#N/A</v>
      </c>
      <c r="I251" t="e">
        <f t="shared" si="12"/>
        <v>#N/A</v>
      </c>
      <c r="L251" s="320" t="e">
        <f t="shared" si="14"/>
        <v>#N/A</v>
      </c>
      <c r="M251" s="268" t="e">
        <f t="shared" si="15"/>
        <v>#N/A</v>
      </c>
      <c r="O251" s="360"/>
      <c r="P251" s="320"/>
      <c r="Q251" s="429"/>
    </row>
    <row r="252" spans="5:17" ht="16.5">
      <c r="E252" t="s">
        <v>4391</v>
      </c>
      <c r="F252" s="268">
        <v>16300</v>
      </c>
      <c r="H252" t="e">
        <f t="shared" si="13"/>
        <v>#N/A</v>
      </c>
      <c r="I252" t="e">
        <f t="shared" si="12"/>
        <v>#N/A</v>
      </c>
      <c r="L252" s="320" t="e">
        <f t="shared" si="14"/>
        <v>#N/A</v>
      </c>
      <c r="M252" s="268" t="e">
        <f t="shared" si="15"/>
        <v>#N/A</v>
      </c>
      <c r="O252" s="360"/>
      <c r="P252" s="320"/>
      <c r="Q252" s="429"/>
    </row>
    <row r="253" spans="5:17" ht="16.5">
      <c r="E253" t="s">
        <v>3540</v>
      </c>
      <c r="F253" s="268">
        <v>1100</v>
      </c>
      <c r="H253" t="e">
        <f t="shared" si="13"/>
        <v>#N/A</v>
      </c>
      <c r="I253" t="e">
        <f t="shared" si="12"/>
        <v>#N/A</v>
      </c>
      <c r="L253" s="320" t="e">
        <f t="shared" si="14"/>
        <v>#N/A</v>
      </c>
      <c r="M253" s="268" t="e">
        <f t="shared" si="15"/>
        <v>#N/A</v>
      </c>
      <c r="O253" s="360"/>
      <c r="P253" s="320"/>
      <c r="Q253" s="429"/>
    </row>
    <row r="254" spans="5:17" ht="16.5">
      <c r="E254" t="s">
        <v>3467</v>
      </c>
      <c r="F254" s="268">
        <v>552200</v>
      </c>
      <c r="H254" t="e">
        <f t="shared" si="13"/>
        <v>#N/A</v>
      </c>
      <c r="I254" t="e">
        <f t="shared" si="12"/>
        <v>#N/A</v>
      </c>
      <c r="L254" s="320" t="e">
        <f t="shared" si="14"/>
        <v>#N/A</v>
      </c>
      <c r="M254" s="268" t="e">
        <f t="shared" si="15"/>
        <v>#N/A</v>
      </c>
      <c r="O254" s="360"/>
      <c r="P254" s="320"/>
      <c r="Q254" s="429"/>
    </row>
    <row r="255" spans="5:17" ht="16.5">
      <c r="E255" t="s">
        <v>4598</v>
      </c>
      <c r="F255" s="268">
        <v>41700</v>
      </c>
      <c r="H255" t="e">
        <f t="shared" si="13"/>
        <v>#N/A</v>
      </c>
      <c r="I255" t="e">
        <f t="shared" si="12"/>
        <v>#N/A</v>
      </c>
      <c r="L255" s="320" t="e">
        <f t="shared" si="14"/>
        <v>#N/A</v>
      </c>
      <c r="M255" s="268" t="e">
        <f t="shared" si="15"/>
        <v>#N/A</v>
      </c>
      <c r="O255" s="360"/>
      <c r="P255" s="320"/>
      <c r="Q255" s="429"/>
    </row>
    <row r="256" spans="5:17" ht="16.5">
      <c r="E256" t="s">
        <v>4589</v>
      </c>
      <c r="F256" s="268">
        <v>41400</v>
      </c>
      <c r="H256" t="e">
        <f t="shared" si="13"/>
        <v>#N/A</v>
      </c>
      <c r="I256" t="e">
        <f t="shared" si="12"/>
        <v>#N/A</v>
      </c>
      <c r="L256" s="320" t="e">
        <f t="shared" si="14"/>
        <v>#N/A</v>
      </c>
      <c r="M256" s="268" t="e">
        <f t="shared" si="15"/>
        <v>#N/A</v>
      </c>
      <c r="O256" s="360"/>
      <c r="P256" s="320"/>
      <c r="Q256" s="429"/>
    </row>
    <row r="257" spans="5:17" ht="16.5">
      <c r="E257" t="s">
        <v>4581</v>
      </c>
      <c r="F257" s="268">
        <v>41400</v>
      </c>
      <c r="H257" t="e">
        <f t="shared" si="13"/>
        <v>#N/A</v>
      </c>
      <c r="I257" t="e">
        <f t="shared" si="12"/>
        <v>#N/A</v>
      </c>
      <c r="L257" s="320" t="e">
        <f t="shared" si="14"/>
        <v>#N/A</v>
      </c>
      <c r="M257" s="268" t="e">
        <f t="shared" si="15"/>
        <v>#N/A</v>
      </c>
      <c r="O257" s="360"/>
      <c r="P257" s="320"/>
      <c r="Q257" s="429"/>
    </row>
    <row r="258" spans="5:17" ht="16.5">
      <c r="E258" t="s">
        <v>3086</v>
      </c>
      <c r="F258" s="268">
        <v>22600</v>
      </c>
      <c r="H258" t="e">
        <f t="shared" si="13"/>
        <v>#N/A</v>
      </c>
      <c r="I258" t="e">
        <f t="shared" si="12"/>
        <v>#N/A</v>
      </c>
      <c r="L258" s="320" t="e">
        <f t="shared" si="14"/>
        <v>#N/A</v>
      </c>
      <c r="M258" s="268" t="e">
        <f t="shared" si="15"/>
        <v>#N/A</v>
      </c>
      <c r="N258" s="444"/>
      <c r="O258" s="360"/>
      <c r="P258" s="320"/>
      <c r="Q258" s="429"/>
    </row>
    <row r="259" spans="5:17" ht="16.5">
      <c r="E259" t="s">
        <v>2834</v>
      </c>
      <c r="F259" s="268">
        <v>33900</v>
      </c>
      <c r="H259" t="e">
        <f t="shared" si="13"/>
        <v>#N/A</v>
      </c>
      <c r="I259" t="e">
        <f t="shared" si="12"/>
        <v>#N/A</v>
      </c>
      <c r="L259" s="320" t="e">
        <f t="shared" si="14"/>
        <v>#N/A</v>
      </c>
      <c r="M259" s="268" t="e">
        <f t="shared" si="15"/>
        <v>#N/A</v>
      </c>
      <c r="O259" s="360"/>
      <c r="P259" s="320"/>
      <c r="Q259" s="429"/>
    </row>
    <row r="260" spans="5:17" ht="16.5">
      <c r="E260" t="s">
        <v>4829</v>
      </c>
      <c r="F260" s="268">
        <v>33800</v>
      </c>
      <c r="H260" t="e">
        <f t="shared" si="13"/>
        <v>#N/A</v>
      </c>
      <c r="I260" t="e">
        <f t="shared" si="12"/>
        <v>#N/A</v>
      </c>
      <c r="L260" s="320" t="e">
        <f t="shared" si="14"/>
        <v>#N/A</v>
      </c>
      <c r="M260" s="268" t="e">
        <f t="shared" si="15"/>
        <v>#N/A</v>
      </c>
      <c r="O260" s="360"/>
      <c r="P260" s="320"/>
      <c r="Q260" s="429"/>
    </row>
    <row r="261" spans="5:17" ht="16.5">
      <c r="E261" t="s">
        <v>4241</v>
      </c>
      <c r="F261" s="268">
        <v>72300</v>
      </c>
      <c r="H261" t="e">
        <f t="shared" si="13"/>
        <v>#N/A</v>
      </c>
      <c r="I261" t="e">
        <f t="shared" ref="I261:I324" si="16">VLOOKUP(A261,E:F,1,FALSE)</f>
        <v>#N/A</v>
      </c>
      <c r="L261" s="320" t="e">
        <f t="shared" si="14"/>
        <v>#N/A</v>
      </c>
      <c r="M261" s="268" t="e">
        <f t="shared" si="15"/>
        <v>#N/A</v>
      </c>
      <c r="O261" s="360"/>
      <c r="P261" s="320"/>
      <c r="Q261" s="429"/>
    </row>
    <row r="262" spans="5:17" ht="16.5">
      <c r="E262" t="s">
        <v>2584</v>
      </c>
      <c r="F262" s="268">
        <v>2600</v>
      </c>
      <c r="H262" t="e">
        <f t="shared" ref="H262:H325" si="17">VLOOKUP(E262,A:B,1,FALSE)</f>
        <v>#N/A</v>
      </c>
      <c r="I262" t="e">
        <f t="shared" si="16"/>
        <v>#N/A</v>
      </c>
      <c r="L262" s="320" t="e">
        <f t="shared" ref="L262:L325" si="18">_xlfn.XLOOKUP(E262,A:A,B:B,,0)</f>
        <v>#N/A</v>
      </c>
      <c r="M262" s="268" t="e">
        <f t="shared" ref="M262:M325" si="19">L262-F262</f>
        <v>#N/A</v>
      </c>
      <c r="O262" s="360"/>
      <c r="P262" s="320"/>
      <c r="Q262" s="429"/>
    </row>
    <row r="263" spans="5:17" ht="16.5">
      <c r="E263" t="s">
        <v>3895</v>
      </c>
      <c r="F263" s="268">
        <v>18900</v>
      </c>
      <c r="H263" t="e">
        <f t="shared" si="17"/>
        <v>#N/A</v>
      </c>
      <c r="I263" t="e">
        <f t="shared" si="16"/>
        <v>#N/A</v>
      </c>
      <c r="L263" s="320" t="e">
        <f t="shared" si="18"/>
        <v>#N/A</v>
      </c>
      <c r="M263" s="268" t="e">
        <f t="shared" si="19"/>
        <v>#N/A</v>
      </c>
      <c r="O263" s="360"/>
      <c r="P263" s="320"/>
      <c r="Q263" s="429"/>
    </row>
    <row r="264" spans="5:17" ht="16.5">
      <c r="E264" t="s">
        <v>3533</v>
      </c>
      <c r="F264" s="268">
        <v>3700</v>
      </c>
      <c r="H264" t="e">
        <f t="shared" si="17"/>
        <v>#N/A</v>
      </c>
      <c r="I264" t="e">
        <f t="shared" si="16"/>
        <v>#N/A</v>
      </c>
      <c r="L264" s="320" t="e">
        <f t="shared" si="18"/>
        <v>#N/A</v>
      </c>
      <c r="M264" s="268" t="e">
        <f t="shared" si="19"/>
        <v>#N/A</v>
      </c>
      <c r="N264" s="444"/>
      <c r="O264" s="360"/>
      <c r="P264" s="320"/>
      <c r="Q264" s="429"/>
    </row>
    <row r="265" spans="5:17" ht="16.5">
      <c r="E265" t="s">
        <v>3420</v>
      </c>
      <c r="F265" s="268">
        <v>98100</v>
      </c>
      <c r="H265" t="e">
        <f t="shared" si="17"/>
        <v>#N/A</v>
      </c>
      <c r="I265" t="e">
        <f t="shared" si="16"/>
        <v>#N/A</v>
      </c>
      <c r="L265" s="320" t="e">
        <f t="shared" si="18"/>
        <v>#N/A</v>
      </c>
      <c r="M265" s="268" t="e">
        <f t="shared" si="19"/>
        <v>#N/A</v>
      </c>
      <c r="O265" s="360"/>
      <c r="P265" s="320"/>
      <c r="Q265" s="429"/>
    </row>
    <row r="266" spans="5:17" ht="16.5">
      <c r="E266" t="s">
        <v>3447</v>
      </c>
      <c r="F266" s="268">
        <v>12800</v>
      </c>
      <c r="H266" t="e">
        <f t="shared" si="17"/>
        <v>#N/A</v>
      </c>
      <c r="I266" t="e">
        <f t="shared" si="16"/>
        <v>#N/A</v>
      </c>
      <c r="L266" s="320" t="e">
        <f t="shared" si="18"/>
        <v>#N/A</v>
      </c>
      <c r="M266" s="268" t="e">
        <f t="shared" si="19"/>
        <v>#N/A</v>
      </c>
      <c r="O266" s="360"/>
      <c r="P266" s="320"/>
      <c r="Q266" s="429"/>
    </row>
    <row r="267" spans="5:17" ht="16.5">
      <c r="E267" t="s">
        <v>3462</v>
      </c>
      <c r="F267" s="268">
        <v>12800</v>
      </c>
      <c r="H267" t="e">
        <f t="shared" si="17"/>
        <v>#N/A</v>
      </c>
      <c r="I267" t="e">
        <f t="shared" si="16"/>
        <v>#N/A</v>
      </c>
      <c r="L267" s="320" t="e">
        <f t="shared" si="18"/>
        <v>#N/A</v>
      </c>
      <c r="M267" s="268" t="e">
        <f t="shared" si="19"/>
        <v>#N/A</v>
      </c>
      <c r="O267" s="360"/>
      <c r="P267" s="320"/>
      <c r="Q267" s="429"/>
    </row>
    <row r="268" spans="5:17" ht="16.5">
      <c r="E268" t="s">
        <v>3492</v>
      </c>
      <c r="F268" s="268">
        <v>12800</v>
      </c>
      <c r="H268" t="e">
        <f t="shared" si="17"/>
        <v>#N/A</v>
      </c>
      <c r="I268" t="e">
        <f t="shared" si="16"/>
        <v>#N/A</v>
      </c>
      <c r="L268" s="320" t="e">
        <f t="shared" si="18"/>
        <v>#N/A</v>
      </c>
      <c r="M268" s="268" t="e">
        <f t="shared" si="19"/>
        <v>#N/A</v>
      </c>
      <c r="O268" s="360"/>
      <c r="P268" s="320"/>
      <c r="Q268" s="429"/>
    </row>
    <row r="269" spans="5:17" ht="16.5">
      <c r="E269" t="s">
        <v>3434</v>
      </c>
      <c r="F269" s="268">
        <v>25000</v>
      </c>
      <c r="H269" t="e">
        <f t="shared" si="17"/>
        <v>#N/A</v>
      </c>
      <c r="I269" t="e">
        <f t="shared" si="16"/>
        <v>#N/A</v>
      </c>
      <c r="L269" s="320" t="e">
        <f t="shared" si="18"/>
        <v>#N/A</v>
      </c>
      <c r="M269" s="268" t="e">
        <f t="shared" si="19"/>
        <v>#N/A</v>
      </c>
      <c r="O269" s="360"/>
      <c r="P269" s="320"/>
      <c r="Q269" s="429"/>
    </row>
    <row r="270" spans="5:17" ht="16.5">
      <c r="E270" t="s">
        <v>4468</v>
      </c>
      <c r="F270" s="268">
        <v>26000</v>
      </c>
      <c r="H270" t="e">
        <f t="shared" si="17"/>
        <v>#N/A</v>
      </c>
      <c r="I270" t="e">
        <f t="shared" si="16"/>
        <v>#N/A</v>
      </c>
      <c r="L270" s="320" t="e">
        <f t="shared" si="18"/>
        <v>#N/A</v>
      </c>
      <c r="M270" s="268" t="e">
        <f t="shared" si="19"/>
        <v>#N/A</v>
      </c>
      <c r="O270" s="360"/>
      <c r="P270" s="320"/>
      <c r="Q270" s="429"/>
    </row>
    <row r="271" spans="5:17" ht="16.5">
      <c r="E271" t="s">
        <v>3499</v>
      </c>
      <c r="F271" s="268">
        <v>24900</v>
      </c>
      <c r="H271" t="e">
        <f t="shared" si="17"/>
        <v>#N/A</v>
      </c>
      <c r="I271" t="e">
        <f t="shared" si="16"/>
        <v>#N/A</v>
      </c>
      <c r="L271" s="320" t="e">
        <f t="shared" si="18"/>
        <v>#N/A</v>
      </c>
      <c r="M271" s="268" t="e">
        <f t="shared" si="19"/>
        <v>#N/A</v>
      </c>
      <c r="O271" s="360"/>
      <c r="P271" s="320"/>
      <c r="Q271" s="429"/>
    </row>
    <row r="272" spans="5:17" ht="16.5">
      <c r="E272" t="s">
        <v>3441</v>
      </c>
      <c r="F272" s="268">
        <v>24900</v>
      </c>
      <c r="H272" t="e">
        <f t="shared" si="17"/>
        <v>#N/A</v>
      </c>
      <c r="I272" t="e">
        <f t="shared" si="16"/>
        <v>#N/A</v>
      </c>
      <c r="L272" s="320" t="e">
        <f t="shared" si="18"/>
        <v>#N/A</v>
      </c>
      <c r="M272" s="268" t="e">
        <f t="shared" si="19"/>
        <v>#N/A</v>
      </c>
      <c r="O272" s="360"/>
      <c r="P272" s="320"/>
      <c r="Q272" s="429"/>
    </row>
    <row r="273" spans="5:17" ht="16.5">
      <c r="E273" t="s">
        <v>3880</v>
      </c>
      <c r="F273" s="268">
        <v>40500</v>
      </c>
      <c r="H273" t="e">
        <f t="shared" si="17"/>
        <v>#N/A</v>
      </c>
      <c r="I273" t="e">
        <f t="shared" si="16"/>
        <v>#N/A</v>
      </c>
      <c r="L273" s="320" t="e">
        <f t="shared" si="18"/>
        <v>#N/A</v>
      </c>
      <c r="M273" s="268" t="e">
        <f t="shared" si="19"/>
        <v>#N/A</v>
      </c>
      <c r="O273" s="360"/>
      <c r="P273" s="320"/>
      <c r="Q273" s="429"/>
    </row>
    <row r="274" spans="5:17" ht="16.5">
      <c r="E274" t="s">
        <v>3148</v>
      </c>
      <c r="F274" s="268">
        <v>52300</v>
      </c>
      <c r="H274" t="e">
        <f t="shared" si="17"/>
        <v>#N/A</v>
      </c>
      <c r="I274" t="e">
        <f t="shared" si="16"/>
        <v>#N/A</v>
      </c>
      <c r="L274" s="320" t="e">
        <f t="shared" si="18"/>
        <v>#N/A</v>
      </c>
      <c r="M274" s="268" t="e">
        <f t="shared" si="19"/>
        <v>#N/A</v>
      </c>
      <c r="O274" s="360"/>
      <c r="P274" s="320"/>
      <c r="Q274" s="429"/>
    </row>
    <row r="275" spans="5:17" ht="16.5">
      <c r="E275" t="s">
        <v>2978</v>
      </c>
      <c r="F275" s="268">
        <v>24200</v>
      </c>
      <c r="H275" t="e">
        <f t="shared" si="17"/>
        <v>#N/A</v>
      </c>
      <c r="I275" t="e">
        <f t="shared" si="16"/>
        <v>#N/A</v>
      </c>
      <c r="L275" s="320" t="e">
        <f t="shared" si="18"/>
        <v>#N/A</v>
      </c>
      <c r="M275" s="268" t="e">
        <f t="shared" si="19"/>
        <v>#N/A</v>
      </c>
      <c r="O275" s="360"/>
      <c r="P275" s="320"/>
      <c r="Q275" s="429"/>
    </row>
    <row r="276" spans="5:17" ht="16.5">
      <c r="E276" t="s">
        <v>2993</v>
      </c>
      <c r="F276" s="268">
        <v>24100</v>
      </c>
      <c r="H276" t="e">
        <f t="shared" si="17"/>
        <v>#N/A</v>
      </c>
      <c r="I276" t="e">
        <f t="shared" si="16"/>
        <v>#N/A</v>
      </c>
      <c r="L276" s="320" t="e">
        <f t="shared" si="18"/>
        <v>#N/A</v>
      </c>
      <c r="M276" s="268" t="e">
        <f t="shared" si="19"/>
        <v>#N/A</v>
      </c>
      <c r="O276" s="360"/>
      <c r="P276" s="320"/>
      <c r="Q276" s="429"/>
    </row>
    <row r="277" spans="5:17" ht="16.5">
      <c r="E277" t="s">
        <v>2965</v>
      </c>
      <c r="F277" s="268">
        <v>23900</v>
      </c>
      <c r="H277" t="e">
        <f t="shared" si="17"/>
        <v>#N/A</v>
      </c>
      <c r="I277" t="e">
        <f t="shared" si="16"/>
        <v>#N/A</v>
      </c>
      <c r="L277" s="320" t="e">
        <f t="shared" si="18"/>
        <v>#N/A</v>
      </c>
      <c r="M277" s="268" t="e">
        <f t="shared" si="19"/>
        <v>#N/A</v>
      </c>
      <c r="O277" s="360"/>
      <c r="P277" s="320"/>
      <c r="Q277" s="429"/>
    </row>
    <row r="278" spans="5:17" ht="16.5">
      <c r="E278" t="s">
        <v>3000</v>
      </c>
      <c r="F278" s="268">
        <v>24000</v>
      </c>
      <c r="H278" t="e">
        <f t="shared" si="17"/>
        <v>#N/A</v>
      </c>
      <c r="I278" t="e">
        <f t="shared" si="16"/>
        <v>#N/A</v>
      </c>
      <c r="L278" s="320" t="e">
        <f t="shared" si="18"/>
        <v>#N/A</v>
      </c>
      <c r="M278" s="268" t="e">
        <f t="shared" si="19"/>
        <v>#N/A</v>
      </c>
      <c r="O278" s="360"/>
      <c r="P278" s="320"/>
      <c r="Q278" s="429"/>
    </row>
    <row r="279" spans="5:17" ht="16.5">
      <c r="E279" t="s">
        <v>3482</v>
      </c>
      <c r="F279" s="268">
        <v>12800</v>
      </c>
      <c r="H279" t="e">
        <f t="shared" si="17"/>
        <v>#N/A</v>
      </c>
      <c r="I279" t="e">
        <f t="shared" si="16"/>
        <v>#N/A</v>
      </c>
      <c r="L279" s="320" t="e">
        <f t="shared" si="18"/>
        <v>#N/A</v>
      </c>
      <c r="M279" s="268" t="e">
        <f t="shared" si="19"/>
        <v>#N/A</v>
      </c>
      <c r="O279" s="360"/>
      <c r="P279" s="320"/>
      <c r="Q279" s="429"/>
    </row>
    <row r="280" spans="5:17" ht="16.5">
      <c r="E280" t="s">
        <v>2958</v>
      </c>
      <c r="F280" s="268">
        <v>26000</v>
      </c>
      <c r="H280" t="e">
        <f t="shared" si="17"/>
        <v>#N/A</v>
      </c>
      <c r="I280" t="e">
        <f t="shared" si="16"/>
        <v>#N/A</v>
      </c>
      <c r="L280" s="320" t="e">
        <f t="shared" si="18"/>
        <v>#N/A</v>
      </c>
      <c r="M280" s="268" t="e">
        <f t="shared" si="19"/>
        <v>#N/A</v>
      </c>
      <c r="O280" s="360"/>
      <c r="P280" s="320"/>
      <c r="Q280" s="429"/>
    </row>
    <row r="281" spans="5:17" ht="16.5">
      <c r="E281" t="s">
        <v>2945</v>
      </c>
      <c r="F281" s="268">
        <v>24200</v>
      </c>
      <c r="H281" t="e">
        <f t="shared" si="17"/>
        <v>#N/A</v>
      </c>
      <c r="I281" t="e">
        <f t="shared" si="16"/>
        <v>#N/A</v>
      </c>
      <c r="L281" s="320" t="e">
        <f t="shared" si="18"/>
        <v>#N/A</v>
      </c>
      <c r="M281" s="268" t="e">
        <f t="shared" si="19"/>
        <v>#N/A</v>
      </c>
      <c r="O281" s="360"/>
      <c r="P281" s="320"/>
      <c r="Q281" s="429"/>
    </row>
    <row r="282" spans="5:17" ht="16.5">
      <c r="E282" t="s">
        <v>2951</v>
      </c>
      <c r="F282" s="268">
        <v>26000</v>
      </c>
      <c r="H282" t="e">
        <f t="shared" si="17"/>
        <v>#N/A</v>
      </c>
      <c r="I282" t="e">
        <f t="shared" si="16"/>
        <v>#N/A</v>
      </c>
      <c r="L282" s="320" t="e">
        <f t="shared" si="18"/>
        <v>#N/A</v>
      </c>
      <c r="M282" s="268" t="e">
        <f t="shared" si="19"/>
        <v>#N/A</v>
      </c>
      <c r="O282" s="360"/>
      <c r="P282" s="320"/>
      <c r="Q282" s="429"/>
    </row>
    <row r="283" spans="5:17" ht="16.5">
      <c r="E283" t="s">
        <v>2927</v>
      </c>
      <c r="F283" s="268">
        <v>16900</v>
      </c>
      <c r="H283" t="e">
        <f t="shared" si="17"/>
        <v>#N/A</v>
      </c>
      <c r="I283" t="e">
        <f t="shared" si="16"/>
        <v>#N/A</v>
      </c>
      <c r="L283" s="320" t="e">
        <f t="shared" si="18"/>
        <v>#N/A</v>
      </c>
      <c r="M283" s="268" t="e">
        <f t="shared" si="19"/>
        <v>#N/A</v>
      </c>
      <c r="O283" s="360"/>
      <c r="P283" s="320"/>
      <c r="Q283" s="429"/>
    </row>
    <row r="284" spans="5:17" ht="16.5">
      <c r="E284" t="s">
        <v>2972</v>
      </c>
      <c r="F284" s="268">
        <v>23300</v>
      </c>
      <c r="H284" t="e">
        <f t="shared" si="17"/>
        <v>#N/A</v>
      </c>
      <c r="I284" t="e">
        <f t="shared" si="16"/>
        <v>#N/A</v>
      </c>
      <c r="L284" s="320" t="e">
        <f t="shared" si="18"/>
        <v>#N/A</v>
      </c>
      <c r="M284" s="268" t="e">
        <f t="shared" si="19"/>
        <v>#N/A</v>
      </c>
      <c r="O284" s="360"/>
      <c r="P284" s="320"/>
      <c r="Q284" s="429"/>
    </row>
    <row r="285" spans="5:17" ht="16.5">
      <c r="E285" t="s">
        <v>3904</v>
      </c>
      <c r="F285" s="268">
        <v>21300</v>
      </c>
      <c r="H285" t="e">
        <f t="shared" si="17"/>
        <v>#N/A</v>
      </c>
      <c r="I285" t="e">
        <f t="shared" si="16"/>
        <v>#N/A</v>
      </c>
      <c r="L285" s="320" t="e">
        <f t="shared" si="18"/>
        <v>#N/A</v>
      </c>
      <c r="M285" s="268" t="e">
        <f t="shared" si="19"/>
        <v>#N/A</v>
      </c>
      <c r="O285" s="360"/>
      <c r="P285" s="320"/>
      <c r="Q285" s="429"/>
    </row>
    <row r="286" spans="5:17" ht="16.5">
      <c r="E286" t="s">
        <v>3356</v>
      </c>
      <c r="F286" s="268">
        <v>15700</v>
      </c>
      <c r="H286" t="e">
        <f t="shared" si="17"/>
        <v>#N/A</v>
      </c>
      <c r="I286" t="e">
        <f t="shared" si="16"/>
        <v>#N/A</v>
      </c>
      <c r="L286" s="320" t="e">
        <f t="shared" si="18"/>
        <v>#N/A</v>
      </c>
      <c r="M286" s="268" t="e">
        <f t="shared" si="19"/>
        <v>#N/A</v>
      </c>
      <c r="O286" s="360"/>
      <c r="P286" s="320"/>
      <c r="Q286" s="429"/>
    </row>
    <row r="287" spans="5:17" ht="16.5">
      <c r="E287" t="s">
        <v>3362</v>
      </c>
      <c r="F287" s="268">
        <v>1590</v>
      </c>
      <c r="H287" t="e">
        <f t="shared" si="17"/>
        <v>#N/A</v>
      </c>
      <c r="I287" t="e">
        <f t="shared" si="16"/>
        <v>#N/A</v>
      </c>
      <c r="L287" s="320" t="e">
        <f t="shared" si="18"/>
        <v>#N/A</v>
      </c>
      <c r="M287" s="268" t="e">
        <f t="shared" si="19"/>
        <v>#N/A</v>
      </c>
      <c r="N287" s="444"/>
      <c r="O287" s="360"/>
      <c r="P287" s="320"/>
      <c r="Q287" s="429"/>
    </row>
    <row r="288" spans="5:17" ht="16.5">
      <c r="E288" t="s">
        <v>4821</v>
      </c>
      <c r="F288" s="268">
        <v>22700</v>
      </c>
      <c r="H288" t="e">
        <f t="shared" si="17"/>
        <v>#N/A</v>
      </c>
      <c r="I288" t="e">
        <f t="shared" si="16"/>
        <v>#N/A</v>
      </c>
      <c r="L288" s="320" t="e">
        <f t="shared" si="18"/>
        <v>#N/A</v>
      </c>
      <c r="M288" s="268" t="e">
        <f t="shared" si="19"/>
        <v>#N/A</v>
      </c>
      <c r="O288" s="360"/>
      <c r="P288" s="320"/>
      <c r="Q288" s="429"/>
    </row>
    <row r="289" spans="5:17" ht="16.5">
      <c r="E289" t="s">
        <v>4812</v>
      </c>
      <c r="F289" s="268">
        <v>22500</v>
      </c>
      <c r="H289" t="e">
        <f t="shared" si="17"/>
        <v>#N/A</v>
      </c>
      <c r="I289" t="e">
        <f t="shared" si="16"/>
        <v>#N/A</v>
      </c>
      <c r="L289" s="320" t="e">
        <f t="shared" si="18"/>
        <v>#N/A</v>
      </c>
      <c r="M289" s="268" t="e">
        <f t="shared" si="19"/>
        <v>#N/A</v>
      </c>
      <c r="O289" s="360"/>
      <c r="P289" s="320"/>
      <c r="Q289" s="429"/>
    </row>
    <row r="290" spans="5:17" ht="16.5">
      <c r="E290" t="s">
        <v>4809</v>
      </c>
      <c r="F290" s="268">
        <v>22700</v>
      </c>
      <c r="H290" t="e">
        <f t="shared" si="17"/>
        <v>#N/A</v>
      </c>
      <c r="I290" t="e">
        <f t="shared" si="16"/>
        <v>#N/A</v>
      </c>
      <c r="L290" s="320" t="e">
        <f t="shared" si="18"/>
        <v>#N/A</v>
      </c>
      <c r="M290" s="268" t="e">
        <f t="shared" si="19"/>
        <v>#N/A</v>
      </c>
      <c r="O290" s="360"/>
      <c r="P290" s="320"/>
      <c r="Q290" s="429"/>
    </row>
    <row r="291" spans="5:17" ht="16.5">
      <c r="E291" t="s">
        <v>4840</v>
      </c>
      <c r="F291" s="268">
        <v>11600</v>
      </c>
      <c r="H291" t="e">
        <f t="shared" si="17"/>
        <v>#N/A</v>
      </c>
      <c r="I291" t="e">
        <f t="shared" si="16"/>
        <v>#N/A</v>
      </c>
      <c r="L291" s="320" t="e">
        <f t="shared" si="18"/>
        <v>#N/A</v>
      </c>
      <c r="M291" s="268" t="e">
        <f t="shared" si="19"/>
        <v>#N/A</v>
      </c>
      <c r="O291" s="360"/>
      <c r="P291" s="320"/>
      <c r="Q291" s="429"/>
    </row>
    <row r="292" spans="5:17" ht="16.5">
      <c r="E292" t="s">
        <v>3093</v>
      </c>
      <c r="F292" s="268">
        <v>11600</v>
      </c>
      <c r="H292" t="e">
        <f t="shared" si="17"/>
        <v>#N/A</v>
      </c>
      <c r="I292" t="e">
        <f t="shared" si="16"/>
        <v>#N/A</v>
      </c>
      <c r="L292" s="320" t="e">
        <f t="shared" si="18"/>
        <v>#N/A</v>
      </c>
      <c r="M292" s="268" t="e">
        <f t="shared" si="19"/>
        <v>#N/A</v>
      </c>
      <c r="O292" s="360"/>
      <c r="P292" s="320"/>
      <c r="Q292" s="429"/>
    </row>
    <row r="293" spans="5:17" ht="16.5">
      <c r="E293" t="s">
        <v>3404</v>
      </c>
      <c r="F293" s="268">
        <v>4800</v>
      </c>
      <c r="H293" t="e">
        <f t="shared" si="17"/>
        <v>#N/A</v>
      </c>
      <c r="I293" t="e">
        <f t="shared" si="16"/>
        <v>#N/A</v>
      </c>
      <c r="L293" s="320" t="e">
        <f t="shared" si="18"/>
        <v>#N/A</v>
      </c>
      <c r="M293" s="268" t="e">
        <f t="shared" si="19"/>
        <v>#N/A</v>
      </c>
      <c r="O293" s="360"/>
      <c r="P293" s="320"/>
      <c r="Q293" s="429"/>
    </row>
    <row r="294" spans="5:17" ht="16.5">
      <c r="E294" t="s">
        <v>2813</v>
      </c>
      <c r="F294" s="268">
        <v>4800</v>
      </c>
      <c r="H294" t="e">
        <f t="shared" si="17"/>
        <v>#N/A</v>
      </c>
      <c r="I294" t="e">
        <f t="shared" si="16"/>
        <v>#N/A</v>
      </c>
      <c r="L294" s="320" t="e">
        <f t="shared" si="18"/>
        <v>#N/A</v>
      </c>
      <c r="M294" s="268" t="e">
        <f t="shared" si="19"/>
        <v>#N/A</v>
      </c>
      <c r="O294" s="360"/>
      <c r="P294" s="320"/>
      <c r="Q294" s="429"/>
    </row>
    <row r="295" spans="5:17" ht="16.5">
      <c r="E295" t="s">
        <v>2579</v>
      </c>
      <c r="F295" s="268">
        <v>4300</v>
      </c>
      <c r="H295" t="e">
        <f t="shared" si="17"/>
        <v>#N/A</v>
      </c>
      <c r="I295" t="e">
        <f t="shared" si="16"/>
        <v>#N/A</v>
      </c>
      <c r="L295" s="320" t="e">
        <f t="shared" si="18"/>
        <v>#N/A</v>
      </c>
      <c r="M295" s="268" t="e">
        <f t="shared" si="19"/>
        <v>#N/A</v>
      </c>
      <c r="O295" s="360"/>
      <c r="P295" s="320"/>
      <c r="Q295" s="429"/>
    </row>
    <row r="296" spans="5:17" ht="16.5">
      <c r="E296" t="s">
        <v>3398</v>
      </c>
      <c r="F296" s="268">
        <v>4800</v>
      </c>
      <c r="H296" t="e">
        <f t="shared" si="17"/>
        <v>#N/A</v>
      </c>
      <c r="I296" t="e">
        <f t="shared" si="16"/>
        <v>#N/A</v>
      </c>
      <c r="L296" s="320" t="e">
        <f t="shared" si="18"/>
        <v>#N/A</v>
      </c>
      <c r="M296" s="268" t="e">
        <f t="shared" si="19"/>
        <v>#N/A</v>
      </c>
      <c r="O296" s="360"/>
      <c r="P296" s="320"/>
      <c r="Q296" s="429"/>
    </row>
    <row r="297" spans="5:17" ht="16.5">
      <c r="E297" t="s">
        <v>3165</v>
      </c>
      <c r="F297" s="268">
        <v>24300</v>
      </c>
      <c r="H297" t="e">
        <f t="shared" si="17"/>
        <v>#N/A</v>
      </c>
      <c r="I297" t="e">
        <f t="shared" si="16"/>
        <v>#N/A</v>
      </c>
      <c r="L297" s="320" t="e">
        <f t="shared" si="18"/>
        <v>#N/A</v>
      </c>
      <c r="M297" s="268" t="e">
        <f t="shared" si="19"/>
        <v>#N/A</v>
      </c>
      <c r="O297" s="360"/>
      <c r="P297" s="320"/>
      <c r="Q297" s="429"/>
    </row>
    <row r="298" spans="5:17" ht="16.5">
      <c r="E298" t="s">
        <v>4923</v>
      </c>
      <c r="F298" s="268">
        <v>43900</v>
      </c>
      <c r="H298" t="e">
        <f t="shared" si="17"/>
        <v>#N/A</v>
      </c>
      <c r="I298" t="e">
        <f t="shared" si="16"/>
        <v>#N/A</v>
      </c>
      <c r="L298" s="320" t="e">
        <f t="shared" si="18"/>
        <v>#N/A</v>
      </c>
      <c r="M298" s="268" t="e">
        <f t="shared" si="19"/>
        <v>#N/A</v>
      </c>
      <c r="O298" s="360"/>
      <c r="P298" s="320"/>
      <c r="Q298" s="429"/>
    </row>
    <row r="299" spans="5:17" ht="16.5">
      <c r="E299" t="s">
        <v>4222</v>
      </c>
      <c r="F299" s="268">
        <v>6900</v>
      </c>
      <c r="H299" t="e">
        <f t="shared" si="17"/>
        <v>#N/A</v>
      </c>
      <c r="I299" t="e">
        <f t="shared" si="16"/>
        <v>#N/A</v>
      </c>
      <c r="L299" s="320" t="e">
        <f t="shared" si="18"/>
        <v>#N/A</v>
      </c>
      <c r="M299" s="268" t="e">
        <f t="shared" si="19"/>
        <v>#N/A</v>
      </c>
      <c r="O299" s="360"/>
      <c r="P299" s="320"/>
      <c r="Q299" s="429"/>
    </row>
    <row r="300" spans="5:17" ht="16.5">
      <c r="E300" t="s">
        <v>4046</v>
      </c>
      <c r="F300" s="268">
        <v>25900</v>
      </c>
      <c r="H300" t="e">
        <f t="shared" si="17"/>
        <v>#N/A</v>
      </c>
      <c r="I300" t="e">
        <f t="shared" si="16"/>
        <v>#N/A</v>
      </c>
      <c r="L300" s="320" t="e">
        <f t="shared" si="18"/>
        <v>#N/A</v>
      </c>
      <c r="M300" s="268" t="e">
        <f t="shared" si="19"/>
        <v>#N/A</v>
      </c>
      <c r="O300" s="360"/>
      <c r="P300" s="320"/>
      <c r="Q300" s="429"/>
    </row>
    <row r="301" spans="5:17" ht="16.5">
      <c r="E301" t="s">
        <v>4766</v>
      </c>
      <c r="F301" s="268">
        <v>52700</v>
      </c>
      <c r="H301" t="e">
        <f t="shared" si="17"/>
        <v>#N/A</v>
      </c>
      <c r="I301" t="e">
        <f t="shared" si="16"/>
        <v>#N/A</v>
      </c>
      <c r="L301" s="320" t="e">
        <f t="shared" si="18"/>
        <v>#N/A</v>
      </c>
      <c r="M301" s="268" t="e">
        <f t="shared" si="19"/>
        <v>#N/A</v>
      </c>
      <c r="O301" s="360"/>
      <c r="P301" s="320"/>
      <c r="Q301" s="429"/>
    </row>
    <row r="302" spans="5:17" ht="16.5">
      <c r="E302" t="s">
        <v>3998</v>
      </c>
      <c r="F302" s="268">
        <v>19300</v>
      </c>
      <c r="H302" t="e">
        <f t="shared" si="17"/>
        <v>#N/A</v>
      </c>
      <c r="I302" t="e">
        <f t="shared" si="16"/>
        <v>#N/A</v>
      </c>
      <c r="L302" s="320" t="e">
        <f t="shared" si="18"/>
        <v>#N/A</v>
      </c>
      <c r="M302" s="268" t="e">
        <f t="shared" si="19"/>
        <v>#N/A</v>
      </c>
      <c r="O302" s="360"/>
      <c r="P302" s="320"/>
      <c r="Q302" s="429"/>
    </row>
    <row r="303" spans="5:17" ht="16.5">
      <c r="E303" t="s">
        <v>4038</v>
      </c>
      <c r="F303" s="268">
        <v>19200</v>
      </c>
      <c r="H303" t="e">
        <f t="shared" si="17"/>
        <v>#N/A</v>
      </c>
      <c r="I303" t="e">
        <f t="shared" si="16"/>
        <v>#N/A</v>
      </c>
      <c r="L303" s="320" t="e">
        <f t="shared" si="18"/>
        <v>#N/A</v>
      </c>
      <c r="M303" s="268" t="e">
        <f t="shared" si="19"/>
        <v>#N/A</v>
      </c>
      <c r="O303" s="360"/>
      <c r="P303" s="320"/>
      <c r="Q303" s="429"/>
    </row>
    <row r="304" spans="5:17" ht="16.5">
      <c r="E304" t="s">
        <v>3887</v>
      </c>
      <c r="F304" s="268">
        <v>21300</v>
      </c>
      <c r="H304" t="e">
        <f t="shared" si="17"/>
        <v>#N/A</v>
      </c>
      <c r="I304" t="e">
        <f t="shared" si="16"/>
        <v>#N/A</v>
      </c>
      <c r="L304" s="320" t="e">
        <f t="shared" si="18"/>
        <v>#N/A</v>
      </c>
      <c r="M304" s="268" t="e">
        <f t="shared" si="19"/>
        <v>#N/A</v>
      </c>
      <c r="O304" s="360"/>
      <c r="P304" s="320"/>
      <c r="Q304" s="429"/>
    </row>
    <row r="305" spans="5:17" ht="16.5">
      <c r="E305" t="s">
        <v>4905</v>
      </c>
      <c r="F305" s="268">
        <v>22900</v>
      </c>
      <c r="H305" t="e">
        <f t="shared" si="17"/>
        <v>#N/A</v>
      </c>
      <c r="I305" t="e">
        <f t="shared" si="16"/>
        <v>#N/A</v>
      </c>
      <c r="L305" s="320" t="e">
        <f t="shared" si="18"/>
        <v>#N/A</v>
      </c>
      <c r="M305" s="268" t="e">
        <f t="shared" si="19"/>
        <v>#N/A</v>
      </c>
      <c r="O305" s="360"/>
      <c r="P305" s="320"/>
      <c r="Q305" s="429"/>
    </row>
    <row r="306" spans="5:17" ht="16.5">
      <c r="E306" t="s">
        <v>4261</v>
      </c>
      <c r="F306" s="268">
        <v>20400</v>
      </c>
      <c r="H306" t="e">
        <f t="shared" si="17"/>
        <v>#N/A</v>
      </c>
      <c r="I306" t="e">
        <f t="shared" si="16"/>
        <v>#N/A</v>
      </c>
      <c r="L306" s="320" t="e">
        <f t="shared" si="18"/>
        <v>#N/A</v>
      </c>
      <c r="M306" s="268" t="e">
        <f t="shared" si="19"/>
        <v>#N/A</v>
      </c>
      <c r="O306" s="360"/>
      <c r="P306" s="320"/>
      <c r="Q306" s="429"/>
    </row>
    <row r="307" spans="5:17" ht="16.5">
      <c r="E307" t="s">
        <v>4269</v>
      </c>
      <c r="F307" s="268">
        <v>18600</v>
      </c>
      <c r="H307" t="e">
        <f t="shared" si="17"/>
        <v>#N/A</v>
      </c>
      <c r="I307" t="e">
        <f t="shared" si="16"/>
        <v>#N/A</v>
      </c>
      <c r="L307" s="320" t="e">
        <f t="shared" si="18"/>
        <v>#N/A</v>
      </c>
      <c r="M307" s="268" t="e">
        <f t="shared" si="19"/>
        <v>#N/A</v>
      </c>
      <c r="O307" s="360"/>
      <c r="P307" s="320"/>
      <c r="Q307" s="429"/>
    </row>
    <row r="308" spans="5:17" ht="16.5">
      <c r="E308" t="s">
        <v>4278</v>
      </c>
      <c r="F308" s="268">
        <v>20300</v>
      </c>
      <c r="H308" t="e">
        <f t="shared" si="17"/>
        <v>#N/A</v>
      </c>
      <c r="I308" t="e">
        <f t="shared" si="16"/>
        <v>#N/A</v>
      </c>
      <c r="L308" s="320" t="e">
        <f t="shared" si="18"/>
        <v>#N/A</v>
      </c>
      <c r="M308" s="268" t="e">
        <f t="shared" si="19"/>
        <v>#N/A</v>
      </c>
      <c r="O308" s="360"/>
      <c r="P308" s="320"/>
      <c r="Q308" s="429"/>
    </row>
    <row r="309" spans="5:17" ht="16.5">
      <c r="E309" t="s">
        <v>2787</v>
      </c>
      <c r="F309">
        <v>24700</v>
      </c>
      <c r="H309" t="e">
        <f t="shared" si="17"/>
        <v>#N/A</v>
      </c>
      <c r="I309" t="e">
        <f t="shared" si="16"/>
        <v>#N/A</v>
      </c>
      <c r="L309" s="320" t="e">
        <f t="shared" si="18"/>
        <v>#N/A</v>
      </c>
      <c r="M309" s="268" t="e">
        <f t="shared" si="19"/>
        <v>#N/A</v>
      </c>
      <c r="O309" s="360"/>
      <c r="P309" s="320"/>
      <c r="Q309" s="429"/>
    </row>
    <row r="310" spans="5:17" ht="16.5">
      <c r="E310" t="s">
        <v>3619</v>
      </c>
      <c r="F310">
        <v>10300</v>
      </c>
      <c r="H310" t="e">
        <f t="shared" si="17"/>
        <v>#N/A</v>
      </c>
      <c r="I310" t="e">
        <f t="shared" si="16"/>
        <v>#N/A</v>
      </c>
      <c r="L310" s="320" t="e">
        <f t="shared" si="18"/>
        <v>#N/A</v>
      </c>
      <c r="M310" s="268" t="e">
        <f t="shared" si="19"/>
        <v>#N/A</v>
      </c>
      <c r="O310" s="360"/>
      <c r="P310" s="320"/>
      <c r="Q310" s="429"/>
    </row>
    <row r="311" spans="5:17" ht="16.5">
      <c r="E311" t="s">
        <v>3634</v>
      </c>
      <c r="F311">
        <v>5800</v>
      </c>
      <c r="H311" t="e">
        <f t="shared" si="17"/>
        <v>#N/A</v>
      </c>
      <c r="I311" t="e">
        <f t="shared" si="16"/>
        <v>#N/A</v>
      </c>
      <c r="L311" s="320" t="e">
        <f t="shared" si="18"/>
        <v>#N/A</v>
      </c>
      <c r="M311" s="268" t="e">
        <f t="shared" si="19"/>
        <v>#N/A</v>
      </c>
      <c r="O311" s="360"/>
      <c r="P311" s="320"/>
      <c r="Q311" s="429"/>
    </row>
    <row r="312" spans="5:17" ht="16.5">
      <c r="E312" t="s">
        <v>3626</v>
      </c>
      <c r="F312">
        <v>9800</v>
      </c>
      <c r="H312" t="e">
        <f t="shared" si="17"/>
        <v>#N/A</v>
      </c>
      <c r="I312" t="e">
        <f t="shared" si="16"/>
        <v>#N/A</v>
      </c>
      <c r="L312" s="320" t="e">
        <f t="shared" si="18"/>
        <v>#N/A</v>
      </c>
      <c r="M312" s="268" t="e">
        <f t="shared" si="19"/>
        <v>#N/A</v>
      </c>
      <c r="O312" s="360"/>
      <c r="P312" s="320"/>
      <c r="Q312" s="429"/>
    </row>
    <row r="313" spans="5:17" ht="16.5">
      <c r="E313" t="s">
        <v>3639</v>
      </c>
      <c r="F313">
        <v>5700</v>
      </c>
      <c r="H313" t="e">
        <f t="shared" si="17"/>
        <v>#N/A</v>
      </c>
      <c r="I313" t="e">
        <f t="shared" si="16"/>
        <v>#N/A</v>
      </c>
      <c r="L313" s="320" t="e">
        <f t="shared" si="18"/>
        <v>#N/A</v>
      </c>
      <c r="M313" s="268" t="e">
        <f t="shared" si="19"/>
        <v>#N/A</v>
      </c>
      <c r="O313" s="360"/>
      <c r="P313" s="320"/>
      <c r="Q313" s="429"/>
    </row>
    <row r="314" spans="5:17" ht="16.5">
      <c r="E314" t="s">
        <v>4083</v>
      </c>
      <c r="F314">
        <v>16200</v>
      </c>
      <c r="H314" t="e">
        <f t="shared" si="17"/>
        <v>#N/A</v>
      </c>
      <c r="I314" t="e">
        <f t="shared" si="16"/>
        <v>#N/A</v>
      </c>
      <c r="L314" s="320" t="e">
        <f t="shared" si="18"/>
        <v>#N/A</v>
      </c>
      <c r="M314" s="268" t="e">
        <f t="shared" si="19"/>
        <v>#N/A</v>
      </c>
      <c r="O314" s="360"/>
      <c r="P314" s="320"/>
      <c r="Q314" s="429"/>
    </row>
    <row r="315" spans="5:17" ht="16.5">
      <c r="E315" t="s">
        <v>4174</v>
      </c>
      <c r="F315">
        <v>22600</v>
      </c>
      <c r="H315" t="e">
        <f t="shared" si="17"/>
        <v>#N/A</v>
      </c>
      <c r="I315" t="e">
        <f t="shared" si="16"/>
        <v>#N/A</v>
      </c>
      <c r="L315" s="320" t="e">
        <f t="shared" si="18"/>
        <v>#N/A</v>
      </c>
      <c r="M315" s="268" t="e">
        <f t="shared" si="19"/>
        <v>#N/A</v>
      </c>
      <c r="O315" s="360"/>
      <c r="P315" s="320"/>
      <c r="Q315" s="429"/>
    </row>
    <row r="316" spans="5:17" ht="16.5">
      <c r="E316" t="s">
        <v>4156</v>
      </c>
      <c r="F316">
        <v>22800</v>
      </c>
      <c r="H316" t="e">
        <f t="shared" si="17"/>
        <v>#N/A</v>
      </c>
      <c r="I316" t="e">
        <f t="shared" si="16"/>
        <v>#N/A</v>
      </c>
      <c r="L316" s="320" t="e">
        <f t="shared" si="18"/>
        <v>#N/A</v>
      </c>
      <c r="M316" s="268" t="e">
        <f t="shared" si="19"/>
        <v>#N/A</v>
      </c>
      <c r="O316" s="360"/>
      <c r="P316" s="320"/>
      <c r="Q316" s="429"/>
    </row>
    <row r="317" spans="5:17" ht="16.5">
      <c r="E317" t="s">
        <v>4182</v>
      </c>
      <c r="F317">
        <v>22400</v>
      </c>
      <c r="H317" t="e">
        <f t="shared" si="17"/>
        <v>#N/A</v>
      </c>
      <c r="I317" t="e">
        <f t="shared" si="16"/>
        <v>#N/A</v>
      </c>
      <c r="L317" s="320" t="e">
        <f t="shared" si="18"/>
        <v>#N/A</v>
      </c>
      <c r="M317" s="268" t="e">
        <f t="shared" si="19"/>
        <v>#N/A</v>
      </c>
      <c r="O317" s="360"/>
      <c r="P317" s="320"/>
      <c r="Q317" s="429"/>
    </row>
    <row r="318" spans="5:17" ht="16.5">
      <c r="E318" t="s">
        <v>4164</v>
      </c>
      <c r="F318">
        <v>22700</v>
      </c>
      <c r="H318" t="e">
        <f t="shared" si="17"/>
        <v>#N/A</v>
      </c>
      <c r="I318" t="e">
        <f t="shared" si="16"/>
        <v>#N/A</v>
      </c>
      <c r="L318" s="320" t="e">
        <f t="shared" si="18"/>
        <v>#N/A</v>
      </c>
      <c r="M318" s="268" t="e">
        <f t="shared" si="19"/>
        <v>#N/A</v>
      </c>
      <c r="O318" s="360"/>
      <c r="P318" s="320"/>
      <c r="Q318" s="429"/>
    </row>
    <row r="319" spans="5:17" ht="16.5">
      <c r="E319" t="s">
        <v>4147</v>
      </c>
      <c r="F319">
        <v>22700</v>
      </c>
      <c r="H319" t="e">
        <f t="shared" si="17"/>
        <v>#N/A</v>
      </c>
      <c r="I319" t="e">
        <f t="shared" si="16"/>
        <v>#N/A</v>
      </c>
      <c r="L319" s="320" t="e">
        <f t="shared" si="18"/>
        <v>#N/A</v>
      </c>
      <c r="M319" s="268" t="e">
        <f t="shared" si="19"/>
        <v>#N/A</v>
      </c>
      <c r="O319" s="360"/>
      <c r="P319" s="320"/>
      <c r="Q319" s="429"/>
    </row>
    <row r="320" spans="5:17" ht="16.5">
      <c r="E320" t="s">
        <v>4544</v>
      </c>
      <c r="F320">
        <v>15100</v>
      </c>
      <c r="H320" t="e">
        <f t="shared" si="17"/>
        <v>#N/A</v>
      </c>
      <c r="I320" t="e">
        <f t="shared" si="16"/>
        <v>#N/A</v>
      </c>
      <c r="L320" s="320" t="e">
        <f t="shared" si="18"/>
        <v>#N/A</v>
      </c>
      <c r="M320" s="268" t="e">
        <f t="shared" si="19"/>
        <v>#N/A</v>
      </c>
      <c r="O320" s="360"/>
      <c r="P320" s="320"/>
      <c r="Q320" s="429"/>
    </row>
    <row r="321" spans="5:23" ht="16.5">
      <c r="E321" t="s">
        <v>4608</v>
      </c>
      <c r="F321">
        <v>15100</v>
      </c>
      <c r="H321" t="e">
        <f t="shared" si="17"/>
        <v>#N/A</v>
      </c>
      <c r="I321" t="e">
        <f t="shared" si="16"/>
        <v>#N/A</v>
      </c>
      <c r="L321" s="320" t="e">
        <f t="shared" si="18"/>
        <v>#N/A</v>
      </c>
      <c r="M321" s="268" t="e">
        <f t="shared" si="19"/>
        <v>#N/A</v>
      </c>
      <c r="O321" s="360"/>
      <c r="P321" s="320"/>
      <c r="Q321" s="429"/>
    </row>
    <row r="322" spans="5:23" ht="16.5">
      <c r="E322" t="s">
        <v>4428</v>
      </c>
      <c r="F322">
        <v>55400</v>
      </c>
      <c r="H322" t="e">
        <f t="shared" si="17"/>
        <v>#N/A</v>
      </c>
      <c r="I322" t="e">
        <f t="shared" si="16"/>
        <v>#N/A</v>
      </c>
      <c r="L322" s="320" t="e">
        <f t="shared" si="18"/>
        <v>#N/A</v>
      </c>
      <c r="M322" s="268" t="e">
        <f t="shared" si="19"/>
        <v>#N/A</v>
      </c>
      <c r="O322" s="360"/>
      <c r="P322" s="320"/>
      <c r="Q322" s="429"/>
    </row>
    <row r="323" spans="5:23" ht="16.5">
      <c r="E323" t="s">
        <v>4190</v>
      </c>
      <c r="F323">
        <v>12700</v>
      </c>
      <c r="H323" t="e">
        <f t="shared" si="17"/>
        <v>#N/A</v>
      </c>
      <c r="I323" t="e">
        <f t="shared" si="16"/>
        <v>#N/A</v>
      </c>
      <c r="L323" s="320" t="e">
        <f t="shared" si="18"/>
        <v>#N/A</v>
      </c>
      <c r="M323" s="268" t="e">
        <f t="shared" si="19"/>
        <v>#N/A</v>
      </c>
      <c r="O323" s="360"/>
      <c r="P323" s="320"/>
      <c r="Q323" s="429"/>
    </row>
    <row r="324" spans="5:23" ht="16.5">
      <c r="E324" t="s">
        <v>4202</v>
      </c>
      <c r="F324">
        <v>12700</v>
      </c>
      <c r="H324" t="e">
        <f t="shared" si="17"/>
        <v>#N/A</v>
      </c>
      <c r="I324" t="e">
        <f t="shared" si="16"/>
        <v>#N/A</v>
      </c>
      <c r="L324" s="320" t="e">
        <f t="shared" si="18"/>
        <v>#N/A</v>
      </c>
      <c r="M324" s="268" t="e">
        <f t="shared" si="19"/>
        <v>#N/A</v>
      </c>
      <c r="O324" s="360"/>
      <c r="P324" s="320"/>
      <c r="Q324" s="429"/>
    </row>
    <row r="325" spans="5:23" ht="16.5">
      <c r="E325" t="s">
        <v>4796</v>
      </c>
      <c r="F325">
        <v>100300</v>
      </c>
      <c r="H325" t="e">
        <f t="shared" si="17"/>
        <v>#N/A</v>
      </c>
      <c r="I325" t="e">
        <f t="shared" ref="I325:I388" si="20">VLOOKUP(A325,E:F,1,FALSE)</f>
        <v>#N/A</v>
      </c>
      <c r="L325" s="320" t="e">
        <f t="shared" si="18"/>
        <v>#N/A</v>
      </c>
      <c r="M325" s="268" t="e">
        <f t="shared" si="19"/>
        <v>#N/A</v>
      </c>
      <c r="O325" s="360"/>
      <c r="P325" s="320"/>
      <c r="Q325" s="429"/>
    </row>
    <row r="326" spans="5:23" ht="16.5">
      <c r="E326" t="s">
        <v>3158</v>
      </c>
      <c r="F326">
        <v>44600</v>
      </c>
      <c r="H326" t="e">
        <f t="shared" ref="H326:H389" si="21">VLOOKUP(E326,A:B,1,FALSE)</f>
        <v>#N/A</v>
      </c>
      <c r="I326" t="e">
        <f t="shared" si="20"/>
        <v>#N/A</v>
      </c>
      <c r="L326" s="320" t="e">
        <f t="shared" ref="L326:L389" si="22">_xlfn.XLOOKUP(E326,A:A,B:B,,0)</f>
        <v>#N/A</v>
      </c>
      <c r="M326" s="268" t="e">
        <f t="shared" ref="M326:M389" si="23">L326-F326</f>
        <v>#N/A</v>
      </c>
      <c r="O326" s="360"/>
      <c r="P326" s="320"/>
      <c r="Q326" s="429"/>
    </row>
    <row r="327" spans="5:23" ht="16.5">
      <c r="E327" t="s">
        <v>2640</v>
      </c>
      <c r="F327">
        <v>146700</v>
      </c>
      <c r="H327" t="e">
        <f t="shared" si="21"/>
        <v>#N/A</v>
      </c>
      <c r="I327" t="e">
        <f t="shared" si="20"/>
        <v>#N/A</v>
      </c>
      <c r="L327" s="320" t="e">
        <f t="shared" si="22"/>
        <v>#N/A</v>
      </c>
      <c r="M327" s="268" t="e">
        <f t="shared" si="23"/>
        <v>#N/A</v>
      </c>
      <c r="O327" s="360"/>
      <c r="P327" s="320"/>
      <c r="Q327" s="429"/>
    </row>
    <row r="328" spans="5:23" ht="16.5">
      <c r="E328" t="s">
        <v>3689</v>
      </c>
      <c r="F328">
        <v>12100</v>
      </c>
      <c r="H328" t="e">
        <f t="shared" si="21"/>
        <v>#N/A</v>
      </c>
      <c r="I328" t="e">
        <f t="shared" si="20"/>
        <v>#N/A</v>
      </c>
      <c r="L328" s="320" t="e">
        <f t="shared" si="22"/>
        <v>#N/A</v>
      </c>
      <c r="M328" s="268" t="e">
        <f t="shared" si="23"/>
        <v>#N/A</v>
      </c>
      <c r="O328" s="360"/>
      <c r="P328" s="320"/>
      <c r="Q328" s="429"/>
    </row>
    <row r="329" spans="5:23" ht="16.5">
      <c r="E329" t="s">
        <v>3660</v>
      </c>
      <c r="F329">
        <v>7800</v>
      </c>
      <c r="H329" t="e">
        <f t="shared" si="21"/>
        <v>#N/A</v>
      </c>
      <c r="I329" t="e">
        <f t="shared" si="20"/>
        <v>#N/A</v>
      </c>
      <c r="L329" s="320" t="e">
        <f t="shared" si="22"/>
        <v>#N/A</v>
      </c>
      <c r="M329" s="268" t="e">
        <f t="shared" si="23"/>
        <v>#N/A</v>
      </c>
      <c r="O329" s="360"/>
      <c r="P329" s="320"/>
      <c r="Q329" s="429"/>
    </row>
    <row r="330" spans="5:23" ht="16.5">
      <c r="E330" t="s">
        <v>3667</v>
      </c>
      <c r="F330">
        <v>7800</v>
      </c>
      <c r="H330" t="e">
        <f t="shared" si="21"/>
        <v>#N/A</v>
      </c>
      <c r="I330" t="e">
        <f t="shared" si="20"/>
        <v>#N/A</v>
      </c>
      <c r="L330" s="320" t="e">
        <f t="shared" si="22"/>
        <v>#N/A</v>
      </c>
      <c r="M330" s="268" t="e">
        <f t="shared" si="23"/>
        <v>#N/A</v>
      </c>
      <c r="O330" s="360"/>
      <c r="P330" s="320"/>
      <c r="Q330" s="429"/>
    </row>
    <row r="331" spans="5:23" ht="16.5">
      <c r="E331" t="s">
        <v>4215</v>
      </c>
      <c r="F331">
        <v>14400</v>
      </c>
      <c r="H331" t="e">
        <f t="shared" si="21"/>
        <v>#N/A</v>
      </c>
      <c r="I331" t="e">
        <f t="shared" si="20"/>
        <v>#N/A</v>
      </c>
      <c r="L331" s="320" t="e">
        <f t="shared" si="22"/>
        <v>#N/A</v>
      </c>
      <c r="M331" s="268" t="e">
        <f t="shared" si="23"/>
        <v>#N/A</v>
      </c>
      <c r="O331" s="360"/>
      <c r="P331" s="320"/>
      <c r="Q331" s="429"/>
    </row>
    <row r="332" spans="5:23" ht="16.5">
      <c r="E332" t="s">
        <v>4196</v>
      </c>
      <c r="F332">
        <v>12300</v>
      </c>
      <c r="H332" t="e">
        <f t="shared" si="21"/>
        <v>#N/A</v>
      </c>
      <c r="I332" t="e">
        <f t="shared" si="20"/>
        <v>#N/A</v>
      </c>
      <c r="L332" s="320" t="e">
        <f t="shared" si="22"/>
        <v>#N/A</v>
      </c>
      <c r="M332" s="268" t="e">
        <f t="shared" si="23"/>
        <v>#N/A</v>
      </c>
      <c r="O332" s="360"/>
      <c r="P332" s="320"/>
      <c r="Q332" s="429"/>
    </row>
    <row r="333" spans="5:23" ht="16.5">
      <c r="E333" t="s">
        <v>4208</v>
      </c>
      <c r="F333">
        <v>12300</v>
      </c>
      <c r="H333" t="e">
        <f t="shared" si="21"/>
        <v>#N/A</v>
      </c>
      <c r="I333" t="e">
        <f t="shared" si="20"/>
        <v>#N/A</v>
      </c>
      <c r="L333" s="320" t="e">
        <f t="shared" si="22"/>
        <v>#N/A</v>
      </c>
      <c r="M333" s="268" t="e">
        <f t="shared" si="23"/>
        <v>#N/A</v>
      </c>
      <c r="O333" s="360"/>
      <c r="P333" s="320"/>
      <c r="Q333" s="429"/>
      <c r="T333" s="147"/>
      <c r="U333" s="147"/>
      <c r="V333" s="147"/>
      <c r="W333" s="147"/>
    </row>
    <row r="334" spans="5:23" ht="16.5">
      <c r="E334" t="s">
        <v>3713</v>
      </c>
      <c r="F334">
        <v>27900</v>
      </c>
      <c r="H334" t="e">
        <f t="shared" si="21"/>
        <v>#N/A</v>
      </c>
      <c r="I334" t="e">
        <f t="shared" si="20"/>
        <v>#N/A</v>
      </c>
      <c r="L334" s="320" t="e">
        <f t="shared" si="22"/>
        <v>#N/A</v>
      </c>
      <c r="M334" s="268" t="e">
        <f t="shared" si="23"/>
        <v>#N/A</v>
      </c>
      <c r="O334" s="360"/>
      <c r="P334" s="320"/>
      <c r="Q334" s="429"/>
    </row>
    <row r="335" spans="5:23" ht="16.5">
      <c r="E335" t="s">
        <v>3652</v>
      </c>
      <c r="F335">
        <v>8000</v>
      </c>
      <c r="H335" t="e">
        <f t="shared" si="21"/>
        <v>#N/A</v>
      </c>
      <c r="I335" t="e">
        <f t="shared" si="20"/>
        <v>#N/A</v>
      </c>
      <c r="L335" s="320" t="e">
        <f t="shared" si="22"/>
        <v>#N/A</v>
      </c>
      <c r="M335" s="268" t="e">
        <f t="shared" si="23"/>
        <v>#N/A</v>
      </c>
      <c r="O335" s="360"/>
      <c r="P335" s="320"/>
      <c r="Q335" s="429"/>
    </row>
    <row r="336" spans="5:23" ht="16.5">
      <c r="E336" t="s">
        <v>3605</v>
      </c>
      <c r="F336">
        <v>137000</v>
      </c>
      <c r="H336" t="e">
        <f t="shared" si="21"/>
        <v>#N/A</v>
      </c>
      <c r="I336" t="e">
        <f t="shared" si="20"/>
        <v>#N/A</v>
      </c>
      <c r="L336" s="320" t="e">
        <f t="shared" si="22"/>
        <v>#N/A</v>
      </c>
      <c r="M336" s="268" t="e">
        <f t="shared" si="23"/>
        <v>#N/A</v>
      </c>
      <c r="N336" s="444"/>
      <c r="O336" s="360"/>
      <c r="P336" s="320"/>
      <c r="Q336" s="429"/>
    </row>
    <row r="337" spans="5:17" ht="16.5">
      <c r="E337" t="s">
        <v>4611</v>
      </c>
      <c r="F337">
        <v>220200</v>
      </c>
      <c r="H337" t="e">
        <f t="shared" si="21"/>
        <v>#N/A</v>
      </c>
      <c r="I337" t="e">
        <f t="shared" si="20"/>
        <v>#N/A</v>
      </c>
      <c r="L337" s="320" t="e">
        <f t="shared" si="22"/>
        <v>#N/A</v>
      </c>
      <c r="M337" s="268" t="e">
        <f t="shared" si="23"/>
        <v>#N/A</v>
      </c>
      <c r="O337" s="360"/>
      <c r="P337" s="320"/>
      <c r="Q337" s="429"/>
    </row>
    <row r="338" spans="5:17" ht="16.5">
      <c r="E338" t="s">
        <v>4478</v>
      </c>
      <c r="F338">
        <v>51600</v>
      </c>
      <c r="H338" t="e">
        <f t="shared" si="21"/>
        <v>#N/A</v>
      </c>
      <c r="I338" t="e">
        <f t="shared" si="20"/>
        <v>#N/A</v>
      </c>
      <c r="L338" s="320" t="e">
        <f t="shared" si="22"/>
        <v>#N/A</v>
      </c>
      <c r="M338" s="268" t="e">
        <f t="shared" si="23"/>
        <v>#N/A</v>
      </c>
      <c r="O338" s="360"/>
      <c r="P338" s="320"/>
      <c r="Q338" s="429"/>
    </row>
    <row r="339" spans="5:17" ht="16.5">
      <c r="E339" t="s">
        <v>4286</v>
      </c>
      <c r="F339">
        <v>19000</v>
      </c>
      <c r="H339" t="e">
        <f t="shared" si="21"/>
        <v>#N/A</v>
      </c>
      <c r="I339" t="e">
        <f t="shared" si="20"/>
        <v>#N/A</v>
      </c>
      <c r="L339" s="320" t="e">
        <f t="shared" si="22"/>
        <v>#N/A</v>
      </c>
      <c r="M339" s="268" t="e">
        <f t="shared" si="23"/>
        <v>#N/A</v>
      </c>
      <c r="O339" s="360"/>
      <c r="P339" s="320"/>
      <c r="Q339" s="429"/>
    </row>
    <row r="340" spans="5:17" ht="16.5">
      <c r="E340" t="s">
        <v>4054</v>
      </c>
      <c r="F340">
        <v>14400</v>
      </c>
      <c r="H340" t="e">
        <f t="shared" si="21"/>
        <v>#N/A</v>
      </c>
      <c r="I340" t="e">
        <f t="shared" si="20"/>
        <v>#N/A</v>
      </c>
      <c r="L340" s="320" t="e">
        <f t="shared" si="22"/>
        <v>#N/A</v>
      </c>
      <c r="M340" s="268" t="e">
        <f t="shared" si="23"/>
        <v>#N/A</v>
      </c>
      <c r="O340" s="360"/>
      <c r="P340" s="320"/>
      <c r="Q340" s="429"/>
    </row>
    <row r="341" spans="5:17" ht="16.5">
      <c r="E341" t="s">
        <v>3681</v>
      </c>
      <c r="F341">
        <v>12100</v>
      </c>
      <c r="H341" t="e">
        <f t="shared" si="21"/>
        <v>#N/A</v>
      </c>
      <c r="I341" t="e">
        <f t="shared" si="20"/>
        <v>#N/A</v>
      </c>
      <c r="L341" s="320" t="e">
        <f t="shared" si="22"/>
        <v>#N/A</v>
      </c>
      <c r="M341" s="268" t="e">
        <f t="shared" si="23"/>
        <v>#N/A</v>
      </c>
      <c r="O341" s="360"/>
      <c r="P341" s="320"/>
      <c r="Q341" s="429"/>
    </row>
    <row r="342" spans="5:17" ht="16.5">
      <c r="E342" t="s">
        <v>3644</v>
      </c>
      <c r="F342">
        <v>12600</v>
      </c>
      <c r="H342" t="e">
        <f t="shared" si="21"/>
        <v>#N/A</v>
      </c>
      <c r="I342" t="e">
        <f t="shared" si="20"/>
        <v>#N/A</v>
      </c>
      <c r="L342" s="320" t="e">
        <f t="shared" si="22"/>
        <v>#N/A</v>
      </c>
      <c r="M342" s="268" t="e">
        <f t="shared" si="23"/>
        <v>#N/A</v>
      </c>
      <c r="O342" s="360"/>
      <c r="P342" s="320"/>
      <c r="Q342" s="429"/>
    </row>
    <row r="343" spans="5:17" ht="16.5">
      <c r="E343" t="s">
        <v>4378</v>
      </c>
      <c r="F343">
        <v>41400</v>
      </c>
      <c r="H343" t="e">
        <f t="shared" si="21"/>
        <v>#N/A</v>
      </c>
      <c r="I343" t="e">
        <f t="shared" si="20"/>
        <v>#N/A</v>
      </c>
      <c r="L343" s="320" t="e">
        <f t="shared" si="22"/>
        <v>#N/A</v>
      </c>
      <c r="M343" s="268" t="e">
        <f t="shared" si="23"/>
        <v>#N/A</v>
      </c>
      <c r="O343" s="360"/>
      <c r="P343" s="320"/>
      <c r="Q343" s="429"/>
    </row>
    <row r="344" spans="5:17" ht="16.5">
      <c r="E344" t="s">
        <v>4928</v>
      </c>
      <c r="F344">
        <v>46600</v>
      </c>
      <c r="H344" t="e">
        <f t="shared" si="21"/>
        <v>#N/A</v>
      </c>
      <c r="I344" t="e">
        <f t="shared" si="20"/>
        <v>#N/A</v>
      </c>
      <c r="L344" s="320" t="e">
        <f t="shared" si="22"/>
        <v>#N/A</v>
      </c>
      <c r="M344" s="268" t="e">
        <f t="shared" si="23"/>
        <v>#N/A</v>
      </c>
      <c r="O344" s="360"/>
      <c r="P344" s="320"/>
      <c r="Q344" s="429"/>
    </row>
    <row r="345" spans="5:17" ht="16.5">
      <c r="E345" t="s">
        <v>5074</v>
      </c>
      <c r="F345">
        <v>47200</v>
      </c>
      <c r="H345" t="e">
        <f t="shared" si="21"/>
        <v>#N/A</v>
      </c>
      <c r="I345" t="e">
        <f t="shared" si="20"/>
        <v>#N/A</v>
      </c>
      <c r="L345" s="320" t="e">
        <f t="shared" si="22"/>
        <v>#N/A</v>
      </c>
      <c r="M345" s="268" t="e">
        <f t="shared" si="23"/>
        <v>#N/A</v>
      </c>
      <c r="O345" s="360"/>
      <c r="P345" s="320"/>
      <c r="Q345" s="429"/>
    </row>
    <row r="346" spans="5:17" ht="16.5">
      <c r="E346" t="s">
        <v>4949</v>
      </c>
      <c r="F346">
        <v>47000</v>
      </c>
      <c r="H346" t="e">
        <f t="shared" si="21"/>
        <v>#N/A</v>
      </c>
      <c r="I346" t="e">
        <f t="shared" si="20"/>
        <v>#N/A</v>
      </c>
      <c r="L346" s="320" t="e">
        <f t="shared" si="22"/>
        <v>#N/A</v>
      </c>
      <c r="M346" s="268" t="e">
        <f t="shared" si="23"/>
        <v>#N/A</v>
      </c>
      <c r="O346" s="360"/>
      <c r="P346" s="320"/>
      <c r="Q346" s="429"/>
    </row>
    <row r="347" spans="5:17" ht="16.5">
      <c r="E347" t="s">
        <v>4292</v>
      </c>
      <c r="F347">
        <v>12600</v>
      </c>
      <c r="H347" t="e">
        <f t="shared" si="21"/>
        <v>#N/A</v>
      </c>
      <c r="I347" t="e">
        <f t="shared" si="20"/>
        <v>#N/A</v>
      </c>
      <c r="L347" s="320" t="e">
        <f t="shared" si="22"/>
        <v>#N/A</v>
      </c>
      <c r="M347" s="268" t="e">
        <f t="shared" si="23"/>
        <v>#N/A</v>
      </c>
      <c r="O347" s="360"/>
      <c r="P347" s="320"/>
      <c r="Q347" s="429"/>
    </row>
    <row r="348" spans="5:17" ht="16.5">
      <c r="E348" t="s">
        <v>4460</v>
      </c>
      <c r="F348">
        <v>15400</v>
      </c>
      <c r="H348" t="e">
        <f t="shared" si="21"/>
        <v>#N/A</v>
      </c>
      <c r="I348" t="e">
        <f t="shared" si="20"/>
        <v>#N/A</v>
      </c>
      <c r="L348" s="320" t="e">
        <f t="shared" si="22"/>
        <v>#N/A</v>
      </c>
      <c r="M348" s="268" t="e">
        <f t="shared" si="23"/>
        <v>#N/A</v>
      </c>
      <c r="O348" s="360"/>
      <c r="P348" s="320"/>
      <c r="Q348" s="429"/>
    </row>
    <row r="349" spans="5:17" ht="16.5">
      <c r="E349" t="s">
        <v>2608</v>
      </c>
      <c r="F349">
        <v>7700</v>
      </c>
      <c r="H349" t="e">
        <f t="shared" si="21"/>
        <v>#N/A</v>
      </c>
      <c r="I349" t="e">
        <f t="shared" si="20"/>
        <v>#N/A</v>
      </c>
      <c r="L349" s="320" t="e">
        <f t="shared" si="22"/>
        <v>#N/A</v>
      </c>
      <c r="M349" s="268" t="e">
        <f t="shared" si="23"/>
        <v>#N/A</v>
      </c>
      <c r="O349" s="360"/>
      <c r="P349" s="320"/>
      <c r="Q349" s="429"/>
    </row>
    <row r="350" spans="5:17" ht="16.5">
      <c r="E350" t="s">
        <v>2617</v>
      </c>
      <c r="F350">
        <v>7800</v>
      </c>
      <c r="H350" t="e">
        <f t="shared" si="21"/>
        <v>#N/A</v>
      </c>
      <c r="I350" t="e">
        <f t="shared" si="20"/>
        <v>#N/A</v>
      </c>
      <c r="L350" s="320" t="e">
        <f t="shared" si="22"/>
        <v>#N/A</v>
      </c>
      <c r="M350" s="268" t="e">
        <f t="shared" si="23"/>
        <v>#N/A</v>
      </c>
      <c r="O350" s="360"/>
      <c r="P350" s="320"/>
      <c r="Q350" s="429"/>
    </row>
    <row r="351" spans="5:17" ht="16.5">
      <c r="E351" t="s">
        <v>2600</v>
      </c>
      <c r="F351">
        <v>7700</v>
      </c>
      <c r="H351" t="e">
        <f t="shared" si="21"/>
        <v>#N/A</v>
      </c>
      <c r="I351" t="e">
        <f t="shared" si="20"/>
        <v>#N/A</v>
      </c>
      <c r="L351" s="320" t="e">
        <f t="shared" si="22"/>
        <v>#N/A</v>
      </c>
      <c r="M351" s="268" t="e">
        <f t="shared" si="23"/>
        <v>#N/A</v>
      </c>
      <c r="O351" s="360"/>
      <c r="P351" s="320"/>
      <c r="Q351" s="429"/>
    </row>
    <row r="352" spans="5:17" ht="16.5">
      <c r="E352" t="s">
        <v>2592</v>
      </c>
      <c r="F352">
        <v>7700</v>
      </c>
      <c r="H352" t="e">
        <f t="shared" si="21"/>
        <v>#N/A</v>
      </c>
      <c r="I352" t="e">
        <f t="shared" si="20"/>
        <v>#N/A</v>
      </c>
      <c r="L352" s="320" t="e">
        <f t="shared" si="22"/>
        <v>#N/A</v>
      </c>
      <c r="M352" s="268" t="e">
        <f t="shared" si="23"/>
        <v>#N/A</v>
      </c>
      <c r="O352" s="360"/>
      <c r="P352" s="320"/>
      <c r="Q352" s="429"/>
    </row>
    <row r="353" spans="5:17" ht="16.5">
      <c r="E353" t="s">
        <v>2625</v>
      </c>
      <c r="F353">
        <v>9100</v>
      </c>
      <c r="H353" t="e">
        <f t="shared" si="21"/>
        <v>#N/A</v>
      </c>
      <c r="I353" t="e">
        <f t="shared" si="20"/>
        <v>#N/A</v>
      </c>
      <c r="L353" s="320" t="e">
        <f t="shared" si="22"/>
        <v>#N/A</v>
      </c>
      <c r="M353" s="268" t="e">
        <f t="shared" si="23"/>
        <v>#N/A</v>
      </c>
      <c r="O353" s="360"/>
      <c r="P353" s="320"/>
      <c r="Q353" s="429"/>
    </row>
    <row r="354" spans="5:17" ht="16.5">
      <c r="E354" t="s">
        <v>2633</v>
      </c>
      <c r="F354">
        <v>9200</v>
      </c>
      <c r="H354" t="e">
        <f t="shared" si="21"/>
        <v>#N/A</v>
      </c>
      <c r="I354" t="e">
        <f t="shared" si="20"/>
        <v>#N/A</v>
      </c>
      <c r="L354" s="320" t="e">
        <f t="shared" si="22"/>
        <v>#N/A</v>
      </c>
      <c r="M354" s="268" t="e">
        <f t="shared" si="23"/>
        <v>#N/A</v>
      </c>
      <c r="O354" s="360"/>
      <c r="P354" s="320"/>
      <c r="Q354" s="429"/>
    </row>
    <row r="355" spans="5:17" ht="16.5">
      <c r="E355" t="s">
        <v>5041</v>
      </c>
      <c r="F355">
        <v>10950</v>
      </c>
      <c r="H355" t="e">
        <f t="shared" si="21"/>
        <v>#N/A</v>
      </c>
      <c r="I355" t="e">
        <f t="shared" si="20"/>
        <v>#N/A</v>
      </c>
      <c r="L355" s="320" t="e">
        <f t="shared" si="22"/>
        <v>#N/A</v>
      </c>
      <c r="M355" s="268" t="e">
        <f t="shared" si="23"/>
        <v>#N/A</v>
      </c>
      <c r="O355" s="360"/>
      <c r="P355" s="320"/>
      <c r="Q355" s="429"/>
    </row>
    <row r="356" spans="5:17" ht="16.5">
      <c r="E356" t="s">
        <v>5060</v>
      </c>
      <c r="F356">
        <v>12700</v>
      </c>
      <c r="H356" t="e">
        <f t="shared" si="21"/>
        <v>#N/A</v>
      </c>
      <c r="I356" t="e">
        <f t="shared" si="20"/>
        <v>#N/A</v>
      </c>
      <c r="L356" s="320" t="e">
        <f t="shared" si="22"/>
        <v>#N/A</v>
      </c>
      <c r="M356" s="268" t="e">
        <f t="shared" si="23"/>
        <v>#N/A</v>
      </c>
      <c r="O356" s="360"/>
      <c r="P356" s="320"/>
      <c r="Q356" s="429"/>
    </row>
    <row r="357" spans="5:17" ht="16.5">
      <c r="E357" t="s">
        <v>5065</v>
      </c>
      <c r="F357">
        <v>25700</v>
      </c>
      <c r="H357" t="e">
        <f t="shared" si="21"/>
        <v>#N/A</v>
      </c>
      <c r="I357" t="e">
        <f t="shared" si="20"/>
        <v>#N/A</v>
      </c>
      <c r="L357" s="320" t="e">
        <f t="shared" si="22"/>
        <v>#N/A</v>
      </c>
      <c r="M357" s="268" t="e">
        <f t="shared" si="23"/>
        <v>#N/A</v>
      </c>
      <c r="O357" s="360"/>
      <c r="P357" s="320"/>
      <c r="Q357" s="429"/>
    </row>
    <row r="358" spans="5:17" ht="16.5">
      <c r="E358" t="s">
        <v>5061</v>
      </c>
      <c r="F358">
        <v>7500</v>
      </c>
      <c r="H358" t="e">
        <f t="shared" si="21"/>
        <v>#N/A</v>
      </c>
      <c r="I358" t="e">
        <f t="shared" si="20"/>
        <v>#N/A</v>
      </c>
      <c r="L358" s="320" t="e">
        <f t="shared" si="22"/>
        <v>#N/A</v>
      </c>
      <c r="M358" s="268" t="e">
        <f t="shared" si="23"/>
        <v>#N/A</v>
      </c>
      <c r="O358" s="360"/>
      <c r="P358" s="320"/>
      <c r="Q358" s="429"/>
    </row>
    <row r="359" spans="5:17" ht="16.5">
      <c r="E359" t="s">
        <v>5044</v>
      </c>
      <c r="F359">
        <v>16700</v>
      </c>
      <c r="H359" t="e">
        <f t="shared" si="21"/>
        <v>#N/A</v>
      </c>
      <c r="I359" t="e">
        <f t="shared" si="20"/>
        <v>#N/A</v>
      </c>
      <c r="L359" s="320" t="e">
        <f t="shared" si="22"/>
        <v>#N/A</v>
      </c>
      <c r="M359" s="268" t="e">
        <f t="shared" si="23"/>
        <v>#N/A</v>
      </c>
      <c r="O359" s="360"/>
      <c r="P359" s="320"/>
      <c r="Q359" s="429"/>
    </row>
    <row r="360" spans="5:17" ht="16.5">
      <c r="E360" t="s">
        <v>5042</v>
      </c>
      <c r="F360">
        <v>2100</v>
      </c>
      <c r="H360" t="e">
        <f t="shared" si="21"/>
        <v>#N/A</v>
      </c>
      <c r="I360" t="e">
        <f t="shared" si="20"/>
        <v>#N/A</v>
      </c>
      <c r="L360" s="320" t="e">
        <f t="shared" si="22"/>
        <v>#N/A</v>
      </c>
      <c r="M360" s="268" t="e">
        <f t="shared" si="23"/>
        <v>#N/A</v>
      </c>
      <c r="O360" s="360"/>
      <c r="P360" s="320"/>
      <c r="Q360" s="429"/>
    </row>
    <row r="361" spans="5:17" ht="16.5">
      <c r="E361" t="s">
        <v>5057</v>
      </c>
      <c r="F361">
        <v>24100</v>
      </c>
      <c r="H361" t="e">
        <f t="shared" si="21"/>
        <v>#N/A</v>
      </c>
      <c r="I361" t="e">
        <f t="shared" si="20"/>
        <v>#N/A</v>
      </c>
      <c r="L361" s="320" t="e">
        <f t="shared" si="22"/>
        <v>#N/A</v>
      </c>
      <c r="M361" s="268" t="e">
        <f t="shared" si="23"/>
        <v>#N/A</v>
      </c>
      <c r="O361" s="360"/>
      <c r="P361" s="320"/>
      <c r="Q361" s="429"/>
    </row>
    <row r="362" spans="5:17" ht="16.5">
      <c r="E362" t="s">
        <v>5131</v>
      </c>
      <c r="F362">
        <v>0</v>
      </c>
      <c r="H362" t="e">
        <f t="shared" si="21"/>
        <v>#N/A</v>
      </c>
      <c r="I362" t="e">
        <f t="shared" si="20"/>
        <v>#N/A</v>
      </c>
      <c r="L362" s="320" t="e">
        <f t="shared" si="22"/>
        <v>#N/A</v>
      </c>
      <c r="M362" s="268" t="e">
        <f t="shared" si="23"/>
        <v>#N/A</v>
      </c>
      <c r="O362" s="360"/>
      <c r="P362" s="320"/>
      <c r="Q362" s="429"/>
    </row>
    <row r="363" spans="5:17" ht="16.5">
      <c r="E363" t="s">
        <v>5052</v>
      </c>
      <c r="F363">
        <v>10200</v>
      </c>
      <c r="H363" t="e">
        <f t="shared" si="21"/>
        <v>#N/A</v>
      </c>
      <c r="I363" t="e">
        <f t="shared" si="20"/>
        <v>#N/A</v>
      </c>
      <c r="L363" s="320" t="e">
        <f t="shared" si="22"/>
        <v>#N/A</v>
      </c>
      <c r="M363" s="268" t="e">
        <f t="shared" si="23"/>
        <v>#N/A</v>
      </c>
      <c r="O363" s="360"/>
      <c r="P363" s="320"/>
      <c r="Q363" s="429"/>
    </row>
    <row r="364" spans="5:17" ht="16.5">
      <c r="E364" t="s">
        <v>5055</v>
      </c>
      <c r="F364">
        <v>33800</v>
      </c>
      <c r="H364" t="e">
        <f t="shared" si="21"/>
        <v>#N/A</v>
      </c>
      <c r="I364" t="e">
        <f t="shared" si="20"/>
        <v>#N/A</v>
      </c>
      <c r="L364" s="320" t="e">
        <f t="shared" si="22"/>
        <v>#N/A</v>
      </c>
      <c r="M364" s="268" t="e">
        <f t="shared" si="23"/>
        <v>#N/A</v>
      </c>
      <c r="O364" s="360"/>
      <c r="P364" s="320"/>
      <c r="Q364" s="429"/>
    </row>
    <row r="365" spans="5:17" ht="16.5">
      <c r="E365" t="s">
        <v>5047</v>
      </c>
      <c r="F365">
        <v>11800</v>
      </c>
      <c r="H365" t="e">
        <f t="shared" si="21"/>
        <v>#N/A</v>
      </c>
      <c r="I365" t="e">
        <f t="shared" si="20"/>
        <v>#N/A</v>
      </c>
      <c r="L365" s="320" t="e">
        <f t="shared" si="22"/>
        <v>#N/A</v>
      </c>
      <c r="M365" s="268" t="e">
        <f t="shared" si="23"/>
        <v>#N/A</v>
      </c>
      <c r="O365" s="360"/>
      <c r="P365" s="320"/>
      <c r="Q365" s="429"/>
    </row>
    <row r="366" spans="5:17" ht="16.5">
      <c r="E366" t="s">
        <v>5058</v>
      </c>
      <c r="F366">
        <v>28400</v>
      </c>
      <c r="H366" t="e">
        <f t="shared" si="21"/>
        <v>#N/A</v>
      </c>
      <c r="I366" t="e">
        <f t="shared" si="20"/>
        <v>#N/A</v>
      </c>
      <c r="L366" s="320" t="e">
        <f t="shared" si="22"/>
        <v>#N/A</v>
      </c>
      <c r="M366" s="268" t="e">
        <f t="shared" si="23"/>
        <v>#N/A</v>
      </c>
      <c r="O366" s="360"/>
      <c r="P366" s="320"/>
      <c r="Q366" s="429"/>
    </row>
    <row r="367" spans="5:17" ht="16.5">
      <c r="E367" t="s">
        <v>5064</v>
      </c>
      <c r="F367">
        <v>4900</v>
      </c>
      <c r="H367" t="e">
        <f t="shared" si="21"/>
        <v>#N/A</v>
      </c>
      <c r="I367" t="e">
        <f t="shared" si="20"/>
        <v>#N/A</v>
      </c>
      <c r="L367" s="320" t="e">
        <f t="shared" si="22"/>
        <v>#N/A</v>
      </c>
      <c r="M367" s="268" t="e">
        <f t="shared" si="23"/>
        <v>#N/A</v>
      </c>
      <c r="O367" s="360"/>
      <c r="P367" s="320"/>
      <c r="Q367" s="429"/>
    </row>
    <row r="368" spans="5:17" ht="16.5">
      <c r="E368" t="s">
        <v>5066</v>
      </c>
      <c r="F368">
        <v>2600</v>
      </c>
      <c r="H368" t="e">
        <f t="shared" si="21"/>
        <v>#N/A</v>
      </c>
      <c r="I368" t="e">
        <f t="shared" si="20"/>
        <v>#N/A</v>
      </c>
      <c r="L368" s="320" t="e">
        <f t="shared" si="22"/>
        <v>#N/A</v>
      </c>
      <c r="M368" s="268" t="e">
        <f t="shared" si="23"/>
        <v>#N/A</v>
      </c>
      <c r="O368" s="360"/>
      <c r="P368" s="320"/>
      <c r="Q368" s="429"/>
    </row>
    <row r="369" spans="5:17" ht="16.5">
      <c r="E369" t="s">
        <v>5071</v>
      </c>
      <c r="F369">
        <v>20800</v>
      </c>
      <c r="H369" t="e">
        <f t="shared" si="21"/>
        <v>#N/A</v>
      </c>
      <c r="I369" t="e">
        <f t="shared" si="20"/>
        <v>#N/A</v>
      </c>
      <c r="L369" s="320" t="e">
        <f t="shared" si="22"/>
        <v>#N/A</v>
      </c>
      <c r="M369" s="268" t="e">
        <f t="shared" si="23"/>
        <v>#N/A</v>
      </c>
      <c r="O369" s="360"/>
      <c r="P369" s="320"/>
      <c r="Q369" s="429"/>
    </row>
    <row r="370" spans="5:17" ht="16.5">
      <c r="E370" t="s">
        <v>5076</v>
      </c>
      <c r="F370">
        <v>5000</v>
      </c>
      <c r="H370" t="e">
        <f t="shared" si="21"/>
        <v>#N/A</v>
      </c>
      <c r="I370" t="e">
        <f t="shared" si="20"/>
        <v>#N/A</v>
      </c>
      <c r="L370" s="320" t="e">
        <f t="shared" si="22"/>
        <v>#N/A</v>
      </c>
      <c r="M370" s="268" t="e">
        <f t="shared" si="23"/>
        <v>#N/A</v>
      </c>
      <c r="O370" s="360"/>
      <c r="P370" s="320"/>
      <c r="Q370" s="429"/>
    </row>
    <row r="371" spans="5:17" ht="16.5">
      <c r="E371" t="s">
        <v>5077</v>
      </c>
      <c r="F371">
        <v>2300</v>
      </c>
      <c r="H371" t="e">
        <f t="shared" si="21"/>
        <v>#N/A</v>
      </c>
      <c r="I371" t="e">
        <f t="shared" si="20"/>
        <v>#N/A</v>
      </c>
      <c r="L371" s="320" t="e">
        <f t="shared" si="22"/>
        <v>#N/A</v>
      </c>
      <c r="M371" s="268" t="e">
        <f t="shared" si="23"/>
        <v>#N/A</v>
      </c>
      <c r="O371" s="360"/>
      <c r="P371" s="320"/>
      <c r="Q371" s="429"/>
    </row>
    <row r="372" spans="5:17" ht="16.5">
      <c r="E372" t="s">
        <v>5073</v>
      </c>
      <c r="F372">
        <v>22200</v>
      </c>
      <c r="H372" t="e">
        <f t="shared" si="21"/>
        <v>#N/A</v>
      </c>
      <c r="I372" t="e">
        <f t="shared" si="20"/>
        <v>#N/A</v>
      </c>
      <c r="L372" s="320" t="e">
        <f t="shared" si="22"/>
        <v>#N/A</v>
      </c>
      <c r="M372" s="268" t="e">
        <f t="shared" si="23"/>
        <v>#N/A</v>
      </c>
      <c r="O372" s="360"/>
      <c r="P372" s="320"/>
      <c r="Q372" s="429"/>
    </row>
    <row r="373" spans="5:17" ht="16.5">
      <c r="E373" t="s">
        <v>5043</v>
      </c>
      <c r="F373">
        <v>13600</v>
      </c>
      <c r="H373" t="e">
        <f t="shared" si="21"/>
        <v>#N/A</v>
      </c>
      <c r="I373" t="e">
        <f t="shared" si="20"/>
        <v>#N/A</v>
      </c>
      <c r="L373" s="320" t="e">
        <f t="shared" si="22"/>
        <v>#N/A</v>
      </c>
      <c r="M373" s="268" t="e">
        <f t="shared" si="23"/>
        <v>#N/A</v>
      </c>
      <c r="O373" s="360"/>
      <c r="P373" s="320"/>
      <c r="Q373" s="429"/>
    </row>
    <row r="374" spans="5:17" ht="16.5">
      <c r="E374" t="s">
        <v>5134</v>
      </c>
      <c r="F374">
        <v>18200</v>
      </c>
      <c r="H374" t="e">
        <f t="shared" si="21"/>
        <v>#N/A</v>
      </c>
      <c r="I374" t="e">
        <f t="shared" si="20"/>
        <v>#N/A</v>
      </c>
      <c r="L374" s="320" t="e">
        <f t="shared" si="22"/>
        <v>#N/A</v>
      </c>
      <c r="M374" s="268" t="e">
        <f t="shared" si="23"/>
        <v>#N/A</v>
      </c>
      <c r="O374" s="360"/>
      <c r="P374" s="320"/>
      <c r="Q374" s="429"/>
    </row>
    <row r="375" spans="5:17" ht="16.5">
      <c r="E375" t="s">
        <v>2659</v>
      </c>
      <c r="F375">
        <v>18800</v>
      </c>
      <c r="H375" t="e">
        <f t="shared" si="21"/>
        <v>#N/A</v>
      </c>
      <c r="I375" t="e">
        <f t="shared" si="20"/>
        <v>#N/A</v>
      </c>
      <c r="L375" s="320" t="e">
        <f t="shared" si="22"/>
        <v>#N/A</v>
      </c>
      <c r="M375" s="268" t="e">
        <f t="shared" si="23"/>
        <v>#N/A</v>
      </c>
      <c r="O375" s="360"/>
      <c r="P375" s="320"/>
      <c r="Q375" s="429"/>
    </row>
    <row r="376" spans="5:17" ht="16.5">
      <c r="E376" t="s">
        <v>5046</v>
      </c>
      <c r="F376">
        <v>8200</v>
      </c>
      <c r="H376" t="e">
        <f t="shared" si="21"/>
        <v>#N/A</v>
      </c>
      <c r="I376" t="e">
        <f t="shared" si="20"/>
        <v>#N/A</v>
      </c>
      <c r="L376" s="320" t="e">
        <f t="shared" si="22"/>
        <v>#N/A</v>
      </c>
      <c r="M376" s="268" t="e">
        <f t="shared" si="23"/>
        <v>#N/A</v>
      </c>
      <c r="O376" s="360"/>
      <c r="P376" s="320"/>
      <c r="Q376" s="429"/>
    </row>
    <row r="377" spans="5:17" ht="16.5">
      <c r="E377" t="s">
        <v>5067</v>
      </c>
      <c r="F377">
        <v>14500</v>
      </c>
      <c r="H377" t="e">
        <f t="shared" si="21"/>
        <v>#N/A</v>
      </c>
      <c r="I377" t="e">
        <f t="shared" si="20"/>
        <v>#N/A</v>
      </c>
      <c r="L377" s="320" t="e">
        <f t="shared" si="22"/>
        <v>#N/A</v>
      </c>
      <c r="M377" s="268" t="e">
        <f t="shared" si="23"/>
        <v>#N/A</v>
      </c>
      <c r="O377" s="360"/>
      <c r="P377" s="320"/>
      <c r="Q377" s="429"/>
    </row>
    <row r="378" spans="5:17" ht="16.5">
      <c r="E378" t="s">
        <v>5068</v>
      </c>
      <c r="F378">
        <v>107800</v>
      </c>
      <c r="H378" t="e">
        <f t="shared" si="21"/>
        <v>#N/A</v>
      </c>
      <c r="I378" t="e">
        <f t="shared" si="20"/>
        <v>#N/A</v>
      </c>
      <c r="L378" s="320" t="e">
        <f t="shared" si="22"/>
        <v>#N/A</v>
      </c>
      <c r="M378" s="268" t="e">
        <f t="shared" si="23"/>
        <v>#N/A</v>
      </c>
      <c r="O378" s="360"/>
      <c r="P378" s="320"/>
      <c r="Q378" s="429"/>
    </row>
    <row r="379" spans="5:17" ht="16.5">
      <c r="E379" t="s">
        <v>5069</v>
      </c>
      <c r="F379">
        <v>26400</v>
      </c>
      <c r="H379" t="e">
        <f t="shared" si="21"/>
        <v>#N/A</v>
      </c>
      <c r="I379" t="e">
        <f t="shared" si="20"/>
        <v>#N/A</v>
      </c>
      <c r="L379" s="320" t="e">
        <f t="shared" si="22"/>
        <v>#N/A</v>
      </c>
      <c r="M379" s="268" t="e">
        <f t="shared" si="23"/>
        <v>#N/A</v>
      </c>
      <c r="O379" s="360"/>
      <c r="P379" s="320"/>
      <c r="Q379" s="429"/>
    </row>
    <row r="380" spans="5:17" ht="16.5">
      <c r="E380" t="s">
        <v>5045</v>
      </c>
      <c r="F380">
        <v>29700</v>
      </c>
      <c r="H380" t="e">
        <f t="shared" si="21"/>
        <v>#N/A</v>
      </c>
      <c r="I380" t="e">
        <f t="shared" si="20"/>
        <v>#N/A</v>
      </c>
      <c r="L380" s="320" t="e">
        <f t="shared" si="22"/>
        <v>#N/A</v>
      </c>
      <c r="M380" s="268" t="e">
        <f t="shared" si="23"/>
        <v>#N/A</v>
      </c>
      <c r="O380" s="360"/>
      <c r="P380" s="320"/>
      <c r="Q380" s="429"/>
    </row>
    <row r="381" spans="5:17" ht="16.5">
      <c r="E381" t="s">
        <v>5075</v>
      </c>
      <c r="F381">
        <v>4200</v>
      </c>
      <c r="H381" t="e">
        <f t="shared" si="21"/>
        <v>#N/A</v>
      </c>
      <c r="I381" t="e">
        <f t="shared" si="20"/>
        <v>#N/A</v>
      </c>
      <c r="L381" s="320" t="e">
        <f t="shared" si="22"/>
        <v>#N/A</v>
      </c>
      <c r="M381" s="268" t="e">
        <f t="shared" si="23"/>
        <v>#N/A</v>
      </c>
      <c r="O381" s="360"/>
      <c r="P381" s="320"/>
      <c r="Q381" s="429"/>
    </row>
    <row r="382" spans="5:17" ht="16.5">
      <c r="E382" t="s">
        <v>5048</v>
      </c>
      <c r="F382">
        <v>23700</v>
      </c>
      <c r="H382" t="e">
        <f t="shared" si="21"/>
        <v>#N/A</v>
      </c>
      <c r="I382" t="e">
        <f t="shared" si="20"/>
        <v>#N/A</v>
      </c>
      <c r="L382" s="320" t="e">
        <f t="shared" si="22"/>
        <v>#N/A</v>
      </c>
      <c r="M382" s="268" t="e">
        <f t="shared" si="23"/>
        <v>#N/A</v>
      </c>
      <c r="O382" s="360"/>
      <c r="P382" s="320"/>
      <c r="Q382" s="429"/>
    </row>
    <row r="383" spans="5:17" ht="16.5">
      <c r="E383" t="s">
        <v>5049</v>
      </c>
      <c r="F383">
        <v>800</v>
      </c>
      <c r="H383" t="e">
        <f t="shared" si="21"/>
        <v>#N/A</v>
      </c>
      <c r="I383" t="e">
        <f t="shared" si="20"/>
        <v>#N/A</v>
      </c>
      <c r="L383" s="320" t="e">
        <f t="shared" si="22"/>
        <v>#N/A</v>
      </c>
      <c r="M383" s="268" t="e">
        <f t="shared" si="23"/>
        <v>#N/A</v>
      </c>
      <c r="O383" s="360"/>
      <c r="P383" s="320"/>
      <c r="Q383" s="429"/>
    </row>
    <row r="384" spans="5:17" ht="16.5">
      <c r="E384" t="s">
        <v>5053</v>
      </c>
      <c r="F384">
        <v>24300</v>
      </c>
      <c r="H384" t="e">
        <f t="shared" si="21"/>
        <v>#N/A</v>
      </c>
      <c r="I384" t="e">
        <f t="shared" si="20"/>
        <v>#N/A</v>
      </c>
      <c r="L384" s="320" t="e">
        <f t="shared" si="22"/>
        <v>#N/A</v>
      </c>
      <c r="M384" s="268" t="e">
        <f t="shared" si="23"/>
        <v>#N/A</v>
      </c>
      <c r="O384" s="360"/>
      <c r="P384" s="320"/>
      <c r="Q384" s="429"/>
    </row>
    <row r="385" spans="1:23" ht="16.5">
      <c r="E385" t="s">
        <v>5054</v>
      </c>
      <c r="F385">
        <v>15900</v>
      </c>
      <c r="H385" t="e">
        <f t="shared" si="21"/>
        <v>#N/A</v>
      </c>
      <c r="I385" t="e">
        <f t="shared" si="20"/>
        <v>#N/A</v>
      </c>
      <c r="L385" s="320" t="e">
        <f t="shared" si="22"/>
        <v>#N/A</v>
      </c>
      <c r="M385" s="268" t="e">
        <f t="shared" si="23"/>
        <v>#N/A</v>
      </c>
      <c r="O385" s="360"/>
      <c r="P385" s="320"/>
      <c r="Q385" s="429"/>
    </row>
    <row r="386" spans="1:23" s="147" customFormat="1" ht="16.5">
      <c r="A386"/>
      <c r="B386"/>
      <c r="C386"/>
      <c r="D386"/>
      <c r="E386" t="s">
        <v>5059</v>
      </c>
      <c r="F386">
        <v>12000</v>
      </c>
      <c r="H386" t="e">
        <f t="shared" si="21"/>
        <v>#N/A</v>
      </c>
      <c r="I386" t="e">
        <f t="shared" si="20"/>
        <v>#N/A</v>
      </c>
      <c r="L386" s="320" t="e">
        <f t="shared" si="22"/>
        <v>#N/A</v>
      </c>
      <c r="M386" s="268" t="e">
        <f t="shared" si="23"/>
        <v>#N/A</v>
      </c>
      <c r="N386"/>
      <c r="O386" s="360"/>
      <c r="P386" s="320"/>
      <c r="Q386" s="429"/>
      <c r="R386"/>
      <c r="S386"/>
      <c r="T386"/>
      <c r="U386"/>
      <c r="V386"/>
      <c r="W386"/>
    </row>
    <row r="387" spans="1:23" ht="16.5">
      <c r="E387" t="s">
        <v>5062</v>
      </c>
      <c r="F387">
        <v>5200</v>
      </c>
      <c r="H387" t="e">
        <f t="shared" si="21"/>
        <v>#N/A</v>
      </c>
      <c r="I387" t="e">
        <f t="shared" si="20"/>
        <v>#N/A</v>
      </c>
      <c r="L387" s="320" t="e">
        <f t="shared" si="22"/>
        <v>#N/A</v>
      </c>
      <c r="M387" s="268" t="e">
        <f t="shared" si="23"/>
        <v>#N/A</v>
      </c>
      <c r="O387" s="360"/>
      <c r="P387" s="320"/>
      <c r="Q387" s="429"/>
    </row>
    <row r="388" spans="1:23" ht="16.5">
      <c r="E388" t="s">
        <v>5063</v>
      </c>
      <c r="F388">
        <v>184000</v>
      </c>
      <c r="H388" t="e">
        <f t="shared" si="21"/>
        <v>#N/A</v>
      </c>
      <c r="I388" t="e">
        <f t="shared" si="20"/>
        <v>#N/A</v>
      </c>
      <c r="L388" s="320" t="e">
        <f t="shared" si="22"/>
        <v>#N/A</v>
      </c>
      <c r="M388" s="268" t="e">
        <f t="shared" si="23"/>
        <v>#N/A</v>
      </c>
      <c r="O388" s="360"/>
      <c r="P388" s="320"/>
      <c r="Q388" s="429"/>
    </row>
    <row r="389" spans="1:23" ht="16.5">
      <c r="E389" t="s">
        <v>5050</v>
      </c>
      <c r="F389">
        <v>16800</v>
      </c>
      <c r="H389" t="e">
        <f t="shared" si="21"/>
        <v>#N/A</v>
      </c>
      <c r="I389" t="e">
        <f t="shared" ref="I389:I446" si="24">VLOOKUP(A389,E:F,1,FALSE)</f>
        <v>#N/A</v>
      </c>
      <c r="L389" s="320" t="e">
        <f t="shared" si="22"/>
        <v>#N/A</v>
      </c>
      <c r="M389" s="268" t="e">
        <f t="shared" si="23"/>
        <v>#N/A</v>
      </c>
      <c r="O389" s="360"/>
      <c r="P389" s="320"/>
      <c r="Q389" s="429"/>
    </row>
    <row r="390" spans="1:23" ht="16.5">
      <c r="E390" t="s">
        <v>5056</v>
      </c>
      <c r="F390">
        <v>37000</v>
      </c>
      <c r="H390" t="e">
        <f t="shared" ref="H390:H394" si="25">VLOOKUP(E390,A:B,1,FALSE)</f>
        <v>#N/A</v>
      </c>
      <c r="I390" t="e">
        <f t="shared" si="24"/>
        <v>#N/A</v>
      </c>
      <c r="L390" s="320" t="e">
        <f t="shared" ref="L390:L446" si="26">_xlfn.XLOOKUP(E390,A:A,B:B,,0)</f>
        <v>#N/A</v>
      </c>
      <c r="M390" s="268" t="e">
        <f t="shared" ref="M390:M446" si="27">L390-F390</f>
        <v>#N/A</v>
      </c>
      <c r="O390" s="360"/>
      <c r="P390" s="320"/>
      <c r="Q390" s="429"/>
    </row>
    <row r="391" spans="1:23" ht="16.5">
      <c r="E391" t="s">
        <v>5070</v>
      </c>
      <c r="F391">
        <v>11400</v>
      </c>
      <c r="H391" t="e">
        <f t="shared" si="25"/>
        <v>#N/A</v>
      </c>
      <c r="I391" t="e">
        <f t="shared" si="24"/>
        <v>#N/A</v>
      </c>
      <c r="L391" s="320" t="e">
        <f t="shared" si="26"/>
        <v>#N/A</v>
      </c>
      <c r="M391" s="268" t="e">
        <f t="shared" si="27"/>
        <v>#N/A</v>
      </c>
      <c r="O391" s="360"/>
      <c r="P391" s="320"/>
      <c r="Q391" s="429"/>
    </row>
    <row r="392" spans="1:23" ht="16.5">
      <c r="E392" t="s">
        <v>5072</v>
      </c>
      <c r="F392">
        <v>24100</v>
      </c>
      <c r="H392" t="e">
        <f t="shared" si="25"/>
        <v>#N/A</v>
      </c>
      <c r="I392" t="e">
        <f t="shared" si="24"/>
        <v>#N/A</v>
      </c>
      <c r="L392" s="320" t="e">
        <f t="shared" si="26"/>
        <v>#N/A</v>
      </c>
      <c r="M392" s="268" t="e">
        <f t="shared" si="27"/>
        <v>#N/A</v>
      </c>
      <c r="O392" s="360"/>
      <c r="P392" s="320"/>
      <c r="Q392" s="429"/>
    </row>
    <row r="393" spans="1:23" ht="16.5">
      <c r="E393" t="s">
        <v>5051</v>
      </c>
      <c r="F393">
        <v>23800</v>
      </c>
      <c r="H393" t="e">
        <f t="shared" si="25"/>
        <v>#N/A</v>
      </c>
      <c r="I393" t="e">
        <f t="shared" si="24"/>
        <v>#N/A</v>
      </c>
      <c r="L393" s="320" t="e">
        <f t="shared" si="26"/>
        <v>#N/A</v>
      </c>
      <c r="M393" s="268" t="e">
        <f t="shared" si="27"/>
        <v>#N/A</v>
      </c>
      <c r="O393" s="360"/>
      <c r="P393" s="320"/>
      <c r="Q393" s="429"/>
    </row>
    <row r="394" spans="1:23" ht="16.5">
      <c r="E394" t="s">
        <v>5078</v>
      </c>
      <c r="F394">
        <v>21900</v>
      </c>
      <c r="H394" t="e">
        <f t="shared" si="25"/>
        <v>#N/A</v>
      </c>
      <c r="I394" t="e">
        <f t="shared" si="24"/>
        <v>#N/A</v>
      </c>
      <c r="L394" s="320" t="e">
        <f t="shared" si="26"/>
        <v>#N/A</v>
      </c>
      <c r="M394" s="268" t="e">
        <f t="shared" si="27"/>
        <v>#N/A</v>
      </c>
      <c r="O394" s="360"/>
      <c r="P394" s="320"/>
      <c r="Q394" s="429"/>
    </row>
    <row r="395" spans="1:23" ht="16.5">
      <c r="E395" t="s">
        <v>5098</v>
      </c>
      <c r="F395">
        <v>71100</v>
      </c>
      <c r="H395" t="e">
        <f t="shared" ref="H395:H446" si="28">VLOOKUP(E395,A:B,1,FALSE)</f>
        <v>#N/A</v>
      </c>
      <c r="I395" t="e">
        <f t="shared" si="24"/>
        <v>#N/A</v>
      </c>
      <c r="L395" s="320" t="e">
        <f t="shared" si="26"/>
        <v>#N/A</v>
      </c>
      <c r="M395" s="268" t="e">
        <f t="shared" si="27"/>
        <v>#N/A</v>
      </c>
      <c r="O395" s="360"/>
      <c r="P395" s="320"/>
      <c r="Q395" s="429"/>
    </row>
    <row r="396" spans="1:23" ht="16.5">
      <c r="E396" t="s">
        <v>5103</v>
      </c>
      <c r="F396">
        <v>17600</v>
      </c>
      <c r="H396" t="e">
        <f t="shared" si="28"/>
        <v>#N/A</v>
      </c>
      <c r="I396" t="e">
        <f t="shared" si="24"/>
        <v>#N/A</v>
      </c>
      <c r="L396" s="320" t="e">
        <f t="shared" si="26"/>
        <v>#N/A</v>
      </c>
      <c r="M396" s="268" t="e">
        <f t="shared" si="27"/>
        <v>#N/A</v>
      </c>
      <c r="O396" s="360"/>
      <c r="P396" s="320"/>
      <c r="Q396" s="429"/>
    </row>
    <row r="397" spans="1:23" ht="16.5">
      <c r="E397" t="s">
        <v>5099</v>
      </c>
      <c r="F397">
        <v>18600</v>
      </c>
      <c r="H397" t="e">
        <f t="shared" si="28"/>
        <v>#N/A</v>
      </c>
      <c r="I397" t="e">
        <f t="shared" si="24"/>
        <v>#N/A</v>
      </c>
      <c r="L397" s="320" t="e">
        <f t="shared" si="26"/>
        <v>#N/A</v>
      </c>
      <c r="M397" s="268" t="e">
        <f t="shared" si="27"/>
        <v>#N/A</v>
      </c>
      <c r="N397" s="320"/>
      <c r="O397" s="360"/>
      <c r="P397" s="320"/>
      <c r="Q397" s="429"/>
    </row>
    <row r="398" spans="1:23" ht="16.5">
      <c r="E398" t="s">
        <v>5082</v>
      </c>
      <c r="F398">
        <v>16700</v>
      </c>
      <c r="H398" t="e">
        <f t="shared" si="28"/>
        <v>#N/A</v>
      </c>
      <c r="I398" t="e">
        <f t="shared" si="24"/>
        <v>#N/A</v>
      </c>
      <c r="L398" s="320" t="e">
        <f t="shared" si="26"/>
        <v>#N/A</v>
      </c>
      <c r="M398" s="268" t="e">
        <f t="shared" si="27"/>
        <v>#N/A</v>
      </c>
      <c r="N398" s="320"/>
      <c r="O398" s="360"/>
      <c r="P398" s="320"/>
      <c r="Q398" s="429"/>
    </row>
    <row r="399" spans="1:23" ht="16.5">
      <c r="E399" t="s">
        <v>5079</v>
      </c>
      <c r="F399">
        <v>1300</v>
      </c>
      <c r="H399" t="e">
        <f t="shared" si="28"/>
        <v>#N/A</v>
      </c>
      <c r="I399" t="e">
        <f t="shared" si="24"/>
        <v>#N/A</v>
      </c>
      <c r="L399" s="320" t="e">
        <f t="shared" si="26"/>
        <v>#N/A</v>
      </c>
      <c r="M399" s="268" t="e">
        <f t="shared" si="27"/>
        <v>#N/A</v>
      </c>
      <c r="N399" s="320"/>
      <c r="O399" s="360"/>
      <c r="P399" s="320"/>
      <c r="Q399" s="429"/>
    </row>
    <row r="400" spans="1:23" ht="16.5">
      <c r="E400" t="s">
        <v>5095</v>
      </c>
      <c r="F400">
        <v>23200</v>
      </c>
      <c r="H400" t="e">
        <f t="shared" si="28"/>
        <v>#N/A</v>
      </c>
      <c r="I400" t="e">
        <f t="shared" si="24"/>
        <v>#N/A</v>
      </c>
      <c r="L400" s="320" t="e">
        <f t="shared" si="26"/>
        <v>#N/A</v>
      </c>
      <c r="M400" s="268" t="e">
        <f t="shared" si="27"/>
        <v>#N/A</v>
      </c>
      <c r="N400" s="320"/>
      <c r="O400" s="360"/>
      <c r="P400" s="320"/>
      <c r="Q400" s="429"/>
    </row>
    <row r="401" spans="5:17" ht="16.5">
      <c r="E401" t="s">
        <v>5081</v>
      </c>
      <c r="F401">
        <v>18100</v>
      </c>
      <c r="H401" t="e">
        <f t="shared" si="28"/>
        <v>#N/A</v>
      </c>
      <c r="I401" t="e">
        <f t="shared" si="24"/>
        <v>#N/A</v>
      </c>
      <c r="L401" s="320" t="e">
        <f t="shared" si="26"/>
        <v>#N/A</v>
      </c>
      <c r="M401" s="268" t="e">
        <f t="shared" si="27"/>
        <v>#N/A</v>
      </c>
      <c r="N401" s="320"/>
      <c r="O401" s="360"/>
      <c r="P401" s="320"/>
      <c r="Q401" s="429"/>
    </row>
    <row r="402" spans="5:17" ht="16.5">
      <c r="E402" t="s">
        <v>5090</v>
      </c>
      <c r="F402">
        <v>10300</v>
      </c>
      <c r="H402" t="e">
        <f t="shared" si="28"/>
        <v>#N/A</v>
      </c>
      <c r="I402" t="e">
        <f t="shared" si="24"/>
        <v>#N/A</v>
      </c>
      <c r="L402" s="320" t="e">
        <f t="shared" si="26"/>
        <v>#N/A</v>
      </c>
      <c r="M402" s="268" t="e">
        <f t="shared" si="27"/>
        <v>#N/A</v>
      </c>
      <c r="N402" s="320"/>
      <c r="O402" s="360"/>
      <c r="P402" s="320"/>
      <c r="Q402" s="429"/>
    </row>
    <row r="403" spans="5:17" ht="16.5">
      <c r="E403" t="s">
        <v>5085</v>
      </c>
      <c r="F403">
        <v>33800</v>
      </c>
      <c r="H403" t="e">
        <f t="shared" si="28"/>
        <v>#N/A</v>
      </c>
      <c r="I403" t="e">
        <f t="shared" si="24"/>
        <v>#N/A</v>
      </c>
      <c r="L403" s="320" t="e">
        <f t="shared" si="26"/>
        <v>#N/A</v>
      </c>
      <c r="M403" s="268" t="e">
        <f t="shared" si="27"/>
        <v>#N/A</v>
      </c>
      <c r="N403" s="320"/>
      <c r="O403" s="360"/>
      <c r="P403" s="320"/>
      <c r="Q403" s="429"/>
    </row>
    <row r="404" spans="5:17" ht="16.5">
      <c r="E404" t="s">
        <v>5132</v>
      </c>
      <c r="F404">
        <v>11500</v>
      </c>
      <c r="H404" t="e">
        <f t="shared" si="28"/>
        <v>#N/A</v>
      </c>
      <c r="I404" t="e">
        <f t="shared" si="24"/>
        <v>#N/A</v>
      </c>
      <c r="L404" s="320" t="e">
        <f t="shared" si="26"/>
        <v>#N/A</v>
      </c>
      <c r="M404" s="268" t="e">
        <f t="shared" si="27"/>
        <v>#N/A</v>
      </c>
      <c r="N404" s="320"/>
      <c r="O404" s="360"/>
      <c r="P404" s="320"/>
      <c r="Q404" s="429"/>
    </row>
    <row r="405" spans="5:17" ht="16.5">
      <c r="E405" t="s">
        <v>5096</v>
      </c>
      <c r="F405">
        <v>17700</v>
      </c>
      <c r="H405" t="e">
        <f t="shared" si="28"/>
        <v>#N/A</v>
      </c>
      <c r="I405" t="e">
        <f t="shared" si="24"/>
        <v>#N/A</v>
      </c>
      <c r="L405" s="320" t="e">
        <f t="shared" si="26"/>
        <v>#N/A</v>
      </c>
      <c r="M405" s="268" t="e">
        <f t="shared" si="27"/>
        <v>#N/A</v>
      </c>
      <c r="N405" s="320"/>
      <c r="O405" s="360"/>
      <c r="P405" s="320"/>
      <c r="Q405" s="429"/>
    </row>
    <row r="406" spans="5:17" ht="16.5">
      <c r="E406" t="s">
        <v>5102</v>
      </c>
      <c r="F406">
        <v>5900</v>
      </c>
      <c r="H406" t="e">
        <f t="shared" si="28"/>
        <v>#N/A</v>
      </c>
      <c r="I406" t="e">
        <f t="shared" si="24"/>
        <v>#N/A</v>
      </c>
      <c r="L406" s="320" t="e">
        <f t="shared" si="26"/>
        <v>#N/A</v>
      </c>
      <c r="M406" s="268" t="e">
        <f t="shared" si="27"/>
        <v>#N/A</v>
      </c>
      <c r="N406" s="320"/>
      <c r="O406" s="360"/>
      <c r="P406" s="320"/>
      <c r="Q406" s="429"/>
    </row>
    <row r="407" spans="5:17" ht="16.5">
      <c r="E407" t="s">
        <v>5104</v>
      </c>
      <c r="F407">
        <v>2600</v>
      </c>
      <c r="H407" t="e">
        <f t="shared" si="28"/>
        <v>#N/A</v>
      </c>
      <c r="I407" t="e">
        <f t="shared" si="24"/>
        <v>#N/A</v>
      </c>
      <c r="L407" s="320" t="e">
        <f t="shared" si="26"/>
        <v>#N/A</v>
      </c>
      <c r="M407" s="268" t="e">
        <f t="shared" si="27"/>
        <v>#N/A</v>
      </c>
      <c r="N407" s="320"/>
      <c r="O407" s="360"/>
      <c r="P407" s="320"/>
      <c r="Q407" s="429"/>
    </row>
    <row r="408" spans="5:17" ht="16.5">
      <c r="E408" t="s">
        <v>5109</v>
      </c>
      <c r="F408">
        <v>20900</v>
      </c>
      <c r="H408" t="e">
        <f t="shared" si="28"/>
        <v>#N/A</v>
      </c>
      <c r="I408" t="e">
        <f t="shared" si="24"/>
        <v>#N/A</v>
      </c>
      <c r="L408" s="320" t="e">
        <f t="shared" si="26"/>
        <v>#N/A</v>
      </c>
      <c r="M408" s="268" t="e">
        <f t="shared" si="27"/>
        <v>#N/A</v>
      </c>
      <c r="N408" s="320"/>
      <c r="O408" s="360"/>
      <c r="P408" s="320"/>
      <c r="Q408" s="429"/>
    </row>
    <row r="409" spans="5:17" ht="16.5">
      <c r="E409" t="s">
        <v>5113</v>
      </c>
      <c r="F409">
        <v>1500</v>
      </c>
      <c r="H409" t="e">
        <f t="shared" si="28"/>
        <v>#N/A</v>
      </c>
      <c r="I409" t="e">
        <f t="shared" si="24"/>
        <v>#N/A</v>
      </c>
      <c r="L409" s="320" t="e">
        <f t="shared" si="26"/>
        <v>#N/A</v>
      </c>
      <c r="M409" s="268" t="e">
        <f t="shared" si="27"/>
        <v>#N/A</v>
      </c>
      <c r="N409" s="320"/>
      <c r="O409" s="360"/>
      <c r="P409" s="320"/>
      <c r="Q409" s="429"/>
    </row>
    <row r="410" spans="5:17" ht="16.5">
      <c r="E410" t="s">
        <v>5114</v>
      </c>
      <c r="F410">
        <v>3000</v>
      </c>
      <c r="H410" t="e">
        <f t="shared" si="28"/>
        <v>#N/A</v>
      </c>
      <c r="I410" t="e">
        <f t="shared" si="24"/>
        <v>#N/A</v>
      </c>
      <c r="L410" s="320" t="e">
        <f t="shared" si="26"/>
        <v>#N/A</v>
      </c>
      <c r="M410" s="268" t="e">
        <f t="shared" si="27"/>
        <v>#N/A</v>
      </c>
      <c r="N410" s="320"/>
      <c r="O410" s="360"/>
      <c r="P410" s="320"/>
      <c r="Q410" s="429"/>
    </row>
    <row r="411" spans="5:17" ht="16.5">
      <c r="E411" t="s">
        <v>5111</v>
      </c>
      <c r="F411">
        <v>22000</v>
      </c>
      <c r="H411" t="e">
        <f t="shared" si="28"/>
        <v>#N/A</v>
      </c>
      <c r="I411" t="e">
        <f t="shared" si="24"/>
        <v>#N/A</v>
      </c>
      <c r="L411" s="320" t="e">
        <f t="shared" si="26"/>
        <v>#N/A</v>
      </c>
      <c r="M411" s="268" t="e">
        <f t="shared" si="27"/>
        <v>#N/A</v>
      </c>
      <c r="N411" s="320"/>
      <c r="O411" s="360"/>
      <c r="P411" s="320"/>
      <c r="Q411" s="429"/>
    </row>
    <row r="412" spans="5:17" ht="16.5">
      <c r="E412" t="s">
        <v>5080</v>
      </c>
      <c r="F412">
        <v>8200</v>
      </c>
      <c r="H412" t="e">
        <f t="shared" si="28"/>
        <v>#N/A</v>
      </c>
      <c r="I412" t="e">
        <f t="shared" si="24"/>
        <v>#N/A</v>
      </c>
      <c r="L412" s="320" t="e">
        <f t="shared" si="26"/>
        <v>#N/A</v>
      </c>
      <c r="M412" s="268" t="e">
        <f t="shared" si="27"/>
        <v>#N/A</v>
      </c>
      <c r="N412" s="320"/>
      <c r="O412" s="360"/>
      <c r="P412" s="320"/>
      <c r="Q412" s="429"/>
    </row>
    <row r="413" spans="5:17" ht="16.5">
      <c r="E413" t="s">
        <v>5093</v>
      </c>
      <c r="F413">
        <v>45300</v>
      </c>
      <c r="H413" t="e">
        <f t="shared" si="28"/>
        <v>#N/A</v>
      </c>
      <c r="I413" t="e">
        <f t="shared" si="24"/>
        <v>#N/A</v>
      </c>
      <c r="L413" s="320" t="e">
        <f t="shared" si="26"/>
        <v>#N/A</v>
      </c>
      <c r="M413" s="268" t="e">
        <f t="shared" si="27"/>
        <v>#N/A</v>
      </c>
      <c r="N413" s="320"/>
      <c r="O413" s="360"/>
      <c r="P413" s="320"/>
      <c r="Q413" s="429"/>
    </row>
    <row r="414" spans="5:17" ht="16.5">
      <c r="E414" t="s">
        <v>5128</v>
      </c>
      <c r="F414">
        <v>11500</v>
      </c>
      <c r="H414" t="e">
        <f t="shared" si="28"/>
        <v>#N/A</v>
      </c>
      <c r="I414" t="e">
        <f t="shared" si="24"/>
        <v>#N/A</v>
      </c>
      <c r="L414" s="320" t="e">
        <f t="shared" si="26"/>
        <v>#N/A</v>
      </c>
      <c r="M414" s="268" t="e">
        <f t="shared" si="27"/>
        <v>#N/A</v>
      </c>
      <c r="N414" s="320"/>
      <c r="O414" s="360"/>
      <c r="P414" s="320"/>
      <c r="Q414" s="429"/>
    </row>
    <row r="415" spans="5:17" ht="16.5">
      <c r="E415" t="s">
        <v>5084</v>
      </c>
      <c r="F415">
        <v>14900</v>
      </c>
      <c r="H415" t="e">
        <f t="shared" si="28"/>
        <v>#N/A</v>
      </c>
      <c r="I415" t="e">
        <f t="shared" si="24"/>
        <v>#N/A</v>
      </c>
      <c r="L415" s="320" t="e">
        <f t="shared" si="26"/>
        <v>#N/A</v>
      </c>
      <c r="M415" s="268" t="e">
        <f t="shared" si="27"/>
        <v>#N/A</v>
      </c>
      <c r="N415" s="320"/>
      <c r="O415" s="360"/>
      <c r="P415" s="320"/>
      <c r="Q415" s="429"/>
    </row>
    <row r="416" spans="5:17" ht="16.5">
      <c r="E416" t="s">
        <v>5105</v>
      </c>
      <c r="F416">
        <v>13000</v>
      </c>
      <c r="H416" t="e">
        <f t="shared" si="28"/>
        <v>#N/A</v>
      </c>
      <c r="I416" t="e">
        <f t="shared" si="24"/>
        <v>#N/A</v>
      </c>
      <c r="L416" s="320" t="e">
        <f t="shared" si="26"/>
        <v>#N/A</v>
      </c>
      <c r="M416" s="268" t="e">
        <f t="shared" si="27"/>
        <v>#N/A</v>
      </c>
      <c r="N416" s="320"/>
      <c r="O416" s="360"/>
      <c r="P416" s="320"/>
      <c r="Q416" s="429"/>
    </row>
    <row r="417" spans="5:17" ht="16.5">
      <c r="E417" t="s">
        <v>5106</v>
      </c>
      <c r="F417">
        <v>105600</v>
      </c>
      <c r="H417" t="e">
        <f t="shared" si="28"/>
        <v>#N/A</v>
      </c>
      <c r="I417" t="e">
        <f t="shared" si="24"/>
        <v>#N/A</v>
      </c>
      <c r="L417" s="320" t="e">
        <f t="shared" si="26"/>
        <v>#N/A</v>
      </c>
      <c r="M417" s="268" t="e">
        <f t="shared" si="27"/>
        <v>#N/A</v>
      </c>
      <c r="N417" s="320"/>
      <c r="O417" s="360"/>
      <c r="P417" s="320"/>
      <c r="Q417" s="429"/>
    </row>
    <row r="418" spans="5:17" ht="16.5">
      <c r="E418" t="s">
        <v>5107</v>
      </c>
      <c r="F418">
        <v>80200</v>
      </c>
      <c r="H418" t="e">
        <f t="shared" si="28"/>
        <v>#N/A</v>
      </c>
      <c r="I418" t="e">
        <f t="shared" si="24"/>
        <v>#N/A</v>
      </c>
      <c r="L418" s="320" t="e">
        <f t="shared" si="26"/>
        <v>#N/A</v>
      </c>
      <c r="M418" s="268" t="e">
        <f t="shared" si="27"/>
        <v>#N/A</v>
      </c>
      <c r="N418" s="320"/>
      <c r="O418" s="360"/>
      <c r="P418" s="320"/>
      <c r="Q418" s="429"/>
    </row>
    <row r="419" spans="5:17" ht="16.5">
      <c r="E419" t="s">
        <v>5083</v>
      </c>
      <c r="F419">
        <v>24100</v>
      </c>
      <c r="H419" t="e">
        <f t="shared" si="28"/>
        <v>#N/A</v>
      </c>
      <c r="I419" t="e">
        <f t="shared" si="24"/>
        <v>#N/A</v>
      </c>
      <c r="L419" s="320" t="e">
        <f t="shared" si="26"/>
        <v>#N/A</v>
      </c>
      <c r="M419" s="268" t="e">
        <f t="shared" si="27"/>
        <v>#N/A</v>
      </c>
      <c r="N419" s="320"/>
      <c r="O419" s="360"/>
      <c r="P419" s="320"/>
      <c r="Q419" s="429"/>
    </row>
    <row r="420" spans="5:17" ht="16.5">
      <c r="E420" t="s">
        <v>5112</v>
      </c>
      <c r="F420">
        <v>7000</v>
      </c>
      <c r="H420" t="e">
        <f t="shared" si="28"/>
        <v>#N/A</v>
      </c>
      <c r="I420" t="e">
        <f t="shared" si="24"/>
        <v>#N/A</v>
      </c>
      <c r="L420" s="320" t="e">
        <f t="shared" si="26"/>
        <v>#N/A</v>
      </c>
      <c r="M420" s="268" t="e">
        <f t="shared" si="27"/>
        <v>#N/A</v>
      </c>
      <c r="N420" s="320"/>
      <c r="O420" s="360"/>
      <c r="P420" s="320"/>
      <c r="Q420" s="429"/>
    </row>
    <row r="421" spans="5:17" ht="16.5">
      <c r="E421" t="s">
        <v>5086</v>
      </c>
      <c r="F421">
        <v>7800</v>
      </c>
      <c r="H421" t="e">
        <f t="shared" si="28"/>
        <v>#N/A</v>
      </c>
      <c r="I421" t="e">
        <f t="shared" si="24"/>
        <v>#N/A</v>
      </c>
      <c r="L421" s="320" t="e">
        <f t="shared" si="26"/>
        <v>#N/A</v>
      </c>
      <c r="M421" s="268" t="e">
        <f t="shared" si="27"/>
        <v>#N/A</v>
      </c>
      <c r="N421" s="320"/>
      <c r="O421" s="360"/>
      <c r="P421" s="320"/>
      <c r="Q421" s="429"/>
    </row>
    <row r="422" spans="5:17" ht="16.5">
      <c r="E422" t="s">
        <v>5087</v>
      </c>
      <c r="F422">
        <v>800</v>
      </c>
      <c r="H422" t="e">
        <f t="shared" si="28"/>
        <v>#N/A</v>
      </c>
      <c r="I422" t="e">
        <f t="shared" si="24"/>
        <v>#N/A</v>
      </c>
      <c r="L422" s="320" t="e">
        <f t="shared" si="26"/>
        <v>#N/A</v>
      </c>
      <c r="M422" s="268" t="e">
        <f t="shared" si="27"/>
        <v>#N/A</v>
      </c>
      <c r="N422" s="320"/>
      <c r="O422" s="360"/>
      <c r="P422" s="320"/>
      <c r="Q422" s="429"/>
    </row>
    <row r="423" spans="5:17" ht="16.5">
      <c r="E423" t="s">
        <v>5091</v>
      </c>
      <c r="F423">
        <v>16500</v>
      </c>
      <c r="H423" t="e">
        <f t="shared" si="28"/>
        <v>#N/A</v>
      </c>
      <c r="I423" t="e">
        <f t="shared" si="24"/>
        <v>#N/A</v>
      </c>
      <c r="L423" s="320" t="e">
        <f t="shared" si="26"/>
        <v>#N/A</v>
      </c>
      <c r="M423" s="268" t="e">
        <f t="shared" si="27"/>
        <v>#N/A</v>
      </c>
      <c r="N423" s="320"/>
      <c r="O423" s="360"/>
      <c r="P423" s="320"/>
      <c r="Q423" s="429"/>
    </row>
    <row r="424" spans="5:17" ht="16.5">
      <c r="E424" t="s">
        <v>5092</v>
      </c>
      <c r="F424">
        <v>15800</v>
      </c>
      <c r="H424" t="e">
        <f t="shared" si="28"/>
        <v>#N/A</v>
      </c>
      <c r="I424" t="e">
        <f t="shared" si="24"/>
        <v>#N/A</v>
      </c>
      <c r="L424" s="320" t="e">
        <f t="shared" si="26"/>
        <v>#N/A</v>
      </c>
      <c r="M424" s="268" t="e">
        <f t="shared" si="27"/>
        <v>#N/A</v>
      </c>
      <c r="N424" s="320"/>
      <c r="O424" s="360"/>
      <c r="P424" s="320"/>
      <c r="Q424" s="429"/>
    </row>
    <row r="425" spans="5:17" ht="16.5">
      <c r="E425" t="s">
        <v>5097</v>
      </c>
      <c r="F425">
        <v>8500</v>
      </c>
      <c r="H425" t="e">
        <f t="shared" si="28"/>
        <v>#N/A</v>
      </c>
      <c r="I425" t="e">
        <f t="shared" si="24"/>
        <v>#N/A</v>
      </c>
      <c r="L425" s="320" t="e">
        <f t="shared" si="26"/>
        <v>#N/A</v>
      </c>
      <c r="M425" s="268" t="e">
        <f t="shared" si="27"/>
        <v>#N/A</v>
      </c>
      <c r="N425" s="320"/>
      <c r="O425" s="360"/>
      <c r="P425" s="320"/>
      <c r="Q425" s="429"/>
    </row>
    <row r="426" spans="5:17" ht="16.5">
      <c r="E426" t="s">
        <v>5100</v>
      </c>
      <c r="F426">
        <v>4000</v>
      </c>
      <c r="H426" t="e">
        <f t="shared" si="28"/>
        <v>#N/A</v>
      </c>
      <c r="I426" t="e">
        <f t="shared" si="24"/>
        <v>#N/A</v>
      </c>
      <c r="L426" s="320" t="e">
        <f t="shared" si="26"/>
        <v>#N/A</v>
      </c>
      <c r="M426" s="268" t="e">
        <f t="shared" si="27"/>
        <v>#N/A</v>
      </c>
      <c r="N426" s="320"/>
      <c r="O426" s="360"/>
      <c r="P426" s="320"/>
      <c r="Q426" s="429"/>
    </row>
    <row r="427" spans="5:17" ht="16.5">
      <c r="E427" t="s">
        <v>5101</v>
      </c>
      <c r="F427">
        <v>183300</v>
      </c>
      <c r="H427" t="e">
        <f t="shared" si="28"/>
        <v>#N/A</v>
      </c>
      <c r="I427" t="e">
        <f t="shared" si="24"/>
        <v>#N/A</v>
      </c>
      <c r="L427" s="320" t="e">
        <f t="shared" si="26"/>
        <v>#N/A</v>
      </c>
      <c r="M427" s="268" t="e">
        <f t="shared" si="27"/>
        <v>#N/A</v>
      </c>
      <c r="N427" s="320"/>
      <c r="O427" s="360"/>
      <c r="P427" s="320"/>
      <c r="Q427" s="429"/>
    </row>
    <row r="428" spans="5:17" ht="16.5">
      <c r="E428" t="s">
        <v>5088</v>
      </c>
      <c r="F428">
        <v>16800</v>
      </c>
      <c r="H428" t="e">
        <f t="shared" si="28"/>
        <v>#N/A</v>
      </c>
      <c r="I428" t="e">
        <f t="shared" si="24"/>
        <v>#N/A</v>
      </c>
      <c r="L428" s="320" t="e">
        <f t="shared" si="26"/>
        <v>#N/A</v>
      </c>
      <c r="M428" s="268" t="e">
        <f t="shared" si="27"/>
        <v>#N/A</v>
      </c>
      <c r="N428" s="320"/>
      <c r="O428" s="360"/>
      <c r="P428" s="320"/>
      <c r="Q428" s="429"/>
    </row>
    <row r="429" spans="5:17" ht="16.5">
      <c r="E429" t="s">
        <v>5094</v>
      </c>
      <c r="F429">
        <v>18700</v>
      </c>
      <c r="H429" t="e">
        <f t="shared" si="28"/>
        <v>#N/A</v>
      </c>
      <c r="I429" t="e">
        <f t="shared" si="24"/>
        <v>#N/A</v>
      </c>
      <c r="L429" s="320" t="e">
        <f t="shared" si="26"/>
        <v>#N/A</v>
      </c>
      <c r="M429" s="268" t="e">
        <f t="shared" si="27"/>
        <v>#N/A</v>
      </c>
      <c r="N429" s="320"/>
      <c r="O429" s="360"/>
      <c r="P429" s="320"/>
      <c r="Q429" s="429"/>
    </row>
    <row r="430" spans="5:17" ht="16.5">
      <c r="E430" t="s">
        <v>5108</v>
      </c>
      <c r="F430">
        <v>11400</v>
      </c>
      <c r="H430" t="e">
        <f t="shared" si="28"/>
        <v>#N/A</v>
      </c>
      <c r="I430" t="e">
        <f t="shared" si="24"/>
        <v>#N/A</v>
      </c>
      <c r="L430" s="320" t="e">
        <f t="shared" si="26"/>
        <v>#N/A</v>
      </c>
      <c r="M430" s="268" t="e">
        <f t="shared" si="27"/>
        <v>#N/A</v>
      </c>
      <c r="N430" s="320"/>
      <c r="O430" s="360"/>
      <c r="P430" s="320"/>
      <c r="Q430" s="429"/>
    </row>
    <row r="431" spans="5:17" ht="16.5">
      <c r="E431" t="s">
        <v>5110</v>
      </c>
      <c r="F431">
        <v>23800</v>
      </c>
      <c r="H431" t="e">
        <f t="shared" si="28"/>
        <v>#N/A</v>
      </c>
      <c r="I431" t="e">
        <f t="shared" si="24"/>
        <v>#N/A</v>
      </c>
      <c r="L431" s="320" t="e">
        <f t="shared" si="26"/>
        <v>#N/A</v>
      </c>
      <c r="M431" s="268" t="e">
        <f t="shared" si="27"/>
        <v>#N/A</v>
      </c>
      <c r="N431" s="320"/>
      <c r="O431" s="360"/>
      <c r="P431" s="320"/>
      <c r="Q431" s="429"/>
    </row>
    <row r="432" spans="5:17" ht="16.5">
      <c r="E432" t="s">
        <v>5089</v>
      </c>
      <c r="F432">
        <v>19200</v>
      </c>
      <c r="H432" t="e">
        <f t="shared" si="28"/>
        <v>#N/A</v>
      </c>
      <c r="I432" t="e">
        <f t="shared" si="24"/>
        <v>#N/A</v>
      </c>
      <c r="L432" s="320" t="e">
        <f t="shared" si="26"/>
        <v>#N/A</v>
      </c>
      <c r="M432" s="268" t="e">
        <f t="shared" si="27"/>
        <v>#N/A</v>
      </c>
      <c r="N432" s="320"/>
      <c r="O432" s="360"/>
      <c r="P432" s="320"/>
      <c r="Q432" s="429"/>
    </row>
    <row r="433" spans="5:17" ht="16.5">
      <c r="E433" t="s">
        <v>5117</v>
      </c>
      <c r="F433">
        <v>18900</v>
      </c>
      <c r="H433" t="e">
        <f t="shared" si="28"/>
        <v>#N/A</v>
      </c>
      <c r="I433" t="e">
        <f t="shared" si="24"/>
        <v>#N/A</v>
      </c>
      <c r="L433" s="320" t="e">
        <f t="shared" si="26"/>
        <v>#N/A</v>
      </c>
      <c r="M433" s="268" t="e">
        <f t="shared" si="27"/>
        <v>#N/A</v>
      </c>
      <c r="N433" s="320"/>
      <c r="O433" s="360"/>
      <c r="P433" s="320"/>
      <c r="Q433" s="429"/>
    </row>
    <row r="434" spans="5:17" ht="16.5">
      <c r="E434" t="s">
        <v>5116</v>
      </c>
      <c r="F434">
        <v>34200</v>
      </c>
      <c r="H434" t="e">
        <f t="shared" si="28"/>
        <v>#N/A</v>
      </c>
      <c r="I434" t="e">
        <f t="shared" si="24"/>
        <v>#N/A</v>
      </c>
      <c r="L434" s="320" t="e">
        <f t="shared" si="26"/>
        <v>#N/A</v>
      </c>
      <c r="M434" s="268" t="e">
        <f t="shared" si="27"/>
        <v>#N/A</v>
      </c>
      <c r="N434" s="320"/>
      <c r="O434" s="360"/>
      <c r="P434" s="320"/>
      <c r="Q434" s="429"/>
    </row>
    <row r="435" spans="5:17" ht="16.5">
      <c r="E435" t="s">
        <v>5120</v>
      </c>
      <c r="F435">
        <v>35300</v>
      </c>
      <c r="H435" t="e">
        <f t="shared" si="28"/>
        <v>#N/A</v>
      </c>
      <c r="I435" t="e">
        <f t="shared" si="24"/>
        <v>#N/A</v>
      </c>
      <c r="L435" s="320" t="e">
        <f t="shared" si="26"/>
        <v>#N/A</v>
      </c>
      <c r="M435" s="268" t="e">
        <f t="shared" si="27"/>
        <v>#N/A</v>
      </c>
      <c r="N435" s="320"/>
      <c r="O435" s="360"/>
      <c r="P435" s="320"/>
      <c r="Q435" s="429"/>
    </row>
    <row r="436" spans="5:17" ht="16.5">
      <c r="E436" t="s">
        <v>5118</v>
      </c>
      <c r="F436">
        <v>11300</v>
      </c>
      <c r="H436" t="e">
        <f t="shared" si="28"/>
        <v>#N/A</v>
      </c>
      <c r="I436" t="e">
        <f t="shared" si="24"/>
        <v>#N/A</v>
      </c>
      <c r="L436" s="320" t="e">
        <f t="shared" si="26"/>
        <v>#N/A</v>
      </c>
      <c r="M436" s="268" t="e">
        <f t="shared" si="27"/>
        <v>#N/A</v>
      </c>
      <c r="N436" s="320"/>
      <c r="O436" s="360"/>
      <c r="P436" s="320"/>
      <c r="Q436" s="429"/>
    </row>
    <row r="437" spans="5:17" ht="16.5">
      <c r="E437" t="s">
        <v>5115</v>
      </c>
      <c r="F437">
        <v>4400</v>
      </c>
      <c r="H437" t="e">
        <f t="shared" si="28"/>
        <v>#N/A</v>
      </c>
      <c r="I437" t="e">
        <f t="shared" si="24"/>
        <v>#N/A</v>
      </c>
      <c r="L437" s="320" t="e">
        <f t="shared" si="26"/>
        <v>#N/A</v>
      </c>
      <c r="M437" s="268" t="e">
        <f t="shared" si="27"/>
        <v>#N/A</v>
      </c>
      <c r="N437" s="320"/>
      <c r="O437" s="360"/>
      <c r="P437" s="320"/>
      <c r="Q437" s="429"/>
    </row>
    <row r="438" spans="5:17" ht="16.5">
      <c r="E438" t="s">
        <v>5129</v>
      </c>
      <c r="F438">
        <v>11700</v>
      </c>
      <c r="H438" t="e">
        <f t="shared" si="28"/>
        <v>#N/A</v>
      </c>
      <c r="I438" t="e">
        <f t="shared" si="24"/>
        <v>#N/A</v>
      </c>
      <c r="L438" s="320" t="e">
        <f t="shared" si="26"/>
        <v>#N/A</v>
      </c>
      <c r="M438" s="268" t="e">
        <f t="shared" si="27"/>
        <v>#N/A</v>
      </c>
      <c r="N438" s="320"/>
      <c r="O438" s="360"/>
      <c r="P438" s="320"/>
      <c r="Q438" s="429"/>
    </row>
    <row r="439" spans="5:17" ht="16.5">
      <c r="E439" t="s">
        <v>5121</v>
      </c>
      <c r="F439">
        <v>107300</v>
      </c>
      <c r="H439" t="e">
        <f t="shared" si="28"/>
        <v>#N/A</v>
      </c>
      <c r="I439" t="e">
        <f t="shared" si="24"/>
        <v>#N/A</v>
      </c>
      <c r="L439" s="320" t="e">
        <f t="shared" si="26"/>
        <v>#N/A</v>
      </c>
      <c r="M439" s="268" t="e">
        <f t="shared" si="27"/>
        <v>#N/A</v>
      </c>
      <c r="N439" s="320"/>
      <c r="O439" s="360"/>
      <c r="P439" s="320"/>
      <c r="Q439" s="429"/>
    </row>
    <row r="440" spans="5:17" ht="16.5">
      <c r="E440" t="s">
        <v>5123</v>
      </c>
      <c r="F440">
        <v>6900</v>
      </c>
      <c r="H440" t="e">
        <f t="shared" si="28"/>
        <v>#N/A</v>
      </c>
      <c r="I440" t="e">
        <f t="shared" si="24"/>
        <v>#N/A</v>
      </c>
      <c r="L440" s="320" t="e">
        <f t="shared" si="26"/>
        <v>#N/A</v>
      </c>
      <c r="M440" s="268" t="e">
        <f t="shared" si="27"/>
        <v>#N/A</v>
      </c>
      <c r="N440" s="320"/>
      <c r="O440" s="360"/>
      <c r="P440" s="320"/>
      <c r="Q440" s="429"/>
    </row>
    <row r="441" spans="5:17" ht="16.5">
      <c r="E441" t="s">
        <v>5119</v>
      </c>
      <c r="F441">
        <v>15400</v>
      </c>
      <c r="H441" t="e">
        <f t="shared" si="28"/>
        <v>#N/A</v>
      </c>
      <c r="I441" t="e">
        <f t="shared" si="24"/>
        <v>#N/A</v>
      </c>
      <c r="L441" s="320" t="e">
        <f t="shared" si="26"/>
        <v>#N/A</v>
      </c>
      <c r="M441" s="268" t="e">
        <f t="shared" si="27"/>
        <v>#N/A</v>
      </c>
      <c r="N441" s="320"/>
      <c r="O441" s="360"/>
      <c r="P441" s="320"/>
      <c r="Q441" s="429"/>
    </row>
    <row r="442" spans="5:17" ht="16.5">
      <c r="E442" t="s">
        <v>5122</v>
      </c>
      <c r="F442">
        <v>23800</v>
      </c>
      <c r="H442" t="e">
        <f t="shared" si="28"/>
        <v>#N/A</v>
      </c>
      <c r="I442" t="e">
        <f t="shared" si="24"/>
        <v>#N/A</v>
      </c>
      <c r="L442" s="320" t="e">
        <f t="shared" si="26"/>
        <v>#N/A</v>
      </c>
      <c r="M442" s="268" t="e">
        <f t="shared" si="27"/>
        <v>#N/A</v>
      </c>
      <c r="N442" s="320"/>
      <c r="O442" s="360"/>
      <c r="P442" s="320"/>
      <c r="Q442" s="429"/>
    </row>
    <row r="443" spans="5:17" ht="16.5">
      <c r="E443" t="s">
        <v>5124</v>
      </c>
      <c r="F443">
        <v>18900</v>
      </c>
      <c r="H443" t="e">
        <f t="shared" si="28"/>
        <v>#N/A</v>
      </c>
      <c r="I443" t="e">
        <f t="shared" si="24"/>
        <v>#N/A</v>
      </c>
      <c r="L443" s="320" t="e">
        <f t="shared" si="26"/>
        <v>#N/A</v>
      </c>
      <c r="M443" s="268" t="e">
        <f t="shared" si="27"/>
        <v>#N/A</v>
      </c>
      <c r="N443" s="320"/>
      <c r="O443" s="360"/>
      <c r="P443" s="320"/>
      <c r="Q443" s="429"/>
    </row>
    <row r="444" spans="5:17" ht="16.5">
      <c r="E444" t="s">
        <v>5125</v>
      </c>
      <c r="F444">
        <v>10000</v>
      </c>
      <c r="H444" t="e">
        <f t="shared" si="28"/>
        <v>#N/A</v>
      </c>
      <c r="I444" t="e">
        <f t="shared" si="24"/>
        <v>#N/A</v>
      </c>
      <c r="L444" s="320" t="e">
        <f t="shared" si="26"/>
        <v>#N/A</v>
      </c>
      <c r="M444" s="268" t="e">
        <f t="shared" si="27"/>
        <v>#N/A</v>
      </c>
      <c r="N444" s="320"/>
      <c r="O444" s="360"/>
      <c r="P444" s="320"/>
      <c r="Q444" s="429"/>
    </row>
    <row r="445" spans="5:17" ht="16.5">
      <c r="E445" t="s">
        <v>5126</v>
      </c>
      <c r="F445">
        <v>17000</v>
      </c>
      <c r="H445" t="e">
        <f t="shared" si="28"/>
        <v>#N/A</v>
      </c>
      <c r="I445" t="e">
        <f t="shared" si="24"/>
        <v>#N/A</v>
      </c>
      <c r="L445" s="320" t="e">
        <f t="shared" si="26"/>
        <v>#N/A</v>
      </c>
      <c r="M445" s="268" t="e">
        <f t="shared" si="27"/>
        <v>#N/A</v>
      </c>
      <c r="N445" s="320"/>
      <c r="O445" s="360"/>
      <c r="P445" s="320"/>
      <c r="Q445" s="429"/>
    </row>
    <row r="446" spans="5:17" ht="16.5">
      <c r="E446" t="s">
        <v>5127</v>
      </c>
      <c r="F446">
        <v>17000</v>
      </c>
      <c r="H446" t="e">
        <f t="shared" si="28"/>
        <v>#N/A</v>
      </c>
      <c r="I446" t="e">
        <f t="shared" si="24"/>
        <v>#N/A</v>
      </c>
      <c r="L446" s="320" t="e">
        <f t="shared" si="26"/>
        <v>#N/A</v>
      </c>
      <c r="M446" s="268" t="e">
        <f t="shared" si="27"/>
        <v>#N/A</v>
      </c>
      <c r="N446" s="320"/>
      <c r="O446" s="360"/>
      <c r="P446" s="320"/>
      <c r="Q446" s="429"/>
    </row>
    <row r="447" spans="5:17" ht="16.5">
      <c r="E447" s="142"/>
      <c r="L447" s="320"/>
      <c r="N447" s="320"/>
      <c r="O447" s="360"/>
      <c r="P447" s="320"/>
      <c r="Q447" s="429"/>
    </row>
    <row r="448" spans="5:17" ht="16.5">
      <c r="E448" s="142"/>
      <c r="L448" s="320"/>
      <c r="N448" s="320"/>
      <c r="O448" s="360"/>
      <c r="P448" s="320"/>
      <c r="Q448" s="429"/>
    </row>
    <row r="449" spans="1:17" ht="16.5">
      <c r="A449" s="320"/>
      <c r="E449" s="142"/>
      <c r="L449" s="320"/>
      <c r="N449" s="320"/>
      <c r="O449" s="360"/>
      <c r="P449" s="320"/>
      <c r="Q449" s="429"/>
    </row>
    <row r="450" spans="1:17" ht="16.5">
      <c r="A450" s="320"/>
      <c r="E450" s="142"/>
      <c r="L450" s="320"/>
      <c r="N450" s="320"/>
      <c r="O450" s="360"/>
      <c r="P450" s="320"/>
      <c r="Q450" s="429"/>
    </row>
    <row r="451" spans="1:17" ht="16.5">
      <c r="A451" s="320"/>
      <c r="L451" s="320"/>
      <c r="N451" s="320"/>
      <c r="O451" s="360"/>
      <c r="P451" s="320"/>
      <c r="Q451" s="429"/>
    </row>
    <row r="452" spans="1:17" ht="16.5">
      <c r="A452" s="320"/>
      <c r="L452" s="320"/>
      <c r="N452" s="320"/>
      <c r="O452" s="360"/>
      <c r="P452" s="320"/>
      <c r="Q452" s="429"/>
    </row>
    <row r="453" spans="1:17" ht="16.5">
      <c r="A453" s="320"/>
      <c r="L453" s="320"/>
      <c r="N453" s="320"/>
      <c r="O453" s="360"/>
      <c r="P453" s="320"/>
      <c r="Q453" s="429"/>
    </row>
    <row r="454" spans="1:17" ht="16.5">
      <c r="A454" s="320"/>
      <c r="L454" s="320"/>
      <c r="N454" s="320"/>
      <c r="O454" s="360"/>
      <c r="P454" s="320"/>
      <c r="Q454" s="429"/>
    </row>
    <row r="455" spans="1:17" ht="16.5">
      <c r="A455" s="320"/>
      <c r="L455" s="320"/>
      <c r="N455" s="320"/>
      <c r="O455" s="360"/>
      <c r="P455" s="320"/>
      <c r="Q455" s="429"/>
    </row>
    <row r="456" spans="1:17" ht="16.5">
      <c r="L456" s="320"/>
      <c r="N456" s="320"/>
      <c r="O456" s="360"/>
      <c r="P456" s="320"/>
      <c r="Q456" s="429"/>
    </row>
    <row r="457" spans="1:17" ht="16.5">
      <c r="L457" s="320"/>
      <c r="N457" s="320"/>
      <c r="O457" s="360"/>
      <c r="P457" s="320"/>
      <c r="Q457" s="429"/>
    </row>
    <row r="458" spans="1:17" ht="16.5">
      <c r="L458" s="320"/>
      <c r="N458" s="320"/>
      <c r="O458" s="360"/>
      <c r="P458" s="320"/>
      <c r="Q458" s="429"/>
    </row>
    <row r="459" spans="1:17" ht="16.5">
      <c r="L459" s="320"/>
      <c r="N459" s="320"/>
      <c r="O459" s="360"/>
      <c r="P459" s="320"/>
      <c r="Q459" s="429"/>
    </row>
    <row r="460" spans="1:17" ht="16.5">
      <c r="L460" s="320"/>
      <c r="N460" s="320"/>
      <c r="O460" s="360"/>
      <c r="P460" s="320"/>
      <c r="Q460" s="429"/>
    </row>
    <row r="461" spans="1:17" ht="16.5">
      <c r="L461" s="320"/>
      <c r="N461" s="320"/>
      <c r="O461" s="360"/>
      <c r="P461" s="320"/>
      <c r="Q461" s="429"/>
    </row>
    <row r="462" spans="1:17" ht="16.5">
      <c r="L462" s="320"/>
      <c r="N462" s="320"/>
      <c r="O462" s="360"/>
      <c r="P462" s="320"/>
      <c r="Q462" s="429"/>
    </row>
    <row r="463" spans="1:17" ht="16.5">
      <c r="L463" s="320"/>
      <c r="N463" s="320"/>
      <c r="O463" s="360"/>
      <c r="P463" s="320"/>
      <c r="Q463" s="429"/>
    </row>
    <row r="464" spans="1:17" ht="16.5">
      <c r="L464" s="320"/>
      <c r="N464" s="320"/>
      <c r="O464" s="360"/>
      <c r="P464" s="320"/>
      <c r="Q464" s="429"/>
    </row>
    <row r="465" spans="12:17" ht="16.5">
      <c r="L465" s="320"/>
      <c r="N465" s="320"/>
      <c r="O465" s="360"/>
      <c r="P465" s="320"/>
      <c r="Q465" s="429"/>
    </row>
    <row r="466" spans="12:17" ht="16.5">
      <c r="L466" s="320"/>
      <c r="N466" s="320"/>
      <c r="O466" s="360"/>
      <c r="P466" s="320"/>
      <c r="Q466" s="429"/>
    </row>
    <row r="467" spans="12:17" ht="16.5">
      <c r="L467" s="320"/>
      <c r="N467" s="320"/>
      <c r="O467" s="360"/>
      <c r="P467" s="320"/>
      <c r="Q467" s="429"/>
    </row>
    <row r="468" spans="12:17" ht="16.5">
      <c r="L468" s="320"/>
      <c r="N468" s="320"/>
      <c r="O468" s="360"/>
      <c r="P468" s="320"/>
      <c r="Q468" s="429"/>
    </row>
    <row r="469" spans="12:17" ht="16.5">
      <c r="L469" s="320"/>
      <c r="N469" s="320"/>
      <c r="O469" s="360"/>
      <c r="P469" s="320"/>
      <c r="Q469" s="429"/>
    </row>
    <row r="470" spans="12:17" ht="16.5">
      <c r="L470" s="320"/>
      <c r="N470" s="320"/>
      <c r="O470" s="360"/>
      <c r="P470" s="320"/>
      <c r="Q470" s="429"/>
    </row>
    <row r="471" spans="12:17" ht="16.5">
      <c r="L471" s="320"/>
      <c r="N471" s="320"/>
      <c r="O471" s="360"/>
      <c r="P471" s="320"/>
      <c r="Q471" s="429"/>
    </row>
    <row r="472" spans="12:17" ht="16.5">
      <c r="L472" s="320"/>
      <c r="N472" s="320"/>
      <c r="O472" s="360"/>
      <c r="P472" s="320"/>
      <c r="Q472" s="429"/>
    </row>
    <row r="473" spans="12:17" ht="16.5">
      <c r="L473" s="320"/>
      <c r="N473" s="320"/>
      <c r="O473" s="360"/>
      <c r="P473" s="320"/>
      <c r="Q473" s="429"/>
    </row>
    <row r="474" spans="12:17" ht="16.5">
      <c r="L474" s="320"/>
      <c r="N474" s="320"/>
      <c r="O474" s="360"/>
      <c r="P474" s="320"/>
      <c r="Q474" s="429"/>
    </row>
    <row r="475" spans="12:17" ht="16.5">
      <c r="L475" s="320"/>
      <c r="N475" s="320"/>
      <c r="O475" s="360"/>
      <c r="P475" s="320"/>
      <c r="Q475" s="429"/>
    </row>
    <row r="476" spans="12:17" ht="16.5">
      <c r="L476" s="320"/>
      <c r="N476" s="320"/>
      <c r="O476" s="360"/>
      <c r="P476" s="320"/>
      <c r="Q476" s="429"/>
    </row>
    <row r="477" spans="12:17" ht="16.5">
      <c r="L477" s="320"/>
      <c r="N477" s="320"/>
      <c r="O477" s="360"/>
      <c r="P477" s="320"/>
      <c r="Q477" s="429"/>
    </row>
    <row r="478" spans="12:17" ht="16.5">
      <c r="L478" s="320"/>
      <c r="N478" s="320"/>
      <c r="O478" s="360"/>
      <c r="P478" s="320"/>
      <c r="Q478" s="429"/>
    </row>
    <row r="479" spans="12:17" ht="16.5">
      <c r="L479" s="320"/>
      <c r="N479" s="320"/>
      <c r="O479" s="360"/>
      <c r="P479" s="320"/>
      <c r="Q479" s="429"/>
    </row>
    <row r="480" spans="12:17" ht="16.5">
      <c r="L480" s="320"/>
      <c r="N480" s="320"/>
      <c r="O480" s="360"/>
      <c r="P480" s="320"/>
      <c r="Q480" s="429"/>
    </row>
    <row r="481" spans="12:17" ht="16.5">
      <c r="L481" s="320"/>
      <c r="N481" s="320"/>
      <c r="O481" s="360"/>
      <c r="P481" s="320"/>
      <c r="Q481" s="429"/>
    </row>
    <row r="482" spans="12:17" ht="16.5">
      <c r="L482" s="320"/>
      <c r="N482" s="320"/>
      <c r="O482" s="360"/>
      <c r="P482" s="320"/>
      <c r="Q482" s="429"/>
    </row>
    <row r="483" spans="12:17" ht="16.5">
      <c r="L483" s="320"/>
      <c r="N483" s="320"/>
      <c r="O483" s="360"/>
      <c r="P483" s="320"/>
      <c r="Q483" s="429"/>
    </row>
    <row r="484" spans="12:17" ht="16.5">
      <c r="L484" s="320"/>
      <c r="N484" s="320"/>
      <c r="O484" s="360"/>
      <c r="P484" s="320"/>
      <c r="Q484" s="429"/>
    </row>
    <row r="485" spans="12:17" ht="16.5">
      <c r="L485" s="320"/>
      <c r="N485" s="320"/>
      <c r="O485" s="360"/>
      <c r="P485" s="320"/>
      <c r="Q485" s="429"/>
    </row>
    <row r="486" spans="12:17" ht="16.5">
      <c r="L486" s="320"/>
      <c r="N486" s="320"/>
      <c r="O486" s="360"/>
      <c r="P486" s="320"/>
      <c r="Q486" s="429"/>
    </row>
    <row r="487" spans="12:17" ht="16.5">
      <c r="L487" s="320"/>
      <c r="N487" s="320"/>
      <c r="O487" s="360"/>
      <c r="P487" s="320"/>
      <c r="Q487" s="429"/>
    </row>
    <row r="488" spans="12:17" ht="16.5">
      <c r="L488" s="320"/>
      <c r="N488" s="320"/>
      <c r="O488" s="360"/>
      <c r="P488" s="320"/>
      <c r="Q488" s="429"/>
    </row>
    <row r="489" spans="12:17" ht="16.5">
      <c r="L489" s="320"/>
      <c r="N489" s="320"/>
      <c r="O489" s="360"/>
      <c r="P489" s="320"/>
      <c r="Q489" s="429"/>
    </row>
    <row r="490" spans="12:17" ht="16.5">
      <c r="L490" s="320"/>
      <c r="N490" s="320"/>
      <c r="O490" s="360"/>
      <c r="P490" s="320"/>
      <c r="Q490" s="429"/>
    </row>
    <row r="491" spans="12:17" ht="16.5">
      <c r="L491" s="320"/>
      <c r="N491" s="320"/>
      <c r="O491" s="360"/>
      <c r="P491" s="320"/>
      <c r="Q491" s="429"/>
    </row>
    <row r="492" spans="12:17" ht="16.5">
      <c r="L492" s="320"/>
      <c r="N492" s="320"/>
      <c r="O492" s="360"/>
      <c r="P492" s="320"/>
      <c r="Q492" s="429"/>
    </row>
    <row r="493" spans="12:17" ht="16.5">
      <c r="L493" s="320"/>
      <c r="N493" s="320"/>
      <c r="O493" s="360"/>
      <c r="P493" s="320"/>
      <c r="Q493" s="429"/>
    </row>
    <row r="494" spans="12:17" ht="16.5">
      <c r="L494" s="320"/>
      <c r="N494" s="320"/>
      <c r="O494" s="360"/>
      <c r="P494" s="320"/>
      <c r="Q494" s="429"/>
    </row>
    <row r="495" spans="12:17" ht="16.5">
      <c r="L495" s="320"/>
      <c r="N495" s="320"/>
      <c r="O495" s="360"/>
      <c r="P495" s="320"/>
      <c r="Q495" s="429"/>
    </row>
    <row r="496" spans="12:17" ht="16.5">
      <c r="L496" s="320"/>
      <c r="N496" s="320"/>
      <c r="O496" s="360"/>
      <c r="P496" s="320"/>
      <c r="Q496" s="429"/>
    </row>
    <row r="497" spans="12:17" ht="16.5">
      <c r="L497" s="320"/>
      <c r="N497" s="320"/>
      <c r="O497" s="360"/>
      <c r="P497" s="320"/>
      <c r="Q497" s="429"/>
    </row>
    <row r="498" spans="12:17" ht="16.5">
      <c r="L498" s="320"/>
      <c r="N498" s="320"/>
      <c r="O498" s="360"/>
      <c r="P498" s="320"/>
      <c r="Q498" s="429"/>
    </row>
    <row r="499" spans="12:17" ht="16.5">
      <c r="L499" s="320"/>
      <c r="N499" s="320"/>
      <c r="O499" s="360"/>
      <c r="P499" s="320"/>
      <c r="Q499" s="429"/>
    </row>
    <row r="500" spans="12:17" ht="16.5">
      <c r="L500" s="320"/>
      <c r="N500" s="320"/>
      <c r="O500" s="360"/>
      <c r="P500" s="320"/>
      <c r="Q500" s="429"/>
    </row>
    <row r="501" spans="12:17" ht="16.5">
      <c r="L501" s="320"/>
      <c r="N501" s="320"/>
      <c r="O501" s="360"/>
      <c r="P501" s="320"/>
      <c r="Q501" s="429"/>
    </row>
    <row r="502" spans="12:17" ht="16.5">
      <c r="L502" s="320"/>
      <c r="N502" s="320"/>
      <c r="O502" s="360"/>
    </row>
    <row r="503" spans="12:17" ht="16.5">
      <c r="L503" s="320"/>
      <c r="N503" s="320"/>
      <c r="O503" s="360"/>
    </row>
    <row r="504" spans="12:17" ht="16.5">
      <c r="L504" s="320"/>
      <c r="N504" s="320"/>
      <c r="O504" s="360"/>
    </row>
    <row r="505" spans="12:17" ht="16.5">
      <c r="L505" s="320"/>
      <c r="N505" s="320"/>
      <c r="O505" s="360"/>
    </row>
    <row r="506" spans="12:17" ht="16.5">
      <c r="L506" s="320"/>
      <c r="N506" s="320"/>
      <c r="O506" s="360"/>
    </row>
    <row r="507" spans="12:17" ht="16.5">
      <c r="L507" s="320"/>
      <c r="N507" s="320"/>
      <c r="O507" s="360"/>
    </row>
    <row r="508" spans="12:17" ht="16.5">
      <c r="L508" s="320"/>
      <c r="N508" s="320"/>
      <c r="O508" s="360"/>
    </row>
    <row r="509" spans="12:17" ht="16.5">
      <c r="L509" s="320"/>
      <c r="N509" s="320"/>
      <c r="O509" s="360"/>
    </row>
    <row r="510" spans="12:17" ht="16.5">
      <c r="L510" s="320"/>
      <c r="N510" s="320"/>
      <c r="O510" s="360"/>
    </row>
    <row r="511" spans="12:17" ht="16.5">
      <c r="L511" s="320"/>
      <c r="N511" s="320"/>
      <c r="O511" s="360"/>
    </row>
    <row r="512" spans="12:17" ht="16.5">
      <c r="L512" s="320"/>
      <c r="N512" s="320"/>
      <c r="O512" s="360"/>
    </row>
    <row r="513" spans="12:15" ht="16.5">
      <c r="L513" s="320"/>
      <c r="N513" s="320"/>
      <c r="O513" s="360"/>
    </row>
    <row r="514" spans="12:15" ht="16.5">
      <c r="L514" s="320"/>
      <c r="N514" s="320"/>
      <c r="O514" s="360"/>
    </row>
    <row r="515" spans="12:15" ht="16.5">
      <c r="L515" s="320"/>
      <c r="N515" s="320"/>
      <c r="O515" s="360"/>
    </row>
    <row r="516" spans="12:15" ht="16.5">
      <c r="L516" s="320"/>
      <c r="N516" s="320"/>
      <c r="O516" s="360"/>
    </row>
    <row r="517" spans="12:15" ht="16.5">
      <c r="L517" s="320"/>
      <c r="N517" s="320"/>
      <c r="O517" s="360"/>
    </row>
    <row r="518" spans="12:15" ht="16.5">
      <c r="L518" s="320"/>
      <c r="N518" s="320"/>
      <c r="O518" s="360"/>
    </row>
    <row r="519" spans="12:15" ht="16.5">
      <c r="L519" s="320"/>
      <c r="N519" s="320"/>
      <c r="O519" s="360"/>
    </row>
    <row r="520" spans="12:15" ht="16.5">
      <c r="L520" s="320"/>
      <c r="N520" s="320"/>
      <c r="O520" s="360"/>
    </row>
    <row r="521" spans="12:15" ht="16.5">
      <c r="L521" s="320"/>
      <c r="N521" s="320"/>
      <c r="O521" s="360"/>
    </row>
    <row r="522" spans="12:15" ht="16.5">
      <c r="L522" s="320"/>
      <c r="N522" s="320"/>
      <c r="O522" s="360"/>
    </row>
    <row r="523" spans="12:15" ht="16.5">
      <c r="L523" s="320"/>
      <c r="N523" s="320"/>
      <c r="O523" s="360"/>
    </row>
    <row r="524" spans="12:15" ht="16.5">
      <c r="L524" s="320"/>
      <c r="N524" s="320"/>
      <c r="O524" s="360"/>
    </row>
    <row r="525" spans="12:15" ht="16.5">
      <c r="L525" s="320"/>
    </row>
  </sheetData>
  <autoFilter ref="A4:W559" xr:uid="{DF1B4275-5C57-4F7F-BBFA-118B2811FB31}"/>
  <mergeCells count="2">
    <mergeCell ref="A3:B3"/>
    <mergeCell ref="E3:F3"/>
  </mergeCells>
  <conditionalFormatting sqref="A22:A455">
    <cfRule type="duplicateValues" dxfId="20" priority="23"/>
  </conditionalFormatting>
  <conditionalFormatting sqref="E2:E4 D1 E495:E1048576">
    <cfRule type="duplicateValues" dxfId="19" priority="24"/>
  </conditionalFormatting>
  <conditionalFormatting sqref="E447:E450">
    <cfRule type="duplicateValues" dxfId="18" priority="3"/>
  </conditionalFormatting>
  <conditionalFormatting sqref="M5:M446">
    <cfRule type="cellIs" dxfId="17" priority="1" operator="notEqual">
      <formula>0</formula>
    </cfRule>
  </conditionalFormatting>
  <conditionalFormatting sqref="P448:P499">
    <cfRule type="expression" dxfId="16" priority="4">
      <formula>AND(OR(#REF!&lt;-50, #REF!&gt;50), NOT(ISBLANK(P445)))</formula>
    </cfRule>
  </conditionalFormatting>
  <pageMargins left="0.7" right="0.7" top="0.75" bottom="0.75" header="0.3" footer="0.3"/>
  <pageSetup paperSize="9" scale="135"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A8FA-AB94-4951-8BCE-FCA5A0D2A850}">
  <sheetPr codeName="Sheet7"/>
  <dimension ref="A3:B353"/>
  <sheetViews>
    <sheetView topLeftCell="A318" workbookViewId="0">
      <selection activeCell="E101" sqref="E101"/>
    </sheetView>
  </sheetViews>
  <sheetFormatPr defaultRowHeight="15"/>
  <cols>
    <col min="1" max="1" width="42.28515625" bestFit="1" customWidth="1"/>
    <col min="2" max="2" width="9" bestFit="1" customWidth="1"/>
  </cols>
  <sheetData>
    <row r="3" spans="1:2">
      <c r="A3" s="281" t="s">
        <v>991</v>
      </c>
    </row>
    <row r="4" spans="1:2">
      <c r="A4" s="281" t="s">
        <v>221</v>
      </c>
      <c r="B4" t="s">
        <v>79</v>
      </c>
    </row>
    <row r="5" spans="1:2">
      <c r="A5">
        <v>55813</v>
      </c>
      <c r="B5">
        <v>5100</v>
      </c>
    </row>
    <row r="6" spans="1:2">
      <c r="A6">
        <v>58136</v>
      </c>
      <c r="B6">
        <v>600</v>
      </c>
    </row>
    <row r="7" spans="1:2">
      <c r="A7">
        <v>58137</v>
      </c>
      <c r="B7">
        <v>400</v>
      </c>
    </row>
    <row r="8" spans="1:2">
      <c r="A8">
        <v>58143</v>
      </c>
      <c r="B8">
        <v>3900</v>
      </c>
    </row>
    <row r="9" spans="1:2">
      <c r="A9">
        <v>58144</v>
      </c>
      <c r="B9">
        <v>1300</v>
      </c>
    </row>
    <row r="10" spans="1:2">
      <c r="A10">
        <v>58146</v>
      </c>
      <c r="B10">
        <v>15600</v>
      </c>
    </row>
    <row r="11" spans="1:2">
      <c r="A11">
        <v>58400</v>
      </c>
      <c r="B11">
        <v>600</v>
      </c>
    </row>
    <row r="12" spans="1:2">
      <c r="A12">
        <v>58798</v>
      </c>
      <c r="B12">
        <v>62950</v>
      </c>
    </row>
    <row r="13" spans="1:2">
      <c r="A13">
        <v>59046</v>
      </c>
      <c r="B13">
        <v>11400</v>
      </c>
    </row>
    <row r="14" spans="1:2">
      <c r="A14">
        <v>59138</v>
      </c>
      <c r="B14">
        <v>181900</v>
      </c>
    </row>
    <row r="15" spans="1:2">
      <c r="A15">
        <v>59139</v>
      </c>
      <c r="B15">
        <v>41600</v>
      </c>
    </row>
    <row r="16" spans="1:2">
      <c r="A16">
        <v>59140</v>
      </c>
      <c r="B16">
        <v>48700</v>
      </c>
    </row>
    <row r="17" spans="1:2">
      <c r="A17">
        <v>59147</v>
      </c>
      <c r="B17">
        <v>600</v>
      </c>
    </row>
    <row r="18" spans="1:2">
      <c r="A18">
        <v>59175</v>
      </c>
      <c r="B18">
        <v>103400</v>
      </c>
    </row>
    <row r="19" spans="1:2">
      <c r="A19">
        <v>59176</v>
      </c>
      <c r="B19">
        <v>6000</v>
      </c>
    </row>
    <row r="20" spans="1:2">
      <c r="A20">
        <v>59177</v>
      </c>
      <c r="B20">
        <v>650</v>
      </c>
    </row>
    <row r="21" spans="1:2">
      <c r="A21">
        <v>59182</v>
      </c>
      <c r="B21">
        <v>1500</v>
      </c>
    </row>
    <row r="22" spans="1:2">
      <c r="A22">
        <v>59183</v>
      </c>
      <c r="B22">
        <v>1000</v>
      </c>
    </row>
    <row r="23" spans="1:2">
      <c r="A23">
        <v>59534</v>
      </c>
      <c r="B23">
        <v>3100</v>
      </c>
    </row>
    <row r="24" spans="1:2">
      <c r="A24">
        <v>59535</v>
      </c>
      <c r="B24">
        <v>1600</v>
      </c>
    </row>
    <row r="25" spans="1:2">
      <c r="A25">
        <v>59536</v>
      </c>
      <c r="B25">
        <v>3100</v>
      </c>
    </row>
    <row r="26" spans="1:2">
      <c r="A26">
        <v>59537</v>
      </c>
      <c r="B26">
        <v>1700</v>
      </c>
    </row>
    <row r="27" spans="1:2">
      <c r="A27">
        <v>59538</v>
      </c>
      <c r="B27">
        <v>3000</v>
      </c>
    </row>
    <row r="28" spans="1:2">
      <c r="A28">
        <v>59539</v>
      </c>
      <c r="B28">
        <v>1700</v>
      </c>
    </row>
    <row r="29" spans="1:2">
      <c r="A29">
        <v>59542</v>
      </c>
      <c r="B29">
        <v>5300</v>
      </c>
    </row>
    <row r="30" spans="1:2">
      <c r="A30">
        <v>59543</v>
      </c>
      <c r="B30">
        <v>5450</v>
      </c>
    </row>
    <row r="31" spans="1:2">
      <c r="A31">
        <v>59544</v>
      </c>
      <c r="B31">
        <v>3100</v>
      </c>
    </row>
    <row r="32" spans="1:2">
      <c r="A32">
        <v>59545</v>
      </c>
      <c r="B32">
        <v>1600</v>
      </c>
    </row>
    <row r="33" spans="1:2">
      <c r="A33">
        <v>59596</v>
      </c>
      <c r="B33">
        <v>24300</v>
      </c>
    </row>
    <row r="34" spans="1:2">
      <c r="A34">
        <v>59946</v>
      </c>
      <c r="B34">
        <v>12600</v>
      </c>
    </row>
    <row r="35" spans="1:2">
      <c r="A35">
        <v>60372</v>
      </c>
      <c r="B35">
        <v>73600</v>
      </c>
    </row>
    <row r="36" spans="1:2">
      <c r="A36">
        <v>60452</v>
      </c>
      <c r="B36">
        <v>83700</v>
      </c>
    </row>
    <row r="37" spans="1:2">
      <c r="A37">
        <v>60453</v>
      </c>
      <c r="B37">
        <v>16100</v>
      </c>
    </row>
    <row r="38" spans="1:2">
      <c r="A38">
        <v>60455</v>
      </c>
      <c r="B38">
        <v>20900</v>
      </c>
    </row>
    <row r="39" spans="1:2">
      <c r="A39">
        <v>60457</v>
      </c>
      <c r="B39">
        <v>32000</v>
      </c>
    </row>
    <row r="40" spans="1:2">
      <c r="A40">
        <v>60459</v>
      </c>
      <c r="B40">
        <v>2800</v>
      </c>
    </row>
    <row r="41" spans="1:2">
      <c r="A41">
        <v>60461</v>
      </c>
      <c r="B41">
        <v>2800</v>
      </c>
    </row>
    <row r="42" spans="1:2">
      <c r="A42">
        <v>60463</v>
      </c>
      <c r="B42">
        <v>4000</v>
      </c>
    </row>
    <row r="43" spans="1:2">
      <c r="A43">
        <v>60475</v>
      </c>
      <c r="B43">
        <v>14900</v>
      </c>
    </row>
    <row r="44" spans="1:2">
      <c r="A44">
        <v>60476</v>
      </c>
      <c r="B44">
        <v>11500</v>
      </c>
    </row>
    <row r="45" spans="1:2">
      <c r="A45">
        <v>60481</v>
      </c>
      <c r="B45">
        <v>65800</v>
      </c>
    </row>
    <row r="46" spans="1:2">
      <c r="A46">
        <v>60483</v>
      </c>
      <c r="B46">
        <v>46000</v>
      </c>
    </row>
    <row r="47" spans="1:2">
      <c r="A47">
        <v>60493</v>
      </c>
      <c r="B47">
        <v>3200</v>
      </c>
    </row>
    <row r="48" spans="1:2">
      <c r="A48">
        <v>60506</v>
      </c>
      <c r="B48">
        <v>7300</v>
      </c>
    </row>
    <row r="49" spans="1:2">
      <c r="A49">
        <v>60507</v>
      </c>
      <c r="B49">
        <v>7300</v>
      </c>
    </row>
    <row r="50" spans="1:2">
      <c r="A50">
        <v>60509</v>
      </c>
      <c r="B50">
        <v>93900</v>
      </c>
    </row>
    <row r="51" spans="1:2">
      <c r="A51">
        <v>60512</v>
      </c>
      <c r="B51">
        <v>14500</v>
      </c>
    </row>
    <row r="52" spans="1:2">
      <c r="A52">
        <v>60513</v>
      </c>
      <c r="B52">
        <v>20800</v>
      </c>
    </row>
    <row r="53" spans="1:2">
      <c r="A53">
        <v>60514</v>
      </c>
      <c r="B53">
        <v>34200</v>
      </c>
    </row>
    <row r="54" spans="1:2">
      <c r="A54">
        <v>60516</v>
      </c>
      <c r="B54">
        <v>34500</v>
      </c>
    </row>
    <row r="55" spans="1:2">
      <c r="A55">
        <v>60552</v>
      </c>
      <c r="B55">
        <v>3500</v>
      </c>
    </row>
    <row r="56" spans="1:2">
      <c r="A56">
        <v>60553</v>
      </c>
      <c r="B56">
        <v>5000</v>
      </c>
    </row>
    <row r="57" spans="1:2">
      <c r="A57">
        <v>60554</v>
      </c>
      <c r="B57">
        <v>3100</v>
      </c>
    </row>
    <row r="58" spans="1:2">
      <c r="A58">
        <v>60555</v>
      </c>
      <c r="B58">
        <v>3000</v>
      </c>
    </row>
    <row r="59" spans="1:2">
      <c r="A59">
        <v>60556</v>
      </c>
      <c r="B59">
        <v>5000</v>
      </c>
    </row>
    <row r="60" spans="1:2">
      <c r="A60">
        <v>60558</v>
      </c>
      <c r="B60">
        <v>5000</v>
      </c>
    </row>
    <row r="61" spans="1:2">
      <c r="A61">
        <v>60559</v>
      </c>
      <c r="B61">
        <v>5200</v>
      </c>
    </row>
    <row r="62" spans="1:2">
      <c r="A62">
        <v>60560</v>
      </c>
      <c r="B62">
        <v>3000</v>
      </c>
    </row>
    <row r="63" spans="1:2">
      <c r="A63">
        <v>60562</v>
      </c>
      <c r="B63">
        <v>5000</v>
      </c>
    </row>
    <row r="64" spans="1:2">
      <c r="A64">
        <v>60563</v>
      </c>
      <c r="B64">
        <v>3000</v>
      </c>
    </row>
    <row r="65" spans="1:2">
      <c r="A65">
        <v>60565</v>
      </c>
      <c r="B65">
        <v>3000</v>
      </c>
    </row>
    <row r="66" spans="1:2">
      <c r="A66">
        <v>60566</v>
      </c>
      <c r="B66">
        <v>3000</v>
      </c>
    </row>
    <row r="67" spans="1:2">
      <c r="A67">
        <v>60610</v>
      </c>
      <c r="B67">
        <v>600</v>
      </c>
    </row>
    <row r="68" spans="1:2">
      <c r="A68">
        <v>60651</v>
      </c>
      <c r="B68">
        <v>29900</v>
      </c>
    </row>
    <row r="69" spans="1:2">
      <c r="A69">
        <v>60652</v>
      </c>
      <c r="B69">
        <v>29700</v>
      </c>
    </row>
    <row r="70" spans="1:2">
      <c r="A70">
        <v>60653</v>
      </c>
      <c r="B70">
        <v>30000</v>
      </c>
    </row>
    <row r="71" spans="1:2">
      <c r="A71">
        <v>60654</v>
      </c>
      <c r="B71">
        <v>30100</v>
      </c>
    </row>
    <row r="72" spans="1:2">
      <c r="A72">
        <v>60655</v>
      </c>
      <c r="B72">
        <v>29800</v>
      </c>
    </row>
    <row r="73" spans="1:2">
      <c r="A73">
        <v>60656</v>
      </c>
      <c r="B73">
        <v>29800</v>
      </c>
    </row>
    <row r="74" spans="1:2">
      <c r="A74">
        <v>60657</v>
      </c>
      <c r="B74">
        <v>29800</v>
      </c>
    </row>
    <row r="75" spans="1:2">
      <c r="A75">
        <v>60658</v>
      </c>
      <c r="B75">
        <v>30000</v>
      </c>
    </row>
    <row r="76" spans="1:2">
      <c r="A76">
        <v>60659</v>
      </c>
      <c r="B76">
        <v>310000</v>
      </c>
    </row>
    <row r="77" spans="1:2">
      <c r="A77">
        <v>60665</v>
      </c>
      <c r="B77">
        <v>14050</v>
      </c>
    </row>
    <row r="78" spans="1:2">
      <c r="A78">
        <v>60676</v>
      </c>
      <c r="B78">
        <v>40200</v>
      </c>
    </row>
    <row r="79" spans="1:2">
      <c r="A79">
        <v>61051</v>
      </c>
      <c r="B79">
        <v>79600</v>
      </c>
    </row>
    <row r="80" spans="1:2">
      <c r="A80">
        <v>61107</v>
      </c>
      <c r="B80">
        <v>27500</v>
      </c>
    </row>
    <row r="81" spans="1:2">
      <c r="A81">
        <v>61109</v>
      </c>
      <c r="B81">
        <v>53750</v>
      </c>
    </row>
    <row r="82" spans="1:2">
      <c r="A82">
        <v>61110</v>
      </c>
      <c r="B82">
        <v>54100</v>
      </c>
    </row>
    <row r="83" spans="1:2">
      <c r="A83">
        <v>61111</v>
      </c>
      <c r="B83">
        <v>4600</v>
      </c>
    </row>
    <row r="84" spans="1:2">
      <c r="A84">
        <v>61112</v>
      </c>
      <c r="B84">
        <v>4600</v>
      </c>
    </row>
    <row r="85" spans="1:2">
      <c r="A85">
        <v>61113</v>
      </c>
      <c r="B85">
        <v>4600</v>
      </c>
    </row>
    <row r="86" spans="1:2">
      <c r="A86">
        <v>61115</v>
      </c>
      <c r="B86">
        <v>4200</v>
      </c>
    </row>
    <row r="87" spans="1:2">
      <c r="A87">
        <v>61116</v>
      </c>
      <c r="B87">
        <v>4400</v>
      </c>
    </row>
    <row r="88" spans="1:2">
      <c r="A88">
        <v>61118</v>
      </c>
      <c r="B88">
        <v>40200</v>
      </c>
    </row>
    <row r="89" spans="1:2">
      <c r="A89">
        <v>61120</v>
      </c>
      <c r="B89">
        <v>10600</v>
      </c>
    </row>
    <row r="90" spans="1:2">
      <c r="A90">
        <v>61126</v>
      </c>
      <c r="B90">
        <v>4900</v>
      </c>
    </row>
    <row r="91" spans="1:2">
      <c r="A91">
        <v>61134</v>
      </c>
      <c r="B91">
        <v>4100</v>
      </c>
    </row>
    <row r="92" spans="1:2">
      <c r="A92">
        <v>61151</v>
      </c>
      <c r="B92">
        <v>800</v>
      </c>
    </row>
    <row r="93" spans="1:2">
      <c r="A93">
        <v>61152</v>
      </c>
      <c r="B93">
        <v>800</v>
      </c>
    </row>
    <row r="94" spans="1:2">
      <c r="A94">
        <v>61164</v>
      </c>
      <c r="B94">
        <v>2600</v>
      </c>
    </row>
    <row r="95" spans="1:2">
      <c r="A95">
        <v>61169</v>
      </c>
      <c r="B95">
        <v>91700</v>
      </c>
    </row>
    <row r="96" spans="1:2">
      <c r="A96">
        <v>61187</v>
      </c>
      <c r="B96">
        <v>1300</v>
      </c>
    </row>
    <row r="97" spans="1:2">
      <c r="A97">
        <v>61208</v>
      </c>
      <c r="B97">
        <v>4300</v>
      </c>
    </row>
    <row r="98" spans="1:2">
      <c r="A98">
        <v>61212</v>
      </c>
      <c r="B98">
        <v>23200</v>
      </c>
    </row>
    <row r="99" spans="1:2">
      <c r="A99">
        <v>61213</v>
      </c>
      <c r="B99">
        <v>23600</v>
      </c>
    </row>
    <row r="100" spans="1:2">
      <c r="A100">
        <v>61214</v>
      </c>
      <c r="B100">
        <v>12000</v>
      </c>
    </row>
    <row r="101" spans="1:2">
      <c r="A101">
        <v>61215</v>
      </c>
      <c r="B101">
        <v>22380</v>
      </c>
    </row>
    <row r="102" spans="1:2">
      <c r="A102">
        <v>61216</v>
      </c>
      <c r="B102">
        <v>11760</v>
      </c>
    </row>
    <row r="103" spans="1:2">
      <c r="A103">
        <v>61217</v>
      </c>
      <c r="B103">
        <v>11800</v>
      </c>
    </row>
    <row r="104" spans="1:2">
      <c r="A104">
        <v>61218</v>
      </c>
      <c r="B104">
        <v>12300</v>
      </c>
    </row>
    <row r="105" spans="1:2">
      <c r="A105">
        <v>61221</v>
      </c>
      <c r="B105">
        <v>4300</v>
      </c>
    </row>
    <row r="106" spans="1:2">
      <c r="A106">
        <v>61223</v>
      </c>
      <c r="B106">
        <v>12700</v>
      </c>
    </row>
    <row r="107" spans="1:2">
      <c r="A107">
        <v>61224</v>
      </c>
      <c r="B107">
        <v>4600</v>
      </c>
    </row>
    <row r="108" spans="1:2">
      <c r="A108">
        <v>61227</v>
      </c>
      <c r="B108">
        <v>12000</v>
      </c>
    </row>
    <row r="109" spans="1:2">
      <c r="A109">
        <v>61228</v>
      </c>
      <c r="B109">
        <v>12200</v>
      </c>
    </row>
    <row r="110" spans="1:2">
      <c r="A110">
        <v>61229</v>
      </c>
      <c r="B110">
        <v>23900</v>
      </c>
    </row>
    <row r="111" spans="1:2">
      <c r="A111">
        <v>61230</v>
      </c>
      <c r="B111">
        <v>26900</v>
      </c>
    </row>
    <row r="112" spans="1:2">
      <c r="A112">
        <v>61231</v>
      </c>
      <c r="B112">
        <v>28500</v>
      </c>
    </row>
    <row r="113" spans="1:2">
      <c r="A113">
        <v>61232</v>
      </c>
      <c r="B113">
        <v>29000</v>
      </c>
    </row>
    <row r="114" spans="1:2">
      <c r="A114">
        <v>61233</v>
      </c>
      <c r="B114">
        <v>14700</v>
      </c>
    </row>
    <row r="115" spans="1:2">
      <c r="A115">
        <v>61234</v>
      </c>
      <c r="B115">
        <v>14300</v>
      </c>
    </row>
    <row r="116" spans="1:2">
      <c r="A116">
        <v>61235</v>
      </c>
      <c r="B116">
        <v>14100</v>
      </c>
    </row>
    <row r="117" spans="1:2">
      <c r="A117">
        <v>61236</v>
      </c>
      <c r="B117">
        <v>28500</v>
      </c>
    </row>
    <row r="118" spans="1:2">
      <c r="A118">
        <v>61238</v>
      </c>
      <c r="B118">
        <v>26600</v>
      </c>
    </row>
    <row r="119" spans="1:2">
      <c r="A119">
        <v>61240</v>
      </c>
      <c r="B119">
        <v>54000</v>
      </c>
    </row>
    <row r="120" spans="1:2">
      <c r="A120">
        <v>61241</v>
      </c>
      <c r="B120">
        <v>59100</v>
      </c>
    </row>
    <row r="121" spans="1:2">
      <c r="A121">
        <v>61242</v>
      </c>
      <c r="B121">
        <v>53700</v>
      </c>
    </row>
    <row r="122" spans="1:2">
      <c r="A122">
        <v>61250</v>
      </c>
      <c r="B122">
        <v>23200</v>
      </c>
    </row>
    <row r="123" spans="1:2">
      <c r="A123">
        <v>61253</v>
      </c>
      <c r="B123">
        <v>93600</v>
      </c>
    </row>
    <row r="124" spans="1:2">
      <c r="A124">
        <v>61266</v>
      </c>
      <c r="B124">
        <v>21000</v>
      </c>
    </row>
    <row r="125" spans="1:2">
      <c r="A125">
        <v>61267</v>
      </c>
      <c r="B125">
        <v>99600</v>
      </c>
    </row>
    <row r="126" spans="1:2">
      <c r="A126">
        <v>61268</v>
      </c>
      <c r="B126">
        <v>108100</v>
      </c>
    </row>
    <row r="127" spans="1:2">
      <c r="A127">
        <v>61274</v>
      </c>
      <c r="B127">
        <v>99500</v>
      </c>
    </row>
    <row r="128" spans="1:2">
      <c r="A128">
        <v>61275</v>
      </c>
      <c r="B128">
        <v>120600</v>
      </c>
    </row>
    <row r="129" spans="1:2">
      <c r="A129">
        <v>61276</v>
      </c>
      <c r="B129">
        <v>170300</v>
      </c>
    </row>
    <row r="130" spans="1:2">
      <c r="A130">
        <v>61277</v>
      </c>
      <c r="B130">
        <v>23950</v>
      </c>
    </row>
    <row r="131" spans="1:2">
      <c r="A131">
        <v>61278</v>
      </c>
      <c r="B131">
        <v>23500</v>
      </c>
    </row>
    <row r="132" spans="1:2">
      <c r="A132">
        <v>61279</v>
      </c>
      <c r="B132">
        <v>23500</v>
      </c>
    </row>
    <row r="133" spans="1:2">
      <c r="A133">
        <v>61289</v>
      </c>
      <c r="B133">
        <v>41800</v>
      </c>
    </row>
    <row r="134" spans="1:2">
      <c r="A134">
        <v>61290</v>
      </c>
      <c r="B134">
        <v>17000</v>
      </c>
    </row>
    <row r="135" spans="1:2">
      <c r="A135">
        <v>61291</v>
      </c>
      <c r="B135">
        <v>72500</v>
      </c>
    </row>
    <row r="136" spans="1:2">
      <c r="A136">
        <v>61292</v>
      </c>
      <c r="B136">
        <v>31200</v>
      </c>
    </row>
    <row r="137" spans="1:2">
      <c r="A137">
        <v>61293</v>
      </c>
      <c r="B137">
        <v>38000</v>
      </c>
    </row>
    <row r="138" spans="1:2">
      <c r="A138">
        <v>61295</v>
      </c>
      <c r="B138">
        <v>23600</v>
      </c>
    </row>
    <row r="139" spans="1:2">
      <c r="A139">
        <v>61296</v>
      </c>
      <c r="B139">
        <v>23500</v>
      </c>
    </row>
    <row r="140" spans="1:2">
      <c r="A140">
        <v>61297</v>
      </c>
      <c r="B140">
        <v>51100</v>
      </c>
    </row>
    <row r="141" spans="1:2">
      <c r="A141">
        <v>61298</v>
      </c>
      <c r="B141">
        <v>21200</v>
      </c>
    </row>
    <row r="142" spans="1:2">
      <c r="A142">
        <v>61304</v>
      </c>
      <c r="B142">
        <v>10700</v>
      </c>
    </row>
    <row r="143" spans="1:2">
      <c r="A143">
        <v>61305</v>
      </c>
      <c r="B143">
        <v>5500</v>
      </c>
    </row>
    <row r="144" spans="1:2">
      <c r="A144">
        <v>61313</v>
      </c>
      <c r="B144">
        <v>8300</v>
      </c>
    </row>
    <row r="145" spans="1:2">
      <c r="A145">
        <v>61314</v>
      </c>
      <c r="B145">
        <v>580</v>
      </c>
    </row>
    <row r="146" spans="1:2">
      <c r="A146">
        <v>61323</v>
      </c>
      <c r="B146">
        <v>27000</v>
      </c>
    </row>
    <row r="147" spans="1:2">
      <c r="A147">
        <v>61324</v>
      </c>
      <c r="B147">
        <v>8700</v>
      </c>
    </row>
    <row r="148" spans="1:2">
      <c r="A148">
        <v>61325</v>
      </c>
      <c r="B148">
        <v>81500</v>
      </c>
    </row>
    <row r="149" spans="1:2">
      <c r="A149">
        <v>61326</v>
      </c>
      <c r="B149">
        <v>46600</v>
      </c>
    </row>
    <row r="150" spans="1:2">
      <c r="A150">
        <v>61330</v>
      </c>
      <c r="B150">
        <v>11100</v>
      </c>
    </row>
    <row r="151" spans="1:2">
      <c r="A151">
        <v>61331</v>
      </c>
      <c r="B151">
        <v>11500</v>
      </c>
    </row>
    <row r="152" spans="1:2">
      <c r="A152">
        <v>61332</v>
      </c>
      <c r="B152">
        <v>3700</v>
      </c>
    </row>
    <row r="153" spans="1:2">
      <c r="A153">
        <v>61333</v>
      </c>
      <c r="B153">
        <v>12700</v>
      </c>
    </row>
    <row r="154" spans="1:2">
      <c r="A154">
        <v>61338</v>
      </c>
      <c r="B154">
        <v>12000</v>
      </c>
    </row>
    <row r="155" spans="1:2">
      <c r="A155">
        <v>61342</v>
      </c>
      <c r="B155">
        <v>64500</v>
      </c>
    </row>
    <row r="156" spans="1:2">
      <c r="A156">
        <v>61343</v>
      </c>
      <c r="B156">
        <v>2200</v>
      </c>
    </row>
    <row r="157" spans="1:2">
      <c r="A157">
        <v>61344</v>
      </c>
      <c r="B157">
        <v>2400</v>
      </c>
    </row>
    <row r="158" spans="1:2">
      <c r="A158">
        <v>61345</v>
      </c>
      <c r="B158">
        <v>2100</v>
      </c>
    </row>
    <row r="159" spans="1:2">
      <c r="A159">
        <v>61348</v>
      </c>
      <c r="B159">
        <v>18300</v>
      </c>
    </row>
    <row r="160" spans="1:2">
      <c r="A160">
        <v>61356</v>
      </c>
      <c r="B160">
        <v>34900</v>
      </c>
    </row>
    <row r="161" spans="1:2">
      <c r="A161">
        <v>61405</v>
      </c>
      <c r="B161">
        <v>11500</v>
      </c>
    </row>
    <row r="162" spans="1:2">
      <c r="A162">
        <v>61408</v>
      </c>
      <c r="B162">
        <v>8300</v>
      </c>
    </row>
    <row r="163" spans="1:2">
      <c r="A163">
        <v>61411</v>
      </c>
      <c r="B163">
        <v>23700</v>
      </c>
    </row>
    <row r="164" spans="1:2">
      <c r="A164">
        <v>61412</v>
      </c>
      <c r="B164">
        <v>50900</v>
      </c>
    </row>
    <row r="165" spans="1:2">
      <c r="A165">
        <v>61413</v>
      </c>
      <c r="B165">
        <v>24300</v>
      </c>
    </row>
    <row r="166" spans="1:2">
      <c r="A166">
        <v>61414</v>
      </c>
      <c r="B166">
        <v>27500</v>
      </c>
    </row>
    <row r="167" spans="1:2">
      <c r="A167">
        <v>61415</v>
      </c>
      <c r="B167">
        <v>24200</v>
      </c>
    </row>
    <row r="168" spans="1:2">
      <c r="A168">
        <v>61416</v>
      </c>
      <c r="B168">
        <v>26900</v>
      </c>
    </row>
    <row r="169" spans="1:2">
      <c r="A169">
        <v>61417</v>
      </c>
      <c r="B169">
        <v>51600</v>
      </c>
    </row>
    <row r="170" spans="1:2">
      <c r="A170">
        <v>61418</v>
      </c>
      <c r="B170">
        <v>13700</v>
      </c>
    </row>
    <row r="171" spans="1:2">
      <c r="A171">
        <v>61420</v>
      </c>
      <c r="B171">
        <v>27500</v>
      </c>
    </row>
    <row r="172" spans="1:2">
      <c r="A172">
        <v>61421</v>
      </c>
      <c r="B172">
        <v>25200</v>
      </c>
    </row>
    <row r="173" spans="1:2">
      <c r="A173">
        <v>61422</v>
      </c>
      <c r="B173">
        <v>15100</v>
      </c>
    </row>
    <row r="174" spans="1:2">
      <c r="A174">
        <v>61425</v>
      </c>
      <c r="B174">
        <v>30400</v>
      </c>
    </row>
    <row r="175" spans="1:2">
      <c r="A175">
        <v>61431</v>
      </c>
      <c r="B175">
        <v>26000</v>
      </c>
    </row>
    <row r="176" spans="1:2">
      <c r="A176">
        <v>61432</v>
      </c>
      <c r="B176">
        <v>11400</v>
      </c>
    </row>
    <row r="177" spans="1:2">
      <c r="A177">
        <v>61433</v>
      </c>
      <c r="B177">
        <v>21600</v>
      </c>
    </row>
    <row r="178" spans="1:2">
      <c r="A178">
        <v>61434</v>
      </c>
      <c r="B178">
        <v>22000</v>
      </c>
    </row>
    <row r="179" spans="1:2">
      <c r="A179">
        <v>61439</v>
      </c>
      <c r="B179">
        <v>12800</v>
      </c>
    </row>
    <row r="180" spans="1:2">
      <c r="A180">
        <v>61440</v>
      </c>
      <c r="B180">
        <v>50600</v>
      </c>
    </row>
    <row r="181" spans="1:2">
      <c r="A181">
        <v>61441</v>
      </c>
      <c r="B181">
        <v>27800</v>
      </c>
    </row>
    <row r="182" spans="1:2">
      <c r="A182">
        <v>61442</v>
      </c>
      <c r="B182">
        <v>14600</v>
      </c>
    </row>
    <row r="183" spans="1:2">
      <c r="A183">
        <v>61447</v>
      </c>
      <c r="B183">
        <v>97890</v>
      </c>
    </row>
    <row r="184" spans="1:2">
      <c r="A184">
        <v>61451</v>
      </c>
      <c r="B184">
        <v>47300</v>
      </c>
    </row>
    <row r="185" spans="1:2">
      <c r="A185">
        <v>61452</v>
      </c>
      <c r="B185">
        <v>50400</v>
      </c>
    </row>
    <row r="186" spans="1:2">
      <c r="A186">
        <v>61453</v>
      </c>
      <c r="B186">
        <v>25400</v>
      </c>
    </row>
    <row r="187" spans="1:2">
      <c r="A187">
        <v>61455</v>
      </c>
      <c r="B187">
        <v>23000</v>
      </c>
    </row>
    <row r="188" spans="1:2">
      <c r="A188">
        <v>61456</v>
      </c>
      <c r="B188">
        <v>22500</v>
      </c>
    </row>
    <row r="189" spans="1:2">
      <c r="A189">
        <v>61457</v>
      </c>
      <c r="B189">
        <v>60300</v>
      </c>
    </row>
    <row r="190" spans="1:2">
      <c r="A190">
        <v>61501</v>
      </c>
      <c r="B190">
        <v>2500</v>
      </c>
    </row>
    <row r="191" spans="1:2">
      <c r="A191">
        <v>61509</v>
      </c>
      <c r="B191">
        <v>35000</v>
      </c>
    </row>
    <row r="192" spans="1:2">
      <c r="A192">
        <v>61510</v>
      </c>
      <c r="B192">
        <v>11800</v>
      </c>
    </row>
    <row r="193" spans="1:2">
      <c r="A193">
        <v>61511</v>
      </c>
      <c r="B193">
        <v>14500</v>
      </c>
    </row>
    <row r="194" spans="1:2">
      <c r="A194">
        <v>61514</v>
      </c>
      <c r="B194">
        <v>35200</v>
      </c>
    </row>
    <row r="195" spans="1:2">
      <c r="A195">
        <v>61524</v>
      </c>
      <c r="B195">
        <v>26500</v>
      </c>
    </row>
    <row r="196" spans="1:2">
      <c r="A196">
        <v>61528</v>
      </c>
      <c r="B196">
        <v>10800</v>
      </c>
    </row>
    <row r="197" spans="1:2">
      <c r="A197">
        <v>61529</v>
      </c>
      <c r="B197">
        <v>15100</v>
      </c>
    </row>
    <row r="198" spans="1:2">
      <c r="A198">
        <v>61532</v>
      </c>
      <c r="B198">
        <v>26200</v>
      </c>
    </row>
    <row r="199" spans="1:2">
      <c r="A199">
        <v>61534</v>
      </c>
      <c r="B199">
        <v>23100</v>
      </c>
    </row>
    <row r="200" spans="1:2">
      <c r="A200">
        <v>61535</v>
      </c>
      <c r="B200">
        <v>23300</v>
      </c>
    </row>
    <row r="201" spans="1:2">
      <c r="A201">
        <v>61551</v>
      </c>
      <c r="B201">
        <v>1100</v>
      </c>
    </row>
    <row r="202" spans="1:2">
      <c r="A202">
        <v>61552</v>
      </c>
      <c r="B202">
        <v>4200</v>
      </c>
    </row>
    <row r="203" spans="1:2">
      <c r="A203">
        <v>61561</v>
      </c>
      <c r="B203">
        <v>4400</v>
      </c>
    </row>
    <row r="204" spans="1:2">
      <c r="A204">
        <v>61562</v>
      </c>
      <c r="B204">
        <v>8900</v>
      </c>
    </row>
    <row r="205" spans="1:2">
      <c r="A205">
        <v>61570</v>
      </c>
      <c r="B205">
        <v>4600</v>
      </c>
    </row>
    <row r="206" spans="1:2">
      <c r="A206">
        <v>61571</v>
      </c>
      <c r="B206">
        <v>16800</v>
      </c>
    </row>
    <row r="207" spans="1:2">
      <c r="A207">
        <v>61575</v>
      </c>
      <c r="B207">
        <v>39200</v>
      </c>
    </row>
    <row r="208" spans="1:2">
      <c r="A208">
        <v>61580</v>
      </c>
      <c r="B208">
        <v>10500</v>
      </c>
    </row>
    <row r="209" spans="1:2">
      <c r="A209">
        <v>61601</v>
      </c>
      <c r="B209">
        <v>25500</v>
      </c>
    </row>
    <row r="210" spans="1:2">
      <c r="A210">
        <v>61602</v>
      </c>
      <c r="B210">
        <v>11600</v>
      </c>
    </row>
    <row r="211" spans="1:2">
      <c r="A211">
        <v>61656</v>
      </c>
      <c r="B211">
        <v>21500</v>
      </c>
    </row>
    <row r="212" spans="1:2">
      <c r="A212">
        <v>61771</v>
      </c>
      <c r="B212">
        <v>22700</v>
      </c>
    </row>
    <row r="213" spans="1:2">
      <c r="A213">
        <v>61877</v>
      </c>
      <c r="B213">
        <v>47700</v>
      </c>
    </row>
    <row r="214" spans="1:2">
      <c r="A214">
        <v>61892</v>
      </c>
      <c r="B214">
        <v>116000</v>
      </c>
    </row>
    <row r="215" spans="1:2">
      <c r="A215">
        <v>61900</v>
      </c>
      <c r="B215">
        <v>15800</v>
      </c>
    </row>
    <row r="216" spans="1:2">
      <c r="A216">
        <v>61974</v>
      </c>
      <c r="B216">
        <v>2800</v>
      </c>
    </row>
    <row r="217" spans="1:2">
      <c r="A217">
        <v>61980</v>
      </c>
      <c r="B217">
        <v>2400</v>
      </c>
    </row>
    <row r="218" spans="1:2">
      <c r="A218">
        <v>61981</v>
      </c>
      <c r="B218">
        <v>2500</v>
      </c>
    </row>
    <row r="219" spans="1:2">
      <c r="A219">
        <v>61982</v>
      </c>
      <c r="B219">
        <v>2500</v>
      </c>
    </row>
    <row r="220" spans="1:2">
      <c r="A220">
        <v>62000</v>
      </c>
      <c r="B220">
        <v>8500</v>
      </c>
    </row>
    <row r="221" spans="1:2">
      <c r="A221">
        <v>62015</v>
      </c>
      <c r="B221">
        <v>55300</v>
      </c>
    </row>
    <row r="222" spans="1:2">
      <c r="A222">
        <v>62038</v>
      </c>
      <c r="B222">
        <v>552000</v>
      </c>
    </row>
    <row r="223" spans="1:2">
      <c r="A223">
        <v>62048</v>
      </c>
      <c r="B223">
        <v>194500</v>
      </c>
    </row>
    <row r="224" spans="1:2">
      <c r="A224">
        <v>62100</v>
      </c>
      <c r="B224">
        <v>14800</v>
      </c>
    </row>
    <row r="225" spans="1:2">
      <c r="A225">
        <v>62128</v>
      </c>
      <c r="B225">
        <v>45900</v>
      </c>
    </row>
    <row r="226" spans="1:2">
      <c r="A226">
        <v>62268</v>
      </c>
      <c r="B226">
        <v>146200</v>
      </c>
    </row>
    <row r="227" spans="1:2">
      <c r="A227">
        <v>62270</v>
      </c>
      <c r="B227">
        <v>29900</v>
      </c>
    </row>
    <row r="228" spans="1:2">
      <c r="A228">
        <v>62271</v>
      </c>
      <c r="B228">
        <v>60000</v>
      </c>
    </row>
    <row r="229" spans="1:2">
      <c r="A229">
        <v>62273</v>
      </c>
      <c r="B229">
        <v>2500</v>
      </c>
    </row>
    <row r="230" spans="1:2">
      <c r="A230">
        <v>62274</v>
      </c>
      <c r="B230">
        <v>96600</v>
      </c>
    </row>
    <row r="231" spans="1:2">
      <c r="A231">
        <v>62275</v>
      </c>
      <c r="B231">
        <v>44800</v>
      </c>
    </row>
    <row r="232" spans="1:2">
      <c r="A232">
        <v>62276</v>
      </c>
      <c r="B232">
        <v>45000</v>
      </c>
    </row>
    <row r="233" spans="1:2">
      <c r="A233">
        <v>62277</v>
      </c>
      <c r="B233">
        <v>66900</v>
      </c>
    </row>
    <row r="234" spans="1:2">
      <c r="A234">
        <v>62284</v>
      </c>
      <c r="B234">
        <v>15000</v>
      </c>
    </row>
    <row r="235" spans="1:2">
      <c r="A235">
        <v>62286</v>
      </c>
      <c r="B235">
        <v>22600</v>
      </c>
    </row>
    <row r="236" spans="1:2">
      <c r="A236">
        <v>62287</v>
      </c>
      <c r="B236">
        <v>28300</v>
      </c>
    </row>
    <row r="237" spans="1:2">
      <c r="A237">
        <v>62288</v>
      </c>
      <c r="B237">
        <v>23000</v>
      </c>
    </row>
    <row r="238" spans="1:2">
      <c r="A238">
        <v>62292</v>
      </c>
      <c r="B238">
        <v>0</v>
      </c>
    </row>
    <row r="239" spans="1:2">
      <c r="A239">
        <v>62293</v>
      </c>
      <c r="B239">
        <v>15300</v>
      </c>
    </row>
    <row r="240" spans="1:2">
      <c r="A240">
        <v>62295</v>
      </c>
      <c r="B240">
        <v>148400</v>
      </c>
    </row>
    <row r="241" spans="1:2">
      <c r="A241">
        <v>62297</v>
      </c>
      <c r="B241">
        <v>30000</v>
      </c>
    </row>
    <row r="242" spans="1:2">
      <c r="A242">
        <v>62324</v>
      </c>
      <c r="B242">
        <v>24800</v>
      </c>
    </row>
    <row r="243" spans="1:2">
      <c r="A243">
        <v>62330</v>
      </c>
      <c r="B243">
        <v>26700</v>
      </c>
    </row>
    <row r="244" spans="1:2">
      <c r="A244">
        <v>62333</v>
      </c>
      <c r="B244">
        <v>133400</v>
      </c>
    </row>
    <row r="245" spans="1:2">
      <c r="A245">
        <v>62339</v>
      </c>
      <c r="B245">
        <v>29600</v>
      </c>
    </row>
    <row r="246" spans="1:2">
      <c r="A246">
        <v>62340</v>
      </c>
      <c r="B246">
        <v>26700</v>
      </c>
    </row>
    <row r="247" spans="1:2">
      <c r="A247">
        <v>62341</v>
      </c>
      <c r="B247">
        <v>26600</v>
      </c>
    </row>
    <row r="248" spans="1:2">
      <c r="A248">
        <v>62343</v>
      </c>
      <c r="B248">
        <v>78900</v>
      </c>
    </row>
    <row r="249" spans="1:2">
      <c r="A249">
        <v>62366</v>
      </c>
      <c r="B249">
        <v>26800</v>
      </c>
    </row>
    <row r="250" spans="1:2">
      <c r="A250">
        <v>62367</v>
      </c>
      <c r="B250">
        <v>100000</v>
      </c>
    </row>
    <row r="251" spans="1:2">
      <c r="A251">
        <v>62375</v>
      </c>
      <c r="B251">
        <v>56500</v>
      </c>
    </row>
    <row r="252" spans="1:2">
      <c r="A252">
        <v>62380</v>
      </c>
      <c r="B252">
        <v>60200</v>
      </c>
    </row>
    <row r="253" spans="1:2">
      <c r="A253">
        <v>62381</v>
      </c>
      <c r="B253">
        <v>60300</v>
      </c>
    </row>
    <row r="254" spans="1:2">
      <c r="A254">
        <v>62383</v>
      </c>
      <c r="B254">
        <v>120900</v>
      </c>
    </row>
    <row r="255" spans="1:2">
      <c r="A255">
        <v>62384</v>
      </c>
      <c r="B255">
        <v>4500</v>
      </c>
    </row>
    <row r="256" spans="1:2">
      <c r="A256">
        <v>62387</v>
      </c>
      <c r="B256">
        <v>25500</v>
      </c>
    </row>
    <row r="257" spans="1:2">
      <c r="A257">
        <v>62388</v>
      </c>
      <c r="B257">
        <v>102800</v>
      </c>
    </row>
    <row r="258" spans="1:2">
      <c r="A258">
        <v>62391</v>
      </c>
      <c r="B258">
        <v>25500</v>
      </c>
    </row>
    <row r="259" spans="1:2">
      <c r="A259">
        <v>62392</v>
      </c>
      <c r="B259">
        <v>203800</v>
      </c>
    </row>
    <row r="260" spans="1:2">
      <c r="A260">
        <v>62393</v>
      </c>
      <c r="B260">
        <v>51000</v>
      </c>
    </row>
    <row r="261" spans="1:2">
      <c r="A261">
        <v>62394</v>
      </c>
      <c r="B261">
        <v>25900</v>
      </c>
    </row>
    <row r="262" spans="1:2">
      <c r="A262">
        <v>62396</v>
      </c>
      <c r="B262">
        <v>25700</v>
      </c>
    </row>
    <row r="263" spans="1:2">
      <c r="A263">
        <v>62397</v>
      </c>
      <c r="B263">
        <v>51000</v>
      </c>
    </row>
    <row r="264" spans="1:2">
      <c r="A264">
        <v>62398</v>
      </c>
      <c r="B264">
        <v>76800</v>
      </c>
    </row>
    <row r="265" spans="1:2">
      <c r="A265">
        <v>62438</v>
      </c>
      <c r="B265">
        <v>30600</v>
      </c>
    </row>
    <row r="266" spans="1:2">
      <c r="A266">
        <v>62537</v>
      </c>
      <c r="B266">
        <v>3500</v>
      </c>
    </row>
    <row r="267" spans="1:2">
      <c r="A267">
        <v>62540</v>
      </c>
      <c r="B267">
        <v>150400</v>
      </c>
    </row>
    <row r="268" spans="1:2">
      <c r="A268">
        <v>62541</v>
      </c>
      <c r="B268">
        <v>150400</v>
      </c>
    </row>
    <row r="269" spans="1:2">
      <c r="A269">
        <v>62581</v>
      </c>
      <c r="B269">
        <v>7500</v>
      </c>
    </row>
    <row r="270" spans="1:2">
      <c r="A270">
        <v>62633</v>
      </c>
      <c r="B270">
        <v>20200</v>
      </c>
    </row>
    <row r="271" spans="1:2">
      <c r="A271">
        <v>62635</v>
      </c>
      <c r="B271">
        <v>25140</v>
      </c>
    </row>
    <row r="272" spans="1:2">
      <c r="A272">
        <v>62636</v>
      </c>
      <c r="B272">
        <v>9600</v>
      </c>
    </row>
    <row r="273" spans="1:2">
      <c r="A273">
        <v>62638</v>
      </c>
      <c r="B273">
        <v>13500</v>
      </c>
    </row>
    <row r="274" spans="1:2">
      <c r="A274">
        <v>62639</v>
      </c>
      <c r="B274">
        <v>11800</v>
      </c>
    </row>
    <row r="275" spans="1:2">
      <c r="A275">
        <v>62641</v>
      </c>
      <c r="B275">
        <v>11600</v>
      </c>
    </row>
    <row r="276" spans="1:2">
      <c r="A276">
        <v>62642</v>
      </c>
      <c r="B276">
        <v>11600</v>
      </c>
    </row>
    <row r="277" spans="1:2">
      <c r="A277">
        <v>62644</v>
      </c>
      <c r="B277">
        <v>11300</v>
      </c>
    </row>
    <row r="278" spans="1:2">
      <c r="A278">
        <v>62645</v>
      </c>
      <c r="B278">
        <v>11700</v>
      </c>
    </row>
    <row r="279" spans="1:2">
      <c r="A279">
        <v>62650</v>
      </c>
      <c r="B279">
        <v>107400</v>
      </c>
    </row>
    <row r="280" spans="1:2">
      <c r="A280">
        <v>62655</v>
      </c>
      <c r="B280">
        <v>9500</v>
      </c>
    </row>
    <row r="281" spans="1:2">
      <c r="A281">
        <v>62660</v>
      </c>
      <c r="B281">
        <v>22200</v>
      </c>
    </row>
    <row r="282" spans="1:2">
      <c r="A282">
        <v>62662</v>
      </c>
      <c r="B282">
        <v>18700</v>
      </c>
    </row>
    <row r="283" spans="1:2">
      <c r="A283">
        <v>62666</v>
      </c>
      <c r="B283">
        <v>30400</v>
      </c>
    </row>
    <row r="284" spans="1:2">
      <c r="A284">
        <v>62670</v>
      </c>
      <c r="B284">
        <v>26000</v>
      </c>
    </row>
    <row r="285" spans="1:2">
      <c r="A285">
        <v>62673</v>
      </c>
      <c r="B285">
        <v>6700</v>
      </c>
    </row>
    <row r="286" spans="1:2">
      <c r="A286">
        <v>62675</v>
      </c>
      <c r="B286">
        <v>23500</v>
      </c>
    </row>
    <row r="287" spans="1:2">
      <c r="A287">
        <v>62676</v>
      </c>
      <c r="B287">
        <v>32600</v>
      </c>
    </row>
    <row r="288" spans="1:2">
      <c r="A288">
        <v>62678</v>
      </c>
      <c r="B288">
        <v>36000</v>
      </c>
    </row>
    <row r="289" spans="1:2">
      <c r="A289">
        <v>62679</v>
      </c>
      <c r="B289">
        <v>36100</v>
      </c>
    </row>
    <row r="290" spans="1:2">
      <c r="A290">
        <v>62680</v>
      </c>
      <c r="B290">
        <v>34800</v>
      </c>
    </row>
    <row r="291" spans="1:2">
      <c r="A291">
        <v>62682</v>
      </c>
      <c r="B291">
        <v>40100</v>
      </c>
    </row>
    <row r="292" spans="1:2">
      <c r="A292">
        <v>62711</v>
      </c>
      <c r="B292">
        <v>18200</v>
      </c>
    </row>
    <row r="293" spans="1:2">
      <c r="A293">
        <v>62749</v>
      </c>
      <c r="B293">
        <v>42100</v>
      </c>
    </row>
    <row r="294" spans="1:2">
      <c r="A294">
        <v>62764</v>
      </c>
      <c r="B294">
        <v>74700</v>
      </c>
    </row>
    <row r="295" spans="1:2">
      <c r="A295">
        <v>62777</v>
      </c>
      <c r="B295">
        <v>71400</v>
      </c>
    </row>
    <row r="296" spans="1:2">
      <c r="A296">
        <v>62790</v>
      </c>
      <c r="B296">
        <v>6700</v>
      </c>
    </row>
    <row r="297" spans="1:2">
      <c r="A297">
        <v>62791</v>
      </c>
      <c r="B297">
        <v>4500</v>
      </c>
    </row>
    <row r="298" spans="1:2">
      <c r="A298">
        <v>62794</v>
      </c>
      <c r="B298">
        <v>8700</v>
      </c>
    </row>
    <row r="299" spans="1:2">
      <c r="A299">
        <v>62795</v>
      </c>
      <c r="B299">
        <v>8800</v>
      </c>
    </row>
    <row r="300" spans="1:2">
      <c r="A300">
        <v>62796</v>
      </c>
      <c r="B300">
        <v>8800</v>
      </c>
    </row>
    <row r="301" spans="1:2">
      <c r="A301">
        <v>62800</v>
      </c>
      <c r="B301">
        <v>6400</v>
      </c>
    </row>
    <row r="302" spans="1:2">
      <c r="A302">
        <v>62821</v>
      </c>
      <c r="B302">
        <v>5100</v>
      </c>
    </row>
    <row r="303" spans="1:2">
      <c r="A303">
        <v>62823</v>
      </c>
      <c r="B303">
        <v>17500</v>
      </c>
    </row>
    <row r="304" spans="1:2">
      <c r="A304">
        <v>62824</v>
      </c>
      <c r="B304">
        <v>17500</v>
      </c>
    </row>
    <row r="305" spans="1:2">
      <c r="A305">
        <v>62826</v>
      </c>
      <c r="B305">
        <v>5200</v>
      </c>
    </row>
    <row r="306" spans="1:2">
      <c r="A306">
        <v>62828</v>
      </c>
      <c r="B306">
        <v>5300</v>
      </c>
    </row>
    <row r="307" spans="1:2">
      <c r="A307">
        <v>62831</v>
      </c>
      <c r="B307">
        <v>13300</v>
      </c>
    </row>
    <row r="308" spans="1:2">
      <c r="A308">
        <v>62833</v>
      </c>
      <c r="B308">
        <v>7600</v>
      </c>
    </row>
    <row r="309" spans="1:2">
      <c r="A309" t="s">
        <v>1169</v>
      </c>
      <c r="B309">
        <v>126880</v>
      </c>
    </row>
    <row r="310" spans="1:2">
      <c r="A310" t="s">
        <v>1201</v>
      </c>
      <c r="B310">
        <v>156000</v>
      </c>
    </row>
    <row r="311" spans="1:2">
      <c r="A311" t="s">
        <v>1215</v>
      </c>
      <c r="B311">
        <v>116700</v>
      </c>
    </row>
    <row r="312" spans="1:2">
      <c r="A312" t="s">
        <v>1216</v>
      </c>
      <c r="B312">
        <v>1240</v>
      </c>
    </row>
    <row r="313" spans="1:2">
      <c r="A313" t="s">
        <v>1160</v>
      </c>
      <c r="B313">
        <v>10194</v>
      </c>
    </row>
    <row r="314" spans="1:2">
      <c r="A314" t="s">
        <v>1154</v>
      </c>
      <c r="B314">
        <v>6620</v>
      </c>
    </row>
    <row r="315" spans="1:2">
      <c r="A315" t="s">
        <v>1158</v>
      </c>
      <c r="B315">
        <v>17085</v>
      </c>
    </row>
    <row r="316" spans="1:2">
      <c r="A316" t="s">
        <v>1159</v>
      </c>
      <c r="B316">
        <v>5400</v>
      </c>
    </row>
    <row r="317" spans="1:2">
      <c r="A317" t="s">
        <v>1202</v>
      </c>
      <c r="B317">
        <v>7400</v>
      </c>
    </row>
    <row r="318" spans="1:2">
      <c r="A318" t="s">
        <v>1207</v>
      </c>
      <c r="B318">
        <v>3800</v>
      </c>
    </row>
    <row r="319" spans="1:2">
      <c r="A319" t="s">
        <v>1209</v>
      </c>
      <c r="B319">
        <v>102100</v>
      </c>
    </row>
    <row r="320" spans="1:2">
      <c r="A320" t="s">
        <v>1167</v>
      </c>
      <c r="B320">
        <v>9900</v>
      </c>
    </row>
    <row r="321" spans="1:2">
      <c r="A321" t="s">
        <v>1211</v>
      </c>
      <c r="B321">
        <v>42500</v>
      </c>
    </row>
    <row r="322" spans="1:2">
      <c r="A322" t="s">
        <v>1168</v>
      </c>
      <c r="B322">
        <v>50400</v>
      </c>
    </row>
    <row r="323" spans="1:2">
      <c r="A323" t="s">
        <v>1214</v>
      </c>
      <c r="B323">
        <v>52200</v>
      </c>
    </row>
    <row r="324" spans="1:2">
      <c r="A324" t="s">
        <v>1198</v>
      </c>
      <c r="B324">
        <v>31600</v>
      </c>
    </row>
    <row r="325" spans="1:2">
      <c r="A325" t="s">
        <v>1217</v>
      </c>
      <c r="B325">
        <v>5900</v>
      </c>
    </row>
    <row r="326" spans="1:2">
      <c r="A326" t="s">
        <v>1218</v>
      </c>
      <c r="B326">
        <v>6400</v>
      </c>
    </row>
    <row r="327" spans="1:2">
      <c r="A327" t="s">
        <v>1213</v>
      </c>
      <c r="B327">
        <v>15500</v>
      </c>
    </row>
    <row r="328" spans="1:2">
      <c r="A328" t="s">
        <v>1212</v>
      </c>
      <c r="B328">
        <v>24600</v>
      </c>
    </row>
    <row r="329" spans="1:2">
      <c r="A329" t="s">
        <v>1208</v>
      </c>
      <c r="B329">
        <v>105300</v>
      </c>
    </row>
    <row r="330" spans="1:2">
      <c r="A330" t="s">
        <v>1221</v>
      </c>
      <c r="B330">
        <v>29000</v>
      </c>
    </row>
    <row r="331" spans="1:2">
      <c r="A331" t="s">
        <v>1197</v>
      </c>
      <c r="B331">
        <v>23800</v>
      </c>
    </row>
    <row r="332" spans="1:2">
      <c r="A332" t="s">
        <v>1220</v>
      </c>
      <c r="B332">
        <v>33000</v>
      </c>
    </row>
    <row r="333" spans="1:2">
      <c r="A333" t="s">
        <v>1157</v>
      </c>
      <c r="B333">
        <v>36800</v>
      </c>
    </row>
    <row r="334" spans="1:2">
      <c r="A334" t="s">
        <v>1219</v>
      </c>
      <c r="B334">
        <v>22300</v>
      </c>
    </row>
    <row r="335" spans="1:2">
      <c r="A335" t="s">
        <v>1222</v>
      </c>
      <c r="B335">
        <v>64700</v>
      </c>
    </row>
    <row r="336" spans="1:2">
      <c r="A336" t="s">
        <v>1204</v>
      </c>
      <c r="B336">
        <v>96200</v>
      </c>
    </row>
    <row r="337" spans="1:2">
      <c r="A337" t="s">
        <v>1156</v>
      </c>
      <c r="B337">
        <v>17400</v>
      </c>
    </row>
    <row r="338" spans="1:2">
      <c r="A338" t="s">
        <v>1203</v>
      </c>
      <c r="B338">
        <v>22400</v>
      </c>
    </row>
    <row r="339" spans="1:2">
      <c r="A339" t="s">
        <v>1205</v>
      </c>
      <c r="B339">
        <v>17700</v>
      </c>
    </row>
    <row r="340" spans="1:2">
      <c r="A340" t="s">
        <v>1161</v>
      </c>
      <c r="B340">
        <v>9000</v>
      </c>
    </row>
    <row r="341" spans="1:2">
      <c r="A341" t="s">
        <v>1200</v>
      </c>
      <c r="B341">
        <v>25900</v>
      </c>
    </row>
    <row r="342" spans="1:2">
      <c r="A342" t="s">
        <v>1206</v>
      </c>
      <c r="B342">
        <v>79300</v>
      </c>
    </row>
    <row r="343" spans="1:2">
      <c r="A343" t="s">
        <v>1199</v>
      </c>
      <c r="B343">
        <v>134500</v>
      </c>
    </row>
    <row r="344" spans="1:2">
      <c r="A344" t="s">
        <v>1162</v>
      </c>
      <c r="B344">
        <v>110500</v>
      </c>
    </row>
    <row r="345" spans="1:2">
      <c r="A345" t="s">
        <v>1210</v>
      </c>
      <c r="B345">
        <v>28500</v>
      </c>
    </row>
    <row r="346" spans="1:2">
      <c r="A346" t="s">
        <v>1164</v>
      </c>
      <c r="B346">
        <v>18300</v>
      </c>
    </row>
    <row r="347" spans="1:2">
      <c r="A347" t="s">
        <v>1163</v>
      </c>
      <c r="B347">
        <v>67700</v>
      </c>
    </row>
    <row r="348" spans="1:2">
      <c r="A348" t="s">
        <v>1196</v>
      </c>
      <c r="B348">
        <v>102700</v>
      </c>
    </row>
    <row r="349" spans="1:2">
      <c r="A349" t="s">
        <v>1155</v>
      </c>
      <c r="B349">
        <v>10800</v>
      </c>
    </row>
    <row r="350" spans="1:2">
      <c r="A350" t="s">
        <v>1170</v>
      </c>
      <c r="B350">
        <v>45800</v>
      </c>
    </row>
    <row r="351" spans="1:2">
      <c r="A351" t="s">
        <v>1166</v>
      </c>
      <c r="B351">
        <v>43200</v>
      </c>
    </row>
    <row r="352" spans="1:2">
      <c r="A352" t="s">
        <v>1165</v>
      </c>
      <c r="B352">
        <v>24600</v>
      </c>
    </row>
    <row r="353" spans="1:2">
      <c r="A353" t="s">
        <v>997</v>
      </c>
      <c r="B353">
        <v>11865069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F672-E0FA-4B20-83A6-F8EF61C53D59}">
  <sheetPr codeName="Sheet8"/>
  <dimension ref="A3:B401"/>
  <sheetViews>
    <sheetView topLeftCell="A401" workbookViewId="0">
      <selection activeCell="A401" sqref="A401"/>
    </sheetView>
  </sheetViews>
  <sheetFormatPr defaultRowHeight="15"/>
  <cols>
    <col min="1" max="1" width="30.140625" bestFit="1" customWidth="1"/>
    <col min="2" max="2" width="9.5703125" bestFit="1" customWidth="1"/>
  </cols>
  <sheetData>
    <row r="3" spans="1:2">
      <c r="A3" s="281" t="s">
        <v>990</v>
      </c>
      <c r="B3" t="s">
        <v>991</v>
      </c>
    </row>
    <row r="4" spans="1:2">
      <c r="A4" s="142">
        <v>49254</v>
      </c>
      <c r="B4">
        <v>8300</v>
      </c>
    </row>
    <row r="5" spans="1:2">
      <c r="A5" s="142">
        <v>49255</v>
      </c>
      <c r="B5">
        <v>24500</v>
      </c>
    </row>
    <row r="6" spans="1:2">
      <c r="A6" s="142">
        <v>51268</v>
      </c>
      <c r="B6">
        <v>11600</v>
      </c>
    </row>
    <row r="7" spans="1:2">
      <c r="A7" s="142">
        <v>51580</v>
      </c>
      <c r="B7">
        <v>12340</v>
      </c>
    </row>
    <row r="8" spans="1:2">
      <c r="A8" s="142">
        <v>51968</v>
      </c>
      <c r="B8">
        <v>1000</v>
      </c>
    </row>
    <row r="9" spans="1:2">
      <c r="A9" s="142">
        <v>51970</v>
      </c>
      <c r="B9">
        <v>1500</v>
      </c>
    </row>
    <row r="10" spans="1:2">
      <c r="A10" s="142">
        <v>51974</v>
      </c>
      <c r="B10">
        <v>700</v>
      </c>
    </row>
    <row r="11" spans="1:2">
      <c r="A11" s="142">
        <v>51976</v>
      </c>
      <c r="B11">
        <v>1400</v>
      </c>
    </row>
    <row r="12" spans="1:2">
      <c r="A12" s="142">
        <v>51978</v>
      </c>
      <c r="B12">
        <v>1400</v>
      </c>
    </row>
    <row r="13" spans="1:2">
      <c r="A13" s="142">
        <v>51979</v>
      </c>
      <c r="B13">
        <v>2000</v>
      </c>
    </row>
    <row r="14" spans="1:2">
      <c r="A14" s="142">
        <v>51981</v>
      </c>
      <c r="B14">
        <v>2400</v>
      </c>
    </row>
    <row r="15" spans="1:2">
      <c r="A15" s="142">
        <v>51982</v>
      </c>
      <c r="B15">
        <v>700</v>
      </c>
    </row>
    <row r="16" spans="1:2">
      <c r="A16" s="142">
        <v>51983</v>
      </c>
      <c r="B16">
        <v>1300</v>
      </c>
    </row>
    <row r="17" spans="1:2">
      <c r="A17" s="142">
        <v>53809</v>
      </c>
      <c r="B17">
        <v>556000</v>
      </c>
    </row>
    <row r="18" spans="1:2">
      <c r="A18" s="142">
        <v>53925</v>
      </c>
      <c r="B18">
        <v>10900</v>
      </c>
    </row>
    <row r="19" spans="1:2">
      <c r="A19" s="142">
        <v>53926</v>
      </c>
      <c r="B19">
        <v>10200</v>
      </c>
    </row>
    <row r="20" spans="1:2">
      <c r="A20" s="142">
        <v>54596</v>
      </c>
      <c r="B20">
        <v>59500</v>
      </c>
    </row>
    <row r="21" spans="1:2">
      <c r="A21" s="142">
        <v>55896</v>
      </c>
      <c r="B21">
        <v>29900</v>
      </c>
    </row>
    <row r="22" spans="1:2">
      <c r="A22" s="142">
        <v>55897</v>
      </c>
      <c r="B22">
        <v>30000</v>
      </c>
    </row>
    <row r="23" spans="1:2">
      <c r="A23" s="142">
        <v>55898</v>
      </c>
      <c r="B23">
        <v>30100</v>
      </c>
    </row>
    <row r="24" spans="1:2">
      <c r="A24" s="142">
        <v>55899</v>
      </c>
      <c r="B24">
        <v>15500</v>
      </c>
    </row>
    <row r="25" spans="1:2">
      <c r="A25" s="142">
        <v>55940</v>
      </c>
      <c r="B25">
        <v>55200</v>
      </c>
    </row>
    <row r="26" spans="1:2">
      <c r="A26" s="142">
        <v>55985</v>
      </c>
      <c r="B26">
        <v>13000</v>
      </c>
    </row>
    <row r="27" spans="1:2">
      <c r="A27" s="142">
        <v>55986</v>
      </c>
      <c r="B27">
        <v>11100</v>
      </c>
    </row>
    <row r="28" spans="1:2">
      <c r="A28" s="142">
        <v>55989</v>
      </c>
      <c r="B28">
        <v>60700</v>
      </c>
    </row>
    <row r="29" spans="1:2">
      <c r="A29" s="142">
        <v>55999</v>
      </c>
      <c r="B29">
        <v>8000</v>
      </c>
    </row>
    <row r="30" spans="1:2">
      <c r="A30" s="142">
        <v>56101</v>
      </c>
      <c r="B30">
        <v>64400</v>
      </c>
    </row>
    <row r="31" spans="1:2">
      <c r="A31" s="142">
        <v>56123</v>
      </c>
      <c r="B31">
        <v>45500</v>
      </c>
    </row>
    <row r="32" spans="1:2">
      <c r="A32" s="142">
        <v>56124</v>
      </c>
      <c r="B32">
        <v>45300</v>
      </c>
    </row>
    <row r="33" spans="1:2">
      <c r="A33" s="142">
        <v>56130</v>
      </c>
      <c r="B33">
        <v>12500</v>
      </c>
    </row>
    <row r="34" spans="1:2">
      <c r="A34" s="142">
        <v>56132</v>
      </c>
      <c r="B34">
        <v>12100</v>
      </c>
    </row>
    <row r="35" spans="1:2">
      <c r="A35" s="142">
        <v>56133</v>
      </c>
      <c r="B35">
        <v>13700</v>
      </c>
    </row>
    <row r="36" spans="1:2">
      <c r="A36" s="142">
        <v>56147</v>
      </c>
      <c r="B36">
        <v>9500</v>
      </c>
    </row>
    <row r="37" spans="1:2">
      <c r="A37" s="142">
        <v>56148</v>
      </c>
      <c r="B37">
        <v>9500</v>
      </c>
    </row>
    <row r="38" spans="1:2">
      <c r="A38" s="142">
        <v>56149</v>
      </c>
      <c r="B38">
        <v>18800</v>
      </c>
    </row>
    <row r="39" spans="1:2">
      <c r="A39" s="142">
        <v>56153</v>
      </c>
      <c r="B39">
        <v>15500</v>
      </c>
    </row>
    <row r="40" spans="1:2">
      <c r="A40" s="142">
        <v>56155</v>
      </c>
      <c r="B40">
        <v>84200</v>
      </c>
    </row>
    <row r="41" spans="1:2">
      <c r="A41" s="142">
        <v>56156</v>
      </c>
      <c r="B41">
        <v>84300</v>
      </c>
    </row>
    <row r="42" spans="1:2">
      <c r="A42" s="142">
        <v>56170</v>
      </c>
      <c r="B42">
        <v>70400</v>
      </c>
    </row>
    <row r="43" spans="1:2">
      <c r="A43" s="142">
        <v>56171</v>
      </c>
      <c r="B43">
        <v>68600</v>
      </c>
    </row>
    <row r="44" spans="1:2">
      <c r="A44" s="142">
        <v>56183</v>
      </c>
      <c r="B44">
        <v>34200</v>
      </c>
    </row>
    <row r="45" spans="1:2">
      <c r="A45" s="142">
        <v>56184</v>
      </c>
      <c r="B45">
        <v>30500</v>
      </c>
    </row>
    <row r="46" spans="1:2">
      <c r="A46" s="142">
        <v>56185</v>
      </c>
      <c r="B46">
        <v>30600</v>
      </c>
    </row>
    <row r="47" spans="1:2">
      <c r="A47" s="142">
        <v>56224</v>
      </c>
      <c r="B47">
        <v>22900</v>
      </c>
    </row>
    <row r="48" spans="1:2">
      <c r="A48" s="142">
        <v>56226</v>
      </c>
      <c r="B48">
        <v>22600</v>
      </c>
    </row>
    <row r="49" spans="1:2">
      <c r="A49" s="142">
        <v>56227</v>
      </c>
      <c r="B49">
        <v>22800</v>
      </c>
    </row>
    <row r="50" spans="1:2">
      <c r="A50" s="142">
        <v>56276</v>
      </c>
      <c r="B50">
        <v>61100</v>
      </c>
    </row>
    <row r="51" spans="1:2">
      <c r="A51" s="142">
        <v>56280</v>
      </c>
      <c r="B51">
        <v>31000</v>
      </c>
    </row>
    <row r="52" spans="1:2">
      <c r="A52" s="142">
        <v>56284</v>
      </c>
      <c r="B52">
        <v>39400</v>
      </c>
    </row>
    <row r="53" spans="1:2">
      <c r="A53" s="142">
        <v>56286</v>
      </c>
      <c r="B53">
        <v>11000</v>
      </c>
    </row>
    <row r="54" spans="1:2">
      <c r="A54" s="142">
        <v>56287</v>
      </c>
      <c r="B54">
        <v>10700</v>
      </c>
    </row>
    <row r="55" spans="1:2">
      <c r="A55" s="142">
        <v>56288</v>
      </c>
      <c r="B55">
        <v>10600</v>
      </c>
    </row>
    <row r="56" spans="1:2">
      <c r="A56" s="142">
        <v>56290</v>
      </c>
      <c r="B56">
        <v>500</v>
      </c>
    </row>
    <row r="57" spans="1:2">
      <c r="A57" s="142">
        <v>56306</v>
      </c>
      <c r="B57">
        <v>25200</v>
      </c>
    </row>
    <row r="58" spans="1:2">
      <c r="A58" s="142">
        <v>56309</v>
      </c>
      <c r="B58">
        <v>5100</v>
      </c>
    </row>
    <row r="59" spans="1:2">
      <c r="A59" s="142">
        <v>56313</v>
      </c>
      <c r="B59">
        <v>13900</v>
      </c>
    </row>
    <row r="60" spans="1:2">
      <c r="A60" s="142">
        <v>56319</v>
      </c>
      <c r="B60">
        <v>25600</v>
      </c>
    </row>
    <row r="61" spans="1:2">
      <c r="A61" s="142">
        <v>56321</v>
      </c>
      <c r="B61">
        <v>3900</v>
      </c>
    </row>
    <row r="62" spans="1:2">
      <c r="A62" s="142">
        <v>56322</v>
      </c>
      <c r="B62">
        <v>3900</v>
      </c>
    </row>
    <row r="63" spans="1:2">
      <c r="A63" s="142">
        <v>56323</v>
      </c>
      <c r="B63">
        <v>18700</v>
      </c>
    </row>
    <row r="64" spans="1:2">
      <c r="A64" s="142">
        <v>56325</v>
      </c>
      <c r="B64">
        <v>13400</v>
      </c>
    </row>
    <row r="65" spans="1:2">
      <c r="A65" s="142">
        <v>56326</v>
      </c>
      <c r="B65">
        <v>6600</v>
      </c>
    </row>
    <row r="66" spans="1:2">
      <c r="A66" s="142">
        <v>56327</v>
      </c>
      <c r="B66">
        <v>3900</v>
      </c>
    </row>
    <row r="67" spans="1:2">
      <c r="A67" s="142">
        <v>56328</v>
      </c>
      <c r="B67">
        <v>4000</v>
      </c>
    </row>
    <row r="68" spans="1:2">
      <c r="A68" s="142">
        <v>56329</v>
      </c>
      <c r="B68">
        <v>17100</v>
      </c>
    </row>
    <row r="69" spans="1:2">
      <c r="A69" s="142">
        <v>56330</v>
      </c>
      <c r="B69">
        <v>15800</v>
      </c>
    </row>
    <row r="70" spans="1:2">
      <c r="A70" s="142">
        <v>56332</v>
      </c>
      <c r="B70">
        <v>26100</v>
      </c>
    </row>
    <row r="71" spans="1:2">
      <c r="A71" s="142">
        <v>56333</v>
      </c>
      <c r="B71">
        <v>142700</v>
      </c>
    </row>
    <row r="72" spans="1:2">
      <c r="A72" s="142">
        <v>56336</v>
      </c>
      <c r="B72">
        <v>21100</v>
      </c>
    </row>
    <row r="73" spans="1:2">
      <c r="A73" s="142">
        <v>56337</v>
      </c>
      <c r="B73">
        <v>23600</v>
      </c>
    </row>
    <row r="74" spans="1:2">
      <c r="A74" s="142">
        <v>56338</v>
      </c>
      <c r="B74">
        <v>23600</v>
      </c>
    </row>
    <row r="75" spans="1:2">
      <c r="A75" s="142">
        <v>56340</v>
      </c>
      <c r="B75">
        <v>82000</v>
      </c>
    </row>
    <row r="76" spans="1:2">
      <c r="A76" s="142">
        <v>56341</v>
      </c>
      <c r="B76">
        <v>25400</v>
      </c>
    </row>
    <row r="77" spans="1:2">
      <c r="A77" s="142">
        <v>56343</v>
      </c>
      <c r="B77">
        <v>10100</v>
      </c>
    </row>
    <row r="78" spans="1:2">
      <c r="A78" s="142">
        <v>56344</v>
      </c>
      <c r="B78">
        <v>57100</v>
      </c>
    </row>
    <row r="79" spans="1:2">
      <c r="A79" s="142">
        <v>56346</v>
      </c>
      <c r="B79">
        <v>27500</v>
      </c>
    </row>
    <row r="80" spans="1:2">
      <c r="A80" s="142">
        <v>56482</v>
      </c>
      <c r="B80">
        <v>7600</v>
      </c>
    </row>
    <row r="81" spans="1:2">
      <c r="A81" s="142">
        <v>56485</v>
      </c>
      <c r="B81">
        <v>23100</v>
      </c>
    </row>
    <row r="82" spans="1:2">
      <c r="A82" s="142">
        <v>56595</v>
      </c>
      <c r="B82">
        <v>65000</v>
      </c>
    </row>
    <row r="83" spans="1:2">
      <c r="A83" s="142">
        <v>56715</v>
      </c>
      <c r="B83">
        <v>69100</v>
      </c>
    </row>
    <row r="84" spans="1:2">
      <c r="A84" s="142">
        <v>56716</v>
      </c>
      <c r="B84">
        <v>18200</v>
      </c>
    </row>
    <row r="85" spans="1:2">
      <c r="A85" s="142">
        <v>56816</v>
      </c>
      <c r="B85">
        <v>33600</v>
      </c>
    </row>
    <row r="86" spans="1:2">
      <c r="A86" s="142">
        <v>56939</v>
      </c>
      <c r="B86">
        <v>35100</v>
      </c>
    </row>
    <row r="87" spans="1:2">
      <c r="A87" s="142">
        <v>56940</v>
      </c>
      <c r="B87">
        <v>34800</v>
      </c>
    </row>
    <row r="88" spans="1:2">
      <c r="A88" s="142">
        <v>56941</v>
      </c>
      <c r="B88">
        <v>35000</v>
      </c>
    </row>
    <row r="89" spans="1:2">
      <c r="A89" s="142">
        <v>56942</v>
      </c>
      <c r="B89">
        <v>46700</v>
      </c>
    </row>
    <row r="90" spans="1:2">
      <c r="A90" s="142">
        <v>56943</v>
      </c>
      <c r="B90">
        <v>46800</v>
      </c>
    </row>
    <row r="91" spans="1:2">
      <c r="A91" s="142">
        <v>56981</v>
      </c>
      <c r="B91">
        <v>5100</v>
      </c>
    </row>
    <row r="92" spans="1:2">
      <c r="A92" s="142">
        <v>56982</v>
      </c>
      <c r="B92">
        <v>4600</v>
      </c>
    </row>
    <row r="93" spans="1:2">
      <c r="A93" s="142">
        <v>56986</v>
      </c>
      <c r="B93">
        <v>5000</v>
      </c>
    </row>
    <row r="94" spans="1:2">
      <c r="A94" s="142">
        <v>56992</v>
      </c>
      <c r="B94">
        <v>10600</v>
      </c>
    </row>
    <row r="95" spans="1:2">
      <c r="A95" s="142">
        <v>56998</v>
      </c>
      <c r="B95">
        <v>11600</v>
      </c>
    </row>
    <row r="96" spans="1:2">
      <c r="A96" s="142">
        <v>57000</v>
      </c>
      <c r="B96">
        <v>23300</v>
      </c>
    </row>
    <row r="97" spans="1:2">
      <c r="A97" s="142">
        <v>57001</v>
      </c>
      <c r="B97">
        <v>49600</v>
      </c>
    </row>
    <row r="98" spans="1:2">
      <c r="A98" s="142">
        <v>57006</v>
      </c>
      <c r="B98">
        <v>91600</v>
      </c>
    </row>
    <row r="99" spans="1:2">
      <c r="A99" s="142">
        <v>57008</v>
      </c>
      <c r="B99">
        <v>43700</v>
      </c>
    </row>
    <row r="100" spans="1:2">
      <c r="A100" s="142">
        <v>57014</v>
      </c>
      <c r="B100">
        <v>2500</v>
      </c>
    </row>
    <row r="101" spans="1:2">
      <c r="A101" s="142">
        <v>57016</v>
      </c>
      <c r="B101">
        <v>25500</v>
      </c>
    </row>
    <row r="102" spans="1:2">
      <c r="A102" s="142">
        <v>57017</v>
      </c>
      <c r="B102">
        <v>2000</v>
      </c>
    </row>
    <row r="103" spans="1:2">
      <c r="A103" s="142">
        <v>57018</v>
      </c>
      <c r="B103">
        <v>23500</v>
      </c>
    </row>
    <row r="104" spans="1:2">
      <c r="A104" s="142">
        <v>57020</v>
      </c>
      <c r="B104">
        <v>47800</v>
      </c>
    </row>
    <row r="105" spans="1:2">
      <c r="A105" s="142">
        <v>57064</v>
      </c>
      <c r="B105">
        <v>45300</v>
      </c>
    </row>
    <row r="106" spans="1:2">
      <c r="A106" s="142">
        <v>57065</v>
      </c>
      <c r="B106">
        <v>45000</v>
      </c>
    </row>
    <row r="107" spans="1:2">
      <c r="A107" s="142">
        <v>57078</v>
      </c>
      <c r="B107">
        <v>25100</v>
      </c>
    </row>
    <row r="108" spans="1:2">
      <c r="A108" s="142">
        <v>57079</v>
      </c>
      <c r="B108">
        <v>8500</v>
      </c>
    </row>
    <row r="109" spans="1:2">
      <c r="A109" s="142">
        <v>57091</v>
      </c>
      <c r="B109">
        <v>22400</v>
      </c>
    </row>
    <row r="110" spans="1:2">
      <c r="A110" s="142">
        <v>57093</v>
      </c>
      <c r="B110">
        <v>6700</v>
      </c>
    </row>
    <row r="111" spans="1:2">
      <c r="A111" s="142">
        <v>57145</v>
      </c>
      <c r="B111">
        <v>12700</v>
      </c>
    </row>
    <row r="112" spans="1:2">
      <c r="A112" s="142">
        <v>57151</v>
      </c>
      <c r="B112">
        <v>20000</v>
      </c>
    </row>
    <row r="113" spans="1:2">
      <c r="A113" s="142">
        <v>57152</v>
      </c>
      <c r="B113">
        <v>9900</v>
      </c>
    </row>
    <row r="114" spans="1:2">
      <c r="A114" s="142">
        <v>57158</v>
      </c>
      <c r="B114">
        <v>33000</v>
      </c>
    </row>
    <row r="115" spans="1:2">
      <c r="A115" s="142">
        <v>57159</v>
      </c>
      <c r="B115">
        <v>10700</v>
      </c>
    </row>
    <row r="116" spans="1:2">
      <c r="A116" s="142">
        <v>57160</v>
      </c>
      <c r="B116">
        <v>21200</v>
      </c>
    </row>
    <row r="117" spans="1:2">
      <c r="A117" s="142">
        <v>57161</v>
      </c>
      <c r="B117">
        <v>10900</v>
      </c>
    </row>
    <row r="118" spans="1:2">
      <c r="A118" s="142">
        <v>57163</v>
      </c>
      <c r="B118">
        <v>11900</v>
      </c>
    </row>
    <row r="119" spans="1:2">
      <c r="A119" s="142">
        <v>57164</v>
      </c>
      <c r="B119">
        <v>20300</v>
      </c>
    </row>
    <row r="120" spans="1:2">
      <c r="A120" s="142">
        <v>57165</v>
      </c>
      <c r="B120">
        <v>10800</v>
      </c>
    </row>
    <row r="121" spans="1:2">
      <c r="A121" s="142">
        <v>57168</v>
      </c>
      <c r="B121">
        <v>300800</v>
      </c>
    </row>
    <row r="122" spans="1:2">
      <c r="A122" s="142">
        <v>57171</v>
      </c>
      <c r="B122">
        <v>85500</v>
      </c>
    </row>
    <row r="123" spans="1:2">
      <c r="A123" s="142">
        <v>57207</v>
      </c>
      <c r="B123">
        <v>2800</v>
      </c>
    </row>
    <row r="124" spans="1:2">
      <c r="A124" s="142">
        <v>57223</v>
      </c>
      <c r="B124">
        <v>108600</v>
      </c>
    </row>
    <row r="125" spans="1:2">
      <c r="A125" s="142">
        <v>57226</v>
      </c>
      <c r="B125">
        <v>25600</v>
      </c>
    </row>
    <row r="126" spans="1:2">
      <c r="A126" s="142">
        <v>57227</v>
      </c>
      <c r="B126">
        <v>25900</v>
      </c>
    </row>
    <row r="127" spans="1:2">
      <c r="A127" s="142">
        <v>57229</v>
      </c>
      <c r="B127">
        <v>26000</v>
      </c>
    </row>
    <row r="128" spans="1:2">
      <c r="A128" s="142">
        <v>57230</v>
      </c>
      <c r="B128">
        <v>43600</v>
      </c>
    </row>
    <row r="129" spans="1:2">
      <c r="A129" s="142">
        <v>57231</v>
      </c>
      <c r="B129">
        <v>25800</v>
      </c>
    </row>
    <row r="130" spans="1:2">
      <c r="A130" s="142">
        <v>57232</v>
      </c>
      <c r="B130">
        <v>25900</v>
      </c>
    </row>
    <row r="131" spans="1:2">
      <c r="A131" s="142">
        <v>57236</v>
      </c>
      <c r="B131">
        <v>16700</v>
      </c>
    </row>
    <row r="132" spans="1:2">
      <c r="A132" s="142">
        <v>57264</v>
      </c>
      <c r="B132">
        <v>64900</v>
      </c>
    </row>
    <row r="133" spans="1:2">
      <c r="A133" s="142">
        <v>57265</v>
      </c>
      <c r="B133">
        <v>5600</v>
      </c>
    </row>
    <row r="134" spans="1:2">
      <c r="A134" s="142">
        <v>57268</v>
      </c>
      <c r="B134">
        <v>500</v>
      </c>
    </row>
    <row r="135" spans="1:2">
      <c r="A135" s="142">
        <v>57295</v>
      </c>
      <c r="B135">
        <v>8000</v>
      </c>
    </row>
    <row r="136" spans="1:2">
      <c r="A136" s="142">
        <v>57310</v>
      </c>
      <c r="B136">
        <v>33500</v>
      </c>
    </row>
    <row r="137" spans="1:2">
      <c r="A137" s="142">
        <v>57311</v>
      </c>
      <c r="B137">
        <v>33200</v>
      </c>
    </row>
    <row r="138" spans="1:2">
      <c r="A138" s="142">
        <v>57312</v>
      </c>
      <c r="B138">
        <v>24000</v>
      </c>
    </row>
    <row r="139" spans="1:2">
      <c r="A139" s="142">
        <v>57320</v>
      </c>
      <c r="B139">
        <v>159500</v>
      </c>
    </row>
    <row r="140" spans="1:2">
      <c r="A140" s="142">
        <v>57321</v>
      </c>
      <c r="B140">
        <v>120100</v>
      </c>
    </row>
    <row r="141" spans="1:2">
      <c r="A141" s="142">
        <v>57322</v>
      </c>
      <c r="B141">
        <v>16800</v>
      </c>
    </row>
    <row r="142" spans="1:2">
      <c r="A142" s="142">
        <v>57329</v>
      </c>
      <c r="B142">
        <v>16600</v>
      </c>
    </row>
    <row r="143" spans="1:2">
      <c r="A143" s="142">
        <v>57589</v>
      </c>
      <c r="B143">
        <v>6700</v>
      </c>
    </row>
    <row r="144" spans="1:2">
      <c r="A144" s="142">
        <v>57590</v>
      </c>
      <c r="B144">
        <v>9200</v>
      </c>
    </row>
    <row r="145" spans="1:2">
      <c r="A145" s="142">
        <v>57695</v>
      </c>
      <c r="B145">
        <v>139300</v>
      </c>
    </row>
    <row r="146" spans="1:2">
      <c r="A146" s="142">
        <v>57735</v>
      </c>
      <c r="B146">
        <v>93750</v>
      </c>
    </row>
    <row r="147" spans="1:2">
      <c r="A147" s="142">
        <v>57738</v>
      </c>
      <c r="B147">
        <v>120300</v>
      </c>
    </row>
    <row r="148" spans="1:2">
      <c r="A148" s="142">
        <v>57739</v>
      </c>
      <c r="B148">
        <v>42200</v>
      </c>
    </row>
    <row r="149" spans="1:2">
      <c r="A149" s="142">
        <v>57740</v>
      </c>
      <c r="B149">
        <v>21700</v>
      </c>
    </row>
    <row r="150" spans="1:2">
      <c r="A150" s="142">
        <v>57741</v>
      </c>
      <c r="B150">
        <v>10800</v>
      </c>
    </row>
    <row r="151" spans="1:2">
      <c r="A151" s="142">
        <v>57742</v>
      </c>
      <c r="B151">
        <v>21300</v>
      </c>
    </row>
    <row r="152" spans="1:2">
      <c r="A152" s="142">
        <v>57743</v>
      </c>
      <c r="B152">
        <v>10500</v>
      </c>
    </row>
    <row r="153" spans="1:2">
      <c r="A153" s="142">
        <v>57744</v>
      </c>
      <c r="B153">
        <v>21500</v>
      </c>
    </row>
    <row r="154" spans="1:2">
      <c r="A154" s="142">
        <v>57745</v>
      </c>
      <c r="B154">
        <v>10200</v>
      </c>
    </row>
    <row r="155" spans="1:2">
      <c r="A155" s="142">
        <v>57746</v>
      </c>
      <c r="B155">
        <v>21500</v>
      </c>
    </row>
    <row r="156" spans="1:2">
      <c r="A156" s="142">
        <v>57747</v>
      </c>
      <c r="B156">
        <v>10700</v>
      </c>
    </row>
    <row r="157" spans="1:2">
      <c r="A157" s="142">
        <v>57750</v>
      </c>
      <c r="B157">
        <v>62000</v>
      </c>
    </row>
    <row r="158" spans="1:2">
      <c r="A158" s="142">
        <v>57751</v>
      </c>
      <c r="B158">
        <v>21800</v>
      </c>
    </row>
    <row r="159" spans="1:2">
      <c r="A159" s="142">
        <v>57753</v>
      </c>
      <c r="B159">
        <v>21500</v>
      </c>
    </row>
    <row r="160" spans="1:2">
      <c r="A160" s="142">
        <v>57882</v>
      </c>
      <c r="B160">
        <v>70400</v>
      </c>
    </row>
    <row r="161" spans="1:2">
      <c r="A161" s="142">
        <v>57883</v>
      </c>
      <c r="B161">
        <v>69100</v>
      </c>
    </row>
    <row r="162" spans="1:2">
      <c r="A162" s="142">
        <v>57886</v>
      </c>
      <c r="B162">
        <v>74900</v>
      </c>
    </row>
    <row r="163" spans="1:2">
      <c r="A163" s="142">
        <v>57892</v>
      </c>
      <c r="B163">
        <v>25000</v>
      </c>
    </row>
    <row r="164" spans="1:2">
      <c r="A164" s="142">
        <v>57898</v>
      </c>
      <c r="B164">
        <v>24000</v>
      </c>
    </row>
    <row r="165" spans="1:2">
      <c r="A165" s="142">
        <v>57899</v>
      </c>
      <c r="B165">
        <v>24200</v>
      </c>
    </row>
    <row r="166" spans="1:2">
      <c r="A166" s="142">
        <v>57907</v>
      </c>
      <c r="B166">
        <v>600</v>
      </c>
    </row>
    <row r="167" spans="1:2">
      <c r="A167" s="142">
        <v>57911</v>
      </c>
      <c r="B167">
        <v>34600</v>
      </c>
    </row>
    <row r="168" spans="1:2">
      <c r="A168" s="142">
        <v>57912</v>
      </c>
      <c r="B168">
        <v>34800</v>
      </c>
    </row>
    <row r="169" spans="1:2">
      <c r="A169" s="142">
        <v>57917</v>
      </c>
      <c r="B169">
        <v>16400</v>
      </c>
    </row>
    <row r="170" spans="1:2">
      <c r="A170" s="142">
        <v>57920</v>
      </c>
      <c r="B170">
        <v>18500</v>
      </c>
    </row>
    <row r="171" spans="1:2">
      <c r="A171" s="142">
        <v>58003</v>
      </c>
      <c r="B171">
        <v>143400</v>
      </c>
    </row>
    <row r="172" spans="1:2">
      <c r="A172" s="142">
        <v>58008</v>
      </c>
      <c r="B172">
        <v>3700</v>
      </c>
    </row>
    <row r="173" spans="1:2">
      <c r="A173" s="142">
        <v>58009</v>
      </c>
      <c r="B173">
        <v>7300</v>
      </c>
    </row>
    <row r="174" spans="1:2">
      <c r="A174" s="142">
        <v>58010</v>
      </c>
      <c r="B174">
        <v>100100</v>
      </c>
    </row>
    <row r="175" spans="1:2">
      <c r="A175" s="142">
        <v>58016</v>
      </c>
      <c r="B175">
        <v>10700</v>
      </c>
    </row>
    <row r="176" spans="1:2">
      <c r="A176" s="142">
        <v>58017</v>
      </c>
      <c r="B176">
        <v>7000</v>
      </c>
    </row>
    <row r="177" spans="1:2">
      <c r="A177" s="142">
        <v>58024</v>
      </c>
      <c r="B177">
        <v>22500</v>
      </c>
    </row>
    <row r="178" spans="1:2">
      <c r="A178" s="142">
        <v>58028</v>
      </c>
      <c r="B178">
        <v>1400</v>
      </c>
    </row>
    <row r="179" spans="1:2">
      <c r="A179" s="142">
        <v>58030</v>
      </c>
      <c r="B179">
        <v>120400</v>
      </c>
    </row>
    <row r="180" spans="1:2">
      <c r="A180" s="142">
        <v>58033</v>
      </c>
      <c r="B180">
        <v>19800</v>
      </c>
    </row>
    <row r="181" spans="1:2">
      <c r="A181" s="142">
        <v>58037</v>
      </c>
      <c r="B181">
        <v>29900</v>
      </c>
    </row>
    <row r="182" spans="1:2">
      <c r="A182" s="142">
        <v>58038</v>
      </c>
      <c r="B182">
        <v>130100</v>
      </c>
    </row>
    <row r="183" spans="1:2">
      <c r="A183" s="142">
        <v>59619</v>
      </c>
      <c r="B183">
        <v>5100</v>
      </c>
    </row>
    <row r="184" spans="1:2">
      <c r="A184" s="142">
        <v>59629</v>
      </c>
      <c r="B184">
        <v>12500</v>
      </c>
    </row>
    <row r="185" spans="1:2">
      <c r="A185" s="142">
        <v>59658</v>
      </c>
      <c r="B185">
        <v>16000</v>
      </c>
    </row>
    <row r="186" spans="1:2">
      <c r="A186" s="142">
        <v>59664</v>
      </c>
      <c r="B186">
        <v>10800</v>
      </c>
    </row>
    <row r="187" spans="1:2">
      <c r="A187" s="142">
        <v>59666</v>
      </c>
      <c r="B187">
        <v>10600</v>
      </c>
    </row>
    <row r="188" spans="1:2">
      <c r="A188" s="142">
        <v>59687</v>
      </c>
      <c r="B188">
        <v>46800</v>
      </c>
    </row>
    <row r="189" spans="1:2">
      <c r="A189" s="142">
        <v>59696</v>
      </c>
      <c r="B189">
        <v>26400</v>
      </c>
    </row>
    <row r="190" spans="1:2">
      <c r="A190" s="142">
        <v>59697</v>
      </c>
      <c r="B190">
        <v>26400</v>
      </c>
    </row>
    <row r="191" spans="1:2">
      <c r="A191" s="142">
        <v>59698</v>
      </c>
      <c r="B191">
        <v>26400</v>
      </c>
    </row>
    <row r="192" spans="1:2">
      <c r="A192" s="142">
        <v>59699</v>
      </c>
      <c r="B192">
        <v>13000</v>
      </c>
    </row>
    <row r="193" spans="1:2">
      <c r="A193" s="142">
        <v>59700</v>
      </c>
      <c r="B193">
        <v>13000</v>
      </c>
    </row>
    <row r="194" spans="1:2">
      <c r="A194" s="142">
        <v>59710</v>
      </c>
      <c r="B194">
        <v>9600</v>
      </c>
    </row>
    <row r="195" spans="1:2">
      <c r="A195" s="142">
        <v>59723</v>
      </c>
      <c r="B195">
        <v>10500</v>
      </c>
    </row>
    <row r="196" spans="1:2">
      <c r="A196" s="142">
        <v>59729</v>
      </c>
      <c r="B196">
        <v>14500</v>
      </c>
    </row>
    <row r="197" spans="1:2">
      <c r="A197" s="142">
        <v>59734</v>
      </c>
      <c r="B197">
        <v>19800</v>
      </c>
    </row>
    <row r="198" spans="1:2">
      <c r="A198" s="142">
        <v>59735</v>
      </c>
      <c r="B198">
        <v>19700</v>
      </c>
    </row>
    <row r="199" spans="1:2">
      <c r="A199" s="142">
        <v>59757</v>
      </c>
      <c r="B199">
        <v>13400</v>
      </c>
    </row>
    <row r="200" spans="1:2">
      <c r="A200" s="142">
        <v>59758</v>
      </c>
      <c r="B200">
        <v>15800</v>
      </c>
    </row>
    <row r="201" spans="1:2">
      <c r="A201" s="142">
        <v>59762</v>
      </c>
      <c r="B201">
        <v>42500</v>
      </c>
    </row>
    <row r="202" spans="1:2">
      <c r="A202" s="142">
        <v>59803</v>
      </c>
      <c r="B202">
        <v>26500</v>
      </c>
    </row>
    <row r="203" spans="1:2">
      <c r="A203" s="142">
        <v>59806</v>
      </c>
      <c r="B203">
        <v>34800</v>
      </c>
    </row>
    <row r="204" spans="1:2">
      <c r="A204" s="142">
        <v>59851</v>
      </c>
      <c r="B204">
        <v>23600</v>
      </c>
    </row>
    <row r="205" spans="1:2">
      <c r="A205" s="142">
        <v>59852</v>
      </c>
      <c r="B205">
        <v>23300</v>
      </c>
    </row>
    <row r="206" spans="1:2">
      <c r="A206" s="142">
        <v>59853</v>
      </c>
      <c r="B206">
        <v>23500</v>
      </c>
    </row>
    <row r="207" spans="1:2">
      <c r="A207" s="142">
        <v>59854</v>
      </c>
      <c r="B207">
        <v>31200</v>
      </c>
    </row>
    <row r="208" spans="1:2">
      <c r="A208" s="142">
        <v>59968</v>
      </c>
      <c r="B208">
        <v>56500</v>
      </c>
    </row>
    <row r="209" spans="1:2">
      <c r="A209" s="142">
        <v>70097</v>
      </c>
      <c r="B209">
        <v>31500</v>
      </c>
    </row>
    <row r="210" spans="1:2">
      <c r="A210" s="142">
        <v>70110</v>
      </c>
      <c r="B210">
        <v>15500</v>
      </c>
    </row>
    <row r="211" spans="1:2">
      <c r="A211" s="142">
        <v>70113</v>
      </c>
      <c r="B211">
        <v>30800</v>
      </c>
    </row>
    <row r="212" spans="1:2">
      <c r="A212" s="142">
        <v>70118</v>
      </c>
      <c r="B212">
        <v>12000</v>
      </c>
    </row>
    <row r="213" spans="1:2">
      <c r="A213" s="142">
        <v>70121</v>
      </c>
      <c r="B213">
        <v>11700</v>
      </c>
    </row>
    <row r="214" spans="1:2">
      <c r="A214" s="142">
        <v>70124</v>
      </c>
      <c r="B214">
        <v>7100</v>
      </c>
    </row>
    <row r="215" spans="1:2">
      <c r="A215" s="142">
        <v>70127</v>
      </c>
      <c r="B215">
        <v>8900</v>
      </c>
    </row>
    <row r="216" spans="1:2">
      <c r="A216" s="142">
        <v>70133</v>
      </c>
      <c r="B216">
        <v>11800</v>
      </c>
    </row>
    <row r="217" spans="1:2">
      <c r="A217" s="142">
        <v>70136</v>
      </c>
      <c r="B217">
        <v>28400</v>
      </c>
    </row>
    <row r="218" spans="1:2">
      <c r="A218" s="142">
        <v>70140</v>
      </c>
      <c r="B218">
        <v>10800</v>
      </c>
    </row>
    <row r="219" spans="1:2">
      <c r="A219" s="142">
        <v>70151</v>
      </c>
      <c r="B219">
        <v>14700</v>
      </c>
    </row>
    <row r="220" spans="1:2">
      <c r="A220" s="142">
        <v>70158</v>
      </c>
      <c r="B220">
        <v>12700</v>
      </c>
    </row>
    <row r="221" spans="1:2">
      <c r="A221" s="142">
        <v>70166</v>
      </c>
      <c r="B221">
        <v>7500</v>
      </c>
    </row>
    <row r="222" spans="1:2">
      <c r="A222" s="142">
        <v>70167</v>
      </c>
      <c r="B222">
        <v>13900</v>
      </c>
    </row>
    <row r="223" spans="1:2">
      <c r="A223" s="142">
        <v>70176</v>
      </c>
      <c r="B223">
        <v>12000</v>
      </c>
    </row>
    <row r="224" spans="1:2">
      <c r="A224" s="142">
        <v>70181</v>
      </c>
      <c r="B224">
        <v>16700</v>
      </c>
    </row>
    <row r="225" spans="1:2">
      <c r="A225" s="142">
        <v>70198</v>
      </c>
      <c r="B225">
        <v>35800</v>
      </c>
    </row>
    <row r="226" spans="1:2">
      <c r="A226" s="142">
        <v>70206</v>
      </c>
      <c r="B226">
        <v>4600</v>
      </c>
    </row>
    <row r="227" spans="1:2">
      <c r="A227" s="142">
        <v>70208</v>
      </c>
      <c r="B227">
        <v>13000</v>
      </c>
    </row>
    <row r="228" spans="1:2">
      <c r="A228" s="142">
        <v>70209</v>
      </c>
      <c r="B228">
        <v>28000</v>
      </c>
    </row>
    <row r="229" spans="1:2">
      <c r="A229" s="142">
        <v>70211</v>
      </c>
      <c r="B229">
        <v>15800</v>
      </c>
    </row>
    <row r="230" spans="1:2">
      <c r="A230" s="142">
        <v>70213</v>
      </c>
      <c r="B230">
        <v>34200</v>
      </c>
    </row>
    <row r="231" spans="1:2">
      <c r="A231" s="142">
        <v>70221</v>
      </c>
      <c r="B231">
        <v>11000</v>
      </c>
    </row>
    <row r="232" spans="1:2">
      <c r="A232" s="142">
        <v>70223</v>
      </c>
      <c r="B232">
        <v>11500</v>
      </c>
    </row>
    <row r="233" spans="1:2">
      <c r="A233" s="142">
        <v>70224</v>
      </c>
      <c r="B233">
        <v>12000</v>
      </c>
    </row>
    <row r="234" spans="1:2">
      <c r="A234" s="142">
        <v>70225</v>
      </c>
      <c r="B234">
        <v>25400</v>
      </c>
    </row>
    <row r="235" spans="1:2">
      <c r="A235" s="142">
        <v>70226</v>
      </c>
      <c r="B235">
        <v>14500</v>
      </c>
    </row>
    <row r="236" spans="1:2">
      <c r="A236" s="142">
        <v>70227</v>
      </c>
      <c r="B236">
        <v>10800</v>
      </c>
    </row>
    <row r="237" spans="1:2">
      <c r="A237" s="142">
        <v>70229</v>
      </c>
      <c r="B237">
        <v>14000</v>
      </c>
    </row>
    <row r="238" spans="1:2">
      <c r="A238" s="142">
        <v>70232</v>
      </c>
      <c r="B238">
        <v>15000</v>
      </c>
    </row>
    <row r="239" spans="1:2">
      <c r="A239" s="142">
        <v>70234</v>
      </c>
      <c r="B239">
        <v>12300</v>
      </c>
    </row>
    <row r="240" spans="1:2">
      <c r="A240" s="142">
        <v>70235</v>
      </c>
      <c r="B240">
        <v>3900</v>
      </c>
    </row>
    <row r="241" spans="1:2">
      <c r="A241" s="142">
        <v>70236</v>
      </c>
      <c r="B241">
        <v>43100</v>
      </c>
    </row>
    <row r="242" spans="1:2">
      <c r="A242" s="142">
        <v>70238</v>
      </c>
      <c r="B242">
        <v>23200</v>
      </c>
    </row>
    <row r="243" spans="1:2">
      <c r="A243" s="142">
        <v>70239</v>
      </c>
      <c r="B243">
        <v>68700</v>
      </c>
    </row>
    <row r="244" spans="1:2">
      <c r="A244" s="142">
        <v>70241</v>
      </c>
      <c r="B244">
        <v>306900</v>
      </c>
    </row>
    <row r="245" spans="1:2">
      <c r="A245" s="142">
        <v>70244</v>
      </c>
      <c r="B245">
        <v>17000</v>
      </c>
    </row>
    <row r="246" spans="1:2">
      <c r="A246" s="142">
        <v>70245</v>
      </c>
      <c r="B246">
        <v>13400</v>
      </c>
    </row>
    <row r="247" spans="1:2">
      <c r="A247" s="142">
        <v>70247</v>
      </c>
      <c r="B247">
        <v>14400</v>
      </c>
    </row>
    <row r="248" spans="1:2">
      <c r="A248" s="142">
        <v>70249</v>
      </c>
      <c r="B248">
        <v>22700</v>
      </c>
    </row>
    <row r="249" spans="1:2">
      <c r="A249" s="142">
        <v>70250</v>
      </c>
      <c r="B249">
        <v>23000</v>
      </c>
    </row>
    <row r="250" spans="1:2">
      <c r="A250" s="142">
        <v>70251</v>
      </c>
      <c r="B250">
        <v>22900</v>
      </c>
    </row>
    <row r="251" spans="1:2">
      <c r="A251" s="142">
        <v>70255</v>
      </c>
      <c r="B251">
        <v>23200</v>
      </c>
    </row>
    <row r="252" spans="1:2">
      <c r="A252" s="142">
        <v>70257</v>
      </c>
      <c r="B252">
        <v>7500</v>
      </c>
    </row>
    <row r="253" spans="1:2">
      <c r="A253" s="142">
        <v>70259</v>
      </c>
      <c r="B253">
        <v>6200</v>
      </c>
    </row>
    <row r="254" spans="1:2">
      <c r="A254" s="142">
        <v>70262</v>
      </c>
      <c r="B254">
        <v>20200</v>
      </c>
    </row>
    <row r="255" spans="1:2">
      <c r="A255" s="142">
        <v>70264</v>
      </c>
      <c r="B255">
        <v>8000</v>
      </c>
    </row>
    <row r="256" spans="1:2">
      <c r="A256" s="142">
        <v>70266</v>
      </c>
      <c r="B256">
        <v>4100</v>
      </c>
    </row>
    <row r="257" spans="1:2">
      <c r="A257" s="142">
        <v>70267</v>
      </c>
      <c r="B257">
        <v>4200</v>
      </c>
    </row>
    <row r="258" spans="1:2">
      <c r="A258" s="142">
        <v>70268</v>
      </c>
      <c r="B258">
        <v>4400</v>
      </c>
    </row>
    <row r="259" spans="1:2">
      <c r="A259" s="142">
        <v>70269</v>
      </c>
      <c r="B259">
        <v>26200</v>
      </c>
    </row>
    <row r="260" spans="1:2">
      <c r="A260" s="142">
        <v>70270</v>
      </c>
      <c r="B260">
        <v>20800</v>
      </c>
    </row>
    <row r="261" spans="1:2">
      <c r="A261" s="142">
        <v>70271</v>
      </c>
      <c r="B261">
        <v>23000</v>
      </c>
    </row>
    <row r="262" spans="1:2">
      <c r="A262" s="142">
        <v>70274</v>
      </c>
      <c r="B262">
        <v>254800</v>
      </c>
    </row>
    <row r="263" spans="1:2">
      <c r="A263" s="142">
        <v>70276</v>
      </c>
      <c r="B263">
        <v>8900</v>
      </c>
    </row>
    <row r="264" spans="1:2">
      <c r="A264" s="142">
        <v>70277</v>
      </c>
      <c r="B264">
        <v>56200</v>
      </c>
    </row>
    <row r="265" spans="1:2">
      <c r="A265" s="142">
        <v>70279</v>
      </c>
      <c r="B265">
        <v>19100</v>
      </c>
    </row>
    <row r="266" spans="1:2">
      <c r="A266" s="142">
        <v>70281</v>
      </c>
      <c r="B266">
        <v>27000</v>
      </c>
    </row>
    <row r="267" spans="1:2">
      <c r="A267" s="142">
        <v>70284</v>
      </c>
      <c r="B267">
        <v>11800</v>
      </c>
    </row>
    <row r="268" spans="1:2">
      <c r="A268" s="142">
        <v>70286</v>
      </c>
      <c r="B268">
        <v>11700</v>
      </c>
    </row>
    <row r="269" spans="1:2">
      <c r="A269" s="142">
        <v>70288</v>
      </c>
      <c r="B269">
        <v>23700</v>
      </c>
    </row>
    <row r="270" spans="1:2">
      <c r="A270" s="142">
        <v>70289</v>
      </c>
      <c r="B270">
        <v>2900</v>
      </c>
    </row>
    <row r="271" spans="1:2">
      <c r="A271" s="142">
        <v>70291</v>
      </c>
      <c r="B271">
        <v>5200</v>
      </c>
    </row>
    <row r="272" spans="1:2">
      <c r="A272" s="142">
        <v>70292</v>
      </c>
      <c r="B272">
        <v>5200</v>
      </c>
    </row>
    <row r="273" spans="1:2">
      <c r="A273" s="142">
        <v>70294</v>
      </c>
      <c r="B273">
        <v>34000</v>
      </c>
    </row>
    <row r="274" spans="1:2">
      <c r="A274" s="142">
        <v>70295</v>
      </c>
      <c r="B274">
        <v>28200</v>
      </c>
    </row>
    <row r="275" spans="1:2">
      <c r="A275" s="142">
        <v>70297</v>
      </c>
      <c r="B275">
        <v>12100</v>
      </c>
    </row>
    <row r="276" spans="1:2">
      <c r="A276" s="142">
        <v>70298</v>
      </c>
      <c r="B276">
        <v>11700</v>
      </c>
    </row>
    <row r="277" spans="1:2">
      <c r="A277" s="142">
        <v>70299</v>
      </c>
      <c r="B277">
        <v>23500</v>
      </c>
    </row>
    <row r="278" spans="1:2">
      <c r="A278" s="142">
        <v>70302</v>
      </c>
      <c r="B278">
        <v>26500</v>
      </c>
    </row>
    <row r="279" spans="1:2">
      <c r="A279" s="142">
        <v>70303</v>
      </c>
      <c r="B279">
        <v>48000</v>
      </c>
    </row>
    <row r="280" spans="1:2">
      <c r="A280" s="142">
        <v>70316</v>
      </c>
      <c r="B280">
        <v>19500</v>
      </c>
    </row>
    <row r="281" spans="1:2">
      <c r="A281" s="142">
        <v>70319</v>
      </c>
      <c r="B281">
        <v>8700</v>
      </c>
    </row>
    <row r="282" spans="1:2">
      <c r="A282" s="142">
        <v>70325</v>
      </c>
      <c r="B282">
        <v>84000</v>
      </c>
    </row>
    <row r="283" spans="1:2">
      <c r="A283" s="142">
        <v>70328</v>
      </c>
      <c r="B283">
        <v>84200</v>
      </c>
    </row>
    <row r="284" spans="1:2">
      <c r="A284" s="142">
        <v>70332</v>
      </c>
      <c r="B284">
        <v>248600</v>
      </c>
    </row>
    <row r="285" spans="1:2">
      <c r="A285" s="142">
        <v>70333</v>
      </c>
      <c r="B285">
        <v>313500</v>
      </c>
    </row>
    <row r="286" spans="1:2">
      <c r="A286" s="142">
        <v>70334</v>
      </c>
      <c r="B286">
        <v>9700</v>
      </c>
    </row>
    <row r="287" spans="1:2">
      <c r="A287" s="142">
        <v>70338</v>
      </c>
      <c r="B287">
        <v>6400</v>
      </c>
    </row>
    <row r="288" spans="1:2">
      <c r="A288" s="142">
        <v>70339</v>
      </c>
      <c r="B288">
        <v>37000</v>
      </c>
    </row>
    <row r="289" spans="1:2">
      <c r="A289" s="142">
        <v>70340</v>
      </c>
      <c r="B289">
        <v>7500</v>
      </c>
    </row>
    <row r="290" spans="1:2">
      <c r="A290" s="142">
        <v>70341</v>
      </c>
      <c r="B290">
        <v>5500</v>
      </c>
    </row>
    <row r="291" spans="1:2">
      <c r="A291" s="142">
        <v>70342</v>
      </c>
      <c r="B291">
        <v>3200</v>
      </c>
    </row>
    <row r="292" spans="1:2">
      <c r="A292" s="142">
        <v>70343</v>
      </c>
      <c r="B292">
        <v>31200</v>
      </c>
    </row>
    <row r="293" spans="1:2">
      <c r="A293" s="142">
        <v>70344</v>
      </c>
      <c r="B293">
        <v>30200</v>
      </c>
    </row>
    <row r="294" spans="1:2">
      <c r="A294" s="142">
        <v>70346</v>
      </c>
      <c r="B294">
        <v>254000</v>
      </c>
    </row>
    <row r="295" spans="1:2">
      <c r="A295" s="142">
        <v>70348</v>
      </c>
      <c r="B295">
        <v>18000</v>
      </c>
    </row>
    <row r="296" spans="1:2">
      <c r="A296" s="142">
        <v>70349</v>
      </c>
      <c r="B296">
        <v>7800</v>
      </c>
    </row>
    <row r="297" spans="1:2">
      <c r="A297" s="142">
        <v>70350</v>
      </c>
      <c r="B297">
        <v>12500</v>
      </c>
    </row>
    <row r="298" spans="1:2">
      <c r="A298" s="142">
        <v>70351</v>
      </c>
      <c r="B298">
        <v>2700</v>
      </c>
    </row>
    <row r="299" spans="1:2">
      <c r="A299" s="142">
        <v>70352</v>
      </c>
      <c r="B299">
        <v>204600</v>
      </c>
    </row>
    <row r="300" spans="1:2">
      <c r="A300" s="142">
        <v>70353</v>
      </c>
      <c r="B300">
        <v>25200</v>
      </c>
    </row>
    <row r="301" spans="1:2">
      <c r="A301" s="142">
        <v>70356</v>
      </c>
      <c r="B301">
        <v>25300</v>
      </c>
    </row>
    <row r="302" spans="1:2">
      <c r="A302" s="142">
        <v>70359</v>
      </c>
      <c r="B302">
        <v>23500</v>
      </c>
    </row>
    <row r="303" spans="1:2">
      <c r="A303" s="142">
        <v>70360</v>
      </c>
      <c r="B303">
        <v>11700</v>
      </c>
    </row>
    <row r="304" spans="1:2">
      <c r="A304" s="142">
        <v>70362</v>
      </c>
      <c r="B304">
        <v>25000</v>
      </c>
    </row>
    <row r="305" spans="1:2">
      <c r="A305" s="142">
        <v>70365</v>
      </c>
      <c r="B305">
        <v>23500</v>
      </c>
    </row>
    <row r="306" spans="1:2">
      <c r="A306" s="142">
        <v>70366</v>
      </c>
      <c r="B306">
        <v>26000</v>
      </c>
    </row>
    <row r="307" spans="1:2">
      <c r="A307" s="142">
        <v>70367</v>
      </c>
      <c r="B307">
        <v>26500</v>
      </c>
    </row>
    <row r="308" spans="1:2">
      <c r="A308" s="142">
        <v>70370</v>
      </c>
      <c r="B308">
        <v>10600</v>
      </c>
    </row>
    <row r="309" spans="1:2">
      <c r="A309" s="142">
        <v>70378</v>
      </c>
      <c r="B309">
        <v>18600</v>
      </c>
    </row>
    <row r="310" spans="1:2">
      <c r="A310" s="142">
        <v>70383</v>
      </c>
      <c r="B310">
        <v>276400</v>
      </c>
    </row>
    <row r="311" spans="1:2">
      <c r="A311" s="142">
        <v>70387</v>
      </c>
      <c r="B311">
        <v>4300</v>
      </c>
    </row>
    <row r="312" spans="1:2">
      <c r="A312" s="142">
        <v>70391</v>
      </c>
      <c r="B312">
        <v>12500</v>
      </c>
    </row>
    <row r="313" spans="1:2">
      <c r="A313" s="142">
        <v>70392</v>
      </c>
      <c r="B313">
        <v>4000</v>
      </c>
    </row>
    <row r="314" spans="1:2">
      <c r="A314" s="142">
        <v>70393</v>
      </c>
      <c r="B314">
        <v>4000</v>
      </c>
    </row>
    <row r="315" spans="1:2">
      <c r="A315" s="142">
        <v>70394</v>
      </c>
      <c r="B315">
        <v>4000</v>
      </c>
    </row>
    <row r="316" spans="1:2">
      <c r="A316" s="142">
        <v>70401</v>
      </c>
      <c r="B316">
        <v>32100</v>
      </c>
    </row>
    <row r="317" spans="1:2">
      <c r="A317" s="142">
        <v>70403</v>
      </c>
      <c r="B317">
        <v>31030</v>
      </c>
    </row>
    <row r="318" spans="1:2">
      <c r="A318" s="142">
        <v>70404</v>
      </c>
      <c r="B318">
        <v>74300</v>
      </c>
    </row>
    <row r="319" spans="1:2">
      <c r="A319" s="142">
        <v>70405</v>
      </c>
      <c r="B319">
        <v>19000</v>
      </c>
    </row>
    <row r="320" spans="1:2">
      <c r="A320" s="142">
        <v>70406</v>
      </c>
      <c r="B320">
        <v>17400</v>
      </c>
    </row>
    <row r="321" spans="1:2">
      <c r="A321" s="142">
        <v>70413</v>
      </c>
      <c r="B321">
        <v>94200</v>
      </c>
    </row>
    <row r="322" spans="1:2">
      <c r="A322" s="142">
        <v>70414</v>
      </c>
      <c r="B322">
        <v>36200</v>
      </c>
    </row>
    <row r="323" spans="1:2">
      <c r="A323" s="142">
        <v>70418</v>
      </c>
      <c r="B323">
        <v>10100</v>
      </c>
    </row>
    <row r="324" spans="1:2">
      <c r="A324" s="142">
        <v>70419</v>
      </c>
      <c r="B324">
        <v>7500</v>
      </c>
    </row>
    <row r="325" spans="1:2">
      <c r="A325" s="142">
        <v>70421</v>
      </c>
      <c r="B325">
        <v>6200</v>
      </c>
    </row>
    <row r="326" spans="1:2">
      <c r="A326" s="142">
        <v>70422</v>
      </c>
      <c r="B326">
        <v>22700</v>
      </c>
    </row>
    <row r="327" spans="1:2">
      <c r="A327" s="142">
        <v>70424</v>
      </c>
      <c r="B327">
        <v>14000</v>
      </c>
    </row>
    <row r="328" spans="1:2">
      <c r="A328" s="142">
        <v>70425</v>
      </c>
      <c r="B328">
        <v>4000</v>
      </c>
    </row>
    <row r="329" spans="1:2">
      <c r="A329" s="142">
        <v>70426</v>
      </c>
      <c r="B329">
        <v>19600</v>
      </c>
    </row>
    <row r="330" spans="1:2">
      <c r="A330" s="142">
        <v>70428</v>
      </c>
      <c r="B330">
        <v>9200</v>
      </c>
    </row>
    <row r="331" spans="1:2">
      <c r="A331" s="142">
        <v>70431</v>
      </c>
      <c r="B331">
        <v>19300</v>
      </c>
    </row>
    <row r="332" spans="1:2">
      <c r="A332" s="142">
        <v>70443</v>
      </c>
      <c r="B332">
        <v>42000</v>
      </c>
    </row>
    <row r="333" spans="1:2">
      <c r="A333" s="142">
        <v>70444</v>
      </c>
      <c r="B333">
        <v>8800</v>
      </c>
    </row>
    <row r="334" spans="1:2">
      <c r="A334" s="142">
        <v>70445</v>
      </c>
      <c r="B334">
        <v>8800</v>
      </c>
    </row>
    <row r="335" spans="1:2">
      <c r="A335" s="142">
        <v>70447</v>
      </c>
      <c r="B335">
        <v>25900</v>
      </c>
    </row>
    <row r="336" spans="1:2">
      <c r="A336" s="142">
        <v>70448</v>
      </c>
      <c r="B336">
        <v>16000</v>
      </c>
    </row>
    <row r="337" spans="1:2">
      <c r="A337" s="142">
        <v>70462</v>
      </c>
      <c r="B337">
        <v>12700</v>
      </c>
    </row>
    <row r="338" spans="1:2">
      <c r="A338" s="142">
        <v>70463</v>
      </c>
      <c r="B338">
        <v>9100</v>
      </c>
    </row>
    <row r="339" spans="1:2">
      <c r="A339" s="142">
        <v>70465</v>
      </c>
      <c r="B339">
        <v>10500</v>
      </c>
    </row>
    <row r="340" spans="1:2">
      <c r="A340" s="142">
        <v>70467</v>
      </c>
      <c r="B340">
        <v>10400</v>
      </c>
    </row>
    <row r="341" spans="1:2">
      <c r="A341" s="142">
        <v>70473</v>
      </c>
      <c r="B341">
        <v>22800</v>
      </c>
    </row>
    <row r="342" spans="1:2">
      <c r="A342" s="142" t="s">
        <v>1070</v>
      </c>
      <c r="B342">
        <v>3300</v>
      </c>
    </row>
    <row r="343" spans="1:2">
      <c r="A343" s="142" t="s">
        <v>1072</v>
      </c>
      <c r="B343">
        <v>6800</v>
      </c>
    </row>
    <row r="344" spans="1:2">
      <c r="A344" s="142" t="s">
        <v>1080</v>
      </c>
      <c r="B344">
        <v>97500</v>
      </c>
    </row>
    <row r="345" spans="1:2">
      <c r="A345" s="142" t="s">
        <v>1075</v>
      </c>
      <c r="B345">
        <v>52300</v>
      </c>
    </row>
    <row r="346" spans="1:2">
      <c r="A346" s="142" t="s">
        <v>1079</v>
      </c>
      <c r="B346">
        <v>43850</v>
      </c>
    </row>
    <row r="347" spans="1:2">
      <c r="A347" s="142" t="s">
        <v>1049</v>
      </c>
      <c r="B347">
        <v>110200</v>
      </c>
    </row>
    <row r="348" spans="1:2">
      <c r="A348" s="142" t="s">
        <v>1090</v>
      </c>
      <c r="B348">
        <v>426300</v>
      </c>
    </row>
    <row r="349" spans="1:2">
      <c r="A349" s="142" t="s">
        <v>1059</v>
      </c>
      <c r="B349">
        <v>36600</v>
      </c>
    </row>
    <row r="350" spans="1:2">
      <c r="A350" s="142" t="s">
        <v>1058</v>
      </c>
      <c r="B350">
        <v>23800</v>
      </c>
    </row>
    <row r="351" spans="1:2">
      <c r="A351" s="142" t="s">
        <v>1057</v>
      </c>
      <c r="B351">
        <v>23400</v>
      </c>
    </row>
    <row r="352" spans="1:2">
      <c r="A352" s="142" t="s">
        <v>1037</v>
      </c>
      <c r="B352">
        <v>33100</v>
      </c>
    </row>
    <row r="353" spans="1:2">
      <c r="A353" s="142" t="s">
        <v>1034</v>
      </c>
      <c r="B353">
        <v>11100</v>
      </c>
    </row>
    <row r="354" spans="1:2">
      <c r="A354" s="142" t="s">
        <v>1087</v>
      </c>
      <c r="B354">
        <v>16000</v>
      </c>
    </row>
    <row r="355" spans="1:2">
      <c r="A355" s="142" t="s">
        <v>1055</v>
      </c>
      <c r="B355">
        <v>23800</v>
      </c>
    </row>
    <row r="356" spans="1:2">
      <c r="A356" s="142" t="s">
        <v>1069</v>
      </c>
      <c r="B356">
        <v>39300</v>
      </c>
    </row>
    <row r="357" spans="1:2">
      <c r="A357" s="142" t="s">
        <v>1046</v>
      </c>
      <c r="B357">
        <v>227200</v>
      </c>
    </row>
    <row r="358" spans="1:2">
      <c r="A358" s="142" t="s">
        <v>1060</v>
      </c>
      <c r="B358">
        <v>254300</v>
      </c>
    </row>
    <row r="359" spans="1:2">
      <c r="A359" s="142" t="s">
        <v>1062</v>
      </c>
      <c r="B359">
        <v>7600</v>
      </c>
    </row>
    <row r="360" spans="1:2">
      <c r="A360" s="142" t="s">
        <v>1038</v>
      </c>
      <c r="B360">
        <v>21500</v>
      </c>
    </row>
    <row r="361" spans="1:2">
      <c r="A361" s="142" t="s">
        <v>1064</v>
      </c>
      <c r="B361">
        <v>58200</v>
      </c>
    </row>
    <row r="362" spans="1:2">
      <c r="A362" s="142" t="s">
        <v>1033</v>
      </c>
      <c r="B362">
        <v>95800</v>
      </c>
    </row>
    <row r="363" spans="1:2">
      <c r="A363" s="142" t="s">
        <v>1061</v>
      </c>
      <c r="B363">
        <v>18500</v>
      </c>
    </row>
    <row r="364" spans="1:2">
      <c r="A364" s="142" t="s">
        <v>1077</v>
      </c>
      <c r="B364">
        <v>12600</v>
      </c>
    </row>
    <row r="365" spans="1:2">
      <c r="A365" s="142" t="s">
        <v>1050</v>
      </c>
      <c r="B365">
        <v>104100</v>
      </c>
    </row>
    <row r="366" spans="1:2">
      <c r="A366" s="142" t="s">
        <v>1052</v>
      </c>
      <c r="B366">
        <v>16700</v>
      </c>
    </row>
    <row r="367" spans="1:2">
      <c r="A367" s="142" t="s">
        <v>1051</v>
      </c>
      <c r="B367">
        <v>63600</v>
      </c>
    </row>
    <row r="368" spans="1:2">
      <c r="A368" s="142" t="s">
        <v>1073</v>
      </c>
      <c r="B368">
        <v>40600</v>
      </c>
    </row>
    <row r="369" spans="1:2">
      <c r="A369" s="142" t="s">
        <v>1074</v>
      </c>
      <c r="B369">
        <v>24300</v>
      </c>
    </row>
    <row r="370" spans="1:2">
      <c r="A370" s="142" t="s">
        <v>1056</v>
      </c>
      <c r="B370">
        <v>45300</v>
      </c>
    </row>
    <row r="371" spans="1:2">
      <c r="A371" s="142" t="s">
        <v>1078</v>
      </c>
      <c r="B371">
        <v>1000</v>
      </c>
    </row>
    <row r="372" spans="1:2">
      <c r="A372" s="142" t="s">
        <v>1053</v>
      </c>
      <c r="B372">
        <v>25300</v>
      </c>
    </row>
    <row r="373" spans="1:2">
      <c r="A373" s="142" t="s">
        <v>1082</v>
      </c>
      <c r="B373">
        <v>253600</v>
      </c>
    </row>
    <row r="374" spans="1:2">
      <c r="A374" s="142" t="s">
        <v>1076</v>
      </c>
      <c r="B374">
        <v>8120</v>
      </c>
    </row>
    <row r="375" spans="1:2">
      <c r="A375" s="142" t="s">
        <v>1065</v>
      </c>
      <c r="B375">
        <v>154900</v>
      </c>
    </row>
    <row r="376" spans="1:2">
      <c r="A376" s="142" t="s">
        <v>1066</v>
      </c>
      <c r="B376">
        <v>46100</v>
      </c>
    </row>
    <row r="377" spans="1:2">
      <c r="A377" s="142" t="s">
        <v>1067</v>
      </c>
      <c r="B377">
        <v>47700</v>
      </c>
    </row>
    <row r="378" spans="1:2">
      <c r="A378" s="142" t="s">
        <v>1040</v>
      </c>
      <c r="B378">
        <v>37800</v>
      </c>
    </row>
    <row r="379" spans="1:2">
      <c r="A379" s="142" t="s">
        <v>1043</v>
      </c>
      <c r="B379">
        <v>161100</v>
      </c>
    </row>
    <row r="380" spans="1:2">
      <c r="A380" s="142" t="s">
        <v>1039</v>
      </c>
      <c r="B380">
        <v>98800</v>
      </c>
    </row>
    <row r="381" spans="1:2">
      <c r="A381" s="142" t="s">
        <v>1030</v>
      </c>
      <c r="B381">
        <v>11500</v>
      </c>
    </row>
    <row r="382" spans="1:2">
      <c r="A382" s="142" t="s">
        <v>1032</v>
      </c>
      <c r="B382">
        <v>13000</v>
      </c>
    </row>
    <row r="383" spans="1:2">
      <c r="A383" s="142" t="s">
        <v>1068</v>
      </c>
      <c r="B383">
        <v>75100</v>
      </c>
    </row>
    <row r="384" spans="1:2">
      <c r="A384" s="142" t="s">
        <v>1084</v>
      </c>
      <c r="B384">
        <v>23900</v>
      </c>
    </row>
    <row r="385" spans="1:2">
      <c r="A385" s="142" t="s">
        <v>1063</v>
      </c>
      <c r="B385">
        <v>18000</v>
      </c>
    </row>
    <row r="386" spans="1:2">
      <c r="A386" s="142" t="s">
        <v>1081</v>
      </c>
      <c r="B386">
        <v>39800</v>
      </c>
    </row>
    <row r="387" spans="1:2">
      <c r="A387" s="142" t="s">
        <v>1054</v>
      </c>
      <c r="B387">
        <v>87600</v>
      </c>
    </row>
    <row r="388" spans="1:2">
      <c r="A388" s="142" t="s">
        <v>1085</v>
      </c>
      <c r="B388">
        <v>47200</v>
      </c>
    </row>
    <row r="389" spans="1:2">
      <c r="A389" s="142" t="s">
        <v>1045</v>
      </c>
      <c r="B389">
        <v>46800</v>
      </c>
    </row>
    <row r="390" spans="1:2">
      <c r="A390" s="142" t="s">
        <v>1035</v>
      </c>
      <c r="B390">
        <v>37600</v>
      </c>
    </row>
    <row r="391" spans="1:2">
      <c r="A391" s="142" t="s">
        <v>1071</v>
      </c>
      <c r="B391">
        <v>45500</v>
      </c>
    </row>
    <row r="392" spans="1:2">
      <c r="A392" s="142" t="s">
        <v>1036</v>
      </c>
      <c r="B392">
        <v>102900</v>
      </c>
    </row>
    <row r="393" spans="1:2">
      <c r="A393" s="142" t="s">
        <v>1044</v>
      </c>
      <c r="B393">
        <v>128500</v>
      </c>
    </row>
    <row r="394" spans="1:2">
      <c r="A394" s="142" t="s">
        <v>1047</v>
      </c>
      <c r="B394">
        <v>24400</v>
      </c>
    </row>
    <row r="395" spans="1:2">
      <c r="A395" s="142" t="s">
        <v>1031</v>
      </c>
      <c r="B395">
        <v>24900</v>
      </c>
    </row>
    <row r="396" spans="1:2">
      <c r="A396" s="142" t="s">
        <v>1048</v>
      </c>
      <c r="B396">
        <v>23800</v>
      </c>
    </row>
    <row r="397" spans="1:2">
      <c r="A397" s="142" t="s">
        <v>1089</v>
      </c>
      <c r="B397">
        <v>31800</v>
      </c>
    </row>
    <row r="398" spans="1:2">
      <c r="A398" s="142" t="s">
        <v>1088</v>
      </c>
      <c r="B398">
        <v>44500</v>
      </c>
    </row>
    <row r="399" spans="1:2">
      <c r="A399" s="142" t="s">
        <v>1083</v>
      </c>
      <c r="B399">
        <v>27100</v>
      </c>
    </row>
    <row r="400" spans="1:2">
      <c r="A400" s="142" t="s">
        <v>1086</v>
      </c>
      <c r="B400">
        <v>2000</v>
      </c>
    </row>
    <row r="401" spans="1:2">
      <c r="A401" s="142" t="s">
        <v>997</v>
      </c>
      <c r="B401">
        <v>14832490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7B595-2E06-4F1C-8F03-8A1FDF205A98}">
  <sheetPr codeName="Sheet9"/>
  <dimension ref="B2:AS7"/>
  <sheetViews>
    <sheetView workbookViewId="0">
      <selection activeCell="C1" sqref="C1"/>
    </sheetView>
  </sheetViews>
  <sheetFormatPr defaultRowHeight="15"/>
  <sheetData>
    <row r="2" spans="2:45">
      <c r="B2">
        <f>1400*48</f>
        <v>67200</v>
      </c>
      <c r="D2">
        <v>50000</v>
      </c>
      <c r="E2">
        <v>1400</v>
      </c>
      <c r="F2">
        <f>+D2-E2</f>
        <v>48600</v>
      </c>
      <c r="AS2">
        <f>SUBTOTAL(9,AS8:AS1048576)</f>
        <v>0</v>
      </c>
    </row>
    <row r="3" spans="2:45">
      <c r="B3">
        <f>69000/48</f>
        <v>1437.5</v>
      </c>
      <c r="D3">
        <f>+F2</f>
        <v>48600</v>
      </c>
      <c r="E3">
        <v>1400</v>
      </c>
      <c r="F3">
        <f>+D3-E3</f>
        <v>47200</v>
      </c>
    </row>
    <row r="4" spans="2:45">
      <c r="D4">
        <f>+F3</f>
        <v>47200</v>
      </c>
      <c r="E4">
        <v>1400</v>
      </c>
      <c r="F4">
        <f t="shared" ref="F4:F7" si="0">+D4-E4</f>
        <v>45800</v>
      </c>
    </row>
    <row r="5" spans="2:45">
      <c r="D5">
        <f t="shared" ref="D5:D7" si="1">+F4</f>
        <v>45800</v>
      </c>
      <c r="E5">
        <v>1400</v>
      </c>
      <c r="F5">
        <f t="shared" si="0"/>
        <v>44400</v>
      </c>
    </row>
    <row r="6" spans="2:45">
      <c r="D6">
        <f t="shared" si="1"/>
        <v>44400</v>
      </c>
      <c r="E6">
        <v>1400</v>
      </c>
      <c r="F6">
        <f t="shared" si="0"/>
        <v>43000</v>
      </c>
    </row>
    <row r="7" spans="2:45">
      <c r="D7">
        <f t="shared" si="1"/>
        <v>43000</v>
      </c>
      <c r="E7">
        <v>1400</v>
      </c>
      <c r="F7">
        <f t="shared" si="0"/>
        <v>41600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E9D7-C6BD-45EB-8FA1-3E5B6244D8E1}">
  <sheetPr codeName="Sheet12"/>
  <dimension ref="A1:W524"/>
  <sheetViews>
    <sheetView workbookViewId="0">
      <pane ySplit="4" topLeftCell="A5" activePane="bottomLeft" state="frozen"/>
      <selection pane="bottomLeft" activeCell="A14" sqref="A14"/>
    </sheetView>
  </sheetViews>
  <sheetFormatPr defaultRowHeight="15"/>
  <cols>
    <col min="1" max="1" width="27.28515625" customWidth="1"/>
    <col min="2" max="2" width="10.28515625" bestFit="1" customWidth="1"/>
    <col min="3" max="3" width="10.28515625" customWidth="1"/>
    <col min="14" max="14" width="11.5703125" bestFit="1" customWidth="1"/>
  </cols>
  <sheetData>
    <row r="1" spans="1:14">
      <c r="A1" s="147"/>
      <c r="B1" s="147"/>
      <c r="C1" s="147"/>
      <c r="D1" s="147"/>
    </row>
    <row r="2" spans="1:14">
      <c r="A2" s="147" t="s">
        <v>998</v>
      </c>
      <c r="B2" s="147" t="s">
        <v>999</v>
      </c>
      <c r="C2" s="147"/>
      <c r="D2" s="147"/>
    </row>
    <row r="3" spans="1:14" ht="45">
      <c r="A3" s="509" t="s">
        <v>1113</v>
      </c>
      <c r="B3" s="509"/>
      <c r="C3" s="303"/>
      <c r="D3" s="147"/>
      <c r="E3" s="509" t="s">
        <v>1114</v>
      </c>
      <c r="F3" s="509"/>
      <c r="H3" s="307" t="s">
        <v>1120</v>
      </c>
      <c r="I3" s="307" t="s">
        <v>1123</v>
      </c>
      <c r="J3" s="307"/>
    </row>
    <row r="4" spans="1:14">
      <c r="A4" t="s">
        <v>990</v>
      </c>
      <c r="B4" t="s">
        <v>1023</v>
      </c>
      <c r="E4" t="s">
        <v>990</v>
      </c>
      <c r="F4" t="s">
        <v>991</v>
      </c>
      <c r="L4" s="147"/>
    </row>
    <row r="5" spans="1:14">
      <c r="A5" t="s">
        <v>1457</v>
      </c>
      <c r="B5">
        <v>37400</v>
      </c>
      <c r="E5" t="s">
        <v>1457</v>
      </c>
      <c r="F5">
        <f>SUMIFS('Jan-2026'!F:F,'Jan-2026'!C:C,E5)</f>
        <v>0</v>
      </c>
      <c r="H5" t="str">
        <f>VLOOKUP(E5,A:B,1,FALSE)</f>
        <v>L00118</v>
      </c>
      <c r="I5" t="str">
        <f>VLOOKUP(A5,E:F,1,FALSE)</f>
        <v>L00118</v>
      </c>
      <c r="L5" s="147"/>
      <c r="N5" s="264"/>
    </row>
    <row r="6" spans="1:14">
      <c r="A6" t="s">
        <v>1458</v>
      </c>
      <c r="B6">
        <v>58500</v>
      </c>
      <c r="E6" t="s">
        <v>1458</v>
      </c>
      <c r="F6">
        <f>SUMIFS('Jan-2026'!F:F,'Jan-2026'!C:C,E6)</f>
        <v>0</v>
      </c>
      <c r="H6" t="str">
        <f t="shared" ref="H6:H69" si="0">VLOOKUP(E6,A:B,1,FALSE)</f>
        <v>B00268</v>
      </c>
      <c r="I6" t="str">
        <f t="shared" ref="I6:I69" si="1">VLOOKUP(A6,E:F,1,FALSE)</f>
        <v>B00268</v>
      </c>
      <c r="L6" s="147"/>
      <c r="N6" s="264"/>
    </row>
    <row r="7" spans="1:14">
      <c r="A7" t="s">
        <v>1459</v>
      </c>
      <c r="B7">
        <v>5000</v>
      </c>
      <c r="E7" t="s">
        <v>1459</v>
      </c>
      <c r="F7">
        <f>SUMIFS('Jan-2026'!F:F,'Jan-2026'!C:C,E7)</f>
        <v>0</v>
      </c>
      <c r="H7" t="str">
        <f t="shared" si="0"/>
        <v>B00276</v>
      </c>
      <c r="I7" t="str">
        <f t="shared" si="1"/>
        <v>B00276</v>
      </c>
      <c r="L7" s="147"/>
      <c r="N7" s="264"/>
    </row>
    <row r="8" spans="1:14">
      <c r="A8" t="s">
        <v>1460</v>
      </c>
      <c r="B8">
        <v>9500</v>
      </c>
      <c r="E8" t="s">
        <v>1460</v>
      </c>
      <c r="F8">
        <f>SUMIFS('Jan-2026'!F:F,'Jan-2026'!C:C,E8)</f>
        <v>0</v>
      </c>
      <c r="H8" t="str">
        <f t="shared" si="0"/>
        <v>G00141</v>
      </c>
      <c r="I8" t="str">
        <f t="shared" si="1"/>
        <v>G00141</v>
      </c>
      <c r="L8" s="147"/>
      <c r="N8" s="264"/>
    </row>
    <row r="9" spans="1:14">
      <c r="A9" t="s">
        <v>1461</v>
      </c>
      <c r="B9">
        <v>8000</v>
      </c>
      <c r="E9" t="s">
        <v>1461</v>
      </c>
      <c r="F9">
        <f>SUMIFS('Jan-2026'!F:F,'Jan-2026'!C:C,E9)</f>
        <v>0</v>
      </c>
      <c r="H9" t="str">
        <f t="shared" si="0"/>
        <v>B00298</v>
      </c>
      <c r="I9" t="str">
        <f t="shared" si="1"/>
        <v>B00298</v>
      </c>
      <c r="L9" s="147"/>
      <c r="N9" s="264"/>
    </row>
    <row r="10" spans="1:14">
      <c r="A10" t="s">
        <v>1759</v>
      </c>
      <c r="B10">
        <v>9000</v>
      </c>
      <c r="E10" t="s">
        <v>1759</v>
      </c>
      <c r="F10">
        <f>SUMIFS('Jan-2026'!F:F,'Jan-2026'!C:C,E10)</f>
        <v>0</v>
      </c>
      <c r="H10" t="str">
        <f>VLOOKUP(E10,A:B,1,FALSE)</f>
        <v>B00236</v>
      </c>
      <c r="I10" t="str">
        <f t="shared" si="1"/>
        <v>B00236</v>
      </c>
      <c r="L10" s="147"/>
      <c r="N10" s="264"/>
    </row>
    <row r="11" spans="1:14">
      <c r="A11" t="s">
        <v>1760</v>
      </c>
      <c r="B11">
        <v>9100</v>
      </c>
      <c r="E11" t="s">
        <v>1761</v>
      </c>
      <c r="F11">
        <f>SUMIFS('Jan-2026'!F:F,'Jan-2026'!C:C,E11)</f>
        <v>0</v>
      </c>
      <c r="H11" t="str">
        <f t="shared" si="0"/>
        <v>B00304</v>
      </c>
      <c r="I11" t="str">
        <f t="shared" si="1"/>
        <v>B00237</v>
      </c>
      <c r="L11" s="147"/>
      <c r="N11" s="264"/>
    </row>
    <row r="12" spans="1:14">
      <c r="A12" t="s">
        <v>1761</v>
      </c>
      <c r="B12">
        <v>8000</v>
      </c>
      <c r="E12" t="s">
        <v>1462</v>
      </c>
      <c r="F12">
        <f>SUMIFS('Jan-2026'!F:F,'Jan-2026'!C:C,E12)</f>
        <v>0</v>
      </c>
      <c r="H12" t="str">
        <f t="shared" si="0"/>
        <v>B00244</v>
      </c>
      <c r="I12" t="str">
        <f t="shared" si="1"/>
        <v>B00304</v>
      </c>
      <c r="L12" s="147"/>
      <c r="N12" s="264"/>
    </row>
    <row r="13" spans="1:14">
      <c r="A13" t="s">
        <v>1762</v>
      </c>
      <c r="B13">
        <v>24000</v>
      </c>
      <c r="E13" t="s">
        <v>1463</v>
      </c>
      <c r="F13">
        <f>SUMIFS('Jan-2026'!F:F,'Jan-2026'!C:C,E13)</f>
        <v>0</v>
      </c>
      <c r="H13" t="str">
        <f t="shared" si="0"/>
        <v>B00337</v>
      </c>
      <c r="I13" t="str">
        <f t="shared" si="1"/>
        <v>B00339</v>
      </c>
      <c r="L13" s="147"/>
      <c r="N13" s="264"/>
    </row>
    <row r="14" spans="1:14">
      <c r="A14" t="s">
        <v>1462</v>
      </c>
      <c r="E14" t="s">
        <v>1765</v>
      </c>
      <c r="F14">
        <f>SUMIFS('Jan-2026'!F:F,'Jan-2026'!C:C,E14)</f>
        <v>0</v>
      </c>
      <c r="H14" t="str">
        <f t="shared" si="0"/>
        <v>B00303</v>
      </c>
      <c r="I14" t="str">
        <f t="shared" si="1"/>
        <v>B00244</v>
      </c>
      <c r="L14" s="147"/>
      <c r="N14" s="264"/>
    </row>
    <row r="15" spans="1:14">
      <c r="A15" t="s">
        <v>1473</v>
      </c>
      <c r="B15">
        <v>165300</v>
      </c>
      <c r="E15" t="s">
        <v>1464</v>
      </c>
      <c r="F15">
        <f>SUMIFS('Jan-2026'!F:F,'Jan-2026'!C:C,E15)</f>
        <v>0</v>
      </c>
      <c r="H15" t="str">
        <f t="shared" si="0"/>
        <v>C00249</v>
      </c>
      <c r="I15" t="str">
        <f t="shared" si="1"/>
        <v>H00386</v>
      </c>
      <c r="L15" s="147"/>
      <c r="N15" s="264"/>
    </row>
    <row r="16" spans="1:14">
      <c r="A16" t="s">
        <v>1763</v>
      </c>
      <c r="B16">
        <v>2400</v>
      </c>
      <c r="E16" t="s">
        <v>1465</v>
      </c>
      <c r="F16">
        <f>SUMIFS('Jan-2026'!F:F,'Jan-2026'!C:C,E16)</f>
        <v>0</v>
      </c>
      <c r="H16" t="str">
        <f t="shared" si="0"/>
        <v>F00307</v>
      </c>
      <c r="I16" t="str">
        <f t="shared" si="1"/>
        <v>F00318</v>
      </c>
      <c r="L16" s="147"/>
      <c r="N16" s="264"/>
    </row>
    <row r="17" spans="1:14">
      <c r="A17" t="s">
        <v>1764</v>
      </c>
      <c r="B17">
        <v>15700</v>
      </c>
      <c r="E17" t="s">
        <v>1767</v>
      </c>
      <c r="F17">
        <f>SUMIFS('Jan-2026'!F:F,'Jan-2026'!C:C,E17)</f>
        <v>0</v>
      </c>
      <c r="H17" t="str">
        <f t="shared" si="0"/>
        <v>F00304</v>
      </c>
      <c r="I17" t="str">
        <f t="shared" si="1"/>
        <v>F00317</v>
      </c>
      <c r="L17" s="147"/>
      <c r="N17" s="264"/>
    </row>
    <row r="18" spans="1:14">
      <c r="A18" t="s">
        <v>1474</v>
      </c>
      <c r="B18">
        <v>24100</v>
      </c>
      <c r="E18" t="s">
        <v>1466</v>
      </c>
      <c r="F18">
        <f>SUMIFS('Jan-2026'!F:F,'Jan-2026'!C:C,E18)</f>
        <v>0</v>
      </c>
      <c r="H18" t="str">
        <f t="shared" si="0"/>
        <v>F00303</v>
      </c>
      <c r="I18" t="str">
        <f t="shared" si="1"/>
        <v>F00315</v>
      </c>
      <c r="L18" s="147"/>
      <c r="N18" s="264"/>
    </row>
    <row r="19" spans="1:14">
      <c r="A19" t="s">
        <v>1475</v>
      </c>
      <c r="B19">
        <v>73500</v>
      </c>
      <c r="E19" t="s">
        <v>1467</v>
      </c>
      <c r="F19">
        <f>SUMIFS('Jan-2026'!F:F,'Jan-2026'!C:C,E19)</f>
        <v>0</v>
      </c>
      <c r="H19" t="str">
        <f t="shared" si="0"/>
        <v>P00178</v>
      </c>
      <c r="I19" t="str">
        <f t="shared" si="1"/>
        <v>C00449</v>
      </c>
      <c r="L19" s="147"/>
      <c r="N19" s="264"/>
    </row>
    <row r="20" spans="1:14">
      <c r="A20" t="s">
        <v>1462</v>
      </c>
      <c r="B20">
        <v>10500</v>
      </c>
      <c r="E20" t="s">
        <v>1769</v>
      </c>
      <c r="F20">
        <f>SUMIFS('Jan-2026'!F:F,'Jan-2026'!C:C,E20)</f>
        <v>0</v>
      </c>
      <c r="H20" t="str">
        <f t="shared" si="0"/>
        <v>J00353</v>
      </c>
      <c r="I20" t="str">
        <f t="shared" si="1"/>
        <v>B00244</v>
      </c>
      <c r="L20" s="147"/>
      <c r="N20" s="264"/>
    </row>
    <row r="21" spans="1:14">
      <c r="A21" t="s">
        <v>1463</v>
      </c>
      <c r="B21">
        <v>12700</v>
      </c>
      <c r="E21" t="s">
        <v>1468</v>
      </c>
      <c r="F21">
        <f>SUMIFS('Jan-2026'!F:F,'Jan-2026'!C:C,E21)</f>
        <v>0</v>
      </c>
      <c r="H21" t="str">
        <f>VLOOKUP(E21,A:B,1,FALSE)</f>
        <v>J00352</v>
      </c>
      <c r="I21" t="str">
        <f t="shared" si="1"/>
        <v>B00337</v>
      </c>
      <c r="L21" s="147"/>
      <c r="N21" s="264"/>
    </row>
    <row r="22" spans="1:14">
      <c r="A22" t="s">
        <v>1765</v>
      </c>
      <c r="B22">
        <v>13000</v>
      </c>
      <c r="E22" t="s">
        <v>1469</v>
      </c>
      <c r="F22">
        <f>SUMIFS('Jan-2026'!F:F,'Jan-2026'!C:C,E22)</f>
        <v>0</v>
      </c>
      <c r="H22" t="str">
        <f t="shared" si="0"/>
        <v>J00383</v>
      </c>
      <c r="I22" t="str">
        <f t="shared" si="1"/>
        <v>B00303</v>
      </c>
      <c r="L22" s="147"/>
      <c r="N22" s="264"/>
    </row>
    <row r="23" spans="1:14">
      <c r="A23" t="s">
        <v>1766</v>
      </c>
      <c r="B23">
        <v>24500</v>
      </c>
      <c r="E23" t="s">
        <v>1470</v>
      </c>
      <c r="F23">
        <f>SUMIFS('Jan-2026'!F:F,'Jan-2026'!C:C,E23)</f>
        <v>0</v>
      </c>
      <c r="H23" t="str">
        <f t="shared" si="0"/>
        <v>F00306</v>
      </c>
      <c r="I23" t="str">
        <f t="shared" si="1"/>
        <v>B00302</v>
      </c>
      <c r="L23" s="147"/>
      <c r="N23" s="264"/>
    </row>
    <row r="24" spans="1:14">
      <c r="A24" t="s">
        <v>1464</v>
      </c>
      <c r="B24">
        <v>5500</v>
      </c>
      <c r="E24" t="s">
        <v>1471</v>
      </c>
      <c r="F24">
        <f>SUMIFS('Jan-2026'!F:F,'Jan-2026'!C:C,E24)</f>
        <v>0</v>
      </c>
      <c r="H24" t="str">
        <f t="shared" si="0"/>
        <v>P00177</v>
      </c>
      <c r="I24" t="str">
        <f t="shared" si="1"/>
        <v>C00249</v>
      </c>
      <c r="L24" s="147"/>
      <c r="N24" s="264"/>
    </row>
    <row r="25" spans="1:14">
      <c r="A25" t="s">
        <v>1465</v>
      </c>
      <c r="B25">
        <v>13600</v>
      </c>
      <c r="E25" t="s">
        <v>1472</v>
      </c>
      <c r="F25">
        <f>SUMIFS('Jan-2026'!F:F,'Jan-2026'!C:C,E25)</f>
        <v>0</v>
      </c>
      <c r="H25" t="str">
        <f t="shared" si="0"/>
        <v>P00176</v>
      </c>
      <c r="I25" t="str">
        <f t="shared" si="1"/>
        <v>F00307</v>
      </c>
      <c r="L25" s="147"/>
      <c r="N25" s="264"/>
    </row>
    <row r="26" spans="1:14">
      <c r="A26" t="s">
        <v>1767</v>
      </c>
      <c r="B26">
        <v>12100</v>
      </c>
      <c r="E26" t="s">
        <v>1473</v>
      </c>
      <c r="F26">
        <f>SUMIFS('Jan-2026'!F:F,'Jan-2026'!C:C,E26)</f>
        <v>0</v>
      </c>
      <c r="H26" t="str">
        <f t="shared" si="0"/>
        <v>H00386</v>
      </c>
      <c r="I26" t="str">
        <f t="shared" si="1"/>
        <v>F00304</v>
      </c>
      <c r="L26" s="147"/>
      <c r="N26" s="264"/>
    </row>
    <row r="27" spans="1:14">
      <c r="A27" t="s">
        <v>1768</v>
      </c>
      <c r="B27">
        <v>12300</v>
      </c>
      <c r="E27" t="s">
        <v>1763</v>
      </c>
      <c r="F27">
        <f>SUMIFS('Jan-2026'!F:F,'Jan-2026'!C:C,E27)</f>
        <v>0</v>
      </c>
      <c r="H27" t="str">
        <f t="shared" si="0"/>
        <v>F00318</v>
      </c>
      <c r="I27" t="str">
        <f t="shared" si="1"/>
        <v>F00305</v>
      </c>
      <c r="L27" s="147"/>
      <c r="N27" s="264"/>
    </row>
    <row r="28" spans="1:14">
      <c r="A28" t="s">
        <v>1466</v>
      </c>
      <c r="B28">
        <v>12600</v>
      </c>
      <c r="E28" t="s">
        <v>1474</v>
      </c>
      <c r="F28">
        <f>SUMIFS('Jan-2026'!F:F,'Jan-2026'!C:C,E28)</f>
        <v>0</v>
      </c>
      <c r="H28" t="str">
        <f t="shared" si="0"/>
        <v>F00315</v>
      </c>
      <c r="I28" t="str">
        <f t="shared" si="1"/>
        <v>F00303</v>
      </c>
      <c r="L28" s="147"/>
      <c r="N28" s="264"/>
    </row>
    <row r="29" spans="1:14">
      <c r="A29" t="s">
        <v>1467</v>
      </c>
      <c r="B29">
        <v>61500</v>
      </c>
      <c r="E29" t="s">
        <v>1475</v>
      </c>
      <c r="F29">
        <f>SUMIFS('Jan-2026'!F:F,'Jan-2026'!C:C,E29)</f>
        <v>0</v>
      </c>
      <c r="H29" t="str">
        <f t="shared" si="0"/>
        <v>C00449</v>
      </c>
      <c r="I29" t="str">
        <f t="shared" si="1"/>
        <v>P00178</v>
      </c>
      <c r="L29" s="147"/>
      <c r="N29" s="264"/>
    </row>
    <row r="30" spans="1:14">
      <c r="A30" t="s">
        <v>1476</v>
      </c>
      <c r="B30">
        <v>20900</v>
      </c>
      <c r="E30" t="s">
        <v>1476</v>
      </c>
      <c r="F30">
        <f>SUMIFS('Jan-2026'!F:F,'Jan-2026'!C:C,E30)</f>
        <v>0</v>
      </c>
      <c r="H30" t="str">
        <f t="shared" si="0"/>
        <v>C00452</v>
      </c>
      <c r="I30" t="str">
        <f t="shared" si="1"/>
        <v>C00452</v>
      </c>
      <c r="L30" s="147"/>
      <c r="N30" s="264"/>
    </row>
    <row r="31" spans="1:14">
      <c r="A31" t="s">
        <v>1477</v>
      </c>
      <c r="B31">
        <v>21600</v>
      </c>
      <c r="E31" t="s">
        <v>1477</v>
      </c>
      <c r="F31">
        <f>SUMIFS('Jan-2026'!F:F,'Jan-2026'!C:C,E31)</f>
        <v>0</v>
      </c>
      <c r="H31" t="str">
        <f t="shared" si="0"/>
        <v>C00443</v>
      </c>
      <c r="I31" t="str">
        <f t="shared" si="1"/>
        <v>C00443</v>
      </c>
      <c r="L31" s="147"/>
      <c r="N31" s="264"/>
    </row>
    <row r="32" spans="1:14">
      <c r="A32" t="s">
        <v>1478</v>
      </c>
      <c r="B32">
        <v>24100</v>
      </c>
      <c r="E32" t="s">
        <v>1478</v>
      </c>
      <c r="F32">
        <f>SUMIFS('Jan-2026'!F:F,'Jan-2026'!C:C,E32)</f>
        <v>0</v>
      </c>
      <c r="H32" t="str">
        <f t="shared" si="0"/>
        <v>N00236</v>
      </c>
      <c r="I32" t="str">
        <f t="shared" si="1"/>
        <v>N00236</v>
      </c>
      <c r="L32" s="147"/>
      <c r="N32" s="264"/>
    </row>
    <row r="33" spans="1:14">
      <c r="A33" t="s">
        <v>1479</v>
      </c>
      <c r="B33">
        <v>36400</v>
      </c>
      <c r="E33" t="s">
        <v>1479</v>
      </c>
      <c r="F33">
        <f>SUMIFS('Jan-2026'!F:F,'Jan-2026'!C:C,E33)</f>
        <v>0</v>
      </c>
      <c r="H33" t="str">
        <f t="shared" si="0"/>
        <v>N00234</v>
      </c>
      <c r="I33" t="str">
        <f t="shared" si="1"/>
        <v>N00234</v>
      </c>
      <c r="L33" s="147"/>
      <c r="N33" s="264"/>
    </row>
    <row r="34" spans="1:14">
      <c r="A34" t="s">
        <v>1480</v>
      </c>
      <c r="B34">
        <v>20700</v>
      </c>
      <c r="E34" t="s">
        <v>1480</v>
      </c>
      <c r="F34">
        <f>SUMIFS('Jan-2026'!F:F,'Jan-2026'!C:C,E34)</f>
        <v>0</v>
      </c>
      <c r="H34" t="str">
        <f t="shared" si="0"/>
        <v>B00306</v>
      </c>
      <c r="I34" t="str">
        <f t="shared" si="1"/>
        <v>B00306</v>
      </c>
      <c r="L34" s="147"/>
      <c r="N34" s="264"/>
    </row>
    <row r="35" spans="1:14">
      <c r="A35" t="s">
        <v>1481</v>
      </c>
      <c r="B35">
        <v>21500</v>
      </c>
      <c r="E35" t="s">
        <v>1481</v>
      </c>
      <c r="F35">
        <f>SUMIFS('Jan-2026'!F:F,'Jan-2026'!C:C,E35)</f>
        <v>0</v>
      </c>
      <c r="H35" t="str">
        <f t="shared" si="0"/>
        <v>N00264</v>
      </c>
      <c r="I35" t="str">
        <f t="shared" si="1"/>
        <v>N00264</v>
      </c>
      <c r="L35" s="147"/>
      <c r="N35" s="264"/>
    </row>
    <row r="36" spans="1:14">
      <c r="A36" t="s">
        <v>1482</v>
      </c>
      <c r="B36">
        <v>37400</v>
      </c>
      <c r="E36" t="s">
        <v>1482</v>
      </c>
      <c r="F36">
        <f>SUMIFS('Jan-2026'!F:F,'Jan-2026'!C:C,E36)</f>
        <v>0</v>
      </c>
      <c r="H36" t="str">
        <f t="shared" si="0"/>
        <v>N00267</v>
      </c>
      <c r="I36" t="str">
        <f t="shared" si="1"/>
        <v>N00267</v>
      </c>
      <c r="L36" s="147"/>
      <c r="N36" s="264"/>
    </row>
    <row r="37" spans="1:14">
      <c r="A37" t="s">
        <v>1483</v>
      </c>
      <c r="B37">
        <v>19300</v>
      </c>
      <c r="E37" t="s">
        <v>1483</v>
      </c>
      <c r="F37">
        <f>SUMIFS('Jan-2026'!F:F,'Jan-2026'!C:C,E37)</f>
        <v>0</v>
      </c>
      <c r="H37" t="str">
        <f t="shared" si="0"/>
        <v>N00265</v>
      </c>
      <c r="I37" t="str">
        <f t="shared" si="1"/>
        <v>N00265</v>
      </c>
      <c r="L37" s="147"/>
      <c r="N37" s="264"/>
    </row>
    <row r="38" spans="1:14">
      <c r="A38" t="s">
        <v>1769</v>
      </c>
      <c r="B38">
        <v>6000</v>
      </c>
      <c r="E38" t="s">
        <v>1484</v>
      </c>
      <c r="F38">
        <f>SUMIFS('Jan-2026'!F:F,'Jan-2026'!C:C,E38)</f>
        <v>0</v>
      </c>
      <c r="H38" t="str">
        <f t="shared" si="0"/>
        <v>J00348</v>
      </c>
      <c r="I38" t="str">
        <f t="shared" si="1"/>
        <v>J00353</v>
      </c>
      <c r="L38" s="147"/>
      <c r="N38" s="264"/>
    </row>
    <row r="39" spans="1:14">
      <c r="A39" t="s">
        <v>1770</v>
      </c>
      <c r="B39">
        <v>6300</v>
      </c>
      <c r="E39" t="s">
        <v>1485</v>
      </c>
      <c r="F39">
        <f>SUMIFS('Jan-2026'!F:F,'Jan-2026'!C:C,E39)</f>
        <v>0</v>
      </c>
      <c r="H39" t="str">
        <f t="shared" si="0"/>
        <v>J00349</v>
      </c>
      <c r="I39" t="str">
        <f t="shared" si="1"/>
        <v>J00384</v>
      </c>
      <c r="L39" s="147"/>
      <c r="N39" s="264"/>
    </row>
    <row r="40" spans="1:14">
      <c r="A40" t="s">
        <v>1468</v>
      </c>
      <c r="B40">
        <v>2500</v>
      </c>
      <c r="E40" t="s">
        <v>1486</v>
      </c>
      <c r="F40">
        <f>SUMIFS('Jan-2026'!F:F,'Jan-2026'!C:C,E40)</f>
        <v>0</v>
      </c>
      <c r="H40" t="str">
        <f t="shared" si="0"/>
        <v>J00382</v>
      </c>
      <c r="I40" t="str">
        <f t="shared" si="1"/>
        <v>J00352</v>
      </c>
      <c r="L40" s="147"/>
      <c r="N40" s="264"/>
    </row>
    <row r="41" spans="1:14">
      <c r="A41" t="s">
        <v>1469</v>
      </c>
      <c r="B41">
        <v>4500</v>
      </c>
      <c r="E41" t="s">
        <v>1487</v>
      </c>
      <c r="F41">
        <f>SUMIFS('Jan-2026'!F:F,'Jan-2026'!C:C,E41)</f>
        <v>0</v>
      </c>
      <c r="H41" t="str">
        <f t="shared" si="0"/>
        <v>J00354</v>
      </c>
      <c r="I41" t="str">
        <f t="shared" si="1"/>
        <v>J00383</v>
      </c>
      <c r="L41" s="147"/>
      <c r="N41" s="264"/>
    </row>
    <row r="42" spans="1:14">
      <c r="A42" t="s">
        <v>1470</v>
      </c>
      <c r="B42">
        <v>7500</v>
      </c>
      <c r="E42" t="s">
        <v>1488</v>
      </c>
      <c r="F42">
        <f>SUMIFS('Jan-2026'!F:F,'Jan-2026'!C:C,E42)</f>
        <v>0</v>
      </c>
      <c r="H42" t="str">
        <f t="shared" si="0"/>
        <v>B00310</v>
      </c>
      <c r="I42" t="str">
        <f t="shared" si="1"/>
        <v>F00306</v>
      </c>
      <c r="L42" s="147"/>
      <c r="N42" s="264"/>
    </row>
    <row r="43" spans="1:14">
      <c r="A43" t="s">
        <v>1471</v>
      </c>
      <c r="B43">
        <v>13400</v>
      </c>
      <c r="E43" t="s">
        <v>1489</v>
      </c>
      <c r="F43">
        <f>SUMIFS('Jan-2026'!F:F,'Jan-2026'!C:C,E43)</f>
        <v>0</v>
      </c>
      <c r="H43" t="str">
        <f t="shared" si="0"/>
        <v>B00309</v>
      </c>
      <c r="I43" t="str">
        <f t="shared" si="1"/>
        <v>P00177</v>
      </c>
      <c r="L43" s="147"/>
      <c r="N43" s="264"/>
    </row>
    <row r="44" spans="1:14">
      <c r="A44" t="s">
        <v>1471</v>
      </c>
      <c r="B44">
        <v>48900</v>
      </c>
      <c r="E44" t="s">
        <v>1777</v>
      </c>
      <c r="F44">
        <f>SUMIFS('Jan-2026'!F:F,'Jan-2026'!C:C,E44)</f>
        <v>0</v>
      </c>
      <c r="H44" t="str">
        <f t="shared" si="0"/>
        <v>J00326</v>
      </c>
      <c r="I44" t="str">
        <f t="shared" si="1"/>
        <v>P00177</v>
      </c>
      <c r="L44" s="147"/>
      <c r="N44" s="264"/>
    </row>
    <row r="45" spans="1:14">
      <c r="A45" t="s">
        <v>1472</v>
      </c>
      <c r="B45">
        <v>69100</v>
      </c>
      <c r="E45" t="s">
        <v>1490</v>
      </c>
      <c r="F45">
        <f>SUMIFS('Jan-2026'!F:F,'Jan-2026'!C:C,E45)</f>
        <v>0</v>
      </c>
      <c r="H45" t="str">
        <f t="shared" si="0"/>
        <v>J00343</v>
      </c>
      <c r="I45" t="str">
        <f t="shared" si="1"/>
        <v>P00176</v>
      </c>
      <c r="L45" s="147"/>
      <c r="N45" s="264"/>
    </row>
    <row r="46" spans="1:14">
      <c r="A46" t="s">
        <v>1484</v>
      </c>
      <c r="E46" t="s">
        <v>1783</v>
      </c>
      <c r="F46">
        <f>SUMIFS('Jan-2026'!F:F,'Jan-2026'!C:C,E46)</f>
        <v>0</v>
      </c>
      <c r="H46" t="str">
        <f t="shared" si="0"/>
        <v>J00341</v>
      </c>
      <c r="I46" t="str">
        <f t="shared" si="1"/>
        <v>J00348</v>
      </c>
      <c r="L46" s="147"/>
      <c r="N46" s="264"/>
    </row>
    <row r="47" spans="1:14">
      <c r="A47" t="s">
        <v>1483</v>
      </c>
      <c r="B47">
        <v>19200</v>
      </c>
      <c r="E47" t="s">
        <v>1491</v>
      </c>
      <c r="F47">
        <f>SUMIFS('Jan-2026'!F:F,'Jan-2026'!C:C,E47)</f>
        <v>0</v>
      </c>
      <c r="H47" t="str">
        <f t="shared" si="0"/>
        <v>J00344</v>
      </c>
      <c r="I47" t="str">
        <f t="shared" si="1"/>
        <v>N00265</v>
      </c>
      <c r="L47" s="147"/>
      <c r="N47" s="264"/>
    </row>
    <row r="48" spans="1:14">
      <c r="A48" t="s">
        <v>1513</v>
      </c>
      <c r="B48">
        <v>21300</v>
      </c>
      <c r="E48" t="s">
        <v>1785</v>
      </c>
      <c r="F48">
        <f>SUMIFS('Jan-2026'!F:F,'Jan-2026'!C:C,E48)</f>
        <v>0</v>
      </c>
      <c r="H48" t="str">
        <f t="shared" si="0"/>
        <v>J00346</v>
      </c>
      <c r="I48" t="str">
        <f t="shared" si="1"/>
        <v>N00263</v>
      </c>
      <c r="L48" s="147"/>
      <c r="N48" s="264"/>
    </row>
    <row r="49" spans="1:14">
      <c r="A49">
        <v>65091</v>
      </c>
      <c r="B49">
        <v>3600</v>
      </c>
      <c r="E49" t="s">
        <v>1492</v>
      </c>
      <c r="F49">
        <f>SUMIFS('Jan-2026'!F:F,'Jan-2026'!C:C,E49)</f>
        <v>0</v>
      </c>
      <c r="H49" t="str">
        <f t="shared" si="0"/>
        <v>J00345</v>
      </c>
      <c r="I49">
        <f t="shared" si="1"/>
        <v>65091</v>
      </c>
      <c r="L49" s="147"/>
      <c r="N49" s="264"/>
    </row>
    <row r="50" spans="1:14">
      <c r="A50">
        <v>65092</v>
      </c>
      <c r="B50">
        <v>5300</v>
      </c>
      <c r="E50" t="s">
        <v>1787</v>
      </c>
      <c r="F50">
        <f>SUMIFS('Jan-2026'!F:F,'Jan-2026'!C:C,E50)</f>
        <v>0</v>
      </c>
      <c r="H50" t="str">
        <f t="shared" si="0"/>
        <v>C00459</v>
      </c>
      <c r="I50">
        <f t="shared" si="1"/>
        <v>65092</v>
      </c>
      <c r="L50" s="147"/>
      <c r="N50" s="264"/>
    </row>
    <row r="51" spans="1:14">
      <c r="A51" t="s">
        <v>1514</v>
      </c>
      <c r="B51">
        <v>6700</v>
      </c>
      <c r="E51" t="s">
        <v>1493</v>
      </c>
      <c r="F51">
        <f>SUMIFS('Jan-2026'!F:F,'Jan-2026'!C:C,E51)</f>
        <v>0</v>
      </c>
      <c r="H51" t="str">
        <f t="shared" si="0"/>
        <v>C00495</v>
      </c>
      <c r="I51" t="str">
        <f t="shared" si="1"/>
        <v>J00372</v>
      </c>
      <c r="L51" s="147"/>
      <c r="N51" s="264"/>
    </row>
    <row r="52" spans="1:14">
      <c r="A52" t="s">
        <v>1514</v>
      </c>
      <c r="B52">
        <v>4600</v>
      </c>
      <c r="E52" t="s">
        <v>1494</v>
      </c>
      <c r="F52">
        <f>SUMIFS('Jan-2026'!F:F,'Jan-2026'!C:C,E52)</f>
        <v>0</v>
      </c>
      <c r="H52" t="str">
        <f t="shared" si="0"/>
        <v>F00319</v>
      </c>
      <c r="I52" t="str">
        <f t="shared" si="1"/>
        <v>J00372</v>
      </c>
      <c r="L52" s="147"/>
      <c r="N52" s="264"/>
    </row>
    <row r="53" spans="1:14">
      <c r="A53" t="s">
        <v>1515</v>
      </c>
      <c r="B53">
        <v>32600</v>
      </c>
      <c r="E53" t="s">
        <v>1495</v>
      </c>
      <c r="F53">
        <f>SUMIFS('Jan-2026'!F:F,'Jan-2026'!C:C,E53)</f>
        <v>0</v>
      </c>
      <c r="H53" t="str">
        <f t="shared" si="0"/>
        <v>F00320</v>
      </c>
      <c r="I53" t="str">
        <f t="shared" si="1"/>
        <v>J00371</v>
      </c>
      <c r="L53" s="147"/>
      <c r="N53" s="264"/>
    </row>
    <row r="54" spans="1:14">
      <c r="A54" t="s">
        <v>1516</v>
      </c>
      <c r="B54">
        <v>52000</v>
      </c>
      <c r="E54" t="s">
        <v>1496</v>
      </c>
      <c r="F54">
        <f>SUMIFS('Jan-2026'!F:F,'Jan-2026'!C:C,E54)</f>
        <v>0</v>
      </c>
      <c r="H54" t="str">
        <f t="shared" si="0"/>
        <v>F00322</v>
      </c>
      <c r="I54" t="str">
        <f t="shared" si="1"/>
        <v>E00367</v>
      </c>
      <c r="L54" s="147"/>
      <c r="N54" s="264"/>
    </row>
    <row r="55" spans="1:14">
      <c r="A55" t="s">
        <v>1484</v>
      </c>
      <c r="B55">
        <v>4200</v>
      </c>
      <c r="E55" t="s">
        <v>1497</v>
      </c>
      <c r="F55">
        <f>SUMIFS('Jan-2026'!F:F,'Jan-2026'!C:C,E55)</f>
        <v>0</v>
      </c>
      <c r="H55" t="str">
        <f t="shared" si="0"/>
        <v>F00321</v>
      </c>
      <c r="I55" t="str">
        <f t="shared" si="1"/>
        <v>J00348</v>
      </c>
      <c r="L55" s="147"/>
      <c r="N55" s="264"/>
    </row>
    <row r="56" spans="1:14">
      <c r="A56" t="s">
        <v>1485</v>
      </c>
      <c r="B56">
        <v>4200</v>
      </c>
      <c r="E56" t="s">
        <v>1498</v>
      </c>
      <c r="F56">
        <f>SUMIFS('Jan-2026'!F:F,'Jan-2026'!C:C,E56)</f>
        <v>0</v>
      </c>
      <c r="H56" t="str">
        <f t="shared" si="0"/>
        <v>F00325</v>
      </c>
      <c r="I56" t="str">
        <f t="shared" si="1"/>
        <v>J00349</v>
      </c>
      <c r="L56" s="147"/>
      <c r="N56" s="264"/>
    </row>
    <row r="57" spans="1:14">
      <c r="A57" t="s">
        <v>1486</v>
      </c>
      <c r="B57">
        <v>4500</v>
      </c>
      <c r="E57" t="s">
        <v>1499</v>
      </c>
      <c r="F57">
        <f>SUMIFS('Jan-2026'!F:F,'Jan-2026'!C:C,E57)</f>
        <v>0</v>
      </c>
      <c r="H57" t="str">
        <f t="shared" si="0"/>
        <v>F00326</v>
      </c>
      <c r="I57" t="str">
        <f t="shared" si="1"/>
        <v>J00382</v>
      </c>
      <c r="L57" s="147"/>
      <c r="N57" s="264"/>
    </row>
    <row r="58" spans="1:14">
      <c r="A58" t="s">
        <v>1487</v>
      </c>
      <c r="B58">
        <v>6400</v>
      </c>
      <c r="E58" t="s">
        <v>1791</v>
      </c>
      <c r="F58">
        <f>SUMIFS('Jan-2026'!F:F,'Jan-2026'!C:C,E58)</f>
        <v>0</v>
      </c>
      <c r="H58" t="str">
        <f t="shared" si="0"/>
        <v>J00245</v>
      </c>
      <c r="I58" t="str">
        <f t="shared" si="1"/>
        <v>J00354</v>
      </c>
      <c r="L58" s="147"/>
      <c r="N58" s="264"/>
    </row>
    <row r="59" spans="1:14">
      <c r="A59" t="s">
        <v>1488</v>
      </c>
      <c r="B59">
        <v>16500</v>
      </c>
      <c r="E59" t="s">
        <v>1500</v>
      </c>
      <c r="F59">
        <f>SUMIFS('Jan-2026'!F:F,'Jan-2026'!C:C,E59)</f>
        <v>0</v>
      </c>
      <c r="H59" t="str">
        <f t="shared" si="0"/>
        <v>J00243</v>
      </c>
      <c r="I59" t="str">
        <f t="shared" si="1"/>
        <v>B00310</v>
      </c>
      <c r="L59" s="147"/>
      <c r="N59" s="264"/>
    </row>
    <row r="60" spans="1:14">
      <c r="A60" t="s">
        <v>1489</v>
      </c>
      <c r="B60">
        <v>15300</v>
      </c>
      <c r="E60" t="s">
        <v>1793</v>
      </c>
      <c r="F60">
        <f>SUMIFS('Jan-2026'!F:F,'Jan-2026'!C:C,E60)</f>
        <v>0</v>
      </c>
      <c r="H60" t="str">
        <f t="shared" si="0"/>
        <v>J00244</v>
      </c>
      <c r="I60" t="str">
        <f t="shared" si="1"/>
        <v>B00309</v>
      </c>
      <c r="L60" s="147"/>
      <c r="N60" s="264"/>
    </row>
    <row r="61" spans="1:14">
      <c r="A61" t="s">
        <v>1509</v>
      </c>
      <c r="B61">
        <v>18900</v>
      </c>
      <c r="E61" t="s">
        <v>1501</v>
      </c>
      <c r="F61">
        <f>SUMIFS('Jan-2026'!F:F,'Jan-2026'!C:C,E61)</f>
        <v>0</v>
      </c>
      <c r="H61" t="str">
        <f t="shared" si="0"/>
        <v>P00186</v>
      </c>
      <c r="I61" t="str">
        <f t="shared" si="1"/>
        <v>P00169</v>
      </c>
      <c r="L61" s="147"/>
      <c r="N61" s="264"/>
    </row>
    <row r="62" spans="1:14">
      <c r="A62" t="s">
        <v>1510</v>
      </c>
      <c r="B62">
        <v>22400</v>
      </c>
      <c r="E62" t="s">
        <v>1502</v>
      </c>
      <c r="F62">
        <f>SUMIFS('Jan-2026'!F:F,'Jan-2026'!C:C,E62)</f>
        <v>0</v>
      </c>
      <c r="H62" t="str">
        <f t="shared" si="0"/>
        <v>F00323</v>
      </c>
      <c r="I62" t="str">
        <f t="shared" si="1"/>
        <v>P00170</v>
      </c>
      <c r="L62" s="147"/>
      <c r="N62" s="264"/>
    </row>
    <row r="63" spans="1:14">
      <c r="A63" t="s">
        <v>1511</v>
      </c>
      <c r="B63">
        <v>22200</v>
      </c>
      <c r="E63" t="s">
        <v>1503</v>
      </c>
      <c r="F63">
        <f>SUMIFS('Jan-2026'!F:F,'Jan-2026'!C:C,E63)</f>
        <v>0</v>
      </c>
      <c r="H63" t="str">
        <f t="shared" si="0"/>
        <v>F00328</v>
      </c>
      <c r="I63" t="str">
        <f t="shared" si="1"/>
        <v>P00171</v>
      </c>
      <c r="L63" s="147"/>
      <c r="N63" s="264"/>
    </row>
    <row r="64" spans="1:14">
      <c r="A64" t="s">
        <v>1512</v>
      </c>
      <c r="B64">
        <v>5100</v>
      </c>
      <c r="E64" t="s">
        <v>1504</v>
      </c>
      <c r="F64">
        <f>SUMIFS('Jan-2026'!F:F,'Jan-2026'!C:C,E64)</f>
        <v>0</v>
      </c>
      <c r="H64" t="str">
        <f t="shared" si="0"/>
        <v>F00327</v>
      </c>
      <c r="I64" t="str">
        <f t="shared" si="1"/>
        <v>L00119</v>
      </c>
      <c r="L64" s="147"/>
      <c r="N64" s="264"/>
    </row>
    <row r="65" spans="1:14">
      <c r="A65" t="s">
        <v>1516</v>
      </c>
      <c r="B65">
        <v>76200</v>
      </c>
      <c r="E65" t="s">
        <v>1506</v>
      </c>
      <c r="F65">
        <f>SUMIFS('Jan-2026'!F:F,'Jan-2026'!C:C,E65)</f>
        <v>0</v>
      </c>
      <c r="H65" t="str">
        <f t="shared" si="0"/>
        <v>B00348</v>
      </c>
      <c r="I65" t="str">
        <f t="shared" si="1"/>
        <v>E00367</v>
      </c>
      <c r="L65" s="147"/>
      <c r="N65" s="264"/>
    </row>
    <row r="66" spans="1:14">
      <c r="A66" t="s">
        <v>1545</v>
      </c>
      <c r="B66">
        <v>31900</v>
      </c>
      <c r="E66" t="s">
        <v>1507</v>
      </c>
      <c r="F66">
        <f>SUMIFS('Jan-2026'!F:F,'Jan-2026'!C:C,E66)</f>
        <v>0</v>
      </c>
      <c r="H66" t="str">
        <f t="shared" si="0"/>
        <v>G00148</v>
      </c>
      <c r="I66" t="str">
        <f t="shared" si="1"/>
        <v>N00281</v>
      </c>
      <c r="L66" s="147"/>
      <c r="N66" s="264"/>
    </row>
    <row r="67" spans="1:14">
      <c r="A67">
        <v>65092</v>
      </c>
      <c r="B67">
        <v>6350</v>
      </c>
      <c r="E67" t="s">
        <v>1508</v>
      </c>
      <c r="F67">
        <f>SUMIFS('Jan-2026'!F:F,'Jan-2026'!C:C,E67)</f>
        <v>0</v>
      </c>
      <c r="H67" t="str">
        <f t="shared" si="0"/>
        <v>G00143</v>
      </c>
      <c r="I67">
        <f t="shared" si="1"/>
        <v>65092</v>
      </c>
      <c r="L67" s="147"/>
      <c r="N67" s="264"/>
    </row>
    <row r="68" spans="1:14">
      <c r="A68">
        <v>65091</v>
      </c>
      <c r="B68">
        <v>3200</v>
      </c>
      <c r="E68" t="s">
        <v>1509</v>
      </c>
      <c r="F68">
        <f>SUMIFS('Jan-2026'!F:F,'Jan-2026'!C:C,E68)</f>
        <v>0</v>
      </c>
      <c r="H68" t="str">
        <f t="shared" si="0"/>
        <v>P00169</v>
      </c>
      <c r="I68">
        <f t="shared" si="1"/>
        <v>65091</v>
      </c>
      <c r="L68" s="147"/>
      <c r="N68" s="264"/>
    </row>
    <row r="69" spans="1:14">
      <c r="A69">
        <v>65092</v>
      </c>
      <c r="B69">
        <v>1900</v>
      </c>
      <c r="E69" t="s">
        <v>1510</v>
      </c>
      <c r="F69">
        <f>SUMIFS('Jan-2026'!F:F,'Jan-2026'!C:C,E69)</f>
        <v>0</v>
      </c>
      <c r="H69" t="str">
        <f t="shared" si="0"/>
        <v>P00170</v>
      </c>
      <c r="I69">
        <f t="shared" si="1"/>
        <v>65092</v>
      </c>
      <c r="L69" s="147"/>
      <c r="N69" s="264"/>
    </row>
    <row r="70" spans="1:14">
      <c r="A70" t="s">
        <v>1546</v>
      </c>
      <c r="B70">
        <v>25900</v>
      </c>
      <c r="E70" t="s">
        <v>1511</v>
      </c>
      <c r="F70">
        <f>SUMIFS('Jan-2026'!F:F,'Jan-2026'!C:C,E70)</f>
        <v>0</v>
      </c>
      <c r="H70" t="str">
        <f t="shared" ref="H70:H133" si="2">VLOOKUP(E70,A:B,1,FALSE)</f>
        <v>P00171</v>
      </c>
      <c r="I70" t="str">
        <f t="shared" ref="I70:I133" si="3">VLOOKUP(A70,E:F,1,FALSE)</f>
        <v>J00363</v>
      </c>
      <c r="L70" s="147"/>
      <c r="N70" s="264"/>
    </row>
    <row r="71" spans="1:14">
      <c r="A71" t="s">
        <v>1771</v>
      </c>
      <c r="B71">
        <v>28900</v>
      </c>
      <c r="E71" t="s">
        <v>1512</v>
      </c>
      <c r="F71">
        <f>SUMIFS('Jan-2026'!F:F,'Jan-2026'!C:C,E71)</f>
        <v>0</v>
      </c>
      <c r="H71" t="str">
        <f t="shared" si="2"/>
        <v>L00119</v>
      </c>
      <c r="I71" t="e">
        <f>VLOOKUP(A71,E:F,1,FALSE)</f>
        <v>#N/A</v>
      </c>
      <c r="L71" s="147"/>
      <c r="N71" s="264"/>
    </row>
    <row r="72" spans="1:14">
      <c r="A72" t="s">
        <v>1547</v>
      </c>
      <c r="B72">
        <v>28800</v>
      </c>
      <c r="E72" t="s">
        <v>1513</v>
      </c>
      <c r="F72">
        <f>SUMIFS('Jan-2026'!F:F,'Jan-2026'!C:C,E72)</f>
        <v>0</v>
      </c>
      <c r="H72" t="str">
        <f t="shared" si="2"/>
        <v>N00263</v>
      </c>
      <c r="I72" t="str">
        <f t="shared" si="3"/>
        <v>C00446</v>
      </c>
      <c r="L72" s="147"/>
      <c r="N72" s="264"/>
    </row>
    <row r="73" spans="1:14">
      <c r="A73" t="s">
        <v>1548</v>
      </c>
      <c r="B73">
        <v>29000</v>
      </c>
      <c r="E73">
        <v>65091</v>
      </c>
      <c r="F73">
        <f>SUMIFS('Jan-2026'!F:F,'Jan-2026'!C:C,E73)</f>
        <v>0</v>
      </c>
      <c r="H73">
        <f t="shared" si="2"/>
        <v>65091</v>
      </c>
      <c r="I73" t="str">
        <f t="shared" si="3"/>
        <v>C00444</v>
      </c>
      <c r="L73" s="147"/>
      <c r="N73" s="264"/>
    </row>
    <row r="74" spans="1:14">
      <c r="A74" t="s">
        <v>1512</v>
      </c>
      <c r="B74">
        <v>36000</v>
      </c>
      <c r="E74" t="s">
        <v>1514</v>
      </c>
      <c r="F74">
        <f>SUMIFS('Jan-2026'!F:F,'Jan-2026'!C:C,E74)</f>
        <v>0</v>
      </c>
      <c r="H74" t="str">
        <f t="shared" si="2"/>
        <v>J00372</v>
      </c>
      <c r="I74" t="str">
        <f t="shared" si="3"/>
        <v>L00119</v>
      </c>
      <c r="L74" s="147"/>
      <c r="N74" s="264"/>
    </row>
    <row r="75" spans="1:14">
      <c r="A75" t="s">
        <v>1549</v>
      </c>
      <c r="B75">
        <v>41200</v>
      </c>
      <c r="E75" t="s">
        <v>1515</v>
      </c>
      <c r="F75">
        <f>SUMIFS('Jan-2026'!F:F,'Jan-2026'!C:C,E75)</f>
        <v>0</v>
      </c>
      <c r="H75" t="str">
        <f t="shared" si="2"/>
        <v>J00371</v>
      </c>
      <c r="I75" t="str">
        <f t="shared" si="3"/>
        <v>L00120</v>
      </c>
      <c r="L75" s="147"/>
      <c r="N75" s="264"/>
    </row>
    <row r="76" spans="1:14">
      <c r="A76" t="s">
        <v>1551</v>
      </c>
      <c r="B76">
        <v>40900</v>
      </c>
      <c r="E76" t="s">
        <v>1516</v>
      </c>
      <c r="F76">
        <f>SUMIFS('Jan-2026'!F:F,'Jan-2026'!C:C,E76)</f>
        <v>0</v>
      </c>
      <c r="H76" t="str">
        <f t="shared" si="2"/>
        <v>E00367</v>
      </c>
      <c r="I76" t="str">
        <f t="shared" si="3"/>
        <v>L00121</v>
      </c>
      <c r="L76" s="147"/>
      <c r="N76" s="264"/>
    </row>
    <row r="77" spans="1:14">
      <c r="A77" t="s">
        <v>1772</v>
      </c>
      <c r="B77">
        <v>71600</v>
      </c>
      <c r="E77" t="s">
        <v>1517</v>
      </c>
      <c r="F77">
        <f>SUMIFS('Jan-2026'!F:F,'Jan-2026'!C:C,E77)</f>
        <v>0</v>
      </c>
      <c r="H77" t="str">
        <f t="shared" si="2"/>
        <v>C00447</v>
      </c>
      <c r="I77" t="str">
        <f t="shared" si="3"/>
        <v>N00246</v>
      </c>
      <c r="L77" s="147"/>
      <c r="N77" s="264"/>
    </row>
    <row r="78" spans="1:14">
      <c r="A78" t="s">
        <v>1773</v>
      </c>
      <c r="B78">
        <v>37500</v>
      </c>
      <c r="E78" t="s">
        <v>1518</v>
      </c>
      <c r="F78">
        <f>SUMIFS('Jan-2026'!F:F,'Jan-2026'!C:C,E78)</f>
        <v>0</v>
      </c>
      <c r="H78" t="str">
        <f t="shared" si="2"/>
        <v>C00372</v>
      </c>
      <c r="I78" t="str">
        <f t="shared" si="3"/>
        <v>N00245</v>
      </c>
      <c r="L78" s="147"/>
      <c r="N78" s="264"/>
    </row>
    <row r="79" spans="1:14">
      <c r="A79" t="s">
        <v>1452</v>
      </c>
      <c r="B79">
        <v>13300</v>
      </c>
      <c r="E79" t="s">
        <v>1818</v>
      </c>
      <c r="F79">
        <f>SUMIFS('Jan-2026'!F:F,'Jan-2026'!C:C,E79)</f>
        <v>0</v>
      </c>
      <c r="H79" t="str">
        <f t="shared" si="2"/>
        <v>C00497</v>
      </c>
      <c r="I79" t="str">
        <f t="shared" si="3"/>
        <v>G00108</v>
      </c>
      <c r="L79" s="147"/>
      <c r="N79" s="264"/>
    </row>
    <row r="80" spans="1:14">
      <c r="A80" t="s">
        <v>1517</v>
      </c>
      <c r="B80">
        <v>36700</v>
      </c>
      <c r="E80" t="s">
        <v>1519</v>
      </c>
      <c r="F80">
        <f>SUMIFS('Jan-2026'!F:F,'Jan-2026'!C:C,E80)</f>
        <v>0</v>
      </c>
      <c r="H80" t="str">
        <f t="shared" si="2"/>
        <v>C00474</v>
      </c>
      <c r="I80" t="str">
        <f t="shared" si="3"/>
        <v>C00447</v>
      </c>
      <c r="L80" s="147"/>
      <c r="N80" s="264"/>
    </row>
    <row r="81" spans="1:14">
      <c r="A81" t="s">
        <v>1550</v>
      </c>
      <c r="B81">
        <v>9600</v>
      </c>
      <c r="E81" t="s">
        <v>1520</v>
      </c>
      <c r="F81">
        <f>SUMIFS('Jan-2026'!F:F,'Jan-2026'!C:C,E81)</f>
        <v>0</v>
      </c>
      <c r="H81" t="str">
        <f t="shared" si="2"/>
        <v>H00241</v>
      </c>
      <c r="I81" t="str">
        <f t="shared" si="3"/>
        <v>E00361</v>
      </c>
      <c r="L81" s="147"/>
      <c r="N81" s="264"/>
    </row>
    <row r="82" spans="1:14">
      <c r="A82" t="s">
        <v>1774</v>
      </c>
      <c r="B82">
        <v>9800</v>
      </c>
      <c r="E82" t="s">
        <v>1521</v>
      </c>
      <c r="F82">
        <f>SUMIFS('Jan-2026'!F:F,'Jan-2026'!C:C,E82)</f>
        <v>0</v>
      </c>
      <c r="H82" t="str">
        <f t="shared" si="2"/>
        <v>N00174</v>
      </c>
      <c r="I82" t="e">
        <f t="shared" si="3"/>
        <v>#N/A</v>
      </c>
      <c r="L82" s="147"/>
      <c r="N82" s="264"/>
    </row>
    <row r="83" spans="1:14">
      <c r="A83" t="s">
        <v>1775</v>
      </c>
      <c r="E83" t="s">
        <v>1522</v>
      </c>
      <c r="F83">
        <f>SUMIFS('Jan-2026'!F:F,'Jan-2026'!C:C,E83)</f>
        <v>0</v>
      </c>
      <c r="H83" t="str">
        <f t="shared" si="2"/>
        <v>N00176</v>
      </c>
      <c r="I83" t="str">
        <f t="shared" si="3"/>
        <v>E00378</v>
      </c>
      <c r="L83" s="147"/>
      <c r="N83" s="264"/>
    </row>
    <row r="84" spans="1:14">
      <c r="A84" t="s">
        <v>1775</v>
      </c>
      <c r="B84">
        <v>30400</v>
      </c>
      <c r="E84" t="s">
        <v>1523</v>
      </c>
      <c r="F84">
        <f>SUMIFS('Jan-2026'!F:F,'Jan-2026'!C:C,E84)</f>
        <v>0</v>
      </c>
      <c r="H84" t="str">
        <f t="shared" si="2"/>
        <v>N00175</v>
      </c>
      <c r="I84" t="str">
        <f t="shared" si="3"/>
        <v>E00378</v>
      </c>
      <c r="L84" s="147"/>
      <c r="N84" s="264"/>
    </row>
    <row r="85" spans="1:14">
      <c r="A85" t="s">
        <v>1552</v>
      </c>
      <c r="B85">
        <v>10000</v>
      </c>
      <c r="E85" t="s">
        <v>1524</v>
      </c>
      <c r="F85">
        <f>SUMIFS('Jan-2026'!F:F,'Jan-2026'!C:C,E85)</f>
        <v>0</v>
      </c>
      <c r="H85" t="str">
        <f t="shared" si="2"/>
        <v>N00173</v>
      </c>
      <c r="I85" t="str">
        <f t="shared" si="3"/>
        <v>E00379</v>
      </c>
      <c r="L85" s="147"/>
      <c r="N85" s="264"/>
    </row>
    <row r="86" spans="1:14">
      <c r="A86" t="s">
        <v>1518</v>
      </c>
      <c r="B86">
        <v>13000</v>
      </c>
      <c r="E86" t="s">
        <v>1525</v>
      </c>
      <c r="F86">
        <f>SUMIFS('Jan-2026'!F:F,'Jan-2026'!C:C,E86)</f>
        <v>0</v>
      </c>
      <c r="H86" t="str">
        <f t="shared" si="2"/>
        <v>C00477</v>
      </c>
      <c r="I86" t="str">
        <f t="shared" si="3"/>
        <v>C00372</v>
      </c>
      <c r="L86" s="147"/>
      <c r="N86" s="264"/>
    </row>
    <row r="87" spans="1:14">
      <c r="A87" t="s">
        <v>1776</v>
      </c>
      <c r="B87">
        <v>54000</v>
      </c>
      <c r="E87" t="s">
        <v>1526</v>
      </c>
      <c r="F87">
        <f>SUMIFS('Jan-2026'!F:F,'Jan-2026'!C:C,E87)</f>
        <v>0</v>
      </c>
      <c r="H87" t="str">
        <f t="shared" si="2"/>
        <v>C00435</v>
      </c>
      <c r="I87" t="e">
        <f t="shared" si="3"/>
        <v>#N/A</v>
      </c>
      <c r="L87" s="147"/>
      <c r="N87" s="264"/>
    </row>
    <row r="88" spans="1:14">
      <c r="A88" t="s">
        <v>1452</v>
      </c>
      <c r="B88">
        <v>42400</v>
      </c>
      <c r="E88" t="s">
        <v>1527</v>
      </c>
      <c r="F88">
        <f>SUMIFS('Jan-2026'!F:F,'Jan-2026'!C:C,E88)</f>
        <v>0</v>
      </c>
      <c r="H88" t="str">
        <f t="shared" si="2"/>
        <v>C00433</v>
      </c>
      <c r="I88" t="str">
        <f t="shared" si="3"/>
        <v>G00108</v>
      </c>
      <c r="L88" s="147"/>
      <c r="N88" s="264"/>
    </row>
    <row r="89" spans="1:14">
      <c r="A89" t="s">
        <v>1777</v>
      </c>
      <c r="B89">
        <v>20100</v>
      </c>
      <c r="E89" t="s">
        <v>1528</v>
      </c>
      <c r="F89">
        <f>SUMIFS('Jan-2026'!F:F,'Jan-2026'!C:C,E89)</f>
        <v>0</v>
      </c>
      <c r="H89" t="str">
        <f t="shared" si="2"/>
        <v>C00430</v>
      </c>
      <c r="I89" t="str">
        <f t="shared" si="3"/>
        <v>J00326</v>
      </c>
      <c r="L89" s="147"/>
      <c r="N89" s="264"/>
    </row>
    <row r="90" spans="1:14">
      <c r="A90" t="s">
        <v>1778</v>
      </c>
      <c r="B90">
        <v>7100</v>
      </c>
      <c r="E90" t="s">
        <v>1529</v>
      </c>
      <c r="F90">
        <f>SUMIFS('Jan-2026'!F:F,'Jan-2026'!C:C,E90)</f>
        <v>0</v>
      </c>
      <c r="H90" t="str">
        <f t="shared" si="2"/>
        <v>N00280</v>
      </c>
      <c r="I90" t="str">
        <f t="shared" si="3"/>
        <v>J00328</v>
      </c>
      <c r="L90" s="147"/>
      <c r="N90" s="264"/>
    </row>
    <row r="91" spans="1:14">
      <c r="A91" t="s">
        <v>1779</v>
      </c>
      <c r="B91">
        <v>3800</v>
      </c>
      <c r="E91" t="s">
        <v>1530</v>
      </c>
      <c r="F91">
        <f>SUMIFS('Jan-2026'!F:F,'Jan-2026'!C:C,E91)</f>
        <v>0</v>
      </c>
      <c r="H91" t="str">
        <f t="shared" si="2"/>
        <v>F00324</v>
      </c>
      <c r="I91" t="str">
        <f t="shared" si="3"/>
        <v>J00329</v>
      </c>
      <c r="L91" s="147"/>
      <c r="N91" s="264"/>
    </row>
    <row r="92" spans="1:14">
      <c r="A92" t="s">
        <v>1780</v>
      </c>
      <c r="B92">
        <v>8900</v>
      </c>
      <c r="E92" t="s">
        <v>1531</v>
      </c>
      <c r="F92">
        <f>SUMIFS('Jan-2026'!F:F,'Jan-2026'!C:C,E92)</f>
        <v>0</v>
      </c>
      <c r="H92" t="str">
        <f t="shared" si="2"/>
        <v>E00373</v>
      </c>
      <c r="I92" t="str">
        <f t="shared" si="3"/>
        <v>J00327</v>
      </c>
      <c r="L92" s="147"/>
      <c r="N92" s="264"/>
    </row>
    <row r="93" spans="1:14">
      <c r="A93" t="s">
        <v>1781</v>
      </c>
      <c r="B93">
        <v>4300</v>
      </c>
      <c r="E93" t="s">
        <v>1532</v>
      </c>
      <c r="F93">
        <f>SUMIFS('Jan-2026'!F:F,'Jan-2026'!C:C,E93)</f>
        <v>0</v>
      </c>
      <c r="H93" t="str">
        <f t="shared" si="2"/>
        <v>E00376</v>
      </c>
      <c r="I93" t="str">
        <f t="shared" si="3"/>
        <v>J00331</v>
      </c>
      <c r="L93" s="147"/>
      <c r="N93" s="264"/>
    </row>
    <row r="94" spans="1:14">
      <c r="A94" t="s">
        <v>1782</v>
      </c>
      <c r="B94">
        <v>3800</v>
      </c>
      <c r="E94" t="s">
        <v>1533</v>
      </c>
      <c r="F94">
        <f>SUMIFS('Jan-2026'!F:F,'Jan-2026'!C:C,E94)</f>
        <v>0</v>
      </c>
      <c r="H94" t="str">
        <f t="shared" si="2"/>
        <v>E00377</v>
      </c>
      <c r="I94" t="str">
        <f t="shared" si="3"/>
        <v>J00330</v>
      </c>
      <c r="L94" s="147"/>
      <c r="N94" s="264"/>
    </row>
    <row r="95" spans="1:14">
      <c r="A95" t="s">
        <v>1782</v>
      </c>
      <c r="B95">
        <v>10100</v>
      </c>
      <c r="E95" t="s">
        <v>1534</v>
      </c>
      <c r="F95">
        <f>SUMIFS('Jan-2026'!F:F,'Jan-2026'!C:C,E95)</f>
        <v>0</v>
      </c>
      <c r="H95" t="str">
        <f t="shared" si="2"/>
        <v>E00372</v>
      </c>
      <c r="I95" t="str">
        <f t="shared" si="3"/>
        <v>J00330</v>
      </c>
      <c r="L95" s="147"/>
      <c r="N95" s="264"/>
    </row>
    <row r="96" spans="1:14">
      <c r="A96" t="s">
        <v>1490</v>
      </c>
      <c r="B96">
        <v>96700</v>
      </c>
      <c r="E96" t="s">
        <v>1535</v>
      </c>
      <c r="F96">
        <f>SUMIFS('Jan-2026'!F:F,'Jan-2026'!C:C,E96)</f>
        <v>0</v>
      </c>
      <c r="H96" t="str">
        <f t="shared" si="2"/>
        <v>N00268</v>
      </c>
      <c r="I96" t="str">
        <f t="shared" si="3"/>
        <v>J00343</v>
      </c>
      <c r="L96" s="147"/>
      <c r="N96" s="264"/>
    </row>
    <row r="97" spans="1:14">
      <c r="A97" t="s">
        <v>1783</v>
      </c>
      <c r="B97">
        <v>38800</v>
      </c>
      <c r="E97" t="s">
        <v>1536</v>
      </c>
      <c r="F97">
        <f>SUMIFS('Jan-2026'!F:F,'Jan-2026'!C:C,E97)</f>
        <v>0</v>
      </c>
      <c r="H97" t="str">
        <f t="shared" si="2"/>
        <v>N00266</v>
      </c>
      <c r="I97" t="str">
        <f t="shared" si="3"/>
        <v>J00341</v>
      </c>
      <c r="L97" s="147"/>
      <c r="N97" s="264"/>
    </row>
    <row r="98" spans="1:14">
      <c r="A98" t="s">
        <v>1776</v>
      </c>
      <c r="B98">
        <v>9000</v>
      </c>
      <c r="E98" t="s">
        <v>1537</v>
      </c>
      <c r="F98">
        <f>SUMIFS('Jan-2026'!F:F,'Jan-2026'!C:C,E98)</f>
        <v>0</v>
      </c>
      <c r="H98" t="str">
        <f t="shared" si="2"/>
        <v>E00381</v>
      </c>
      <c r="I98" t="e">
        <f t="shared" si="3"/>
        <v>#N/A</v>
      </c>
      <c r="L98" s="147"/>
      <c r="N98" s="264"/>
    </row>
    <row r="99" spans="1:14">
      <c r="A99" t="s">
        <v>1519</v>
      </c>
      <c r="B99">
        <v>19700</v>
      </c>
      <c r="E99" t="s">
        <v>1538</v>
      </c>
      <c r="F99">
        <f>SUMIFS('Jan-2026'!F:F,'Jan-2026'!C:C,E99)</f>
        <v>0</v>
      </c>
      <c r="H99" t="str">
        <f t="shared" si="2"/>
        <v>E00393</v>
      </c>
      <c r="I99" t="str">
        <f t="shared" si="3"/>
        <v>C00474</v>
      </c>
      <c r="L99" s="147"/>
      <c r="N99" s="264"/>
    </row>
    <row r="100" spans="1:14">
      <c r="A100" t="s">
        <v>1520</v>
      </c>
      <c r="B100">
        <v>8000</v>
      </c>
      <c r="E100" t="s">
        <v>1539</v>
      </c>
      <c r="F100">
        <f>SUMIFS('Jan-2026'!F:F,'Jan-2026'!C:C,E100)</f>
        <v>0</v>
      </c>
      <c r="H100" t="str">
        <f t="shared" si="2"/>
        <v>E00380</v>
      </c>
      <c r="I100" t="str">
        <f t="shared" si="3"/>
        <v>H00241</v>
      </c>
      <c r="L100" s="147"/>
      <c r="N100" s="264"/>
    </row>
    <row r="101" spans="1:14">
      <c r="A101" t="s">
        <v>1521</v>
      </c>
      <c r="B101">
        <v>22700</v>
      </c>
      <c r="E101" t="s">
        <v>1540</v>
      </c>
      <c r="F101">
        <f>SUMIFS('Jan-2026'!F:F,'Jan-2026'!C:C,E101)</f>
        <v>0</v>
      </c>
      <c r="H101" t="str">
        <f t="shared" si="2"/>
        <v>F00333</v>
      </c>
      <c r="I101" t="str">
        <f t="shared" si="3"/>
        <v>N00174</v>
      </c>
      <c r="L101" s="147"/>
      <c r="N101" s="264"/>
    </row>
    <row r="102" spans="1:14">
      <c r="A102" t="s">
        <v>1522</v>
      </c>
      <c r="B102">
        <v>22700</v>
      </c>
      <c r="E102" t="s">
        <v>1541</v>
      </c>
      <c r="F102">
        <f>SUMIFS('Jan-2026'!F:F,'Jan-2026'!C:C,E102)</f>
        <v>0</v>
      </c>
      <c r="H102" t="str">
        <f t="shared" si="2"/>
        <v>E00383</v>
      </c>
      <c r="I102" t="str">
        <f t="shared" si="3"/>
        <v>N00176</v>
      </c>
      <c r="L102" s="147"/>
      <c r="N102" s="264"/>
    </row>
    <row r="103" spans="1:14">
      <c r="A103" t="s">
        <v>1523</v>
      </c>
      <c r="B103">
        <v>20900</v>
      </c>
      <c r="E103" t="s">
        <v>1542</v>
      </c>
      <c r="F103">
        <f>SUMIFS('Jan-2026'!F:F,'Jan-2026'!C:C,E103)</f>
        <v>0</v>
      </c>
      <c r="H103" t="str">
        <f t="shared" si="2"/>
        <v>E00384</v>
      </c>
      <c r="I103" t="str">
        <f t="shared" si="3"/>
        <v>N00175</v>
      </c>
      <c r="L103" s="147"/>
      <c r="N103" s="264"/>
    </row>
    <row r="104" spans="1:14">
      <c r="A104" t="s">
        <v>1523</v>
      </c>
      <c r="B104">
        <v>2500</v>
      </c>
      <c r="E104" t="s">
        <v>1543</v>
      </c>
      <c r="F104">
        <f>SUMIFS('Jan-2026'!F:F,'Jan-2026'!C:C,E104)</f>
        <v>0</v>
      </c>
      <c r="H104" t="str">
        <f t="shared" si="2"/>
        <v>E00392</v>
      </c>
      <c r="I104" t="str">
        <f t="shared" si="3"/>
        <v>N00175</v>
      </c>
      <c r="L104" s="147"/>
      <c r="N104" s="264"/>
    </row>
    <row r="105" spans="1:14">
      <c r="A105" t="s">
        <v>1524</v>
      </c>
      <c r="B105">
        <v>22600</v>
      </c>
      <c r="E105" t="s">
        <v>1544</v>
      </c>
      <c r="F105">
        <f>SUMIFS('Jan-2026'!F:F,'Jan-2026'!C:C,E105)</f>
        <v>0</v>
      </c>
      <c r="H105" t="str">
        <f t="shared" si="2"/>
        <v>F00332</v>
      </c>
      <c r="I105" t="str">
        <f t="shared" si="3"/>
        <v>N00173</v>
      </c>
      <c r="L105" s="147"/>
      <c r="N105" s="264"/>
    </row>
    <row r="106" spans="1:14">
      <c r="A106" t="s">
        <v>1525</v>
      </c>
      <c r="B106">
        <v>62600</v>
      </c>
      <c r="E106" t="s">
        <v>1545</v>
      </c>
      <c r="F106">
        <f>SUMIFS('Jan-2026'!F:F,'Jan-2026'!C:C,E106)</f>
        <v>0</v>
      </c>
      <c r="H106" t="str">
        <f t="shared" si="2"/>
        <v>N00281</v>
      </c>
      <c r="I106" t="str">
        <f t="shared" si="3"/>
        <v>C00477</v>
      </c>
      <c r="L106" s="147"/>
      <c r="N106" s="264"/>
    </row>
    <row r="107" spans="1:14">
      <c r="A107" t="s">
        <v>1526</v>
      </c>
      <c r="B107">
        <v>26300</v>
      </c>
      <c r="E107">
        <v>65091</v>
      </c>
      <c r="F107">
        <f>SUMIFS('Jan-2026'!F:F,'Jan-2026'!C:C,E107)</f>
        <v>0</v>
      </c>
      <c r="H107">
        <f t="shared" si="2"/>
        <v>65091</v>
      </c>
      <c r="I107" t="str">
        <f t="shared" si="3"/>
        <v>C00435</v>
      </c>
      <c r="L107" s="147"/>
      <c r="N107" s="264"/>
    </row>
    <row r="108" spans="1:14">
      <c r="A108" t="s">
        <v>1527</v>
      </c>
      <c r="E108" t="s">
        <v>1546</v>
      </c>
      <c r="F108">
        <f>SUMIFS('Jan-2026'!F:F,'Jan-2026'!C:C,E108)</f>
        <v>0</v>
      </c>
      <c r="H108" t="str">
        <f t="shared" si="2"/>
        <v>J00363</v>
      </c>
      <c r="I108" t="str">
        <f t="shared" si="3"/>
        <v>C00433</v>
      </c>
      <c r="L108" s="147"/>
      <c r="N108" s="264"/>
    </row>
    <row r="109" spans="1:14">
      <c r="A109" t="s">
        <v>1783</v>
      </c>
      <c r="B109">
        <v>9700</v>
      </c>
      <c r="E109" t="s">
        <v>1547</v>
      </c>
      <c r="F109">
        <f>SUMIFS('Jan-2026'!F:F,'Jan-2026'!C:C,E109)</f>
        <v>0</v>
      </c>
      <c r="H109" t="str">
        <f t="shared" si="2"/>
        <v>C00446</v>
      </c>
      <c r="I109" t="str">
        <f t="shared" si="3"/>
        <v>J00341</v>
      </c>
      <c r="L109" s="147"/>
      <c r="N109" s="264"/>
    </row>
    <row r="110" spans="1:14">
      <c r="A110" t="s">
        <v>1784</v>
      </c>
      <c r="B110">
        <v>24500</v>
      </c>
      <c r="E110" t="s">
        <v>1548</v>
      </c>
      <c r="F110">
        <f>SUMIFS('Jan-2026'!F:F,'Jan-2026'!C:C,E110)</f>
        <v>0</v>
      </c>
      <c r="H110" t="str">
        <f t="shared" si="2"/>
        <v>C00444</v>
      </c>
      <c r="I110" t="str">
        <f t="shared" si="3"/>
        <v>J00342</v>
      </c>
      <c r="L110" s="147"/>
      <c r="N110" s="264"/>
    </row>
    <row r="111" spans="1:14">
      <c r="A111" t="s">
        <v>1491</v>
      </c>
      <c r="B111">
        <v>16500</v>
      </c>
      <c r="E111" t="s">
        <v>1549</v>
      </c>
      <c r="F111">
        <f>SUMIFS('Jan-2026'!F:F,'Jan-2026'!C:C,E111)</f>
        <v>0</v>
      </c>
      <c r="H111" t="str">
        <f t="shared" si="2"/>
        <v>L00120</v>
      </c>
      <c r="I111" t="str">
        <f t="shared" si="3"/>
        <v>J00344</v>
      </c>
      <c r="L111" s="147"/>
      <c r="N111" s="264"/>
    </row>
    <row r="112" spans="1:14">
      <c r="A112" t="s">
        <v>1785</v>
      </c>
      <c r="B112">
        <v>16200</v>
      </c>
      <c r="E112" t="s">
        <v>1550</v>
      </c>
      <c r="F112">
        <f>SUMIFS('Jan-2026'!F:F,'Jan-2026'!C:C,E112)</f>
        <v>0</v>
      </c>
      <c r="H112" t="str">
        <f t="shared" si="2"/>
        <v>E00361</v>
      </c>
      <c r="I112" t="str">
        <f t="shared" si="3"/>
        <v>J00346</v>
      </c>
      <c r="L112" s="147"/>
      <c r="N112" s="264"/>
    </row>
    <row r="113" spans="1:14">
      <c r="A113" t="s">
        <v>1786</v>
      </c>
      <c r="B113">
        <v>8300</v>
      </c>
      <c r="E113" t="s">
        <v>1551</v>
      </c>
      <c r="F113">
        <f>SUMIFS('Jan-2026'!F:F,'Jan-2026'!C:C,E113)</f>
        <v>0</v>
      </c>
      <c r="H113" t="str">
        <f t="shared" si="2"/>
        <v>L00121</v>
      </c>
      <c r="I113" t="str">
        <f t="shared" si="3"/>
        <v>J00347</v>
      </c>
      <c r="L113" s="147"/>
      <c r="N113" s="264"/>
    </row>
    <row r="114" spans="1:14">
      <c r="A114" t="s">
        <v>1492</v>
      </c>
      <c r="B114">
        <v>39500</v>
      </c>
      <c r="E114" t="s">
        <v>1451</v>
      </c>
      <c r="F114">
        <f>SUMIFS('Jan-2026'!F:F,'Jan-2026'!C:C,E114)</f>
        <v>0</v>
      </c>
      <c r="H114" t="e">
        <f t="shared" si="2"/>
        <v>#N/A</v>
      </c>
      <c r="I114" t="str">
        <f t="shared" si="3"/>
        <v>J00345</v>
      </c>
      <c r="L114" s="147"/>
      <c r="N114" s="264"/>
    </row>
    <row r="115" spans="1:14">
      <c r="A115" t="s">
        <v>1787</v>
      </c>
      <c r="B115">
        <v>6900</v>
      </c>
      <c r="E115" t="s">
        <v>1772</v>
      </c>
      <c r="F115">
        <f>SUMIFS('Jan-2026'!F:F,'Jan-2026'!C:C,E115)</f>
        <v>0</v>
      </c>
      <c r="H115" t="str">
        <f t="shared" si="2"/>
        <v>N00246</v>
      </c>
      <c r="I115" t="str">
        <f t="shared" si="3"/>
        <v>C00459</v>
      </c>
      <c r="L115" s="147"/>
      <c r="N115" s="264"/>
    </row>
    <row r="116" spans="1:14">
      <c r="A116" t="s">
        <v>1788</v>
      </c>
      <c r="B116">
        <v>2800</v>
      </c>
      <c r="E116" t="s">
        <v>1552</v>
      </c>
      <c r="F116">
        <f>SUMIFS('Jan-2026'!F:F,'Jan-2026'!C:C,E116)</f>
        <v>0</v>
      </c>
      <c r="H116" t="str">
        <f t="shared" si="2"/>
        <v>E00379</v>
      </c>
      <c r="I116" t="str">
        <f t="shared" si="3"/>
        <v>C00461</v>
      </c>
      <c r="L116" s="147"/>
      <c r="N116" s="264"/>
    </row>
    <row r="117" spans="1:14">
      <c r="A117" t="s">
        <v>1789</v>
      </c>
      <c r="B117">
        <v>1500</v>
      </c>
      <c r="E117" t="s">
        <v>1452</v>
      </c>
      <c r="F117">
        <f>SUMIFS('Jan-2026'!F:F,'Jan-2026'!C:C,E117)</f>
        <v>0</v>
      </c>
      <c r="H117" t="str">
        <f t="shared" si="2"/>
        <v>G00108</v>
      </c>
      <c r="I117" t="str">
        <f t="shared" si="3"/>
        <v>C00490</v>
      </c>
      <c r="L117" s="147"/>
      <c r="N117" s="264"/>
    </row>
    <row r="118" spans="1:14">
      <c r="A118" t="s">
        <v>1790</v>
      </c>
      <c r="B118">
        <v>12000</v>
      </c>
      <c r="E118" t="s">
        <v>1795</v>
      </c>
      <c r="F118">
        <f>SUMIFS('Jan-2026'!F:F,'Jan-2026'!C:C,E118)</f>
        <v>0</v>
      </c>
      <c r="H118" t="str">
        <f t="shared" si="2"/>
        <v>H00525</v>
      </c>
      <c r="I118" t="str">
        <f t="shared" si="3"/>
        <v>C00421</v>
      </c>
      <c r="L118" s="147"/>
      <c r="N118" s="264"/>
    </row>
    <row r="119" spans="1:14">
      <c r="A119" t="s">
        <v>1639</v>
      </c>
      <c r="B119">
        <v>1500</v>
      </c>
      <c r="E119" t="s">
        <v>1553</v>
      </c>
      <c r="F119">
        <f>SUMIFS('Jan-2026'!F:F,'Jan-2026'!C:C,E119)</f>
        <v>0</v>
      </c>
      <c r="H119" t="str">
        <f t="shared" si="2"/>
        <v>P00172</v>
      </c>
      <c r="I119" t="str">
        <f t="shared" si="3"/>
        <v>C00496</v>
      </c>
      <c r="L119" s="147"/>
      <c r="N119" s="264"/>
    </row>
    <row r="120" spans="1:14">
      <c r="A120" t="s">
        <v>1493</v>
      </c>
      <c r="B120">
        <v>2700</v>
      </c>
      <c r="E120" t="s">
        <v>1804</v>
      </c>
      <c r="F120">
        <f>SUMIFS('Jan-2026'!F:F,'Jan-2026'!C:C,E120)</f>
        <v>0</v>
      </c>
      <c r="H120" t="str">
        <f t="shared" si="2"/>
        <v>B00316</v>
      </c>
      <c r="I120" t="str">
        <f t="shared" si="3"/>
        <v>C00495</v>
      </c>
      <c r="L120" s="147"/>
      <c r="N120" s="264"/>
    </row>
    <row r="121" spans="1:14">
      <c r="A121" t="s">
        <v>1494</v>
      </c>
      <c r="B121">
        <v>4700</v>
      </c>
      <c r="E121" t="s">
        <v>1554</v>
      </c>
      <c r="F121">
        <f>SUMIFS('Jan-2026'!F:F,'Jan-2026'!C:C,E121)</f>
        <v>0</v>
      </c>
      <c r="H121" t="str">
        <f t="shared" si="2"/>
        <v>B00319</v>
      </c>
      <c r="I121" t="str">
        <f t="shared" si="3"/>
        <v>F00319</v>
      </c>
      <c r="L121" s="147"/>
      <c r="N121" s="264"/>
    </row>
    <row r="122" spans="1:14">
      <c r="A122" t="s">
        <v>1495</v>
      </c>
      <c r="B122">
        <v>4300</v>
      </c>
      <c r="E122" t="s">
        <v>1556</v>
      </c>
      <c r="F122">
        <f>SUMIFS('Jan-2026'!F:F,'Jan-2026'!C:C,E122)</f>
        <v>0</v>
      </c>
      <c r="H122" t="str">
        <f t="shared" si="2"/>
        <v>E00398</v>
      </c>
      <c r="I122" t="str">
        <f t="shared" si="3"/>
        <v>F00320</v>
      </c>
      <c r="L122" s="147"/>
      <c r="N122" s="264"/>
    </row>
    <row r="123" spans="1:14">
      <c r="A123" t="s">
        <v>1496</v>
      </c>
      <c r="B123">
        <v>4000</v>
      </c>
      <c r="E123" t="s">
        <v>1557</v>
      </c>
      <c r="F123">
        <f>SUMIFS('Jan-2026'!F:F,'Jan-2026'!C:C,E123)</f>
        <v>0</v>
      </c>
      <c r="H123" t="str">
        <f t="shared" si="2"/>
        <v>B00332</v>
      </c>
      <c r="I123" t="str">
        <f t="shared" si="3"/>
        <v>F00322</v>
      </c>
      <c r="L123" s="147"/>
      <c r="N123" s="264"/>
    </row>
    <row r="124" spans="1:14">
      <c r="A124" t="s">
        <v>1497</v>
      </c>
      <c r="B124">
        <v>4500</v>
      </c>
      <c r="E124" t="s">
        <v>1558</v>
      </c>
      <c r="F124">
        <f>SUMIFS('Jan-2026'!F:F,'Jan-2026'!C:C,E124)</f>
        <v>0</v>
      </c>
      <c r="H124" t="str">
        <f t="shared" si="2"/>
        <v>G00144</v>
      </c>
      <c r="I124" t="str">
        <f t="shared" si="3"/>
        <v>F00321</v>
      </c>
      <c r="L124" s="147"/>
      <c r="N124" s="264"/>
    </row>
    <row r="125" spans="1:14">
      <c r="A125" t="s">
        <v>1527</v>
      </c>
      <c r="B125">
        <v>27700</v>
      </c>
      <c r="E125" t="s">
        <v>1559</v>
      </c>
      <c r="F125">
        <f>SUMIFS('Jan-2026'!F:F,'Jan-2026'!C:C,E125)</f>
        <v>0</v>
      </c>
      <c r="H125" t="str">
        <f t="shared" si="2"/>
        <v>F00309</v>
      </c>
      <c r="I125" t="str">
        <f t="shared" si="3"/>
        <v>C00433</v>
      </c>
      <c r="L125" s="147"/>
      <c r="N125" s="264"/>
    </row>
    <row r="126" spans="1:14">
      <c r="A126" t="s">
        <v>1528</v>
      </c>
      <c r="B126">
        <v>52000</v>
      </c>
      <c r="E126" t="s">
        <v>1560</v>
      </c>
      <c r="F126">
        <f>SUMIFS('Jan-2026'!F:F,'Jan-2026'!C:C,E126)</f>
        <v>0</v>
      </c>
      <c r="H126" t="str">
        <f t="shared" si="2"/>
        <v>F00331</v>
      </c>
      <c r="I126" t="str">
        <f t="shared" si="3"/>
        <v>C00430</v>
      </c>
      <c r="L126" s="147"/>
      <c r="N126" s="264"/>
    </row>
    <row r="127" spans="1:14">
      <c r="A127" t="s">
        <v>1529</v>
      </c>
      <c r="B127">
        <v>20000</v>
      </c>
      <c r="E127" t="s">
        <v>1561</v>
      </c>
      <c r="F127">
        <f>SUMIFS('Jan-2026'!F:F,'Jan-2026'!C:C,E127)</f>
        <v>0</v>
      </c>
      <c r="H127" t="str">
        <f t="shared" si="2"/>
        <v>B00295</v>
      </c>
      <c r="I127" t="str">
        <f t="shared" si="3"/>
        <v>N00280</v>
      </c>
      <c r="L127" s="147"/>
      <c r="N127" s="264"/>
    </row>
    <row r="128" spans="1:14">
      <c r="A128" t="s">
        <v>1529</v>
      </c>
      <c r="B128">
        <v>4000</v>
      </c>
      <c r="E128" t="s">
        <v>1562</v>
      </c>
      <c r="F128">
        <f>SUMIFS('Jan-2026'!F:F,'Jan-2026'!C:C,E128)</f>
        <v>0</v>
      </c>
      <c r="H128" t="str">
        <f t="shared" si="2"/>
        <v>E00368</v>
      </c>
      <c r="I128" t="str">
        <f t="shared" si="3"/>
        <v>N00280</v>
      </c>
      <c r="L128" s="147"/>
      <c r="N128" s="264"/>
    </row>
    <row r="129" spans="1:14">
      <c r="A129" t="s">
        <v>1530</v>
      </c>
      <c r="B129">
        <v>21800</v>
      </c>
      <c r="E129" t="s">
        <v>1563</v>
      </c>
      <c r="F129">
        <f>SUMIFS('Jan-2026'!F:F,'Jan-2026'!C:C,E129)</f>
        <v>0</v>
      </c>
      <c r="H129" t="str">
        <f t="shared" si="2"/>
        <v>E00369</v>
      </c>
      <c r="I129" t="str">
        <f t="shared" si="3"/>
        <v>F00324</v>
      </c>
      <c r="L129" s="147"/>
      <c r="N129" s="264"/>
    </row>
    <row r="130" spans="1:14">
      <c r="A130" t="s">
        <v>1531</v>
      </c>
      <c r="B130">
        <v>22500</v>
      </c>
      <c r="E130" t="s">
        <v>1564</v>
      </c>
      <c r="F130">
        <f>SUMIFS('Jan-2026'!F:F,'Jan-2026'!C:C,E130)</f>
        <v>0</v>
      </c>
      <c r="H130" t="str">
        <f t="shared" si="2"/>
        <v>E00370</v>
      </c>
      <c r="I130" t="str">
        <f t="shared" si="3"/>
        <v>E00373</v>
      </c>
      <c r="L130" s="147"/>
      <c r="N130" s="264"/>
    </row>
    <row r="131" spans="1:14">
      <c r="A131" t="s">
        <v>1532</v>
      </c>
      <c r="B131">
        <v>44600</v>
      </c>
      <c r="E131" t="s">
        <v>1565</v>
      </c>
      <c r="F131">
        <f>SUMIFS('Jan-2026'!F:F,'Jan-2026'!C:C,E131)</f>
        <v>0</v>
      </c>
      <c r="H131" t="str">
        <f t="shared" si="2"/>
        <v>E00371</v>
      </c>
      <c r="I131" t="str">
        <f t="shared" si="3"/>
        <v>E00376</v>
      </c>
      <c r="L131" s="147"/>
      <c r="N131" s="264"/>
    </row>
    <row r="132" spans="1:14">
      <c r="A132" t="s">
        <v>1525</v>
      </c>
      <c r="B132">
        <v>12300</v>
      </c>
      <c r="E132" t="s">
        <v>1348</v>
      </c>
      <c r="F132">
        <f>SUMIFS('Jan-2026'!F:F,'Jan-2026'!C:C,E132)</f>
        <v>0</v>
      </c>
      <c r="H132" t="str">
        <f t="shared" si="2"/>
        <v>H00396</v>
      </c>
      <c r="I132" t="str">
        <f t="shared" si="3"/>
        <v>C00477</v>
      </c>
      <c r="L132" s="147"/>
      <c r="N132" s="264"/>
    </row>
    <row r="133" spans="1:14">
      <c r="A133" t="s">
        <v>1498</v>
      </c>
      <c r="B133">
        <v>3800</v>
      </c>
      <c r="E133" t="s">
        <v>1566</v>
      </c>
      <c r="F133">
        <f>SUMIFS('Jan-2026'!F:F,'Jan-2026'!C:C,E133)</f>
        <v>0</v>
      </c>
      <c r="H133" t="str">
        <f t="shared" si="2"/>
        <v>B00349</v>
      </c>
      <c r="I133" t="str">
        <f t="shared" si="3"/>
        <v>F00325</v>
      </c>
      <c r="L133" s="147"/>
      <c r="N133" s="264"/>
    </row>
    <row r="134" spans="1:14">
      <c r="A134" t="s">
        <v>1499</v>
      </c>
      <c r="B134">
        <v>3800</v>
      </c>
      <c r="E134" t="s">
        <v>1567</v>
      </c>
      <c r="F134">
        <f>SUMIFS('Jan-2026'!F:F,'Jan-2026'!C:C,E134)</f>
        <v>0</v>
      </c>
      <c r="H134" t="str">
        <f t="shared" ref="H134:H197" si="4">VLOOKUP(E134,A:B,1,FALSE)</f>
        <v>C00427</v>
      </c>
      <c r="I134" t="str">
        <f t="shared" ref="I134:I197" si="5">VLOOKUP(A134,E:F,1,FALSE)</f>
        <v>F00326</v>
      </c>
      <c r="L134" s="147"/>
      <c r="N134" s="264"/>
    </row>
    <row r="135" spans="1:14">
      <c r="A135" t="s">
        <v>1791</v>
      </c>
      <c r="B135">
        <v>7000</v>
      </c>
      <c r="E135" t="s">
        <v>1568</v>
      </c>
      <c r="F135">
        <f>SUMIFS('Jan-2026'!F:F,'Jan-2026'!C:C,E135)</f>
        <v>0</v>
      </c>
      <c r="H135" t="str">
        <f t="shared" si="4"/>
        <v>C00436</v>
      </c>
      <c r="I135" t="str">
        <f t="shared" si="5"/>
        <v>J00245</v>
      </c>
      <c r="L135" s="147"/>
      <c r="N135" s="264"/>
    </row>
    <row r="136" spans="1:14">
      <c r="A136" t="s">
        <v>1792</v>
      </c>
      <c r="B136">
        <v>4800</v>
      </c>
      <c r="E136" t="s">
        <v>1569</v>
      </c>
      <c r="F136">
        <f>SUMIFS('Jan-2026'!F:F,'Jan-2026'!C:C,E136)</f>
        <v>0</v>
      </c>
      <c r="H136" t="str">
        <f t="shared" si="4"/>
        <v>C00431</v>
      </c>
      <c r="I136" t="str">
        <f t="shared" si="5"/>
        <v>J00241</v>
      </c>
      <c r="L136" s="147"/>
      <c r="N136" s="264"/>
    </row>
    <row r="137" spans="1:14">
      <c r="A137" t="s">
        <v>1500</v>
      </c>
      <c r="B137">
        <v>4200</v>
      </c>
      <c r="E137" t="s">
        <v>1570</v>
      </c>
      <c r="F137">
        <f>SUMIFS('Jan-2026'!F:F,'Jan-2026'!C:C,E137)</f>
        <v>0</v>
      </c>
      <c r="H137" t="str">
        <f t="shared" si="4"/>
        <v>C00450</v>
      </c>
      <c r="I137" t="str">
        <f t="shared" si="5"/>
        <v>J00243</v>
      </c>
      <c r="L137" s="147"/>
      <c r="N137" s="264"/>
    </row>
    <row r="138" spans="1:14">
      <c r="A138" t="s">
        <v>1793</v>
      </c>
      <c r="B138">
        <v>4400</v>
      </c>
      <c r="E138" t="s">
        <v>1571</v>
      </c>
      <c r="F138">
        <f>SUMIFS('Jan-2026'!F:F,'Jan-2026'!C:C,E138)</f>
        <v>0</v>
      </c>
      <c r="H138" t="str">
        <f t="shared" si="4"/>
        <v>G00145</v>
      </c>
      <c r="I138" t="str">
        <f t="shared" si="5"/>
        <v>J00244</v>
      </c>
      <c r="L138" s="147"/>
      <c r="N138" s="264"/>
    </row>
    <row r="139" spans="1:14">
      <c r="A139" t="s">
        <v>1794</v>
      </c>
      <c r="B139">
        <v>5400</v>
      </c>
      <c r="E139" t="s">
        <v>1572</v>
      </c>
      <c r="F139">
        <f>SUMIFS('Jan-2026'!F:F,'Jan-2026'!C:C,E139)</f>
        <v>0</v>
      </c>
      <c r="H139" t="str">
        <f t="shared" si="4"/>
        <v>N00292</v>
      </c>
      <c r="I139" t="str">
        <f t="shared" si="5"/>
        <v>J00248</v>
      </c>
      <c r="L139" s="147"/>
      <c r="N139" s="264"/>
    </row>
    <row r="140" spans="1:14">
      <c r="A140" t="s">
        <v>1501</v>
      </c>
      <c r="B140">
        <v>83200</v>
      </c>
      <c r="E140" t="s">
        <v>1573</v>
      </c>
      <c r="F140">
        <f>SUMIFS('Jan-2026'!F:F,'Jan-2026'!C:C,E140)</f>
        <v>0</v>
      </c>
      <c r="H140" t="str">
        <f t="shared" si="4"/>
        <v>N00287</v>
      </c>
      <c r="I140" t="str">
        <f t="shared" si="5"/>
        <v>P00186</v>
      </c>
      <c r="L140" s="147"/>
      <c r="N140" s="264"/>
    </row>
    <row r="141" spans="1:14">
      <c r="A141" t="s">
        <v>1502</v>
      </c>
      <c r="B141">
        <v>4500</v>
      </c>
      <c r="E141" t="s">
        <v>1574</v>
      </c>
      <c r="F141">
        <f>SUMIFS('Jan-2026'!F:F,'Jan-2026'!C:C,E141)</f>
        <v>0</v>
      </c>
      <c r="H141" t="str">
        <f t="shared" si="4"/>
        <v>N00284</v>
      </c>
      <c r="I141" t="str">
        <f t="shared" si="5"/>
        <v>F00323</v>
      </c>
      <c r="L141" s="147"/>
      <c r="N141" s="264"/>
    </row>
    <row r="142" spans="1:14">
      <c r="A142" t="s">
        <v>1503</v>
      </c>
      <c r="B142">
        <v>8100</v>
      </c>
      <c r="E142" t="s">
        <v>1575</v>
      </c>
      <c r="F142">
        <f>SUMIFS('Jan-2026'!F:F,'Jan-2026'!C:C,E142)</f>
        <v>0</v>
      </c>
      <c r="H142" t="str">
        <f t="shared" si="4"/>
        <v>P00163</v>
      </c>
      <c r="I142" t="str">
        <f t="shared" si="5"/>
        <v>F00328</v>
      </c>
      <c r="L142" s="147"/>
      <c r="N142" s="264"/>
    </row>
    <row r="143" spans="1:14">
      <c r="A143" t="s">
        <v>1504</v>
      </c>
      <c r="E143" t="s">
        <v>1576</v>
      </c>
      <c r="F143">
        <f>SUMIFS('Jan-2026'!F:F,'Jan-2026'!C:C,E143)</f>
        <v>0</v>
      </c>
      <c r="H143" t="str">
        <f t="shared" si="4"/>
        <v>H00492</v>
      </c>
      <c r="I143" t="str">
        <f t="shared" si="5"/>
        <v>F00327</v>
      </c>
      <c r="L143" s="147"/>
      <c r="N143" s="264"/>
    </row>
    <row r="144" spans="1:14">
      <c r="A144" t="s">
        <v>1533</v>
      </c>
      <c r="B144">
        <v>32700</v>
      </c>
      <c r="E144" t="s">
        <v>1577</v>
      </c>
      <c r="F144">
        <f>SUMIFS('Jan-2026'!F:F,'Jan-2026'!C:C,E144)</f>
        <v>0</v>
      </c>
      <c r="H144" t="str">
        <f t="shared" si="4"/>
        <v>P00164</v>
      </c>
      <c r="I144" t="str">
        <f t="shared" si="5"/>
        <v>E00377</v>
      </c>
      <c r="L144" s="147"/>
      <c r="N144" s="264"/>
    </row>
    <row r="145" spans="1:14">
      <c r="A145" t="s">
        <v>1534</v>
      </c>
      <c r="B145">
        <v>26000</v>
      </c>
      <c r="E145" t="s">
        <v>1578</v>
      </c>
      <c r="F145">
        <f>SUMIFS('Jan-2026'!F:F,'Jan-2026'!C:C,E145)</f>
        <v>0</v>
      </c>
      <c r="H145" t="str">
        <f t="shared" si="4"/>
        <v>J00247</v>
      </c>
      <c r="I145" t="str">
        <f t="shared" si="5"/>
        <v>E00372</v>
      </c>
      <c r="L145" s="147"/>
      <c r="N145" s="264"/>
    </row>
    <row r="146" spans="1:14">
      <c r="A146" t="s">
        <v>1535</v>
      </c>
      <c r="B146">
        <v>11100</v>
      </c>
      <c r="E146" t="s">
        <v>1579</v>
      </c>
      <c r="F146">
        <f>SUMIFS('Jan-2026'!F:F,'Jan-2026'!C:C,E146)</f>
        <v>0</v>
      </c>
      <c r="H146" t="str">
        <f t="shared" si="4"/>
        <v>P00187</v>
      </c>
      <c r="I146" t="str">
        <f t="shared" si="5"/>
        <v>N00268</v>
      </c>
      <c r="L146" s="147"/>
      <c r="N146" s="264"/>
    </row>
    <row r="147" spans="1:14">
      <c r="A147" t="s">
        <v>1536</v>
      </c>
      <c r="B147">
        <v>21900</v>
      </c>
      <c r="E147" t="s">
        <v>1580</v>
      </c>
      <c r="F147">
        <f>SUMIFS('Jan-2026'!F:F,'Jan-2026'!C:C,E147)</f>
        <v>0</v>
      </c>
      <c r="H147" t="str">
        <f t="shared" si="4"/>
        <v>P00188</v>
      </c>
      <c r="I147" t="str">
        <f t="shared" si="5"/>
        <v>N00266</v>
      </c>
      <c r="L147" s="147"/>
      <c r="N147" s="264"/>
    </row>
    <row r="148" spans="1:14">
      <c r="A148" t="s">
        <v>1537</v>
      </c>
      <c r="B148">
        <v>4300</v>
      </c>
      <c r="E148" t="s">
        <v>1581</v>
      </c>
      <c r="F148">
        <f>SUMIFS('Jan-2026'!F:F,'Jan-2026'!C:C,E148)</f>
        <v>0</v>
      </c>
      <c r="H148" t="str">
        <f t="shared" si="4"/>
        <v>P00189</v>
      </c>
      <c r="I148" t="str">
        <f t="shared" si="5"/>
        <v>E00381</v>
      </c>
      <c r="L148" s="147"/>
      <c r="N148" s="264"/>
    </row>
    <row r="149" spans="1:14">
      <c r="A149" t="s">
        <v>1537</v>
      </c>
      <c r="B149">
        <v>20600</v>
      </c>
      <c r="E149" t="s">
        <v>1582</v>
      </c>
      <c r="F149">
        <f>SUMIFS('Jan-2026'!F:F,'Jan-2026'!C:C,E149)</f>
        <v>0</v>
      </c>
      <c r="H149" t="str">
        <f t="shared" si="4"/>
        <v>C00455</v>
      </c>
      <c r="I149" t="str">
        <f t="shared" si="5"/>
        <v>E00381</v>
      </c>
      <c r="L149" s="147"/>
      <c r="N149" s="264"/>
    </row>
    <row r="150" spans="1:14">
      <c r="A150" t="s">
        <v>1538</v>
      </c>
      <c r="B150">
        <v>95900</v>
      </c>
      <c r="E150" t="s">
        <v>1583</v>
      </c>
      <c r="F150">
        <f>SUMIFS('Jan-2026'!F:F,'Jan-2026'!C:C,E150)</f>
        <v>0</v>
      </c>
      <c r="H150" t="str">
        <f t="shared" si="4"/>
        <v>G00153</v>
      </c>
      <c r="I150" t="str">
        <f t="shared" si="5"/>
        <v>E00393</v>
      </c>
      <c r="L150" s="147"/>
      <c r="N150" s="264"/>
    </row>
    <row r="151" spans="1:14">
      <c r="A151" t="s">
        <v>1539</v>
      </c>
      <c r="B151">
        <v>68800</v>
      </c>
      <c r="E151" t="s">
        <v>1584</v>
      </c>
      <c r="F151">
        <f>SUMIFS('Jan-2026'!F:F,'Jan-2026'!C:C,E151)</f>
        <v>0</v>
      </c>
      <c r="H151" t="str">
        <f t="shared" si="4"/>
        <v>C00454</v>
      </c>
      <c r="I151" t="str">
        <f t="shared" si="5"/>
        <v>E00380</v>
      </c>
      <c r="L151" s="147"/>
      <c r="N151" s="264"/>
    </row>
    <row r="152" spans="1:14">
      <c r="A152" t="s">
        <v>1504</v>
      </c>
      <c r="B152">
        <v>5400</v>
      </c>
      <c r="E152" t="s">
        <v>1586</v>
      </c>
      <c r="F152">
        <f>SUMIFS('Jan-2026'!F:F,'Jan-2026'!C:C,E152)</f>
        <v>0</v>
      </c>
      <c r="H152" t="str">
        <f t="shared" si="4"/>
        <v>G00152</v>
      </c>
      <c r="I152" t="str">
        <f t="shared" si="5"/>
        <v>F00327</v>
      </c>
      <c r="L152" s="147"/>
      <c r="N152" s="264"/>
    </row>
    <row r="153" spans="1:14">
      <c r="A153" t="s">
        <v>1506</v>
      </c>
      <c r="B153">
        <v>21400</v>
      </c>
      <c r="E153" t="s">
        <v>1587</v>
      </c>
      <c r="F153">
        <f>SUMIFS('Jan-2026'!F:F,'Jan-2026'!C:C,E153)</f>
        <v>0</v>
      </c>
      <c r="H153" t="str">
        <f t="shared" si="4"/>
        <v>B00313</v>
      </c>
      <c r="I153" t="str">
        <f t="shared" si="5"/>
        <v>B00348</v>
      </c>
      <c r="L153" s="147"/>
      <c r="N153" s="264"/>
    </row>
    <row r="154" spans="1:14">
      <c r="A154" t="s">
        <v>1507</v>
      </c>
      <c r="B154">
        <v>14700</v>
      </c>
      <c r="E154" t="s">
        <v>1831</v>
      </c>
      <c r="F154">
        <f>SUMIFS('Jan-2026'!F:F,'Jan-2026'!C:C,E154)</f>
        <v>0</v>
      </c>
      <c r="H154" t="str">
        <f t="shared" si="4"/>
        <v>C00464</v>
      </c>
      <c r="I154" t="str">
        <f t="shared" si="5"/>
        <v>G00148</v>
      </c>
      <c r="L154" s="147"/>
      <c r="N154" s="264"/>
    </row>
    <row r="155" spans="1:14">
      <c r="A155" t="s">
        <v>1508</v>
      </c>
      <c r="B155">
        <v>17500</v>
      </c>
      <c r="E155" t="s">
        <v>1588</v>
      </c>
      <c r="F155">
        <f>SUMIFS('Jan-2026'!F:F,'Jan-2026'!C:C,E155)</f>
        <v>0</v>
      </c>
      <c r="H155" t="str">
        <f t="shared" si="4"/>
        <v>C00476</v>
      </c>
      <c r="I155" t="str">
        <f t="shared" si="5"/>
        <v>G00143</v>
      </c>
      <c r="L155" s="147"/>
      <c r="N155" s="264"/>
    </row>
    <row r="156" spans="1:14">
      <c r="A156" t="s">
        <v>1795</v>
      </c>
      <c r="B156">
        <v>7600</v>
      </c>
      <c r="E156" t="s">
        <v>1589</v>
      </c>
      <c r="F156">
        <f>SUMIFS('Jan-2026'!F:F,'Jan-2026'!C:C,E156)</f>
        <v>0</v>
      </c>
      <c r="H156" t="str">
        <f t="shared" si="4"/>
        <v>C00483</v>
      </c>
      <c r="I156" t="str">
        <f t="shared" si="5"/>
        <v>H00525</v>
      </c>
      <c r="L156" s="147"/>
      <c r="N156" s="264"/>
    </row>
    <row r="157" spans="1:14">
      <c r="A157" t="s">
        <v>1796</v>
      </c>
      <c r="B157">
        <v>8500</v>
      </c>
      <c r="E157" t="s">
        <v>1590</v>
      </c>
      <c r="F157">
        <f>SUMIFS('Jan-2026'!F:F,'Jan-2026'!C:C,E157)</f>
        <v>0</v>
      </c>
      <c r="H157" t="str">
        <f t="shared" si="4"/>
        <v>C00481</v>
      </c>
      <c r="I157" t="str">
        <f t="shared" si="5"/>
        <v>H00526</v>
      </c>
      <c r="L157" s="147"/>
      <c r="N157" s="264"/>
    </row>
    <row r="158" spans="1:14">
      <c r="A158" t="s">
        <v>1797</v>
      </c>
      <c r="B158">
        <v>8300</v>
      </c>
      <c r="E158" t="s">
        <v>1591</v>
      </c>
      <c r="F158">
        <f>SUMIFS('Jan-2026'!F:F,'Jan-2026'!C:C,E158)</f>
        <v>0</v>
      </c>
      <c r="H158" t="str">
        <f t="shared" si="4"/>
        <v>C00489</v>
      </c>
      <c r="I158" t="str">
        <f t="shared" si="5"/>
        <v>H00522</v>
      </c>
      <c r="L158" s="147"/>
      <c r="N158" s="264"/>
    </row>
    <row r="159" spans="1:14">
      <c r="A159" t="s">
        <v>1798</v>
      </c>
      <c r="B159">
        <v>8500</v>
      </c>
      <c r="E159" t="s">
        <v>1592</v>
      </c>
      <c r="F159">
        <f>SUMIFS('Jan-2026'!F:F,'Jan-2026'!C:C,E159)</f>
        <v>0</v>
      </c>
      <c r="H159" t="str">
        <f t="shared" si="4"/>
        <v>G00149</v>
      </c>
      <c r="I159" t="str">
        <f t="shared" si="5"/>
        <v>H00524</v>
      </c>
      <c r="L159" s="147"/>
      <c r="N159" s="264"/>
    </row>
    <row r="160" spans="1:14">
      <c r="A160" t="s">
        <v>1799</v>
      </c>
      <c r="B160">
        <v>12000</v>
      </c>
      <c r="E160" t="s">
        <v>1593</v>
      </c>
      <c r="F160">
        <f>SUMIFS('Jan-2026'!F:F,'Jan-2026'!C:C,E160)</f>
        <v>0</v>
      </c>
      <c r="H160" t="str">
        <f t="shared" si="4"/>
        <v>B00374</v>
      </c>
      <c r="I160" t="str">
        <f t="shared" si="5"/>
        <v>H00520</v>
      </c>
      <c r="L160" s="147"/>
      <c r="N160" s="264"/>
    </row>
    <row r="161" spans="1:14">
      <c r="A161" t="s">
        <v>1800</v>
      </c>
      <c r="B161">
        <v>8700</v>
      </c>
      <c r="E161" t="s">
        <v>1594</v>
      </c>
      <c r="F161">
        <f>SUMIFS('Jan-2026'!F:F,'Jan-2026'!C:C,E161)</f>
        <v>0</v>
      </c>
      <c r="H161" t="str">
        <f t="shared" si="4"/>
        <v>B00241</v>
      </c>
      <c r="I161" t="str">
        <f t="shared" si="5"/>
        <v>H00521</v>
      </c>
      <c r="L161" s="147"/>
      <c r="N161" s="264"/>
    </row>
    <row r="162" spans="1:14">
      <c r="A162" t="s">
        <v>1801</v>
      </c>
      <c r="B162">
        <v>8700</v>
      </c>
      <c r="E162" t="s">
        <v>1823</v>
      </c>
      <c r="F162">
        <f>SUMIFS('Jan-2026'!F:F,'Jan-2026'!C:C,E162)</f>
        <v>0</v>
      </c>
      <c r="H162" t="str">
        <f t="shared" si="4"/>
        <v>B00330</v>
      </c>
      <c r="I162" t="str">
        <f t="shared" si="5"/>
        <v>H00523</v>
      </c>
      <c r="L162" s="147"/>
      <c r="N162" s="264"/>
    </row>
    <row r="163" spans="1:14">
      <c r="A163" t="s">
        <v>1802</v>
      </c>
      <c r="B163">
        <v>3300</v>
      </c>
      <c r="E163" t="s">
        <v>1825</v>
      </c>
      <c r="F163">
        <f>SUMIFS('Jan-2026'!F:F,'Jan-2026'!C:C,E163)</f>
        <v>0</v>
      </c>
      <c r="H163" t="str">
        <f t="shared" si="4"/>
        <v>B00363</v>
      </c>
      <c r="I163" t="str">
        <f t="shared" si="5"/>
        <v>H00528</v>
      </c>
      <c r="L163" s="147"/>
      <c r="N163" s="264"/>
    </row>
    <row r="164" spans="1:14">
      <c r="A164" t="s">
        <v>1803</v>
      </c>
      <c r="B164">
        <v>3200</v>
      </c>
      <c r="E164" t="s">
        <v>1595</v>
      </c>
      <c r="F164">
        <f>SUMIFS('Jan-2026'!F:F,'Jan-2026'!C:C,E164)</f>
        <v>0</v>
      </c>
      <c r="H164" t="str">
        <f t="shared" si="4"/>
        <v>B00338</v>
      </c>
      <c r="I164" t="str">
        <f t="shared" si="5"/>
        <v>h00527</v>
      </c>
      <c r="L164" s="147"/>
      <c r="N164" s="264"/>
    </row>
    <row r="165" spans="1:14">
      <c r="A165" t="s">
        <v>1553</v>
      </c>
      <c r="B165">
        <v>22400</v>
      </c>
      <c r="E165" t="s">
        <v>1829</v>
      </c>
      <c r="F165">
        <f>SUMIFS('Jan-2026'!F:F,'Jan-2026'!C:C,E165)</f>
        <v>0</v>
      </c>
      <c r="H165" t="str">
        <f t="shared" si="4"/>
        <v>B00352</v>
      </c>
      <c r="I165" t="str">
        <f t="shared" si="5"/>
        <v>P00172</v>
      </c>
      <c r="L165" s="147"/>
      <c r="N165" s="264"/>
    </row>
    <row r="166" spans="1:14">
      <c r="A166" t="s">
        <v>1804</v>
      </c>
      <c r="B166">
        <v>8900</v>
      </c>
      <c r="E166" t="s">
        <v>1596</v>
      </c>
      <c r="F166">
        <f>SUMIFS('Jan-2026'!F:F,'Jan-2026'!C:C,E166)</f>
        <v>0</v>
      </c>
      <c r="H166" t="str">
        <f t="shared" si="4"/>
        <v>B00336</v>
      </c>
      <c r="I166" t="str">
        <f t="shared" si="5"/>
        <v>B00316</v>
      </c>
      <c r="L166" s="147"/>
      <c r="N166" s="264"/>
    </row>
    <row r="167" spans="1:14">
      <c r="A167" t="s">
        <v>1539</v>
      </c>
      <c r="B167">
        <v>27000</v>
      </c>
      <c r="E167" t="s">
        <v>1597</v>
      </c>
      <c r="F167">
        <f>SUMIFS('Jan-2026'!F:F,'Jan-2026'!C:C,E167)</f>
        <v>0</v>
      </c>
      <c r="H167" t="str">
        <f t="shared" si="4"/>
        <v>F00336</v>
      </c>
      <c r="I167" t="str">
        <f t="shared" si="5"/>
        <v>E00380</v>
      </c>
      <c r="L167" s="147"/>
      <c r="N167" s="264"/>
    </row>
    <row r="168" spans="1:14">
      <c r="A168" t="s">
        <v>1540</v>
      </c>
      <c r="B168">
        <v>12200</v>
      </c>
      <c r="E168" t="s">
        <v>1598</v>
      </c>
      <c r="F168">
        <f>SUMIFS('Jan-2026'!F:F,'Jan-2026'!C:C,E168)</f>
        <v>0</v>
      </c>
      <c r="H168" t="str">
        <f t="shared" si="4"/>
        <v>H00545</v>
      </c>
      <c r="I168" t="str">
        <f t="shared" si="5"/>
        <v>F00333</v>
      </c>
      <c r="L168" s="147"/>
      <c r="N168" s="264"/>
    </row>
    <row r="169" spans="1:14">
      <c r="A169" t="s">
        <v>1541</v>
      </c>
      <c r="B169">
        <v>100200</v>
      </c>
      <c r="E169">
        <v>65247</v>
      </c>
      <c r="F169">
        <f>SUMIFS('Jan-2026'!F:F,'Jan-2026'!C:C,E169)</f>
        <v>0</v>
      </c>
      <c r="H169">
        <f t="shared" si="4"/>
        <v>65247</v>
      </c>
      <c r="I169" t="str">
        <f t="shared" si="5"/>
        <v>E00383</v>
      </c>
      <c r="L169" s="147"/>
      <c r="N169" s="264"/>
    </row>
    <row r="170" spans="1:14">
      <c r="A170" t="s">
        <v>1542</v>
      </c>
      <c r="B170">
        <v>12800</v>
      </c>
      <c r="E170">
        <v>65246</v>
      </c>
      <c r="F170">
        <f>SUMIFS('Jan-2026'!F:F,'Jan-2026'!C:C,E170)</f>
        <v>0</v>
      </c>
      <c r="H170">
        <f t="shared" si="4"/>
        <v>65246</v>
      </c>
      <c r="I170" t="str">
        <f t="shared" si="5"/>
        <v>E00384</v>
      </c>
      <c r="L170" s="147"/>
      <c r="N170" s="264"/>
    </row>
    <row r="171" spans="1:14">
      <c r="A171" t="s">
        <v>1542</v>
      </c>
      <c r="B171">
        <v>86500</v>
      </c>
      <c r="E171" t="s">
        <v>1599</v>
      </c>
      <c r="F171">
        <f>SUMIFS('Jan-2026'!F:F,'Jan-2026'!C:C,E171)</f>
        <v>0</v>
      </c>
      <c r="H171" t="str">
        <f t="shared" si="4"/>
        <v>C00506</v>
      </c>
      <c r="I171" t="str">
        <f t="shared" si="5"/>
        <v>E00384</v>
      </c>
      <c r="L171" s="147"/>
      <c r="N171" s="264"/>
    </row>
    <row r="172" spans="1:14">
      <c r="A172" t="s">
        <v>1543</v>
      </c>
      <c r="B172">
        <v>52600</v>
      </c>
      <c r="E172" t="s">
        <v>1600</v>
      </c>
      <c r="F172">
        <f>SUMIFS('Jan-2026'!F:F,'Jan-2026'!C:C,E172)</f>
        <v>0</v>
      </c>
      <c r="H172" t="str">
        <f t="shared" si="4"/>
        <v>C00504</v>
      </c>
      <c r="I172" t="str">
        <f t="shared" si="5"/>
        <v>E00392</v>
      </c>
      <c r="L172" s="147"/>
      <c r="N172" s="264"/>
    </row>
    <row r="173" spans="1:14">
      <c r="A173" t="s">
        <v>1544</v>
      </c>
      <c r="B173">
        <v>26900</v>
      </c>
      <c r="E173" t="s">
        <v>1601</v>
      </c>
      <c r="F173">
        <f>SUMIFS('Jan-2026'!F:F,'Jan-2026'!C:C,E173)</f>
        <v>0</v>
      </c>
      <c r="H173" t="str">
        <f t="shared" si="4"/>
        <v>C00505</v>
      </c>
      <c r="I173" t="str">
        <f t="shared" si="5"/>
        <v>F00332</v>
      </c>
      <c r="L173" s="147"/>
      <c r="N173" s="264"/>
    </row>
    <row r="174" spans="1:14">
      <c r="A174" t="s">
        <v>1804</v>
      </c>
      <c r="B174">
        <v>14100</v>
      </c>
      <c r="E174" t="s">
        <v>1602</v>
      </c>
      <c r="F174">
        <f>SUMIFS('Jan-2026'!F:F,'Jan-2026'!C:C,E174)</f>
        <v>0</v>
      </c>
      <c r="H174" t="str">
        <f t="shared" si="4"/>
        <v>C00507</v>
      </c>
      <c r="I174" t="str">
        <f t="shared" si="5"/>
        <v>B00316</v>
      </c>
      <c r="L174" s="147"/>
      <c r="N174" s="264"/>
    </row>
    <row r="175" spans="1:14">
      <c r="A175" t="s">
        <v>1805</v>
      </c>
      <c r="B175">
        <v>8200</v>
      </c>
      <c r="E175" t="s">
        <v>1603</v>
      </c>
      <c r="F175">
        <f>SUMIFS('Jan-2026'!F:F,'Jan-2026'!C:C,E175)</f>
        <v>0</v>
      </c>
      <c r="H175" t="str">
        <f t="shared" si="4"/>
        <v>J00364</v>
      </c>
      <c r="I175" t="str">
        <f t="shared" si="5"/>
        <v>B00321</v>
      </c>
      <c r="L175" s="147"/>
      <c r="N175" s="264"/>
    </row>
    <row r="176" spans="1:14">
      <c r="A176" t="s">
        <v>1555</v>
      </c>
      <c r="B176">
        <v>9600</v>
      </c>
      <c r="E176" t="s">
        <v>1604</v>
      </c>
      <c r="F176">
        <f>SUMIFS('Jan-2026'!F:F,'Jan-2026'!C:C,E176)</f>
        <v>0</v>
      </c>
      <c r="H176" t="str">
        <f t="shared" si="4"/>
        <v>J00365</v>
      </c>
      <c r="I176" t="str">
        <f t="shared" si="5"/>
        <v>B00320</v>
      </c>
      <c r="L176" s="147"/>
      <c r="N176" s="264"/>
    </row>
    <row r="177" spans="1:14">
      <c r="A177" t="s">
        <v>1554</v>
      </c>
      <c r="B177">
        <v>9800</v>
      </c>
      <c r="E177" t="s">
        <v>1605</v>
      </c>
      <c r="F177">
        <f>SUMIFS('Jan-2026'!F:F,'Jan-2026'!C:C,E177)</f>
        <v>0</v>
      </c>
      <c r="H177" t="str">
        <f t="shared" si="4"/>
        <v>J00366</v>
      </c>
      <c r="I177" t="str">
        <f t="shared" si="5"/>
        <v>B00319</v>
      </c>
      <c r="L177" s="147"/>
      <c r="N177" s="264"/>
    </row>
    <row r="178" spans="1:14">
      <c r="A178" t="s">
        <v>1556</v>
      </c>
      <c r="B178">
        <v>15500</v>
      </c>
      <c r="E178" t="s">
        <v>1606</v>
      </c>
      <c r="F178">
        <f>SUMIFS('Jan-2026'!F:F,'Jan-2026'!C:C,E178)</f>
        <v>0</v>
      </c>
      <c r="H178" t="str">
        <f t="shared" si="4"/>
        <v>C00492</v>
      </c>
      <c r="I178" t="str">
        <f t="shared" si="5"/>
        <v>E00398</v>
      </c>
      <c r="L178" s="147"/>
      <c r="N178" s="264"/>
    </row>
    <row r="179" spans="1:14">
      <c r="A179" t="s">
        <v>1557</v>
      </c>
      <c r="B179">
        <v>4600</v>
      </c>
      <c r="E179" t="s">
        <v>1607</v>
      </c>
      <c r="F179">
        <f>SUMIFS('Jan-2026'!F:F,'Jan-2026'!C:C,E179)</f>
        <v>0</v>
      </c>
      <c r="H179" t="str">
        <f t="shared" si="4"/>
        <v>P00146</v>
      </c>
      <c r="I179" t="str">
        <f t="shared" si="5"/>
        <v>B00332</v>
      </c>
      <c r="L179" s="147"/>
      <c r="N179" s="264"/>
    </row>
    <row r="180" spans="1:14">
      <c r="A180" t="s">
        <v>1557</v>
      </c>
      <c r="B180">
        <v>32900</v>
      </c>
      <c r="E180" t="s">
        <v>1608</v>
      </c>
      <c r="F180">
        <f>SUMIFS('Jan-2026'!F:F,'Jan-2026'!C:C,E180)</f>
        <v>0</v>
      </c>
      <c r="H180" t="str">
        <f t="shared" si="4"/>
        <v>B00287</v>
      </c>
      <c r="I180" t="str">
        <f t="shared" si="5"/>
        <v>B00332</v>
      </c>
      <c r="L180" s="147"/>
      <c r="N180" s="264"/>
    </row>
    <row r="181" spans="1:14">
      <c r="A181" t="s">
        <v>1558</v>
      </c>
      <c r="B181">
        <v>6500</v>
      </c>
      <c r="E181" t="s">
        <v>1609</v>
      </c>
      <c r="F181">
        <f>SUMIFS('Jan-2026'!F:F,'Jan-2026'!C:C,E181)</f>
        <v>0</v>
      </c>
      <c r="H181" t="str">
        <f t="shared" si="4"/>
        <v>B00307</v>
      </c>
      <c r="I181" t="str">
        <f t="shared" si="5"/>
        <v>G00144</v>
      </c>
      <c r="L181" s="147"/>
      <c r="N181" s="264"/>
    </row>
    <row r="182" spans="1:14">
      <c r="A182" t="s">
        <v>1567</v>
      </c>
      <c r="B182">
        <v>46900</v>
      </c>
      <c r="E182" t="s">
        <v>1610</v>
      </c>
      <c r="F182">
        <f>SUMIFS('Jan-2026'!F:F,'Jan-2026'!C:C,E182)</f>
        <v>0</v>
      </c>
      <c r="H182" t="str">
        <f t="shared" si="4"/>
        <v>C00441</v>
      </c>
      <c r="I182" t="str">
        <f t="shared" si="5"/>
        <v>C00427</v>
      </c>
      <c r="L182" s="147"/>
      <c r="N182" s="264"/>
    </row>
    <row r="183" spans="1:14">
      <c r="A183" t="s">
        <v>1568</v>
      </c>
      <c r="B183">
        <v>13800</v>
      </c>
      <c r="E183" t="s">
        <v>1611</v>
      </c>
      <c r="F183">
        <f>SUMIFS('Jan-2026'!F:F,'Jan-2026'!C:C,E183)</f>
        <v>0</v>
      </c>
      <c r="H183" t="str">
        <f t="shared" si="4"/>
        <v>C00503</v>
      </c>
      <c r="I183" t="str">
        <f t="shared" si="5"/>
        <v>C00436</v>
      </c>
      <c r="L183" s="147"/>
      <c r="N183" s="264"/>
    </row>
    <row r="184" spans="1:14">
      <c r="A184" t="s">
        <v>1544</v>
      </c>
      <c r="B184">
        <v>11500</v>
      </c>
      <c r="E184" t="s">
        <v>1612</v>
      </c>
      <c r="F184">
        <f>SUMIFS('Jan-2026'!F:F,'Jan-2026'!C:C,E184)</f>
        <v>0</v>
      </c>
      <c r="H184" t="str">
        <f t="shared" si="4"/>
        <v>C00494</v>
      </c>
      <c r="I184" t="str">
        <f t="shared" si="5"/>
        <v>F00332</v>
      </c>
      <c r="L184" s="147"/>
      <c r="N184" s="264"/>
    </row>
    <row r="185" spans="1:14">
      <c r="A185" t="s">
        <v>1560</v>
      </c>
      <c r="B185">
        <v>19300</v>
      </c>
      <c r="E185" t="s">
        <v>1613</v>
      </c>
      <c r="F185">
        <f>SUMIFS('Jan-2026'!F:F,'Jan-2026'!C:C,E185)</f>
        <v>0</v>
      </c>
      <c r="H185" t="str">
        <f t="shared" si="4"/>
        <v>H00451</v>
      </c>
      <c r="I185" t="str">
        <f t="shared" si="5"/>
        <v>F00331</v>
      </c>
      <c r="L185" s="147"/>
      <c r="N185" s="264"/>
    </row>
    <row r="186" spans="1:14">
      <c r="A186" t="s">
        <v>1561</v>
      </c>
      <c r="B186">
        <v>6700</v>
      </c>
      <c r="E186" t="s">
        <v>1834</v>
      </c>
      <c r="F186">
        <f>SUMIFS('Jan-2026'!F:F,'Jan-2026'!C:C,E186)</f>
        <v>0</v>
      </c>
      <c r="H186" t="str">
        <f t="shared" si="4"/>
        <v>H00453</v>
      </c>
      <c r="I186" t="str">
        <f t="shared" si="5"/>
        <v>B00295</v>
      </c>
      <c r="L186" s="147"/>
      <c r="N186" s="264"/>
    </row>
    <row r="187" spans="1:14">
      <c r="A187" t="s">
        <v>1562</v>
      </c>
      <c r="B187">
        <v>21800</v>
      </c>
      <c r="E187" t="s">
        <v>1614</v>
      </c>
      <c r="F187">
        <f>SUMIFS('Jan-2026'!F:F,'Jan-2026'!C:C,E187)</f>
        <v>0</v>
      </c>
      <c r="H187" t="str">
        <f t="shared" si="4"/>
        <v>C00500</v>
      </c>
      <c r="I187" t="str">
        <f t="shared" si="5"/>
        <v>E00368</v>
      </c>
      <c r="L187" s="147"/>
      <c r="N187" s="264"/>
    </row>
    <row r="188" spans="1:14">
      <c r="A188" t="s">
        <v>1563</v>
      </c>
      <c r="B188">
        <v>22200</v>
      </c>
      <c r="E188" t="s">
        <v>1615</v>
      </c>
      <c r="F188">
        <f>SUMIFS('Jan-2026'!F:F,'Jan-2026'!C:C,E188)</f>
        <v>0</v>
      </c>
      <c r="H188" t="str">
        <f t="shared" si="4"/>
        <v>C00499</v>
      </c>
      <c r="I188" t="str">
        <f t="shared" si="5"/>
        <v>E00369</v>
      </c>
      <c r="L188" s="147"/>
      <c r="N188" s="264"/>
    </row>
    <row r="189" spans="1:14">
      <c r="A189" t="s">
        <v>1564</v>
      </c>
      <c r="E189" t="s">
        <v>1616</v>
      </c>
      <c r="F189">
        <f>SUMIFS('Jan-2026'!F:F,'Jan-2026'!C:C,E189)</f>
        <v>0</v>
      </c>
      <c r="H189" t="str">
        <f t="shared" si="4"/>
        <v>L00181</v>
      </c>
      <c r="I189" t="str">
        <f t="shared" si="5"/>
        <v>E00370</v>
      </c>
      <c r="L189" s="147"/>
      <c r="N189" s="264"/>
    </row>
    <row r="190" spans="1:14">
      <c r="A190" t="s">
        <v>1564</v>
      </c>
      <c r="B190">
        <v>21800</v>
      </c>
      <c r="E190" t="s">
        <v>1617</v>
      </c>
      <c r="F190">
        <f>SUMIFS('Jan-2026'!F:F,'Jan-2026'!C:C,E190)</f>
        <v>0</v>
      </c>
      <c r="H190" t="str">
        <f t="shared" si="4"/>
        <v>L00179</v>
      </c>
      <c r="I190" t="str">
        <f t="shared" si="5"/>
        <v>E00370</v>
      </c>
      <c r="L190" s="147"/>
      <c r="N190" s="264"/>
    </row>
    <row r="191" spans="1:14">
      <c r="A191" t="s">
        <v>1565</v>
      </c>
      <c r="B191">
        <v>23100</v>
      </c>
      <c r="E191" t="s">
        <v>1618</v>
      </c>
      <c r="F191">
        <f>SUMIFS('Jan-2026'!F:F,'Jan-2026'!C:C,E191)</f>
        <v>0</v>
      </c>
      <c r="H191" t="str">
        <f t="shared" si="4"/>
        <v>E00405</v>
      </c>
      <c r="I191" t="str">
        <f t="shared" si="5"/>
        <v>E00371</v>
      </c>
      <c r="L191" s="147"/>
      <c r="N191" s="264"/>
    </row>
    <row r="192" spans="1:14">
      <c r="A192" t="s">
        <v>1348</v>
      </c>
      <c r="B192">
        <v>81600</v>
      </c>
      <c r="E192" t="s">
        <v>1619</v>
      </c>
      <c r="F192">
        <f>SUMIFS('Jan-2026'!F:F,'Jan-2026'!C:C,E192)</f>
        <v>0</v>
      </c>
      <c r="H192" t="str">
        <f t="shared" si="4"/>
        <v>P00166</v>
      </c>
      <c r="I192" t="str">
        <f t="shared" si="5"/>
        <v>H00396</v>
      </c>
      <c r="L192" s="147"/>
      <c r="N192" s="264"/>
    </row>
    <row r="193" spans="1:14">
      <c r="A193" t="s">
        <v>1566</v>
      </c>
      <c r="B193">
        <v>10300</v>
      </c>
      <c r="E193" t="s">
        <v>1620</v>
      </c>
      <c r="F193">
        <f>SUMIFS('Jan-2026'!F:F,'Jan-2026'!C:C,E193)</f>
        <v>0</v>
      </c>
      <c r="H193" t="str">
        <f t="shared" si="4"/>
        <v>G00111</v>
      </c>
      <c r="I193" t="str">
        <f t="shared" si="5"/>
        <v>B00349</v>
      </c>
      <c r="L193" s="147"/>
      <c r="N193" s="264"/>
    </row>
    <row r="194" spans="1:14">
      <c r="A194" t="s">
        <v>1806</v>
      </c>
      <c r="B194">
        <v>23000</v>
      </c>
      <c r="E194" t="s">
        <v>1621</v>
      </c>
      <c r="F194">
        <f>SUMIFS('Jan-2026'!F:F,'Jan-2026'!C:C,E194)</f>
        <v>0</v>
      </c>
      <c r="H194" t="str">
        <f t="shared" si="4"/>
        <v>C00502</v>
      </c>
      <c r="I194" t="str">
        <f t="shared" si="5"/>
        <v>C00434</v>
      </c>
      <c r="L194" s="147"/>
      <c r="N194" s="264"/>
    </row>
    <row r="195" spans="1:14">
      <c r="A195" t="s">
        <v>1807</v>
      </c>
      <c r="B195">
        <v>22900</v>
      </c>
      <c r="E195" t="s">
        <v>1622</v>
      </c>
      <c r="F195">
        <f>SUMIFS('Jan-2026'!F:F,'Jan-2026'!C:C,E195)</f>
        <v>0</v>
      </c>
      <c r="H195" t="str">
        <f t="shared" si="4"/>
        <v>C00501</v>
      </c>
      <c r="I195" t="str">
        <f t="shared" si="5"/>
        <v>C00437</v>
      </c>
      <c r="L195" s="147"/>
      <c r="N195" s="264"/>
    </row>
    <row r="196" spans="1:14">
      <c r="A196" t="s">
        <v>1625</v>
      </c>
      <c r="B196">
        <v>17000</v>
      </c>
      <c r="E196" t="s">
        <v>1623</v>
      </c>
      <c r="F196">
        <f>SUMIFS('Jan-2026'!F:F,'Jan-2026'!C:C,E196)</f>
        <v>0</v>
      </c>
      <c r="H196" t="str">
        <f t="shared" si="4"/>
        <v>B00350</v>
      </c>
      <c r="I196" t="str">
        <f t="shared" si="5"/>
        <v>H00553</v>
      </c>
      <c r="L196" s="147"/>
      <c r="N196" s="264"/>
    </row>
    <row r="197" spans="1:14">
      <c r="A197" t="s">
        <v>1627</v>
      </c>
      <c r="B197">
        <v>13100</v>
      </c>
      <c r="E197" t="s">
        <v>1806</v>
      </c>
      <c r="F197">
        <f>SUMIFS('Jan-2026'!F:F,'Jan-2026'!C:C,E197)</f>
        <v>0</v>
      </c>
      <c r="H197" t="str">
        <f t="shared" si="4"/>
        <v>C00434</v>
      </c>
      <c r="I197" t="str">
        <f t="shared" si="5"/>
        <v>N00273</v>
      </c>
      <c r="L197" s="147"/>
      <c r="N197" s="264"/>
    </row>
    <row r="198" spans="1:14">
      <c r="A198" t="s">
        <v>1628</v>
      </c>
      <c r="B198">
        <v>4800</v>
      </c>
      <c r="E198" t="s">
        <v>1624</v>
      </c>
      <c r="F198">
        <f>SUMIFS('Jan-2026'!F:F,'Jan-2026'!C:C,E198)</f>
        <v>0</v>
      </c>
      <c r="H198" t="str">
        <f t="shared" ref="H198:H261" si="6">VLOOKUP(E198,A:B,1,FALSE)</f>
        <v>H00533</v>
      </c>
      <c r="I198" t="str">
        <f t="shared" ref="I198:I261" si="7">VLOOKUP(A198,E:F,1,FALSE)</f>
        <v>N00272</v>
      </c>
      <c r="L198" s="147"/>
      <c r="N198" s="264"/>
    </row>
    <row r="199" spans="1:14">
      <c r="A199" t="s">
        <v>1628</v>
      </c>
      <c r="B199">
        <v>8500</v>
      </c>
      <c r="E199" t="s">
        <v>1625</v>
      </c>
      <c r="F199">
        <f>SUMIFS('Jan-2026'!F:F,'Jan-2026'!C:C,E199)</f>
        <v>0</v>
      </c>
      <c r="H199" t="str">
        <f t="shared" si="6"/>
        <v>H00553</v>
      </c>
      <c r="I199" t="str">
        <f t="shared" si="7"/>
        <v>N00272</v>
      </c>
      <c r="L199" s="147"/>
      <c r="N199" s="264"/>
    </row>
    <row r="200" spans="1:14">
      <c r="A200" t="s">
        <v>1635</v>
      </c>
      <c r="B200">
        <v>12500</v>
      </c>
      <c r="E200" t="s">
        <v>1626</v>
      </c>
      <c r="F200">
        <f>SUMIFS('Jan-2026'!F:F,'Jan-2026'!C:C,E200)</f>
        <v>0</v>
      </c>
      <c r="H200" t="str">
        <f t="shared" si="6"/>
        <v>H00441</v>
      </c>
      <c r="I200" t="str">
        <f t="shared" si="7"/>
        <v>B00346</v>
      </c>
      <c r="L200" s="147"/>
      <c r="N200" s="264"/>
    </row>
    <row r="201" spans="1:14">
      <c r="A201" t="s">
        <v>1808</v>
      </c>
      <c r="B201">
        <v>105400</v>
      </c>
      <c r="E201" t="s">
        <v>1627</v>
      </c>
      <c r="F201">
        <f>SUMIFS('Jan-2026'!F:F,'Jan-2026'!C:C,E201)</f>
        <v>0</v>
      </c>
      <c r="H201" t="str">
        <f t="shared" si="6"/>
        <v>N00273</v>
      </c>
      <c r="I201" t="str">
        <f t="shared" si="7"/>
        <v>H00496</v>
      </c>
      <c r="L201" s="147"/>
      <c r="N201" s="264"/>
    </row>
    <row r="202" spans="1:14">
      <c r="A202" t="s">
        <v>1809</v>
      </c>
      <c r="B202">
        <v>4000</v>
      </c>
      <c r="E202" t="s">
        <v>1628</v>
      </c>
      <c r="F202">
        <f>SUMIFS('Jan-2026'!F:F,'Jan-2026'!C:C,E202)</f>
        <v>0</v>
      </c>
      <c r="H202" t="str">
        <f t="shared" si="6"/>
        <v>N00272</v>
      </c>
      <c r="I202" t="str">
        <f t="shared" si="7"/>
        <v>H00497</v>
      </c>
      <c r="L202" s="147"/>
      <c r="N202" s="264"/>
    </row>
    <row r="203" spans="1:14">
      <c r="A203" t="s">
        <v>1566</v>
      </c>
      <c r="B203">
        <v>11700</v>
      </c>
      <c r="E203" t="s">
        <v>1629</v>
      </c>
      <c r="F203">
        <f>SUMIFS('Jan-2026'!F:F,'Jan-2026'!C:C,E203)</f>
        <v>0</v>
      </c>
      <c r="H203" t="str">
        <f t="shared" si="6"/>
        <v>H00442</v>
      </c>
      <c r="I203" t="str">
        <f t="shared" si="7"/>
        <v>B00349</v>
      </c>
      <c r="L203" s="147"/>
      <c r="N203" s="264"/>
    </row>
    <row r="204" spans="1:14">
      <c r="A204" t="s">
        <v>1623</v>
      </c>
      <c r="B204">
        <v>23000</v>
      </c>
      <c r="E204" t="s">
        <v>1630</v>
      </c>
      <c r="F204">
        <f>SUMIFS('Jan-2026'!F:F,'Jan-2026'!C:C,E204)</f>
        <v>0</v>
      </c>
      <c r="H204" t="str">
        <f t="shared" si="6"/>
        <v>H00291</v>
      </c>
      <c r="I204" t="str">
        <f t="shared" si="7"/>
        <v>B00350</v>
      </c>
      <c r="L204" s="147"/>
      <c r="N204" s="264"/>
    </row>
    <row r="205" spans="1:14">
      <c r="A205" t="s">
        <v>1624</v>
      </c>
      <c r="B205">
        <v>26600</v>
      </c>
      <c r="E205" t="s">
        <v>1631</v>
      </c>
      <c r="F205">
        <f>SUMIFS('Jan-2026'!F:F,'Jan-2026'!C:C,E205)</f>
        <v>0</v>
      </c>
      <c r="H205" t="str">
        <f t="shared" si="6"/>
        <v>H00536</v>
      </c>
      <c r="I205" t="str">
        <f t="shared" si="7"/>
        <v>H00533</v>
      </c>
      <c r="L205" s="147"/>
      <c r="N205" s="264"/>
    </row>
    <row r="206" spans="1:14">
      <c r="A206" t="s">
        <v>1626</v>
      </c>
      <c r="B206">
        <v>62500</v>
      </c>
      <c r="E206" t="s">
        <v>1632</v>
      </c>
      <c r="F206">
        <f>SUMIFS('Jan-2026'!F:F,'Jan-2026'!C:C,E206)</f>
        <v>0</v>
      </c>
      <c r="H206" t="str">
        <f t="shared" si="6"/>
        <v>H00495</v>
      </c>
      <c r="I206" t="str">
        <f t="shared" si="7"/>
        <v>H00441</v>
      </c>
      <c r="L206" s="147"/>
      <c r="N206" s="264"/>
    </row>
    <row r="207" spans="1:14">
      <c r="A207" t="s">
        <v>1626</v>
      </c>
      <c r="B207">
        <v>127100</v>
      </c>
      <c r="E207" t="s">
        <v>1633</v>
      </c>
      <c r="F207">
        <f>SUMIFS('Jan-2026'!F:F,'Jan-2026'!C:C,E207)</f>
        <v>0</v>
      </c>
      <c r="H207" t="str">
        <f t="shared" si="6"/>
        <v>H00494</v>
      </c>
      <c r="I207" t="str">
        <f t="shared" si="7"/>
        <v>H00441</v>
      </c>
      <c r="L207" s="147"/>
      <c r="N207" s="264"/>
    </row>
    <row r="208" spans="1:14">
      <c r="A208" t="s">
        <v>1629</v>
      </c>
      <c r="B208">
        <v>47100</v>
      </c>
      <c r="E208" t="s">
        <v>1634</v>
      </c>
      <c r="F208">
        <f>SUMIFS('Jan-2026'!F:F,'Jan-2026'!C:C,E208)</f>
        <v>0</v>
      </c>
      <c r="H208" t="str">
        <f t="shared" si="6"/>
        <v>H00493</v>
      </c>
      <c r="I208" t="str">
        <f t="shared" si="7"/>
        <v>H00442</v>
      </c>
      <c r="L208" s="147"/>
      <c r="N208" s="264"/>
    </row>
    <row r="209" spans="1:14">
      <c r="A209" t="s">
        <v>1809</v>
      </c>
      <c r="B209">
        <v>95200</v>
      </c>
      <c r="E209" t="s">
        <v>1635</v>
      </c>
      <c r="F209">
        <f>SUMIFS('Jan-2026'!F:F,'Jan-2026'!C:C,E209)</f>
        <v>0</v>
      </c>
      <c r="H209" t="str">
        <f t="shared" si="6"/>
        <v>B00346</v>
      </c>
      <c r="I209" t="str">
        <f t="shared" si="7"/>
        <v>H00497</v>
      </c>
      <c r="L209" s="147"/>
      <c r="N209" s="264"/>
    </row>
    <row r="210" spans="1:14">
      <c r="A210" t="s">
        <v>1809</v>
      </c>
      <c r="B210">
        <v>43600</v>
      </c>
      <c r="E210" t="s">
        <v>1808</v>
      </c>
      <c r="F210">
        <f>SUMIFS('Jan-2026'!F:F,'Jan-2026'!C:C,E210)</f>
        <v>0</v>
      </c>
      <c r="H210" t="str">
        <f t="shared" si="6"/>
        <v>H00496</v>
      </c>
      <c r="I210" t="str">
        <f t="shared" si="7"/>
        <v>H00497</v>
      </c>
      <c r="L210" s="147"/>
      <c r="N210" s="264"/>
    </row>
    <row r="211" spans="1:14">
      <c r="A211" t="s">
        <v>1810</v>
      </c>
      <c r="B211">
        <v>36200</v>
      </c>
      <c r="E211" t="s">
        <v>1810</v>
      </c>
      <c r="F211">
        <f>SUMIFS('Jan-2026'!F:F,'Jan-2026'!C:C,E211)</f>
        <v>0</v>
      </c>
      <c r="H211" t="str">
        <f t="shared" si="6"/>
        <v>C00510</v>
      </c>
      <c r="I211" t="str">
        <f t="shared" si="7"/>
        <v>C00510</v>
      </c>
      <c r="L211" s="147"/>
      <c r="N211" s="264"/>
    </row>
    <row r="212" spans="1:14">
      <c r="A212">
        <v>64302</v>
      </c>
      <c r="B212">
        <v>1900</v>
      </c>
      <c r="E212" t="s">
        <v>1811</v>
      </c>
      <c r="F212">
        <f>SUMIFS('Jan-2026'!F:F,'Jan-2026'!C:C,E212)</f>
        <v>0</v>
      </c>
      <c r="H212" t="str">
        <f t="shared" si="6"/>
        <v>L00186</v>
      </c>
      <c r="I212">
        <f t="shared" si="7"/>
        <v>64302</v>
      </c>
      <c r="L212" s="147"/>
      <c r="N212" s="264"/>
    </row>
    <row r="213" spans="1:14">
      <c r="A213" t="s">
        <v>1811</v>
      </c>
      <c r="B213">
        <v>41500</v>
      </c>
      <c r="E213" t="s">
        <v>1450</v>
      </c>
      <c r="F213">
        <f>SUMIFS('Jan-2026'!F:F,'Jan-2026'!C:C,E213)</f>
        <v>0</v>
      </c>
      <c r="H213" t="str">
        <f t="shared" si="6"/>
        <v>L00117</v>
      </c>
      <c r="I213" t="str">
        <f t="shared" si="7"/>
        <v>L00186</v>
      </c>
      <c r="L213" s="147"/>
      <c r="N213" s="264"/>
    </row>
    <row r="214" spans="1:14">
      <c r="A214" t="s">
        <v>1449</v>
      </c>
      <c r="B214">
        <v>4600</v>
      </c>
      <c r="E214" t="s">
        <v>1636</v>
      </c>
      <c r="F214">
        <f>SUMIFS('Jan-2026'!F:F,'Jan-2026'!C:C,E214)</f>
        <v>0</v>
      </c>
      <c r="H214" t="str">
        <f t="shared" si="6"/>
        <v>B00354</v>
      </c>
      <c r="I214" t="str">
        <f t="shared" si="7"/>
        <v>L00116</v>
      </c>
      <c r="L214" s="147"/>
      <c r="N214" s="264"/>
    </row>
    <row r="215" spans="1:14">
      <c r="A215" t="s">
        <v>1450</v>
      </c>
      <c r="B215">
        <v>4600</v>
      </c>
      <c r="E215" t="s">
        <v>1637</v>
      </c>
      <c r="F215">
        <f>SUMIFS('Jan-2026'!F:F,'Jan-2026'!C:C,E215)</f>
        <v>0</v>
      </c>
      <c r="H215" t="str">
        <f t="shared" si="6"/>
        <v>B00325</v>
      </c>
      <c r="I215" t="str">
        <f t="shared" si="7"/>
        <v>L00117</v>
      </c>
      <c r="L215" s="147"/>
      <c r="N215" s="264"/>
    </row>
    <row r="216" spans="1:14">
      <c r="A216" t="s">
        <v>1812</v>
      </c>
      <c r="B216">
        <v>30600</v>
      </c>
      <c r="E216" t="s">
        <v>1638</v>
      </c>
      <c r="F216">
        <f>SUMIFS('Jan-2026'!F:F,'Jan-2026'!C:C,E216)</f>
        <v>0</v>
      </c>
      <c r="H216" t="str">
        <f t="shared" si="6"/>
        <v>C00473</v>
      </c>
      <c r="I216" t="str">
        <f t="shared" si="7"/>
        <v>L00187</v>
      </c>
      <c r="L216" s="147"/>
      <c r="N216" s="264"/>
    </row>
    <row r="217" spans="1:14">
      <c r="A217" t="s">
        <v>1629</v>
      </c>
      <c r="B217">
        <v>40800</v>
      </c>
      <c r="E217" t="s">
        <v>1640</v>
      </c>
      <c r="F217">
        <f>SUMIFS('Jan-2026'!F:F,'Jan-2026'!C:C,E217)</f>
        <v>0</v>
      </c>
      <c r="H217" t="str">
        <f t="shared" si="6"/>
        <v>B00347</v>
      </c>
      <c r="I217" t="str">
        <f t="shared" si="7"/>
        <v>H00442</v>
      </c>
      <c r="L217" s="147"/>
      <c r="N217" s="264"/>
    </row>
    <row r="218" spans="1:14">
      <c r="A218" t="s">
        <v>1630</v>
      </c>
      <c r="B218">
        <v>27800</v>
      </c>
      <c r="E218" t="s">
        <v>1018</v>
      </c>
      <c r="F218">
        <f>SUMIFS('Jan-2026'!F:F,'Jan-2026'!C:C,E218)</f>
        <v>0</v>
      </c>
      <c r="H218" t="e">
        <f t="shared" si="6"/>
        <v>#N/A</v>
      </c>
      <c r="I218" t="str">
        <f t="shared" si="7"/>
        <v>H00291</v>
      </c>
      <c r="L218" s="147"/>
      <c r="N218" s="264"/>
    </row>
    <row r="219" spans="1:14">
      <c r="A219" t="s">
        <v>1631</v>
      </c>
      <c r="B219">
        <v>22700</v>
      </c>
      <c r="E219" t="s">
        <v>1641</v>
      </c>
      <c r="F219">
        <f>SUMIFS('Jan-2026'!F:F,'Jan-2026'!C:C,E219)</f>
        <v>0</v>
      </c>
      <c r="H219" t="str">
        <f t="shared" si="6"/>
        <v>B00327</v>
      </c>
      <c r="I219" t="str">
        <f t="shared" si="7"/>
        <v>H00536</v>
      </c>
      <c r="L219" s="147"/>
      <c r="N219" s="264"/>
    </row>
    <row r="220" spans="1:14">
      <c r="A220" t="s">
        <v>1632</v>
      </c>
      <c r="B220">
        <v>42200</v>
      </c>
      <c r="E220" t="s">
        <v>1642</v>
      </c>
      <c r="F220">
        <f>SUMIFS('Jan-2026'!F:F,'Jan-2026'!C:C,E220)</f>
        <v>0</v>
      </c>
      <c r="H220" t="str">
        <f t="shared" si="6"/>
        <v>B00326</v>
      </c>
      <c r="I220" t="str">
        <f t="shared" si="7"/>
        <v>H00495</v>
      </c>
      <c r="L220" s="147"/>
      <c r="N220" s="264"/>
    </row>
    <row r="221" spans="1:14">
      <c r="A221" t="s">
        <v>1632</v>
      </c>
      <c r="B221">
        <v>27200</v>
      </c>
      <c r="E221" t="s">
        <v>1814</v>
      </c>
      <c r="F221">
        <f>SUMIFS('Jan-2026'!F:F,'Jan-2026'!C:C,E221)</f>
        <v>0</v>
      </c>
      <c r="H221" t="str">
        <f t="shared" si="6"/>
        <v>C00467</v>
      </c>
      <c r="I221" t="str">
        <f t="shared" si="7"/>
        <v>H00495</v>
      </c>
      <c r="L221" s="147"/>
      <c r="N221" s="264"/>
    </row>
    <row r="222" spans="1:14">
      <c r="A222" t="s">
        <v>1633</v>
      </c>
      <c r="B222">
        <v>70000</v>
      </c>
      <c r="E222" t="s">
        <v>1816</v>
      </c>
      <c r="F222">
        <f>SUMIFS('Jan-2026'!F:F,'Jan-2026'!C:C,E222)</f>
        <v>0</v>
      </c>
      <c r="H222" t="str">
        <f t="shared" si="6"/>
        <v>C00460</v>
      </c>
      <c r="I222" t="str">
        <f t="shared" si="7"/>
        <v>H00494</v>
      </c>
      <c r="L222" s="147"/>
      <c r="N222" s="264"/>
    </row>
    <row r="223" spans="1:14">
      <c r="A223" t="s">
        <v>1634</v>
      </c>
      <c r="B223">
        <v>70100</v>
      </c>
      <c r="E223" t="s">
        <v>1643</v>
      </c>
      <c r="F223">
        <f>SUMIFS('Jan-2026'!F:F,'Jan-2026'!C:C,E223)</f>
        <v>0</v>
      </c>
      <c r="H223" t="str">
        <f t="shared" si="6"/>
        <v>C00466</v>
      </c>
      <c r="I223" t="str">
        <f t="shared" si="7"/>
        <v>H00493</v>
      </c>
      <c r="L223" s="147"/>
      <c r="N223" s="264"/>
    </row>
    <row r="224" spans="1:14">
      <c r="A224" t="s">
        <v>1645</v>
      </c>
      <c r="E224" t="s">
        <v>1876</v>
      </c>
      <c r="F224">
        <f>SUMIFS('Jan-2026'!F:F,'Jan-2026'!C:C,E224)</f>
        <v>0</v>
      </c>
      <c r="H224" t="e">
        <f t="shared" si="6"/>
        <v>#N/A</v>
      </c>
      <c r="I224" t="str">
        <f t="shared" si="7"/>
        <v>B00331</v>
      </c>
      <c r="L224" s="147"/>
      <c r="N224" s="264"/>
    </row>
    <row r="225" spans="1:14">
      <c r="A225" t="s">
        <v>1812</v>
      </c>
      <c r="B225">
        <v>10900</v>
      </c>
      <c r="E225">
        <v>64304</v>
      </c>
      <c r="F225">
        <f>SUMIFS('Jan-2026'!F:F,'Jan-2026'!C:C,E225)</f>
        <v>0</v>
      </c>
      <c r="H225">
        <f t="shared" si="6"/>
        <v>64304</v>
      </c>
      <c r="I225" t="str">
        <f t="shared" si="7"/>
        <v>L00187</v>
      </c>
      <c r="L225" s="147"/>
      <c r="N225" s="264"/>
    </row>
    <row r="226" spans="1:14">
      <c r="A226" t="s">
        <v>1636</v>
      </c>
      <c r="B226">
        <v>25600</v>
      </c>
      <c r="E226" t="s">
        <v>1644</v>
      </c>
      <c r="F226">
        <f>SUMIFS('Jan-2026'!F:F,'Jan-2026'!C:C,E226)</f>
        <v>0</v>
      </c>
      <c r="H226" t="str">
        <f t="shared" si="6"/>
        <v>P00073</v>
      </c>
      <c r="I226" t="str">
        <f t="shared" si="7"/>
        <v>B00354</v>
      </c>
      <c r="L226" s="147"/>
      <c r="N226" s="264"/>
    </row>
    <row r="227" spans="1:14">
      <c r="A227" t="s">
        <v>1638</v>
      </c>
      <c r="B227">
        <v>22100</v>
      </c>
      <c r="E227" t="s">
        <v>1645</v>
      </c>
      <c r="F227">
        <f>SUMIFS('Jan-2026'!F:F,'Jan-2026'!C:C,E227)</f>
        <v>0</v>
      </c>
      <c r="H227" t="str">
        <f t="shared" si="6"/>
        <v>B00331</v>
      </c>
      <c r="I227" t="str">
        <f t="shared" si="7"/>
        <v>C00473</v>
      </c>
      <c r="L227" s="147"/>
      <c r="N227" s="264"/>
    </row>
    <row r="228" spans="1:14">
      <c r="A228" t="s">
        <v>1637</v>
      </c>
      <c r="B228">
        <v>30500</v>
      </c>
      <c r="E228" t="s">
        <v>1647</v>
      </c>
      <c r="F228">
        <f>SUMIFS('Jan-2026'!F:F,'Jan-2026'!C:C,E228)</f>
        <v>0</v>
      </c>
      <c r="H228" t="str">
        <f t="shared" si="6"/>
        <v>C00448</v>
      </c>
      <c r="I228" t="str">
        <f t="shared" si="7"/>
        <v>B00325</v>
      </c>
      <c r="L228" s="147"/>
      <c r="N228" s="264"/>
    </row>
    <row r="229" spans="1:14">
      <c r="A229" t="s">
        <v>1640</v>
      </c>
      <c r="B229">
        <v>22200</v>
      </c>
      <c r="E229" t="s">
        <v>1648</v>
      </c>
      <c r="F229">
        <f>SUMIFS('Jan-2026'!F:F,'Jan-2026'!C:C,E229)</f>
        <v>0</v>
      </c>
      <c r="H229" t="str">
        <f t="shared" si="6"/>
        <v>H00459</v>
      </c>
      <c r="I229" t="str">
        <f t="shared" si="7"/>
        <v>B00347</v>
      </c>
      <c r="L229" s="147"/>
      <c r="N229" s="264"/>
    </row>
    <row r="230" spans="1:14">
      <c r="A230" t="s">
        <v>1813</v>
      </c>
      <c r="B230">
        <v>8200</v>
      </c>
      <c r="E230" t="s">
        <v>1649</v>
      </c>
      <c r="F230">
        <f>SUMIFS('Jan-2026'!F:F,'Jan-2026'!C:C,E230)</f>
        <v>0</v>
      </c>
      <c r="H230" t="str">
        <f t="shared" si="6"/>
        <v>H00447</v>
      </c>
      <c r="I230" t="e">
        <f t="shared" si="7"/>
        <v>#N/A</v>
      </c>
      <c r="L230" s="147"/>
      <c r="N230" s="264"/>
    </row>
    <row r="231" spans="1:14">
      <c r="A231" t="s">
        <v>1641</v>
      </c>
      <c r="B231">
        <v>8000</v>
      </c>
      <c r="E231" t="s">
        <v>1820</v>
      </c>
      <c r="F231">
        <f>SUMIFS('Jan-2026'!F:F,'Jan-2026'!C:C,E231)</f>
        <v>0</v>
      </c>
      <c r="H231" t="str">
        <f t="shared" si="6"/>
        <v>G00142</v>
      </c>
      <c r="I231" t="str">
        <f t="shared" si="7"/>
        <v>B00327</v>
      </c>
      <c r="L231" s="147"/>
      <c r="N231" s="264"/>
    </row>
    <row r="232" spans="1:14">
      <c r="A232" t="s">
        <v>1642</v>
      </c>
      <c r="B232">
        <v>8300</v>
      </c>
      <c r="E232" t="s">
        <v>1650</v>
      </c>
      <c r="F232">
        <f>SUMIFS('Jan-2026'!F:F,'Jan-2026'!C:C,E232)</f>
        <v>0</v>
      </c>
      <c r="H232" t="str">
        <f t="shared" si="6"/>
        <v>H00534</v>
      </c>
      <c r="I232" t="str">
        <f t="shared" si="7"/>
        <v>B00326</v>
      </c>
      <c r="L232" s="147"/>
      <c r="N232" s="264"/>
    </row>
    <row r="233" spans="1:14">
      <c r="A233" t="s">
        <v>1814</v>
      </c>
      <c r="B233">
        <v>2600</v>
      </c>
      <c r="E233" t="s">
        <v>1651</v>
      </c>
      <c r="F233">
        <f>SUMIFS('Jan-2026'!F:F,'Jan-2026'!C:C,E233)</f>
        <v>0</v>
      </c>
      <c r="H233" t="str">
        <f t="shared" si="6"/>
        <v>H00556</v>
      </c>
      <c r="I233" t="str">
        <f t="shared" si="7"/>
        <v>C00467</v>
      </c>
      <c r="L233" s="147"/>
      <c r="N233" s="264"/>
    </row>
    <row r="234" spans="1:14">
      <c r="A234" t="s">
        <v>1815</v>
      </c>
      <c r="B234">
        <v>2300</v>
      </c>
      <c r="E234" t="s">
        <v>1652</v>
      </c>
      <c r="F234">
        <f>SUMIFS('Jan-2026'!F:F,'Jan-2026'!C:C,E234)</f>
        <v>0</v>
      </c>
      <c r="H234" t="str">
        <f t="shared" si="6"/>
        <v>N00237</v>
      </c>
      <c r="I234" t="str">
        <f t="shared" si="7"/>
        <v>C00491</v>
      </c>
      <c r="L234" s="147"/>
      <c r="N234" s="264"/>
    </row>
    <row r="235" spans="1:14">
      <c r="A235" t="s">
        <v>1816</v>
      </c>
      <c r="B235">
        <v>1400</v>
      </c>
      <c r="E235" t="s">
        <v>1653</v>
      </c>
      <c r="F235">
        <f>SUMIFS('Jan-2026'!F:F,'Jan-2026'!C:C,E235)</f>
        <v>0</v>
      </c>
      <c r="H235" t="str">
        <f t="shared" si="6"/>
        <v>N00261</v>
      </c>
      <c r="I235" t="str">
        <f t="shared" si="7"/>
        <v>C00460</v>
      </c>
      <c r="L235" s="147"/>
      <c r="N235" s="264"/>
    </row>
    <row r="236" spans="1:14">
      <c r="A236" t="s">
        <v>1817</v>
      </c>
      <c r="B236">
        <v>5500</v>
      </c>
      <c r="E236" t="s">
        <v>1654</v>
      </c>
      <c r="F236">
        <f>SUMIFS('Jan-2026'!F:F,'Jan-2026'!C:C,E236)</f>
        <v>0</v>
      </c>
      <c r="H236" t="str">
        <f t="shared" si="6"/>
        <v>N00262</v>
      </c>
      <c r="I236" t="str">
        <f t="shared" si="7"/>
        <v>C00468</v>
      </c>
      <c r="L236" s="147"/>
      <c r="N236" s="264"/>
    </row>
    <row r="237" spans="1:14">
      <c r="A237" t="s">
        <v>1643</v>
      </c>
      <c r="B237">
        <v>9300</v>
      </c>
      <c r="E237" t="s">
        <v>1655</v>
      </c>
      <c r="F237">
        <f>SUMIFS('Jan-2026'!F:F,'Jan-2026'!C:C,E237)</f>
        <v>0</v>
      </c>
      <c r="H237" t="str">
        <f t="shared" si="6"/>
        <v>N00260</v>
      </c>
      <c r="I237" t="str">
        <f t="shared" si="7"/>
        <v>C00466</v>
      </c>
      <c r="L237" s="147"/>
      <c r="N237" s="264"/>
    </row>
    <row r="238" spans="1:14">
      <c r="A238" t="s">
        <v>1818</v>
      </c>
      <c r="B238">
        <v>1400</v>
      </c>
      <c r="E238" t="s">
        <v>1576</v>
      </c>
      <c r="F238">
        <f>SUMIFS('Jan-2026'!F:F,'Jan-2026'!C:C,E238)</f>
        <v>0</v>
      </c>
      <c r="H238" t="str">
        <f t="shared" si="6"/>
        <v>H00492</v>
      </c>
      <c r="I238" t="str">
        <f t="shared" si="7"/>
        <v>C00497</v>
      </c>
      <c r="L238" s="147"/>
      <c r="N238" s="264"/>
    </row>
    <row r="239" spans="1:14">
      <c r="A239" t="s">
        <v>1819</v>
      </c>
      <c r="B239">
        <v>3500</v>
      </c>
      <c r="E239" t="s">
        <v>1448</v>
      </c>
      <c r="F239">
        <f>SUMIFS('Jan-2026'!F:F,'Jan-2026'!C:C,E239)</f>
        <v>0</v>
      </c>
      <c r="H239" t="str">
        <f t="shared" si="6"/>
        <v>H00406</v>
      </c>
      <c r="I239" t="e">
        <f t="shared" si="7"/>
        <v>#N/A</v>
      </c>
      <c r="L239" s="147"/>
      <c r="N239" s="264"/>
    </row>
    <row r="240" spans="1:14">
      <c r="A240" t="s">
        <v>1645</v>
      </c>
      <c r="B240">
        <v>10700</v>
      </c>
      <c r="E240" t="s">
        <v>1821</v>
      </c>
      <c r="F240">
        <f>SUMIFS('Jan-2026'!F:F,'Jan-2026'!C:C,E240)</f>
        <v>0</v>
      </c>
      <c r="H240" t="str">
        <f t="shared" si="6"/>
        <v>B00344</v>
      </c>
      <c r="I240" t="str">
        <f t="shared" si="7"/>
        <v>B00331</v>
      </c>
      <c r="L240" s="147"/>
      <c r="N240" s="264"/>
    </row>
    <row r="241" spans="1:14">
      <c r="A241" t="s">
        <v>1647</v>
      </c>
      <c r="B241">
        <v>27800</v>
      </c>
      <c r="E241" t="s">
        <v>1656</v>
      </c>
      <c r="F241">
        <f>SUMIFS('Jan-2026'!F:F,'Jan-2026'!C:C,E241)</f>
        <v>0</v>
      </c>
      <c r="H241" t="str">
        <f t="shared" si="6"/>
        <v>E00404</v>
      </c>
      <c r="I241" t="str">
        <f t="shared" si="7"/>
        <v>C00448</v>
      </c>
      <c r="L241" s="147"/>
      <c r="N241" s="264"/>
    </row>
    <row r="242" spans="1:14">
      <c r="A242" t="s">
        <v>1648</v>
      </c>
      <c r="B242">
        <v>7500</v>
      </c>
      <c r="E242" t="s">
        <v>1657</v>
      </c>
      <c r="F242">
        <f>SUMIFS('Jan-2026'!F:F,'Jan-2026'!C:C,E242)</f>
        <v>0</v>
      </c>
      <c r="H242" t="str">
        <f t="shared" si="6"/>
        <v>L00183</v>
      </c>
      <c r="I242" t="str">
        <f t="shared" si="7"/>
        <v>H00459</v>
      </c>
      <c r="L242" s="147"/>
      <c r="N242" s="264"/>
    </row>
    <row r="243" spans="1:14">
      <c r="A243" t="s">
        <v>1649</v>
      </c>
      <c r="B243">
        <v>12700</v>
      </c>
      <c r="E243" t="s">
        <v>1658</v>
      </c>
      <c r="F243">
        <f>SUMIFS('Jan-2026'!F:F,'Jan-2026'!C:C,E243)</f>
        <v>0</v>
      </c>
      <c r="H243" t="str">
        <f t="shared" si="6"/>
        <v>H00579</v>
      </c>
      <c r="I243" t="str">
        <f t="shared" si="7"/>
        <v>H00447</v>
      </c>
      <c r="L243" s="147"/>
      <c r="N243" s="264"/>
    </row>
    <row r="244" spans="1:14">
      <c r="A244" t="s">
        <v>1820</v>
      </c>
      <c r="B244">
        <v>22400</v>
      </c>
      <c r="E244" t="s">
        <v>1659</v>
      </c>
      <c r="F244">
        <f>SUMIFS('Jan-2026'!F:F,'Jan-2026'!C:C,E244)</f>
        <v>0</v>
      </c>
      <c r="H244" t="str">
        <f t="shared" si="6"/>
        <v>L00170</v>
      </c>
      <c r="I244" t="str">
        <f t="shared" si="7"/>
        <v>G00142</v>
      </c>
      <c r="L244" s="147"/>
      <c r="N244" s="264"/>
    </row>
    <row r="245" spans="1:14">
      <c r="A245">
        <v>65097</v>
      </c>
      <c r="B245">
        <v>1600</v>
      </c>
      <c r="E245" t="s">
        <v>1660</v>
      </c>
      <c r="F245">
        <f>SUMIFS('Jan-2026'!F:F,'Jan-2026'!C:C,E245)</f>
        <v>0</v>
      </c>
      <c r="H245" t="str">
        <f t="shared" si="6"/>
        <v>H00450</v>
      </c>
      <c r="I245">
        <f t="shared" si="7"/>
        <v>65097</v>
      </c>
      <c r="L245" s="147"/>
      <c r="N245" s="264"/>
    </row>
    <row r="246" spans="1:14">
      <c r="A246" t="s">
        <v>1650</v>
      </c>
      <c r="B246">
        <v>38400</v>
      </c>
      <c r="E246" t="s">
        <v>1661</v>
      </c>
      <c r="F246">
        <f>SUMIFS('Jan-2026'!F:F,'Jan-2026'!C:C,E246)</f>
        <v>0</v>
      </c>
      <c r="H246" t="str">
        <f t="shared" si="6"/>
        <v>H00446</v>
      </c>
      <c r="I246" t="str">
        <f t="shared" si="7"/>
        <v>H00534</v>
      </c>
      <c r="L246" s="147"/>
      <c r="N246" s="264"/>
    </row>
    <row r="247" spans="1:14">
      <c r="A247" t="s">
        <v>1651</v>
      </c>
      <c r="B247">
        <v>31500</v>
      </c>
      <c r="E247" t="s">
        <v>1662</v>
      </c>
      <c r="F247">
        <f>SUMIFS('Jan-2026'!F:F,'Jan-2026'!C:C,E247)</f>
        <v>0</v>
      </c>
      <c r="H247" t="str">
        <f t="shared" si="6"/>
        <v>H00445</v>
      </c>
      <c r="I247" t="str">
        <f t="shared" si="7"/>
        <v>H00556</v>
      </c>
      <c r="L247" s="147"/>
      <c r="N247" s="264"/>
    </row>
    <row r="248" spans="1:14">
      <c r="A248" t="s">
        <v>1652</v>
      </c>
      <c r="B248">
        <v>35600</v>
      </c>
      <c r="E248" t="s">
        <v>1663</v>
      </c>
      <c r="F248">
        <f>SUMIFS('Jan-2026'!F:F,'Jan-2026'!C:C,E248)</f>
        <v>0</v>
      </c>
      <c r="H248" t="str">
        <f t="shared" si="6"/>
        <v>H00464</v>
      </c>
      <c r="I248" t="str">
        <f t="shared" si="7"/>
        <v>N00237</v>
      </c>
      <c r="L248" s="147"/>
      <c r="N248" s="264"/>
    </row>
    <row r="249" spans="1:14">
      <c r="A249" t="s">
        <v>1653</v>
      </c>
      <c r="B249">
        <v>8700</v>
      </c>
      <c r="E249" t="s">
        <v>1664</v>
      </c>
      <c r="F249">
        <f>SUMIFS('Jan-2026'!F:F,'Jan-2026'!C:C,E249)</f>
        <v>0</v>
      </c>
      <c r="H249" t="str">
        <f t="shared" si="6"/>
        <v>H00462</v>
      </c>
      <c r="I249" t="str">
        <f t="shared" si="7"/>
        <v>N00261</v>
      </c>
      <c r="L249" s="147"/>
      <c r="N249" s="264"/>
    </row>
    <row r="250" spans="1:14">
      <c r="A250">
        <v>64304</v>
      </c>
      <c r="B250">
        <v>10200</v>
      </c>
      <c r="E250" t="s">
        <v>1665</v>
      </c>
      <c r="F250">
        <f>SUMIFS('Jan-2026'!F:F,'Jan-2026'!C:C,E250)</f>
        <v>0</v>
      </c>
      <c r="H250" t="str">
        <f t="shared" si="6"/>
        <v>H00461</v>
      </c>
      <c r="I250">
        <f t="shared" si="7"/>
        <v>64304</v>
      </c>
      <c r="L250" s="147"/>
      <c r="N250" s="264"/>
    </row>
    <row r="251" spans="1:14">
      <c r="A251" t="s">
        <v>1644</v>
      </c>
      <c r="B251">
        <v>125200</v>
      </c>
      <c r="E251" t="s">
        <v>1666</v>
      </c>
      <c r="F251">
        <f>SUMIFS('Jan-2026'!F:F,'Jan-2026'!C:C,E251)</f>
        <v>0</v>
      </c>
      <c r="H251" t="str">
        <f t="shared" si="6"/>
        <v>H00480</v>
      </c>
      <c r="I251" t="str">
        <f t="shared" si="7"/>
        <v>P00073</v>
      </c>
      <c r="L251" s="147"/>
      <c r="N251" s="264"/>
    </row>
    <row r="252" spans="1:14">
      <c r="A252" t="s">
        <v>1644</v>
      </c>
      <c r="B252">
        <v>195400</v>
      </c>
      <c r="E252" t="s">
        <v>1667</v>
      </c>
      <c r="F252">
        <f>SUMIFS('Jan-2026'!F:F,'Jan-2026'!C:C,E252)</f>
        <v>0</v>
      </c>
      <c r="H252" t="str">
        <f t="shared" si="6"/>
        <v>E00403</v>
      </c>
      <c r="I252" t="str">
        <f t="shared" si="7"/>
        <v>P00073</v>
      </c>
      <c r="L252" s="147"/>
      <c r="N252" s="264"/>
    </row>
    <row r="253" spans="1:14">
      <c r="A253" t="s">
        <v>1654</v>
      </c>
      <c r="B253">
        <v>8600</v>
      </c>
      <c r="E253" t="s">
        <v>1668</v>
      </c>
      <c r="F253">
        <f>SUMIFS('Jan-2026'!F:F,'Jan-2026'!C:C,E253)</f>
        <v>0</v>
      </c>
      <c r="H253" t="str">
        <f t="shared" si="6"/>
        <v>L00182</v>
      </c>
      <c r="I253" t="str">
        <f t="shared" si="7"/>
        <v>N00262</v>
      </c>
      <c r="L253" s="147"/>
      <c r="N253" s="264"/>
    </row>
    <row r="254" spans="1:14">
      <c r="A254" t="s">
        <v>1655</v>
      </c>
      <c r="B254">
        <v>9600</v>
      </c>
      <c r="E254" t="s">
        <v>1669</v>
      </c>
      <c r="F254">
        <f>SUMIFS('Jan-2026'!F:F,'Jan-2026'!C:C,E254)</f>
        <v>0</v>
      </c>
      <c r="H254" t="str">
        <f t="shared" si="6"/>
        <v>L00184</v>
      </c>
      <c r="I254" t="str">
        <f t="shared" si="7"/>
        <v>N00260</v>
      </c>
      <c r="L254" s="147"/>
      <c r="N254" s="264"/>
    </row>
    <row r="255" spans="1:14">
      <c r="A255" t="s">
        <v>1576</v>
      </c>
      <c r="B255">
        <v>145500</v>
      </c>
      <c r="E255" t="s">
        <v>1670</v>
      </c>
      <c r="F255">
        <f>SUMIFS('Jan-2026'!F:F,'Jan-2026'!C:C,E255)</f>
        <v>0</v>
      </c>
      <c r="H255" t="str">
        <f t="shared" si="6"/>
        <v>L00178</v>
      </c>
      <c r="I255" t="str">
        <f t="shared" si="7"/>
        <v>H00492</v>
      </c>
      <c r="L255" s="147"/>
      <c r="N255" s="264"/>
    </row>
    <row r="256" spans="1:14">
      <c r="A256" t="s">
        <v>1576</v>
      </c>
      <c r="B256">
        <v>67500</v>
      </c>
      <c r="E256" t="s">
        <v>1671</v>
      </c>
      <c r="F256">
        <f>SUMIFS('Jan-2026'!F:F,'Jan-2026'!C:C,E256)</f>
        <v>0</v>
      </c>
      <c r="H256" t="str">
        <f t="shared" si="6"/>
        <v>L00180</v>
      </c>
      <c r="I256" t="str">
        <f t="shared" si="7"/>
        <v>H00492</v>
      </c>
      <c r="L256" s="147"/>
      <c r="N256" s="264"/>
    </row>
    <row r="257" spans="1:14">
      <c r="A257" t="s">
        <v>1448</v>
      </c>
      <c r="B257">
        <v>82400</v>
      </c>
      <c r="E257" t="s">
        <v>1672</v>
      </c>
      <c r="F257">
        <f>SUMIFS('Jan-2026'!F:F,'Jan-2026'!C:C,E257)</f>
        <v>0</v>
      </c>
      <c r="H257" t="str">
        <f t="shared" si="6"/>
        <v>L00177</v>
      </c>
      <c r="I257" t="str">
        <f t="shared" si="7"/>
        <v>H00406</v>
      </c>
      <c r="L257" s="147"/>
      <c r="N257" s="264"/>
    </row>
    <row r="258" spans="1:14">
      <c r="A258" t="s">
        <v>1821</v>
      </c>
      <c r="B258">
        <v>13500</v>
      </c>
      <c r="E258" t="s">
        <v>1673</v>
      </c>
      <c r="F258">
        <f>SUMIFS('Jan-2026'!F:F,'Jan-2026'!C:C,E258)</f>
        <v>0</v>
      </c>
      <c r="H258" t="str">
        <f t="shared" si="6"/>
        <v>N00282</v>
      </c>
      <c r="I258" t="str">
        <f t="shared" si="7"/>
        <v>B00344</v>
      </c>
      <c r="L258" s="147"/>
      <c r="N258" s="264"/>
    </row>
    <row r="259" spans="1:14">
      <c r="A259" t="s">
        <v>1644</v>
      </c>
      <c r="B259">
        <v>70600</v>
      </c>
      <c r="E259" t="s">
        <v>1841</v>
      </c>
      <c r="F259">
        <f>SUMIFS('Jan-2026'!F:F,'Jan-2026'!C:C,E259)</f>
        <v>0</v>
      </c>
      <c r="H259" t="str">
        <f t="shared" si="6"/>
        <v>N00285</v>
      </c>
      <c r="I259" t="str">
        <f t="shared" si="7"/>
        <v>P00073</v>
      </c>
      <c r="L259" s="147"/>
      <c r="N259" s="264"/>
    </row>
    <row r="260" spans="1:14">
      <c r="A260" t="s">
        <v>1578</v>
      </c>
      <c r="B260">
        <v>6900</v>
      </c>
      <c r="E260" t="s">
        <v>1674</v>
      </c>
      <c r="F260">
        <f>SUMIFS('Jan-2026'!F:F,'Jan-2026'!C:C,E260)</f>
        <v>0</v>
      </c>
      <c r="H260" t="str">
        <f t="shared" si="6"/>
        <v>L00185</v>
      </c>
      <c r="I260" t="str">
        <f t="shared" si="7"/>
        <v>J00247</v>
      </c>
      <c r="L260" s="147"/>
      <c r="N260" s="264"/>
    </row>
    <row r="261" spans="1:14">
      <c r="A261" t="s">
        <v>1579</v>
      </c>
      <c r="B261">
        <v>36600</v>
      </c>
      <c r="E261" t="s">
        <v>1675</v>
      </c>
      <c r="F261">
        <f>SUMIFS('Jan-2026'!F:F,'Jan-2026'!C:C,E261)</f>
        <v>0</v>
      </c>
      <c r="H261" t="str">
        <f t="shared" si="6"/>
        <v>C00514</v>
      </c>
      <c r="I261" t="str">
        <f t="shared" si="7"/>
        <v>P00187</v>
      </c>
      <c r="L261" s="147"/>
      <c r="N261" s="264"/>
    </row>
    <row r="262" spans="1:14">
      <c r="A262" t="s">
        <v>1580</v>
      </c>
      <c r="E262" t="s">
        <v>1676</v>
      </c>
      <c r="F262">
        <f>SUMIFS('Jan-2026'!F:F,'Jan-2026'!C:C,E262)</f>
        <v>0</v>
      </c>
      <c r="H262" t="str">
        <f t="shared" ref="H262:H325" si="8">VLOOKUP(E262,A:B,1,FALSE)</f>
        <v>H00454</v>
      </c>
      <c r="I262" t="str">
        <f t="shared" ref="I262:I325" si="9">VLOOKUP(A262,E:F,1,FALSE)</f>
        <v>P00188</v>
      </c>
      <c r="L262" s="147"/>
      <c r="N262" s="264"/>
    </row>
    <row r="263" spans="1:14">
      <c r="A263" t="s">
        <v>1580</v>
      </c>
      <c r="B263">
        <v>26900</v>
      </c>
      <c r="E263" t="s">
        <v>1677</v>
      </c>
      <c r="F263">
        <f>SUMIFS('Jan-2026'!F:F,'Jan-2026'!C:C,E263)</f>
        <v>0</v>
      </c>
      <c r="H263" t="str">
        <f t="shared" si="8"/>
        <v>N00286</v>
      </c>
      <c r="I263" t="str">
        <f t="shared" si="9"/>
        <v>P00188</v>
      </c>
      <c r="L263" s="147"/>
      <c r="N263" s="264"/>
    </row>
    <row r="264" spans="1:14">
      <c r="A264" t="s">
        <v>1581</v>
      </c>
      <c r="B264">
        <v>6800</v>
      </c>
      <c r="E264" t="s">
        <v>1559</v>
      </c>
      <c r="F264">
        <f>SUMIFS('Jan-2026'!F:F,'Jan-2026'!C:C,E264)</f>
        <v>0</v>
      </c>
      <c r="H264" t="str">
        <f t="shared" si="8"/>
        <v>F00309</v>
      </c>
      <c r="I264" t="str">
        <f t="shared" si="9"/>
        <v>P00189</v>
      </c>
      <c r="L264" s="147"/>
      <c r="N264" s="264"/>
    </row>
    <row r="265" spans="1:14">
      <c r="A265" t="s">
        <v>1582</v>
      </c>
      <c r="B265">
        <v>8500</v>
      </c>
      <c r="E265" t="s">
        <v>1678</v>
      </c>
      <c r="F265">
        <f>SUMIFS('Jan-2026'!F:F,'Jan-2026'!C:C,E265)</f>
        <v>0</v>
      </c>
      <c r="H265" t="str">
        <f t="shared" si="8"/>
        <v>B00288</v>
      </c>
      <c r="I265" t="str">
        <f t="shared" si="9"/>
        <v>C00455</v>
      </c>
      <c r="L265" s="147"/>
      <c r="N265" s="264"/>
    </row>
    <row r="266" spans="1:14">
      <c r="A266" t="s">
        <v>1584</v>
      </c>
      <c r="B266">
        <v>8400</v>
      </c>
      <c r="E266" t="s">
        <v>1679</v>
      </c>
      <c r="F266">
        <f>SUMIFS('Jan-2026'!F:F,'Jan-2026'!C:C,E266)</f>
        <v>0</v>
      </c>
      <c r="H266" t="str">
        <f t="shared" si="8"/>
        <v>B00340</v>
      </c>
      <c r="I266" t="str">
        <f t="shared" si="9"/>
        <v>C00454</v>
      </c>
      <c r="L266" s="147"/>
      <c r="N266" s="264"/>
    </row>
    <row r="267" spans="1:14">
      <c r="A267" t="s">
        <v>1583</v>
      </c>
      <c r="B267">
        <v>12200</v>
      </c>
      <c r="E267" t="s">
        <v>1808</v>
      </c>
      <c r="F267">
        <f>SUMIFS('Jan-2026'!F:F,'Jan-2026'!C:C,E267)</f>
        <v>0</v>
      </c>
      <c r="H267" t="str">
        <f t="shared" si="8"/>
        <v>H00496</v>
      </c>
      <c r="I267" t="str">
        <f t="shared" si="9"/>
        <v>G00153</v>
      </c>
      <c r="L267" s="147"/>
      <c r="N267" s="264"/>
    </row>
    <row r="268" spans="1:14">
      <c r="A268" t="s">
        <v>1586</v>
      </c>
      <c r="B268">
        <v>19300</v>
      </c>
      <c r="E268" t="s">
        <v>1680</v>
      </c>
      <c r="F268">
        <f>SUMIFS('Jan-2026'!F:F,'Jan-2026'!C:C,E268)</f>
        <v>0</v>
      </c>
      <c r="H268" t="str">
        <f t="shared" si="8"/>
        <v>C00451</v>
      </c>
      <c r="I268" t="str">
        <f t="shared" si="9"/>
        <v>G00152</v>
      </c>
      <c r="L268" s="147"/>
      <c r="N268" s="264"/>
    </row>
    <row r="269" spans="1:14">
      <c r="A269" t="s">
        <v>1821</v>
      </c>
      <c r="B269">
        <v>10900</v>
      </c>
      <c r="E269" t="s">
        <v>1681</v>
      </c>
      <c r="F269">
        <f>SUMIFS('Jan-2026'!F:F,'Jan-2026'!C:C,E269)</f>
        <v>0</v>
      </c>
      <c r="H269" t="str">
        <f t="shared" si="8"/>
        <v>B00301</v>
      </c>
      <c r="I269" t="str">
        <f t="shared" si="9"/>
        <v>B00344</v>
      </c>
      <c r="L269" s="147"/>
      <c r="N269" s="264"/>
    </row>
    <row r="270" spans="1:14">
      <c r="A270" t="s">
        <v>1822</v>
      </c>
      <c r="B270">
        <v>24700</v>
      </c>
      <c r="E270" t="s">
        <v>1682</v>
      </c>
      <c r="F270">
        <f>SUMIFS('Jan-2026'!F:F,'Jan-2026'!C:C,E270)</f>
        <v>0</v>
      </c>
      <c r="H270" t="str">
        <f t="shared" si="8"/>
        <v>F00335</v>
      </c>
      <c r="I270" t="str">
        <f t="shared" si="9"/>
        <v>B00345</v>
      </c>
      <c r="L270" s="147"/>
      <c r="N270" s="264"/>
    </row>
    <row r="271" spans="1:14">
      <c r="A271" t="s">
        <v>1569</v>
      </c>
      <c r="B271">
        <v>48900</v>
      </c>
      <c r="E271" t="s">
        <v>1683</v>
      </c>
      <c r="F271">
        <f>SUMIFS('Jan-2026'!F:F,'Jan-2026'!C:C,E271)</f>
        <v>0</v>
      </c>
      <c r="H271" t="str">
        <f t="shared" si="8"/>
        <v>F00338</v>
      </c>
      <c r="I271" t="str">
        <f t="shared" si="9"/>
        <v>C00431</v>
      </c>
      <c r="L271" s="147"/>
      <c r="N271" s="264"/>
    </row>
    <row r="272" spans="1:14">
      <c r="A272" t="s">
        <v>1570</v>
      </c>
      <c r="B272">
        <v>66800</v>
      </c>
      <c r="E272" t="s">
        <v>1684</v>
      </c>
      <c r="F272">
        <f>SUMIFS('Jan-2026'!F:F,'Jan-2026'!C:C,E272)</f>
        <v>0</v>
      </c>
      <c r="H272" t="str">
        <f t="shared" si="8"/>
        <v>F00337</v>
      </c>
      <c r="I272" t="str">
        <f t="shared" si="9"/>
        <v>C00450</v>
      </c>
      <c r="L272" s="147"/>
      <c r="N272" s="264"/>
    </row>
    <row r="273" spans="1:14">
      <c r="A273" t="s">
        <v>1570</v>
      </c>
      <c r="B273">
        <v>6700</v>
      </c>
      <c r="E273" t="s">
        <v>1835</v>
      </c>
      <c r="F273">
        <f>SUMIFS('Jan-2026'!F:F,'Jan-2026'!C:C,E273)</f>
        <v>0</v>
      </c>
      <c r="H273" t="str">
        <f t="shared" si="8"/>
        <v>B00378</v>
      </c>
      <c r="I273" t="str">
        <f t="shared" si="9"/>
        <v>C00450</v>
      </c>
      <c r="L273" s="147"/>
      <c r="N273" s="264"/>
    </row>
    <row r="274" spans="1:14">
      <c r="A274" t="s">
        <v>1571</v>
      </c>
      <c r="B274">
        <v>81000</v>
      </c>
      <c r="E274" t="s">
        <v>1839</v>
      </c>
      <c r="F274">
        <f>SUMIFS('Jan-2026'!F:F,'Jan-2026'!C:C,E274)</f>
        <v>0</v>
      </c>
      <c r="H274" t="str">
        <f t="shared" si="8"/>
        <v>B00375</v>
      </c>
      <c r="I274" t="str">
        <f t="shared" si="9"/>
        <v>G00145</v>
      </c>
      <c r="L274" s="147"/>
      <c r="N274" s="264"/>
    </row>
    <row r="275" spans="1:14">
      <c r="A275" t="s">
        <v>1572</v>
      </c>
      <c r="B275">
        <v>23200</v>
      </c>
      <c r="E275" t="s">
        <v>1685</v>
      </c>
      <c r="F275">
        <f>SUMIFS('Jan-2026'!F:F,'Jan-2026'!C:C,E275)</f>
        <v>0</v>
      </c>
      <c r="H275" t="str">
        <f t="shared" si="8"/>
        <v>N00283</v>
      </c>
      <c r="I275" t="str">
        <f t="shared" si="9"/>
        <v>N00292</v>
      </c>
      <c r="L275" s="147"/>
      <c r="N275" s="264"/>
    </row>
    <row r="276" spans="1:14">
      <c r="A276" t="s">
        <v>1573</v>
      </c>
      <c r="B276">
        <v>27000</v>
      </c>
      <c r="E276" t="s">
        <v>1686</v>
      </c>
      <c r="F276">
        <f>SUMIFS('Jan-2026'!F:F,'Jan-2026'!C:C,E276)</f>
        <v>0</v>
      </c>
      <c r="H276" t="str">
        <f t="shared" si="8"/>
        <v>L00135</v>
      </c>
      <c r="I276" t="str">
        <f t="shared" si="9"/>
        <v>N00287</v>
      </c>
      <c r="L276" s="147"/>
      <c r="N276" s="264"/>
    </row>
    <row r="277" spans="1:14">
      <c r="A277" t="s">
        <v>1574</v>
      </c>
      <c r="E277" t="s">
        <v>1687</v>
      </c>
      <c r="F277">
        <f>SUMIFS('Jan-2026'!F:F,'Jan-2026'!C:C,E277)</f>
        <v>0</v>
      </c>
      <c r="H277" t="str">
        <f t="shared" si="8"/>
        <v>N00289</v>
      </c>
      <c r="I277" t="str">
        <f t="shared" si="9"/>
        <v>N00284</v>
      </c>
      <c r="L277" s="147"/>
      <c r="N277" s="264"/>
    </row>
    <row r="278" spans="1:14">
      <c r="A278" t="s">
        <v>1586</v>
      </c>
      <c r="B278">
        <v>19400</v>
      </c>
      <c r="E278" t="s">
        <v>1688</v>
      </c>
      <c r="F278">
        <f>SUMIFS('Jan-2026'!F:F,'Jan-2026'!C:C,E278)</f>
        <v>0</v>
      </c>
      <c r="H278" t="str">
        <f t="shared" si="8"/>
        <v>C00493</v>
      </c>
      <c r="I278" t="str">
        <f t="shared" si="9"/>
        <v>G00152</v>
      </c>
      <c r="L278" s="147"/>
      <c r="N278" s="264"/>
    </row>
    <row r="279" spans="1:14">
      <c r="A279" t="s">
        <v>1592</v>
      </c>
      <c r="B279">
        <v>9100</v>
      </c>
      <c r="E279" t="s">
        <v>1844</v>
      </c>
      <c r="F279">
        <f>SUMIFS('Jan-2026'!F:F,'Jan-2026'!C:C,E279)</f>
        <v>0</v>
      </c>
      <c r="H279" t="str">
        <f t="shared" si="8"/>
        <v>L00133</v>
      </c>
      <c r="I279" t="str">
        <f t="shared" si="9"/>
        <v>G00149</v>
      </c>
      <c r="L279" s="147"/>
      <c r="N279" s="264"/>
    </row>
    <row r="280" spans="1:14">
      <c r="A280" t="s">
        <v>1593</v>
      </c>
      <c r="B280">
        <v>9000</v>
      </c>
      <c r="E280" t="s">
        <v>1351</v>
      </c>
      <c r="F280">
        <f>SUMIFS('Jan-2026'!F:F,'Jan-2026'!C:C,E280)</f>
        <v>0</v>
      </c>
      <c r="H280" t="e">
        <f t="shared" si="8"/>
        <v>#N/A</v>
      </c>
      <c r="I280" t="str">
        <f t="shared" si="9"/>
        <v>B00374</v>
      </c>
      <c r="L280" s="147"/>
      <c r="N280" s="264"/>
    </row>
    <row r="281" spans="1:14">
      <c r="A281" t="s">
        <v>1576</v>
      </c>
      <c r="B281">
        <v>92200</v>
      </c>
      <c r="E281" t="s">
        <v>1842</v>
      </c>
      <c r="F281">
        <f>SUMIFS('Jan-2026'!F:F,'Jan-2026'!C:C,E281)</f>
        <v>0</v>
      </c>
      <c r="H281" t="str">
        <f t="shared" si="8"/>
        <v>G00146</v>
      </c>
      <c r="I281" t="str">
        <f t="shared" si="9"/>
        <v>H00492</v>
      </c>
      <c r="L281" s="147"/>
      <c r="N281" s="264"/>
    </row>
    <row r="282" spans="1:14">
      <c r="A282" t="s">
        <v>1576</v>
      </c>
      <c r="B282">
        <v>129000</v>
      </c>
      <c r="E282" t="s">
        <v>1689</v>
      </c>
      <c r="F282">
        <f>SUMIFS('Jan-2026'!F:F,'Jan-2026'!C:C,E282)</f>
        <v>0</v>
      </c>
      <c r="H282" t="str">
        <f t="shared" si="8"/>
        <v>G00169</v>
      </c>
      <c r="I282" t="str">
        <f t="shared" si="9"/>
        <v>H00492</v>
      </c>
      <c r="L282" s="147"/>
      <c r="N282" s="264"/>
    </row>
    <row r="283" spans="1:14">
      <c r="A283" t="s">
        <v>1594</v>
      </c>
      <c r="B283">
        <v>78300</v>
      </c>
      <c r="E283" t="s">
        <v>1690</v>
      </c>
      <c r="F283">
        <f>SUMIFS('Jan-2026'!F:F,'Jan-2026'!C:C,E283)</f>
        <v>0</v>
      </c>
      <c r="H283" t="str">
        <f t="shared" si="8"/>
        <v>G00151</v>
      </c>
      <c r="I283" t="str">
        <f t="shared" si="9"/>
        <v>B00241</v>
      </c>
      <c r="L283" s="147"/>
      <c r="N283" s="264"/>
    </row>
    <row r="284" spans="1:14">
      <c r="A284" t="s">
        <v>1574</v>
      </c>
      <c r="B284">
        <v>26800</v>
      </c>
      <c r="E284" t="s">
        <v>1691</v>
      </c>
      <c r="F284">
        <f>SUMIFS('Jan-2026'!F:F,'Jan-2026'!C:C,E284)</f>
        <v>0</v>
      </c>
      <c r="H284" t="str">
        <f t="shared" si="8"/>
        <v>B00333</v>
      </c>
      <c r="I284" t="str">
        <f t="shared" si="9"/>
        <v>N00284</v>
      </c>
      <c r="L284" s="147"/>
      <c r="N284" s="264"/>
    </row>
    <row r="285" spans="1:14">
      <c r="A285" t="s">
        <v>1575</v>
      </c>
      <c r="B285">
        <v>129500</v>
      </c>
      <c r="E285" t="s">
        <v>1692</v>
      </c>
      <c r="F285">
        <f>SUMIFS('Jan-2026'!F:F,'Jan-2026'!C:C,E285)</f>
        <v>0</v>
      </c>
      <c r="H285" t="str">
        <f t="shared" si="8"/>
        <v>F00340</v>
      </c>
      <c r="I285" t="str">
        <f t="shared" si="9"/>
        <v>P00163</v>
      </c>
      <c r="L285" s="147"/>
      <c r="N285" s="264"/>
    </row>
    <row r="286" spans="1:14">
      <c r="A286" t="s">
        <v>1577</v>
      </c>
      <c r="B286">
        <v>170200</v>
      </c>
      <c r="E286" t="s">
        <v>1629</v>
      </c>
      <c r="F286">
        <f>SUMIFS('Jan-2026'!F:F,'Jan-2026'!C:C,E286)</f>
        <v>0</v>
      </c>
      <c r="H286" t="str">
        <f t="shared" si="8"/>
        <v>H00442</v>
      </c>
      <c r="I286" t="str">
        <f t="shared" si="9"/>
        <v>P00164</v>
      </c>
      <c r="L286" s="147"/>
      <c r="N286" s="264"/>
    </row>
    <row r="287" spans="1:14">
      <c r="A287" t="s">
        <v>1594</v>
      </c>
      <c r="B287">
        <v>69400</v>
      </c>
      <c r="E287" t="s">
        <v>1693</v>
      </c>
      <c r="F287">
        <f>SUMIFS('Jan-2026'!F:F,'Jan-2026'!C:C,E287)</f>
        <v>0</v>
      </c>
      <c r="H287" t="str">
        <f t="shared" si="8"/>
        <v>F00342</v>
      </c>
      <c r="I287" t="str">
        <f t="shared" si="9"/>
        <v>B00241</v>
      </c>
      <c r="L287" s="147"/>
      <c r="N287" s="264"/>
    </row>
    <row r="288" spans="1:14">
      <c r="A288" t="s">
        <v>1823</v>
      </c>
      <c r="B288">
        <v>7900</v>
      </c>
      <c r="E288" t="s">
        <v>1694</v>
      </c>
      <c r="F288">
        <f>SUMIFS('Jan-2026'!F:F,'Jan-2026'!C:C,E288)</f>
        <v>0</v>
      </c>
      <c r="H288" t="str">
        <f t="shared" si="8"/>
        <v>F00341</v>
      </c>
      <c r="I288" t="str">
        <f t="shared" si="9"/>
        <v>B00330</v>
      </c>
      <c r="L288" s="147"/>
      <c r="N288" s="264"/>
    </row>
    <row r="289" spans="1:14">
      <c r="A289" t="s">
        <v>1824</v>
      </c>
      <c r="B289">
        <v>7900</v>
      </c>
      <c r="E289" t="s">
        <v>1695</v>
      </c>
      <c r="F289">
        <f>SUMIFS('Jan-2026'!F:F,'Jan-2026'!C:C,E289)</f>
        <v>0</v>
      </c>
      <c r="H289" t="str">
        <f t="shared" si="8"/>
        <v>B00370</v>
      </c>
      <c r="I289" t="str">
        <f t="shared" si="9"/>
        <v>B00334</v>
      </c>
      <c r="L289" s="147"/>
      <c r="N289" s="264"/>
    </row>
    <row r="290" spans="1:14">
      <c r="A290" t="s">
        <v>1825</v>
      </c>
      <c r="B290">
        <v>12400</v>
      </c>
      <c r="E290" t="s">
        <v>1696</v>
      </c>
      <c r="F290">
        <f>SUMIFS('Jan-2026'!F:F,'Jan-2026'!C:C,E290)</f>
        <v>0</v>
      </c>
      <c r="H290" t="str">
        <f t="shared" si="8"/>
        <v>F00339</v>
      </c>
      <c r="I290" t="str">
        <f t="shared" si="9"/>
        <v>B00363</v>
      </c>
      <c r="L290" s="147"/>
      <c r="N290" s="264"/>
    </row>
    <row r="291" spans="1:14">
      <c r="A291" t="s">
        <v>1826</v>
      </c>
      <c r="E291" t="s">
        <v>1697</v>
      </c>
      <c r="F291">
        <f>SUMIFS('Jan-2026'!F:F,'Jan-2026'!C:C,E291)</f>
        <v>0</v>
      </c>
      <c r="H291" t="str">
        <f t="shared" si="8"/>
        <v>F00368</v>
      </c>
      <c r="I291" t="str">
        <f t="shared" si="9"/>
        <v>B00362</v>
      </c>
      <c r="L291" s="147"/>
      <c r="N291" s="264"/>
    </row>
    <row r="292" spans="1:14">
      <c r="A292" t="s">
        <v>1826</v>
      </c>
      <c r="B292">
        <v>14300</v>
      </c>
      <c r="E292" t="s">
        <v>1698</v>
      </c>
      <c r="F292">
        <f>SUMIFS('Jan-2026'!F:F,'Jan-2026'!C:C,E292)</f>
        <v>0</v>
      </c>
      <c r="H292" t="str">
        <f t="shared" si="8"/>
        <v>B00353</v>
      </c>
      <c r="I292" t="str">
        <f t="shared" si="9"/>
        <v>B00362</v>
      </c>
      <c r="L292" s="147"/>
      <c r="N292" s="264"/>
    </row>
    <row r="293" spans="1:14">
      <c r="A293" t="s">
        <v>1827</v>
      </c>
      <c r="B293">
        <v>12400</v>
      </c>
      <c r="E293" t="s">
        <v>1699</v>
      </c>
      <c r="F293">
        <f>SUMIFS('Jan-2026'!F:F,'Jan-2026'!C:C,E293)</f>
        <v>0</v>
      </c>
      <c r="H293" t="str">
        <f t="shared" si="8"/>
        <v>F00369</v>
      </c>
      <c r="I293" t="str">
        <f t="shared" si="9"/>
        <v>B00361</v>
      </c>
      <c r="L293" s="147"/>
      <c r="N293" s="264"/>
    </row>
    <row r="294" spans="1:14">
      <c r="A294" t="s">
        <v>1828</v>
      </c>
      <c r="B294">
        <v>10700</v>
      </c>
      <c r="E294" t="s">
        <v>1700</v>
      </c>
      <c r="F294">
        <f>SUMIFS('Jan-2026'!F:F,'Jan-2026'!C:C,E294)</f>
        <v>0</v>
      </c>
      <c r="H294" t="str">
        <f t="shared" si="8"/>
        <v>C00488</v>
      </c>
      <c r="I294" t="str">
        <f t="shared" si="9"/>
        <v>B00364</v>
      </c>
      <c r="L294" s="147"/>
      <c r="N294" s="264"/>
    </row>
    <row r="295" spans="1:14">
      <c r="A295" t="s">
        <v>1595</v>
      </c>
      <c r="B295">
        <v>10200</v>
      </c>
      <c r="E295" t="s">
        <v>1701</v>
      </c>
      <c r="F295">
        <f>SUMIFS('Jan-2026'!F:F,'Jan-2026'!C:C,E295)</f>
        <v>0</v>
      </c>
      <c r="H295" t="str">
        <f t="shared" si="8"/>
        <v>F00367</v>
      </c>
      <c r="I295" t="str">
        <f t="shared" si="9"/>
        <v>B00338</v>
      </c>
      <c r="L295" s="147"/>
      <c r="N295" s="264"/>
    </row>
    <row r="296" spans="1:14">
      <c r="A296" t="s">
        <v>1596</v>
      </c>
      <c r="B296">
        <v>14500</v>
      </c>
      <c r="E296" t="s">
        <v>1702</v>
      </c>
      <c r="F296">
        <f>SUMIFS('Jan-2026'!F:F,'Jan-2026'!C:C,E296)</f>
        <v>0</v>
      </c>
      <c r="H296" t="str">
        <f t="shared" si="8"/>
        <v>F00366</v>
      </c>
      <c r="I296" t="str">
        <f t="shared" si="9"/>
        <v>B00336</v>
      </c>
      <c r="L296" s="147"/>
      <c r="N296" s="264"/>
    </row>
    <row r="297" spans="1:14">
      <c r="A297" t="s">
        <v>1829</v>
      </c>
      <c r="B297">
        <v>14200</v>
      </c>
      <c r="E297" t="s">
        <v>1703</v>
      </c>
      <c r="F297">
        <f>SUMIFS('Jan-2026'!F:F,'Jan-2026'!C:C,E297)</f>
        <v>0</v>
      </c>
      <c r="H297" t="str">
        <f t="shared" si="8"/>
        <v>C00516</v>
      </c>
      <c r="I297" t="str">
        <f t="shared" si="9"/>
        <v>B00352</v>
      </c>
      <c r="L297" s="147"/>
      <c r="N297" s="264"/>
    </row>
    <row r="298" spans="1:14">
      <c r="A298" t="s">
        <v>1830</v>
      </c>
      <c r="E298" t="s">
        <v>1704</v>
      </c>
      <c r="F298">
        <f>SUMIFS('Jan-2026'!F:F,'Jan-2026'!C:C,E298)</f>
        <v>0</v>
      </c>
      <c r="H298" t="str">
        <f t="shared" si="8"/>
        <v>C00515</v>
      </c>
      <c r="I298" t="str">
        <f t="shared" si="9"/>
        <v>B00351</v>
      </c>
      <c r="L298" s="147"/>
      <c r="N298" s="264"/>
    </row>
    <row r="299" spans="1:14">
      <c r="A299" t="s">
        <v>1577</v>
      </c>
      <c r="B299">
        <v>30500</v>
      </c>
      <c r="E299" t="s">
        <v>1705</v>
      </c>
      <c r="F299">
        <f>SUMIFS('Jan-2026'!F:F,'Jan-2026'!C:C,E299)</f>
        <v>0</v>
      </c>
      <c r="H299" t="str">
        <f t="shared" si="8"/>
        <v>F00363</v>
      </c>
      <c r="I299" t="str">
        <f t="shared" si="9"/>
        <v>P00164</v>
      </c>
      <c r="L299" s="147"/>
      <c r="N299" s="264"/>
    </row>
    <row r="300" spans="1:14">
      <c r="A300" t="s">
        <v>1587</v>
      </c>
      <c r="B300">
        <v>16500</v>
      </c>
      <c r="E300" t="s">
        <v>1706</v>
      </c>
      <c r="F300">
        <f>SUMIFS('Jan-2026'!F:F,'Jan-2026'!C:C,E300)</f>
        <v>0</v>
      </c>
      <c r="H300" t="str">
        <f t="shared" si="8"/>
        <v>B00381</v>
      </c>
      <c r="I300" t="str">
        <f t="shared" si="9"/>
        <v>B00313</v>
      </c>
      <c r="L300" s="147"/>
      <c r="N300" s="264"/>
    </row>
    <row r="301" spans="1:14">
      <c r="A301" t="s">
        <v>1831</v>
      </c>
      <c r="B301">
        <v>20700</v>
      </c>
      <c r="E301">
        <v>64314</v>
      </c>
      <c r="F301">
        <f>SUMIFS('Jan-2026'!F:F,'Jan-2026'!C:C,E301)</f>
        <v>0</v>
      </c>
      <c r="H301">
        <f t="shared" si="8"/>
        <v>64314</v>
      </c>
      <c r="I301" t="str">
        <f t="shared" si="9"/>
        <v>C00464</v>
      </c>
      <c r="L301" s="147"/>
      <c r="N301" s="264"/>
    </row>
    <row r="302" spans="1:14">
      <c r="A302" t="s">
        <v>1832</v>
      </c>
      <c r="B302">
        <v>20900</v>
      </c>
      <c r="E302" t="s">
        <v>1707</v>
      </c>
      <c r="F302">
        <f>SUMIFS('Jan-2026'!F:F,'Jan-2026'!C:C,E302)</f>
        <v>0</v>
      </c>
      <c r="H302" t="str">
        <f t="shared" si="8"/>
        <v>F00365</v>
      </c>
      <c r="I302" t="str">
        <f t="shared" si="9"/>
        <v>C00463</v>
      </c>
      <c r="L302" s="147"/>
      <c r="N302" s="264"/>
    </row>
    <row r="303" spans="1:14">
      <c r="A303" t="s">
        <v>1833</v>
      </c>
      <c r="B303">
        <v>20800</v>
      </c>
      <c r="E303" t="s">
        <v>1708</v>
      </c>
      <c r="F303">
        <f>SUMIFS('Jan-2026'!F:F,'Jan-2026'!C:C,E303)</f>
        <v>0</v>
      </c>
      <c r="H303" t="str">
        <f t="shared" si="8"/>
        <v>F00364</v>
      </c>
      <c r="I303" t="str">
        <f t="shared" si="9"/>
        <v>C00462</v>
      </c>
      <c r="L303" s="147"/>
      <c r="N303" s="264"/>
    </row>
    <row r="304" spans="1:14">
      <c r="A304" t="s">
        <v>1588</v>
      </c>
      <c r="E304" t="s">
        <v>1709</v>
      </c>
      <c r="F304">
        <f>SUMIFS('Jan-2026'!F:F,'Jan-2026'!C:C,E304)</f>
        <v>0</v>
      </c>
      <c r="H304" t="str">
        <f t="shared" si="8"/>
        <v>C00518</v>
      </c>
      <c r="I304" t="str">
        <f t="shared" si="9"/>
        <v>C00476</v>
      </c>
      <c r="L304" s="147"/>
      <c r="N304" s="264"/>
    </row>
    <row r="305" spans="1:14">
      <c r="A305" t="s">
        <v>1588</v>
      </c>
      <c r="B305">
        <v>32200</v>
      </c>
      <c r="E305" t="s">
        <v>1710</v>
      </c>
      <c r="F305">
        <f>SUMIFS('Jan-2026'!F:F,'Jan-2026'!C:C,E305)</f>
        <v>0</v>
      </c>
      <c r="H305" t="str">
        <f t="shared" si="8"/>
        <v>H00557</v>
      </c>
      <c r="I305" t="str">
        <f t="shared" si="9"/>
        <v>C00476</v>
      </c>
      <c r="L305" s="147"/>
      <c r="N305" s="264"/>
    </row>
    <row r="306" spans="1:14">
      <c r="A306" t="s">
        <v>1589</v>
      </c>
      <c r="B306">
        <v>21100</v>
      </c>
      <c r="E306" t="s">
        <v>1711</v>
      </c>
      <c r="F306">
        <f>SUMIFS('Jan-2026'!F:F,'Jan-2026'!C:C,E306)</f>
        <v>0</v>
      </c>
      <c r="H306" t="str">
        <f t="shared" si="8"/>
        <v>E00395</v>
      </c>
      <c r="I306" t="str">
        <f t="shared" si="9"/>
        <v>C00483</v>
      </c>
      <c r="L306" s="147"/>
      <c r="N306" s="264"/>
    </row>
    <row r="307" spans="1:14">
      <c r="A307" t="s">
        <v>1590</v>
      </c>
      <c r="B307">
        <v>62900</v>
      </c>
      <c r="E307" t="s">
        <v>1712</v>
      </c>
      <c r="F307">
        <f>SUMIFS('Jan-2026'!F:F,'Jan-2026'!C:C,E307)</f>
        <v>0</v>
      </c>
      <c r="H307" t="str">
        <f t="shared" si="8"/>
        <v>N00290</v>
      </c>
      <c r="I307" t="str">
        <f t="shared" si="9"/>
        <v>C00481</v>
      </c>
      <c r="L307" s="147"/>
      <c r="N307" s="264"/>
    </row>
    <row r="308" spans="1:14">
      <c r="A308" t="s">
        <v>1591</v>
      </c>
      <c r="B308">
        <v>20300</v>
      </c>
      <c r="E308" t="s">
        <v>1713</v>
      </c>
      <c r="F308">
        <f>SUMIFS('Jan-2026'!F:F,'Jan-2026'!C:C,E308)</f>
        <v>0</v>
      </c>
      <c r="H308" t="str">
        <f t="shared" si="8"/>
        <v>F00371</v>
      </c>
      <c r="I308" t="str">
        <f t="shared" si="9"/>
        <v>C00489</v>
      </c>
      <c r="L308" s="147"/>
      <c r="N308" s="264"/>
    </row>
    <row r="309" spans="1:14">
      <c r="A309" t="s">
        <v>1830</v>
      </c>
      <c r="B309">
        <v>11000</v>
      </c>
      <c r="E309" t="s">
        <v>1714</v>
      </c>
      <c r="F309">
        <f>SUMIFS('Jan-2026'!F:F,'Jan-2026'!C:C,E309)</f>
        <v>0</v>
      </c>
      <c r="H309" t="str">
        <f t="shared" si="8"/>
        <v>F00372</v>
      </c>
      <c r="I309" t="str">
        <f t="shared" si="9"/>
        <v>B00351</v>
      </c>
      <c r="L309" s="147"/>
      <c r="N309" s="264"/>
    </row>
    <row r="310" spans="1:14">
      <c r="A310" t="s">
        <v>1597</v>
      </c>
      <c r="B310">
        <v>4200</v>
      </c>
      <c r="E310" t="s">
        <v>1715</v>
      </c>
      <c r="F310">
        <f>SUMIFS('Jan-2026'!F:F,'Jan-2026'!C:C,E310)</f>
        <v>0</v>
      </c>
      <c r="H310" t="str">
        <f t="shared" si="8"/>
        <v>C00484</v>
      </c>
      <c r="I310" t="str">
        <f t="shared" si="9"/>
        <v>F00336</v>
      </c>
      <c r="L310" s="147"/>
      <c r="N310" s="264"/>
    </row>
    <row r="311" spans="1:14">
      <c r="A311" t="s">
        <v>1598</v>
      </c>
      <c r="B311">
        <v>8800</v>
      </c>
      <c r="E311" t="s">
        <v>1716</v>
      </c>
      <c r="F311">
        <f>SUMIFS('Jan-2026'!F:F,'Jan-2026'!C:C,E311)</f>
        <v>0</v>
      </c>
      <c r="H311" t="str">
        <f t="shared" si="8"/>
        <v>H00484</v>
      </c>
      <c r="I311" t="str">
        <f t="shared" si="9"/>
        <v>H00545</v>
      </c>
      <c r="L311" s="147"/>
      <c r="N311" s="264"/>
    </row>
    <row r="312" spans="1:14">
      <c r="A312">
        <v>65247</v>
      </c>
      <c r="B312">
        <v>12200</v>
      </c>
      <c r="E312" t="s">
        <v>1717</v>
      </c>
      <c r="F312">
        <f>SUMIFS('Jan-2026'!F:F,'Jan-2026'!C:C,E312)</f>
        <v>0</v>
      </c>
      <c r="H312" t="str">
        <f t="shared" si="8"/>
        <v>P00165</v>
      </c>
      <c r="I312">
        <f t="shared" si="9"/>
        <v>65247</v>
      </c>
      <c r="L312" s="147"/>
      <c r="N312" s="264"/>
    </row>
    <row r="313" spans="1:14">
      <c r="A313">
        <v>65246</v>
      </c>
      <c r="B313">
        <v>12800</v>
      </c>
      <c r="E313" t="s">
        <v>1718</v>
      </c>
      <c r="F313">
        <f>SUMIFS('Jan-2026'!F:F,'Jan-2026'!C:C,E313)</f>
        <v>0</v>
      </c>
      <c r="H313" t="str">
        <f t="shared" si="8"/>
        <v>C00517</v>
      </c>
      <c r="I313">
        <f t="shared" si="9"/>
        <v>65246</v>
      </c>
      <c r="L313" s="147"/>
      <c r="N313" s="264"/>
    </row>
    <row r="314" spans="1:14">
      <c r="A314" t="s">
        <v>1599</v>
      </c>
      <c r="B314">
        <v>12200</v>
      </c>
      <c r="E314" t="s">
        <v>1719</v>
      </c>
      <c r="F314">
        <f>SUMIFS('Jan-2026'!F:F,'Jan-2026'!C:C,E314)</f>
        <v>0</v>
      </c>
      <c r="H314" t="str">
        <f t="shared" si="8"/>
        <v>E00407</v>
      </c>
      <c r="I314" t="str">
        <f t="shared" si="9"/>
        <v>C00506</v>
      </c>
      <c r="L314" s="147"/>
      <c r="N314" s="264"/>
    </row>
    <row r="315" spans="1:14">
      <c r="A315" t="s">
        <v>1600</v>
      </c>
      <c r="B315">
        <v>12300</v>
      </c>
      <c r="E315" t="s">
        <v>1849</v>
      </c>
      <c r="F315">
        <f>SUMIFS('Jan-2026'!F:F,'Jan-2026'!C:C,E315)</f>
        <v>0</v>
      </c>
      <c r="H315" t="str">
        <f t="shared" si="8"/>
        <v>H00490</v>
      </c>
      <c r="I315" t="str">
        <f t="shared" si="9"/>
        <v>C00504</v>
      </c>
      <c r="L315" s="147"/>
      <c r="N315" s="264"/>
    </row>
    <row r="316" spans="1:14">
      <c r="A316" t="s">
        <v>1601</v>
      </c>
      <c r="B316">
        <v>5000</v>
      </c>
      <c r="E316" t="s">
        <v>1851</v>
      </c>
      <c r="F316">
        <f>SUMIFS('Jan-2026'!F:F,'Jan-2026'!C:C,E316)</f>
        <v>0</v>
      </c>
      <c r="H316" t="str">
        <f t="shared" si="8"/>
        <v>C00520</v>
      </c>
      <c r="I316" t="str">
        <f t="shared" si="9"/>
        <v>C00505</v>
      </c>
      <c r="L316" s="147"/>
      <c r="N316" s="264"/>
    </row>
    <row r="317" spans="1:14">
      <c r="A317" t="s">
        <v>1602</v>
      </c>
      <c r="B317">
        <v>5000</v>
      </c>
      <c r="E317" t="s">
        <v>1720</v>
      </c>
      <c r="F317">
        <f>SUMIFS('Jan-2026'!F:F,'Jan-2026'!C:C,E317)</f>
        <v>0</v>
      </c>
      <c r="H317" t="str">
        <f t="shared" si="8"/>
        <v>E00412</v>
      </c>
      <c r="I317" t="str">
        <f t="shared" si="9"/>
        <v>C00507</v>
      </c>
      <c r="L317" s="147"/>
      <c r="N317" s="264"/>
    </row>
    <row r="318" spans="1:14">
      <c r="A318" t="s">
        <v>1603</v>
      </c>
      <c r="B318">
        <v>6100</v>
      </c>
      <c r="E318" t="s">
        <v>1721</v>
      </c>
      <c r="F318">
        <f>SUMIFS('Jan-2026'!F:F,'Jan-2026'!C:C,E318)</f>
        <v>0</v>
      </c>
      <c r="H318" t="str">
        <f t="shared" si="8"/>
        <v>H00561</v>
      </c>
      <c r="I318" t="str">
        <f t="shared" si="9"/>
        <v>J00364</v>
      </c>
      <c r="L318" s="147"/>
      <c r="N318" s="264"/>
    </row>
    <row r="319" spans="1:14">
      <c r="A319" t="s">
        <v>1604</v>
      </c>
      <c r="B319">
        <v>40100</v>
      </c>
      <c r="E319" t="s">
        <v>1722</v>
      </c>
      <c r="F319">
        <f>SUMIFS('Jan-2026'!F:F,'Jan-2026'!C:C,E319)</f>
        <v>0</v>
      </c>
      <c r="H319" t="str">
        <f t="shared" si="8"/>
        <v>C00458</v>
      </c>
      <c r="I319" t="str">
        <f t="shared" si="9"/>
        <v>J00365</v>
      </c>
      <c r="L319" s="147"/>
      <c r="N319" s="264"/>
    </row>
    <row r="320" spans="1:14">
      <c r="A320" t="s">
        <v>1605</v>
      </c>
      <c r="E320" t="s">
        <v>1723</v>
      </c>
      <c r="F320">
        <f>SUMIFS('Jan-2026'!F:F,'Jan-2026'!C:C,E320)</f>
        <v>0</v>
      </c>
      <c r="H320" t="str">
        <f t="shared" si="8"/>
        <v>E00394</v>
      </c>
      <c r="I320" t="str">
        <f t="shared" si="9"/>
        <v>J00366</v>
      </c>
      <c r="L320" s="147"/>
      <c r="N320" s="264"/>
    </row>
    <row r="321" spans="1:23">
      <c r="A321" t="s">
        <v>1618</v>
      </c>
      <c r="B321">
        <v>17800</v>
      </c>
      <c r="E321" t="s">
        <v>1724</v>
      </c>
      <c r="F321">
        <f>SUMIFS('Jan-2026'!F:F,'Jan-2026'!C:C,E321)</f>
        <v>0</v>
      </c>
      <c r="H321" t="str">
        <f t="shared" si="8"/>
        <v>E00416</v>
      </c>
      <c r="I321" t="str">
        <f t="shared" si="9"/>
        <v>E00405</v>
      </c>
      <c r="L321" s="147"/>
      <c r="N321" s="264"/>
    </row>
    <row r="322" spans="1:23">
      <c r="A322" t="s">
        <v>1619</v>
      </c>
      <c r="B322">
        <v>146900</v>
      </c>
      <c r="E322" t="s">
        <v>1725</v>
      </c>
      <c r="F322">
        <f>SUMIFS('Jan-2026'!F:F,'Jan-2026'!C:C,E322)</f>
        <v>0</v>
      </c>
      <c r="H322" t="str">
        <f t="shared" si="8"/>
        <v>H00564</v>
      </c>
      <c r="I322" t="str">
        <f t="shared" si="9"/>
        <v>P00166</v>
      </c>
      <c r="L322" s="147"/>
      <c r="N322" s="264"/>
    </row>
    <row r="323" spans="1:23">
      <c r="A323" t="s">
        <v>1619</v>
      </c>
      <c r="B323">
        <v>53900</v>
      </c>
      <c r="E323" t="s">
        <v>1726</v>
      </c>
      <c r="F323">
        <f>SUMIFS('Jan-2026'!F:F,'Jan-2026'!C:C,E323)</f>
        <v>0</v>
      </c>
      <c r="H323" t="str">
        <f t="shared" si="8"/>
        <v>F00352</v>
      </c>
      <c r="I323" t="str">
        <f t="shared" si="9"/>
        <v>P00166</v>
      </c>
      <c r="L323" s="147"/>
      <c r="N323" s="264"/>
    </row>
    <row r="324" spans="1:23">
      <c r="A324" t="s">
        <v>1620</v>
      </c>
      <c r="B324">
        <v>71000</v>
      </c>
      <c r="E324" t="s">
        <v>1727</v>
      </c>
      <c r="F324">
        <f>SUMIFS('Jan-2026'!F:F,'Jan-2026'!C:C,E324)</f>
        <v>0</v>
      </c>
      <c r="H324" t="e">
        <f t="shared" si="8"/>
        <v>#N/A</v>
      </c>
      <c r="I324" t="str">
        <f t="shared" si="9"/>
        <v>G00111</v>
      </c>
      <c r="L324" s="147"/>
      <c r="N324" s="264"/>
    </row>
    <row r="325" spans="1:23">
      <c r="A325" t="s">
        <v>1621</v>
      </c>
      <c r="B325">
        <v>11600</v>
      </c>
      <c r="E325" t="s">
        <v>1728</v>
      </c>
      <c r="F325">
        <f>SUMIFS('Jan-2026'!F:F,'Jan-2026'!C:C,E325)</f>
        <v>0</v>
      </c>
      <c r="H325" t="str">
        <f t="shared" si="8"/>
        <v>C00538</v>
      </c>
      <c r="I325" t="str">
        <f t="shared" si="9"/>
        <v>C00502</v>
      </c>
      <c r="L325" s="147"/>
      <c r="N325" s="264"/>
    </row>
    <row r="326" spans="1:23">
      <c r="A326" t="s">
        <v>1622</v>
      </c>
      <c r="B326">
        <v>11600</v>
      </c>
      <c r="E326" t="s">
        <v>1729</v>
      </c>
      <c r="F326">
        <f>SUMIFS('Jan-2026'!F:F,'Jan-2026'!C:C,E326)</f>
        <v>0</v>
      </c>
      <c r="H326" t="str">
        <f t="shared" ref="H326:H389" si="10">VLOOKUP(E326,A:B,1,FALSE)</f>
        <v>F00358</v>
      </c>
      <c r="I326" t="str">
        <f t="shared" ref="I326:I389" si="11">VLOOKUP(A326,E:F,1,FALSE)</f>
        <v>C00501</v>
      </c>
      <c r="L326" s="147"/>
      <c r="N326" s="264"/>
    </row>
    <row r="327" spans="1:23">
      <c r="A327" t="s">
        <v>1605</v>
      </c>
      <c r="B327">
        <v>11800</v>
      </c>
      <c r="E327" t="s">
        <v>1730</v>
      </c>
      <c r="F327">
        <f>SUMIFS('Jan-2026'!F:F,'Jan-2026'!C:C,E327)</f>
        <v>0</v>
      </c>
      <c r="H327" t="str">
        <f t="shared" si="10"/>
        <v>F00357</v>
      </c>
      <c r="I327" t="str">
        <f t="shared" si="11"/>
        <v>J00366</v>
      </c>
      <c r="L327" s="147"/>
      <c r="N327" s="264"/>
    </row>
    <row r="328" spans="1:23">
      <c r="A328" t="s">
        <v>1606</v>
      </c>
      <c r="B328">
        <v>34600</v>
      </c>
      <c r="E328" t="s">
        <v>1862</v>
      </c>
      <c r="F328">
        <f>SUMIFS('Jan-2026'!F:F,'Jan-2026'!C:C,E328)</f>
        <v>0</v>
      </c>
      <c r="H328" t="str">
        <f t="shared" si="10"/>
        <v>F00361</v>
      </c>
      <c r="I328" t="str">
        <f t="shared" si="11"/>
        <v>C00492</v>
      </c>
      <c r="L328" s="147"/>
      <c r="N328" s="264"/>
    </row>
    <row r="329" spans="1:23">
      <c r="A329" t="s">
        <v>1607</v>
      </c>
      <c r="B329">
        <v>14600</v>
      </c>
      <c r="E329" t="s">
        <v>1721</v>
      </c>
      <c r="F329">
        <f>SUMIFS('Jan-2026'!F:F,'Jan-2026'!C:C,E329)</f>
        <v>0</v>
      </c>
      <c r="H329" t="str">
        <f t="shared" si="10"/>
        <v>H00561</v>
      </c>
      <c r="I329" t="str">
        <f t="shared" si="11"/>
        <v>P00146</v>
      </c>
      <c r="L329" s="147"/>
      <c r="N329" s="264"/>
    </row>
    <row r="330" spans="1:23">
      <c r="A330" t="s">
        <v>1608</v>
      </c>
      <c r="B330">
        <v>5700</v>
      </c>
      <c r="E330" t="s">
        <v>1731</v>
      </c>
      <c r="F330">
        <f>SUMIFS('Jan-2026'!F:F,'Jan-2026'!C:C,E330)</f>
        <v>0</v>
      </c>
      <c r="H330" t="str">
        <f t="shared" si="10"/>
        <v>F00378</v>
      </c>
      <c r="I330" t="str">
        <f t="shared" si="11"/>
        <v>B00287</v>
      </c>
      <c r="L330" s="147"/>
      <c r="N330" s="264"/>
    </row>
    <row r="331" spans="1:23">
      <c r="A331" t="s">
        <v>1609</v>
      </c>
      <c r="B331">
        <v>24000</v>
      </c>
      <c r="E331" t="s">
        <v>1853</v>
      </c>
      <c r="F331">
        <f>SUMIFS('Jan-2026'!F:F,'Jan-2026'!C:C,E331)</f>
        <v>0</v>
      </c>
      <c r="H331" t="str">
        <f t="shared" si="10"/>
        <v>G00157</v>
      </c>
      <c r="I331" t="str">
        <f t="shared" si="11"/>
        <v>B00307</v>
      </c>
      <c r="L331" s="147"/>
      <c r="N331" s="264"/>
    </row>
    <row r="332" spans="1:23">
      <c r="A332" t="s">
        <v>1614</v>
      </c>
      <c r="B332">
        <v>12200</v>
      </c>
      <c r="E332" t="s">
        <v>1732</v>
      </c>
      <c r="F332">
        <f>SUMIFS('Jan-2026'!F:F,'Jan-2026'!C:C,E332)</f>
        <v>0</v>
      </c>
      <c r="H332" t="str">
        <f t="shared" si="10"/>
        <v>F00360</v>
      </c>
      <c r="I332" t="str">
        <f t="shared" si="11"/>
        <v>C00500</v>
      </c>
      <c r="L332" s="147"/>
      <c r="N332" s="264"/>
    </row>
    <row r="333" spans="1:23">
      <c r="A333" t="s">
        <v>1615</v>
      </c>
      <c r="B333">
        <v>43400</v>
      </c>
      <c r="E333" t="s">
        <v>1733</v>
      </c>
      <c r="F333">
        <f>SUMIFS('Jan-2026'!F:F,'Jan-2026'!C:C,E333)</f>
        <v>0</v>
      </c>
      <c r="H333" t="str">
        <f t="shared" si="10"/>
        <v>E00418</v>
      </c>
      <c r="I333" t="str">
        <f t="shared" si="11"/>
        <v>C00499</v>
      </c>
      <c r="L333" s="147"/>
      <c r="N333" s="264"/>
    </row>
    <row r="334" spans="1:23">
      <c r="A334" t="s">
        <v>1656</v>
      </c>
      <c r="B334">
        <v>33500</v>
      </c>
      <c r="E334" t="s">
        <v>1734</v>
      </c>
      <c r="F334">
        <f>SUMIFS('Jan-2026'!F:F,'Jan-2026'!C:C,E334)</f>
        <v>0</v>
      </c>
      <c r="H334" t="str">
        <f t="shared" si="10"/>
        <v>E00406</v>
      </c>
      <c r="I334" t="str">
        <f t="shared" si="11"/>
        <v>E00404</v>
      </c>
      <c r="L334" s="147"/>
      <c r="N334" s="264"/>
      <c r="T334" s="147"/>
      <c r="U334" s="147"/>
      <c r="V334" s="147"/>
      <c r="W334" s="147"/>
    </row>
    <row r="335" spans="1:23">
      <c r="A335" t="s">
        <v>1610</v>
      </c>
      <c r="B335">
        <v>12400</v>
      </c>
      <c r="E335" t="s">
        <v>1735</v>
      </c>
      <c r="F335">
        <f>SUMIFS('Jan-2026'!F:F,'Jan-2026'!C:C,E335)</f>
        <v>0</v>
      </c>
      <c r="H335" t="str">
        <f t="shared" si="10"/>
        <v>G00159</v>
      </c>
      <c r="I335" t="str">
        <f t="shared" si="11"/>
        <v>C00441</v>
      </c>
      <c r="L335" s="147"/>
      <c r="N335" s="264"/>
    </row>
    <row r="336" spans="1:23">
      <c r="A336" t="s">
        <v>1611</v>
      </c>
      <c r="B336">
        <v>25800</v>
      </c>
      <c r="E336" t="s">
        <v>1736</v>
      </c>
      <c r="F336">
        <f>SUMIFS('Jan-2026'!F:F,'Jan-2026'!C:C,E336)</f>
        <v>0</v>
      </c>
      <c r="H336" t="str">
        <f t="shared" si="10"/>
        <v>E00419</v>
      </c>
      <c r="I336" t="str">
        <f t="shared" si="11"/>
        <v>C00503</v>
      </c>
      <c r="L336" s="147"/>
      <c r="N336" s="264"/>
    </row>
    <row r="337" spans="1:14">
      <c r="A337" t="s">
        <v>1612</v>
      </c>
      <c r="B337">
        <v>14000</v>
      </c>
      <c r="E337" t="s">
        <v>1869</v>
      </c>
      <c r="F337">
        <f>SUMIFS('Jan-2026'!F:F,'Jan-2026'!C:C,E337)</f>
        <v>0</v>
      </c>
      <c r="H337" t="str">
        <f t="shared" si="10"/>
        <v>E00382</v>
      </c>
      <c r="I337" t="str">
        <f t="shared" si="11"/>
        <v>C00494</v>
      </c>
      <c r="L337" s="147"/>
      <c r="N337" s="264"/>
    </row>
    <row r="338" spans="1:14">
      <c r="A338" t="s">
        <v>1613</v>
      </c>
      <c r="B338">
        <v>26100</v>
      </c>
      <c r="E338" t="s">
        <v>1737</v>
      </c>
      <c r="F338">
        <f>SUMIFS('Jan-2026'!F:F,'Jan-2026'!C:C,E338)</f>
        <v>0</v>
      </c>
      <c r="H338" t="str">
        <f t="shared" si="10"/>
        <v>H00574</v>
      </c>
      <c r="I338" t="str">
        <f t="shared" si="11"/>
        <v>H00451</v>
      </c>
      <c r="N338" s="264"/>
    </row>
    <row r="339" spans="1:14">
      <c r="A339" t="s">
        <v>1613</v>
      </c>
      <c r="B339">
        <v>28300</v>
      </c>
      <c r="E339" t="s">
        <v>1738</v>
      </c>
      <c r="F339">
        <f>SUMIFS('Jan-2026'!F:F,'Jan-2026'!C:C,E339)</f>
        <v>0</v>
      </c>
      <c r="H339" t="str">
        <f t="shared" si="10"/>
        <v>H00444</v>
      </c>
      <c r="I339" t="str">
        <f t="shared" si="11"/>
        <v>H00451</v>
      </c>
      <c r="N339" s="264"/>
    </row>
    <row r="340" spans="1:14">
      <c r="A340" t="s">
        <v>1834</v>
      </c>
      <c r="B340">
        <v>13900</v>
      </c>
      <c r="E340" t="s">
        <v>1739</v>
      </c>
      <c r="F340">
        <f>SUMIFS('Jan-2026'!F:F,'Jan-2026'!C:C,E340)</f>
        <v>0</v>
      </c>
      <c r="H340" t="str">
        <f t="shared" si="10"/>
        <v>F00389</v>
      </c>
      <c r="I340" t="str">
        <f t="shared" si="11"/>
        <v>H00453</v>
      </c>
      <c r="N340" s="264"/>
    </row>
    <row r="341" spans="1:14">
      <c r="A341">
        <v>65094</v>
      </c>
      <c r="B341">
        <v>1000</v>
      </c>
      <c r="E341" t="s">
        <v>1734</v>
      </c>
      <c r="F341">
        <f>SUMIFS('Jan-2026'!F:F,'Jan-2026'!C:C,E341)</f>
        <v>0</v>
      </c>
      <c r="H341" t="str">
        <f t="shared" si="10"/>
        <v>E00406</v>
      </c>
      <c r="I341">
        <f t="shared" si="11"/>
        <v>65094</v>
      </c>
      <c r="N341" s="264"/>
    </row>
    <row r="342" spans="1:14">
      <c r="A342" t="s">
        <v>1616</v>
      </c>
      <c r="B342">
        <v>40700</v>
      </c>
      <c r="E342" t="s">
        <v>1865</v>
      </c>
      <c r="F342">
        <f>SUMIFS('Jan-2026'!F:F,'Jan-2026'!C:C,E342)</f>
        <v>0</v>
      </c>
      <c r="H342" t="str">
        <f t="shared" si="10"/>
        <v>F00350</v>
      </c>
      <c r="I342" t="str">
        <f t="shared" si="11"/>
        <v>L00181</v>
      </c>
      <c r="N342" s="264"/>
    </row>
    <row r="343" spans="1:14">
      <c r="A343" t="s">
        <v>1617</v>
      </c>
      <c r="B343">
        <v>42800</v>
      </c>
      <c r="E343" t="s">
        <v>1866</v>
      </c>
      <c r="F343">
        <f>SUMIFS('Jan-2026'!F:F,'Jan-2026'!C:C,E343)</f>
        <v>0</v>
      </c>
      <c r="H343" t="str">
        <f t="shared" si="10"/>
        <v>F00349</v>
      </c>
      <c r="I343" t="str">
        <f t="shared" si="11"/>
        <v>L00179</v>
      </c>
      <c r="N343" s="264"/>
    </row>
    <row r="344" spans="1:14">
      <c r="A344" t="s">
        <v>1656</v>
      </c>
      <c r="B344">
        <v>189000</v>
      </c>
      <c r="E344" t="s">
        <v>1740</v>
      </c>
      <c r="F344">
        <f>SUMIFS('Jan-2026'!F:F,'Jan-2026'!C:C,E344)</f>
        <v>0</v>
      </c>
      <c r="H344" t="str">
        <f t="shared" si="10"/>
        <v>G00168</v>
      </c>
      <c r="I344" t="str">
        <f t="shared" si="11"/>
        <v>E00404</v>
      </c>
      <c r="N344" s="264"/>
    </row>
    <row r="345" spans="1:14">
      <c r="A345" t="s">
        <v>1559</v>
      </c>
      <c r="E345" t="s">
        <v>1741</v>
      </c>
      <c r="F345">
        <f>SUMIFS('Jan-2026'!F:F,'Jan-2026'!C:C,E345)</f>
        <v>0</v>
      </c>
      <c r="H345" t="str">
        <f t="shared" si="10"/>
        <v>E00413</v>
      </c>
      <c r="I345" t="str">
        <f t="shared" si="11"/>
        <v>F00309</v>
      </c>
      <c r="N345" s="264"/>
    </row>
    <row r="346" spans="1:14">
      <c r="A346" t="s">
        <v>1559</v>
      </c>
      <c r="B346">
        <v>14700</v>
      </c>
      <c r="E346" t="s">
        <v>1742</v>
      </c>
      <c r="F346">
        <f>SUMIFS('Jan-2026'!F:F,'Jan-2026'!C:C,E346)</f>
        <v>0</v>
      </c>
      <c r="H346" t="str">
        <f t="shared" si="10"/>
        <v>F00392</v>
      </c>
      <c r="I346" t="str">
        <f t="shared" si="11"/>
        <v>F00309</v>
      </c>
      <c r="N346" s="264"/>
    </row>
    <row r="347" spans="1:14">
      <c r="A347" t="s">
        <v>1678</v>
      </c>
      <c r="B347">
        <v>1800</v>
      </c>
      <c r="E347" t="s">
        <v>1743</v>
      </c>
      <c r="F347">
        <f>SUMIFS('Jan-2026'!F:F,'Jan-2026'!C:C,E347)</f>
        <v>0</v>
      </c>
      <c r="H347" t="str">
        <f t="shared" si="10"/>
        <v>F00370</v>
      </c>
      <c r="I347" t="str">
        <f t="shared" si="11"/>
        <v>B00288</v>
      </c>
      <c r="N347" s="264"/>
    </row>
    <row r="348" spans="1:14">
      <c r="A348" t="s">
        <v>1679</v>
      </c>
      <c r="B348">
        <v>38500</v>
      </c>
      <c r="E348" t="s">
        <v>1744</v>
      </c>
      <c r="F348">
        <f>SUMIFS('Jan-2026'!F:F,'Jan-2026'!C:C,E348)</f>
        <v>0</v>
      </c>
      <c r="H348" t="str">
        <f t="shared" si="10"/>
        <v>C00523</v>
      </c>
      <c r="I348" t="str">
        <f t="shared" si="11"/>
        <v>B00340</v>
      </c>
      <c r="N348" s="264"/>
    </row>
    <row r="349" spans="1:14">
      <c r="A349" t="s">
        <v>1808</v>
      </c>
      <c r="B349">
        <v>94600</v>
      </c>
      <c r="E349" t="s">
        <v>1870</v>
      </c>
      <c r="F349">
        <f>SUMIFS('Jan-2026'!F:F,'Jan-2026'!C:C,E349)</f>
        <v>0</v>
      </c>
      <c r="H349" t="str">
        <f t="shared" si="10"/>
        <v>H00428</v>
      </c>
      <c r="I349" t="str">
        <f t="shared" si="11"/>
        <v>H00496</v>
      </c>
      <c r="N349" s="264"/>
    </row>
    <row r="350" spans="1:14">
      <c r="A350" t="s">
        <v>1657</v>
      </c>
      <c r="B350">
        <v>33300</v>
      </c>
      <c r="E350" t="s">
        <v>1745</v>
      </c>
      <c r="F350">
        <f>SUMIFS('Jan-2026'!F:F,'Jan-2026'!C:C,E350)</f>
        <v>0</v>
      </c>
      <c r="H350" t="str">
        <f t="shared" si="10"/>
        <v>C00522</v>
      </c>
      <c r="I350" t="str">
        <f t="shared" si="11"/>
        <v>L00183</v>
      </c>
      <c r="N350" s="264"/>
    </row>
    <row r="351" spans="1:14">
      <c r="A351" t="s">
        <v>1658</v>
      </c>
      <c r="B351">
        <v>32200</v>
      </c>
      <c r="E351" t="s">
        <v>1746</v>
      </c>
      <c r="F351">
        <f>SUMIFS('Jan-2026'!F:F,'Jan-2026'!C:C,E351)</f>
        <v>0</v>
      </c>
      <c r="H351" t="str">
        <f t="shared" si="10"/>
        <v>E00428</v>
      </c>
      <c r="I351" t="str">
        <f t="shared" si="11"/>
        <v>H00579</v>
      </c>
      <c r="N351" s="264"/>
    </row>
    <row r="352" spans="1:14">
      <c r="A352" t="s">
        <v>1659</v>
      </c>
      <c r="B352">
        <v>84500</v>
      </c>
      <c r="E352" t="s">
        <v>1747</v>
      </c>
      <c r="F352">
        <f>SUMIFS('Jan-2026'!F:F,'Jan-2026'!C:C,E352)</f>
        <v>0</v>
      </c>
      <c r="H352" t="str">
        <f t="shared" si="10"/>
        <v>E00402</v>
      </c>
      <c r="I352" t="str">
        <f t="shared" si="11"/>
        <v>L00170</v>
      </c>
      <c r="N352" s="264"/>
    </row>
    <row r="353" spans="1:14">
      <c r="A353" t="s">
        <v>1659</v>
      </c>
      <c r="B353">
        <v>222900</v>
      </c>
      <c r="E353" t="s">
        <v>1748</v>
      </c>
      <c r="F353">
        <f>SUMIFS('Jan-2026'!F:F,'Jan-2026'!C:C,E353)</f>
        <v>0</v>
      </c>
      <c r="H353" t="str">
        <f t="shared" si="10"/>
        <v>F00391</v>
      </c>
      <c r="I353" t="str">
        <f t="shared" si="11"/>
        <v>L00170</v>
      </c>
      <c r="N353" s="264"/>
    </row>
    <row r="354" spans="1:14">
      <c r="A354" t="s">
        <v>1808</v>
      </c>
      <c r="B354">
        <v>6200</v>
      </c>
      <c r="E354" t="s">
        <v>1872</v>
      </c>
      <c r="F354">
        <f>SUMIFS('Jan-2026'!F:F,'Jan-2026'!C:C,E354)</f>
        <v>0</v>
      </c>
      <c r="H354" t="str">
        <f t="shared" si="10"/>
        <v>J00409</v>
      </c>
      <c r="I354" t="str">
        <f t="shared" si="11"/>
        <v>H00496</v>
      </c>
      <c r="N354" s="264"/>
    </row>
    <row r="355" spans="1:14">
      <c r="A355" t="s">
        <v>1680</v>
      </c>
      <c r="B355">
        <v>9100</v>
      </c>
      <c r="E355" t="s">
        <v>1749</v>
      </c>
      <c r="F355">
        <f>SUMIFS('Jan-2026'!F:F,'Jan-2026'!C:C,E355)</f>
        <v>0</v>
      </c>
      <c r="H355" t="str">
        <f t="shared" si="10"/>
        <v>F00388</v>
      </c>
      <c r="I355" t="str">
        <f t="shared" si="11"/>
        <v>C00451</v>
      </c>
      <c r="N355" s="264"/>
    </row>
    <row r="356" spans="1:14">
      <c r="A356" t="s">
        <v>1681</v>
      </c>
      <c r="B356">
        <v>34100</v>
      </c>
      <c r="E356" t="s">
        <v>1874</v>
      </c>
      <c r="F356">
        <f>SUMIFS('Jan-2026'!F:F,'Jan-2026'!C:C,E356)</f>
        <v>0</v>
      </c>
      <c r="H356" t="str">
        <f t="shared" si="10"/>
        <v>J00407</v>
      </c>
      <c r="I356" t="str">
        <f t="shared" si="11"/>
        <v>B00301</v>
      </c>
      <c r="N356" s="264"/>
    </row>
    <row r="357" spans="1:14">
      <c r="A357" t="s">
        <v>1682</v>
      </c>
      <c r="B357">
        <v>4200</v>
      </c>
      <c r="E357" t="s">
        <v>1750</v>
      </c>
      <c r="F357">
        <f>SUMIFS('Jan-2026'!F:F,'Jan-2026'!C:C,E357)</f>
        <v>0</v>
      </c>
      <c r="H357" t="str">
        <f t="shared" si="10"/>
        <v>J00406</v>
      </c>
      <c r="I357" t="str">
        <f t="shared" si="11"/>
        <v>F00335</v>
      </c>
      <c r="N357" s="264"/>
    </row>
    <row r="358" spans="1:14">
      <c r="A358" t="s">
        <v>1683</v>
      </c>
      <c r="B358">
        <v>4000</v>
      </c>
      <c r="E358" t="s">
        <v>1751</v>
      </c>
      <c r="F358">
        <f>SUMIFS('Jan-2026'!F:F,'Jan-2026'!C:C,E358)</f>
        <v>0</v>
      </c>
      <c r="H358" t="str">
        <f t="shared" si="10"/>
        <v>B00315</v>
      </c>
      <c r="I358" t="str">
        <f t="shared" si="11"/>
        <v>F00338</v>
      </c>
      <c r="N358" s="264"/>
    </row>
    <row r="359" spans="1:14">
      <c r="A359" t="s">
        <v>1684</v>
      </c>
      <c r="B359">
        <v>5200</v>
      </c>
      <c r="E359" t="s">
        <v>1752</v>
      </c>
      <c r="F359">
        <f>SUMIFS('Jan-2026'!F:F,'Jan-2026'!C:C,E359)</f>
        <v>0</v>
      </c>
      <c r="H359" t="str">
        <f t="shared" si="10"/>
        <v>B00314</v>
      </c>
      <c r="I359" t="str">
        <f t="shared" si="11"/>
        <v>F00337</v>
      </c>
      <c r="N359" s="264"/>
    </row>
    <row r="360" spans="1:14">
      <c r="A360" t="s">
        <v>1835</v>
      </c>
      <c r="B360">
        <v>8500</v>
      </c>
      <c r="E360" t="s">
        <v>1753</v>
      </c>
      <c r="F360">
        <f>SUMIFS('Jan-2026'!F:F,'Jan-2026'!C:C,E360)</f>
        <v>0</v>
      </c>
      <c r="H360" t="str">
        <f t="shared" si="10"/>
        <v>F00347</v>
      </c>
      <c r="I360" t="str">
        <f t="shared" si="11"/>
        <v>B00378</v>
      </c>
      <c r="N360" s="264"/>
    </row>
    <row r="361" spans="1:14">
      <c r="A361" t="s">
        <v>1836</v>
      </c>
      <c r="B361">
        <v>9400</v>
      </c>
      <c r="E361" t="s">
        <v>1754</v>
      </c>
      <c r="F361">
        <f>SUMIFS('Jan-2026'!F:F,'Jan-2026'!C:C,E361)</f>
        <v>0</v>
      </c>
      <c r="H361" t="str">
        <f t="shared" si="10"/>
        <v>J00412</v>
      </c>
      <c r="I361" t="str">
        <f t="shared" si="11"/>
        <v>B00380</v>
      </c>
      <c r="N361" s="264"/>
    </row>
    <row r="362" spans="1:14">
      <c r="A362" t="s">
        <v>1837</v>
      </c>
      <c r="B362">
        <v>9500</v>
      </c>
      <c r="E362" t="s">
        <v>1755</v>
      </c>
      <c r="F362">
        <f>SUMIFS('Jan-2026'!F:F,'Jan-2026'!C:C,E362)</f>
        <v>0</v>
      </c>
      <c r="H362" t="str">
        <f t="shared" si="10"/>
        <v>H00476</v>
      </c>
      <c r="I362" t="str">
        <f t="shared" si="11"/>
        <v>B00377</v>
      </c>
      <c r="N362" s="264"/>
    </row>
    <row r="363" spans="1:14">
      <c r="A363" t="s">
        <v>1838</v>
      </c>
      <c r="B363">
        <v>9700</v>
      </c>
      <c r="E363" t="s">
        <v>1756</v>
      </c>
      <c r="F363">
        <f>SUMIFS('Jan-2026'!F:F,'Jan-2026'!C:C,E363)</f>
        <v>0</v>
      </c>
      <c r="H363" t="str">
        <f t="shared" si="10"/>
        <v>F00390</v>
      </c>
      <c r="I363" t="str">
        <f t="shared" si="11"/>
        <v>B00379</v>
      </c>
      <c r="N363" s="264"/>
    </row>
    <row r="364" spans="1:14">
      <c r="A364" t="s">
        <v>1839</v>
      </c>
      <c r="B364">
        <v>28700</v>
      </c>
      <c r="E364" t="s">
        <v>1757</v>
      </c>
      <c r="F364">
        <f>SUMIFS('Jan-2026'!F:F,'Jan-2026'!C:C,E364)</f>
        <v>0</v>
      </c>
      <c r="H364" t="str">
        <f t="shared" si="10"/>
        <v>J00411</v>
      </c>
      <c r="I364" t="str">
        <f t="shared" si="11"/>
        <v>B00375</v>
      </c>
      <c r="N364" s="264"/>
    </row>
    <row r="365" spans="1:14">
      <c r="A365" t="s">
        <v>1840</v>
      </c>
      <c r="B365">
        <v>12500</v>
      </c>
      <c r="E365" t="s">
        <v>1758</v>
      </c>
      <c r="F365">
        <f>SUMIFS('Jan-2026'!F:F,'Jan-2026'!C:C,E365)</f>
        <v>0</v>
      </c>
      <c r="H365" t="str">
        <f t="shared" si="10"/>
        <v>H00581</v>
      </c>
      <c r="I365" t="str">
        <f t="shared" si="11"/>
        <v>B00376</v>
      </c>
      <c r="N365" s="264"/>
    </row>
    <row r="366" spans="1:14">
      <c r="A366" t="s">
        <v>1666</v>
      </c>
      <c r="B366">
        <v>20700</v>
      </c>
      <c r="E366" t="s">
        <v>1760</v>
      </c>
      <c r="F366">
        <f>SUMIFS('Jan-2026'!F:F,'Jan-2026'!C:C,E366)</f>
        <v>0</v>
      </c>
      <c r="H366" t="str">
        <f t="shared" si="10"/>
        <v>B00237</v>
      </c>
      <c r="I366" t="str">
        <f t="shared" si="11"/>
        <v>H00480</v>
      </c>
      <c r="N366" s="264"/>
    </row>
    <row r="367" spans="1:14">
      <c r="A367" t="s">
        <v>1659</v>
      </c>
      <c r="B367">
        <v>138600</v>
      </c>
      <c r="E367" t="s">
        <v>1762</v>
      </c>
      <c r="F367">
        <f>SUMIFS('Jan-2026'!F:F,'Jan-2026'!C:C,E367)</f>
        <v>0</v>
      </c>
      <c r="H367" t="str">
        <f t="shared" si="10"/>
        <v>B00339</v>
      </c>
      <c r="I367" t="str">
        <f t="shared" si="11"/>
        <v>L00170</v>
      </c>
      <c r="N367" s="264"/>
    </row>
    <row r="368" spans="1:14">
      <c r="A368" t="s">
        <v>1660</v>
      </c>
      <c r="B368">
        <v>53300</v>
      </c>
      <c r="E368" t="s">
        <v>1766</v>
      </c>
      <c r="F368">
        <f>SUMIFS('Jan-2026'!F:F,'Jan-2026'!C:C,E368)</f>
        <v>0</v>
      </c>
      <c r="H368" t="str">
        <f t="shared" si="10"/>
        <v>B00302</v>
      </c>
      <c r="I368" t="str">
        <f t="shared" si="11"/>
        <v>H00450</v>
      </c>
      <c r="N368" s="264"/>
    </row>
    <row r="369" spans="1:14">
      <c r="A369" t="s">
        <v>1661</v>
      </c>
      <c r="B369">
        <v>27500</v>
      </c>
      <c r="E369" t="s">
        <v>1768</v>
      </c>
      <c r="F369">
        <f>SUMIFS('Jan-2026'!F:F,'Jan-2026'!C:C,E369)</f>
        <v>0</v>
      </c>
      <c r="H369" t="str">
        <f t="shared" si="10"/>
        <v>F00305</v>
      </c>
      <c r="I369" t="str">
        <f t="shared" si="11"/>
        <v>H00446</v>
      </c>
      <c r="N369" s="264"/>
    </row>
    <row r="370" spans="1:14">
      <c r="A370" t="s">
        <v>1662</v>
      </c>
      <c r="B370">
        <v>27100</v>
      </c>
      <c r="E370" t="s">
        <v>1770</v>
      </c>
      <c r="F370">
        <f>SUMIFS('Jan-2026'!F:F,'Jan-2026'!C:C,E370)</f>
        <v>0</v>
      </c>
      <c r="H370" t="str">
        <f t="shared" si="10"/>
        <v>J00384</v>
      </c>
      <c r="I370" t="str">
        <f t="shared" si="11"/>
        <v>H00445</v>
      </c>
      <c r="N370" s="264"/>
    </row>
    <row r="371" spans="1:14">
      <c r="A371" t="s">
        <v>1663</v>
      </c>
      <c r="B371">
        <v>53300</v>
      </c>
      <c r="E371" t="s">
        <v>1764</v>
      </c>
      <c r="F371">
        <f>SUMIFS('Jan-2026'!F:F,'Jan-2026'!C:C,E371)</f>
        <v>0</v>
      </c>
      <c r="H371" t="str">
        <f t="shared" si="10"/>
        <v>F00317</v>
      </c>
      <c r="I371" t="str">
        <f t="shared" si="11"/>
        <v>H00464</v>
      </c>
      <c r="N371" s="264"/>
    </row>
    <row r="372" spans="1:14">
      <c r="A372" t="s">
        <v>1664</v>
      </c>
      <c r="B372">
        <v>31200</v>
      </c>
      <c r="E372" t="s">
        <v>1778</v>
      </c>
      <c r="F372">
        <f>SUMIFS('Jan-2026'!F:F,'Jan-2026'!C:C,E372)</f>
        <v>0</v>
      </c>
      <c r="H372" t="str">
        <f t="shared" si="10"/>
        <v>J00328</v>
      </c>
      <c r="I372" t="str">
        <f t="shared" si="11"/>
        <v>H00462</v>
      </c>
      <c r="N372" s="264"/>
    </row>
    <row r="373" spans="1:14">
      <c r="A373" t="s">
        <v>1666</v>
      </c>
      <c r="B373">
        <v>10600</v>
      </c>
      <c r="E373" t="s">
        <v>1784</v>
      </c>
      <c r="F373">
        <f>SUMIFS('Jan-2026'!F:F,'Jan-2026'!C:C,E373)</f>
        <v>0</v>
      </c>
      <c r="H373" t="str">
        <f t="shared" si="10"/>
        <v>J00342</v>
      </c>
      <c r="I373" t="str">
        <f t="shared" si="11"/>
        <v>H00480</v>
      </c>
      <c r="N373" s="264"/>
    </row>
    <row r="374" spans="1:14">
      <c r="A374" t="s">
        <v>1667</v>
      </c>
      <c r="B374">
        <v>25500</v>
      </c>
      <c r="E374" t="s">
        <v>1786</v>
      </c>
      <c r="F374">
        <f>SUMIFS('Jan-2026'!F:F,'Jan-2026'!C:C,E374)</f>
        <v>0</v>
      </c>
      <c r="H374" t="str">
        <f t="shared" si="10"/>
        <v>J00347</v>
      </c>
      <c r="I374" t="str">
        <f t="shared" si="11"/>
        <v>E00403</v>
      </c>
      <c r="L374" s="147"/>
      <c r="N374" s="264"/>
    </row>
    <row r="375" spans="1:14">
      <c r="A375" t="s">
        <v>1669</v>
      </c>
      <c r="B375">
        <v>44200</v>
      </c>
      <c r="E375" t="s">
        <v>1788</v>
      </c>
      <c r="F375">
        <f>SUMIFS('Jan-2026'!F:F,'Jan-2026'!C:C,E375)</f>
        <v>0</v>
      </c>
      <c r="H375" t="str">
        <f t="shared" si="10"/>
        <v>C00461</v>
      </c>
      <c r="I375" t="str">
        <f t="shared" si="11"/>
        <v>L00184</v>
      </c>
      <c r="L375" s="147"/>
      <c r="N375" s="264"/>
    </row>
    <row r="376" spans="1:14">
      <c r="A376" t="s">
        <v>1671</v>
      </c>
      <c r="B376">
        <v>37100</v>
      </c>
      <c r="E376" t="s">
        <v>1792</v>
      </c>
      <c r="F376">
        <f>SUMIFS('Jan-2026'!F:F,'Jan-2026'!C:C,E376)</f>
        <v>0</v>
      </c>
      <c r="H376" t="str">
        <f t="shared" si="10"/>
        <v>J00241</v>
      </c>
      <c r="I376" t="str">
        <f t="shared" si="11"/>
        <v>L00180</v>
      </c>
      <c r="L376" s="147"/>
      <c r="N376" s="264"/>
    </row>
    <row r="377" spans="1:14">
      <c r="A377" t="s">
        <v>1671</v>
      </c>
      <c r="B377">
        <v>6800</v>
      </c>
      <c r="E377" t="s">
        <v>1794</v>
      </c>
      <c r="F377">
        <f>SUMIFS('Jan-2026'!F:F,'Jan-2026'!C:C,E377)</f>
        <v>0</v>
      </c>
      <c r="H377" t="str">
        <f t="shared" si="10"/>
        <v>J00248</v>
      </c>
      <c r="I377" t="str">
        <f t="shared" si="11"/>
        <v>L00180</v>
      </c>
      <c r="L377" s="147"/>
      <c r="N377" s="264"/>
    </row>
    <row r="378" spans="1:14">
      <c r="A378" t="s">
        <v>1673</v>
      </c>
      <c r="B378">
        <v>26700</v>
      </c>
      <c r="E378">
        <v>65092</v>
      </c>
      <c r="F378">
        <f>SUMIFS('Jan-2026'!F:F,'Jan-2026'!C:C,E378)</f>
        <v>0</v>
      </c>
      <c r="H378">
        <f t="shared" si="10"/>
        <v>65092</v>
      </c>
      <c r="I378" t="str">
        <f t="shared" si="11"/>
        <v>N00282</v>
      </c>
      <c r="L378" s="147"/>
      <c r="N378" s="264"/>
    </row>
    <row r="379" spans="1:14">
      <c r="A379" t="s">
        <v>1841</v>
      </c>
      <c r="B379">
        <v>21600</v>
      </c>
      <c r="E379">
        <v>65092</v>
      </c>
      <c r="F379">
        <f>SUMIFS('Jan-2026'!F:F,'Jan-2026'!C:C,E379)</f>
        <v>0</v>
      </c>
      <c r="H379">
        <f t="shared" si="10"/>
        <v>65092</v>
      </c>
      <c r="I379" t="str">
        <f t="shared" si="11"/>
        <v>N00285</v>
      </c>
      <c r="L379" s="147"/>
      <c r="N379" s="264"/>
    </row>
    <row r="380" spans="1:14">
      <c r="A380" t="s">
        <v>1674</v>
      </c>
      <c r="B380">
        <v>43800</v>
      </c>
      <c r="E380" t="s">
        <v>1775</v>
      </c>
      <c r="F380">
        <f>SUMIFS('Jan-2026'!F:F,'Jan-2026'!C:C,E380)</f>
        <v>0</v>
      </c>
      <c r="H380" t="str">
        <f t="shared" si="10"/>
        <v>E00378</v>
      </c>
      <c r="I380" t="str">
        <f t="shared" si="11"/>
        <v>L00185</v>
      </c>
      <c r="L380" s="147"/>
      <c r="N380" s="264"/>
    </row>
    <row r="381" spans="1:14">
      <c r="A381" t="s">
        <v>1677</v>
      </c>
      <c r="B381">
        <v>27600</v>
      </c>
      <c r="E381" t="s">
        <v>1773</v>
      </c>
      <c r="F381">
        <f>SUMIFS('Jan-2026'!F:F,'Jan-2026'!C:C,E381)</f>
        <v>0</v>
      </c>
      <c r="H381" t="str">
        <f t="shared" si="10"/>
        <v>N00245</v>
      </c>
      <c r="I381" t="str">
        <f t="shared" si="11"/>
        <v>N00286</v>
      </c>
      <c r="L381" s="147"/>
      <c r="N381" s="264"/>
    </row>
    <row r="382" spans="1:14">
      <c r="A382" t="s">
        <v>1665</v>
      </c>
      <c r="B382">
        <v>26900</v>
      </c>
      <c r="E382" t="s">
        <v>1796</v>
      </c>
      <c r="F382">
        <f>SUMIFS('Jan-2026'!F:F,'Jan-2026'!C:C,E382)</f>
        <v>0</v>
      </c>
      <c r="H382" t="str">
        <f t="shared" si="10"/>
        <v>H00526</v>
      </c>
      <c r="I382" t="str">
        <f t="shared" si="11"/>
        <v>H00461</v>
      </c>
      <c r="L382" s="147"/>
      <c r="N382" s="264"/>
    </row>
    <row r="383" spans="1:14">
      <c r="A383" t="s">
        <v>1668</v>
      </c>
      <c r="B383">
        <v>41500</v>
      </c>
      <c r="E383" t="s">
        <v>1805</v>
      </c>
      <c r="F383">
        <f>SUMIFS('Jan-2026'!F:F,'Jan-2026'!C:C,E383)</f>
        <v>0</v>
      </c>
      <c r="H383" t="str">
        <f t="shared" si="10"/>
        <v>B00321</v>
      </c>
      <c r="I383" t="str">
        <f t="shared" si="11"/>
        <v>L00182</v>
      </c>
      <c r="N383" s="264"/>
    </row>
    <row r="384" spans="1:14">
      <c r="A384" t="s">
        <v>1670</v>
      </c>
      <c r="B384">
        <v>39300</v>
      </c>
      <c r="E384" t="s">
        <v>1832</v>
      </c>
      <c r="F384">
        <f>SUMIFS('Jan-2026'!F:F,'Jan-2026'!C:C,E384)</f>
        <v>0</v>
      </c>
      <c r="H384" t="str">
        <f t="shared" si="10"/>
        <v>C00463</v>
      </c>
      <c r="I384" t="str">
        <f t="shared" si="11"/>
        <v>L00178</v>
      </c>
      <c r="N384" s="264"/>
    </row>
    <row r="385" spans="1:23">
      <c r="A385" t="s">
        <v>1672</v>
      </c>
      <c r="B385">
        <v>106500</v>
      </c>
      <c r="E385" t="s">
        <v>1824</v>
      </c>
      <c r="F385">
        <f>SUMIFS('Jan-2026'!F:F,'Jan-2026'!C:C,E385)</f>
        <v>0</v>
      </c>
      <c r="H385" t="str">
        <f t="shared" si="10"/>
        <v>B00334</v>
      </c>
      <c r="I385" t="str">
        <f t="shared" si="11"/>
        <v>L00177</v>
      </c>
      <c r="N385" s="264"/>
    </row>
    <row r="386" spans="1:23">
      <c r="A386" t="s">
        <v>1675</v>
      </c>
      <c r="B386">
        <v>90200</v>
      </c>
      <c r="E386" t="s">
        <v>1827</v>
      </c>
      <c r="F386">
        <f>SUMIFS('Jan-2026'!F:F,'Jan-2026'!C:C,E386)</f>
        <v>0</v>
      </c>
      <c r="H386" t="str">
        <f t="shared" si="10"/>
        <v>B00361</v>
      </c>
      <c r="I386" t="str">
        <f t="shared" si="11"/>
        <v>C00514</v>
      </c>
      <c r="N386" s="264"/>
    </row>
    <row r="387" spans="1:23" s="147" customFormat="1">
      <c r="A387" t="s">
        <v>1676</v>
      </c>
      <c r="B387"/>
      <c r="E387" t="s">
        <v>1830</v>
      </c>
      <c r="F387">
        <f>SUMIFS('Jan-2026'!F:F,'Jan-2026'!C:C,E387)</f>
        <v>0</v>
      </c>
      <c r="H387" t="str">
        <f t="shared" si="10"/>
        <v>B00351</v>
      </c>
      <c r="I387" t="str">
        <f t="shared" si="11"/>
        <v>H00454</v>
      </c>
      <c r="M387"/>
      <c r="N387" s="264"/>
      <c r="O387"/>
      <c r="P387"/>
      <c r="Q387"/>
      <c r="R387"/>
      <c r="S387"/>
      <c r="T387"/>
      <c r="U387"/>
      <c r="V387"/>
      <c r="W387"/>
    </row>
    <row r="388" spans="1:23">
      <c r="A388" t="s">
        <v>1677</v>
      </c>
      <c r="B388">
        <v>8700</v>
      </c>
      <c r="E388">
        <v>65094</v>
      </c>
      <c r="F388">
        <f>SUMIFS('Jan-2026'!F:F,'Jan-2026'!C:C,E388)</f>
        <v>0</v>
      </c>
      <c r="H388">
        <f t="shared" si="10"/>
        <v>65094</v>
      </c>
      <c r="I388" t="str">
        <f t="shared" si="11"/>
        <v>N00286</v>
      </c>
      <c r="N388" s="264"/>
    </row>
    <row r="389" spans="1:23">
      <c r="A389" t="s">
        <v>1685</v>
      </c>
      <c r="B389">
        <v>21300</v>
      </c>
      <c r="E389" t="s">
        <v>1807</v>
      </c>
      <c r="F389">
        <f>SUMIFS('Jan-2026'!F:F,'Jan-2026'!C:C,E389)</f>
        <v>0</v>
      </c>
      <c r="H389" t="str">
        <f t="shared" si="10"/>
        <v>C00437</v>
      </c>
      <c r="I389" t="str">
        <f t="shared" si="11"/>
        <v>N00283</v>
      </c>
      <c r="N389" s="264"/>
    </row>
    <row r="390" spans="1:23">
      <c r="A390" t="s">
        <v>1687</v>
      </c>
      <c r="B390">
        <v>21300</v>
      </c>
      <c r="E390" t="s">
        <v>1809</v>
      </c>
      <c r="F390">
        <f>SUMIFS('Jan-2026'!F:F,'Jan-2026'!C:C,E390)</f>
        <v>0</v>
      </c>
      <c r="H390" t="str">
        <f t="shared" ref="H390:H453" si="12">VLOOKUP(E390,A:B,1,FALSE)</f>
        <v>H00497</v>
      </c>
      <c r="I390" t="str">
        <f t="shared" ref="I390:I453" si="13">VLOOKUP(A390,E:F,1,FALSE)</f>
        <v>N00289</v>
      </c>
      <c r="N390" s="264"/>
    </row>
    <row r="391" spans="1:23">
      <c r="A391" t="s">
        <v>1688</v>
      </c>
      <c r="B391">
        <v>14200</v>
      </c>
      <c r="E391">
        <v>64302</v>
      </c>
      <c r="F391">
        <f>SUMIFS('Jan-2026'!F:F,'Jan-2026'!C:C,E391)</f>
        <v>0</v>
      </c>
      <c r="H391">
        <f t="shared" si="12"/>
        <v>64302</v>
      </c>
      <c r="I391" t="str">
        <f t="shared" si="13"/>
        <v>C00493</v>
      </c>
      <c r="N391" s="264"/>
    </row>
    <row r="392" spans="1:23">
      <c r="A392" t="s">
        <v>1706</v>
      </c>
      <c r="B392">
        <v>63200</v>
      </c>
      <c r="E392" t="s">
        <v>1449</v>
      </c>
      <c r="F392">
        <f>SUMIFS('Jan-2026'!F:F,'Jan-2026'!C:C,E392)</f>
        <v>0</v>
      </c>
      <c r="H392" t="str">
        <f t="shared" si="12"/>
        <v>L00116</v>
      </c>
      <c r="I392" t="str">
        <f t="shared" si="13"/>
        <v>B00381</v>
      </c>
      <c r="N392" s="264"/>
    </row>
    <row r="393" spans="1:23">
      <c r="A393" t="s">
        <v>1706</v>
      </c>
      <c r="B393">
        <v>6500</v>
      </c>
      <c r="E393" t="s">
        <v>1812</v>
      </c>
      <c r="F393">
        <f>SUMIFS('Jan-2026'!F:F,'Jan-2026'!C:C,E393)</f>
        <v>0</v>
      </c>
      <c r="H393" t="str">
        <f t="shared" si="12"/>
        <v>L00187</v>
      </c>
      <c r="I393" t="str">
        <f t="shared" si="13"/>
        <v>B00381</v>
      </c>
      <c r="N393" s="264"/>
    </row>
    <row r="394" spans="1:23">
      <c r="A394" t="s">
        <v>1842</v>
      </c>
      <c r="B394">
        <v>9500</v>
      </c>
      <c r="E394" t="s">
        <v>1815</v>
      </c>
      <c r="F394">
        <f>SUMIFS('Jan-2026'!F:F,'Jan-2026'!C:C,E394)</f>
        <v>0</v>
      </c>
      <c r="H394" t="str">
        <f t="shared" si="12"/>
        <v>C00491</v>
      </c>
      <c r="I394" t="str">
        <f t="shared" si="13"/>
        <v>G00146</v>
      </c>
      <c r="N394" s="264"/>
    </row>
    <row r="395" spans="1:23">
      <c r="A395" t="s">
        <v>1843</v>
      </c>
      <c r="B395">
        <v>11700</v>
      </c>
      <c r="E395" t="s">
        <v>1817</v>
      </c>
      <c r="F395">
        <f>SUMIFS('Jan-2026'!F:F,'Jan-2026'!C:C,E395)</f>
        <v>0</v>
      </c>
      <c r="H395" t="str">
        <f t="shared" si="12"/>
        <v>C00468</v>
      </c>
      <c r="I395" t="str">
        <f t="shared" si="13"/>
        <v>G00150</v>
      </c>
      <c r="N395" s="264"/>
    </row>
    <row r="396" spans="1:23">
      <c r="A396" t="s">
        <v>1689</v>
      </c>
      <c r="B396">
        <v>19000</v>
      </c>
      <c r="E396" t="s">
        <v>1722</v>
      </c>
      <c r="F396">
        <f>SUMIFS('Jan-2026'!F:F,'Jan-2026'!C:C,E396)</f>
        <v>0</v>
      </c>
      <c r="H396" t="str">
        <f t="shared" si="12"/>
        <v>C00458</v>
      </c>
      <c r="I396" t="str">
        <f t="shared" si="13"/>
        <v>G00169</v>
      </c>
      <c r="N396" s="264"/>
    </row>
    <row r="397" spans="1:23">
      <c r="A397" t="s">
        <v>1690</v>
      </c>
      <c r="B397">
        <v>8300</v>
      </c>
      <c r="E397">
        <v>65097</v>
      </c>
      <c r="F397">
        <f>SUMIFS('Jan-2026'!F:F,'Jan-2026'!C:C,E397)</f>
        <v>0</v>
      </c>
      <c r="H397">
        <f t="shared" si="12"/>
        <v>65097</v>
      </c>
      <c r="I397" t="str">
        <f t="shared" si="13"/>
        <v>G00151</v>
      </c>
      <c r="N397" s="264"/>
    </row>
    <row r="398" spans="1:23">
      <c r="A398" t="s">
        <v>1691</v>
      </c>
      <c r="B398">
        <v>11300</v>
      </c>
      <c r="E398" t="s">
        <v>1822</v>
      </c>
      <c r="F398">
        <f>SUMIFS('Jan-2026'!F:F,'Jan-2026'!C:C,E398)</f>
        <v>0</v>
      </c>
      <c r="H398" t="str">
        <f t="shared" si="12"/>
        <v>B00345</v>
      </c>
      <c r="I398" t="str">
        <f t="shared" si="13"/>
        <v>B00333</v>
      </c>
      <c r="N398" s="264"/>
    </row>
    <row r="399" spans="1:23">
      <c r="A399" t="s">
        <v>1692</v>
      </c>
      <c r="B399">
        <v>30300</v>
      </c>
      <c r="E399" t="s">
        <v>1809</v>
      </c>
      <c r="F399">
        <f>SUMIFS('Jan-2026'!F:F,'Jan-2026'!C:C,E399)</f>
        <v>0</v>
      </c>
      <c r="H399" t="str">
        <f t="shared" si="12"/>
        <v>H00497</v>
      </c>
      <c r="I399" t="str">
        <f t="shared" si="13"/>
        <v>F00340</v>
      </c>
      <c r="N399" s="264"/>
    </row>
    <row r="400" spans="1:23">
      <c r="A400" t="s">
        <v>1676</v>
      </c>
      <c r="B400">
        <v>25800</v>
      </c>
      <c r="E400" t="s">
        <v>1836</v>
      </c>
      <c r="F400">
        <f>SUMIFS('Jan-2026'!F:F,'Jan-2026'!C:C,E400)</f>
        <v>0</v>
      </c>
      <c r="H400" t="str">
        <f t="shared" si="12"/>
        <v>B00380</v>
      </c>
      <c r="I400" t="str">
        <f t="shared" si="13"/>
        <v>H00454</v>
      </c>
      <c r="N400" s="264"/>
    </row>
    <row r="401" spans="1:14">
      <c r="A401" t="s">
        <v>1686</v>
      </c>
      <c r="B401">
        <v>10600</v>
      </c>
      <c r="E401" t="s">
        <v>1840</v>
      </c>
      <c r="F401">
        <f>SUMIFS('Jan-2026'!F:F,'Jan-2026'!C:C,E401)</f>
        <v>0</v>
      </c>
      <c r="H401" t="str">
        <f t="shared" si="12"/>
        <v>B00376</v>
      </c>
      <c r="I401" t="str">
        <f t="shared" si="13"/>
        <v>L00135</v>
      </c>
      <c r="N401" s="264"/>
    </row>
    <row r="402" spans="1:14">
      <c r="A402" t="s">
        <v>1844</v>
      </c>
      <c r="B402">
        <v>10300</v>
      </c>
      <c r="E402" t="s">
        <v>1845</v>
      </c>
      <c r="F402">
        <f>SUMIFS('Jan-2026'!F:F,'Jan-2026'!C:C,E402)</f>
        <v>0</v>
      </c>
      <c r="H402" t="str">
        <f t="shared" si="12"/>
        <v>L00132</v>
      </c>
      <c r="I402" t="str">
        <f t="shared" si="13"/>
        <v>L00133</v>
      </c>
      <c r="N402" s="264"/>
    </row>
    <row r="403" spans="1:14">
      <c r="A403" t="s">
        <v>1845</v>
      </c>
      <c r="B403">
        <v>14500</v>
      </c>
      <c r="E403" t="s">
        <v>1843</v>
      </c>
      <c r="F403">
        <f>SUMIFS('Jan-2026'!F:F,'Jan-2026'!C:C,E403)</f>
        <v>0</v>
      </c>
      <c r="H403" t="str">
        <f t="shared" si="12"/>
        <v>G00150</v>
      </c>
      <c r="I403" t="str">
        <f t="shared" si="13"/>
        <v>L00132</v>
      </c>
      <c r="N403" s="264"/>
    </row>
    <row r="404" spans="1:14">
      <c r="A404" t="s">
        <v>1845</v>
      </c>
      <c r="B404">
        <v>13400</v>
      </c>
      <c r="E404" t="s">
        <v>1848</v>
      </c>
      <c r="F404">
        <f>SUMIFS('Jan-2026'!F:F,'Jan-2026'!C:C,E404)</f>
        <v>0</v>
      </c>
      <c r="H404" t="str">
        <f t="shared" si="12"/>
        <v>H00555</v>
      </c>
      <c r="I404" t="str">
        <f t="shared" si="13"/>
        <v>L00132</v>
      </c>
      <c r="N404" s="264"/>
    </row>
    <row r="405" spans="1:14">
      <c r="A405" t="s">
        <v>1846</v>
      </c>
      <c r="B405">
        <v>28000</v>
      </c>
      <c r="E405" t="s">
        <v>1852</v>
      </c>
      <c r="F405">
        <f>SUMIFS('Jan-2026'!F:F,'Jan-2026'!C:C,E405)</f>
        <v>0</v>
      </c>
      <c r="H405" t="str">
        <f t="shared" si="12"/>
        <v>C00519</v>
      </c>
      <c r="I405" t="e">
        <f t="shared" si="13"/>
        <v>#N/A</v>
      </c>
      <c r="N405" s="264"/>
    </row>
    <row r="406" spans="1:14">
      <c r="A406" t="s">
        <v>1847</v>
      </c>
      <c r="B406">
        <v>85100</v>
      </c>
      <c r="E406" t="s">
        <v>1863</v>
      </c>
      <c r="F406">
        <f>SUMIFS('Jan-2026'!F:F,'Jan-2026'!C:C,E406)</f>
        <v>0</v>
      </c>
      <c r="H406" t="str">
        <f t="shared" si="12"/>
        <v>F00362</v>
      </c>
      <c r="I406" t="e">
        <f t="shared" si="13"/>
        <v>#N/A</v>
      </c>
      <c r="N406" s="264"/>
    </row>
    <row r="407" spans="1:14">
      <c r="A407" t="s">
        <v>1692</v>
      </c>
      <c r="B407">
        <v>17100</v>
      </c>
      <c r="E407" t="s">
        <v>1854</v>
      </c>
      <c r="H407" t="str">
        <f t="shared" si="12"/>
        <v>G00156</v>
      </c>
      <c r="I407" t="str">
        <f t="shared" si="13"/>
        <v>F00340</v>
      </c>
      <c r="N407" s="264"/>
    </row>
    <row r="408" spans="1:14">
      <c r="A408" t="s">
        <v>1693</v>
      </c>
      <c r="B408">
        <v>28300</v>
      </c>
      <c r="E408" t="s">
        <v>1868</v>
      </c>
      <c r="H408" t="str">
        <f t="shared" si="12"/>
        <v>E00417</v>
      </c>
      <c r="I408" t="str">
        <f t="shared" si="13"/>
        <v>F00342</v>
      </c>
      <c r="N408" s="264"/>
    </row>
    <row r="409" spans="1:14">
      <c r="A409" t="s">
        <v>1694</v>
      </c>
      <c r="B409">
        <v>33000</v>
      </c>
      <c r="E409" t="s">
        <v>1864</v>
      </c>
      <c r="H409" t="str">
        <f t="shared" si="12"/>
        <v>F00383</v>
      </c>
      <c r="I409" t="str">
        <f t="shared" si="13"/>
        <v>F00341</v>
      </c>
      <c r="N409" s="264"/>
    </row>
    <row r="410" spans="1:14">
      <c r="A410">
        <v>64314</v>
      </c>
      <c r="B410">
        <v>3200</v>
      </c>
      <c r="E410" t="s">
        <v>1867</v>
      </c>
      <c r="H410" t="str">
        <f t="shared" si="12"/>
        <v>F00382</v>
      </c>
      <c r="I410">
        <f t="shared" si="13"/>
        <v>64314</v>
      </c>
      <c r="N410" s="264"/>
    </row>
    <row r="411" spans="1:14">
      <c r="A411" t="s">
        <v>1695</v>
      </c>
      <c r="B411">
        <v>8600</v>
      </c>
      <c r="E411" t="s">
        <v>1871</v>
      </c>
      <c r="H411" t="str">
        <f t="shared" si="12"/>
        <v>H00430</v>
      </c>
      <c r="I411" t="str">
        <f t="shared" si="13"/>
        <v>B00370</v>
      </c>
      <c r="N411" s="264"/>
    </row>
    <row r="412" spans="1:14">
      <c r="A412" t="s">
        <v>1696</v>
      </c>
      <c r="B412">
        <v>29100</v>
      </c>
      <c r="E412" t="s">
        <v>1873</v>
      </c>
      <c r="H412" t="str">
        <f t="shared" si="12"/>
        <v>J00408</v>
      </c>
      <c r="I412" t="str">
        <f t="shared" si="13"/>
        <v>F00339</v>
      </c>
      <c r="N412" s="264"/>
    </row>
    <row r="413" spans="1:14">
      <c r="A413" t="s">
        <v>1696</v>
      </c>
      <c r="B413">
        <v>33500</v>
      </c>
      <c r="E413" t="s">
        <v>1875</v>
      </c>
      <c r="H413" t="str">
        <f t="shared" si="12"/>
        <v>J00404</v>
      </c>
      <c r="I413" t="str">
        <f t="shared" si="13"/>
        <v>F00339</v>
      </c>
      <c r="N413" s="264"/>
    </row>
    <row r="414" spans="1:14">
      <c r="A414" t="s">
        <v>1697</v>
      </c>
      <c r="B414">
        <v>11800</v>
      </c>
      <c r="E414" t="s">
        <v>1782</v>
      </c>
      <c r="H414" t="str">
        <f t="shared" si="12"/>
        <v>J00330</v>
      </c>
      <c r="I414" t="str">
        <f t="shared" si="13"/>
        <v>F00368</v>
      </c>
      <c r="N414" s="264"/>
    </row>
    <row r="415" spans="1:14">
      <c r="A415" t="s">
        <v>1699</v>
      </c>
      <c r="B415">
        <v>11800</v>
      </c>
      <c r="E415" t="s">
        <v>1789</v>
      </c>
      <c r="H415" t="str">
        <f t="shared" si="12"/>
        <v>C00490</v>
      </c>
      <c r="I415" t="str">
        <f t="shared" si="13"/>
        <v>F00369</v>
      </c>
      <c r="N415" s="264"/>
    </row>
    <row r="416" spans="1:14">
      <c r="A416" t="s">
        <v>1701</v>
      </c>
      <c r="B416">
        <v>12100</v>
      </c>
      <c r="E416" t="s">
        <v>1798</v>
      </c>
      <c r="H416" t="str">
        <f t="shared" si="12"/>
        <v>H00524</v>
      </c>
      <c r="I416" t="str">
        <f t="shared" si="13"/>
        <v>F00367</v>
      </c>
      <c r="N416" s="264"/>
    </row>
    <row r="417" spans="1:14">
      <c r="A417" t="s">
        <v>1702</v>
      </c>
      <c r="B417">
        <v>11800</v>
      </c>
      <c r="E417" t="s">
        <v>1555</v>
      </c>
      <c r="H417" t="str">
        <f t="shared" si="12"/>
        <v>B00320</v>
      </c>
      <c r="I417" t="str">
        <f t="shared" si="13"/>
        <v>F00366</v>
      </c>
      <c r="N417" s="264"/>
    </row>
    <row r="418" spans="1:14">
      <c r="A418" t="s">
        <v>1705</v>
      </c>
      <c r="B418">
        <v>23500</v>
      </c>
      <c r="E418" t="s">
        <v>1833</v>
      </c>
      <c r="H418" t="str">
        <f t="shared" si="12"/>
        <v>C00462</v>
      </c>
      <c r="I418" t="str">
        <f t="shared" si="13"/>
        <v>F00363</v>
      </c>
      <c r="N418" s="264"/>
    </row>
    <row r="419" spans="1:14">
      <c r="A419" t="s">
        <v>1707</v>
      </c>
      <c r="E419" t="s">
        <v>1826</v>
      </c>
      <c r="H419" t="str">
        <f t="shared" si="12"/>
        <v>B00362</v>
      </c>
      <c r="I419" t="str">
        <f t="shared" si="13"/>
        <v>F00365</v>
      </c>
      <c r="N419" s="264"/>
    </row>
    <row r="420" spans="1:14">
      <c r="A420" t="s">
        <v>1847</v>
      </c>
      <c r="B420">
        <v>211100</v>
      </c>
      <c r="E420" t="s">
        <v>1837</v>
      </c>
      <c r="H420" t="str">
        <f t="shared" si="12"/>
        <v>B00377</v>
      </c>
      <c r="I420" t="e">
        <f t="shared" si="13"/>
        <v>#N/A</v>
      </c>
      <c r="N420" s="264"/>
    </row>
    <row r="421" spans="1:14">
      <c r="A421" t="s">
        <v>1847</v>
      </c>
      <c r="B421">
        <v>16500</v>
      </c>
      <c r="E421" t="s">
        <v>1855</v>
      </c>
      <c r="H421" t="str">
        <f t="shared" si="12"/>
        <v>G00170</v>
      </c>
      <c r="I421" t="e">
        <f t="shared" si="13"/>
        <v>#N/A</v>
      </c>
      <c r="N421" s="264"/>
    </row>
    <row r="422" spans="1:14">
      <c r="A422" t="s">
        <v>1698</v>
      </c>
      <c r="B422">
        <v>22800</v>
      </c>
      <c r="E422" t="s">
        <v>1779</v>
      </c>
      <c r="H422" t="str">
        <f t="shared" si="12"/>
        <v>J00329</v>
      </c>
      <c r="I422" t="str">
        <f t="shared" si="13"/>
        <v>B00353</v>
      </c>
      <c r="N422" s="264"/>
    </row>
    <row r="423" spans="1:14">
      <c r="A423" t="s">
        <v>1700</v>
      </c>
      <c r="B423">
        <v>21300</v>
      </c>
      <c r="E423" t="s">
        <v>1790</v>
      </c>
      <c r="H423" t="str">
        <f t="shared" si="12"/>
        <v>C00421</v>
      </c>
      <c r="I423" t="str">
        <f t="shared" si="13"/>
        <v>C00488</v>
      </c>
      <c r="N423" s="264"/>
    </row>
    <row r="424" spans="1:14">
      <c r="A424" t="s">
        <v>1703</v>
      </c>
      <c r="B424">
        <v>26400</v>
      </c>
      <c r="E424" t="s">
        <v>1801</v>
      </c>
      <c r="H424" t="str">
        <f t="shared" si="12"/>
        <v>H00523</v>
      </c>
      <c r="I424" t="str">
        <f t="shared" si="13"/>
        <v>C00516</v>
      </c>
      <c r="N424" s="264"/>
    </row>
    <row r="425" spans="1:14">
      <c r="A425" t="s">
        <v>1704</v>
      </c>
      <c r="B425">
        <v>49600</v>
      </c>
      <c r="E425" t="s">
        <v>1828</v>
      </c>
      <c r="H425" t="str">
        <f t="shared" si="12"/>
        <v>B00364</v>
      </c>
      <c r="I425" t="str">
        <f t="shared" si="13"/>
        <v>C00515</v>
      </c>
      <c r="N425" s="264"/>
    </row>
    <row r="426" spans="1:14">
      <c r="A426" t="s">
        <v>1707</v>
      </c>
      <c r="B426">
        <v>23500</v>
      </c>
      <c r="E426" t="s">
        <v>1838</v>
      </c>
      <c r="H426" t="str">
        <f t="shared" si="12"/>
        <v>B00379</v>
      </c>
      <c r="I426" t="str">
        <f t="shared" si="13"/>
        <v>F00365</v>
      </c>
      <c r="N426" s="264"/>
    </row>
    <row r="427" spans="1:14">
      <c r="A427" t="s">
        <v>1708</v>
      </c>
      <c r="B427">
        <v>23500</v>
      </c>
      <c r="E427" t="s">
        <v>1856</v>
      </c>
      <c r="H427" t="str">
        <f t="shared" si="12"/>
        <v>G00158</v>
      </c>
      <c r="I427" t="str">
        <f t="shared" si="13"/>
        <v>F00364</v>
      </c>
      <c r="N427" s="264"/>
    </row>
    <row r="428" spans="1:14">
      <c r="A428" t="s">
        <v>1710</v>
      </c>
      <c r="B428">
        <v>28600</v>
      </c>
      <c r="E428" t="s">
        <v>1780</v>
      </c>
      <c r="H428" t="str">
        <f t="shared" si="12"/>
        <v>J00327</v>
      </c>
      <c r="I428" t="str">
        <f t="shared" si="13"/>
        <v>H00557</v>
      </c>
      <c r="N428" s="264"/>
    </row>
    <row r="429" spans="1:14">
      <c r="A429" t="s">
        <v>1712</v>
      </c>
      <c r="B429">
        <v>16900</v>
      </c>
      <c r="E429" t="s">
        <v>1639</v>
      </c>
      <c r="H429" t="str">
        <f t="shared" si="12"/>
        <v>C00496</v>
      </c>
      <c r="I429" t="str">
        <f t="shared" si="13"/>
        <v>N00290</v>
      </c>
      <c r="N429" s="264"/>
    </row>
    <row r="430" spans="1:14">
      <c r="A430" t="s">
        <v>1713</v>
      </c>
      <c r="B430">
        <v>28800</v>
      </c>
      <c r="E430" t="s">
        <v>1797</v>
      </c>
      <c r="H430" t="str">
        <f t="shared" si="12"/>
        <v>H00522</v>
      </c>
      <c r="I430" t="str">
        <f t="shared" si="13"/>
        <v>F00371</v>
      </c>
      <c r="N430" s="264"/>
    </row>
    <row r="431" spans="1:14">
      <c r="A431" t="s">
        <v>1713</v>
      </c>
      <c r="B431">
        <v>18500</v>
      </c>
      <c r="E431" t="s">
        <v>1857</v>
      </c>
      <c r="H431" t="str">
        <f t="shared" si="12"/>
        <v>G00154</v>
      </c>
      <c r="I431" t="str">
        <f t="shared" si="13"/>
        <v>F00371</v>
      </c>
      <c r="N431" s="264"/>
    </row>
    <row r="432" spans="1:14">
      <c r="A432" t="s">
        <v>1714</v>
      </c>
      <c r="B432">
        <v>47000</v>
      </c>
      <c r="E432" t="s">
        <v>1859</v>
      </c>
      <c r="H432" t="str">
        <f t="shared" si="12"/>
        <v>G00172</v>
      </c>
      <c r="I432" t="str">
        <f t="shared" si="13"/>
        <v>F00372</v>
      </c>
      <c r="N432" s="264"/>
    </row>
    <row r="433" spans="1:14">
      <c r="A433" t="s">
        <v>1715</v>
      </c>
      <c r="B433">
        <v>21000</v>
      </c>
      <c r="E433" t="s">
        <v>1800</v>
      </c>
      <c r="H433" t="str">
        <f t="shared" si="12"/>
        <v>H00521</v>
      </c>
      <c r="I433" t="str">
        <f t="shared" si="13"/>
        <v>C00484</v>
      </c>
      <c r="N433" s="264"/>
    </row>
    <row r="434" spans="1:14">
      <c r="A434" t="s">
        <v>1716</v>
      </c>
      <c r="B434">
        <v>43500</v>
      </c>
      <c r="E434" t="s">
        <v>1781</v>
      </c>
      <c r="H434" t="str">
        <f t="shared" si="12"/>
        <v>J00331</v>
      </c>
      <c r="I434" t="str">
        <f t="shared" si="13"/>
        <v>H00484</v>
      </c>
      <c r="N434" s="264"/>
    </row>
    <row r="435" spans="1:14">
      <c r="A435" t="s">
        <v>1718</v>
      </c>
      <c r="B435">
        <v>7200</v>
      </c>
      <c r="E435" t="s">
        <v>1860</v>
      </c>
      <c r="H435" t="str">
        <f t="shared" si="12"/>
        <v>G00171</v>
      </c>
      <c r="I435" t="str">
        <f t="shared" si="13"/>
        <v>C00517</v>
      </c>
      <c r="N435" s="264"/>
    </row>
    <row r="436" spans="1:14">
      <c r="A436" t="s">
        <v>1704</v>
      </c>
      <c r="B436">
        <v>4000</v>
      </c>
      <c r="E436" t="s">
        <v>1799</v>
      </c>
      <c r="H436" t="str">
        <f t="shared" si="12"/>
        <v>H00520</v>
      </c>
      <c r="I436" t="str">
        <f t="shared" si="13"/>
        <v>C00515</v>
      </c>
      <c r="N436" s="264"/>
    </row>
    <row r="437" spans="1:14">
      <c r="A437" t="s">
        <v>1709</v>
      </c>
      <c r="B437">
        <v>12400</v>
      </c>
      <c r="E437" t="s">
        <v>1858</v>
      </c>
      <c r="H437" t="str">
        <f t="shared" si="12"/>
        <v>G00155</v>
      </c>
      <c r="I437" t="str">
        <f t="shared" si="13"/>
        <v>C00518</v>
      </c>
      <c r="N437" s="264"/>
    </row>
    <row r="438" spans="1:14">
      <c r="A438" t="s">
        <v>1711</v>
      </c>
      <c r="B438">
        <v>148900</v>
      </c>
      <c r="E438" t="s">
        <v>1802</v>
      </c>
      <c r="H438" t="str">
        <f t="shared" si="12"/>
        <v>H00528</v>
      </c>
      <c r="I438" t="str">
        <f t="shared" si="13"/>
        <v>E00395</v>
      </c>
      <c r="N438" s="264"/>
    </row>
    <row r="439" spans="1:14">
      <c r="A439" t="s">
        <v>1717</v>
      </c>
      <c r="B439">
        <v>201600</v>
      </c>
      <c r="E439" t="s">
        <v>1877</v>
      </c>
      <c r="H439" t="str">
        <f t="shared" si="12"/>
        <v>H00527</v>
      </c>
      <c r="I439" t="str">
        <f t="shared" si="13"/>
        <v>P00165</v>
      </c>
      <c r="N439" s="264"/>
    </row>
    <row r="440" spans="1:14">
      <c r="A440" t="s">
        <v>1718</v>
      </c>
      <c r="B440">
        <v>18500</v>
      </c>
      <c r="H440" t="e">
        <f t="shared" si="12"/>
        <v>#N/A</v>
      </c>
      <c r="I440" t="str">
        <f t="shared" si="13"/>
        <v>C00517</v>
      </c>
      <c r="N440" s="264"/>
    </row>
    <row r="441" spans="1:14">
      <c r="A441" t="s">
        <v>1848</v>
      </c>
      <c r="B441">
        <v>24300</v>
      </c>
      <c r="H441" t="e">
        <f t="shared" si="12"/>
        <v>#N/A</v>
      </c>
      <c r="I441" t="str">
        <f t="shared" si="13"/>
        <v>H00555</v>
      </c>
      <c r="N441" s="264"/>
    </row>
    <row r="442" spans="1:14">
      <c r="A442" t="s">
        <v>1849</v>
      </c>
      <c r="B442">
        <v>24400</v>
      </c>
      <c r="H442" t="e">
        <f t="shared" si="12"/>
        <v>#N/A</v>
      </c>
      <c r="I442" t="str">
        <f t="shared" si="13"/>
        <v>H00490</v>
      </c>
      <c r="N442" s="264"/>
    </row>
    <row r="443" spans="1:14">
      <c r="A443" t="s">
        <v>1720</v>
      </c>
      <c r="B443">
        <v>45300</v>
      </c>
      <c r="H443" t="e">
        <f t="shared" si="12"/>
        <v>#N/A</v>
      </c>
      <c r="I443" t="str">
        <f t="shared" si="13"/>
        <v>E00412</v>
      </c>
      <c r="N443" s="264"/>
    </row>
    <row r="444" spans="1:14">
      <c r="A444" t="s">
        <v>1850</v>
      </c>
      <c r="B444">
        <v>29000</v>
      </c>
      <c r="H444" t="e">
        <f t="shared" si="12"/>
        <v>#N/A</v>
      </c>
      <c r="I444" t="e">
        <f t="shared" si="13"/>
        <v>#N/A</v>
      </c>
      <c r="N444" s="264"/>
    </row>
    <row r="445" spans="1:14">
      <c r="A445" t="s">
        <v>1850</v>
      </c>
      <c r="B445">
        <v>229000</v>
      </c>
      <c r="H445" t="e">
        <f t="shared" si="12"/>
        <v>#N/A</v>
      </c>
      <c r="I445" t="e">
        <f t="shared" si="13"/>
        <v>#N/A</v>
      </c>
      <c r="N445" s="264"/>
    </row>
    <row r="446" spans="1:14">
      <c r="A446" t="s">
        <v>1719</v>
      </c>
      <c r="B446">
        <v>51000</v>
      </c>
      <c r="H446" t="e">
        <f t="shared" si="12"/>
        <v>#N/A</v>
      </c>
      <c r="I446" t="str">
        <f t="shared" si="13"/>
        <v>E00407</v>
      </c>
      <c r="N446" s="264"/>
    </row>
    <row r="447" spans="1:14">
      <c r="A447" t="s">
        <v>1851</v>
      </c>
      <c r="B447">
        <v>15800</v>
      </c>
      <c r="H447" t="e">
        <f t="shared" si="12"/>
        <v>#N/A</v>
      </c>
      <c r="I447" t="str">
        <f t="shared" si="13"/>
        <v>C00520</v>
      </c>
      <c r="N447" s="264"/>
    </row>
    <row r="448" spans="1:14">
      <c r="A448" t="s">
        <v>1852</v>
      </c>
      <c r="B448">
        <v>15400</v>
      </c>
      <c r="H448" t="e">
        <f t="shared" si="12"/>
        <v>#N/A</v>
      </c>
      <c r="I448" t="str">
        <f t="shared" si="13"/>
        <v>C00519</v>
      </c>
      <c r="N448" s="264"/>
    </row>
    <row r="449" spans="1:14">
      <c r="A449" t="s">
        <v>1722</v>
      </c>
      <c r="H449" t="e">
        <f t="shared" si="12"/>
        <v>#N/A</v>
      </c>
      <c r="I449" t="str">
        <f t="shared" si="13"/>
        <v>C00458</v>
      </c>
      <c r="N449" s="264"/>
    </row>
    <row r="450" spans="1:14">
      <c r="A450" t="s">
        <v>1722</v>
      </c>
      <c r="B450">
        <v>18000</v>
      </c>
      <c r="H450" t="e">
        <f t="shared" si="12"/>
        <v>#N/A</v>
      </c>
      <c r="I450" t="str">
        <f t="shared" si="13"/>
        <v>C00458</v>
      </c>
      <c r="N450" s="264"/>
    </row>
    <row r="451" spans="1:14">
      <c r="A451" t="s">
        <v>1723</v>
      </c>
      <c r="B451">
        <v>48100</v>
      </c>
      <c r="H451" t="e">
        <f t="shared" si="12"/>
        <v>#N/A</v>
      </c>
      <c r="I451" t="str">
        <f t="shared" si="13"/>
        <v>E00394</v>
      </c>
      <c r="N451" s="264"/>
    </row>
    <row r="452" spans="1:14">
      <c r="A452" t="s">
        <v>1724</v>
      </c>
      <c r="B452">
        <v>24300</v>
      </c>
      <c r="H452" t="e">
        <f t="shared" si="12"/>
        <v>#N/A</v>
      </c>
      <c r="I452" t="str">
        <f t="shared" si="13"/>
        <v>E00416</v>
      </c>
      <c r="N452" s="264"/>
    </row>
    <row r="453" spans="1:14">
      <c r="A453" t="s">
        <v>1725</v>
      </c>
      <c r="B453">
        <v>63700</v>
      </c>
      <c r="H453" t="e">
        <f t="shared" si="12"/>
        <v>#N/A</v>
      </c>
      <c r="I453" t="str">
        <f t="shared" si="13"/>
        <v>H00564</v>
      </c>
      <c r="N453" s="264"/>
    </row>
    <row r="454" spans="1:14">
      <c r="A454" t="s">
        <v>1850</v>
      </c>
      <c r="B454">
        <v>54200</v>
      </c>
      <c r="H454" t="e">
        <f t="shared" ref="H454:H455" si="14">VLOOKUP(E454,A:B,1,FALSE)</f>
        <v>#N/A</v>
      </c>
      <c r="I454" t="e">
        <f t="shared" ref="I454:I455" si="15">VLOOKUP(A454,E:F,1,FALSE)</f>
        <v>#N/A</v>
      </c>
      <c r="N454" s="264"/>
    </row>
    <row r="455" spans="1:14">
      <c r="A455" t="s">
        <v>1728</v>
      </c>
      <c r="B455">
        <v>20800</v>
      </c>
      <c r="H455" t="e">
        <f t="shared" si="14"/>
        <v>#N/A</v>
      </c>
      <c r="I455" t="str">
        <f t="shared" si="15"/>
        <v>C00538</v>
      </c>
      <c r="N455" s="264"/>
    </row>
    <row r="456" spans="1:14">
      <c r="A456" t="s">
        <v>1721</v>
      </c>
      <c r="B456">
        <v>23300</v>
      </c>
    </row>
    <row r="457" spans="1:14">
      <c r="A457" t="s">
        <v>1731</v>
      </c>
      <c r="B457">
        <v>10900</v>
      </c>
    </row>
    <row r="458" spans="1:14">
      <c r="A458" t="s">
        <v>1853</v>
      </c>
      <c r="B458">
        <v>9100</v>
      </c>
    </row>
    <row r="459" spans="1:14">
      <c r="A459" t="s">
        <v>1854</v>
      </c>
      <c r="B459">
        <v>9002</v>
      </c>
    </row>
    <row r="460" spans="1:14">
      <c r="A460" t="s">
        <v>1855</v>
      </c>
      <c r="B460">
        <v>18000</v>
      </c>
    </row>
    <row r="461" spans="1:14">
      <c r="A461" t="s">
        <v>1856</v>
      </c>
      <c r="B461">
        <v>6600</v>
      </c>
    </row>
    <row r="462" spans="1:14">
      <c r="A462" t="s">
        <v>1857</v>
      </c>
      <c r="B462">
        <v>9800</v>
      </c>
    </row>
    <row r="463" spans="1:14">
      <c r="A463" t="s">
        <v>1858</v>
      </c>
      <c r="B463">
        <v>21000</v>
      </c>
    </row>
    <row r="464" spans="1:14">
      <c r="A464" t="s">
        <v>1859</v>
      </c>
      <c r="B464">
        <v>12400</v>
      </c>
    </row>
    <row r="465" spans="1:2">
      <c r="A465" t="s">
        <v>1860</v>
      </c>
      <c r="B465">
        <v>12300</v>
      </c>
    </row>
    <row r="466" spans="1:2">
      <c r="A466" t="s">
        <v>1735</v>
      </c>
      <c r="B466">
        <v>16100</v>
      </c>
    </row>
    <row r="467" spans="1:2">
      <c r="A467" t="s">
        <v>1725</v>
      </c>
      <c r="B467">
        <v>27000</v>
      </c>
    </row>
    <row r="468" spans="1:2">
      <c r="A468" t="s">
        <v>1726</v>
      </c>
      <c r="B468">
        <v>12700</v>
      </c>
    </row>
    <row r="469" spans="1:2">
      <c r="A469" t="s">
        <v>1861</v>
      </c>
      <c r="B469">
        <v>14200</v>
      </c>
    </row>
    <row r="470" spans="1:2">
      <c r="A470" t="s">
        <v>1729</v>
      </c>
      <c r="B470">
        <v>28000</v>
      </c>
    </row>
    <row r="471" spans="1:2">
      <c r="A471" t="s">
        <v>1730</v>
      </c>
      <c r="B471">
        <v>27800</v>
      </c>
    </row>
    <row r="472" spans="1:2">
      <c r="A472" t="s">
        <v>1862</v>
      </c>
      <c r="B472">
        <v>34000</v>
      </c>
    </row>
    <row r="473" spans="1:2">
      <c r="A473" t="s">
        <v>1862</v>
      </c>
      <c r="B473">
        <v>18500</v>
      </c>
    </row>
    <row r="474" spans="1:2">
      <c r="A474" t="s">
        <v>1863</v>
      </c>
      <c r="B474">
        <v>13500</v>
      </c>
    </row>
    <row r="475" spans="1:2">
      <c r="A475" t="s">
        <v>1732</v>
      </c>
      <c r="B475">
        <v>26300</v>
      </c>
    </row>
    <row r="476" spans="1:2">
      <c r="A476" t="s">
        <v>1733</v>
      </c>
      <c r="B476">
        <v>26500</v>
      </c>
    </row>
    <row r="477" spans="1:2">
      <c r="A477" t="s">
        <v>1734</v>
      </c>
      <c r="B477">
        <v>32300</v>
      </c>
    </row>
    <row r="478" spans="1:2">
      <c r="A478" t="s">
        <v>1735</v>
      </c>
      <c r="B478">
        <v>18200</v>
      </c>
    </row>
    <row r="479" spans="1:2">
      <c r="A479" t="s">
        <v>1864</v>
      </c>
      <c r="B479">
        <v>4300</v>
      </c>
    </row>
    <row r="480" spans="1:2">
      <c r="A480" t="s">
        <v>1865</v>
      </c>
      <c r="B480">
        <v>3800</v>
      </c>
    </row>
    <row r="481" spans="1:2">
      <c r="A481" t="s">
        <v>1866</v>
      </c>
      <c r="B481">
        <v>4200</v>
      </c>
    </row>
    <row r="482" spans="1:2">
      <c r="A482" t="s">
        <v>1867</v>
      </c>
      <c r="B482">
        <v>4200</v>
      </c>
    </row>
    <row r="483" spans="1:2">
      <c r="A483" t="s">
        <v>1740</v>
      </c>
      <c r="B483">
        <v>13800</v>
      </c>
    </row>
    <row r="484" spans="1:2">
      <c r="A484" t="s">
        <v>1737</v>
      </c>
      <c r="B484">
        <v>19500</v>
      </c>
    </row>
    <row r="485" spans="1:2">
      <c r="A485" t="s">
        <v>1737</v>
      </c>
      <c r="B485">
        <v>53000</v>
      </c>
    </row>
    <row r="486" spans="1:2">
      <c r="A486" t="s">
        <v>1738</v>
      </c>
      <c r="B486">
        <v>79500</v>
      </c>
    </row>
    <row r="487" spans="1:2">
      <c r="A487" t="s">
        <v>1739</v>
      </c>
      <c r="B487">
        <v>41400</v>
      </c>
    </row>
    <row r="488" spans="1:2">
      <c r="A488" t="s">
        <v>1734</v>
      </c>
      <c r="B488">
        <v>600</v>
      </c>
    </row>
    <row r="489" spans="1:2">
      <c r="A489" t="s">
        <v>1736</v>
      </c>
      <c r="B489">
        <v>63300</v>
      </c>
    </row>
    <row r="490" spans="1:2">
      <c r="A490" t="s">
        <v>1868</v>
      </c>
      <c r="B490">
        <v>91000</v>
      </c>
    </row>
    <row r="491" spans="1:2">
      <c r="A491" t="s">
        <v>1868</v>
      </c>
      <c r="B491">
        <v>33000</v>
      </c>
    </row>
    <row r="492" spans="1:2">
      <c r="A492" t="s">
        <v>1869</v>
      </c>
      <c r="B492">
        <v>123900</v>
      </c>
    </row>
    <row r="493" spans="1:2">
      <c r="A493" t="s">
        <v>1734</v>
      </c>
      <c r="B493">
        <v>45900</v>
      </c>
    </row>
    <row r="494" spans="1:2">
      <c r="A494" t="s">
        <v>1741</v>
      </c>
    </row>
    <row r="495" spans="1:2">
      <c r="A495" t="s">
        <v>1739</v>
      </c>
      <c r="B495">
        <v>42600</v>
      </c>
    </row>
    <row r="496" spans="1:2">
      <c r="A496" t="s">
        <v>1742</v>
      </c>
      <c r="B496">
        <v>56400</v>
      </c>
    </row>
    <row r="497" spans="1:2">
      <c r="A497" t="s">
        <v>1870</v>
      </c>
      <c r="B497">
        <v>65400</v>
      </c>
    </row>
    <row r="498" spans="1:2">
      <c r="A498" t="s">
        <v>1870</v>
      </c>
      <c r="B498">
        <v>67800</v>
      </c>
    </row>
    <row r="499" spans="1:2">
      <c r="A499" t="s">
        <v>1871</v>
      </c>
      <c r="B499">
        <v>169500</v>
      </c>
    </row>
    <row r="500" spans="1:2">
      <c r="A500" t="s">
        <v>1741</v>
      </c>
      <c r="B500">
        <v>60500</v>
      </c>
    </row>
    <row r="501" spans="1:2">
      <c r="A501" t="s">
        <v>1744</v>
      </c>
      <c r="B501">
        <v>13700</v>
      </c>
    </row>
    <row r="502" spans="1:2">
      <c r="A502" t="s">
        <v>1743</v>
      </c>
      <c r="B502">
        <v>24300</v>
      </c>
    </row>
    <row r="503" spans="1:2">
      <c r="A503" t="s">
        <v>1745</v>
      </c>
      <c r="B503">
        <v>16000</v>
      </c>
    </row>
    <row r="504" spans="1:2">
      <c r="A504" t="s">
        <v>1746</v>
      </c>
    </row>
    <row r="505" spans="1:2">
      <c r="A505" t="s">
        <v>1746</v>
      </c>
      <c r="B505">
        <v>24700</v>
      </c>
    </row>
    <row r="506" spans="1:2">
      <c r="A506" t="s">
        <v>1747</v>
      </c>
      <c r="B506">
        <v>177800</v>
      </c>
    </row>
    <row r="507" spans="1:2">
      <c r="A507" t="s">
        <v>1871</v>
      </c>
      <c r="B507">
        <v>5000</v>
      </c>
    </row>
    <row r="508" spans="1:2">
      <c r="A508" t="s">
        <v>1748</v>
      </c>
      <c r="B508">
        <v>57500</v>
      </c>
    </row>
    <row r="509" spans="1:2">
      <c r="A509" t="s">
        <v>1749</v>
      </c>
      <c r="B509">
        <v>63100</v>
      </c>
    </row>
    <row r="510" spans="1:2">
      <c r="A510" t="s">
        <v>1758</v>
      </c>
      <c r="B510">
        <v>14300</v>
      </c>
    </row>
    <row r="511" spans="1:2">
      <c r="A511" t="s">
        <v>1751</v>
      </c>
      <c r="B511">
        <v>19000</v>
      </c>
    </row>
    <row r="512" spans="1:2">
      <c r="A512" t="s">
        <v>1752</v>
      </c>
      <c r="B512">
        <v>19000</v>
      </c>
    </row>
    <row r="513" spans="1:2">
      <c r="A513" t="s">
        <v>1753</v>
      </c>
      <c r="B513">
        <v>13400</v>
      </c>
    </row>
    <row r="514" spans="1:2">
      <c r="A514" t="s">
        <v>1755</v>
      </c>
      <c r="B514">
        <v>31400</v>
      </c>
    </row>
    <row r="515" spans="1:2">
      <c r="A515" t="s">
        <v>1756</v>
      </c>
      <c r="B515">
        <v>14500</v>
      </c>
    </row>
    <row r="516" spans="1:2">
      <c r="A516" t="s">
        <v>1747</v>
      </c>
      <c r="B516">
        <v>5000</v>
      </c>
    </row>
    <row r="517" spans="1:2">
      <c r="A517" t="s">
        <v>1872</v>
      </c>
      <c r="B517">
        <v>16900</v>
      </c>
    </row>
    <row r="518" spans="1:2">
      <c r="A518" t="s">
        <v>1873</v>
      </c>
      <c r="B518">
        <v>18300</v>
      </c>
    </row>
    <row r="519" spans="1:2">
      <c r="A519" t="s">
        <v>1874</v>
      </c>
      <c r="B519">
        <v>19800</v>
      </c>
    </row>
    <row r="520" spans="1:2">
      <c r="A520" t="s">
        <v>1875</v>
      </c>
      <c r="B520">
        <v>10800</v>
      </c>
    </row>
    <row r="521" spans="1:2">
      <c r="A521" t="s">
        <v>1875</v>
      </c>
      <c r="B521">
        <v>19400</v>
      </c>
    </row>
    <row r="522" spans="1:2">
      <c r="A522" t="s">
        <v>1750</v>
      </c>
      <c r="B522">
        <v>63100</v>
      </c>
    </row>
    <row r="523" spans="1:2">
      <c r="A523" t="s">
        <v>1754</v>
      </c>
      <c r="B523">
        <v>11300</v>
      </c>
    </row>
    <row r="524" spans="1:2">
      <c r="A524" t="s">
        <v>1757</v>
      </c>
      <c r="B524">
        <v>11000</v>
      </c>
    </row>
  </sheetData>
  <autoFilter ref="A4:I524" xr:uid="{DF1B4275-5C57-4F7F-BBFA-118B2811FB31}"/>
  <mergeCells count="2">
    <mergeCell ref="A3:B3"/>
    <mergeCell ref="E3:F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Summary</vt:lpstr>
      <vt:lpstr>Calculation</vt:lpstr>
      <vt:lpstr>Jan-2026</vt:lpstr>
      <vt:lpstr>Sheet4</vt:lpstr>
      <vt:lpstr>Jan-2026 rates</vt:lpstr>
      <vt:lpstr>Dispensed Ink Rates</vt:lpstr>
      <vt:lpstr>Ink And Solvnt</vt:lpstr>
      <vt:lpstr>Ptd_Mtr</vt:lpstr>
      <vt:lpstr>Sheet3</vt:lpstr>
      <vt:lpstr>Sheet2</vt:lpstr>
      <vt:lpstr>Sheet1</vt:lpstr>
      <vt:lpstr>Ptd_Mtr (2)</vt:lpstr>
      <vt:lpstr>_1</vt:lpstr>
      <vt:lpstr>_2</vt:lpstr>
      <vt:lpstr>_3</vt:lpstr>
      <vt:lpstr>_4</vt:lpstr>
      <vt:lpstr>_5</vt:lpstr>
      <vt:lpstr>_6</vt:lpstr>
      <vt:lpstr>_7</vt:lpstr>
      <vt:lpstr>_8</vt:lpstr>
      <vt:lpstr>D</vt:lpstr>
      <vt:lpstr>L</vt:lpstr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 ANALYST</dc:creator>
  <cp:lastModifiedBy>Tharaka W</cp:lastModifiedBy>
  <cp:lastPrinted>2026-02-09T09:18:01Z</cp:lastPrinted>
  <dcterms:created xsi:type="dcterms:W3CDTF">2014-06-26T12:30:47Z</dcterms:created>
  <dcterms:modified xsi:type="dcterms:W3CDTF">2026-05-08T10:43:44Z</dcterms:modified>
</cp:coreProperties>
</file>